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Consolidada" sheetId="1" r:id="rId5"/>
    <sheet state="visible" name="base_bp" sheetId="2" r:id="rId6"/>
    <sheet state="visible" name="Metadata" sheetId="3" r:id="rId7"/>
    <sheet state="visible" name="Página1" sheetId="4" r:id="rId8"/>
    <sheet state="visible" name="_Fonte_A2" sheetId="5" r:id="rId9"/>
    <sheet state="visible" name="📊 Dashboard" sheetId="6" r:id="rId10"/>
    <sheet state="visible" name="⚠️ Alertas SLA" sheetId="7" r:id="rId11"/>
    <sheet state="visible" name="📋 Leads Abertos" sheetId="8" r:id="rId12"/>
  </sheets>
  <definedNames>
    <definedName hidden="1" localSheetId="0" name="_xlnm._FilterDatabase">'Base Consolidada'!$A$1:$BL$1000</definedName>
  </definedNames>
  <calcPr/>
</workbook>
</file>

<file path=xl/sharedStrings.xml><?xml version="1.0" encoding="utf-8"?>
<sst xmlns="http://schemas.openxmlformats.org/spreadsheetml/2006/main" count="2165" uniqueCount="733">
  <si>
    <t>Marca</t>
  </si>
  <si>
    <t>Responsável BDR</t>
  </si>
  <si>
    <t>Responsável Closer</t>
  </si>
  <si>
    <t>Status</t>
  </si>
  <si>
    <t>Status Completo</t>
  </si>
  <si>
    <t>Classificação</t>
  </si>
  <si>
    <t>Data do último FUP</t>
  </si>
  <si>
    <t>FCA - Qual próximo passo?</t>
  </si>
  <si>
    <t>1. Iniciado</t>
  </si>
  <si>
    <t>2. Primeiro Contato com a marca</t>
  </si>
  <si>
    <t>3. Apresentação</t>
  </si>
  <si>
    <t>4. Diagnóstico</t>
  </si>
  <si>
    <t>5. Demo/Showroom</t>
  </si>
  <si>
    <t>6. Negociação</t>
  </si>
  <si>
    <t>7. Piloto</t>
  </si>
  <si>
    <t>8. Contrato enviado</t>
  </si>
  <si>
    <t>9. Contrato assinado</t>
  </si>
  <si>
    <t>10. Perdido</t>
  </si>
  <si>
    <t>11. Stand by</t>
  </si>
  <si>
    <t>12. Orgânico</t>
  </si>
  <si>
    <t>13. Reativado</t>
  </si>
  <si>
    <t>Motivo da perda/stand by</t>
  </si>
  <si>
    <t>Mensalidade</t>
  </si>
  <si>
    <t>Tempo de contrato</t>
  </si>
  <si>
    <t>Setup</t>
  </si>
  <si>
    <t>Implantação</t>
  </si>
  <si>
    <t>Qtd lojas físicas</t>
  </si>
  <si>
    <t>Marca TOP KA</t>
  </si>
  <si>
    <t>Marca no BP</t>
  </si>
  <si>
    <t>PDV atual</t>
  </si>
  <si>
    <t>Qtd de lojas</t>
  </si>
  <si>
    <t>Mês de início</t>
  </si>
  <si>
    <t>Qtd de meses</t>
  </si>
  <si>
    <t>Qtd Lojas físicas qualificadas</t>
  </si>
  <si>
    <t>Faturamento qualificado</t>
  </si>
  <si>
    <t>PDV/integradora atual</t>
  </si>
  <si>
    <t>Tipo de serviço qualificado</t>
  </si>
  <si>
    <t>Delivery abriu porta?</t>
  </si>
  <si>
    <t>Base Elegível</t>
  </si>
  <si>
    <t>Base Novos Produtos</t>
  </si>
  <si>
    <t>Dias último FUP</t>
  </si>
  <si>
    <t>Estado</t>
  </si>
  <si>
    <t>Coordenador Delivery</t>
  </si>
  <si>
    <t>Executivo Delivery</t>
  </si>
  <si>
    <t>Head Delivery</t>
  </si>
  <si>
    <t>Gerente Delivery</t>
  </si>
  <si>
    <t>Antigo Resp</t>
  </si>
  <si>
    <t>Base Comer Fora</t>
  </si>
  <si>
    <t>Prioridade Comer Fora</t>
  </si>
  <si>
    <t>Ataque Comer Fora</t>
  </si>
  <si>
    <t>PDV atual (2)</t>
  </si>
  <si>
    <t>Culinária</t>
  </si>
  <si>
    <t>Ticket Médio</t>
  </si>
  <si>
    <t>Perfil operacional</t>
  </si>
  <si>
    <t>Localização Geográfica</t>
  </si>
  <si>
    <t>Faturamento da rede</t>
  </si>
  <si>
    <t>Lead Scoring</t>
  </si>
  <si>
    <t>Percentual de Aderencia</t>
  </si>
  <si>
    <t>Comparativo (Integradora atual x 3S)</t>
  </si>
  <si>
    <t>Software Atual</t>
  </si>
  <si>
    <t>Share Atual (%)</t>
  </si>
  <si>
    <t>Cardápio Web</t>
  </si>
  <si>
    <t>Get Soft Software House Tecnologia Da Informacao Ltda</t>
  </si>
  <si>
    <t/>
  </si>
  <si>
    <t>null</t>
  </si>
  <si>
    <t>Mp Multipedidos</t>
  </si>
  <si>
    <t>Sagres Automação Comercial</t>
  </si>
  <si>
    <t>Anota Ai Solucoes Digitais S/a</t>
  </si>
  <si>
    <t>Tigoo Serviços Ltda.</t>
  </si>
  <si>
    <t>Saipos Serviços De Software</t>
  </si>
  <si>
    <t>Winfood</t>
  </si>
  <si>
    <t>Eclética Tecnologia</t>
  </si>
  <si>
    <t>Stone Co.</t>
  </si>
  <si>
    <t>Latech Informatica Ltda</t>
  </si>
  <si>
    <t>Ncr</t>
  </si>
  <si>
    <t>Menew - Linx</t>
  </si>
  <si>
    <t>Hubster</t>
  </si>
  <si>
    <t>Suitable Tecnologia E Gestao</t>
  </si>
  <si>
    <t>Totvs Large Enterprise Tecnologia S.a.</t>
  </si>
  <si>
    <t>Venditx Ltda</t>
  </si>
  <si>
    <t>Instadelivery</t>
  </si>
  <si>
    <t>Wps Sistemas Ltda</t>
  </si>
  <si>
    <t>Teknisa Service Ltda</t>
  </si>
  <si>
    <t>Netcontroll Xmenu</t>
  </si>
  <si>
    <t>Alpha Logo</t>
  </si>
  <si>
    <t>Yooga</t>
  </si>
  <si>
    <t>Filialdigital</t>
  </si>
  <si>
    <t>Swfast Sistemas</t>
  </si>
  <si>
    <t>T4l Tecnologia Ltda Me</t>
  </si>
  <si>
    <t>Cloudfy</t>
  </si>
  <si>
    <t>Inffel Servicos Em Tecnologia Ltda</t>
  </si>
  <si>
    <t>Takeat Tecnologia</t>
  </si>
  <si>
    <t>Premio Sistemas Ltda</t>
  </si>
  <si>
    <t>Gelato Borelli Tecnologia Ltda</t>
  </si>
  <si>
    <t>Bitbar</t>
  </si>
  <si>
    <t>Garcom Web</t>
  </si>
  <si>
    <t>Mtsis Sistemas De Informática Ltda.</t>
  </si>
  <si>
    <t>Salad Bowl</t>
  </si>
  <si>
    <t>Mohatron Ti Web Ltda</t>
  </si>
  <si>
    <t>Noah Sistemas Ltda</t>
  </si>
  <si>
    <t>Xd People Ltda</t>
  </si>
  <si>
    <t>Grk Soluções Informatica Eireli</t>
  </si>
  <si>
    <t>L&amp;f Tecnologia Sistemas E Comercio Ltda</t>
  </si>
  <si>
    <t>Vuca Solution</t>
  </si>
  <si>
    <t>Anove Tecnologia</t>
  </si>
  <si>
    <t>Lasertech Sistemas Ltda Me</t>
  </si>
  <si>
    <t>Vekttor</t>
  </si>
  <si>
    <t>3a Solution</t>
  </si>
  <si>
    <t>Cityfoods Ltda</t>
  </si>
  <si>
    <t>Lexsis Sistemas</t>
  </si>
  <si>
    <t>Opdv</t>
  </si>
  <si>
    <t>Parseint Desenvolvimento De Sistemas Ltda</t>
  </si>
  <si>
    <t>Gfr Tec</t>
  </si>
  <si>
    <t>Lab Jota Marketing Digital Eirele</t>
  </si>
  <si>
    <t>Proabakus Desenvolvimento De Sistemas Ltda</t>
  </si>
  <si>
    <t>Zanthus Comercio E Servicos Ltda</t>
  </si>
  <si>
    <t>Dalcatech Automacao E Desenvolvimento De Software Ltda</t>
  </si>
  <si>
    <t>Rw Informática Ltda</t>
  </si>
  <si>
    <t>Cheff Solutions Tecnologia Brasil</t>
  </si>
  <si>
    <t>Junsoft Tecnologia</t>
  </si>
  <si>
    <t>Ciss S.a Gestao Para O Varejo</t>
  </si>
  <si>
    <t>Solução Sistemas</t>
  </si>
  <si>
    <t>Cbinfo</t>
  </si>
  <si>
    <t>Jclan Sistemas</t>
  </si>
  <si>
    <t>Expresso Delivery</t>
  </si>
  <si>
    <t>Jaxtech</t>
  </si>
  <si>
    <t>Agilizup Solucoes Ltda</t>
  </si>
  <si>
    <t>Chs Certificacao Digital E Tecnologia Ltda</t>
  </si>
  <si>
    <t>Marchiore It</t>
  </si>
  <si>
    <t>Altec Sistemas</t>
  </si>
  <si>
    <t>Gcom - Gestao Em Tecnologia De Informacao Eireli</t>
  </si>
  <si>
    <t>Consumer Soluções Em Tecnologia Ltda</t>
  </si>
  <si>
    <t>Eyemobile Tecnologia</t>
  </si>
  <si>
    <t>Alltech</t>
  </si>
  <si>
    <t>Smartfull Sistemas Ltda</t>
  </si>
  <si>
    <t>Oz Technology</t>
  </si>
  <si>
    <t>Connectplug</t>
  </si>
  <si>
    <t>Gula.menu Tecnologia Ltda.</t>
  </si>
  <si>
    <t>Algoritma Sistemas De Software Ltda</t>
  </si>
  <si>
    <t>Pdvseven Solucoes Em Ti Ltda</t>
  </si>
  <si>
    <t>Atena Tecnologia Da Informacao Ltda</t>
  </si>
  <si>
    <t>Berp Sistemas</t>
  </si>
  <si>
    <t>Cabana Burger Developer</t>
  </si>
  <si>
    <t>Brendi</t>
  </si>
  <si>
    <t>Itf Inteligencia E Tecnologia Para O Franchising</t>
  </si>
  <si>
    <t>E-deploy Retail</t>
  </si>
  <si>
    <t>Cf Sistemas</t>
  </si>
  <si>
    <t>Goncales E Fernandez Informatica Ltda</t>
  </si>
  <si>
    <t>Kcms</t>
  </si>
  <si>
    <t>Tech Rao</t>
  </si>
  <si>
    <t>Hsm Soluções</t>
  </si>
  <si>
    <t>Pro Franchising</t>
  </si>
  <si>
    <t>Rubaiyat</t>
  </si>
  <si>
    <t>PDV Atual</t>
  </si>
  <si>
    <t>ACAI BEAT</t>
  </si>
  <si>
    <t>ACAI DA CIDADE</t>
  </si>
  <si>
    <t>AÇAI DO FORTE - CONTA PAI</t>
  </si>
  <si>
    <t>ACAI LA FRESCO</t>
  </si>
  <si>
    <t>ADEGA DO BOI TERESINA</t>
  </si>
  <si>
    <t>AKIRO SUSHI</t>
  </si>
  <si>
    <t>AMBROZINI</t>
  </si>
  <si>
    <t>AMERICAN ORIGINAL - CONTA MARCA</t>
  </si>
  <si>
    <t>ANGUS - CARNES E HAMBURGUERIA</t>
  </si>
  <si>
    <t>ARNALDO'S LANCHES - NÍVEL MARCA</t>
  </si>
  <si>
    <t>ARO TEMAKERIA DELIVERY</t>
  </si>
  <si>
    <t>BABY BEEF EXPRESS</t>
  </si>
  <si>
    <t>BANZAI ES</t>
  </si>
  <si>
    <t>BAR DO ELIAS</t>
  </si>
  <si>
    <t>BB DOG</t>
  </si>
  <si>
    <t>BELLA PIZZA</t>
  </si>
  <si>
    <t>BELLA SUSHI</t>
  </si>
  <si>
    <t>BENDITA ESFIHA</t>
  </si>
  <si>
    <t>BENTO AÇAITERIA</t>
  </si>
  <si>
    <t>BERRIES - CONTA PAI</t>
  </si>
  <si>
    <t>BEST - UBERLÂNDIA</t>
  </si>
  <si>
    <t>BIBI RISTORANTE</t>
  </si>
  <si>
    <t>BIG PIZZA</t>
  </si>
  <si>
    <t>BISTROGONOFF</t>
  </si>
  <si>
    <t>BKO - CONTA MARCA</t>
  </si>
  <si>
    <t>BOLOS DO SÍTIO</t>
  </si>
  <si>
    <t>BOLOS ROSA</t>
  </si>
  <si>
    <t>BORDA E LENHA</t>
  </si>
  <si>
    <t>BOTECO COLARINHO</t>
  </si>
  <si>
    <t>BOTECO CONFRARIA</t>
  </si>
  <si>
    <t>BRAVA SUSHI - CONTA MARCA</t>
  </si>
  <si>
    <t>BRAZZATTO PIZZA</t>
  </si>
  <si>
    <t>BRONCO BURGER</t>
  </si>
  <si>
    <t>BRUTUS BURGER</t>
  </si>
  <si>
    <t>BURGER X</t>
  </si>
  <si>
    <t>BURGERS RIO</t>
  </si>
  <si>
    <t>CACHORRÃO DO CLAUDIÃO OFICIAL</t>
  </si>
  <si>
    <t>CAFE CULTURA SC - CONTA MARCA</t>
  </si>
  <si>
    <t>CAMARÃO TO GO</t>
  </si>
  <si>
    <t>CAMARÕES</t>
  </si>
  <si>
    <t>CANTINHO DO PASTEL</t>
  </si>
  <si>
    <t>CANTINHO DO SABOR</t>
  </si>
  <si>
    <t>CANTUCCI OSTERIA</t>
  </si>
  <si>
    <t>CARECA</t>
  </si>
  <si>
    <t>CARNEIRO DO ORDONES - CONTA MARCA</t>
  </si>
  <si>
    <t>CASA DO PARÁ</t>
  </si>
  <si>
    <t>CAVENDISH</t>
  </si>
  <si>
    <t>CHAVITOS HAMBURGUERIA ARTESANAL</t>
  </si>
  <si>
    <t>CHICKEN TOWN</t>
  </si>
  <si>
    <t>CHILI BURGER HAMBURGUERIA ARTESANAL</t>
  </si>
  <si>
    <t>CHOPP DA FÁBRICA</t>
  </si>
  <si>
    <t>COME ON BURGER</t>
  </si>
  <si>
    <t>CONECTA KITCHEN</t>
  </si>
  <si>
    <t>COOKIE DELIVERY OFICIAL</t>
  </si>
  <si>
    <t>COOKIE MANIA</t>
  </si>
  <si>
    <t>COXA COXINHA</t>
  </si>
  <si>
    <t>COXINHA DO GAGO</t>
  </si>
  <si>
    <t>CRUZEIROS</t>
  </si>
  <si>
    <t>CULINÁRIA MINEIRA</t>
  </si>
  <si>
    <t>D QUENTINHAS</t>
  </si>
  <si>
    <t>DA PRI</t>
  </si>
  <si>
    <t>DALLE PIZZA</t>
  </si>
  <si>
    <t>DAUNS</t>
  </si>
  <si>
    <t>DELIKATA</t>
  </si>
  <si>
    <t>DI LIANA RISTORANTE</t>
  </si>
  <si>
    <t>DI NAPOLI PIZZARIA RS</t>
  </si>
  <si>
    <t>DIGÃO LANCHES</t>
  </si>
  <si>
    <t>DILETTO MASSAS</t>
  </si>
  <si>
    <t>DINA PIZZA</t>
  </si>
  <si>
    <t>DIZZY</t>
  </si>
  <si>
    <t>DOCE MAGIA</t>
  </si>
  <si>
    <t>COFFEE DONUTS COFFEE - CONTA MARCA</t>
  </si>
  <si>
    <t>DOM GALETO</t>
  </si>
  <si>
    <t>DONA CARMELA</t>
  </si>
  <si>
    <t>EAI BURGUER - MARCA</t>
  </si>
  <si>
    <t>EDDIE FINE BURGER</t>
  </si>
  <si>
    <t>EKY ESPETARIA CONSELHEIRO</t>
  </si>
  <si>
    <t>EL PATRON</t>
  </si>
  <si>
    <t>ESFIHARIA MAKTUBS</t>
  </si>
  <si>
    <t>ESFIHAS DOZZA</t>
  </si>
  <si>
    <t>FAMIGLIA DA PIZZA</t>
  </si>
  <si>
    <t>FAMIGLIA REIS MAGOS</t>
  </si>
  <si>
    <t>FEIJOADA DO ABÍLIO</t>
  </si>
  <si>
    <t>FIORENTINA RISTORANTE E PIZZARIA</t>
  </si>
  <si>
    <t>FRANGO PREDILETO</t>
  </si>
  <si>
    <t>FRIGIDEIRA GRILL</t>
  </si>
  <si>
    <t>GALETO SÃO LUIZ</t>
  </si>
  <si>
    <t>GALETUS - MARCA</t>
  </si>
  <si>
    <t>GELATI ARTIGIANALE</t>
  </si>
  <si>
    <t>GELATO BORELLI</t>
  </si>
  <si>
    <t>GO YAKISOBA</t>
  </si>
  <si>
    <t>GRACCO BURGER</t>
  </si>
  <si>
    <t>GRUPO - DI LORENZA</t>
  </si>
  <si>
    <t>GRUPO ALYSSON MULLER</t>
  </si>
  <si>
    <t>GRUPO AMERICAN BURGER BH</t>
  </si>
  <si>
    <t>GRUPO BURGUINHO BAURU</t>
  </si>
  <si>
    <t>GRUPO CAFÉ E UM CHÊRO</t>
  </si>
  <si>
    <t>GRUPO CALEBITO</t>
  </si>
  <si>
    <t>GRUPO CHANG</t>
  </si>
  <si>
    <t>GRUPO DECK</t>
  </si>
  <si>
    <t>GRUPO ILHA DA KOSTA</t>
  </si>
  <si>
    <t>GRUPO IRAJÁ</t>
  </si>
  <si>
    <t>GRUPO KANPEK TOASTED</t>
  </si>
  <si>
    <t>GRUPO LORD BURGER</t>
  </si>
  <si>
    <t>GRUPO NAU E MANGAI</t>
  </si>
  <si>
    <t>GRUPO PÁPRICA</t>
  </si>
  <si>
    <t>GRUPO RAINHA DAS MARMITAS</t>
  </si>
  <si>
    <t>GRUPO REGALO PIZZERIA</t>
  </si>
  <si>
    <t>GRUPO ROKKON</t>
  </si>
  <si>
    <t>GRUPO SALAD BOWL</t>
  </si>
  <si>
    <t>GRUPO SOHO AM - CONTA PAI</t>
  </si>
  <si>
    <t>GRUPO TUNA</t>
  </si>
  <si>
    <t>HAJIME SUSHI</t>
  </si>
  <si>
    <t>HASHI EXPRESS</t>
  </si>
  <si>
    <t>HOLY PIZZA FORTALEZA</t>
  </si>
  <si>
    <t>HORA DO PASTEL - CONTA MARCA</t>
  </si>
  <si>
    <t>HOT DOG DU PIRU - SC</t>
  </si>
  <si>
    <t>HOT DOG YRACEMA</t>
  </si>
  <si>
    <t>IMPERIO DO ACAI</t>
  </si>
  <si>
    <t>IMPÉRIO HAMBURGUERIA</t>
  </si>
  <si>
    <t>INPOT - CONTA PAI</t>
  </si>
  <si>
    <t>JAPESCA SUSHI</t>
  </si>
  <si>
    <t>JAPIDINHO</t>
  </si>
  <si>
    <t>JET PIZZAS</t>
  </si>
  <si>
    <t>JON PIZZA CO - MARCA</t>
  </si>
  <si>
    <t>KADALORA</t>
  </si>
  <si>
    <t>KINA DO FEIJAO VERDE</t>
  </si>
  <si>
    <t>KK</t>
  </si>
  <si>
    <t>KOMBIS HOT DOG</t>
  </si>
  <si>
    <t>LA MOLE</t>
  </si>
  <si>
    <t>LACA BURGUER</t>
  </si>
  <si>
    <t>LAHMAJUN</t>
  </si>
  <si>
    <t>LET'S EAT</t>
  </si>
  <si>
    <t>LIFEBOX</t>
  </si>
  <si>
    <t>MAGRELO LANCHES</t>
  </si>
  <si>
    <t>MAMMA MIA RS</t>
  </si>
  <si>
    <t>MARCA CAMARGO FOOD</t>
  </si>
  <si>
    <t>MARK HAMBURGUERIA</t>
  </si>
  <si>
    <t>MARMITARIA BH</t>
  </si>
  <si>
    <t>MAUI POKE HOUSE</t>
  </si>
  <si>
    <t>MEGA ACAI</t>
  </si>
  <si>
    <t>MEGA LANCHES</t>
  </si>
  <si>
    <t>MENU POKE</t>
  </si>
  <si>
    <t>MEXICANÍSSIMO RISTORANTE</t>
  </si>
  <si>
    <t>MR MAKI</t>
  </si>
  <si>
    <t>MR TEXAS PIZZA PAN</t>
  </si>
  <si>
    <t>NA BRASA COLUMBIA</t>
  </si>
  <si>
    <t>NAKASA DELIVERY</t>
  </si>
  <si>
    <t>NAKAYOSHI RIBEIRÃO PRETO</t>
  </si>
  <si>
    <t>NARA LAMEN</t>
  </si>
  <si>
    <t>NEW HAKATA</t>
  </si>
  <si>
    <t>NIPOPESCA</t>
  </si>
  <si>
    <t>O FARAÓ AM</t>
  </si>
  <si>
    <t>O NOSSO CHURRASQUETO</t>
  </si>
  <si>
    <t>OFICINA DAS PIZZAS</t>
  </si>
  <si>
    <t>OHANA SUSHI - GRUPO</t>
  </si>
  <si>
    <t>ORC BURGER JAÚ</t>
  </si>
  <si>
    <t>PADARIA MONZA</t>
  </si>
  <si>
    <t>PAPPARELLA PIZZARIA</t>
  </si>
  <si>
    <t>PARMEGIANNO</t>
  </si>
  <si>
    <t>PASTÉIS DE VENTO CIA</t>
  </si>
  <si>
    <t>PASTEL CHEFINHOS</t>
  </si>
  <si>
    <t>PASTEL E YAKISSOBA DA MI</t>
  </si>
  <si>
    <t>PATI POKE POKE</t>
  </si>
  <si>
    <t>Grupo Pecora</t>
  </si>
  <si>
    <t>PEIXE NA REDE</t>
  </si>
  <si>
    <t>PETISKOZ</t>
  </si>
  <si>
    <t>PITTSBURG</t>
  </si>
  <si>
    <t>PIZZA SCUOLA</t>
  </si>
  <si>
    <t>PIZZARIA E ESFIHARIA VILA VELHA</t>
  </si>
  <si>
    <t>PIZZARIA PERONI</t>
  </si>
  <si>
    <t>PLANALTO DO CHOPP</t>
  </si>
  <si>
    <t>POINT DO ACAI</t>
  </si>
  <si>
    <t>PRESS - CONTA GRUPO</t>
  </si>
  <si>
    <t>QUINA DO FUTURO</t>
  </si>
  <si>
    <t>RED BURGER</t>
  </si>
  <si>
    <t>REDE EJC ORIGINAL - CONTA MARCA</t>
  </si>
  <si>
    <t>REDE GOURMET</t>
  </si>
  <si>
    <t>REI DA PIZZA - CONTA MARCA</t>
  </si>
  <si>
    <t>REI DO ACAI</t>
  </si>
  <si>
    <t>REI DO SUSHI</t>
  </si>
  <si>
    <t>RISTORANTE MARIA ANTONIETA</t>
  </si>
  <si>
    <t>REZENDOG FAST FOOD</t>
  </si>
  <si>
    <t>RINCONCITO PERUANO</t>
  </si>
  <si>
    <t>ROCK BURGER - CONTA MARCA</t>
  </si>
  <si>
    <t>SABOR CASEIRO</t>
  </si>
  <si>
    <t>SAGRADO BOULANGERIE</t>
  </si>
  <si>
    <t>SAIKOU SUSHI EXPRESS</t>
  </si>
  <si>
    <t>SAL E BRASA NATAL</t>
  </si>
  <si>
    <t>SAMCROS BURGUER - CONTA MARCA</t>
  </si>
  <si>
    <t>SEVERO GARAGE - CONTA MARCA</t>
  </si>
  <si>
    <t>SIRENE FISH CHIPS</t>
  </si>
  <si>
    <t>SOCIAL CLUBE</t>
  </si>
  <si>
    <t>Sodiê</t>
  </si>
  <si>
    <t>SUSHI DA PRAÇA</t>
  </si>
  <si>
    <t>TABUA DE CARNE</t>
  </si>
  <si>
    <t>TAKE A JUICE CONTA MARCA</t>
  </si>
  <si>
    <t>THE POKE - CONTA MARCA</t>
  </si>
  <si>
    <t>TIO ARMENIO</t>
  </si>
  <si>
    <t>TONYS GRILL</t>
  </si>
  <si>
    <t>TOP PIZZA</t>
  </si>
  <si>
    <t>TOPPU SUSHI</t>
  </si>
  <si>
    <t>TORTELLE ESFIHARIA</t>
  </si>
  <si>
    <t>TRUDYSSSS PIZZARIA E RISTORANTE - CONTA PAI</t>
  </si>
  <si>
    <t>VEGAS PIZZARIA E ESFIHARIA</t>
  </si>
  <si>
    <t>VIGNOLI</t>
  </si>
  <si>
    <t>VIVA GULA</t>
  </si>
  <si>
    <t>WORLD COOKIES - CONTA MARCA</t>
  </si>
  <si>
    <t>YOSUGIRU</t>
  </si>
  <si>
    <t>ZI TEREZA</t>
  </si>
  <si>
    <t>A Esperança Pizzaria</t>
  </si>
  <si>
    <t>Açaí Puríssimo</t>
  </si>
  <si>
    <t>Adore Brigaderia Gourmet</t>
  </si>
  <si>
    <t>Al Capizza 24H</t>
  </si>
  <si>
    <t>Aleixo Pizzaria</t>
  </si>
  <si>
    <t>Alemao Sp</t>
  </si>
  <si>
    <t>Alento</t>
  </si>
  <si>
    <t>Alife Nino (Grupo Drumattos)</t>
  </si>
  <si>
    <t>All Natural</t>
  </si>
  <si>
    <t>American Cookies</t>
  </si>
  <si>
    <t>Amir</t>
  </si>
  <si>
    <t>Andiamo</t>
  </si>
  <si>
    <t>Árabis Esfiharia</t>
  </si>
  <si>
    <t>Augustinho Burger</t>
  </si>
  <si>
    <t>Bacio Di Latte</t>
  </si>
  <si>
    <t>Baked Potato</t>
  </si>
  <si>
    <t>Bala No Alvo - Marca</t>
  </si>
  <si>
    <t>Banana Food</t>
  </si>
  <si>
    <t>Barolo Trattoria Curitiba</t>
  </si>
  <si>
    <t>Baruk Esfiha E Shawarmas</t>
  </si>
  <si>
    <t>Bengo Açaí</t>
  </si>
  <si>
    <t>Bibi Sucos</t>
  </si>
  <si>
    <t>Big X Picanha</t>
  </si>
  <si>
    <t>Black Dog</t>
  </si>
  <si>
    <t>Boali (Grupo Boali)</t>
  </si>
  <si>
    <t>Bob Esponja (Nickelodeon)</t>
  </si>
  <si>
    <t>Bob'S (Bffc)</t>
  </si>
  <si>
    <t>Bocattino Box</t>
  </si>
  <si>
    <t>Botanikafe (Grupo Botanikafe)</t>
  </si>
  <si>
    <t>Boteco Curitiba</t>
  </si>
  <si>
    <t>Bottega Bernacca</t>
  </si>
  <si>
    <t>Brasileirinho Delivery Comida Típica</t>
  </si>
  <si>
    <t>Brasserie Victória</t>
  </si>
  <si>
    <t>Bravo Gastronomia</t>
  </si>
  <si>
    <t>Brutus- Cp</t>
  </si>
  <si>
    <t>Bubble Mix</t>
  </si>
  <si>
    <t>Buffalos Grill</t>
  </si>
  <si>
    <t>Burdog</t>
  </si>
  <si>
    <t>Cacau Show</t>
  </si>
  <si>
    <t>Café Cultura</t>
  </si>
  <si>
    <t>Camarada Camarão (Grupo Drumattos)</t>
  </si>
  <si>
    <t>Candreva Bar</t>
  </si>
  <si>
    <t>Cantina Do Délio - Curitiba</t>
  </si>
  <si>
    <t>Cantina Gigio Pinheiros</t>
  </si>
  <si>
    <t>Canton</t>
  </si>
  <si>
    <t>Caramelo Hamburgueria E Lanches</t>
  </si>
  <si>
    <t>Carol Coxinhas</t>
  </si>
  <si>
    <t>Casa Da Feijoada Do Paulinho</t>
  </si>
  <si>
    <t>Casa Da Sobremesa Norte-Sul</t>
  </si>
  <si>
    <t>Caseratto Food</t>
  </si>
  <si>
    <t>Castelo Alemão - Marca</t>
  </si>
  <si>
    <t>Cereja Grill</t>
  </si>
  <si>
    <t>Chef Sushi - Conta Marca</t>
  </si>
  <si>
    <t>Cheppitos</t>
  </si>
  <si>
    <t>Chocomia Sweet Atelier - Marca Oficial</t>
  </si>
  <si>
    <t>Churrascaria América Grill</t>
  </si>
  <si>
    <t>Coco Bambu</t>
  </si>
  <si>
    <t>Comendador Burguer</t>
  </si>
  <si>
    <t>Comodoro Burguer</t>
  </si>
  <si>
    <t>CHURRASCARIA SÃO JUDAS TADEU</t>
  </si>
  <si>
    <t>Cremolatto</t>
  </si>
  <si>
    <t>Cristal Pizza</t>
  </si>
  <si>
    <t>Daásu Sushi</t>
  </si>
  <si>
    <t>Delírio Tropical</t>
  </si>
  <si>
    <t>Detroit Pizzaria Cp</t>
  </si>
  <si>
    <t>Di Frango</t>
  </si>
  <si>
    <t>Di Napoli</t>
  </si>
  <si>
    <t>Divino Fogão</t>
  </si>
  <si>
    <t>Dna Da Pizza</t>
  </si>
  <si>
    <t>Dog King</t>
  </si>
  <si>
    <t>Dolcissimo</t>
  </si>
  <si>
    <t>Dominos</t>
  </si>
  <si>
    <t>Don Corleone</t>
  </si>
  <si>
    <t>Don Pepe Di Napoli</t>
  </si>
  <si>
    <t>Estação Das Pizzas</t>
  </si>
  <si>
    <t>Estação Grill</t>
  </si>
  <si>
    <t>Estella Burger</t>
  </si>
  <si>
    <t>Excelencia Do Pao</t>
  </si>
  <si>
    <t>Ferro E Farinha</t>
  </si>
  <si>
    <t>Fichips Food</t>
  </si>
  <si>
    <t>Frank &amp; Charles</t>
  </si>
  <si>
    <t>Frutaria São Paulo</t>
  </si>
  <si>
    <t>Futuro Refeitório</t>
  </si>
  <si>
    <t>Galeto Mamma Mia</t>
  </si>
  <si>
    <t>Galetos</t>
  </si>
  <si>
    <t>Gigante Nordestino</t>
  </si>
  <si>
    <t>Giraffas</t>
  </si>
  <si>
    <t>Gordão Lanches - Norte Sul</t>
  </si>
  <si>
    <t>Gourmet Avenida - Cp</t>
  </si>
  <si>
    <t>Grão Espresso</t>
  </si>
  <si>
    <t>Greenjoy</t>
  </si>
  <si>
    <t>Grupo Agua Doce Cachacaria</t>
  </si>
  <si>
    <t>Grupo Alices</t>
  </si>
  <si>
    <t>Grupo Atlântico</t>
  </si>
  <si>
    <t>Grupo Atrio</t>
  </si>
  <si>
    <t>Grupo Attimo</t>
  </si>
  <si>
    <t>Grupo Belas Artes</t>
  </si>
  <si>
    <t>Grupo BHF</t>
  </si>
  <si>
    <t>Grupo Crm (Kopenhagen)</t>
  </si>
  <si>
    <t>Grupo Di Roma Florianópolis</t>
  </si>
  <si>
    <t>Grupo Django Hamburgueria</t>
  </si>
  <si>
    <t>Grupo Dock</t>
  </si>
  <si>
    <t>Grupo Fasano</t>
  </si>
  <si>
    <t>Grupo Impettus</t>
  </si>
  <si>
    <t>Grupo Ito</t>
  </si>
  <si>
    <t>Grupo Iz</t>
  </si>
  <si>
    <t>Grupo Lago</t>
  </si>
  <si>
    <t>Grupo Lanchão Cia</t>
  </si>
  <si>
    <t>Grupo Matilda</t>
  </si>
  <si>
    <t>Grupo Mono (Sunomono)</t>
  </si>
  <si>
    <t>Grupo Mori</t>
  </si>
  <si>
    <t>Grupo Mult</t>
  </si>
  <si>
    <t>Grupo Nori (Es)</t>
  </si>
  <si>
    <t>Grupo O Brazeiro</t>
  </si>
  <si>
    <t>Grupo Pizza E Cia</t>
  </si>
  <si>
    <t>Grupo Qg</t>
  </si>
  <si>
    <t>Grupo Romana</t>
  </si>
  <si>
    <t>Grupo Rueda</t>
  </si>
  <si>
    <t>Grupo saints</t>
  </si>
  <si>
    <t>Grupo Taikan Fast Sushi</t>
  </si>
  <si>
    <t>Grupo Taisho</t>
  </si>
  <si>
    <t>Grupo The Curadoria</t>
  </si>
  <si>
    <t>Grupo Top</t>
  </si>
  <si>
    <t>Grupo Trema</t>
  </si>
  <si>
    <t>Grupo Trends Kitchen</t>
  </si>
  <si>
    <t>Grupo Varanda</t>
  </si>
  <si>
    <t>Grupo Villa Sucreê</t>
  </si>
  <si>
    <t>Guarita Bar</t>
  </si>
  <si>
    <t>Gula Gula</t>
  </si>
  <si>
    <t>Botanikafe</t>
  </si>
  <si>
    <t>Gurume</t>
  </si>
  <si>
    <t>Habib's</t>
  </si>
  <si>
    <t>Halipar Croasonho</t>
  </si>
  <si>
    <t>Halipar Griletto</t>
  </si>
  <si>
    <t>Halipar Jinjin</t>
  </si>
  <si>
    <t>Halipar Montana</t>
  </si>
  <si>
    <t>Hiro</t>
  </si>
  <si>
    <t>Kopenhagen</t>
  </si>
  <si>
    <t>Imperador Burger</t>
  </si>
  <si>
    <t>Inspire Brands (Dunkin)</t>
  </si>
  <si>
    <t>Isabela Akkari</t>
  </si>
  <si>
    <t>Itzza</t>
  </si>
  <si>
    <t>Janela Bar</t>
  </si>
  <si>
    <t>Jappa da Quitanda</t>
  </si>
  <si>
    <t>Jardim De Napoli</t>
  </si>
  <si>
    <t>Joe Pizzaria</t>
  </si>
  <si>
    <t>Johnny Joy</t>
  </si>
  <si>
    <t>Johns Burguer</t>
  </si>
  <si>
    <t>Jojo Ramen</t>
  </si>
  <si>
    <t>Jsk Burguer</t>
  </si>
  <si>
    <t>Ken Taki Kandoo</t>
  </si>
  <si>
    <t>Ki Gostoso Lanches Pizzas E Porções</t>
  </si>
  <si>
    <t>Kome Sushi</t>
  </si>
  <si>
    <t>Kosushi</t>
  </si>
  <si>
    <t>Koto By Makoto</t>
  </si>
  <si>
    <t>Kouzina</t>
  </si>
  <si>
    <t>La Braciera Pizzaria</t>
  </si>
  <si>
    <t>La Guapa</t>
  </si>
  <si>
    <t>Lacerda Lanches</t>
  </si>
  <si>
    <t>Le Blond</t>
  </si>
  <si>
    <t>Lecadô</t>
  </si>
  <si>
    <t>Lemax Hamburgueria</t>
  </si>
  <si>
    <t>Leve Mirin</t>
  </si>
  <si>
    <t>Lindt</t>
  </si>
  <si>
    <t>Madero</t>
  </si>
  <si>
    <t>Mahab Esfiharia</t>
  </si>
  <si>
    <t>Makoto Brasil</t>
  </si>
  <si>
    <t>Mana Poke (Grupo Boali)</t>
  </si>
  <si>
    <t>Manekineko</t>
  </si>
  <si>
    <t>Mania De Churrasco</t>
  </si>
  <si>
    <t>Marcos A Padaria Maringá</t>
  </si>
  <si>
    <t>Matsuya</t>
  </si>
  <si>
    <t>Mega Matte</t>
  </si>
  <si>
    <t>Mei Mei</t>
  </si>
  <si>
    <t>Meu Chef Lanches - Marca</t>
  </si>
  <si>
    <t>Inspire Brands (Dunkin Brasil)</t>
  </si>
  <si>
    <t>Oakberry</t>
  </si>
  <si>
    <t>Pati Piva</t>
  </si>
  <si>
    <t>Piola</t>
  </si>
  <si>
    <t>Pobre Juan</t>
  </si>
  <si>
    <t>Rei Do Parmegiana</t>
  </si>
  <si>
    <t>Subway</t>
  </si>
  <si>
    <t>Sushi Leblon</t>
  </si>
  <si>
    <t>Templo Da Carne Marcos Bassi</t>
  </si>
  <si>
    <t>Vivenda Do Camarão</t>
  </si>
  <si>
    <t>We Donuts</t>
  </si>
  <si>
    <t>Zapata Mexican Bar</t>
  </si>
  <si>
    <t>1900 Pizzeria</t>
  </si>
  <si>
    <t>Antaris (Johnny Rockets)</t>
  </si>
  <si>
    <t>Batata Inglesa</t>
  </si>
  <si>
    <t>Bom Beef</t>
  </si>
  <si>
    <t>Boulangerie Carioca</t>
  </si>
  <si>
    <t>Burger King</t>
  </si>
  <si>
    <t>Casa Do Pastel</t>
  </si>
  <si>
    <t>Frango No Pote</t>
  </si>
  <si>
    <t>Johnny Rockets</t>
  </si>
  <si>
    <t>KFC</t>
  </si>
  <si>
    <t>Krispy Kreme</t>
  </si>
  <si>
    <t>L'Entrecôte Paris</t>
  </si>
  <si>
    <t>Liv Up</t>
  </si>
  <si>
    <t>Naturale</t>
  </si>
  <si>
    <t>Outback</t>
  </si>
  <si>
    <t>Pizza Hut</t>
  </si>
  <si>
    <t>Popeyes</t>
  </si>
  <si>
    <t>Sukiya</t>
  </si>
  <si>
    <t>Taco Bell</t>
  </si>
  <si>
    <t>We Coffee</t>
  </si>
  <si>
    <t>Empadinha Barnabé</t>
  </si>
  <si>
    <t>O Forneiro</t>
  </si>
  <si>
    <t>La Borratxeria</t>
  </si>
  <si>
    <t>Ofner</t>
  </si>
  <si>
    <t>Companhia Do Churrasco</t>
  </si>
  <si>
    <t>AppleBee's</t>
  </si>
  <si>
    <t>SB Franquias (Sal e Brasa)</t>
  </si>
  <si>
    <t>Patroni Pizzaria</t>
  </si>
  <si>
    <t>O Açaí (Açaí Formosa)</t>
  </si>
  <si>
    <t>Oggi Sorvetes</t>
  </si>
  <si>
    <t>Nathan's Famous Brasil</t>
  </si>
  <si>
    <t>Parmê</t>
  </si>
  <si>
    <t>Monster Dog</t>
  </si>
  <si>
    <t>O Matuto Express</t>
  </si>
  <si>
    <t>Pacifico Sea Food</t>
  </si>
  <si>
    <t>Osnir</t>
  </si>
  <si>
    <t>Pão com Carne</t>
  </si>
  <si>
    <t>Perdomo Doces</t>
  </si>
  <si>
    <t>Office Gourmet</t>
  </si>
  <si>
    <t>Pamonhas do Cezar</t>
  </si>
  <si>
    <t>Grupo Madureira</t>
  </si>
  <si>
    <t>Pecorino Bar &amp; Trattoria</t>
  </si>
  <si>
    <t>Momo Gelato</t>
  </si>
  <si>
    <t>New Dog</t>
  </si>
  <si>
    <t>Milk Mellow</t>
  </si>
  <si>
    <t>Outros 500 (Outros500 Lounge Bar)</t>
  </si>
  <si>
    <t>Pabu Izakaya</t>
  </si>
  <si>
    <t>Mitsuba</t>
  </si>
  <si>
    <t>Nacional Lanches</t>
  </si>
  <si>
    <t>Paellas Pepe</t>
  </si>
  <si>
    <t>Pitico</t>
  </si>
  <si>
    <t>Pizza Do Frei</t>
  </si>
  <si>
    <t>Pizza Do Pão</t>
  </si>
  <si>
    <t>Pizza Pazza</t>
  </si>
  <si>
    <t>Pizzadog</t>
  </si>
  <si>
    <t>Pizzaria Abaré</t>
  </si>
  <si>
    <t>Pizzaria Camelo</t>
  </si>
  <si>
    <t>Pizzaria Catedral</t>
  </si>
  <si>
    <t>Pizzaria do Samba</t>
  </si>
  <si>
    <t>Poke To Wok</t>
  </si>
  <si>
    <t>Poke Up</t>
  </si>
  <si>
    <t>Ponto Final</t>
  </si>
  <si>
    <t>Qualitta Food Service</t>
  </si>
  <si>
    <t>Quick Temaki</t>
  </si>
  <si>
    <t>Quiero Cafe</t>
  </si>
  <si>
    <t>Quinta Da Oliva</t>
  </si>
  <si>
    <t>Rei Do Mate</t>
  </si>
  <si>
    <t>Ristorante Cacilda</t>
  </si>
  <si>
    <t>Ricco Burger</t>
  </si>
  <si>
    <t>Ritz</t>
  </si>
  <si>
    <t>Roasted Potato</t>
  </si>
  <si>
    <t>Rock'N Grill Curitiba</t>
  </si>
  <si>
    <t>Rock&amp;Ribs</t>
  </si>
  <si>
    <t>Sa Alexandria (Alexandria Burger)</t>
  </si>
  <si>
    <t>Sala Vip</t>
  </si>
  <si>
    <t>Sassa Sushi</t>
  </si>
  <si>
    <t>Seto Culinária</t>
  </si>
  <si>
    <t>Si Senor</t>
  </si>
  <si>
    <t>Sorvetes Frosty</t>
  </si>
  <si>
    <t>Spedini Curitiba</t>
  </si>
  <si>
    <t>Stefan Behar</t>
  </si>
  <si>
    <t>Sterna Cafe</t>
  </si>
  <si>
    <t>Sujinho (Grupo)</t>
  </si>
  <si>
    <t>Super Duper Burger</t>
  </si>
  <si>
    <t>Sushi Go</t>
  </si>
  <si>
    <t>Sushi Papaia</t>
  </si>
  <si>
    <t>Temakeria Com (Grupo Temakeria)</t>
  </si>
  <si>
    <t>Temaki Fry</t>
  </si>
  <si>
    <t>Tentazione Pizzaria</t>
  </si>
  <si>
    <t>The Black Beef</t>
  </si>
  <si>
    <t>Tiobak</t>
  </si>
  <si>
    <t>Tortelli</t>
  </si>
  <si>
    <t>Torteria</t>
  </si>
  <si>
    <t>Tragga</t>
  </si>
  <si>
    <t>Trattoria De Origem</t>
  </si>
  <si>
    <t>Tropical Banana</t>
  </si>
  <si>
    <t>T.T. Burger (Thomas Troisgros)</t>
  </si>
  <si>
    <t>Uata?!</t>
  </si>
  <si>
    <t>Varanda 1389</t>
  </si>
  <si>
    <t>Bacio di Latte</t>
  </si>
  <si>
    <t>Vila Árabe</t>
  </si>
  <si>
    <t>Babbo Giovanni</t>
  </si>
  <si>
    <t>Zé Do Hamburger</t>
  </si>
  <si>
    <t>Ben &amp; Jerry's</t>
  </si>
  <si>
    <t>Antaris Franchising</t>
  </si>
  <si>
    <t>Barra Grill</t>
  </si>
  <si>
    <t>Bentoo Restaurante</t>
  </si>
  <si>
    <t>Badebec</t>
  </si>
  <si>
    <t>Betto's Grill</t>
  </si>
  <si>
    <t>Benedito Restaurante</t>
  </si>
  <si>
    <t>Bardana Gastronomia</t>
  </si>
  <si>
    <t>Bella &amp; Paulista Pizzaria</t>
  </si>
  <si>
    <t>Restaurante America</t>
  </si>
  <si>
    <t>Bing Bing Dim Sum</t>
  </si>
  <si>
    <t>Banana Brasil</t>
  </si>
  <si>
    <t>Albis</t>
  </si>
  <si>
    <t>Big John Burgers</t>
  </si>
  <si>
    <t>Arena Mix</t>
  </si>
  <si>
    <t>Beto Batatas</t>
  </si>
  <si>
    <t>Bistro do Pipo</t>
  </si>
  <si>
    <t>Birosca do Frango</t>
  </si>
  <si>
    <t>Beer Hall</t>
  </si>
  <si>
    <t>Banqueteria</t>
  </si>
  <si>
    <t>America Fast Food</t>
  </si>
  <si>
    <t>Campo</t>
  </si>
  <si>
    <t>Valor</t>
  </si>
  <si>
    <t>Data da última atualização</t>
  </si>
  <si>
    <t>Arquivo 1 (CRM)</t>
  </si>
  <si>
    <t>[3S] Sales Planning - CRM Sheets | Aba: CRM | ID: 1fHelesWk1_KVNNgiTqliLjSdm_xdxzuv79w5l7MdQUk</t>
  </si>
  <si>
    <t>Arquivo 2 (Enriquecimento)</t>
  </si>
  <si>
    <t>LOTE_1.2.3.4.5_ENRIQUECIDO | Aba: LOTE_1_ENRIQUECIDO.csv | ID: 15k1NdSDPraw4VxeDarc9u5amYqhWqDW8MjQ0Lzs-lQc</t>
  </si>
  <si>
    <t>Chave de join</t>
  </si>
  <si>
    <t>Marca (coluna A em ambos os arquivos)</t>
  </si>
  <si>
    <t>Colunas adicionadas do Arquivo 2</t>
  </si>
  <si>
    <t>Ticket Médio | Perfil operacional | Localização Geográfica | Faturamento da rede | Lead Scoring | Percentual de Aderencia | Comparativo (Integradora atual x 3S)</t>
  </si>
  <si>
    <t>Total colunas</t>
  </si>
  <si>
    <t>59 (52 do CRM + 7 do enriquecimento)</t>
  </si>
  <si>
    <t>Como atualizar</t>
  </si>
  <si>
    <t>Peça ao agente Toqan para atualizar a base consolidada — ele relê os dois arquivos e repopula automaticamente</t>
  </si>
  <si>
    <t>Lídia Esteves</t>
  </si>
  <si>
    <t>Gabriela Roma</t>
  </si>
  <si>
    <t>0. Não Iniciado</t>
  </si>
  <si>
    <t>P</t>
  </si>
  <si>
    <t>CE</t>
  </si>
  <si>
    <t>João Biagiotti</t>
  </si>
  <si>
    <t>Diego Santos</t>
  </si>
  <si>
    <t>Delivery - Momento inadequado de abordagem (ex. 99)</t>
  </si>
  <si>
    <t xml:space="preserve">contato com coord de delivery , informou que o parceiro está em implantação com Saipos </t>
  </si>
  <si>
    <t>Delivery - Aguardando retorno / Conciliação agenda</t>
  </si>
  <si>
    <t>Delivery - Aguardando retorno executivo</t>
  </si>
  <si>
    <t>parceiros quase IMPOSSÍVEIS de contato, zero adeptos a mudanças. Posso agendar com o Eddie, mas american não rola mesmo, relação atritadísisma.</t>
  </si>
  <si>
    <t>Foi enviado mensagem para o executivo e coordenadora, aguardando retorno</t>
  </si>
  <si>
    <t>NÃO</t>
  </si>
  <si>
    <t>Pré-vendas - Em validação técnica</t>
  </si>
  <si>
    <t>Validação técnica sobre funcionalidade do KDS - cliente precisa de balanceamento por rota. Apoio: Gabriel</t>
  </si>
  <si>
    <t>Desenvolvimento solução</t>
  </si>
  <si>
    <t>-</t>
  </si>
  <si>
    <t>Parceiro - Aguardando retorno parceiro</t>
  </si>
  <si>
    <t>Parceiro não nos respondendo de forma alguma, pedi ajuda ao time de delivery mas sem sucesso também do cliente retornar.</t>
  </si>
  <si>
    <t>Outros</t>
  </si>
  <si>
    <t>Pedi apoio do KA Paulo, aguardando devolutiva.</t>
  </si>
  <si>
    <t>🍕 PIPELINE BIZDEV — RESTAURANTES iFood</t>
  </si>
  <si>
    <t>📦 TOTAL NA BASE</t>
  </si>
  <si>
    <t>🔥 LEADS ATIVOS</t>
  </si>
  <si>
    <t>✅ CONTRATOS ASSINADOS</t>
  </si>
  <si>
    <t>⚠️ EM RISCO (SLA &gt; 7d)</t>
  </si>
  <si>
    <t>❌ PERDIDOS</t>
  </si>
  <si>
    <t>🔽 FUNIL DE VENDAS</t>
  </si>
  <si>
    <t>🧑‍💼 POR RESPONSÁVEL BDR</t>
  </si>
  <si>
    <t>Etapa</t>
  </si>
  <si>
    <t>Qtd Leads</t>
  </si>
  <si>
    <t>BDR</t>
  </si>
  <si>
    <t>Ativos</t>
  </si>
  <si>
    <t>Contratos</t>
  </si>
  <si>
    <t>2. Primeiro Contato</t>
  </si>
  <si>
    <t>Stand by</t>
  </si>
  <si>
    <t>Último FUP</t>
  </si>
  <si>
    <t>Dias sem FUP</t>
  </si>
  <si>
    <t>Próximo Passo</t>
  </si>
  <si>
    <t>Status SLA</t>
  </si>
  <si>
    <t>Próximo Passo (FCA)</t>
  </si>
  <si>
    <t>Motivo (se Perdido/Stand by)</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</si>
</sst>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d/MM/yyyy"/>
    <numFmt numFmtId="165" formatCode="mmm&quot;/&quot;yyyy"/>
    <numFmt numFmtId="166" formatCode="[$R$ -416]#,##0.00"/>
    <numFmt numFmtId="167" formatCode="mm/yyyy"/>
    <numFmt numFmtId="168" formatCode="dd/mm/yyyy"/>
    <numFmt numFmtId="169" formatCode="dd&quot;/&quot;mm&quot;/&quot;yy"/>
    <numFmt numFmtId="170" formatCode="R$ #,##0.00"/>
    <numFmt numFmtId="171" formatCode="dd/mm"/>
    <numFmt numFmtId="172" formatCode="d-m"/>
    <numFmt numFmtId="173" formatCode="m/d/yyyy h:mm:ss"/>
    <numFmt numFmtId="174" formatCode="&quot;R$&quot;#,##0"/>
    <numFmt numFmtId="175" formatCode="0.0%"/>
  </numFmts>
  <fonts count="11">
    <font>
      <sz val="10.0"/>
      <color rgb="FF000000"/>
      <name val="Arial"/>
      <scheme val="minor"/>
    </font>
    <font>
      <color theme="1"/>
      <name val="Arial"/>
      <scheme val="minor"/>
    </font>
    <font>
      <u/>
      <color rgb="FF0000FF"/>
    </font>
    <font>
      <b/>
      <sz val="14.0"/>
      <color rgb="FFFFFFFF"/>
      <name val="Arial"/>
      <scheme val="minor"/>
    </font>
    <font>
      <b/>
      <color rgb="FF3E3E3E"/>
      <name val="Arial"/>
      <scheme val="minor"/>
    </font>
    <font>
      <b/>
      <sz val="28.0"/>
      <color rgb="FF3E3E3E"/>
      <name val="Arial"/>
      <scheme val="minor"/>
    </font>
    <font>
      <b/>
      <sz val="28.0"/>
      <color rgb="FF1A73E8"/>
      <name val="Arial"/>
      <scheme val="minor"/>
    </font>
    <font>
      <b/>
      <sz val="28.0"/>
      <color rgb="FF1E8449"/>
      <name val="Arial"/>
      <scheme val="minor"/>
    </font>
    <font>
      <b/>
      <sz val="28.0"/>
      <color rgb="FFF97316"/>
      <name val="Arial"/>
      <scheme val="minor"/>
    </font>
    <font>
      <b/>
      <sz val="28.0"/>
      <color rgb="FFEA1D2C"/>
      <name val="Arial"/>
      <scheme val="minor"/>
    </font>
    <font>
      <b/>
      <color rgb="FFFFFFFF"/>
      <name val="Arial"/>
      <scheme val="minor"/>
    </font>
  </fonts>
  <fills count="11">
    <fill>
      <patternFill patternType="none"/>
    </fill>
    <fill>
      <patternFill patternType="lightGray"/>
    </fill>
    <fill>
      <patternFill patternType="solid">
        <fgColor rgb="FFEAD1DC"/>
        <bgColor rgb="FFEAD1DC"/>
      </patternFill>
    </fill>
    <fill>
      <patternFill patternType="solid">
        <fgColor rgb="FFA4C2F4"/>
        <bgColor rgb="FFA4C2F4"/>
      </patternFill>
    </fill>
    <fill>
      <patternFill patternType="solid">
        <fgColor rgb="FFFF9900"/>
        <bgColor rgb="FFFF9900"/>
      </patternFill>
    </fill>
    <fill>
      <patternFill patternType="solid">
        <fgColor rgb="FFEA9999"/>
        <bgColor rgb="FFEA9999"/>
      </patternFill>
    </fill>
    <fill>
      <patternFill patternType="solid">
        <fgColor rgb="FFEA1D2C"/>
        <bgColor rgb="FFEA1D2C"/>
      </patternFill>
    </fill>
    <fill>
      <patternFill patternType="solid">
        <fgColor rgb="FFFFF3CD"/>
        <bgColor rgb="FFFFF3CD"/>
      </patternFill>
    </fill>
    <fill>
      <patternFill patternType="solid">
        <fgColor rgb="FFFFFFFF"/>
        <bgColor rgb="FFFFFFFF"/>
      </patternFill>
    </fill>
    <fill>
      <patternFill patternType="solid">
        <fgColor rgb="FFFDECEA"/>
        <bgColor rgb="FFFDECEA"/>
      </patternFill>
    </fill>
    <fill>
      <patternFill patternType="solid">
        <fgColor rgb="FFF5F5F5"/>
        <bgColor rgb="FFF5F5F5"/>
      </patternFill>
    </fill>
  </fills>
  <borders count="1">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10" xfId="0" applyAlignment="1" applyFont="1" applyNumberFormat="1">
      <alignment readingOrder="0"/>
    </xf>
    <xf borderId="0" fillId="0" fontId="1" numFmtId="0" xfId="0" applyAlignment="1" applyFont="1">
      <alignment readingOrder="0"/>
    </xf>
    <xf borderId="0" fillId="0" fontId="1" numFmtId="0" xfId="0" applyFont="1"/>
    <xf borderId="0" fillId="0" fontId="1" numFmtId="164" xfId="0" applyFont="1" applyNumberFormat="1"/>
    <xf borderId="0" fillId="0" fontId="1" numFmtId="165" xfId="0" applyFont="1" applyNumberFormat="1"/>
    <xf borderId="0" fillId="0" fontId="1" numFmtId="10" xfId="0" applyFont="1" applyNumberFormat="1"/>
    <xf borderId="0" fillId="0" fontId="1" numFmtId="166" xfId="0" applyFont="1" applyNumberFormat="1"/>
    <xf borderId="0" fillId="0" fontId="1" numFmtId="167" xfId="0" applyFont="1" applyNumberFormat="1"/>
    <xf borderId="0" fillId="0" fontId="1" numFmtId="168" xfId="0" applyFont="1" applyNumberFormat="1"/>
    <xf borderId="0" fillId="0" fontId="1" numFmtId="3" xfId="0" applyFont="1" applyNumberFormat="1"/>
    <xf borderId="0" fillId="3" fontId="1" numFmtId="0" xfId="0" applyFill="1" applyFont="1"/>
    <xf borderId="0" fillId="0" fontId="1" numFmtId="10" xfId="0" applyFont="1" applyNumberFormat="1"/>
    <xf borderId="0" fillId="4" fontId="1" numFmtId="0" xfId="0" applyFill="1" applyFont="1"/>
    <xf borderId="0" fillId="5" fontId="1" numFmtId="0" xfId="0" applyFill="1" applyFont="1"/>
    <xf borderId="0" fillId="5" fontId="1" numFmtId="164" xfId="0" applyFont="1" applyNumberFormat="1"/>
    <xf borderId="0" fillId="5" fontId="1" numFmtId="165" xfId="0" applyFont="1" applyNumberFormat="1"/>
    <xf borderId="0" fillId="5" fontId="1" numFmtId="10" xfId="0" applyFont="1" applyNumberFormat="1"/>
    <xf borderId="0" fillId="5" fontId="1" numFmtId="10" xfId="0" applyFont="1" applyNumberFormat="1"/>
    <xf borderId="0" fillId="0" fontId="1" numFmtId="169" xfId="0" applyFont="1" applyNumberFormat="1"/>
    <xf borderId="0" fillId="0" fontId="1" numFmtId="170" xfId="0" applyFont="1" applyNumberFormat="1"/>
    <xf borderId="0" fillId="0" fontId="1" numFmtId="14" xfId="0" applyFont="1" applyNumberFormat="1"/>
    <xf borderId="0" fillId="0" fontId="1" numFmtId="171" xfId="0" applyFont="1" applyNumberFormat="1"/>
    <xf borderId="0" fillId="0" fontId="1" numFmtId="164" xfId="0" applyFont="1" applyNumberFormat="1"/>
    <xf borderId="0" fillId="0" fontId="1" numFmtId="4" xfId="0" applyFont="1" applyNumberFormat="1"/>
    <xf borderId="0" fillId="0" fontId="1" numFmtId="0" xfId="0" applyAlignment="1" applyFont="1">
      <alignment horizontal="center"/>
    </xf>
    <xf borderId="0" fillId="0" fontId="1" numFmtId="172" xfId="0" applyAlignment="1" applyFont="1" applyNumberFormat="1">
      <alignment horizontal="center"/>
    </xf>
    <xf borderId="0" fillId="0" fontId="1" numFmtId="3" xfId="0" applyAlignment="1" applyFont="1" applyNumberFormat="1">
      <alignment horizontal="center"/>
    </xf>
    <xf borderId="0" fillId="0" fontId="1" numFmtId="173" xfId="0" applyFont="1" applyNumberFormat="1"/>
    <xf borderId="0" fillId="0" fontId="1" numFmtId="174" xfId="0" applyFont="1" applyNumberFormat="1"/>
    <xf borderId="0" fillId="0" fontId="1" numFmtId="9" xfId="0" applyFont="1" applyNumberFormat="1"/>
    <xf borderId="0" fillId="0" fontId="1" numFmtId="1" xfId="0" applyFont="1" applyNumberFormat="1"/>
    <xf borderId="0" fillId="0" fontId="1" numFmtId="175" xfId="0" applyFont="1" applyNumberFormat="1"/>
    <xf borderId="0" fillId="0" fontId="1" numFmtId="172" xfId="0" applyFont="1" applyNumberFormat="1"/>
    <xf borderId="0" fillId="0" fontId="2" numFmtId="0" xfId="0" applyFont="1"/>
    <xf borderId="0" fillId="6" fontId="3" numFmtId="0" xfId="0" applyAlignment="1" applyFill="1" applyFont="1">
      <alignment readingOrder="0"/>
    </xf>
    <xf borderId="0" fillId="6" fontId="3" numFmtId="0" xfId="0" applyFont="1"/>
    <xf borderId="0" fillId="7" fontId="4" numFmtId="0" xfId="0" applyAlignment="1" applyFill="1" applyFont="1">
      <alignment readingOrder="0"/>
    </xf>
    <xf borderId="0" fillId="7" fontId="4" numFmtId="0" xfId="0" applyFont="1"/>
    <xf borderId="0" fillId="8" fontId="5" numFmtId="0" xfId="0" applyAlignment="1" applyFill="1" applyFont="1">
      <alignment horizontal="center"/>
    </xf>
    <xf borderId="0" fillId="8" fontId="6" numFmtId="0" xfId="0" applyAlignment="1" applyFont="1">
      <alignment horizontal="center"/>
    </xf>
    <xf borderId="0" fillId="7" fontId="7" numFmtId="0" xfId="0" applyAlignment="1" applyFont="1">
      <alignment horizontal="center"/>
    </xf>
    <xf borderId="0" fillId="9" fontId="8" numFmtId="0" xfId="0" applyAlignment="1" applyFill="1" applyFont="1">
      <alignment horizontal="center"/>
    </xf>
    <xf borderId="0" fillId="9" fontId="9" numFmtId="0" xfId="0" applyAlignment="1" applyFont="1">
      <alignment horizontal="center"/>
    </xf>
    <xf borderId="0" fillId="6" fontId="10" numFmtId="0" xfId="0" applyAlignment="1" applyFont="1">
      <alignment readingOrder="0"/>
    </xf>
    <xf borderId="0" fillId="6" fontId="10" numFmtId="0" xfId="0" applyFont="1"/>
    <xf borderId="0" fillId="10" fontId="4" numFmtId="0" xfId="0" applyAlignment="1" applyFill="1" applyFont="1">
      <alignment readingOrder="0"/>
    </xf>
    <xf borderId="0" fillId="10" fontId="4" numFmtId="0" xfId="0" applyFont="1"/>
  </cellXfs>
  <cellStyles count="1">
    <cellStyle xfId="0" name="Normal" builtinId="0"/>
  </cellStyles>
  <dxfs count="3">
    <dxf>
      <font>
        <color rgb="FF1E8449"/>
      </font>
      <fill>
        <patternFill patternType="solid">
          <fgColor rgb="FFE8F5E9"/>
          <bgColor rgb="FFE8F5E9"/>
        </patternFill>
      </fill>
      <border/>
    </dxf>
    <dxf>
      <font>
        <color rgb="FFEA1D2C"/>
      </font>
      <fill>
        <patternFill patternType="solid">
          <fgColor rgb="FFFDECEA"/>
          <bgColor rgb="FFFDECEA"/>
        </patternFill>
      </fill>
      <border/>
    </dxf>
    <dxf>
      <font/>
      <fill>
        <patternFill patternType="solid">
          <fgColor rgb="FFFFF3CD"/>
          <bgColor rgb="FFFFF3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maisentregas.com" TargetMode="External"/><Relationship Id="rId22" Type="http://schemas.openxmlformats.org/officeDocument/2006/relationships/hyperlink" Target="http://maisentregas.com" TargetMode="External"/><Relationship Id="rId21" Type="http://schemas.openxmlformats.org/officeDocument/2006/relationships/hyperlink" Target="http://maisentregas.com" TargetMode="External"/><Relationship Id="rId24" Type="http://schemas.openxmlformats.org/officeDocument/2006/relationships/hyperlink" Target="http://maisentregas.com" TargetMode="External"/><Relationship Id="rId23" Type="http://schemas.openxmlformats.org/officeDocument/2006/relationships/hyperlink" Target="http://maisentregas.com" TargetMode="External"/><Relationship Id="rId1" Type="http://schemas.openxmlformats.org/officeDocument/2006/relationships/hyperlink" Target="http://maisentregas.com" TargetMode="External"/><Relationship Id="rId2" Type="http://schemas.openxmlformats.org/officeDocument/2006/relationships/hyperlink" Target="http://maisentregas.com" TargetMode="External"/><Relationship Id="rId3" Type="http://schemas.openxmlformats.org/officeDocument/2006/relationships/hyperlink" Target="http://maisentregas.com" TargetMode="External"/><Relationship Id="rId4" Type="http://schemas.openxmlformats.org/officeDocument/2006/relationships/hyperlink" Target="http://maisentregas.com" TargetMode="External"/><Relationship Id="rId9" Type="http://schemas.openxmlformats.org/officeDocument/2006/relationships/hyperlink" Target="http://maisentregas.com" TargetMode="External"/><Relationship Id="rId26" Type="http://schemas.openxmlformats.org/officeDocument/2006/relationships/hyperlink" Target="http://maisentregas.com" TargetMode="External"/><Relationship Id="rId25" Type="http://schemas.openxmlformats.org/officeDocument/2006/relationships/hyperlink" Target="http://maisentregas.com" TargetMode="External"/><Relationship Id="rId28" Type="http://schemas.openxmlformats.org/officeDocument/2006/relationships/hyperlink" Target="http://maisentregas.com" TargetMode="External"/><Relationship Id="rId27" Type="http://schemas.openxmlformats.org/officeDocument/2006/relationships/hyperlink" Target="http://maisentregas.com" TargetMode="External"/><Relationship Id="rId5" Type="http://schemas.openxmlformats.org/officeDocument/2006/relationships/hyperlink" Target="http://maisentregas.com" TargetMode="External"/><Relationship Id="rId6" Type="http://schemas.openxmlformats.org/officeDocument/2006/relationships/hyperlink" Target="http://maisentregas.com" TargetMode="External"/><Relationship Id="rId29" Type="http://schemas.openxmlformats.org/officeDocument/2006/relationships/hyperlink" Target="http://maisentregas.com" TargetMode="External"/><Relationship Id="rId7" Type="http://schemas.openxmlformats.org/officeDocument/2006/relationships/hyperlink" Target="http://maisentregas.com" TargetMode="External"/><Relationship Id="rId8" Type="http://schemas.openxmlformats.org/officeDocument/2006/relationships/hyperlink" Target="http://maisentregas.com" TargetMode="External"/><Relationship Id="rId31" Type="http://schemas.openxmlformats.org/officeDocument/2006/relationships/hyperlink" Target="http://maisentregas.com" TargetMode="External"/><Relationship Id="rId30" Type="http://schemas.openxmlformats.org/officeDocument/2006/relationships/hyperlink" Target="http://maisentregas.com" TargetMode="External"/><Relationship Id="rId11" Type="http://schemas.openxmlformats.org/officeDocument/2006/relationships/hyperlink" Target="http://maisentregas.com" TargetMode="External"/><Relationship Id="rId33" Type="http://schemas.openxmlformats.org/officeDocument/2006/relationships/hyperlink" Target="http://maisentregas.com" TargetMode="External"/><Relationship Id="rId10" Type="http://schemas.openxmlformats.org/officeDocument/2006/relationships/hyperlink" Target="http://maisentregas.com" TargetMode="External"/><Relationship Id="rId32" Type="http://schemas.openxmlformats.org/officeDocument/2006/relationships/hyperlink" Target="http://maisentregas.com" TargetMode="External"/><Relationship Id="rId13" Type="http://schemas.openxmlformats.org/officeDocument/2006/relationships/hyperlink" Target="http://maisentregas.com" TargetMode="External"/><Relationship Id="rId35" Type="http://schemas.openxmlformats.org/officeDocument/2006/relationships/drawing" Target="../drawings/drawing5.xml"/><Relationship Id="rId12" Type="http://schemas.openxmlformats.org/officeDocument/2006/relationships/hyperlink" Target="http://maisentregas.com" TargetMode="External"/><Relationship Id="rId34" Type="http://schemas.openxmlformats.org/officeDocument/2006/relationships/hyperlink" Target="http://maisentregas.com" TargetMode="External"/><Relationship Id="rId15" Type="http://schemas.openxmlformats.org/officeDocument/2006/relationships/hyperlink" Target="http://maisentregas.com" TargetMode="External"/><Relationship Id="rId14" Type="http://schemas.openxmlformats.org/officeDocument/2006/relationships/hyperlink" Target="http://maisentregas.com" TargetMode="External"/><Relationship Id="rId17" Type="http://schemas.openxmlformats.org/officeDocument/2006/relationships/hyperlink" Target="http://maisentregas.com" TargetMode="External"/><Relationship Id="rId16" Type="http://schemas.openxmlformats.org/officeDocument/2006/relationships/hyperlink" Target="http://maisentregas.com" TargetMode="External"/><Relationship Id="rId19" Type="http://schemas.openxmlformats.org/officeDocument/2006/relationships/hyperlink" Target="http://maisentregas.com" TargetMode="External"/><Relationship Id="rId18" Type="http://schemas.openxmlformats.org/officeDocument/2006/relationships/hyperlink" Target="http://maisentregas.com"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25"/>
    <col customWidth="1" min="2" max="2" width="14.63"/>
    <col customWidth="1" min="3" max="3" width="15.88"/>
    <col customWidth="1" min="4" max="4" width="25.5"/>
    <col customWidth="1" min="5" max="5" width="43.88"/>
    <col customWidth="1" min="6" max="6" width="10.38"/>
    <col customWidth="1" min="7" max="7" width="15.5"/>
    <col customWidth="1" min="8" max="8" width="34.75"/>
    <col customWidth="1" min="9" max="9" width="8.63"/>
    <col customWidth="1" min="10" max="10" width="25.5"/>
    <col customWidth="1" min="11" max="11" width="13.13"/>
    <col customWidth="1" min="12" max="12" width="11.5"/>
    <col customWidth="1" min="13" max="13" width="15.75"/>
    <col customWidth="1" min="14" max="14" width="11.63"/>
    <col customWidth="1" min="15" max="15" width="8.38"/>
    <col customWidth="1" min="16" max="16" width="15.5"/>
    <col customWidth="1" min="17" max="17" width="16.38"/>
    <col customWidth="1" min="18" max="18" width="9.5"/>
    <col customWidth="1" min="19" max="19" width="11.0"/>
    <col customWidth="1" min="20" max="20" width="10.5"/>
    <col customWidth="1" min="21" max="21" width="11.25"/>
    <col customWidth="1" min="22" max="22" width="31.88"/>
    <col customWidth="1" min="23" max="23" width="10.5"/>
    <col customWidth="1" min="24" max="24" width="14.75"/>
    <col customWidth="1" min="25" max="26" width="10.13"/>
    <col customWidth="1" min="27" max="27" width="12.75"/>
    <col customWidth="1" min="28" max="28" width="14.0"/>
    <col customWidth="1" min="29" max="29" width="10.63"/>
    <col customWidth="1" min="30" max="30" width="29.5"/>
    <col customWidth="1" min="31" max="31" width="9.88"/>
    <col customWidth="1" min="32" max="32" width="10.88"/>
    <col customWidth="1" min="33" max="33" width="11.38"/>
    <col customWidth="1" min="34" max="34" width="22.63"/>
    <col customWidth="1" min="35" max="35" width="18.88"/>
    <col customWidth="1" min="36" max="36" width="17.38"/>
    <col customWidth="1" min="37" max="37" width="21.88"/>
    <col customWidth="1" min="38" max="38" width="16.38"/>
    <col customWidth="1" min="39" max="39" width="11.25"/>
    <col customWidth="1" min="40" max="40" width="17.13"/>
    <col customWidth="1" min="41" max="41" width="13.0"/>
    <col customWidth="1" min="42" max="42" width="6.13"/>
    <col customWidth="1" min="43" max="43" width="18.25"/>
    <col customWidth="1" min="44" max="44" width="22.75"/>
    <col customWidth="1" min="45" max="45" width="18.63"/>
    <col customWidth="1" min="46" max="46" width="20.13"/>
    <col customWidth="1" min="47" max="47" width="20.5"/>
    <col customWidth="1" min="48" max="48" width="24.0"/>
    <col customWidth="1" min="49" max="49" width="18.0"/>
    <col customWidth="1" min="50" max="50" width="15.63"/>
    <col customWidth="1" min="51" max="51" width="39.25"/>
    <col customWidth="1" min="52" max="52" width="32.0"/>
    <col customWidth="1" min="53" max="53" width="10.38"/>
    <col customWidth="1" min="54" max="54" width="50.88"/>
    <col customWidth="1" min="55" max="55" width="18.38"/>
    <col customWidth="1" min="56" max="56" width="16.5"/>
    <col customWidth="1" min="57" max="57" width="10.88"/>
    <col customWidth="1" min="58" max="58" width="19.25"/>
    <col customWidth="1" min="59" max="64" width="28.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2" t="s">
        <v>60</v>
      </c>
      <c r="BJ1" s="1"/>
      <c r="BK1" s="1"/>
      <c r="BL1" s="1"/>
    </row>
    <row r="2" hidden="1">
      <c r="A2" s="3" t="str">
        <f>IFERROR(__xludf.DUMMYFUNCTION("IMPORTRANGE(""https://docs.google.com/spreadsheets/d/1fHelesWk1_KVNNgiTqliLjSdm_xdxzuv79w5l7MdQUk"",""CRM!B5:BA1707"")"),"A PIZZA DA MOOCA")</f>
        <v>A PIZZA DA MOOCA</v>
      </c>
      <c r="B2" s="4" t="str">
        <f>IFERROR(__xludf.DUMMYFUNCTION("""COMPUTED_VALUE"""),"Lídia Esteves")</f>
        <v>Lídia Esteves</v>
      </c>
      <c r="C2" s="4" t="str">
        <f>IFERROR(__xludf.DUMMYFUNCTION("""COMPUTED_VALUE"""),"Gabriela Roma")</f>
        <v>Gabriela Roma</v>
      </c>
      <c r="D2" s="4" t="str">
        <f>IFERROR(__xludf.DUMMYFUNCTION("""COMPUTED_VALUE"""),"4. Diagnóstico")</f>
        <v>4. Diagnóstico</v>
      </c>
      <c r="E2" s="4" t="str">
        <f>IFERROR(__xludf.DUMMYFUNCTION("""COMPUTED_VALUE"""),"Pré-vendas - Em validação técnica")</f>
        <v>Pré-vendas - Em validação técnica</v>
      </c>
      <c r="F2" s="4" t="str">
        <f>IFERROR(__xludf.DUMMYFUNCTION("""COMPUTED_VALUE"""),"P")</f>
        <v>P</v>
      </c>
      <c r="G2" s="5">
        <f>IFERROR(__xludf.DUMMYFUNCTION("""COMPUTED_VALUE"""),46155.0)</f>
        <v>46155</v>
      </c>
      <c r="H2" s="4" t="str">
        <f>IFERROR(__xludf.DUMMYFUNCTION("""COMPUTED_VALUE"""),"Agenda 12/05 presencial com a Rafa, parceiro tem interesse em colocar totem em 1 das lojas, sao 4 lojas no totem, só que 3 socios diferentes, o cliente que falamos ontem Derek é sócio da pizza onesta e pizza da mocca shop, usa aloha e quer mudar de pdv pr"&amp;"a ter totem gratuito por ser do ifood, vamos enviar proposta mas nao sabemos se irá avanças por querer serviço gratuito do ifood, Samuca encontrará o socio de todas as lojas em chicago e vai conversar com ele")</f>
        <v>Agenda 12/05 presencial com a Rafa, parceiro tem interesse em colocar totem em 1 das lojas, sao 4 lojas no totem, só que 3 socios diferentes, o cliente que falamos ontem Derek é sócio da pizza onesta e pizza da mocca shop, usa aloha e quer mudar de pdv pra ter totem gratuito por ser do ifood, vamos enviar proposta mas nao sabemos se irá avanças por querer serviço gratuito do ifood, Samuca encontrará o socio de todas as lojas em chicago e vai conversar com ele</v>
      </c>
      <c r="I2" s="6">
        <f>IFERROR(__xludf.DUMMYFUNCTION("""COMPUTED_VALUE"""),46118.67255412037)</f>
        <v>46118.67255</v>
      </c>
      <c r="J2" s="6">
        <f>IFERROR(__xludf.DUMMYFUNCTION("""COMPUTED_VALUE"""),46155.48445200232)</f>
        <v>46155.48445</v>
      </c>
      <c r="K2" s="6">
        <f>IFERROR(__xludf.DUMMYFUNCTION("""COMPUTED_VALUE"""),46155.484533877316)</f>
        <v>46155.48453</v>
      </c>
      <c r="L2" s="6">
        <f>IFERROR(__xludf.DUMMYFUNCTION("""COMPUTED_VALUE"""),46155.48459680556)</f>
        <v>46155.4846</v>
      </c>
      <c r="M2" s="4"/>
      <c r="N2" s="4"/>
      <c r="O2" s="4"/>
      <c r="P2" s="4"/>
      <c r="Q2" s="4"/>
      <c r="R2" s="4"/>
      <c r="S2" s="4"/>
      <c r="T2" s="4"/>
      <c r="U2" s="4"/>
      <c r="V2" s="4"/>
      <c r="W2" s="4"/>
      <c r="X2" s="4"/>
      <c r="Y2" s="4"/>
      <c r="Z2" s="4"/>
      <c r="AA2" s="4">
        <f>IFERROR(__xludf.DUMMYFUNCTION("""COMPUTED_VALUE"""),4.0)</f>
        <v>4</v>
      </c>
      <c r="AB2" s="4" t="str">
        <f>IFERROR(__xludf.DUMMYFUNCTION("""COMPUTED_VALUE"""),"CE")</f>
        <v>CE</v>
      </c>
      <c r="AC2" s="4" t="str">
        <f>IFERROR(__xludf.DUMMYFUNCTION("""COMPUTED_VALUE"""),"Sim")</f>
        <v>Sim</v>
      </c>
      <c r="AD2" s="4" t="str">
        <f>IFERROR(__xludf.DUMMYFUNCTION("""COMPUTED_VALUE"""),"Ifood")</f>
        <v>Ifood</v>
      </c>
      <c r="AE2" s="4"/>
      <c r="AF2" s="4"/>
      <c r="AG2" s="4"/>
      <c r="AH2" s="4">
        <f>IFERROR(__xludf.DUMMYFUNCTION("""COMPUTED_VALUE"""),4.0)</f>
        <v>4</v>
      </c>
      <c r="AI2" s="4">
        <f>IFERROR(__xludf.DUMMYFUNCTION("""COMPUTED_VALUE"""),0.0)</f>
        <v>0</v>
      </c>
      <c r="AJ2" s="4" t="str">
        <f>IFERROR(__xludf.DUMMYFUNCTION("""COMPUTED_VALUE"""),"linx e aloha")</f>
        <v>linx e aloha</v>
      </c>
      <c r="AK2" s="4" t="str">
        <f>IFERROR(__xludf.DUMMYFUNCTION("""COMPUTED_VALUE"""),"table sevice, quick service")</f>
        <v>table sevice, quick service</v>
      </c>
      <c r="AL2" s="4" t="str">
        <f>IFERROR(__xludf.DUMMYFUNCTION("""COMPUTED_VALUE"""),"SIM")</f>
        <v>SIM</v>
      </c>
      <c r="AM2" s="4" t="str">
        <f>IFERROR(__xludf.DUMMYFUNCTION("""COMPUTED_VALUE"""),"FY27")</f>
        <v>FY27</v>
      </c>
      <c r="AN2" s="4"/>
      <c r="AO2" s="4">
        <f>IFERROR(__xludf.DUMMYFUNCTION("""COMPUTED_VALUE"""),60.0)</f>
        <v>60</v>
      </c>
      <c r="AP2" s="4" t="str">
        <f>IFERROR(__xludf.DUMMYFUNCTION("""COMPUTED_VALUE"""),"SP")</f>
        <v>SP</v>
      </c>
      <c r="AQ2" s="4" t="str">
        <f>IFERROR(__xludf.DUMMYFUNCTION("""COMPUTED_VALUE"""),"GABRIEL CAMACHO")</f>
        <v>GABRIEL CAMACHO</v>
      </c>
      <c r="AR2" s="4" t="str">
        <f>IFERROR(__xludf.DUMMYFUNCTION("""COMPUTED_VALUE"""),"KAIQUE RIBEIRO")</f>
        <v>KAIQUE RIBEIRO</v>
      </c>
      <c r="AS2" s="4" t="str">
        <f>IFERROR(__xludf.DUMMYFUNCTION("""COMPUTED_VALUE"""),"NATHALIE MERTENS")</f>
        <v>NATHALIE MERTENS</v>
      </c>
      <c r="AT2" s="4" t="str">
        <f>IFERROR(__xludf.DUMMYFUNCTION("""COMPUTED_VALUE"""),"MATHEUS LESSA")</f>
        <v>MATHEUS LESSA</v>
      </c>
      <c r="AU2" s="4">
        <f>IFERROR(__xludf.DUMMYFUNCTION("""COMPUTED_VALUE"""),0.0)</f>
        <v>0</v>
      </c>
      <c r="AV2" s="4">
        <f>IFERROR(__xludf.DUMMYFUNCTION("""COMPUTED_VALUE"""),0.0)</f>
        <v>0</v>
      </c>
      <c r="AW2" s="4">
        <f>IFERROR(__xludf.DUMMYFUNCTION("""COMPUTED_VALUE"""),0.0)</f>
        <v>0</v>
      </c>
      <c r="AX2" s="4">
        <f>IFERROR(__xludf.DUMMYFUNCTION("""COMPUTED_VALUE"""),0.0)</f>
        <v>0</v>
      </c>
      <c r="AY2" s="4"/>
      <c r="AZ2" s="4" t="str">
        <f>IFERROR(__xludf.DUMMYFUNCTION("""COMPUTED_VALUE"""),"Brasileira")</f>
        <v>Brasileira</v>
      </c>
      <c r="BA2" s="4">
        <f>IFERROR(__xludf.DUMMYFUNCTION("ARRAYFORMULA(IFERROR(VLOOKUP(A2:A1000,IMPORTRANGE(""https://docs.google.com/spreadsheets/d/15k1NdSDPraw4VxeDarc9u5amYqhWqDW8MjQ0Lzs-lQc"",""LOTE_1_ENRIQUECIDO.csv!A:I""),3,0),""""))"),95.0)</f>
        <v>95</v>
      </c>
      <c r="BB2" s="4" t="str">
        <f>IFERROR(__xludf.DUMMYFUNCTION("ARRAYFORMULA(IFERROR(VLOOKUP(A2:A1000,IMPORTRANGE(""https://docs.google.com/spreadsheets/d/15k1NdSDPraw4VxeDarc9u5amYqhWqDW8MjQ0Lzs-lQc"",""LOTE_1_ENRIQUECIDO.csv!A:I""),4,0),""""))"),"Fast Casual - Pizza Napoletana")</f>
        <v>Fast Casual - Pizza Napoletana</v>
      </c>
      <c r="BC2" s="4" t="str">
        <f>IFERROR(__xludf.DUMMYFUNCTION("ARRAYFORMULA(IFERROR(VLOOKUP(A2:A1000,IMPORTRANGE(""https://docs.google.com/spreadsheets/d/15k1NdSDPraw4VxeDarc9u5amYqhWqDW8MjQ0Lzs-lQc"",""LOTE_1_ENRIQUECIDO.csv!A:I""),5,0),""""))"),"São Paulo/SP (3 unidades)")</f>
        <v>São Paulo/SP (3 unidades)</v>
      </c>
      <c r="BD2" s="4" t="str">
        <f>IFERROR(__xludf.DUMMYFUNCTION("ARRAYFORMULA(IFERROR(VLOOKUP(A2:A1000,IMPORTRANGE(""https://docs.google.com/spreadsheets/d/15k1NdSDPraw4VxeDarc9u5amYqhWqDW8MjQ0Lzs-lQc"",""LOTE_1_ENRIQUECIDO.csv!A:I""),6,0),""""))"),"")</f>
        <v/>
      </c>
      <c r="BE2" s="4">
        <f>IFERROR(__xludf.DUMMYFUNCTION("ARRAYFORMULA(IFERROR(VLOOKUP(A2:A1000,IMPORTRANGE(""https://docs.google.com/spreadsheets/d/15k1NdSDPraw4VxeDarc9u5amYqhWqDW8MjQ0Lzs-lQc"",""LOTE_1_ENRIQUECIDO.csv!A:I""),7,0),""""))"),65.0)</f>
        <v>65</v>
      </c>
      <c r="BF2" s="4">
        <f>IFERROR(__xludf.DUMMYFUNCTION("ARRAYFORMULA(IFERROR(VLOOKUP(A2:A1000,IMPORTRANGE(""https://docs.google.com/spreadsheets/d/15k1NdSDPraw4VxeDarc9u5amYqhWqDW8MjQ0Lzs-lQc"",""LOTE_1_ENRIQUECIDO.csv!A:I""),8,0),""""))"),0.75)</f>
        <v>0.75</v>
      </c>
      <c r="BG2" s="4" t="str">
        <f>IFERROR(__xludf.DUMMYFUNCTION("ARRAYFORMULA(IFERROR(VLOOKUP(A2:A1000,IMPORTRANGE(""https://docs.google.com/spreadsheets/d/15k1NdSDPraw4VxeDarc9u5amYqhWqDW8MjQ0Lzs-lQc"",""LOTE_1_ENRIQUECIDO.csv!A:I""),9,0),""""))"),"Aderência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 s="4" t="str">
        <f t="array" ref="BH2:BH1000">IFERROR(VLOOKUP(A2:A1000,'_Fonte_A2'!K:X,13,0),"")</f>
        <v>Stone Co.</v>
      </c>
      <c r="BI2" s="7">
        <f t="array" ref="BI2:BI1000">IFERROR(VLOOKUP(A2:A1000,'_Fonte_A2'!K:X,14,0),"")</f>
        <v>0.4444444444</v>
      </c>
    </row>
    <row r="3" hidden="1">
      <c r="A3" s="4" t="str">
        <f>IFERROR(__xludf.DUMMYFUNCTION("""COMPUTED_VALUE"""),"ACAI BEAT")</f>
        <v>ACAI BEAT</v>
      </c>
      <c r="B3" s="4" t="str">
        <f>IFERROR(__xludf.DUMMYFUNCTION("""COMPUTED_VALUE"""),"Lídia Esteves")</f>
        <v>Lídia Esteves</v>
      </c>
      <c r="C3" s="4" t="str">
        <f>IFERROR(__xludf.DUMMYFUNCTION("""COMPUTED_VALUE"""),"Gabriela Roma")</f>
        <v>Gabriela Roma</v>
      </c>
      <c r="D3" s="4" t="str">
        <f>IFERROR(__xludf.DUMMYFUNCTION("""COMPUTED_VALUE"""),"0. Não Iniciado")</f>
        <v>0. Não Iniciado</v>
      </c>
      <c r="E3" s="4"/>
      <c r="F3" s="4" t="str">
        <f>IFERROR(__xludf.DUMMYFUNCTION("""COMPUTED_VALUE"""),"M")</f>
        <v>M</v>
      </c>
      <c r="G3" s="4"/>
      <c r="H3" s="4"/>
      <c r="I3" s="4"/>
      <c r="J3" s="4"/>
      <c r="K3" s="4"/>
      <c r="L3" s="4"/>
      <c r="M3" s="4"/>
      <c r="N3" s="4"/>
      <c r="O3" s="4"/>
      <c r="P3" s="4"/>
      <c r="Q3" s="4"/>
      <c r="R3" s="4"/>
      <c r="S3" s="4"/>
      <c r="T3" s="4"/>
      <c r="U3" s="4"/>
      <c r="V3" s="4"/>
      <c r="W3" s="4"/>
      <c r="X3" s="4"/>
      <c r="Y3" s="4"/>
      <c r="Z3" s="4"/>
      <c r="AA3" s="4">
        <f>IFERROR(__xludf.DUMMYFUNCTION("""COMPUTED_VALUE"""),30.0)</f>
        <v>30</v>
      </c>
      <c r="AB3" s="4" t="str">
        <f>IFERROR(__xludf.DUMMYFUNCTION("""COMPUTED_VALUE"""),"-")</f>
        <v>-</v>
      </c>
      <c r="AC3" s="4" t="str">
        <f>IFERROR(__xludf.DUMMYFUNCTION("""COMPUTED_VALUE"""),"Sim")</f>
        <v>Sim</v>
      </c>
      <c r="AD3" s="4">
        <f>IFERROR(__xludf.DUMMYFUNCTION("""COMPUTED_VALUE"""),0.0)</f>
        <v>0</v>
      </c>
      <c r="AE3" s="4"/>
      <c r="AF3" s="4"/>
      <c r="AG3" s="4"/>
      <c r="AH3" s="4"/>
      <c r="AI3" s="4"/>
      <c r="AJ3" s="4"/>
      <c r="AK3" s="4"/>
      <c r="AL3" s="4"/>
      <c r="AM3" s="4" t="str">
        <f>IFERROR(__xludf.DUMMYFUNCTION("""COMPUTED_VALUE"""),"FY27")</f>
        <v>FY27</v>
      </c>
      <c r="AN3" s="4"/>
      <c r="AO3" s="4">
        <f>IFERROR(__xludf.DUMMYFUNCTION("""COMPUTED_VALUE"""),45553.0)</f>
        <v>45553</v>
      </c>
      <c r="AP3" s="4" t="str">
        <f>IFERROR(__xludf.DUMMYFUNCTION("""COMPUTED_VALUE"""),"RJ")</f>
        <v>RJ</v>
      </c>
      <c r="AQ3" s="4" t="str">
        <f>IFERROR(__xludf.DUMMYFUNCTION("""COMPUTED_VALUE"""),"EMILLY BIASI")</f>
        <v>EMILLY BIASI</v>
      </c>
      <c r="AR3" s="4">
        <f>IFERROR(__xludf.DUMMYFUNCTION("""COMPUTED_VALUE"""),0.0)</f>
        <v>0</v>
      </c>
      <c r="AS3" s="4" t="str">
        <f>IFERROR(__xludf.DUMMYFUNCTION("""COMPUTED_VALUE"""),"ALAN HADDAD")</f>
        <v>ALAN HADDAD</v>
      </c>
      <c r="AT3" s="4" t="str">
        <f>IFERROR(__xludf.DUMMYFUNCTION("""COMPUTED_VALUE"""),"ISABELA DINIZ")</f>
        <v>ISABELA DINIZ</v>
      </c>
      <c r="AU3" s="4">
        <f>IFERROR(__xludf.DUMMYFUNCTION("""COMPUTED_VALUE"""),0.0)</f>
        <v>0</v>
      </c>
      <c r="AV3" s="4">
        <f>IFERROR(__xludf.DUMMYFUNCTION("""COMPUTED_VALUE"""),0.0)</f>
        <v>0</v>
      </c>
      <c r="AW3" s="4">
        <f>IFERROR(__xludf.DUMMYFUNCTION("""COMPUTED_VALUE"""),0.0)</f>
        <v>0</v>
      </c>
      <c r="AX3" s="4">
        <f>IFERROR(__xludf.DUMMYFUNCTION("""COMPUTED_VALUE"""),0.0)</f>
        <v>0</v>
      </c>
      <c r="AY3" s="4" t="str">
        <f>IFERROR(__xludf.DUMMYFUNCTION("""COMPUTED_VALUE"""),"Cardápio Web")</f>
        <v>Cardápio Web</v>
      </c>
      <c r="AZ3" s="4" t="str">
        <f>IFERROR(__xludf.DUMMYFUNCTION("""COMPUTED_VALUE"""),"Saudável")</f>
        <v>Saudável</v>
      </c>
      <c r="BA3" s="4">
        <f>IFERROR(__xludf.DUMMYFUNCTION("""COMPUTED_VALUE"""),30.0)</f>
        <v>30</v>
      </c>
      <c r="BB3" s="4" t="str">
        <f>IFERROR(__xludf.DUMMYFUNCTION("""COMPUTED_VALUE"""),"QSR - Açaí Bowl")</f>
        <v>QSR - Açaí Bowl</v>
      </c>
      <c r="BC3" s="4" t="str">
        <f>IFERROR(__xludf.DUMMYFUNCTION("""COMPUTED_VALUE"""),"MT, SP (interior), MG, RJ")</f>
        <v>MT, SP (interior), MG, RJ</v>
      </c>
      <c r="BD3" s="4"/>
      <c r="BE3" s="4">
        <f>IFERROR(__xludf.DUMMYFUNCTION("""COMPUTED_VALUE"""),75.0)</f>
        <v>75</v>
      </c>
      <c r="BF3" s="4">
        <f>IFERROR(__xludf.DUMMYFUNCTION("""COMPUTED_VALUE"""),0.9)</f>
        <v>0.9</v>
      </c>
      <c r="BG3"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3" s="4" t="s">
        <v>61</v>
      </c>
      <c r="BI3" s="7">
        <v>0.6666666666666666</v>
      </c>
    </row>
    <row r="4" hidden="1">
      <c r="A4" s="4" t="str">
        <f>IFERROR(__xludf.DUMMYFUNCTION("""COMPUTED_VALUE"""),"ACAI DA CIDADE")</f>
        <v>ACAI DA CIDADE</v>
      </c>
      <c r="B4" s="4" t="str">
        <f>IFERROR(__xludf.DUMMYFUNCTION("""COMPUTED_VALUE"""),"João Biagiotti")</f>
        <v>João Biagiotti</v>
      </c>
      <c r="C4" s="4" t="str">
        <f>IFERROR(__xludf.DUMMYFUNCTION("""COMPUTED_VALUE"""),"Diego Santos")</f>
        <v>Diego Santos</v>
      </c>
      <c r="D4" s="4" t="str">
        <f>IFERROR(__xludf.DUMMYFUNCTION("""COMPUTED_VALUE"""),"0. Não Iniciado")</f>
        <v>0. Não Iniciado</v>
      </c>
      <c r="E4" s="4"/>
      <c r="F4" s="4" t="str">
        <f>IFERROR(__xludf.DUMMYFUNCTION("""COMPUTED_VALUE"""),"P")</f>
        <v>P</v>
      </c>
      <c r="G4" s="4"/>
      <c r="H4" s="4"/>
      <c r="I4" s="4"/>
      <c r="J4" s="4"/>
      <c r="K4" s="4"/>
      <c r="L4" s="4"/>
      <c r="M4" s="4"/>
      <c r="N4" s="4"/>
      <c r="O4" s="4"/>
      <c r="P4" s="4"/>
      <c r="Q4" s="4"/>
      <c r="R4" s="4"/>
      <c r="S4" s="4"/>
      <c r="T4" s="4"/>
      <c r="U4" s="4"/>
      <c r="V4" s="4"/>
      <c r="W4" s="4"/>
      <c r="X4" s="4"/>
      <c r="Y4" s="4"/>
      <c r="Z4" s="4"/>
      <c r="AA4" s="4">
        <f>IFERROR(__xludf.DUMMYFUNCTION("""COMPUTED_VALUE"""),14.0)</f>
        <v>14</v>
      </c>
      <c r="AB4" s="4" t="str">
        <f>IFERROR(__xludf.DUMMYFUNCTION("""COMPUTED_VALUE"""),"CE")</f>
        <v>CE</v>
      </c>
      <c r="AC4" s="4" t="str">
        <f>IFERROR(__xludf.DUMMYFUNCTION("""COMPUTED_VALUE"""),"Sim")</f>
        <v>Sim</v>
      </c>
      <c r="AD4" s="4">
        <f>IFERROR(__xludf.DUMMYFUNCTION("""COMPUTED_VALUE"""),0.0)</f>
        <v>0</v>
      </c>
      <c r="AE4" s="4"/>
      <c r="AF4" s="4"/>
      <c r="AG4" s="4"/>
      <c r="AH4" s="4"/>
      <c r="AI4" s="4"/>
      <c r="AJ4" s="4"/>
      <c r="AK4" s="4"/>
      <c r="AL4" s="4"/>
      <c r="AM4" s="4" t="str">
        <f>IFERROR(__xludf.DUMMYFUNCTION("""COMPUTED_VALUE"""),"FY27")</f>
        <v>FY27</v>
      </c>
      <c r="AN4" s="4"/>
      <c r="AO4" s="4">
        <f>IFERROR(__xludf.DUMMYFUNCTION("""COMPUTED_VALUE"""),45553.0)</f>
        <v>45553</v>
      </c>
      <c r="AP4" s="4" t="str">
        <f>IFERROR(__xludf.DUMMYFUNCTION("""COMPUTED_VALUE"""),"SP")</f>
        <v>SP</v>
      </c>
      <c r="AQ4" s="4" t="str">
        <f>IFERROR(__xludf.DUMMYFUNCTION("""COMPUTED_VALUE"""),"CARLOS ALBRECHT")</f>
        <v>CARLOS ALBRECHT</v>
      </c>
      <c r="AR4" s="4">
        <f>IFERROR(__xludf.DUMMYFUNCTION("""COMPUTED_VALUE"""),0.0)</f>
        <v>0</v>
      </c>
      <c r="AS4" s="4" t="str">
        <f>IFERROR(__xludf.DUMMYFUNCTION("""COMPUTED_VALUE"""),"FABIO DONATO")</f>
        <v>FABIO DONATO</v>
      </c>
      <c r="AT4" s="4" t="str">
        <f>IFERROR(__xludf.DUMMYFUNCTION("""COMPUTED_VALUE"""),"GILSON JUNIOR")</f>
        <v>GILSON JUNIOR</v>
      </c>
      <c r="AU4" s="4">
        <f>IFERROR(__xludf.DUMMYFUNCTION("""COMPUTED_VALUE"""),0.0)</f>
        <v>0</v>
      </c>
      <c r="AV4" s="4">
        <f>IFERROR(__xludf.DUMMYFUNCTION("""COMPUTED_VALUE"""),0.0)</f>
        <v>0</v>
      </c>
      <c r="AW4" s="4">
        <f>IFERROR(__xludf.DUMMYFUNCTION("""COMPUTED_VALUE"""),0.0)</f>
        <v>0</v>
      </c>
      <c r="AX4" s="4">
        <f>IFERROR(__xludf.DUMMYFUNCTION("""COMPUTED_VALUE"""),0.0)</f>
        <v>0</v>
      </c>
      <c r="AY4" s="4"/>
      <c r="AZ4" s="4" t="str">
        <f>IFERROR(__xludf.DUMMYFUNCTION("""COMPUTED_VALUE"""),"Açaí")</f>
        <v>Açaí</v>
      </c>
      <c r="BA4" s="4">
        <f>IFERROR(__xludf.DUMMYFUNCTION("""COMPUTED_VALUE"""),25.0)</f>
        <v>25</v>
      </c>
      <c r="BB4" s="4" t="str">
        <f>IFERROR(__xludf.DUMMYFUNCTION("""COMPUTED_VALUE"""),"QSR - Açaí")</f>
        <v>QSR - Açaí</v>
      </c>
      <c r="BC4" s="4" t="str">
        <f>IFERROR(__xludf.DUMMYFUNCTION("""COMPUTED_VALUE"""),"Interior SP (Jundiaí, Campinas, Piracicaba)")</f>
        <v>Interior SP (Jundiaí, Campinas, Piracicaba)</v>
      </c>
      <c r="BD4" s="4"/>
      <c r="BE4" s="4">
        <f>IFERROR(__xludf.DUMMYFUNCTION("""COMPUTED_VALUE"""),70.0)</f>
        <v>70</v>
      </c>
      <c r="BF4" s="4">
        <f>IFERROR(__xludf.DUMMYFUNCTION("""COMPUTED_VALUE"""),0.9)</f>
        <v>0.9</v>
      </c>
      <c r="BG4"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4" s="4" t="s">
        <v>62</v>
      </c>
      <c r="BI4" s="7">
        <v>0.8571428571428571</v>
      </c>
    </row>
    <row r="5" hidden="1">
      <c r="A5" s="4" t="str">
        <f>IFERROR(__xludf.DUMMYFUNCTION("""COMPUTED_VALUE"""),"ACAI DA HORA - CONTA MARCA")</f>
        <v>ACAI DA HORA - CONTA MARCA</v>
      </c>
      <c r="B5" s="4" t="str">
        <f>IFERROR(__xludf.DUMMYFUNCTION("""COMPUTED_VALUE"""),"João Biagiotti")</f>
        <v>João Biagiotti</v>
      </c>
      <c r="C5" s="4" t="str">
        <f>IFERROR(__xludf.DUMMYFUNCTION("""COMPUTED_VALUE"""),"Diego Santos")</f>
        <v>Diego Santos</v>
      </c>
      <c r="D5" s="4" t="str">
        <f>IFERROR(__xludf.DUMMYFUNCTION("""COMPUTED_VALUE"""),"9. Contrato assinado")</f>
        <v>9. Contrato assinado</v>
      </c>
      <c r="E5" s="4"/>
      <c r="F5" s="4" t="str">
        <f>IFERROR(__xludf.DUMMYFUNCTION("""COMPUTED_VALUE"""),"P")</f>
        <v>P</v>
      </c>
      <c r="G5" s="4"/>
      <c r="H5" s="4"/>
      <c r="I5" s="4"/>
      <c r="J5" s="4"/>
      <c r="K5" s="4"/>
      <c r="L5" s="4"/>
      <c r="M5" s="4"/>
      <c r="N5" s="4"/>
      <c r="O5" s="6">
        <f>IFERROR(__xludf.DUMMYFUNCTION("""COMPUTED_VALUE"""),46128.44601299769)</f>
        <v>46128.44601</v>
      </c>
      <c r="P5" s="4"/>
      <c r="Q5" s="4"/>
      <c r="R5" s="4"/>
      <c r="S5" s="4"/>
      <c r="T5" s="4"/>
      <c r="U5" s="4"/>
      <c r="V5" s="4"/>
      <c r="W5" s="8">
        <f>IFERROR(__xludf.DUMMYFUNCTION("""COMPUTED_VALUE"""),500.0)</f>
        <v>500</v>
      </c>
      <c r="X5" s="4">
        <f>IFERROR(__xludf.DUMMYFUNCTION("""COMPUTED_VALUE"""),24.0)</f>
        <v>24</v>
      </c>
      <c r="Y5" s="8">
        <f>IFERROR(__xludf.DUMMYFUNCTION("""COMPUTED_VALUE"""),1200.0)</f>
        <v>1200</v>
      </c>
      <c r="Z5" s="8">
        <f>IFERROR(__xludf.DUMMYFUNCTION("""COMPUTED_VALUE"""),3000.0)</f>
        <v>3000</v>
      </c>
      <c r="AA5" s="4">
        <f>IFERROR(__xludf.DUMMYFUNCTION("""COMPUTED_VALUE"""),14.0)</f>
        <v>14</v>
      </c>
      <c r="AB5" s="4" t="str">
        <f>IFERROR(__xludf.DUMMYFUNCTION("""COMPUTED_VALUE"""),"CE")</f>
        <v>CE</v>
      </c>
      <c r="AC5" s="4" t="str">
        <f>IFERROR(__xludf.DUMMYFUNCTION("""COMPUTED_VALUE"""),"Sim")</f>
        <v>Sim</v>
      </c>
      <c r="AD5" s="4" t="str">
        <f>IFERROR(__xludf.DUMMYFUNCTION("""COMPUTED_VALUE"""),"Ifood")</f>
        <v>Ifood</v>
      </c>
      <c r="AE5" s="4">
        <f>IFERROR(__xludf.DUMMYFUNCTION("""COMPUTED_VALUE"""),2.0)</f>
        <v>2</v>
      </c>
      <c r="AF5" s="9">
        <f>IFERROR(__xludf.DUMMYFUNCTION("""COMPUTED_VALUE"""),46113.0)</f>
        <v>46113</v>
      </c>
      <c r="AG5" s="4" t="str">
        <f>IFERROR(__xludf.DUMMYFUNCTION("""COMPUTED_VALUE"""),"2 meses")</f>
        <v>2 meses</v>
      </c>
      <c r="AH5" s="4"/>
      <c r="AI5" s="4"/>
      <c r="AJ5" s="4"/>
      <c r="AK5" s="4"/>
      <c r="AL5" s="4"/>
      <c r="AM5" s="4" t="str">
        <f>IFERROR(__xludf.DUMMYFUNCTION("""COMPUTED_VALUE"""),"FY27")</f>
        <v>FY27</v>
      </c>
      <c r="AN5" s="4"/>
      <c r="AO5" s="4">
        <f>IFERROR(__xludf.DUMMYFUNCTION("""COMPUTED_VALUE"""),45553.0)</f>
        <v>45553</v>
      </c>
      <c r="AP5" s="4" t="str">
        <f>IFERROR(__xludf.DUMMYFUNCTION("""COMPUTED_VALUE"""),"MG")</f>
        <v>MG</v>
      </c>
      <c r="AQ5" s="4" t="str">
        <f>IFERROR(__xludf.DUMMYFUNCTION("""COMPUTED_VALUE"""),"TAMIRES DIAS")</f>
        <v>TAMIRES DIAS</v>
      </c>
      <c r="AR5" s="4" t="str">
        <f>IFERROR(__xludf.DUMMYFUNCTION("""COMPUTED_VALUE"""),"MARIANA ACRUX")</f>
        <v>MARIANA ACRUX</v>
      </c>
      <c r="AS5" s="4" t="str">
        <f>IFERROR(__xludf.DUMMYFUNCTION("""COMPUTED_VALUE"""),"#REF!")</f>
        <v>#REF!</v>
      </c>
      <c r="AT5" s="4" t="str">
        <f>IFERROR(__xludf.DUMMYFUNCTION("""COMPUTED_VALUE"""),"#REF!")</f>
        <v>#REF!</v>
      </c>
      <c r="AU5" s="4" t="str">
        <f>IFERROR(__xludf.DUMMYFUNCTION("""COMPUTED_VALUE"""),"#REF!")</f>
        <v>#REF!</v>
      </c>
      <c r="AV5" s="4" t="str">
        <f>IFERROR(__xludf.DUMMYFUNCTION("""COMPUTED_VALUE"""),"#REF!")</f>
        <v>#REF!</v>
      </c>
      <c r="AW5" s="4" t="str">
        <f>IFERROR(__xludf.DUMMYFUNCTION("""COMPUTED_VALUE"""),"#REF!")</f>
        <v>#REF!</v>
      </c>
      <c r="AX5" s="4" t="str">
        <f>IFERROR(__xludf.DUMMYFUNCTION("""COMPUTED_VALUE"""),"#REF!")</f>
        <v>#REF!</v>
      </c>
      <c r="AY5" s="4"/>
      <c r="AZ5" s="4" t="str">
        <f>IFERROR(__xludf.DUMMYFUNCTION("""COMPUTED_VALUE"""),"Açaí")</f>
        <v>Açaí</v>
      </c>
      <c r="BA5" s="4" t="str">
        <f>IFERROR(__xludf.DUMMYFUNCTION("""COMPUTED_VALUE"""),"")</f>
        <v/>
      </c>
      <c r="BB5" s="4" t="str">
        <f>IFERROR(__xludf.DUMMYFUNCTION("""COMPUTED_VALUE"""),"")</f>
        <v/>
      </c>
      <c r="BC5" s="4" t="str">
        <f>IFERROR(__xludf.DUMMYFUNCTION("""COMPUTED_VALUE"""),"")</f>
        <v/>
      </c>
      <c r="BD5" s="4" t="str">
        <f>IFERROR(__xludf.DUMMYFUNCTION("""COMPUTED_VALUE"""),"")</f>
        <v/>
      </c>
      <c r="BE5" s="4" t="str">
        <f>IFERROR(__xludf.DUMMYFUNCTION("""COMPUTED_VALUE"""),"")</f>
        <v/>
      </c>
      <c r="BF5" s="4" t="str">
        <f>IFERROR(__xludf.DUMMYFUNCTION("""COMPUTED_VALUE"""),"")</f>
        <v/>
      </c>
      <c r="BG5" s="4" t="str">
        <f>IFERROR(__xludf.DUMMYFUNCTION("""COMPUTED_VALUE"""),"")</f>
        <v/>
      </c>
      <c r="BH5" s="4" t="s">
        <v>63</v>
      </c>
      <c r="BI5" s="7" t="s">
        <v>63</v>
      </c>
    </row>
    <row r="6" hidden="1">
      <c r="A6" s="4" t="str">
        <f>IFERROR(__xludf.DUMMYFUNCTION("""COMPUTED_VALUE"""),"ACAI DO FORTE - CONTA PAI")</f>
        <v>ACAI DO FORTE - CONTA PAI</v>
      </c>
      <c r="B6" s="4" t="str">
        <f>IFERROR(__xludf.DUMMYFUNCTION("""COMPUTED_VALUE"""),"Lídia Esteves")</f>
        <v>Lídia Esteves</v>
      </c>
      <c r="C6" s="4" t="str">
        <f>IFERROR(__xludf.DUMMYFUNCTION("""COMPUTED_VALUE"""),"Gabriela Roma")</f>
        <v>Gabriela Roma</v>
      </c>
      <c r="D6" s="4" t="str">
        <f>IFERROR(__xludf.DUMMYFUNCTION("""COMPUTED_VALUE"""),"0. Não Iniciado")</f>
        <v>0. Não Iniciado</v>
      </c>
      <c r="E6" s="4"/>
      <c r="F6" s="4" t="str">
        <f>IFERROR(__xludf.DUMMYFUNCTION("""COMPUTED_VALUE"""),"P")</f>
        <v>P</v>
      </c>
      <c r="G6" s="4"/>
      <c r="H6" s="4"/>
      <c r="I6" s="4"/>
      <c r="J6" s="4"/>
      <c r="K6" s="4"/>
      <c r="L6" s="4"/>
      <c r="M6" s="4"/>
      <c r="N6" s="4"/>
      <c r="O6" s="4"/>
      <c r="P6" s="4"/>
      <c r="Q6" s="4"/>
      <c r="R6" s="4"/>
      <c r="S6" s="4"/>
      <c r="T6" s="4"/>
      <c r="U6" s="4"/>
      <c r="V6" s="4"/>
      <c r="W6" s="4"/>
      <c r="X6" s="4"/>
      <c r="Y6" s="4"/>
      <c r="Z6" s="4"/>
      <c r="AA6" s="4">
        <f>IFERROR(__xludf.DUMMYFUNCTION("""COMPUTED_VALUE"""),14.0)</f>
        <v>14</v>
      </c>
      <c r="AB6" s="4" t="str">
        <f>IFERROR(__xludf.DUMMYFUNCTION("""COMPUTED_VALUE"""),"CE")</f>
        <v>CE</v>
      </c>
      <c r="AC6" s="4" t="str">
        <f>IFERROR(__xludf.DUMMYFUNCTION("""COMPUTED_VALUE"""),"Sim")</f>
        <v>Sim</v>
      </c>
      <c r="AD6" s="4" t="str">
        <f>IFERROR(__xludf.DUMMYFUNCTION("""COMPUTED_VALUE"""),"Ifood")</f>
        <v>Ifood</v>
      </c>
      <c r="AE6" s="4"/>
      <c r="AF6" s="4"/>
      <c r="AG6" s="4"/>
      <c r="AH6" s="4"/>
      <c r="AI6" s="4"/>
      <c r="AJ6" s="4"/>
      <c r="AK6" s="4"/>
      <c r="AL6" s="4"/>
      <c r="AM6" s="4" t="str">
        <f>IFERROR(__xludf.DUMMYFUNCTION("""COMPUTED_VALUE"""),"FY27")</f>
        <v>FY27</v>
      </c>
      <c r="AN6" s="4"/>
      <c r="AO6" s="4">
        <f>IFERROR(__xludf.DUMMYFUNCTION("""COMPUTED_VALUE"""),45553.0)</f>
        <v>45553</v>
      </c>
      <c r="AP6" s="4" t="str">
        <f>IFERROR(__xludf.DUMMYFUNCTION("""COMPUTED_VALUE"""),"RJ")</f>
        <v>RJ</v>
      </c>
      <c r="AQ6" s="4" t="str">
        <f>IFERROR(__xludf.DUMMYFUNCTION("""COMPUTED_VALUE"""),"JUAN CHAROTTA")</f>
        <v>JUAN CHAROTTA</v>
      </c>
      <c r="AR6" s="4" t="str">
        <f>IFERROR(__xludf.DUMMYFUNCTION("""COMPUTED_VALUE"""),"MARCELLA GUIMARAES")</f>
        <v>MARCELLA GUIMARAES</v>
      </c>
      <c r="AS6" s="4" t="str">
        <f>IFERROR(__xludf.DUMMYFUNCTION("""COMPUTED_VALUE"""),"NATHALIE MERTENS")</f>
        <v>NATHALIE MERTENS</v>
      </c>
      <c r="AT6" s="4" t="str">
        <f>IFERROR(__xludf.DUMMYFUNCTION("""COMPUTED_VALUE"""),"NATALIA COUTINHO")</f>
        <v>NATALIA COUTINHO</v>
      </c>
      <c r="AU6" s="4">
        <f>IFERROR(__xludf.DUMMYFUNCTION("""COMPUTED_VALUE"""),0.0)</f>
        <v>0</v>
      </c>
      <c r="AV6" s="4">
        <f>IFERROR(__xludf.DUMMYFUNCTION("""COMPUTED_VALUE"""),0.0)</f>
        <v>0</v>
      </c>
      <c r="AW6" s="4">
        <f>IFERROR(__xludf.DUMMYFUNCTION("""COMPUTED_VALUE"""),0.0)</f>
        <v>0</v>
      </c>
      <c r="AX6" s="4">
        <f>IFERROR(__xludf.DUMMYFUNCTION("""COMPUTED_VALUE"""),0.0)</f>
        <v>0</v>
      </c>
      <c r="AY6" s="4"/>
      <c r="AZ6" s="4" t="str">
        <f>IFERROR(__xludf.DUMMYFUNCTION("""COMPUTED_VALUE"""),"Açaí")</f>
        <v>Açaí</v>
      </c>
      <c r="BA6" s="4" t="str">
        <f>IFERROR(__xludf.DUMMYFUNCTION("""COMPUTED_VALUE"""),"")</f>
        <v/>
      </c>
      <c r="BB6" s="4" t="str">
        <f>IFERROR(__xludf.DUMMYFUNCTION("""COMPUTED_VALUE"""),"")</f>
        <v/>
      </c>
      <c r="BC6" s="4" t="str">
        <f>IFERROR(__xludf.DUMMYFUNCTION("""COMPUTED_VALUE"""),"")</f>
        <v/>
      </c>
      <c r="BD6" s="4" t="str">
        <f>IFERROR(__xludf.DUMMYFUNCTION("""COMPUTED_VALUE"""),"")</f>
        <v/>
      </c>
      <c r="BE6" s="4" t="str">
        <f>IFERROR(__xludf.DUMMYFUNCTION("""COMPUTED_VALUE"""),"")</f>
        <v/>
      </c>
      <c r="BF6" s="4" t="str">
        <f>IFERROR(__xludf.DUMMYFUNCTION("""COMPUTED_VALUE"""),"")</f>
        <v/>
      </c>
      <c r="BG6" s="4" t="str">
        <f>IFERROR(__xludf.DUMMYFUNCTION("""COMPUTED_VALUE"""),"")</f>
        <v/>
      </c>
      <c r="BH6" s="4" t="s">
        <v>63</v>
      </c>
      <c r="BI6" s="7" t="s">
        <v>63</v>
      </c>
    </row>
    <row r="7" hidden="1">
      <c r="A7" s="4" t="str">
        <f>IFERROR(__xludf.DUMMYFUNCTION("""COMPUTED_VALUE"""),"ACAI LAFRESCO")</f>
        <v>ACAI LAFRESCO</v>
      </c>
      <c r="B7" s="4" t="str">
        <f>IFERROR(__xludf.DUMMYFUNCTION("""COMPUTED_VALUE"""),"João Biagiotti")</f>
        <v>João Biagiotti</v>
      </c>
      <c r="C7" s="4" t="str">
        <f>IFERROR(__xludf.DUMMYFUNCTION("""COMPUTED_VALUE"""),"Diego Santos")</f>
        <v>Diego Santos</v>
      </c>
      <c r="D7" s="4" t="str">
        <f>IFERROR(__xludf.DUMMYFUNCTION("""COMPUTED_VALUE"""),"0. Não Iniciado")</f>
        <v>0. Não Iniciado</v>
      </c>
      <c r="E7" s="4"/>
      <c r="F7" s="4" t="str">
        <f>IFERROR(__xludf.DUMMYFUNCTION("""COMPUTED_VALUE"""),"P")</f>
        <v>P</v>
      </c>
      <c r="G7" s="4"/>
      <c r="H7" s="4"/>
      <c r="I7" s="4"/>
      <c r="J7" s="4"/>
      <c r="K7" s="4"/>
      <c r="L7" s="4"/>
      <c r="M7" s="4"/>
      <c r="N7" s="4"/>
      <c r="O7" s="4"/>
      <c r="P7" s="4"/>
      <c r="Q7" s="4"/>
      <c r="R7" s="4"/>
      <c r="S7" s="4"/>
      <c r="T7" s="4"/>
      <c r="U7" s="4"/>
      <c r="V7" s="4"/>
      <c r="W7" s="4"/>
      <c r="X7" s="4"/>
      <c r="Y7" s="4"/>
      <c r="Z7" s="4"/>
      <c r="AA7" s="4">
        <f>IFERROR(__xludf.DUMMYFUNCTION("""COMPUTED_VALUE"""),5.0)</f>
        <v>5</v>
      </c>
      <c r="AB7" s="4" t="str">
        <f>IFERROR(__xludf.DUMMYFUNCTION("""COMPUTED_VALUE"""),"CE")</f>
        <v>CE</v>
      </c>
      <c r="AC7" s="4" t="str">
        <f>IFERROR(__xludf.DUMMYFUNCTION("""COMPUTED_VALUE"""),"Sim")</f>
        <v>Sim</v>
      </c>
      <c r="AD7" s="4" t="str">
        <f>IFERROR(__xludf.DUMMYFUNCTION("""COMPUTED_VALUE"""),"Ifood")</f>
        <v>Ifood</v>
      </c>
      <c r="AE7" s="4"/>
      <c r="AF7" s="4"/>
      <c r="AG7" s="4"/>
      <c r="AH7" s="4"/>
      <c r="AI7" s="4"/>
      <c r="AJ7" s="4"/>
      <c r="AK7" s="4"/>
      <c r="AL7" s="4"/>
      <c r="AM7" s="4" t="str">
        <f>IFERROR(__xludf.DUMMYFUNCTION("""COMPUTED_VALUE"""),"FY27")</f>
        <v>FY27</v>
      </c>
      <c r="AN7" s="4"/>
      <c r="AO7" s="4">
        <f>IFERROR(__xludf.DUMMYFUNCTION("""COMPUTED_VALUE"""),45553.0)</f>
        <v>45553</v>
      </c>
      <c r="AP7" s="4" t="str">
        <f>IFERROR(__xludf.DUMMYFUNCTION("""COMPUTED_VALUE"""),"SP")</f>
        <v>SP</v>
      </c>
      <c r="AQ7" s="4" t="str">
        <f>IFERROR(__xludf.DUMMYFUNCTION("""COMPUTED_VALUE"""),"CARLOS ALBRECHT")</f>
        <v>CARLOS ALBRECHT</v>
      </c>
      <c r="AR7" s="4" t="str">
        <f>IFERROR(__xludf.DUMMYFUNCTION("""COMPUTED_VALUE"""),"GUILHERME VIEIRA")</f>
        <v>GUILHERME VIEIRA</v>
      </c>
      <c r="AS7" s="4" t="str">
        <f>IFERROR(__xludf.DUMMYFUNCTION("""COMPUTED_VALUE"""),"ALAN HADDAD")</f>
        <v>ALAN HADDAD</v>
      </c>
      <c r="AT7" s="4" t="str">
        <f>IFERROR(__xludf.DUMMYFUNCTION("""COMPUTED_VALUE"""),"ISABELA DINIZ")</f>
        <v>ISABELA DINIZ</v>
      </c>
      <c r="AU7" s="4">
        <f>IFERROR(__xludf.DUMMYFUNCTION("""COMPUTED_VALUE"""),0.0)</f>
        <v>0</v>
      </c>
      <c r="AV7" s="4">
        <f>IFERROR(__xludf.DUMMYFUNCTION("""COMPUTED_VALUE"""),0.0)</f>
        <v>0</v>
      </c>
      <c r="AW7" s="4">
        <f>IFERROR(__xludf.DUMMYFUNCTION("""COMPUTED_VALUE"""),0.0)</f>
        <v>0</v>
      </c>
      <c r="AX7" s="4">
        <f>IFERROR(__xludf.DUMMYFUNCTION("""COMPUTED_VALUE"""),0.0)</f>
        <v>0</v>
      </c>
      <c r="AY7" s="4"/>
      <c r="AZ7" s="4" t="str">
        <f>IFERROR(__xludf.DUMMYFUNCTION("""COMPUTED_VALUE"""),"Saudável")</f>
        <v>Saudável</v>
      </c>
      <c r="BA7" s="4" t="str">
        <f>IFERROR(__xludf.DUMMYFUNCTION("""COMPUTED_VALUE"""),"")</f>
        <v/>
      </c>
      <c r="BB7" s="4" t="str">
        <f>IFERROR(__xludf.DUMMYFUNCTION("""COMPUTED_VALUE"""),"")</f>
        <v/>
      </c>
      <c r="BC7" s="4" t="str">
        <f>IFERROR(__xludf.DUMMYFUNCTION("""COMPUTED_VALUE"""),"")</f>
        <v/>
      </c>
      <c r="BD7" s="4" t="str">
        <f>IFERROR(__xludf.DUMMYFUNCTION("""COMPUTED_VALUE"""),"")</f>
        <v/>
      </c>
      <c r="BE7" s="4" t="str">
        <f>IFERROR(__xludf.DUMMYFUNCTION("""COMPUTED_VALUE"""),"")</f>
        <v/>
      </c>
      <c r="BF7" s="4" t="str">
        <f>IFERROR(__xludf.DUMMYFUNCTION("""COMPUTED_VALUE"""),"")</f>
        <v/>
      </c>
      <c r="BG7" s="4" t="str">
        <f>IFERROR(__xludf.DUMMYFUNCTION("""COMPUTED_VALUE"""),"")</f>
        <v/>
      </c>
      <c r="BH7" s="4" t="s">
        <v>63</v>
      </c>
      <c r="BI7" s="7" t="s">
        <v>63</v>
      </c>
    </row>
    <row r="8" hidden="1">
      <c r="A8" s="4" t="str">
        <f>IFERROR(__xludf.DUMMYFUNCTION("""COMPUTED_VALUE"""),"ADEGA DO BOI TERESINA")</f>
        <v>ADEGA DO BOI TERESINA</v>
      </c>
      <c r="B8" s="4" t="str">
        <f>IFERROR(__xludf.DUMMYFUNCTION("""COMPUTED_VALUE"""),"João Biagiotti")</f>
        <v>João Biagiotti</v>
      </c>
      <c r="C8" s="4" t="str">
        <f>IFERROR(__xludf.DUMMYFUNCTION("""COMPUTED_VALUE"""),"Diego Santos")</f>
        <v>Diego Santos</v>
      </c>
      <c r="D8" s="4" t="str">
        <f>IFERROR(__xludf.DUMMYFUNCTION("""COMPUTED_VALUE"""),"0. Não Iniciado")</f>
        <v>0. Não Iniciado</v>
      </c>
      <c r="E8" s="4"/>
      <c r="F8" s="4" t="str">
        <f>IFERROR(__xludf.DUMMYFUNCTION("""COMPUTED_VALUE"""),"P")</f>
        <v>P</v>
      </c>
      <c r="G8" s="4"/>
      <c r="H8" s="4"/>
      <c r="I8" s="4"/>
      <c r="J8" s="4"/>
      <c r="K8" s="4"/>
      <c r="L8" s="4"/>
      <c r="M8" s="4"/>
      <c r="N8" s="4"/>
      <c r="O8" s="4"/>
      <c r="P8" s="4"/>
      <c r="Q8" s="4"/>
      <c r="R8" s="4"/>
      <c r="S8" s="4"/>
      <c r="T8" s="4"/>
      <c r="U8" s="4"/>
      <c r="V8" s="4"/>
      <c r="W8" s="4"/>
      <c r="X8" s="4"/>
      <c r="Y8" s="4"/>
      <c r="Z8" s="4"/>
      <c r="AA8" s="4">
        <f>IFERROR(__xludf.DUMMYFUNCTION("""COMPUTED_VALUE"""),5.0)</f>
        <v>5</v>
      </c>
      <c r="AB8" s="4" t="str">
        <f>IFERROR(__xludf.DUMMYFUNCTION("""COMPUTED_VALUE"""),"CE")</f>
        <v>CE</v>
      </c>
      <c r="AC8" s="4" t="str">
        <f>IFERROR(__xludf.DUMMYFUNCTION("""COMPUTED_VALUE"""),"Sim")</f>
        <v>Sim</v>
      </c>
      <c r="AD8" s="4" t="str">
        <f>IFERROR(__xludf.DUMMYFUNCTION("""COMPUTED_VALUE"""),"Ifood")</f>
        <v>Ifood</v>
      </c>
      <c r="AE8" s="4"/>
      <c r="AF8" s="4"/>
      <c r="AG8" s="4"/>
      <c r="AH8" s="4"/>
      <c r="AI8" s="4"/>
      <c r="AJ8" s="4"/>
      <c r="AK8" s="4"/>
      <c r="AL8" s="4"/>
      <c r="AM8" s="4" t="str">
        <f>IFERROR(__xludf.DUMMYFUNCTION("""COMPUTED_VALUE"""),"FY27")</f>
        <v>FY27</v>
      </c>
      <c r="AN8" s="4"/>
      <c r="AO8" s="4">
        <f>IFERROR(__xludf.DUMMYFUNCTION("""COMPUTED_VALUE"""),45553.0)</f>
        <v>45553</v>
      </c>
      <c r="AP8" s="4" t="str">
        <f>IFERROR(__xludf.DUMMYFUNCTION("""COMPUTED_VALUE"""),"PI")</f>
        <v>PI</v>
      </c>
      <c r="AQ8" s="4" t="str">
        <f>IFERROR(__xludf.DUMMYFUNCTION("""COMPUTED_VALUE"""),"GEORGE STEIN")</f>
        <v>GEORGE STEIN</v>
      </c>
      <c r="AR8" s="4" t="str">
        <f>IFERROR(__xludf.DUMMYFUNCTION("""COMPUTED_VALUE"""),"RAULLI SOARES")</f>
        <v>RAULLI SOARES</v>
      </c>
      <c r="AS8" s="4" t="str">
        <f>IFERROR(__xludf.DUMMYFUNCTION("""COMPUTED_VALUE"""),"THIAGO ROMAGNOLE")</f>
        <v>THIAGO ROMAGNOLE</v>
      </c>
      <c r="AT8" s="4" t="str">
        <f>IFERROR(__xludf.DUMMYFUNCTION("""COMPUTED_VALUE"""),"EDUARDO VAZ")</f>
        <v>EDUARDO VAZ</v>
      </c>
      <c r="AU8" s="4">
        <f>IFERROR(__xludf.DUMMYFUNCTION("""COMPUTED_VALUE"""),0.0)</f>
        <v>0</v>
      </c>
      <c r="AV8" s="4">
        <f>IFERROR(__xludf.DUMMYFUNCTION("""COMPUTED_VALUE"""),0.0)</f>
        <v>0</v>
      </c>
      <c r="AW8" s="4">
        <f>IFERROR(__xludf.DUMMYFUNCTION("""COMPUTED_VALUE"""),0.0)</f>
        <v>0</v>
      </c>
      <c r="AX8" s="4">
        <f>IFERROR(__xludf.DUMMYFUNCTION("""COMPUTED_VALUE"""),0.0)</f>
        <v>0</v>
      </c>
      <c r="AY8" s="4"/>
      <c r="AZ8" s="4" t="str">
        <f>IFERROR(__xludf.DUMMYFUNCTION("""COMPUTED_VALUE"""),"Doces &amp; Bolos")</f>
        <v>Doces &amp; Bolos</v>
      </c>
      <c r="BA8" s="4">
        <f>IFERROR(__xludf.DUMMYFUNCTION("""COMPUTED_VALUE"""),120.0)</f>
        <v>120</v>
      </c>
      <c r="BB8" s="4" t="str">
        <f>IFERROR(__xludf.DUMMYFUNCTION("""COMPUTED_VALUE"""),"Table Service - Churrascaria")</f>
        <v>Table Service - Churrascaria</v>
      </c>
      <c r="BC8" s="4" t="str">
        <f>IFERROR(__xludf.DUMMYFUNCTION("""COMPUTED_VALUE"""),"Teresina/PI")</f>
        <v>Teresina/PI</v>
      </c>
      <c r="BD8" s="4"/>
      <c r="BE8" s="4">
        <f>IFERROR(__xludf.DUMMYFUNCTION("""COMPUTED_VALUE"""),55.0)</f>
        <v>55</v>
      </c>
      <c r="BF8" s="4">
        <f>IFERROR(__xludf.DUMMYFUNCTION("""COMPUTED_VALUE"""),0.65)</f>
        <v>0.65</v>
      </c>
      <c r="BG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8" s="4" t="s">
        <v>63</v>
      </c>
      <c r="BI8" s="7" t="s">
        <v>63</v>
      </c>
    </row>
    <row r="9" hidden="1">
      <c r="A9" s="4" t="str">
        <f>IFERROR(__xludf.DUMMYFUNCTION("""COMPUTED_VALUE"""),"AKIRO SUSHI")</f>
        <v>AKIRO SUSHI</v>
      </c>
      <c r="B9" s="4" t="str">
        <f>IFERROR(__xludf.DUMMYFUNCTION("""COMPUTED_VALUE"""),"Lídia Esteves")</f>
        <v>Lídia Esteves</v>
      </c>
      <c r="C9" s="4" t="str">
        <f>IFERROR(__xludf.DUMMYFUNCTION("""COMPUTED_VALUE"""),"Gabriela Roma")</f>
        <v>Gabriela Roma</v>
      </c>
      <c r="D9" s="4" t="str">
        <f>IFERROR(__xludf.DUMMYFUNCTION("""COMPUTED_VALUE"""),"5. Demo/Showroom")</f>
        <v>5. Demo/Showroom</v>
      </c>
      <c r="E9" s="4" t="str">
        <f>IFERROR(__xludf.DUMMYFUNCTION("""COMPUTED_VALUE"""),"Pré-vendas - Demonstração / Showroom")</f>
        <v>Pré-vendas - Demonstração / Showroom</v>
      </c>
      <c r="F9" s="4" t="str">
        <f>IFERROR(__xludf.DUMMYFUNCTION("""COMPUTED_VALUE"""),"P")</f>
        <v>P</v>
      </c>
      <c r="G9" s="10">
        <f>IFERROR(__xludf.DUMMYFUNCTION("""COMPUTED_VALUE"""),46154.0)</f>
        <v>46154</v>
      </c>
      <c r="H9" s="4" t="str">
        <f>IFERROR(__xludf.DUMMYFUNCTION("""COMPUTED_VALUE"""),"demo agendada para 14/5")</f>
        <v>demo agendada para 14/5</v>
      </c>
      <c r="I9" s="6">
        <f>IFERROR(__xludf.DUMMYFUNCTION("""COMPUTED_VALUE"""),46122.67191171296)</f>
        <v>46122.67191</v>
      </c>
      <c r="J9" s="6">
        <f>IFERROR(__xludf.DUMMYFUNCTION("""COMPUTED_VALUE"""),46139.72232130787)</f>
        <v>46139.72232</v>
      </c>
      <c r="K9" s="6">
        <f>IFERROR(__xludf.DUMMYFUNCTION("""COMPUTED_VALUE"""),46140.40413303241)</f>
        <v>46140.40413</v>
      </c>
      <c r="L9" s="6">
        <f>IFERROR(__xludf.DUMMYFUNCTION("""COMPUTED_VALUE"""),46153.67861347222)</f>
        <v>46153.67861</v>
      </c>
      <c r="M9" s="6">
        <f>IFERROR(__xludf.DUMMYFUNCTION("""COMPUTED_VALUE"""),46153.681405243056)</f>
        <v>46153.68141</v>
      </c>
      <c r="N9" s="4"/>
      <c r="O9" s="4"/>
      <c r="P9" s="4"/>
      <c r="Q9" s="4"/>
      <c r="R9" s="4"/>
      <c r="S9" s="4"/>
      <c r="T9" s="4"/>
      <c r="U9" s="4"/>
      <c r="V9" s="4"/>
      <c r="W9" s="4"/>
      <c r="X9" s="4"/>
      <c r="Y9" s="4"/>
      <c r="Z9" s="4"/>
      <c r="AA9" s="4">
        <f>IFERROR(__xludf.DUMMYFUNCTION("""COMPUTED_VALUE"""),5.0)</f>
        <v>5</v>
      </c>
      <c r="AB9" s="4" t="str">
        <f>IFERROR(__xludf.DUMMYFUNCTION("""COMPUTED_VALUE"""),"CE")</f>
        <v>CE</v>
      </c>
      <c r="AC9" s="4" t="str">
        <f>IFERROR(__xludf.DUMMYFUNCTION("""COMPUTED_VALUE"""),"Sim")</f>
        <v>Sim</v>
      </c>
      <c r="AD9" s="4" t="str">
        <f>IFERROR(__xludf.DUMMYFUNCTION("""COMPUTED_VALUE"""),"Ifood")</f>
        <v>Ifood</v>
      </c>
      <c r="AE9" s="4"/>
      <c r="AF9" s="4"/>
      <c r="AG9" s="4"/>
      <c r="AH9" s="4">
        <f>IFERROR(__xludf.DUMMYFUNCTION("""COMPUTED_VALUE"""),4.0)</f>
        <v>4</v>
      </c>
      <c r="AI9" s="11">
        <f>IFERROR(__xludf.DUMMYFUNCTION("""COMPUTED_VALUE"""),300000.0)</f>
        <v>300000</v>
      </c>
      <c r="AJ9" s="4" t="str">
        <f>IFERROR(__xludf.DUMMYFUNCTION("""COMPUTED_VALUE"""),"sistema local")</f>
        <v>sistema local</v>
      </c>
      <c r="AK9" s="4" t="str">
        <f>IFERROR(__xludf.DUMMYFUNCTION("""COMPUTED_VALUE"""),"salão e delivery")</f>
        <v>salão e delivery</v>
      </c>
      <c r="AL9" s="4" t="str">
        <f>IFERROR(__xludf.DUMMYFUNCTION("""COMPUTED_VALUE"""),"SIM")</f>
        <v>SIM</v>
      </c>
      <c r="AM9" s="4" t="str">
        <f>IFERROR(__xludf.DUMMYFUNCTION("""COMPUTED_VALUE"""),"FY27")</f>
        <v>FY27</v>
      </c>
      <c r="AN9" s="4"/>
      <c r="AO9" s="4">
        <f>IFERROR(__xludf.DUMMYFUNCTION("""COMPUTED_VALUE"""),61.0)</f>
        <v>61</v>
      </c>
      <c r="AP9" s="4" t="str">
        <f>IFERROR(__xludf.DUMMYFUNCTION("""COMPUTED_VALUE"""),"RJ")</f>
        <v>RJ</v>
      </c>
      <c r="AQ9" s="4" t="str">
        <f>IFERROR(__xludf.DUMMYFUNCTION("""COMPUTED_VALUE"""),"JUAN CHAROTTA")</f>
        <v>JUAN CHAROTTA</v>
      </c>
      <c r="AR9" s="4" t="str">
        <f>IFERROR(__xludf.DUMMYFUNCTION("""COMPUTED_VALUE"""),"BRUNA MEDEIROS")</f>
        <v>BRUNA MEDEIROS</v>
      </c>
      <c r="AS9" s="4" t="str">
        <f>IFERROR(__xludf.DUMMYFUNCTION("""COMPUTED_VALUE"""),"NATHALIE MERTENS")</f>
        <v>NATHALIE MERTENS</v>
      </c>
      <c r="AT9" s="4" t="str">
        <f>IFERROR(__xludf.DUMMYFUNCTION("""COMPUTED_VALUE"""),"NATALIA COUTINHO")</f>
        <v>NATALIA COUTINHO</v>
      </c>
      <c r="AU9" s="4">
        <f>IFERROR(__xludf.DUMMYFUNCTION("""COMPUTED_VALUE"""),0.0)</f>
        <v>0</v>
      </c>
      <c r="AV9" s="4">
        <f>IFERROR(__xludf.DUMMYFUNCTION("""COMPUTED_VALUE"""),0.0)</f>
        <v>0</v>
      </c>
      <c r="AW9" s="4">
        <f>IFERROR(__xludf.DUMMYFUNCTION("""COMPUTED_VALUE"""),0.0)</f>
        <v>0</v>
      </c>
      <c r="AX9" s="4">
        <f>IFERROR(__xludf.DUMMYFUNCTION("""COMPUTED_VALUE"""),0.0)</f>
        <v>0</v>
      </c>
      <c r="AY9" s="4"/>
      <c r="AZ9" s="4" t="str">
        <f>IFERROR(__xludf.DUMMYFUNCTION("""COMPUTED_VALUE"""),"Japonesa")</f>
        <v>Japonesa</v>
      </c>
      <c r="BA9" s="4">
        <f>IFERROR(__xludf.DUMMYFUNCTION("""COMPUTED_VALUE"""),95.0)</f>
        <v>95</v>
      </c>
      <c r="BB9" s="4" t="str">
        <f>IFERROR(__xludf.DUMMYFUNCTION("""COMPUTED_VALUE"""),"Table Service/Delivery - Rodízio Japonês")</f>
        <v>Table Service/Delivery - Rodízio Japonês</v>
      </c>
      <c r="BC9" s="4" t="str">
        <f>IFERROR(__xludf.DUMMYFUNCTION("""COMPUTED_VALUE"""),"Grande Rio/RJ")</f>
        <v>Grande Rio/RJ</v>
      </c>
      <c r="BD9" s="4"/>
      <c r="BE9" s="4">
        <f>IFERROR(__xludf.DUMMYFUNCTION("""COMPUTED_VALUE"""),60.0)</f>
        <v>60</v>
      </c>
      <c r="BF9" s="4">
        <f>IFERROR(__xludf.DUMMYFUNCTION("""COMPUTED_VALUE"""),0.65)</f>
        <v>0.65</v>
      </c>
      <c r="BG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9" s="4" t="s">
        <v>63</v>
      </c>
      <c r="BI9" s="7" t="s">
        <v>63</v>
      </c>
    </row>
    <row r="10" hidden="1">
      <c r="A10" s="4" t="str">
        <f>IFERROR(__xludf.DUMMYFUNCTION("""COMPUTED_VALUE"""),"BIG PIZZA")</f>
        <v>BIG PIZZA</v>
      </c>
      <c r="B10" s="4" t="str">
        <f>IFERROR(__xludf.DUMMYFUNCTION("""COMPUTED_VALUE"""),"João Biagiotti")</f>
        <v>João Biagiotti</v>
      </c>
      <c r="C10" s="4" t="str">
        <f>IFERROR(__xludf.DUMMYFUNCTION("""COMPUTED_VALUE"""),"Diego Santos")</f>
        <v>Diego Santos</v>
      </c>
      <c r="D10" s="4" t="str">
        <f>IFERROR(__xludf.DUMMYFUNCTION("""COMPUTED_VALUE"""),"0. Não Iniciado")</f>
        <v>0. Não Iniciado</v>
      </c>
      <c r="E10" s="4"/>
      <c r="F10" s="4" t="str">
        <f>IFERROR(__xludf.DUMMYFUNCTION("""COMPUTED_VALUE"""),"P")</f>
        <v>P</v>
      </c>
      <c r="G10" s="4"/>
      <c r="H10" s="4"/>
      <c r="I10" s="4"/>
      <c r="J10" s="4"/>
      <c r="K10" s="4"/>
      <c r="L10" s="4"/>
      <c r="M10" s="4"/>
      <c r="N10" s="4"/>
      <c r="O10" s="4"/>
      <c r="P10" s="4"/>
      <c r="Q10" s="4"/>
      <c r="R10" s="4"/>
      <c r="S10" s="4"/>
      <c r="T10" s="4"/>
      <c r="U10" s="4"/>
      <c r="V10" s="4"/>
      <c r="W10" s="4"/>
      <c r="X10" s="4"/>
      <c r="Y10" s="4"/>
      <c r="Z10" s="4"/>
      <c r="AA10" s="4">
        <f>IFERROR(__xludf.DUMMYFUNCTION("""COMPUTED_VALUE"""),11.0)</f>
        <v>11</v>
      </c>
      <c r="AB10" s="4" t="str">
        <f>IFERROR(__xludf.DUMMYFUNCTION("""COMPUTED_VALUE"""),"Não Encarteirado")</f>
        <v>Não Encarteirado</v>
      </c>
      <c r="AC10" s="4" t="str">
        <f>IFERROR(__xludf.DUMMYFUNCTION("""COMPUTED_VALUE"""),"Sim")</f>
        <v>Sim</v>
      </c>
      <c r="AD10" s="4">
        <f>IFERROR(__xludf.DUMMYFUNCTION("""COMPUTED_VALUE"""),0.0)</f>
        <v>0</v>
      </c>
      <c r="AE10" s="4"/>
      <c r="AF10" s="4"/>
      <c r="AG10" s="4"/>
      <c r="AH10" s="4"/>
      <c r="AI10" s="4"/>
      <c r="AJ10" s="4"/>
      <c r="AK10" s="4"/>
      <c r="AL10" s="4"/>
      <c r="AM10" s="4" t="str">
        <f>IFERROR(__xludf.DUMMYFUNCTION("""COMPUTED_VALUE"""),"FY27")</f>
        <v>FY27</v>
      </c>
      <c r="AN10" s="4"/>
      <c r="AO10" s="4">
        <f>IFERROR(__xludf.DUMMYFUNCTION("""COMPUTED_VALUE"""),45553.0)</f>
        <v>45553</v>
      </c>
      <c r="AP10" s="4" t="str">
        <f>IFERROR(__xludf.DUMMYFUNCTION("""COMPUTED_VALUE"""),"SP")</f>
        <v>SP</v>
      </c>
      <c r="AQ10" s="4" t="str">
        <f>IFERROR(__xludf.DUMMYFUNCTION("""COMPUTED_VALUE"""),"LAURA APOLINARIO")</f>
        <v>LAURA APOLINARIO</v>
      </c>
      <c r="AR10" s="4">
        <f>IFERROR(__xludf.DUMMYFUNCTION("""COMPUTED_VALUE"""),0.0)</f>
        <v>0</v>
      </c>
      <c r="AS10" s="4">
        <f>IFERROR(__xludf.DUMMYFUNCTION("""COMPUTED_VALUE"""),0.0)</f>
        <v>0</v>
      </c>
      <c r="AT10" s="4">
        <f>IFERROR(__xludf.DUMMYFUNCTION("""COMPUTED_VALUE"""),0.0)</f>
        <v>0</v>
      </c>
      <c r="AU10" s="4">
        <f>IFERROR(__xludf.DUMMYFUNCTION("""COMPUTED_VALUE"""),0.0)</f>
        <v>0</v>
      </c>
      <c r="AV10" s="4">
        <f>IFERROR(__xludf.DUMMYFUNCTION("""COMPUTED_VALUE"""),0.0)</f>
        <v>0</v>
      </c>
      <c r="AW10" s="4">
        <f>IFERROR(__xludf.DUMMYFUNCTION("""COMPUTED_VALUE"""),0.0)</f>
        <v>0</v>
      </c>
      <c r="AX10" s="4">
        <f>IFERROR(__xludf.DUMMYFUNCTION("""COMPUTED_VALUE"""),0.0)</f>
        <v>0</v>
      </c>
      <c r="AY10" s="4" t="str">
        <f>IFERROR(__xludf.DUMMYFUNCTION("""COMPUTED_VALUE"""),"Anota Ai Solucoes Digitais S/a")</f>
        <v>Anota Ai Solucoes Digitais S/a</v>
      </c>
      <c r="AZ10" s="4" t="str">
        <f>IFERROR(__xludf.DUMMYFUNCTION("""COMPUTED_VALUE"""),"Pizza")</f>
        <v>Pizza</v>
      </c>
      <c r="BA10" s="4">
        <f>IFERROR(__xludf.DUMMYFUNCTION("""COMPUTED_VALUE"""),55.0)</f>
        <v>55</v>
      </c>
      <c r="BB10" s="4" t="str">
        <f>IFERROR(__xludf.DUMMYFUNCTION("""COMPUTED_VALUE"""),"QSR - Pizza Delivery")</f>
        <v>QSR - Pizza Delivery</v>
      </c>
      <c r="BC10" s="4" t="str">
        <f>IFERROR(__xludf.DUMMYFUNCTION("""COMPUTED_VALUE"""),"Regional")</f>
        <v>Regional</v>
      </c>
      <c r="BD10" s="4"/>
      <c r="BE10" s="4">
        <f>IFERROR(__xludf.DUMMYFUNCTION("""COMPUTED_VALUE"""),70.0)</f>
        <v>70</v>
      </c>
      <c r="BF10" s="4">
        <f>IFERROR(__xludf.DUMMYFUNCTION("""COMPUTED_VALUE"""),0.85)</f>
        <v>0.85</v>
      </c>
      <c r="BG10"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10" s="4" t="s">
        <v>64</v>
      </c>
      <c r="BI10" s="7">
        <v>0.4</v>
      </c>
    </row>
    <row r="11" hidden="1">
      <c r="A11" s="4" t="str">
        <f>IFERROR(__xludf.DUMMYFUNCTION("""COMPUTED_VALUE"""),"AMBROZINI")</f>
        <v>AMBROZINI</v>
      </c>
      <c r="B11" s="4" t="str">
        <f>IFERROR(__xludf.DUMMYFUNCTION("""COMPUTED_VALUE"""),"João Biagiotti")</f>
        <v>João Biagiotti</v>
      </c>
      <c r="C11" s="4" t="str">
        <f>IFERROR(__xludf.DUMMYFUNCTION("""COMPUTED_VALUE"""),"Diego Santos")</f>
        <v>Diego Santos</v>
      </c>
      <c r="D11" s="4" t="str">
        <f>IFERROR(__xludf.DUMMYFUNCTION("""COMPUTED_VALUE"""),"1. Iniciado")</f>
        <v>1. Iniciado</v>
      </c>
      <c r="E11" s="4" t="str">
        <f>IFERROR(__xludf.DUMMYFUNCTION("""COMPUTED_VALUE"""),"Delivery - Aguardando retorno executivo")</f>
        <v>Delivery - Aguardando retorno executivo</v>
      </c>
      <c r="F11" s="4" t="str">
        <f>IFERROR(__xludf.DUMMYFUNCTION("""COMPUTED_VALUE"""),"P")</f>
        <v>P</v>
      </c>
      <c r="G11" s="5">
        <f>IFERROR(__xludf.DUMMYFUNCTION("""COMPUTED_VALUE"""),46119.0)</f>
        <v>46119</v>
      </c>
      <c r="H11" s="4" t="str">
        <f>IFERROR(__xludf.DUMMYFUNCTION("""COMPUTED_VALUE"""),"Foi enviado mensagem para a coordenação para verificar a possibilidade de uma agenda e direcionamento ")</f>
        <v>Foi enviado mensagem para a coordenação para verificar a possibilidade de uma agenda e direcionamento </v>
      </c>
      <c r="I11" s="6">
        <f>IFERROR(__xludf.DUMMYFUNCTION("""COMPUTED_VALUE"""),46120.46079829861)</f>
        <v>46120.4608</v>
      </c>
      <c r="J11" s="4"/>
      <c r="K11" s="4"/>
      <c r="L11" s="4"/>
      <c r="M11" s="4"/>
      <c r="N11" s="4"/>
      <c r="O11" s="4"/>
      <c r="P11" s="4"/>
      <c r="Q11" s="4"/>
      <c r="R11" s="4"/>
      <c r="S11" s="4"/>
      <c r="T11" s="4"/>
      <c r="U11" s="4"/>
      <c r="V11" s="4"/>
      <c r="W11" s="4"/>
      <c r="X11" s="4"/>
      <c r="Y11" s="4"/>
      <c r="Z11" s="4"/>
      <c r="AA11" s="4">
        <f>IFERROR(__xludf.DUMMYFUNCTION("""COMPUTED_VALUE"""),5.0)</f>
        <v>5</v>
      </c>
      <c r="AB11" s="4" t="str">
        <f>IFERROR(__xludf.DUMMYFUNCTION("""COMPUTED_VALUE"""),"CE")</f>
        <v>CE</v>
      </c>
      <c r="AC11" s="4" t="str">
        <f>IFERROR(__xludf.DUMMYFUNCTION("""COMPUTED_VALUE"""),"Sim")</f>
        <v>Sim</v>
      </c>
      <c r="AD11" s="4" t="str">
        <f>IFERROR(__xludf.DUMMYFUNCTION("""COMPUTED_VALUE"""),"Ifood")</f>
        <v>Ifood</v>
      </c>
      <c r="AE11" s="4"/>
      <c r="AF11" s="4"/>
      <c r="AG11" s="4"/>
      <c r="AH11" s="4"/>
      <c r="AI11" s="4"/>
      <c r="AJ11" s="4"/>
      <c r="AK11" s="4"/>
      <c r="AL11" s="4"/>
      <c r="AM11" s="4" t="str">
        <f>IFERROR(__xludf.DUMMYFUNCTION("""COMPUTED_VALUE"""),"FY27")</f>
        <v>FY27</v>
      </c>
      <c r="AN11" s="4"/>
      <c r="AO11" s="4">
        <f>IFERROR(__xludf.DUMMYFUNCTION("""COMPUTED_VALUE"""),96.0)</f>
        <v>96</v>
      </c>
      <c r="AP11" s="4" t="str">
        <f>IFERROR(__xludf.DUMMYFUNCTION("""COMPUTED_VALUE"""),"MG")</f>
        <v>MG</v>
      </c>
      <c r="AQ11" s="4" t="str">
        <f>IFERROR(__xludf.DUMMYFUNCTION("""COMPUTED_VALUE"""),"EDUARDA HALABI")</f>
        <v>EDUARDA HALABI</v>
      </c>
      <c r="AR11" s="4" t="str">
        <f>IFERROR(__xludf.DUMMYFUNCTION("""COMPUTED_VALUE"""),"DIEGO PINTO")</f>
        <v>DIEGO PINTO</v>
      </c>
      <c r="AS11" s="4" t="str">
        <f>IFERROR(__xludf.DUMMYFUNCTION("""COMPUTED_VALUE"""),"FABIO DONATO")</f>
        <v>FABIO DONATO</v>
      </c>
      <c r="AT11" s="4" t="str">
        <f>IFERROR(__xludf.DUMMYFUNCTION("""COMPUTED_VALUE"""),"GILSON JUNIOR")</f>
        <v>GILSON JUNIOR</v>
      </c>
      <c r="AU11" s="4">
        <f>IFERROR(__xludf.DUMMYFUNCTION("""COMPUTED_VALUE"""),0.0)</f>
        <v>0</v>
      </c>
      <c r="AV11" s="4">
        <f>IFERROR(__xludf.DUMMYFUNCTION("""COMPUTED_VALUE"""),0.0)</f>
        <v>0</v>
      </c>
      <c r="AW11" s="4">
        <f>IFERROR(__xludf.DUMMYFUNCTION("""COMPUTED_VALUE"""),0.0)</f>
        <v>0</v>
      </c>
      <c r="AX11" s="4">
        <f>IFERROR(__xludf.DUMMYFUNCTION("""COMPUTED_VALUE"""),0.0)</f>
        <v>0</v>
      </c>
      <c r="AY11" s="4" t="str">
        <f>IFERROR(__xludf.DUMMYFUNCTION("""COMPUTED_VALUE"""),"Saipos Serviços De Software")</f>
        <v>Saipos Serviços De Software</v>
      </c>
      <c r="AZ11" s="4" t="str">
        <f>IFERROR(__xludf.DUMMYFUNCTION("""COMPUTED_VALUE"""),"Brasileira")</f>
        <v>Brasileira</v>
      </c>
      <c r="BA11" s="4">
        <f>IFERROR(__xludf.DUMMYFUNCTION("""COMPUTED_VALUE"""),65.0)</f>
        <v>65</v>
      </c>
      <c r="BB11" s="4" t="str">
        <f>IFERROR(__xludf.DUMMYFUNCTION("""COMPUTED_VALUE"""),"Table Service - Self-Service Gourmet")</f>
        <v>Table Service - Self-Service Gourmet</v>
      </c>
      <c r="BC11" s="4" t="str">
        <f>IFERROR(__xludf.DUMMYFUNCTION("""COMPUTED_VALUE"""),"Belo Horizonte/MG")</f>
        <v>Belo Horizonte/MG</v>
      </c>
      <c r="BD11" s="4"/>
      <c r="BE11" s="4">
        <f>IFERROR(__xludf.DUMMYFUNCTION("""COMPUTED_VALUE"""),55.0)</f>
        <v>55</v>
      </c>
      <c r="BF11" s="4">
        <f>IFERROR(__xludf.DUMMYFUNCTION("""COMPUTED_VALUE"""),0.65)</f>
        <v>0.65</v>
      </c>
      <c r="BG1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1" s="4" t="s">
        <v>64</v>
      </c>
      <c r="BI11" s="7">
        <v>1.0</v>
      </c>
    </row>
    <row r="12" hidden="1">
      <c r="A12" s="4" t="str">
        <f>IFERROR(__xludf.DUMMYFUNCTION("""COMPUTED_VALUE"""),"AMERICAN ORIGINAL - CONTA MARCA")</f>
        <v>AMERICAN ORIGINAL - CONTA MARCA</v>
      </c>
      <c r="B12" s="4" t="str">
        <f>IFERROR(__xludf.DUMMYFUNCTION("""COMPUTED_VALUE"""),"Lídia Esteves")</f>
        <v>Lídia Esteves</v>
      </c>
      <c r="C12" s="4" t="str">
        <f>IFERROR(__xludf.DUMMYFUNCTION("""COMPUTED_VALUE"""),"Gabriela Roma")</f>
        <v>Gabriela Roma</v>
      </c>
      <c r="D12" s="4" t="str">
        <f>IFERROR(__xludf.DUMMYFUNCTION("""COMPUTED_VALUE"""),"1. Iniciado")</f>
        <v>1. Iniciado</v>
      </c>
      <c r="E12" s="4"/>
      <c r="F12" s="4" t="str">
        <f>IFERROR(__xludf.DUMMYFUNCTION("""COMPUTED_VALUE"""),"P")</f>
        <v>P</v>
      </c>
      <c r="G12" s="4"/>
      <c r="H12" s="4"/>
      <c r="I12" s="6">
        <f>IFERROR(__xludf.DUMMYFUNCTION("""COMPUTED_VALUE"""),46140.610919548606)</f>
        <v>46140.61092</v>
      </c>
      <c r="J12" s="4"/>
      <c r="K12" s="4"/>
      <c r="L12" s="4"/>
      <c r="M12" s="4"/>
      <c r="N12" s="4"/>
      <c r="O12" s="4"/>
      <c r="P12" s="4"/>
      <c r="Q12" s="4"/>
      <c r="R12" s="4"/>
      <c r="S12" s="4"/>
      <c r="T12" s="4"/>
      <c r="U12" s="4"/>
      <c r="V12" s="4"/>
      <c r="W12" s="4"/>
      <c r="X12" s="4"/>
      <c r="Y12" s="4"/>
      <c r="Z12" s="4"/>
      <c r="AA12" s="4">
        <f>IFERROR(__xludf.DUMMYFUNCTION("""COMPUTED_VALUE"""),13.0)</f>
        <v>13</v>
      </c>
      <c r="AB12" s="4" t="str">
        <f>IFERROR(__xludf.DUMMYFUNCTION("""COMPUTED_VALUE"""),"-")</f>
        <v>-</v>
      </c>
      <c r="AC12" s="4" t="str">
        <f>IFERROR(__xludf.DUMMYFUNCTION("""COMPUTED_VALUE"""),"Sim")</f>
        <v>Sim</v>
      </c>
      <c r="AD12" s="4" t="str">
        <f>IFERROR(__xludf.DUMMYFUNCTION("""COMPUTED_VALUE"""),"Ifood")</f>
        <v>Ifood</v>
      </c>
      <c r="AE12" s="4"/>
      <c r="AF12" s="4"/>
      <c r="AG12" s="4"/>
      <c r="AH12" s="4"/>
      <c r="AI12" s="4"/>
      <c r="AJ12" s="4"/>
      <c r="AK12" s="4"/>
      <c r="AL12" s="4"/>
      <c r="AM12" s="4" t="str">
        <f>IFERROR(__xludf.DUMMYFUNCTION("""COMPUTED_VALUE"""),"FY27")</f>
        <v>FY27</v>
      </c>
      <c r="AN12" s="4"/>
      <c r="AO12" s="4">
        <f>IFERROR(__xludf.DUMMYFUNCTION("""COMPUTED_VALUE"""),45553.0)</f>
        <v>45553</v>
      </c>
      <c r="AP12" s="4" t="str">
        <f>IFERROR(__xludf.DUMMYFUNCTION("""COMPUTED_VALUE"""),"SC")</f>
        <v>SC</v>
      </c>
      <c r="AQ12" s="4" t="str">
        <f>IFERROR(__xludf.DUMMYFUNCTION("""COMPUTED_VALUE"""),"MARCIO CHAGAS")</f>
        <v>MARCIO CHAGAS</v>
      </c>
      <c r="AR12" s="4" t="str">
        <f>IFERROR(__xludf.DUMMYFUNCTION("""COMPUTED_VALUE"""),"ALEXSANDER ROCHA")</f>
        <v>ALEXSANDER ROCHA</v>
      </c>
      <c r="AS12" s="4" t="str">
        <f>IFERROR(__xludf.DUMMYFUNCTION("""COMPUTED_VALUE"""),"FABIO DONATO")</f>
        <v>FABIO DONATO</v>
      </c>
      <c r="AT12" s="4" t="str">
        <f>IFERROR(__xludf.DUMMYFUNCTION("""COMPUTED_VALUE"""),"CAMILA HOLANDA")</f>
        <v>CAMILA HOLANDA</v>
      </c>
      <c r="AU12" s="4">
        <f>IFERROR(__xludf.DUMMYFUNCTION("""COMPUTED_VALUE"""),0.0)</f>
        <v>0</v>
      </c>
      <c r="AV12" s="4">
        <f>IFERROR(__xludf.DUMMYFUNCTION("""COMPUTED_VALUE"""),0.0)</f>
        <v>0</v>
      </c>
      <c r="AW12" s="4">
        <f>IFERROR(__xludf.DUMMYFUNCTION("""COMPUTED_VALUE"""),0.0)</f>
        <v>0</v>
      </c>
      <c r="AX12" s="4">
        <f>IFERROR(__xludf.DUMMYFUNCTION("""COMPUTED_VALUE"""),0.0)</f>
        <v>0</v>
      </c>
      <c r="AY12" s="4" t="str">
        <f>IFERROR(__xludf.DUMMYFUNCTION("""COMPUTED_VALUE"""),"Saipos Serviços De Software")</f>
        <v>Saipos Serviços De Software</v>
      </c>
      <c r="AZ12" s="4" t="str">
        <f>IFERROR(__xludf.DUMMYFUNCTION("""COMPUTED_VALUE"""),"Lanches")</f>
        <v>Lanches</v>
      </c>
      <c r="BA12" s="4">
        <f>IFERROR(__xludf.DUMMYFUNCTION("""COMPUTED_VALUE"""),55.0)</f>
        <v>55</v>
      </c>
      <c r="BB12" s="12" t="str">
        <f>IFERROR(__xludf.DUMMYFUNCTION("""COMPUTED_VALUE"""),"Fast Casual - Hamburgueria")</f>
        <v>Fast Casual - Hamburgueria</v>
      </c>
      <c r="BC12" s="4" t="str">
        <f>IFERROR(__xludf.DUMMYFUNCTION("""COMPUTED_VALUE"""),"Regional")</f>
        <v>Regional</v>
      </c>
      <c r="BD12" s="4"/>
      <c r="BE12" s="4">
        <f>IFERROR(__xludf.DUMMYFUNCTION("""COMPUTED_VALUE"""),70.0)</f>
        <v>70</v>
      </c>
      <c r="BF12" s="13">
        <f>IFERROR(__xludf.DUMMYFUNCTION("""COMPUTED_VALUE"""),0.8)</f>
        <v>0.8</v>
      </c>
      <c r="BG12"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12" s="4" t="s">
        <v>64</v>
      </c>
      <c r="BI12" s="7">
        <v>1.0</v>
      </c>
    </row>
    <row r="13" hidden="1">
      <c r="A13" s="4" t="str">
        <f>IFERROR(__xludf.DUMMYFUNCTION("""COMPUTED_VALUE"""),"ANGUS - CARNES E HAMBURGUERIA")</f>
        <v>ANGUS - CARNES E HAMBURGUERIA</v>
      </c>
      <c r="B13" s="4" t="str">
        <f>IFERROR(__xludf.DUMMYFUNCTION("""COMPUTED_VALUE"""),"Lídia Esteves")</f>
        <v>Lídia Esteves</v>
      </c>
      <c r="C13" s="4" t="str">
        <f>IFERROR(__xludf.DUMMYFUNCTION("""COMPUTED_VALUE"""),"Gabriela Roma")</f>
        <v>Gabriela Roma</v>
      </c>
      <c r="D13" s="4" t="str">
        <f>IFERROR(__xludf.DUMMYFUNCTION("""COMPUTED_VALUE"""),"1. Iniciado")</f>
        <v>1. Iniciado</v>
      </c>
      <c r="E13" s="4" t="str">
        <f>IFERROR(__xludf.DUMMYFUNCTION("""COMPUTED_VALUE"""),"Delivery - Aguardando retorno executivo")</f>
        <v>Delivery - Aguardando retorno executivo</v>
      </c>
      <c r="F13" s="4" t="str">
        <f>IFERROR(__xludf.DUMMYFUNCTION("""COMPUTED_VALUE"""),"P")</f>
        <v>P</v>
      </c>
      <c r="G13" s="5">
        <f>IFERROR(__xludf.DUMMYFUNCTION("""COMPUTED_VALUE"""),46156.0)</f>
        <v>46156</v>
      </c>
      <c r="H13" s="4" t="str">
        <f>IFERROR(__xludf.DUMMYFUNCTION("""COMPUTED_VALUE"""),"pedido de agenda com delivery")</f>
        <v>pedido de agenda com delivery</v>
      </c>
      <c r="I13" s="6">
        <f>IFERROR(__xludf.DUMMYFUNCTION("""COMPUTED_VALUE"""),46156.69866701389)</f>
        <v>46156.69867</v>
      </c>
      <c r="J13" s="4"/>
      <c r="K13" s="4"/>
      <c r="L13" s="4"/>
      <c r="M13" s="4"/>
      <c r="N13" s="4"/>
      <c r="O13" s="4"/>
      <c r="P13" s="4"/>
      <c r="Q13" s="4"/>
      <c r="R13" s="4"/>
      <c r="S13" s="4"/>
      <c r="T13" s="4"/>
      <c r="U13" s="4"/>
      <c r="V13" s="4"/>
      <c r="W13" s="4"/>
      <c r="X13" s="4"/>
      <c r="Y13" s="4"/>
      <c r="Z13" s="4"/>
      <c r="AA13" s="4">
        <f>IFERROR(__xludf.DUMMYFUNCTION("""COMPUTED_VALUE"""),5.0)</f>
        <v>5</v>
      </c>
      <c r="AB13" s="4" t="str">
        <f>IFERROR(__xludf.DUMMYFUNCTION("""COMPUTED_VALUE"""),"CE")</f>
        <v>CE</v>
      </c>
      <c r="AC13" s="4" t="str">
        <f>IFERROR(__xludf.DUMMYFUNCTION("""COMPUTED_VALUE"""),"Sim")</f>
        <v>Sim</v>
      </c>
      <c r="AD13" s="4" t="str">
        <f>IFERROR(__xludf.DUMMYFUNCTION("""COMPUTED_VALUE"""),"Mp Multipedidos")</f>
        <v>Mp Multipedidos</v>
      </c>
      <c r="AE13" s="4"/>
      <c r="AF13" s="4"/>
      <c r="AG13" s="4"/>
      <c r="AH13" s="4"/>
      <c r="AI13" s="4"/>
      <c r="AJ13" s="4"/>
      <c r="AK13" s="4"/>
      <c r="AL13" s="4"/>
      <c r="AM13" s="4" t="str">
        <f>IFERROR(__xludf.DUMMYFUNCTION("""COMPUTED_VALUE"""),"FY27")</f>
        <v>FY27</v>
      </c>
      <c r="AN13" s="4"/>
      <c r="AO13" s="4">
        <f>IFERROR(__xludf.DUMMYFUNCTION("""COMPUTED_VALUE"""),59.0)</f>
        <v>59</v>
      </c>
      <c r="AP13" s="4" t="str">
        <f>IFERROR(__xludf.DUMMYFUNCTION("""COMPUTED_VALUE"""),"SC")</f>
        <v>SC</v>
      </c>
      <c r="AQ13" s="4" t="str">
        <f>IFERROR(__xludf.DUMMYFUNCTION("""COMPUTED_VALUE"""),"MARCIO CHAGAS")</f>
        <v>MARCIO CHAGAS</v>
      </c>
      <c r="AR13" s="4" t="str">
        <f>IFERROR(__xludf.DUMMYFUNCTION("""COMPUTED_VALUE"""),"CAMILA CASAGRANDE")</f>
        <v>CAMILA CASAGRANDE</v>
      </c>
      <c r="AS13" s="4" t="str">
        <f>IFERROR(__xludf.DUMMYFUNCTION("""COMPUTED_VALUE"""),"FABIO DONATO")</f>
        <v>FABIO DONATO</v>
      </c>
      <c r="AT13" s="4" t="str">
        <f>IFERROR(__xludf.DUMMYFUNCTION("""COMPUTED_VALUE"""),"CAMILA HOLANDA")</f>
        <v>CAMILA HOLANDA</v>
      </c>
      <c r="AU13" s="4">
        <f>IFERROR(__xludf.DUMMYFUNCTION("""COMPUTED_VALUE"""),0.0)</f>
        <v>0</v>
      </c>
      <c r="AV13" s="4">
        <f>IFERROR(__xludf.DUMMYFUNCTION("""COMPUTED_VALUE"""),0.0)</f>
        <v>0</v>
      </c>
      <c r="AW13" s="4">
        <f>IFERROR(__xludf.DUMMYFUNCTION("""COMPUTED_VALUE"""),0.0)</f>
        <v>0</v>
      </c>
      <c r="AX13" s="4">
        <f>IFERROR(__xludf.DUMMYFUNCTION("""COMPUTED_VALUE"""),0.0)</f>
        <v>0</v>
      </c>
      <c r="AY13" s="4"/>
      <c r="AZ13" s="4" t="str">
        <f>IFERROR(__xludf.DUMMYFUNCTION("""COMPUTED_VALUE"""),"Marmita")</f>
        <v>Marmita</v>
      </c>
      <c r="BA13" s="4">
        <f>IFERROR(__xludf.DUMMYFUNCTION("""COMPUTED_VALUE"""),70.0)</f>
        <v>70</v>
      </c>
      <c r="BB13" s="4" t="str">
        <f>IFERROR(__xludf.DUMMYFUNCTION("""COMPUTED_VALUE"""),"Fast Casual - Burgers Premium")</f>
        <v>Fast Casual - Burgers Premium</v>
      </c>
      <c r="BC13" s="4" t="str">
        <f>IFERROR(__xludf.DUMMYFUNCTION("""COMPUTED_VALUE"""),"Regional")</f>
        <v>Regional</v>
      </c>
      <c r="BD13" s="4"/>
      <c r="BE13" s="4">
        <f>IFERROR(__xludf.DUMMYFUNCTION("""COMPUTED_VALUE"""),70.0)</f>
        <v>70</v>
      </c>
      <c r="BF13" s="4">
        <f>IFERROR(__xludf.DUMMYFUNCTION("""COMPUTED_VALUE"""),0.75)</f>
        <v>0.75</v>
      </c>
      <c r="BG1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3" s="4" t="s">
        <v>65</v>
      </c>
      <c r="BI13" s="7">
        <v>0.5789473684210527</v>
      </c>
    </row>
    <row r="14" hidden="1">
      <c r="A14" s="4" t="str">
        <f>IFERROR(__xludf.DUMMYFUNCTION("""COMPUTED_VALUE"""),"ARNALDOS LANCHES - NIVEL MARCA")</f>
        <v>ARNALDOS LANCHES - NIVEL MARCA</v>
      </c>
      <c r="B14" s="4" t="str">
        <f>IFERROR(__xludf.DUMMYFUNCTION("""COMPUTED_VALUE"""),"Lídia Esteves")</f>
        <v>Lídia Esteves</v>
      </c>
      <c r="C14" s="4" t="str">
        <f>IFERROR(__xludf.DUMMYFUNCTION("""COMPUTED_VALUE"""),"Gabriela Roma")</f>
        <v>Gabriela Roma</v>
      </c>
      <c r="D14" s="4" t="str">
        <f>IFERROR(__xludf.DUMMYFUNCTION("""COMPUTED_VALUE"""),"1. Iniciado")</f>
        <v>1. Iniciado</v>
      </c>
      <c r="E14" s="4" t="str">
        <f>IFERROR(__xludf.DUMMYFUNCTION("""COMPUTED_VALUE"""),"Delivery - Aguardando retorno executivo")</f>
        <v>Delivery - Aguardando retorno executivo</v>
      </c>
      <c r="F14" s="4" t="str">
        <f>IFERROR(__xludf.DUMMYFUNCTION("""COMPUTED_VALUE"""),"P")</f>
        <v>P</v>
      </c>
      <c r="G14" s="5">
        <f>IFERROR(__xludf.DUMMYFUNCTION("""COMPUTED_VALUE"""),46156.0)</f>
        <v>46156</v>
      </c>
      <c r="H14" s="4" t="str">
        <f>IFERROR(__xludf.DUMMYFUNCTION("""COMPUTED_VALUE"""),"pedido de abertura de portas pelo exec de delivery")</f>
        <v>pedido de abertura de portas pelo exec de delivery</v>
      </c>
      <c r="I14" s="6">
        <f>IFERROR(__xludf.DUMMYFUNCTION("""COMPUTED_VALUE"""),46156.70339043981)</f>
        <v>46156.70339</v>
      </c>
      <c r="J14" s="4"/>
      <c r="K14" s="4"/>
      <c r="L14" s="4"/>
      <c r="M14" s="4"/>
      <c r="N14" s="4"/>
      <c r="O14" s="4"/>
      <c r="P14" s="4"/>
      <c r="Q14" s="4"/>
      <c r="R14" s="4"/>
      <c r="S14" s="4"/>
      <c r="T14" s="4"/>
      <c r="U14" s="4"/>
      <c r="V14" s="4"/>
      <c r="W14" s="4"/>
      <c r="X14" s="4"/>
      <c r="Y14" s="4"/>
      <c r="Z14" s="4"/>
      <c r="AA14" s="4">
        <f>IFERROR(__xludf.DUMMYFUNCTION("""COMPUTED_VALUE"""),5.0)</f>
        <v>5</v>
      </c>
      <c r="AB14" s="4" t="str">
        <f>IFERROR(__xludf.DUMMYFUNCTION("""COMPUTED_VALUE"""),"CE")</f>
        <v>CE</v>
      </c>
      <c r="AC14" s="4" t="str">
        <f>IFERROR(__xludf.DUMMYFUNCTION("""COMPUTED_VALUE"""),"Sim")</f>
        <v>Sim</v>
      </c>
      <c r="AD14" s="4" t="str">
        <f>IFERROR(__xludf.DUMMYFUNCTION("""COMPUTED_VALUE"""),"Sagres Automação Comercial")</f>
        <v>Sagres Automação Comercial</v>
      </c>
      <c r="AE14" s="4"/>
      <c r="AF14" s="4"/>
      <c r="AG14" s="4"/>
      <c r="AH14" s="4"/>
      <c r="AI14" s="4"/>
      <c r="AJ14" s="4"/>
      <c r="AK14" s="4"/>
      <c r="AL14" s="4"/>
      <c r="AM14" s="4" t="str">
        <f>IFERROR(__xludf.DUMMYFUNCTION("""COMPUTED_VALUE"""),"FY27")</f>
        <v>FY27</v>
      </c>
      <c r="AN14" s="4"/>
      <c r="AO14" s="4">
        <f>IFERROR(__xludf.DUMMYFUNCTION("""COMPUTED_VALUE"""),59.0)</f>
        <v>59</v>
      </c>
      <c r="AP14" s="4" t="str">
        <f>IFERROR(__xludf.DUMMYFUNCTION("""COMPUTED_VALUE"""),"PR")</f>
        <v>PR</v>
      </c>
      <c r="AQ14" s="4" t="str">
        <f>IFERROR(__xludf.DUMMYFUNCTION("""COMPUTED_VALUE"""),"LUIZ FILHO")</f>
        <v>LUIZ FILHO</v>
      </c>
      <c r="AR14" s="4" t="str">
        <f>IFERROR(__xludf.DUMMYFUNCTION("""COMPUTED_VALUE"""),"HELOISA SANTOS")</f>
        <v>HELOISA SANTOS</v>
      </c>
      <c r="AS14" s="4" t="str">
        <f>IFERROR(__xludf.DUMMYFUNCTION("""COMPUTED_VALUE"""),"FABIO DONATO")</f>
        <v>FABIO DONATO</v>
      </c>
      <c r="AT14" s="4" t="str">
        <f>IFERROR(__xludf.DUMMYFUNCTION("""COMPUTED_VALUE"""),"MURILO NAGASHIMA")</f>
        <v>MURILO NAGASHIMA</v>
      </c>
      <c r="AU14" s="4">
        <f>IFERROR(__xludf.DUMMYFUNCTION("""COMPUTED_VALUE"""),0.0)</f>
        <v>0</v>
      </c>
      <c r="AV14" s="4">
        <f>IFERROR(__xludf.DUMMYFUNCTION("""COMPUTED_VALUE"""),0.0)</f>
        <v>0</v>
      </c>
      <c r="AW14" s="4">
        <f>IFERROR(__xludf.DUMMYFUNCTION("""COMPUTED_VALUE"""),0.0)</f>
        <v>0</v>
      </c>
      <c r="AX14" s="4">
        <f>IFERROR(__xludf.DUMMYFUNCTION("""COMPUTED_VALUE"""),0.0)</f>
        <v>0</v>
      </c>
      <c r="AY14" s="4"/>
      <c r="AZ14" s="4" t="str">
        <f>IFERROR(__xludf.DUMMYFUNCTION("""COMPUTED_VALUE"""),"Lanches")</f>
        <v>Lanches</v>
      </c>
      <c r="BA14" s="4" t="str">
        <f>IFERROR(__xludf.DUMMYFUNCTION("""COMPUTED_VALUE"""),"")</f>
        <v/>
      </c>
      <c r="BB14" s="4" t="str">
        <f>IFERROR(__xludf.DUMMYFUNCTION("""COMPUTED_VALUE"""),"")</f>
        <v/>
      </c>
      <c r="BC14" s="4" t="str">
        <f>IFERROR(__xludf.DUMMYFUNCTION("""COMPUTED_VALUE"""),"")</f>
        <v/>
      </c>
      <c r="BD14" s="4" t="str">
        <f>IFERROR(__xludf.DUMMYFUNCTION("""COMPUTED_VALUE"""),"")</f>
        <v/>
      </c>
      <c r="BE14" s="4" t="str">
        <f>IFERROR(__xludf.DUMMYFUNCTION("""COMPUTED_VALUE"""),"")</f>
        <v/>
      </c>
      <c r="BF14" s="4" t="str">
        <f>IFERROR(__xludf.DUMMYFUNCTION("""COMPUTED_VALUE"""),"")</f>
        <v/>
      </c>
      <c r="BG14" s="4" t="str">
        <f>IFERROR(__xludf.DUMMYFUNCTION("""COMPUTED_VALUE"""),"")</f>
        <v/>
      </c>
      <c r="BH14" s="4" t="s">
        <v>66</v>
      </c>
      <c r="BI14" s="7">
        <v>1.0</v>
      </c>
    </row>
    <row r="15" hidden="1">
      <c r="A15" s="4" t="str">
        <f>IFERROR(__xludf.DUMMYFUNCTION("""COMPUTED_VALUE"""),"ARO TEMAKERIA DELIVERY")</f>
        <v>ARO TEMAKERIA DELIVERY</v>
      </c>
      <c r="B15" s="4" t="str">
        <f>IFERROR(__xludf.DUMMYFUNCTION("""COMPUTED_VALUE"""),"João Biagiotti")</f>
        <v>João Biagiotti</v>
      </c>
      <c r="C15" s="4" t="str">
        <f>IFERROR(__xludf.DUMMYFUNCTION("""COMPUTED_VALUE"""),"Diego Santos")</f>
        <v>Diego Santos</v>
      </c>
      <c r="D15" s="4" t="str">
        <f>IFERROR(__xludf.DUMMYFUNCTION("""COMPUTED_VALUE"""),"0. Não Iniciado")</f>
        <v>0. Não Iniciado</v>
      </c>
      <c r="E15" s="4"/>
      <c r="F15" s="4" t="str">
        <f>IFERROR(__xludf.DUMMYFUNCTION("""COMPUTED_VALUE"""),"P")</f>
        <v>P</v>
      </c>
      <c r="G15" s="4"/>
      <c r="H15" s="4"/>
      <c r="I15" s="4"/>
      <c r="J15" s="4"/>
      <c r="K15" s="4"/>
      <c r="L15" s="4"/>
      <c r="M15" s="4"/>
      <c r="N15" s="4"/>
      <c r="O15" s="4"/>
      <c r="P15" s="4"/>
      <c r="Q15" s="4"/>
      <c r="R15" s="4"/>
      <c r="S15" s="4"/>
      <c r="T15" s="4"/>
      <c r="U15" s="4"/>
      <c r="V15" s="4"/>
      <c r="W15" s="4"/>
      <c r="X15" s="4"/>
      <c r="Y15" s="4"/>
      <c r="Z15" s="4"/>
      <c r="AA15" s="4">
        <f>IFERROR(__xludf.DUMMYFUNCTION("""COMPUTED_VALUE"""),7.0)</f>
        <v>7</v>
      </c>
      <c r="AB15" s="4" t="str">
        <f>IFERROR(__xludf.DUMMYFUNCTION("""COMPUTED_VALUE"""),"CE")</f>
        <v>CE</v>
      </c>
      <c r="AC15" s="4" t="str">
        <f>IFERROR(__xludf.DUMMYFUNCTION("""COMPUTED_VALUE"""),"Sim")</f>
        <v>Sim</v>
      </c>
      <c r="AD15" s="4" t="str">
        <f>IFERROR(__xludf.DUMMYFUNCTION("""COMPUTED_VALUE"""),"Ifood")</f>
        <v>Ifood</v>
      </c>
      <c r="AE15" s="4"/>
      <c r="AF15" s="4"/>
      <c r="AG15" s="4"/>
      <c r="AH15" s="4"/>
      <c r="AI15" s="4"/>
      <c r="AJ15" s="4"/>
      <c r="AK15" s="4"/>
      <c r="AL15" s="4"/>
      <c r="AM15" s="4" t="str">
        <f>IFERROR(__xludf.DUMMYFUNCTION("""COMPUTED_VALUE"""),"FY27")</f>
        <v>FY27</v>
      </c>
      <c r="AN15" s="4"/>
      <c r="AO15" s="4">
        <f>IFERROR(__xludf.DUMMYFUNCTION("""COMPUTED_VALUE"""),45553.0)</f>
        <v>45553</v>
      </c>
      <c r="AP15" s="4" t="str">
        <f>IFERROR(__xludf.DUMMYFUNCTION("""COMPUTED_VALUE"""),"SP")</f>
        <v>SP</v>
      </c>
      <c r="AQ15" s="4" t="str">
        <f>IFERROR(__xludf.DUMMYFUNCTION("""COMPUTED_VALUE"""),"ANDRE PARAIZO")</f>
        <v>ANDRE PARAIZO</v>
      </c>
      <c r="AR15" s="4" t="str">
        <f>IFERROR(__xludf.DUMMYFUNCTION("""COMPUTED_VALUE"""),"DIOGO NEPOMUCENO")</f>
        <v>DIOGO NEPOMUCENO</v>
      </c>
      <c r="AS15" s="4" t="str">
        <f>IFERROR(__xludf.DUMMYFUNCTION("""COMPUTED_VALUE"""),"ALAN HADDAD")</f>
        <v>ALAN HADDAD</v>
      </c>
      <c r="AT15" s="4" t="str">
        <f>IFERROR(__xludf.DUMMYFUNCTION("""COMPUTED_VALUE"""),"GABRIEL PERES")</f>
        <v>GABRIEL PERES</v>
      </c>
      <c r="AU15" s="4">
        <f>IFERROR(__xludf.DUMMYFUNCTION("""COMPUTED_VALUE"""),0.0)</f>
        <v>0</v>
      </c>
      <c r="AV15" s="4">
        <f>IFERROR(__xludf.DUMMYFUNCTION("""COMPUTED_VALUE"""),0.0)</f>
        <v>0</v>
      </c>
      <c r="AW15" s="4">
        <f>IFERROR(__xludf.DUMMYFUNCTION("""COMPUTED_VALUE"""),0.0)</f>
        <v>0</v>
      </c>
      <c r="AX15" s="4">
        <f>IFERROR(__xludf.DUMMYFUNCTION("""COMPUTED_VALUE"""),0.0)</f>
        <v>0</v>
      </c>
      <c r="AY15" s="4" t="str">
        <f>IFERROR(__xludf.DUMMYFUNCTION("""COMPUTED_VALUE"""),"Anota Ai Solucoes Digitais S/a")</f>
        <v>Anota Ai Solucoes Digitais S/a</v>
      </c>
      <c r="AZ15" s="4" t="str">
        <f>IFERROR(__xludf.DUMMYFUNCTION("""COMPUTED_VALUE"""),"Japonesa")</f>
        <v>Japonesa</v>
      </c>
      <c r="BA15" s="4">
        <f>IFERROR(__xludf.DUMMYFUNCTION("""COMPUTED_VALUE"""),60.0)</f>
        <v>60</v>
      </c>
      <c r="BB15" s="4" t="str">
        <f>IFERROR(__xludf.DUMMYFUNCTION("""COMPUTED_VALUE"""),"Delivery First - Temakeria")</f>
        <v>Delivery First - Temakeria</v>
      </c>
      <c r="BC15" s="4" t="str">
        <f>IFERROR(__xludf.DUMMYFUNCTION("""COMPUTED_VALUE"""),"Regional")</f>
        <v>Regional</v>
      </c>
      <c r="BD15" s="4"/>
      <c r="BE15" s="4">
        <f>IFERROR(__xludf.DUMMYFUNCTION("""COMPUTED_VALUE"""),45.0)</f>
        <v>45</v>
      </c>
      <c r="BF15" s="4">
        <f>IFERROR(__xludf.DUMMYFUNCTION("""COMPUTED_VALUE"""),0.5)</f>
        <v>0.5</v>
      </c>
      <c r="BG15"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15" s="4" t="s">
        <v>67</v>
      </c>
      <c r="BI15" s="7">
        <v>0.6666666666666666</v>
      </c>
    </row>
    <row r="16" hidden="1">
      <c r="A16" s="4" t="str">
        <f>IFERROR(__xludf.DUMMYFUNCTION("""COMPUTED_VALUE"""),"BABY BEEF EXPRESS")</f>
        <v>BABY BEEF EXPRESS</v>
      </c>
      <c r="B16" s="4" t="str">
        <f>IFERROR(__xludf.DUMMYFUNCTION("""COMPUTED_VALUE"""),"João Biagiotti")</f>
        <v>João Biagiotti</v>
      </c>
      <c r="C16" s="4" t="str">
        <f>IFERROR(__xludf.DUMMYFUNCTION("""COMPUTED_VALUE"""),"Diego Santos")</f>
        <v>Diego Santos</v>
      </c>
      <c r="D16" s="4" t="str">
        <f>IFERROR(__xludf.DUMMYFUNCTION("""COMPUTED_VALUE"""),"2. Primeiro Contato com a marca")</f>
        <v>2. Primeiro Contato com a marca</v>
      </c>
      <c r="E16" s="4" t="str">
        <f>IFERROR(__xludf.DUMMYFUNCTION("""COMPUTED_VALUE"""),"Delivery - Conciliação agenda com parceiro")</f>
        <v>Delivery - Conciliação agenda com parceiro</v>
      </c>
      <c r="F16" s="4" t="str">
        <f>IFERROR(__xludf.DUMMYFUNCTION("""COMPUTED_VALUE"""),"P")</f>
        <v>P</v>
      </c>
      <c r="G16" s="5">
        <f>IFERROR(__xludf.DUMMYFUNCTION("""COMPUTED_VALUE"""),46134.0)</f>
        <v>46134</v>
      </c>
      <c r="H16" s="4" t="str">
        <f>IFERROR(__xludf.DUMMYFUNCTION("""COMPUTED_VALUE"""),"Valeria (coord) informou que o gerrente esta de férias, assim que voltar iremos agendar uma reunião com os mesmos")</f>
        <v>Valeria (coord) informou que o gerrente esta de férias, assim que voltar iremos agendar uma reunião com os mesmos</v>
      </c>
      <c r="I16" s="6">
        <f>IFERROR(__xludf.DUMMYFUNCTION("""COMPUTED_VALUE"""),46134.455329895834)</f>
        <v>46134.45533</v>
      </c>
      <c r="J16" s="6">
        <f>IFERROR(__xludf.DUMMYFUNCTION("""COMPUTED_VALUE"""),46134.45850049768)</f>
        <v>46134.4585</v>
      </c>
      <c r="K16" s="4"/>
      <c r="L16" s="4"/>
      <c r="M16" s="4"/>
      <c r="N16" s="4"/>
      <c r="O16" s="4"/>
      <c r="P16" s="4"/>
      <c r="Q16" s="4"/>
      <c r="R16" s="4"/>
      <c r="S16" s="4"/>
      <c r="T16" s="4"/>
      <c r="U16" s="4"/>
      <c r="V16" s="4"/>
      <c r="W16" s="4"/>
      <c r="X16" s="4"/>
      <c r="Y16" s="4"/>
      <c r="Z16" s="4"/>
      <c r="AA16" s="4">
        <f>IFERROR(__xludf.DUMMYFUNCTION("""COMPUTED_VALUE"""),13.0)</f>
        <v>13</v>
      </c>
      <c r="AB16" s="4" t="str">
        <f>IFERROR(__xludf.DUMMYFUNCTION("""COMPUTED_VALUE"""),"CE")</f>
        <v>CE</v>
      </c>
      <c r="AC16" s="4" t="str">
        <f>IFERROR(__xludf.DUMMYFUNCTION("""COMPUTED_VALUE"""),"Sim")</f>
        <v>Sim</v>
      </c>
      <c r="AD16" s="4" t="str">
        <f>IFERROR(__xludf.DUMMYFUNCTION("""COMPUTED_VALUE"""),"Ifood")</f>
        <v>Ifood</v>
      </c>
      <c r="AE16" s="4"/>
      <c r="AF16" s="4"/>
      <c r="AG16" s="4"/>
      <c r="AH16" s="4"/>
      <c r="AI16" s="4"/>
      <c r="AJ16" s="4"/>
      <c r="AK16" s="4"/>
      <c r="AL16" s="4"/>
      <c r="AM16" s="4" t="str">
        <f>IFERROR(__xludf.DUMMYFUNCTION("""COMPUTED_VALUE"""),"FY27")</f>
        <v>FY27</v>
      </c>
      <c r="AN16" s="4"/>
      <c r="AO16" s="4">
        <f>IFERROR(__xludf.DUMMYFUNCTION("""COMPUTED_VALUE"""),81.0)</f>
        <v>81</v>
      </c>
      <c r="AP16" s="4" t="str">
        <f>IFERROR(__xludf.DUMMYFUNCTION("""COMPUTED_VALUE"""),"BA")</f>
        <v>BA</v>
      </c>
      <c r="AQ16" s="4" t="str">
        <f>IFERROR(__xludf.DUMMYFUNCTION("""COMPUTED_VALUE"""),"VIDOLIN EDUARDO")</f>
        <v>VIDOLIN EDUARDO</v>
      </c>
      <c r="AR16" s="4" t="str">
        <f>IFERROR(__xludf.DUMMYFUNCTION("""COMPUTED_VALUE"""),"VALERIA VASCONCELOS")</f>
        <v>VALERIA VASCONCELOS</v>
      </c>
      <c r="AS16" s="4" t="str">
        <f>IFERROR(__xludf.DUMMYFUNCTION("""COMPUTED_VALUE"""),"THIAGO ROMAGNOLE")</f>
        <v>THIAGO ROMAGNOLE</v>
      </c>
      <c r="AT16" s="4" t="str">
        <f>IFERROR(__xludf.DUMMYFUNCTION("""COMPUTED_VALUE"""),"EDUARDO VAZ")</f>
        <v>EDUARDO VAZ</v>
      </c>
      <c r="AU16" s="4">
        <f>IFERROR(__xludf.DUMMYFUNCTION("""COMPUTED_VALUE"""),0.0)</f>
        <v>0</v>
      </c>
      <c r="AV16" s="4">
        <f>IFERROR(__xludf.DUMMYFUNCTION("""COMPUTED_VALUE"""),0.0)</f>
        <v>0</v>
      </c>
      <c r="AW16" s="4">
        <f>IFERROR(__xludf.DUMMYFUNCTION("""COMPUTED_VALUE"""),0.0)</f>
        <v>0</v>
      </c>
      <c r="AX16" s="4">
        <f>IFERROR(__xludf.DUMMYFUNCTION("""COMPUTED_VALUE"""),0.0)</f>
        <v>0</v>
      </c>
      <c r="AY16" s="4"/>
      <c r="AZ16" s="4" t="str">
        <f>IFERROR(__xludf.DUMMYFUNCTION("""COMPUTED_VALUE"""),"Lanches")</f>
        <v>Lanches</v>
      </c>
      <c r="BA16" s="4">
        <f>IFERROR(__xludf.DUMMYFUNCTION("""COMPUTED_VALUE"""),60.0)</f>
        <v>60</v>
      </c>
      <c r="BB16" s="4" t="str">
        <f>IFERROR(__xludf.DUMMYFUNCTION("""COMPUTED_VALUE"""),"Fast Casual - Grelhados")</f>
        <v>Fast Casual - Grelhados</v>
      </c>
      <c r="BC16" s="4" t="str">
        <f>IFERROR(__xludf.DUMMYFUNCTION("""COMPUTED_VALUE"""),"Salvador/BA (shoppings)")</f>
        <v>Salvador/BA (shoppings)</v>
      </c>
      <c r="BD16" s="4"/>
      <c r="BE16" s="4">
        <f>IFERROR(__xludf.DUMMYFUNCTION("""COMPUTED_VALUE"""),65.0)</f>
        <v>65</v>
      </c>
      <c r="BF16" s="4">
        <f>IFERROR(__xludf.DUMMYFUNCTION("""COMPUTED_VALUE"""),0.75)</f>
        <v>0.75</v>
      </c>
      <c r="BG1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6" s="4" t="s">
        <v>64</v>
      </c>
      <c r="BI16" s="7">
        <v>0.5714285714285714</v>
      </c>
    </row>
    <row r="17" hidden="1">
      <c r="A17" s="4" t="str">
        <f>IFERROR(__xludf.DUMMYFUNCTION("""COMPUTED_VALUE"""),"BANZAI ES")</f>
        <v>BANZAI ES</v>
      </c>
      <c r="B17" s="4" t="str">
        <f>IFERROR(__xludf.DUMMYFUNCTION("""COMPUTED_VALUE"""),"Lídia Esteves")</f>
        <v>Lídia Esteves</v>
      </c>
      <c r="C17" s="4" t="str">
        <f>IFERROR(__xludf.DUMMYFUNCTION("""COMPUTED_VALUE"""),"Gabriela Roma")</f>
        <v>Gabriela Roma</v>
      </c>
      <c r="D17" s="4" t="str">
        <f>IFERROR(__xludf.DUMMYFUNCTION("""COMPUTED_VALUE"""),"0. Não Iniciado")</f>
        <v>0. Não Iniciado</v>
      </c>
      <c r="E17" s="4"/>
      <c r="F17" s="4" t="str">
        <f>IFERROR(__xludf.DUMMYFUNCTION("""COMPUTED_VALUE"""),"P")</f>
        <v>P</v>
      </c>
      <c r="G17" s="4"/>
      <c r="H17" s="4"/>
      <c r="I17" s="4"/>
      <c r="J17" s="4"/>
      <c r="K17" s="4"/>
      <c r="L17" s="4"/>
      <c r="M17" s="4"/>
      <c r="N17" s="4"/>
      <c r="O17" s="4"/>
      <c r="P17" s="4"/>
      <c r="Q17" s="4"/>
      <c r="R17" s="4"/>
      <c r="S17" s="4"/>
      <c r="T17" s="4"/>
      <c r="U17" s="4"/>
      <c r="V17" s="4"/>
      <c r="W17" s="4"/>
      <c r="X17" s="4"/>
      <c r="Y17" s="4"/>
      <c r="Z17" s="4"/>
      <c r="AA17" s="4">
        <f>IFERROR(__xludf.DUMMYFUNCTION("""COMPUTED_VALUE"""),7.0)</f>
        <v>7</v>
      </c>
      <c r="AB17" s="4" t="str">
        <f>IFERROR(__xludf.DUMMYFUNCTION("""COMPUTED_VALUE"""),"CE")</f>
        <v>CE</v>
      </c>
      <c r="AC17" s="4" t="str">
        <f>IFERROR(__xludf.DUMMYFUNCTION("""COMPUTED_VALUE"""),"Sim")</f>
        <v>Sim</v>
      </c>
      <c r="AD17" s="4" t="str">
        <f>IFERROR(__xludf.DUMMYFUNCTION("""COMPUTED_VALUE"""),"Ifood")</f>
        <v>Ifood</v>
      </c>
      <c r="AE17" s="4"/>
      <c r="AF17" s="4"/>
      <c r="AG17" s="4"/>
      <c r="AH17" s="4"/>
      <c r="AI17" s="4"/>
      <c r="AJ17" s="4"/>
      <c r="AK17" s="4"/>
      <c r="AL17" s="4"/>
      <c r="AM17" s="4" t="str">
        <f>IFERROR(__xludf.DUMMYFUNCTION("""COMPUTED_VALUE"""),"FY27")</f>
        <v>FY27</v>
      </c>
      <c r="AN17" s="4"/>
      <c r="AO17" s="4">
        <f>IFERROR(__xludf.DUMMYFUNCTION("""COMPUTED_VALUE"""),45553.0)</f>
        <v>45553</v>
      </c>
      <c r="AP17" s="4" t="str">
        <f>IFERROR(__xludf.DUMMYFUNCTION("""COMPUTED_VALUE"""),"ES")</f>
        <v>ES</v>
      </c>
      <c r="AQ17" s="4" t="str">
        <f>IFERROR(__xludf.DUMMYFUNCTION("""COMPUTED_VALUE"""),"LORENA PACHECO")</f>
        <v>LORENA PACHECO</v>
      </c>
      <c r="AR17" s="4" t="str">
        <f>IFERROR(__xludf.DUMMYFUNCTION("""COMPUTED_VALUE"""),"THAYNA MARINS")</f>
        <v>THAYNA MARINS</v>
      </c>
      <c r="AS17" s="4" t="str">
        <f>IFERROR(__xludf.DUMMYFUNCTION("""COMPUTED_VALUE"""),"FABIO DONATO")</f>
        <v>FABIO DONATO</v>
      </c>
      <c r="AT17" s="4" t="str">
        <f>IFERROR(__xludf.DUMMYFUNCTION("""COMPUTED_VALUE"""),"GILSON JUNIOR")</f>
        <v>GILSON JUNIOR</v>
      </c>
      <c r="AU17" s="4">
        <f>IFERROR(__xludf.DUMMYFUNCTION("""COMPUTED_VALUE"""),0.0)</f>
        <v>0</v>
      </c>
      <c r="AV17" s="4">
        <f>IFERROR(__xludf.DUMMYFUNCTION("""COMPUTED_VALUE"""),0.0)</f>
        <v>0</v>
      </c>
      <c r="AW17" s="4">
        <f>IFERROR(__xludf.DUMMYFUNCTION("""COMPUTED_VALUE"""),0.0)</f>
        <v>0</v>
      </c>
      <c r="AX17" s="4">
        <f>IFERROR(__xludf.DUMMYFUNCTION("""COMPUTED_VALUE"""),0.0)</f>
        <v>0</v>
      </c>
      <c r="AY17" s="4" t="str">
        <f>IFERROR(__xludf.DUMMYFUNCTION("""COMPUTED_VALUE"""),"Tigoo Serviços Ltda.")</f>
        <v>Tigoo Serviços Ltda.</v>
      </c>
      <c r="AZ17" s="4" t="str">
        <f>IFERROR(__xludf.DUMMYFUNCTION("""COMPUTED_VALUE"""),"Japonesa")</f>
        <v>Japonesa</v>
      </c>
      <c r="BA17" s="4">
        <f>IFERROR(__xludf.DUMMYFUNCTION("""COMPUTED_VALUE"""),65.0)</f>
        <v>65</v>
      </c>
      <c r="BB17" s="4" t="str">
        <f>IFERROR(__xludf.DUMMYFUNCTION("""COMPUTED_VALUE"""),"Fast Casual - Comida Japonesa")</f>
        <v>Fast Casual - Comida Japonesa</v>
      </c>
      <c r="BC17" s="4" t="str">
        <f>IFERROR(__xludf.DUMMYFUNCTION("""COMPUTED_VALUE"""),"Espírito Santo")</f>
        <v>Espírito Santo</v>
      </c>
      <c r="BD17" s="4"/>
      <c r="BE17" s="4">
        <f>IFERROR(__xludf.DUMMYFUNCTION("""COMPUTED_VALUE"""),70.0)</f>
        <v>70</v>
      </c>
      <c r="BF17" s="4">
        <f>IFERROR(__xludf.DUMMYFUNCTION("""COMPUTED_VALUE"""),0.75)</f>
        <v>0.75</v>
      </c>
      <c r="BG1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7" s="4" t="s">
        <v>68</v>
      </c>
      <c r="BI17" s="7">
        <v>0.5</v>
      </c>
    </row>
    <row r="18" hidden="1">
      <c r="A18" s="4" t="str">
        <f>IFERROR(__xludf.DUMMYFUNCTION("""COMPUTED_VALUE"""),"BAR DO ELIAS")</f>
        <v>BAR DO ELIAS</v>
      </c>
      <c r="B18" s="4" t="str">
        <f>IFERROR(__xludf.DUMMYFUNCTION("""COMPUTED_VALUE"""),"Lídia Esteves")</f>
        <v>Lídia Esteves</v>
      </c>
      <c r="C18" s="4" t="str">
        <f>IFERROR(__xludf.DUMMYFUNCTION("""COMPUTED_VALUE"""),"Gabriela Roma")</f>
        <v>Gabriela Roma</v>
      </c>
      <c r="D18" s="4" t="str">
        <f>IFERROR(__xludf.DUMMYFUNCTION("""COMPUTED_VALUE"""),"1. Iniciado")</f>
        <v>1. Iniciado</v>
      </c>
      <c r="E18" s="4" t="str">
        <f>IFERROR(__xludf.DUMMYFUNCTION("""COMPUTED_VALUE"""),"Delivery - Aguardando retorno / Conciliação agenda")</f>
        <v>Delivery - Aguardando retorno / Conciliação agenda</v>
      </c>
      <c r="F18" s="4" t="str">
        <f>IFERROR(__xludf.DUMMYFUNCTION("""COMPUTED_VALUE"""),"P")</f>
        <v>P</v>
      </c>
      <c r="G18" s="4"/>
      <c r="H18" s="4"/>
      <c r="I18" s="6">
        <f>IFERROR(__xludf.DUMMYFUNCTION("""COMPUTED_VALUE"""),46122.672642314814)</f>
        <v>46122.67264</v>
      </c>
      <c r="J18" s="4"/>
      <c r="K18" s="4"/>
      <c r="L18" s="4"/>
      <c r="M18" s="4"/>
      <c r="N18" s="4"/>
      <c r="O18" s="4"/>
      <c r="P18" s="4"/>
      <c r="Q18" s="4"/>
      <c r="R18" s="4"/>
      <c r="S18" s="4"/>
      <c r="T18" s="4"/>
      <c r="U18" s="4"/>
      <c r="V18" s="4"/>
      <c r="W18" s="4"/>
      <c r="X18" s="4"/>
      <c r="Y18" s="4"/>
      <c r="Z18" s="4"/>
      <c r="AA18" s="4">
        <f>IFERROR(__xludf.DUMMYFUNCTION("""COMPUTED_VALUE"""),8.0)</f>
        <v>8</v>
      </c>
      <c r="AB18" s="4" t="str">
        <f>IFERROR(__xludf.DUMMYFUNCTION("""COMPUTED_VALUE"""),"CE")</f>
        <v>CE</v>
      </c>
      <c r="AC18" s="4" t="str">
        <f>IFERROR(__xludf.DUMMYFUNCTION("""COMPUTED_VALUE"""),"Sim")</f>
        <v>Sim</v>
      </c>
      <c r="AD18" s="4" t="str">
        <f>IFERROR(__xludf.DUMMYFUNCTION("""COMPUTED_VALUE"""),"Ifood")</f>
        <v>Ifood</v>
      </c>
      <c r="AE18" s="4"/>
      <c r="AF18" s="4"/>
      <c r="AG18" s="4"/>
      <c r="AH18" s="4"/>
      <c r="AI18" s="4"/>
      <c r="AJ18" s="4"/>
      <c r="AK18" s="4"/>
      <c r="AL18" s="4"/>
      <c r="AM18" s="4" t="str">
        <f>IFERROR(__xludf.DUMMYFUNCTION("""COMPUTED_VALUE"""),"FY27")</f>
        <v>FY27</v>
      </c>
      <c r="AN18" s="4"/>
      <c r="AO18" s="4">
        <f>IFERROR(__xludf.DUMMYFUNCTION("""COMPUTED_VALUE"""),45553.0)</f>
        <v>45553</v>
      </c>
      <c r="AP18" s="4" t="str">
        <f>IFERROR(__xludf.DUMMYFUNCTION("""COMPUTED_VALUE"""),"RJ")</f>
        <v>RJ</v>
      </c>
      <c r="AQ18" s="4" t="str">
        <f>IFERROR(__xludf.DUMMYFUNCTION("""COMPUTED_VALUE"""),"ANA SALLES")</f>
        <v>ANA SALLES</v>
      </c>
      <c r="AR18" s="4" t="str">
        <f>IFERROR(__xludf.DUMMYFUNCTION("""COMPUTED_VALUE"""),"MARCELLA BRAGA")</f>
        <v>MARCELLA BRAGA</v>
      </c>
      <c r="AS18" s="4" t="str">
        <f>IFERROR(__xludf.DUMMYFUNCTION("""COMPUTED_VALUE"""),"NATHALIE MERTENS")</f>
        <v>NATHALIE MERTENS</v>
      </c>
      <c r="AT18" s="4" t="str">
        <f>IFERROR(__xludf.DUMMYFUNCTION("""COMPUTED_VALUE"""),"NATALIA COUTINHO")</f>
        <v>NATALIA COUTINHO</v>
      </c>
      <c r="AU18" s="4">
        <f>IFERROR(__xludf.DUMMYFUNCTION("""COMPUTED_VALUE"""),0.0)</f>
        <v>0</v>
      </c>
      <c r="AV18" s="4">
        <f>IFERROR(__xludf.DUMMYFUNCTION("""COMPUTED_VALUE"""),0.0)</f>
        <v>0</v>
      </c>
      <c r="AW18" s="4">
        <f>IFERROR(__xludf.DUMMYFUNCTION("""COMPUTED_VALUE"""),0.0)</f>
        <v>0</v>
      </c>
      <c r="AX18" s="4">
        <f>IFERROR(__xludf.DUMMYFUNCTION("""COMPUTED_VALUE"""),0.0)</f>
        <v>0</v>
      </c>
      <c r="AY18" s="4"/>
      <c r="AZ18" s="4" t="str">
        <f>IFERROR(__xludf.DUMMYFUNCTION("""COMPUTED_VALUE"""),"Árabe")</f>
        <v>Árabe</v>
      </c>
      <c r="BA18" s="4">
        <f>IFERROR(__xludf.DUMMYFUNCTION("""COMPUTED_VALUE"""),75.0)</f>
        <v>75</v>
      </c>
      <c r="BB18" s="4" t="str">
        <f>IFERROR(__xludf.DUMMYFUNCTION("""COMPUTED_VALUE"""),"Table Service - Boteco")</f>
        <v>Table Service - Boteco</v>
      </c>
      <c r="BC18" s="4" t="str">
        <f>IFERROR(__xludf.DUMMYFUNCTION("""COMPUTED_VALUE"""),"Regional")</f>
        <v>Regional</v>
      </c>
      <c r="BD18" s="4"/>
      <c r="BE18" s="4">
        <f>IFERROR(__xludf.DUMMYFUNCTION("""COMPUTED_VALUE"""),55.0)</f>
        <v>55</v>
      </c>
      <c r="BF18" s="4">
        <f>IFERROR(__xludf.DUMMYFUNCTION("""COMPUTED_VALUE"""),0.65)</f>
        <v>0.65</v>
      </c>
      <c r="BG1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8" s="4" t="s">
        <v>63</v>
      </c>
      <c r="BI18" s="7" t="s">
        <v>63</v>
      </c>
    </row>
    <row r="19" hidden="1">
      <c r="A19" s="4" t="str">
        <f>IFERROR(__xludf.DUMMYFUNCTION("""COMPUTED_VALUE"""),"BB DOG")</f>
        <v>BB DOG</v>
      </c>
      <c r="B19" s="4" t="str">
        <f>IFERROR(__xludf.DUMMYFUNCTION("""COMPUTED_VALUE"""),"Lídia Esteves")</f>
        <v>Lídia Esteves</v>
      </c>
      <c r="C19" s="4" t="str">
        <f>IFERROR(__xludf.DUMMYFUNCTION("""COMPUTED_VALUE"""),"Gabriela Roma")</f>
        <v>Gabriela Roma</v>
      </c>
      <c r="D19" s="4" t="str">
        <f>IFERROR(__xludf.DUMMYFUNCTION("""COMPUTED_VALUE"""),"0. Não Iniciado")</f>
        <v>0. Não Iniciado</v>
      </c>
      <c r="E19" s="4"/>
      <c r="F19" s="4" t="str">
        <f>IFERROR(__xludf.DUMMYFUNCTION("""COMPUTED_VALUE"""),"P")</f>
        <v>P</v>
      </c>
      <c r="G19" s="4"/>
      <c r="H19" s="4"/>
      <c r="I19" s="4"/>
      <c r="J19" s="4"/>
      <c r="K19" s="4"/>
      <c r="L19" s="4"/>
      <c r="M19" s="4"/>
      <c r="N19" s="4"/>
      <c r="O19" s="4"/>
      <c r="P19" s="4"/>
      <c r="Q19" s="4"/>
      <c r="R19" s="4"/>
      <c r="S19" s="4"/>
      <c r="T19" s="4"/>
      <c r="U19" s="4"/>
      <c r="V19" s="4"/>
      <c r="W19" s="4"/>
      <c r="X19" s="4"/>
      <c r="Y19" s="4"/>
      <c r="Z19" s="4"/>
      <c r="AA19" s="4">
        <f>IFERROR(__xludf.DUMMYFUNCTION("""COMPUTED_VALUE"""),6.0)</f>
        <v>6</v>
      </c>
      <c r="AB19" s="4" t="str">
        <f>IFERROR(__xludf.DUMMYFUNCTION("""COMPUTED_VALUE"""),"CE")</f>
        <v>CE</v>
      </c>
      <c r="AC19" s="4" t="str">
        <f>IFERROR(__xludf.DUMMYFUNCTION("""COMPUTED_VALUE"""),"Sim")</f>
        <v>Sim</v>
      </c>
      <c r="AD19" s="4" t="str">
        <f>IFERROR(__xludf.DUMMYFUNCTION("""COMPUTED_VALUE"""),"Ifood")</f>
        <v>Ifood</v>
      </c>
      <c r="AE19" s="4"/>
      <c r="AF19" s="4"/>
      <c r="AG19" s="4"/>
      <c r="AH19" s="4"/>
      <c r="AI19" s="4"/>
      <c r="AJ19" s="4"/>
      <c r="AK19" s="4"/>
      <c r="AL19" s="4"/>
      <c r="AM19" s="4" t="str">
        <f>IFERROR(__xludf.DUMMYFUNCTION("""COMPUTED_VALUE"""),"FY27")</f>
        <v>FY27</v>
      </c>
      <c r="AN19" s="4"/>
      <c r="AO19" s="4">
        <f>IFERROR(__xludf.DUMMYFUNCTION("""COMPUTED_VALUE"""),45553.0)</f>
        <v>45553</v>
      </c>
      <c r="AP19" s="4" t="str">
        <f>IFERROR(__xludf.DUMMYFUNCTION("""COMPUTED_VALUE"""),"SP")</f>
        <v>SP</v>
      </c>
      <c r="AQ19" s="4" t="str">
        <f>IFERROR(__xludf.DUMMYFUNCTION("""COMPUTED_VALUE"""),"EMILLY BIASI")</f>
        <v>EMILLY BIASI</v>
      </c>
      <c r="AR19" s="4" t="str">
        <f>IFERROR(__xludf.DUMMYFUNCTION("""COMPUTED_VALUE"""),"MONICA VICTORIO")</f>
        <v>MONICA VICTORIO</v>
      </c>
      <c r="AS19" s="4" t="str">
        <f>IFERROR(__xludf.DUMMYFUNCTION("""COMPUTED_VALUE"""),"ALAN HADDAD")</f>
        <v>ALAN HADDAD</v>
      </c>
      <c r="AT19" s="4" t="str">
        <f>IFERROR(__xludf.DUMMYFUNCTION("""COMPUTED_VALUE"""),"ISABELA DINIZ")</f>
        <v>ISABELA DINIZ</v>
      </c>
      <c r="AU19" s="4">
        <f>IFERROR(__xludf.DUMMYFUNCTION("""COMPUTED_VALUE"""),0.0)</f>
        <v>0</v>
      </c>
      <c r="AV19" s="4">
        <f>IFERROR(__xludf.DUMMYFUNCTION("""COMPUTED_VALUE"""),0.0)</f>
        <v>0</v>
      </c>
      <c r="AW19" s="4">
        <f>IFERROR(__xludf.DUMMYFUNCTION("""COMPUTED_VALUE"""),0.0)</f>
        <v>0</v>
      </c>
      <c r="AX19" s="4">
        <f>IFERROR(__xludf.DUMMYFUNCTION("""COMPUTED_VALUE"""),0.0)</f>
        <v>0</v>
      </c>
      <c r="AY19" s="4"/>
      <c r="AZ19" s="4" t="str">
        <f>IFERROR(__xludf.DUMMYFUNCTION("""COMPUTED_VALUE"""),"Lanches")</f>
        <v>Lanches</v>
      </c>
      <c r="BA19" s="4">
        <f>IFERROR(__xludf.DUMMYFUNCTION("""COMPUTED_VALUE"""),25.0)</f>
        <v>25</v>
      </c>
      <c r="BB19" s="4" t="str">
        <f>IFERROR(__xludf.DUMMYFUNCTION("""COMPUTED_VALUE"""),"QSR - Hot Dog")</f>
        <v>QSR - Hot Dog</v>
      </c>
      <c r="BC19" s="4" t="str">
        <f>IFERROR(__xludf.DUMMYFUNCTION("""COMPUTED_VALUE"""),"Regional")</f>
        <v>Regional</v>
      </c>
      <c r="BD19" s="4"/>
      <c r="BE19" s="4">
        <f>IFERROR(__xludf.DUMMYFUNCTION("""COMPUTED_VALUE"""),70.0)</f>
        <v>70</v>
      </c>
      <c r="BF19" s="4">
        <f>IFERROR(__xludf.DUMMYFUNCTION("""COMPUTED_VALUE"""),0.85)</f>
        <v>0.85</v>
      </c>
      <c r="BG19"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19" s="4" t="s">
        <v>69</v>
      </c>
      <c r="BI19" s="7">
        <v>1.0</v>
      </c>
    </row>
    <row r="20" hidden="1">
      <c r="A20" s="4" t="str">
        <f>IFERROR(__xludf.DUMMYFUNCTION("""COMPUTED_VALUE"""),"BELLA PIZZA")</f>
        <v>BELLA PIZZA</v>
      </c>
      <c r="B20" s="4" t="str">
        <f>IFERROR(__xludf.DUMMYFUNCTION("""COMPUTED_VALUE"""),"João Biagiotti")</f>
        <v>João Biagiotti</v>
      </c>
      <c r="C20" s="4" t="str">
        <f>IFERROR(__xludf.DUMMYFUNCTION("""COMPUTED_VALUE"""),"Diego Santos")</f>
        <v>Diego Santos</v>
      </c>
      <c r="D20" s="4" t="str">
        <f>IFERROR(__xludf.DUMMYFUNCTION("""COMPUTED_VALUE"""),"0. Não Iniciado")</f>
        <v>0. Não Iniciado</v>
      </c>
      <c r="E20" s="4"/>
      <c r="F20" s="4" t="str">
        <f>IFERROR(__xludf.DUMMYFUNCTION("""COMPUTED_VALUE"""),"P")</f>
        <v>P</v>
      </c>
      <c r="G20" s="4"/>
      <c r="H20" s="4"/>
      <c r="I20" s="4"/>
      <c r="J20" s="4"/>
      <c r="K20" s="4"/>
      <c r="L20" s="4"/>
      <c r="M20" s="4"/>
      <c r="N20" s="4"/>
      <c r="O20" s="4"/>
      <c r="P20" s="4"/>
      <c r="Q20" s="4"/>
      <c r="R20" s="4"/>
      <c r="S20" s="4"/>
      <c r="T20" s="4"/>
      <c r="U20" s="4"/>
      <c r="V20" s="4"/>
      <c r="W20" s="4"/>
      <c r="X20" s="4"/>
      <c r="Y20" s="4"/>
      <c r="Z20" s="4"/>
      <c r="AA20" s="4">
        <f>IFERROR(__xludf.DUMMYFUNCTION("""COMPUTED_VALUE"""),11.0)</f>
        <v>11</v>
      </c>
      <c r="AB20" s="4" t="str">
        <f>IFERROR(__xludf.DUMMYFUNCTION("""COMPUTED_VALUE"""),"CE")</f>
        <v>CE</v>
      </c>
      <c r="AC20" s="4" t="str">
        <f>IFERROR(__xludf.DUMMYFUNCTION("""COMPUTED_VALUE"""),"Sim")</f>
        <v>Sim</v>
      </c>
      <c r="AD20" s="4" t="str">
        <f>IFERROR(__xludf.DUMMYFUNCTION("""COMPUTED_VALUE"""),"Ifood")</f>
        <v>Ifood</v>
      </c>
      <c r="AE20" s="4"/>
      <c r="AF20" s="4"/>
      <c r="AG20" s="4"/>
      <c r="AH20" s="4"/>
      <c r="AI20" s="4"/>
      <c r="AJ20" s="4"/>
      <c r="AK20" s="4"/>
      <c r="AL20" s="4"/>
      <c r="AM20" s="4" t="str">
        <f>IFERROR(__xludf.DUMMYFUNCTION("""COMPUTED_VALUE"""),"FY27")</f>
        <v>FY27</v>
      </c>
      <c r="AN20" s="4"/>
      <c r="AO20" s="4">
        <f>IFERROR(__xludf.DUMMYFUNCTION("""COMPUTED_VALUE"""),45553.0)</f>
        <v>45553</v>
      </c>
      <c r="AP20" s="4" t="str">
        <f>IFERROR(__xludf.DUMMYFUNCTION("""COMPUTED_VALUE"""),"PB")</f>
        <v>PB</v>
      </c>
      <c r="AQ20" s="4" t="str">
        <f>IFERROR(__xludf.DUMMYFUNCTION("""COMPUTED_VALUE"""),"ANA ARAUJO")</f>
        <v>ANA ARAUJO</v>
      </c>
      <c r="AR20" s="4" t="str">
        <f>IFERROR(__xludf.DUMMYFUNCTION("""COMPUTED_VALUE"""),"TAINAR ALBUQUERQUE")</f>
        <v>TAINAR ALBUQUERQUE</v>
      </c>
      <c r="AS20" s="4" t="str">
        <f>IFERROR(__xludf.DUMMYFUNCTION("""COMPUTED_VALUE"""),"THIAGO ROMAGNOLE")</f>
        <v>THIAGO ROMAGNOLE</v>
      </c>
      <c r="AT20" s="4" t="str">
        <f>IFERROR(__xludf.DUMMYFUNCTION("""COMPUTED_VALUE"""),"ANDERSON LAUREANO")</f>
        <v>ANDERSON LAUREANO</v>
      </c>
      <c r="AU20" s="4">
        <f>IFERROR(__xludf.DUMMYFUNCTION("""COMPUTED_VALUE"""),0.0)</f>
        <v>0</v>
      </c>
      <c r="AV20" s="4">
        <f>IFERROR(__xludf.DUMMYFUNCTION("""COMPUTED_VALUE"""),0.0)</f>
        <v>0</v>
      </c>
      <c r="AW20" s="4">
        <f>IFERROR(__xludf.DUMMYFUNCTION("""COMPUTED_VALUE"""),0.0)</f>
        <v>0</v>
      </c>
      <c r="AX20" s="4">
        <f>IFERROR(__xludf.DUMMYFUNCTION("""COMPUTED_VALUE"""),0.0)</f>
        <v>0</v>
      </c>
      <c r="AY20" s="4" t="str">
        <f>IFERROR(__xludf.DUMMYFUNCTION("""COMPUTED_VALUE"""),"Saipos Serviços De Software")</f>
        <v>Saipos Serviços De Software</v>
      </c>
      <c r="AZ20" s="4" t="str">
        <f>IFERROR(__xludf.DUMMYFUNCTION("""COMPUTED_VALUE"""),"Pizza")</f>
        <v>Pizza</v>
      </c>
      <c r="BA20" s="4">
        <f>IFERROR(__xludf.DUMMYFUNCTION("""COMPUTED_VALUE"""),70.0)</f>
        <v>70</v>
      </c>
      <c r="BB20" s="4" t="str">
        <f>IFERROR(__xludf.DUMMYFUNCTION("""COMPUTED_VALUE"""),"Fast Casual - Pizzaria")</f>
        <v>Fast Casual - Pizzaria</v>
      </c>
      <c r="BC20" s="4" t="str">
        <f>IFERROR(__xludf.DUMMYFUNCTION("""COMPUTED_VALUE"""),"Regional")</f>
        <v>Regional</v>
      </c>
      <c r="BD20" s="4"/>
      <c r="BE20" s="4">
        <f>IFERROR(__xludf.DUMMYFUNCTION("""COMPUTED_VALUE"""),65.0)</f>
        <v>65</v>
      </c>
      <c r="BF20" s="4">
        <f>IFERROR(__xludf.DUMMYFUNCTION("""COMPUTED_VALUE"""),0.75)</f>
        <v>0.75</v>
      </c>
      <c r="BG2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0" s="4" t="s">
        <v>69</v>
      </c>
      <c r="BI20" s="7">
        <v>0.25</v>
      </c>
    </row>
    <row r="21" hidden="1">
      <c r="A21" s="4" t="str">
        <f>IFERROR(__xludf.DUMMYFUNCTION("""COMPUTED_VALUE"""),"BELLA SUSHI")</f>
        <v>BELLA SUSHI</v>
      </c>
      <c r="B21" s="4" t="str">
        <f>IFERROR(__xludf.DUMMYFUNCTION("""COMPUTED_VALUE"""),"João Biagiotti")</f>
        <v>João Biagiotti</v>
      </c>
      <c r="C21" s="4" t="str">
        <f>IFERROR(__xludf.DUMMYFUNCTION("""COMPUTED_VALUE"""),"Diego Santos")</f>
        <v>Diego Santos</v>
      </c>
      <c r="D21" s="4" t="str">
        <f>IFERROR(__xludf.DUMMYFUNCTION("""COMPUTED_VALUE"""),"0. Não Iniciado")</f>
        <v>0. Não Iniciado</v>
      </c>
      <c r="E21" s="4"/>
      <c r="F21" s="4" t="str">
        <f>IFERROR(__xludf.DUMMYFUNCTION("""COMPUTED_VALUE"""),"P")</f>
        <v>P</v>
      </c>
      <c r="G21" s="4"/>
      <c r="H21" s="4"/>
      <c r="I21" s="4"/>
      <c r="J21" s="4"/>
      <c r="K21" s="4"/>
      <c r="L21" s="4"/>
      <c r="M21" s="4"/>
      <c r="N21" s="4"/>
      <c r="O21" s="4"/>
      <c r="P21" s="4"/>
      <c r="Q21" s="4"/>
      <c r="R21" s="4"/>
      <c r="S21" s="4"/>
      <c r="T21" s="4"/>
      <c r="U21" s="4"/>
      <c r="V21" s="4"/>
      <c r="W21" s="4"/>
      <c r="X21" s="4"/>
      <c r="Y21" s="4"/>
      <c r="Z21" s="4"/>
      <c r="AA21" s="4">
        <f>IFERROR(__xludf.DUMMYFUNCTION("""COMPUTED_VALUE"""),8.0)</f>
        <v>8</v>
      </c>
      <c r="AB21" s="4" t="str">
        <f>IFERROR(__xludf.DUMMYFUNCTION("""COMPUTED_VALUE"""),"CE")</f>
        <v>CE</v>
      </c>
      <c r="AC21" s="4" t="str">
        <f>IFERROR(__xludf.DUMMYFUNCTION("""COMPUTED_VALUE"""),"Sim")</f>
        <v>Sim</v>
      </c>
      <c r="AD21" s="4" t="str">
        <f>IFERROR(__xludf.DUMMYFUNCTION("""COMPUTED_VALUE"""),"Ifood")</f>
        <v>Ifood</v>
      </c>
      <c r="AE21" s="4"/>
      <c r="AF21" s="4"/>
      <c r="AG21" s="4"/>
      <c r="AH21" s="4"/>
      <c r="AI21" s="4"/>
      <c r="AJ21" s="4"/>
      <c r="AK21" s="4"/>
      <c r="AL21" s="4"/>
      <c r="AM21" s="4" t="str">
        <f>IFERROR(__xludf.DUMMYFUNCTION("""COMPUTED_VALUE"""),"FY27")</f>
        <v>FY27</v>
      </c>
      <c r="AN21" s="4"/>
      <c r="AO21" s="4">
        <f>IFERROR(__xludf.DUMMYFUNCTION("""COMPUTED_VALUE"""),45553.0)</f>
        <v>45553</v>
      </c>
      <c r="AP21" s="4" t="str">
        <f>IFERROR(__xludf.DUMMYFUNCTION("""COMPUTED_VALUE"""),"SP")</f>
        <v>SP</v>
      </c>
      <c r="AQ21" s="4" t="str">
        <f>IFERROR(__xludf.DUMMYFUNCTION("""COMPUTED_VALUE"""),"ANDRE VALENTIM")</f>
        <v>ANDRE VALENTIM</v>
      </c>
      <c r="AR21" s="4" t="str">
        <f>IFERROR(__xludf.DUMMYFUNCTION("""COMPUTED_VALUE"""),"RAQUEL AGUIAR")</f>
        <v>RAQUEL AGUIAR</v>
      </c>
      <c r="AS21" s="4" t="str">
        <f>IFERROR(__xludf.DUMMYFUNCTION("""COMPUTED_VALUE"""),"NATHALIE MERTENS")</f>
        <v>NATHALIE MERTENS</v>
      </c>
      <c r="AT21" s="4" t="str">
        <f>IFERROR(__xludf.DUMMYFUNCTION("""COMPUTED_VALUE"""),"CIBELE OLIVEIRA")</f>
        <v>CIBELE OLIVEIRA</v>
      </c>
      <c r="AU21" s="4">
        <f>IFERROR(__xludf.DUMMYFUNCTION("""COMPUTED_VALUE"""),0.0)</f>
        <v>0</v>
      </c>
      <c r="AV21" s="4">
        <f>IFERROR(__xludf.DUMMYFUNCTION("""COMPUTED_VALUE"""),0.0)</f>
        <v>0</v>
      </c>
      <c r="AW21" s="4">
        <f>IFERROR(__xludf.DUMMYFUNCTION("""COMPUTED_VALUE"""),0.0)</f>
        <v>0</v>
      </c>
      <c r="AX21" s="4">
        <f>IFERROR(__xludf.DUMMYFUNCTION("""COMPUTED_VALUE"""),0.0)</f>
        <v>0</v>
      </c>
      <c r="AY21" s="4"/>
      <c r="AZ21" s="4" t="str">
        <f>IFERROR(__xludf.DUMMYFUNCTION("""COMPUTED_VALUE"""),"Pizza")</f>
        <v>Pizza</v>
      </c>
      <c r="BA21" s="4">
        <f>IFERROR(__xludf.DUMMYFUNCTION("""COMPUTED_VALUE"""),80.0)</f>
        <v>80</v>
      </c>
      <c r="BB21" s="4" t="str">
        <f>IFERROR(__xludf.DUMMYFUNCTION("""COMPUTED_VALUE"""),"Fast Casual - Sushi")</f>
        <v>Fast Casual - Sushi</v>
      </c>
      <c r="BC21" s="4" t="str">
        <f>IFERROR(__xludf.DUMMYFUNCTION("""COMPUTED_VALUE"""),"Regional")</f>
        <v>Regional</v>
      </c>
      <c r="BD21" s="4"/>
      <c r="BE21" s="4">
        <f>IFERROR(__xludf.DUMMYFUNCTION("""COMPUTED_VALUE"""),65.0)</f>
        <v>65</v>
      </c>
      <c r="BF21" s="4">
        <f>IFERROR(__xludf.DUMMYFUNCTION("""COMPUTED_VALUE"""),0.75)</f>
        <v>0.75</v>
      </c>
      <c r="BG2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1" s="4" t="s">
        <v>70</v>
      </c>
      <c r="BI21" s="7">
        <v>0.42857142857142855</v>
      </c>
    </row>
    <row r="22" hidden="1">
      <c r="A22" s="4" t="str">
        <f>IFERROR(__xludf.DUMMYFUNCTION("""COMPUTED_VALUE"""),"BENDITA ESFIHA")</f>
        <v>BENDITA ESFIHA</v>
      </c>
      <c r="B22" s="4" t="str">
        <f>IFERROR(__xludf.DUMMYFUNCTION("""COMPUTED_VALUE"""),"João Biagiotti")</f>
        <v>João Biagiotti</v>
      </c>
      <c r="C22" s="4" t="str">
        <f>IFERROR(__xludf.DUMMYFUNCTION("""COMPUTED_VALUE"""),"Diego Santos")</f>
        <v>Diego Santos</v>
      </c>
      <c r="D22" s="4" t="str">
        <f>IFERROR(__xludf.DUMMYFUNCTION("""COMPUTED_VALUE"""),"0. Não Iniciado")</f>
        <v>0. Não Iniciado</v>
      </c>
      <c r="E22" s="4"/>
      <c r="F22" s="4" t="str">
        <f>IFERROR(__xludf.DUMMYFUNCTION("""COMPUTED_VALUE"""),"P")</f>
        <v>P</v>
      </c>
      <c r="G22" s="4"/>
      <c r="H22" s="4"/>
      <c r="I22" s="4"/>
      <c r="J22" s="4"/>
      <c r="K22" s="4"/>
      <c r="L22" s="4"/>
      <c r="M22" s="4"/>
      <c r="N22" s="4"/>
      <c r="O22" s="4"/>
      <c r="P22" s="4"/>
      <c r="Q22" s="4"/>
      <c r="R22" s="4"/>
      <c r="S22" s="4"/>
      <c r="T22" s="4"/>
      <c r="U22" s="4"/>
      <c r="V22" s="4"/>
      <c r="W22" s="4"/>
      <c r="X22" s="4"/>
      <c r="Y22" s="4"/>
      <c r="Z22" s="4"/>
      <c r="AA22" s="4">
        <f>IFERROR(__xludf.DUMMYFUNCTION("""COMPUTED_VALUE"""),5.0)</f>
        <v>5</v>
      </c>
      <c r="AB22" s="4" t="str">
        <f>IFERROR(__xludf.DUMMYFUNCTION("""COMPUTED_VALUE"""),"CE")</f>
        <v>CE</v>
      </c>
      <c r="AC22" s="4" t="str">
        <f>IFERROR(__xludf.DUMMYFUNCTION("""COMPUTED_VALUE"""),"Sim")</f>
        <v>Sim</v>
      </c>
      <c r="AD22" s="4" t="str">
        <f>IFERROR(__xludf.DUMMYFUNCTION("""COMPUTED_VALUE"""),"Ifood")</f>
        <v>Ifood</v>
      </c>
      <c r="AE22" s="4"/>
      <c r="AF22" s="4"/>
      <c r="AG22" s="4"/>
      <c r="AH22" s="4"/>
      <c r="AI22" s="4"/>
      <c r="AJ22" s="4"/>
      <c r="AK22" s="4"/>
      <c r="AL22" s="4"/>
      <c r="AM22" s="4" t="str">
        <f>IFERROR(__xludf.DUMMYFUNCTION("""COMPUTED_VALUE"""),"FY27")</f>
        <v>FY27</v>
      </c>
      <c r="AN22" s="4"/>
      <c r="AO22" s="4">
        <f>IFERROR(__xludf.DUMMYFUNCTION("""COMPUTED_VALUE"""),45553.0)</f>
        <v>45553</v>
      </c>
      <c r="AP22" s="4" t="str">
        <f>IFERROR(__xludf.DUMMYFUNCTION("""COMPUTED_VALUE"""),"SP")</f>
        <v>SP</v>
      </c>
      <c r="AQ22" s="4" t="str">
        <f>IFERROR(__xludf.DUMMYFUNCTION("""COMPUTED_VALUE"""),"KAREN SOUTO")</f>
        <v>KAREN SOUTO</v>
      </c>
      <c r="AR22" s="4" t="str">
        <f>IFERROR(__xludf.DUMMYFUNCTION("""COMPUTED_VALUE"""),"FILIPE FERNANDES")</f>
        <v>FILIPE FERNANDES</v>
      </c>
      <c r="AS22" s="4" t="str">
        <f>IFERROR(__xludf.DUMMYFUNCTION("""COMPUTED_VALUE"""),"NATHALIE MERTENS")</f>
        <v>NATHALIE MERTENS</v>
      </c>
      <c r="AT22" s="4" t="str">
        <f>IFERROR(__xludf.DUMMYFUNCTION("""COMPUTED_VALUE"""),"CIBELE OLIVEIRA")</f>
        <v>CIBELE OLIVEIRA</v>
      </c>
      <c r="AU22" s="4">
        <f>IFERROR(__xludf.DUMMYFUNCTION("""COMPUTED_VALUE"""),0.0)</f>
        <v>0</v>
      </c>
      <c r="AV22" s="4">
        <f>IFERROR(__xludf.DUMMYFUNCTION("""COMPUTED_VALUE"""),0.0)</f>
        <v>0</v>
      </c>
      <c r="AW22" s="4">
        <f>IFERROR(__xludf.DUMMYFUNCTION("""COMPUTED_VALUE"""),0.0)</f>
        <v>0</v>
      </c>
      <c r="AX22" s="4">
        <f>IFERROR(__xludf.DUMMYFUNCTION("""COMPUTED_VALUE"""),0.0)</f>
        <v>0</v>
      </c>
      <c r="AY22" s="4"/>
      <c r="AZ22" s="4" t="str">
        <f>IFERROR(__xludf.DUMMYFUNCTION("""COMPUTED_VALUE"""),"Brasileira")</f>
        <v>Brasileira</v>
      </c>
      <c r="BA22" s="4">
        <f>IFERROR(__xludf.DUMMYFUNCTION("""COMPUTED_VALUE"""),45.0)</f>
        <v>45</v>
      </c>
      <c r="BB22" s="4" t="str">
        <f>IFERROR(__xludf.DUMMYFUNCTION("""COMPUTED_VALUE"""),"Fast Casual - Esfiharia")</f>
        <v>Fast Casual - Esfiharia</v>
      </c>
      <c r="BC22" s="4" t="str">
        <f>IFERROR(__xludf.DUMMYFUNCTION("""COMPUTED_VALUE"""),"São Bernardo do Campo/SP")</f>
        <v>São Bernardo do Campo/SP</v>
      </c>
      <c r="BD22" s="4"/>
      <c r="BE22" s="4">
        <f>IFERROR(__xludf.DUMMYFUNCTION("""COMPUTED_VALUE"""),65.0)</f>
        <v>65</v>
      </c>
      <c r="BF22" s="4">
        <f>IFERROR(__xludf.DUMMYFUNCTION("""COMPUTED_VALUE"""),0.75)</f>
        <v>0.75</v>
      </c>
      <c r="BG2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2" s="4" t="s">
        <v>71</v>
      </c>
      <c r="BI22" s="7">
        <v>0.6</v>
      </c>
    </row>
    <row r="23" hidden="1">
      <c r="A23" s="4" t="str">
        <f>IFERROR(__xludf.DUMMYFUNCTION("""COMPUTED_VALUE"""),"BENTO ACAITERIA")</f>
        <v>BENTO ACAITERIA</v>
      </c>
      <c r="B23" s="4" t="str">
        <f>IFERROR(__xludf.DUMMYFUNCTION("""COMPUTED_VALUE"""),"Lídia Esteves")</f>
        <v>Lídia Esteves</v>
      </c>
      <c r="C23" s="4" t="str">
        <f>IFERROR(__xludf.DUMMYFUNCTION("""COMPUTED_VALUE"""),"Gabriela Roma")</f>
        <v>Gabriela Roma</v>
      </c>
      <c r="D23" s="4" t="str">
        <f>IFERROR(__xludf.DUMMYFUNCTION("""COMPUTED_VALUE"""),"0. Não Iniciado")</f>
        <v>0. Não Iniciado</v>
      </c>
      <c r="E23" s="4"/>
      <c r="F23" s="4" t="str">
        <f>IFERROR(__xludf.DUMMYFUNCTION("""COMPUTED_VALUE"""),"P")</f>
        <v>P</v>
      </c>
      <c r="G23" s="4"/>
      <c r="H23" s="4"/>
      <c r="I23" s="4"/>
      <c r="J23" s="4"/>
      <c r="K23" s="4"/>
      <c r="L23" s="4"/>
      <c r="M23" s="4"/>
      <c r="N23" s="4"/>
      <c r="O23" s="4"/>
      <c r="P23" s="4"/>
      <c r="Q23" s="4"/>
      <c r="R23" s="4"/>
      <c r="S23" s="4"/>
      <c r="T23" s="4"/>
      <c r="U23" s="4"/>
      <c r="V23" s="4"/>
      <c r="W23" s="4"/>
      <c r="X23" s="4"/>
      <c r="Y23" s="4"/>
      <c r="Z23" s="4"/>
      <c r="AA23" s="4">
        <f>IFERROR(__xludf.DUMMYFUNCTION("""COMPUTED_VALUE"""),10.0)</f>
        <v>10</v>
      </c>
      <c r="AB23" s="4" t="str">
        <f>IFERROR(__xludf.DUMMYFUNCTION("""COMPUTED_VALUE"""),"CE")</f>
        <v>CE</v>
      </c>
      <c r="AC23" s="4" t="str">
        <f>IFERROR(__xludf.DUMMYFUNCTION("""COMPUTED_VALUE"""),"Sim")</f>
        <v>Sim</v>
      </c>
      <c r="AD23" s="4" t="str">
        <f>IFERROR(__xludf.DUMMYFUNCTION("""COMPUTED_VALUE"""),"Ifood")</f>
        <v>Ifood</v>
      </c>
      <c r="AE23" s="4"/>
      <c r="AF23" s="4"/>
      <c r="AG23" s="4"/>
      <c r="AH23" s="4"/>
      <c r="AI23" s="4"/>
      <c r="AJ23" s="4"/>
      <c r="AK23" s="4"/>
      <c r="AL23" s="4"/>
      <c r="AM23" s="4" t="str">
        <f>IFERROR(__xludf.DUMMYFUNCTION("""COMPUTED_VALUE"""),"FY27")</f>
        <v>FY27</v>
      </c>
      <c r="AN23" s="4"/>
      <c r="AO23" s="4">
        <f>IFERROR(__xludf.DUMMYFUNCTION("""COMPUTED_VALUE"""),45553.0)</f>
        <v>45553</v>
      </c>
      <c r="AP23" s="4" t="str">
        <f>IFERROR(__xludf.DUMMYFUNCTION("""COMPUTED_VALUE"""),"RS")</f>
        <v>RS</v>
      </c>
      <c r="AQ23" s="4" t="str">
        <f>IFERROR(__xludf.DUMMYFUNCTION("""COMPUTED_VALUE"""),"SHAYANA JACOM")</f>
        <v>SHAYANA JACOM</v>
      </c>
      <c r="AR23" s="4" t="str">
        <f>IFERROR(__xludf.DUMMYFUNCTION("""COMPUTED_VALUE"""),"GABRIEL RUAS")</f>
        <v>GABRIEL RUAS</v>
      </c>
      <c r="AS23" s="4" t="str">
        <f>IFERROR(__xludf.DUMMYFUNCTION("""COMPUTED_VALUE"""),"FABIO DONATO")</f>
        <v>FABIO DONATO</v>
      </c>
      <c r="AT23" s="4" t="str">
        <f>IFERROR(__xludf.DUMMYFUNCTION("""COMPUTED_VALUE"""),"CAMILA HOLANDA")</f>
        <v>CAMILA HOLANDA</v>
      </c>
      <c r="AU23" s="4">
        <f>IFERROR(__xludf.DUMMYFUNCTION("""COMPUTED_VALUE"""),0.0)</f>
        <v>0</v>
      </c>
      <c r="AV23" s="4">
        <f>IFERROR(__xludf.DUMMYFUNCTION("""COMPUTED_VALUE"""),0.0)</f>
        <v>0</v>
      </c>
      <c r="AW23" s="4">
        <f>IFERROR(__xludf.DUMMYFUNCTION("""COMPUTED_VALUE"""),0.0)</f>
        <v>0</v>
      </c>
      <c r="AX23" s="4">
        <f>IFERROR(__xludf.DUMMYFUNCTION("""COMPUTED_VALUE"""),0.0)</f>
        <v>0</v>
      </c>
      <c r="AY23" s="4"/>
      <c r="AZ23" s="4" t="str">
        <f>IFERROR(__xludf.DUMMYFUNCTION("""COMPUTED_VALUE"""),"Açaí")</f>
        <v>Açaí</v>
      </c>
      <c r="BA23" s="4" t="str">
        <f>IFERROR(__xludf.DUMMYFUNCTION("""COMPUTED_VALUE"""),"")</f>
        <v/>
      </c>
      <c r="BB23" s="4" t="str">
        <f>IFERROR(__xludf.DUMMYFUNCTION("""COMPUTED_VALUE"""),"")</f>
        <v/>
      </c>
      <c r="BC23" s="4" t="str">
        <f>IFERROR(__xludf.DUMMYFUNCTION("""COMPUTED_VALUE"""),"")</f>
        <v/>
      </c>
      <c r="BD23" s="4" t="str">
        <f>IFERROR(__xludf.DUMMYFUNCTION("""COMPUTED_VALUE"""),"")</f>
        <v/>
      </c>
      <c r="BE23" s="4" t="str">
        <f>IFERROR(__xludf.DUMMYFUNCTION("""COMPUTED_VALUE"""),"")</f>
        <v/>
      </c>
      <c r="BF23" s="4" t="str">
        <f>IFERROR(__xludf.DUMMYFUNCTION("""COMPUTED_VALUE"""),"")</f>
        <v/>
      </c>
      <c r="BG23" s="4" t="str">
        <f>IFERROR(__xludf.DUMMYFUNCTION("""COMPUTED_VALUE"""),"")</f>
        <v/>
      </c>
      <c r="BH23" s="4" t="s">
        <v>63</v>
      </c>
      <c r="BI23" s="7" t="s">
        <v>63</v>
      </c>
    </row>
    <row r="24" hidden="1">
      <c r="A24" s="4" t="str">
        <f>IFERROR(__xludf.DUMMYFUNCTION("""COMPUTED_VALUE"""),"BERCY VILLAGE")</f>
        <v>BERCY VILLAGE</v>
      </c>
      <c r="B24" s="4" t="str">
        <f>IFERROR(__xludf.DUMMYFUNCTION("""COMPUTED_VALUE"""),"João Biagiotti")</f>
        <v>João Biagiotti</v>
      </c>
      <c r="C24" s="4" t="str">
        <f>IFERROR(__xludf.DUMMYFUNCTION("""COMPUTED_VALUE"""),"Diego Santos")</f>
        <v>Diego Santos</v>
      </c>
      <c r="D24" s="4" t="str">
        <f>IFERROR(__xludf.DUMMYFUNCTION("""COMPUTED_VALUE"""),"10. Perdido")</f>
        <v>10. Perdido</v>
      </c>
      <c r="E24" s="4" t="str">
        <f>IFERROR(__xludf.DUMMYFUNCTION("""COMPUTED_VALUE"""),"Perdido -  Momento do restaurante não favorável")</f>
        <v>Perdido -  Momento do restaurante não favorável</v>
      </c>
      <c r="F24" s="4" t="str">
        <f>IFERROR(__xludf.DUMMYFUNCTION("""COMPUTED_VALUE"""),"P")</f>
        <v>P</v>
      </c>
      <c r="G24" s="5">
        <f>IFERROR(__xludf.DUMMYFUNCTION("""COMPUTED_VALUE"""),46119.0)</f>
        <v>46119</v>
      </c>
      <c r="H24" s="4" t="str">
        <f>IFERROR(__xludf.DUMMYFUNCTION("""COMPUTED_VALUE"""),"Já foi realizado uma agenda presencial com a marca, no qual a diretoria nao quer seguir. ")</f>
        <v>Já foi realizado uma agenda presencial com a marca, no qual a diretoria nao quer seguir. </v>
      </c>
      <c r="I24" s="6">
        <f>IFERROR(__xludf.DUMMYFUNCTION("""COMPUTED_VALUE"""),46120.59670476852)</f>
        <v>46120.5967</v>
      </c>
      <c r="J24" s="6">
        <f>IFERROR(__xludf.DUMMYFUNCTION("""COMPUTED_VALUE"""),46125.436089201394)</f>
        <v>46125.43609</v>
      </c>
      <c r="K24" s="4"/>
      <c r="L24" s="4"/>
      <c r="M24" s="4"/>
      <c r="N24" s="4"/>
      <c r="O24" s="4"/>
      <c r="P24" s="4"/>
      <c r="Q24" s="4"/>
      <c r="R24" s="6">
        <f>IFERROR(__xludf.DUMMYFUNCTION("""COMPUTED_VALUE"""),46129.49547576389)</f>
        <v>46129.49548</v>
      </c>
      <c r="S24" s="4"/>
      <c r="T24" s="4"/>
      <c r="U24" s="4"/>
      <c r="V24" s="4" t="str">
        <f>IFERROR(__xludf.DUMMYFUNCTION("""COMPUTED_VALUE"""),"Sem interesse em mudar de PDV")</f>
        <v>Sem interesse em mudar de PDV</v>
      </c>
      <c r="W24" s="4"/>
      <c r="X24" s="4"/>
      <c r="Y24" s="4"/>
      <c r="Z24" s="4"/>
      <c r="AA24" s="4">
        <f>IFERROR(__xludf.DUMMYFUNCTION("""COMPUTED_VALUE"""),8.0)</f>
        <v>8</v>
      </c>
      <c r="AB24" s="4" t="str">
        <f>IFERROR(__xludf.DUMMYFUNCTION("""COMPUTED_VALUE"""),"CE")</f>
        <v>CE</v>
      </c>
      <c r="AC24" s="4" t="str">
        <f>IFERROR(__xludf.DUMMYFUNCTION("""COMPUTED_VALUE"""),"Sim")</f>
        <v>Sim</v>
      </c>
      <c r="AD24" s="4" t="str">
        <f>IFERROR(__xludf.DUMMYFUNCTION("""COMPUTED_VALUE"""),"Ifood")</f>
        <v>Ifood</v>
      </c>
      <c r="AE24" s="4"/>
      <c r="AF24" s="4"/>
      <c r="AG24" s="4"/>
      <c r="AH24" s="4"/>
      <c r="AI24" s="4"/>
      <c r="AJ24" s="4"/>
      <c r="AK24" s="4"/>
      <c r="AL24" s="4"/>
      <c r="AM24" s="4" t="str">
        <f>IFERROR(__xludf.DUMMYFUNCTION("""COMPUTED_VALUE"""),"FY27")</f>
        <v>FY27</v>
      </c>
      <c r="AN24" s="4"/>
      <c r="AO24" s="4">
        <f>IFERROR(__xludf.DUMMYFUNCTION("""COMPUTED_VALUE"""),96.0)</f>
        <v>96</v>
      </c>
      <c r="AP24" s="4" t="str">
        <f>IFERROR(__xludf.DUMMYFUNCTION("""COMPUTED_VALUE"""),"SP")</f>
        <v>SP</v>
      </c>
      <c r="AQ24" s="4" t="str">
        <f>IFERROR(__xludf.DUMMYFUNCTION("""COMPUTED_VALUE"""),"JENNIFER SIQUEIRA")</f>
        <v>JENNIFER SIQUEIRA</v>
      </c>
      <c r="AR24" s="4" t="str">
        <f>IFERROR(__xludf.DUMMYFUNCTION("""COMPUTED_VALUE"""),"TERESA SIMOES")</f>
        <v>TERESA SIMOES</v>
      </c>
      <c r="AS24" s="4" t="str">
        <f>IFERROR(__xludf.DUMMYFUNCTION("""COMPUTED_VALUE"""),"THIAGO ROMAGNOLE")</f>
        <v>THIAGO ROMAGNOLE</v>
      </c>
      <c r="AT24" s="4" t="str">
        <f>IFERROR(__xludf.DUMMYFUNCTION("""COMPUTED_VALUE"""),"ANDERSON LAUREANO")</f>
        <v>ANDERSON LAUREANO</v>
      </c>
      <c r="AU24" s="4">
        <f>IFERROR(__xludf.DUMMYFUNCTION("""COMPUTED_VALUE"""),0.0)</f>
        <v>0</v>
      </c>
      <c r="AV24" s="4">
        <f>IFERROR(__xludf.DUMMYFUNCTION("""COMPUTED_VALUE"""),0.0)</f>
        <v>0</v>
      </c>
      <c r="AW24" s="4">
        <f>IFERROR(__xludf.DUMMYFUNCTION("""COMPUTED_VALUE"""),0.0)</f>
        <v>0</v>
      </c>
      <c r="AX24" s="4">
        <f>IFERROR(__xludf.DUMMYFUNCTION("""COMPUTED_VALUE"""),0.0)</f>
        <v>0</v>
      </c>
      <c r="AY24" s="4"/>
      <c r="AZ24" s="4" t="str">
        <f>IFERROR(__xludf.DUMMYFUNCTION("""COMPUTED_VALUE"""),"Saudável")</f>
        <v>Saudável</v>
      </c>
      <c r="BA24" s="4" t="str">
        <f>IFERROR(__xludf.DUMMYFUNCTION("""COMPUTED_VALUE"""),"")</f>
        <v/>
      </c>
      <c r="BB24" s="4" t="str">
        <f>IFERROR(__xludf.DUMMYFUNCTION("""COMPUTED_VALUE"""),"")</f>
        <v/>
      </c>
      <c r="BC24" s="4" t="str">
        <f>IFERROR(__xludf.DUMMYFUNCTION("""COMPUTED_VALUE"""),"")</f>
        <v/>
      </c>
      <c r="BD24" s="4" t="str">
        <f>IFERROR(__xludf.DUMMYFUNCTION("""COMPUTED_VALUE"""),"")</f>
        <v/>
      </c>
      <c r="BE24" s="4" t="str">
        <f>IFERROR(__xludf.DUMMYFUNCTION("""COMPUTED_VALUE"""),"")</f>
        <v/>
      </c>
      <c r="BF24" s="4" t="str">
        <f>IFERROR(__xludf.DUMMYFUNCTION("""COMPUTED_VALUE"""),"")</f>
        <v/>
      </c>
      <c r="BG24" s="4" t="str">
        <f>IFERROR(__xludf.DUMMYFUNCTION("""COMPUTED_VALUE"""),"")</f>
        <v/>
      </c>
      <c r="BH24" s="4" t="s">
        <v>72</v>
      </c>
      <c r="BI24" s="7">
        <v>1.0</v>
      </c>
    </row>
    <row r="25" hidden="1">
      <c r="A25" s="4" t="str">
        <f>IFERROR(__xludf.DUMMYFUNCTION("""COMPUTED_VALUE"""),"BERRYS - CONTA PAI")</f>
        <v>BERRYS - CONTA PAI</v>
      </c>
      <c r="B25" s="4" t="str">
        <f>IFERROR(__xludf.DUMMYFUNCTION("""COMPUTED_VALUE"""),"João Biagiotti")</f>
        <v>João Biagiotti</v>
      </c>
      <c r="C25" s="4" t="str">
        <f>IFERROR(__xludf.DUMMYFUNCTION("""COMPUTED_VALUE"""),"Diego Santos")</f>
        <v>Diego Santos</v>
      </c>
      <c r="D25" s="4" t="str">
        <f>IFERROR(__xludf.DUMMYFUNCTION("""COMPUTED_VALUE"""),"2. Primeiro Contato com a marca")</f>
        <v>2. Primeiro Contato com a marca</v>
      </c>
      <c r="E25" s="4" t="str">
        <f>IFERROR(__xludf.DUMMYFUNCTION("""COMPUTED_VALUE"""),"Parceiro - Aguardando retorno parceiro")</f>
        <v>Parceiro - Aguardando retorno parceiro</v>
      </c>
      <c r="F25" s="4" t="str">
        <f>IFERROR(__xludf.DUMMYFUNCTION("""COMPUTED_VALUE"""),"M")</f>
        <v>M</v>
      </c>
      <c r="G25" s="5">
        <f>IFERROR(__xludf.DUMMYFUNCTION("""COMPUTED_VALUE"""),46135.0)</f>
        <v>46135</v>
      </c>
      <c r="H25" s="4" t="str">
        <f>IFERROR(__xludf.DUMMYFUNCTION("""COMPUTED_VALUE"""),"Foi enviado mensagem para o Henrique, aguardando retorno")</f>
        <v>Foi enviado mensagem para o Henrique, aguardando retorno</v>
      </c>
      <c r="I25" s="6">
        <f>IFERROR(__xludf.DUMMYFUNCTION("""COMPUTED_VALUE"""),46125.39505331019)</f>
        <v>46125.39505</v>
      </c>
      <c r="J25" s="6">
        <f>IFERROR(__xludf.DUMMYFUNCTION("""COMPUTED_VALUE"""),46125.4362820949)</f>
        <v>46125.43628</v>
      </c>
      <c r="K25" s="4"/>
      <c r="L25" s="4"/>
      <c r="M25" s="4"/>
      <c r="N25" s="4"/>
      <c r="O25" s="4"/>
      <c r="P25" s="4"/>
      <c r="Q25" s="4"/>
      <c r="R25" s="4"/>
      <c r="S25" s="4"/>
      <c r="T25" s="4"/>
      <c r="U25" s="4"/>
      <c r="V25" s="4"/>
      <c r="W25" s="4"/>
      <c r="X25" s="4"/>
      <c r="Y25" s="4"/>
      <c r="Z25" s="4"/>
      <c r="AA25" s="4">
        <f>IFERROR(__xludf.DUMMYFUNCTION("""COMPUTED_VALUE"""),40.0)</f>
        <v>40</v>
      </c>
      <c r="AB25" s="4" t="str">
        <f>IFERROR(__xludf.DUMMYFUNCTION("""COMPUTED_VALUE"""),"-")</f>
        <v>-</v>
      </c>
      <c r="AC25" s="4" t="str">
        <f>IFERROR(__xludf.DUMMYFUNCTION("""COMPUTED_VALUE"""),"Sim")</f>
        <v>Sim</v>
      </c>
      <c r="AD25" s="4" t="str">
        <f>IFERROR(__xludf.DUMMYFUNCTION("""COMPUTED_VALUE"""),"Unika Sistemas Ltda")</f>
        <v>Unika Sistemas Ltda</v>
      </c>
      <c r="AE25" s="4"/>
      <c r="AF25" s="4"/>
      <c r="AG25" s="4"/>
      <c r="AH25" s="4"/>
      <c r="AI25" s="4"/>
      <c r="AJ25" s="4"/>
      <c r="AK25" s="4"/>
      <c r="AL25" s="4"/>
      <c r="AM25" s="4" t="str">
        <f>IFERROR(__xludf.DUMMYFUNCTION("""COMPUTED_VALUE"""),"FY27")</f>
        <v>FY27</v>
      </c>
      <c r="AN25" s="4"/>
      <c r="AO25" s="4">
        <f>IFERROR(__xludf.DUMMYFUNCTION("""COMPUTED_VALUE"""),80.0)</f>
        <v>80</v>
      </c>
      <c r="AP25" s="4" t="str">
        <f>IFERROR(__xludf.DUMMYFUNCTION("""COMPUTED_VALUE"""),"MG")</f>
        <v>MG</v>
      </c>
      <c r="AQ25" s="4" t="str">
        <f>IFERROR(__xludf.DUMMYFUNCTION("""COMPUTED_VALUE"""),"CARLOS JESUS")</f>
        <v>CARLOS JESUS</v>
      </c>
      <c r="AR25" s="4" t="str">
        <f>IFERROR(__xludf.DUMMYFUNCTION("""COMPUTED_VALUE"""),"RODRIGO BRITO")</f>
        <v>RODRIGO BRITO</v>
      </c>
      <c r="AS25" s="4" t="str">
        <f>IFERROR(__xludf.DUMMYFUNCTION("""COMPUTED_VALUE"""),"FABIO DONATO")</f>
        <v>FABIO DONATO</v>
      </c>
      <c r="AT25" s="4" t="str">
        <f>IFERROR(__xludf.DUMMYFUNCTION("""COMPUTED_VALUE"""),"GILSON JUNIOR")</f>
        <v>GILSON JUNIOR</v>
      </c>
      <c r="AU25" s="4">
        <f>IFERROR(__xludf.DUMMYFUNCTION("""COMPUTED_VALUE"""),0.0)</f>
        <v>0</v>
      </c>
      <c r="AV25" s="4">
        <f>IFERROR(__xludf.DUMMYFUNCTION("""COMPUTED_VALUE"""),0.0)</f>
        <v>0</v>
      </c>
      <c r="AW25" s="4">
        <f>IFERROR(__xludf.DUMMYFUNCTION("""COMPUTED_VALUE"""),0.0)</f>
        <v>0</v>
      </c>
      <c r="AX25" s="4">
        <f>IFERROR(__xludf.DUMMYFUNCTION("""COMPUTED_VALUE"""),0.0)</f>
        <v>0</v>
      </c>
      <c r="AY25" s="4"/>
      <c r="AZ25" s="4" t="str">
        <f>IFERROR(__xludf.DUMMYFUNCTION("""COMPUTED_VALUE"""),"Sorvetes")</f>
        <v>Sorvetes</v>
      </c>
      <c r="BA25" s="4" t="str">
        <f>IFERROR(__xludf.DUMMYFUNCTION("""COMPUTED_VALUE"""),"")</f>
        <v/>
      </c>
      <c r="BB25" s="4" t="str">
        <f>IFERROR(__xludf.DUMMYFUNCTION("""COMPUTED_VALUE"""),"")</f>
        <v/>
      </c>
      <c r="BC25" s="4" t="str">
        <f>IFERROR(__xludf.DUMMYFUNCTION("""COMPUTED_VALUE"""),"")</f>
        <v/>
      </c>
      <c r="BD25" s="4" t="str">
        <f>IFERROR(__xludf.DUMMYFUNCTION("""COMPUTED_VALUE"""),"")</f>
        <v/>
      </c>
      <c r="BE25" s="4" t="str">
        <f>IFERROR(__xludf.DUMMYFUNCTION("""COMPUTED_VALUE"""),"")</f>
        <v/>
      </c>
      <c r="BF25" s="4" t="str">
        <f>IFERROR(__xludf.DUMMYFUNCTION("""COMPUTED_VALUE"""),"")</f>
        <v/>
      </c>
      <c r="BG25" s="4" t="str">
        <f>IFERROR(__xludf.DUMMYFUNCTION("""COMPUTED_VALUE"""),"")</f>
        <v/>
      </c>
      <c r="BH25" s="4" t="s">
        <v>64</v>
      </c>
      <c r="BI25" s="7">
        <v>0.7333333333333333</v>
      </c>
    </row>
    <row r="26" hidden="1">
      <c r="A26" s="4" t="str">
        <f>IFERROR(__xludf.DUMMYFUNCTION("""COMPUTED_VALUE"""),"BEST - UBERLANDIA")</f>
        <v>BEST - UBERLANDIA</v>
      </c>
      <c r="B26" s="4" t="str">
        <f>IFERROR(__xludf.DUMMYFUNCTION("""COMPUTED_VALUE"""),"João Biagiotti")</f>
        <v>João Biagiotti</v>
      </c>
      <c r="C26" s="4" t="str">
        <f>IFERROR(__xludf.DUMMYFUNCTION("""COMPUTED_VALUE"""),"Diego Santos")</f>
        <v>Diego Santos</v>
      </c>
      <c r="D26" s="4" t="str">
        <f>IFERROR(__xludf.DUMMYFUNCTION("""COMPUTED_VALUE"""),"9. Contrato assinado")</f>
        <v>9. Contrato assinado</v>
      </c>
      <c r="E26" s="4" t="str">
        <f>IFERROR(__xludf.DUMMYFUNCTION("""COMPUTED_VALUE"""),"Projetos - Em piloto")</f>
        <v>Projetos - Em piloto</v>
      </c>
      <c r="F26" s="4" t="str">
        <f>IFERROR(__xludf.DUMMYFUNCTION("""COMPUTED_VALUE"""),"P")</f>
        <v>P</v>
      </c>
      <c r="G26" s="5">
        <f>IFERROR(__xludf.DUMMYFUNCTION("""COMPUTED_VALUE"""),46160.0)</f>
        <v>46160</v>
      </c>
      <c r="H26" s="4" t="str">
        <f>IFERROR(__xludf.DUMMYFUNCTION("""COMPUTED_VALUE"""),"iniciar fluxo com time de projetos")</f>
        <v>iniciar fluxo com time de projetos</v>
      </c>
      <c r="I26" s="6">
        <f>IFERROR(__xludf.DUMMYFUNCTION("""COMPUTED_VALUE"""),46120.45318547454)</f>
        <v>46120.45319</v>
      </c>
      <c r="J26" s="6">
        <f>IFERROR(__xludf.DUMMYFUNCTION("""COMPUTED_VALUE"""),46127.64286841435)</f>
        <v>46127.64287</v>
      </c>
      <c r="K26" s="6">
        <f>IFERROR(__xludf.DUMMYFUNCTION("""COMPUTED_VALUE"""),46128.64338699074)</f>
        <v>46128.64339</v>
      </c>
      <c r="L26" s="6">
        <f>IFERROR(__xludf.DUMMYFUNCTION("""COMPUTED_VALUE"""),46140.6621059375)</f>
        <v>46140.66211</v>
      </c>
      <c r="M26" s="6">
        <f>IFERROR(__xludf.DUMMYFUNCTION("""COMPUTED_VALUE"""),46140.662663229166)</f>
        <v>46140.66266</v>
      </c>
      <c r="N26" s="6">
        <f>IFERROR(__xludf.DUMMYFUNCTION("""COMPUTED_VALUE"""),46155.397801875)</f>
        <v>46155.3978</v>
      </c>
      <c r="O26" s="6">
        <f>IFERROR(__xludf.DUMMYFUNCTION("""COMPUTED_VALUE"""),46160.62193255787)</f>
        <v>46160.62193</v>
      </c>
      <c r="P26" s="6">
        <f>IFERROR(__xludf.DUMMYFUNCTION("""COMPUTED_VALUE"""),46160.62347851852)</f>
        <v>46160.62348</v>
      </c>
      <c r="Q26" s="6">
        <f>IFERROR(__xludf.DUMMYFUNCTION("""COMPUTED_VALUE"""),46160.62356586805)</f>
        <v>46160.62357</v>
      </c>
      <c r="R26" s="4"/>
      <c r="S26" s="4"/>
      <c r="T26" s="4"/>
      <c r="U26" s="4"/>
      <c r="V26" s="4"/>
      <c r="W26" s="8">
        <f>IFERROR(__xludf.DUMMYFUNCTION("""COMPUTED_VALUE"""),470.0)</f>
        <v>470</v>
      </c>
      <c r="X26" s="4" t="str">
        <f>IFERROR(__xludf.DUMMYFUNCTION("""COMPUTED_VALUE"""),"1 ano")</f>
        <v>1 ano</v>
      </c>
      <c r="Y26" s="8">
        <f>IFERROR(__xludf.DUMMYFUNCTION("""COMPUTED_VALUE"""),0.0)</f>
        <v>0</v>
      </c>
      <c r="Z26" s="8">
        <f>IFERROR(__xludf.DUMMYFUNCTION("""COMPUTED_VALUE"""),2500.0)</f>
        <v>2500</v>
      </c>
      <c r="AA26" s="4">
        <f>IFERROR(__xludf.DUMMYFUNCTION("""COMPUTED_VALUE"""),5.0)</f>
        <v>5</v>
      </c>
      <c r="AB26" s="4" t="str">
        <f>IFERROR(__xludf.DUMMYFUNCTION("""COMPUTED_VALUE"""),"CE")</f>
        <v>CE</v>
      </c>
      <c r="AC26" s="4" t="str">
        <f>IFERROR(__xludf.DUMMYFUNCTION("""COMPUTED_VALUE"""),"Sim")</f>
        <v>Sim</v>
      </c>
      <c r="AD26" s="4" t="str">
        <f>IFERROR(__xludf.DUMMYFUNCTION("""COMPUTED_VALUE"""),"Ifood")</f>
        <v>Ifood</v>
      </c>
      <c r="AE26" s="4">
        <f>IFERROR(__xludf.DUMMYFUNCTION("""COMPUTED_VALUE"""),1.0)</f>
        <v>1</v>
      </c>
      <c r="AF26" s="4">
        <f>IFERROR(__xludf.DUMMYFUNCTION("""COMPUTED_VALUE"""),6.0)</f>
        <v>6</v>
      </c>
      <c r="AG26" s="4" t="str">
        <f>IFERROR(__xludf.DUMMYFUNCTION("""COMPUTED_VALUE"""),"30 dias")</f>
        <v>30 dias</v>
      </c>
      <c r="AH26" s="4">
        <f>IFERROR(__xludf.DUMMYFUNCTION("""COMPUTED_VALUE"""),12.0)</f>
        <v>12</v>
      </c>
      <c r="AI26" s="4" t="str">
        <f>IFERROR(__xludf.DUMMYFUNCTION("""COMPUTED_VALUE"""),"200k")</f>
        <v>200k</v>
      </c>
      <c r="AJ26" s="4" t="str">
        <f>IFERROR(__xludf.DUMMYFUNCTION("""COMPUTED_VALUE"""),"não informado")</f>
        <v>não informado</v>
      </c>
      <c r="AK26" s="4" t="str">
        <f>IFERROR(__xludf.DUMMYFUNCTION("""COMPUTED_VALUE"""),"pdv")</f>
        <v>pdv</v>
      </c>
      <c r="AL26" s="4" t="str">
        <f>IFERROR(__xludf.DUMMYFUNCTION("""COMPUTED_VALUE"""),"SIM")</f>
        <v>SIM</v>
      </c>
      <c r="AM26" s="4" t="str">
        <f>IFERROR(__xludf.DUMMYFUNCTION("""COMPUTED_VALUE"""),"FY27")</f>
        <v>FY27</v>
      </c>
      <c r="AN26" s="4"/>
      <c r="AO26" s="4">
        <f>IFERROR(__xludf.DUMMYFUNCTION("""COMPUTED_VALUE"""),55.0)</f>
        <v>55</v>
      </c>
      <c r="AP26" s="4" t="str">
        <f>IFERROR(__xludf.DUMMYFUNCTION("""COMPUTED_VALUE"""),"MG")</f>
        <v>MG</v>
      </c>
      <c r="AQ26" s="4" t="str">
        <f>IFERROR(__xludf.DUMMYFUNCTION("""COMPUTED_VALUE"""),"THIAGO FERREIRA")</f>
        <v>THIAGO FERREIRA</v>
      </c>
      <c r="AR26" s="4" t="str">
        <f>IFERROR(__xludf.DUMMYFUNCTION("""COMPUTED_VALUE"""),"MONICA MORAIS")</f>
        <v>MONICA MORAIS</v>
      </c>
      <c r="AS26" s="4" t="str">
        <f>IFERROR(__xludf.DUMMYFUNCTION("""COMPUTED_VALUE"""),"FABIO DONATO")</f>
        <v>FABIO DONATO</v>
      </c>
      <c r="AT26" s="4" t="str">
        <f>IFERROR(__xludf.DUMMYFUNCTION("""COMPUTED_VALUE"""),"GILSON JUNIOR")</f>
        <v>GILSON JUNIOR</v>
      </c>
      <c r="AU26" s="4">
        <f>IFERROR(__xludf.DUMMYFUNCTION("""COMPUTED_VALUE"""),0.0)</f>
        <v>0</v>
      </c>
      <c r="AV26" s="4">
        <f>IFERROR(__xludf.DUMMYFUNCTION("""COMPUTED_VALUE"""),0.0)</f>
        <v>0</v>
      </c>
      <c r="AW26" s="4">
        <f>IFERROR(__xludf.DUMMYFUNCTION("""COMPUTED_VALUE"""),0.0)</f>
        <v>0</v>
      </c>
      <c r="AX26" s="4">
        <f>IFERROR(__xludf.DUMMYFUNCTION("""COMPUTED_VALUE"""),0.0)</f>
        <v>0</v>
      </c>
      <c r="AY26" s="4"/>
      <c r="AZ26" s="4" t="str">
        <f>IFERROR(__xludf.DUMMYFUNCTION("""COMPUTED_VALUE"""),"Lanches")</f>
        <v>Lanches</v>
      </c>
      <c r="BA26" s="4" t="str">
        <f>IFERROR(__xludf.DUMMYFUNCTION("""COMPUTED_VALUE"""),"")</f>
        <v/>
      </c>
      <c r="BB26" s="4" t="str">
        <f>IFERROR(__xludf.DUMMYFUNCTION("""COMPUTED_VALUE"""),"")</f>
        <v/>
      </c>
      <c r="BC26" s="4" t="str">
        <f>IFERROR(__xludf.DUMMYFUNCTION("""COMPUTED_VALUE"""),"")</f>
        <v/>
      </c>
      <c r="BD26" s="4" t="str">
        <f>IFERROR(__xludf.DUMMYFUNCTION("""COMPUTED_VALUE"""),"")</f>
        <v/>
      </c>
      <c r="BE26" s="4" t="str">
        <f>IFERROR(__xludf.DUMMYFUNCTION("""COMPUTED_VALUE"""),"")</f>
        <v/>
      </c>
      <c r="BF26" s="4" t="str">
        <f>IFERROR(__xludf.DUMMYFUNCTION("""COMPUTED_VALUE"""),"")</f>
        <v/>
      </c>
      <c r="BG26" s="4" t="str">
        <f>IFERROR(__xludf.DUMMYFUNCTION("""COMPUTED_VALUE"""),"")</f>
        <v/>
      </c>
      <c r="BH26" s="4" t="s">
        <v>64</v>
      </c>
      <c r="BI26" s="7">
        <v>0.7142857142857143</v>
      </c>
    </row>
    <row r="27" hidden="1">
      <c r="A27" s="4" t="str">
        <f>IFERROR(__xludf.DUMMYFUNCTION("""COMPUTED_VALUE"""),"BIBI RESTAURANTE")</f>
        <v>BIBI RESTAURANTE</v>
      </c>
      <c r="B27" s="4" t="str">
        <f>IFERROR(__xludf.DUMMYFUNCTION("""COMPUTED_VALUE"""),"João Biagiotti")</f>
        <v>João Biagiotti</v>
      </c>
      <c r="C27" s="4" t="str">
        <f>IFERROR(__xludf.DUMMYFUNCTION("""COMPUTED_VALUE"""),"Diego Santos")</f>
        <v>Diego Santos</v>
      </c>
      <c r="D27" s="4" t="str">
        <f>IFERROR(__xludf.DUMMYFUNCTION("""COMPUTED_VALUE"""),"0. Não Iniciado")</f>
        <v>0. Não Iniciado</v>
      </c>
      <c r="E27" s="4"/>
      <c r="F27" s="4" t="str">
        <f>IFERROR(__xludf.DUMMYFUNCTION("""COMPUTED_VALUE"""),"P")</f>
        <v>P</v>
      </c>
      <c r="G27" s="4"/>
      <c r="H27" s="4"/>
      <c r="I27" s="4"/>
      <c r="J27" s="4"/>
      <c r="K27" s="4"/>
      <c r="L27" s="4"/>
      <c r="M27" s="4"/>
      <c r="N27" s="4"/>
      <c r="O27" s="4"/>
      <c r="P27" s="4"/>
      <c r="Q27" s="4"/>
      <c r="R27" s="4"/>
      <c r="S27" s="4"/>
      <c r="T27" s="4"/>
      <c r="U27" s="4"/>
      <c r="V27" s="4"/>
      <c r="W27" s="4"/>
      <c r="X27" s="4"/>
      <c r="Y27" s="4"/>
      <c r="Z27" s="4"/>
      <c r="AA27" s="4">
        <f>IFERROR(__xludf.DUMMYFUNCTION("""COMPUTED_VALUE"""),5.0)</f>
        <v>5</v>
      </c>
      <c r="AB27" s="4" t="str">
        <f>IFERROR(__xludf.DUMMYFUNCTION("""COMPUTED_VALUE"""),"CE")</f>
        <v>CE</v>
      </c>
      <c r="AC27" s="4" t="str">
        <f>IFERROR(__xludf.DUMMYFUNCTION("""COMPUTED_VALUE"""),"Sim")</f>
        <v>Sim</v>
      </c>
      <c r="AD27" s="4" t="str">
        <f>IFERROR(__xludf.DUMMYFUNCTION("""COMPUTED_VALUE"""),"Ifood")</f>
        <v>Ifood</v>
      </c>
      <c r="AE27" s="4"/>
      <c r="AF27" s="4"/>
      <c r="AG27" s="4"/>
      <c r="AH27" s="4"/>
      <c r="AI27" s="4"/>
      <c r="AJ27" s="4"/>
      <c r="AK27" s="4"/>
      <c r="AL27" s="4"/>
      <c r="AM27" s="4" t="str">
        <f>IFERROR(__xludf.DUMMYFUNCTION("""COMPUTED_VALUE"""),"FY27")</f>
        <v>FY27</v>
      </c>
      <c r="AN27" s="4"/>
      <c r="AO27" s="4">
        <f>IFERROR(__xludf.DUMMYFUNCTION("""COMPUTED_VALUE"""),45553.0)</f>
        <v>45553</v>
      </c>
      <c r="AP27" s="4" t="str">
        <f>IFERROR(__xludf.DUMMYFUNCTION("""COMPUTED_VALUE"""),"SP")</f>
        <v>SP</v>
      </c>
      <c r="AQ27" s="4" t="str">
        <f>IFERROR(__xludf.DUMMYFUNCTION("""COMPUTED_VALUE"""),"FABRYCIO MORI")</f>
        <v>FABRYCIO MORI</v>
      </c>
      <c r="AR27" s="4" t="str">
        <f>IFERROR(__xludf.DUMMYFUNCTION("""COMPUTED_VALUE"""),"RODRIGO IGNACIO")</f>
        <v>RODRIGO IGNACIO</v>
      </c>
      <c r="AS27" s="4" t="str">
        <f>IFERROR(__xludf.DUMMYFUNCTION("""COMPUTED_VALUE"""),"NATHALIE MERTENS")</f>
        <v>NATHALIE MERTENS</v>
      </c>
      <c r="AT27" s="4" t="str">
        <f>IFERROR(__xludf.DUMMYFUNCTION("""COMPUTED_VALUE"""),"MATHEUS LESSA")</f>
        <v>MATHEUS LESSA</v>
      </c>
      <c r="AU27" s="4">
        <f>IFERROR(__xludf.DUMMYFUNCTION("""COMPUTED_VALUE"""),0.0)</f>
        <v>0</v>
      </c>
      <c r="AV27" s="4">
        <f>IFERROR(__xludf.DUMMYFUNCTION("""COMPUTED_VALUE"""),0.0)</f>
        <v>0</v>
      </c>
      <c r="AW27" s="4">
        <f>IFERROR(__xludf.DUMMYFUNCTION("""COMPUTED_VALUE"""),0.0)</f>
        <v>0</v>
      </c>
      <c r="AX27" s="4">
        <f>IFERROR(__xludf.DUMMYFUNCTION("""COMPUTED_VALUE"""),0.0)</f>
        <v>0</v>
      </c>
      <c r="AY27" s="4" t="str">
        <f>IFERROR(__xludf.DUMMYFUNCTION("""COMPUTED_VALUE"""),"Anota Ai Solucoes Digitais S/a")</f>
        <v>Anota Ai Solucoes Digitais S/a</v>
      </c>
      <c r="AZ27" s="4" t="str">
        <f>IFERROR(__xludf.DUMMYFUNCTION("""COMPUTED_VALUE"""),"Brasileira")</f>
        <v>Brasileira</v>
      </c>
      <c r="BA27" s="4" t="str">
        <f>IFERROR(__xludf.DUMMYFUNCTION("""COMPUTED_VALUE"""),"")</f>
        <v/>
      </c>
      <c r="BB27" s="4" t="str">
        <f>IFERROR(__xludf.DUMMYFUNCTION("""COMPUTED_VALUE"""),"")</f>
        <v/>
      </c>
      <c r="BC27" s="4" t="str">
        <f>IFERROR(__xludf.DUMMYFUNCTION("""COMPUTED_VALUE"""),"")</f>
        <v/>
      </c>
      <c r="BD27" s="4" t="str">
        <f>IFERROR(__xludf.DUMMYFUNCTION("""COMPUTED_VALUE"""),"")</f>
        <v/>
      </c>
      <c r="BE27" s="4" t="str">
        <f>IFERROR(__xludf.DUMMYFUNCTION("""COMPUTED_VALUE"""),"")</f>
        <v/>
      </c>
      <c r="BF27" s="4" t="str">
        <f>IFERROR(__xludf.DUMMYFUNCTION("""COMPUTED_VALUE"""),"")</f>
        <v/>
      </c>
      <c r="BG27" s="4" t="str">
        <f>IFERROR(__xludf.DUMMYFUNCTION("""COMPUTED_VALUE"""),"")</f>
        <v/>
      </c>
      <c r="BH27" s="4" t="s">
        <v>67</v>
      </c>
      <c r="BI27" s="7">
        <v>1.0</v>
      </c>
    </row>
    <row r="28" hidden="1">
      <c r="A28" s="4" t="str">
        <f>IFERROR(__xludf.DUMMYFUNCTION("""COMPUTED_VALUE"""),"BISTROGONOFE")</f>
        <v>BISTROGONOFE</v>
      </c>
      <c r="B28" s="4" t="str">
        <f>IFERROR(__xludf.DUMMYFUNCTION("""COMPUTED_VALUE"""),"Lídia Esteves")</f>
        <v>Lídia Esteves</v>
      </c>
      <c r="C28" s="4" t="str">
        <f>IFERROR(__xludf.DUMMYFUNCTION("""COMPUTED_VALUE"""),"Gabriela Roma")</f>
        <v>Gabriela Roma</v>
      </c>
      <c r="D28" s="4" t="str">
        <f>IFERROR(__xludf.DUMMYFUNCTION("""COMPUTED_VALUE"""),"0. Não Iniciado")</f>
        <v>0. Não Iniciado</v>
      </c>
      <c r="E28" s="4"/>
      <c r="F28" s="4" t="str">
        <f>IFERROR(__xludf.DUMMYFUNCTION("""COMPUTED_VALUE"""),"P")</f>
        <v>P</v>
      </c>
      <c r="G28" s="4"/>
      <c r="H28" s="4"/>
      <c r="I28" s="4"/>
      <c r="J28" s="4"/>
      <c r="K28" s="4"/>
      <c r="L28" s="4"/>
      <c r="M28" s="4"/>
      <c r="N28" s="4"/>
      <c r="O28" s="4"/>
      <c r="P28" s="4"/>
      <c r="Q28" s="4"/>
      <c r="R28" s="4"/>
      <c r="S28" s="4"/>
      <c r="T28" s="4"/>
      <c r="U28" s="4"/>
      <c r="V28" s="4"/>
      <c r="W28" s="4"/>
      <c r="X28" s="4"/>
      <c r="Y28" s="4"/>
      <c r="Z28" s="4"/>
      <c r="AA28" s="4">
        <f>IFERROR(__xludf.DUMMYFUNCTION("""COMPUTED_VALUE"""),6.0)</f>
        <v>6</v>
      </c>
      <c r="AB28" s="4" t="str">
        <f>IFERROR(__xludf.DUMMYFUNCTION("""COMPUTED_VALUE"""),"CE")</f>
        <v>CE</v>
      </c>
      <c r="AC28" s="4" t="str">
        <f>IFERROR(__xludf.DUMMYFUNCTION("""COMPUTED_VALUE"""),"Sim")</f>
        <v>Sim</v>
      </c>
      <c r="AD28" s="4" t="str">
        <f>IFERROR(__xludf.DUMMYFUNCTION("""COMPUTED_VALUE"""),"Ifood")</f>
        <v>Ifood</v>
      </c>
      <c r="AE28" s="4"/>
      <c r="AF28" s="4"/>
      <c r="AG28" s="4"/>
      <c r="AH28" s="4"/>
      <c r="AI28" s="4"/>
      <c r="AJ28" s="4"/>
      <c r="AK28" s="4"/>
      <c r="AL28" s="4"/>
      <c r="AM28" s="4" t="str">
        <f>IFERROR(__xludf.DUMMYFUNCTION("""COMPUTED_VALUE"""),"FY27")</f>
        <v>FY27</v>
      </c>
      <c r="AN28" s="4"/>
      <c r="AO28" s="4">
        <f>IFERROR(__xludf.DUMMYFUNCTION("""COMPUTED_VALUE"""),45553.0)</f>
        <v>45553</v>
      </c>
      <c r="AP28" s="4" t="str">
        <f>IFERROR(__xludf.DUMMYFUNCTION("""COMPUTED_VALUE"""),"GO")</f>
        <v>GO</v>
      </c>
      <c r="AQ28" s="4" t="str">
        <f>IFERROR(__xludf.DUMMYFUNCTION("""COMPUTED_VALUE"""),"RAFAEL ROSSATO")</f>
        <v>RAFAEL ROSSATO</v>
      </c>
      <c r="AR28" s="4" t="str">
        <f>IFERROR(__xludf.DUMMYFUNCTION("""COMPUTED_VALUE"""),"NAYARA FERREIRA")</f>
        <v>NAYARA FERREIRA</v>
      </c>
      <c r="AS28" s="4" t="str">
        <f>IFERROR(__xludf.DUMMYFUNCTION("""COMPUTED_VALUE"""),"THIAGO ROMAGNOLE")</f>
        <v>THIAGO ROMAGNOLE</v>
      </c>
      <c r="AT28" s="4" t="str">
        <f>IFERROR(__xludf.DUMMYFUNCTION("""COMPUTED_VALUE"""),"BRUNA TASSINARI")</f>
        <v>BRUNA TASSINARI</v>
      </c>
      <c r="AU28" s="4">
        <f>IFERROR(__xludf.DUMMYFUNCTION("""COMPUTED_VALUE"""),0.0)</f>
        <v>0</v>
      </c>
      <c r="AV28" s="4">
        <f>IFERROR(__xludf.DUMMYFUNCTION("""COMPUTED_VALUE"""),0.0)</f>
        <v>0</v>
      </c>
      <c r="AW28" s="4">
        <f>IFERROR(__xludf.DUMMYFUNCTION("""COMPUTED_VALUE"""),0.0)</f>
        <v>0</v>
      </c>
      <c r="AX28" s="4">
        <f>IFERROR(__xludf.DUMMYFUNCTION("""COMPUTED_VALUE"""),0.0)</f>
        <v>0</v>
      </c>
      <c r="AY28" s="4" t="str">
        <f>IFERROR(__xludf.DUMMYFUNCTION("""COMPUTED_VALUE"""),"Saipos Serviços De Software")</f>
        <v>Saipos Serviços De Software</v>
      </c>
      <c r="AZ28" s="4" t="str">
        <f>IFERROR(__xludf.DUMMYFUNCTION("""COMPUTED_VALUE"""),"Brasileira")</f>
        <v>Brasileira</v>
      </c>
      <c r="BA28" s="4" t="str">
        <f>IFERROR(__xludf.DUMMYFUNCTION("""COMPUTED_VALUE"""),"")</f>
        <v/>
      </c>
      <c r="BB28" s="4" t="str">
        <f>IFERROR(__xludf.DUMMYFUNCTION("""COMPUTED_VALUE"""),"")</f>
        <v/>
      </c>
      <c r="BC28" s="4" t="str">
        <f>IFERROR(__xludf.DUMMYFUNCTION("""COMPUTED_VALUE"""),"")</f>
        <v/>
      </c>
      <c r="BD28" s="4" t="str">
        <f>IFERROR(__xludf.DUMMYFUNCTION("""COMPUTED_VALUE"""),"")</f>
        <v/>
      </c>
      <c r="BE28" s="4" t="str">
        <f>IFERROR(__xludf.DUMMYFUNCTION("""COMPUTED_VALUE"""),"")</f>
        <v/>
      </c>
      <c r="BF28" s="4" t="str">
        <f>IFERROR(__xludf.DUMMYFUNCTION("""COMPUTED_VALUE"""),"")</f>
        <v/>
      </c>
      <c r="BG28" s="4" t="str">
        <f>IFERROR(__xludf.DUMMYFUNCTION("""COMPUTED_VALUE"""),"")</f>
        <v/>
      </c>
      <c r="BH28" s="4" t="s">
        <v>64</v>
      </c>
      <c r="BI28" s="7">
        <v>1.0</v>
      </c>
    </row>
    <row r="29" hidden="1">
      <c r="A29" s="4" t="str">
        <f>IFERROR(__xludf.DUMMYFUNCTION("""COMPUTED_VALUE"""),"BKO - CONTA MARCA")</f>
        <v>BKO - CONTA MARCA</v>
      </c>
      <c r="B29" s="4" t="str">
        <f>IFERROR(__xludf.DUMMYFUNCTION("""COMPUTED_VALUE"""),"Lídia Esteves")</f>
        <v>Lídia Esteves</v>
      </c>
      <c r="C29" s="4" t="str">
        <f>IFERROR(__xludf.DUMMYFUNCTION("""COMPUTED_VALUE"""),"Gabriela Roma")</f>
        <v>Gabriela Roma</v>
      </c>
      <c r="D29" s="4" t="str">
        <f>IFERROR(__xludf.DUMMYFUNCTION("""COMPUTED_VALUE"""),"0. Não Iniciado")</f>
        <v>0. Não Iniciado</v>
      </c>
      <c r="E29" s="4"/>
      <c r="F29" s="4" t="str">
        <f>IFERROR(__xludf.DUMMYFUNCTION("""COMPUTED_VALUE"""),"P")</f>
        <v>P</v>
      </c>
      <c r="G29" s="4"/>
      <c r="H29" s="4"/>
      <c r="I29" s="4"/>
      <c r="J29" s="4"/>
      <c r="K29" s="4"/>
      <c r="L29" s="4"/>
      <c r="M29" s="4"/>
      <c r="N29" s="4"/>
      <c r="O29" s="4"/>
      <c r="P29" s="4"/>
      <c r="Q29" s="4"/>
      <c r="R29" s="4"/>
      <c r="S29" s="4"/>
      <c r="T29" s="4"/>
      <c r="U29" s="4"/>
      <c r="V29" s="4"/>
      <c r="W29" s="4"/>
      <c r="X29" s="4"/>
      <c r="Y29" s="4"/>
      <c r="Z29" s="4"/>
      <c r="AA29" s="4">
        <f>IFERROR(__xludf.DUMMYFUNCTION("""COMPUTED_VALUE"""),25.0)</f>
        <v>25</v>
      </c>
      <c r="AB29" s="4" t="str">
        <f>IFERROR(__xludf.DUMMYFUNCTION("""COMPUTED_VALUE"""),"-")</f>
        <v>-</v>
      </c>
      <c r="AC29" s="4" t="str">
        <f>IFERROR(__xludf.DUMMYFUNCTION("""COMPUTED_VALUE"""),"Sim")</f>
        <v>Sim</v>
      </c>
      <c r="AD29" s="4" t="str">
        <f>IFERROR(__xludf.DUMMYFUNCTION("""COMPUTED_VALUE"""),"Ifood")</f>
        <v>Ifood</v>
      </c>
      <c r="AE29" s="4"/>
      <c r="AF29" s="4"/>
      <c r="AG29" s="4"/>
      <c r="AH29" s="4"/>
      <c r="AI29" s="4"/>
      <c r="AJ29" s="4"/>
      <c r="AK29" s="4"/>
      <c r="AL29" s="4"/>
      <c r="AM29" s="4" t="str">
        <f>IFERROR(__xludf.DUMMYFUNCTION("""COMPUTED_VALUE"""),"FY27")</f>
        <v>FY27</v>
      </c>
      <c r="AN29" s="4"/>
      <c r="AO29" s="4">
        <f>IFERROR(__xludf.DUMMYFUNCTION("""COMPUTED_VALUE"""),45553.0)</f>
        <v>45553</v>
      </c>
      <c r="AP29" s="4" t="str">
        <f>IFERROR(__xludf.DUMMYFUNCTION("""COMPUTED_VALUE"""),"RS")</f>
        <v>RS</v>
      </c>
      <c r="AQ29" s="4" t="str">
        <f>IFERROR(__xludf.DUMMYFUNCTION("""COMPUTED_VALUE"""),"SHAYANA JACOM")</f>
        <v>SHAYANA JACOM</v>
      </c>
      <c r="AR29" s="4" t="str">
        <f>IFERROR(__xludf.DUMMYFUNCTION("""COMPUTED_VALUE"""),"GABRIEL RUAS")</f>
        <v>GABRIEL RUAS</v>
      </c>
      <c r="AS29" s="4" t="str">
        <f>IFERROR(__xludf.DUMMYFUNCTION("""COMPUTED_VALUE"""),"FABIO DONATO")</f>
        <v>FABIO DONATO</v>
      </c>
      <c r="AT29" s="4" t="str">
        <f>IFERROR(__xludf.DUMMYFUNCTION("""COMPUTED_VALUE"""),"CAMILA HOLANDA")</f>
        <v>CAMILA HOLANDA</v>
      </c>
      <c r="AU29" s="4">
        <f>IFERROR(__xludf.DUMMYFUNCTION("""COMPUTED_VALUE"""),0.0)</f>
        <v>0</v>
      </c>
      <c r="AV29" s="4">
        <f>IFERROR(__xludf.DUMMYFUNCTION("""COMPUTED_VALUE"""),0.0)</f>
        <v>0</v>
      </c>
      <c r="AW29" s="4">
        <f>IFERROR(__xludf.DUMMYFUNCTION("""COMPUTED_VALUE"""),0.0)</f>
        <v>0</v>
      </c>
      <c r="AX29" s="4">
        <f>IFERROR(__xludf.DUMMYFUNCTION("""COMPUTED_VALUE"""),0.0)</f>
        <v>0</v>
      </c>
      <c r="AY29" s="4"/>
      <c r="AZ29" s="4" t="str">
        <f>IFERROR(__xludf.DUMMYFUNCTION("""COMPUTED_VALUE"""),"Japonesa")</f>
        <v>Japonesa</v>
      </c>
      <c r="BA29" s="4">
        <f>IFERROR(__xludf.DUMMYFUNCTION("""COMPUTED_VALUE"""),40.0)</f>
        <v>40</v>
      </c>
      <c r="BB29" s="4" t="str">
        <f>IFERROR(__xludf.DUMMYFUNCTION("""COMPUTED_VALUE"""),"QSR - Fast Food")</f>
        <v>QSR - Fast Food</v>
      </c>
      <c r="BC29" s="4" t="str">
        <f>IFERROR(__xludf.DUMMYFUNCTION("""COMPUTED_VALUE"""),"Regional/Nacional")</f>
        <v>Regional/Nacional</v>
      </c>
      <c r="BD29" s="4"/>
      <c r="BE29" s="4">
        <f>IFERROR(__xludf.DUMMYFUNCTION("""COMPUTED_VALUE"""),70.0)</f>
        <v>70</v>
      </c>
      <c r="BF29" s="4">
        <f>IFERROR(__xludf.DUMMYFUNCTION("""COMPUTED_VALUE"""),0.9)</f>
        <v>0.9</v>
      </c>
      <c r="BG29"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29" s="4" t="s">
        <v>69</v>
      </c>
      <c r="BI29" s="7">
        <v>0.9583333333333334</v>
      </c>
    </row>
    <row r="30" hidden="1">
      <c r="A30" s="4" t="str">
        <f>IFERROR(__xludf.DUMMYFUNCTION("""COMPUTED_VALUE"""),"BOCA DO FORNO")</f>
        <v>BOCA DO FORNO</v>
      </c>
      <c r="B30" s="4" t="str">
        <f>IFERROR(__xludf.DUMMYFUNCTION("""COMPUTED_VALUE"""),"João Biagiotti")</f>
        <v>João Biagiotti</v>
      </c>
      <c r="C30" s="4" t="str">
        <f>IFERROR(__xludf.DUMMYFUNCTION("""COMPUTED_VALUE"""),"Diego Santos")</f>
        <v>Diego Santos</v>
      </c>
      <c r="D30" s="4" t="str">
        <f>IFERROR(__xludf.DUMMYFUNCTION("""COMPUTED_VALUE"""),"10. Perdido")</f>
        <v>10. Perdido</v>
      </c>
      <c r="E30" s="4" t="str">
        <f>IFERROR(__xludf.DUMMYFUNCTION("""COMPUTED_VALUE"""),"Perdido - Outro (detalhar ao lado)")</f>
        <v>Perdido - Outro (detalhar ao lado)</v>
      </c>
      <c r="F30" s="4" t="str">
        <f>IFERROR(__xludf.DUMMYFUNCTION("""COMPUTED_VALUE"""),"P")</f>
        <v>P</v>
      </c>
      <c r="G30" s="5">
        <f>IFERROR(__xludf.DUMMYFUNCTION("""COMPUTED_VALUE"""),46125.0)</f>
        <v>46125</v>
      </c>
      <c r="H30" s="4" t="str">
        <f>IFERROR(__xludf.DUMMYFUNCTION("""COMPUTED_VALUE"""),"Em conversa com o coordenador de delivery, fui informado que eles possuem teknisa, já foi ofertado Saipos, no entanto a marca nao tem interesse em mudança de PDV")</f>
        <v>Em conversa com o coordenador de delivery, fui informado que eles possuem teknisa, já foi ofertado Saipos, no entanto a marca nao tem interesse em mudança de PDV</v>
      </c>
      <c r="I30" s="6">
        <f>IFERROR(__xludf.DUMMYFUNCTION("""COMPUTED_VALUE"""),46125.58499047454)</f>
        <v>46125.58499</v>
      </c>
      <c r="J30" s="4"/>
      <c r="K30" s="4"/>
      <c r="L30" s="4"/>
      <c r="M30" s="4"/>
      <c r="N30" s="4"/>
      <c r="O30" s="4"/>
      <c r="P30" s="4"/>
      <c r="Q30" s="4"/>
      <c r="R30" s="4"/>
      <c r="S30" s="4"/>
      <c r="T30" s="4"/>
      <c r="U30" s="4"/>
      <c r="V30" s="4"/>
      <c r="W30" s="4"/>
      <c r="X30" s="4"/>
      <c r="Y30" s="4"/>
      <c r="Z30" s="4"/>
      <c r="AA30" s="4">
        <f>IFERROR(__xludf.DUMMYFUNCTION("""COMPUTED_VALUE"""),16.0)</f>
        <v>16</v>
      </c>
      <c r="AB30" s="4" t="str">
        <f>IFERROR(__xludf.DUMMYFUNCTION("""COMPUTED_VALUE"""),"-")</f>
        <v>-</v>
      </c>
      <c r="AC30" s="4" t="str">
        <f>IFERROR(__xludf.DUMMYFUNCTION("""COMPUTED_VALUE"""),"Sim")</f>
        <v>Sim</v>
      </c>
      <c r="AD30" s="4" t="str">
        <f>IFERROR(__xludf.DUMMYFUNCTION("""COMPUTED_VALUE"""),"Ifood")</f>
        <v>Ifood</v>
      </c>
      <c r="AE30" s="4"/>
      <c r="AF30" s="4"/>
      <c r="AG30" s="4"/>
      <c r="AH30" s="4"/>
      <c r="AI30" s="4"/>
      <c r="AJ30" s="4" t="str">
        <f>IFERROR(__xludf.DUMMYFUNCTION("""COMPUTED_VALUE"""),"Teknisa")</f>
        <v>Teknisa</v>
      </c>
      <c r="AK30" s="4" t="str">
        <f>IFERROR(__xludf.DUMMYFUNCTION("""COMPUTED_VALUE"""),"Salão / Delivery")</f>
        <v>Salão / Delivery</v>
      </c>
      <c r="AL30" s="4" t="str">
        <f>IFERROR(__xludf.DUMMYFUNCTION("""COMPUTED_VALUE"""),"Não")</f>
        <v>Não</v>
      </c>
      <c r="AM30" s="4" t="str">
        <f>IFERROR(__xludf.DUMMYFUNCTION("""COMPUTED_VALUE"""),"FY27")</f>
        <v>FY27</v>
      </c>
      <c r="AN30" s="4"/>
      <c r="AO30" s="4">
        <f>IFERROR(__xludf.DUMMYFUNCTION("""COMPUTED_VALUE"""),90.0)</f>
        <v>90</v>
      </c>
      <c r="AP30" s="4" t="str">
        <f>IFERROR(__xludf.DUMMYFUNCTION("""COMPUTED_VALUE"""),"MG")</f>
        <v>MG</v>
      </c>
      <c r="AQ30" s="4" t="str">
        <f>IFERROR(__xludf.DUMMYFUNCTION("""COMPUTED_VALUE"""),"JOAO BAR")</f>
        <v>JOAO BAR</v>
      </c>
      <c r="AR30" s="4" t="str">
        <f>IFERROR(__xludf.DUMMYFUNCTION("""COMPUTED_VALUE"""),"LEONARDO NEVES")</f>
        <v>LEONARDO NEVES</v>
      </c>
      <c r="AS30" s="4" t="str">
        <f>IFERROR(__xludf.DUMMYFUNCTION("""COMPUTED_VALUE"""),"FABIO DONATO")</f>
        <v>FABIO DONATO</v>
      </c>
      <c r="AT30" s="4" t="str">
        <f>IFERROR(__xludf.DUMMYFUNCTION("""COMPUTED_VALUE"""),"GILSON JUNIOR")</f>
        <v>GILSON JUNIOR</v>
      </c>
      <c r="AU30" s="4">
        <f>IFERROR(__xludf.DUMMYFUNCTION("""COMPUTED_VALUE"""),0.0)</f>
        <v>0</v>
      </c>
      <c r="AV30" s="4">
        <f>IFERROR(__xludf.DUMMYFUNCTION("""COMPUTED_VALUE"""),0.0)</f>
        <v>0</v>
      </c>
      <c r="AW30" s="4">
        <f>IFERROR(__xludf.DUMMYFUNCTION("""COMPUTED_VALUE"""),0.0)</f>
        <v>0</v>
      </c>
      <c r="AX30" s="4">
        <f>IFERROR(__xludf.DUMMYFUNCTION("""COMPUTED_VALUE"""),0.0)</f>
        <v>0</v>
      </c>
      <c r="AY30" s="4"/>
      <c r="AZ30" s="4" t="str">
        <f>IFERROR(__xludf.DUMMYFUNCTION("""COMPUTED_VALUE"""),"Lanches")</f>
        <v>Lanches</v>
      </c>
      <c r="BA30" s="4" t="str">
        <f>IFERROR(__xludf.DUMMYFUNCTION("""COMPUTED_VALUE"""),"")</f>
        <v/>
      </c>
      <c r="BB30" s="4" t="str">
        <f>IFERROR(__xludf.DUMMYFUNCTION("""COMPUTED_VALUE"""),"")</f>
        <v/>
      </c>
      <c r="BC30" s="4" t="str">
        <f>IFERROR(__xludf.DUMMYFUNCTION("""COMPUTED_VALUE"""),"")</f>
        <v/>
      </c>
      <c r="BD30" s="4" t="str">
        <f>IFERROR(__xludf.DUMMYFUNCTION("""COMPUTED_VALUE"""),"")</f>
        <v/>
      </c>
      <c r="BE30" s="4" t="str">
        <f>IFERROR(__xludf.DUMMYFUNCTION("""COMPUTED_VALUE"""),"")</f>
        <v/>
      </c>
      <c r="BF30" s="4" t="str">
        <f>IFERROR(__xludf.DUMMYFUNCTION("""COMPUTED_VALUE"""),"")</f>
        <v/>
      </c>
      <c r="BG30" s="4" t="str">
        <f>IFERROR(__xludf.DUMMYFUNCTION("""COMPUTED_VALUE"""),"")</f>
        <v/>
      </c>
      <c r="BH30" s="4" t="s">
        <v>63</v>
      </c>
      <c r="BI30" s="7" t="s">
        <v>63</v>
      </c>
    </row>
    <row r="31" hidden="1">
      <c r="A31" s="4" t="str">
        <f>IFERROR(__xludf.DUMMYFUNCTION("""COMPUTED_VALUE"""),"BODE DO NÓ")</f>
        <v>BODE DO NÓ</v>
      </c>
      <c r="B31" s="4" t="str">
        <f>IFERROR(__xludf.DUMMYFUNCTION("""COMPUTED_VALUE"""),"João Biagiotti")</f>
        <v>João Biagiotti</v>
      </c>
      <c r="C31" s="4" t="str">
        <f>IFERROR(__xludf.DUMMYFUNCTION("""COMPUTED_VALUE"""),"Diego Santos")</f>
        <v>Diego Santos</v>
      </c>
      <c r="D31" s="4" t="str">
        <f>IFERROR(__xludf.DUMMYFUNCTION("""COMPUTED_VALUE"""),"10. Perdido")</f>
        <v>10. Perdido</v>
      </c>
      <c r="E31" s="4" t="str">
        <f>IFERROR(__xludf.DUMMYFUNCTION("""COMPUTED_VALUE"""),"Perdido - Outro (detalhar ao lado)")</f>
        <v>Perdido - Outro (detalhar ao lado)</v>
      </c>
      <c r="F31" s="4" t="str">
        <f>IFERROR(__xludf.DUMMYFUNCTION("""COMPUTED_VALUE"""),"P")</f>
        <v>P</v>
      </c>
      <c r="G31" s="5">
        <f>IFERROR(__xludf.DUMMYFUNCTION("""COMPUTED_VALUE"""),46119.0)</f>
        <v>46119</v>
      </c>
      <c r="H31" s="4" t="str">
        <f>IFERROR(__xludf.DUMMYFUNCTION("""COMPUTED_VALUE"""),"Ja tentaram apresentar SAIPOS e o iFood salão, porem o parceiro informou que não ira mudar a integradora dele")</f>
        <v>Ja tentaram apresentar SAIPOS e o iFood salão, porem o parceiro informou que não ira mudar a integradora dele</v>
      </c>
      <c r="I31" s="6">
        <f>IFERROR(__xludf.DUMMYFUNCTION("""COMPUTED_VALUE"""),46120.5978058912)</f>
        <v>46120.59781</v>
      </c>
      <c r="J31" s="4"/>
      <c r="K31" s="4"/>
      <c r="L31" s="4"/>
      <c r="M31" s="4"/>
      <c r="N31" s="4"/>
      <c r="O31" s="4"/>
      <c r="P31" s="4"/>
      <c r="Q31" s="4"/>
      <c r="R31" s="6">
        <f>IFERROR(__xludf.DUMMYFUNCTION("""COMPUTED_VALUE"""),46129.503317361115)</f>
        <v>46129.50332</v>
      </c>
      <c r="S31" s="4"/>
      <c r="T31" s="4"/>
      <c r="U31" s="4"/>
      <c r="V31" s="4" t="str">
        <f>IFERROR(__xludf.DUMMYFUNCTION("""COMPUTED_VALUE"""),"Sem interesse em mudar de PDV")</f>
        <v>Sem interesse em mudar de PDV</v>
      </c>
      <c r="W31" s="4"/>
      <c r="X31" s="4"/>
      <c r="Y31" s="4"/>
      <c r="Z31" s="4"/>
      <c r="AA31" s="4">
        <f>IFERROR(__xludf.DUMMYFUNCTION("""COMPUTED_VALUE"""),8.0)</f>
        <v>8</v>
      </c>
      <c r="AB31" s="4" t="str">
        <f>IFERROR(__xludf.DUMMYFUNCTION("""COMPUTED_VALUE"""),"CE")</f>
        <v>CE</v>
      </c>
      <c r="AC31" s="4" t="str">
        <f>IFERROR(__xludf.DUMMYFUNCTION("""COMPUTED_VALUE"""),"Sim")</f>
        <v>Sim</v>
      </c>
      <c r="AD31" s="4">
        <f>IFERROR(__xludf.DUMMYFUNCTION("""COMPUTED_VALUE"""),0.0)</f>
        <v>0</v>
      </c>
      <c r="AE31" s="4"/>
      <c r="AF31" s="4"/>
      <c r="AG31" s="4"/>
      <c r="AH31" s="4"/>
      <c r="AI31" s="4"/>
      <c r="AJ31" s="4"/>
      <c r="AK31" s="4"/>
      <c r="AL31" s="4"/>
      <c r="AM31" s="4" t="str">
        <f>IFERROR(__xludf.DUMMYFUNCTION("""COMPUTED_VALUE"""),"FY27")</f>
        <v>FY27</v>
      </c>
      <c r="AN31" s="4"/>
      <c r="AO31" s="4">
        <f>IFERROR(__xludf.DUMMYFUNCTION("""COMPUTED_VALUE"""),96.0)</f>
        <v>96</v>
      </c>
      <c r="AP31" s="4" t="str">
        <f>IFERROR(__xludf.DUMMYFUNCTION("""COMPUTED_VALUE"""),"PE")</f>
        <v>PE</v>
      </c>
      <c r="AQ31" s="4" t="str">
        <f>IFERROR(__xludf.DUMMYFUNCTION("""COMPUTED_VALUE"""),"JENNIFER SIQUEIRA")</f>
        <v>JENNIFER SIQUEIRA</v>
      </c>
      <c r="AR31" s="4">
        <f>IFERROR(__xludf.DUMMYFUNCTION("""COMPUTED_VALUE"""),0.0)</f>
        <v>0</v>
      </c>
      <c r="AS31" s="4">
        <f>IFERROR(__xludf.DUMMYFUNCTION("""COMPUTED_VALUE"""),0.0)</f>
        <v>0</v>
      </c>
      <c r="AT31" s="4">
        <f>IFERROR(__xludf.DUMMYFUNCTION("""COMPUTED_VALUE"""),0.0)</f>
        <v>0</v>
      </c>
      <c r="AU31" s="4">
        <f>IFERROR(__xludf.DUMMYFUNCTION("""COMPUTED_VALUE"""),0.0)</f>
        <v>0</v>
      </c>
      <c r="AV31" s="4">
        <f>IFERROR(__xludf.DUMMYFUNCTION("""COMPUTED_VALUE"""),0.0)</f>
        <v>0</v>
      </c>
      <c r="AW31" s="4">
        <f>IFERROR(__xludf.DUMMYFUNCTION("""COMPUTED_VALUE"""),0.0)</f>
        <v>0</v>
      </c>
      <c r="AX31" s="4">
        <f>IFERROR(__xludf.DUMMYFUNCTION("""COMPUTED_VALUE"""),0.0)</f>
        <v>0</v>
      </c>
      <c r="AY31" s="4"/>
      <c r="AZ31" s="4" t="str">
        <f>IFERROR(__xludf.DUMMYFUNCTION("""COMPUTED_VALUE"""),"Lanches")</f>
        <v>Lanches</v>
      </c>
      <c r="BA31" s="4" t="str">
        <f>IFERROR(__xludf.DUMMYFUNCTION("""COMPUTED_VALUE"""),"")</f>
        <v/>
      </c>
      <c r="BB31" s="4" t="str">
        <f>IFERROR(__xludf.DUMMYFUNCTION("""COMPUTED_VALUE"""),"")</f>
        <v/>
      </c>
      <c r="BC31" s="4" t="str">
        <f>IFERROR(__xludf.DUMMYFUNCTION("""COMPUTED_VALUE"""),"")</f>
        <v/>
      </c>
      <c r="BD31" s="4" t="str">
        <f>IFERROR(__xludf.DUMMYFUNCTION("""COMPUTED_VALUE"""),"")</f>
        <v/>
      </c>
      <c r="BE31" s="4" t="str">
        <f>IFERROR(__xludf.DUMMYFUNCTION("""COMPUTED_VALUE"""),"")</f>
        <v/>
      </c>
      <c r="BF31" s="4" t="str">
        <f>IFERROR(__xludf.DUMMYFUNCTION("""COMPUTED_VALUE"""),"")</f>
        <v/>
      </c>
      <c r="BG31" s="4" t="str">
        <f>IFERROR(__xludf.DUMMYFUNCTION("""COMPUTED_VALUE"""),"")</f>
        <v/>
      </c>
      <c r="BH31" s="4" t="s">
        <v>63</v>
      </c>
      <c r="BI31" s="7" t="s">
        <v>63</v>
      </c>
    </row>
    <row r="32" hidden="1">
      <c r="A32" s="4" t="str">
        <f>IFERROR(__xludf.DUMMYFUNCTION("""COMPUTED_VALUE"""),"BOLOS DO SITIO")</f>
        <v>BOLOS DO SITIO</v>
      </c>
      <c r="B32" s="4" t="str">
        <f>IFERROR(__xludf.DUMMYFUNCTION("""COMPUTED_VALUE"""),"Emerson")</f>
        <v>Emerson</v>
      </c>
      <c r="C32" s="4" t="str">
        <f>IFERROR(__xludf.DUMMYFUNCTION("""COMPUTED_VALUE"""),"Emerson")</f>
        <v>Emerson</v>
      </c>
      <c r="D32" s="4" t="str">
        <f>IFERROR(__xludf.DUMMYFUNCTION("""COMPUTED_VALUE"""),"0. Não Iniciado")</f>
        <v>0. Não Iniciado</v>
      </c>
      <c r="E32" s="4"/>
      <c r="F32" s="4" t="str">
        <f>IFERROR(__xludf.DUMMYFUNCTION("""COMPUTED_VALUE"""),"M")</f>
        <v>M</v>
      </c>
      <c r="G32" s="4"/>
      <c r="H32" s="4"/>
      <c r="I32" s="4"/>
      <c r="J32" s="4"/>
      <c r="K32" s="4"/>
      <c r="L32" s="4"/>
      <c r="M32" s="4"/>
      <c r="N32" s="4"/>
      <c r="O32" s="4"/>
      <c r="P32" s="4"/>
      <c r="Q32" s="4"/>
      <c r="R32" s="4"/>
      <c r="S32" s="4"/>
      <c r="T32" s="4"/>
      <c r="U32" s="4"/>
      <c r="V32" s="4"/>
      <c r="W32" s="4"/>
      <c r="X32" s="4"/>
      <c r="Y32" s="4"/>
      <c r="Z32" s="4"/>
      <c r="AA32" s="4">
        <f>IFERROR(__xludf.DUMMYFUNCTION("""COMPUTED_VALUE"""),42.0)</f>
        <v>42</v>
      </c>
      <c r="AB32" s="4" t="str">
        <f>IFERROR(__xludf.DUMMYFUNCTION("""COMPUTED_VALUE"""),"-")</f>
        <v>-</v>
      </c>
      <c r="AC32" s="4" t="str">
        <f>IFERROR(__xludf.DUMMYFUNCTION("""COMPUTED_VALUE"""),"Sim")</f>
        <v>Sim</v>
      </c>
      <c r="AD32" s="4" t="str">
        <f>IFERROR(__xludf.DUMMYFUNCTION("""COMPUTED_VALUE"""),"Ifood")</f>
        <v>Ifood</v>
      </c>
      <c r="AE32" s="4"/>
      <c r="AF32" s="4"/>
      <c r="AG32" s="4"/>
      <c r="AH32" s="4"/>
      <c r="AI32" s="4"/>
      <c r="AJ32" s="4"/>
      <c r="AK32" s="4"/>
      <c r="AL32" s="4"/>
      <c r="AM32" s="4" t="str">
        <f>IFERROR(__xludf.DUMMYFUNCTION("""COMPUTED_VALUE"""),"FY27")</f>
        <v>FY27</v>
      </c>
      <c r="AN32" s="4"/>
      <c r="AO32" s="4">
        <f>IFERROR(__xludf.DUMMYFUNCTION("""COMPUTED_VALUE"""),45553.0)</f>
        <v>45553</v>
      </c>
      <c r="AP32" s="4" t="str">
        <f>IFERROR(__xludf.DUMMYFUNCTION("""COMPUTED_VALUE"""),"GO")</f>
        <v>GO</v>
      </c>
      <c r="AQ32" s="4" t="str">
        <f>IFERROR(__xludf.DUMMYFUNCTION("""COMPUTED_VALUE"""),"RAFAEL ROSSATO")</f>
        <v>RAFAEL ROSSATO</v>
      </c>
      <c r="AR32" s="4" t="str">
        <f>IFERROR(__xludf.DUMMYFUNCTION("""COMPUTED_VALUE"""),"GUILHERME CHAVEIRO")</f>
        <v>GUILHERME CHAVEIRO</v>
      </c>
      <c r="AS32" s="4" t="str">
        <f>IFERROR(__xludf.DUMMYFUNCTION("""COMPUTED_VALUE"""),"THIAGO ROMAGNOLE")</f>
        <v>THIAGO ROMAGNOLE</v>
      </c>
      <c r="AT32" s="4" t="str">
        <f>IFERROR(__xludf.DUMMYFUNCTION("""COMPUTED_VALUE"""),"BRUNA TASSINARI")</f>
        <v>BRUNA TASSINARI</v>
      </c>
      <c r="AU32" s="4">
        <f>IFERROR(__xludf.DUMMYFUNCTION("""COMPUTED_VALUE"""),0.0)</f>
        <v>0</v>
      </c>
      <c r="AV32" s="4">
        <f>IFERROR(__xludf.DUMMYFUNCTION("""COMPUTED_VALUE"""),0.0)</f>
        <v>0</v>
      </c>
      <c r="AW32" s="4">
        <f>IFERROR(__xludf.DUMMYFUNCTION("""COMPUTED_VALUE"""),0.0)</f>
        <v>0</v>
      </c>
      <c r="AX32" s="4">
        <f>IFERROR(__xludf.DUMMYFUNCTION("""COMPUTED_VALUE"""),0.0)</f>
        <v>0</v>
      </c>
      <c r="AY32" s="4"/>
      <c r="AZ32" s="4" t="str">
        <f>IFERROR(__xludf.DUMMYFUNCTION("""COMPUTED_VALUE"""),"Doces &amp; Bolos")</f>
        <v>Doces &amp; Bolos</v>
      </c>
      <c r="BA32" s="4" t="str">
        <f>IFERROR(__xludf.DUMMYFUNCTION("""COMPUTED_VALUE"""),"")</f>
        <v/>
      </c>
      <c r="BB32" s="4" t="str">
        <f>IFERROR(__xludf.DUMMYFUNCTION("""COMPUTED_VALUE"""),"")</f>
        <v/>
      </c>
      <c r="BC32" s="4" t="str">
        <f>IFERROR(__xludf.DUMMYFUNCTION("""COMPUTED_VALUE"""),"")</f>
        <v/>
      </c>
      <c r="BD32" s="4" t="str">
        <f>IFERROR(__xludf.DUMMYFUNCTION("""COMPUTED_VALUE"""),"")</f>
        <v/>
      </c>
      <c r="BE32" s="4" t="str">
        <f>IFERROR(__xludf.DUMMYFUNCTION("""COMPUTED_VALUE"""),"")</f>
        <v/>
      </c>
      <c r="BF32" s="4" t="str">
        <f>IFERROR(__xludf.DUMMYFUNCTION("""COMPUTED_VALUE"""),"")</f>
        <v/>
      </c>
      <c r="BG32" s="4" t="str">
        <f>IFERROR(__xludf.DUMMYFUNCTION("""COMPUTED_VALUE"""),"")</f>
        <v/>
      </c>
      <c r="BH32" s="4" t="s">
        <v>63</v>
      </c>
      <c r="BI32" s="7" t="s">
        <v>63</v>
      </c>
    </row>
    <row r="33" hidden="1">
      <c r="A33" s="4" t="str">
        <f>IFERROR(__xludf.DUMMYFUNCTION("""COMPUTED_VALUE"""),"BOLOS ROSA")</f>
        <v>BOLOS ROSA</v>
      </c>
      <c r="B33" s="4" t="str">
        <f>IFERROR(__xludf.DUMMYFUNCTION("""COMPUTED_VALUE"""),"João Biagiotti")</f>
        <v>João Biagiotti</v>
      </c>
      <c r="C33" s="4" t="str">
        <f>IFERROR(__xludf.DUMMYFUNCTION("""COMPUTED_VALUE"""),"Diego Santos")</f>
        <v>Diego Santos</v>
      </c>
      <c r="D33" s="4" t="str">
        <f>IFERROR(__xludf.DUMMYFUNCTION("""COMPUTED_VALUE"""),"0. Não Iniciado")</f>
        <v>0. Não Iniciado</v>
      </c>
      <c r="E33" s="4"/>
      <c r="F33" s="4" t="str">
        <f>IFERROR(__xludf.DUMMYFUNCTION("""COMPUTED_VALUE"""),"P")</f>
        <v>P</v>
      </c>
      <c r="G33" s="4"/>
      <c r="H33" s="4"/>
      <c r="I33" s="4"/>
      <c r="J33" s="4"/>
      <c r="K33" s="4"/>
      <c r="L33" s="4"/>
      <c r="M33" s="4"/>
      <c r="N33" s="4"/>
      <c r="O33" s="4"/>
      <c r="P33" s="4"/>
      <c r="Q33" s="4"/>
      <c r="R33" s="4"/>
      <c r="S33" s="4"/>
      <c r="T33" s="4"/>
      <c r="U33" s="4"/>
      <c r="V33" s="4"/>
      <c r="W33" s="4"/>
      <c r="X33" s="4"/>
      <c r="Y33" s="4"/>
      <c r="Z33" s="4"/>
      <c r="AA33" s="4">
        <f>IFERROR(__xludf.DUMMYFUNCTION("""COMPUTED_VALUE"""),5.0)</f>
        <v>5</v>
      </c>
      <c r="AB33" s="4" t="str">
        <f>IFERROR(__xludf.DUMMYFUNCTION("""COMPUTED_VALUE"""),"CE")</f>
        <v>CE</v>
      </c>
      <c r="AC33" s="4" t="str">
        <f>IFERROR(__xludf.DUMMYFUNCTION("""COMPUTED_VALUE"""),"Sim")</f>
        <v>Sim</v>
      </c>
      <c r="AD33" s="4" t="str">
        <f>IFERROR(__xludf.DUMMYFUNCTION("""COMPUTED_VALUE"""),"Cardápio Web")</f>
        <v>Cardápio Web</v>
      </c>
      <c r="AE33" s="4"/>
      <c r="AF33" s="4"/>
      <c r="AG33" s="4"/>
      <c r="AH33" s="4"/>
      <c r="AI33" s="4"/>
      <c r="AJ33" s="4"/>
      <c r="AK33" s="4"/>
      <c r="AL33" s="4"/>
      <c r="AM33" s="4" t="str">
        <f>IFERROR(__xludf.DUMMYFUNCTION("""COMPUTED_VALUE"""),"FY27")</f>
        <v>FY27</v>
      </c>
      <c r="AN33" s="4"/>
      <c r="AO33" s="4">
        <f>IFERROR(__xludf.DUMMYFUNCTION("""COMPUTED_VALUE"""),45553.0)</f>
        <v>45553</v>
      </c>
      <c r="AP33" s="4" t="str">
        <f>IFERROR(__xludf.DUMMYFUNCTION("""COMPUTED_VALUE"""),"SP")</f>
        <v>SP</v>
      </c>
      <c r="AQ33" s="4" t="str">
        <f>IFERROR(__xludf.DUMMYFUNCTION("""COMPUTED_VALUE"""),"RODRIGO ALBANESE")</f>
        <v>RODRIGO ALBANESE</v>
      </c>
      <c r="AR33" s="4" t="str">
        <f>IFERROR(__xludf.DUMMYFUNCTION("""COMPUTED_VALUE"""),"BEATRIZ CERVONE")</f>
        <v>BEATRIZ CERVONE</v>
      </c>
      <c r="AS33" s="4" t="str">
        <f>IFERROR(__xludf.DUMMYFUNCTION("""COMPUTED_VALUE"""),"NATHALIE MERTENS")</f>
        <v>NATHALIE MERTENS</v>
      </c>
      <c r="AT33" s="4" t="str">
        <f>IFERROR(__xludf.DUMMYFUNCTION("""COMPUTED_VALUE"""),"MATHEUS LESSA")</f>
        <v>MATHEUS LESSA</v>
      </c>
      <c r="AU33" s="4">
        <f>IFERROR(__xludf.DUMMYFUNCTION("""COMPUTED_VALUE"""),0.0)</f>
        <v>0</v>
      </c>
      <c r="AV33" s="4">
        <f>IFERROR(__xludf.DUMMYFUNCTION("""COMPUTED_VALUE"""),0.0)</f>
        <v>0</v>
      </c>
      <c r="AW33" s="4">
        <f>IFERROR(__xludf.DUMMYFUNCTION("""COMPUTED_VALUE"""),0.0)</f>
        <v>0</v>
      </c>
      <c r="AX33" s="4">
        <f>IFERROR(__xludf.DUMMYFUNCTION("""COMPUTED_VALUE"""),0.0)</f>
        <v>0</v>
      </c>
      <c r="AY33" s="4"/>
      <c r="AZ33" s="4" t="str">
        <f>IFERROR(__xludf.DUMMYFUNCTION("""COMPUTED_VALUE"""),"Doces &amp; Bolos")</f>
        <v>Doces &amp; Bolos</v>
      </c>
      <c r="BA33" s="4">
        <f>IFERROR(__xludf.DUMMYFUNCTION("""COMPUTED_VALUE"""),50.0)</f>
        <v>50</v>
      </c>
      <c r="BB33" s="4" t="str">
        <f>IFERROR(__xludf.DUMMYFUNCTION("""COMPUTED_VALUE"""),"Varejo - Confeitaria")</f>
        <v>Varejo - Confeitaria</v>
      </c>
      <c r="BC33" s="4" t="str">
        <f>IFERROR(__xludf.DUMMYFUNCTION("""COMPUTED_VALUE"""),"Regional")</f>
        <v>Regional</v>
      </c>
      <c r="BD33" s="4"/>
      <c r="BE33" s="4">
        <f>IFERROR(__xludf.DUMMYFUNCTION("""COMPUTED_VALUE"""),40.0)</f>
        <v>40</v>
      </c>
      <c r="BF33" s="4">
        <f>IFERROR(__xludf.DUMMYFUNCTION("""COMPUTED_VALUE"""),0.5)</f>
        <v>0.5</v>
      </c>
      <c r="BG33"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3" s="4" t="s">
        <v>61</v>
      </c>
      <c r="BI33" s="7">
        <v>1.0</v>
      </c>
    </row>
    <row r="34" hidden="1">
      <c r="A34" s="4" t="str">
        <f>IFERROR(__xludf.DUMMYFUNCTION("""COMPUTED_VALUE"""),"BORDA E LENHA")</f>
        <v>BORDA E LENHA</v>
      </c>
      <c r="B34" s="4" t="str">
        <f>IFERROR(__xludf.DUMMYFUNCTION("""COMPUTED_VALUE"""),"Lídia Esteves")</f>
        <v>Lídia Esteves</v>
      </c>
      <c r="C34" s="4" t="str">
        <f>IFERROR(__xludf.DUMMYFUNCTION("""COMPUTED_VALUE"""),"Gabriela Roma")</f>
        <v>Gabriela Roma</v>
      </c>
      <c r="D34" s="4" t="str">
        <f>IFERROR(__xludf.DUMMYFUNCTION("""COMPUTED_VALUE"""),"1. Iniciado")</f>
        <v>1. Iniciado</v>
      </c>
      <c r="E34" s="4" t="str">
        <f>IFERROR(__xludf.DUMMYFUNCTION("""COMPUTED_VALUE"""),"Delivery - Aguardando retorno / Conciliação agenda")</f>
        <v>Delivery - Aguardando retorno / Conciliação agenda</v>
      </c>
      <c r="F34" s="4" t="str">
        <f>IFERROR(__xludf.DUMMYFUNCTION("""COMPUTED_VALUE"""),"P")</f>
        <v>P</v>
      </c>
      <c r="G34" s="4"/>
      <c r="H34" s="4"/>
      <c r="I34" s="6">
        <f>IFERROR(__xludf.DUMMYFUNCTION("""COMPUTED_VALUE"""),46121.673242372686)</f>
        <v>46121.67324</v>
      </c>
      <c r="J34" s="4"/>
      <c r="K34" s="4"/>
      <c r="L34" s="4"/>
      <c r="M34" s="4"/>
      <c r="N34" s="4"/>
      <c r="O34" s="4"/>
      <c r="P34" s="4"/>
      <c r="Q34" s="4"/>
      <c r="R34" s="4"/>
      <c r="S34" s="4"/>
      <c r="T34" s="4"/>
      <c r="U34" s="4"/>
      <c r="V34" s="4"/>
      <c r="W34" s="4"/>
      <c r="X34" s="4"/>
      <c r="Y34" s="4"/>
      <c r="Z34" s="4"/>
      <c r="AA34" s="4">
        <f>IFERROR(__xludf.DUMMYFUNCTION("""COMPUTED_VALUE"""),16.0)</f>
        <v>16</v>
      </c>
      <c r="AB34" s="4" t="str">
        <f>IFERROR(__xludf.DUMMYFUNCTION("""COMPUTED_VALUE"""),"-")</f>
        <v>-</v>
      </c>
      <c r="AC34" s="4" t="str">
        <f>IFERROR(__xludf.DUMMYFUNCTION("""COMPUTED_VALUE"""),"Sim")</f>
        <v>Sim</v>
      </c>
      <c r="AD34" s="4" t="str">
        <f>IFERROR(__xludf.DUMMYFUNCTION("""COMPUTED_VALUE"""),"Ifood")</f>
        <v>Ifood</v>
      </c>
      <c r="AE34" s="4"/>
      <c r="AF34" s="4"/>
      <c r="AG34" s="4"/>
      <c r="AH34" s="4"/>
      <c r="AI34" s="4"/>
      <c r="AJ34" s="4"/>
      <c r="AK34" s="4"/>
      <c r="AL34" s="4"/>
      <c r="AM34" s="4" t="str">
        <f>IFERROR(__xludf.DUMMYFUNCTION("""COMPUTED_VALUE"""),"FY27")</f>
        <v>FY27</v>
      </c>
      <c r="AN34" s="4"/>
      <c r="AO34" s="4">
        <f>IFERROR(__xludf.DUMMYFUNCTION("""COMPUTED_VALUE"""),45553.0)</f>
        <v>45553</v>
      </c>
      <c r="AP34" s="4" t="str">
        <f>IFERROR(__xludf.DUMMYFUNCTION("""COMPUTED_VALUE"""),"RJ")</f>
        <v>RJ</v>
      </c>
      <c r="AQ34" s="4" t="str">
        <f>IFERROR(__xludf.DUMMYFUNCTION("""COMPUTED_VALUE"""),"BRUNO MEIRA")</f>
        <v>BRUNO MEIRA</v>
      </c>
      <c r="AR34" s="4" t="str">
        <f>IFERROR(__xludf.DUMMYFUNCTION("""COMPUTED_VALUE"""),"RAFAEL CESAR")</f>
        <v>RAFAEL CESAR</v>
      </c>
      <c r="AS34" s="4" t="str">
        <f>IFERROR(__xludf.DUMMYFUNCTION("""COMPUTED_VALUE"""),"NATHALIE MERTENS")</f>
        <v>NATHALIE MERTENS</v>
      </c>
      <c r="AT34" s="4" t="str">
        <f>IFERROR(__xludf.DUMMYFUNCTION("""COMPUTED_VALUE"""),"NATALIA COUTINHO")</f>
        <v>NATALIA COUTINHO</v>
      </c>
      <c r="AU34" s="4">
        <f>IFERROR(__xludf.DUMMYFUNCTION("""COMPUTED_VALUE"""),0.0)</f>
        <v>0</v>
      </c>
      <c r="AV34" s="4">
        <f>IFERROR(__xludf.DUMMYFUNCTION("""COMPUTED_VALUE"""),0.0)</f>
        <v>0</v>
      </c>
      <c r="AW34" s="4">
        <f>IFERROR(__xludf.DUMMYFUNCTION("""COMPUTED_VALUE"""),0.0)</f>
        <v>0</v>
      </c>
      <c r="AX34" s="4">
        <f>IFERROR(__xludf.DUMMYFUNCTION("""COMPUTED_VALUE"""),0.0)</f>
        <v>0</v>
      </c>
      <c r="AY34" s="4"/>
      <c r="AZ34" s="4" t="str">
        <f>IFERROR(__xludf.DUMMYFUNCTION("""COMPUTED_VALUE"""),"Pizza")</f>
        <v>Pizza</v>
      </c>
      <c r="BA34" s="4">
        <f>IFERROR(__xludf.DUMMYFUNCTION("""COMPUTED_VALUE"""),75.0)</f>
        <v>75</v>
      </c>
      <c r="BB34" s="4" t="str">
        <f>IFERROR(__xludf.DUMMYFUNCTION("""COMPUTED_VALUE"""),"Fast Casual - Pizzaria Forno Lenha")</f>
        <v>Fast Casual - Pizzaria Forno Lenha</v>
      </c>
      <c r="BC34" s="4" t="str">
        <f>IFERROR(__xludf.DUMMYFUNCTION("""COMPUTED_VALUE"""),"Regional")</f>
        <v>Regional</v>
      </c>
      <c r="BD34" s="4"/>
      <c r="BE34" s="4">
        <f>IFERROR(__xludf.DUMMYFUNCTION("""COMPUTED_VALUE"""),65.0)</f>
        <v>65</v>
      </c>
      <c r="BF34" s="4">
        <f>IFERROR(__xludf.DUMMYFUNCTION("""COMPUTED_VALUE"""),0.75)</f>
        <v>0.75</v>
      </c>
      <c r="BG3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34" s="4" t="s">
        <v>69</v>
      </c>
      <c r="BI34" s="7">
        <v>0.875</v>
      </c>
    </row>
    <row r="35" hidden="1">
      <c r="A35" s="4" t="str">
        <f>IFERROR(__xludf.DUMMYFUNCTION("""COMPUTED_VALUE"""),"BOTECO COLARINHO")</f>
        <v>BOTECO COLARINHO</v>
      </c>
      <c r="B35" s="4" t="str">
        <f>IFERROR(__xludf.DUMMYFUNCTION("""COMPUTED_VALUE"""),"Lídia Esteves")</f>
        <v>Lídia Esteves</v>
      </c>
      <c r="C35" s="4" t="str">
        <f>IFERROR(__xludf.DUMMYFUNCTION("""COMPUTED_VALUE"""),"Gabriela Roma")</f>
        <v>Gabriela Roma</v>
      </c>
      <c r="D35" s="4" t="str">
        <f>IFERROR(__xludf.DUMMYFUNCTION("""COMPUTED_VALUE"""),"1. Iniciado")</f>
        <v>1. Iniciado</v>
      </c>
      <c r="E35" s="4" t="str">
        <f>IFERROR(__xludf.DUMMYFUNCTION("""COMPUTED_VALUE"""),"Delivery - Aguardando retorno / Conciliação agenda")</f>
        <v>Delivery - Aguardando retorno / Conciliação agenda</v>
      </c>
      <c r="F35" s="4" t="str">
        <f>IFERROR(__xludf.DUMMYFUNCTION("""COMPUTED_VALUE"""),"P")</f>
        <v>P</v>
      </c>
      <c r="G35" s="4"/>
      <c r="H35" s="4"/>
      <c r="I35" s="6">
        <f>IFERROR(__xludf.DUMMYFUNCTION("""COMPUTED_VALUE"""),46121.67330630787)</f>
        <v>46121.67331</v>
      </c>
      <c r="J35" s="4"/>
      <c r="K35" s="4"/>
      <c r="L35" s="4"/>
      <c r="M35" s="4"/>
      <c r="N35" s="4"/>
      <c r="O35" s="4"/>
      <c r="P35" s="4"/>
      <c r="Q35" s="4"/>
      <c r="R35" s="4"/>
      <c r="S35" s="4"/>
      <c r="T35" s="4"/>
      <c r="U35" s="4"/>
      <c r="V35" s="4"/>
      <c r="W35" s="4"/>
      <c r="X35" s="4"/>
      <c r="Y35" s="4"/>
      <c r="Z35" s="4"/>
      <c r="AA35" s="4">
        <f>IFERROR(__xludf.DUMMYFUNCTION("""COMPUTED_VALUE"""),6.0)</f>
        <v>6</v>
      </c>
      <c r="AB35" s="4" t="str">
        <f>IFERROR(__xludf.DUMMYFUNCTION("""COMPUTED_VALUE"""),"CE")</f>
        <v>CE</v>
      </c>
      <c r="AC35" s="4" t="str">
        <f>IFERROR(__xludf.DUMMYFUNCTION("""COMPUTED_VALUE"""),"Sim")</f>
        <v>Sim</v>
      </c>
      <c r="AD35" s="4" t="str">
        <f>IFERROR(__xludf.DUMMYFUNCTION("""COMPUTED_VALUE"""),"Ifood")</f>
        <v>Ifood</v>
      </c>
      <c r="AE35" s="4"/>
      <c r="AF35" s="4"/>
      <c r="AG35" s="4"/>
      <c r="AH35" s="4"/>
      <c r="AI35" s="4"/>
      <c r="AJ35" s="4"/>
      <c r="AK35" s="4"/>
      <c r="AL35" s="4"/>
      <c r="AM35" s="4" t="str">
        <f>IFERROR(__xludf.DUMMYFUNCTION("""COMPUTED_VALUE"""),"FY27")</f>
        <v>FY27</v>
      </c>
      <c r="AN35" s="4"/>
      <c r="AO35" s="4">
        <f>IFERROR(__xludf.DUMMYFUNCTION("""COMPUTED_VALUE"""),45553.0)</f>
        <v>45553</v>
      </c>
      <c r="AP35" s="4" t="str">
        <f>IFERROR(__xludf.DUMMYFUNCTION("""COMPUTED_VALUE"""),"RJ")</f>
        <v>RJ</v>
      </c>
      <c r="AQ35" s="4" t="str">
        <f>IFERROR(__xludf.DUMMYFUNCTION("""COMPUTED_VALUE"""),"BRUNO MEIRA")</f>
        <v>BRUNO MEIRA</v>
      </c>
      <c r="AR35" s="4" t="str">
        <f>IFERROR(__xludf.DUMMYFUNCTION("""COMPUTED_VALUE"""),"DANIEL PELAEZ")</f>
        <v>DANIEL PELAEZ</v>
      </c>
      <c r="AS35" s="4" t="str">
        <f>IFERROR(__xludf.DUMMYFUNCTION("""COMPUTED_VALUE"""),"NATHALIE MERTENS")</f>
        <v>NATHALIE MERTENS</v>
      </c>
      <c r="AT35" s="4" t="str">
        <f>IFERROR(__xludf.DUMMYFUNCTION("""COMPUTED_VALUE"""),"NATALIA COUTINHO")</f>
        <v>NATALIA COUTINHO</v>
      </c>
      <c r="AU35" s="4">
        <f>IFERROR(__xludf.DUMMYFUNCTION("""COMPUTED_VALUE"""),0.0)</f>
        <v>0</v>
      </c>
      <c r="AV35" s="4">
        <f>IFERROR(__xludf.DUMMYFUNCTION("""COMPUTED_VALUE"""),0.0)</f>
        <v>0</v>
      </c>
      <c r="AW35" s="4">
        <f>IFERROR(__xludf.DUMMYFUNCTION("""COMPUTED_VALUE"""),0.0)</f>
        <v>0</v>
      </c>
      <c r="AX35" s="4">
        <f>IFERROR(__xludf.DUMMYFUNCTION("""COMPUTED_VALUE"""),0.0)</f>
        <v>0</v>
      </c>
      <c r="AY35" s="4"/>
      <c r="AZ35" s="4" t="str">
        <f>IFERROR(__xludf.DUMMYFUNCTION("""COMPUTED_VALUE"""),"Frangos")</f>
        <v>Frangos</v>
      </c>
      <c r="BA35" s="4">
        <f>IFERROR(__xludf.DUMMYFUNCTION("""COMPUTED_VALUE"""),70.0)</f>
        <v>70</v>
      </c>
      <c r="BB35" s="4" t="str">
        <f>IFERROR(__xludf.DUMMYFUNCTION("""COMPUTED_VALUE"""),"Table Service - Boteco")</f>
        <v>Table Service - Boteco</v>
      </c>
      <c r="BC35" s="4" t="str">
        <f>IFERROR(__xludf.DUMMYFUNCTION("""COMPUTED_VALUE"""),"Regional")</f>
        <v>Regional</v>
      </c>
      <c r="BD35" s="4"/>
      <c r="BE35" s="4">
        <f>IFERROR(__xludf.DUMMYFUNCTION("""COMPUTED_VALUE"""),55.0)</f>
        <v>55</v>
      </c>
      <c r="BF35" s="4">
        <f>IFERROR(__xludf.DUMMYFUNCTION("""COMPUTED_VALUE"""),0.65)</f>
        <v>0.65</v>
      </c>
      <c r="BG3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35" s="4" t="s">
        <v>63</v>
      </c>
      <c r="BI35" s="7" t="s">
        <v>63</v>
      </c>
    </row>
    <row r="36" hidden="1">
      <c r="A36" s="4" t="str">
        <f>IFERROR(__xludf.DUMMYFUNCTION("""COMPUTED_VALUE"""),"BOTECO CONFRARIA")</f>
        <v>BOTECO CONFRARIA</v>
      </c>
      <c r="B36" s="4" t="str">
        <f>IFERROR(__xludf.DUMMYFUNCTION("""COMPUTED_VALUE"""),"Lídia Esteves")</f>
        <v>Lídia Esteves</v>
      </c>
      <c r="C36" s="4" t="str">
        <f>IFERROR(__xludf.DUMMYFUNCTION("""COMPUTED_VALUE"""),"Gabriela Roma")</f>
        <v>Gabriela Roma</v>
      </c>
      <c r="D36" s="4" t="str">
        <f>IFERROR(__xludf.DUMMYFUNCTION("""COMPUTED_VALUE"""),"6. Negociação")</f>
        <v>6. Negociação</v>
      </c>
      <c r="E36" s="4" t="str">
        <f>IFERROR(__xludf.DUMMYFUNCTION("""COMPUTED_VALUE"""),"Parceiro - Aguardando retorno parceiro")</f>
        <v>Parceiro - Aguardando retorno parceiro</v>
      </c>
      <c r="F36" s="4" t="str">
        <f>IFERROR(__xludf.DUMMYFUNCTION("""COMPUTED_VALUE"""),"P")</f>
        <v>P</v>
      </c>
      <c r="G36" s="5">
        <f>IFERROR(__xludf.DUMMYFUNCTION("""COMPUTED_VALUE"""),46154.0)</f>
        <v>46154</v>
      </c>
      <c r="H36" s="4" t="str">
        <f>IFERROR(__xludf.DUMMYFUNCTION("""COMPUTED_VALUE"""),"demo agendada 15/5")</f>
        <v>demo agendada 15/5</v>
      </c>
      <c r="I36" s="6">
        <f>IFERROR(__xludf.DUMMYFUNCTION("""COMPUTED_VALUE"""),46139.69141547453)</f>
        <v>46139.69142</v>
      </c>
      <c r="J36" s="6">
        <f>IFERROR(__xludf.DUMMYFUNCTION("""COMPUTED_VALUE"""),46139.69151267361)</f>
        <v>46139.69151</v>
      </c>
      <c r="K36" s="6">
        <f>IFERROR(__xludf.DUMMYFUNCTION("""COMPUTED_VALUE"""),46140.40487471065)</f>
        <v>46140.40487</v>
      </c>
      <c r="L36" s="6">
        <f>IFERROR(__xludf.DUMMYFUNCTION("""COMPUTED_VALUE"""),46153.67977137731)</f>
        <v>46153.67977</v>
      </c>
      <c r="M36" s="6">
        <f>IFERROR(__xludf.DUMMYFUNCTION("""COMPUTED_VALUE"""),46153.68049569444)</f>
        <v>46153.6805</v>
      </c>
      <c r="N36" s="6">
        <f>IFERROR(__xludf.DUMMYFUNCTION("""COMPUTED_VALUE"""),46161.40003415509)</f>
        <v>46161.40003</v>
      </c>
      <c r="O36" s="4"/>
      <c r="P36" s="4"/>
      <c r="Q36" s="4"/>
      <c r="R36" s="4"/>
      <c r="S36" s="4"/>
      <c r="T36" s="4"/>
      <c r="U36" s="4"/>
      <c r="V36" s="4"/>
      <c r="W36" s="4"/>
      <c r="X36" s="4"/>
      <c r="Y36" s="4"/>
      <c r="Z36" s="4"/>
      <c r="AA36" s="4">
        <f>IFERROR(__xludf.DUMMYFUNCTION("""COMPUTED_VALUE"""),6.0)</f>
        <v>6</v>
      </c>
      <c r="AB36" s="4" t="str">
        <f>IFERROR(__xludf.DUMMYFUNCTION("""COMPUTED_VALUE"""),"CE")</f>
        <v>CE</v>
      </c>
      <c r="AC36" s="4" t="str">
        <f>IFERROR(__xludf.DUMMYFUNCTION("""COMPUTED_VALUE"""),"Sim")</f>
        <v>Sim</v>
      </c>
      <c r="AD36" s="4" t="str">
        <f>IFERROR(__xludf.DUMMYFUNCTION("""COMPUTED_VALUE"""),"Ifood")</f>
        <v>Ifood</v>
      </c>
      <c r="AE36" s="4"/>
      <c r="AF36" s="4"/>
      <c r="AG36" s="4"/>
      <c r="AH36" s="4">
        <f>IFERROR(__xludf.DUMMYFUNCTION("""COMPUTED_VALUE"""),5.0)</f>
        <v>5</v>
      </c>
      <c r="AI36" s="4">
        <f>IFERROR(__xludf.DUMMYFUNCTION("""COMPUTED_VALUE"""),400000.0)</f>
        <v>400000</v>
      </c>
      <c r="AJ36" s="4" t="str">
        <f>IFERROR(__xludf.DUMMYFUNCTION("""COMPUTED_VALUE"""),"sistema local")</f>
        <v>sistema local</v>
      </c>
      <c r="AK36" s="4" t="str">
        <f>IFERROR(__xludf.DUMMYFUNCTION("""COMPUTED_VALUE"""),"delivery,take away e salão")</f>
        <v>delivery,take away e salão</v>
      </c>
      <c r="AL36" s="4" t="str">
        <f>IFERROR(__xludf.DUMMYFUNCTION("""COMPUTED_VALUE"""),"SIM")</f>
        <v>SIM</v>
      </c>
      <c r="AM36" s="4" t="str">
        <f>IFERROR(__xludf.DUMMYFUNCTION("""COMPUTED_VALUE"""),"FY27")</f>
        <v>FY27</v>
      </c>
      <c r="AN36" s="4"/>
      <c r="AO36" s="4">
        <f>IFERROR(__xludf.DUMMYFUNCTION("""COMPUTED_VALUE"""),61.0)</f>
        <v>61</v>
      </c>
      <c r="AP36" s="4" t="str">
        <f>IFERROR(__xludf.DUMMYFUNCTION("""COMPUTED_VALUE"""),"RJ")</f>
        <v>RJ</v>
      </c>
      <c r="AQ36" s="4" t="str">
        <f>IFERROR(__xludf.DUMMYFUNCTION("""COMPUTED_VALUE"""),"JUAN CHAROTTA")</f>
        <v>JUAN CHAROTTA</v>
      </c>
      <c r="AR36" s="4" t="str">
        <f>IFERROR(__xludf.DUMMYFUNCTION("""COMPUTED_VALUE"""),"RIBAMAR GUSMAO")</f>
        <v>RIBAMAR GUSMAO</v>
      </c>
      <c r="AS36" s="4" t="str">
        <f>IFERROR(__xludf.DUMMYFUNCTION("""COMPUTED_VALUE"""),"NATHALIE MERTENS")</f>
        <v>NATHALIE MERTENS</v>
      </c>
      <c r="AT36" s="4" t="str">
        <f>IFERROR(__xludf.DUMMYFUNCTION("""COMPUTED_VALUE"""),"NATALIA COUTINHO")</f>
        <v>NATALIA COUTINHO</v>
      </c>
      <c r="AU36" s="4">
        <f>IFERROR(__xludf.DUMMYFUNCTION("""COMPUTED_VALUE"""),0.0)</f>
        <v>0</v>
      </c>
      <c r="AV36" s="4">
        <f>IFERROR(__xludf.DUMMYFUNCTION("""COMPUTED_VALUE"""),0.0)</f>
        <v>0</v>
      </c>
      <c r="AW36" s="4">
        <f>IFERROR(__xludf.DUMMYFUNCTION("""COMPUTED_VALUE"""),0.0)</f>
        <v>0</v>
      </c>
      <c r="AX36" s="4">
        <f>IFERROR(__xludf.DUMMYFUNCTION("""COMPUTED_VALUE"""),0.0)</f>
        <v>0</v>
      </c>
      <c r="AY36" s="4"/>
      <c r="AZ36" s="4" t="str">
        <f>IFERROR(__xludf.DUMMYFUNCTION("""COMPUTED_VALUE"""),"Lanches")</f>
        <v>Lanches</v>
      </c>
      <c r="BA36" s="4">
        <f>IFERROR(__xludf.DUMMYFUNCTION("""COMPUTED_VALUE"""),65.0)</f>
        <v>65</v>
      </c>
      <c r="BB36" s="4" t="str">
        <f>IFERROR(__xludf.DUMMYFUNCTION("""COMPUTED_VALUE"""),"Table Service - Boteco")</f>
        <v>Table Service - Boteco</v>
      </c>
      <c r="BC36" s="4" t="str">
        <f>IFERROR(__xludf.DUMMYFUNCTION("""COMPUTED_VALUE"""),"Regional")</f>
        <v>Regional</v>
      </c>
      <c r="BD36" s="4"/>
      <c r="BE36" s="4">
        <f>IFERROR(__xludf.DUMMYFUNCTION("""COMPUTED_VALUE"""),55.0)</f>
        <v>55</v>
      </c>
      <c r="BF36" s="4">
        <f>IFERROR(__xludf.DUMMYFUNCTION("""COMPUTED_VALUE"""),0.65)</f>
        <v>0.65</v>
      </c>
      <c r="BG3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36" s="4" t="s">
        <v>63</v>
      </c>
      <c r="BI36" s="7" t="s">
        <v>63</v>
      </c>
    </row>
    <row r="37" hidden="1">
      <c r="A37" s="4" t="str">
        <f>IFERROR(__xludf.DUMMYFUNCTION("""COMPUTED_VALUE"""),"BRAVA SUSHI - CONTA MARCA")</f>
        <v>BRAVA SUSHI - CONTA MARCA</v>
      </c>
      <c r="B37" s="4" t="str">
        <f>IFERROR(__xludf.DUMMYFUNCTION("""COMPUTED_VALUE"""),"Lídia Esteves")</f>
        <v>Lídia Esteves</v>
      </c>
      <c r="C37" s="4" t="str">
        <f>IFERROR(__xludf.DUMMYFUNCTION("""COMPUTED_VALUE"""),"Gabriela Roma")</f>
        <v>Gabriela Roma</v>
      </c>
      <c r="D37" s="4" t="str">
        <f>IFERROR(__xludf.DUMMYFUNCTION("""COMPUTED_VALUE"""),"1. Iniciado")</f>
        <v>1. Iniciado</v>
      </c>
      <c r="E37" s="4" t="str">
        <f>IFERROR(__xludf.DUMMYFUNCTION("""COMPUTED_VALUE"""),"Delivery - Aguardando retorno / Conciliação agenda")</f>
        <v>Delivery - Aguardando retorno / Conciliação agenda</v>
      </c>
      <c r="F37" s="4" t="str">
        <f>IFERROR(__xludf.DUMMYFUNCTION("""COMPUTED_VALUE"""),"P")</f>
        <v>P</v>
      </c>
      <c r="G37" s="4"/>
      <c r="H37" s="4"/>
      <c r="I37" s="6">
        <f>IFERROR(__xludf.DUMMYFUNCTION("""COMPUTED_VALUE"""),46121.67342309028)</f>
        <v>46121.67342</v>
      </c>
      <c r="J37" s="4"/>
      <c r="K37" s="4"/>
      <c r="L37" s="4"/>
      <c r="M37" s="4"/>
      <c r="N37" s="4"/>
      <c r="O37" s="4"/>
      <c r="P37" s="4"/>
      <c r="Q37" s="4"/>
      <c r="R37" s="4"/>
      <c r="S37" s="4"/>
      <c r="T37" s="4"/>
      <c r="U37" s="4"/>
      <c r="V37" s="4"/>
      <c r="W37" s="4"/>
      <c r="X37" s="4"/>
      <c r="Y37" s="4"/>
      <c r="Z37" s="4"/>
      <c r="AA37" s="4">
        <f>IFERROR(__xludf.DUMMYFUNCTION("""COMPUTED_VALUE"""),23.0)</f>
        <v>23</v>
      </c>
      <c r="AB37" s="4" t="str">
        <f>IFERROR(__xludf.DUMMYFUNCTION("""COMPUTED_VALUE"""),"-")</f>
        <v>-</v>
      </c>
      <c r="AC37" s="4" t="str">
        <f>IFERROR(__xludf.DUMMYFUNCTION("""COMPUTED_VALUE"""),"Sim")</f>
        <v>Sim</v>
      </c>
      <c r="AD37" s="4" t="str">
        <f>IFERROR(__xludf.DUMMYFUNCTION("""COMPUTED_VALUE"""),"Ifood")</f>
        <v>Ifood</v>
      </c>
      <c r="AE37" s="4"/>
      <c r="AF37" s="4"/>
      <c r="AG37" s="4"/>
      <c r="AH37" s="4"/>
      <c r="AI37" s="4"/>
      <c r="AJ37" s="4"/>
      <c r="AK37" s="4"/>
      <c r="AL37" s="4"/>
      <c r="AM37" s="4" t="str">
        <f>IFERROR(__xludf.DUMMYFUNCTION("""COMPUTED_VALUE"""),"FY27")</f>
        <v>FY27</v>
      </c>
      <c r="AN37" s="4"/>
      <c r="AO37" s="4">
        <f>IFERROR(__xludf.DUMMYFUNCTION("""COMPUTED_VALUE"""),45553.0)</f>
        <v>45553</v>
      </c>
      <c r="AP37" s="4" t="str">
        <f>IFERROR(__xludf.DUMMYFUNCTION("""COMPUTED_VALUE"""),"SC")</f>
        <v>SC</v>
      </c>
      <c r="AQ37" s="4" t="str">
        <f>IFERROR(__xludf.DUMMYFUNCTION("""COMPUTED_VALUE"""),"BIANCA COUTINHO")</f>
        <v>BIANCA COUTINHO</v>
      </c>
      <c r="AR37" s="4" t="str">
        <f>IFERROR(__xludf.DUMMYFUNCTION("""COMPUTED_VALUE"""),"LEANDRO ANKUDAVICIUS")</f>
        <v>LEANDRO ANKUDAVICIUS</v>
      </c>
      <c r="AS37" s="4" t="str">
        <f>IFERROR(__xludf.DUMMYFUNCTION("""COMPUTED_VALUE"""),"FABIO DONATO")</f>
        <v>FABIO DONATO</v>
      </c>
      <c r="AT37" s="4" t="str">
        <f>IFERROR(__xludf.DUMMYFUNCTION("""COMPUTED_VALUE"""),"CAMILA HOLANDA")</f>
        <v>CAMILA HOLANDA</v>
      </c>
      <c r="AU37" s="4">
        <f>IFERROR(__xludf.DUMMYFUNCTION("""COMPUTED_VALUE"""),0.0)</f>
        <v>0</v>
      </c>
      <c r="AV37" s="4">
        <f>IFERROR(__xludf.DUMMYFUNCTION("""COMPUTED_VALUE"""),0.0)</f>
        <v>0</v>
      </c>
      <c r="AW37" s="4">
        <f>IFERROR(__xludf.DUMMYFUNCTION("""COMPUTED_VALUE"""),0.0)</f>
        <v>0</v>
      </c>
      <c r="AX37" s="4">
        <f>IFERROR(__xludf.DUMMYFUNCTION("""COMPUTED_VALUE"""),0.0)</f>
        <v>0</v>
      </c>
      <c r="AY37" s="4"/>
      <c r="AZ37" s="4" t="str">
        <f>IFERROR(__xludf.DUMMYFUNCTION("""COMPUTED_VALUE"""),"Pizza")</f>
        <v>Pizza</v>
      </c>
      <c r="BA37" s="4">
        <f>IFERROR(__xludf.DUMMYFUNCTION("""COMPUTED_VALUE"""),70.0)</f>
        <v>70</v>
      </c>
      <c r="BB37" s="4" t="str">
        <f>IFERROR(__xludf.DUMMYFUNCTION("""COMPUTED_VALUE"""),"Fast Casual/Delivery - Comida Japonesa")</f>
        <v>Fast Casual/Delivery - Comida Japonesa</v>
      </c>
      <c r="BC37" s="4" t="str">
        <f>IFERROR(__xludf.DUMMYFUNCTION("""COMPUTED_VALUE"""),"Regional/Nacional")</f>
        <v>Regional/Nacional</v>
      </c>
      <c r="BD37" s="4" t="str">
        <f>IFERROR(__xludf.DUMMYFUNCTION("""COMPUTED_VALUE"""),"Dado não disponível - Necessário Discovery")</f>
        <v>Dado não disponível - Necessário Discovery</v>
      </c>
      <c r="BE37" s="4">
        <f>IFERROR(__xludf.DUMMYFUNCTION("""COMPUTED_VALUE"""),70.0)</f>
        <v>70</v>
      </c>
      <c r="BF37" s="4">
        <f>IFERROR(__xludf.DUMMYFUNCTION("""COMPUTED_VALUE"""),0.8)</f>
        <v>0.8</v>
      </c>
      <c r="BG37"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37" s="4" t="s">
        <v>69</v>
      </c>
      <c r="BI37" s="7">
        <v>0.75</v>
      </c>
    </row>
    <row r="38" hidden="1">
      <c r="A38" s="4" t="str">
        <f>IFERROR(__xludf.DUMMYFUNCTION("""COMPUTED_VALUE"""),"BRAZZATTO PIZZA")</f>
        <v>BRAZZATTO PIZZA</v>
      </c>
      <c r="B38" s="4" t="str">
        <f>IFERROR(__xludf.DUMMYFUNCTION("""COMPUTED_VALUE"""),"João Biagiotti")</f>
        <v>João Biagiotti</v>
      </c>
      <c r="C38" s="4" t="str">
        <f>IFERROR(__xludf.DUMMYFUNCTION("""COMPUTED_VALUE"""),"Diego Santos")</f>
        <v>Diego Santos</v>
      </c>
      <c r="D38" s="4" t="str">
        <f>IFERROR(__xludf.DUMMYFUNCTION("""COMPUTED_VALUE"""),"0. Não Iniciado")</f>
        <v>0. Não Iniciado</v>
      </c>
      <c r="E38" s="4"/>
      <c r="F38" s="4" t="str">
        <f>IFERROR(__xludf.DUMMYFUNCTION("""COMPUTED_VALUE"""),"P")</f>
        <v>P</v>
      </c>
      <c r="G38" s="5">
        <f>IFERROR(__xludf.DUMMYFUNCTION("""COMPUTED_VALUE"""),46120.0)</f>
        <v>46120</v>
      </c>
      <c r="H38" s="4" t="str">
        <f>IFERROR(__xludf.DUMMYFUNCTION("""COMPUTED_VALUE"""),"Executiva delivery está de férias")</f>
        <v>Executiva delivery está de férias</v>
      </c>
      <c r="I38" s="4"/>
      <c r="J38" s="4"/>
      <c r="K38" s="4"/>
      <c r="L38" s="4"/>
      <c r="M38" s="4"/>
      <c r="N38" s="4"/>
      <c r="O38" s="4"/>
      <c r="P38" s="4"/>
      <c r="Q38" s="4"/>
      <c r="R38" s="4"/>
      <c r="S38" s="4"/>
      <c r="T38" s="4"/>
      <c r="U38" s="4"/>
      <c r="V38" s="4"/>
      <c r="W38" s="4"/>
      <c r="X38" s="4"/>
      <c r="Y38" s="4"/>
      <c r="Z38" s="4"/>
      <c r="AA38" s="4">
        <f>IFERROR(__xludf.DUMMYFUNCTION("""COMPUTED_VALUE"""),5.0)</f>
        <v>5</v>
      </c>
      <c r="AB38" s="4" t="str">
        <f>IFERROR(__xludf.DUMMYFUNCTION("""COMPUTED_VALUE"""),"CE")</f>
        <v>CE</v>
      </c>
      <c r="AC38" s="4" t="str">
        <f>IFERROR(__xludf.DUMMYFUNCTION("""COMPUTED_VALUE"""),"Sim")</f>
        <v>Sim</v>
      </c>
      <c r="AD38" s="4">
        <f>IFERROR(__xludf.DUMMYFUNCTION("""COMPUTED_VALUE"""),0.0)</f>
        <v>0</v>
      </c>
      <c r="AE38" s="4"/>
      <c r="AF38" s="4"/>
      <c r="AG38" s="4"/>
      <c r="AH38" s="4"/>
      <c r="AI38" s="4"/>
      <c r="AJ38" s="4"/>
      <c r="AK38" s="4"/>
      <c r="AL38" s="4"/>
      <c r="AM38" s="4" t="str">
        <f>IFERROR(__xludf.DUMMYFUNCTION("""COMPUTED_VALUE"""),"FY27")</f>
        <v>FY27</v>
      </c>
      <c r="AN38" s="4"/>
      <c r="AO38" s="4">
        <f>IFERROR(__xludf.DUMMYFUNCTION("""COMPUTED_VALUE"""),95.0)</f>
        <v>95</v>
      </c>
      <c r="AP38" s="4" t="str">
        <f>IFERROR(__xludf.DUMMYFUNCTION("""COMPUTED_VALUE"""),"SP")</f>
        <v>SP</v>
      </c>
      <c r="AQ38" s="4" t="str">
        <f>IFERROR(__xludf.DUMMYFUNCTION("""COMPUTED_VALUE"""),"GABRIEL CAMACHO")</f>
        <v>GABRIEL CAMACHO</v>
      </c>
      <c r="AR38" s="4" t="str">
        <f>IFERROR(__xludf.DUMMYFUNCTION("""COMPUTED_VALUE"""),"LARISSA GABRIELA")</f>
        <v>LARISSA GABRIELA</v>
      </c>
      <c r="AS38" s="4" t="str">
        <f>IFERROR(__xludf.DUMMYFUNCTION("""COMPUTED_VALUE"""),"NATHALIE MERTENS")</f>
        <v>NATHALIE MERTENS</v>
      </c>
      <c r="AT38" s="4" t="str">
        <f>IFERROR(__xludf.DUMMYFUNCTION("""COMPUTED_VALUE"""),"MATHEUS LESSA")</f>
        <v>MATHEUS LESSA</v>
      </c>
      <c r="AU38" s="4">
        <f>IFERROR(__xludf.DUMMYFUNCTION("""COMPUTED_VALUE"""),0.0)</f>
        <v>0</v>
      </c>
      <c r="AV38" s="4">
        <f>IFERROR(__xludf.DUMMYFUNCTION("""COMPUTED_VALUE"""),0.0)</f>
        <v>0</v>
      </c>
      <c r="AW38" s="4">
        <f>IFERROR(__xludf.DUMMYFUNCTION("""COMPUTED_VALUE"""),0.0)</f>
        <v>0</v>
      </c>
      <c r="AX38" s="4">
        <f>IFERROR(__xludf.DUMMYFUNCTION("""COMPUTED_VALUE"""),0.0)</f>
        <v>0</v>
      </c>
      <c r="AY38" s="4"/>
      <c r="AZ38" s="4" t="str">
        <f>IFERROR(__xludf.DUMMYFUNCTION("""COMPUTED_VALUE"""),"Pizza")</f>
        <v>Pizza</v>
      </c>
      <c r="BA38" s="4">
        <f>IFERROR(__xludf.DUMMYFUNCTION("""COMPUTED_VALUE"""),68.0)</f>
        <v>68</v>
      </c>
      <c r="BB38" s="4" t="str">
        <f>IFERROR(__xludf.DUMMYFUNCTION("""COMPUTED_VALUE"""),"Fast Casual - Pizzaria")</f>
        <v>Fast Casual - Pizzaria</v>
      </c>
      <c r="BC38" s="4" t="str">
        <f>IFERROR(__xludf.DUMMYFUNCTION("""COMPUTED_VALUE"""),"Regional")</f>
        <v>Regional</v>
      </c>
      <c r="BD38" s="4" t="str">
        <f>IFERROR(__xludf.DUMMYFUNCTION("""COMPUTED_VALUE"""),"Dado não disponível - Necessário Discovery")</f>
        <v>Dado não disponível - Necessário Discovery</v>
      </c>
      <c r="BE38" s="4">
        <f>IFERROR(__xludf.DUMMYFUNCTION("""COMPUTED_VALUE"""),70.0)</f>
        <v>70</v>
      </c>
      <c r="BF38" s="4">
        <f>IFERROR(__xludf.DUMMYFUNCTION("""COMPUTED_VALUE"""),0.75)</f>
        <v>0.75</v>
      </c>
      <c r="BG3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38" s="4" t="s">
        <v>73</v>
      </c>
      <c r="BI38" s="7">
        <v>1.0</v>
      </c>
    </row>
    <row r="39" hidden="1">
      <c r="A39" s="4" t="str">
        <f>IFERROR(__xludf.DUMMYFUNCTION("""COMPUTED_VALUE"""),"BRONCO BURGER")</f>
        <v>BRONCO BURGER</v>
      </c>
      <c r="B39" s="4" t="str">
        <f>IFERROR(__xludf.DUMMYFUNCTION("""COMPUTED_VALUE"""),"Lídia Esteves")</f>
        <v>Lídia Esteves</v>
      </c>
      <c r="C39" s="4" t="str">
        <f>IFERROR(__xludf.DUMMYFUNCTION("""COMPUTED_VALUE"""),"Gabriela Roma")</f>
        <v>Gabriela Roma</v>
      </c>
      <c r="D39" s="4" t="str">
        <f>IFERROR(__xludf.DUMMYFUNCTION("""COMPUTED_VALUE"""),"0. Não Iniciado")</f>
        <v>0. Não Iniciado</v>
      </c>
      <c r="E39" s="4"/>
      <c r="F39" s="4" t="str">
        <f>IFERROR(__xludf.DUMMYFUNCTION("""COMPUTED_VALUE"""),"P")</f>
        <v>P</v>
      </c>
      <c r="G39" s="4"/>
      <c r="H39" s="4"/>
      <c r="I39" s="4"/>
      <c r="J39" s="4"/>
      <c r="K39" s="4"/>
      <c r="L39" s="4"/>
      <c r="M39" s="4"/>
      <c r="N39" s="4"/>
      <c r="O39" s="4"/>
      <c r="P39" s="4"/>
      <c r="Q39" s="4"/>
      <c r="R39" s="4"/>
      <c r="S39" s="4"/>
      <c r="T39" s="4"/>
      <c r="U39" s="4"/>
      <c r="V39" s="4"/>
      <c r="W39" s="4"/>
      <c r="X39" s="4"/>
      <c r="Y39" s="4"/>
      <c r="Z39" s="4"/>
      <c r="AA39" s="4">
        <f>IFERROR(__xludf.DUMMYFUNCTION("""COMPUTED_VALUE"""),5.0)</f>
        <v>5</v>
      </c>
      <c r="AB39" s="14" t="str">
        <f>IFERROR(__xludf.DUMMYFUNCTION("""COMPUTED_VALUE"""),"CE")</f>
        <v>CE</v>
      </c>
      <c r="AC39" s="4" t="str">
        <f>IFERROR(__xludf.DUMMYFUNCTION("""COMPUTED_VALUE"""),"Sim")</f>
        <v>Sim</v>
      </c>
      <c r="AD39" s="4" t="str">
        <f>IFERROR(__xludf.DUMMYFUNCTION("""COMPUTED_VALUE"""),"Ifood")</f>
        <v>Ifood</v>
      </c>
      <c r="AE39" s="4"/>
      <c r="AF39" s="4"/>
      <c r="AG39" s="4"/>
      <c r="AH39" s="4"/>
      <c r="AI39" s="4"/>
      <c r="AJ39" s="4"/>
      <c r="AK39" s="4"/>
      <c r="AL39" s="4"/>
      <c r="AM39" s="4" t="str">
        <f>IFERROR(__xludf.DUMMYFUNCTION("""COMPUTED_VALUE"""),"FY27")</f>
        <v>FY27</v>
      </c>
      <c r="AN39" s="4"/>
      <c r="AO39" s="4">
        <f>IFERROR(__xludf.DUMMYFUNCTION("""COMPUTED_VALUE"""),45553.0)</f>
        <v>45553</v>
      </c>
      <c r="AP39" s="4" t="str">
        <f>IFERROR(__xludf.DUMMYFUNCTION("""COMPUTED_VALUE"""),"SP")</f>
        <v>SP</v>
      </c>
      <c r="AQ39" s="4" t="str">
        <f>IFERROR(__xludf.DUMMYFUNCTION("""COMPUTED_VALUE"""),"VITOR SERRANO")</f>
        <v>VITOR SERRANO</v>
      </c>
      <c r="AR39" s="4" t="str">
        <f>IFERROR(__xludf.DUMMYFUNCTION("""COMPUTED_VALUE"""),"LEONARDO FERRARI")</f>
        <v>LEONARDO FERRARI</v>
      </c>
      <c r="AS39" s="4" t="str">
        <f>IFERROR(__xludf.DUMMYFUNCTION("""COMPUTED_VALUE"""),"ALAN HADDAD")</f>
        <v>ALAN HADDAD</v>
      </c>
      <c r="AT39" s="4" t="str">
        <f>IFERROR(__xludf.DUMMYFUNCTION("""COMPUTED_VALUE"""),"ISABELA DINIZ")</f>
        <v>ISABELA DINIZ</v>
      </c>
      <c r="AU39" s="4">
        <f>IFERROR(__xludf.DUMMYFUNCTION("""COMPUTED_VALUE"""),0.0)</f>
        <v>0</v>
      </c>
      <c r="AV39" s="4">
        <f>IFERROR(__xludf.DUMMYFUNCTION("""COMPUTED_VALUE"""),0.0)</f>
        <v>0</v>
      </c>
      <c r="AW39" s="4">
        <f>IFERROR(__xludf.DUMMYFUNCTION("""COMPUTED_VALUE"""),0.0)</f>
        <v>0</v>
      </c>
      <c r="AX39" s="4">
        <f>IFERROR(__xludf.DUMMYFUNCTION("""COMPUTED_VALUE"""),0.0)</f>
        <v>0</v>
      </c>
      <c r="AY39" s="4"/>
      <c r="AZ39" s="4" t="str">
        <f>IFERROR(__xludf.DUMMYFUNCTION("""COMPUTED_VALUE"""),"Lanches")</f>
        <v>Lanches</v>
      </c>
      <c r="BA39" s="4">
        <f>IFERROR(__xludf.DUMMYFUNCTION("""COMPUTED_VALUE"""),60.0)</f>
        <v>60</v>
      </c>
      <c r="BB39" s="12" t="str">
        <f>IFERROR(__xludf.DUMMYFUNCTION("""COMPUTED_VALUE"""),"Fast Casual - Hamburgueria")</f>
        <v>Fast Casual - Hamburgueria</v>
      </c>
      <c r="BC39" s="4" t="str">
        <f>IFERROR(__xludf.DUMMYFUNCTION("""COMPUTED_VALUE"""),"Regional")</f>
        <v>Regional</v>
      </c>
      <c r="BD39" s="4" t="str">
        <f>IFERROR(__xludf.DUMMYFUNCTION("""COMPUTED_VALUE"""),"Dado não disponível - Necessário Discovery")</f>
        <v>Dado não disponível - Necessário Discovery</v>
      </c>
      <c r="BE39" s="4">
        <f>IFERROR(__xludf.DUMMYFUNCTION("""COMPUTED_VALUE"""),70.0)</f>
        <v>70</v>
      </c>
      <c r="BF39" s="13">
        <f>IFERROR(__xludf.DUMMYFUNCTION("""COMPUTED_VALUE"""),0.75)</f>
        <v>0.75</v>
      </c>
      <c r="BG3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39" s="4" t="s">
        <v>74</v>
      </c>
      <c r="BI39" s="7">
        <v>1.0</v>
      </c>
    </row>
    <row r="40" hidden="1">
      <c r="A40" s="4" t="str">
        <f>IFERROR(__xludf.DUMMYFUNCTION("""COMPUTED_VALUE"""),"BRUTUS BURGER")</f>
        <v>BRUTUS BURGER</v>
      </c>
      <c r="B40" s="4" t="str">
        <f>IFERROR(__xludf.DUMMYFUNCTION("""COMPUTED_VALUE"""),"João Biagiotti")</f>
        <v>João Biagiotti</v>
      </c>
      <c r="C40" s="4" t="str">
        <f>IFERROR(__xludf.DUMMYFUNCTION("""COMPUTED_VALUE"""),"Diego Santos")</f>
        <v>Diego Santos</v>
      </c>
      <c r="D40" s="4" t="str">
        <f>IFERROR(__xludf.DUMMYFUNCTION("""COMPUTED_VALUE"""),"0. Não Iniciado")</f>
        <v>0. Não Iniciado</v>
      </c>
      <c r="E40" s="4"/>
      <c r="F40" s="4" t="str">
        <f>IFERROR(__xludf.DUMMYFUNCTION("""COMPUTED_VALUE"""),"P")</f>
        <v>P</v>
      </c>
      <c r="G40" s="4"/>
      <c r="H40" s="4"/>
      <c r="I40" s="4"/>
      <c r="J40" s="4"/>
      <c r="K40" s="4"/>
      <c r="L40" s="4"/>
      <c r="M40" s="4"/>
      <c r="N40" s="4"/>
      <c r="O40" s="4"/>
      <c r="P40" s="4"/>
      <c r="Q40" s="4"/>
      <c r="R40" s="4"/>
      <c r="S40" s="4"/>
      <c r="T40" s="4"/>
      <c r="U40" s="4"/>
      <c r="V40" s="4"/>
      <c r="W40" s="4"/>
      <c r="X40" s="4"/>
      <c r="Y40" s="4"/>
      <c r="Z40" s="4"/>
      <c r="AA40" s="4">
        <f>IFERROR(__xludf.DUMMYFUNCTION("""COMPUTED_VALUE"""),7.0)</f>
        <v>7</v>
      </c>
      <c r="AB40" s="14" t="str">
        <f>IFERROR(__xludf.DUMMYFUNCTION("""COMPUTED_VALUE"""),"CE")</f>
        <v>CE</v>
      </c>
      <c r="AC40" s="4" t="str">
        <f>IFERROR(__xludf.DUMMYFUNCTION("""COMPUTED_VALUE"""),"Sim")</f>
        <v>Sim</v>
      </c>
      <c r="AD40" s="4" t="str">
        <f>IFERROR(__xludf.DUMMYFUNCTION("""COMPUTED_VALUE"""),"Ifood")</f>
        <v>Ifood</v>
      </c>
      <c r="AE40" s="4"/>
      <c r="AF40" s="4"/>
      <c r="AG40" s="4"/>
      <c r="AH40" s="4"/>
      <c r="AI40" s="4"/>
      <c r="AJ40" s="4"/>
      <c r="AK40" s="4"/>
      <c r="AL40" s="4"/>
      <c r="AM40" s="4" t="str">
        <f>IFERROR(__xludf.DUMMYFUNCTION("""COMPUTED_VALUE"""),"FY27")</f>
        <v>FY27</v>
      </c>
      <c r="AN40" s="4"/>
      <c r="AO40" s="4">
        <f>IFERROR(__xludf.DUMMYFUNCTION("""COMPUTED_VALUE"""),45553.0)</f>
        <v>45553</v>
      </c>
      <c r="AP40" s="4" t="str">
        <f>IFERROR(__xludf.DUMMYFUNCTION("""COMPUTED_VALUE"""),"BA")</f>
        <v>BA</v>
      </c>
      <c r="AQ40" s="4" t="str">
        <f>IFERROR(__xludf.DUMMYFUNCTION("""COMPUTED_VALUE"""),"VIDOLIN EDUARDO")</f>
        <v>VIDOLIN EDUARDO</v>
      </c>
      <c r="AR40" s="4" t="str">
        <f>IFERROR(__xludf.DUMMYFUNCTION("""COMPUTED_VALUE"""),"VALERIA VASCONCELOS")</f>
        <v>VALERIA VASCONCELOS</v>
      </c>
      <c r="AS40" s="4" t="str">
        <f>IFERROR(__xludf.DUMMYFUNCTION("""COMPUTED_VALUE"""),"FABIO DONATO")</f>
        <v>FABIO DONATO</v>
      </c>
      <c r="AT40" s="4" t="str">
        <f>IFERROR(__xludf.DUMMYFUNCTION("""COMPUTED_VALUE"""),"GILSON JUNIOR")</f>
        <v>GILSON JUNIOR</v>
      </c>
      <c r="AU40" s="4">
        <f>IFERROR(__xludf.DUMMYFUNCTION("""COMPUTED_VALUE"""),0.0)</f>
        <v>0</v>
      </c>
      <c r="AV40" s="4">
        <f>IFERROR(__xludf.DUMMYFUNCTION("""COMPUTED_VALUE"""),0.0)</f>
        <v>0</v>
      </c>
      <c r="AW40" s="4">
        <f>IFERROR(__xludf.DUMMYFUNCTION("""COMPUTED_VALUE"""),0.0)</f>
        <v>0</v>
      </c>
      <c r="AX40" s="4">
        <f>IFERROR(__xludf.DUMMYFUNCTION("""COMPUTED_VALUE"""),0.0)</f>
        <v>0</v>
      </c>
      <c r="AY40" s="4"/>
      <c r="AZ40" s="4" t="str">
        <f>IFERROR(__xludf.DUMMYFUNCTION("""COMPUTED_VALUE"""),"Lanches")</f>
        <v>Lanches</v>
      </c>
      <c r="BA40" s="4">
        <f>IFERROR(__xludf.DUMMYFUNCTION("""COMPUTED_VALUE"""),68.0)</f>
        <v>68</v>
      </c>
      <c r="BB40" s="12" t="str">
        <f>IFERROR(__xludf.DUMMYFUNCTION("""COMPUTED_VALUE"""),"Fast Casual - Hamburgueria Artesanal")</f>
        <v>Fast Casual - Hamburgueria Artesanal</v>
      </c>
      <c r="BC40" s="4" t="str">
        <f>IFERROR(__xludf.DUMMYFUNCTION("""COMPUTED_VALUE"""),"Salvador e RMS/BA")</f>
        <v>Salvador e RMS/BA</v>
      </c>
      <c r="BD40" s="4" t="str">
        <f>IFERROR(__xludf.DUMMYFUNCTION("""COMPUTED_VALUE"""),"Dado não disponível - Necessário Discovery")</f>
        <v>Dado não disponível - Necessário Discovery</v>
      </c>
      <c r="BE40" s="4">
        <f>IFERROR(__xludf.DUMMYFUNCTION("""COMPUTED_VALUE"""),70.0)</f>
        <v>70</v>
      </c>
      <c r="BF40" s="13">
        <f>IFERROR(__xludf.DUMMYFUNCTION("""COMPUTED_VALUE"""),0.75)</f>
        <v>0.75</v>
      </c>
      <c r="BG4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40" s="4" t="s">
        <v>75</v>
      </c>
      <c r="BI40" s="7">
        <v>0.8571428571428571</v>
      </c>
    </row>
    <row r="41" hidden="1">
      <c r="A41" s="4" t="str">
        <f>IFERROR(__xludf.DUMMYFUNCTION("""COMPUTED_VALUE"""),"BURGER X")</f>
        <v>BURGER X</v>
      </c>
      <c r="B41" s="4" t="str">
        <f>IFERROR(__xludf.DUMMYFUNCTION("""COMPUTED_VALUE"""),"João Biagiotti")</f>
        <v>João Biagiotti</v>
      </c>
      <c r="C41" s="4" t="str">
        <f>IFERROR(__xludf.DUMMYFUNCTION("""COMPUTED_VALUE"""),"Diego Santos")</f>
        <v>Diego Santos</v>
      </c>
      <c r="D41" s="4" t="str">
        <f>IFERROR(__xludf.DUMMYFUNCTION("""COMPUTED_VALUE"""),"0. Não Iniciado")</f>
        <v>0. Não Iniciado</v>
      </c>
      <c r="E41" s="4"/>
      <c r="F41" s="4" t="str">
        <f>IFERROR(__xludf.DUMMYFUNCTION("""COMPUTED_VALUE"""),"M")</f>
        <v>M</v>
      </c>
      <c r="G41" s="4"/>
      <c r="H41" s="4"/>
      <c r="I41" s="4"/>
      <c r="J41" s="4"/>
      <c r="K41" s="4"/>
      <c r="L41" s="4"/>
      <c r="M41" s="4"/>
      <c r="N41" s="4"/>
      <c r="O41" s="4"/>
      <c r="P41" s="4"/>
      <c r="Q41" s="4"/>
      <c r="R41" s="4"/>
      <c r="S41" s="4"/>
      <c r="T41" s="4"/>
      <c r="U41" s="4"/>
      <c r="V41" s="4"/>
      <c r="W41" s="4"/>
      <c r="X41" s="4"/>
      <c r="Y41" s="4"/>
      <c r="Z41" s="4"/>
      <c r="AA41" s="4">
        <f>IFERROR(__xludf.DUMMYFUNCTION("""COMPUTED_VALUE"""),33.0)</f>
        <v>33</v>
      </c>
      <c r="AB41" s="4" t="str">
        <f>IFERROR(__xludf.DUMMYFUNCTION("""COMPUTED_VALUE"""),"-")</f>
        <v>-</v>
      </c>
      <c r="AC41" s="4" t="str">
        <f>IFERROR(__xludf.DUMMYFUNCTION("""COMPUTED_VALUE"""),"Sim")</f>
        <v>Sim</v>
      </c>
      <c r="AD41" s="4" t="str">
        <f>IFERROR(__xludf.DUMMYFUNCTION("""COMPUTED_VALUE"""),"Gfr Tec")</f>
        <v>Gfr Tec</v>
      </c>
      <c r="AE41" s="4"/>
      <c r="AF41" s="4"/>
      <c r="AG41" s="4"/>
      <c r="AH41" s="4"/>
      <c r="AI41" s="4"/>
      <c r="AJ41" s="4"/>
      <c r="AK41" s="4"/>
      <c r="AL41" s="4"/>
      <c r="AM41" s="4" t="str">
        <f>IFERROR(__xludf.DUMMYFUNCTION("""COMPUTED_VALUE"""),"FY27")</f>
        <v>FY27</v>
      </c>
      <c r="AN41" s="4"/>
      <c r="AO41" s="4">
        <f>IFERROR(__xludf.DUMMYFUNCTION("""COMPUTED_VALUE"""),45553.0)</f>
        <v>45553</v>
      </c>
      <c r="AP41" s="4" t="str">
        <f>IFERROR(__xludf.DUMMYFUNCTION("""COMPUTED_VALUE"""),"MG")</f>
        <v>MG</v>
      </c>
      <c r="AQ41" s="4" t="str">
        <f>IFERROR(__xludf.DUMMYFUNCTION("""COMPUTED_VALUE"""),"FABRYCIO MORI")</f>
        <v>FABRYCIO MORI</v>
      </c>
      <c r="AR41" s="4" t="str">
        <f>IFERROR(__xludf.DUMMYFUNCTION("""COMPUTED_VALUE"""),"JOAO MAURICIO")</f>
        <v>JOAO MAURICIO</v>
      </c>
      <c r="AS41" s="4" t="str">
        <f>IFERROR(__xludf.DUMMYFUNCTION("""COMPUTED_VALUE"""),"NATHALIE MERTENS")</f>
        <v>NATHALIE MERTENS</v>
      </c>
      <c r="AT41" s="4" t="str">
        <f>IFERROR(__xludf.DUMMYFUNCTION("""COMPUTED_VALUE"""),"MATHEUS LESSA")</f>
        <v>MATHEUS LESSA</v>
      </c>
      <c r="AU41" s="4">
        <f>IFERROR(__xludf.DUMMYFUNCTION("""COMPUTED_VALUE"""),0.0)</f>
        <v>0</v>
      </c>
      <c r="AV41" s="4">
        <f>IFERROR(__xludf.DUMMYFUNCTION("""COMPUTED_VALUE"""),0.0)</f>
        <v>0</v>
      </c>
      <c r="AW41" s="4">
        <f>IFERROR(__xludf.DUMMYFUNCTION("""COMPUTED_VALUE"""),0.0)</f>
        <v>0</v>
      </c>
      <c r="AX41" s="4">
        <f>IFERROR(__xludf.DUMMYFUNCTION("""COMPUTED_VALUE"""),0.0)</f>
        <v>0</v>
      </c>
      <c r="AY41" s="4"/>
      <c r="AZ41" s="4" t="str">
        <f>IFERROR(__xludf.DUMMYFUNCTION("""COMPUTED_VALUE"""),"Lanches")</f>
        <v>Lanches</v>
      </c>
      <c r="BA41" s="4">
        <f>IFERROR(__xludf.DUMMYFUNCTION("""COMPUTED_VALUE"""),55.0)</f>
        <v>55</v>
      </c>
      <c r="BB41" s="12" t="str">
        <f>IFERROR(__xludf.DUMMYFUNCTION("""COMPUTED_VALUE"""),"Fast Casual - Hamburgueria")</f>
        <v>Fast Casual - Hamburgueria</v>
      </c>
      <c r="BC41" s="4" t="str">
        <f>IFERROR(__xludf.DUMMYFUNCTION("""COMPUTED_VALUE"""),"Regional")</f>
        <v>Regional</v>
      </c>
      <c r="BD41" s="4" t="str">
        <f>IFERROR(__xludf.DUMMYFUNCTION("""COMPUTED_VALUE"""),"Dado não disponível - Necessário Discovery")</f>
        <v>Dado não disponível - Necessário Discovery</v>
      </c>
      <c r="BE41" s="4">
        <f>IFERROR(__xludf.DUMMYFUNCTION("""COMPUTED_VALUE"""),65.0)</f>
        <v>65</v>
      </c>
      <c r="BF41" s="4">
        <f>IFERROR(__xludf.DUMMYFUNCTION("""COMPUTED_VALUE"""),0.75)</f>
        <v>0.75</v>
      </c>
      <c r="BG4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41" s="4" t="s">
        <v>76</v>
      </c>
      <c r="BI41" s="7">
        <v>0.9565217391304348</v>
      </c>
    </row>
    <row r="42" hidden="1">
      <c r="A42" s="4" t="str">
        <f>IFERROR(__xludf.DUMMYFUNCTION("""COMPUTED_VALUE"""),"BURGERS RIO")</f>
        <v>BURGERS RIO</v>
      </c>
      <c r="B42" s="4" t="str">
        <f>IFERROR(__xludf.DUMMYFUNCTION("""COMPUTED_VALUE"""),"Lídia Esteves")</f>
        <v>Lídia Esteves</v>
      </c>
      <c r="C42" s="4" t="str">
        <f>IFERROR(__xludf.DUMMYFUNCTION("""COMPUTED_VALUE"""),"Gabriela Roma")</f>
        <v>Gabriela Roma</v>
      </c>
      <c r="D42" s="4" t="str">
        <f>IFERROR(__xludf.DUMMYFUNCTION("""COMPUTED_VALUE"""),"1. Iniciado")</f>
        <v>1. Iniciado</v>
      </c>
      <c r="E42" s="4" t="str">
        <f>IFERROR(__xludf.DUMMYFUNCTION("""COMPUTED_VALUE"""),"Delivery - Momento inadequado de abordagem (ex. 99)")</f>
        <v>Delivery - Momento inadequado de abordagem (ex. 99)</v>
      </c>
      <c r="F42" s="4" t="str">
        <f>IFERROR(__xludf.DUMMYFUNCTION("""COMPUTED_VALUE"""),"P")</f>
        <v>P</v>
      </c>
      <c r="G42" s="5">
        <f>IFERROR(__xludf.DUMMYFUNCTION("""COMPUTED_VALUE"""),46120.0)</f>
        <v>46120</v>
      </c>
      <c r="H42" s="4" t="str">
        <f>IFERROR(__xludf.DUMMYFUNCTION("""COMPUTED_VALUE"""),"contato com coord de delivery , informou que o parceiro está em implantação com Saipos ")</f>
        <v>contato com coord de delivery , informou que o parceiro está em implantação com Saipos </v>
      </c>
      <c r="I42" s="6">
        <f>IFERROR(__xludf.DUMMYFUNCTION("""COMPUTED_VALUE"""),46120.72112502315)</f>
        <v>46120.72113</v>
      </c>
      <c r="J42" s="4"/>
      <c r="K42" s="4"/>
      <c r="L42" s="4"/>
      <c r="M42" s="4"/>
      <c r="N42" s="4"/>
      <c r="O42" s="4"/>
      <c r="P42" s="4"/>
      <c r="Q42" s="4"/>
      <c r="R42" s="4"/>
      <c r="S42" s="4"/>
      <c r="T42" s="4"/>
      <c r="U42" s="4"/>
      <c r="V42" s="4"/>
      <c r="W42" s="4"/>
      <c r="X42" s="4"/>
      <c r="Y42" s="4"/>
      <c r="Z42" s="4"/>
      <c r="AA42" s="4">
        <f>IFERROR(__xludf.DUMMYFUNCTION("""COMPUTED_VALUE"""),5.0)</f>
        <v>5</v>
      </c>
      <c r="AB42" s="14" t="str">
        <f>IFERROR(__xludf.DUMMYFUNCTION("""COMPUTED_VALUE"""),"CE")</f>
        <v>CE</v>
      </c>
      <c r="AC42" s="4" t="str">
        <f>IFERROR(__xludf.DUMMYFUNCTION("""COMPUTED_VALUE"""),"Sim")</f>
        <v>Sim</v>
      </c>
      <c r="AD42" s="4" t="str">
        <f>IFERROR(__xludf.DUMMYFUNCTION("""COMPUTED_VALUE"""),"Ifood")</f>
        <v>Ifood</v>
      </c>
      <c r="AE42" s="4"/>
      <c r="AF42" s="4"/>
      <c r="AG42" s="4"/>
      <c r="AH42" s="4"/>
      <c r="AI42" s="4"/>
      <c r="AJ42" s="4"/>
      <c r="AK42" s="4"/>
      <c r="AL42" s="4"/>
      <c r="AM42" s="4" t="str">
        <f>IFERROR(__xludf.DUMMYFUNCTION("""COMPUTED_VALUE"""),"FY27")</f>
        <v>FY27</v>
      </c>
      <c r="AN42" s="4"/>
      <c r="AO42" s="4">
        <f>IFERROR(__xludf.DUMMYFUNCTION("""COMPUTED_VALUE"""),95.0)</f>
        <v>95</v>
      </c>
      <c r="AP42" s="4" t="str">
        <f>IFERROR(__xludf.DUMMYFUNCTION("""COMPUTED_VALUE"""),"RJ")</f>
        <v>RJ</v>
      </c>
      <c r="AQ42" s="4" t="str">
        <f>IFERROR(__xludf.DUMMYFUNCTION("""COMPUTED_VALUE"""),"BRUNO MEIRA")</f>
        <v>BRUNO MEIRA</v>
      </c>
      <c r="AR42" s="4" t="str">
        <f>IFERROR(__xludf.DUMMYFUNCTION("""COMPUTED_VALUE"""),"GONCALVES GUILHERME")</f>
        <v>GONCALVES GUILHERME</v>
      </c>
      <c r="AS42" s="4" t="str">
        <f>IFERROR(__xludf.DUMMYFUNCTION("""COMPUTED_VALUE"""),"NATHALIE MERTENS")</f>
        <v>NATHALIE MERTENS</v>
      </c>
      <c r="AT42" s="4" t="str">
        <f>IFERROR(__xludf.DUMMYFUNCTION("""COMPUTED_VALUE"""),"NATALIA COUTINHO")</f>
        <v>NATALIA COUTINHO</v>
      </c>
      <c r="AU42" s="4">
        <f>IFERROR(__xludf.DUMMYFUNCTION("""COMPUTED_VALUE"""),0.0)</f>
        <v>0</v>
      </c>
      <c r="AV42" s="4">
        <f>IFERROR(__xludf.DUMMYFUNCTION("""COMPUTED_VALUE"""),0.0)</f>
        <v>0</v>
      </c>
      <c r="AW42" s="4">
        <f>IFERROR(__xludf.DUMMYFUNCTION("""COMPUTED_VALUE"""),0.0)</f>
        <v>0</v>
      </c>
      <c r="AX42" s="4">
        <f>IFERROR(__xludf.DUMMYFUNCTION("""COMPUTED_VALUE"""),0.0)</f>
        <v>0</v>
      </c>
      <c r="AY42" s="4" t="str">
        <f>IFERROR(__xludf.DUMMYFUNCTION("""COMPUTED_VALUE"""),"Saipos Serviços De Software")</f>
        <v>Saipos Serviços De Software</v>
      </c>
      <c r="AZ42" s="4" t="str">
        <f>IFERROR(__xludf.DUMMYFUNCTION("""COMPUTED_VALUE"""),"Lanches")</f>
        <v>Lanches</v>
      </c>
      <c r="BA42" s="4">
        <f>IFERROR(__xludf.DUMMYFUNCTION("""COMPUTED_VALUE"""),62.0)</f>
        <v>62</v>
      </c>
      <c r="BB42" s="12" t="str">
        <f>IFERROR(__xludf.DUMMYFUNCTION("""COMPUTED_VALUE"""),"Fast Casual - Hamburgueria")</f>
        <v>Fast Casual - Hamburgueria</v>
      </c>
      <c r="BC42" s="4" t="str">
        <f>IFERROR(__xludf.DUMMYFUNCTION("""COMPUTED_VALUE"""),"Rio de Janeiro/RJ")</f>
        <v>Rio de Janeiro/RJ</v>
      </c>
      <c r="BD42" s="4" t="str">
        <f>IFERROR(__xludf.DUMMYFUNCTION("""COMPUTED_VALUE"""),"Dado não disponível - Necessário Discovery")</f>
        <v>Dado não disponível - Necessário Discovery</v>
      </c>
      <c r="BE42" s="4">
        <f>IFERROR(__xludf.DUMMYFUNCTION("""COMPUTED_VALUE"""),70.0)</f>
        <v>70</v>
      </c>
      <c r="BF42" s="13">
        <f>IFERROR(__xludf.DUMMYFUNCTION("""COMPUTED_VALUE"""),0.75)</f>
        <v>0.75</v>
      </c>
      <c r="BG4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42" s="4" t="s">
        <v>69</v>
      </c>
      <c r="BI42" s="7">
        <v>0.6666666666666666</v>
      </c>
    </row>
    <row r="43" hidden="1">
      <c r="A43" s="4" t="str">
        <f>IFERROR(__xludf.DUMMYFUNCTION("""COMPUTED_VALUE"""),"CACHORRAO DO CLAUDIAO OFICIAL")</f>
        <v>CACHORRAO DO CLAUDIAO OFICIAL</v>
      </c>
      <c r="B43" s="4" t="str">
        <f>IFERROR(__xludf.DUMMYFUNCTION("""COMPUTED_VALUE"""),"Lídia Esteves")</f>
        <v>Lídia Esteves</v>
      </c>
      <c r="C43" s="4" t="str">
        <f>IFERROR(__xludf.DUMMYFUNCTION("""COMPUTED_VALUE"""),"Gabriela Roma")</f>
        <v>Gabriela Roma</v>
      </c>
      <c r="D43" s="4" t="str">
        <f>IFERROR(__xludf.DUMMYFUNCTION("""COMPUTED_VALUE"""),"0. Não Iniciado")</f>
        <v>0. Não Iniciado</v>
      </c>
      <c r="E43" s="4"/>
      <c r="F43" s="4" t="str">
        <f>IFERROR(__xludf.DUMMYFUNCTION("""COMPUTED_VALUE"""),"P")</f>
        <v>P</v>
      </c>
      <c r="G43" s="4"/>
      <c r="H43" s="4"/>
      <c r="I43" s="4"/>
      <c r="J43" s="4"/>
      <c r="K43" s="4"/>
      <c r="L43" s="4"/>
      <c r="M43" s="4"/>
      <c r="N43" s="4"/>
      <c r="O43" s="4"/>
      <c r="P43" s="4"/>
      <c r="Q43" s="4"/>
      <c r="R43" s="4"/>
      <c r="S43" s="4"/>
      <c r="T43" s="4"/>
      <c r="U43" s="4"/>
      <c r="V43" s="4"/>
      <c r="W43" s="4"/>
      <c r="X43" s="4"/>
      <c r="Y43" s="4"/>
      <c r="Z43" s="4"/>
      <c r="AA43" s="4">
        <f>IFERROR(__xludf.DUMMYFUNCTION("""COMPUTED_VALUE"""),3.0)</f>
        <v>3</v>
      </c>
      <c r="AB43" s="4" t="str">
        <f>IFERROR(__xludf.DUMMYFUNCTION("""COMPUTED_VALUE"""),"CE")</f>
        <v>CE</v>
      </c>
      <c r="AC43" s="4" t="str">
        <f>IFERROR(__xludf.DUMMYFUNCTION("""COMPUTED_VALUE"""),"Sim")</f>
        <v>Sim</v>
      </c>
      <c r="AD43" s="4" t="str">
        <f>IFERROR(__xludf.DUMMYFUNCTION("""COMPUTED_VALUE"""),"Ifood")</f>
        <v>Ifood</v>
      </c>
      <c r="AE43" s="4"/>
      <c r="AF43" s="4"/>
      <c r="AG43" s="4"/>
      <c r="AH43" s="4"/>
      <c r="AI43" s="4"/>
      <c r="AJ43" s="4"/>
      <c r="AK43" s="4"/>
      <c r="AL43" s="4"/>
      <c r="AM43" s="4" t="str">
        <f>IFERROR(__xludf.DUMMYFUNCTION("""COMPUTED_VALUE"""),"FY27")</f>
        <v>FY27</v>
      </c>
      <c r="AN43" s="4"/>
      <c r="AO43" s="4">
        <f>IFERROR(__xludf.DUMMYFUNCTION("""COMPUTED_VALUE"""),45553.0)</f>
        <v>45553</v>
      </c>
      <c r="AP43" s="4" t="str">
        <f>IFERROR(__xludf.DUMMYFUNCTION("""COMPUTED_VALUE"""),"SC")</f>
        <v>SC</v>
      </c>
      <c r="AQ43" s="4" t="str">
        <f>IFERROR(__xludf.DUMMYFUNCTION("""COMPUTED_VALUE"""),"DANIELLY SOARES")</f>
        <v>DANIELLY SOARES</v>
      </c>
      <c r="AR43" s="4" t="str">
        <f>IFERROR(__xludf.DUMMYFUNCTION("""COMPUTED_VALUE"""),"DARLAN TOSO")</f>
        <v>DARLAN TOSO</v>
      </c>
      <c r="AS43" s="4" t="str">
        <f>IFERROR(__xludf.DUMMYFUNCTION("""COMPUTED_VALUE"""),"FABIO DONATO")</f>
        <v>FABIO DONATO</v>
      </c>
      <c r="AT43" s="4" t="str">
        <f>IFERROR(__xludf.DUMMYFUNCTION("""COMPUTED_VALUE"""),"CAMILA HOLANDA")</f>
        <v>CAMILA HOLANDA</v>
      </c>
      <c r="AU43" s="4">
        <f>IFERROR(__xludf.DUMMYFUNCTION("""COMPUTED_VALUE"""),0.0)</f>
        <v>0</v>
      </c>
      <c r="AV43" s="4">
        <f>IFERROR(__xludf.DUMMYFUNCTION("""COMPUTED_VALUE"""),0.0)</f>
        <v>0</v>
      </c>
      <c r="AW43" s="4">
        <f>IFERROR(__xludf.DUMMYFUNCTION("""COMPUTED_VALUE"""),0.0)</f>
        <v>0</v>
      </c>
      <c r="AX43" s="4">
        <f>IFERROR(__xludf.DUMMYFUNCTION("""COMPUTED_VALUE"""),0.0)</f>
        <v>0</v>
      </c>
      <c r="AY43" s="4" t="str">
        <f>IFERROR(__xludf.DUMMYFUNCTION("""COMPUTED_VALUE"""),"Suitable Tecnologia E Gestao")</f>
        <v>Suitable Tecnologia E Gestao</v>
      </c>
      <c r="AZ43" s="4" t="str">
        <f>IFERROR(__xludf.DUMMYFUNCTION("""COMPUTED_VALUE"""),"Lanches")</f>
        <v>Lanches</v>
      </c>
      <c r="BA43" s="4" t="str">
        <f>IFERROR(__xludf.DUMMYFUNCTION("""COMPUTED_VALUE"""),"")</f>
        <v/>
      </c>
      <c r="BB43" s="4" t="str">
        <f>IFERROR(__xludf.DUMMYFUNCTION("""COMPUTED_VALUE"""),"")</f>
        <v/>
      </c>
      <c r="BC43" s="4" t="str">
        <f>IFERROR(__xludf.DUMMYFUNCTION("""COMPUTED_VALUE"""),"")</f>
        <v/>
      </c>
      <c r="BD43" s="4" t="str">
        <f>IFERROR(__xludf.DUMMYFUNCTION("""COMPUTED_VALUE"""),"")</f>
        <v/>
      </c>
      <c r="BE43" s="4" t="str">
        <f>IFERROR(__xludf.DUMMYFUNCTION("""COMPUTED_VALUE"""),"")</f>
        <v/>
      </c>
      <c r="BF43" s="4" t="str">
        <f>IFERROR(__xludf.DUMMYFUNCTION("""COMPUTED_VALUE"""),"")</f>
        <v/>
      </c>
      <c r="BG43" s="4" t="str">
        <f>IFERROR(__xludf.DUMMYFUNCTION("""COMPUTED_VALUE"""),"")</f>
        <v/>
      </c>
      <c r="BH43" s="4" t="s">
        <v>77</v>
      </c>
      <c r="BI43" s="7">
        <v>0.7</v>
      </c>
    </row>
    <row r="44" hidden="1">
      <c r="A44" s="4" t="str">
        <f>IFERROR(__xludf.DUMMYFUNCTION("""COMPUTED_VALUE"""),"CAFE CULTURA SC - CONTA MARCA")</f>
        <v>CAFE CULTURA SC - CONTA MARCA</v>
      </c>
      <c r="B44" s="4" t="str">
        <f>IFERROR(__xludf.DUMMYFUNCTION("""COMPUTED_VALUE"""),"Lídia Esteves")</f>
        <v>Lídia Esteves</v>
      </c>
      <c r="C44" s="4" t="str">
        <f>IFERROR(__xludf.DUMMYFUNCTION("""COMPUTED_VALUE"""),"Gabriela Roma")</f>
        <v>Gabriela Roma</v>
      </c>
      <c r="D44" s="4" t="str">
        <f>IFERROR(__xludf.DUMMYFUNCTION("""COMPUTED_VALUE"""),"0. Não Iniciado")</f>
        <v>0. Não Iniciado</v>
      </c>
      <c r="E44" s="4"/>
      <c r="F44" s="4" t="str">
        <f>IFERROR(__xludf.DUMMYFUNCTION("""COMPUTED_VALUE"""),"M")</f>
        <v>M</v>
      </c>
      <c r="G44" s="4"/>
      <c r="H44" s="4"/>
      <c r="I44" s="4"/>
      <c r="J44" s="4"/>
      <c r="K44" s="4"/>
      <c r="L44" s="4"/>
      <c r="M44" s="4"/>
      <c r="N44" s="4"/>
      <c r="O44" s="4"/>
      <c r="P44" s="4"/>
      <c r="Q44" s="4"/>
      <c r="R44" s="4"/>
      <c r="S44" s="4"/>
      <c r="T44" s="4"/>
      <c r="U44" s="4"/>
      <c r="V44" s="4"/>
      <c r="W44" s="4"/>
      <c r="X44" s="4"/>
      <c r="Y44" s="4"/>
      <c r="Z44" s="4"/>
      <c r="AA44" s="4">
        <f>IFERROR(__xludf.DUMMYFUNCTION("""COMPUTED_VALUE"""),49.0)</f>
        <v>49</v>
      </c>
      <c r="AB44" s="4" t="str">
        <f>IFERROR(__xludf.DUMMYFUNCTION("""COMPUTED_VALUE"""),"-")</f>
        <v>-</v>
      </c>
      <c r="AC44" s="4" t="str">
        <f>IFERROR(__xludf.DUMMYFUNCTION("""COMPUTED_VALUE"""),"Sim")</f>
        <v>Sim</v>
      </c>
      <c r="AD44" s="4" t="str">
        <f>IFERROR(__xludf.DUMMYFUNCTION("""COMPUTED_VALUE"""),"Ifood")</f>
        <v>Ifood</v>
      </c>
      <c r="AE44" s="4"/>
      <c r="AF44" s="4"/>
      <c r="AG44" s="4"/>
      <c r="AH44" s="4"/>
      <c r="AI44" s="4"/>
      <c r="AJ44" s="4"/>
      <c r="AK44" s="4"/>
      <c r="AL44" s="4"/>
      <c r="AM44" s="4" t="str">
        <f>IFERROR(__xludf.DUMMYFUNCTION("""COMPUTED_VALUE"""),"FY27")</f>
        <v>FY27</v>
      </c>
      <c r="AN44" s="4"/>
      <c r="AO44" s="4">
        <f>IFERROR(__xludf.DUMMYFUNCTION("""COMPUTED_VALUE"""),45553.0)</f>
        <v>45553</v>
      </c>
      <c r="AP44" s="4" t="str">
        <f>IFERROR(__xludf.DUMMYFUNCTION("""COMPUTED_VALUE"""),"RS")</f>
        <v>RS</v>
      </c>
      <c r="AQ44" s="4" t="str">
        <f>IFERROR(__xludf.DUMMYFUNCTION("""COMPUTED_VALUE"""),"MARIA SILVEIRA")</f>
        <v>MARIA SILVEIRA</v>
      </c>
      <c r="AR44" s="4" t="str">
        <f>IFERROR(__xludf.DUMMYFUNCTION("""COMPUTED_VALUE"""),"MAYARA CABRAL")</f>
        <v>MAYARA CABRAL</v>
      </c>
      <c r="AS44" s="4" t="str">
        <f>IFERROR(__xludf.DUMMYFUNCTION("""COMPUTED_VALUE"""),"FABIO DONATO")</f>
        <v>FABIO DONATO</v>
      </c>
      <c r="AT44" s="4" t="str">
        <f>IFERROR(__xludf.DUMMYFUNCTION("""COMPUTED_VALUE"""),"CAMILA HOLANDA")</f>
        <v>CAMILA HOLANDA</v>
      </c>
      <c r="AU44" s="4">
        <f>IFERROR(__xludf.DUMMYFUNCTION("""COMPUTED_VALUE"""),0.0)</f>
        <v>0</v>
      </c>
      <c r="AV44" s="4">
        <f>IFERROR(__xludf.DUMMYFUNCTION("""COMPUTED_VALUE"""),0.0)</f>
        <v>0</v>
      </c>
      <c r="AW44" s="4">
        <f>IFERROR(__xludf.DUMMYFUNCTION("""COMPUTED_VALUE"""),0.0)</f>
        <v>0</v>
      </c>
      <c r="AX44" s="4">
        <f>IFERROR(__xludf.DUMMYFUNCTION("""COMPUTED_VALUE"""),0.0)</f>
        <v>0</v>
      </c>
      <c r="AY44" s="4" t="str">
        <f>IFERROR(__xludf.DUMMYFUNCTION("""COMPUTED_VALUE"""),"Totvs Large Enterprise Tecnologia S.a.")</f>
        <v>Totvs Large Enterprise Tecnologia S.a.</v>
      </c>
      <c r="AZ44" s="4" t="str">
        <f>IFERROR(__xludf.DUMMYFUNCTION("""COMPUTED_VALUE"""),"Cafeteria")</f>
        <v>Cafeteria</v>
      </c>
      <c r="BA44" s="4">
        <f>IFERROR(__xludf.DUMMYFUNCTION("""COMPUTED_VALUE"""),38.0)</f>
        <v>38</v>
      </c>
      <c r="BB44" s="4" t="str">
        <f>IFERROR(__xludf.DUMMYFUNCTION("""COMPUTED_VALUE"""),"Fast Casual - Cafeteria")</f>
        <v>Fast Casual - Cafeteria</v>
      </c>
      <c r="BC44" s="4" t="str">
        <f>IFERROR(__xludf.DUMMYFUNCTION("""COMPUTED_VALUE"""),"Santa Catarina")</f>
        <v>Santa Catarina</v>
      </c>
      <c r="BD44" s="4" t="str">
        <f>IFERROR(__xludf.DUMMYFUNCTION("""COMPUTED_VALUE"""),"Dado não disponível - Necessário Discovery")</f>
        <v>Dado não disponível - Necessário Discovery</v>
      </c>
      <c r="BE44" s="4">
        <f>IFERROR(__xludf.DUMMYFUNCTION("""COMPUTED_VALUE"""),70.0)</f>
        <v>70</v>
      </c>
      <c r="BF44" s="4">
        <f>IFERROR(__xludf.DUMMYFUNCTION("""COMPUTED_VALUE"""),0.75)</f>
        <v>0.75</v>
      </c>
      <c r="BG4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44" s="4" t="s">
        <v>78</v>
      </c>
      <c r="BI44" s="7">
        <v>0.6190476190476191</v>
      </c>
    </row>
    <row r="45" hidden="1">
      <c r="A45" s="4" t="str">
        <f>IFERROR(__xludf.DUMMYFUNCTION("""COMPUTED_VALUE"""),"CAMARAO TO GO")</f>
        <v>CAMARAO TO GO</v>
      </c>
      <c r="B45" s="4" t="str">
        <f>IFERROR(__xludf.DUMMYFUNCTION("""COMPUTED_VALUE"""),"João Biagiotti")</f>
        <v>João Biagiotti</v>
      </c>
      <c r="C45" s="4" t="str">
        <f>IFERROR(__xludf.DUMMYFUNCTION("""COMPUTED_VALUE"""),"Diego Santos")</f>
        <v>Diego Santos</v>
      </c>
      <c r="D45" s="4" t="str">
        <f>IFERROR(__xludf.DUMMYFUNCTION("""COMPUTED_VALUE"""),"0. Não Iniciado")</f>
        <v>0. Não Iniciado</v>
      </c>
      <c r="E45" s="4"/>
      <c r="F45" s="4" t="str">
        <f>IFERROR(__xludf.DUMMYFUNCTION("""COMPUTED_VALUE"""),"P")</f>
        <v>P</v>
      </c>
      <c r="G45" s="4"/>
      <c r="H45" s="4"/>
      <c r="I45" s="4"/>
      <c r="J45" s="4"/>
      <c r="K45" s="4"/>
      <c r="L45" s="4"/>
      <c r="M45" s="4"/>
      <c r="N45" s="4"/>
      <c r="O45" s="4"/>
      <c r="P45" s="4"/>
      <c r="Q45" s="4"/>
      <c r="R45" s="4"/>
      <c r="S45" s="4"/>
      <c r="T45" s="4"/>
      <c r="U45" s="4"/>
      <c r="V45" s="4"/>
      <c r="W45" s="4"/>
      <c r="X45" s="4"/>
      <c r="Y45" s="4"/>
      <c r="Z45" s="4"/>
      <c r="AA45" s="4">
        <f>IFERROR(__xludf.DUMMYFUNCTION("""COMPUTED_VALUE"""),10.0)</f>
        <v>10</v>
      </c>
      <c r="AB45" s="4" t="str">
        <f>IFERROR(__xludf.DUMMYFUNCTION("""COMPUTED_VALUE"""),"CE")</f>
        <v>CE</v>
      </c>
      <c r="AC45" s="4" t="str">
        <f>IFERROR(__xludf.DUMMYFUNCTION("""COMPUTED_VALUE"""),"Sim")</f>
        <v>Sim</v>
      </c>
      <c r="AD45" s="4">
        <f>IFERROR(__xludf.DUMMYFUNCTION("""COMPUTED_VALUE"""),0.0)</f>
        <v>0</v>
      </c>
      <c r="AE45" s="4"/>
      <c r="AF45" s="4"/>
      <c r="AG45" s="4"/>
      <c r="AH45" s="4"/>
      <c r="AI45" s="4"/>
      <c r="AJ45" s="4"/>
      <c r="AK45" s="4"/>
      <c r="AL45" s="4"/>
      <c r="AM45" s="4" t="str">
        <f>IFERROR(__xludf.DUMMYFUNCTION("""COMPUTED_VALUE"""),"FY27")</f>
        <v>FY27</v>
      </c>
      <c r="AN45" s="4"/>
      <c r="AO45" s="4">
        <f>IFERROR(__xludf.DUMMYFUNCTION("""COMPUTED_VALUE"""),45553.0)</f>
        <v>45553</v>
      </c>
      <c r="AP45" s="4" t="str">
        <f>IFERROR(__xludf.DUMMYFUNCTION("""COMPUTED_VALUE"""),"CE")</f>
        <v>CE</v>
      </c>
      <c r="AQ45" s="4" t="str">
        <f>IFERROR(__xludf.DUMMYFUNCTION("""COMPUTED_VALUE"""),"FABIO MAKARON")</f>
        <v>FABIO MAKARON</v>
      </c>
      <c r="AR45" s="4">
        <f>IFERROR(__xludf.DUMMYFUNCTION("""COMPUTED_VALUE"""),0.0)</f>
        <v>0</v>
      </c>
      <c r="AS45" s="4">
        <f>IFERROR(__xludf.DUMMYFUNCTION("""COMPUTED_VALUE"""),0.0)</f>
        <v>0</v>
      </c>
      <c r="AT45" s="4">
        <f>IFERROR(__xludf.DUMMYFUNCTION("""COMPUTED_VALUE"""),0.0)</f>
        <v>0</v>
      </c>
      <c r="AU45" s="4">
        <f>IFERROR(__xludf.DUMMYFUNCTION("""COMPUTED_VALUE"""),0.0)</f>
        <v>0</v>
      </c>
      <c r="AV45" s="4">
        <f>IFERROR(__xludf.DUMMYFUNCTION("""COMPUTED_VALUE"""),0.0)</f>
        <v>0</v>
      </c>
      <c r="AW45" s="4">
        <f>IFERROR(__xludf.DUMMYFUNCTION("""COMPUTED_VALUE"""),0.0)</f>
        <v>0</v>
      </c>
      <c r="AX45" s="4">
        <f>IFERROR(__xludf.DUMMYFUNCTION("""COMPUTED_VALUE"""),0.0)</f>
        <v>0</v>
      </c>
      <c r="AY45" s="4"/>
      <c r="AZ45" s="4" t="str">
        <f>IFERROR(__xludf.DUMMYFUNCTION("""COMPUTED_VALUE"""),"Brasileira")</f>
        <v>Brasileira</v>
      </c>
      <c r="BA45" s="4" t="str">
        <f>IFERROR(__xludf.DUMMYFUNCTION("""COMPUTED_VALUE"""),"")</f>
        <v/>
      </c>
      <c r="BB45" s="4" t="str">
        <f>IFERROR(__xludf.DUMMYFUNCTION("""COMPUTED_VALUE"""),"")</f>
        <v/>
      </c>
      <c r="BC45" s="4" t="str">
        <f>IFERROR(__xludf.DUMMYFUNCTION("""COMPUTED_VALUE"""),"")</f>
        <v/>
      </c>
      <c r="BD45" s="4" t="str">
        <f>IFERROR(__xludf.DUMMYFUNCTION("""COMPUTED_VALUE"""),"")</f>
        <v/>
      </c>
      <c r="BE45" s="4" t="str">
        <f>IFERROR(__xludf.DUMMYFUNCTION("""COMPUTED_VALUE"""),"")</f>
        <v/>
      </c>
      <c r="BF45" s="4" t="str">
        <f>IFERROR(__xludf.DUMMYFUNCTION("""COMPUTED_VALUE"""),"")</f>
        <v/>
      </c>
      <c r="BG45" s="4" t="str">
        <f>IFERROR(__xludf.DUMMYFUNCTION("""COMPUTED_VALUE"""),"")</f>
        <v/>
      </c>
      <c r="BH45" s="4" t="s">
        <v>63</v>
      </c>
      <c r="BI45" s="7" t="s">
        <v>63</v>
      </c>
    </row>
    <row r="46" hidden="1">
      <c r="A46" s="4" t="str">
        <f>IFERROR(__xludf.DUMMYFUNCTION("""COMPUTED_VALUE"""),"CAMAROES")</f>
        <v>CAMAROES</v>
      </c>
      <c r="B46" s="4" t="str">
        <f>IFERROR(__xludf.DUMMYFUNCTION("""COMPUTED_VALUE"""),"João Biagiotti")</f>
        <v>João Biagiotti</v>
      </c>
      <c r="C46" s="4" t="str">
        <f>IFERROR(__xludf.DUMMYFUNCTION("""COMPUTED_VALUE"""),"Diego Santos")</f>
        <v>Diego Santos</v>
      </c>
      <c r="D46" s="4" t="str">
        <f>IFERROR(__xludf.DUMMYFUNCTION("""COMPUTED_VALUE"""),"0. Não Iniciado")</f>
        <v>0. Não Iniciado</v>
      </c>
      <c r="E46" s="4"/>
      <c r="F46" s="4" t="str">
        <f>IFERROR(__xludf.DUMMYFUNCTION("""COMPUTED_VALUE"""),"P")</f>
        <v>P</v>
      </c>
      <c r="G46" s="4"/>
      <c r="H46" s="4"/>
      <c r="I46" s="4"/>
      <c r="J46" s="4"/>
      <c r="K46" s="4"/>
      <c r="L46" s="4"/>
      <c r="M46" s="4"/>
      <c r="N46" s="4"/>
      <c r="O46" s="4"/>
      <c r="P46" s="4"/>
      <c r="Q46" s="4"/>
      <c r="R46" s="4"/>
      <c r="S46" s="4"/>
      <c r="T46" s="4"/>
      <c r="U46" s="4"/>
      <c r="V46" s="4"/>
      <c r="W46" s="4"/>
      <c r="X46" s="4"/>
      <c r="Y46" s="4"/>
      <c r="Z46" s="4"/>
      <c r="AA46" s="4">
        <f>IFERROR(__xludf.DUMMYFUNCTION("""COMPUTED_VALUE"""),5.0)</f>
        <v>5</v>
      </c>
      <c r="AB46" s="4" t="str">
        <f>IFERROR(__xludf.DUMMYFUNCTION("""COMPUTED_VALUE"""),"CE")</f>
        <v>CE</v>
      </c>
      <c r="AC46" s="4" t="str">
        <f>IFERROR(__xludf.DUMMYFUNCTION("""COMPUTED_VALUE"""),"Sim")</f>
        <v>Sim</v>
      </c>
      <c r="AD46" s="4" t="str">
        <f>IFERROR(__xludf.DUMMYFUNCTION("""COMPUTED_VALUE"""),"Ifood")</f>
        <v>Ifood</v>
      </c>
      <c r="AE46" s="4"/>
      <c r="AF46" s="4"/>
      <c r="AG46" s="4"/>
      <c r="AH46" s="4"/>
      <c r="AI46" s="4"/>
      <c r="AJ46" s="4"/>
      <c r="AK46" s="4"/>
      <c r="AL46" s="4"/>
      <c r="AM46" s="4" t="str">
        <f>IFERROR(__xludf.DUMMYFUNCTION("""COMPUTED_VALUE"""),"FY27")</f>
        <v>FY27</v>
      </c>
      <c r="AN46" s="4"/>
      <c r="AO46" s="4">
        <f>IFERROR(__xludf.DUMMYFUNCTION("""COMPUTED_VALUE"""),45553.0)</f>
        <v>45553</v>
      </c>
      <c r="AP46" s="4" t="str">
        <f>IFERROR(__xludf.DUMMYFUNCTION("""COMPUTED_VALUE"""),"RN")</f>
        <v>RN</v>
      </c>
      <c r="AQ46" s="4" t="str">
        <f>IFERROR(__xludf.DUMMYFUNCTION("""COMPUTED_VALUE"""),"TATIANY MEDEIROS")</f>
        <v>TATIANY MEDEIROS</v>
      </c>
      <c r="AR46" s="4" t="str">
        <f>IFERROR(__xludf.DUMMYFUNCTION("""COMPUTED_VALUE"""),"HUMBERTO FILHO")</f>
        <v>HUMBERTO FILHO</v>
      </c>
      <c r="AS46" s="4" t="str">
        <f>IFERROR(__xludf.DUMMYFUNCTION("""COMPUTED_VALUE"""),"THIAGO ROMAGNOLE")</f>
        <v>THIAGO ROMAGNOLE</v>
      </c>
      <c r="AT46" s="4" t="str">
        <f>IFERROR(__xludf.DUMMYFUNCTION("""COMPUTED_VALUE"""),"ANDERSON LAUREANO")</f>
        <v>ANDERSON LAUREANO</v>
      </c>
      <c r="AU46" s="4">
        <f>IFERROR(__xludf.DUMMYFUNCTION("""COMPUTED_VALUE"""),0.0)</f>
        <v>0</v>
      </c>
      <c r="AV46" s="4">
        <f>IFERROR(__xludf.DUMMYFUNCTION("""COMPUTED_VALUE"""),0.0)</f>
        <v>0</v>
      </c>
      <c r="AW46" s="4">
        <f>IFERROR(__xludf.DUMMYFUNCTION("""COMPUTED_VALUE"""),0.0)</f>
        <v>0</v>
      </c>
      <c r="AX46" s="4">
        <f>IFERROR(__xludf.DUMMYFUNCTION("""COMPUTED_VALUE"""),0.0)</f>
        <v>0</v>
      </c>
      <c r="AY46" s="4" t="str">
        <f>IFERROR(__xludf.DUMMYFUNCTION("""COMPUTED_VALUE"""),"Venditx Ltda")</f>
        <v>Venditx Ltda</v>
      </c>
      <c r="AZ46" s="4" t="str">
        <f>IFERROR(__xludf.DUMMYFUNCTION("""COMPUTED_VALUE"""),"Frutos Do Mar")</f>
        <v>Frutos Do Mar</v>
      </c>
      <c r="BA46" s="4" t="str">
        <f>IFERROR(__xludf.DUMMYFUNCTION("""COMPUTED_VALUE"""),"")</f>
        <v/>
      </c>
      <c r="BB46" s="4" t="str">
        <f>IFERROR(__xludf.DUMMYFUNCTION("""COMPUTED_VALUE"""),"")</f>
        <v/>
      </c>
      <c r="BC46" s="4" t="str">
        <f>IFERROR(__xludf.DUMMYFUNCTION("""COMPUTED_VALUE"""),"")</f>
        <v/>
      </c>
      <c r="BD46" s="4" t="str">
        <f>IFERROR(__xludf.DUMMYFUNCTION("""COMPUTED_VALUE"""),"")</f>
        <v/>
      </c>
      <c r="BE46" s="4" t="str">
        <f>IFERROR(__xludf.DUMMYFUNCTION("""COMPUTED_VALUE"""),"")</f>
        <v/>
      </c>
      <c r="BF46" s="4" t="str">
        <f>IFERROR(__xludf.DUMMYFUNCTION("""COMPUTED_VALUE"""),"")</f>
        <v/>
      </c>
      <c r="BG46" s="4" t="str">
        <f>IFERROR(__xludf.DUMMYFUNCTION("""COMPUTED_VALUE"""),"")</f>
        <v/>
      </c>
      <c r="BH46" s="4" t="s">
        <v>79</v>
      </c>
      <c r="BI46" s="7">
        <v>0.5714285714285714</v>
      </c>
    </row>
    <row r="47" hidden="1">
      <c r="A47" s="4" t="str">
        <f>IFERROR(__xludf.DUMMYFUNCTION("""COMPUTED_VALUE"""),"CANTINHO DO PASTEL")</f>
        <v>CANTINHO DO PASTEL</v>
      </c>
      <c r="B47" s="4" t="str">
        <f>IFERROR(__xludf.DUMMYFUNCTION("""COMPUTED_VALUE"""),"João Biagiotti")</f>
        <v>João Biagiotti</v>
      </c>
      <c r="C47" s="4" t="str">
        <f>IFERROR(__xludf.DUMMYFUNCTION("""COMPUTED_VALUE"""),"Diego Santos")</f>
        <v>Diego Santos</v>
      </c>
      <c r="D47" s="4" t="str">
        <f>IFERROR(__xludf.DUMMYFUNCTION("""COMPUTED_VALUE"""),"0. Não Iniciado")</f>
        <v>0. Não Iniciado</v>
      </c>
      <c r="E47" s="4"/>
      <c r="F47" s="4" t="str">
        <f>IFERROR(__xludf.DUMMYFUNCTION("""COMPUTED_VALUE"""),"P")</f>
        <v>P</v>
      </c>
      <c r="G47" s="4"/>
      <c r="H47" s="4"/>
      <c r="I47" s="4"/>
      <c r="J47" s="4"/>
      <c r="K47" s="4"/>
      <c r="L47" s="4"/>
      <c r="M47" s="4"/>
      <c r="N47" s="4"/>
      <c r="O47" s="4"/>
      <c r="P47" s="4"/>
      <c r="Q47" s="4"/>
      <c r="R47" s="4"/>
      <c r="S47" s="4"/>
      <c r="T47" s="4"/>
      <c r="U47" s="4"/>
      <c r="V47" s="4"/>
      <c r="W47" s="4"/>
      <c r="X47" s="4"/>
      <c r="Y47" s="4"/>
      <c r="Z47" s="4"/>
      <c r="AA47" s="4">
        <f>IFERROR(__xludf.DUMMYFUNCTION("""COMPUTED_VALUE"""),10.0)</f>
        <v>10</v>
      </c>
      <c r="AB47" s="4" t="str">
        <f>IFERROR(__xludf.DUMMYFUNCTION("""COMPUTED_VALUE"""),"CE")</f>
        <v>CE</v>
      </c>
      <c r="AC47" s="4" t="str">
        <f>IFERROR(__xludf.DUMMYFUNCTION("""COMPUTED_VALUE"""),"Sim")</f>
        <v>Sim</v>
      </c>
      <c r="AD47" s="4" t="str">
        <f>IFERROR(__xludf.DUMMYFUNCTION("""COMPUTED_VALUE"""),"Ifood")</f>
        <v>Ifood</v>
      </c>
      <c r="AE47" s="4"/>
      <c r="AF47" s="4"/>
      <c r="AG47" s="4"/>
      <c r="AH47" s="4"/>
      <c r="AI47" s="4"/>
      <c r="AJ47" s="4"/>
      <c r="AK47" s="4"/>
      <c r="AL47" s="4"/>
      <c r="AM47" s="4" t="str">
        <f>IFERROR(__xludf.DUMMYFUNCTION("""COMPUTED_VALUE"""),"FY27")</f>
        <v>FY27</v>
      </c>
      <c r="AN47" s="4"/>
      <c r="AO47" s="4">
        <f>IFERROR(__xludf.DUMMYFUNCTION("""COMPUTED_VALUE"""),45553.0)</f>
        <v>45553</v>
      </c>
      <c r="AP47" s="4" t="str">
        <f>IFERROR(__xludf.DUMMYFUNCTION("""COMPUTED_VALUE"""),"SP")</f>
        <v>SP</v>
      </c>
      <c r="AQ47" s="4" t="str">
        <f>IFERROR(__xludf.DUMMYFUNCTION("""COMPUTED_VALUE"""),"DANIELLE SENA")</f>
        <v>DANIELLE SENA</v>
      </c>
      <c r="AR47" s="4" t="str">
        <f>IFERROR(__xludf.DUMMYFUNCTION("""COMPUTED_VALUE"""),"TBH-INDAIATUBA02")</f>
        <v>TBH-INDAIATUBA02</v>
      </c>
      <c r="AS47" s="4" t="str">
        <f>IFERROR(__xludf.DUMMYFUNCTION("""COMPUTED_VALUE"""),"ALAN HADDAD")</f>
        <v>ALAN HADDAD</v>
      </c>
      <c r="AT47" s="4" t="str">
        <f>IFERROR(__xludf.DUMMYFUNCTION("""COMPUTED_VALUE"""),"ISABELA DINIZ")</f>
        <v>ISABELA DINIZ</v>
      </c>
      <c r="AU47" s="4">
        <f>IFERROR(__xludf.DUMMYFUNCTION("""COMPUTED_VALUE"""),0.0)</f>
        <v>0</v>
      </c>
      <c r="AV47" s="4">
        <f>IFERROR(__xludf.DUMMYFUNCTION("""COMPUTED_VALUE"""),0.0)</f>
        <v>0</v>
      </c>
      <c r="AW47" s="4">
        <f>IFERROR(__xludf.DUMMYFUNCTION("""COMPUTED_VALUE"""),0.0)</f>
        <v>0</v>
      </c>
      <c r="AX47" s="4">
        <f>IFERROR(__xludf.DUMMYFUNCTION("""COMPUTED_VALUE"""),0.0)</f>
        <v>0</v>
      </c>
      <c r="AY47" s="4"/>
      <c r="AZ47" s="4" t="str">
        <f>IFERROR(__xludf.DUMMYFUNCTION("""COMPUTED_VALUE"""),"Brasileira")</f>
        <v>Brasileira</v>
      </c>
      <c r="BA47" s="4">
        <f>IFERROR(__xludf.DUMMYFUNCTION("""COMPUTED_VALUE"""),25.0)</f>
        <v>25</v>
      </c>
      <c r="BB47" s="4" t="str">
        <f>IFERROR(__xludf.DUMMYFUNCTION("""COMPUTED_VALUE"""),"QSR - Pastelaria")</f>
        <v>QSR - Pastelaria</v>
      </c>
      <c r="BC47" s="4" t="str">
        <f>IFERROR(__xludf.DUMMYFUNCTION("""COMPUTED_VALUE"""),"Regional")</f>
        <v>Regional</v>
      </c>
      <c r="BD47" s="4" t="str">
        <f>IFERROR(__xludf.DUMMYFUNCTION("""COMPUTED_VALUE"""),"Dado não disponível - Necessário Discovery")</f>
        <v>Dado não disponível - Necessário Discovery</v>
      </c>
      <c r="BE47" s="4">
        <f>IFERROR(__xludf.DUMMYFUNCTION("""COMPUTED_VALUE"""),70.0)</f>
        <v>70</v>
      </c>
      <c r="BF47" s="4">
        <f>IFERROR(__xludf.DUMMYFUNCTION("""COMPUTED_VALUE"""),0.85)</f>
        <v>0.85</v>
      </c>
      <c r="BG47"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47" s="4" t="s">
        <v>69</v>
      </c>
      <c r="BI47" s="7">
        <v>0.42857142857142855</v>
      </c>
    </row>
    <row r="48" hidden="1">
      <c r="A48" s="4" t="str">
        <f>IFERROR(__xludf.DUMMYFUNCTION("""COMPUTED_VALUE"""),"CANTINHO DO SABOR")</f>
        <v>CANTINHO DO SABOR</v>
      </c>
      <c r="B48" s="4" t="str">
        <f>IFERROR(__xludf.DUMMYFUNCTION("""COMPUTED_VALUE"""),"Lídia Esteves")</f>
        <v>Lídia Esteves</v>
      </c>
      <c r="C48" s="4" t="str">
        <f>IFERROR(__xludf.DUMMYFUNCTION("""COMPUTED_VALUE"""),"Gabriela Roma")</f>
        <v>Gabriela Roma</v>
      </c>
      <c r="D48" s="4" t="str">
        <f>IFERROR(__xludf.DUMMYFUNCTION("""COMPUTED_VALUE"""),"2. Primeiro Contato com a marca")</f>
        <v>2. Primeiro Contato com a marca</v>
      </c>
      <c r="E48" s="4" t="str">
        <f>IFERROR(__xludf.DUMMYFUNCTION("""COMPUTED_VALUE"""),"Delivery - Aguardando retorno / Conciliação agenda")</f>
        <v>Delivery - Aguardando retorno / Conciliação agenda</v>
      </c>
      <c r="F48" s="4" t="str">
        <f>IFERROR(__xludf.DUMMYFUNCTION("""COMPUTED_VALUE"""),"P")</f>
        <v>P</v>
      </c>
      <c r="G48" s="4"/>
      <c r="H48" s="4"/>
      <c r="I48" s="6">
        <f>IFERROR(__xludf.DUMMYFUNCTION("""COMPUTED_VALUE"""),46121.67391232639)</f>
        <v>46121.67391</v>
      </c>
      <c r="J48" s="6">
        <f>IFERROR(__xludf.DUMMYFUNCTION("""COMPUTED_VALUE"""),46126.71372636574)</f>
        <v>46126.71373</v>
      </c>
      <c r="K48" s="4"/>
      <c r="L48" s="4"/>
      <c r="M48" s="4"/>
      <c r="N48" s="4"/>
      <c r="O48" s="4"/>
      <c r="P48" s="4"/>
      <c r="Q48" s="4"/>
      <c r="R48" s="4"/>
      <c r="S48" s="4"/>
      <c r="T48" s="4"/>
      <c r="U48" s="4"/>
      <c r="V48" s="4"/>
      <c r="W48" s="4"/>
      <c r="X48" s="4"/>
      <c r="Y48" s="4"/>
      <c r="Z48" s="4"/>
      <c r="AA48" s="4">
        <f>IFERROR(__xludf.DUMMYFUNCTION("""COMPUTED_VALUE"""),11.0)</f>
        <v>11</v>
      </c>
      <c r="AB48" s="4" t="str">
        <f>IFERROR(__xludf.DUMMYFUNCTION("""COMPUTED_VALUE"""),"Não Encarteirado")</f>
        <v>Não Encarteirado</v>
      </c>
      <c r="AC48" s="4" t="str">
        <f>IFERROR(__xludf.DUMMYFUNCTION("""COMPUTED_VALUE"""),"Sim")</f>
        <v>Sim</v>
      </c>
      <c r="AD48" s="4">
        <f>IFERROR(__xludf.DUMMYFUNCTION("""COMPUTED_VALUE"""),0.0)</f>
        <v>0</v>
      </c>
      <c r="AE48" s="4"/>
      <c r="AF48" s="4"/>
      <c r="AG48" s="4"/>
      <c r="AH48" s="4"/>
      <c r="AI48" s="4"/>
      <c r="AJ48" s="4"/>
      <c r="AK48" s="4"/>
      <c r="AL48" s="4"/>
      <c r="AM48" s="4" t="str">
        <f>IFERROR(__xludf.DUMMYFUNCTION("""COMPUTED_VALUE"""),"FY27")</f>
        <v>FY27</v>
      </c>
      <c r="AN48" s="4"/>
      <c r="AO48" s="4">
        <f>IFERROR(__xludf.DUMMYFUNCTION("""COMPUTED_VALUE"""),45553.0)</f>
        <v>45553</v>
      </c>
      <c r="AP48" s="4" t="str">
        <f>IFERROR(__xludf.DUMMYFUNCTION("""COMPUTED_VALUE"""),"RJ")</f>
        <v>RJ</v>
      </c>
      <c r="AQ48" s="4" t="str">
        <f>IFERROR(__xludf.DUMMYFUNCTION("""COMPUTED_VALUE"""),"JUAN CHAROTTA")</f>
        <v>JUAN CHAROTTA</v>
      </c>
      <c r="AR48" s="4">
        <f>IFERROR(__xludf.DUMMYFUNCTION("""COMPUTED_VALUE"""),0.0)</f>
        <v>0</v>
      </c>
      <c r="AS48" s="4">
        <f>IFERROR(__xludf.DUMMYFUNCTION("""COMPUTED_VALUE"""),0.0)</f>
        <v>0</v>
      </c>
      <c r="AT48" s="4">
        <f>IFERROR(__xludf.DUMMYFUNCTION("""COMPUTED_VALUE"""),0.0)</f>
        <v>0</v>
      </c>
      <c r="AU48" s="4">
        <f>IFERROR(__xludf.DUMMYFUNCTION("""COMPUTED_VALUE"""),0.0)</f>
        <v>0</v>
      </c>
      <c r="AV48" s="4">
        <f>IFERROR(__xludf.DUMMYFUNCTION("""COMPUTED_VALUE"""),0.0)</f>
        <v>0</v>
      </c>
      <c r="AW48" s="4">
        <f>IFERROR(__xludf.DUMMYFUNCTION("""COMPUTED_VALUE"""),0.0)</f>
        <v>0</v>
      </c>
      <c r="AX48" s="4">
        <f>IFERROR(__xludf.DUMMYFUNCTION("""COMPUTED_VALUE"""),0.0)</f>
        <v>0</v>
      </c>
      <c r="AY48" s="4"/>
      <c r="AZ48" s="4" t="str">
        <f>IFERROR(__xludf.DUMMYFUNCTION("""COMPUTED_VALUE"""),"Brasileira")</f>
        <v>Brasileira</v>
      </c>
      <c r="BA48" s="4">
        <f>IFERROR(__xludf.DUMMYFUNCTION("""COMPUTED_VALUE"""),30.0)</f>
        <v>30</v>
      </c>
      <c r="BB48" s="4" t="str">
        <f>IFERROR(__xludf.DUMMYFUNCTION("""COMPUTED_VALUE"""),"QSR - Comida Caseira")</f>
        <v>QSR - Comida Caseira</v>
      </c>
      <c r="BC48" s="4" t="str">
        <f>IFERROR(__xludf.DUMMYFUNCTION("""COMPUTED_VALUE"""),"Regional")</f>
        <v>Regional</v>
      </c>
      <c r="BD48" s="4" t="str">
        <f>IFERROR(__xludf.DUMMYFUNCTION("""COMPUTED_VALUE"""),"Dado não disponível - Necessário Discovery")</f>
        <v>Dado não disponível - Necessário Discovery</v>
      </c>
      <c r="BE48" s="4">
        <f>IFERROR(__xludf.DUMMYFUNCTION("""COMPUTED_VALUE"""),65.0)</f>
        <v>65</v>
      </c>
      <c r="BF48" s="4">
        <f>IFERROR(__xludf.DUMMYFUNCTION("""COMPUTED_VALUE"""),0.85)</f>
        <v>0.85</v>
      </c>
      <c r="BG48"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48" s="4" t="s">
        <v>80</v>
      </c>
      <c r="BI48" s="7">
        <v>0.3333333333333333</v>
      </c>
    </row>
    <row r="49" hidden="1">
      <c r="A49" s="4" t="str">
        <f>IFERROR(__xludf.DUMMYFUNCTION("""COMPUTED_VALUE"""),"CANTUCCI OSTERIA")</f>
        <v>CANTUCCI OSTERIA</v>
      </c>
      <c r="B49" s="4" t="str">
        <f>IFERROR(__xludf.DUMMYFUNCTION("""COMPUTED_VALUE"""),"Lídia Esteves")</f>
        <v>Lídia Esteves</v>
      </c>
      <c r="C49" s="4" t="str">
        <f>IFERROR(__xludf.DUMMYFUNCTION("""COMPUTED_VALUE"""),"Gabriela Roma")</f>
        <v>Gabriela Roma</v>
      </c>
      <c r="D49" s="4" t="str">
        <f>IFERROR(__xludf.DUMMYFUNCTION("""COMPUTED_VALUE"""),"0. Não Iniciado")</f>
        <v>0. Não Iniciado</v>
      </c>
      <c r="E49" s="4"/>
      <c r="F49" s="4" t="str">
        <f>IFERROR(__xludf.DUMMYFUNCTION("""COMPUTED_VALUE"""),"P")</f>
        <v>P</v>
      </c>
      <c r="G49" s="4"/>
      <c r="H49" s="4"/>
      <c r="I49" s="4"/>
      <c r="J49" s="4"/>
      <c r="K49" s="4"/>
      <c r="L49" s="4"/>
      <c r="M49" s="4"/>
      <c r="N49" s="4"/>
      <c r="O49" s="4"/>
      <c r="P49" s="4"/>
      <c r="Q49" s="4"/>
      <c r="R49" s="4"/>
      <c r="S49" s="4"/>
      <c r="T49" s="4"/>
      <c r="U49" s="4"/>
      <c r="V49" s="4"/>
      <c r="W49" s="4"/>
      <c r="X49" s="4"/>
      <c r="Y49" s="4"/>
      <c r="Z49" s="4"/>
      <c r="AA49" s="4">
        <f>IFERROR(__xludf.DUMMYFUNCTION("""COMPUTED_VALUE"""),5.0)</f>
        <v>5</v>
      </c>
      <c r="AB49" s="4" t="str">
        <f>IFERROR(__xludf.DUMMYFUNCTION("""COMPUTED_VALUE"""),"CE")</f>
        <v>CE</v>
      </c>
      <c r="AC49" s="4" t="str">
        <f>IFERROR(__xludf.DUMMYFUNCTION("""COMPUTED_VALUE"""),"Sim")</f>
        <v>Sim</v>
      </c>
      <c r="AD49" s="4" t="str">
        <f>IFERROR(__xludf.DUMMYFUNCTION("""COMPUTED_VALUE"""),"Netcontroll Xmenu")</f>
        <v>Netcontroll Xmenu</v>
      </c>
      <c r="AE49" s="4"/>
      <c r="AF49" s="4"/>
      <c r="AG49" s="4"/>
      <c r="AH49" s="4"/>
      <c r="AI49" s="4"/>
      <c r="AJ49" s="4"/>
      <c r="AK49" s="4"/>
      <c r="AL49" s="4"/>
      <c r="AM49" s="4" t="str">
        <f>IFERROR(__xludf.DUMMYFUNCTION("""COMPUTED_VALUE"""),"FY27")</f>
        <v>FY27</v>
      </c>
      <c r="AN49" s="4"/>
      <c r="AO49" s="4">
        <f>IFERROR(__xludf.DUMMYFUNCTION("""COMPUTED_VALUE"""),45553.0)</f>
        <v>45553</v>
      </c>
      <c r="AP49" s="4" t="str">
        <f>IFERROR(__xludf.DUMMYFUNCTION("""COMPUTED_VALUE"""),"DF")</f>
        <v>DF</v>
      </c>
      <c r="AQ49" s="4" t="str">
        <f>IFERROR(__xludf.DUMMYFUNCTION("""COMPUTED_VALUE"""),"ISABELLE NOGUEIRA")</f>
        <v>ISABELLE NOGUEIRA</v>
      </c>
      <c r="AR49" s="4" t="str">
        <f>IFERROR(__xludf.DUMMYFUNCTION("""COMPUTED_VALUE"""),"MATHEUS BITENCOURT")</f>
        <v>MATHEUS BITENCOURT</v>
      </c>
      <c r="AS49" s="4" t="str">
        <f>IFERROR(__xludf.DUMMYFUNCTION("""COMPUTED_VALUE"""),"THIAGO ROMAGNOLE")</f>
        <v>THIAGO ROMAGNOLE</v>
      </c>
      <c r="AT49" s="4" t="str">
        <f>IFERROR(__xludf.DUMMYFUNCTION("""COMPUTED_VALUE"""),"PAULO MODESTO")</f>
        <v>PAULO MODESTO</v>
      </c>
      <c r="AU49" s="4">
        <f>IFERROR(__xludf.DUMMYFUNCTION("""COMPUTED_VALUE"""),0.0)</f>
        <v>0</v>
      </c>
      <c r="AV49" s="4">
        <f>IFERROR(__xludf.DUMMYFUNCTION("""COMPUTED_VALUE"""),0.0)</f>
        <v>0</v>
      </c>
      <c r="AW49" s="4">
        <f>IFERROR(__xludf.DUMMYFUNCTION("""COMPUTED_VALUE"""),0.0)</f>
        <v>0</v>
      </c>
      <c r="AX49" s="4">
        <f>IFERROR(__xludf.DUMMYFUNCTION("""COMPUTED_VALUE"""),0.0)</f>
        <v>0</v>
      </c>
      <c r="AY49" s="4" t="str">
        <f>IFERROR(__xludf.DUMMYFUNCTION("""COMPUTED_VALUE"""),"Ncr")</f>
        <v>Ncr</v>
      </c>
      <c r="AZ49" s="4" t="str">
        <f>IFERROR(__xludf.DUMMYFUNCTION("""COMPUTED_VALUE"""),"Italiana")</f>
        <v>Italiana</v>
      </c>
      <c r="BA49" s="4">
        <f>IFERROR(__xludf.DUMMYFUNCTION("""COMPUTED_VALUE"""),95.0)</f>
        <v>95</v>
      </c>
      <c r="BB49" s="4" t="str">
        <f>IFERROR(__xludf.DUMMYFUNCTION("""COMPUTED_VALUE"""),"Table Service - Italiano")</f>
        <v>Table Service - Italiano</v>
      </c>
      <c r="BC49" s="4" t="str">
        <f>IFERROR(__xludf.DUMMYFUNCTION("""COMPUTED_VALUE"""),"Regional")</f>
        <v>Regional</v>
      </c>
      <c r="BD49" s="4" t="str">
        <f>IFERROR(__xludf.DUMMYFUNCTION("""COMPUTED_VALUE"""),"Dado não disponível - Necessário Discovery")</f>
        <v>Dado não disponível - Necessário Discovery</v>
      </c>
      <c r="BE49" s="4">
        <f>IFERROR(__xludf.DUMMYFUNCTION("""COMPUTED_VALUE"""),55.0)</f>
        <v>55</v>
      </c>
      <c r="BF49" s="4">
        <f>IFERROR(__xludf.DUMMYFUNCTION("""COMPUTED_VALUE"""),0.65)</f>
        <v>0.65</v>
      </c>
      <c r="BG4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49" s="4" t="s">
        <v>74</v>
      </c>
      <c r="BI49" s="7">
        <v>0.8181818181818182</v>
      </c>
    </row>
    <row r="50" hidden="1">
      <c r="A50" s="4" t="str">
        <f>IFERROR(__xludf.DUMMYFUNCTION("""COMPUTED_VALUE"""),"CARECA")</f>
        <v>CARECA</v>
      </c>
      <c r="B50" s="4" t="str">
        <f>IFERROR(__xludf.DUMMYFUNCTION("""COMPUTED_VALUE"""),"João Biagiotti")</f>
        <v>João Biagiotti</v>
      </c>
      <c r="C50" s="4" t="str">
        <f>IFERROR(__xludf.DUMMYFUNCTION("""COMPUTED_VALUE"""),"Diego Santos")</f>
        <v>Diego Santos</v>
      </c>
      <c r="D50" s="4" t="str">
        <f>IFERROR(__xludf.DUMMYFUNCTION("""COMPUTED_VALUE"""),"0. Não Iniciado")</f>
        <v>0. Não Iniciado</v>
      </c>
      <c r="E50" s="4"/>
      <c r="F50" s="4" t="str">
        <f>IFERROR(__xludf.DUMMYFUNCTION("""COMPUTED_VALUE"""),"P")</f>
        <v>P</v>
      </c>
      <c r="G50" s="4"/>
      <c r="H50" s="4"/>
      <c r="I50" s="4"/>
      <c r="J50" s="4"/>
      <c r="K50" s="4"/>
      <c r="L50" s="4"/>
      <c r="M50" s="4"/>
      <c r="N50" s="4"/>
      <c r="O50" s="4"/>
      <c r="P50" s="4"/>
      <c r="Q50" s="4"/>
      <c r="R50" s="4"/>
      <c r="S50" s="4"/>
      <c r="T50" s="4"/>
      <c r="U50" s="4"/>
      <c r="V50" s="4"/>
      <c r="W50" s="4"/>
      <c r="X50" s="4"/>
      <c r="Y50" s="4"/>
      <c r="Z50" s="4"/>
      <c r="AA50" s="4">
        <f>IFERROR(__xludf.DUMMYFUNCTION("""COMPUTED_VALUE"""),13.0)</f>
        <v>13</v>
      </c>
      <c r="AB50" s="4" t="str">
        <f>IFERROR(__xludf.DUMMYFUNCTION("""COMPUTED_VALUE"""),"CE")</f>
        <v>CE</v>
      </c>
      <c r="AC50" s="4" t="str">
        <f>IFERROR(__xludf.DUMMYFUNCTION("""COMPUTED_VALUE"""),"Sim")</f>
        <v>Sim</v>
      </c>
      <c r="AD50" s="4" t="str">
        <f>IFERROR(__xludf.DUMMYFUNCTION("""COMPUTED_VALUE"""),"Ifood")</f>
        <v>Ifood</v>
      </c>
      <c r="AE50" s="4"/>
      <c r="AF50" s="4"/>
      <c r="AG50" s="4"/>
      <c r="AH50" s="4"/>
      <c r="AI50" s="4"/>
      <c r="AJ50" s="4"/>
      <c r="AK50" s="4"/>
      <c r="AL50" s="4"/>
      <c r="AM50" s="4" t="str">
        <f>IFERROR(__xludf.DUMMYFUNCTION("""COMPUTED_VALUE"""),"FY27")</f>
        <v>FY27</v>
      </c>
      <c r="AN50" s="4"/>
      <c r="AO50" s="4">
        <f>IFERROR(__xludf.DUMMYFUNCTION("""COMPUTED_VALUE"""),45553.0)</f>
        <v>45553</v>
      </c>
      <c r="AP50" s="4" t="str">
        <f>IFERROR(__xludf.DUMMYFUNCTION("""COMPUTED_VALUE"""),"AL")</f>
        <v>AL</v>
      </c>
      <c r="AQ50" s="4" t="str">
        <f>IFERROR(__xludf.DUMMYFUNCTION("""COMPUTED_VALUE"""),"MARCELO ESTEVES")</f>
        <v>MARCELO ESTEVES</v>
      </c>
      <c r="AR50" s="4" t="str">
        <f>IFERROR(__xludf.DUMMYFUNCTION("""COMPUTED_VALUE"""),"ADIEL MATOS")</f>
        <v>ADIEL MATOS</v>
      </c>
      <c r="AS50" s="4" t="str">
        <f>IFERROR(__xludf.DUMMYFUNCTION("""COMPUTED_VALUE"""),"THIAGO ROMAGNOLE")</f>
        <v>THIAGO ROMAGNOLE</v>
      </c>
      <c r="AT50" s="4" t="str">
        <f>IFERROR(__xludf.DUMMYFUNCTION("""COMPUTED_VALUE"""),"ANDERSON LAUREANO")</f>
        <v>ANDERSON LAUREANO</v>
      </c>
      <c r="AU50" s="4">
        <f>IFERROR(__xludf.DUMMYFUNCTION("""COMPUTED_VALUE"""),0.0)</f>
        <v>0</v>
      </c>
      <c r="AV50" s="4">
        <f>IFERROR(__xludf.DUMMYFUNCTION("""COMPUTED_VALUE"""),0.0)</f>
        <v>0</v>
      </c>
      <c r="AW50" s="4">
        <f>IFERROR(__xludf.DUMMYFUNCTION("""COMPUTED_VALUE"""),0.0)</f>
        <v>0</v>
      </c>
      <c r="AX50" s="4">
        <f>IFERROR(__xludf.DUMMYFUNCTION("""COMPUTED_VALUE"""),0.0)</f>
        <v>0</v>
      </c>
      <c r="AY50" s="4"/>
      <c r="AZ50" s="4" t="str">
        <f>IFERROR(__xludf.DUMMYFUNCTION("""COMPUTED_VALUE"""),"Chinesa")</f>
        <v>Chinesa</v>
      </c>
      <c r="BA50" s="4">
        <f>IFERROR(__xludf.DUMMYFUNCTION("""COMPUTED_VALUE"""),50.0)</f>
        <v>50</v>
      </c>
      <c r="BB50" s="4" t="str">
        <f>IFERROR(__xludf.DUMMYFUNCTION("""COMPUTED_VALUE"""),"Fast Casual - Multi-conceito")</f>
        <v>Fast Casual - Multi-conceito</v>
      </c>
      <c r="BC50" s="4" t="str">
        <f>IFERROR(__xludf.DUMMYFUNCTION("""COMPUTED_VALUE"""),"Regional")</f>
        <v>Regional</v>
      </c>
      <c r="BD50" s="4" t="str">
        <f>IFERROR(__xludf.DUMMYFUNCTION("""COMPUTED_VALUE"""),"Dado não disponível - Necessário Discovery")</f>
        <v>Dado não disponível - Necessário Discovery</v>
      </c>
      <c r="BE50" s="4">
        <f>IFERROR(__xludf.DUMMYFUNCTION("""COMPUTED_VALUE"""),65.0)</f>
        <v>65</v>
      </c>
      <c r="BF50" s="4">
        <f>IFERROR(__xludf.DUMMYFUNCTION("""COMPUTED_VALUE"""),0.75)</f>
        <v>0.75</v>
      </c>
      <c r="BG5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50" s="4" t="s">
        <v>61</v>
      </c>
      <c r="BI50" s="7">
        <v>0.5</v>
      </c>
    </row>
    <row r="51" hidden="1">
      <c r="A51" s="4" t="str">
        <f>IFERROR(__xludf.DUMMYFUNCTION("""COMPUTED_VALUE"""),"CARNEIRO DO ORDONES - CONTA MARCA")</f>
        <v>CARNEIRO DO ORDONES - CONTA MARCA</v>
      </c>
      <c r="B51" s="4" t="str">
        <f>IFERROR(__xludf.DUMMYFUNCTION("""COMPUTED_VALUE"""),"João Biagiotti")</f>
        <v>João Biagiotti</v>
      </c>
      <c r="C51" s="4" t="str">
        <f>IFERROR(__xludf.DUMMYFUNCTION("""COMPUTED_VALUE"""),"Diego Santos")</f>
        <v>Diego Santos</v>
      </c>
      <c r="D51" s="4" t="str">
        <f>IFERROR(__xludf.DUMMYFUNCTION("""COMPUTED_VALUE"""),"0. Não Iniciado")</f>
        <v>0. Não Iniciado</v>
      </c>
      <c r="E51" s="4"/>
      <c r="F51" s="4" t="str">
        <f>IFERROR(__xludf.DUMMYFUNCTION("""COMPUTED_VALUE"""),"P")</f>
        <v>P</v>
      </c>
      <c r="G51" s="4"/>
      <c r="H51" s="4"/>
      <c r="I51" s="4"/>
      <c r="J51" s="4"/>
      <c r="K51" s="4"/>
      <c r="L51" s="4"/>
      <c r="M51" s="4"/>
      <c r="N51" s="4"/>
      <c r="O51" s="4"/>
      <c r="P51" s="4"/>
      <c r="Q51" s="4"/>
      <c r="R51" s="4"/>
      <c r="S51" s="4"/>
      <c r="T51" s="4"/>
      <c r="U51" s="4"/>
      <c r="V51" s="4"/>
      <c r="W51" s="4"/>
      <c r="X51" s="4"/>
      <c r="Y51" s="4"/>
      <c r="Z51" s="4"/>
      <c r="AA51" s="4">
        <f>IFERROR(__xludf.DUMMYFUNCTION("""COMPUTED_VALUE"""),9.0)</f>
        <v>9</v>
      </c>
      <c r="AB51" s="4" t="str">
        <f>IFERROR(__xludf.DUMMYFUNCTION("""COMPUTED_VALUE"""),"CE")</f>
        <v>CE</v>
      </c>
      <c r="AC51" s="4" t="str">
        <f>IFERROR(__xludf.DUMMYFUNCTION("""COMPUTED_VALUE"""),"Sim")</f>
        <v>Sim</v>
      </c>
      <c r="AD51" s="4" t="str">
        <f>IFERROR(__xludf.DUMMYFUNCTION("""COMPUTED_VALUE"""),"Ifood")</f>
        <v>Ifood</v>
      </c>
      <c r="AE51" s="4"/>
      <c r="AF51" s="4"/>
      <c r="AG51" s="4"/>
      <c r="AH51" s="4"/>
      <c r="AI51" s="4"/>
      <c r="AJ51" s="4"/>
      <c r="AK51" s="4"/>
      <c r="AL51" s="4"/>
      <c r="AM51" s="4" t="str">
        <f>IFERROR(__xludf.DUMMYFUNCTION("""COMPUTED_VALUE"""),"FY27")</f>
        <v>FY27</v>
      </c>
      <c r="AN51" s="4"/>
      <c r="AO51" s="4">
        <f>IFERROR(__xludf.DUMMYFUNCTION("""COMPUTED_VALUE"""),45553.0)</f>
        <v>45553</v>
      </c>
      <c r="AP51" s="4" t="str">
        <f>IFERROR(__xludf.DUMMYFUNCTION("""COMPUTED_VALUE"""),"CE")</f>
        <v>CE</v>
      </c>
      <c r="AQ51" s="4" t="str">
        <f>IFERROR(__xludf.DUMMYFUNCTION("""COMPUTED_VALUE"""),"FABIO MAKARON")</f>
        <v>FABIO MAKARON</v>
      </c>
      <c r="AR51" s="4" t="str">
        <f>IFERROR(__xludf.DUMMYFUNCTION("""COMPUTED_VALUE"""),"EVANDRO MENDONCA")</f>
        <v>EVANDRO MENDONCA</v>
      </c>
      <c r="AS51" s="4" t="str">
        <f>IFERROR(__xludf.DUMMYFUNCTION("""COMPUTED_VALUE"""),"THIAGO ROMAGNOLE")</f>
        <v>THIAGO ROMAGNOLE</v>
      </c>
      <c r="AT51" s="4" t="str">
        <f>IFERROR(__xludf.DUMMYFUNCTION("""COMPUTED_VALUE"""),"EDUARDO VAZ")</f>
        <v>EDUARDO VAZ</v>
      </c>
      <c r="AU51" s="4">
        <f>IFERROR(__xludf.DUMMYFUNCTION("""COMPUTED_VALUE"""),0.0)</f>
        <v>0</v>
      </c>
      <c r="AV51" s="4">
        <f>IFERROR(__xludf.DUMMYFUNCTION("""COMPUTED_VALUE"""),0.0)</f>
        <v>0</v>
      </c>
      <c r="AW51" s="4">
        <f>IFERROR(__xludf.DUMMYFUNCTION("""COMPUTED_VALUE"""),0.0)</f>
        <v>0</v>
      </c>
      <c r="AX51" s="4">
        <f>IFERROR(__xludf.DUMMYFUNCTION("""COMPUTED_VALUE"""),0.0)</f>
        <v>0</v>
      </c>
      <c r="AY51" s="4" t="str">
        <f>IFERROR(__xludf.DUMMYFUNCTION("""COMPUTED_VALUE"""),"Solução Sistemas")</f>
        <v>Solução Sistemas</v>
      </c>
      <c r="AZ51" s="4" t="str">
        <f>IFERROR(__xludf.DUMMYFUNCTION("""COMPUTED_VALUE"""),"Brasileira")</f>
        <v>Brasileira</v>
      </c>
      <c r="BA51" s="4">
        <f>IFERROR(__xludf.DUMMYFUNCTION("""COMPUTED_VALUE"""),75.0)</f>
        <v>75</v>
      </c>
      <c r="BB51" s="4" t="str">
        <f>IFERROR(__xludf.DUMMYFUNCTION("""COMPUTED_VALUE"""),"Fast Casual - Carneiro/Grelhados")</f>
        <v>Fast Casual - Carneiro/Grelhados</v>
      </c>
      <c r="BC51" s="4" t="str">
        <f>IFERROR(__xludf.DUMMYFUNCTION("""COMPUTED_VALUE"""),"Regional")</f>
        <v>Regional</v>
      </c>
      <c r="BD51" s="4" t="str">
        <f>IFERROR(__xludf.DUMMYFUNCTION("""COMPUTED_VALUE"""),"Dado não disponível - Necessário Discovery")</f>
        <v>Dado não disponível - Necessário Discovery</v>
      </c>
      <c r="BE51" s="4">
        <f>IFERROR(__xludf.DUMMYFUNCTION("""COMPUTED_VALUE"""),70.0)</f>
        <v>70</v>
      </c>
      <c r="BF51" s="4">
        <f>IFERROR(__xludf.DUMMYFUNCTION("""COMPUTED_VALUE"""),0.75)</f>
        <v>0.75</v>
      </c>
      <c r="BG5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51" s="4" t="s">
        <v>64</v>
      </c>
      <c r="BI51" s="7">
        <v>0.3333333333333333</v>
      </c>
    </row>
    <row r="52" hidden="1">
      <c r="A52" s="4" t="str">
        <f>IFERROR(__xludf.DUMMYFUNCTION("""COMPUTED_VALUE"""),"CASA DO PARA")</f>
        <v>CASA DO PARA</v>
      </c>
      <c r="B52" s="4" t="str">
        <f>IFERROR(__xludf.DUMMYFUNCTION("""COMPUTED_VALUE"""),"João Biagiotti")</f>
        <v>João Biagiotti</v>
      </c>
      <c r="C52" s="4" t="str">
        <f>IFERROR(__xludf.DUMMYFUNCTION("""COMPUTED_VALUE"""),"Diego Santos")</f>
        <v>Diego Santos</v>
      </c>
      <c r="D52" s="4" t="str">
        <f>IFERROR(__xludf.DUMMYFUNCTION("""COMPUTED_VALUE"""),"2. Primeiro contato com a marca")</f>
        <v>2. Primeiro contato com a marca</v>
      </c>
      <c r="E52" s="4" t="str">
        <f>IFERROR(__xludf.DUMMYFUNCTION("""COMPUTED_VALUE"""),"Delivery - Conciliação agenda com parceiro")</f>
        <v>Delivery - Conciliação agenda com parceiro</v>
      </c>
      <c r="F52" s="4" t="str">
        <f>IFERROR(__xludf.DUMMYFUNCTION("""COMPUTED_VALUE"""),"P")</f>
        <v>P</v>
      </c>
      <c r="G52" s="5">
        <f>IFERROR(__xludf.DUMMYFUNCTION("""COMPUTED_VALUE"""),46120.0)</f>
        <v>46120</v>
      </c>
      <c r="H52" s="4" t="str">
        <f>IFERROR(__xludf.DUMMYFUNCTION("""COMPUTED_VALUE"""),"Conciliando agenda online com o parceiro")</f>
        <v>Conciliando agenda online com o parceiro</v>
      </c>
      <c r="I52" s="6">
        <f>IFERROR(__xludf.DUMMYFUNCTION("""COMPUTED_VALUE"""),46120.599758067125)</f>
        <v>46120.59976</v>
      </c>
      <c r="J52" s="6">
        <f>IFERROR(__xludf.DUMMYFUNCTION("""COMPUTED_VALUE"""),46120.67216530093)</f>
        <v>46120.67217</v>
      </c>
      <c r="K52" s="4"/>
      <c r="L52" s="4"/>
      <c r="M52" s="4"/>
      <c r="N52" s="4"/>
      <c r="O52" s="4"/>
      <c r="P52" s="4"/>
      <c r="Q52" s="4"/>
      <c r="R52" s="4"/>
      <c r="S52" s="4"/>
      <c r="T52" s="4"/>
      <c r="U52" s="4"/>
      <c r="V52" s="4"/>
      <c r="W52" s="4"/>
      <c r="X52" s="4"/>
      <c r="Y52" s="4"/>
      <c r="Z52" s="4"/>
      <c r="AA52" s="4">
        <f>IFERROR(__xludf.DUMMYFUNCTION("""COMPUTED_VALUE"""),12.0)</f>
        <v>12</v>
      </c>
      <c r="AB52" s="4" t="str">
        <f>IFERROR(__xludf.DUMMYFUNCTION("""COMPUTED_VALUE"""),"CE")</f>
        <v>CE</v>
      </c>
      <c r="AC52" s="4" t="str">
        <f>IFERROR(__xludf.DUMMYFUNCTION("""COMPUTED_VALUE"""),"Sim")</f>
        <v>Sim</v>
      </c>
      <c r="AD52" s="4" t="str">
        <f>IFERROR(__xludf.DUMMYFUNCTION("""COMPUTED_VALUE"""),"Ifood")</f>
        <v>Ifood</v>
      </c>
      <c r="AE52" s="4"/>
      <c r="AF52" s="4"/>
      <c r="AG52" s="4"/>
      <c r="AH52" s="4">
        <f>IFERROR(__xludf.DUMMYFUNCTION("""COMPUTED_VALUE"""),16.0)</f>
        <v>16</v>
      </c>
      <c r="AI52" s="4" t="str">
        <f>IFERROR(__xludf.DUMMYFUNCTION("""COMPUTED_VALUE"""),"1,2M")</f>
        <v>1,2M</v>
      </c>
      <c r="AJ52" s="4" t="str">
        <f>IFERROR(__xludf.DUMMYFUNCTION("""COMPUTED_VALUE"""),"Menew")</f>
        <v>Menew</v>
      </c>
      <c r="AK52" s="4" t="str">
        <f>IFERROR(__xludf.DUMMYFUNCTION("""COMPUTED_VALUE"""),"Salão / Delivery")</f>
        <v>Salão / Delivery</v>
      </c>
      <c r="AL52" s="4"/>
      <c r="AM52" s="4" t="str">
        <f>IFERROR(__xludf.DUMMYFUNCTION("""COMPUTED_VALUE"""),"FY27")</f>
        <v>FY27</v>
      </c>
      <c r="AN52" s="4"/>
      <c r="AO52" s="4">
        <f>IFERROR(__xludf.DUMMYFUNCTION("""COMPUTED_VALUE"""),95.0)</f>
        <v>95</v>
      </c>
      <c r="AP52" s="4" t="str">
        <f>IFERROR(__xludf.DUMMYFUNCTION("""COMPUTED_VALUE"""),"PE")</f>
        <v>PE</v>
      </c>
      <c r="AQ52" s="4" t="str">
        <f>IFERROR(__xludf.DUMMYFUNCTION("""COMPUTED_VALUE"""),"JENNIFER SIQUEIRA")</f>
        <v>JENNIFER SIQUEIRA</v>
      </c>
      <c r="AR52" s="4" t="str">
        <f>IFERROR(__xludf.DUMMYFUNCTION("""COMPUTED_VALUE"""),"TERESA SIMOES")</f>
        <v>TERESA SIMOES</v>
      </c>
      <c r="AS52" s="4" t="str">
        <f>IFERROR(__xludf.DUMMYFUNCTION("""COMPUTED_VALUE"""),"THIAGO ROMAGNOLE")</f>
        <v>THIAGO ROMAGNOLE</v>
      </c>
      <c r="AT52" s="4" t="str">
        <f>IFERROR(__xludf.DUMMYFUNCTION("""COMPUTED_VALUE"""),"ANDERSON LAUREANO")</f>
        <v>ANDERSON LAUREANO</v>
      </c>
      <c r="AU52" s="4">
        <f>IFERROR(__xludf.DUMMYFUNCTION("""COMPUTED_VALUE"""),0.0)</f>
        <v>0</v>
      </c>
      <c r="AV52" s="4">
        <f>IFERROR(__xludf.DUMMYFUNCTION("""COMPUTED_VALUE"""),0.0)</f>
        <v>0</v>
      </c>
      <c r="AW52" s="4">
        <f>IFERROR(__xludf.DUMMYFUNCTION("""COMPUTED_VALUE"""),0.0)</f>
        <v>0</v>
      </c>
      <c r="AX52" s="4">
        <f>IFERROR(__xludf.DUMMYFUNCTION("""COMPUTED_VALUE"""),0.0)</f>
        <v>0</v>
      </c>
      <c r="AY52" s="4"/>
      <c r="AZ52" s="4" t="str">
        <f>IFERROR(__xludf.DUMMYFUNCTION("""COMPUTED_VALUE"""),"Açaí")</f>
        <v>Açaí</v>
      </c>
      <c r="BA52" s="4" t="str">
        <f>IFERROR(__xludf.DUMMYFUNCTION("""COMPUTED_VALUE"""),"")</f>
        <v/>
      </c>
      <c r="BB52" s="4" t="str">
        <f>IFERROR(__xludf.DUMMYFUNCTION("""COMPUTED_VALUE"""),"")</f>
        <v/>
      </c>
      <c r="BC52" s="4" t="str">
        <f>IFERROR(__xludf.DUMMYFUNCTION("""COMPUTED_VALUE"""),"")</f>
        <v/>
      </c>
      <c r="BD52" s="4" t="str">
        <f>IFERROR(__xludf.DUMMYFUNCTION("""COMPUTED_VALUE"""),"")</f>
        <v/>
      </c>
      <c r="BE52" s="4" t="str">
        <f>IFERROR(__xludf.DUMMYFUNCTION("""COMPUTED_VALUE"""),"")</f>
        <v/>
      </c>
      <c r="BF52" s="4" t="str">
        <f>IFERROR(__xludf.DUMMYFUNCTION("""COMPUTED_VALUE"""),"")</f>
        <v/>
      </c>
      <c r="BG52" s="4" t="str">
        <f>IFERROR(__xludf.DUMMYFUNCTION("""COMPUTED_VALUE"""),"")</f>
        <v/>
      </c>
      <c r="BH52" s="4" t="s">
        <v>64</v>
      </c>
      <c r="BI52" s="7">
        <v>0.5</v>
      </c>
    </row>
    <row r="53" hidden="1">
      <c r="A53" s="4" t="str">
        <f>IFERROR(__xludf.DUMMYFUNCTION("""COMPUTED_VALUE"""),"CAVENDISH")</f>
        <v>CAVENDISH</v>
      </c>
      <c r="B53" s="4" t="str">
        <f>IFERROR(__xludf.DUMMYFUNCTION("""COMPUTED_VALUE"""),"Lídia Esteves")</f>
        <v>Lídia Esteves</v>
      </c>
      <c r="C53" s="4" t="str">
        <f>IFERROR(__xludf.DUMMYFUNCTION("""COMPUTED_VALUE"""),"Gabriela Roma")</f>
        <v>Gabriela Roma</v>
      </c>
      <c r="D53" s="4" t="str">
        <f>IFERROR(__xludf.DUMMYFUNCTION("""COMPUTED_VALUE"""),"0. Não Iniciado")</f>
        <v>0. Não Iniciado</v>
      </c>
      <c r="E53" s="4"/>
      <c r="F53" s="4" t="str">
        <f>IFERROR(__xludf.DUMMYFUNCTION("""COMPUTED_VALUE"""),"P")</f>
        <v>P</v>
      </c>
      <c r="G53" s="4"/>
      <c r="H53" s="4"/>
      <c r="I53" s="4"/>
      <c r="J53" s="4"/>
      <c r="K53" s="4"/>
      <c r="L53" s="4"/>
      <c r="M53" s="4"/>
      <c r="N53" s="4"/>
      <c r="O53" s="4"/>
      <c r="P53" s="4"/>
      <c r="Q53" s="4"/>
      <c r="R53" s="4"/>
      <c r="S53" s="4"/>
      <c r="T53" s="4"/>
      <c r="U53" s="4"/>
      <c r="V53" s="4"/>
      <c r="W53" s="4"/>
      <c r="X53" s="4"/>
      <c r="Y53" s="4"/>
      <c r="Z53" s="4"/>
      <c r="AA53" s="4">
        <f>IFERROR(__xludf.DUMMYFUNCTION("""COMPUTED_VALUE"""),6.0)</f>
        <v>6</v>
      </c>
      <c r="AB53" s="4" t="str">
        <f>IFERROR(__xludf.DUMMYFUNCTION("""COMPUTED_VALUE"""),"CE")</f>
        <v>CE</v>
      </c>
      <c r="AC53" s="4" t="str">
        <f>IFERROR(__xludf.DUMMYFUNCTION("""COMPUTED_VALUE"""),"Sim")</f>
        <v>Sim</v>
      </c>
      <c r="AD53" s="4" t="str">
        <f>IFERROR(__xludf.DUMMYFUNCTION("""COMPUTED_VALUE"""),"Ifood")</f>
        <v>Ifood</v>
      </c>
      <c r="AE53" s="4"/>
      <c r="AF53" s="4"/>
      <c r="AG53" s="4"/>
      <c r="AH53" s="4"/>
      <c r="AI53" s="4"/>
      <c r="AJ53" s="4"/>
      <c r="AK53" s="4"/>
      <c r="AL53" s="4"/>
      <c r="AM53" s="4" t="str">
        <f>IFERROR(__xludf.DUMMYFUNCTION("""COMPUTED_VALUE"""),"FY27")</f>
        <v>FY27</v>
      </c>
      <c r="AN53" s="4"/>
      <c r="AO53" s="4">
        <f>IFERROR(__xludf.DUMMYFUNCTION("""COMPUTED_VALUE"""),45553.0)</f>
        <v>45553</v>
      </c>
      <c r="AP53" s="4" t="str">
        <f>IFERROR(__xludf.DUMMYFUNCTION("""COMPUTED_VALUE"""),"ES")</f>
        <v>ES</v>
      </c>
      <c r="AQ53" s="4" t="str">
        <f>IFERROR(__xludf.DUMMYFUNCTION("""COMPUTED_VALUE"""),"LORENA PACHECO")</f>
        <v>LORENA PACHECO</v>
      </c>
      <c r="AR53" s="4" t="str">
        <f>IFERROR(__xludf.DUMMYFUNCTION("""COMPUTED_VALUE"""),"JOHANA TRAPUZZANO")</f>
        <v>JOHANA TRAPUZZANO</v>
      </c>
      <c r="AS53" s="4" t="str">
        <f>IFERROR(__xludf.DUMMYFUNCTION("""COMPUTED_VALUE"""),"FABIO DONATO")</f>
        <v>FABIO DONATO</v>
      </c>
      <c r="AT53" s="4" t="str">
        <f>IFERROR(__xludf.DUMMYFUNCTION("""COMPUTED_VALUE"""),"GILSON JUNIOR")</f>
        <v>GILSON JUNIOR</v>
      </c>
      <c r="AU53" s="4">
        <f>IFERROR(__xludf.DUMMYFUNCTION("""COMPUTED_VALUE"""),0.0)</f>
        <v>0</v>
      </c>
      <c r="AV53" s="4">
        <f>IFERROR(__xludf.DUMMYFUNCTION("""COMPUTED_VALUE"""),0.0)</f>
        <v>0</v>
      </c>
      <c r="AW53" s="4">
        <f>IFERROR(__xludf.DUMMYFUNCTION("""COMPUTED_VALUE"""),0.0)</f>
        <v>0</v>
      </c>
      <c r="AX53" s="4">
        <f>IFERROR(__xludf.DUMMYFUNCTION("""COMPUTED_VALUE"""),0.0)</f>
        <v>0</v>
      </c>
      <c r="AY53" s="4" t="str">
        <f>IFERROR(__xludf.DUMMYFUNCTION("""COMPUTED_VALUE"""),"Saipos Serviços De Software")</f>
        <v>Saipos Serviços De Software</v>
      </c>
      <c r="AZ53" s="4" t="str">
        <f>IFERROR(__xludf.DUMMYFUNCTION("""COMPUTED_VALUE"""),"Lanches")</f>
        <v>Lanches</v>
      </c>
      <c r="BA53" s="4">
        <f>IFERROR(__xludf.DUMMYFUNCTION("""COMPUTED_VALUE"""),42.0)</f>
        <v>42</v>
      </c>
      <c r="BB53" s="4" t="str">
        <f>IFERROR(__xludf.DUMMYFUNCTION("""COMPUTED_VALUE"""),"Fast Casual - Cafeteria")</f>
        <v>Fast Casual - Cafeteria</v>
      </c>
      <c r="BC53" s="4" t="str">
        <f>IFERROR(__xludf.DUMMYFUNCTION("""COMPUTED_VALUE"""),"Regional")</f>
        <v>Regional</v>
      </c>
      <c r="BD53" s="4" t="str">
        <f>IFERROR(__xludf.DUMMYFUNCTION("""COMPUTED_VALUE"""),"Dado não disponível - Necessário Discovery")</f>
        <v>Dado não disponível - Necessário Discovery</v>
      </c>
      <c r="BE53" s="4">
        <f>IFERROR(__xludf.DUMMYFUNCTION("""COMPUTED_VALUE"""),65.0)</f>
        <v>65</v>
      </c>
      <c r="BF53" s="4">
        <f>IFERROR(__xludf.DUMMYFUNCTION("""COMPUTED_VALUE"""),0.75)</f>
        <v>0.75</v>
      </c>
      <c r="BG5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53" s="4" t="s">
        <v>69</v>
      </c>
      <c r="BI53" s="7">
        <v>1.0</v>
      </c>
    </row>
    <row r="54" hidden="1">
      <c r="A54" s="4" t="str">
        <f>IFERROR(__xludf.DUMMYFUNCTION("""COMPUTED_VALUE"""),"CELSINHO BH")</f>
        <v>CELSINHO BH</v>
      </c>
      <c r="B54" s="4" t="str">
        <f>IFERROR(__xludf.DUMMYFUNCTION("""COMPUTED_VALUE"""),"João Biagiotti")</f>
        <v>João Biagiotti</v>
      </c>
      <c r="C54" s="4" t="str">
        <f>IFERROR(__xludf.DUMMYFUNCTION("""COMPUTED_VALUE"""),"Diego Santos")</f>
        <v>Diego Santos</v>
      </c>
      <c r="D54" s="4" t="str">
        <f>IFERROR(__xludf.DUMMYFUNCTION("""COMPUTED_VALUE"""),"10. Perdido")</f>
        <v>10. Perdido</v>
      </c>
      <c r="E54" s="4" t="str">
        <f>IFERROR(__xludf.DUMMYFUNCTION("""COMPUTED_VALUE"""),"Perdido - Outro (detalhar ao lado)")</f>
        <v>Perdido - Outro (detalhar ao lado)</v>
      </c>
      <c r="F54" s="4" t="str">
        <f>IFERROR(__xludf.DUMMYFUNCTION("""COMPUTED_VALUE"""),"P")</f>
        <v>P</v>
      </c>
      <c r="G54" s="5">
        <f>IFERROR(__xludf.DUMMYFUNCTION("""COMPUTED_VALUE"""),46119.0)</f>
        <v>46119</v>
      </c>
      <c r="H54" s="4" t="str">
        <f>IFERROR(__xludf.DUMMYFUNCTION("""COMPUTED_VALUE"""),"já está rodando com saipos, não acho que tenha perfil para 3S")</f>
        <v>já está rodando com saipos, não acho que tenha perfil para 3S</v>
      </c>
      <c r="I54" s="6">
        <f>IFERROR(__xludf.DUMMYFUNCTION("""COMPUTED_VALUE"""),46120.460824884256)</f>
        <v>46120.46082</v>
      </c>
      <c r="J54" s="4"/>
      <c r="K54" s="4"/>
      <c r="L54" s="4"/>
      <c r="M54" s="4"/>
      <c r="N54" s="4"/>
      <c r="O54" s="4"/>
      <c r="P54" s="4"/>
      <c r="Q54" s="4"/>
      <c r="R54" s="6">
        <f>IFERROR(__xludf.DUMMYFUNCTION("""COMPUTED_VALUE"""),46129.503641550924)</f>
        <v>46129.50364</v>
      </c>
      <c r="S54" s="4"/>
      <c r="T54" s="4"/>
      <c r="U54" s="4"/>
      <c r="V54" s="4" t="str">
        <f>IFERROR(__xludf.DUMMYFUNCTION("""COMPUTED_VALUE"""),"Sem perfil 3S - Perfil Saipos")</f>
        <v>Sem perfil 3S - Perfil Saipos</v>
      </c>
      <c r="W54" s="4"/>
      <c r="X54" s="4"/>
      <c r="Y54" s="4"/>
      <c r="Z54" s="4"/>
      <c r="AA54" s="4">
        <f>IFERROR(__xludf.DUMMYFUNCTION("""COMPUTED_VALUE"""),5.0)</f>
        <v>5</v>
      </c>
      <c r="AB54" s="4" t="str">
        <f>IFERROR(__xludf.DUMMYFUNCTION("""COMPUTED_VALUE"""),"CE")</f>
        <v>CE</v>
      </c>
      <c r="AC54" s="4" t="str">
        <f>IFERROR(__xludf.DUMMYFUNCTION("""COMPUTED_VALUE"""),"Sim")</f>
        <v>Sim</v>
      </c>
      <c r="AD54" s="4" t="str">
        <f>IFERROR(__xludf.DUMMYFUNCTION("""COMPUTED_VALUE"""),"Ifood")</f>
        <v>Ifood</v>
      </c>
      <c r="AE54" s="4"/>
      <c r="AF54" s="4"/>
      <c r="AG54" s="4"/>
      <c r="AH54" s="4"/>
      <c r="AI54" s="4"/>
      <c r="AJ54" s="4"/>
      <c r="AK54" s="4"/>
      <c r="AL54" s="4"/>
      <c r="AM54" s="4" t="str">
        <f>IFERROR(__xludf.DUMMYFUNCTION("""COMPUTED_VALUE"""),"FY27")</f>
        <v>FY27</v>
      </c>
      <c r="AN54" s="4"/>
      <c r="AO54" s="4">
        <f>IFERROR(__xludf.DUMMYFUNCTION("""COMPUTED_VALUE"""),96.0)</f>
        <v>96</v>
      </c>
      <c r="AP54" s="4" t="str">
        <f>IFERROR(__xludf.DUMMYFUNCTION("""COMPUTED_VALUE"""),"MG")</f>
        <v>MG</v>
      </c>
      <c r="AQ54" s="4" t="str">
        <f>IFERROR(__xludf.DUMMYFUNCTION("""COMPUTED_VALUE"""),"EDUARDA HALABI")</f>
        <v>EDUARDA HALABI</v>
      </c>
      <c r="AR54" s="4" t="str">
        <f>IFERROR(__xludf.DUMMYFUNCTION("""COMPUTED_VALUE"""),"DIEGO PINTO")</f>
        <v>DIEGO PINTO</v>
      </c>
      <c r="AS54" s="4" t="str">
        <f>IFERROR(__xludf.DUMMYFUNCTION("""COMPUTED_VALUE"""),"FABIO DONATO")</f>
        <v>FABIO DONATO</v>
      </c>
      <c r="AT54" s="4" t="str">
        <f>IFERROR(__xludf.DUMMYFUNCTION("""COMPUTED_VALUE"""),"GILSON JUNIOR")</f>
        <v>GILSON JUNIOR</v>
      </c>
      <c r="AU54" s="4">
        <f>IFERROR(__xludf.DUMMYFUNCTION("""COMPUTED_VALUE"""),0.0)</f>
        <v>0</v>
      </c>
      <c r="AV54" s="4">
        <f>IFERROR(__xludf.DUMMYFUNCTION("""COMPUTED_VALUE"""),0.0)</f>
        <v>0</v>
      </c>
      <c r="AW54" s="4">
        <f>IFERROR(__xludf.DUMMYFUNCTION("""COMPUTED_VALUE"""),0.0)</f>
        <v>0</v>
      </c>
      <c r="AX54" s="4">
        <f>IFERROR(__xludf.DUMMYFUNCTION("""COMPUTED_VALUE"""),0.0)</f>
        <v>0</v>
      </c>
      <c r="AY54" s="4"/>
      <c r="AZ54" s="4" t="str">
        <f>IFERROR(__xludf.DUMMYFUNCTION("""COMPUTED_VALUE"""),"Brasileira")</f>
        <v>Brasileira</v>
      </c>
      <c r="BA54" s="4" t="str">
        <f>IFERROR(__xludf.DUMMYFUNCTION("""COMPUTED_VALUE"""),"")</f>
        <v/>
      </c>
      <c r="BB54" s="4" t="str">
        <f>IFERROR(__xludf.DUMMYFUNCTION("""COMPUTED_VALUE"""),"")</f>
        <v/>
      </c>
      <c r="BC54" s="4" t="str">
        <f>IFERROR(__xludf.DUMMYFUNCTION("""COMPUTED_VALUE"""),"")</f>
        <v/>
      </c>
      <c r="BD54" s="4" t="str">
        <f>IFERROR(__xludf.DUMMYFUNCTION("""COMPUTED_VALUE"""),"")</f>
        <v/>
      </c>
      <c r="BE54" s="4" t="str">
        <f>IFERROR(__xludf.DUMMYFUNCTION("""COMPUTED_VALUE"""),"")</f>
        <v/>
      </c>
      <c r="BF54" s="4" t="str">
        <f>IFERROR(__xludf.DUMMYFUNCTION("""COMPUTED_VALUE"""),"")</f>
        <v/>
      </c>
      <c r="BG54" s="4" t="str">
        <f>IFERROR(__xludf.DUMMYFUNCTION("""COMPUTED_VALUE"""),"")</f>
        <v/>
      </c>
      <c r="BH54" s="4" t="s">
        <v>81</v>
      </c>
      <c r="BI54" s="7">
        <v>0.75</v>
      </c>
    </row>
    <row r="55" hidden="1">
      <c r="A55" s="4" t="str">
        <f>IFERROR(__xludf.DUMMYFUNCTION("""COMPUTED_VALUE"""),"CHAVITOS HAMBURGUERIA ARTESANAL")</f>
        <v>CHAVITOS HAMBURGUERIA ARTESANAL</v>
      </c>
      <c r="B55" s="4" t="str">
        <f>IFERROR(__xludf.DUMMYFUNCTION("""COMPUTED_VALUE"""),"Lídia Esteves")</f>
        <v>Lídia Esteves</v>
      </c>
      <c r="C55" s="4" t="str">
        <f>IFERROR(__xludf.DUMMYFUNCTION("""COMPUTED_VALUE"""),"Gabriela Roma")</f>
        <v>Gabriela Roma</v>
      </c>
      <c r="D55" s="4" t="str">
        <f>IFERROR(__xludf.DUMMYFUNCTION("""COMPUTED_VALUE"""),"1. Iniciado")</f>
        <v>1. Iniciado</v>
      </c>
      <c r="E55" s="4" t="str">
        <f>IFERROR(__xludf.DUMMYFUNCTION("""COMPUTED_VALUE"""),"Delivery - Aguardando retorno / Conciliação agenda")</f>
        <v>Delivery - Aguardando retorno / Conciliação agenda</v>
      </c>
      <c r="F55" s="4" t="str">
        <f>IFERROR(__xludf.DUMMYFUNCTION("""COMPUTED_VALUE"""),"P")</f>
        <v>P</v>
      </c>
      <c r="G55" s="4"/>
      <c r="H55" s="4"/>
      <c r="I55" s="6">
        <f>IFERROR(__xludf.DUMMYFUNCTION("""COMPUTED_VALUE"""),46121.67421900463)</f>
        <v>46121.67422</v>
      </c>
      <c r="J55" s="4"/>
      <c r="K55" s="4"/>
      <c r="L55" s="4"/>
      <c r="M55" s="4"/>
      <c r="N55" s="4"/>
      <c r="O55" s="4"/>
      <c r="P55" s="4"/>
      <c r="Q55" s="4"/>
      <c r="R55" s="4"/>
      <c r="S55" s="4"/>
      <c r="T55" s="4"/>
      <c r="U55" s="4"/>
      <c r="V55" s="4"/>
      <c r="W55" s="4"/>
      <c r="X55" s="4"/>
      <c r="Y55" s="4"/>
      <c r="Z55" s="4"/>
      <c r="AA55" s="4">
        <f>IFERROR(__xludf.DUMMYFUNCTION("""COMPUTED_VALUE"""),6.0)</f>
        <v>6</v>
      </c>
      <c r="AB55" s="14" t="str">
        <f>IFERROR(__xludf.DUMMYFUNCTION("""COMPUTED_VALUE"""),"CE")</f>
        <v>CE</v>
      </c>
      <c r="AC55" s="4" t="str">
        <f>IFERROR(__xludf.DUMMYFUNCTION("""COMPUTED_VALUE"""),"Sim")</f>
        <v>Sim</v>
      </c>
      <c r="AD55" s="4" t="str">
        <f>IFERROR(__xludf.DUMMYFUNCTION("""COMPUTED_VALUE"""),"Ifood")</f>
        <v>Ifood</v>
      </c>
      <c r="AE55" s="4"/>
      <c r="AF55" s="4"/>
      <c r="AG55" s="4"/>
      <c r="AH55" s="4"/>
      <c r="AI55" s="4"/>
      <c r="AJ55" s="4"/>
      <c r="AK55" s="4"/>
      <c r="AL55" s="4"/>
      <c r="AM55" s="4" t="str">
        <f>IFERROR(__xludf.DUMMYFUNCTION("""COMPUTED_VALUE"""),"FY27")</f>
        <v>FY27</v>
      </c>
      <c r="AN55" s="4"/>
      <c r="AO55" s="4">
        <f>IFERROR(__xludf.DUMMYFUNCTION("""COMPUTED_VALUE"""),45553.0)</f>
        <v>45553</v>
      </c>
      <c r="AP55" s="4" t="str">
        <f>IFERROR(__xludf.DUMMYFUNCTION("""COMPUTED_VALUE"""),"SP")</f>
        <v>SP</v>
      </c>
      <c r="AQ55" s="4" t="str">
        <f>IFERROR(__xludf.DUMMYFUNCTION("""COMPUTED_VALUE"""),"ISADORA GARCIA")</f>
        <v>ISADORA GARCIA</v>
      </c>
      <c r="AR55" s="4" t="str">
        <f>IFERROR(__xludf.DUMMYFUNCTION("""COMPUTED_VALUE"""),"FELIPE ABEZERRA")</f>
        <v>FELIPE ABEZERRA</v>
      </c>
      <c r="AS55" s="4" t="str">
        <f>IFERROR(__xludf.DUMMYFUNCTION("""COMPUTED_VALUE"""),"NATHALIE MERTENS")</f>
        <v>NATHALIE MERTENS</v>
      </c>
      <c r="AT55" s="4" t="str">
        <f>IFERROR(__xludf.DUMMYFUNCTION("""COMPUTED_VALUE"""),"MATHEUS LESSA")</f>
        <v>MATHEUS LESSA</v>
      </c>
      <c r="AU55" s="4">
        <f>IFERROR(__xludf.DUMMYFUNCTION("""COMPUTED_VALUE"""),0.0)</f>
        <v>0</v>
      </c>
      <c r="AV55" s="4">
        <f>IFERROR(__xludf.DUMMYFUNCTION("""COMPUTED_VALUE"""),0.0)</f>
        <v>0</v>
      </c>
      <c r="AW55" s="4">
        <f>IFERROR(__xludf.DUMMYFUNCTION("""COMPUTED_VALUE"""),0.0)</f>
        <v>0</v>
      </c>
      <c r="AX55" s="4">
        <f>IFERROR(__xludf.DUMMYFUNCTION("""COMPUTED_VALUE"""),0.0)</f>
        <v>0</v>
      </c>
      <c r="AY55" s="4"/>
      <c r="AZ55" s="4" t="str">
        <f>IFERROR(__xludf.DUMMYFUNCTION("""COMPUTED_VALUE"""),"Lanches")</f>
        <v>Lanches</v>
      </c>
      <c r="BA55" s="4">
        <f>IFERROR(__xludf.DUMMYFUNCTION("""COMPUTED_VALUE"""),65.0)</f>
        <v>65</v>
      </c>
      <c r="BB55" s="12" t="str">
        <f>IFERROR(__xludf.DUMMYFUNCTION("""COMPUTED_VALUE"""),"Fast Casual - Hamburgueria Artesanal")</f>
        <v>Fast Casual - Hamburgueria Artesanal</v>
      </c>
      <c r="BC55" s="4" t="str">
        <f>IFERROR(__xludf.DUMMYFUNCTION("""COMPUTED_VALUE"""),"Regional")</f>
        <v>Regional</v>
      </c>
      <c r="BD55" s="4" t="str">
        <f>IFERROR(__xludf.DUMMYFUNCTION("""COMPUTED_VALUE"""),"Dado não disponível - Necessário Discovery")</f>
        <v>Dado não disponível - Necessário Discovery</v>
      </c>
      <c r="BE55" s="4">
        <f>IFERROR(__xludf.DUMMYFUNCTION("""COMPUTED_VALUE"""),65.0)</f>
        <v>65</v>
      </c>
      <c r="BF55" s="13">
        <f>IFERROR(__xludf.DUMMYFUNCTION("""COMPUTED_VALUE"""),0.75)</f>
        <v>0.75</v>
      </c>
      <c r="BG5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55" s="4" t="s">
        <v>63</v>
      </c>
      <c r="BI55" s="7" t="s">
        <v>63</v>
      </c>
    </row>
    <row r="56" hidden="1">
      <c r="A56" s="4" t="str">
        <f>IFERROR(__xludf.DUMMYFUNCTION("""COMPUTED_VALUE"""),"CHICKEN TOWN")</f>
        <v>CHICKEN TOWN</v>
      </c>
      <c r="B56" s="4" t="str">
        <f>IFERROR(__xludf.DUMMYFUNCTION("""COMPUTED_VALUE"""),"Lídia Esteves")</f>
        <v>Lídia Esteves</v>
      </c>
      <c r="C56" s="4" t="str">
        <f>IFERROR(__xludf.DUMMYFUNCTION("""COMPUTED_VALUE"""),"Gabriela Roma")</f>
        <v>Gabriela Roma</v>
      </c>
      <c r="D56" s="4" t="str">
        <f>IFERROR(__xludf.DUMMYFUNCTION("""COMPUTED_VALUE"""),"1. Iniciado")</f>
        <v>1. Iniciado</v>
      </c>
      <c r="E56" s="4" t="str">
        <f>IFERROR(__xludf.DUMMYFUNCTION("""COMPUTED_VALUE"""),"Delivery - Aguardando retorno / Conciliação agenda")</f>
        <v>Delivery - Aguardando retorno / Conciliação agenda</v>
      </c>
      <c r="F56" s="4" t="str">
        <f>IFERROR(__xludf.DUMMYFUNCTION("""COMPUTED_VALUE"""),"P")</f>
        <v>P</v>
      </c>
      <c r="G56" s="4"/>
      <c r="H56" s="4"/>
      <c r="I56" s="6">
        <f>IFERROR(__xludf.DUMMYFUNCTION("""COMPUTED_VALUE"""),46121.67413471064)</f>
        <v>46121.67413</v>
      </c>
      <c r="J56" s="4"/>
      <c r="K56" s="4"/>
      <c r="L56" s="4"/>
      <c r="M56" s="4"/>
      <c r="N56" s="4"/>
      <c r="O56" s="4"/>
      <c r="P56" s="4"/>
      <c r="Q56" s="4"/>
      <c r="R56" s="4"/>
      <c r="S56" s="4"/>
      <c r="T56" s="4"/>
      <c r="U56" s="4"/>
      <c r="V56" s="4"/>
      <c r="W56" s="4"/>
      <c r="X56" s="4"/>
      <c r="Y56" s="4"/>
      <c r="Z56" s="4"/>
      <c r="AA56" s="4">
        <f>IFERROR(__xludf.DUMMYFUNCTION("""COMPUTED_VALUE"""),1.0)</f>
        <v>1</v>
      </c>
      <c r="AB56" s="4" t="str">
        <f>IFERROR(__xludf.DUMMYFUNCTION("""COMPUTED_VALUE"""),"CE")</f>
        <v>CE</v>
      </c>
      <c r="AC56" s="4" t="str">
        <f>IFERROR(__xludf.DUMMYFUNCTION("""COMPUTED_VALUE"""),"Sim")</f>
        <v>Sim</v>
      </c>
      <c r="AD56" s="4" t="str">
        <f>IFERROR(__xludf.DUMMYFUNCTION("""COMPUTED_VALUE"""),"Ifood")</f>
        <v>Ifood</v>
      </c>
      <c r="AE56" s="4"/>
      <c r="AF56" s="4"/>
      <c r="AG56" s="4"/>
      <c r="AH56" s="4"/>
      <c r="AI56" s="4"/>
      <c r="AJ56" s="4"/>
      <c r="AK56" s="4"/>
      <c r="AL56" s="4"/>
      <c r="AM56" s="4" t="str">
        <f>IFERROR(__xludf.DUMMYFUNCTION("""COMPUTED_VALUE"""),"FY27")</f>
        <v>FY27</v>
      </c>
      <c r="AN56" s="4"/>
      <c r="AO56" s="4">
        <f>IFERROR(__xludf.DUMMYFUNCTION("""COMPUTED_VALUE"""),45553.0)</f>
        <v>45553</v>
      </c>
      <c r="AP56" s="4" t="str">
        <f>IFERROR(__xludf.DUMMYFUNCTION("""COMPUTED_VALUE"""),"SP")</f>
        <v>SP</v>
      </c>
      <c r="AQ56" s="4" t="str">
        <f>IFERROR(__xludf.DUMMYFUNCTION("""COMPUTED_VALUE"""),"ISADORA GARCIA")</f>
        <v>ISADORA GARCIA</v>
      </c>
      <c r="AR56" s="4" t="str">
        <f>IFERROR(__xludf.DUMMYFUNCTION("""COMPUTED_VALUE"""),"GUSTAVO THOMPSON")</f>
        <v>GUSTAVO THOMPSON</v>
      </c>
      <c r="AS56" s="4" t="str">
        <f>IFERROR(__xludf.DUMMYFUNCTION("""COMPUTED_VALUE"""),"NATHALIE MERTENS")</f>
        <v>NATHALIE MERTENS</v>
      </c>
      <c r="AT56" s="4" t="str">
        <f>IFERROR(__xludf.DUMMYFUNCTION("""COMPUTED_VALUE"""),"MATHEUS LESSA")</f>
        <v>MATHEUS LESSA</v>
      </c>
      <c r="AU56" s="4">
        <f>IFERROR(__xludf.DUMMYFUNCTION("""COMPUTED_VALUE"""),0.0)</f>
        <v>0</v>
      </c>
      <c r="AV56" s="4">
        <f>IFERROR(__xludf.DUMMYFUNCTION("""COMPUTED_VALUE"""),0.0)</f>
        <v>0</v>
      </c>
      <c r="AW56" s="4">
        <f>IFERROR(__xludf.DUMMYFUNCTION("""COMPUTED_VALUE"""),0.0)</f>
        <v>0</v>
      </c>
      <c r="AX56" s="4">
        <f>IFERROR(__xludf.DUMMYFUNCTION("""COMPUTED_VALUE"""),0.0)</f>
        <v>0</v>
      </c>
      <c r="AY56" s="4"/>
      <c r="AZ56" s="4" t="str">
        <f>IFERROR(__xludf.DUMMYFUNCTION("""COMPUTED_VALUE"""),"Lanches")</f>
        <v>Lanches</v>
      </c>
      <c r="BA56" s="4">
        <f>IFERROR(__xludf.DUMMYFUNCTION("""COMPUTED_VALUE"""),45.0)</f>
        <v>45</v>
      </c>
      <c r="BB56" s="4" t="str">
        <f>IFERROR(__xludf.DUMMYFUNCTION("""COMPUTED_VALUE"""),"QSR - Frango Frito")</f>
        <v>QSR - Frango Frito</v>
      </c>
      <c r="BC56" s="4" t="str">
        <f>IFERROR(__xludf.DUMMYFUNCTION("""COMPUTED_VALUE"""),"Regional")</f>
        <v>Regional</v>
      </c>
      <c r="BD56" s="4" t="str">
        <f>IFERROR(__xludf.DUMMYFUNCTION("""COMPUTED_VALUE"""),"Dado não disponível - Necessário Discovery")</f>
        <v>Dado não disponível - Necessário Discovery</v>
      </c>
      <c r="BE56" s="4">
        <f>IFERROR(__xludf.DUMMYFUNCTION("""COMPUTED_VALUE"""),70.0)</f>
        <v>70</v>
      </c>
      <c r="BF56" s="4">
        <f>IFERROR(__xludf.DUMMYFUNCTION("""COMPUTED_VALUE"""),0.85)</f>
        <v>0.85</v>
      </c>
      <c r="BG56"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56" s="4" t="s">
        <v>64</v>
      </c>
      <c r="BI56" s="7">
        <v>0.7272727272727273</v>
      </c>
    </row>
    <row r="57" hidden="1">
      <c r="A57" s="4" t="str">
        <f>IFERROR(__xludf.DUMMYFUNCTION("""COMPUTED_VALUE"""),"CHILI BURGER HAMBURGUERIA ARTESANAL")</f>
        <v>CHILI BURGER HAMBURGUERIA ARTESANAL</v>
      </c>
      <c r="B57" s="4" t="str">
        <f>IFERROR(__xludf.DUMMYFUNCTION("""COMPUTED_VALUE"""),"João Biagiotti")</f>
        <v>João Biagiotti</v>
      </c>
      <c r="C57" s="4" t="str">
        <f>IFERROR(__xludf.DUMMYFUNCTION("""COMPUTED_VALUE"""),"Diego Santos")</f>
        <v>Diego Santos</v>
      </c>
      <c r="D57" s="4" t="str">
        <f>IFERROR(__xludf.DUMMYFUNCTION("""COMPUTED_VALUE"""),"0. Não Iniciado")</f>
        <v>0. Não Iniciado</v>
      </c>
      <c r="E57" s="4"/>
      <c r="F57" s="4" t="str">
        <f>IFERROR(__xludf.DUMMYFUNCTION("""COMPUTED_VALUE"""),"P")</f>
        <v>P</v>
      </c>
      <c r="G57" s="4"/>
      <c r="H57" s="4"/>
      <c r="I57" s="4"/>
      <c r="J57" s="4"/>
      <c r="K57" s="4"/>
      <c r="L57" s="4"/>
      <c r="M57" s="4"/>
      <c r="N57" s="4"/>
      <c r="O57" s="4"/>
      <c r="P57" s="4"/>
      <c r="Q57" s="4"/>
      <c r="R57" s="4"/>
      <c r="S57" s="4"/>
      <c r="T57" s="4"/>
      <c r="U57" s="4"/>
      <c r="V57" s="4"/>
      <c r="W57" s="4"/>
      <c r="X57" s="4"/>
      <c r="Y57" s="4"/>
      <c r="Z57" s="4"/>
      <c r="AA57" s="4">
        <f>IFERROR(__xludf.DUMMYFUNCTION("""COMPUTED_VALUE"""),10.0)</f>
        <v>10</v>
      </c>
      <c r="AB57" s="14" t="str">
        <f>IFERROR(__xludf.DUMMYFUNCTION("""COMPUTED_VALUE"""),"CE")</f>
        <v>CE</v>
      </c>
      <c r="AC57" s="4" t="str">
        <f>IFERROR(__xludf.DUMMYFUNCTION("""COMPUTED_VALUE"""),"Sim")</f>
        <v>Sim</v>
      </c>
      <c r="AD57" s="4">
        <f>IFERROR(__xludf.DUMMYFUNCTION("""COMPUTED_VALUE"""),0.0)</f>
        <v>0</v>
      </c>
      <c r="AE57" s="4"/>
      <c r="AF57" s="4"/>
      <c r="AG57" s="4"/>
      <c r="AH57" s="4"/>
      <c r="AI57" s="4"/>
      <c r="AJ57" s="4"/>
      <c r="AK57" s="4"/>
      <c r="AL57" s="4"/>
      <c r="AM57" s="4" t="str">
        <f>IFERROR(__xludf.DUMMYFUNCTION("""COMPUTED_VALUE"""),"FY27")</f>
        <v>FY27</v>
      </c>
      <c r="AN57" s="4"/>
      <c r="AO57" s="4">
        <f>IFERROR(__xludf.DUMMYFUNCTION("""COMPUTED_VALUE"""),45553.0)</f>
        <v>45553</v>
      </c>
      <c r="AP57" s="4">
        <f>IFERROR(__xludf.DUMMYFUNCTION("""COMPUTED_VALUE"""),0.0)</f>
        <v>0</v>
      </c>
      <c r="AQ57" s="4">
        <f>IFERROR(__xludf.DUMMYFUNCTION("""COMPUTED_VALUE"""),0.0)</f>
        <v>0</v>
      </c>
      <c r="AR57" s="4">
        <f>IFERROR(__xludf.DUMMYFUNCTION("""COMPUTED_VALUE"""),0.0)</f>
        <v>0</v>
      </c>
      <c r="AS57" s="4">
        <f>IFERROR(__xludf.DUMMYFUNCTION("""COMPUTED_VALUE"""),0.0)</f>
        <v>0</v>
      </c>
      <c r="AT57" s="4">
        <f>IFERROR(__xludf.DUMMYFUNCTION("""COMPUTED_VALUE"""),0.0)</f>
        <v>0</v>
      </c>
      <c r="AU57" s="4">
        <f>IFERROR(__xludf.DUMMYFUNCTION("""COMPUTED_VALUE"""),0.0)</f>
        <v>0</v>
      </c>
      <c r="AV57" s="4">
        <f>IFERROR(__xludf.DUMMYFUNCTION("""COMPUTED_VALUE"""),0.0)</f>
        <v>0</v>
      </c>
      <c r="AW57" s="4">
        <f>IFERROR(__xludf.DUMMYFUNCTION("""COMPUTED_VALUE"""),0.0)</f>
        <v>0</v>
      </c>
      <c r="AX57" s="4">
        <f>IFERROR(__xludf.DUMMYFUNCTION("""COMPUTED_VALUE"""),0.0)</f>
        <v>0</v>
      </c>
      <c r="AY57" s="4" t="str">
        <f>IFERROR(__xludf.DUMMYFUNCTION("""COMPUTED_VALUE"""),"Expresso Delivery")</f>
        <v>Expresso Delivery</v>
      </c>
      <c r="AZ57" s="4" t="str">
        <f>IFERROR(__xludf.DUMMYFUNCTION("""COMPUTED_VALUE"""),"NA")</f>
        <v>NA</v>
      </c>
      <c r="BA57" s="4">
        <f>IFERROR(__xludf.DUMMYFUNCTION("""COMPUTED_VALUE"""),74.0)</f>
        <v>74</v>
      </c>
      <c r="BB57" s="12" t="str">
        <f>IFERROR(__xludf.DUMMYFUNCTION("""COMPUTED_VALUE"""),"Fast Casual - Hamburgueria")</f>
        <v>Fast Casual - Hamburgueria</v>
      </c>
      <c r="BC57" s="4" t="str">
        <f>IFERROR(__xludf.DUMMYFUNCTION("""COMPUTED_VALUE"""),"Sul")</f>
        <v>Sul</v>
      </c>
      <c r="BD57" s="4" t="str">
        <f>IFERROR(__xludf.DUMMYFUNCTION("""COMPUTED_VALUE"""),"Dado não disponível publicamente - Necessário Discovery")</f>
        <v>Dado não disponível publicamente - Necessário Discovery</v>
      </c>
      <c r="BE57" s="4">
        <f>IFERROR(__xludf.DUMMYFUNCTION("""COMPUTED_VALUE"""),70.0)</f>
        <v>70</v>
      </c>
      <c r="BF57" s="13">
        <f>IFERROR(__xludf.DUMMYFUNCTION("""COMPUTED_VALUE"""),0.75)</f>
        <v>0.75</v>
      </c>
      <c r="BG5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57" s="4" t="s">
        <v>64</v>
      </c>
      <c r="BI57" s="7">
        <v>1.0</v>
      </c>
    </row>
    <row r="58" hidden="1">
      <c r="A58" s="4" t="str">
        <f>IFERROR(__xludf.DUMMYFUNCTION("""COMPUTED_VALUE"""),"CHOPP DA FABRICA")</f>
        <v>CHOPP DA FABRICA</v>
      </c>
      <c r="B58" s="4" t="str">
        <f>IFERROR(__xludf.DUMMYFUNCTION("""COMPUTED_VALUE"""),"João Biagiotti")</f>
        <v>João Biagiotti</v>
      </c>
      <c r="C58" s="4" t="str">
        <f>IFERROR(__xludf.DUMMYFUNCTION("""COMPUTED_VALUE"""),"Diego Santos")</f>
        <v>Diego Santos</v>
      </c>
      <c r="D58" s="4" t="str">
        <f>IFERROR(__xludf.DUMMYFUNCTION("""COMPUTED_VALUE"""),"1. Iniciado")</f>
        <v>1. Iniciado</v>
      </c>
      <c r="E58" s="4" t="str">
        <f>IFERROR(__xludf.DUMMYFUNCTION("""COMPUTED_VALUE"""),"Delivery - Conciliação agenda com parceiro")</f>
        <v>Delivery - Conciliação agenda com parceiro</v>
      </c>
      <c r="F58" s="4" t="str">
        <f>IFERROR(__xludf.DUMMYFUNCTION("""COMPUTED_VALUE"""),"P")</f>
        <v>P</v>
      </c>
      <c r="G58" s="5">
        <f>IFERROR(__xludf.DUMMYFUNCTION("""COMPUTED_VALUE"""),46125.0)</f>
        <v>46125</v>
      </c>
      <c r="H58" s="4" t="str">
        <f>IFERROR(__xludf.DUMMYFUNCTION("""COMPUTED_VALUE"""),"Time de delivery ofertou SAIPOS mas 3S faz sentido, aguardando  conciliação de agenda")</f>
        <v>Time de delivery ofertou SAIPOS mas 3S faz sentido, aguardando  conciliação de agenda</v>
      </c>
      <c r="I58" s="6">
        <f>IFERROR(__xludf.DUMMYFUNCTION("""COMPUTED_VALUE"""),46125.58500554398)</f>
        <v>46125.58501</v>
      </c>
      <c r="J58" s="4"/>
      <c r="K58" s="4"/>
      <c r="L58" s="4"/>
      <c r="M58" s="4"/>
      <c r="N58" s="4"/>
      <c r="O58" s="4"/>
      <c r="P58" s="4"/>
      <c r="Q58" s="4"/>
      <c r="R58" s="4"/>
      <c r="S58" s="4"/>
      <c r="T58" s="4"/>
      <c r="U58" s="4"/>
      <c r="V58" s="4"/>
      <c r="W58" s="4"/>
      <c r="X58" s="4"/>
      <c r="Y58" s="4"/>
      <c r="Z58" s="4"/>
      <c r="AA58" s="4">
        <f>IFERROR(__xludf.DUMMYFUNCTION("""COMPUTED_VALUE"""),5.0)</f>
        <v>5</v>
      </c>
      <c r="AB58" s="4" t="str">
        <f>IFERROR(__xludf.DUMMYFUNCTION("""COMPUTED_VALUE"""),"CE")</f>
        <v>CE</v>
      </c>
      <c r="AC58" s="4" t="str">
        <f>IFERROR(__xludf.DUMMYFUNCTION("""COMPUTED_VALUE"""),"Sim")</f>
        <v>Sim</v>
      </c>
      <c r="AD58" s="4" t="str">
        <f>IFERROR(__xludf.DUMMYFUNCTION("""COMPUTED_VALUE"""),"Ifood")</f>
        <v>Ifood</v>
      </c>
      <c r="AE58" s="4"/>
      <c r="AF58" s="4"/>
      <c r="AG58" s="4"/>
      <c r="AH58" s="4">
        <f>IFERROR(__xludf.DUMMYFUNCTION("""COMPUTED_VALUE"""),5.0)</f>
        <v>5</v>
      </c>
      <c r="AI58" s="4"/>
      <c r="AJ58" s="4" t="str">
        <f>IFERROR(__xludf.DUMMYFUNCTION("""COMPUTED_VALUE"""),"SAIPOS")</f>
        <v>SAIPOS</v>
      </c>
      <c r="AK58" s="4" t="str">
        <f>IFERROR(__xludf.DUMMYFUNCTION("""COMPUTED_VALUE"""),"Salão / Delivery")</f>
        <v>Salão / Delivery</v>
      </c>
      <c r="AL58" s="4" t="str">
        <f>IFERROR(__xludf.DUMMYFUNCTION("""COMPUTED_VALUE"""),"Sim")</f>
        <v>Sim</v>
      </c>
      <c r="AM58" s="4" t="str">
        <f>IFERROR(__xludf.DUMMYFUNCTION("""COMPUTED_VALUE"""),"FY27")</f>
        <v>FY27</v>
      </c>
      <c r="AN58" s="4"/>
      <c r="AO58" s="4">
        <f>IFERROR(__xludf.DUMMYFUNCTION("""COMPUTED_VALUE"""),90.0)</f>
        <v>90</v>
      </c>
      <c r="AP58" s="4" t="str">
        <f>IFERROR(__xludf.DUMMYFUNCTION("""COMPUTED_VALUE"""),"MG")</f>
        <v>MG</v>
      </c>
      <c r="AQ58" s="4" t="str">
        <f>IFERROR(__xludf.DUMMYFUNCTION("""COMPUTED_VALUE"""),"JOAO BAR")</f>
        <v>JOAO BAR</v>
      </c>
      <c r="AR58" s="4" t="str">
        <f>IFERROR(__xludf.DUMMYFUNCTION("""COMPUTED_VALUE"""),"ARTHUR TAVARES")</f>
        <v>ARTHUR TAVARES</v>
      </c>
      <c r="AS58" s="4" t="str">
        <f>IFERROR(__xludf.DUMMYFUNCTION("""COMPUTED_VALUE"""),"FABIO DONATO")</f>
        <v>FABIO DONATO</v>
      </c>
      <c r="AT58" s="4" t="str">
        <f>IFERROR(__xludf.DUMMYFUNCTION("""COMPUTED_VALUE"""),"GILSON JUNIOR")</f>
        <v>GILSON JUNIOR</v>
      </c>
      <c r="AU58" s="4">
        <f>IFERROR(__xludf.DUMMYFUNCTION("""COMPUTED_VALUE"""),0.0)</f>
        <v>0</v>
      </c>
      <c r="AV58" s="4">
        <f>IFERROR(__xludf.DUMMYFUNCTION("""COMPUTED_VALUE"""),0.0)</f>
        <v>0</v>
      </c>
      <c r="AW58" s="4">
        <f>IFERROR(__xludf.DUMMYFUNCTION("""COMPUTED_VALUE"""),0.0)</f>
        <v>0</v>
      </c>
      <c r="AX58" s="4">
        <f>IFERROR(__xludf.DUMMYFUNCTION("""COMPUTED_VALUE"""),0.0)</f>
        <v>0</v>
      </c>
      <c r="AY58" s="4" t="str">
        <f>IFERROR(__xludf.DUMMYFUNCTION("""COMPUTED_VALUE"""),"Teknisa Service Ltda")</f>
        <v>Teknisa Service Ltda</v>
      </c>
      <c r="AZ58" s="4" t="str">
        <f>IFERROR(__xludf.DUMMYFUNCTION("""COMPUTED_VALUE"""),"Brasileira")</f>
        <v>Brasileira</v>
      </c>
      <c r="BA58" s="4" t="str">
        <f>IFERROR(__xludf.DUMMYFUNCTION("""COMPUTED_VALUE"""),"")</f>
        <v/>
      </c>
      <c r="BB58" s="4" t="str">
        <f>IFERROR(__xludf.DUMMYFUNCTION("""COMPUTED_VALUE"""),"")</f>
        <v/>
      </c>
      <c r="BC58" s="4" t="str">
        <f>IFERROR(__xludf.DUMMYFUNCTION("""COMPUTED_VALUE"""),"")</f>
        <v/>
      </c>
      <c r="BD58" s="4" t="str">
        <f>IFERROR(__xludf.DUMMYFUNCTION("""COMPUTED_VALUE"""),"")</f>
        <v/>
      </c>
      <c r="BE58" s="4" t="str">
        <f>IFERROR(__xludf.DUMMYFUNCTION("""COMPUTED_VALUE"""),"")</f>
        <v/>
      </c>
      <c r="BF58" s="4" t="str">
        <f>IFERROR(__xludf.DUMMYFUNCTION("""COMPUTED_VALUE"""),"")</f>
        <v/>
      </c>
      <c r="BG58" s="4" t="str">
        <f>IFERROR(__xludf.DUMMYFUNCTION("""COMPUTED_VALUE"""),"")</f>
        <v/>
      </c>
      <c r="BH58" s="4" t="s">
        <v>82</v>
      </c>
      <c r="BI58" s="7">
        <v>0.6666666666666666</v>
      </c>
    </row>
    <row r="59" hidden="1">
      <c r="A59" s="4" t="str">
        <f>IFERROR(__xludf.DUMMYFUNCTION("""COMPUTED_VALUE"""),"COME ON BURGER")</f>
        <v>COME ON BURGER</v>
      </c>
      <c r="B59" s="4" t="str">
        <f>IFERROR(__xludf.DUMMYFUNCTION("""COMPUTED_VALUE"""),"Lídia Esteves")</f>
        <v>Lídia Esteves</v>
      </c>
      <c r="C59" s="4" t="str">
        <f>IFERROR(__xludf.DUMMYFUNCTION("""COMPUTED_VALUE"""),"Gabriela Roma")</f>
        <v>Gabriela Roma</v>
      </c>
      <c r="D59" s="4" t="str">
        <f>IFERROR(__xludf.DUMMYFUNCTION("""COMPUTED_VALUE"""),"0. Não Iniciado")</f>
        <v>0. Não Iniciado</v>
      </c>
      <c r="E59" s="4"/>
      <c r="F59" s="4" t="str">
        <f>IFERROR(__xludf.DUMMYFUNCTION("""COMPUTED_VALUE"""),"P")</f>
        <v>P</v>
      </c>
      <c r="G59" s="4"/>
      <c r="H59" s="4"/>
      <c r="I59" s="4"/>
      <c r="J59" s="4"/>
      <c r="K59" s="4"/>
      <c r="L59" s="4"/>
      <c r="M59" s="4"/>
      <c r="N59" s="4"/>
      <c r="O59" s="4"/>
      <c r="P59" s="4"/>
      <c r="Q59" s="4"/>
      <c r="R59" s="4"/>
      <c r="S59" s="4"/>
      <c r="T59" s="4"/>
      <c r="U59" s="4"/>
      <c r="V59" s="4"/>
      <c r="W59" s="4"/>
      <c r="X59" s="4"/>
      <c r="Y59" s="4"/>
      <c r="Z59" s="4"/>
      <c r="AA59" s="4">
        <f>IFERROR(__xludf.DUMMYFUNCTION("""COMPUTED_VALUE"""),5.0)</f>
        <v>5</v>
      </c>
      <c r="AB59" s="14" t="str">
        <f>IFERROR(__xludf.DUMMYFUNCTION("""COMPUTED_VALUE"""),"CE")</f>
        <v>CE</v>
      </c>
      <c r="AC59" s="4" t="str">
        <f>IFERROR(__xludf.DUMMYFUNCTION("""COMPUTED_VALUE"""),"Sim")</f>
        <v>Sim</v>
      </c>
      <c r="AD59" s="4" t="str">
        <f>IFERROR(__xludf.DUMMYFUNCTION("""COMPUTED_VALUE"""),"Ifood")</f>
        <v>Ifood</v>
      </c>
      <c r="AE59" s="4"/>
      <c r="AF59" s="4"/>
      <c r="AG59" s="4"/>
      <c r="AH59" s="4"/>
      <c r="AI59" s="4"/>
      <c r="AJ59" s="4"/>
      <c r="AK59" s="4"/>
      <c r="AL59" s="4"/>
      <c r="AM59" s="4" t="str">
        <f>IFERROR(__xludf.DUMMYFUNCTION("""COMPUTED_VALUE"""),"FY27")</f>
        <v>FY27</v>
      </c>
      <c r="AN59" s="4"/>
      <c r="AO59" s="4">
        <f>IFERROR(__xludf.DUMMYFUNCTION("""COMPUTED_VALUE"""),45553.0)</f>
        <v>45553</v>
      </c>
      <c r="AP59" s="4" t="str">
        <f>IFERROR(__xludf.DUMMYFUNCTION("""COMPUTED_VALUE"""),"SP")</f>
        <v>SP</v>
      </c>
      <c r="AQ59" s="4" t="str">
        <f>IFERROR(__xludf.DUMMYFUNCTION("""COMPUTED_VALUE"""),"ISADORA GARCIA")</f>
        <v>ISADORA GARCIA</v>
      </c>
      <c r="AR59" s="4" t="str">
        <f>IFERROR(__xludf.DUMMYFUNCTION("""COMPUTED_VALUE"""),"CARLA ARAUJO")</f>
        <v>CARLA ARAUJO</v>
      </c>
      <c r="AS59" s="4" t="str">
        <f>IFERROR(__xludf.DUMMYFUNCTION("""COMPUTED_VALUE"""),"NATHALIE MERTENS")</f>
        <v>NATHALIE MERTENS</v>
      </c>
      <c r="AT59" s="4" t="str">
        <f>IFERROR(__xludf.DUMMYFUNCTION("""COMPUTED_VALUE"""),"MATHEUS LESSA")</f>
        <v>MATHEUS LESSA</v>
      </c>
      <c r="AU59" s="4">
        <f>IFERROR(__xludf.DUMMYFUNCTION("""COMPUTED_VALUE"""),0.0)</f>
        <v>0</v>
      </c>
      <c r="AV59" s="4">
        <f>IFERROR(__xludf.DUMMYFUNCTION("""COMPUTED_VALUE"""),0.0)</f>
        <v>0</v>
      </c>
      <c r="AW59" s="4">
        <f>IFERROR(__xludf.DUMMYFUNCTION("""COMPUTED_VALUE"""),0.0)</f>
        <v>0</v>
      </c>
      <c r="AX59" s="4">
        <f>IFERROR(__xludf.DUMMYFUNCTION("""COMPUTED_VALUE"""),0.0)</f>
        <v>0</v>
      </c>
      <c r="AY59" s="4"/>
      <c r="AZ59" s="4" t="str">
        <f>IFERROR(__xludf.DUMMYFUNCTION("""COMPUTED_VALUE"""),"Lanches")</f>
        <v>Lanches</v>
      </c>
      <c r="BA59" s="4">
        <f>IFERROR(__xludf.DUMMYFUNCTION("""COMPUTED_VALUE"""),66.0)</f>
        <v>66</v>
      </c>
      <c r="BB59" s="12" t="str">
        <f>IFERROR(__xludf.DUMMYFUNCTION("""COMPUTED_VALUE"""),"Fast Casual - Hamburgueria")</f>
        <v>Fast Casual - Hamburgueria</v>
      </c>
      <c r="BC59" s="4" t="str">
        <f>IFERROR(__xludf.DUMMYFUNCTION("""COMPUTED_VALUE"""),"Regional")</f>
        <v>Regional</v>
      </c>
      <c r="BD59" s="4" t="str">
        <f>IFERROR(__xludf.DUMMYFUNCTION("""COMPUTED_VALUE"""),"Dado não disponível publicamente - Necessário Discovery")</f>
        <v>Dado não disponível publicamente - Necessário Discovery</v>
      </c>
      <c r="BE59" s="4">
        <f>IFERROR(__xludf.DUMMYFUNCTION("""COMPUTED_VALUE"""),70.0)</f>
        <v>70</v>
      </c>
      <c r="BF59" s="13">
        <f>IFERROR(__xludf.DUMMYFUNCTION("""COMPUTED_VALUE"""),0.8)</f>
        <v>0.8</v>
      </c>
      <c r="BG59"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59" s="4" t="s">
        <v>63</v>
      </c>
      <c r="BI59" s="7" t="s">
        <v>63</v>
      </c>
    </row>
    <row r="60" hidden="1">
      <c r="A60" s="4" t="str">
        <f>IFERROR(__xludf.DUMMYFUNCTION("""COMPUTED_VALUE"""),"CONECTA KITCHEN")</f>
        <v>CONECTA KITCHEN</v>
      </c>
      <c r="B60" s="4" t="str">
        <f>IFERROR(__xludf.DUMMYFUNCTION("""COMPUTED_VALUE"""),"João Biagiotti")</f>
        <v>João Biagiotti</v>
      </c>
      <c r="C60" s="4" t="str">
        <f>IFERROR(__xludf.DUMMYFUNCTION("""COMPUTED_VALUE"""),"Diego Santos")</f>
        <v>Diego Santos</v>
      </c>
      <c r="D60" s="4" t="str">
        <f>IFERROR(__xludf.DUMMYFUNCTION("""COMPUTED_VALUE"""),"0. Não Iniciado")</f>
        <v>0. Não Iniciado</v>
      </c>
      <c r="E60" s="4"/>
      <c r="F60" s="4" t="str">
        <f>IFERROR(__xludf.DUMMYFUNCTION("""COMPUTED_VALUE"""),"P")</f>
        <v>P</v>
      </c>
      <c r="G60" s="4"/>
      <c r="H60" s="4"/>
      <c r="I60" s="4"/>
      <c r="J60" s="4"/>
      <c r="K60" s="4"/>
      <c r="L60" s="4"/>
      <c r="M60" s="4"/>
      <c r="N60" s="4"/>
      <c r="O60" s="4"/>
      <c r="P60" s="4"/>
      <c r="Q60" s="4"/>
      <c r="R60" s="4"/>
      <c r="S60" s="4"/>
      <c r="T60" s="4"/>
      <c r="U60" s="4"/>
      <c r="V60" s="4"/>
      <c r="W60" s="4"/>
      <c r="X60" s="4"/>
      <c r="Y60" s="4"/>
      <c r="Z60" s="4"/>
      <c r="AA60" s="4">
        <f>IFERROR(__xludf.DUMMYFUNCTION("""COMPUTED_VALUE"""),10.0)</f>
        <v>10</v>
      </c>
      <c r="AB60" s="4" t="str">
        <f>IFERROR(__xludf.DUMMYFUNCTION("""COMPUTED_VALUE"""),"CE")</f>
        <v>CE</v>
      </c>
      <c r="AC60" s="4" t="str">
        <f>IFERROR(__xludf.DUMMYFUNCTION("""COMPUTED_VALUE"""),"Sim")</f>
        <v>Sim</v>
      </c>
      <c r="AD60" s="4" t="str">
        <f>IFERROR(__xludf.DUMMYFUNCTION("""COMPUTED_VALUE"""),"Ifood")</f>
        <v>Ifood</v>
      </c>
      <c r="AE60" s="4"/>
      <c r="AF60" s="4"/>
      <c r="AG60" s="4"/>
      <c r="AH60" s="4"/>
      <c r="AI60" s="4"/>
      <c r="AJ60" s="4"/>
      <c r="AK60" s="4"/>
      <c r="AL60" s="4"/>
      <c r="AM60" s="4" t="str">
        <f>IFERROR(__xludf.DUMMYFUNCTION("""COMPUTED_VALUE"""),"FY27")</f>
        <v>FY27</v>
      </c>
      <c r="AN60" s="4"/>
      <c r="AO60" s="4">
        <f>IFERROR(__xludf.DUMMYFUNCTION("""COMPUTED_VALUE"""),45553.0)</f>
        <v>45553</v>
      </c>
      <c r="AP60" s="4" t="str">
        <f>IFERROR(__xludf.DUMMYFUNCTION("""COMPUTED_VALUE"""),"PE")</f>
        <v>PE</v>
      </c>
      <c r="AQ60" s="4" t="str">
        <f>IFERROR(__xludf.DUMMYFUNCTION("""COMPUTED_VALUE"""),"JENNIFER SIQUEIRA")</f>
        <v>JENNIFER SIQUEIRA</v>
      </c>
      <c r="AR60" s="4" t="str">
        <f>IFERROR(__xludf.DUMMYFUNCTION("""COMPUTED_VALUE"""),"NEYDAIANE VIEIRA")</f>
        <v>NEYDAIANE VIEIRA</v>
      </c>
      <c r="AS60" s="4" t="str">
        <f>IFERROR(__xludf.DUMMYFUNCTION("""COMPUTED_VALUE"""),"THIAGO ROMAGNOLE")</f>
        <v>THIAGO ROMAGNOLE</v>
      </c>
      <c r="AT60" s="4" t="str">
        <f>IFERROR(__xludf.DUMMYFUNCTION("""COMPUTED_VALUE"""),"ANDERSON LAUREANO")</f>
        <v>ANDERSON LAUREANO</v>
      </c>
      <c r="AU60" s="4">
        <f>IFERROR(__xludf.DUMMYFUNCTION("""COMPUTED_VALUE"""),0.0)</f>
        <v>0</v>
      </c>
      <c r="AV60" s="4">
        <f>IFERROR(__xludf.DUMMYFUNCTION("""COMPUTED_VALUE"""),0.0)</f>
        <v>0</v>
      </c>
      <c r="AW60" s="4">
        <f>IFERROR(__xludf.DUMMYFUNCTION("""COMPUTED_VALUE"""),0.0)</f>
        <v>0</v>
      </c>
      <c r="AX60" s="4">
        <f>IFERROR(__xludf.DUMMYFUNCTION("""COMPUTED_VALUE"""),0.0)</f>
        <v>0</v>
      </c>
      <c r="AY60" s="4" t="str">
        <f>IFERROR(__xludf.DUMMYFUNCTION("""COMPUTED_VALUE"""),"Saipos Serviços De Software")</f>
        <v>Saipos Serviços De Software</v>
      </c>
      <c r="AZ60" s="4" t="str">
        <f>IFERROR(__xludf.DUMMYFUNCTION("""COMPUTED_VALUE"""),"Saudável")</f>
        <v>Saudável</v>
      </c>
      <c r="BA60" s="4">
        <f>IFERROR(__xludf.DUMMYFUNCTION("""COMPUTED_VALUE"""),66.0)</f>
        <v>66</v>
      </c>
      <c r="BB60" s="4" t="str">
        <f>IFERROR(__xludf.DUMMYFUNCTION("""COMPUTED_VALUE"""),"Fast Casual - Multi-conceito")</f>
        <v>Fast Casual - Multi-conceito</v>
      </c>
      <c r="BC60" s="4" t="str">
        <f>IFERROR(__xludf.DUMMYFUNCTION("""COMPUTED_VALUE"""),"Brasília/DF")</f>
        <v>Brasília/DF</v>
      </c>
      <c r="BD60" s="4" t="str">
        <f>IFERROR(__xludf.DUMMYFUNCTION("""COMPUTED_VALUE"""),"Dado não disponível publicamente - Necessário Discovery")</f>
        <v>Dado não disponível publicamente - Necessário Discovery</v>
      </c>
      <c r="BE60" s="4">
        <f>IFERROR(__xludf.DUMMYFUNCTION("""COMPUTED_VALUE"""),65.0)</f>
        <v>65</v>
      </c>
      <c r="BF60" s="4">
        <f>IFERROR(__xludf.DUMMYFUNCTION("""COMPUTED_VALUE"""),0.75)</f>
        <v>0.75</v>
      </c>
      <c r="BG6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60" s="4" t="s">
        <v>69</v>
      </c>
      <c r="BI60" s="7">
        <v>0.5</v>
      </c>
    </row>
    <row r="61" hidden="1">
      <c r="A61" s="4" t="str">
        <f>IFERROR(__xludf.DUMMYFUNCTION("""COMPUTED_VALUE"""),"COOKIE DELIVERY OFICIAL")</f>
        <v>COOKIE DELIVERY OFICIAL</v>
      </c>
      <c r="B61" s="4" t="str">
        <f>IFERROR(__xludf.DUMMYFUNCTION("""COMPUTED_VALUE"""),"João Biagiotti")</f>
        <v>João Biagiotti</v>
      </c>
      <c r="C61" s="4" t="str">
        <f>IFERROR(__xludf.DUMMYFUNCTION("""COMPUTED_VALUE"""),"Diego Santos")</f>
        <v>Diego Santos</v>
      </c>
      <c r="D61" s="4" t="str">
        <f>IFERROR(__xludf.DUMMYFUNCTION("""COMPUTED_VALUE"""),"1. Iniciado")</f>
        <v>1. Iniciado</v>
      </c>
      <c r="E61" s="4" t="str">
        <f>IFERROR(__xludf.DUMMYFUNCTION("""COMPUTED_VALUE"""),"Delivery - Aguardando retorno executivo")</f>
        <v>Delivery - Aguardando retorno executivo</v>
      </c>
      <c r="F61" s="4" t="str">
        <f>IFERROR(__xludf.DUMMYFUNCTION("""COMPUTED_VALUE"""),"P")</f>
        <v>P</v>
      </c>
      <c r="G61" s="5">
        <f>IFERROR(__xludf.DUMMYFUNCTION("""COMPUTED_VALUE"""),46153.0)</f>
        <v>46153</v>
      </c>
      <c r="H61" s="4" t="str">
        <f>IFERROR(__xludf.DUMMYFUNCTION("""COMPUTED_VALUE"""),"Foi enviado mensagem para o executivo, aguardando retorno")</f>
        <v>Foi enviado mensagem para o executivo, aguardando retorno</v>
      </c>
      <c r="I61" s="6">
        <f>IFERROR(__xludf.DUMMYFUNCTION("""COMPUTED_VALUE"""),46153.38236001157)</f>
        <v>46153.38236</v>
      </c>
      <c r="J61" s="4"/>
      <c r="K61" s="4"/>
      <c r="L61" s="4"/>
      <c r="M61" s="4"/>
      <c r="N61" s="4"/>
      <c r="O61" s="4"/>
      <c r="P61" s="4"/>
      <c r="Q61" s="4"/>
      <c r="R61" s="4"/>
      <c r="S61" s="4"/>
      <c r="T61" s="4"/>
      <c r="U61" s="4"/>
      <c r="V61" s="4"/>
      <c r="W61" s="4"/>
      <c r="X61" s="4"/>
      <c r="Y61" s="4"/>
      <c r="Z61" s="4"/>
      <c r="AA61" s="4">
        <f>IFERROR(__xludf.DUMMYFUNCTION("""COMPUTED_VALUE"""),10.0)</f>
        <v>10</v>
      </c>
      <c r="AB61" s="4" t="str">
        <f>IFERROR(__xludf.DUMMYFUNCTION("""COMPUTED_VALUE"""),"CE")</f>
        <v>CE</v>
      </c>
      <c r="AC61" s="4" t="str">
        <f>IFERROR(__xludf.DUMMYFUNCTION("""COMPUTED_VALUE"""),"Sim")</f>
        <v>Sim</v>
      </c>
      <c r="AD61" s="4" t="str">
        <f>IFERROR(__xludf.DUMMYFUNCTION("""COMPUTED_VALUE"""),"Ifood")</f>
        <v>Ifood</v>
      </c>
      <c r="AE61" s="4"/>
      <c r="AF61" s="4"/>
      <c r="AG61" s="4"/>
      <c r="AH61" s="4"/>
      <c r="AI61" s="4"/>
      <c r="AJ61" s="4"/>
      <c r="AK61" s="4"/>
      <c r="AL61" s="4"/>
      <c r="AM61" s="4" t="str">
        <f>IFERROR(__xludf.DUMMYFUNCTION("""COMPUTED_VALUE"""),"FY27")</f>
        <v>FY27</v>
      </c>
      <c r="AN61" s="4"/>
      <c r="AO61" s="4">
        <f>IFERROR(__xludf.DUMMYFUNCTION("""COMPUTED_VALUE"""),62.0)</f>
        <v>62</v>
      </c>
      <c r="AP61" s="4" t="str">
        <f>IFERROR(__xludf.DUMMYFUNCTION("""COMPUTED_VALUE"""),"SP")</f>
        <v>SP</v>
      </c>
      <c r="AQ61" s="4" t="str">
        <f>IFERROR(__xludf.DUMMYFUNCTION("""COMPUTED_VALUE"""),"RAQUEL BATISTA")</f>
        <v>RAQUEL BATISTA</v>
      </c>
      <c r="AR61" s="4" t="str">
        <f>IFERROR(__xludf.DUMMYFUNCTION("""COMPUTED_VALUE"""),"RENAN BELIZARE")</f>
        <v>RENAN BELIZARE</v>
      </c>
      <c r="AS61" s="4" t="str">
        <f>IFERROR(__xludf.DUMMYFUNCTION("""COMPUTED_VALUE"""),"THIAGO ROMAGNOLE")</f>
        <v>THIAGO ROMAGNOLE</v>
      </c>
      <c r="AT61" s="4" t="str">
        <f>IFERROR(__xludf.DUMMYFUNCTION("""COMPUTED_VALUE"""),"BRUNA TASSINARI")</f>
        <v>BRUNA TASSINARI</v>
      </c>
      <c r="AU61" s="4">
        <f>IFERROR(__xludf.DUMMYFUNCTION("""COMPUTED_VALUE"""),0.0)</f>
        <v>0</v>
      </c>
      <c r="AV61" s="4">
        <f>IFERROR(__xludf.DUMMYFUNCTION("""COMPUTED_VALUE"""),0.0)</f>
        <v>0</v>
      </c>
      <c r="AW61" s="4">
        <f>IFERROR(__xludf.DUMMYFUNCTION("""COMPUTED_VALUE"""),0.0)</f>
        <v>0</v>
      </c>
      <c r="AX61" s="4">
        <f>IFERROR(__xludf.DUMMYFUNCTION("""COMPUTED_VALUE"""),0.0)</f>
        <v>0</v>
      </c>
      <c r="AY61" s="4"/>
      <c r="AZ61" s="4" t="str">
        <f>IFERROR(__xludf.DUMMYFUNCTION("""COMPUTED_VALUE"""),"Doces &amp; Bolos")</f>
        <v>Doces &amp; Bolos</v>
      </c>
      <c r="BA61" s="4">
        <f>IFERROR(__xludf.DUMMYFUNCTION("""COMPUTED_VALUE"""),44.0)</f>
        <v>44</v>
      </c>
      <c r="BB61" s="4" t="str">
        <f>IFERROR(__xludf.DUMMYFUNCTION("""COMPUTED_VALUE"""),"Varejo - Confeitaria")</f>
        <v>Varejo - Confeitaria</v>
      </c>
      <c r="BC61" s="4" t="str">
        <f>IFERROR(__xludf.DUMMYFUNCTION("""COMPUTED_VALUE"""),"Regional")</f>
        <v>Regional</v>
      </c>
      <c r="BD61" s="4" t="str">
        <f>IFERROR(__xludf.DUMMYFUNCTION("""COMPUTED_VALUE"""),"Dado não disponível publicamente - Necessário Discovery")</f>
        <v>Dado não disponível publicamente - Necessário Discovery</v>
      </c>
      <c r="BE61" s="4">
        <f>IFERROR(__xludf.DUMMYFUNCTION("""COMPUTED_VALUE"""),35.0)</f>
        <v>35</v>
      </c>
      <c r="BF61" s="4">
        <f>IFERROR(__xludf.DUMMYFUNCTION("""COMPUTED_VALUE"""),0.5)</f>
        <v>0.5</v>
      </c>
      <c r="BG61"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61" s="4" t="s">
        <v>83</v>
      </c>
      <c r="BI61" s="7">
        <v>0.36363636363636365</v>
      </c>
    </row>
    <row r="62" hidden="1">
      <c r="A62" s="4" t="str">
        <f>IFERROR(__xludf.DUMMYFUNCTION("""COMPUTED_VALUE"""),"COOKIE MANIA")</f>
        <v>COOKIE MANIA</v>
      </c>
      <c r="B62" s="4" t="str">
        <f>IFERROR(__xludf.DUMMYFUNCTION("""COMPUTED_VALUE"""),"João Biagiotti")</f>
        <v>João Biagiotti</v>
      </c>
      <c r="C62" s="4" t="str">
        <f>IFERROR(__xludf.DUMMYFUNCTION("""COMPUTED_VALUE"""),"Diego Santos")</f>
        <v>Diego Santos</v>
      </c>
      <c r="D62" s="4" t="str">
        <f>IFERROR(__xludf.DUMMYFUNCTION("""COMPUTED_VALUE"""),"0. Não Iniciado")</f>
        <v>0. Não Iniciado</v>
      </c>
      <c r="E62" s="4"/>
      <c r="F62" s="4" t="str">
        <f>IFERROR(__xludf.DUMMYFUNCTION("""COMPUTED_VALUE"""),"P")</f>
        <v>P</v>
      </c>
      <c r="G62" s="4"/>
      <c r="H62" s="4"/>
      <c r="I62" s="4"/>
      <c r="J62" s="4"/>
      <c r="K62" s="4"/>
      <c r="L62" s="4"/>
      <c r="M62" s="4"/>
      <c r="N62" s="4"/>
      <c r="O62" s="4"/>
      <c r="P62" s="4"/>
      <c r="Q62" s="4"/>
      <c r="R62" s="4"/>
      <c r="S62" s="4"/>
      <c r="T62" s="4"/>
      <c r="U62" s="4"/>
      <c r="V62" s="4"/>
      <c r="W62" s="4"/>
      <c r="X62" s="4"/>
      <c r="Y62" s="4"/>
      <c r="Z62" s="4"/>
      <c r="AA62" s="4">
        <f>IFERROR(__xludf.DUMMYFUNCTION("""COMPUTED_VALUE"""),14.0)</f>
        <v>14</v>
      </c>
      <c r="AB62" s="4" t="str">
        <f>IFERROR(__xludf.DUMMYFUNCTION("""COMPUTED_VALUE"""),"CE")</f>
        <v>CE</v>
      </c>
      <c r="AC62" s="4" t="str">
        <f>IFERROR(__xludf.DUMMYFUNCTION("""COMPUTED_VALUE"""),"Sim")</f>
        <v>Sim</v>
      </c>
      <c r="AD62" s="4">
        <f>IFERROR(__xludf.DUMMYFUNCTION("""COMPUTED_VALUE"""),0.0)</f>
        <v>0</v>
      </c>
      <c r="AE62" s="4"/>
      <c r="AF62" s="4"/>
      <c r="AG62" s="4"/>
      <c r="AH62" s="4"/>
      <c r="AI62" s="4"/>
      <c r="AJ62" s="4"/>
      <c r="AK62" s="4"/>
      <c r="AL62" s="4"/>
      <c r="AM62" s="4" t="str">
        <f>IFERROR(__xludf.DUMMYFUNCTION("""COMPUTED_VALUE"""),"FY27")</f>
        <v>FY27</v>
      </c>
      <c r="AN62" s="4"/>
      <c r="AO62" s="4">
        <f>IFERROR(__xludf.DUMMYFUNCTION("""COMPUTED_VALUE"""),45553.0)</f>
        <v>45553</v>
      </c>
      <c r="AP62" s="4" t="str">
        <f>IFERROR(__xludf.DUMMYFUNCTION("""COMPUTED_VALUE"""),"CE")</f>
        <v>CE</v>
      </c>
      <c r="AQ62" s="4" t="str">
        <f>IFERROR(__xludf.DUMMYFUNCTION("""COMPUTED_VALUE"""),"FABIO MAKARON")</f>
        <v>FABIO MAKARON</v>
      </c>
      <c r="AR62" s="4" t="str">
        <f>IFERROR(__xludf.DUMMYFUNCTION("""COMPUTED_VALUE"""),"RAUL OLIVEIRA")</f>
        <v>RAUL OLIVEIRA</v>
      </c>
      <c r="AS62" s="4" t="str">
        <f>IFERROR(__xludf.DUMMYFUNCTION("""COMPUTED_VALUE"""),"THIAGO ROMAGNOLE")</f>
        <v>THIAGO ROMAGNOLE</v>
      </c>
      <c r="AT62" s="4" t="str">
        <f>IFERROR(__xludf.DUMMYFUNCTION("""COMPUTED_VALUE"""),"EDUARDO VAZ")</f>
        <v>EDUARDO VAZ</v>
      </c>
      <c r="AU62" s="4">
        <f>IFERROR(__xludf.DUMMYFUNCTION("""COMPUTED_VALUE"""),0.0)</f>
        <v>0</v>
      </c>
      <c r="AV62" s="4">
        <f>IFERROR(__xludf.DUMMYFUNCTION("""COMPUTED_VALUE"""),0.0)</f>
        <v>0</v>
      </c>
      <c r="AW62" s="4">
        <f>IFERROR(__xludf.DUMMYFUNCTION("""COMPUTED_VALUE"""),0.0)</f>
        <v>0</v>
      </c>
      <c r="AX62" s="4">
        <f>IFERROR(__xludf.DUMMYFUNCTION("""COMPUTED_VALUE"""),0.0)</f>
        <v>0</v>
      </c>
      <c r="AY62" s="4" t="str">
        <f>IFERROR(__xludf.DUMMYFUNCTION("""COMPUTED_VALUE"""),"Hubster")</f>
        <v>Hubster</v>
      </c>
      <c r="AZ62" s="4" t="str">
        <f>IFERROR(__xludf.DUMMYFUNCTION("""COMPUTED_VALUE"""),"Sorvetes")</f>
        <v>Sorvetes</v>
      </c>
      <c r="BA62" s="4">
        <f>IFERROR(__xludf.DUMMYFUNCTION("""COMPUTED_VALUE"""),28.0)</f>
        <v>28</v>
      </c>
      <c r="BB62" s="4" t="str">
        <f>IFERROR(__xludf.DUMMYFUNCTION("""COMPUTED_VALUE"""),"Varejo - Cookies Artesanais")</f>
        <v>Varejo - Cookies Artesanais</v>
      </c>
      <c r="BC62" s="4" t="str">
        <f>IFERROR(__xludf.DUMMYFUNCTION("""COMPUTED_VALUE"""),"Nacional (CE, PE, SP, PA, MA, PI)")</f>
        <v>Nacional (CE, PE, SP, PA, MA, PI)</v>
      </c>
      <c r="BD62" s="4" t="str">
        <f>IFERROR(__xludf.DUMMYFUNCTION("""COMPUTED_VALUE"""),"Dado não disponível publicamente - Necessário Discovery")</f>
        <v>Dado não disponível publicamente - Necessário Discovery</v>
      </c>
      <c r="BE62" s="4">
        <f>IFERROR(__xludf.DUMMYFUNCTION("""COMPUTED_VALUE"""),40.0)</f>
        <v>40</v>
      </c>
      <c r="BF62" s="4">
        <f>IFERROR(__xludf.DUMMYFUNCTION("""COMPUTED_VALUE"""),0.55)</f>
        <v>0.55</v>
      </c>
      <c r="BG62"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62" s="4" t="s">
        <v>63</v>
      </c>
      <c r="BI62" s="7" t="s">
        <v>63</v>
      </c>
    </row>
    <row r="63" hidden="1">
      <c r="A63" s="4" t="str">
        <f>IFERROR(__xludf.DUMMYFUNCTION("""COMPUTED_VALUE"""),"COXA COXINHA")</f>
        <v>COXA COXINHA</v>
      </c>
      <c r="B63" s="4" t="str">
        <f>IFERROR(__xludf.DUMMYFUNCTION("""COMPUTED_VALUE"""),"João Biagiotti")</f>
        <v>João Biagiotti</v>
      </c>
      <c r="C63" s="4" t="str">
        <f>IFERROR(__xludf.DUMMYFUNCTION("""COMPUTED_VALUE"""),"Diego Santos")</f>
        <v>Diego Santos</v>
      </c>
      <c r="D63" s="4" t="str">
        <f>IFERROR(__xludf.DUMMYFUNCTION("""COMPUTED_VALUE"""),"2. Primeiro Contato com a marca")</f>
        <v>2. Primeiro Contato com a marca</v>
      </c>
      <c r="E63" s="4" t="str">
        <f>IFERROR(__xludf.DUMMYFUNCTION("""COMPUTED_VALUE"""),"Parceiro - Aguardando retorno parceiro")</f>
        <v>Parceiro - Aguardando retorno parceiro</v>
      </c>
      <c r="F63" s="4" t="str">
        <f>IFERROR(__xludf.DUMMYFUNCTION("""COMPUTED_VALUE"""),"P")</f>
        <v>P</v>
      </c>
      <c r="G63" s="5">
        <f>IFERROR(__xludf.DUMMYFUNCTION("""COMPUTED_VALUE"""),46153.0)</f>
        <v>46153</v>
      </c>
      <c r="H63" s="4" t="str">
        <f>IFERROR(__xludf.DUMMYFUNCTION("""COMPUTED_VALUE"""),"Enviei mensagem para a Renata, aguardando retorno")</f>
        <v>Enviei mensagem para a Renata, aguardando retorno</v>
      </c>
      <c r="I63" s="6">
        <f>IFERROR(__xludf.DUMMYFUNCTION("""COMPUTED_VALUE"""),46134.45362503472)</f>
        <v>46134.45363</v>
      </c>
      <c r="J63" s="6">
        <f>IFERROR(__xludf.DUMMYFUNCTION("""COMPUTED_VALUE"""),46153.67651640046)</f>
        <v>46153.67652</v>
      </c>
      <c r="K63" s="4"/>
      <c r="L63" s="4"/>
      <c r="M63" s="4"/>
      <c r="N63" s="4"/>
      <c r="O63" s="4"/>
      <c r="P63" s="4"/>
      <c r="Q63" s="4"/>
      <c r="R63" s="4"/>
      <c r="S63" s="4"/>
      <c r="T63" s="4"/>
      <c r="U63" s="4"/>
      <c r="V63" s="4"/>
      <c r="W63" s="4"/>
      <c r="X63" s="4"/>
      <c r="Y63" s="4"/>
      <c r="Z63" s="4"/>
      <c r="AA63" s="4">
        <f>IFERROR(__xludf.DUMMYFUNCTION("""COMPUTED_VALUE"""),9.0)</f>
        <v>9</v>
      </c>
      <c r="AB63" s="4" t="str">
        <f>IFERROR(__xludf.DUMMYFUNCTION("""COMPUTED_VALUE"""),"CE")</f>
        <v>CE</v>
      </c>
      <c r="AC63" s="4" t="str">
        <f>IFERROR(__xludf.DUMMYFUNCTION("""COMPUTED_VALUE"""),"Sim")</f>
        <v>Sim</v>
      </c>
      <c r="AD63" s="4" t="str">
        <f>IFERROR(__xludf.DUMMYFUNCTION("""COMPUTED_VALUE"""),"Ifood")</f>
        <v>Ifood</v>
      </c>
      <c r="AE63" s="4"/>
      <c r="AF63" s="4"/>
      <c r="AG63" s="4"/>
      <c r="AH63" s="4"/>
      <c r="AI63" s="4"/>
      <c r="AJ63" s="4"/>
      <c r="AK63" s="4"/>
      <c r="AL63" s="4"/>
      <c r="AM63" s="4" t="str">
        <f>IFERROR(__xludf.DUMMYFUNCTION("""COMPUTED_VALUE"""),"FY27")</f>
        <v>FY27</v>
      </c>
      <c r="AN63" s="4"/>
      <c r="AO63" s="4">
        <f>IFERROR(__xludf.DUMMYFUNCTION("""COMPUTED_VALUE"""),62.0)</f>
        <v>62</v>
      </c>
      <c r="AP63" s="4" t="str">
        <f>IFERROR(__xludf.DUMMYFUNCTION("""COMPUTED_VALUE"""),"BA")</f>
        <v>BA</v>
      </c>
      <c r="AQ63" s="4" t="str">
        <f>IFERROR(__xludf.DUMMYFUNCTION("""COMPUTED_VALUE"""),"VIDOLIN EDUARDO")</f>
        <v>VIDOLIN EDUARDO</v>
      </c>
      <c r="AR63" s="4" t="str">
        <f>IFERROR(__xludf.DUMMYFUNCTION("""COMPUTED_VALUE"""),"VALERIA VASCONCELOS")</f>
        <v>VALERIA VASCONCELOS</v>
      </c>
      <c r="AS63" s="4" t="str">
        <f>IFERROR(__xludf.DUMMYFUNCTION("""COMPUTED_VALUE"""),"THIAGO ROMAGNOLE")</f>
        <v>THIAGO ROMAGNOLE</v>
      </c>
      <c r="AT63" s="4" t="str">
        <f>IFERROR(__xludf.DUMMYFUNCTION("""COMPUTED_VALUE"""),"EDUARDO VAZ")</f>
        <v>EDUARDO VAZ</v>
      </c>
      <c r="AU63" s="4">
        <f>IFERROR(__xludf.DUMMYFUNCTION("""COMPUTED_VALUE"""),0.0)</f>
        <v>0</v>
      </c>
      <c r="AV63" s="4">
        <f>IFERROR(__xludf.DUMMYFUNCTION("""COMPUTED_VALUE"""),0.0)</f>
        <v>0</v>
      </c>
      <c r="AW63" s="4">
        <f>IFERROR(__xludf.DUMMYFUNCTION("""COMPUTED_VALUE"""),0.0)</f>
        <v>0</v>
      </c>
      <c r="AX63" s="4">
        <f>IFERROR(__xludf.DUMMYFUNCTION("""COMPUTED_VALUE"""),0.0)</f>
        <v>0</v>
      </c>
      <c r="AY63" s="4"/>
      <c r="AZ63" s="4" t="str">
        <f>IFERROR(__xludf.DUMMYFUNCTION("""COMPUTED_VALUE"""),"Lanches")</f>
        <v>Lanches</v>
      </c>
      <c r="BA63" s="4">
        <f>IFERROR(__xludf.DUMMYFUNCTION("""COMPUTED_VALUE"""),27.0)</f>
        <v>27</v>
      </c>
      <c r="BB63" s="4" t="str">
        <f>IFERROR(__xludf.DUMMYFUNCTION("""COMPUTED_VALUE"""),"QSR - Salgados")</f>
        <v>QSR - Salgados</v>
      </c>
      <c r="BC63" s="4" t="str">
        <f>IFERROR(__xludf.DUMMYFUNCTION("""COMPUTED_VALUE"""),"Sudeste")</f>
        <v>Sudeste</v>
      </c>
      <c r="BD63" s="4" t="str">
        <f>IFERROR(__xludf.DUMMYFUNCTION("""COMPUTED_VALUE"""),"Dado não disponível publicamente - Necessário Discovery")</f>
        <v>Dado não disponível publicamente - Necessário Discovery</v>
      </c>
      <c r="BE63" s="4">
        <f>IFERROR(__xludf.DUMMYFUNCTION("""COMPUTED_VALUE"""),70.0)</f>
        <v>70</v>
      </c>
      <c r="BF63" s="4">
        <f>IFERROR(__xludf.DUMMYFUNCTION("""COMPUTED_VALUE"""),0.85)</f>
        <v>0.85</v>
      </c>
      <c r="BG63"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63" s="4" t="s">
        <v>63</v>
      </c>
      <c r="BI63" s="7" t="s">
        <v>63</v>
      </c>
    </row>
    <row r="64" hidden="1">
      <c r="A64" s="4" t="str">
        <f>IFERROR(__xludf.DUMMYFUNCTION("""COMPUTED_VALUE"""),"COXINHA DO GAGO")</f>
        <v>COXINHA DO GAGO</v>
      </c>
      <c r="B64" s="4" t="str">
        <f>IFERROR(__xludf.DUMMYFUNCTION("""COMPUTED_VALUE"""),"João Biagiotti")</f>
        <v>João Biagiotti</v>
      </c>
      <c r="C64" s="4" t="str">
        <f>IFERROR(__xludf.DUMMYFUNCTION("""COMPUTED_VALUE"""),"Diego Santos")</f>
        <v>Diego Santos</v>
      </c>
      <c r="D64" s="4" t="str">
        <f>IFERROR(__xludf.DUMMYFUNCTION("""COMPUTED_VALUE"""),"2. Primeiro Contato com a marca")</f>
        <v>2. Primeiro Contato com a marca</v>
      </c>
      <c r="E64" s="4" t="str">
        <f>IFERROR(__xludf.DUMMYFUNCTION("""COMPUTED_VALUE"""),"Parceiro - Conciliação agenda")</f>
        <v>Parceiro - Conciliação agenda</v>
      </c>
      <c r="F64" s="4" t="str">
        <f>IFERROR(__xludf.DUMMYFUNCTION("""COMPUTED_VALUE"""),"P")</f>
        <v>P</v>
      </c>
      <c r="G64" s="5">
        <f>IFERROR(__xludf.DUMMYFUNCTION("""COMPUTED_VALUE"""),46153.0)</f>
        <v>46153</v>
      </c>
      <c r="H64" s="4" t="str">
        <f>IFERROR(__xludf.DUMMYFUNCTION("""COMPUTED_VALUE"""),"Estou conversando com o Gago, estamos agendando um papo em conjunto com a agenda de delivery ")</f>
        <v>Estou conversando com o Gago, estamos agendando um papo em conjunto com a agenda de delivery </v>
      </c>
      <c r="I64" s="6">
        <f>IFERROR(__xludf.DUMMYFUNCTION("""COMPUTED_VALUE"""),46134.45472222222)</f>
        <v>46134.45472</v>
      </c>
      <c r="J64" s="6">
        <f>IFERROR(__xludf.DUMMYFUNCTION("""COMPUTED_VALUE"""),46153.67420826389)</f>
        <v>46153.67421</v>
      </c>
      <c r="K64" s="4"/>
      <c r="L64" s="4"/>
      <c r="M64" s="4"/>
      <c r="N64" s="4"/>
      <c r="O64" s="4"/>
      <c r="P64" s="4"/>
      <c r="Q64" s="4"/>
      <c r="R64" s="4"/>
      <c r="S64" s="4"/>
      <c r="T64" s="4"/>
      <c r="U64" s="4"/>
      <c r="V64" s="4"/>
      <c r="W64" s="4"/>
      <c r="X64" s="4"/>
      <c r="Y64" s="4"/>
      <c r="Z64" s="4"/>
      <c r="AA64" s="4">
        <f>IFERROR(__xludf.DUMMYFUNCTION("""COMPUTED_VALUE"""),10.0)</f>
        <v>10</v>
      </c>
      <c r="AB64" s="4" t="str">
        <f>IFERROR(__xludf.DUMMYFUNCTION("""COMPUTED_VALUE"""),"CE")</f>
        <v>CE</v>
      </c>
      <c r="AC64" s="4" t="str">
        <f>IFERROR(__xludf.DUMMYFUNCTION("""COMPUTED_VALUE"""),"Sim")</f>
        <v>Sim</v>
      </c>
      <c r="AD64" s="4" t="str">
        <f>IFERROR(__xludf.DUMMYFUNCTION("""COMPUTED_VALUE"""),"Ifood")</f>
        <v>Ifood</v>
      </c>
      <c r="AE64" s="4"/>
      <c r="AF64" s="4"/>
      <c r="AG64" s="4"/>
      <c r="AH64" s="4"/>
      <c r="AI64" s="4"/>
      <c r="AJ64" s="4"/>
      <c r="AK64" s="4"/>
      <c r="AL64" s="4"/>
      <c r="AM64" s="4" t="str">
        <f>IFERROR(__xludf.DUMMYFUNCTION("""COMPUTED_VALUE"""),"FY27")</f>
        <v>FY27</v>
      </c>
      <c r="AN64" s="4"/>
      <c r="AO64" s="4">
        <f>IFERROR(__xludf.DUMMYFUNCTION("""COMPUTED_VALUE"""),62.0)</f>
        <v>62</v>
      </c>
      <c r="AP64" s="4" t="str">
        <f>IFERROR(__xludf.DUMMYFUNCTION("""COMPUTED_VALUE"""),"BA")</f>
        <v>BA</v>
      </c>
      <c r="AQ64" s="4" t="str">
        <f>IFERROR(__xludf.DUMMYFUNCTION("""COMPUTED_VALUE"""),"MENEZES PAULA")</f>
        <v>MENEZES PAULA</v>
      </c>
      <c r="AR64" s="4" t="str">
        <f>IFERROR(__xludf.DUMMYFUNCTION("""COMPUTED_VALUE"""),"LAIS CARDOSO")</f>
        <v>LAIS CARDOSO</v>
      </c>
      <c r="AS64" s="4" t="str">
        <f>IFERROR(__xludf.DUMMYFUNCTION("""COMPUTED_VALUE"""),"THIAGO ROMAGNOLE")</f>
        <v>THIAGO ROMAGNOLE</v>
      </c>
      <c r="AT64" s="4" t="str">
        <f>IFERROR(__xludf.DUMMYFUNCTION("""COMPUTED_VALUE"""),"EDUARDO VAZ")</f>
        <v>EDUARDO VAZ</v>
      </c>
      <c r="AU64" s="4">
        <f>IFERROR(__xludf.DUMMYFUNCTION("""COMPUTED_VALUE"""),0.0)</f>
        <v>0</v>
      </c>
      <c r="AV64" s="4">
        <f>IFERROR(__xludf.DUMMYFUNCTION("""COMPUTED_VALUE"""),0.0)</f>
        <v>0</v>
      </c>
      <c r="AW64" s="4">
        <f>IFERROR(__xludf.DUMMYFUNCTION("""COMPUTED_VALUE"""),0.0)</f>
        <v>0</v>
      </c>
      <c r="AX64" s="4">
        <f>IFERROR(__xludf.DUMMYFUNCTION("""COMPUTED_VALUE"""),0.0)</f>
        <v>0</v>
      </c>
      <c r="AY64" s="4" t="str">
        <f>IFERROR(__xludf.DUMMYFUNCTION("""COMPUTED_VALUE"""),"Alpha Logo")</f>
        <v>Alpha Logo</v>
      </c>
      <c r="AZ64" s="4" t="str">
        <f>IFERROR(__xludf.DUMMYFUNCTION("""COMPUTED_VALUE"""),"Lanches")</f>
        <v>Lanches</v>
      </c>
      <c r="BA64" s="4">
        <f>IFERROR(__xludf.DUMMYFUNCTION("""COMPUTED_VALUE"""),19.0)</f>
        <v>19</v>
      </c>
      <c r="BB64" s="4" t="str">
        <f>IFERROR(__xludf.DUMMYFUNCTION("""COMPUTED_VALUE"""),"QSR - Salgados")</f>
        <v>QSR - Salgados</v>
      </c>
      <c r="BC64" s="4" t="str">
        <f>IFERROR(__xludf.DUMMYFUNCTION("""COMPUTED_VALUE"""),"Sul")</f>
        <v>Sul</v>
      </c>
      <c r="BD64" s="4" t="str">
        <f>IFERROR(__xludf.DUMMYFUNCTION("""COMPUTED_VALUE"""),"Dado não disponível publicamente - Necessário Discovery")</f>
        <v>Dado não disponível publicamente - Necessário Discovery</v>
      </c>
      <c r="BE64" s="4">
        <f>IFERROR(__xludf.DUMMYFUNCTION("""COMPUTED_VALUE"""),70.0)</f>
        <v>70</v>
      </c>
      <c r="BF64" s="4">
        <f>IFERROR(__xludf.DUMMYFUNCTION("""COMPUTED_VALUE"""),0.85)</f>
        <v>0.85</v>
      </c>
      <c r="BG64"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64" s="4" t="s">
        <v>84</v>
      </c>
      <c r="BI64" s="7">
        <v>0.6666666666666666</v>
      </c>
    </row>
    <row r="65" hidden="1">
      <c r="A65" s="4" t="str">
        <f>IFERROR(__xludf.DUMMYFUNCTION("""COMPUTED_VALUE"""),"CRUZEIROS")</f>
        <v>CRUZEIROS</v>
      </c>
      <c r="B65" s="4" t="str">
        <f>IFERROR(__xludf.DUMMYFUNCTION("""COMPUTED_VALUE"""),"João Biagiotti")</f>
        <v>João Biagiotti</v>
      </c>
      <c r="C65" s="4" t="str">
        <f>IFERROR(__xludf.DUMMYFUNCTION("""COMPUTED_VALUE"""),"Diego Santos")</f>
        <v>Diego Santos</v>
      </c>
      <c r="D65" s="4" t="str">
        <f>IFERROR(__xludf.DUMMYFUNCTION("""COMPUTED_VALUE"""),"0. Não Iniciado")</f>
        <v>0. Não Iniciado</v>
      </c>
      <c r="E65" s="4"/>
      <c r="F65" s="4" t="str">
        <f>IFERROR(__xludf.DUMMYFUNCTION("""COMPUTED_VALUE"""),"P")</f>
        <v>P</v>
      </c>
      <c r="G65" s="4"/>
      <c r="H65" s="4"/>
      <c r="I65" s="4"/>
      <c r="J65" s="4"/>
      <c r="K65" s="4"/>
      <c r="L65" s="4"/>
      <c r="M65" s="4"/>
      <c r="N65" s="4"/>
      <c r="O65" s="4"/>
      <c r="P65" s="4"/>
      <c r="Q65" s="4"/>
      <c r="R65" s="4"/>
      <c r="S65" s="4"/>
      <c r="T65" s="4"/>
      <c r="U65" s="4"/>
      <c r="V65" s="4"/>
      <c r="W65" s="4"/>
      <c r="X65" s="4"/>
      <c r="Y65" s="4"/>
      <c r="Z65" s="4"/>
      <c r="AA65" s="4">
        <f>IFERROR(__xludf.DUMMYFUNCTION("""COMPUTED_VALUE"""),12.0)</f>
        <v>12</v>
      </c>
      <c r="AB65" s="4" t="str">
        <f>IFERROR(__xludf.DUMMYFUNCTION("""COMPUTED_VALUE"""),"CE")</f>
        <v>CE</v>
      </c>
      <c r="AC65" s="4" t="str">
        <f>IFERROR(__xludf.DUMMYFUNCTION("""COMPUTED_VALUE"""),"Sim")</f>
        <v>Sim</v>
      </c>
      <c r="AD65" s="4">
        <f>IFERROR(__xludf.DUMMYFUNCTION("""COMPUTED_VALUE"""),0.0)</f>
        <v>0</v>
      </c>
      <c r="AE65" s="4"/>
      <c r="AF65" s="4"/>
      <c r="AG65" s="4"/>
      <c r="AH65" s="4"/>
      <c r="AI65" s="4"/>
      <c r="AJ65" s="4"/>
      <c r="AK65" s="4"/>
      <c r="AL65" s="4"/>
      <c r="AM65" s="4" t="str">
        <f>IFERROR(__xludf.DUMMYFUNCTION("""COMPUTED_VALUE"""),"FY27")</f>
        <v>FY27</v>
      </c>
      <c r="AN65" s="4"/>
      <c r="AO65" s="4">
        <f>IFERROR(__xludf.DUMMYFUNCTION("""COMPUTED_VALUE"""),45553.0)</f>
        <v>45553</v>
      </c>
      <c r="AP65" s="4" t="str">
        <f>IFERROR(__xludf.DUMMYFUNCTION("""COMPUTED_VALUE"""),"SP")</f>
        <v>SP</v>
      </c>
      <c r="AQ65" s="4" t="str">
        <f>IFERROR(__xludf.DUMMYFUNCTION("""COMPUTED_VALUE"""),"RODRIGO ALBANESE")</f>
        <v>RODRIGO ALBANESE</v>
      </c>
      <c r="AR65" s="4" t="str">
        <f>IFERROR(__xludf.DUMMYFUNCTION("""COMPUTED_VALUE"""),"PALOMA BRUNIALTI")</f>
        <v>PALOMA BRUNIALTI</v>
      </c>
      <c r="AS65" s="4" t="str">
        <f>IFERROR(__xludf.DUMMYFUNCTION("""COMPUTED_VALUE"""),"NATHALIE MERTENS")</f>
        <v>NATHALIE MERTENS</v>
      </c>
      <c r="AT65" s="4" t="str">
        <f>IFERROR(__xludf.DUMMYFUNCTION("""COMPUTED_VALUE"""),"MATHEUS LESSA")</f>
        <v>MATHEUS LESSA</v>
      </c>
      <c r="AU65" s="4">
        <f>IFERROR(__xludf.DUMMYFUNCTION("""COMPUTED_VALUE"""),0.0)</f>
        <v>0</v>
      </c>
      <c r="AV65" s="4">
        <f>IFERROR(__xludf.DUMMYFUNCTION("""COMPUTED_VALUE"""),0.0)</f>
        <v>0</v>
      </c>
      <c r="AW65" s="4">
        <f>IFERROR(__xludf.DUMMYFUNCTION("""COMPUTED_VALUE"""),0.0)</f>
        <v>0</v>
      </c>
      <c r="AX65" s="4">
        <f>IFERROR(__xludf.DUMMYFUNCTION("""COMPUTED_VALUE"""),0.0)</f>
        <v>0</v>
      </c>
      <c r="AY65" s="4"/>
      <c r="AZ65" s="4" t="str">
        <f>IFERROR(__xludf.DUMMYFUNCTION("""COMPUTED_VALUE"""),"Brasileira")</f>
        <v>Brasileira</v>
      </c>
      <c r="BA65" s="4">
        <f>IFERROR(__xludf.DUMMYFUNCTION("""COMPUTED_VALUE"""),61.0)</f>
        <v>61</v>
      </c>
      <c r="BB65" s="4" t="str">
        <f>IFERROR(__xludf.DUMMYFUNCTION("""COMPUTED_VALUE"""),"Fast Casual - Multi-conceito")</f>
        <v>Fast Casual - Multi-conceito</v>
      </c>
      <c r="BC65" s="4" t="str">
        <f>IFERROR(__xludf.DUMMYFUNCTION("""COMPUTED_VALUE"""),"Nordeste")</f>
        <v>Nordeste</v>
      </c>
      <c r="BD65" s="4" t="str">
        <f>IFERROR(__xludf.DUMMYFUNCTION("""COMPUTED_VALUE"""),"Dado não disponível publicamente - Necessário Discovery")</f>
        <v>Dado não disponível publicamente - Necessário Discovery</v>
      </c>
      <c r="BE65" s="4">
        <f>IFERROR(__xludf.DUMMYFUNCTION("""COMPUTED_VALUE"""),70.0)</f>
        <v>70</v>
      </c>
      <c r="BF65" s="4">
        <f>IFERROR(__xludf.DUMMYFUNCTION("""COMPUTED_VALUE"""),0.75)</f>
        <v>0.75</v>
      </c>
      <c r="BG6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65" s="4" t="s">
        <v>63</v>
      </c>
      <c r="BI65" s="7" t="s">
        <v>63</v>
      </c>
    </row>
    <row r="66" hidden="1">
      <c r="A66" s="4" t="str">
        <f>IFERROR(__xludf.DUMMYFUNCTION("""COMPUTED_VALUE"""),"CULINARIA MINEIRA")</f>
        <v>CULINARIA MINEIRA</v>
      </c>
      <c r="B66" s="4" t="str">
        <f>IFERROR(__xludf.DUMMYFUNCTION("""COMPUTED_VALUE"""),"Lídia Esteves")</f>
        <v>Lídia Esteves</v>
      </c>
      <c r="C66" s="4" t="str">
        <f>IFERROR(__xludf.DUMMYFUNCTION("""COMPUTED_VALUE"""),"Gabriela Roma")</f>
        <v>Gabriela Roma</v>
      </c>
      <c r="D66" s="4" t="str">
        <f>IFERROR(__xludf.DUMMYFUNCTION("""COMPUTED_VALUE"""),"0. Não Iniciado")</f>
        <v>0. Não Iniciado</v>
      </c>
      <c r="E66" s="4"/>
      <c r="F66" s="4" t="str">
        <f>IFERROR(__xludf.DUMMYFUNCTION("""COMPUTED_VALUE"""),"P")</f>
        <v>P</v>
      </c>
      <c r="G66" s="4"/>
      <c r="H66" s="4"/>
      <c r="I66" s="4"/>
      <c r="J66" s="4"/>
      <c r="K66" s="4"/>
      <c r="L66" s="4"/>
      <c r="M66" s="4"/>
      <c r="N66" s="4"/>
      <c r="O66" s="4"/>
      <c r="P66" s="4"/>
      <c r="Q66" s="4"/>
      <c r="R66" s="4"/>
      <c r="S66" s="4"/>
      <c r="T66" s="4"/>
      <c r="U66" s="4"/>
      <c r="V66" s="4"/>
      <c r="W66" s="4"/>
      <c r="X66" s="4"/>
      <c r="Y66" s="4"/>
      <c r="Z66" s="4"/>
      <c r="AA66" s="4">
        <f>IFERROR(__xludf.DUMMYFUNCTION("""COMPUTED_VALUE"""),6.0)</f>
        <v>6</v>
      </c>
      <c r="AB66" s="4" t="str">
        <f>IFERROR(__xludf.DUMMYFUNCTION("""COMPUTED_VALUE"""),"CE")</f>
        <v>CE</v>
      </c>
      <c r="AC66" s="4" t="str">
        <f>IFERROR(__xludf.DUMMYFUNCTION("""COMPUTED_VALUE"""),"Sim")</f>
        <v>Sim</v>
      </c>
      <c r="AD66" s="4" t="str">
        <f>IFERROR(__xludf.DUMMYFUNCTION("""COMPUTED_VALUE"""),"Ifood")</f>
        <v>Ifood</v>
      </c>
      <c r="AE66" s="4"/>
      <c r="AF66" s="4"/>
      <c r="AG66" s="4"/>
      <c r="AH66" s="4"/>
      <c r="AI66" s="4"/>
      <c r="AJ66" s="4"/>
      <c r="AK66" s="4"/>
      <c r="AL66" s="4"/>
      <c r="AM66" s="4" t="str">
        <f>IFERROR(__xludf.DUMMYFUNCTION("""COMPUTED_VALUE"""),"FY27")</f>
        <v>FY27</v>
      </c>
      <c r="AN66" s="4"/>
      <c r="AO66" s="4">
        <f>IFERROR(__xludf.DUMMYFUNCTION("""COMPUTED_VALUE"""),45553.0)</f>
        <v>45553</v>
      </c>
      <c r="AP66" s="4" t="str">
        <f>IFERROR(__xludf.DUMMYFUNCTION("""COMPUTED_VALUE"""),"SP")</f>
        <v>SP</v>
      </c>
      <c r="AQ66" s="4" t="str">
        <f>IFERROR(__xludf.DUMMYFUNCTION("""COMPUTED_VALUE"""),"ISADORA GARCIA")</f>
        <v>ISADORA GARCIA</v>
      </c>
      <c r="AR66" s="4" t="str">
        <f>IFERROR(__xludf.DUMMYFUNCTION("""COMPUTED_VALUE"""),"LEANDRO SERPA")</f>
        <v>LEANDRO SERPA</v>
      </c>
      <c r="AS66" s="4" t="str">
        <f>IFERROR(__xludf.DUMMYFUNCTION("""COMPUTED_VALUE"""),"NATHALIE MERTENS")</f>
        <v>NATHALIE MERTENS</v>
      </c>
      <c r="AT66" s="4" t="str">
        <f>IFERROR(__xludf.DUMMYFUNCTION("""COMPUTED_VALUE"""),"MATHEUS LESSA")</f>
        <v>MATHEUS LESSA</v>
      </c>
      <c r="AU66" s="4">
        <f>IFERROR(__xludf.DUMMYFUNCTION("""COMPUTED_VALUE"""),0.0)</f>
        <v>0</v>
      </c>
      <c r="AV66" s="4">
        <f>IFERROR(__xludf.DUMMYFUNCTION("""COMPUTED_VALUE"""),0.0)</f>
        <v>0</v>
      </c>
      <c r="AW66" s="4">
        <f>IFERROR(__xludf.DUMMYFUNCTION("""COMPUTED_VALUE"""),0.0)</f>
        <v>0</v>
      </c>
      <c r="AX66" s="4">
        <f>IFERROR(__xludf.DUMMYFUNCTION("""COMPUTED_VALUE"""),0.0)</f>
        <v>0</v>
      </c>
      <c r="AY66" s="4"/>
      <c r="AZ66" s="4" t="str">
        <f>IFERROR(__xludf.DUMMYFUNCTION("""COMPUTED_VALUE"""),"Brasileira")</f>
        <v>Brasileira</v>
      </c>
      <c r="BA66" s="4" t="str">
        <f>IFERROR(__xludf.DUMMYFUNCTION("""COMPUTED_VALUE"""),"")</f>
        <v/>
      </c>
      <c r="BB66" s="4" t="str">
        <f>IFERROR(__xludf.DUMMYFUNCTION("""COMPUTED_VALUE"""),"")</f>
        <v/>
      </c>
      <c r="BC66" s="4" t="str">
        <f>IFERROR(__xludf.DUMMYFUNCTION("""COMPUTED_VALUE"""),"")</f>
        <v/>
      </c>
      <c r="BD66" s="4" t="str">
        <f>IFERROR(__xludf.DUMMYFUNCTION("""COMPUTED_VALUE"""),"")</f>
        <v/>
      </c>
      <c r="BE66" s="4" t="str">
        <f>IFERROR(__xludf.DUMMYFUNCTION("""COMPUTED_VALUE"""),"")</f>
        <v/>
      </c>
      <c r="BF66" s="4" t="str">
        <f>IFERROR(__xludf.DUMMYFUNCTION("""COMPUTED_VALUE"""),"")</f>
        <v/>
      </c>
      <c r="BG66" s="4" t="str">
        <f>IFERROR(__xludf.DUMMYFUNCTION("""COMPUTED_VALUE"""),"")</f>
        <v/>
      </c>
      <c r="BH66" s="4" t="s">
        <v>63</v>
      </c>
      <c r="BI66" s="7" t="s">
        <v>63</v>
      </c>
    </row>
    <row r="67" hidden="1">
      <c r="A67" s="4" t="str">
        <f>IFERROR(__xludf.DUMMYFUNCTION("""COMPUTED_VALUE"""),"D QUENTINHAS")</f>
        <v>D QUENTINHAS</v>
      </c>
      <c r="B67" s="4" t="str">
        <f>IFERROR(__xludf.DUMMYFUNCTION("""COMPUTED_VALUE"""),"João Biagiotti")</f>
        <v>João Biagiotti</v>
      </c>
      <c r="C67" s="4" t="str">
        <f>IFERROR(__xludf.DUMMYFUNCTION("""COMPUTED_VALUE"""),"Diego Santos")</f>
        <v>Diego Santos</v>
      </c>
      <c r="D67" s="4" t="str">
        <f>IFERROR(__xludf.DUMMYFUNCTION("""COMPUTED_VALUE"""),"0. Não Iniciado")</f>
        <v>0. Não Iniciado</v>
      </c>
      <c r="E67" s="4"/>
      <c r="F67" s="4" t="str">
        <f>IFERROR(__xludf.DUMMYFUNCTION("""COMPUTED_VALUE"""),"P")</f>
        <v>P</v>
      </c>
      <c r="G67" s="4"/>
      <c r="H67" s="4"/>
      <c r="I67" s="4"/>
      <c r="J67" s="4"/>
      <c r="K67" s="4"/>
      <c r="L67" s="4"/>
      <c r="M67" s="4"/>
      <c r="N67" s="4"/>
      <c r="O67" s="4"/>
      <c r="P67" s="4"/>
      <c r="Q67" s="4"/>
      <c r="R67" s="4"/>
      <c r="S67" s="4"/>
      <c r="T67" s="4"/>
      <c r="U67" s="4"/>
      <c r="V67" s="4"/>
      <c r="W67" s="4"/>
      <c r="X67" s="4"/>
      <c r="Y67" s="4"/>
      <c r="Z67" s="4"/>
      <c r="AA67" s="4">
        <f>IFERROR(__xludf.DUMMYFUNCTION("""COMPUTED_VALUE"""),10.0)</f>
        <v>10</v>
      </c>
      <c r="AB67" s="4" t="str">
        <f>IFERROR(__xludf.DUMMYFUNCTION("""COMPUTED_VALUE"""),"CE")</f>
        <v>CE</v>
      </c>
      <c r="AC67" s="4" t="str">
        <f>IFERROR(__xludf.DUMMYFUNCTION("""COMPUTED_VALUE"""),"Sim")</f>
        <v>Sim</v>
      </c>
      <c r="AD67" s="4">
        <f>IFERROR(__xludf.DUMMYFUNCTION("""COMPUTED_VALUE"""),0.0)</f>
        <v>0</v>
      </c>
      <c r="AE67" s="4"/>
      <c r="AF67" s="4"/>
      <c r="AG67" s="4"/>
      <c r="AH67" s="4"/>
      <c r="AI67" s="4"/>
      <c r="AJ67" s="4"/>
      <c r="AK67" s="4"/>
      <c r="AL67" s="4"/>
      <c r="AM67" s="4" t="str">
        <f>IFERROR(__xludf.DUMMYFUNCTION("""COMPUTED_VALUE"""),"FY27")</f>
        <v>FY27</v>
      </c>
      <c r="AN67" s="4"/>
      <c r="AO67" s="4">
        <f>IFERROR(__xludf.DUMMYFUNCTION("""COMPUTED_VALUE"""),45553.0)</f>
        <v>45553</v>
      </c>
      <c r="AP67" s="4">
        <f>IFERROR(__xludf.DUMMYFUNCTION("""COMPUTED_VALUE"""),0.0)</f>
        <v>0</v>
      </c>
      <c r="AQ67" s="4">
        <f>IFERROR(__xludf.DUMMYFUNCTION("""COMPUTED_VALUE"""),0.0)</f>
        <v>0</v>
      </c>
      <c r="AR67" s="4">
        <f>IFERROR(__xludf.DUMMYFUNCTION("""COMPUTED_VALUE"""),0.0)</f>
        <v>0</v>
      </c>
      <c r="AS67" s="4">
        <f>IFERROR(__xludf.DUMMYFUNCTION("""COMPUTED_VALUE"""),0.0)</f>
        <v>0</v>
      </c>
      <c r="AT67" s="4">
        <f>IFERROR(__xludf.DUMMYFUNCTION("""COMPUTED_VALUE"""),0.0)</f>
        <v>0</v>
      </c>
      <c r="AU67" s="4">
        <f>IFERROR(__xludf.DUMMYFUNCTION("""COMPUTED_VALUE"""),0.0)</f>
        <v>0</v>
      </c>
      <c r="AV67" s="4">
        <f>IFERROR(__xludf.DUMMYFUNCTION("""COMPUTED_VALUE"""),0.0)</f>
        <v>0</v>
      </c>
      <c r="AW67" s="4">
        <f>IFERROR(__xludf.DUMMYFUNCTION("""COMPUTED_VALUE"""),0.0)</f>
        <v>0</v>
      </c>
      <c r="AX67" s="4">
        <f>IFERROR(__xludf.DUMMYFUNCTION("""COMPUTED_VALUE"""),0.0)</f>
        <v>0</v>
      </c>
      <c r="AY67" s="4"/>
      <c r="AZ67" s="4" t="str">
        <f>IFERROR(__xludf.DUMMYFUNCTION("""COMPUTED_VALUE"""),"Lanches")</f>
        <v>Lanches</v>
      </c>
      <c r="BA67" s="4">
        <f>IFERROR(__xludf.DUMMYFUNCTION("""COMPUTED_VALUE"""),32.0)</f>
        <v>32</v>
      </c>
      <c r="BB67" s="4" t="str">
        <f>IFERROR(__xludf.DUMMYFUNCTION("""COMPUTED_VALUE"""),"QSR - Comida Caseira")</f>
        <v>QSR - Comida Caseira</v>
      </c>
      <c r="BC67" s="4" t="str">
        <f>IFERROR(__xludf.DUMMYFUNCTION("""COMPUTED_VALUE"""),"Rio de Janeiro/RJ")</f>
        <v>Rio de Janeiro/RJ</v>
      </c>
      <c r="BD67" s="4" t="str">
        <f>IFERROR(__xludf.DUMMYFUNCTION("""COMPUTED_VALUE"""),"Dado não disponível publicamente - Necessário Discovery")</f>
        <v>Dado não disponível publicamente - Necessário Discovery</v>
      </c>
      <c r="BE67" s="4">
        <f>IFERROR(__xludf.DUMMYFUNCTION("""COMPUTED_VALUE"""),70.0)</f>
        <v>70</v>
      </c>
      <c r="BF67" s="4">
        <f>IFERROR(__xludf.DUMMYFUNCTION("""COMPUTED_VALUE"""),0.85)</f>
        <v>0.85</v>
      </c>
      <c r="BG67"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67" s="4" t="s">
        <v>63</v>
      </c>
      <c r="BI67" s="7" t="s">
        <v>63</v>
      </c>
    </row>
    <row r="68" hidden="1">
      <c r="A68" s="4" t="str">
        <f>IFERROR(__xludf.DUMMYFUNCTION("""COMPUTED_VALUE"""),"DA PRI")</f>
        <v>DA PRI</v>
      </c>
      <c r="B68" s="4" t="str">
        <f>IFERROR(__xludf.DUMMYFUNCTION("""COMPUTED_VALUE"""),"Lídia Esteves")</f>
        <v>Lídia Esteves</v>
      </c>
      <c r="C68" s="4" t="str">
        <f>IFERROR(__xludf.DUMMYFUNCTION("""COMPUTED_VALUE"""),"Gabriela Roma")</f>
        <v>Gabriela Roma</v>
      </c>
      <c r="D68" s="4" t="str">
        <f>IFERROR(__xludf.DUMMYFUNCTION("""COMPUTED_VALUE"""),"0. Não Iniciado")</f>
        <v>0. Não Iniciado</v>
      </c>
      <c r="E68" s="4"/>
      <c r="F68" s="4" t="str">
        <f>IFERROR(__xludf.DUMMYFUNCTION("""COMPUTED_VALUE"""),"P")</f>
        <v>P</v>
      </c>
      <c r="G68" s="4"/>
      <c r="H68" s="4"/>
      <c r="I68" s="4"/>
      <c r="J68" s="4"/>
      <c r="K68" s="4"/>
      <c r="L68" s="4"/>
      <c r="M68" s="4"/>
      <c r="N68" s="4"/>
      <c r="O68" s="4"/>
      <c r="P68" s="4"/>
      <c r="Q68" s="4"/>
      <c r="R68" s="4"/>
      <c r="S68" s="4"/>
      <c r="T68" s="4"/>
      <c r="U68" s="4"/>
      <c r="V68" s="4"/>
      <c r="W68" s="4"/>
      <c r="X68" s="4"/>
      <c r="Y68" s="4"/>
      <c r="Z68" s="4"/>
      <c r="AA68" s="4">
        <f>IFERROR(__xludf.DUMMYFUNCTION("""COMPUTED_VALUE"""),8.0)</f>
        <v>8</v>
      </c>
      <c r="AB68" s="4" t="str">
        <f>IFERROR(__xludf.DUMMYFUNCTION("""COMPUTED_VALUE"""),"CE")</f>
        <v>CE</v>
      </c>
      <c r="AC68" s="4" t="str">
        <f>IFERROR(__xludf.DUMMYFUNCTION("""COMPUTED_VALUE"""),"Sim")</f>
        <v>Sim</v>
      </c>
      <c r="AD68" s="4">
        <f>IFERROR(__xludf.DUMMYFUNCTION("""COMPUTED_VALUE"""),0.0)</f>
        <v>0</v>
      </c>
      <c r="AE68" s="4"/>
      <c r="AF68" s="4"/>
      <c r="AG68" s="4"/>
      <c r="AH68" s="4"/>
      <c r="AI68" s="4"/>
      <c r="AJ68" s="4"/>
      <c r="AK68" s="4"/>
      <c r="AL68" s="4"/>
      <c r="AM68" s="4" t="str">
        <f>IFERROR(__xludf.DUMMYFUNCTION("""COMPUTED_VALUE"""),"FY27")</f>
        <v>FY27</v>
      </c>
      <c r="AN68" s="4"/>
      <c r="AO68" s="4">
        <f>IFERROR(__xludf.DUMMYFUNCTION("""COMPUTED_VALUE"""),45553.0)</f>
        <v>45553</v>
      </c>
      <c r="AP68" s="4" t="str">
        <f>IFERROR(__xludf.DUMMYFUNCTION("""COMPUTED_VALUE"""),"ES")</f>
        <v>ES</v>
      </c>
      <c r="AQ68" s="4" t="str">
        <f>IFERROR(__xludf.DUMMYFUNCTION("""COMPUTED_VALUE"""),"LORENA PACHECO")</f>
        <v>LORENA PACHECO</v>
      </c>
      <c r="AR68" s="4" t="str">
        <f>IFERROR(__xludf.DUMMYFUNCTION("""COMPUTED_VALUE"""),"MARLON PEREIRA")</f>
        <v>MARLON PEREIRA</v>
      </c>
      <c r="AS68" s="4" t="str">
        <f>IFERROR(__xludf.DUMMYFUNCTION("""COMPUTED_VALUE"""),"FABIO DONATO")</f>
        <v>FABIO DONATO</v>
      </c>
      <c r="AT68" s="4" t="str">
        <f>IFERROR(__xludf.DUMMYFUNCTION("""COMPUTED_VALUE"""),"GILSON JUNIOR")</f>
        <v>GILSON JUNIOR</v>
      </c>
      <c r="AU68" s="4">
        <f>IFERROR(__xludf.DUMMYFUNCTION("""COMPUTED_VALUE"""),0.0)</f>
        <v>0</v>
      </c>
      <c r="AV68" s="4">
        <f>IFERROR(__xludf.DUMMYFUNCTION("""COMPUTED_VALUE"""),0.0)</f>
        <v>0</v>
      </c>
      <c r="AW68" s="4">
        <f>IFERROR(__xludf.DUMMYFUNCTION("""COMPUTED_VALUE"""),0.0)</f>
        <v>0</v>
      </c>
      <c r="AX68" s="4">
        <f>IFERROR(__xludf.DUMMYFUNCTION("""COMPUTED_VALUE"""),0.0)</f>
        <v>0</v>
      </c>
      <c r="AY68" s="4"/>
      <c r="AZ68" s="4" t="str">
        <f>IFERROR(__xludf.DUMMYFUNCTION("""COMPUTED_VALUE"""),"Doces &amp; Bolos")</f>
        <v>Doces &amp; Bolos</v>
      </c>
      <c r="BA68" s="4">
        <f>IFERROR(__xludf.DUMMYFUNCTION("""COMPUTED_VALUE"""),62.0)</f>
        <v>62</v>
      </c>
      <c r="BB68" s="4" t="str">
        <f>IFERROR(__xludf.DUMMYFUNCTION("""COMPUTED_VALUE"""),"Fast Casual - Multi-conceito")</f>
        <v>Fast Casual - Multi-conceito</v>
      </c>
      <c r="BC68" s="4" t="str">
        <f>IFERROR(__xludf.DUMMYFUNCTION("""COMPUTED_VALUE"""),"Rio de Janeiro/RJ")</f>
        <v>Rio de Janeiro/RJ</v>
      </c>
      <c r="BD68" s="4" t="str">
        <f>IFERROR(__xludf.DUMMYFUNCTION("""COMPUTED_VALUE"""),"Dado não disponível publicamente - Necessário Discovery")</f>
        <v>Dado não disponível publicamente - Necessário Discovery</v>
      </c>
      <c r="BE68" s="4">
        <f>IFERROR(__xludf.DUMMYFUNCTION("""COMPUTED_VALUE"""),70.0)</f>
        <v>70</v>
      </c>
      <c r="BF68" s="4">
        <f>IFERROR(__xludf.DUMMYFUNCTION("""COMPUTED_VALUE"""),0.75)</f>
        <v>0.75</v>
      </c>
      <c r="BG6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68" s="4" t="s">
        <v>85</v>
      </c>
      <c r="BI68" s="7">
        <v>1.0</v>
      </c>
    </row>
    <row r="69" hidden="1">
      <c r="A69" s="4" t="str">
        <f>IFERROR(__xludf.DUMMYFUNCTION("""COMPUTED_VALUE"""),"DALLE PIZZA")</f>
        <v>DALLE PIZZA</v>
      </c>
      <c r="B69" s="4" t="str">
        <f>IFERROR(__xludf.DUMMYFUNCTION("""COMPUTED_VALUE"""),"Lídia Esteves")</f>
        <v>Lídia Esteves</v>
      </c>
      <c r="C69" s="4" t="str">
        <f>IFERROR(__xludf.DUMMYFUNCTION("""COMPUTED_VALUE"""),"Gabriela Roma")</f>
        <v>Gabriela Roma</v>
      </c>
      <c r="D69" s="4" t="str">
        <f>IFERROR(__xludf.DUMMYFUNCTION("""COMPUTED_VALUE"""),"2. Primeiro Contato com a marca")</f>
        <v>2. Primeiro Contato com a marca</v>
      </c>
      <c r="E69" s="4" t="str">
        <f>IFERROR(__xludf.DUMMYFUNCTION("""COMPUTED_VALUE"""),"Delivery - Aguardando retorno / Conciliação agenda")</f>
        <v>Delivery - Aguardando retorno / Conciliação agenda</v>
      </c>
      <c r="F69" s="4" t="str">
        <f>IFERROR(__xludf.DUMMYFUNCTION("""COMPUTED_VALUE"""),"P")</f>
        <v>P</v>
      </c>
      <c r="G69" s="4"/>
      <c r="H69" s="4"/>
      <c r="I69" s="6">
        <f>IFERROR(__xludf.DUMMYFUNCTION("""COMPUTED_VALUE"""),46121.67424068287)</f>
        <v>46121.67424</v>
      </c>
      <c r="J69" s="6">
        <f>IFERROR(__xludf.DUMMYFUNCTION("""COMPUTED_VALUE"""),46139.72439533565)</f>
        <v>46139.7244</v>
      </c>
      <c r="K69" s="4"/>
      <c r="L69" s="4"/>
      <c r="M69" s="4"/>
      <c r="N69" s="4"/>
      <c r="O69" s="4"/>
      <c r="P69" s="4"/>
      <c r="Q69" s="4"/>
      <c r="R69" s="4"/>
      <c r="S69" s="4"/>
      <c r="T69" s="4"/>
      <c r="U69" s="4"/>
      <c r="V69" s="4"/>
      <c r="W69" s="4"/>
      <c r="X69" s="4"/>
      <c r="Y69" s="4"/>
      <c r="Z69" s="4"/>
      <c r="AA69" s="4">
        <f>IFERROR(__xludf.DUMMYFUNCTION("""COMPUTED_VALUE"""),10.0)</f>
        <v>10</v>
      </c>
      <c r="AB69" s="4" t="str">
        <f>IFERROR(__xludf.DUMMYFUNCTION("""COMPUTED_VALUE"""),"CE")</f>
        <v>CE</v>
      </c>
      <c r="AC69" s="4" t="str">
        <f>IFERROR(__xludf.DUMMYFUNCTION("""COMPUTED_VALUE"""),"Sim")</f>
        <v>Sim</v>
      </c>
      <c r="AD69" s="4">
        <f>IFERROR(__xludf.DUMMYFUNCTION("""COMPUTED_VALUE"""),0.0)</f>
        <v>0</v>
      </c>
      <c r="AE69" s="4"/>
      <c r="AF69" s="4"/>
      <c r="AG69" s="4"/>
      <c r="AH69" s="4"/>
      <c r="AI69" s="4"/>
      <c r="AJ69" s="4"/>
      <c r="AK69" s="4"/>
      <c r="AL69" s="4"/>
      <c r="AM69" s="4" t="str">
        <f>IFERROR(__xludf.DUMMYFUNCTION("""COMPUTED_VALUE"""),"FY27")</f>
        <v>FY27</v>
      </c>
      <c r="AN69" s="4"/>
      <c r="AO69" s="4">
        <f>IFERROR(__xludf.DUMMYFUNCTION("""COMPUTED_VALUE"""),45553.0)</f>
        <v>45553</v>
      </c>
      <c r="AP69" s="4" t="str">
        <f>IFERROR(__xludf.DUMMYFUNCTION("""COMPUTED_VALUE"""),"PR")</f>
        <v>PR</v>
      </c>
      <c r="AQ69" s="4" t="str">
        <f>IFERROR(__xludf.DUMMYFUNCTION("""COMPUTED_VALUE"""),"PAULA VERDASCA")</f>
        <v>PAULA VERDASCA</v>
      </c>
      <c r="AR69" s="4">
        <f>IFERROR(__xludf.DUMMYFUNCTION("""COMPUTED_VALUE"""),0.0)</f>
        <v>0</v>
      </c>
      <c r="AS69" s="4">
        <f>IFERROR(__xludf.DUMMYFUNCTION("""COMPUTED_VALUE"""),0.0)</f>
        <v>0</v>
      </c>
      <c r="AT69" s="4">
        <f>IFERROR(__xludf.DUMMYFUNCTION("""COMPUTED_VALUE"""),0.0)</f>
        <v>0</v>
      </c>
      <c r="AU69" s="4">
        <f>IFERROR(__xludf.DUMMYFUNCTION("""COMPUTED_VALUE"""),0.0)</f>
        <v>0</v>
      </c>
      <c r="AV69" s="4">
        <f>IFERROR(__xludf.DUMMYFUNCTION("""COMPUTED_VALUE"""),0.0)</f>
        <v>0</v>
      </c>
      <c r="AW69" s="4">
        <f>IFERROR(__xludf.DUMMYFUNCTION("""COMPUTED_VALUE"""),0.0)</f>
        <v>0</v>
      </c>
      <c r="AX69" s="4">
        <f>IFERROR(__xludf.DUMMYFUNCTION("""COMPUTED_VALUE"""),0.0)</f>
        <v>0</v>
      </c>
      <c r="AY69" s="4"/>
      <c r="AZ69" s="4" t="str">
        <f>IFERROR(__xludf.DUMMYFUNCTION("""COMPUTED_VALUE"""),"Pizza")</f>
        <v>Pizza</v>
      </c>
      <c r="BA69" s="4">
        <f>IFERROR(__xludf.DUMMYFUNCTION("""COMPUTED_VALUE"""),85.0)</f>
        <v>85</v>
      </c>
      <c r="BB69" s="4" t="str">
        <f>IFERROR(__xludf.DUMMYFUNCTION("""COMPUTED_VALUE"""),"Fast Casual - Pizzaria")</f>
        <v>Fast Casual - Pizzaria</v>
      </c>
      <c r="BC69" s="4" t="str">
        <f>IFERROR(__xludf.DUMMYFUNCTION("""COMPUTED_VALUE"""),"Sudeste")</f>
        <v>Sudeste</v>
      </c>
      <c r="BD69" s="4" t="str">
        <f>IFERROR(__xludf.DUMMYFUNCTION("""COMPUTED_VALUE"""),"Dado não disponível publicamente - Necessário Discovery")</f>
        <v>Dado não disponível publicamente - Necessário Discovery</v>
      </c>
      <c r="BE69" s="4">
        <f>IFERROR(__xludf.DUMMYFUNCTION("""COMPUTED_VALUE"""),70.0)</f>
        <v>70</v>
      </c>
      <c r="BF69" s="4">
        <f>IFERROR(__xludf.DUMMYFUNCTION("""COMPUTED_VALUE"""),0.75)</f>
        <v>0.75</v>
      </c>
      <c r="BG6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69" s="4" t="s">
        <v>63</v>
      </c>
      <c r="BI69" s="7" t="s">
        <v>63</v>
      </c>
    </row>
    <row r="70" hidden="1">
      <c r="A70" s="4" t="str">
        <f>IFERROR(__xludf.DUMMYFUNCTION("""COMPUTED_VALUE"""),"DAUNS")</f>
        <v>DAUNS</v>
      </c>
      <c r="B70" s="4" t="str">
        <f>IFERROR(__xludf.DUMMYFUNCTION("""COMPUTED_VALUE"""),"João Biagiotti")</f>
        <v>João Biagiotti</v>
      </c>
      <c r="C70" s="4" t="str">
        <f>IFERROR(__xludf.DUMMYFUNCTION("""COMPUTED_VALUE"""),"Diego Santos")</f>
        <v>Diego Santos</v>
      </c>
      <c r="D70" s="4" t="str">
        <f>IFERROR(__xludf.DUMMYFUNCTION("""COMPUTED_VALUE"""),"0. Não Iniciado")</f>
        <v>0. Não Iniciado</v>
      </c>
      <c r="E70" s="4"/>
      <c r="F70" s="4" t="str">
        <f>IFERROR(__xludf.DUMMYFUNCTION("""COMPUTED_VALUE"""),"P")</f>
        <v>P</v>
      </c>
      <c r="G70" s="4"/>
      <c r="H70" s="4"/>
      <c r="I70" s="4"/>
      <c r="J70" s="4"/>
      <c r="K70" s="4"/>
      <c r="L70" s="4"/>
      <c r="M70" s="4"/>
      <c r="N70" s="4"/>
      <c r="O70" s="4"/>
      <c r="P70" s="4"/>
      <c r="Q70" s="4"/>
      <c r="R70" s="4"/>
      <c r="S70" s="4"/>
      <c r="T70" s="4"/>
      <c r="U70" s="4"/>
      <c r="V70" s="4"/>
      <c r="W70" s="4"/>
      <c r="X70" s="4"/>
      <c r="Y70" s="4"/>
      <c r="Z70" s="4"/>
      <c r="AA70" s="4">
        <f>IFERROR(__xludf.DUMMYFUNCTION("""COMPUTED_VALUE"""),11.0)</f>
        <v>11</v>
      </c>
      <c r="AB70" s="4" t="str">
        <f>IFERROR(__xludf.DUMMYFUNCTION("""COMPUTED_VALUE"""),"CE")</f>
        <v>CE</v>
      </c>
      <c r="AC70" s="4" t="str">
        <f>IFERROR(__xludf.DUMMYFUNCTION("""COMPUTED_VALUE"""),"Sim")</f>
        <v>Sim</v>
      </c>
      <c r="AD70" s="4">
        <f>IFERROR(__xludf.DUMMYFUNCTION("""COMPUTED_VALUE"""),0.0)</f>
        <v>0</v>
      </c>
      <c r="AE70" s="4"/>
      <c r="AF70" s="4"/>
      <c r="AG70" s="4"/>
      <c r="AH70" s="4"/>
      <c r="AI70" s="4"/>
      <c r="AJ70" s="4"/>
      <c r="AK70" s="4"/>
      <c r="AL70" s="4"/>
      <c r="AM70" s="4" t="str">
        <f>IFERROR(__xludf.DUMMYFUNCTION("""COMPUTED_VALUE"""),"FY27")</f>
        <v>FY27</v>
      </c>
      <c r="AN70" s="4"/>
      <c r="AO70" s="4">
        <f>IFERROR(__xludf.DUMMYFUNCTION("""COMPUTED_VALUE"""),45553.0)</f>
        <v>45553</v>
      </c>
      <c r="AP70" s="4" t="str">
        <f>IFERROR(__xludf.DUMMYFUNCTION("""COMPUTED_VALUE"""),"SP")</f>
        <v>SP</v>
      </c>
      <c r="AQ70" s="4" t="str">
        <f>IFERROR(__xludf.DUMMYFUNCTION("""COMPUTED_VALUE"""),"LUANA TONON")</f>
        <v>LUANA TONON</v>
      </c>
      <c r="AR70" s="4">
        <f>IFERROR(__xludf.DUMMYFUNCTION("""COMPUTED_VALUE"""),0.0)</f>
        <v>0</v>
      </c>
      <c r="AS70" s="4">
        <f>IFERROR(__xludf.DUMMYFUNCTION("""COMPUTED_VALUE"""),0.0)</f>
        <v>0</v>
      </c>
      <c r="AT70" s="4">
        <f>IFERROR(__xludf.DUMMYFUNCTION("""COMPUTED_VALUE"""),0.0)</f>
        <v>0</v>
      </c>
      <c r="AU70" s="4">
        <f>IFERROR(__xludf.DUMMYFUNCTION("""COMPUTED_VALUE"""),0.0)</f>
        <v>0</v>
      </c>
      <c r="AV70" s="4">
        <f>IFERROR(__xludf.DUMMYFUNCTION("""COMPUTED_VALUE"""),0.0)</f>
        <v>0</v>
      </c>
      <c r="AW70" s="4">
        <f>IFERROR(__xludf.DUMMYFUNCTION("""COMPUTED_VALUE"""),0.0)</f>
        <v>0</v>
      </c>
      <c r="AX70" s="4">
        <f>IFERROR(__xludf.DUMMYFUNCTION("""COMPUTED_VALUE"""),0.0)</f>
        <v>0</v>
      </c>
      <c r="AY70" s="4"/>
      <c r="AZ70" s="4" t="str">
        <f>IFERROR(__xludf.DUMMYFUNCTION("""COMPUTED_VALUE"""),"Brasileira")</f>
        <v>Brasileira</v>
      </c>
      <c r="BA70" s="4">
        <f>IFERROR(__xludf.DUMMYFUNCTION("""COMPUTED_VALUE"""),66.0)</f>
        <v>66</v>
      </c>
      <c r="BB70" s="4" t="str">
        <f>IFERROR(__xludf.DUMMYFUNCTION("""COMPUTED_VALUE"""),"Fast Casual - Multi-conceito")</f>
        <v>Fast Casual - Multi-conceito</v>
      </c>
      <c r="BC70" s="4" t="str">
        <f>IFERROR(__xludf.DUMMYFUNCTION("""COMPUTED_VALUE"""),"Interior SP")</f>
        <v>Interior SP</v>
      </c>
      <c r="BD70" s="4" t="str">
        <f>IFERROR(__xludf.DUMMYFUNCTION("""COMPUTED_VALUE"""),"Dado não disponível publicamente - Necessário Discovery")</f>
        <v>Dado não disponível publicamente - Necessário Discovery</v>
      </c>
      <c r="BE70" s="4">
        <f>IFERROR(__xludf.DUMMYFUNCTION("""COMPUTED_VALUE"""),70.0)</f>
        <v>70</v>
      </c>
      <c r="BF70" s="4">
        <f>IFERROR(__xludf.DUMMYFUNCTION("""COMPUTED_VALUE"""),0.75)</f>
        <v>0.75</v>
      </c>
      <c r="BG7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70" s="4" t="s">
        <v>63</v>
      </c>
      <c r="BI70" s="7" t="s">
        <v>63</v>
      </c>
    </row>
    <row r="71" hidden="1">
      <c r="A71" s="4" t="str">
        <f>IFERROR(__xludf.DUMMYFUNCTION("""COMPUTED_VALUE"""),"DELIKATA")</f>
        <v>DELIKATA</v>
      </c>
      <c r="B71" s="4" t="str">
        <f>IFERROR(__xludf.DUMMYFUNCTION("""COMPUTED_VALUE"""),"João Biagiotti")</f>
        <v>João Biagiotti</v>
      </c>
      <c r="C71" s="4" t="str">
        <f>IFERROR(__xludf.DUMMYFUNCTION("""COMPUTED_VALUE"""),"Diego Santos")</f>
        <v>Diego Santos</v>
      </c>
      <c r="D71" s="4" t="str">
        <f>IFERROR(__xludf.DUMMYFUNCTION("""COMPUTED_VALUE"""),"0. Não Iniciado")</f>
        <v>0. Não Iniciado</v>
      </c>
      <c r="E71" s="4"/>
      <c r="F71" s="4" t="str">
        <f>IFERROR(__xludf.DUMMYFUNCTION("""COMPUTED_VALUE"""),"P")</f>
        <v>P</v>
      </c>
      <c r="G71" s="4"/>
      <c r="H71" s="4"/>
      <c r="I71" s="4"/>
      <c r="J71" s="4"/>
      <c r="K71" s="4"/>
      <c r="L71" s="4"/>
      <c r="M71" s="4"/>
      <c r="N71" s="4"/>
      <c r="O71" s="4"/>
      <c r="P71" s="4"/>
      <c r="Q71" s="4"/>
      <c r="R71" s="4"/>
      <c r="S71" s="4"/>
      <c r="T71" s="4"/>
      <c r="U71" s="4"/>
      <c r="V71" s="4"/>
      <c r="W71" s="4"/>
      <c r="X71" s="4"/>
      <c r="Y71" s="4"/>
      <c r="Z71" s="4"/>
      <c r="AA71" s="4">
        <f>IFERROR(__xludf.DUMMYFUNCTION("""COMPUTED_VALUE"""),7.0)</f>
        <v>7</v>
      </c>
      <c r="AB71" s="4" t="str">
        <f>IFERROR(__xludf.DUMMYFUNCTION("""COMPUTED_VALUE"""),"CE")</f>
        <v>CE</v>
      </c>
      <c r="AC71" s="4" t="str">
        <f>IFERROR(__xludf.DUMMYFUNCTION("""COMPUTED_VALUE"""),"Sim")</f>
        <v>Sim</v>
      </c>
      <c r="AD71" s="4" t="str">
        <f>IFERROR(__xludf.DUMMYFUNCTION("""COMPUTED_VALUE"""),"Ifood")</f>
        <v>Ifood</v>
      </c>
      <c r="AE71" s="4"/>
      <c r="AF71" s="4"/>
      <c r="AG71" s="4"/>
      <c r="AH71" s="4"/>
      <c r="AI71" s="4"/>
      <c r="AJ71" s="4"/>
      <c r="AK71" s="4"/>
      <c r="AL71" s="4"/>
      <c r="AM71" s="4" t="str">
        <f>IFERROR(__xludf.DUMMYFUNCTION("""COMPUTED_VALUE"""),"FY27")</f>
        <v>FY27</v>
      </c>
      <c r="AN71" s="4"/>
      <c r="AO71" s="4">
        <f>IFERROR(__xludf.DUMMYFUNCTION("""COMPUTED_VALUE"""),45553.0)</f>
        <v>45553</v>
      </c>
      <c r="AP71" s="4" t="str">
        <f>IFERROR(__xludf.DUMMYFUNCTION("""COMPUTED_VALUE"""),"PE")</f>
        <v>PE</v>
      </c>
      <c r="AQ71" s="4" t="str">
        <f>IFERROR(__xludf.DUMMYFUNCTION("""COMPUTED_VALUE"""),"JENNIFER SIQUEIRA")</f>
        <v>JENNIFER SIQUEIRA</v>
      </c>
      <c r="AR71" s="4" t="str">
        <f>IFERROR(__xludf.DUMMYFUNCTION("""COMPUTED_VALUE"""),"TERESA SIMOES")</f>
        <v>TERESA SIMOES</v>
      </c>
      <c r="AS71" s="4" t="str">
        <f>IFERROR(__xludf.DUMMYFUNCTION("""COMPUTED_VALUE"""),"THIAGO ROMAGNOLE")</f>
        <v>THIAGO ROMAGNOLE</v>
      </c>
      <c r="AT71" s="4" t="str">
        <f>IFERROR(__xludf.DUMMYFUNCTION("""COMPUTED_VALUE"""),"ANDERSON LAUREANO")</f>
        <v>ANDERSON LAUREANO</v>
      </c>
      <c r="AU71" s="4">
        <f>IFERROR(__xludf.DUMMYFUNCTION("""COMPUTED_VALUE"""),0.0)</f>
        <v>0</v>
      </c>
      <c r="AV71" s="4">
        <f>IFERROR(__xludf.DUMMYFUNCTION("""COMPUTED_VALUE"""),0.0)</f>
        <v>0</v>
      </c>
      <c r="AW71" s="4">
        <f>IFERROR(__xludf.DUMMYFUNCTION("""COMPUTED_VALUE"""),0.0)</f>
        <v>0</v>
      </c>
      <c r="AX71" s="4">
        <f>IFERROR(__xludf.DUMMYFUNCTION("""COMPUTED_VALUE"""),0.0)</f>
        <v>0</v>
      </c>
      <c r="AY71" s="4" t="str">
        <f>IFERROR(__xludf.DUMMYFUNCTION("""COMPUTED_VALUE"""),"Saipos Serviços De Software")</f>
        <v>Saipos Serviços De Software</v>
      </c>
      <c r="AZ71" s="4" t="str">
        <f>IFERROR(__xludf.DUMMYFUNCTION("""COMPUTED_VALUE"""),"Doces &amp; Bolos")</f>
        <v>Doces &amp; Bolos</v>
      </c>
      <c r="BA71" s="4">
        <f>IFERROR(__xludf.DUMMYFUNCTION("""COMPUTED_VALUE"""),56.0)</f>
        <v>56</v>
      </c>
      <c r="BB71" s="4" t="str">
        <f>IFERROR(__xludf.DUMMYFUNCTION("""COMPUTED_VALUE"""),"Fast Casual - Multi-conceito")</f>
        <v>Fast Casual - Multi-conceito</v>
      </c>
      <c r="BC71" s="4" t="str">
        <f>IFERROR(__xludf.DUMMYFUNCTION("""COMPUTED_VALUE"""),"Brasília/DF")</f>
        <v>Brasília/DF</v>
      </c>
      <c r="BD71" s="4" t="str">
        <f>IFERROR(__xludf.DUMMYFUNCTION("""COMPUTED_VALUE"""),"Dado não disponível publicamente - Necessário Discovery")</f>
        <v>Dado não disponível publicamente - Necessário Discovery</v>
      </c>
      <c r="BE71" s="4">
        <f>IFERROR(__xludf.DUMMYFUNCTION("""COMPUTED_VALUE"""),70.0)</f>
        <v>70</v>
      </c>
      <c r="BF71" s="4">
        <f>IFERROR(__xludf.DUMMYFUNCTION("""COMPUTED_VALUE"""),0.75)</f>
        <v>0.75</v>
      </c>
      <c r="BG7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71" s="4" t="s">
        <v>69</v>
      </c>
      <c r="BI71" s="7">
        <v>1.0</v>
      </c>
    </row>
    <row r="72" hidden="1">
      <c r="A72" s="4" t="str">
        <f>IFERROR(__xludf.DUMMYFUNCTION("""COMPUTED_VALUE"""),"DI LIANA RESTAURANTE")</f>
        <v>DI LIANA RESTAURANTE</v>
      </c>
      <c r="B72" s="4" t="str">
        <f>IFERROR(__xludf.DUMMYFUNCTION("""COMPUTED_VALUE"""),"João Biagiotti")</f>
        <v>João Biagiotti</v>
      </c>
      <c r="C72" s="4" t="str">
        <f>IFERROR(__xludf.DUMMYFUNCTION("""COMPUTED_VALUE"""),"Diego Santos")</f>
        <v>Diego Santos</v>
      </c>
      <c r="D72" s="4" t="str">
        <f>IFERROR(__xludf.DUMMYFUNCTION("""COMPUTED_VALUE"""),"0. Não Iniciado")</f>
        <v>0. Não Iniciado</v>
      </c>
      <c r="E72" s="4"/>
      <c r="F72" s="4" t="str">
        <f>IFERROR(__xludf.DUMMYFUNCTION("""COMPUTED_VALUE"""),"P")</f>
        <v>P</v>
      </c>
      <c r="G72" s="4"/>
      <c r="H72" s="4"/>
      <c r="I72" s="4"/>
      <c r="J72" s="4"/>
      <c r="K72" s="4"/>
      <c r="L72" s="4"/>
      <c r="M72" s="4"/>
      <c r="N72" s="4"/>
      <c r="O72" s="4"/>
      <c r="P72" s="4"/>
      <c r="Q72" s="4"/>
      <c r="R72" s="4"/>
      <c r="S72" s="4"/>
      <c r="T72" s="4"/>
      <c r="U72" s="4"/>
      <c r="V72" s="4"/>
      <c r="W72" s="4"/>
      <c r="X72" s="4"/>
      <c r="Y72" s="4"/>
      <c r="Z72" s="4"/>
      <c r="AA72" s="4">
        <f>IFERROR(__xludf.DUMMYFUNCTION("""COMPUTED_VALUE"""),6.0)</f>
        <v>6</v>
      </c>
      <c r="AB72" s="4" t="str">
        <f>IFERROR(__xludf.DUMMYFUNCTION("""COMPUTED_VALUE"""),"CE")</f>
        <v>CE</v>
      </c>
      <c r="AC72" s="4" t="str">
        <f>IFERROR(__xludf.DUMMYFUNCTION("""COMPUTED_VALUE"""),"Sim")</f>
        <v>Sim</v>
      </c>
      <c r="AD72" s="4" t="str">
        <f>IFERROR(__xludf.DUMMYFUNCTION("""COMPUTED_VALUE"""),"Ifood")</f>
        <v>Ifood</v>
      </c>
      <c r="AE72" s="4"/>
      <c r="AF72" s="4"/>
      <c r="AG72" s="4"/>
      <c r="AH72" s="4"/>
      <c r="AI72" s="4"/>
      <c r="AJ72" s="4"/>
      <c r="AK72" s="4"/>
      <c r="AL72" s="4"/>
      <c r="AM72" s="4" t="str">
        <f>IFERROR(__xludf.DUMMYFUNCTION("""COMPUTED_VALUE"""),"FY27")</f>
        <v>FY27</v>
      </c>
      <c r="AN72" s="4"/>
      <c r="AO72" s="4">
        <f>IFERROR(__xludf.DUMMYFUNCTION("""COMPUTED_VALUE"""),45553.0)</f>
        <v>45553</v>
      </c>
      <c r="AP72" s="4" t="str">
        <f>IFERROR(__xludf.DUMMYFUNCTION("""COMPUTED_VALUE"""),"BA")</f>
        <v>BA</v>
      </c>
      <c r="AQ72" s="4" t="str">
        <f>IFERROR(__xludf.DUMMYFUNCTION("""COMPUTED_VALUE"""),"MENEZES PAULA")</f>
        <v>MENEZES PAULA</v>
      </c>
      <c r="AR72" s="4" t="str">
        <f>IFERROR(__xludf.DUMMYFUNCTION("""COMPUTED_VALUE"""),"NIKOLAS MARQUES")</f>
        <v>NIKOLAS MARQUES</v>
      </c>
      <c r="AS72" s="4" t="str">
        <f>IFERROR(__xludf.DUMMYFUNCTION("""COMPUTED_VALUE"""),"THIAGO ROMAGNOLE")</f>
        <v>THIAGO ROMAGNOLE</v>
      </c>
      <c r="AT72" s="4" t="str">
        <f>IFERROR(__xludf.DUMMYFUNCTION("""COMPUTED_VALUE"""),"EDUARDO VAZ")</f>
        <v>EDUARDO VAZ</v>
      </c>
      <c r="AU72" s="4">
        <f>IFERROR(__xludf.DUMMYFUNCTION("""COMPUTED_VALUE"""),0.0)</f>
        <v>0</v>
      </c>
      <c r="AV72" s="4">
        <f>IFERROR(__xludf.DUMMYFUNCTION("""COMPUTED_VALUE"""),0.0)</f>
        <v>0</v>
      </c>
      <c r="AW72" s="4">
        <f>IFERROR(__xludf.DUMMYFUNCTION("""COMPUTED_VALUE"""),0.0)</f>
        <v>0</v>
      </c>
      <c r="AX72" s="4">
        <f>IFERROR(__xludf.DUMMYFUNCTION("""COMPUTED_VALUE"""),0.0)</f>
        <v>0</v>
      </c>
      <c r="AY72" s="4" t="str">
        <f>IFERROR(__xludf.DUMMYFUNCTION("""COMPUTED_VALUE"""),"Linked Gourmet Solucoes Para Restaurantes S.a")</f>
        <v>Linked Gourmet Solucoes Para Restaurantes S.a</v>
      </c>
      <c r="AZ72" s="4" t="str">
        <f>IFERROR(__xludf.DUMMYFUNCTION("""COMPUTED_VALUE"""),"Italiana")</f>
        <v>Italiana</v>
      </c>
      <c r="BA72" s="4" t="str">
        <f>IFERROR(__xludf.DUMMYFUNCTION("""COMPUTED_VALUE"""),"")</f>
        <v/>
      </c>
      <c r="BB72" s="4" t="str">
        <f>IFERROR(__xludf.DUMMYFUNCTION("""COMPUTED_VALUE"""),"")</f>
        <v/>
      </c>
      <c r="BC72" s="4" t="str">
        <f>IFERROR(__xludf.DUMMYFUNCTION("""COMPUTED_VALUE"""),"")</f>
        <v/>
      </c>
      <c r="BD72" s="4" t="str">
        <f>IFERROR(__xludf.DUMMYFUNCTION("""COMPUTED_VALUE"""),"")</f>
        <v/>
      </c>
      <c r="BE72" s="4" t="str">
        <f>IFERROR(__xludf.DUMMYFUNCTION("""COMPUTED_VALUE"""),"")</f>
        <v/>
      </c>
      <c r="BF72" s="4" t="str">
        <f>IFERROR(__xludf.DUMMYFUNCTION("""COMPUTED_VALUE"""),"")</f>
        <v/>
      </c>
      <c r="BG72" s="4" t="str">
        <f>IFERROR(__xludf.DUMMYFUNCTION("""COMPUTED_VALUE"""),"")</f>
        <v/>
      </c>
      <c r="BH72" s="4" t="s">
        <v>64</v>
      </c>
      <c r="BI72" s="7">
        <v>0.8571428571428571</v>
      </c>
    </row>
    <row r="73" hidden="1">
      <c r="A73" s="4" t="str">
        <f>IFERROR(__xludf.DUMMYFUNCTION("""COMPUTED_VALUE"""),"DI NAPOLI PIZZARIA RS")</f>
        <v>DI NAPOLI PIZZARIA RS</v>
      </c>
      <c r="B73" s="4" t="str">
        <f>IFERROR(__xludf.DUMMYFUNCTION("""COMPUTED_VALUE"""),"Lídia Esteves")</f>
        <v>Lídia Esteves</v>
      </c>
      <c r="C73" s="4" t="str">
        <f>IFERROR(__xludf.DUMMYFUNCTION("""COMPUTED_VALUE"""),"Gabriela Roma")</f>
        <v>Gabriela Roma</v>
      </c>
      <c r="D73" s="4" t="str">
        <f>IFERROR(__xludf.DUMMYFUNCTION("""COMPUTED_VALUE"""),"0. Não Iniciado")</f>
        <v>0. Não Iniciado</v>
      </c>
      <c r="E73" s="4"/>
      <c r="F73" s="4" t="str">
        <f>IFERROR(__xludf.DUMMYFUNCTION("""COMPUTED_VALUE"""),"P")</f>
        <v>P</v>
      </c>
      <c r="G73" s="4"/>
      <c r="H73" s="4"/>
      <c r="I73" s="4"/>
      <c r="J73" s="4"/>
      <c r="K73" s="4"/>
      <c r="L73" s="4"/>
      <c r="M73" s="4"/>
      <c r="N73" s="4"/>
      <c r="O73" s="4"/>
      <c r="P73" s="4"/>
      <c r="Q73" s="4"/>
      <c r="R73" s="4"/>
      <c r="S73" s="4"/>
      <c r="T73" s="4"/>
      <c r="U73" s="4"/>
      <c r="V73" s="4"/>
      <c r="W73" s="4"/>
      <c r="X73" s="4"/>
      <c r="Y73" s="4"/>
      <c r="Z73" s="4"/>
      <c r="AA73" s="4">
        <f>IFERROR(__xludf.DUMMYFUNCTION("""COMPUTED_VALUE"""),26.0)</f>
        <v>26</v>
      </c>
      <c r="AB73" s="4" t="str">
        <f>IFERROR(__xludf.DUMMYFUNCTION("""COMPUTED_VALUE"""),"-")</f>
        <v>-</v>
      </c>
      <c r="AC73" s="4" t="str">
        <f>IFERROR(__xludf.DUMMYFUNCTION("""COMPUTED_VALUE"""),"Sim")</f>
        <v>Sim</v>
      </c>
      <c r="AD73" s="4" t="str">
        <f>IFERROR(__xludf.DUMMYFUNCTION("""COMPUTED_VALUE"""),"Filialdigital")</f>
        <v>Filialdigital</v>
      </c>
      <c r="AE73" s="4"/>
      <c r="AF73" s="4"/>
      <c r="AG73" s="4"/>
      <c r="AH73" s="4"/>
      <c r="AI73" s="4"/>
      <c r="AJ73" s="4"/>
      <c r="AK73" s="4"/>
      <c r="AL73" s="4"/>
      <c r="AM73" s="4" t="str">
        <f>IFERROR(__xludf.DUMMYFUNCTION("""COMPUTED_VALUE"""),"FY27")</f>
        <v>FY27</v>
      </c>
      <c r="AN73" s="4"/>
      <c r="AO73" s="4">
        <f>IFERROR(__xludf.DUMMYFUNCTION("""COMPUTED_VALUE"""),45553.0)</f>
        <v>45553</v>
      </c>
      <c r="AP73" s="4" t="str">
        <f>IFERROR(__xludf.DUMMYFUNCTION("""COMPUTED_VALUE"""),"PR")</f>
        <v>PR</v>
      </c>
      <c r="AQ73" s="4" t="str">
        <f>IFERROR(__xludf.DUMMYFUNCTION("""COMPUTED_VALUE"""),"OLIVEIRA DOUGLAS")</f>
        <v>OLIVEIRA DOUGLAS</v>
      </c>
      <c r="AR73" s="4" t="str">
        <f>IFERROR(__xludf.DUMMYFUNCTION("""COMPUTED_VALUE"""),"RAFAEL MAGALHAES")</f>
        <v>RAFAEL MAGALHAES</v>
      </c>
      <c r="AS73" s="4" t="str">
        <f>IFERROR(__xludf.DUMMYFUNCTION("""COMPUTED_VALUE"""),"FABIO DONATO")</f>
        <v>FABIO DONATO</v>
      </c>
      <c r="AT73" s="4" t="str">
        <f>IFERROR(__xludf.DUMMYFUNCTION("""COMPUTED_VALUE"""),"CAMILA HOLANDA")</f>
        <v>CAMILA HOLANDA</v>
      </c>
      <c r="AU73" s="4">
        <f>IFERROR(__xludf.DUMMYFUNCTION("""COMPUTED_VALUE"""),0.0)</f>
        <v>0</v>
      </c>
      <c r="AV73" s="4">
        <f>IFERROR(__xludf.DUMMYFUNCTION("""COMPUTED_VALUE"""),0.0)</f>
        <v>0</v>
      </c>
      <c r="AW73" s="4">
        <f>IFERROR(__xludf.DUMMYFUNCTION("""COMPUTED_VALUE"""),0.0)</f>
        <v>0</v>
      </c>
      <c r="AX73" s="4">
        <f>IFERROR(__xludf.DUMMYFUNCTION("""COMPUTED_VALUE"""),0.0)</f>
        <v>0</v>
      </c>
      <c r="AY73" s="4"/>
      <c r="AZ73" s="4" t="str">
        <f>IFERROR(__xludf.DUMMYFUNCTION("""COMPUTED_VALUE"""),"Pizza")</f>
        <v>Pizza</v>
      </c>
      <c r="BA73" s="4">
        <f>IFERROR(__xludf.DUMMYFUNCTION("""COMPUTED_VALUE"""),79.0)</f>
        <v>79</v>
      </c>
      <c r="BB73" s="4" t="str">
        <f>IFERROR(__xludf.DUMMYFUNCTION("""COMPUTED_VALUE"""),"Fast Casual - Pizzaria")</f>
        <v>Fast Casual - Pizzaria</v>
      </c>
      <c r="BC73" s="4" t="str">
        <f>IFERROR(__xludf.DUMMYFUNCTION("""COMPUTED_VALUE"""),"Sul")</f>
        <v>Sul</v>
      </c>
      <c r="BD73" s="4" t="str">
        <f>IFERROR(__xludf.DUMMYFUNCTION("""COMPUTED_VALUE"""),"Dado não disponível publicamente - Necessário Discovery")</f>
        <v>Dado não disponível publicamente - Necessário Discovery</v>
      </c>
      <c r="BE73" s="4">
        <f>IFERROR(__xludf.DUMMYFUNCTION("""COMPUTED_VALUE"""),70.0)</f>
        <v>70</v>
      </c>
      <c r="BF73" s="4">
        <f>IFERROR(__xludf.DUMMYFUNCTION("""COMPUTED_VALUE"""),0.8)</f>
        <v>0.8</v>
      </c>
      <c r="BG73"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73" s="4" t="s">
        <v>86</v>
      </c>
      <c r="BI73" s="7">
        <v>0.6956521739130435</v>
      </c>
    </row>
    <row r="74" hidden="1">
      <c r="A74" s="4" t="str">
        <f>IFERROR(__xludf.DUMMYFUNCTION("""COMPUTED_VALUE"""),"DIGAO LANCHES")</f>
        <v>DIGAO LANCHES</v>
      </c>
      <c r="B74" s="4" t="str">
        <f>IFERROR(__xludf.DUMMYFUNCTION("""COMPUTED_VALUE"""),"João Biagiotti")</f>
        <v>João Biagiotti</v>
      </c>
      <c r="C74" s="4" t="str">
        <f>IFERROR(__xludf.DUMMYFUNCTION("""COMPUTED_VALUE"""),"Diego Santos")</f>
        <v>Diego Santos</v>
      </c>
      <c r="D74" s="4" t="str">
        <f>IFERROR(__xludf.DUMMYFUNCTION("""COMPUTED_VALUE"""),"0. Não Iniciado")</f>
        <v>0. Não Iniciado</v>
      </c>
      <c r="E74" s="4"/>
      <c r="F74" s="4" t="str">
        <f>IFERROR(__xludf.DUMMYFUNCTION("""COMPUTED_VALUE"""),"P")</f>
        <v>P</v>
      </c>
      <c r="G74" s="4"/>
      <c r="H74" s="4"/>
      <c r="I74" s="4"/>
      <c r="J74" s="4"/>
      <c r="K74" s="4"/>
      <c r="L74" s="4"/>
      <c r="M74" s="4"/>
      <c r="N74" s="4"/>
      <c r="O74" s="4"/>
      <c r="P74" s="4"/>
      <c r="Q74" s="4"/>
      <c r="R74" s="4"/>
      <c r="S74" s="4"/>
      <c r="T74" s="4"/>
      <c r="U74" s="4"/>
      <c r="V74" s="4"/>
      <c r="W74" s="4"/>
      <c r="X74" s="4"/>
      <c r="Y74" s="4"/>
      <c r="Z74" s="4"/>
      <c r="AA74" s="4">
        <f>IFERROR(__xludf.DUMMYFUNCTION("""COMPUTED_VALUE"""),23.0)</f>
        <v>23</v>
      </c>
      <c r="AB74" s="4" t="str">
        <f>IFERROR(__xludf.DUMMYFUNCTION("""COMPUTED_VALUE"""),"-")</f>
        <v>-</v>
      </c>
      <c r="AC74" s="4" t="str">
        <f>IFERROR(__xludf.DUMMYFUNCTION("""COMPUTED_VALUE"""),"Sim")</f>
        <v>Sim</v>
      </c>
      <c r="AD74" s="4" t="str">
        <f>IFERROR(__xludf.DUMMYFUNCTION("""COMPUTED_VALUE"""),"Ifood")</f>
        <v>Ifood</v>
      </c>
      <c r="AE74" s="4"/>
      <c r="AF74" s="4"/>
      <c r="AG74" s="4"/>
      <c r="AH74" s="4"/>
      <c r="AI74" s="4"/>
      <c r="AJ74" s="4"/>
      <c r="AK74" s="4"/>
      <c r="AL74" s="4"/>
      <c r="AM74" s="4" t="str">
        <f>IFERROR(__xludf.DUMMYFUNCTION("""COMPUTED_VALUE"""),"FY27")</f>
        <v>FY27</v>
      </c>
      <c r="AN74" s="4"/>
      <c r="AO74" s="4">
        <f>IFERROR(__xludf.DUMMYFUNCTION("""COMPUTED_VALUE"""),45553.0)</f>
        <v>45553</v>
      </c>
      <c r="AP74" s="4" t="str">
        <f>IFERROR(__xludf.DUMMYFUNCTION("""COMPUTED_VALUE"""),"MG")</f>
        <v>MG</v>
      </c>
      <c r="AQ74" s="4" t="str">
        <f>IFERROR(__xludf.DUMMYFUNCTION("""COMPUTED_VALUE"""),"CARLOS JESUS")</f>
        <v>CARLOS JESUS</v>
      </c>
      <c r="AR74" s="4" t="str">
        <f>IFERROR(__xludf.DUMMYFUNCTION("""COMPUTED_VALUE"""),"JEFERSON BORGES")</f>
        <v>JEFERSON BORGES</v>
      </c>
      <c r="AS74" s="4" t="str">
        <f>IFERROR(__xludf.DUMMYFUNCTION("""COMPUTED_VALUE"""),"FABIO DONATO")</f>
        <v>FABIO DONATO</v>
      </c>
      <c r="AT74" s="4" t="str">
        <f>IFERROR(__xludf.DUMMYFUNCTION("""COMPUTED_VALUE"""),"GILSON JUNIOR")</f>
        <v>GILSON JUNIOR</v>
      </c>
      <c r="AU74" s="4">
        <f>IFERROR(__xludf.DUMMYFUNCTION("""COMPUTED_VALUE"""),0.0)</f>
        <v>0</v>
      </c>
      <c r="AV74" s="4">
        <f>IFERROR(__xludf.DUMMYFUNCTION("""COMPUTED_VALUE"""),0.0)</f>
        <v>0</v>
      </c>
      <c r="AW74" s="4">
        <f>IFERROR(__xludf.DUMMYFUNCTION("""COMPUTED_VALUE"""),0.0)</f>
        <v>0</v>
      </c>
      <c r="AX74" s="4">
        <f>IFERROR(__xludf.DUMMYFUNCTION("""COMPUTED_VALUE"""),0.0)</f>
        <v>0</v>
      </c>
      <c r="AY74" s="4" t="str">
        <f>IFERROR(__xludf.DUMMYFUNCTION("""COMPUTED_VALUE"""),"Swfast Sistemas")</f>
        <v>Swfast Sistemas</v>
      </c>
      <c r="AZ74" s="4" t="str">
        <f>IFERROR(__xludf.DUMMYFUNCTION("""COMPUTED_VALUE"""),"Lanches")</f>
        <v>Lanches</v>
      </c>
      <c r="BA74" s="4" t="str">
        <f>IFERROR(__xludf.DUMMYFUNCTION("""COMPUTED_VALUE"""),"")</f>
        <v/>
      </c>
      <c r="BB74" s="4" t="str">
        <f>IFERROR(__xludf.DUMMYFUNCTION("""COMPUTED_VALUE"""),"")</f>
        <v/>
      </c>
      <c r="BC74" s="4" t="str">
        <f>IFERROR(__xludf.DUMMYFUNCTION("""COMPUTED_VALUE"""),"")</f>
        <v/>
      </c>
      <c r="BD74" s="4" t="str">
        <f>IFERROR(__xludf.DUMMYFUNCTION("""COMPUTED_VALUE"""),"")</f>
        <v/>
      </c>
      <c r="BE74" s="4" t="str">
        <f>IFERROR(__xludf.DUMMYFUNCTION("""COMPUTED_VALUE"""),"")</f>
        <v/>
      </c>
      <c r="BF74" s="4" t="str">
        <f>IFERROR(__xludf.DUMMYFUNCTION("""COMPUTED_VALUE"""),"")</f>
        <v/>
      </c>
      <c r="BG74" s="4" t="str">
        <f>IFERROR(__xludf.DUMMYFUNCTION("""COMPUTED_VALUE"""),"")</f>
        <v/>
      </c>
      <c r="BH74" s="4" t="s">
        <v>87</v>
      </c>
      <c r="BI74" s="7">
        <v>0.75</v>
      </c>
    </row>
    <row r="75" hidden="1">
      <c r="A75" s="4" t="str">
        <f>IFERROR(__xludf.DUMMYFUNCTION("""COMPUTED_VALUE"""),"DILETTO MASSAS")</f>
        <v>DILETTO MASSAS</v>
      </c>
      <c r="B75" s="4" t="str">
        <f>IFERROR(__xludf.DUMMYFUNCTION("""COMPUTED_VALUE"""),"Lídia Esteves")</f>
        <v>Lídia Esteves</v>
      </c>
      <c r="C75" s="4" t="str">
        <f>IFERROR(__xludf.DUMMYFUNCTION("""COMPUTED_VALUE"""),"Gabriela Roma")</f>
        <v>Gabriela Roma</v>
      </c>
      <c r="D75" s="4" t="str">
        <f>IFERROR(__xludf.DUMMYFUNCTION("""COMPUTED_VALUE"""),"1. Iniciado")</f>
        <v>1. Iniciado</v>
      </c>
      <c r="E75" s="4" t="str">
        <f>IFERROR(__xludf.DUMMYFUNCTION("""COMPUTED_VALUE"""),"Delivery - Aguardando retorno executivo")</f>
        <v>Delivery - Aguardando retorno executivo</v>
      </c>
      <c r="F75" s="4" t="str">
        <f>IFERROR(__xludf.DUMMYFUNCTION("""COMPUTED_VALUE"""),"P")</f>
        <v>P</v>
      </c>
      <c r="G75" s="5">
        <f>IFERROR(__xludf.DUMMYFUNCTION("""COMPUTED_VALUE"""),46156.0)</f>
        <v>46156</v>
      </c>
      <c r="H75" s="4" t="str">
        <f>IFERROR(__xludf.DUMMYFUNCTION("""COMPUTED_VALUE"""),"pedido de abertura de portas atravé da exec de delivery")</f>
        <v>pedido de abertura de portas atravé da exec de delivery</v>
      </c>
      <c r="I75" s="6">
        <f>IFERROR(__xludf.DUMMYFUNCTION("""COMPUTED_VALUE"""),46121.674326249995)</f>
        <v>46121.67433</v>
      </c>
      <c r="J75" s="4"/>
      <c r="K75" s="4"/>
      <c r="L75" s="4"/>
      <c r="M75" s="4"/>
      <c r="N75" s="4"/>
      <c r="O75" s="4"/>
      <c r="P75" s="4"/>
      <c r="Q75" s="4"/>
      <c r="R75" s="4"/>
      <c r="S75" s="4"/>
      <c r="T75" s="4"/>
      <c r="U75" s="4"/>
      <c r="V75" s="4"/>
      <c r="W75" s="4"/>
      <c r="X75" s="4"/>
      <c r="Y75" s="4"/>
      <c r="Z75" s="4"/>
      <c r="AA75" s="4">
        <f>IFERROR(__xludf.DUMMYFUNCTION("""COMPUTED_VALUE"""),6.0)</f>
        <v>6</v>
      </c>
      <c r="AB75" s="4" t="str">
        <f>IFERROR(__xludf.DUMMYFUNCTION("""COMPUTED_VALUE"""),"CE")</f>
        <v>CE</v>
      </c>
      <c r="AC75" s="4" t="str">
        <f>IFERROR(__xludf.DUMMYFUNCTION("""COMPUTED_VALUE"""),"Sim")</f>
        <v>Sim</v>
      </c>
      <c r="AD75" s="4" t="str">
        <f>IFERROR(__xludf.DUMMYFUNCTION("""COMPUTED_VALUE"""),"Ifood")</f>
        <v>Ifood</v>
      </c>
      <c r="AE75" s="4"/>
      <c r="AF75" s="4"/>
      <c r="AG75" s="4"/>
      <c r="AH75" s="4"/>
      <c r="AI75" s="4"/>
      <c r="AJ75" s="4"/>
      <c r="AK75" s="4"/>
      <c r="AL75" s="4"/>
      <c r="AM75" s="4" t="str">
        <f>IFERROR(__xludf.DUMMYFUNCTION("""COMPUTED_VALUE"""),"FY27")</f>
        <v>FY27</v>
      </c>
      <c r="AN75" s="4"/>
      <c r="AO75" s="4">
        <f>IFERROR(__xludf.DUMMYFUNCTION("""COMPUTED_VALUE"""),59.0)</f>
        <v>59</v>
      </c>
      <c r="AP75" s="4" t="str">
        <f>IFERROR(__xludf.DUMMYFUNCTION("""COMPUTED_VALUE"""),"MT")</f>
        <v>MT</v>
      </c>
      <c r="AQ75" s="4" t="str">
        <f>IFERROR(__xludf.DUMMYFUNCTION("""COMPUTED_VALUE"""),"TAMYLLE SOUSA")</f>
        <v>TAMYLLE SOUSA</v>
      </c>
      <c r="AR75" s="4" t="str">
        <f>IFERROR(__xludf.DUMMYFUNCTION("""COMPUTED_VALUE"""),"LEIDE SILVA")</f>
        <v>LEIDE SILVA</v>
      </c>
      <c r="AS75" s="4" t="str">
        <f>IFERROR(__xludf.DUMMYFUNCTION("""COMPUTED_VALUE"""),"THIAGO ROMAGNOLE")</f>
        <v>THIAGO ROMAGNOLE</v>
      </c>
      <c r="AT75" s="4" t="str">
        <f>IFERROR(__xludf.DUMMYFUNCTION("""COMPUTED_VALUE"""),"BRUNA TASSINARI")</f>
        <v>BRUNA TASSINARI</v>
      </c>
      <c r="AU75" s="4">
        <f>IFERROR(__xludf.DUMMYFUNCTION("""COMPUTED_VALUE"""),0.0)</f>
        <v>0</v>
      </c>
      <c r="AV75" s="4">
        <f>IFERROR(__xludf.DUMMYFUNCTION("""COMPUTED_VALUE"""),0.0)</f>
        <v>0</v>
      </c>
      <c r="AW75" s="4">
        <f>IFERROR(__xludf.DUMMYFUNCTION("""COMPUTED_VALUE"""),0.0)</f>
        <v>0</v>
      </c>
      <c r="AX75" s="4">
        <f>IFERROR(__xludf.DUMMYFUNCTION("""COMPUTED_VALUE"""),0.0)</f>
        <v>0</v>
      </c>
      <c r="AY75" s="4" t="str">
        <f>IFERROR(__xludf.DUMMYFUNCTION("""COMPUTED_VALUE"""),"Saipos Serviços De Software")</f>
        <v>Saipos Serviços De Software</v>
      </c>
      <c r="AZ75" s="4" t="str">
        <f>IFERROR(__xludf.DUMMYFUNCTION("""COMPUTED_VALUE"""),"Italiana")</f>
        <v>Italiana</v>
      </c>
      <c r="BA75" s="4">
        <f>IFERROR(__xludf.DUMMYFUNCTION("""COMPUTED_VALUE"""),45.0)</f>
        <v>45</v>
      </c>
      <c r="BB75" s="4" t="str">
        <f>IFERROR(__xludf.DUMMYFUNCTION("""COMPUTED_VALUE"""),"Fast Casual - Massas Frescas")</f>
        <v>Fast Casual - Massas Frescas</v>
      </c>
      <c r="BC75" s="4" t="str">
        <f>IFERROR(__xludf.DUMMYFUNCTION("""COMPUTED_VALUE"""),"Cuiabá/MT e Várzea Grande/MT")</f>
        <v>Cuiabá/MT e Várzea Grande/MT</v>
      </c>
      <c r="BD75" s="4" t="str">
        <f>IFERROR(__xludf.DUMMYFUNCTION("""COMPUTED_VALUE"""),"Dado não disponível publicamente - Necessário Discovery")</f>
        <v>Dado não disponível publicamente - Necessário Discovery</v>
      </c>
      <c r="BE75" s="4">
        <f>IFERROR(__xludf.DUMMYFUNCTION("""COMPUTED_VALUE"""),70.0)</f>
        <v>70</v>
      </c>
      <c r="BF75" s="4">
        <f>IFERROR(__xludf.DUMMYFUNCTION("""COMPUTED_VALUE"""),0.75)</f>
        <v>0.75</v>
      </c>
      <c r="BG7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75" s="4" t="s">
        <v>69</v>
      </c>
      <c r="BI75" s="7">
        <v>0.7</v>
      </c>
    </row>
    <row r="76" hidden="1">
      <c r="A76" s="4" t="str">
        <f>IFERROR(__xludf.DUMMYFUNCTION("""COMPUTED_VALUE"""),"DINA PIZZA")</f>
        <v>DINA PIZZA</v>
      </c>
      <c r="B76" s="4" t="str">
        <f>IFERROR(__xludf.DUMMYFUNCTION("""COMPUTED_VALUE"""),"Lídia Esteves")</f>
        <v>Lídia Esteves</v>
      </c>
      <c r="C76" s="4" t="str">
        <f>IFERROR(__xludf.DUMMYFUNCTION("""COMPUTED_VALUE"""),"Gabriela Roma")</f>
        <v>Gabriela Roma</v>
      </c>
      <c r="D76" s="4" t="str">
        <f>IFERROR(__xludf.DUMMYFUNCTION("""COMPUTED_VALUE"""),"1. Iniciado")</f>
        <v>1. Iniciado</v>
      </c>
      <c r="E76" s="4" t="str">
        <f>IFERROR(__xludf.DUMMYFUNCTION("""COMPUTED_VALUE"""),"Delivery - Aguardando retorno / Conciliação agenda")</f>
        <v>Delivery - Aguardando retorno / Conciliação agenda</v>
      </c>
      <c r="F76" s="4" t="str">
        <f>IFERROR(__xludf.DUMMYFUNCTION("""COMPUTED_VALUE"""),"P")</f>
        <v>P</v>
      </c>
      <c r="G76" s="4"/>
      <c r="H76" s="4"/>
      <c r="I76" s="6">
        <f>IFERROR(__xludf.DUMMYFUNCTION("""COMPUTED_VALUE"""),46121.67440304398)</f>
        <v>46121.6744</v>
      </c>
      <c r="J76" s="4"/>
      <c r="K76" s="4"/>
      <c r="L76" s="4"/>
      <c r="M76" s="4"/>
      <c r="N76" s="4"/>
      <c r="O76" s="4"/>
      <c r="P76" s="4"/>
      <c r="Q76" s="4"/>
      <c r="R76" s="4"/>
      <c r="S76" s="4"/>
      <c r="T76" s="4"/>
      <c r="U76" s="4"/>
      <c r="V76" s="4"/>
      <c r="W76" s="4"/>
      <c r="X76" s="4"/>
      <c r="Y76" s="4"/>
      <c r="Z76" s="4"/>
      <c r="AA76" s="4">
        <f>IFERROR(__xludf.DUMMYFUNCTION("""COMPUTED_VALUE"""),12.0)</f>
        <v>12</v>
      </c>
      <c r="AB76" s="4" t="str">
        <f>IFERROR(__xludf.DUMMYFUNCTION("""COMPUTED_VALUE"""),"CE")</f>
        <v>CE</v>
      </c>
      <c r="AC76" s="4" t="str">
        <f>IFERROR(__xludf.DUMMYFUNCTION("""COMPUTED_VALUE"""),"Sim")</f>
        <v>Sim</v>
      </c>
      <c r="AD76" s="4" t="str">
        <f>IFERROR(__xludf.DUMMYFUNCTION("""COMPUTED_VALUE"""),"Ifood")</f>
        <v>Ifood</v>
      </c>
      <c r="AE76" s="4"/>
      <c r="AF76" s="4"/>
      <c r="AG76" s="4"/>
      <c r="AH76" s="4"/>
      <c r="AI76" s="4"/>
      <c r="AJ76" s="4"/>
      <c r="AK76" s="4"/>
      <c r="AL76" s="4"/>
      <c r="AM76" s="4" t="str">
        <f>IFERROR(__xludf.DUMMYFUNCTION("""COMPUTED_VALUE"""),"FY27")</f>
        <v>FY27</v>
      </c>
      <c r="AN76" s="4"/>
      <c r="AO76" s="4">
        <f>IFERROR(__xludf.DUMMYFUNCTION("""COMPUTED_VALUE"""),45553.0)</f>
        <v>45553</v>
      </c>
      <c r="AP76" s="4" t="str">
        <f>IFERROR(__xludf.DUMMYFUNCTION("""COMPUTED_VALUE"""),"PR")</f>
        <v>PR</v>
      </c>
      <c r="AQ76" s="4" t="str">
        <f>IFERROR(__xludf.DUMMYFUNCTION("""COMPUTED_VALUE"""),"PAULA VERDASCA")</f>
        <v>PAULA VERDASCA</v>
      </c>
      <c r="AR76" s="4" t="str">
        <f>IFERROR(__xludf.DUMMYFUNCTION("""COMPUTED_VALUE"""),"BARBOSA FABIO")</f>
        <v>BARBOSA FABIO</v>
      </c>
      <c r="AS76" s="4" t="str">
        <f>IFERROR(__xludf.DUMMYFUNCTION("""COMPUTED_VALUE"""),"FABIO DONATO")</f>
        <v>FABIO DONATO</v>
      </c>
      <c r="AT76" s="4" t="str">
        <f>IFERROR(__xludf.DUMMYFUNCTION("""COMPUTED_VALUE"""),"MURILO NAGASHIMA")</f>
        <v>MURILO NAGASHIMA</v>
      </c>
      <c r="AU76" s="4">
        <f>IFERROR(__xludf.DUMMYFUNCTION("""COMPUTED_VALUE"""),0.0)</f>
        <v>0</v>
      </c>
      <c r="AV76" s="4">
        <f>IFERROR(__xludf.DUMMYFUNCTION("""COMPUTED_VALUE"""),0.0)</f>
        <v>0</v>
      </c>
      <c r="AW76" s="4">
        <f>IFERROR(__xludf.DUMMYFUNCTION("""COMPUTED_VALUE"""),0.0)</f>
        <v>0</v>
      </c>
      <c r="AX76" s="4">
        <f>IFERROR(__xludf.DUMMYFUNCTION("""COMPUTED_VALUE"""),0.0)</f>
        <v>0</v>
      </c>
      <c r="AY76" s="4" t="str">
        <f>IFERROR(__xludf.DUMMYFUNCTION("""COMPUTED_VALUE"""),"Jclan Sistemas")</f>
        <v>Jclan Sistemas</v>
      </c>
      <c r="AZ76" s="4" t="str">
        <f>IFERROR(__xludf.DUMMYFUNCTION("""COMPUTED_VALUE"""),"Pizza")</f>
        <v>Pizza</v>
      </c>
      <c r="BA76" s="4">
        <f>IFERROR(__xludf.DUMMYFUNCTION("""COMPUTED_VALUE"""),69.0)</f>
        <v>69</v>
      </c>
      <c r="BB76" s="4" t="str">
        <f>IFERROR(__xludf.DUMMYFUNCTION("""COMPUTED_VALUE"""),"Fast Casual - Pizzaria")</f>
        <v>Fast Casual - Pizzaria</v>
      </c>
      <c r="BC76" s="4" t="str">
        <f>IFERROR(__xludf.DUMMYFUNCTION("""COMPUTED_VALUE"""),"Sudeste")</f>
        <v>Sudeste</v>
      </c>
      <c r="BD76" s="4" t="str">
        <f>IFERROR(__xludf.DUMMYFUNCTION("""COMPUTED_VALUE"""),"Dado não disponível publicamente - Necessário Discovery")</f>
        <v>Dado não disponível publicamente - Necessário Discovery</v>
      </c>
      <c r="BE76" s="4">
        <f>IFERROR(__xludf.DUMMYFUNCTION("""COMPUTED_VALUE"""),65.0)</f>
        <v>65</v>
      </c>
      <c r="BF76" s="4">
        <f>IFERROR(__xludf.DUMMYFUNCTION("""COMPUTED_VALUE"""),0.75)</f>
        <v>0.75</v>
      </c>
      <c r="BG7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76" s="4" t="s">
        <v>64</v>
      </c>
      <c r="BI76" s="7">
        <v>0.6470588235294118</v>
      </c>
    </row>
    <row r="77" hidden="1">
      <c r="A77" s="4" t="str">
        <f>IFERROR(__xludf.DUMMYFUNCTION("""COMPUTED_VALUE"""),"DIZZY")</f>
        <v>DIZZY</v>
      </c>
      <c r="B77" s="4" t="str">
        <f>IFERROR(__xludf.DUMMYFUNCTION("""COMPUTED_VALUE"""),"João Biagiotti")</f>
        <v>João Biagiotti</v>
      </c>
      <c r="C77" s="4" t="str">
        <f>IFERROR(__xludf.DUMMYFUNCTION("""COMPUTED_VALUE"""),"Diego Santos")</f>
        <v>Diego Santos</v>
      </c>
      <c r="D77" s="4" t="str">
        <f>IFERROR(__xludf.DUMMYFUNCTION("""COMPUTED_VALUE"""),"0. Não Iniciado")</f>
        <v>0. Não Iniciado</v>
      </c>
      <c r="E77" s="4"/>
      <c r="F77" s="4" t="str">
        <f>IFERROR(__xludf.DUMMYFUNCTION("""COMPUTED_VALUE"""),"P")</f>
        <v>P</v>
      </c>
      <c r="G77" s="4"/>
      <c r="H77" s="4"/>
      <c r="I77" s="4"/>
      <c r="J77" s="4"/>
      <c r="K77" s="4"/>
      <c r="L77" s="4"/>
      <c r="M77" s="4"/>
      <c r="N77" s="4"/>
      <c r="O77" s="4"/>
      <c r="P77" s="4"/>
      <c r="Q77" s="4"/>
      <c r="R77" s="4"/>
      <c r="S77" s="4"/>
      <c r="T77" s="4"/>
      <c r="U77" s="4"/>
      <c r="V77" s="4"/>
      <c r="W77" s="4"/>
      <c r="X77" s="4"/>
      <c r="Y77" s="4"/>
      <c r="Z77" s="4"/>
      <c r="AA77" s="4">
        <f>IFERROR(__xludf.DUMMYFUNCTION("""COMPUTED_VALUE"""),8.0)</f>
        <v>8</v>
      </c>
      <c r="AB77" s="4" t="str">
        <f>IFERROR(__xludf.DUMMYFUNCTION("""COMPUTED_VALUE"""),"CE")</f>
        <v>CE</v>
      </c>
      <c r="AC77" s="4" t="str">
        <f>IFERROR(__xludf.DUMMYFUNCTION("""COMPUTED_VALUE"""),"Sim")</f>
        <v>Sim</v>
      </c>
      <c r="AD77" s="4" t="str">
        <f>IFERROR(__xludf.DUMMYFUNCTION("""COMPUTED_VALUE"""),"Ifood")</f>
        <v>Ifood</v>
      </c>
      <c r="AE77" s="4"/>
      <c r="AF77" s="4"/>
      <c r="AG77" s="4"/>
      <c r="AH77" s="4"/>
      <c r="AI77" s="4"/>
      <c r="AJ77" s="4"/>
      <c r="AK77" s="4"/>
      <c r="AL77" s="4"/>
      <c r="AM77" s="4" t="str">
        <f>IFERROR(__xludf.DUMMYFUNCTION("""COMPUTED_VALUE"""),"FY27")</f>
        <v>FY27</v>
      </c>
      <c r="AN77" s="4"/>
      <c r="AO77" s="4">
        <f>IFERROR(__xludf.DUMMYFUNCTION("""COMPUTED_VALUE"""),45553.0)</f>
        <v>45553</v>
      </c>
      <c r="AP77" s="4" t="str">
        <f>IFERROR(__xludf.DUMMYFUNCTION("""COMPUTED_VALUE"""),"SP")</f>
        <v>SP</v>
      </c>
      <c r="AQ77" s="4" t="str">
        <f>IFERROR(__xludf.DUMMYFUNCTION("""COMPUTED_VALUE"""),"RODRIGO ALBANESE")</f>
        <v>RODRIGO ALBANESE</v>
      </c>
      <c r="AR77" s="4" t="str">
        <f>IFERROR(__xludf.DUMMYFUNCTION("""COMPUTED_VALUE"""),"DEBORA SANTOS")</f>
        <v>DEBORA SANTOS</v>
      </c>
      <c r="AS77" s="4" t="str">
        <f>IFERROR(__xludf.DUMMYFUNCTION("""COMPUTED_VALUE"""),"NATHALIE MERTENS")</f>
        <v>NATHALIE MERTENS</v>
      </c>
      <c r="AT77" s="4" t="str">
        <f>IFERROR(__xludf.DUMMYFUNCTION("""COMPUTED_VALUE"""),"MATHEUS LESSA")</f>
        <v>MATHEUS LESSA</v>
      </c>
      <c r="AU77" s="4">
        <f>IFERROR(__xludf.DUMMYFUNCTION("""COMPUTED_VALUE"""),0.0)</f>
        <v>0</v>
      </c>
      <c r="AV77" s="4">
        <f>IFERROR(__xludf.DUMMYFUNCTION("""COMPUTED_VALUE"""),0.0)</f>
        <v>0</v>
      </c>
      <c r="AW77" s="4">
        <f>IFERROR(__xludf.DUMMYFUNCTION("""COMPUTED_VALUE"""),0.0)</f>
        <v>0</v>
      </c>
      <c r="AX77" s="4">
        <f>IFERROR(__xludf.DUMMYFUNCTION("""COMPUTED_VALUE"""),0.0)</f>
        <v>0</v>
      </c>
      <c r="AY77" s="4"/>
      <c r="AZ77" s="4" t="str">
        <f>IFERROR(__xludf.DUMMYFUNCTION("""COMPUTED_VALUE"""),"Japonesa")</f>
        <v>Japonesa</v>
      </c>
      <c r="BA77" s="4">
        <f>IFERROR(__xludf.DUMMYFUNCTION("""COMPUTED_VALUE"""),69.0)</f>
        <v>69</v>
      </c>
      <c r="BB77" s="4" t="str">
        <f>IFERROR(__xludf.DUMMYFUNCTION("""COMPUTED_VALUE"""),"Fast Casual - Multi-conceito")</f>
        <v>Fast Casual - Multi-conceito</v>
      </c>
      <c r="BC77" s="4" t="str">
        <f>IFERROR(__xludf.DUMMYFUNCTION("""COMPUTED_VALUE"""),"Sudeste")</f>
        <v>Sudeste</v>
      </c>
      <c r="BD77" s="4" t="str">
        <f>IFERROR(__xludf.DUMMYFUNCTION("""COMPUTED_VALUE"""),"Dado não disponível publicamente - Necessário Discovery")</f>
        <v>Dado não disponível publicamente - Necessário Discovery</v>
      </c>
      <c r="BE77" s="4">
        <f>IFERROR(__xludf.DUMMYFUNCTION("""COMPUTED_VALUE"""),65.0)</f>
        <v>65</v>
      </c>
      <c r="BF77" s="4">
        <f>IFERROR(__xludf.DUMMYFUNCTION("""COMPUTED_VALUE"""),0.75)</f>
        <v>0.75</v>
      </c>
      <c r="BG7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77" s="4" t="s">
        <v>74</v>
      </c>
      <c r="BI77" s="7">
        <v>0.875</v>
      </c>
    </row>
    <row r="78" hidden="1">
      <c r="A78" s="4" t="str">
        <f>IFERROR(__xludf.DUMMYFUNCTION("""COMPUTED_VALUE"""),"DOCE MAGIA")</f>
        <v>DOCE MAGIA</v>
      </c>
      <c r="B78" s="4" t="str">
        <f>IFERROR(__xludf.DUMMYFUNCTION("""COMPUTED_VALUE"""),"Lídia Esteves")</f>
        <v>Lídia Esteves</v>
      </c>
      <c r="C78" s="4" t="str">
        <f>IFERROR(__xludf.DUMMYFUNCTION("""COMPUTED_VALUE"""),"Gabriela Roma")</f>
        <v>Gabriela Roma</v>
      </c>
      <c r="D78" s="4" t="str">
        <f>IFERROR(__xludf.DUMMYFUNCTION("""COMPUTED_VALUE"""),"1. Iniciado")</f>
        <v>1. Iniciado</v>
      </c>
      <c r="E78" s="4" t="str">
        <f>IFERROR(__xludf.DUMMYFUNCTION("""COMPUTED_VALUE"""),"Delivery - Aguardando retorno / Conciliação agenda")</f>
        <v>Delivery - Aguardando retorno / Conciliação agenda</v>
      </c>
      <c r="F78" s="4" t="str">
        <f>IFERROR(__xludf.DUMMYFUNCTION("""COMPUTED_VALUE"""),"P")</f>
        <v>P</v>
      </c>
      <c r="G78" s="4"/>
      <c r="H78" s="4"/>
      <c r="I78" s="6">
        <f>IFERROR(__xludf.DUMMYFUNCTION("""COMPUTED_VALUE"""),46121.67444994213)</f>
        <v>46121.67445</v>
      </c>
      <c r="J78" s="4"/>
      <c r="K78" s="4"/>
      <c r="L78" s="4"/>
      <c r="M78" s="4"/>
      <c r="N78" s="4"/>
      <c r="O78" s="4"/>
      <c r="P78" s="4"/>
      <c r="Q78" s="4"/>
      <c r="R78" s="4"/>
      <c r="S78" s="4"/>
      <c r="T78" s="4"/>
      <c r="U78" s="4"/>
      <c r="V78" s="4"/>
      <c r="W78" s="4"/>
      <c r="X78" s="4"/>
      <c r="Y78" s="4"/>
      <c r="Z78" s="4"/>
      <c r="AA78" s="4">
        <f>IFERROR(__xludf.DUMMYFUNCTION("""COMPUTED_VALUE"""),6.0)</f>
        <v>6</v>
      </c>
      <c r="AB78" s="4" t="str">
        <f>IFERROR(__xludf.DUMMYFUNCTION("""COMPUTED_VALUE"""),"CE")</f>
        <v>CE</v>
      </c>
      <c r="AC78" s="4" t="str">
        <f>IFERROR(__xludf.DUMMYFUNCTION("""COMPUTED_VALUE"""),"Sim")</f>
        <v>Sim</v>
      </c>
      <c r="AD78" s="4" t="str">
        <f>IFERROR(__xludf.DUMMYFUNCTION("""COMPUTED_VALUE"""),"Ifood")</f>
        <v>Ifood</v>
      </c>
      <c r="AE78" s="4"/>
      <c r="AF78" s="4"/>
      <c r="AG78" s="4"/>
      <c r="AH78" s="4"/>
      <c r="AI78" s="4"/>
      <c r="AJ78" s="4"/>
      <c r="AK78" s="4"/>
      <c r="AL78" s="4"/>
      <c r="AM78" s="4" t="str">
        <f>IFERROR(__xludf.DUMMYFUNCTION("""COMPUTED_VALUE"""),"FY27")</f>
        <v>FY27</v>
      </c>
      <c r="AN78" s="4"/>
      <c r="AO78" s="4">
        <f>IFERROR(__xludf.DUMMYFUNCTION("""COMPUTED_VALUE"""),45553.0)</f>
        <v>45553</v>
      </c>
      <c r="AP78" s="4" t="str">
        <f>IFERROR(__xludf.DUMMYFUNCTION("""COMPUTED_VALUE"""),"SP")</f>
        <v>SP</v>
      </c>
      <c r="AQ78" s="4" t="str">
        <f>IFERROR(__xludf.DUMMYFUNCTION("""COMPUTED_VALUE"""),"CAROLINE MORETTI")</f>
        <v>CAROLINE MORETTI</v>
      </c>
      <c r="AR78" s="4" t="str">
        <f>IFERROR(__xludf.DUMMYFUNCTION("""COMPUTED_VALUE"""),"TATIANE LEITE")</f>
        <v>TATIANE LEITE</v>
      </c>
      <c r="AS78" s="4" t="str">
        <f>IFERROR(__xludf.DUMMYFUNCTION("""COMPUTED_VALUE"""),"ALAN HADDAD")</f>
        <v>ALAN HADDAD</v>
      </c>
      <c r="AT78" s="4" t="str">
        <f>IFERROR(__xludf.DUMMYFUNCTION("""COMPUTED_VALUE"""),"GABRIEL PERES")</f>
        <v>GABRIEL PERES</v>
      </c>
      <c r="AU78" s="4">
        <f>IFERROR(__xludf.DUMMYFUNCTION("""COMPUTED_VALUE"""),0.0)</f>
        <v>0</v>
      </c>
      <c r="AV78" s="4">
        <f>IFERROR(__xludf.DUMMYFUNCTION("""COMPUTED_VALUE"""),0.0)</f>
        <v>0</v>
      </c>
      <c r="AW78" s="4">
        <f>IFERROR(__xludf.DUMMYFUNCTION("""COMPUTED_VALUE"""),0.0)</f>
        <v>0</v>
      </c>
      <c r="AX78" s="4">
        <f>IFERROR(__xludf.DUMMYFUNCTION("""COMPUTED_VALUE"""),0.0)</f>
        <v>0</v>
      </c>
      <c r="AY78" s="4"/>
      <c r="AZ78" s="4" t="str">
        <f>IFERROR(__xludf.DUMMYFUNCTION("""COMPUTED_VALUE"""),"Doces &amp; Bolos")</f>
        <v>Doces &amp; Bolos</v>
      </c>
      <c r="BA78" s="4">
        <f>IFERROR(__xludf.DUMMYFUNCTION("""COMPUTED_VALUE"""),42.0)</f>
        <v>42</v>
      </c>
      <c r="BB78" s="4" t="str">
        <f>IFERROR(__xludf.DUMMYFUNCTION("""COMPUTED_VALUE"""),"Varejo - Confeitaria")</f>
        <v>Varejo - Confeitaria</v>
      </c>
      <c r="BC78" s="4" t="str">
        <f>IFERROR(__xludf.DUMMYFUNCTION("""COMPUTED_VALUE"""),"Interior SP")</f>
        <v>Interior SP</v>
      </c>
      <c r="BD78" s="4" t="str">
        <f>IFERROR(__xludf.DUMMYFUNCTION("""COMPUTED_VALUE"""),"Dado não disponível publicamente - Necessário Discovery")</f>
        <v>Dado não disponível publicamente - Necessário Discovery</v>
      </c>
      <c r="BE78" s="4">
        <f>IFERROR(__xludf.DUMMYFUNCTION("""COMPUTED_VALUE"""),35.0)</f>
        <v>35</v>
      </c>
      <c r="BF78" s="4">
        <f>IFERROR(__xludf.DUMMYFUNCTION("""COMPUTED_VALUE"""),0.5)</f>
        <v>0.5</v>
      </c>
      <c r="BG78"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78" s="4" t="s">
        <v>88</v>
      </c>
      <c r="BI78" s="7">
        <v>0.8333333333333334</v>
      </c>
    </row>
    <row r="79" hidden="1">
      <c r="A79" s="4" t="str">
        <f>IFERROR(__xludf.DUMMYFUNCTION("""COMPUTED_VALUE"""),"DOFFEE DONUTS COFFEE - CONTA MARCA")</f>
        <v>DOFFEE DONUTS COFFEE - CONTA MARCA</v>
      </c>
      <c r="B79" s="4" t="str">
        <f>IFERROR(__xludf.DUMMYFUNCTION("""COMPUTED_VALUE"""),"Lídia Esteves")</f>
        <v>Lídia Esteves</v>
      </c>
      <c r="C79" s="4" t="str">
        <f>IFERROR(__xludf.DUMMYFUNCTION("""COMPUTED_VALUE"""),"Gabriela Roma")</f>
        <v>Gabriela Roma</v>
      </c>
      <c r="D79" s="4" t="str">
        <f>IFERROR(__xludf.DUMMYFUNCTION("""COMPUTED_VALUE"""),"2. Primeiro Contato com a marca")</f>
        <v>2. Primeiro Contato com a marca</v>
      </c>
      <c r="E79" s="4" t="str">
        <f>IFERROR(__xludf.DUMMYFUNCTION("""COMPUTED_VALUE"""),"Parceiro - Aguardando retorno / Conciliação agenda")</f>
        <v>Parceiro - Aguardando retorno / Conciliação agenda</v>
      </c>
      <c r="F79" s="4" t="str">
        <f>IFERROR(__xludf.DUMMYFUNCTION("""COMPUTED_VALUE"""),"P")</f>
        <v>P</v>
      </c>
      <c r="G79" s="4"/>
      <c r="H79" s="4"/>
      <c r="I79" s="6">
        <f>IFERROR(__xludf.DUMMYFUNCTION("""COMPUTED_VALUE"""),46121.674521215275)</f>
        <v>46121.67452</v>
      </c>
      <c r="J79" s="6">
        <f>IFERROR(__xludf.DUMMYFUNCTION("""COMPUTED_VALUE"""),46126.71444377315)</f>
        <v>46126.71444</v>
      </c>
      <c r="K79" s="4"/>
      <c r="L79" s="4"/>
      <c r="M79" s="4"/>
      <c r="N79" s="4"/>
      <c r="O79" s="4"/>
      <c r="P79" s="4"/>
      <c r="Q79" s="4"/>
      <c r="R79" s="4"/>
      <c r="S79" s="4"/>
      <c r="T79" s="4"/>
      <c r="U79" s="4"/>
      <c r="V79" s="4"/>
      <c r="W79" s="4"/>
      <c r="X79" s="4"/>
      <c r="Y79" s="4"/>
      <c r="Z79" s="4"/>
      <c r="AA79" s="4">
        <f>IFERROR(__xludf.DUMMYFUNCTION("""COMPUTED_VALUE"""),17.0)</f>
        <v>17</v>
      </c>
      <c r="AB79" s="4" t="str">
        <f>IFERROR(__xludf.DUMMYFUNCTION("""COMPUTED_VALUE"""),"-")</f>
        <v>-</v>
      </c>
      <c r="AC79" s="4" t="str">
        <f>IFERROR(__xludf.DUMMYFUNCTION("""COMPUTED_VALUE"""),"Sim")</f>
        <v>Sim</v>
      </c>
      <c r="AD79" s="4" t="str">
        <f>IFERROR(__xludf.DUMMYFUNCTION("""COMPUTED_VALUE"""),"Ifood")</f>
        <v>Ifood</v>
      </c>
      <c r="AE79" s="4"/>
      <c r="AF79" s="4"/>
      <c r="AG79" s="4"/>
      <c r="AH79" s="4"/>
      <c r="AI79" s="4"/>
      <c r="AJ79" s="4"/>
      <c r="AK79" s="4"/>
      <c r="AL79" s="4"/>
      <c r="AM79" s="4" t="str">
        <f>IFERROR(__xludf.DUMMYFUNCTION("""COMPUTED_VALUE"""),"FY27")</f>
        <v>FY27</v>
      </c>
      <c r="AN79" s="4"/>
      <c r="AO79" s="4">
        <f>IFERROR(__xludf.DUMMYFUNCTION("""COMPUTED_VALUE"""),45553.0)</f>
        <v>45553</v>
      </c>
      <c r="AP79" s="4" t="str">
        <f>IFERROR(__xludf.DUMMYFUNCTION("""COMPUTED_VALUE"""),"SC")</f>
        <v>SC</v>
      </c>
      <c r="AQ79" s="4" t="str">
        <f>IFERROR(__xludf.DUMMYFUNCTION("""COMPUTED_VALUE"""),"PAULA VERDASCA")</f>
        <v>PAULA VERDASCA</v>
      </c>
      <c r="AR79" s="4" t="str">
        <f>IFERROR(__xludf.DUMMYFUNCTION("""COMPUTED_VALUE"""),"ANELISE BOESE")</f>
        <v>ANELISE BOESE</v>
      </c>
      <c r="AS79" s="4" t="str">
        <f>IFERROR(__xludf.DUMMYFUNCTION("""COMPUTED_VALUE"""),"FABIO DONATO")</f>
        <v>FABIO DONATO</v>
      </c>
      <c r="AT79" s="4" t="str">
        <f>IFERROR(__xludf.DUMMYFUNCTION("""COMPUTED_VALUE"""),"MURILO NAGASHIMA")</f>
        <v>MURILO NAGASHIMA</v>
      </c>
      <c r="AU79" s="4">
        <f>IFERROR(__xludf.DUMMYFUNCTION("""COMPUTED_VALUE"""),0.0)</f>
        <v>0</v>
      </c>
      <c r="AV79" s="4">
        <f>IFERROR(__xludf.DUMMYFUNCTION("""COMPUTED_VALUE"""),0.0)</f>
        <v>0</v>
      </c>
      <c r="AW79" s="4">
        <f>IFERROR(__xludf.DUMMYFUNCTION("""COMPUTED_VALUE"""),0.0)</f>
        <v>0</v>
      </c>
      <c r="AX79" s="4">
        <f>IFERROR(__xludf.DUMMYFUNCTION("""COMPUTED_VALUE"""),0.0)</f>
        <v>0</v>
      </c>
      <c r="AY79" s="4"/>
      <c r="AZ79" s="4" t="str">
        <f>IFERROR(__xludf.DUMMYFUNCTION("""COMPUTED_VALUE"""),"Doces &amp; Bolos")</f>
        <v>Doces &amp; Bolos</v>
      </c>
      <c r="BA79" s="4" t="str">
        <f>IFERROR(__xludf.DUMMYFUNCTION("""COMPUTED_VALUE"""),"")</f>
        <v/>
      </c>
      <c r="BB79" s="4" t="str">
        <f>IFERROR(__xludf.DUMMYFUNCTION("""COMPUTED_VALUE"""),"")</f>
        <v/>
      </c>
      <c r="BC79" s="4" t="str">
        <f>IFERROR(__xludf.DUMMYFUNCTION("""COMPUTED_VALUE"""),"")</f>
        <v/>
      </c>
      <c r="BD79" s="4" t="str">
        <f>IFERROR(__xludf.DUMMYFUNCTION("""COMPUTED_VALUE"""),"")</f>
        <v/>
      </c>
      <c r="BE79" s="4" t="str">
        <f>IFERROR(__xludf.DUMMYFUNCTION("""COMPUTED_VALUE"""),"")</f>
        <v/>
      </c>
      <c r="BF79" s="4" t="str">
        <f>IFERROR(__xludf.DUMMYFUNCTION("""COMPUTED_VALUE"""),"")</f>
        <v/>
      </c>
      <c r="BG79" s="4" t="str">
        <f>IFERROR(__xludf.DUMMYFUNCTION("""COMPUTED_VALUE"""),"")</f>
        <v/>
      </c>
      <c r="BH79" s="4" t="s">
        <v>89</v>
      </c>
      <c r="BI79" s="7">
        <v>0.7368421052631579</v>
      </c>
    </row>
    <row r="80" hidden="1">
      <c r="A80" s="4" t="str">
        <f>IFERROR(__xludf.DUMMYFUNCTION("""COMPUTED_VALUE"""),"DOM GALLETO")</f>
        <v>DOM GALLETO</v>
      </c>
      <c r="B80" s="4" t="str">
        <f>IFERROR(__xludf.DUMMYFUNCTION("""COMPUTED_VALUE"""),"Lídia Esteves")</f>
        <v>Lídia Esteves</v>
      </c>
      <c r="C80" s="4" t="str">
        <f>IFERROR(__xludf.DUMMYFUNCTION("""COMPUTED_VALUE"""),"Gabriela Roma")</f>
        <v>Gabriela Roma</v>
      </c>
      <c r="D80" s="4" t="str">
        <f>IFERROR(__xludf.DUMMYFUNCTION("""COMPUTED_VALUE"""),"6. Negociação")</f>
        <v>6. Negociação</v>
      </c>
      <c r="E80" s="4" t="str">
        <f>IFERROR(__xludf.DUMMYFUNCTION("""COMPUTED_VALUE"""),"Parceiro - Em validação de proposta comercial")</f>
        <v>Parceiro - Em validação de proposta comercial</v>
      </c>
      <c r="F80" s="4" t="str">
        <f>IFERROR(__xludf.DUMMYFUNCTION("""COMPUTED_VALUE"""),"P")</f>
        <v>P</v>
      </c>
      <c r="G80" s="5">
        <f>IFERROR(__xludf.DUMMYFUNCTION("""COMPUTED_VALUE"""),46154.0)</f>
        <v>46154</v>
      </c>
      <c r="H80" s="4" t="str">
        <f>IFERROR(__xludf.DUMMYFUNCTION("""COMPUTED_VALUE"""),"Fizemos demo 08/05 parceiro gostou, enviando proposta para validação.")</f>
        <v>Fizemos demo 08/05 parceiro gostou, enviando proposta para validação.</v>
      </c>
      <c r="I80" s="6">
        <f>IFERROR(__xludf.DUMMYFUNCTION("""COMPUTED_VALUE"""),46126.71433321759)</f>
        <v>46126.71433</v>
      </c>
      <c r="J80" s="6">
        <f>IFERROR(__xludf.DUMMYFUNCTION("""COMPUTED_VALUE"""),46139.72199478009)</f>
        <v>46139.72199</v>
      </c>
      <c r="K80" s="6">
        <f>IFERROR(__xludf.DUMMYFUNCTION("""COMPUTED_VALUE"""),46140.40428028935)</f>
        <v>46140.40428</v>
      </c>
      <c r="L80" s="6">
        <f>IFERROR(__xludf.DUMMYFUNCTION("""COMPUTED_VALUE"""),46150.553116435185)</f>
        <v>46150.55312</v>
      </c>
      <c r="M80" s="6">
        <f>IFERROR(__xludf.DUMMYFUNCTION("""COMPUTED_VALUE"""),46150.55423256944)</f>
        <v>46150.55423</v>
      </c>
      <c r="N80" s="6">
        <f>IFERROR(__xludf.DUMMYFUNCTION("""COMPUTED_VALUE"""),46154.446357395835)</f>
        <v>46154.44636</v>
      </c>
      <c r="O80" s="4"/>
      <c r="P80" s="4"/>
      <c r="Q80" s="4"/>
      <c r="R80" s="4"/>
      <c r="S80" s="4"/>
      <c r="T80" s="4"/>
      <c r="U80" s="4"/>
      <c r="V80" s="4"/>
      <c r="W80" s="4"/>
      <c r="X80" s="4"/>
      <c r="Y80" s="4"/>
      <c r="Z80" s="4"/>
      <c r="AA80" s="4">
        <f>IFERROR(__xludf.DUMMYFUNCTION("""COMPUTED_VALUE"""),5.0)</f>
        <v>5</v>
      </c>
      <c r="AB80" s="4" t="str">
        <f>IFERROR(__xludf.DUMMYFUNCTION("""COMPUTED_VALUE"""),"CE")</f>
        <v>CE</v>
      </c>
      <c r="AC80" s="4" t="str">
        <f>IFERROR(__xludf.DUMMYFUNCTION("""COMPUTED_VALUE"""),"Sim")</f>
        <v>Sim</v>
      </c>
      <c r="AD80" s="4" t="str">
        <f>IFERROR(__xludf.DUMMYFUNCTION("""COMPUTED_VALUE"""),"Ifood")</f>
        <v>Ifood</v>
      </c>
      <c r="AE80" s="4"/>
      <c r="AF80" s="4"/>
      <c r="AG80" s="4"/>
      <c r="AH80" s="4">
        <f>IFERROR(__xludf.DUMMYFUNCTION("""COMPUTED_VALUE"""),5.0)</f>
        <v>5</v>
      </c>
      <c r="AI80" s="4"/>
      <c r="AJ80" s="4" t="str">
        <f>IFERROR(__xludf.DUMMYFUNCTION("""COMPUTED_VALUE"""),"infel")</f>
        <v>infel</v>
      </c>
      <c r="AK80" s="4" t="str">
        <f>IFERROR(__xludf.DUMMYFUNCTION("""COMPUTED_VALUE"""),"balcao , delivery , take away")</f>
        <v>balcao , delivery , take away</v>
      </c>
      <c r="AL80" s="4" t="str">
        <f>IFERROR(__xludf.DUMMYFUNCTION("""COMPUTED_VALUE"""),"SIM")</f>
        <v>SIM</v>
      </c>
      <c r="AM80" s="4" t="str">
        <f>IFERROR(__xludf.DUMMYFUNCTION("""COMPUTED_VALUE"""),"FY27")</f>
        <v>FY27</v>
      </c>
      <c r="AN80" s="4"/>
      <c r="AO80" s="4">
        <f>IFERROR(__xludf.DUMMYFUNCTION("""COMPUTED_VALUE"""),61.0)</f>
        <v>61</v>
      </c>
      <c r="AP80" s="4" t="str">
        <f>IFERROR(__xludf.DUMMYFUNCTION("""COMPUTED_VALUE"""),"RJ")</f>
        <v>RJ</v>
      </c>
      <c r="AQ80" s="4" t="str">
        <f>IFERROR(__xludf.DUMMYFUNCTION("""COMPUTED_VALUE"""),"JUAN CHAROTTA")</f>
        <v>JUAN CHAROTTA</v>
      </c>
      <c r="AR80" s="4" t="str">
        <f>IFERROR(__xludf.DUMMYFUNCTION("""COMPUTED_VALUE"""),"BRUNA MEDEIROS")</f>
        <v>BRUNA MEDEIROS</v>
      </c>
      <c r="AS80" s="4" t="str">
        <f>IFERROR(__xludf.DUMMYFUNCTION("""COMPUTED_VALUE"""),"NATHALIE MERTENS")</f>
        <v>NATHALIE MERTENS</v>
      </c>
      <c r="AT80" s="4" t="str">
        <f>IFERROR(__xludf.DUMMYFUNCTION("""COMPUTED_VALUE"""),"NATALIA COUTINHO")</f>
        <v>NATALIA COUTINHO</v>
      </c>
      <c r="AU80" s="4">
        <f>IFERROR(__xludf.DUMMYFUNCTION("""COMPUTED_VALUE"""),0.0)</f>
        <v>0</v>
      </c>
      <c r="AV80" s="4">
        <f>IFERROR(__xludf.DUMMYFUNCTION("""COMPUTED_VALUE"""),0.0)</f>
        <v>0</v>
      </c>
      <c r="AW80" s="4">
        <f>IFERROR(__xludf.DUMMYFUNCTION("""COMPUTED_VALUE"""),0.0)</f>
        <v>0</v>
      </c>
      <c r="AX80" s="4">
        <f>IFERROR(__xludf.DUMMYFUNCTION("""COMPUTED_VALUE"""),0.0)</f>
        <v>0</v>
      </c>
      <c r="AY80" s="4" t="str">
        <f>IFERROR(__xludf.DUMMYFUNCTION("""COMPUTED_VALUE"""),"Inffel Servicos Em Tecnologia Ltda")</f>
        <v>Inffel Servicos Em Tecnologia Ltda</v>
      </c>
      <c r="AZ80" s="4" t="str">
        <f>IFERROR(__xludf.DUMMYFUNCTION("""COMPUTED_VALUE"""),"Pizza")</f>
        <v>Pizza</v>
      </c>
      <c r="BA80" s="4" t="str">
        <f>IFERROR(__xludf.DUMMYFUNCTION("""COMPUTED_VALUE"""),"")</f>
        <v/>
      </c>
      <c r="BB80" s="4" t="str">
        <f>IFERROR(__xludf.DUMMYFUNCTION("""COMPUTED_VALUE"""),"")</f>
        <v/>
      </c>
      <c r="BC80" s="4" t="str">
        <f>IFERROR(__xludf.DUMMYFUNCTION("""COMPUTED_VALUE"""),"")</f>
        <v/>
      </c>
      <c r="BD80" s="4" t="str">
        <f>IFERROR(__xludf.DUMMYFUNCTION("""COMPUTED_VALUE"""),"")</f>
        <v/>
      </c>
      <c r="BE80" s="4" t="str">
        <f>IFERROR(__xludf.DUMMYFUNCTION("""COMPUTED_VALUE"""),"")</f>
        <v/>
      </c>
      <c r="BF80" s="4" t="str">
        <f>IFERROR(__xludf.DUMMYFUNCTION("""COMPUTED_VALUE"""),"")</f>
        <v/>
      </c>
      <c r="BG80" s="4" t="str">
        <f>IFERROR(__xludf.DUMMYFUNCTION("""COMPUTED_VALUE"""),"")</f>
        <v/>
      </c>
      <c r="BH80" s="4" t="s">
        <v>90</v>
      </c>
      <c r="BI80" s="7">
        <v>1.0</v>
      </c>
    </row>
    <row r="81" hidden="1">
      <c r="A81" s="4" t="str">
        <f>IFERROR(__xludf.DUMMYFUNCTION("""COMPUTED_VALUE"""),"DONA CARMELA")</f>
        <v>DONA CARMELA</v>
      </c>
      <c r="B81" s="4" t="str">
        <f>IFERROR(__xludf.DUMMYFUNCTION("""COMPUTED_VALUE"""),"João Biagiotti")</f>
        <v>João Biagiotti</v>
      </c>
      <c r="C81" s="4" t="str">
        <f>IFERROR(__xludf.DUMMYFUNCTION("""COMPUTED_VALUE"""),"Diego Santos")</f>
        <v>Diego Santos</v>
      </c>
      <c r="D81" s="4" t="str">
        <f>IFERROR(__xludf.DUMMYFUNCTION("""COMPUTED_VALUE"""),"0. Não Iniciado")</f>
        <v>0. Não Iniciado</v>
      </c>
      <c r="E81" s="4"/>
      <c r="F81" s="4" t="str">
        <f>IFERROR(__xludf.DUMMYFUNCTION("""COMPUTED_VALUE"""),"P")</f>
        <v>P</v>
      </c>
      <c r="G81" s="4"/>
      <c r="H81" s="4"/>
      <c r="I81" s="4"/>
      <c r="J81" s="4"/>
      <c r="K81" s="4"/>
      <c r="L81" s="4"/>
      <c r="M81" s="4"/>
      <c r="N81" s="4"/>
      <c r="O81" s="4"/>
      <c r="P81" s="4"/>
      <c r="Q81" s="4"/>
      <c r="R81" s="4"/>
      <c r="S81" s="4"/>
      <c r="T81" s="4"/>
      <c r="U81" s="4"/>
      <c r="V81" s="4"/>
      <c r="W81" s="4"/>
      <c r="X81" s="4"/>
      <c r="Y81" s="4"/>
      <c r="Z81" s="4"/>
      <c r="AA81" s="4">
        <f>IFERROR(__xludf.DUMMYFUNCTION("""COMPUTED_VALUE"""),6.0)</f>
        <v>6</v>
      </c>
      <c r="AB81" s="4" t="str">
        <f>IFERROR(__xludf.DUMMYFUNCTION("""COMPUTED_VALUE"""),"CE")</f>
        <v>CE</v>
      </c>
      <c r="AC81" s="4" t="str">
        <f>IFERROR(__xludf.DUMMYFUNCTION("""COMPUTED_VALUE"""),"Sim")</f>
        <v>Sim</v>
      </c>
      <c r="AD81" s="4" t="str">
        <f>IFERROR(__xludf.DUMMYFUNCTION("""COMPUTED_VALUE"""),"Ifood")</f>
        <v>Ifood</v>
      </c>
      <c r="AE81" s="4"/>
      <c r="AF81" s="4"/>
      <c r="AG81" s="4"/>
      <c r="AH81" s="4"/>
      <c r="AI81" s="4"/>
      <c r="AJ81" s="4"/>
      <c r="AK81" s="4"/>
      <c r="AL81" s="4"/>
      <c r="AM81" s="4" t="str">
        <f>IFERROR(__xludf.DUMMYFUNCTION("""COMPUTED_VALUE"""),"FY27")</f>
        <v>FY27</v>
      </c>
      <c r="AN81" s="4"/>
      <c r="AO81" s="4">
        <f>IFERROR(__xludf.DUMMYFUNCTION("""COMPUTED_VALUE"""),45553.0)</f>
        <v>45553</v>
      </c>
      <c r="AP81" s="4" t="str">
        <f>IFERROR(__xludf.DUMMYFUNCTION("""COMPUTED_VALUE"""),"SP")</f>
        <v>SP</v>
      </c>
      <c r="AQ81" s="4" t="str">
        <f>IFERROR(__xludf.DUMMYFUNCTION("""COMPUTED_VALUE"""),"RODRIGO ALBANESE")</f>
        <v>RODRIGO ALBANESE</v>
      </c>
      <c r="AR81" s="4" t="str">
        <f>IFERROR(__xludf.DUMMYFUNCTION("""COMPUTED_VALUE"""),"BEATRIZ CERVONE")</f>
        <v>BEATRIZ CERVONE</v>
      </c>
      <c r="AS81" s="4" t="str">
        <f>IFERROR(__xludf.DUMMYFUNCTION("""COMPUTED_VALUE"""),"NATHALIE MERTENS")</f>
        <v>NATHALIE MERTENS</v>
      </c>
      <c r="AT81" s="4" t="str">
        <f>IFERROR(__xludf.DUMMYFUNCTION("""COMPUTED_VALUE"""),"MATHEUS LESSA")</f>
        <v>MATHEUS LESSA</v>
      </c>
      <c r="AU81" s="4">
        <f>IFERROR(__xludf.DUMMYFUNCTION("""COMPUTED_VALUE"""),0.0)</f>
        <v>0</v>
      </c>
      <c r="AV81" s="4">
        <f>IFERROR(__xludf.DUMMYFUNCTION("""COMPUTED_VALUE"""),0.0)</f>
        <v>0</v>
      </c>
      <c r="AW81" s="4">
        <f>IFERROR(__xludf.DUMMYFUNCTION("""COMPUTED_VALUE"""),0.0)</f>
        <v>0</v>
      </c>
      <c r="AX81" s="4">
        <f>IFERROR(__xludf.DUMMYFUNCTION("""COMPUTED_VALUE"""),0.0)</f>
        <v>0</v>
      </c>
      <c r="AY81" s="4"/>
      <c r="AZ81" s="4" t="str">
        <f>IFERROR(__xludf.DUMMYFUNCTION("""COMPUTED_VALUE"""),"Brasileira")</f>
        <v>Brasileira</v>
      </c>
      <c r="BA81" s="4">
        <f>IFERROR(__xludf.DUMMYFUNCTION("""COMPUTED_VALUE"""),95.0)</f>
        <v>95</v>
      </c>
      <c r="BB81" s="4" t="str">
        <f>IFERROR(__xludf.DUMMYFUNCTION("""COMPUTED_VALUE"""),"Table Service - Italiano")</f>
        <v>Table Service - Italiano</v>
      </c>
      <c r="BC81" s="4" t="str">
        <f>IFERROR(__xludf.DUMMYFUNCTION("""COMPUTED_VALUE"""),"São Paulo/SP (Santana)")</f>
        <v>São Paulo/SP (Santana)</v>
      </c>
      <c r="BD81" s="4" t="str">
        <f>IFERROR(__xludf.DUMMYFUNCTION("""COMPUTED_VALUE"""),"Dado não disponível publicamente - Necessário Discovery")</f>
        <v>Dado não disponível publicamente - Necessário Discovery</v>
      </c>
      <c r="BE81" s="4">
        <f>IFERROR(__xludf.DUMMYFUNCTION("""COMPUTED_VALUE"""),55.0)</f>
        <v>55</v>
      </c>
      <c r="BF81" s="4">
        <f>IFERROR(__xludf.DUMMYFUNCTION("""COMPUTED_VALUE"""),0.65)</f>
        <v>0.65</v>
      </c>
      <c r="BG8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81" s="4" t="s">
        <v>74</v>
      </c>
      <c r="BI81" s="7">
        <v>0.5</v>
      </c>
    </row>
    <row r="82" hidden="1">
      <c r="A82" s="4" t="str">
        <f>IFERROR(__xludf.DUMMYFUNCTION("""COMPUTED_VALUE"""),"EAI BURGUER - MARCA")</f>
        <v>EAI BURGUER - MARCA</v>
      </c>
      <c r="B82" s="4" t="str">
        <f>IFERROR(__xludf.DUMMYFUNCTION("""COMPUTED_VALUE"""),"Lídia Esteves")</f>
        <v>Lídia Esteves</v>
      </c>
      <c r="C82" s="4" t="str">
        <f>IFERROR(__xludf.DUMMYFUNCTION("""COMPUTED_VALUE"""),"Gabriela Roma")</f>
        <v>Gabriela Roma</v>
      </c>
      <c r="D82" s="4" t="str">
        <f>IFERROR(__xludf.DUMMYFUNCTION("""COMPUTED_VALUE"""),"1. Iniciado")</f>
        <v>1. Iniciado</v>
      </c>
      <c r="E82" s="4" t="str">
        <f>IFERROR(__xludf.DUMMYFUNCTION("""COMPUTED_VALUE"""),"Delivery - Dificuldade de contato com executivo")</f>
        <v>Delivery - Dificuldade de contato com executivo</v>
      </c>
      <c r="F82" s="4" t="str">
        <f>IFERROR(__xludf.DUMMYFUNCTION("""COMPUTED_VALUE"""),"P")</f>
        <v>P</v>
      </c>
      <c r="G82" s="5">
        <f>IFERROR(__xludf.DUMMYFUNCTION("""COMPUTED_VALUE"""),46156.0)</f>
        <v>46156</v>
      </c>
      <c r="H82" s="4" t="str">
        <f>IFERROR(__xludf.DUMMYFUNCTION("""COMPUTED_VALUE"""),"busca de executivo resp pela marca , nao listado na planilha")</f>
        <v>busca de executivo resp pela marca , nao listado na planilha</v>
      </c>
      <c r="I82" s="6">
        <f>IFERROR(__xludf.DUMMYFUNCTION("""COMPUTED_VALUE"""),46156.69305508102)</f>
        <v>46156.69306</v>
      </c>
      <c r="J82" s="4"/>
      <c r="K82" s="4"/>
      <c r="L82" s="4"/>
      <c r="M82" s="4"/>
      <c r="N82" s="4"/>
      <c r="O82" s="4"/>
      <c r="P82" s="4"/>
      <c r="Q82" s="4"/>
      <c r="R82" s="4"/>
      <c r="S82" s="4"/>
      <c r="T82" s="4"/>
      <c r="U82" s="4"/>
      <c r="V82" s="4"/>
      <c r="W82" s="4"/>
      <c r="X82" s="4"/>
      <c r="Y82" s="4"/>
      <c r="Z82" s="4"/>
      <c r="AA82" s="4">
        <f>IFERROR(__xludf.DUMMYFUNCTION("""COMPUTED_VALUE"""),11.0)</f>
        <v>11</v>
      </c>
      <c r="AB82" s="4" t="str">
        <f>IFERROR(__xludf.DUMMYFUNCTION("""COMPUTED_VALUE"""),"CE")</f>
        <v>CE</v>
      </c>
      <c r="AC82" s="4" t="str">
        <f>IFERROR(__xludf.DUMMYFUNCTION("""COMPUTED_VALUE"""),"Sim")</f>
        <v>Sim</v>
      </c>
      <c r="AD82" s="4">
        <f>IFERROR(__xludf.DUMMYFUNCTION("""COMPUTED_VALUE"""),0.0)</f>
        <v>0</v>
      </c>
      <c r="AE82" s="4"/>
      <c r="AF82" s="4"/>
      <c r="AG82" s="4"/>
      <c r="AH82" s="4"/>
      <c r="AI82" s="4"/>
      <c r="AJ82" s="4"/>
      <c r="AK82" s="4"/>
      <c r="AL82" s="4"/>
      <c r="AM82" s="4" t="str">
        <f>IFERROR(__xludf.DUMMYFUNCTION("""COMPUTED_VALUE"""),"FY27")</f>
        <v>FY27</v>
      </c>
      <c r="AN82" s="4"/>
      <c r="AO82" s="4">
        <f>IFERROR(__xludf.DUMMYFUNCTION("""COMPUTED_VALUE"""),59.0)</f>
        <v>59</v>
      </c>
      <c r="AP82" s="4">
        <f>IFERROR(__xludf.DUMMYFUNCTION("""COMPUTED_VALUE"""),0.0)</f>
        <v>0</v>
      </c>
      <c r="AQ82" s="4">
        <f>IFERROR(__xludf.DUMMYFUNCTION("""COMPUTED_VALUE"""),0.0)</f>
        <v>0</v>
      </c>
      <c r="AR82" s="4">
        <f>IFERROR(__xludf.DUMMYFUNCTION("""COMPUTED_VALUE"""),0.0)</f>
        <v>0</v>
      </c>
      <c r="AS82" s="4">
        <f>IFERROR(__xludf.DUMMYFUNCTION("""COMPUTED_VALUE"""),0.0)</f>
        <v>0</v>
      </c>
      <c r="AT82" s="4">
        <f>IFERROR(__xludf.DUMMYFUNCTION("""COMPUTED_VALUE"""),0.0)</f>
        <v>0</v>
      </c>
      <c r="AU82" s="4">
        <f>IFERROR(__xludf.DUMMYFUNCTION("""COMPUTED_VALUE"""),0.0)</f>
        <v>0</v>
      </c>
      <c r="AV82" s="4">
        <f>IFERROR(__xludf.DUMMYFUNCTION("""COMPUTED_VALUE"""),0.0)</f>
        <v>0</v>
      </c>
      <c r="AW82" s="4">
        <f>IFERROR(__xludf.DUMMYFUNCTION("""COMPUTED_VALUE"""),0.0)</f>
        <v>0</v>
      </c>
      <c r="AX82" s="4">
        <f>IFERROR(__xludf.DUMMYFUNCTION("""COMPUTED_VALUE"""),0.0)</f>
        <v>0</v>
      </c>
      <c r="AY82" s="4" t="str">
        <f>IFERROR(__xludf.DUMMYFUNCTION("""COMPUTED_VALUE"""),"Stone Co.")</f>
        <v>Stone Co.</v>
      </c>
      <c r="AZ82" s="4" t="str">
        <f>IFERROR(__xludf.DUMMYFUNCTION("""COMPUTED_VALUE"""),"Lanches")</f>
        <v>Lanches</v>
      </c>
      <c r="BA82" s="4">
        <f>IFERROR(__xludf.DUMMYFUNCTION("""COMPUTED_VALUE"""),60.0)</f>
        <v>60</v>
      </c>
      <c r="BB82" s="4" t="str">
        <f>IFERROR(__xludf.DUMMYFUNCTION("""COMPUTED_VALUE"""),"Fast Casual - Multi-conceito")</f>
        <v>Fast Casual - Multi-conceito</v>
      </c>
      <c r="BC82" s="4" t="str">
        <f>IFERROR(__xludf.DUMMYFUNCTION("""COMPUTED_VALUE"""),"Nacional")</f>
        <v>Nacional</v>
      </c>
      <c r="BD82" s="4" t="str">
        <f>IFERROR(__xludf.DUMMYFUNCTION("""COMPUTED_VALUE"""),"Dado não disponível publicamente - Necessário Discovery")</f>
        <v>Dado não disponível publicamente - Necessário Discovery</v>
      </c>
      <c r="BE82" s="4">
        <f>IFERROR(__xludf.DUMMYFUNCTION("""COMPUTED_VALUE"""),65.0)</f>
        <v>65</v>
      </c>
      <c r="BF82" s="4">
        <f>IFERROR(__xludf.DUMMYFUNCTION("""COMPUTED_VALUE"""),0.75)</f>
        <v>0.75</v>
      </c>
      <c r="BG8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82" s="4" t="s">
        <v>64</v>
      </c>
      <c r="BI82" s="7">
        <v>0.6</v>
      </c>
    </row>
    <row r="83" hidden="1">
      <c r="A83" s="15" t="str">
        <f>IFERROR(__xludf.DUMMYFUNCTION("""COMPUTED_VALUE"""),"EDDIE FINE BURGER")</f>
        <v>EDDIE FINE BURGER</v>
      </c>
      <c r="B83" s="15" t="str">
        <f>IFERROR(__xludf.DUMMYFUNCTION("""COMPUTED_VALUE"""),"João Biagiotti")</f>
        <v>João Biagiotti</v>
      </c>
      <c r="C83" s="15" t="str">
        <f>IFERROR(__xludf.DUMMYFUNCTION("""COMPUTED_VALUE"""),"Diego Santos")</f>
        <v>Diego Santos</v>
      </c>
      <c r="D83" s="15" t="str">
        <f>IFERROR(__xludf.DUMMYFUNCTION("""COMPUTED_VALUE"""),"1. Iniciado")</f>
        <v>1. Iniciado</v>
      </c>
      <c r="E83" s="15" t="str">
        <f>IFERROR(__xludf.DUMMYFUNCTION("""COMPUTED_VALUE"""),"Delivery - Aguardando retorno executivo")</f>
        <v>Delivery - Aguardando retorno executivo</v>
      </c>
      <c r="F83" s="15" t="str">
        <f>IFERROR(__xludf.DUMMYFUNCTION("""COMPUTED_VALUE"""),"P")</f>
        <v>P</v>
      </c>
      <c r="G83" s="16">
        <f>IFERROR(__xludf.DUMMYFUNCTION("""COMPUTED_VALUE"""),46119.0)</f>
        <v>46119</v>
      </c>
      <c r="H83" s="15" t="str">
        <f>IFERROR(__xludf.DUMMYFUNCTION("""COMPUTED_VALUE"""),"parceiros quase IMPOSSÍVEIS de contato, zero adeptos a mudanças. Posso agendar com o Eddie, mas american não rola mesmo, relação atritadísisma.")</f>
        <v>parceiros quase IMPOSSÍVEIS de contato, zero adeptos a mudanças. Posso agendar com o Eddie, mas american não rola mesmo, relação atritadísisma.</v>
      </c>
      <c r="I83" s="17">
        <f>IFERROR(__xludf.DUMMYFUNCTION("""COMPUTED_VALUE"""),46120.4608359375)</f>
        <v>46120.46084</v>
      </c>
      <c r="J83" s="15"/>
      <c r="K83" s="15"/>
      <c r="L83" s="15"/>
      <c r="M83" s="15"/>
      <c r="N83" s="15"/>
      <c r="O83" s="15"/>
      <c r="P83" s="15"/>
      <c r="Q83" s="15"/>
      <c r="R83" s="15"/>
      <c r="S83" s="15"/>
      <c r="T83" s="15"/>
      <c r="U83" s="15"/>
      <c r="V83" s="15"/>
      <c r="W83" s="15"/>
      <c r="X83" s="15"/>
      <c r="Y83" s="15"/>
      <c r="Z83" s="15"/>
      <c r="AA83" s="15">
        <f>IFERROR(__xludf.DUMMYFUNCTION("""COMPUTED_VALUE"""),10.0)</f>
        <v>10</v>
      </c>
      <c r="AB83" s="15" t="str">
        <f>IFERROR(__xludf.DUMMYFUNCTION("""COMPUTED_VALUE"""),"CE")</f>
        <v>CE</v>
      </c>
      <c r="AC83" s="15" t="str">
        <f>IFERROR(__xludf.DUMMYFUNCTION("""COMPUTED_VALUE"""),"Sim")</f>
        <v>Sim</v>
      </c>
      <c r="AD83" s="15" t="str">
        <f>IFERROR(__xludf.DUMMYFUNCTION("""COMPUTED_VALUE"""),"Ifood")</f>
        <v>Ifood</v>
      </c>
      <c r="AE83" s="15"/>
      <c r="AF83" s="15"/>
      <c r="AG83" s="15"/>
      <c r="AH83" s="15"/>
      <c r="AI83" s="15"/>
      <c r="AJ83" s="15"/>
      <c r="AK83" s="15"/>
      <c r="AL83" s="15"/>
      <c r="AM83" s="15" t="str">
        <f>IFERROR(__xludf.DUMMYFUNCTION("""COMPUTED_VALUE"""),"FY27")</f>
        <v>FY27</v>
      </c>
      <c r="AN83" s="15"/>
      <c r="AO83" s="15">
        <f>IFERROR(__xludf.DUMMYFUNCTION("""COMPUTED_VALUE"""),96.0)</f>
        <v>96</v>
      </c>
      <c r="AP83" s="15" t="str">
        <f>IFERROR(__xludf.DUMMYFUNCTION("""COMPUTED_VALUE"""),"MG")</f>
        <v>MG</v>
      </c>
      <c r="AQ83" s="15" t="str">
        <f>IFERROR(__xludf.DUMMYFUNCTION("""COMPUTED_VALUE"""),"EDUARDA HALABI")</f>
        <v>EDUARDA HALABI</v>
      </c>
      <c r="AR83" s="15" t="str">
        <f>IFERROR(__xludf.DUMMYFUNCTION("""COMPUTED_VALUE"""),"DIOGO NOGUEIRA")</f>
        <v>DIOGO NOGUEIRA</v>
      </c>
      <c r="AS83" s="15" t="str">
        <f>IFERROR(__xludf.DUMMYFUNCTION("""COMPUTED_VALUE"""),"FABIO DONATO")</f>
        <v>FABIO DONATO</v>
      </c>
      <c r="AT83" s="15" t="str">
        <f>IFERROR(__xludf.DUMMYFUNCTION("""COMPUTED_VALUE"""),"GILSON JUNIOR")</f>
        <v>GILSON JUNIOR</v>
      </c>
      <c r="AU83" s="15">
        <f>IFERROR(__xludf.DUMMYFUNCTION("""COMPUTED_VALUE"""),0.0)</f>
        <v>0</v>
      </c>
      <c r="AV83" s="15">
        <f>IFERROR(__xludf.DUMMYFUNCTION("""COMPUTED_VALUE"""),0.0)</f>
        <v>0</v>
      </c>
      <c r="AW83" s="15">
        <f>IFERROR(__xludf.DUMMYFUNCTION("""COMPUTED_VALUE"""),0.0)</f>
        <v>0</v>
      </c>
      <c r="AX83" s="15">
        <f>IFERROR(__xludf.DUMMYFUNCTION("""COMPUTED_VALUE"""),0.0)</f>
        <v>0</v>
      </c>
      <c r="AY83" s="15" t="str">
        <f>IFERROR(__xludf.DUMMYFUNCTION("""COMPUTED_VALUE"""),"Ncr")</f>
        <v>Ncr</v>
      </c>
      <c r="AZ83" s="15" t="str">
        <f>IFERROR(__xludf.DUMMYFUNCTION("""COMPUTED_VALUE"""),"Lanches")</f>
        <v>Lanches</v>
      </c>
      <c r="BA83" s="15">
        <f>IFERROR(__xludf.DUMMYFUNCTION("""COMPUTED_VALUE"""),79.0)</f>
        <v>79</v>
      </c>
      <c r="BB83" s="15" t="str">
        <f>IFERROR(__xludf.DUMMYFUNCTION("""COMPUTED_VALUE"""),"Fast Casual - Hamburgueria")</f>
        <v>Fast Casual - Hamburgueria</v>
      </c>
      <c r="BC83" s="15" t="str">
        <f>IFERROR(__xludf.DUMMYFUNCTION("""COMPUTED_VALUE"""),"Sul")</f>
        <v>Sul</v>
      </c>
      <c r="BD83" s="15" t="str">
        <f>IFERROR(__xludf.DUMMYFUNCTION("""COMPUTED_VALUE"""),"Dado não disponível publicamente - Necessário Discovery")</f>
        <v>Dado não disponível publicamente - Necessário Discovery</v>
      </c>
      <c r="BE83" s="15">
        <f>IFERROR(__xludf.DUMMYFUNCTION("""COMPUTED_VALUE"""),70.0)</f>
        <v>70</v>
      </c>
      <c r="BF83" s="18">
        <f>IFERROR(__xludf.DUMMYFUNCTION("""COMPUTED_VALUE"""),0.8)</f>
        <v>0.8</v>
      </c>
      <c r="BG83" s="15"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83" s="15" t="s">
        <v>63</v>
      </c>
      <c r="BI83" s="19" t="s">
        <v>63</v>
      </c>
      <c r="BJ83" s="15"/>
      <c r="BK83" s="15"/>
      <c r="BL83" s="15"/>
    </row>
    <row r="84" hidden="1">
      <c r="A84" s="4" t="str">
        <f>IFERROR(__xludf.DUMMYFUNCTION("""COMPUTED_VALUE"""),"EKY ESPETARIA CONSELHEIRO")</f>
        <v>EKY ESPETARIA CONSELHEIRO</v>
      </c>
      <c r="B84" s="4" t="str">
        <f>IFERROR(__xludf.DUMMYFUNCTION("""COMPUTED_VALUE"""),"João Biagiotti")</f>
        <v>João Biagiotti</v>
      </c>
      <c r="C84" s="4" t="str">
        <f>IFERROR(__xludf.DUMMYFUNCTION("""COMPUTED_VALUE"""),"Diego Santos")</f>
        <v>Diego Santos</v>
      </c>
      <c r="D84" s="4" t="str">
        <f>IFERROR(__xludf.DUMMYFUNCTION("""COMPUTED_VALUE"""),"0. Não Iniciado")</f>
        <v>0. Não Iniciado</v>
      </c>
      <c r="E84" s="4"/>
      <c r="F84" s="4" t="str">
        <f>IFERROR(__xludf.DUMMYFUNCTION("""COMPUTED_VALUE"""),"P")</f>
        <v>P</v>
      </c>
      <c r="G84" s="4"/>
      <c r="H84" s="4"/>
      <c r="I84" s="4"/>
      <c r="J84" s="4"/>
      <c r="K84" s="4"/>
      <c r="L84" s="4"/>
      <c r="M84" s="4"/>
      <c r="N84" s="4"/>
      <c r="O84" s="4"/>
      <c r="P84" s="4"/>
      <c r="Q84" s="4"/>
      <c r="R84" s="4"/>
      <c r="S84" s="4"/>
      <c r="T84" s="4"/>
      <c r="U84" s="4"/>
      <c r="V84" s="4"/>
      <c r="W84" s="4"/>
      <c r="X84" s="4"/>
      <c r="Y84" s="4"/>
      <c r="Z84" s="4"/>
      <c r="AA84" s="4">
        <f>IFERROR(__xludf.DUMMYFUNCTION("""COMPUTED_VALUE"""),6.0)</f>
        <v>6</v>
      </c>
      <c r="AB84" s="4" t="str">
        <f>IFERROR(__xludf.DUMMYFUNCTION("""COMPUTED_VALUE"""),"CE")</f>
        <v>CE</v>
      </c>
      <c r="AC84" s="4" t="str">
        <f>IFERROR(__xludf.DUMMYFUNCTION("""COMPUTED_VALUE"""),"Sim")</f>
        <v>Sim</v>
      </c>
      <c r="AD84" s="4" t="str">
        <f>IFERROR(__xludf.DUMMYFUNCTION("""COMPUTED_VALUE"""),"Ifood")</f>
        <v>Ifood</v>
      </c>
      <c r="AE84" s="4"/>
      <c r="AF84" s="4"/>
      <c r="AG84" s="4"/>
      <c r="AH84" s="4"/>
      <c r="AI84" s="4"/>
      <c r="AJ84" s="4"/>
      <c r="AK84" s="4"/>
      <c r="AL84" s="4"/>
      <c r="AM84" s="4" t="str">
        <f>IFERROR(__xludf.DUMMYFUNCTION("""COMPUTED_VALUE"""),"FY27")</f>
        <v>FY27</v>
      </c>
      <c r="AN84" s="4"/>
      <c r="AO84" s="4">
        <f>IFERROR(__xludf.DUMMYFUNCTION("""COMPUTED_VALUE"""),45553.0)</f>
        <v>45553</v>
      </c>
      <c r="AP84" s="4" t="str">
        <f>IFERROR(__xludf.DUMMYFUNCTION("""COMPUTED_VALUE"""),"PA")</f>
        <v>PA</v>
      </c>
      <c r="AQ84" s="4" t="str">
        <f>IFERROR(__xludf.DUMMYFUNCTION("""COMPUTED_VALUE"""),"JORGEANE LOBATO")</f>
        <v>JORGEANE LOBATO</v>
      </c>
      <c r="AR84" s="4" t="str">
        <f>IFERROR(__xludf.DUMMYFUNCTION("""COMPUTED_VALUE"""),"BELIZA LEAL")</f>
        <v>BELIZA LEAL</v>
      </c>
      <c r="AS84" s="4" t="str">
        <f>IFERROR(__xludf.DUMMYFUNCTION("""COMPUTED_VALUE"""),"THIAGO ROMAGNOLE")</f>
        <v>THIAGO ROMAGNOLE</v>
      </c>
      <c r="AT84" s="4" t="str">
        <f>IFERROR(__xludf.DUMMYFUNCTION("""COMPUTED_VALUE"""),"PAULO MODESTO")</f>
        <v>PAULO MODESTO</v>
      </c>
      <c r="AU84" s="4">
        <f>IFERROR(__xludf.DUMMYFUNCTION("""COMPUTED_VALUE"""),0.0)</f>
        <v>0</v>
      </c>
      <c r="AV84" s="4">
        <f>IFERROR(__xludf.DUMMYFUNCTION("""COMPUTED_VALUE"""),0.0)</f>
        <v>0</v>
      </c>
      <c r="AW84" s="4">
        <f>IFERROR(__xludf.DUMMYFUNCTION("""COMPUTED_VALUE"""),0.0)</f>
        <v>0</v>
      </c>
      <c r="AX84" s="4">
        <f>IFERROR(__xludf.DUMMYFUNCTION("""COMPUTED_VALUE"""),0.0)</f>
        <v>0</v>
      </c>
      <c r="AY84" s="4" t="str">
        <f>IFERROR(__xludf.DUMMYFUNCTION("""COMPUTED_VALUE"""),"Saipos Serviços De Software")</f>
        <v>Saipos Serviços De Software</v>
      </c>
      <c r="AZ84" s="4" t="str">
        <f>IFERROR(__xludf.DUMMYFUNCTION("""COMPUTED_VALUE"""),"Lanches")</f>
        <v>Lanches</v>
      </c>
      <c r="BA84" s="4">
        <f>IFERROR(__xludf.DUMMYFUNCTION("""COMPUTED_VALUE"""),56.0)</f>
        <v>56</v>
      </c>
      <c r="BB84" s="4" t="str">
        <f>IFERROR(__xludf.DUMMYFUNCTION("""COMPUTED_VALUE"""),"Fast Casual - Multi-conceito")</f>
        <v>Fast Casual - Multi-conceito</v>
      </c>
      <c r="BC84" s="4" t="str">
        <f>IFERROR(__xludf.DUMMYFUNCTION("""COMPUTED_VALUE"""),"Belo Horizonte/MG")</f>
        <v>Belo Horizonte/MG</v>
      </c>
      <c r="BD84" s="4" t="str">
        <f>IFERROR(__xludf.DUMMYFUNCTION("""COMPUTED_VALUE"""),"Dado não disponível publicamente - Necessário Discovery")</f>
        <v>Dado não disponível publicamente - Necessário Discovery</v>
      </c>
      <c r="BE84" s="4">
        <f>IFERROR(__xludf.DUMMYFUNCTION("""COMPUTED_VALUE"""),65.0)</f>
        <v>65</v>
      </c>
      <c r="BF84" s="4">
        <f>IFERROR(__xludf.DUMMYFUNCTION("""COMPUTED_VALUE"""),0.75)</f>
        <v>0.75</v>
      </c>
      <c r="BG8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84" s="4" t="s">
        <v>69</v>
      </c>
      <c r="BI84" s="7">
        <v>0.5</v>
      </c>
    </row>
    <row r="85" hidden="1">
      <c r="A85" s="4" t="str">
        <f>IFERROR(__xludf.DUMMYFUNCTION("""COMPUTED_VALUE"""),"EL PATRON")</f>
        <v>EL PATRON</v>
      </c>
      <c r="B85" s="4" t="str">
        <f>IFERROR(__xludf.DUMMYFUNCTION("""COMPUTED_VALUE"""),"Lídia Esteves")</f>
        <v>Lídia Esteves</v>
      </c>
      <c r="C85" s="4" t="str">
        <f>IFERROR(__xludf.DUMMYFUNCTION("""COMPUTED_VALUE"""),"Gabriela Roma")</f>
        <v>Gabriela Roma</v>
      </c>
      <c r="D85" s="4" t="str">
        <f>IFERROR(__xludf.DUMMYFUNCTION("""COMPUTED_VALUE"""),"1. Iniciado")</f>
        <v>1. Iniciado</v>
      </c>
      <c r="E85" s="4" t="str">
        <f>IFERROR(__xludf.DUMMYFUNCTION("""COMPUTED_VALUE"""),"Delivery - Aguardando retorno / Conciliação agenda")</f>
        <v>Delivery - Aguardando retorno / Conciliação agenda</v>
      </c>
      <c r="F85" s="4" t="str">
        <f>IFERROR(__xludf.DUMMYFUNCTION("""COMPUTED_VALUE"""),"P")</f>
        <v>P</v>
      </c>
      <c r="G85" s="4"/>
      <c r="H85" s="4"/>
      <c r="I85" s="6">
        <f>IFERROR(__xludf.DUMMYFUNCTION("""COMPUTED_VALUE"""),46121.674943923616)</f>
        <v>46121.67494</v>
      </c>
      <c r="J85" s="4"/>
      <c r="K85" s="4"/>
      <c r="L85" s="4"/>
      <c r="M85" s="4"/>
      <c r="N85" s="4"/>
      <c r="O85" s="4"/>
      <c r="P85" s="4"/>
      <c r="Q85" s="4"/>
      <c r="R85" s="4"/>
      <c r="S85" s="4"/>
      <c r="T85" s="4"/>
      <c r="U85" s="4"/>
      <c r="V85" s="4"/>
      <c r="W85" s="4"/>
      <c r="X85" s="4"/>
      <c r="Y85" s="4"/>
      <c r="Z85" s="4"/>
      <c r="AA85" s="4">
        <f>IFERROR(__xludf.DUMMYFUNCTION("""COMPUTED_VALUE"""),14.0)</f>
        <v>14</v>
      </c>
      <c r="AB85" s="4" t="str">
        <f>IFERROR(__xludf.DUMMYFUNCTION("""COMPUTED_VALUE"""),"CE")</f>
        <v>CE</v>
      </c>
      <c r="AC85" s="4" t="str">
        <f>IFERROR(__xludf.DUMMYFUNCTION("""COMPUTED_VALUE"""),"Sim")</f>
        <v>Sim</v>
      </c>
      <c r="AD85" s="4" t="str">
        <f>IFERROR(__xludf.DUMMYFUNCTION("""COMPUTED_VALUE"""),"Totvs Large Enterprise Tecnologia S.a.")</f>
        <v>Totvs Large Enterprise Tecnologia S.a.</v>
      </c>
      <c r="AE85" s="4"/>
      <c r="AF85" s="4"/>
      <c r="AG85" s="4"/>
      <c r="AH85" s="4"/>
      <c r="AI85" s="4"/>
      <c r="AJ85" s="4"/>
      <c r="AK85" s="4"/>
      <c r="AL85" s="4"/>
      <c r="AM85" s="4" t="str">
        <f>IFERROR(__xludf.DUMMYFUNCTION("""COMPUTED_VALUE"""),"FY27")</f>
        <v>FY27</v>
      </c>
      <c r="AN85" s="4"/>
      <c r="AO85" s="4">
        <f>IFERROR(__xludf.DUMMYFUNCTION("""COMPUTED_VALUE"""),45553.0)</f>
        <v>45553</v>
      </c>
      <c r="AP85" s="4" t="str">
        <f>IFERROR(__xludf.DUMMYFUNCTION("""COMPUTED_VALUE"""),"SP")</f>
        <v>SP</v>
      </c>
      <c r="AQ85" s="4" t="str">
        <f>IFERROR(__xludf.DUMMYFUNCTION("""COMPUTED_VALUE"""),"BIANCA COUTINHO")</f>
        <v>BIANCA COUTINHO</v>
      </c>
      <c r="AR85" s="4" t="str">
        <f>IFERROR(__xludf.DUMMYFUNCTION("""COMPUTED_VALUE"""),"HELAINE ALBANO")</f>
        <v>HELAINE ALBANO</v>
      </c>
      <c r="AS85" s="4" t="str">
        <f>IFERROR(__xludf.DUMMYFUNCTION("""COMPUTED_VALUE"""),"FABIO DONATO")</f>
        <v>FABIO DONATO</v>
      </c>
      <c r="AT85" s="4" t="str">
        <f>IFERROR(__xludf.DUMMYFUNCTION("""COMPUTED_VALUE"""),"CAMILA HOLANDA")</f>
        <v>CAMILA HOLANDA</v>
      </c>
      <c r="AU85" s="4">
        <f>IFERROR(__xludf.DUMMYFUNCTION("""COMPUTED_VALUE"""),0.0)</f>
        <v>0</v>
      </c>
      <c r="AV85" s="4">
        <f>IFERROR(__xludf.DUMMYFUNCTION("""COMPUTED_VALUE"""),0.0)</f>
        <v>0</v>
      </c>
      <c r="AW85" s="4">
        <f>IFERROR(__xludf.DUMMYFUNCTION("""COMPUTED_VALUE"""),0.0)</f>
        <v>0</v>
      </c>
      <c r="AX85" s="4">
        <f>IFERROR(__xludf.DUMMYFUNCTION("""COMPUTED_VALUE"""),0.0)</f>
        <v>0</v>
      </c>
      <c r="AY85" s="4" t="str">
        <f>IFERROR(__xludf.DUMMYFUNCTION("""COMPUTED_VALUE"""),"Totvs Large Enterprise Tecnologia S.a.")</f>
        <v>Totvs Large Enterprise Tecnologia S.a.</v>
      </c>
      <c r="AZ85" s="4" t="str">
        <f>IFERROR(__xludf.DUMMYFUNCTION("""COMPUTED_VALUE"""),"Mexicana")</f>
        <v>Mexicana</v>
      </c>
      <c r="BA85" s="4">
        <f>IFERROR(__xludf.DUMMYFUNCTION("""COMPUTED_VALUE"""),51.0)</f>
        <v>51</v>
      </c>
      <c r="BB85" s="4" t="str">
        <f>IFERROR(__xludf.DUMMYFUNCTION("""COMPUTED_VALUE"""),"Fast Casual - Multi-conceito")</f>
        <v>Fast Casual - Multi-conceito</v>
      </c>
      <c r="BC85" s="4" t="str">
        <f>IFERROR(__xludf.DUMMYFUNCTION("""COMPUTED_VALUE"""),"Nordeste")</f>
        <v>Nordeste</v>
      </c>
      <c r="BD85" s="4" t="str">
        <f>IFERROR(__xludf.DUMMYFUNCTION("""COMPUTED_VALUE"""),"Dado não disponível publicamente - Necessário Discovery")</f>
        <v>Dado não disponível publicamente - Necessário Discovery</v>
      </c>
      <c r="BE85" s="4">
        <f>IFERROR(__xludf.DUMMYFUNCTION("""COMPUTED_VALUE"""),65.0)</f>
        <v>65</v>
      </c>
      <c r="BF85" s="4">
        <f>IFERROR(__xludf.DUMMYFUNCTION("""COMPUTED_VALUE"""),0.75)</f>
        <v>0.75</v>
      </c>
      <c r="BG8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85" s="4" t="s">
        <v>78</v>
      </c>
      <c r="BI85" s="7">
        <v>0.5238095238095238</v>
      </c>
    </row>
    <row r="86" hidden="1">
      <c r="A86" s="4" t="str">
        <f>IFERROR(__xludf.DUMMYFUNCTION("""COMPUTED_VALUE"""),"ESFIHARIA MAKTUBS")</f>
        <v>ESFIHARIA MAKTUBS</v>
      </c>
      <c r="B86" s="4" t="str">
        <f>IFERROR(__xludf.DUMMYFUNCTION("""COMPUTED_VALUE"""),"João Biagiotti")</f>
        <v>João Biagiotti</v>
      </c>
      <c r="C86" s="4" t="str">
        <f>IFERROR(__xludf.DUMMYFUNCTION("""COMPUTED_VALUE"""),"Diego Santos")</f>
        <v>Diego Santos</v>
      </c>
      <c r="D86" s="4" t="str">
        <f>IFERROR(__xludf.DUMMYFUNCTION("""COMPUTED_VALUE"""),"0. Não Iniciado")</f>
        <v>0. Não Iniciado</v>
      </c>
      <c r="E86" s="4"/>
      <c r="F86" s="4" t="str">
        <f>IFERROR(__xludf.DUMMYFUNCTION("""COMPUTED_VALUE"""),"P")</f>
        <v>P</v>
      </c>
      <c r="G86" s="4"/>
      <c r="H86" s="4"/>
      <c r="I86" s="4"/>
      <c r="J86" s="4"/>
      <c r="K86" s="4"/>
      <c r="L86" s="4"/>
      <c r="M86" s="4"/>
      <c r="N86" s="4"/>
      <c r="O86" s="4"/>
      <c r="P86" s="4"/>
      <c r="Q86" s="4"/>
      <c r="R86" s="4"/>
      <c r="S86" s="4"/>
      <c r="T86" s="4"/>
      <c r="U86" s="4"/>
      <c r="V86" s="4"/>
      <c r="W86" s="4"/>
      <c r="X86" s="4"/>
      <c r="Y86" s="4"/>
      <c r="Z86" s="4"/>
      <c r="AA86" s="4">
        <f>IFERROR(__xludf.DUMMYFUNCTION("""COMPUTED_VALUE"""),8.0)</f>
        <v>8</v>
      </c>
      <c r="AB86" s="4" t="str">
        <f>IFERROR(__xludf.DUMMYFUNCTION("""COMPUTED_VALUE"""),"CE")</f>
        <v>CE</v>
      </c>
      <c r="AC86" s="4" t="str">
        <f>IFERROR(__xludf.DUMMYFUNCTION("""COMPUTED_VALUE"""),"Sim")</f>
        <v>Sim</v>
      </c>
      <c r="AD86" s="4" t="str">
        <f>IFERROR(__xludf.DUMMYFUNCTION("""COMPUTED_VALUE"""),"Ifood")</f>
        <v>Ifood</v>
      </c>
      <c r="AE86" s="4"/>
      <c r="AF86" s="4"/>
      <c r="AG86" s="4"/>
      <c r="AH86" s="4"/>
      <c r="AI86" s="4"/>
      <c r="AJ86" s="4"/>
      <c r="AK86" s="4"/>
      <c r="AL86" s="4"/>
      <c r="AM86" s="4" t="str">
        <f>IFERROR(__xludf.DUMMYFUNCTION("""COMPUTED_VALUE"""),"FY27")</f>
        <v>FY27</v>
      </c>
      <c r="AN86" s="4"/>
      <c r="AO86" s="4">
        <f>IFERROR(__xludf.DUMMYFUNCTION("""COMPUTED_VALUE"""),45553.0)</f>
        <v>45553</v>
      </c>
      <c r="AP86" s="4" t="str">
        <f>IFERROR(__xludf.DUMMYFUNCTION("""COMPUTED_VALUE"""),"SP")</f>
        <v>SP</v>
      </c>
      <c r="AQ86" s="4" t="str">
        <f>IFERROR(__xludf.DUMMYFUNCTION("""COMPUTED_VALUE"""),"CARLOS ALBRECHT")</f>
        <v>CARLOS ALBRECHT</v>
      </c>
      <c r="AR86" s="4" t="str">
        <f>IFERROR(__xludf.DUMMYFUNCTION("""COMPUTED_VALUE"""),"JAQUELINE MENDES")</f>
        <v>JAQUELINE MENDES</v>
      </c>
      <c r="AS86" s="4" t="str">
        <f>IFERROR(__xludf.DUMMYFUNCTION("""COMPUTED_VALUE"""),"ALAN HADDAD")</f>
        <v>ALAN HADDAD</v>
      </c>
      <c r="AT86" s="4" t="str">
        <f>IFERROR(__xludf.DUMMYFUNCTION("""COMPUTED_VALUE"""),"ISABELA DINIZ")</f>
        <v>ISABELA DINIZ</v>
      </c>
      <c r="AU86" s="4">
        <f>IFERROR(__xludf.DUMMYFUNCTION("""COMPUTED_VALUE"""),0.0)</f>
        <v>0</v>
      </c>
      <c r="AV86" s="4">
        <f>IFERROR(__xludf.DUMMYFUNCTION("""COMPUTED_VALUE"""),0.0)</f>
        <v>0</v>
      </c>
      <c r="AW86" s="4">
        <f>IFERROR(__xludf.DUMMYFUNCTION("""COMPUTED_VALUE"""),0.0)</f>
        <v>0</v>
      </c>
      <c r="AX86" s="4">
        <f>IFERROR(__xludf.DUMMYFUNCTION("""COMPUTED_VALUE"""),0.0)</f>
        <v>0</v>
      </c>
      <c r="AY86" s="4"/>
      <c r="AZ86" s="4" t="str">
        <f>IFERROR(__xludf.DUMMYFUNCTION("""COMPUTED_VALUE"""),"Chinesa")</f>
        <v>Chinesa</v>
      </c>
      <c r="BA86" s="4">
        <f>IFERROR(__xludf.DUMMYFUNCTION("""COMPUTED_VALUE"""),47.0)</f>
        <v>47</v>
      </c>
      <c r="BB86" s="4" t="str">
        <f>IFERROR(__xludf.DUMMYFUNCTION("""COMPUTED_VALUE"""),"Fast Casual - Esfiharia")</f>
        <v>Fast Casual - Esfiharia</v>
      </c>
      <c r="BC86" s="4" t="str">
        <f>IFERROR(__xludf.DUMMYFUNCTION("""COMPUTED_VALUE"""),"Regional")</f>
        <v>Regional</v>
      </c>
      <c r="BD86" s="4" t="str">
        <f>IFERROR(__xludf.DUMMYFUNCTION("""COMPUTED_VALUE"""),"Dado não disponível publicamente - Necessário Discovery")</f>
        <v>Dado não disponível publicamente - Necessário Discovery</v>
      </c>
      <c r="BE86" s="4">
        <f>IFERROR(__xludf.DUMMYFUNCTION("""COMPUTED_VALUE"""),65.0)</f>
        <v>65</v>
      </c>
      <c r="BF86" s="4">
        <f>IFERROR(__xludf.DUMMYFUNCTION("""COMPUTED_VALUE"""),0.75)</f>
        <v>0.75</v>
      </c>
      <c r="BG8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86" s="4" t="s">
        <v>65</v>
      </c>
      <c r="BI86" s="7">
        <v>1.0</v>
      </c>
    </row>
    <row r="87" hidden="1">
      <c r="A87" s="4" t="str">
        <f>IFERROR(__xludf.DUMMYFUNCTION("""COMPUTED_VALUE"""),"ESFIHAS DOZZA")</f>
        <v>ESFIHAS DOZZA</v>
      </c>
      <c r="B87" s="4" t="str">
        <f>IFERROR(__xludf.DUMMYFUNCTION("""COMPUTED_VALUE"""),"Lídia Esteves")</f>
        <v>Lídia Esteves</v>
      </c>
      <c r="C87" s="4" t="str">
        <f>IFERROR(__xludf.DUMMYFUNCTION("""COMPUTED_VALUE"""),"Gabriela Roma")</f>
        <v>Gabriela Roma</v>
      </c>
      <c r="D87" s="4" t="str">
        <f>IFERROR(__xludf.DUMMYFUNCTION("""COMPUTED_VALUE"""),"0. Não Iniciado")</f>
        <v>0. Não Iniciado</v>
      </c>
      <c r="E87" s="4"/>
      <c r="F87" s="4" t="str">
        <f>IFERROR(__xludf.DUMMYFUNCTION("""COMPUTED_VALUE"""),"P")</f>
        <v>P</v>
      </c>
      <c r="G87" s="4"/>
      <c r="H87" s="4"/>
      <c r="I87" s="4"/>
      <c r="J87" s="4"/>
      <c r="K87" s="4"/>
      <c r="L87" s="4"/>
      <c r="M87" s="4"/>
      <c r="N87" s="4"/>
      <c r="O87" s="4"/>
      <c r="P87" s="4"/>
      <c r="Q87" s="4"/>
      <c r="R87" s="4"/>
      <c r="S87" s="4"/>
      <c r="T87" s="4"/>
      <c r="U87" s="4"/>
      <c r="V87" s="4"/>
      <c r="W87" s="4"/>
      <c r="X87" s="4"/>
      <c r="Y87" s="4"/>
      <c r="Z87" s="4"/>
      <c r="AA87" s="4">
        <f>IFERROR(__xludf.DUMMYFUNCTION("""COMPUTED_VALUE"""),6.0)</f>
        <v>6</v>
      </c>
      <c r="AB87" s="4" t="str">
        <f>IFERROR(__xludf.DUMMYFUNCTION("""COMPUTED_VALUE"""),"CE")</f>
        <v>CE</v>
      </c>
      <c r="AC87" s="4" t="str">
        <f>IFERROR(__xludf.DUMMYFUNCTION("""COMPUTED_VALUE"""),"Sim")</f>
        <v>Sim</v>
      </c>
      <c r="AD87" s="4" t="str">
        <f>IFERROR(__xludf.DUMMYFUNCTION("""COMPUTED_VALUE"""),"Ifood")</f>
        <v>Ifood</v>
      </c>
      <c r="AE87" s="4"/>
      <c r="AF87" s="4"/>
      <c r="AG87" s="4"/>
      <c r="AH87" s="4"/>
      <c r="AI87" s="4"/>
      <c r="AJ87" s="4"/>
      <c r="AK87" s="4"/>
      <c r="AL87" s="4"/>
      <c r="AM87" s="4" t="str">
        <f>IFERROR(__xludf.DUMMYFUNCTION("""COMPUTED_VALUE"""),"FY27")</f>
        <v>FY27</v>
      </c>
      <c r="AN87" s="4"/>
      <c r="AO87" s="4">
        <f>IFERROR(__xludf.DUMMYFUNCTION("""COMPUTED_VALUE"""),45553.0)</f>
        <v>45553</v>
      </c>
      <c r="AP87" s="4" t="str">
        <f>IFERROR(__xludf.DUMMYFUNCTION("""COMPUTED_VALUE"""),"SP")</f>
        <v>SP</v>
      </c>
      <c r="AQ87" s="4" t="str">
        <f>IFERROR(__xludf.DUMMYFUNCTION("""COMPUTED_VALUE"""),"FILIPE CALDEIRA")</f>
        <v>FILIPE CALDEIRA</v>
      </c>
      <c r="AR87" s="4" t="str">
        <f>IFERROR(__xludf.DUMMYFUNCTION("""COMPUTED_VALUE"""),"RENATA NUNES")</f>
        <v>RENATA NUNES</v>
      </c>
      <c r="AS87" s="4" t="str">
        <f>IFERROR(__xludf.DUMMYFUNCTION("""COMPUTED_VALUE"""),"NATHALIE MERTENS")</f>
        <v>NATHALIE MERTENS</v>
      </c>
      <c r="AT87" s="4" t="str">
        <f>IFERROR(__xludf.DUMMYFUNCTION("""COMPUTED_VALUE"""),"CIBELE OLIVEIRA")</f>
        <v>CIBELE OLIVEIRA</v>
      </c>
      <c r="AU87" s="4">
        <f>IFERROR(__xludf.DUMMYFUNCTION("""COMPUTED_VALUE"""),0.0)</f>
        <v>0</v>
      </c>
      <c r="AV87" s="4">
        <f>IFERROR(__xludf.DUMMYFUNCTION("""COMPUTED_VALUE"""),0.0)</f>
        <v>0</v>
      </c>
      <c r="AW87" s="4">
        <f>IFERROR(__xludf.DUMMYFUNCTION("""COMPUTED_VALUE"""),0.0)</f>
        <v>0</v>
      </c>
      <c r="AX87" s="4">
        <f>IFERROR(__xludf.DUMMYFUNCTION("""COMPUTED_VALUE"""),0.0)</f>
        <v>0</v>
      </c>
      <c r="AY87" s="4"/>
      <c r="AZ87" s="4" t="str">
        <f>IFERROR(__xludf.DUMMYFUNCTION("""COMPUTED_VALUE"""),"Árabe")</f>
        <v>Árabe</v>
      </c>
      <c r="BA87" s="4">
        <f>IFERROR(__xludf.DUMMYFUNCTION("""COMPUTED_VALUE"""),42.0)</f>
        <v>42</v>
      </c>
      <c r="BB87" s="4" t="str">
        <f>IFERROR(__xludf.DUMMYFUNCTION("""COMPUTED_VALUE"""),"Fast Casual - Esfiharia")</f>
        <v>Fast Casual - Esfiharia</v>
      </c>
      <c r="BC87" s="4" t="str">
        <f>IFERROR(__xludf.DUMMYFUNCTION("""COMPUTED_VALUE"""),"Sul")</f>
        <v>Sul</v>
      </c>
      <c r="BD87" s="4" t="str">
        <f>IFERROR(__xludf.DUMMYFUNCTION("""COMPUTED_VALUE"""),"Dado não disponível publicamente - Necessário Discovery")</f>
        <v>Dado não disponível publicamente - Necessário Discovery</v>
      </c>
      <c r="BE87" s="4">
        <f>IFERROR(__xludf.DUMMYFUNCTION("""COMPUTED_VALUE"""),70.0)</f>
        <v>70</v>
      </c>
      <c r="BF87" s="4">
        <f>IFERROR(__xludf.DUMMYFUNCTION("""COMPUTED_VALUE"""),0.75)</f>
        <v>0.75</v>
      </c>
      <c r="BG8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87" s="4" t="s">
        <v>71</v>
      </c>
      <c r="BI87" s="7">
        <v>0.8333333333333334</v>
      </c>
    </row>
    <row r="88" hidden="1">
      <c r="A88" s="4" t="str">
        <f>IFERROR(__xludf.DUMMYFUNCTION("""COMPUTED_VALUE"""),"ESTACAO DA PRAIA")</f>
        <v>ESTACAO DA PRAIA</v>
      </c>
      <c r="B88" s="4" t="str">
        <f>IFERROR(__xludf.DUMMYFUNCTION("""COMPUTED_VALUE"""),"Lídia Esteves")</f>
        <v>Lídia Esteves</v>
      </c>
      <c r="C88" s="4" t="str">
        <f>IFERROR(__xludf.DUMMYFUNCTION("""COMPUTED_VALUE"""),"Gabriela Roma")</f>
        <v>Gabriela Roma</v>
      </c>
      <c r="D88" s="4" t="str">
        <f>IFERROR(__xludf.DUMMYFUNCTION("""COMPUTED_VALUE"""),"10. Perdido")</f>
        <v>10. Perdido</v>
      </c>
      <c r="E88" s="4" t="str">
        <f>IFERROR(__xludf.DUMMYFUNCTION("""COMPUTED_VALUE"""),"Delivery - Aguardando retorno / Conciliação agenda")</f>
        <v>Delivery - Aguardando retorno / Conciliação agenda</v>
      </c>
      <c r="F88" s="4" t="str">
        <f>IFERROR(__xludf.DUMMYFUNCTION("""COMPUTED_VALUE"""),"P")</f>
        <v>P</v>
      </c>
      <c r="G88" s="4"/>
      <c r="H88" s="4"/>
      <c r="I88" s="6">
        <f>IFERROR(__xludf.DUMMYFUNCTION("""COMPUTED_VALUE"""),46121.67547981482)</f>
        <v>46121.67548</v>
      </c>
      <c r="J88" s="4"/>
      <c r="K88" s="4"/>
      <c r="L88" s="4"/>
      <c r="M88" s="4"/>
      <c r="N88" s="4"/>
      <c r="O88" s="4"/>
      <c r="P88" s="4"/>
      <c r="Q88" s="4"/>
      <c r="R88" s="6">
        <f>IFERROR(__xludf.DUMMYFUNCTION("""COMPUTED_VALUE"""),46126.71149086805)</f>
        <v>46126.71149</v>
      </c>
      <c r="S88" s="4"/>
      <c r="T88" s="4"/>
      <c r="U88" s="4"/>
      <c r="V88" s="4" t="str">
        <f>IFERROR(__xludf.DUMMYFUNCTION("""COMPUTED_VALUE"""),"Sem perfil 3S - Perfil Saipos")</f>
        <v>Sem perfil 3S - Perfil Saipos</v>
      </c>
      <c r="W88" s="4"/>
      <c r="X88" s="4"/>
      <c r="Y88" s="4"/>
      <c r="Z88" s="4"/>
      <c r="AA88" s="4">
        <f>IFERROR(__xludf.DUMMYFUNCTION("""COMPUTED_VALUE"""),7.0)</f>
        <v>7</v>
      </c>
      <c r="AB88" s="4" t="str">
        <f>IFERROR(__xludf.DUMMYFUNCTION("""COMPUTED_VALUE"""),"CE")</f>
        <v>CE</v>
      </c>
      <c r="AC88" s="4" t="str">
        <f>IFERROR(__xludf.DUMMYFUNCTION("""COMPUTED_VALUE"""),"Sim")</f>
        <v>Sim</v>
      </c>
      <c r="AD88" s="4">
        <f>IFERROR(__xludf.DUMMYFUNCTION("""COMPUTED_VALUE"""),0.0)</f>
        <v>0</v>
      </c>
      <c r="AE88" s="4"/>
      <c r="AF88" s="4"/>
      <c r="AG88" s="4"/>
      <c r="AH88" s="4"/>
      <c r="AI88" s="4"/>
      <c r="AJ88" s="4"/>
      <c r="AK88" s="4"/>
      <c r="AL88" s="4"/>
      <c r="AM88" s="4" t="str">
        <f>IFERROR(__xludf.DUMMYFUNCTION("""COMPUTED_VALUE"""),"FY27")</f>
        <v>FY27</v>
      </c>
      <c r="AN88" s="4"/>
      <c r="AO88" s="4">
        <f>IFERROR(__xludf.DUMMYFUNCTION("""COMPUTED_VALUE"""),45553.0)</f>
        <v>45553</v>
      </c>
      <c r="AP88" s="4" t="str">
        <f>IFERROR(__xludf.DUMMYFUNCTION("""COMPUTED_VALUE"""),"RJ")</f>
        <v>RJ</v>
      </c>
      <c r="AQ88" s="4" t="str">
        <f>IFERROR(__xludf.DUMMYFUNCTION("""COMPUTED_VALUE"""),"JUAN CHAROTTA")</f>
        <v>JUAN CHAROTTA</v>
      </c>
      <c r="AR88" s="4" t="str">
        <f>IFERROR(__xludf.DUMMYFUNCTION("""COMPUTED_VALUE"""),"SILVA SANTOS")</f>
        <v>SILVA SANTOS</v>
      </c>
      <c r="AS88" s="4" t="str">
        <f>IFERROR(__xludf.DUMMYFUNCTION("""COMPUTED_VALUE"""),"NATHALIE MERTENS")</f>
        <v>NATHALIE MERTENS</v>
      </c>
      <c r="AT88" s="4" t="str">
        <f>IFERROR(__xludf.DUMMYFUNCTION("""COMPUTED_VALUE"""),"NATALIA COUTINHO")</f>
        <v>NATALIA COUTINHO</v>
      </c>
      <c r="AU88" s="4">
        <f>IFERROR(__xludf.DUMMYFUNCTION("""COMPUTED_VALUE"""),0.0)</f>
        <v>0</v>
      </c>
      <c r="AV88" s="4">
        <f>IFERROR(__xludf.DUMMYFUNCTION("""COMPUTED_VALUE"""),0.0)</f>
        <v>0</v>
      </c>
      <c r="AW88" s="4">
        <f>IFERROR(__xludf.DUMMYFUNCTION("""COMPUTED_VALUE"""),0.0)</f>
        <v>0</v>
      </c>
      <c r="AX88" s="4">
        <f>IFERROR(__xludf.DUMMYFUNCTION("""COMPUTED_VALUE"""),0.0)</f>
        <v>0</v>
      </c>
      <c r="AY88" s="4"/>
      <c r="AZ88" s="4" t="str">
        <f>IFERROR(__xludf.DUMMYFUNCTION("""COMPUTED_VALUE"""),"Cozinha Rápida")</f>
        <v>Cozinha Rápida</v>
      </c>
      <c r="BA88" s="4" t="str">
        <f>IFERROR(__xludf.DUMMYFUNCTION("""COMPUTED_VALUE"""),"")</f>
        <v/>
      </c>
      <c r="BB88" s="4" t="str">
        <f>IFERROR(__xludf.DUMMYFUNCTION("""COMPUTED_VALUE"""),"")</f>
        <v/>
      </c>
      <c r="BC88" s="4" t="str">
        <f>IFERROR(__xludf.DUMMYFUNCTION("""COMPUTED_VALUE"""),"")</f>
        <v/>
      </c>
      <c r="BD88" s="4" t="str">
        <f>IFERROR(__xludf.DUMMYFUNCTION("""COMPUTED_VALUE"""),"")</f>
        <v/>
      </c>
      <c r="BE88" s="4" t="str">
        <f>IFERROR(__xludf.DUMMYFUNCTION("""COMPUTED_VALUE"""),"")</f>
        <v/>
      </c>
      <c r="BF88" s="4" t="str">
        <f>IFERROR(__xludf.DUMMYFUNCTION("""COMPUTED_VALUE"""),"")</f>
        <v/>
      </c>
      <c r="BG88" s="4" t="str">
        <f>IFERROR(__xludf.DUMMYFUNCTION("""COMPUTED_VALUE"""),"")</f>
        <v/>
      </c>
      <c r="BH88" s="4" t="s">
        <v>91</v>
      </c>
      <c r="BI88" s="7">
        <v>0.5</v>
      </c>
    </row>
    <row r="89" hidden="1">
      <c r="A89" s="4" t="str">
        <f>IFERROR(__xludf.DUMMYFUNCTION("""COMPUTED_VALUE"""),"FALAGUASTA PIZZA")</f>
        <v>FALAGUASTA PIZZA</v>
      </c>
      <c r="B89" s="4" t="str">
        <f>IFERROR(__xludf.DUMMYFUNCTION("""COMPUTED_VALUE"""),"João Biagiotti")</f>
        <v>João Biagiotti</v>
      </c>
      <c r="C89" s="4" t="str">
        <f>IFERROR(__xludf.DUMMYFUNCTION("""COMPUTED_VALUE"""),"Diego Santos")</f>
        <v>Diego Santos</v>
      </c>
      <c r="D89" s="4" t="str">
        <f>IFERROR(__xludf.DUMMYFUNCTION("""COMPUTED_VALUE"""),"10. Perdido")</f>
        <v>10. Perdido</v>
      </c>
      <c r="E89" s="4" t="str">
        <f>IFERROR(__xludf.DUMMYFUNCTION("""COMPUTED_VALUE"""),"Perdido -  Momento do restaurante não favorável")</f>
        <v>Perdido -  Momento do restaurante não favorável</v>
      </c>
      <c r="F89" s="4" t="str">
        <f>IFERROR(__xludf.DUMMYFUNCTION("""COMPUTED_VALUE"""),"P")</f>
        <v>P</v>
      </c>
      <c r="G89" s="5">
        <f>IFERROR(__xludf.DUMMYFUNCTION("""COMPUTED_VALUE"""),46120.0)</f>
        <v>46120</v>
      </c>
      <c r="H89" s="4" t="str">
        <f>IFERROR(__xludf.DUMMYFUNCTION("""COMPUTED_VALUE"""),"Foi abordada recentemente pela SAIPOS, Não tem interesse em mudança de PDV no momento, ja foi falado de 3S e SAIPOS e envio de proposta")</f>
        <v>Foi abordada recentemente pela SAIPOS, Não tem interesse em mudança de PDV no momento, ja foi falado de 3S e SAIPOS e envio de proposta</v>
      </c>
      <c r="I89" s="6">
        <f>IFERROR(__xludf.DUMMYFUNCTION("""COMPUTED_VALUE"""),46120.67510634259)</f>
        <v>46120.67511</v>
      </c>
      <c r="J89" s="4"/>
      <c r="K89" s="4"/>
      <c r="L89" s="4"/>
      <c r="M89" s="4"/>
      <c r="N89" s="4"/>
      <c r="O89" s="4"/>
      <c r="P89" s="4"/>
      <c r="Q89" s="4"/>
      <c r="R89" s="6">
        <f>IFERROR(__xludf.DUMMYFUNCTION("""COMPUTED_VALUE"""),46129.50553219907)</f>
        <v>46129.50553</v>
      </c>
      <c r="S89" s="6">
        <f>IFERROR(__xludf.DUMMYFUNCTION("""COMPUTED_VALUE"""),46120.6783946412)</f>
        <v>46120.67839</v>
      </c>
      <c r="T89" s="4"/>
      <c r="U89" s="4"/>
      <c r="V89" s="4" t="str">
        <f>IFERROR(__xludf.DUMMYFUNCTION("""COMPUTED_VALUE"""),"Sem interesse em mudar de PDV")</f>
        <v>Sem interesse em mudar de PDV</v>
      </c>
      <c r="W89" s="4"/>
      <c r="X89" s="4"/>
      <c r="Y89" s="4"/>
      <c r="Z89" s="4"/>
      <c r="AA89" s="4">
        <f>IFERROR(__xludf.DUMMYFUNCTION("""COMPUTED_VALUE"""),11.0)</f>
        <v>11</v>
      </c>
      <c r="AB89" s="4" t="str">
        <f>IFERROR(__xludf.DUMMYFUNCTION("""COMPUTED_VALUE"""),"CE")</f>
        <v>CE</v>
      </c>
      <c r="AC89" s="4" t="str">
        <f>IFERROR(__xludf.DUMMYFUNCTION("""COMPUTED_VALUE"""),"Sim")</f>
        <v>Sim</v>
      </c>
      <c r="AD89" s="4" t="str">
        <f>IFERROR(__xludf.DUMMYFUNCTION("""COMPUTED_VALUE"""),"Ifood")</f>
        <v>Ifood</v>
      </c>
      <c r="AE89" s="4"/>
      <c r="AF89" s="4"/>
      <c r="AG89" s="4"/>
      <c r="AH89" s="4">
        <f>IFERROR(__xludf.DUMMYFUNCTION("""COMPUTED_VALUE"""),10.0)</f>
        <v>10</v>
      </c>
      <c r="AI89" s="4" t="str">
        <f>IFERROR(__xludf.DUMMYFUNCTION("""COMPUTED_VALUE"""),"300k")</f>
        <v>300k</v>
      </c>
      <c r="AJ89" s="4" t="str">
        <f>IFERROR(__xludf.DUMMYFUNCTION("""COMPUTED_VALUE"""),"Takeat")</f>
        <v>Takeat</v>
      </c>
      <c r="AK89" s="4" t="str">
        <f>IFERROR(__xludf.DUMMYFUNCTION("""COMPUTED_VALUE"""),"Salão / Delivery")</f>
        <v>Salão / Delivery</v>
      </c>
      <c r="AL89" s="4"/>
      <c r="AM89" s="4" t="str">
        <f>IFERROR(__xludf.DUMMYFUNCTION("""COMPUTED_VALUE"""),"FY27")</f>
        <v>FY27</v>
      </c>
      <c r="AN89" s="4"/>
      <c r="AO89" s="4">
        <f>IFERROR(__xludf.DUMMYFUNCTION("""COMPUTED_VALUE"""),95.0)</f>
        <v>95</v>
      </c>
      <c r="AP89" s="4" t="str">
        <f>IFERROR(__xludf.DUMMYFUNCTION("""COMPUTED_VALUE"""),"SP")</f>
        <v>SP</v>
      </c>
      <c r="AQ89" s="4" t="str">
        <f>IFERROR(__xludf.DUMMYFUNCTION("""COMPUTED_VALUE"""),"RAQUEL BATISTA")</f>
        <v>RAQUEL BATISTA</v>
      </c>
      <c r="AR89" s="4" t="str">
        <f>IFERROR(__xludf.DUMMYFUNCTION("""COMPUTED_VALUE"""),"WILLIAN ZANIOLO")</f>
        <v>WILLIAN ZANIOLO</v>
      </c>
      <c r="AS89" s="4" t="str">
        <f>IFERROR(__xludf.DUMMYFUNCTION("""COMPUTED_VALUE"""),"THIAGO ROMAGNOLE")</f>
        <v>THIAGO ROMAGNOLE</v>
      </c>
      <c r="AT89" s="4" t="str">
        <f>IFERROR(__xludf.DUMMYFUNCTION("""COMPUTED_VALUE"""),"BRUNA TASSINARI")</f>
        <v>BRUNA TASSINARI</v>
      </c>
      <c r="AU89" s="4">
        <f>IFERROR(__xludf.DUMMYFUNCTION("""COMPUTED_VALUE"""),0.0)</f>
        <v>0</v>
      </c>
      <c r="AV89" s="4">
        <f>IFERROR(__xludf.DUMMYFUNCTION("""COMPUTED_VALUE"""),0.0)</f>
        <v>0</v>
      </c>
      <c r="AW89" s="4">
        <f>IFERROR(__xludf.DUMMYFUNCTION("""COMPUTED_VALUE"""),0.0)</f>
        <v>0</v>
      </c>
      <c r="AX89" s="4">
        <f>IFERROR(__xludf.DUMMYFUNCTION("""COMPUTED_VALUE"""),0.0)</f>
        <v>0</v>
      </c>
      <c r="AY89" s="4"/>
      <c r="AZ89" s="4" t="str">
        <f>IFERROR(__xludf.DUMMYFUNCTION("""COMPUTED_VALUE"""),"Pizza")</f>
        <v>Pizza</v>
      </c>
      <c r="BA89" s="4" t="str">
        <f>IFERROR(__xludf.DUMMYFUNCTION("""COMPUTED_VALUE"""),"")</f>
        <v/>
      </c>
      <c r="BB89" s="4" t="str">
        <f>IFERROR(__xludf.DUMMYFUNCTION("""COMPUTED_VALUE"""),"")</f>
        <v/>
      </c>
      <c r="BC89" s="4" t="str">
        <f>IFERROR(__xludf.DUMMYFUNCTION("""COMPUTED_VALUE"""),"")</f>
        <v/>
      </c>
      <c r="BD89" s="4" t="str">
        <f>IFERROR(__xludf.DUMMYFUNCTION("""COMPUTED_VALUE"""),"")</f>
        <v/>
      </c>
      <c r="BE89" s="4" t="str">
        <f>IFERROR(__xludf.DUMMYFUNCTION("""COMPUTED_VALUE"""),"")</f>
        <v/>
      </c>
      <c r="BF89" s="4" t="str">
        <f>IFERROR(__xludf.DUMMYFUNCTION("""COMPUTED_VALUE"""),"")</f>
        <v/>
      </c>
      <c r="BG89" s="4" t="str">
        <f>IFERROR(__xludf.DUMMYFUNCTION("""COMPUTED_VALUE"""),"")</f>
        <v/>
      </c>
      <c r="BH89" s="4" t="s">
        <v>64</v>
      </c>
      <c r="BI89" s="7">
        <v>0.7368421052631579</v>
      </c>
    </row>
    <row r="90" hidden="1">
      <c r="A90" s="4" t="str">
        <f>IFERROR(__xludf.DUMMYFUNCTION("""COMPUTED_VALUE"""),"FAMIGLIA DA PIZZA")</f>
        <v>FAMIGLIA DA PIZZA</v>
      </c>
      <c r="B90" s="4" t="str">
        <f>IFERROR(__xludf.DUMMYFUNCTION("""COMPUTED_VALUE"""),"João Biagiotti")</f>
        <v>João Biagiotti</v>
      </c>
      <c r="C90" s="4" t="str">
        <f>IFERROR(__xludf.DUMMYFUNCTION("""COMPUTED_VALUE"""),"Diego Santos")</f>
        <v>Diego Santos</v>
      </c>
      <c r="D90" s="4" t="str">
        <f>IFERROR(__xludf.DUMMYFUNCTION("""COMPUTED_VALUE"""),"0. Não Iniciado")</f>
        <v>0. Não Iniciado</v>
      </c>
      <c r="E90" s="4"/>
      <c r="F90" s="4" t="str">
        <f>IFERROR(__xludf.DUMMYFUNCTION("""COMPUTED_VALUE"""),"P")</f>
        <v>P</v>
      </c>
      <c r="G90" s="4"/>
      <c r="H90" s="4"/>
      <c r="I90" s="4"/>
      <c r="J90" s="4"/>
      <c r="K90" s="4"/>
      <c r="L90" s="4"/>
      <c r="M90" s="4"/>
      <c r="N90" s="4"/>
      <c r="O90" s="4"/>
      <c r="P90" s="4"/>
      <c r="Q90" s="4"/>
      <c r="R90" s="4"/>
      <c r="S90" s="4"/>
      <c r="T90" s="4"/>
      <c r="U90" s="4"/>
      <c r="V90" s="4"/>
      <c r="W90" s="4"/>
      <c r="X90" s="4"/>
      <c r="Y90" s="4"/>
      <c r="Z90" s="4"/>
      <c r="AA90" s="4">
        <f>IFERROR(__xludf.DUMMYFUNCTION("""COMPUTED_VALUE"""),6.0)</f>
        <v>6</v>
      </c>
      <c r="AB90" s="4" t="str">
        <f>IFERROR(__xludf.DUMMYFUNCTION("""COMPUTED_VALUE"""),"CE")</f>
        <v>CE</v>
      </c>
      <c r="AC90" s="4" t="str">
        <f>IFERROR(__xludf.DUMMYFUNCTION("""COMPUTED_VALUE"""),"Sim")</f>
        <v>Sim</v>
      </c>
      <c r="AD90" s="4" t="str">
        <f>IFERROR(__xludf.DUMMYFUNCTION("""COMPUTED_VALUE"""),"Ifood")</f>
        <v>Ifood</v>
      </c>
      <c r="AE90" s="4"/>
      <c r="AF90" s="4"/>
      <c r="AG90" s="4"/>
      <c r="AH90" s="4"/>
      <c r="AI90" s="4"/>
      <c r="AJ90" s="4"/>
      <c r="AK90" s="4"/>
      <c r="AL90" s="4"/>
      <c r="AM90" s="4" t="str">
        <f>IFERROR(__xludf.DUMMYFUNCTION("""COMPUTED_VALUE"""),"FY27")</f>
        <v>FY27</v>
      </c>
      <c r="AN90" s="4"/>
      <c r="AO90" s="4">
        <f>IFERROR(__xludf.DUMMYFUNCTION("""COMPUTED_VALUE"""),45553.0)</f>
        <v>45553</v>
      </c>
      <c r="AP90" s="4" t="str">
        <f>IFERROR(__xludf.DUMMYFUNCTION("""COMPUTED_VALUE"""),"PA")</f>
        <v>PA</v>
      </c>
      <c r="AQ90" s="4" t="str">
        <f>IFERROR(__xludf.DUMMYFUNCTION("""COMPUTED_VALUE"""),"JORGEANE LOBATO")</f>
        <v>JORGEANE LOBATO</v>
      </c>
      <c r="AR90" s="4" t="str">
        <f>IFERROR(__xludf.DUMMYFUNCTION("""COMPUTED_VALUE"""),"RODRIGUES RAQUEL")</f>
        <v>RODRIGUES RAQUEL</v>
      </c>
      <c r="AS90" s="4" t="str">
        <f>IFERROR(__xludf.DUMMYFUNCTION("""COMPUTED_VALUE"""),"THIAGO ROMAGNOLE")</f>
        <v>THIAGO ROMAGNOLE</v>
      </c>
      <c r="AT90" s="4" t="str">
        <f>IFERROR(__xludf.DUMMYFUNCTION("""COMPUTED_VALUE"""),"PAULO MODESTO")</f>
        <v>PAULO MODESTO</v>
      </c>
      <c r="AU90" s="4">
        <f>IFERROR(__xludf.DUMMYFUNCTION("""COMPUTED_VALUE"""),0.0)</f>
        <v>0</v>
      </c>
      <c r="AV90" s="4">
        <f>IFERROR(__xludf.DUMMYFUNCTION("""COMPUTED_VALUE"""),0.0)</f>
        <v>0</v>
      </c>
      <c r="AW90" s="4">
        <f>IFERROR(__xludf.DUMMYFUNCTION("""COMPUTED_VALUE"""),0.0)</f>
        <v>0</v>
      </c>
      <c r="AX90" s="4">
        <f>IFERROR(__xludf.DUMMYFUNCTION("""COMPUTED_VALUE"""),0.0)</f>
        <v>0</v>
      </c>
      <c r="AY90" s="4" t="str">
        <f>IFERROR(__xludf.DUMMYFUNCTION("""COMPUTED_VALUE"""),"Latech Informatica Ltda")</f>
        <v>Latech Informatica Ltda</v>
      </c>
      <c r="AZ90" s="4" t="str">
        <f>IFERROR(__xludf.DUMMYFUNCTION("""COMPUTED_VALUE"""),"Italiana")</f>
        <v>Italiana</v>
      </c>
      <c r="BA90" s="4">
        <f>IFERROR(__xludf.DUMMYFUNCTION("""COMPUTED_VALUE"""),75.0)</f>
        <v>75</v>
      </c>
      <c r="BB90" s="4" t="str">
        <f>IFERROR(__xludf.DUMMYFUNCTION("""COMPUTED_VALUE"""),"Fast Casual - Pizzaria")</f>
        <v>Fast Casual - Pizzaria</v>
      </c>
      <c r="BC90" s="4" t="str">
        <f>IFERROR(__xludf.DUMMYFUNCTION("""COMPUTED_VALUE"""),"Nordeste")</f>
        <v>Nordeste</v>
      </c>
      <c r="BD90" s="4" t="str">
        <f>IFERROR(__xludf.DUMMYFUNCTION("""COMPUTED_VALUE"""),"Dado não disponível publicamente - Necessário Discovery")</f>
        <v>Dado não disponível publicamente - Necessário Discovery</v>
      </c>
      <c r="BE90" s="4">
        <f>IFERROR(__xludf.DUMMYFUNCTION("""COMPUTED_VALUE"""),70.0)</f>
        <v>70</v>
      </c>
      <c r="BF90" s="4">
        <f>IFERROR(__xludf.DUMMYFUNCTION("""COMPUTED_VALUE"""),0.75)</f>
        <v>0.75</v>
      </c>
      <c r="BG9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90" s="4" t="s">
        <v>73</v>
      </c>
      <c r="BI90" s="7">
        <v>0.6666666666666666</v>
      </c>
    </row>
    <row r="91" hidden="1">
      <c r="A91" s="4" t="str">
        <f>IFERROR(__xludf.DUMMYFUNCTION("""COMPUTED_VALUE"""),"FAMILIA REIS MAGOS")</f>
        <v>FAMILIA REIS MAGOS</v>
      </c>
      <c r="B91" s="4" t="str">
        <f>IFERROR(__xludf.DUMMYFUNCTION("""COMPUTED_VALUE"""),"João Biagiotti")</f>
        <v>João Biagiotti</v>
      </c>
      <c r="C91" s="4" t="str">
        <f>IFERROR(__xludf.DUMMYFUNCTION("""COMPUTED_VALUE"""),"Diego Santos")</f>
        <v>Diego Santos</v>
      </c>
      <c r="D91" s="4" t="str">
        <f>IFERROR(__xludf.DUMMYFUNCTION("""COMPUTED_VALUE"""),"0. Não Iniciado")</f>
        <v>0. Não Iniciado</v>
      </c>
      <c r="E91" s="4"/>
      <c r="F91" s="4" t="str">
        <f>IFERROR(__xludf.DUMMYFUNCTION("""COMPUTED_VALUE"""),"P")</f>
        <v>P</v>
      </c>
      <c r="G91" s="4"/>
      <c r="H91" s="4"/>
      <c r="I91" s="4"/>
      <c r="J91" s="4"/>
      <c r="K91" s="4"/>
      <c r="L91" s="4"/>
      <c r="M91" s="4"/>
      <c r="N91" s="4"/>
      <c r="O91" s="4"/>
      <c r="P91" s="4"/>
      <c r="Q91" s="4"/>
      <c r="R91" s="4"/>
      <c r="S91" s="4"/>
      <c r="T91" s="4"/>
      <c r="U91" s="4"/>
      <c r="V91" s="4"/>
      <c r="W91" s="4"/>
      <c r="X91" s="4"/>
      <c r="Y91" s="4"/>
      <c r="Z91" s="4"/>
      <c r="AA91" s="4">
        <f>IFERROR(__xludf.DUMMYFUNCTION("""COMPUTED_VALUE"""),8.0)</f>
        <v>8</v>
      </c>
      <c r="AB91" s="4" t="str">
        <f>IFERROR(__xludf.DUMMYFUNCTION("""COMPUTED_VALUE"""),"CE")</f>
        <v>CE</v>
      </c>
      <c r="AC91" s="4" t="str">
        <f>IFERROR(__xludf.DUMMYFUNCTION("""COMPUTED_VALUE"""),"Sim")</f>
        <v>Sim</v>
      </c>
      <c r="AD91" s="4" t="str">
        <f>IFERROR(__xludf.DUMMYFUNCTION("""COMPUTED_VALUE"""),"Ifood")</f>
        <v>Ifood</v>
      </c>
      <c r="AE91" s="4"/>
      <c r="AF91" s="4"/>
      <c r="AG91" s="4"/>
      <c r="AH91" s="4"/>
      <c r="AI91" s="4"/>
      <c r="AJ91" s="4"/>
      <c r="AK91" s="4"/>
      <c r="AL91" s="4"/>
      <c r="AM91" s="4" t="str">
        <f>IFERROR(__xludf.DUMMYFUNCTION("""COMPUTED_VALUE"""),"FY27")</f>
        <v>FY27</v>
      </c>
      <c r="AN91" s="4"/>
      <c r="AO91" s="4">
        <f>IFERROR(__xludf.DUMMYFUNCTION("""COMPUTED_VALUE"""),45553.0)</f>
        <v>45553</v>
      </c>
      <c r="AP91" s="4" t="str">
        <f>IFERROR(__xludf.DUMMYFUNCTION("""COMPUTED_VALUE"""),"RN")</f>
        <v>RN</v>
      </c>
      <c r="AQ91" s="4" t="str">
        <f>IFERROR(__xludf.DUMMYFUNCTION("""COMPUTED_VALUE"""),"TATIANY MEDEIROS")</f>
        <v>TATIANY MEDEIROS</v>
      </c>
      <c r="AR91" s="4" t="str">
        <f>IFERROR(__xludf.DUMMYFUNCTION("""COMPUTED_VALUE"""),"HUMBERTO FILHO")</f>
        <v>HUMBERTO FILHO</v>
      </c>
      <c r="AS91" s="4" t="str">
        <f>IFERROR(__xludf.DUMMYFUNCTION("""COMPUTED_VALUE"""),"THIAGO ROMAGNOLE")</f>
        <v>THIAGO ROMAGNOLE</v>
      </c>
      <c r="AT91" s="4" t="str">
        <f>IFERROR(__xludf.DUMMYFUNCTION("""COMPUTED_VALUE"""),"ANDERSON LAUREANO")</f>
        <v>ANDERSON LAUREANO</v>
      </c>
      <c r="AU91" s="4">
        <f>IFERROR(__xludf.DUMMYFUNCTION("""COMPUTED_VALUE"""),0.0)</f>
        <v>0</v>
      </c>
      <c r="AV91" s="4">
        <f>IFERROR(__xludf.DUMMYFUNCTION("""COMPUTED_VALUE"""),0.0)</f>
        <v>0</v>
      </c>
      <c r="AW91" s="4">
        <f>IFERROR(__xludf.DUMMYFUNCTION("""COMPUTED_VALUE"""),0.0)</f>
        <v>0</v>
      </c>
      <c r="AX91" s="4">
        <f>IFERROR(__xludf.DUMMYFUNCTION("""COMPUTED_VALUE"""),0.0)</f>
        <v>0</v>
      </c>
      <c r="AY91" s="4" t="str">
        <f>IFERROR(__xludf.DUMMYFUNCTION("""COMPUTED_VALUE"""),"Teknisa Service Ltda")</f>
        <v>Teknisa Service Ltda</v>
      </c>
      <c r="AZ91" s="4" t="str">
        <f>IFERROR(__xludf.DUMMYFUNCTION("""COMPUTED_VALUE"""),"Pizza")</f>
        <v>Pizza</v>
      </c>
      <c r="BA91" s="4" t="str">
        <f>IFERROR(__xludf.DUMMYFUNCTION("""COMPUTED_VALUE"""),"")</f>
        <v/>
      </c>
      <c r="BB91" s="4" t="str">
        <f>IFERROR(__xludf.DUMMYFUNCTION("""COMPUTED_VALUE"""),"")</f>
        <v/>
      </c>
      <c r="BC91" s="4" t="str">
        <f>IFERROR(__xludf.DUMMYFUNCTION("""COMPUTED_VALUE"""),"")</f>
        <v/>
      </c>
      <c r="BD91" s="4" t="str">
        <f>IFERROR(__xludf.DUMMYFUNCTION("""COMPUTED_VALUE"""),"")</f>
        <v/>
      </c>
      <c r="BE91" s="4" t="str">
        <f>IFERROR(__xludf.DUMMYFUNCTION("""COMPUTED_VALUE"""),"")</f>
        <v/>
      </c>
      <c r="BF91" s="4" t="str">
        <f>IFERROR(__xludf.DUMMYFUNCTION("""COMPUTED_VALUE"""),"")</f>
        <v/>
      </c>
      <c r="BG91" s="4" t="str">
        <f>IFERROR(__xludf.DUMMYFUNCTION("""COMPUTED_VALUE"""),"")</f>
        <v/>
      </c>
      <c r="BH91" s="4" t="s">
        <v>64</v>
      </c>
      <c r="BI91" s="7">
        <v>0.6</v>
      </c>
    </row>
    <row r="92" hidden="1">
      <c r="A92" s="4" t="str">
        <f>IFERROR(__xludf.DUMMYFUNCTION("""COMPUTED_VALUE"""),"FEIJOADA DO ABILIO")</f>
        <v>FEIJOADA DO ABILIO</v>
      </c>
      <c r="B92" s="4" t="str">
        <f>IFERROR(__xludf.DUMMYFUNCTION("""COMPUTED_VALUE"""),"Lídia Esteves")</f>
        <v>Lídia Esteves</v>
      </c>
      <c r="C92" s="4" t="str">
        <f>IFERROR(__xludf.DUMMYFUNCTION("""COMPUTED_VALUE"""),"Gabriela Roma")</f>
        <v>Gabriela Roma</v>
      </c>
      <c r="D92" s="4" t="str">
        <f>IFERROR(__xludf.DUMMYFUNCTION("""COMPUTED_VALUE"""),"1. Iniciado")</f>
        <v>1. Iniciado</v>
      </c>
      <c r="E92" s="4" t="str">
        <f>IFERROR(__xludf.DUMMYFUNCTION("""COMPUTED_VALUE"""),"Delivery - Aguardando retorno / Conciliação agenda")</f>
        <v>Delivery - Aguardando retorno / Conciliação agenda</v>
      </c>
      <c r="F92" s="4" t="str">
        <f>IFERROR(__xludf.DUMMYFUNCTION("""COMPUTED_VALUE"""),"P")</f>
        <v>P</v>
      </c>
      <c r="G92" s="4"/>
      <c r="H92" s="4"/>
      <c r="I92" s="6">
        <f>IFERROR(__xludf.DUMMYFUNCTION("""COMPUTED_VALUE"""),46121.6752104051)</f>
        <v>46121.67521</v>
      </c>
      <c r="J92" s="4"/>
      <c r="K92" s="4"/>
      <c r="L92" s="4"/>
      <c r="M92" s="4"/>
      <c r="N92" s="4"/>
      <c r="O92" s="4"/>
      <c r="P92" s="4"/>
      <c r="Q92" s="4"/>
      <c r="R92" s="4"/>
      <c r="S92" s="4"/>
      <c r="T92" s="4"/>
      <c r="U92" s="4"/>
      <c r="V92" s="4"/>
      <c r="W92" s="4"/>
      <c r="X92" s="4"/>
      <c r="Y92" s="4"/>
      <c r="Z92" s="4"/>
      <c r="AA92" s="4">
        <f>IFERROR(__xludf.DUMMYFUNCTION("""COMPUTED_VALUE"""),6.0)</f>
        <v>6</v>
      </c>
      <c r="AB92" s="4" t="str">
        <f>IFERROR(__xludf.DUMMYFUNCTION("""COMPUTED_VALUE"""),"CE")</f>
        <v>CE</v>
      </c>
      <c r="AC92" s="4" t="str">
        <f>IFERROR(__xludf.DUMMYFUNCTION("""COMPUTED_VALUE"""),"Sim")</f>
        <v>Sim</v>
      </c>
      <c r="AD92" s="4" t="str">
        <f>IFERROR(__xludf.DUMMYFUNCTION("""COMPUTED_VALUE"""),"Ifood")</f>
        <v>Ifood</v>
      </c>
      <c r="AE92" s="4"/>
      <c r="AF92" s="4"/>
      <c r="AG92" s="4"/>
      <c r="AH92" s="4"/>
      <c r="AI92" s="4"/>
      <c r="AJ92" s="4"/>
      <c r="AK92" s="4"/>
      <c r="AL92" s="4"/>
      <c r="AM92" s="4" t="str">
        <f>IFERROR(__xludf.DUMMYFUNCTION("""COMPUTED_VALUE"""),"FY27")</f>
        <v>FY27</v>
      </c>
      <c r="AN92" s="4"/>
      <c r="AO92" s="4">
        <f>IFERROR(__xludf.DUMMYFUNCTION("""COMPUTED_VALUE"""),45553.0)</f>
        <v>45553</v>
      </c>
      <c r="AP92" s="4" t="str">
        <f>IFERROR(__xludf.DUMMYFUNCTION("""COMPUTED_VALUE"""),"SP")</f>
        <v>SP</v>
      </c>
      <c r="AQ92" s="4" t="str">
        <f>IFERROR(__xludf.DUMMYFUNCTION("""COMPUTED_VALUE"""),"CAROLINE MORETTI")</f>
        <v>CAROLINE MORETTI</v>
      </c>
      <c r="AR92" s="4" t="str">
        <f>IFERROR(__xludf.DUMMYFUNCTION("""COMPUTED_VALUE"""),"INGRID OLIVEIRA")</f>
        <v>INGRID OLIVEIRA</v>
      </c>
      <c r="AS92" s="4" t="str">
        <f>IFERROR(__xludf.DUMMYFUNCTION("""COMPUTED_VALUE"""),"ALAN HADDAD")</f>
        <v>ALAN HADDAD</v>
      </c>
      <c r="AT92" s="4" t="str">
        <f>IFERROR(__xludf.DUMMYFUNCTION("""COMPUTED_VALUE"""),"GABRIEL PERES")</f>
        <v>GABRIEL PERES</v>
      </c>
      <c r="AU92" s="4">
        <f>IFERROR(__xludf.DUMMYFUNCTION("""COMPUTED_VALUE"""),0.0)</f>
        <v>0</v>
      </c>
      <c r="AV92" s="4">
        <f>IFERROR(__xludf.DUMMYFUNCTION("""COMPUTED_VALUE"""),0.0)</f>
        <v>0</v>
      </c>
      <c r="AW92" s="4">
        <f>IFERROR(__xludf.DUMMYFUNCTION("""COMPUTED_VALUE"""),0.0)</f>
        <v>0</v>
      </c>
      <c r="AX92" s="4">
        <f>IFERROR(__xludf.DUMMYFUNCTION("""COMPUTED_VALUE"""),0.0)</f>
        <v>0</v>
      </c>
      <c r="AY92" s="4" t="str">
        <f>IFERROR(__xludf.DUMMYFUNCTION("""COMPUTED_VALUE"""),"Premio Sistemas Ltda")</f>
        <v>Premio Sistemas Ltda</v>
      </c>
      <c r="AZ92" s="4" t="str">
        <f>IFERROR(__xludf.DUMMYFUNCTION("""COMPUTED_VALUE"""),"Brasileira")</f>
        <v>Brasileira</v>
      </c>
      <c r="BA92" s="4" t="str">
        <f>IFERROR(__xludf.DUMMYFUNCTION("""COMPUTED_VALUE"""),"")</f>
        <v/>
      </c>
      <c r="BB92" s="4" t="str">
        <f>IFERROR(__xludf.DUMMYFUNCTION("""COMPUTED_VALUE"""),"")</f>
        <v/>
      </c>
      <c r="BC92" s="4" t="str">
        <f>IFERROR(__xludf.DUMMYFUNCTION("""COMPUTED_VALUE"""),"")</f>
        <v/>
      </c>
      <c r="BD92" s="4" t="str">
        <f>IFERROR(__xludf.DUMMYFUNCTION("""COMPUTED_VALUE"""),"")</f>
        <v/>
      </c>
      <c r="BE92" s="4" t="str">
        <f>IFERROR(__xludf.DUMMYFUNCTION("""COMPUTED_VALUE"""),"")</f>
        <v/>
      </c>
      <c r="BF92" s="4" t="str">
        <f>IFERROR(__xludf.DUMMYFUNCTION("""COMPUTED_VALUE"""),"")</f>
        <v/>
      </c>
      <c r="BG92" s="4" t="str">
        <f>IFERROR(__xludf.DUMMYFUNCTION("""COMPUTED_VALUE"""),"")</f>
        <v/>
      </c>
      <c r="BH92" s="4" t="s">
        <v>92</v>
      </c>
      <c r="BI92" s="7">
        <v>0.375</v>
      </c>
    </row>
    <row r="93" hidden="1">
      <c r="A93" s="4" t="str">
        <f>IFERROR(__xludf.DUMMYFUNCTION("""COMPUTED_VALUE"""),"FIORENTINA RESTAURANTE E PIZZARIA")</f>
        <v>FIORENTINA RESTAURANTE E PIZZARIA</v>
      </c>
      <c r="B93" s="4" t="str">
        <f>IFERROR(__xludf.DUMMYFUNCTION("""COMPUTED_VALUE"""),"João Biagiotti")</f>
        <v>João Biagiotti</v>
      </c>
      <c r="C93" s="4" t="str">
        <f>IFERROR(__xludf.DUMMYFUNCTION("""COMPUTED_VALUE"""),"Diego Santos")</f>
        <v>Diego Santos</v>
      </c>
      <c r="D93" s="4" t="str">
        <f>IFERROR(__xludf.DUMMYFUNCTION("""COMPUTED_VALUE"""),"0. Não Iniciado")</f>
        <v>0. Não Iniciado</v>
      </c>
      <c r="E93" s="4"/>
      <c r="F93" s="4" t="str">
        <f>IFERROR(__xludf.DUMMYFUNCTION("""COMPUTED_VALUE"""),"P")</f>
        <v>P</v>
      </c>
      <c r="G93" s="4"/>
      <c r="H93" s="4"/>
      <c r="I93" s="4"/>
      <c r="J93" s="4"/>
      <c r="K93" s="4"/>
      <c r="L93" s="4"/>
      <c r="M93" s="4"/>
      <c r="N93" s="4"/>
      <c r="O93" s="4"/>
      <c r="P93" s="4"/>
      <c r="Q93" s="4"/>
      <c r="R93" s="4"/>
      <c r="S93" s="4"/>
      <c r="T93" s="4"/>
      <c r="U93" s="4"/>
      <c r="V93" s="4"/>
      <c r="W93" s="4"/>
      <c r="X93" s="4"/>
      <c r="Y93" s="4"/>
      <c r="Z93" s="4"/>
      <c r="AA93" s="4">
        <f>IFERROR(__xludf.DUMMYFUNCTION("""COMPUTED_VALUE"""),8.0)</f>
        <v>8</v>
      </c>
      <c r="AB93" s="4" t="str">
        <f>IFERROR(__xludf.DUMMYFUNCTION("""COMPUTED_VALUE"""),"CE")</f>
        <v>CE</v>
      </c>
      <c r="AC93" s="4" t="str">
        <f>IFERROR(__xludf.DUMMYFUNCTION("""COMPUTED_VALUE"""),"Sim")</f>
        <v>Sim</v>
      </c>
      <c r="AD93" s="4" t="str">
        <f>IFERROR(__xludf.DUMMYFUNCTION("""COMPUTED_VALUE"""),"Ifood")</f>
        <v>Ifood</v>
      </c>
      <c r="AE93" s="4"/>
      <c r="AF93" s="4"/>
      <c r="AG93" s="4"/>
      <c r="AH93" s="4"/>
      <c r="AI93" s="4"/>
      <c r="AJ93" s="4"/>
      <c r="AK93" s="4"/>
      <c r="AL93" s="4"/>
      <c r="AM93" s="4" t="str">
        <f>IFERROR(__xludf.DUMMYFUNCTION("""COMPUTED_VALUE"""),"FY27")</f>
        <v>FY27</v>
      </c>
      <c r="AN93" s="4"/>
      <c r="AO93" s="4">
        <f>IFERROR(__xludf.DUMMYFUNCTION("""COMPUTED_VALUE"""),45553.0)</f>
        <v>45553</v>
      </c>
      <c r="AP93" s="4" t="str">
        <f>IFERROR(__xludf.DUMMYFUNCTION("""COMPUTED_VALUE"""),"AM")</f>
        <v>AM</v>
      </c>
      <c r="AQ93" s="4" t="str">
        <f>IFERROR(__xludf.DUMMYFUNCTION("""COMPUTED_VALUE"""),"RODRIGO MAR")</f>
        <v>RODRIGO MAR</v>
      </c>
      <c r="AR93" s="4" t="str">
        <f>IFERROR(__xludf.DUMMYFUNCTION("""COMPUTED_VALUE"""),"JOAO DEMETRIO")</f>
        <v>JOAO DEMETRIO</v>
      </c>
      <c r="AS93" s="4" t="str">
        <f>IFERROR(__xludf.DUMMYFUNCTION("""COMPUTED_VALUE"""),"THIAGO ROMAGNOLE")</f>
        <v>THIAGO ROMAGNOLE</v>
      </c>
      <c r="AT93" s="4" t="str">
        <f>IFERROR(__xludf.DUMMYFUNCTION("""COMPUTED_VALUE"""),"PAULO MODESTO")</f>
        <v>PAULO MODESTO</v>
      </c>
      <c r="AU93" s="4">
        <f>IFERROR(__xludf.DUMMYFUNCTION("""COMPUTED_VALUE"""),0.0)</f>
        <v>0</v>
      </c>
      <c r="AV93" s="4">
        <f>IFERROR(__xludf.DUMMYFUNCTION("""COMPUTED_VALUE"""),0.0)</f>
        <v>0</v>
      </c>
      <c r="AW93" s="4">
        <f>IFERROR(__xludf.DUMMYFUNCTION("""COMPUTED_VALUE"""),0.0)</f>
        <v>0</v>
      </c>
      <c r="AX93" s="4">
        <f>IFERROR(__xludf.DUMMYFUNCTION("""COMPUTED_VALUE"""),0.0)</f>
        <v>0</v>
      </c>
      <c r="AY93" s="4"/>
      <c r="AZ93" s="4" t="str">
        <f>IFERROR(__xludf.DUMMYFUNCTION("""COMPUTED_VALUE"""),"Doces &amp; Bolos")</f>
        <v>Doces &amp; Bolos</v>
      </c>
      <c r="BA93" s="4" t="str">
        <f>IFERROR(__xludf.DUMMYFUNCTION("""COMPUTED_VALUE"""),"")</f>
        <v/>
      </c>
      <c r="BB93" s="4" t="str">
        <f>IFERROR(__xludf.DUMMYFUNCTION("""COMPUTED_VALUE"""),"")</f>
        <v/>
      </c>
      <c r="BC93" s="4" t="str">
        <f>IFERROR(__xludf.DUMMYFUNCTION("""COMPUTED_VALUE"""),"")</f>
        <v/>
      </c>
      <c r="BD93" s="4" t="str">
        <f>IFERROR(__xludf.DUMMYFUNCTION("""COMPUTED_VALUE"""),"")</f>
        <v/>
      </c>
      <c r="BE93" s="4" t="str">
        <f>IFERROR(__xludf.DUMMYFUNCTION("""COMPUTED_VALUE"""),"")</f>
        <v/>
      </c>
      <c r="BF93" s="4" t="str">
        <f>IFERROR(__xludf.DUMMYFUNCTION("""COMPUTED_VALUE"""),"")</f>
        <v/>
      </c>
      <c r="BG93" s="4" t="str">
        <f>IFERROR(__xludf.DUMMYFUNCTION("""COMPUTED_VALUE"""),"")</f>
        <v/>
      </c>
      <c r="BH93" s="4" t="s">
        <v>72</v>
      </c>
      <c r="BI93" s="7">
        <v>0.9333333333333333</v>
      </c>
    </row>
    <row r="94" hidden="1">
      <c r="A94" s="4" t="str">
        <f>IFERROR(__xludf.DUMMYFUNCTION("""COMPUTED_VALUE"""),"FRANGO PREDILETO")</f>
        <v>FRANGO PREDILETO</v>
      </c>
      <c r="B94" s="4" t="str">
        <f>IFERROR(__xludf.DUMMYFUNCTION("""COMPUTED_VALUE"""),"João Biagiotti")</f>
        <v>João Biagiotti</v>
      </c>
      <c r="C94" s="4" t="str">
        <f>IFERROR(__xludf.DUMMYFUNCTION("""COMPUTED_VALUE"""),"Diego Santos")</f>
        <v>Diego Santos</v>
      </c>
      <c r="D94" s="4" t="str">
        <f>IFERROR(__xludf.DUMMYFUNCTION("""COMPUTED_VALUE"""),"0. Não Iniciado")</f>
        <v>0. Não Iniciado</v>
      </c>
      <c r="E94" s="4"/>
      <c r="F94" s="4" t="str">
        <f>IFERROR(__xludf.DUMMYFUNCTION("""COMPUTED_VALUE"""),"P")</f>
        <v>P</v>
      </c>
      <c r="G94" s="4"/>
      <c r="H94" s="4"/>
      <c r="I94" s="4"/>
      <c r="J94" s="4"/>
      <c r="K94" s="4"/>
      <c r="L94" s="4"/>
      <c r="M94" s="4"/>
      <c r="N94" s="4"/>
      <c r="O94" s="4"/>
      <c r="P94" s="4"/>
      <c r="Q94" s="4"/>
      <c r="R94" s="4"/>
      <c r="S94" s="4"/>
      <c r="T94" s="4"/>
      <c r="U94" s="4"/>
      <c r="V94" s="4"/>
      <c r="W94" s="4"/>
      <c r="X94" s="4"/>
      <c r="Y94" s="4"/>
      <c r="Z94" s="4"/>
      <c r="AA94" s="4">
        <f>IFERROR(__xludf.DUMMYFUNCTION("""COMPUTED_VALUE"""),6.0)</f>
        <v>6</v>
      </c>
      <c r="AB94" s="4" t="str">
        <f>IFERROR(__xludf.DUMMYFUNCTION("""COMPUTED_VALUE"""),"CE")</f>
        <v>CE</v>
      </c>
      <c r="AC94" s="4" t="str">
        <f>IFERROR(__xludf.DUMMYFUNCTION("""COMPUTED_VALUE"""),"Sim")</f>
        <v>Sim</v>
      </c>
      <c r="AD94" s="4" t="str">
        <f>IFERROR(__xludf.DUMMYFUNCTION("""COMPUTED_VALUE"""),"Ifood")</f>
        <v>Ifood</v>
      </c>
      <c r="AE94" s="4"/>
      <c r="AF94" s="4"/>
      <c r="AG94" s="4"/>
      <c r="AH94" s="4"/>
      <c r="AI94" s="4"/>
      <c r="AJ94" s="4"/>
      <c r="AK94" s="4"/>
      <c r="AL94" s="4"/>
      <c r="AM94" s="4" t="str">
        <f>IFERROR(__xludf.DUMMYFUNCTION("""COMPUTED_VALUE"""),"FY27")</f>
        <v>FY27</v>
      </c>
      <c r="AN94" s="4"/>
      <c r="AO94" s="4">
        <f>IFERROR(__xludf.DUMMYFUNCTION("""COMPUTED_VALUE"""),45553.0)</f>
        <v>45553</v>
      </c>
      <c r="AP94" s="4" t="str">
        <f>IFERROR(__xludf.DUMMYFUNCTION("""COMPUTED_VALUE"""),"CE")</f>
        <v>CE</v>
      </c>
      <c r="AQ94" s="4" t="str">
        <f>IFERROR(__xludf.DUMMYFUNCTION("""COMPUTED_VALUE"""),"LUCAS GURGEL")</f>
        <v>LUCAS GURGEL</v>
      </c>
      <c r="AR94" s="4" t="str">
        <f>IFERROR(__xludf.DUMMYFUNCTION("""COMPUTED_VALUE"""),"ALMEIDA ALINE")</f>
        <v>ALMEIDA ALINE</v>
      </c>
      <c r="AS94" s="4" t="str">
        <f>IFERROR(__xludf.DUMMYFUNCTION("""COMPUTED_VALUE"""),"THIAGO ROMAGNOLE")</f>
        <v>THIAGO ROMAGNOLE</v>
      </c>
      <c r="AT94" s="4" t="str">
        <f>IFERROR(__xludf.DUMMYFUNCTION("""COMPUTED_VALUE"""),"EDUARDO VAZ")</f>
        <v>EDUARDO VAZ</v>
      </c>
      <c r="AU94" s="4">
        <f>IFERROR(__xludf.DUMMYFUNCTION("""COMPUTED_VALUE"""),0.0)</f>
        <v>0</v>
      </c>
      <c r="AV94" s="4">
        <f>IFERROR(__xludf.DUMMYFUNCTION("""COMPUTED_VALUE"""),0.0)</f>
        <v>0</v>
      </c>
      <c r="AW94" s="4">
        <f>IFERROR(__xludf.DUMMYFUNCTION("""COMPUTED_VALUE"""),0.0)</f>
        <v>0</v>
      </c>
      <c r="AX94" s="4">
        <f>IFERROR(__xludf.DUMMYFUNCTION("""COMPUTED_VALUE"""),0.0)</f>
        <v>0</v>
      </c>
      <c r="AY94" s="4" t="str">
        <f>IFERROR(__xludf.DUMMYFUNCTION("""COMPUTED_VALUE"""),"Solução Sistemas")</f>
        <v>Solução Sistemas</v>
      </c>
      <c r="AZ94" s="4" t="str">
        <f>IFERROR(__xludf.DUMMYFUNCTION("""COMPUTED_VALUE"""),"Brasileira")</f>
        <v>Brasileira</v>
      </c>
      <c r="BA94" s="4">
        <f>IFERROR(__xludf.DUMMYFUNCTION("""COMPUTED_VALUE"""),42.0)</f>
        <v>42</v>
      </c>
      <c r="BB94" s="4" t="str">
        <f>IFERROR(__xludf.DUMMYFUNCTION("""COMPUTED_VALUE"""),"Fast Casual - Frango Assado")</f>
        <v>Fast Casual - Frango Assado</v>
      </c>
      <c r="BC94" s="4" t="str">
        <f>IFERROR(__xludf.DUMMYFUNCTION("""COMPUTED_VALUE"""),"Fortaleza/CE")</f>
        <v>Fortaleza/CE</v>
      </c>
      <c r="BD94" s="4" t="str">
        <f>IFERROR(__xludf.DUMMYFUNCTION("""COMPUTED_VALUE"""),"Dado não disponível publicamente - Necessário Discovery")</f>
        <v>Dado não disponível publicamente - Necessário Discovery</v>
      </c>
      <c r="BE94" s="4">
        <f>IFERROR(__xludf.DUMMYFUNCTION("""COMPUTED_VALUE"""),70.0)</f>
        <v>70</v>
      </c>
      <c r="BF94" s="4">
        <f>IFERROR(__xludf.DUMMYFUNCTION("""COMPUTED_VALUE"""),0.75)</f>
        <v>0.75</v>
      </c>
      <c r="BG9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94" s="4" t="s">
        <v>64</v>
      </c>
      <c r="BI94" s="7">
        <v>0.4</v>
      </c>
    </row>
    <row r="95" hidden="1">
      <c r="A95" s="4" t="str">
        <f>IFERROR(__xludf.DUMMYFUNCTION("""COMPUTED_VALUE"""),"FRIGIDEIRA GRILL")</f>
        <v>FRIGIDEIRA GRILL</v>
      </c>
      <c r="B95" s="4" t="str">
        <f>IFERROR(__xludf.DUMMYFUNCTION("""COMPUTED_VALUE"""),"João Biagiotti")</f>
        <v>João Biagiotti</v>
      </c>
      <c r="C95" s="4" t="str">
        <f>IFERROR(__xludf.DUMMYFUNCTION("""COMPUTED_VALUE"""),"Diego Santos")</f>
        <v>Diego Santos</v>
      </c>
      <c r="D95" s="4" t="str">
        <f>IFERROR(__xludf.DUMMYFUNCTION("""COMPUTED_VALUE"""),"0. Não Iniciado")</f>
        <v>0. Não Iniciado</v>
      </c>
      <c r="E95" s="4"/>
      <c r="F95" s="4" t="str">
        <f>IFERROR(__xludf.DUMMYFUNCTION("""COMPUTED_VALUE"""),"P")</f>
        <v>P</v>
      </c>
      <c r="G95" s="4"/>
      <c r="H95" s="4"/>
      <c r="I95" s="4"/>
      <c r="J95" s="4"/>
      <c r="K95" s="4"/>
      <c r="L95" s="4"/>
      <c r="M95" s="4"/>
      <c r="N95" s="4"/>
      <c r="O95" s="4"/>
      <c r="P95" s="4"/>
      <c r="Q95" s="4"/>
      <c r="R95" s="4"/>
      <c r="S95" s="4"/>
      <c r="T95" s="4"/>
      <c r="U95" s="4"/>
      <c r="V95" s="4"/>
      <c r="W95" s="4"/>
      <c r="X95" s="4"/>
      <c r="Y95" s="4"/>
      <c r="Z95" s="4"/>
      <c r="AA95" s="4">
        <f>IFERROR(__xludf.DUMMYFUNCTION("""COMPUTED_VALUE"""),5.0)</f>
        <v>5</v>
      </c>
      <c r="AB95" s="4" t="str">
        <f>IFERROR(__xludf.DUMMYFUNCTION("""COMPUTED_VALUE"""),"CE")</f>
        <v>CE</v>
      </c>
      <c r="AC95" s="4" t="str">
        <f>IFERROR(__xludf.DUMMYFUNCTION("""COMPUTED_VALUE"""),"Sim")</f>
        <v>Sim</v>
      </c>
      <c r="AD95" s="4" t="str">
        <f>IFERROR(__xludf.DUMMYFUNCTION("""COMPUTED_VALUE"""),"Ifood")</f>
        <v>Ifood</v>
      </c>
      <c r="AE95" s="4"/>
      <c r="AF95" s="4"/>
      <c r="AG95" s="4"/>
      <c r="AH95" s="4"/>
      <c r="AI95" s="4"/>
      <c r="AJ95" s="4"/>
      <c r="AK95" s="4"/>
      <c r="AL95" s="4"/>
      <c r="AM95" s="4" t="str">
        <f>IFERROR(__xludf.DUMMYFUNCTION("""COMPUTED_VALUE"""),"FY27")</f>
        <v>FY27</v>
      </c>
      <c r="AN95" s="4"/>
      <c r="AO95" s="4">
        <f>IFERROR(__xludf.DUMMYFUNCTION("""COMPUTED_VALUE"""),45553.0)</f>
        <v>45553</v>
      </c>
      <c r="AP95" s="4" t="str">
        <f>IFERROR(__xludf.DUMMYFUNCTION("""COMPUTED_VALUE"""),"PE")</f>
        <v>PE</v>
      </c>
      <c r="AQ95" s="4" t="str">
        <f>IFERROR(__xludf.DUMMYFUNCTION("""COMPUTED_VALUE"""),"JENNIFER SIQUEIRA")</f>
        <v>JENNIFER SIQUEIRA</v>
      </c>
      <c r="AR95" s="4" t="str">
        <f>IFERROR(__xludf.DUMMYFUNCTION("""COMPUTED_VALUE"""),"TERESA SIMOES")</f>
        <v>TERESA SIMOES</v>
      </c>
      <c r="AS95" s="4" t="str">
        <f>IFERROR(__xludf.DUMMYFUNCTION("""COMPUTED_VALUE"""),"THIAGO ROMAGNOLE")</f>
        <v>THIAGO ROMAGNOLE</v>
      </c>
      <c r="AT95" s="4" t="str">
        <f>IFERROR(__xludf.DUMMYFUNCTION("""COMPUTED_VALUE"""),"ANDERSON LAUREANO")</f>
        <v>ANDERSON LAUREANO</v>
      </c>
      <c r="AU95" s="4">
        <f>IFERROR(__xludf.DUMMYFUNCTION("""COMPUTED_VALUE"""),0.0)</f>
        <v>0</v>
      </c>
      <c r="AV95" s="4">
        <f>IFERROR(__xludf.DUMMYFUNCTION("""COMPUTED_VALUE"""),0.0)</f>
        <v>0</v>
      </c>
      <c r="AW95" s="4">
        <f>IFERROR(__xludf.DUMMYFUNCTION("""COMPUTED_VALUE"""),0.0)</f>
        <v>0</v>
      </c>
      <c r="AX95" s="4">
        <f>IFERROR(__xludf.DUMMYFUNCTION("""COMPUTED_VALUE"""),0.0)</f>
        <v>0</v>
      </c>
      <c r="AY95" s="4" t="str">
        <f>IFERROR(__xludf.DUMMYFUNCTION("""COMPUTED_VALUE"""),"Saipos Serviços De Software")</f>
        <v>Saipos Serviços De Software</v>
      </c>
      <c r="AZ95" s="4" t="str">
        <f>IFERROR(__xludf.DUMMYFUNCTION("""COMPUTED_VALUE"""),"Brasileira")</f>
        <v>Brasileira</v>
      </c>
      <c r="BA95" s="4">
        <f>IFERROR(__xludf.DUMMYFUNCTION("""COMPUTED_VALUE"""),127.0)</f>
        <v>127</v>
      </c>
      <c r="BB95" s="4" t="str">
        <f>IFERROR(__xludf.DUMMYFUNCTION("""COMPUTED_VALUE"""),"Table Service - Churrascaria")</f>
        <v>Table Service - Churrascaria</v>
      </c>
      <c r="BC95" s="4" t="str">
        <f>IFERROR(__xludf.DUMMYFUNCTION("""COMPUTED_VALUE"""),"Regional")</f>
        <v>Regional</v>
      </c>
      <c r="BD95" s="4" t="str">
        <f>IFERROR(__xludf.DUMMYFUNCTION("""COMPUTED_VALUE"""),"Dado não disponível publicamente - Necessário Discovery")</f>
        <v>Dado não disponível publicamente - Necessário Discovery</v>
      </c>
      <c r="BE95" s="4">
        <f>IFERROR(__xludf.DUMMYFUNCTION("""COMPUTED_VALUE"""),55.0)</f>
        <v>55</v>
      </c>
      <c r="BF95" s="4">
        <f>IFERROR(__xludf.DUMMYFUNCTION("""COMPUTED_VALUE"""),0.65)</f>
        <v>0.65</v>
      </c>
      <c r="BG9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95" s="4" t="s">
        <v>63</v>
      </c>
      <c r="BI95" s="7" t="s">
        <v>63</v>
      </c>
    </row>
    <row r="96" hidden="1">
      <c r="A96" s="4" t="str">
        <f>IFERROR(__xludf.DUMMYFUNCTION("""COMPUTED_VALUE"""),"GALETO SAO LUIZ")</f>
        <v>GALETO SAO LUIZ</v>
      </c>
      <c r="B96" s="4" t="str">
        <f>IFERROR(__xludf.DUMMYFUNCTION("""COMPUTED_VALUE"""),"João Biagiotti")</f>
        <v>João Biagiotti</v>
      </c>
      <c r="C96" s="4" t="str">
        <f>IFERROR(__xludf.DUMMYFUNCTION("""COMPUTED_VALUE"""),"Diego Santos")</f>
        <v>Diego Santos</v>
      </c>
      <c r="D96" s="4" t="str">
        <f>IFERROR(__xludf.DUMMYFUNCTION("""COMPUTED_VALUE"""),"0. Não Iniciado")</f>
        <v>0. Não Iniciado</v>
      </c>
      <c r="E96" s="4"/>
      <c r="F96" s="4" t="str">
        <f>IFERROR(__xludf.DUMMYFUNCTION("""COMPUTED_VALUE"""),"P")</f>
        <v>P</v>
      </c>
      <c r="G96" s="4"/>
      <c r="H96" s="4"/>
      <c r="I96" s="4"/>
      <c r="J96" s="4"/>
      <c r="K96" s="4"/>
      <c r="L96" s="4"/>
      <c r="M96" s="4"/>
      <c r="N96" s="4"/>
      <c r="O96" s="4"/>
      <c r="P96" s="4"/>
      <c r="Q96" s="4"/>
      <c r="R96" s="4"/>
      <c r="S96" s="4"/>
      <c r="T96" s="4"/>
      <c r="U96" s="4"/>
      <c r="V96" s="4"/>
      <c r="W96" s="4"/>
      <c r="X96" s="4"/>
      <c r="Y96" s="4"/>
      <c r="Z96" s="4"/>
      <c r="AA96" s="4">
        <f>IFERROR(__xludf.DUMMYFUNCTION("""COMPUTED_VALUE"""),10.0)</f>
        <v>10</v>
      </c>
      <c r="AB96" s="4" t="str">
        <f>IFERROR(__xludf.DUMMYFUNCTION("""COMPUTED_VALUE"""),"CE")</f>
        <v>CE</v>
      </c>
      <c r="AC96" s="4" t="str">
        <f>IFERROR(__xludf.DUMMYFUNCTION("""COMPUTED_VALUE"""),"Sim")</f>
        <v>Sim</v>
      </c>
      <c r="AD96" s="4">
        <f>IFERROR(__xludf.DUMMYFUNCTION("""COMPUTED_VALUE"""),0.0)</f>
        <v>0</v>
      </c>
      <c r="AE96" s="4"/>
      <c r="AF96" s="4"/>
      <c r="AG96" s="4"/>
      <c r="AH96" s="4"/>
      <c r="AI96" s="4"/>
      <c r="AJ96" s="4"/>
      <c r="AK96" s="4"/>
      <c r="AL96" s="4"/>
      <c r="AM96" s="4" t="str">
        <f>IFERROR(__xludf.DUMMYFUNCTION("""COMPUTED_VALUE"""),"FY27")</f>
        <v>FY27</v>
      </c>
      <c r="AN96" s="4"/>
      <c r="AO96" s="4">
        <f>IFERROR(__xludf.DUMMYFUNCTION("""COMPUTED_VALUE"""),45553.0)</f>
        <v>45553</v>
      </c>
      <c r="AP96" s="4" t="str">
        <f>IFERROR(__xludf.DUMMYFUNCTION("""COMPUTED_VALUE"""),"AL")</f>
        <v>AL</v>
      </c>
      <c r="AQ96" s="4" t="str">
        <f>IFERROR(__xludf.DUMMYFUNCTION("""COMPUTED_VALUE"""),"MARCELO ESTEVES")</f>
        <v>MARCELO ESTEVES</v>
      </c>
      <c r="AR96" s="4" t="str">
        <f>IFERROR(__xludf.DUMMYFUNCTION("""COMPUTED_VALUE"""),"DIOGO FRIAS")</f>
        <v>DIOGO FRIAS</v>
      </c>
      <c r="AS96" s="4" t="str">
        <f>IFERROR(__xludf.DUMMYFUNCTION("""COMPUTED_VALUE"""),"THIAGO ROMAGNOLE")</f>
        <v>THIAGO ROMAGNOLE</v>
      </c>
      <c r="AT96" s="4" t="str">
        <f>IFERROR(__xludf.DUMMYFUNCTION("""COMPUTED_VALUE"""),"ANDERSON LAUREANO")</f>
        <v>ANDERSON LAUREANO</v>
      </c>
      <c r="AU96" s="4">
        <f>IFERROR(__xludf.DUMMYFUNCTION("""COMPUTED_VALUE"""),0.0)</f>
        <v>0</v>
      </c>
      <c r="AV96" s="4">
        <f>IFERROR(__xludf.DUMMYFUNCTION("""COMPUTED_VALUE"""),0.0)</f>
        <v>0</v>
      </c>
      <c r="AW96" s="4">
        <f>IFERROR(__xludf.DUMMYFUNCTION("""COMPUTED_VALUE"""),0.0)</f>
        <v>0</v>
      </c>
      <c r="AX96" s="4">
        <f>IFERROR(__xludf.DUMMYFUNCTION("""COMPUTED_VALUE"""),0.0)</f>
        <v>0</v>
      </c>
      <c r="AY96" s="4"/>
      <c r="AZ96" s="4" t="str">
        <f>IFERROR(__xludf.DUMMYFUNCTION("""COMPUTED_VALUE"""),"Brasileira")</f>
        <v>Brasileira</v>
      </c>
      <c r="BA96" s="4" t="str">
        <f>IFERROR(__xludf.DUMMYFUNCTION("""COMPUTED_VALUE"""),"")</f>
        <v/>
      </c>
      <c r="BB96" s="4" t="str">
        <f>IFERROR(__xludf.DUMMYFUNCTION("""COMPUTED_VALUE"""),"")</f>
        <v/>
      </c>
      <c r="BC96" s="4" t="str">
        <f>IFERROR(__xludf.DUMMYFUNCTION("""COMPUTED_VALUE"""),"")</f>
        <v/>
      </c>
      <c r="BD96" s="4" t="str">
        <f>IFERROR(__xludf.DUMMYFUNCTION("""COMPUTED_VALUE"""),"")</f>
        <v/>
      </c>
      <c r="BE96" s="4" t="str">
        <f>IFERROR(__xludf.DUMMYFUNCTION("""COMPUTED_VALUE"""),"")</f>
        <v/>
      </c>
      <c r="BF96" s="4" t="str">
        <f>IFERROR(__xludf.DUMMYFUNCTION("""COMPUTED_VALUE"""),"")</f>
        <v/>
      </c>
      <c r="BG96" s="4" t="str">
        <f>IFERROR(__xludf.DUMMYFUNCTION("""COMPUTED_VALUE"""),"")</f>
        <v/>
      </c>
      <c r="BH96" s="4" t="s">
        <v>63</v>
      </c>
      <c r="BI96" s="7" t="s">
        <v>63</v>
      </c>
    </row>
    <row r="97" hidden="1">
      <c r="A97" s="4" t="str">
        <f>IFERROR(__xludf.DUMMYFUNCTION("""COMPUTED_VALUE"""),"GALETUS - MARCA")</f>
        <v>GALETUS - MARCA</v>
      </c>
      <c r="B97" s="4" t="str">
        <f>IFERROR(__xludf.DUMMYFUNCTION("""COMPUTED_VALUE"""),"João Biagiotti")</f>
        <v>João Biagiotti</v>
      </c>
      <c r="C97" s="4" t="str">
        <f>IFERROR(__xludf.DUMMYFUNCTION("""COMPUTED_VALUE"""),"Diego Santos")</f>
        <v>Diego Santos</v>
      </c>
      <c r="D97" s="4" t="str">
        <f>IFERROR(__xludf.DUMMYFUNCTION("""COMPUTED_VALUE"""),"0. Não Iniciado")</f>
        <v>0. Não Iniciado</v>
      </c>
      <c r="E97" s="4"/>
      <c r="F97" s="4" t="str">
        <f>IFERROR(__xludf.DUMMYFUNCTION("""COMPUTED_VALUE"""),"P")</f>
        <v>P</v>
      </c>
      <c r="G97" s="4"/>
      <c r="H97" s="4"/>
      <c r="I97" s="4"/>
      <c r="J97" s="4"/>
      <c r="K97" s="4"/>
      <c r="L97" s="4"/>
      <c r="M97" s="4"/>
      <c r="N97" s="4"/>
      <c r="O97" s="4"/>
      <c r="P97" s="4"/>
      <c r="Q97" s="4"/>
      <c r="R97" s="4"/>
      <c r="S97" s="4"/>
      <c r="T97" s="4"/>
      <c r="U97" s="4"/>
      <c r="V97" s="4"/>
      <c r="W97" s="4"/>
      <c r="X97" s="4"/>
      <c r="Y97" s="4"/>
      <c r="Z97" s="4"/>
      <c r="AA97" s="4">
        <f>IFERROR(__xludf.DUMMYFUNCTION("""COMPUTED_VALUE"""),8.0)</f>
        <v>8</v>
      </c>
      <c r="AB97" s="4" t="str">
        <f>IFERROR(__xludf.DUMMYFUNCTION("""COMPUTED_VALUE"""),"CE")</f>
        <v>CE</v>
      </c>
      <c r="AC97" s="4" t="str">
        <f>IFERROR(__xludf.DUMMYFUNCTION("""COMPUTED_VALUE"""),"Sim")</f>
        <v>Sim</v>
      </c>
      <c r="AD97" s="4" t="str">
        <f>IFERROR(__xludf.DUMMYFUNCTION("""COMPUTED_VALUE"""),"Totvs Large Enterprise Tecnologia S.a.")</f>
        <v>Totvs Large Enterprise Tecnologia S.a.</v>
      </c>
      <c r="AE97" s="4"/>
      <c r="AF97" s="4"/>
      <c r="AG97" s="4"/>
      <c r="AH97" s="4"/>
      <c r="AI97" s="4"/>
      <c r="AJ97" s="4"/>
      <c r="AK97" s="4"/>
      <c r="AL97" s="4"/>
      <c r="AM97" s="4" t="str">
        <f>IFERROR(__xludf.DUMMYFUNCTION("""COMPUTED_VALUE"""),"FY27")</f>
        <v>FY27</v>
      </c>
      <c r="AN97" s="4"/>
      <c r="AO97" s="4">
        <f>IFERROR(__xludf.DUMMYFUNCTION("""COMPUTED_VALUE"""),45553.0)</f>
        <v>45553</v>
      </c>
      <c r="AP97" s="4" t="str">
        <f>IFERROR(__xludf.DUMMYFUNCTION("""COMPUTED_VALUE"""),"PE")</f>
        <v>PE</v>
      </c>
      <c r="AQ97" s="4" t="str">
        <f>IFERROR(__xludf.DUMMYFUNCTION("""COMPUTED_VALUE"""),"JENNIFER SIQUEIRA")</f>
        <v>JENNIFER SIQUEIRA</v>
      </c>
      <c r="AR97" s="4" t="str">
        <f>IFERROR(__xludf.DUMMYFUNCTION("""COMPUTED_VALUE"""),"GABRIELLA SARAIVA")</f>
        <v>GABRIELLA SARAIVA</v>
      </c>
      <c r="AS97" s="4" t="str">
        <f>IFERROR(__xludf.DUMMYFUNCTION("""COMPUTED_VALUE"""),"THIAGO ROMAGNOLE")</f>
        <v>THIAGO ROMAGNOLE</v>
      </c>
      <c r="AT97" s="4" t="str">
        <f>IFERROR(__xludf.DUMMYFUNCTION("""COMPUTED_VALUE"""),"ANDERSON LAUREANO")</f>
        <v>ANDERSON LAUREANO</v>
      </c>
      <c r="AU97" s="4">
        <f>IFERROR(__xludf.DUMMYFUNCTION("""COMPUTED_VALUE"""),0.0)</f>
        <v>0</v>
      </c>
      <c r="AV97" s="4">
        <f>IFERROR(__xludf.DUMMYFUNCTION("""COMPUTED_VALUE"""),0.0)</f>
        <v>0</v>
      </c>
      <c r="AW97" s="4">
        <f>IFERROR(__xludf.DUMMYFUNCTION("""COMPUTED_VALUE"""),0.0)</f>
        <v>0</v>
      </c>
      <c r="AX97" s="4">
        <f>IFERROR(__xludf.DUMMYFUNCTION("""COMPUTED_VALUE"""),0.0)</f>
        <v>0</v>
      </c>
      <c r="AY97" s="4"/>
      <c r="AZ97" s="4" t="str">
        <f>IFERROR(__xludf.DUMMYFUNCTION("""COMPUTED_VALUE"""),"Lanches")</f>
        <v>Lanches</v>
      </c>
      <c r="BA97" s="4">
        <f>IFERROR(__xludf.DUMMYFUNCTION("""COMPUTED_VALUE"""),48.0)</f>
        <v>48</v>
      </c>
      <c r="BB97" s="4" t="str">
        <f>IFERROR(__xludf.DUMMYFUNCTION("""COMPUTED_VALUE"""),"Fast Casual - Galeto/Frango")</f>
        <v>Fast Casual - Galeto/Frango</v>
      </c>
      <c r="BC97" s="4" t="str">
        <f>IFERROR(__xludf.DUMMYFUNCTION("""COMPUTED_VALUE"""),"São Paulo/SP e Recife/PE (regional)")</f>
        <v>São Paulo/SP e Recife/PE (regional)</v>
      </c>
      <c r="BD97" s="4" t="str">
        <f>IFERROR(__xludf.DUMMYFUNCTION("""COMPUTED_VALUE"""),"Dado não disponível publicamente - Necessário Discovery")</f>
        <v>Dado não disponível publicamente - Necessário Discovery</v>
      </c>
      <c r="BE97" s="4">
        <f>IFERROR(__xludf.DUMMYFUNCTION("""COMPUTED_VALUE"""),70.0)</f>
        <v>70</v>
      </c>
      <c r="BF97" s="4">
        <f>IFERROR(__xludf.DUMMYFUNCTION("""COMPUTED_VALUE"""),0.75)</f>
        <v>0.75</v>
      </c>
      <c r="BG9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97" s="4" t="s">
        <v>78</v>
      </c>
      <c r="BI97" s="7">
        <v>0.6842105263157895</v>
      </c>
    </row>
    <row r="98" hidden="1">
      <c r="A98" s="4" t="str">
        <f>IFERROR(__xludf.DUMMYFUNCTION("""COMPUTED_VALUE"""),"GELATI ARTIGIANALE")</f>
        <v>GELATI ARTIGIANALE</v>
      </c>
      <c r="B98" s="4" t="str">
        <f>IFERROR(__xludf.DUMMYFUNCTION("""COMPUTED_VALUE"""),"Lídia Esteves")</f>
        <v>Lídia Esteves</v>
      </c>
      <c r="C98" s="4" t="str">
        <f>IFERROR(__xludf.DUMMYFUNCTION("""COMPUTED_VALUE"""),"Gabriela Roma")</f>
        <v>Gabriela Roma</v>
      </c>
      <c r="D98" s="4" t="str">
        <f>IFERROR(__xludf.DUMMYFUNCTION("""COMPUTED_VALUE"""),"2. Primeiro Contato com a marca")</f>
        <v>2. Primeiro Contato com a marca</v>
      </c>
      <c r="E98" s="4" t="str">
        <f>IFERROR(__xludf.DUMMYFUNCTION("""COMPUTED_VALUE"""),"Perdido - Outro (detalhar ao lado)")</f>
        <v>Perdido - Outro (detalhar ao lado)</v>
      </c>
      <c r="F98" s="4" t="str">
        <f>IFERROR(__xludf.DUMMYFUNCTION("""COMPUTED_VALUE"""),"P")</f>
        <v>P</v>
      </c>
      <c r="G98" s="5">
        <f>IFERROR(__xludf.DUMMYFUNCTION("""COMPUTED_VALUE"""),46125.0)</f>
        <v>46125</v>
      </c>
      <c r="H98" s="4" t="str">
        <f>IFERROR(__xludf.DUMMYFUNCTION("""COMPUTED_VALUE"""),"Fabrica de sorvete, nao tem salao, sem perfil ")</f>
        <v>Fabrica de sorvete, nao tem salao, sem perfil </v>
      </c>
      <c r="I98" s="6">
        <f>IFERROR(__xludf.DUMMYFUNCTION("""COMPUTED_VALUE"""),46121.67562009259)</f>
        <v>46121.67562</v>
      </c>
      <c r="J98" s="6">
        <f>IFERROR(__xludf.DUMMYFUNCTION("""COMPUTED_VALUE"""),46121.67870131944)</f>
        <v>46121.6787</v>
      </c>
      <c r="K98" s="4"/>
      <c r="L98" s="4"/>
      <c r="M98" s="4"/>
      <c r="N98" s="4"/>
      <c r="O98" s="4"/>
      <c r="P98" s="4"/>
      <c r="Q98" s="4"/>
      <c r="R98" s="4"/>
      <c r="S98" s="4"/>
      <c r="T98" s="4"/>
      <c r="U98" s="4"/>
      <c r="V98" s="4"/>
      <c r="W98" s="4"/>
      <c r="X98" s="4"/>
      <c r="Y98" s="4"/>
      <c r="Z98" s="4"/>
      <c r="AA98" s="4">
        <f>IFERROR(__xludf.DUMMYFUNCTION("""COMPUTED_VALUE"""),13.0)</f>
        <v>13</v>
      </c>
      <c r="AB98" s="4" t="str">
        <f>IFERROR(__xludf.DUMMYFUNCTION("""COMPUTED_VALUE"""),"CE")</f>
        <v>CE</v>
      </c>
      <c r="AC98" s="4" t="str">
        <f>IFERROR(__xludf.DUMMYFUNCTION("""COMPUTED_VALUE"""),"Sim")</f>
        <v>Sim</v>
      </c>
      <c r="AD98" s="4" t="str">
        <f>IFERROR(__xludf.DUMMYFUNCTION("""COMPUTED_VALUE"""),"Hubster")</f>
        <v>Hubster</v>
      </c>
      <c r="AE98" s="4"/>
      <c r="AF98" s="4"/>
      <c r="AG98" s="4"/>
      <c r="AH98" s="4"/>
      <c r="AI98" s="4"/>
      <c r="AJ98" s="4"/>
      <c r="AK98" s="4"/>
      <c r="AL98" s="4"/>
      <c r="AM98" s="4" t="str">
        <f>IFERROR(__xludf.DUMMYFUNCTION("""COMPUTED_VALUE"""),"FY27")</f>
        <v>FY27</v>
      </c>
      <c r="AN98" s="4"/>
      <c r="AO98" s="4">
        <f>IFERROR(__xludf.DUMMYFUNCTION("""COMPUTED_VALUE"""),90.0)</f>
        <v>90</v>
      </c>
      <c r="AP98" s="4" t="str">
        <f>IFERROR(__xludf.DUMMYFUNCTION("""COMPUTED_VALUE"""),"SP")</f>
        <v>SP</v>
      </c>
      <c r="AQ98" s="4" t="str">
        <f>IFERROR(__xludf.DUMMYFUNCTION("""COMPUTED_VALUE"""),"JUAN CHAROTTA")</f>
        <v>JUAN CHAROTTA</v>
      </c>
      <c r="AR98" s="4" t="str">
        <f>IFERROR(__xludf.DUMMYFUNCTION("""COMPUTED_VALUE"""),"RIBAMAR GUSMAO")</f>
        <v>RIBAMAR GUSMAO</v>
      </c>
      <c r="AS98" s="4" t="str">
        <f>IFERROR(__xludf.DUMMYFUNCTION("""COMPUTED_VALUE"""),"NATHALIE MERTENS")</f>
        <v>NATHALIE MERTENS</v>
      </c>
      <c r="AT98" s="4" t="str">
        <f>IFERROR(__xludf.DUMMYFUNCTION("""COMPUTED_VALUE"""),"NATALIA COUTINHO")</f>
        <v>NATALIA COUTINHO</v>
      </c>
      <c r="AU98" s="4">
        <f>IFERROR(__xludf.DUMMYFUNCTION("""COMPUTED_VALUE"""),0.0)</f>
        <v>0</v>
      </c>
      <c r="AV98" s="4">
        <f>IFERROR(__xludf.DUMMYFUNCTION("""COMPUTED_VALUE"""),0.0)</f>
        <v>0</v>
      </c>
      <c r="AW98" s="4">
        <f>IFERROR(__xludf.DUMMYFUNCTION("""COMPUTED_VALUE"""),0.0)</f>
        <v>0</v>
      </c>
      <c r="AX98" s="4">
        <f>IFERROR(__xludf.DUMMYFUNCTION("""COMPUTED_VALUE"""),0.0)</f>
        <v>0</v>
      </c>
      <c r="AY98" s="4"/>
      <c r="AZ98" s="4" t="str">
        <f>IFERROR(__xludf.DUMMYFUNCTION("""COMPUTED_VALUE"""),"Sorvetes")</f>
        <v>Sorvetes</v>
      </c>
      <c r="BA98" s="4">
        <f>IFERROR(__xludf.DUMMYFUNCTION("""COMPUTED_VALUE"""),58.0)</f>
        <v>58</v>
      </c>
      <c r="BB98" s="4" t="str">
        <f>IFERROR(__xludf.DUMMYFUNCTION("""COMPUTED_VALUE"""),"Fast Casual - Multi-conceito")</f>
        <v>Fast Casual - Multi-conceito</v>
      </c>
      <c r="BC98" s="4" t="str">
        <f>IFERROR(__xludf.DUMMYFUNCTION("""COMPUTED_VALUE"""),"Brasília/DF")</f>
        <v>Brasília/DF</v>
      </c>
      <c r="BD98" s="4" t="str">
        <f>IFERROR(__xludf.DUMMYFUNCTION("""COMPUTED_VALUE"""),"Dado não disponível publicamente - Necessário Discovery")</f>
        <v>Dado não disponível publicamente - Necessário Discovery</v>
      </c>
      <c r="BE98" s="4">
        <f>IFERROR(__xludf.DUMMYFUNCTION("""COMPUTED_VALUE"""),70.0)</f>
        <v>70</v>
      </c>
      <c r="BF98" s="4">
        <f>IFERROR(__xludf.DUMMYFUNCTION("""COMPUTED_VALUE"""),0.75)</f>
        <v>0.75</v>
      </c>
      <c r="BG9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98" s="4" t="s">
        <v>69</v>
      </c>
      <c r="BI98" s="7">
        <v>0.6666666666666666</v>
      </c>
    </row>
    <row r="99">
      <c r="A99" s="4" t="str">
        <f>IFERROR(__xludf.DUMMYFUNCTION("""COMPUTED_VALUE"""),"GELATO BORELLI")</f>
        <v>GELATO BORELLI</v>
      </c>
      <c r="B99" s="4" t="str">
        <f>IFERROR(__xludf.DUMMYFUNCTION("""COMPUTED_VALUE"""),"Leonardo Roso")</f>
        <v>Leonardo Roso</v>
      </c>
      <c r="C99" s="4" t="str">
        <f>IFERROR(__xludf.DUMMYFUNCTION("""COMPUTED_VALUE"""),"Leonardo Roso")</f>
        <v>Leonardo Roso</v>
      </c>
      <c r="D99" s="4" t="str">
        <f>IFERROR(__xludf.DUMMYFUNCTION("""COMPUTED_VALUE"""),"0. Não Iniciado")</f>
        <v>0. Não Iniciado</v>
      </c>
      <c r="E99" s="4"/>
      <c r="F99" s="4" t="str">
        <f>IFERROR(__xludf.DUMMYFUNCTION("""COMPUTED_VALUE"""),"G")</f>
        <v>G</v>
      </c>
      <c r="G99" s="4"/>
      <c r="H99" s="4"/>
      <c r="I99" s="4"/>
      <c r="J99" s="4"/>
      <c r="K99" s="4"/>
      <c r="L99" s="4"/>
      <c r="M99" s="4"/>
      <c r="N99" s="4"/>
      <c r="O99" s="4"/>
      <c r="P99" s="4"/>
      <c r="Q99" s="4"/>
      <c r="R99" s="4"/>
      <c r="S99" s="4"/>
      <c r="T99" s="4"/>
      <c r="U99" s="4"/>
      <c r="V99" s="4"/>
      <c r="W99" s="4"/>
      <c r="X99" s="4"/>
      <c r="Y99" s="4"/>
      <c r="Z99" s="4"/>
      <c r="AA99" s="4">
        <f>IFERROR(__xludf.DUMMYFUNCTION("""COMPUTED_VALUE"""),210.0)</f>
        <v>210</v>
      </c>
      <c r="AB99" s="4" t="str">
        <f>IFERROR(__xludf.DUMMYFUNCTION("""COMPUTED_VALUE"""),"CE")</f>
        <v>CE</v>
      </c>
      <c r="AC99" s="4" t="str">
        <f>IFERROR(__xludf.DUMMYFUNCTION("""COMPUTED_VALUE"""),"Sim")</f>
        <v>Sim</v>
      </c>
      <c r="AD99" s="4" t="str">
        <f>IFERROR(__xludf.DUMMYFUNCTION("""COMPUTED_VALUE"""),"Ifood")</f>
        <v>Ifood</v>
      </c>
      <c r="AE99" s="4"/>
      <c r="AF99" s="4"/>
      <c r="AG99" s="4"/>
      <c r="AH99" s="4"/>
      <c r="AI99" s="4"/>
      <c r="AJ99" s="4"/>
      <c r="AK99" s="4"/>
      <c r="AL99" s="4"/>
      <c r="AM99" s="4" t="str">
        <f>IFERROR(__xludf.DUMMYFUNCTION("""COMPUTED_VALUE"""),"FY27")</f>
        <v>FY27</v>
      </c>
      <c r="AN99" s="4"/>
      <c r="AO99" s="4">
        <f>IFERROR(__xludf.DUMMYFUNCTION("""COMPUTED_VALUE"""),45553.0)</f>
        <v>45553</v>
      </c>
      <c r="AP99" s="4" t="str">
        <f>IFERROR(__xludf.DUMMYFUNCTION("""COMPUTED_VALUE"""),"SP")</f>
        <v>SP</v>
      </c>
      <c r="AQ99" s="4" t="str">
        <f>IFERROR(__xludf.DUMMYFUNCTION("""COMPUTED_VALUE"""),"ANDRE CATENASSI")</f>
        <v>ANDRE CATENASSI</v>
      </c>
      <c r="AR99" s="4" t="str">
        <f>IFERROR(__xludf.DUMMYFUNCTION("""COMPUTED_VALUE"""),"GESSICA SANTANA")</f>
        <v>GESSICA SANTANA</v>
      </c>
      <c r="AS99" s="4" t="str">
        <f>IFERROR(__xludf.DUMMYFUNCTION("""COMPUTED_VALUE"""),"ISABELA GOULART")</f>
        <v>ISABELA GOULART</v>
      </c>
      <c r="AT99" s="4" t="str">
        <f>IFERROR(__xludf.DUMMYFUNCTION("""COMPUTED_VALUE"""),"ANDRE CATENASSI")</f>
        <v>ANDRE CATENASSI</v>
      </c>
      <c r="AU99" s="4">
        <f>IFERROR(__xludf.DUMMYFUNCTION("""COMPUTED_VALUE"""),0.0)</f>
        <v>0</v>
      </c>
      <c r="AV99" s="4">
        <f>IFERROR(__xludf.DUMMYFUNCTION("""COMPUTED_VALUE"""),0.0)</f>
        <v>0</v>
      </c>
      <c r="AW99" s="4">
        <f>IFERROR(__xludf.DUMMYFUNCTION("""COMPUTED_VALUE"""),0.0)</f>
        <v>0</v>
      </c>
      <c r="AX99" s="4">
        <f>IFERROR(__xludf.DUMMYFUNCTION("""COMPUTED_VALUE"""),0.0)</f>
        <v>0</v>
      </c>
      <c r="AY99" s="4" t="str">
        <f>IFERROR(__xludf.DUMMYFUNCTION("""COMPUTED_VALUE"""),"Gelato Borelli Tecnologia Ltda")</f>
        <v>Gelato Borelli Tecnologia Ltda</v>
      </c>
      <c r="AZ99" s="4" t="str">
        <f>IFERROR(__xludf.DUMMYFUNCTION("""COMPUTED_VALUE"""),"Sorvetes")</f>
        <v>Sorvetes</v>
      </c>
      <c r="BA99" s="4">
        <f>IFERROR(__xludf.DUMMYFUNCTION("""COMPUTED_VALUE"""),37.0)</f>
        <v>37</v>
      </c>
      <c r="BB99" s="4" t="str">
        <f>IFERROR(__xludf.DUMMYFUNCTION("""COMPUTED_VALUE"""),"Fast Casual - Sorveteria")</f>
        <v>Fast Casual - Sorveteria</v>
      </c>
      <c r="BC99" s="4" t="str">
        <f>IFERROR(__xludf.DUMMYFUNCTION("""COMPUTED_VALUE"""),"Regional")</f>
        <v>Regional</v>
      </c>
      <c r="BD99" s="4" t="str">
        <f>IFERROR(__xludf.DUMMYFUNCTION("""COMPUTED_VALUE"""),"Dado não disponível publicamente - Necessário Discovery")</f>
        <v>Dado não disponível publicamente - Necessário Discovery</v>
      </c>
      <c r="BE99" s="4">
        <f>IFERROR(__xludf.DUMMYFUNCTION("""COMPUTED_VALUE"""),70.0)</f>
        <v>70</v>
      </c>
      <c r="BF99" s="4">
        <f>IFERROR(__xludf.DUMMYFUNCTION("""COMPUTED_VALUE"""),0.75)</f>
        <v>0.75</v>
      </c>
      <c r="BG9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99" s="4" t="s">
        <v>93</v>
      </c>
      <c r="BI99" s="7">
        <v>0.6363636363636364</v>
      </c>
    </row>
    <row r="100" hidden="1">
      <c r="A100" s="4" t="str">
        <f>IFERROR(__xludf.DUMMYFUNCTION("""COMPUTED_VALUE"""),"GO YAKISOBA")</f>
        <v>GO YAKISOBA</v>
      </c>
      <c r="B100" s="4" t="str">
        <f>IFERROR(__xludf.DUMMYFUNCTION("""COMPUTED_VALUE"""),"João Biagiotti")</f>
        <v>João Biagiotti</v>
      </c>
      <c r="C100" s="4" t="str">
        <f>IFERROR(__xludf.DUMMYFUNCTION("""COMPUTED_VALUE"""),"Diego Santos")</f>
        <v>Diego Santos</v>
      </c>
      <c r="D100" s="4" t="str">
        <f>IFERROR(__xludf.DUMMYFUNCTION("""COMPUTED_VALUE"""),"0. Não Iniciado")</f>
        <v>0. Não Iniciado</v>
      </c>
      <c r="E100" s="4"/>
      <c r="F100" s="4" t="str">
        <f>IFERROR(__xludf.DUMMYFUNCTION("""COMPUTED_VALUE"""),"P")</f>
        <v>P</v>
      </c>
      <c r="G100" s="4"/>
      <c r="H100" s="4"/>
      <c r="I100" s="4"/>
      <c r="J100" s="4"/>
      <c r="K100" s="4"/>
      <c r="L100" s="4"/>
      <c r="M100" s="4"/>
      <c r="N100" s="4"/>
      <c r="O100" s="4"/>
      <c r="P100" s="4"/>
      <c r="Q100" s="4"/>
      <c r="R100" s="4"/>
      <c r="S100" s="4"/>
      <c r="T100" s="4"/>
      <c r="U100" s="4"/>
      <c r="V100" s="4"/>
      <c r="W100" s="4"/>
      <c r="X100" s="4"/>
      <c r="Y100" s="4"/>
      <c r="Z100" s="4"/>
      <c r="AA100" s="4">
        <f>IFERROR(__xludf.DUMMYFUNCTION("""COMPUTED_VALUE"""),5.0)</f>
        <v>5</v>
      </c>
      <c r="AB100" s="4" t="str">
        <f>IFERROR(__xludf.DUMMYFUNCTION("""COMPUTED_VALUE"""),"CE")</f>
        <v>CE</v>
      </c>
      <c r="AC100" s="4" t="str">
        <f>IFERROR(__xludf.DUMMYFUNCTION("""COMPUTED_VALUE"""),"Sim")</f>
        <v>Sim</v>
      </c>
      <c r="AD100" s="4" t="str">
        <f>IFERROR(__xludf.DUMMYFUNCTION("""COMPUTED_VALUE"""),"Ifood")</f>
        <v>Ifood</v>
      </c>
      <c r="AE100" s="4"/>
      <c r="AF100" s="4"/>
      <c r="AG100" s="4"/>
      <c r="AH100" s="4"/>
      <c r="AI100" s="4"/>
      <c r="AJ100" s="4"/>
      <c r="AK100" s="4"/>
      <c r="AL100" s="4"/>
      <c r="AM100" s="4" t="str">
        <f>IFERROR(__xludf.DUMMYFUNCTION("""COMPUTED_VALUE"""),"FY27")</f>
        <v>FY27</v>
      </c>
      <c r="AN100" s="4"/>
      <c r="AO100" s="4">
        <f>IFERROR(__xludf.DUMMYFUNCTION("""COMPUTED_VALUE"""),45553.0)</f>
        <v>45553</v>
      </c>
      <c r="AP100" s="4" t="str">
        <f>IFERROR(__xludf.DUMMYFUNCTION("""COMPUTED_VALUE"""),"AP")</f>
        <v>AP</v>
      </c>
      <c r="AQ100" s="4" t="str">
        <f>IFERROR(__xludf.DUMMYFUNCTION("""COMPUTED_VALUE"""),"JORGEANE LOBATO")</f>
        <v>JORGEANE LOBATO</v>
      </c>
      <c r="AR100" s="4" t="str">
        <f>IFERROR(__xludf.DUMMYFUNCTION("""COMPUTED_VALUE"""),"NADIA CRUZ")</f>
        <v>NADIA CRUZ</v>
      </c>
      <c r="AS100" s="4" t="str">
        <f>IFERROR(__xludf.DUMMYFUNCTION("""COMPUTED_VALUE"""),"THIAGO ROMAGNOLE")</f>
        <v>THIAGO ROMAGNOLE</v>
      </c>
      <c r="AT100" s="4" t="str">
        <f>IFERROR(__xludf.DUMMYFUNCTION("""COMPUTED_VALUE"""),"PAULO MODESTO")</f>
        <v>PAULO MODESTO</v>
      </c>
      <c r="AU100" s="4">
        <f>IFERROR(__xludf.DUMMYFUNCTION("""COMPUTED_VALUE"""),0.0)</f>
        <v>0</v>
      </c>
      <c r="AV100" s="4">
        <f>IFERROR(__xludf.DUMMYFUNCTION("""COMPUTED_VALUE"""),0.0)</f>
        <v>0</v>
      </c>
      <c r="AW100" s="4">
        <f>IFERROR(__xludf.DUMMYFUNCTION("""COMPUTED_VALUE"""),0.0)</f>
        <v>0</v>
      </c>
      <c r="AX100" s="4">
        <f>IFERROR(__xludf.DUMMYFUNCTION("""COMPUTED_VALUE"""),0.0)</f>
        <v>0</v>
      </c>
      <c r="AY100" s="4"/>
      <c r="AZ100" s="4" t="str">
        <f>IFERROR(__xludf.DUMMYFUNCTION("""COMPUTED_VALUE"""),"Lanches")</f>
        <v>Lanches</v>
      </c>
      <c r="BA100" s="4">
        <f>IFERROR(__xludf.DUMMYFUNCTION("""COMPUTED_VALUE"""),51.0)</f>
        <v>51</v>
      </c>
      <c r="BB100" s="4" t="str">
        <f>IFERROR(__xludf.DUMMYFUNCTION("""COMPUTED_VALUE"""),"Fast Casual - Oriental")</f>
        <v>Fast Casual - Oriental</v>
      </c>
      <c r="BC100" s="4" t="str">
        <f>IFERROR(__xludf.DUMMYFUNCTION("""COMPUTED_VALUE"""),"Nacional")</f>
        <v>Nacional</v>
      </c>
      <c r="BD100" s="4" t="str">
        <f>IFERROR(__xludf.DUMMYFUNCTION("""COMPUTED_VALUE"""),"Dado não disponível publicamente - Necessário Discovery")</f>
        <v>Dado não disponível publicamente - Necessário Discovery</v>
      </c>
      <c r="BE100" s="4">
        <f>IFERROR(__xludf.DUMMYFUNCTION("""COMPUTED_VALUE"""),70.0)</f>
        <v>70</v>
      </c>
      <c r="BF100" s="4">
        <f>IFERROR(__xludf.DUMMYFUNCTION("""COMPUTED_VALUE"""),0.75)</f>
        <v>0.75</v>
      </c>
      <c r="BG10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00" s="4" t="s">
        <v>63</v>
      </c>
      <c r="BI100" s="7" t="s">
        <v>63</v>
      </c>
    </row>
    <row r="101" hidden="1">
      <c r="A101" s="4" t="str">
        <f>IFERROR(__xludf.DUMMYFUNCTION("""COMPUTED_VALUE"""),"GRACCO BURGER")</f>
        <v>GRACCO BURGER</v>
      </c>
      <c r="B101" s="4" t="str">
        <f>IFERROR(__xludf.DUMMYFUNCTION("""COMPUTED_VALUE"""),"Lídia Esteves")</f>
        <v>Lídia Esteves</v>
      </c>
      <c r="C101" s="4" t="str">
        <f>IFERROR(__xludf.DUMMYFUNCTION("""COMPUTED_VALUE"""),"Gabriela Roma")</f>
        <v>Gabriela Roma</v>
      </c>
      <c r="D101" s="4" t="str">
        <f>IFERROR(__xludf.DUMMYFUNCTION("""COMPUTED_VALUE"""),"0. Não Iniciado")</f>
        <v>0. Não Iniciado</v>
      </c>
      <c r="E101" s="4"/>
      <c r="F101" s="4" t="str">
        <f>IFERROR(__xludf.DUMMYFUNCTION("""COMPUTED_VALUE"""),"P")</f>
        <v>P</v>
      </c>
      <c r="G101" s="4"/>
      <c r="H101" s="4"/>
      <c r="I101" s="4"/>
      <c r="J101" s="4"/>
      <c r="K101" s="4"/>
      <c r="L101" s="4"/>
      <c r="M101" s="4"/>
      <c r="N101" s="4"/>
      <c r="O101" s="4"/>
      <c r="P101" s="4"/>
      <c r="Q101" s="4"/>
      <c r="R101" s="4"/>
      <c r="S101" s="4"/>
      <c r="T101" s="4"/>
      <c r="U101" s="4"/>
      <c r="V101" s="4"/>
      <c r="W101" s="4"/>
      <c r="X101" s="4"/>
      <c r="Y101" s="4"/>
      <c r="Z101" s="4"/>
      <c r="AA101" s="4">
        <f>IFERROR(__xludf.DUMMYFUNCTION("""COMPUTED_VALUE"""),7.0)</f>
        <v>7</v>
      </c>
      <c r="AB101" s="14" t="str">
        <f>IFERROR(__xludf.DUMMYFUNCTION("""COMPUTED_VALUE"""),"CE")</f>
        <v>CE</v>
      </c>
      <c r="AC101" s="4" t="str">
        <f>IFERROR(__xludf.DUMMYFUNCTION("""COMPUTED_VALUE"""),"Sim")</f>
        <v>Sim</v>
      </c>
      <c r="AD101" s="4" t="str">
        <f>IFERROR(__xludf.DUMMYFUNCTION("""COMPUTED_VALUE"""),"Sagres Automação Comercial")</f>
        <v>Sagres Automação Comercial</v>
      </c>
      <c r="AE101" s="4"/>
      <c r="AF101" s="4"/>
      <c r="AG101" s="4"/>
      <c r="AH101" s="4"/>
      <c r="AI101" s="4"/>
      <c r="AJ101" s="4"/>
      <c r="AK101" s="4"/>
      <c r="AL101" s="4"/>
      <c r="AM101" s="4" t="str">
        <f>IFERROR(__xludf.DUMMYFUNCTION("""COMPUTED_VALUE"""),"FY27")</f>
        <v>FY27</v>
      </c>
      <c r="AN101" s="4"/>
      <c r="AO101" s="4">
        <f>IFERROR(__xludf.DUMMYFUNCTION("""COMPUTED_VALUE"""),45553.0)</f>
        <v>45553</v>
      </c>
      <c r="AP101" s="4" t="str">
        <f>IFERROR(__xludf.DUMMYFUNCTION("""COMPUTED_VALUE"""),"PR")</f>
        <v>PR</v>
      </c>
      <c r="AQ101" s="4" t="str">
        <f>IFERROR(__xludf.DUMMYFUNCTION("""COMPUTED_VALUE"""),"LUIZ FILHO")</f>
        <v>LUIZ FILHO</v>
      </c>
      <c r="AR101" s="4" t="str">
        <f>IFERROR(__xludf.DUMMYFUNCTION("""COMPUTED_VALUE"""),"HELOISA SANTOS")</f>
        <v>HELOISA SANTOS</v>
      </c>
      <c r="AS101" s="4" t="str">
        <f>IFERROR(__xludf.DUMMYFUNCTION("""COMPUTED_VALUE"""),"FABIO DONATO")</f>
        <v>FABIO DONATO</v>
      </c>
      <c r="AT101" s="4" t="str">
        <f>IFERROR(__xludf.DUMMYFUNCTION("""COMPUTED_VALUE"""),"MURILO NAGASHIMA")</f>
        <v>MURILO NAGASHIMA</v>
      </c>
      <c r="AU101" s="4">
        <f>IFERROR(__xludf.DUMMYFUNCTION("""COMPUTED_VALUE"""),0.0)</f>
        <v>0</v>
      </c>
      <c r="AV101" s="4">
        <f>IFERROR(__xludf.DUMMYFUNCTION("""COMPUTED_VALUE"""),0.0)</f>
        <v>0</v>
      </c>
      <c r="AW101" s="4">
        <f>IFERROR(__xludf.DUMMYFUNCTION("""COMPUTED_VALUE"""),0.0)</f>
        <v>0</v>
      </c>
      <c r="AX101" s="4">
        <f>IFERROR(__xludf.DUMMYFUNCTION("""COMPUTED_VALUE"""),0.0)</f>
        <v>0</v>
      </c>
      <c r="AY101" s="4" t="str">
        <f>IFERROR(__xludf.DUMMYFUNCTION("""COMPUTED_VALUE"""),"Sagres Automação Comercial")</f>
        <v>Sagres Automação Comercial</v>
      </c>
      <c r="AZ101" s="4" t="str">
        <f>IFERROR(__xludf.DUMMYFUNCTION("""COMPUTED_VALUE"""),"Lanches")</f>
        <v>Lanches</v>
      </c>
      <c r="BA101" s="4">
        <f>IFERROR(__xludf.DUMMYFUNCTION("""COMPUTED_VALUE"""),78.0)</f>
        <v>78</v>
      </c>
      <c r="BB101" s="12" t="str">
        <f>IFERROR(__xludf.DUMMYFUNCTION("""COMPUTED_VALUE"""),"Fast Casual - Hamburgueria")</f>
        <v>Fast Casual - Hamburgueria</v>
      </c>
      <c r="BC101" s="4" t="str">
        <f>IFERROR(__xludf.DUMMYFUNCTION("""COMPUTED_VALUE"""),"Brasília/DF")</f>
        <v>Brasília/DF</v>
      </c>
      <c r="BD101" s="4" t="str">
        <f>IFERROR(__xludf.DUMMYFUNCTION("""COMPUTED_VALUE"""),"Dado não disponível publicamente - Necessário Discovery")</f>
        <v>Dado não disponível publicamente - Necessário Discovery</v>
      </c>
      <c r="BE101" s="4">
        <f>IFERROR(__xludf.DUMMYFUNCTION("""COMPUTED_VALUE"""),70.0)</f>
        <v>70</v>
      </c>
      <c r="BF101" s="13">
        <f>IFERROR(__xludf.DUMMYFUNCTION("""COMPUTED_VALUE"""),0.8)</f>
        <v>0.8</v>
      </c>
      <c r="BG101"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101" s="4" t="s">
        <v>66</v>
      </c>
      <c r="BI101" s="7">
        <v>0.8333333333333334</v>
      </c>
    </row>
    <row r="102" hidden="1">
      <c r="A102" s="4" t="str">
        <f>IFERROR(__xludf.DUMMYFUNCTION("""COMPUTED_VALUE"""),"GRUPO - DI LORENZA")</f>
        <v>GRUPO - DI LORENZA</v>
      </c>
      <c r="B102" s="4" t="str">
        <f>IFERROR(__xludf.DUMMYFUNCTION("""COMPUTED_VALUE"""),"Lídia Esteves")</f>
        <v>Lídia Esteves</v>
      </c>
      <c r="C102" s="4" t="str">
        <f>IFERROR(__xludf.DUMMYFUNCTION("""COMPUTED_VALUE"""),"Gabriela Roma")</f>
        <v>Gabriela Roma</v>
      </c>
      <c r="D102" s="4" t="str">
        <f>IFERROR(__xludf.DUMMYFUNCTION("""COMPUTED_VALUE"""),"0. Não Iniciado")</f>
        <v>0. Não Iniciado</v>
      </c>
      <c r="E102" s="4"/>
      <c r="F102" s="4" t="str">
        <f>IFERROR(__xludf.DUMMYFUNCTION("""COMPUTED_VALUE"""),"P")</f>
        <v>P</v>
      </c>
      <c r="G102" s="4"/>
      <c r="H102" s="4"/>
      <c r="I102" s="4"/>
      <c r="J102" s="4"/>
      <c r="K102" s="4"/>
      <c r="L102" s="4"/>
      <c r="M102" s="4"/>
      <c r="N102" s="4"/>
      <c r="O102" s="4"/>
      <c r="P102" s="4"/>
      <c r="Q102" s="4"/>
      <c r="R102" s="4"/>
      <c r="S102" s="4"/>
      <c r="T102" s="4"/>
      <c r="U102" s="4"/>
      <c r="V102" s="4"/>
      <c r="W102" s="4"/>
      <c r="X102" s="4"/>
      <c r="Y102" s="4"/>
      <c r="Z102" s="4"/>
      <c r="AA102" s="4">
        <f>IFERROR(__xludf.DUMMYFUNCTION("""COMPUTED_VALUE"""),5.0)</f>
        <v>5</v>
      </c>
      <c r="AB102" s="4" t="str">
        <f>IFERROR(__xludf.DUMMYFUNCTION("""COMPUTED_VALUE"""),"CE")</f>
        <v>CE</v>
      </c>
      <c r="AC102" s="4" t="str">
        <f>IFERROR(__xludf.DUMMYFUNCTION("""COMPUTED_VALUE"""),"Sim")</f>
        <v>Sim</v>
      </c>
      <c r="AD102" s="4">
        <f>IFERROR(__xludf.DUMMYFUNCTION("""COMPUTED_VALUE"""),0.0)</f>
        <v>0</v>
      </c>
      <c r="AE102" s="4"/>
      <c r="AF102" s="4"/>
      <c r="AG102" s="4"/>
      <c r="AH102" s="4"/>
      <c r="AI102" s="4"/>
      <c r="AJ102" s="4"/>
      <c r="AK102" s="4"/>
      <c r="AL102" s="4"/>
      <c r="AM102" s="4" t="str">
        <f>IFERROR(__xludf.DUMMYFUNCTION("""COMPUTED_VALUE"""),"FY27")</f>
        <v>FY27</v>
      </c>
      <c r="AN102" s="4"/>
      <c r="AO102" s="4">
        <f>IFERROR(__xludf.DUMMYFUNCTION("""COMPUTED_VALUE"""),45553.0)</f>
        <v>45553</v>
      </c>
      <c r="AP102" s="4" t="str">
        <f>IFERROR(__xludf.DUMMYFUNCTION("""COMPUTED_VALUE"""),"DF")</f>
        <v>DF</v>
      </c>
      <c r="AQ102" s="4" t="str">
        <f>IFERROR(__xludf.DUMMYFUNCTION("""COMPUTED_VALUE"""),"RAFAEL PEDRO")</f>
        <v>RAFAEL PEDRO</v>
      </c>
      <c r="AR102" s="4" t="str">
        <f>IFERROR(__xludf.DUMMYFUNCTION("""COMPUTED_VALUE"""),"ELISANGELA LOIOLA")</f>
        <v>ELISANGELA LOIOLA</v>
      </c>
      <c r="AS102" s="4" t="str">
        <f>IFERROR(__xludf.DUMMYFUNCTION("""COMPUTED_VALUE"""),"THIAGO ROMAGNOLE")</f>
        <v>THIAGO ROMAGNOLE</v>
      </c>
      <c r="AT102" s="4" t="str">
        <f>IFERROR(__xludf.DUMMYFUNCTION("""COMPUTED_VALUE"""),"PAULO MODESTO")</f>
        <v>PAULO MODESTO</v>
      </c>
      <c r="AU102" s="4">
        <f>IFERROR(__xludf.DUMMYFUNCTION("""COMPUTED_VALUE"""),0.0)</f>
        <v>0</v>
      </c>
      <c r="AV102" s="4">
        <f>IFERROR(__xludf.DUMMYFUNCTION("""COMPUTED_VALUE"""),0.0)</f>
        <v>0</v>
      </c>
      <c r="AW102" s="4">
        <f>IFERROR(__xludf.DUMMYFUNCTION("""COMPUTED_VALUE"""),0.0)</f>
        <v>0</v>
      </c>
      <c r="AX102" s="4">
        <f>IFERROR(__xludf.DUMMYFUNCTION("""COMPUTED_VALUE"""),0.0)</f>
        <v>0</v>
      </c>
      <c r="AY102" s="4" t="str">
        <f>IFERROR(__xludf.DUMMYFUNCTION("""COMPUTED_VALUE"""),"Saipos Serviços De Software")</f>
        <v>Saipos Serviços De Software</v>
      </c>
      <c r="AZ102" s="4" t="str">
        <f>IFERROR(__xludf.DUMMYFUNCTION("""COMPUTED_VALUE"""),"Lanches")</f>
        <v>Lanches</v>
      </c>
      <c r="BA102" s="4">
        <f>IFERROR(__xludf.DUMMYFUNCTION("""COMPUTED_VALUE"""),92.0)</f>
        <v>92</v>
      </c>
      <c r="BB102" s="4" t="str">
        <f>IFERROR(__xludf.DUMMYFUNCTION("""COMPUTED_VALUE"""),"Grupo Multi-marca")</f>
        <v>Grupo Multi-marca</v>
      </c>
      <c r="BC102" s="4" t="str">
        <f>IFERROR(__xludf.DUMMYFUNCTION("""COMPUTED_VALUE"""),"Belo Horizonte/MG")</f>
        <v>Belo Horizonte/MG</v>
      </c>
      <c r="BD102" s="4" t="str">
        <f>IFERROR(__xludf.DUMMYFUNCTION("""COMPUTED_VALUE"""),"Dado não disponível publicamente - Necessário Discovery")</f>
        <v>Dado não disponível publicamente - Necessário Discovery</v>
      </c>
      <c r="BE102" s="4">
        <f>IFERROR(__xludf.DUMMYFUNCTION("""COMPUTED_VALUE"""),40.0)</f>
        <v>40</v>
      </c>
      <c r="BF102" s="4">
        <f>IFERROR(__xludf.DUMMYFUNCTION("""COMPUTED_VALUE"""),0.5)</f>
        <v>0.5</v>
      </c>
      <c r="BG102"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102" s="4" t="s">
        <v>69</v>
      </c>
      <c r="BI102" s="7">
        <v>1.0</v>
      </c>
    </row>
    <row r="103" hidden="1">
      <c r="A103" s="4" t="str">
        <f>IFERROR(__xludf.DUMMYFUNCTION("""COMPUTED_VALUE"""),"GRUPO ALYSSON MULLER")</f>
        <v>GRUPO ALYSSON MULLER</v>
      </c>
      <c r="B103" s="4" t="str">
        <f>IFERROR(__xludf.DUMMYFUNCTION("""COMPUTED_VALUE"""),"Lídia Esteves")</f>
        <v>Lídia Esteves</v>
      </c>
      <c r="C103" s="4" t="str">
        <f>IFERROR(__xludf.DUMMYFUNCTION("""COMPUTED_VALUE"""),"Gabriela Roma")</f>
        <v>Gabriela Roma</v>
      </c>
      <c r="D103" s="4" t="str">
        <f>IFERROR(__xludf.DUMMYFUNCTION("""COMPUTED_VALUE"""),"0. Não Iniciado")</f>
        <v>0. Não Iniciado</v>
      </c>
      <c r="E103" s="4"/>
      <c r="F103" s="4" t="str">
        <f>IFERROR(__xludf.DUMMYFUNCTION("""COMPUTED_VALUE"""),"P")</f>
        <v>P</v>
      </c>
      <c r="G103" s="4"/>
      <c r="H103" s="4"/>
      <c r="I103" s="4"/>
      <c r="J103" s="4"/>
      <c r="K103" s="4"/>
      <c r="L103" s="4"/>
      <c r="M103" s="4"/>
      <c r="N103" s="4"/>
      <c r="O103" s="4"/>
      <c r="P103" s="4"/>
      <c r="Q103" s="4"/>
      <c r="R103" s="4"/>
      <c r="S103" s="4"/>
      <c r="T103" s="4"/>
      <c r="U103" s="4"/>
      <c r="V103" s="4"/>
      <c r="W103" s="4"/>
      <c r="X103" s="4"/>
      <c r="Y103" s="4"/>
      <c r="Z103" s="4"/>
      <c r="AA103" s="4">
        <f>IFERROR(__xludf.DUMMYFUNCTION("""COMPUTED_VALUE"""),6.0)</f>
        <v>6</v>
      </c>
      <c r="AB103" s="4" t="str">
        <f>IFERROR(__xludf.DUMMYFUNCTION("""COMPUTED_VALUE"""),"CE")</f>
        <v>CE</v>
      </c>
      <c r="AC103" s="4" t="str">
        <f>IFERROR(__xludf.DUMMYFUNCTION("""COMPUTED_VALUE"""),"Sim")</f>
        <v>Sim</v>
      </c>
      <c r="AD103" s="4" t="str">
        <f>IFERROR(__xludf.DUMMYFUNCTION("""COMPUTED_VALUE"""),"Ifood")</f>
        <v>Ifood</v>
      </c>
      <c r="AE103" s="4"/>
      <c r="AF103" s="4"/>
      <c r="AG103" s="4"/>
      <c r="AH103" s="4"/>
      <c r="AI103" s="4"/>
      <c r="AJ103" s="4"/>
      <c r="AK103" s="4"/>
      <c r="AL103" s="4"/>
      <c r="AM103" s="4" t="str">
        <f>IFERROR(__xludf.DUMMYFUNCTION("""COMPUTED_VALUE"""),"FY27")</f>
        <v>FY27</v>
      </c>
      <c r="AN103" s="4"/>
      <c r="AO103" s="4">
        <f>IFERROR(__xludf.DUMMYFUNCTION("""COMPUTED_VALUE"""),45553.0)</f>
        <v>45553</v>
      </c>
      <c r="AP103" s="4" t="str">
        <f>IFERROR(__xludf.DUMMYFUNCTION("""COMPUTED_VALUE"""),"SC")</f>
        <v>SC</v>
      </c>
      <c r="AQ103" s="4" t="str">
        <f>IFERROR(__xludf.DUMMYFUNCTION("""COMPUTED_VALUE"""),"MARIA SILVEIRA")</f>
        <v>MARIA SILVEIRA</v>
      </c>
      <c r="AR103" s="4" t="str">
        <f>IFERROR(__xludf.DUMMYFUNCTION("""COMPUTED_VALUE"""),"ITAMAR CAMARGO")</f>
        <v>ITAMAR CAMARGO</v>
      </c>
      <c r="AS103" s="4" t="str">
        <f>IFERROR(__xludf.DUMMYFUNCTION("""COMPUTED_VALUE"""),"FABIO DONATO")</f>
        <v>FABIO DONATO</v>
      </c>
      <c r="AT103" s="4" t="str">
        <f>IFERROR(__xludf.DUMMYFUNCTION("""COMPUTED_VALUE"""),"CAMILA HOLANDA")</f>
        <v>CAMILA HOLANDA</v>
      </c>
      <c r="AU103" s="4">
        <f>IFERROR(__xludf.DUMMYFUNCTION("""COMPUTED_VALUE"""),0.0)</f>
        <v>0</v>
      </c>
      <c r="AV103" s="4">
        <f>IFERROR(__xludf.DUMMYFUNCTION("""COMPUTED_VALUE"""),0.0)</f>
        <v>0</v>
      </c>
      <c r="AW103" s="4">
        <f>IFERROR(__xludf.DUMMYFUNCTION("""COMPUTED_VALUE"""),0.0)</f>
        <v>0</v>
      </c>
      <c r="AX103" s="4">
        <f>IFERROR(__xludf.DUMMYFUNCTION("""COMPUTED_VALUE"""),0.0)</f>
        <v>0</v>
      </c>
      <c r="AY103" s="4"/>
      <c r="AZ103" s="4" t="str">
        <f>IFERROR(__xludf.DUMMYFUNCTION("""COMPUTED_VALUE"""),"Asiática")</f>
        <v>Asiática</v>
      </c>
      <c r="BA103" s="4">
        <f>IFERROR(__xludf.DUMMYFUNCTION("""COMPUTED_VALUE"""),123.0)</f>
        <v>123</v>
      </c>
      <c r="BB103" s="4" t="str">
        <f>IFERROR(__xludf.DUMMYFUNCTION("""COMPUTED_VALUE"""),"Grupo Multi-marca")</f>
        <v>Grupo Multi-marca</v>
      </c>
      <c r="BC103" s="4" t="str">
        <f>IFERROR(__xludf.DUMMYFUNCTION("""COMPUTED_VALUE"""),"São Paulo/SP")</f>
        <v>São Paulo/SP</v>
      </c>
      <c r="BD103" s="4" t="str">
        <f>IFERROR(__xludf.DUMMYFUNCTION("""COMPUTED_VALUE"""),"Dado não disponível publicamente - Necessário Discovery")</f>
        <v>Dado não disponível publicamente - Necessário Discovery</v>
      </c>
      <c r="BE103" s="4">
        <f>IFERROR(__xludf.DUMMYFUNCTION("""COMPUTED_VALUE"""),45.0)</f>
        <v>45</v>
      </c>
      <c r="BF103" s="4">
        <f>IFERROR(__xludf.DUMMYFUNCTION("""COMPUTED_VALUE"""),0.55)</f>
        <v>0.55</v>
      </c>
      <c r="BG103"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103" s="4" t="s">
        <v>94</v>
      </c>
      <c r="BI103" s="7">
        <v>1.0</v>
      </c>
    </row>
    <row r="104" hidden="1">
      <c r="A104" s="4" t="str">
        <f>IFERROR(__xludf.DUMMYFUNCTION("""COMPUTED_VALUE"""),"GRUPO AMERICAN BURGER BH")</f>
        <v>GRUPO AMERICAN BURGER BH</v>
      </c>
      <c r="B104" s="4" t="str">
        <f>IFERROR(__xludf.DUMMYFUNCTION("""COMPUTED_VALUE"""),"João Biagiotti")</f>
        <v>João Biagiotti</v>
      </c>
      <c r="C104" s="4" t="str">
        <f>IFERROR(__xludf.DUMMYFUNCTION("""COMPUTED_VALUE"""),"Diego Santos")</f>
        <v>Diego Santos</v>
      </c>
      <c r="D104" s="4" t="str">
        <f>IFERROR(__xludf.DUMMYFUNCTION("""COMPUTED_VALUE"""),"1. Iniciado")</f>
        <v>1. Iniciado</v>
      </c>
      <c r="E104" s="4" t="str">
        <f>IFERROR(__xludf.DUMMYFUNCTION("""COMPUTED_VALUE"""),"Delivery - Conciliação agenda com parceiro")</f>
        <v>Delivery - Conciliação agenda com parceiro</v>
      </c>
      <c r="F104" s="4" t="str">
        <f>IFERROR(__xludf.DUMMYFUNCTION("""COMPUTED_VALUE"""),"P")</f>
        <v>P</v>
      </c>
      <c r="G104" s="5">
        <f>IFERROR(__xludf.DUMMYFUNCTION("""COMPUTED_VALUE"""),46119.0)</f>
        <v>46119</v>
      </c>
      <c r="H104" s="4" t="str">
        <f>IFERROR(__xludf.DUMMYFUNCTION("""COMPUTED_VALUE"""),"parceiros recém blindados, com operações beeeem grandes, podemos tentar agendar, mas antes preciso entender um pouco de como está o fluxo deles hj e as possibilidades. Concilando agenda online ou presencial ")</f>
        <v>parceiros recém blindados, com operações beeeem grandes, podemos tentar agendar, mas antes preciso entender um pouco de como está o fluxo deles hj e as possibilidades. Concilando agenda online ou presencial </v>
      </c>
      <c r="I104" s="6">
        <f>IFERROR(__xludf.DUMMYFUNCTION("""COMPUTED_VALUE"""),46120.46087953704)</f>
        <v>46120.46088</v>
      </c>
      <c r="J104" s="4"/>
      <c r="K104" s="4"/>
      <c r="L104" s="4"/>
      <c r="M104" s="4"/>
      <c r="N104" s="4"/>
      <c r="O104" s="4"/>
      <c r="P104" s="4"/>
      <c r="Q104" s="4"/>
      <c r="R104" s="4"/>
      <c r="S104" s="4"/>
      <c r="T104" s="4"/>
      <c r="U104" s="4"/>
      <c r="V104" s="4"/>
      <c r="W104" s="4"/>
      <c r="X104" s="4"/>
      <c r="Y104" s="4"/>
      <c r="Z104" s="4"/>
      <c r="AA104" s="4">
        <f>IFERROR(__xludf.DUMMYFUNCTION("""COMPUTED_VALUE"""),13.0)</f>
        <v>13</v>
      </c>
      <c r="AB104" s="4" t="str">
        <f>IFERROR(__xludf.DUMMYFUNCTION("""COMPUTED_VALUE"""),"CE")</f>
        <v>CE</v>
      </c>
      <c r="AC104" s="4" t="str">
        <f>IFERROR(__xludf.DUMMYFUNCTION("""COMPUTED_VALUE"""),"Sim")</f>
        <v>Sim</v>
      </c>
      <c r="AD104" s="4" t="str">
        <f>IFERROR(__xludf.DUMMYFUNCTION("""COMPUTED_VALUE"""),"N/A (Not found)")</f>
        <v>N/A (Not found)</v>
      </c>
      <c r="AE104" s="4"/>
      <c r="AF104" s="4"/>
      <c r="AG104" s="4"/>
      <c r="AH104" s="4"/>
      <c r="AI104" s="4"/>
      <c r="AJ104" s="4"/>
      <c r="AK104" s="4"/>
      <c r="AL104" s="4"/>
      <c r="AM104" s="4" t="str">
        <f>IFERROR(__xludf.DUMMYFUNCTION("""COMPUTED_VALUE"""),"FY27")</f>
        <v>FY27</v>
      </c>
      <c r="AN104" s="4"/>
      <c r="AO104" s="4">
        <f>IFERROR(__xludf.DUMMYFUNCTION("""COMPUTED_VALUE"""),96.0)</f>
        <v>96</v>
      </c>
      <c r="AP104" s="4" t="str">
        <f>IFERROR(__xludf.DUMMYFUNCTION("""COMPUTED_VALUE"""),"MG")</f>
        <v>MG</v>
      </c>
      <c r="AQ104" s="4" t="str">
        <f>IFERROR(__xludf.DUMMYFUNCTION("""COMPUTED_VALUE"""),"EDUARDA HALABI")</f>
        <v>EDUARDA HALABI</v>
      </c>
      <c r="AR104" s="4" t="str">
        <f>IFERROR(__xludf.DUMMYFUNCTION("""COMPUTED_VALUE"""),"DIEGO PINTO")</f>
        <v>DIEGO PINTO</v>
      </c>
      <c r="AS104" s="4" t="str">
        <f>IFERROR(__xludf.DUMMYFUNCTION("""COMPUTED_VALUE"""),"FABIO DONATO")</f>
        <v>FABIO DONATO</v>
      </c>
      <c r="AT104" s="4" t="str">
        <f>IFERROR(__xludf.DUMMYFUNCTION("""COMPUTED_VALUE"""),"GILSON JUNIOR")</f>
        <v>GILSON JUNIOR</v>
      </c>
      <c r="AU104" s="4">
        <f>IFERROR(__xludf.DUMMYFUNCTION("""COMPUTED_VALUE"""),0.0)</f>
        <v>0</v>
      </c>
      <c r="AV104" s="4">
        <f>IFERROR(__xludf.DUMMYFUNCTION("""COMPUTED_VALUE"""),0.0)</f>
        <v>0</v>
      </c>
      <c r="AW104" s="4">
        <f>IFERROR(__xludf.DUMMYFUNCTION("""COMPUTED_VALUE"""),0.0)</f>
        <v>0</v>
      </c>
      <c r="AX104" s="4">
        <f>IFERROR(__xludf.DUMMYFUNCTION("""COMPUTED_VALUE"""),0.0)</f>
        <v>0</v>
      </c>
      <c r="AY104" s="4" t="str">
        <f>IFERROR(__xludf.DUMMYFUNCTION("""COMPUTED_VALUE"""),"Eclética Tecnologia")</f>
        <v>Eclética Tecnologia</v>
      </c>
      <c r="AZ104" s="4" t="str">
        <f>IFERROR(__xludf.DUMMYFUNCTION("""COMPUTED_VALUE"""),"Lanches")</f>
        <v>Lanches</v>
      </c>
      <c r="BA104" s="4">
        <f>IFERROR(__xludf.DUMMYFUNCTION("""COMPUTED_VALUE"""),62.0)</f>
        <v>62</v>
      </c>
      <c r="BB104" s="12" t="str">
        <f>IFERROR(__xludf.DUMMYFUNCTION("""COMPUTED_VALUE"""),"Fast Casual - Hamburgueria")</f>
        <v>Fast Casual - Hamburgueria</v>
      </c>
      <c r="BC104" s="4" t="str">
        <f>IFERROR(__xludf.DUMMYFUNCTION("""COMPUTED_VALUE"""),"Região Metropolitana BH/MG (12 lojas) + Fortaleza/CE")</f>
        <v>Região Metropolitana BH/MG (12 lojas) + Fortaleza/CE</v>
      </c>
      <c r="BD104" s="4" t="str">
        <f>IFERROR(__xludf.DUMMYFUNCTION("""COMPUTED_VALUE"""),"Dado não disponível publicamente - Necessário Discovery")</f>
        <v>Dado não disponível publicamente - Necessário Discovery</v>
      </c>
      <c r="BE104" s="4">
        <f>IFERROR(__xludf.DUMMYFUNCTION("""COMPUTED_VALUE"""),70.0)</f>
        <v>70</v>
      </c>
      <c r="BF104" s="13">
        <f>IFERROR(__xludf.DUMMYFUNCTION("""COMPUTED_VALUE"""),0.8)</f>
        <v>0.8</v>
      </c>
      <c r="BG104"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104" s="4" t="s">
        <v>71</v>
      </c>
      <c r="BI104" s="7">
        <v>0.75</v>
      </c>
    </row>
    <row r="105" hidden="1">
      <c r="A105" s="4" t="str">
        <f>IFERROR(__xludf.DUMMYFUNCTION("""COMPUTED_VALUE"""),"GRUPO BURGUINHO BAURU")</f>
        <v>GRUPO BURGUINHO BAURU</v>
      </c>
      <c r="B105" s="4" t="str">
        <f>IFERROR(__xludf.DUMMYFUNCTION("""COMPUTED_VALUE"""),"João Biagiotti")</f>
        <v>João Biagiotti</v>
      </c>
      <c r="C105" s="4" t="str">
        <f>IFERROR(__xludf.DUMMYFUNCTION("""COMPUTED_VALUE"""),"Diego Santos")</f>
        <v>Diego Santos</v>
      </c>
      <c r="D105" s="4" t="str">
        <f>IFERROR(__xludf.DUMMYFUNCTION("""COMPUTED_VALUE"""),"0. Não Iniciado")</f>
        <v>0. Não Iniciado</v>
      </c>
      <c r="E105" s="4"/>
      <c r="F105" s="4" t="str">
        <f>IFERROR(__xludf.DUMMYFUNCTION("""COMPUTED_VALUE"""),"P")</f>
        <v>P</v>
      </c>
      <c r="G105" s="4"/>
      <c r="H105" s="4"/>
      <c r="I105" s="4"/>
      <c r="J105" s="4"/>
      <c r="K105" s="4"/>
      <c r="L105" s="4"/>
      <c r="M105" s="4"/>
      <c r="N105" s="4"/>
      <c r="O105" s="4"/>
      <c r="P105" s="4"/>
      <c r="Q105" s="4"/>
      <c r="R105" s="4"/>
      <c r="S105" s="4"/>
      <c r="T105" s="4"/>
      <c r="U105" s="4"/>
      <c r="V105" s="4"/>
      <c r="W105" s="4"/>
      <c r="X105" s="4"/>
      <c r="Y105" s="4"/>
      <c r="Z105" s="4"/>
      <c r="AA105" s="4">
        <f>IFERROR(__xludf.DUMMYFUNCTION("""COMPUTED_VALUE"""),5.0)</f>
        <v>5</v>
      </c>
      <c r="AB105" s="4" t="str">
        <f>IFERROR(__xludf.DUMMYFUNCTION("""COMPUTED_VALUE"""),"CE")</f>
        <v>CE</v>
      </c>
      <c r="AC105" s="4" t="str">
        <f>IFERROR(__xludf.DUMMYFUNCTION("""COMPUTED_VALUE"""),"Sim")</f>
        <v>Sim</v>
      </c>
      <c r="AD105" s="4">
        <f>IFERROR(__xludf.DUMMYFUNCTION("""COMPUTED_VALUE"""),0.0)</f>
        <v>0</v>
      </c>
      <c r="AE105" s="4"/>
      <c r="AF105" s="4"/>
      <c r="AG105" s="4"/>
      <c r="AH105" s="4"/>
      <c r="AI105" s="4"/>
      <c r="AJ105" s="4"/>
      <c r="AK105" s="4"/>
      <c r="AL105" s="4"/>
      <c r="AM105" s="4" t="str">
        <f>IFERROR(__xludf.DUMMYFUNCTION("""COMPUTED_VALUE"""),"FY27")</f>
        <v>FY27</v>
      </c>
      <c r="AN105" s="4"/>
      <c r="AO105" s="4">
        <f>IFERROR(__xludf.DUMMYFUNCTION("""COMPUTED_VALUE"""),45553.0)</f>
        <v>45553</v>
      </c>
      <c r="AP105" s="4" t="str">
        <f>IFERROR(__xludf.DUMMYFUNCTION("""COMPUTED_VALUE"""),"SP")</f>
        <v>SP</v>
      </c>
      <c r="AQ105" s="4" t="str">
        <f>IFERROR(__xludf.DUMMYFUNCTION("""COMPUTED_VALUE"""),"LUANA TONON")</f>
        <v>LUANA TONON</v>
      </c>
      <c r="AR105" s="4" t="str">
        <f>IFERROR(__xludf.DUMMYFUNCTION("""COMPUTED_VALUE"""),"IVANICE SOARES")</f>
        <v>IVANICE SOARES</v>
      </c>
      <c r="AS105" s="4" t="str">
        <f>IFERROR(__xludf.DUMMYFUNCTION("""COMPUTED_VALUE"""),"THIAGO ROMAGNOLE")</f>
        <v>THIAGO ROMAGNOLE</v>
      </c>
      <c r="AT105" s="4" t="str">
        <f>IFERROR(__xludf.DUMMYFUNCTION("""COMPUTED_VALUE"""),"BRUNA TASSINARI")</f>
        <v>BRUNA TASSINARI</v>
      </c>
      <c r="AU105" s="4">
        <f>IFERROR(__xludf.DUMMYFUNCTION("""COMPUTED_VALUE"""),0.0)</f>
        <v>0</v>
      </c>
      <c r="AV105" s="4">
        <f>IFERROR(__xludf.DUMMYFUNCTION("""COMPUTED_VALUE"""),0.0)</f>
        <v>0</v>
      </c>
      <c r="AW105" s="4">
        <f>IFERROR(__xludf.DUMMYFUNCTION("""COMPUTED_VALUE"""),0.0)</f>
        <v>0</v>
      </c>
      <c r="AX105" s="4">
        <f>IFERROR(__xludf.DUMMYFUNCTION("""COMPUTED_VALUE"""),0.0)</f>
        <v>0</v>
      </c>
      <c r="AY105" s="4"/>
      <c r="AZ105" s="4" t="str">
        <f>IFERROR(__xludf.DUMMYFUNCTION("""COMPUTED_VALUE"""),"Lanches")</f>
        <v>Lanches</v>
      </c>
      <c r="BA105" s="4">
        <f>IFERROR(__xludf.DUMMYFUNCTION("""COMPUTED_VALUE"""),114.0)</f>
        <v>114</v>
      </c>
      <c r="BB105" s="4" t="str">
        <f>IFERROR(__xludf.DUMMYFUNCTION("""COMPUTED_VALUE"""),"Grupo Multi-marca")</f>
        <v>Grupo Multi-marca</v>
      </c>
      <c r="BC105" s="4" t="str">
        <f>IFERROR(__xludf.DUMMYFUNCTION("""COMPUTED_VALUE"""),"Nacional")</f>
        <v>Nacional</v>
      </c>
      <c r="BD105" s="4" t="str">
        <f>IFERROR(__xludf.DUMMYFUNCTION("""COMPUTED_VALUE"""),"Dado não disponível publicamente - Necessário Discovery")</f>
        <v>Dado não disponível publicamente - Necessário Discovery</v>
      </c>
      <c r="BE105" s="4">
        <f>IFERROR(__xludf.DUMMYFUNCTION("""COMPUTED_VALUE"""),40.0)</f>
        <v>40</v>
      </c>
      <c r="BF105" s="4">
        <f>IFERROR(__xludf.DUMMYFUNCTION("""COMPUTED_VALUE"""),0.55)</f>
        <v>0.55</v>
      </c>
      <c r="BG105"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105" s="4" t="s">
        <v>95</v>
      </c>
      <c r="BI105" s="7">
        <v>0.6</v>
      </c>
    </row>
    <row r="106" hidden="1">
      <c r="A106" s="4" t="str">
        <f>IFERROR(__xludf.DUMMYFUNCTION("""COMPUTED_VALUE"""),"GRUPO CAFE E UM CHERO")</f>
        <v>GRUPO CAFE E UM CHERO</v>
      </c>
      <c r="B106" s="4" t="str">
        <f>IFERROR(__xludf.DUMMYFUNCTION("""COMPUTED_VALUE"""),"Lídia Esteves")</f>
        <v>Lídia Esteves</v>
      </c>
      <c r="C106" s="4" t="str">
        <f>IFERROR(__xludf.DUMMYFUNCTION("""COMPUTED_VALUE"""),"Gabriela Roma")</f>
        <v>Gabriela Roma</v>
      </c>
      <c r="D106" s="4" t="str">
        <f>IFERROR(__xludf.DUMMYFUNCTION("""COMPUTED_VALUE"""),"0. Não Iniciado")</f>
        <v>0. Não Iniciado</v>
      </c>
      <c r="E106" s="4"/>
      <c r="F106" s="4" t="str">
        <f>IFERROR(__xludf.DUMMYFUNCTION("""COMPUTED_VALUE"""),"P")</f>
        <v>P</v>
      </c>
      <c r="G106" s="4"/>
      <c r="H106" s="4"/>
      <c r="I106" s="4"/>
      <c r="J106" s="4"/>
      <c r="K106" s="4"/>
      <c r="L106" s="4"/>
      <c r="M106" s="4"/>
      <c r="N106" s="4"/>
      <c r="O106" s="4"/>
      <c r="P106" s="4"/>
      <c r="Q106" s="4"/>
      <c r="R106" s="4"/>
      <c r="S106" s="4"/>
      <c r="T106" s="4"/>
      <c r="U106" s="4"/>
      <c r="V106" s="4"/>
      <c r="W106" s="4"/>
      <c r="X106" s="4"/>
      <c r="Y106" s="4"/>
      <c r="Z106" s="4"/>
      <c r="AA106" s="4">
        <f>IFERROR(__xludf.DUMMYFUNCTION("""COMPUTED_VALUE"""),5.0)</f>
        <v>5</v>
      </c>
      <c r="AB106" s="4" t="str">
        <f>IFERROR(__xludf.DUMMYFUNCTION("""COMPUTED_VALUE"""),"CE")</f>
        <v>CE</v>
      </c>
      <c r="AC106" s="4" t="str">
        <f>IFERROR(__xludf.DUMMYFUNCTION("""COMPUTED_VALUE"""),"Sim")</f>
        <v>Sim</v>
      </c>
      <c r="AD106" s="4" t="str">
        <f>IFERROR(__xludf.DUMMYFUNCTION("""COMPUTED_VALUE"""),"Ifood")</f>
        <v>Ifood</v>
      </c>
      <c r="AE106" s="4"/>
      <c r="AF106" s="4"/>
      <c r="AG106" s="4"/>
      <c r="AH106" s="4"/>
      <c r="AI106" s="4"/>
      <c r="AJ106" s="4"/>
      <c r="AK106" s="4"/>
      <c r="AL106" s="4"/>
      <c r="AM106" s="4" t="str">
        <f>IFERROR(__xludf.DUMMYFUNCTION("""COMPUTED_VALUE"""),"FY27")</f>
        <v>FY27</v>
      </c>
      <c r="AN106" s="4"/>
      <c r="AO106" s="4">
        <f>IFERROR(__xludf.DUMMYFUNCTION("""COMPUTED_VALUE"""),45553.0)</f>
        <v>45553</v>
      </c>
      <c r="AP106" s="4" t="str">
        <f>IFERROR(__xludf.DUMMYFUNCTION("""COMPUTED_VALUE"""),"DF")</f>
        <v>DF</v>
      </c>
      <c r="AQ106" s="4" t="str">
        <f>IFERROR(__xludf.DUMMYFUNCTION("""COMPUTED_VALUE"""),"ISABELLE NOGUEIRA")</f>
        <v>ISABELLE NOGUEIRA</v>
      </c>
      <c r="AR106" s="4" t="str">
        <f>IFERROR(__xludf.DUMMYFUNCTION("""COMPUTED_VALUE"""),"KARLA MOURA")</f>
        <v>KARLA MOURA</v>
      </c>
      <c r="AS106" s="4" t="str">
        <f>IFERROR(__xludf.DUMMYFUNCTION("""COMPUTED_VALUE"""),"THIAGO ROMAGNOLE")</f>
        <v>THIAGO ROMAGNOLE</v>
      </c>
      <c r="AT106" s="4" t="str">
        <f>IFERROR(__xludf.DUMMYFUNCTION("""COMPUTED_VALUE"""),"PAULO MODESTO")</f>
        <v>PAULO MODESTO</v>
      </c>
      <c r="AU106" s="4">
        <f>IFERROR(__xludf.DUMMYFUNCTION("""COMPUTED_VALUE"""),0.0)</f>
        <v>0</v>
      </c>
      <c r="AV106" s="4">
        <f>IFERROR(__xludf.DUMMYFUNCTION("""COMPUTED_VALUE"""),0.0)</f>
        <v>0</v>
      </c>
      <c r="AW106" s="4">
        <f>IFERROR(__xludf.DUMMYFUNCTION("""COMPUTED_VALUE"""),0.0)</f>
        <v>0</v>
      </c>
      <c r="AX106" s="4">
        <f>IFERROR(__xludf.DUMMYFUNCTION("""COMPUTED_VALUE"""),0.0)</f>
        <v>0</v>
      </c>
      <c r="AY106" s="4"/>
      <c r="AZ106" s="4" t="str">
        <f>IFERROR(__xludf.DUMMYFUNCTION("""COMPUTED_VALUE"""),"Sopas &amp; Caldos")</f>
        <v>Sopas &amp; Caldos</v>
      </c>
      <c r="BA106" s="4" t="str">
        <f>IFERROR(__xludf.DUMMYFUNCTION("""COMPUTED_VALUE"""),"")</f>
        <v/>
      </c>
      <c r="BB106" s="4" t="str">
        <f>IFERROR(__xludf.DUMMYFUNCTION("""COMPUTED_VALUE"""),"")</f>
        <v/>
      </c>
      <c r="BC106" s="4" t="str">
        <f>IFERROR(__xludf.DUMMYFUNCTION("""COMPUTED_VALUE"""),"")</f>
        <v/>
      </c>
      <c r="BD106" s="4" t="str">
        <f>IFERROR(__xludf.DUMMYFUNCTION("""COMPUTED_VALUE"""),"")</f>
        <v/>
      </c>
      <c r="BE106" s="4" t="str">
        <f>IFERROR(__xludf.DUMMYFUNCTION("""COMPUTED_VALUE"""),"")</f>
        <v/>
      </c>
      <c r="BF106" s="4" t="str">
        <f>IFERROR(__xludf.DUMMYFUNCTION("""COMPUTED_VALUE"""),"")</f>
        <v/>
      </c>
      <c r="BG106" s="4" t="str">
        <f>IFERROR(__xludf.DUMMYFUNCTION("""COMPUTED_VALUE"""),"")</f>
        <v/>
      </c>
      <c r="BH106" s="4" t="s">
        <v>72</v>
      </c>
      <c r="BI106" s="7">
        <v>1.0</v>
      </c>
    </row>
    <row r="107" hidden="1">
      <c r="A107" s="4" t="str">
        <f>IFERROR(__xludf.DUMMYFUNCTION("""COMPUTED_VALUE"""),"GRUPO CALEBITO")</f>
        <v>GRUPO CALEBITO</v>
      </c>
      <c r="B107" s="4" t="str">
        <f>IFERROR(__xludf.DUMMYFUNCTION("""COMPUTED_VALUE"""),"Lídia Esteves")</f>
        <v>Lídia Esteves</v>
      </c>
      <c r="C107" s="4" t="str">
        <f>IFERROR(__xludf.DUMMYFUNCTION("""COMPUTED_VALUE"""),"Gabriela Roma")</f>
        <v>Gabriela Roma</v>
      </c>
      <c r="D107" s="4" t="str">
        <f>IFERROR(__xludf.DUMMYFUNCTION("""COMPUTED_VALUE"""),"3. Apresentação")</f>
        <v>3. Apresentação</v>
      </c>
      <c r="E107" s="4" t="str">
        <f>IFERROR(__xludf.DUMMYFUNCTION("""COMPUTED_VALUE"""),"Parceiro - Conciliação agenda")</f>
        <v>Parceiro - Conciliação agenda</v>
      </c>
      <c r="F107" s="4" t="str">
        <f>IFERROR(__xludf.DUMMYFUNCTION("""COMPUTED_VALUE"""),"P")</f>
        <v>P</v>
      </c>
      <c r="G107" s="5">
        <f>IFERROR(__xludf.DUMMYFUNCTION("""COMPUTED_VALUE"""),46150.0)</f>
        <v>46150</v>
      </c>
      <c r="H107" s="4" t="str">
        <f>IFERROR(__xludf.DUMMYFUNCTION("""COMPUTED_VALUE"""),"contato com sócio aguardando retorno para apresentar 3s")</f>
        <v>contato com sócio aguardando retorno para apresentar 3s</v>
      </c>
      <c r="I107" s="6">
        <f>IFERROR(__xludf.DUMMYFUNCTION("""COMPUTED_VALUE"""),46121.675743217595)</f>
        <v>46121.67574</v>
      </c>
      <c r="J107" s="6">
        <f>IFERROR(__xludf.DUMMYFUNCTION("""COMPUTED_VALUE"""),46139.72520056713)</f>
        <v>46139.7252</v>
      </c>
      <c r="K107" s="6">
        <f>IFERROR(__xludf.DUMMYFUNCTION("""COMPUTED_VALUE"""),46140.4036608912)</f>
        <v>46140.40366</v>
      </c>
      <c r="L107" s="4"/>
      <c r="M107" s="4"/>
      <c r="N107" s="4"/>
      <c r="O107" s="4"/>
      <c r="P107" s="4"/>
      <c r="Q107" s="4"/>
      <c r="R107" s="4"/>
      <c r="S107" s="4"/>
      <c r="T107" s="4"/>
      <c r="U107" s="4"/>
      <c r="V107" s="4"/>
      <c r="W107" s="4"/>
      <c r="X107" s="4"/>
      <c r="Y107" s="4"/>
      <c r="Z107" s="4"/>
      <c r="AA107" s="4">
        <f>IFERROR(__xludf.DUMMYFUNCTION("""COMPUTED_VALUE"""),15.0)</f>
        <v>15</v>
      </c>
      <c r="AB107" s="4" t="str">
        <f>IFERROR(__xludf.DUMMYFUNCTION("""COMPUTED_VALUE"""),"CE")</f>
        <v>CE</v>
      </c>
      <c r="AC107" s="4" t="str">
        <f>IFERROR(__xludf.DUMMYFUNCTION("""COMPUTED_VALUE"""),"Sim")</f>
        <v>Sim</v>
      </c>
      <c r="AD107" s="4" t="str">
        <f>IFERROR(__xludf.DUMMYFUNCTION("""COMPUTED_VALUE"""),"Ifood")</f>
        <v>Ifood</v>
      </c>
      <c r="AE107" s="4"/>
      <c r="AF107" s="4"/>
      <c r="AG107" s="4"/>
      <c r="AH107" s="4"/>
      <c r="AI107" s="4"/>
      <c r="AJ107" s="4"/>
      <c r="AK107" s="4"/>
      <c r="AL107" s="4"/>
      <c r="AM107" s="4" t="str">
        <f>IFERROR(__xludf.DUMMYFUNCTION("""COMPUTED_VALUE"""),"FY27")</f>
        <v>FY27</v>
      </c>
      <c r="AN107" s="4"/>
      <c r="AO107" s="4">
        <f>IFERROR(__xludf.DUMMYFUNCTION("""COMPUTED_VALUE"""),65.0)</f>
        <v>65</v>
      </c>
      <c r="AP107" s="4" t="str">
        <f>IFERROR(__xludf.DUMMYFUNCTION("""COMPUTED_VALUE"""),"RJ")</f>
        <v>RJ</v>
      </c>
      <c r="AQ107" s="4" t="str">
        <f>IFERROR(__xludf.DUMMYFUNCTION("""COMPUTED_VALUE"""),"JUAN CHAROTTA")</f>
        <v>JUAN CHAROTTA</v>
      </c>
      <c r="AR107" s="4" t="str">
        <f>IFERROR(__xludf.DUMMYFUNCTION("""COMPUTED_VALUE"""),"IRIS BARCELOS")</f>
        <v>IRIS BARCELOS</v>
      </c>
      <c r="AS107" s="4" t="str">
        <f>IFERROR(__xludf.DUMMYFUNCTION("""COMPUTED_VALUE"""),"NATHALIE MERTENS")</f>
        <v>NATHALIE MERTENS</v>
      </c>
      <c r="AT107" s="4" t="str">
        <f>IFERROR(__xludf.DUMMYFUNCTION("""COMPUTED_VALUE"""),"NATALIA COUTINHO")</f>
        <v>NATALIA COUTINHO</v>
      </c>
      <c r="AU107" s="4">
        <f>IFERROR(__xludf.DUMMYFUNCTION("""COMPUTED_VALUE"""),0.0)</f>
        <v>0</v>
      </c>
      <c r="AV107" s="4">
        <f>IFERROR(__xludf.DUMMYFUNCTION("""COMPUTED_VALUE"""),0.0)</f>
        <v>0</v>
      </c>
      <c r="AW107" s="4">
        <f>IFERROR(__xludf.DUMMYFUNCTION("""COMPUTED_VALUE"""),0.0)</f>
        <v>0</v>
      </c>
      <c r="AX107" s="4">
        <f>IFERROR(__xludf.DUMMYFUNCTION("""COMPUTED_VALUE"""),0.0)</f>
        <v>0</v>
      </c>
      <c r="AY107" s="4" t="str">
        <f>IFERROR(__xludf.DUMMYFUNCTION("""COMPUTED_VALUE"""),"Dfranquias")</f>
        <v>Dfranquias</v>
      </c>
      <c r="AZ107" s="4" t="str">
        <f>IFERROR(__xludf.DUMMYFUNCTION("""COMPUTED_VALUE"""),"Sorvetes")</f>
        <v>Sorvetes</v>
      </c>
      <c r="BA107" s="4">
        <f>IFERROR(__xludf.DUMMYFUNCTION("""COMPUTED_VALUE"""),122.0)</f>
        <v>122</v>
      </c>
      <c r="BB107" s="4" t="str">
        <f>IFERROR(__xludf.DUMMYFUNCTION("""COMPUTED_VALUE"""),"Grupo Multi-marca")</f>
        <v>Grupo Multi-marca</v>
      </c>
      <c r="BC107" s="4" t="str">
        <f>IFERROR(__xludf.DUMMYFUNCTION("""COMPUTED_VALUE"""),"São Paulo/SP")</f>
        <v>São Paulo/SP</v>
      </c>
      <c r="BD107" s="4" t="str">
        <f>IFERROR(__xludf.DUMMYFUNCTION("""COMPUTED_VALUE"""),"Dado não disponível publicamente - Necessário Discovery")</f>
        <v>Dado não disponível publicamente - Necessário Discovery</v>
      </c>
      <c r="BE107" s="4">
        <f>IFERROR(__xludf.DUMMYFUNCTION("""COMPUTED_VALUE"""),40.0)</f>
        <v>40</v>
      </c>
      <c r="BF107" s="4">
        <f>IFERROR(__xludf.DUMMYFUNCTION("""COMPUTED_VALUE"""),0.55)</f>
        <v>0.55</v>
      </c>
      <c r="BG107"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107" s="4" t="s">
        <v>63</v>
      </c>
      <c r="BI107" s="7" t="s">
        <v>63</v>
      </c>
    </row>
    <row r="108" hidden="1">
      <c r="A108" s="4" t="str">
        <f>IFERROR(__xludf.DUMMYFUNCTION("""COMPUTED_VALUE"""),"GRUPO CHANG")</f>
        <v>GRUPO CHANG</v>
      </c>
      <c r="B108" s="4" t="str">
        <f>IFERROR(__xludf.DUMMYFUNCTION("""COMPUTED_VALUE"""),"João Biagiotti")</f>
        <v>João Biagiotti</v>
      </c>
      <c r="C108" s="4" t="str">
        <f>IFERROR(__xludf.DUMMYFUNCTION("""COMPUTED_VALUE"""),"Diego Santos")</f>
        <v>Diego Santos</v>
      </c>
      <c r="D108" s="4" t="str">
        <f>IFERROR(__xludf.DUMMYFUNCTION("""COMPUTED_VALUE"""),"0. Não Iniciado")</f>
        <v>0. Não Iniciado</v>
      </c>
      <c r="E108" s="4"/>
      <c r="F108" s="4" t="str">
        <f>IFERROR(__xludf.DUMMYFUNCTION("""COMPUTED_VALUE"""),"P")</f>
        <v>P</v>
      </c>
      <c r="G108" s="4"/>
      <c r="H108" s="4"/>
      <c r="I108" s="4"/>
      <c r="J108" s="4"/>
      <c r="K108" s="4"/>
      <c r="L108" s="4"/>
      <c r="M108" s="4"/>
      <c r="N108" s="4"/>
      <c r="O108" s="4"/>
      <c r="P108" s="4"/>
      <c r="Q108" s="4"/>
      <c r="R108" s="4"/>
      <c r="S108" s="4"/>
      <c r="T108" s="4"/>
      <c r="U108" s="4"/>
      <c r="V108" s="4"/>
      <c r="W108" s="4"/>
      <c r="X108" s="4"/>
      <c r="Y108" s="4"/>
      <c r="Z108" s="4"/>
      <c r="AA108" s="4">
        <f>IFERROR(__xludf.DUMMYFUNCTION("""COMPUTED_VALUE"""),11.0)</f>
        <v>11</v>
      </c>
      <c r="AB108" s="4" t="str">
        <f>IFERROR(__xludf.DUMMYFUNCTION("""COMPUTED_VALUE"""),"CE")</f>
        <v>CE</v>
      </c>
      <c r="AC108" s="4" t="str">
        <f>IFERROR(__xludf.DUMMYFUNCTION("""COMPUTED_VALUE"""),"Sim")</f>
        <v>Sim</v>
      </c>
      <c r="AD108" s="4" t="str">
        <f>IFERROR(__xludf.DUMMYFUNCTION("""COMPUTED_VALUE"""),"Cloudfy")</f>
        <v>Cloudfy</v>
      </c>
      <c r="AE108" s="4"/>
      <c r="AF108" s="4"/>
      <c r="AG108" s="4"/>
      <c r="AH108" s="4"/>
      <c r="AI108" s="4"/>
      <c r="AJ108" s="4"/>
      <c r="AK108" s="4"/>
      <c r="AL108" s="4"/>
      <c r="AM108" s="4" t="str">
        <f>IFERROR(__xludf.DUMMYFUNCTION("""COMPUTED_VALUE"""),"FY27")</f>
        <v>FY27</v>
      </c>
      <c r="AN108" s="4"/>
      <c r="AO108" s="4">
        <f>IFERROR(__xludf.DUMMYFUNCTION("""COMPUTED_VALUE"""),45553.0)</f>
        <v>45553</v>
      </c>
      <c r="AP108" s="4" t="str">
        <f>IFERROR(__xludf.DUMMYFUNCTION("""COMPUTED_VALUE"""),"PB")</f>
        <v>PB</v>
      </c>
      <c r="AQ108" s="4" t="str">
        <f>IFERROR(__xludf.DUMMYFUNCTION("""COMPUTED_VALUE"""),"ANA ARAUJO")</f>
        <v>ANA ARAUJO</v>
      </c>
      <c r="AR108" s="4" t="str">
        <f>IFERROR(__xludf.DUMMYFUNCTION("""COMPUTED_VALUE"""),"TIEGO CASTRO")</f>
        <v>TIEGO CASTRO</v>
      </c>
      <c r="AS108" s="4" t="str">
        <f>IFERROR(__xludf.DUMMYFUNCTION("""COMPUTED_VALUE"""),"THIAGO ROMAGNOLE")</f>
        <v>THIAGO ROMAGNOLE</v>
      </c>
      <c r="AT108" s="4" t="str">
        <f>IFERROR(__xludf.DUMMYFUNCTION("""COMPUTED_VALUE"""),"ANDERSON LAUREANO")</f>
        <v>ANDERSON LAUREANO</v>
      </c>
      <c r="AU108" s="4">
        <f>IFERROR(__xludf.DUMMYFUNCTION("""COMPUTED_VALUE"""),0.0)</f>
        <v>0</v>
      </c>
      <c r="AV108" s="4">
        <f>IFERROR(__xludf.DUMMYFUNCTION("""COMPUTED_VALUE"""),0.0)</f>
        <v>0</v>
      </c>
      <c r="AW108" s="4">
        <f>IFERROR(__xludf.DUMMYFUNCTION("""COMPUTED_VALUE"""),0.0)</f>
        <v>0</v>
      </c>
      <c r="AX108" s="4">
        <f>IFERROR(__xludf.DUMMYFUNCTION("""COMPUTED_VALUE"""),0.0)</f>
        <v>0</v>
      </c>
      <c r="AY108" s="4"/>
      <c r="AZ108" s="4" t="str">
        <f>IFERROR(__xludf.DUMMYFUNCTION("""COMPUTED_VALUE"""),"Pizza")</f>
        <v>Pizza</v>
      </c>
      <c r="BA108" s="4">
        <f>IFERROR(__xludf.DUMMYFUNCTION("""COMPUTED_VALUE"""),75.0)</f>
        <v>75</v>
      </c>
      <c r="BB108" s="4" t="str">
        <f>IFERROR(__xludf.DUMMYFUNCTION("""COMPUTED_VALUE"""),"Grupo Multi-marca (Sake Temaki + outros)")</f>
        <v>Grupo Multi-marca (Sake Temaki + outros)</v>
      </c>
      <c r="BC108" s="4" t="str">
        <f>IFERROR(__xludf.DUMMYFUNCTION("""COMPUTED_VALUE"""),"João Pessoa e Cabedelo/PB")</f>
        <v>João Pessoa e Cabedelo/PB</v>
      </c>
      <c r="BD108" s="4" t="str">
        <f>IFERROR(__xludf.DUMMYFUNCTION("""COMPUTED_VALUE"""),"Dado não disponível publicamente - Necessário Discovery")</f>
        <v>Dado não disponível publicamente - Necessário Discovery</v>
      </c>
      <c r="BE108" s="4">
        <f>IFERROR(__xludf.DUMMYFUNCTION("""COMPUTED_VALUE"""),35.0)</f>
        <v>35</v>
      </c>
      <c r="BF108" s="4">
        <f>IFERROR(__xludf.DUMMYFUNCTION("""COMPUTED_VALUE"""),0.5)</f>
        <v>0.5</v>
      </c>
      <c r="BG108"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108" s="4" t="s">
        <v>89</v>
      </c>
      <c r="BI108" s="7">
        <v>0.7727272727272727</v>
      </c>
    </row>
    <row r="109" hidden="1">
      <c r="A109" s="4" t="str">
        <f>IFERROR(__xludf.DUMMYFUNCTION("""COMPUTED_VALUE"""),"GRUPO CIA DO BOI")</f>
        <v>GRUPO CIA DO BOI</v>
      </c>
      <c r="B109" s="4" t="str">
        <f>IFERROR(__xludf.DUMMYFUNCTION("""COMPUTED_VALUE"""),"João Biagiotti")</f>
        <v>João Biagiotti</v>
      </c>
      <c r="C109" s="4" t="str">
        <f>IFERROR(__xludf.DUMMYFUNCTION("""COMPUTED_VALUE"""),"Diego Santos")</f>
        <v>Diego Santos</v>
      </c>
      <c r="D109" s="4" t="str">
        <f>IFERROR(__xludf.DUMMYFUNCTION("""COMPUTED_VALUE"""),"10. Perdido")</f>
        <v>10. Perdido</v>
      </c>
      <c r="E109" s="4" t="str">
        <f>IFERROR(__xludf.DUMMYFUNCTION("""COMPUTED_VALUE"""),"Perdido -  Momento do restaurante não favorável")</f>
        <v>Perdido -  Momento do restaurante não favorável</v>
      </c>
      <c r="F109" s="4" t="str">
        <f>IFERROR(__xludf.DUMMYFUNCTION("""COMPUTED_VALUE"""),"P")</f>
        <v>P</v>
      </c>
      <c r="G109" s="5">
        <f>IFERROR(__xludf.DUMMYFUNCTION("""COMPUTED_VALUE"""),46125.0)</f>
        <v>46125</v>
      </c>
      <c r="H109" s="4" t="str">
        <f>IFERROR(__xludf.DUMMYFUNCTION("""COMPUTED_VALUE"""),"Delivery informou que eles estao com a Teknisa e não estão aberto a mudança de PDV")</f>
        <v>Delivery informou que eles estao com a Teknisa e não estão aberto a mudança de PDV</v>
      </c>
      <c r="I109" s="6">
        <f>IFERROR(__xludf.DUMMYFUNCTION("""COMPUTED_VALUE"""),46125.58505005787)</f>
        <v>46125.58505</v>
      </c>
      <c r="J109" s="4"/>
      <c r="K109" s="4"/>
      <c r="L109" s="4"/>
      <c r="M109" s="4"/>
      <c r="N109" s="4"/>
      <c r="O109" s="4"/>
      <c r="P109" s="4"/>
      <c r="Q109" s="4"/>
      <c r="R109" s="6">
        <f>IFERROR(__xludf.DUMMYFUNCTION("""COMPUTED_VALUE"""),46129.49658118056)</f>
        <v>46129.49658</v>
      </c>
      <c r="S109" s="4"/>
      <c r="T109" s="4"/>
      <c r="U109" s="4"/>
      <c r="V109" s="4" t="str">
        <f>IFERROR(__xludf.DUMMYFUNCTION("""COMPUTED_VALUE"""),"Sem interesse em mudar de PDV")</f>
        <v>Sem interesse em mudar de PDV</v>
      </c>
      <c r="W109" s="4"/>
      <c r="X109" s="4"/>
      <c r="Y109" s="4"/>
      <c r="Z109" s="4"/>
      <c r="AA109" s="4">
        <f>IFERROR(__xludf.DUMMYFUNCTION("""COMPUTED_VALUE"""),13.0)</f>
        <v>13</v>
      </c>
      <c r="AB109" s="4" t="str">
        <f>IFERROR(__xludf.DUMMYFUNCTION("""COMPUTED_VALUE"""),"CE")</f>
        <v>CE</v>
      </c>
      <c r="AC109" s="4" t="str">
        <f>IFERROR(__xludf.DUMMYFUNCTION("""COMPUTED_VALUE"""),"Sim")</f>
        <v>Sim</v>
      </c>
      <c r="AD109" s="4" t="str">
        <f>IFERROR(__xludf.DUMMYFUNCTION("""COMPUTED_VALUE"""),"Ifood")</f>
        <v>Ifood</v>
      </c>
      <c r="AE109" s="4"/>
      <c r="AF109" s="4"/>
      <c r="AG109" s="4"/>
      <c r="AH109" s="4"/>
      <c r="AI109" s="4"/>
      <c r="AJ109" s="4" t="str">
        <f>IFERROR(__xludf.DUMMYFUNCTION("""COMPUTED_VALUE"""),"Teknisa")</f>
        <v>Teknisa</v>
      </c>
      <c r="AK109" s="4" t="str">
        <f>IFERROR(__xludf.DUMMYFUNCTION("""COMPUTED_VALUE"""),"Salão / Delivery")</f>
        <v>Salão / Delivery</v>
      </c>
      <c r="AL109" s="4" t="str">
        <f>IFERROR(__xludf.DUMMYFUNCTION("""COMPUTED_VALUE"""),"Não")</f>
        <v>Não</v>
      </c>
      <c r="AM109" s="4" t="str">
        <f>IFERROR(__xludf.DUMMYFUNCTION("""COMPUTED_VALUE"""),"FY27")</f>
        <v>FY27</v>
      </c>
      <c r="AN109" s="4"/>
      <c r="AO109" s="4">
        <f>IFERROR(__xludf.DUMMYFUNCTION("""COMPUTED_VALUE"""),90.0)</f>
        <v>90</v>
      </c>
      <c r="AP109" s="4" t="str">
        <f>IFERROR(__xludf.DUMMYFUNCTION("""COMPUTED_VALUE"""),"MG")</f>
        <v>MG</v>
      </c>
      <c r="AQ109" s="4" t="str">
        <f>IFERROR(__xludf.DUMMYFUNCTION("""COMPUTED_VALUE"""),"JOAO BAR")</f>
        <v>JOAO BAR</v>
      </c>
      <c r="AR109" s="4" t="str">
        <f>IFERROR(__xludf.DUMMYFUNCTION("""COMPUTED_VALUE"""),"LEONARDO NEVES")</f>
        <v>LEONARDO NEVES</v>
      </c>
      <c r="AS109" s="4" t="str">
        <f>IFERROR(__xludf.DUMMYFUNCTION("""COMPUTED_VALUE"""),"FABIO DONATO")</f>
        <v>FABIO DONATO</v>
      </c>
      <c r="AT109" s="4" t="str">
        <f>IFERROR(__xludf.DUMMYFUNCTION("""COMPUTED_VALUE"""),"GILSON JUNIOR")</f>
        <v>GILSON JUNIOR</v>
      </c>
      <c r="AU109" s="4">
        <f>IFERROR(__xludf.DUMMYFUNCTION("""COMPUTED_VALUE"""),0.0)</f>
        <v>0</v>
      </c>
      <c r="AV109" s="4">
        <f>IFERROR(__xludf.DUMMYFUNCTION("""COMPUTED_VALUE"""),0.0)</f>
        <v>0</v>
      </c>
      <c r="AW109" s="4">
        <f>IFERROR(__xludf.DUMMYFUNCTION("""COMPUTED_VALUE"""),0.0)</f>
        <v>0</v>
      </c>
      <c r="AX109" s="4">
        <f>IFERROR(__xludf.DUMMYFUNCTION("""COMPUTED_VALUE"""),0.0)</f>
        <v>0</v>
      </c>
      <c r="AY109" s="4"/>
      <c r="AZ109" s="4" t="str">
        <f>IFERROR(__xludf.DUMMYFUNCTION("""COMPUTED_VALUE"""),"Carnes")</f>
        <v>Carnes</v>
      </c>
      <c r="BA109" s="4" t="str">
        <f>IFERROR(__xludf.DUMMYFUNCTION("""COMPUTED_VALUE"""),"")</f>
        <v/>
      </c>
      <c r="BB109" s="4" t="str">
        <f>IFERROR(__xludf.DUMMYFUNCTION("""COMPUTED_VALUE"""),"")</f>
        <v/>
      </c>
      <c r="BC109" s="4" t="str">
        <f>IFERROR(__xludf.DUMMYFUNCTION("""COMPUTED_VALUE"""),"")</f>
        <v/>
      </c>
      <c r="BD109" s="4" t="str">
        <f>IFERROR(__xludf.DUMMYFUNCTION("""COMPUTED_VALUE"""),"")</f>
        <v/>
      </c>
      <c r="BE109" s="4" t="str">
        <f>IFERROR(__xludf.DUMMYFUNCTION("""COMPUTED_VALUE"""),"")</f>
        <v/>
      </c>
      <c r="BF109" s="4" t="str">
        <f>IFERROR(__xludf.DUMMYFUNCTION("""COMPUTED_VALUE"""),"")</f>
        <v/>
      </c>
      <c r="BG109" s="4" t="str">
        <f>IFERROR(__xludf.DUMMYFUNCTION("""COMPUTED_VALUE"""),"")</f>
        <v/>
      </c>
      <c r="BH109" s="4" t="s">
        <v>63</v>
      </c>
      <c r="BI109" s="7" t="s">
        <v>63</v>
      </c>
    </row>
    <row r="110" hidden="1">
      <c r="A110" s="4" t="str">
        <f>IFERROR(__xludf.DUMMYFUNCTION("""COMPUTED_VALUE"""),"GRUPO DECK")</f>
        <v>GRUPO DECK</v>
      </c>
      <c r="B110" s="4" t="str">
        <f>IFERROR(__xludf.DUMMYFUNCTION("""COMPUTED_VALUE"""),"João Biagiotti")</f>
        <v>João Biagiotti</v>
      </c>
      <c r="C110" s="4" t="str">
        <f>IFERROR(__xludf.DUMMYFUNCTION("""COMPUTED_VALUE"""),"Diego Santos")</f>
        <v>Diego Santos</v>
      </c>
      <c r="D110" s="4" t="str">
        <f>IFERROR(__xludf.DUMMYFUNCTION("""COMPUTED_VALUE"""),"0. Não Iniciado")</f>
        <v>0. Não Iniciado</v>
      </c>
      <c r="E110" s="4"/>
      <c r="F110" s="4" t="str">
        <f>IFERROR(__xludf.DUMMYFUNCTION("""COMPUTED_VALUE"""),"P")</f>
        <v>P</v>
      </c>
      <c r="G110" s="4"/>
      <c r="H110" s="4"/>
      <c r="I110" s="4"/>
      <c r="J110" s="4"/>
      <c r="K110" s="4"/>
      <c r="L110" s="4"/>
      <c r="M110" s="4"/>
      <c r="N110" s="4"/>
      <c r="O110" s="4"/>
      <c r="P110" s="4"/>
      <c r="Q110" s="4"/>
      <c r="R110" s="4"/>
      <c r="S110" s="4"/>
      <c r="T110" s="4"/>
      <c r="U110" s="4"/>
      <c r="V110" s="4"/>
      <c r="W110" s="4"/>
      <c r="X110" s="4"/>
      <c r="Y110" s="4"/>
      <c r="Z110" s="4"/>
      <c r="AA110" s="4">
        <f>IFERROR(__xludf.DUMMYFUNCTION("""COMPUTED_VALUE"""),12.0)</f>
        <v>12</v>
      </c>
      <c r="AB110" s="4" t="str">
        <f>IFERROR(__xludf.DUMMYFUNCTION("""COMPUTED_VALUE"""),"CE")</f>
        <v>CE</v>
      </c>
      <c r="AC110" s="4" t="str">
        <f>IFERROR(__xludf.DUMMYFUNCTION("""COMPUTED_VALUE"""),"Sim")</f>
        <v>Sim</v>
      </c>
      <c r="AD110" s="4" t="str">
        <f>IFERROR(__xludf.DUMMYFUNCTION("""COMPUTED_VALUE"""),"Ifood")</f>
        <v>Ifood</v>
      </c>
      <c r="AE110" s="4"/>
      <c r="AF110" s="4"/>
      <c r="AG110" s="4"/>
      <c r="AH110" s="4"/>
      <c r="AI110" s="4"/>
      <c r="AJ110" s="4"/>
      <c r="AK110" s="4"/>
      <c r="AL110" s="4"/>
      <c r="AM110" s="4" t="str">
        <f>IFERROR(__xludf.DUMMYFUNCTION("""COMPUTED_VALUE"""),"FY27")</f>
        <v>FY27</v>
      </c>
      <c r="AN110" s="4"/>
      <c r="AO110" s="4">
        <f>IFERROR(__xludf.DUMMYFUNCTION("""COMPUTED_VALUE"""),45553.0)</f>
        <v>45553</v>
      </c>
      <c r="AP110" s="4" t="str">
        <f>IFERROR(__xludf.DUMMYFUNCTION("""COMPUTED_VALUE"""),"AC")</f>
        <v>AC</v>
      </c>
      <c r="AQ110" s="4" t="str">
        <f>IFERROR(__xludf.DUMMYFUNCTION("""COMPUTED_VALUE"""),"KEDMA SANTIAGO")</f>
        <v>KEDMA SANTIAGO</v>
      </c>
      <c r="AR110" s="4" t="str">
        <f>IFERROR(__xludf.DUMMYFUNCTION("""COMPUTED_VALUE"""),"MARCELO ROCHA")</f>
        <v>MARCELO ROCHA</v>
      </c>
      <c r="AS110" s="4" t="str">
        <f>IFERROR(__xludf.DUMMYFUNCTION("""COMPUTED_VALUE"""),"THIAGO ROMAGNOLE")</f>
        <v>THIAGO ROMAGNOLE</v>
      </c>
      <c r="AT110" s="4" t="str">
        <f>IFERROR(__xludf.DUMMYFUNCTION("""COMPUTED_VALUE"""),"PAULO MODESTO")</f>
        <v>PAULO MODESTO</v>
      </c>
      <c r="AU110" s="4">
        <f>IFERROR(__xludf.DUMMYFUNCTION("""COMPUTED_VALUE"""),0.0)</f>
        <v>0</v>
      </c>
      <c r="AV110" s="4">
        <f>IFERROR(__xludf.DUMMYFUNCTION("""COMPUTED_VALUE"""),0.0)</f>
        <v>0</v>
      </c>
      <c r="AW110" s="4">
        <f>IFERROR(__xludf.DUMMYFUNCTION("""COMPUTED_VALUE"""),0.0)</f>
        <v>0</v>
      </c>
      <c r="AX110" s="4">
        <f>IFERROR(__xludf.DUMMYFUNCTION("""COMPUTED_VALUE"""),0.0)</f>
        <v>0</v>
      </c>
      <c r="AY110" s="4"/>
      <c r="AZ110" s="4" t="str">
        <f>IFERROR(__xludf.DUMMYFUNCTION("""COMPUTED_VALUE"""),"Pizza")</f>
        <v>Pizza</v>
      </c>
      <c r="BA110" s="4">
        <f>IFERROR(__xludf.DUMMYFUNCTION("""COMPUTED_VALUE"""),77.0)</f>
        <v>77</v>
      </c>
      <c r="BB110" s="4" t="str">
        <f>IFERROR(__xludf.DUMMYFUNCTION("""COMPUTED_VALUE"""),"Grupo Multi-marca")</f>
        <v>Grupo Multi-marca</v>
      </c>
      <c r="BC110" s="4" t="str">
        <f>IFERROR(__xludf.DUMMYFUNCTION("""COMPUTED_VALUE"""),"Belo Horizonte/MG")</f>
        <v>Belo Horizonte/MG</v>
      </c>
      <c r="BD110" s="4" t="str">
        <f>IFERROR(__xludf.DUMMYFUNCTION("""COMPUTED_VALUE"""),"Dado não disponível publicamente - Necessário Discovery")</f>
        <v>Dado não disponível publicamente - Necessário Discovery</v>
      </c>
      <c r="BE110" s="4">
        <f>IFERROR(__xludf.DUMMYFUNCTION("""COMPUTED_VALUE"""),40.0)</f>
        <v>40</v>
      </c>
      <c r="BF110" s="4">
        <f>IFERROR(__xludf.DUMMYFUNCTION("""COMPUTED_VALUE"""),0.55)</f>
        <v>0.55</v>
      </c>
      <c r="BG110"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110" s="4" t="s">
        <v>75</v>
      </c>
      <c r="BI110" s="7">
        <v>1.0</v>
      </c>
    </row>
    <row r="111" hidden="1">
      <c r="A111" s="4" t="str">
        <f>IFERROR(__xludf.DUMMYFUNCTION("""COMPUTED_VALUE"""),"GRUPO ILHA DA KOSTA")</f>
        <v>GRUPO ILHA DA KOSTA</v>
      </c>
      <c r="B111" s="4" t="str">
        <f>IFERROR(__xludf.DUMMYFUNCTION("""COMPUTED_VALUE"""),"João Biagiotti")</f>
        <v>João Biagiotti</v>
      </c>
      <c r="C111" s="4" t="str">
        <f>IFERROR(__xludf.DUMMYFUNCTION("""COMPUTED_VALUE"""),"Diego Santos")</f>
        <v>Diego Santos</v>
      </c>
      <c r="D111" s="4" t="str">
        <f>IFERROR(__xludf.DUMMYFUNCTION("""COMPUTED_VALUE"""),"0. Não Iniciado")</f>
        <v>0. Não Iniciado</v>
      </c>
      <c r="E111" s="4"/>
      <c r="F111" s="4" t="str">
        <f>IFERROR(__xludf.DUMMYFUNCTION("""COMPUTED_VALUE"""),"P")</f>
        <v>P</v>
      </c>
      <c r="G111" s="4"/>
      <c r="H111" s="4"/>
      <c r="I111" s="4"/>
      <c r="J111" s="4"/>
      <c r="K111" s="4"/>
      <c r="L111" s="4"/>
      <c r="M111" s="4"/>
      <c r="N111" s="4"/>
      <c r="O111" s="4"/>
      <c r="P111" s="4"/>
      <c r="Q111" s="4"/>
      <c r="R111" s="4"/>
      <c r="S111" s="4"/>
      <c r="T111" s="4"/>
      <c r="U111" s="4"/>
      <c r="V111" s="4"/>
      <c r="W111" s="4"/>
      <c r="X111" s="4"/>
      <c r="Y111" s="4"/>
      <c r="Z111" s="4"/>
      <c r="AA111" s="4">
        <f>IFERROR(__xludf.DUMMYFUNCTION("""COMPUTED_VALUE"""),7.0)</f>
        <v>7</v>
      </c>
      <c r="AB111" s="4" t="str">
        <f>IFERROR(__xludf.DUMMYFUNCTION("""COMPUTED_VALUE"""),"CE")</f>
        <v>CE</v>
      </c>
      <c r="AC111" s="4" t="str">
        <f>IFERROR(__xludf.DUMMYFUNCTION("""COMPUTED_VALUE"""),"Sim")</f>
        <v>Sim</v>
      </c>
      <c r="AD111" s="4" t="str">
        <f>IFERROR(__xludf.DUMMYFUNCTION("""COMPUTED_VALUE"""),"Ifood")</f>
        <v>Ifood</v>
      </c>
      <c r="AE111" s="4"/>
      <c r="AF111" s="4"/>
      <c r="AG111" s="4"/>
      <c r="AH111" s="4"/>
      <c r="AI111" s="4"/>
      <c r="AJ111" s="4"/>
      <c r="AK111" s="4"/>
      <c r="AL111" s="4"/>
      <c r="AM111" s="4" t="str">
        <f>IFERROR(__xludf.DUMMYFUNCTION("""COMPUTED_VALUE"""),"FY27")</f>
        <v>FY27</v>
      </c>
      <c r="AN111" s="4"/>
      <c r="AO111" s="4">
        <f>IFERROR(__xludf.DUMMYFUNCTION("""COMPUTED_VALUE"""),45553.0)</f>
        <v>45553</v>
      </c>
      <c r="AP111" s="4" t="str">
        <f>IFERROR(__xludf.DUMMYFUNCTION("""COMPUTED_VALUE"""),"PE")</f>
        <v>PE</v>
      </c>
      <c r="AQ111" s="4" t="str">
        <f>IFERROR(__xludf.DUMMYFUNCTION("""COMPUTED_VALUE"""),"JENNIFER SIQUEIRA")</f>
        <v>JENNIFER SIQUEIRA</v>
      </c>
      <c r="AR111" s="4" t="str">
        <f>IFERROR(__xludf.DUMMYFUNCTION("""COMPUTED_VALUE"""),"JULIANA CARNEIRO")</f>
        <v>JULIANA CARNEIRO</v>
      </c>
      <c r="AS111" s="4" t="str">
        <f>IFERROR(__xludf.DUMMYFUNCTION("""COMPUTED_VALUE"""),"THIAGO ROMAGNOLE")</f>
        <v>THIAGO ROMAGNOLE</v>
      </c>
      <c r="AT111" s="4" t="str">
        <f>IFERROR(__xludf.DUMMYFUNCTION("""COMPUTED_VALUE"""),"ANDERSON LAUREANO")</f>
        <v>ANDERSON LAUREANO</v>
      </c>
      <c r="AU111" s="4">
        <f>IFERROR(__xludf.DUMMYFUNCTION("""COMPUTED_VALUE"""),0.0)</f>
        <v>0</v>
      </c>
      <c r="AV111" s="4">
        <f>IFERROR(__xludf.DUMMYFUNCTION("""COMPUTED_VALUE"""),0.0)</f>
        <v>0</v>
      </c>
      <c r="AW111" s="4">
        <f>IFERROR(__xludf.DUMMYFUNCTION("""COMPUTED_VALUE"""),0.0)</f>
        <v>0</v>
      </c>
      <c r="AX111" s="4">
        <f>IFERROR(__xludf.DUMMYFUNCTION("""COMPUTED_VALUE"""),0.0)</f>
        <v>0</v>
      </c>
      <c r="AY111" s="4"/>
      <c r="AZ111" s="4" t="str">
        <f>IFERROR(__xludf.DUMMYFUNCTION("""COMPUTED_VALUE"""),"Brasileira")</f>
        <v>Brasileira</v>
      </c>
      <c r="BA111" s="4">
        <f>IFERROR(__xludf.DUMMYFUNCTION("""COMPUTED_VALUE"""),87.0)</f>
        <v>87</v>
      </c>
      <c r="BB111" s="4" t="str">
        <f>IFERROR(__xludf.DUMMYFUNCTION("""COMPUTED_VALUE"""),"Grupo Multi-marca")</f>
        <v>Grupo Multi-marca</v>
      </c>
      <c r="BC111" s="4" t="str">
        <f>IFERROR(__xludf.DUMMYFUNCTION("""COMPUTED_VALUE"""),"Interior SP")</f>
        <v>Interior SP</v>
      </c>
      <c r="BD111" s="4" t="str">
        <f>IFERROR(__xludf.DUMMYFUNCTION("""COMPUTED_VALUE"""),"Dado não disponível publicamente - Necessário Discovery")</f>
        <v>Dado não disponível publicamente - Necessário Discovery</v>
      </c>
      <c r="BE111" s="4">
        <f>IFERROR(__xludf.DUMMYFUNCTION("""COMPUTED_VALUE"""),40.0)</f>
        <v>40</v>
      </c>
      <c r="BF111" s="4">
        <f>IFERROR(__xludf.DUMMYFUNCTION("""COMPUTED_VALUE"""),0.5)</f>
        <v>0.5</v>
      </c>
      <c r="BG111"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111" s="4" t="s">
        <v>75</v>
      </c>
      <c r="BI111" s="7">
        <v>0.6666666666666666</v>
      </c>
    </row>
    <row r="112" hidden="1">
      <c r="A112" s="4" t="str">
        <f>IFERROR(__xludf.DUMMYFUNCTION("""COMPUTED_VALUE"""),"GRUPO IRAJA")</f>
        <v>GRUPO IRAJA</v>
      </c>
      <c r="B112" s="4" t="str">
        <f>IFERROR(__xludf.DUMMYFUNCTION("""COMPUTED_VALUE"""),"João Biagiotti")</f>
        <v>João Biagiotti</v>
      </c>
      <c r="C112" s="4" t="str">
        <f>IFERROR(__xludf.DUMMYFUNCTION("""COMPUTED_VALUE"""),"Diego Santos")</f>
        <v>Diego Santos</v>
      </c>
      <c r="D112" s="4" t="str">
        <f>IFERROR(__xludf.DUMMYFUNCTION("""COMPUTED_VALUE"""),"0. Não Iniciado")</f>
        <v>0. Não Iniciado</v>
      </c>
      <c r="E112" s="4"/>
      <c r="F112" s="4" t="str">
        <f>IFERROR(__xludf.DUMMYFUNCTION("""COMPUTED_VALUE"""),"P")</f>
        <v>P</v>
      </c>
      <c r="G112" s="4"/>
      <c r="H112" s="4"/>
      <c r="I112" s="4"/>
      <c r="J112" s="4"/>
      <c r="K112" s="4"/>
      <c r="L112" s="4"/>
      <c r="M112" s="4"/>
      <c r="N112" s="4"/>
      <c r="O112" s="4"/>
      <c r="P112" s="4"/>
      <c r="Q112" s="4"/>
      <c r="R112" s="4"/>
      <c r="S112" s="4"/>
      <c r="T112" s="4"/>
      <c r="U112" s="4"/>
      <c r="V112" s="4"/>
      <c r="W112" s="4"/>
      <c r="X112" s="4"/>
      <c r="Y112" s="4"/>
      <c r="Z112" s="4"/>
      <c r="AA112" s="4">
        <f>IFERROR(__xludf.DUMMYFUNCTION("""COMPUTED_VALUE"""),14.0)</f>
        <v>14</v>
      </c>
      <c r="AB112" s="4" t="str">
        <f>IFERROR(__xludf.DUMMYFUNCTION("""COMPUTED_VALUE"""),"CE")</f>
        <v>CE</v>
      </c>
      <c r="AC112" s="4" t="str">
        <f>IFERROR(__xludf.DUMMYFUNCTION("""COMPUTED_VALUE"""),"Sim")</f>
        <v>Sim</v>
      </c>
      <c r="AD112" s="4">
        <f>IFERROR(__xludf.DUMMYFUNCTION("""COMPUTED_VALUE"""),0.0)</f>
        <v>0</v>
      </c>
      <c r="AE112" s="4"/>
      <c r="AF112" s="4"/>
      <c r="AG112" s="4"/>
      <c r="AH112" s="4"/>
      <c r="AI112" s="4"/>
      <c r="AJ112" s="4"/>
      <c r="AK112" s="4"/>
      <c r="AL112" s="4"/>
      <c r="AM112" s="4" t="str">
        <f>IFERROR(__xludf.DUMMYFUNCTION("""COMPUTED_VALUE"""),"FY27")</f>
        <v>FY27</v>
      </c>
      <c r="AN112" s="4"/>
      <c r="AO112" s="4">
        <f>IFERROR(__xludf.DUMMYFUNCTION("""COMPUTED_VALUE"""),45553.0)</f>
        <v>45553</v>
      </c>
      <c r="AP112" s="4" t="str">
        <f>IFERROR(__xludf.DUMMYFUNCTION("""COMPUTED_VALUE"""),"SP")</f>
        <v>SP</v>
      </c>
      <c r="AQ112" s="4" t="str">
        <f>IFERROR(__xludf.DUMMYFUNCTION("""COMPUTED_VALUE"""),"ANA OBANDO")</f>
        <v>ANA OBANDO</v>
      </c>
      <c r="AR112" s="4" t="str">
        <f>IFERROR(__xludf.DUMMYFUNCTION("""COMPUTED_VALUE"""),"CAROLINA ALVES")</f>
        <v>CAROLINA ALVES</v>
      </c>
      <c r="AS112" s="4" t="str">
        <f>IFERROR(__xludf.DUMMYFUNCTION("""COMPUTED_VALUE"""),"ISIS MOSTAFA")</f>
        <v>ISIS MOSTAFA</v>
      </c>
      <c r="AT112" s="4" t="str">
        <f>IFERROR(__xludf.DUMMYFUNCTION("""COMPUTED_VALUE"""),"ANA OBANDO")</f>
        <v>ANA OBANDO</v>
      </c>
      <c r="AU112" s="4">
        <f>IFERROR(__xludf.DUMMYFUNCTION("""COMPUTED_VALUE"""),0.0)</f>
        <v>0</v>
      </c>
      <c r="AV112" s="4">
        <f>IFERROR(__xludf.DUMMYFUNCTION("""COMPUTED_VALUE"""),0.0)</f>
        <v>0</v>
      </c>
      <c r="AW112" s="4">
        <f>IFERROR(__xludf.DUMMYFUNCTION("""COMPUTED_VALUE"""),0.0)</f>
        <v>0</v>
      </c>
      <c r="AX112" s="4">
        <f>IFERROR(__xludf.DUMMYFUNCTION("""COMPUTED_VALUE"""),0.0)</f>
        <v>0</v>
      </c>
      <c r="AY112" s="4"/>
      <c r="AZ112" s="4" t="str">
        <f>IFERROR(__xludf.DUMMYFUNCTION("""COMPUTED_VALUE"""),"Brasileira")</f>
        <v>Brasileira</v>
      </c>
      <c r="BA112" s="4" t="str">
        <f>IFERROR(__xludf.DUMMYFUNCTION("""COMPUTED_VALUE"""),"")</f>
        <v/>
      </c>
      <c r="BB112" s="4" t="str">
        <f>IFERROR(__xludf.DUMMYFUNCTION("""COMPUTED_VALUE"""),"")</f>
        <v/>
      </c>
      <c r="BC112" s="4" t="str">
        <f>IFERROR(__xludf.DUMMYFUNCTION("""COMPUTED_VALUE"""),"")</f>
        <v/>
      </c>
      <c r="BD112" s="4" t="str">
        <f>IFERROR(__xludf.DUMMYFUNCTION("""COMPUTED_VALUE"""),"")</f>
        <v/>
      </c>
      <c r="BE112" s="4" t="str">
        <f>IFERROR(__xludf.DUMMYFUNCTION("""COMPUTED_VALUE"""),"")</f>
        <v/>
      </c>
      <c r="BF112" s="4" t="str">
        <f>IFERROR(__xludf.DUMMYFUNCTION("""COMPUTED_VALUE"""),"")</f>
        <v/>
      </c>
      <c r="BG112" s="4" t="str">
        <f>IFERROR(__xludf.DUMMYFUNCTION("""COMPUTED_VALUE"""),"")</f>
        <v/>
      </c>
      <c r="BH112" s="4" t="s">
        <v>63</v>
      </c>
      <c r="BI112" s="7" t="s">
        <v>63</v>
      </c>
    </row>
    <row r="113" hidden="1">
      <c r="A113" s="4" t="str">
        <f>IFERROR(__xludf.DUMMYFUNCTION("""COMPUTED_VALUE"""),"GRUPO KANPEKTOASTED")</f>
        <v>GRUPO KANPEKTOASTED</v>
      </c>
      <c r="B113" s="4" t="str">
        <f>IFERROR(__xludf.DUMMYFUNCTION("""COMPUTED_VALUE"""),"Lídia Esteves")</f>
        <v>Lídia Esteves</v>
      </c>
      <c r="C113" s="4" t="str">
        <f>IFERROR(__xludf.DUMMYFUNCTION("""COMPUTED_VALUE"""),"Gabriela Roma")</f>
        <v>Gabriela Roma</v>
      </c>
      <c r="D113" s="4" t="str">
        <f>IFERROR(__xludf.DUMMYFUNCTION("""COMPUTED_VALUE"""),"0. Não Iniciado")</f>
        <v>0. Não Iniciado</v>
      </c>
      <c r="E113" s="4"/>
      <c r="F113" s="4" t="str">
        <f>IFERROR(__xludf.DUMMYFUNCTION("""COMPUTED_VALUE"""),"P")</f>
        <v>P</v>
      </c>
      <c r="G113" s="4"/>
      <c r="H113" s="4"/>
      <c r="I113" s="4"/>
      <c r="J113" s="4"/>
      <c r="K113" s="4"/>
      <c r="L113" s="4"/>
      <c r="M113" s="4"/>
      <c r="N113" s="4"/>
      <c r="O113" s="4"/>
      <c r="P113" s="4"/>
      <c r="Q113" s="4"/>
      <c r="R113" s="4"/>
      <c r="S113" s="4"/>
      <c r="T113" s="4"/>
      <c r="U113" s="4"/>
      <c r="V113" s="4"/>
      <c r="W113" s="4"/>
      <c r="X113" s="4"/>
      <c r="Y113" s="4"/>
      <c r="Z113" s="4"/>
      <c r="AA113" s="4">
        <f>IFERROR(__xludf.DUMMYFUNCTION("""COMPUTED_VALUE"""),14.0)</f>
        <v>14</v>
      </c>
      <c r="AB113" s="4" t="str">
        <f>IFERROR(__xludf.DUMMYFUNCTION("""COMPUTED_VALUE"""),"CE")</f>
        <v>CE</v>
      </c>
      <c r="AC113" s="4" t="str">
        <f>IFERROR(__xludf.DUMMYFUNCTION("""COMPUTED_VALUE"""),"Sim")</f>
        <v>Sim</v>
      </c>
      <c r="AD113" s="4" t="str">
        <f>IFERROR(__xludf.DUMMYFUNCTION("""COMPUTED_VALUE"""),"Ifood")</f>
        <v>Ifood</v>
      </c>
      <c r="AE113" s="4"/>
      <c r="AF113" s="4"/>
      <c r="AG113" s="4"/>
      <c r="AH113" s="4"/>
      <c r="AI113" s="4"/>
      <c r="AJ113" s="4"/>
      <c r="AK113" s="4"/>
      <c r="AL113" s="4"/>
      <c r="AM113" s="4" t="str">
        <f>IFERROR(__xludf.DUMMYFUNCTION("""COMPUTED_VALUE"""),"FY27")</f>
        <v>FY27</v>
      </c>
      <c r="AN113" s="4"/>
      <c r="AO113" s="4">
        <f>IFERROR(__xludf.DUMMYFUNCTION("""COMPUTED_VALUE"""),45553.0)</f>
        <v>45553</v>
      </c>
      <c r="AP113" s="4">
        <f>IFERROR(__xludf.DUMMYFUNCTION("""COMPUTED_VALUE"""),0.0)</f>
        <v>0</v>
      </c>
      <c r="AQ113" s="4">
        <f>IFERROR(__xludf.DUMMYFUNCTION("""COMPUTED_VALUE"""),0.0)</f>
        <v>0</v>
      </c>
      <c r="AR113" s="4">
        <f>IFERROR(__xludf.DUMMYFUNCTION("""COMPUTED_VALUE"""),0.0)</f>
        <v>0</v>
      </c>
      <c r="AS113" s="4">
        <f>IFERROR(__xludf.DUMMYFUNCTION("""COMPUTED_VALUE"""),0.0)</f>
        <v>0</v>
      </c>
      <c r="AT113" s="4">
        <f>IFERROR(__xludf.DUMMYFUNCTION("""COMPUTED_VALUE"""),0.0)</f>
        <v>0</v>
      </c>
      <c r="AU113" s="4">
        <f>IFERROR(__xludf.DUMMYFUNCTION("""COMPUTED_VALUE"""),0.0)</f>
        <v>0</v>
      </c>
      <c r="AV113" s="4">
        <f>IFERROR(__xludf.DUMMYFUNCTION("""COMPUTED_VALUE"""),0.0)</f>
        <v>0</v>
      </c>
      <c r="AW113" s="4">
        <f>IFERROR(__xludf.DUMMYFUNCTION("""COMPUTED_VALUE"""),0.0)</f>
        <v>0</v>
      </c>
      <c r="AX113" s="4">
        <f>IFERROR(__xludf.DUMMYFUNCTION("""COMPUTED_VALUE"""),0.0)</f>
        <v>0</v>
      </c>
      <c r="AY113" s="4"/>
      <c r="AZ113" s="4" t="str">
        <f>IFERROR(__xludf.DUMMYFUNCTION("""COMPUTED_VALUE"""),"Lanches")</f>
        <v>Lanches</v>
      </c>
      <c r="BA113" s="4" t="str">
        <f>IFERROR(__xludf.DUMMYFUNCTION("""COMPUTED_VALUE"""),"")</f>
        <v/>
      </c>
      <c r="BB113" s="4" t="str">
        <f>IFERROR(__xludf.DUMMYFUNCTION("""COMPUTED_VALUE"""),"")</f>
        <v/>
      </c>
      <c r="BC113" s="4" t="str">
        <f>IFERROR(__xludf.DUMMYFUNCTION("""COMPUTED_VALUE"""),"")</f>
        <v/>
      </c>
      <c r="BD113" s="4" t="str">
        <f>IFERROR(__xludf.DUMMYFUNCTION("""COMPUTED_VALUE"""),"")</f>
        <v/>
      </c>
      <c r="BE113" s="4" t="str">
        <f>IFERROR(__xludf.DUMMYFUNCTION("""COMPUTED_VALUE"""),"")</f>
        <v/>
      </c>
      <c r="BF113" s="4" t="str">
        <f>IFERROR(__xludf.DUMMYFUNCTION("""COMPUTED_VALUE"""),"")</f>
        <v/>
      </c>
      <c r="BG113" s="4" t="str">
        <f>IFERROR(__xludf.DUMMYFUNCTION("""COMPUTED_VALUE"""),"")</f>
        <v/>
      </c>
      <c r="BH113" s="4" t="s">
        <v>63</v>
      </c>
      <c r="BI113" s="7" t="s">
        <v>63</v>
      </c>
    </row>
    <row r="114" hidden="1">
      <c r="A114" s="4" t="str">
        <f>IFERROR(__xludf.DUMMYFUNCTION("""COMPUTED_VALUE"""),"GRUPO LORD BURGER")</f>
        <v>GRUPO LORD BURGER</v>
      </c>
      <c r="B114" s="4" t="str">
        <f>IFERROR(__xludf.DUMMYFUNCTION("""COMPUTED_VALUE"""),"Lídia Esteves")</f>
        <v>Lídia Esteves</v>
      </c>
      <c r="C114" s="4" t="str">
        <f>IFERROR(__xludf.DUMMYFUNCTION("""COMPUTED_VALUE"""),"Gabriela Roma")</f>
        <v>Gabriela Roma</v>
      </c>
      <c r="D114" s="4" t="str">
        <f>IFERROR(__xludf.DUMMYFUNCTION("""COMPUTED_VALUE"""),"0. Não Iniciado")</f>
        <v>0. Não Iniciado</v>
      </c>
      <c r="E114" s="4"/>
      <c r="F114" s="4" t="str">
        <f>IFERROR(__xludf.DUMMYFUNCTION("""COMPUTED_VALUE"""),"P")</f>
        <v>P</v>
      </c>
      <c r="G114" s="4"/>
      <c r="H114" s="4"/>
      <c r="I114" s="4"/>
      <c r="J114" s="4"/>
      <c r="K114" s="4"/>
      <c r="L114" s="4"/>
      <c r="M114" s="4"/>
      <c r="N114" s="4"/>
      <c r="O114" s="4"/>
      <c r="P114" s="4"/>
      <c r="Q114" s="4"/>
      <c r="R114" s="4"/>
      <c r="S114" s="4"/>
      <c r="T114" s="4"/>
      <c r="U114" s="4"/>
      <c r="V114" s="4"/>
      <c r="W114" s="4"/>
      <c r="X114" s="4"/>
      <c r="Y114" s="4"/>
      <c r="Z114" s="4"/>
      <c r="AA114" s="4">
        <f>IFERROR(__xludf.DUMMYFUNCTION("""COMPUTED_VALUE"""),8.0)</f>
        <v>8</v>
      </c>
      <c r="AB114" s="14" t="str">
        <f>IFERROR(__xludf.DUMMYFUNCTION("""COMPUTED_VALUE"""),"CE")</f>
        <v>CE</v>
      </c>
      <c r="AC114" s="4" t="str">
        <f>IFERROR(__xludf.DUMMYFUNCTION("""COMPUTED_VALUE"""),"Sim")</f>
        <v>Sim</v>
      </c>
      <c r="AD114" s="4" t="str">
        <f>IFERROR(__xludf.DUMMYFUNCTION("""COMPUTED_VALUE"""),"Ifood")</f>
        <v>Ifood</v>
      </c>
      <c r="AE114" s="4"/>
      <c r="AF114" s="4"/>
      <c r="AG114" s="4"/>
      <c r="AH114" s="4"/>
      <c r="AI114" s="4"/>
      <c r="AJ114" s="4"/>
      <c r="AK114" s="4"/>
      <c r="AL114" s="4"/>
      <c r="AM114" s="4" t="str">
        <f>IFERROR(__xludf.DUMMYFUNCTION("""COMPUTED_VALUE"""),"FY27")</f>
        <v>FY27</v>
      </c>
      <c r="AN114" s="4"/>
      <c r="AO114" s="4">
        <f>IFERROR(__xludf.DUMMYFUNCTION("""COMPUTED_VALUE"""),45553.0)</f>
        <v>45553</v>
      </c>
      <c r="AP114" s="4" t="str">
        <f>IFERROR(__xludf.DUMMYFUNCTION("""COMPUTED_VALUE"""),"DF")</f>
        <v>DF</v>
      </c>
      <c r="AQ114" s="4" t="str">
        <f>IFERROR(__xludf.DUMMYFUNCTION("""COMPUTED_VALUE"""),"ISABELLE NOGUEIRA")</f>
        <v>ISABELLE NOGUEIRA</v>
      </c>
      <c r="AR114" s="4" t="str">
        <f>IFERROR(__xludf.DUMMYFUNCTION("""COMPUTED_VALUE"""),"KARLA MOURA")</f>
        <v>KARLA MOURA</v>
      </c>
      <c r="AS114" s="4" t="str">
        <f>IFERROR(__xludf.DUMMYFUNCTION("""COMPUTED_VALUE"""),"THIAGO ROMAGNOLE")</f>
        <v>THIAGO ROMAGNOLE</v>
      </c>
      <c r="AT114" s="4" t="str">
        <f>IFERROR(__xludf.DUMMYFUNCTION("""COMPUTED_VALUE"""),"PAULO MODESTO")</f>
        <v>PAULO MODESTO</v>
      </c>
      <c r="AU114" s="4">
        <f>IFERROR(__xludf.DUMMYFUNCTION("""COMPUTED_VALUE"""),0.0)</f>
        <v>0</v>
      </c>
      <c r="AV114" s="4">
        <f>IFERROR(__xludf.DUMMYFUNCTION("""COMPUTED_VALUE"""),0.0)</f>
        <v>0</v>
      </c>
      <c r="AW114" s="4">
        <f>IFERROR(__xludf.DUMMYFUNCTION("""COMPUTED_VALUE"""),0.0)</f>
        <v>0</v>
      </c>
      <c r="AX114" s="4">
        <f>IFERROR(__xludf.DUMMYFUNCTION("""COMPUTED_VALUE"""),0.0)</f>
        <v>0</v>
      </c>
      <c r="AY114" s="4"/>
      <c r="AZ114" s="4" t="str">
        <f>IFERROR(__xludf.DUMMYFUNCTION("""COMPUTED_VALUE"""),"Lanches")</f>
        <v>Lanches</v>
      </c>
      <c r="BA114" s="4">
        <f>IFERROR(__xludf.DUMMYFUNCTION("""COMPUTED_VALUE"""),85.0)</f>
        <v>85</v>
      </c>
      <c r="BB114" s="12" t="str">
        <f>IFERROR(__xludf.DUMMYFUNCTION("""COMPUTED_VALUE"""),"Fast Casual - Hamburgueria")</f>
        <v>Fast Casual - Hamburgueria</v>
      </c>
      <c r="BC114" s="4" t="str">
        <f>IFERROR(__xludf.DUMMYFUNCTION("""COMPUTED_VALUE"""),"Rio de Janeiro/RJ")</f>
        <v>Rio de Janeiro/RJ</v>
      </c>
      <c r="BD114" s="4" t="str">
        <f>IFERROR(__xludf.DUMMYFUNCTION("""COMPUTED_VALUE"""),"Dado não disponível publicamente - Necessário Discovery")</f>
        <v>Dado não disponível publicamente - Necessário Discovery</v>
      </c>
      <c r="BE114" s="4">
        <f>IFERROR(__xludf.DUMMYFUNCTION("""COMPUTED_VALUE"""),70.0)</f>
        <v>70</v>
      </c>
      <c r="BF114" s="13">
        <f>IFERROR(__xludf.DUMMYFUNCTION("""COMPUTED_VALUE"""),0.75)</f>
        <v>0.75</v>
      </c>
      <c r="BG11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14" s="4" t="s">
        <v>69</v>
      </c>
      <c r="BI114" s="7">
        <v>1.0</v>
      </c>
    </row>
    <row r="115" hidden="1">
      <c r="A115" s="4" t="str">
        <f>IFERROR(__xludf.DUMMYFUNCTION("""COMPUTED_VALUE"""),"GRUPO NAU E MANGAI")</f>
        <v>GRUPO NAU E MANGAI</v>
      </c>
      <c r="B115" s="4" t="str">
        <f>IFERROR(__xludf.DUMMYFUNCTION("""COMPUTED_VALUE"""),"João Biagiotti")</f>
        <v>João Biagiotti</v>
      </c>
      <c r="C115" s="4" t="str">
        <f>IFERROR(__xludf.DUMMYFUNCTION("""COMPUTED_VALUE"""),"Diego Santos")</f>
        <v>Diego Santos</v>
      </c>
      <c r="D115" s="4" t="str">
        <f>IFERROR(__xludf.DUMMYFUNCTION("""COMPUTED_VALUE"""),"0. Não Iniciado")</f>
        <v>0. Não Iniciado</v>
      </c>
      <c r="E115" s="4"/>
      <c r="F115" s="4" t="str">
        <f>IFERROR(__xludf.DUMMYFUNCTION("""COMPUTED_VALUE"""),"P")</f>
        <v>P</v>
      </c>
      <c r="G115" s="4"/>
      <c r="H115" s="4"/>
      <c r="I115" s="4"/>
      <c r="J115" s="4"/>
      <c r="K115" s="4"/>
      <c r="L115" s="4"/>
      <c r="M115" s="4"/>
      <c r="N115" s="4"/>
      <c r="O115" s="4"/>
      <c r="P115" s="4"/>
      <c r="Q115" s="4"/>
      <c r="R115" s="4"/>
      <c r="S115" s="4"/>
      <c r="T115" s="4"/>
      <c r="U115" s="4"/>
      <c r="V115" s="4"/>
      <c r="W115" s="4"/>
      <c r="X115" s="4"/>
      <c r="Y115" s="4"/>
      <c r="Z115" s="4"/>
      <c r="AA115" s="4">
        <f>IFERROR(__xludf.DUMMYFUNCTION("""COMPUTED_VALUE"""),11.0)</f>
        <v>11</v>
      </c>
      <c r="AB115" s="4" t="str">
        <f>IFERROR(__xludf.DUMMYFUNCTION("""COMPUTED_VALUE"""),"CE")</f>
        <v>CE</v>
      </c>
      <c r="AC115" s="4" t="str">
        <f>IFERROR(__xludf.DUMMYFUNCTION("""COMPUTED_VALUE"""),"Sim")</f>
        <v>Sim</v>
      </c>
      <c r="AD115" s="4" t="str">
        <f>IFERROR(__xludf.DUMMYFUNCTION("""COMPUTED_VALUE"""),"Ifood")</f>
        <v>Ifood</v>
      </c>
      <c r="AE115" s="4"/>
      <c r="AF115" s="4"/>
      <c r="AG115" s="4"/>
      <c r="AH115" s="4"/>
      <c r="AI115" s="4"/>
      <c r="AJ115" s="4"/>
      <c r="AK115" s="4"/>
      <c r="AL115" s="4"/>
      <c r="AM115" s="4" t="str">
        <f>IFERROR(__xludf.DUMMYFUNCTION("""COMPUTED_VALUE"""),"FY27")</f>
        <v>FY27</v>
      </c>
      <c r="AN115" s="4"/>
      <c r="AO115" s="4">
        <f>IFERROR(__xludf.DUMMYFUNCTION("""COMPUTED_VALUE"""),45553.0)</f>
        <v>45553</v>
      </c>
      <c r="AP115" s="4" t="str">
        <f>IFERROR(__xludf.DUMMYFUNCTION("""COMPUTED_VALUE"""),"PB")</f>
        <v>PB</v>
      </c>
      <c r="AQ115" s="4" t="str">
        <f>IFERROR(__xludf.DUMMYFUNCTION("""COMPUTED_VALUE"""),"JENNIFER SIQUEIRA")</f>
        <v>JENNIFER SIQUEIRA</v>
      </c>
      <c r="AR115" s="4" t="str">
        <f>IFERROR(__xludf.DUMMYFUNCTION("""COMPUTED_VALUE"""),"NEYDAIANE VIEIRA")</f>
        <v>NEYDAIANE VIEIRA</v>
      </c>
      <c r="AS115" s="4" t="str">
        <f>IFERROR(__xludf.DUMMYFUNCTION("""COMPUTED_VALUE"""),"THIAGO ROMAGNOLE")</f>
        <v>THIAGO ROMAGNOLE</v>
      </c>
      <c r="AT115" s="4" t="str">
        <f>IFERROR(__xludf.DUMMYFUNCTION("""COMPUTED_VALUE"""),"ANDERSON LAUREANO")</f>
        <v>ANDERSON LAUREANO</v>
      </c>
      <c r="AU115" s="4">
        <f>IFERROR(__xludf.DUMMYFUNCTION("""COMPUTED_VALUE"""),0.0)</f>
        <v>0</v>
      </c>
      <c r="AV115" s="4">
        <f>IFERROR(__xludf.DUMMYFUNCTION("""COMPUTED_VALUE"""),0.0)</f>
        <v>0</v>
      </c>
      <c r="AW115" s="4">
        <f>IFERROR(__xludf.DUMMYFUNCTION("""COMPUTED_VALUE"""),0.0)</f>
        <v>0</v>
      </c>
      <c r="AX115" s="4">
        <f>IFERROR(__xludf.DUMMYFUNCTION("""COMPUTED_VALUE"""),0.0)</f>
        <v>0</v>
      </c>
      <c r="AY115" s="4" t="str">
        <f>IFERROR(__xludf.DUMMYFUNCTION("""COMPUTED_VALUE"""),"Mtsis Sistemas De Informática Ltda.")</f>
        <v>Mtsis Sistemas De Informática Ltda.</v>
      </c>
      <c r="AZ115" s="4" t="str">
        <f>IFERROR(__xludf.DUMMYFUNCTION("""COMPUTED_VALUE"""),"Brasileira")</f>
        <v>Brasileira</v>
      </c>
      <c r="BA115" s="4">
        <f>IFERROR(__xludf.DUMMYFUNCTION("""COMPUTED_VALUE"""),85.0)</f>
        <v>85</v>
      </c>
      <c r="BB115" s="4" t="str">
        <f>IFERROR(__xludf.DUMMYFUNCTION("""COMPUTED_VALUE"""),"Full Service - Nordestina + Frutos do Mar")</f>
        <v>Full Service - Nordestina + Frutos do Mar</v>
      </c>
      <c r="BC115" s="4" t="str">
        <f>IFERROR(__xludf.DUMMYFUNCTION("""COMPUTED_VALUE"""),"Nacional (PB, RN, PE, CE, DF)")</f>
        <v>Nacional (PB, RN, PE, CE, DF)</v>
      </c>
      <c r="BD115" s="4" t="str">
        <f>IFERROR(__xludf.DUMMYFUNCTION("""COMPUTED_VALUE"""),"Dado não disponível publicamente - Necessário Discovery")</f>
        <v>Dado não disponível publicamente - Necessário Discovery</v>
      </c>
      <c r="BE115" s="4">
        <f>IFERROR(__xludf.DUMMYFUNCTION("""COMPUTED_VALUE"""),55.0)</f>
        <v>55</v>
      </c>
      <c r="BF115" s="4">
        <f>IFERROR(__xludf.DUMMYFUNCTION("""COMPUTED_VALUE"""),0.7)</f>
        <v>0.7</v>
      </c>
      <c r="BG11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15" s="4" t="s">
        <v>96</v>
      </c>
      <c r="BI115" s="7">
        <v>1.0</v>
      </c>
    </row>
    <row r="116" hidden="1">
      <c r="A116" s="4" t="str">
        <f>IFERROR(__xludf.DUMMYFUNCTION("""COMPUTED_VALUE"""),"GRUPO PAPRICA")</f>
        <v>GRUPO PAPRICA</v>
      </c>
      <c r="B116" s="4" t="str">
        <f>IFERROR(__xludf.DUMMYFUNCTION("""COMPUTED_VALUE"""),"Lídia Esteves")</f>
        <v>Lídia Esteves</v>
      </c>
      <c r="C116" s="4" t="str">
        <f>IFERROR(__xludf.DUMMYFUNCTION("""COMPUTED_VALUE"""),"Gabriela Roma")</f>
        <v>Gabriela Roma</v>
      </c>
      <c r="D116" s="4" t="str">
        <f>IFERROR(__xludf.DUMMYFUNCTION("""COMPUTED_VALUE"""),"0. Não Iniciado")</f>
        <v>0. Não Iniciado</v>
      </c>
      <c r="E116" s="4"/>
      <c r="F116" s="4" t="str">
        <f>IFERROR(__xludf.DUMMYFUNCTION("""COMPUTED_VALUE"""),"P")</f>
        <v>P</v>
      </c>
      <c r="G116" s="4"/>
      <c r="H116" s="4"/>
      <c r="I116" s="4"/>
      <c r="J116" s="4"/>
      <c r="K116" s="4"/>
      <c r="L116" s="4"/>
      <c r="M116" s="4"/>
      <c r="N116" s="4"/>
      <c r="O116" s="4"/>
      <c r="P116" s="4"/>
      <c r="Q116" s="4"/>
      <c r="R116" s="4"/>
      <c r="S116" s="4"/>
      <c r="T116" s="4"/>
      <c r="U116" s="4"/>
      <c r="V116" s="4"/>
      <c r="W116" s="4"/>
      <c r="X116" s="4"/>
      <c r="Y116" s="4"/>
      <c r="Z116" s="4"/>
      <c r="AA116" s="4">
        <f>IFERROR(__xludf.DUMMYFUNCTION("""COMPUTED_VALUE"""),9.0)</f>
        <v>9</v>
      </c>
      <c r="AB116" s="4" t="str">
        <f>IFERROR(__xludf.DUMMYFUNCTION("""COMPUTED_VALUE"""),"CE")</f>
        <v>CE</v>
      </c>
      <c r="AC116" s="4" t="str">
        <f>IFERROR(__xludf.DUMMYFUNCTION("""COMPUTED_VALUE"""),"Sim")</f>
        <v>Sim</v>
      </c>
      <c r="AD116" s="4" t="str">
        <f>IFERROR(__xludf.DUMMYFUNCTION("""COMPUTED_VALUE"""),"Ifood")</f>
        <v>Ifood</v>
      </c>
      <c r="AE116" s="4"/>
      <c r="AF116" s="4"/>
      <c r="AG116" s="4"/>
      <c r="AH116" s="4"/>
      <c r="AI116" s="4"/>
      <c r="AJ116" s="4"/>
      <c r="AK116" s="4"/>
      <c r="AL116" s="4"/>
      <c r="AM116" s="4" t="str">
        <f>IFERROR(__xludf.DUMMYFUNCTION("""COMPUTED_VALUE"""),"FY27")</f>
        <v>FY27</v>
      </c>
      <c r="AN116" s="4"/>
      <c r="AO116" s="4">
        <f>IFERROR(__xludf.DUMMYFUNCTION("""COMPUTED_VALUE"""),45553.0)</f>
        <v>45553</v>
      </c>
      <c r="AP116" s="4" t="str">
        <f>IFERROR(__xludf.DUMMYFUNCTION("""COMPUTED_VALUE"""),"DF")</f>
        <v>DF</v>
      </c>
      <c r="AQ116" s="4" t="str">
        <f>IFERROR(__xludf.DUMMYFUNCTION("""COMPUTED_VALUE"""),"RAFAEL PEDRO")</f>
        <v>RAFAEL PEDRO</v>
      </c>
      <c r="AR116" s="4" t="str">
        <f>IFERROR(__xludf.DUMMYFUNCTION("""COMPUTED_VALUE"""),"MARIA JESUS")</f>
        <v>MARIA JESUS</v>
      </c>
      <c r="AS116" s="4" t="str">
        <f>IFERROR(__xludf.DUMMYFUNCTION("""COMPUTED_VALUE"""),"THIAGO ROMAGNOLE")</f>
        <v>THIAGO ROMAGNOLE</v>
      </c>
      <c r="AT116" s="4" t="str">
        <f>IFERROR(__xludf.DUMMYFUNCTION("""COMPUTED_VALUE"""),"PAULO MODESTO")</f>
        <v>PAULO MODESTO</v>
      </c>
      <c r="AU116" s="4">
        <f>IFERROR(__xludf.DUMMYFUNCTION("""COMPUTED_VALUE"""),0.0)</f>
        <v>0</v>
      </c>
      <c r="AV116" s="4">
        <f>IFERROR(__xludf.DUMMYFUNCTION("""COMPUTED_VALUE"""),0.0)</f>
        <v>0</v>
      </c>
      <c r="AW116" s="4">
        <f>IFERROR(__xludf.DUMMYFUNCTION("""COMPUTED_VALUE"""),0.0)</f>
        <v>0</v>
      </c>
      <c r="AX116" s="4">
        <f>IFERROR(__xludf.DUMMYFUNCTION("""COMPUTED_VALUE"""),0.0)</f>
        <v>0</v>
      </c>
      <c r="AY116" s="4" t="str">
        <f>IFERROR(__xludf.DUMMYFUNCTION("""COMPUTED_VALUE"""),"Gcom - Gestao Em Tecnologia De Informacao Eireli")</f>
        <v>Gcom - Gestao Em Tecnologia De Informacao Eireli</v>
      </c>
      <c r="AZ116" s="4" t="str">
        <f>IFERROR(__xludf.DUMMYFUNCTION("""COMPUTED_VALUE"""),"Lanches")</f>
        <v>Lanches</v>
      </c>
      <c r="BA116" s="4" t="str">
        <f>IFERROR(__xludf.DUMMYFUNCTION("""COMPUTED_VALUE"""),"")</f>
        <v/>
      </c>
      <c r="BB116" s="4" t="str">
        <f>IFERROR(__xludf.DUMMYFUNCTION("""COMPUTED_VALUE"""),"")</f>
        <v/>
      </c>
      <c r="BC116" s="4" t="str">
        <f>IFERROR(__xludf.DUMMYFUNCTION("""COMPUTED_VALUE"""),"")</f>
        <v/>
      </c>
      <c r="BD116" s="4" t="str">
        <f>IFERROR(__xludf.DUMMYFUNCTION("""COMPUTED_VALUE"""),"")</f>
        <v/>
      </c>
      <c r="BE116" s="4" t="str">
        <f>IFERROR(__xludf.DUMMYFUNCTION("""COMPUTED_VALUE"""),"")</f>
        <v/>
      </c>
      <c r="BF116" s="4" t="str">
        <f>IFERROR(__xludf.DUMMYFUNCTION("""COMPUTED_VALUE"""),"")</f>
        <v/>
      </c>
      <c r="BG116" s="4" t="str">
        <f>IFERROR(__xludf.DUMMYFUNCTION("""COMPUTED_VALUE"""),"")</f>
        <v/>
      </c>
      <c r="BH116" s="4" t="s">
        <v>64</v>
      </c>
      <c r="BI116" s="7">
        <v>0.46153846153846156</v>
      </c>
    </row>
    <row r="117" hidden="1">
      <c r="A117" s="4" t="str">
        <f>IFERROR(__xludf.DUMMYFUNCTION("""COMPUTED_VALUE"""),"GRUPO RAINHA DAS MARMITAS")</f>
        <v>GRUPO RAINHA DAS MARMITAS</v>
      </c>
      <c r="B117" s="4" t="str">
        <f>IFERROR(__xludf.DUMMYFUNCTION("""COMPUTED_VALUE"""),"Lídia Esteves")</f>
        <v>Lídia Esteves</v>
      </c>
      <c r="C117" s="4" t="str">
        <f>IFERROR(__xludf.DUMMYFUNCTION("""COMPUTED_VALUE"""),"Gabriela Roma")</f>
        <v>Gabriela Roma</v>
      </c>
      <c r="D117" s="4" t="str">
        <f>IFERROR(__xludf.DUMMYFUNCTION("""COMPUTED_VALUE"""),"1. Iniciado")</f>
        <v>1. Iniciado</v>
      </c>
      <c r="E117" s="4" t="str">
        <f>IFERROR(__xludf.DUMMYFUNCTION("""COMPUTED_VALUE"""),"Delivery - Aguardando retorno / Conciliação agenda")</f>
        <v>Delivery - Aguardando retorno / Conciliação agenda</v>
      </c>
      <c r="F117" s="4" t="str">
        <f>IFERROR(__xludf.DUMMYFUNCTION("""COMPUTED_VALUE"""),"M")</f>
        <v>M</v>
      </c>
      <c r="G117" s="4"/>
      <c r="H117" s="4"/>
      <c r="I117" s="6">
        <f>IFERROR(__xludf.DUMMYFUNCTION("""COMPUTED_VALUE"""),46121.6758733912)</f>
        <v>46121.67587</v>
      </c>
      <c r="J117" s="4"/>
      <c r="K117" s="4"/>
      <c r="L117" s="4"/>
      <c r="M117" s="4"/>
      <c r="N117" s="4"/>
      <c r="O117" s="4"/>
      <c r="P117" s="4"/>
      <c r="Q117" s="4"/>
      <c r="R117" s="4"/>
      <c r="S117" s="4"/>
      <c r="T117" s="4"/>
      <c r="U117" s="4"/>
      <c r="V117" s="4"/>
      <c r="W117" s="4"/>
      <c r="X117" s="4"/>
      <c r="Y117" s="4"/>
      <c r="Z117" s="4"/>
      <c r="AA117" s="4">
        <f>IFERROR(__xludf.DUMMYFUNCTION("""COMPUTED_VALUE"""),38.0)</f>
        <v>38</v>
      </c>
      <c r="AB117" s="4" t="str">
        <f>IFERROR(__xludf.DUMMYFUNCTION("""COMPUTED_VALUE"""),"-")</f>
        <v>-</v>
      </c>
      <c r="AC117" s="4" t="str">
        <f>IFERROR(__xludf.DUMMYFUNCTION("""COMPUTED_VALUE"""),"Sim")</f>
        <v>Sim</v>
      </c>
      <c r="AD117" s="4" t="str">
        <f>IFERROR(__xludf.DUMMYFUNCTION("""COMPUTED_VALUE"""),"Ifood")</f>
        <v>Ifood</v>
      </c>
      <c r="AE117" s="4"/>
      <c r="AF117" s="4"/>
      <c r="AG117" s="4"/>
      <c r="AH117" s="4"/>
      <c r="AI117" s="4"/>
      <c r="AJ117" s="4"/>
      <c r="AK117" s="4"/>
      <c r="AL117" s="4"/>
      <c r="AM117" s="4" t="str">
        <f>IFERROR(__xludf.DUMMYFUNCTION("""COMPUTED_VALUE"""),"FY27")</f>
        <v>FY27</v>
      </c>
      <c r="AN117" s="4"/>
      <c r="AO117" s="4">
        <f>IFERROR(__xludf.DUMMYFUNCTION("""COMPUTED_VALUE"""),45553.0)</f>
        <v>45553</v>
      </c>
      <c r="AP117" s="4" t="str">
        <f>IFERROR(__xludf.DUMMYFUNCTION("""COMPUTED_VALUE"""),"ES")</f>
        <v>ES</v>
      </c>
      <c r="AQ117" s="4" t="str">
        <f>IFERROR(__xludf.DUMMYFUNCTION("""COMPUTED_VALUE"""),"JUAN CHAROTTA")</f>
        <v>JUAN CHAROTTA</v>
      </c>
      <c r="AR117" s="4" t="str">
        <f>IFERROR(__xludf.DUMMYFUNCTION("""COMPUTED_VALUE"""),"SILVA SANTOS")</f>
        <v>SILVA SANTOS</v>
      </c>
      <c r="AS117" s="4" t="str">
        <f>IFERROR(__xludf.DUMMYFUNCTION("""COMPUTED_VALUE"""),"NATHALIE MERTENS")</f>
        <v>NATHALIE MERTENS</v>
      </c>
      <c r="AT117" s="4" t="str">
        <f>IFERROR(__xludf.DUMMYFUNCTION("""COMPUTED_VALUE"""),"NATALIA COUTINHO")</f>
        <v>NATALIA COUTINHO</v>
      </c>
      <c r="AU117" s="4">
        <f>IFERROR(__xludf.DUMMYFUNCTION("""COMPUTED_VALUE"""),0.0)</f>
        <v>0</v>
      </c>
      <c r="AV117" s="4">
        <f>IFERROR(__xludf.DUMMYFUNCTION("""COMPUTED_VALUE"""),0.0)</f>
        <v>0</v>
      </c>
      <c r="AW117" s="4">
        <f>IFERROR(__xludf.DUMMYFUNCTION("""COMPUTED_VALUE"""),0.0)</f>
        <v>0</v>
      </c>
      <c r="AX117" s="4">
        <f>IFERROR(__xludf.DUMMYFUNCTION("""COMPUTED_VALUE"""),0.0)</f>
        <v>0</v>
      </c>
      <c r="AY117" s="4" t="str">
        <f>IFERROR(__xludf.DUMMYFUNCTION("""COMPUTED_VALUE"""),"Cardápio Web")</f>
        <v>Cardápio Web</v>
      </c>
      <c r="AZ117" s="4" t="str">
        <f>IFERROR(__xludf.DUMMYFUNCTION("""COMPUTED_VALUE"""),"Brasileira")</f>
        <v>Brasileira</v>
      </c>
      <c r="BA117" s="4">
        <f>IFERROR(__xludf.DUMMYFUNCTION("""COMPUTED_VALUE"""),37.0)</f>
        <v>37</v>
      </c>
      <c r="BB117" s="4" t="str">
        <f>IFERROR(__xludf.DUMMYFUNCTION("""COMPUTED_VALUE"""),"QSR - Marmitex Delivery")</f>
        <v>QSR - Marmitex Delivery</v>
      </c>
      <c r="BC117" s="4" t="str">
        <f>IFERROR(__xludf.DUMMYFUNCTION("""COMPUTED_VALUE"""),"Nacional (presente em 12+ estados)")</f>
        <v>Nacional (presente em 12+ estados)</v>
      </c>
      <c r="BD117" s="4" t="str">
        <f>IFERROR(__xludf.DUMMYFUNCTION("""COMPUTED_VALUE"""),"Dado não disponível publicamente - Necessário Discovery")</f>
        <v>Dado não disponível publicamente - Necessário Discovery</v>
      </c>
      <c r="BE117" s="4">
        <f>IFERROR(__xludf.DUMMYFUNCTION("""COMPUTED_VALUE"""),75.0)</f>
        <v>75</v>
      </c>
      <c r="BF117" s="4">
        <f>IFERROR(__xludf.DUMMYFUNCTION("""COMPUTED_VALUE"""),0.95)</f>
        <v>0.95</v>
      </c>
      <c r="BG117"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117" s="4" t="s">
        <v>61</v>
      </c>
      <c r="BI117" s="7">
        <v>0.4074074074074074</v>
      </c>
    </row>
    <row r="118" hidden="1">
      <c r="A118" s="4" t="str">
        <f>IFERROR(__xludf.DUMMYFUNCTION("""COMPUTED_VALUE"""),"GRUPO REGALO PIZZERIA")</f>
        <v>GRUPO REGALO PIZZERIA</v>
      </c>
      <c r="B118" s="4" t="str">
        <f>IFERROR(__xludf.DUMMYFUNCTION("""COMPUTED_VALUE"""),"João Biagiotti")</f>
        <v>João Biagiotti</v>
      </c>
      <c r="C118" s="4" t="str">
        <f>IFERROR(__xludf.DUMMYFUNCTION("""COMPUTED_VALUE"""),"Diego Santos")</f>
        <v>Diego Santos</v>
      </c>
      <c r="D118" s="4" t="str">
        <f>IFERROR(__xludf.DUMMYFUNCTION("""COMPUTED_VALUE"""),"0. Não Iniciado")</f>
        <v>0. Não Iniciado</v>
      </c>
      <c r="E118" s="4"/>
      <c r="F118" s="4" t="str">
        <f>IFERROR(__xludf.DUMMYFUNCTION("""COMPUTED_VALUE"""),"P")</f>
        <v>P</v>
      </c>
      <c r="G118" s="4"/>
      <c r="H118" s="4"/>
      <c r="I118" s="4"/>
      <c r="J118" s="4"/>
      <c r="K118" s="4"/>
      <c r="L118" s="4"/>
      <c r="M118" s="4"/>
      <c r="N118" s="4"/>
      <c r="O118" s="4"/>
      <c r="P118" s="4"/>
      <c r="Q118" s="4"/>
      <c r="R118" s="4"/>
      <c r="S118" s="4"/>
      <c r="T118" s="4"/>
      <c r="U118" s="4"/>
      <c r="V118" s="4"/>
      <c r="W118" s="4"/>
      <c r="X118" s="4"/>
      <c r="Y118" s="4"/>
      <c r="Z118" s="4"/>
      <c r="AA118" s="4">
        <f>IFERROR(__xludf.DUMMYFUNCTION("""COMPUTED_VALUE"""),5.0)</f>
        <v>5</v>
      </c>
      <c r="AB118" s="4" t="str">
        <f>IFERROR(__xludf.DUMMYFUNCTION("""COMPUTED_VALUE"""),"CE")</f>
        <v>CE</v>
      </c>
      <c r="AC118" s="4" t="str">
        <f>IFERROR(__xludf.DUMMYFUNCTION("""COMPUTED_VALUE"""),"Sim")</f>
        <v>Sim</v>
      </c>
      <c r="AD118" s="4" t="str">
        <f>IFERROR(__xludf.DUMMYFUNCTION("""COMPUTED_VALUE"""),"Ifood")</f>
        <v>Ifood</v>
      </c>
      <c r="AE118" s="4"/>
      <c r="AF118" s="4"/>
      <c r="AG118" s="4"/>
      <c r="AH118" s="4"/>
      <c r="AI118" s="4"/>
      <c r="AJ118" s="4"/>
      <c r="AK118" s="4"/>
      <c r="AL118" s="4"/>
      <c r="AM118" s="4" t="str">
        <f>IFERROR(__xludf.DUMMYFUNCTION("""COMPUTED_VALUE"""),"FY27")</f>
        <v>FY27</v>
      </c>
      <c r="AN118" s="4"/>
      <c r="AO118" s="4">
        <f>IFERROR(__xludf.DUMMYFUNCTION("""COMPUTED_VALUE"""),45553.0)</f>
        <v>45553</v>
      </c>
      <c r="AP118" s="4" t="str">
        <f>IFERROR(__xludf.DUMMYFUNCTION("""COMPUTED_VALUE"""),"BA")</f>
        <v>BA</v>
      </c>
      <c r="AQ118" s="4" t="str">
        <f>IFERROR(__xludf.DUMMYFUNCTION("""COMPUTED_VALUE"""),"MENEZES PAULA")</f>
        <v>MENEZES PAULA</v>
      </c>
      <c r="AR118" s="4" t="str">
        <f>IFERROR(__xludf.DUMMYFUNCTION("""COMPUTED_VALUE"""),"LAIS CARDOSO")</f>
        <v>LAIS CARDOSO</v>
      </c>
      <c r="AS118" s="4" t="str">
        <f>IFERROR(__xludf.DUMMYFUNCTION("""COMPUTED_VALUE"""),"THIAGO ROMAGNOLE")</f>
        <v>THIAGO ROMAGNOLE</v>
      </c>
      <c r="AT118" s="4" t="str">
        <f>IFERROR(__xludf.DUMMYFUNCTION("""COMPUTED_VALUE"""),"EDUARDO VAZ")</f>
        <v>EDUARDO VAZ</v>
      </c>
      <c r="AU118" s="4">
        <f>IFERROR(__xludf.DUMMYFUNCTION("""COMPUTED_VALUE"""),0.0)</f>
        <v>0</v>
      </c>
      <c r="AV118" s="4">
        <f>IFERROR(__xludf.DUMMYFUNCTION("""COMPUTED_VALUE"""),0.0)</f>
        <v>0</v>
      </c>
      <c r="AW118" s="4">
        <f>IFERROR(__xludf.DUMMYFUNCTION("""COMPUTED_VALUE"""),0.0)</f>
        <v>0</v>
      </c>
      <c r="AX118" s="4">
        <f>IFERROR(__xludf.DUMMYFUNCTION("""COMPUTED_VALUE"""),0.0)</f>
        <v>0</v>
      </c>
      <c r="AY118" s="4"/>
      <c r="AZ118" s="4" t="str">
        <f>IFERROR(__xludf.DUMMYFUNCTION("""COMPUTED_VALUE"""),"Italiana")</f>
        <v>Italiana</v>
      </c>
      <c r="BA118" s="4">
        <f>IFERROR(__xludf.DUMMYFUNCTION("""COMPUTED_VALUE"""),109.0)</f>
        <v>109</v>
      </c>
      <c r="BB118" s="4" t="str">
        <f>IFERROR(__xludf.DUMMYFUNCTION("""COMPUTED_VALUE"""),"Grupo Multi-marca")</f>
        <v>Grupo Multi-marca</v>
      </c>
      <c r="BC118" s="4" t="str">
        <f>IFERROR(__xludf.DUMMYFUNCTION("""COMPUTED_VALUE"""),"Centro-Oeste")</f>
        <v>Centro-Oeste</v>
      </c>
      <c r="BD118" s="4" t="str">
        <f>IFERROR(__xludf.DUMMYFUNCTION("""COMPUTED_VALUE"""),"Dado não disponível publicamente - Necessário Discovery")</f>
        <v>Dado não disponível publicamente - Necessário Discovery</v>
      </c>
      <c r="BE118" s="4">
        <f>IFERROR(__xludf.DUMMYFUNCTION("""COMPUTED_VALUE"""),40.0)</f>
        <v>40</v>
      </c>
      <c r="BF118" s="4">
        <f>IFERROR(__xludf.DUMMYFUNCTION("""COMPUTED_VALUE"""),0.5)</f>
        <v>0.5</v>
      </c>
      <c r="BG118"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118" s="4" t="s">
        <v>75</v>
      </c>
      <c r="BI118" s="7">
        <v>0.8148148148148148</v>
      </c>
    </row>
    <row r="119" hidden="1">
      <c r="A119" s="4" t="str">
        <f>IFERROR(__xludf.DUMMYFUNCTION("""COMPUTED_VALUE"""),"GRUPO ROKKON")</f>
        <v>GRUPO ROKKON</v>
      </c>
      <c r="B119" s="4" t="str">
        <f>IFERROR(__xludf.DUMMYFUNCTION("""COMPUTED_VALUE"""),"João Biagiotti")</f>
        <v>João Biagiotti</v>
      </c>
      <c r="C119" s="4" t="str">
        <f>IFERROR(__xludf.DUMMYFUNCTION("""COMPUTED_VALUE"""),"Diego Santos")</f>
        <v>Diego Santos</v>
      </c>
      <c r="D119" s="4" t="str">
        <f>IFERROR(__xludf.DUMMYFUNCTION("""COMPUTED_VALUE"""),"12. Orgânico")</f>
        <v>12. Orgânico</v>
      </c>
      <c r="E119" s="4" t="str">
        <f>IFERROR(__xludf.DUMMYFUNCTION("""COMPUTED_VALUE""")," Projetos - Contrato assinado &amp; Rollout")</f>
        <v> Projetos - Contrato assinado &amp; Rollout</v>
      </c>
      <c r="F119" s="4" t="str">
        <f>IFERROR(__xludf.DUMMYFUNCTION("""COMPUTED_VALUE"""),"P")</f>
        <v>P</v>
      </c>
      <c r="G119" s="5">
        <f>IFERROR(__xludf.DUMMYFUNCTION("""COMPUTED_VALUE"""),46125.0)</f>
        <v>46125</v>
      </c>
      <c r="H119" s="4" t="str">
        <f>IFERROR(__xludf.DUMMYFUNCTION("""COMPUTED_VALUE"""),"Marca do grupo Fit, já está realizando rollout")</f>
        <v>Marca do grupo Fit, já está realizando rollout</v>
      </c>
      <c r="I119" s="6">
        <f>IFERROR(__xludf.DUMMYFUNCTION("""COMPUTED_VALUE"""),46125.584030405094)</f>
        <v>46125.58403</v>
      </c>
      <c r="J119" s="6">
        <f>IFERROR(__xludf.DUMMYFUNCTION("""COMPUTED_VALUE"""),46125.58439365741)</f>
        <v>46125.58439</v>
      </c>
      <c r="K119" s="4"/>
      <c r="L119" s="4"/>
      <c r="M119" s="4"/>
      <c r="N119" s="4"/>
      <c r="O119" s="4"/>
      <c r="P119" s="4"/>
      <c r="Q119" s="4"/>
      <c r="R119" s="4"/>
      <c r="S119" s="4"/>
      <c r="T119" s="6">
        <f>IFERROR(__xludf.DUMMYFUNCTION("""COMPUTED_VALUE"""),46125.58446381944)</f>
        <v>46125.58446</v>
      </c>
      <c r="U119" s="4"/>
      <c r="V119" s="4"/>
      <c r="W119" s="4"/>
      <c r="X119" s="4"/>
      <c r="Y119" s="4"/>
      <c r="Z119" s="4"/>
      <c r="AA119" s="4">
        <f>IFERROR(__xludf.DUMMYFUNCTION("""COMPUTED_VALUE"""),16.0)</f>
        <v>16</v>
      </c>
      <c r="AB119" s="4" t="str">
        <f>IFERROR(__xludf.DUMMYFUNCTION("""COMPUTED_VALUE"""),"-")</f>
        <v>-</v>
      </c>
      <c r="AC119" s="4" t="str">
        <f>IFERROR(__xludf.DUMMYFUNCTION("""COMPUTED_VALUE"""),"Sim")</f>
        <v>Sim</v>
      </c>
      <c r="AD119" s="4" t="str">
        <f>IFERROR(__xludf.DUMMYFUNCTION("""COMPUTED_VALUE"""),"Ifood")</f>
        <v>Ifood</v>
      </c>
      <c r="AE119" s="4"/>
      <c r="AF119" s="4"/>
      <c r="AG119" s="4"/>
      <c r="AH119" s="4"/>
      <c r="AI119" s="4"/>
      <c r="AJ119" s="4"/>
      <c r="AK119" s="4" t="str">
        <f>IFERROR(__xludf.DUMMYFUNCTION("""COMPUTED_VALUE"""),"Salão / Delivery")</f>
        <v>Salão / Delivery</v>
      </c>
      <c r="AL119" s="4" t="str">
        <f>IFERROR(__xludf.DUMMYFUNCTION("""COMPUTED_VALUE"""),"Sim")</f>
        <v>Sim</v>
      </c>
      <c r="AM119" s="4" t="str">
        <f>IFERROR(__xludf.DUMMYFUNCTION("""COMPUTED_VALUE"""),"FY27")</f>
        <v>FY27</v>
      </c>
      <c r="AN119" s="4"/>
      <c r="AO119" s="4">
        <f>IFERROR(__xludf.DUMMYFUNCTION("""COMPUTED_VALUE"""),90.0)</f>
        <v>90</v>
      </c>
      <c r="AP119" s="4" t="str">
        <f>IFERROR(__xludf.DUMMYFUNCTION("""COMPUTED_VALUE"""),"MG")</f>
        <v>MG</v>
      </c>
      <c r="AQ119" s="4" t="str">
        <f>IFERROR(__xludf.DUMMYFUNCTION("""COMPUTED_VALUE"""),"JOAO BAR")</f>
        <v>JOAO BAR</v>
      </c>
      <c r="AR119" s="4" t="str">
        <f>IFERROR(__xludf.DUMMYFUNCTION("""COMPUTED_VALUE"""),"LEONARDO NEVES")</f>
        <v>LEONARDO NEVES</v>
      </c>
      <c r="AS119" s="4" t="str">
        <f>IFERROR(__xludf.DUMMYFUNCTION("""COMPUTED_VALUE"""),"FABIO DONATO")</f>
        <v>FABIO DONATO</v>
      </c>
      <c r="AT119" s="4" t="str">
        <f>IFERROR(__xludf.DUMMYFUNCTION("""COMPUTED_VALUE"""),"GILSON JUNIOR")</f>
        <v>GILSON JUNIOR</v>
      </c>
      <c r="AU119" s="4">
        <f>IFERROR(__xludf.DUMMYFUNCTION("""COMPUTED_VALUE"""),0.0)</f>
        <v>0</v>
      </c>
      <c r="AV119" s="4">
        <f>IFERROR(__xludf.DUMMYFUNCTION("""COMPUTED_VALUE"""),0.0)</f>
        <v>0</v>
      </c>
      <c r="AW119" s="4">
        <f>IFERROR(__xludf.DUMMYFUNCTION("""COMPUTED_VALUE"""),0.0)</f>
        <v>0</v>
      </c>
      <c r="AX119" s="4">
        <f>IFERROR(__xludf.DUMMYFUNCTION("""COMPUTED_VALUE"""),0.0)</f>
        <v>0</v>
      </c>
      <c r="AY119" s="4"/>
      <c r="AZ119" s="4" t="str">
        <f>IFERROR(__xludf.DUMMYFUNCTION("""COMPUTED_VALUE"""),"Saudável")</f>
        <v>Saudável</v>
      </c>
      <c r="BA119" s="4">
        <f>IFERROR(__xludf.DUMMYFUNCTION("""COMPUTED_VALUE"""),119.0)</f>
        <v>119</v>
      </c>
      <c r="BB119" s="4" t="str">
        <f>IFERROR(__xludf.DUMMYFUNCTION("""COMPUTED_VALUE"""),"Grupo Multi-marca")</f>
        <v>Grupo Multi-marca</v>
      </c>
      <c r="BC119" s="4" t="str">
        <f>IFERROR(__xludf.DUMMYFUNCTION("""COMPUTED_VALUE"""),"Centro-Oeste")</f>
        <v>Centro-Oeste</v>
      </c>
      <c r="BD119" s="4" t="str">
        <f>IFERROR(__xludf.DUMMYFUNCTION("""COMPUTED_VALUE"""),"Dado não disponível publicamente - Necessário Discovery")</f>
        <v>Dado não disponível publicamente - Necessário Discovery</v>
      </c>
      <c r="BE119" s="4">
        <f>IFERROR(__xludf.DUMMYFUNCTION("""COMPUTED_VALUE"""),40.0)</f>
        <v>40</v>
      </c>
      <c r="BF119" s="4">
        <f>IFERROR(__xludf.DUMMYFUNCTION("""COMPUTED_VALUE"""),0.55)</f>
        <v>0.55</v>
      </c>
      <c r="BG119"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119" s="4" t="s">
        <v>64</v>
      </c>
      <c r="BI119" s="7">
        <v>0.603448275862069</v>
      </c>
    </row>
    <row r="120" hidden="1">
      <c r="A120" s="4" t="str">
        <f>IFERROR(__xludf.DUMMYFUNCTION("""COMPUTED_VALUE"""),"GRUPO SALAD BOWL")</f>
        <v>GRUPO SALAD BOWL</v>
      </c>
      <c r="B120" s="4" t="str">
        <f>IFERROR(__xludf.DUMMYFUNCTION("""COMPUTED_VALUE"""),"Lídia Esteves")</f>
        <v>Lídia Esteves</v>
      </c>
      <c r="C120" s="4" t="str">
        <f>IFERROR(__xludf.DUMMYFUNCTION("""COMPUTED_VALUE"""),"Gabriela Roma")</f>
        <v>Gabriela Roma</v>
      </c>
      <c r="D120" s="4" t="str">
        <f>IFERROR(__xludf.DUMMYFUNCTION("""COMPUTED_VALUE"""),"0. Não Iniciado")</f>
        <v>0. Não Iniciado</v>
      </c>
      <c r="E120" s="4"/>
      <c r="F120" s="4" t="str">
        <f>IFERROR(__xludf.DUMMYFUNCTION("""COMPUTED_VALUE"""),"P")</f>
        <v>P</v>
      </c>
      <c r="G120" s="4"/>
      <c r="H120" s="4"/>
      <c r="I120" s="4"/>
      <c r="J120" s="4"/>
      <c r="K120" s="4"/>
      <c r="L120" s="4"/>
      <c r="M120" s="4"/>
      <c r="N120" s="4"/>
      <c r="O120" s="4"/>
      <c r="P120" s="4"/>
      <c r="Q120" s="4"/>
      <c r="R120" s="4"/>
      <c r="S120" s="4"/>
      <c r="T120" s="4"/>
      <c r="U120" s="4"/>
      <c r="V120" s="4"/>
      <c r="W120" s="4"/>
      <c r="X120" s="4"/>
      <c r="Y120" s="4"/>
      <c r="Z120" s="4"/>
      <c r="AA120" s="4">
        <f>IFERROR(__xludf.DUMMYFUNCTION("""COMPUTED_VALUE"""),7.0)</f>
        <v>7</v>
      </c>
      <c r="AB120" s="4" t="str">
        <f>IFERROR(__xludf.DUMMYFUNCTION("""COMPUTED_VALUE"""),"CE")</f>
        <v>CE</v>
      </c>
      <c r="AC120" s="4" t="str">
        <f>IFERROR(__xludf.DUMMYFUNCTION("""COMPUTED_VALUE"""),"Sim")</f>
        <v>Sim</v>
      </c>
      <c r="AD120" s="4" t="str">
        <f>IFERROR(__xludf.DUMMYFUNCTION("""COMPUTED_VALUE"""),"Ifood")</f>
        <v>Ifood</v>
      </c>
      <c r="AE120" s="4"/>
      <c r="AF120" s="4"/>
      <c r="AG120" s="4"/>
      <c r="AH120" s="4"/>
      <c r="AI120" s="4"/>
      <c r="AJ120" s="4"/>
      <c r="AK120" s="4"/>
      <c r="AL120" s="4"/>
      <c r="AM120" s="4" t="str">
        <f>IFERROR(__xludf.DUMMYFUNCTION("""COMPUTED_VALUE"""),"FY27")</f>
        <v>FY27</v>
      </c>
      <c r="AN120" s="4"/>
      <c r="AO120" s="4">
        <f>IFERROR(__xludf.DUMMYFUNCTION("""COMPUTED_VALUE"""),45553.0)</f>
        <v>45553</v>
      </c>
      <c r="AP120" s="4" t="str">
        <f>IFERROR(__xludf.DUMMYFUNCTION("""COMPUTED_VALUE"""),"DF")</f>
        <v>DF</v>
      </c>
      <c r="AQ120" s="4" t="str">
        <f>IFERROR(__xludf.DUMMYFUNCTION("""COMPUTED_VALUE"""),"RAFAEL PEDRO")</f>
        <v>RAFAEL PEDRO</v>
      </c>
      <c r="AR120" s="4" t="str">
        <f>IFERROR(__xludf.DUMMYFUNCTION("""COMPUTED_VALUE"""),"ELISANGELA LOIOLA")</f>
        <v>ELISANGELA LOIOLA</v>
      </c>
      <c r="AS120" s="4" t="str">
        <f>IFERROR(__xludf.DUMMYFUNCTION("""COMPUTED_VALUE"""),"THIAGO ROMAGNOLE")</f>
        <v>THIAGO ROMAGNOLE</v>
      </c>
      <c r="AT120" s="4" t="str">
        <f>IFERROR(__xludf.DUMMYFUNCTION("""COMPUTED_VALUE"""),"PAULO MODESTO")</f>
        <v>PAULO MODESTO</v>
      </c>
      <c r="AU120" s="4">
        <f>IFERROR(__xludf.DUMMYFUNCTION("""COMPUTED_VALUE"""),0.0)</f>
        <v>0</v>
      </c>
      <c r="AV120" s="4">
        <f>IFERROR(__xludf.DUMMYFUNCTION("""COMPUTED_VALUE"""),0.0)</f>
        <v>0</v>
      </c>
      <c r="AW120" s="4">
        <f>IFERROR(__xludf.DUMMYFUNCTION("""COMPUTED_VALUE"""),0.0)</f>
        <v>0</v>
      </c>
      <c r="AX120" s="4">
        <f>IFERROR(__xludf.DUMMYFUNCTION("""COMPUTED_VALUE"""),0.0)</f>
        <v>0</v>
      </c>
      <c r="AY120" s="4"/>
      <c r="AZ120" s="4" t="str">
        <f>IFERROR(__xludf.DUMMYFUNCTION("""COMPUTED_VALUE"""),"Francesa")</f>
        <v>Francesa</v>
      </c>
      <c r="BA120" s="4">
        <f>IFERROR(__xludf.DUMMYFUNCTION("""COMPUTED_VALUE"""),38.0)</f>
        <v>38</v>
      </c>
      <c r="BB120" s="4" t="str">
        <f>IFERROR(__xludf.DUMMYFUNCTION("""COMPUTED_VALUE"""),"Fast Casual - Saladas e Poke")</f>
        <v>Fast Casual - Saladas e Poke</v>
      </c>
      <c r="BC120" s="4" t="str">
        <f>IFERROR(__xludf.DUMMYFUNCTION("""COMPUTED_VALUE"""),"São Paulo/SP e Brasília/DF")</f>
        <v>São Paulo/SP e Brasília/DF</v>
      </c>
      <c r="BD120" s="4" t="str">
        <f>IFERROR(__xludf.DUMMYFUNCTION("""COMPUTED_VALUE"""),"Dado não disponível publicamente - Necessário Discovery")</f>
        <v>Dado não disponível publicamente - Necessário Discovery</v>
      </c>
      <c r="BE120" s="4">
        <f>IFERROR(__xludf.DUMMYFUNCTION("""COMPUTED_VALUE"""),70.0)</f>
        <v>70</v>
      </c>
      <c r="BF120" s="4">
        <f>IFERROR(__xludf.DUMMYFUNCTION("""COMPUTED_VALUE"""),0.75)</f>
        <v>0.75</v>
      </c>
      <c r="BG12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20" s="4" t="s">
        <v>97</v>
      </c>
      <c r="BI120" s="7">
        <v>0.8461538461538461</v>
      </c>
    </row>
    <row r="121" hidden="1">
      <c r="A121" s="4" t="str">
        <f>IFERROR(__xludf.DUMMYFUNCTION("""COMPUTED_VALUE"""),"GRUPO SOHO AM - CONTA PAI")</f>
        <v>GRUPO SOHO AM - CONTA PAI</v>
      </c>
      <c r="B121" s="4" t="str">
        <f>IFERROR(__xludf.DUMMYFUNCTION("""COMPUTED_VALUE"""),"João Biagiotti")</f>
        <v>João Biagiotti</v>
      </c>
      <c r="C121" s="4" t="str">
        <f>IFERROR(__xludf.DUMMYFUNCTION("""COMPUTED_VALUE"""),"Diego Santos")</f>
        <v>Diego Santos</v>
      </c>
      <c r="D121" s="4" t="str">
        <f>IFERROR(__xludf.DUMMYFUNCTION("""COMPUTED_VALUE"""),"0. Não Iniciado")</f>
        <v>0. Não Iniciado</v>
      </c>
      <c r="E121" s="4"/>
      <c r="F121" s="4" t="str">
        <f>IFERROR(__xludf.DUMMYFUNCTION("""COMPUTED_VALUE"""),"P")</f>
        <v>P</v>
      </c>
      <c r="G121" s="4"/>
      <c r="H121" s="4"/>
      <c r="I121" s="4"/>
      <c r="J121" s="4"/>
      <c r="K121" s="4"/>
      <c r="L121" s="4"/>
      <c r="M121" s="4"/>
      <c r="N121" s="4"/>
      <c r="O121" s="4"/>
      <c r="P121" s="4"/>
      <c r="Q121" s="4"/>
      <c r="R121" s="4"/>
      <c r="S121" s="4"/>
      <c r="T121" s="4"/>
      <c r="U121" s="4"/>
      <c r="V121" s="4"/>
      <c r="W121" s="4"/>
      <c r="X121" s="4"/>
      <c r="Y121" s="4"/>
      <c r="Z121" s="4"/>
      <c r="AA121" s="4">
        <f>IFERROR(__xludf.DUMMYFUNCTION("""COMPUTED_VALUE"""),6.0)</f>
        <v>6</v>
      </c>
      <c r="AB121" s="4" t="str">
        <f>IFERROR(__xludf.DUMMYFUNCTION("""COMPUTED_VALUE"""),"CE")</f>
        <v>CE</v>
      </c>
      <c r="AC121" s="4" t="str">
        <f>IFERROR(__xludf.DUMMYFUNCTION("""COMPUTED_VALUE"""),"Sim")</f>
        <v>Sim</v>
      </c>
      <c r="AD121" s="4" t="str">
        <f>IFERROR(__xludf.DUMMYFUNCTION("""COMPUTED_VALUE"""),"Mohatron Ti Web Ltda")</f>
        <v>Mohatron Ti Web Ltda</v>
      </c>
      <c r="AE121" s="4"/>
      <c r="AF121" s="4"/>
      <c r="AG121" s="4"/>
      <c r="AH121" s="4"/>
      <c r="AI121" s="4"/>
      <c r="AJ121" s="4"/>
      <c r="AK121" s="4"/>
      <c r="AL121" s="4"/>
      <c r="AM121" s="4" t="str">
        <f>IFERROR(__xludf.DUMMYFUNCTION("""COMPUTED_VALUE"""),"FY27")</f>
        <v>FY27</v>
      </c>
      <c r="AN121" s="4"/>
      <c r="AO121" s="4">
        <f>IFERROR(__xludf.DUMMYFUNCTION("""COMPUTED_VALUE"""),45553.0)</f>
        <v>45553</v>
      </c>
      <c r="AP121" s="4" t="str">
        <f>IFERROR(__xludf.DUMMYFUNCTION("""COMPUTED_VALUE"""),"AM")</f>
        <v>AM</v>
      </c>
      <c r="AQ121" s="4" t="str">
        <f>IFERROR(__xludf.DUMMYFUNCTION("""COMPUTED_VALUE"""),"RODRIGO MAR")</f>
        <v>RODRIGO MAR</v>
      </c>
      <c r="AR121" s="4" t="str">
        <f>IFERROR(__xludf.DUMMYFUNCTION("""COMPUTED_VALUE"""),"RAFAEL BARROSO")</f>
        <v>RAFAEL BARROSO</v>
      </c>
      <c r="AS121" s="4" t="str">
        <f>IFERROR(__xludf.DUMMYFUNCTION("""COMPUTED_VALUE"""),"THIAGO ROMAGNOLE")</f>
        <v>THIAGO ROMAGNOLE</v>
      </c>
      <c r="AT121" s="4" t="str">
        <f>IFERROR(__xludf.DUMMYFUNCTION("""COMPUTED_VALUE"""),"PAULO MODESTO")</f>
        <v>PAULO MODESTO</v>
      </c>
      <c r="AU121" s="4">
        <f>IFERROR(__xludf.DUMMYFUNCTION("""COMPUTED_VALUE"""),0.0)</f>
        <v>0</v>
      </c>
      <c r="AV121" s="4">
        <f>IFERROR(__xludf.DUMMYFUNCTION("""COMPUTED_VALUE"""),0.0)</f>
        <v>0</v>
      </c>
      <c r="AW121" s="4">
        <f>IFERROR(__xludf.DUMMYFUNCTION("""COMPUTED_VALUE"""),0.0)</f>
        <v>0</v>
      </c>
      <c r="AX121" s="4">
        <f>IFERROR(__xludf.DUMMYFUNCTION("""COMPUTED_VALUE"""),0.0)</f>
        <v>0</v>
      </c>
      <c r="AY121" s="4"/>
      <c r="AZ121" s="4" t="str">
        <f>IFERROR(__xludf.DUMMYFUNCTION("""COMPUTED_VALUE"""),"Japonesa")</f>
        <v>Japonesa</v>
      </c>
      <c r="BA121" s="4">
        <f>IFERROR(__xludf.DUMMYFUNCTION("""COMPUTED_VALUE"""),110.0)</f>
        <v>110</v>
      </c>
      <c r="BB121" s="4" t="str">
        <f>IFERROR(__xludf.DUMMYFUNCTION("""COMPUTED_VALUE"""),"Grupo Multi-marca")</f>
        <v>Grupo Multi-marca</v>
      </c>
      <c r="BC121" s="4" t="str">
        <f>IFERROR(__xludf.DUMMYFUNCTION("""COMPUTED_VALUE"""),"Brasília/DF")</f>
        <v>Brasília/DF</v>
      </c>
      <c r="BD121" s="4" t="str">
        <f>IFERROR(__xludf.DUMMYFUNCTION("""COMPUTED_VALUE"""),"Dado não disponível publicamente - Necessário Discovery")</f>
        <v>Dado não disponível publicamente - Necessário Discovery</v>
      </c>
      <c r="BE121" s="4">
        <f>IFERROR(__xludf.DUMMYFUNCTION("""COMPUTED_VALUE"""),40.0)</f>
        <v>40</v>
      </c>
      <c r="BF121" s="4">
        <f>IFERROR(__xludf.DUMMYFUNCTION("""COMPUTED_VALUE"""),0.55)</f>
        <v>0.55</v>
      </c>
      <c r="BG121"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121" s="4" t="s">
        <v>98</v>
      </c>
      <c r="BI121" s="7">
        <v>0.7857142857142857</v>
      </c>
    </row>
    <row r="122" hidden="1">
      <c r="A122" s="4" t="str">
        <f>IFERROR(__xludf.DUMMYFUNCTION("""COMPUTED_VALUE"""),"GRUPO TUNA")</f>
        <v>GRUPO TUNA</v>
      </c>
      <c r="B122" s="4" t="str">
        <f>IFERROR(__xludf.DUMMYFUNCTION("""COMPUTED_VALUE"""),"João Biagiotti")</f>
        <v>João Biagiotti</v>
      </c>
      <c r="C122" s="4" t="str">
        <f>IFERROR(__xludf.DUMMYFUNCTION("""COMPUTED_VALUE"""),"Diego Santos")</f>
        <v>Diego Santos</v>
      </c>
      <c r="D122" s="4" t="str">
        <f>IFERROR(__xludf.DUMMYFUNCTION("""COMPUTED_VALUE"""),"0. Não Iniciado")</f>
        <v>0. Não Iniciado</v>
      </c>
      <c r="E122" s="4"/>
      <c r="F122" s="4" t="str">
        <f>IFERROR(__xludf.DUMMYFUNCTION("""COMPUTED_VALUE"""),"P")</f>
        <v>P</v>
      </c>
      <c r="G122" s="4"/>
      <c r="H122" s="4"/>
      <c r="I122" s="4"/>
      <c r="J122" s="4"/>
      <c r="K122" s="4"/>
      <c r="L122" s="4"/>
      <c r="M122" s="4"/>
      <c r="N122" s="4"/>
      <c r="O122" s="4"/>
      <c r="P122" s="4"/>
      <c r="Q122" s="4"/>
      <c r="R122" s="4"/>
      <c r="S122" s="4"/>
      <c r="T122" s="4"/>
      <c r="U122" s="4"/>
      <c r="V122" s="4"/>
      <c r="W122" s="4"/>
      <c r="X122" s="4"/>
      <c r="Y122" s="4"/>
      <c r="Z122" s="4"/>
      <c r="AA122" s="4">
        <f>IFERROR(__xludf.DUMMYFUNCTION("""COMPUTED_VALUE"""),5.0)</f>
        <v>5</v>
      </c>
      <c r="AB122" s="4" t="str">
        <f>IFERROR(__xludf.DUMMYFUNCTION("""COMPUTED_VALUE"""),"CE")</f>
        <v>CE</v>
      </c>
      <c r="AC122" s="4" t="str">
        <f>IFERROR(__xludf.DUMMYFUNCTION("""COMPUTED_VALUE"""),"Sim")</f>
        <v>Sim</v>
      </c>
      <c r="AD122" s="4">
        <f>IFERROR(__xludf.DUMMYFUNCTION("""COMPUTED_VALUE"""),0.0)</f>
        <v>0</v>
      </c>
      <c r="AE122" s="4"/>
      <c r="AF122" s="4"/>
      <c r="AG122" s="4"/>
      <c r="AH122" s="4"/>
      <c r="AI122" s="4"/>
      <c r="AJ122" s="4"/>
      <c r="AK122" s="4"/>
      <c r="AL122" s="4"/>
      <c r="AM122" s="4" t="str">
        <f>IFERROR(__xludf.DUMMYFUNCTION("""COMPUTED_VALUE"""),"FY27")</f>
        <v>FY27</v>
      </c>
      <c r="AN122" s="4"/>
      <c r="AO122" s="4">
        <f>IFERROR(__xludf.DUMMYFUNCTION("""COMPUTED_VALUE"""),45553.0)</f>
        <v>45553</v>
      </c>
      <c r="AP122" s="4" t="str">
        <f>IFERROR(__xludf.DUMMYFUNCTION("""COMPUTED_VALUE"""),"SE")</f>
        <v>SE</v>
      </c>
      <c r="AQ122" s="4" t="str">
        <f>IFERROR(__xludf.DUMMYFUNCTION("""COMPUTED_VALUE"""),"JORGE VINICIUS")</f>
        <v>JORGE VINICIUS</v>
      </c>
      <c r="AR122" s="4" t="str">
        <f>IFERROR(__xludf.DUMMYFUNCTION("""COMPUTED_VALUE"""),"MATTOS BRUNA")</f>
        <v>MATTOS BRUNA</v>
      </c>
      <c r="AS122" s="4" t="str">
        <f>IFERROR(__xludf.DUMMYFUNCTION("""COMPUTED_VALUE"""),"THIAGO ROMAGNOLE")</f>
        <v>THIAGO ROMAGNOLE</v>
      </c>
      <c r="AT122" s="4" t="str">
        <f>IFERROR(__xludf.DUMMYFUNCTION("""COMPUTED_VALUE"""),"ANDERSON LAUREANO")</f>
        <v>ANDERSON LAUREANO</v>
      </c>
      <c r="AU122" s="4">
        <f>IFERROR(__xludf.DUMMYFUNCTION("""COMPUTED_VALUE"""),0.0)</f>
        <v>0</v>
      </c>
      <c r="AV122" s="4">
        <f>IFERROR(__xludf.DUMMYFUNCTION("""COMPUTED_VALUE"""),0.0)</f>
        <v>0</v>
      </c>
      <c r="AW122" s="4">
        <f>IFERROR(__xludf.DUMMYFUNCTION("""COMPUTED_VALUE"""),0.0)</f>
        <v>0</v>
      </c>
      <c r="AX122" s="4">
        <f>IFERROR(__xludf.DUMMYFUNCTION("""COMPUTED_VALUE"""),0.0)</f>
        <v>0</v>
      </c>
      <c r="AY122" s="4"/>
      <c r="AZ122" s="4" t="str">
        <f>IFERROR(__xludf.DUMMYFUNCTION("""COMPUTED_VALUE"""),"Hambúrguer")</f>
        <v>Hambúrguer</v>
      </c>
      <c r="BA122" s="4">
        <f>IFERROR(__xludf.DUMMYFUNCTION("""COMPUTED_VALUE"""),98.0)</f>
        <v>98</v>
      </c>
      <c r="BB122" s="4" t="str">
        <f>IFERROR(__xludf.DUMMYFUNCTION("""COMPUTED_VALUE"""),"Grupo Multi-marca")</f>
        <v>Grupo Multi-marca</v>
      </c>
      <c r="BC122" s="4" t="str">
        <f>IFERROR(__xludf.DUMMYFUNCTION("""COMPUTED_VALUE"""),"Rio de Janeiro/RJ")</f>
        <v>Rio de Janeiro/RJ</v>
      </c>
      <c r="BD122" s="4" t="str">
        <f>IFERROR(__xludf.DUMMYFUNCTION("""COMPUTED_VALUE"""),"Dado não disponível publicamente - Necessário Discovery")</f>
        <v>Dado não disponível publicamente - Necessário Discovery</v>
      </c>
      <c r="BE122" s="4">
        <f>IFERROR(__xludf.DUMMYFUNCTION("""COMPUTED_VALUE"""),45.0)</f>
        <v>45</v>
      </c>
      <c r="BF122" s="4">
        <f>IFERROR(__xludf.DUMMYFUNCTION("""COMPUTED_VALUE"""),0.55)</f>
        <v>0.55</v>
      </c>
      <c r="BG122"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122" s="4" t="s">
        <v>63</v>
      </c>
      <c r="BI122" s="7" t="s">
        <v>63</v>
      </c>
    </row>
    <row r="123" hidden="1">
      <c r="A123" s="4" t="str">
        <f>IFERROR(__xludf.DUMMYFUNCTION("""COMPUTED_VALUE"""),"HAJIME SUSHI")</f>
        <v>HAJIME SUSHI</v>
      </c>
      <c r="B123" s="4" t="str">
        <f>IFERROR(__xludf.DUMMYFUNCTION("""COMPUTED_VALUE"""),"João Biagiotti")</f>
        <v>João Biagiotti</v>
      </c>
      <c r="C123" s="4" t="str">
        <f>IFERROR(__xludf.DUMMYFUNCTION("""COMPUTED_VALUE"""),"Diego Santos")</f>
        <v>Diego Santos</v>
      </c>
      <c r="D123" s="4" t="str">
        <f>IFERROR(__xludf.DUMMYFUNCTION("""COMPUTED_VALUE"""),"0. Não Iniciado")</f>
        <v>0. Não Iniciado</v>
      </c>
      <c r="E123" s="4"/>
      <c r="F123" s="4" t="str">
        <f>IFERROR(__xludf.DUMMYFUNCTION("""COMPUTED_VALUE"""),"P")</f>
        <v>P</v>
      </c>
      <c r="G123" s="4"/>
      <c r="H123" s="4"/>
      <c r="I123" s="4"/>
      <c r="J123" s="4"/>
      <c r="K123" s="4"/>
      <c r="L123" s="4"/>
      <c r="M123" s="4"/>
      <c r="N123" s="4"/>
      <c r="O123" s="4"/>
      <c r="P123" s="4"/>
      <c r="Q123" s="4"/>
      <c r="R123" s="4"/>
      <c r="S123" s="4"/>
      <c r="T123" s="4"/>
      <c r="U123" s="4"/>
      <c r="V123" s="4"/>
      <c r="W123" s="4"/>
      <c r="X123" s="4"/>
      <c r="Y123" s="4"/>
      <c r="Z123" s="4"/>
      <c r="AA123" s="4">
        <f>IFERROR(__xludf.DUMMYFUNCTION("""COMPUTED_VALUE"""),11.0)</f>
        <v>11</v>
      </c>
      <c r="AB123" s="4" t="str">
        <f>IFERROR(__xludf.DUMMYFUNCTION("""COMPUTED_VALUE"""),"CE")</f>
        <v>CE</v>
      </c>
      <c r="AC123" s="4" t="str">
        <f>IFERROR(__xludf.DUMMYFUNCTION("""COMPUTED_VALUE"""),"Sim")</f>
        <v>Sim</v>
      </c>
      <c r="AD123" s="4" t="str">
        <f>IFERROR(__xludf.DUMMYFUNCTION("""COMPUTED_VALUE"""),"Ifood")</f>
        <v>Ifood</v>
      </c>
      <c r="AE123" s="4"/>
      <c r="AF123" s="4"/>
      <c r="AG123" s="4"/>
      <c r="AH123" s="4"/>
      <c r="AI123" s="4"/>
      <c r="AJ123" s="4"/>
      <c r="AK123" s="4"/>
      <c r="AL123" s="4"/>
      <c r="AM123" s="4" t="str">
        <f>IFERROR(__xludf.DUMMYFUNCTION("""COMPUTED_VALUE"""),"FY27")</f>
        <v>FY27</v>
      </c>
      <c r="AN123" s="4"/>
      <c r="AO123" s="4">
        <f>IFERROR(__xludf.DUMMYFUNCTION("""COMPUTED_VALUE"""),45553.0)</f>
        <v>45553</v>
      </c>
      <c r="AP123" s="4" t="str">
        <f>IFERROR(__xludf.DUMMYFUNCTION("""COMPUTED_VALUE"""),"SP")</f>
        <v>SP</v>
      </c>
      <c r="AQ123" s="4" t="str">
        <f>IFERROR(__xludf.DUMMYFUNCTION("""COMPUTED_VALUE"""),"RODRIGO ALBANESE")</f>
        <v>RODRIGO ALBANESE</v>
      </c>
      <c r="AR123" s="4" t="str">
        <f>IFERROR(__xludf.DUMMYFUNCTION("""COMPUTED_VALUE"""),"FELIPE SAMPIETRO")</f>
        <v>FELIPE SAMPIETRO</v>
      </c>
      <c r="AS123" s="4" t="str">
        <f>IFERROR(__xludf.DUMMYFUNCTION("""COMPUTED_VALUE"""),"NATHALIE MERTENS")</f>
        <v>NATHALIE MERTENS</v>
      </c>
      <c r="AT123" s="4" t="str">
        <f>IFERROR(__xludf.DUMMYFUNCTION("""COMPUTED_VALUE"""),"MATHEUS LESSA")</f>
        <v>MATHEUS LESSA</v>
      </c>
      <c r="AU123" s="4">
        <f>IFERROR(__xludf.DUMMYFUNCTION("""COMPUTED_VALUE"""),0.0)</f>
        <v>0</v>
      </c>
      <c r="AV123" s="4">
        <f>IFERROR(__xludf.DUMMYFUNCTION("""COMPUTED_VALUE"""),0.0)</f>
        <v>0</v>
      </c>
      <c r="AW123" s="4">
        <f>IFERROR(__xludf.DUMMYFUNCTION("""COMPUTED_VALUE"""),0.0)</f>
        <v>0</v>
      </c>
      <c r="AX123" s="4">
        <f>IFERROR(__xludf.DUMMYFUNCTION("""COMPUTED_VALUE"""),0.0)</f>
        <v>0</v>
      </c>
      <c r="AY123" s="4" t="str">
        <f>IFERROR(__xludf.DUMMYFUNCTION("""COMPUTED_VALUE"""),"Hubster")</f>
        <v>Hubster</v>
      </c>
      <c r="AZ123" s="4" t="str">
        <f>IFERROR(__xludf.DUMMYFUNCTION("""COMPUTED_VALUE"""),"Japonesa")</f>
        <v>Japonesa</v>
      </c>
      <c r="BA123" s="4">
        <f>IFERROR(__xludf.DUMMYFUNCTION("""COMPUTED_VALUE"""),88.0)</f>
        <v>88</v>
      </c>
      <c r="BB123" s="4" t="str">
        <f>IFERROR(__xludf.DUMMYFUNCTION("""COMPUTED_VALUE"""),"Fast Casual - Japonesa")</f>
        <v>Fast Casual - Japonesa</v>
      </c>
      <c r="BC123" s="4" t="str">
        <f>IFERROR(__xludf.DUMMYFUNCTION("""COMPUTED_VALUE"""),"Brasília/DF")</f>
        <v>Brasília/DF</v>
      </c>
      <c r="BD123" s="4" t="str">
        <f>IFERROR(__xludf.DUMMYFUNCTION("""COMPUTED_VALUE"""),"Dado não disponível publicamente - Necessário Discovery")</f>
        <v>Dado não disponível publicamente - Necessário Discovery</v>
      </c>
      <c r="BE123" s="4">
        <f>IFERROR(__xludf.DUMMYFUNCTION("""COMPUTED_VALUE"""),70.0)</f>
        <v>70</v>
      </c>
      <c r="BF123" s="4">
        <f>IFERROR(__xludf.DUMMYFUNCTION("""COMPUTED_VALUE"""),0.8)</f>
        <v>0.8</v>
      </c>
      <c r="BG123"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123" s="4" t="s">
        <v>76</v>
      </c>
      <c r="BI123" s="7">
        <v>0.35714285714285715</v>
      </c>
    </row>
    <row r="124" hidden="1">
      <c r="A124" s="4" t="str">
        <f>IFERROR(__xludf.DUMMYFUNCTION("""COMPUTED_VALUE"""),"HASHI EXPRESS")</f>
        <v>HASHI EXPRESS</v>
      </c>
      <c r="B124" s="4" t="str">
        <f>IFERROR(__xludf.DUMMYFUNCTION("""COMPUTED_VALUE"""),"João Biagiotti")</f>
        <v>João Biagiotti</v>
      </c>
      <c r="C124" s="4" t="str">
        <f>IFERROR(__xludf.DUMMYFUNCTION("""COMPUTED_VALUE"""),"Diego Santos")</f>
        <v>Diego Santos</v>
      </c>
      <c r="D124" s="4" t="str">
        <f>IFERROR(__xludf.DUMMYFUNCTION("""COMPUTED_VALUE"""),"0. Não Iniciado")</f>
        <v>0. Não Iniciado</v>
      </c>
      <c r="E124" s="4"/>
      <c r="F124" s="4" t="str">
        <f>IFERROR(__xludf.DUMMYFUNCTION("""COMPUTED_VALUE"""),"P")</f>
        <v>P</v>
      </c>
      <c r="G124" s="4"/>
      <c r="H124" s="4"/>
      <c r="I124" s="4"/>
      <c r="J124" s="4"/>
      <c r="K124" s="4"/>
      <c r="L124" s="4"/>
      <c r="M124" s="4"/>
      <c r="N124" s="4"/>
      <c r="O124" s="4"/>
      <c r="P124" s="4"/>
      <c r="Q124" s="4"/>
      <c r="R124" s="4"/>
      <c r="S124" s="4"/>
      <c r="T124" s="4"/>
      <c r="U124" s="4"/>
      <c r="V124" s="4"/>
      <c r="W124" s="4"/>
      <c r="X124" s="4"/>
      <c r="Y124" s="4"/>
      <c r="Z124" s="4"/>
      <c r="AA124" s="4">
        <f>IFERROR(__xludf.DUMMYFUNCTION("""COMPUTED_VALUE"""),10.0)</f>
        <v>10</v>
      </c>
      <c r="AB124" s="4" t="str">
        <f>IFERROR(__xludf.DUMMYFUNCTION("""COMPUTED_VALUE"""),"CE")</f>
        <v>CE</v>
      </c>
      <c r="AC124" s="4" t="str">
        <f>IFERROR(__xludf.DUMMYFUNCTION("""COMPUTED_VALUE"""),"Sim")</f>
        <v>Sim</v>
      </c>
      <c r="AD124" s="4" t="str">
        <f>IFERROR(__xludf.DUMMYFUNCTION("""COMPUTED_VALUE"""),"Ifood")</f>
        <v>Ifood</v>
      </c>
      <c r="AE124" s="4"/>
      <c r="AF124" s="4"/>
      <c r="AG124" s="4"/>
      <c r="AH124" s="4"/>
      <c r="AI124" s="4"/>
      <c r="AJ124" s="4"/>
      <c r="AK124" s="4"/>
      <c r="AL124" s="4"/>
      <c r="AM124" s="4" t="str">
        <f>IFERROR(__xludf.DUMMYFUNCTION("""COMPUTED_VALUE"""),"FY27")</f>
        <v>FY27</v>
      </c>
      <c r="AN124" s="4"/>
      <c r="AO124" s="4">
        <f>IFERROR(__xludf.DUMMYFUNCTION("""COMPUTED_VALUE"""),45553.0)</f>
        <v>45553</v>
      </c>
      <c r="AP124" s="4" t="str">
        <f>IFERROR(__xludf.DUMMYFUNCTION("""COMPUTED_VALUE"""),"SP")</f>
        <v>SP</v>
      </c>
      <c r="AQ124" s="4" t="str">
        <f>IFERROR(__xludf.DUMMYFUNCTION("""COMPUTED_VALUE"""),"LAURA APOLINARIO")</f>
        <v>LAURA APOLINARIO</v>
      </c>
      <c r="AR124" s="4" t="str">
        <f>IFERROR(__xludf.DUMMYFUNCTION("""COMPUTED_VALUE"""),"VINICIUS LEITE")</f>
        <v>VINICIUS LEITE</v>
      </c>
      <c r="AS124" s="4" t="str">
        <f>IFERROR(__xludf.DUMMYFUNCTION("""COMPUTED_VALUE"""),"ALAN HADDAD")</f>
        <v>ALAN HADDAD</v>
      </c>
      <c r="AT124" s="4" t="str">
        <f>IFERROR(__xludf.DUMMYFUNCTION("""COMPUTED_VALUE"""),"GABRIEL PERES")</f>
        <v>GABRIEL PERES</v>
      </c>
      <c r="AU124" s="4">
        <f>IFERROR(__xludf.DUMMYFUNCTION("""COMPUTED_VALUE"""),0.0)</f>
        <v>0</v>
      </c>
      <c r="AV124" s="4">
        <f>IFERROR(__xludf.DUMMYFUNCTION("""COMPUTED_VALUE"""),0.0)</f>
        <v>0</v>
      </c>
      <c r="AW124" s="4">
        <f>IFERROR(__xludf.DUMMYFUNCTION("""COMPUTED_VALUE"""),0.0)</f>
        <v>0</v>
      </c>
      <c r="AX124" s="4">
        <f>IFERROR(__xludf.DUMMYFUNCTION("""COMPUTED_VALUE"""),0.0)</f>
        <v>0</v>
      </c>
      <c r="AY124" s="4"/>
      <c r="AZ124" s="4" t="str">
        <f>IFERROR(__xludf.DUMMYFUNCTION("""COMPUTED_VALUE"""),"Japonesa")</f>
        <v>Japonesa</v>
      </c>
      <c r="BA124" s="4">
        <f>IFERROR(__xludf.DUMMYFUNCTION("""COMPUTED_VALUE"""),90.0)</f>
        <v>90</v>
      </c>
      <c r="BB124" s="4" t="str">
        <f>IFERROR(__xludf.DUMMYFUNCTION("""COMPUTED_VALUE"""),"Fast Casual - Japonesa")</f>
        <v>Fast Casual - Japonesa</v>
      </c>
      <c r="BC124" s="4" t="str">
        <f>IFERROR(__xludf.DUMMYFUNCTION("""COMPUTED_VALUE"""),"Rio de Janeiro/RJ")</f>
        <v>Rio de Janeiro/RJ</v>
      </c>
      <c r="BD124" s="4" t="str">
        <f>IFERROR(__xludf.DUMMYFUNCTION("""COMPUTED_VALUE"""),"Dado não disponível publicamente - Necessário Discovery")</f>
        <v>Dado não disponível publicamente - Necessário Discovery</v>
      </c>
      <c r="BE124" s="4">
        <f>IFERROR(__xludf.DUMMYFUNCTION("""COMPUTED_VALUE"""),70.0)</f>
        <v>70</v>
      </c>
      <c r="BF124" s="4">
        <f>IFERROR(__xludf.DUMMYFUNCTION("""COMPUTED_VALUE"""),0.75)</f>
        <v>0.75</v>
      </c>
      <c r="BG12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24" s="4" t="s">
        <v>63</v>
      </c>
      <c r="BI124" s="7" t="s">
        <v>63</v>
      </c>
    </row>
    <row r="125" hidden="1">
      <c r="A125" s="4" t="str">
        <f>IFERROR(__xludf.DUMMYFUNCTION("""COMPUTED_VALUE"""),"HOLY PIZZA FORTALEZA")</f>
        <v>HOLY PIZZA FORTALEZA</v>
      </c>
      <c r="B125" s="4" t="str">
        <f>IFERROR(__xludf.DUMMYFUNCTION("""COMPUTED_VALUE"""),"João Biagiotti")</f>
        <v>João Biagiotti</v>
      </c>
      <c r="C125" s="4" t="str">
        <f>IFERROR(__xludf.DUMMYFUNCTION("""COMPUTED_VALUE"""),"Diego Santos")</f>
        <v>Diego Santos</v>
      </c>
      <c r="D125" s="4" t="str">
        <f>IFERROR(__xludf.DUMMYFUNCTION("""COMPUTED_VALUE"""),"0. Não Iniciado")</f>
        <v>0. Não Iniciado</v>
      </c>
      <c r="E125" s="4"/>
      <c r="F125" s="4" t="str">
        <f>IFERROR(__xludf.DUMMYFUNCTION("""COMPUTED_VALUE"""),"P")</f>
        <v>P</v>
      </c>
      <c r="G125" s="4"/>
      <c r="H125" s="4"/>
      <c r="I125" s="4"/>
      <c r="J125" s="4"/>
      <c r="K125" s="4"/>
      <c r="L125" s="4"/>
      <c r="M125" s="4"/>
      <c r="N125" s="4"/>
      <c r="O125" s="4"/>
      <c r="P125" s="4"/>
      <c r="Q125" s="4"/>
      <c r="R125" s="4"/>
      <c r="S125" s="4"/>
      <c r="T125" s="4"/>
      <c r="U125" s="4"/>
      <c r="V125" s="4"/>
      <c r="W125" s="4"/>
      <c r="X125" s="4"/>
      <c r="Y125" s="4"/>
      <c r="Z125" s="4"/>
      <c r="AA125" s="4">
        <f>IFERROR(__xludf.DUMMYFUNCTION("""COMPUTED_VALUE"""),6.0)</f>
        <v>6</v>
      </c>
      <c r="AB125" s="4" t="str">
        <f>IFERROR(__xludf.DUMMYFUNCTION("""COMPUTED_VALUE"""),"CE")</f>
        <v>CE</v>
      </c>
      <c r="AC125" s="4" t="str">
        <f>IFERROR(__xludf.DUMMYFUNCTION("""COMPUTED_VALUE"""),"Sim")</f>
        <v>Sim</v>
      </c>
      <c r="AD125" s="4" t="str">
        <f>IFERROR(__xludf.DUMMYFUNCTION("""COMPUTED_VALUE"""),"N/A (Not found)")</f>
        <v>N/A (Not found)</v>
      </c>
      <c r="AE125" s="4"/>
      <c r="AF125" s="4"/>
      <c r="AG125" s="4"/>
      <c r="AH125" s="4"/>
      <c r="AI125" s="4"/>
      <c r="AJ125" s="4"/>
      <c r="AK125" s="4"/>
      <c r="AL125" s="4"/>
      <c r="AM125" s="4" t="str">
        <f>IFERROR(__xludf.DUMMYFUNCTION("""COMPUTED_VALUE"""),"FY27")</f>
        <v>FY27</v>
      </c>
      <c r="AN125" s="4"/>
      <c r="AO125" s="4">
        <f>IFERROR(__xludf.DUMMYFUNCTION("""COMPUTED_VALUE"""),45553.0)</f>
        <v>45553</v>
      </c>
      <c r="AP125" s="4" t="str">
        <f>IFERROR(__xludf.DUMMYFUNCTION("""COMPUTED_VALUE"""),"CE")</f>
        <v>CE</v>
      </c>
      <c r="AQ125" s="4" t="str">
        <f>IFERROR(__xludf.DUMMYFUNCTION("""COMPUTED_VALUE"""),"FABIO MAKARON")</f>
        <v>FABIO MAKARON</v>
      </c>
      <c r="AR125" s="4" t="str">
        <f>IFERROR(__xludf.DUMMYFUNCTION("""COMPUTED_VALUE"""),"AMANDA FRIGO")</f>
        <v>AMANDA FRIGO</v>
      </c>
      <c r="AS125" s="4" t="str">
        <f>IFERROR(__xludf.DUMMYFUNCTION("""COMPUTED_VALUE"""),"THIAGO ROMAGNOLE")</f>
        <v>THIAGO ROMAGNOLE</v>
      </c>
      <c r="AT125" s="4" t="str">
        <f>IFERROR(__xludf.DUMMYFUNCTION("""COMPUTED_VALUE"""),"EDUARDO VAZ")</f>
        <v>EDUARDO VAZ</v>
      </c>
      <c r="AU125" s="4">
        <f>IFERROR(__xludf.DUMMYFUNCTION("""COMPUTED_VALUE"""),0.0)</f>
        <v>0</v>
      </c>
      <c r="AV125" s="4">
        <f>IFERROR(__xludf.DUMMYFUNCTION("""COMPUTED_VALUE"""),0.0)</f>
        <v>0</v>
      </c>
      <c r="AW125" s="4">
        <f>IFERROR(__xludf.DUMMYFUNCTION("""COMPUTED_VALUE"""),0.0)</f>
        <v>0</v>
      </c>
      <c r="AX125" s="4">
        <f>IFERROR(__xludf.DUMMYFUNCTION("""COMPUTED_VALUE"""),0.0)</f>
        <v>0</v>
      </c>
      <c r="AY125" s="4"/>
      <c r="AZ125" s="4" t="str">
        <f>IFERROR(__xludf.DUMMYFUNCTION("""COMPUTED_VALUE"""),"Lanches")</f>
        <v>Lanches</v>
      </c>
      <c r="BA125" s="4">
        <f>IFERROR(__xludf.DUMMYFUNCTION("""COMPUTED_VALUE"""),72.0)</f>
        <v>72</v>
      </c>
      <c r="BB125" s="4" t="str">
        <f>IFERROR(__xludf.DUMMYFUNCTION("""COMPUTED_VALUE"""),"Fast Casual - Pizzaria")</f>
        <v>Fast Casual - Pizzaria</v>
      </c>
      <c r="BC125" s="4" t="str">
        <f>IFERROR(__xludf.DUMMYFUNCTION("""COMPUTED_VALUE"""),"Regional")</f>
        <v>Regional</v>
      </c>
      <c r="BD125" s="4" t="str">
        <f>IFERROR(__xludf.DUMMYFUNCTION("""COMPUTED_VALUE"""),"Dado não disponível publicamente - Necessário Discovery")</f>
        <v>Dado não disponível publicamente - Necessário Discovery</v>
      </c>
      <c r="BE125" s="4">
        <f>IFERROR(__xludf.DUMMYFUNCTION("""COMPUTED_VALUE"""),70.0)</f>
        <v>70</v>
      </c>
      <c r="BF125" s="4">
        <f>IFERROR(__xludf.DUMMYFUNCTION("""COMPUTED_VALUE"""),0.75)</f>
        <v>0.75</v>
      </c>
      <c r="BG12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25" s="4" t="s">
        <v>67</v>
      </c>
      <c r="BI125" s="7">
        <v>0.625</v>
      </c>
    </row>
    <row r="126" hidden="1">
      <c r="A126" s="4" t="str">
        <f>IFERROR(__xludf.DUMMYFUNCTION("""COMPUTED_VALUE"""),"HORA DO PASTEL - CONTA MARCA")</f>
        <v>HORA DO PASTEL - CONTA MARCA</v>
      </c>
      <c r="B126" s="4" t="str">
        <f>IFERROR(__xludf.DUMMYFUNCTION("""COMPUTED_VALUE"""),"Lídia Esteves")</f>
        <v>Lídia Esteves</v>
      </c>
      <c r="C126" s="4" t="str">
        <f>IFERROR(__xludf.DUMMYFUNCTION("""COMPUTED_VALUE"""),"Gabriela Roma")</f>
        <v>Gabriela Roma</v>
      </c>
      <c r="D126" s="4" t="str">
        <f>IFERROR(__xludf.DUMMYFUNCTION("""COMPUTED_VALUE"""),"11. Stand by")</f>
        <v>11. Stand by</v>
      </c>
      <c r="E126" s="4" t="str">
        <f>IFERROR(__xludf.DUMMYFUNCTION("""COMPUTED_VALUE"""),"Parceiro - Aguardando retorno / Conciliação agenda")</f>
        <v>Parceiro - Aguardando retorno / Conciliação agenda</v>
      </c>
      <c r="F126" s="4" t="str">
        <f>IFERROR(__xludf.DUMMYFUNCTION("""COMPUTED_VALUE"""),"P")</f>
        <v>P</v>
      </c>
      <c r="G126" s="5">
        <f>IFERROR(__xludf.DUMMYFUNCTION("""COMPUTED_VALUE"""),46139.0)</f>
        <v>46139</v>
      </c>
      <c r="H126" s="4" t="str">
        <f>IFERROR(__xludf.DUMMYFUNCTION("""COMPUTED_VALUE"""),"cliente pediu para procurar no segundo semestre")</f>
        <v>cliente pediu para procurar no segundo semestre</v>
      </c>
      <c r="I126" s="6">
        <f>IFERROR(__xludf.DUMMYFUNCTION("""COMPUTED_VALUE"""),46129.39672784723)</f>
        <v>46129.39673</v>
      </c>
      <c r="J126" s="6">
        <f>IFERROR(__xludf.DUMMYFUNCTION("""COMPUTED_VALUE"""),46129.39677486111)</f>
        <v>46129.39677</v>
      </c>
      <c r="K126" s="4"/>
      <c r="L126" s="4"/>
      <c r="M126" s="4"/>
      <c r="N126" s="4"/>
      <c r="O126" s="4"/>
      <c r="P126" s="4"/>
      <c r="Q126" s="4"/>
      <c r="R126" s="4"/>
      <c r="S126" s="6">
        <f>IFERROR(__xludf.DUMMYFUNCTION("""COMPUTED_VALUE"""),46139.738508078706)</f>
        <v>46139.73851</v>
      </c>
      <c r="T126" s="4"/>
      <c r="U126" s="4"/>
      <c r="V126" s="4" t="str">
        <f>IFERROR(__xludf.DUMMYFUNCTION("""COMPUTED_VALUE"""),"Sem interesse em mudar de PDV")</f>
        <v>Sem interesse em mudar de PDV</v>
      </c>
      <c r="W126" s="4"/>
      <c r="X126" s="4"/>
      <c r="Y126" s="4"/>
      <c r="Z126" s="4"/>
      <c r="AA126" s="4">
        <f>IFERROR(__xludf.DUMMYFUNCTION("""COMPUTED_VALUE"""),23.0)</f>
        <v>23</v>
      </c>
      <c r="AB126" s="4" t="str">
        <f>IFERROR(__xludf.DUMMYFUNCTION("""COMPUTED_VALUE"""),"-")</f>
        <v>-</v>
      </c>
      <c r="AC126" s="4" t="str">
        <f>IFERROR(__xludf.DUMMYFUNCTION("""COMPUTED_VALUE"""),"Sim")</f>
        <v>Sim</v>
      </c>
      <c r="AD126" s="4" t="str">
        <f>IFERROR(__xludf.DUMMYFUNCTION("""COMPUTED_VALUE"""),"Opdv")</f>
        <v>Opdv</v>
      </c>
      <c r="AE126" s="4"/>
      <c r="AF126" s="4"/>
      <c r="AG126" s="4"/>
      <c r="AH126" s="4"/>
      <c r="AI126" s="4"/>
      <c r="AJ126" s="4"/>
      <c r="AK126" s="4"/>
      <c r="AL126" s="4"/>
      <c r="AM126" s="4" t="str">
        <f>IFERROR(__xludf.DUMMYFUNCTION("""COMPUTED_VALUE"""),"FY27")</f>
        <v>FY27</v>
      </c>
      <c r="AN126" s="4"/>
      <c r="AO126" s="4">
        <f>IFERROR(__xludf.DUMMYFUNCTION("""COMPUTED_VALUE"""),76.0)</f>
        <v>76</v>
      </c>
      <c r="AP126" s="4" t="str">
        <f>IFERROR(__xludf.DUMMYFUNCTION("""COMPUTED_VALUE"""),"RS")</f>
        <v>RS</v>
      </c>
      <c r="AQ126" s="4" t="str">
        <f>IFERROR(__xludf.DUMMYFUNCTION("""COMPUTED_VALUE"""),"DANIELLY SOARES")</f>
        <v>DANIELLY SOARES</v>
      </c>
      <c r="AR126" s="4" t="str">
        <f>IFERROR(__xludf.DUMMYFUNCTION("""COMPUTED_VALUE"""),"LISSANDRA CORREA")</f>
        <v>LISSANDRA CORREA</v>
      </c>
      <c r="AS126" s="4" t="str">
        <f>IFERROR(__xludf.DUMMYFUNCTION("""COMPUTED_VALUE"""),"FABIO DONATO")</f>
        <v>FABIO DONATO</v>
      </c>
      <c r="AT126" s="4" t="str">
        <f>IFERROR(__xludf.DUMMYFUNCTION("""COMPUTED_VALUE"""),"CAMILA HOLANDA")</f>
        <v>CAMILA HOLANDA</v>
      </c>
      <c r="AU126" s="4">
        <f>IFERROR(__xludf.DUMMYFUNCTION("""COMPUTED_VALUE"""),0.0)</f>
        <v>0</v>
      </c>
      <c r="AV126" s="4">
        <f>IFERROR(__xludf.DUMMYFUNCTION("""COMPUTED_VALUE"""),0.0)</f>
        <v>0</v>
      </c>
      <c r="AW126" s="4">
        <f>IFERROR(__xludf.DUMMYFUNCTION("""COMPUTED_VALUE"""),0.0)</f>
        <v>0</v>
      </c>
      <c r="AX126" s="4">
        <f>IFERROR(__xludf.DUMMYFUNCTION("""COMPUTED_VALUE"""),0.0)</f>
        <v>0</v>
      </c>
      <c r="AY126" s="4"/>
      <c r="AZ126" s="4" t="str">
        <f>IFERROR(__xludf.DUMMYFUNCTION("""COMPUTED_VALUE"""),"Pastel")</f>
        <v>Pastel</v>
      </c>
      <c r="BA126" s="4">
        <f>IFERROR(__xludf.DUMMYFUNCTION("""COMPUTED_VALUE"""),20.0)</f>
        <v>20</v>
      </c>
      <c r="BB126" s="4" t="str">
        <f>IFERROR(__xludf.DUMMYFUNCTION("""COMPUTED_VALUE"""),"QSR - Pastelaria")</f>
        <v>QSR - Pastelaria</v>
      </c>
      <c r="BC126" s="4" t="str">
        <f>IFERROR(__xludf.DUMMYFUNCTION("""COMPUTED_VALUE"""),"Sudeste")</f>
        <v>Sudeste</v>
      </c>
      <c r="BD126" s="4" t="str">
        <f>IFERROR(__xludf.DUMMYFUNCTION("""COMPUTED_VALUE"""),"Dado não disponível publicamente - Necessário Discovery")</f>
        <v>Dado não disponível publicamente - Necessário Discovery</v>
      </c>
      <c r="BE126" s="4">
        <f>IFERROR(__xludf.DUMMYFUNCTION("""COMPUTED_VALUE"""),65.0)</f>
        <v>65</v>
      </c>
      <c r="BF126" s="4">
        <f>IFERROR(__xludf.DUMMYFUNCTION("""COMPUTED_VALUE"""),0.85)</f>
        <v>0.85</v>
      </c>
      <c r="BG126"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126" s="4" t="s">
        <v>99</v>
      </c>
      <c r="BI126" s="7">
        <v>0.5714285714285714</v>
      </c>
    </row>
    <row r="127" hidden="1">
      <c r="A127" s="4" t="str">
        <f>IFERROR(__xludf.DUMMYFUNCTION("""COMPUTED_VALUE"""),"HOT DOG DU PIRU - SC")</f>
        <v>HOT DOG DU PIRU - SC</v>
      </c>
      <c r="B127" s="4" t="str">
        <f>IFERROR(__xludf.DUMMYFUNCTION("""COMPUTED_VALUE"""),"Lídia Esteves")</f>
        <v>Lídia Esteves</v>
      </c>
      <c r="C127" s="4" t="str">
        <f>IFERROR(__xludf.DUMMYFUNCTION("""COMPUTED_VALUE"""),"Gabriela Roma")</f>
        <v>Gabriela Roma</v>
      </c>
      <c r="D127" s="4" t="str">
        <f>IFERROR(__xludf.DUMMYFUNCTION("""COMPUTED_VALUE"""),"0. Não Iniciado")</f>
        <v>0. Não Iniciado</v>
      </c>
      <c r="E127" s="4"/>
      <c r="F127" s="4" t="str">
        <f>IFERROR(__xludf.DUMMYFUNCTION("""COMPUTED_VALUE"""),"P")</f>
        <v>P</v>
      </c>
      <c r="G127" s="4"/>
      <c r="H127" s="4"/>
      <c r="I127" s="4"/>
      <c r="J127" s="4"/>
      <c r="K127" s="4"/>
      <c r="L127" s="4"/>
      <c r="M127" s="4"/>
      <c r="N127" s="4"/>
      <c r="O127" s="4"/>
      <c r="P127" s="4"/>
      <c r="Q127" s="4"/>
      <c r="R127" s="4"/>
      <c r="S127" s="4"/>
      <c r="T127" s="4"/>
      <c r="U127" s="4"/>
      <c r="V127" s="4"/>
      <c r="W127" s="4"/>
      <c r="X127" s="4"/>
      <c r="Y127" s="4"/>
      <c r="Z127" s="4"/>
      <c r="AA127" s="4">
        <f>IFERROR(__xludf.DUMMYFUNCTION("""COMPUTED_VALUE"""),7.0)</f>
        <v>7</v>
      </c>
      <c r="AB127" s="14" t="str">
        <f>IFERROR(__xludf.DUMMYFUNCTION("""COMPUTED_VALUE"""),"CE")</f>
        <v>CE</v>
      </c>
      <c r="AC127" s="4" t="str">
        <f>IFERROR(__xludf.DUMMYFUNCTION("""COMPUTED_VALUE"""),"Sim")</f>
        <v>Sim</v>
      </c>
      <c r="AD127" s="4" t="str">
        <f>IFERROR(__xludf.DUMMYFUNCTION("""COMPUTED_VALUE"""),"Teknisa Service Ltda")</f>
        <v>Teknisa Service Ltda</v>
      </c>
      <c r="AE127" s="4"/>
      <c r="AF127" s="4"/>
      <c r="AG127" s="4"/>
      <c r="AH127" s="4"/>
      <c r="AI127" s="4"/>
      <c r="AJ127" s="4"/>
      <c r="AK127" s="4"/>
      <c r="AL127" s="4"/>
      <c r="AM127" s="4" t="str">
        <f>IFERROR(__xludf.DUMMYFUNCTION("""COMPUTED_VALUE"""),"FY27")</f>
        <v>FY27</v>
      </c>
      <c r="AN127" s="4"/>
      <c r="AO127" s="4">
        <f>IFERROR(__xludf.DUMMYFUNCTION("""COMPUTED_VALUE"""),45553.0)</f>
        <v>45553</v>
      </c>
      <c r="AP127" s="4" t="str">
        <f>IFERROR(__xludf.DUMMYFUNCTION("""COMPUTED_VALUE"""),"SC")</f>
        <v>SC</v>
      </c>
      <c r="AQ127" s="4" t="str">
        <f>IFERROR(__xludf.DUMMYFUNCTION("""COMPUTED_VALUE"""),"MARIA SILVEIRA")</f>
        <v>MARIA SILVEIRA</v>
      </c>
      <c r="AR127" s="4" t="str">
        <f>IFERROR(__xludf.DUMMYFUNCTION("""COMPUTED_VALUE"""),"ITAMAR CAMARGO")</f>
        <v>ITAMAR CAMARGO</v>
      </c>
      <c r="AS127" s="4" t="str">
        <f>IFERROR(__xludf.DUMMYFUNCTION("""COMPUTED_VALUE"""),"FABIO DONATO")</f>
        <v>FABIO DONATO</v>
      </c>
      <c r="AT127" s="4" t="str">
        <f>IFERROR(__xludf.DUMMYFUNCTION("""COMPUTED_VALUE"""),"CAMILA HOLANDA")</f>
        <v>CAMILA HOLANDA</v>
      </c>
      <c r="AU127" s="4">
        <f>IFERROR(__xludf.DUMMYFUNCTION("""COMPUTED_VALUE"""),0.0)</f>
        <v>0</v>
      </c>
      <c r="AV127" s="4">
        <f>IFERROR(__xludf.DUMMYFUNCTION("""COMPUTED_VALUE"""),0.0)</f>
        <v>0</v>
      </c>
      <c r="AW127" s="4">
        <f>IFERROR(__xludf.DUMMYFUNCTION("""COMPUTED_VALUE"""),0.0)</f>
        <v>0</v>
      </c>
      <c r="AX127" s="4">
        <f>IFERROR(__xludf.DUMMYFUNCTION("""COMPUTED_VALUE"""),0.0)</f>
        <v>0</v>
      </c>
      <c r="AY127" s="4"/>
      <c r="AZ127" s="4" t="str">
        <f>IFERROR(__xludf.DUMMYFUNCTION("""COMPUTED_VALUE"""),"Lanches")</f>
        <v>Lanches</v>
      </c>
      <c r="BA127" s="4">
        <f>IFERROR(__xludf.DUMMYFUNCTION("""COMPUTED_VALUE"""),44.0)</f>
        <v>44</v>
      </c>
      <c r="BB127" s="12" t="str">
        <f>IFERROR(__xludf.DUMMYFUNCTION("""COMPUTED_VALUE"""),"QSR - Lanches")</f>
        <v>QSR - Lanches</v>
      </c>
      <c r="BC127" s="4" t="str">
        <f>IFERROR(__xludf.DUMMYFUNCTION("""COMPUTED_VALUE"""),"Rio de Janeiro/RJ")</f>
        <v>Rio de Janeiro/RJ</v>
      </c>
      <c r="BD127" s="4" t="str">
        <f>IFERROR(__xludf.DUMMYFUNCTION("""COMPUTED_VALUE"""),"Dado não disponível publicamente - Necessário Discovery")</f>
        <v>Dado não disponível publicamente - Necessário Discovery</v>
      </c>
      <c r="BE127" s="4">
        <f>IFERROR(__xludf.DUMMYFUNCTION("""COMPUTED_VALUE"""),70.0)</f>
        <v>70</v>
      </c>
      <c r="BF127" s="13">
        <f>IFERROR(__xludf.DUMMYFUNCTION("""COMPUTED_VALUE"""),0.9)</f>
        <v>0.9</v>
      </c>
      <c r="BG127"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127" s="4" t="s">
        <v>82</v>
      </c>
      <c r="BI127" s="7">
        <v>1.0</v>
      </c>
    </row>
    <row r="128" hidden="1">
      <c r="A128" s="4" t="str">
        <f>IFERROR(__xludf.DUMMYFUNCTION("""COMPUTED_VALUE"""),"HOT DOG YRACEMA")</f>
        <v>HOT DOG YRACEMA</v>
      </c>
      <c r="B128" s="4" t="str">
        <f>IFERROR(__xludf.DUMMYFUNCTION("""COMPUTED_VALUE"""),"Lídia Esteves")</f>
        <v>Lídia Esteves</v>
      </c>
      <c r="C128" s="4" t="str">
        <f>IFERROR(__xludf.DUMMYFUNCTION("""COMPUTED_VALUE"""),"Gabriela Roma")</f>
        <v>Gabriela Roma</v>
      </c>
      <c r="D128" s="4" t="str">
        <f>IFERROR(__xludf.DUMMYFUNCTION("""COMPUTED_VALUE"""),"1. Iniciado")</f>
        <v>1. Iniciado</v>
      </c>
      <c r="E128" s="4" t="str">
        <f>IFERROR(__xludf.DUMMYFUNCTION("""COMPUTED_VALUE"""),"Delivery - Aguardando retorno / Conciliação agenda")</f>
        <v>Delivery - Aguardando retorno / Conciliação agenda</v>
      </c>
      <c r="F128" s="4" t="str">
        <f>IFERROR(__xludf.DUMMYFUNCTION("""COMPUTED_VALUE"""),"P")</f>
        <v>P</v>
      </c>
      <c r="G128" s="4"/>
      <c r="H128" s="4"/>
      <c r="I128" s="6">
        <f>IFERROR(__xludf.DUMMYFUNCTION("""COMPUTED_VALUE"""),46121.6759710301)</f>
        <v>46121.67597</v>
      </c>
      <c r="J128" s="4"/>
      <c r="K128" s="4"/>
      <c r="L128" s="4"/>
      <c r="M128" s="4"/>
      <c r="N128" s="4"/>
      <c r="O128" s="4"/>
      <c r="P128" s="4"/>
      <c r="Q128" s="4"/>
      <c r="R128" s="4"/>
      <c r="S128" s="4"/>
      <c r="T128" s="4"/>
      <c r="U128" s="4"/>
      <c r="V128" s="4"/>
      <c r="W128" s="4"/>
      <c r="X128" s="4"/>
      <c r="Y128" s="4"/>
      <c r="Z128" s="4"/>
      <c r="AA128" s="4">
        <f>IFERROR(__xludf.DUMMYFUNCTION("""COMPUTED_VALUE"""),6.0)</f>
        <v>6</v>
      </c>
      <c r="AB128" s="14" t="str">
        <f>IFERROR(__xludf.DUMMYFUNCTION("""COMPUTED_VALUE"""),"CE")</f>
        <v>CE</v>
      </c>
      <c r="AC128" s="4" t="str">
        <f>IFERROR(__xludf.DUMMYFUNCTION("""COMPUTED_VALUE"""),"Sim")</f>
        <v>Sim</v>
      </c>
      <c r="AD128" s="4">
        <f>IFERROR(__xludf.DUMMYFUNCTION("""COMPUTED_VALUE"""),0.0)</f>
        <v>0</v>
      </c>
      <c r="AE128" s="4"/>
      <c r="AF128" s="4"/>
      <c r="AG128" s="4"/>
      <c r="AH128" s="4"/>
      <c r="AI128" s="4"/>
      <c r="AJ128" s="4"/>
      <c r="AK128" s="4"/>
      <c r="AL128" s="4"/>
      <c r="AM128" s="4" t="str">
        <f>IFERROR(__xludf.DUMMYFUNCTION("""COMPUTED_VALUE"""),"FY27")</f>
        <v>FY27</v>
      </c>
      <c r="AN128" s="4"/>
      <c r="AO128" s="4">
        <f>IFERROR(__xludf.DUMMYFUNCTION("""COMPUTED_VALUE"""),45553.0)</f>
        <v>45553</v>
      </c>
      <c r="AP128" s="4" t="str">
        <f>IFERROR(__xludf.DUMMYFUNCTION("""COMPUTED_VALUE"""),"PR")</f>
        <v>PR</v>
      </c>
      <c r="AQ128" s="4" t="str">
        <f>IFERROR(__xludf.DUMMYFUNCTION("""COMPUTED_VALUE"""),"RAFAEL FERREIRA")</f>
        <v>RAFAEL FERREIRA</v>
      </c>
      <c r="AR128" s="4">
        <f>IFERROR(__xludf.DUMMYFUNCTION("""COMPUTED_VALUE"""),0.0)</f>
        <v>0</v>
      </c>
      <c r="AS128" s="4">
        <f>IFERROR(__xludf.DUMMYFUNCTION("""COMPUTED_VALUE"""),0.0)</f>
        <v>0</v>
      </c>
      <c r="AT128" s="4">
        <f>IFERROR(__xludf.DUMMYFUNCTION("""COMPUTED_VALUE"""),0.0)</f>
        <v>0</v>
      </c>
      <c r="AU128" s="4">
        <f>IFERROR(__xludf.DUMMYFUNCTION("""COMPUTED_VALUE"""),0.0)</f>
        <v>0</v>
      </c>
      <c r="AV128" s="4">
        <f>IFERROR(__xludf.DUMMYFUNCTION("""COMPUTED_VALUE"""),0.0)</f>
        <v>0</v>
      </c>
      <c r="AW128" s="4">
        <f>IFERROR(__xludf.DUMMYFUNCTION("""COMPUTED_VALUE"""),0.0)</f>
        <v>0</v>
      </c>
      <c r="AX128" s="4">
        <f>IFERROR(__xludf.DUMMYFUNCTION("""COMPUTED_VALUE"""),0.0)</f>
        <v>0</v>
      </c>
      <c r="AY128" s="4"/>
      <c r="AZ128" s="4" t="str">
        <f>IFERROR(__xludf.DUMMYFUNCTION("""COMPUTED_VALUE"""),"Lanches")</f>
        <v>Lanches</v>
      </c>
      <c r="BA128" s="4">
        <f>IFERROR(__xludf.DUMMYFUNCTION("""COMPUTED_VALUE"""),29.0)</f>
        <v>29</v>
      </c>
      <c r="BB128" s="12" t="str">
        <f>IFERROR(__xludf.DUMMYFUNCTION("""COMPUTED_VALUE"""),"QSR - Lanches")</f>
        <v>QSR - Lanches</v>
      </c>
      <c r="BC128" s="4" t="str">
        <f>IFERROR(__xludf.DUMMYFUNCTION("""COMPUTED_VALUE"""),"Rio de Janeiro/RJ")</f>
        <v>Rio de Janeiro/RJ</v>
      </c>
      <c r="BD128" s="4" t="str">
        <f>IFERROR(__xludf.DUMMYFUNCTION("""COMPUTED_VALUE"""),"Dado não disponível publicamente - Necessário Discovery")</f>
        <v>Dado não disponível publicamente - Necessário Discovery</v>
      </c>
      <c r="BE128" s="4">
        <f>IFERROR(__xludf.DUMMYFUNCTION("""COMPUTED_VALUE"""),70.0)</f>
        <v>70</v>
      </c>
      <c r="BF128" s="13">
        <f>IFERROR(__xludf.DUMMYFUNCTION("""COMPUTED_VALUE"""),0.85)</f>
        <v>0.85</v>
      </c>
      <c r="BG128"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128" s="4" t="s">
        <v>100</v>
      </c>
      <c r="BI128" s="7">
        <v>1.0</v>
      </c>
    </row>
    <row r="129" hidden="1">
      <c r="A129" s="4" t="str">
        <f>IFERROR(__xludf.DUMMYFUNCTION("""COMPUTED_VALUE"""),"IMPERIO DO ACAI")</f>
        <v>IMPERIO DO ACAI</v>
      </c>
      <c r="B129" s="4" t="str">
        <f>IFERROR(__xludf.DUMMYFUNCTION("""COMPUTED_VALUE"""),"Lídia Esteves")</f>
        <v>Lídia Esteves</v>
      </c>
      <c r="C129" s="4" t="str">
        <f>IFERROR(__xludf.DUMMYFUNCTION("""COMPUTED_VALUE"""),"Gabriela Roma")</f>
        <v>Gabriela Roma</v>
      </c>
      <c r="D129" s="4" t="str">
        <f>IFERROR(__xludf.DUMMYFUNCTION("""COMPUTED_VALUE"""),"0. Não Iniciado")</f>
        <v>0. Não Iniciado</v>
      </c>
      <c r="E129" s="4"/>
      <c r="F129" s="4" t="str">
        <f>IFERROR(__xludf.DUMMYFUNCTION("""COMPUTED_VALUE"""),"P")</f>
        <v>P</v>
      </c>
      <c r="G129" s="4"/>
      <c r="H129" s="4"/>
      <c r="I129" s="4"/>
      <c r="J129" s="4"/>
      <c r="K129" s="4"/>
      <c r="L129" s="4"/>
      <c r="M129" s="4"/>
      <c r="N129" s="4"/>
      <c r="O129" s="4"/>
      <c r="P129" s="4"/>
      <c r="Q129" s="4"/>
      <c r="R129" s="4"/>
      <c r="S129" s="4"/>
      <c r="T129" s="4"/>
      <c r="U129" s="4"/>
      <c r="V129" s="4"/>
      <c r="W129" s="4"/>
      <c r="X129" s="4"/>
      <c r="Y129" s="4"/>
      <c r="Z129" s="4"/>
      <c r="AA129" s="4">
        <f>IFERROR(__xludf.DUMMYFUNCTION("""COMPUTED_VALUE"""),11.0)</f>
        <v>11</v>
      </c>
      <c r="AB129" s="4" t="str">
        <f>IFERROR(__xludf.DUMMYFUNCTION("""COMPUTED_VALUE"""),"CE")</f>
        <v>CE</v>
      </c>
      <c r="AC129" s="4" t="str">
        <f>IFERROR(__xludf.DUMMYFUNCTION("""COMPUTED_VALUE"""),"Sim")</f>
        <v>Sim</v>
      </c>
      <c r="AD129" s="4" t="str">
        <f>IFERROR(__xludf.DUMMYFUNCTION("""COMPUTED_VALUE"""),"Ifood")</f>
        <v>Ifood</v>
      </c>
      <c r="AE129" s="4"/>
      <c r="AF129" s="4"/>
      <c r="AG129" s="4"/>
      <c r="AH129" s="4"/>
      <c r="AI129" s="4"/>
      <c r="AJ129" s="4"/>
      <c r="AK129" s="4"/>
      <c r="AL129" s="4"/>
      <c r="AM129" s="4" t="str">
        <f>IFERROR(__xludf.DUMMYFUNCTION("""COMPUTED_VALUE"""),"FY27")</f>
        <v>FY27</v>
      </c>
      <c r="AN129" s="4"/>
      <c r="AO129" s="4">
        <f>IFERROR(__xludf.DUMMYFUNCTION("""COMPUTED_VALUE"""),45553.0)</f>
        <v>45553</v>
      </c>
      <c r="AP129" s="4" t="str">
        <f>IFERROR(__xludf.DUMMYFUNCTION("""COMPUTED_VALUE"""),"MS")</f>
        <v>MS</v>
      </c>
      <c r="AQ129" s="4" t="str">
        <f>IFERROR(__xludf.DUMMYFUNCTION("""COMPUTED_VALUE"""),"LORENA HADDAD")</f>
        <v>LORENA HADDAD</v>
      </c>
      <c r="AR129" s="4" t="str">
        <f>IFERROR(__xludf.DUMMYFUNCTION("""COMPUTED_VALUE"""),"JESSICA GONCALVES")</f>
        <v>JESSICA GONCALVES</v>
      </c>
      <c r="AS129" s="4" t="str">
        <f>IFERROR(__xludf.DUMMYFUNCTION("""COMPUTED_VALUE"""),"THIAGO ROMAGNOLE")</f>
        <v>THIAGO ROMAGNOLE</v>
      </c>
      <c r="AT129" s="4" t="str">
        <f>IFERROR(__xludf.DUMMYFUNCTION("""COMPUTED_VALUE"""),"BRUNA TASSINARI")</f>
        <v>BRUNA TASSINARI</v>
      </c>
      <c r="AU129" s="4">
        <f>IFERROR(__xludf.DUMMYFUNCTION("""COMPUTED_VALUE"""),0.0)</f>
        <v>0</v>
      </c>
      <c r="AV129" s="4">
        <f>IFERROR(__xludf.DUMMYFUNCTION("""COMPUTED_VALUE"""),0.0)</f>
        <v>0</v>
      </c>
      <c r="AW129" s="4">
        <f>IFERROR(__xludf.DUMMYFUNCTION("""COMPUTED_VALUE"""),0.0)</f>
        <v>0</v>
      </c>
      <c r="AX129" s="4">
        <f>IFERROR(__xludf.DUMMYFUNCTION("""COMPUTED_VALUE"""),0.0)</f>
        <v>0</v>
      </c>
      <c r="AY129" s="4"/>
      <c r="AZ129" s="4" t="str">
        <f>IFERROR(__xludf.DUMMYFUNCTION("""COMPUTED_VALUE"""),"Açaí")</f>
        <v>Açaí</v>
      </c>
      <c r="BA129" s="4">
        <f>IFERROR(__xludf.DUMMYFUNCTION("""COMPUTED_VALUE"""),29.0)</f>
        <v>29</v>
      </c>
      <c r="BB129" s="4" t="str">
        <f>IFERROR(__xludf.DUMMYFUNCTION("""COMPUTED_VALUE"""),"QSR - Açaí/Poke")</f>
        <v>QSR - Açaí/Poke</v>
      </c>
      <c r="BC129" s="4" t="str">
        <f>IFERROR(__xludf.DUMMYFUNCTION("""COMPUTED_VALUE"""),"Sul")</f>
        <v>Sul</v>
      </c>
      <c r="BD129" s="4" t="str">
        <f>IFERROR(__xludf.DUMMYFUNCTION("""COMPUTED_VALUE"""),"Dado não disponível publicamente - Necessário Discovery")</f>
        <v>Dado não disponível publicamente - Necessário Discovery</v>
      </c>
      <c r="BE129" s="4">
        <f>IFERROR(__xludf.DUMMYFUNCTION("""COMPUTED_VALUE"""),70.0)</f>
        <v>70</v>
      </c>
      <c r="BF129" s="4">
        <f>IFERROR(__xludf.DUMMYFUNCTION("""COMPUTED_VALUE"""),0.9)</f>
        <v>0.9</v>
      </c>
      <c r="BG129"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129" s="4" t="s">
        <v>64</v>
      </c>
      <c r="BI129" s="7">
        <v>0.35714285714285715</v>
      </c>
    </row>
    <row r="130" hidden="1">
      <c r="A130" s="4" t="str">
        <f>IFERROR(__xludf.DUMMYFUNCTION("""COMPUTED_VALUE"""),"IMPERIO HAMBURGUERIA - CONTA MARCA")</f>
        <v>IMPERIO HAMBURGUERIA - CONTA MARCA</v>
      </c>
      <c r="B130" s="4" t="str">
        <f>IFERROR(__xludf.DUMMYFUNCTION("""COMPUTED_VALUE"""),"João Biagiotti")</f>
        <v>João Biagiotti</v>
      </c>
      <c r="C130" s="4" t="str">
        <f>IFERROR(__xludf.DUMMYFUNCTION("""COMPUTED_VALUE"""),"Diego Santos")</f>
        <v>Diego Santos</v>
      </c>
      <c r="D130" s="4" t="str">
        <f>IFERROR(__xludf.DUMMYFUNCTION("""COMPUTED_VALUE"""),"0. Não Iniciado")</f>
        <v>0. Não Iniciado</v>
      </c>
      <c r="E130" s="4"/>
      <c r="F130" s="4" t="str">
        <f>IFERROR(__xludf.DUMMYFUNCTION("""COMPUTED_VALUE"""),"P")</f>
        <v>P</v>
      </c>
      <c r="G130" s="4"/>
      <c r="H130" s="4"/>
      <c r="I130" s="4"/>
      <c r="J130" s="4"/>
      <c r="K130" s="4"/>
      <c r="L130" s="4"/>
      <c r="M130" s="4"/>
      <c r="N130" s="4"/>
      <c r="O130" s="4"/>
      <c r="P130" s="4"/>
      <c r="Q130" s="4"/>
      <c r="R130" s="4"/>
      <c r="S130" s="4"/>
      <c r="T130" s="4"/>
      <c r="U130" s="4"/>
      <c r="V130" s="4"/>
      <c r="W130" s="4"/>
      <c r="X130" s="4"/>
      <c r="Y130" s="4"/>
      <c r="Z130" s="4"/>
      <c r="AA130" s="4">
        <f>IFERROR(__xludf.DUMMYFUNCTION("""COMPUTED_VALUE"""),5.0)</f>
        <v>5</v>
      </c>
      <c r="AB130" s="4" t="str">
        <f>IFERROR(__xludf.DUMMYFUNCTION("""COMPUTED_VALUE"""),"CE")</f>
        <v>CE</v>
      </c>
      <c r="AC130" s="4" t="str">
        <f>IFERROR(__xludf.DUMMYFUNCTION("""COMPUTED_VALUE"""),"Sim")</f>
        <v>Sim</v>
      </c>
      <c r="AD130" s="4" t="str">
        <f>IFERROR(__xludf.DUMMYFUNCTION("""COMPUTED_VALUE"""),"Ifood")</f>
        <v>Ifood</v>
      </c>
      <c r="AE130" s="4"/>
      <c r="AF130" s="4"/>
      <c r="AG130" s="4"/>
      <c r="AH130" s="4"/>
      <c r="AI130" s="4"/>
      <c r="AJ130" s="4"/>
      <c r="AK130" s="4"/>
      <c r="AL130" s="4"/>
      <c r="AM130" s="4" t="str">
        <f>IFERROR(__xludf.DUMMYFUNCTION("""COMPUTED_VALUE"""),"FY27")</f>
        <v>FY27</v>
      </c>
      <c r="AN130" s="4"/>
      <c r="AO130" s="4">
        <f>IFERROR(__xludf.DUMMYFUNCTION("""COMPUTED_VALUE"""),45553.0)</f>
        <v>45553</v>
      </c>
      <c r="AP130" s="4" t="str">
        <f>IFERROR(__xludf.DUMMYFUNCTION("""COMPUTED_VALUE"""),"SP")</f>
        <v>SP</v>
      </c>
      <c r="AQ130" s="4" t="str">
        <f>IFERROR(__xludf.DUMMYFUNCTION("""COMPUTED_VALUE"""),"LUANA TONON")</f>
        <v>LUANA TONON</v>
      </c>
      <c r="AR130" s="4" t="str">
        <f>IFERROR(__xludf.DUMMYFUNCTION("""COMPUTED_VALUE"""),"LAIRA NOELI")</f>
        <v>LAIRA NOELI</v>
      </c>
      <c r="AS130" s="4" t="str">
        <f>IFERROR(__xludf.DUMMYFUNCTION("""COMPUTED_VALUE"""),"THIAGO ROMAGNOLE")</f>
        <v>THIAGO ROMAGNOLE</v>
      </c>
      <c r="AT130" s="4" t="str">
        <f>IFERROR(__xludf.DUMMYFUNCTION("""COMPUTED_VALUE"""),"BRUNA TASSINARI")</f>
        <v>BRUNA TASSINARI</v>
      </c>
      <c r="AU130" s="4">
        <f>IFERROR(__xludf.DUMMYFUNCTION("""COMPUTED_VALUE"""),0.0)</f>
        <v>0</v>
      </c>
      <c r="AV130" s="4">
        <f>IFERROR(__xludf.DUMMYFUNCTION("""COMPUTED_VALUE"""),0.0)</f>
        <v>0</v>
      </c>
      <c r="AW130" s="4">
        <f>IFERROR(__xludf.DUMMYFUNCTION("""COMPUTED_VALUE"""),0.0)</f>
        <v>0</v>
      </c>
      <c r="AX130" s="4">
        <f>IFERROR(__xludf.DUMMYFUNCTION("""COMPUTED_VALUE"""),0.0)</f>
        <v>0</v>
      </c>
      <c r="AY130" s="4" t="str">
        <f>IFERROR(__xludf.DUMMYFUNCTION("""COMPUTED_VALUE"""),"Saipos Serviços De Software")</f>
        <v>Saipos Serviços De Software</v>
      </c>
      <c r="AZ130" s="4" t="str">
        <f>IFERROR(__xludf.DUMMYFUNCTION("""COMPUTED_VALUE"""),"Lanches")</f>
        <v>Lanches</v>
      </c>
      <c r="BA130" s="4" t="str">
        <f>IFERROR(__xludf.DUMMYFUNCTION("""COMPUTED_VALUE"""),"")</f>
        <v/>
      </c>
      <c r="BB130" s="4" t="str">
        <f>IFERROR(__xludf.DUMMYFUNCTION("""COMPUTED_VALUE"""),"")</f>
        <v/>
      </c>
      <c r="BC130" s="4" t="str">
        <f>IFERROR(__xludf.DUMMYFUNCTION("""COMPUTED_VALUE"""),"")</f>
        <v/>
      </c>
      <c r="BD130" s="4" t="str">
        <f>IFERROR(__xludf.DUMMYFUNCTION("""COMPUTED_VALUE"""),"")</f>
        <v/>
      </c>
      <c r="BE130" s="4" t="str">
        <f>IFERROR(__xludf.DUMMYFUNCTION("""COMPUTED_VALUE"""),"")</f>
        <v/>
      </c>
      <c r="BF130" s="4" t="str">
        <f>IFERROR(__xludf.DUMMYFUNCTION("""COMPUTED_VALUE"""),"")</f>
        <v/>
      </c>
      <c r="BG130" s="4" t="str">
        <f>IFERROR(__xludf.DUMMYFUNCTION("""COMPUTED_VALUE"""),"")</f>
        <v/>
      </c>
      <c r="BH130" s="4" t="s">
        <v>69</v>
      </c>
      <c r="BI130" s="7">
        <v>0.6666666666666666</v>
      </c>
    </row>
    <row r="131" hidden="1">
      <c r="A131" s="4" t="str">
        <f>IFERROR(__xludf.DUMMYFUNCTION("""COMPUTED_VALUE"""),"INPOT - CONTA PAI")</f>
        <v>INPOT - CONTA PAI</v>
      </c>
      <c r="B131" s="4" t="str">
        <f>IFERROR(__xludf.DUMMYFUNCTION("""COMPUTED_VALUE"""),"Lídia Esteves")</f>
        <v>Lídia Esteves</v>
      </c>
      <c r="C131" s="4" t="str">
        <f>IFERROR(__xludf.DUMMYFUNCTION("""COMPUTED_VALUE"""),"Gabriela Roma")</f>
        <v>Gabriela Roma</v>
      </c>
      <c r="D131" s="4" t="str">
        <f>IFERROR(__xludf.DUMMYFUNCTION("""COMPUTED_VALUE"""),"1. Iniciado")</f>
        <v>1. Iniciado</v>
      </c>
      <c r="E131" s="4" t="str">
        <f>IFERROR(__xludf.DUMMYFUNCTION("""COMPUTED_VALUE"""),"Delivery - Aguardando retorno / Conciliação agenda")</f>
        <v>Delivery - Aguardando retorno / Conciliação agenda</v>
      </c>
      <c r="F131" s="4" t="str">
        <f>IFERROR(__xludf.DUMMYFUNCTION("""COMPUTED_VALUE"""),"P")</f>
        <v>P</v>
      </c>
      <c r="G131" s="4"/>
      <c r="H131" s="4"/>
      <c r="I131" s="6">
        <f>IFERROR(__xludf.DUMMYFUNCTION("""COMPUTED_VALUE"""),46121.68083403935)</f>
        <v>46121.68083</v>
      </c>
      <c r="J131" s="4"/>
      <c r="K131" s="4"/>
      <c r="L131" s="4"/>
      <c r="M131" s="4"/>
      <c r="N131" s="4"/>
      <c r="O131" s="4"/>
      <c r="P131" s="4"/>
      <c r="Q131" s="4"/>
      <c r="R131" s="4"/>
      <c r="S131" s="4"/>
      <c r="T131" s="4"/>
      <c r="U131" s="4"/>
      <c r="V131" s="4"/>
      <c r="W131" s="4"/>
      <c r="X131" s="4"/>
      <c r="Y131" s="4"/>
      <c r="Z131" s="4"/>
      <c r="AA131" s="4">
        <f>IFERROR(__xludf.DUMMYFUNCTION("""COMPUTED_VALUE"""),13.0)</f>
        <v>13</v>
      </c>
      <c r="AB131" s="4" t="str">
        <f>IFERROR(__xludf.DUMMYFUNCTION("""COMPUTED_VALUE"""),"-")</f>
        <v>-</v>
      </c>
      <c r="AC131" s="4" t="str">
        <f>IFERROR(__xludf.DUMMYFUNCTION("""COMPUTED_VALUE"""),"Sim")</f>
        <v>Sim</v>
      </c>
      <c r="AD131" s="4" t="str">
        <f>IFERROR(__xludf.DUMMYFUNCTION("""COMPUTED_VALUE"""),"Ifood")</f>
        <v>Ifood</v>
      </c>
      <c r="AE131" s="4"/>
      <c r="AF131" s="4"/>
      <c r="AG131" s="4"/>
      <c r="AH131" s="4"/>
      <c r="AI131" s="4"/>
      <c r="AJ131" s="4"/>
      <c r="AK131" s="4"/>
      <c r="AL131" s="4"/>
      <c r="AM131" s="4" t="str">
        <f>IFERROR(__xludf.DUMMYFUNCTION("""COMPUTED_VALUE"""),"FY27")</f>
        <v>FY27</v>
      </c>
      <c r="AN131" s="4"/>
      <c r="AO131" s="4">
        <f>IFERROR(__xludf.DUMMYFUNCTION("""COMPUTED_VALUE"""),45553.0)</f>
        <v>45553</v>
      </c>
      <c r="AP131" s="4" t="str">
        <f>IFERROR(__xludf.DUMMYFUNCTION("""COMPUTED_VALUE"""),"SC")</f>
        <v>SC</v>
      </c>
      <c r="AQ131" s="4" t="str">
        <f>IFERROR(__xludf.DUMMYFUNCTION("""COMPUTED_VALUE"""),"BIANCA COUTINHO")</f>
        <v>BIANCA COUTINHO</v>
      </c>
      <c r="AR131" s="4" t="str">
        <f>IFERROR(__xludf.DUMMYFUNCTION("""COMPUTED_VALUE"""),"SHEILA KELLER")</f>
        <v>SHEILA KELLER</v>
      </c>
      <c r="AS131" s="4" t="str">
        <f>IFERROR(__xludf.DUMMYFUNCTION("""COMPUTED_VALUE"""),"FABIO DONATO")</f>
        <v>FABIO DONATO</v>
      </c>
      <c r="AT131" s="4" t="str">
        <f>IFERROR(__xludf.DUMMYFUNCTION("""COMPUTED_VALUE"""),"CAMILA HOLANDA")</f>
        <v>CAMILA HOLANDA</v>
      </c>
      <c r="AU131" s="4">
        <f>IFERROR(__xludf.DUMMYFUNCTION("""COMPUTED_VALUE"""),0.0)</f>
        <v>0</v>
      </c>
      <c r="AV131" s="4">
        <f>IFERROR(__xludf.DUMMYFUNCTION("""COMPUTED_VALUE"""),0.0)</f>
        <v>0</v>
      </c>
      <c r="AW131" s="4">
        <f>IFERROR(__xludf.DUMMYFUNCTION("""COMPUTED_VALUE"""),0.0)</f>
        <v>0</v>
      </c>
      <c r="AX131" s="4">
        <f>IFERROR(__xludf.DUMMYFUNCTION("""COMPUTED_VALUE"""),0.0)</f>
        <v>0</v>
      </c>
      <c r="AY131" s="4" t="str">
        <f>IFERROR(__xludf.DUMMYFUNCTION("""COMPUTED_VALUE"""),"Teknisa Service Ltda")</f>
        <v>Teknisa Service Ltda</v>
      </c>
      <c r="AZ131" s="4" t="str">
        <f>IFERROR(__xludf.DUMMYFUNCTION("""COMPUTED_VALUE"""),"Saudável")</f>
        <v>Saudável</v>
      </c>
      <c r="BA131" s="4">
        <f>IFERROR(__xludf.DUMMYFUNCTION("""COMPUTED_VALUE"""),42.0)</f>
        <v>42</v>
      </c>
      <c r="BB131" s="4" t="str">
        <f>IFERROR(__xludf.DUMMYFUNCTION("""COMPUTED_VALUE"""),"Fast Casual - Fresh Food Saudável")</f>
        <v>Fast Casual - Fresh Food Saudável</v>
      </c>
      <c r="BC131" s="4" t="str">
        <f>IFERROR(__xludf.DUMMYFUNCTION("""COMPUTED_VALUE"""),"Sul (SC, PR, RS) + SP")</f>
        <v>Sul (SC, PR, RS) + SP</v>
      </c>
      <c r="BD131" s="4" t="str">
        <f>IFERROR(__xludf.DUMMYFUNCTION("""COMPUTED_VALUE"""),"Dado não disponível publicamente - Necessário Discovery")</f>
        <v>Dado não disponível publicamente - Necessário Discovery</v>
      </c>
      <c r="BE131" s="4">
        <f>IFERROR(__xludf.DUMMYFUNCTION("""COMPUTED_VALUE"""),70.0)</f>
        <v>70</v>
      </c>
      <c r="BF131" s="4">
        <f>IFERROR(__xludf.DUMMYFUNCTION("""COMPUTED_VALUE"""),0.8)</f>
        <v>0.8</v>
      </c>
      <c r="BG131"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131" s="4" t="s">
        <v>82</v>
      </c>
      <c r="BI131" s="7">
        <v>0.7272727272727273</v>
      </c>
    </row>
    <row r="132" hidden="1">
      <c r="A132" s="4" t="str">
        <f>IFERROR(__xludf.DUMMYFUNCTION("""COMPUTED_VALUE"""),"JAPESCA SUSHI")</f>
        <v>JAPESCA SUSHI</v>
      </c>
      <c r="B132" s="4" t="str">
        <f>IFERROR(__xludf.DUMMYFUNCTION("""COMPUTED_VALUE"""),"Lídia Esteves")</f>
        <v>Lídia Esteves</v>
      </c>
      <c r="C132" s="4" t="str">
        <f>IFERROR(__xludf.DUMMYFUNCTION("""COMPUTED_VALUE"""),"Gabriela Roma")</f>
        <v>Gabriela Roma</v>
      </c>
      <c r="D132" s="4" t="str">
        <f>IFERROR(__xludf.DUMMYFUNCTION("""COMPUTED_VALUE"""),"10. Perdido")</f>
        <v>10. Perdido</v>
      </c>
      <c r="E132" s="4" t="str">
        <f>IFERROR(__xludf.DUMMYFUNCTION("""COMPUTED_VALUE"""),"Perdido - Outro (detalhar ao lado)")</f>
        <v>Perdido - Outro (detalhar ao lado)</v>
      </c>
      <c r="F132" s="4" t="str">
        <f>IFERROR(__xludf.DUMMYFUNCTION("""COMPUTED_VALUE"""),"P")</f>
        <v>P</v>
      </c>
      <c r="G132" s="5">
        <f>IFERROR(__xludf.DUMMYFUNCTION("""COMPUTED_VALUE"""),46160.0)</f>
        <v>46160</v>
      </c>
      <c r="H132" s="4" t="str">
        <f>IFERROR(__xludf.DUMMYFUNCTION("""COMPUTED_VALUE"""),"Cliente usa saipos.")</f>
        <v>Cliente usa saipos.</v>
      </c>
      <c r="I132" s="6">
        <f>IFERROR(__xludf.DUMMYFUNCTION("""COMPUTED_VALUE"""),46160.59203483796)</f>
        <v>46160.59203</v>
      </c>
      <c r="J132" s="4"/>
      <c r="K132" s="4"/>
      <c r="L132" s="4"/>
      <c r="M132" s="4"/>
      <c r="N132" s="4"/>
      <c r="O132" s="4"/>
      <c r="P132" s="4"/>
      <c r="Q132" s="4"/>
      <c r="R132" s="6">
        <f>IFERROR(__xludf.DUMMYFUNCTION("""COMPUTED_VALUE"""),46160.5922904051)</f>
        <v>46160.59229</v>
      </c>
      <c r="S132" s="4"/>
      <c r="T132" s="4"/>
      <c r="U132" s="4"/>
      <c r="V132" s="4" t="str">
        <f>IFERROR(__xludf.DUMMYFUNCTION("""COMPUTED_VALUE"""),"Outros")</f>
        <v>Outros</v>
      </c>
      <c r="W132" s="4"/>
      <c r="X132" s="4"/>
      <c r="Y132" s="4"/>
      <c r="Z132" s="4"/>
      <c r="AA132" s="4">
        <f>IFERROR(__xludf.DUMMYFUNCTION("""COMPUTED_VALUE"""),24.0)</f>
        <v>24</v>
      </c>
      <c r="AB132" s="4" t="str">
        <f>IFERROR(__xludf.DUMMYFUNCTION("""COMPUTED_VALUE"""),"-")</f>
        <v>-</v>
      </c>
      <c r="AC132" s="4" t="str">
        <f>IFERROR(__xludf.DUMMYFUNCTION("""COMPUTED_VALUE"""),"Sim")</f>
        <v>Sim</v>
      </c>
      <c r="AD132" s="4" t="str">
        <f>IFERROR(__xludf.DUMMYFUNCTION("""COMPUTED_VALUE"""),"Ifood")</f>
        <v>Ifood</v>
      </c>
      <c r="AE132" s="4"/>
      <c r="AF132" s="4"/>
      <c r="AG132" s="4"/>
      <c r="AH132" s="4"/>
      <c r="AI132" s="4"/>
      <c r="AJ132" s="4"/>
      <c r="AK132" s="4"/>
      <c r="AL132" s="4"/>
      <c r="AM132" s="4" t="str">
        <f>IFERROR(__xludf.DUMMYFUNCTION("""COMPUTED_VALUE"""),"FY27")</f>
        <v>FY27</v>
      </c>
      <c r="AN132" s="4"/>
      <c r="AO132" s="4">
        <f>IFERROR(__xludf.DUMMYFUNCTION("""COMPUTED_VALUE"""),55.0)</f>
        <v>55</v>
      </c>
      <c r="AP132" s="4" t="str">
        <f>IFERROR(__xludf.DUMMYFUNCTION("""COMPUTED_VALUE"""),"RS")</f>
        <v>RS</v>
      </c>
      <c r="AQ132" s="4" t="str">
        <f>IFERROR(__xludf.DUMMYFUNCTION("""COMPUTED_VALUE"""),"SHAYANA JACOM")</f>
        <v>SHAYANA JACOM</v>
      </c>
      <c r="AR132" s="4" t="str">
        <f>IFERROR(__xludf.DUMMYFUNCTION("""COMPUTED_VALUE"""),"LIVIA BORELLA")</f>
        <v>LIVIA BORELLA</v>
      </c>
      <c r="AS132" s="4" t="str">
        <f>IFERROR(__xludf.DUMMYFUNCTION("""COMPUTED_VALUE"""),"FABIO DONATO")</f>
        <v>FABIO DONATO</v>
      </c>
      <c r="AT132" s="4" t="str">
        <f>IFERROR(__xludf.DUMMYFUNCTION("""COMPUTED_VALUE"""),"CAMILA HOLANDA")</f>
        <v>CAMILA HOLANDA</v>
      </c>
      <c r="AU132" s="4">
        <f>IFERROR(__xludf.DUMMYFUNCTION("""COMPUTED_VALUE"""),0.0)</f>
        <v>0</v>
      </c>
      <c r="AV132" s="4">
        <f>IFERROR(__xludf.DUMMYFUNCTION("""COMPUTED_VALUE"""),0.0)</f>
        <v>0</v>
      </c>
      <c r="AW132" s="4">
        <f>IFERROR(__xludf.DUMMYFUNCTION("""COMPUTED_VALUE"""),0.0)</f>
        <v>0</v>
      </c>
      <c r="AX132" s="4">
        <f>IFERROR(__xludf.DUMMYFUNCTION("""COMPUTED_VALUE"""),0.0)</f>
        <v>0</v>
      </c>
      <c r="AY132" s="4" t="str">
        <f>IFERROR(__xludf.DUMMYFUNCTION("""COMPUTED_VALUE"""),"Saipos Serviços De Software")</f>
        <v>Saipos Serviços De Software</v>
      </c>
      <c r="AZ132" s="4" t="str">
        <f>IFERROR(__xludf.DUMMYFUNCTION("""COMPUTED_VALUE"""),"Japonesa")</f>
        <v>Japonesa</v>
      </c>
      <c r="BA132" s="4">
        <f>IFERROR(__xludf.DUMMYFUNCTION("""COMPUTED_VALUE"""),66.0)</f>
        <v>66</v>
      </c>
      <c r="BB132" s="4" t="str">
        <f>IFERROR(__xludf.DUMMYFUNCTION("""COMPUTED_VALUE"""),"Fast Casual - Japonesa")</f>
        <v>Fast Casual - Japonesa</v>
      </c>
      <c r="BC132" s="4" t="str">
        <f>IFERROR(__xludf.DUMMYFUNCTION("""COMPUTED_VALUE"""),"Brasília/DF")</f>
        <v>Brasília/DF</v>
      </c>
      <c r="BD132" s="4" t="str">
        <f>IFERROR(__xludf.DUMMYFUNCTION("""COMPUTED_VALUE"""),"Dado não disponível publicamente - Necessário Discovery")</f>
        <v>Dado não disponível publicamente - Necessário Discovery</v>
      </c>
      <c r="BE132" s="4">
        <f>IFERROR(__xludf.DUMMYFUNCTION("""COMPUTED_VALUE"""),70.0)</f>
        <v>70</v>
      </c>
      <c r="BF132" s="4">
        <f>IFERROR(__xludf.DUMMYFUNCTION("""COMPUTED_VALUE"""),0.8)</f>
        <v>0.8</v>
      </c>
      <c r="BG132"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132" s="4" t="s">
        <v>69</v>
      </c>
      <c r="BI132" s="7">
        <v>0.4482758620689655</v>
      </c>
    </row>
    <row r="133" hidden="1">
      <c r="A133" s="4" t="str">
        <f>IFERROR(__xludf.DUMMYFUNCTION("""COMPUTED_VALUE"""),"JAPIDINHO")</f>
        <v>JAPIDINHO</v>
      </c>
      <c r="B133" s="4" t="str">
        <f>IFERROR(__xludf.DUMMYFUNCTION("""COMPUTED_VALUE"""),"Lídia Esteves")</f>
        <v>Lídia Esteves</v>
      </c>
      <c r="C133" s="4" t="str">
        <f>IFERROR(__xludf.DUMMYFUNCTION("""COMPUTED_VALUE"""),"Gabriela Roma")</f>
        <v>Gabriela Roma</v>
      </c>
      <c r="D133" s="4" t="str">
        <f>IFERROR(__xludf.DUMMYFUNCTION("""COMPUTED_VALUE"""),"0. Não Iniciado")</f>
        <v>0. Não Iniciado</v>
      </c>
      <c r="E133" s="4"/>
      <c r="F133" s="4" t="str">
        <f>IFERROR(__xludf.DUMMYFUNCTION("""COMPUTED_VALUE"""),"P")</f>
        <v>P</v>
      </c>
      <c r="G133" s="4"/>
      <c r="H133" s="4"/>
      <c r="I133" s="4"/>
      <c r="J133" s="4"/>
      <c r="K133" s="4"/>
      <c r="L133" s="4"/>
      <c r="M133" s="4"/>
      <c r="N133" s="4"/>
      <c r="O133" s="4"/>
      <c r="P133" s="4"/>
      <c r="Q133" s="4"/>
      <c r="R133" s="4"/>
      <c r="S133" s="4"/>
      <c r="T133" s="4"/>
      <c r="U133" s="4"/>
      <c r="V133" s="4"/>
      <c r="W133" s="4"/>
      <c r="X133" s="4"/>
      <c r="Y133" s="4"/>
      <c r="Z133" s="4"/>
      <c r="AA133" s="4">
        <f>IFERROR(__xludf.DUMMYFUNCTION("""COMPUTED_VALUE"""),5.0)</f>
        <v>5</v>
      </c>
      <c r="AB133" s="4" t="str">
        <f>IFERROR(__xludf.DUMMYFUNCTION("""COMPUTED_VALUE"""),"CE")</f>
        <v>CE</v>
      </c>
      <c r="AC133" s="4" t="str">
        <f>IFERROR(__xludf.DUMMYFUNCTION("""COMPUTED_VALUE"""),"Sim")</f>
        <v>Sim</v>
      </c>
      <c r="AD133" s="4" t="str">
        <f>IFERROR(__xludf.DUMMYFUNCTION("""COMPUTED_VALUE"""),"Ifood")</f>
        <v>Ifood</v>
      </c>
      <c r="AE133" s="4"/>
      <c r="AF133" s="4"/>
      <c r="AG133" s="4"/>
      <c r="AH133" s="4"/>
      <c r="AI133" s="4"/>
      <c r="AJ133" s="4"/>
      <c r="AK133" s="4"/>
      <c r="AL133" s="4"/>
      <c r="AM133" s="4" t="str">
        <f>IFERROR(__xludf.DUMMYFUNCTION("""COMPUTED_VALUE"""),"FY27")</f>
        <v>FY27</v>
      </c>
      <c r="AN133" s="4"/>
      <c r="AO133" s="4">
        <f>IFERROR(__xludf.DUMMYFUNCTION("""COMPUTED_VALUE"""),45553.0)</f>
        <v>45553</v>
      </c>
      <c r="AP133" s="4" t="str">
        <f>IFERROR(__xludf.DUMMYFUNCTION("""COMPUTED_VALUE"""),"MT")</f>
        <v>MT</v>
      </c>
      <c r="AQ133" s="4" t="str">
        <f>IFERROR(__xludf.DUMMYFUNCTION("""COMPUTED_VALUE"""),"TAMYLLE SOUSA")</f>
        <v>TAMYLLE SOUSA</v>
      </c>
      <c r="AR133" s="4" t="str">
        <f>IFERROR(__xludf.DUMMYFUNCTION("""COMPUTED_VALUE"""),"RODRIGO BERGA")</f>
        <v>RODRIGO BERGA</v>
      </c>
      <c r="AS133" s="4" t="str">
        <f>IFERROR(__xludf.DUMMYFUNCTION("""COMPUTED_VALUE"""),"THIAGO ROMAGNOLE")</f>
        <v>THIAGO ROMAGNOLE</v>
      </c>
      <c r="AT133" s="4" t="str">
        <f>IFERROR(__xludf.DUMMYFUNCTION("""COMPUTED_VALUE"""),"BRUNA TASSINARI")</f>
        <v>BRUNA TASSINARI</v>
      </c>
      <c r="AU133" s="4">
        <f>IFERROR(__xludf.DUMMYFUNCTION("""COMPUTED_VALUE"""),0.0)</f>
        <v>0</v>
      </c>
      <c r="AV133" s="4">
        <f>IFERROR(__xludf.DUMMYFUNCTION("""COMPUTED_VALUE"""),0.0)</f>
        <v>0</v>
      </c>
      <c r="AW133" s="4">
        <f>IFERROR(__xludf.DUMMYFUNCTION("""COMPUTED_VALUE"""),0.0)</f>
        <v>0</v>
      </c>
      <c r="AX133" s="4">
        <f>IFERROR(__xludf.DUMMYFUNCTION("""COMPUTED_VALUE"""),0.0)</f>
        <v>0</v>
      </c>
      <c r="AY133" s="4" t="str">
        <f>IFERROR(__xludf.DUMMYFUNCTION("""COMPUTED_VALUE"""),"Teknisa Service Ltda")</f>
        <v>Teknisa Service Ltda</v>
      </c>
      <c r="AZ133" s="4" t="str">
        <f>IFERROR(__xludf.DUMMYFUNCTION("""COMPUTED_VALUE"""),"Japonesa")</f>
        <v>Japonesa</v>
      </c>
      <c r="BA133" s="4">
        <f>IFERROR(__xludf.DUMMYFUNCTION("""COMPUTED_VALUE"""),107.0)</f>
        <v>107</v>
      </c>
      <c r="BB133" s="4" t="str">
        <f>IFERROR(__xludf.DUMMYFUNCTION("""COMPUTED_VALUE"""),"Fast Casual - Japonesa")</f>
        <v>Fast Casual - Japonesa</v>
      </c>
      <c r="BC133" s="4" t="str">
        <f>IFERROR(__xludf.DUMMYFUNCTION("""COMPUTED_VALUE"""),"São Paulo/SP")</f>
        <v>São Paulo/SP</v>
      </c>
      <c r="BD133" s="4" t="str">
        <f>IFERROR(__xludf.DUMMYFUNCTION("""COMPUTED_VALUE"""),"Dado não disponível publicamente - Necessário Discovery")</f>
        <v>Dado não disponível publicamente - Necessário Discovery</v>
      </c>
      <c r="BE133" s="4">
        <f>IFERROR(__xludf.DUMMYFUNCTION("""COMPUTED_VALUE"""),70.0)</f>
        <v>70</v>
      </c>
      <c r="BF133" s="4">
        <f>IFERROR(__xludf.DUMMYFUNCTION("""COMPUTED_VALUE"""),0.8)</f>
        <v>0.8</v>
      </c>
      <c r="BG133"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133" s="4" t="s">
        <v>64</v>
      </c>
      <c r="BI133" s="7">
        <v>1.0</v>
      </c>
    </row>
    <row r="134" hidden="1">
      <c r="A134" s="4" t="str">
        <f>IFERROR(__xludf.DUMMYFUNCTION("""COMPUTED_VALUE"""),"JET PIZZAS")</f>
        <v>JET PIZZAS</v>
      </c>
      <c r="B134" s="4" t="str">
        <f>IFERROR(__xludf.DUMMYFUNCTION("""COMPUTED_VALUE"""),"Lídia Esteves")</f>
        <v>Lídia Esteves</v>
      </c>
      <c r="C134" s="4" t="str">
        <f>IFERROR(__xludf.DUMMYFUNCTION("""COMPUTED_VALUE"""),"Gabriela Roma")</f>
        <v>Gabriela Roma</v>
      </c>
      <c r="D134" s="4" t="str">
        <f>IFERROR(__xludf.DUMMYFUNCTION("""COMPUTED_VALUE"""),"0. Não Iniciado")</f>
        <v>0. Não Iniciado</v>
      </c>
      <c r="E134" s="4"/>
      <c r="F134" s="4" t="str">
        <f>IFERROR(__xludf.DUMMYFUNCTION("""COMPUTED_VALUE"""),"P")</f>
        <v>P</v>
      </c>
      <c r="G134" s="4"/>
      <c r="H134" s="4"/>
      <c r="I134" s="4"/>
      <c r="J134" s="4"/>
      <c r="K134" s="4"/>
      <c r="L134" s="4"/>
      <c r="M134" s="4"/>
      <c r="N134" s="4"/>
      <c r="O134" s="4"/>
      <c r="P134" s="4"/>
      <c r="Q134" s="4"/>
      <c r="R134" s="4"/>
      <c r="S134" s="4"/>
      <c r="T134" s="4"/>
      <c r="U134" s="4"/>
      <c r="V134" s="4"/>
      <c r="W134" s="4"/>
      <c r="X134" s="4"/>
      <c r="Y134" s="4"/>
      <c r="Z134" s="4"/>
      <c r="AA134" s="4">
        <f>IFERROR(__xludf.DUMMYFUNCTION("""COMPUTED_VALUE"""),13.0)</f>
        <v>13</v>
      </c>
      <c r="AB134" s="4" t="str">
        <f>IFERROR(__xludf.DUMMYFUNCTION("""COMPUTED_VALUE"""),"CE")</f>
        <v>CE</v>
      </c>
      <c r="AC134" s="4" t="str">
        <f>IFERROR(__xludf.DUMMYFUNCTION("""COMPUTED_VALUE"""),"Sim")</f>
        <v>Sim</v>
      </c>
      <c r="AD134" s="4" t="str">
        <f>IFERROR(__xludf.DUMMYFUNCTION("""COMPUTED_VALUE"""),"Ifood")</f>
        <v>Ifood</v>
      </c>
      <c r="AE134" s="4"/>
      <c r="AF134" s="4"/>
      <c r="AG134" s="4"/>
      <c r="AH134" s="4"/>
      <c r="AI134" s="4"/>
      <c r="AJ134" s="4"/>
      <c r="AK134" s="4"/>
      <c r="AL134" s="4"/>
      <c r="AM134" s="4" t="str">
        <f>IFERROR(__xludf.DUMMYFUNCTION("""COMPUTED_VALUE"""),"FY27")</f>
        <v>FY27</v>
      </c>
      <c r="AN134" s="4"/>
      <c r="AO134" s="4">
        <f>IFERROR(__xludf.DUMMYFUNCTION("""COMPUTED_VALUE"""),45553.0)</f>
        <v>45553</v>
      </c>
      <c r="AP134" s="4" t="str">
        <f>IFERROR(__xludf.DUMMYFUNCTION("""COMPUTED_VALUE"""),"SP")</f>
        <v>SP</v>
      </c>
      <c r="AQ134" s="4" t="str">
        <f>IFERROR(__xludf.DUMMYFUNCTION("""COMPUTED_VALUE"""),"ISADORA GARCIA")</f>
        <v>ISADORA GARCIA</v>
      </c>
      <c r="AR134" s="4" t="str">
        <f>IFERROR(__xludf.DUMMYFUNCTION("""COMPUTED_VALUE"""),"GUSTAVO THOMPSON")</f>
        <v>GUSTAVO THOMPSON</v>
      </c>
      <c r="AS134" s="4" t="str">
        <f>IFERROR(__xludf.DUMMYFUNCTION("""COMPUTED_VALUE"""),"NATHALIE MERTENS")</f>
        <v>NATHALIE MERTENS</v>
      </c>
      <c r="AT134" s="4" t="str">
        <f>IFERROR(__xludf.DUMMYFUNCTION("""COMPUTED_VALUE"""),"MATHEUS LESSA")</f>
        <v>MATHEUS LESSA</v>
      </c>
      <c r="AU134" s="4">
        <f>IFERROR(__xludf.DUMMYFUNCTION("""COMPUTED_VALUE"""),0.0)</f>
        <v>0</v>
      </c>
      <c r="AV134" s="4">
        <f>IFERROR(__xludf.DUMMYFUNCTION("""COMPUTED_VALUE"""),0.0)</f>
        <v>0</v>
      </c>
      <c r="AW134" s="4">
        <f>IFERROR(__xludf.DUMMYFUNCTION("""COMPUTED_VALUE"""),0.0)</f>
        <v>0</v>
      </c>
      <c r="AX134" s="4">
        <f>IFERROR(__xludf.DUMMYFUNCTION("""COMPUTED_VALUE"""),0.0)</f>
        <v>0</v>
      </c>
      <c r="AY134" s="4"/>
      <c r="AZ134" s="4" t="str">
        <f>IFERROR(__xludf.DUMMYFUNCTION("""COMPUTED_VALUE"""),"Pizza")</f>
        <v>Pizza</v>
      </c>
      <c r="BA134" s="4">
        <f>IFERROR(__xludf.DUMMYFUNCTION("""COMPUTED_VALUE"""),82.0)</f>
        <v>82</v>
      </c>
      <c r="BB134" s="4" t="str">
        <f>IFERROR(__xludf.DUMMYFUNCTION("""COMPUTED_VALUE"""),"Fast Casual - Pizzaria")</f>
        <v>Fast Casual - Pizzaria</v>
      </c>
      <c r="BC134" s="4" t="str">
        <f>IFERROR(__xludf.DUMMYFUNCTION("""COMPUTED_VALUE"""),"São Paulo/SP")</f>
        <v>São Paulo/SP</v>
      </c>
      <c r="BD134" s="4" t="str">
        <f>IFERROR(__xludf.DUMMYFUNCTION("""COMPUTED_VALUE"""),"Dado não disponível publicamente - Necessário Discovery")</f>
        <v>Dado não disponível publicamente - Necessário Discovery</v>
      </c>
      <c r="BE134" s="4">
        <f>IFERROR(__xludf.DUMMYFUNCTION("""COMPUTED_VALUE"""),65.0)</f>
        <v>65</v>
      </c>
      <c r="BF134" s="4">
        <f>IFERROR(__xludf.DUMMYFUNCTION("""COMPUTED_VALUE"""),0.75)</f>
        <v>0.75</v>
      </c>
      <c r="BG13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34" s="4" t="s">
        <v>101</v>
      </c>
      <c r="BI134" s="7">
        <v>0.8666666666666667</v>
      </c>
    </row>
    <row r="135" hidden="1">
      <c r="A135" s="4" t="str">
        <f>IFERROR(__xludf.DUMMYFUNCTION("""COMPUTED_VALUE"""),"JON PIZZA CO - MARCA")</f>
        <v>JON PIZZA CO - MARCA</v>
      </c>
      <c r="B135" s="4" t="str">
        <f>IFERROR(__xludf.DUMMYFUNCTION("""COMPUTED_VALUE"""),"Lídia Esteves")</f>
        <v>Lídia Esteves</v>
      </c>
      <c r="C135" s="4" t="str">
        <f>IFERROR(__xludf.DUMMYFUNCTION("""COMPUTED_VALUE"""),"Gabriela Roma")</f>
        <v>Gabriela Roma</v>
      </c>
      <c r="D135" s="4" t="str">
        <f>IFERROR(__xludf.DUMMYFUNCTION("""COMPUTED_VALUE"""),"0. Não Iniciado")</f>
        <v>0. Não Iniciado</v>
      </c>
      <c r="E135" s="4"/>
      <c r="F135" s="4" t="str">
        <f>IFERROR(__xludf.DUMMYFUNCTION("""COMPUTED_VALUE"""),"P")</f>
        <v>P</v>
      </c>
      <c r="G135" s="4"/>
      <c r="H135" s="4"/>
      <c r="I135" s="4"/>
      <c r="J135" s="4"/>
      <c r="K135" s="4"/>
      <c r="L135" s="4"/>
      <c r="M135" s="4"/>
      <c r="N135" s="4"/>
      <c r="O135" s="4"/>
      <c r="P135" s="4"/>
      <c r="Q135" s="4"/>
      <c r="R135" s="4"/>
      <c r="S135" s="4"/>
      <c r="T135" s="4"/>
      <c r="U135" s="4"/>
      <c r="V135" s="4"/>
      <c r="W135" s="4"/>
      <c r="X135" s="4"/>
      <c r="Y135" s="4"/>
      <c r="Z135" s="4"/>
      <c r="AA135" s="4">
        <f>IFERROR(__xludf.DUMMYFUNCTION("""COMPUTED_VALUE"""),6.0)</f>
        <v>6</v>
      </c>
      <c r="AB135" s="4" t="str">
        <f>IFERROR(__xludf.DUMMYFUNCTION("""COMPUTED_VALUE"""),"CE")</f>
        <v>CE</v>
      </c>
      <c r="AC135" s="4" t="str">
        <f>IFERROR(__xludf.DUMMYFUNCTION("""COMPUTED_VALUE"""),"Sim")</f>
        <v>Sim</v>
      </c>
      <c r="AD135" s="4" t="str">
        <f>IFERROR(__xludf.DUMMYFUNCTION("""COMPUTED_VALUE"""),"Ifood")</f>
        <v>Ifood</v>
      </c>
      <c r="AE135" s="4"/>
      <c r="AF135" s="4"/>
      <c r="AG135" s="4"/>
      <c r="AH135" s="4"/>
      <c r="AI135" s="4"/>
      <c r="AJ135" s="4"/>
      <c r="AK135" s="4"/>
      <c r="AL135" s="4"/>
      <c r="AM135" s="4" t="str">
        <f>IFERROR(__xludf.DUMMYFUNCTION("""COMPUTED_VALUE"""),"FY27")</f>
        <v>FY27</v>
      </c>
      <c r="AN135" s="4"/>
      <c r="AO135" s="4">
        <f>IFERROR(__xludf.DUMMYFUNCTION("""COMPUTED_VALUE"""),45553.0)</f>
        <v>45553</v>
      </c>
      <c r="AP135" s="4" t="str">
        <f>IFERROR(__xludf.DUMMYFUNCTION("""COMPUTED_VALUE"""),"PR")</f>
        <v>PR</v>
      </c>
      <c r="AQ135" s="4" t="str">
        <f>IFERROR(__xludf.DUMMYFUNCTION("""COMPUTED_VALUE"""),"BRUNA MONTEZIN")</f>
        <v>BRUNA MONTEZIN</v>
      </c>
      <c r="AR135" s="4" t="str">
        <f>IFERROR(__xludf.DUMMYFUNCTION("""COMPUTED_VALUE"""),"TULIO VICARI")</f>
        <v>TULIO VICARI</v>
      </c>
      <c r="AS135" s="4" t="str">
        <f>IFERROR(__xludf.DUMMYFUNCTION("""COMPUTED_VALUE"""),"FABIO DONATO")</f>
        <v>FABIO DONATO</v>
      </c>
      <c r="AT135" s="4" t="str">
        <f>IFERROR(__xludf.DUMMYFUNCTION("""COMPUTED_VALUE"""),"MURILO NAGASHIMA")</f>
        <v>MURILO NAGASHIMA</v>
      </c>
      <c r="AU135" s="4">
        <f>IFERROR(__xludf.DUMMYFUNCTION("""COMPUTED_VALUE"""),0.0)</f>
        <v>0</v>
      </c>
      <c r="AV135" s="4">
        <f>IFERROR(__xludf.DUMMYFUNCTION("""COMPUTED_VALUE"""),0.0)</f>
        <v>0</v>
      </c>
      <c r="AW135" s="4">
        <f>IFERROR(__xludf.DUMMYFUNCTION("""COMPUTED_VALUE"""),0.0)</f>
        <v>0</v>
      </c>
      <c r="AX135" s="4">
        <f>IFERROR(__xludf.DUMMYFUNCTION("""COMPUTED_VALUE"""),0.0)</f>
        <v>0</v>
      </c>
      <c r="AY135" s="4"/>
      <c r="AZ135" s="4" t="str">
        <f>IFERROR(__xludf.DUMMYFUNCTION("""COMPUTED_VALUE"""),"Pizza")</f>
        <v>Pizza</v>
      </c>
      <c r="BA135" s="4">
        <f>IFERROR(__xludf.DUMMYFUNCTION("""COMPUTED_VALUE"""),77.0)</f>
        <v>77</v>
      </c>
      <c r="BB135" s="4" t="str">
        <f>IFERROR(__xludf.DUMMYFUNCTION("""COMPUTED_VALUE"""),"Fast Casual - Pizzaria")</f>
        <v>Fast Casual - Pizzaria</v>
      </c>
      <c r="BC135" s="4" t="str">
        <f>IFERROR(__xludf.DUMMYFUNCTION("""COMPUTED_VALUE"""),"Centro-Oeste")</f>
        <v>Centro-Oeste</v>
      </c>
      <c r="BD135" s="4" t="str">
        <f>IFERROR(__xludf.DUMMYFUNCTION("""COMPUTED_VALUE"""),"Dado não disponível publicamente - Necessário Discovery")</f>
        <v>Dado não disponível publicamente - Necessário Discovery</v>
      </c>
      <c r="BE135" s="4">
        <f>IFERROR(__xludf.DUMMYFUNCTION("""COMPUTED_VALUE"""),65.0)</f>
        <v>65</v>
      </c>
      <c r="BF135" s="4">
        <f>IFERROR(__xludf.DUMMYFUNCTION("""COMPUTED_VALUE"""),0.75)</f>
        <v>0.75</v>
      </c>
      <c r="BG13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35" s="4" t="s">
        <v>66</v>
      </c>
      <c r="BI135" s="7">
        <v>0.8</v>
      </c>
    </row>
    <row r="136" hidden="1">
      <c r="A136" s="4" t="str">
        <f>IFERROR(__xludf.DUMMYFUNCTION("""COMPUTED_VALUE"""),"KADALORA")</f>
        <v>KADALORA</v>
      </c>
      <c r="B136" s="4" t="str">
        <f>IFERROR(__xludf.DUMMYFUNCTION("""COMPUTED_VALUE"""),"Lídia Esteves")</f>
        <v>Lídia Esteves</v>
      </c>
      <c r="C136" s="4" t="str">
        <f>IFERROR(__xludf.DUMMYFUNCTION("""COMPUTED_VALUE"""),"Gabriela Roma")</f>
        <v>Gabriela Roma</v>
      </c>
      <c r="D136" s="4" t="str">
        <f>IFERROR(__xludf.DUMMYFUNCTION("""COMPUTED_VALUE"""),"0. Não Iniciado")</f>
        <v>0. Não Iniciado</v>
      </c>
      <c r="E136" s="4"/>
      <c r="F136" s="4" t="str">
        <f>IFERROR(__xludf.DUMMYFUNCTION("""COMPUTED_VALUE"""),"P")</f>
        <v>P</v>
      </c>
      <c r="G136" s="4"/>
      <c r="H136" s="4"/>
      <c r="I136" s="4"/>
      <c r="J136" s="4"/>
      <c r="K136" s="4"/>
      <c r="L136" s="4"/>
      <c r="M136" s="4"/>
      <c r="N136" s="4"/>
      <c r="O136" s="4"/>
      <c r="P136" s="4"/>
      <c r="Q136" s="4"/>
      <c r="R136" s="4"/>
      <c r="S136" s="4"/>
      <c r="T136" s="4"/>
      <c r="U136" s="4"/>
      <c r="V136" s="4"/>
      <c r="W136" s="4"/>
      <c r="X136" s="4"/>
      <c r="Y136" s="4"/>
      <c r="Z136" s="4"/>
      <c r="AA136" s="4">
        <f>IFERROR(__xludf.DUMMYFUNCTION("""COMPUTED_VALUE"""),15.0)</f>
        <v>15</v>
      </c>
      <c r="AB136" s="4" t="str">
        <f>IFERROR(__xludf.DUMMYFUNCTION("""COMPUTED_VALUE"""),"CE")</f>
        <v>CE</v>
      </c>
      <c r="AC136" s="4" t="str">
        <f>IFERROR(__xludf.DUMMYFUNCTION("""COMPUTED_VALUE"""),"Sim")</f>
        <v>Sim</v>
      </c>
      <c r="AD136" s="4">
        <f>IFERROR(__xludf.DUMMYFUNCTION("""COMPUTED_VALUE"""),0.0)</f>
        <v>0</v>
      </c>
      <c r="AE136" s="4"/>
      <c r="AF136" s="4"/>
      <c r="AG136" s="4"/>
      <c r="AH136" s="4"/>
      <c r="AI136" s="4"/>
      <c r="AJ136" s="4"/>
      <c r="AK136" s="4"/>
      <c r="AL136" s="4"/>
      <c r="AM136" s="4" t="str">
        <f>IFERROR(__xludf.DUMMYFUNCTION("""COMPUTED_VALUE"""),"FY27")</f>
        <v>FY27</v>
      </c>
      <c r="AN136" s="4"/>
      <c r="AO136" s="4">
        <f>IFERROR(__xludf.DUMMYFUNCTION("""COMPUTED_VALUE"""),45553.0)</f>
        <v>45553</v>
      </c>
      <c r="AP136" s="4">
        <f>IFERROR(__xludf.DUMMYFUNCTION("""COMPUTED_VALUE"""),0.0)</f>
        <v>0</v>
      </c>
      <c r="AQ136" s="4">
        <f>IFERROR(__xludf.DUMMYFUNCTION("""COMPUTED_VALUE"""),0.0)</f>
        <v>0</v>
      </c>
      <c r="AR136" s="4">
        <f>IFERROR(__xludf.DUMMYFUNCTION("""COMPUTED_VALUE"""),0.0)</f>
        <v>0</v>
      </c>
      <c r="AS136" s="4">
        <f>IFERROR(__xludf.DUMMYFUNCTION("""COMPUTED_VALUE"""),0.0)</f>
        <v>0</v>
      </c>
      <c r="AT136" s="4">
        <f>IFERROR(__xludf.DUMMYFUNCTION("""COMPUTED_VALUE"""),0.0)</f>
        <v>0</v>
      </c>
      <c r="AU136" s="4">
        <f>IFERROR(__xludf.DUMMYFUNCTION("""COMPUTED_VALUE"""),0.0)</f>
        <v>0</v>
      </c>
      <c r="AV136" s="4">
        <f>IFERROR(__xludf.DUMMYFUNCTION("""COMPUTED_VALUE"""),0.0)</f>
        <v>0</v>
      </c>
      <c r="AW136" s="4">
        <f>IFERROR(__xludf.DUMMYFUNCTION("""COMPUTED_VALUE"""),0.0)</f>
        <v>0</v>
      </c>
      <c r="AX136" s="4">
        <f>IFERROR(__xludf.DUMMYFUNCTION("""COMPUTED_VALUE"""),0.0)</f>
        <v>0</v>
      </c>
      <c r="AY136" s="4" t="str">
        <f>IFERROR(__xludf.DUMMYFUNCTION("""COMPUTED_VALUE"""),"Grk Soluções Informatica Eireli")</f>
        <v>Grk Soluções Informatica Eireli</v>
      </c>
      <c r="AZ136" s="4" t="str">
        <f>IFERROR(__xludf.DUMMYFUNCTION("""COMPUTED_VALUE"""),"Árabe; Japonesa; Pizza; Frangos; Lanche")</f>
        <v>Árabe; Japonesa; Pizza; Frangos; Lanche</v>
      </c>
      <c r="BA136" s="4">
        <f>IFERROR(__xludf.DUMMYFUNCTION("""COMPUTED_VALUE"""),72.0)</f>
        <v>72</v>
      </c>
      <c r="BB136" s="4" t="str">
        <f>IFERROR(__xludf.DUMMYFUNCTION("""COMPUTED_VALUE"""),"Fast Casual - Multi-conceito")</f>
        <v>Fast Casual - Multi-conceito</v>
      </c>
      <c r="BC136" s="4" t="str">
        <f>IFERROR(__xludf.DUMMYFUNCTION("""COMPUTED_VALUE"""),"Sul")</f>
        <v>Sul</v>
      </c>
      <c r="BD136" s="4" t="str">
        <f>IFERROR(__xludf.DUMMYFUNCTION("""COMPUTED_VALUE"""),"Dado não disponível publicamente - Necessário Discovery")</f>
        <v>Dado não disponível publicamente - Necessário Discovery</v>
      </c>
      <c r="BE136" s="4">
        <f>IFERROR(__xludf.DUMMYFUNCTION("""COMPUTED_VALUE"""),70.0)</f>
        <v>70</v>
      </c>
      <c r="BF136" s="4">
        <f>IFERROR(__xludf.DUMMYFUNCTION("""COMPUTED_VALUE"""),0.75)</f>
        <v>0.75</v>
      </c>
      <c r="BG13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36" s="4" t="s">
        <v>101</v>
      </c>
      <c r="BI136" s="7">
        <v>0.625</v>
      </c>
    </row>
    <row r="137" hidden="1">
      <c r="A137" s="4" t="str">
        <f>IFERROR(__xludf.DUMMYFUNCTION("""COMPUTED_VALUE"""),"KINA DO FEIJAO VERDE")</f>
        <v>KINA DO FEIJAO VERDE</v>
      </c>
      <c r="B137" s="4" t="str">
        <f>IFERROR(__xludf.DUMMYFUNCTION("""COMPUTED_VALUE"""),"João Biagiotti")</f>
        <v>João Biagiotti</v>
      </c>
      <c r="C137" s="4" t="str">
        <f>IFERROR(__xludf.DUMMYFUNCTION("""COMPUTED_VALUE"""),"Diego Santos")</f>
        <v>Diego Santos</v>
      </c>
      <c r="D137" s="4" t="str">
        <f>IFERROR(__xludf.DUMMYFUNCTION("""COMPUTED_VALUE"""),"0. Não Iniciado")</f>
        <v>0. Não Iniciado</v>
      </c>
      <c r="E137" s="4"/>
      <c r="F137" s="4" t="str">
        <f>IFERROR(__xludf.DUMMYFUNCTION("""COMPUTED_VALUE"""),"P")</f>
        <v>P</v>
      </c>
      <c r="G137" s="4"/>
      <c r="H137" s="4"/>
      <c r="I137" s="4"/>
      <c r="J137" s="4"/>
      <c r="K137" s="4"/>
      <c r="L137" s="4"/>
      <c r="M137" s="4"/>
      <c r="N137" s="4"/>
      <c r="O137" s="4"/>
      <c r="P137" s="4"/>
      <c r="Q137" s="4"/>
      <c r="R137" s="4"/>
      <c r="S137" s="4"/>
      <c r="T137" s="4"/>
      <c r="U137" s="4"/>
      <c r="V137" s="4"/>
      <c r="W137" s="4"/>
      <c r="X137" s="4"/>
      <c r="Y137" s="4"/>
      <c r="Z137" s="4"/>
      <c r="AA137" s="4">
        <f>IFERROR(__xludf.DUMMYFUNCTION("""COMPUTED_VALUE"""),5.0)</f>
        <v>5</v>
      </c>
      <c r="AB137" s="4" t="str">
        <f>IFERROR(__xludf.DUMMYFUNCTION("""COMPUTED_VALUE"""),"CE")</f>
        <v>CE</v>
      </c>
      <c r="AC137" s="4" t="str">
        <f>IFERROR(__xludf.DUMMYFUNCTION("""COMPUTED_VALUE"""),"Sim")</f>
        <v>Sim</v>
      </c>
      <c r="AD137" s="4" t="str">
        <f>IFERROR(__xludf.DUMMYFUNCTION("""COMPUTED_VALUE"""),"Totvs Large Enterprise Tecnologia S.a.")</f>
        <v>Totvs Large Enterprise Tecnologia S.a.</v>
      </c>
      <c r="AE137" s="4"/>
      <c r="AF137" s="4"/>
      <c r="AG137" s="4"/>
      <c r="AH137" s="4"/>
      <c r="AI137" s="4"/>
      <c r="AJ137" s="4"/>
      <c r="AK137" s="4"/>
      <c r="AL137" s="4"/>
      <c r="AM137" s="4" t="str">
        <f>IFERROR(__xludf.DUMMYFUNCTION("""COMPUTED_VALUE"""),"FY27")</f>
        <v>FY27</v>
      </c>
      <c r="AN137" s="4"/>
      <c r="AO137" s="4">
        <f>IFERROR(__xludf.DUMMYFUNCTION("""COMPUTED_VALUE"""),45553.0)</f>
        <v>45553</v>
      </c>
      <c r="AP137" s="4" t="str">
        <f>IFERROR(__xludf.DUMMYFUNCTION("""COMPUTED_VALUE"""),"CE")</f>
        <v>CE</v>
      </c>
      <c r="AQ137" s="4" t="str">
        <f>IFERROR(__xludf.DUMMYFUNCTION("""COMPUTED_VALUE"""),"FABIO MAKARON")</f>
        <v>FABIO MAKARON</v>
      </c>
      <c r="AR137" s="4" t="str">
        <f>IFERROR(__xludf.DUMMYFUNCTION("""COMPUTED_VALUE"""),"RAUL OLIVEIRA")</f>
        <v>RAUL OLIVEIRA</v>
      </c>
      <c r="AS137" s="4" t="str">
        <f>IFERROR(__xludf.DUMMYFUNCTION("""COMPUTED_VALUE"""),"THIAGO ROMAGNOLE")</f>
        <v>THIAGO ROMAGNOLE</v>
      </c>
      <c r="AT137" s="4" t="str">
        <f>IFERROR(__xludf.DUMMYFUNCTION("""COMPUTED_VALUE"""),"EDUARDO VAZ")</f>
        <v>EDUARDO VAZ</v>
      </c>
      <c r="AU137" s="4">
        <f>IFERROR(__xludf.DUMMYFUNCTION("""COMPUTED_VALUE"""),0.0)</f>
        <v>0</v>
      </c>
      <c r="AV137" s="4">
        <f>IFERROR(__xludf.DUMMYFUNCTION("""COMPUTED_VALUE"""),0.0)</f>
        <v>0</v>
      </c>
      <c r="AW137" s="4">
        <f>IFERROR(__xludf.DUMMYFUNCTION("""COMPUTED_VALUE"""),0.0)</f>
        <v>0</v>
      </c>
      <c r="AX137" s="4">
        <f>IFERROR(__xludf.DUMMYFUNCTION("""COMPUTED_VALUE"""),0.0)</f>
        <v>0</v>
      </c>
      <c r="AY137" s="4"/>
      <c r="AZ137" s="4" t="str">
        <f>IFERROR(__xludf.DUMMYFUNCTION("""COMPUTED_VALUE"""),"Brasileira")</f>
        <v>Brasileira</v>
      </c>
      <c r="BA137" s="4">
        <f>IFERROR(__xludf.DUMMYFUNCTION("""COMPUTED_VALUE"""),72.0)</f>
        <v>72</v>
      </c>
      <c r="BB137" s="4" t="str">
        <f>IFERROR(__xludf.DUMMYFUNCTION("""COMPUTED_VALUE"""),"Fast Casual - Multi-conceito")</f>
        <v>Fast Casual - Multi-conceito</v>
      </c>
      <c r="BC137" s="4" t="str">
        <f>IFERROR(__xludf.DUMMYFUNCTION("""COMPUTED_VALUE"""),"Centro-Oeste")</f>
        <v>Centro-Oeste</v>
      </c>
      <c r="BD137" s="4" t="str">
        <f>IFERROR(__xludf.DUMMYFUNCTION("""COMPUTED_VALUE"""),"Dado não disponível publicamente - Necessário Discovery")</f>
        <v>Dado não disponível publicamente - Necessário Discovery</v>
      </c>
      <c r="BE137" s="4">
        <f>IFERROR(__xludf.DUMMYFUNCTION("""COMPUTED_VALUE"""),65.0)</f>
        <v>65</v>
      </c>
      <c r="BF137" s="4">
        <f>IFERROR(__xludf.DUMMYFUNCTION("""COMPUTED_VALUE"""),0.75)</f>
        <v>0.75</v>
      </c>
      <c r="BG13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37" s="4" t="s">
        <v>78</v>
      </c>
      <c r="BI137" s="7">
        <v>0.75</v>
      </c>
    </row>
    <row r="138" hidden="1">
      <c r="A138" s="4" t="str">
        <f>IFERROR(__xludf.DUMMYFUNCTION("""COMPUTED_VALUE"""),"KK")</f>
        <v>KK</v>
      </c>
      <c r="B138" s="4" t="str">
        <f>IFERROR(__xludf.DUMMYFUNCTION("""COMPUTED_VALUE"""),"João Biagiotti")</f>
        <v>João Biagiotti</v>
      </c>
      <c r="C138" s="4" t="str">
        <f>IFERROR(__xludf.DUMMYFUNCTION("""COMPUTED_VALUE"""),"Diego Santos")</f>
        <v>Diego Santos</v>
      </c>
      <c r="D138" s="4" t="str">
        <f>IFERROR(__xludf.DUMMYFUNCTION("""COMPUTED_VALUE"""),"0. Não Iniciado")</f>
        <v>0. Não Iniciado</v>
      </c>
      <c r="E138" s="4"/>
      <c r="F138" s="4" t="str">
        <f>IFERROR(__xludf.DUMMYFUNCTION("""COMPUTED_VALUE"""),"P")</f>
        <v>P</v>
      </c>
      <c r="G138" s="4"/>
      <c r="H138" s="4"/>
      <c r="I138" s="4"/>
      <c r="J138" s="4"/>
      <c r="K138" s="4"/>
      <c r="L138" s="4"/>
      <c r="M138" s="4"/>
      <c r="N138" s="4"/>
      <c r="O138" s="4"/>
      <c r="P138" s="4"/>
      <c r="Q138" s="4"/>
      <c r="R138" s="4"/>
      <c r="S138" s="4"/>
      <c r="T138" s="4"/>
      <c r="U138" s="4"/>
      <c r="V138" s="4"/>
      <c r="W138" s="4"/>
      <c r="X138" s="4"/>
      <c r="Y138" s="4"/>
      <c r="Z138" s="4"/>
      <c r="AA138" s="4">
        <f>IFERROR(__xludf.DUMMYFUNCTION("""COMPUTED_VALUE"""),9.0)</f>
        <v>9</v>
      </c>
      <c r="AB138" s="4" t="str">
        <f>IFERROR(__xludf.DUMMYFUNCTION("""COMPUTED_VALUE"""),"CE")</f>
        <v>CE</v>
      </c>
      <c r="AC138" s="4" t="str">
        <f>IFERROR(__xludf.DUMMYFUNCTION("""COMPUTED_VALUE"""),"Sim")</f>
        <v>Sim</v>
      </c>
      <c r="AD138" s="4" t="str">
        <f>IFERROR(__xludf.DUMMYFUNCTION("""COMPUTED_VALUE"""),"Swfast Sistemas")</f>
        <v>Swfast Sistemas</v>
      </c>
      <c r="AE138" s="4"/>
      <c r="AF138" s="4"/>
      <c r="AG138" s="4"/>
      <c r="AH138" s="4"/>
      <c r="AI138" s="4"/>
      <c r="AJ138" s="4"/>
      <c r="AK138" s="4"/>
      <c r="AL138" s="4"/>
      <c r="AM138" s="4" t="str">
        <f>IFERROR(__xludf.DUMMYFUNCTION("""COMPUTED_VALUE"""),"FY27")</f>
        <v>FY27</v>
      </c>
      <c r="AN138" s="4"/>
      <c r="AO138" s="4">
        <f>IFERROR(__xludf.DUMMYFUNCTION("""COMPUTED_VALUE"""),45553.0)</f>
        <v>45553</v>
      </c>
      <c r="AP138" s="4" t="str">
        <f>IFERROR(__xludf.DUMMYFUNCTION("""COMPUTED_VALUE"""),"SP")</f>
        <v>SP</v>
      </c>
      <c r="AQ138" s="4" t="str">
        <f>IFERROR(__xludf.DUMMYFUNCTION("""COMPUTED_VALUE"""),"LAURA APOLINARIO")</f>
        <v>LAURA APOLINARIO</v>
      </c>
      <c r="AR138" s="4" t="str">
        <f>IFERROR(__xludf.DUMMYFUNCTION("""COMPUTED_VALUE"""),"VANESSA NASCIMENTO")</f>
        <v>VANESSA NASCIMENTO</v>
      </c>
      <c r="AS138" s="4" t="str">
        <f>IFERROR(__xludf.DUMMYFUNCTION("""COMPUTED_VALUE"""),"ALAN HADDAD")</f>
        <v>ALAN HADDAD</v>
      </c>
      <c r="AT138" s="4" t="str">
        <f>IFERROR(__xludf.DUMMYFUNCTION("""COMPUTED_VALUE"""),"GABRIEL PERES")</f>
        <v>GABRIEL PERES</v>
      </c>
      <c r="AU138" s="4">
        <f>IFERROR(__xludf.DUMMYFUNCTION("""COMPUTED_VALUE"""),0.0)</f>
        <v>0</v>
      </c>
      <c r="AV138" s="4">
        <f>IFERROR(__xludf.DUMMYFUNCTION("""COMPUTED_VALUE"""),0.0)</f>
        <v>0</v>
      </c>
      <c r="AW138" s="4">
        <f>IFERROR(__xludf.DUMMYFUNCTION("""COMPUTED_VALUE"""),0.0)</f>
        <v>0</v>
      </c>
      <c r="AX138" s="4">
        <f>IFERROR(__xludf.DUMMYFUNCTION("""COMPUTED_VALUE"""),0.0)</f>
        <v>0</v>
      </c>
      <c r="AY138" s="4"/>
      <c r="AZ138" s="4" t="str">
        <f>IFERROR(__xludf.DUMMYFUNCTION("""COMPUTED_VALUE"""),"Doces &amp; Bolos")</f>
        <v>Doces &amp; Bolos</v>
      </c>
      <c r="BA138" s="4">
        <f>IFERROR(__xludf.DUMMYFUNCTION("""COMPUTED_VALUE"""),54.0)</f>
        <v>54</v>
      </c>
      <c r="BB138" s="4" t="str">
        <f>IFERROR(__xludf.DUMMYFUNCTION("""COMPUTED_VALUE"""),"Fast Casual - Multi-conceito")</f>
        <v>Fast Casual - Multi-conceito</v>
      </c>
      <c r="BC138" s="4" t="str">
        <f>IFERROR(__xludf.DUMMYFUNCTION("""COMPUTED_VALUE"""),"Regional")</f>
        <v>Regional</v>
      </c>
      <c r="BD138" s="4" t="str">
        <f>IFERROR(__xludf.DUMMYFUNCTION("""COMPUTED_VALUE"""),"Dado não disponível publicamente - Necessário Discovery")</f>
        <v>Dado não disponível publicamente - Necessário Discovery</v>
      </c>
      <c r="BE138" s="4">
        <f>IFERROR(__xludf.DUMMYFUNCTION("""COMPUTED_VALUE"""),65.0)</f>
        <v>65</v>
      </c>
      <c r="BF138" s="4">
        <f>IFERROR(__xludf.DUMMYFUNCTION("""COMPUTED_VALUE"""),0.75)</f>
        <v>0.75</v>
      </c>
      <c r="BG13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38" s="4" t="s">
        <v>69</v>
      </c>
      <c r="BI138" s="7">
        <v>0.7307692307692307</v>
      </c>
    </row>
    <row r="139" hidden="1">
      <c r="A139" s="4" t="str">
        <f>IFERROR(__xludf.DUMMYFUNCTION("""COMPUTED_VALUE"""),"KOMBIS HOT DOG -")</f>
        <v>KOMBIS HOT DOG -</v>
      </c>
      <c r="B139" s="4" t="str">
        <f>IFERROR(__xludf.DUMMYFUNCTION("""COMPUTED_VALUE"""),"Lídia Esteves")</f>
        <v>Lídia Esteves</v>
      </c>
      <c r="C139" s="4" t="str">
        <f>IFERROR(__xludf.DUMMYFUNCTION("""COMPUTED_VALUE"""),"Gabriela Roma")</f>
        <v>Gabriela Roma</v>
      </c>
      <c r="D139" s="4" t="str">
        <f>IFERROR(__xludf.DUMMYFUNCTION("""COMPUTED_VALUE"""),"0. Não Iniciado")</f>
        <v>0. Não Iniciado</v>
      </c>
      <c r="E139" s="4"/>
      <c r="F139" s="4" t="str">
        <f>IFERROR(__xludf.DUMMYFUNCTION("""COMPUTED_VALUE"""),"P")</f>
        <v>P</v>
      </c>
      <c r="G139" s="4"/>
      <c r="H139" s="4"/>
      <c r="I139" s="4"/>
      <c r="J139" s="4"/>
      <c r="K139" s="4"/>
      <c r="L139" s="4"/>
      <c r="M139" s="4"/>
      <c r="N139" s="4"/>
      <c r="O139" s="4"/>
      <c r="P139" s="4"/>
      <c r="Q139" s="4"/>
      <c r="R139" s="4"/>
      <c r="S139" s="4"/>
      <c r="T139" s="4"/>
      <c r="U139" s="4"/>
      <c r="V139" s="4"/>
      <c r="W139" s="4"/>
      <c r="X139" s="4"/>
      <c r="Y139" s="4"/>
      <c r="Z139" s="4"/>
      <c r="AA139" s="4">
        <f>IFERROR(__xludf.DUMMYFUNCTION("""COMPUTED_VALUE"""),5.0)</f>
        <v>5</v>
      </c>
      <c r="AB139" s="4" t="str">
        <f>IFERROR(__xludf.DUMMYFUNCTION("""COMPUTED_VALUE"""),"CE")</f>
        <v>CE</v>
      </c>
      <c r="AC139" s="4" t="str">
        <f>IFERROR(__xludf.DUMMYFUNCTION("""COMPUTED_VALUE"""),"Sim")</f>
        <v>Sim</v>
      </c>
      <c r="AD139" s="4" t="str">
        <f>IFERROR(__xludf.DUMMYFUNCTION("""COMPUTED_VALUE"""),"Ifood")</f>
        <v>Ifood</v>
      </c>
      <c r="AE139" s="4"/>
      <c r="AF139" s="4"/>
      <c r="AG139" s="4"/>
      <c r="AH139" s="4"/>
      <c r="AI139" s="4"/>
      <c r="AJ139" s="4"/>
      <c r="AK139" s="4"/>
      <c r="AL139" s="4"/>
      <c r="AM139" s="4" t="str">
        <f>IFERROR(__xludf.DUMMYFUNCTION("""COMPUTED_VALUE"""),"FY27")</f>
        <v>FY27</v>
      </c>
      <c r="AN139" s="4"/>
      <c r="AO139" s="4">
        <f>IFERROR(__xludf.DUMMYFUNCTION("""COMPUTED_VALUE"""),45553.0)</f>
        <v>45553</v>
      </c>
      <c r="AP139" s="4" t="str">
        <f>IFERROR(__xludf.DUMMYFUNCTION("""COMPUTED_VALUE"""),"SP")</f>
        <v>SP</v>
      </c>
      <c r="AQ139" s="4" t="str">
        <f>IFERROR(__xludf.DUMMYFUNCTION("""COMPUTED_VALUE"""),"CAMILA ARMOND")</f>
        <v>CAMILA ARMOND</v>
      </c>
      <c r="AR139" s="4" t="str">
        <f>IFERROR(__xludf.DUMMYFUNCTION("""COMPUTED_VALUE"""),"MATHEUS BUCHEB")</f>
        <v>MATHEUS BUCHEB</v>
      </c>
      <c r="AS139" s="4" t="str">
        <f>IFERROR(__xludf.DUMMYFUNCTION("""COMPUTED_VALUE"""),"ALAN HADDAD")</f>
        <v>ALAN HADDAD</v>
      </c>
      <c r="AT139" s="4" t="str">
        <f>IFERROR(__xludf.DUMMYFUNCTION("""COMPUTED_VALUE"""),"ISABELA DINIZ")</f>
        <v>ISABELA DINIZ</v>
      </c>
      <c r="AU139" s="4">
        <f>IFERROR(__xludf.DUMMYFUNCTION("""COMPUTED_VALUE"""),0.0)</f>
        <v>0</v>
      </c>
      <c r="AV139" s="4">
        <f>IFERROR(__xludf.DUMMYFUNCTION("""COMPUTED_VALUE"""),0.0)</f>
        <v>0</v>
      </c>
      <c r="AW139" s="4">
        <f>IFERROR(__xludf.DUMMYFUNCTION("""COMPUTED_VALUE"""),0.0)</f>
        <v>0</v>
      </c>
      <c r="AX139" s="4">
        <f>IFERROR(__xludf.DUMMYFUNCTION("""COMPUTED_VALUE"""),0.0)</f>
        <v>0</v>
      </c>
      <c r="AY139" s="4"/>
      <c r="AZ139" s="4" t="str">
        <f>IFERROR(__xludf.DUMMYFUNCTION("""COMPUTED_VALUE"""),"Lanches")</f>
        <v>Lanches</v>
      </c>
      <c r="BA139" s="4" t="str">
        <f>IFERROR(__xludf.DUMMYFUNCTION("""COMPUTED_VALUE"""),"")</f>
        <v/>
      </c>
      <c r="BB139" s="4" t="str">
        <f>IFERROR(__xludf.DUMMYFUNCTION("""COMPUTED_VALUE"""),"")</f>
        <v/>
      </c>
      <c r="BC139" s="4" t="str">
        <f>IFERROR(__xludf.DUMMYFUNCTION("""COMPUTED_VALUE"""),"")</f>
        <v/>
      </c>
      <c r="BD139" s="4" t="str">
        <f>IFERROR(__xludf.DUMMYFUNCTION("""COMPUTED_VALUE"""),"")</f>
        <v/>
      </c>
      <c r="BE139" s="4" t="str">
        <f>IFERROR(__xludf.DUMMYFUNCTION("""COMPUTED_VALUE"""),"")</f>
        <v/>
      </c>
      <c r="BF139" s="4" t="str">
        <f>IFERROR(__xludf.DUMMYFUNCTION("""COMPUTED_VALUE"""),"")</f>
        <v/>
      </c>
      <c r="BG139" s="4" t="str">
        <f>IFERROR(__xludf.DUMMYFUNCTION("""COMPUTED_VALUE"""),"")</f>
        <v/>
      </c>
      <c r="BH139" s="4" t="s">
        <v>69</v>
      </c>
      <c r="BI139" s="7">
        <v>1.0</v>
      </c>
    </row>
    <row r="140" hidden="1">
      <c r="A140" s="4" t="str">
        <f>IFERROR(__xludf.DUMMYFUNCTION("""COMPUTED_VALUE"""),"LA MOLE")</f>
        <v>LA MOLE</v>
      </c>
      <c r="B140" s="4" t="str">
        <f>IFERROR(__xludf.DUMMYFUNCTION("""COMPUTED_VALUE"""),"Lídia Esteves")</f>
        <v>Lídia Esteves</v>
      </c>
      <c r="C140" s="4" t="str">
        <f>IFERROR(__xludf.DUMMYFUNCTION("""COMPUTED_VALUE"""),"Gabriela Roma")</f>
        <v>Gabriela Roma</v>
      </c>
      <c r="D140" s="4" t="str">
        <f>IFERROR(__xludf.DUMMYFUNCTION("""COMPUTED_VALUE"""),"0. Não Iniciado")</f>
        <v>0. Não Iniciado</v>
      </c>
      <c r="E140" s="4"/>
      <c r="F140" s="4" t="str">
        <f>IFERROR(__xludf.DUMMYFUNCTION("""COMPUTED_VALUE"""),"P")</f>
        <v>P</v>
      </c>
      <c r="G140" s="4"/>
      <c r="H140" s="4"/>
      <c r="I140" s="4"/>
      <c r="J140" s="4"/>
      <c r="K140" s="4"/>
      <c r="L140" s="4"/>
      <c r="M140" s="4"/>
      <c r="N140" s="4"/>
      <c r="O140" s="4"/>
      <c r="P140" s="4"/>
      <c r="Q140" s="4"/>
      <c r="R140" s="4"/>
      <c r="S140" s="4"/>
      <c r="T140" s="4"/>
      <c r="U140" s="4"/>
      <c r="V140" s="4"/>
      <c r="W140" s="4"/>
      <c r="X140" s="4"/>
      <c r="Y140" s="4"/>
      <c r="Z140" s="4"/>
      <c r="AA140" s="4">
        <f>IFERROR(__xludf.DUMMYFUNCTION("""COMPUTED_VALUE"""),7.0)</f>
        <v>7</v>
      </c>
      <c r="AB140" s="4" t="str">
        <f>IFERROR(__xludf.DUMMYFUNCTION("""COMPUTED_VALUE"""),"CE")</f>
        <v>CE</v>
      </c>
      <c r="AC140" s="4" t="str">
        <f>IFERROR(__xludf.DUMMYFUNCTION("""COMPUTED_VALUE"""),"Sim")</f>
        <v>Sim</v>
      </c>
      <c r="AD140" s="4" t="str">
        <f>IFERROR(__xludf.DUMMYFUNCTION("""COMPUTED_VALUE"""),"Ifood")</f>
        <v>Ifood</v>
      </c>
      <c r="AE140" s="4"/>
      <c r="AF140" s="4"/>
      <c r="AG140" s="4"/>
      <c r="AH140" s="4"/>
      <c r="AI140" s="4"/>
      <c r="AJ140" s="4"/>
      <c r="AK140" s="4"/>
      <c r="AL140" s="4"/>
      <c r="AM140" s="4" t="str">
        <f>IFERROR(__xludf.DUMMYFUNCTION("""COMPUTED_VALUE"""),"FY27")</f>
        <v>FY27</v>
      </c>
      <c r="AN140" s="4"/>
      <c r="AO140" s="4">
        <f>IFERROR(__xludf.DUMMYFUNCTION("""COMPUTED_VALUE"""),45553.0)</f>
        <v>45553</v>
      </c>
      <c r="AP140" s="4" t="str">
        <f>IFERROR(__xludf.DUMMYFUNCTION("""COMPUTED_VALUE"""),"RJ")</f>
        <v>RJ</v>
      </c>
      <c r="AQ140" s="4" t="str">
        <f>IFERROR(__xludf.DUMMYFUNCTION("""COMPUTED_VALUE"""),"ANA SALLES")</f>
        <v>ANA SALLES</v>
      </c>
      <c r="AR140" s="4" t="str">
        <f>IFERROR(__xludf.DUMMYFUNCTION("""COMPUTED_VALUE"""),"CAROLINA AGUIAR")</f>
        <v>CAROLINA AGUIAR</v>
      </c>
      <c r="AS140" s="4" t="str">
        <f>IFERROR(__xludf.DUMMYFUNCTION("""COMPUTED_VALUE"""),"NATHALIE MERTENS")</f>
        <v>NATHALIE MERTENS</v>
      </c>
      <c r="AT140" s="4" t="str">
        <f>IFERROR(__xludf.DUMMYFUNCTION("""COMPUTED_VALUE"""),"NATALIA COUTINHO")</f>
        <v>NATALIA COUTINHO</v>
      </c>
      <c r="AU140" s="4">
        <f>IFERROR(__xludf.DUMMYFUNCTION("""COMPUTED_VALUE"""),0.0)</f>
        <v>0</v>
      </c>
      <c r="AV140" s="4">
        <f>IFERROR(__xludf.DUMMYFUNCTION("""COMPUTED_VALUE"""),0.0)</f>
        <v>0</v>
      </c>
      <c r="AW140" s="4">
        <f>IFERROR(__xludf.DUMMYFUNCTION("""COMPUTED_VALUE"""),0.0)</f>
        <v>0</v>
      </c>
      <c r="AX140" s="4">
        <f>IFERROR(__xludf.DUMMYFUNCTION("""COMPUTED_VALUE"""),0.0)</f>
        <v>0</v>
      </c>
      <c r="AY140" s="4"/>
      <c r="AZ140" s="4" t="str">
        <f>IFERROR(__xludf.DUMMYFUNCTION("""COMPUTED_VALUE"""),"Italiana")</f>
        <v>Italiana</v>
      </c>
      <c r="BA140" s="4">
        <f>IFERROR(__xludf.DUMMYFUNCTION("""COMPUTED_VALUE"""),54.0)</f>
        <v>54</v>
      </c>
      <c r="BB140" s="4" t="str">
        <f>IFERROR(__xludf.DUMMYFUNCTION("""COMPUTED_VALUE"""),"Fast Casual - Multi-conceito")</f>
        <v>Fast Casual - Multi-conceito</v>
      </c>
      <c r="BC140" s="4" t="str">
        <f>IFERROR(__xludf.DUMMYFUNCTION("""COMPUTED_VALUE"""),"Brasília/DF")</f>
        <v>Brasília/DF</v>
      </c>
      <c r="BD140" s="4" t="str">
        <f>IFERROR(__xludf.DUMMYFUNCTION("""COMPUTED_VALUE"""),"Dado não disponível publicamente - Necessário Discovery")</f>
        <v>Dado não disponível publicamente - Necessário Discovery</v>
      </c>
      <c r="BE140" s="4">
        <f>IFERROR(__xludf.DUMMYFUNCTION("""COMPUTED_VALUE"""),65.0)</f>
        <v>65</v>
      </c>
      <c r="BF140" s="4">
        <f>IFERROR(__xludf.DUMMYFUNCTION("""COMPUTED_VALUE"""),0.75)</f>
        <v>0.75</v>
      </c>
      <c r="BG14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40" s="4" t="s">
        <v>78</v>
      </c>
      <c r="BI140" s="7">
        <v>0.6</v>
      </c>
    </row>
    <row r="141" hidden="1">
      <c r="A141" s="4" t="str">
        <f>IFERROR(__xludf.DUMMYFUNCTION("""COMPUTED_VALUE"""),"LACA BURGUER")</f>
        <v>LACA BURGUER</v>
      </c>
      <c r="B141" s="4" t="str">
        <f>IFERROR(__xludf.DUMMYFUNCTION("""COMPUTED_VALUE"""),"João Biagiotti")</f>
        <v>João Biagiotti</v>
      </c>
      <c r="C141" s="4" t="str">
        <f>IFERROR(__xludf.DUMMYFUNCTION("""COMPUTED_VALUE"""),"Diego Santos")</f>
        <v>Diego Santos</v>
      </c>
      <c r="D141" s="4" t="str">
        <f>IFERROR(__xludf.DUMMYFUNCTION("""COMPUTED_VALUE"""),"0. Não Iniciado")</f>
        <v>0. Não Iniciado</v>
      </c>
      <c r="E141" s="4"/>
      <c r="F141" s="4" t="str">
        <f>IFERROR(__xludf.DUMMYFUNCTION("""COMPUTED_VALUE"""),"P")</f>
        <v>P</v>
      </c>
      <c r="G141" s="4"/>
      <c r="H141" s="4"/>
      <c r="I141" s="4"/>
      <c r="J141" s="4"/>
      <c r="K141" s="4"/>
      <c r="L141" s="4"/>
      <c r="M141" s="4"/>
      <c r="N141" s="4"/>
      <c r="O141" s="4"/>
      <c r="P141" s="4"/>
      <c r="Q141" s="4"/>
      <c r="R141" s="4"/>
      <c r="S141" s="4"/>
      <c r="T141" s="4"/>
      <c r="U141" s="4"/>
      <c r="V141" s="4"/>
      <c r="W141" s="4"/>
      <c r="X141" s="4"/>
      <c r="Y141" s="4"/>
      <c r="Z141" s="4"/>
      <c r="AA141" s="4">
        <f>IFERROR(__xludf.DUMMYFUNCTION("""COMPUTED_VALUE"""),7.0)</f>
        <v>7</v>
      </c>
      <c r="AB141" s="4" t="str">
        <f>IFERROR(__xludf.DUMMYFUNCTION("""COMPUTED_VALUE"""),"CE")</f>
        <v>CE</v>
      </c>
      <c r="AC141" s="4" t="str">
        <f>IFERROR(__xludf.DUMMYFUNCTION("""COMPUTED_VALUE"""),"Sim")</f>
        <v>Sim</v>
      </c>
      <c r="AD141" s="4" t="str">
        <f>IFERROR(__xludf.DUMMYFUNCTION("""COMPUTED_VALUE"""),"Ifood")</f>
        <v>Ifood</v>
      </c>
      <c r="AE141" s="4"/>
      <c r="AF141" s="4"/>
      <c r="AG141" s="4"/>
      <c r="AH141" s="4"/>
      <c r="AI141" s="4"/>
      <c r="AJ141" s="4"/>
      <c r="AK141" s="4"/>
      <c r="AL141" s="4"/>
      <c r="AM141" s="4" t="str">
        <f>IFERROR(__xludf.DUMMYFUNCTION("""COMPUTED_VALUE"""),"FY27")</f>
        <v>FY27</v>
      </c>
      <c r="AN141" s="4"/>
      <c r="AO141" s="4">
        <f>IFERROR(__xludf.DUMMYFUNCTION("""COMPUTED_VALUE"""),45553.0)</f>
        <v>45553</v>
      </c>
      <c r="AP141" s="4" t="str">
        <f>IFERROR(__xludf.DUMMYFUNCTION("""COMPUTED_VALUE"""),"PE")</f>
        <v>PE</v>
      </c>
      <c r="AQ141" s="4" t="str">
        <f>IFERROR(__xludf.DUMMYFUNCTION("""COMPUTED_VALUE"""),"JENNIFER SIQUEIRA")</f>
        <v>JENNIFER SIQUEIRA</v>
      </c>
      <c r="AR141" s="4" t="str">
        <f>IFERROR(__xludf.DUMMYFUNCTION("""COMPUTED_VALUE"""),"KAREN MACIEL")</f>
        <v>KAREN MACIEL</v>
      </c>
      <c r="AS141" s="4" t="str">
        <f>IFERROR(__xludf.DUMMYFUNCTION("""COMPUTED_VALUE"""),"THIAGO ROMAGNOLE")</f>
        <v>THIAGO ROMAGNOLE</v>
      </c>
      <c r="AT141" s="4" t="str">
        <f>IFERROR(__xludf.DUMMYFUNCTION("""COMPUTED_VALUE"""),"ANDERSON LAUREANO")</f>
        <v>ANDERSON LAUREANO</v>
      </c>
      <c r="AU141" s="4">
        <f>IFERROR(__xludf.DUMMYFUNCTION("""COMPUTED_VALUE"""),0.0)</f>
        <v>0</v>
      </c>
      <c r="AV141" s="4">
        <f>IFERROR(__xludf.DUMMYFUNCTION("""COMPUTED_VALUE"""),0.0)</f>
        <v>0</v>
      </c>
      <c r="AW141" s="4">
        <f>IFERROR(__xludf.DUMMYFUNCTION("""COMPUTED_VALUE"""),0.0)</f>
        <v>0</v>
      </c>
      <c r="AX141" s="4">
        <f>IFERROR(__xludf.DUMMYFUNCTION("""COMPUTED_VALUE"""),0.0)</f>
        <v>0</v>
      </c>
      <c r="AY141" s="4" t="str">
        <f>IFERROR(__xludf.DUMMYFUNCTION("""COMPUTED_VALUE"""),"L&amp;f Tecnologia Sistemas E Comercio Ltda")</f>
        <v>L&amp;f Tecnologia Sistemas E Comercio Ltda</v>
      </c>
      <c r="AZ141" s="4" t="str">
        <f>IFERROR(__xludf.DUMMYFUNCTION("""COMPUTED_VALUE"""),"Lanches")</f>
        <v>Lanches</v>
      </c>
      <c r="BA141" s="4">
        <f>IFERROR(__xludf.DUMMYFUNCTION("""COMPUTED_VALUE"""),75.0)</f>
        <v>75</v>
      </c>
      <c r="BB141" s="4" t="str">
        <f>IFERROR(__xludf.DUMMYFUNCTION("""COMPUTED_VALUE"""),"Fast Casual - Multi-conceito")</f>
        <v>Fast Casual - Multi-conceito</v>
      </c>
      <c r="BC141" s="4" t="str">
        <f>IFERROR(__xludf.DUMMYFUNCTION("""COMPUTED_VALUE"""),"Sul")</f>
        <v>Sul</v>
      </c>
      <c r="BD141" s="4" t="str">
        <f>IFERROR(__xludf.DUMMYFUNCTION("""COMPUTED_VALUE"""),"Dado não disponível publicamente - Necessário Discovery")</f>
        <v>Dado não disponível publicamente - Necessário Discovery</v>
      </c>
      <c r="BE141" s="4">
        <f>IFERROR(__xludf.DUMMYFUNCTION("""COMPUTED_VALUE"""),70.0)</f>
        <v>70</v>
      </c>
      <c r="BF141" s="4">
        <f>IFERROR(__xludf.DUMMYFUNCTION("""COMPUTED_VALUE"""),0.75)</f>
        <v>0.75</v>
      </c>
      <c r="BG14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41" s="4" t="s">
        <v>102</v>
      </c>
      <c r="BI141" s="7">
        <v>0.7142857142857143</v>
      </c>
    </row>
    <row r="142" hidden="1">
      <c r="A142" s="4" t="str">
        <f>IFERROR(__xludf.DUMMYFUNCTION("""COMPUTED_VALUE"""),"LAHMAJUN")</f>
        <v>LAHMAJUN</v>
      </c>
      <c r="B142" s="4" t="str">
        <f>IFERROR(__xludf.DUMMYFUNCTION("""COMPUTED_VALUE"""),"João Biagiotti")</f>
        <v>João Biagiotti</v>
      </c>
      <c r="C142" s="4" t="str">
        <f>IFERROR(__xludf.DUMMYFUNCTION("""COMPUTED_VALUE"""),"Diego Santos")</f>
        <v>Diego Santos</v>
      </c>
      <c r="D142" s="4" t="str">
        <f>IFERROR(__xludf.DUMMYFUNCTION("""COMPUTED_VALUE"""),"0. Não Iniciado")</f>
        <v>0. Não Iniciado</v>
      </c>
      <c r="E142" s="4"/>
      <c r="F142" s="4" t="str">
        <f>IFERROR(__xludf.DUMMYFUNCTION("""COMPUTED_VALUE"""),"P")</f>
        <v>P</v>
      </c>
      <c r="G142" s="4"/>
      <c r="H142" s="4"/>
      <c r="I142" s="4"/>
      <c r="J142" s="4"/>
      <c r="K142" s="4"/>
      <c r="L142" s="4"/>
      <c r="M142" s="4"/>
      <c r="N142" s="4"/>
      <c r="O142" s="4"/>
      <c r="P142" s="4"/>
      <c r="Q142" s="4"/>
      <c r="R142" s="4"/>
      <c r="S142" s="4"/>
      <c r="T142" s="4"/>
      <c r="U142" s="4"/>
      <c r="V142" s="4"/>
      <c r="W142" s="4"/>
      <c r="X142" s="4"/>
      <c r="Y142" s="4"/>
      <c r="Z142" s="4"/>
      <c r="AA142" s="4">
        <f>IFERROR(__xludf.DUMMYFUNCTION("""COMPUTED_VALUE"""),6.0)</f>
        <v>6</v>
      </c>
      <c r="AB142" s="4" t="str">
        <f>IFERROR(__xludf.DUMMYFUNCTION("""COMPUTED_VALUE"""),"CE")</f>
        <v>CE</v>
      </c>
      <c r="AC142" s="4" t="str">
        <f>IFERROR(__xludf.DUMMYFUNCTION("""COMPUTED_VALUE"""),"Sim")</f>
        <v>Sim</v>
      </c>
      <c r="AD142" s="4" t="str">
        <f>IFERROR(__xludf.DUMMYFUNCTION("""COMPUTED_VALUE"""),"Ifood")</f>
        <v>Ifood</v>
      </c>
      <c r="AE142" s="4"/>
      <c r="AF142" s="4"/>
      <c r="AG142" s="4"/>
      <c r="AH142" s="4"/>
      <c r="AI142" s="4"/>
      <c r="AJ142" s="4"/>
      <c r="AK142" s="4"/>
      <c r="AL142" s="4"/>
      <c r="AM142" s="4" t="str">
        <f>IFERROR(__xludf.DUMMYFUNCTION("""COMPUTED_VALUE"""),"FY27")</f>
        <v>FY27</v>
      </c>
      <c r="AN142" s="4"/>
      <c r="AO142" s="4">
        <f>IFERROR(__xludf.DUMMYFUNCTION("""COMPUTED_VALUE"""),45553.0)</f>
        <v>45553</v>
      </c>
      <c r="AP142" s="4" t="str">
        <f>IFERROR(__xludf.DUMMYFUNCTION("""COMPUTED_VALUE"""),"SP")</f>
        <v>SP</v>
      </c>
      <c r="AQ142" s="4" t="str">
        <f>IFERROR(__xludf.DUMMYFUNCTION("""COMPUTED_VALUE"""),"FABRYCIO MORI")</f>
        <v>FABRYCIO MORI</v>
      </c>
      <c r="AR142" s="4" t="str">
        <f>IFERROR(__xludf.DUMMYFUNCTION("""COMPUTED_VALUE"""),"JOAO MAURICIO")</f>
        <v>JOAO MAURICIO</v>
      </c>
      <c r="AS142" s="4" t="str">
        <f>IFERROR(__xludf.DUMMYFUNCTION("""COMPUTED_VALUE"""),"NATHALIE MERTENS")</f>
        <v>NATHALIE MERTENS</v>
      </c>
      <c r="AT142" s="4" t="str">
        <f>IFERROR(__xludf.DUMMYFUNCTION("""COMPUTED_VALUE"""),"MATHEUS LESSA")</f>
        <v>MATHEUS LESSA</v>
      </c>
      <c r="AU142" s="4">
        <f>IFERROR(__xludf.DUMMYFUNCTION("""COMPUTED_VALUE"""),0.0)</f>
        <v>0</v>
      </c>
      <c r="AV142" s="4">
        <f>IFERROR(__xludf.DUMMYFUNCTION("""COMPUTED_VALUE"""),0.0)</f>
        <v>0</v>
      </c>
      <c r="AW142" s="4">
        <f>IFERROR(__xludf.DUMMYFUNCTION("""COMPUTED_VALUE"""),0.0)</f>
        <v>0</v>
      </c>
      <c r="AX142" s="4">
        <f>IFERROR(__xludf.DUMMYFUNCTION("""COMPUTED_VALUE"""),0.0)</f>
        <v>0</v>
      </c>
      <c r="AY142" s="4" t="str">
        <f>IFERROR(__xludf.DUMMYFUNCTION("""COMPUTED_VALUE"""),"T4l Tecnologia Ltda Me")</f>
        <v>T4l Tecnologia Ltda Me</v>
      </c>
      <c r="AZ142" s="4" t="str">
        <f>IFERROR(__xludf.DUMMYFUNCTION("""COMPUTED_VALUE"""),"Árabe")</f>
        <v>Árabe</v>
      </c>
      <c r="BA142" s="4">
        <f>IFERROR(__xludf.DUMMYFUNCTION("""COMPUTED_VALUE"""),59.0)</f>
        <v>59</v>
      </c>
      <c r="BB142" s="4" t="str">
        <f>IFERROR(__xludf.DUMMYFUNCTION("""COMPUTED_VALUE"""),"Fast Casual - Multi-conceito")</f>
        <v>Fast Casual - Multi-conceito</v>
      </c>
      <c r="BC142" s="4" t="str">
        <f>IFERROR(__xludf.DUMMYFUNCTION("""COMPUTED_VALUE"""),"Belo Horizonte/MG")</f>
        <v>Belo Horizonte/MG</v>
      </c>
      <c r="BD142" s="4" t="str">
        <f>IFERROR(__xludf.DUMMYFUNCTION("""COMPUTED_VALUE"""),"Dado não disponível publicamente - Necessário Discovery")</f>
        <v>Dado não disponível publicamente - Necessário Discovery</v>
      </c>
      <c r="BE142" s="4">
        <f>IFERROR(__xludf.DUMMYFUNCTION("""COMPUTED_VALUE"""),65.0)</f>
        <v>65</v>
      </c>
      <c r="BF142" s="4">
        <f>IFERROR(__xludf.DUMMYFUNCTION("""COMPUTED_VALUE"""),0.75)</f>
        <v>0.75</v>
      </c>
      <c r="BG14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42" s="4" t="s">
        <v>88</v>
      </c>
      <c r="BI142" s="7">
        <v>0.42857142857142855</v>
      </c>
    </row>
    <row r="143" hidden="1">
      <c r="A143" s="4" t="str">
        <f>IFERROR(__xludf.DUMMYFUNCTION("""COMPUTED_VALUE"""),"LETS EAT")</f>
        <v>LETS EAT</v>
      </c>
      <c r="B143" s="4" t="str">
        <f>IFERROR(__xludf.DUMMYFUNCTION("""COMPUTED_VALUE"""),"João Biagiotti")</f>
        <v>João Biagiotti</v>
      </c>
      <c r="C143" s="4" t="str">
        <f>IFERROR(__xludf.DUMMYFUNCTION("""COMPUTED_VALUE"""),"Diego Santos")</f>
        <v>Diego Santos</v>
      </c>
      <c r="D143" s="4" t="str">
        <f>IFERROR(__xludf.DUMMYFUNCTION("""COMPUTED_VALUE"""),"0. Não Iniciado")</f>
        <v>0. Não Iniciado</v>
      </c>
      <c r="E143" s="4"/>
      <c r="F143" s="4" t="str">
        <f>IFERROR(__xludf.DUMMYFUNCTION("""COMPUTED_VALUE"""),"P")</f>
        <v>P</v>
      </c>
      <c r="G143" s="4"/>
      <c r="H143" s="4"/>
      <c r="I143" s="4"/>
      <c r="J143" s="4"/>
      <c r="K143" s="4"/>
      <c r="L143" s="4"/>
      <c r="M143" s="4"/>
      <c r="N143" s="4"/>
      <c r="O143" s="4"/>
      <c r="P143" s="4"/>
      <c r="Q143" s="4"/>
      <c r="R143" s="4"/>
      <c r="S143" s="4"/>
      <c r="T143" s="4"/>
      <c r="U143" s="4"/>
      <c r="V143" s="4"/>
      <c r="W143" s="4"/>
      <c r="X143" s="4"/>
      <c r="Y143" s="4"/>
      <c r="Z143" s="4"/>
      <c r="AA143" s="4">
        <f>IFERROR(__xludf.DUMMYFUNCTION("""COMPUTED_VALUE"""),13.0)</f>
        <v>13</v>
      </c>
      <c r="AB143" s="4" t="str">
        <f>IFERROR(__xludf.DUMMYFUNCTION("""COMPUTED_VALUE"""),"CE")</f>
        <v>CE</v>
      </c>
      <c r="AC143" s="4" t="str">
        <f>IFERROR(__xludf.DUMMYFUNCTION("""COMPUTED_VALUE"""),"Sim")</f>
        <v>Sim</v>
      </c>
      <c r="AD143" s="4" t="str">
        <f>IFERROR(__xludf.DUMMYFUNCTION("""COMPUTED_VALUE"""),"Ifood")</f>
        <v>Ifood</v>
      </c>
      <c r="AE143" s="4"/>
      <c r="AF143" s="4"/>
      <c r="AG143" s="4"/>
      <c r="AH143" s="4"/>
      <c r="AI143" s="4"/>
      <c r="AJ143" s="4"/>
      <c r="AK143" s="4"/>
      <c r="AL143" s="4"/>
      <c r="AM143" s="4" t="str">
        <f>IFERROR(__xludf.DUMMYFUNCTION("""COMPUTED_VALUE"""),"FY27")</f>
        <v>FY27</v>
      </c>
      <c r="AN143" s="4"/>
      <c r="AO143" s="4">
        <f>IFERROR(__xludf.DUMMYFUNCTION("""COMPUTED_VALUE"""),45553.0)</f>
        <v>45553</v>
      </c>
      <c r="AP143" s="4" t="str">
        <f>IFERROR(__xludf.DUMMYFUNCTION("""COMPUTED_VALUE"""),"SP")</f>
        <v>SP</v>
      </c>
      <c r="AQ143" s="4" t="str">
        <f>IFERROR(__xludf.DUMMYFUNCTION("""COMPUTED_VALUE"""),"FELIPE SAUT")</f>
        <v>FELIPE SAUT</v>
      </c>
      <c r="AR143" s="4" t="str">
        <f>IFERROR(__xludf.DUMMYFUNCTION("""COMPUTED_VALUE"""),"MARIANE ALMEIDA")</f>
        <v>MARIANE ALMEIDA</v>
      </c>
      <c r="AS143" s="4" t="str">
        <f>IFERROR(__xludf.DUMMYFUNCTION("""COMPUTED_VALUE"""),"ALAN HADDAD")</f>
        <v>ALAN HADDAD</v>
      </c>
      <c r="AT143" s="4" t="str">
        <f>IFERROR(__xludf.DUMMYFUNCTION("""COMPUTED_VALUE"""),"ISABELA DINIZ")</f>
        <v>ISABELA DINIZ</v>
      </c>
      <c r="AU143" s="4">
        <f>IFERROR(__xludf.DUMMYFUNCTION("""COMPUTED_VALUE"""),0.0)</f>
        <v>0</v>
      </c>
      <c r="AV143" s="4">
        <f>IFERROR(__xludf.DUMMYFUNCTION("""COMPUTED_VALUE"""),0.0)</f>
        <v>0</v>
      </c>
      <c r="AW143" s="4">
        <f>IFERROR(__xludf.DUMMYFUNCTION("""COMPUTED_VALUE"""),0.0)</f>
        <v>0</v>
      </c>
      <c r="AX143" s="4">
        <f>IFERROR(__xludf.DUMMYFUNCTION("""COMPUTED_VALUE"""),0.0)</f>
        <v>0</v>
      </c>
      <c r="AY143" s="4"/>
      <c r="AZ143" s="4" t="str">
        <f>IFERROR(__xludf.DUMMYFUNCTION("""COMPUTED_VALUE"""),"Lanches")</f>
        <v>Lanches</v>
      </c>
      <c r="BA143" s="4" t="str">
        <f>IFERROR(__xludf.DUMMYFUNCTION("""COMPUTED_VALUE"""),"")</f>
        <v/>
      </c>
      <c r="BB143" s="4" t="str">
        <f>IFERROR(__xludf.DUMMYFUNCTION("""COMPUTED_VALUE"""),"")</f>
        <v/>
      </c>
      <c r="BC143" s="4" t="str">
        <f>IFERROR(__xludf.DUMMYFUNCTION("""COMPUTED_VALUE"""),"")</f>
        <v/>
      </c>
      <c r="BD143" s="4" t="str">
        <f>IFERROR(__xludf.DUMMYFUNCTION("""COMPUTED_VALUE"""),"")</f>
        <v/>
      </c>
      <c r="BE143" s="4" t="str">
        <f>IFERROR(__xludf.DUMMYFUNCTION("""COMPUTED_VALUE"""),"")</f>
        <v/>
      </c>
      <c r="BF143" s="4" t="str">
        <f>IFERROR(__xludf.DUMMYFUNCTION("""COMPUTED_VALUE"""),"")</f>
        <v/>
      </c>
      <c r="BG143" s="4" t="str">
        <f>IFERROR(__xludf.DUMMYFUNCTION("""COMPUTED_VALUE"""),"")</f>
        <v/>
      </c>
      <c r="BH143" s="4" t="s">
        <v>103</v>
      </c>
      <c r="BI143" s="7">
        <v>0.7857142857142857</v>
      </c>
    </row>
    <row r="144" hidden="1">
      <c r="A144" s="4" t="str">
        <f>IFERROR(__xludf.DUMMYFUNCTION("""COMPUTED_VALUE"""),"LIFEBOX")</f>
        <v>LIFEBOX</v>
      </c>
      <c r="B144" s="4" t="str">
        <f>IFERROR(__xludf.DUMMYFUNCTION("""COMPUTED_VALUE"""),"Lídia Esteves")</f>
        <v>Lídia Esteves</v>
      </c>
      <c r="C144" s="4" t="str">
        <f>IFERROR(__xludf.DUMMYFUNCTION("""COMPUTED_VALUE"""),"Gabriela Roma")</f>
        <v>Gabriela Roma</v>
      </c>
      <c r="D144" s="4" t="str">
        <f>IFERROR(__xludf.DUMMYFUNCTION("""COMPUTED_VALUE"""),"0. Não Iniciado")</f>
        <v>0. Não Iniciado</v>
      </c>
      <c r="E144" s="4"/>
      <c r="F144" s="4" t="str">
        <f>IFERROR(__xludf.DUMMYFUNCTION("""COMPUTED_VALUE"""),"P")</f>
        <v>P</v>
      </c>
      <c r="G144" s="4"/>
      <c r="H144" s="4"/>
      <c r="I144" s="4"/>
      <c r="J144" s="4"/>
      <c r="K144" s="4"/>
      <c r="L144" s="4"/>
      <c r="M144" s="4"/>
      <c r="N144" s="4"/>
      <c r="O144" s="4"/>
      <c r="P144" s="4"/>
      <c r="Q144" s="4"/>
      <c r="R144" s="4"/>
      <c r="S144" s="4"/>
      <c r="T144" s="4"/>
      <c r="U144" s="4"/>
      <c r="V144" s="4"/>
      <c r="W144" s="4"/>
      <c r="X144" s="4"/>
      <c r="Y144" s="4"/>
      <c r="Z144" s="4"/>
      <c r="AA144" s="4">
        <f>IFERROR(__xludf.DUMMYFUNCTION("""COMPUTED_VALUE"""),13.0)</f>
        <v>13</v>
      </c>
      <c r="AB144" s="4" t="str">
        <f>IFERROR(__xludf.DUMMYFUNCTION("""COMPUTED_VALUE"""),"-")</f>
        <v>-</v>
      </c>
      <c r="AC144" s="4" t="str">
        <f>IFERROR(__xludf.DUMMYFUNCTION("""COMPUTED_VALUE"""),"Sim")</f>
        <v>Sim</v>
      </c>
      <c r="AD144" s="4" t="str">
        <f>IFERROR(__xludf.DUMMYFUNCTION("""COMPUTED_VALUE"""),"Ifood")</f>
        <v>Ifood</v>
      </c>
      <c r="AE144" s="4"/>
      <c r="AF144" s="4"/>
      <c r="AG144" s="4"/>
      <c r="AH144" s="4"/>
      <c r="AI144" s="4"/>
      <c r="AJ144" s="4"/>
      <c r="AK144" s="4"/>
      <c r="AL144" s="4"/>
      <c r="AM144" s="4" t="str">
        <f>IFERROR(__xludf.DUMMYFUNCTION("""COMPUTED_VALUE"""),"FY27")</f>
        <v>FY27</v>
      </c>
      <c r="AN144" s="4"/>
      <c r="AO144" s="4">
        <f>IFERROR(__xludf.DUMMYFUNCTION("""COMPUTED_VALUE"""),45553.0)</f>
        <v>45553</v>
      </c>
      <c r="AP144" s="4" t="str">
        <f>IFERROR(__xludf.DUMMYFUNCTION("""COMPUTED_VALUE"""),"DF")</f>
        <v>DF</v>
      </c>
      <c r="AQ144" s="4" t="str">
        <f>IFERROR(__xludf.DUMMYFUNCTION("""COMPUTED_VALUE"""),"RAFAEL ROSSATO")</f>
        <v>RAFAEL ROSSATO</v>
      </c>
      <c r="AR144" s="4" t="str">
        <f>IFERROR(__xludf.DUMMYFUNCTION("""COMPUTED_VALUE"""),"NAYARA FERREIRA")</f>
        <v>NAYARA FERREIRA</v>
      </c>
      <c r="AS144" s="4" t="str">
        <f>IFERROR(__xludf.DUMMYFUNCTION("""COMPUTED_VALUE"""),"THIAGO ROMAGNOLE")</f>
        <v>THIAGO ROMAGNOLE</v>
      </c>
      <c r="AT144" s="4" t="str">
        <f>IFERROR(__xludf.DUMMYFUNCTION("""COMPUTED_VALUE"""),"BRUNA TASSINARI")</f>
        <v>BRUNA TASSINARI</v>
      </c>
      <c r="AU144" s="4">
        <f>IFERROR(__xludf.DUMMYFUNCTION("""COMPUTED_VALUE"""),0.0)</f>
        <v>0</v>
      </c>
      <c r="AV144" s="4">
        <f>IFERROR(__xludf.DUMMYFUNCTION("""COMPUTED_VALUE"""),0.0)</f>
        <v>0</v>
      </c>
      <c r="AW144" s="4">
        <f>IFERROR(__xludf.DUMMYFUNCTION("""COMPUTED_VALUE"""),0.0)</f>
        <v>0</v>
      </c>
      <c r="AX144" s="4">
        <f>IFERROR(__xludf.DUMMYFUNCTION("""COMPUTED_VALUE"""),0.0)</f>
        <v>0</v>
      </c>
      <c r="AY144" s="4"/>
      <c r="AZ144" s="4" t="str">
        <f>IFERROR(__xludf.DUMMYFUNCTION("""COMPUTED_VALUE"""),"Lanches")</f>
        <v>Lanches</v>
      </c>
      <c r="BA144" s="4">
        <f>IFERROR(__xludf.DUMMYFUNCTION("""COMPUTED_VALUE"""),64.0)</f>
        <v>64</v>
      </c>
      <c r="BB144" s="4" t="str">
        <f>IFERROR(__xludf.DUMMYFUNCTION("""COMPUTED_VALUE"""),"Fast Casual - Multi-conceito")</f>
        <v>Fast Casual - Multi-conceito</v>
      </c>
      <c r="BC144" s="4" t="str">
        <f>IFERROR(__xludf.DUMMYFUNCTION("""COMPUTED_VALUE"""),"Sudeste")</f>
        <v>Sudeste</v>
      </c>
      <c r="BD144" s="4" t="str">
        <f>IFERROR(__xludf.DUMMYFUNCTION("""COMPUTED_VALUE"""),"Dado não disponível publicamente - Necessário Discovery")</f>
        <v>Dado não disponível publicamente - Necessário Discovery</v>
      </c>
      <c r="BE144" s="4">
        <f>IFERROR(__xludf.DUMMYFUNCTION("""COMPUTED_VALUE"""),70.0)</f>
        <v>70</v>
      </c>
      <c r="BF144" s="4">
        <f>IFERROR(__xludf.DUMMYFUNCTION("""COMPUTED_VALUE"""),0.75)</f>
        <v>0.75</v>
      </c>
      <c r="BG14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44" s="4" t="s">
        <v>103</v>
      </c>
      <c r="BI144" s="7">
        <v>1.0</v>
      </c>
    </row>
    <row r="145" hidden="1">
      <c r="A145" s="4" t="str">
        <f>IFERROR(__xludf.DUMMYFUNCTION("""COMPUTED_VALUE"""),"MAGRELO LANCHES")</f>
        <v>MAGRELO LANCHES</v>
      </c>
      <c r="B145" s="4" t="str">
        <f>IFERROR(__xludf.DUMMYFUNCTION("""COMPUTED_VALUE"""),"Lídia Esteves")</f>
        <v>Lídia Esteves</v>
      </c>
      <c r="C145" s="4" t="str">
        <f>IFERROR(__xludf.DUMMYFUNCTION("""COMPUTED_VALUE"""),"Gabriela Roma")</f>
        <v>Gabriela Roma</v>
      </c>
      <c r="D145" s="4" t="str">
        <f>IFERROR(__xludf.DUMMYFUNCTION("""COMPUTED_VALUE"""),"0. Não Iniciado")</f>
        <v>0. Não Iniciado</v>
      </c>
      <c r="E145" s="4"/>
      <c r="F145" s="4" t="str">
        <f>IFERROR(__xludf.DUMMYFUNCTION("""COMPUTED_VALUE"""),"P")</f>
        <v>P</v>
      </c>
      <c r="G145" s="4"/>
      <c r="H145" s="4"/>
      <c r="I145" s="4"/>
      <c r="J145" s="4"/>
      <c r="K145" s="4"/>
      <c r="L145" s="4"/>
      <c r="M145" s="4"/>
      <c r="N145" s="4"/>
      <c r="O145" s="4"/>
      <c r="P145" s="4"/>
      <c r="Q145" s="4"/>
      <c r="R145" s="4"/>
      <c r="S145" s="4"/>
      <c r="T145" s="4"/>
      <c r="U145" s="4"/>
      <c r="V145" s="4"/>
      <c r="W145" s="4"/>
      <c r="X145" s="4"/>
      <c r="Y145" s="4"/>
      <c r="Z145" s="4"/>
      <c r="AA145" s="4">
        <f>IFERROR(__xludf.DUMMYFUNCTION("""COMPUTED_VALUE"""),7.0)</f>
        <v>7</v>
      </c>
      <c r="AB145" s="14" t="str">
        <f>IFERROR(__xludf.DUMMYFUNCTION("""COMPUTED_VALUE"""),"CE")</f>
        <v>CE</v>
      </c>
      <c r="AC145" s="4" t="str">
        <f>IFERROR(__xludf.DUMMYFUNCTION("""COMPUTED_VALUE"""),"Sim")</f>
        <v>Sim</v>
      </c>
      <c r="AD145" s="4" t="str">
        <f>IFERROR(__xludf.DUMMYFUNCTION("""COMPUTED_VALUE"""),"Ifood")</f>
        <v>Ifood</v>
      </c>
      <c r="AE145" s="4"/>
      <c r="AF145" s="4"/>
      <c r="AG145" s="4"/>
      <c r="AH145" s="4"/>
      <c r="AI145" s="4"/>
      <c r="AJ145" s="4"/>
      <c r="AK145" s="4"/>
      <c r="AL145" s="4"/>
      <c r="AM145" s="4" t="str">
        <f>IFERROR(__xludf.DUMMYFUNCTION("""COMPUTED_VALUE"""),"FY27")</f>
        <v>FY27</v>
      </c>
      <c r="AN145" s="4"/>
      <c r="AO145" s="4">
        <f>IFERROR(__xludf.DUMMYFUNCTION("""COMPUTED_VALUE"""),45553.0)</f>
        <v>45553</v>
      </c>
      <c r="AP145" s="4" t="str">
        <f>IFERROR(__xludf.DUMMYFUNCTION("""COMPUTED_VALUE"""),"PR")</f>
        <v>PR</v>
      </c>
      <c r="AQ145" s="4" t="str">
        <f>IFERROR(__xludf.DUMMYFUNCTION("""COMPUTED_VALUE"""),"LUIZ FILHO")</f>
        <v>LUIZ FILHO</v>
      </c>
      <c r="AR145" s="4" t="str">
        <f>IFERROR(__xludf.DUMMYFUNCTION("""COMPUTED_VALUE"""),"GUILHERME SILVERIO")</f>
        <v>GUILHERME SILVERIO</v>
      </c>
      <c r="AS145" s="4" t="str">
        <f>IFERROR(__xludf.DUMMYFUNCTION("""COMPUTED_VALUE"""),"FABIO DONATO")</f>
        <v>FABIO DONATO</v>
      </c>
      <c r="AT145" s="4" t="str">
        <f>IFERROR(__xludf.DUMMYFUNCTION("""COMPUTED_VALUE"""),"MURILO NAGASHIMA")</f>
        <v>MURILO NAGASHIMA</v>
      </c>
      <c r="AU145" s="4">
        <f>IFERROR(__xludf.DUMMYFUNCTION("""COMPUTED_VALUE"""),0.0)</f>
        <v>0</v>
      </c>
      <c r="AV145" s="4">
        <f>IFERROR(__xludf.DUMMYFUNCTION("""COMPUTED_VALUE"""),0.0)</f>
        <v>0</v>
      </c>
      <c r="AW145" s="4">
        <f>IFERROR(__xludf.DUMMYFUNCTION("""COMPUTED_VALUE"""),0.0)</f>
        <v>0</v>
      </c>
      <c r="AX145" s="4">
        <f>IFERROR(__xludf.DUMMYFUNCTION("""COMPUTED_VALUE"""),0.0)</f>
        <v>0</v>
      </c>
      <c r="AY145" s="4" t="str">
        <f>IFERROR(__xludf.DUMMYFUNCTION("""COMPUTED_VALUE"""),"Sagres Automação Comercial")</f>
        <v>Sagres Automação Comercial</v>
      </c>
      <c r="AZ145" s="4" t="str">
        <f>IFERROR(__xludf.DUMMYFUNCTION("""COMPUTED_VALUE"""),"Lanches")</f>
        <v>Lanches</v>
      </c>
      <c r="BA145" s="4">
        <f>IFERROR(__xludf.DUMMYFUNCTION("""COMPUTED_VALUE"""),42.0)</f>
        <v>42</v>
      </c>
      <c r="BB145" s="12" t="str">
        <f>IFERROR(__xludf.DUMMYFUNCTION("""COMPUTED_VALUE"""),"QSR - Lanches")</f>
        <v>QSR - Lanches</v>
      </c>
      <c r="BC145" s="4" t="str">
        <f>IFERROR(__xludf.DUMMYFUNCTION("""COMPUTED_VALUE"""),"Sudeste")</f>
        <v>Sudeste</v>
      </c>
      <c r="BD145" s="4" t="str">
        <f>IFERROR(__xludf.DUMMYFUNCTION("""COMPUTED_VALUE"""),"Dado não disponível publicamente - Necessário Discovery")</f>
        <v>Dado não disponível publicamente - Necessário Discovery</v>
      </c>
      <c r="BE145" s="4">
        <f>IFERROR(__xludf.DUMMYFUNCTION("""COMPUTED_VALUE"""),70.0)</f>
        <v>70</v>
      </c>
      <c r="BF145" s="13">
        <f>IFERROR(__xludf.DUMMYFUNCTION("""COMPUTED_VALUE"""),0.9)</f>
        <v>0.9</v>
      </c>
      <c r="BG145"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145" s="4" t="s">
        <v>66</v>
      </c>
      <c r="BI145" s="7">
        <v>1.0</v>
      </c>
    </row>
    <row r="146" hidden="1">
      <c r="A146" s="4" t="str">
        <f>IFERROR(__xludf.DUMMYFUNCTION("""COMPUTED_VALUE"""),"MAMMA MIA RS")</f>
        <v>MAMMA MIA RS</v>
      </c>
      <c r="B146" s="4" t="str">
        <f>IFERROR(__xludf.DUMMYFUNCTION("""COMPUTED_VALUE"""),"Lídia Esteves")</f>
        <v>Lídia Esteves</v>
      </c>
      <c r="C146" s="4" t="str">
        <f>IFERROR(__xludf.DUMMYFUNCTION("""COMPUTED_VALUE"""),"Gabriela Roma")</f>
        <v>Gabriela Roma</v>
      </c>
      <c r="D146" s="4" t="str">
        <f>IFERROR(__xludf.DUMMYFUNCTION("""COMPUTED_VALUE"""),"0. Não Iniciado")</f>
        <v>0. Não Iniciado</v>
      </c>
      <c r="E146" s="4"/>
      <c r="F146" s="4" t="str">
        <f>IFERROR(__xludf.DUMMYFUNCTION("""COMPUTED_VALUE"""),"P")</f>
        <v>P</v>
      </c>
      <c r="G146" s="4"/>
      <c r="H146" s="4"/>
      <c r="I146" s="4"/>
      <c r="J146" s="4"/>
      <c r="K146" s="4"/>
      <c r="L146" s="4"/>
      <c r="M146" s="4"/>
      <c r="N146" s="4"/>
      <c r="O146" s="4"/>
      <c r="P146" s="4"/>
      <c r="Q146" s="4"/>
      <c r="R146" s="4"/>
      <c r="S146" s="4"/>
      <c r="T146" s="4"/>
      <c r="U146" s="4"/>
      <c r="V146" s="4"/>
      <c r="W146" s="4"/>
      <c r="X146" s="4"/>
      <c r="Y146" s="4"/>
      <c r="Z146" s="4"/>
      <c r="AA146" s="4">
        <f>IFERROR(__xludf.DUMMYFUNCTION("""COMPUTED_VALUE"""),24.0)</f>
        <v>24</v>
      </c>
      <c r="AB146" s="4" t="str">
        <f>IFERROR(__xludf.DUMMYFUNCTION("""COMPUTED_VALUE"""),"-")</f>
        <v>-</v>
      </c>
      <c r="AC146" s="4" t="str">
        <f>IFERROR(__xludf.DUMMYFUNCTION("""COMPUTED_VALUE"""),"Sim")</f>
        <v>Sim</v>
      </c>
      <c r="AD146" s="4" t="str">
        <f>IFERROR(__xludf.DUMMYFUNCTION("""COMPUTED_VALUE"""),"Ifood")</f>
        <v>Ifood</v>
      </c>
      <c r="AE146" s="4"/>
      <c r="AF146" s="4"/>
      <c r="AG146" s="4"/>
      <c r="AH146" s="4"/>
      <c r="AI146" s="4"/>
      <c r="AJ146" s="4"/>
      <c r="AK146" s="4"/>
      <c r="AL146" s="4"/>
      <c r="AM146" s="4" t="str">
        <f>IFERROR(__xludf.DUMMYFUNCTION("""COMPUTED_VALUE"""),"FY27")</f>
        <v>FY27</v>
      </c>
      <c r="AN146" s="4"/>
      <c r="AO146" s="4">
        <f>IFERROR(__xludf.DUMMYFUNCTION("""COMPUTED_VALUE"""),45553.0)</f>
        <v>45553</v>
      </c>
      <c r="AP146" s="4" t="str">
        <f>IFERROR(__xludf.DUMMYFUNCTION("""COMPUTED_VALUE"""),"RS")</f>
        <v>RS</v>
      </c>
      <c r="AQ146" s="4" t="str">
        <f>IFERROR(__xludf.DUMMYFUNCTION("""COMPUTED_VALUE"""),"SHAYANA JACOM")</f>
        <v>SHAYANA JACOM</v>
      </c>
      <c r="AR146" s="4" t="str">
        <f>IFERROR(__xludf.DUMMYFUNCTION("""COMPUTED_VALUE"""),"CARLA MIERES")</f>
        <v>CARLA MIERES</v>
      </c>
      <c r="AS146" s="4" t="str">
        <f>IFERROR(__xludf.DUMMYFUNCTION("""COMPUTED_VALUE"""),"FABIO DONATO")</f>
        <v>FABIO DONATO</v>
      </c>
      <c r="AT146" s="4" t="str">
        <f>IFERROR(__xludf.DUMMYFUNCTION("""COMPUTED_VALUE"""),"CAMILA HOLANDA")</f>
        <v>CAMILA HOLANDA</v>
      </c>
      <c r="AU146" s="4">
        <f>IFERROR(__xludf.DUMMYFUNCTION("""COMPUTED_VALUE"""),0.0)</f>
        <v>0</v>
      </c>
      <c r="AV146" s="4">
        <f>IFERROR(__xludf.DUMMYFUNCTION("""COMPUTED_VALUE"""),0.0)</f>
        <v>0</v>
      </c>
      <c r="AW146" s="4">
        <f>IFERROR(__xludf.DUMMYFUNCTION("""COMPUTED_VALUE"""),0.0)</f>
        <v>0</v>
      </c>
      <c r="AX146" s="4">
        <f>IFERROR(__xludf.DUMMYFUNCTION("""COMPUTED_VALUE"""),0.0)</f>
        <v>0</v>
      </c>
      <c r="AY146" s="4"/>
      <c r="AZ146" s="4" t="str">
        <f>IFERROR(__xludf.DUMMYFUNCTION("""COMPUTED_VALUE"""),"Italiana")</f>
        <v>Italiana</v>
      </c>
      <c r="BA146" s="4">
        <f>IFERROR(__xludf.DUMMYFUNCTION("""COMPUTED_VALUE"""),72.0)</f>
        <v>72</v>
      </c>
      <c r="BB146" s="4" t="str">
        <f>IFERROR(__xludf.DUMMYFUNCTION("""COMPUTED_VALUE"""),"Fast Casual - Multi-conceito")</f>
        <v>Fast Casual - Multi-conceito</v>
      </c>
      <c r="BC146" s="4" t="str">
        <f>IFERROR(__xludf.DUMMYFUNCTION("""COMPUTED_VALUE"""),"Centro-Oeste")</f>
        <v>Centro-Oeste</v>
      </c>
      <c r="BD146" s="4" t="str">
        <f>IFERROR(__xludf.DUMMYFUNCTION("""COMPUTED_VALUE"""),"Dado não disponível publicamente - Necessário Discovery")</f>
        <v>Dado não disponível publicamente - Necessário Discovery</v>
      </c>
      <c r="BE146" s="4">
        <f>IFERROR(__xludf.DUMMYFUNCTION("""COMPUTED_VALUE"""),65.0)</f>
        <v>65</v>
      </c>
      <c r="BF146" s="4">
        <f>IFERROR(__xludf.DUMMYFUNCTION("""COMPUTED_VALUE"""),0.75)</f>
        <v>0.75</v>
      </c>
      <c r="BG14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46" s="4" t="s">
        <v>72</v>
      </c>
      <c r="BI146" s="7">
        <v>0.9259259259259259</v>
      </c>
    </row>
    <row r="147" hidden="1">
      <c r="A147" s="4" t="str">
        <f>IFERROR(__xludf.DUMMYFUNCTION("""COMPUTED_VALUE"""),"MARCA CAMARGO FOOD")</f>
        <v>MARCA CAMARGO FOOD</v>
      </c>
      <c r="B147" s="4" t="str">
        <f>IFERROR(__xludf.DUMMYFUNCTION("""COMPUTED_VALUE"""),"Lídia Esteves")</f>
        <v>Lídia Esteves</v>
      </c>
      <c r="C147" s="4" t="str">
        <f>IFERROR(__xludf.DUMMYFUNCTION("""COMPUTED_VALUE"""),"Gabriela Roma")</f>
        <v>Gabriela Roma</v>
      </c>
      <c r="D147" s="4" t="str">
        <f>IFERROR(__xludf.DUMMYFUNCTION("""COMPUTED_VALUE"""),"0. Não Iniciado")</f>
        <v>0. Não Iniciado</v>
      </c>
      <c r="E147" s="4"/>
      <c r="F147" s="4" t="str">
        <f>IFERROR(__xludf.DUMMYFUNCTION("""COMPUTED_VALUE"""),"P")</f>
        <v>P</v>
      </c>
      <c r="G147" s="4"/>
      <c r="H147" s="4"/>
      <c r="I147" s="4"/>
      <c r="J147" s="4"/>
      <c r="K147" s="4"/>
      <c r="L147" s="4"/>
      <c r="M147" s="4"/>
      <c r="N147" s="4"/>
      <c r="O147" s="4"/>
      <c r="P147" s="4"/>
      <c r="Q147" s="4"/>
      <c r="R147" s="4"/>
      <c r="S147" s="4"/>
      <c r="T147" s="4"/>
      <c r="U147" s="4"/>
      <c r="V147" s="4"/>
      <c r="W147" s="4"/>
      <c r="X147" s="4"/>
      <c r="Y147" s="4"/>
      <c r="Z147" s="4"/>
      <c r="AA147" s="4">
        <f>IFERROR(__xludf.DUMMYFUNCTION("""COMPUTED_VALUE"""),8.0)</f>
        <v>8</v>
      </c>
      <c r="AB147" s="4" t="str">
        <f>IFERROR(__xludf.DUMMYFUNCTION("""COMPUTED_VALUE"""),"CE")</f>
        <v>CE</v>
      </c>
      <c r="AC147" s="4" t="str">
        <f>IFERROR(__xludf.DUMMYFUNCTION("""COMPUTED_VALUE"""),"Sim")</f>
        <v>Sim</v>
      </c>
      <c r="AD147" s="4" t="str">
        <f>IFERROR(__xludf.DUMMYFUNCTION("""COMPUTED_VALUE"""),"Ifood")</f>
        <v>Ifood</v>
      </c>
      <c r="AE147" s="4"/>
      <c r="AF147" s="4"/>
      <c r="AG147" s="4"/>
      <c r="AH147" s="4"/>
      <c r="AI147" s="4"/>
      <c r="AJ147" s="4"/>
      <c r="AK147" s="4"/>
      <c r="AL147" s="4"/>
      <c r="AM147" s="4" t="str">
        <f>IFERROR(__xludf.DUMMYFUNCTION("""COMPUTED_VALUE"""),"FY27")</f>
        <v>FY27</v>
      </c>
      <c r="AN147" s="4"/>
      <c r="AO147" s="4">
        <f>IFERROR(__xludf.DUMMYFUNCTION("""COMPUTED_VALUE"""),45553.0)</f>
        <v>45553</v>
      </c>
      <c r="AP147" s="4" t="str">
        <f>IFERROR(__xludf.DUMMYFUNCTION("""COMPUTED_VALUE"""),"SP")</f>
        <v>SP</v>
      </c>
      <c r="AQ147" s="4" t="str">
        <f>IFERROR(__xludf.DUMMYFUNCTION("""COMPUTED_VALUE"""),"FILIPE CALDEIRA")</f>
        <v>FILIPE CALDEIRA</v>
      </c>
      <c r="AR147" s="4" t="str">
        <f>IFERROR(__xludf.DUMMYFUNCTION("""COMPUTED_VALUE"""),"LAURA GUIMARAES")</f>
        <v>LAURA GUIMARAES</v>
      </c>
      <c r="AS147" s="4" t="str">
        <f>IFERROR(__xludf.DUMMYFUNCTION("""COMPUTED_VALUE"""),"NATHALIE MERTENS")</f>
        <v>NATHALIE MERTENS</v>
      </c>
      <c r="AT147" s="4" t="str">
        <f>IFERROR(__xludf.DUMMYFUNCTION("""COMPUTED_VALUE"""),"CIBELE OLIVEIRA")</f>
        <v>CIBELE OLIVEIRA</v>
      </c>
      <c r="AU147" s="4">
        <f>IFERROR(__xludf.DUMMYFUNCTION("""COMPUTED_VALUE"""),0.0)</f>
        <v>0</v>
      </c>
      <c r="AV147" s="4">
        <f>IFERROR(__xludf.DUMMYFUNCTION("""COMPUTED_VALUE"""),0.0)</f>
        <v>0</v>
      </c>
      <c r="AW147" s="4">
        <f>IFERROR(__xludf.DUMMYFUNCTION("""COMPUTED_VALUE"""),0.0)</f>
        <v>0</v>
      </c>
      <c r="AX147" s="4">
        <f>IFERROR(__xludf.DUMMYFUNCTION("""COMPUTED_VALUE"""),0.0)</f>
        <v>0</v>
      </c>
      <c r="AY147" s="4"/>
      <c r="AZ147" s="4" t="str">
        <f>IFERROR(__xludf.DUMMYFUNCTION("""COMPUTED_VALUE"""),"Brasileira")</f>
        <v>Brasileira</v>
      </c>
      <c r="BA147" s="4">
        <f>IFERROR(__xludf.DUMMYFUNCTION("""COMPUTED_VALUE"""),69.0)</f>
        <v>69</v>
      </c>
      <c r="BB147" s="4" t="str">
        <f>IFERROR(__xludf.DUMMYFUNCTION("""COMPUTED_VALUE"""),"Fast Casual - Multi-conceito")</f>
        <v>Fast Casual - Multi-conceito</v>
      </c>
      <c r="BC147" s="4" t="str">
        <f>IFERROR(__xludf.DUMMYFUNCTION("""COMPUTED_VALUE"""),"Rio de Janeiro/RJ")</f>
        <v>Rio de Janeiro/RJ</v>
      </c>
      <c r="BD147" s="4" t="str">
        <f>IFERROR(__xludf.DUMMYFUNCTION("""COMPUTED_VALUE"""),"Dado não disponível publicamente - Necessário Discovery")</f>
        <v>Dado não disponível publicamente - Necessário Discovery</v>
      </c>
      <c r="BE147" s="4">
        <f>IFERROR(__xludf.DUMMYFUNCTION("""COMPUTED_VALUE"""),70.0)</f>
        <v>70</v>
      </c>
      <c r="BF147" s="4">
        <f>IFERROR(__xludf.DUMMYFUNCTION("""COMPUTED_VALUE"""),0.75)</f>
        <v>0.75</v>
      </c>
      <c r="BG14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47" s="4" t="s">
        <v>75</v>
      </c>
      <c r="BI147" s="7">
        <v>1.0</v>
      </c>
    </row>
    <row r="148" hidden="1">
      <c r="A148" s="4" t="str">
        <f>IFERROR(__xludf.DUMMYFUNCTION("""COMPUTED_VALUE"""),"MARK HAMBURGUERIA")</f>
        <v>MARK HAMBURGUERIA</v>
      </c>
      <c r="B148" s="4" t="str">
        <f>IFERROR(__xludf.DUMMYFUNCTION("""COMPUTED_VALUE"""),"Lídia Esteves")</f>
        <v>Lídia Esteves</v>
      </c>
      <c r="C148" s="4" t="str">
        <f>IFERROR(__xludf.DUMMYFUNCTION("""COMPUTED_VALUE"""),"Gabriela Roma")</f>
        <v>Gabriela Roma</v>
      </c>
      <c r="D148" s="4" t="str">
        <f>IFERROR(__xludf.DUMMYFUNCTION("""COMPUTED_VALUE"""),"0. Não Iniciado")</f>
        <v>0. Não Iniciado</v>
      </c>
      <c r="E148" s="4"/>
      <c r="F148" s="4" t="str">
        <f>IFERROR(__xludf.DUMMYFUNCTION("""COMPUTED_VALUE"""),"P")</f>
        <v>P</v>
      </c>
      <c r="G148" s="4"/>
      <c r="H148" s="4"/>
      <c r="I148" s="4"/>
      <c r="J148" s="4"/>
      <c r="K148" s="4"/>
      <c r="L148" s="4"/>
      <c r="M148" s="4"/>
      <c r="N148" s="4"/>
      <c r="O148" s="4"/>
      <c r="P148" s="4"/>
      <c r="Q148" s="4"/>
      <c r="R148" s="4"/>
      <c r="S148" s="4"/>
      <c r="T148" s="4"/>
      <c r="U148" s="4"/>
      <c r="V148" s="4"/>
      <c r="W148" s="4"/>
      <c r="X148" s="4"/>
      <c r="Y148" s="4"/>
      <c r="Z148" s="4"/>
      <c r="AA148" s="4">
        <f>IFERROR(__xludf.DUMMYFUNCTION("""COMPUTED_VALUE"""),5.0)</f>
        <v>5</v>
      </c>
      <c r="AB148" s="14" t="str">
        <f>IFERROR(__xludf.DUMMYFUNCTION("""COMPUTED_VALUE"""),"CE")</f>
        <v>CE</v>
      </c>
      <c r="AC148" s="4" t="str">
        <f>IFERROR(__xludf.DUMMYFUNCTION("""COMPUTED_VALUE"""),"Sim")</f>
        <v>Sim</v>
      </c>
      <c r="AD148" s="4" t="str">
        <f>IFERROR(__xludf.DUMMYFUNCTION("""COMPUTED_VALUE"""),"Ifood")</f>
        <v>Ifood</v>
      </c>
      <c r="AE148" s="4"/>
      <c r="AF148" s="4"/>
      <c r="AG148" s="4"/>
      <c r="AH148" s="4"/>
      <c r="AI148" s="4"/>
      <c r="AJ148" s="4"/>
      <c r="AK148" s="4"/>
      <c r="AL148" s="4"/>
      <c r="AM148" s="4" t="str">
        <f>IFERROR(__xludf.DUMMYFUNCTION("""COMPUTED_VALUE"""),"FY27")</f>
        <v>FY27</v>
      </c>
      <c r="AN148" s="4"/>
      <c r="AO148" s="4">
        <f>IFERROR(__xludf.DUMMYFUNCTION("""COMPUTED_VALUE"""),45553.0)</f>
        <v>45553</v>
      </c>
      <c r="AP148" s="4" t="str">
        <f>IFERROR(__xludf.DUMMYFUNCTION("""COMPUTED_VALUE"""),"RS")</f>
        <v>RS</v>
      </c>
      <c r="AQ148" s="4" t="str">
        <f>IFERROR(__xludf.DUMMYFUNCTION("""COMPUTED_VALUE"""),"OLIVEIRA DOUGLAS")</f>
        <v>OLIVEIRA DOUGLAS</v>
      </c>
      <c r="AR148" s="4" t="str">
        <f>IFERROR(__xludf.DUMMYFUNCTION("""COMPUTED_VALUE"""),"VANESSA VASCONCELLOS")</f>
        <v>VANESSA VASCONCELLOS</v>
      </c>
      <c r="AS148" s="4" t="str">
        <f>IFERROR(__xludf.DUMMYFUNCTION("""COMPUTED_VALUE"""),"FABIO DONATO")</f>
        <v>FABIO DONATO</v>
      </c>
      <c r="AT148" s="4" t="str">
        <f>IFERROR(__xludf.DUMMYFUNCTION("""COMPUTED_VALUE"""),"CAMILA HOLANDA")</f>
        <v>CAMILA HOLANDA</v>
      </c>
      <c r="AU148" s="4">
        <f>IFERROR(__xludf.DUMMYFUNCTION("""COMPUTED_VALUE"""),0.0)</f>
        <v>0</v>
      </c>
      <c r="AV148" s="4">
        <f>IFERROR(__xludf.DUMMYFUNCTION("""COMPUTED_VALUE"""),0.0)</f>
        <v>0</v>
      </c>
      <c r="AW148" s="4">
        <f>IFERROR(__xludf.DUMMYFUNCTION("""COMPUTED_VALUE"""),0.0)</f>
        <v>0</v>
      </c>
      <c r="AX148" s="4">
        <f>IFERROR(__xludf.DUMMYFUNCTION("""COMPUTED_VALUE"""),0.0)</f>
        <v>0</v>
      </c>
      <c r="AY148" s="4"/>
      <c r="AZ148" s="4" t="str">
        <f>IFERROR(__xludf.DUMMYFUNCTION("""COMPUTED_VALUE"""),"Lanches")</f>
        <v>Lanches</v>
      </c>
      <c r="BA148" s="4">
        <f>IFERROR(__xludf.DUMMYFUNCTION("""COMPUTED_VALUE"""),55.0)</f>
        <v>55</v>
      </c>
      <c r="BB148" s="12" t="str">
        <f>IFERROR(__xludf.DUMMYFUNCTION("""COMPUTED_VALUE"""),"Fast Casual - Hamburgueria")</f>
        <v>Fast Casual - Hamburgueria</v>
      </c>
      <c r="BC148" s="4" t="str">
        <f>IFERROR(__xludf.DUMMYFUNCTION("""COMPUTED_VALUE"""),"São Paulo/SP")</f>
        <v>São Paulo/SP</v>
      </c>
      <c r="BD148" s="4" t="str">
        <f>IFERROR(__xludf.DUMMYFUNCTION("""COMPUTED_VALUE"""),"Dado não disponível publicamente - Necessário Discovery")</f>
        <v>Dado não disponível publicamente - Necessário Discovery</v>
      </c>
      <c r="BE148" s="4">
        <f>IFERROR(__xludf.DUMMYFUNCTION("""COMPUTED_VALUE"""),70.0)</f>
        <v>70</v>
      </c>
      <c r="BF148" s="13">
        <f>IFERROR(__xludf.DUMMYFUNCTION("""COMPUTED_VALUE"""),0.8)</f>
        <v>0.8</v>
      </c>
      <c r="BG148"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148" s="4" t="s">
        <v>91</v>
      </c>
      <c r="BI148" s="7">
        <v>0.875</v>
      </c>
    </row>
    <row r="149" hidden="1">
      <c r="A149" s="4" t="str">
        <f>IFERROR(__xludf.DUMMYFUNCTION("""COMPUTED_VALUE"""),"MARMITARIABH")</f>
        <v>MARMITARIABH</v>
      </c>
      <c r="B149" s="4" t="str">
        <f>IFERROR(__xludf.DUMMYFUNCTION("""COMPUTED_VALUE"""),"João Biagiotti")</f>
        <v>João Biagiotti</v>
      </c>
      <c r="C149" s="4" t="str">
        <f>IFERROR(__xludf.DUMMYFUNCTION("""COMPUTED_VALUE"""),"Diego Santos")</f>
        <v>Diego Santos</v>
      </c>
      <c r="D149" s="4" t="str">
        <f>IFERROR(__xludf.DUMMYFUNCTION("""COMPUTED_VALUE"""),"0. Não Iniciado")</f>
        <v>0. Não Iniciado</v>
      </c>
      <c r="E149" s="4"/>
      <c r="F149" s="4" t="str">
        <f>IFERROR(__xludf.DUMMYFUNCTION("""COMPUTED_VALUE"""),"P")</f>
        <v>P</v>
      </c>
      <c r="G149" s="4"/>
      <c r="H149" s="4"/>
      <c r="I149" s="4"/>
      <c r="J149" s="4"/>
      <c r="K149" s="4"/>
      <c r="L149" s="4"/>
      <c r="M149" s="4"/>
      <c r="N149" s="4"/>
      <c r="O149" s="4"/>
      <c r="P149" s="4"/>
      <c r="Q149" s="4"/>
      <c r="R149" s="4"/>
      <c r="S149" s="4"/>
      <c r="T149" s="4"/>
      <c r="U149" s="4"/>
      <c r="V149" s="4"/>
      <c r="W149" s="4"/>
      <c r="X149" s="4"/>
      <c r="Y149" s="4"/>
      <c r="Z149" s="4"/>
      <c r="AA149" s="4">
        <f>IFERROR(__xludf.DUMMYFUNCTION("""COMPUTED_VALUE"""),5.0)</f>
        <v>5</v>
      </c>
      <c r="AB149" s="4" t="str">
        <f>IFERROR(__xludf.DUMMYFUNCTION("""COMPUTED_VALUE"""),"CE")</f>
        <v>CE</v>
      </c>
      <c r="AC149" s="4" t="str">
        <f>IFERROR(__xludf.DUMMYFUNCTION("""COMPUTED_VALUE"""),"Sim")</f>
        <v>Sim</v>
      </c>
      <c r="AD149" s="4" t="str">
        <f>IFERROR(__xludf.DUMMYFUNCTION("""COMPUTED_VALUE"""),"Ifood")</f>
        <v>Ifood</v>
      </c>
      <c r="AE149" s="4"/>
      <c r="AF149" s="4"/>
      <c r="AG149" s="4"/>
      <c r="AH149" s="4"/>
      <c r="AI149" s="4"/>
      <c r="AJ149" s="4"/>
      <c r="AK149" s="4"/>
      <c r="AL149" s="4"/>
      <c r="AM149" s="4" t="str">
        <f>IFERROR(__xludf.DUMMYFUNCTION("""COMPUTED_VALUE"""),"FY27")</f>
        <v>FY27</v>
      </c>
      <c r="AN149" s="4"/>
      <c r="AO149" s="4">
        <f>IFERROR(__xludf.DUMMYFUNCTION("""COMPUTED_VALUE"""),45553.0)</f>
        <v>45553</v>
      </c>
      <c r="AP149" s="4" t="str">
        <f>IFERROR(__xludf.DUMMYFUNCTION("""COMPUTED_VALUE"""),"MG")</f>
        <v>MG</v>
      </c>
      <c r="AQ149" s="4" t="str">
        <f>IFERROR(__xludf.DUMMYFUNCTION("""COMPUTED_VALUE"""),"TAMIRES DIAS")</f>
        <v>TAMIRES DIAS</v>
      </c>
      <c r="AR149" s="4" t="str">
        <f>IFERROR(__xludf.DUMMYFUNCTION("""COMPUTED_VALUE"""),"LORENA DINIZ")</f>
        <v>LORENA DINIZ</v>
      </c>
      <c r="AS149" s="4" t="str">
        <f>IFERROR(__xludf.DUMMYFUNCTION("""COMPUTED_VALUE"""),"FABIO DONATO")</f>
        <v>FABIO DONATO</v>
      </c>
      <c r="AT149" s="4" t="str">
        <f>IFERROR(__xludf.DUMMYFUNCTION("""COMPUTED_VALUE"""),"GILSON JUNIOR")</f>
        <v>GILSON JUNIOR</v>
      </c>
      <c r="AU149" s="4">
        <f>IFERROR(__xludf.DUMMYFUNCTION("""COMPUTED_VALUE"""),0.0)</f>
        <v>0</v>
      </c>
      <c r="AV149" s="4">
        <f>IFERROR(__xludf.DUMMYFUNCTION("""COMPUTED_VALUE"""),0.0)</f>
        <v>0</v>
      </c>
      <c r="AW149" s="4">
        <f>IFERROR(__xludf.DUMMYFUNCTION("""COMPUTED_VALUE"""),0.0)</f>
        <v>0</v>
      </c>
      <c r="AX149" s="4">
        <f>IFERROR(__xludf.DUMMYFUNCTION("""COMPUTED_VALUE"""),0.0)</f>
        <v>0</v>
      </c>
      <c r="AY149" s="4"/>
      <c r="AZ149" s="4" t="str">
        <f>IFERROR(__xludf.DUMMYFUNCTION("""COMPUTED_VALUE"""),"Japonesa")</f>
        <v>Japonesa</v>
      </c>
      <c r="BA149" s="4" t="str">
        <f>IFERROR(__xludf.DUMMYFUNCTION("""COMPUTED_VALUE"""),"")</f>
        <v/>
      </c>
      <c r="BB149" s="4" t="str">
        <f>IFERROR(__xludf.DUMMYFUNCTION("""COMPUTED_VALUE"""),"")</f>
        <v/>
      </c>
      <c r="BC149" s="4" t="str">
        <f>IFERROR(__xludf.DUMMYFUNCTION("""COMPUTED_VALUE"""),"")</f>
        <v/>
      </c>
      <c r="BD149" s="4" t="str">
        <f>IFERROR(__xludf.DUMMYFUNCTION("""COMPUTED_VALUE"""),"")</f>
        <v/>
      </c>
      <c r="BE149" s="4" t="str">
        <f>IFERROR(__xludf.DUMMYFUNCTION("""COMPUTED_VALUE"""),"")</f>
        <v/>
      </c>
      <c r="BF149" s="4" t="str">
        <f>IFERROR(__xludf.DUMMYFUNCTION("""COMPUTED_VALUE"""),"")</f>
        <v/>
      </c>
      <c r="BG149" s="4" t="str">
        <f>IFERROR(__xludf.DUMMYFUNCTION("""COMPUTED_VALUE"""),"")</f>
        <v/>
      </c>
      <c r="BH149" s="4" t="s">
        <v>71</v>
      </c>
      <c r="BI149" s="7">
        <v>0.8571428571428571</v>
      </c>
    </row>
    <row r="150" hidden="1">
      <c r="A150" s="4" t="str">
        <f>IFERROR(__xludf.DUMMYFUNCTION("""COMPUTED_VALUE"""),"MAUI POKE HOUSE")</f>
        <v>MAUI POKE HOUSE</v>
      </c>
      <c r="B150" s="4" t="str">
        <f>IFERROR(__xludf.DUMMYFUNCTION("""COMPUTED_VALUE"""),"Lídia Esteves")</f>
        <v>Lídia Esteves</v>
      </c>
      <c r="C150" s="4" t="str">
        <f>IFERROR(__xludf.DUMMYFUNCTION("""COMPUTED_VALUE"""),"Gabriela Roma")</f>
        <v>Gabriela Roma</v>
      </c>
      <c r="D150" s="4" t="str">
        <f>IFERROR(__xludf.DUMMYFUNCTION("""COMPUTED_VALUE"""),"0. Não Iniciado")</f>
        <v>0. Não Iniciado</v>
      </c>
      <c r="E150" s="4"/>
      <c r="F150" s="4" t="str">
        <f>IFERROR(__xludf.DUMMYFUNCTION("""COMPUTED_VALUE"""),"P")</f>
        <v>P</v>
      </c>
      <c r="G150" s="4"/>
      <c r="H150" s="4"/>
      <c r="I150" s="4"/>
      <c r="J150" s="4"/>
      <c r="K150" s="4"/>
      <c r="L150" s="4"/>
      <c r="M150" s="4"/>
      <c r="N150" s="4"/>
      <c r="O150" s="4"/>
      <c r="P150" s="4"/>
      <c r="Q150" s="4"/>
      <c r="R150" s="4"/>
      <c r="S150" s="4"/>
      <c r="T150" s="4"/>
      <c r="U150" s="4"/>
      <c r="V150" s="4"/>
      <c r="W150" s="4"/>
      <c r="X150" s="4"/>
      <c r="Y150" s="4"/>
      <c r="Z150" s="4"/>
      <c r="AA150" s="4">
        <f>IFERROR(__xludf.DUMMYFUNCTION("""COMPUTED_VALUE"""),5.0)</f>
        <v>5</v>
      </c>
      <c r="AB150" s="4" t="str">
        <f>IFERROR(__xludf.DUMMYFUNCTION("""COMPUTED_VALUE"""),"CE")</f>
        <v>CE</v>
      </c>
      <c r="AC150" s="4" t="str">
        <f>IFERROR(__xludf.DUMMYFUNCTION("""COMPUTED_VALUE"""),"Sim")</f>
        <v>Sim</v>
      </c>
      <c r="AD150" s="4" t="str">
        <f>IFERROR(__xludf.DUMMYFUNCTION("""COMPUTED_VALUE"""),"Ifood")</f>
        <v>Ifood</v>
      </c>
      <c r="AE150" s="4"/>
      <c r="AF150" s="4"/>
      <c r="AG150" s="4"/>
      <c r="AH150" s="4"/>
      <c r="AI150" s="4"/>
      <c r="AJ150" s="4"/>
      <c r="AK150" s="4"/>
      <c r="AL150" s="4"/>
      <c r="AM150" s="4" t="str">
        <f>IFERROR(__xludf.DUMMYFUNCTION("""COMPUTED_VALUE"""),"FY27")</f>
        <v>FY27</v>
      </c>
      <c r="AN150" s="4"/>
      <c r="AO150" s="4">
        <f>IFERROR(__xludf.DUMMYFUNCTION("""COMPUTED_VALUE"""),45553.0)</f>
        <v>45553</v>
      </c>
      <c r="AP150" s="4" t="str">
        <f>IFERROR(__xludf.DUMMYFUNCTION("""COMPUTED_VALUE"""),"SP")</f>
        <v>SP</v>
      </c>
      <c r="AQ150" s="4" t="str">
        <f>IFERROR(__xludf.DUMMYFUNCTION("""COMPUTED_VALUE"""),"FILIPE CALDEIRA")</f>
        <v>FILIPE CALDEIRA</v>
      </c>
      <c r="AR150" s="4" t="str">
        <f>IFERROR(__xludf.DUMMYFUNCTION("""COMPUTED_VALUE"""),"THAINARA IGESCA")</f>
        <v>THAINARA IGESCA</v>
      </c>
      <c r="AS150" s="4" t="str">
        <f>IFERROR(__xludf.DUMMYFUNCTION("""COMPUTED_VALUE"""),"NATHALIE MERTENS")</f>
        <v>NATHALIE MERTENS</v>
      </c>
      <c r="AT150" s="4" t="str">
        <f>IFERROR(__xludf.DUMMYFUNCTION("""COMPUTED_VALUE"""),"CIBELE OLIVEIRA")</f>
        <v>CIBELE OLIVEIRA</v>
      </c>
      <c r="AU150" s="4">
        <f>IFERROR(__xludf.DUMMYFUNCTION("""COMPUTED_VALUE"""),0.0)</f>
        <v>0</v>
      </c>
      <c r="AV150" s="4">
        <f>IFERROR(__xludf.DUMMYFUNCTION("""COMPUTED_VALUE"""),0.0)</f>
        <v>0</v>
      </c>
      <c r="AW150" s="4">
        <f>IFERROR(__xludf.DUMMYFUNCTION("""COMPUTED_VALUE"""),0.0)</f>
        <v>0</v>
      </c>
      <c r="AX150" s="4">
        <f>IFERROR(__xludf.DUMMYFUNCTION("""COMPUTED_VALUE"""),0.0)</f>
        <v>0</v>
      </c>
      <c r="AY150" s="4"/>
      <c r="AZ150" s="4" t="str">
        <f>IFERROR(__xludf.DUMMYFUNCTION("""COMPUTED_VALUE"""),"Saudável")</f>
        <v>Saudável</v>
      </c>
      <c r="BA150" s="4">
        <f>IFERROR(__xludf.DUMMYFUNCTION("""COMPUTED_VALUE"""),67.0)</f>
        <v>67</v>
      </c>
      <c r="BB150" s="4" t="str">
        <f>IFERROR(__xludf.DUMMYFUNCTION("""COMPUTED_VALUE"""),"Fast Casual - Poke Bowl")</f>
        <v>Fast Casual - Poke Bowl</v>
      </c>
      <c r="BC150" s="4" t="str">
        <f>IFERROR(__xludf.DUMMYFUNCTION("""COMPUTED_VALUE"""),"Belo Horizonte/MG")</f>
        <v>Belo Horizonte/MG</v>
      </c>
      <c r="BD150" s="4" t="str">
        <f>IFERROR(__xludf.DUMMYFUNCTION("""COMPUTED_VALUE"""),"Dado não disponível publicamente - Necessário Discovery")</f>
        <v>Dado não disponível publicamente - Necessário Discovery</v>
      </c>
      <c r="BE150" s="4">
        <f>IFERROR(__xludf.DUMMYFUNCTION("""COMPUTED_VALUE"""),65.0)</f>
        <v>65</v>
      </c>
      <c r="BF150" s="4">
        <f>IFERROR(__xludf.DUMMYFUNCTION("""COMPUTED_VALUE"""),0.75)</f>
        <v>0.75</v>
      </c>
      <c r="BG15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50" s="4" t="s">
        <v>74</v>
      </c>
      <c r="BI150" s="7">
        <v>0.625</v>
      </c>
    </row>
    <row r="151" hidden="1">
      <c r="A151" s="4" t="str">
        <f>IFERROR(__xludf.DUMMYFUNCTION("""COMPUTED_VALUE"""),"MEGA ACAI")</f>
        <v>MEGA ACAI</v>
      </c>
      <c r="B151" s="4" t="str">
        <f>IFERROR(__xludf.DUMMYFUNCTION("""COMPUTED_VALUE"""),"Emerson")</f>
        <v>Emerson</v>
      </c>
      <c r="C151" s="4" t="str">
        <f>IFERROR(__xludf.DUMMYFUNCTION("""COMPUTED_VALUE"""),"Emerson")</f>
        <v>Emerson</v>
      </c>
      <c r="D151" s="4" t="str">
        <f>IFERROR(__xludf.DUMMYFUNCTION("""COMPUTED_VALUE"""),"0. Não Iniciado")</f>
        <v>0. Não Iniciado</v>
      </c>
      <c r="E151" s="4"/>
      <c r="F151" s="4" t="str">
        <f>IFERROR(__xludf.DUMMYFUNCTION("""COMPUTED_VALUE"""),"M")</f>
        <v>M</v>
      </c>
      <c r="G151" s="4"/>
      <c r="H151" s="4"/>
      <c r="I151" s="4"/>
      <c r="J151" s="4"/>
      <c r="K151" s="4"/>
      <c r="L151" s="4"/>
      <c r="M151" s="4"/>
      <c r="N151" s="4"/>
      <c r="O151" s="4"/>
      <c r="P151" s="4"/>
      <c r="Q151" s="4"/>
      <c r="R151" s="4"/>
      <c r="S151" s="4"/>
      <c r="T151" s="4"/>
      <c r="U151" s="4"/>
      <c r="V151" s="4"/>
      <c r="W151" s="4"/>
      <c r="X151" s="4"/>
      <c r="Y151" s="4"/>
      <c r="Z151" s="4"/>
      <c r="AA151" s="4">
        <f>IFERROR(__xludf.DUMMYFUNCTION("""COMPUTED_VALUE"""),41.0)</f>
        <v>41</v>
      </c>
      <c r="AB151" s="4" t="str">
        <f>IFERROR(__xludf.DUMMYFUNCTION("""COMPUTED_VALUE"""),"-")</f>
        <v>-</v>
      </c>
      <c r="AC151" s="4" t="str">
        <f>IFERROR(__xludf.DUMMYFUNCTION("""COMPUTED_VALUE"""),"Sim")</f>
        <v>Sim</v>
      </c>
      <c r="AD151" s="4" t="str">
        <f>IFERROR(__xludf.DUMMYFUNCTION("""COMPUTED_VALUE"""),"Ifood")</f>
        <v>Ifood</v>
      </c>
      <c r="AE151" s="4"/>
      <c r="AF151" s="4"/>
      <c r="AG151" s="4"/>
      <c r="AH151" s="4"/>
      <c r="AI151" s="4"/>
      <c r="AJ151" s="4"/>
      <c r="AK151" s="4"/>
      <c r="AL151" s="4"/>
      <c r="AM151" s="4" t="str">
        <f>IFERROR(__xludf.DUMMYFUNCTION("""COMPUTED_VALUE"""),"FY27")</f>
        <v>FY27</v>
      </c>
      <c r="AN151" s="4"/>
      <c r="AO151" s="4">
        <f>IFERROR(__xludf.DUMMYFUNCTION("""COMPUTED_VALUE"""),45553.0)</f>
        <v>45553</v>
      </c>
      <c r="AP151" s="4" t="str">
        <f>IFERROR(__xludf.DUMMYFUNCTION("""COMPUTED_VALUE"""),"RJ")</f>
        <v>RJ</v>
      </c>
      <c r="AQ151" s="4" t="str">
        <f>IFERROR(__xludf.DUMMYFUNCTION("""COMPUTED_VALUE"""),"RAIZA CARDOSO")</f>
        <v>RAIZA CARDOSO</v>
      </c>
      <c r="AR151" s="4" t="str">
        <f>IFERROR(__xludf.DUMMYFUNCTION("""COMPUTED_VALUE"""),"RODRIGUES STEPHANIE")</f>
        <v>RODRIGUES STEPHANIE</v>
      </c>
      <c r="AS151" s="4" t="str">
        <f>IFERROR(__xludf.DUMMYFUNCTION("""COMPUTED_VALUE"""),"VINICIUS MARTINS")</f>
        <v>VINICIUS MARTINS</v>
      </c>
      <c r="AT151" s="4" t="str">
        <f>IFERROR(__xludf.DUMMYFUNCTION("""COMPUTED_VALUE"""),"RAIZA CARDOSO")</f>
        <v>RAIZA CARDOSO</v>
      </c>
      <c r="AU151" s="4">
        <f>IFERROR(__xludf.DUMMYFUNCTION("""COMPUTED_VALUE"""),0.0)</f>
        <v>0</v>
      </c>
      <c r="AV151" s="4">
        <f>IFERROR(__xludf.DUMMYFUNCTION("""COMPUTED_VALUE"""),0.0)</f>
        <v>0</v>
      </c>
      <c r="AW151" s="4">
        <f>IFERROR(__xludf.DUMMYFUNCTION("""COMPUTED_VALUE"""),0.0)</f>
        <v>0</v>
      </c>
      <c r="AX151" s="4">
        <f>IFERROR(__xludf.DUMMYFUNCTION("""COMPUTED_VALUE"""),0.0)</f>
        <v>0</v>
      </c>
      <c r="AY151" s="4" t="str">
        <f>IFERROR(__xludf.DUMMYFUNCTION("""COMPUTED_VALUE"""),"Anota Ai Solucoes Digitais S/a")</f>
        <v>Anota Ai Solucoes Digitais S/a</v>
      </c>
      <c r="AZ151" s="4" t="str">
        <f>IFERROR(__xludf.DUMMYFUNCTION("""COMPUTED_VALUE"""),"Açaí")</f>
        <v>Açaí</v>
      </c>
      <c r="BA151" s="4">
        <f>IFERROR(__xludf.DUMMYFUNCTION("""COMPUTED_VALUE"""),26.0)</f>
        <v>26</v>
      </c>
      <c r="BB151" s="4" t="str">
        <f>IFERROR(__xludf.DUMMYFUNCTION("""COMPUTED_VALUE"""),"QSR - Açaí/Poke")</f>
        <v>QSR - Açaí/Poke</v>
      </c>
      <c r="BC151" s="4" t="str">
        <f>IFERROR(__xludf.DUMMYFUNCTION("""COMPUTED_VALUE"""),"Regional")</f>
        <v>Regional</v>
      </c>
      <c r="BD151" s="4" t="str">
        <f>IFERROR(__xludf.DUMMYFUNCTION("""COMPUTED_VALUE"""),"Dado não disponível publicamente - Necessário Discovery")</f>
        <v>Dado não disponível publicamente - Necessário Discovery</v>
      </c>
      <c r="BE151" s="4">
        <f>IFERROR(__xludf.DUMMYFUNCTION("""COMPUTED_VALUE"""),70.0)</f>
        <v>70</v>
      </c>
      <c r="BF151" s="4">
        <f>IFERROR(__xludf.DUMMYFUNCTION("""COMPUTED_VALUE"""),0.9)</f>
        <v>0.9</v>
      </c>
      <c r="BG151"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151" s="4" t="s">
        <v>64</v>
      </c>
      <c r="BI151" s="7">
        <v>0.3333333333333333</v>
      </c>
    </row>
    <row r="152" hidden="1">
      <c r="A152" s="4" t="str">
        <f>IFERROR(__xludf.DUMMYFUNCTION("""COMPUTED_VALUE"""),"MEGA LANCHES")</f>
        <v>MEGA LANCHES</v>
      </c>
      <c r="B152" s="4" t="str">
        <f>IFERROR(__xludf.DUMMYFUNCTION("""COMPUTED_VALUE"""),"Lídia Esteves")</f>
        <v>Lídia Esteves</v>
      </c>
      <c r="C152" s="4" t="str">
        <f>IFERROR(__xludf.DUMMYFUNCTION("""COMPUTED_VALUE"""),"Gabriela Roma")</f>
        <v>Gabriela Roma</v>
      </c>
      <c r="D152" s="4" t="str">
        <f>IFERROR(__xludf.DUMMYFUNCTION("""COMPUTED_VALUE"""),"0. Não Iniciado")</f>
        <v>0. Não Iniciado</v>
      </c>
      <c r="E152" s="4"/>
      <c r="F152" s="4" t="str">
        <f>IFERROR(__xludf.DUMMYFUNCTION("""COMPUTED_VALUE"""),"P")</f>
        <v>P</v>
      </c>
      <c r="G152" s="4"/>
      <c r="H152" s="4"/>
      <c r="I152" s="4"/>
      <c r="J152" s="4"/>
      <c r="K152" s="4"/>
      <c r="L152" s="4"/>
      <c r="M152" s="4"/>
      <c r="N152" s="4"/>
      <c r="O152" s="4"/>
      <c r="P152" s="4"/>
      <c r="Q152" s="4"/>
      <c r="R152" s="4"/>
      <c r="S152" s="4"/>
      <c r="T152" s="4"/>
      <c r="U152" s="4"/>
      <c r="V152" s="4"/>
      <c r="W152" s="4"/>
      <c r="X152" s="4"/>
      <c r="Y152" s="4"/>
      <c r="Z152" s="4"/>
      <c r="AA152" s="4">
        <f>IFERROR(__xludf.DUMMYFUNCTION("""COMPUTED_VALUE"""),12.0)</f>
        <v>12</v>
      </c>
      <c r="AB152" s="4" t="str">
        <f>IFERROR(__xludf.DUMMYFUNCTION("""COMPUTED_VALUE"""),"Não Encarteirado")</f>
        <v>Não Encarteirado</v>
      </c>
      <c r="AC152" s="4" t="str">
        <f>IFERROR(__xludf.DUMMYFUNCTION("""COMPUTED_VALUE"""),"Sim")</f>
        <v>Sim</v>
      </c>
      <c r="AD152" s="4">
        <f>IFERROR(__xludf.DUMMYFUNCTION("""COMPUTED_VALUE"""),0.0)</f>
        <v>0</v>
      </c>
      <c r="AE152" s="4"/>
      <c r="AF152" s="4"/>
      <c r="AG152" s="4"/>
      <c r="AH152" s="4"/>
      <c r="AI152" s="4"/>
      <c r="AJ152" s="4"/>
      <c r="AK152" s="4"/>
      <c r="AL152" s="4"/>
      <c r="AM152" s="4" t="str">
        <f>IFERROR(__xludf.DUMMYFUNCTION("""COMPUTED_VALUE"""),"FY27")</f>
        <v>FY27</v>
      </c>
      <c r="AN152" s="4"/>
      <c r="AO152" s="4">
        <f>IFERROR(__xludf.DUMMYFUNCTION("""COMPUTED_VALUE"""),45553.0)</f>
        <v>45553</v>
      </c>
      <c r="AP152" s="4" t="str">
        <f>IFERROR(__xludf.DUMMYFUNCTION("""COMPUTED_VALUE"""),"SP")</f>
        <v>SP</v>
      </c>
      <c r="AQ152" s="4" t="str">
        <f>IFERROR(__xludf.DUMMYFUNCTION("""COMPUTED_VALUE"""),"LEONARDO MACEDO")</f>
        <v>LEONARDO MACEDO</v>
      </c>
      <c r="AR152" s="4">
        <f>IFERROR(__xludf.DUMMYFUNCTION("""COMPUTED_VALUE"""),0.0)</f>
        <v>0</v>
      </c>
      <c r="AS152" s="4">
        <f>IFERROR(__xludf.DUMMYFUNCTION("""COMPUTED_VALUE"""),0.0)</f>
        <v>0</v>
      </c>
      <c r="AT152" s="4">
        <f>IFERROR(__xludf.DUMMYFUNCTION("""COMPUTED_VALUE"""),0.0)</f>
        <v>0</v>
      </c>
      <c r="AU152" s="4">
        <f>IFERROR(__xludf.DUMMYFUNCTION("""COMPUTED_VALUE"""),0.0)</f>
        <v>0</v>
      </c>
      <c r="AV152" s="4">
        <f>IFERROR(__xludf.DUMMYFUNCTION("""COMPUTED_VALUE"""),0.0)</f>
        <v>0</v>
      </c>
      <c r="AW152" s="4">
        <f>IFERROR(__xludf.DUMMYFUNCTION("""COMPUTED_VALUE"""),0.0)</f>
        <v>0</v>
      </c>
      <c r="AX152" s="4">
        <f>IFERROR(__xludf.DUMMYFUNCTION("""COMPUTED_VALUE"""),0.0)</f>
        <v>0</v>
      </c>
      <c r="AY152" s="4" t="str">
        <f>IFERROR(__xludf.DUMMYFUNCTION("""COMPUTED_VALUE"""),"Saipos Serviços De Software")</f>
        <v>Saipos Serviços De Software</v>
      </c>
      <c r="AZ152" s="4" t="str">
        <f>IFERROR(__xludf.DUMMYFUNCTION("""COMPUTED_VALUE"""),"Marmita")</f>
        <v>Marmita</v>
      </c>
      <c r="BA152" s="4">
        <f>IFERROR(__xludf.DUMMYFUNCTION("""COMPUTED_VALUE"""),38.0)</f>
        <v>38</v>
      </c>
      <c r="BB152" s="12" t="str">
        <f>IFERROR(__xludf.DUMMYFUNCTION("""COMPUTED_VALUE"""),"QSR - Lanches")</f>
        <v>QSR - Lanches</v>
      </c>
      <c r="BC152" s="4" t="str">
        <f>IFERROR(__xludf.DUMMYFUNCTION("""COMPUTED_VALUE"""),"Belo Horizonte/MG")</f>
        <v>Belo Horizonte/MG</v>
      </c>
      <c r="BD152" s="4" t="str">
        <f>IFERROR(__xludf.DUMMYFUNCTION("""COMPUTED_VALUE"""),"Dado não disponível publicamente - Necessário Discovery")</f>
        <v>Dado não disponível publicamente - Necessário Discovery</v>
      </c>
      <c r="BE152" s="4">
        <f>IFERROR(__xludf.DUMMYFUNCTION("""COMPUTED_VALUE"""),70.0)</f>
        <v>70</v>
      </c>
      <c r="BF152" s="13">
        <f>IFERROR(__xludf.DUMMYFUNCTION("""COMPUTED_VALUE"""),0.85)</f>
        <v>0.85</v>
      </c>
      <c r="BG152"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152" s="4" t="s">
        <v>64</v>
      </c>
      <c r="BI152" s="7">
        <v>0.4</v>
      </c>
    </row>
    <row r="153" hidden="1">
      <c r="A153" s="4" t="str">
        <f>IFERROR(__xludf.DUMMYFUNCTION("""COMPUTED_VALUE"""),"MENU POKE")</f>
        <v>MENU POKE</v>
      </c>
      <c r="B153" s="4" t="str">
        <f>IFERROR(__xludf.DUMMYFUNCTION("""COMPUTED_VALUE"""),"Lídia Esteves")</f>
        <v>Lídia Esteves</v>
      </c>
      <c r="C153" s="4" t="str">
        <f>IFERROR(__xludf.DUMMYFUNCTION("""COMPUTED_VALUE"""),"Gabriela Roma")</f>
        <v>Gabriela Roma</v>
      </c>
      <c r="D153" s="4" t="str">
        <f>IFERROR(__xludf.DUMMYFUNCTION("""COMPUTED_VALUE"""),"0. Não Iniciado")</f>
        <v>0. Não Iniciado</v>
      </c>
      <c r="E153" s="4"/>
      <c r="F153" s="4" t="str">
        <f>IFERROR(__xludf.DUMMYFUNCTION("""COMPUTED_VALUE"""),"P")</f>
        <v>P</v>
      </c>
      <c r="G153" s="4"/>
      <c r="H153" s="4"/>
      <c r="I153" s="4"/>
      <c r="J153" s="4"/>
      <c r="K153" s="4"/>
      <c r="L153" s="4"/>
      <c r="M153" s="4"/>
      <c r="N153" s="4"/>
      <c r="O153" s="4"/>
      <c r="P153" s="4"/>
      <c r="Q153" s="4"/>
      <c r="R153" s="4"/>
      <c r="S153" s="4"/>
      <c r="T153" s="4"/>
      <c r="U153" s="4"/>
      <c r="V153" s="4"/>
      <c r="W153" s="4"/>
      <c r="X153" s="4"/>
      <c r="Y153" s="4"/>
      <c r="Z153" s="4"/>
      <c r="AA153" s="4">
        <f>IFERROR(__xludf.DUMMYFUNCTION("""COMPUTED_VALUE"""),15.0)</f>
        <v>15</v>
      </c>
      <c r="AB153" s="4" t="str">
        <f>IFERROR(__xludf.DUMMYFUNCTION("""COMPUTED_VALUE"""),"CE")</f>
        <v>CE</v>
      </c>
      <c r="AC153" s="4" t="str">
        <f>IFERROR(__xludf.DUMMYFUNCTION("""COMPUTED_VALUE"""),"Sim")</f>
        <v>Sim</v>
      </c>
      <c r="AD153" s="4" t="str">
        <f>IFERROR(__xludf.DUMMYFUNCTION("""COMPUTED_VALUE"""),"Ifood")</f>
        <v>Ifood</v>
      </c>
      <c r="AE153" s="4"/>
      <c r="AF153" s="4"/>
      <c r="AG153" s="4"/>
      <c r="AH153" s="4"/>
      <c r="AI153" s="4"/>
      <c r="AJ153" s="4"/>
      <c r="AK153" s="4"/>
      <c r="AL153" s="4"/>
      <c r="AM153" s="4" t="str">
        <f>IFERROR(__xludf.DUMMYFUNCTION("""COMPUTED_VALUE"""),"FY27")</f>
        <v>FY27</v>
      </c>
      <c r="AN153" s="4"/>
      <c r="AO153" s="4">
        <f>IFERROR(__xludf.DUMMYFUNCTION("""COMPUTED_VALUE"""),45553.0)</f>
        <v>45553</v>
      </c>
      <c r="AP153" s="4" t="str">
        <f>IFERROR(__xludf.DUMMYFUNCTION("""COMPUTED_VALUE"""),"RS")</f>
        <v>RS</v>
      </c>
      <c r="AQ153" s="4" t="str">
        <f>IFERROR(__xludf.DUMMYFUNCTION("""COMPUTED_VALUE"""),"SHAYANA JACOM")</f>
        <v>SHAYANA JACOM</v>
      </c>
      <c r="AR153" s="4" t="str">
        <f>IFERROR(__xludf.DUMMYFUNCTION("""COMPUTED_VALUE"""),"GABRIEL RUAS")</f>
        <v>GABRIEL RUAS</v>
      </c>
      <c r="AS153" s="4" t="str">
        <f>IFERROR(__xludf.DUMMYFUNCTION("""COMPUTED_VALUE"""),"FABIO DONATO")</f>
        <v>FABIO DONATO</v>
      </c>
      <c r="AT153" s="4" t="str">
        <f>IFERROR(__xludf.DUMMYFUNCTION("""COMPUTED_VALUE"""),"CAMILA HOLANDA")</f>
        <v>CAMILA HOLANDA</v>
      </c>
      <c r="AU153" s="4">
        <f>IFERROR(__xludf.DUMMYFUNCTION("""COMPUTED_VALUE"""),0.0)</f>
        <v>0</v>
      </c>
      <c r="AV153" s="4">
        <f>IFERROR(__xludf.DUMMYFUNCTION("""COMPUTED_VALUE"""),0.0)</f>
        <v>0</v>
      </c>
      <c r="AW153" s="4">
        <f>IFERROR(__xludf.DUMMYFUNCTION("""COMPUTED_VALUE"""),0.0)</f>
        <v>0</v>
      </c>
      <c r="AX153" s="4">
        <f>IFERROR(__xludf.DUMMYFUNCTION("""COMPUTED_VALUE"""),0.0)</f>
        <v>0</v>
      </c>
      <c r="AY153" s="4" t="str">
        <f>IFERROR(__xludf.DUMMYFUNCTION("""COMPUTED_VALUE"""),"Anove Tecnologia")</f>
        <v>Anove Tecnologia</v>
      </c>
      <c r="AZ153" s="4" t="str">
        <f>IFERROR(__xludf.DUMMYFUNCTION("""COMPUTED_VALUE"""),"Japonesa")</f>
        <v>Japonesa</v>
      </c>
      <c r="BA153" s="4">
        <f>IFERROR(__xludf.DUMMYFUNCTION("""COMPUTED_VALUE"""),55.0)</f>
        <v>55</v>
      </c>
      <c r="BB153" s="4" t="str">
        <f>IFERROR(__xludf.DUMMYFUNCTION("""COMPUTED_VALUE"""),"Fast Casual - Poke Bowl")</f>
        <v>Fast Casual - Poke Bowl</v>
      </c>
      <c r="BC153" s="4" t="str">
        <f>IFERROR(__xludf.DUMMYFUNCTION("""COMPUTED_VALUE"""),"Nacional")</f>
        <v>Nacional</v>
      </c>
      <c r="BD153" s="4" t="str">
        <f>IFERROR(__xludf.DUMMYFUNCTION("""COMPUTED_VALUE"""),"Dado não disponível publicamente - Necessário Discovery")</f>
        <v>Dado não disponível publicamente - Necessário Discovery</v>
      </c>
      <c r="BE153" s="4">
        <f>IFERROR(__xludf.DUMMYFUNCTION("""COMPUTED_VALUE"""),65.0)</f>
        <v>65</v>
      </c>
      <c r="BF153" s="4">
        <f>IFERROR(__xludf.DUMMYFUNCTION("""COMPUTED_VALUE"""),0.75)</f>
        <v>0.75</v>
      </c>
      <c r="BG15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53" s="4" t="s">
        <v>104</v>
      </c>
      <c r="BI153" s="7">
        <v>0.8</v>
      </c>
    </row>
    <row r="154" hidden="1">
      <c r="A154" s="4" t="str">
        <f>IFERROR(__xludf.DUMMYFUNCTION("""COMPUTED_VALUE"""),"MEXICANISSIMO RESTAURANTE")</f>
        <v>MEXICANISSIMO RESTAURANTE</v>
      </c>
      <c r="B154" s="4" t="str">
        <f>IFERROR(__xludf.DUMMYFUNCTION("""COMPUTED_VALUE"""),"Lídia Esteves")</f>
        <v>Lídia Esteves</v>
      </c>
      <c r="C154" s="4" t="str">
        <f>IFERROR(__xludf.DUMMYFUNCTION("""COMPUTED_VALUE"""),"Gabriela Roma")</f>
        <v>Gabriela Roma</v>
      </c>
      <c r="D154" s="4" t="str">
        <f>IFERROR(__xludf.DUMMYFUNCTION("""COMPUTED_VALUE"""),"1. Iniciado")</f>
        <v>1. Iniciado</v>
      </c>
      <c r="E154" s="4" t="str">
        <f>IFERROR(__xludf.DUMMYFUNCTION("""COMPUTED_VALUE"""),"Delivery - Aguardando retorno / Conciliação agenda")</f>
        <v>Delivery - Aguardando retorno / Conciliação agenda</v>
      </c>
      <c r="F154" s="4" t="str">
        <f>IFERROR(__xludf.DUMMYFUNCTION("""COMPUTED_VALUE"""),"P")</f>
        <v>P</v>
      </c>
      <c r="G154" s="4"/>
      <c r="H154" s="4"/>
      <c r="I154" s="6">
        <f>IFERROR(__xludf.DUMMYFUNCTION("""COMPUTED_VALUE"""),46121.681238784724)</f>
        <v>46121.68124</v>
      </c>
      <c r="J154" s="4"/>
      <c r="K154" s="4"/>
      <c r="L154" s="4"/>
      <c r="M154" s="4"/>
      <c r="N154" s="4"/>
      <c r="O154" s="4"/>
      <c r="P154" s="4"/>
      <c r="Q154" s="4"/>
      <c r="R154" s="4"/>
      <c r="S154" s="4"/>
      <c r="T154" s="4"/>
      <c r="U154" s="4"/>
      <c r="V154" s="4"/>
      <c r="W154" s="4"/>
      <c r="X154" s="4"/>
      <c r="Y154" s="4"/>
      <c r="Z154" s="4"/>
      <c r="AA154" s="4">
        <f>IFERROR(__xludf.DUMMYFUNCTION("""COMPUTED_VALUE"""),8.0)</f>
        <v>8</v>
      </c>
      <c r="AB154" s="4" t="str">
        <f>IFERROR(__xludf.DUMMYFUNCTION("""COMPUTED_VALUE"""),"CE")</f>
        <v>CE</v>
      </c>
      <c r="AC154" s="4" t="str">
        <f>IFERROR(__xludf.DUMMYFUNCTION("""COMPUTED_VALUE"""),"Sim")</f>
        <v>Sim</v>
      </c>
      <c r="AD154" s="4" t="str">
        <f>IFERROR(__xludf.DUMMYFUNCTION("""COMPUTED_VALUE"""),"Ifood")</f>
        <v>Ifood</v>
      </c>
      <c r="AE154" s="4"/>
      <c r="AF154" s="4"/>
      <c r="AG154" s="4"/>
      <c r="AH154" s="4"/>
      <c r="AI154" s="4"/>
      <c r="AJ154" s="4"/>
      <c r="AK154" s="4"/>
      <c r="AL154" s="4"/>
      <c r="AM154" s="4" t="str">
        <f>IFERROR(__xludf.DUMMYFUNCTION("""COMPUTED_VALUE"""),"FY27")</f>
        <v>FY27</v>
      </c>
      <c r="AN154" s="4"/>
      <c r="AO154" s="4">
        <f>IFERROR(__xludf.DUMMYFUNCTION("""COMPUTED_VALUE"""),45553.0)</f>
        <v>45553</v>
      </c>
      <c r="AP154" s="4" t="str">
        <f>IFERROR(__xludf.DUMMYFUNCTION("""COMPUTED_VALUE"""),"SP")</f>
        <v>SP</v>
      </c>
      <c r="AQ154" s="4" t="str">
        <f>IFERROR(__xludf.DUMMYFUNCTION("""COMPUTED_VALUE"""),"ISADORA GARCIA")</f>
        <v>ISADORA GARCIA</v>
      </c>
      <c r="AR154" s="4" t="str">
        <f>IFERROR(__xludf.DUMMYFUNCTION("""COMPUTED_VALUE"""),"CARLA ARAUJO")</f>
        <v>CARLA ARAUJO</v>
      </c>
      <c r="AS154" s="4" t="str">
        <f>IFERROR(__xludf.DUMMYFUNCTION("""COMPUTED_VALUE"""),"NATHALIE MERTENS")</f>
        <v>NATHALIE MERTENS</v>
      </c>
      <c r="AT154" s="4" t="str">
        <f>IFERROR(__xludf.DUMMYFUNCTION("""COMPUTED_VALUE"""),"MATHEUS LESSA")</f>
        <v>MATHEUS LESSA</v>
      </c>
      <c r="AU154" s="4">
        <f>IFERROR(__xludf.DUMMYFUNCTION("""COMPUTED_VALUE"""),0.0)</f>
        <v>0</v>
      </c>
      <c r="AV154" s="4">
        <f>IFERROR(__xludf.DUMMYFUNCTION("""COMPUTED_VALUE"""),0.0)</f>
        <v>0</v>
      </c>
      <c r="AW154" s="4">
        <f>IFERROR(__xludf.DUMMYFUNCTION("""COMPUTED_VALUE"""),0.0)</f>
        <v>0</v>
      </c>
      <c r="AX154" s="4">
        <f>IFERROR(__xludf.DUMMYFUNCTION("""COMPUTED_VALUE"""),0.0)</f>
        <v>0</v>
      </c>
      <c r="AY154" s="4"/>
      <c r="AZ154" s="4" t="str">
        <f>IFERROR(__xludf.DUMMYFUNCTION("""COMPUTED_VALUE"""),"Mexicana")</f>
        <v>Mexicana</v>
      </c>
      <c r="BA154" s="4" t="str">
        <f>IFERROR(__xludf.DUMMYFUNCTION("""COMPUTED_VALUE"""),"")</f>
        <v/>
      </c>
      <c r="BB154" s="4" t="str">
        <f>IFERROR(__xludf.DUMMYFUNCTION("""COMPUTED_VALUE"""),"")</f>
        <v/>
      </c>
      <c r="BC154" s="4" t="str">
        <f>IFERROR(__xludf.DUMMYFUNCTION("""COMPUTED_VALUE"""),"")</f>
        <v/>
      </c>
      <c r="BD154" s="4" t="str">
        <f>IFERROR(__xludf.DUMMYFUNCTION("""COMPUTED_VALUE"""),"")</f>
        <v/>
      </c>
      <c r="BE154" s="4" t="str">
        <f>IFERROR(__xludf.DUMMYFUNCTION("""COMPUTED_VALUE"""),"")</f>
        <v/>
      </c>
      <c r="BF154" s="4" t="str">
        <f>IFERROR(__xludf.DUMMYFUNCTION("""COMPUTED_VALUE"""),"")</f>
        <v/>
      </c>
      <c r="BG154" s="4" t="str">
        <f>IFERROR(__xludf.DUMMYFUNCTION("""COMPUTED_VALUE"""),"")</f>
        <v/>
      </c>
      <c r="BH154" s="4" t="s">
        <v>63</v>
      </c>
      <c r="BI154" s="7" t="s">
        <v>63</v>
      </c>
    </row>
    <row r="155" hidden="1">
      <c r="A155" s="4" t="str">
        <f>IFERROR(__xludf.DUMMYFUNCTION("""COMPUTED_VALUE"""),"MR MAKI JACAREPAGUA")</f>
        <v>MR MAKI JACAREPAGUA</v>
      </c>
      <c r="B155" s="4" t="str">
        <f>IFERROR(__xludf.DUMMYFUNCTION("""COMPUTED_VALUE"""),"Lídia Esteves")</f>
        <v>Lídia Esteves</v>
      </c>
      <c r="C155" s="4" t="str">
        <f>IFERROR(__xludf.DUMMYFUNCTION("""COMPUTED_VALUE"""),"Gabriela Roma")</f>
        <v>Gabriela Roma</v>
      </c>
      <c r="D155" s="4" t="str">
        <f>IFERROR(__xludf.DUMMYFUNCTION("""COMPUTED_VALUE"""),"11. Stand by")</f>
        <v>11. Stand by</v>
      </c>
      <c r="E155" s="4" t="str">
        <f>IFERROR(__xludf.DUMMYFUNCTION("""COMPUTED_VALUE"""),"Parceiro - Aguardando retorno / Conciliação agenda")</f>
        <v>Parceiro - Aguardando retorno / Conciliação agenda</v>
      </c>
      <c r="F155" s="4" t="str">
        <f>IFERROR(__xludf.DUMMYFUNCTION("""COMPUTED_VALUE"""),"P")</f>
        <v>P</v>
      </c>
      <c r="G155" s="5">
        <f>IFERROR(__xludf.DUMMYFUNCTION("""COMPUTED_VALUE"""),46139.0)</f>
        <v>46139</v>
      </c>
      <c r="H155" s="4" t="str">
        <f>IFERROR(__xludf.DUMMYFUNCTION("""COMPUTED_VALUE"""),"parceiro nao quer mudar de PDV no momento")</f>
        <v>parceiro nao quer mudar de PDV no momento</v>
      </c>
      <c r="I155" s="6">
        <f>IFERROR(__xludf.DUMMYFUNCTION("""COMPUTED_VALUE"""),46121.68136314815)</f>
        <v>46121.68136</v>
      </c>
      <c r="J155" s="6">
        <f>IFERROR(__xludf.DUMMYFUNCTION("""COMPUTED_VALUE"""),46126.714775995366)</f>
        <v>46126.71478</v>
      </c>
      <c r="K155" s="4"/>
      <c r="L155" s="4"/>
      <c r="M155" s="4"/>
      <c r="N155" s="4"/>
      <c r="O155" s="4"/>
      <c r="P155" s="4"/>
      <c r="Q155" s="4"/>
      <c r="R155" s="4"/>
      <c r="S155" s="6">
        <f>IFERROR(__xludf.DUMMYFUNCTION("""COMPUTED_VALUE"""),46139.72287899305)</f>
        <v>46139.72288</v>
      </c>
      <c r="T155" s="4"/>
      <c r="U155" s="4"/>
      <c r="V155" s="4" t="str">
        <f>IFERROR(__xludf.DUMMYFUNCTION("""COMPUTED_VALUE"""),"Sem interesse em mudar de PDV")</f>
        <v>Sem interesse em mudar de PDV</v>
      </c>
      <c r="W155" s="4"/>
      <c r="X155" s="4"/>
      <c r="Y155" s="4"/>
      <c r="Z155" s="4"/>
      <c r="AA155" s="4">
        <f>IFERROR(__xludf.DUMMYFUNCTION("""COMPUTED_VALUE"""),6.0)</f>
        <v>6</v>
      </c>
      <c r="AB155" s="4" t="str">
        <f>IFERROR(__xludf.DUMMYFUNCTION("""COMPUTED_VALUE"""),"CE")</f>
        <v>CE</v>
      </c>
      <c r="AC155" s="4" t="str">
        <f>IFERROR(__xludf.DUMMYFUNCTION("""COMPUTED_VALUE"""),"Sim")</f>
        <v>Sim</v>
      </c>
      <c r="AD155" s="4" t="str">
        <f>IFERROR(__xludf.DUMMYFUNCTION("""COMPUTED_VALUE"""),"Ifood")</f>
        <v>Ifood</v>
      </c>
      <c r="AE155" s="4"/>
      <c r="AF155" s="4"/>
      <c r="AG155" s="4"/>
      <c r="AH155" s="4"/>
      <c r="AI155" s="4"/>
      <c r="AJ155" s="4"/>
      <c r="AK155" s="4"/>
      <c r="AL155" s="4"/>
      <c r="AM155" s="4" t="str">
        <f>IFERROR(__xludf.DUMMYFUNCTION("""COMPUTED_VALUE"""),"FY27")</f>
        <v>FY27</v>
      </c>
      <c r="AN155" s="4"/>
      <c r="AO155" s="4">
        <f>IFERROR(__xludf.DUMMYFUNCTION("""COMPUTED_VALUE"""),76.0)</f>
        <v>76</v>
      </c>
      <c r="AP155" s="4" t="str">
        <f>IFERROR(__xludf.DUMMYFUNCTION("""COMPUTED_VALUE"""),"RJ")</f>
        <v>RJ</v>
      </c>
      <c r="AQ155" s="4" t="str">
        <f>IFERROR(__xludf.DUMMYFUNCTION("""COMPUTED_VALUE"""),"ANA SALLES")</f>
        <v>ANA SALLES</v>
      </c>
      <c r="AR155" s="4" t="str">
        <f>IFERROR(__xludf.DUMMYFUNCTION("""COMPUTED_VALUE"""),"LUIZA BELA")</f>
        <v>LUIZA BELA</v>
      </c>
      <c r="AS155" s="4" t="str">
        <f>IFERROR(__xludf.DUMMYFUNCTION("""COMPUTED_VALUE"""),"NATHALIE MERTENS")</f>
        <v>NATHALIE MERTENS</v>
      </c>
      <c r="AT155" s="4" t="str">
        <f>IFERROR(__xludf.DUMMYFUNCTION("""COMPUTED_VALUE"""),"NATALIA COUTINHO")</f>
        <v>NATALIA COUTINHO</v>
      </c>
      <c r="AU155" s="4">
        <f>IFERROR(__xludf.DUMMYFUNCTION("""COMPUTED_VALUE"""),0.0)</f>
        <v>0</v>
      </c>
      <c r="AV155" s="4">
        <f>IFERROR(__xludf.DUMMYFUNCTION("""COMPUTED_VALUE"""),0.0)</f>
        <v>0</v>
      </c>
      <c r="AW155" s="4">
        <f>IFERROR(__xludf.DUMMYFUNCTION("""COMPUTED_VALUE"""),0.0)</f>
        <v>0</v>
      </c>
      <c r="AX155" s="4">
        <f>IFERROR(__xludf.DUMMYFUNCTION("""COMPUTED_VALUE"""),0.0)</f>
        <v>0</v>
      </c>
      <c r="AY155" s="4"/>
      <c r="AZ155" s="4" t="str">
        <f>IFERROR(__xludf.DUMMYFUNCTION("""COMPUTED_VALUE"""),"Saudável")</f>
        <v>Saudável</v>
      </c>
      <c r="BA155" s="4" t="str">
        <f>IFERROR(__xludf.DUMMYFUNCTION("""COMPUTED_VALUE"""),"")</f>
        <v/>
      </c>
      <c r="BB155" s="4" t="str">
        <f>IFERROR(__xludf.DUMMYFUNCTION("""COMPUTED_VALUE"""),"")</f>
        <v/>
      </c>
      <c r="BC155" s="4" t="str">
        <f>IFERROR(__xludf.DUMMYFUNCTION("""COMPUTED_VALUE"""),"")</f>
        <v/>
      </c>
      <c r="BD155" s="4" t="str">
        <f>IFERROR(__xludf.DUMMYFUNCTION("""COMPUTED_VALUE"""),"")</f>
        <v/>
      </c>
      <c r="BE155" s="4" t="str">
        <f>IFERROR(__xludf.DUMMYFUNCTION("""COMPUTED_VALUE"""),"")</f>
        <v/>
      </c>
      <c r="BF155" s="4" t="str">
        <f>IFERROR(__xludf.DUMMYFUNCTION("""COMPUTED_VALUE"""),"")</f>
        <v/>
      </c>
      <c r="BG155" s="4" t="str">
        <f>IFERROR(__xludf.DUMMYFUNCTION("""COMPUTED_VALUE"""),"")</f>
        <v/>
      </c>
      <c r="BH155" s="4" t="s">
        <v>63</v>
      </c>
      <c r="BI155" s="7" t="s">
        <v>63</v>
      </c>
    </row>
    <row r="156" hidden="1">
      <c r="A156" s="4" t="str">
        <f>IFERROR(__xludf.DUMMYFUNCTION("""COMPUTED_VALUE"""),"MR TEXAS PIZZA PAN")</f>
        <v>MR TEXAS PIZZA PAN</v>
      </c>
      <c r="B156" s="4" t="str">
        <f>IFERROR(__xludf.DUMMYFUNCTION("""COMPUTED_VALUE"""),"Lídia Esteves")</f>
        <v>Lídia Esteves</v>
      </c>
      <c r="C156" s="4" t="str">
        <f>IFERROR(__xludf.DUMMYFUNCTION("""COMPUTED_VALUE"""),"Gabriela Roma")</f>
        <v>Gabriela Roma</v>
      </c>
      <c r="D156" s="4" t="str">
        <f>IFERROR(__xludf.DUMMYFUNCTION("""COMPUTED_VALUE"""),"0. Não Iniciado")</f>
        <v>0. Não Iniciado</v>
      </c>
      <c r="E156" s="4"/>
      <c r="F156" s="4" t="str">
        <f>IFERROR(__xludf.DUMMYFUNCTION("""COMPUTED_VALUE"""),"P")</f>
        <v>P</v>
      </c>
      <c r="G156" s="4"/>
      <c r="H156" s="4"/>
      <c r="I156" s="4"/>
      <c r="J156" s="4"/>
      <c r="K156" s="4"/>
      <c r="L156" s="4"/>
      <c r="M156" s="4"/>
      <c r="N156" s="4"/>
      <c r="O156" s="4"/>
      <c r="P156" s="4"/>
      <c r="Q156" s="4"/>
      <c r="R156" s="4"/>
      <c r="S156" s="4"/>
      <c r="T156" s="4"/>
      <c r="U156" s="4"/>
      <c r="V156" s="4"/>
      <c r="W156" s="4"/>
      <c r="X156" s="4"/>
      <c r="Y156" s="4"/>
      <c r="Z156" s="4"/>
      <c r="AA156" s="4">
        <f>IFERROR(__xludf.DUMMYFUNCTION("""COMPUTED_VALUE"""),7.0)</f>
        <v>7</v>
      </c>
      <c r="AB156" s="4" t="str">
        <f>IFERROR(__xludf.DUMMYFUNCTION("""COMPUTED_VALUE"""),"CE")</f>
        <v>CE</v>
      </c>
      <c r="AC156" s="4" t="str">
        <f>IFERROR(__xludf.DUMMYFUNCTION("""COMPUTED_VALUE"""),"Sim")</f>
        <v>Sim</v>
      </c>
      <c r="AD156" s="4">
        <f>IFERROR(__xludf.DUMMYFUNCTION("""COMPUTED_VALUE"""),0.0)</f>
        <v>0</v>
      </c>
      <c r="AE156" s="4"/>
      <c r="AF156" s="4"/>
      <c r="AG156" s="4"/>
      <c r="AH156" s="4"/>
      <c r="AI156" s="4"/>
      <c r="AJ156" s="4"/>
      <c r="AK156" s="4"/>
      <c r="AL156" s="4"/>
      <c r="AM156" s="4" t="str">
        <f>IFERROR(__xludf.DUMMYFUNCTION("""COMPUTED_VALUE"""),"FY27")</f>
        <v>FY27</v>
      </c>
      <c r="AN156" s="4"/>
      <c r="AO156" s="4">
        <f>IFERROR(__xludf.DUMMYFUNCTION("""COMPUTED_VALUE"""),45553.0)</f>
        <v>45553</v>
      </c>
      <c r="AP156" s="4">
        <f>IFERROR(__xludf.DUMMYFUNCTION("""COMPUTED_VALUE"""),0.0)</f>
        <v>0</v>
      </c>
      <c r="AQ156" s="4">
        <f>IFERROR(__xludf.DUMMYFUNCTION("""COMPUTED_VALUE"""),0.0)</f>
        <v>0</v>
      </c>
      <c r="AR156" s="4">
        <f>IFERROR(__xludf.DUMMYFUNCTION("""COMPUTED_VALUE"""),0.0)</f>
        <v>0</v>
      </c>
      <c r="AS156" s="4">
        <f>IFERROR(__xludf.DUMMYFUNCTION("""COMPUTED_VALUE"""),0.0)</f>
        <v>0</v>
      </c>
      <c r="AT156" s="4">
        <f>IFERROR(__xludf.DUMMYFUNCTION("""COMPUTED_VALUE"""),0.0)</f>
        <v>0</v>
      </c>
      <c r="AU156" s="4">
        <f>IFERROR(__xludf.DUMMYFUNCTION("""COMPUTED_VALUE"""),0.0)</f>
        <v>0</v>
      </c>
      <c r="AV156" s="4">
        <f>IFERROR(__xludf.DUMMYFUNCTION("""COMPUTED_VALUE"""),0.0)</f>
        <v>0</v>
      </c>
      <c r="AW156" s="4">
        <f>IFERROR(__xludf.DUMMYFUNCTION("""COMPUTED_VALUE"""),0.0)</f>
        <v>0</v>
      </c>
      <c r="AX156" s="4">
        <f>IFERROR(__xludf.DUMMYFUNCTION("""COMPUTED_VALUE"""),0.0)</f>
        <v>0</v>
      </c>
      <c r="AY156" s="4"/>
      <c r="AZ156" s="4" t="str">
        <f>IFERROR(__xludf.DUMMYFUNCTION("""COMPUTED_VALUE"""),"Pizza")</f>
        <v>Pizza</v>
      </c>
      <c r="BA156" s="4">
        <f>IFERROR(__xludf.DUMMYFUNCTION("""COMPUTED_VALUE"""),59.0)</f>
        <v>59</v>
      </c>
      <c r="BB156" s="4" t="str">
        <f>IFERROR(__xludf.DUMMYFUNCTION("""COMPUTED_VALUE"""),"Fast Casual - Pizzaria")</f>
        <v>Fast Casual - Pizzaria</v>
      </c>
      <c r="BC156" s="4" t="str">
        <f>IFERROR(__xludf.DUMMYFUNCTION("""COMPUTED_VALUE"""),"Sul")</f>
        <v>Sul</v>
      </c>
      <c r="BD156" s="4" t="str">
        <f>IFERROR(__xludf.DUMMYFUNCTION("""COMPUTED_VALUE"""),"Dado não disponível publicamente - Necessário Discovery")</f>
        <v>Dado não disponível publicamente - Necessário Discovery</v>
      </c>
      <c r="BE156" s="4">
        <f>IFERROR(__xludf.DUMMYFUNCTION("""COMPUTED_VALUE"""),70.0)</f>
        <v>70</v>
      </c>
      <c r="BF156" s="4">
        <f>IFERROR(__xludf.DUMMYFUNCTION("""COMPUTED_VALUE"""),0.75)</f>
        <v>0.75</v>
      </c>
      <c r="BG15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56" s="4" t="s">
        <v>71</v>
      </c>
      <c r="BI156" s="7">
        <v>1.0</v>
      </c>
    </row>
    <row r="157" hidden="1">
      <c r="A157" s="4" t="str">
        <f>IFERROR(__xludf.DUMMYFUNCTION("""COMPUTED_VALUE"""),"NA BRASA COLUMBIA")</f>
        <v>NA BRASA COLUMBIA</v>
      </c>
      <c r="B157" s="4" t="str">
        <f>IFERROR(__xludf.DUMMYFUNCTION("""COMPUTED_VALUE"""),"Lídia Esteves")</f>
        <v>Lídia Esteves</v>
      </c>
      <c r="C157" s="4" t="str">
        <f>IFERROR(__xludf.DUMMYFUNCTION("""COMPUTED_VALUE"""),"Gabriela Roma")</f>
        <v>Gabriela Roma</v>
      </c>
      <c r="D157" s="4" t="str">
        <f>IFERROR(__xludf.DUMMYFUNCTION("""COMPUTED_VALUE"""),"0. Não Iniciado")</f>
        <v>0. Não Iniciado</v>
      </c>
      <c r="E157" s="4"/>
      <c r="F157" s="4" t="str">
        <f>IFERROR(__xludf.DUMMYFUNCTION("""COMPUTED_VALUE"""),"P")</f>
        <v>P</v>
      </c>
      <c r="G157" s="4"/>
      <c r="H157" s="4"/>
      <c r="I157" s="4"/>
      <c r="J157" s="4"/>
      <c r="K157" s="4"/>
      <c r="L157" s="4"/>
      <c r="M157" s="4"/>
      <c r="N157" s="4"/>
      <c r="O157" s="4"/>
      <c r="P157" s="4"/>
      <c r="Q157" s="4"/>
      <c r="R157" s="4"/>
      <c r="S157" s="4"/>
      <c r="T157" s="4"/>
      <c r="U157" s="4"/>
      <c r="V157" s="4"/>
      <c r="W157" s="4"/>
      <c r="X157" s="4"/>
      <c r="Y157" s="4"/>
      <c r="Z157" s="4"/>
      <c r="AA157" s="4">
        <f>IFERROR(__xludf.DUMMYFUNCTION("""COMPUTED_VALUE"""),7.0)</f>
        <v>7</v>
      </c>
      <c r="AB157" s="4" t="str">
        <f>IFERROR(__xludf.DUMMYFUNCTION("""COMPUTED_VALUE"""),"CE")</f>
        <v>CE</v>
      </c>
      <c r="AC157" s="4" t="str">
        <f>IFERROR(__xludf.DUMMYFUNCTION("""COMPUTED_VALUE"""),"Sim")</f>
        <v>Sim</v>
      </c>
      <c r="AD157" s="4" t="str">
        <f>IFERROR(__xludf.DUMMYFUNCTION("""COMPUTED_VALUE"""),"Ifood")</f>
        <v>Ifood</v>
      </c>
      <c r="AE157" s="4"/>
      <c r="AF157" s="4"/>
      <c r="AG157" s="4"/>
      <c r="AH157" s="4"/>
      <c r="AI157" s="4"/>
      <c r="AJ157" s="4"/>
      <c r="AK157" s="4"/>
      <c r="AL157" s="4"/>
      <c r="AM157" s="4" t="str">
        <f>IFERROR(__xludf.DUMMYFUNCTION("""COMPUTED_VALUE"""),"FY27")</f>
        <v>FY27</v>
      </c>
      <c r="AN157" s="4"/>
      <c r="AO157" s="4">
        <f>IFERROR(__xludf.DUMMYFUNCTION("""COMPUTED_VALUE"""),45553.0)</f>
        <v>45553</v>
      </c>
      <c r="AP157" s="4" t="str">
        <f>IFERROR(__xludf.DUMMYFUNCTION("""COMPUTED_VALUE"""),"RJ")</f>
        <v>RJ</v>
      </c>
      <c r="AQ157" s="4" t="str">
        <f>IFERROR(__xludf.DUMMYFUNCTION("""COMPUTED_VALUE"""),"BRUNO MEIRA")</f>
        <v>BRUNO MEIRA</v>
      </c>
      <c r="AR157" s="4" t="str">
        <f>IFERROR(__xludf.DUMMYFUNCTION("""COMPUTED_VALUE"""),"GONCALVES GUILHERME")</f>
        <v>GONCALVES GUILHERME</v>
      </c>
      <c r="AS157" s="4" t="str">
        <f>IFERROR(__xludf.DUMMYFUNCTION("""COMPUTED_VALUE"""),"NATHALIE MERTENS")</f>
        <v>NATHALIE MERTENS</v>
      </c>
      <c r="AT157" s="4" t="str">
        <f>IFERROR(__xludf.DUMMYFUNCTION("""COMPUTED_VALUE"""),"NATALIA COUTINHO")</f>
        <v>NATALIA COUTINHO</v>
      </c>
      <c r="AU157" s="4">
        <f>IFERROR(__xludf.DUMMYFUNCTION("""COMPUTED_VALUE"""),0.0)</f>
        <v>0</v>
      </c>
      <c r="AV157" s="4">
        <f>IFERROR(__xludf.DUMMYFUNCTION("""COMPUTED_VALUE"""),0.0)</f>
        <v>0</v>
      </c>
      <c r="AW157" s="4">
        <f>IFERROR(__xludf.DUMMYFUNCTION("""COMPUTED_VALUE"""),0.0)</f>
        <v>0</v>
      </c>
      <c r="AX157" s="4">
        <f>IFERROR(__xludf.DUMMYFUNCTION("""COMPUTED_VALUE"""),0.0)</f>
        <v>0</v>
      </c>
      <c r="AY157" s="4"/>
      <c r="AZ157" s="4" t="str">
        <f>IFERROR(__xludf.DUMMYFUNCTION("""COMPUTED_VALUE"""),"Brasileira")</f>
        <v>Brasileira</v>
      </c>
      <c r="BA157" s="4">
        <f>IFERROR(__xludf.DUMMYFUNCTION("""COMPUTED_VALUE"""),51.0)</f>
        <v>51</v>
      </c>
      <c r="BB157" s="4" t="str">
        <f>IFERROR(__xludf.DUMMYFUNCTION("""COMPUTED_VALUE"""),"Fast Casual - Multi-conceito")</f>
        <v>Fast Casual - Multi-conceito</v>
      </c>
      <c r="BC157" s="4" t="str">
        <f>IFERROR(__xludf.DUMMYFUNCTION("""COMPUTED_VALUE"""),"Rio de Janeiro/RJ")</f>
        <v>Rio de Janeiro/RJ</v>
      </c>
      <c r="BD157" s="4" t="str">
        <f>IFERROR(__xludf.DUMMYFUNCTION("""COMPUTED_VALUE"""),"Dado não disponível publicamente - Necessário Discovery")</f>
        <v>Dado não disponível publicamente - Necessário Discovery</v>
      </c>
      <c r="BE157" s="4">
        <f>IFERROR(__xludf.DUMMYFUNCTION("""COMPUTED_VALUE"""),65.0)</f>
        <v>65</v>
      </c>
      <c r="BF157" s="4">
        <f>IFERROR(__xludf.DUMMYFUNCTION("""COMPUTED_VALUE"""),0.75)</f>
        <v>0.75</v>
      </c>
      <c r="BG15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57" s="4" t="s">
        <v>63</v>
      </c>
      <c r="BI157" s="7" t="s">
        <v>63</v>
      </c>
    </row>
    <row r="158" hidden="1">
      <c r="A158" s="4" t="str">
        <f>IFERROR(__xludf.DUMMYFUNCTION("""COMPUTED_VALUE"""),"NAKASA DELIVERY")</f>
        <v>NAKASA DELIVERY</v>
      </c>
      <c r="B158" s="4" t="str">
        <f>IFERROR(__xludf.DUMMYFUNCTION("""COMPUTED_VALUE"""),"Lídia Esteves")</f>
        <v>Lídia Esteves</v>
      </c>
      <c r="C158" s="4" t="str">
        <f>IFERROR(__xludf.DUMMYFUNCTION("""COMPUTED_VALUE"""),"Gabriela Roma")</f>
        <v>Gabriela Roma</v>
      </c>
      <c r="D158" s="4" t="str">
        <f>IFERROR(__xludf.DUMMYFUNCTION("""COMPUTED_VALUE"""),"2. Primeiro Contato com a marca")</f>
        <v>2. Primeiro Contato com a marca</v>
      </c>
      <c r="E158" s="4" t="str">
        <f>IFERROR(__xludf.DUMMYFUNCTION("""COMPUTED_VALUE"""),"Parceiro - Aguardando retorno parceiro")</f>
        <v>Parceiro - Aguardando retorno parceiro</v>
      </c>
      <c r="F158" s="4" t="str">
        <f>IFERROR(__xludf.DUMMYFUNCTION("""COMPUTED_VALUE"""),"P")</f>
        <v>P</v>
      </c>
      <c r="G158" s="5">
        <f>IFERROR(__xludf.DUMMYFUNCTION("""COMPUTED_VALUE"""),46139.0)</f>
        <v>46139</v>
      </c>
      <c r="H158" s="4" t="str">
        <f>IFERROR(__xludf.DUMMYFUNCTION("""COMPUTED_VALUE"""),"cliente responde pelo whatsapp mas tem resistencia em marcar uma agenda pois teve problema com anota aí e nao está muito aberto, vou insistir mais um pouco")</f>
        <v>cliente responde pelo whatsapp mas tem resistencia em marcar uma agenda pois teve problema com anota aí e nao está muito aberto, vou insistir mais um pouco</v>
      </c>
      <c r="I158" s="6">
        <f>IFERROR(__xludf.DUMMYFUNCTION("""COMPUTED_VALUE"""),46121.68155548611)</f>
        <v>46121.68156</v>
      </c>
      <c r="J158" s="6">
        <f>IFERROR(__xludf.DUMMYFUNCTION("""COMPUTED_VALUE"""),46139.73002101852)</f>
        <v>46139.73002</v>
      </c>
      <c r="K158" s="4"/>
      <c r="L158" s="4"/>
      <c r="M158" s="4"/>
      <c r="N158" s="4"/>
      <c r="O158" s="4"/>
      <c r="P158" s="4"/>
      <c r="Q158" s="4"/>
      <c r="R158" s="4"/>
      <c r="S158" s="4"/>
      <c r="T158" s="4"/>
      <c r="U158" s="4"/>
      <c r="V158" s="4"/>
      <c r="W158" s="4"/>
      <c r="X158" s="4"/>
      <c r="Y158" s="4"/>
      <c r="Z158" s="4"/>
      <c r="AA158" s="4">
        <f>IFERROR(__xludf.DUMMYFUNCTION("""COMPUTED_VALUE"""),5.0)</f>
        <v>5</v>
      </c>
      <c r="AB158" s="4" t="str">
        <f>IFERROR(__xludf.DUMMYFUNCTION("""COMPUTED_VALUE"""),"CE")</f>
        <v>CE</v>
      </c>
      <c r="AC158" s="4" t="str">
        <f>IFERROR(__xludf.DUMMYFUNCTION("""COMPUTED_VALUE"""),"Sim")</f>
        <v>Sim</v>
      </c>
      <c r="AD158" s="4" t="str">
        <f>IFERROR(__xludf.DUMMYFUNCTION("""COMPUTED_VALUE"""),"Yooga")</f>
        <v>Yooga</v>
      </c>
      <c r="AE158" s="4"/>
      <c r="AF158" s="4"/>
      <c r="AG158" s="4"/>
      <c r="AH158" s="4"/>
      <c r="AI158" s="4"/>
      <c r="AJ158" s="4"/>
      <c r="AK158" s="4"/>
      <c r="AL158" s="4"/>
      <c r="AM158" s="4" t="str">
        <f>IFERROR(__xludf.DUMMYFUNCTION("""COMPUTED_VALUE"""),"FY27")</f>
        <v>FY27</v>
      </c>
      <c r="AN158" s="4"/>
      <c r="AO158" s="4">
        <f>IFERROR(__xludf.DUMMYFUNCTION("""COMPUTED_VALUE"""),76.0)</f>
        <v>76</v>
      </c>
      <c r="AP158" s="4" t="str">
        <f>IFERROR(__xludf.DUMMYFUNCTION("""COMPUTED_VALUE"""),"RJ")</f>
        <v>RJ</v>
      </c>
      <c r="AQ158" s="4" t="str">
        <f>IFERROR(__xludf.DUMMYFUNCTION("""COMPUTED_VALUE"""),"JUAN CHAROTTA")</f>
        <v>JUAN CHAROTTA</v>
      </c>
      <c r="AR158" s="4" t="str">
        <f>IFERROR(__xludf.DUMMYFUNCTION("""COMPUTED_VALUE"""),"MARCELLA GUIMARAES")</f>
        <v>MARCELLA GUIMARAES</v>
      </c>
      <c r="AS158" s="4" t="str">
        <f>IFERROR(__xludf.DUMMYFUNCTION("""COMPUTED_VALUE"""),"NATHALIE MERTENS")</f>
        <v>NATHALIE MERTENS</v>
      </c>
      <c r="AT158" s="4" t="str">
        <f>IFERROR(__xludf.DUMMYFUNCTION("""COMPUTED_VALUE"""),"NATALIA COUTINHO")</f>
        <v>NATALIA COUTINHO</v>
      </c>
      <c r="AU158" s="4">
        <f>IFERROR(__xludf.DUMMYFUNCTION("""COMPUTED_VALUE"""),0.0)</f>
        <v>0</v>
      </c>
      <c r="AV158" s="4">
        <f>IFERROR(__xludf.DUMMYFUNCTION("""COMPUTED_VALUE"""),0.0)</f>
        <v>0</v>
      </c>
      <c r="AW158" s="4">
        <f>IFERROR(__xludf.DUMMYFUNCTION("""COMPUTED_VALUE"""),0.0)</f>
        <v>0</v>
      </c>
      <c r="AX158" s="4">
        <f>IFERROR(__xludf.DUMMYFUNCTION("""COMPUTED_VALUE"""),0.0)</f>
        <v>0</v>
      </c>
      <c r="AY158" s="4"/>
      <c r="AZ158" s="4" t="str">
        <f>IFERROR(__xludf.DUMMYFUNCTION("""COMPUTED_VALUE"""),"Japonesa")</f>
        <v>Japonesa</v>
      </c>
      <c r="BA158" s="4">
        <f>IFERROR(__xludf.DUMMYFUNCTION("""COMPUTED_VALUE"""),54.0)</f>
        <v>54</v>
      </c>
      <c r="BB158" s="4" t="str">
        <f>IFERROR(__xludf.DUMMYFUNCTION("""COMPUTED_VALUE"""),"Fast Casual - Multi-conceito")</f>
        <v>Fast Casual - Multi-conceito</v>
      </c>
      <c r="BC158" s="4" t="str">
        <f>IFERROR(__xludf.DUMMYFUNCTION("""COMPUTED_VALUE"""),"Sul")</f>
        <v>Sul</v>
      </c>
      <c r="BD158" s="4" t="str">
        <f>IFERROR(__xludf.DUMMYFUNCTION("""COMPUTED_VALUE"""),"Dado não disponível publicamente - Necessário Discovery")</f>
        <v>Dado não disponível publicamente - Necessário Discovery</v>
      </c>
      <c r="BE158" s="4">
        <f>IFERROR(__xludf.DUMMYFUNCTION("""COMPUTED_VALUE"""),65.0)</f>
        <v>65</v>
      </c>
      <c r="BF158" s="4">
        <f>IFERROR(__xludf.DUMMYFUNCTION("""COMPUTED_VALUE"""),0.75)</f>
        <v>0.75</v>
      </c>
      <c r="BG15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58" s="4" t="s">
        <v>85</v>
      </c>
      <c r="BI158" s="7">
        <v>1.0</v>
      </c>
    </row>
    <row r="159" hidden="1">
      <c r="A159" s="4" t="str">
        <f>IFERROR(__xludf.DUMMYFUNCTION("""COMPUTED_VALUE"""),"NAKAYOSHI RIBEIRAO PRETO")</f>
        <v>NAKAYOSHI RIBEIRAO PRETO</v>
      </c>
      <c r="B159" s="4" t="str">
        <f>IFERROR(__xludf.DUMMYFUNCTION("""COMPUTED_VALUE"""),"João Biagiotti")</f>
        <v>João Biagiotti</v>
      </c>
      <c r="C159" s="4" t="str">
        <f>IFERROR(__xludf.DUMMYFUNCTION("""COMPUTED_VALUE"""),"Diego Santos")</f>
        <v>Diego Santos</v>
      </c>
      <c r="D159" s="4" t="str">
        <f>IFERROR(__xludf.DUMMYFUNCTION("""COMPUTED_VALUE"""),"5. Demo/Showroom")</f>
        <v>5. Demo/Showroom</v>
      </c>
      <c r="E159" s="4" t="str">
        <f>IFERROR(__xludf.DUMMYFUNCTION("""COMPUTED_VALUE"""),"Comercial - Primeira reunião / Visita presencial agendada")</f>
        <v>Comercial - Primeira reunião / Visita presencial agendada</v>
      </c>
      <c r="F159" s="4" t="str">
        <f>IFERROR(__xludf.DUMMYFUNCTION("""COMPUTED_VALUE"""),"P")</f>
        <v>P</v>
      </c>
      <c r="G159" s="10">
        <f>IFERROR(__xludf.DUMMYFUNCTION("""COMPUTED_VALUE"""),46153.0)</f>
        <v>46153</v>
      </c>
      <c r="H159" s="4" t="str">
        <f>IFERROR(__xludf.DUMMYFUNCTION("""COMPUTED_VALUE"""),"Foi realizada a reunião com a marca, parceiro tem muita adesao a 3S e Comer Fora, marcamos uma segunda agenda para realizar a demonstração do sistema")</f>
        <v>Foi realizada a reunião com a marca, parceiro tem muita adesao a 3S e Comer Fora, marcamos uma segunda agenda para realizar a demonstração do sistema</v>
      </c>
      <c r="I159" s="6">
        <f>IFERROR(__xludf.DUMMYFUNCTION("""COMPUTED_VALUE"""),46122.60512876157)</f>
        <v>46122.60513</v>
      </c>
      <c r="J159" s="6">
        <f>IFERROR(__xludf.DUMMYFUNCTION("""COMPUTED_VALUE"""),46141.59207392361)</f>
        <v>46141.59207</v>
      </c>
      <c r="K159" s="6">
        <f>IFERROR(__xludf.DUMMYFUNCTION("""COMPUTED_VALUE"""),46141.6281580787)</f>
        <v>46141.62816</v>
      </c>
      <c r="L159" s="6">
        <f>IFERROR(__xludf.DUMMYFUNCTION("""COMPUTED_VALUE"""),46153.67712530092)</f>
        <v>46153.67713</v>
      </c>
      <c r="M159" s="6">
        <f>IFERROR(__xludf.DUMMYFUNCTION("""COMPUTED_VALUE"""),46153.67754984954)</f>
        <v>46153.67755</v>
      </c>
      <c r="N159" s="4"/>
      <c r="O159" s="4"/>
      <c r="P159" s="4"/>
      <c r="Q159" s="4"/>
      <c r="R159" s="4"/>
      <c r="S159" s="4"/>
      <c r="T159" s="4"/>
      <c r="U159" s="4"/>
      <c r="V159" s="4"/>
      <c r="W159" s="4"/>
      <c r="X159" s="4"/>
      <c r="Y159" s="4"/>
      <c r="Z159" s="4"/>
      <c r="AA159" s="4">
        <f>IFERROR(__xludf.DUMMYFUNCTION("""COMPUTED_VALUE"""),5.0)</f>
        <v>5</v>
      </c>
      <c r="AB159" s="4" t="str">
        <f>IFERROR(__xludf.DUMMYFUNCTION("""COMPUTED_VALUE"""),"CE")</f>
        <v>CE</v>
      </c>
      <c r="AC159" s="4" t="str">
        <f>IFERROR(__xludf.DUMMYFUNCTION("""COMPUTED_VALUE"""),"Sim")</f>
        <v>Sim</v>
      </c>
      <c r="AD159" s="4" t="str">
        <f>IFERROR(__xludf.DUMMYFUNCTION("""COMPUTED_VALUE"""),"Lasertech Sistemas Ltda Me")</f>
        <v>Lasertech Sistemas Ltda Me</v>
      </c>
      <c r="AE159" s="4"/>
      <c r="AF159" s="4"/>
      <c r="AG159" s="4"/>
      <c r="AH159" s="4">
        <f>IFERROR(__xludf.DUMMYFUNCTION("""COMPUTED_VALUE"""),5.0)</f>
        <v>5</v>
      </c>
      <c r="AI159" s="4" t="str">
        <f>IFERROR(__xludf.DUMMYFUNCTION("""COMPUTED_VALUE"""),"300k")</f>
        <v>300k</v>
      </c>
      <c r="AJ159" s="4" t="str">
        <f>IFERROR(__xludf.DUMMYFUNCTION("""COMPUTED_VALUE"""),"Master Chef")</f>
        <v>Master Chef</v>
      </c>
      <c r="AK159" s="4" t="str">
        <f>IFERROR(__xludf.DUMMYFUNCTION("""COMPUTED_VALUE"""),"Salão / Delivery")</f>
        <v>Salão / Delivery</v>
      </c>
      <c r="AL159" s="4" t="str">
        <f>IFERROR(__xludf.DUMMYFUNCTION("""COMPUTED_VALUE"""),"SIM")</f>
        <v>SIM</v>
      </c>
      <c r="AM159" s="4" t="str">
        <f>IFERROR(__xludf.DUMMYFUNCTION("""COMPUTED_VALUE"""),"FY27")</f>
        <v>FY27</v>
      </c>
      <c r="AN159" s="4"/>
      <c r="AO159" s="4">
        <f>IFERROR(__xludf.DUMMYFUNCTION("""COMPUTED_VALUE"""),62.0)</f>
        <v>62</v>
      </c>
      <c r="AP159" s="4" t="str">
        <f>IFERROR(__xludf.DUMMYFUNCTION("""COMPUTED_VALUE"""),"SP")</f>
        <v>SP</v>
      </c>
      <c r="AQ159" s="4" t="str">
        <f>IFERROR(__xludf.DUMMYFUNCTION("""COMPUTED_VALUE"""),"RAQUEL BATISTA")</f>
        <v>RAQUEL BATISTA</v>
      </c>
      <c r="AR159" s="4" t="str">
        <f>IFERROR(__xludf.DUMMYFUNCTION("""COMPUTED_VALUE"""),"WILLIAN ZANIOLO")</f>
        <v>WILLIAN ZANIOLO</v>
      </c>
      <c r="AS159" s="4" t="str">
        <f>IFERROR(__xludf.DUMMYFUNCTION("""COMPUTED_VALUE"""),"THIAGO ROMAGNOLE")</f>
        <v>THIAGO ROMAGNOLE</v>
      </c>
      <c r="AT159" s="4" t="str">
        <f>IFERROR(__xludf.DUMMYFUNCTION("""COMPUTED_VALUE"""),"BRUNA TASSINARI")</f>
        <v>BRUNA TASSINARI</v>
      </c>
      <c r="AU159" s="4">
        <f>IFERROR(__xludf.DUMMYFUNCTION("""COMPUTED_VALUE"""),0.0)</f>
        <v>0</v>
      </c>
      <c r="AV159" s="4">
        <f>IFERROR(__xludf.DUMMYFUNCTION("""COMPUTED_VALUE"""),0.0)</f>
        <v>0</v>
      </c>
      <c r="AW159" s="4">
        <f>IFERROR(__xludf.DUMMYFUNCTION("""COMPUTED_VALUE"""),0.0)</f>
        <v>0</v>
      </c>
      <c r="AX159" s="4">
        <f>IFERROR(__xludf.DUMMYFUNCTION("""COMPUTED_VALUE"""),0.0)</f>
        <v>0</v>
      </c>
      <c r="AY159" s="4"/>
      <c r="AZ159" s="4" t="str">
        <f>IFERROR(__xludf.DUMMYFUNCTION("""COMPUTED_VALUE"""),"Japonesa")</f>
        <v>Japonesa</v>
      </c>
      <c r="BA159" s="4" t="str">
        <f>IFERROR(__xludf.DUMMYFUNCTION("""COMPUTED_VALUE"""),"")</f>
        <v/>
      </c>
      <c r="BB159" s="4" t="str">
        <f>IFERROR(__xludf.DUMMYFUNCTION("""COMPUTED_VALUE"""),"")</f>
        <v/>
      </c>
      <c r="BC159" s="4" t="str">
        <f>IFERROR(__xludf.DUMMYFUNCTION("""COMPUTED_VALUE"""),"")</f>
        <v/>
      </c>
      <c r="BD159" s="4" t="str">
        <f>IFERROR(__xludf.DUMMYFUNCTION("""COMPUTED_VALUE"""),"")</f>
        <v/>
      </c>
      <c r="BE159" s="4" t="str">
        <f>IFERROR(__xludf.DUMMYFUNCTION("""COMPUTED_VALUE"""),"")</f>
        <v/>
      </c>
      <c r="BF159" s="4" t="str">
        <f>IFERROR(__xludf.DUMMYFUNCTION("""COMPUTED_VALUE"""),"")</f>
        <v/>
      </c>
      <c r="BG159" s="4" t="str">
        <f>IFERROR(__xludf.DUMMYFUNCTION("""COMPUTED_VALUE"""),"")</f>
        <v/>
      </c>
      <c r="BH159" s="4" t="s">
        <v>105</v>
      </c>
      <c r="BI159" s="7">
        <v>0.8</v>
      </c>
    </row>
    <row r="160" hidden="1">
      <c r="A160" s="4" t="str">
        <f>IFERROR(__xludf.DUMMYFUNCTION("""COMPUTED_VALUE"""),"NARA LAMEN")</f>
        <v>NARA LAMEN</v>
      </c>
      <c r="B160" s="4" t="str">
        <f>IFERROR(__xludf.DUMMYFUNCTION("""COMPUTED_VALUE"""),"João Biagiotti")</f>
        <v>João Biagiotti</v>
      </c>
      <c r="C160" s="4" t="str">
        <f>IFERROR(__xludf.DUMMYFUNCTION("""COMPUTED_VALUE"""),"Diego Santos")</f>
        <v>Diego Santos</v>
      </c>
      <c r="D160" s="4" t="str">
        <f>IFERROR(__xludf.DUMMYFUNCTION("""COMPUTED_VALUE"""),"11. Stand by")</f>
        <v>11. Stand by</v>
      </c>
      <c r="E160" s="4" t="str">
        <f>IFERROR(__xludf.DUMMYFUNCTION("""COMPUTED_VALUE"""),"Comercial - Primeira reunião / Visita presencial agendada")</f>
        <v>Comercial - Primeira reunião / Visita presencial agendada</v>
      </c>
      <c r="F160" s="4" t="str">
        <f>IFERROR(__xludf.DUMMYFUNCTION("""COMPUTED_VALUE"""),"P")</f>
        <v>P</v>
      </c>
      <c r="G160" s="5">
        <f>IFERROR(__xludf.DUMMYFUNCTION("""COMPUTED_VALUE"""),46135.0)</f>
        <v>46135</v>
      </c>
      <c r="H160" s="4" t="str">
        <f>IFERROR(__xludf.DUMMYFUNCTION("""COMPUTED_VALUE"""),"Foi realizado a reuniao com a Marca, acabaram de mudar para a Ecletica e estao com integração de CRM com a Olga, demonstraram interesse mas no momento nao pensam em mudar de CRM, manter contato")</f>
        <v>Foi realizado a reuniao com a Marca, acabaram de mudar para a Ecletica e estao com integração de CRM com a Olga, demonstraram interesse mas no momento nao pensam em mudar de CRM, manter contato</v>
      </c>
      <c r="I160" s="6">
        <f>IFERROR(__xludf.DUMMYFUNCTION("""COMPUTED_VALUE"""),46120.45611050926)</f>
        <v>46120.45611</v>
      </c>
      <c r="J160" s="6">
        <f>IFERROR(__xludf.DUMMYFUNCTION("""COMPUTED_VALUE"""),46129.48347298611)</f>
        <v>46129.48347</v>
      </c>
      <c r="K160" s="6">
        <f>IFERROR(__xludf.DUMMYFUNCTION("""COMPUTED_VALUE"""),46129.48863721065)</f>
        <v>46129.48864</v>
      </c>
      <c r="L160" s="4"/>
      <c r="M160" s="4"/>
      <c r="N160" s="4"/>
      <c r="O160" s="4"/>
      <c r="P160" s="4"/>
      <c r="Q160" s="4"/>
      <c r="R160" s="4"/>
      <c r="S160" s="6">
        <f>IFERROR(__xludf.DUMMYFUNCTION("""COMPUTED_VALUE"""),46136.41584084491)</f>
        <v>46136.41584</v>
      </c>
      <c r="T160" s="4"/>
      <c r="U160" s="4"/>
      <c r="V160" s="4" t="str">
        <f>IFERROR(__xludf.DUMMYFUNCTION("""COMPUTED_VALUE"""),"Fechou com concorrente há pouco tempo")</f>
        <v>Fechou com concorrente há pouco tempo</v>
      </c>
      <c r="W160" s="4"/>
      <c r="X160" s="4"/>
      <c r="Y160" s="4"/>
      <c r="Z160" s="4"/>
      <c r="AA160" s="4">
        <f>IFERROR(__xludf.DUMMYFUNCTION("""COMPUTED_VALUE"""),5.0)</f>
        <v>5</v>
      </c>
      <c r="AB160" s="4" t="str">
        <f>IFERROR(__xludf.DUMMYFUNCTION("""COMPUTED_VALUE"""),"CE")</f>
        <v>CE</v>
      </c>
      <c r="AC160" s="4" t="str">
        <f>IFERROR(__xludf.DUMMYFUNCTION("""COMPUTED_VALUE"""),"Sim")</f>
        <v>Sim</v>
      </c>
      <c r="AD160" s="4" t="str">
        <f>IFERROR(__xludf.DUMMYFUNCTION("""COMPUTED_VALUE"""),"Ifood")</f>
        <v>Ifood</v>
      </c>
      <c r="AE160" s="4"/>
      <c r="AF160" s="4"/>
      <c r="AG160" s="4"/>
      <c r="AH160" s="4">
        <f>IFERROR(__xludf.DUMMYFUNCTION("""COMPUTED_VALUE"""),5.0)</f>
        <v>5</v>
      </c>
      <c r="AI160" s="4"/>
      <c r="AJ160" s="4" t="str">
        <f>IFERROR(__xludf.DUMMYFUNCTION("""COMPUTED_VALUE"""),"Ecletica")</f>
        <v>Ecletica</v>
      </c>
      <c r="AK160" s="4" t="str">
        <f>IFERROR(__xludf.DUMMYFUNCTION("""COMPUTED_VALUE"""),"Salão / Delivrey")</f>
        <v>Salão / Delivrey</v>
      </c>
      <c r="AL160" s="4"/>
      <c r="AM160" s="4" t="str">
        <f>IFERROR(__xludf.DUMMYFUNCTION("""COMPUTED_VALUE"""),"FY27")</f>
        <v>FY27</v>
      </c>
      <c r="AN160" s="4"/>
      <c r="AO160" s="4">
        <f>IFERROR(__xludf.DUMMYFUNCTION("""COMPUTED_VALUE"""),80.0)</f>
        <v>80</v>
      </c>
      <c r="AP160" s="4" t="str">
        <f>IFERROR(__xludf.DUMMYFUNCTION("""COMPUTED_VALUE"""),"SP")</f>
        <v>SP</v>
      </c>
      <c r="AQ160" s="4" t="str">
        <f>IFERROR(__xludf.DUMMYFUNCTION("""COMPUTED_VALUE"""),"MONICA BERTACHI")</f>
        <v>MONICA BERTACHI</v>
      </c>
      <c r="AR160" s="4" t="str">
        <f>IFERROR(__xludf.DUMMYFUNCTION("""COMPUTED_VALUE"""),"PAULO ESCUDERO")</f>
        <v>PAULO ESCUDERO</v>
      </c>
      <c r="AS160" s="4" t="str">
        <f>IFERROR(__xludf.DUMMYFUNCTION("""COMPUTED_VALUE"""),"NATHALIE MERTENS")</f>
        <v>NATHALIE MERTENS</v>
      </c>
      <c r="AT160" s="4" t="str">
        <f>IFERROR(__xludf.DUMMYFUNCTION("""COMPUTED_VALUE"""),"MATHEUS LESSA")</f>
        <v>MATHEUS LESSA</v>
      </c>
      <c r="AU160" s="4">
        <f>IFERROR(__xludf.DUMMYFUNCTION("""COMPUTED_VALUE"""),0.0)</f>
        <v>0</v>
      </c>
      <c r="AV160" s="4">
        <f>IFERROR(__xludf.DUMMYFUNCTION("""COMPUTED_VALUE"""),0.0)</f>
        <v>0</v>
      </c>
      <c r="AW160" s="4">
        <f>IFERROR(__xludf.DUMMYFUNCTION("""COMPUTED_VALUE"""),0.0)</f>
        <v>0</v>
      </c>
      <c r="AX160" s="4">
        <f>IFERROR(__xludf.DUMMYFUNCTION("""COMPUTED_VALUE"""),0.0)</f>
        <v>0</v>
      </c>
      <c r="AY160" s="4"/>
      <c r="AZ160" s="4" t="str">
        <f>IFERROR(__xludf.DUMMYFUNCTION("""COMPUTED_VALUE"""),"Japonesa")</f>
        <v>Japonesa</v>
      </c>
      <c r="BA160" s="4">
        <f>IFERROR(__xludf.DUMMYFUNCTION("""COMPUTED_VALUE"""),73.0)</f>
        <v>73</v>
      </c>
      <c r="BB160" s="4" t="str">
        <f>IFERROR(__xludf.DUMMYFUNCTION("""COMPUTED_VALUE"""),"Fast Casual - Multi-conceito")</f>
        <v>Fast Casual - Multi-conceito</v>
      </c>
      <c r="BC160" s="4" t="str">
        <f>IFERROR(__xludf.DUMMYFUNCTION("""COMPUTED_VALUE"""),"Belo Horizonte/MG")</f>
        <v>Belo Horizonte/MG</v>
      </c>
      <c r="BD160" s="4" t="str">
        <f>IFERROR(__xludf.DUMMYFUNCTION("""COMPUTED_VALUE"""),"Dado não disponível publicamente - Necessário Discovery")</f>
        <v>Dado não disponível publicamente - Necessário Discovery</v>
      </c>
      <c r="BE160" s="4">
        <f>IFERROR(__xludf.DUMMYFUNCTION("""COMPUTED_VALUE"""),70.0)</f>
        <v>70</v>
      </c>
      <c r="BF160" s="4">
        <f>IFERROR(__xludf.DUMMYFUNCTION("""COMPUTED_VALUE"""),0.75)</f>
        <v>0.75</v>
      </c>
      <c r="BG16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60" s="4" t="s">
        <v>71</v>
      </c>
      <c r="BI160" s="7">
        <v>0.8</v>
      </c>
    </row>
    <row r="161" hidden="1">
      <c r="A161" s="4" t="str">
        <f>IFERROR(__xludf.DUMMYFUNCTION("""COMPUTED_VALUE"""),"NEW HAKATA")</f>
        <v>NEW HAKATA</v>
      </c>
      <c r="B161" s="4" t="str">
        <f>IFERROR(__xludf.DUMMYFUNCTION("""COMPUTED_VALUE"""),"João Biagiotti")</f>
        <v>João Biagiotti</v>
      </c>
      <c r="C161" s="4" t="str">
        <f>IFERROR(__xludf.DUMMYFUNCTION("""COMPUTED_VALUE"""),"Diego Santos")</f>
        <v>Diego Santos</v>
      </c>
      <c r="D161" s="4" t="str">
        <f>IFERROR(__xludf.DUMMYFUNCTION("""COMPUTED_VALUE"""),"0. Não Iniciado")</f>
        <v>0. Não Iniciado</v>
      </c>
      <c r="E161" s="4"/>
      <c r="F161" s="4" t="str">
        <f>IFERROR(__xludf.DUMMYFUNCTION("""COMPUTED_VALUE"""),"P")</f>
        <v>P</v>
      </c>
      <c r="G161" s="4"/>
      <c r="H161" s="4"/>
      <c r="I161" s="4"/>
      <c r="J161" s="4"/>
      <c r="K161" s="4"/>
      <c r="L161" s="4"/>
      <c r="M161" s="4"/>
      <c r="N161" s="4"/>
      <c r="O161" s="4"/>
      <c r="P161" s="4"/>
      <c r="Q161" s="4"/>
      <c r="R161" s="4"/>
      <c r="S161" s="4"/>
      <c r="T161" s="4"/>
      <c r="U161" s="4"/>
      <c r="V161" s="4"/>
      <c r="W161" s="4"/>
      <c r="X161" s="4"/>
      <c r="Y161" s="4"/>
      <c r="Z161" s="4"/>
      <c r="AA161" s="4">
        <f>IFERROR(__xludf.DUMMYFUNCTION("""COMPUTED_VALUE"""),5.0)</f>
        <v>5</v>
      </c>
      <c r="AB161" s="4" t="str">
        <f>IFERROR(__xludf.DUMMYFUNCTION("""COMPUTED_VALUE"""),"CE")</f>
        <v>CE</v>
      </c>
      <c r="AC161" s="4" t="str">
        <f>IFERROR(__xludf.DUMMYFUNCTION("""COMPUTED_VALUE"""),"Sim")</f>
        <v>Sim</v>
      </c>
      <c r="AD161" s="4" t="str">
        <f>IFERROR(__xludf.DUMMYFUNCTION("""COMPUTED_VALUE"""),"3a Solution")</f>
        <v>3a Solution</v>
      </c>
      <c r="AE161" s="4"/>
      <c r="AF161" s="4"/>
      <c r="AG161" s="4"/>
      <c r="AH161" s="4"/>
      <c r="AI161" s="4"/>
      <c r="AJ161" s="4"/>
      <c r="AK161" s="4"/>
      <c r="AL161" s="4"/>
      <c r="AM161" s="4" t="str">
        <f>IFERROR(__xludf.DUMMYFUNCTION("""COMPUTED_VALUE"""),"FY27")</f>
        <v>FY27</v>
      </c>
      <c r="AN161" s="4"/>
      <c r="AO161" s="4">
        <f>IFERROR(__xludf.DUMMYFUNCTION("""COMPUTED_VALUE"""),45553.0)</f>
        <v>45553</v>
      </c>
      <c r="AP161" s="4" t="str">
        <f>IFERROR(__xludf.DUMMYFUNCTION("""COMPUTED_VALUE"""),"AL")</f>
        <v>AL</v>
      </c>
      <c r="AQ161" s="4" t="str">
        <f>IFERROR(__xludf.DUMMYFUNCTION("""COMPUTED_VALUE"""),"MARCELO ESTEVES")</f>
        <v>MARCELO ESTEVES</v>
      </c>
      <c r="AR161" s="4" t="str">
        <f>IFERROR(__xludf.DUMMYFUNCTION("""COMPUTED_VALUE"""),"ADIEL MATOS")</f>
        <v>ADIEL MATOS</v>
      </c>
      <c r="AS161" s="4" t="str">
        <f>IFERROR(__xludf.DUMMYFUNCTION("""COMPUTED_VALUE"""),"THIAGO ROMAGNOLE")</f>
        <v>THIAGO ROMAGNOLE</v>
      </c>
      <c r="AT161" s="4" t="str">
        <f>IFERROR(__xludf.DUMMYFUNCTION("""COMPUTED_VALUE"""),"ANDERSON LAUREANO")</f>
        <v>ANDERSON LAUREANO</v>
      </c>
      <c r="AU161" s="4">
        <f>IFERROR(__xludf.DUMMYFUNCTION("""COMPUTED_VALUE"""),0.0)</f>
        <v>0</v>
      </c>
      <c r="AV161" s="4">
        <f>IFERROR(__xludf.DUMMYFUNCTION("""COMPUTED_VALUE"""),0.0)</f>
        <v>0</v>
      </c>
      <c r="AW161" s="4">
        <f>IFERROR(__xludf.DUMMYFUNCTION("""COMPUTED_VALUE"""),0.0)</f>
        <v>0</v>
      </c>
      <c r="AX161" s="4">
        <f>IFERROR(__xludf.DUMMYFUNCTION("""COMPUTED_VALUE"""),0.0)</f>
        <v>0</v>
      </c>
      <c r="AY161" s="4"/>
      <c r="AZ161" s="4" t="str">
        <f>IFERROR(__xludf.DUMMYFUNCTION("""COMPUTED_VALUE"""),"Pizza")</f>
        <v>Pizza</v>
      </c>
      <c r="BA161" s="4">
        <f>IFERROR(__xludf.DUMMYFUNCTION("""COMPUTED_VALUE"""),67.0)</f>
        <v>67</v>
      </c>
      <c r="BB161" s="4" t="str">
        <f>IFERROR(__xludf.DUMMYFUNCTION("""COMPUTED_VALUE"""),"Fast Casual - Multi-conceito")</f>
        <v>Fast Casual - Multi-conceito</v>
      </c>
      <c r="BC161" s="4" t="str">
        <f>IFERROR(__xludf.DUMMYFUNCTION("""COMPUTED_VALUE"""),"Sul")</f>
        <v>Sul</v>
      </c>
      <c r="BD161" s="4" t="str">
        <f>IFERROR(__xludf.DUMMYFUNCTION("""COMPUTED_VALUE"""),"Dado não disponível publicamente - Necessário Discovery")</f>
        <v>Dado não disponível publicamente - Necessário Discovery</v>
      </c>
      <c r="BE161" s="4">
        <f>IFERROR(__xludf.DUMMYFUNCTION("""COMPUTED_VALUE"""),70.0)</f>
        <v>70</v>
      </c>
      <c r="BF161" s="4">
        <f>IFERROR(__xludf.DUMMYFUNCTION("""COMPUTED_VALUE"""),0.75)</f>
        <v>0.75</v>
      </c>
      <c r="BG16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61" s="4" t="s">
        <v>78</v>
      </c>
      <c r="BI161" s="7">
        <v>0.5</v>
      </c>
    </row>
    <row r="162" hidden="1">
      <c r="A162" s="4" t="str">
        <f>IFERROR(__xludf.DUMMYFUNCTION("""COMPUTED_VALUE"""),"NIPOPESCA")</f>
        <v>NIPOPESCA</v>
      </c>
      <c r="B162" s="4" t="str">
        <f>IFERROR(__xludf.DUMMYFUNCTION("""COMPUTED_VALUE"""),"Lídia Esteves")</f>
        <v>Lídia Esteves</v>
      </c>
      <c r="C162" s="4" t="str">
        <f>IFERROR(__xludf.DUMMYFUNCTION("""COMPUTED_VALUE"""),"Gabriela Roma")</f>
        <v>Gabriela Roma</v>
      </c>
      <c r="D162" s="4" t="str">
        <f>IFERROR(__xludf.DUMMYFUNCTION("""COMPUTED_VALUE"""),"0. Não Iniciado")</f>
        <v>0. Não Iniciado</v>
      </c>
      <c r="E162" s="4"/>
      <c r="F162" s="4" t="str">
        <f>IFERROR(__xludf.DUMMYFUNCTION("""COMPUTED_VALUE"""),"P")</f>
        <v>P</v>
      </c>
      <c r="G162" s="4"/>
      <c r="H162" s="4"/>
      <c r="I162" s="4"/>
      <c r="J162" s="4"/>
      <c r="K162" s="4"/>
      <c r="L162" s="4"/>
      <c r="M162" s="4"/>
      <c r="N162" s="4"/>
      <c r="O162" s="4"/>
      <c r="P162" s="4"/>
      <c r="Q162" s="4"/>
      <c r="R162" s="4"/>
      <c r="S162" s="4"/>
      <c r="T162" s="4"/>
      <c r="U162" s="4"/>
      <c r="V162" s="4"/>
      <c r="W162" s="4"/>
      <c r="X162" s="4"/>
      <c r="Y162" s="4"/>
      <c r="Z162" s="4"/>
      <c r="AA162" s="4">
        <f>IFERROR(__xludf.DUMMYFUNCTION("""COMPUTED_VALUE"""),6.0)</f>
        <v>6</v>
      </c>
      <c r="AB162" s="4" t="str">
        <f>IFERROR(__xludf.DUMMYFUNCTION("""COMPUTED_VALUE"""),"CE")</f>
        <v>CE</v>
      </c>
      <c r="AC162" s="4" t="str">
        <f>IFERROR(__xludf.DUMMYFUNCTION("""COMPUTED_VALUE"""),"Sim")</f>
        <v>Sim</v>
      </c>
      <c r="AD162" s="4" t="str">
        <f>IFERROR(__xludf.DUMMYFUNCTION("""COMPUTED_VALUE"""),"Ifood")</f>
        <v>Ifood</v>
      </c>
      <c r="AE162" s="4"/>
      <c r="AF162" s="4"/>
      <c r="AG162" s="4"/>
      <c r="AH162" s="4"/>
      <c r="AI162" s="4"/>
      <c r="AJ162" s="4"/>
      <c r="AK162" s="4"/>
      <c r="AL162" s="4"/>
      <c r="AM162" s="4" t="str">
        <f>IFERROR(__xludf.DUMMYFUNCTION("""COMPUTED_VALUE"""),"FY27")</f>
        <v>FY27</v>
      </c>
      <c r="AN162" s="4"/>
      <c r="AO162" s="4">
        <f>IFERROR(__xludf.DUMMYFUNCTION("""COMPUTED_VALUE"""),45553.0)</f>
        <v>45553</v>
      </c>
      <c r="AP162" s="4" t="str">
        <f>IFERROR(__xludf.DUMMYFUNCTION("""COMPUTED_VALUE"""),"PR")</f>
        <v>PR</v>
      </c>
      <c r="AQ162" s="4" t="str">
        <f>IFERROR(__xludf.DUMMYFUNCTION("""COMPUTED_VALUE"""),"LUIZ FILHO")</f>
        <v>LUIZ FILHO</v>
      </c>
      <c r="AR162" s="4" t="str">
        <f>IFERROR(__xludf.DUMMYFUNCTION("""COMPUTED_VALUE"""),"GUILHERME SILVERIO")</f>
        <v>GUILHERME SILVERIO</v>
      </c>
      <c r="AS162" s="4" t="str">
        <f>IFERROR(__xludf.DUMMYFUNCTION("""COMPUTED_VALUE"""),"FABIO DONATO")</f>
        <v>FABIO DONATO</v>
      </c>
      <c r="AT162" s="4" t="str">
        <f>IFERROR(__xludf.DUMMYFUNCTION("""COMPUTED_VALUE"""),"MURILO NAGASHIMA")</f>
        <v>MURILO NAGASHIMA</v>
      </c>
      <c r="AU162" s="4">
        <f>IFERROR(__xludf.DUMMYFUNCTION("""COMPUTED_VALUE"""),0.0)</f>
        <v>0</v>
      </c>
      <c r="AV162" s="4">
        <f>IFERROR(__xludf.DUMMYFUNCTION("""COMPUTED_VALUE"""),0.0)</f>
        <v>0</v>
      </c>
      <c r="AW162" s="4">
        <f>IFERROR(__xludf.DUMMYFUNCTION("""COMPUTED_VALUE"""),0.0)</f>
        <v>0</v>
      </c>
      <c r="AX162" s="4">
        <f>IFERROR(__xludf.DUMMYFUNCTION("""COMPUTED_VALUE"""),0.0)</f>
        <v>0</v>
      </c>
      <c r="AY162" s="4"/>
      <c r="AZ162" s="4" t="str">
        <f>IFERROR(__xludf.DUMMYFUNCTION("""COMPUTED_VALUE"""),"Japonesa")</f>
        <v>Japonesa</v>
      </c>
      <c r="BA162" s="4">
        <f>IFERROR(__xludf.DUMMYFUNCTION("""COMPUTED_VALUE"""),62.0)</f>
        <v>62</v>
      </c>
      <c r="BB162" s="4" t="str">
        <f>IFERROR(__xludf.DUMMYFUNCTION("""COMPUTED_VALUE"""),"Fast Casual - Multi-conceito")</f>
        <v>Fast Casual - Multi-conceito</v>
      </c>
      <c r="BC162" s="4" t="str">
        <f>IFERROR(__xludf.DUMMYFUNCTION("""COMPUTED_VALUE"""),"São Paulo/SP")</f>
        <v>São Paulo/SP</v>
      </c>
      <c r="BD162" s="4" t="str">
        <f>IFERROR(__xludf.DUMMYFUNCTION("""COMPUTED_VALUE"""),"Dado não disponível publicamente - Necessário Discovery")</f>
        <v>Dado não disponível publicamente - Necessário Discovery</v>
      </c>
      <c r="BE162" s="4">
        <f>IFERROR(__xludf.DUMMYFUNCTION("""COMPUTED_VALUE"""),70.0)</f>
        <v>70</v>
      </c>
      <c r="BF162" s="4">
        <f>IFERROR(__xludf.DUMMYFUNCTION("""COMPUTED_VALUE"""),0.75)</f>
        <v>0.75</v>
      </c>
      <c r="BG16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62" s="4" t="s">
        <v>63</v>
      </c>
      <c r="BI162" s="7" t="s">
        <v>63</v>
      </c>
    </row>
    <row r="163" hidden="1">
      <c r="A163" s="4" t="str">
        <f>IFERROR(__xludf.DUMMYFUNCTION("""COMPUTED_VALUE"""),"O FARAO AM")</f>
        <v>O FARAO AM</v>
      </c>
      <c r="B163" s="4" t="str">
        <f>IFERROR(__xludf.DUMMYFUNCTION("""COMPUTED_VALUE"""),"João Biagiotti")</f>
        <v>João Biagiotti</v>
      </c>
      <c r="C163" s="4" t="str">
        <f>IFERROR(__xludf.DUMMYFUNCTION("""COMPUTED_VALUE"""),"Diego Santos")</f>
        <v>Diego Santos</v>
      </c>
      <c r="D163" s="4" t="str">
        <f>IFERROR(__xludf.DUMMYFUNCTION("""COMPUTED_VALUE"""),"0. Não Iniciado")</f>
        <v>0. Não Iniciado</v>
      </c>
      <c r="E163" s="4"/>
      <c r="F163" s="4" t="str">
        <f>IFERROR(__xludf.DUMMYFUNCTION("""COMPUTED_VALUE"""),"P")</f>
        <v>P</v>
      </c>
      <c r="G163" s="4"/>
      <c r="H163" s="4"/>
      <c r="I163" s="4"/>
      <c r="J163" s="4"/>
      <c r="K163" s="4"/>
      <c r="L163" s="4"/>
      <c r="M163" s="4"/>
      <c r="N163" s="4"/>
      <c r="O163" s="4"/>
      <c r="P163" s="4"/>
      <c r="Q163" s="4"/>
      <c r="R163" s="4"/>
      <c r="S163" s="4"/>
      <c r="T163" s="4"/>
      <c r="U163" s="4"/>
      <c r="V163" s="4"/>
      <c r="W163" s="4"/>
      <c r="X163" s="4"/>
      <c r="Y163" s="4"/>
      <c r="Z163" s="4"/>
      <c r="AA163" s="4">
        <f>IFERROR(__xludf.DUMMYFUNCTION("""COMPUTED_VALUE"""),8.0)</f>
        <v>8</v>
      </c>
      <c r="AB163" s="4" t="str">
        <f>IFERROR(__xludf.DUMMYFUNCTION("""COMPUTED_VALUE"""),"CE")</f>
        <v>CE</v>
      </c>
      <c r="AC163" s="4" t="str">
        <f>IFERROR(__xludf.DUMMYFUNCTION("""COMPUTED_VALUE"""),"Sim")</f>
        <v>Sim</v>
      </c>
      <c r="AD163" s="4" t="str">
        <f>IFERROR(__xludf.DUMMYFUNCTION("""COMPUTED_VALUE"""),"Vekttor")</f>
        <v>Vekttor</v>
      </c>
      <c r="AE163" s="4"/>
      <c r="AF163" s="4"/>
      <c r="AG163" s="4"/>
      <c r="AH163" s="4"/>
      <c r="AI163" s="4"/>
      <c r="AJ163" s="4"/>
      <c r="AK163" s="4"/>
      <c r="AL163" s="4"/>
      <c r="AM163" s="4" t="str">
        <f>IFERROR(__xludf.DUMMYFUNCTION("""COMPUTED_VALUE"""),"FY27")</f>
        <v>FY27</v>
      </c>
      <c r="AN163" s="4"/>
      <c r="AO163" s="4">
        <f>IFERROR(__xludf.DUMMYFUNCTION("""COMPUTED_VALUE"""),45553.0)</f>
        <v>45553</v>
      </c>
      <c r="AP163" s="4" t="str">
        <f>IFERROR(__xludf.DUMMYFUNCTION("""COMPUTED_VALUE"""),"AM")</f>
        <v>AM</v>
      </c>
      <c r="AQ163" s="4" t="str">
        <f>IFERROR(__xludf.DUMMYFUNCTION("""COMPUTED_VALUE"""),"RODRIGO MAR")</f>
        <v>RODRIGO MAR</v>
      </c>
      <c r="AR163" s="4" t="str">
        <f>IFERROR(__xludf.DUMMYFUNCTION("""COMPUTED_VALUE"""),"MICHELE SARAH")</f>
        <v>MICHELE SARAH</v>
      </c>
      <c r="AS163" s="4" t="str">
        <f>IFERROR(__xludf.DUMMYFUNCTION("""COMPUTED_VALUE"""),"THIAGO ROMAGNOLE")</f>
        <v>THIAGO ROMAGNOLE</v>
      </c>
      <c r="AT163" s="4" t="str">
        <f>IFERROR(__xludf.DUMMYFUNCTION("""COMPUTED_VALUE"""),"PAULO MODESTO")</f>
        <v>PAULO MODESTO</v>
      </c>
      <c r="AU163" s="4">
        <f>IFERROR(__xludf.DUMMYFUNCTION("""COMPUTED_VALUE"""),0.0)</f>
        <v>0</v>
      </c>
      <c r="AV163" s="4">
        <f>IFERROR(__xludf.DUMMYFUNCTION("""COMPUTED_VALUE"""),0.0)</f>
        <v>0</v>
      </c>
      <c r="AW163" s="4">
        <f>IFERROR(__xludf.DUMMYFUNCTION("""COMPUTED_VALUE"""),0.0)</f>
        <v>0</v>
      </c>
      <c r="AX163" s="4">
        <f>IFERROR(__xludf.DUMMYFUNCTION("""COMPUTED_VALUE"""),0.0)</f>
        <v>0</v>
      </c>
      <c r="AY163" s="4"/>
      <c r="AZ163" s="4" t="str">
        <f>IFERROR(__xludf.DUMMYFUNCTION("""COMPUTED_VALUE"""),"Hambúrguer")</f>
        <v>Hambúrguer</v>
      </c>
      <c r="BA163" s="4" t="str">
        <f>IFERROR(__xludf.DUMMYFUNCTION("""COMPUTED_VALUE"""),"")</f>
        <v/>
      </c>
      <c r="BB163" s="4" t="str">
        <f>IFERROR(__xludf.DUMMYFUNCTION("""COMPUTED_VALUE"""),"")</f>
        <v/>
      </c>
      <c r="BC163" s="4" t="str">
        <f>IFERROR(__xludf.DUMMYFUNCTION("""COMPUTED_VALUE"""),"")</f>
        <v/>
      </c>
      <c r="BD163" s="4" t="str">
        <f>IFERROR(__xludf.DUMMYFUNCTION("""COMPUTED_VALUE"""),"")</f>
        <v/>
      </c>
      <c r="BE163" s="4" t="str">
        <f>IFERROR(__xludf.DUMMYFUNCTION("""COMPUTED_VALUE"""),"")</f>
        <v/>
      </c>
      <c r="BF163" s="4" t="str">
        <f>IFERROR(__xludf.DUMMYFUNCTION("""COMPUTED_VALUE"""),"")</f>
        <v/>
      </c>
      <c r="BG163" s="4" t="str">
        <f>IFERROR(__xludf.DUMMYFUNCTION("""COMPUTED_VALUE"""),"")</f>
        <v/>
      </c>
      <c r="BH163" s="4" t="s">
        <v>106</v>
      </c>
      <c r="BI163" s="7">
        <v>1.0</v>
      </c>
    </row>
    <row r="164" hidden="1">
      <c r="A164" s="4" t="str">
        <f>IFERROR(__xludf.DUMMYFUNCTION("""COMPUTED_VALUE"""),"O NOSSO CHURRASQUETO")</f>
        <v>O NOSSO CHURRASQUETO</v>
      </c>
      <c r="B164" s="4" t="str">
        <f>IFERROR(__xludf.DUMMYFUNCTION("""COMPUTED_VALUE"""),"Lídia Esteves")</f>
        <v>Lídia Esteves</v>
      </c>
      <c r="C164" s="4" t="str">
        <f>IFERROR(__xludf.DUMMYFUNCTION("""COMPUTED_VALUE"""),"Gabriela Roma")</f>
        <v>Gabriela Roma</v>
      </c>
      <c r="D164" s="4" t="str">
        <f>IFERROR(__xludf.DUMMYFUNCTION("""COMPUTED_VALUE"""),"1. Iniciado")</f>
        <v>1. Iniciado</v>
      </c>
      <c r="E164" s="4" t="str">
        <f>IFERROR(__xludf.DUMMYFUNCTION("""COMPUTED_VALUE"""),"Delivery - Aguardando retorno / Conciliação agenda")</f>
        <v>Delivery - Aguardando retorno / Conciliação agenda</v>
      </c>
      <c r="F164" s="4" t="str">
        <f>IFERROR(__xludf.DUMMYFUNCTION("""COMPUTED_VALUE"""),"P")</f>
        <v>P</v>
      </c>
      <c r="G164" s="4"/>
      <c r="H164" s="4"/>
      <c r="I164" s="6">
        <f>IFERROR(__xludf.DUMMYFUNCTION("""COMPUTED_VALUE"""),46121.68199372685)</f>
        <v>46121.68199</v>
      </c>
      <c r="J164" s="4"/>
      <c r="K164" s="4"/>
      <c r="L164" s="4"/>
      <c r="M164" s="4"/>
      <c r="N164" s="4"/>
      <c r="O164" s="4"/>
      <c r="P164" s="4"/>
      <c r="Q164" s="4"/>
      <c r="R164" s="4"/>
      <c r="S164" s="4"/>
      <c r="T164" s="4"/>
      <c r="U164" s="4"/>
      <c r="V164" s="4"/>
      <c r="W164" s="4"/>
      <c r="X164" s="4"/>
      <c r="Y164" s="4"/>
      <c r="Z164" s="4"/>
      <c r="AA164" s="4">
        <f>IFERROR(__xludf.DUMMYFUNCTION("""COMPUTED_VALUE"""),5.0)</f>
        <v>5</v>
      </c>
      <c r="AB164" s="4" t="str">
        <f>IFERROR(__xludf.DUMMYFUNCTION("""COMPUTED_VALUE"""),"CE")</f>
        <v>CE</v>
      </c>
      <c r="AC164" s="4" t="str">
        <f>IFERROR(__xludf.DUMMYFUNCTION("""COMPUTED_VALUE"""),"Sim")</f>
        <v>Sim</v>
      </c>
      <c r="AD164" s="4" t="str">
        <f>IFERROR(__xludf.DUMMYFUNCTION("""COMPUTED_VALUE"""),"Ifood")</f>
        <v>Ifood</v>
      </c>
      <c r="AE164" s="4"/>
      <c r="AF164" s="4"/>
      <c r="AG164" s="4"/>
      <c r="AH164" s="4"/>
      <c r="AI164" s="4"/>
      <c r="AJ164" s="4"/>
      <c r="AK164" s="4"/>
      <c r="AL164" s="4"/>
      <c r="AM164" s="4" t="str">
        <f>IFERROR(__xludf.DUMMYFUNCTION("""COMPUTED_VALUE"""),"FY27")</f>
        <v>FY27</v>
      </c>
      <c r="AN164" s="4"/>
      <c r="AO164" s="4">
        <f>IFERROR(__xludf.DUMMYFUNCTION("""COMPUTED_VALUE"""),45553.0)</f>
        <v>45553</v>
      </c>
      <c r="AP164" s="4" t="str">
        <f>IFERROR(__xludf.DUMMYFUNCTION("""COMPUTED_VALUE"""),"RJ")</f>
        <v>RJ</v>
      </c>
      <c r="AQ164" s="4" t="str">
        <f>IFERROR(__xludf.DUMMYFUNCTION("""COMPUTED_VALUE"""),"ANA SALLES")</f>
        <v>ANA SALLES</v>
      </c>
      <c r="AR164" s="4" t="str">
        <f>IFERROR(__xludf.DUMMYFUNCTION("""COMPUTED_VALUE"""),"LUCAS SALDANHA")</f>
        <v>LUCAS SALDANHA</v>
      </c>
      <c r="AS164" s="4" t="str">
        <f>IFERROR(__xludf.DUMMYFUNCTION("""COMPUTED_VALUE"""),"NATHALIE MERTENS")</f>
        <v>NATHALIE MERTENS</v>
      </c>
      <c r="AT164" s="4" t="str">
        <f>IFERROR(__xludf.DUMMYFUNCTION("""COMPUTED_VALUE"""),"NATALIA COUTINHO")</f>
        <v>NATALIA COUTINHO</v>
      </c>
      <c r="AU164" s="4">
        <f>IFERROR(__xludf.DUMMYFUNCTION("""COMPUTED_VALUE"""),0.0)</f>
        <v>0</v>
      </c>
      <c r="AV164" s="4">
        <f>IFERROR(__xludf.DUMMYFUNCTION("""COMPUTED_VALUE"""),0.0)</f>
        <v>0</v>
      </c>
      <c r="AW164" s="4">
        <f>IFERROR(__xludf.DUMMYFUNCTION("""COMPUTED_VALUE"""),0.0)</f>
        <v>0</v>
      </c>
      <c r="AX164" s="4">
        <f>IFERROR(__xludf.DUMMYFUNCTION("""COMPUTED_VALUE"""),0.0)</f>
        <v>0</v>
      </c>
      <c r="AY164" s="4" t="str">
        <f>IFERROR(__xludf.DUMMYFUNCTION("""COMPUTED_VALUE"""),"Netcontroll Xmenu")</f>
        <v>Netcontroll Xmenu</v>
      </c>
      <c r="AZ164" s="4" t="str">
        <f>IFERROR(__xludf.DUMMYFUNCTION("""COMPUTED_VALUE"""),"Brasileira")</f>
        <v>Brasileira</v>
      </c>
      <c r="BA164" s="4">
        <f>IFERROR(__xludf.DUMMYFUNCTION("""COMPUTED_VALUE"""),74.0)</f>
        <v>74</v>
      </c>
      <c r="BB164" s="4" t="str">
        <f>IFERROR(__xludf.DUMMYFUNCTION("""COMPUTED_VALUE"""),"Fast Casual - Multi-conceito")</f>
        <v>Fast Casual - Multi-conceito</v>
      </c>
      <c r="BC164" s="4" t="str">
        <f>IFERROR(__xludf.DUMMYFUNCTION("""COMPUTED_VALUE"""),"São Paulo/SP")</f>
        <v>São Paulo/SP</v>
      </c>
      <c r="BD164" s="4" t="str">
        <f>IFERROR(__xludf.DUMMYFUNCTION("""COMPUTED_VALUE"""),"Dado não disponível publicamente - Necessário Discovery")</f>
        <v>Dado não disponível publicamente - Necessário Discovery</v>
      </c>
      <c r="BE164" s="4">
        <f>IFERROR(__xludf.DUMMYFUNCTION("""COMPUTED_VALUE"""),70.0)</f>
        <v>70</v>
      </c>
      <c r="BF164" s="4">
        <f>IFERROR(__xludf.DUMMYFUNCTION("""COMPUTED_VALUE"""),0.75)</f>
        <v>0.75</v>
      </c>
      <c r="BG16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64" s="4" t="s">
        <v>83</v>
      </c>
      <c r="BI164" s="7">
        <v>1.0</v>
      </c>
    </row>
    <row r="165" hidden="1">
      <c r="A165" s="4" t="str">
        <f>IFERROR(__xludf.DUMMYFUNCTION("""COMPUTED_VALUE"""),"OFICINA DAS PIZZAS")</f>
        <v>OFICINA DAS PIZZAS</v>
      </c>
      <c r="B165" s="4" t="str">
        <f>IFERROR(__xludf.DUMMYFUNCTION("""COMPUTED_VALUE"""),"Lídia Esteves")</f>
        <v>Lídia Esteves</v>
      </c>
      <c r="C165" s="4" t="str">
        <f>IFERROR(__xludf.DUMMYFUNCTION("""COMPUTED_VALUE"""),"Gabriela Roma")</f>
        <v>Gabriela Roma</v>
      </c>
      <c r="D165" s="4" t="str">
        <f>IFERROR(__xludf.DUMMYFUNCTION("""COMPUTED_VALUE"""),"1. Iniciado")</f>
        <v>1. Iniciado</v>
      </c>
      <c r="E165" s="4" t="str">
        <f>IFERROR(__xludf.DUMMYFUNCTION("""COMPUTED_VALUE"""),"Delivery - Aguardando retorno executivo")</f>
        <v>Delivery - Aguardando retorno executivo</v>
      </c>
      <c r="F165" s="4" t="str">
        <f>IFERROR(__xludf.DUMMYFUNCTION("""COMPUTED_VALUE"""),"P")</f>
        <v>P</v>
      </c>
      <c r="G165" s="5">
        <f>IFERROR(__xludf.DUMMYFUNCTION("""COMPUTED_VALUE"""),46156.0)</f>
        <v>46156</v>
      </c>
      <c r="H165" s="4" t="str">
        <f>IFERROR(__xludf.DUMMYFUNCTION("""COMPUTED_VALUE"""),"tentativa de agenda")</f>
        <v>tentativa de agenda</v>
      </c>
      <c r="I165" s="6">
        <f>IFERROR(__xludf.DUMMYFUNCTION("""COMPUTED_VALUE"""),46156.698167442126)</f>
        <v>46156.69817</v>
      </c>
      <c r="J165" s="4"/>
      <c r="K165" s="4"/>
      <c r="L165" s="4"/>
      <c r="M165" s="4"/>
      <c r="N165" s="4"/>
      <c r="O165" s="4"/>
      <c r="P165" s="4"/>
      <c r="Q165" s="4"/>
      <c r="R165" s="4"/>
      <c r="S165" s="4"/>
      <c r="T165" s="4"/>
      <c r="U165" s="4"/>
      <c r="V165" s="4"/>
      <c r="W165" s="4"/>
      <c r="X165" s="4"/>
      <c r="Y165" s="4"/>
      <c r="Z165" s="4"/>
      <c r="AA165" s="4">
        <f>IFERROR(__xludf.DUMMYFUNCTION("""COMPUTED_VALUE"""),12.0)</f>
        <v>12</v>
      </c>
      <c r="AB165" s="4" t="str">
        <f>IFERROR(__xludf.DUMMYFUNCTION("""COMPUTED_VALUE"""),"CE")</f>
        <v>CE</v>
      </c>
      <c r="AC165" s="4" t="str">
        <f>IFERROR(__xludf.DUMMYFUNCTION("""COMPUTED_VALUE"""),"Sim")</f>
        <v>Sim</v>
      </c>
      <c r="AD165" s="4" t="str">
        <f>IFERROR(__xludf.DUMMYFUNCTION("""COMPUTED_VALUE"""),"Ifood")</f>
        <v>Ifood</v>
      </c>
      <c r="AE165" s="4"/>
      <c r="AF165" s="4"/>
      <c r="AG165" s="4"/>
      <c r="AH165" s="4"/>
      <c r="AI165" s="4"/>
      <c r="AJ165" s="4"/>
      <c r="AK165" s="4"/>
      <c r="AL165" s="4"/>
      <c r="AM165" s="4" t="str">
        <f>IFERROR(__xludf.DUMMYFUNCTION("""COMPUTED_VALUE"""),"FY27")</f>
        <v>FY27</v>
      </c>
      <c r="AN165" s="4"/>
      <c r="AO165" s="4">
        <f>IFERROR(__xludf.DUMMYFUNCTION("""COMPUTED_VALUE"""),59.0)</f>
        <v>59</v>
      </c>
      <c r="AP165" s="4" t="str">
        <f>IFERROR(__xludf.DUMMYFUNCTION("""COMPUTED_VALUE"""),"SC")</f>
        <v>SC</v>
      </c>
      <c r="AQ165" s="4" t="str">
        <f>IFERROR(__xludf.DUMMYFUNCTION("""COMPUTED_VALUE"""),"MARCIO CHAGAS")</f>
        <v>MARCIO CHAGAS</v>
      </c>
      <c r="AR165" s="4" t="str">
        <f>IFERROR(__xludf.DUMMYFUNCTION("""COMPUTED_VALUE"""),"CAMILA CASAGRANDE")</f>
        <v>CAMILA CASAGRANDE</v>
      </c>
      <c r="AS165" s="4" t="str">
        <f>IFERROR(__xludf.DUMMYFUNCTION("""COMPUTED_VALUE"""),"FABIO DONATO")</f>
        <v>FABIO DONATO</v>
      </c>
      <c r="AT165" s="4" t="str">
        <f>IFERROR(__xludf.DUMMYFUNCTION("""COMPUTED_VALUE"""),"CAMILA HOLANDA")</f>
        <v>CAMILA HOLANDA</v>
      </c>
      <c r="AU165" s="4">
        <f>IFERROR(__xludf.DUMMYFUNCTION("""COMPUTED_VALUE"""),0.0)</f>
        <v>0</v>
      </c>
      <c r="AV165" s="4">
        <f>IFERROR(__xludf.DUMMYFUNCTION("""COMPUTED_VALUE"""),0.0)</f>
        <v>0</v>
      </c>
      <c r="AW165" s="4">
        <f>IFERROR(__xludf.DUMMYFUNCTION("""COMPUTED_VALUE"""),0.0)</f>
        <v>0</v>
      </c>
      <c r="AX165" s="4">
        <f>IFERROR(__xludf.DUMMYFUNCTION("""COMPUTED_VALUE"""),0.0)</f>
        <v>0</v>
      </c>
      <c r="AY165" s="4" t="str">
        <f>IFERROR(__xludf.DUMMYFUNCTION("""COMPUTED_VALUE"""),"Saipos Serviços De Software")</f>
        <v>Saipos Serviços De Software</v>
      </c>
      <c r="AZ165" s="4" t="str">
        <f>IFERROR(__xludf.DUMMYFUNCTION("""COMPUTED_VALUE"""),"Pizza")</f>
        <v>Pizza</v>
      </c>
      <c r="BA165" s="4">
        <f>IFERROR(__xludf.DUMMYFUNCTION("""COMPUTED_VALUE"""),73.0)</f>
        <v>73</v>
      </c>
      <c r="BB165" s="4" t="str">
        <f>IFERROR(__xludf.DUMMYFUNCTION("""COMPUTED_VALUE"""),"Fast Casual - Pizzaria")</f>
        <v>Fast Casual - Pizzaria</v>
      </c>
      <c r="BC165" s="4" t="str">
        <f>IFERROR(__xludf.DUMMYFUNCTION("""COMPUTED_VALUE"""),"Brasília/DF")</f>
        <v>Brasília/DF</v>
      </c>
      <c r="BD165" s="4" t="str">
        <f>IFERROR(__xludf.DUMMYFUNCTION("""COMPUTED_VALUE"""),"Dado não disponível publicamente - Necessário Discovery")</f>
        <v>Dado não disponível publicamente - Necessário Discovery</v>
      </c>
      <c r="BE165" s="4">
        <f>IFERROR(__xludf.DUMMYFUNCTION("""COMPUTED_VALUE"""),70.0)</f>
        <v>70</v>
      </c>
      <c r="BF165" s="4">
        <f>IFERROR(__xludf.DUMMYFUNCTION("""COMPUTED_VALUE"""),0.75)</f>
        <v>0.75</v>
      </c>
      <c r="BG16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65" s="4" t="s">
        <v>69</v>
      </c>
      <c r="BI165" s="7">
        <v>0.6875</v>
      </c>
    </row>
    <row r="166" hidden="1">
      <c r="A166" s="4" t="str">
        <f>IFERROR(__xludf.DUMMYFUNCTION("""COMPUTED_VALUE"""),"OHANA SUSHI - GRUPO")</f>
        <v>OHANA SUSHI - GRUPO</v>
      </c>
      <c r="B166" s="4" t="str">
        <f>IFERROR(__xludf.DUMMYFUNCTION("""COMPUTED_VALUE"""),"Lídia Esteves")</f>
        <v>Lídia Esteves</v>
      </c>
      <c r="C166" s="4" t="str">
        <f>IFERROR(__xludf.DUMMYFUNCTION("""COMPUTED_VALUE"""),"Gabriela Roma")</f>
        <v>Gabriela Roma</v>
      </c>
      <c r="D166" s="4" t="str">
        <f>IFERROR(__xludf.DUMMYFUNCTION("""COMPUTED_VALUE"""),"0. Não Iniciado")</f>
        <v>0. Não Iniciado</v>
      </c>
      <c r="E166" s="4"/>
      <c r="F166" s="4" t="str">
        <f>IFERROR(__xludf.DUMMYFUNCTION("""COMPUTED_VALUE"""),"P")</f>
        <v>P</v>
      </c>
      <c r="G166" s="4"/>
      <c r="H166" s="4"/>
      <c r="I166" s="4"/>
      <c r="J166" s="4"/>
      <c r="K166" s="4"/>
      <c r="L166" s="4"/>
      <c r="M166" s="4"/>
      <c r="N166" s="4"/>
      <c r="O166" s="4"/>
      <c r="P166" s="4"/>
      <c r="Q166" s="4"/>
      <c r="R166" s="4"/>
      <c r="S166" s="4"/>
      <c r="T166" s="4"/>
      <c r="U166" s="4"/>
      <c r="V166" s="4"/>
      <c r="W166" s="4"/>
      <c r="X166" s="4"/>
      <c r="Y166" s="4"/>
      <c r="Z166" s="4"/>
      <c r="AA166" s="4">
        <f>IFERROR(__xludf.DUMMYFUNCTION("""COMPUTED_VALUE"""),12.0)</f>
        <v>12</v>
      </c>
      <c r="AB166" s="4" t="str">
        <f>IFERROR(__xludf.DUMMYFUNCTION("""COMPUTED_VALUE"""),"-")</f>
        <v>-</v>
      </c>
      <c r="AC166" s="4" t="str">
        <f>IFERROR(__xludf.DUMMYFUNCTION("""COMPUTED_VALUE"""),"Sim")</f>
        <v>Sim</v>
      </c>
      <c r="AD166" s="4">
        <f>IFERROR(__xludf.DUMMYFUNCTION("""COMPUTED_VALUE"""),0.0)</f>
        <v>0</v>
      </c>
      <c r="AE166" s="4"/>
      <c r="AF166" s="4"/>
      <c r="AG166" s="4"/>
      <c r="AH166" s="4"/>
      <c r="AI166" s="4"/>
      <c r="AJ166" s="4"/>
      <c r="AK166" s="4"/>
      <c r="AL166" s="4"/>
      <c r="AM166" s="4" t="str">
        <f>IFERROR(__xludf.DUMMYFUNCTION("""COMPUTED_VALUE"""),"FY27")</f>
        <v>FY27</v>
      </c>
      <c r="AN166" s="4"/>
      <c r="AO166" s="4">
        <f>IFERROR(__xludf.DUMMYFUNCTION("""COMPUTED_VALUE"""),45553.0)</f>
        <v>45553</v>
      </c>
      <c r="AP166" s="4" t="str">
        <f>IFERROR(__xludf.DUMMYFUNCTION("""COMPUTED_VALUE"""),"SC")</f>
        <v>SC</v>
      </c>
      <c r="AQ166" s="4" t="str">
        <f>IFERROR(__xludf.DUMMYFUNCTION("""COMPUTED_VALUE"""),"PAULA VERDASCA")</f>
        <v>PAULA VERDASCA</v>
      </c>
      <c r="AR166" s="4" t="str">
        <f>IFERROR(__xludf.DUMMYFUNCTION("""COMPUTED_VALUE"""),"BARBOSA FABIO")</f>
        <v>BARBOSA FABIO</v>
      </c>
      <c r="AS166" s="4" t="str">
        <f>IFERROR(__xludf.DUMMYFUNCTION("""COMPUTED_VALUE"""),"FABIO DONATO")</f>
        <v>FABIO DONATO</v>
      </c>
      <c r="AT166" s="4" t="str">
        <f>IFERROR(__xludf.DUMMYFUNCTION("""COMPUTED_VALUE"""),"MURILO NAGASHIMA")</f>
        <v>MURILO NAGASHIMA</v>
      </c>
      <c r="AU166" s="4">
        <f>IFERROR(__xludf.DUMMYFUNCTION("""COMPUTED_VALUE"""),0.0)</f>
        <v>0</v>
      </c>
      <c r="AV166" s="4">
        <f>IFERROR(__xludf.DUMMYFUNCTION("""COMPUTED_VALUE"""),0.0)</f>
        <v>0</v>
      </c>
      <c r="AW166" s="4">
        <f>IFERROR(__xludf.DUMMYFUNCTION("""COMPUTED_VALUE"""),0.0)</f>
        <v>0</v>
      </c>
      <c r="AX166" s="4">
        <f>IFERROR(__xludf.DUMMYFUNCTION("""COMPUTED_VALUE"""),0.0)</f>
        <v>0</v>
      </c>
      <c r="AY166" s="4"/>
      <c r="AZ166" s="4" t="str">
        <f>IFERROR(__xludf.DUMMYFUNCTION("""COMPUTED_VALUE"""),"Saudável")</f>
        <v>Saudável</v>
      </c>
      <c r="BA166" s="4">
        <f>IFERROR(__xludf.DUMMYFUNCTION("""COMPUTED_VALUE"""),74.0)</f>
        <v>74</v>
      </c>
      <c r="BB166" s="4" t="str">
        <f>IFERROR(__xludf.DUMMYFUNCTION("""COMPUTED_VALUE"""),"Fast Casual - Japonesa")</f>
        <v>Fast Casual - Japonesa</v>
      </c>
      <c r="BC166" s="4" t="str">
        <f>IFERROR(__xludf.DUMMYFUNCTION("""COMPUTED_VALUE"""),"Interior SP")</f>
        <v>Interior SP</v>
      </c>
      <c r="BD166" s="4" t="str">
        <f>IFERROR(__xludf.DUMMYFUNCTION("""COMPUTED_VALUE"""),"Dado não disponível publicamente - Necessário Discovery")</f>
        <v>Dado não disponível publicamente - Necessário Discovery</v>
      </c>
      <c r="BE166" s="4">
        <f>IFERROR(__xludf.DUMMYFUNCTION("""COMPUTED_VALUE"""),70.0)</f>
        <v>70</v>
      </c>
      <c r="BF166" s="4">
        <f>IFERROR(__xludf.DUMMYFUNCTION("""COMPUTED_VALUE"""),0.75)</f>
        <v>0.75</v>
      </c>
      <c r="BG16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66" s="4" t="s">
        <v>99</v>
      </c>
      <c r="BI166" s="7">
        <v>0.9333333333333333</v>
      </c>
    </row>
    <row r="167" hidden="1">
      <c r="A167" s="4" t="str">
        <f>IFERROR(__xludf.DUMMYFUNCTION("""COMPUTED_VALUE"""),"ORC BURGER JAU")</f>
        <v>ORC BURGER JAU</v>
      </c>
      <c r="B167" s="4" t="str">
        <f>IFERROR(__xludf.DUMMYFUNCTION("""COMPUTED_VALUE"""),"João Biagiotti")</f>
        <v>João Biagiotti</v>
      </c>
      <c r="C167" s="4" t="str">
        <f>IFERROR(__xludf.DUMMYFUNCTION("""COMPUTED_VALUE"""),"Diego Santos")</f>
        <v>Diego Santos</v>
      </c>
      <c r="D167" s="4" t="str">
        <f>IFERROR(__xludf.DUMMYFUNCTION("""COMPUTED_VALUE"""),"2. Primeiro Contato com a marca")</f>
        <v>2. Primeiro Contato com a marca</v>
      </c>
      <c r="E167" s="4" t="str">
        <f>IFERROR(__xludf.DUMMYFUNCTION("""COMPUTED_VALUE"""),"Parceiro - Aguardando retorno parceiro")</f>
        <v>Parceiro - Aguardando retorno parceiro</v>
      </c>
      <c r="F167" s="4" t="str">
        <f>IFERROR(__xludf.DUMMYFUNCTION("""COMPUTED_VALUE"""),"P")</f>
        <v>P</v>
      </c>
      <c r="G167" s="5">
        <f>IFERROR(__xludf.DUMMYFUNCTION("""COMPUTED_VALUE"""),46135.0)</f>
        <v>46135</v>
      </c>
      <c r="H167" s="4" t="str">
        <f>IFERROR(__xludf.DUMMYFUNCTION("""COMPUTED_VALUE"""),"FUP - Aguardando retorno do parceiro")</f>
        <v>FUP - Aguardando retorno do parceiro</v>
      </c>
      <c r="I167" s="6">
        <f>IFERROR(__xludf.DUMMYFUNCTION("""COMPUTED_VALUE"""),46122.624023553246)</f>
        <v>46122.62402</v>
      </c>
      <c r="J167" s="6">
        <f>IFERROR(__xludf.DUMMYFUNCTION("""COMPUTED_VALUE"""),46129.5049184838)</f>
        <v>46129.50492</v>
      </c>
      <c r="K167" s="4"/>
      <c r="L167" s="4"/>
      <c r="M167" s="4"/>
      <c r="N167" s="4"/>
      <c r="O167" s="4"/>
      <c r="P167" s="4"/>
      <c r="Q167" s="4"/>
      <c r="R167" s="4"/>
      <c r="S167" s="4"/>
      <c r="T167" s="4"/>
      <c r="U167" s="4"/>
      <c r="V167" s="4"/>
      <c r="W167" s="4"/>
      <c r="X167" s="4"/>
      <c r="Y167" s="4"/>
      <c r="Z167" s="4"/>
      <c r="AA167" s="4">
        <f>IFERROR(__xludf.DUMMYFUNCTION("""COMPUTED_VALUE"""),15.0)</f>
        <v>15</v>
      </c>
      <c r="AB167" s="4" t="str">
        <f>IFERROR(__xludf.DUMMYFUNCTION("""COMPUTED_VALUE"""),"CE")</f>
        <v>CE</v>
      </c>
      <c r="AC167" s="4" t="str">
        <f>IFERROR(__xludf.DUMMYFUNCTION("""COMPUTED_VALUE"""),"Sim")</f>
        <v>Sim</v>
      </c>
      <c r="AD167" s="4">
        <f>IFERROR(__xludf.DUMMYFUNCTION("""COMPUTED_VALUE"""),0.0)</f>
        <v>0</v>
      </c>
      <c r="AE167" s="4"/>
      <c r="AF167" s="4"/>
      <c r="AG167" s="4"/>
      <c r="AH167" s="4"/>
      <c r="AI167" s="4"/>
      <c r="AJ167" s="4"/>
      <c r="AK167" s="4"/>
      <c r="AL167" s="4"/>
      <c r="AM167" s="4" t="str">
        <f>IFERROR(__xludf.DUMMYFUNCTION("""COMPUTED_VALUE"""),"FY27")</f>
        <v>FY27</v>
      </c>
      <c r="AN167" s="4"/>
      <c r="AO167" s="4">
        <f>IFERROR(__xludf.DUMMYFUNCTION("""COMPUTED_VALUE"""),80.0)</f>
        <v>80</v>
      </c>
      <c r="AP167" s="4" t="str">
        <f>IFERROR(__xludf.DUMMYFUNCTION("""COMPUTED_VALUE"""),"SP")</f>
        <v>SP</v>
      </c>
      <c r="AQ167" s="4" t="str">
        <f>IFERROR(__xludf.DUMMYFUNCTION("""COMPUTED_VALUE"""),"RAQUEL BATISTA")</f>
        <v>RAQUEL BATISTA</v>
      </c>
      <c r="AR167" s="4" t="str">
        <f>IFERROR(__xludf.DUMMYFUNCTION("""COMPUTED_VALUE"""),"THACIANE ANDRADE")</f>
        <v>THACIANE ANDRADE</v>
      </c>
      <c r="AS167" s="4" t="str">
        <f>IFERROR(__xludf.DUMMYFUNCTION("""COMPUTED_VALUE"""),"THIAGO ROMAGNOLE")</f>
        <v>THIAGO ROMAGNOLE</v>
      </c>
      <c r="AT167" s="4" t="str">
        <f>IFERROR(__xludf.DUMMYFUNCTION("""COMPUTED_VALUE"""),"BRUNA TASSINARI")</f>
        <v>BRUNA TASSINARI</v>
      </c>
      <c r="AU167" s="4">
        <f>IFERROR(__xludf.DUMMYFUNCTION("""COMPUTED_VALUE"""),0.0)</f>
        <v>0</v>
      </c>
      <c r="AV167" s="4">
        <f>IFERROR(__xludf.DUMMYFUNCTION("""COMPUTED_VALUE"""),0.0)</f>
        <v>0</v>
      </c>
      <c r="AW167" s="4">
        <f>IFERROR(__xludf.DUMMYFUNCTION("""COMPUTED_VALUE"""),0.0)</f>
        <v>0</v>
      </c>
      <c r="AX167" s="4">
        <f>IFERROR(__xludf.DUMMYFUNCTION("""COMPUTED_VALUE"""),0.0)</f>
        <v>0</v>
      </c>
      <c r="AY167" s="4"/>
      <c r="AZ167" s="4" t="str">
        <f>IFERROR(__xludf.DUMMYFUNCTION("""COMPUTED_VALUE"""),"Lanches")</f>
        <v>Lanches</v>
      </c>
      <c r="BA167" s="4" t="str">
        <f>IFERROR(__xludf.DUMMYFUNCTION("""COMPUTED_VALUE"""),"")</f>
        <v/>
      </c>
      <c r="BB167" s="4" t="str">
        <f>IFERROR(__xludf.DUMMYFUNCTION("""COMPUTED_VALUE"""),"")</f>
        <v/>
      </c>
      <c r="BC167" s="4" t="str">
        <f>IFERROR(__xludf.DUMMYFUNCTION("""COMPUTED_VALUE"""),"")</f>
        <v/>
      </c>
      <c r="BD167" s="4" t="str">
        <f>IFERROR(__xludf.DUMMYFUNCTION("""COMPUTED_VALUE"""),"")</f>
        <v/>
      </c>
      <c r="BE167" s="4" t="str">
        <f>IFERROR(__xludf.DUMMYFUNCTION("""COMPUTED_VALUE"""),"")</f>
        <v/>
      </c>
      <c r="BF167" s="4" t="str">
        <f>IFERROR(__xludf.DUMMYFUNCTION("""COMPUTED_VALUE"""),"")</f>
        <v/>
      </c>
      <c r="BG167" s="4" t="str">
        <f>IFERROR(__xludf.DUMMYFUNCTION("""COMPUTED_VALUE"""),"")</f>
        <v/>
      </c>
      <c r="BH167" s="4" t="s">
        <v>63</v>
      </c>
      <c r="BI167" s="7" t="s">
        <v>63</v>
      </c>
    </row>
    <row r="168" hidden="1">
      <c r="A168" s="4" t="str">
        <f>IFERROR(__xludf.DUMMYFUNCTION("""COMPUTED_VALUE"""),"PADARIA MONZA")</f>
        <v>PADARIA MONZA</v>
      </c>
      <c r="B168" s="4" t="str">
        <f>IFERROR(__xludf.DUMMYFUNCTION("""COMPUTED_VALUE"""),"Lídia Esteves")</f>
        <v>Lídia Esteves</v>
      </c>
      <c r="C168" s="4" t="str">
        <f>IFERROR(__xludf.DUMMYFUNCTION("""COMPUTED_VALUE"""),"Gabriela Roma")</f>
        <v>Gabriela Roma</v>
      </c>
      <c r="D168" s="4" t="str">
        <f>IFERROR(__xludf.DUMMYFUNCTION("""COMPUTED_VALUE"""),"0. Não Iniciado")</f>
        <v>0. Não Iniciado</v>
      </c>
      <c r="E168" s="4"/>
      <c r="F168" s="4" t="str">
        <f>IFERROR(__xludf.DUMMYFUNCTION("""COMPUTED_VALUE"""),"P")</f>
        <v>P</v>
      </c>
      <c r="G168" s="4"/>
      <c r="H168" s="4"/>
      <c r="I168" s="4"/>
      <c r="J168" s="4"/>
      <c r="K168" s="4"/>
      <c r="L168" s="4"/>
      <c r="M168" s="4"/>
      <c r="N168" s="4"/>
      <c r="O168" s="4"/>
      <c r="P168" s="4"/>
      <c r="Q168" s="4"/>
      <c r="R168" s="4"/>
      <c r="S168" s="4"/>
      <c r="T168" s="4"/>
      <c r="U168" s="4"/>
      <c r="V168" s="4"/>
      <c r="W168" s="4"/>
      <c r="X168" s="4"/>
      <c r="Y168" s="4"/>
      <c r="Z168" s="4"/>
      <c r="AA168" s="4">
        <f>IFERROR(__xludf.DUMMYFUNCTION("""COMPUTED_VALUE"""),10.0)</f>
        <v>10</v>
      </c>
      <c r="AB168" s="4" t="str">
        <f>IFERROR(__xludf.DUMMYFUNCTION("""COMPUTED_VALUE"""),"CE")</f>
        <v>CE</v>
      </c>
      <c r="AC168" s="4" t="str">
        <f>IFERROR(__xludf.DUMMYFUNCTION("""COMPUTED_VALUE"""),"Sim")</f>
        <v>Sim</v>
      </c>
      <c r="AD168" s="4" t="str">
        <f>IFERROR(__xludf.DUMMYFUNCTION("""COMPUTED_VALUE"""),"Ifood")</f>
        <v>Ifood</v>
      </c>
      <c r="AE168" s="4"/>
      <c r="AF168" s="4"/>
      <c r="AG168" s="4"/>
      <c r="AH168" s="4"/>
      <c r="AI168" s="4"/>
      <c r="AJ168" s="4"/>
      <c r="AK168" s="4"/>
      <c r="AL168" s="4"/>
      <c r="AM168" s="4" t="str">
        <f>IFERROR(__xludf.DUMMYFUNCTION("""COMPUTED_VALUE"""),"FY27")</f>
        <v>FY27</v>
      </c>
      <c r="AN168" s="4"/>
      <c r="AO168" s="4">
        <f>IFERROR(__xludf.DUMMYFUNCTION("""COMPUTED_VALUE"""),45553.0)</f>
        <v>45553</v>
      </c>
      <c r="AP168" s="4" t="str">
        <f>IFERROR(__xludf.DUMMYFUNCTION("""COMPUTED_VALUE"""),"ES")</f>
        <v>ES</v>
      </c>
      <c r="AQ168" s="4" t="str">
        <f>IFERROR(__xludf.DUMMYFUNCTION("""COMPUTED_VALUE"""),"CAROLINY LEBARCK")</f>
        <v>CAROLINY LEBARCK</v>
      </c>
      <c r="AR168" s="4" t="str">
        <f>IFERROR(__xludf.DUMMYFUNCTION("""COMPUTED_VALUE"""),"ANA SERRANO")</f>
        <v>ANA SERRANO</v>
      </c>
      <c r="AS168" s="4" t="str">
        <f>IFERROR(__xludf.DUMMYFUNCTION("""COMPUTED_VALUE"""),"FABIO DONATO")</f>
        <v>FABIO DONATO</v>
      </c>
      <c r="AT168" s="4" t="str">
        <f>IFERROR(__xludf.DUMMYFUNCTION("""COMPUTED_VALUE"""),"GILSON JUNIOR")</f>
        <v>GILSON JUNIOR</v>
      </c>
      <c r="AU168" s="4">
        <f>IFERROR(__xludf.DUMMYFUNCTION("""COMPUTED_VALUE"""),0.0)</f>
        <v>0</v>
      </c>
      <c r="AV168" s="4">
        <f>IFERROR(__xludf.DUMMYFUNCTION("""COMPUTED_VALUE"""),0.0)</f>
        <v>0</v>
      </c>
      <c r="AW168" s="4">
        <f>IFERROR(__xludf.DUMMYFUNCTION("""COMPUTED_VALUE"""),0.0)</f>
        <v>0</v>
      </c>
      <c r="AX168" s="4">
        <f>IFERROR(__xludf.DUMMYFUNCTION("""COMPUTED_VALUE"""),0.0)</f>
        <v>0</v>
      </c>
      <c r="AY168" s="4"/>
      <c r="AZ168" s="4" t="str">
        <f>IFERROR(__xludf.DUMMYFUNCTION("""COMPUTED_VALUE"""),"Padaria")</f>
        <v>Padaria</v>
      </c>
      <c r="BA168" s="4">
        <f>IFERROR(__xludf.DUMMYFUNCTION("""COMPUTED_VALUE"""),48.0)</f>
        <v>48</v>
      </c>
      <c r="BB168" s="4" t="str">
        <f>IFERROR(__xludf.DUMMYFUNCTION("""COMPUTED_VALUE"""),"Varejo - Padaria")</f>
        <v>Varejo - Padaria</v>
      </c>
      <c r="BC168" s="4" t="str">
        <f>IFERROR(__xludf.DUMMYFUNCTION("""COMPUTED_VALUE"""),"Sul")</f>
        <v>Sul</v>
      </c>
      <c r="BD168" s="4" t="str">
        <f>IFERROR(__xludf.DUMMYFUNCTION("""COMPUTED_VALUE"""),"Dado não disponível publicamente - Necessário Discovery")</f>
        <v>Dado não disponível publicamente - Necessário Discovery</v>
      </c>
      <c r="BE168" s="4">
        <f>IFERROR(__xludf.DUMMYFUNCTION("""COMPUTED_VALUE"""),40.0)</f>
        <v>40</v>
      </c>
      <c r="BF168" s="4">
        <f>IFERROR(__xludf.DUMMYFUNCTION("""COMPUTED_VALUE"""),0.5)</f>
        <v>0.5</v>
      </c>
      <c r="BG168"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168" s="4" t="s">
        <v>63</v>
      </c>
      <c r="BI168" s="7" t="s">
        <v>63</v>
      </c>
    </row>
    <row r="169" hidden="1">
      <c r="A169" s="4" t="str">
        <f>IFERROR(__xludf.DUMMYFUNCTION("""COMPUTED_VALUE"""),"PANELAO DO NORTE")</f>
        <v>PANELAO DO NORTE</v>
      </c>
      <c r="B169" s="4" t="str">
        <f>IFERROR(__xludf.DUMMYFUNCTION("""COMPUTED_VALUE"""),"João Biagiotti")</f>
        <v>João Biagiotti</v>
      </c>
      <c r="C169" s="4" t="str">
        <f>IFERROR(__xludf.DUMMYFUNCTION("""COMPUTED_VALUE"""),"Diego Santos")</f>
        <v>Diego Santos</v>
      </c>
      <c r="D169" s="4" t="str">
        <f>IFERROR(__xludf.DUMMYFUNCTION("""COMPUTED_VALUE"""),"10. Perdido")</f>
        <v>10. Perdido</v>
      </c>
      <c r="E169" s="4" t="str">
        <f>IFERROR(__xludf.DUMMYFUNCTION("""COMPUTED_VALUE"""),"Perdido - Outro (detalhar ao lado)")</f>
        <v>Perdido - Outro (detalhar ao lado)</v>
      </c>
      <c r="F169" s="4" t="str">
        <f>IFERROR(__xludf.DUMMYFUNCTION("""COMPUTED_VALUE"""),"P")</f>
        <v>P</v>
      </c>
      <c r="G169" s="5">
        <f>IFERROR(__xludf.DUMMYFUNCTION("""COMPUTED_VALUE"""),46120.0)</f>
        <v>46120</v>
      </c>
      <c r="H169" s="4" t="str">
        <f>IFERROR(__xludf.DUMMYFUNCTION("""COMPUTED_VALUE"""),"Erika informou que a marca possui 3 lojas fisicas e esta abrindo 2 DK, nas lojas fisicas acabaram de fechar colibri e nas DK estão em negociação com a SAIPOS ")</f>
        <v>Erika informou que a marca possui 3 lojas fisicas e esta abrindo 2 DK, nas lojas fisicas acabaram de fechar colibri e nas DK estão em negociação com a SAIPOS </v>
      </c>
      <c r="I169" s="6">
        <f>IFERROR(__xludf.DUMMYFUNCTION("""COMPUTED_VALUE"""),46120.44102362268)</f>
        <v>46120.44102</v>
      </c>
      <c r="J169" s="4"/>
      <c r="K169" s="4"/>
      <c r="L169" s="4"/>
      <c r="M169" s="4"/>
      <c r="N169" s="4"/>
      <c r="O169" s="4"/>
      <c r="P169" s="4"/>
      <c r="Q169" s="4"/>
      <c r="R169" s="6">
        <f>IFERROR(__xludf.DUMMYFUNCTION("""COMPUTED_VALUE"""),46120.44231458333)</f>
        <v>46120.44231</v>
      </c>
      <c r="S169" s="4"/>
      <c r="T169" s="4"/>
      <c r="U169" s="4"/>
      <c r="V169" s="4" t="str">
        <f>IFERROR(__xludf.DUMMYFUNCTION("""COMPUTED_VALUE"""),"Fechou com concorrente há pouco tempo")</f>
        <v>Fechou com concorrente há pouco tempo</v>
      </c>
      <c r="W169" s="4"/>
      <c r="X169" s="4"/>
      <c r="Y169" s="4"/>
      <c r="Z169" s="4"/>
      <c r="AA169" s="4">
        <f>IFERROR(__xludf.DUMMYFUNCTION("""COMPUTED_VALUE"""),10.0)</f>
        <v>10</v>
      </c>
      <c r="AB169" s="4" t="str">
        <f>IFERROR(__xludf.DUMMYFUNCTION("""COMPUTED_VALUE"""),"CE")</f>
        <v>CE</v>
      </c>
      <c r="AC169" s="4" t="str">
        <f>IFERROR(__xludf.DUMMYFUNCTION("""COMPUTED_VALUE"""),"Sim")</f>
        <v>Sim</v>
      </c>
      <c r="AD169" s="4" t="str">
        <f>IFERROR(__xludf.DUMMYFUNCTION("""COMPUTED_VALUE"""),"Ifood")</f>
        <v>Ifood</v>
      </c>
      <c r="AE169" s="4"/>
      <c r="AF169" s="4"/>
      <c r="AG169" s="4"/>
      <c r="AH169" s="4">
        <f>IFERROR(__xludf.DUMMYFUNCTION("""COMPUTED_VALUE"""),3.0)</f>
        <v>3</v>
      </c>
      <c r="AI169" s="4" t="str">
        <f>IFERROR(__xludf.DUMMYFUNCTION("""COMPUTED_VALUE"""),"550k")</f>
        <v>550k</v>
      </c>
      <c r="AJ169" s="4" t="str">
        <f>IFERROR(__xludf.DUMMYFUNCTION("""COMPUTED_VALUE"""),"Colibri / SAIPOS")</f>
        <v>Colibri / SAIPOS</v>
      </c>
      <c r="AK169" s="4" t="str">
        <f>IFERROR(__xludf.DUMMYFUNCTION("""COMPUTED_VALUE"""),"Salão / Delivery")</f>
        <v>Salão / Delivery</v>
      </c>
      <c r="AL169" s="4"/>
      <c r="AM169" s="4" t="str">
        <f>IFERROR(__xludf.DUMMYFUNCTION("""COMPUTED_VALUE"""),"FY27")</f>
        <v>FY27</v>
      </c>
      <c r="AN169" s="4"/>
      <c r="AO169" s="4">
        <f>IFERROR(__xludf.DUMMYFUNCTION("""COMPUTED_VALUE"""),95.0)</f>
        <v>95</v>
      </c>
      <c r="AP169" s="4" t="str">
        <f>IFERROR(__xludf.DUMMYFUNCTION("""COMPUTED_VALUE"""),"SP")</f>
        <v>SP</v>
      </c>
      <c r="AQ169" s="4" t="str">
        <f>IFERROR(__xludf.DUMMYFUNCTION("""COMPUTED_VALUE"""),"GABRIEL CAMACHO")</f>
        <v>GABRIEL CAMACHO</v>
      </c>
      <c r="AR169" s="4" t="str">
        <f>IFERROR(__xludf.DUMMYFUNCTION("""COMPUTED_VALUE"""),"ERIKA NASCIMENTO")</f>
        <v>ERIKA NASCIMENTO</v>
      </c>
      <c r="AS169" s="4" t="str">
        <f>IFERROR(__xludf.DUMMYFUNCTION("""COMPUTED_VALUE"""),"NATHALIE MERTENS")</f>
        <v>NATHALIE MERTENS</v>
      </c>
      <c r="AT169" s="4" t="str">
        <f>IFERROR(__xludf.DUMMYFUNCTION("""COMPUTED_VALUE"""),"MATHEUS LESSA")</f>
        <v>MATHEUS LESSA</v>
      </c>
      <c r="AU169" s="4">
        <f>IFERROR(__xludf.DUMMYFUNCTION("""COMPUTED_VALUE"""),0.0)</f>
        <v>0</v>
      </c>
      <c r="AV169" s="4">
        <f>IFERROR(__xludf.DUMMYFUNCTION("""COMPUTED_VALUE"""),0.0)</f>
        <v>0</v>
      </c>
      <c r="AW169" s="4">
        <f>IFERROR(__xludf.DUMMYFUNCTION("""COMPUTED_VALUE"""),0.0)</f>
        <v>0</v>
      </c>
      <c r="AX169" s="4">
        <f>IFERROR(__xludf.DUMMYFUNCTION("""COMPUTED_VALUE"""),0.0)</f>
        <v>0</v>
      </c>
      <c r="AY169" s="4"/>
      <c r="AZ169" s="4" t="str">
        <f>IFERROR(__xludf.DUMMYFUNCTION("""COMPUTED_VALUE"""),"Brasileira")</f>
        <v>Brasileira</v>
      </c>
      <c r="BA169" s="4" t="str">
        <f>IFERROR(__xludf.DUMMYFUNCTION("""COMPUTED_VALUE"""),"")</f>
        <v/>
      </c>
      <c r="BB169" s="4" t="str">
        <f>IFERROR(__xludf.DUMMYFUNCTION("""COMPUTED_VALUE"""),"")</f>
        <v/>
      </c>
      <c r="BC169" s="4" t="str">
        <f>IFERROR(__xludf.DUMMYFUNCTION("""COMPUTED_VALUE"""),"")</f>
        <v/>
      </c>
      <c r="BD169" s="4" t="str">
        <f>IFERROR(__xludf.DUMMYFUNCTION("""COMPUTED_VALUE"""),"")</f>
        <v/>
      </c>
      <c r="BE169" s="4" t="str">
        <f>IFERROR(__xludf.DUMMYFUNCTION("""COMPUTED_VALUE"""),"")</f>
        <v/>
      </c>
      <c r="BF169" s="4" t="str">
        <f>IFERROR(__xludf.DUMMYFUNCTION("""COMPUTED_VALUE"""),"")</f>
        <v/>
      </c>
      <c r="BG169" s="4" t="str">
        <f>IFERROR(__xludf.DUMMYFUNCTION("""COMPUTED_VALUE"""),"")</f>
        <v/>
      </c>
      <c r="BH169" s="4" t="s">
        <v>74</v>
      </c>
      <c r="BI169" s="7">
        <v>0.5555555555555556</v>
      </c>
    </row>
    <row r="170" hidden="1">
      <c r="A170" s="4" t="str">
        <f>IFERROR(__xludf.DUMMYFUNCTION("""COMPUTED_VALUE"""),"PAPPARELLA PIZZARIA")</f>
        <v>PAPPARELLA PIZZARIA</v>
      </c>
      <c r="B170" s="4" t="str">
        <f>IFERROR(__xludf.DUMMYFUNCTION("""COMPUTED_VALUE"""),"Lídia Esteves")</f>
        <v>Lídia Esteves</v>
      </c>
      <c r="C170" s="4" t="str">
        <f>IFERROR(__xludf.DUMMYFUNCTION("""COMPUTED_VALUE"""),"Gabriela Roma")</f>
        <v>Gabriela Roma</v>
      </c>
      <c r="D170" s="4" t="str">
        <f>IFERROR(__xludf.DUMMYFUNCTION("""COMPUTED_VALUE"""),"11. Stand by")</f>
        <v>11. Stand by</v>
      </c>
      <c r="E170" s="4" t="str">
        <f>IFERROR(__xludf.DUMMYFUNCTION("""COMPUTED_VALUE"""),"Parceiro - Aguardando retorno parceiro")</f>
        <v>Parceiro - Aguardando retorno parceiro</v>
      </c>
      <c r="F170" s="4" t="str">
        <f>IFERROR(__xludf.DUMMYFUNCTION("""COMPUTED_VALUE"""),"P")</f>
        <v>P</v>
      </c>
      <c r="G170" s="5">
        <f>IFERROR(__xludf.DUMMYFUNCTION("""COMPUTED_VALUE"""),46154.0)</f>
        <v>46154</v>
      </c>
      <c r="H170" s="4" t="str">
        <f>IFERROR(__xludf.DUMMYFUNCTION("""COMPUTED_VALUE"""),"Parceiro mora fora do Brasil e tem uma loja em Miami, se interessou no nosso pdv mas não teve interesse em mudar no momento, disse que por não estar no BR é uma mudança muito dificil.")</f>
        <v>Parceiro mora fora do Brasil e tem uma loja em Miami, se interessou no nosso pdv mas não teve interesse em mudar no momento, disse que por não estar no BR é uma mudança muito dificil.</v>
      </c>
      <c r="I170" s="6">
        <f>IFERROR(__xludf.DUMMYFUNCTION("""COMPUTED_VALUE"""),46113.7005653125)</f>
        <v>46113.70057</v>
      </c>
      <c r="J170" s="6">
        <f>IFERROR(__xludf.DUMMYFUNCTION("""COMPUTED_VALUE"""),46113.7005653125)</f>
        <v>46113.70057</v>
      </c>
      <c r="K170" s="6">
        <f>IFERROR(__xludf.DUMMYFUNCTION("""COMPUTED_VALUE"""),46113.700603171295)</f>
        <v>46113.7006</v>
      </c>
      <c r="L170" s="6">
        <f>IFERROR(__xludf.DUMMYFUNCTION("""COMPUTED_VALUE"""),46113.70064196759)</f>
        <v>46113.70064</v>
      </c>
      <c r="M170" s="6">
        <f>IFERROR(__xludf.DUMMYFUNCTION("""COMPUTED_VALUE"""),46113.700685185184)</f>
        <v>46113.70069</v>
      </c>
      <c r="N170" s="6">
        <f>IFERROR(__xludf.DUMMYFUNCTION("""COMPUTED_VALUE"""),46114.43241414352)</f>
        <v>46114.43241</v>
      </c>
      <c r="O170" s="4"/>
      <c r="P170" s="4"/>
      <c r="Q170" s="4"/>
      <c r="R170" s="4"/>
      <c r="S170" s="6">
        <f>IFERROR(__xludf.DUMMYFUNCTION("""COMPUTED_VALUE"""),46154.438361782406)</f>
        <v>46154.43836</v>
      </c>
      <c r="T170" s="4"/>
      <c r="U170" s="4"/>
      <c r="V170" s="4" t="str">
        <f>IFERROR(__xludf.DUMMYFUNCTION("""COMPUTED_VALUE"""),"Sem interesse em mudar de PDV")</f>
        <v>Sem interesse em mudar de PDV</v>
      </c>
      <c r="W170" s="4"/>
      <c r="X170" s="4"/>
      <c r="Y170" s="4"/>
      <c r="Z170" s="4"/>
      <c r="AA170" s="4">
        <f>IFERROR(__xludf.DUMMYFUNCTION("""COMPUTED_VALUE"""),11.0)</f>
        <v>11</v>
      </c>
      <c r="AB170" s="4" t="str">
        <f>IFERROR(__xludf.DUMMYFUNCTION("""COMPUTED_VALUE"""),"CE")</f>
        <v>CE</v>
      </c>
      <c r="AC170" s="4" t="str">
        <f>IFERROR(__xludf.DUMMYFUNCTION("""COMPUTED_VALUE"""),"Sim")</f>
        <v>Sim</v>
      </c>
      <c r="AD170" s="4">
        <f>IFERROR(__xludf.DUMMYFUNCTION("""COMPUTED_VALUE"""),0.0)</f>
        <v>0</v>
      </c>
      <c r="AE170" s="4"/>
      <c r="AF170" s="4"/>
      <c r="AG170" s="4"/>
      <c r="AH170" s="4"/>
      <c r="AI170" s="4"/>
      <c r="AJ170" s="4"/>
      <c r="AK170" s="4"/>
      <c r="AL170" s="4"/>
      <c r="AM170" s="4" t="str">
        <f>IFERROR(__xludf.DUMMYFUNCTION("""COMPUTED_VALUE"""),"FY27")</f>
        <v>FY27</v>
      </c>
      <c r="AN170" s="4"/>
      <c r="AO170" s="4">
        <f>IFERROR(__xludf.DUMMYFUNCTION("""COMPUTED_VALUE"""),61.0)</f>
        <v>61</v>
      </c>
      <c r="AP170" s="4" t="str">
        <f>IFERROR(__xludf.DUMMYFUNCTION("""COMPUTED_VALUE"""),"SC")</f>
        <v>SC</v>
      </c>
      <c r="AQ170" s="4" t="str">
        <f>IFERROR(__xludf.DUMMYFUNCTION("""COMPUTED_VALUE"""),"BIANCA COUTINHO")</f>
        <v>BIANCA COUTINHO</v>
      </c>
      <c r="AR170" s="4" t="str">
        <f>IFERROR(__xludf.DUMMYFUNCTION("""COMPUTED_VALUE"""),"SHEILA KELLER")</f>
        <v>SHEILA KELLER</v>
      </c>
      <c r="AS170" s="4" t="str">
        <f>IFERROR(__xludf.DUMMYFUNCTION("""COMPUTED_VALUE"""),"FABIO DONATO")</f>
        <v>FABIO DONATO</v>
      </c>
      <c r="AT170" s="4" t="str">
        <f>IFERROR(__xludf.DUMMYFUNCTION("""COMPUTED_VALUE"""),"CAMILA HOLANDA")</f>
        <v>CAMILA HOLANDA</v>
      </c>
      <c r="AU170" s="4">
        <f>IFERROR(__xludf.DUMMYFUNCTION("""COMPUTED_VALUE"""),0.0)</f>
        <v>0</v>
      </c>
      <c r="AV170" s="4">
        <f>IFERROR(__xludf.DUMMYFUNCTION("""COMPUTED_VALUE"""),0.0)</f>
        <v>0</v>
      </c>
      <c r="AW170" s="4">
        <f>IFERROR(__xludf.DUMMYFUNCTION("""COMPUTED_VALUE"""),0.0)</f>
        <v>0</v>
      </c>
      <c r="AX170" s="4">
        <f>IFERROR(__xludf.DUMMYFUNCTION("""COMPUTED_VALUE"""),0.0)</f>
        <v>0</v>
      </c>
      <c r="AY170" s="4"/>
      <c r="AZ170" s="4" t="str">
        <f>IFERROR(__xludf.DUMMYFUNCTION("""COMPUTED_VALUE"""),"Cafeteria")</f>
        <v>Cafeteria</v>
      </c>
      <c r="BA170" s="4">
        <f>IFERROR(__xludf.DUMMYFUNCTION("""COMPUTED_VALUE"""),64.0)</f>
        <v>64</v>
      </c>
      <c r="BB170" s="4" t="str">
        <f>IFERROR(__xludf.DUMMYFUNCTION("""COMPUTED_VALUE"""),"Fast Casual - Pizzaria")</f>
        <v>Fast Casual - Pizzaria</v>
      </c>
      <c r="BC170" s="4" t="str">
        <f>IFERROR(__xludf.DUMMYFUNCTION("""COMPUTED_VALUE"""),"Interior SP")</f>
        <v>Interior SP</v>
      </c>
      <c r="BD170" s="4" t="str">
        <f>IFERROR(__xludf.DUMMYFUNCTION("""COMPUTED_VALUE"""),"Dado não disponível publicamente - Necessário Discovery")</f>
        <v>Dado não disponível publicamente - Necessário Discovery</v>
      </c>
      <c r="BE170" s="4">
        <f>IFERROR(__xludf.DUMMYFUNCTION("""COMPUTED_VALUE"""),65.0)</f>
        <v>65</v>
      </c>
      <c r="BF170" s="4">
        <f>IFERROR(__xludf.DUMMYFUNCTION("""COMPUTED_VALUE"""),0.75)</f>
        <v>0.75</v>
      </c>
      <c r="BG17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70" s="4" t="s">
        <v>69</v>
      </c>
      <c r="BI170" s="7">
        <v>0.6666666666666666</v>
      </c>
    </row>
    <row r="171" hidden="1">
      <c r="A171" s="4" t="str">
        <f>IFERROR(__xludf.DUMMYFUNCTION("""COMPUTED_VALUE"""),"PARMEGIANNO")</f>
        <v>PARMEGIANNO</v>
      </c>
      <c r="B171" s="4" t="str">
        <f>IFERROR(__xludf.DUMMYFUNCTION("""COMPUTED_VALUE"""),"João Biagiotti")</f>
        <v>João Biagiotti</v>
      </c>
      <c r="C171" s="4" t="str">
        <f>IFERROR(__xludf.DUMMYFUNCTION("""COMPUTED_VALUE"""),"Diego Santos")</f>
        <v>Diego Santos</v>
      </c>
      <c r="D171" s="4" t="str">
        <f>IFERROR(__xludf.DUMMYFUNCTION("""COMPUTED_VALUE"""),"0. Não Iniciado")</f>
        <v>0. Não Iniciado</v>
      </c>
      <c r="E171" s="4"/>
      <c r="F171" s="4" t="str">
        <f>IFERROR(__xludf.DUMMYFUNCTION("""COMPUTED_VALUE"""),"P")</f>
        <v>P</v>
      </c>
      <c r="G171" s="4"/>
      <c r="H171" s="4"/>
      <c r="I171" s="4"/>
      <c r="J171" s="4"/>
      <c r="K171" s="4"/>
      <c r="L171" s="4"/>
      <c r="M171" s="4"/>
      <c r="N171" s="4"/>
      <c r="O171" s="4"/>
      <c r="P171" s="4"/>
      <c r="Q171" s="4"/>
      <c r="R171" s="4"/>
      <c r="S171" s="4"/>
      <c r="T171" s="4"/>
      <c r="U171" s="4"/>
      <c r="V171" s="4"/>
      <c r="W171" s="4"/>
      <c r="X171" s="4"/>
      <c r="Y171" s="4"/>
      <c r="Z171" s="4"/>
      <c r="AA171" s="4">
        <f>IFERROR(__xludf.DUMMYFUNCTION("""COMPUTED_VALUE"""),12.0)</f>
        <v>12</v>
      </c>
      <c r="AB171" s="4" t="str">
        <f>IFERROR(__xludf.DUMMYFUNCTION("""COMPUTED_VALUE"""),"CE")</f>
        <v>CE</v>
      </c>
      <c r="AC171" s="4" t="str">
        <f>IFERROR(__xludf.DUMMYFUNCTION("""COMPUTED_VALUE"""),"Sim")</f>
        <v>Sim</v>
      </c>
      <c r="AD171" s="4" t="str">
        <f>IFERROR(__xludf.DUMMYFUNCTION("""COMPUTED_VALUE"""),"3a Solution")</f>
        <v>3a Solution</v>
      </c>
      <c r="AE171" s="4"/>
      <c r="AF171" s="4"/>
      <c r="AG171" s="4"/>
      <c r="AH171" s="4"/>
      <c r="AI171" s="4"/>
      <c r="AJ171" s="4"/>
      <c r="AK171" s="4"/>
      <c r="AL171" s="4"/>
      <c r="AM171" s="4" t="str">
        <f>IFERROR(__xludf.DUMMYFUNCTION("""COMPUTED_VALUE"""),"FY27")</f>
        <v>FY27</v>
      </c>
      <c r="AN171" s="4"/>
      <c r="AO171" s="4">
        <f>IFERROR(__xludf.DUMMYFUNCTION("""COMPUTED_VALUE"""),45553.0)</f>
        <v>45553</v>
      </c>
      <c r="AP171" s="4" t="str">
        <f>IFERROR(__xludf.DUMMYFUNCTION("""COMPUTED_VALUE"""),"AL")</f>
        <v>AL</v>
      </c>
      <c r="AQ171" s="4" t="str">
        <f>IFERROR(__xludf.DUMMYFUNCTION("""COMPUTED_VALUE"""),"MARCELO ESTEVES")</f>
        <v>MARCELO ESTEVES</v>
      </c>
      <c r="AR171" s="4" t="str">
        <f>IFERROR(__xludf.DUMMYFUNCTION("""COMPUTED_VALUE"""),"ROMANE PEIXOTO")</f>
        <v>ROMANE PEIXOTO</v>
      </c>
      <c r="AS171" s="4" t="str">
        <f>IFERROR(__xludf.DUMMYFUNCTION("""COMPUTED_VALUE"""),"THIAGO ROMAGNOLE")</f>
        <v>THIAGO ROMAGNOLE</v>
      </c>
      <c r="AT171" s="4" t="str">
        <f>IFERROR(__xludf.DUMMYFUNCTION("""COMPUTED_VALUE"""),"ANDERSON LAUREANO")</f>
        <v>ANDERSON LAUREANO</v>
      </c>
      <c r="AU171" s="4">
        <f>IFERROR(__xludf.DUMMYFUNCTION("""COMPUTED_VALUE"""),0.0)</f>
        <v>0</v>
      </c>
      <c r="AV171" s="4">
        <f>IFERROR(__xludf.DUMMYFUNCTION("""COMPUTED_VALUE"""),0.0)</f>
        <v>0</v>
      </c>
      <c r="AW171" s="4">
        <f>IFERROR(__xludf.DUMMYFUNCTION("""COMPUTED_VALUE"""),0.0)</f>
        <v>0</v>
      </c>
      <c r="AX171" s="4">
        <f>IFERROR(__xludf.DUMMYFUNCTION("""COMPUTED_VALUE"""),0.0)</f>
        <v>0</v>
      </c>
      <c r="AY171" s="4"/>
      <c r="AZ171" s="4" t="str">
        <f>IFERROR(__xludf.DUMMYFUNCTION("""COMPUTED_VALUE"""),"Brasileira")</f>
        <v>Brasileira</v>
      </c>
      <c r="BA171" s="4">
        <f>IFERROR(__xludf.DUMMYFUNCTION("""COMPUTED_VALUE"""),56.0)</f>
        <v>56</v>
      </c>
      <c r="BB171" s="4" t="str">
        <f>IFERROR(__xludf.DUMMYFUNCTION("""COMPUTED_VALUE"""),"Fast Casual - Multi-conceito")</f>
        <v>Fast Casual - Multi-conceito</v>
      </c>
      <c r="BC171" s="4" t="str">
        <f>IFERROR(__xludf.DUMMYFUNCTION("""COMPUTED_VALUE"""),"Nordeste")</f>
        <v>Nordeste</v>
      </c>
      <c r="BD171" s="4" t="str">
        <f>IFERROR(__xludf.DUMMYFUNCTION("""COMPUTED_VALUE"""),"Dado não disponível publicamente - Necessário Discovery")</f>
        <v>Dado não disponível publicamente - Necessário Discovery</v>
      </c>
      <c r="BE171" s="4">
        <f>IFERROR(__xludf.DUMMYFUNCTION("""COMPUTED_VALUE"""),70.0)</f>
        <v>70</v>
      </c>
      <c r="BF171" s="4">
        <f>IFERROR(__xludf.DUMMYFUNCTION("""COMPUTED_VALUE"""),0.75)</f>
        <v>0.75</v>
      </c>
      <c r="BG17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71" s="4" t="s">
        <v>107</v>
      </c>
      <c r="BI171" s="7">
        <v>0.6</v>
      </c>
    </row>
    <row r="172" hidden="1">
      <c r="A172" s="4" t="str">
        <f>IFERROR(__xludf.DUMMYFUNCTION("""COMPUTED_VALUE"""),"PASTEIS DE VENTO CIA")</f>
        <v>PASTEIS DE VENTO CIA</v>
      </c>
      <c r="B172" s="4" t="str">
        <f>IFERROR(__xludf.DUMMYFUNCTION("""COMPUTED_VALUE"""),"João Biagiotti")</f>
        <v>João Biagiotti</v>
      </c>
      <c r="C172" s="4" t="str">
        <f>IFERROR(__xludf.DUMMYFUNCTION("""COMPUTED_VALUE"""),"Diego Santos")</f>
        <v>Diego Santos</v>
      </c>
      <c r="D172" s="4" t="str">
        <f>IFERROR(__xludf.DUMMYFUNCTION("""COMPUTED_VALUE"""),"0. Não Iniciado")</f>
        <v>0. Não Iniciado</v>
      </c>
      <c r="E172" s="4"/>
      <c r="F172" s="4" t="str">
        <f>IFERROR(__xludf.DUMMYFUNCTION("""COMPUTED_VALUE"""),"P")</f>
        <v>P</v>
      </c>
      <c r="G172" s="4"/>
      <c r="H172" s="4"/>
      <c r="I172" s="4"/>
      <c r="J172" s="4"/>
      <c r="K172" s="4"/>
      <c r="L172" s="4"/>
      <c r="M172" s="4"/>
      <c r="N172" s="4"/>
      <c r="O172" s="4"/>
      <c r="P172" s="4"/>
      <c r="Q172" s="4"/>
      <c r="R172" s="4"/>
      <c r="S172" s="4"/>
      <c r="T172" s="4"/>
      <c r="U172" s="4"/>
      <c r="V172" s="4"/>
      <c r="W172" s="4"/>
      <c r="X172" s="4"/>
      <c r="Y172" s="4"/>
      <c r="Z172" s="4"/>
      <c r="AA172" s="4">
        <f>IFERROR(__xludf.DUMMYFUNCTION("""COMPUTED_VALUE"""),12.0)</f>
        <v>12</v>
      </c>
      <c r="AB172" s="4" t="str">
        <f>IFERROR(__xludf.DUMMYFUNCTION("""COMPUTED_VALUE"""),"CE")</f>
        <v>CE</v>
      </c>
      <c r="AC172" s="4" t="str">
        <f>IFERROR(__xludf.DUMMYFUNCTION("""COMPUTED_VALUE"""),"Sim")</f>
        <v>Sim</v>
      </c>
      <c r="AD172" s="4" t="str">
        <f>IFERROR(__xludf.DUMMYFUNCTION("""COMPUTED_VALUE"""),"Ifood")</f>
        <v>Ifood</v>
      </c>
      <c r="AE172" s="4"/>
      <c r="AF172" s="4"/>
      <c r="AG172" s="4"/>
      <c r="AH172" s="4"/>
      <c r="AI172" s="4"/>
      <c r="AJ172" s="4"/>
      <c r="AK172" s="4"/>
      <c r="AL172" s="4"/>
      <c r="AM172" s="4" t="str">
        <f>IFERROR(__xludf.DUMMYFUNCTION("""COMPUTED_VALUE"""),"FY27")</f>
        <v>FY27</v>
      </c>
      <c r="AN172" s="4"/>
      <c r="AO172" s="4">
        <f>IFERROR(__xludf.DUMMYFUNCTION("""COMPUTED_VALUE"""),45553.0)</f>
        <v>45553</v>
      </c>
      <c r="AP172" s="4" t="str">
        <f>IFERROR(__xludf.DUMMYFUNCTION("""COMPUTED_VALUE"""),"SP")</f>
        <v>SP</v>
      </c>
      <c r="AQ172" s="4" t="str">
        <f>IFERROR(__xludf.DUMMYFUNCTION("""COMPUTED_VALUE"""),"ANDRE VALENTIM")</f>
        <v>ANDRE VALENTIM</v>
      </c>
      <c r="AR172" s="4" t="str">
        <f>IFERROR(__xludf.DUMMYFUNCTION("""COMPUTED_VALUE"""),"RAQUEL AGUIAR")</f>
        <v>RAQUEL AGUIAR</v>
      </c>
      <c r="AS172" s="4" t="str">
        <f>IFERROR(__xludf.DUMMYFUNCTION("""COMPUTED_VALUE"""),"NATHALIE MERTENS")</f>
        <v>NATHALIE MERTENS</v>
      </c>
      <c r="AT172" s="4" t="str">
        <f>IFERROR(__xludf.DUMMYFUNCTION("""COMPUTED_VALUE"""),"CIBELE OLIVEIRA")</f>
        <v>CIBELE OLIVEIRA</v>
      </c>
      <c r="AU172" s="4">
        <f>IFERROR(__xludf.DUMMYFUNCTION("""COMPUTED_VALUE"""),0.0)</f>
        <v>0</v>
      </c>
      <c r="AV172" s="4">
        <f>IFERROR(__xludf.DUMMYFUNCTION("""COMPUTED_VALUE"""),0.0)</f>
        <v>0</v>
      </c>
      <c r="AW172" s="4">
        <f>IFERROR(__xludf.DUMMYFUNCTION("""COMPUTED_VALUE"""),0.0)</f>
        <v>0</v>
      </c>
      <c r="AX172" s="4">
        <f>IFERROR(__xludf.DUMMYFUNCTION("""COMPUTED_VALUE"""),0.0)</f>
        <v>0</v>
      </c>
      <c r="AY172" s="4"/>
      <c r="AZ172" s="4" t="str">
        <f>IFERROR(__xludf.DUMMYFUNCTION("""COMPUTED_VALUE"""),"Lanches")</f>
        <v>Lanches</v>
      </c>
      <c r="BA172" s="4" t="str">
        <f>IFERROR(__xludf.DUMMYFUNCTION("""COMPUTED_VALUE"""),"")</f>
        <v/>
      </c>
      <c r="BB172" s="4" t="str">
        <f>IFERROR(__xludf.DUMMYFUNCTION("""COMPUTED_VALUE"""),"")</f>
        <v/>
      </c>
      <c r="BC172" s="4" t="str">
        <f>IFERROR(__xludf.DUMMYFUNCTION("""COMPUTED_VALUE"""),"")</f>
        <v/>
      </c>
      <c r="BD172" s="4" t="str">
        <f>IFERROR(__xludf.DUMMYFUNCTION("""COMPUTED_VALUE"""),"")</f>
        <v/>
      </c>
      <c r="BE172" s="4" t="str">
        <f>IFERROR(__xludf.DUMMYFUNCTION("""COMPUTED_VALUE"""),"")</f>
        <v/>
      </c>
      <c r="BF172" s="4" t="str">
        <f>IFERROR(__xludf.DUMMYFUNCTION("""COMPUTED_VALUE"""),"")</f>
        <v/>
      </c>
      <c r="BG172" s="4" t="str">
        <f>IFERROR(__xludf.DUMMYFUNCTION("""COMPUTED_VALUE"""),"")</f>
        <v/>
      </c>
      <c r="BH172" s="4" t="s">
        <v>81</v>
      </c>
      <c r="BI172" s="7">
        <v>1.0</v>
      </c>
    </row>
    <row r="173" hidden="1">
      <c r="A173" s="4" t="str">
        <f>IFERROR(__xludf.DUMMYFUNCTION("""COMPUTED_VALUE"""),"PASTEL CHEFINHOS")</f>
        <v>PASTEL CHEFINHOS</v>
      </c>
      <c r="B173" s="4" t="str">
        <f>IFERROR(__xludf.DUMMYFUNCTION("""COMPUTED_VALUE"""),"Lídia Esteves")</f>
        <v>Lídia Esteves</v>
      </c>
      <c r="C173" s="4" t="str">
        <f>IFERROR(__xludf.DUMMYFUNCTION("""COMPUTED_VALUE"""),"Gabriela Roma")</f>
        <v>Gabriela Roma</v>
      </c>
      <c r="D173" s="4" t="str">
        <f>IFERROR(__xludf.DUMMYFUNCTION("""COMPUTED_VALUE"""),"0. Não Iniciado")</f>
        <v>0. Não Iniciado</v>
      </c>
      <c r="E173" s="4"/>
      <c r="F173" s="4" t="str">
        <f>IFERROR(__xludf.DUMMYFUNCTION("""COMPUTED_VALUE"""),"P")</f>
        <v>P</v>
      </c>
      <c r="G173" s="4"/>
      <c r="H173" s="4"/>
      <c r="I173" s="4"/>
      <c r="J173" s="4"/>
      <c r="K173" s="4"/>
      <c r="L173" s="4"/>
      <c r="M173" s="4"/>
      <c r="N173" s="4"/>
      <c r="O173" s="4"/>
      <c r="P173" s="4"/>
      <c r="Q173" s="4"/>
      <c r="R173" s="4"/>
      <c r="S173" s="4"/>
      <c r="T173" s="4"/>
      <c r="U173" s="4"/>
      <c r="V173" s="4"/>
      <c r="W173" s="4"/>
      <c r="X173" s="4"/>
      <c r="Y173" s="4"/>
      <c r="Z173" s="4"/>
      <c r="AA173" s="4">
        <f>IFERROR(__xludf.DUMMYFUNCTION("""COMPUTED_VALUE"""),11.0)</f>
        <v>11</v>
      </c>
      <c r="AB173" s="4" t="str">
        <f>IFERROR(__xludf.DUMMYFUNCTION("""COMPUTED_VALUE"""),"CE")</f>
        <v>CE</v>
      </c>
      <c r="AC173" s="4" t="str">
        <f>IFERROR(__xludf.DUMMYFUNCTION("""COMPUTED_VALUE"""),"Sim")</f>
        <v>Sim</v>
      </c>
      <c r="AD173" s="4">
        <f>IFERROR(__xludf.DUMMYFUNCTION("""COMPUTED_VALUE"""),0.0)</f>
        <v>0</v>
      </c>
      <c r="AE173" s="4"/>
      <c r="AF173" s="4"/>
      <c r="AG173" s="4"/>
      <c r="AH173" s="4"/>
      <c r="AI173" s="4"/>
      <c r="AJ173" s="4"/>
      <c r="AK173" s="4"/>
      <c r="AL173" s="4"/>
      <c r="AM173" s="4" t="str">
        <f>IFERROR(__xludf.DUMMYFUNCTION("""COMPUTED_VALUE"""),"FY27")</f>
        <v>FY27</v>
      </c>
      <c r="AN173" s="4"/>
      <c r="AO173" s="4">
        <f>IFERROR(__xludf.DUMMYFUNCTION("""COMPUTED_VALUE"""),45553.0)</f>
        <v>45553</v>
      </c>
      <c r="AP173" s="4">
        <f>IFERROR(__xludf.DUMMYFUNCTION("""COMPUTED_VALUE"""),0.0)</f>
        <v>0</v>
      </c>
      <c r="AQ173" s="4">
        <f>IFERROR(__xludf.DUMMYFUNCTION("""COMPUTED_VALUE"""),0.0)</f>
        <v>0</v>
      </c>
      <c r="AR173" s="4">
        <f>IFERROR(__xludf.DUMMYFUNCTION("""COMPUTED_VALUE"""),0.0)</f>
        <v>0</v>
      </c>
      <c r="AS173" s="4">
        <f>IFERROR(__xludf.DUMMYFUNCTION("""COMPUTED_VALUE"""),0.0)</f>
        <v>0</v>
      </c>
      <c r="AT173" s="4">
        <f>IFERROR(__xludf.DUMMYFUNCTION("""COMPUTED_VALUE"""),0.0)</f>
        <v>0</v>
      </c>
      <c r="AU173" s="4">
        <f>IFERROR(__xludf.DUMMYFUNCTION("""COMPUTED_VALUE"""),0.0)</f>
        <v>0</v>
      </c>
      <c r="AV173" s="4" t="str">
        <f>IFERROR(__xludf.DUMMYFUNCTION("""COMPUTED_VALUE"""),"Comer Fora-")</f>
        <v>Comer Fora-</v>
      </c>
      <c r="AW173" s="20" t="str">
        <f>IFERROR(__xludf.DUMMYFUNCTION("""COMPUTED_VALUE"""),"P - 10 a 15 lojas")</f>
        <v>P - 10 a 15 lojas</v>
      </c>
      <c r="AX173" s="4"/>
      <c r="AY173" s="4" t="str">
        <f>IFERROR(__xludf.DUMMYFUNCTION("""COMPUTED_VALUE"""),"Eclética Tecnologia")</f>
        <v>Eclética Tecnologia</v>
      </c>
      <c r="AZ173" s="4" t="str">
        <f>IFERROR(__xludf.DUMMYFUNCTION("""COMPUTED_VALUE"""),"Pastel")</f>
        <v>Pastel</v>
      </c>
      <c r="BA173" s="4">
        <f>IFERROR(__xludf.DUMMYFUNCTION("""COMPUTED_VALUE"""),24.0)</f>
        <v>24</v>
      </c>
      <c r="BB173" s="4" t="str">
        <f>IFERROR(__xludf.DUMMYFUNCTION("""COMPUTED_VALUE"""),"QSR - Pastelaria")</f>
        <v>QSR - Pastelaria</v>
      </c>
      <c r="BC173" s="4" t="str">
        <f>IFERROR(__xludf.DUMMYFUNCTION("""COMPUTED_VALUE"""),"Interior SP")</f>
        <v>Interior SP</v>
      </c>
      <c r="BD173" s="4" t="str">
        <f>IFERROR(__xludf.DUMMYFUNCTION("""COMPUTED_VALUE"""),"Dado não disponível publicamente - Necessário Discovery")</f>
        <v>Dado não disponível publicamente - Necessário Discovery</v>
      </c>
      <c r="BE173" s="4">
        <f>IFERROR(__xludf.DUMMYFUNCTION("""COMPUTED_VALUE"""),65.0)</f>
        <v>65</v>
      </c>
      <c r="BF173" s="4">
        <f>IFERROR(__xludf.DUMMYFUNCTION("""COMPUTED_VALUE"""),0.85)</f>
        <v>0.85</v>
      </c>
      <c r="BG173"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173" s="4" t="s">
        <v>71</v>
      </c>
      <c r="BI173" s="7">
        <v>0.5185185185185185</v>
      </c>
    </row>
    <row r="174" hidden="1">
      <c r="A174" s="4" t="str">
        <f>IFERROR(__xludf.DUMMYFUNCTION("""COMPUTED_VALUE"""),"PASTEL E YAKISSOBA DA MI")</f>
        <v>PASTEL E YAKISSOBA DA MI</v>
      </c>
      <c r="B174" s="4" t="str">
        <f>IFERROR(__xludf.DUMMYFUNCTION("""COMPUTED_VALUE"""),"João Biagiotti")</f>
        <v>João Biagiotti</v>
      </c>
      <c r="C174" s="4" t="str">
        <f>IFERROR(__xludf.DUMMYFUNCTION("""COMPUTED_VALUE"""),"Diego Santos")</f>
        <v>Diego Santos</v>
      </c>
      <c r="D174" s="4" t="str">
        <f>IFERROR(__xludf.DUMMYFUNCTION("""COMPUTED_VALUE"""),"0. Não Iniciado")</f>
        <v>0. Não Iniciado</v>
      </c>
      <c r="E174" s="4"/>
      <c r="F174" s="4" t="str">
        <f>IFERROR(__xludf.DUMMYFUNCTION("""COMPUTED_VALUE"""),"P")</f>
        <v>P</v>
      </c>
      <c r="G174" s="4"/>
      <c r="H174" s="4"/>
      <c r="I174" s="4"/>
      <c r="J174" s="4"/>
      <c r="K174" s="4"/>
      <c r="L174" s="4"/>
      <c r="M174" s="4"/>
      <c r="N174" s="4"/>
      <c r="O174" s="4"/>
      <c r="P174" s="4"/>
      <c r="Q174" s="4"/>
      <c r="R174" s="4"/>
      <c r="S174" s="4"/>
      <c r="T174" s="4"/>
      <c r="U174" s="4"/>
      <c r="V174" s="4"/>
      <c r="W174" s="4"/>
      <c r="X174" s="4"/>
      <c r="Y174" s="4"/>
      <c r="Z174" s="4"/>
      <c r="AA174" s="4">
        <f>IFERROR(__xludf.DUMMYFUNCTION("""COMPUTED_VALUE"""),6.0)</f>
        <v>6</v>
      </c>
      <c r="AB174" s="4" t="str">
        <f>IFERROR(__xludf.DUMMYFUNCTION("""COMPUTED_VALUE"""),"CE")</f>
        <v>CE</v>
      </c>
      <c r="AC174" s="4" t="str">
        <f>IFERROR(__xludf.DUMMYFUNCTION("""COMPUTED_VALUE"""),"Sim")</f>
        <v>Sim</v>
      </c>
      <c r="AD174" s="4" t="str">
        <f>IFERROR(__xludf.DUMMYFUNCTION("""COMPUTED_VALUE"""),"Ifood")</f>
        <v>Ifood</v>
      </c>
      <c r="AE174" s="4"/>
      <c r="AF174" s="4"/>
      <c r="AG174" s="4"/>
      <c r="AH174" s="4"/>
      <c r="AI174" s="4"/>
      <c r="AJ174" s="4"/>
      <c r="AK174" s="4"/>
      <c r="AL174" s="4"/>
      <c r="AM174" s="4" t="str">
        <f>IFERROR(__xludf.DUMMYFUNCTION("""COMPUTED_VALUE"""),"FY27")</f>
        <v>FY27</v>
      </c>
      <c r="AN174" s="4"/>
      <c r="AO174" s="4">
        <f>IFERROR(__xludf.DUMMYFUNCTION("""COMPUTED_VALUE"""),45553.0)</f>
        <v>45553</v>
      </c>
      <c r="AP174" s="4" t="str">
        <f>IFERROR(__xludf.DUMMYFUNCTION("""COMPUTED_VALUE"""),"SP")</f>
        <v>SP</v>
      </c>
      <c r="AQ174" s="4" t="str">
        <f>IFERROR(__xludf.DUMMYFUNCTION("""COMPUTED_VALUE"""),"KAREN SOUTO")</f>
        <v>KAREN SOUTO</v>
      </c>
      <c r="AR174" s="4" t="str">
        <f>IFERROR(__xludf.DUMMYFUNCTION("""COMPUTED_VALUE"""),"FILIPE FERNANDES")</f>
        <v>FILIPE FERNANDES</v>
      </c>
      <c r="AS174" s="4" t="str">
        <f>IFERROR(__xludf.DUMMYFUNCTION("""COMPUTED_VALUE"""),"NATHALIE MERTENS")</f>
        <v>NATHALIE MERTENS</v>
      </c>
      <c r="AT174" s="4" t="str">
        <f>IFERROR(__xludf.DUMMYFUNCTION("""COMPUTED_VALUE"""),"CIBELE OLIVEIRA")</f>
        <v>CIBELE OLIVEIRA</v>
      </c>
      <c r="AU174" s="4">
        <f>IFERROR(__xludf.DUMMYFUNCTION("""COMPUTED_VALUE"""),0.0)</f>
        <v>0</v>
      </c>
      <c r="AV174" s="4">
        <f>IFERROR(__xludf.DUMMYFUNCTION("""COMPUTED_VALUE"""),0.0)</f>
        <v>0</v>
      </c>
      <c r="AW174" s="4">
        <f>IFERROR(__xludf.DUMMYFUNCTION("""COMPUTED_VALUE"""),0.0)</f>
        <v>0</v>
      </c>
      <c r="AX174" s="4">
        <f>IFERROR(__xludf.DUMMYFUNCTION("""COMPUTED_VALUE"""),0.0)</f>
        <v>0</v>
      </c>
      <c r="AY174" s="4" t="str">
        <f>IFERROR(__xludf.DUMMYFUNCTION("""COMPUTED_VALUE"""),"Saipos Serviços De Software")</f>
        <v>Saipos Serviços De Software</v>
      </c>
      <c r="AZ174" s="4" t="str">
        <f>IFERROR(__xludf.DUMMYFUNCTION("""COMPUTED_VALUE"""),"Japonesa")</f>
        <v>Japonesa</v>
      </c>
      <c r="BA174" s="4">
        <f>IFERROR(__xludf.DUMMYFUNCTION("""COMPUTED_VALUE"""),26.0)</f>
        <v>26</v>
      </c>
      <c r="BB174" s="4" t="str">
        <f>IFERROR(__xludf.DUMMYFUNCTION("""COMPUTED_VALUE"""),"QSR - Pastelaria")</f>
        <v>QSR - Pastelaria</v>
      </c>
      <c r="BC174" s="4" t="str">
        <f>IFERROR(__xludf.DUMMYFUNCTION("""COMPUTED_VALUE"""),"Brasília/DF")</f>
        <v>Brasília/DF</v>
      </c>
      <c r="BD174" s="4" t="str">
        <f>IFERROR(__xludf.DUMMYFUNCTION("""COMPUTED_VALUE"""),"Dado não disponível publicamente - Necessário Discovery")</f>
        <v>Dado não disponível publicamente - Necessário Discovery</v>
      </c>
      <c r="BE174" s="4">
        <f>IFERROR(__xludf.DUMMYFUNCTION("""COMPUTED_VALUE"""),70.0)</f>
        <v>70</v>
      </c>
      <c r="BF174" s="4">
        <f>IFERROR(__xludf.DUMMYFUNCTION("""COMPUTED_VALUE"""),0.85)</f>
        <v>0.85</v>
      </c>
      <c r="BG174"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174" s="4" t="s">
        <v>64</v>
      </c>
      <c r="BI174" s="7">
        <v>0.6</v>
      </c>
    </row>
    <row r="175" hidden="1">
      <c r="A175" s="4" t="str">
        <f>IFERROR(__xludf.DUMMYFUNCTION("""COMPUTED_VALUE"""),"PATI POKE POKE")</f>
        <v>PATI POKE POKE</v>
      </c>
      <c r="B175" s="4" t="str">
        <f>IFERROR(__xludf.DUMMYFUNCTION("""COMPUTED_VALUE"""),"Lídia Esteves")</f>
        <v>Lídia Esteves</v>
      </c>
      <c r="C175" s="4" t="str">
        <f>IFERROR(__xludf.DUMMYFUNCTION("""COMPUTED_VALUE"""),"Gabriela Roma")</f>
        <v>Gabriela Roma</v>
      </c>
      <c r="D175" s="4" t="str">
        <f>IFERROR(__xludf.DUMMYFUNCTION("""COMPUTED_VALUE"""),"1. Iniciado")</f>
        <v>1. Iniciado</v>
      </c>
      <c r="E175" s="4" t="str">
        <f>IFERROR(__xludf.DUMMYFUNCTION("""COMPUTED_VALUE"""),"Delivery - Aguardando retorno / Conciliação agenda")</f>
        <v>Delivery - Aguardando retorno / Conciliação agenda</v>
      </c>
      <c r="F175" s="4" t="str">
        <f>IFERROR(__xludf.DUMMYFUNCTION("""COMPUTED_VALUE"""),"P")</f>
        <v>P</v>
      </c>
      <c r="G175" s="4"/>
      <c r="H175" s="4"/>
      <c r="I175" s="6">
        <f>IFERROR(__xludf.DUMMYFUNCTION("""COMPUTED_VALUE"""),46121.682203414355)</f>
        <v>46121.6822</v>
      </c>
      <c r="J175" s="4"/>
      <c r="K175" s="4"/>
      <c r="L175" s="4"/>
      <c r="M175" s="4"/>
      <c r="N175" s="4"/>
      <c r="O175" s="4"/>
      <c r="P175" s="4"/>
      <c r="Q175" s="4"/>
      <c r="R175" s="4"/>
      <c r="S175" s="4"/>
      <c r="T175" s="4"/>
      <c r="U175" s="4"/>
      <c r="V175" s="4"/>
      <c r="W175" s="4"/>
      <c r="X175" s="4"/>
      <c r="Y175" s="4"/>
      <c r="Z175" s="4"/>
      <c r="AA175" s="4">
        <f>IFERROR(__xludf.DUMMYFUNCTION("""COMPUTED_VALUE"""),6.0)</f>
        <v>6</v>
      </c>
      <c r="AB175" s="4" t="str">
        <f>IFERROR(__xludf.DUMMYFUNCTION("""COMPUTED_VALUE"""),"CE")</f>
        <v>CE</v>
      </c>
      <c r="AC175" s="4" t="str">
        <f>IFERROR(__xludf.DUMMYFUNCTION("""COMPUTED_VALUE"""),"Sim")</f>
        <v>Sim</v>
      </c>
      <c r="AD175" s="4" t="str">
        <f>IFERROR(__xludf.DUMMYFUNCTION("""COMPUTED_VALUE"""),"Ifood")</f>
        <v>Ifood</v>
      </c>
      <c r="AE175" s="4"/>
      <c r="AF175" s="4"/>
      <c r="AG175" s="4"/>
      <c r="AH175" s="4"/>
      <c r="AI175" s="4"/>
      <c r="AJ175" s="4"/>
      <c r="AK175" s="4"/>
      <c r="AL175" s="4"/>
      <c r="AM175" s="4" t="str">
        <f>IFERROR(__xludf.DUMMYFUNCTION("""COMPUTED_VALUE"""),"FY27")</f>
        <v>FY27</v>
      </c>
      <c r="AN175" s="4"/>
      <c r="AO175" s="4">
        <f>IFERROR(__xludf.DUMMYFUNCTION("""COMPUTED_VALUE"""),45553.0)</f>
        <v>45553</v>
      </c>
      <c r="AP175" s="4" t="str">
        <f>IFERROR(__xludf.DUMMYFUNCTION("""COMPUTED_VALUE"""),"SP")</f>
        <v>SP</v>
      </c>
      <c r="AQ175" s="4" t="str">
        <f>IFERROR(__xludf.DUMMYFUNCTION("""COMPUTED_VALUE"""),"ISADORA GARCIA")</f>
        <v>ISADORA GARCIA</v>
      </c>
      <c r="AR175" s="4" t="str">
        <f>IFERROR(__xludf.DUMMYFUNCTION("""COMPUTED_VALUE"""),"LEANDRO SERPA")</f>
        <v>LEANDRO SERPA</v>
      </c>
      <c r="AS175" s="4" t="str">
        <f>IFERROR(__xludf.DUMMYFUNCTION("""COMPUTED_VALUE"""),"NATHALIE MERTENS")</f>
        <v>NATHALIE MERTENS</v>
      </c>
      <c r="AT175" s="4" t="str">
        <f>IFERROR(__xludf.DUMMYFUNCTION("""COMPUTED_VALUE"""),"MATHEUS LESSA")</f>
        <v>MATHEUS LESSA</v>
      </c>
      <c r="AU175" s="4">
        <f>IFERROR(__xludf.DUMMYFUNCTION("""COMPUTED_VALUE"""),0.0)</f>
        <v>0</v>
      </c>
      <c r="AV175" s="4">
        <f>IFERROR(__xludf.DUMMYFUNCTION("""COMPUTED_VALUE"""),0.0)</f>
        <v>0</v>
      </c>
      <c r="AW175" s="4">
        <f>IFERROR(__xludf.DUMMYFUNCTION("""COMPUTED_VALUE"""),0.0)</f>
        <v>0</v>
      </c>
      <c r="AX175" s="4">
        <f>IFERROR(__xludf.DUMMYFUNCTION("""COMPUTED_VALUE"""),0.0)</f>
        <v>0</v>
      </c>
      <c r="AY175" s="4" t="str">
        <f>IFERROR(__xludf.DUMMYFUNCTION("""COMPUTED_VALUE"""),"Connectplug")</f>
        <v>Connectplug</v>
      </c>
      <c r="AZ175" s="4" t="str">
        <f>IFERROR(__xludf.DUMMYFUNCTION("""COMPUTED_VALUE"""),"Saudável")</f>
        <v>Saudável</v>
      </c>
      <c r="BA175" s="4">
        <f>IFERROR(__xludf.DUMMYFUNCTION("""COMPUTED_VALUE"""),32.0)</f>
        <v>32</v>
      </c>
      <c r="BB175" s="4" t="str">
        <f>IFERROR(__xludf.DUMMYFUNCTION("""COMPUTED_VALUE"""),"QSR - Açaí/Poke")</f>
        <v>QSR - Açaí/Poke</v>
      </c>
      <c r="BC175" s="4" t="str">
        <f>IFERROR(__xludf.DUMMYFUNCTION("""COMPUTED_VALUE"""),"Nacional")</f>
        <v>Nacional</v>
      </c>
      <c r="BD175" s="4" t="str">
        <f>IFERROR(__xludf.DUMMYFUNCTION("""COMPUTED_VALUE"""),"Dado não disponível publicamente - Necessário Discovery")</f>
        <v>Dado não disponível publicamente - Necessário Discovery</v>
      </c>
      <c r="BE175" s="4">
        <f>IFERROR(__xludf.DUMMYFUNCTION("""COMPUTED_VALUE"""),65.0)</f>
        <v>65</v>
      </c>
      <c r="BF175" s="4">
        <f>IFERROR(__xludf.DUMMYFUNCTION("""COMPUTED_VALUE"""),0.85)</f>
        <v>0.85</v>
      </c>
      <c r="BG175"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175" s="4" t="s">
        <v>64</v>
      </c>
      <c r="BI175" s="7">
        <v>0.6666666666666666</v>
      </c>
    </row>
    <row r="176" hidden="1">
      <c r="A176" s="4" t="str">
        <f>IFERROR(__xludf.DUMMYFUNCTION("""COMPUTED_VALUE"""),"Grupo Pecora")</f>
        <v>Grupo Pecora</v>
      </c>
      <c r="B176" s="4" t="str">
        <f>IFERROR(__xludf.DUMMYFUNCTION("""COMPUTED_VALUE"""),"João Biagiotti")</f>
        <v>João Biagiotti</v>
      </c>
      <c r="C176" s="4" t="str">
        <f>IFERROR(__xludf.DUMMYFUNCTION("""COMPUTED_VALUE"""),"Diego Santos")</f>
        <v>Diego Santos</v>
      </c>
      <c r="D176" s="4" t="str">
        <f>IFERROR(__xludf.DUMMYFUNCTION("""COMPUTED_VALUE"""),"6. Negociação")</f>
        <v>6. Negociação</v>
      </c>
      <c r="E176" s="4" t="str">
        <f>IFERROR(__xludf.DUMMYFUNCTION("""COMPUTED_VALUE"""),"Pré-vendas - Demonstração / Showroom")</f>
        <v>Pré-vendas - Demonstração / Showroom</v>
      </c>
      <c r="F176" s="4" t="str">
        <f>IFERROR(__xludf.DUMMYFUNCTION("""COMPUTED_VALUE"""),"P")</f>
        <v>P</v>
      </c>
      <c r="G176" s="5">
        <f>IFERROR(__xludf.DUMMYFUNCTION("""COMPUTED_VALUE"""),46157.0)</f>
        <v>46157</v>
      </c>
      <c r="H176" s="4" t="str">
        <f>IFERROR(__xludf.DUMMYFUNCTION("""COMPUTED_VALUE"""),"Envio de proposta comercial/Alinhamentos pré vendas")</f>
        <v>Envio de proposta comercial/Alinhamentos pré vendas</v>
      </c>
      <c r="I176" s="6">
        <f>IFERROR(__xludf.DUMMYFUNCTION("""COMPUTED_VALUE"""),46114.434315729166)</f>
        <v>46114.43432</v>
      </c>
      <c r="J176" s="6">
        <f>IFERROR(__xludf.DUMMYFUNCTION("""COMPUTED_VALUE"""),46114.434349953706)</f>
        <v>46114.43435</v>
      </c>
      <c r="K176" s="6">
        <f>IFERROR(__xludf.DUMMYFUNCTION("""COMPUTED_VALUE"""),46114.43482571759)</f>
        <v>46114.43483</v>
      </c>
      <c r="L176" s="6">
        <f>IFERROR(__xludf.DUMMYFUNCTION("""COMPUTED_VALUE"""),46114.43489577546)</f>
        <v>46114.4349</v>
      </c>
      <c r="M176" s="6">
        <f>IFERROR(__xludf.DUMMYFUNCTION("""COMPUTED_VALUE"""),46114.436863043986)</f>
        <v>46114.43686</v>
      </c>
      <c r="N176" s="6">
        <f>IFERROR(__xludf.DUMMYFUNCTION("""COMPUTED_VALUE"""),46157.46283834491)</f>
        <v>46157.46284</v>
      </c>
      <c r="O176" s="4"/>
      <c r="P176" s="4"/>
      <c r="Q176" s="4"/>
      <c r="R176" s="4"/>
      <c r="S176" s="4"/>
      <c r="T176" s="4"/>
      <c r="U176" s="4"/>
      <c r="V176" s="4"/>
      <c r="W176" s="4"/>
      <c r="X176" s="4"/>
      <c r="Y176" s="4"/>
      <c r="Z176" s="4"/>
      <c r="AA176" s="4">
        <f>IFERROR(__xludf.DUMMYFUNCTION("""COMPUTED_VALUE"""),7.0)</f>
        <v>7</v>
      </c>
      <c r="AB176" s="4" t="str">
        <f>IFERROR(__xludf.DUMMYFUNCTION("""COMPUTED_VALUE"""),"CE")</f>
        <v>CE</v>
      </c>
      <c r="AC176" s="4" t="str">
        <f>IFERROR(__xludf.DUMMYFUNCTION("""COMPUTED_VALUE"""),"Sim")</f>
        <v>Sim</v>
      </c>
      <c r="AD176" s="4">
        <f>IFERROR(__xludf.DUMMYFUNCTION("""COMPUTED_VALUE"""),0.0)</f>
        <v>0</v>
      </c>
      <c r="AE176" s="4"/>
      <c r="AF176" s="4"/>
      <c r="AG176" s="4"/>
      <c r="AH176" s="4"/>
      <c r="AI176" s="4"/>
      <c r="AJ176" s="4"/>
      <c r="AK176" s="4"/>
      <c r="AL176" s="4"/>
      <c r="AM176" s="4" t="str">
        <f>IFERROR(__xludf.DUMMYFUNCTION("""COMPUTED_VALUE"""),"FY27")</f>
        <v>FY27</v>
      </c>
      <c r="AN176" s="4"/>
      <c r="AO176" s="4">
        <f>IFERROR(__xludf.DUMMYFUNCTION("""COMPUTED_VALUE"""),58.0)</f>
        <v>58</v>
      </c>
      <c r="AP176" s="4" t="str">
        <f>IFERROR(__xludf.DUMMYFUNCTION("""COMPUTED_VALUE"""),"PE")</f>
        <v>PE</v>
      </c>
      <c r="AQ176" s="4" t="str">
        <f>IFERROR(__xludf.DUMMYFUNCTION("""COMPUTED_VALUE"""),"LYGIANE JUCA")</f>
        <v>LYGIANE JUCA</v>
      </c>
      <c r="AR176" s="4">
        <f>IFERROR(__xludf.DUMMYFUNCTION("""COMPUTED_VALUE"""),0.0)</f>
        <v>0</v>
      </c>
      <c r="AS176" s="4">
        <f>IFERROR(__xludf.DUMMYFUNCTION("""COMPUTED_VALUE"""),0.0)</f>
        <v>0</v>
      </c>
      <c r="AT176" s="4">
        <f>IFERROR(__xludf.DUMMYFUNCTION("""COMPUTED_VALUE"""),0.0)</f>
        <v>0</v>
      </c>
      <c r="AU176" s="4">
        <f>IFERROR(__xludf.DUMMYFUNCTION("""COMPUTED_VALUE"""),0.0)</f>
        <v>0</v>
      </c>
      <c r="AV176" s="4">
        <f>IFERROR(__xludf.DUMMYFUNCTION("""COMPUTED_VALUE"""),0.0)</f>
        <v>0</v>
      </c>
      <c r="AW176" s="4">
        <f>IFERROR(__xludf.DUMMYFUNCTION("""COMPUTED_VALUE"""),0.0)</f>
        <v>0</v>
      </c>
      <c r="AX176" s="4">
        <f>IFERROR(__xludf.DUMMYFUNCTION("""COMPUTED_VALUE"""),0.0)</f>
        <v>0</v>
      </c>
      <c r="AY176" s="4">
        <f>IFERROR(__xludf.DUMMYFUNCTION("""COMPUTED_VALUE"""),0.0)</f>
        <v>0</v>
      </c>
      <c r="AZ176" s="4" t="str">
        <f>IFERROR(__xludf.DUMMYFUNCTION("""COMPUTED_VALUE"""),"NA")</f>
        <v>NA</v>
      </c>
      <c r="BA176" s="4">
        <f>IFERROR(__xludf.DUMMYFUNCTION("""COMPUTED_VALUE"""),120.0)</f>
        <v>120</v>
      </c>
      <c r="BB176" s="4" t="str">
        <f>IFERROR(__xludf.DUMMYFUNCTION("""COMPUTED_VALUE"""),"Grupo Multi-marca")</f>
        <v>Grupo Multi-marca</v>
      </c>
      <c r="BC176" s="4" t="str">
        <f>IFERROR(__xludf.DUMMYFUNCTION("""COMPUTED_VALUE"""),"São Paulo/SP")</f>
        <v>São Paulo/SP</v>
      </c>
      <c r="BD176" s="4" t="str">
        <f>IFERROR(__xludf.DUMMYFUNCTION("""COMPUTED_VALUE"""),"Dado não disponível publicamente - Necessário Discovery")</f>
        <v>Dado não disponível publicamente - Necessário Discovery</v>
      </c>
      <c r="BE176" s="4">
        <f>IFERROR(__xludf.DUMMYFUNCTION("""COMPUTED_VALUE"""),40.0)</f>
        <v>40</v>
      </c>
      <c r="BF176" s="4">
        <f>IFERROR(__xludf.DUMMYFUNCTION("""COMPUTED_VALUE"""),0.5)</f>
        <v>0.5</v>
      </c>
      <c r="BG176"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176" s="4" t="s">
        <v>63</v>
      </c>
      <c r="BI176" s="7" t="s">
        <v>63</v>
      </c>
    </row>
    <row r="177" hidden="1">
      <c r="A177" s="4" t="str">
        <f>IFERROR(__xludf.DUMMYFUNCTION("""COMPUTED_VALUE"""),"PEIXE NA REDE")</f>
        <v>PEIXE NA REDE</v>
      </c>
      <c r="B177" s="4" t="str">
        <f>IFERROR(__xludf.DUMMYFUNCTION("""COMPUTED_VALUE"""),"Lídia Esteves")</f>
        <v>Lídia Esteves</v>
      </c>
      <c r="C177" s="4" t="str">
        <f>IFERROR(__xludf.DUMMYFUNCTION("""COMPUTED_VALUE"""),"Gabriela Roma")</f>
        <v>Gabriela Roma</v>
      </c>
      <c r="D177" s="4" t="str">
        <f>IFERROR(__xludf.DUMMYFUNCTION("""COMPUTED_VALUE"""),"0. Não Iniciado")</f>
        <v>0. Não Iniciado</v>
      </c>
      <c r="E177" s="4"/>
      <c r="F177" s="4" t="str">
        <f>IFERROR(__xludf.DUMMYFUNCTION("""COMPUTED_VALUE"""),"P")</f>
        <v>P</v>
      </c>
      <c r="G177" s="4"/>
      <c r="H177" s="4"/>
      <c r="I177" s="4"/>
      <c r="J177" s="4"/>
      <c r="K177" s="4"/>
      <c r="L177" s="4"/>
      <c r="M177" s="4"/>
      <c r="N177" s="4"/>
      <c r="O177" s="4"/>
      <c r="P177" s="4"/>
      <c r="Q177" s="4"/>
      <c r="R177" s="4"/>
      <c r="S177" s="4"/>
      <c r="T177" s="4"/>
      <c r="U177" s="4"/>
      <c r="V177" s="4"/>
      <c r="W177" s="4"/>
      <c r="X177" s="4"/>
      <c r="Y177" s="4"/>
      <c r="Z177" s="4"/>
      <c r="AA177" s="4">
        <f>IFERROR(__xludf.DUMMYFUNCTION("""COMPUTED_VALUE"""),14.0)</f>
        <v>14</v>
      </c>
      <c r="AB177" s="4" t="str">
        <f>IFERROR(__xludf.DUMMYFUNCTION("""COMPUTED_VALUE"""),"CE")</f>
        <v>CE</v>
      </c>
      <c r="AC177" s="4" t="str">
        <f>IFERROR(__xludf.DUMMYFUNCTION("""COMPUTED_VALUE"""),"Sim")</f>
        <v>Sim</v>
      </c>
      <c r="AD177" s="4" t="str">
        <f>IFERROR(__xludf.DUMMYFUNCTION("""COMPUTED_VALUE"""),"Ifood")</f>
        <v>Ifood</v>
      </c>
      <c r="AE177" s="4"/>
      <c r="AF177" s="4"/>
      <c r="AG177" s="4"/>
      <c r="AH177" s="4"/>
      <c r="AI177" s="4"/>
      <c r="AJ177" s="4"/>
      <c r="AK177" s="4"/>
      <c r="AL177" s="4"/>
      <c r="AM177" s="4" t="str">
        <f>IFERROR(__xludf.DUMMYFUNCTION("""COMPUTED_VALUE"""),"FY27")</f>
        <v>FY27</v>
      </c>
      <c r="AN177" s="4"/>
      <c r="AO177" s="4">
        <f>IFERROR(__xludf.DUMMYFUNCTION("""COMPUTED_VALUE"""),45553.0)</f>
        <v>45553</v>
      </c>
      <c r="AP177" s="4" t="str">
        <f>IFERROR(__xludf.DUMMYFUNCTION("""COMPUTED_VALUE"""),"DF")</f>
        <v>DF</v>
      </c>
      <c r="AQ177" s="4" t="str">
        <f>IFERROR(__xludf.DUMMYFUNCTION("""COMPUTED_VALUE"""),"ISABELLE NOGUEIRA")</f>
        <v>ISABELLE NOGUEIRA</v>
      </c>
      <c r="AR177" s="4" t="str">
        <f>IFERROR(__xludf.DUMMYFUNCTION("""COMPUTED_VALUE"""),"MATHEUS BITENCOURT")</f>
        <v>MATHEUS BITENCOURT</v>
      </c>
      <c r="AS177" s="4" t="str">
        <f>IFERROR(__xludf.DUMMYFUNCTION("""COMPUTED_VALUE"""),"THIAGO ROMAGNOLE")</f>
        <v>THIAGO ROMAGNOLE</v>
      </c>
      <c r="AT177" s="4" t="str">
        <f>IFERROR(__xludf.DUMMYFUNCTION("""COMPUTED_VALUE"""),"PAULO MODESTO")</f>
        <v>PAULO MODESTO</v>
      </c>
      <c r="AU177" s="4">
        <f>IFERROR(__xludf.DUMMYFUNCTION("""COMPUTED_VALUE"""),0.0)</f>
        <v>0</v>
      </c>
      <c r="AV177" s="4">
        <f>IFERROR(__xludf.DUMMYFUNCTION("""COMPUTED_VALUE"""),0.0)</f>
        <v>0</v>
      </c>
      <c r="AW177" s="4">
        <f>IFERROR(__xludf.DUMMYFUNCTION("""COMPUTED_VALUE"""),0.0)</f>
        <v>0</v>
      </c>
      <c r="AX177" s="4">
        <f>IFERROR(__xludf.DUMMYFUNCTION("""COMPUTED_VALUE"""),0.0)</f>
        <v>0</v>
      </c>
      <c r="AY177" s="4"/>
      <c r="AZ177" s="4" t="str">
        <f>IFERROR(__xludf.DUMMYFUNCTION("""COMPUTED_VALUE"""),"Peixes")</f>
        <v>Peixes</v>
      </c>
      <c r="BA177" s="4">
        <f>IFERROR(__xludf.DUMMYFUNCTION("""COMPUTED_VALUE"""),84.0)</f>
        <v>84</v>
      </c>
      <c r="BB177" s="4" t="str">
        <f>IFERROR(__xludf.DUMMYFUNCTION("""COMPUTED_VALUE"""),"Fast Casual - Frutos do Mar")</f>
        <v>Fast Casual - Frutos do Mar</v>
      </c>
      <c r="BC177" s="4" t="str">
        <f>IFERROR(__xludf.DUMMYFUNCTION("""COMPUTED_VALUE"""),"Regional")</f>
        <v>Regional</v>
      </c>
      <c r="BD177" s="4" t="str">
        <f>IFERROR(__xludf.DUMMYFUNCTION("""COMPUTED_VALUE"""),"Dado não disponível publicamente - Necessário Discovery")</f>
        <v>Dado não disponível publicamente - Necessário Discovery</v>
      </c>
      <c r="BE177" s="4">
        <f>IFERROR(__xludf.DUMMYFUNCTION("""COMPUTED_VALUE"""),65.0)</f>
        <v>65</v>
      </c>
      <c r="BF177" s="4">
        <f>IFERROR(__xludf.DUMMYFUNCTION("""COMPUTED_VALUE"""),0.75)</f>
        <v>0.75</v>
      </c>
      <c r="BG17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77" s="4" t="s">
        <v>72</v>
      </c>
      <c r="BI177" s="7">
        <v>0.8571428571428571</v>
      </c>
    </row>
    <row r="178" hidden="1">
      <c r="A178" s="4" t="str">
        <f>IFERROR(__xludf.DUMMYFUNCTION("""COMPUTED_VALUE"""),"PETISKOZ")</f>
        <v>PETISKOZ</v>
      </c>
      <c r="B178" s="4" t="str">
        <f>IFERROR(__xludf.DUMMYFUNCTION("""COMPUTED_VALUE"""),"Lídia Esteves")</f>
        <v>Lídia Esteves</v>
      </c>
      <c r="C178" s="4" t="str">
        <f>IFERROR(__xludf.DUMMYFUNCTION("""COMPUTED_VALUE"""),"Gabriela Roma")</f>
        <v>Gabriela Roma</v>
      </c>
      <c r="D178" s="4" t="str">
        <f>IFERROR(__xludf.DUMMYFUNCTION("""COMPUTED_VALUE"""),"0. Não Iniciado")</f>
        <v>0. Não Iniciado</v>
      </c>
      <c r="E178" s="4"/>
      <c r="F178" s="4" t="str">
        <f>IFERROR(__xludf.DUMMYFUNCTION("""COMPUTED_VALUE"""),"P")</f>
        <v>P</v>
      </c>
      <c r="G178" s="4"/>
      <c r="H178" s="4"/>
      <c r="I178" s="4"/>
      <c r="J178" s="4"/>
      <c r="K178" s="4"/>
      <c r="L178" s="4"/>
      <c r="M178" s="4"/>
      <c r="N178" s="4"/>
      <c r="O178" s="4"/>
      <c r="P178" s="4"/>
      <c r="Q178" s="4"/>
      <c r="R178" s="4"/>
      <c r="S178" s="4"/>
      <c r="T178" s="4"/>
      <c r="U178" s="4"/>
      <c r="V178" s="4"/>
      <c r="W178" s="4"/>
      <c r="X178" s="4"/>
      <c r="Y178" s="4"/>
      <c r="Z178" s="4"/>
      <c r="AA178" s="4">
        <f>IFERROR(__xludf.DUMMYFUNCTION("""COMPUTED_VALUE"""),11.0)</f>
        <v>11</v>
      </c>
      <c r="AB178" s="4" t="str">
        <f>IFERROR(__xludf.DUMMYFUNCTION("""COMPUTED_VALUE"""),"CE")</f>
        <v>CE</v>
      </c>
      <c r="AC178" s="4" t="str">
        <f>IFERROR(__xludf.DUMMYFUNCTION("""COMPUTED_VALUE"""),"Sim")</f>
        <v>Sim</v>
      </c>
      <c r="AD178" s="4">
        <f>IFERROR(__xludf.DUMMYFUNCTION("""COMPUTED_VALUE"""),0.0)</f>
        <v>0</v>
      </c>
      <c r="AE178" s="4"/>
      <c r="AF178" s="4"/>
      <c r="AG178" s="4"/>
      <c r="AH178" s="4"/>
      <c r="AI178" s="4"/>
      <c r="AJ178" s="4"/>
      <c r="AK178" s="4"/>
      <c r="AL178" s="4"/>
      <c r="AM178" s="4" t="str">
        <f>IFERROR(__xludf.DUMMYFUNCTION("""COMPUTED_VALUE"""),"FY27")</f>
        <v>FY27</v>
      </c>
      <c r="AN178" s="4"/>
      <c r="AO178" s="4">
        <f>IFERROR(__xludf.DUMMYFUNCTION("""COMPUTED_VALUE"""),45553.0)</f>
        <v>45553</v>
      </c>
      <c r="AP178" s="4">
        <f>IFERROR(__xludf.DUMMYFUNCTION("""COMPUTED_VALUE"""),0.0)</f>
        <v>0</v>
      </c>
      <c r="AQ178" s="4">
        <f>IFERROR(__xludf.DUMMYFUNCTION("""COMPUTED_VALUE"""),0.0)</f>
        <v>0</v>
      </c>
      <c r="AR178" s="4">
        <f>IFERROR(__xludf.DUMMYFUNCTION("""COMPUTED_VALUE"""),0.0)</f>
        <v>0</v>
      </c>
      <c r="AS178" s="4">
        <f>IFERROR(__xludf.DUMMYFUNCTION("""COMPUTED_VALUE"""),0.0)</f>
        <v>0</v>
      </c>
      <c r="AT178" s="4">
        <f>IFERROR(__xludf.DUMMYFUNCTION("""COMPUTED_VALUE"""),0.0)</f>
        <v>0</v>
      </c>
      <c r="AU178" s="4">
        <f>IFERROR(__xludf.DUMMYFUNCTION("""COMPUTED_VALUE"""),0.0)</f>
        <v>0</v>
      </c>
      <c r="AV178" s="4">
        <f>IFERROR(__xludf.DUMMYFUNCTION("""COMPUTED_VALUE"""),0.0)</f>
        <v>0</v>
      </c>
      <c r="AW178" s="4">
        <f>IFERROR(__xludf.DUMMYFUNCTION("""COMPUTED_VALUE"""),0.0)</f>
        <v>0</v>
      </c>
      <c r="AX178" s="4">
        <f>IFERROR(__xludf.DUMMYFUNCTION("""COMPUTED_VALUE"""),0.0)</f>
        <v>0</v>
      </c>
      <c r="AY178" s="4"/>
      <c r="AZ178" s="4" t="str">
        <f>IFERROR(__xludf.DUMMYFUNCTION("""COMPUTED_VALUE"""),"Doces &amp; Bolos")</f>
        <v>Doces &amp; Bolos</v>
      </c>
      <c r="BA178" s="4">
        <f>IFERROR(__xludf.DUMMYFUNCTION("""COMPUTED_VALUE"""),64.0)</f>
        <v>64</v>
      </c>
      <c r="BB178" s="4" t="str">
        <f>IFERROR(__xludf.DUMMYFUNCTION("""COMPUTED_VALUE"""),"Fast Casual - Multi-conceito")</f>
        <v>Fast Casual - Multi-conceito</v>
      </c>
      <c r="BC178" s="4" t="str">
        <f>IFERROR(__xludf.DUMMYFUNCTION("""COMPUTED_VALUE"""),"Regional")</f>
        <v>Regional</v>
      </c>
      <c r="BD178" s="4" t="str">
        <f>IFERROR(__xludf.DUMMYFUNCTION("""COMPUTED_VALUE"""),"Dado não disponível publicamente - Necessário Discovery")</f>
        <v>Dado não disponível publicamente - Necessário Discovery</v>
      </c>
      <c r="BE178" s="4">
        <f>IFERROR(__xludf.DUMMYFUNCTION("""COMPUTED_VALUE"""),70.0)</f>
        <v>70</v>
      </c>
      <c r="BF178" s="4">
        <f>IFERROR(__xludf.DUMMYFUNCTION("""COMPUTED_VALUE"""),0.75)</f>
        <v>0.75</v>
      </c>
      <c r="BG17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78" s="4" t="s">
        <v>63</v>
      </c>
      <c r="BI178" s="7" t="s">
        <v>63</v>
      </c>
    </row>
    <row r="179" hidden="1">
      <c r="A179" s="4" t="str">
        <f>IFERROR(__xludf.DUMMYFUNCTION("""COMPUTED_VALUE"""),"PICANHARIA DOS AMIGOS")</f>
        <v>PICANHARIA DOS AMIGOS</v>
      </c>
      <c r="B179" s="4" t="str">
        <f>IFERROR(__xludf.DUMMYFUNCTION("""COMPUTED_VALUE"""),"João Biagiotti")</f>
        <v>João Biagiotti</v>
      </c>
      <c r="C179" s="4" t="str">
        <f>IFERROR(__xludf.DUMMYFUNCTION("""COMPUTED_VALUE"""),"Diego Santos")</f>
        <v>Diego Santos</v>
      </c>
      <c r="D179" s="4" t="str">
        <f>IFERROR(__xludf.DUMMYFUNCTION("""COMPUTED_VALUE"""),"10. Perdido")</f>
        <v>10. Perdido</v>
      </c>
      <c r="E179" s="4" t="str">
        <f>IFERROR(__xludf.DUMMYFUNCTION("""COMPUTED_VALUE"""),"Perdido -  Momento do restaurante não favorável")</f>
        <v>Perdido -  Momento do restaurante não favorável</v>
      </c>
      <c r="F179" s="4" t="str">
        <f>IFERROR(__xludf.DUMMYFUNCTION("""COMPUTED_VALUE"""),"P")</f>
        <v>P</v>
      </c>
      <c r="G179" s="5">
        <f>IFERROR(__xludf.DUMMYFUNCTION("""COMPUTED_VALUE"""),46121.0)</f>
        <v>46121</v>
      </c>
      <c r="H179" s="4" t="str">
        <f>IFERROR(__xludf.DUMMYFUNCTION("""COMPUTED_VALUE"""),"Foi apresentado a área de salão e a solução 3S, parceiro informou que nao possui interesse em mudança de PDV no momento, parceiro esta com um atrito com delivery")</f>
        <v>Foi apresentado a área de salão e a solução 3S, parceiro informou que nao possui interesse em mudança de PDV no momento, parceiro esta com um atrito com delivery</v>
      </c>
      <c r="I179" s="6">
        <f>IFERROR(__xludf.DUMMYFUNCTION("""COMPUTED_VALUE"""),46120.45613427083)</f>
        <v>46120.45613</v>
      </c>
      <c r="J179" s="6">
        <f>IFERROR(__xludf.DUMMYFUNCTION("""COMPUTED_VALUE"""),46120.56265313657)</f>
        <v>46120.56265</v>
      </c>
      <c r="K179" s="6">
        <f>IFERROR(__xludf.DUMMYFUNCTION("""COMPUTED_VALUE"""),46120.66255542824)</f>
        <v>46120.66256</v>
      </c>
      <c r="L179" s="4"/>
      <c r="M179" s="4"/>
      <c r="N179" s="4"/>
      <c r="O179" s="4"/>
      <c r="P179" s="4"/>
      <c r="Q179" s="4"/>
      <c r="R179" s="6">
        <f>IFERROR(__xludf.DUMMYFUNCTION("""COMPUTED_VALUE"""),46129.507410949074)</f>
        <v>46129.50741</v>
      </c>
      <c r="S179" s="6">
        <f>IFERROR(__xludf.DUMMYFUNCTION("""COMPUTED_VALUE"""),46121.62412571759)</f>
        <v>46121.62413</v>
      </c>
      <c r="T179" s="4"/>
      <c r="U179" s="4"/>
      <c r="V179" s="4" t="str">
        <f>IFERROR(__xludf.DUMMYFUNCTION("""COMPUTED_VALUE"""),"Sem interesse em mudar de PDV")</f>
        <v>Sem interesse em mudar de PDV</v>
      </c>
      <c r="W179" s="4"/>
      <c r="X179" s="4"/>
      <c r="Y179" s="4"/>
      <c r="Z179" s="4"/>
      <c r="AA179" s="4">
        <f>IFERROR(__xludf.DUMMYFUNCTION("""COMPUTED_VALUE"""),5.0)</f>
        <v>5</v>
      </c>
      <c r="AB179" s="4" t="str">
        <f>IFERROR(__xludf.DUMMYFUNCTION("""COMPUTED_VALUE"""),"CE")</f>
        <v>CE</v>
      </c>
      <c r="AC179" s="4" t="str">
        <f>IFERROR(__xludf.DUMMYFUNCTION("""COMPUTED_VALUE"""),"Sim")</f>
        <v>Sim</v>
      </c>
      <c r="AD179" s="4" t="str">
        <f>IFERROR(__xludf.DUMMYFUNCTION("""COMPUTED_VALUE"""),"Ifood")</f>
        <v>Ifood</v>
      </c>
      <c r="AE179" s="4"/>
      <c r="AF179" s="4"/>
      <c r="AG179" s="4"/>
      <c r="AH179" s="4">
        <f>IFERROR(__xludf.DUMMYFUNCTION("""COMPUTED_VALUE"""),3.0)</f>
        <v>3</v>
      </c>
      <c r="AI179" s="4" t="str">
        <f>IFERROR(__xludf.DUMMYFUNCTION("""COMPUTED_VALUE"""),"118k")</f>
        <v>118k</v>
      </c>
      <c r="AJ179" s="4" t="str">
        <f>IFERROR(__xludf.DUMMYFUNCTION("""COMPUTED_VALUE"""),"Colibri")</f>
        <v>Colibri</v>
      </c>
      <c r="AK179" s="4" t="str">
        <f>IFERROR(__xludf.DUMMYFUNCTION("""COMPUTED_VALUE"""),"Delivery / Salão")</f>
        <v>Delivery / Salão</v>
      </c>
      <c r="AL179" s="4"/>
      <c r="AM179" s="4" t="str">
        <f>IFERROR(__xludf.DUMMYFUNCTION("""COMPUTED_VALUE"""),"FY27")</f>
        <v>FY27</v>
      </c>
      <c r="AN179" s="4"/>
      <c r="AO179" s="4">
        <f>IFERROR(__xludf.DUMMYFUNCTION("""COMPUTED_VALUE"""),94.0)</f>
        <v>94</v>
      </c>
      <c r="AP179" s="4" t="str">
        <f>IFERROR(__xludf.DUMMYFUNCTION("""COMPUTED_VALUE"""),"SP")</f>
        <v>SP</v>
      </c>
      <c r="AQ179" s="4" t="str">
        <f>IFERROR(__xludf.DUMMYFUNCTION("""COMPUTED_VALUE"""),"MONICA BERTACHI")</f>
        <v>MONICA BERTACHI</v>
      </c>
      <c r="AR179" s="4" t="str">
        <f>IFERROR(__xludf.DUMMYFUNCTION("""COMPUTED_VALUE"""),"MARIAM MORAD")</f>
        <v>MARIAM MORAD</v>
      </c>
      <c r="AS179" s="4" t="str">
        <f>IFERROR(__xludf.DUMMYFUNCTION("""COMPUTED_VALUE"""),"NATHALIE MERTENS")</f>
        <v>NATHALIE MERTENS</v>
      </c>
      <c r="AT179" s="4" t="str">
        <f>IFERROR(__xludf.DUMMYFUNCTION("""COMPUTED_VALUE"""),"MATHEUS LESSA")</f>
        <v>MATHEUS LESSA</v>
      </c>
      <c r="AU179" s="4">
        <f>IFERROR(__xludf.DUMMYFUNCTION("""COMPUTED_VALUE"""),0.0)</f>
        <v>0</v>
      </c>
      <c r="AV179" s="4">
        <f>IFERROR(__xludf.DUMMYFUNCTION("""COMPUTED_VALUE"""),0.0)</f>
        <v>0</v>
      </c>
      <c r="AW179" s="4">
        <f>IFERROR(__xludf.DUMMYFUNCTION("""COMPUTED_VALUE"""),0.0)</f>
        <v>0</v>
      </c>
      <c r="AX179" s="4">
        <f>IFERROR(__xludf.DUMMYFUNCTION("""COMPUTED_VALUE"""),0.0)</f>
        <v>0</v>
      </c>
      <c r="AY179" s="4"/>
      <c r="AZ179" s="4" t="str">
        <f>IFERROR(__xludf.DUMMYFUNCTION("""COMPUTED_VALUE"""),"Brasileira")</f>
        <v>Brasileira</v>
      </c>
      <c r="BA179" s="4" t="str">
        <f>IFERROR(__xludf.DUMMYFUNCTION("""COMPUTED_VALUE"""),"")</f>
        <v/>
      </c>
      <c r="BB179" s="4" t="str">
        <f>IFERROR(__xludf.DUMMYFUNCTION("""COMPUTED_VALUE"""),"")</f>
        <v/>
      </c>
      <c r="BC179" s="4" t="str">
        <f>IFERROR(__xludf.DUMMYFUNCTION("""COMPUTED_VALUE"""),"")</f>
        <v/>
      </c>
      <c r="BD179" s="4" t="str">
        <f>IFERROR(__xludf.DUMMYFUNCTION("""COMPUTED_VALUE"""),"")</f>
        <v/>
      </c>
      <c r="BE179" s="4" t="str">
        <f>IFERROR(__xludf.DUMMYFUNCTION("""COMPUTED_VALUE"""),"")</f>
        <v/>
      </c>
      <c r="BF179" s="4" t="str">
        <f>IFERROR(__xludf.DUMMYFUNCTION("""COMPUTED_VALUE"""),"")</f>
        <v/>
      </c>
      <c r="BG179" s="4" t="str">
        <f>IFERROR(__xludf.DUMMYFUNCTION("""COMPUTED_VALUE"""),"")</f>
        <v/>
      </c>
      <c r="BH179" s="4" t="s">
        <v>74</v>
      </c>
      <c r="BI179" s="7">
        <v>0.6</v>
      </c>
    </row>
    <row r="180" hidden="1">
      <c r="A180" s="4" t="str">
        <f>IFERROR(__xludf.DUMMYFUNCTION("""COMPUTED_VALUE"""),"PITTSBURG")</f>
        <v>PITTSBURG</v>
      </c>
      <c r="B180" s="4" t="str">
        <f>IFERROR(__xludf.DUMMYFUNCTION("""COMPUTED_VALUE"""),"João Biagiotti")</f>
        <v>João Biagiotti</v>
      </c>
      <c r="C180" s="4" t="str">
        <f>IFERROR(__xludf.DUMMYFUNCTION("""COMPUTED_VALUE"""),"Diego Santos")</f>
        <v>Diego Santos</v>
      </c>
      <c r="D180" s="4" t="str">
        <f>IFERROR(__xludf.DUMMYFUNCTION("""COMPUTED_VALUE"""),"0. Não Iniciado")</f>
        <v>0. Não Iniciado</v>
      </c>
      <c r="E180" s="4"/>
      <c r="F180" s="4" t="str">
        <f>IFERROR(__xludf.DUMMYFUNCTION("""COMPUTED_VALUE"""),"P")</f>
        <v>P</v>
      </c>
      <c r="G180" s="4"/>
      <c r="H180" s="4"/>
      <c r="I180" s="4"/>
      <c r="J180" s="4"/>
      <c r="K180" s="4"/>
      <c r="L180" s="4"/>
      <c r="M180" s="4"/>
      <c r="N180" s="4"/>
      <c r="O180" s="4"/>
      <c r="P180" s="4"/>
      <c r="Q180" s="4"/>
      <c r="R180" s="4"/>
      <c r="S180" s="4"/>
      <c r="T180" s="4"/>
      <c r="U180" s="4"/>
      <c r="V180" s="4"/>
      <c r="W180" s="4"/>
      <c r="X180" s="4"/>
      <c r="Y180" s="4"/>
      <c r="Z180" s="4"/>
      <c r="AA180" s="4">
        <f>IFERROR(__xludf.DUMMYFUNCTION("""COMPUTED_VALUE"""),6.0)</f>
        <v>6</v>
      </c>
      <c r="AB180" s="4" t="str">
        <f>IFERROR(__xludf.DUMMYFUNCTION("""COMPUTED_VALUE"""),"CE")</f>
        <v>CE</v>
      </c>
      <c r="AC180" s="4" t="str">
        <f>IFERROR(__xludf.DUMMYFUNCTION("""COMPUTED_VALUE"""),"Sim")</f>
        <v>Sim</v>
      </c>
      <c r="AD180" s="4">
        <f>IFERROR(__xludf.DUMMYFUNCTION("""COMPUTED_VALUE"""),0.0)</f>
        <v>0</v>
      </c>
      <c r="AE180" s="4"/>
      <c r="AF180" s="4"/>
      <c r="AG180" s="4"/>
      <c r="AH180" s="4"/>
      <c r="AI180" s="4"/>
      <c r="AJ180" s="4"/>
      <c r="AK180" s="4"/>
      <c r="AL180" s="4"/>
      <c r="AM180" s="4" t="str">
        <f>IFERROR(__xludf.DUMMYFUNCTION("""COMPUTED_VALUE"""),"FY27")</f>
        <v>FY27</v>
      </c>
      <c r="AN180" s="4"/>
      <c r="AO180" s="4">
        <f>IFERROR(__xludf.DUMMYFUNCTION("""COMPUTED_VALUE"""),45553.0)</f>
        <v>45553</v>
      </c>
      <c r="AP180" s="4" t="str">
        <f>IFERROR(__xludf.DUMMYFUNCTION("""COMPUTED_VALUE"""),"RN")</f>
        <v>RN</v>
      </c>
      <c r="AQ180" s="4" t="str">
        <f>IFERROR(__xludf.DUMMYFUNCTION("""COMPUTED_VALUE"""),"TATIANY MEDEIROS")</f>
        <v>TATIANY MEDEIROS</v>
      </c>
      <c r="AR180" s="4" t="str">
        <f>IFERROR(__xludf.DUMMYFUNCTION("""COMPUTED_VALUE"""),"HUMBERTO FILHO")</f>
        <v>HUMBERTO FILHO</v>
      </c>
      <c r="AS180" s="4" t="str">
        <f>IFERROR(__xludf.DUMMYFUNCTION("""COMPUTED_VALUE"""),"THIAGO ROMAGNOLE")</f>
        <v>THIAGO ROMAGNOLE</v>
      </c>
      <c r="AT180" s="4" t="str">
        <f>IFERROR(__xludf.DUMMYFUNCTION("""COMPUTED_VALUE"""),"ANDERSON LAUREANO")</f>
        <v>ANDERSON LAUREANO</v>
      </c>
      <c r="AU180" s="4">
        <f>IFERROR(__xludf.DUMMYFUNCTION("""COMPUTED_VALUE"""),0.0)</f>
        <v>0</v>
      </c>
      <c r="AV180" s="4">
        <f>IFERROR(__xludf.DUMMYFUNCTION("""COMPUTED_VALUE"""),0.0)</f>
        <v>0</v>
      </c>
      <c r="AW180" s="4">
        <f>IFERROR(__xludf.DUMMYFUNCTION("""COMPUTED_VALUE"""),0.0)</f>
        <v>0</v>
      </c>
      <c r="AX180" s="4">
        <f>IFERROR(__xludf.DUMMYFUNCTION("""COMPUTED_VALUE"""),0.0)</f>
        <v>0</v>
      </c>
      <c r="AY180" s="4"/>
      <c r="AZ180" s="4" t="str">
        <f>IFERROR(__xludf.DUMMYFUNCTION("""COMPUTED_VALUE"""),"Doces &amp; Bolos")</f>
        <v>Doces &amp; Bolos</v>
      </c>
      <c r="BA180" s="4">
        <f>IFERROR(__xludf.DUMMYFUNCTION("""COMPUTED_VALUE"""),67.0)</f>
        <v>67</v>
      </c>
      <c r="BB180" s="4" t="str">
        <f>IFERROR(__xludf.DUMMYFUNCTION("""COMPUTED_VALUE"""),"Fast Casual - Multi-conceito")</f>
        <v>Fast Casual - Multi-conceito</v>
      </c>
      <c r="BC180" s="4" t="str">
        <f>IFERROR(__xludf.DUMMYFUNCTION("""COMPUTED_VALUE"""),"Interior SP")</f>
        <v>Interior SP</v>
      </c>
      <c r="BD180" s="4" t="str">
        <f>IFERROR(__xludf.DUMMYFUNCTION("""COMPUTED_VALUE"""),"Dado não disponível publicamente - Necessário Discovery")</f>
        <v>Dado não disponível publicamente - Necessário Discovery</v>
      </c>
      <c r="BE180" s="4">
        <f>IFERROR(__xludf.DUMMYFUNCTION("""COMPUTED_VALUE"""),70.0)</f>
        <v>70</v>
      </c>
      <c r="BF180" s="4">
        <f>IFERROR(__xludf.DUMMYFUNCTION("""COMPUTED_VALUE"""),0.75)</f>
        <v>0.75</v>
      </c>
      <c r="BG18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80" s="4" t="s">
        <v>83</v>
      </c>
      <c r="BI180" s="7">
        <v>0.6363636363636364</v>
      </c>
    </row>
    <row r="181" hidden="1">
      <c r="A181" s="4" t="str">
        <f>IFERROR(__xludf.DUMMYFUNCTION("""COMPUTED_VALUE"""),"PIZZA SCUOLA")</f>
        <v>PIZZA SCUOLA</v>
      </c>
      <c r="B181" s="4" t="str">
        <f>IFERROR(__xludf.DUMMYFUNCTION("""COMPUTED_VALUE"""),"João Biagiotti")</f>
        <v>João Biagiotti</v>
      </c>
      <c r="C181" s="4" t="str">
        <f>IFERROR(__xludf.DUMMYFUNCTION("""COMPUTED_VALUE"""),"Diego Santos")</f>
        <v>Diego Santos</v>
      </c>
      <c r="D181" s="4" t="str">
        <f>IFERROR(__xludf.DUMMYFUNCTION("""COMPUTED_VALUE"""),"1. Iniciado")</f>
        <v>1. Iniciado</v>
      </c>
      <c r="E181" s="4" t="str">
        <f>IFERROR(__xludf.DUMMYFUNCTION("""COMPUTED_VALUE"""),"Delivery - Conciliação agenda com parceiro")</f>
        <v>Delivery - Conciliação agenda com parceiro</v>
      </c>
      <c r="F181" s="4" t="str">
        <f>IFERROR(__xludf.DUMMYFUNCTION("""COMPUTED_VALUE"""),"P")</f>
        <v>P</v>
      </c>
      <c r="G181" s="5">
        <f>IFERROR(__xludf.DUMMYFUNCTION("""COMPUTED_VALUE"""),46125.0)</f>
        <v>46125</v>
      </c>
      <c r="H181" s="4" t="str">
        <f>IFERROR(__xludf.DUMMYFUNCTION("""COMPUTED_VALUE"""),"Delivery estã verificando a possibilidade de uma agenda")</f>
        <v>Delivery estã verificando a possibilidade de uma agenda</v>
      </c>
      <c r="I181" s="6">
        <f>IFERROR(__xludf.DUMMYFUNCTION("""COMPUTED_VALUE"""),46125.58508846065)</f>
        <v>46125.58509</v>
      </c>
      <c r="J181" s="4"/>
      <c r="K181" s="4"/>
      <c r="L181" s="4"/>
      <c r="M181" s="4"/>
      <c r="N181" s="4"/>
      <c r="O181" s="4"/>
      <c r="P181" s="4"/>
      <c r="Q181" s="4"/>
      <c r="R181" s="4"/>
      <c r="S181" s="4"/>
      <c r="T181" s="4"/>
      <c r="U181" s="4"/>
      <c r="V181" s="4"/>
      <c r="W181" s="4"/>
      <c r="X181" s="4"/>
      <c r="Y181" s="4"/>
      <c r="Z181" s="4"/>
      <c r="AA181" s="4">
        <f>IFERROR(__xludf.DUMMYFUNCTION("""COMPUTED_VALUE"""),5.0)</f>
        <v>5</v>
      </c>
      <c r="AB181" s="4" t="str">
        <f>IFERROR(__xludf.DUMMYFUNCTION("""COMPUTED_VALUE"""),"CE")</f>
        <v>CE</v>
      </c>
      <c r="AC181" s="4" t="str">
        <f>IFERROR(__xludf.DUMMYFUNCTION("""COMPUTED_VALUE"""),"Sim")</f>
        <v>Sim</v>
      </c>
      <c r="AD181" s="4" t="str">
        <f>IFERROR(__xludf.DUMMYFUNCTION("""COMPUTED_VALUE"""),"Ifood")</f>
        <v>Ifood</v>
      </c>
      <c r="AE181" s="4"/>
      <c r="AF181" s="4"/>
      <c r="AG181" s="4"/>
      <c r="AH181" s="4"/>
      <c r="AI181" s="4"/>
      <c r="AJ181" s="4"/>
      <c r="AK181" s="4" t="str">
        <f>IFERROR(__xludf.DUMMYFUNCTION("""COMPUTED_VALUE"""),"Salão / Delivery")</f>
        <v>Salão / Delivery</v>
      </c>
      <c r="AL181" s="4" t="str">
        <f>IFERROR(__xludf.DUMMYFUNCTION("""COMPUTED_VALUE"""),"Sim")</f>
        <v>Sim</v>
      </c>
      <c r="AM181" s="4" t="str">
        <f>IFERROR(__xludf.DUMMYFUNCTION("""COMPUTED_VALUE"""),"FY27")</f>
        <v>FY27</v>
      </c>
      <c r="AN181" s="4"/>
      <c r="AO181" s="4">
        <f>IFERROR(__xludf.DUMMYFUNCTION("""COMPUTED_VALUE"""),90.0)</f>
        <v>90</v>
      </c>
      <c r="AP181" s="4" t="str">
        <f>IFERROR(__xludf.DUMMYFUNCTION("""COMPUTED_VALUE"""),"MG")</f>
        <v>MG</v>
      </c>
      <c r="AQ181" s="4" t="str">
        <f>IFERROR(__xludf.DUMMYFUNCTION("""COMPUTED_VALUE"""),"JOAO BAR")</f>
        <v>JOAO BAR</v>
      </c>
      <c r="AR181" s="4" t="str">
        <f>IFERROR(__xludf.DUMMYFUNCTION("""COMPUTED_VALUE"""),"ARTHUR TAVARES")</f>
        <v>ARTHUR TAVARES</v>
      </c>
      <c r="AS181" s="4" t="str">
        <f>IFERROR(__xludf.DUMMYFUNCTION("""COMPUTED_VALUE"""),"FABIO DONATO")</f>
        <v>FABIO DONATO</v>
      </c>
      <c r="AT181" s="4" t="str">
        <f>IFERROR(__xludf.DUMMYFUNCTION("""COMPUTED_VALUE"""),"GILSON JUNIOR")</f>
        <v>GILSON JUNIOR</v>
      </c>
      <c r="AU181" s="4">
        <f>IFERROR(__xludf.DUMMYFUNCTION("""COMPUTED_VALUE"""),0.0)</f>
        <v>0</v>
      </c>
      <c r="AV181" s="4">
        <f>IFERROR(__xludf.DUMMYFUNCTION("""COMPUTED_VALUE"""),0.0)</f>
        <v>0</v>
      </c>
      <c r="AW181" s="4">
        <f>IFERROR(__xludf.DUMMYFUNCTION("""COMPUTED_VALUE"""),0.0)</f>
        <v>0</v>
      </c>
      <c r="AX181" s="4">
        <f>IFERROR(__xludf.DUMMYFUNCTION("""COMPUTED_VALUE"""),0.0)</f>
        <v>0</v>
      </c>
      <c r="AY181" s="4" t="str">
        <f>IFERROR(__xludf.DUMMYFUNCTION("""COMPUTED_VALUE"""),"Anota Ai Solucoes Digitais S/a")</f>
        <v>Anota Ai Solucoes Digitais S/a</v>
      </c>
      <c r="AZ181" s="4" t="str">
        <f>IFERROR(__xludf.DUMMYFUNCTION("""COMPUTED_VALUE"""),"Pizza")</f>
        <v>Pizza</v>
      </c>
      <c r="BA181" s="4">
        <f>IFERROR(__xludf.DUMMYFUNCTION("""COMPUTED_VALUE"""),64.0)</f>
        <v>64</v>
      </c>
      <c r="BB181" s="4" t="str">
        <f>IFERROR(__xludf.DUMMYFUNCTION("""COMPUTED_VALUE"""),"Fast Casual - Pizzaria")</f>
        <v>Fast Casual - Pizzaria</v>
      </c>
      <c r="BC181" s="4" t="str">
        <f>IFERROR(__xludf.DUMMYFUNCTION("""COMPUTED_VALUE"""),"Interior SP")</f>
        <v>Interior SP</v>
      </c>
      <c r="BD181" s="4" t="str">
        <f>IFERROR(__xludf.DUMMYFUNCTION("""COMPUTED_VALUE"""),"Dado não disponível publicamente - Necessário Discovery")</f>
        <v>Dado não disponível publicamente - Necessário Discovery</v>
      </c>
      <c r="BE181" s="4">
        <f>IFERROR(__xludf.DUMMYFUNCTION("""COMPUTED_VALUE"""),65.0)</f>
        <v>65</v>
      </c>
      <c r="BF181" s="4">
        <f>IFERROR(__xludf.DUMMYFUNCTION("""COMPUTED_VALUE"""),0.75)</f>
        <v>0.75</v>
      </c>
      <c r="BG18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81" s="4" t="s">
        <v>67</v>
      </c>
      <c r="BI181" s="7">
        <v>0.6666666666666666</v>
      </c>
    </row>
    <row r="182" hidden="1">
      <c r="A182" s="4" t="str">
        <f>IFERROR(__xludf.DUMMYFUNCTION("""COMPUTED_VALUE"""),"PIZZARIA E ESFIHARIA VILA VELHA")</f>
        <v>PIZZARIA E ESFIHARIA VILA VELHA</v>
      </c>
      <c r="B182" s="4" t="str">
        <f>IFERROR(__xludf.DUMMYFUNCTION("""COMPUTED_VALUE"""),"Lídia Esteves")</f>
        <v>Lídia Esteves</v>
      </c>
      <c r="C182" s="4" t="str">
        <f>IFERROR(__xludf.DUMMYFUNCTION("""COMPUTED_VALUE"""),"Gabriela Roma")</f>
        <v>Gabriela Roma</v>
      </c>
      <c r="D182" s="4" t="str">
        <f>IFERROR(__xludf.DUMMYFUNCTION("""COMPUTED_VALUE"""),"0. Não Iniciado")</f>
        <v>0. Não Iniciado</v>
      </c>
      <c r="E182" s="4"/>
      <c r="F182" s="4" t="str">
        <f>IFERROR(__xludf.DUMMYFUNCTION("""COMPUTED_VALUE"""),"P")</f>
        <v>P</v>
      </c>
      <c r="G182" s="4"/>
      <c r="H182" s="4"/>
      <c r="I182" s="4"/>
      <c r="J182" s="4"/>
      <c r="K182" s="4"/>
      <c r="L182" s="4"/>
      <c r="M182" s="4"/>
      <c r="N182" s="4"/>
      <c r="O182" s="4"/>
      <c r="P182" s="4"/>
      <c r="Q182" s="4"/>
      <c r="R182" s="4"/>
      <c r="S182" s="4"/>
      <c r="T182" s="4"/>
      <c r="U182" s="4"/>
      <c r="V182" s="4"/>
      <c r="W182" s="4"/>
      <c r="X182" s="4"/>
      <c r="Y182" s="4"/>
      <c r="Z182" s="4"/>
      <c r="AA182" s="4">
        <f>IFERROR(__xludf.DUMMYFUNCTION("""COMPUTED_VALUE"""),7.0)</f>
        <v>7</v>
      </c>
      <c r="AB182" s="4" t="str">
        <f>IFERROR(__xludf.DUMMYFUNCTION("""COMPUTED_VALUE"""),"CE")</f>
        <v>CE</v>
      </c>
      <c r="AC182" s="4" t="str">
        <f>IFERROR(__xludf.DUMMYFUNCTION("""COMPUTED_VALUE"""),"Sim")</f>
        <v>Sim</v>
      </c>
      <c r="AD182" s="4" t="str">
        <f>IFERROR(__xludf.DUMMYFUNCTION("""COMPUTED_VALUE"""),"Ifood")</f>
        <v>Ifood</v>
      </c>
      <c r="AE182" s="4"/>
      <c r="AF182" s="4"/>
      <c r="AG182" s="4"/>
      <c r="AH182" s="4"/>
      <c r="AI182" s="4"/>
      <c r="AJ182" s="4"/>
      <c r="AK182" s="4"/>
      <c r="AL182" s="4"/>
      <c r="AM182" s="4" t="str">
        <f>IFERROR(__xludf.DUMMYFUNCTION("""COMPUTED_VALUE"""),"FY27")</f>
        <v>FY27</v>
      </c>
      <c r="AN182" s="4"/>
      <c r="AO182" s="4">
        <f>IFERROR(__xludf.DUMMYFUNCTION("""COMPUTED_VALUE"""),45553.0)</f>
        <v>45553</v>
      </c>
      <c r="AP182" s="4" t="str">
        <f>IFERROR(__xludf.DUMMYFUNCTION("""COMPUTED_VALUE"""),"SP")</f>
        <v>SP</v>
      </c>
      <c r="AQ182" s="4" t="str">
        <f>IFERROR(__xludf.DUMMYFUNCTION("""COMPUTED_VALUE"""),"CAROLINE MORETTI")</f>
        <v>CAROLINE MORETTI</v>
      </c>
      <c r="AR182" s="4" t="str">
        <f>IFERROR(__xludf.DUMMYFUNCTION("""COMPUTED_VALUE"""),"INGRID OLIVEIRA")</f>
        <v>INGRID OLIVEIRA</v>
      </c>
      <c r="AS182" s="4" t="str">
        <f>IFERROR(__xludf.DUMMYFUNCTION("""COMPUTED_VALUE"""),"ALAN HADDAD")</f>
        <v>ALAN HADDAD</v>
      </c>
      <c r="AT182" s="4" t="str">
        <f>IFERROR(__xludf.DUMMYFUNCTION("""COMPUTED_VALUE"""),"GABRIEL PERES")</f>
        <v>GABRIEL PERES</v>
      </c>
      <c r="AU182" s="4">
        <f>IFERROR(__xludf.DUMMYFUNCTION("""COMPUTED_VALUE"""),0.0)</f>
        <v>0</v>
      </c>
      <c r="AV182" s="4">
        <f>IFERROR(__xludf.DUMMYFUNCTION("""COMPUTED_VALUE"""),0.0)</f>
        <v>0</v>
      </c>
      <c r="AW182" s="4">
        <f>IFERROR(__xludf.DUMMYFUNCTION("""COMPUTED_VALUE"""),0.0)</f>
        <v>0</v>
      </c>
      <c r="AX182" s="4">
        <f>IFERROR(__xludf.DUMMYFUNCTION("""COMPUTED_VALUE"""),0.0)</f>
        <v>0</v>
      </c>
      <c r="AY182" s="4"/>
      <c r="AZ182" s="4" t="str">
        <f>IFERROR(__xludf.DUMMYFUNCTION("""COMPUTED_VALUE"""),"Pizza")</f>
        <v>Pizza</v>
      </c>
      <c r="BA182" s="4">
        <f>IFERROR(__xludf.DUMMYFUNCTION("""COMPUTED_VALUE"""),60.0)</f>
        <v>60</v>
      </c>
      <c r="BB182" s="4" t="str">
        <f>IFERROR(__xludf.DUMMYFUNCTION("""COMPUTED_VALUE"""),"Fast Casual - Pizzaria")</f>
        <v>Fast Casual - Pizzaria</v>
      </c>
      <c r="BC182" s="4" t="str">
        <f>IFERROR(__xludf.DUMMYFUNCTION("""COMPUTED_VALUE"""),"Regional")</f>
        <v>Regional</v>
      </c>
      <c r="BD182" s="4" t="str">
        <f>IFERROR(__xludf.DUMMYFUNCTION("""COMPUTED_VALUE"""),"Dado não disponível publicamente - Necessário Discovery")</f>
        <v>Dado não disponível publicamente - Necessário Discovery</v>
      </c>
      <c r="BE182" s="4">
        <f>IFERROR(__xludf.DUMMYFUNCTION("""COMPUTED_VALUE"""),70.0)</f>
        <v>70</v>
      </c>
      <c r="BF182" s="4">
        <f>IFERROR(__xludf.DUMMYFUNCTION("""COMPUTED_VALUE"""),0.75)</f>
        <v>0.75</v>
      </c>
      <c r="BG18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82" s="4" t="s">
        <v>108</v>
      </c>
      <c r="BI182" s="7">
        <v>0.5714285714285714</v>
      </c>
    </row>
    <row r="183" hidden="1">
      <c r="A183" s="4" t="str">
        <f>IFERROR(__xludf.DUMMYFUNCTION("""COMPUTED_VALUE"""),"PIZZARIA PERONI")</f>
        <v>PIZZARIA PERONI</v>
      </c>
      <c r="B183" s="4" t="str">
        <f>IFERROR(__xludf.DUMMYFUNCTION("""COMPUTED_VALUE"""),"Lídia Esteves")</f>
        <v>Lídia Esteves</v>
      </c>
      <c r="C183" s="4" t="str">
        <f>IFERROR(__xludf.DUMMYFUNCTION("""COMPUTED_VALUE"""),"Gabriela Roma")</f>
        <v>Gabriela Roma</v>
      </c>
      <c r="D183" s="4" t="str">
        <f>IFERROR(__xludf.DUMMYFUNCTION("""COMPUTED_VALUE"""),"0. Não Iniciado")</f>
        <v>0. Não Iniciado</v>
      </c>
      <c r="E183" s="4"/>
      <c r="F183" s="4" t="str">
        <f>IFERROR(__xludf.DUMMYFUNCTION("""COMPUTED_VALUE"""),"P")</f>
        <v>P</v>
      </c>
      <c r="G183" s="4"/>
      <c r="H183" s="4"/>
      <c r="I183" s="4"/>
      <c r="J183" s="4"/>
      <c r="K183" s="4"/>
      <c r="L183" s="4"/>
      <c r="M183" s="4"/>
      <c r="N183" s="4"/>
      <c r="O183" s="4"/>
      <c r="P183" s="4"/>
      <c r="Q183" s="4"/>
      <c r="R183" s="4"/>
      <c r="S183" s="4"/>
      <c r="T183" s="4"/>
      <c r="U183" s="4"/>
      <c r="V183" s="4"/>
      <c r="W183" s="4"/>
      <c r="X183" s="4"/>
      <c r="Y183" s="4"/>
      <c r="Z183" s="4"/>
      <c r="AA183" s="4">
        <f>IFERROR(__xludf.DUMMYFUNCTION("""COMPUTED_VALUE"""),5.0)</f>
        <v>5</v>
      </c>
      <c r="AB183" s="4" t="str">
        <f>IFERROR(__xludf.DUMMYFUNCTION("""COMPUTED_VALUE"""),"CE")</f>
        <v>CE</v>
      </c>
      <c r="AC183" s="4" t="str">
        <f>IFERROR(__xludf.DUMMYFUNCTION("""COMPUTED_VALUE"""),"Sim")</f>
        <v>Sim</v>
      </c>
      <c r="AD183" s="4" t="str">
        <f>IFERROR(__xludf.DUMMYFUNCTION("""COMPUTED_VALUE"""),"Ifood")</f>
        <v>Ifood</v>
      </c>
      <c r="AE183" s="4"/>
      <c r="AF183" s="4"/>
      <c r="AG183" s="4"/>
      <c r="AH183" s="4"/>
      <c r="AI183" s="4"/>
      <c r="AJ183" s="4"/>
      <c r="AK183" s="4"/>
      <c r="AL183" s="4"/>
      <c r="AM183" s="4" t="str">
        <f>IFERROR(__xludf.DUMMYFUNCTION("""COMPUTED_VALUE"""),"FY27")</f>
        <v>FY27</v>
      </c>
      <c r="AN183" s="4"/>
      <c r="AO183" s="4">
        <f>IFERROR(__xludf.DUMMYFUNCTION("""COMPUTED_VALUE"""),45553.0)</f>
        <v>45553</v>
      </c>
      <c r="AP183" s="4" t="str">
        <f>IFERROR(__xludf.DUMMYFUNCTION("""COMPUTED_VALUE"""),"PR")</f>
        <v>PR</v>
      </c>
      <c r="AQ183" s="4" t="str">
        <f>IFERROR(__xludf.DUMMYFUNCTION("""COMPUTED_VALUE"""),"BRUNA MONTEZIN")</f>
        <v>BRUNA MONTEZIN</v>
      </c>
      <c r="AR183" s="4" t="str">
        <f>IFERROR(__xludf.DUMMYFUNCTION("""COMPUTED_VALUE"""),"PEDRO ARARIPE")</f>
        <v>PEDRO ARARIPE</v>
      </c>
      <c r="AS183" s="4" t="str">
        <f>IFERROR(__xludf.DUMMYFUNCTION("""COMPUTED_VALUE"""),"FABIO DONATO")</f>
        <v>FABIO DONATO</v>
      </c>
      <c r="AT183" s="4" t="str">
        <f>IFERROR(__xludf.DUMMYFUNCTION("""COMPUTED_VALUE"""),"MURILO NAGASHIMA")</f>
        <v>MURILO NAGASHIMA</v>
      </c>
      <c r="AU183" s="4">
        <f>IFERROR(__xludf.DUMMYFUNCTION("""COMPUTED_VALUE"""),0.0)</f>
        <v>0</v>
      </c>
      <c r="AV183" s="4">
        <f>IFERROR(__xludf.DUMMYFUNCTION("""COMPUTED_VALUE"""),0.0)</f>
        <v>0</v>
      </c>
      <c r="AW183" s="4">
        <f>IFERROR(__xludf.DUMMYFUNCTION("""COMPUTED_VALUE"""),0.0)</f>
        <v>0</v>
      </c>
      <c r="AX183" s="4">
        <f>IFERROR(__xludf.DUMMYFUNCTION("""COMPUTED_VALUE"""),0.0)</f>
        <v>0</v>
      </c>
      <c r="AY183" s="4" t="str">
        <f>IFERROR(__xludf.DUMMYFUNCTION("""COMPUTED_VALUE"""),"Cityfoods Ltda")</f>
        <v>Cityfoods Ltda</v>
      </c>
      <c r="AZ183" s="4" t="str">
        <f>IFERROR(__xludf.DUMMYFUNCTION("""COMPUTED_VALUE"""),"Pizza")</f>
        <v>Pizza</v>
      </c>
      <c r="BA183" s="4">
        <f>IFERROR(__xludf.DUMMYFUNCTION("""COMPUTED_VALUE"""),72.0)</f>
        <v>72</v>
      </c>
      <c r="BB183" s="4" t="str">
        <f>IFERROR(__xludf.DUMMYFUNCTION("""COMPUTED_VALUE"""),"Fast Casual - Pizzaria")</f>
        <v>Fast Casual - Pizzaria</v>
      </c>
      <c r="BC183" s="4" t="str">
        <f>IFERROR(__xludf.DUMMYFUNCTION("""COMPUTED_VALUE"""),"Interior SP")</f>
        <v>Interior SP</v>
      </c>
      <c r="BD183" s="4" t="str">
        <f>IFERROR(__xludf.DUMMYFUNCTION("""COMPUTED_VALUE"""),"Dado não disponível publicamente - Necessário Discovery")</f>
        <v>Dado não disponível publicamente - Necessário Discovery</v>
      </c>
      <c r="BE183" s="4">
        <f>IFERROR(__xludf.DUMMYFUNCTION("""COMPUTED_VALUE"""),70.0)</f>
        <v>70</v>
      </c>
      <c r="BF183" s="4">
        <f>IFERROR(__xludf.DUMMYFUNCTION("""COMPUTED_VALUE"""),0.8)</f>
        <v>0.8</v>
      </c>
      <c r="BG183"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183" s="4" t="s">
        <v>108</v>
      </c>
      <c r="BI183" s="7">
        <v>0.6</v>
      </c>
    </row>
    <row r="184" hidden="1">
      <c r="A184" s="4" t="str">
        <f>IFERROR(__xludf.DUMMYFUNCTION("""COMPUTED_VALUE"""),"PLANALTO DO CHOPP")</f>
        <v>PLANALTO DO CHOPP</v>
      </c>
      <c r="B184" s="4" t="str">
        <f>IFERROR(__xludf.DUMMYFUNCTION("""COMPUTED_VALUE"""),"Lídia Esteves")</f>
        <v>Lídia Esteves</v>
      </c>
      <c r="C184" s="4" t="str">
        <f>IFERROR(__xludf.DUMMYFUNCTION("""COMPUTED_VALUE"""),"Gabriela Roma")</f>
        <v>Gabriela Roma</v>
      </c>
      <c r="D184" s="4" t="str">
        <f>IFERROR(__xludf.DUMMYFUNCTION("""COMPUTED_VALUE"""),"1. Iniciado")</f>
        <v>1. Iniciado</v>
      </c>
      <c r="E184" s="4" t="str">
        <f>IFERROR(__xludf.DUMMYFUNCTION("""COMPUTED_VALUE"""),"Delivery - Aguardando retorno / Conciliação agenda")</f>
        <v>Delivery - Aguardando retorno / Conciliação agenda</v>
      </c>
      <c r="F184" s="4" t="str">
        <f>IFERROR(__xludf.DUMMYFUNCTION("""COMPUTED_VALUE"""),"P")</f>
        <v>P</v>
      </c>
      <c r="G184" s="4"/>
      <c r="H184" s="4"/>
      <c r="I184" s="6">
        <f>IFERROR(__xludf.DUMMYFUNCTION("""COMPUTED_VALUE"""),46121.68236662037)</f>
        <v>46121.68237</v>
      </c>
      <c r="J184" s="4"/>
      <c r="K184" s="4"/>
      <c r="L184" s="4"/>
      <c r="M184" s="4"/>
      <c r="N184" s="4"/>
      <c r="O184" s="4"/>
      <c r="P184" s="4"/>
      <c r="Q184" s="4"/>
      <c r="R184" s="4"/>
      <c r="S184" s="4"/>
      <c r="T184" s="4"/>
      <c r="U184" s="4"/>
      <c r="V184" s="4"/>
      <c r="W184" s="4"/>
      <c r="X184" s="4"/>
      <c r="Y184" s="4"/>
      <c r="Z184" s="4"/>
      <c r="AA184" s="4">
        <f>IFERROR(__xludf.DUMMYFUNCTION("""COMPUTED_VALUE"""),5.0)</f>
        <v>5</v>
      </c>
      <c r="AB184" s="4" t="str">
        <f>IFERROR(__xludf.DUMMYFUNCTION("""COMPUTED_VALUE"""),"CE")</f>
        <v>CE</v>
      </c>
      <c r="AC184" s="4" t="str">
        <f>IFERROR(__xludf.DUMMYFUNCTION("""COMPUTED_VALUE"""),"Sim")</f>
        <v>Sim</v>
      </c>
      <c r="AD184" s="4" t="str">
        <f>IFERROR(__xludf.DUMMYFUNCTION("""COMPUTED_VALUE"""),"Ifood")</f>
        <v>Ifood</v>
      </c>
      <c r="AE184" s="4"/>
      <c r="AF184" s="4"/>
      <c r="AG184" s="4"/>
      <c r="AH184" s="4"/>
      <c r="AI184" s="4"/>
      <c r="AJ184" s="4"/>
      <c r="AK184" s="4"/>
      <c r="AL184" s="4"/>
      <c r="AM184" s="4" t="str">
        <f>IFERROR(__xludf.DUMMYFUNCTION("""COMPUTED_VALUE"""),"FY27")</f>
        <v>FY27</v>
      </c>
      <c r="AN184" s="4"/>
      <c r="AO184" s="4">
        <f>IFERROR(__xludf.DUMMYFUNCTION("""COMPUTED_VALUE"""),45553.0)</f>
        <v>45553</v>
      </c>
      <c r="AP184" s="4" t="str">
        <f>IFERROR(__xludf.DUMMYFUNCTION("""COMPUTED_VALUE"""),"RJ")</f>
        <v>RJ</v>
      </c>
      <c r="AQ184" s="4" t="str">
        <f>IFERROR(__xludf.DUMMYFUNCTION("""COMPUTED_VALUE"""),"ANA SALLES")</f>
        <v>ANA SALLES</v>
      </c>
      <c r="AR184" s="4" t="str">
        <f>IFERROR(__xludf.DUMMYFUNCTION("""COMPUTED_VALUE"""),"MARCELLA BRAGA")</f>
        <v>MARCELLA BRAGA</v>
      </c>
      <c r="AS184" s="4" t="str">
        <f>IFERROR(__xludf.DUMMYFUNCTION("""COMPUTED_VALUE"""),"NATHALIE MERTENS")</f>
        <v>NATHALIE MERTENS</v>
      </c>
      <c r="AT184" s="4" t="str">
        <f>IFERROR(__xludf.DUMMYFUNCTION("""COMPUTED_VALUE"""),"NATALIA COUTINHO")</f>
        <v>NATALIA COUTINHO</v>
      </c>
      <c r="AU184" s="4">
        <f>IFERROR(__xludf.DUMMYFUNCTION("""COMPUTED_VALUE"""),0.0)</f>
        <v>0</v>
      </c>
      <c r="AV184" s="4">
        <f>IFERROR(__xludf.DUMMYFUNCTION("""COMPUTED_VALUE"""),0.0)</f>
        <v>0</v>
      </c>
      <c r="AW184" s="4">
        <f>IFERROR(__xludf.DUMMYFUNCTION("""COMPUTED_VALUE"""),0.0)</f>
        <v>0</v>
      </c>
      <c r="AX184" s="4">
        <f>IFERROR(__xludf.DUMMYFUNCTION("""COMPUTED_VALUE"""),0.0)</f>
        <v>0</v>
      </c>
      <c r="AY184" s="4"/>
      <c r="AZ184" s="4" t="str">
        <f>IFERROR(__xludf.DUMMYFUNCTION("""COMPUTED_VALUE"""),"Portuguesa")</f>
        <v>Portuguesa</v>
      </c>
      <c r="BA184" s="4">
        <f>IFERROR(__xludf.DUMMYFUNCTION("""COMPUTED_VALUE"""),65.0)</f>
        <v>65</v>
      </c>
      <c r="BB184" s="4" t="str">
        <f>IFERROR(__xludf.DUMMYFUNCTION("""COMPUTED_VALUE"""),"Fast Casual - Multi-conceito")</f>
        <v>Fast Casual - Multi-conceito</v>
      </c>
      <c r="BC184" s="4" t="str">
        <f>IFERROR(__xludf.DUMMYFUNCTION("""COMPUTED_VALUE"""),"Sudeste")</f>
        <v>Sudeste</v>
      </c>
      <c r="BD184" s="4" t="str">
        <f>IFERROR(__xludf.DUMMYFUNCTION("""COMPUTED_VALUE"""),"Dado não disponível publicamente - Necessário Discovery")</f>
        <v>Dado não disponível publicamente - Necessário Discovery</v>
      </c>
      <c r="BE184" s="4">
        <f>IFERROR(__xludf.DUMMYFUNCTION("""COMPUTED_VALUE"""),70.0)</f>
        <v>70</v>
      </c>
      <c r="BF184" s="4">
        <f>IFERROR(__xludf.DUMMYFUNCTION("""COMPUTED_VALUE"""),0.75)</f>
        <v>0.75</v>
      </c>
      <c r="BG18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84" s="4" t="s">
        <v>63</v>
      </c>
      <c r="BI184" s="7" t="s">
        <v>63</v>
      </c>
    </row>
    <row r="185" hidden="1">
      <c r="A185" s="4" t="str">
        <f>IFERROR(__xludf.DUMMYFUNCTION("""COMPUTED_VALUE"""),"POINT DO ACAI")</f>
        <v>POINT DO ACAI</v>
      </c>
      <c r="B185" s="4" t="str">
        <f>IFERROR(__xludf.DUMMYFUNCTION("""COMPUTED_VALUE"""),"João Biagiotti")</f>
        <v>João Biagiotti</v>
      </c>
      <c r="C185" s="4" t="str">
        <f>IFERROR(__xludf.DUMMYFUNCTION("""COMPUTED_VALUE"""),"Diego Santos")</f>
        <v>Diego Santos</v>
      </c>
      <c r="D185" s="4" t="str">
        <f>IFERROR(__xludf.DUMMYFUNCTION("""COMPUTED_VALUE"""),"0. Não Iniciado")</f>
        <v>0. Não Iniciado</v>
      </c>
      <c r="E185" s="4"/>
      <c r="F185" s="4" t="str">
        <f>IFERROR(__xludf.DUMMYFUNCTION("""COMPUTED_VALUE"""),"P")</f>
        <v>P</v>
      </c>
      <c r="G185" s="4"/>
      <c r="H185" s="4"/>
      <c r="I185" s="4"/>
      <c r="J185" s="4"/>
      <c r="K185" s="4"/>
      <c r="L185" s="4"/>
      <c r="M185" s="4"/>
      <c r="N185" s="4"/>
      <c r="O185" s="4"/>
      <c r="P185" s="4"/>
      <c r="Q185" s="4"/>
      <c r="R185" s="4"/>
      <c r="S185" s="4"/>
      <c r="T185" s="4"/>
      <c r="U185" s="4"/>
      <c r="V185" s="4"/>
      <c r="W185" s="4"/>
      <c r="X185" s="4"/>
      <c r="Y185" s="4"/>
      <c r="Z185" s="4"/>
      <c r="AA185" s="4">
        <f>IFERROR(__xludf.DUMMYFUNCTION("""COMPUTED_VALUE"""),15.0)</f>
        <v>15</v>
      </c>
      <c r="AB185" s="4" t="str">
        <f>IFERROR(__xludf.DUMMYFUNCTION("""COMPUTED_VALUE"""),"CE")</f>
        <v>CE</v>
      </c>
      <c r="AC185" s="4" t="str">
        <f>IFERROR(__xludf.DUMMYFUNCTION("""COMPUTED_VALUE"""),"Sim")</f>
        <v>Sim</v>
      </c>
      <c r="AD185" s="4" t="str">
        <f>IFERROR(__xludf.DUMMYFUNCTION("""COMPUTED_VALUE"""),"Ifood")</f>
        <v>Ifood</v>
      </c>
      <c r="AE185" s="4"/>
      <c r="AF185" s="4"/>
      <c r="AG185" s="4"/>
      <c r="AH185" s="4"/>
      <c r="AI185" s="4"/>
      <c r="AJ185" s="4"/>
      <c r="AK185" s="4"/>
      <c r="AL185" s="4"/>
      <c r="AM185" s="4" t="str">
        <f>IFERROR(__xludf.DUMMYFUNCTION("""COMPUTED_VALUE"""),"FY27")</f>
        <v>FY27</v>
      </c>
      <c r="AN185" s="4"/>
      <c r="AO185" s="4">
        <f>IFERROR(__xludf.DUMMYFUNCTION("""COMPUTED_VALUE"""),45553.0)</f>
        <v>45553</v>
      </c>
      <c r="AP185" s="4" t="str">
        <f>IFERROR(__xludf.DUMMYFUNCTION("""COMPUTED_VALUE"""),"PA")</f>
        <v>PA</v>
      </c>
      <c r="AQ185" s="4" t="str">
        <f>IFERROR(__xludf.DUMMYFUNCTION("""COMPUTED_VALUE"""),"JORGEANE LOBATO")</f>
        <v>JORGEANE LOBATO</v>
      </c>
      <c r="AR185" s="4" t="str">
        <f>IFERROR(__xludf.DUMMYFUNCTION("""COMPUTED_VALUE"""),"BELIZA LEAL")</f>
        <v>BELIZA LEAL</v>
      </c>
      <c r="AS185" s="4" t="str">
        <f>IFERROR(__xludf.DUMMYFUNCTION("""COMPUTED_VALUE"""),"THIAGO ROMAGNOLE")</f>
        <v>THIAGO ROMAGNOLE</v>
      </c>
      <c r="AT185" s="4" t="str">
        <f>IFERROR(__xludf.DUMMYFUNCTION("""COMPUTED_VALUE"""),"PAULO MODESTO")</f>
        <v>PAULO MODESTO</v>
      </c>
      <c r="AU185" s="4">
        <f>IFERROR(__xludf.DUMMYFUNCTION("""COMPUTED_VALUE"""),0.0)</f>
        <v>0</v>
      </c>
      <c r="AV185" s="4">
        <f>IFERROR(__xludf.DUMMYFUNCTION("""COMPUTED_VALUE"""),0.0)</f>
        <v>0</v>
      </c>
      <c r="AW185" s="4">
        <f>IFERROR(__xludf.DUMMYFUNCTION("""COMPUTED_VALUE"""),0.0)</f>
        <v>0</v>
      </c>
      <c r="AX185" s="4">
        <f>IFERROR(__xludf.DUMMYFUNCTION("""COMPUTED_VALUE"""),0.0)</f>
        <v>0</v>
      </c>
      <c r="AY185" s="4" t="str">
        <f>IFERROR(__xludf.DUMMYFUNCTION("""COMPUTED_VALUE"""),"L&amp;f Tecnologia Sistemas E Comercio Ltda")</f>
        <v>L&amp;f Tecnologia Sistemas E Comercio Ltda</v>
      </c>
      <c r="AZ185" s="4" t="str">
        <f>IFERROR(__xludf.DUMMYFUNCTION("""COMPUTED_VALUE"""),"Açaí")</f>
        <v>Açaí</v>
      </c>
      <c r="BA185" s="4">
        <f>IFERROR(__xludf.DUMMYFUNCTION("""COMPUTED_VALUE"""),38.0)</f>
        <v>38</v>
      </c>
      <c r="BB185" s="4" t="str">
        <f>IFERROR(__xludf.DUMMYFUNCTION("""COMPUTED_VALUE"""),"QSR - Açaí/Poke")</f>
        <v>QSR - Açaí/Poke</v>
      </c>
      <c r="BC185" s="4" t="str">
        <f>IFERROR(__xludf.DUMMYFUNCTION("""COMPUTED_VALUE"""),"Nordeste")</f>
        <v>Nordeste</v>
      </c>
      <c r="BD185" s="4" t="str">
        <f>IFERROR(__xludf.DUMMYFUNCTION("""COMPUTED_VALUE"""),"Dado não disponível publicamente - Necessário Discovery")</f>
        <v>Dado não disponível publicamente - Necessário Discovery</v>
      </c>
      <c r="BE185" s="4">
        <f>IFERROR(__xludf.DUMMYFUNCTION("""COMPUTED_VALUE"""),70.0)</f>
        <v>70</v>
      </c>
      <c r="BF185" s="4">
        <f>IFERROR(__xludf.DUMMYFUNCTION("""COMPUTED_VALUE"""),0.9)</f>
        <v>0.9</v>
      </c>
      <c r="BG185"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185" s="4" t="s">
        <v>64</v>
      </c>
      <c r="BI185" s="7">
        <v>0.2727272727272727</v>
      </c>
    </row>
    <row r="186" hidden="1">
      <c r="A186" s="4" t="str">
        <f>IFERROR(__xludf.DUMMYFUNCTION("""COMPUTED_VALUE"""),"PRESS - CONTA GRUPO")</f>
        <v>PRESS - CONTA GRUPO</v>
      </c>
      <c r="B186" s="4" t="str">
        <f>IFERROR(__xludf.DUMMYFUNCTION("""COMPUTED_VALUE"""),"Lídia Esteves")</f>
        <v>Lídia Esteves</v>
      </c>
      <c r="C186" s="4" t="str">
        <f>IFERROR(__xludf.DUMMYFUNCTION("""COMPUTED_VALUE"""),"Gabriela Roma")</f>
        <v>Gabriela Roma</v>
      </c>
      <c r="D186" s="4" t="str">
        <f>IFERROR(__xludf.DUMMYFUNCTION("""COMPUTED_VALUE"""),"0. Não Iniciado")</f>
        <v>0. Não Iniciado</v>
      </c>
      <c r="E186" s="4"/>
      <c r="F186" s="4" t="str">
        <f>IFERROR(__xludf.DUMMYFUNCTION("""COMPUTED_VALUE"""),"P")</f>
        <v>P</v>
      </c>
      <c r="G186" s="4"/>
      <c r="H186" s="4"/>
      <c r="I186" s="4"/>
      <c r="J186" s="4"/>
      <c r="K186" s="4"/>
      <c r="L186" s="4"/>
      <c r="M186" s="4"/>
      <c r="N186" s="4"/>
      <c r="O186" s="4"/>
      <c r="P186" s="4"/>
      <c r="Q186" s="4"/>
      <c r="R186" s="4"/>
      <c r="S186" s="4"/>
      <c r="T186" s="4"/>
      <c r="U186" s="4"/>
      <c r="V186" s="4"/>
      <c r="W186" s="4"/>
      <c r="X186" s="4"/>
      <c r="Y186" s="4"/>
      <c r="Z186" s="4"/>
      <c r="AA186" s="4">
        <f>IFERROR(__xludf.DUMMYFUNCTION("""COMPUTED_VALUE"""),7.0)</f>
        <v>7</v>
      </c>
      <c r="AB186" s="4" t="str">
        <f>IFERROR(__xludf.DUMMYFUNCTION("""COMPUTED_VALUE"""),"CE")</f>
        <v>CE</v>
      </c>
      <c r="AC186" s="4" t="str">
        <f>IFERROR(__xludf.DUMMYFUNCTION("""COMPUTED_VALUE"""),"Sim")</f>
        <v>Sim</v>
      </c>
      <c r="AD186" s="4" t="str">
        <f>IFERROR(__xludf.DUMMYFUNCTION("""COMPUTED_VALUE"""),"Ifood")</f>
        <v>Ifood</v>
      </c>
      <c r="AE186" s="4"/>
      <c r="AF186" s="4"/>
      <c r="AG186" s="4"/>
      <c r="AH186" s="4"/>
      <c r="AI186" s="4"/>
      <c r="AJ186" s="4"/>
      <c r="AK186" s="4"/>
      <c r="AL186" s="4"/>
      <c r="AM186" s="4" t="str">
        <f>IFERROR(__xludf.DUMMYFUNCTION("""COMPUTED_VALUE"""),"FY27")</f>
        <v>FY27</v>
      </c>
      <c r="AN186" s="4"/>
      <c r="AO186" s="4">
        <f>IFERROR(__xludf.DUMMYFUNCTION("""COMPUTED_VALUE"""),45553.0)</f>
        <v>45553</v>
      </c>
      <c r="AP186" s="4">
        <f>IFERROR(__xludf.DUMMYFUNCTION("""COMPUTED_VALUE"""),0.0)</f>
        <v>0</v>
      </c>
      <c r="AQ186" s="4">
        <f>IFERROR(__xludf.DUMMYFUNCTION("""COMPUTED_VALUE"""),0.0)</f>
        <v>0</v>
      </c>
      <c r="AR186" s="4">
        <f>IFERROR(__xludf.DUMMYFUNCTION("""COMPUTED_VALUE"""),0.0)</f>
        <v>0</v>
      </c>
      <c r="AS186" s="4">
        <f>IFERROR(__xludf.DUMMYFUNCTION("""COMPUTED_VALUE"""),0.0)</f>
        <v>0</v>
      </c>
      <c r="AT186" s="4">
        <f>IFERROR(__xludf.DUMMYFUNCTION("""COMPUTED_VALUE"""),0.0)</f>
        <v>0</v>
      </c>
      <c r="AU186" s="4">
        <f>IFERROR(__xludf.DUMMYFUNCTION("""COMPUTED_VALUE"""),0.0)</f>
        <v>0</v>
      </c>
      <c r="AV186" s="4">
        <f>IFERROR(__xludf.DUMMYFUNCTION("""COMPUTED_VALUE"""),0.0)</f>
        <v>0</v>
      </c>
      <c r="AW186" s="4">
        <f>IFERROR(__xludf.DUMMYFUNCTION("""COMPUTED_VALUE"""),0.0)</f>
        <v>0</v>
      </c>
      <c r="AX186" s="4">
        <f>IFERROR(__xludf.DUMMYFUNCTION("""COMPUTED_VALUE"""),0.0)</f>
        <v>0</v>
      </c>
      <c r="AY186" s="4"/>
      <c r="AZ186" s="4" t="str">
        <f>IFERROR(__xludf.DUMMYFUNCTION("""COMPUTED_VALUE"""),"Lanches")</f>
        <v>Lanches</v>
      </c>
      <c r="BA186" s="4">
        <f>IFERROR(__xludf.DUMMYFUNCTION("""COMPUTED_VALUE"""),78.0)</f>
        <v>78</v>
      </c>
      <c r="BB186" s="4" t="str">
        <f>IFERROR(__xludf.DUMMYFUNCTION("""COMPUTED_VALUE"""),"Grupo Multi-marca")</f>
        <v>Grupo Multi-marca</v>
      </c>
      <c r="BC186" s="4" t="str">
        <f>IFERROR(__xludf.DUMMYFUNCTION("""COMPUTED_VALUE"""),"Nordeste")</f>
        <v>Nordeste</v>
      </c>
      <c r="BD186" s="4" t="str">
        <f>IFERROR(__xludf.DUMMYFUNCTION("""COMPUTED_VALUE"""),"Dado não disponível publicamente - Necessário Discovery")</f>
        <v>Dado não disponível publicamente - Necessário Discovery</v>
      </c>
      <c r="BE186" s="4">
        <f>IFERROR(__xludf.DUMMYFUNCTION("""COMPUTED_VALUE"""),40.0)</f>
        <v>40</v>
      </c>
      <c r="BF186" s="4">
        <f>IFERROR(__xludf.DUMMYFUNCTION("""COMPUTED_VALUE"""),0.5)</f>
        <v>0.5</v>
      </c>
      <c r="BG186"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186" s="4" t="s">
        <v>109</v>
      </c>
      <c r="BI186" s="7">
        <v>1.0</v>
      </c>
    </row>
    <row r="187" hidden="1">
      <c r="A187" s="4" t="str">
        <f>IFERROR(__xludf.DUMMYFUNCTION("""COMPUTED_VALUE"""),"QUINA DO FUTURO")</f>
        <v>QUINA DO FUTURO</v>
      </c>
      <c r="B187" s="4" t="str">
        <f>IFERROR(__xludf.DUMMYFUNCTION("""COMPUTED_VALUE"""),"João Biagiotti")</f>
        <v>João Biagiotti</v>
      </c>
      <c r="C187" s="4" t="str">
        <f>IFERROR(__xludf.DUMMYFUNCTION("""COMPUTED_VALUE"""),"Diego Santos")</f>
        <v>Diego Santos</v>
      </c>
      <c r="D187" s="4" t="str">
        <f>IFERROR(__xludf.DUMMYFUNCTION("""COMPUTED_VALUE"""),"0. Não Iniciado")</f>
        <v>0. Não Iniciado</v>
      </c>
      <c r="E187" s="4"/>
      <c r="F187" s="4" t="str">
        <f>IFERROR(__xludf.DUMMYFUNCTION("""COMPUTED_VALUE"""),"P")</f>
        <v>P</v>
      </c>
      <c r="G187" s="4"/>
      <c r="H187" s="4"/>
      <c r="I187" s="4"/>
      <c r="J187" s="4"/>
      <c r="K187" s="4"/>
      <c r="L187" s="4"/>
      <c r="M187" s="4"/>
      <c r="N187" s="4"/>
      <c r="O187" s="4"/>
      <c r="P187" s="4"/>
      <c r="Q187" s="4"/>
      <c r="R187" s="4"/>
      <c r="S187" s="4"/>
      <c r="T187" s="4"/>
      <c r="U187" s="4"/>
      <c r="V187" s="4"/>
      <c r="W187" s="4"/>
      <c r="X187" s="4"/>
      <c r="Y187" s="4"/>
      <c r="Z187" s="4"/>
      <c r="AA187" s="4">
        <f>IFERROR(__xludf.DUMMYFUNCTION("""COMPUTED_VALUE"""),5.0)</f>
        <v>5</v>
      </c>
      <c r="AB187" s="4" t="str">
        <f>IFERROR(__xludf.DUMMYFUNCTION("""COMPUTED_VALUE"""),"CE")</f>
        <v>CE</v>
      </c>
      <c r="AC187" s="4" t="str">
        <f>IFERROR(__xludf.DUMMYFUNCTION("""COMPUTED_VALUE"""),"Sim")</f>
        <v>Sim</v>
      </c>
      <c r="AD187" s="4" t="str">
        <f>IFERROR(__xludf.DUMMYFUNCTION("""COMPUTED_VALUE"""),"Totvs Large Enterprise Tecnologia S.a.")</f>
        <v>Totvs Large Enterprise Tecnologia S.a.</v>
      </c>
      <c r="AE187" s="4"/>
      <c r="AF187" s="4"/>
      <c r="AG187" s="4"/>
      <c r="AH187" s="4"/>
      <c r="AI187" s="4"/>
      <c r="AJ187" s="4"/>
      <c r="AK187" s="4"/>
      <c r="AL187" s="4"/>
      <c r="AM187" s="4" t="str">
        <f>IFERROR(__xludf.DUMMYFUNCTION("""COMPUTED_VALUE"""),"FY27")</f>
        <v>FY27</v>
      </c>
      <c r="AN187" s="4"/>
      <c r="AO187" s="4">
        <f>IFERROR(__xludf.DUMMYFUNCTION("""COMPUTED_VALUE"""),45553.0)</f>
        <v>45553</v>
      </c>
      <c r="AP187" s="4" t="str">
        <f>IFERROR(__xludf.DUMMYFUNCTION("""COMPUTED_VALUE"""),"PE")</f>
        <v>PE</v>
      </c>
      <c r="AQ187" s="4" t="str">
        <f>IFERROR(__xludf.DUMMYFUNCTION("""COMPUTED_VALUE"""),"JENNIFER SIQUEIRA")</f>
        <v>JENNIFER SIQUEIRA</v>
      </c>
      <c r="AR187" s="4" t="str">
        <f>IFERROR(__xludf.DUMMYFUNCTION("""COMPUTED_VALUE"""),"GABRIELLA SARAIVA")</f>
        <v>GABRIELLA SARAIVA</v>
      </c>
      <c r="AS187" s="4" t="str">
        <f>IFERROR(__xludf.DUMMYFUNCTION("""COMPUTED_VALUE"""),"THIAGO ROMAGNOLE")</f>
        <v>THIAGO ROMAGNOLE</v>
      </c>
      <c r="AT187" s="4" t="str">
        <f>IFERROR(__xludf.DUMMYFUNCTION("""COMPUTED_VALUE"""),"ANDERSON LAUREANO")</f>
        <v>ANDERSON LAUREANO</v>
      </c>
      <c r="AU187" s="4">
        <f>IFERROR(__xludf.DUMMYFUNCTION("""COMPUTED_VALUE"""),0.0)</f>
        <v>0</v>
      </c>
      <c r="AV187" s="4">
        <f>IFERROR(__xludf.DUMMYFUNCTION("""COMPUTED_VALUE"""),0.0)</f>
        <v>0</v>
      </c>
      <c r="AW187" s="4">
        <f>IFERROR(__xludf.DUMMYFUNCTION("""COMPUTED_VALUE"""),0.0)</f>
        <v>0</v>
      </c>
      <c r="AX187" s="4">
        <f>IFERROR(__xludf.DUMMYFUNCTION("""COMPUTED_VALUE"""),0.0)</f>
        <v>0</v>
      </c>
      <c r="AY187" s="4"/>
      <c r="AZ187" s="4" t="str">
        <f>IFERROR(__xludf.DUMMYFUNCTION("""COMPUTED_VALUE"""),"Japonesa")</f>
        <v>Japonesa</v>
      </c>
      <c r="BA187" s="4">
        <f>IFERROR(__xludf.DUMMYFUNCTION("""COMPUTED_VALUE"""),73.0)</f>
        <v>73</v>
      </c>
      <c r="BB187" s="4" t="str">
        <f>IFERROR(__xludf.DUMMYFUNCTION("""COMPUTED_VALUE"""),"Fast Casual - Multi-conceito")</f>
        <v>Fast Casual - Multi-conceito</v>
      </c>
      <c r="BC187" s="4" t="str">
        <f>IFERROR(__xludf.DUMMYFUNCTION("""COMPUTED_VALUE"""),"Belo Horizonte/MG")</f>
        <v>Belo Horizonte/MG</v>
      </c>
      <c r="BD187" s="4" t="str">
        <f>IFERROR(__xludf.DUMMYFUNCTION("""COMPUTED_VALUE"""),"Dado não disponível publicamente - Necessário Discovery")</f>
        <v>Dado não disponível publicamente - Necessário Discovery</v>
      </c>
      <c r="BE187" s="4">
        <f>IFERROR(__xludf.DUMMYFUNCTION("""COMPUTED_VALUE"""),70.0)</f>
        <v>70</v>
      </c>
      <c r="BF187" s="4">
        <f>IFERROR(__xludf.DUMMYFUNCTION("""COMPUTED_VALUE"""),0.75)</f>
        <v>0.75</v>
      </c>
      <c r="BG18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87" s="4" t="s">
        <v>78</v>
      </c>
      <c r="BI187" s="7">
        <v>1.0</v>
      </c>
    </row>
    <row r="188" hidden="1">
      <c r="A188" s="4" t="str">
        <f>IFERROR(__xludf.DUMMYFUNCTION("""COMPUTED_VALUE"""),"RED BURGER")</f>
        <v>RED BURGER</v>
      </c>
      <c r="B188" s="4" t="str">
        <f>IFERROR(__xludf.DUMMYFUNCTION("""COMPUTED_VALUE"""),"João Biagiotti")</f>
        <v>João Biagiotti</v>
      </c>
      <c r="C188" s="4" t="str">
        <f>IFERROR(__xludf.DUMMYFUNCTION("""COMPUTED_VALUE"""),"Diego Santos")</f>
        <v>Diego Santos</v>
      </c>
      <c r="D188" s="4" t="str">
        <f>IFERROR(__xludf.DUMMYFUNCTION("""COMPUTED_VALUE"""),"1. Iniciado")</f>
        <v>1. Iniciado</v>
      </c>
      <c r="E188" s="4" t="str">
        <f>IFERROR(__xludf.DUMMYFUNCTION("""COMPUTED_VALUE"""),"Delivery - Aguardando retorno executivo")</f>
        <v>Delivery - Aguardando retorno executivo</v>
      </c>
      <c r="F188" s="4" t="str">
        <f>IFERROR(__xludf.DUMMYFUNCTION("""COMPUTED_VALUE"""),"P")</f>
        <v>P</v>
      </c>
      <c r="G188" s="5">
        <f>IFERROR(__xludf.DUMMYFUNCTION("""COMPUTED_VALUE"""),46134.0)</f>
        <v>46134</v>
      </c>
      <c r="H188" s="4" t="str">
        <f>IFERROR(__xludf.DUMMYFUNCTION("""COMPUTED_VALUE"""),"Foi enviado mensagem para o executivo e coordenadora, aguardando retorno")</f>
        <v>Foi enviado mensagem para o executivo e coordenadora, aguardando retorno</v>
      </c>
      <c r="I188" s="6">
        <f>IFERROR(__xludf.DUMMYFUNCTION("""COMPUTED_VALUE"""),46128.642131678236)</f>
        <v>46128.64213</v>
      </c>
      <c r="J188" s="4"/>
      <c r="K188" s="4"/>
      <c r="L188" s="4"/>
      <c r="M188" s="4"/>
      <c r="N188" s="4"/>
      <c r="O188" s="4"/>
      <c r="P188" s="4"/>
      <c r="Q188" s="4"/>
      <c r="R188" s="4"/>
      <c r="S188" s="4"/>
      <c r="T188" s="4"/>
      <c r="U188" s="4"/>
      <c r="V188" s="4"/>
      <c r="W188" s="4"/>
      <c r="X188" s="4"/>
      <c r="Y188" s="4"/>
      <c r="Z188" s="4"/>
      <c r="AA188" s="4">
        <f>IFERROR(__xludf.DUMMYFUNCTION("""COMPUTED_VALUE"""),6.0)</f>
        <v>6</v>
      </c>
      <c r="AB188" s="14" t="str">
        <f>IFERROR(__xludf.DUMMYFUNCTION("""COMPUTED_VALUE"""),"CE")</f>
        <v>CE</v>
      </c>
      <c r="AC188" s="4" t="str">
        <f>IFERROR(__xludf.DUMMYFUNCTION("""COMPUTED_VALUE"""),"Sim")</f>
        <v>Sim</v>
      </c>
      <c r="AD188" s="4" t="str">
        <f>IFERROR(__xludf.DUMMYFUNCTION("""COMPUTED_VALUE"""),"Ifood")</f>
        <v>Ifood</v>
      </c>
      <c r="AE188" s="4"/>
      <c r="AF188" s="4"/>
      <c r="AG188" s="4"/>
      <c r="AH188" s="4"/>
      <c r="AI188" s="4"/>
      <c r="AJ188" s="4"/>
      <c r="AK188" s="4"/>
      <c r="AL188" s="4"/>
      <c r="AM188" s="4" t="str">
        <f>IFERROR(__xludf.DUMMYFUNCTION("""COMPUTED_VALUE"""),"FY27")</f>
        <v>FY27</v>
      </c>
      <c r="AN188" s="4"/>
      <c r="AO188" s="4">
        <f>IFERROR(__xludf.DUMMYFUNCTION("""COMPUTED_VALUE"""),81.0)</f>
        <v>81</v>
      </c>
      <c r="AP188" s="4" t="str">
        <f>IFERROR(__xludf.DUMMYFUNCTION("""COMPUTED_VALUE"""),"BA")</f>
        <v>BA</v>
      </c>
      <c r="AQ188" s="4" t="str">
        <f>IFERROR(__xludf.DUMMYFUNCTION("""COMPUTED_VALUE"""),"MENEZES PAULA")</f>
        <v>MENEZES PAULA</v>
      </c>
      <c r="AR188" s="4" t="str">
        <f>IFERROR(__xludf.DUMMYFUNCTION("""COMPUTED_VALUE"""),"LAIS CARDOSO")</f>
        <v>LAIS CARDOSO</v>
      </c>
      <c r="AS188" s="4" t="str">
        <f>IFERROR(__xludf.DUMMYFUNCTION("""COMPUTED_VALUE"""),"THIAGO ROMAGNOLE")</f>
        <v>THIAGO ROMAGNOLE</v>
      </c>
      <c r="AT188" s="4" t="str">
        <f>IFERROR(__xludf.DUMMYFUNCTION("""COMPUTED_VALUE"""),"EDUARDO VAZ")</f>
        <v>EDUARDO VAZ</v>
      </c>
      <c r="AU188" s="4">
        <f>IFERROR(__xludf.DUMMYFUNCTION("""COMPUTED_VALUE"""),0.0)</f>
        <v>0</v>
      </c>
      <c r="AV188" s="4">
        <f>IFERROR(__xludf.DUMMYFUNCTION("""COMPUTED_VALUE"""),0.0)</f>
        <v>0</v>
      </c>
      <c r="AW188" s="4">
        <f>IFERROR(__xludf.DUMMYFUNCTION("""COMPUTED_VALUE"""),0.0)</f>
        <v>0</v>
      </c>
      <c r="AX188" s="4">
        <f>IFERROR(__xludf.DUMMYFUNCTION("""COMPUTED_VALUE"""),0.0)</f>
        <v>0</v>
      </c>
      <c r="AY188" s="4"/>
      <c r="AZ188" s="4" t="str">
        <f>IFERROR(__xludf.DUMMYFUNCTION("""COMPUTED_VALUE"""),"Lanches")</f>
        <v>Lanches</v>
      </c>
      <c r="BA188" s="4">
        <f>IFERROR(__xludf.DUMMYFUNCTION("""COMPUTED_VALUE"""),73.0)</f>
        <v>73</v>
      </c>
      <c r="BB188" s="12" t="str">
        <f>IFERROR(__xludf.DUMMYFUNCTION("""COMPUTED_VALUE"""),"Fast Casual - Hamburgueria")</f>
        <v>Fast Casual - Hamburgueria</v>
      </c>
      <c r="BC188" s="4" t="str">
        <f>IFERROR(__xludf.DUMMYFUNCTION("""COMPUTED_VALUE"""),"Brasília/DF")</f>
        <v>Brasília/DF</v>
      </c>
      <c r="BD188" s="4" t="str">
        <f>IFERROR(__xludf.DUMMYFUNCTION("""COMPUTED_VALUE"""),"Dado não disponível publicamente - Necessário Discovery")</f>
        <v>Dado não disponível publicamente - Necessário Discovery</v>
      </c>
      <c r="BE188" s="4">
        <f>IFERROR(__xludf.DUMMYFUNCTION("""COMPUTED_VALUE"""),70.0)</f>
        <v>70</v>
      </c>
      <c r="BF188" s="13">
        <f>IFERROR(__xludf.DUMMYFUNCTION("""COMPUTED_VALUE"""),0.75)</f>
        <v>0.75</v>
      </c>
      <c r="BG18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88" s="4" t="s">
        <v>75</v>
      </c>
      <c r="BI188" s="7">
        <v>0.8333333333333334</v>
      </c>
    </row>
    <row r="189" hidden="1">
      <c r="A189" s="4" t="str">
        <f>IFERROR(__xludf.DUMMYFUNCTION("""COMPUTED_VALUE"""),"REDE EJC ORIGINAL - CONTA MARCA")</f>
        <v>REDE EJC ORIGINAL - CONTA MARCA</v>
      </c>
      <c r="B189" s="4" t="str">
        <f>IFERROR(__xludf.DUMMYFUNCTION("""COMPUTED_VALUE"""),"Lídia Esteves")</f>
        <v>Lídia Esteves</v>
      </c>
      <c r="C189" s="4" t="str">
        <f>IFERROR(__xludf.DUMMYFUNCTION("""COMPUTED_VALUE"""),"Gabriela Roma")</f>
        <v>Gabriela Roma</v>
      </c>
      <c r="D189" s="4" t="str">
        <f>IFERROR(__xludf.DUMMYFUNCTION("""COMPUTED_VALUE"""),"0. Não Iniciado")</f>
        <v>0. Não Iniciado</v>
      </c>
      <c r="E189" s="4"/>
      <c r="F189" s="4" t="str">
        <f>IFERROR(__xludf.DUMMYFUNCTION("""COMPUTED_VALUE"""),"P")</f>
        <v>P</v>
      </c>
      <c r="G189" s="4"/>
      <c r="H189" s="4"/>
      <c r="I189" s="4"/>
      <c r="J189" s="4"/>
      <c r="K189" s="4"/>
      <c r="L189" s="4"/>
      <c r="M189" s="4"/>
      <c r="N189" s="4"/>
      <c r="O189" s="4"/>
      <c r="P189" s="4"/>
      <c r="Q189" s="4"/>
      <c r="R189" s="4"/>
      <c r="S189" s="4"/>
      <c r="T189" s="4"/>
      <c r="U189" s="4"/>
      <c r="V189" s="4"/>
      <c r="W189" s="4"/>
      <c r="X189" s="4"/>
      <c r="Y189" s="4"/>
      <c r="Z189" s="4"/>
      <c r="AA189" s="4">
        <f>IFERROR(__xludf.DUMMYFUNCTION("""COMPUTED_VALUE"""),11.0)</f>
        <v>11</v>
      </c>
      <c r="AB189" s="4" t="str">
        <f>IFERROR(__xludf.DUMMYFUNCTION("""COMPUTED_VALUE"""),"-")</f>
        <v>-</v>
      </c>
      <c r="AC189" s="4" t="str">
        <f>IFERROR(__xludf.DUMMYFUNCTION("""COMPUTED_VALUE"""),"Sim")</f>
        <v>Sim</v>
      </c>
      <c r="AD189" s="4">
        <f>IFERROR(__xludf.DUMMYFUNCTION("""COMPUTED_VALUE"""),0.0)</f>
        <v>0</v>
      </c>
      <c r="AE189" s="4"/>
      <c r="AF189" s="4"/>
      <c r="AG189" s="4"/>
      <c r="AH189" s="4"/>
      <c r="AI189" s="4"/>
      <c r="AJ189" s="4"/>
      <c r="AK189" s="4"/>
      <c r="AL189" s="4"/>
      <c r="AM189" s="4" t="str">
        <f>IFERROR(__xludf.DUMMYFUNCTION("""COMPUTED_VALUE"""),"FY27")</f>
        <v>FY27</v>
      </c>
      <c r="AN189" s="4"/>
      <c r="AO189" s="4">
        <f>IFERROR(__xludf.DUMMYFUNCTION("""COMPUTED_VALUE"""),45553.0)</f>
        <v>45553</v>
      </c>
      <c r="AP189" s="4" t="str">
        <f>IFERROR(__xludf.DUMMYFUNCTION("""COMPUTED_VALUE"""),"SC")</f>
        <v>SC</v>
      </c>
      <c r="AQ189" s="4" t="str">
        <f>IFERROR(__xludf.DUMMYFUNCTION("""COMPUTED_VALUE"""),"CINTIA PURCENO")</f>
        <v>CINTIA PURCENO</v>
      </c>
      <c r="AR189" s="4" t="str">
        <f>IFERROR(__xludf.DUMMYFUNCTION("""COMPUTED_VALUE"""),"JOSEANE MONTEIRO")</f>
        <v>JOSEANE MONTEIRO</v>
      </c>
      <c r="AS189" s="4" t="str">
        <f>IFERROR(__xludf.DUMMYFUNCTION("""COMPUTED_VALUE"""),"FABIO DONATO")</f>
        <v>FABIO DONATO</v>
      </c>
      <c r="AT189" s="4" t="str">
        <f>IFERROR(__xludf.DUMMYFUNCTION("""COMPUTED_VALUE"""),"CAMILA HOLANDA")</f>
        <v>CAMILA HOLANDA</v>
      </c>
      <c r="AU189" s="4">
        <f>IFERROR(__xludf.DUMMYFUNCTION("""COMPUTED_VALUE"""),0.0)</f>
        <v>0</v>
      </c>
      <c r="AV189" s="4">
        <f>IFERROR(__xludf.DUMMYFUNCTION("""COMPUTED_VALUE"""),0.0)</f>
        <v>0</v>
      </c>
      <c r="AW189" s="4">
        <f>IFERROR(__xludf.DUMMYFUNCTION("""COMPUTED_VALUE"""),0.0)</f>
        <v>0</v>
      </c>
      <c r="AX189" s="4">
        <f>IFERROR(__xludf.DUMMYFUNCTION("""COMPUTED_VALUE"""),0.0)</f>
        <v>0</v>
      </c>
      <c r="AY189" s="4"/>
      <c r="AZ189" s="4" t="str">
        <f>IFERROR(__xludf.DUMMYFUNCTION("""COMPUTED_VALUE"""),"Açaí")</f>
        <v>Açaí</v>
      </c>
      <c r="BA189" s="4">
        <f>IFERROR(__xludf.DUMMYFUNCTION("""COMPUTED_VALUE"""),57.0)</f>
        <v>57</v>
      </c>
      <c r="BB189" s="4" t="str">
        <f>IFERROR(__xludf.DUMMYFUNCTION("""COMPUTED_VALUE"""),"Fast Casual - Multi-conceito")</f>
        <v>Fast Casual - Multi-conceito</v>
      </c>
      <c r="BC189" s="4" t="str">
        <f>IFERROR(__xludf.DUMMYFUNCTION("""COMPUTED_VALUE"""),"Sudeste")</f>
        <v>Sudeste</v>
      </c>
      <c r="BD189" s="4" t="str">
        <f>IFERROR(__xludf.DUMMYFUNCTION("""COMPUTED_VALUE"""),"Dado não disponível publicamente - Necessário Discovery")</f>
        <v>Dado não disponível publicamente - Necessário Discovery</v>
      </c>
      <c r="BE189" s="4">
        <f>IFERROR(__xludf.DUMMYFUNCTION("""COMPUTED_VALUE"""),65.0)</f>
        <v>65</v>
      </c>
      <c r="BF189" s="4">
        <f>IFERROR(__xludf.DUMMYFUNCTION("""COMPUTED_VALUE"""),0.75)</f>
        <v>0.75</v>
      </c>
      <c r="BG18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89" s="4" t="s">
        <v>63</v>
      </c>
      <c r="BI189" s="7" t="s">
        <v>63</v>
      </c>
    </row>
    <row r="190" hidden="1">
      <c r="A190" s="4" t="str">
        <f>IFERROR(__xludf.DUMMYFUNCTION("""COMPUTED_VALUE"""),"REDE GOURMET")</f>
        <v>REDE GOURMET</v>
      </c>
      <c r="B190" s="4" t="str">
        <f>IFERROR(__xludf.DUMMYFUNCTION("""COMPUTED_VALUE"""),"João Biagiotti")</f>
        <v>João Biagiotti</v>
      </c>
      <c r="C190" s="4" t="str">
        <f>IFERROR(__xludf.DUMMYFUNCTION("""COMPUTED_VALUE"""),"Diego Santos")</f>
        <v>Diego Santos</v>
      </c>
      <c r="D190" s="4" t="str">
        <f>IFERROR(__xludf.DUMMYFUNCTION("""COMPUTED_VALUE"""),"1. Iniciado")</f>
        <v>1. Iniciado</v>
      </c>
      <c r="E190" s="4" t="str">
        <f>IFERROR(__xludf.DUMMYFUNCTION("""COMPUTED_VALUE"""),"Delivery - Conciliação agenda com parceiro")</f>
        <v>Delivery - Conciliação agenda com parceiro</v>
      </c>
      <c r="F190" s="4" t="str">
        <f>IFERROR(__xludf.DUMMYFUNCTION("""COMPUTED_VALUE"""),"P")</f>
        <v>P</v>
      </c>
      <c r="G190" s="5">
        <f>IFERROR(__xludf.DUMMYFUNCTION("""COMPUTED_VALUE"""),46125.0)</f>
        <v>46125</v>
      </c>
      <c r="H190" s="4" t="str">
        <f>IFERROR(__xludf.DUMMYFUNCTION("""COMPUTED_VALUE"""),"Faz sentido 3S, aguardando delivery agendar uma reunião")</f>
        <v>Faz sentido 3S, aguardando delivery agendar uma reunião</v>
      </c>
      <c r="I190" s="6">
        <f>IFERROR(__xludf.DUMMYFUNCTION("""COMPUTED_VALUE"""),46125.58511480324)</f>
        <v>46125.58511</v>
      </c>
      <c r="J190" s="4"/>
      <c r="K190" s="4"/>
      <c r="L190" s="4"/>
      <c r="M190" s="4"/>
      <c r="N190" s="4"/>
      <c r="O190" s="4"/>
      <c r="P190" s="4"/>
      <c r="Q190" s="4"/>
      <c r="R190" s="4"/>
      <c r="S190" s="4"/>
      <c r="T190" s="4"/>
      <c r="U190" s="4"/>
      <c r="V190" s="4"/>
      <c r="W190" s="4"/>
      <c r="X190" s="4"/>
      <c r="Y190" s="4"/>
      <c r="Z190" s="4"/>
      <c r="AA190" s="4">
        <f>IFERROR(__xludf.DUMMYFUNCTION("""COMPUTED_VALUE"""),9.0)</f>
        <v>9</v>
      </c>
      <c r="AB190" s="4" t="str">
        <f>IFERROR(__xludf.DUMMYFUNCTION("""COMPUTED_VALUE"""),"CE")</f>
        <v>CE</v>
      </c>
      <c r="AC190" s="4" t="str">
        <f>IFERROR(__xludf.DUMMYFUNCTION("""COMPUTED_VALUE"""),"Sim")</f>
        <v>Sim</v>
      </c>
      <c r="AD190" s="4" t="str">
        <f>IFERROR(__xludf.DUMMYFUNCTION("""COMPUTED_VALUE"""),"Ifood")</f>
        <v>Ifood</v>
      </c>
      <c r="AE190" s="4"/>
      <c r="AF190" s="4"/>
      <c r="AG190" s="4"/>
      <c r="AH190" s="4"/>
      <c r="AI190" s="4"/>
      <c r="AJ190" s="4"/>
      <c r="AK190" s="4" t="str">
        <f>IFERROR(__xludf.DUMMYFUNCTION("""COMPUTED_VALUE"""),"Salão / Delivery")</f>
        <v>Salão / Delivery</v>
      </c>
      <c r="AL190" s="4" t="str">
        <f>IFERROR(__xludf.DUMMYFUNCTION("""COMPUTED_VALUE"""),"Sim")</f>
        <v>Sim</v>
      </c>
      <c r="AM190" s="4" t="str">
        <f>IFERROR(__xludf.DUMMYFUNCTION("""COMPUTED_VALUE"""),"FY27")</f>
        <v>FY27</v>
      </c>
      <c r="AN190" s="4"/>
      <c r="AO190" s="4">
        <f>IFERROR(__xludf.DUMMYFUNCTION("""COMPUTED_VALUE"""),90.0)</f>
        <v>90</v>
      </c>
      <c r="AP190" s="4" t="str">
        <f>IFERROR(__xludf.DUMMYFUNCTION("""COMPUTED_VALUE"""),"MG")</f>
        <v>MG</v>
      </c>
      <c r="AQ190" s="4" t="str">
        <f>IFERROR(__xludf.DUMMYFUNCTION("""COMPUTED_VALUE"""),"JOAO BAR")</f>
        <v>JOAO BAR</v>
      </c>
      <c r="AR190" s="4" t="str">
        <f>IFERROR(__xludf.DUMMYFUNCTION("""COMPUTED_VALUE"""),"BRUNO CORNIANI")</f>
        <v>BRUNO CORNIANI</v>
      </c>
      <c r="AS190" s="4" t="str">
        <f>IFERROR(__xludf.DUMMYFUNCTION("""COMPUTED_VALUE"""),"FABIO DONATO")</f>
        <v>FABIO DONATO</v>
      </c>
      <c r="AT190" s="4" t="str">
        <f>IFERROR(__xludf.DUMMYFUNCTION("""COMPUTED_VALUE"""),"GILSON JUNIOR")</f>
        <v>GILSON JUNIOR</v>
      </c>
      <c r="AU190" s="4">
        <f>IFERROR(__xludf.DUMMYFUNCTION("""COMPUTED_VALUE"""),0.0)</f>
        <v>0</v>
      </c>
      <c r="AV190" s="4">
        <f>IFERROR(__xludf.DUMMYFUNCTION("""COMPUTED_VALUE"""),0.0)</f>
        <v>0</v>
      </c>
      <c r="AW190" s="4">
        <f>IFERROR(__xludf.DUMMYFUNCTION("""COMPUTED_VALUE"""),0.0)</f>
        <v>0</v>
      </c>
      <c r="AX190" s="4">
        <f>IFERROR(__xludf.DUMMYFUNCTION("""COMPUTED_VALUE"""),0.0)</f>
        <v>0</v>
      </c>
      <c r="AY190" s="4"/>
      <c r="AZ190" s="4" t="str">
        <f>IFERROR(__xludf.DUMMYFUNCTION("""COMPUTED_VALUE"""),"Pizza")</f>
        <v>Pizza</v>
      </c>
      <c r="BA190" s="4">
        <f>IFERROR(__xludf.DUMMYFUNCTION("""COMPUTED_VALUE"""),64.0)</f>
        <v>64</v>
      </c>
      <c r="BB190" s="4" t="str">
        <f>IFERROR(__xludf.DUMMYFUNCTION("""COMPUTED_VALUE"""),"Fast Casual - Multi-conceito")</f>
        <v>Fast Casual - Multi-conceito</v>
      </c>
      <c r="BC190" s="4" t="str">
        <f>IFERROR(__xludf.DUMMYFUNCTION("""COMPUTED_VALUE"""),"Regional")</f>
        <v>Regional</v>
      </c>
      <c r="BD190" s="4" t="str">
        <f>IFERROR(__xludf.DUMMYFUNCTION("""COMPUTED_VALUE"""),"Dado não disponível publicamente - Necessário Discovery")</f>
        <v>Dado não disponível publicamente - Necessário Discovery</v>
      </c>
      <c r="BE190" s="4">
        <f>IFERROR(__xludf.DUMMYFUNCTION("""COMPUTED_VALUE"""),65.0)</f>
        <v>65</v>
      </c>
      <c r="BF190" s="4">
        <f>IFERROR(__xludf.DUMMYFUNCTION("""COMPUTED_VALUE"""),0.75)</f>
        <v>0.75</v>
      </c>
      <c r="BG19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90" s="4" t="s">
        <v>74</v>
      </c>
      <c r="BI190" s="7">
        <v>1.0</v>
      </c>
    </row>
    <row r="191" hidden="1">
      <c r="A191" s="4" t="str">
        <f>IFERROR(__xludf.DUMMYFUNCTION("""COMPUTED_VALUE"""),"REI DA PIZZA - CONTA MARCA")</f>
        <v>REI DA PIZZA - CONTA MARCA</v>
      </c>
      <c r="B191" s="4" t="str">
        <f>IFERROR(__xludf.DUMMYFUNCTION("""COMPUTED_VALUE"""),"Lídia Esteves")</f>
        <v>Lídia Esteves</v>
      </c>
      <c r="C191" s="4" t="str">
        <f>IFERROR(__xludf.DUMMYFUNCTION("""COMPUTED_VALUE"""),"Gabriela Roma")</f>
        <v>Gabriela Roma</v>
      </c>
      <c r="D191" s="4" t="str">
        <f>IFERROR(__xludf.DUMMYFUNCTION("""COMPUTED_VALUE"""),"0. Não Iniciado")</f>
        <v>0. Não Iniciado</v>
      </c>
      <c r="E191" s="4"/>
      <c r="F191" s="4" t="str">
        <f>IFERROR(__xludf.DUMMYFUNCTION("""COMPUTED_VALUE"""),"P")</f>
        <v>P</v>
      </c>
      <c r="G191" s="4"/>
      <c r="H191" s="4"/>
      <c r="I191" s="4"/>
      <c r="J191" s="4"/>
      <c r="K191" s="4"/>
      <c r="L191" s="4"/>
      <c r="M191" s="4"/>
      <c r="N191" s="4"/>
      <c r="O191" s="4"/>
      <c r="P191" s="4"/>
      <c r="Q191" s="4"/>
      <c r="R191" s="4"/>
      <c r="S191" s="4"/>
      <c r="T191" s="4"/>
      <c r="U191" s="4"/>
      <c r="V191" s="4"/>
      <c r="W191" s="4"/>
      <c r="X191" s="4"/>
      <c r="Y191" s="4"/>
      <c r="Z191" s="4"/>
      <c r="AA191" s="4">
        <f>IFERROR(__xludf.DUMMYFUNCTION("""COMPUTED_VALUE"""),24.0)</f>
        <v>24</v>
      </c>
      <c r="AB191" s="4" t="str">
        <f>IFERROR(__xludf.DUMMYFUNCTION("""COMPUTED_VALUE"""),"-")</f>
        <v>-</v>
      </c>
      <c r="AC191" s="4" t="str">
        <f>IFERROR(__xludf.DUMMYFUNCTION("""COMPUTED_VALUE"""),"Sim")</f>
        <v>Sim</v>
      </c>
      <c r="AD191" s="4">
        <f>IFERROR(__xludf.DUMMYFUNCTION("""COMPUTED_VALUE"""),0.0)</f>
        <v>0</v>
      </c>
      <c r="AE191" s="4"/>
      <c r="AF191" s="4"/>
      <c r="AG191" s="4"/>
      <c r="AH191" s="4"/>
      <c r="AI191" s="4"/>
      <c r="AJ191" s="4"/>
      <c r="AK191" s="4"/>
      <c r="AL191" s="4"/>
      <c r="AM191" s="4" t="str">
        <f>IFERROR(__xludf.DUMMYFUNCTION("""COMPUTED_VALUE"""),"FY27")</f>
        <v>FY27</v>
      </c>
      <c r="AN191" s="4"/>
      <c r="AO191" s="4">
        <f>IFERROR(__xludf.DUMMYFUNCTION("""COMPUTED_VALUE"""),45553.0)</f>
        <v>45553</v>
      </c>
      <c r="AP191" s="4" t="str">
        <f>IFERROR(__xludf.DUMMYFUNCTION("""COMPUTED_VALUE"""),"SC")</f>
        <v>SC</v>
      </c>
      <c r="AQ191" s="4" t="str">
        <f>IFERROR(__xludf.DUMMYFUNCTION("""COMPUTED_VALUE"""),"MARIA SILVEIRA")</f>
        <v>MARIA SILVEIRA</v>
      </c>
      <c r="AR191" s="4" t="str">
        <f>IFERROR(__xludf.DUMMYFUNCTION("""COMPUTED_VALUE"""),"DAVID RIOS")</f>
        <v>DAVID RIOS</v>
      </c>
      <c r="AS191" s="4" t="str">
        <f>IFERROR(__xludf.DUMMYFUNCTION("""COMPUTED_VALUE"""),"FABIO DONATO")</f>
        <v>FABIO DONATO</v>
      </c>
      <c r="AT191" s="4" t="str">
        <f>IFERROR(__xludf.DUMMYFUNCTION("""COMPUTED_VALUE"""),"CAMILA HOLANDA")</f>
        <v>CAMILA HOLANDA</v>
      </c>
      <c r="AU191" s="4">
        <f>IFERROR(__xludf.DUMMYFUNCTION("""COMPUTED_VALUE"""),0.0)</f>
        <v>0</v>
      </c>
      <c r="AV191" s="4">
        <f>IFERROR(__xludf.DUMMYFUNCTION("""COMPUTED_VALUE"""),0.0)</f>
        <v>0</v>
      </c>
      <c r="AW191" s="4">
        <f>IFERROR(__xludf.DUMMYFUNCTION("""COMPUTED_VALUE"""),0.0)</f>
        <v>0</v>
      </c>
      <c r="AX191" s="4">
        <f>IFERROR(__xludf.DUMMYFUNCTION("""COMPUTED_VALUE"""),0.0)</f>
        <v>0</v>
      </c>
      <c r="AY191" s="4"/>
      <c r="AZ191" s="4" t="str">
        <f>IFERROR(__xludf.DUMMYFUNCTION("""COMPUTED_VALUE"""),"Pizza")</f>
        <v>Pizza</v>
      </c>
      <c r="BA191" s="4">
        <f>IFERROR(__xludf.DUMMYFUNCTION("""COMPUTED_VALUE"""),74.0)</f>
        <v>74</v>
      </c>
      <c r="BB191" s="4" t="str">
        <f>IFERROR(__xludf.DUMMYFUNCTION("""COMPUTED_VALUE"""),"Fast Casual - Pizzaria")</f>
        <v>Fast Casual - Pizzaria</v>
      </c>
      <c r="BC191" s="4" t="str">
        <f>IFERROR(__xludf.DUMMYFUNCTION("""COMPUTED_VALUE"""),"Sul")</f>
        <v>Sul</v>
      </c>
      <c r="BD191" s="4" t="str">
        <f>IFERROR(__xludf.DUMMYFUNCTION("""COMPUTED_VALUE"""),"Dado não disponível publicamente - Necessário Discovery")</f>
        <v>Dado não disponível publicamente - Necessário Discovery</v>
      </c>
      <c r="BE191" s="4">
        <f>IFERROR(__xludf.DUMMYFUNCTION("""COMPUTED_VALUE"""),70.0)</f>
        <v>70</v>
      </c>
      <c r="BF191" s="4">
        <f>IFERROR(__xludf.DUMMYFUNCTION("""COMPUTED_VALUE"""),0.75)</f>
        <v>0.75</v>
      </c>
      <c r="BG19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91" s="4" t="s">
        <v>63</v>
      </c>
      <c r="BI191" s="7" t="s">
        <v>63</v>
      </c>
    </row>
    <row r="192" hidden="1">
      <c r="A192" s="4" t="str">
        <f>IFERROR(__xludf.DUMMYFUNCTION("""COMPUTED_VALUE"""),"REI DO ACAI")</f>
        <v>REI DO ACAI</v>
      </c>
      <c r="B192" s="4" t="str">
        <f>IFERROR(__xludf.DUMMYFUNCTION("""COMPUTED_VALUE"""),"Lídia Esteves")</f>
        <v>Lídia Esteves</v>
      </c>
      <c r="C192" s="4" t="str">
        <f>IFERROR(__xludf.DUMMYFUNCTION("""COMPUTED_VALUE"""),"Gabriela Roma")</f>
        <v>Gabriela Roma</v>
      </c>
      <c r="D192" s="4" t="str">
        <f>IFERROR(__xludf.DUMMYFUNCTION("""COMPUTED_VALUE"""),"0. Não Iniciado")</f>
        <v>0. Não Iniciado</v>
      </c>
      <c r="E192" s="4"/>
      <c r="F192" s="4" t="str">
        <f>IFERROR(__xludf.DUMMYFUNCTION("""COMPUTED_VALUE"""),"P")</f>
        <v>P</v>
      </c>
      <c r="G192" s="4"/>
      <c r="H192" s="4"/>
      <c r="I192" s="4"/>
      <c r="J192" s="4"/>
      <c r="K192" s="4"/>
      <c r="L192" s="4"/>
      <c r="M192" s="4"/>
      <c r="N192" s="4"/>
      <c r="O192" s="4"/>
      <c r="P192" s="4"/>
      <c r="Q192" s="4"/>
      <c r="R192" s="4"/>
      <c r="S192" s="4"/>
      <c r="T192" s="4"/>
      <c r="U192" s="4"/>
      <c r="V192" s="4"/>
      <c r="W192" s="4"/>
      <c r="X192" s="4"/>
      <c r="Y192" s="4"/>
      <c r="Z192" s="4"/>
      <c r="AA192" s="4">
        <f>IFERROR(__xludf.DUMMYFUNCTION("""COMPUTED_VALUE"""),14.0)</f>
        <v>14</v>
      </c>
      <c r="AB192" s="4" t="str">
        <f>IFERROR(__xludf.DUMMYFUNCTION("""COMPUTED_VALUE"""),"CE")</f>
        <v>CE</v>
      </c>
      <c r="AC192" s="4" t="str">
        <f>IFERROR(__xludf.DUMMYFUNCTION("""COMPUTED_VALUE"""),"Sim")</f>
        <v>Sim</v>
      </c>
      <c r="AD192" s="4" t="str">
        <f>IFERROR(__xludf.DUMMYFUNCTION("""COMPUTED_VALUE"""),"Ifood")</f>
        <v>Ifood</v>
      </c>
      <c r="AE192" s="4"/>
      <c r="AF192" s="4"/>
      <c r="AG192" s="4"/>
      <c r="AH192" s="4"/>
      <c r="AI192" s="4"/>
      <c r="AJ192" s="4"/>
      <c r="AK192" s="4"/>
      <c r="AL192" s="4"/>
      <c r="AM192" s="4" t="str">
        <f>IFERROR(__xludf.DUMMYFUNCTION("""COMPUTED_VALUE"""),"FY27")</f>
        <v>FY27</v>
      </c>
      <c r="AN192" s="4"/>
      <c r="AO192" s="4">
        <f>IFERROR(__xludf.DUMMYFUNCTION("""COMPUTED_VALUE"""),45553.0)</f>
        <v>45553</v>
      </c>
      <c r="AP192" s="4" t="str">
        <f>IFERROR(__xludf.DUMMYFUNCTION("""COMPUTED_VALUE"""),"ES")</f>
        <v>ES</v>
      </c>
      <c r="AQ192" s="4" t="str">
        <f>IFERROR(__xludf.DUMMYFUNCTION("""COMPUTED_VALUE"""),"CAROLINY LEBARCK")</f>
        <v>CAROLINY LEBARCK</v>
      </c>
      <c r="AR192" s="4">
        <f>IFERROR(__xludf.DUMMYFUNCTION("""COMPUTED_VALUE"""),0.0)</f>
        <v>0</v>
      </c>
      <c r="AS192" s="4" t="str">
        <f>IFERROR(__xludf.DUMMYFUNCTION("""COMPUTED_VALUE"""),"FABIO DONATO")</f>
        <v>FABIO DONATO</v>
      </c>
      <c r="AT192" s="4" t="str">
        <f>IFERROR(__xludf.DUMMYFUNCTION("""COMPUTED_VALUE"""),"GILSON JUNIOR")</f>
        <v>GILSON JUNIOR</v>
      </c>
      <c r="AU192" s="4">
        <f>IFERROR(__xludf.DUMMYFUNCTION("""COMPUTED_VALUE"""),0.0)</f>
        <v>0</v>
      </c>
      <c r="AV192" s="4">
        <f>IFERROR(__xludf.DUMMYFUNCTION("""COMPUTED_VALUE"""),0.0)</f>
        <v>0</v>
      </c>
      <c r="AW192" s="4">
        <f>IFERROR(__xludf.DUMMYFUNCTION("""COMPUTED_VALUE"""),0.0)</f>
        <v>0</v>
      </c>
      <c r="AX192" s="4">
        <f>IFERROR(__xludf.DUMMYFUNCTION("""COMPUTED_VALUE"""),0.0)</f>
        <v>0</v>
      </c>
      <c r="AY192" s="4" t="str">
        <f>IFERROR(__xludf.DUMMYFUNCTION("""COMPUTED_VALUE"""),"Anota Ai Solucoes Digitais S/a")</f>
        <v>Anota Ai Solucoes Digitais S/a</v>
      </c>
      <c r="AZ192" s="4" t="str">
        <f>IFERROR(__xludf.DUMMYFUNCTION("""COMPUTED_VALUE"""),"Açaí")</f>
        <v>Açaí</v>
      </c>
      <c r="BA192" s="4">
        <f>IFERROR(__xludf.DUMMYFUNCTION("""COMPUTED_VALUE"""),25.0)</f>
        <v>25</v>
      </c>
      <c r="BB192" s="4" t="str">
        <f>IFERROR(__xludf.DUMMYFUNCTION("""COMPUTED_VALUE"""),"QSR - Açaí/Poke")</f>
        <v>QSR - Açaí/Poke</v>
      </c>
      <c r="BC192" s="4" t="str">
        <f>IFERROR(__xludf.DUMMYFUNCTION("""COMPUTED_VALUE"""),"Nacional")</f>
        <v>Nacional</v>
      </c>
      <c r="BD192" s="4" t="str">
        <f>IFERROR(__xludf.DUMMYFUNCTION("""COMPUTED_VALUE"""),"Dado não disponível publicamente - Necessário Discovery")</f>
        <v>Dado não disponível publicamente - Necessário Discovery</v>
      </c>
      <c r="BE192" s="4">
        <f>IFERROR(__xludf.DUMMYFUNCTION("""COMPUTED_VALUE"""),70.0)</f>
        <v>70</v>
      </c>
      <c r="BF192" s="4">
        <f>IFERROR(__xludf.DUMMYFUNCTION("""COMPUTED_VALUE"""),0.9)</f>
        <v>0.9</v>
      </c>
      <c r="BG192"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192" s="4" t="s">
        <v>67</v>
      </c>
      <c r="BI192" s="7">
        <v>0.2</v>
      </c>
    </row>
    <row r="193" hidden="1">
      <c r="A193" s="4" t="str">
        <f>IFERROR(__xludf.DUMMYFUNCTION("""COMPUTED_VALUE"""),"REI DO SUSHI")</f>
        <v>REI DO SUSHI</v>
      </c>
      <c r="B193" s="4" t="str">
        <f>IFERROR(__xludf.DUMMYFUNCTION("""COMPUTED_VALUE"""),"João Biagiotti")</f>
        <v>João Biagiotti</v>
      </c>
      <c r="C193" s="4" t="str">
        <f>IFERROR(__xludf.DUMMYFUNCTION("""COMPUTED_VALUE"""),"Diego Santos")</f>
        <v>Diego Santos</v>
      </c>
      <c r="D193" s="4" t="str">
        <f>IFERROR(__xludf.DUMMYFUNCTION("""COMPUTED_VALUE"""),"0. Não Iniciado")</f>
        <v>0. Não Iniciado</v>
      </c>
      <c r="E193" s="4"/>
      <c r="F193" s="4" t="str">
        <f>IFERROR(__xludf.DUMMYFUNCTION("""COMPUTED_VALUE"""),"P")</f>
        <v>P</v>
      </c>
      <c r="G193" s="4"/>
      <c r="H193" s="4"/>
      <c r="I193" s="4"/>
      <c r="J193" s="4"/>
      <c r="K193" s="4"/>
      <c r="L193" s="4"/>
      <c r="M193" s="4"/>
      <c r="N193" s="4"/>
      <c r="O193" s="4"/>
      <c r="P193" s="4"/>
      <c r="Q193" s="4"/>
      <c r="R193" s="4"/>
      <c r="S193" s="4"/>
      <c r="T193" s="4"/>
      <c r="U193" s="4"/>
      <c r="V193" s="4"/>
      <c r="W193" s="4"/>
      <c r="X193" s="4"/>
      <c r="Y193" s="4"/>
      <c r="Z193" s="4"/>
      <c r="AA193" s="4">
        <f>IFERROR(__xludf.DUMMYFUNCTION("""COMPUTED_VALUE"""),15.0)</f>
        <v>15</v>
      </c>
      <c r="AB193" s="4" t="str">
        <f>IFERROR(__xludf.DUMMYFUNCTION("""COMPUTED_VALUE"""),"CE")</f>
        <v>CE</v>
      </c>
      <c r="AC193" s="4" t="str">
        <f>IFERROR(__xludf.DUMMYFUNCTION("""COMPUTED_VALUE"""),"Sim")</f>
        <v>Sim</v>
      </c>
      <c r="AD193" s="4">
        <f>IFERROR(__xludf.DUMMYFUNCTION("""COMPUTED_VALUE"""),0.0)</f>
        <v>0</v>
      </c>
      <c r="AE193" s="4"/>
      <c r="AF193" s="4"/>
      <c r="AG193" s="4"/>
      <c r="AH193" s="4"/>
      <c r="AI193" s="4"/>
      <c r="AJ193" s="4"/>
      <c r="AK193" s="4"/>
      <c r="AL193" s="4"/>
      <c r="AM193" s="4" t="str">
        <f>IFERROR(__xludf.DUMMYFUNCTION("""COMPUTED_VALUE"""),"FY27")</f>
        <v>FY27</v>
      </c>
      <c r="AN193" s="4"/>
      <c r="AO193" s="4">
        <f>IFERROR(__xludf.DUMMYFUNCTION("""COMPUTED_VALUE"""),45553.0)</f>
        <v>45553</v>
      </c>
      <c r="AP193" s="4" t="str">
        <f>IFERROR(__xludf.DUMMYFUNCTION("""COMPUTED_VALUE"""),"CE")</f>
        <v>CE</v>
      </c>
      <c r="AQ193" s="4" t="str">
        <f>IFERROR(__xludf.DUMMYFUNCTION("""COMPUTED_VALUE"""),"LUCAS GURGEL")</f>
        <v>LUCAS GURGEL</v>
      </c>
      <c r="AR193" s="4">
        <f>IFERROR(__xludf.DUMMYFUNCTION("""COMPUTED_VALUE"""),0.0)</f>
        <v>0</v>
      </c>
      <c r="AS193" s="4">
        <f>IFERROR(__xludf.DUMMYFUNCTION("""COMPUTED_VALUE"""),0.0)</f>
        <v>0</v>
      </c>
      <c r="AT193" s="4">
        <f>IFERROR(__xludf.DUMMYFUNCTION("""COMPUTED_VALUE"""),0.0)</f>
        <v>0</v>
      </c>
      <c r="AU193" s="4">
        <f>IFERROR(__xludf.DUMMYFUNCTION("""COMPUTED_VALUE"""),0.0)</f>
        <v>0</v>
      </c>
      <c r="AV193" s="4">
        <f>IFERROR(__xludf.DUMMYFUNCTION("""COMPUTED_VALUE"""),0.0)</f>
        <v>0</v>
      </c>
      <c r="AW193" s="4">
        <f>IFERROR(__xludf.DUMMYFUNCTION("""COMPUTED_VALUE"""),0.0)</f>
        <v>0</v>
      </c>
      <c r="AX193" s="4">
        <f>IFERROR(__xludf.DUMMYFUNCTION("""COMPUTED_VALUE"""),0.0)</f>
        <v>0</v>
      </c>
      <c r="AY193" s="4" t="str">
        <f>IFERROR(__xludf.DUMMYFUNCTION("""COMPUTED_VALUE"""),"Brendi")</f>
        <v>Brendi</v>
      </c>
      <c r="AZ193" s="4" t="str">
        <f>IFERROR(__xludf.DUMMYFUNCTION("""COMPUTED_VALUE"""),"Japonesa")</f>
        <v>Japonesa</v>
      </c>
      <c r="BA193" s="4">
        <f>IFERROR(__xludf.DUMMYFUNCTION("""COMPUTED_VALUE"""),105.0)</f>
        <v>105</v>
      </c>
      <c r="BB193" s="4" t="str">
        <f>IFERROR(__xludf.DUMMYFUNCTION("""COMPUTED_VALUE"""),"Fast Casual - Japonesa")</f>
        <v>Fast Casual - Japonesa</v>
      </c>
      <c r="BC193" s="4" t="str">
        <f>IFERROR(__xludf.DUMMYFUNCTION("""COMPUTED_VALUE"""),"Rio de Janeiro/RJ")</f>
        <v>Rio de Janeiro/RJ</v>
      </c>
      <c r="BD193" s="4" t="str">
        <f>IFERROR(__xludf.DUMMYFUNCTION("""COMPUTED_VALUE"""),"Dado não disponível publicamente - Necessário Discovery")</f>
        <v>Dado não disponível publicamente - Necessário Discovery</v>
      </c>
      <c r="BE193" s="4">
        <f>IFERROR(__xludf.DUMMYFUNCTION("""COMPUTED_VALUE"""),70.0)</f>
        <v>70</v>
      </c>
      <c r="BF193" s="4">
        <f>IFERROR(__xludf.DUMMYFUNCTION("""COMPUTED_VALUE"""),0.75)</f>
        <v>0.75</v>
      </c>
      <c r="BG19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93" s="4" t="s">
        <v>63</v>
      </c>
      <c r="BI193" s="7" t="s">
        <v>63</v>
      </c>
    </row>
    <row r="194" hidden="1">
      <c r="A194" s="4" t="str">
        <f>IFERROR(__xludf.DUMMYFUNCTION("""COMPUTED_VALUE"""),"RESTAURANTE MARIA ANTONIETA")</f>
        <v>RESTAURANTE MARIA ANTONIETA</v>
      </c>
      <c r="B194" s="4" t="str">
        <f>IFERROR(__xludf.DUMMYFUNCTION("""COMPUTED_VALUE"""),"João Biagiotti")</f>
        <v>João Biagiotti</v>
      </c>
      <c r="C194" s="4" t="str">
        <f>IFERROR(__xludf.DUMMYFUNCTION("""COMPUTED_VALUE"""),"Diego Santos")</f>
        <v>Diego Santos</v>
      </c>
      <c r="D194" s="4" t="str">
        <f>IFERROR(__xludf.DUMMYFUNCTION("""COMPUTED_VALUE"""),"0. Não Iniciado")</f>
        <v>0. Não Iniciado</v>
      </c>
      <c r="E194" s="4"/>
      <c r="F194" s="4" t="str">
        <f>IFERROR(__xludf.DUMMYFUNCTION("""COMPUTED_VALUE"""),"P")</f>
        <v>P</v>
      </c>
      <c r="G194" s="4"/>
      <c r="H194" s="4"/>
      <c r="I194" s="4"/>
      <c r="J194" s="4"/>
      <c r="K194" s="4"/>
      <c r="L194" s="4"/>
      <c r="M194" s="4"/>
      <c r="N194" s="4"/>
      <c r="O194" s="4"/>
      <c r="P194" s="4"/>
      <c r="Q194" s="4"/>
      <c r="R194" s="4"/>
      <c r="S194" s="4"/>
      <c r="T194" s="4"/>
      <c r="U194" s="4"/>
      <c r="V194" s="4"/>
      <c r="W194" s="4"/>
      <c r="X194" s="4"/>
      <c r="Y194" s="4"/>
      <c r="Z194" s="4"/>
      <c r="AA194" s="4">
        <f>IFERROR(__xludf.DUMMYFUNCTION("""COMPUTED_VALUE"""),9.0)</f>
        <v>9</v>
      </c>
      <c r="AB194" s="4" t="str">
        <f>IFERROR(__xludf.DUMMYFUNCTION("""COMPUTED_VALUE"""),"CE")</f>
        <v>CE</v>
      </c>
      <c r="AC194" s="4" t="str">
        <f>IFERROR(__xludf.DUMMYFUNCTION("""COMPUTED_VALUE"""),"Sim")</f>
        <v>Sim</v>
      </c>
      <c r="AD194" s="4" t="str">
        <f>IFERROR(__xludf.DUMMYFUNCTION("""COMPUTED_VALUE"""),"Ifood")</f>
        <v>Ifood</v>
      </c>
      <c r="AE194" s="4"/>
      <c r="AF194" s="4"/>
      <c r="AG194" s="4"/>
      <c r="AH194" s="4"/>
      <c r="AI194" s="4"/>
      <c r="AJ194" s="4"/>
      <c r="AK194" s="4"/>
      <c r="AL194" s="4"/>
      <c r="AM194" s="4" t="str">
        <f>IFERROR(__xludf.DUMMYFUNCTION("""COMPUTED_VALUE"""),"FY27")</f>
        <v>FY27</v>
      </c>
      <c r="AN194" s="4"/>
      <c r="AO194" s="4">
        <f>IFERROR(__xludf.DUMMYFUNCTION("""COMPUTED_VALUE"""),45553.0)</f>
        <v>45553</v>
      </c>
      <c r="AP194" s="4" t="str">
        <f>IFERROR(__xludf.DUMMYFUNCTION("""COMPUTED_VALUE"""),"AL")</f>
        <v>AL</v>
      </c>
      <c r="AQ194" s="4" t="str">
        <f>IFERROR(__xludf.DUMMYFUNCTION("""COMPUTED_VALUE"""),"MARCELO ESTEVES")</f>
        <v>MARCELO ESTEVES</v>
      </c>
      <c r="AR194" s="4" t="str">
        <f>IFERROR(__xludf.DUMMYFUNCTION("""COMPUTED_VALUE"""),"ROMANE PEIXOTO")</f>
        <v>ROMANE PEIXOTO</v>
      </c>
      <c r="AS194" s="4" t="str">
        <f>IFERROR(__xludf.DUMMYFUNCTION("""COMPUTED_VALUE"""),"THIAGO ROMAGNOLE")</f>
        <v>THIAGO ROMAGNOLE</v>
      </c>
      <c r="AT194" s="4" t="str">
        <f>IFERROR(__xludf.DUMMYFUNCTION("""COMPUTED_VALUE"""),"ANDERSON LAUREANO")</f>
        <v>ANDERSON LAUREANO</v>
      </c>
      <c r="AU194" s="4">
        <f>IFERROR(__xludf.DUMMYFUNCTION("""COMPUTED_VALUE"""),0.0)</f>
        <v>0</v>
      </c>
      <c r="AV194" s="4">
        <f>IFERROR(__xludf.DUMMYFUNCTION("""COMPUTED_VALUE"""),0.0)</f>
        <v>0</v>
      </c>
      <c r="AW194" s="4">
        <f>IFERROR(__xludf.DUMMYFUNCTION("""COMPUTED_VALUE"""),0.0)</f>
        <v>0</v>
      </c>
      <c r="AX194" s="4">
        <f>IFERROR(__xludf.DUMMYFUNCTION("""COMPUTED_VALUE"""),0.0)</f>
        <v>0</v>
      </c>
      <c r="AY194" s="4" t="str">
        <f>IFERROR(__xludf.DUMMYFUNCTION("""COMPUTED_VALUE"""),"Swfast Sistemas")</f>
        <v>Swfast Sistemas</v>
      </c>
      <c r="AZ194" s="4" t="str">
        <f>IFERROR(__xludf.DUMMYFUNCTION("""COMPUTED_VALUE"""),"Pizza")</f>
        <v>Pizza</v>
      </c>
      <c r="BA194" s="4" t="str">
        <f>IFERROR(__xludf.DUMMYFUNCTION("""COMPUTED_VALUE"""),"")</f>
        <v/>
      </c>
      <c r="BB194" s="4" t="str">
        <f>IFERROR(__xludf.DUMMYFUNCTION("""COMPUTED_VALUE"""),"")</f>
        <v/>
      </c>
      <c r="BC194" s="4" t="str">
        <f>IFERROR(__xludf.DUMMYFUNCTION("""COMPUTED_VALUE"""),"")</f>
        <v/>
      </c>
      <c r="BD194" s="4" t="str">
        <f>IFERROR(__xludf.DUMMYFUNCTION("""COMPUTED_VALUE"""),"")</f>
        <v/>
      </c>
      <c r="BE194" s="4" t="str">
        <f>IFERROR(__xludf.DUMMYFUNCTION("""COMPUTED_VALUE"""),"")</f>
        <v/>
      </c>
      <c r="BF194" s="4" t="str">
        <f>IFERROR(__xludf.DUMMYFUNCTION("""COMPUTED_VALUE"""),"")</f>
        <v/>
      </c>
      <c r="BG194" s="4" t="str">
        <f>IFERROR(__xludf.DUMMYFUNCTION("""COMPUTED_VALUE"""),"")</f>
        <v/>
      </c>
      <c r="BH194" s="4" t="s">
        <v>87</v>
      </c>
      <c r="BI194" s="7">
        <v>0.8888888888888888</v>
      </c>
    </row>
    <row r="195" hidden="1">
      <c r="A195" s="4" t="str">
        <f>IFERROR(__xludf.DUMMYFUNCTION("""COMPUTED_VALUE"""),"REZENDOG FAST FOOD - DOG FRANGO E BURGER")</f>
        <v>REZENDOG FAST FOOD - DOG FRANGO E BURGER</v>
      </c>
      <c r="B195" s="4" t="str">
        <f>IFERROR(__xludf.DUMMYFUNCTION("""COMPUTED_VALUE"""),"Lídia Esteves")</f>
        <v>Lídia Esteves</v>
      </c>
      <c r="C195" s="4" t="str">
        <f>IFERROR(__xludf.DUMMYFUNCTION("""COMPUTED_VALUE"""),"Gabriela Roma")</f>
        <v>Gabriela Roma</v>
      </c>
      <c r="D195" s="4" t="str">
        <f>IFERROR(__xludf.DUMMYFUNCTION("""COMPUTED_VALUE"""),"0. Não Iniciado")</f>
        <v>0. Não Iniciado</v>
      </c>
      <c r="E195" s="4"/>
      <c r="F195" s="4" t="str">
        <f>IFERROR(__xludf.DUMMYFUNCTION("""COMPUTED_VALUE"""),"P")</f>
        <v>P</v>
      </c>
      <c r="G195" s="4"/>
      <c r="H195" s="4"/>
      <c r="I195" s="4"/>
      <c r="J195" s="4"/>
      <c r="K195" s="4"/>
      <c r="L195" s="4"/>
      <c r="M195" s="4"/>
      <c r="N195" s="4"/>
      <c r="O195" s="4"/>
      <c r="P195" s="4"/>
      <c r="Q195" s="4"/>
      <c r="R195" s="4"/>
      <c r="S195" s="4"/>
      <c r="T195" s="4"/>
      <c r="U195" s="4"/>
      <c r="V195" s="4"/>
      <c r="W195" s="4"/>
      <c r="X195" s="4"/>
      <c r="Y195" s="4"/>
      <c r="Z195" s="4"/>
      <c r="AA195" s="4">
        <f>IFERROR(__xludf.DUMMYFUNCTION("""COMPUTED_VALUE"""),11.0)</f>
        <v>11</v>
      </c>
      <c r="AB195" s="4" t="str">
        <f>IFERROR(__xludf.DUMMYFUNCTION("""COMPUTED_VALUE"""),"CE")</f>
        <v>CE</v>
      </c>
      <c r="AC195" s="4" t="str">
        <f>IFERROR(__xludf.DUMMYFUNCTION("""COMPUTED_VALUE"""),"Sim")</f>
        <v>Sim</v>
      </c>
      <c r="AD195" s="4" t="str">
        <f>IFERROR(__xludf.DUMMYFUNCTION("""COMPUTED_VALUE"""),"Ifood")</f>
        <v>Ifood</v>
      </c>
      <c r="AE195" s="4"/>
      <c r="AF195" s="4"/>
      <c r="AG195" s="4"/>
      <c r="AH195" s="4"/>
      <c r="AI195" s="4"/>
      <c r="AJ195" s="4"/>
      <c r="AK195" s="4"/>
      <c r="AL195" s="4"/>
      <c r="AM195" s="4" t="str">
        <f>IFERROR(__xludf.DUMMYFUNCTION("""COMPUTED_VALUE"""),"FY27")</f>
        <v>FY27</v>
      </c>
      <c r="AN195" s="4"/>
      <c r="AO195" s="4">
        <f>IFERROR(__xludf.DUMMYFUNCTION("""COMPUTED_VALUE"""),45553.0)</f>
        <v>45553</v>
      </c>
      <c r="AP195" s="4" t="str">
        <f>IFERROR(__xludf.DUMMYFUNCTION("""COMPUTED_VALUE"""),"PR")</f>
        <v>PR</v>
      </c>
      <c r="AQ195" s="4" t="str">
        <f>IFERROR(__xludf.DUMMYFUNCTION("""COMPUTED_VALUE"""),"LUIZ FILHO")</f>
        <v>LUIZ FILHO</v>
      </c>
      <c r="AR195" s="4" t="str">
        <f>IFERROR(__xludf.DUMMYFUNCTION("""COMPUTED_VALUE"""),"HELOISA SANTOS")</f>
        <v>HELOISA SANTOS</v>
      </c>
      <c r="AS195" s="4" t="str">
        <f>IFERROR(__xludf.DUMMYFUNCTION("""COMPUTED_VALUE"""),"FABIO DONATO")</f>
        <v>FABIO DONATO</v>
      </c>
      <c r="AT195" s="4" t="str">
        <f>IFERROR(__xludf.DUMMYFUNCTION("""COMPUTED_VALUE"""),"MURILO NAGASHIMA")</f>
        <v>MURILO NAGASHIMA</v>
      </c>
      <c r="AU195" s="4">
        <f>IFERROR(__xludf.DUMMYFUNCTION("""COMPUTED_VALUE"""),0.0)</f>
        <v>0</v>
      </c>
      <c r="AV195" s="4">
        <f>IFERROR(__xludf.DUMMYFUNCTION("""COMPUTED_VALUE"""),0.0)</f>
        <v>0</v>
      </c>
      <c r="AW195" s="4">
        <f>IFERROR(__xludf.DUMMYFUNCTION("""COMPUTED_VALUE"""),0.0)</f>
        <v>0</v>
      </c>
      <c r="AX195" s="4">
        <f>IFERROR(__xludf.DUMMYFUNCTION("""COMPUTED_VALUE"""),0.0)</f>
        <v>0</v>
      </c>
      <c r="AY195" s="4" t="str">
        <f>IFERROR(__xludf.DUMMYFUNCTION("""COMPUTED_VALUE"""),"Sagres Automação Comercial")</f>
        <v>Sagres Automação Comercial</v>
      </c>
      <c r="AZ195" s="4" t="str">
        <f>IFERROR(__xludf.DUMMYFUNCTION("""COMPUTED_VALUE"""),"Saudável")</f>
        <v>Saudável</v>
      </c>
      <c r="BA195" s="4" t="str">
        <f>IFERROR(__xludf.DUMMYFUNCTION("""COMPUTED_VALUE"""),"")</f>
        <v/>
      </c>
      <c r="BB195" s="4" t="str">
        <f>IFERROR(__xludf.DUMMYFUNCTION("""COMPUTED_VALUE"""),"")</f>
        <v/>
      </c>
      <c r="BC195" s="4" t="str">
        <f>IFERROR(__xludf.DUMMYFUNCTION("""COMPUTED_VALUE"""),"")</f>
        <v/>
      </c>
      <c r="BD195" s="4" t="str">
        <f>IFERROR(__xludf.DUMMYFUNCTION("""COMPUTED_VALUE"""),"")</f>
        <v/>
      </c>
      <c r="BE195" s="4" t="str">
        <f>IFERROR(__xludf.DUMMYFUNCTION("""COMPUTED_VALUE"""),"")</f>
        <v/>
      </c>
      <c r="BF195" s="4" t="str">
        <f>IFERROR(__xludf.DUMMYFUNCTION("""COMPUTED_VALUE"""),"")</f>
        <v/>
      </c>
      <c r="BG195" s="4" t="str">
        <f>IFERROR(__xludf.DUMMYFUNCTION("""COMPUTED_VALUE"""),"")</f>
        <v/>
      </c>
      <c r="BH195" s="4" t="s">
        <v>64</v>
      </c>
      <c r="BI195" s="7">
        <v>0.6666666666666666</v>
      </c>
    </row>
    <row r="196" hidden="1">
      <c r="A196" s="4" t="str">
        <f>IFERROR(__xludf.DUMMYFUNCTION("""COMPUTED_VALUE"""),"REZZA PIZZA FORTALEZA")</f>
        <v>REZZA PIZZA FORTALEZA</v>
      </c>
      <c r="B196" s="4" t="str">
        <f>IFERROR(__xludf.DUMMYFUNCTION("""COMPUTED_VALUE"""),"João Biagiotti")</f>
        <v>João Biagiotti</v>
      </c>
      <c r="C196" s="4" t="str">
        <f>IFERROR(__xludf.DUMMYFUNCTION("""COMPUTED_VALUE"""),"Diego Santos")</f>
        <v>Diego Santos</v>
      </c>
      <c r="D196" s="4" t="str">
        <f>IFERROR(__xludf.DUMMYFUNCTION("""COMPUTED_VALUE"""),"0. Não Iniciado")</f>
        <v>0. Não Iniciado</v>
      </c>
      <c r="E196" s="4"/>
      <c r="F196" s="4" t="str">
        <f>IFERROR(__xludf.DUMMYFUNCTION("""COMPUTED_VALUE"""),"P")</f>
        <v>P</v>
      </c>
      <c r="G196" s="4"/>
      <c r="H196" s="4"/>
      <c r="I196" s="4"/>
      <c r="J196" s="4"/>
      <c r="K196" s="4"/>
      <c r="L196" s="4"/>
      <c r="M196" s="4"/>
      <c r="N196" s="4"/>
      <c r="O196" s="4"/>
      <c r="P196" s="4"/>
      <c r="Q196" s="4"/>
      <c r="R196" s="4"/>
      <c r="S196" s="4"/>
      <c r="T196" s="4"/>
      <c r="U196" s="4"/>
      <c r="V196" s="4"/>
      <c r="W196" s="4"/>
      <c r="X196" s="4"/>
      <c r="Y196" s="4"/>
      <c r="Z196" s="4"/>
      <c r="AA196" s="4">
        <f>IFERROR(__xludf.DUMMYFUNCTION("""COMPUTED_VALUE"""),8.0)</f>
        <v>8</v>
      </c>
      <c r="AB196" s="4" t="str">
        <f>IFERROR(__xludf.DUMMYFUNCTION("""COMPUTED_VALUE"""),"CE")</f>
        <v>CE</v>
      </c>
      <c r="AC196" s="4" t="str">
        <f>IFERROR(__xludf.DUMMYFUNCTION("""COMPUTED_VALUE"""),"Sim")</f>
        <v>Sim</v>
      </c>
      <c r="AD196" s="4" t="str">
        <f>IFERROR(__xludf.DUMMYFUNCTION("""COMPUTED_VALUE"""),"Opdv")</f>
        <v>Opdv</v>
      </c>
      <c r="AE196" s="4"/>
      <c r="AF196" s="4"/>
      <c r="AG196" s="4"/>
      <c r="AH196" s="4"/>
      <c r="AI196" s="4"/>
      <c r="AJ196" s="4"/>
      <c r="AK196" s="4"/>
      <c r="AL196" s="4"/>
      <c r="AM196" s="4" t="str">
        <f>IFERROR(__xludf.DUMMYFUNCTION("""COMPUTED_VALUE"""),"FY27")</f>
        <v>FY27</v>
      </c>
      <c r="AN196" s="4"/>
      <c r="AO196" s="4">
        <f>IFERROR(__xludf.DUMMYFUNCTION("""COMPUTED_VALUE"""),45553.0)</f>
        <v>45553</v>
      </c>
      <c r="AP196" s="4" t="str">
        <f>IFERROR(__xludf.DUMMYFUNCTION("""COMPUTED_VALUE"""),"CE")</f>
        <v>CE</v>
      </c>
      <c r="AQ196" s="4" t="str">
        <f>IFERROR(__xludf.DUMMYFUNCTION("""COMPUTED_VALUE"""),"FABIO MAKARON")</f>
        <v>FABIO MAKARON</v>
      </c>
      <c r="AR196" s="4" t="str">
        <f>IFERROR(__xludf.DUMMYFUNCTION("""COMPUTED_VALUE"""),"TAMMYRES FONSECA")</f>
        <v>TAMMYRES FONSECA</v>
      </c>
      <c r="AS196" s="4" t="str">
        <f>IFERROR(__xludf.DUMMYFUNCTION("""COMPUTED_VALUE"""),"THIAGO ROMAGNOLE")</f>
        <v>THIAGO ROMAGNOLE</v>
      </c>
      <c r="AT196" s="4" t="str">
        <f>IFERROR(__xludf.DUMMYFUNCTION("""COMPUTED_VALUE"""),"EDUARDO VAZ")</f>
        <v>EDUARDO VAZ</v>
      </c>
      <c r="AU196" s="4">
        <f>IFERROR(__xludf.DUMMYFUNCTION("""COMPUTED_VALUE"""),0.0)</f>
        <v>0</v>
      </c>
      <c r="AV196" s="4">
        <f>IFERROR(__xludf.DUMMYFUNCTION("""COMPUTED_VALUE"""),0.0)</f>
        <v>0</v>
      </c>
      <c r="AW196" s="4">
        <f>IFERROR(__xludf.DUMMYFUNCTION("""COMPUTED_VALUE"""),0.0)</f>
        <v>0</v>
      </c>
      <c r="AX196" s="4">
        <f>IFERROR(__xludf.DUMMYFUNCTION("""COMPUTED_VALUE"""),0.0)</f>
        <v>0</v>
      </c>
      <c r="AY196" s="4"/>
      <c r="AZ196" s="4" t="str">
        <f>IFERROR(__xludf.DUMMYFUNCTION("""COMPUTED_VALUE"""),"Italiana")</f>
        <v>Italiana</v>
      </c>
      <c r="BA196" s="4" t="str">
        <f>IFERROR(__xludf.DUMMYFUNCTION("""COMPUTED_VALUE"""),"")</f>
        <v/>
      </c>
      <c r="BB196" s="4" t="str">
        <f>IFERROR(__xludf.DUMMYFUNCTION("""COMPUTED_VALUE"""),"")</f>
        <v/>
      </c>
      <c r="BC196" s="4" t="str">
        <f>IFERROR(__xludf.DUMMYFUNCTION("""COMPUTED_VALUE"""),"")</f>
        <v/>
      </c>
      <c r="BD196" s="4" t="str">
        <f>IFERROR(__xludf.DUMMYFUNCTION("""COMPUTED_VALUE"""),"")</f>
        <v/>
      </c>
      <c r="BE196" s="4" t="str">
        <f>IFERROR(__xludf.DUMMYFUNCTION("""COMPUTED_VALUE"""),"")</f>
        <v/>
      </c>
      <c r="BF196" s="4" t="str">
        <f>IFERROR(__xludf.DUMMYFUNCTION("""COMPUTED_VALUE"""),"")</f>
        <v/>
      </c>
      <c r="BG196" s="4" t="str">
        <f>IFERROR(__xludf.DUMMYFUNCTION("""COMPUTED_VALUE"""),"")</f>
        <v/>
      </c>
      <c r="BH196" s="4" t="s">
        <v>110</v>
      </c>
      <c r="BI196" s="7">
        <v>0.5</v>
      </c>
    </row>
    <row r="197" hidden="1">
      <c r="A197" s="4" t="str">
        <f>IFERROR(__xludf.DUMMYFUNCTION("""COMPUTED_VALUE"""),"RINCONCITO PERUANO")</f>
        <v>RINCONCITO PERUANO</v>
      </c>
      <c r="B197" s="4" t="str">
        <f>IFERROR(__xludf.DUMMYFUNCTION("""COMPUTED_VALUE"""),"Lídia Esteves")</f>
        <v>Lídia Esteves</v>
      </c>
      <c r="C197" s="4" t="str">
        <f>IFERROR(__xludf.DUMMYFUNCTION("""COMPUTED_VALUE"""),"Gabriela Roma")</f>
        <v>Gabriela Roma</v>
      </c>
      <c r="D197" s="4" t="str">
        <f>IFERROR(__xludf.DUMMYFUNCTION("""COMPUTED_VALUE"""),"1. Iniciado")</f>
        <v>1. Iniciado</v>
      </c>
      <c r="E197" s="4" t="str">
        <f>IFERROR(__xludf.DUMMYFUNCTION("""COMPUTED_VALUE"""),"Delivery - Aguardando retorno / Conciliação agenda")</f>
        <v>Delivery - Aguardando retorno / Conciliação agenda</v>
      </c>
      <c r="F197" s="4" t="str">
        <f>IFERROR(__xludf.DUMMYFUNCTION("""COMPUTED_VALUE"""),"P")</f>
        <v>P</v>
      </c>
      <c r="G197" s="4"/>
      <c r="H197" s="4"/>
      <c r="I197" s="6">
        <f>IFERROR(__xludf.DUMMYFUNCTION("""COMPUTED_VALUE"""),46121.68269931713)</f>
        <v>46121.6827</v>
      </c>
      <c r="J197" s="4"/>
      <c r="K197" s="4"/>
      <c r="L197" s="4"/>
      <c r="M197" s="4"/>
      <c r="N197" s="4"/>
      <c r="O197" s="4"/>
      <c r="P197" s="4"/>
      <c r="Q197" s="4"/>
      <c r="R197" s="4"/>
      <c r="S197" s="4"/>
      <c r="T197" s="4"/>
      <c r="U197" s="4"/>
      <c r="V197" s="4"/>
      <c r="W197" s="4"/>
      <c r="X197" s="4"/>
      <c r="Y197" s="4"/>
      <c r="Z197" s="4"/>
      <c r="AA197" s="4">
        <f>IFERROR(__xludf.DUMMYFUNCTION("""COMPUTED_VALUE"""),8.0)</f>
        <v>8</v>
      </c>
      <c r="AB197" s="4" t="str">
        <f>IFERROR(__xludf.DUMMYFUNCTION("""COMPUTED_VALUE"""),"CE")</f>
        <v>CE</v>
      </c>
      <c r="AC197" s="4" t="str">
        <f>IFERROR(__xludf.DUMMYFUNCTION("""COMPUTED_VALUE"""),"Sim")</f>
        <v>Sim</v>
      </c>
      <c r="AD197" s="4" t="str">
        <f>IFERROR(__xludf.DUMMYFUNCTION("""COMPUTED_VALUE"""),"Ifood")</f>
        <v>Ifood</v>
      </c>
      <c r="AE197" s="4"/>
      <c r="AF197" s="4"/>
      <c r="AG197" s="4"/>
      <c r="AH197" s="4"/>
      <c r="AI197" s="4"/>
      <c r="AJ197" s="4"/>
      <c r="AK197" s="4"/>
      <c r="AL197" s="4"/>
      <c r="AM197" s="4" t="str">
        <f>IFERROR(__xludf.DUMMYFUNCTION("""COMPUTED_VALUE"""),"FY27")</f>
        <v>FY27</v>
      </c>
      <c r="AN197" s="4"/>
      <c r="AO197" s="4">
        <f>IFERROR(__xludf.DUMMYFUNCTION("""COMPUTED_VALUE"""),45553.0)</f>
        <v>45553</v>
      </c>
      <c r="AP197" s="4" t="str">
        <f>IFERROR(__xludf.DUMMYFUNCTION("""COMPUTED_VALUE"""),"SP")</f>
        <v>SP</v>
      </c>
      <c r="AQ197" s="4" t="str">
        <f>IFERROR(__xludf.DUMMYFUNCTION("""COMPUTED_VALUE"""),"ISADORA GARCIA")</f>
        <v>ISADORA GARCIA</v>
      </c>
      <c r="AR197" s="4" t="str">
        <f>IFERROR(__xludf.DUMMYFUNCTION("""COMPUTED_VALUE"""),"THAINARA SACIENTE")</f>
        <v>THAINARA SACIENTE</v>
      </c>
      <c r="AS197" s="4" t="str">
        <f>IFERROR(__xludf.DUMMYFUNCTION("""COMPUTED_VALUE"""),"NATHALIE MERTENS")</f>
        <v>NATHALIE MERTENS</v>
      </c>
      <c r="AT197" s="4" t="str">
        <f>IFERROR(__xludf.DUMMYFUNCTION("""COMPUTED_VALUE"""),"MATHEUS LESSA")</f>
        <v>MATHEUS LESSA</v>
      </c>
      <c r="AU197" s="4">
        <f>IFERROR(__xludf.DUMMYFUNCTION("""COMPUTED_VALUE"""),0.0)</f>
        <v>0</v>
      </c>
      <c r="AV197" s="4">
        <f>IFERROR(__xludf.DUMMYFUNCTION("""COMPUTED_VALUE"""),0.0)</f>
        <v>0</v>
      </c>
      <c r="AW197" s="4">
        <f>IFERROR(__xludf.DUMMYFUNCTION("""COMPUTED_VALUE"""),0.0)</f>
        <v>0</v>
      </c>
      <c r="AX197" s="4">
        <f>IFERROR(__xludf.DUMMYFUNCTION("""COMPUTED_VALUE"""),0.0)</f>
        <v>0</v>
      </c>
      <c r="AY197" s="4"/>
      <c r="AZ197" s="4" t="str">
        <f>IFERROR(__xludf.DUMMYFUNCTION("""COMPUTED_VALUE"""),"Frutos Do Mar")</f>
        <v>Frutos Do Mar</v>
      </c>
      <c r="BA197" s="4">
        <f>IFERROR(__xludf.DUMMYFUNCTION("""COMPUTED_VALUE"""),69.0)</f>
        <v>69</v>
      </c>
      <c r="BB197" s="4" t="str">
        <f>IFERROR(__xludf.DUMMYFUNCTION("""COMPUTED_VALUE"""),"Fast Casual - Multi-conceito")</f>
        <v>Fast Casual - Multi-conceito</v>
      </c>
      <c r="BC197" s="4" t="str">
        <f>IFERROR(__xludf.DUMMYFUNCTION("""COMPUTED_VALUE"""),"São Paulo/SP")</f>
        <v>São Paulo/SP</v>
      </c>
      <c r="BD197" s="4" t="str">
        <f>IFERROR(__xludf.DUMMYFUNCTION("""COMPUTED_VALUE"""),"Dado não disponível publicamente - Necessário Discovery")</f>
        <v>Dado não disponível publicamente - Necessário Discovery</v>
      </c>
      <c r="BE197" s="4">
        <f>IFERROR(__xludf.DUMMYFUNCTION("""COMPUTED_VALUE"""),70.0)</f>
        <v>70</v>
      </c>
      <c r="BF197" s="4">
        <f>IFERROR(__xludf.DUMMYFUNCTION("""COMPUTED_VALUE"""),0.75)</f>
        <v>0.75</v>
      </c>
      <c r="BG19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197" s="4" t="s">
        <v>71</v>
      </c>
      <c r="BI197" s="7">
        <v>1.0</v>
      </c>
    </row>
    <row r="198" hidden="1">
      <c r="A198" s="4" t="str">
        <f>IFERROR(__xludf.DUMMYFUNCTION("""COMPUTED_VALUE"""),"ROCK BURGER - CONTA MARCA")</f>
        <v>ROCK BURGER - CONTA MARCA</v>
      </c>
      <c r="B198" s="4" t="str">
        <f>IFERROR(__xludf.DUMMYFUNCTION("""COMPUTED_VALUE"""),"Lídia Esteves")</f>
        <v>Lídia Esteves</v>
      </c>
      <c r="C198" s="4" t="str">
        <f>IFERROR(__xludf.DUMMYFUNCTION("""COMPUTED_VALUE"""),"Gabriela Roma")</f>
        <v>Gabriela Roma</v>
      </c>
      <c r="D198" s="4" t="str">
        <f>IFERROR(__xludf.DUMMYFUNCTION("""COMPUTED_VALUE"""),"0. Não Iniciado")</f>
        <v>0. Não Iniciado</v>
      </c>
      <c r="E198" s="4"/>
      <c r="F198" s="4" t="str">
        <f>IFERROR(__xludf.DUMMYFUNCTION("""COMPUTED_VALUE"""),"P")</f>
        <v>P</v>
      </c>
      <c r="G198" s="4"/>
      <c r="H198" s="4"/>
      <c r="I198" s="4"/>
      <c r="J198" s="4"/>
      <c r="K198" s="4"/>
      <c r="L198" s="4"/>
      <c r="M198" s="4"/>
      <c r="N198" s="4"/>
      <c r="O198" s="4"/>
      <c r="P198" s="4"/>
      <c r="Q198" s="4"/>
      <c r="R198" s="4"/>
      <c r="S198" s="4"/>
      <c r="T198" s="4"/>
      <c r="U198" s="4"/>
      <c r="V198" s="4"/>
      <c r="W198" s="4"/>
      <c r="X198" s="4"/>
      <c r="Y198" s="4"/>
      <c r="Z198" s="4"/>
      <c r="AA198" s="4">
        <f>IFERROR(__xludf.DUMMYFUNCTION("""COMPUTED_VALUE"""),6.0)</f>
        <v>6</v>
      </c>
      <c r="AB198" s="14" t="str">
        <f>IFERROR(__xludf.DUMMYFUNCTION("""COMPUTED_VALUE"""),"CE")</f>
        <v>CE</v>
      </c>
      <c r="AC198" s="4" t="str">
        <f>IFERROR(__xludf.DUMMYFUNCTION("""COMPUTED_VALUE"""),"Sim")</f>
        <v>Sim</v>
      </c>
      <c r="AD198" s="4" t="str">
        <f>IFERROR(__xludf.DUMMYFUNCTION("""COMPUTED_VALUE"""),"Ifood")</f>
        <v>Ifood</v>
      </c>
      <c r="AE198" s="4"/>
      <c r="AF198" s="4"/>
      <c r="AG198" s="4"/>
      <c r="AH198" s="4"/>
      <c r="AI198" s="4"/>
      <c r="AJ198" s="4"/>
      <c r="AK198" s="4"/>
      <c r="AL198" s="4"/>
      <c r="AM198" s="4" t="str">
        <f>IFERROR(__xludf.DUMMYFUNCTION("""COMPUTED_VALUE"""),"FY27")</f>
        <v>FY27</v>
      </c>
      <c r="AN198" s="4"/>
      <c r="AO198" s="4">
        <f>IFERROR(__xludf.DUMMYFUNCTION("""COMPUTED_VALUE"""),45553.0)</f>
        <v>45553</v>
      </c>
      <c r="AP198" s="4" t="str">
        <f>IFERROR(__xludf.DUMMYFUNCTION("""COMPUTED_VALUE"""),"ES")</f>
        <v>ES</v>
      </c>
      <c r="AQ198" s="4" t="str">
        <f>IFERROR(__xludf.DUMMYFUNCTION("""COMPUTED_VALUE"""),"LORENA PACHECO")</f>
        <v>LORENA PACHECO</v>
      </c>
      <c r="AR198" s="4" t="str">
        <f>IFERROR(__xludf.DUMMYFUNCTION("""COMPUTED_VALUE"""),"JOHANA TRAPUZZANO")</f>
        <v>JOHANA TRAPUZZANO</v>
      </c>
      <c r="AS198" s="4" t="str">
        <f>IFERROR(__xludf.DUMMYFUNCTION("""COMPUTED_VALUE"""),"FABIO DONATO")</f>
        <v>FABIO DONATO</v>
      </c>
      <c r="AT198" s="4" t="str">
        <f>IFERROR(__xludf.DUMMYFUNCTION("""COMPUTED_VALUE"""),"GILSON JUNIOR")</f>
        <v>GILSON JUNIOR</v>
      </c>
      <c r="AU198" s="4">
        <f>IFERROR(__xludf.DUMMYFUNCTION("""COMPUTED_VALUE"""),0.0)</f>
        <v>0</v>
      </c>
      <c r="AV198" s="4">
        <f>IFERROR(__xludf.DUMMYFUNCTION("""COMPUTED_VALUE"""),0.0)</f>
        <v>0</v>
      </c>
      <c r="AW198" s="4">
        <f>IFERROR(__xludf.DUMMYFUNCTION("""COMPUTED_VALUE"""),0.0)</f>
        <v>0</v>
      </c>
      <c r="AX198" s="4">
        <f>IFERROR(__xludf.DUMMYFUNCTION("""COMPUTED_VALUE"""),0.0)</f>
        <v>0</v>
      </c>
      <c r="AY198" s="4"/>
      <c r="AZ198" s="4" t="str">
        <f>IFERROR(__xludf.DUMMYFUNCTION("""COMPUTED_VALUE"""),"Brasileira")</f>
        <v>Brasileira</v>
      </c>
      <c r="BA198" s="4">
        <f>IFERROR(__xludf.DUMMYFUNCTION("""COMPUTED_VALUE"""),56.0)</f>
        <v>56</v>
      </c>
      <c r="BB198" s="12" t="str">
        <f>IFERROR(__xludf.DUMMYFUNCTION("""COMPUTED_VALUE"""),"Fast Casual - Hamburgueria")</f>
        <v>Fast Casual - Hamburgueria</v>
      </c>
      <c r="BC198" s="4" t="str">
        <f>IFERROR(__xludf.DUMMYFUNCTION("""COMPUTED_VALUE"""),"São Paulo/SP")</f>
        <v>São Paulo/SP</v>
      </c>
      <c r="BD198" s="4" t="str">
        <f>IFERROR(__xludf.DUMMYFUNCTION("""COMPUTED_VALUE"""),"Dado não disponível publicamente - Necessário Discovery")</f>
        <v>Dado não disponível publicamente - Necessário Discovery</v>
      </c>
      <c r="BE198" s="4">
        <f>IFERROR(__xludf.DUMMYFUNCTION("""COMPUTED_VALUE"""),70.0)</f>
        <v>70</v>
      </c>
      <c r="BF198" s="13">
        <f>IFERROR(__xludf.DUMMYFUNCTION("""COMPUTED_VALUE"""),0.8)</f>
        <v>0.8</v>
      </c>
      <c r="BG198"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198" s="4" t="s">
        <v>63</v>
      </c>
      <c r="BI198" s="7" t="s">
        <v>63</v>
      </c>
    </row>
    <row r="199" hidden="1">
      <c r="A199" s="4" t="str">
        <f>IFERROR(__xludf.DUMMYFUNCTION("""COMPUTED_VALUE"""),"ROYAL PARMA DELIVERY")</f>
        <v>ROYAL PARMA DELIVERY</v>
      </c>
      <c r="B199" s="4" t="str">
        <f>IFERROR(__xludf.DUMMYFUNCTION("""COMPUTED_VALUE"""),"João Biagiotti")</f>
        <v>João Biagiotti</v>
      </c>
      <c r="C199" s="4" t="str">
        <f>IFERROR(__xludf.DUMMYFUNCTION("""COMPUTED_VALUE"""),"Diego Santos")</f>
        <v>Diego Santos</v>
      </c>
      <c r="D199" s="4" t="str">
        <f>IFERROR(__xludf.DUMMYFUNCTION("""COMPUTED_VALUE"""),"10. Perdido")</f>
        <v>10. Perdido</v>
      </c>
      <c r="E199" s="4" t="str">
        <f>IFERROR(__xludf.DUMMYFUNCTION("""COMPUTED_VALUE"""),"Perdido - Outro (detalhar ao lado)")</f>
        <v>Perdido - Outro (detalhar ao lado)</v>
      </c>
      <c r="F199" s="4" t="str">
        <f>IFERROR(__xludf.DUMMYFUNCTION("""COMPUTED_VALUE"""),"M")</f>
        <v>M</v>
      </c>
      <c r="G199" s="5">
        <f>IFERROR(__xludf.DUMMYFUNCTION("""COMPUTED_VALUE"""),46120.0)</f>
        <v>46120</v>
      </c>
      <c r="H199" s="4" t="str">
        <f>IFERROR(__xludf.DUMMYFUNCTION("""COMPUTED_VALUE"""),"Negociação com SAIPOS")</f>
        <v>Negociação com SAIPOS</v>
      </c>
      <c r="I199" s="6">
        <f>IFERROR(__xludf.DUMMYFUNCTION("""COMPUTED_VALUE"""),46120.59443271991)</f>
        <v>46120.59443</v>
      </c>
      <c r="J199" s="4"/>
      <c r="K199" s="4"/>
      <c r="L199" s="4"/>
      <c r="M199" s="4"/>
      <c r="N199" s="4"/>
      <c r="O199" s="4"/>
      <c r="P199" s="4"/>
      <c r="Q199" s="4"/>
      <c r="R199" s="6">
        <f>IFERROR(__xludf.DUMMYFUNCTION("""COMPUTED_VALUE"""),46129.49757597222)</f>
        <v>46129.49758</v>
      </c>
      <c r="S199" s="4"/>
      <c r="T199" s="4"/>
      <c r="U199" s="4"/>
      <c r="V199" s="4" t="str">
        <f>IFERROR(__xludf.DUMMYFUNCTION("""COMPUTED_VALUE"""),"Sem perfil 3S - Perfil Saipos")</f>
        <v>Sem perfil 3S - Perfil Saipos</v>
      </c>
      <c r="W199" s="4"/>
      <c r="X199" s="4"/>
      <c r="Y199" s="4"/>
      <c r="Z199" s="4"/>
      <c r="AA199" s="4">
        <f>IFERROR(__xludf.DUMMYFUNCTION("""COMPUTED_VALUE"""),52.0)</f>
        <v>52</v>
      </c>
      <c r="AB199" s="4" t="str">
        <f>IFERROR(__xludf.DUMMYFUNCTION("""COMPUTED_VALUE"""),"-")</f>
        <v>-</v>
      </c>
      <c r="AC199" s="4" t="str">
        <f>IFERROR(__xludf.DUMMYFUNCTION("""COMPUTED_VALUE"""),"Sim")</f>
        <v>Sim</v>
      </c>
      <c r="AD199" s="4" t="str">
        <f>IFERROR(__xludf.DUMMYFUNCTION("""COMPUTED_VALUE"""),"Ifood")</f>
        <v>Ifood</v>
      </c>
      <c r="AE199" s="4"/>
      <c r="AF199" s="4"/>
      <c r="AG199" s="4"/>
      <c r="AH199" s="4">
        <f>IFERROR(__xludf.DUMMYFUNCTION("""COMPUTED_VALUE"""),61.0)</f>
        <v>61</v>
      </c>
      <c r="AI199" s="4" t="str">
        <f>IFERROR(__xludf.DUMMYFUNCTION("""COMPUTED_VALUE"""),"50k")</f>
        <v>50k</v>
      </c>
      <c r="AJ199" s="4" t="str">
        <f>IFERROR(__xludf.DUMMYFUNCTION("""COMPUTED_VALUE"""),"SAIPOS")</f>
        <v>SAIPOS</v>
      </c>
      <c r="AK199" s="4" t="str">
        <f>IFERROR(__xludf.DUMMYFUNCTION("""COMPUTED_VALUE"""),"Delivery / Salão")</f>
        <v>Delivery / Salão</v>
      </c>
      <c r="AL199" s="4"/>
      <c r="AM199" s="4" t="str">
        <f>IFERROR(__xludf.DUMMYFUNCTION("""COMPUTED_VALUE"""),"FY27")</f>
        <v>FY27</v>
      </c>
      <c r="AN199" s="4"/>
      <c r="AO199" s="4">
        <f>IFERROR(__xludf.DUMMYFUNCTION("""COMPUTED_VALUE"""),95.0)</f>
        <v>95</v>
      </c>
      <c r="AP199" s="4" t="str">
        <f>IFERROR(__xludf.DUMMYFUNCTION("""COMPUTED_VALUE"""),"MG")</f>
        <v>MG</v>
      </c>
      <c r="AQ199" s="4" t="str">
        <f>IFERROR(__xludf.DUMMYFUNCTION("""COMPUTED_VALUE"""),"THIAGO FERREIRA")</f>
        <v>THIAGO FERREIRA</v>
      </c>
      <c r="AR199" s="4" t="str">
        <f>IFERROR(__xludf.DUMMYFUNCTION("""COMPUTED_VALUE"""),"BRUNO SANCHES")</f>
        <v>BRUNO SANCHES</v>
      </c>
      <c r="AS199" s="4" t="str">
        <f>IFERROR(__xludf.DUMMYFUNCTION("""COMPUTED_VALUE"""),"FABIO DONATO")</f>
        <v>FABIO DONATO</v>
      </c>
      <c r="AT199" s="4" t="str">
        <f>IFERROR(__xludf.DUMMYFUNCTION("""COMPUTED_VALUE"""),"GILSON JUNIOR")</f>
        <v>GILSON JUNIOR</v>
      </c>
      <c r="AU199" s="4">
        <f>IFERROR(__xludf.DUMMYFUNCTION("""COMPUTED_VALUE"""),0.0)</f>
        <v>0</v>
      </c>
      <c r="AV199" s="4">
        <f>IFERROR(__xludf.DUMMYFUNCTION("""COMPUTED_VALUE"""),0.0)</f>
        <v>0</v>
      </c>
      <c r="AW199" s="4">
        <f>IFERROR(__xludf.DUMMYFUNCTION("""COMPUTED_VALUE"""),0.0)</f>
        <v>0</v>
      </c>
      <c r="AX199" s="4">
        <f>IFERROR(__xludf.DUMMYFUNCTION("""COMPUTED_VALUE"""),0.0)</f>
        <v>0</v>
      </c>
      <c r="AY199" s="4"/>
      <c r="AZ199" s="4" t="str">
        <f>IFERROR(__xludf.DUMMYFUNCTION("""COMPUTED_VALUE"""),"Brasileira")</f>
        <v>Brasileira</v>
      </c>
      <c r="BA199" s="4" t="str">
        <f>IFERROR(__xludf.DUMMYFUNCTION("""COMPUTED_VALUE"""),"")</f>
        <v/>
      </c>
      <c r="BB199" s="4" t="str">
        <f>IFERROR(__xludf.DUMMYFUNCTION("""COMPUTED_VALUE"""),"")</f>
        <v/>
      </c>
      <c r="BC199" s="4" t="str">
        <f>IFERROR(__xludf.DUMMYFUNCTION("""COMPUTED_VALUE"""),"")</f>
        <v/>
      </c>
      <c r="BD199" s="4" t="str">
        <f>IFERROR(__xludf.DUMMYFUNCTION("""COMPUTED_VALUE"""),"")</f>
        <v/>
      </c>
      <c r="BE199" s="4" t="str">
        <f>IFERROR(__xludf.DUMMYFUNCTION("""COMPUTED_VALUE"""),"")</f>
        <v/>
      </c>
      <c r="BF199" s="4" t="str">
        <f>IFERROR(__xludf.DUMMYFUNCTION("""COMPUTED_VALUE"""),"")</f>
        <v/>
      </c>
      <c r="BG199" s="4" t="str">
        <f>IFERROR(__xludf.DUMMYFUNCTION("""COMPUTED_VALUE"""),"")</f>
        <v/>
      </c>
      <c r="BH199" s="4" t="s">
        <v>111</v>
      </c>
      <c r="BI199" s="7">
        <v>0.9298245614035088</v>
      </c>
    </row>
    <row r="200" hidden="1">
      <c r="A200" s="4" t="str">
        <f>IFERROR(__xludf.DUMMYFUNCTION("""COMPUTED_VALUE"""),"SABOR CASEIRO")</f>
        <v>SABOR CASEIRO</v>
      </c>
      <c r="B200" s="4" t="str">
        <f>IFERROR(__xludf.DUMMYFUNCTION("""COMPUTED_VALUE"""),"Lídia Esteves")</f>
        <v>Lídia Esteves</v>
      </c>
      <c r="C200" s="4" t="str">
        <f>IFERROR(__xludf.DUMMYFUNCTION("""COMPUTED_VALUE"""),"Gabriela Roma")</f>
        <v>Gabriela Roma</v>
      </c>
      <c r="D200" s="4" t="str">
        <f>IFERROR(__xludf.DUMMYFUNCTION("""COMPUTED_VALUE"""),"0. Não Iniciado")</f>
        <v>0. Não Iniciado</v>
      </c>
      <c r="E200" s="4"/>
      <c r="F200" s="4" t="str">
        <f>IFERROR(__xludf.DUMMYFUNCTION("""COMPUTED_VALUE"""),"P")</f>
        <v>P</v>
      </c>
      <c r="G200" s="4"/>
      <c r="H200" s="4"/>
      <c r="I200" s="4"/>
      <c r="J200" s="4"/>
      <c r="K200" s="4"/>
      <c r="L200" s="4"/>
      <c r="M200" s="4"/>
      <c r="N200" s="4"/>
      <c r="O200" s="4"/>
      <c r="P200" s="4"/>
      <c r="Q200" s="4"/>
      <c r="R200" s="4"/>
      <c r="S200" s="4"/>
      <c r="T200" s="4"/>
      <c r="U200" s="4"/>
      <c r="V200" s="4"/>
      <c r="W200" s="4"/>
      <c r="X200" s="4"/>
      <c r="Y200" s="4"/>
      <c r="Z200" s="4"/>
      <c r="AA200" s="4">
        <f>IFERROR(__xludf.DUMMYFUNCTION("""COMPUTED_VALUE"""),15.0)</f>
        <v>15</v>
      </c>
      <c r="AB200" s="4" t="str">
        <f>IFERROR(__xludf.DUMMYFUNCTION("""COMPUTED_VALUE"""),"CE")</f>
        <v>CE</v>
      </c>
      <c r="AC200" s="4" t="str">
        <f>IFERROR(__xludf.DUMMYFUNCTION("""COMPUTED_VALUE"""),"Sim")</f>
        <v>Sim</v>
      </c>
      <c r="AD200" s="4" t="str">
        <f>IFERROR(__xludf.DUMMYFUNCTION("""COMPUTED_VALUE"""),"Ifood")</f>
        <v>Ifood</v>
      </c>
      <c r="AE200" s="4"/>
      <c r="AF200" s="4"/>
      <c r="AG200" s="4"/>
      <c r="AH200" s="4"/>
      <c r="AI200" s="4"/>
      <c r="AJ200" s="4"/>
      <c r="AK200" s="4"/>
      <c r="AL200" s="4"/>
      <c r="AM200" s="4" t="str">
        <f>IFERROR(__xludf.DUMMYFUNCTION("""COMPUTED_VALUE"""),"FY27")</f>
        <v>FY27</v>
      </c>
      <c r="AN200" s="4"/>
      <c r="AO200" s="4">
        <f>IFERROR(__xludf.DUMMYFUNCTION("""COMPUTED_VALUE"""),45553.0)</f>
        <v>45553</v>
      </c>
      <c r="AP200" s="4" t="str">
        <f>IFERROR(__xludf.DUMMYFUNCTION("""COMPUTED_VALUE"""),"SC")</f>
        <v>SC</v>
      </c>
      <c r="AQ200" s="4" t="str">
        <f>IFERROR(__xludf.DUMMYFUNCTION("""COMPUTED_VALUE"""),"CINTIA PURCENO")</f>
        <v>CINTIA PURCENO</v>
      </c>
      <c r="AR200" s="4" t="str">
        <f>IFERROR(__xludf.DUMMYFUNCTION("""COMPUTED_VALUE"""),"TIAGO MAINES")</f>
        <v>TIAGO MAINES</v>
      </c>
      <c r="AS200" s="4" t="str">
        <f>IFERROR(__xludf.DUMMYFUNCTION("""COMPUTED_VALUE"""),"FABIO DONATO")</f>
        <v>FABIO DONATO</v>
      </c>
      <c r="AT200" s="4" t="str">
        <f>IFERROR(__xludf.DUMMYFUNCTION("""COMPUTED_VALUE"""),"CAMILA HOLANDA")</f>
        <v>CAMILA HOLANDA</v>
      </c>
      <c r="AU200" s="4">
        <f>IFERROR(__xludf.DUMMYFUNCTION("""COMPUTED_VALUE"""),0.0)</f>
        <v>0</v>
      </c>
      <c r="AV200" s="4">
        <f>IFERROR(__xludf.DUMMYFUNCTION("""COMPUTED_VALUE"""),0.0)</f>
        <v>0</v>
      </c>
      <c r="AW200" s="4">
        <f>IFERROR(__xludf.DUMMYFUNCTION("""COMPUTED_VALUE"""),0.0)</f>
        <v>0</v>
      </c>
      <c r="AX200" s="4">
        <f>IFERROR(__xludf.DUMMYFUNCTION("""COMPUTED_VALUE"""),0.0)</f>
        <v>0</v>
      </c>
      <c r="AY200" s="4" t="str">
        <f>IFERROR(__xludf.DUMMYFUNCTION("""COMPUTED_VALUE"""),"Saipos Serviços De Software")</f>
        <v>Saipos Serviços De Software</v>
      </c>
      <c r="AZ200" s="4" t="str">
        <f>IFERROR(__xludf.DUMMYFUNCTION("""COMPUTED_VALUE"""),"Brasileira")</f>
        <v>Brasileira</v>
      </c>
      <c r="BA200" s="4">
        <f>IFERROR(__xludf.DUMMYFUNCTION("""COMPUTED_VALUE"""),62.0)</f>
        <v>62</v>
      </c>
      <c r="BB200" s="4" t="str">
        <f>IFERROR(__xludf.DUMMYFUNCTION("""COMPUTED_VALUE"""),"Fast Casual - Multi-conceito")</f>
        <v>Fast Casual - Multi-conceito</v>
      </c>
      <c r="BC200" s="4" t="str">
        <f>IFERROR(__xludf.DUMMYFUNCTION("""COMPUTED_VALUE"""),"Brasília/DF")</f>
        <v>Brasília/DF</v>
      </c>
      <c r="BD200" s="4" t="str">
        <f>IFERROR(__xludf.DUMMYFUNCTION("""COMPUTED_VALUE"""),"Dado não disponível publicamente - Necessário Discovery")</f>
        <v>Dado não disponível publicamente - Necessário Discovery</v>
      </c>
      <c r="BE200" s="4">
        <f>IFERROR(__xludf.DUMMYFUNCTION("""COMPUTED_VALUE"""),70.0)</f>
        <v>70</v>
      </c>
      <c r="BF200" s="4">
        <f>IFERROR(__xludf.DUMMYFUNCTION("""COMPUTED_VALUE"""),0.75)</f>
        <v>0.75</v>
      </c>
      <c r="BG20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00" s="4" t="s">
        <v>64</v>
      </c>
      <c r="BI200" s="7">
        <v>0.7</v>
      </c>
    </row>
    <row r="201" hidden="1">
      <c r="A201" s="4" t="str">
        <f>IFERROR(__xludf.DUMMYFUNCTION("""COMPUTED_VALUE"""),"SAGRADO BOULANGERIE")</f>
        <v>SAGRADO BOULANGERIE</v>
      </c>
      <c r="B201" s="4" t="str">
        <f>IFERROR(__xludf.DUMMYFUNCTION("""COMPUTED_VALUE"""),"Lídia Esteves")</f>
        <v>Lídia Esteves</v>
      </c>
      <c r="C201" s="4" t="str">
        <f>IFERROR(__xludf.DUMMYFUNCTION("""COMPUTED_VALUE"""),"Gabriela Roma")</f>
        <v>Gabriela Roma</v>
      </c>
      <c r="D201" s="4" t="str">
        <f>IFERROR(__xludf.DUMMYFUNCTION("""COMPUTED_VALUE"""),"0. Não Iniciado")</f>
        <v>0. Não Iniciado</v>
      </c>
      <c r="E201" s="4"/>
      <c r="F201" s="4" t="str">
        <f>IFERROR(__xludf.DUMMYFUNCTION("""COMPUTED_VALUE"""),"P")</f>
        <v>P</v>
      </c>
      <c r="G201" s="4"/>
      <c r="H201" s="4"/>
      <c r="I201" s="4"/>
      <c r="J201" s="4"/>
      <c r="K201" s="4"/>
      <c r="L201" s="4"/>
      <c r="M201" s="4"/>
      <c r="N201" s="4"/>
      <c r="O201" s="4"/>
      <c r="P201" s="4"/>
      <c r="Q201" s="4"/>
      <c r="R201" s="4"/>
      <c r="S201" s="4"/>
      <c r="T201" s="4"/>
      <c r="U201" s="4"/>
      <c r="V201" s="4"/>
      <c r="W201" s="4"/>
      <c r="X201" s="4"/>
      <c r="Y201" s="4"/>
      <c r="Z201" s="4"/>
      <c r="AA201" s="4">
        <f>IFERROR(__xludf.DUMMYFUNCTION("""COMPUTED_VALUE"""),11.0)</f>
        <v>11</v>
      </c>
      <c r="AB201" s="4" t="str">
        <f>IFERROR(__xludf.DUMMYFUNCTION("""COMPUTED_VALUE"""),"CE")</f>
        <v>CE</v>
      </c>
      <c r="AC201" s="4" t="str">
        <f>IFERROR(__xludf.DUMMYFUNCTION("""COMPUTED_VALUE"""),"Sim")</f>
        <v>Sim</v>
      </c>
      <c r="AD201" s="4">
        <f>IFERROR(__xludf.DUMMYFUNCTION("""COMPUTED_VALUE"""),0.0)</f>
        <v>0</v>
      </c>
      <c r="AE201" s="4"/>
      <c r="AF201" s="4"/>
      <c r="AG201" s="4"/>
      <c r="AH201" s="4"/>
      <c r="AI201" s="4"/>
      <c r="AJ201" s="4"/>
      <c r="AK201" s="4"/>
      <c r="AL201" s="4"/>
      <c r="AM201" s="4" t="str">
        <f>IFERROR(__xludf.DUMMYFUNCTION("""COMPUTED_VALUE"""),"FY27")</f>
        <v>FY27</v>
      </c>
      <c r="AN201" s="4"/>
      <c r="AO201" s="4">
        <f>IFERROR(__xludf.DUMMYFUNCTION("""COMPUTED_VALUE"""),45553.0)</f>
        <v>45553</v>
      </c>
      <c r="AP201" s="4">
        <f>IFERROR(__xludf.DUMMYFUNCTION("""COMPUTED_VALUE"""),0.0)</f>
        <v>0</v>
      </c>
      <c r="AQ201" s="4">
        <f>IFERROR(__xludf.DUMMYFUNCTION("""COMPUTED_VALUE"""),0.0)</f>
        <v>0</v>
      </c>
      <c r="AR201" s="4">
        <f>IFERROR(__xludf.DUMMYFUNCTION("""COMPUTED_VALUE"""),0.0)</f>
        <v>0</v>
      </c>
      <c r="AS201" s="4">
        <f>IFERROR(__xludf.DUMMYFUNCTION("""COMPUTED_VALUE"""),0.0)</f>
        <v>0</v>
      </c>
      <c r="AT201" s="4">
        <f>IFERROR(__xludf.DUMMYFUNCTION("""COMPUTED_VALUE"""),0.0)</f>
        <v>0</v>
      </c>
      <c r="AU201" s="4">
        <f>IFERROR(__xludf.DUMMYFUNCTION("""COMPUTED_VALUE"""),0.0)</f>
        <v>0</v>
      </c>
      <c r="AV201" s="4">
        <f>IFERROR(__xludf.DUMMYFUNCTION("""COMPUTED_VALUE"""),0.0)</f>
        <v>0</v>
      </c>
      <c r="AW201" s="4">
        <f>IFERROR(__xludf.DUMMYFUNCTION("""COMPUTED_VALUE"""),0.0)</f>
        <v>0</v>
      </c>
      <c r="AX201" s="4">
        <f>IFERROR(__xludf.DUMMYFUNCTION("""COMPUTED_VALUE"""),0.0)</f>
        <v>0</v>
      </c>
      <c r="AY201" s="4" t="str">
        <f>IFERROR(__xludf.DUMMYFUNCTION("""COMPUTED_VALUE"""),"Saipos Serviços De Software")</f>
        <v>Saipos Serviços De Software</v>
      </c>
      <c r="AZ201" s="4" t="str">
        <f>IFERROR(__xludf.DUMMYFUNCTION("""COMPUTED_VALUE"""),"Brasileira")</f>
        <v>Brasileira</v>
      </c>
      <c r="BA201" s="4">
        <f>IFERROR(__xludf.DUMMYFUNCTION("""COMPUTED_VALUE"""),72.0)</f>
        <v>72</v>
      </c>
      <c r="BB201" s="4" t="str">
        <f>IFERROR(__xludf.DUMMYFUNCTION("""COMPUTED_VALUE"""),"Fast Casual - Multi-conceito")</f>
        <v>Fast Casual - Multi-conceito</v>
      </c>
      <c r="BC201" s="4" t="str">
        <f>IFERROR(__xludf.DUMMYFUNCTION("""COMPUTED_VALUE"""),"Nacional")</f>
        <v>Nacional</v>
      </c>
      <c r="BD201" s="4" t="str">
        <f>IFERROR(__xludf.DUMMYFUNCTION("""COMPUTED_VALUE"""),"Dado não disponível publicamente - Necessário Discovery")</f>
        <v>Dado não disponível publicamente - Necessário Discovery</v>
      </c>
      <c r="BE201" s="4">
        <f>IFERROR(__xludf.DUMMYFUNCTION("""COMPUTED_VALUE"""),65.0)</f>
        <v>65</v>
      </c>
      <c r="BF201" s="4">
        <f>IFERROR(__xludf.DUMMYFUNCTION("""COMPUTED_VALUE"""),0.75)</f>
        <v>0.75</v>
      </c>
      <c r="BG20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01" s="4" t="s">
        <v>69</v>
      </c>
      <c r="BI201" s="7">
        <v>0.7142857142857143</v>
      </c>
    </row>
    <row r="202" hidden="1">
      <c r="A202" s="4" t="str">
        <f>IFERROR(__xludf.DUMMYFUNCTION("""COMPUTED_VALUE"""),"SAIKOU SUSHI EXPRESS")</f>
        <v>SAIKOU SUSHI EXPRESS</v>
      </c>
      <c r="B202" s="4" t="str">
        <f>IFERROR(__xludf.DUMMYFUNCTION("""COMPUTED_VALUE"""),"João Biagiotti")</f>
        <v>João Biagiotti</v>
      </c>
      <c r="C202" s="4" t="str">
        <f>IFERROR(__xludf.DUMMYFUNCTION("""COMPUTED_VALUE"""),"Diego Santos")</f>
        <v>Diego Santos</v>
      </c>
      <c r="D202" s="4" t="str">
        <f>IFERROR(__xludf.DUMMYFUNCTION("""COMPUTED_VALUE"""),"0. Não Iniciado")</f>
        <v>0. Não Iniciado</v>
      </c>
      <c r="E202" s="4"/>
      <c r="F202" s="4" t="str">
        <f>IFERROR(__xludf.DUMMYFUNCTION("""COMPUTED_VALUE"""),"P")</f>
        <v>P</v>
      </c>
      <c r="G202" s="4"/>
      <c r="H202" s="4"/>
      <c r="I202" s="4"/>
      <c r="J202" s="4"/>
      <c r="K202" s="4"/>
      <c r="L202" s="4"/>
      <c r="M202" s="4"/>
      <c r="N202" s="4"/>
      <c r="O202" s="4"/>
      <c r="P202" s="4"/>
      <c r="Q202" s="4"/>
      <c r="R202" s="4"/>
      <c r="S202" s="4"/>
      <c r="T202" s="4"/>
      <c r="U202" s="4"/>
      <c r="V202" s="4"/>
      <c r="W202" s="4"/>
      <c r="X202" s="4"/>
      <c r="Y202" s="4"/>
      <c r="Z202" s="4"/>
      <c r="AA202" s="4">
        <f>IFERROR(__xludf.DUMMYFUNCTION("""COMPUTED_VALUE"""),6.0)</f>
        <v>6</v>
      </c>
      <c r="AB202" s="4" t="str">
        <f>IFERROR(__xludf.DUMMYFUNCTION("""COMPUTED_VALUE"""),"CE")</f>
        <v>CE</v>
      </c>
      <c r="AC202" s="4" t="str">
        <f>IFERROR(__xludf.DUMMYFUNCTION("""COMPUTED_VALUE"""),"Sim")</f>
        <v>Sim</v>
      </c>
      <c r="AD202" s="4" t="str">
        <f>IFERROR(__xludf.DUMMYFUNCTION("""COMPUTED_VALUE"""),"Ifood")</f>
        <v>Ifood</v>
      </c>
      <c r="AE202" s="4"/>
      <c r="AF202" s="4"/>
      <c r="AG202" s="4"/>
      <c r="AH202" s="4"/>
      <c r="AI202" s="4"/>
      <c r="AJ202" s="4"/>
      <c r="AK202" s="4"/>
      <c r="AL202" s="4"/>
      <c r="AM202" s="4" t="str">
        <f>IFERROR(__xludf.DUMMYFUNCTION("""COMPUTED_VALUE"""),"FY27")</f>
        <v>FY27</v>
      </c>
      <c r="AN202" s="4"/>
      <c r="AO202" s="4">
        <f>IFERROR(__xludf.DUMMYFUNCTION("""COMPUTED_VALUE"""),45553.0)</f>
        <v>45553</v>
      </c>
      <c r="AP202" s="4" t="str">
        <f>IFERROR(__xludf.DUMMYFUNCTION("""COMPUTED_VALUE"""),"SP")</f>
        <v>SP</v>
      </c>
      <c r="AQ202" s="4" t="str">
        <f>IFERROR(__xludf.DUMMYFUNCTION("""COMPUTED_VALUE"""),"FABRYCIO MORI")</f>
        <v>FABRYCIO MORI</v>
      </c>
      <c r="AR202" s="4" t="str">
        <f>IFERROR(__xludf.DUMMYFUNCTION("""COMPUTED_VALUE"""),"JOAO MAURICIO")</f>
        <v>JOAO MAURICIO</v>
      </c>
      <c r="AS202" s="4" t="str">
        <f>IFERROR(__xludf.DUMMYFUNCTION("""COMPUTED_VALUE"""),"NATHALIE MERTENS")</f>
        <v>NATHALIE MERTENS</v>
      </c>
      <c r="AT202" s="4" t="str">
        <f>IFERROR(__xludf.DUMMYFUNCTION("""COMPUTED_VALUE"""),"MATHEUS LESSA")</f>
        <v>MATHEUS LESSA</v>
      </c>
      <c r="AU202" s="4">
        <f>IFERROR(__xludf.DUMMYFUNCTION("""COMPUTED_VALUE"""),0.0)</f>
        <v>0</v>
      </c>
      <c r="AV202" s="4">
        <f>IFERROR(__xludf.DUMMYFUNCTION("""COMPUTED_VALUE"""),0.0)</f>
        <v>0</v>
      </c>
      <c r="AW202" s="4">
        <f>IFERROR(__xludf.DUMMYFUNCTION("""COMPUTED_VALUE"""),0.0)</f>
        <v>0</v>
      </c>
      <c r="AX202" s="4">
        <f>IFERROR(__xludf.DUMMYFUNCTION("""COMPUTED_VALUE"""),0.0)</f>
        <v>0</v>
      </c>
      <c r="AY202" s="4"/>
      <c r="AZ202" s="4" t="str">
        <f>IFERROR(__xludf.DUMMYFUNCTION("""COMPUTED_VALUE"""),"Japonesa")</f>
        <v>Japonesa</v>
      </c>
      <c r="BA202" s="4">
        <f>IFERROR(__xludf.DUMMYFUNCTION("""COMPUTED_VALUE"""),103.0)</f>
        <v>103</v>
      </c>
      <c r="BB202" s="4" t="str">
        <f>IFERROR(__xludf.DUMMYFUNCTION("""COMPUTED_VALUE"""),"Fast Casual - Japonesa")</f>
        <v>Fast Casual - Japonesa</v>
      </c>
      <c r="BC202" s="4" t="str">
        <f>IFERROR(__xludf.DUMMYFUNCTION("""COMPUTED_VALUE"""),"São Paulo/SP")</f>
        <v>São Paulo/SP</v>
      </c>
      <c r="BD202" s="4" t="str">
        <f>IFERROR(__xludf.DUMMYFUNCTION("""COMPUTED_VALUE"""),"Dado não disponível publicamente - Necessário Discovery")</f>
        <v>Dado não disponível publicamente - Necessário Discovery</v>
      </c>
      <c r="BE202" s="4">
        <f>IFERROR(__xludf.DUMMYFUNCTION("""COMPUTED_VALUE"""),70.0)</f>
        <v>70</v>
      </c>
      <c r="BF202" s="4">
        <f>IFERROR(__xludf.DUMMYFUNCTION("""COMPUTED_VALUE"""),0.8)</f>
        <v>0.8</v>
      </c>
      <c r="BG202"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202" s="4" t="s">
        <v>95</v>
      </c>
      <c r="BI202" s="7">
        <v>1.0</v>
      </c>
    </row>
    <row r="203" hidden="1">
      <c r="A203" s="4" t="str">
        <f>IFERROR(__xludf.DUMMYFUNCTION("""COMPUTED_VALUE"""),"SAMCROS BURGUER - CONTA MARCA")</f>
        <v>SAMCROS BURGUER - CONTA MARCA</v>
      </c>
      <c r="B203" s="4" t="str">
        <f>IFERROR(__xludf.DUMMYFUNCTION("""COMPUTED_VALUE"""),"Lídia Esteves")</f>
        <v>Lídia Esteves</v>
      </c>
      <c r="C203" s="4" t="str">
        <f>IFERROR(__xludf.DUMMYFUNCTION("""COMPUTED_VALUE"""),"Gabriela Roma")</f>
        <v>Gabriela Roma</v>
      </c>
      <c r="D203" s="4" t="str">
        <f>IFERROR(__xludf.DUMMYFUNCTION("""COMPUTED_VALUE"""),"0. Não Iniciado")</f>
        <v>0. Não Iniciado</v>
      </c>
      <c r="E203" s="4"/>
      <c r="F203" s="4" t="str">
        <f>IFERROR(__xludf.DUMMYFUNCTION("""COMPUTED_VALUE"""),"P")</f>
        <v>P</v>
      </c>
      <c r="G203" s="4"/>
      <c r="H203" s="4"/>
      <c r="I203" s="4"/>
      <c r="J203" s="4"/>
      <c r="K203" s="4"/>
      <c r="L203" s="4"/>
      <c r="M203" s="4"/>
      <c r="N203" s="4"/>
      <c r="O203" s="4"/>
      <c r="P203" s="4"/>
      <c r="Q203" s="4"/>
      <c r="R203" s="4"/>
      <c r="S203" s="4"/>
      <c r="T203" s="4"/>
      <c r="U203" s="4"/>
      <c r="V203" s="4"/>
      <c r="W203" s="4"/>
      <c r="X203" s="4"/>
      <c r="Y203" s="4"/>
      <c r="Z203" s="4"/>
      <c r="AA203" s="4">
        <f>IFERROR(__xludf.DUMMYFUNCTION("""COMPUTED_VALUE"""),5.0)</f>
        <v>5</v>
      </c>
      <c r="AB203" s="4" t="str">
        <f>IFERROR(__xludf.DUMMYFUNCTION("""COMPUTED_VALUE"""),"CE")</f>
        <v>CE</v>
      </c>
      <c r="AC203" s="4" t="str">
        <f>IFERROR(__xludf.DUMMYFUNCTION("""COMPUTED_VALUE"""),"Sim")</f>
        <v>Sim</v>
      </c>
      <c r="AD203" s="4" t="str">
        <f>IFERROR(__xludf.DUMMYFUNCTION("""COMPUTED_VALUE"""),"Ifood")</f>
        <v>Ifood</v>
      </c>
      <c r="AE203" s="4"/>
      <c r="AF203" s="4"/>
      <c r="AG203" s="4"/>
      <c r="AH203" s="4"/>
      <c r="AI203" s="4"/>
      <c r="AJ203" s="4"/>
      <c r="AK203" s="4"/>
      <c r="AL203" s="4"/>
      <c r="AM203" s="4" t="str">
        <f>IFERROR(__xludf.DUMMYFUNCTION("""COMPUTED_VALUE"""),"FY27")</f>
        <v>FY27</v>
      </c>
      <c r="AN203" s="4"/>
      <c r="AO203" s="4">
        <f>IFERROR(__xludf.DUMMYFUNCTION("""COMPUTED_VALUE"""),45553.0)</f>
        <v>45553</v>
      </c>
      <c r="AP203" s="4" t="str">
        <f>IFERROR(__xludf.DUMMYFUNCTION("""COMPUTED_VALUE"""),"RS")</f>
        <v>RS</v>
      </c>
      <c r="AQ203" s="4" t="str">
        <f>IFERROR(__xludf.DUMMYFUNCTION("""COMPUTED_VALUE"""),"SHAYANA JACOM")</f>
        <v>SHAYANA JACOM</v>
      </c>
      <c r="AR203" s="4" t="str">
        <f>IFERROR(__xludf.DUMMYFUNCTION("""COMPUTED_VALUE"""),"JANINI WEBER")</f>
        <v>JANINI WEBER</v>
      </c>
      <c r="AS203" s="4" t="str">
        <f>IFERROR(__xludf.DUMMYFUNCTION("""COMPUTED_VALUE"""),"FABIO DONATO")</f>
        <v>FABIO DONATO</v>
      </c>
      <c r="AT203" s="4" t="str">
        <f>IFERROR(__xludf.DUMMYFUNCTION("""COMPUTED_VALUE"""),"CAMILA HOLANDA")</f>
        <v>CAMILA HOLANDA</v>
      </c>
      <c r="AU203" s="4">
        <f>IFERROR(__xludf.DUMMYFUNCTION("""COMPUTED_VALUE"""),0.0)</f>
        <v>0</v>
      </c>
      <c r="AV203" s="4">
        <f>IFERROR(__xludf.DUMMYFUNCTION("""COMPUTED_VALUE"""),0.0)</f>
        <v>0</v>
      </c>
      <c r="AW203" s="4">
        <f>IFERROR(__xludf.DUMMYFUNCTION("""COMPUTED_VALUE"""),0.0)</f>
        <v>0</v>
      </c>
      <c r="AX203" s="4">
        <f>IFERROR(__xludf.DUMMYFUNCTION("""COMPUTED_VALUE"""),0.0)</f>
        <v>0</v>
      </c>
      <c r="AY203" s="4"/>
      <c r="AZ203" s="4" t="str">
        <f>IFERROR(__xludf.DUMMYFUNCTION("""COMPUTED_VALUE"""),"Lanches")</f>
        <v>Lanches</v>
      </c>
      <c r="BA203" s="4">
        <f>IFERROR(__xludf.DUMMYFUNCTION("""COMPUTED_VALUE"""),71.0)</f>
        <v>71</v>
      </c>
      <c r="BB203" s="4" t="str">
        <f>IFERROR(__xludf.DUMMYFUNCTION("""COMPUTED_VALUE"""),"Fast Casual - Multi-conceito")</f>
        <v>Fast Casual - Multi-conceito</v>
      </c>
      <c r="BC203" s="4" t="str">
        <f>IFERROR(__xludf.DUMMYFUNCTION("""COMPUTED_VALUE"""),"Sudeste")</f>
        <v>Sudeste</v>
      </c>
      <c r="BD203" s="4" t="str">
        <f>IFERROR(__xludf.DUMMYFUNCTION("""COMPUTED_VALUE"""),"Dado não disponível publicamente - Necessário Discovery")</f>
        <v>Dado não disponível publicamente - Necessário Discovery</v>
      </c>
      <c r="BE203" s="4">
        <f>IFERROR(__xludf.DUMMYFUNCTION("""COMPUTED_VALUE"""),70.0)</f>
        <v>70</v>
      </c>
      <c r="BF203" s="4">
        <f>IFERROR(__xludf.DUMMYFUNCTION("""COMPUTED_VALUE"""),0.75)</f>
        <v>0.75</v>
      </c>
      <c r="BG20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03" s="4" t="s">
        <v>63</v>
      </c>
      <c r="BI203" s="7" t="s">
        <v>63</v>
      </c>
    </row>
    <row r="204" hidden="1">
      <c r="A204" s="4" t="str">
        <f>IFERROR(__xludf.DUMMYFUNCTION("""COMPUTED_VALUE"""),"SEUBURGER")</f>
        <v>SEUBURGER</v>
      </c>
      <c r="B204" s="4" t="str">
        <f>IFERROR(__xludf.DUMMYFUNCTION("""COMPUTED_VALUE"""),"João Biagiotti")</f>
        <v>João Biagiotti</v>
      </c>
      <c r="C204" s="4" t="str">
        <f>IFERROR(__xludf.DUMMYFUNCTION("""COMPUTED_VALUE"""),"Diego Santos")</f>
        <v>Diego Santos</v>
      </c>
      <c r="D204" s="4" t="str">
        <f>IFERROR(__xludf.DUMMYFUNCTION("""COMPUTED_VALUE"""),"10. Perdido")</f>
        <v>10. Perdido</v>
      </c>
      <c r="E204" s="4" t="str">
        <f>IFERROR(__xludf.DUMMYFUNCTION("""COMPUTED_VALUE"""),"Perdido - Fechou com concorrente")</f>
        <v>Perdido - Fechou com concorrente</v>
      </c>
      <c r="F204" s="4" t="str">
        <f>IFERROR(__xludf.DUMMYFUNCTION("""COMPUTED_VALUE"""),"P")</f>
        <v>P</v>
      </c>
      <c r="G204" s="5">
        <f>IFERROR(__xludf.DUMMYFUNCTION("""COMPUTED_VALUE"""),46125.0)</f>
        <v>46125</v>
      </c>
      <c r="H204" s="4" t="str">
        <f>IFERROR(__xludf.DUMMYFUNCTION("""COMPUTED_VALUE"""),"Time de delivery informou que a marca alterou o PDV recentemente, dificilmente iremos conseguir abertura")</f>
        <v>Time de delivery informou que a marca alterou o PDV recentemente, dificilmente iremos conseguir abertura</v>
      </c>
      <c r="I204" s="6">
        <f>IFERROR(__xludf.DUMMYFUNCTION("""COMPUTED_VALUE"""),46125.585145081015)</f>
        <v>46125.58515</v>
      </c>
      <c r="J204" s="4"/>
      <c r="K204" s="4"/>
      <c r="L204" s="4"/>
      <c r="M204" s="4"/>
      <c r="N204" s="4"/>
      <c r="O204" s="4"/>
      <c r="P204" s="4"/>
      <c r="Q204" s="4"/>
      <c r="R204" s="6">
        <f>IFERROR(__xludf.DUMMYFUNCTION("""COMPUTED_VALUE"""),46129.49708053241)</f>
        <v>46129.49708</v>
      </c>
      <c r="S204" s="4"/>
      <c r="T204" s="4"/>
      <c r="U204" s="4"/>
      <c r="V204" s="4" t="str">
        <f>IFERROR(__xludf.DUMMYFUNCTION("""COMPUTED_VALUE"""),"Fechou com concorrente há pouco tempo")</f>
        <v>Fechou com concorrente há pouco tempo</v>
      </c>
      <c r="W204" s="4"/>
      <c r="X204" s="4"/>
      <c r="Y204" s="4"/>
      <c r="Z204" s="4"/>
      <c r="AA204" s="4">
        <f>IFERROR(__xludf.DUMMYFUNCTION("""COMPUTED_VALUE"""),7.0)</f>
        <v>7</v>
      </c>
      <c r="AB204" s="4" t="str">
        <f>IFERROR(__xludf.DUMMYFUNCTION("""COMPUTED_VALUE"""),"CE")</f>
        <v>CE</v>
      </c>
      <c r="AC204" s="4" t="str">
        <f>IFERROR(__xludf.DUMMYFUNCTION("""COMPUTED_VALUE"""),"Sim")</f>
        <v>Sim</v>
      </c>
      <c r="AD204" s="4" t="str">
        <f>IFERROR(__xludf.DUMMYFUNCTION("""COMPUTED_VALUE"""),"Ifood")</f>
        <v>Ifood</v>
      </c>
      <c r="AE204" s="4"/>
      <c r="AF204" s="4"/>
      <c r="AG204" s="4"/>
      <c r="AH204" s="4"/>
      <c r="AI204" s="4"/>
      <c r="AJ204" s="4"/>
      <c r="AK204" s="4" t="str">
        <f>IFERROR(__xludf.DUMMYFUNCTION("""COMPUTED_VALUE"""),"Salão / Delivery")</f>
        <v>Salão / Delivery</v>
      </c>
      <c r="AL204" s="4" t="str">
        <f>IFERROR(__xludf.DUMMYFUNCTION("""COMPUTED_VALUE"""),"Não")</f>
        <v>Não</v>
      </c>
      <c r="AM204" s="4" t="str">
        <f>IFERROR(__xludf.DUMMYFUNCTION("""COMPUTED_VALUE"""),"FY27")</f>
        <v>FY27</v>
      </c>
      <c r="AN204" s="4"/>
      <c r="AO204" s="4">
        <f>IFERROR(__xludf.DUMMYFUNCTION("""COMPUTED_VALUE"""),90.0)</f>
        <v>90</v>
      </c>
      <c r="AP204" s="4" t="str">
        <f>IFERROR(__xludf.DUMMYFUNCTION("""COMPUTED_VALUE"""),"MG")</f>
        <v>MG</v>
      </c>
      <c r="AQ204" s="4" t="str">
        <f>IFERROR(__xludf.DUMMYFUNCTION("""COMPUTED_VALUE"""),"JOAO BAR")</f>
        <v>JOAO BAR</v>
      </c>
      <c r="AR204" s="4" t="str">
        <f>IFERROR(__xludf.DUMMYFUNCTION("""COMPUTED_VALUE"""),"LARISSA CARMO")</f>
        <v>LARISSA CARMO</v>
      </c>
      <c r="AS204" s="4" t="str">
        <f>IFERROR(__xludf.DUMMYFUNCTION("""COMPUTED_VALUE"""),"FABIO DONATO")</f>
        <v>FABIO DONATO</v>
      </c>
      <c r="AT204" s="4" t="str">
        <f>IFERROR(__xludf.DUMMYFUNCTION("""COMPUTED_VALUE"""),"GILSON JUNIOR")</f>
        <v>GILSON JUNIOR</v>
      </c>
      <c r="AU204" s="4">
        <f>IFERROR(__xludf.DUMMYFUNCTION("""COMPUTED_VALUE"""),0.0)</f>
        <v>0</v>
      </c>
      <c r="AV204" s="4">
        <f>IFERROR(__xludf.DUMMYFUNCTION("""COMPUTED_VALUE"""),0.0)</f>
        <v>0</v>
      </c>
      <c r="AW204" s="4">
        <f>IFERROR(__xludf.DUMMYFUNCTION("""COMPUTED_VALUE"""),0.0)</f>
        <v>0</v>
      </c>
      <c r="AX204" s="4">
        <f>IFERROR(__xludf.DUMMYFUNCTION("""COMPUTED_VALUE"""),0.0)</f>
        <v>0</v>
      </c>
      <c r="AY204" s="4"/>
      <c r="AZ204" s="4" t="str">
        <f>IFERROR(__xludf.DUMMYFUNCTION("""COMPUTED_VALUE"""),"Lanches")</f>
        <v>Lanches</v>
      </c>
      <c r="BA204" s="4" t="str">
        <f>IFERROR(__xludf.DUMMYFUNCTION("""COMPUTED_VALUE"""),"")</f>
        <v/>
      </c>
      <c r="BB204" s="4" t="str">
        <f>IFERROR(__xludf.DUMMYFUNCTION("""COMPUTED_VALUE"""),"")</f>
        <v/>
      </c>
      <c r="BC204" s="4" t="str">
        <f>IFERROR(__xludf.DUMMYFUNCTION("""COMPUTED_VALUE"""),"")</f>
        <v/>
      </c>
      <c r="BD204" s="4" t="str">
        <f>IFERROR(__xludf.DUMMYFUNCTION("""COMPUTED_VALUE"""),"")</f>
        <v/>
      </c>
      <c r="BE204" s="4" t="str">
        <f>IFERROR(__xludf.DUMMYFUNCTION("""COMPUTED_VALUE"""),"")</f>
        <v/>
      </c>
      <c r="BF204" s="4" t="str">
        <f>IFERROR(__xludf.DUMMYFUNCTION("""COMPUTED_VALUE"""),"")</f>
        <v/>
      </c>
      <c r="BG204" s="4" t="str">
        <f>IFERROR(__xludf.DUMMYFUNCTION("""COMPUTED_VALUE"""),"")</f>
        <v/>
      </c>
      <c r="BH204" s="4" t="s">
        <v>112</v>
      </c>
      <c r="BI204" s="7">
        <v>0.75</v>
      </c>
    </row>
    <row r="205" hidden="1">
      <c r="A205" s="4" t="str">
        <f>IFERROR(__xludf.DUMMYFUNCTION("""COMPUTED_VALUE"""),"SEVERO GARAGE - CONTA MARCA")</f>
        <v>SEVERO GARAGE - CONTA MARCA</v>
      </c>
      <c r="B205" s="4" t="str">
        <f>IFERROR(__xludf.DUMMYFUNCTION("""COMPUTED_VALUE"""),"Lídia Esteves")</f>
        <v>Lídia Esteves</v>
      </c>
      <c r="C205" s="4" t="str">
        <f>IFERROR(__xludf.DUMMYFUNCTION("""COMPUTED_VALUE"""),"Gabriela Roma")</f>
        <v>Gabriela Roma</v>
      </c>
      <c r="D205" s="4" t="str">
        <f>IFERROR(__xludf.DUMMYFUNCTION("""COMPUTED_VALUE"""),"0. Não Iniciado")</f>
        <v>0. Não Iniciado</v>
      </c>
      <c r="E205" s="4"/>
      <c r="F205" s="4" t="str">
        <f>IFERROR(__xludf.DUMMYFUNCTION("""COMPUTED_VALUE"""),"P")</f>
        <v>P</v>
      </c>
      <c r="G205" s="4"/>
      <c r="H205" s="4"/>
      <c r="I205" s="4"/>
      <c r="J205" s="4"/>
      <c r="K205" s="4"/>
      <c r="L205" s="4"/>
      <c r="M205" s="4"/>
      <c r="N205" s="4"/>
      <c r="O205" s="4"/>
      <c r="P205" s="4"/>
      <c r="Q205" s="4"/>
      <c r="R205" s="4"/>
      <c r="S205" s="4"/>
      <c r="T205" s="4"/>
      <c r="U205" s="4"/>
      <c r="V205" s="4"/>
      <c r="W205" s="4"/>
      <c r="X205" s="4"/>
      <c r="Y205" s="4"/>
      <c r="Z205" s="4"/>
      <c r="AA205" s="4">
        <f>IFERROR(__xludf.DUMMYFUNCTION("""COMPUTED_VALUE"""),14.0)</f>
        <v>14</v>
      </c>
      <c r="AB205" s="4" t="str">
        <f>IFERROR(__xludf.DUMMYFUNCTION("""COMPUTED_VALUE"""),"-")</f>
        <v>-</v>
      </c>
      <c r="AC205" s="4" t="str">
        <f>IFERROR(__xludf.DUMMYFUNCTION("""COMPUTED_VALUE"""),"Sim")</f>
        <v>Sim</v>
      </c>
      <c r="AD205" s="4" t="str">
        <f>IFERROR(__xludf.DUMMYFUNCTION("""COMPUTED_VALUE"""),"Totvs Large Enterprise Tecnologia S.a.")</f>
        <v>Totvs Large Enterprise Tecnologia S.a.</v>
      </c>
      <c r="AE205" s="4"/>
      <c r="AF205" s="4"/>
      <c r="AG205" s="4"/>
      <c r="AH205" s="4"/>
      <c r="AI205" s="4"/>
      <c r="AJ205" s="4"/>
      <c r="AK205" s="4"/>
      <c r="AL205" s="4"/>
      <c r="AM205" s="4" t="str">
        <f>IFERROR(__xludf.DUMMYFUNCTION("""COMPUTED_VALUE"""),"FY27")</f>
        <v>FY27</v>
      </c>
      <c r="AN205" s="4"/>
      <c r="AO205" s="4">
        <f>IFERROR(__xludf.DUMMYFUNCTION("""COMPUTED_VALUE"""),45553.0)</f>
        <v>45553</v>
      </c>
      <c r="AP205" s="4" t="str">
        <f>IFERROR(__xludf.DUMMYFUNCTION("""COMPUTED_VALUE"""),"RS")</f>
        <v>RS</v>
      </c>
      <c r="AQ205" s="4" t="str">
        <f>IFERROR(__xludf.DUMMYFUNCTION("""COMPUTED_VALUE"""),"SHAYANA JACOM")</f>
        <v>SHAYANA JACOM</v>
      </c>
      <c r="AR205" s="4" t="str">
        <f>IFERROR(__xludf.DUMMYFUNCTION("""COMPUTED_VALUE"""),"JANINI WEBER")</f>
        <v>JANINI WEBER</v>
      </c>
      <c r="AS205" s="4" t="str">
        <f>IFERROR(__xludf.DUMMYFUNCTION("""COMPUTED_VALUE"""),"FABIO DONATO")</f>
        <v>FABIO DONATO</v>
      </c>
      <c r="AT205" s="4" t="str">
        <f>IFERROR(__xludf.DUMMYFUNCTION("""COMPUTED_VALUE"""),"CAMILA HOLANDA")</f>
        <v>CAMILA HOLANDA</v>
      </c>
      <c r="AU205" s="4">
        <f>IFERROR(__xludf.DUMMYFUNCTION("""COMPUTED_VALUE"""),0.0)</f>
        <v>0</v>
      </c>
      <c r="AV205" s="4">
        <f>IFERROR(__xludf.DUMMYFUNCTION("""COMPUTED_VALUE"""),0.0)</f>
        <v>0</v>
      </c>
      <c r="AW205" s="4">
        <f>IFERROR(__xludf.DUMMYFUNCTION("""COMPUTED_VALUE"""),0.0)</f>
        <v>0</v>
      </c>
      <c r="AX205" s="4">
        <f>IFERROR(__xludf.DUMMYFUNCTION("""COMPUTED_VALUE"""),0.0)</f>
        <v>0</v>
      </c>
      <c r="AY205" s="4" t="str">
        <f>IFERROR(__xludf.DUMMYFUNCTION("""COMPUTED_VALUE"""),"Totvs Large Enterprise Tecnologia S.a.")</f>
        <v>Totvs Large Enterprise Tecnologia S.a.</v>
      </c>
      <c r="AZ205" s="4" t="str">
        <f>IFERROR(__xludf.DUMMYFUNCTION("""COMPUTED_VALUE"""),"Lanches")</f>
        <v>Lanches</v>
      </c>
      <c r="BA205" s="4">
        <f>IFERROR(__xludf.DUMMYFUNCTION("""COMPUTED_VALUE"""),73.0)</f>
        <v>73</v>
      </c>
      <c r="BB205" s="4" t="str">
        <f>IFERROR(__xludf.DUMMYFUNCTION("""COMPUTED_VALUE"""),"Fast Casual - Multi-conceito")</f>
        <v>Fast Casual - Multi-conceito</v>
      </c>
      <c r="BC205" s="4" t="str">
        <f>IFERROR(__xludf.DUMMYFUNCTION("""COMPUTED_VALUE"""),"Rio de Janeiro/RJ")</f>
        <v>Rio de Janeiro/RJ</v>
      </c>
      <c r="BD205" s="4" t="str">
        <f>IFERROR(__xludf.DUMMYFUNCTION("""COMPUTED_VALUE"""),"Dado não disponível publicamente - Necessário Discovery")</f>
        <v>Dado não disponível publicamente - Necessário Discovery</v>
      </c>
      <c r="BE205" s="4">
        <f>IFERROR(__xludf.DUMMYFUNCTION("""COMPUTED_VALUE"""),65.0)</f>
        <v>65</v>
      </c>
      <c r="BF205" s="4">
        <f>IFERROR(__xludf.DUMMYFUNCTION("""COMPUTED_VALUE"""),0.75)</f>
        <v>0.75</v>
      </c>
      <c r="BG20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05" s="4" t="s">
        <v>78</v>
      </c>
      <c r="BI205" s="7">
        <v>0.7692307692307693</v>
      </c>
    </row>
    <row r="206" hidden="1">
      <c r="A206" s="4" t="str">
        <f>IFERROR(__xludf.DUMMYFUNCTION("""COMPUTED_VALUE"""),"SIRENE FISH CHIPS")</f>
        <v>SIRENE FISH CHIPS</v>
      </c>
      <c r="B206" s="4" t="str">
        <f>IFERROR(__xludf.DUMMYFUNCTION("""COMPUTED_VALUE"""),"Lídia Esteves")</f>
        <v>Lídia Esteves</v>
      </c>
      <c r="C206" s="4" t="str">
        <f>IFERROR(__xludf.DUMMYFUNCTION("""COMPUTED_VALUE"""),"Gabriela Roma")</f>
        <v>Gabriela Roma</v>
      </c>
      <c r="D206" s="4" t="str">
        <f>IFERROR(__xludf.DUMMYFUNCTION("""COMPUTED_VALUE"""),"0. Não Iniciado")</f>
        <v>0. Não Iniciado</v>
      </c>
      <c r="E206" s="4"/>
      <c r="F206" s="4" t="str">
        <f>IFERROR(__xludf.DUMMYFUNCTION("""COMPUTED_VALUE"""),"P")</f>
        <v>P</v>
      </c>
      <c r="G206" s="4"/>
      <c r="H206" s="4"/>
      <c r="I206" s="4"/>
      <c r="J206" s="4"/>
      <c r="K206" s="4"/>
      <c r="L206" s="4"/>
      <c r="M206" s="4"/>
      <c r="N206" s="4"/>
      <c r="O206" s="4"/>
      <c r="P206" s="4"/>
      <c r="Q206" s="4"/>
      <c r="R206" s="4"/>
      <c r="S206" s="4"/>
      <c r="T206" s="4"/>
      <c r="U206" s="4"/>
      <c r="V206" s="4"/>
      <c r="W206" s="4"/>
      <c r="X206" s="4"/>
      <c r="Y206" s="4"/>
      <c r="Z206" s="4"/>
      <c r="AA206" s="4">
        <f>IFERROR(__xludf.DUMMYFUNCTION("""COMPUTED_VALUE"""),13.0)</f>
        <v>13</v>
      </c>
      <c r="AB206" s="4" t="str">
        <f>IFERROR(__xludf.DUMMYFUNCTION("""COMPUTED_VALUE"""),"-")</f>
        <v>-</v>
      </c>
      <c r="AC206" s="4" t="str">
        <f>IFERROR(__xludf.DUMMYFUNCTION("""COMPUTED_VALUE"""),"Sim")</f>
        <v>Sim</v>
      </c>
      <c r="AD206" s="4" t="str">
        <f>IFERROR(__xludf.DUMMYFUNCTION("""COMPUTED_VALUE"""),"Ifood")</f>
        <v>Ifood</v>
      </c>
      <c r="AE206" s="4"/>
      <c r="AF206" s="4"/>
      <c r="AG206" s="4"/>
      <c r="AH206" s="4"/>
      <c r="AI206" s="4"/>
      <c r="AJ206" s="4"/>
      <c r="AK206" s="4"/>
      <c r="AL206" s="4"/>
      <c r="AM206" s="4" t="str">
        <f>IFERROR(__xludf.DUMMYFUNCTION("""COMPUTED_VALUE"""),"FY27")</f>
        <v>FY27</v>
      </c>
      <c r="AN206" s="4"/>
      <c r="AO206" s="4">
        <f>IFERROR(__xludf.DUMMYFUNCTION("""COMPUTED_VALUE"""),45553.0)</f>
        <v>45553</v>
      </c>
      <c r="AP206" s="4" t="str">
        <f>IFERROR(__xludf.DUMMYFUNCTION("""COMPUTED_VALUE"""),"PR")</f>
        <v>PR</v>
      </c>
      <c r="AQ206" s="4" t="str">
        <f>IFERROR(__xludf.DUMMYFUNCTION("""COMPUTED_VALUE"""),"RAFAEL ROSSATO")</f>
        <v>RAFAEL ROSSATO</v>
      </c>
      <c r="AR206" s="4" t="str">
        <f>IFERROR(__xludf.DUMMYFUNCTION("""COMPUTED_VALUE"""),"TBH-COSPI-99")</f>
        <v>TBH-COSPI-99</v>
      </c>
      <c r="AS206" s="4" t="str">
        <f>IFERROR(__xludf.DUMMYFUNCTION("""COMPUTED_VALUE"""),"THIAGO ROMAGNOLE")</f>
        <v>THIAGO ROMAGNOLE</v>
      </c>
      <c r="AT206" s="4" t="str">
        <f>IFERROR(__xludf.DUMMYFUNCTION("""COMPUTED_VALUE"""),"BRUNA TASSINARI")</f>
        <v>BRUNA TASSINARI</v>
      </c>
      <c r="AU206" s="4">
        <f>IFERROR(__xludf.DUMMYFUNCTION("""COMPUTED_VALUE"""),0.0)</f>
        <v>0</v>
      </c>
      <c r="AV206" s="4">
        <f>IFERROR(__xludf.DUMMYFUNCTION("""COMPUTED_VALUE"""),0.0)</f>
        <v>0</v>
      </c>
      <c r="AW206" s="4">
        <f>IFERROR(__xludf.DUMMYFUNCTION("""COMPUTED_VALUE"""),0.0)</f>
        <v>0</v>
      </c>
      <c r="AX206" s="4">
        <f>IFERROR(__xludf.DUMMYFUNCTION("""COMPUTED_VALUE"""),0.0)</f>
        <v>0</v>
      </c>
      <c r="AY206" s="4" t="str">
        <f>IFERROR(__xludf.DUMMYFUNCTION("""COMPUTED_VALUE"""),"Cloudfy")</f>
        <v>Cloudfy</v>
      </c>
      <c r="AZ206" s="4" t="str">
        <f>IFERROR(__xludf.DUMMYFUNCTION("""COMPUTED_VALUE"""),"Lanches")</f>
        <v>Lanches</v>
      </c>
      <c r="BA206" s="4">
        <f>IFERROR(__xludf.DUMMYFUNCTION("""COMPUTED_VALUE"""),106.0)</f>
        <v>106</v>
      </c>
      <c r="BB206" s="4" t="str">
        <f>IFERROR(__xludf.DUMMYFUNCTION("""COMPUTED_VALUE"""),"Fast Casual - Frutos do Mar")</f>
        <v>Fast Casual - Frutos do Mar</v>
      </c>
      <c r="BC206" s="4" t="str">
        <f>IFERROR(__xludf.DUMMYFUNCTION("""COMPUTED_VALUE"""),"Interior SP")</f>
        <v>Interior SP</v>
      </c>
      <c r="BD206" s="4" t="str">
        <f>IFERROR(__xludf.DUMMYFUNCTION("""COMPUTED_VALUE"""),"Dado não disponível publicamente - Necessário Discovery")</f>
        <v>Dado não disponível publicamente - Necessário Discovery</v>
      </c>
      <c r="BE206" s="4">
        <f>IFERROR(__xludf.DUMMYFUNCTION("""COMPUTED_VALUE"""),70.0)</f>
        <v>70</v>
      </c>
      <c r="BF206" s="4">
        <f>IFERROR(__xludf.DUMMYFUNCTION("""COMPUTED_VALUE"""),0.75)</f>
        <v>0.75</v>
      </c>
      <c r="BG20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06" s="4" t="s">
        <v>89</v>
      </c>
      <c r="BI206" s="7">
        <v>0.7</v>
      </c>
    </row>
    <row r="207" hidden="1">
      <c r="A207" s="4" t="str">
        <f>IFERROR(__xludf.DUMMYFUNCTION("""COMPUTED_VALUE"""),"SOCIAL CLUBE")</f>
        <v>SOCIAL CLUBE</v>
      </c>
      <c r="B207" s="4" t="str">
        <f>IFERROR(__xludf.DUMMYFUNCTION("""COMPUTED_VALUE"""),"João Biagiotti")</f>
        <v>João Biagiotti</v>
      </c>
      <c r="C207" s="4" t="str">
        <f>IFERROR(__xludf.DUMMYFUNCTION("""COMPUTED_VALUE"""),"Diego Santos")</f>
        <v>Diego Santos</v>
      </c>
      <c r="D207" s="4" t="str">
        <f>IFERROR(__xludf.DUMMYFUNCTION("""COMPUTED_VALUE"""),"0. Não Iniciado")</f>
        <v>0. Não Iniciado</v>
      </c>
      <c r="E207" s="4"/>
      <c r="F207" s="4" t="str">
        <f>IFERROR(__xludf.DUMMYFUNCTION("""COMPUTED_VALUE"""),"P")</f>
        <v>P</v>
      </c>
      <c r="G207" s="4"/>
      <c r="H207" s="4"/>
      <c r="I207" s="4"/>
      <c r="J207" s="4"/>
      <c r="K207" s="4"/>
      <c r="L207" s="4"/>
      <c r="M207" s="4"/>
      <c r="N207" s="4"/>
      <c r="O207" s="4"/>
      <c r="P207" s="4"/>
      <c r="Q207" s="4"/>
      <c r="R207" s="4"/>
      <c r="S207" s="4"/>
      <c r="T207" s="4"/>
      <c r="U207" s="4"/>
      <c r="V207" s="4"/>
      <c r="W207" s="4"/>
      <c r="X207" s="4"/>
      <c r="Y207" s="4"/>
      <c r="Z207" s="4"/>
      <c r="AA207" s="4">
        <f>IFERROR(__xludf.DUMMYFUNCTION("""COMPUTED_VALUE"""),7.0)</f>
        <v>7</v>
      </c>
      <c r="AB207" s="4" t="str">
        <f>IFERROR(__xludf.DUMMYFUNCTION("""COMPUTED_VALUE"""),"CE")</f>
        <v>CE</v>
      </c>
      <c r="AC207" s="4" t="str">
        <f>IFERROR(__xludf.DUMMYFUNCTION("""COMPUTED_VALUE"""),"Sim")</f>
        <v>Sim</v>
      </c>
      <c r="AD207" s="4" t="str">
        <f>IFERROR(__xludf.DUMMYFUNCTION("""COMPUTED_VALUE"""),"Teknisa Service Ltda")</f>
        <v>Teknisa Service Ltda</v>
      </c>
      <c r="AE207" s="4"/>
      <c r="AF207" s="4"/>
      <c r="AG207" s="4"/>
      <c r="AH207" s="4"/>
      <c r="AI207" s="4"/>
      <c r="AJ207" s="4"/>
      <c r="AK207" s="4"/>
      <c r="AL207" s="4"/>
      <c r="AM207" s="4" t="str">
        <f>IFERROR(__xludf.DUMMYFUNCTION("""COMPUTED_VALUE"""),"FY27")</f>
        <v>FY27</v>
      </c>
      <c r="AN207" s="4"/>
      <c r="AO207" s="4">
        <f>IFERROR(__xludf.DUMMYFUNCTION("""COMPUTED_VALUE"""),45553.0)</f>
        <v>45553</v>
      </c>
      <c r="AP207" s="4" t="str">
        <f>IFERROR(__xludf.DUMMYFUNCTION("""COMPUTED_VALUE"""),"PB")</f>
        <v>PB</v>
      </c>
      <c r="AQ207" s="4" t="str">
        <f>IFERROR(__xludf.DUMMYFUNCTION("""COMPUTED_VALUE"""),"FABIO MAKARON")</f>
        <v>FABIO MAKARON</v>
      </c>
      <c r="AR207" s="4" t="str">
        <f>IFERROR(__xludf.DUMMYFUNCTION("""COMPUTED_VALUE"""),"TAMMYRES FONSECA")</f>
        <v>TAMMYRES FONSECA</v>
      </c>
      <c r="AS207" s="4" t="str">
        <f>IFERROR(__xludf.DUMMYFUNCTION("""COMPUTED_VALUE"""),"THIAGO ROMAGNOLE")</f>
        <v>THIAGO ROMAGNOLE</v>
      </c>
      <c r="AT207" s="4" t="str">
        <f>IFERROR(__xludf.DUMMYFUNCTION("""COMPUTED_VALUE"""),"EDUARDO VAZ")</f>
        <v>EDUARDO VAZ</v>
      </c>
      <c r="AU207" s="4">
        <f>IFERROR(__xludf.DUMMYFUNCTION("""COMPUTED_VALUE"""),0.0)</f>
        <v>0</v>
      </c>
      <c r="AV207" s="4">
        <f>IFERROR(__xludf.DUMMYFUNCTION("""COMPUTED_VALUE"""),0.0)</f>
        <v>0</v>
      </c>
      <c r="AW207" s="4">
        <f>IFERROR(__xludf.DUMMYFUNCTION("""COMPUTED_VALUE"""),0.0)</f>
        <v>0</v>
      </c>
      <c r="AX207" s="4">
        <f>IFERROR(__xludf.DUMMYFUNCTION("""COMPUTED_VALUE"""),0.0)</f>
        <v>0</v>
      </c>
      <c r="AY207" s="4" t="str">
        <f>IFERROR(__xludf.DUMMYFUNCTION("""COMPUTED_VALUE"""),"Teknisa Service Ltda")</f>
        <v>Teknisa Service Ltda</v>
      </c>
      <c r="AZ207" s="4" t="str">
        <f>IFERROR(__xludf.DUMMYFUNCTION("""COMPUTED_VALUE"""),"Japonesa")</f>
        <v>Japonesa</v>
      </c>
      <c r="BA207" s="4">
        <f>IFERROR(__xludf.DUMMYFUNCTION("""COMPUTED_VALUE"""),63.0)</f>
        <v>63</v>
      </c>
      <c r="BB207" s="4" t="str">
        <f>IFERROR(__xludf.DUMMYFUNCTION("""COMPUTED_VALUE"""),"Fast Casual - Multi-conceito")</f>
        <v>Fast Casual - Multi-conceito</v>
      </c>
      <c r="BC207" s="4" t="str">
        <f>IFERROR(__xludf.DUMMYFUNCTION("""COMPUTED_VALUE"""),"Interior SP")</f>
        <v>Interior SP</v>
      </c>
      <c r="BD207" s="4" t="str">
        <f>IFERROR(__xludf.DUMMYFUNCTION("""COMPUTED_VALUE"""),"Dado não disponível publicamente - Necessário Discovery")</f>
        <v>Dado não disponível publicamente - Necessário Discovery</v>
      </c>
      <c r="BE207" s="4">
        <f>IFERROR(__xludf.DUMMYFUNCTION("""COMPUTED_VALUE"""),65.0)</f>
        <v>65</v>
      </c>
      <c r="BF207" s="4">
        <f>IFERROR(__xludf.DUMMYFUNCTION("""COMPUTED_VALUE"""),0.75)</f>
        <v>0.75</v>
      </c>
      <c r="BG20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07" s="4" t="s">
        <v>64</v>
      </c>
      <c r="BI207" s="7">
        <v>0.5</v>
      </c>
    </row>
    <row r="208">
      <c r="A208" s="4" t="str">
        <f>IFERROR(__xludf.DUMMYFUNCTION("""COMPUTED_VALUE"""),"Sodiê")</f>
        <v>Sodiê</v>
      </c>
      <c r="B208" s="4" t="str">
        <f>IFERROR(__xludf.DUMMYFUNCTION("""COMPUTED_VALUE"""),"Emerson")</f>
        <v>Emerson</v>
      </c>
      <c r="C208" s="4" t="str">
        <f>IFERROR(__xludf.DUMMYFUNCTION("""COMPUTED_VALUE"""),"Emerson")</f>
        <v>Emerson</v>
      </c>
      <c r="D208" s="4" t="str">
        <f>IFERROR(__xludf.DUMMYFUNCTION("""COMPUTED_VALUE"""),"11. Stand by")</f>
        <v>11. Stand by</v>
      </c>
      <c r="E208" s="4" t="str">
        <f>IFERROR(__xludf.DUMMYFUNCTION("""COMPUTED_VALUE"""),"Perdido - Fechou com concorrente")</f>
        <v>Perdido - Fechou com concorrente</v>
      </c>
      <c r="F208" s="4" t="str">
        <f>IFERROR(__xludf.DUMMYFUNCTION("""COMPUTED_VALUE"""),"G")</f>
        <v>G</v>
      </c>
      <c r="G208" s="5">
        <f>IFERROR(__xludf.DUMMYFUNCTION("""COMPUTED_VALUE"""),46111.0)</f>
        <v>46111</v>
      </c>
      <c r="H208" s="4" t="str">
        <f>IFERROR(__xludf.DUMMYFUNCTION("""COMPUTED_VALUE"""),"Parceiro não está contemplando fazer troca de PDV no momento, investir com CRM e abordar novamente no futuro")</f>
        <v>Parceiro não está contemplando fazer troca de PDV no momento, investir com CRM e abordar novamente no futuro</v>
      </c>
      <c r="I208" s="4"/>
      <c r="J208" s="4"/>
      <c r="K208" s="4"/>
      <c r="L208" s="4"/>
      <c r="M208" s="4"/>
      <c r="N208" s="4"/>
      <c r="O208" s="4"/>
      <c r="P208" s="4"/>
      <c r="Q208" s="4"/>
      <c r="R208" s="4"/>
      <c r="S208" s="6">
        <f>IFERROR(__xludf.DUMMYFUNCTION("""COMPUTED_VALUE"""),46139.443756215274)</f>
        <v>46139.44376</v>
      </c>
      <c r="T208" s="4"/>
      <c r="U208" s="4"/>
      <c r="V208" s="4" t="str">
        <f>IFERROR(__xludf.DUMMYFUNCTION("""COMPUTED_VALUE"""),"Sem interesse em mudar de PDV")</f>
        <v>Sem interesse em mudar de PDV</v>
      </c>
      <c r="W208" s="4"/>
      <c r="X208" s="4"/>
      <c r="Y208" s="4"/>
      <c r="Z208" s="4"/>
      <c r="AA208" s="4">
        <f>IFERROR(__xludf.DUMMYFUNCTION("""COMPUTED_VALUE"""),450.0)</f>
        <v>450</v>
      </c>
      <c r="AB208" s="4" t="str">
        <f>IFERROR(__xludf.DUMMYFUNCTION("""COMPUTED_VALUE"""),"KA")</f>
        <v>KA</v>
      </c>
      <c r="AC208" s="4" t="str">
        <f>IFERROR(__xludf.DUMMYFUNCTION("""COMPUTED_VALUE"""),"Sim")</f>
        <v>Sim</v>
      </c>
      <c r="AD208" s="4">
        <f>IFERROR(__xludf.DUMMYFUNCTION("""COMPUTED_VALUE"""),0.0)</f>
        <v>0</v>
      </c>
      <c r="AE208" s="4"/>
      <c r="AF208" s="4"/>
      <c r="AG208" s="4"/>
      <c r="AH208" s="4"/>
      <c r="AI208" s="4"/>
      <c r="AJ208" s="4"/>
      <c r="AK208" s="4"/>
      <c r="AL208" s="4"/>
      <c r="AM208" s="4" t="str">
        <f>IFERROR(__xludf.DUMMYFUNCTION("""COMPUTED_VALUE"""),"FY27")</f>
        <v>FY27</v>
      </c>
      <c r="AN208" s="4"/>
      <c r="AO208" s="4">
        <f>IFERROR(__xludf.DUMMYFUNCTION("""COMPUTED_VALUE"""),103.0)</f>
        <v>103</v>
      </c>
      <c r="AP208" s="4">
        <f>IFERROR(__xludf.DUMMYFUNCTION("""COMPUTED_VALUE"""),0.0)</f>
        <v>0</v>
      </c>
      <c r="AQ208" s="4">
        <f>IFERROR(__xludf.DUMMYFUNCTION("""COMPUTED_VALUE"""),0.0)</f>
        <v>0</v>
      </c>
      <c r="AR208" s="4">
        <f>IFERROR(__xludf.DUMMYFUNCTION("""COMPUTED_VALUE"""),0.0)</f>
        <v>0</v>
      </c>
      <c r="AS208" s="4">
        <f>IFERROR(__xludf.DUMMYFUNCTION("""COMPUTED_VALUE"""),0.0)</f>
        <v>0</v>
      </c>
      <c r="AT208" s="4">
        <f>IFERROR(__xludf.DUMMYFUNCTION("""COMPUTED_VALUE"""),0.0)</f>
        <v>0</v>
      </c>
      <c r="AU208" s="4">
        <f>IFERROR(__xludf.DUMMYFUNCTION("""COMPUTED_VALUE"""),0.0)</f>
        <v>0</v>
      </c>
      <c r="AV208" s="4" t="str">
        <f>IFERROR(__xludf.DUMMYFUNCTION("""COMPUTED_VALUE"""),"Comer Fora-")</f>
        <v>Comer Fora-</v>
      </c>
      <c r="AW208" s="20" t="str">
        <f>IFERROR(__xludf.DUMMYFUNCTION("""COMPUTED_VALUE"""),"G - pipe")</f>
        <v>G - pipe</v>
      </c>
      <c r="AX208" s="4"/>
      <c r="AY208" s="4">
        <f>IFERROR(__xludf.DUMMYFUNCTION("""COMPUTED_VALUE"""),0.0)</f>
        <v>0</v>
      </c>
      <c r="AZ208" s="4" t="str">
        <f>IFERROR(__xludf.DUMMYFUNCTION("""COMPUTED_VALUE"""),"NA")</f>
        <v>NA</v>
      </c>
      <c r="BA208" s="4">
        <f>IFERROR(__xludf.DUMMYFUNCTION("""COMPUTED_VALUE"""),59.0)</f>
        <v>59</v>
      </c>
      <c r="BB208" s="4" t="str">
        <f>IFERROR(__xludf.DUMMYFUNCTION("""COMPUTED_VALUE"""),"Fast Casual - Multi-conceito")</f>
        <v>Fast Casual - Multi-conceito</v>
      </c>
      <c r="BC208" s="4" t="str">
        <f>IFERROR(__xludf.DUMMYFUNCTION("""COMPUTED_VALUE"""),"São Paulo/SP")</f>
        <v>São Paulo/SP</v>
      </c>
      <c r="BD208" s="4" t="str">
        <f>IFERROR(__xludf.DUMMYFUNCTION("""COMPUTED_VALUE"""),"Dado não disponível publicamente - Necessário Discovery")</f>
        <v>Dado não disponível publicamente - Necessário Discovery</v>
      </c>
      <c r="BE208" s="4">
        <f>IFERROR(__xludf.DUMMYFUNCTION("""COMPUTED_VALUE"""),65.0)</f>
        <v>65</v>
      </c>
      <c r="BF208" s="4">
        <f>IFERROR(__xludf.DUMMYFUNCTION("""COMPUTED_VALUE"""),0.75)</f>
        <v>0.75</v>
      </c>
      <c r="BG20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08" s="4" t="s">
        <v>63</v>
      </c>
      <c r="BI208" s="7" t="s">
        <v>63</v>
      </c>
    </row>
    <row r="209" hidden="1">
      <c r="A209" s="4" t="str">
        <f>IFERROR(__xludf.DUMMYFUNCTION("""COMPUTED_VALUE"""),"SUSHI DA PRACA")</f>
        <v>SUSHI DA PRACA</v>
      </c>
      <c r="B209" s="4" t="str">
        <f>IFERROR(__xludf.DUMMYFUNCTION("""COMPUTED_VALUE"""),"Lídia Esteves")</f>
        <v>Lídia Esteves</v>
      </c>
      <c r="C209" s="4" t="str">
        <f>IFERROR(__xludf.DUMMYFUNCTION("""COMPUTED_VALUE"""),"Gabriela Roma")</f>
        <v>Gabriela Roma</v>
      </c>
      <c r="D209" s="4" t="str">
        <f>IFERROR(__xludf.DUMMYFUNCTION("""COMPUTED_VALUE"""),"0. Não Iniciado")</f>
        <v>0. Não Iniciado</v>
      </c>
      <c r="E209" s="4"/>
      <c r="F209" s="4" t="str">
        <f>IFERROR(__xludf.DUMMYFUNCTION("""COMPUTED_VALUE"""),"P")</f>
        <v>P</v>
      </c>
      <c r="G209" s="4"/>
      <c r="H209" s="4"/>
      <c r="I209" s="4"/>
      <c r="J209" s="4"/>
      <c r="K209" s="4"/>
      <c r="L209" s="4"/>
      <c r="M209" s="4"/>
      <c r="N209" s="4"/>
      <c r="O209" s="4"/>
      <c r="P209" s="4"/>
      <c r="Q209" s="4"/>
      <c r="R209" s="4"/>
      <c r="S209" s="4"/>
      <c r="T209" s="4"/>
      <c r="U209" s="4"/>
      <c r="V209" s="4"/>
      <c r="W209" s="4"/>
      <c r="X209" s="4"/>
      <c r="Y209" s="4"/>
      <c r="Z209" s="4"/>
      <c r="AA209" s="4">
        <f>IFERROR(__xludf.DUMMYFUNCTION("""COMPUTED_VALUE"""),14.0)</f>
        <v>14</v>
      </c>
      <c r="AB209" s="4" t="str">
        <f>IFERROR(__xludf.DUMMYFUNCTION("""COMPUTED_VALUE"""),"CE")</f>
        <v>CE</v>
      </c>
      <c r="AC209" s="4" t="str">
        <f>IFERROR(__xludf.DUMMYFUNCTION("""COMPUTED_VALUE"""),"Sim")</f>
        <v>Sim</v>
      </c>
      <c r="AD209" s="4">
        <f>IFERROR(__xludf.DUMMYFUNCTION("""COMPUTED_VALUE"""),0.0)</f>
        <v>0</v>
      </c>
      <c r="AE209" s="4"/>
      <c r="AF209" s="4"/>
      <c r="AG209" s="4"/>
      <c r="AH209" s="4"/>
      <c r="AI209" s="4"/>
      <c r="AJ209" s="4"/>
      <c r="AK209" s="4"/>
      <c r="AL209" s="4"/>
      <c r="AM209" s="4" t="str">
        <f>IFERROR(__xludf.DUMMYFUNCTION("""COMPUTED_VALUE"""),"FY27")</f>
        <v>FY27</v>
      </c>
      <c r="AN209" s="4"/>
      <c r="AO209" s="4">
        <f>IFERROR(__xludf.DUMMYFUNCTION("""COMPUTED_VALUE"""),45553.0)</f>
        <v>45553</v>
      </c>
      <c r="AP209" s="4">
        <f>IFERROR(__xludf.DUMMYFUNCTION("""COMPUTED_VALUE"""),0.0)</f>
        <v>0</v>
      </c>
      <c r="AQ209" s="4">
        <f>IFERROR(__xludf.DUMMYFUNCTION("""COMPUTED_VALUE"""),0.0)</f>
        <v>0</v>
      </c>
      <c r="AR209" s="4">
        <f>IFERROR(__xludf.DUMMYFUNCTION("""COMPUTED_VALUE"""),0.0)</f>
        <v>0</v>
      </c>
      <c r="AS209" s="4">
        <f>IFERROR(__xludf.DUMMYFUNCTION("""COMPUTED_VALUE"""),0.0)</f>
        <v>0</v>
      </c>
      <c r="AT209" s="4">
        <f>IFERROR(__xludf.DUMMYFUNCTION("""COMPUTED_VALUE"""),0.0)</f>
        <v>0</v>
      </c>
      <c r="AU209" s="4">
        <f>IFERROR(__xludf.DUMMYFUNCTION("""COMPUTED_VALUE"""),0.0)</f>
        <v>0</v>
      </c>
      <c r="AV209" s="4">
        <f>IFERROR(__xludf.DUMMYFUNCTION("""COMPUTED_VALUE"""),0.0)</f>
        <v>0</v>
      </c>
      <c r="AW209" s="4">
        <f>IFERROR(__xludf.DUMMYFUNCTION("""COMPUTED_VALUE"""),0.0)</f>
        <v>0</v>
      </c>
      <c r="AX209" s="4">
        <f>IFERROR(__xludf.DUMMYFUNCTION("""COMPUTED_VALUE"""),0.0)</f>
        <v>0</v>
      </c>
      <c r="AY209" s="4" t="str">
        <f>IFERROR(__xludf.DUMMYFUNCTION("""COMPUTED_VALUE"""),"Lab Jota Marketing Digital Eirele")</f>
        <v>Lab Jota Marketing Digital Eirele</v>
      </c>
      <c r="AZ209" s="4" t="str">
        <f>IFERROR(__xludf.DUMMYFUNCTION("""COMPUTED_VALUE"""),"Pizza; Japonesa")</f>
        <v>Pizza; Japonesa</v>
      </c>
      <c r="BA209" s="4" t="str">
        <f>IFERROR(__xludf.DUMMYFUNCTION("""COMPUTED_VALUE"""),"")</f>
        <v/>
      </c>
      <c r="BB209" s="4" t="str">
        <f>IFERROR(__xludf.DUMMYFUNCTION("""COMPUTED_VALUE"""),"")</f>
        <v/>
      </c>
      <c r="BC209" s="4" t="str">
        <f>IFERROR(__xludf.DUMMYFUNCTION("""COMPUTED_VALUE"""),"")</f>
        <v/>
      </c>
      <c r="BD209" s="4" t="str">
        <f>IFERROR(__xludf.DUMMYFUNCTION("""COMPUTED_VALUE"""),"")</f>
        <v/>
      </c>
      <c r="BE209" s="4" t="str">
        <f>IFERROR(__xludf.DUMMYFUNCTION("""COMPUTED_VALUE"""),"")</f>
        <v/>
      </c>
      <c r="BF209" s="4" t="str">
        <f>IFERROR(__xludf.DUMMYFUNCTION("""COMPUTED_VALUE"""),"")</f>
        <v/>
      </c>
      <c r="BG209" s="4" t="str">
        <f>IFERROR(__xludf.DUMMYFUNCTION("""COMPUTED_VALUE"""),"")</f>
        <v/>
      </c>
      <c r="BH209" s="4" t="s">
        <v>113</v>
      </c>
      <c r="BI209" s="7">
        <v>0.5333333333333333</v>
      </c>
    </row>
    <row r="210" hidden="1">
      <c r="A210" s="4" t="str">
        <f>IFERROR(__xludf.DUMMYFUNCTION("""COMPUTED_VALUE"""),"TABUA DE CARNE")</f>
        <v>TABUA DE CARNE</v>
      </c>
      <c r="B210" s="4" t="str">
        <f>IFERROR(__xludf.DUMMYFUNCTION("""COMPUTED_VALUE"""),"João Biagiotti")</f>
        <v>João Biagiotti</v>
      </c>
      <c r="C210" s="4" t="str">
        <f>IFERROR(__xludf.DUMMYFUNCTION("""COMPUTED_VALUE"""),"Diego Santos")</f>
        <v>Diego Santos</v>
      </c>
      <c r="D210" s="4" t="str">
        <f>IFERROR(__xludf.DUMMYFUNCTION("""COMPUTED_VALUE"""),"0. Não Iniciado")</f>
        <v>0. Não Iniciado</v>
      </c>
      <c r="E210" s="4"/>
      <c r="F210" s="4" t="str">
        <f>IFERROR(__xludf.DUMMYFUNCTION("""COMPUTED_VALUE"""),"P")</f>
        <v>P</v>
      </c>
      <c r="G210" s="4"/>
      <c r="H210" s="4"/>
      <c r="I210" s="4"/>
      <c r="J210" s="4"/>
      <c r="K210" s="4"/>
      <c r="L210" s="4"/>
      <c r="M210" s="4"/>
      <c r="N210" s="4"/>
      <c r="O210" s="4"/>
      <c r="P210" s="4"/>
      <c r="Q210" s="4"/>
      <c r="R210" s="4"/>
      <c r="S210" s="4"/>
      <c r="T210" s="4"/>
      <c r="U210" s="4"/>
      <c r="V210" s="4"/>
      <c r="W210" s="4"/>
      <c r="X210" s="4"/>
      <c r="Y210" s="4"/>
      <c r="Z210" s="4"/>
      <c r="AA210" s="4">
        <f>IFERROR(__xludf.DUMMYFUNCTION("""COMPUTED_VALUE"""),5.0)</f>
        <v>5</v>
      </c>
      <c r="AB210" s="4" t="str">
        <f>IFERROR(__xludf.DUMMYFUNCTION("""COMPUTED_VALUE"""),"CE")</f>
        <v>CE</v>
      </c>
      <c r="AC210" s="4" t="str">
        <f>IFERROR(__xludf.DUMMYFUNCTION("""COMPUTED_VALUE"""),"Sim")</f>
        <v>Sim</v>
      </c>
      <c r="AD210" s="4" t="str">
        <f>IFERROR(__xludf.DUMMYFUNCTION("""COMPUTED_VALUE"""),"Ifood")</f>
        <v>Ifood</v>
      </c>
      <c r="AE210" s="4"/>
      <c r="AF210" s="4"/>
      <c r="AG210" s="4"/>
      <c r="AH210" s="4"/>
      <c r="AI210" s="4"/>
      <c r="AJ210" s="4"/>
      <c r="AK210" s="4"/>
      <c r="AL210" s="4"/>
      <c r="AM210" s="4" t="str">
        <f>IFERROR(__xludf.DUMMYFUNCTION("""COMPUTED_VALUE"""),"FY27")</f>
        <v>FY27</v>
      </c>
      <c r="AN210" s="4"/>
      <c r="AO210" s="4">
        <f>IFERROR(__xludf.DUMMYFUNCTION("""COMPUTED_VALUE"""),45553.0)</f>
        <v>45553</v>
      </c>
      <c r="AP210" s="4" t="str">
        <f>IFERROR(__xludf.DUMMYFUNCTION("""COMPUTED_VALUE"""),"RN")</f>
        <v>RN</v>
      </c>
      <c r="AQ210" s="4" t="str">
        <f>IFERROR(__xludf.DUMMYFUNCTION("""COMPUTED_VALUE"""),"TATIANY MEDEIROS")</f>
        <v>TATIANY MEDEIROS</v>
      </c>
      <c r="AR210" s="4" t="str">
        <f>IFERROR(__xludf.DUMMYFUNCTION("""COMPUTED_VALUE"""),"HUMBERTO FILHO")</f>
        <v>HUMBERTO FILHO</v>
      </c>
      <c r="AS210" s="4" t="str">
        <f>IFERROR(__xludf.DUMMYFUNCTION("""COMPUTED_VALUE"""),"THIAGO ROMAGNOLE")</f>
        <v>THIAGO ROMAGNOLE</v>
      </c>
      <c r="AT210" s="4" t="str">
        <f>IFERROR(__xludf.DUMMYFUNCTION("""COMPUTED_VALUE"""),"ANDERSON LAUREANO")</f>
        <v>ANDERSON LAUREANO</v>
      </c>
      <c r="AU210" s="4">
        <f>IFERROR(__xludf.DUMMYFUNCTION("""COMPUTED_VALUE"""),0.0)</f>
        <v>0</v>
      </c>
      <c r="AV210" s="4">
        <f>IFERROR(__xludf.DUMMYFUNCTION("""COMPUTED_VALUE"""),0.0)</f>
        <v>0</v>
      </c>
      <c r="AW210" s="4">
        <f>IFERROR(__xludf.DUMMYFUNCTION("""COMPUTED_VALUE"""),0.0)</f>
        <v>0</v>
      </c>
      <c r="AX210" s="4">
        <f>IFERROR(__xludf.DUMMYFUNCTION("""COMPUTED_VALUE"""),0.0)</f>
        <v>0</v>
      </c>
      <c r="AY210" s="4" t="str">
        <f>IFERROR(__xludf.DUMMYFUNCTION("""COMPUTED_VALUE"""),"Netcontroll Xmenu")</f>
        <v>Netcontroll Xmenu</v>
      </c>
      <c r="AZ210" s="4" t="str">
        <f>IFERROR(__xludf.DUMMYFUNCTION("""COMPUTED_VALUE"""),"Brasileira")</f>
        <v>Brasileira</v>
      </c>
      <c r="BA210" s="4">
        <f>IFERROR(__xludf.DUMMYFUNCTION("""COMPUTED_VALUE"""),75.0)</f>
        <v>75</v>
      </c>
      <c r="BB210" s="4" t="str">
        <f>IFERROR(__xludf.DUMMYFUNCTION("""COMPUTED_VALUE"""),"Fast Casual - Multi-conceito")</f>
        <v>Fast Casual - Multi-conceito</v>
      </c>
      <c r="BC210" s="4" t="str">
        <f>IFERROR(__xludf.DUMMYFUNCTION("""COMPUTED_VALUE"""),"Rio de Janeiro/RJ")</f>
        <v>Rio de Janeiro/RJ</v>
      </c>
      <c r="BD210" s="4" t="str">
        <f>IFERROR(__xludf.DUMMYFUNCTION("""COMPUTED_VALUE"""),"Dado não disponível publicamente - Necessário Discovery")</f>
        <v>Dado não disponível publicamente - Necessário Discovery</v>
      </c>
      <c r="BE210" s="4">
        <f>IFERROR(__xludf.DUMMYFUNCTION("""COMPUTED_VALUE"""),65.0)</f>
        <v>65</v>
      </c>
      <c r="BF210" s="4">
        <f>IFERROR(__xludf.DUMMYFUNCTION("""COMPUTED_VALUE"""),0.75)</f>
        <v>0.75</v>
      </c>
      <c r="BG21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10" s="4" t="s">
        <v>83</v>
      </c>
      <c r="BI210" s="7">
        <v>0.75</v>
      </c>
    </row>
    <row r="211" hidden="1">
      <c r="A211" s="4" t="str">
        <f>IFERROR(__xludf.DUMMYFUNCTION("""COMPUTED_VALUE"""),"TAKE A JUICE CONTA MARCA")</f>
        <v>TAKE A JUICE CONTA MARCA</v>
      </c>
      <c r="B211" s="4" t="str">
        <f>IFERROR(__xludf.DUMMYFUNCTION("""COMPUTED_VALUE"""),"João Biagiotti")</f>
        <v>João Biagiotti</v>
      </c>
      <c r="C211" s="4" t="str">
        <f>IFERROR(__xludf.DUMMYFUNCTION("""COMPUTED_VALUE"""),"Diego Santos")</f>
        <v>Diego Santos</v>
      </c>
      <c r="D211" s="4" t="str">
        <f>IFERROR(__xludf.DUMMYFUNCTION("""COMPUTED_VALUE"""),"0. Não Iniciado")</f>
        <v>0. Não Iniciado</v>
      </c>
      <c r="E211" s="4"/>
      <c r="F211" s="4" t="str">
        <f>IFERROR(__xludf.DUMMYFUNCTION("""COMPUTED_VALUE"""),"P")</f>
        <v>P</v>
      </c>
      <c r="G211" s="4"/>
      <c r="H211" s="4"/>
      <c r="I211" s="4"/>
      <c r="J211" s="4"/>
      <c r="K211" s="4"/>
      <c r="L211" s="4"/>
      <c r="M211" s="4"/>
      <c r="N211" s="4"/>
      <c r="O211" s="4"/>
      <c r="P211" s="4"/>
      <c r="Q211" s="4"/>
      <c r="R211" s="4"/>
      <c r="S211" s="4"/>
      <c r="T211" s="4"/>
      <c r="U211" s="4"/>
      <c r="V211" s="4"/>
      <c r="W211" s="4"/>
      <c r="X211" s="4"/>
      <c r="Y211" s="4"/>
      <c r="Z211" s="4"/>
      <c r="AA211" s="4">
        <f>IFERROR(__xludf.DUMMYFUNCTION("""COMPUTED_VALUE"""),5.0)</f>
        <v>5</v>
      </c>
      <c r="AB211" s="4" t="str">
        <f>IFERROR(__xludf.DUMMYFUNCTION("""COMPUTED_VALUE"""),"CE")</f>
        <v>CE</v>
      </c>
      <c r="AC211" s="4" t="str">
        <f>IFERROR(__xludf.DUMMYFUNCTION("""COMPUTED_VALUE"""),"Sim")</f>
        <v>Sim</v>
      </c>
      <c r="AD211" s="4" t="str">
        <f>IFERROR(__xludf.DUMMYFUNCTION("""COMPUTED_VALUE"""),"Ifood")</f>
        <v>Ifood</v>
      </c>
      <c r="AE211" s="4"/>
      <c r="AF211" s="4"/>
      <c r="AG211" s="4"/>
      <c r="AH211" s="4"/>
      <c r="AI211" s="4"/>
      <c r="AJ211" s="4"/>
      <c r="AK211" s="4"/>
      <c r="AL211" s="4"/>
      <c r="AM211" s="4" t="str">
        <f>IFERROR(__xludf.DUMMYFUNCTION("""COMPUTED_VALUE"""),"FY27")</f>
        <v>FY27</v>
      </c>
      <c r="AN211" s="4"/>
      <c r="AO211" s="4">
        <f>IFERROR(__xludf.DUMMYFUNCTION("""COMPUTED_VALUE"""),45553.0)</f>
        <v>45553</v>
      </c>
      <c r="AP211" s="4" t="str">
        <f>IFERROR(__xludf.DUMMYFUNCTION("""COMPUTED_VALUE"""),"CE")</f>
        <v>CE</v>
      </c>
      <c r="AQ211" s="4" t="str">
        <f>IFERROR(__xludf.DUMMYFUNCTION("""COMPUTED_VALUE"""),"FABIO MAKARON")</f>
        <v>FABIO MAKARON</v>
      </c>
      <c r="AR211" s="4" t="str">
        <f>IFERROR(__xludf.DUMMYFUNCTION("""COMPUTED_VALUE"""),"RAUL OLIVEIRA")</f>
        <v>RAUL OLIVEIRA</v>
      </c>
      <c r="AS211" s="4" t="str">
        <f>IFERROR(__xludf.DUMMYFUNCTION("""COMPUTED_VALUE"""),"THIAGO ROMAGNOLE")</f>
        <v>THIAGO ROMAGNOLE</v>
      </c>
      <c r="AT211" s="4" t="str">
        <f>IFERROR(__xludf.DUMMYFUNCTION("""COMPUTED_VALUE"""),"EDUARDO VAZ")</f>
        <v>EDUARDO VAZ</v>
      </c>
      <c r="AU211" s="4">
        <f>IFERROR(__xludf.DUMMYFUNCTION("""COMPUTED_VALUE"""),0.0)</f>
        <v>0</v>
      </c>
      <c r="AV211" s="4">
        <f>IFERROR(__xludf.DUMMYFUNCTION("""COMPUTED_VALUE"""),0.0)</f>
        <v>0</v>
      </c>
      <c r="AW211" s="4">
        <f>IFERROR(__xludf.DUMMYFUNCTION("""COMPUTED_VALUE"""),0.0)</f>
        <v>0</v>
      </c>
      <c r="AX211" s="4">
        <f>IFERROR(__xludf.DUMMYFUNCTION("""COMPUTED_VALUE"""),0.0)</f>
        <v>0</v>
      </c>
      <c r="AY211" s="4" t="str">
        <f>IFERROR(__xludf.DUMMYFUNCTION("""COMPUTED_VALUE"""),"Proabakus Desenvolvimento De Sistemas Ltda")</f>
        <v>Proabakus Desenvolvimento De Sistemas Ltda</v>
      </c>
      <c r="AZ211" s="4" t="str">
        <f>IFERROR(__xludf.DUMMYFUNCTION("""COMPUTED_VALUE"""),"Lanches")</f>
        <v>Lanches</v>
      </c>
      <c r="BA211" s="4">
        <f>IFERROR(__xludf.DUMMYFUNCTION("""COMPUTED_VALUE"""),54.0)</f>
        <v>54</v>
      </c>
      <c r="BB211" s="4" t="str">
        <f>IFERROR(__xludf.DUMMYFUNCTION("""COMPUTED_VALUE"""),"Fast Casual - Multi-conceito")</f>
        <v>Fast Casual - Multi-conceito</v>
      </c>
      <c r="BC211" s="4" t="str">
        <f>IFERROR(__xludf.DUMMYFUNCTION("""COMPUTED_VALUE"""),"Belo Horizonte/MG")</f>
        <v>Belo Horizonte/MG</v>
      </c>
      <c r="BD211" s="4" t="str">
        <f>IFERROR(__xludf.DUMMYFUNCTION("""COMPUTED_VALUE"""),"Dado não disponível publicamente - Necessário Discovery")</f>
        <v>Dado não disponível publicamente - Necessário Discovery</v>
      </c>
      <c r="BE211" s="4">
        <f>IFERROR(__xludf.DUMMYFUNCTION("""COMPUTED_VALUE"""),70.0)</f>
        <v>70</v>
      </c>
      <c r="BF211" s="4">
        <f>IFERROR(__xludf.DUMMYFUNCTION("""COMPUTED_VALUE"""),0.75)</f>
        <v>0.75</v>
      </c>
      <c r="BG21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11" s="4" t="s">
        <v>114</v>
      </c>
      <c r="BI211" s="7">
        <v>1.0</v>
      </c>
    </row>
    <row r="212" hidden="1">
      <c r="A212" s="4" t="str">
        <f>IFERROR(__xludf.DUMMYFUNCTION("""COMPUTED_VALUE"""),"THE POKE - CONTA MARCA")</f>
        <v>THE POKE - CONTA MARCA</v>
      </c>
      <c r="B212" s="4" t="str">
        <f>IFERROR(__xludf.DUMMYFUNCTION("""COMPUTED_VALUE"""),"João Biagiotti")</f>
        <v>João Biagiotti</v>
      </c>
      <c r="C212" s="4" t="str">
        <f>IFERROR(__xludf.DUMMYFUNCTION("""COMPUTED_VALUE"""),"Diego Santos")</f>
        <v>Diego Santos</v>
      </c>
      <c r="D212" s="4" t="str">
        <f>IFERROR(__xludf.DUMMYFUNCTION("""COMPUTED_VALUE"""),"0. Não Iniciado")</f>
        <v>0. Não Iniciado</v>
      </c>
      <c r="E212" s="4"/>
      <c r="F212" s="4" t="str">
        <f>IFERROR(__xludf.DUMMYFUNCTION("""COMPUTED_VALUE"""),"P")</f>
        <v>P</v>
      </c>
      <c r="G212" s="4"/>
      <c r="H212" s="4"/>
      <c r="I212" s="4"/>
      <c r="J212" s="4"/>
      <c r="K212" s="4"/>
      <c r="L212" s="4"/>
      <c r="M212" s="4"/>
      <c r="N212" s="4"/>
      <c r="O212" s="4"/>
      <c r="P212" s="4"/>
      <c r="Q212" s="4"/>
      <c r="R212" s="4"/>
      <c r="S212" s="4"/>
      <c r="T212" s="4"/>
      <c r="U212" s="4"/>
      <c r="V212" s="4"/>
      <c r="W212" s="4"/>
      <c r="X212" s="4"/>
      <c r="Y212" s="4"/>
      <c r="Z212" s="4"/>
      <c r="AA212" s="4">
        <f>IFERROR(__xludf.DUMMYFUNCTION("""COMPUTED_VALUE"""),5.0)</f>
        <v>5</v>
      </c>
      <c r="AB212" s="4" t="str">
        <f>IFERROR(__xludf.DUMMYFUNCTION("""COMPUTED_VALUE"""),"CE")</f>
        <v>CE</v>
      </c>
      <c r="AC212" s="4" t="str">
        <f>IFERROR(__xludf.DUMMYFUNCTION("""COMPUTED_VALUE"""),"Sim")</f>
        <v>Sim</v>
      </c>
      <c r="AD212" s="4" t="str">
        <f>IFERROR(__xludf.DUMMYFUNCTION("""COMPUTED_VALUE"""),"Ifood")</f>
        <v>Ifood</v>
      </c>
      <c r="AE212" s="4"/>
      <c r="AF212" s="4"/>
      <c r="AG212" s="4"/>
      <c r="AH212" s="4"/>
      <c r="AI212" s="4"/>
      <c r="AJ212" s="4"/>
      <c r="AK212" s="4"/>
      <c r="AL212" s="4"/>
      <c r="AM212" s="4" t="str">
        <f>IFERROR(__xludf.DUMMYFUNCTION("""COMPUTED_VALUE"""),"FY27")</f>
        <v>FY27</v>
      </c>
      <c r="AN212" s="4"/>
      <c r="AO212" s="4">
        <f>IFERROR(__xludf.DUMMYFUNCTION("""COMPUTED_VALUE"""),45553.0)</f>
        <v>45553</v>
      </c>
      <c r="AP212" s="4" t="str">
        <f>IFERROR(__xludf.DUMMYFUNCTION("""COMPUTED_VALUE"""),"PE")</f>
        <v>PE</v>
      </c>
      <c r="AQ212" s="4" t="str">
        <f>IFERROR(__xludf.DUMMYFUNCTION("""COMPUTED_VALUE"""),"ANA ARAUJO")</f>
        <v>ANA ARAUJO</v>
      </c>
      <c r="AR212" s="4" t="str">
        <f>IFERROR(__xludf.DUMMYFUNCTION("""COMPUTED_VALUE"""),"JEFFREY TYRONE")</f>
        <v>JEFFREY TYRONE</v>
      </c>
      <c r="AS212" s="4" t="str">
        <f>IFERROR(__xludf.DUMMYFUNCTION("""COMPUTED_VALUE"""),"THIAGO ROMAGNOLE")</f>
        <v>THIAGO ROMAGNOLE</v>
      </c>
      <c r="AT212" s="4" t="str">
        <f>IFERROR(__xludf.DUMMYFUNCTION("""COMPUTED_VALUE"""),"ANDERSON LAUREANO")</f>
        <v>ANDERSON LAUREANO</v>
      </c>
      <c r="AU212" s="4">
        <f>IFERROR(__xludf.DUMMYFUNCTION("""COMPUTED_VALUE"""),0.0)</f>
        <v>0</v>
      </c>
      <c r="AV212" s="4">
        <f>IFERROR(__xludf.DUMMYFUNCTION("""COMPUTED_VALUE"""),0.0)</f>
        <v>0</v>
      </c>
      <c r="AW212" s="4">
        <f>IFERROR(__xludf.DUMMYFUNCTION("""COMPUTED_VALUE"""),0.0)</f>
        <v>0</v>
      </c>
      <c r="AX212" s="4">
        <f>IFERROR(__xludf.DUMMYFUNCTION("""COMPUTED_VALUE"""),0.0)</f>
        <v>0</v>
      </c>
      <c r="AY212" s="4"/>
      <c r="AZ212" s="4" t="str">
        <f>IFERROR(__xludf.DUMMYFUNCTION("""COMPUTED_VALUE"""),"Saudável")</f>
        <v>Saudável</v>
      </c>
      <c r="BA212" s="4">
        <f>IFERROR(__xludf.DUMMYFUNCTION("""COMPUTED_VALUE"""),26.0)</f>
        <v>26</v>
      </c>
      <c r="BB212" s="4" t="str">
        <f>IFERROR(__xludf.DUMMYFUNCTION("""COMPUTED_VALUE"""),"QSR - Açaí/Poke")</f>
        <v>QSR - Açaí/Poke</v>
      </c>
      <c r="BC212" s="4" t="str">
        <f>IFERROR(__xludf.DUMMYFUNCTION("""COMPUTED_VALUE"""),"Brasília/DF")</f>
        <v>Brasília/DF</v>
      </c>
      <c r="BD212" s="4" t="str">
        <f>IFERROR(__xludf.DUMMYFUNCTION("""COMPUTED_VALUE"""),"Dado não disponível publicamente - Necessário Discovery")</f>
        <v>Dado não disponível publicamente - Necessário Discovery</v>
      </c>
      <c r="BE212" s="4">
        <f>IFERROR(__xludf.DUMMYFUNCTION("""COMPUTED_VALUE"""),70.0)</f>
        <v>70</v>
      </c>
      <c r="BF212" s="4">
        <f>IFERROR(__xludf.DUMMYFUNCTION("""COMPUTED_VALUE"""),0.85)</f>
        <v>0.85</v>
      </c>
      <c r="BG212"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212" s="4" t="s">
        <v>82</v>
      </c>
      <c r="BI212" s="7">
        <v>0.5</v>
      </c>
    </row>
    <row r="213" hidden="1">
      <c r="A213" s="4" t="str">
        <f>IFERROR(__xludf.DUMMYFUNCTION("""COMPUTED_VALUE"""),"TIO ARMENIO")</f>
        <v>TIO ARMENIO</v>
      </c>
      <c r="B213" s="4" t="str">
        <f>IFERROR(__xludf.DUMMYFUNCTION("""COMPUTED_VALUE"""),"João Biagiotti")</f>
        <v>João Biagiotti</v>
      </c>
      <c r="C213" s="4" t="str">
        <f>IFERROR(__xludf.DUMMYFUNCTION("""COMPUTED_VALUE"""),"Diego Santos")</f>
        <v>Diego Santos</v>
      </c>
      <c r="D213" s="4" t="str">
        <f>IFERROR(__xludf.DUMMYFUNCTION("""COMPUTED_VALUE"""),"0. Não Iniciado")</f>
        <v>0. Não Iniciado</v>
      </c>
      <c r="E213" s="4"/>
      <c r="F213" s="4" t="str">
        <f>IFERROR(__xludf.DUMMYFUNCTION("""COMPUTED_VALUE"""),"P")</f>
        <v>P</v>
      </c>
      <c r="G213" s="4"/>
      <c r="H213" s="4"/>
      <c r="I213" s="4"/>
      <c r="J213" s="4"/>
      <c r="K213" s="4"/>
      <c r="L213" s="4"/>
      <c r="M213" s="4"/>
      <c r="N213" s="4"/>
      <c r="O213" s="4"/>
      <c r="P213" s="4"/>
      <c r="Q213" s="4"/>
      <c r="R213" s="4"/>
      <c r="S213" s="4"/>
      <c r="T213" s="4"/>
      <c r="U213" s="4"/>
      <c r="V213" s="4"/>
      <c r="W213" s="4"/>
      <c r="X213" s="4"/>
      <c r="Y213" s="4"/>
      <c r="Z213" s="4"/>
      <c r="AA213" s="4">
        <f>IFERROR(__xludf.DUMMYFUNCTION("""COMPUTED_VALUE"""),13.0)</f>
        <v>13</v>
      </c>
      <c r="AB213" s="4" t="str">
        <f>IFERROR(__xludf.DUMMYFUNCTION("""COMPUTED_VALUE"""),"CE")</f>
        <v>CE</v>
      </c>
      <c r="AC213" s="4" t="str">
        <f>IFERROR(__xludf.DUMMYFUNCTION("""COMPUTED_VALUE"""),"Sim")</f>
        <v>Sim</v>
      </c>
      <c r="AD213" s="4" t="str">
        <f>IFERROR(__xludf.DUMMYFUNCTION("""COMPUTED_VALUE"""),"Ifood")</f>
        <v>Ifood</v>
      </c>
      <c r="AE213" s="4"/>
      <c r="AF213" s="4"/>
      <c r="AG213" s="4"/>
      <c r="AH213" s="4"/>
      <c r="AI213" s="4"/>
      <c r="AJ213" s="4"/>
      <c r="AK213" s="4"/>
      <c r="AL213" s="4"/>
      <c r="AM213" s="4" t="str">
        <f>IFERROR(__xludf.DUMMYFUNCTION("""COMPUTED_VALUE"""),"FY27")</f>
        <v>FY27</v>
      </c>
      <c r="AN213" s="4"/>
      <c r="AO213" s="4">
        <f>IFERROR(__xludf.DUMMYFUNCTION("""COMPUTED_VALUE"""),45553.0)</f>
        <v>45553</v>
      </c>
      <c r="AP213" s="4" t="str">
        <f>IFERROR(__xludf.DUMMYFUNCTION("""COMPUTED_VALUE"""),"PA")</f>
        <v>PA</v>
      </c>
      <c r="AQ213" s="4" t="str">
        <f>IFERROR(__xludf.DUMMYFUNCTION("""COMPUTED_VALUE"""),"FABIO MAKARON")</f>
        <v>FABIO MAKARON</v>
      </c>
      <c r="AR213" s="4" t="str">
        <f>IFERROR(__xludf.DUMMYFUNCTION("""COMPUTED_VALUE"""),"TAMMYRES FONSECA")</f>
        <v>TAMMYRES FONSECA</v>
      </c>
      <c r="AS213" s="4" t="str">
        <f>IFERROR(__xludf.DUMMYFUNCTION("""COMPUTED_VALUE"""),"THIAGO ROMAGNOLE")</f>
        <v>THIAGO ROMAGNOLE</v>
      </c>
      <c r="AT213" s="4" t="str">
        <f>IFERROR(__xludf.DUMMYFUNCTION("""COMPUTED_VALUE"""),"EDUARDO VAZ")</f>
        <v>EDUARDO VAZ</v>
      </c>
      <c r="AU213" s="4">
        <f>IFERROR(__xludf.DUMMYFUNCTION("""COMPUTED_VALUE"""),0.0)</f>
        <v>0</v>
      </c>
      <c r="AV213" s="4">
        <f>IFERROR(__xludf.DUMMYFUNCTION("""COMPUTED_VALUE"""),0.0)</f>
        <v>0</v>
      </c>
      <c r="AW213" s="4">
        <f>IFERROR(__xludf.DUMMYFUNCTION("""COMPUTED_VALUE"""),0.0)</f>
        <v>0</v>
      </c>
      <c r="AX213" s="4">
        <f>IFERROR(__xludf.DUMMYFUNCTION("""COMPUTED_VALUE"""),0.0)</f>
        <v>0</v>
      </c>
      <c r="AY213" s="4" t="str">
        <f>IFERROR(__xludf.DUMMYFUNCTION("""COMPUTED_VALUE"""),"Eclética Tecnologia")</f>
        <v>Eclética Tecnologia</v>
      </c>
      <c r="AZ213" s="4" t="str">
        <f>IFERROR(__xludf.DUMMYFUNCTION("""COMPUTED_VALUE"""),"Brasileira")</f>
        <v>Brasileira</v>
      </c>
      <c r="BA213" s="4">
        <f>IFERROR(__xludf.DUMMYFUNCTION("""COMPUTED_VALUE"""),63.0)</f>
        <v>63</v>
      </c>
      <c r="BB213" s="4" t="str">
        <f>IFERROR(__xludf.DUMMYFUNCTION("""COMPUTED_VALUE"""),"Fast Casual - Multi-conceito")</f>
        <v>Fast Casual - Multi-conceito</v>
      </c>
      <c r="BC213" s="4" t="str">
        <f>IFERROR(__xludf.DUMMYFUNCTION("""COMPUTED_VALUE"""),"Nacional")</f>
        <v>Nacional</v>
      </c>
      <c r="BD213" s="4" t="str">
        <f>IFERROR(__xludf.DUMMYFUNCTION("""COMPUTED_VALUE"""),"Dado não disponível publicamente - Necessário Discovery")</f>
        <v>Dado não disponível publicamente - Necessário Discovery</v>
      </c>
      <c r="BE213" s="4">
        <f>IFERROR(__xludf.DUMMYFUNCTION("""COMPUTED_VALUE"""),70.0)</f>
        <v>70</v>
      </c>
      <c r="BF213" s="4">
        <f>IFERROR(__xludf.DUMMYFUNCTION("""COMPUTED_VALUE"""),0.75)</f>
        <v>0.75</v>
      </c>
      <c r="BG21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13" s="4" t="s">
        <v>71</v>
      </c>
      <c r="BI213" s="7">
        <v>0.5</v>
      </c>
    </row>
    <row r="214" hidden="1">
      <c r="A214" s="4" t="str">
        <f>IFERROR(__xludf.DUMMYFUNCTION("""COMPUTED_VALUE"""),"TONYS GRILL")</f>
        <v>TONYS GRILL</v>
      </c>
      <c r="B214" s="4" t="str">
        <f>IFERROR(__xludf.DUMMYFUNCTION("""COMPUTED_VALUE"""),"Lídia Esteves")</f>
        <v>Lídia Esteves</v>
      </c>
      <c r="C214" s="4" t="str">
        <f>IFERROR(__xludf.DUMMYFUNCTION("""COMPUTED_VALUE"""),"Gabriela Roma")</f>
        <v>Gabriela Roma</v>
      </c>
      <c r="D214" s="4" t="str">
        <f>IFERROR(__xludf.DUMMYFUNCTION("""COMPUTED_VALUE"""),"0. Não Iniciado")</f>
        <v>0. Não Iniciado</v>
      </c>
      <c r="E214" s="4"/>
      <c r="F214" s="4" t="str">
        <f>IFERROR(__xludf.DUMMYFUNCTION("""COMPUTED_VALUE"""),"P")</f>
        <v>P</v>
      </c>
      <c r="G214" s="4"/>
      <c r="H214" s="4"/>
      <c r="I214" s="4"/>
      <c r="J214" s="4"/>
      <c r="K214" s="4"/>
      <c r="L214" s="4"/>
      <c r="M214" s="4"/>
      <c r="N214" s="4"/>
      <c r="O214" s="4"/>
      <c r="P214" s="4"/>
      <c r="Q214" s="4"/>
      <c r="R214" s="4"/>
      <c r="S214" s="4"/>
      <c r="T214" s="4"/>
      <c r="U214" s="4"/>
      <c r="V214" s="4"/>
      <c r="W214" s="4"/>
      <c r="X214" s="4"/>
      <c r="Y214" s="4"/>
      <c r="Z214" s="4"/>
      <c r="AA214" s="4">
        <f>IFERROR(__xludf.DUMMYFUNCTION("""COMPUTED_VALUE"""),6.0)</f>
        <v>6</v>
      </c>
      <c r="AB214" s="4" t="str">
        <f>IFERROR(__xludf.DUMMYFUNCTION("""COMPUTED_VALUE"""),"CE")</f>
        <v>CE</v>
      </c>
      <c r="AC214" s="4" t="str">
        <f>IFERROR(__xludf.DUMMYFUNCTION("""COMPUTED_VALUE"""),"Sim")</f>
        <v>Sim</v>
      </c>
      <c r="AD214" s="4">
        <f>IFERROR(__xludf.DUMMYFUNCTION("""COMPUTED_VALUE"""),0.0)</f>
        <v>0</v>
      </c>
      <c r="AE214" s="4"/>
      <c r="AF214" s="4"/>
      <c r="AG214" s="4"/>
      <c r="AH214" s="4"/>
      <c r="AI214" s="4"/>
      <c r="AJ214" s="4"/>
      <c r="AK214" s="4"/>
      <c r="AL214" s="4"/>
      <c r="AM214" s="4" t="str">
        <f>IFERROR(__xludf.DUMMYFUNCTION("""COMPUTED_VALUE"""),"FY27")</f>
        <v>FY27</v>
      </c>
      <c r="AN214" s="4"/>
      <c r="AO214" s="4">
        <f>IFERROR(__xludf.DUMMYFUNCTION("""COMPUTED_VALUE"""),45553.0)</f>
        <v>45553</v>
      </c>
      <c r="AP214" s="4">
        <f>IFERROR(__xludf.DUMMYFUNCTION("""COMPUTED_VALUE"""),0.0)</f>
        <v>0</v>
      </c>
      <c r="AQ214" s="4">
        <f>IFERROR(__xludf.DUMMYFUNCTION("""COMPUTED_VALUE"""),0.0)</f>
        <v>0</v>
      </c>
      <c r="AR214" s="4">
        <f>IFERROR(__xludf.DUMMYFUNCTION("""COMPUTED_VALUE"""),0.0)</f>
        <v>0</v>
      </c>
      <c r="AS214" s="4">
        <f>IFERROR(__xludf.DUMMYFUNCTION("""COMPUTED_VALUE"""),0.0)</f>
        <v>0</v>
      </c>
      <c r="AT214" s="4">
        <f>IFERROR(__xludf.DUMMYFUNCTION("""COMPUTED_VALUE"""),0.0)</f>
        <v>0</v>
      </c>
      <c r="AU214" s="4">
        <f>IFERROR(__xludf.DUMMYFUNCTION("""COMPUTED_VALUE"""),0.0)</f>
        <v>0</v>
      </c>
      <c r="AV214" s="4">
        <f>IFERROR(__xludf.DUMMYFUNCTION("""COMPUTED_VALUE"""),0.0)</f>
        <v>0</v>
      </c>
      <c r="AW214" s="4">
        <f>IFERROR(__xludf.DUMMYFUNCTION("""COMPUTED_VALUE"""),0.0)</f>
        <v>0</v>
      </c>
      <c r="AX214" s="4">
        <f>IFERROR(__xludf.DUMMYFUNCTION("""COMPUTED_VALUE"""),0.0)</f>
        <v>0</v>
      </c>
      <c r="AY214" s="4" t="str">
        <f>IFERROR(__xludf.DUMMYFUNCTION("""COMPUTED_VALUE"""),"Gplus Sistemas")</f>
        <v>Gplus Sistemas</v>
      </c>
      <c r="AZ214" s="4" t="str">
        <f>IFERROR(__xludf.DUMMYFUNCTION("""COMPUTED_VALUE"""),"Brasileira")</f>
        <v>Brasileira</v>
      </c>
      <c r="BA214" s="4">
        <f>IFERROR(__xludf.DUMMYFUNCTION("""COMPUTED_VALUE"""),160.0)</f>
        <v>160</v>
      </c>
      <c r="BB214" s="4" t="str">
        <f>IFERROR(__xludf.DUMMYFUNCTION("""COMPUTED_VALUE"""),"Table Service - Churrascaria")</f>
        <v>Table Service - Churrascaria</v>
      </c>
      <c r="BC214" s="4" t="str">
        <f>IFERROR(__xludf.DUMMYFUNCTION("""COMPUTED_VALUE"""),"Sul")</f>
        <v>Sul</v>
      </c>
      <c r="BD214" s="4" t="str">
        <f>IFERROR(__xludf.DUMMYFUNCTION("""COMPUTED_VALUE"""),"Dado não disponível publicamente - Necessário Discovery")</f>
        <v>Dado não disponível publicamente - Necessário Discovery</v>
      </c>
      <c r="BE214" s="4">
        <f>IFERROR(__xludf.DUMMYFUNCTION("""COMPUTED_VALUE"""),55.0)</f>
        <v>55</v>
      </c>
      <c r="BF214" s="4">
        <f>IFERROR(__xludf.DUMMYFUNCTION("""COMPUTED_VALUE"""),0.65)</f>
        <v>0.65</v>
      </c>
      <c r="BG21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14" s="4" t="s">
        <v>63</v>
      </c>
      <c r="BI214" s="7" t="s">
        <v>63</v>
      </c>
    </row>
    <row r="215" hidden="1">
      <c r="A215" s="4" t="str">
        <f>IFERROR(__xludf.DUMMYFUNCTION("""COMPUTED_VALUE"""),"TOP PIZZA")</f>
        <v>TOP PIZZA</v>
      </c>
      <c r="B215" s="4" t="str">
        <f>IFERROR(__xludf.DUMMYFUNCTION("""COMPUTED_VALUE"""),"Lídia Esteves")</f>
        <v>Lídia Esteves</v>
      </c>
      <c r="C215" s="4" t="str">
        <f>IFERROR(__xludf.DUMMYFUNCTION("""COMPUTED_VALUE"""),"Gabriela Roma")</f>
        <v>Gabriela Roma</v>
      </c>
      <c r="D215" s="4" t="str">
        <f>IFERROR(__xludf.DUMMYFUNCTION("""COMPUTED_VALUE"""),"0. Não Iniciado")</f>
        <v>0. Não Iniciado</v>
      </c>
      <c r="E215" s="4"/>
      <c r="F215" s="4" t="str">
        <f>IFERROR(__xludf.DUMMYFUNCTION("""COMPUTED_VALUE"""),"P")</f>
        <v>P</v>
      </c>
      <c r="G215" s="4"/>
      <c r="H215" s="4"/>
      <c r="I215" s="4"/>
      <c r="J215" s="4"/>
      <c r="K215" s="4"/>
      <c r="L215" s="4"/>
      <c r="M215" s="4"/>
      <c r="N215" s="4"/>
      <c r="O215" s="4"/>
      <c r="P215" s="4"/>
      <c r="Q215" s="4"/>
      <c r="R215" s="4"/>
      <c r="S215" s="4"/>
      <c r="T215" s="4"/>
      <c r="U215" s="4"/>
      <c r="V215" s="4"/>
      <c r="W215" s="4"/>
      <c r="X215" s="4"/>
      <c r="Y215" s="4"/>
      <c r="Z215" s="4"/>
      <c r="AA215" s="4">
        <f>IFERROR(__xludf.DUMMYFUNCTION("""COMPUTED_VALUE"""),6.0)</f>
        <v>6</v>
      </c>
      <c r="AB215" s="4" t="str">
        <f>IFERROR(__xludf.DUMMYFUNCTION("""COMPUTED_VALUE"""),"CE")</f>
        <v>CE</v>
      </c>
      <c r="AC215" s="4" t="str">
        <f>IFERROR(__xludf.DUMMYFUNCTION("""COMPUTED_VALUE"""),"Sim")</f>
        <v>Sim</v>
      </c>
      <c r="AD215" s="4" t="str">
        <f>IFERROR(__xludf.DUMMYFUNCTION("""COMPUTED_VALUE"""),"Ifood")</f>
        <v>Ifood</v>
      </c>
      <c r="AE215" s="4"/>
      <c r="AF215" s="4"/>
      <c r="AG215" s="4"/>
      <c r="AH215" s="4"/>
      <c r="AI215" s="4"/>
      <c r="AJ215" s="4"/>
      <c r="AK215" s="4"/>
      <c r="AL215" s="4"/>
      <c r="AM215" s="4" t="str">
        <f>IFERROR(__xludf.DUMMYFUNCTION("""COMPUTED_VALUE"""),"FY27")</f>
        <v>FY27</v>
      </c>
      <c r="AN215" s="4"/>
      <c r="AO215" s="4">
        <f>IFERROR(__xludf.DUMMYFUNCTION("""COMPUTED_VALUE"""),45553.0)</f>
        <v>45553</v>
      </c>
      <c r="AP215" s="4" t="str">
        <f>IFERROR(__xludf.DUMMYFUNCTION("""COMPUTED_VALUE"""),"PR")</f>
        <v>PR</v>
      </c>
      <c r="AQ215" s="4" t="str">
        <f>IFERROR(__xludf.DUMMYFUNCTION("""COMPUTED_VALUE"""),"RAFAEL FERREIRA")</f>
        <v>RAFAEL FERREIRA</v>
      </c>
      <c r="AR215" s="4" t="str">
        <f>IFERROR(__xludf.DUMMYFUNCTION("""COMPUTED_VALUE"""),"JEYCE VICENTE")</f>
        <v>JEYCE VICENTE</v>
      </c>
      <c r="AS215" s="4" t="str">
        <f>IFERROR(__xludf.DUMMYFUNCTION("""COMPUTED_VALUE"""),"FABIO DONATO")</f>
        <v>FABIO DONATO</v>
      </c>
      <c r="AT215" s="4" t="str">
        <f>IFERROR(__xludf.DUMMYFUNCTION("""COMPUTED_VALUE"""),"MURILO NAGASHIMA")</f>
        <v>MURILO NAGASHIMA</v>
      </c>
      <c r="AU215" s="4">
        <f>IFERROR(__xludf.DUMMYFUNCTION("""COMPUTED_VALUE"""),0.0)</f>
        <v>0</v>
      </c>
      <c r="AV215" s="4">
        <f>IFERROR(__xludf.DUMMYFUNCTION("""COMPUTED_VALUE"""),0.0)</f>
        <v>0</v>
      </c>
      <c r="AW215" s="4">
        <f>IFERROR(__xludf.DUMMYFUNCTION("""COMPUTED_VALUE"""),0.0)</f>
        <v>0</v>
      </c>
      <c r="AX215" s="4">
        <f>IFERROR(__xludf.DUMMYFUNCTION("""COMPUTED_VALUE"""),0.0)</f>
        <v>0</v>
      </c>
      <c r="AY215" s="4" t="str">
        <f>IFERROR(__xludf.DUMMYFUNCTION("""COMPUTED_VALUE"""),"Saipos Serviços De Software")</f>
        <v>Saipos Serviços De Software</v>
      </c>
      <c r="AZ215" s="4" t="str">
        <f>IFERROR(__xludf.DUMMYFUNCTION("""COMPUTED_VALUE"""),"Pizza")</f>
        <v>Pizza</v>
      </c>
      <c r="BA215" s="4">
        <f>IFERROR(__xludf.DUMMYFUNCTION("""COMPUTED_VALUE"""),82.0)</f>
        <v>82</v>
      </c>
      <c r="BB215" s="4" t="str">
        <f>IFERROR(__xludf.DUMMYFUNCTION("""COMPUTED_VALUE"""),"Fast Casual - Pizzaria")</f>
        <v>Fast Casual - Pizzaria</v>
      </c>
      <c r="BC215" s="4" t="str">
        <f>IFERROR(__xludf.DUMMYFUNCTION("""COMPUTED_VALUE"""),"Rio de Janeiro/RJ")</f>
        <v>Rio de Janeiro/RJ</v>
      </c>
      <c r="BD215" s="4" t="str">
        <f>IFERROR(__xludf.DUMMYFUNCTION("""COMPUTED_VALUE"""),"Dado não disponível publicamente - Necessário Discovery")</f>
        <v>Dado não disponível publicamente - Necessário Discovery</v>
      </c>
      <c r="BE215" s="4">
        <f>IFERROR(__xludf.DUMMYFUNCTION("""COMPUTED_VALUE"""),70.0)</f>
        <v>70</v>
      </c>
      <c r="BF215" s="4">
        <f>IFERROR(__xludf.DUMMYFUNCTION("""COMPUTED_VALUE"""),0.75)</f>
        <v>0.75</v>
      </c>
      <c r="BG21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15" s="4" t="s">
        <v>69</v>
      </c>
      <c r="BI215" s="7">
        <v>0.45454545454545453</v>
      </c>
    </row>
    <row r="216" hidden="1">
      <c r="A216" s="4" t="str">
        <f>IFERROR(__xludf.DUMMYFUNCTION("""COMPUTED_VALUE"""),"TOPPU SUSHI")</f>
        <v>TOPPU SUSHI</v>
      </c>
      <c r="B216" s="4" t="str">
        <f>IFERROR(__xludf.DUMMYFUNCTION("""COMPUTED_VALUE"""),"João Biagiotti")</f>
        <v>João Biagiotti</v>
      </c>
      <c r="C216" s="4" t="str">
        <f>IFERROR(__xludf.DUMMYFUNCTION("""COMPUTED_VALUE"""),"Diego Santos")</f>
        <v>Diego Santos</v>
      </c>
      <c r="D216" s="4" t="str">
        <f>IFERROR(__xludf.DUMMYFUNCTION("""COMPUTED_VALUE"""),"0. Não Iniciado")</f>
        <v>0. Não Iniciado</v>
      </c>
      <c r="E216" s="4"/>
      <c r="F216" s="4" t="str">
        <f>IFERROR(__xludf.DUMMYFUNCTION("""COMPUTED_VALUE"""),"P")</f>
        <v>P</v>
      </c>
      <c r="G216" s="4"/>
      <c r="H216" s="4"/>
      <c r="I216" s="4"/>
      <c r="J216" s="4"/>
      <c r="K216" s="4"/>
      <c r="L216" s="4"/>
      <c r="M216" s="4"/>
      <c r="N216" s="4"/>
      <c r="O216" s="4"/>
      <c r="P216" s="4"/>
      <c r="Q216" s="4"/>
      <c r="R216" s="4"/>
      <c r="S216" s="4"/>
      <c r="T216" s="4"/>
      <c r="U216" s="4"/>
      <c r="V216" s="4"/>
      <c r="W216" s="4"/>
      <c r="X216" s="4"/>
      <c r="Y216" s="4"/>
      <c r="Z216" s="4"/>
      <c r="AA216" s="4">
        <f>IFERROR(__xludf.DUMMYFUNCTION("""COMPUTED_VALUE"""),5.0)</f>
        <v>5</v>
      </c>
      <c r="AB216" s="4" t="str">
        <f>IFERROR(__xludf.DUMMYFUNCTION("""COMPUTED_VALUE"""),"CE")</f>
        <v>CE</v>
      </c>
      <c r="AC216" s="4" t="str">
        <f>IFERROR(__xludf.DUMMYFUNCTION("""COMPUTED_VALUE"""),"Sim")</f>
        <v>Sim</v>
      </c>
      <c r="AD216" s="4">
        <f>IFERROR(__xludf.DUMMYFUNCTION("""COMPUTED_VALUE"""),0.0)</f>
        <v>0</v>
      </c>
      <c r="AE216" s="4"/>
      <c r="AF216" s="4"/>
      <c r="AG216" s="4"/>
      <c r="AH216" s="4"/>
      <c r="AI216" s="4"/>
      <c r="AJ216" s="4"/>
      <c r="AK216" s="4"/>
      <c r="AL216" s="4"/>
      <c r="AM216" s="4" t="str">
        <f>IFERROR(__xludf.DUMMYFUNCTION("""COMPUTED_VALUE"""),"FY27")</f>
        <v>FY27</v>
      </c>
      <c r="AN216" s="4"/>
      <c r="AO216" s="4">
        <f>IFERROR(__xludf.DUMMYFUNCTION("""COMPUTED_VALUE"""),45553.0)</f>
        <v>45553</v>
      </c>
      <c r="AP216" s="4">
        <f>IFERROR(__xludf.DUMMYFUNCTION("""COMPUTED_VALUE"""),0.0)</f>
        <v>0</v>
      </c>
      <c r="AQ216" s="4">
        <f>IFERROR(__xludf.DUMMYFUNCTION("""COMPUTED_VALUE"""),0.0)</f>
        <v>0</v>
      </c>
      <c r="AR216" s="4">
        <f>IFERROR(__xludf.DUMMYFUNCTION("""COMPUTED_VALUE"""),0.0)</f>
        <v>0</v>
      </c>
      <c r="AS216" s="4">
        <f>IFERROR(__xludf.DUMMYFUNCTION("""COMPUTED_VALUE"""),0.0)</f>
        <v>0</v>
      </c>
      <c r="AT216" s="4">
        <f>IFERROR(__xludf.DUMMYFUNCTION("""COMPUTED_VALUE"""),0.0)</f>
        <v>0</v>
      </c>
      <c r="AU216" s="4">
        <f>IFERROR(__xludf.DUMMYFUNCTION("""COMPUTED_VALUE"""),0.0)</f>
        <v>0</v>
      </c>
      <c r="AV216" s="4">
        <f>IFERROR(__xludf.DUMMYFUNCTION("""COMPUTED_VALUE"""),0.0)</f>
        <v>0</v>
      </c>
      <c r="AW216" s="4">
        <f>IFERROR(__xludf.DUMMYFUNCTION("""COMPUTED_VALUE"""),0.0)</f>
        <v>0</v>
      </c>
      <c r="AX216" s="4">
        <f>IFERROR(__xludf.DUMMYFUNCTION("""COMPUTED_VALUE"""),0.0)</f>
        <v>0</v>
      </c>
      <c r="AY216" s="4"/>
      <c r="AZ216" s="4" t="str">
        <f>IFERROR(__xludf.DUMMYFUNCTION("""COMPUTED_VALUE"""),"NA")</f>
        <v>NA</v>
      </c>
      <c r="BA216" s="4">
        <f>IFERROR(__xludf.DUMMYFUNCTION("""COMPUTED_VALUE"""),69.0)</f>
        <v>69</v>
      </c>
      <c r="BB216" s="4" t="str">
        <f>IFERROR(__xludf.DUMMYFUNCTION("""COMPUTED_VALUE"""),"Fast Casual - Japonesa")</f>
        <v>Fast Casual - Japonesa</v>
      </c>
      <c r="BC216" s="4" t="str">
        <f>IFERROR(__xludf.DUMMYFUNCTION("""COMPUTED_VALUE"""),"Interior SP")</f>
        <v>Interior SP</v>
      </c>
      <c r="BD216" s="4" t="str">
        <f>IFERROR(__xludf.DUMMYFUNCTION("""COMPUTED_VALUE"""),"Dado não disponível publicamente - Necessário Discovery")</f>
        <v>Dado não disponível publicamente - Necessário Discovery</v>
      </c>
      <c r="BE216" s="4">
        <f>IFERROR(__xludf.DUMMYFUNCTION("""COMPUTED_VALUE"""),70.0)</f>
        <v>70</v>
      </c>
      <c r="BF216" s="4">
        <f>IFERROR(__xludf.DUMMYFUNCTION("""COMPUTED_VALUE"""),0.75)</f>
        <v>0.75</v>
      </c>
      <c r="BG21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16" s="4" t="s">
        <v>75</v>
      </c>
      <c r="BI216" s="7">
        <v>1.0</v>
      </c>
    </row>
    <row r="217" hidden="1">
      <c r="A217" s="4" t="str">
        <f>IFERROR(__xludf.DUMMYFUNCTION("""COMPUTED_VALUE"""),"TORTELLE ESFIHARIA")</f>
        <v>TORTELLE ESFIHARIA</v>
      </c>
      <c r="B217" s="4" t="str">
        <f>IFERROR(__xludf.DUMMYFUNCTION("""COMPUTED_VALUE"""),"Lídia Esteves")</f>
        <v>Lídia Esteves</v>
      </c>
      <c r="C217" s="4" t="str">
        <f>IFERROR(__xludf.DUMMYFUNCTION("""COMPUTED_VALUE"""),"Gabriela Roma")</f>
        <v>Gabriela Roma</v>
      </c>
      <c r="D217" s="4" t="str">
        <f>IFERROR(__xludf.DUMMYFUNCTION("""COMPUTED_VALUE"""),"0. Não Iniciado")</f>
        <v>0. Não Iniciado</v>
      </c>
      <c r="E217" s="4"/>
      <c r="F217" s="4" t="str">
        <f>IFERROR(__xludf.DUMMYFUNCTION("""COMPUTED_VALUE"""),"P")</f>
        <v>P</v>
      </c>
      <c r="G217" s="4"/>
      <c r="H217" s="4"/>
      <c r="I217" s="4"/>
      <c r="J217" s="4"/>
      <c r="K217" s="4"/>
      <c r="L217" s="4"/>
      <c r="M217" s="4"/>
      <c r="N217" s="4"/>
      <c r="O217" s="4"/>
      <c r="P217" s="4"/>
      <c r="Q217" s="4"/>
      <c r="R217" s="4"/>
      <c r="S217" s="4"/>
      <c r="T217" s="4"/>
      <c r="U217" s="4"/>
      <c r="V217" s="4"/>
      <c r="W217" s="4"/>
      <c r="X217" s="4"/>
      <c r="Y217" s="4"/>
      <c r="Z217" s="4"/>
      <c r="AA217" s="4">
        <f>IFERROR(__xludf.DUMMYFUNCTION("""COMPUTED_VALUE"""),5.0)</f>
        <v>5</v>
      </c>
      <c r="AB217" s="4" t="str">
        <f>IFERROR(__xludf.DUMMYFUNCTION("""COMPUTED_VALUE"""),"CE")</f>
        <v>CE</v>
      </c>
      <c r="AC217" s="4" t="str">
        <f>IFERROR(__xludf.DUMMYFUNCTION("""COMPUTED_VALUE"""),"Sim")</f>
        <v>Sim</v>
      </c>
      <c r="AD217" s="4" t="str">
        <f>IFERROR(__xludf.DUMMYFUNCTION("""COMPUTED_VALUE"""),"Ifood")</f>
        <v>Ifood</v>
      </c>
      <c r="AE217" s="4"/>
      <c r="AF217" s="4"/>
      <c r="AG217" s="4"/>
      <c r="AH217" s="4"/>
      <c r="AI217" s="4"/>
      <c r="AJ217" s="4"/>
      <c r="AK217" s="4"/>
      <c r="AL217" s="4"/>
      <c r="AM217" s="4" t="str">
        <f>IFERROR(__xludf.DUMMYFUNCTION("""COMPUTED_VALUE"""),"FY27")</f>
        <v>FY27</v>
      </c>
      <c r="AN217" s="4"/>
      <c r="AO217" s="4">
        <f>IFERROR(__xludf.DUMMYFUNCTION("""COMPUTED_VALUE"""),45553.0)</f>
        <v>45553</v>
      </c>
      <c r="AP217" s="4" t="str">
        <f>IFERROR(__xludf.DUMMYFUNCTION("""COMPUTED_VALUE"""),"SP")</f>
        <v>SP</v>
      </c>
      <c r="AQ217" s="4" t="str">
        <f>IFERROR(__xludf.DUMMYFUNCTION("""COMPUTED_VALUE"""),"VITOR SERRANO")</f>
        <v>VITOR SERRANO</v>
      </c>
      <c r="AR217" s="4" t="str">
        <f>IFERROR(__xludf.DUMMYFUNCTION("""COMPUTED_VALUE"""),"RAFAEL FERNANDES")</f>
        <v>RAFAEL FERNANDES</v>
      </c>
      <c r="AS217" s="4" t="str">
        <f>IFERROR(__xludf.DUMMYFUNCTION("""COMPUTED_VALUE"""),"ALAN HADDAD")</f>
        <v>ALAN HADDAD</v>
      </c>
      <c r="AT217" s="4" t="str">
        <f>IFERROR(__xludf.DUMMYFUNCTION("""COMPUTED_VALUE"""),"ISABELA DINIZ")</f>
        <v>ISABELA DINIZ</v>
      </c>
      <c r="AU217" s="4">
        <f>IFERROR(__xludf.DUMMYFUNCTION("""COMPUTED_VALUE"""),0.0)</f>
        <v>0</v>
      </c>
      <c r="AV217" s="4">
        <f>IFERROR(__xludf.DUMMYFUNCTION("""COMPUTED_VALUE"""),0.0)</f>
        <v>0</v>
      </c>
      <c r="AW217" s="4">
        <f>IFERROR(__xludf.DUMMYFUNCTION("""COMPUTED_VALUE"""),0.0)</f>
        <v>0</v>
      </c>
      <c r="AX217" s="4">
        <f>IFERROR(__xludf.DUMMYFUNCTION("""COMPUTED_VALUE"""),0.0)</f>
        <v>0</v>
      </c>
      <c r="AY217" s="4"/>
      <c r="AZ217" s="4" t="str">
        <f>IFERROR(__xludf.DUMMYFUNCTION("""COMPUTED_VALUE"""),"Árabe")</f>
        <v>Árabe</v>
      </c>
      <c r="BA217" s="4">
        <f>IFERROR(__xludf.DUMMYFUNCTION("""COMPUTED_VALUE"""),40.0)</f>
        <v>40</v>
      </c>
      <c r="BB217" s="4" t="str">
        <f>IFERROR(__xludf.DUMMYFUNCTION("""COMPUTED_VALUE"""),"Fast Casual - Esfiharia")</f>
        <v>Fast Casual - Esfiharia</v>
      </c>
      <c r="BC217" s="4" t="str">
        <f>IFERROR(__xludf.DUMMYFUNCTION("""COMPUTED_VALUE"""),"Brasília/DF")</f>
        <v>Brasília/DF</v>
      </c>
      <c r="BD217" s="4" t="str">
        <f>IFERROR(__xludf.DUMMYFUNCTION("""COMPUTED_VALUE"""),"Dado não disponível publicamente - Necessário Discovery")</f>
        <v>Dado não disponível publicamente - Necessário Discovery</v>
      </c>
      <c r="BE217" s="4">
        <f>IFERROR(__xludf.DUMMYFUNCTION("""COMPUTED_VALUE"""),70.0)</f>
        <v>70</v>
      </c>
      <c r="BF217" s="4">
        <f>IFERROR(__xludf.DUMMYFUNCTION("""COMPUTED_VALUE"""),0.75)</f>
        <v>0.75</v>
      </c>
      <c r="BG21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17" s="4" t="s">
        <v>69</v>
      </c>
      <c r="BI217" s="7">
        <v>1.0</v>
      </c>
    </row>
    <row r="218" hidden="1">
      <c r="A218" s="4" t="str">
        <f>IFERROR(__xludf.DUMMYFUNCTION("""COMPUTED_VALUE"""),"TRUDYSSSS PIZZARIA E RESTAURANTE - CONTA PAI")</f>
        <v>TRUDYSSSS PIZZARIA E RESTAURANTE - CONTA PAI</v>
      </c>
      <c r="B218" s="4" t="str">
        <f>IFERROR(__xludf.DUMMYFUNCTION("""COMPUTED_VALUE"""),"Lídia Esteves")</f>
        <v>Lídia Esteves</v>
      </c>
      <c r="C218" s="4" t="str">
        <f>IFERROR(__xludf.DUMMYFUNCTION("""COMPUTED_VALUE"""),"Gabriela Roma")</f>
        <v>Gabriela Roma</v>
      </c>
      <c r="D218" s="4" t="str">
        <f>IFERROR(__xludf.DUMMYFUNCTION("""COMPUTED_VALUE"""),"0. Não Iniciado")</f>
        <v>0. Não Iniciado</v>
      </c>
      <c r="E218" s="4"/>
      <c r="F218" s="4" t="str">
        <f>IFERROR(__xludf.DUMMYFUNCTION("""COMPUTED_VALUE"""),"P")</f>
        <v>P</v>
      </c>
      <c r="G218" s="4"/>
      <c r="H218" s="4"/>
      <c r="I218" s="4"/>
      <c r="J218" s="4"/>
      <c r="K218" s="4"/>
      <c r="L218" s="4"/>
      <c r="M218" s="4"/>
      <c r="N218" s="4"/>
      <c r="O218" s="4"/>
      <c r="P218" s="4"/>
      <c r="Q218" s="4"/>
      <c r="R218" s="4"/>
      <c r="S218" s="4"/>
      <c r="T218" s="4"/>
      <c r="U218" s="4"/>
      <c r="V218" s="4"/>
      <c r="W218" s="4"/>
      <c r="X218" s="4"/>
      <c r="Y218" s="4"/>
      <c r="Z218" s="4"/>
      <c r="AA218" s="4">
        <f>IFERROR(__xludf.DUMMYFUNCTION("""COMPUTED_VALUE"""),20.0)</f>
        <v>20</v>
      </c>
      <c r="AB218" s="4" t="str">
        <f>IFERROR(__xludf.DUMMYFUNCTION("""COMPUTED_VALUE"""),"-")</f>
        <v>-</v>
      </c>
      <c r="AC218" s="4" t="str">
        <f>IFERROR(__xludf.DUMMYFUNCTION("""COMPUTED_VALUE"""),"Sim")</f>
        <v>Sim</v>
      </c>
      <c r="AD218" s="4" t="str">
        <f>IFERROR(__xludf.DUMMYFUNCTION("""COMPUTED_VALUE"""),"Ifood")</f>
        <v>Ifood</v>
      </c>
      <c r="AE218" s="4"/>
      <c r="AF218" s="4"/>
      <c r="AG218" s="4"/>
      <c r="AH218" s="4"/>
      <c r="AI218" s="4"/>
      <c r="AJ218" s="4"/>
      <c r="AK218" s="4"/>
      <c r="AL218" s="4"/>
      <c r="AM218" s="4" t="str">
        <f>IFERROR(__xludf.DUMMYFUNCTION("""COMPUTED_VALUE"""),"FY27")</f>
        <v>FY27</v>
      </c>
      <c r="AN218" s="4"/>
      <c r="AO218" s="4">
        <f>IFERROR(__xludf.DUMMYFUNCTION("""COMPUTED_VALUE"""),45553.0)</f>
        <v>45553</v>
      </c>
      <c r="AP218" s="4" t="str">
        <f>IFERROR(__xludf.DUMMYFUNCTION("""COMPUTED_VALUE"""),"MS")</f>
        <v>MS</v>
      </c>
      <c r="AQ218" s="4" t="str">
        <f>IFERROR(__xludf.DUMMYFUNCTION("""COMPUTED_VALUE"""),"LORENA HADDAD")</f>
        <v>LORENA HADDAD</v>
      </c>
      <c r="AR218" s="4" t="str">
        <f>IFERROR(__xludf.DUMMYFUNCTION("""COMPUTED_VALUE"""),"NORTE+CO-TBH43")</f>
        <v>NORTE+CO-TBH43</v>
      </c>
      <c r="AS218" s="4" t="str">
        <f>IFERROR(__xludf.DUMMYFUNCTION("""COMPUTED_VALUE"""),"THIAGO ROMAGNOLE")</f>
        <v>THIAGO ROMAGNOLE</v>
      </c>
      <c r="AT218" s="4" t="str">
        <f>IFERROR(__xludf.DUMMYFUNCTION("""COMPUTED_VALUE"""),"BRUNA TASSINARI")</f>
        <v>BRUNA TASSINARI</v>
      </c>
      <c r="AU218" s="4">
        <f>IFERROR(__xludf.DUMMYFUNCTION("""COMPUTED_VALUE"""),0.0)</f>
        <v>0</v>
      </c>
      <c r="AV218" s="4">
        <f>IFERROR(__xludf.DUMMYFUNCTION("""COMPUTED_VALUE"""),0.0)</f>
        <v>0</v>
      </c>
      <c r="AW218" s="4">
        <f>IFERROR(__xludf.DUMMYFUNCTION("""COMPUTED_VALUE"""),0.0)</f>
        <v>0</v>
      </c>
      <c r="AX218" s="4">
        <f>IFERROR(__xludf.DUMMYFUNCTION("""COMPUTED_VALUE"""),0.0)</f>
        <v>0</v>
      </c>
      <c r="AY218" s="4" t="str">
        <f>IFERROR(__xludf.DUMMYFUNCTION("""COMPUTED_VALUE"""),"Zanthus Comercio E Servicos Ltda")</f>
        <v>Zanthus Comercio E Servicos Ltda</v>
      </c>
      <c r="AZ218" s="4" t="str">
        <f>IFERROR(__xludf.DUMMYFUNCTION("""COMPUTED_VALUE"""),"Pizza")</f>
        <v>Pizza</v>
      </c>
      <c r="BA218" s="4" t="str">
        <f>IFERROR(__xludf.DUMMYFUNCTION("""COMPUTED_VALUE"""),"")</f>
        <v/>
      </c>
      <c r="BB218" s="4" t="str">
        <f>IFERROR(__xludf.DUMMYFUNCTION("""COMPUTED_VALUE"""),"")</f>
        <v/>
      </c>
      <c r="BC218" s="4" t="str">
        <f>IFERROR(__xludf.DUMMYFUNCTION("""COMPUTED_VALUE"""),"")</f>
        <v/>
      </c>
      <c r="BD218" s="4" t="str">
        <f>IFERROR(__xludf.DUMMYFUNCTION("""COMPUTED_VALUE"""),"")</f>
        <v/>
      </c>
      <c r="BE218" s="4" t="str">
        <f>IFERROR(__xludf.DUMMYFUNCTION("""COMPUTED_VALUE"""),"")</f>
        <v/>
      </c>
      <c r="BF218" s="4" t="str">
        <f>IFERROR(__xludf.DUMMYFUNCTION("""COMPUTED_VALUE"""),"")</f>
        <v/>
      </c>
      <c r="BG218" s="4" t="str">
        <f>IFERROR(__xludf.DUMMYFUNCTION("""COMPUTED_VALUE"""),"")</f>
        <v/>
      </c>
      <c r="BH218" s="4" t="s">
        <v>115</v>
      </c>
      <c r="BI218" s="7">
        <v>0.9</v>
      </c>
    </row>
    <row r="219" hidden="1">
      <c r="A219" s="4" t="str">
        <f>IFERROR(__xludf.DUMMYFUNCTION("""COMPUTED_VALUE"""),"TUBA PIZZA - CONTA PAI")</f>
        <v>TUBA PIZZA - CONTA PAI</v>
      </c>
      <c r="B219" s="4" t="str">
        <f>IFERROR(__xludf.DUMMYFUNCTION("""COMPUTED_VALUE"""),"Lídia Esteves")</f>
        <v>Lídia Esteves</v>
      </c>
      <c r="C219" s="4" t="str">
        <f>IFERROR(__xludf.DUMMYFUNCTION("""COMPUTED_VALUE"""),"Gabriela Roma")</f>
        <v>Gabriela Roma</v>
      </c>
      <c r="D219" s="4" t="str">
        <f>IFERROR(__xludf.DUMMYFUNCTION("""COMPUTED_VALUE"""),"10. Perdido")</f>
        <v>10. Perdido</v>
      </c>
      <c r="E219" s="4" t="str">
        <f>IFERROR(__xludf.DUMMYFUNCTION("""COMPUTED_VALUE"""),"Delivery - Aguardando retorno / Conciliação agenda")</f>
        <v>Delivery - Aguardando retorno / Conciliação agenda</v>
      </c>
      <c r="F219" s="4" t="str">
        <f>IFERROR(__xludf.DUMMYFUNCTION("""COMPUTED_VALUE"""),"P")</f>
        <v>P</v>
      </c>
      <c r="G219" s="4"/>
      <c r="H219" s="4"/>
      <c r="I219" s="6">
        <f>IFERROR(__xludf.DUMMYFUNCTION("""COMPUTED_VALUE"""),46126.713032569445)</f>
        <v>46126.71303</v>
      </c>
      <c r="J219" s="4"/>
      <c r="K219" s="4"/>
      <c r="L219" s="4"/>
      <c r="M219" s="4"/>
      <c r="N219" s="4"/>
      <c r="O219" s="4"/>
      <c r="P219" s="4"/>
      <c r="Q219" s="4"/>
      <c r="R219" s="6">
        <f>IFERROR(__xludf.DUMMYFUNCTION("""COMPUTED_VALUE"""),46126.71315328704)</f>
        <v>46126.71315</v>
      </c>
      <c r="S219" s="4"/>
      <c r="T219" s="4"/>
      <c r="U219" s="4"/>
      <c r="V219" s="4" t="str">
        <f>IFERROR(__xludf.DUMMYFUNCTION("""COMPUTED_VALUE"""),"Sem perfil 3S - Perfil Saipos")</f>
        <v>Sem perfil 3S - Perfil Saipos</v>
      </c>
      <c r="W219" s="4"/>
      <c r="X219" s="4"/>
      <c r="Y219" s="4"/>
      <c r="Z219" s="4"/>
      <c r="AA219" s="4">
        <f>IFERROR(__xludf.DUMMYFUNCTION("""COMPUTED_VALUE"""),7.0)</f>
        <v>7</v>
      </c>
      <c r="AB219" s="4" t="str">
        <f>IFERROR(__xludf.DUMMYFUNCTION("""COMPUTED_VALUE"""),"CE")</f>
        <v>CE</v>
      </c>
      <c r="AC219" s="4" t="str">
        <f>IFERROR(__xludf.DUMMYFUNCTION("""COMPUTED_VALUE"""),"Sim")</f>
        <v>Sim</v>
      </c>
      <c r="AD219" s="4" t="str">
        <f>IFERROR(__xludf.DUMMYFUNCTION("""COMPUTED_VALUE"""),"Ifood")</f>
        <v>Ifood</v>
      </c>
      <c r="AE219" s="4"/>
      <c r="AF219" s="4"/>
      <c r="AG219" s="4"/>
      <c r="AH219" s="4"/>
      <c r="AI219" s="4"/>
      <c r="AJ219" s="4"/>
      <c r="AK219" s="4"/>
      <c r="AL219" s="4"/>
      <c r="AM219" s="4" t="str">
        <f>IFERROR(__xludf.DUMMYFUNCTION("""COMPUTED_VALUE"""),"FY27")</f>
        <v>FY27</v>
      </c>
      <c r="AN219" s="4"/>
      <c r="AO219" s="4">
        <f>IFERROR(__xludf.DUMMYFUNCTION("""COMPUTED_VALUE"""),45553.0)</f>
        <v>45553</v>
      </c>
      <c r="AP219" s="4" t="str">
        <f>IFERROR(__xludf.DUMMYFUNCTION("""COMPUTED_VALUE"""),"PR")</f>
        <v>PR</v>
      </c>
      <c r="AQ219" s="4" t="str">
        <f>IFERROR(__xludf.DUMMYFUNCTION("""COMPUTED_VALUE"""),"PAULA VERDASCA")</f>
        <v>PAULA VERDASCA</v>
      </c>
      <c r="AR219" s="4" t="str">
        <f>IFERROR(__xludf.DUMMYFUNCTION("""COMPUTED_VALUE"""),"ANELISE BOESE")</f>
        <v>ANELISE BOESE</v>
      </c>
      <c r="AS219" s="4" t="str">
        <f>IFERROR(__xludf.DUMMYFUNCTION("""COMPUTED_VALUE"""),"FABIO DONATO")</f>
        <v>FABIO DONATO</v>
      </c>
      <c r="AT219" s="4" t="str">
        <f>IFERROR(__xludf.DUMMYFUNCTION("""COMPUTED_VALUE"""),"MURILO NAGASHIMA")</f>
        <v>MURILO NAGASHIMA</v>
      </c>
      <c r="AU219" s="4">
        <f>IFERROR(__xludf.DUMMYFUNCTION("""COMPUTED_VALUE"""),0.0)</f>
        <v>0</v>
      </c>
      <c r="AV219" s="4">
        <f>IFERROR(__xludf.DUMMYFUNCTION("""COMPUTED_VALUE"""),0.0)</f>
        <v>0</v>
      </c>
      <c r="AW219" s="4">
        <f>IFERROR(__xludf.DUMMYFUNCTION("""COMPUTED_VALUE"""),0.0)</f>
        <v>0</v>
      </c>
      <c r="AX219" s="4">
        <f>IFERROR(__xludf.DUMMYFUNCTION("""COMPUTED_VALUE"""),0.0)</f>
        <v>0</v>
      </c>
      <c r="AY219" s="4"/>
      <c r="AZ219" s="4" t="str">
        <f>IFERROR(__xludf.DUMMYFUNCTION("""COMPUTED_VALUE"""),"Pizza")</f>
        <v>Pizza</v>
      </c>
      <c r="BA219" s="4" t="str">
        <f>IFERROR(__xludf.DUMMYFUNCTION("""COMPUTED_VALUE"""),"")</f>
        <v/>
      </c>
      <c r="BB219" s="4" t="str">
        <f>IFERROR(__xludf.DUMMYFUNCTION("""COMPUTED_VALUE"""),"")</f>
        <v/>
      </c>
      <c r="BC219" s="4" t="str">
        <f>IFERROR(__xludf.DUMMYFUNCTION("""COMPUTED_VALUE"""),"")</f>
        <v/>
      </c>
      <c r="BD219" s="4" t="str">
        <f>IFERROR(__xludf.DUMMYFUNCTION("""COMPUTED_VALUE"""),"")</f>
        <v/>
      </c>
      <c r="BE219" s="4" t="str">
        <f>IFERROR(__xludf.DUMMYFUNCTION("""COMPUTED_VALUE"""),"")</f>
        <v/>
      </c>
      <c r="BF219" s="4" t="str">
        <f>IFERROR(__xludf.DUMMYFUNCTION("""COMPUTED_VALUE"""),"")</f>
        <v/>
      </c>
      <c r="BG219" s="4" t="str">
        <f>IFERROR(__xludf.DUMMYFUNCTION("""COMPUTED_VALUE"""),"")</f>
        <v/>
      </c>
      <c r="BH219" s="4" t="s">
        <v>63</v>
      </c>
      <c r="BI219" s="7" t="s">
        <v>63</v>
      </c>
    </row>
    <row r="220" hidden="1">
      <c r="A220" s="4" t="str">
        <f>IFERROR(__xludf.DUMMYFUNCTION("""COMPUTED_VALUE"""),"VEGAS PIZZARIA E ESFIHARIA")</f>
        <v>VEGAS PIZZARIA E ESFIHARIA</v>
      </c>
      <c r="B220" s="4" t="str">
        <f>IFERROR(__xludf.DUMMYFUNCTION("""COMPUTED_VALUE"""),"João Biagiotti")</f>
        <v>João Biagiotti</v>
      </c>
      <c r="C220" s="4" t="str">
        <f>IFERROR(__xludf.DUMMYFUNCTION("""COMPUTED_VALUE"""),"Diego Santos")</f>
        <v>Diego Santos</v>
      </c>
      <c r="D220" s="4" t="str">
        <f>IFERROR(__xludf.DUMMYFUNCTION("""COMPUTED_VALUE"""),"0. Não Iniciado")</f>
        <v>0. Não Iniciado</v>
      </c>
      <c r="E220" s="4"/>
      <c r="F220" s="4" t="str">
        <f>IFERROR(__xludf.DUMMYFUNCTION("""COMPUTED_VALUE"""),"P")</f>
        <v>P</v>
      </c>
      <c r="G220" s="4"/>
      <c r="H220" s="4"/>
      <c r="I220" s="4"/>
      <c r="J220" s="4"/>
      <c r="K220" s="4"/>
      <c r="L220" s="4"/>
      <c r="M220" s="4"/>
      <c r="N220" s="4"/>
      <c r="O220" s="4"/>
      <c r="P220" s="4"/>
      <c r="Q220" s="4"/>
      <c r="R220" s="4"/>
      <c r="S220" s="4"/>
      <c r="T220" s="4"/>
      <c r="U220" s="4"/>
      <c r="V220" s="4"/>
      <c r="W220" s="4"/>
      <c r="X220" s="4"/>
      <c r="Y220" s="4"/>
      <c r="Z220" s="4"/>
      <c r="AA220" s="4">
        <f>IFERROR(__xludf.DUMMYFUNCTION("""COMPUTED_VALUE"""),6.0)</f>
        <v>6</v>
      </c>
      <c r="AB220" s="4" t="str">
        <f>IFERROR(__xludf.DUMMYFUNCTION("""COMPUTED_VALUE"""),"CE")</f>
        <v>CE</v>
      </c>
      <c r="AC220" s="4" t="str">
        <f>IFERROR(__xludf.DUMMYFUNCTION("""COMPUTED_VALUE"""),"Sim")</f>
        <v>Sim</v>
      </c>
      <c r="AD220" s="4" t="str">
        <f>IFERROR(__xludf.DUMMYFUNCTION("""COMPUTED_VALUE"""),"Ifood")</f>
        <v>Ifood</v>
      </c>
      <c r="AE220" s="4"/>
      <c r="AF220" s="4"/>
      <c r="AG220" s="4"/>
      <c r="AH220" s="4"/>
      <c r="AI220" s="4"/>
      <c r="AJ220" s="4"/>
      <c r="AK220" s="4"/>
      <c r="AL220" s="4"/>
      <c r="AM220" s="4" t="str">
        <f>IFERROR(__xludf.DUMMYFUNCTION("""COMPUTED_VALUE"""),"FY27")</f>
        <v>FY27</v>
      </c>
      <c r="AN220" s="4"/>
      <c r="AO220" s="4">
        <f>IFERROR(__xludf.DUMMYFUNCTION("""COMPUTED_VALUE"""),45553.0)</f>
        <v>45553</v>
      </c>
      <c r="AP220" s="4" t="str">
        <f>IFERROR(__xludf.DUMMYFUNCTION("""COMPUTED_VALUE"""),"PE")</f>
        <v>PE</v>
      </c>
      <c r="AQ220" s="4" t="str">
        <f>IFERROR(__xludf.DUMMYFUNCTION("""COMPUTED_VALUE"""),"JORGE VINICIUS")</f>
        <v>JORGE VINICIUS</v>
      </c>
      <c r="AR220" s="4" t="str">
        <f>IFERROR(__xludf.DUMMYFUNCTION("""COMPUTED_VALUE"""),"GLAYCE SILVA")</f>
        <v>GLAYCE SILVA</v>
      </c>
      <c r="AS220" s="4" t="str">
        <f>IFERROR(__xludf.DUMMYFUNCTION("""COMPUTED_VALUE"""),"THIAGO ROMAGNOLE")</f>
        <v>THIAGO ROMAGNOLE</v>
      </c>
      <c r="AT220" s="4" t="str">
        <f>IFERROR(__xludf.DUMMYFUNCTION("""COMPUTED_VALUE"""),"ANDERSON LAUREANO")</f>
        <v>ANDERSON LAUREANO</v>
      </c>
      <c r="AU220" s="4">
        <f>IFERROR(__xludf.DUMMYFUNCTION("""COMPUTED_VALUE"""),0.0)</f>
        <v>0</v>
      </c>
      <c r="AV220" s="4">
        <f>IFERROR(__xludf.DUMMYFUNCTION("""COMPUTED_VALUE"""),0.0)</f>
        <v>0</v>
      </c>
      <c r="AW220" s="4">
        <f>IFERROR(__xludf.DUMMYFUNCTION("""COMPUTED_VALUE"""),0.0)</f>
        <v>0</v>
      </c>
      <c r="AX220" s="4">
        <f>IFERROR(__xludf.DUMMYFUNCTION("""COMPUTED_VALUE"""),0.0)</f>
        <v>0</v>
      </c>
      <c r="AY220" s="4" t="str">
        <f>IFERROR(__xludf.DUMMYFUNCTION("""COMPUTED_VALUE"""),"Cardápio Web")</f>
        <v>Cardápio Web</v>
      </c>
      <c r="AZ220" s="4" t="str">
        <f>IFERROR(__xludf.DUMMYFUNCTION("""COMPUTED_VALUE"""),"Pizza")</f>
        <v>Pizza</v>
      </c>
      <c r="BA220" s="4">
        <f>IFERROR(__xludf.DUMMYFUNCTION("""COMPUTED_VALUE"""),82.0)</f>
        <v>82</v>
      </c>
      <c r="BB220" s="4" t="str">
        <f>IFERROR(__xludf.DUMMYFUNCTION("""COMPUTED_VALUE"""),"Fast Casual - Pizzaria")</f>
        <v>Fast Casual - Pizzaria</v>
      </c>
      <c r="BC220" s="4" t="str">
        <f>IFERROR(__xludf.DUMMYFUNCTION("""COMPUTED_VALUE"""),"Belo Horizonte/MG")</f>
        <v>Belo Horizonte/MG</v>
      </c>
      <c r="BD220" s="4" t="str">
        <f>IFERROR(__xludf.DUMMYFUNCTION("""COMPUTED_VALUE"""),"Dado não disponível publicamente - Necessário Discovery")</f>
        <v>Dado não disponível publicamente - Necessário Discovery</v>
      </c>
      <c r="BE220" s="4">
        <f>IFERROR(__xludf.DUMMYFUNCTION("""COMPUTED_VALUE"""),70.0)</f>
        <v>70</v>
      </c>
      <c r="BF220" s="4">
        <f>IFERROR(__xludf.DUMMYFUNCTION("""COMPUTED_VALUE"""),0.8)</f>
        <v>0.8</v>
      </c>
      <c r="BG220"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220" s="4" t="s">
        <v>61</v>
      </c>
      <c r="BI220" s="7">
        <v>0.7727272727272727</v>
      </c>
    </row>
    <row r="221" hidden="1">
      <c r="A221" s="4" t="str">
        <f>IFERROR(__xludf.DUMMYFUNCTION("""COMPUTED_VALUE"""),"VIGNOLI")</f>
        <v>VIGNOLI</v>
      </c>
      <c r="B221" s="4" t="str">
        <f>IFERROR(__xludf.DUMMYFUNCTION("""COMPUTED_VALUE"""),"João Biagiotti")</f>
        <v>João Biagiotti</v>
      </c>
      <c r="C221" s="4" t="str">
        <f>IFERROR(__xludf.DUMMYFUNCTION("""COMPUTED_VALUE"""),"Diego Santos")</f>
        <v>Diego Santos</v>
      </c>
      <c r="D221" s="4" t="str">
        <f>IFERROR(__xludf.DUMMYFUNCTION("""COMPUTED_VALUE"""),"0. Não Iniciado")</f>
        <v>0. Não Iniciado</v>
      </c>
      <c r="E221" s="4"/>
      <c r="F221" s="4" t="str">
        <f>IFERROR(__xludf.DUMMYFUNCTION("""COMPUTED_VALUE"""),"P")</f>
        <v>P</v>
      </c>
      <c r="G221" s="4"/>
      <c r="H221" s="4"/>
      <c r="I221" s="4"/>
      <c r="J221" s="4"/>
      <c r="K221" s="4"/>
      <c r="L221" s="4"/>
      <c r="M221" s="4"/>
      <c r="N221" s="4"/>
      <c r="O221" s="4"/>
      <c r="P221" s="4"/>
      <c r="Q221" s="4"/>
      <c r="R221" s="4"/>
      <c r="S221" s="4"/>
      <c r="T221" s="4"/>
      <c r="U221" s="4"/>
      <c r="V221" s="4"/>
      <c r="W221" s="4"/>
      <c r="X221" s="4"/>
      <c r="Y221" s="4"/>
      <c r="Z221" s="4"/>
      <c r="AA221" s="4">
        <f>IFERROR(__xludf.DUMMYFUNCTION("""COMPUTED_VALUE"""),11.0)</f>
        <v>11</v>
      </c>
      <c r="AB221" s="4" t="str">
        <f>IFERROR(__xludf.DUMMYFUNCTION("""COMPUTED_VALUE"""),"CE")</f>
        <v>CE</v>
      </c>
      <c r="AC221" s="4" t="str">
        <f>IFERROR(__xludf.DUMMYFUNCTION("""COMPUTED_VALUE"""),"Sim")</f>
        <v>Sim</v>
      </c>
      <c r="AD221" s="4" t="str">
        <f>IFERROR(__xludf.DUMMYFUNCTION("""COMPUTED_VALUE"""),"Ifood")</f>
        <v>Ifood</v>
      </c>
      <c r="AE221" s="4"/>
      <c r="AF221" s="4"/>
      <c r="AG221" s="4"/>
      <c r="AH221" s="4"/>
      <c r="AI221" s="4"/>
      <c r="AJ221" s="4"/>
      <c r="AK221" s="4"/>
      <c r="AL221" s="4"/>
      <c r="AM221" s="4" t="str">
        <f>IFERROR(__xludf.DUMMYFUNCTION("""COMPUTED_VALUE"""),"FY27")</f>
        <v>FY27</v>
      </c>
      <c r="AN221" s="4"/>
      <c r="AO221" s="4">
        <f>IFERROR(__xludf.DUMMYFUNCTION("""COMPUTED_VALUE"""),45553.0)</f>
        <v>45553</v>
      </c>
      <c r="AP221" s="4" t="str">
        <f>IFERROR(__xludf.DUMMYFUNCTION("""COMPUTED_VALUE"""),"MA")</f>
        <v>MA</v>
      </c>
      <c r="AQ221" s="4" t="str">
        <f>IFERROR(__xludf.DUMMYFUNCTION("""COMPUTED_VALUE"""),"FABIO MAKARON")</f>
        <v>FABIO MAKARON</v>
      </c>
      <c r="AR221" s="4" t="str">
        <f>IFERROR(__xludf.DUMMYFUNCTION("""COMPUTED_VALUE"""),"EVANDRO MENDONCA")</f>
        <v>EVANDRO MENDONCA</v>
      </c>
      <c r="AS221" s="4" t="str">
        <f>IFERROR(__xludf.DUMMYFUNCTION("""COMPUTED_VALUE"""),"THIAGO ROMAGNOLE")</f>
        <v>THIAGO ROMAGNOLE</v>
      </c>
      <c r="AT221" s="4" t="str">
        <f>IFERROR(__xludf.DUMMYFUNCTION("""COMPUTED_VALUE"""),"EDUARDO VAZ")</f>
        <v>EDUARDO VAZ</v>
      </c>
      <c r="AU221" s="4">
        <f>IFERROR(__xludf.DUMMYFUNCTION("""COMPUTED_VALUE"""),0.0)</f>
        <v>0</v>
      </c>
      <c r="AV221" s="4">
        <f>IFERROR(__xludf.DUMMYFUNCTION("""COMPUTED_VALUE"""),0.0)</f>
        <v>0</v>
      </c>
      <c r="AW221" s="4">
        <f>IFERROR(__xludf.DUMMYFUNCTION("""COMPUTED_VALUE"""),0.0)</f>
        <v>0</v>
      </c>
      <c r="AX221" s="4">
        <f>IFERROR(__xludf.DUMMYFUNCTION("""COMPUTED_VALUE"""),0.0)</f>
        <v>0</v>
      </c>
      <c r="AY221" s="4"/>
      <c r="AZ221" s="4" t="str">
        <f>IFERROR(__xludf.DUMMYFUNCTION("""COMPUTED_VALUE"""),"Italiana")</f>
        <v>Italiana</v>
      </c>
      <c r="BA221" s="4">
        <f>IFERROR(__xludf.DUMMYFUNCTION("""COMPUTED_VALUE"""),75.0)</f>
        <v>75</v>
      </c>
      <c r="BB221" s="4" t="str">
        <f>IFERROR(__xludf.DUMMYFUNCTION("""COMPUTED_VALUE"""),"Fast Casual - Multi-conceito")</f>
        <v>Fast Casual - Multi-conceito</v>
      </c>
      <c r="BC221" s="4" t="str">
        <f>IFERROR(__xludf.DUMMYFUNCTION("""COMPUTED_VALUE"""),"Regional")</f>
        <v>Regional</v>
      </c>
      <c r="BD221" s="4" t="str">
        <f>IFERROR(__xludf.DUMMYFUNCTION("""COMPUTED_VALUE"""),"Dado não disponível publicamente - Necessário Discovery")</f>
        <v>Dado não disponível publicamente - Necessário Discovery</v>
      </c>
      <c r="BE221" s="4">
        <f>IFERROR(__xludf.DUMMYFUNCTION("""COMPUTED_VALUE"""),70.0)</f>
        <v>70</v>
      </c>
      <c r="BF221" s="4">
        <f>IFERROR(__xludf.DUMMYFUNCTION("""COMPUTED_VALUE"""),0.75)</f>
        <v>0.75</v>
      </c>
      <c r="BG22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21" s="4" t="s">
        <v>72</v>
      </c>
      <c r="BI221" s="7">
        <v>0.875</v>
      </c>
    </row>
    <row r="222" hidden="1">
      <c r="A222" s="4" t="str">
        <f>IFERROR(__xludf.DUMMYFUNCTION("""COMPUTED_VALUE"""),"VIVA GULA")</f>
        <v>VIVA GULA</v>
      </c>
      <c r="B222" s="4" t="str">
        <f>IFERROR(__xludf.DUMMYFUNCTION("""COMPUTED_VALUE"""),"João Biagiotti")</f>
        <v>João Biagiotti</v>
      </c>
      <c r="C222" s="4" t="str">
        <f>IFERROR(__xludf.DUMMYFUNCTION("""COMPUTED_VALUE"""),"Diego Santos")</f>
        <v>Diego Santos</v>
      </c>
      <c r="D222" s="4" t="str">
        <f>IFERROR(__xludf.DUMMYFUNCTION("""COMPUTED_VALUE"""),"0. Não Iniciado")</f>
        <v>0. Não Iniciado</v>
      </c>
      <c r="E222" s="4"/>
      <c r="F222" s="4" t="str">
        <f>IFERROR(__xludf.DUMMYFUNCTION("""COMPUTED_VALUE"""),"P")</f>
        <v>P</v>
      </c>
      <c r="G222" s="4"/>
      <c r="H222" s="4"/>
      <c r="I222" s="4"/>
      <c r="J222" s="4"/>
      <c r="K222" s="4"/>
      <c r="L222" s="4"/>
      <c r="M222" s="4"/>
      <c r="N222" s="4"/>
      <c r="O222" s="4"/>
      <c r="P222" s="4"/>
      <c r="Q222" s="4"/>
      <c r="R222" s="4"/>
      <c r="S222" s="4"/>
      <c r="T222" s="4"/>
      <c r="U222" s="4"/>
      <c r="V222" s="4"/>
      <c r="W222" s="4"/>
      <c r="X222" s="4"/>
      <c r="Y222" s="4"/>
      <c r="Z222" s="4"/>
      <c r="AA222" s="4">
        <f>IFERROR(__xludf.DUMMYFUNCTION("""COMPUTED_VALUE"""),7.0)</f>
        <v>7</v>
      </c>
      <c r="AB222" s="4" t="str">
        <f>IFERROR(__xludf.DUMMYFUNCTION("""COMPUTED_VALUE"""),"CE")</f>
        <v>CE</v>
      </c>
      <c r="AC222" s="4" t="str">
        <f>IFERROR(__xludf.DUMMYFUNCTION("""COMPUTED_VALUE"""),"Sim")</f>
        <v>Sim</v>
      </c>
      <c r="AD222" s="4" t="str">
        <f>IFERROR(__xludf.DUMMYFUNCTION("""COMPUTED_VALUE"""),"Ifood")</f>
        <v>Ifood</v>
      </c>
      <c r="AE222" s="4"/>
      <c r="AF222" s="4"/>
      <c r="AG222" s="4"/>
      <c r="AH222" s="4"/>
      <c r="AI222" s="4"/>
      <c r="AJ222" s="4"/>
      <c r="AK222" s="4"/>
      <c r="AL222" s="4"/>
      <c r="AM222" s="4" t="str">
        <f>IFERROR(__xludf.DUMMYFUNCTION("""COMPUTED_VALUE"""),"FY27")</f>
        <v>FY27</v>
      </c>
      <c r="AN222" s="4"/>
      <c r="AO222" s="4">
        <f>IFERROR(__xludf.DUMMYFUNCTION("""COMPUTED_VALUE"""),45553.0)</f>
        <v>45553</v>
      </c>
      <c r="AP222" s="4" t="str">
        <f>IFERROR(__xludf.DUMMYFUNCTION("""COMPUTED_VALUE"""),"BA")</f>
        <v>BA</v>
      </c>
      <c r="AQ222" s="4" t="str">
        <f>IFERROR(__xludf.DUMMYFUNCTION("""COMPUTED_VALUE"""),"MENEZES PAULA")</f>
        <v>MENEZES PAULA</v>
      </c>
      <c r="AR222" s="4" t="str">
        <f>IFERROR(__xludf.DUMMYFUNCTION("""COMPUTED_VALUE"""),"LAIS CARDOSO")</f>
        <v>LAIS CARDOSO</v>
      </c>
      <c r="AS222" s="4" t="str">
        <f>IFERROR(__xludf.DUMMYFUNCTION("""COMPUTED_VALUE"""),"THIAGO ROMAGNOLE")</f>
        <v>THIAGO ROMAGNOLE</v>
      </c>
      <c r="AT222" s="4" t="str">
        <f>IFERROR(__xludf.DUMMYFUNCTION("""COMPUTED_VALUE"""),"EDUARDO VAZ")</f>
        <v>EDUARDO VAZ</v>
      </c>
      <c r="AU222" s="4">
        <f>IFERROR(__xludf.DUMMYFUNCTION("""COMPUTED_VALUE"""),0.0)</f>
        <v>0</v>
      </c>
      <c r="AV222" s="4">
        <f>IFERROR(__xludf.DUMMYFUNCTION("""COMPUTED_VALUE"""),0.0)</f>
        <v>0</v>
      </c>
      <c r="AW222" s="4">
        <f>IFERROR(__xludf.DUMMYFUNCTION("""COMPUTED_VALUE"""),0.0)</f>
        <v>0</v>
      </c>
      <c r="AX222" s="4">
        <f>IFERROR(__xludf.DUMMYFUNCTION("""COMPUTED_VALUE"""),0.0)</f>
        <v>0</v>
      </c>
      <c r="AY222" s="4"/>
      <c r="AZ222" s="4" t="str">
        <f>IFERROR(__xludf.DUMMYFUNCTION("""COMPUTED_VALUE"""),"Doces &amp; Bolos")</f>
        <v>Doces &amp; Bolos</v>
      </c>
      <c r="BA222" s="4">
        <f>IFERROR(__xludf.DUMMYFUNCTION("""COMPUTED_VALUE"""),51.0)</f>
        <v>51</v>
      </c>
      <c r="BB222" s="4" t="str">
        <f>IFERROR(__xludf.DUMMYFUNCTION("""COMPUTED_VALUE"""),"Fast Casual - Multi-conceito")</f>
        <v>Fast Casual - Multi-conceito</v>
      </c>
      <c r="BC222" s="4" t="str">
        <f>IFERROR(__xludf.DUMMYFUNCTION("""COMPUTED_VALUE"""),"Belo Horizonte/MG")</f>
        <v>Belo Horizonte/MG</v>
      </c>
      <c r="BD222" s="4" t="str">
        <f>IFERROR(__xludf.DUMMYFUNCTION("""COMPUTED_VALUE"""),"Dado não disponível publicamente - Necessário Discovery")</f>
        <v>Dado não disponível publicamente - Necessário Discovery</v>
      </c>
      <c r="BE222" s="4">
        <f>IFERROR(__xludf.DUMMYFUNCTION("""COMPUTED_VALUE"""),65.0)</f>
        <v>65</v>
      </c>
      <c r="BF222" s="4">
        <f>IFERROR(__xludf.DUMMYFUNCTION("""COMPUTED_VALUE"""),0.75)</f>
        <v>0.75</v>
      </c>
      <c r="BG22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22" s="4" t="s">
        <v>63</v>
      </c>
      <c r="BI222" s="7" t="s">
        <v>63</v>
      </c>
    </row>
    <row r="223" hidden="1">
      <c r="A223" s="4" t="str">
        <f>IFERROR(__xludf.DUMMYFUNCTION("""COMPUTED_VALUE"""),"WORLD COOKIES - CONTA MARCA")</f>
        <v>WORLD COOKIES - CONTA MARCA</v>
      </c>
      <c r="B223" s="4" t="str">
        <f>IFERROR(__xludf.DUMMYFUNCTION("""COMPUTED_VALUE"""),"Lídia Esteves")</f>
        <v>Lídia Esteves</v>
      </c>
      <c r="C223" s="4" t="str">
        <f>IFERROR(__xludf.DUMMYFUNCTION("""COMPUTED_VALUE"""),"Gabriela Roma")</f>
        <v>Gabriela Roma</v>
      </c>
      <c r="D223" s="4" t="str">
        <f>IFERROR(__xludf.DUMMYFUNCTION("""COMPUTED_VALUE"""),"0. Não Iniciado")</f>
        <v>0. Não Iniciado</v>
      </c>
      <c r="E223" s="4"/>
      <c r="F223" s="4" t="str">
        <f>IFERROR(__xludf.DUMMYFUNCTION("""COMPUTED_VALUE"""),"P")</f>
        <v>P</v>
      </c>
      <c r="G223" s="4"/>
      <c r="H223" s="4"/>
      <c r="I223" s="4"/>
      <c r="J223" s="4"/>
      <c r="K223" s="4"/>
      <c r="L223" s="4"/>
      <c r="M223" s="4"/>
      <c r="N223" s="4"/>
      <c r="O223" s="4"/>
      <c r="P223" s="4"/>
      <c r="Q223" s="4"/>
      <c r="R223" s="4"/>
      <c r="S223" s="4"/>
      <c r="T223" s="4"/>
      <c r="U223" s="4"/>
      <c r="V223" s="4"/>
      <c r="W223" s="4"/>
      <c r="X223" s="4"/>
      <c r="Y223" s="4"/>
      <c r="Z223" s="4"/>
      <c r="AA223" s="4">
        <f>IFERROR(__xludf.DUMMYFUNCTION("""COMPUTED_VALUE"""),11.0)</f>
        <v>11</v>
      </c>
      <c r="AB223" s="4" t="str">
        <f>IFERROR(__xludf.DUMMYFUNCTION("""COMPUTED_VALUE"""),"-")</f>
        <v>-</v>
      </c>
      <c r="AC223" s="4" t="str">
        <f>IFERROR(__xludf.DUMMYFUNCTION("""COMPUTED_VALUE"""),"Sim")</f>
        <v>Sim</v>
      </c>
      <c r="AD223" s="4" t="str">
        <f>IFERROR(__xludf.DUMMYFUNCTION("""COMPUTED_VALUE"""),"Appta Sistemas")</f>
        <v>Appta Sistemas</v>
      </c>
      <c r="AE223" s="4"/>
      <c r="AF223" s="4"/>
      <c r="AG223" s="4"/>
      <c r="AH223" s="4"/>
      <c r="AI223" s="4"/>
      <c r="AJ223" s="4"/>
      <c r="AK223" s="4"/>
      <c r="AL223" s="4"/>
      <c r="AM223" s="4" t="str">
        <f>IFERROR(__xludf.DUMMYFUNCTION("""COMPUTED_VALUE"""),"FY27")</f>
        <v>FY27</v>
      </c>
      <c r="AN223" s="4"/>
      <c r="AO223" s="4">
        <f>IFERROR(__xludf.DUMMYFUNCTION("""COMPUTED_VALUE"""),45553.0)</f>
        <v>45553</v>
      </c>
      <c r="AP223" s="4" t="str">
        <f>IFERROR(__xludf.DUMMYFUNCTION("""COMPUTED_VALUE"""),"SC")</f>
        <v>SC</v>
      </c>
      <c r="AQ223" s="4" t="str">
        <f>IFERROR(__xludf.DUMMYFUNCTION("""COMPUTED_VALUE"""),"CINTIA PURCENO")</f>
        <v>CINTIA PURCENO</v>
      </c>
      <c r="AR223" s="4" t="str">
        <f>IFERROR(__xludf.DUMMYFUNCTION("""COMPUTED_VALUE"""),"LUCIANA SOBREIRA")</f>
        <v>LUCIANA SOBREIRA</v>
      </c>
      <c r="AS223" s="4" t="str">
        <f>IFERROR(__xludf.DUMMYFUNCTION("""COMPUTED_VALUE"""),"FABIO DONATO")</f>
        <v>FABIO DONATO</v>
      </c>
      <c r="AT223" s="4" t="str">
        <f>IFERROR(__xludf.DUMMYFUNCTION("""COMPUTED_VALUE"""),"CAMILA HOLANDA")</f>
        <v>CAMILA HOLANDA</v>
      </c>
      <c r="AU223" s="4">
        <f>IFERROR(__xludf.DUMMYFUNCTION("""COMPUTED_VALUE"""),0.0)</f>
        <v>0</v>
      </c>
      <c r="AV223" s="4">
        <f>IFERROR(__xludf.DUMMYFUNCTION("""COMPUTED_VALUE"""),0.0)</f>
        <v>0</v>
      </c>
      <c r="AW223" s="4">
        <f>IFERROR(__xludf.DUMMYFUNCTION("""COMPUTED_VALUE"""),0.0)</f>
        <v>0</v>
      </c>
      <c r="AX223" s="4">
        <f>IFERROR(__xludf.DUMMYFUNCTION("""COMPUTED_VALUE"""),0.0)</f>
        <v>0</v>
      </c>
      <c r="AY223" s="4"/>
      <c r="AZ223" s="4" t="str">
        <f>IFERROR(__xludf.DUMMYFUNCTION("""COMPUTED_VALUE"""),"Doces &amp; Bolos")</f>
        <v>Doces &amp; Bolos</v>
      </c>
      <c r="BA223" s="4">
        <f>IFERROR(__xludf.DUMMYFUNCTION("""COMPUTED_VALUE"""),45.0)</f>
        <v>45</v>
      </c>
      <c r="BB223" s="4" t="str">
        <f>IFERROR(__xludf.DUMMYFUNCTION("""COMPUTED_VALUE"""),"Varejo - Confeitaria")</f>
        <v>Varejo - Confeitaria</v>
      </c>
      <c r="BC223" s="4" t="str">
        <f>IFERROR(__xludf.DUMMYFUNCTION("""COMPUTED_VALUE"""),"Sudeste")</f>
        <v>Sudeste</v>
      </c>
      <c r="BD223" s="4" t="str">
        <f>IFERROR(__xludf.DUMMYFUNCTION("""COMPUTED_VALUE"""),"Dado não disponível publicamente - Necessário Discovery")</f>
        <v>Dado não disponível publicamente - Necessário Discovery</v>
      </c>
      <c r="BE223" s="4">
        <f>IFERROR(__xludf.DUMMYFUNCTION("""COMPUTED_VALUE"""),35.0)</f>
        <v>35</v>
      </c>
      <c r="BF223" s="4">
        <f>IFERROR(__xludf.DUMMYFUNCTION("""COMPUTED_VALUE"""),0.5)</f>
        <v>0.5</v>
      </c>
      <c r="BG223"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223" s="4" t="s">
        <v>63</v>
      </c>
      <c r="BI223" s="7" t="s">
        <v>63</v>
      </c>
    </row>
    <row r="224" hidden="1">
      <c r="A224" s="4" t="str">
        <f>IFERROR(__xludf.DUMMYFUNCTION("""COMPUTED_VALUE"""),"YOSUGIRU")</f>
        <v>YOSUGIRU</v>
      </c>
      <c r="B224" s="4" t="str">
        <f>IFERROR(__xludf.DUMMYFUNCTION("""COMPUTED_VALUE"""),"Lídia Esteves")</f>
        <v>Lídia Esteves</v>
      </c>
      <c r="C224" s="4" t="str">
        <f>IFERROR(__xludf.DUMMYFUNCTION("""COMPUTED_VALUE"""),"Gabriela Roma")</f>
        <v>Gabriela Roma</v>
      </c>
      <c r="D224" s="4" t="str">
        <f>IFERROR(__xludf.DUMMYFUNCTION("""COMPUTED_VALUE"""),"0. Não Iniciado")</f>
        <v>0. Não Iniciado</v>
      </c>
      <c r="E224" s="4"/>
      <c r="F224" s="4" t="str">
        <f>IFERROR(__xludf.DUMMYFUNCTION("""COMPUTED_VALUE"""),"P")</f>
        <v>P</v>
      </c>
      <c r="G224" s="4"/>
      <c r="H224" s="4"/>
      <c r="I224" s="4"/>
      <c r="J224" s="4"/>
      <c r="K224" s="4"/>
      <c r="L224" s="4"/>
      <c r="M224" s="4"/>
      <c r="N224" s="4"/>
      <c r="O224" s="4"/>
      <c r="P224" s="4"/>
      <c r="Q224" s="4"/>
      <c r="R224" s="4"/>
      <c r="S224" s="4"/>
      <c r="T224" s="4"/>
      <c r="U224" s="4"/>
      <c r="V224" s="4"/>
      <c r="W224" s="4"/>
      <c r="X224" s="4"/>
      <c r="Y224" s="4"/>
      <c r="Z224" s="4"/>
      <c r="AA224" s="4">
        <f>IFERROR(__xludf.DUMMYFUNCTION("""COMPUTED_VALUE"""),10.0)</f>
        <v>10</v>
      </c>
      <c r="AB224" s="4" t="str">
        <f>IFERROR(__xludf.DUMMYFUNCTION("""COMPUTED_VALUE"""),"CE")</f>
        <v>CE</v>
      </c>
      <c r="AC224" s="4" t="str">
        <f>IFERROR(__xludf.DUMMYFUNCTION("""COMPUTED_VALUE"""),"Sim")</f>
        <v>Sim</v>
      </c>
      <c r="AD224" s="4" t="str">
        <f>IFERROR(__xludf.DUMMYFUNCTION("""COMPUTED_VALUE"""),"Ifood")</f>
        <v>Ifood</v>
      </c>
      <c r="AE224" s="4"/>
      <c r="AF224" s="4"/>
      <c r="AG224" s="4"/>
      <c r="AH224" s="4"/>
      <c r="AI224" s="4"/>
      <c r="AJ224" s="4"/>
      <c r="AK224" s="4"/>
      <c r="AL224" s="4"/>
      <c r="AM224" s="4" t="str">
        <f>IFERROR(__xludf.DUMMYFUNCTION("""COMPUTED_VALUE"""),"FY27")</f>
        <v>FY27</v>
      </c>
      <c r="AN224" s="4"/>
      <c r="AO224" s="4">
        <f>IFERROR(__xludf.DUMMYFUNCTION("""COMPUTED_VALUE"""),45553.0)</f>
        <v>45553</v>
      </c>
      <c r="AP224" s="4" t="str">
        <f>IFERROR(__xludf.DUMMYFUNCTION("""COMPUTED_VALUE"""),"SP")</f>
        <v>SP</v>
      </c>
      <c r="AQ224" s="4" t="str">
        <f>IFERROR(__xludf.DUMMYFUNCTION("""COMPUTED_VALUE"""),"FILIPE CALDEIRA")</f>
        <v>FILIPE CALDEIRA</v>
      </c>
      <c r="AR224" s="4" t="str">
        <f>IFERROR(__xludf.DUMMYFUNCTION("""COMPUTED_VALUE"""),"LAURA GUIMARAES")</f>
        <v>LAURA GUIMARAES</v>
      </c>
      <c r="AS224" s="4" t="str">
        <f>IFERROR(__xludf.DUMMYFUNCTION("""COMPUTED_VALUE"""),"NATHALIE MERTENS")</f>
        <v>NATHALIE MERTENS</v>
      </c>
      <c r="AT224" s="4" t="str">
        <f>IFERROR(__xludf.DUMMYFUNCTION("""COMPUTED_VALUE"""),"CIBELE OLIVEIRA")</f>
        <v>CIBELE OLIVEIRA</v>
      </c>
      <c r="AU224" s="4">
        <f>IFERROR(__xludf.DUMMYFUNCTION("""COMPUTED_VALUE"""),0.0)</f>
        <v>0</v>
      </c>
      <c r="AV224" s="4">
        <f>IFERROR(__xludf.DUMMYFUNCTION("""COMPUTED_VALUE"""),0.0)</f>
        <v>0</v>
      </c>
      <c r="AW224" s="4">
        <f>IFERROR(__xludf.DUMMYFUNCTION("""COMPUTED_VALUE"""),0.0)</f>
        <v>0</v>
      </c>
      <c r="AX224" s="4">
        <f>IFERROR(__xludf.DUMMYFUNCTION("""COMPUTED_VALUE"""),0.0)</f>
        <v>0</v>
      </c>
      <c r="AY224" s="4"/>
      <c r="AZ224" s="4" t="str">
        <f>IFERROR(__xludf.DUMMYFUNCTION("""COMPUTED_VALUE"""),"Japonesa")</f>
        <v>Japonesa</v>
      </c>
      <c r="BA224" s="4">
        <f>IFERROR(__xludf.DUMMYFUNCTION("""COMPUTED_VALUE"""),73.0)</f>
        <v>73</v>
      </c>
      <c r="BB224" s="4" t="str">
        <f>IFERROR(__xludf.DUMMYFUNCTION("""COMPUTED_VALUE"""),"Fast Casual - Multi-conceito")</f>
        <v>Fast Casual - Multi-conceito</v>
      </c>
      <c r="BC224" s="4" t="str">
        <f>IFERROR(__xludf.DUMMYFUNCTION("""COMPUTED_VALUE"""),"Sul")</f>
        <v>Sul</v>
      </c>
      <c r="BD224" s="4" t="str">
        <f>IFERROR(__xludf.DUMMYFUNCTION("""COMPUTED_VALUE"""),"Dado não disponível publicamente - Necessário Discovery")</f>
        <v>Dado não disponível publicamente - Necessário Discovery</v>
      </c>
      <c r="BE224" s="4">
        <f>IFERROR(__xludf.DUMMYFUNCTION("""COMPUTED_VALUE"""),70.0)</f>
        <v>70</v>
      </c>
      <c r="BF224" s="4">
        <f>IFERROR(__xludf.DUMMYFUNCTION("""COMPUTED_VALUE"""),0.75)</f>
        <v>0.75</v>
      </c>
      <c r="BG22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24" s="4" t="s">
        <v>63</v>
      </c>
      <c r="BI224" s="7" t="s">
        <v>63</v>
      </c>
    </row>
    <row r="225" hidden="1">
      <c r="A225" s="4" t="str">
        <f>IFERROR(__xludf.DUMMYFUNCTION("""COMPUTED_VALUE"""),"ZI TEREZA")</f>
        <v>ZI TEREZA</v>
      </c>
      <c r="B225" s="4" t="str">
        <f>IFERROR(__xludf.DUMMYFUNCTION("""COMPUTED_VALUE"""),"Lídia Esteves")</f>
        <v>Lídia Esteves</v>
      </c>
      <c r="C225" s="4" t="str">
        <f>IFERROR(__xludf.DUMMYFUNCTION("""COMPUTED_VALUE"""),"Gabriela Roma")</f>
        <v>Gabriela Roma</v>
      </c>
      <c r="D225" s="4" t="str">
        <f>IFERROR(__xludf.DUMMYFUNCTION("""COMPUTED_VALUE"""),"1. Iniciado")</f>
        <v>1. Iniciado</v>
      </c>
      <c r="E225" s="4" t="str">
        <f>IFERROR(__xludf.DUMMYFUNCTION("""COMPUTED_VALUE"""),"Delivery - Aguardando retorno / Conciliação agenda")</f>
        <v>Delivery - Aguardando retorno / Conciliação agenda</v>
      </c>
      <c r="F225" s="4" t="str">
        <f>IFERROR(__xludf.DUMMYFUNCTION("""COMPUTED_VALUE"""),"P")</f>
        <v>P</v>
      </c>
      <c r="G225" s="4"/>
      <c r="H225" s="4"/>
      <c r="I225" s="6">
        <f>IFERROR(__xludf.DUMMYFUNCTION("""COMPUTED_VALUE"""),46121.68325574074)</f>
        <v>46121.68326</v>
      </c>
      <c r="J225" s="4"/>
      <c r="K225" s="4"/>
      <c r="L225" s="4"/>
      <c r="M225" s="4"/>
      <c r="N225" s="4"/>
      <c r="O225" s="4"/>
      <c r="P225" s="4"/>
      <c r="Q225" s="4"/>
      <c r="R225" s="4"/>
      <c r="S225" s="4"/>
      <c r="T225" s="4"/>
      <c r="U225" s="4"/>
      <c r="V225" s="4"/>
      <c r="W225" s="4"/>
      <c r="X225" s="4"/>
      <c r="Y225" s="4"/>
      <c r="Z225" s="4"/>
      <c r="AA225" s="4">
        <f>IFERROR(__xludf.DUMMYFUNCTION("""COMPUTED_VALUE"""),6.0)</f>
        <v>6</v>
      </c>
      <c r="AB225" s="4" t="str">
        <f>IFERROR(__xludf.DUMMYFUNCTION("""COMPUTED_VALUE"""),"CE")</f>
        <v>CE</v>
      </c>
      <c r="AC225" s="4" t="str">
        <f>IFERROR(__xludf.DUMMYFUNCTION("""COMPUTED_VALUE"""),"Sim")</f>
        <v>Sim</v>
      </c>
      <c r="AD225" s="4" t="str">
        <f>IFERROR(__xludf.DUMMYFUNCTION("""COMPUTED_VALUE"""),"Ifood")</f>
        <v>Ifood</v>
      </c>
      <c r="AE225" s="4"/>
      <c r="AF225" s="4"/>
      <c r="AG225" s="4"/>
      <c r="AH225" s="4"/>
      <c r="AI225" s="4"/>
      <c r="AJ225" s="4"/>
      <c r="AK225" s="4"/>
      <c r="AL225" s="4"/>
      <c r="AM225" s="4" t="str">
        <f>IFERROR(__xludf.DUMMYFUNCTION("""COMPUTED_VALUE"""),"FY27")</f>
        <v>FY27</v>
      </c>
      <c r="AN225" s="4"/>
      <c r="AO225" s="4">
        <f>IFERROR(__xludf.DUMMYFUNCTION("""COMPUTED_VALUE"""),45553.0)</f>
        <v>45553</v>
      </c>
      <c r="AP225" s="4" t="str">
        <f>IFERROR(__xludf.DUMMYFUNCTION("""COMPUTED_VALUE"""),"SP")</f>
        <v>SP</v>
      </c>
      <c r="AQ225" s="4" t="str">
        <f>IFERROR(__xludf.DUMMYFUNCTION("""COMPUTED_VALUE"""),"ISADORA GARCIA")</f>
        <v>ISADORA GARCIA</v>
      </c>
      <c r="AR225" s="4" t="str">
        <f>IFERROR(__xludf.DUMMYFUNCTION("""COMPUTED_VALUE"""),"AGATA ARANTES")</f>
        <v>AGATA ARANTES</v>
      </c>
      <c r="AS225" s="4" t="str">
        <f>IFERROR(__xludf.DUMMYFUNCTION("""COMPUTED_VALUE"""),"NATHALIE MERTENS")</f>
        <v>NATHALIE MERTENS</v>
      </c>
      <c r="AT225" s="4" t="str">
        <f>IFERROR(__xludf.DUMMYFUNCTION("""COMPUTED_VALUE"""),"MATHEUS LESSA")</f>
        <v>MATHEUS LESSA</v>
      </c>
      <c r="AU225" s="4">
        <f>IFERROR(__xludf.DUMMYFUNCTION("""COMPUTED_VALUE"""),0.0)</f>
        <v>0</v>
      </c>
      <c r="AV225" s="4">
        <f>IFERROR(__xludf.DUMMYFUNCTION("""COMPUTED_VALUE"""),0.0)</f>
        <v>0</v>
      </c>
      <c r="AW225" s="4">
        <f>IFERROR(__xludf.DUMMYFUNCTION("""COMPUTED_VALUE"""),0.0)</f>
        <v>0</v>
      </c>
      <c r="AX225" s="4">
        <f>IFERROR(__xludf.DUMMYFUNCTION("""COMPUTED_VALUE"""),0.0)</f>
        <v>0</v>
      </c>
      <c r="AY225" s="4"/>
      <c r="AZ225" s="4" t="str">
        <f>IFERROR(__xludf.DUMMYFUNCTION("""COMPUTED_VALUE"""),"Pizza")</f>
        <v>Pizza</v>
      </c>
      <c r="BA225" s="4">
        <f>IFERROR(__xludf.DUMMYFUNCTION("""COMPUTED_VALUE"""),50.0)</f>
        <v>50</v>
      </c>
      <c r="BB225" s="4" t="str">
        <f>IFERROR(__xludf.DUMMYFUNCTION("""COMPUTED_VALUE"""),"Fast Casual - Multi-conceito")</f>
        <v>Fast Casual - Multi-conceito</v>
      </c>
      <c r="BC225" s="4" t="str">
        <f>IFERROR(__xludf.DUMMYFUNCTION("""COMPUTED_VALUE"""),"Rio de Janeiro/RJ")</f>
        <v>Rio de Janeiro/RJ</v>
      </c>
      <c r="BD225" s="4" t="str">
        <f>IFERROR(__xludf.DUMMYFUNCTION("""COMPUTED_VALUE"""),"Dado não disponível publicamente - Necessário Discovery")</f>
        <v>Dado não disponível publicamente - Necessário Discovery</v>
      </c>
      <c r="BE225" s="4">
        <f>IFERROR(__xludf.DUMMYFUNCTION("""COMPUTED_VALUE"""),70.0)</f>
        <v>70</v>
      </c>
      <c r="BF225" s="4">
        <f>IFERROR(__xludf.DUMMYFUNCTION("""COMPUTED_VALUE"""),0.75)</f>
        <v>0.75</v>
      </c>
      <c r="BG22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25" s="4" t="s">
        <v>63</v>
      </c>
      <c r="BI225" s="7" t="s">
        <v>63</v>
      </c>
    </row>
    <row r="226" hidden="1">
      <c r="A226" s="4" t="str">
        <f>IFERROR(__xludf.DUMMYFUNCTION("""COMPUTED_VALUE"""),"A Esperanca Pizzaria")</f>
        <v>A Esperanca Pizzaria</v>
      </c>
      <c r="B226" s="4" t="str">
        <f>IFERROR(__xludf.DUMMYFUNCTION("""COMPUTED_VALUE"""),"João Biagiotti")</f>
        <v>João Biagiotti</v>
      </c>
      <c r="C226" s="4" t="str">
        <f>IFERROR(__xludf.DUMMYFUNCTION("""COMPUTED_VALUE"""),"Diego Santos")</f>
        <v>Diego Santos</v>
      </c>
      <c r="D226" s="4" t="str">
        <f>IFERROR(__xludf.DUMMYFUNCTION("""COMPUTED_VALUE"""),"0. Não Iniciado")</f>
        <v>0. Não Iniciado</v>
      </c>
      <c r="E226" s="4" t="str">
        <f>IFERROR(__xludf.DUMMYFUNCTION("""COMPUTED_VALUE"""),"Comercial - Contato realizado com parceiro")</f>
        <v>Comercial - Contato realizado com parceiro</v>
      </c>
      <c r="F226" s="4" t="str">
        <f>IFERROR(__xludf.DUMMYFUNCTION("""COMPUTED_VALUE"""),"P")</f>
        <v>P</v>
      </c>
      <c r="G226" s="5">
        <f>IFERROR(__xludf.DUMMYFUNCTION("""COMPUTED_VALUE"""),46104.0)</f>
        <v>46104</v>
      </c>
      <c r="H226" s="4" t="str">
        <f>IFERROR(__xludf.DUMMYFUNCTION("""COMPUTED_VALUE"""),"Pedir para @mariana.peruzzetto ou para @isabel.medeiros uma forcinha para agendar uma apresentação direta pro Cezar. Se não der certo, é legal voltar a tentar com o Comer Fora.")</f>
        <v>Pedir para @mariana.peruzzetto ou para @isabel.medeiros uma forcinha para agendar uma apresentação direta pro Cezar. Se não der certo, é legal voltar a tentar com o Comer Fora.</v>
      </c>
      <c r="I226" s="4"/>
      <c r="J226" s="4"/>
      <c r="K226" s="4"/>
      <c r="L226" s="4"/>
      <c r="M226" s="4"/>
      <c r="N226" s="4"/>
      <c r="O226" s="4"/>
      <c r="P226" s="4"/>
      <c r="Q226" s="4"/>
      <c r="R226" s="4"/>
      <c r="S226" s="4"/>
      <c r="T226" s="4"/>
      <c r="U226" s="4"/>
      <c r="V226" s="4"/>
      <c r="W226" s="4"/>
      <c r="X226" s="4"/>
      <c r="Y226" s="4"/>
      <c r="Z226" s="4"/>
      <c r="AA226" s="4">
        <f>IFERROR(__xludf.DUMMYFUNCTION("""COMPUTED_VALUE"""),8.0)</f>
        <v>8</v>
      </c>
      <c r="AB226" s="4" t="str">
        <f>IFERROR(__xludf.DUMMYFUNCTION("""COMPUTED_VALUE"""),"NÃO")</f>
        <v>NÃO</v>
      </c>
      <c r="AC226" s="4" t="str">
        <f>IFERROR(__xludf.DUMMYFUNCTION("""COMPUTED_VALUE"""),"Não BP")</f>
        <v>Não BP</v>
      </c>
      <c r="AD226" s="4"/>
      <c r="AE226" s="4"/>
      <c r="AF226" s="4"/>
      <c r="AG226" s="4"/>
      <c r="AH226" s="4"/>
      <c r="AI226" s="4"/>
      <c r="AJ226" s="4"/>
      <c r="AK226" s="4"/>
      <c r="AL226" s="4"/>
      <c r="AM226" s="4" t="str">
        <f>IFERROR(__xludf.DUMMYFUNCTION("""COMPUTED_VALUE"""),"FY26, FY27")</f>
        <v>FY26, FY27</v>
      </c>
      <c r="AN226" s="4" t="str">
        <f>IFERROR(__xludf.DUMMYFUNCTION("""COMPUTED_VALUE"""),"Comer Fora")</f>
        <v>Comer Fora</v>
      </c>
      <c r="AO226" s="4">
        <f>IFERROR(__xludf.DUMMYFUNCTION("""COMPUTED_VALUE"""),110.0)</f>
        <v>110</v>
      </c>
      <c r="AP226" s="4" t="str">
        <f>IFERROR(__xludf.DUMMYFUNCTION("""COMPUTED_VALUE"""),"SP")</f>
        <v>SP</v>
      </c>
      <c r="AQ226" s="4" t="str">
        <f>IFERROR(__xludf.DUMMYFUNCTION("""COMPUTED_VALUE"""),"RODRIGO BESSER")</f>
        <v>RODRIGO BESSER</v>
      </c>
      <c r="AR226" s="4" t="str">
        <f>IFERROR(__xludf.DUMMYFUNCTION("""COMPUTED_VALUE"""),"ISABEL MEDEIROS")</f>
        <v>ISABEL MEDEIROS</v>
      </c>
      <c r="AS226" s="4" t="str">
        <f>IFERROR(__xludf.DUMMYFUNCTION("""COMPUTED_VALUE"""),"NATHALIE MERTENS")</f>
        <v>NATHALIE MERTENS</v>
      </c>
      <c r="AT226" s="4" t="str">
        <f>IFERROR(__xludf.DUMMYFUNCTION("""COMPUTED_VALUE"""),"MARIANA KATZ")</f>
        <v>MARIANA KATZ</v>
      </c>
      <c r="AU226" s="4" t="str">
        <f>IFERROR(__xludf.DUMMYFUNCTION("""COMPUTED_VALUE"""),"Ana")</f>
        <v>Ana</v>
      </c>
      <c r="AV226" s="4" t="str">
        <f>IFERROR(__xludf.DUMMYFUNCTION("""COMPUTED_VALUE"""),"Comer Fora-")</f>
        <v>Comer Fora-</v>
      </c>
      <c r="AW226" s="20" t="str">
        <f>IFERROR(__xludf.DUMMYFUNCTION("""COMPUTED_VALUE"""),"P e M - pipe")</f>
        <v>P e M - pipe</v>
      </c>
      <c r="AX226" s="4"/>
      <c r="AY226" s="4"/>
      <c r="AZ226" s="4" t="str">
        <f>IFERROR(__xludf.DUMMYFUNCTION("""COMPUTED_VALUE"""),"Pizza")</f>
        <v>Pizza</v>
      </c>
      <c r="BA226" s="4" t="str">
        <f>IFERROR(__xludf.DUMMYFUNCTION("""COMPUTED_VALUE"""),"")</f>
        <v/>
      </c>
      <c r="BB226" s="4" t="str">
        <f>IFERROR(__xludf.DUMMYFUNCTION("""COMPUTED_VALUE"""),"")</f>
        <v/>
      </c>
      <c r="BC226" s="4" t="str">
        <f>IFERROR(__xludf.DUMMYFUNCTION("""COMPUTED_VALUE"""),"")</f>
        <v/>
      </c>
      <c r="BD226" s="4" t="str">
        <f>IFERROR(__xludf.DUMMYFUNCTION("""COMPUTED_VALUE"""),"")</f>
        <v/>
      </c>
      <c r="BE226" s="4" t="str">
        <f>IFERROR(__xludf.DUMMYFUNCTION("""COMPUTED_VALUE"""),"")</f>
        <v/>
      </c>
      <c r="BF226" s="4" t="str">
        <f>IFERROR(__xludf.DUMMYFUNCTION("""COMPUTED_VALUE"""),"")</f>
        <v/>
      </c>
      <c r="BG226" s="4" t="str">
        <f>IFERROR(__xludf.DUMMYFUNCTION("""COMPUTED_VALUE"""),"")</f>
        <v/>
      </c>
      <c r="BH226" s="4" t="s">
        <v>73</v>
      </c>
      <c r="BI226" s="7">
        <v>1.0</v>
      </c>
    </row>
    <row r="227" hidden="1">
      <c r="A227" s="4" t="str">
        <f>IFERROR(__xludf.DUMMYFUNCTION("""COMPUTED_VALUE"""),"Açaí Purissimo")</f>
        <v>Açaí Purissimo</v>
      </c>
      <c r="B227" s="4" t="str">
        <f>IFERROR(__xludf.DUMMYFUNCTION("""COMPUTED_VALUE"""),"Lídia Esteves")</f>
        <v>Lídia Esteves</v>
      </c>
      <c r="C227" s="4" t="str">
        <f>IFERROR(__xludf.DUMMYFUNCTION("""COMPUTED_VALUE"""),"Gabriela Roma")</f>
        <v>Gabriela Roma</v>
      </c>
      <c r="D227" s="4" t="str">
        <f>IFERROR(__xludf.DUMMYFUNCTION("""COMPUTED_VALUE"""),"0. Não Iniciado")</f>
        <v>0. Não Iniciado</v>
      </c>
      <c r="E227" s="4" t="str">
        <f>IFERROR(__xludf.DUMMYFUNCTION("""COMPUTED_VALUE"""),"Parceiro - Aguardando retorno / Conciliação agenda")</f>
        <v>Parceiro - Aguardando retorno / Conciliação agenda</v>
      </c>
      <c r="F227" s="4" t="str">
        <f>IFERROR(__xludf.DUMMYFUNCTION("""COMPUTED_VALUE"""),"P")</f>
        <v>P</v>
      </c>
      <c r="G227" s="4"/>
      <c r="H227" s="4" t="str">
        <f>IFERROR(__xludf.DUMMYFUNCTION("""COMPUTED_VALUE"""),"Pediu para retornar em Março/26 , quer fazer um piloto mas está resolvendo questões de expansão.")</f>
        <v>Pediu para retornar em Março/26 , quer fazer um piloto mas está resolvendo questões de expansão.</v>
      </c>
      <c r="I227" s="4"/>
      <c r="J227" s="4"/>
      <c r="K227" s="6">
        <f>IFERROR(__xludf.DUMMYFUNCTION("""COMPUTED_VALUE"""),46002.0)</f>
        <v>46002</v>
      </c>
      <c r="L227" s="4"/>
      <c r="M227" s="4"/>
      <c r="N227" s="4"/>
      <c r="O227" s="4"/>
      <c r="P227" s="4"/>
      <c r="Q227" s="4"/>
      <c r="R227" s="4"/>
      <c r="S227" s="6">
        <f>IFERROR(__xludf.DUMMYFUNCTION("""COMPUTED_VALUE"""),46071.694419224536)</f>
        <v>46071.69442</v>
      </c>
      <c r="T227" s="4"/>
      <c r="U227" s="6">
        <f>IFERROR(__xludf.DUMMYFUNCTION("""COMPUTED_VALUE"""),46080.75485494213)</f>
        <v>46080.75485</v>
      </c>
      <c r="V227" s="4"/>
      <c r="W227" s="4"/>
      <c r="X227" s="4"/>
      <c r="Y227" s="4"/>
      <c r="Z227" s="4"/>
      <c r="AA227" s="4">
        <f>IFERROR(__xludf.DUMMYFUNCTION("""COMPUTED_VALUE"""),15.0)</f>
        <v>15</v>
      </c>
      <c r="AB227" s="4" t="str">
        <f>IFERROR(__xludf.DUMMYFUNCTION("""COMPUTED_VALUE"""),"NÃO")</f>
        <v>NÃO</v>
      </c>
      <c r="AC227" s="4" t="str">
        <f>IFERROR(__xludf.DUMMYFUNCTION("""COMPUTED_VALUE"""),"Não BP")</f>
        <v>Não BP</v>
      </c>
      <c r="AD227" s="4"/>
      <c r="AE227" s="4"/>
      <c r="AF227" s="4"/>
      <c r="AG227" s="4"/>
      <c r="AH227" s="4"/>
      <c r="AI227" s="4"/>
      <c r="AJ227" s="4"/>
      <c r="AK227" s="4"/>
      <c r="AL227" s="4"/>
      <c r="AM227" s="4" t="str">
        <f>IFERROR(__xludf.DUMMYFUNCTION("""COMPUTED_VALUE"""),"FY26, FY27")</f>
        <v>FY26, FY27</v>
      </c>
      <c r="AN227" s="4"/>
      <c r="AO227" s="4">
        <f>IFERROR(__xludf.DUMMYFUNCTION("""COMPUTED_VALUE"""),45553.0)</f>
        <v>45553</v>
      </c>
      <c r="AP227" s="4">
        <f>IFERROR(__xludf.DUMMYFUNCTION("""COMPUTED_VALUE"""),0.0)</f>
        <v>0</v>
      </c>
      <c r="AQ227" s="4">
        <f>IFERROR(__xludf.DUMMYFUNCTION("""COMPUTED_VALUE"""),0.0)</f>
        <v>0</v>
      </c>
      <c r="AR227" s="4">
        <f>IFERROR(__xludf.DUMMYFUNCTION("""COMPUTED_VALUE"""),0.0)</f>
        <v>0</v>
      </c>
      <c r="AS227" s="4">
        <f>IFERROR(__xludf.DUMMYFUNCTION("""COMPUTED_VALUE"""),0.0)</f>
        <v>0</v>
      </c>
      <c r="AT227" s="4">
        <f>IFERROR(__xludf.DUMMYFUNCTION("""COMPUTED_VALUE"""),0.0)</f>
        <v>0</v>
      </c>
      <c r="AU227" s="4" t="str">
        <f>IFERROR(__xludf.DUMMYFUNCTION("""COMPUTED_VALUE"""),"Lídia")</f>
        <v>Lídia</v>
      </c>
      <c r="AV227" s="4">
        <f>IFERROR(__xludf.DUMMYFUNCTION("""COMPUTED_VALUE"""),0.0)</f>
        <v>0</v>
      </c>
      <c r="AW227" s="4">
        <f>IFERROR(__xludf.DUMMYFUNCTION("""COMPUTED_VALUE"""),0.0)</f>
        <v>0</v>
      </c>
      <c r="AX227" s="4">
        <f>IFERROR(__xludf.DUMMYFUNCTION("""COMPUTED_VALUE"""),0.0)</f>
        <v>0</v>
      </c>
      <c r="AY227" s="4"/>
      <c r="AZ227" s="4" t="str">
        <f>IFERROR(__xludf.DUMMYFUNCTION("""COMPUTED_VALUE"""),"#N/A")</f>
        <v>#N/A</v>
      </c>
      <c r="BA227" s="4" t="str">
        <f>IFERROR(__xludf.DUMMYFUNCTION("""COMPUTED_VALUE"""),"")</f>
        <v/>
      </c>
      <c r="BB227" s="4" t="str">
        <f>IFERROR(__xludf.DUMMYFUNCTION("""COMPUTED_VALUE"""),"")</f>
        <v/>
      </c>
      <c r="BC227" s="4" t="str">
        <f>IFERROR(__xludf.DUMMYFUNCTION("""COMPUTED_VALUE"""),"")</f>
        <v/>
      </c>
      <c r="BD227" s="4" t="str">
        <f>IFERROR(__xludf.DUMMYFUNCTION("""COMPUTED_VALUE"""),"")</f>
        <v/>
      </c>
      <c r="BE227" s="4" t="str">
        <f>IFERROR(__xludf.DUMMYFUNCTION("""COMPUTED_VALUE"""),"")</f>
        <v/>
      </c>
      <c r="BF227" s="4" t="str">
        <f>IFERROR(__xludf.DUMMYFUNCTION("""COMPUTED_VALUE"""),"")</f>
        <v/>
      </c>
      <c r="BG227" s="4" t="str">
        <f>IFERROR(__xludf.DUMMYFUNCTION("""COMPUTED_VALUE"""),"")</f>
        <v/>
      </c>
      <c r="BH227" s="4" t="s">
        <v>63</v>
      </c>
      <c r="BI227" s="7" t="s">
        <v>63</v>
      </c>
    </row>
    <row r="228" hidden="1">
      <c r="A228" s="4" t="str">
        <f>IFERROR(__xludf.DUMMYFUNCTION("""COMPUTED_VALUE"""),"Adolpho Assador")</f>
        <v>Adolpho Assador</v>
      </c>
      <c r="B228" s="4" t="str">
        <f>IFERROR(__xludf.DUMMYFUNCTION("""COMPUTED_VALUE"""),"Diego Santos")</f>
        <v>Diego Santos</v>
      </c>
      <c r="C228" s="4" t="str">
        <f>IFERROR(__xludf.DUMMYFUNCTION("""COMPUTED_VALUE"""),"Diego Santos")</f>
        <v>Diego Santos</v>
      </c>
      <c r="D228" s="4" t="str">
        <f>IFERROR(__xludf.DUMMYFUNCTION("""COMPUTED_VALUE"""),"9. Contrato assinado")</f>
        <v>9. Contrato assinado</v>
      </c>
      <c r="E228" s="4" t="str">
        <f>IFERROR(__xludf.DUMMYFUNCTION("""COMPUTED_VALUE""")," Projetos - Contrato assinado &amp; Rollout")</f>
        <v> Projetos - Contrato assinado &amp; Rollout</v>
      </c>
      <c r="F228" s="4" t="str">
        <f>IFERROR(__xludf.DUMMYFUNCTION("""COMPUTED_VALUE"""),"P")</f>
        <v>P</v>
      </c>
      <c r="G228" s="5">
        <f>IFERROR(__xludf.DUMMYFUNCTION("""COMPUTED_VALUE"""),46118.0)</f>
        <v>46118</v>
      </c>
      <c r="H228" s="4" t="str">
        <f>IFERROR(__xludf.DUMMYFUNCTION("""COMPUTED_VALUE"""),"Validando pontos técnicos para seguir negociação com o cliente.")</f>
        <v>Validando pontos técnicos para seguir negociação com o cliente.</v>
      </c>
      <c r="I228" s="4"/>
      <c r="J228" s="4"/>
      <c r="K228" s="4"/>
      <c r="L228" s="4"/>
      <c r="M228" s="6">
        <f>IFERROR(__xludf.DUMMYFUNCTION("""COMPUTED_VALUE"""),46101.50914317129)</f>
        <v>46101.50914</v>
      </c>
      <c r="N228" s="6">
        <f>IFERROR(__xludf.DUMMYFUNCTION("""COMPUTED_VALUE"""),46101.509220312495)</f>
        <v>46101.50922</v>
      </c>
      <c r="O228" s="6">
        <f>IFERROR(__xludf.DUMMYFUNCTION("""COMPUTED_VALUE"""),46120.77077284722)</f>
        <v>46120.77077</v>
      </c>
      <c r="P228" s="6">
        <f>IFERROR(__xludf.DUMMYFUNCTION("""COMPUTED_VALUE"""),46120.77132489583)</f>
        <v>46120.77132</v>
      </c>
      <c r="Q228" s="6">
        <f>IFERROR(__xludf.DUMMYFUNCTION("""COMPUTED_VALUE"""),46120.77139335648)</f>
        <v>46120.77139</v>
      </c>
      <c r="R228" s="4"/>
      <c r="S228" s="4"/>
      <c r="T228" s="4"/>
      <c r="U228" s="4"/>
      <c r="V228" s="4"/>
      <c r="W228" s="8">
        <f>IFERROR(__xludf.DUMMYFUNCTION("""COMPUTED_VALUE"""),700.0)</f>
        <v>700</v>
      </c>
      <c r="X228" s="4" t="str">
        <f>IFERROR(__xludf.DUMMYFUNCTION("""COMPUTED_VALUE"""),"12 meses")</f>
        <v>12 meses</v>
      </c>
      <c r="Y228" s="8">
        <f>IFERROR(__xludf.DUMMYFUNCTION("""COMPUTED_VALUE"""),0.0)</f>
        <v>0</v>
      </c>
      <c r="Z228" s="8">
        <f>IFERROR(__xludf.DUMMYFUNCTION("""COMPUTED_VALUE"""),2300.0)</f>
        <v>2300</v>
      </c>
      <c r="AA228" s="4">
        <f>IFERROR(__xludf.DUMMYFUNCTION("""COMPUTED_VALUE"""),3.0)</f>
        <v>3</v>
      </c>
      <c r="AB228" s="4"/>
      <c r="AC228" s="4"/>
      <c r="AD228" s="4"/>
      <c r="AE228" s="4">
        <f>IFERROR(__xludf.DUMMYFUNCTION("""COMPUTED_VALUE"""),3.0)</f>
        <v>3</v>
      </c>
      <c r="AF228" s="4">
        <f>IFERROR(__xludf.DUMMYFUNCTION("""COMPUTED_VALUE"""),4.0)</f>
        <v>4</v>
      </c>
      <c r="AG228" s="4">
        <f>IFERROR(__xludf.DUMMYFUNCTION("""COMPUTED_VALUE"""),1.0)</f>
        <v>1</v>
      </c>
      <c r="AH228" s="4"/>
      <c r="AI228" s="4"/>
      <c r="AJ228" s="4"/>
      <c r="AK228" s="4"/>
      <c r="AL228" s="4"/>
      <c r="AM228" s="4" t="str">
        <f>IFERROR(__xludf.DUMMYFUNCTION("""COMPUTED_VALUE"""),"FY26, FY27")</f>
        <v>FY26, FY27</v>
      </c>
      <c r="AN228" s="4"/>
      <c r="AO228" s="4">
        <f>IFERROR(__xludf.DUMMYFUNCTION("""COMPUTED_VALUE"""),97.0)</f>
        <v>97</v>
      </c>
      <c r="AP228" s="4">
        <f>IFERROR(__xludf.DUMMYFUNCTION("""COMPUTED_VALUE"""),0.0)</f>
        <v>0</v>
      </c>
      <c r="AQ228" s="4">
        <f>IFERROR(__xludf.DUMMYFUNCTION("""COMPUTED_VALUE"""),0.0)</f>
        <v>0</v>
      </c>
      <c r="AR228" s="4">
        <f>IFERROR(__xludf.DUMMYFUNCTION("""COMPUTED_VALUE"""),0.0)</f>
        <v>0</v>
      </c>
      <c r="AS228" s="4">
        <f>IFERROR(__xludf.DUMMYFUNCTION("""COMPUTED_VALUE"""),0.0)</f>
        <v>0</v>
      </c>
      <c r="AT228" s="4">
        <f>IFERROR(__xludf.DUMMYFUNCTION("""COMPUTED_VALUE"""),0.0)</f>
        <v>0</v>
      </c>
      <c r="AU228" s="4" t="str">
        <f>IFERROR(__xludf.DUMMYFUNCTION("""COMPUTED_VALUE"""),"Diego")</f>
        <v>Diego</v>
      </c>
      <c r="AV228" s="4">
        <f>IFERROR(__xludf.DUMMYFUNCTION("""COMPUTED_VALUE"""),0.0)</f>
        <v>0</v>
      </c>
      <c r="AW228" s="4">
        <f>IFERROR(__xludf.DUMMYFUNCTION("""COMPUTED_VALUE"""),0.0)</f>
        <v>0</v>
      </c>
      <c r="AX228" s="4">
        <f>IFERROR(__xludf.DUMMYFUNCTION("""COMPUTED_VALUE"""),0.0)</f>
        <v>0</v>
      </c>
      <c r="AY228" s="4">
        <f>IFERROR(__xludf.DUMMYFUNCTION("""COMPUTED_VALUE"""),0.0)</f>
        <v>0</v>
      </c>
      <c r="AZ228" s="4" t="str">
        <f>IFERROR(__xludf.DUMMYFUNCTION("""COMPUTED_VALUE"""),"NA")</f>
        <v>NA</v>
      </c>
      <c r="BA228" s="4" t="str">
        <f>IFERROR(__xludf.DUMMYFUNCTION("""COMPUTED_VALUE"""),"")</f>
        <v/>
      </c>
      <c r="BB228" s="4" t="str">
        <f>IFERROR(__xludf.DUMMYFUNCTION("""COMPUTED_VALUE"""),"")</f>
        <v/>
      </c>
      <c r="BC228" s="4" t="str">
        <f>IFERROR(__xludf.DUMMYFUNCTION("""COMPUTED_VALUE"""),"")</f>
        <v/>
      </c>
      <c r="BD228" s="4" t="str">
        <f>IFERROR(__xludf.DUMMYFUNCTION("""COMPUTED_VALUE"""),"")</f>
        <v/>
      </c>
      <c r="BE228" s="4" t="str">
        <f>IFERROR(__xludf.DUMMYFUNCTION("""COMPUTED_VALUE"""),"")</f>
        <v/>
      </c>
      <c r="BF228" s="4" t="str">
        <f>IFERROR(__xludf.DUMMYFUNCTION("""COMPUTED_VALUE"""),"")</f>
        <v/>
      </c>
      <c r="BG228" s="4" t="str">
        <f>IFERROR(__xludf.DUMMYFUNCTION("""COMPUTED_VALUE"""),"")</f>
        <v/>
      </c>
      <c r="BH228" s="4" t="s">
        <v>63</v>
      </c>
      <c r="BI228" s="7" t="s">
        <v>63</v>
      </c>
    </row>
    <row r="229" hidden="1">
      <c r="A229" s="4" t="str">
        <f>IFERROR(__xludf.DUMMYFUNCTION("""COMPUTED_VALUE"""),"Adore Brigaderia Gourmet")</f>
        <v>Adore Brigaderia Gourmet</v>
      </c>
      <c r="B229" s="4" t="str">
        <f>IFERROR(__xludf.DUMMYFUNCTION("""COMPUTED_VALUE"""),"Emerson")</f>
        <v>Emerson</v>
      </c>
      <c r="C229" s="4" t="str">
        <f>IFERROR(__xludf.DUMMYFUNCTION("""COMPUTED_VALUE"""),"Emerson")</f>
        <v>Emerson</v>
      </c>
      <c r="D229" s="4" t="str">
        <f>IFERROR(__xludf.DUMMYFUNCTION("""COMPUTED_VALUE"""),"5. Demo/Showroom")</f>
        <v>5. Demo/Showroom</v>
      </c>
      <c r="E229" s="4"/>
      <c r="F229" s="4" t="str">
        <f>IFERROR(__xludf.DUMMYFUNCTION("""COMPUTED_VALUE"""),"P")</f>
        <v>P</v>
      </c>
      <c r="G229" s="5">
        <f>IFERROR(__xludf.DUMMYFUNCTION("""COMPUTED_VALUE"""),46120.0)</f>
        <v>46120</v>
      </c>
      <c r="H229" s="4" t="str">
        <f>IFERROR(__xludf.DUMMYFUNCTION("""COMPUTED_VALUE"""),"Marca com Emerson, sem status. ")</f>
        <v>Marca com Emerson, sem status. </v>
      </c>
      <c r="I229" s="4"/>
      <c r="J229" s="4"/>
      <c r="K229" s="6">
        <f>IFERROR(__xludf.DUMMYFUNCTION("""COMPUTED_VALUE"""),46062.0)</f>
        <v>46062</v>
      </c>
      <c r="L229" s="6">
        <f>IFERROR(__xludf.DUMMYFUNCTION("""COMPUTED_VALUE"""),46062.4642525)</f>
        <v>46062.46425</v>
      </c>
      <c r="M229" s="6">
        <f>IFERROR(__xludf.DUMMYFUNCTION("""COMPUTED_VALUE"""),46090.0)</f>
        <v>46090</v>
      </c>
      <c r="N229" s="4"/>
      <c r="O229" s="4"/>
      <c r="P229" s="4"/>
      <c r="Q229" s="4"/>
      <c r="R229" s="4"/>
      <c r="S229" s="4"/>
      <c r="T229" s="4"/>
      <c r="U229" s="4"/>
      <c r="V229" s="4"/>
      <c r="W229" s="4"/>
      <c r="X229" s="4"/>
      <c r="Y229" s="4"/>
      <c r="Z229" s="4"/>
      <c r="AA229" s="4">
        <f>IFERROR(__xludf.DUMMYFUNCTION("""COMPUTED_VALUE"""),1.0)</f>
        <v>1</v>
      </c>
      <c r="AB229" s="4" t="str">
        <f>IFERROR(__xludf.DUMMYFUNCTION("""COMPUTED_VALUE"""),"-")</f>
        <v>-</v>
      </c>
      <c r="AC229" s="4" t="str">
        <f>IFERROR(__xludf.DUMMYFUNCTION("""COMPUTED_VALUE"""),"-")</f>
        <v>-</v>
      </c>
      <c r="AD229" s="4"/>
      <c r="AE229" s="4"/>
      <c r="AF229" s="4"/>
      <c r="AG229" s="4"/>
      <c r="AH229" s="4"/>
      <c r="AI229" s="4"/>
      <c r="AJ229" s="4"/>
      <c r="AK229" s="4"/>
      <c r="AL229" s="4"/>
      <c r="AM229" s="4" t="str">
        <f>IFERROR(__xludf.DUMMYFUNCTION("""COMPUTED_VALUE"""),"FY26, FY27")</f>
        <v>FY26, FY27</v>
      </c>
      <c r="AN229" s="4"/>
      <c r="AO229" s="4">
        <f>IFERROR(__xludf.DUMMYFUNCTION("""COMPUTED_VALUE"""),95.0)</f>
        <v>95</v>
      </c>
      <c r="AP229" s="4" t="str">
        <f>IFERROR(__xludf.DUMMYFUNCTION("""COMPUTED_VALUE"""),"PR")</f>
        <v>PR</v>
      </c>
      <c r="AQ229" s="4" t="str">
        <f>IFERROR(__xludf.DUMMYFUNCTION("""COMPUTED_VALUE"""),"BRUNA MONTEZIN")</f>
        <v>BRUNA MONTEZIN</v>
      </c>
      <c r="AR229" s="4" t="str">
        <f>IFERROR(__xludf.DUMMYFUNCTION("""COMPUTED_VALUE"""),"ANE LUKAZINSKI")</f>
        <v>ANE LUKAZINSKI</v>
      </c>
      <c r="AS229" s="4" t="str">
        <f>IFERROR(__xludf.DUMMYFUNCTION("""COMPUTED_VALUE"""),"FABIO DONATO")</f>
        <v>FABIO DONATO</v>
      </c>
      <c r="AT229" s="4" t="str">
        <f>IFERROR(__xludf.DUMMYFUNCTION("""COMPUTED_VALUE"""),"MURILO NAGASHIMA")</f>
        <v>MURILO NAGASHIMA</v>
      </c>
      <c r="AU229" s="4" t="str">
        <f>IFERROR(__xludf.DUMMYFUNCTION("""COMPUTED_VALUE"""),"Lídia / Emerson")</f>
        <v>Lídia / Emerson</v>
      </c>
      <c r="AV229" s="4">
        <f>IFERROR(__xludf.DUMMYFUNCTION("""COMPUTED_VALUE"""),0.0)</f>
        <v>0</v>
      </c>
      <c r="AW229" s="4">
        <f>IFERROR(__xludf.DUMMYFUNCTION("""COMPUTED_VALUE"""),0.0)</f>
        <v>0</v>
      </c>
      <c r="AX229" s="4">
        <f>IFERROR(__xludf.DUMMYFUNCTION("""COMPUTED_VALUE"""),0.0)</f>
        <v>0</v>
      </c>
      <c r="AY229" s="4"/>
      <c r="AZ229" s="4" t="str">
        <f>IFERROR(__xludf.DUMMYFUNCTION("""COMPUTED_VALUE"""),"Doces &amp; Bolos")</f>
        <v>Doces &amp; Bolos</v>
      </c>
      <c r="BA229" s="4">
        <f>IFERROR(__xludf.DUMMYFUNCTION("""COMPUTED_VALUE"""),73.0)</f>
        <v>73</v>
      </c>
      <c r="BB229" s="4" t="str">
        <f>IFERROR(__xludf.DUMMYFUNCTION("""COMPUTED_VALUE"""),"Fast Casual - Multi-conceito")</f>
        <v>Fast Casual - Multi-conceito</v>
      </c>
      <c r="BC229" s="4" t="str">
        <f>IFERROR(__xludf.DUMMYFUNCTION("""COMPUTED_VALUE"""),"Rio de Janeiro/RJ")</f>
        <v>Rio de Janeiro/RJ</v>
      </c>
      <c r="BD229" s="4" t="str">
        <f>IFERROR(__xludf.DUMMYFUNCTION("""COMPUTED_VALUE"""),"Dado não disponível publicamente - Necessário Discovery")</f>
        <v>Dado não disponível publicamente - Necessário Discovery</v>
      </c>
      <c r="BE229" s="4">
        <f>IFERROR(__xludf.DUMMYFUNCTION("""COMPUTED_VALUE"""),70.0)</f>
        <v>70</v>
      </c>
      <c r="BF229" s="4">
        <f>IFERROR(__xludf.DUMMYFUNCTION("""COMPUTED_VALUE"""),0.75)</f>
        <v>0.75</v>
      </c>
      <c r="BG22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29" s="4" t="s">
        <v>63</v>
      </c>
      <c r="BI229" s="7" t="s">
        <v>63</v>
      </c>
    </row>
    <row r="230" hidden="1">
      <c r="A230" s="4" t="str">
        <f>IFERROR(__xludf.DUMMYFUNCTION("""COMPUTED_VALUE"""),"Al Capizza 24H")</f>
        <v>Al Capizza 24H</v>
      </c>
      <c r="B230" s="4" t="str">
        <f>IFERROR(__xludf.DUMMYFUNCTION("""COMPUTED_VALUE"""),"João Biagiotti")</f>
        <v>João Biagiotti</v>
      </c>
      <c r="C230" s="4" t="str">
        <f>IFERROR(__xludf.DUMMYFUNCTION("""COMPUTED_VALUE"""),"Diego Santos")</f>
        <v>Diego Santos</v>
      </c>
      <c r="D230" s="4" t="str">
        <f>IFERROR(__xludf.DUMMYFUNCTION("""COMPUTED_VALUE"""),"2. Primeiro contato com a marca")</f>
        <v>2. Primeiro contato com a marca</v>
      </c>
      <c r="E230" s="4" t="str">
        <f>IFERROR(__xludf.DUMMYFUNCTION("""COMPUTED_VALUE"""),"Delivery - Conciliação agenda com parceiro")</f>
        <v>Delivery - Conciliação agenda com parceiro</v>
      </c>
      <c r="F230" s="4" t="str">
        <f>IFERROR(__xludf.DUMMYFUNCTION("""COMPUTED_VALUE"""),"P")</f>
        <v>P</v>
      </c>
      <c r="G230" s="5">
        <f>IFERROR(__xludf.DUMMYFUNCTION("""COMPUTED_VALUE"""),46084.0)</f>
        <v>46084</v>
      </c>
      <c r="H230" s="4" t="str">
        <f>IFERROR(__xludf.DUMMYFUNCTION("""COMPUTED_VALUE"""),"Agenda ainda travada no delivery, mas executivo se comprometeu em ter agenda de apresentação de salão ainda em março.")</f>
        <v>Agenda ainda travada no delivery, mas executivo se comprometeu em ter agenda de apresentação de salão ainda em março.</v>
      </c>
      <c r="I230" s="4"/>
      <c r="J230" s="6">
        <f>IFERROR(__xludf.DUMMYFUNCTION("""COMPUTED_VALUE"""),46052.42903358796)</f>
        <v>46052.42903</v>
      </c>
      <c r="K230" s="6">
        <f>IFERROR(__xludf.DUMMYFUNCTION("""COMPUTED_VALUE"""),45944.0)</f>
        <v>45944</v>
      </c>
      <c r="L230" s="4"/>
      <c r="M230" s="4"/>
      <c r="N230" s="4"/>
      <c r="O230" s="4"/>
      <c r="P230" s="4"/>
      <c r="Q230" s="4"/>
      <c r="R230" s="4"/>
      <c r="S230" s="4"/>
      <c r="T230" s="4"/>
      <c r="U230" s="4"/>
      <c r="V230" s="4"/>
      <c r="W230" s="4"/>
      <c r="X230" s="4"/>
      <c r="Y230" s="4"/>
      <c r="Z230" s="4"/>
      <c r="AA230" s="4">
        <f>IFERROR(__xludf.DUMMYFUNCTION("""COMPUTED_VALUE"""),14.0)</f>
        <v>14</v>
      </c>
      <c r="AB230" s="4" t="str">
        <f>IFERROR(__xludf.DUMMYFUNCTION("""COMPUTED_VALUE"""),"NÃO")</f>
        <v>NÃO</v>
      </c>
      <c r="AC230" s="4" t="str">
        <f>IFERROR(__xludf.DUMMYFUNCTION("""COMPUTED_VALUE"""),"Não BP")</f>
        <v>Não BP</v>
      </c>
      <c r="AD230" s="4"/>
      <c r="AE230" s="4"/>
      <c r="AF230" s="4"/>
      <c r="AG230" s="4"/>
      <c r="AH230" s="4"/>
      <c r="AI230" s="4"/>
      <c r="AJ230" s="4"/>
      <c r="AK230" s="4"/>
      <c r="AL230" s="4"/>
      <c r="AM230" s="4" t="str">
        <f>IFERROR(__xludf.DUMMYFUNCTION("""COMPUTED_VALUE"""),"FY26, FY27")</f>
        <v>FY26, FY27</v>
      </c>
      <c r="AN230" s="4" t="str">
        <f>IFERROR(__xludf.DUMMYFUNCTION("""COMPUTED_VALUE"""),"Comer Fora")</f>
        <v>Comer Fora</v>
      </c>
      <c r="AO230" s="4">
        <f>IFERROR(__xludf.DUMMYFUNCTION("""COMPUTED_VALUE"""),130.0)</f>
        <v>130</v>
      </c>
      <c r="AP230" s="4" t="str">
        <f>IFERROR(__xludf.DUMMYFUNCTION("""COMPUTED_VALUE"""),"SP")</f>
        <v>SP</v>
      </c>
      <c r="AQ230" s="4" t="str">
        <f>IFERROR(__xludf.DUMMYFUNCTION("""COMPUTED_VALUE"""),"RODRIGO ALBANESE")</f>
        <v>RODRIGO ALBANESE</v>
      </c>
      <c r="AR230" s="4" t="str">
        <f>IFERROR(__xludf.DUMMYFUNCTION("""COMPUTED_VALUE"""),"LEONARDO PAIVA")</f>
        <v>LEONARDO PAIVA</v>
      </c>
      <c r="AS230" s="4" t="str">
        <f>IFERROR(__xludf.DUMMYFUNCTION("""COMPUTED_VALUE"""),"NATHALIE MERTENS")</f>
        <v>NATHALIE MERTENS</v>
      </c>
      <c r="AT230" s="4" t="str">
        <f>IFERROR(__xludf.DUMMYFUNCTION("""COMPUTED_VALUE"""),"MATHEUS LESSA")</f>
        <v>MATHEUS LESSA</v>
      </c>
      <c r="AU230" s="4" t="str">
        <f>IFERROR(__xludf.DUMMYFUNCTION("""COMPUTED_VALUE"""),"Ana")</f>
        <v>Ana</v>
      </c>
      <c r="AV230" s="4" t="str">
        <f>IFERROR(__xludf.DUMMYFUNCTION("""COMPUTED_VALUE"""),"Comer Fora-")</f>
        <v>Comer Fora-</v>
      </c>
      <c r="AW230" s="20" t="str">
        <f>IFERROR(__xludf.DUMMYFUNCTION("""COMPUTED_VALUE"""),"P e M - pipe")</f>
        <v>P e M - pipe</v>
      </c>
      <c r="AX230" s="4"/>
      <c r="AY230" s="4"/>
      <c r="AZ230" s="4" t="str">
        <f>IFERROR(__xludf.DUMMYFUNCTION("""COMPUTED_VALUE"""),"NA")</f>
        <v>NA</v>
      </c>
      <c r="BA230" s="4">
        <f>IFERROR(__xludf.DUMMYFUNCTION("""COMPUTED_VALUE"""),56.0)</f>
        <v>56</v>
      </c>
      <c r="BB230" s="4" t="str">
        <f>IFERROR(__xludf.DUMMYFUNCTION("""COMPUTED_VALUE"""),"Fast Casual - Pizzaria")</f>
        <v>Fast Casual - Pizzaria</v>
      </c>
      <c r="BC230" s="4" t="str">
        <f>IFERROR(__xludf.DUMMYFUNCTION("""COMPUTED_VALUE"""),"Regional")</f>
        <v>Regional</v>
      </c>
      <c r="BD230" s="4" t="str">
        <f>IFERROR(__xludf.DUMMYFUNCTION("""COMPUTED_VALUE"""),"Dado não disponível publicamente - Necessário Discovery")</f>
        <v>Dado não disponível publicamente - Necessário Discovery</v>
      </c>
      <c r="BE230" s="4">
        <f>IFERROR(__xludf.DUMMYFUNCTION("""COMPUTED_VALUE"""),65.0)</f>
        <v>65</v>
      </c>
      <c r="BF230" s="4">
        <f>IFERROR(__xludf.DUMMYFUNCTION("""COMPUTED_VALUE"""),0.75)</f>
        <v>0.75</v>
      </c>
      <c r="BG23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30" s="4" t="s">
        <v>63</v>
      </c>
      <c r="BI230" s="7" t="s">
        <v>63</v>
      </c>
    </row>
    <row r="231" hidden="1">
      <c r="A231" s="4" t="str">
        <f>IFERROR(__xludf.DUMMYFUNCTION("""COMPUTED_VALUE"""),"Aleixo Pizzaria")</f>
        <v>Aleixo Pizzaria</v>
      </c>
      <c r="B231" s="4" t="str">
        <f>IFERROR(__xludf.DUMMYFUNCTION("""COMPUTED_VALUE"""),"Lídia Esteves")</f>
        <v>Lídia Esteves</v>
      </c>
      <c r="C231" s="4" t="str">
        <f>IFERROR(__xludf.DUMMYFUNCTION("""COMPUTED_VALUE"""),"Gabriela Roma")</f>
        <v>Gabriela Roma</v>
      </c>
      <c r="D231" s="4" t="str">
        <f>IFERROR(__xludf.DUMMYFUNCTION("""COMPUTED_VALUE"""),"0. Não Iniciado")</f>
        <v>0. Não Iniciado</v>
      </c>
      <c r="E231" s="4"/>
      <c r="F231" s="4" t="str">
        <f>IFERROR(__xludf.DUMMYFUNCTION("""COMPUTED_VALUE"""),"P")</f>
        <v>P</v>
      </c>
      <c r="G231" s="4"/>
      <c r="H231" s="4"/>
      <c r="I231" s="4"/>
      <c r="J231" s="4"/>
      <c r="K231" s="4"/>
      <c r="L231" s="4"/>
      <c r="M231" s="4"/>
      <c r="N231" s="4"/>
      <c r="O231" s="4"/>
      <c r="P231" s="4"/>
      <c r="Q231" s="4"/>
      <c r="R231" s="4"/>
      <c r="S231" s="4"/>
      <c r="T231" s="4"/>
      <c r="U231" s="4"/>
      <c r="V231" s="4"/>
      <c r="W231" s="4"/>
      <c r="X231" s="4"/>
      <c r="Y231" s="4"/>
      <c r="Z231" s="4"/>
      <c r="AA231" s="4">
        <f>IFERROR(__xludf.DUMMYFUNCTION("""COMPUTED_VALUE"""),4.0)</f>
        <v>4</v>
      </c>
      <c r="AB231" s="4" t="str">
        <f>IFERROR(__xludf.DUMMYFUNCTION("""COMPUTED_VALUE"""),"NÃO")</f>
        <v>NÃO</v>
      </c>
      <c r="AC231" s="4" t="str">
        <f>IFERROR(__xludf.DUMMYFUNCTION("""COMPUTED_VALUE"""),"Não BP")</f>
        <v>Não BP</v>
      </c>
      <c r="AD231" s="4"/>
      <c r="AE231" s="4"/>
      <c r="AF231" s="4"/>
      <c r="AG231" s="4"/>
      <c r="AH231" s="4"/>
      <c r="AI231" s="4"/>
      <c r="AJ231" s="4"/>
      <c r="AK231" s="4"/>
      <c r="AL231" s="4"/>
      <c r="AM231" s="4" t="str">
        <f>IFERROR(__xludf.DUMMYFUNCTION("""COMPUTED_VALUE"""),"FY26, FY27")</f>
        <v>FY26, FY27</v>
      </c>
      <c r="AN231" s="4"/>
      <c r="AO231" s="4">
        <f>IFERROR(__xludf.DUMMYFUNCTION("""COMPUTED_VALUE"""),45553.0)</f>
        <v>45553</v>
      </c>
      <c r="AP231" s="4">
        <f>IFERROR(__xludf.DUMMYFUNCTION("""COMPUTED_VALUE"""),0.0)</f>
        <v>0</v>
      </c>
      <c r="AQ231" s="4">
        <f>IFERROR(__xludf.DUMMYFUNCTION("""COMPUTED_VALUE"""),0.0)</f>
        <v>0</v>
      </c>
      <c r="AR231" s="4">
        <f>IFERROR(__xludf.DUMMYFUNCTION("""COMPUTED_VALUE"""),0.0)</f>
        <v>0</v>
      </c>
      <c r="AS231" s="4">
        <f>IFERROR(__xludf.DUMMYFUNCTION("""COMPUTED_VALUE"""),0.0)</f>
        <v>0</v>
      </c>
      <c r="AT231" s="4">
        <f>IFERROR(__xludf.DUMMYFUNCTION("""COMPUTED_VALUE"""),0.0)</f>
        <v>0</v>
      </c>
      <c r="AU231" s="4" t="str">
        <f>IFERROR(__xludf.DUMMYFUNCTION("""COMPUTED_VALUE"""),"Emerson")</f>
        <v>Emerson</v>
      </c>
      <c r="AV231" s="4">
        <f>IFERROR(__xludf.DUMMYFUNCTION("""COMPUTED_VALUE"""),0.0)</f>
        <v>0</v>
      </c>
      <c r="AW231" s="4">
        <f>IFERROR(__xludf.DUMMYFUNCTION("""COMPUTED_VALUE"""),0.0)</f>
        <v>0</v>
      </c>
      <c r="AX231" s="4">
        <f>IFERROR(__xludf.DUMMYFUNCTION("""COMPUTED_VALUE"""),0.0)</f>
        <v>0</v>
      </c>
      <c r="AY231" s="4"/>
      <c r="AZ231" s="4" t="str">
        <f>IFERROR(__xludf.DUMMYFUNCTION("""COMPUTED_VALUE"""),"NA")</f>
        <v>NA</v>
      </c>
      <c r="BA231" s="4">
        <f>IFERROR(__xludf.DUMMYFUNCTION("""COMPUTED_VALUE"""),58.0)</f>
        <v>58</v>
      </c>
      <c r="BB231" s="4" t="str">
        <f>IFERROR(__xludf.DUMMYFUNCTION("""COMPUTED_VALUE"""),"Fast Casual - Pizzaria")</f>
        <v>Fast Casual - Pizzaria</v>
      </c>
      <c r="BC231" s="4" t="str">
        <f>IFERROR(__xludf.DUMMYFUNCTION("""COMPUTED_VALUE"""),"Belo Horizonte/MG")</f>
        <v>Belo Horizonte/MG</v>
      </c>
      <c r="BD231" s="4" t="str">
        <f>IFERROR(__xludf.DUMMYFUNCTION("""COMPUTED_VALUE"""),"Dado não disponível publicamente - Necessário Discovery")</f>
        <v>Dado não disponível publicamente - Necessário Discovery</v>
      </c>
      <c r="BE231" s="4">
        <f>IFERROR(__xludf.DUMMYFUNCTION("""COMPUTED_VALUE"""),70.0)</f>
        <v>70</v>
      </c>
      <c r="BF231" s="4">
        <f>IFERROR(__xludf.DUMMYFUNCTION("""COMPUTED_VALUE"""),0.75)</f>
        <v>0.75</v>
      </c>
      <c r="BG23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31" s="4" t="s">
        <v>63</v>
      </c>
      <c r="BI231" s="7" t="s">
        <v>63</v>
      </c>
    </row>
    <row r="232" hidden="1">
      <c r="A232" s="4" t="str">
        <f>IFERROR(__xludf.DUMMYFUNCTION("""COMPUTED_VALUE"""),"Alemao Sp")</f>
        <v>Alemao Sp</v>
      </c>
      <c r="B232" s="4" t="str">
        <f>IFERROR(__xludf.DUMMYFUNCTION("""COMPUTED_VALUE"""),"Lídia Esteves")</f>
        <v>Lídia Esteves</v>
      </c>
      <c r="C232" s="4" t="str">
        <f>IFERROR(__xludf.DUMMYFUNCTION("""COMPUTED_VALUE"""),"Gabriela Roma")</f>
        <v>Gabriela Roma</v>
      </c>
      <c r="D232" s="4" t="str">
        <f>IFERROR(__xludf.DUMMYFUNCTION("""COMPUTED_VALUE"""),"6. Negociação")</f>
        <v>6. Negociação</v>
      </c>
      <c r="E232" s="4" t="str">
        <f>IFERROR(__xludf.DUMMYFUNCTION("""COMPUTED_VALUE"""),"Parceiro - Aguardando retorno parceiro")</f>
        <v>Parceiro - Aguardando retorno parceiro</v>
      </c>
      <c r="F232" s="4" t="str">
        <f>IFERROR(__xludf.DUMMYFUNCTION("""COMPUTED_VALUE"""),"P")</f>
        <v>P</v>
      </c>
      <c r="G232" s="5">
        <f>IFERROR(__xludf.DUMMYFUNCTION("""COMPUTED_VALUE"""),46154.0)</f>
        <v>46154</v>
      </c>
      <c r="H232" s="4" t="str">
        <f>IFERROR(__xludf.DUMMYFUNCTION("""COMPUTED_VALUE"""),"Visita presencial 13/05 para tentar fechar negociação, parceiro muito ruim de retorno.")</f>
        <v>Visita presencial 13/05 para tentar fechar negociação, parceiro muito ruim de retorno.</v>
      </c>
      <c r="I232" s="4"/>
      <c r="J232" s="4"/>
      <c r="K232" s="6">
        <f>IFERROR(__xludf.DUMMYFUNCTION("""COMPUTED_VALUE"""),45994.0)</f>
        <v>45994</v>
      </c>
      <c r="L232" s="4"/>
      <c r="M232" s="4"/>
      <c r="N232" s="6">
        <f>IFERROR(__xludf.DUMMYFUNCTION("""COMPUTED_VALUE"""),46107.57198920139)</f>
        <v>46107.57199</v>
      </c>
      <c r="O232" s="4"/>
      <c r="P232" s="4"/>
      <c r="Q232" s="4"/>
      <c r="R232" s="4"/>
      <c r="S232" s="4"/>
      <c r="T232" s="4"/>
      <c r="U232" s="4"/>
      <c r="V232" s="4"/>
      <c r="W232" s="4"/>
      <c r="X232" s="4"/>
      <c r="Y232" s="4"/>
      <c r="Z232" s="4"/>
      <c r="AA232" s="4">
        <f>IFERROR(__xludf.DUMMYFUNCTION("""COMPUTED_VALUE"""),4.0)</f>
        <v>4</v>
      </c>
      <c r="AB232" s="4" t="str">
        <f>IFERROR(__xludf.DUMMYFUNCTION("""COMPUTED_VALUE"""),"NÃO")</f>
        <v>NÃO</v>
      </c>
      <c r="AC232" s="4" t="str">
        <f>IFERROR(__xludf.DUMMYFUNCTION("""COMPUTED_VALUE"""),"BP")</f>
        <v>BP</v>
      </c>
      <c r="AD232" s="4"/>
      <c r="AE232" s="4"/>
      <c r="AF232" s="4"/>
      <c r="AG232" s="4"/>
      <c r="AH232" s="4"/>
      <c r="AI232" s="4"/>
      <c r="AJ232" s="4"/>
      <c r="AK232" s="4"/>
      <c r="AL232" s="4"/>
      <c r="AM232" s="4" t="str">
        <f>IFERROR(__xludf.DUMMYFUNCTION("""COMPUTED_VALUE"""),"FY26, FY27")</f>
        <v>FY26, FY27</v>
      </c>
      <c r="AN232" s="4" t="str">
        <f>IFERROR(__xludf.DUMMYFUNCTION("""COMPUTED_VALUE"""),"Comer Fora")</f>
        <v>Comer Fora</v>
      </c>
      <c r="AO232" s="4">
        <f>IFERROR(__xludf.DUMMYFUNCTION("""COMPUTED_VALUE"""),61.0)</f>
        <v>61</v>
      </c>
      <c r="AP232" s="4" t="str">
        <f>IFERROR(__xludf.DUMMYFUNCTION("""COMPUTED_VALUE"""),"SP")</f>
        <v>SP</v>
      </c>
      <c r="AQ232" s="4" t="str">
        <f>IFERROR(__xludf.DUMMYFUNCTION("""COMPUTED_VALUE"""),"JULIA TAKEMOTO")</f>
        <v>JULIA TAKEMOTO</v>
      </c>
      <c r="AR232" s="4" t="str">
        <f>IFERROR(__xludf.DUMMYFUNCTION("""COMPUTED_VALUE"""),"PAULO ARAUJO")</f>
        <v>PAULO ARAUJO</v>
      </c>
      <c r="AS232" s="4" t="str">
        <f>IFERROR(__xludf.DUMMYFUNCTION("""COMPUTED_VALUE"""),"NATHALIE MERTENS")</f>
        <v>NATHALIE MERTENS</v>
      </c>
      <c r="AT232" s="4" t="str">
        <f>IFERROR(__xludf.DUMMYFUNCTION("""COMPUTED_VALUE"""),"MARIANA KATZ")</f>
        <v>MARIANA KATZ</v>
      </c>
      <c r="AU232" s="4" t="str">
        <f>IFERROR(__xludf.DUMMYFUNCTION("""COMPUTED_VALUE"""),"Ana")</f>
        <v>Ana</v>
      </c>
      <c r="AV232" s="4" t="str">
        <f>IFERROR(__xludf.DUMMYFUNCTION("""COMPUTED_VALUE"""),"Comer Fora-")</f>
        <v>Comer Fora-</v>
      </c>
      <c r="AW232" s="20" t="str">
        <f>IFERROR(__xludf.DUMMYFUNCTION("""COMPUTED_VALUE"""),"P e M - pipe")</f>
        <v>P e M - pipe</v>
      </c>
      <c r="AX232" s="4"/>
      <c r="AY232" s="4"/>
      <c r="AZ232" s="4" t="str">
        <f>IFERROR(__xludf.DUMMYFUNCTION("""COMPUTED_VALUE"""),"Brasileira")</f>
        <v>Brasileira</v>
      </c>
      <c r="BA232" s="4">
        <f>IFERROR(__xludf.DUMMYFUNCTION("""COMPUTED_VALUE"""),67.0)</f>
        <v>67</v>
      </c>
      <c r="BB232" s="4" t="str">
        <f>IFERROR(__xludf.DUMMYFUNCTION("""COMPUTED_VALUE"""),"Fast Casual - Multi-conceito")</f>
        <v>Fast Casual - Multi-conceito</v>
      </c>
      <c r="BC232" s="4" t="str">
        <f>IFERROR(__xludf.DUMMYFUNCTION("""COMPUTED_VALUE"""),"Regional")</f>
        <v>Regional</v>
      </c>
      <c r="BD232" s="4" t="str">
        <f>IFERROR(__xludf.DUMMYFUNCTION("""COMPUTED_VALUE"""),"Dado não disponível publicamente - Necessário Discovery")</f>
        <v>Dado não disponível publicamente - Necessário Discovery</v>
      </c>
      <c r="BE232" s="4">
        <f>IFERROR(__xludf.DUMMYFUNCTION("""COMPUTED_VALUE"""),70.0)</f>
        <v>70</v>
      </c>
      <c r="BF232" s="4">
        <f>IFERROR(__xludf.DUMMYFUNCTION("""COMPUTED_VALUE"""),0.75)</f>
        <v>0.75</v>
      </c>
      <c r="BG23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32" s="4" t="s">
        <v>74</v>
      </c>
      <c r="BI232" s="7">
        <v>1.0</v>
      </c>
    </row>
    <row r="233" hidden="1">
      <c r="A233" s="4" t="str">
        <f>IFERROR(__xludf.DUMMYFUNCTION("""COMPUTED_VALUE"""),"Alento")</f>
        <v>Alento</v>
      </c>
      <c r="B233" s="4" t="str">
        <f>IFERROR(__xludf.DUMMYFUNCTION("""COMPUTED_VALUE"""),"Lídia Esteves")</f>
        <v>Lídia Esteves</v>
      </c>
      <c r="C233" s="4" t="str">
        <f>IFERROR(__xludf.DUMMYFUNCTION("""COMPUTED_VALUE"""),"Gabriela Roma")</f>
        <v>Gabriela Roma</v>
      </c>
      <c r="D233" s="4" t="str">
        <f>IFERROR(__xludf.DUMMYFUNCTION("""COMPUTED_VALUE"""),"7. Piloto")</f>
        <v>7. Piloto</v>
      </c>
      <c r="E233" s="4" t="str">
        <f>IFERROR(__xludf.DUMMYFUNCTION("""COMPUTED_VALUE"""),"Projetos - Em piloto")</f>
        <v>Projetos - Em piloto</v>
      </c>
      <c r="F233" s="4" t="str">
        <f>IFERROR(__xludf.DUMMYFUNCTION("""COMPUTED_VALUE"""),"M")</f>
        <v>M</v>
      </c>
      <c r="G233" s="5">
        <f>IFERROR(__xludf.DUMMYFUNCTION("""COMPUTED_VALUE"""),46064.0)</f>
        <v>46064</v>
      </c>
      <c r="H233" s="4" t="str">
        <f>IFERROR(__xludf.DUMMYFUNCTION("""COMPUTED_VALUE"""),"Parceiro em laboratório, conduzido pela Rafa")</f>
        <v>Parceiro em laboratório, conduzido pela Rafa</v>
      </c>
      <c r="I233" s="4"/>
      <c r="J233" s="4"/>
      <c r="K233" s="6">
        <f>IFERROR(__xludf.DUMMYFUNCTION("""COMPUTED_VALUE"""),45889.0)</f>
        <v>45889</v>
      </c>
      <c r="L233" s="4"/>
      <c r="M233" s="6">
        <f>IFERROR(__xludf.DUMMYFUNCTION("""COMPUTED_VALUE"""),46064.465368888894)</f>
        <v>46064.46537</v>
      </c>
      <c r="N233" s="6">
        <f>IFERROR(__xludf.DUMMYFUNCTION("""COMPUTED_VALUE"""),46120.46990109954)</f>
        <v>46120.4699</v>
      </c>
      <c r="O233" s="6">
        <f>IFERROR(__xludf.DUMMYFUNCTION("""COMPUTED_VALUE"""),46120.46991364584)</f>
        <v>46120.46991</v>
      </c>
      <c r="P233" s="4"/>
      <c r="Q233" s="4"/>
      <c r="R233" s="4"/>
      <c r="S233" s="4"/>
      <c r="T233" s="4"/>
      <c r="U233" s="4"/>
      <c r="V233" s="4"/>
      <c r="W233" s="4"/>
      <c r="X233" s="4"/>
      <c r="Y233" s="4"/>
      <c r="Z233" s="4"/>
      <c r="AA233" s="4">
        <f>IFERROR(__xludf.DUMMYFUNCTION("""COMPUTED_VALUE"""),50.0)</f>
        <v>50</v>
      </c>
      <c r="AB233" s="4" t="str">
        <f>IFERROR(__xludf.DUMMYFUNCTION("""COMPUTED_VALUE"""),"NÃO")</f>
        <v>NÃO</v>
      </c>
      <c r="AC233" s="4" t="str">
        <f>IFERROR(__xludf.DUMMYFUNCTION("""COMPUTED_VALUE"""),"BP")</f>
        <v>BP</v>
      </c>
      <c r="AD233" s="4"/>
      <c r="AE233" s="4">
        <f>IFERROR(__xludf.DUMMYFUNCTION("""COMPUTED_VALUE"""),1.0)</f>
        <v>1</v>
      </c>
      <c r="AF233" s="4" t="str">
        <f>IFERROR(__xludf.DUMMYFUNCTION("""COMPUTED_VALUE"""),"abril")</f>
        <v>abril</v>
      </c>
      <c r="AG233" s="4">
        <f>IFERROR(__xludf.DUMMYFUNCTION("""COMPUTED_VALUE"""),45.0)</f>
        <v>45</v>
      </c>
      <c r="AH233" s="4"/>
      <c r="AI233" s="4"/>
      <c r="AJ233" s="4"/>
      <c r="AK233" s="4"/>
      <c r="AL233" s="4"/>
      <c r="AM233" s="4" t="str">
        <f>IFERROR(__xludf.DUMMYFUNCTION("""COMPUTED_VALUE"""),"FY26, FY27")</f>
        <v>FY26, FY27</v>
      </c>
      <c r="AN233" s="4"/>
      <c r="AO233" s="4">
        <f>IFERROR(__xludf.DUMMYFUNCTION("""COMPUTED_VALUE"""),152.0)</f>
        <v>152</v>
      </c>
      <c r="AP233" s="4" t="str">
        <f>IFERROR(__xludf.DUMMYFUNCTION("""COMPUTED_VALUE"""),"null")</f>
        <v>null</v>
      </c>
      <c r="AQ233" s="4" t="str">
        <f>IFERROR(__xludf.DUMMYFUNCTION("""COMPUTED_VALUE"""),"ANNA BALBINOT")</f>
        <v>ANNA BALBINOT</v>
      </c>
      <c r="AR233" s="4">
        <f>IFERROR(__xludf.DUMMYFUNCTION("""COMPUTED_VALUE"""),0.0)</f>
        <v>0</v>
      </c>
      <c r="AS233" s="4">
        <f>IFERROR(__xludf.DUMMYFUNCTION("""COMPUTED_VALUE"""),0.0)</f>
        <v>0</v>
      </c>
      <c r="AT233" s="4">
        <f>IFERROR(__xludf.DUMMYFUNCTION("""COMPUTED_VALUE"""),0.0)</f>
        <v>0</v>
      </c>
      <c r="AU233" s="4" t="str">
        <f>IFERROR(__xludf.DUMMYFUNCTION("""COMPUTED_VALUE"""),"Mariana")</f>
        <v>Mariana</v>
      </c>
      <c r="AV233" s="4">
        <f>IFERROR(__xludf.DUMMYFUNCTION("""COMPUTED_VALUE"""),0.0)</f>
        <v>0</v>
      </c>
      <c r="AW233" s="4">
        <f>IFERROR(__xludf.DUMMYFUNCTION("""COMPUTED_VALUE"""),0.0)</f>
        <v>0</v>
      </c>
      <c r="AX233" s="4">
        <f>IFERROR(__xludf.DUMMYFUNCTION("""COMPUTED_VALUE"""),0.0)</f>
        <v>0</v>
      </c>
      <c r="AY233" s="4"/>
      <c r="AZ233" s="4" t="str">
        <f>IFERROR(__xludf.DUMMYFUNCTION("""COMPUTED_VALUE"""),"Brasileira")</f>
        <v>Brasileira</v>
      </c>
      <c r="BA233" s="4">
        <f>IFERROR(__xludf.DUMMYFUNCTION("""COMPUTED_VALUE"""),73.0)</f>
        <v>73</v>
      </c>
      <c r="BB233" s="4" t="str">
        <f>IFERROR(__xludf.DUMMYFUNCTION("""COMPUTED_VALUE"""),"Fast Casual - Multi-conceito")</f>
        <v>Fast Casual - Multi-conceito</v>
      </c>
      <c r="BC233" s="4" t="str">
        <f>IFERROR(__xludf.DUMMYFUNCTION("""COMPUTED_VALUE"""),"Regional")</f>
        <v>Regional</v>
      </c>
      <c r="BD233" s="4" t="str">
        <f>IFERROR(__xludf.DUMMYFUNCTION("""COMPUTED_VALUE"""),"Dado não disponível publicamente - Necessário Discovery")</f>
        <v>Dado não disponível publicamente - Necessário Discovery</v>
      </c>
      <c r="BE233" s="4">
        <f>IFERROR(__xludf.DUMMYFUNCTION("""COMPUTED_VALUE"""),65.0)</f>
        <v>65</v>
      </c>
      <c r="BF233" s="4">
        <f>IFERROR(__xludf.DUMMYFUNCTION("""COMPUTED_VALUE"""),0.75)</f>
        <v>0.75</v>
      </c>
      <c r="BG23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33" s="4" t="s">
        <v>63</v>
      </c>
      <c r="BI233" s="7" t="s">
        <v>63</v>
      </c>
    </row>
    <row r="234">
      <c r="A234" s="4" t="str">
        <f>IFERROR(__xludf.DUMMYFUNCTION("""COMPUTED_VALUE"""),"Alife Nino (Grupo Drumattos)")</f>
        <v>Alife Nino (Grupo Drumattos)</v>
      </c>
      <c r="B234" s="4" t="str">
        <f>IFERROR(__xludf.DUMMYFUNCTION("""COMPUTED_VALUE"""),"Leonardo Roso")</f>
        <v>Leonardo Roso</v>
      </c>
      <c r="C234" s="4" t="str">
        <f>IFERROR(__xludf.DUMMYFUNCTION("""COMPUTED_VALUE"""),"Leonardo Roso")</f>
        <v>Leonardo Roso</v>
      </c>
      <c r="D234" s="4" t="str">
        <f>IFERROR(__xludf.DUMMYFUNCTION("""COMPUTED_VALUE"""),"6. Negociação")</f>
        <v>6. Negociação</v>
      </c>
      <c r="E234" s="4" t="str">
        <f>IFERROR(__xludf.DUMMYFUNCTION("""COMPUTED_VALUE"""),"Comercial - Em negociação de proposta")</f>
        <v>Comercial - Em negociação de proposta</v>
      </c>
      <c r="F234" s="4" t="str">
        <f>IFERROR(__xludf.DUMMYFUNCTION("""COMPUTED_VALUE"""),"G")</f>
        <v>G</v>
      </c>
      <c r="G234" s="5">
        <f>IFERROR(__xludf.DUMMYFUNCTION("""COMPUTED_VALUE"""),46154.0)</f>
        <v>46154</v>
      </c>
      <c r="H234" s="4" t="str">
        <f>IFERROR(__xludf.DUMMYFUNCTION("""COMPUTED_VALUE"""),"Samuel Henrique e Eirk Rantin em visita no escritório da Alife, ")</f>
        <v>Samuel Henrique e Eirk Rantin em visita no escritório da Alife, </v>
      </c>
      <c r="I234" s="6">
        <f>IFERROR(__xludf.DUMMYFUNCTION("""COMPUTED_VALUE"""),45899.0)</f>
        <v>45899</v>
      </c>
      <c r="J234" s="6">
        <f>IFERROR(__xludf.DUMMYFUNCTION("""COMPUTED_VALUE"""),45899.0)</f>
        <v>45899</v>
      </c>
      <c r="K234" s="6">
        <f>IFERROR(__xludf.DUMMYFUNCTION("""COMPUTED_VALUE"""),45899.0)</f>
        <v>45899</v>
      </c>
      <c r="L234" s="6">
        <f>IFERROR(__xludf.DUMMYFUNCTION("""COMPUTED_VALUE"""),46136.6169900463)</f>
        <v>46136.61699</v>
      </c>
      <c r="M234" s="6">
        <f>IFERROR(__xludf.DUMMYFUNCTION("""COMPUTED_VALUE"""),46154.61487561342)</f>
        <v>46154.61488</v>
      </c>
      <c r="N234" s="6">
        <f>IFERROR(__xludf.DUMMYFUNCTION("""COMPUTED_VALUE"""),46154.61497915509)</f>
        <v>46154.61498</v>
      </c>
      <c r="O234" s="4"/>
      <c r="P234" s="4"/>
      <c r="Q234" s="4"/>
      <c r="R234" s="4"/>
      <c r="S234" s="4"/>
      <c r="T234" s="4"/>
      <c r="U234" s="4"/>
      <c r="V234" s="4"/>
      <c r="W234" s="4"/>
      <c r="X234" s="4"/>
      <c r="Y234" s="4"/>
      <c r="Z234" s="4"/>
      <c r="AA234" s="4">
        <f>IFERROR(__xludf.DUMMYFUNCTION("""COMPUTED_VALUE"""),134.0)</f>
        <v>134</v>
      </c>
      <c r="AB234" s="4" t="str">
        <f>IFERROR(__xludf.DUMMYFUNCTION("""COMPUTED_VALUE"""),"-")</f>
        <v>-</v>
      </c>
      <c r="AC234" s="4" t="str">
        <f>IFERROR(__xludf.DUMMYFUNCTION("""COMPUTED_VALUE"""),"-")</f>
        <v>-</v>
      </c>
      <c r="AD234" s="4"/>
      <c r="AE234" s="4"/>
      <c r="AF234" s="4"/>
      <c r="AG234" s="4"/>
      <c r="AH234" s="4"/>
      <c r="AI234" s="4"/>
      <c r="AJ234" s="4"/>
      <c r="AK234" s="4"/>
      <c r="AL234" s="4"/>
      <c r="AM234" s="4" t="str">
        <f>IFERROR(__xludf.DUMMYFUNCTION("""COMPUTED_VALUE"""),"FY26, FY27")</f>
        <v>FY26, FY27</v>
      </c>
      <c r="AN234" s="4"/>
      <c r="AO234" s="4">
        <f>IFERROR(__xludf.DUMMYFUNCTION("""COMPUTED_VALUE"""),61.0)</f>
        <v>61</v>
      </c>
      <c r="AP234" s="4">
        <f>IFERROR(__xludf.DUMMYFUNCTION("""COMPUTED_VALUE"""),0.0)</f>
        <v>0</v>
      </c>
      <c r="AQ234" s="4">
        <f>IFERROR(__xludf.DUMMYFUNCTION("""COMPUTED_VALUE"""),0.0)</f>
        <v>0</v>
      </c>
      <c r="AR234" s="4">
        <f>IFERROR(__xludf.DUMMYFUNCTION("""COMPUTED_VALUE"""),0.0)</f>
        <v>0</v>
      </c>
      <c r="AS234" s="4">
        <f>IFERROR(__xludf.DUMMYFUNCTION("""COMPUTED_VALUE"""),0.0)</f>
        <v>0</v>
      </c>
      <c r="AT234" s="4">
        <f>IFERROR(__xludf.DUMMYFUNCTION("""COMPUTED_VALUE"""),0.0)</f>
        <v>0</v>
      </c>
      <c r="AU234" s="4" t="str">
        <f>IFERROR(__xludf.DUMMYFUNCTION("""COMPUTED_VALUE"""),"Emerson")</f>
        <v>Emerson</v>
      </c>
      <c r="AV234" s="4" t="str">
        <f>IFERROR(__xludf.DUMMYFUNCTION("""COMPUTED_VALUE"""),"Comer Fora-")</f>
        <v>Comer Fora-</v>
      </c>
      <c r="AW234" s="20" t="str">
        <f>IFERROR(__xludf.DUMMYFUNCTION("""COMPUTED_VALUE"""),"")</f>
        <v/>
      </c>
      <c r="AX234" s="4"/>
      <c r="AY234" s="4">
        <f>IFERROR(__xludf.DUMMYFUNCTION("""COMPUTED_VALUE"""),0.0)</f>
        <v>0</v>
      </c>
      <c r="AZ234" s="4" t="str">
        <f>IFERROR(__xludf.DUMMYFUNCTION("""COMPUTED_VALUE"""),"NA")</f>
        <v>NA</v>
      </c>
      <c r="BA234" s="4">
        <f>IFERROR(__xludf.DUMMYFUNCTION("""COMPUTED_VALUE"""),93.0)</f>
        <v>93</v>
      </c>
      <c r="BB234" s="4" t="str">
        <f>IFERROR(__xludf.DUMMYFUNCTION("""COMPUTED_VALUE"""),"Grupo Multi-marca")</f>
        <v>Grupo Multi-marca</v>
      </c>
      <c r="BC234" s="4" t="str">
        <f>IFERROR(__xludf.DUMMYFUNCTION("""COMPUTED_VALUE"""),"Rio de Janeiro/RJ")</f>
        <v>Rio de Janeiro/RJ</v>
      </c>
      <c r="BD234" s="4" t="str">
        <f>IFERROR(__xludf.DUMMYFUNCTION("""COMPUTED_VALUE"""),"Dado não disponível publicamente - Necessário Discovery")</f>
        <v>Dado não disponível publicamente - Necessário Discovery</v>
      </c>
      <c r="BE234" s="4">
        <f>IFERROR(__xludf.DUMMYFUNCTION("""COMPUTED_VALUE"""),45.0)</f>
        <v>45</v>
      </c>
      <c r="BF234" s="4">
        <f>IFERROR(__xludf.DUMMYFUNCTION("""COMPUTED_VALUE"""),0.55)</f>
        <v>0.55</v>
      </c>
      <c r="BG234"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234" s="4" t="s">
        <v>63</v>
      </c>
      <c r="BI234" s="7" t="s">
        <v>63</v>
      </c>
    </row>
    <row r="235" hidden="1">
      <c r="A235" s="4" t="str">
        <f>IFERROR(__xludf.DUMMYFUNCTION("""COMPUTED_VALUE"""),"All Natural")</f>
        <v>All Natural</v>
      </c>
      <c r="B235" s="4" t="str">
        <f>IFERROR(__xludf.DUMMYFUNCTION("""COMPUTED_VALUE"""),"Lídia Esteves")</f>
        <v>Lídia Esteves</v>
      </c>
      <c r="C235" s="4" t="str">
        <f>IFERROR(__xludf.DUMMYFUNCTION("""COMPUTED_VALUE"""),"Gabriela Roma")</f>
        <v>Gabriela Roma</v>
      </c>
      <c r="D235" s="4" t="str">
        <f>IFERROR(__xludf.DUMMYFUNCTION("""COMPUTED_VALUE"""),"3. Apresentação")</f>
        <v>3. Apresentação</v>
      </c>
      <c r="E235" s="4" t="str">
        <f>IFERROR(__xludf.DUMMYFUNCTION("""COMPUTED_VALUE"""),"Comercial - Contato realizado com parceiro")</f>
        <v>Comercial - Contato realizado com parceiro</v>
      </c>
      <c r="F235" s="4" t="str">
        <f>IFERROR(__xludf.DUMMYFUNCTION("""COMPUTED_VALUE"""),"P")</f>
        <v>P</v>
      </c>
      <c r="G235" s="5">
        <f>IFERROR(__xludf.DUMMYFUNCTION("""COMPUTED_VALUE"""),46154.0)</f>
        <v>46154</v>
      </c>
      <c r="H235" s="4" t="str">
        <f>IFERROR(__xludf.DUMMYFUNCTION("""COMPUTED_VALUE"""),"visita presencial para apresentar salão")</f>
        <v>visita presencial para apresentar salão</v>
      </c>
      <c r="I235" s="6">
        <f>IFERROR(__xludf.DUMMYFUNCTION("""COMPUTED_VALUE"""),46121.68344146991)</f>
        <v>46121.68344</v>
      </c>
      <c r="J235" s="6">
        <f>IFERROR(__xludf.DUMMYFUNCTION("""COMPUTED_VALUE"""),46153.688637326384)</f>
        <v>46153.68864</v>
      </c>
      <c r="K235" s="6">
        <f>IFERROR(__xludf.DUMMYFUNCTION("""COMPUTED_VALUE"""),46153.68874715277)</f>
        <v>46153.68875</v>
      </c>
      <c r="L235" s="4"/>
      <c r="M235" s="4"/>
      <c r="N235" s="4"/>
      <c r="O235" s="4"/>
      <c r="P235" s="4"/>
      <c r="Q235" s="4"/>
      <c r="R235" s="4"/>
      <c r="S235" s="4"/>
      <c r="T235" s="4"/>
      <c r="U235" s="4"/>
      <c r="V235" s="4"/>
      <c r="W235" s="4"/>
      <c r="X235" s="4"/>
      <c r="Y235" s="4"/>
      <c r="Z235" s="4"/>
      <c r="AA235" s="4">
        <f>IFERROR(__xludf.DUMMYFUNCTION("""COMPUTED_VALUE"""),5.0)</f>
        <v>5</v>
      </c>
      <c r="AB235" s="4" t="str">
        <f>IFERROR(__xludf.DUMMYFUNCTION("""COMPUTED_VALUE"""),"-")</f>
        <v>-</v>
      </c>
      <c r="AC235" s="4" t="str">
        <f>IFERROR(__xludf.DUMMYFUNCTION("""COMPUTED_VALUE"""),"-")</f>
        <v>-</v>
      </c>
      <c r="AD235" s="4"/>
      <c r="AE235" s="4"/>
      <c r="AF235" s="4"/>
      <c r="AG235" s="4"/>
      <c r="AH235" s="4"/>
      <c r="AI235" s="4"/>
      <c r="AJ235" s="4"/>
      <c r="AK235" s="4"/>
      <c r="AL235" s="4"/>
      <c r="AM235" s="4" t="str">
        <f>IFERROR(__xludf.DUMMYFUNCTION("""COMPUTED_VALUE"""),"FY26, FY27")</f>
        <v>FY26, FY27</v>
      </c>
      <c r="AN235" s="4"/>
      <c r="AO235" s="4">
        <f>IFERROR(__xludf.DUMMYFUNCTION("""COMPUTED_VALUE"""),61.0)</f>
        <v>61</v>
      </c>
      <c r="AP235" s="4" t="str">
        <f>IFERROR(__xludf.DUMMYFUNCTION("""COMPUTED_VALUE"""),"PR")</f>
        <v>PR</v>
      </c>
      <c r="AQ235" s="4" t="str">
        <f>IFERROR(__xludf.DUMMYFUNCTION("""COMPUTED_VALUE"""),"PAULA VERDASCA")</f>
        <v>PAULA VERDASCA</v>
      </c>
      <c r="AR235" s="4" t="str">
        <f>IFERROR(__xludf.DUMMYFUNCTION("""COMPUTED_VALUE"""),"FERNANDA ABRANTES")</f>
        <v>FERNANDA ABRANTES</v>
      </c>
      <c r="AS235" s="4" t="str">
        <f>IFERROR(__xludf.DUMMYFUNCTION("""COMPUTED_VALUE"""),"FABIO DONATO")</f>
        <v>FABIO DONATO</v>
      </c>
      <c r="AT235" s="4" t="str">
        <f>IFERROR(__xludf.DUMMYFUNCTION("""COMPUTED_VALUE"""),"MURILO NAGASHIMA")</f>
        <v>MURILO NAGASHIMA</v>
      </c>
      <c r="AU235" s="4" t="str">
        <f>IFERROR(__xludf.DUMMYFUNCTION("""COMPUTED_VALUE"""),"Lídia / Emerson")</f>
        <v>Lídia / Emerson</v>
      </c>
      <c r="AV235" s="4">
        <f>IFERROR(__xludf.DUMMYFUNCTION("""COMPUTED_VALUE"""),0.0)</f>
        <v>0</v>
      </c>
      <c r="AW235" s="4">
        <f>IFERROR(__xludf.DUMMYFUNCTION("""COMPUTED_VALUE"""),0.0)</f>
        <v>0</v>
      </c>
      <c r="AX235" s="4">
        <f>IFERROR(__xludf.DUMMYFUNCTION("""COMPUTED_VALUE"""),0.0)</f>
        <v>0</v>
      </c>
      <c r="AY235" s="4"/>
      <c r="AZ235" s="4" t="str">
        <f>IFERROR(__xludf.DUMMYFUNCTION("""COMPUTED_VALUE"""),"Saudável")</f>
        <v>Saudável</v>
      </c>
      <c r="BA235" s="4">
        <f>IFERROR(__xludf.DUMMYFUNCTION("""COMPUTED_VALUE"""),52.0)</f>
        <v>52</v>
      </c>
      <c r="BB235" s="4" t="str">
        <f>IFERROR(__xludf.DUMMYFUNCTION("""COMPUTED_VALUE"""),"Fast Casual - Multi-conceito")</f>
        <v>Fast Casual - Multi-conceito</v>
      </c>
      <c r="BC235" s="4" t="str">
        <f>IFERROR(__xludf.DUMMYFUNCTION("""COMPUTED_VALUE"""),"Regional")</f>
        <v>Regional</v>
      </c>
      <c r="BD235" s="4" t="str">
        <f>IFERROR(__xludf.DUMMYFUNCTION("""COMPUTED_VALUE"""),"Dado não disponível publicamente - Necessário Discovery")</f>
        <v>Dado não disponível publicamente - Necessário Discovery</v>
      </c>
      <c r="BE235" s="4">
        <f>IFERROR(__xludf.DUMMYFUNCTION("""COMPUTED_VALUE"""),70.0)</f>
        <v>70</v>
      </c>
      <c r="BF235" s="4">
        <f>IFERROR(__xludf.DUMMYFUNCTION("""COMPUTED_VALUE"""),0.75)</f>
        <v>0.75</v>
      </c>
      <c r="BG23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35" s="4" t="s">
        <v>116</v>
      </c>
      <c r="BI235" s="7">
        <v>0.8888888888888888</v>
      </c>
    </row>
    <row r="236">
      <c r="A236" s="4" t="str">
        <f>IFERROR(__xludf.DUMMYFUNCTION("""COMPUTED_VALUE"""),"American Cookies")</f>
        <v>American Cookies</v>
      </c>
      <c r="B236" s="4" t="str">
        <f>IFERROR(__xludf.DUMMYFUNCTION("""COMPUTED_VALUE"""),"Lídia Esteves")</f>
        <v>Lídia Esteves</v>
      </c>
      <c r="C236" s="4" t="str">
        <f>IFERROR(__xludf.DUMMYFUNCTION("""COMPUTED_VALUE"""),"Gabriela Roma")</f>
        <v>Gabriela Roma</v>
      </c>
      <c r="D236" s="4" t="str">
        <f>IFERROR(__xludf.DUMMYFUNCTION("""COMPUTED_VALUE"""),"7. Piloto")</f>
        <v>7. Piloto</v>
      </c>
      <c r="E236" s="4" t="str">
        <f>IFERROR(__xludf.DUMMYFUNCTION("""COMPUTED_VALUE"""),"Projetos - Em piloto")</f>
        <v>Projetos - Em piloto</v>
      </c>
      <c r="F236" s="4" t="str">
        <f>IFERROR(__xludf.DUMMYFUNCTION("""COMPUTED_VALUE"""),"G")</f>
        <v>G</v>
      </c>
      <c r="G236" s="5">
        <f>IFERROR(__xludf.DUMMYFUNCTION("""COMPUTED_VALUE"""),46076.0)</f>
        <v>46076</v>
      </c>
      <c r="H236" s="4" t="str">
        <f>IFERROR(__xludf.DUMMYFUNCTION("""COMPUTED_VALUE"""),"Parceiro pediu para sair do laboratorio e ir para piloto em loja, estamos negociando prazos. Fup 02/03")</f>
        <v>Parceiro pediu para sair do laboratorio e ir para piloto em loja, estamos negociando prazos. Fup 02/03</v>
      </c>
      <c r="I236" s="4"/>
      <c r="J236" s="4"/>
      <c r="K236" s="6">
        <f>IFERROR(__xludf.DUMMYFUNCTION("""COMPUTED_VALUE"""),45899.0)</f>
        <v>45899</v>
      </c>
      <c r="L236" s="4"/>
      <c r="M236" s="4"/>
      <c r="N236" s="4"/>
      <c r="O236" s="4"/>
      <c r="P236" s="4"/>
      <c r="Q236" s="4"/>
      <c r="R236" s="4"/>
      <c r="S236" s="4"/>
      <c r="T236" s="4"/>
      <c r="U236" s="4"/>
      <c r="V236" s="4"/>
      <c r="W236" s="4"/>
      <c r="X236" s="4"/>
      <c r="Y236" s="4"/>
      <c r="Z236" s="4"/>
      <c r="AA236" s="4">
        <f>IFERROR(__xludf.DUMMYFUNCTION("""COMPUTED_VALUE"""),70.0)</f>
        <v>70</v>
      </c>
      <c r="AB236" s="4" t="str">
        <f>IFERROR(__xludf.DUMMYFUNCTION("""COMPUTED_VALUE"""),"NÃO")</f>
        <v>NÃO</v>
      </c>
      <c r="AC236" s="4" t="str">
        <f>IFERROR(__xludf.DUMMYFUNCTION("""COMPUTED_VALUE"""),"BP")</f>
        <v>BP</v>
      </c>
      <c r="AD236" s="4"/>
      <c r="AE236" s="4"/>
      <c r="AF236" s="4"/>
      <c r="AG236" s="4"/>
      <c r="AH236" s="4"/>
      <c r="AI236" s="4"/>
      <c r="AJ236" s="4"/>
      <c r="AK236" s="4"/>
      <c r="AL236" s="4"/>
      <c r="AM236" s="4" t="str">
        <f>IFERROR(__xludf.DUMMYFUNCTION("""COMPUTED_VALUE"""),"FY26, FY27")</f>
        <v>FY26, FY27</v>
      </c>
      <c r="AN236" s="4"/>
      <c r="AO236" s="4">
        <f>IFERROR(__xludf.DUMMYFUNCTION("""COMPUTED_VALUE"""),140.0)</f>
        <v>140</v>
      </c>
      <c r="AP236" s="4" t="str">
        <f>IFERROR(__xludf.DUMMYFUNCTION("""COMPUTED_VALUE"""),"SP")</f>
        <v>SP</v>
      </c>
      <c r="AQ236" s="4" t="str">
        <f>IFERROR(__xludf.DUMMYFUNCTION("""COMPUTED_VALUE"""),"CAROLINA SOUZA")</f>
        <v>CAROLINA SOUZA</v>
      </c>
      <c r="AR236" s="4" t="str">
        <f>IFERROR(__xludf.DUMMYFUNCTION("""COMPUTED_VALUE"""),"LUIZA PESSOA")</f>
        <v>LUIZA PESSOA</v>
      </c>
      <c r="AS236" s="4" t="str">
        <f>IFERROR(__xludf.DUMMYFUNCTION("""COMPUTED_VALUE"""),"VINICIUS MARTINS")</f>
        <v>VINICIUS MARTINS</v>
      </c>
      <c r="AT236" s="4" t="str">
        <f>IFERROR(__xludf.DUMMYFUNCTION("""COMPUTED_VALUE"""),"CAROLINA SOUZA")</f>
        <v>CAROLINA SOUZA</v>
      </c>
      <c r="AU236" s="4" t="str">
        <f>IFERROR(__xludf.DUMMYFUNCTION("""COMPUTED_VALUE"""),"Lídia")</f>
        <v>Lídia</v>
      </c>
      <c r="AV236" s="4">
        <f>IFERROR(__xludf.DUMMYFUNCTION("""COMPUTED_VALUE"""),0.0)</f>
        <v>0</v>
      </c>
      <c r="AW236" s="4">
        <f>IFERROR(__xludf.DUMMYFUNCTION("""COMPUTED_VALUE"""),0.0)</f>
        <v>0</v>
      </c>
      <c r="AX236" s="4">
        <f>IFERROR(__xludf.DUMMYFUNCTION("""COMPUTED_VALUE"""),0.0)</f>
        <v>0</v>
      </c>
      <c r="AY236" s="4"/>
      <c r="AZ236" s="4" t="str">
        <f>IFERROR(__xludf.DUMMYFUNCTION("""COMPUTED_VALUE"""),"Doces &amp; Bolos")</f>
        <v>Doces &amp; Bolos</v>
      </c>
      <c r="BA236" s="4">
        <f>IFERROR(__xludf.DUMMYFUNCTION("""COMPUTED_VALUE"""),52.0)</f>
        <v>52</v>
      </c>
      <c r="BB236" s="4" t="str">
        <f>IFERROR(__xludf.DUMMYFUNCTION("""COMPUTED_VALUE"""),"Varejo - Confeitaria")</f>
        <v>Varejo - Confeitaria</v>
      </c>
      <c r="BC236" s="4" t="str">
        <f>IFERROR(__xludf.DUMMYFUNCTION("""COMPUTED_VALUE"""),"Brasília/DF")</f>
        <v>Brasília/DF</v>
      </c>
      <c r="BD236" s="4" t="str">
        <f>IFERROR(__xludf.DUMMYFUNCTION("""COMPUTED_VALUE"""),"Dado não disponível publicamente - Necessário Discovery")</f>
        <v>Dado não disponível publicamente - Necessário Discovery</v>
      </c>
      <c r="BE236" s="4">
        <f>IFERROR(__xludf.DUMMYFUNCTION("""COMPUTED_VALUE"""),40.0)</f>
        <v>40</v>
      </c>
      <c r="BF236" s="4">
        <f>IFERROR(__xludf.DUMMYFUNCTION("""COMPUTED_VALUE"""),0.5)</f>
        <v>0.5</v>
      </c>
      <c r="BG236"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236" s="4" t="s">
        <v>87</v>
      </c>
      <c r="BI236" s="7">
        <v>0.8888888888888888</v>
      </c>
    </row>
    <row r="237" hidden="1">
      <c r="A237" s="4" t="str">
        <f>IFERROR(__xludf.DUMMYFUNCTION("""COMPUTED_VALUE"""),"Amir")</f>
        <v>Amir</v>
      </c>
      <c r="B237" s="4" t="str">
        <f>IFERROR(__xludf.DUMMYFUNCTION("""COMPUTED_VALUE"""),"Lídia Esteves")</f>
        <v>Lídia Esteves</v>
      </c>
      <c r="C237" s="4" t="str">
        <f>IFERROR(__xludf.DUMMYFUNCTION("""COMPUTED_VALUE"""),"Gabriela Roma")</f>
        <v>Gabriela Roma</v>
      </c>
      <c r="D237" s="4" t="str">
        <f>IFERROR(__xludf.DUMMYFUNCTION("""COMPUTED_VALUE"""),"1. Iniciado")</f>
        <v>1. Iniciado</v>
      </c>
      <c r="E237" s="4" t="str">
        <f>IFERROR(__xludf.DUMMYFUNCTION("""COMPUTED_VALUE"""),"Delivery - Conciliação agenda com parceiro")</f>
        <v>Delivery - Conciliação agenda com parceiro</v>
      </c>
      <c r="F237" s="4" t="str">
        <f>IFERROR(__xludf.DUMMYFUNCTION("""COMPUTED_VALUE"""),"P")</f>
        <v>P</v>
      </c>
      <c r="G237" s="5">
        <f>IFERROR(__xludf.DUMMYFUNCTION("""COMPUTED_VALUE"""),46076.0)</f>
        <v>46076</v>
      </c>
      <c r="H237" s="4" t="str">
        <f>IFERROR(__xludf.DUMMYFUNCTION("""COMPUTED_VALUE"""),"Mandei mensagem pelo whats para cliente e pedi apoio do KA Alana, aguardando devolutiva.")</f>
        <v>Mandei mensagem pelo whats para cliente e pedi apoio do KA Alana, aguardando devolutiva.</v>
      </c>
      <c r="I237" s="6">
        <f>IFERROR(__xludf.DUMMYFUNCTION("""COMPUTED_VALUE"""),46153.69420431713)</f>
        <v>46153.6942</v>
      </c>
      <c r="J237" s="4"/>
      <c r="K237" s="4"/>
      <c r="L237" s="4"/>
      <c r="M237" s="4"/>
      <c r="N237" s="4"/>
      <c r="O237" s="4"/>
      <c r="P237" s="4"/>
      <c r="Q237" s="4"/>
      <c r="R237" s="4"/>
      <c r="S237" s="4"/>
      <c r="T237" s="4"/>
      <c r="U237" s="4"/>
      <c r="V237" s="4"/>
      <c r="W237" s="4"/>
      <c r="X237" s="4"/>
      <c r="Y237" s="4"/>
      <c r="Z237" s="4"/>
      <c r="AA237" s="4">
        <f>IFERROR(__xludf.DUMMYFUNCTION("""COMPUTED_VALUE"""),1.0)</f>
        <v>1</v>
      </c>
      <c r="AB237" s="4" t="str">
        <f>IFERROR(__xludf.DUMMYFUNCTION("""COMPUTED_VALUE"""),"NÃO")</f>
        <v>NÃO</v>
      </c>
      <c r="AC237" s="4" t="str">
        <f>IFERROR(__xludf.DUMMYFUNCTION("""COMPUTED_VALUE"""),"Não BP")</f>
        <v>Não BP</v>
      </c>
      <c r="AD237" s="4"/>
      <c r="AE237" s="4"/>
      <c r="AF237" s="4"/>
      <c r="AG237" s="4"/>
      <c r="AH237" s="4"/>
      <c r="AI237" s="4"/>
      <c r="AJ237" s="4"/>
      <c r="AK237" s="4"/>
      <c r="AL237" s="4"/>
      <c r="AM237" s="4" t="str">
        <f>IFERROR(__xludf.DUMMYFUNCTION("""COMPUTED_VALUE"""),"FY26, FY27")</f>
        <v>FY26, FY27</v>
      </c>
      <c r="AN237" s="4"/>
      <c r="AO237" s="4">
        <f>IFERROR(__xludf.DUMMYFUNCTION("""COMPUTED_VALUE"""),140.0)</f>
        <v>140</v>
      </c>
      <c r="AP237" s="4" t="str">
        <f>IFERROR(__xludf.DUMMYFUNCTION("""COMPUTED_VALUE"""),"RJ")</f>
        <v>RJ</v>
      </c>
      <c r="AQ237" s="4" t="str">
        <f>IFERROR(__xludf.DUMMYFUNCTION("""COMPUTED_VALUE"""),"THIAGO FERNANDES")</f>
        <v>THIAGO FERNANDES</v>
      </c>
      <c r="AR237" s="4" t="str">
        <f>IFERROR(__xludf.DUMMYFUNCTION("""COMPUTED_VALUE"""),"ALANA SANTIAGO")</f>
        <v>ALANA SANTIAGO</v>
      </c>
      <c r="AS237" s="4" t="str">
        <f>IFERROR(__xludf.DUMMYFUNCTION("""COMPUTED_VALUE"""),"NATHALIE MERTENS")</f>
        <v>NATHALIE MERTENS</v>
      </c>
      <c r="AT237" s="4" t="str">
        <f>IFERROR(__xludf.DUMMYFUNCTION("""COMPUTED_VALUE"""),"MARIANA KATZ")</f>
        <v>MARIANA KATZ</v>
      </c>
      <c r="AU237" s="4" t="str">
        <f>IFERROR(__xludf.DUMMYFUNCTION("""COMPUTED_VALUE"""),"Iza")</f>
        <v>Iza</v>
      </c>
      <c r="AV237" s="4">
        <f>IFERROR(__xludf.DUMMYFUNCTION("""COMPUTED_VALUE"""),0.0)</f>
        <v>0</v>
      </c>
      <c r="AW237" s="4">
        <f>IFERROR(__xludf.DUMMYFUNCTION("""COMPUTED_VALUE"""),0.0)</f>
        <v>0</v>
      </c>
      <c r="AX237" s="4">
        <f>IFERROR(__xludf.DUMMYFUNCTION("""COMPUTED_VALUE"""),0.0)</f>
        <v>0</v>
      </c>
      <c r="AY237" s="4"/>
      <c r="AZ237" s="4" t="str">
        <f>IFERROR(__xludf.DUMMYFUNCTION("""COMPUTED_VALUE"""),"Lanches")</f>
        <v>Lanches</v>
      </c>
      <c r="BA237" s="4">
        <f>IFERROR(__xludf.DUMMYFUNCTION("""COMPUTED_VALUE"""),69.0)</f>
        <v>69</v>
      </c>
      <c r="BB237" s="4" t="str">
        <f>IFERROR(__xludf.DUMMYFUNCTION("""COMPUTED_VALUE"""),"Fast Casual - Multi-conceito")</f>
        <v>Fast Casual - Multi-conceito</v>
      </c>
      <c r="BC237" s="4" t="str">
        <f>IFERROR(__xludf.DUMMYFUNCTION("""COMPUTED_VALUE"""),"Sul")</f>
        <v>Sul</v>
      </c>
      <c r="BD237" s="4" t="str">
        <f>IFERROR(__xludf.DUMMYFUNCTION("""COMPUTED_VALUE"""),"Dado não disponível publicamente - Necessário Discovery")</f>
        <v>Dado não disponível publicamente - Necessário Discovery</v>
      </c>
      <c r="BE237" s="4">
        <f>IFERROR(__xludf.DUMMYFUNCTION("""COMPUTED_VALUE"""),70.0)</f>
        <v>70</v>
      </c>
      <c r="BF237" s="4">
        <f>IFERROR(__xludf.DUMMYFUNCTION("""COMPUTED_VALUE"""),0.75)</f>
        <v>0.75</v>
      </c>
      <c r="BG23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37" s="4" t="s">
        <v>63</v>
      </c>
      <c r="BI237" s="7" t="s">
        <v>63</v>
      </c>
    </row>
    <row r="238" hidden="1">
      <c r="A238" s="4" t="str">
        <f>IFERROR(__xludf.DUMMYFUNCTION("""COMPUTED_VALUE"""),"Andiamo")</f>
        <v>Andiamo</v>
      </c>
      <c r="B238" s="4" t="str">
        <f>IFERROR(__xludf.DUMMYFUNCTION("""COMPUTED_VALUE"""),"João Biagiotti")</f>
        <v>João Biagiotti</v>
      </c>
      <c r="C238" s="4" t="str">
        <f>IFERROR(__xludf.DUMMYFUNCTION("""COMPUTED_VALUE"""),"Diego Santos")</f>
        <v>Diego Santos</v>
      </c>
      <c r="D238" s="4" t="str">
        <f>IFERROR(__xludf.DUMMYFUNCTION("""COMPUTED_VALUE"""),"1. Iniciado")</f>
        <v>1. Iniciado</v>
      </c>
      <c r="E238" s="4" t="str">
        <f>IFERROR(__xludf.DUMMYFUNCTION("""COMPUTED_VALUE"""),"Delivery - Aguardando retorno executivo")</f>
        <v>Delivery - Aguardando retorno executivo</v>
      </c>
      <c r="F238" s="4" t="str">
        <f>IFERROR(__xludf.DUMMYFUNCTION("""COMPUTED_VALUE"""),"P")</f>
        <v>P</v>
      </c>
      <c r="G238" s="5">
        <f>IFERROR(__xludf.DUMMYFUNCTION("""COMPUTED_VALUE"""),46120.0)</f>
        <v>46120</v>
      </c>
      <c r="H238" s="4" t="str">
        <f>IFERROR(__xludf.DUMMYFUNCTION("""COMPUTED_VALUE"""),"Entender com Executivo de delivery se temos oportunidade de agenda com o lead, já veio de outro executivo. ")</f>
        <v>Entender com Executivo de delivery se temos oportunidade de agenda com o lead, já veio de outro executivo. </v>
      </c>
      <c r="I238" s="6">
        <f>IFERROR(__xludf.DUMMYFUNCTION("""COMPUTED_VALUE"""),46121.35925645834)</f>
        <v>46121.35926</v>
      </c>
      <c r="J238" s="4"/>
      <c r="K238" s="4"/>
      <c r="L238" s="4"/>
      <c r="M238" s="4"/>
      <c r="N238" s="4"/>
      <c r="O238" s="4"/>
      <c r="P238" s="4"/>
      <c r="Q238" s="4"/>
      <c r="R238" s="4"/>
      <c r="S238" s="4"/>
      <c r="T238" s="4"/>
      <c r="U238" s="4"/>
      <c r="V238" s="4"/>
      <c r="W238" s="4"/>
      <c r="X238" s="4"/>
      <c r="Y238" s="4"/>
      <c r="Z238" s="4"/>
      <c r="AA238" s="4">
        <f>IFERROR(__xludf.DUMMYFUNCTION("""COMPUTED_VALUE"""),8.0)</f>
        <v>8</v>
      </c>
      <c r="AB238" s="4" t="str">
        <f>IFERROR(__xludf.DUMMYFUNCTION("""COMPUTED_VALUE"""),"NÃO")</f>
        <v>NÃO</v>
      </c>
      <c r="AC238" s="4" t="str">
        <f>IFERROR(__xludf.DUMMYFUNCTION("""COMPUTED_VALUE"""),"Não BP")</f>
        <v>Não BP</v>
      </c>
      <c r="AD238" s="4"/>
      <c r="AE238" s="4"/>
      <c r="AF238" s="4"/>
      <c r="AG238" s="4"/>
      <c r="AH238" s="4"/>
      <c r="AI238" s="4"/>
      <c r="AJ238" s="4"/>
      <c r="AK238" s="4"/>
      <c r="AL238" s="4"/>
      <c r="AM238" s="4" t="str">
        <f>IFERROR(__xludf.DUMMYFUNCTION("""COMPUTED_VALUE"""),"FY26, FY27")</f>
        <v>FY26, FY27</v>
      </c>
      <c r="AN238" s="4" t="str">
        <f>IFERROR(__xludf.DUMMYFUNCTION("""COMPUTED_VALUE"""),"Comer Fora")</f>
        <v>Comer Fora</v>
      </c>
      <c r="AO238" s="4">
        <f>IFERROR(__xludf.DUMMYFUNCTION("""COMPUTED_VALUE"""),95.0)</f>
        <v>95</v>
      </c>
      <c r="AP238" s="4" t="str">
        <f>IFERROR(__xludf.DUMMYFUNCTION("""COMPUTED_VALUE"""),"SP")</f>
        <v>SP</v>
      </c>
      <c r="AQ238" s="4" t="str">
        <f>IFERROR(__xludf.DUMMYFUNCTION("""COMPUTED_VALUE"""),"JULIA TAKEMOTO")</f>
        <v>JULIA TAKEMOTO</v>
      </c>
      <c r="AR238" s="4" t="str">
        <f>IFERROR(__xludf.DUMMYFUNCTION("""COMPUTED_VALUE"""),"LIMA VINICIUS")</f>
        <v>LIMA VINICIUS</v>
      </c>
      <c r="AS238" s="4" t="str">
        <f>IFERROR(__xludf.DUMMYFUNCTION("""COMPUTED_VALUE"""),"NATHALIE MERTENS")</f>
        <v>NATHALIE MERTENS</v>
      </c>
      <c r="AT238" s="4" t="str">
        <f>IFERROR(__xludf.DUMMYFUNCTION("""COMPUTED_VALUE"""),"MARIANA KATZ")</f>
        <v>MARIANA KATZ</v>
      </c>
      <c r="AU238" s="4" t="str">
        <f>IFERROR(__xludf.DUMMYFUNCTION("""COMPUTED_VALUE"""),"Ana")</f>
        <v>Ana</v>
      </c>
      <c r="AV238" s="4" t="str">
        <f>IFERROR(__xludf.DUMMYFUNCTION("""COMPUTED_VALUE"""),"Comer Fora-")</f>
        <v>Comer Fora-</v>
      </c>
      <c r="AW238" s="20" t="str">
        <f>IFERROR(__xludf.DUMMYFUNCTION("""COMPUTED_VALUE"""),"P e M - pipe")</f>
        <v>P e M - pipe</v>
      </c>
      <c r="AX238" s="4"/>
      <c r="AY238" s="4"/>
      <c r="AZ238" s="4" t="str">
        <f>IFERROR(__xludf.DUMMYFUNCTION("""COMPUTED_VALUE"""),"Italiana")</f>
        <v>Italiana</v>
      </c>
      <c r="BA238" s="4">
        <f>IFERROR(__xludf.DUMMYFUNCTION("""COMPUTED_VALUE"""),68.0)</f>
        <v>68</v>
      </c>
      <c r="BB238" s="4" t="str">
        <f>IFERROR(__xludf.DUMMYFUNCTION("""COMPUTED_VALUE"""),"Fast Casual - Multi-conceito")</f>
        <v>Fast Casual - Multi-conceito</v>
      </c>
      <c r="BC238" s="4" t="str">
        <f>IFERROR(__xludf.DUMMYFUNCTION("""COMPUTED_VALUE"""),"Interior SP")</f>
        <v>Interior SP</v>
      </c>
      <c r="BD238" s="4" t="str">
        <f>IFERROR(__xludf.DUMMYFUNCTION("""COMPUTED_VALUE"""),"Dado não disponível publicamente - Necessário Discovery")</f>
        <v>Dado não disponível publicamente - Necessário Discovery</v>
      </c>
      <c r="BE238" s="4">
        <f>IFERROR(__xludf.DUMMYFUNCTION("""COMPUTED_VALUE"""),70.0)</f>
        <v>70</v>
      </c>
      <c r="BF238" s="4">
        <f>IFERROR(__xludf.DUMMYFUNCTION("""COMPUTED_VALUE"""),0.75)</f>
        <v>0.75</v>
      </c>
      <c r="BG23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38" s="4" t="s">
        <v>74</v>
      </c>
      <c r="BI238" s="7">
        <v>0.875</v>
      </c>
    </row>
    <row r="239" hidden="1">
      <c r="A239" s="4" t="str">
        <f>IFERROR(__xludf.DUMMYFUNCTION("""COMPUTED_VALUE"""),"Arabis Esfiharia")</f>
        <v>Arabis Esfiharia</v>
      </c>
      <c r="B239" s="4" t="str">
        <f>IFERROR(__xludf.DUMMYFUNCTION("""COMPUTED_VALUE"""),"Emerson")</f>
        <v>Emerson</v>
      </c>
      <c r="C239" s="4" t="str">
        <f>IFERROR(__xludf.DUMMYFUNCTION("""COMPUTED_VALUE"""),"Emerson")</f>
        <v>Emerson</v>
      </c>
      <c r="D239" s="4" t="str">
        <f>IFERROR(__xludf.DUMMYFUNCTION("""COMPUTED_VALUE"""),"0. Não Iniciado")</f>
        <v>0. Não Iniciado</v>
      </c>
      <c r="E239" s="4"/>
      <c r="F239" s="4" t="str">
        <f>IFERROR(__xludf.DUMMYFUNCTION("""COMPUTED_VALUE"""),"M")</f>
        <v>M</v>
      </c>
      <c r="G239" s="5">
        <f>IFERROR(__xludf.DUMMYFUNCTION("""COMPUTED_VALUE"""),46094.0)</f>
        <v>46094</v>
      </c>
      <c r="H239" s="4" t="str">
        <f>IFERROR(__xludf.DUMMYFUNCTION("""COMPUTED_VALUE"""),"FUP no parceiro, infelizmente o único contato que tive retorno não está conseguindo mover o tema internamente, preciso de outra abertura mas não temos nenhum contato no salesforce ou com o time de delivery. ")</f>
        <v>FUP no parceiro, infelizmente o único contato que tive retorno não está conseguindo mover o tema internamente, preciso de outra abertura mas não temos nenhum contato no salesforce ou com o time de delivery. </v>
      </c>
      <c r="I239" s="4"/>
      <c r="J239" s="4"/>
      <c r="K239" s="4"/>
      <c r="L239" s="4"/>
      <c r="M239" s="4"/>
      <c r="N239" s="4"/>
      <c r="O239" s="4"/>
      <c r="P239" s="4"/>
      <c r="Q239" s="4"/>
      <c r="R239" s="4"/>
      <c r="S239" s="4"/>
      <c r="T239" s="4"/>
      <c r="U239" s="4"/>
      <c r="V239" s="4"/>
      <c r="W239" s="4"/>
      <c r="X239" s="4"/>
      <c r="Y239" s="4"/>
      <c r="Z239" s="4"/>
      <c r="AA239" s="4">
        <f>IFERROR(__xludf.DUMMYFUNCTION("""COMPUTED_VALUE"""),44.0)</f>
        <v>44</v>
      </c>
      <c r="AB239" s="4" t="str">
        <f>IFERROR(__xludf.DUMMYFUNCTION("""COMPUTED_VALUE"""),"NÃO")</f>
        <v>NÃO</v>
      </c>
      <c r="AC239" s="4" t="str">
        <f>IFERROR(__xludf.DUMMYFUNCTION("""COMPUTED_VALUE"""),"BP")</f>
        <v>BP</v>
      </c>
      <c r="AD239" s="4"/>
      <c r="AE239" s="4"/>
      <c r="AF239" s="4"/>
      <c r="AG239" s="4"/>
      <c r="AH239" s="4"/>
      <c r="AI239" s="4"/>
      <c r="AJ239" s="4"/>
      <c r="AK239" s="4"/>
      <c r="AL239" s="4"/>
      <c r="AM239" s="4" t="str">
        <f>IFERROR(__xludf.DUMMYFUNCTION("""COMPUTED_VALUE"""),"FY26, FY27")</f>
        <v>FY26, FY27</v>
      </c>
      <c r="AN239" s="4"/>
      <c r="AO239" s="4">
        <f>IFERROR(__xludf.DUMMYFUNCTION("""COMPUTED_VALUE"""),120.0)</f>
        <v>120</v>
      </c>
      <c r="AP239" s="4">
        <f>IFERROR(__xludf.DUMMYFUNCTION("""COMPUTED_VALUE"""),0.0)</f>
        <v>0</v>
      </c>
      <c r="AQ239" s="4">
        <f>IFERROR(__xludf.DUMMYFUNCTION("""COMPUTED_VALUE"""),0.0)</f>
        <v>0</v>
      </c>
      <c r="AR239" s="4">
        <f>IFERROR(__xludf.DUMMYFUNCTION("""COMPUTED_VALUE"""),0.0)</f>
        <v>0</v>
      </c>
      <c r="AS239" s="4">
        <f>IFERROR(__xludf.DUMMYFUNCTION("""COMPUTED_VALUE"""),0.0)</f>
        <v>0</v>
      </c>
      <c r="AT239" s="4">
        <f>IFERROR(__xludf.DUMMYFUNCTION("""COMPUTED_VALUE"""),0.0)</f>
        <v>0</v>
      </c>
      <c r="AU239" s="4" t="str">
        <f>IFERROR(__xludf.DUMMYFUNCTION("""COMPUTED_VALUE"""),"Ana")</f>
        <v>Ana</v>
      </c>
      <c r="AV239" s="4">
        <f>IFERROR(__xludf.DUMMYFUNCTION("""COMPUTED_VALUE"""),0.0)</f>
        <v>0</v>
      </c>
      <c r="AW239" s="4">
        <f>IFERROR(__xludf.DUMMYFUNCTION("""COMPUTED_VALUE"""),0.0)</f>
        <v>0</v>
      </c>
      <c r="AX239" s="4">
        <f>IFERROR(__xludf.DUMMYFUNCTION("""COMPUTED_VALUE"""),0.0)</f>
        <v>0</v>
      </c>
      <c r="AY239" s="4"/>
      <c r="AZ239" s="4" t="str">
        <f>IFERROR(__xludf.DUMMYFUNCTION("""COMPUTED_VALUE"""),"NA")</f>
        <v>NA</v>
      </c>
      <c r="BA239" s="4" t="str">
        <f>IFERROR(__xludf.DUMMYFUNCTION("""COMPUTED_VALUE"""),"")</f>
        <v/>
      </c>
      <c r="BB239" s="4" t="str">
        <f>IFERROR(__xludf.DUMMYFUNCTION("""COMPUTED_VALUE"""),"")</f>
        <v/>
      </c>
      <c r="BC239" s="4" t="str">
        <f>IFERROR(__xludf.DUMMYFUNCTION("""COMPUTED_VALUE"""),"")</f>
        <v/>
      </c>
      <c r="BD239" s="4" t="str">
        <f>IFERROR(__xludf.DUMMYFUNCTION("""COMPUTED_VALUE"""),"")</f>
        <v/>
      </c>
      <c r="BE239" s="4" t="str">
        <f>IFERROR(__xludf.DUMMYFUNCTION("""COMPUTED_VALUE"""),"")</f>
        <v/>
      </c>
      <c r="BF239" s="4" t="str">
        <f>IFERROR(__xludf.DUMMYFUNCTION("""COMPUTED_VALUE"""),"")</f>
        <v/>
      </c>
      <c r="BG239" s="4" t="str">
        <f>IFERROR(__xludf.DUMMYFUNCTION("""COMPUTED_VALUE"""),"")</f>
        <v/>
      </c>
      <c r="BH239" s="4" t="s">
        <v>117</v>
      </c>
      <c r="BI239" s="7">
        <v>0.8333333333333334</v>
      </c>
    </row>
    <row r="240" hidden="1">
      <c r="A240" s="4" t="str">
        <f>IFERROR(__xludf.DUMMYFUNCTION("""COMPUTED_VALUE"""),"Augustinho Burger")</f>
        <v>Augustinho Burger</v>
      </c>
      <c r="B240" s="4" t="str">
        <f>IFERROR(__xludf.DUMMYFUNCTION("""COMPUTED_VALUE"""),"Lídia Esteves")</f>
        <v>Lídia Esteves</v>
      </c>
      <c r="C240" s="4" t="str">
        <f>IFERROR(__xludf.DUMMYFUNCTION("""COMPUTED_VALUE"""),"Gabriela Roma")</f>
        <v>Gabriela Roma</v>
      </c>
      <c r="D240" s="4" t="str">
        <f>IFERROR(__xludf.DUMMYFUNCTION("""COMPUTED_VALUE"""),"0. Não Iniciado")</f>
        <v>0. Não Iniciado</v>
      </c>
      <c r="E240" s="4"/>
      <c r="F240" s="4" t="str">
        <f>IFERROR(__xludf.DUMMYFUNCTION("""COMPUTED_VALUE"""),"P")</f>
        <v>P</v>
      </c>
      <c r="G240" s="4"/>
      <c r="H240" s="4"/>
      <c r="I240" s="4"/>
      <c r="J240" s="4"/>
      <c r="K240" s="4"/>
      <c r="L240" s="4"/>
      <c r="M240" s="4"/>
      <c r="N240" s="4"/>
      <c r="O240" s="4"/>
      <c r="P240" s="4"/>
      <c r="Q240" s="4"/>
      <c r="R240" s="4"/>
      <c r="S240" s="4"/>
      <c r="T240" s="4"/>
      <c r="U240" s="4"/>
      <c r="V240" s="4"/>
      <c r="W240" s="4"/>
      <c r="X240" s="4"/>
      <c r="Y240" s="4"/>
      <c r="Z240" s="4"/>
      <c r="AA240" s="4">
        <f>IFERROR(__xludf.DUMMYFUNCTION("""COMPUTED_VALUE"""),6.0)</f>
        <v>6</v>
      </c>
      <c r="AB240" s="4" t="str">
        <f>IFERROR(__xludf.DUMMYFUNCTION("""COMPUTED_VALUE"""),"NÃO")</f>
        <v>NÃO</v>
      </c>
      <c r="AC240" s="4" t="str">
        <f>IFERROR(__xludf.DUMMYFUNCTION("""COMPUTED_VALUE"""),"Não BP")</f>
        <v>Não BP</v>
      </c>
      <c r="AD240" s="4"/>
      <c r="AE240" s="4"/>
      <c r="AF240" s="4"/>
      <c r="AG240" s="4"/>
      <c r="AH240" s="4"/>
      <c r="AI240" s="4"/>
      <c r="AJ240" s="4"/>
      <c r="AK240" s="4"/>
      <c r="AL240" s="4"/>
      <c r="AM240" s="4" t="str">
        <f>IFERROR(__xludf.DUMMYFUNCTION("""COMPUTED_VALUE"""),"FY26, FY27")</f>
        <v>FY26, FY27</v>
      </c>
      <c r="AN240" s="4"/>
      <c r="AO240" s="4">
        <f>IFERROR(__xludf.DUMMYFUNCTION("""COMPUTED_VALUE"""),45553.0)</f>
        <v>45553</v>
      </c>
      <c r="AP240" s="4">
        <f>IFERROR(__xludf.DUMMYFUNCTION("""COMPUTED_VALUE"""),0.0)</f>
        <v>0</v>
      </c>
      <c r="AQ240" s="4">
        <f>IFERROR(__xludf.DUMMYFUNCTION("""COMPUTED_VALUE"""),0.0)</f>
        <v>0</v>
      </c>
      <c r="AR240" s="4">
        <f>IFERROR(__xludf.DUMMYFUNCTION("""COMPUTED_VALUE"""),0.0)</f>
        <v>0</v>
      </c>
      <c r="AS240" s="4">
        <f>IFERROR(__xludf.DUMMYFUNCTION("""COMPUTED_VALUE"""),0.0)</f>
        <v>0</v>
      </c>
      <c r="AT240" s="4">
        <f>IFERROR(__xludf.DUMMYFUNCTION("""COMPUTED_VALUE"""),0.0)</f>
        <v>0</v>
      </c>
      <c r="AU240" s="4" t="str">
        <f>IFERROR(__xludf.DUMMYFUNCTION("""COMPUTED_VALUE"""),"Emerson")</f>
        <v>Emerson</v>
      </c>
      <c r="AV240" s="4">
        <f>IFERROR(__xludf.DUMMYFUNCTION("""COMPUTED_VALUE"""),0.0)</f>
        <v>0</v>
      </c>
      <c r="AW240" s="4">
        <f>IFERROR(__xludf.DUMMYFUNCTION("""COMPUTED_VALUE"""),0.0)</f>
        <v>0</v>
      </c>
      <c r="AX240" s="4">
        <f>IFERROR(__xludf.DUMMYFUNCTION("""COMPUTED_VALUE"""),0.0)</f>
        <v>0</v>
      </c>
      <c r="AY240" s="4" t="str">
        <f>IFERROR(__xludf.DUMMYFUNCTION("""COMPUTED_VALUE"""),"Saipos Serviços De Software")</f>
        <v>Saipos Serviços De Software</v>
      </c>
      <c r="AZ240" s="4" t="str">
        <f>IFERROR(__xludf.DUMMYFUNCTION("""COMPUTED_VALUE"""),"Lanche")</f>
        <v>Lanche</v>
      </c>
      <c r="BA240" s="4">
        <f>IFERROR(__xludf.DUMMYFUNCTION("""COMPUTED_VALUE"""),77.0)</f>
        <v>77</v>
      </c>
      <c r="BB240" s="12" t="str">
        <f>IFERROR(__xludf.DUMMYFUNCTION("""COMPUTED_VALUE"""),"Fast Casual - Hamburgueria")</f>
        <v>Fast Casual - Hamburgueria</v>
      </c>
      <c r="BC240" s="4" t="str">
        <f>IFERROR(__xludf.DUMMYFUNCTION("""COMPUTED_VALUE"""),"Belo Horizonte/MG")</f>
        <v>Belo Horizonte/MG</v>
      </c>
      <c r="BD240" s="4" t="str">
        <f>IFERROR(__xludf.DUMMYFUNCTION("""COMPUTED_VALUE"""),"Dado não disponível publicamente - Necessário Discovery")</f>
        <v>Dado não disponível publicamente - Necessário Discovery</v>
      </c>
      <c r="BE240" s="4">
        <f>IFERROR(__xludf.DUMMYFUNCTION("""COMPUTED_VALUE"""),70.0)</f>
        <v>70</v>
      </c>
      <c r="BF240" s="13">
        <f>IFERROR(__xludf.DUMMYFUNCTION("""COMPUTED_VALUE"""),0.8)</f>
        <v>0.8</v>
      </c>
      <c r="BG240"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240" s="4" t="s">
        <v>63</v>
      </c>
      <c r="BI240" s="7" t="s">
        <v>63</v>
      </c>
    </row>
    <row r="241">
      <c r="A241" s="4" t="str">
        <f>IFERROR(__xludf.DUMMYFUNCTION("""COMPUTED_VALUE"""),"Bacio Di Latte")</f>
        <v>Bacio Di Latte</v>
      </c>
      <c r="B241" s="4" t="str">
        <f>IFERROR(__xludf.DUMMYFUNCTION("""COMPUTED_VALUE"""),"Leonardo Roso")</f>
        <v>Leonardo Roso</v>
      </c>
      <c r="C241" s="4" t="str">
        <f>IFERROR(__xludf.DUMMYFUNCTION("""COMPUTED_VALUE"""),"Leonardo Roso")</f>
        <v>Leonardo Roso</v>
      </c>
      <c r="D241" s="4" t="str">
        <f>IFERROR(__xludf.DUMMYFUNCTION("""COMPUTED_VALUE"""),"3. Apresentação")</f>
        <v>3. Apresentação</v>
      </c>
      <c r="E241" s="4" t="str">
        <f>IFERROR(__xludf.DUMMYFUNCTION("""COMPUTED_VALUE"""),"Comercial - Contato realizado com parceiro")</f>
        <v>Comercial - Contato realizado com parceiro</v>
      </c>
      <c r="F241" s="4" t="str">
        <f>IFERROR(__xludf.DUMMYFUNCTION("""COMPUTED_VALUE"""),"G")</f>
        <v>G</v>
      </c>
      <c r="G241" s="5">
        <f>IFERROR(__xludf.DUMMYFUNCTION("""COMPUTED_VALUE"""),46117.0)</f>
        <v>46117</v>
      </c>
      <c r="H241" s="4" t="str">
        <f>IFERROR(__xludf.DUMMYFUNCTION("""COMPUTED_VALUE"""),"Piloto de totem recusado, aguardando nova data de agenda para apresentar 3S")</f>
        <v>Piloto de totem recusado, aguardando nova data de agenda para apresentar 3S</v>
      </c>
      <c r="I241" s="4"/>
      <c r="J241" s="4"/>
      <c r="K241" s="6">
        <f>IFERROR(__xludf.DUMMYFUNCTION("""COMPUTED_VALUE"""),46036.0)</f>
        <v>46036</v>
      </c>
      <c r="L241" s="4"/>
      <c r="M241" s="4"/>
      <c r="N241" s="4"/>
      <c r="O241" s="4"/>
      <c r="P241" s="4"/>
      <c r="Q241" s="4"/>
      <c r="R241" s="4"/>
      <c r="S241" s="4"/>
      <c r="T241" s="4"/>
      <c r="U241" s="4"/>
      <c r="V241" s="4"/>
      <c r="W241" s="4"/>
      <c r="X241" s="4"/>
      <c r="Y241" s="4"/>
      <c r="Z241" s="4"/>
      <c r="AA241" s="4">
        <f>IFERROR(__xludf.DUMMYFUNCTION("""COMPUTED_VALUE"""),160.0)</f>
        <v>160</v>
      </c>
      <c r="AB241" s="4" t="str">
        <f>IFERROR(__xludf.DUMMYFUNCTION("""COMPUTED_VALUE"""),"NÃO")</f>
        <v>NÃO</v>
      </c>
      <c r="AC241" s="4" t="str">
        <f>IFERROR(__xludf.DUMMYFUNCTION("""COMPUTED_VALUE"""),"BP")</f>
        <v>BP</v>
      </c>
      <c r="AD241" s="4"/>
      <c r="AE241" s="4"/>
      <c r="AF241" s="4"/>
      <c r="AG241" s="4"/>
      <c r="AH241" s="4"/>
      <c r="AI241" s="4"/>
      <c r="AJ241" s="4"/>
      <c r="AK241" s="4"/>
      <c r="AL241" s="4"/>
      <c r="AM241" s="4" t="str">
        <f>IFERROR(__xludf.DUMMYFUNCTION("""COMPUTED_VALUE"""),"FY26, FY27")</f>
        <v>FY26, FY27</v>
      </c>
      <c r="AN241" s="4"/>
      <c r="AO241" s="4">
        <f>IFERROR(__xludf.DUMMYFUNCTION("""COMPUTED_VALUE"""),98.0)</f>
        <v>98</v>
      </c>
      <c r="AP241" s="4" t="str">
        <f>IFERROR(__xludf.DUMMYFUNCTION("""COMPUTED_VALUE"""),"RJ")</f>
        <v>RJ</v>
      </c>
      <c r="AQ241" s="4" t="str">
        <f>IFERROR(__xludf.DUMMYFUNCTION("""COMPUTED_VALUE"""),"THIAGO MORSELLI")</f>
        <v>THIAGO MORSELLI</v>
      </c>
      <c r="AR241" s="4" t="str">
        <f>IFERROR(__xludf.DUMMYFUNCTION("""COMPUTED_VALUE"""),"MAURILIO JUNIOR")</f>
        <v>MAURILIO JUNIOR</v>
      </c>
      <c r="AS241" s="4" t="str">
        <f>IFERROR(__xludf.DUMMYFUNCTION("""COMPUTED_VALUE"""),"ISABELA GOULART")</f>
        <v>ISABELA GOULART</v>
      </c>
      <c r="AT241" s="4" t="str">
        <f>IFERROR(__xludf.DUMMYFUNCTION("""COMPUTED_VALUE"""),"THIAGO MORSELLI")</f>
        <v>THIAGO MORSELLI</v>
      </c>
      <c r="AU241" s="4" t="str">
        <f>IFERROR(__xludf.DUMMYFUNCTION("""COMPUTED_VALUE"""),"Leonardo Roso")</f>
        <v>Leonardo Roso</v>
      </c>
      <c r="AV241" s="4" t="str">
        <f>IFERROR(__xludf.DUMMYFUNCTION("""COMPUTED_VALUE"""),"Comer Fora-")</f>
        <v>Comer Fora-</v>
      </c>
      <c r="AW241" s="20" t="str">
        <f>IFERROR(__xludf.DUMMYFUNCTION("""COMPUTED_VALUE"""),"G - pipe")</f>
        <v>G - pipe</v>
      </c>
      <c r="AX241" s="4"/>
      <c r="AY241" s="4">
        <f>IFERROR(__xludf.DUMMYFUNCTION("""COMPUTED_VALUE"""),0.0)</f>
        <v>0</v>
      </c>
      <c r="AZ241" s="4" t="str">
        <f>IFERROR(__xludf.DUMMYFUNCTION("""COMPUTED_VALUE"""),"Sorvetes")</f>
        <v>Sorvetes</v>
      </c>
      <c r="BA241" s="4">
        <f>IFERROR(__xludf.DUMMYFUNCTION("""COMPUTED_VALUE"""),38.0)</f>
        <v>38</v>
      </c>
      <c r="BB241" s="4" t="str">
        <f>IFERROR(__xludf.DUMMYFUNCTION("""COMPUTED_VALUE"""),"Fast Casual - Gelato")</f>
        <v>Fast Casual - Gelato</v>
      </c>
      <c r="BC241" s="4" t="str">
        <f>IFERROR(__xludf.DUMMYFUNCTION("""COMPUTED_VALUE"""),"Nacional")</f>
        <v>Nacional</v>
      </c>
      <c r="BD241" s="4" t="str">
        <f>IFERROR(__xludf.DUMMYFUNCTION("""COMPUTED_VALUE"""),"Dado não disponível")</f>
        <v>Dado não disponível</v>
      </c>
      <c r="BE241" s="4">
        <f>IFERROR(__xludf.DUMMYFUNCTION("""COMPUTED_VALUE"""),80.0)</f>
        <v>80</v>
      </c>
      <c r="BF241" s="4">
        <f>IFERROR(__xludf.DUMMYFUNCTION("""COMPUTED_VALUE"""),0.9)</f>
        <v>0.9</v>
      </c>
      <c r="BG241" s="4" t="str">
        <f>IFERROR(__xludf.DUMMYFUNCTION("""COMPUTED_VALUE"""),"Alta aderência ao 3S: PDV não identificado. 3S oferece Kiosk nativo, Hub Delivery integrado e gestão centralizada multi-loja - diferenciais competitivos para expansão e redução de filas.")</f>
        <v>Alta aderência ao 3S: PDV não identificado. 3S oferece Kiosk nativo, Hub Delivery integrado e gestão centralizada multi-loja - diferenciais competitivos para expansão e redução de filas.</v>
      </c>
      <c r="BH241" s="4" t="s">
        <v>63</v>
      </c>
      <c r="BI241" s="7" t="s">
        <v>63</v>
      </c>
    </row>
    <row r="242" hidden="1">
      <c r="A242" s="4" t="str">
        <f>IFERROR(__xludf.DUMMYFUNCTION("""COMPUTED_VALUE"""),"Baggio")</f>
        <v>Baggio</v>
      </c>
      <c r="B242" s="4" t="str">
        <f>IFERROR(__xludf.DUMMYFUNCTION("""COMPUTED_VALUE"""),"Lídia Esteves")</f>
        <v>Lídia Esteves</v>
      </c>
      <c r="C242" s="4" t="str">
        <f>IFERROR(__xludf.DUMMYFUNCTION("""COMPUTED_VALUE"""),"Gabriela Roma")</f>
        <v>Gabriela Roma</v>
      </c>
      <c r="D242" s="4" t="str">
        <f>IFERROR(__xludf.DUMMYFUNCTION("""COMPUTED_VALUE"""),"10. Perdido")</f>
        <v>10. Perdido</v>
      </c>
      <c r="E242" s="4"/>
      <c r="F242" s="4" t="str">
        <f>IFERROR(__xludf.DUMMYFUNCTION("""COMPUTED_VALUE"""),"P")</f>
        <v>P</v>
      </c>
      <c r="G242" s="4"/>
      <c r="H242" s="4"/>
      <c r="I242" s="4"/>
      <c r="J242" s="6">
        <f>IFERROR(__xludf.DUMMYFUNCTION("""COMPUTED_VALUE"""),46077.58177318287)</f>
        <v>46077.58177</v>
      </c>
      <c r="K242" s="4"/>
      <c r="L242" s="4"/>
      <c r="M242" s="4"/>
      <c r="N242" s="4"/>
      <c r="O242" s="4"/>
      <c r="P242" s="4"/>
      <c r="Q242" s="4"/>
      <c r="R242" s="6">
        <f>IFERROR(__xludf.DUMMYFUNCTION("""COMPUTED_VALUE"""),46120.51034663194)</f>
        <v>46120.51035</v>
      </c>
      <c r="S242" s="4"/>
      <c r="T242" s="4"/>
      <c r="U242" s="4"/>
      <c r="V242" s="4" t="str">
        <f>IFERROR(__xludf.DUMMYFUNCTION("""COMPUTED_VALUE"""),"Sem interesse em mudar de PDV")</f>
        <v>Sem interesse em mudar de PDV</v>
      </c>
      <c r="W242" s="4"/>
      <c r="X242" s="4"/>
      <c r="Y242" s="4"/>
      <c r="Z242" s="4"/>
      <c r="AA242" s="4">
        <f>IFERROR(__xludf.DUMMYFUNCTION("""COMPUTED_VALUE"""),17.0)</f>
        <v>17</v>
      </c>
      <c r="AB242" s="4" t="str">
        <f>IFERROR(__xludf.DUMMYFUNCTION("""COMPUTED_VALUE"""),"-")</f>
        <v>-</v>
      </c>
      <c r="AC242" s="4" t="str">
        <f>IFERROR(__xludf.DUMMYFUNCTION("""COMPUTED_VALUE"""),"-")</f>
        <v>-</v>
      </c>
      <c r="AD242" s="4"/>
      <c r="AE242" s="4"/>
      <c r="AF242" s="4"/>
      <c r="AG242" s="4"/>
      <c r="AH242" s="4"/>
      <c r="AI242" s="4"/>
      <c r="AJ242" s="4"/>
      <c r="AK242" s="4"/>
      <c r="AL242" s="4"/>
      <c r="AM242" s="4" t="str">
        <f>IFERROR(__xludf.DUMMYFUNCTION("""COMPUTED_VALUE"""),"FY26, FY27")</f>
        <v>FY26, FY27</v>
      </c>
      <c r="AN242" s="4" t="str">
        <f>IFERROR(__xludf.DUMMYFUNCTION("""COMPUTED_VALUE"""),"Comer Fora")</f>
        <v>Comer Fora</v>
      </c>
      <c r="AO242" s="4">
        <f>IFERROR(__xludf.DUMMYFUNCTION("""COMPUTED_VALUE"""),45553.0)</f>
        <v>45553</v>
      </c>
      <c r="AP242" s="4" t="str">
        <f>IFERROR(__xludf.DUMMYFUNCTION("""COMPUTED_VALUE"""),"PR")</f>
        <v>PR</v>
      </c>
      <c r="AQ242" s="4" t="str">
        <f>IFERROR(__xludf.DUMMYFUNCTION("""COMPUTED_VALUE"""),"PAULA VERDASCA")</f>
        <v>PAULA VERDASCA</v>
      </c>
      <c r="AR242" s="4" t="str">
        <f>IFERROR(__xludf.DUMMYFUNCTION("""COMPUTED_VALUE"""),"FERNANDA ABRANTES")</f>
        <v>FERNANDA ABRANTES</v>
      </c>
      <c r="AS242" s="4" t="str">
        <f>IFERROR(__xludf.DUMMYFUNCTION("""COMPUTED_VALUE"""),"FABIO DONATO")</f>
        <v>FABIO DONATO</v>
      </c>
      <c r="AT242" s="4" t="str">
        <f>IFERROR(__xludf.DUMMYFUNCTION("""COMPUTED_VALUE"""),"MURILO NAGASHIMA")</f>
        <v>MURILO NAGASHIMA</v>
      </c>
      <c r="AU242" s="4" t="str">
        <f>IFERROR(__xludf.DUMMYFUNCTION("""COMPUTED_VALUE"""),"Lídia / Emerson")</f>
        <v>Lídia / Emerson</v>
      </c>
      <c r="AV242" s="4" t="str">
        <f>IFERROR(__xludf.DUMMYFUNCTION("""COMPUTED_VALUE"""),"Comer Fora-")</f>
        <v>Comer Fora-</v>
      </c>
      <c r="AW242" s="20" t="str">
        <f>IFERROR(__xludf.DUMMYFUNCTION("""COMPUTED_VALUE"""),"P e M - pipe")</f>
        <v>P e M - pipe</v>
      </c>
      <c r="AX242" s="4"/>
      <c r="AY242" s="4"/>
      <c r="AZ242" s="4" t="str">
        <f>IFERROR(__xludf.DUMMYFUNCTION("""COMPUTED_VALUE"""),"Pizza")</f>
        <v>Pizza</v>
      </c>
      <c r="BA242" s="4" t="str">
        <f>IFERROR(__xludf.DUMMYFUNCTION("""COMPUTED_VALUE"""),"")</f>
        <v/>
      </c>
      <c r="BB242" s="4" t="str">
        <f>IFERROR(__xludf.DUMMYFUNCTION("""COMPUTED_VALUE"""),"")</f>
        <v/>
      </c>
      <c r="BC242" s="4" t="str">
        <f>IFERROR(__xludf.DUMMYFUNCTION("""COMPUTED_VALUE"""),"")</f>
        <v/>
      </c>
      <c r="BD242" s="4" t="str">
        <f>IFERROR(__xludf.DUMMYFUNCTION("""COMPUTED_VALUE"""),"")</f>
        <v/>
      </c>
      <c r="BE242" s="4" t="str">
        <f>IFERROR(__xludf.DUMMYFUNCTION("""COMPUTED_VALUE"""),"")</f>
        <v/>
      </c>
      <c r="BF242" s="4" t="str">
        <f>IFERROR(__xludf.DUMMYFUNCTION("""COMPUTED_VALUE"""),"")</f>
        <v/>
      </c>
      <c r="BG242" s="4" t="str">
        <f>IFERROR(__xludf.DUMMYFUNCTION("""COMPUTED_VALUE"""),"")</f>
        <v/>
      </c>
      <c r="BH242" s="4" t="s">
        <v>89</v>
      </c>
      <c r="BI242" s="7">
        <v>0.9767441860465116</v>
      </c>
    </row>
    <row r="243">
      <c r="A243" s="4" t="str">
        <f>IFERROR(__xludf.DUMMYFUNCTION("""COMPUTED_VALUE"""),"Baked Potato")</f>
        <v>Baked Potato</v>
      </c>
      <c r="B243" s="4" t="str">
        <f>IFERROR(__xludf.DUMMYFUNCTION("""COMPUTED_VALUE"""),"Leonardo Roso")</f>
        <v>Leonardo Roso</v>
      </c>
      <c r="C243" s="4" t="str">
        <f>IFERROR(__xludf.DUMMYFUNCTION("""COMPUTED_VALUE"""),"Leonardo Roso")</f>
        <v>Leonardo Roso</v>
      </c>
      <c r="D243" s="4" t="str">
        <f>IFERROR(__xludf.DUMMYFUNCTION("""COMPUTED_VALUE"""),"11. Stand by")</f>
        <v>11. Stand by</v>
      </c>
      <c r="E243" s="4" t="str">
        <f>IFERROR(__xludf.DUMMYFUNCTION("""COMPUTED_VALUE"""),"Perdido - Proposta comercial não aceita")</f>
        <v>Perdido - Proposta comercial não aceita</v>
      </c>
      <c r="F243" s="4" t="str">
        <f>IFERROR(__xludf.DUMMYFUNCTION("""COMPUTED_VALUE"""),"G")</f>
        <v>G</v>
      </c>
      <c r="G243" s="5">
        <f>IFERROR(__xludf.DUMMYFUNCTION("""COMPUTED_VALUE"""),46154.0)</f>
        <v>46154</v>
      </c>
      <c r="H243" s="4" t="str">
        <f>IFERROR(__xludf.DUMMYFUNCTION("""COMPUTED_VALUE"""),"Nova tentativa de reaproximação com o parceiro")</f>
        <v>Nova tentativa de reaproximação com o parceiro</v>
      </c>
      <c r="I243" s="4"/>
      <c r="J243" s="4"/>
      <c r="K243" s="6">
        <f>IFERROR(__xludf.DUMMYFUNCTION("""COMPUTED_VALUE"""),45880.0)</f>
        <v>45880</v>
      </c>
      <c r="L243" s="4"/>
      <c r="M243" s="4"/>
      <c r="N243" s="4"/>
      <c r="O243" s="4"/>
      <c r="P243" s="4"/>
      <c r="Q243" s="4"/>
      <c r="R243" s="4"/>
      <c r="S243" s="4"/>
      <c r="T243" s="4"/>
      <c r="U243" s="4"/>
      <c r="V243" s="4" t="str">
        <f>IFERROR(__xludf.DUMMYFUNCTION("""COMPUTED_VALUE"""),"Atrito Negociação")</f>
        <v>Atrito Negociação</v>
      </c>
      <c r="W243" s="4"/>
      <c r="X243" s="4"/>
      <c r="Y243" s="4"/>
      <c r="Z243" s="4"/>
      <c r="AA243" s="4">
        <f>IFERROR(__xludf.DUMMYFUNCTION("""COMPUTED_VALUE"""),64.0)</f>
        <v>64</v>
      </c>
      <c r="AB243" s="4" t="str">
        <f>IFERROR(__xludf.DUMMYFUNCTION("""COMPUTED_VALUE"""),"NÃO")</f>
        <v>NÃO</v>
      </c>
      <c r="AC243" s="4" t="str">
        <f>IFERROR(__xludf.DUMMYFUNCTION("""COMPUTED_VALUE"""),"BP")</f>
        <v>BP</v>
      </c>
      <c r="AD243" s="4"/>
      <c r="AE243" s="4"/>
      <c r="AF243" s="4"/>
      <c r="AG243" s="4"/>
      <c r="AH243" s="4"/>
      <c r="AI243" s="4"/>
      <c r="AJ243" s="4"/>
      <c r="AK243" s="4"/>
      <c r="AL243" s="4"/>
      <c r="AM243" s="4" t="str">
        <f>IFERROR(__xludf.DUMMYFUNCTION("""COMPUTED_VALUE"""),"FY26, FY27")</f>
        <v>FY26, FY27</v>
      </c>
      <c r="AN243" s="4"/>
      <c r="AO243" s="4">
        <f>IFERROR(__xludf.DUMMYFUNCTION("""COMPUTED_VALUE"""),61.0)</f>
        <v>61</v>
      </c>
      <c r="AP243" s="4" t="str">
        <f>IFERROR(__xludf.DUMMYFUNCTION("""COMPUTED_VALUE"""),"SP")</f>
        <v>SP</v>
      </c>
      <c r="AQ243" s="4" t="str">
        <f>IFERROR(__xludf.DUMMYFUNCTION("""COMPUTED_VALUE"""),"ANNA BALBINOT")</f>
        <v>ANNA BALBINOT</v>
      </c>
      <c r="AR243" s="4" t="str">
        <f>IFERROR(__xludf.DUMMYFUNCTION("""COMPUTED_VALUE"""),"WAGNER ASSIS")</f>
        <v>WAGNER ASSIS</v>
      </c>
      <c r="AS243" s="4" t="str">
        <f>IFERROR(__xludf.DUMMYFUNCTION("""COMPUTED_VALUE"""),"ISABELA GOULART")</f>
        <v>ISABELA GOULART</v>
      </c>
      <c r="AT243" s="4" t="str">
        <f>IFERROR(__xludf.DUMMYFUNCTION("""COMPUTED_VALUE"""),"ANNA BALBINOT")</f>
        <v>ANNA BALBINOT</v>
      </c>
      <c r="AU243" s="4" t="str">
        <f>IFERROR(__xludf.DUMMYFUNCTION("""COMPUTED_VALUE"""),"Leonardo Roso")</f>
        <v>Leonardo Roso</v>
      </c>
      <c r="AV243" s="4">
        <f>IFERROR(__xludf.DUMMYFUNCTION("""COMPUTED_VALUE"""),0.0)</f>
        <v>0</v>
      </c>
      <c r="AW243" s="4">
        <f>IFERROR(__xludf.DUMMYFUNCTION("""COMPUTED_VALUE"""),0.0)</f>
        <v>0</v>
      </c>
      <c r="AX243" s="4">
        <f>IFERROR(__xludf.DUMMYFUNCTION("""COMPUTED_VALUE"""),0.0)</f>
        <v>0</v>
      </c>
      <c r="AY243" s="4"/>
      <c r="AZ243" s="4" t="str">
        <f>IFERROR(__xludf.DUMMYFUNCTION("""COMPUTED_VALUE"""),"Brasileira")</f>
        <v>Brasileira</v>
      </c>
      <c r="BA243" s="4">
        <f>IFERROR(__xludf.DUMMYFUNCTION("""COMPUTED_VALUE"""),74.0)</f>
        <v>74</v>
      </c>
      <c r="BB243" s="4" t="str">
        <f>IFERROR(__xludf.DUMMYFUNCTION("""COMPUTED_VALUE"""),"Fast Casual - Multi-conceito")</f>
        <v>Fast Casual - Multi-conceito</v>
      </c>
      <c r="BC243" s="4" t="str">
        <f>IFERROR(__xludf.DUMMYFUNCTION("""COMPUTED_VALUE"""),"Nordeste")</f>
        <v>Nordeste</v>
      </c>
      <c r="BD243" s="4" t="str">
        <f>IFERROR(__xludf.DUMMYFUNCTION("""COMPUTED_VALUE"""),"Dado não disponível publicamente - Necessário Discovery")</f>
        <v>Dado não disponível publicamente - Necessário Discovery</v>
      </c>
      <c r="BE243" s="4">
        <f>IFERROR(__xludf.DUMMYFUNCTION("""COMPUTED_VALUE"""),70.0)</f>
        <v>70</v>
      </c>
      <c r="BF243" s="4">
        <f>IFERROR(__xludf.DUMMYFUNCTION("""COMPUTED_VALUE"""),0.75)</f>
        <v>0.75</v>
      </c>
      <c r="BG24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43" s="4" t="s">
        <v>82</v>
      </c>
      <c r="BI243" s="7">
        <v>0.8333333333333334</v>
      </c>
    </row>
    <row r="244" hidden="1">
      <c r="A244" s="4" t="str">
        <f>IFERROR(__xludf.DUMMYFUNCTION("""COMPUTED_VALUE"""),"Bala No Alvo - Marca")</f>
        <v>Bala No Alvo - Marca</v>
      </c>
      <c r="B244" s="4" t="str">
        <f>IFERROR(__xludf.DUMMYFUNCTION("""COMPUTED_VALUE"""),"Lídia Esteves")</f>
        <v>Lídia Esteves</v>
      </c>
      <c r="C244" s="4" t="str">
        <f>IFERROR(__xludf.DUMMYFUNCTION("""COMPUTED_VALUE"""),"Gabriela Roma")</f>
        <v>Gabriela Roma</v>
      </c>
      <c r="D244" s="4" t="str">
        <f>IFERROR(__xludf.DUMMYFUNCTION("""COMPUTED_VALUE"""),"0. Não Iniciado")</f>
        <v>0. Não Iniciado</v>
      </c>
      <c r="E244" s="4" t="str">
        <f>IFERROR(__xludf.DUMMYFUNCTION("""COMPUTED_VALUE"""),"Delivery - Aguardando retorno / Conciliação agenda")</f>
        <v>Delivery - Aguardando retorno / Conciliação agenda</v>
      </c>
      <c r="F244" s="4" t="str">
        <f>IFERROR(__xludf.DUMMYFUNCTION("""COMPUTED_VALUE"""),"P")</f>
        <v>P</v>
      </c>
      <c r="G244" s="4"/>
      <c r="H244" s="4"/>
      <c r="I244" s="4"/>
      <c r="J244" s="4"/>
      <c r="K244" s="4"/>
      <c r="L244" s="4"/>
      <c r="M244" s="4"/>
      <c r="N244" s="4"/>
      <c r="O244" s="4"/>
      <c r="P244" s="4"/>
      <c r="Q244" s="4"/>
      <c r="R244" s="4"/>
      <c r="S244" s="4"/>
      <c r="T244" s="4"/>
      <c r="U244" s="4"/>
      <c r="V244" s="4"/>
      <c r="W244" s="4"/>
      <c r="X244" s="4"/>
      <c r="Y244" s="4"/>
      <c r="Z244" s="4"/>
      <c r="AA244" s="4">
        <f>IFERROR(__xludf.DUMMYFUNCTION("""COMPUTED_VALUE"""),5.0)</f>
        <v>5</v>
      </c>
      <c r="AB244" s="4" t="str">
        <f>IFERROR(__xludf.DUMMYFUNCTION("""COMPUTED_VALUE"""),"-")</f>
        <v>-</v>
      </c>
      <c r="AC244" s="4" t="str">
        <f>IFERROR(__xludf.DUMMYFUNCTION("""COMPUTED_VALUE"""),"-")</f>
        <v>-</v>
      </c>
      <c r="AD244" s="4"/>
      <c r="AE244" s="4"/>
      <c r="AF244" s="4"/>
      <c r="AG244" s="4"/>
      <c r="AH244" s="4"/>
      <c r="AI244" s="4"/>
      <c r="AJ244" s="4"/>
      <c r="AK244" s="4"/>
      <c r="AL244" s="4"/>
      <c r="AM244" s="4" t="str">
        <f>IFERROR(__xludf.DUMMYFUNCTION("""COMPUTED_VALUE"""),"FY26, FY27")</f>
        <v>FY26, FY27</v>
      </c>
      <c r="AN244" s="4"/>
      <c r="AO244" s="4">
        <f>IFERROR(__xludf.DUMMYFUNCTION("""COMPUTED_VALUE"""),45553.0)</f>
        <v>45553</v>
      </c>
      <c r="AP244" s="4" t="str">
        <f>IFERROR(__xludf.DUMMYFUNCTION("""COMPUTED_VALUE"""),"PR")</f>
        <v>PR</v>
      </c>
      <c r="AQ244" s="4" t="str">
        <f>IFERROR(__xludf.DUMMYFUNCTION("""COMPUTED_VALUE"""),"BRUNA MONTEZIN")</f>
        <v>BRUNA MONTEZIN</v>
      </c>
      <c r="AR244" s="4" t="str">
        <f>IFERROR(__xludf.DUMMYFUNCTION("""COMPUTED_VALUE"""),"TULIO VICARI")</f>
        <v>TULIO VICARI</v>
      </c>
      <c r="AS244" s="4" t="str">
        <f>IFERROR(__xludf.DUMMYFUNCTION("""COMPUTED_VALUE"""),"FABIO DONATO")</f>
        <v>FABIO DONATO</v>
      </c>
      <c r="AT244" s="4" t="str">
        <f>IFERROR(__xludf.DUMMYFUNCTION("""COMPUTED_VALUE"""),"MURILO NAGASHIMA")</f>
        <v>MURILO NAGASHIMA</v>
      </c>
      <c r="AU244" s="4" t="str">
        <f>IFERROR(__xludf.DUMMYFUNCTION("""COMPUTED_VALUE"""),"Lídia / Emerson")</f>
        <v>Lídia / Emerson</v>
      </c>
      <c r="AV244" s="4">
        <f>IFERROR(__xludf.DUMMYFUNCTION("""COMPUTED_VALUE"""),0.0)</f>
        <v>0</v>
      </c>
      <c r="AW244" s="4">
        <f>IFERROR(__xludf.DUMMYFUNCTION("""COMPUTED_VALUE"""),0.0)</f>
        <v>0</v>
      </c>
      <c r="AX244" s="4">
        <f>IFERROR(__xludf.DUMMYFUNCTION("""COMPUTED_VALUE"""),0.0)</f>
        <v>0</v>
      </c>
      <c r="AY244" s="4"/>
      <c r="AZ244" s="4" t="str">
        <f>IFERROR(__xludf.DUMMYFUNCTION("""COMPUTED_VALUE"""),"Pizza")</f>
        <v>Pizza</v>
      </c>
      <c r="BA244" s="4">
        <f>IFERROR(__xludf.DUMMYFUNCTION("""COMPUTED_VALUE"""),51.0)</f>
        <v>51</v>
      </c>
      <c r="BB244" s="4" t="str">
        <f>IFERROR(__xludf.DUMMYFUNCTION("""COMPUTED_VALUE"""),"Fast Casual - Multi-conceito")</f>
        <v>Fast Casual - Multi-conceito</v>
      </c>
      <c r="BC244" s="4" t="str">
        <f>IFERROR(__xludf.DUMMYFUNCTION("""COMPUTED_VALUE"""),"Nordeste")</f>
        <v>Nordeste</v>
      </c>
      <c r="BD244" s="4" t="str">
        <f>IFERROR(__xludf.DUMMYFUNCTION("""COMPUTED_VALUE"""),"Dado não disponível publicamente - Necessário Discovery")</f>
        <v>Dado não disponível publicamente - Necessário Discovery</v>
      </c>
      <c r="BE244" s="4">
        <f>IFERROR(__xludf.DUMMYFUNCTION("""COMPUTED_VALUE"""),70.0)</f>
        <v>70</v>
      </c>
      <c r="BF244" s="4">
        <f>IFERROR(__xludf.DUMMYFUNCTION("""COMPUTED_VALUE"""),0.75)</f>
        <v>0.75</v>
      </c>
      <c r="BG24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44" s="4" t="s">
        <v>63</v>
      </c>
      <c r="BI244" s="7" t="s">
        <v>63</v>
      </c>
    </row>
    <row r="245" hidden="1">
      <c r="A245" s="4" t="str">
        <f>IFERROR(__xludf.DUMMYFUNCTION("""COMPUTED_VALUE"""),"Banana Food")</f>
        <v>Banana Food</v>
      </c>
      <c r="B245" s="4" t="str">
        <f>IFERROR(__xludf.DUMMYFUNCTION("""COMPUTED_VALUE"""),"Lídia Esteves")</f>
        <v>Lídia Esteves</v>
      </c>
      <c r="C245" s="4" t="str">
        <f>IFERROR(__xludf.DUMMYFUNCTION("""COMPUTED_VALUE"""),"Gabriela Roma")</f>
        <v>Gabriela Roma</v>
      </c>
      <c r="D245" s="4" t="str">
        <f>IFERROR(__xludf.DUMMYFUNCTION("""COMPUTED_VALUE"""),"0. Não Iniciado")</f>
        <v>0. Não Iniciado</v>
      </c>
      <c r="E245" s="4" t="str">
        <f>IFERROR(__xludf.DUMMYFUNCTION("""COMPUTED_VALUE"""),"Comercial - Tentativa não iniciada")</f>
        <v>Comercial - Tentativa não iniciada</v>
      </c>
      <c r="F245" s="4" t="str">
        <f>IFERROR(__xludf.DUMMYFUNCTION("""COMPUTED_VALUE"""),"P")</f>
        <v>P</v>
      </c>
      <c r="G245" s="5">
        <f>IFERROR(__xludf.DUMMYFUNCTION("""COMPUTED_VALUE"""),46076.0)</f>
        <v>46076</v>
      </c>
      <c r="H245" s="4" t="str">
        <f>IFERROR(__xludf.DUMMYFUNCTION("""COMPUTED_VALUE"""),"Nova abordagem.")</f>
        <v>Nova abordagem.</v>
      </c>
      <c r="I245" s="4"/>
      <c r="J245" s="4"/>
      <c r="K245" s="4"/>
      <c r="L245" s="4"/>
      <c r="M245" s="4"/>
      <c r="N245" s="4"/>
      <c r="O245" s="4"/>
      <c r="P245" s="4"/>
      <c r="Q245" s="4"/>
      <c r="R245" s="4"/>
      <c r="S245" s="4"/>
      <c r="T245" s="4"/>
      <c r="U245" s="4"/>
      <c r="V245" s="4"/>
      <c r="W245" s="4"/>
      <c r="X245" s="4"/>
      <c r="Y245" s="4"/>
      <c r="Z245" s="4"/>
      <c r="AA245" s="4">
        <f>IFERROR(__xludf.DUMMYFUNCTION("""COMPUTED_VALUE"""),10.0)</f>
        <v>10</v>
      </c>
      <c r="AB245" s="4" t="str">
        <f>IFERROR(__xludf.DUMMYFUNCTION("""COMPUTED_VALUE"""),"NÃO")</f>
        <v>NÃO</v>
      </c>
      <c r="AC245" s="4" t="str">
        <f>IFERROR(__xludf.DUMMYFUNCTION("""COMPUTED_VALUE"""),"BP")</f>
        <v>BP</v>
      </c>
      <c r="AD245" s="4"/>
      <c r="AE245" s="4"/>
      <c r="AF245" s="4"/>
      <c r="AG245" s="4"/>
      <c r="AH245" s="4"/>
      <c r="AI245" s="4"/>
      <c r="AJ245" s="4"/>
      <c r="AK245" s="4"/>
      <c r="AL245" s="4"/>
      <c r="AM245" s="4" t="str">
        <f>IFERROR(__xludf.DUMMYFUNCTION("""COMPUTED_VALUE"""),"FY26, FY27")</f>
        <v>FY26, FY27</v>
      </c>
      <c r="AN245" s="4"/>
      <c r="AO245" s="4">
        <f>IFERROR(__xludf.DUMMYFUNCTION("""COMPUTED_VALUE"""),140.0)</f>
        <v>140</v>
      </c>
      <c r="AP245" s="4">
        <f>IFERROR(__xludf.DUMMYFUNCTION("""COMPUTED_VALUE"""),0.0)</f>
        <v>0</v>
      </c>
      <c r="AQ245" s="4">
        <f>IFERROR(__xludf.DUMMYFUNCTION("""COMPUTED_VALUE"""),0.0)</f>
        <v>0</v>
      </c>
      <c r="AR245" s="4">
        <f>IFERROR(__xludf.DUMMYFUNCTION("""COMPUTED_VALUE"""),0.0)</f>
        <v>0</v>
      </c>
      <c r="AS245" s="4">
        <f>IFERROR(__xludf.DUMMYFUNCTION("""COMPUTED_VALUE"""),0.0)</f>
        <v>0</v>
      </c>
      <c r="AT245" s="4">
        <f>IFERROR(__xludf.DUMMYFUNCTION("""COMPUTED_VALUE"""),0.0)</f>
        <v>0</v>
      </c>
      <c r="AU245" s="4" t="str">
        <f>IFERROR(__xludf.DUMMYFUNCTION("""COMPUTED_VALUE"""),"Iza")</f>
        <v>Iza</v>
      </c>
      <c r="AV245" s="4">
        <f>IFERROR(__xludf.DUMMYFUNCTION("""COMPUTED_VALUE"""),0.0)</f>
        <v>0</v>
      </c>
      <c r="AW245" s="4">
        <f>IFERROR(__xludf.DUMMYFUNCTION("""COMPUTED_VALUE"""),0.0)</f>
        <v>0</v>
      </c>
      <c r="AX245" s="4">
        <f>IFERROR(__xludf.DUMMYFUNCTION("""COMPUTED_VALUE"""),0.0)</f>
        <v>0</v>
      </c>
      <c r="AY245" s="4"/>
      <c r="AZ245" s="4" t="str">
        <f>IFERROR(__xludf.DUMMYFUNCTION("""COMPUTED_VALUE"""),"NA")</f>
        <v>NA</v>
      </c>
      <c r="BA245" s="4">
        <f>IFERROR(__xludf.DUMMYFUNCTION("""COMPUTED_VALUE"""),71.0)</f>
        <v>71</v>
      </c>
      <c r="BB245" s="4" t="str">
        <f>IFERROR(__xludf.DUMMYFUNCTION("""COMPUTED_VALUE"""),"Fast Casual - Multi-conceito")</f>
        <v>Fast Casual - Multi-conceito</v>
      </c>
      <c r="BC245" s="4" t="str">
        <f>IFERROR(__xludf.DUMMYFUNCTION("""COMPUTED_VALUE"""),"Nacional")</f>
        <v>Nacional</v>
      </c>
      <c r="BD245" s="4" t="str">
        <f>IFERROR(__xludf.DUMMYFUNCTION("""COMPUTED_VALUE"""),"Dado não disponível publicamente - Necessário Discovery")</f>
        <v>Dado não disponível publicamente - Necessário Discovery</v>
      </c>
      <c r="BE245" s="4">
        <f>IFERROR(__xludf.DUMMYFUNCTION("""COMPUTED_VALUE"""),70.0)</f>
        <v>70</v>
      </c>
      <c r="BF245" s="4">
        <f>IFERROR(__xludf.DUMMYFUNCTION("""COMPUTED_VALUE"""),0.75)</f>
        <v>0.75</v>
      </c>
      <c r="BG24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45" s="4" t="s">
        <v>63</v>
      </c>
      <c r="BI245" s="7" t="s">
        <v>63</v>
      </c>
    </row>
    <row r="246" hidden="1">
      <c r="A246" s="4" t="str">
        <f>IFERROR(__xludf.DUMMYFUNCTION("""COMPUTED_VALUE"""),"Bar Do Juarez")</f>
        <v>Bar Do Juarez</v>
      </c>
      <c r="B246" s="4" t="str">
        <f>IFERROR(__xludf.DUMMYFUNCTION("""COMPUTED_VALUE"""),"João Biagiotti")</f>
        <v>João Biagiotti</v>
      </c>
      <c r="C246" s="4" t="str">
        <f>IFERROR(__xludf.DUMMYFUNCTION("""COMPUTED_VALUE"""),"Diego Santos")</f>
        <v>Diego Santos</v>
      </c>
      <c r="D246" s="4" t="str">
        <f>IFERROR(__xludf.DUMMYFUNCTION("""COMPUTED_VALUE"""),"9. Contrato assinado")</f>
        <v>9. Contrato assinado</v>
      </c>
      <c r="E246" s="4" t="str">
        <f>IFERROR(__xludf.DUMMYFUNCTION("""COMPUTED_VALUE"""),"Projetos - Em piloto")</f>
        <v>Projetos - Em piloto</v>
      </c>
      <c r="F246" s="4" t="str">
        <f>IFERROR(__xludf.DUMMYFUNCTION("""COMPUTED_VALUE"""),"P")</f>
        <v>P</v>
      </c>
      <c r="G246" s="5">
        <f>IFERROR(__xludf.DUMMYFUNCTION("""COMPUTED_VALUE"""),46128.0)</f>
        <v>46128</v>
      </c>
      <c r="H246" s="4" t="str">
        <f>IFERROR(__xludf.DUMMYFUNCTION("""COMPUTED_VALUE"""),"Contrato assinado, inserir o cliente na esteira de projetos. ")</f>
        <v>Contrato assinado, inserir o cliente na esteira de projetos. </v>
      </c>
      <c r="I246" s="4"/>
      <c r="J246" s="6">
        <f>IFERROR(__xludf.DUMMYFUNCTION("""COMPUTED_VALUE"""),46072.36839659722)</f>
        <v>46072.3684</v>
      </c>
      <c r="K246" s="6">
        <f>IFERROR(__xludf.DUMMYFUNCTION("""COMPUTED_VALUE"""),46076.69471848379)</f>
        <v>46076.69472</v>
      </c>
      <c r="L246" s="4"/>
      <c r="M246" s="6">
        <f>IFERROR(__xludf.DUMMYFUNCTION("""COMPUTED_VALUE"""),46101.479963715276)</f>
        <v>46101.47996</v>
      </c>
      <c r="N246" s="6">
        <f>IFERROR(__xludf.DUMMYFUNCTION("""COMPUTED_VALUE"""),46120.0)</f>
        <v>46120</v>
      </c>
      <c r="O246" s="6">
        <f>IFERROR(__xludf.DUMMYFUNCTION("""COMPUTED_VALUE"""),46128.58439171297)</f>
        <v>46128.58439</v>
      </c>
      <c r="P246" s="6">
        <f>IFERROR(__xludf.DUMMYFUNCTION("""COMPUTED_VALUE"""),46128.58491650463)</f>
        <v>46128.58492</v>
      </c>
      <c r="Q246" s="6">
        <f>IFERROR(__xludf.DUMMYFUNCTION("""COMPUTED_VALUE"""),46128.58496953704)</f>
        <v>46128.58497</v>
      </c>
      <c r="R246" s="4"/>
      <c r="S246" s="4"/>
      <c r="T246" s="4"/>
      <c r="U246" s="4"/>
      <c r="V246" s="4"/>
      <c r="W246" s="8">
        <f>IFERROR(__xludf.DUMMYFUNCTION("""COMPUTED_VALUE"""),600.0)</f>
        <v>600</v>
      </c>
      <c r="X246" s="4" t="str">
        <f>IFERROR(__xludf.DUMMYFUNCTION("""COMPUTED_VALUE"""),"12 meses")</f>
        <v>12 meses</v>
      </c>
      <c r="Y246" s="8" t="str">
        <f>IFERROR(__xludf.DUMMYFUNCTION("""COMPUTED_VALUE"""),"isento")</f>
        <v>isento</v>
      </c>
      <c r="Z246" s="8">
        <f>IFERROR(__xludf.DUMMYFUNCTION("""COMPUTED_VALUE"""),1800.0)</f>
        <v>1800</v>
      </c>
      <c r="AA246" s="4">
        <f>IFERROR(__xludf.DUMMYFUNCTION("""COMPUTED_VALUE"""),7.0)</f>
        <v>7</v>
      </c>
      <c r="AB246" s="4" t="str">
        <f>IFERROR(__xludf.DUMMYFUNCTION("""COMPUTED_VALUE"""),"NÃO")</f>
        <v>NÃO</v>
      </c>
      <c r="AC246" s="4" t="str">
        <f>IFERROR(__xludf.DUMMYFUNCTION("""COMPUTED_VALUE"""),"BP")</f>
        <v>BP</v>
      </c>
      <c r="AD246" s="4"/>
      <c r="AE246" s="4">
        <f>IFERROR(__xludf.DUMMYFUNCTION("""COMPUTED_VALUE"""),1.0)</f>
        <v>1</v>
      </c>
      <c r="AF246" s="4">
        <f>IFERROR(__xludf.DUMMYFUNCTION("""COMPUTED_VALUE"""),4.0)</f>
        <v>4</v>
      </c>
      <c r="AG246" s="4" t="str">
        <f>IFERROR(__xludf.DUMMYFUNCTION("""COMPUTED_VALUE"""),"40 dias")</f>
        <v>40 dias</v>
      </c>
      <c r="AH246" s="4"/>
      <c r="AI246" s="4"/>
      <c r="AJ246" s="4"/>
      <c r="AK246" s="4"/>
      <c r="AL246" s="4"/>
      <c r="AM246" s="4" t="str">
        <f>IFERROR(__xludf.DUMMYFUNCTION("""COMPUTED_VALUE"""),"FY26, FY27")</f>
        <v>FY26, FY27</v>
      </c>
      <c r="AN246" s="4" t="str">
        <f>IFERROR(__xludf.DUMMYFUNCTION("""COMPUTED_VALUE"""),"Comer Fora")</f>
        <v>Comer Fora</v>
      </c>
      <c r="AO246" s="4">
        <f>IFERROR(__xludf.DUMMYFUNCTION("""COMPUTED_VALUE"""),87.0)</f>
        <v>87</v>
      </c>
      <c r="AP246" s="4" t="str">
        <f>IFERROR(__xludf.DUMMYFUNCTION("""COMPUTED_VALUE"""),"SP")</f>
        <v>SP</v>
      </c>
      <c r="AQ246" s="4" t="str">
        <f>IFERROR(__xludf.DUMMYFUNCTION("""COMPUTED_VALUE"""),"RODRIGO BESSER")</f>
        <v>RODRIGO BESSER</v>
      </c>
      <c r="AR246" s="4" t="str">
        <f>IFERROR(__xludf.DUMMYFUNCTION("""COMPUTED_VALUE"""),"FERNANDA BENZZATTI")</f>
        <v>FERNANDA BENZZATTI</v>
      </c>
      <c r="AS246" s="4" t="str">
        <f>IFERROR(__xludf.DUMMYFUNCTION("""COMPUTED_VALUE"""),"NATHALIE MERTENS")</f>
        <v>NATHALIE MERTENS</v>
      </c>
      <c r="AT246" s="4" t="str">
        <f>IFERROR(__xludf.DUMMYFUNCTION("""COMPUTED_VALUE"""),"MARIANA KATZ")</f>
        <v>MARIANA KATZ</v>
      </c>
      <c r="AU246" s="4" t="str">
        <f>IFERROR(__xludf.DUMMYFUNCTION("""COMPUTED_VALUE"""),"Diego")</f>
        <v>Diego</v>
      </c>
      <c r="AV246" s="4">
        <f>IFERROR(__xludf.DUMMYFUNCTION("""COMPUTED_VALUE"""),0.0)</f>
        <v>0</v>
      </c>
      <c r="AW246" s="4">
        <f>IFERROR(__xludf.DUMMYFUNCTION("""COMPUTED_VALUE"""),0.0)</f>
        <v>0</v>
      </c>
      <c r="AX246" s="4">
        <f>IFERROR(__xludf.DUMMYFUNCTION("""COMPUTED_VALUE"""),0.0)</f>
        <v>0</v>
      </c>
      <c r="AY246" s="4"/>
      <c r="AZ246" s="4" t="str">
        <f>IFERROR(__xludf.DUMMYFUNCTION("""COMPUTED_VALUE"""),"Brasileira")</f>
        <v>Brasileira</v>
      </c>
      <c r="BA246" s="4" t="str">
        <f>IFERROR(__xludf.DUMMYFUNCTION("""COMPUTED_VALUE"""),"")</f>
        <v/>
      </c>
      <c r="BB246" s="4" t="str">
        <f>IFERROR(__xludf.DUMMYFUNCTION("""COMPUTED_VALUE"""),"")</f>
        <v/>
      </c>
      <c r="BC246" s="4" t="str">
        <f>IFERROR(__xludf.DUMMYFUNCTION("""COMPUTED_VALUE"""),"")</f>
        <v/>
      </c>
      <c r="BD246" s="4" t="str">
        <f>IFERROR(__xludf.DUMMYFUNCTION("""COMPUTED_VALUE"""),"")</f>
        <v/>
      </c>
      <c r="BE246" s="4" t="str">
        <f>IFERROR(__xludf.DUMMYFUNCTION("""COMPUTED_VALUE"""),"")</f>
        <v/>
      </c>
      <c r="BF246" s="4" t="str">
        <f>IFERROR(__xludf.DUMMYFUNCTION("""COMPUTED_VALUE"""),"")</f>
        <v/>
      </c>
      <c r="BG246" s="4" t="str">
        <f>IFERROR(__xludf.DUMMYFUNCTION("""COMPUTED_VALUE"""),"")</f>
        <v/>
      </c>
      <c r="BH246" s="4" t="s">
        <v>118</v>
      </c>
      <c r="BI246" s="7">
        <v>1.0</v>
      </c>
    </row>
    <row r="247" hidden="1">
      <c r="A247" s="4" t="str">
        <f>IFERROR(__xludf.DUMMYFUNCTION("""COMPUTED_VALUE"""),"Barolo Trattoria Curitiba")</f>
        <v>Barolo Trattoria Curitiba</v>
      </c>
      <c r="B247" s="4" t="str">
        <f>IFERROR(__xludf.DUMMYFUNCTION("""COMPUTED_VALUE"""),"Lídia Esteves")</f>
        <v>Lídia Esteves</v>
      </c>
      <c r="C247" s="4" t="str">
        <f>IFERROR(__xludf.DUMMYFUNCTION("""COMPUTED_VALUE"""),"Gabriela Roma")</f>
        <v>Gabriela Roma</v>
      </c>
      <c r="D247" s="4" t="str">
        <f>IFERROR(__xludf.DUMMYFUNCTION("""COMPUTED_VALUE"""),"5. Demo/Showroom")</f>
        <v>5. Demo/Showroom</v>
      </c>
      <c r="E247" s="4" t="str">
        <f>IFERROR(__xludf.DUMMYFUNCTION("""COMPUTED_VALUE"""),"Parceiro - Aguardando retorno / Conciliação agenda")</f>
        <v>Parceiro - Aguardando retorno / Conciliação agenda</v>
      </c>
      <c r="F247" s="4" t="str">
        <f>IFERROR(__xludf.DUMMYFUNCTION("""COMPUTED_VALUE"""),"P")</f>
        <v>P</v>
      </c>
      <c r="G247" s="5">
        <f>IFERROR(__xludf.DUMMYFUNCTION("""COMPUTED_VALUE"""),46153.0)</f>
        <v>46153</v>
      </c>
      <c r="H247" s="4" t="str">
        <f>IFERROR(__xludf.DUMMYFUNCTION("""COMPUTED_VALUE"""),"aguardando confirmação de agenda pra 14/5 - coord de delivery acompanhando")</f>
        <v>aguardando confirmação de agenda pra 14/5 - coord de delivery acompanhando</v>
      </c>
      <c r="I247" s="4"/>
      <c r="J247" s="4"/>
      <c r="K247" s="6">
        <f>IFERROR(__xludf.DUMMYFUNCTION("""COMPUTED_VALUE"""),46064.0)</f>
        <v>46064</v>
      </c>
      <c r="L247" s="6">
        <f>IFERROR(__xludf.DUMMYFUNCTION("""COMPUTED_VALUE"""),46065.44040143519)</f>
        <v>46065.4404</v>
      </c>
      <c r="M247" s="6">
        <f>IFERROR(__xludf.DUMMYFUNCTION("""COMPUTED_VALUE"""),46092.0)</f>
        <v>46092</v>
      </c>
      <c r="N247" s="4"/>
      <c r="O247" s="4"/>
      <c r="P247" s="4"/>
      <c r="Q247" s="4"/>
      <c r="R247" s="4"/>
      <c r="S247" s="4"/>
      <c r="T247" s="4"/>
      <c r="U247" s="4"/>
      <c r="V247" s="4"/>
      <c r="W247" s="4"/>
      <c r="X247" s="4"/>
      <c r="Y247" s="4"/>
      <c r="Z247" s="4"/>
      <c r="AA247" s="4">
        <f>IFERROR(__xludf.DUMMYFUNCTION("""COMPUTED_VALUE"""),11.0)</f>
        <v>11</v>
      </c>
      <c r="AB247" s="4" t="str">
        <f>IFERROR(__xludf.DUMMYFUNCTION("""COMPUTED_VALUE"""),"-")</f>
        <v>-</v>
      </c>
      <c r="AC247" s="4" t="str">
        <f>IFERROR(__xludf.DUMMYFUNCTION("""COMPUTED_VALUE"""),"-")</f>
        <v>-</v>
      </c>
      <c r="AD247" s="4"/>
      <c r="AE247" s="4"/>
      <c r="AF247" s="4"/>
      <c r="AG247" s="4"/>
      <c r="AH247" s="4"/>
      <c r="AI247" s="4"/>
      <c r="AJ247" s="4"/>
      <c r="AK247" s="4"/>
      <c r="AL247" s="4"/>
      <c r="AM247" s="4" t="str">
        <f>IFERROR(__xludf.DUMMYFUNCTION("""COMPUTED_VALUE"""),"FY26, FY27")</f>
        <v>FY26, FY27</v>
      </c>
      <c r="AN247" s="4"/>
      <c r="AO247" s="4">
        <f>IFERROR(__xludf.DUMMYFUNCTION("""COMPUTED_VALUE"""),62.0)</f>
        <v>62</v>
      </c>
      <c r="AP247" s="4" t="str">
        <f>IFERROR(__xludf.DUMMYFUNCTION("""COMPUTED_VALUE"""),"DF")</f>
        <v>DF</v>
      </c>
      <c r="AQ247" s="4" t="str">
        <f>IFERROR(__xludf.DUMMYFUNCTION("""COMPUTED_VALUE"""),"RAFAEL FERREIRA")</f>
        <v>RAFAEL FERREIRA</v>
      </c>
      <c r="AR247" s="4" t="str">
        <f>IFERROR(__xludf.DUMMYFUNCTION("""COMPUTED_VALUE"""),"CAMILLA HENNING")</f>
        <v>CAMILLA HENNING</v>
      </c>
      <c r="AS247" s="4" t="str">
        <f>IFERROR(__xludf.DUMMYFUNCTION("""COMPUTED_VALUE"""),"FABIO DONATO")</f>
        <v>FABIO DONATO</v>
      </c>
      <c r="AT247" s="4" t="str">
        <f>IFERROR(__xludf.DUMMYFUNCTION("""COMPUTED_VALUE"""),"MURILO NAGASHIMA")</f>
        <v>MURILO NAGASHIMA</v>
      </c>
      <c r="AU247" s="4" t="str">
        <f>IFERROR(__xludf.DUMMYFUNCTION("""COMPUTED_VALUE"""),"Lídia / Emerson")</f>
        <v>Lídia / Emerson</v>
      </c>
      <c r="AV247" s="4">
        <f>IFERROR(__xludf.DUMMYFUNCTION("""COMPUTED_VALUE"""),0.0)</f>
        <v>0</v>
      </c>
      <c r="AW247" s="4">
        <f>IFERROR(__xludf.DUMMYFUNCTION("""COMPUTED_VALUE"""),0.0)</f>
        <v>0</v>
      </c>
      <c r="AX247" s="4">
        <f>IFERROR(__xludf.DUMMYFUNCTION("""COMPUTED_VALUE"""),0.0)</f>
        <v>0</v>
      </c>
      <c r="AY247" s="4"/>
      <c r="AZ247" s="4" t="str">
        <f>IFERROR(__xludf.DUMMYFUNCTION("""COMPUTED_VALUE"""),"Italiana")</f>
        <v>Italiana</v>
      </c>
      <c r="BA247" s="4">
        <f>IFERROR(__xludf.DUMMYFUNCTION("""COMPUTED_VALUE"""),51.0)</f>
        <v>51</v>
      </c>
      <c r="BB247" s="4" t="str">
        <f>IFERROR(__xludf.DUMMYFUNCTION("""COMPUTED_VALUE"""),"Fast Casual - Multi-conceito")</f>
        <v>Fast Casual - Multi-conceito</v>
      </c>
      <c r="BC247" s="4" t="str">
        <f>IFERROR(__xludf.DUMMYFUNCTION("""COMPUTED_VALUE"""),"Sul")</f>
        <v>Sul</v>
      </c>
      <c r="BD247" s="4" t="str">
        <f>IFERROR(__xludf.DUMMYFUNCTION("""COMPUTED_VALUE"""),"Dado não disponível publicamente - Necessário Discovery")</f>
        <v>Dado não disponível publicamente - Necessário Discovery</v>
      </c>
      <c r="BE247" s="4">
        <f>IFERROR(__xludf.DUMMYFUNCTION("""COMPUTED_VALUE"""),65.0)</f>
        <v>65</v>
      </c>
      <c r="BF247" s="4">
        <f>IFERROR(__xludf.DUMMYFUNCTION("""COMPUTED_VALUE"""),0.75)</f>
        <v>0.75</v>
      </c>
      <c r="BG24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47" s="4" t="s">
        <v>99</v>
      </c>
      <c r="BI247" s="7">
        <v>0.5</v>
      </c>
    </row>
    <row r="248" hidden="1">
      <c r="A248" s="4" t="str">
        <f>IFERROR(__xludf.DUMMYFUNCTION("""COMPUTED_VALUE"""),"Baruk Esfiha E Shawarmas")</f>
        <v>Baruk Esfiha E Shawarmas</v>
      </c>
      <c r="B248" s="4" t="str">
        <f>IFERROR(__xludf.DUMMYFUNCTION("""COMPUTED_VALUE"""),"Lídia Esteves")</f>
        <v>Lídia Esteves</v>
      </c>
      <c r="C248" s="4" t="str">
        <f>IFERROR(__xludf.DUMMYFUNCTION("""COMPUTED_VALUE"""),"Gabriela Roma")</f>
        <v>Gabriela Roma</v>
      </c>
      <c r="D248" s="4" t="str">
        <f>IFERROR(__xludf.DUMMYFUNCTION("""COMPUTED_VALUE"""),"1. Iniciado")</f>
        <v>1. Iniciado</v>
      </c>
      <c r="E248" s="4"/>
      <c r="F248" s="4" t="str">
        <f>IFERROR(__xludf.DUMMYFUNCTION("""COMPUTED_VALUE"""),"P")</f>
        <v>P</v>
      </c>
      <c r="G248" s="4"/>
      <c r="H248" s="4"/>
      <c r="I248" s="6">
        <f>IFERROR(__xludf.DUMMYFUNCTION("""COMPUTED_VALUE"""),46153.72665084491)</f>
        <v>46153.72665</v>
      </c>
      <c r="J248" s="4"/>
      <c r="K248" s="4"/>
      <c r="L248" s="4"/>
      <c r="M248" s="4"/>
      <c r="N248" s="4"/>
      <c r="O248" s="4"/>
      <c r="P248" s="4"/>
      <c r="Q248" s="4"/>
      <c r="R248" s="4"/>
      <c r="S248" s="4"/>
      <c r="T248" s="4"/>
      <c r="U248" s="4"/>
      <c r="V248" s="4"/>
      <c r="W248" s="4"/>
      <c r="X248" s="4"/>
      <c r="Y248" s="4"/>
      <c r="Z248" s="4"/>
      <c r="AA248" s="4">
        <f>IFERROR(__xludf.DUMMYFUNCTION("""COMPUTED_VALUE"""),1.0)</f>
        <v>1</v>
      </c>
      <c r="AB248" s="4" t="str">
        <f>IFERROR(__xludf.DUMMYFUNCTION("""COMPUTED_VALUE"""),"-")</f>
        <v>-</v>
      </c>
      <c r="AC248" s="4" t="str">
        <f>IFERROR(__xludf.DUMMYFUNCTION("""COMPUTED_VALUE"""),"-")</f>
        <v>-</v>
      </c>
      <c r="AD248" s="4"/>
      <c r="AE248" s="4"/>
      <c r="AF248" s="4"/>
      <c r="AG248" s="4"/>
      <c r="AH248" s="4"/>
      <c r="AI248" s="4"/>
      <c r="AJ248" s="4"/>
      <c r="AK248" s="4"/>
      <c r="AL248" s="4"/>
      <c r="AM248" s="4" t="str">
        <f>IFERROR(__xludf.DUMMYFUNCTION("""COMPUTED_VALUE"""),"FY26, FY27")</f>
        <v>FY26, FY27</v>
      </c>
      <c r="AN248" s="4"/>
      <c r="AO248" s="4">
        <f>IFERROR(__xludf.DUMMYFUNCTION("""COMPUTED_VALUE"""),45553.0)</f>
        <v>45553</v>
      </c>
      <c r="AP248" s="4" t="str">
        <f>IFERROR(__xludf.DUMMYFUNCTION("""COMPUTED_VALUE"""),"PR")</f>
        <v>PR</v>
      </c>
      <c r="AQ248" s="4" t="str">
        <f>IFERROR(__xludf.DUMMYFUNCTION("""COMPUTED_VALUE"""),"BRUNA MONTEZIN")</f>
        <v>BRUNA MONTEZIN</v>
      </c>
      <c r="AR248" s="4" t="str">
        <f>IFERROR(__xludf.DUMMYFUNCTION("""COMPUTED_VALUE"""),"LYAMARA OLTRAMARI")</f>
        <v>LYAMARA OLTRAMARI</v>
      </c>
      <c r="AS248" s="4" t="str">
        <f>IFERROR(__xludf.DUMMYFUNCTION("""COMPUTED_VALUE"""),"FABIO DONATO")</f>
        <v>FABIO DONATO</v>
      </c>
      <c r="AT248" s="4" t="str">
        <f>IFERROR(__xludf.DUMMYFUNCTION("""COMPUTED_VALUE"""),"MURILO NAGASHIMA")</f>
        <v>MURILO NAGASHIMA</v>
      </c>
      <c r="AU248" s="4" t="str">
        <f>IFERROR(__xludf.DUMMYFUNCTION("""COMPUTED_VALUE"""),"Lídia / Emerson")</f>
        <v>Lídia / Emerson</v>
      </c>
      <c r="AV248" s="4">
        <f>IFERROR(__xludf.DUMMYFUNCTION("""COMPUTED_VALUE"""),0.0)</f>
        <v>0</v>
      </c>
      <c r="AW248" s="4">
        <f>IFERROR(__xludf.DUMMYFUNCTION("""COMPUTED_VALUE"""),0.0)</f>
        <v>0</v>
      </c>
      <c r="AX248" s="4">
        <f>IFERROR(__xludf.DUMMYFUNCTION("""COMPUTED_VALUE"""),0.0)</f>
        <v>0</v>
      </c>
      <c r="AY248" s="4"/>
      <c r="AZ248" s="4" t="str">
        <f>IFERROR(__xludf.DUMMYFUNCTION("""COMPUTED_VALUE"""),"Marmita")</f>
        <v>Marmita</v>
      </c>
      <c r="BA248" s="4">
        <f>IFERROR(__xludf.DUMMYFUNCTION("""COMPUTED_VALUE"""),53.0)</f>
        <v>53</v>
      </c>
      <c r="BB248" s="4" t="str">
        <f>IFERROR(__xludf.DUMMYFUNCTION("""COMPUTED_VALUE"""),"Fast Casual - Esfiharia")</f>
        <v>Fast Casual - Esfiharia</v>
      </c>
      <c r="BC248" s="4" t="str">
        <f>IFERROR(__xludf.DUMMYFUNCTION("""COMPUTED_VALUE"""),"Belo Horizonte/MG")</f>
        <v>Belo Horizonte/MG</v>
      </c>
      <c r="BD248" s="4" t="str">
        <f>IFERROR(__xludf.DUMMYFUNCTION("""COMPUTED_VALUE"""),"Dado não disponível publicamente - Necessário Discovery")</f>
        <v>Dado não disponível publicamente - Necessário Discovery</v>
      </c>
      <c r="BE248" s="4">
        <f>IFERROR(__xludf.DUMMYFUNCTION("""COMPUTED_VALUE"""),70.0)</f>
        <v>70</v>
      </c>
      <c r="BF248" s="4">
        <f>IFERROR(__xludf.DUMMYFUNCTION("""COMPUTED_VALUE"""),0.8)</f>
        <v>0.8</v>
      </c>
      <c r="BG248"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248" s="4" t="s">
        <v>119</v>
      </c>
      <c r="BI248" s="7">
        <v>1.0</v>
      </c>
    </row>
    <row r="249">
      <c r="A249" s="4" t="str">
        <f>IFERROR(__xludf.DUMMYFUNCTION("""COMPUTED_VALUE"""),"Bengo Açai")</f>
        <v>Bengo Açai</v>
      </c>
      <c r="B249" s="4" t="str">
        <f>IFERROR(__xludf.DUMMYFUNCTION("""COMPUTED_VALUE"""),"Leonardo Roso")</f>
        <v>Leonardo Roso</v>
      </c>
      <c r="C249" s="4" t="str">
        <f>IFERROR(__xludf.DUMMYFUNCTION("""COMPUTED_VALUE"""),"Leonardo Roso")</f>
        <v>Leonardo Roso</v>
      </c>
      <c r="D249" s="4" t="str">
        <f>IFERROR(__xludf.DUMMYFUNCTION("""COMPUTED_VALUE"""),"1. Iniciado")</f>
        <v>1. Iniciado</v>
      </c>
      <c r="E249" s="4" t="str">
        <f>IFERROR(__xludf.DUMMYFUNCTION("""COMPUTED_VALUE"""),"Comercial - Tentativa não iniciada")</f>
        <v>Comercial - Tentativa não iniciada</v>
      </c>
      <c r="F249" s="4" t="str">
        <f>IFERROR(__xludf.DUMMYFUNCTION("""COMPUTED_VALUE"""),"G")</f>
        <v>G</v>
      </c>
      <c r="G249" s="5">
        <f>IFERROR(__xludf.DUMMYFUNCTION("""COMPUTED_VALUE"""),46118.0)</f>
        <v>46118</v>
      </c>
      <c r="H249" s="4" t="str">
        <f>IFERROR(__xludf.DUMMYFUNCTION("""COMPUTED_VALUE"""),"Tentativa de contato via linkedin com diretor de marketing e time de CE")</f>
        <v>Tentativa de contato via linkedin com diretor de marketing e time de CE</v>
      </c>
      <c r="I249" s="6">
        <f>IFERROR(__xludf.DUMMYFUNCTION("""COMPUTED_VALUE"""),46118.46131032407)</f>
        <v>46118.46131</v>
      </c>
      <c r="J249" s="4"/>
      <c r="K249" s="4"/>
      <c r="L249" s="4"/>
      <c r="M249" s="4"/>
      <c r="N249" s="4"/>
      <c r="O249" s="4"/>
      <c r="P249" s="4"/>
      <c r="Q249" s="4"/>
      <c r="R249" s="4"/>
      <c r="S249" s="4"/>
      <c r="T249" s="4"/>
      <c r="U249" s="4"/>
      <c r="V249" s="4"/>
      <c r="W249" s="4"/>
      <c r="X249" s="4"/>
      <c r="Y249" s="4"/>
      <c r="Z249" s="4"/>
      <c r="AA249" s="4">
        <f>IFERROR(__xludf.DUMMYFUNCTION("""COMPUTED_VALUE"""),140.0)</f>
        <v>140</v>
      </c>
      <c r="AB249" s="4" t="str">
        <f>IFERROR(__xludf.DUMMYFUNCTION("""COMPUTED_VALUE"""),"NÃO")</f>
        <v>NÃO</v>
      </c>
      <c r="AC249" s="4" t="str">
        <f>IFERROR(__xludf.DUMMYFUNCTION("""COMPUTED_VALUE"""),"Não BP")</f>
        <v>Não BP</v>
      </c>
      <c r="AD249" s="4"/>
      <c r="AE249" s="4"/>
      <c r="AF249" s="4"/>
      <c r="AG249" s="4"/>
      <c r="AH249" s="4"/>
      <c r="AI249" s="4"/>
      <c r="AJ249" s="4"/>
      <c r="AK249" s="4"/>
      <c r="AL249" s="4"/>
      <c r="AM249" s="4" t="str">
        <f>IFERROR(__xludf.DUMMYFUNCTION("""COMPUTED_VALUE"""),"FY26, FY27")</f>
        <v>FY26, FY27</v>
      </c>
      <c r="AN249" s="4"/>
      <c r="AO249" s="4">
        <f>IFERROR(__xludf.DUMMYFUNCTION("""COMPUTED_VALUE"""),97.0)</f>
        <v>97</v>
      </c>
      <c r="AP249" s="4">
        <f>IFERROR(__xludf.DUMMYFUNCTION("""COMPUTED_VALUE"""),0.0)</f>
        <v>0</v>
      </c>
      <c r="AQ249" s="4">
        <f>IFERROR(__xludf.DUMMYFUNCTION("""COMPUTED_VALUE"""),0.0)</f>
        <v>0</v>
      </c>
      <c r="AR249" s="4">
        <f>IFERROR(__xludf.DUMMYFUNCTION("""COMPUTED_VALUE"""),0.0)</f>
        <v>0</v>
      </c>
      <c r="AS249" s="4">
        <f>IFERROR(__xludf.DUMMYFUNCTION("""COMPUTED_VALUE"""),0.0)</f>
        <v>0</v>
      </c>
      <c r="AT249" s="4">
        <f>IFERROR(__xludf.DUMMYFUNCTION("""COMPUTED_VALUE"""),0.0)</f>
        <v>0</v>
      </c>
      <c r="AU249" s="4">
        <f>IFERROR(__xludf.DUMMYFUNCTION("""COMPUTED_VALUE"""),0.0)</f>
        <v>0</v>
      </c>
      <c r="AV249" s="4">
        <f>IFERROR(__xludf.DUMMYFUNCTION("""COMPUTED_VALUE"""),0.0)</f>
        <v>0</v>
      </c>
      <c r="AW249" s="4">
        <f>IFERROR(__xludf.DUMMYFUNCTION("""COMPUTED_VALUE"""),0.0)</f>
        <v>0</v>
      </c>
      <c r="AX249" s="4">
        <f>IFERROR(__xludf.DUMMYFUNCTION("""COMPUTED_VALUE"""),0.0)</f>
        <v>0</v>
      </c>
      <c r="AY249" s="4"/>
      <c r="AZ249" s="4" t="str">
        <f>IFERROR(__xludf.DUMMYFUNCTION("""COMPUTED_VALUE"""),"NA")</f>
        <v>NA</v>
      </c>
      <c r="BA249" s="4" t="str">
        <f>IFERROR(__xludf.DUMMYFUNCTION("""COMPUTED_VALUE"""),"")</f>
        <v/>
      </c>
      <c r="BB249" s="4" t="str">
        <f>IFERROR(__xludf.DUMMYFUNCTION("""COMPUTED_VALUE"""),"")</f>
        <v/>
      </c>
      <c r="BC249" s="4" t="str">
        <f>IFERROR(__xludf.DUMMYFUNCTION("""COMPUTED_VALUE"""),"")</f>
        <v/>
      </c>
      <c r="BD249" s="4" t="str">
        <f>IFERROR(__xludf.DUMMYFUNCTION("""COMPUTED_VALUE"""),"")</f>
        <v/>
      </c>
      <c r="BE249" s="4" t="str">
        <f>IFERROR(__xludf.DUMMYFUNCTION("""COMPUTED_VALUE"""),"")</f>
        <v/>
      </c>
      <c r="BF249" s="4" t="str">
        <f>IFERROR(__xludf.DUMMYFUNCTION("""COMPUTED_VALUE"""),"")</f>
        <v/>
      </c>
      <c r="BG249" s="4" t="str">
        <f>IFERROR(__xludf.DUMMYFUNCTION("""COMPUTED_VALUE"""),"")</f>
        <v/>
      </c>
      <c r="BH249" s="4" t="s">
        <v>63</v>
      </c>
      <c r="BI249" s="7" t="s">
        <v>63</v>
      </c>
    </row>
    <row r="250" hidden="1">
      <c r="A250" s="4" t="str">
        <f>IFERROR(__xludf.DUMMYFUNCTION("""COMPUTED_VALUE"""),"Bibi Sucos")</f>
        <v>Bibi Sucos</v>
      </c>
      <c r="B250" s="4" t="str">
        <f>IFERROR(__xludf.DUMMYFUNCTION("""COMPUTED_VALUE"""),"Emerson")</f>
        <v>Emerson</v>
      </c>
      <c r="C250" s="4" t="str">
        <f>IFERROR(__xludf.DUMMYFUNCTION("""COMPUTED_VALUE"""),"Emerson")</f>
        <v>Emerson</v>
      </c>
      <c r="D250" s="4" t="str">
        <f>IFERROR(__xludf.DUMMYFUNCTION("""COMPUTED_VALUE"""),"11. Stand by")</f>
        <v>11. Stand by</v>
      </c>
      <c r="E250" s="4"/>
      <c r="F250" s="4" t="str">
        <f>IFERROR(__xludf.DUMMYFUNCTION("""COMPUTED_VALUE"""),"P")</f>
        <v>P</v>
      </c>
      <c r="G250" s="4"/>
      <c r="H250" s="4"/>
      <c r="I250" s="4"/>
      <c r="J250" s="4"/>
      <c r="K250" s="6">
        <f>IFERROR(__xludf.DUMMYFUNCTION("""COMPUTED_VALUE"""),45892.0)</f>
        <v>45892</v>
      </c>
      <c r="L250" s="4"/>
      <c r="M250" s="4"/>
      <c r="N250" s="4"/>
      <c r="O250" s="4"/>
      <c r="P250" s="4"/>
      <c r="Q250" s="4"/>
      <c r="R250" s="4"/>
      <c r="S250" s="4"/>
      <c r="T250" s="4"/>
      <c r="U250" s="4"/>
      <c r="V250" s="4"/>
      <c r="W250" s="4"/>
      <c r="X250" s="4"/>
      <c r="Y250" s="4"/>
      <c r="Z250" s="4"/>
      <c r="AA250" s="4">
        <f>IFERROR(__xludf.DUMMYFUNCTION("""COMPUTED_VALUE"""),18.0)</f>
        <v>18</v>
      </c>
      <c r="AB250" s="4" t="str">
        <f>IFERROR(__xludf.DUMMYFUNCTION("""COMPUTED_VALUE"""),"NÃO")</f>
        <v>NÃO</v>
      </c>
      <c r="AC250" s="4" t="str">
        <f>IFERROR(__xludf.DUMMYFUNCTION("""COMPUTED_VALUE"""),"BP")</f>
        <v>BP</v>
      </c>
      <c r="AD250" s="4"/>
      <c r="AE250" s="4"/>
      <c r="AF250" s="4"/>
      <c r="AG250" s="4"/>
      <c r="AH250" s="4"/>
      <c r="AI250" s="4"/>
      <c r="AJ250" s="4"/>
      <c r="AK250" s="4"/>
      <c r="AL250" s="4"/>
      <c r="AM250" s="4" t="str">
        <f>IFERROR(__xludf.DUMMYFUNCTION("""COMPUTED_VALUE"""),"FY26, FY27")</f>
        <v>FY26, FY27</v>
      </c>
      <c r="AN250" s="4" t="str">
        <f>IFERROR(__xludf.DUMMYFUNCTION("""COMPUTED_VALUE"""),"Comer Fora")</f>
        <v>Comer Fora</v>
      </c>
      <c r="AO250" s="4">
        <f>IFERROR(__xludf.DUMMYFUNCTION("""COMPUTED_VALUE"""),45553.0)</f>
        <v>45553</v>
      </c>
      <c r="AP250" s="4" t="str">
        <f>IFERROR(__xludf.DUMMYFUNCTION("""COMPUTED_VALUE"""),"RJ")</f>
        <v>RJ</v>
      </c>
      <c r="AQ250" s="4" t="str">
        <f>IFERROR(__xludf.DUMMYFUNCTION("""COMPUTED_VALUE"""),"THIAGO FERNANDES")</f>
        <v>THIAGO FERNANDES</v>
      </c>
      <c r="AR250" s="4" t="str">
        <f>IFERROR(__xludf.DUMMYFUNCTION("""COMPUTED_VALUE"""),"MARCELLA SOTTO")</f>
        <v>MARCELLA SOTTO</v>
      </c>
      <c r="AS250" s="4" t="str">
        <f>IFERROR(__xludf.DUMMYFUNCTION("""COMPUTED_VALUE"""),"NATHALIE MERTENS")</f>
        <v>NATHALIE MERTENS</v>
      </c>
      <c r="AT250" s="4" t="str">
        <f>IFERROR(__xludf.DUMMYFUNCTION("""COMPUTED_VALUE"""),"MARIANA KATZ")</f>
        <v>MARIANA KATZ</v>
      </c>
      <c r="AU250" s="4" t="str">
        <f>IFERROR(__xludf.DUMMYFUNCTION("""COMPUTED_VALUE"""),"Emerson")</f>
        <v>Emerson</v>
      </c>
      <c r="AV250" s="4" t="str">
        <f>IFERROR(__xludf.DUMMYFUNCTION("""COMPUTED_VALUE"""),"Comer Fora-")</f>
        <v>Comer Fora-</v>
      </c>
      <c r="AW250" s="20" t="str">
        <f>IFERROR(__xludf.DUMMYFUNCTION("""COMPUTED_VALUE"""),"P e M - pipe")</f>
        <v>P e M - pipe</v>
      </c>
      <c r="AX250" s="4"/>
      <c r="AY250" s="4">
        <f>IFERROR(__xludf.DUMMYFUNCTION("""COMPUTED_VALUE"""),0.0)</f>
        <v>0</v>
      </c>
      <c r="AZ250" s="4" t="str">
        <f>IFERROR(__xludf.DUMMYFUNCTION("""COMPUTED_VALUE"""),"Brasileira")</f>
        <v>Brasileira</v>
      </c>
      <c r="BA250" s="4">
        <f>IFERROR(__xludf.DUMMYFUNCTION("""COMPUTED_VALUE"""),65.0)</f>
        <v>65</v>
      </c>
      <c r="BB250" s="4" t="str">
        <f>IFERROR(__xludf.DUMMYFUNCTION("""COMPUTED_VALUE"""),"Fast Casual - Multi-conceito")</f>
        <v>Fast Casual - Multi-conceito</v>
      </c>
      <c r="BC250" s="4" t="str">
        <f>IFERROR(__xludf.DUMMYFUNCTION("""COMPUTED_VALUE"""),"Belo Horizonte/MG")</f>
        <v>Belo Horizonte/MG</v>
      </c>
      <c r="BD250" s="4" t="str">
        <f>IFERROR(__xludf.DUMMYFUNCTION("""COMPUTED_VALUE"""),"Dado não disponível publicamente - Necessário Discovery")</f>
        <v>Dado não disponível publicamente - Necessário Discovery</v>
      </c>
      <c r="BE250" s="4">
        <f>IFERROR(__xludf.DUMMYFUNCTION("""COMPUTED_VALUE"""),70.0)</f>
        <v>70</v>
      </c>
      <c r="BF250" s="4">
        <f>IFERROR(__xludf.DUMMYFUNCTION("""COMPUTED_VALUE"""),0.75)</f>
        <v>0.75</v>
      </c>
      <c r="BG25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50" s="4" t="s">
        <v>63</v>
      </c>
      <c r="BI250" s="7" t="s">
        <v>63</v>
      </c>
    </row>
    <row r="251" hidden="1">
      <c r="A251" s="4" t="str">
        <f>IFERROR(__xludf.DUMMYFUNCTION("""COMPUTED_VALUE"""),"Big X Picanha")</f>
        <v>Big X Picanha</v>
      </c>
      <c r="B251" s="4" t="str">
        <f>IFERROR(__xludf.DUMMYFUNCTION("""COMPUTED_VALUE"""),"João Biagiotti")</f>
        <v>João Biagiotti</v>
      </c>
      <c r="C251" s="4" t="str">
        <f>IFERROR(__xludf.DUMMYFUNCTION("""COMPUTED_VALUE"""),"Diego Santos")</f>
        <v>Diego Santos</v>
      </c>
      <c r="D251" s="4" t="str">
        <f>IFERROR(__xludf.DUMMYFUNCTION("""COMPUTED_VALUE"""),"13. Reativado")</f>
        <v>13. Reativado</v>
      </c>
      <c r="E251" s="4" t="str">
        <f>IFERROR(__xludf.DUMMYFUNCTION("""COMPUTED_VALUE"""),"Parceiro - Aguardando retorno parceiro")</f>
        <v>Parceiro - Aguardando retorno parceiro</v>
      </c>
      <c r="F251" s="4" t="str">
        <f>IFERROR(__xludf.DUMMYFUNCTION("""COMPUTED_VALUE"""),"M")</f>
        <v>M</v>
      </c>
      <c r="G251" s="5">
        <f>IFERROR(__xludf.DUMMYFUNCTION("""COMPUTED_VALUE"""),46076.0)</f>
        <v>46076</v>
      </c>
      <c r="H251" s="4" t="str">
        <f>IFERROR(__xludf.DUMMYFUNCTION("""COMPUTED_VALUE"""),"Cliente pediu para retornar em outro momento, abril/26 e não tem atendimento no delivery.")</f>
        <v>Cliente pediu para retornar em outro momento, abril/26 e não tem atendimento no delivery.</v>
      </c>
      <c r="I251" s="4"/>
      <c r="J251" s="4"/>
      <c r="K251" s="6">
        <f>IFERROR(__xludf.DUMMYFUNCTION("""COMPUTED_VALUE"""),45963.0)</f>
        <v>45963</v>
      </c>
      <c r="L251" s="6">
        <f>IFERROR(__xludf.DUMMYFUNCTION("""COMPUTED_VALUE"""),46050.48371755787)</f>
        <v>46050.48372</v>
      </c>
      <c r="M251" s="4"/>
      <c r="N251" s="4"/>
      <c r="O251" s="4"/>
      <c r="P251" s="4"/>
      <c r="Q251" s="4"/>
      <c r="R251" s="4"/>
      <c r="S251" s="6">
        <f>IFERROR(__xludf.DUMMYFUNCTION("""COMPUTED_VALUE"""),46072.48220540509)</f>
        <v>46072.48221</v>
      </c>
      <c r="T251" s="4"/>
      <c r="U251" s="6">
        <f>IFERROR(__xludf.DUMMYFUNCTION("""COMPUTED_VALUE"""),46128.656621539354)</f>
        <v>46128.65662</v>
      </c>
      <c r="V251" s="4" t="str">
        <f>IFERROR(__xludf.DUMMYFUNCTION("""COMPUTED_VALUE"""),"Outros")</f>
        <v>Outros</v>
      </c>
      <c r="W251" s="4"/>
      <c r="X251" s="4"/>
      <c r="Y251" s="4"/>
      <c r="Z251" s="4"/>
      <c r="AA251" s="4">
        <f>IFERROR(__xludf.DUMMYFUNCTION("""COMPUTED_VALUE"""),30.0)</f>
        <v>30</v>
      </c>
      <c r="AB251" s="4" t="str">
        <f>IFERROR(__xludf.DUMMYFUNCTION("""COMPUTED_VALUE"""),"NÃO")</f>
        <v>NÃO</v>
      </c>
      <c r="AC251" s="4" t="str">
        <f>IFERROR(__xludf.DUMMYFUNCTION("""COMPUTED_VALUE"""),"Não BP")</f>
        <v>Não BP</v>
      </c>
      <c r="AD251" s="4"/>
      <c r="AE251" s="4"/>
      <c r="AF251" s="4"/>
      <c r="AG251" s="4"/>
      <c r="AH251" s="4"/>
      <c r="AI251" s="4"/>
      <c r="AJ251" s="4"/>
      <c r="AK251" s="4"/>
      <c r="AL251" s="4"/>
      <c r="AM251" s="4" t="str">
        <f>IFERROR(__xludf.DUMMYFUNCTION("""COMPUTED_VALUE"""),"FY26, FY27")</f>
        <v>FY26, FY27</v>
      </c>
      <c r="AN251" s="4"/>
      <c r="AO251" s="4">
        <f>IFERROR(__xludf.DUMMYFUNCTION("""COMPUTED_VALUE"""),140.0)</f>
        <v>140</v>
      </c>
      <c r="AP251" s="4">
        <f>IFERROR(__xludf.DUMMYFUNCTION("""COMPUTED_VALUE"""),0.0)</f>
        <v>0</v>
      </c>
      <c r="AQ251" s="4">
        <f>IFERROR(__xludf.DUMMYFUNCTION("""COMPUTED_VALUE"""),0.0)</f>
        <v>0</v>
      </c>
      <c r="AR251" s="4">
        <f>IFERROR(__xludf.DUMMYFUNCTION("""COMPUTED_VALUE"""),0.0)</f>
        <v>0</v>
      </c>
      <c r="AS251" s="4">
        <f>IFERROR(__xludf.DUMMYFUNCTION("""COMPUTED_VALUE"""),0.0)</f>
        <v>0</v>
      </c>
      <c r="AT251" s="4">
        <f>IFERROR(__xludf.DUMMYFUNCTION("""COMPUTED_VALUE"""),0.0)</f>
        <v>0</v>
      </c>
      <c r="AU251" s="4" t="str">
        <f>IFERROR(__xludf.DUMMYFUNCTION("""COMPUTED_VALUE"""),"Ana")</f>
        <v>Ana</v>
      </c>
      <c r="AV251" s="4">
        <f>IFERROR(__xludf.DUMMYFUNCTION("""COMPUTED_VALUE"""),0.0)</f>
        <v>0</v>
      </c>
      <c r="AW251" s="4">
        <f>IFERROR(__xludf.DUMMYFUNCTION("""COMPUTED_VALUE"""),0.0)</f>
        <v>0</v>
      </c>
      <c r="AX251" s="4">
        <f>IFERROR(__xludf.DUMMYFUNCTION("""COMPUTED_VALUE"""),0.0)</f>
        <v>0</v>
      </c>
      <c r="AY251" s="4"/>
      <c r="AZ251" s="4" t="str">
        <f>IFERROR(__xludf.DUMMYFUNCTION("""COMPUTED_VALUE"""),"#N/A")</f>
        <v>#N/A</v>
      </c>
      <c r="BA251" s="4">
        <f>IFERROR(__xludf.DUMMYFUNCTION("""COMPUTED_VALUE"""),72.0)</f>
        <v>72</v>
      </c>
      <c r="BB251" s="4" t="str">
        <f>IFERROR(__xludf.DUMMYFUNCTION("""COMPUTED_VALUE"""),"Fast Casual - Multi-conceito")</f>
        <v>Fast Casual - Multi-conceito</v>
      </c>
      <c r="BC251" s="4" t="str">
        <f>IFERROR(__xludf.DUMMYFUNCTION("""COMPUTED_VALUE"""),"Belo Horizonte/MG")</f>
        <v>Belo Horizonte/MG</v>
      </c>
      <c r="BD251" s="4" t="str">
        <f>IFERROR(__xludf.DUMMYFUNCTION("""COMPUTED_VALUE"""),"Dado não disponível publicamente - Necessário Discovery")</f>
        <v>Dado não disponível publicamente - Necessário Discovery</v>
      </c>
      <c r="BE251" s="4">
        <f>IFERROR(__xludf.DUMMYFUNCTION("""COMPUTED_VALUE"""),70.0)</f>
        <v>70</v>
      </c>
      <c r="BF251" s="4">
        <f>IFERROR(__xludf.DUMMYFUNCTION("""COMPUTED_VALUE"""),0.75)</f>
        <v>0.75</v>
      </c>
      <c r="BG25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51" s="4" t="s">
        <v>63</v>
      </c>
      <c r="BI251" s="7" t="s">
        <v>63</v>
      </c>
    </row>
    <row r="252" hidden="1">
      <c r="A252" s="4" t="str">
        <f>IFERROR(__xludf.DUMMYFUNCTION("""COMPUTED_VALUE"""),"Black Dog")</f>
        <v>Black Dog</v>
      </c>
      <c r="B252" s="4" t="str">
        <f>IFERROR(__xludf.DUMMYFUNCTION("""COMPUTED_VALUE"""),"João Biagiotti")</f>
        <v>João Biagiotti</v>
      </c>
      <c r="C252" s="4" t="str">
        <f>IFERROR(__xludf.DUMMYFUNCTION("""COMPUTED_VALUE"""),"Diego Santos")</f>
        <v>Diego Santos</v>
      </c>
      <c r="D252" s="4" t="str">
        <f>IFERROR(__xludf.DUMMYFUNCTION("""COMPUTED_VALUE"""),"11. Stand by")</f>
        <v>11. Stand by</v>
      </c>
      <c r="E252" s="4" t="str">
        <f>IFERROR(__xludf.DUMMYFUNCTION("""COMPUTED_VALUE"""),"Parceiro - Aguardando retorno parceiro")</f>
        <v>Parceiro - Aguardando retorno parceiro</v>
      </c>
      <c r="F252" s="4" t="str">
        <f>IFERROR(__xludf.DUMMYFUNCTION("""COMPUTED_VALUE"""),"P")</f>
        <v>P</v>
      </c>
      <c r="G252" s="5">
        <f>IFERROR(__xludf.DUMMYFUNCTION("""COMPUTED_VALUE"""),46076.0)</f>
        <v>46076</v>
      </c>
      <c r="H252" s="4" t="str">
        <f>IFERROR(__xludf.DUMMYFUNCTION("""COMPUTED_VALUE"""),"Entrei em contato com dono porém sem resposta. ele saiu atritado do atendimento do ifood. fup: fev/26")</f>
        <v>Entrei em contato com dono porém sem resposta. ele saiu atritado do atendimento do ifood. fup: fev/26</v>
      </c>
      <c r="I252" s="4"/>
      <c r="J252" s="4"/>
      <c r="K252" s="6">
        <f>IFERROR(__xludf.DUMMYFUNCTION("""COMPUTED_VALUE"""),45908.0)</f>
        <v>45908</v>
      </c>
      <c r="L252" s="4"/>
      <c r="M252" s="4"/>
      <c r="N252" s="4"/>
      <c r="O252" s="4"/>
      <c r="P252" s="4"/>
      <c r="Q252" s="4"/>
      <c r="R252" s="4"/>
      <c r="S252" s="6">
        <f>IFERROR(__xludf.DUMMYFUNCTION("""COMPUTED_VALUE"""),46057.660105393516)</f>
        <v>46057.66011</v>
      </c>
      <c r="T252" s="4"/>
      <c r="U252" s="4"/>
      <c r="V252" s="4" t="str">
        <f>IFERROR(__xludf.DUMMYFUNCTION("""COMPUTED_VALUE"""),"Atrito Negociação")</f>
        <v>Atrito Negociação</v>
      </c>
      <c r="W252" s="4"/>
      <c r="X252" s="4"/>
      <c r="Y252" s="4"/>
      <c r="Z252" s="4"/>
      <c r="AA252" s="4">
        <f>IFERROR(__xludf.DUMMYFUNCTION("""COMPUTED_VALUE"""),25.0)</f>
        <v>25</v>
      </c>
      <c r="AB252" s="4" t="str">
        <f>IFERROR(__xludf.DUMMYFUNCTION("""COMPUTED_VALUE"""),"NÃO")</f>
        <v>NÃO</v>
      </c>
      <c r="AC252" s="4" t="str">
        <f>IFERROR(__xludf.DUMMYFUNCTION("""COMPUTED_VALUE"""),"BP")</f>
        <v>BP</v>
      </c>
      <c r="AD252" s="4"/>
      <c r="AE252" s="4"/>
      <c r="AF252" s="4"/>
      <c r="AG252" s="4"/>
      <c r="AH252" s="4"/>
      <c r="AI252" s="4"/>
      <c r="AJ252" s="4"/>
      <c r="AK252" s="4"/>
      <c r="AL252" s="4"/>
      <c r="AM252" s="4" t="str">
        <f>IFERROR(__xludf.DUMMYFUNCTION("""COMPUTED_VALUE"""),"FY26, FY27")</f>
        <v>FY26, FY27</v>
      </c>
      <c r="AN252" s="4"/>
      <c r="AO252" s="4">
        <f>IFERROR(__xludf.DUMMYFUNCTION("""COMPUTED_VALUE"""),140.0)</f>
        <v>140</v>
      </c>
      <c r="AP252" s="4">
        <f>IFERROR(__xludf.DUMMYFUNCTION("""COMPUTED_VALUE"""),0.0)</f>
        <v>0</v>
      </c>
      <c r="AQ252" s="4">
        <f>IFERROR(__xludf.DUMMYFUNCTION("""COMPUTED_VALUE"""),0.0)</f>
        <v>0</v>
      </c>
      <c r="AR252" s="4">
        <f>IFERROR(__xludf.DUMMYFUNCTION("""COMPUTED_VALUE"""),0.0)</f>
        <v>0</v>
      </c>
      <c r="AS252" s="4">
        <f>IFERROR(__xludf.DUMMYFUNCTION("""COMPUTED_VALUE"""),0.0)</f>
        <v>0</v>
      </c>
      <c r="AT252" s="4">
        <f>IFERROR(__xludf.DUMMYFUNCTION("""COMPUTED_VALUE"""),0.0)</f>
        <v>0</v>
      </c>
      <c r="AU252" s="4" t="str">
        <f>IFERROR(__xludf.DUMMYFUNCTION("""COMPUTED_VALUE"""),"Ana")</f>
        <v>Ana</v>
      </c>
      <c r="AV252" s="4">
        <f>IFERROR(__xludf.DUMMYFUNCTION("""COMPUTED_VALUE"""),0.0)</f>
        <v>0</v>
      </c>
      <c r="AW252" s="4">
        <f>IFERROR(__xludf.DUMMYFUNCTION("""COMPUTED_VALUE"""),0.0)</f>
        <v>0</v>
      </c>
      <c r="AX252" s="4">
        <f>IFERROR(__xludf.DUMMYFUNCTION("""COMPUTED_VALUE"""),0.0)</f>
        <v>0</v>
      </c>
      <c r="AY252" s="4"/>
      <c r="AZ252" s="4" t="str">
        <f>IFERROR(__xludf.DUMMYFUNCTION("""COMPUTED_VALUE"""),"Brasileira")</f>
        <v>Brasileira</v>
      </c>
      <c r="BA252" s="4">
        <f>IFERROR(__xludf.DUMMYFUNCTION("""COMPUTED_VALUE"""),31.0)</f>
        <v>31</v>
      </c>
      <c r="BB252" s="4" t="str">
        <f>IFERROR(__xludf.DUMMYFUNCTION("""COMPUTED_VALUE"""),"QSR - Hot Dog")</f>
        <v>QSR - Hot Dog</v>
      </c>
      <c r="BC252" s="4" t="str">
        <f>IFERROR(__xludf.DUMMYFUNCTION("""COMPUTED_VALUE"""),"Interior SP")</f>
        <v>Interior SP</v>
      </c>
      <c r="BD252" s="4" t="str">
        <f>IFERROR(__xludf.DUMMYFUNCTION("""COMPUTED_VALUE"""),"Dado não disponível publicamente - Necessário Discovery")</f>
        <v>Dado não disponível publicamente - Necessário Discovery</v>
      </c>
      <c r="BE252" s="4">
        <f>IFERROR(__xludf.DUMMYFUNCTION("""COMPUTED_VALUE"""),65.0)</f>
        <v>65</v>
      </c>
      <c r="BF252" s="4">
        <f>IFERROR(__xludf.DUMMYFUNCTION("""COMPUTED_VALUE"""),0.85)</f>
        <v>0.85</v>
      </c>
      <c r="BG252"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252" s="4" t="s">
        <v>88</v>
      </c>
      <c r="BI252" s="7">
        <v>0.7777777777777778</v>
      </c>
    </row>
    <row r="253">
      <c r="A253" s="4" t="str">
        <f>IFERROR(__xludf.DUMMYFUNCTION("""COMPUTED_VALUE"""),"Boali (Grupo Boali)")</f>
        <v>Boali (Grupo Boali)</v>
      </c>
      <c r="B253" s="4" t="str">
        <f>IFERROR(__xludf.DUMMYFUNCTION("""COMPUTED_VALUE"""),"Leonardo Roso")</f>
        <v>Leonardo Roso</v>
      </c>
      <c r="C253" s="4" t="str">
        <f>IFERROR(__xludf.DUMMYFUNCTION("""COMPUTED_VALUE"""),"Leonardo Roso")</f>
        <v>Leonardo Roso</v>
      </c>
      <c r="D253" s="4" t="str">
        <f>IFERROR(__xludf.DUMMYFUNCTION("""COMPUTED_VALUE"""),"7. Piloto")</f>
        <v>7. Piloto</v>
      </c>
      <c r="E253" s="4" t="str">
        <f>IFERROR(__xludf.DUMMYFUNCTION("""COMPUTED_VALUE"""),"Projetos - Em piloto")</f>
        <v>Projetos - Em piloto</v>
      </c>
      <c r="F253" s="4" t="str">
        <f>IFERROR(__xludf.DUMMYFUNCTION("""COMPUTED_VALUE"""),"G")</f>
        <v>G</v>
      </c>
      <c r="G253" s="10">
        <f>IFERROR(__xludf.DUMMYFUNCTION("""COMPUTED_VALUE"""),46135.0)</f>
        <v>46135</v>
      </c>
      <c r="H253" s="4" t="str">
        <f>IFERROR(__xludf.DUMMYFUNCTION("""COMPUTED_VALUE"""),"Piloto iniciado - Abril")</f>
        <v>Piloto iniciado - Abril</v>
      </c>
      <c r="I253" s="4"/>
      <c r="J253" s="4"/>
      <c r="K253" s="6">
        <f>IFERROR(__xludf.DUMMYFUNCTION("""COMPUTED_VALUE"""),45897.0)</f>
        <v>45897</v>
      </c>
      <c r="L253" s="4"/>
      <c r="M253" s="4"/>
      <c r="N253" s="4"/>
      <c r="O253" s="6">
        <f>IFERROR(__xludf.DUMMYFUNCTION("""COMPUTED_VALUE"""),46062.39608196759)</f>
        <v>46062.39608</v>
      </c>
      <c r="P253" s="4"/>
      <c r="Q253" s="4"/>
      <c r="R253" s="4"/>
      <c r="S253" s="4"/>
      <c r="T253" s="4"/>
      <c r="U253" s="4"/>
      <c r="V253" s="4"/>
      <c r="W253" s="4"/>
      <c r="X253" s="4"/>
      <c r="Y253" s="4"/>
      <c r="Z253" s="4"/>
      <c r="AA253" s="4">
        <f>IFERROR(__xludf.DUMMYFUNCTION("""COMPUTED_VALUE"""),120.0)</f>
        <v>120</v>
      </c>
      <c r="AB253" s="4" t="str">
        <f>IFERROR(__xludf.DUMMYFUNCTION("""COMPUTED_VALUE"""),"-")</f>
        <v>-</v>
      </c>
      <c r="AC253" s="4" t="str">
        <f>IFERROR(__xludf.DUMMYFUNCTION("""COMPUTED_VALUE"""),"-")</f>
        <v>-</v>
      </c>
      <c r="AD253" s="4"/>
      <c r="AE253" s="4">
        <f>IFERROR(__xludf.DUMMYFUNCTION("""COMPUTED_VALUE"""),1.0)</f>
        <v>1</v>
      </c>
      <c r="AF253" s="9">
        <f>IFERROR(__xludf.DUMMYFUNCTION("""COMPUTED_VALUE"""),46068.0)</f>
        <v>46068</v>
      </c>
      <c r="AG253" s="4">
        <f>IFERROR(__xludf.DUMMYFUNCTION("""COMPUTED_VALUE"""),1.0)</f>
        <v>1</v>
      </c>
      <c r="AH253" s="4"/>
      <c r="AI253" s="4"/>
      <c r="AJ253" s="4"/>
      <c r="AK253" s="4"/>
      <c r="AL253" s="4"/>
      <c r="AM253" s="4" t="str">
        <f>IFERROR(__xludf.DUMMYFUNCTION("""COMPUTED_VALUE"""),"FY26, FY27")</f>
        <v>FY26, FY27</v>
      </c>
      <c r="AN253" s="4"/>
      <c r="AO253" s="4">
        <f>IFERROR(__xludf.DUMMYFUNCTION("""COMPUTED_VALUE"""),80.0)</f>
        <v>80</v>
      </c>
      <c r="AP253" s="4">
        <f>IFERROR(__xludf.DUMMYFUNCTION("""COMPUTED_VALUE"""),0.0)</f>
        <v>0</v>
      </c>
      <c r="AQ253" s="4">
        <f>IFERROR(__xludf.DUMMYFUNCTION("""COMPUTED_VALUE"""),0.0)</f>
        <v>0</v>
      </c>
      <c r="AR253" s="4">
        <f>IFERROR(__xludf.DUMMYFUNCTION("""COMPUTED_VALUE"""),0.0)</f>
        <v>0</v>
      </c>
      <c r="AS253" s="4">
        <f>IFERROR(__xludf.DUMMYFUNCTION("""COMPUTED_VALUE"""),0.0)</f>
        <v>0</v>
      </c>
      <c r="AT253" s="4">
        <f>IFERROR(__xludf.DUMMYFUNCTION("""COMPUTED_VALUE"""),0.0)</f>
        <v>0</v>
      </c>
      <c r="AU253" s="4" t="str">
        <f>IFERROR(__xludf.DUMMYFUNCTION("""COMPUTED_VALUE"""),"Samuel")</f>
        <v>Samuel</v>
      </c>
      <c r="AV253" s="4" t="str">
        <f>IFERROR(__xludf.DUMMYFUNCTION("""COMPUTED_VALUE"""),"Comer Fora-")</f>
        <v>Comer Fora-</v>
      </c>
      <c r="AW253" s="20" t="str">
        <f>IFERROR(__xludf.DUMMYFUNCTION("""COMPUTED_VALUE"""),"")</f>
        <v/>
      </c>
      <c r="AX253" s="4"/>
      <c r="AY253" s="4">
        <f>IFERROR(__xludf.DUMMYFUNCTION("""COMPUTED_VALUE"""),0.0)</f>
        <v>0</v>
      </c>
      <c r="AZ253" s="4" t="str">
        <f>IFERROR(__xludf.DUMMYFUNCTION("""COMPUTED_VALUE"""),"Lanches")</f>
        <v>Lanches</v>
      </c>
      <c r="BA253" s="4">
        <f>IFERROR(__xludf.DUMMYFUNCTION("""COMPUTED_VALUE"""),77.0)</f>
        <v>77</v>
      </c>
      <c r="BB253" s="4" t="str">
        <f>IFERROR(__xludf.DUMMYFUNCTION("""COMPUTED_VALUE"""),"Grupo Multi-marca")</f>
        <v>Grupo Multi-marca</v>
      </c>
      <c r="BC253" s="4" t="str">
        <f>IFERROR(__xludf.DUMMYFUNCTION("""COMPUTED_VALUE"""),"Nacional")</f>
        <v>Nacional</v>
      </c>
      <c r="BD253" s="4" t="str">
        <f>IFERROR(__xludf.DUMMYFUNCTION("""COMPUTED_VALUE"""),"Dado não disponível publicamente - Necessário Discovery")</f>
        <v>Dado não disponível publicamente - Necessário Discovery</v>
      </c>
      <c r="BE253" s="4">
        <f>IFERROR(__xludf.DUMMYFUNCTION("""COMPUTED_VALUE"""),40.0)</f>
        <v>40</v>
      </c>
      <c r="BF253" s="4">
        <f>IFERROR(__xludf.DUMMYFUNCTION("""COMPUTED_VALUE"""),0.5)</f>
        <v>0.5</v>
      </c>
      <c r="BG253"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253" s="4" t="s">
        <v>63</v>
      </c>
      <c r="BI253" s="7" t="s">
        <v>63</v>
      </c>
    </row>
    <row r="254" hidden="1">
      <c r="A254" s="4" t="str">
        <f>IFERROR(__xludf.DUMMYFUNCTION("""COMPUTED_VALUE"""),"Bob Esponja (Nickelodeon)")</f>
        <v>Bob Esponja (Nickelodeon)</v>
      </c>
      <c r="B254" s="4" t="str">
        <f>IFERROR(__xludf.DUMMYFUNCTION("""COMPUTED_VALUE"""),"Emerson")</f>
        <v>Emerson</v>
      </c>
      <c r="C254" s="4" t="str">
        <f>IFERROR(__xludf.DUMMYFUNCTION("""COMPUTED_VALUE"""),"Emerson")</f>
        <v>Emerson</v>
      </c>
      <c r="D254" s="4" t="str">
        <f>IFERROR(__xludf.DUMMYFUNCTION("""COMPUTED_VALUE"""),"3. Apresentação")</f>
        <v>3. Apresentação</v>
      </c>
      <c r="E254" s="4"/>
      <c r="F254" s="4" t="str">
        <f>IFERROR(__xludf.DUMMYFUNCTION("""COMPUTED_VALUE"""),"P")</f>
        <v>P</v>
      </c>
      <c r="G254" s="4"/>
      <c r="H254" s="4"/>
      <c r="I254" s="4"/>
      <c r="J254" s="4"/>
      <c r="K254" s="6">
        <f>IFERROR(__xludf.DUMMYFUNCTION("""COMPUTED_VALUE"""),45807.0)</f>
        <v>45807</v>
      </c>
      <c r="L254" s="4"/>
      <c r="M254" s="4"/>
      <c r="N254" s="4"/>
      <c r="O254" s="4"/>
      <c r="P254" s="4"/>
      <c r="Q254" s="4"/>
      <c r="R254" s="4"/>
      <c r="S254" s="4"/>
      <c r="T254" s="4"/>
      <c r="U254" s="4"/>
      <c r="V254" s="4"/>
      <c r="W254" s="4"/>
      <c r="X254" s="4"/>
      <c r="Y254" s="4"/>
      <c r="Z254" s="4"/>
      <c r="AA254" s="4">
        <f>IFERROR(__xludf.DUMMYFUNCTION("""COMPUTED_VALUE"""),3.0)</f>
        <v>3</v>
      </c>
      <c r="AB254" s="4" t="str">
        <f>IFERROR(__xludf.DUMMYFUNCTION("""COMPUTED_VALUE"""),"NÃO")</f>
        <v>NÃO</v>
      </c>
      <c r="AC254" s="4" t="str">
        <f>IFERROR(__xludf.DUMMYFUNCTION("""COMPUTED_VALUE"""),"BP")</f>
        <v>BP</v>
      </c>
      <c r="AD254" s="4"/>
      <c r="AE254" s="4"/>
      <c r="AF254" s="4"/>
      <c r="AG254" s="4"/>
      <c r="AH254" s="4"/>
      <c r="AI254" s="4"/>
      <c r="AJ254" s="4"/>
      <c r="AK254" s="4"/>
      <c r="AL254" s="4"/>
      <c r="AM254" s="4" t="str">
        <f>IFERROR(__xludf.DUMMYFUNCTION("""COMPUTED_VALUE"""),"FY26, FY27")</f>
        <v>FY26, FY27</v>
      </c>
      <c r="AN254" s="4"/>
      <c r="AO254" s="4">
        <f>IFERROR(__xludf.DUMMYFUNCTION("""COMPUTED_VALUE"""),45553.0)</f>
        <v>45553</v>
      </c>
      <c r="AP254" s="4">
        <f>IFERROR(__xludf.DUMMYFUNCTION("""COMPUTED_VALUE"""),0.0)</f>
        <v>0</v>
      </c>
      <c r="AQ254" s="4">
        <f>IFERROR(__xludf.DUMMYFUNCTION("""COMPUTED_VALUE"""),0.0)</f>
        <v>0</v>
      </c>
      <c r="AR254" s="4">
        <f>IFERROR(__xludf.DUMMYFUNCTION("""COMPUTED_VALUE"""),0.0)</f>
        <v>0</v>
      </c>
      <c r="AS254" s="4">
        <f>IFERROR(__xludf.DUMMYFUNCTION("""COMPUTED_VALUE"""),0.0)</f>
        <v>0</v>
      </c>
      <c r="AT254" s="4">
        <f>IFERROR(__xludf.DUMMYFUNCTION("""COMPUTED_VALUE"""),0.0)</f>
        <v>0</v>
      </c>
      <c r="AU254" s="4" t="str">
        <f>IFERROR(__xludf.DUMMYFUNCTION("""COMPUTED_VALUE"""),"Emerson")</f>
        <v>Emerson</v>
      </c>
      <c r="AV254" s="4">
        <f>IFERROR(__xludf.DUMMYFUNCTION("""COMPUTED_VALUE"""),0.0)</f>
        <v>0</v>
      </c>
      <c r="AW254" s="4">
        <f>IFERROR(__xludf.DUMMYFUNCTION("""COMPUTED_VALUE"""),0.0)</f>
        <v>0</v>
      </c>
      <c r="AX254" s="4">
        <f>IFERROR(__xludf.DUMMYFUNCTION("""COMPUTED_VALUE"""),0.0)</f>
        <v>0</v>
      </c>
      <c r="AY254" s="4"/>
      <c r="AZ254" s="4" t="str">
        <f>IFERROR(__xludf.DUMMYFUNCTION("""COMPUTED_VALUE"""),"NA")</f>
        <v>NA</v>
      </c>
      <c r="BA254" s="4">
        <f>IFERROR(__xludf.DUMMYFUNCTION("""COMPUTED_VALUE"""),56.0)</f>
        <v>56</v>
      </c>
      <c r="BB254" s="4" t="str">
        <f>IFERROR(__xludf.DUMMYFUNCTION("""COMPUTED_VALUE"""),"Fast Casual - Multi-conceito")</f>
        <v>Fast Casual - Multi-conceito</v>
      </c>
      <c r="BC254" s="4" t="str">
        <f>IFERROR(__xludf.DUMMYFUNCTION("""COMPUTED_VALUE"""),"Interior SP")</f>
        <v>Interior SP</v>
      </c>
      <c r="BD254" s="4" t="str">
        <f>IFERROR(__xludf.DUMMYFUNCTION("""COMPUTED_VALUE"""),"Dado não disponível publicamente - Necessário Discovery")</f>
        <v>Dado não disponível publicamente - Necessário Discovery</v>
      </c>
      <c r="BE254" s="4">
        <f>IFERROR(__xludf.DUMMYFUNCTION("""COMPUTED_VALUE"""),70.0)</f>
        <v>70</v>
      </c>
      <c r="BF254" s="4">
        <f>IFERROR(__xludf.DUMMYFUNCTION("""COMPUTED_VALUE"""),0.75)</f>
        <v>0.75</v>
      </c>
      <c r="BG25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54" s="4" t="s">
        <v>63</v>
      </c>
      <c r="BI254" s="7" t="s">
        <v>63</v>
      </c>
    </row>
    <row r="255">
      <c r="A255" s="4" t="str">
        <f>IFERROR(__xludf.DUMMYFUNCTION("""COMPUTED_VALUE"""),"Bob'S (Bffc)")</f>
        <v>Bob'S (Bffc)</v>
      </c>
      <c r="B255" s="4" t="str">
        <f>IFERROR(__xludf.DUMMYFUNCTION("""COMPUTED_VALUE"""),"Leonardo Roso")</f>
        <v>Leonardo Roso</v>
      </c>
      <c r="C255" s="4" t="str">
        <f>IFERROR(__xludf.DUMMYFUNCTION("""COMPUTED_VALUE"""),"Leonardo Roso")</f>
        <v>Leonardo Roso</v>
      </c>
      <c r="D255" s="4" t="str">
        <f>IFERROR(__xludf.DUMMYFUNCTION("""COMPUTED_VALUE"""),"0. Não Iniciado")</f>
        <v>0. Não Iniciado</v>
      </c>
      <c r="E255" s="4" t="str">
        <f>IFERROR(__xludf.DUMMYFUNCTION("""COMPUTED_VALUE"""),"Comercial - Tentativa não iniciada")</f>
        <v>Comercial - Tentativa não iniciada</v>
      </c>
      <c r="F255" s="4" t="str">
        <f>IFERROR(__xludf.DUMMYFUNCTION("""COMPUTED_VALUE"""),"G")</f>
        <v>G</v>
      </c>
      <c r="G255" s="4"/>
      <c r="H255" s="4"/>
      <c r="I255" s="4"/>
      <c r="J255" s="4"/>
      <c r="K255" s="6">
        <f>IFERROR(__xludf.DUMMYFUNCTION("""COMPUTED_VALUE"""),45944.0)</f>
        <v>45944</v>
      </c>
      <c r="L255" s="4"/>
      <c r="M255" s="4"/>
      <c r="N255" s="4"/>
      <c r="O255" s="4"/>
      <c r="P255" s="4"/>
      <c r="Q255" s="4"/>
      <c r="R255" s="4"/>
      <c r="S255" s="4"/>
      <c r="T255" s="4"/>
      <c r="U255" s="4"/>
      <c r="V255" s="4"/>
      <c r="W255" s="4"/>
      <c r="X255" s="4"/>
      <c r="Y255" s="4"/>
      <c r="Z255" s="4"/>
      <c r="AA255" s="4">
        <f>IFERROR(__xludf.DUMMYFUNCTION("""COMPUTED_VALUE"""),978.0)</f>
        <v>978</v>
      </c>
      <c r="AB255" s="4" t="str">
        <f>IFERROR(__xludf.DUMMYFUNCTION("""COMPUTED_VALUE"""),"KA")</f>
        <v>KA</v>
      </c>
      <c r="AC255" s="4" t="str">
        <f>IFERROR(__xludf.DUMMYFUNCTION("""COMPUTED_VALUE"""),"BP")</f>
        <v>BP</v>
      </c>
      <c r="AD255" s="4"/>
      <c r="AE255" s="4"/>
      <c r="AF255" s="4"/>
      <c r="AG255" s="4"/>
      <c r="AH255" s="4"/>
      <c r="AI255" s="4"/>
      <c r="AJ255" s="4"/>
      <c r="AK255" s="4"/>
      <c r="AL255" s="4"/>
      <c r="AM255" s="4" t="str">
        <f>IFERROR(__xludf.DUMMYFUNCTION("""COMPUTED_VALUE"""),"FY26, FY27")</f>
        <v>FY26, FY27</v>
      </c>
      <c r="AN255" s="4"/>
      <c r="AO255" s="4">
        <f>IFERROR(__xludf.DUMMYFUNCTION("""COMPUTED_VALUE"""),45553.0)</f>
        <v>45553</v>
      </c>
      <c r="AP255" s="4">
        <f>IFERROR(__xludf.DUMMYFUNCTION("""COMPUTED_VALUE"""),0.0)</f>
        <v>0</v>
      </c>
      <c r="AQ255" s="4">
        <f>IFERROR(__xludf.DUMMYFUNCTION("""COMPUTED_VALUE"""),0.0)</f>
        <v>0</v>
      </c>
      <c r="AR255" s="4">
        <f>IFERROR(__xludf.DUMMYFUNCTION("""COMPUTED_VALUE"""),0.0)</f>
        <v>0</v>
      </c>
      <c r="AS255" s="4">
        <f>IFERROR(__xludf.DUMMYFUNCTION("""COMPUTED_VALUE"""),0.0)</f>
        <v>0</v>
      </c>
      <c r="AT255" s="4">
        <f>IFERROR(__xludf.DUMMYFUNCTION("""COMPUTED_VALUE"""),0.0)</f>
        <v>0</v>
      </c>
      <c r="AU255" s="4" t="str">
        <f>IFERROR(__xludf.DUMMYFUNCTION("""COMPUTED_VALUE"""),"Michel")</f>
        <v>Michel</v>
      </c>
      <c r="AV255" s="4">
        <f>IFERROR(__xludf.DUMMYFUNCTION("""COMPUTED_VALUE"""),0.0)</f>
        <v>0</v>
      </c>
      <c r="AW255" s="4">
        <f>IFERROR(__xludf.DUMMYFUNCTION("""COMPUTED_VALUE"""),0.0)</f>
        <v>0</v>
      </c>
      <c r="AX255" s="4">
        <f>IFERROR(__xludf.DUMMYFUNCTION("""COMPUTED_VALUE"""),0.0)</f>
        <v>0</v>
      </c>
      <c r="AY255" s="4"/>
      <c r="AZ255" s="4" t="str">
        <f>IFERROR(__xludf.DUMMYFUNCTION("""COMPUTED_VALUE"""),"NA")</f>
        <v>NA</v>
      </c>
      <c r="BA255" s="4">
        <f>IFERROR(__xludf.DUMMYFUNCTION("""COMPUTED_VALUE"""),38.0)</f>
        <v>38</v>
      </c>
      <c r="BB255" s="4" t="str">
        <f>IFERROR(__xludf.DUMMYFUNCTION("""COMPUTED_VALUE"""),"QSR - Fast Food")</f>
        <v>QSR - Fast Food</v>
      </c>
      <c r="BC255" s="4" t="str">
        <f>IFERROR(__xludf.DUMMYFUNCTION("""COMPUTED_VALUE"""),"Nacional")</f>
        <v>Nacional</v>
      </c>
      <c r="BD255" s="4" t="str">
        <f>IFERROR(__xludf.DUMMYFUNCTION("""COMPUTED_VALUE"""),"R$ 1,5 bilhão (2024)")</f>
        <v>R$ 1,5 bilhão (2024)</v>
      </c>
      <c r="BE255" s="4">
        <f>IFERROR(__xludf.DUMMYFUNCTION("""COMPUTED_VALUE"""),100.0)</f>
        <v>100</v>
      </c>
      <c r="BF255" s="4">
        <f>IFERROR(__xludf.DUMMYFUNCTION("""COMPUTED_VALUE"""),0.98)</f>
        <v>0.98</v>
      </c>
      <c r="BG255" s="4" t="str">
        <f>IFERROR(__xludf.DUMMYFUNCTION("""COMPUTED_VALUE"""),"Alta aderência ao 3S: Sistema Bob's. 3S oferece Kiosk nativo, Hub Delivery integrado e gestão centralizada multi-loja - diferenciais competitivos para expansão e redução de filas.")</f>
        <v>Alta aderência ao 3S: Sistema Bob's. 3S oferece Kiosk nativo, Hub Delivery integrado e gestão centralizada multi-loja - diferenciais competitivos para expansão e redução de filas.</v>
      </c>
      <c r="BH255" s="4" t="s">
        <v>63</v>
      </c>
      <c r="BI255" s="7" t="s">
        <v>63</v>
      </c>
    </row>
    <row r="256" hidden="1">
      <c r="A256" s="4" t="str">
        <f>IFERROR(__xludf.DUMMYFUNCTION("""COMPUTED_VALUE"""),"Bocattino Box")</f>
        <v>Bocattino Box</v>
      </c>
      <c r="B256" s="4" t="str">
        <f>IFERROR(__xludf.DUMMYFUNCTION("""COMPUTED_VALUE"""),"João Biagiotti")</f>
        <v>João Biagiotti</v>
      </c>
      <c r="C256" s="4" t="str">
        <f>IFERROR(__xludf.DUMMYFUNCTION("""COMPUTED_VALUE"""),"Diego Santos")</f>
        <v>Diego Santos</v>
      </c>
      <c r="D256" s="4" t="str">
        <f>IFERROR(__xludf.DUMMYFUNCTION("""COMPUTED_VALUE"""),"0. Não Iniciado")</f>
        <v>0. Não Iniciado</v>
      </c>
      <c r="E256" s="4" t="str">
        <f>IFERROR(__xludf.DUMMYFUNCTION("""COMPUTED_VALUE"""),"Delivery - Dificuldade de contato com executivo")</f>
        <v>Delivery - Dificuldade de contato com executivo</v>
      </c>
      <c r="F256" s="4" t="str">
        <f>IFERROR(__xludf.DUMMYFUNCTION("""COMPUTED_VALUE"""),"P")</f>
        <v>P</v>
      </c>
      <c r="G256" s="5">
        <f>IFERROR(__xludf.DUMMYFUNCTION("""COMPUTED_VALUE"""),46076.0)</f>
        <v>46076</v>
      </c>
      <c r="H256" s="4" t="str">
        <f>IFERROR(__xludf.DUMMYFUNCTION("""COMPUTED_VALUE"""),"FUP, como ainda não tive retorno da KA Viviane, fiz uma nova tentativa para ver se responde.")</f>
        <v>FUP, como ainda não tive retorno da KA Viviane, fiz uma nova tentativa para ver se responde.</v>
      </c>
      <c r="I256" s="4"/>
      <c r="J256" s="4"/>
      <c r="K256" s="4"/>
      <c r="L256" s="4"/>
      <c r="M256" s="4"/>
      <c r="N256" s="4"/>
      <c r="O256" s="4"/>
      <c r="P256" s="4"/>
      <c r="Q256" s="4"/>
      <c r="R256" s="4"/>
      <c r="S256" s="4"/>
      <c r="T256" s="4"/>
      <c r="U256" s="4"/>
      <c r="V256" s="4"/>
      <c r="W256" s="4"/>
      <c r="X256" s="4"/>
      <c r="Y256" s="4"/>
      <c r="Z256" s="4"/>
      <c r="AA256" s="4">
        <f>IFERROR(__xludf.DUMMYFUNCTION("""COMPUTED_VALUE"""),10.0)</f>
        <v>10</v>
      </c>
      <c r="AB256" s="4" t="str">
        <f>IFERROR(__xludf.DUMMYFUNCTION("""COMPUTED_VALUE"""),"NÃO")</f>
        <v>NÃO</v>
      </c>
      <c r="AC256" s="4" t="str">
        <f>IFERROR(__xludf.DUMMYFUNCTION("""COMPUTED_VALUE"""),"Não BP")</f>
        <v>Não BP</v>
      </c>
      <c r="AD256" s="4"/>
      <c r="AE256" s="4"/>
      <c r="AF256" s="4"/>
      <c r="AG256" s="4"/>
      <c r="AH256" s="4"/>
      <c r="AI256" s="4"/>
      <c r="AJ256" s="4"/>
      <c r="AK256" s="4"/>
      <c r="AL256" s="4"/>
      <c r="AM256" s="4" t="str">
        <f>IFERROR(__xludf.DUMMYFUNCTION("""COMPUTED_VALUE"""),"FY26, FY27")</f>
        <v>FY26, FY27</v>
      </c>
      <c r="AN256" s="4"/>
      <c r="AO256" s="4">
        <f>IFERROR(__xludf.DUMMYFUNCTION("""COMPUTED_VALUE"""),140.0)</f>
        <v>140</v>
      </c>
      <c r="AP256" s="4">
        <f>IFERROR(__xludf.DUMMYFUNCTION("""COMPUTED_VALUE"""),0.0)</f>
        <v>0</v>
      </c>
      <c r="AQ256" s="4">
        <f>IFERROR(__xludf.DUMMYFUNCTION("""COMPUTED_VALUE"""),0.0)</f>
        <v>0</v>
      </c>
      <c r="AR256" s="4">
        <f>IFERROR(__xludf.DUMMYFUNCTION("""COMPUTED_VALUE"""),0.0)</f>
        <v>0</v>
      </c>
      <c r="AS256" s="4">
        <f>IFERROR(__xludf.DUMMYFUNCTION("""COMPUTED_VALUE"""),0.0)</f>
        <v>0</v>
      </c>
      <c r="AT256" s="4">
        <f>IFERROR(__xludf.DUMMYFUNCTION("""COMPUTED_VALUE"""),0.0)</f>
        <v>0</v>
      </c>
      <c r="AU256" s="4" t="str">
        <f>IFERROR(__xludf.DUMMYFUNCTION("""COMPUTED_VALUE"""),"Iza")</f>
        <v>Iza</v>
      </c>
      <c r="AV256" s="4">
        <f>IFERROR(__xludf.DUMMYFUNCTION("""COMPUTED_VALUE"""),0.0)</f>
        <v>0</v>
      </c>
      <c r="AW256" s="4">
        <f>IFERROR(__xludf.DUMMYFUNCTION("""COMPUTED_VALUE"""),0.0)</f>
        <v>0</v>
      </c>
      <c r="AX256" s="4">
        <f>IFERROR(__xludf.DUMMYFUNCTION("""COMPUTED_VALUE"""),0.0)</f>
        <v>0</v>
      </c>
      <c r="AY256" s="4"/>
      <c r="AZ256" s="4" t="str">
        <f>IFERROR(__xludf.DUMMYFUNCTION("""COMPUTED_VALUE"""),"NA")</f>
        <v>NA</v>
      </c>
      <c r="BA256" s="4">
        <f>IFERROR(__xludf.DUMMYFUNCTION("""COMPUTED_VALUE"""),62.0)</f>
        <v>62</v>
      </c>
      <c r="BB256" s="4" t="str">
        <f>IFERROR(__xludf.DUMMYFUNCTION("""COMPUTED_VALUE"""),"Fast Casual - Multi-conceito")</f>
        <v>Fast Casual - Multi-conceito</v>
      </c>
      <c r="BC256" s="4" t="str">
        <f>IFERROR(__xludf.DUMMYFUNCTION("""COMPUTED_VALUE"""),"Rio de Janeiro/RJ")</f>
        <v>Rio de Janeiro/RJ</v>
      </c>
      <c r="BD256" s="4" t="str">
        <f>IFERROR(__xludf.DUMMYFUNCTION("""COMPUTED_VALUE"""),"Dado não disponível publicamente - Necessário Discovery")</f>
        <v>Dado não disponível publicamente - Necessário Discovery</v>
      </c>
      <c r="BE256" s="4">
        <f>IFERROR(__xludf.DUMMYFUNCTION("""COMPUTED_VALUE"""),70.0)</f>
        <v>70</v>
      </c>
      <c r="BF256" s="4">
        <f>IFERROR(__xludf.DUMMYFUNCTION("""COMPUTED_VALUE"""),0.75)</f>
        <v>0.75</v>
      </c>
      <c r="BG25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56" s="4" t="s">
        <v>63</v>
      </c>
      <c r="BI256" s="7" t="s">
        <v>63</v>
      </c>
    </row>
    <row r="257" hidden="1">
      <c r="A257" s="4" t="str">
        <f>IFERROR(__xludf.DUMMYFUNCTION("""COMPUTED_VALUE"""),"Bonjardim")</f>
        <v>Bonjardim</v>
      </c>
      <c r="B257" s="4" t="str">
        <f>IFERROR(__xludf.DUMMYFUNCTION("""COMPUTED_VALUE"""),"Diego Santos")</f>
        <v>Diego Santos</v>
      </c>
      <c r="C257" s="4" t="str">
        <f>IFERROR(__xludf.DUMMYFUNCTION("""COMPUTED_VALUE"""),"Diego Santos")</f>
        <v>Diego Santos</v>
      </c>
      <c r="D257" s="4" t="str">
        <f>IFERROR(__xludf.DUMMYFUNCTION("""COMPUTED_VALUE"""),"10. Perdido")</f>
        <v>10. Perdido</v>
      </c>
      <c r="E257" s="4" t="str">
        <f>IFERROR(__xludf.DUMMYFUNCTION("""COMPUTED_VALUE"""),"Perdido -  Momento do restaurante não favorável")</f>
        <v>Perdido -  Momento do restaurante não favorável</v>
      </c>
      <c r="F257" s="4" t="str">
        <f>IFERROR(__xludf.DUMMYFUNCTION("""COMPUTED_VALUE"""),"P")</f>
        <v>P</v>
      </c>
      <c r="G257" s="5">
        <f>IFERROR(__xludf.DUMMYFUNCTION("""COMPUTED_VALUE"""),46083.0)</f>
        <v>46083</v>
      </c>
      <c r="H257" s="4" t="str">
        <f>IFERROR(__xludf.DUMMYFUNCTION("""COMPUTED_VALUE"""),"Sem interesse no momento em falar do tema")</f>
        <v>Sem interesse no momento em falar do tema</v>
      </c>
      <c r="I257" s="4"/>
      <c r="J257" s="6">
        <f>IFERROR(__xludf.DUMMYFUNCTION("""COMPUTED_VALUE"""),46072.40930063657)</f>
        <v>46072.4093</v>
      </c>
      <c r="K257" s="4"/>
      <c r="L257" s="4"/>
      <c r="M257" s="4"/>
      <c r="N257" s="4"/>
      <c r="O257" s="4"/>
      <c r="P257" s="4"/>
      <c r="Q257" s="4"/>
      <c r="R257" s="6">
        <f>IFERROR(__xludf.DUMMYFUNCTION("""COMPUTED_VALUE"""),46083.61555746528)</f>
        <v>46083.61556</v>
      </c>
      <c r="S257" s="4"/>
      <c r="T257" s="4"/>
      <c r="U257" s="4"/>
      <c r="V257" s="4" t="str">
        <f>IFERROR(__xludf.DUMMYFUNCTION("""COMPUTED_VALUE"""),"Sem interesse em mudar de PDV")</f>
        <v>Sem interesse em mudar de PDV</v>
      </c>
      <c r="W257" s="4"/>
      <c r="X257" s="4"/>
      <c r="Y257" s="4"/>
      <c r="Z257" s="4"/>
      <c r="AA257" s="4">
        <f>IFERROR(__xludf.DUMMYFUNCTION("""COMPUTED_VALUE"""),18.0)</f>
        <v>18</v>
      </c>
      <c r="AB257" s="4" t="str">
        <f>IFERROR(__xludf.DUMMYFUNCTION("""COMPUTED_VALUE"""),"NÃO")</f>
        <v>NÃO</v>
      </c>
      <c r="AC257" s="4" t="str">
        <f>IFERROR(__xludf.DUMMYFUNCTION("""COMPUTED_VALUE"""),"Não BP")</f>
        <v>Não BP</v>
      </c>
      <c r="AD257" s="4"/>
      <c r="AE257" s="4"/>
      <c r="AF257" s="4"/>
      <c r="AG257" s="4"/>
      <c r="AH257" s="4"/>
      <c r="AI257" s="4"/>
      <c r="AJ257" s="4"/>
      <c r="AK257" s="4"/>
      <c r="AL257" s="4"/>
      <c r="AM257" s="4" t="str">
        <f>IFERROR(__xludf.DUMMYFUNCTION("""COMPUTED_VALUE"""),"FY26")</f>
        <v>FY26</v>
      </c>
      <c r="AN257" s="4"/>
      <c r="AO257" s="4">
        <f>IFERROR(__xludf.DUMMYFUNCTION("""COMPUTED_VALUE"""),131.0)</f>
        <v>131</v>
      </c>
      <c r="AP257" s="4">
        <f>IFERROR(__xludf.DUMMYFUNCTION("""COMPUTED_VALUE"""),0.0)</f>
        <v>0</v>
      </c>
      <c r="AQ257" s="4">
        <f>IFERROR(__xludf.DUMMYFUNCTION("""COMPUTED_VALUE"""),0.0)</f>
        <v>0</v>
      </c>
      <c r="AR257" s="4">
        <f>IFERROR(__xludf.DUMMYFUNCTION("""COMPUTED_VALUE"""),0.0)</f>
        <v>0</v>
      </c>
      <c r="AS257" s="4">
        <f>IFERROR(__xludf.DUMMYFUNCTION("""COMPUTED_VALUE"""),0.0)</f>
        <v>0</v>
      </c>
      <c r="AT257" s="4">
        <f>IFERROR(__xludf.DUMMYFUNCTION("""COMPUTED_VALUE"""),0.0)</f>
        <v>0</v>
      </c>
      <c r="AU257" s="4" t="str">
        <f>IFERROR(__xludf.DUMMYFUNCTION("""COMPUTED_VALUE"""),"Diego")</f>
        <v>Diego</v>
      </c>
      <c r="AV257" s="4">
        <f>IFERROR(__xludf.DUMMYFUNCTION("""COMPUTED_VALUE"""),0.0)</f>
        <v>0</v>
      </c>
      <c r="AW257" s="4">
        <f>IFERROR(__xludf.DUMMYFUNCTION("""COMPUTED_VALUE"""),0.0)</f>
        <v>0</v>
      </c>
      <c r="AX257" s="4">
        <f>IFERROR(__xludf.DUMMYFUNCTION("""COMPUTED_VALUE"""),0.0)</f>
        <v>0</v>
      </c>
      <c r="AY257" s="4"/>
      <c r="AZ257" s="4" t="str">
        <f>IFERROR(__xludf.DUMMYFUNCTION("""COMPUTED_VALUE"""),"#N/A")</f>
        <v>#N/A</v>
      </c>
      <c r="BA257" s="4" t="str">
        <f>IFERROR(__xludf.DUMMYFUNCTION("""COMPUTED_VALUE"""),"")</f>
        <v/>
      </c>
      <c r="BB257" s="4" t="str">
        <f>IFERROR(__xludf.DUMMYFUNCTION("""COMPUTED_VALUE"""),"")</f>
        <v/>
      </c>
      <c r="BC257" s="4" t="str">
        <f>IFERROR(__xludf.DUMMYFUNCTION("""COMPUTED_VALUE"""),"")</f>
        <v/>
      </c>
      <c r="BD257" s="4" t="str">
        <f>IFERROR(__xludf.DUMMYFUNCTION("""COMPUTED_VALUE"""),"")</f>
        <v/>
      </c>
      <c r="BE257" s="4" t="str">
        <f>IFERROR(__xludf.DUMMYFUNCTION("""COMPUTED_VALUE"""),"")</f>
        <v/>
      </c>
      <c r="BF257" s="4" t="str">
        <f>IFERROR(__xludf.DUMMYFUNCTION("""COMPUTED_VALUE"""),"")</f>
        <v/>
      </c>
      <c r="BG257" s="4" t="str">
        <f>IFERROR(__xludf.DUMMYFUNCTION("""COMPUTED_VALUE"""),"")</f>
        <v/>
      </c>
      <c r="BH257" s="4" t="s">
        <v>63</v>
      </c>
      <c r="BI257" s="7" t="s">
        <v>63</v>
      </c>
    </row>
    <row r="258" hidden="1">
      <c r="A258" s="4" t="str">
        <f>IFERROR(__xludf.DUMMYFUNCTION("""COMPUTED_VALUE"""),"Botanikafe (Grupo Botanikafe)")</f>
        <v>Botanikafe (Grupo Botanikafe)</v>
      </c>
      <c r="B258" s="4" t="str">
        <f>IFERROR(__xludf.DUMMYFUNCTION("""COMPUTED_VALUE"""),"João Biagiotti")</f>
        <v>João Biagiotti</v>
      </c>
      <c r="C258" s="4" t="str">
        <f>IFERROR(__xludf.DUMMYFUNCTION("""COMPUTED_VALUE"""),"Diego Santos")</f>
        <v>Diego Santos</v>
      </c>
      <c r="D258" s="4" t="str">
        <f>IFERROR(__xludf.DUMMYFUNCTION("""COMPUTED_VALUE"""),"0. Não Iniciado")</f>
        <v>0. Não Iniciado</v>
      </c>
      <c r="E258" s="4" t="str">
        <f>IFERROR(__xludf.DUMMYFUNCTION("""COMPUTED_VALUE"""),"Delivery - Aguardando retorno executivo")</f>
        <v>Delivery - Aguardando retorno executivo</v>
      </c>
      <c r="F258" s="4" t="str">
        <f>IFERROR(__xludf.DUMMYFUNCTION("""COMPUTED_VALUE"""),"P")</f>
        <v>P</v>
      </c>
      <c r="G258" s="5">
        <f>IFERROR(__xludf.DUMMYFUNCTION("""COMPUTED_VALUE"""),46120.0)</f>
        <v>46120</v>
      </c>
      <c r="H258" s="4" t="str">
        <f>IFERROR(__xludf.DUMMYFUNCTION("""COMPUTED_VALUE"""),"Fup na mariana pra entender o andamento da marca, última observação era uma agenda proposta pra 04/03. ")</f>
        <v>Fup na mariana pra entender o andamento da marca, última observação era uma agenda proposta pra 04/03. </v>
      </c>
      <c r="I258" s="4"/>
      <c r="J258" s="4"/>
      <c r="K258" s="4"/>
      <c r="L258" s="4"/>
      <c r="M258" s="4"/>
      <c r="N258" s="4"/>
      <c r="O258" s="4"/>
      <c r="P258" s="4"/>
      <c r="Q258" s="4"/>
      <c r="R258" s="4"/>
      <c r="S258" s="4"/>
      <c r="T258" s="4"/>
      <c r="U258" s="4"/>
      <c r="V258" s="4"/>
      <c r="W258" s="4"/>
      <c r="X258" s="4"/>
      <c r="Y258" s="4"/>
      <c r="Z258" s="4"/>
      <c r="AA258" s="4">
        <f>IFERROR(__xludf.DUMMYFUNCTION("""COMPUTED_VALUE"""),3.0)</f>
        <v>3</v>
      </c>
      <c r="AB258" s="4" t="str">
        <f>IFERROR(__xludf.DUMMYFUNCTION("""COMPUTED_VALUE"""),"-")</f>
        <v>-</v>
      </c>
      <c r="AC258" s="4" t="str">
        <f>IFERROR(__xludf.DUMMYFUNCTION("""COMPUTED_VALUE"""),"-")</f>
        <v>-</v>
      </c>
      <c r="AD258" s="4"/>
      <c r="AE258" s="4"/>
      <c r="AF258" s="4"/>
      <c r="AG258" s="4"/>
      <c r="AH258" s="4"/>
      <c r="AI258" s="4"/>
      <c r="AJ258" s="4"/>
      <c r="AK258" s="4"/>
      <c r="AL258" s="4"/>
      <c r="AM258" s="4" t="str">
        <f>IFERROR(__xludf.DUMMYFUNCTION("""COMPUTED_VALUE"""),"FY26, FY27")</f>
        <v>FY26, FY27</v>
      </c>
      <c r="AN258" s="4"/>
      <c r="AO258" s="4">
        <f>IFERROR(__xludf.DUMMYFUNCTION("""COMPUTED_VALUE"""),95.0)</f>
        <v>95</v>
      </c>
      <c r="AP258" s="4">
        <f>IFERROR(__xludf.DUMMYFUNCTION("""COMPUTED_VALUE"""),0.0)</f>
        <v>0</v>
      </c>
      <c r="AQ258" s="4">
        <f>IFERROR(__xludf.DUMMYFUNCTION("""COMPUTED_VALUE"""),0.0)</f>
        <v>0</v>
      </c>
      <c r="AR258" s="4">
        <f>IFERROR(__xludf.DUMMYFUNCTION("""COMPUTED_VALUE"""),0.0)</f>
        <v>0</v>
      </c>
      <c r="AS258" s="4">
        <f>IFERROR(__xludf.DUMMYFUNCTION("""COMPUTED_VALUE"""),0.0)</f>
        <v>0</v>
      </c>
      <c r="AT258" s="4">
        <f>IFERROR(__xludf.DUMMYFUNCTION("""COMPUTED_VALUE"""),0.0)</f>
        <v>0</v>
      </c>
      <c r="AU258" s="4" t="str">
        <f>IFERROR(__xludf.DUMMYFUNCTION("""COMPUTED_VALUE"""),"Ana")</f>
        <v>Ana</v>
      </c>
      <c r="AV258" s="4">
        <f>IFERROR(__xludf.DUMMYFUNCTION("""COMPUTED_VALUE"""),0.0)</f>
        <v>0</v>
      </c>
      <c r="AW258" s="4">
        <f>IFERROR(__xludf.DUMMYFUNCTION("""COMPUTED_VALUE"""),0.0)</f>
        <v>0</v>
      </c>
      <c r="AX258" s="4">
        <f>IFERROR(__xludf.DUMMYFUNCTION("""COMPUTED_VALUE"""),0.0)</f>
        <v>0</v>
      </c>
      <c r="AY258" s="4"/>
      <c r="AZ258" s="4" t="str">
        <f>IFERROR(__xludf.DUMMYFUNCTION("""COMPUTED_VALUE"""),"Saudável")</f>
        <v>Saudável</v>
      </c>
      <c r="BA258" s="4">
        <f>IFERROR(__xludf.DUMMYFUNCTION("""COMPUTED_VALUE"""),65.0)</f>
        <v>65</v>
      </c>
      <c r="BB258" s="4" t="str">
        <f>IFERROR(__xludf.DUMMYFUNCTION("""COMPUTED_VALUE"""),"Fast Casual - Brunch")</f>
        <v>Fast Casual - Brunch</v>
      </c>
      <c r="BC258" s="4" t="str">
        <f>IFERROR(__xludf.DUMMYFUNCTION("""COMPUTED_VALUE"""),"São Paulo/SP")</f>
        <v>São Paulo/SP</v>
      </c>
      <c r="BD258" s="4" t="str">
        <f>IFERROR(__xludf.DUMMYFUNCTION("""COMPUTED_VALUE"""),"Dado não disponível")</f>
        <v>Dado não disponível</v>
      </c>
      <c r="BE258" s="4">
        <f>IFERROR(__xludf.DUMMYFUNCTION("""COMPUTED_VALUE"""),65.0)</f>
        <v>65</v>
      </c>
      <c r="BF258" s="4">
        <f>IFERROR(__xludf.DUMMYFUNCTION("""COMPUTED_VALUE"""),0.75)</f>
        <v>0.75</v>
      </c>
      <c r="BG258" s="4" t="str">
        <f>IFERROR(__xludf.DUMMYFUNCTION("""COMPUTED_VALUE"""),"Aderência forte ao 3S: PDV não identificado. 3S oferece PDV robusto, KDS integrado e mobilidade (3SGO) para gestão em tempo real - ideal para operações multi-canal.")</f>
        <v>Aderência forte ao 3S: PDV não identificado. 3S oferece PDV robusto, KDS integrado e mobilidade (3SGO) para gestão em tempo real - ideal para operações multi-canal.</v>
      </c>
      <c r="BH258" s="4" t="s">
        <v>63</v>
      </c>
      <c r="BI258" s="7" t="s">
        <v>63</v>
      </c>
    </row>
    <row r="259" hidden="1">
      <c r="A259" s="4" t="str">
        <f>IFERROR(__xludf.DUMMYFUNCTION("""COMPUTED_VALUE"""),"Boteco Curitiba")</f>
        <v>Boteco Curitiba</v>
      </c>
      <c r="B259" s="4" t="str">
        <f>IFERROR(__xludf.DUMMYFUNCTION("""COMPUTED_VALUE"""),"Lídia Esteves")</f>
        <v>Lídia Esteves</v>
      </c>
      <c r="C259" s="4" t="str">
        <f>IFERROR(__xludf.DUMMYFUNCTION("""COMPUTED_VALUE"""),"Gabriela Roma")</f>
        <v>Gabriela Roma</v>
      </c>
      <c r="D259" s="4" t="str">
        <f>IFERROR(__xludf.DUMMYFUNCTION("""COMPUTED_VALUE"""),"0. Não Iniciado")</f>
        <v>0. Não Iniciado</v>
      </c>
      <c r="E259" s="4" t="str">
        <f>IFERROR(__xludf.DUMMYFUNCTION("""COMPUTED_VALUE"""),"Comercial - Tentativa não iniciada")</f>
        <v>Comercial - Tentativa não iniciada</v>
      </c>
      <c r="F259" s="4" t="str">
        <f>IFERROR(__xludf.DUMMYFUNCTION("""COMPUTED_VALUE"""),"P")</f>
        <v>P</v>
      </c>
      <c r="G259" s="4"/>
      <c r="H259" s="4"/>
      <c r="I259" s="4"/>
      <c r="J259" s="4"/>
      <c r="K259" s="6">
        <f>IFERROR(__xludf.DUMMYFUNCTION("""COMPUTED_VALUE"""),45894.0)</f>
        <v>45894</v>
      </c>
      <c r="L259" s="4"/>
      <c r="M259" s="4"/>
      <c r="N259" s="4"/>
      <c r="O259" s="4"/>
      <c r="P259" s="4"/>
      <c r="Q259" s="4"/>
      <c r="R259" s="4"/>
      <c r="S259" s="4"/>
      <c r="T259" s="4"/>
      <c r="U259" s="4"/>
      <c r="V259" s="4"/>
      <c r="W259" s="4"/>
      <c r="X259" s="4"/>
      <c r="Y259" s="4"/>
      <c r="Z259" s="4"/>
      <c r="AA259" s="4">
        <f>IFERROR(__xludf.DUMMYFUNCTION("""COMPUTED_VALUE"""),4.0)</f>
        <v>4</v>
      </c>
      <c r="AB259" s="4"/>
      <c r="AC259" s="4"/>
      <c r="AD259" s="4"/>
      <c r="AE259" s="4"/>
      <c r="AF259" s="4"/>
      <c r="AG259" s="4"/>
      <c r="AH259" s="4"/>
      <c r="AI259" s="4"/>
      <c r="AJ259" s="4"/>
      <c r="AK259" s="4"/>
      <c r="AL259" s="4"/>
      <c r="AM259" s="4" t="str">
        <f>IFERROR(__xludf.DUMMYFUNCTION("""COMPUTED_VALUE"""),"FY26, FY27")</f>
        <v>FY26, FY27</v>
      </c>
      <c r="AN259" s="4"/>
      <c r="AO259" s="4">
        <f>IFERROR(__xludf.DUMMYFUNCTION("""COMPUTED_VALUE"""),45553.0)</f>
        <v>45553</v>
      </c>
      <c r="AP259" s="4" t="str">
        <f>IFERROR(__xludf.DUMMYFUNCTION("""COMPUTED_VALUE"""),"PR")</f>
        <v>PR</v>
      </c>
      <c r="AQ259" s="4" t="str">
        <f>IFERROR(__xludf.DUMMYFUNCTION("""COMPUTED_VALUE"""),"PAULA VERDASCA")</f>
        <v>PAULA VERDASCA</v>
      </c>
      <c r="AR259" s="4">
        <f>IFERROR(__xludf.DUMMYFUNCTION("""COMPUTED_VALUE"""),0.0)</f>
        <v>0</v>
      </c>
      <c r="AS259" s="4">
        <f>IFERROR(__xludf.DUMMYFUNCTION("""COMPUTED_VALUE"""),0.0)</f>
        <v>0</v>
      </c>
      <c r="AT259" s="4">
        <f>IFERROR(__xludf.DUMMYFUNCTION("""COMPUTED_VALUE"""),0.0)</f>
        <v>0</v>
      </c>
      <c r="AU259" s="4" t="str">
        <f>IFERROR(__xludf.DUMMYFUNCTION("""COMPUTED_VALUE"""),"Lídia / Emerson")</f>
        <v>Lídia / Emerson</v>
      </c>
      <c r="AV259" s="4">
        <f>IFERROR(__xludf.DUMMYFUNCTION("""COMPUTED_VALUE"""),0.0)</f>
        <v>0</v>
      </c>
      <c r="AW259" s="4">
        <f>IFERROR(__xludf.DUMMYFUNCTION("""COMPUTED_VALUE"""),0.0)</f>
        <v>0</v>
      </c>
      <c r="AX259" s="4">
        <f>IFERROR(__xludf.DUMMYFUNCTION("""COMPUTED_VALUE"""),0.0)</f>
        <v>0</v>
      </c>
      <c r="AY259" s="4"/>
      <c r="AZ259" s="4" t="str">
        <f>IFERROR(__xludf.DUMMYFUNCTION("""COMPUTED_VALUE"""),"Pizza")</f>
        <v>Pizza</v>
      </c>
      <c r="BA259" s="4">
        <f>IFERROR(__xludf.DUMMYFUNCTION("""COMPUTED_VALUE"""),63.0)</f>
        <v>63</v>
      </c>
      <c r="BB259" s="4" t="str">
        <f>IFERROR(__xludf.DUMMYFUNCTION("""COMPUTED_VALUE"""),"Fast Casual - Multi-conceito")</f>
        <v>Fast Casual - Multi-conceito</v>
      </c>
      <c r="BC259" s="4" t="str">
        <f>IFERROR(__xludf.DUMMYFUNCTION("""COMPUTED_VALUE"""),"Regional")</f>
        <v>Regional</v>
      </c>
      <c r="BD259" s="4" t="str">
        <f>IFERROR(__xludf.DUMMYFUNCTION("""COMPUTED_VALUE"""),"Dado não disponível publicamente - Necessário Discovery")</f>
        <v>Dado não disponível publicamente - Necessário Discovery</v>
      </c>
      <c r="BE259" s="4">
        <f>IFERROR(__xludf.DUMMYFUNCTION("""COMPUTED_VALUE"""),70.0)</f>
        <v>70</v>
      </c>
      <c r="BF259" s="4">
        <f>IFERROR(__xludf.DUMMYFUNCTION("""COMPUTED_VALUE"""),0.75)</f>
        <v>0.75</v>
      </c>
      <c r="BG25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59" s="4" t="s">
        <v>63</v>
      </c>
      <c r="BI259" s="7" t="s">
        <v>63</v>
      </c>
    </row>
    <row r="260" hidden="1">
      <c r="A260" s="4" t="str">
        <f>IFERROR(__xludf.DUMMYFUNCTION("""COMPUTED_VALUE"""),"Bottega Bernacca")</f>
        <v>Bottega Bernacca</v>
      </c>
      <c r="B260" s="4" t="str">
        <f>IFERROR(__xludf.DUMMYFUNCTION("""COMPUTED_VALUE"""),"João Biagiotti")</f>
        <v>João Biagiotti</v>
      </c>
      <c r="C260" s="4" t="str">
        <f>IFERROR(__xludf.DUMMYFUNCTION("""COMPUTED_VALUE"""),"Diego Santos")</f>
        <v>Diego Santos</v>
      </c>
      <c r="D260" s="4" t="str">
        <f>IFERROR(__xludf.DUMMYFUNCTION("""COMPUTED_VALUE"""),"0. Não Iniciado")</f>
        <v>0. Não Iniciado</v>
      </c>
      <c r="E260" s="4" t="str">
        <f>IFERROR(__xludf.DUMMYFUNCTION("""COMPUTED_VALUE"""),"Delivery - Dificuldade de contato com executivo")</f>
        <v>Delivery - Dificuldade de contato com executivo</v>
      </c>
      <c r="F260" s="4" t="str">
        <f>IFERROR(__xludf.DUMMYFUNCTION("""COMPUTED_VALUE"""),"P")</f>
        <v>P</v>
      </c>
      <c r="G260" s="5">
        <f>IFERROR(__xludf.DUMMYFUNCTION("""COMPUTED_VALUE"""),46076.0)</f>
        <v>46076</v>
      </c>
      <c r="H260" s="4" t="str">
        <f>IFERROR(__xludf.DUMMYFUNCTION("""COMPUTED_VALUE"""),"Em contato com KA ISIS, dificuldade no contato. ")</f>
        <v>Em contato com KA ISIS, dificuldade no contato. </v>
      </c>
      <c r="I260" s="4"/>
      <c r="J260" s="4"/>
      <c r="K260" s="4"/>
      <c r="L260" s="4"/>
      <c r="M260" s="4"/>
      <c r="N260" s="4"/>
      <c r="O260" s="4"/>
      <c r="P260" s="4"/>
      <c r="Q260" s="4"/>
      <c r="R260" s="4"/>
      <c r="S260" s="4"/>
      <c r="T260" s="4"/>
      <c r="U260" s="4"/>
      <c r="V260" s="4"/>
      <c r="W260" s="4"/>
      <c r="X260" s="4"/>
      <c r="Y260" s="4"/>
      <c r="Z260" s="4"/>
      <c r="AA260" s="4">
        <f>IFERROR(__xludf.DUMMYFUNCTION("""COMPUTED_VALUE"""),3.0)</f>
        <v>3</v>
      </c>
      <c r="AB260" s="4" t="str">
        <f>IFERROR(__xludf.DUMMYFUNCTION("""COMPUTED_VALUE"""),"NÃO")</f>
        <v>NÃO</v>
      </c>
      <c r="AC260" s="4" t="str">
        <f>IFERROR(__xludf.DUMMYFUNCTION("""COMPUTED_VALUE"""),"BP")</f>
        <v>BP</v>
      </c>
      <c r="AD260" s="4"/>
      <c r="AE260" s="4"/>
      <c r="AF260" s="4"/>
      <c r="AG260" s="4"/>
      <c r="AH260" s="4"/>
      <c r="AI260" s="4"/>
      <c r="AJ260" s="4"/>
      <c r="AK260" s="4"/>
      <c r="AL260" s="4"/>
      <c r="AM260" s="4" t="str">
        <f>IFERROR(__xludf.DUMMYFUNCTION("""COMPUTED_VALUE"""),"FY26, FY27")</f>
        <v>FY26, FY27</v>
      </c>
      <c r="AN260" s="4" t="str">
        <f>IFERROR(__xludf.DUMMYFUNCTION("""COMPUTED_VALUE"""),"Comer Fora")</f>
        <v>Comer Fora</v>
      </c>
      <c r="AO260" s="4">
        <f>IFERROR(__xludf.DUMMYFUNCTION("""COMPUTED_VALUE"""),140.0)</f>
        <v>140</v>
      </c>
      <c r="AP260" s="4" t="str">
        <f>IFERROR(__xludf.DUMMYFUNCTION("""COMPUTED_VALUE"""),"SP")</f>
        <v>SP</v>
      </c>
      <c r="AQ260" s="4" t="str">
        <f>IFERROR(__xludf.DUMMYFUNCTION("""COMPUTED_VALUE"""),"RODRIGO BESSER")</f>
        <v>RODRIGO BESSER</v>
      </c>
      <c r="AR260" s="4" t="str">
        <f>IFERROR(__xludf.DUMMYFUNCTION("""COMPUTED_VALUE"""),"TALITA REZENDE")</f>
        <v>TALITA REZENDE</v>
      </c>
      <c r="AS260" s="4" t="str">
        <f>IFERROR(__xludf.DUMMYFUNCTION("""COMPUTED_VALUE"""),"NATHALIE MERTENS")</f>
        <v>NATHALIE MERTENS</v>
      </c>
      <c r="AT260" s="4" t="str">
        <f>IFERROR(__xludf.DUMMYFUNCTION("""COMPUTED_VALUE"""),"MARIANA KATZ")</f>
        <v>MARIANA KATZ</v>
      </c>
      <c r="AU260" s="4" t="str">
        <f>IFERROR(__xludf.DUMMYFUNCTION("""COMPUTED_VALUE"""),"Iza")</f>
        <v>Iza</v>
      </c>
      <c r="AV260" s="4" t="str">
        <f>IFERROR(__xludf.DUMMYFUNCTION("""COMPUTED_VALUE"""),"Comer Fora-")</f>
        <v>Comer Fora-</v>
      </c>
      <c r="AW260" s="20" t="str">
        <f>IFERROR(__xludf.DUMMYFUNCTION("""COMPUTED_VALUE"""),"P e M - pipe")</f>
        <v>P e M - pipe</v>
      </c>
      <c r="AX260" s="4"/>
      <c r="AY260" s="4" t="str">
        <f>IFERROR(__xludf.DUMMYFUNCTION("""COMPUTED_VALUE"""),"Zigpay")</f>
        <v>Zigpay</v>
      </c>
      <c r="AZ260" s="4" t="str">
        <f>IFERROR(__xludf.DUMMYFUNCTION("""COMPUTED_VALUE"""),"Italiana")</f>
        <v>Italiana</v>
      </c>
      <c r="BA260" s="4">
        <f>IFERROR(__xludf.DUMMYFUNCTION("""COMPUTED_VALUE"""),58.0)</f>
        <v>58</v>
      </c>
      <c r="BB260" s="4" t="str">
        <f>IFERROR(__xludf.DUMMYFUNCTION("""COMPUTED_VALUE"""),"Fast Casual - Multi-conceito")</f>
        <v>Fast Casual - Multi-conceito</v>
      </c>
      <c r="BC260" s="4" t="str">
        <f>IFERROR(__xludf.DUMMYFUNCTION("""COMPUTED_VALUE"""),"Regional")</f>
        <v>Regional</v>
      </c>
      <c r="BD260" s="4" t="str">
        <f>IFERROR(__xludf.DUMMYFUNCTION("""COMPUTED_VALUE"""),"Dado não disponível publicamente - Necessário Discovery")</f>
        <v>Dado não disponível publicamente - Necessário Discovery</v>
      </c>
      <c r="BE260" s="4">
        <f>IFERROR(__xludf.DUMMYFUNCTION("""COMPUTED_VALUE"""),65.0)</f>
        <v>65</v>
      </c>
      <c r="BF260" s="4">
        <f>IFERROR(__xludf.DUMMYFUNCTION("""COMPUTED_VALUE"""),0.75)</f>
        <v>0.75</v>
      </c>
      <c r="BG26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60" s="4" t="s">
        <v>64</v>
      </c>
      <c r="BI260" s="7">
        <v>0.6666666666666666</v>
      </c>
    </row>
    <row r="261">
      <c r="A261" s="4" t="str">
        <f>IFERROR(__xludf.DUMMYFUNCTION("""COMPUTED_VALUE"""),"Brasileirinho Delivery Comida Típica")</f>
        <v>Brasileirinho Delivery Comida Típica</v>
      </c>
      <c r="B261" s="4" t="str">
        <f>IFERROR(__xludf.DUMMYFUNCTION("""COMPUTED_VALUE"""),"Leonardo Roso")</f>
        <v>Leonardo Roso</v>
      </c>
      <c r="C261" s="4" t="str">
        <f>IFERROR(__xludf.DUMMYFUNCTION("""COMPUTED_VALUE"""),"Leonardo Roso")</f>
        <v>Leonardo Roso</v>
      </c>
      <c r="D261" s="4" t="str">
        <f>IFERROR(__xludf.DUMMYFUNCTION("""COMPUTED_VALUE"""),"0. Não Iniciado")</f>
        <v>0. Não Iniciado</v>
      </c>
      <c r="E261" s="4" t="str">
        <f>IFERROR(__xludf.DUMMYFUNCTION("""COMPUTED_VALUE"""),"Comercial - Tentativa não iniciada")</f>
        <v>Comercial - Tentativa não iniciada</v>
      </c>
      <c r="F261" s="4" t="str">
        <f>IFERROR(__xludf.DUMMYFUNCTION("""COMPUTED_VALUE"""),"G")</f>
        <v>G</v>
      </c>
      <c r="G261" s="4"/>
      <c r="H261" s="4"/>
      <c r="I261" s="4"/>
      <c r="J261" s="4"/>
      <c r="K261" s="4"/>
      <c r="L261" s="4"/>
      <c r="M261" s="4"/>
      <c r="N261" s="4"/>
      <c r="O261" s="4"/>
      <c r="P261" s="4"/>
      <c r="Q261" s="4"/>
      <c r="R261" s="4"/>
      <c r="S261" s="4"/>
      <c r="T261" s="4"/>
      <c r="U261" s="4"/>
      <c r="V261" s="4"/>
      <c r="W261" s="4"/>
      <c r="X261" s="4"/>
      <c r="Y261" s="4"/>
      <c r="Z261" s="4"/>
      <c r="AA261" s="4">
        <f>IFERROR(__xludf.DUMMYFUNCTION("""COMPUTED_VALUE"""),90.0)</f>
        <v>90</v>
      </c>
      <c r="AB261" s="4" t="str">
        <f>IFERROR(__xludf.DUMMYFUNCTION("""COMPUTED_VALUE"""),"NÃO")</f>
        <v>NÃO</v>
      </c>
      <c r="AC261" s="4" t="str">
        <f>IFERROR(__xludf.DUMMYFUNCTION("""COMPUTED_VALUE"""),"Não BP")</f>
        <v>Não BP</v>
      </c>
      <c r="AD261" s="4"/>
      <c r="AE261" s="4"/>
      <c r="AF261" s="4"/>
      <c r="AG261" s="4"/>
      <c r="AH261" s="4"/>
      <c r="AI261" s="4"/>
      <c r="AJ261" s="4"/>
      <c r="AK261" s="4"/>
      <c r="AL261" s="4"/>
      <c r="AM261" s="4" t="str">
        <f>IFERROR(__xludf.DUMMYFUNCTION("""COMPUTED_VALUE"""),"FY26, FY27")</f>
        <v>FY26, FY27</v>
      </c>
      <c r="AN261" s="4"/>
      <c r="AO261" s="4">
        <f>IFERROR(__xludf.DUMMYFUNCTION("""COMPUTED_VALUE"""),45553.0)</f>
        <v>45553</v>
      </c>
      <c r="AP261" s="4">
        <f>IFERROR(__xludf.DUMMYFUNCTION("""COMPUTED_VALUE"""),0.0)</f>
        <v>0</v>
      </c>
      <c r="AQ261" s="4">
        <f>IFERROR(__xludf.DUMMYFUNCTION("""COMPUTED_VALUE"""),0.0)</f>
        <v>0</v>
      </c>
      <c r="AR261" s="4">
        <f>IFERROR(__xludf.DUMMYFUNCTION("""COMPUTED_VALUE"""),0.0)</f>
        <v>0</v>
      </c>
      <c r="AS261" s="4">
        <f>IFERROR(__xludf.DUMMYFUNCTION("""COMPUTED_VALUE"""),0.0)</f>
        <v>0</v>
      </c>
      <c r="AT261" s="4">
        <f>IFERROR(__xludf.DUMMYFUNCTION("""COMPUTED_VALUE"""),0.0)</f>
        <v>0</v>
      </c>
      <c r="AU261" s="4" t="str">
        <f>IFERROR(__xludf.DUMMYFUNCTION("""COMPUTED_VALUE"""),"Leonardo Roso")</f>
        <v>Leonardo Roso</v>
      </c>
      <c r="AV261" s="4">
        <f>IFERROR(__xludf.DUMMYFUNCTION("""COMPUTED_VALUE"""),0.0)</f>
        <v>0</v>
      </c>
      <c r="AW261" s="4">
        <f>IFERROR(__xludf.DUMMYFUNCTION("""COMPUTED_VALUE"""),0.0)</f>
        <v>0</v>
      </c>
      <c r="AX261" s="4">
        <f>IFERROR(__xludf.DUMMYFUNCTION("""COMPUTED_VALUE"""),0.0)</f>
        <v>0</v>
      </c>
      <c r="AY261" s="4"/>
      <c r="AZ261" s="4" t="str">
        <f>IFERROR(__xludf.DUMMYFUNCTION("""COMPUTED_VALUE"""),"NA")</f>
        <v>NA</v>
      </c>
      <c r="BA261" s="4">
        <f>IFERROR(__xludf.DUMMYFUNCTION("""COMPUTED_VALUE"""),69.0)</f>
        <v>69</v>
      </c>
      <c r="BB261" s="4" t="str">
        <f>IFERROR(__xludf.DUMMYFUNCTION("""COMPUTED_VALUE"""),"Fast Casual - Multi-conceito")</f>
        <v>Fast Casual - Multi-conceito</v>
      </c>
      <c r="BC261" s="4" t="str">
        <f>IFERROR(__xludf.DUMMYFUNCTION("""COMPUTED_VALUE"""),"Brasília/DF")</f>
        <v>Brasília/DF</v>
      </c>
      <c r="BD261" s="4" t="str">
        <f>IFERROR(__xludf.DUMMYFUNCTION("""COMPUTED_VALUE"""),"Dado não disponível publicamente - Necessário Discovery")</f>
        <v>Dado não disponível publicamente - Necessário Discovery</v>
      </c>
      <c r="BE261" s="4">
        <f>IFERROR(__xludf.DUMMYFUNCTION("""COMPUTED_VALUE"""),70.0)</f>
        <v>70</v>
      </c>
      <c r="BF261" s="4">
        <f>IFERROR(__xludf.DUMMYFUNCTION("""COMPUTED_VALUE"""),0.75)</f>
        <v>0.75</v>
      </c>
      <c r="BG26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61" s="4" t="s">
        <v>63</v>
      </c>
      <c r="BI261" s="7" t="s">
        <v>63</v>
      </c>
    </row>
    <row r="262" hidden="1">
      <c r="A262" s="4" t="str">
        <f>IFERROR(__xludf.DUMMYFUNCTION("""COMPUTED_VALUE"""),"Brasserie Victoria")</f>
        <v>Brasserie Victoria</v>
      </c>
      <c r="B262" s="4" t="str">
        <f>IFERROR(__xludf.DUMMYFUNCTION("""COMPUTED_VALUE"""),"João Biagiotti")</f>
        <v>João Biagiotti</v>
      </c>
      <c r="C262" s="4" t="str">
        <f>IFERROR(__xludf.DUMMYFUNCTION("""COMPUTED_VALUE"""),"Diego Santos")</f>
        <v>Diego Santos</v>
      </c>
      <c r="D262" s="4" t="str">
        <f>IFERROR(__xludf.DUMMYFUNCTION("""COMPUTED_VALUE"""),"0. Não Iniciado")</f>
        <v>0. Não Iniciado</v>
      </c>
      <c r="E262" s="4" t="str">
        <f>IFERROR(__xludf.DUMMYFUNCTION("""COMPUTED_VALUE"""),"Perdido - Falta de aderência técnica")</f>
        <v>Perdido - Falta de aderência técnica</v>
      </c>
      <c r="F262" s="4" t="str">
        <f>IFERROR(__xludf.DUMMYFUNCTION("""COMPUTED_VALUE"""),"P")</f>
        <v>P</v>
      </c>
      <c r="G262" s="5">
        <f>IFERROR(__xludf.DUMMYFUNCTION("""COMPUTED_VALUE"""),46076.0)</f>
        <v>46076</v>
      </c>
      <c r="H262" s="4" t="str">
        <f>IFERROR(__xludf.DUMMYFUNCTION("""COMPUTED_VALUE"""),"Enviado mensagem no linkedin mas sem retorno")</f>
        <v>Enviado mensagem no linkedin mas sem retorno</v>
      </c>
      <c r="I262" s="4"/>
      <c r="J262" s="4"/>
      <c r="K262" s="4"/>
      <c r="L262" s="4"/>
      <c r="M262" s="4"/>
      <c r="N262" s="4"/>
      <c r="O262" s="4"/>
      <c r="P262" s="4"/>
      <c r="Q262" s="4"/>
      <c r="R262" s="4"/>
      <c r="S262" s="4"/>
      <c r="T262" s="4"/>
      <c r="U262" s="4"/>
      <c r="V262" s="4"/>
      <c r="W262" s="4"/>
      <c r="X262" s="4"/>
      <c r="Y262" s="4"/>
      <c r="Z262" s="4"/>
      <c r="AA262" s="4">
        <f>IFERROR(__xludf.DUMMYFUNCTION("""COMPUTED_VALUE"""),1.0)</f>
        <v>1</v>
      </c>
      <c r="AB262" s="4" t="str">
        <f>IFERROR(__xludf.DUMMYFUNCTION("""COMPUTED_VALUE"""),"NÃO")</f>
        <v>NÃO</v>
      </c>
      <c r="AC262" s="4" t="str">
        <f>IFERROR(__xludf.DUMMYFUNCTION("""COMPUTED_VALUE"""),"BP")</f>
        <v>BP</v>
      </c>
      <c r="AD262" s="4"/>
      <c r="AE262" s="4"/>
      <c r="AF262" s="4"/>
      <c r="AG262" s="4"/>
      <c r="AH262" s="4"/>
      <c r="AI262" s="4"/>
      <c r="AJ262" s="4"/>
      <c r="AK262" s="4"/>
      <c r="AL262" s="4"/>
      <c r="AM262" s="4" t="str">
        <f>IFERROR(__xludf.DUMMYFUNCTION("""COMPUTED_VALUE"""),"FY26, FY27")</f>
        <v>FY26, FY27</v>
      </c>
      <c r="AN262" s="4" t="str">
        <f>IFERROR(__xludf.DUMMYFUNCTION("""COMPUTED_VALUE"""),"Comer Fora")</f>
        <v>Comer Fora</v>
      </c>
      <c r="AO262" s="4">
        <f>IFERROR(__xludf.DUMMYFUNCTION("""COMPUTED_VALUE"""),140.0)</f>
        <v>140</v>
      </c>
      <c r="AP262" s="4" t="str">
        <f>IFERROR(__xludf.DUMMYFUNCTION("""COMPUTED_VALUE"""),"SP")</f>
        <v>SP</v>
      </c>
      <c r="AQ262" s="4" t="str">
        <f>IFERROR(__xludf.DUMMYFUNCTION("""COMPUTED_VALUE"""),"GABRIEL BISPO")</f>
        <v>GABRIEL BISPO</v>
      </c>
      <c r="AR262" s="4" t="str">
        <f>IFERROR(__xludf.DUMMYFUNCTION("""COMPUTED_VALUE"""),"TBH-VIP")</f>
        <v>TBH-VIP</v>
      </c>
      <c r="AS262" s="4" t="str">
        <f>IFERROR(__xludf.DUMMYFUNCTION("""COMPUTED_VALUE"""),"NATHALIE MERTENS")</f>
        <v>NATHALIE MERTENS</v>
      </c>
      <c r="AT262" s="4" t="str">
        <f>IFERROR(__xludf.DUMMYFUNCTION("""COMPUTED_VALUE"""),"MARIANA KATZ")</f>
        <v>MARIANA KATZ</v>
      </c>
      <c r="AU262" s="4" t="str">
        <f>IFERROR(__xludf.DUMMYFUNCTION("""COMPUTED_VALUE"""),"Diego")</f>
        <v>Diego</v>
      </c>
      <c r="AV262" s="4" t="str">
        <f>IFERROR(__xludf.DUMMYFUNCTION("""COMPUTED_VALUE"""),"Comer Fora-")</f>
        <v>Comer Fora-</v>
      </c>
      <c r="AW262" s="20" t="str">
        <f>IFERROR(__xludf.DUMMYFUNCTION("""COMPUTED_VALUE"""),"P e M - pipe")</f>
        <v>P e M - pipe</v>
      </c>
      <c r="AX262" s="4"/>
      <c r="AY262" s="4"/>
      <c r="AZ262" s="4" t="str">
        <f>IFERROR(__xludf.DUMMYFUNCTION("""COMPUTED_VALUE"""),"Árabe")</f>
        <v>Árabe</v>
      </c>
      <c r="BA262" s="4" t="str">
        <f>IFERROR(__xludf.DUMMYFUNCTION("""COMPUTED_VALUE"""),"")</f>
        <v/>
      </c>
      <c r="BB262" s="4" t="str">
        <f>IFERROR(__xludf.DUMMYFUNCTION("""COMPUTED_VALUE"""),"")</f>
        <v/>
      </c>
      <c r="BC262" s="4" t="str">
        <f>IFERROR(__xludf.DUMMYFUNCTION("""COMPUTED_VALUE"""),"")</f>
        <v/>
      </c>
      <c r="BD262" s="4" t="str">
        <f>IFERROR(__xludf.DUMMYFUNCTION("""COMPUTED_VALUE"""),"")</f>
        <v/>
      </c>
      <c r="BE262" s="4" t="str">
        <f>IFERROR(__xludf.DUMMYFUNCTION("""COMPUTED_VALUE"""),"")</f>
        <v/>
      </c>
      <c r="BF262" s="4" t="str">
        <f>IFERROR(__xludf.DUMMYFUNCTION("""COMPUTED_VALUE"""),"")</f>
        <v/>
      </c>
      <c r="BG262" s="4" t="str">
        <f>IFERROR(__xludf.DUMMYFUNCTION("""COMPUTED_VALUE"""),"")</f>
        <v/>
      </c>
      <c r="BH262" s="4" t="s">
        <v>63</v>
      </c>
      <c r="BI262" s="7" t="s">
        <v>63</v>
      </c>
    </row>
    <row r="263" hidden="1">
      <c r="A263" s="4" t="str">
        <f>IFERROR(__xludf.DUMMYFUNCTION("""COMPUTED_VALUE"""),"Bravo Gastronomia")</f>
        <v>Bravo Gastronomia</v>
      </c>
      <c r="B263" s="4" t="str">
        <f>IFERROR(__xludf.DUMMYFUNCTION("""COMPUTED_VALUE"""),"Lídia Esteves")</f>
        <v>Lídia Esteves</v>
      </c>
      <c r="C263" s="4" t="str">
        <f>IFERROR(__xludf.DUMMYFUNCTION("""COMPUTED_VALUE"""),"Gabriela Roma")</f>
        <v>Gabriela Roma</v>
      </c>
      <c r="D263" s="4" t="str">
        <f>IFERROR(__xludf.DUMMYFUNCTION("""COMPUTED_VALUE"""),"1. Iniciado")</f>
        <v>1. Iniciado</v>
      </c>
      <c r="E263" s="4" t="str">
        <f>IFERROR(__xludf.DUMMYFUNCTION("""COMPUTED_VALUE"""),"Perdido - Outro (detalhar ao lado)")</f>
        <v>Perdido - Outro (detalhar ao lado)</v>
      </c>
      <c r="F263" s="4" t="str">
        <f>IFERROR(__xludf.DUMMYFUNCTION("""COMPUTED_VALUE"""),"P")</f>
        <v>P</v>
      </c>
      <c r="G263" s="5">
        <f>IFERROR(__xludf.DUMMYFUNCTION("""COMPUTED_VALUE"""),46076.0)</f>
        <v>46076</v>
      </c>
      <c r="H263" s="4" t="str">
        <f>IFERROR(__xludf.DUMMYFUNCTION("""COMPUTED_VALUE"""),"Enviado proposta, mas valores não faziam sentido no momento. Stand By.")</f>
        <v>Enviado proposta, mas valores não faziam sentido no momento. Stand By.</v>
      </c>
      <c r="I263" s="6">
        <f>IFERROR(__xludf.DUMMYFUNCTION("""COMPUTED_VALUE"""),46122.65819155093)</f>
        <v>46122.65819</v>
      </c>
      <c r="J263" s="4"/>
      <c r="K263" s="4"/>
      <c r="L263" s="4"/>
      <c r="M263" s="4"/>
      <c r="N263" s="4"/>
      <c r="O263" s="4"/>
      <c r="P263" s="4"/>
      <c r="Q263" s="4"/>
      <c r="R263" s="4"/>
      <c r="S263" s="4"/>
      <c r="T263" s="4"/>
      <c r="U263" s="4"/>
      <c r="V263" s="4"/>
      <c r="W263" s="4"/>
      <c r="X263" s="4"/>
      <c r="Y263" s="4"/>
      <c r="Z263" s="4"/>
      <c r="AA263" s="4">
        <f>IFERROR(__xludf.DUMMYFUNCTION("""COMPUTED_VALUE"""),1.0)</f>
        <v>1</v>
      </c>
      <c r="AB263" s="4" t="str">
        <f>IFERROR(__xludf.DUMMYFUNCTION("""COMPUTED_VALUE"""),"NÃO")</f>
        <v>NÃO</v>
      </c>
      <c r="AC263" s="4" t="str">
        <f>IFERROR(__xludf.DUMMYFUNCTION("""COMPUTED_VALUE"""),"Não BP")</f>
        <v>Não BP</v>
      </c>
      <c r="AD263" s="4"/>
      <c r="AE263" s="4"/>
      <c r="AF263" s="4"/>
      <c r="AG263" s="4"/>
      <c r="AH263" s="4"/>
      <c r="AI263" s="4"/>
      <c r="AJ263" s="4"/>
      <c r="AK263" s="4"/>
      <c r="AL263" s="4"/>
      <c r="AM263" s="4" t="str">
        <f>IFERROR(__xludf.DUMMYFUNCTION("""COMPUTED_VALUE"""),"FY26, FY27")</f>
        <v>FY26, FY27</v>
      </c>
      <c r="AN263" s="4"/>
      <c r="AO263" s="4">
        <f>IFERROR(__xludf.DUMMYFUNCTION("""COMPUTED_VALUE"""),140.0)</f>
        <v>140</v>
      </c>
      <c r="AP263" s="4">
        <f>IFERROR(__xludf.DUMMYFUNCTION("""COMPUTED_VALUE"""),0.0)</f>
        <v>0</v>
      </c>
      <c r="AQ263" s="4">
        <f>IFERROR(__xludf.DUMMYFUNCTION("""COMPUTED_VALUE"""),0.0)</f>
        <v>0</v>
      </c>
      <c r="AR263" s="4">
        <f>IFERROR(__xludf.DUMMYFUNCTION("""COMPUTED_VALUE"""),0.0)</f>
        <v>0</v>
      </c>
      <c r="AS263" s="4">
        <f>IFERROR(__xludf.DUMMYFUNCTION("""COMPUTED_VALUE"""),0.0)</f>
        <v>0</v>
      </c>
      <c r="AT263" s="4">
        <f>IFERROR(__xludf.DUMMYFUNCTION("""COMPUTED_VALUE"""),0.0)</f>
        <v>0</v>
      </c>
      <c r="AU263" s="4" t="str">
        <f>IFERROR(__xludf.DUMMYFUNCTION("""COMPUTED_VALUE"""),"Iza")</f>
        <v>Iza</v>
      </c>
      <c r="AV263" s="4">
        <f>IFERROR(__xludf.DUMMYFUNCTION("""COMPUTED_VALUE"""),0.0)</f>
        <v>0</v>
      </c>
      <c r="AW263" s="4">
        <f>IFERROR(__xludf.DUMMYFUNCTION("""COMPUTED_VALUE"""),0.0)</f>
        <v>0</v>
      </c>
      <c r="AX263" s="4">
        <f>IFERROR(__xludf.DUMMYFUNCTION("""COMPUTED_VALUE"""),0.0)</f>
        <v>0</v>
      </c>
      <c r="AY263" s="4"/>
      <c r="AZ263" s="4" t="str">
        <f>IFERROR(__xludf.DUMMYFUNCTION("""COMPUTED_VALUE"""),"NA")</f>
        <v>NA</v>
      </c>
      <c r="BA263" s="4">
        <f>IFERROR(__xludf.DUMMYFUNCTION("""COMPUTED_VALUE"""),70.0)</f>
        <v>70</v>
      </c>
      <c r="BB263" s="4" t="str">
        <f>IFERROR(__xludf.DUMMYFUNCTION("""COMPUTED_VALUE"""),"Fast Casual - Multi-conceito")</f>
        <v>Fast Casual - Multi-conceito</v>
      </c>
      <c r="BC263" s="4" t="str">
        <f>IFERROR(__xludf.DUMMYFUNCTION("""COMPUTED_VALUE"""),"Brasília/DF")</f>
        <v>Brasília/DF</v>
      </c>
      <c r="BD263" s="4" t="str">
        <f>IFERROR(__xludf.DUMMYFUNCTION("""COMPUTED_VALUE"""),"Dado não disponível publicamente - Necessário Discovery")</f>
        <v>Dado não disponível publicamente - Necessário Discovery</v>
      </c>
      <c r="BE263" s="4">
        <f>IFERROR(__xludf.DUMMYFUNCTION("""COMPUTED_VALUE"""),70.0)</f>
        <v>70</v>
      </c>
      <c r="BF263" s="4">
        <f>IFERROR(__xludf.DUMMYFUNCTION("""COMPUTED_VALUE"""),0.75)</f>
        <v>0.75</v>
      </c>
      <c r="BG26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63" s="4" t="s">
        <v>63</v>
      </c>
      <c r="BI263" s="7" t="s">
        <v>63</v>
      </c>
    </row>
    <row r="264" hidden="1">
      <c r="A264" s="4" t="str">
        <f>IFERROR(__xludf.DUMMYFUNCTION("""COMPUTED_VALUE"""),"Brutus- Cp")</f>
        <v>Brutus- Cp</v>
      </c>
      <c r="B264" s="4" t="str">
        <f>IFERROR(__xludf.DUMMYFUNCTION("""COMPUTED_VALUE"""),"Lídia Esteves")</f>
        <v>Lídia Esteves</v>
      </c>
      <c r="C264" s="4" t="str">
        <f>IFERROR(__xludf.DUMMYFUNCTION("""COMPUTED_VALUE"""),"Gabriela Roma")</f>
        <v>Gabriela Roma</v>
      </c>
      <c r="D264" s="4" t="str">
        <f>IFERROR(__xludf.DUMMYFUNCTION("""COMPUTED_VALUE"""),"1. Iniciado")</f>
        <v>1. Iniciado</v>
      </c>
      <c r="E264" s="4" t="str">
        <f>IFERROR(__xludf.DUMMYFUNCTION("""COMPUTED_VALUE"""),"Delivery - Aguardando retorno / Conciliação agenda")</f>
        <v>Delivery - Aguardando retorno / Conciliação agenda</v>
      </c>
      <c r="F264" s="4" t="str">
        <f>IFERROR(__xludf.DUMMYFUNCTION("""COMPUTED_VALUE"""),"P")</f>
        <v>P</v>
      </c>
      <c r="G264" s="4"/>
      <c r="H264" s="4"/>
      <c r="I264" s="6">
        <f>IFERROR(__xludf.DUMMYFUNCTION("""COMPUTED_VALUE"""),46121.68394832176)</f>
        <v>46121.68395</v>
      </c>
      <c r="J264" s="4"/>
      <c r="K264" s="4"/>
      <c r="L264" s="4"/>
      <c r="M264" s="4"/>
      <c r="N264" s="4"/>
      <c r="O264" s="4"/>
      <c r="P264" s="4"/>
      <c r="Q264" s="4"/>
      <c r="R264" s="4"/>
      <c r="S264" s="4"/>
      <c r="T264" s="4"/>
      <c r="U264" s="4"/>
      <c r="V264" s="4"/>
      <c r="W264" s="4"/>
      <c r="X264" s="4"/>
      <c r="Y264" s="4"/>
      <c r="Z264" s="4"/>
      <c r="AA264" s="4">
        <f>IFERROR(__xludf.DUMMYFUNCTION("""COMPUTED_VALUE"""),9.0)</f>
        <v>9</v>
      </c>
      <c r="AB264" s="4" t="str">
        <f>IFERROR(__xludf.DUMMYFUNCTION("""COMPUTED_VALUE"""),"-")</f>
        <v>-</v>
      </c>
      <c r="AC264" s="4" t="str">
        <f>IFERROR(__xludf.DUMMYFUNCTION("""COMPUTED_VALUE"""),"-")</f>
        <v>-</v>
      </c>
      <c r="AD264" s="4"/>
      <c r="AE264" s="4"/>
      <c r="AF264" s="4"/>
      <c r="AG264" s="4"/>
      <c r="AH264" s="4"/>
      <c r="AI264" s="4"/>
      <c r="AJ264" s="4"/>
      <c r="AK264" s="4"/>
      <c r="AL264" s="4"/>
      <c r="AM264" s="4" t="str">
        <f>IFERROR(__xludf.DUMMYFUNCTION("""COMPUTED_VALUE"""),"FY26, FY27")</f>
        <v>FY26, FY27</v>
      </c>
      <c r="AN264" s="4"/>
      <c r="AO264" s="4">
        <f>IFERROR(__xludf.DUMMYFUNCTION("""COMPUTED_VALUE"""),45553.0)</f>
        <v>45553</v>
      </c>
      <c r="AP264" s="4" t="str">
        <f>IFERROR(__xludf.DUMMYFUNCTION("""COMPUTED_VALUE"""),"PR")</f>
        <v>PR</v>
      </c>
      <c r="AQ264" s="4" t="str">
        <f>IFERROR(__xludf.DUMMYFUNCTION("""COMPUTED_VALUE"""),"RAFAEL FERREIRA")</f>
        <v>RAFAEL FERREIRA</v>
      </c>
      <c r="AR264" s="4" t="str">
        <f>IFERROR(__xludf.DUMMYFUNCTION("""COMPUTED_VALUE"""),"CAMILLA HENNING")</f>
        <v>CAMILLA HENNING</v>
      </c>
      <c r="AS264" s="4" t="str">
        <f>IFERROR(__xludf.DUMMYFUNCTION("""COMPUTED_VALUE"""),"FABIO DONATO")</f>
        <v>FABIO DONATO</v>
      </c>
      <c r="AT264" s="4" t="str">
        <f>IFERROR(__xludf.DUMMYFUNCTION("""COMPUTED_VALUE"""),"MURILO NAGASHIMA")</f>
        <v>MURILO NAGASHIMA</v>
      </c>
      <c r="AU264" s="4" t="str">
        <f>IFERROR(__xludf.DUMMYFUNCTION("""COMPUTED_VALUE"""),"Lídia / Emerson")</f>
        <v>Lídia / Emerson</v>
      </c>
      <c r="AV264" s="4">
        <f>IFERROR(__xludf.DUMMYFUNCTION("""COMPUTED_VALUE"""),0.0)</f>
        <v>0</v>
      </c>
      <c r="AW264" s="4">
        <f>IFERROR(__xludf.DUMMYFUNCTION("""COMPUTED_VALUE"""),0.0)</f>
        <v>0</v>
      </c>
      <c r="AX264" s="4">
        <f>IFERROR(__xludf.DUMMYFUNCTION("""COMPUTED_VALUE"""),0.0)</f>
        <v>0</v>
      </c>
      <c r="AY264" s="4"/>
      <c r="AZ264" s="4" t="str">
        <f>IFERROR(__xludf.DUMMYFUNCTION("""COMPUTED_VALUE"""),"Lanches")</f>
        <v>Lanches</v>
      </c>
      <c r="BA264" s="4">
        <f>IFERROR(__xludf.DUMMYFUNCTION("""COMPUTED_VALUE"""),69.0)</f>
        <v>69</v>
      </c>
      <c r="BB264" s="4" t="str">
        <f>IFERROR(__xludf.DUMMYFUNCTION("""COMPUTED_VALUE"""),"Fast Casual - Multi-conceito")</f>
        <v>Fast Casual - Multi-conceito</v>
      </c>
      <c r="BC264" s="4" t="str">
        <f>IFERROR(__xludf.DUMMYFUNCTION("""COMPUTED_VALUE"""),"Nacional")</f>
        <v>Nacional</v>
      </c>
      <c r="BD264" s="4" t="str">
        <f>IFERROR(__xludf.DUMMYFUNCTION("""COMPUTED_VALUE"""),"Dado não disponível publicamente - Necessário Discovery")</f>
        <v>Dado não disponível publicamente - Necessário Discovery</v>
      </c>
      <c r="BE264" s="4">
        <f>IFERROR(__xludf.DUMMYFUNCTION("""COMPUTED_VALUE"""),70.0)</f>
        <v>70</v>
      </c>
      <c r="BF264" s="4">
        <f>IFERROR(__xludf.DUMMYFUNCTION("""COMPUTED_VALUE"""),0.75)</f>
        <v>0.75</v>
      </c>
      <c r="BG26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64" s="4" t="s">
        <v>63</v>
      </c>
      <c r="BI264" s="7" t="s">
        <v>63</v>
      </c>
    </row>
    <row r="265">
      <c r="A265" s="4" t="str">
        <f>IFERROR(__xludf.DUMMYFUNCTION("""COMPUTED_VALUE"""),"Bubble Mix")</f>
        <v>Bubble Mix</v>
      </c>
      <c r="B265" s="4" t="str">
        <f>IFERROR(__xludf.DUMMYFUNCTION("""COMPUTED_VALUE"""),"Leonardo Roso")</f>
        <v>Leonardo Roso</v>
      </c>
      <c r="C265" s="4" t="str">
        <f>IFERROR(__xludf.DUMMYFUNCTION("""COMPUTED_VALUE"""),"Leonardo Roso")</f>
        <v>Leonardo Roso</v>
      </c>
      <c r="D265" s="4" t="str">
        <f>IFERROR(__xludf.DUMMYFUNCTION("""COMPUTED_VALUE"""),"11. Stand by")</f>
        <v>11. Stand by</v>
      </c>
      <c r="E265" s="4" t="str">
        <f>IFERROR(__xludf.DUMMYFUNCTION("""COMPUTED_VALUE"""),"Perdido -  Momento do restaurante não favorável")</f>
        <v>Perdido -  Momento do restaurante não favorável</v>
      </c>
      <c r="F265" s="4" t="str">
        <f>IFERROR(__xludf.DUMMYFUNCTION("""COMPUTED_VALUE"""),"G")</f>
        <v>G</v>
      </c>
      <c r="G265" s="5">
        <f>IFERROR(__xludf.DUMMYFUNCTION("""COMPUTED_VALUE"""),46099.0)</f>
        <v>46099</v>
      </c>
      <c r="H265" s="4" t="str">
        <f>IFERROR(__xludf.DUMMYFUNCTION("""COMPUTED_VALUE"""),"Sem oportunidade de mudança por enquanto. ")</f>
        <v>Sem oportunidade de mudança por enquanto. </v>
      </c>
      <c r="I265" s="4"/>
      <c r="J265" s="6">
        <f>IFERROR(__xludf.DUMMYFUNCTION("""COMPUTED_VALUE"""),46051.406643379625)</f>
        <v>46051.40664</v>
      </c>
      <c r="K265" s="6">
        <f>IFERROR(__xludf.DUMMYFUNCTION("""COMPUTED_VALUE"""),46051.406643379625)</f>
        <v>46051.40664</v>
      </c>
      <c r="L265" s="4"/>
      <c r="M265" s="4"/>
      <c r="N265" s="4"/>
      <c r="O265" s="4"/>
      <c r="P265" s="4"/>
      <c r="Q265" s="4"/>
      <c r="R265" s="4"/>
      <c r="S265" s="6">
        <f>IFERROR(__xludf.DUMMYFUNCTION("""COMPUTED_VALUE"""),46055.40960255787)</f>
        <v>46055.4096</v>
      </c>
      <c r="T265" s="4"/>
      <c r="U265" s="4"/>
      <c r="V265" s="4" t="str">
        <f>IFERROR(__xludf.DUMMYFUNCTION("""COMPUTED_VALUE"""),"Sem interesse em mudar de PDV")</f>
        <v>Sem interesse em mudar de PDV</v>
      </c>
      <c r="W265" s="4"/>
      <c r="X265" s="4"/>
      <c r="Y265" s="4"/>
      <c r="Z265" s="4"/>
      <c r="AA265" s="4">
        <f>IFERROR(__xludf.DUMMYFUNCTION("""COMPUTED_VALUE"""),61.0)</f>
        <v>61</v>
      </c>
      <c r="AB265" s="4" t="str">
        <f>IFERROR(__xludf.DUMMYFUNCTION("""COMPUTED_VALUE"""),"NÃO")</f>
        <v>NÃO</v>
      </c>
      <c r="AC265" s="4" t="str">
        <f>IFERROR(__xludf.DUMMYFUNCTION("""COMPUTED_VALUE"""),"Não BP")</f>
        <v>Não BP</v>
      </c>
      <c r="AD265" s="4"/>
      <c r="AE265" s="4"/>
      <c r="AF265" s="4"/>
      <c r="AG265" s="4"/>
      <c r="AH265" s="4"/>
      <c r="AI265" s="4"/>
      <c r="AJ265" s="4"/>
      <c r="AK265" s="4"/>
      <c r="AL265" s="4"/>
      <c r="AM265" s="4" t="str">
        <f>IFERROR(__xludf.DUMMYFUNCTION("""COMPUTED_VALUE"""),"FY26, FY27")</f>
        <v>FY26, FY27</v>
      </c>
      <c r="AN265" s="4"/>
      <c r="AO265" s="4">
        <f>IFERROR(__xludf.DUMMYFUNCTION("""COMPUTED_VALUE"""),115.0)</f>
        <v>115</v>
      </c>
      <c r="AP265" s="4">
        <f>IFERROR(__xludf.DUMMYFUNCTION("""COMPUTED_VALUE"""),0.0)</f>
        <v>0</v>
      </c>
      <c r="AQ265" s="4">
        <f>IFERROR(__xludf.DUMMYFUNCTION("""COMPUTED_VALUE"""),0.0)</f>
        <v>0</v>
      </c>
      <c r="AR265" s="4">
        <f>IFERROR(__xludf.DUMMYFUNCTION("""COMPUTED_VALUE"""),0.0)</f>
        <v>0</v>
      </c>
      <c r="AS265" s="4">
        <f>IFERROR(__xludf.DUMMYFUNCTION("""COMPUTED_VALUE"""),0.0)</f>
        <v>0</v>
      </c>
      <c r="AT265" s="4">
        <f>IFERROR(__xludf.DUMMYFUNCTION("""COMPUTED_VALUE"""),0.0)</f>
        <v>0</v>
      </c>
      <c r="AU265" s="4" t="str">
        <f>IFERROR(__xludf.DUMMYFUNCTION("""COMPUTED_VALUE"""),"Diego")</f>
        <v>Diego</v>
      </c>
      <c r="AV265" s="4">
        <f>IFERROR(__xludf.DUMMYFUNCTION("""COMPUTED_VALUE"""),0.0)</f>
        <v>0</v>
      </c>
      <c r="AW265" s="4">
        <f>IFERROR(__xludf.DUMMYFUNCTION("""COMPUTED_VALUE"""),0.0)</f>
        <v>0</v>
      </c>
      <c r="AX265" s="4">
        <f>IFERROR(__xludf.DUMMYFUNCTION("""COMPUTED_VALUE"""),0.0)</f>
        <v>0</v>
      </c>
      <c r="AY265" s="4"/>
      <c r="AZ265" s="4" t="str">
        <f>IFERROR(__xludf.DUMMYFUNCTION("""COMPUTED_VALUE"""),"Variada")</f>
        <v>Variada</v>
      </c>
      <c r="BA265" s="4">
        <f>IFERROR(__xludf.DUMMYFUNCTION("""COMPUTED_VALUE"""),50.0)</f>
        <v>50</v>
      </c>
      <c r="BB265" s="4" t="str">
        <f>IFERROR(__xludf.DUMMYFUNCTION("""COMPUTED_VALUE"""),"Fast Casual - Multi-conceito")</f>
        <v>Fast Casual - Multi-conceito</v>
      </c>
      <c r="BC265" s="4" t="str">
        <f>IFERROR(__xludf.DUMMYFUNCTION("""COMPUTED_VALUE"""),"Regional")</f>
        <v>Regional</v>
      </c>
      <c r="BD265" s="4" t="str">
        <f>IFERROR(__xludf.DUMMYFUNCTION("""COMPUTED_VALUE"""),"Dado não disponível publicamente - Necessário Discovery")</f>
        <v>Dado não disponível publicamente - Necessário Discovery</v>
      </c>
      <c r="BE265" s="4">
        <f>IFERROR(__xludf.DUMMYFUNCTION("""COMPUTED_VALUE"""),70.0)</f>
        <v>70</v>
      </c>
      <c r="BF265" s="4">
        <f>IFERROR(__xludf.DUMMYFUNCTION("""COMPUTED_VALUE"""),0.75)</f>
        <v>0.75</v>
      </c>
      <c r="BG26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65" s="4" t="s">
        <v>63</v>
      </c>
      <c r="BI265" s="7" t="s">
        <v>63</v>
      </c>
    </row>
    <row r="266" hidden="1">
      <c r="A266" s="4" t="str">
        <f>IFERROR(__xludf.DUMMYFUNCTION("""COMPUTED_VALUE"""),"Buffalos Grill")</f>
        <v>Buffalos Grill</v>
      </c>
      <c r="B266" s="4" t="str">
        <f>IFERROR(__xludf.DUMMYFUNCTION("""COMPUTED_VALUE"""),"Emerson")</f>
        <v>Emerson</v>
      </c>
      <c r="C266" s="4" t="str">
        <f>IFERROR(__xludf.DUMMYFUNCTION("""COMPUTED_VALUE"""),"Emerson")</f>
        <v>Emerson</v>
      </c>
      <c r="D266" s="4" t="str">
        <f>IFERROR(__xludf.DUMMYFUNCTION("""COMPUTED_VALUE"""),"0. Não Iniciado")</f>
        <v>0. Não Iniciado</v>
      </c>
      <c r="E266" s="4"/>
      <c r="F266" s="4" t="str">
        <f>IFERROR(__xludf.DUMMYFUNCTION("""COMPUTED_VALUE"""),"M")</f>
        <v>M</v>
      </c>
      <c r="G266" s="4"/>
      <c r="H266" s="4"/>
      <c r="I266" s="4"/>
      <c r="J266" s="4"/>
      <c r="K266" s="4"/>
      <c r="L266" s="4"/>
      <c r="M266" s="4"/>
      <c r="N266" s="4"/>
      <c r="O266" s="4"/>
      <c r="P266" s="4"/>
      <c r="Q266" s="4"/>
      <c r="R266" s="4"/>
      <c r="S266" s="4"/>
      <c r="T266" s="4"/>
      <c r="U266" s="4"/>
      <c r="V266" s="4"/>
      <c r="W266" s="4"/>
      <c r="X266" s="4"/>
      <c r="Y266" s="4"/>
      <c r="Z266" s="4"/>
      <c r="AA266" s="4">
        <f>IFERROR(__xludf.DUMMYFUNCTION("""COMPUTED_VALUE"""),40.0)</f>
        <v>40</v>
      </c>
      <c r="AB266" s="4" t="str">
        <f>IFERROR(__xludf.DUMMYFUNCTION("""COMPUTED_VALUE"""),"NÃO")</f>
        <v>NÃO</v>
      </c>
      <c r="AC266" s="4" t="str">
        <f>IFERROR(__xludf.DUMMYFUNCTION("""COMPUTED_VALUE"""),"Não BP")</f>
        <v>Não BP</v>
      </c>
      <c r="AD266" s="4"/>
      <c r="AE266" s="4"/>
      <c r="AF266" s="4"/>
      <c r="AG266" s="4"/>
      <c r="AH266" s="4"/>
      <c r="AI266" s="4"/>
      <c r="AJ266" s="4"/>
      <c r="AK266" s="4"/>
      <c r="AL266" s="4"/>
      <c r="AM266" s="4" t="str">
        <f>IFERROR(__xludf.DUMMYFUNCTION("""COMPUTED_VALUE"""),"FY26, FY27")</f>
        <v>FY26, FY27</v>
      </c>
      <c r="AN266" s="4"/>
      <c r="AO266" s="4">
        <f>IFERROR(__xludf.DUMMYFUNCTION("""COMPUTED_VALUE"""),45553.0)</f>
        <v>45553</v>
      </c>
      <c r="AP266" s="4">
        <f>IFERROR(__xludf.DUMMYFUNCTION("""COMPUTED_VALUE"""),0.0)</f>
        <v>0</v>
      </c>
      <c r="AQ266" s="4">
        <f>IFERROR(__xludf.DUMMYFUNCTION("""COMPUTED_VALUE"""),0.0)</f>
        <v>0</v>
      </c>
      <c r="AR266" s="4">
        <f>IFERROR(__xludf.DUMMYFUNCTION("""COMPUTED_VALUE"""),0.0)</f>
        <v>0</v>
      </c>
      <c r="AS266" s="4">
        <f>IFERROR(__xludf.DUMMYFUNCTION("""COMPUTED_VALUE"""),0.0)</f>
        <v>0</v>
      </c>
      <c r="AT266" s="4">
        <f>IFERROR(__xludf.DUMMYFUNCTION("""COMPUTED_VALUE"""),0.0)</f>
        <v>0</v>
      </c>
      <c r="AU266" s="4" t="str">
        <f>IFERROR(__xludf.DUMMYFUNCTION("""COMPUTED_VALUE"""),"Iza")</f>
        <v>Iza</v>
      </c>
      <c r="AV266" s="4">
        <f>IFERROR(__xludf.DUMMYFUNCTION("""COMPUTED_VALUE"""),0.0)</f>
        <v>0</v>
      </c>
      <c r="AW266" s="4">
        <f>IFERROR(__xludf.DUMMYFUNCTION("""COMPUTED_VALUE"""),0.0)</f>
        <v>0</v>
      </c>
      <c r="AX266" s="4">
        <f>IFERROR(__xludf.DUMMYFUNCTION("""COMPUTED_VALUE"""),0.0)</f>
        <v>0</v>
      </c>
      <c r="AY266" s="4"/>
      <c r="AZ266" s="4" t="str">
        <f>IFERROR(__xludf.DUMMYFUNCTION("""COMPUTED_VALUE"""),"NA")</f>
        <v>NA</v>
      </c>
      <c r="BA266" s="4">
        <f>IFERROR(__xludf.DUMMYFUNCTION("""COMPUTED_VALUE"""),139.0)</f>
        <v>139</v>
      </c>
      <c r="BB266" s="4" t="str">
        <f>IFERROR(__xludf.DUMMYFUNCTION("""COMPUTED_VALUE"""),"Table Service - Churrascaria")</f>
        <v>Table Service - Churrascaria</v>
      </c>
      <c r="BC266" s="4" t="str">
        <f>IFERROR(__xludf.DUMMYFUNCTION("""COMPUTED_VALUE"""),"Nordeste")</f>
        <v>Nordeste</v>
      </c>
      <c r="BD266" s="4" t="str">
        <f>IFERROR(__xludf.DUMMYFUNCTION("""COMPUTED_VALUE"""),"Dado não disponível publicamente - Necessário Discovery")</f>
        <v>Dado não disponível publicamente - Necessário Discovery</v>
      </c>
      <c r="BE266" s="4">
        <f>IFERROR(__xludf.DUMMYFUNCTION("""COMPUTED_VALUE"""),60.0)</f>
        <v>60</v>
      </c>
      <c r="BF266" s="4">
        <f>IFERROR(__xludf.DUMMYFUNCTION("""COMPUTED_VALUE"""),0.65)</f>
        <v>0.65</v>
      </c>
      <c r="BG26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66" s="4" t="s">
        <v>63</v>
      </c>
      <c r="BI266" s="7" t="s">
        <v>63</v>
      </c>
    </row>
    <row r="267" hidden="1">
      <c r="A267" s="4" t="str">
        <f>IFERROR(__xludf.DUMMYFUNCTION("""COMPUTED_VALUE"""),"Burdog")</f>
        <v>Burdog</v>
      </c>
      <c r="B267" s="4" t="str">
        <f>IFERROR(__xludf.DUMMYFUNCTION("""COMPUTED_VALUE"""),"João Biagiotti")</f>
        <v>João Biagiotti</v>
      </c>
      <c r="C267" s="4" t="str">
        <f>IFERROR(__xludf.DUMMYFUNCTION("""COMPUTED_VALUE"""),"Diego Santos")</f>
        <v>Diego Santos</v>
      </c>
      <c r="D267" s="4" t="str">
        <f>IFERROR(__xludf.DUMMYFUNCTION("""COMPUTED_VALUE"""),"13. Reativado")</f>
        <v>13. Reativado</v>
      </c>
      <c r="E267" s="4" t="str">
        <f>IFERROR(__xludf.DUMMYFUNCTION("""COMPUTED_VALUE"""),"Parceiro - Aguardando retorno parceiro")</f>
        <v>Parceiro - Aguardando retorno parceiro</v>
      </c>
      <c r="F267" s="4" t="str">
        <f>IFERROR(__xludf.DUMMYFUNCTION("""COMPUTED_VALUE"""),"P")</f>
        <v>P</v>
      </c>
      <c r="G267" s="5">
        <f>IFERROR(__xludf.DUMMYFUNCTION("""COMPUTED_VALUE"""),46076.0)</f>
        <v>46076</v>
      </c>
      <c r="H267" s="4" t="str">
        <f>IFERROR(__xludf.DUMMYFUNCTION("""COMPUTED_VALUE"""),"Solução apresentada, mas estão priorizando outros projetos nesse momento (everest), pediram retorno nos próximos meses")</f>
        <v>Solução apresentada, mas estão priorizando outros projetos nesse momento (everest), pediram retorno nos próximos meses</v>
      </c>
      <c r="I267" s="4"/>
      <c r="J267" s="6">
        <f>IFERROR(__xludf.DUMMYFUNCTION("""COMPUTED_VALUE"""),46049.67388126157)</f>
        <v>46049.67388</v>
      </c>
      <c r="K267" s="6">
        <f>IFERROR(__xludf.DUMMYFUNCTION("""COMPUTED_VALUE"""),46056.0)</f>
        <v>46056</v>
      </c>
      <c r="L267" s="6">
        <f>IFERROR(__xludf.DUMMYFUNCTION("""COMPUTED_VALUE"""),46057.62458202546)</f>
        <v>46057.62458</v>
      </c>
      <c r="M267" s="4"/>
      <c r="N267" s="4"/>
      <c r="O267" s="4"/>
      <c r="P267" s="4"/>
      <c r="Q267" s="4"/>
      <c r="R267" s="4"/>
      <c r="S267" s="6">
        <f>IFERROR(__xludf.DUMMYFUNCTION("""COMPUTED_VALUE"""),46057.624672094906)</f>
        <v>46057.62467</v>
      </c>
      <c r="T267" s="4"/>
      <c r="U267" s="6">
        <f>IFERROR(__xludf.DUMMYFUNCTION("""COMPUTED_VALUE"""),46128.6552291088)</f>
        <v>46128.65523</v>
      </c>
      <c r="V267" s="4" t="str">
        <f>IFERROR(__xludf.DUMMYFUNCTION("""COMPUTED_VALUE"""),"Trava por projetos internos da marca")</f>
        <v>Trava por projetos internos da marca</v>
      </c>
      <c r="W267" s="4"/>
      <c r="X267" s="4"/>
      <c r="Y267" s="4"/>
      <c r="Z267" s="4"/>
      <c r="AA267" s="4">
        <f>IFERROR(__xludf.DUMMYFUNCTION("""COMPUTED_VALUE"""),4.0)</f>
        <v>4</v>
      </c>
      <c r="AB267" s="4" t="str">
        <f>IFERROR(__xludf.DUMMYFUNCTION("""COMPUTED_VALUE"""),"NÃO")</f>
        <v>NÃO</v>
      </c>
      <c r="AC267" s="4" t="str">
        <f>IFERROR(__xludf.DUMMYFUNCTION("""COMPUTED_VALUE"""),"BP")</f>
        <v>BP</v>
      </c>
      <c r="AD267" s="4"/>
      <c r="AE267" s="4"/>
      <c r="AF267" s="4"/>
      <c r="AG267" s="4"/>
      <c r="AH267" s="4"/>
      <c r="AI267" s="4"/>
      <c r="AJ267" s="4"/>
      <c r="AK267" s="4"/>
      <c r="AL267" s="4"/>
      <c r="AM267" s="4" t="str">
        <f>IFERROR(__xludf.DUMMYFUNCTION("""COMPUTED_VALUE"""),"FY26, FY27")</f>
        <v>FY26, FY27</v>
      </c>
      <c r="AN267" s="4" t="str">
        <f>IFERROR(__xludf.DUMMYFUNCTION("""COMPUTED_VALUE"""),"Comer Fora")</f>
        <v>Comer Fora</v>
      </c>
      <c r="AO267" s="4">
        <f>IFERROR(__xludf.DUMMYFUNCTION("""COMPUTED_VALUE"""),140.0)</f>
        <v>140</v>
      </c>
      <c r="AP267" s="4" t="str">
        <f>IFERROR(__xludf.DUMMYFUNCTION("""COMPUTED_VALUE"""),"SP")</f>
        <v>SP</v>
      </c>
      <c r="AQ267" s="4" t="str">
        <f>IFERROR(__xludf.DUMMYFUNCTION("""COMPUTED_VALUE"""),"GABRIEL BISPO")</f>
        <v>GABRIEL BISPO</v>
      </c>
      <c r="AR267" s="4" t="str">
        <f>IFERROR(__xludf.DUMMYFUNCTION("""COMPUTED_VALUE"""),"GABRYELLA ESTEVAO")</f>
        <v>GABRYELLA ESTEVAO</v>
      </c>
      <c r="AS267" s="4" t="str">
        <f>IFERROR(__xludf.DUMMYFUNCTION("""COMPUTED_VALUE"""),"NATHALIE MERTENS")</f>
        <v>NATHALIE MERTENS</v>
      </c>
      <c r="AT267" s="4" t="str">
        <f>IFERROR(__xludf.DUMMYFUNCTION("""COMPUTED_VALUE"""),"MARIANA KATZ")</f>
        <v>MARIANA KATZ</v>
      </c>
      <c r="AU267" s="4" t="str">
        <f>IFERROR(__xludf.DUMMYFUNCTION("""COMPUTED_VALUE"""),"Ana")</f>
        <v>Ana</v>
      </c>
      <c r="AV267" s="4" t="str">
        <f>IFERROR(__xludf.DUMMYFUNCTION("""COMPUTED_VALUE"""),"Comer Fora-")</f>
        <v>Comer Fora-</v>
      </c>
      <c r="AW267" s="20" t="str">
        <f>IFERROR(__xludf.DUMMYFUNCTION("""COMPUTED_VALUE"""),"P e M - pipe")</f>
        <v>P e M - pipe</v>
      </c>
      <c r="AX267" s="4"/>
      <c r="AY267" s="4"/>
      <c r="AZ267" s="4" t="str">
        <f>IFERROR(__xludf.DUMMYFUNCTION("""COMPUTED_VALUE"""),"Lanches")</f>
        <v>Lanches</v>
      </c>
      <c r="BA267" s="4">
        <f>IFERROR(__xludf.DUMMYFUNCTION("""COMPUTED_VALUE"""),26.0)</f>
        <v>26</v>
      </c>
      <c r="BB267" s="4" t="str">
        <f>IFERROR(__xludf.DUMMYFUNCTION("""COMPUTED_VALUE"""),"QSR - Hot Dog")</f>
        <v>QSR - Hot Dog</v>
      </c>
      <c r="BC267" s="4" t="str">
        <f>IFERROR(__xludf.DUMMYFUNCTION("""COMPUTED_VALUE"""),"Belo Horizonte/MG")</f>
        <v>Belo Horizonte/MG</v>
      </c>
      <c r="BD267" s="4" t="str">
        <f>IFERROR(__xludf.DUMMYFUNCTION("""COMPUTED_VALUE"""),"Dado não disponível publicamente - Necessário Discovery")</f>
        <v>Dado não disponível publicamente - Necessário Discovery</v>
      </c>
      <c r="BE267" s="4">
        <f>IFERROR(__xludf.DUMMYFUNCTION("""COMPUTED_VALUE"""),65.0)</f>
        <v>65</v>
      </c>
      <c r="BF267" s="4">
        <f>IFERROR(__xludf.DUMMYFUNCTION("""COMPUTED_VALUE"""),0.85)</f>
        <v>0.85</v>
      </c>
      <c r="BG267"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267" s="4" t="s">
        <v>71</v>
      </c>
      <c r="BI267" s="7">
        <v>0.6666666666666666</v>
      </c>
    </row>
    <row r="268">
      <c r="A268" s="4" t="str">
        <f>IFERROR(__xludf.DUMMYFUNCTION("""COMPUTED_VALUE"""),"Cacau Show")</f>
        <v>Cacau Show</v>
      </c>
      <c r="B268" s="4" t="str">
        <f>IFERROR(__xludf.DUMMYFUNCTION("""COMPUTED_VALUE"""),"Leonardo Roso")</f>
        <v>Leonardo Roso</v>
      </c>
      <c r="C268" s="4" t="str">
        <f>IFERROR(__xludf.DUMMYFUNCTION("""COMPUTED_VALUE"""),"Leonardo Roso")</f>
        <v>Leonardo Roso</v>
      </c>
      <c r="D268" s="4" t="str">
        <f>IFERROR(__xludf.DUMMYFUNCTION("""COMPUTED_VALUE"""),"11. Stand by")</f>
        <v>11. Stand by</v>
      </c>
      <c r="E268" s="4" t="str">
        <f>IFERROR(__xludf.DUMMYFUNCTION("""COMPUTED_VALUE"""),"Parceiro - Aguardando retorno / Conciliação agenda")</f>
        <v>Parceiro - Aguardando retorno / Conciliação agenda</v>
      </c>
      <c r="F268" s="4" t="str">
        <f>IFERROR(__xludf.DUMMYFUNCTION("""COMPUTED_VALUE"""),"G")</f>
        <v>G</v>
      </c>
      <c r="G268" s="10">
        <f>IFERROR(__xludf.DUMMYFUNCTION("""COMPUTED_VALUE"""),46155.0)</f>
        <v>46155</v>
      </c>
      <c r="H268" s="4" t="str">
        <f>IFERROR(__xludf.DUMMYFUNCTION("""COMPUTED_VALUE"""),"Agenda Presencial 14/05 para tratar sobre PDV e CRM")</f>
        <v>Agenda Presencial 14/05 para tratar sobre PDV e CRM</v>
      </c>
      <c r="I268" s="4"/>
      <c r="J268" s="4"/>
      <c r="K268" s="4"/>
      <c r="L268" s="4"/>
      <c r="M268" s="4"/>
      <c r="N268" s="4"/>
      <c r="O268" s="4"/>
      <c r="P268" s="4"/>
      <c r="Q268" s="4"/>
      <c r="R268" s="4"/>
      <c r="S268" s="4"/>
      <c r="T268" s="4"/>
      <c r="U268" s="4"/>
      <c r="V268" s="4" t="str">
        <f>IFERROR(__xludf.DUMMYFUNCTION("""COMPUTED_VALUE"""),"Outros")</f>
        <v>Outros</v>
      </c>
      <c r="W268" s="4"/>
      <c r="X268" s="4"/>
      <c r="Y268" s="4"/>
      <c r="Z268" s="4"/>
      <c r="AA268" s="4">
        <f>IFERROR(__xludf.DUMMYFUNCTION("""COMPUTED_VALUE"""),4000.0)</f>
        <v>4000</v>
      </c>
      <c r="AB268" s="4" t="str">
        <f>IFERROR(__xludf.DUMMYFUNCTION("""COMPUTED_VALUE"""),"KA")</f>
        <v>KA</v>
      </c>
      <c r="AC268" s="4" t="str">
        <f>IFERROR(__xludf.DUMMYFUNCTION("""COMPUTED_VALUE"""),"BP")</f>
        <v>BP</v>
      </c>
      <c r="AD268" s="4"/>
      <c r="AE268" s="4"/>
      <c r="AF268" s="4"/>
      <c r="AG268" s="4"/>
      <c r="AH268" s="4"/>
      <c r="AI268" s="4"/>
      <c r="AJ268" s="4"/>
      <c r="AK268" s="4"/>
      <c r="AL268" s="4"/>
      <c r="AM268" s="4" t="str">
        <f>IFERROR(__xludf.DUMMYFUNCTION("""COMPUTED_VALUE"""),"FY26, FY27")</f>
        <v>FY26, FY27</v>
      </c>
      <c r="AN268" s="4"/>
      <c r="AO268" s="4">
        <f>IFERROR(__xludf.DUMMYFUNCTION("""COMPUTED_VALUE"""),60.0)</f>
        <v>60</v>
      </c>
      <c r="AP268" s="4" t="str">
        <f>IFERROR(__xludf.DUMMYFUNCTION("""COMPUTED_VALUE"""),"PR")</f>
        <v>PR</v>
      </c>
      <c r="AQ268" s="4" t="str">
        <f>IFERROR(__xludf.DUMMYFUNCTION("""COMPUTED_VALUE"""),"ANDRE CATENASSI")</f>
        <v>ANDRE CATENASSI</v>
      </c>
      <c r="AR268" s="4" t="str">
        <f>IFERROR(__xludf.DUMMYFUNCTION("""COMPUTED_VALUE"""),"GESSICA SANTANA")</f>
        <v>GESSICA SANTANA</v>
      </c>
      <c r="AS268" s="4" t="str">
        <f>IFERROR(__xludf.DUMMYFUNCTION("""COMPUTED_VALUE"""),"ISABELA GOULART")</f>
        <v>ISABELA GOULART</v>
      </c>
      <c r="AT268" s="4" t="str">
        <f>IFERROR(__xludf.DUMMYFUNCTION("""COMPUTED_VALUE"""),"ANDRE CATENASSI")</f>
        <v>ANDRE CATENASSI</v>
      </c>
      <c r="AU268" s="4" t="str">
        <f>IFERROR(__xludf.DUMMYFUNCTION("""COMPUTED_VALUE"""),"Samuel")</f>
        <v>Samuel</v>
      </c>
      <c r="AV268" s="4">
        <f>IFERROR(__xludf.DUMMYFUNCTION("""COMPUTED_VALUE"""),0.0)</f>
        <v>0</v>
      </c>
      <c r="AW268" s="4">
        <f>IFERROR(__xludf.DUMMYFUNCTION("""COMPUTED_VALUE"""),0.0)</f>
        <v>0</v>
      </c>
      <c r="AX268" s="4">
        <f>IFERROR(__xludf.DUMMYFUNCTION("""COMPUTED_VALUE"""),0.0)</f>
        <v>0</v>
      </c>
      <c r="AY268" s="4">
        <f>IFERROR(__xludf.DUMMYFUNCTION("""COMPUTED_VALUE"""),0.0)</f>
        <v>0</v>
      </c>
      <c r="AZ268" s="4" t="str">
        <f>IFERROR(__xludf.DUMMYFUNCTION("""COMPUTED_VALUE"""),"Doces &amp; Bolos")</f>
        <v>Doces &amp; Bolos</v>
      </c>
      <c r="BA268" s="4">
        <f>IFERROR(__xludf.DUMMYFUNCTION("""COMPUTED_VALUE"""),62.0)</f>
        <v>62</v>
      </c>
      <c r="BB268" s="4" t="str">
        <f>IFERROR(__xludf.DUMMYFUNCTION("""COMPUTED_VALUE"""),"Varejo - Chocolates")</f>
        <v>Varejo - Chocolates</v>
      </c>
      <c r="BC268" s="4" t="str">
        <f>IFERROR(__xludf.DUMMYFUNCTION("""COMPUTED_VALUE"""),"Nacional")</f>
        <v>Nacional</v>
      </c>
      <c r="BD268" s="4" t="str">
        <f>IFERROR(__xludf.DUMMYFUNCTION("""COMPUTED_VALUE"""),"R$ 2 bilhões (2025)")</f>
        <v>R$ 2 bilhões (2025)</v>
      </c>
      <c r="BE268" s="4">
        <f>IFERROR(__xludf.DUMMYFUNCTION("""COMPUTED_VALUE"""),70.0)</f>
        <v>70</v>
      </c>
      <c r="BF268" s="4">
        <f>IFERROR(__xludf.DUMMYFUNCTION("""COMPUTED_VALUE"""),0.65)</f>
        <v>0.65</v>
      </c>
      <c r="BG268" s="4" t="str">
        <f>IFERROR(__xludf.DUMMYFUNCTION("""COMPUTED_VALUE"""),"Aderência forte ao 3S: Sistema CRM. 3S oferece PDV robusto, KDS integrado e mobilidade (3SGO) para gestão em tempo real - ideal para operações multi-canal.")</f>
        <v>Aderência forte ao 3S: Sistema CRM. 3S oferece PDV robusto, KDS integrado e mobilidade (3SGO) para gestão em tempo real - ideal para operações multi-canal.</v>
      </c>
      <c r="BH268" s="4" t="s">
        <v>63</v>
      </c>
      <c r="BI268" s="7" t="s">
        <v>63</v>
      </c>
    </row>
    <row r="269" hidden="1">
      <c r="A269" s="4" t="str">
        <f>IFERROR(__xludf.DUMMYFUNCTION("""COMPUTED_VALUE"""),"Café Cultura")</f>
        <v>Café Cultura</v>
      </c>
      <c r="B269" s="4" t="str">
        <f>IFERROR(__xludf.DUMMYFUNCTION("""COMPUTED_VALUE"""),"Lídia Esteves")</f>
        <v>Lídia Esteves</v>
      </c>
      <c r="C269" s="4" t="str">
        <f>IFERROR(__xludf.DUMMYFUNCTION("""COMPUTED_VALUE"""),"Gabriela Roma")</f>
        <v>Gabriela Roma</v>
      </c>
      <c r="D269" s="4" t="str">
        <f>IFERROR(__xludf.DUMMYFUNCTION("""COMPUTED_VALUE"""),"6. Negociação")</f>
        <v>6. Negociação</v>
      </c>
      <c r="E269" s="4" t="str">
        <f>IFERROR(__xludf.DUMMYFUNCTION("""COMPUTED_VALUE"""),"Comercial - Em negociação de proposta")</f>
        <v>Comercial - Em negociação de proposta</v>
      </c>
      <c r="F269" s="4" t="str">
        <f>IFERROR(__xludf.DUMMYFUNCTION("""COMPUTED_VALUE"""),"M")</f>
        <v>M</v>
      </c>
      <c r="G269" s="5">
        <f>IFERROR(__xludf.DUMMYFUNCTION("""COMPUTED_VALUE"""),46154.0)</f>
        <v>46154</v>
      </c>
      <c r="H269" s="4" t="str">
        <f>IFERROR(__xludf.DUMMYFUNCTION("""COMPUTED_VALUE"""),"Agenda 11/05 com Samuel e Mari, cliente fez contraproposta, em validação interna.")</f>
        <v>Agenda 11/05 com Samuel e Mari, cliente fez contraproposta, em validação interna.</v>
      </c>
      <c r="I269" s="4"/>
      <c r="J269" s="4"/>
      <c r="K269" s="6">
        <f>IFERROR(__xludf.DUMMYFUNCTION("""COMPUTED_VALUE"""),46021.0)</f>
        <v>46021</v>
      </c>
      <c r="L269" s="4"/>
      <c r="M269" s="4"/>
      <c r="N269" s="6">
        <f>IFERROR(__xludf.DUMMYFUNCTION("""COMPUTED_VALUE"""),46113.70234335648)</f>
        <v>46113.70234</v>
      </c>
      <c r="O269" s="4"/>
      <c r="P269" s="4"/>
      <c r="Q269" s="4"/>
      <c r="R269" s="4"/>
      <c r="S269" s="4"/>
      <c r="T269" s="4"/>
      <c r="U269" s="4"/>
      <c r="V269" s="4"/>
      <c r="W269" s="4"/>
      <c r="X269" s="4"/>
      <c r="Y269" s="4"/>
      <c r="Z269" s="4"/>
      <c r="AA269" s="4">
        <f>IFERROR(__xludf.DUMMYFUNCTION("""COMPUTED_VALUE"""),47.0)</f>
        <v>47</v>
      </c>
      <c r="AB269" s="4" t="str">
        <f>IFERROR(__xludf.DUMMYFUNCTION("""COMPUTED_VALUE"""),"NÃO")</f>
        <v>NÃO</v>
      </c>
      <c r="AC269" s="4" t="str">
        <f>IFERROR(__xludf.DUMMYFUNCTION("""COMPUTED_VALUE"""),"Não BP")</f>
        <v>Não BP</v>
      </c>
      <c r="AD269" s="4"/>
      <c r="AE269" s="4"/>
      <c r="AF269" s="4"/>
      <c r="AG269" s="4"/>
      <c r="AH269" s="4"/>
      <c r="AI269" s="4"/>
      <c r="AJ269" s="4"/>
      <c r="AK269" s="4"/>
      <c r="AL269" s="4"/>
      <c r="AM269" s="4" t="str">
        <f>IFERROR(__xludf.DUMMYFUNCTION("""COMPUTED_VALUE"""),"FY26, FY27")</f>
        <v>FY26, FY27</v>
      </c>
      <c r="AN269" s="4"/>
      <c r="AO269" s="4">
        <f>IFERROR(__xludf.DUMMYFUNCTION("""COMPUTED_VALUE"""),61.0)</f>
        <v>61</v>
      </c>
      <c r="AP269" s="4">
        <f>IFERROR(__xludf.DUMMYFUNCTION("""COMPUTED_VALUE"""),0.0)</f>
        <v>0</v>
      </c>
      <c r="AQ269" s="4">
        <f>IFERROR(__xludf.DUMMYFUNCTION("""COMPUTED_VALUE"""),0.0)</f>
        <v>0</v>
      </c>
      <c r="AR269" s="4">
        <f>IFERROR(__xludf.DUMMYFUNCTION("""COMPUTED_VALUE"""),0.0)</f>
        <v>0</v>
      </c>
      <c r="AS269" s="4">
        <f>IFERROR(__xludf.DUMMYFUNCTION("""COMPUTED_VALUE"""),0.0)</f>
        <v>0</v>
      </c>
      <c r="AT269" s="4">
        <f>IFERROR(__xludf.DUMMYFUNCTION("""COMPUTED_VALUE"""),0.0)</f>
        <v>0</v>
      </c>
      <c r="AU269" s="4" t="str">
        <f>IFERROR(__xludf.DUMMYFUNCTION("""COMPUTED_VALUE"""),"Emerson")</f>
        <v>Emerson</v>
      </c>
      <c r="AV269" s="4">
        <f>IFERROR(__xludf.DUMMYFUNCTION("""COMPUTED_VALUE"""),0.0)</f>
        <v>0</v>
      </c>
      <c r="AW269" s="4">
        <f>IFERROR(__xludf.DUMMYFUNCTION("""COMPUTED_VALUE"""),0.0)</f>
        <v>0</v>
      </c>
      <c r="AX269" s="4">
        <f>IFERROR(__xludf.DUMMYFUNCTION("""COMPUTED_VALUE"""),0.0)</f>
        <v>0</v>
      </c>
      <c r="AY269" s="4">
        <f>IFERROR(__xludf.DUMMYFUNCTION("""COMPUTED_VALUE"""),0.0)</f>
        <v>0</v>
      </c>
      <c r="AZ269" s="4" t="str">
        <f>IFERROR(__xludf.DUMMYFUNCTION("""COMPUTED_VALUE"""),"NA")</f>
        <v>NA</v>
      </c>
      <c r="BA269" s="4">
        <f>IFERROR(__xludf.DUMMYFUNCTION("""COMPUTED_VALUE"""),37.0)</f>
        <v>37</v>
      </c>
      <c r="BB269" s="4" t="str">
        <f>IFERROR(__xludf.DUMMYFUNCTION("""COMPUTED_VALUE"""),"Fast Casual - Cafeteria")</f>
        <v>Fast Casual - Cafeteria</v>
      </c>
      <c r="BC269" s="4" t="str">
        <f>IFERROR(__xludf.DUMMYFUNCTION("""COMPUTED_VALUE"""),"Regional")</f>
        <v>Regional</v>
      </c>
      <c r="BD269" s="4" t="str">
        <f>IFERROR(__xludf.DUMMYFUNCTION("""COMPUTED_VALUE"""),"Dado não disponível publicamente - Necessário Discovery")</f>
        <v>Dado não disponível publicamente - Necessário Discovery</v>
      </c>
      <c r="BE269" s="4">
        <f>IFERROR(__xludf.DUMMYFUNCTION("""COMPUTED_VALUE"""),70.0)</f>
        <v>70</v>
      </c>
      <c r="BF269" s="4">
        <f>IFERROR(__xludf.DUMMYFUNCTION("""COMPUTED_VALUE"""),0.75)</f>
        <v>0.75</v>
      </c>
      <c r="BG26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69" s="4" t="s">
        <v>63</v>
      </c>
      <c r="BI269" s="7" t="s">
        <v>63</v>
      </c>
    </row>
    <row r="270">
      <c r="A270" s="4" t="str">
        <f>IFERROR(__xludf.DUMMYFUNCTION("""COMPUTED_VALUE"""),"Camarada Camarão (Grupo Drumattos)")</f>
        <v>Camarada Camarão (Grupo Drumattos)</v>
      </c>
      <c r="B270" s="4" t="str">
        <f>IFERROR(__xludf.DUMMYFUNCTION("""COMPUTED_VALUE"""),"Leonardo Roso")</f>
        <v>Leonardo Roso</v>
      </c>
      <c r="C270" s="4" t="str">
        <f>IFERROR(__xludf.DUMMYFUNCTION("""COMPUTED_VALUE"""),"Leonardo Roso")</f>
        <v>Leonardo Roso</v>
      </c>
      <c r="D270" s="4" t="str">
        <f>IFERROR(__xludf.DUMMYFUNCTION("""COMPUTED_VALUE"""),"3. Apresentação")</f>
        <v>3. Apresentação</v>
      </c>
      <c r="E270" s="4"/>
      <c r="F270" s="4" t="str">
        <f>IFERROR(__xludf.DUMMYFUNCTION("""COMPUTED_VALUE"""),"G")</f>
        <v>G</v>
      </c>
      <c r="G270" s="4"/>
      <c r="H270" s="4"/>
      <c r="I270" s="4"/>
      <c r="J270" s="4"/>
      <c r="K270" s="6">
        <f>IFERROR(__xludf.DUMMYFUNCTION("""COMPUTED_VALUE"""),45883.0)</f>
        <v>45883</v>
      </c>
      <c r="L270" s="4"/>
      <c r="M270" s="4"/>
      <c r="N270" s="4"/>
      <c r="O270" s="4"/>
      <c r="P270" s="4"/>
      <c r="Q270" s="4"/>
      <c r="R270" s="4"/>
      <c r="S270" s="4"/>
      <c r="T270" s="4"/>
      <c r="U270" s="4"/>
      <c r="V270" s="4"/>
      <c r="W270" s="4"/>
      <c r="X270" s="4"/>
      <c r="Y270" s="4"/>
      <c r="Z270" s="4"/>
      <c r="AA270" s="4">
        <f>IFERROR(__xludf.DUMMYFUNCTION("""COMPUTED_VALUE"""),100.0)</f>
        <v>100</v>
      </c>
      <c r="AB270" s="4" t="str">
        <f>IFERROR(__xludf.DUMMYFUNCTION("""COMPUTED_VALUE"""),"-")</f>
        <v>-</v>
      </c>
      <c r="AC270" s="4" t="str">
        <f>IFERROR(__xludf.DUMMYFUNCTION("""COMPUTED_VALUE"""),"-")</f>
        <v>-</v>
      </c>
      <c r="AD270" s="4"/>
      <c r="AE270" s="4"/>
      <c r="AF270" s="4"/>
      <c r="AG270" s="4"/>
      <c r="AH270" s="4"/>
      <c r="AI270" s="4"/>
      <c r="AJ270" s="4"/>
      <c r="AK270" s="4"/>
      <c r="AL270" s="4"/>
      <c r="AM270" s="4" t="str">
        <f>IFERROR(__xludf.DUMMYFUNCTION("""COMPUTED_VALUE"""),"FY26, FY27")</f>
        <v>FY26, FY27</v>
      </c>
      <c r="AN270" s="4"/>
      <c r="AO270" s="4">
        <f>IFERROR(__xludf.DUMMYFUNCTION("""COMPUTED_VALUE"""),45553.0)</f>
        <v>45553</v>
      </c>
      <c r="AP270" s="4">
        <f>IFERROR(__xludf.DUMMYFUNCTION("""COMPUTED_VALUE"""),0.0)</f>
        <v>0</v>
      </c>
      <c r="AQ270" s="4">
        <f>IFERROR(__xludf.DUMMYFUNCTION("""COMPUTED_VALUE"""),0.0)</f>
        <v>0</v>
      </c>
      <c r="AR270" s="4">
        <f>IFERROR(__xludf.DUMMYFUNCTION("""COMPUTED_VALUE"""),0.0)</f>
        <v>0</v>
      </c>
      <c r="AS270" s="4">
        <f>IFERROR(__xludf.DUMMYFUNCTION("""COMPUTED_VALUE"""),0.0)</f>
        <v>0</v>
      </c>
      <c r="AT270" s="4">
        <f>IFERROR(__xludf.DUMMYFUNCTION("""COMPUTED_VALUE"""),0.0)</f>
        <v>0</v>
      </c>
      <c r="AU270" s="4" t="str">
        <f>IFERROR(__xludf.DUMMYFUNCTION("""COMPUTED_VALUE"""),"Emerson")</f>
        <v>Emerson</v>
      </c>
      <c r="AV270" s="4" t="str">
        <f>IFERROR(__xludf.DUMMYFUNCTION("""COMPUTED_VALUE"""),"Comer Fora-")</f>
        <v>Comer Fora-</v>
      </c>
      <c r="AW270" s="20" t="str">
        <f>IFERROR(__xludf.DUMMYFUNCTION("""COMPUTED_VALUE"""),"")</f>
        <v/>
      </c>
      <c r="AX270" s="4"/>
      <c r="AY270" s="4">
        <f>IFERROR(__xludf.DUMMYFUNCTION("""COMPUTED_VALUE"""),0.0)</f>
        <v>0</v>
      </c>
      <c r="AZ270" s="4" t="str">
        <f>IFERROR(__xludf.DUMMYFUNCTION("""COMPUTED_VALUE"""),"NA")</f>
        <v>NA</v>
      </c>
      <c r="BA270" s="4">
        <f>IFERROR(__xludf.DUMMYFUNCTION("""COMPUTED_VALUE"""),73.0)</f>
        <v>73</v>
      </c>
      <c r="BB270" s="4" t="str">
        <f>IFERROR(__xludf.DUMMYFUNCTION("""COMPUTED_VALUE"""),"Grupo Multi-marca")</f>
        <v>Grupo Multi-marca</v>
      </c>
      <c r="BC270" s="4" t="str">
        <f>IFERROR(__xludf.DUMMYFUNCTION("""COMPUTED_VALUE"""),"São Paulo/SP")</f>
        <v>São Paulo/SP</v>
      </c>
      <c r="BD270" s="4" t="str">
        <f>IFERROR(__xludf.DUMMYFUNCTION("""COMPUTED_VALUE"""),"Dado não disponível publicamente - Necessário Discovery")</f>
        <v>Dado não disponível publicamente - Necessário Discovery</v>
      </c>
      <c r="BE270" s="4">
        <f>IFERROR(__xludf.DUMMYFUNCTION("""COMPUTED_VALUE"""),40.0)</f>
        <v>40</v>
      </c>
      <c r="BF270" s="4">
        <f>IFERROR(__xludf.DUMMYFUNCTION("""COMPUTED_VALUE"""),0.5)</f>
        <v>0.5</v>
      </c>
      <c r="BG270"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270" s="4" t="s">
        <v>63</v>
      </c>
      <c r="BI270" s="7" t="s">
        <v>63</v>
      </c>
    </row>
    <row r="271" hidden="1">
      <c r="A271" s="4" t="str">
        <f>IFERROR(__xludf.DUMMYFUNCTION("""COMPUTED_VALUE"""),"Candreva Bar")</f>
        <v>Candreva Bar</v>
      </c>
      <c r="B271" s="4" t="str">
        <f>IFERROR(__xludf.DUMMYFUNCTION("""COMPUTED_VALUE"""),"Lídia Esteves")</f>
        <v>Lídia Esteves</v>
      </c>
      <c r="C271" s="4" t="str">
        <f>IFERROR(__xludf.DUMMYFUNCTION("""COMPUTED_VALUE"""),"Gabriela Roma")</f>
        <v>Gabriela Roma</v>
      </c>
      <c r="D271" s="4" t="str">
        <f>IFERROR(__xludf.DUMMYFUNCTION("""COMPUTED_VALUE"""),"0. Não Iniciado")</f>
        <v>0. Não Iniciado</v>
      </c>
      <c r="E271" s="4"/>
      <c r="F271" s="4" t="str">
        <f>IFERROR(__xludf.DUMMYFUNCTION("""COMPUTED_VALUE"""),"P")</f>
        <v>P</v>
      </c>
      <c r="G271" s="4"/>
      <c r="H271" s="4"/>
      <c r="I271" s="4"/>
      <c r="J271" s="4"/>
      <c r="K271" s="4"/>
      <c r="L271" s="4"/>
      <c r="M271" s="4"/>
      <c r="N271" s="4"/>
      <c r="O271" s="4"/>
      <c r="P271" s="4"/>
      <c r="Q271" s="4"/>
      <c r="R271" s="4"/>
      <c r="S271" s="4"/>
      <c r="T271" s="4"/>
      <c r="U271" s="4"/>
      <c r="V271" s="4"/>
      <c r="W271" s="4"/>
      <c r="X271" s="4"/>
      <c r="Y271" s="4"/>
      <c r="Z271" s="4"/>
      <c r="AA271" s="4">
        <f>IFERROR(__xludf.DUMMYFUNCTION("""COMPUTED_VALUE"""),5.0)</f>
        <v>5</v>
      </c>
      <c r="AB271" s="4" t="str">
        <f>IFERROR(__xludf.DUMMYFUNCTION("""COMPUTED_VALUE"""),"-")</f>
        <v>-</v>
      </c>
      <c r="AC271" s="4" t="str">
        <f>IFERROR(__xludf.DUMMYFUNCTION("""COMPUTED_VALUE"""),"-")</f>
        <v>-</v>
      </c>
      <c r="AD271" s="4"/>
      <c r="AE271" s="4"/>
      <c r="AF271" s="4"/>
      <c r="AG271" s="4"/>
      <c r="AH271" s="4"/>
      <c r="AI271" s="4"/>
      <c r="AJ271" s="4"/>
      <c r="AK271" s="4"/>
      <c r="AL271" s="4"/>
      <c r="AM271" s="4" t="str">
        <f>IFERROR(__xludf.DUMMYFUNCTION("""COMPUTED_VALUE"""),"FY26, FY27")</f>
        <v>FY26, FY27</v>
      </c>
      <c r="AN271" s="4"/>
      <c r="AO271" s="4">
        <f>IFERROR(__xludf.DUMMYFUNCTION("""COMPUTED_VALUE"""),45553.0)</f>
        <v>45553</v>
      </c>
      <c r="AP271" s="4" t="str">
        <f>IFERROR(__xludf.DUMMYFUNCTION("""COMPUTED_VALUE"""),"SP")</f>
        <v>SP</v>
      </c>
      <c r="AQ271" s="4" t="str">
        <f>IFERROR(__xludf.DUMMYFUNCTION("""COMPUTED_VALUE"""),"VITOR SERRANO")</f>
        <v>VITOR SERRANO</v>
      </c>
      <c r="AR271" s="4" t="str">
        <f>IFERROR(__xludf.DUMMYFUNCTION("""COMPUTED_VALUE"""),"RAFAEL FERNANDES")</f>
        <v>RAFAEL FERNANDES</v>
      </c>
      <c r="AS271" s="4" t="str">
        <f>IFERROR(__xludf.DUMMYFUNCTION("""COMPUTED_VALUE"""),"ALAN HADDAD")</f>
        <v>ALAN HADDAD</v>
      </c>
      <c r="AT271" s="4" t="str">
        <f>IFERROR(__xludf.DUMMYFUNCTION("""COMPUTED_VALUE"""),"ISABELA DINIZ")</f>
        <v>ISABELA DINIZ</v>
      </c>
      <c r="AU271" s="4" t="str">
        <f>IFERROR(__xludf.DUMMYFUNCTION("""COMPUTED_VALUE"""),"Lídia / Emerson")</f>
        <v>Lídia / Emerson</v>
      </c>
      <c r="AV271" s="4">
        <f>IFERROR(__xludf.DUMMYFUNCTION("""COMPUTED_VALUE"""),0.0)</f>
        <v>0</v>
      </c>
      <c r="AW271" s="4">
        <f>IFERROR(__xludf.DUMMYFUNCTION("""COMPUTED_VALUE"""),0.0)</f>
        <v>0</v>
      </c>
      <c r="AX271" s="4">
        <f>IFERROR(__xludf.DUMMYFUNCTION("""COMPUTED_VALUE"""),0.0)</f>
        <v>0</v>
      </c>
      <c r="AY271" s="4" t="str">
        <f>IFERROR(__xludf.DUMMYFUNCTION("""COMPUTED_VALUE"""),"Ncr")</f>
        <v>Ncr</v>
      </c>
      <c r="AZ271" s="4" t="str">
        <f>IFERROR(__xludf.DUMMYFUNCTION("""COMPUTED_VALUE"""),"Brasileira")</f>
        <v>Brasileira</v>
      </c>
      <c r="BA271" s="4">
        <f>IFERROR(__xludf.DUMMYFUNCTION("""COMPUTED_VALUE"""),68.0)</f>
        <v>68</v>
      </c>
      <c r="BB271" s="4" t="str">
        <f>IFERROR(__xludf.DUMMYFUNCTION("""COMPUTED_VALUE"""),"Fast Casual - Multi-conceito")</f>
        <v>Fast Casual - Multi-conceito</v>
      </c>
      <c r="BC271" s="4" t="str">
        <f>IFERROR(__xludf.DUMMYFUNCTION("""COMPUTED_VALUE"""),"Interior SP")</f>
        <v>Interior SP</v>
      </c>
      <c r="BD271" s="4" t="str">
        <f>IFERROR(__xludf.DUMMYFUNCTION("""COMPUTED_VALUE"""),"Dado não disponível publicamente - Necessário Discovery")</f>
        <v>Dado não disponível publicamente - Necessário Discovery</v>
      </c>
      <c r="BE271" s="4">
        <f>IFERROR(__xludf.DUMMYFUNCTION("""COMPUTED_VALUE"""),70.0)</f>
        <v>70</v>
      </c>
      <c r="BF271" s="4">
        <f>IFERROR(__xludf.DUMMYFUNCTION("""COMPUTED_VALUE"""),0.75)</f>
        <v>0.75</v>
      </c>
      <c r="BG27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71" s="4" t="s">
        <v>74</v>
      </c>
      <c r="BI271" s="7">
        <v>0.6666666666666666</v>
      </c>
    </row>
    <row r="272" hidden="1">
      <c r="A272" s="4" t="str">
        <f>IFERROR(__xludf.DUMMYFUNCTION("""COMPUTED_VALUE"""),"Cantina Do Delio - Curitiba")</f>
        <v>Cantina Do Delio - Curitiba</v>
      </c>
      <c r="B272" s="4" t="str">
        <f>IFERROR(__xludf.DUMMYFUNCTION("""COMPUTED_VALUE"""),"Lídia Esteves")</f>
        <v>Lídia Esteves</v>
      </c>
      <c r="C272" s="4" t="str">
        <f>IFERROR(__xludf.DUMMYFUNCTION("""COMPUTED_VALUE"""),"Gabriela Roma")</f>
        <v>Gabriela Roma</v>
      </c>
      <c r="D272" s="4" t="str">
        <f>IFERROR(__xludf.DUMMYFUNCTION("""COMPUTED_VALUE"""),"0. Não Iniciado")</f>
        <v>0. Não Iniciado</v>
      </c>
      <c r="E272" s="4" t="str">
        <f>IFERROR(__xludf.DUMMYFUNCTION("""COMPUTED_VALUE"""),"Comercial - Tentativa não iniciada")</f>
        <v>Comercial - Tentativa não iniciada</v>
      </c>
      <c r="F272" s="4" t="str">
        <f>IFERROR(__xludf.DUMMYFUNCTION("""COMPUTED_VALUE"""),"P")</f>
        <v>P</v>
      </c>
      <c r="G272" s="4"/>
      <c r="H272" s="4"/>
      <c r="I272" s="4"/>
      <c r="J272" s="4"/>
      <c r="K272" s="6">
        <f>IFERROR(__xludf.DUMMYFUNCTION("""COMPUTED_VALUE"""),45894.0)</f>
        <v>45894</v>
      </c>
      <c r="L272" s="4"/>
      <c r="M272" s="4"/>
      <c r="N272" s="4"/>
      <c r="O272" s="4"/>
      <c r="P272" s="4"/>
      <c r="Q272" s="4"/>
      <c r="R272" s="4"/>
      <c r="S272" s="4"/>
      <c r="T272" s="4"/>
      <c r="U272" s="4"/>
      <c r="V272" s="4"/>
      <c r="W272" s="4"/>
      <c r="X272" s="4"/>
      <c r="Y272" s="4"/>
      <c r="Z272" s="4"/>
      <c r="AA272" s="4">
        <f>IFERROR(__xludf.DUMMYFUNCTION("""COMPUTED_VALUE"""),3.0)</f>
        <v>3</v>
      </c>
      <c r="AB272" s="4"/>
      <c r="AC272" s="4"/>
      <c r="AD272" s="4"/>
      <c r="AE272" s="4"/>
      <c r="AF272" s="4"/>
      <c r="AG272" s="4"/>
      <c r="AH272" s="4"/>
      <c r="AI272" s="4"/>
      <c r="AJ272" s="4"/>
      <c r="AK272" s="4"/>
      <c r="AL272" s="4"/>
      <c r="AM272" s="4" t="str">
        <f>IFERROR(__xludf.DUMMYFUNCTION("""COMPUTED_VALUE"""),"FY26, FY27")</f>
        <v>FY26, FY27</v>
      </c>
      <c r="AN272" s="4"/>
      <c r="AO272" s="4">
        <f>IFERROR(__xludf.DUMMYFUNCTION("""COMPUTED_VALUE"""),45553.0)</f>
        <v>45553</v>
      </c>
      <c r="AP272" s="4">
        <f>IFERROR(__xludf.DUMMYFUNCTION("""COMPUTED_VALUE"""),0.0)</f>
        <v>0</v>
      </c>
      <c r="AQ272" s="4">
        <f>IFERROR(__xludf.DUMMYFUNCTION("""COMPUTED_VALUE"""),0.0)</f>
        <v>0</v>
      </c>
      <c r="AR272" s="4">
        <f>IFERROR(__xludf.DUMMYFUNCTION("""COMPUTED_VALUE"""),0.0)</f>
        <v>0</v>
      </c>
      <c r="AS272" s="4">
        <f>IFERROR(__xludf.DUMMYFUNCTION("""COMPUTED_VALUE"""),0.0)</f>
        <v>0</v>
      </c>
      <c r="AT272" s="4">
        <f>IFERROR(__xludf.DUMMYFUNCTION("""COMPUTED_VALUE"""),0.0)</f>
        <v>0</v>
      </c>
      <c r="AU272" s="4" t="str">
        <f>IFERROR(__xludf.DUMMYFUNCTION("""COMPUTED_VALUE"""),"Lídia / Emerson")</f>
        <v>Lídia / Emerson</v>
      </c>
      <c r="AV272" s="4">
        <f>IFERROR(__xludf.DUMMYFUNCTION("""COMPUTED_VALUE"""),0.0)</f>
        <v>0</v>
      </c>
      <c r="AW272" s="4">
        <f>IFERROR(__xludf.DUMMYFUNCTION("""COMPUTED_VALUE"""),0.0)</f>
        <v>0</v>
      </c>
      <c r="AX272" s="4">
        <f>IFERROR(__xludf.DUMMYFUNCTION("""COMPUTED_VALUE"""),0.0)</f>
        <v>0</v>
      </c>
      <c r="AY272" s="4"/>
      <c r="AZ272" s="4" t="str">
        <f>IFERROR(__xludf.DUMMYFUNCTION("""COMPUTED_VALUE"""),"NA")</f>
        <v>NA</v>
      </c>
      <c r="BA272" s="4" t="str">
        <f>IFERROR(__xludf.DUMMYFUNCTION("""COMPUTED_VALUE"""),"")</f>
        <v/>
      </c>
      <c r="BB272" s="4" t="str">
        <f>IFERROR(__xludf.DUMMYFUNCTION("""COMPUTED_VALUE"""),"")</f>
        <v/>
      </c>
      <c r="BC272" s="4" t="str">
        <f>IFERROR(__xludf.DUMMYFUNCTION("""COMPUTED_VALUE"""),"")</f>
        <v/>
      </c>
      <c r="BD272" s="4" t="str">
        <f>IFERROR(__xludf.DUMMYFUNCTION("""COMPUTED_VALUE"""),"")</f>
        <v/>
      </c>
      <c r="BE272" s="4" t="str">
        <f>IFERROR(__xludf.DUMMYFUNCTION("""COMPUTED_VALUE"""),"")</f>
        <v/>
      </c>
      <c r="BF272" s="4" t="str">
        <f>IFERROR(__xludf.DUMMYFUNCTION("""COMPUTED_VALUE"""),"")</f>
        <v/>
      </c>
      <c r="BG272" s="4" t="str">
        <f>IFERROR(__xludf.DUMMYFUNCTION("""COMPUTED_VALUE"""),"")</f>
        <v/>
      </c>
      <c r="BH272" s="4" t="s">
        <v>63</v>
      </c>
      <c r="BI272" s="7" t="s">
        <v>63</v>
      </c>
    </row>
    <row r="273" hidden="1">
      <c r="A273" s="4" t="str">
        <f>IFERROR(__xludf.DUMMYFUNCTION("""COMPUTED_VALUE"""),"Cantina Gigio Pinheiros")</f>
        <v>Cantina Gigio Pinheiros</v>
      </c>
      <c r="B273" s="4" t="str">
        <f>IFERROR(__xludf.DUMMYFUNCTION("""COMPUTED_VALUE"""),"João Biagiotti")</f>
        <v>João Biagiotti</v>
      </c>
      <c r="C273" s="4" t="str">
        <f>IFERROR(__xludf.DUMMYFUNCTION("""COMPUTED_VALUE"""),"Diego Santos")</f>
        <v>Diego Santos</v>
      </c>
      <c r="D273" s="4" t="str">
        <f>IFERROR(__xludf.DUMMYFUNCTION("""COMPUTED_VALUE"""),"0. Não Iniciado")</f>
        <v>0. Não Iniciado</v>
      </c>
      <c r="E273" s="4" t="str">
        <f>IFERROR(__xludf.DUMMYFUNCTION("""COMPUTED_VALUE"""),"Comercial - Tentativa não iniciada")</f>
        <v>Comercial - Tentativa não iniciada</v>
      </c>
      <c r="F273" s="4" t="str">
        <f>IFERROR(__xludf.DUMMYFUNCTION("""COMPUTED_VALUE"""),"P")</f>
        <v>P</v>
      </c>
      <c r="G273" s="5">
        <f>IFERROR(__xludf.DUMMYFUNCTION("""COMPUTED_VALUE"""),46076.0)</f>
        <v>46076</v>
      </c>
      <c r="H273" s="4" t="str">
        <f>IFERROR(__xludf.DUMMYFUNCTION("""COMPUTED_VALUE"""),"Nova abordagem.")</f>
        <v>Nova abordagem.</v>
      </c>
      <c r="I273" s="4"/>
      <c r="J273" s="4"/>
      <c r="K273" s="4"/>
      <c r="L273" s="4"/>
      <c r="M273" s="4"/>
      <c r="N273" s="4"/>
      <c r="O273" s="4"/>
      <c r="P273" s="4"/>
      <c r="Q273" s="4"/>
      <c r="R273" s="4"/>
      <c r="S273" s="4"/>
      <c r="T273" s="4"/>
      <c r="U273" s="4"/>
      <c r="V273" s="4"/>
      <c r="W273" s="4"/>
      <c r="X273" s="4"/>
      <c r="Y273" s="4"/>
      <c r="Z273" s="4"/>
      <c r="AA273" s="4">
        <f>IFERROR(__xludf.DUMMYFUNCTION("""COMPUTED_VALUE"""),1.0)</f>
        <v>1</v>
      </c>
      <c r="AB273" s="4" t="str">
        <f>IFERROR(__xludf.DUMMYFUNCTION("""COMPUTED_VALUE"""),"NÃO")</f>
        <v>NÃO</v>
      </c>
      <c r="AC273" s="4" t="str">
        <f>IFERROR(__xludf.DUMMYFUNCTION("""COMPUTED_VALUE"""),"BP")</f>
        <v>BP</v>
      </c>
      <c r="AD273" s="4"/>
      <c r="AE273" s="4"/>
      <c r="AF273" s="4"/>
      <c r="AG273" s="4"/>
      <c r="AH273" s="4"/>
      <c r="AI273" s="4"/>
      <c r="AJ273" s="4"/>
      <c r="AK273" s="4"/>
      <c r="AL273" s="4"/>
      <c r="AM273" s="4" t="str">
        <f>IFERROR(__xludf.DUMMYFUNCTION("""COMPUTED_VALUE"""),"FY26, FY27")</f>
        <v>FY26, FY27</v>
      </c>
      <c r="AN273" s="4" t="str">
        <f>IFERROR(__xludf.DUMMYFUNCTION("""COMPUTED_VALUE"""),"Comer Fora")</f>
        <v>Comer Fora</v>
      </c>
      <c r="AO273" s="4">
        <f>IFERROR(__xludf.DUMMYFUNCTION("""COMPUTED_VALUE"""),140.0)</f>
        <v>140</v>
      </c>
      <c r="AP273" s="4" t="str">
        <f>IFERROR(__xludf.DUMMYFUNCTION("""COMPUTED_VALUE"""),"SP")</f>
        <v>SP</v>
      </c>
      <c r="AQ273" s="4" t="str">
        <f>IFERROR(__xludf.DUMMYFUNCTION("""COMPUTED_VALUE"""),"GABRIEL BISPO")</f>
        <v>GABRIEL BISPO</v>
      </c>
      <c r="AR273" s="4" t="str">
        <f>IFERROR(__xludf.DUMMYFUNCTION("""COMPUTED_VALUE"""),"EDUARDO FIGUEIREDO")</f>
        <v>EDUARDO FIGUEIREDO</v>
      </c>
      <c r="AS273" s="4" t="str">
        <f>IFERROR(__xludf.DUMMYFUNCTION("""COMPUTED_VALUE"""),"NATHALIE MERTENS")</f>
        <v>NATHALIE MERTENS</v>
      </c>
      <c r="AT273" s="4" t="str">
        <f>IFERROR(__xludf.DUMMYFUNCTION("""COMPUTED_VALUE"""),"MARIANA KATZ")</f>
        <v>MARIANA KATZ</v>
      </c>
      <c r="AU273" s="4" t="str">
        <f>IFERROR(__xludf.DUMMYFUNCTION("""COMPUTED_VALUE"""),"Iza")</f>
        <v>Iza</v>
      </c>
      <c r="AV273" s="4" t="str">
        <f>IFERROR(__xludf.DUMMYFUNCTION("""COMPUTED_VALUE"""),"Comer Fora-")</f>
        <v>Comer Fora-</v>
      </c>
      <c r="AW273" s="20" t="str">
        <f>IFERROR(__xludf.DUMMYFUNCTION("""COMPUTED_VALUE"""),"P e M - pipe")</f>
        <v>P e M - pipe</v>
      </c>
      <c r="AX273" s="4"/>
      <c r="AY273" s="4"/>
      <c r="AZ273" s="4" t="str">
        <f>IFERROR(__xludf.DUMMYFUNCTION("""COMPUTED_VALUE"""),"Italiana")</f>
        <v>Italiana</v>
      </c>
      <c r="BA273" s="4">
        <f>IFERROR(__xludf.DUMMYFUNCTION("""COMPUTED_VALUE"""),51.0)</f>
        <v>51</v>
      </c>
      <c r="BB273" s="4" t="str">
        <f>IFERROR(__xludf.DUMMYFUNCTION("""COMPUTED_VALUE"""),"Fast Casual - Multi-conceito")</f>
        <v>Fast Casual - Multi-conceito</v>
      </c>
      <c r="BC273" s="4" t="str">
        <f>IFERROR(__xludf.DUMMYFUNCTION("""COMPUTED_VALUE"""),"Regional")</f>
        <v>Regional</v>
      </c>
      <c r="BD273" s="4" t="str">
        <f>IFERROR(__xludf.DUMMYFUNCTION("""COMPUTED_VALUE"""),"Dado não disponível publicamente - Necessário Discovery")</f>
        <v>Dado não disponível publicamente - Necessário Discovery</v>
      </c>
      <c r="BE273" s="4">
        <f>IFERROR(__xludf.DUMMYFUNCTION("""COMPUTED_VALUE"""),70.0)</f>
        <v>70</v>
      </c>
      <c r="BF273" s="4">
        <f>IFERROR(__xludf.DUMMYFUNCTION("""COMPUTED_VALUE"""),0.75)</f>
        <v>0.75</v>
      </c>
      <c r="BG27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73" s="4" t="s">
        <v>74</v>
      </c>
      <c r="BI273" s="7">
        <v>1.0</v>
      </c>
    </row>
    <row r="274" hidden="1">
      <c r="A274" s="4" t="str">
        <f>IFERROR(__xludf.DUMMYFUNCTION("""COMPUTED_VALUE"""),"Canton")</f>
        <v>Canton</v>
      </c>
      <c r="B274" s="4" t="str">
        <f>IFERROR(__xludf.DUMMYFUNCTION("""COMPUTED_VALUE"""),"João Biagiotti")</f>
        <v>João Biagiotti</v>
      </c>
      <c r="C274" s="4" t="str">
        <f>IFERROR(__xludf.DUMMYFUNCTION("""COMPUTED_VALUE"""),"Diego Santos")</f>
        <v>Diego Santos</v>
      </c>
      <c r="D274" s="4" t="str">
        <f>IFERROR(__xludf.DUMMYFUNCTION("""COMPUTED_VALUE"""),"0. Não Iniciado")</f>
        <v>0. Não Iniciado</v>
      </c>
      <c r="E274" s="4" t="str">
        <f>IFERROR(__xludf.DUMMYFUNCTION("""COMPUTED_VALUE"""),"Parceiro - Sem contato válido / Decisor inacessível")</f>
        <v>Parceiro - Sem contato válido / Decisor inacessível</v>
      </c>
      <c r="F274" s="4" t="str">
        <f>IFERROR(__xludf.DUMMYFUNCTION("""COMPUTED_VALUE"""),"P")</f>
        <v>P</v>
      </c>
      <c r="G274" s="5">
        <f>IFERROR(__xludf.DUMMYFUNCTION("""COMPUTED_VALUE"""),46076.0)</f>
        <v>46076</v>
      </c>
      <c r="H274" s="4" t="str">
        <f>IFERROR(__xludf.DUMMYFUNCTION("""COMPUTED_VALUE"""),"Sem contato válido, não tem executivo de delivery.")</f>
        <v>Sem contato válido, não tem executivo de delivery.</v>
      </c>
      <c r="I274" s="4"/>
      <c r="J274" s="4"/>
      <c r="K274" s="4"/>
      <c r="L274" s="4"/>
      <c r="M274" s="4"/>
      <c r="N274" s="4"/>
      <c r="O274" s="4"/>
      <c r="P274" s="4"/>
      <c r="Q274" s="4"/>
      <c r="R274" s="4"/>
      <c r="S274" s="4"/>
      <c r="T274" s="4"/>
      <c r="U274" s="4"/>
      <c r="V274" s="4"/>
      <c r="W274" s="4"/>
      <c r="X274" s="4"/>
      <c r="Y274" s="4"/>
      <c r="Z274" s="4"/>
      <c r="AA274" s="4">
        <f>IFERROR(__xludf.DUMMYFUNCTION("""COMPUTED_VALUE"""),5.0)</f>
        <v>5</v>
      </c>
      <c r="AB274" s="4" t="str">
        <f>IFERROR(__xludf.DUMMYFUNCTION("""COMPUTED_VALUE"""),"NÃO")</f>
        <v>NÃO</v>
      </c>
      <c r="AC274" s="4" t="str">
        <f>IFERROR(__xludf.DUMMYFUNCTION("""COMPUTED_VALUE"""),"Não BP")</f>
        <v>Não BP</v>
      </c>
      <c r="AD274" s="4"/>
      <c r="AE274" s="4"/>
      <c r="AF274" s="4"/>
      <c r="AG274" s="4"/>
      <c r="AH274" s="4"/>
      <c r="AI274" s="4"/>
      <c r="AJ274" s="4"/>
      <c r="AK274" s="4"/>
      <c r="AL274" s="4"/>
      <c r="AM274" s="4" t="str">
        <f>IFERROR(__xludf.DUMMYFUNCTION("""COMPUTED_VALUE"""),"FY26, FY27")</f>
        <v>FY26, FY27</v>
      </c>
      <c r="AN274" s="4"/>
      <c r="AO274" s="4">
        <f>IFERROR(__xludf.DUMMYFUNCTION("""COMPUTED_VALUE"""),140.0)</f>
        <v>140</v>
      </c>
      <c r="AP274" s="4">
        <f>IFERROR(__xludf.DUMMYFUNCTION("""COMPUTED_VALUE"""),0.0)</f>
        <v>0</v>
      </c>
      <c r="AQ274" s="4">
        <f>IFERROR(__xludf.DUMMYFUNCTION("""COMPUTED_VALUE"""),0.0)</f>
        <v>0</v>
      </c>
      <c r="AR274" s="4">
        <f>IFERROR(__xludf.DUMMYFUNCTION("""COMPUTED_VALUE"""),0.0)</f>
        <v>0</v>
      </c>
      <c r="AS274" s="4">
        <f>IFERROR(__xludf.DUMMYFUNCTION("""COMPUTED_VALUE"""),0.0)</f>
        <v>0</v>
      </c>
      <c r="AT274" s="4">
        <f>IFERROR(__xludf.DUMMYFUNCTION("""COMPUTED_VALUE"""),0.0)</f>
        <v>0</v>
      </c>
      <c r="AU274" s="4" t="str">
        <f>IFERROR(__xludf.DUMMYFUNCTION("""COMPUTED_VALUE"""),"Iza")</f>
        <v>Iza</v>
      </c>
      <c r="AV274" s="4">
        <f>IFERROR(__xludf.DUMMYFUNCTION("""COMPUTED_VALUE"""),0.0)</f>
        <v>0</v>
      </c>
      <c r="AW274" s="4">
        <f>IFERROR(__xludf.DUMMYFUNCTION("""COMPUTED_VALUE"""),0.0)</f>
        <v>0</v>
      </c>
      <c r="AX274" s="4">
        <f>IFERROR(__xludf.DUMMYFUNCTION("""COMPUTED_VALUE"""),0.0)</f>
        <v>0</v>
      </c>
      <c r="AY274" s="4"/>
      <c r="AZ274" s="4" t="str">
        <f>IFERROR(__xludf.DUMMYFUNCTION("""COMPUTED_VALUE"""),"NA")</f>
        <v>NA</v>
      </c>
      <c r="BA274" s="4">
        <f>IFERROR(__xludf.DUMMYFUNCTION("""COMPUTED_VALUE"""),66.0)</f>
        <v>66</v>
      </c>
      <c r="BB274" s="4" t="str">
        <f>IFERROR(__xludf.DUMMYFUNCTION("""COMPUTED_VALUE"""),"Fast Casual - Multi-conceito")</f>
        <v>Fast Casual - Multi-conceito</v>
      </c>
      <c r="BC274" s="4" t="str">
        <f>IFERROR(__xludf.DUMMYFUNCTION("""COMPUTED_VALUE"""),"Sudeste")</f>
        <v>Sudeste</v>
      </c>
      <c r="BD274" s="4" t="str">
        <f>IFERROR(__xludf.DUMMYFUNCTION("""COMPUTED_VALUE"""),"Dado não disponível publicamente - Necessário Discovery")</f>
        <v>Dado não disponível publicamente - Necessário Discovery</v>
      </c>
      <c r="BE274" s="4">
        <f>IFERROR(__xludf.DUMMYFUNCTION("""COMPUTED_VALUE"""),65.0)</f>
        <v>65</v>
      </c>
      <c r="BF274" s="4">
        <f>IFERROR(__xludf.DUMMYFUNCTION("""COMPUTED_VALUE"""),0.75)</f>
        <v>0.75</v>
      </c>
      <c r="BG27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74" s="4" t="s">
        <v>63</v>
      </c>
      <c r="BI274" s="7" t="s">
        <v>63</v>
      </c>
    </row>
    <row r="275" hidden="1">
      <c r="A275" s="4" t="str">
        <f>IFERROR(__xludf.DUMMYFUNCTION("""COMPUTED_VALUE"""),"Capile")</f>
        <v>Capile</v>
      </c>
      <c r="B275" s="4" t="str">
        <f>IFERROR(__xludf.DUMMYFUNCTION("""COMPUTED_VALUE"""),"João Biagiotti")</f>
        <v>João Biagiotti</v>
      </c>
      <c r="C275" s="4" t="str">
        <f>IFERROR(__xludf.DUMMYFUNCTION("""COMPUTED_VALUE"""),"Diego Santos")</f>
        <v>Diego Santos</v>
      </c>
      <c r="D275" s="4" t="str">
        <f>IFERROR(__xludf.DUMMYFUNCTION("""COMPUTED_VALUE"""),"0. Não Iniciado")</f>
        <v>0. Não Iniciado</v>
      </c>
      <c r="E275" s="4" t="str">
        <f>IFERROR(__xludf.DUMMYFUNCTION("""COMPUTED_VALUE"""),"Parceiro - Sem contato válido / Decisor inacessível")</f>
        <v>Parceiro - Sem contato válido / Decisor inacessível</v>
      </c>
      <c r="F275" s="4" t="str">
        <f>IFERROR(__xludf.DUMMYFUNCTION("""COMPUTED_VALUE"""),"P")</f>
        <v>P</v>
      </c>
      <c r="G275" s="5">
        <f>IFERROR(__xludf.DUMMYFUNCTION("""COMPUTED_VALUE"""),46076.0)</f>
        <v>46076</v>
      </c>
      <c r="H275" s="4" t="str">
        <f>IFERROR(__xludf.DUMMYFUNCTION("""COMPUTED_VALUE"""),"Sem contato válido, não tem executivo de delivery.")</f>
        <v>Sem contato válido, não tem executivo de delivery.</v>
      </c>
      <c r="I275" s="4"/>
      <c r="J275" s="4"/>
      <c r="K275" s="4"/>
      <c r="L275" s="4"/>
      <c r="M275" s="4"/>
      <c r="N275" s="4"/>
      <c r="O275" s="4"/>
      <c r="P275" s="4"/>
      <c r="Q275" s="4"/>
      <c r="R275" s="4"/>
      <c r="S275" s="4"/>
      <c r="T275" s="4"/>
      <c r="U275" s="4"/>
      <c r="V275" s="4"/>
      <c r="W275" s="4"/>
      <c r="X275" s="4"/>
      <c r="Y275" s="4"/>
      <c r="Z275" s="4"/>
      <c r="AA275" s="4">
        <f>IFERROR(__xludf.DUMMYFUNCTION("""COMPUTED_VALUE"""),5.0)</f>
        <v>5</v>
      </c>
      <c r="AB275" s="4" t="str">
        <f>IFERROR(__xludf.DUMMYFUNCTION("""COMPUTED_VALUE"""),"NÃO")</f>
        <v>NÃO</v>
      </c>
      <c r="AC275" s="4" t="str">
        <f>IFERROR(__xludf.DUMMYFUNCTION("""COMPUTED_VALUE"""),"Não BP")</f>
        <v>Não BP</v>
      </c>
      <c r="AD275" s="4"/>
      <c r="AE275" s="4"/>
      <c r="AF275" s="4"/>
      <c r="AG275" s="4"/>
      <c r="AH275" s="4"/>
      <c r="AI275" s="4"/>
      <c r="AJ275" s="4"/>
      <c r="AK275" s="4"/>
      <c r="AL275" s="4"/>
      <c r="AM275" s="4" t="str">
        <f>IFERROR(__xludf.DUMMYFUNCTION("""COMPUTED_VALUE"""),"FY26, FY27")</f>
        <v>FY26, FY27</v>
      </c>
      <c r="AN275" s="4"/>
      <c r="AO275" s="4">
        <f>IFERROR(__xludf.DUMMYFUNCTION("""COMPUTED_VALUE"""),140.0)</f>
        <v>140</v>
      </c>
      <c r="AP275" s="4">
        <f>IFERROR(__xludf.DUMMYFUNCTION("""COMPUTED_VALUE"""),0.0)</f>
        <v>0</v>
      </c>
      <c r="AQ275" s="4">
        <f>IFERROR(__xludf.DUMMYFUNCTION("""COMPUTED_VALUE"""),0.0)</f>
        <v>0</v>
      </c>
      <c r="AR275" s="4">
        <f>IFERROR(__xludf.DUMMYFUNCTION("""COMPUTED_VALUE"""),0.0)</f>
        <v>0</v>
      </c>
      <c r="AS275" s="4">
        <f>IFERROR(__xludf.DUMMYFUNCTION("""COMPUTED_VALUE"""),0.0)</f>
        <v>0</v>
      </c>
      <c r="AT275" s="4">
        <f>IFERROR(__xludf.DUMMYFUNCTION("""COMPUTED_VALUE"""),0.0)</f>
        <v>0</v>
      </c>
      <c r="AU275" s="4" t="str">
        <f>IFERROR(__xludf.DUMMYFUNCTION("""COMPUTED_VALUE"""),"Iza")</f>
        <v>Iza</v>
      </c>
      <c r="AV275" s="4">
        <f>IFERROR(__xludf.DUMMYFUNCTION("""COMPUTED_VALUE"""),0.0)</f>
        <v>0</v>
      </c>
      <c r="AW275" s="4">
        <f>IFERROR(__xludf.DUMMYFUNCTION("""COMPUTED_VALUE"""),0.0)</f>
        <v>0</v>
      </c>
      <c r="AX275" s="4">
        <f>IFERROR(__xludf.DUMMYFUNCTION("""COMPUTED_VALUE"""),0.0)</f>
        <v>0</v>
      </c>
      <c r="AY275" s="4"/>
      <c r="AZ275" s="4" t="str">
        <f>IFERROR(__xludf.DUMMYFUNCTION("""COMPUTED_VALUE"""),"NA")</f>
        <v>NA</v>
      </c>
      <c r="BA275" s="4" t="str">
        <f>IFERROR(__xludf.DUMMYFUNCTION("""COMPUTED_VALUE"""),"")</f>
        <v/>
      </c>
      <c r="BB275" s="4" t="str">
        <f>IFERROR(__xludf.DUMMYFUNCTION("""COMPUTED_VALUE"""),"")</f>
        <v/>
      </c>
      <c r="BC275" s="4" t="str">
        <f>IFERROR(__xludf.DUMMYFUNCTION("""COMPUTED_VALUE"""),"")</f>
        <v/>
      </c>
      <c r="BD275" s="4" t="str">
        <f>IFERROR(__xludf.DUMMYFUNCTION("""COMPUTED_VALUE"""),"")</f>
        <v/>
      </c>
      <c r="BE275" s="4" t="str">
        <f>IFERROR(__xludf.DUMMYFUNCTION("""COMPUTED_VALUE"""),"")</f>
        <v/>
      </c>
      <c r="BF275" s="4" t="str">
        <f>IFERROR(__xludf.DUMMYFUNCTION("""COMPUTED_VALUE"""),"")</f>
        <v/>
      </c>
      <c r="BG275" s="4" t="str">
        <f>IFERROR(__xludf.DUMMYFUNCTION("""COMPUTED_VALUE"""),"")</f>
        <v/>
      </c>
      <c r="BH275" s="4" t="s">
        <v>63</v>
      </c>
      <c r="BI275" s="7" t="s">
        <v>63</v>
      </c>
    </row>
    <row r="276" hidden="1">
      <c r="A276" s="4" t="str">
        <f>IFERROR(__xludf.DUMMYFUNCTION("""COMPUTED_VALUE"""),"Caramelo Hamburgueria E Lanches")</f>
        <v>Caramelo Hamburgueria E Lanches</v>
      </c>
      <c r="B276" s="4" t="str">
        <f>IFERROR(__xludf.DUMMYFUNCTION("""COMPUTED_VALUE"""),"Lídia Esteves")</f>
        <v>Lídia Esteves</v>
      </c>
      <c r="C276" s="4" t="str">
        <f>IFERROR(__xludf.DUMMYFUNCTION("""COMPUTED_VALUE"""),"Gabriela Roma")</f>
        <v>Gabriela Roma</v>
      </c>
      <c r="D276" s="4" t="str">
        <f>IFERROR(__xludf.DUMMYFUNCTION("""COMPUTED_VALUE"""),"11. Stand by")</f>
        <v>11. Stand by</v>
      </c>
      <c r="E276" s="4" t="str">
        <f>IFERROR(__xludf.DUMMYFUNCTION("""COMPUTED_VALUE"""),"Pré-vendas - Em validação técnica")</f>
        <v>Pré-vendas - Em validação técnica</v>
      </c>
      <c r="F276" s="4" t="str">
        <f>IFERROR(__xludf.DUMMYFUNCTION("""COMPUTED_VALUE"""),"P")</f>
        <v>P</v>
      </c>
      <c r="G276" s="5">
        <f>IFERROR(__xludf.DUMMYFUNCTION("""COMPUTED_VALUE"""),46120.0)</f>
        <v>46120</v>
      </c>
      <c r="H276" s="4" t="str">
        <f>IFERROR(__xludf.DUMMYFUNCTION("""COMPUTED_VALUE"""),"Validação técnica sobre funcionalidade do KDS - cliente precisa de balanceamento por rota. Apoio: Gabriel")</f>
        <v>Validação técnica sobre funcionalidade do KDS - cliente precisa de balanceamento por rota. Apoio: Gabriel</v>
      </c>
      <c r="I276" s="4"/>
      <c r="J276" s="4"/>
      <c r="K276" s="6">
        <f>IFERROR(__xludf.DUMMYFUNCTION("""COMPUTED_VALUE"""),46058.0)</f>
        <v>46058</v>
      </c>
      <c r="L276" s="6">
        <f>IFERROR(__xludf.DUMMYFUNCTION("""COMPUTED_VALUE"""),46062.46386065972)</f>
        <v>46062.46386</v>
      </c>
      <c r="M276" s="6">
        <f>IFERROR(__xludf.DUMMYFUNCTION("""COMPUTED_VALUE"""),46085.0)</f>
        <v>46085</v>
      </c>
      <c r="N276" s="6">
        <f>IFERROR(__xludf.DUMMYFUNCTION("""COMPUTED_VALUE"""),46090.58435388889)</f>
        <v>46090.58435</v>
      </c>
      <c r="O276" s="4"/>
      <c r="P276" s="4"/>
      <c r="Q276" s="4"/>
      <c r="R276" s="4"/>
      <c r="S276" s="6">
        <f>IFERROR(__xludf.DUMMYFUNCTION("""COMPUTED_VALUE"""),46120.511188379634)</f>
        <v>46120.51119</v>
      </c>
      <c r="T276" s="4"/>
      <c r="U276" s="4"/>
      <c r="V276" s="4" t="str">
        <f>IFERROR(__xludf.DUMMYFUNCTION("""COMPUTED_VALUE"""),"Desenvolvimento solução")</f>
        <v>Desenvolvimento solução</v>
      </c>
      <c r="W276" s="4"/>
      <c r="X276" s="4"/>
      <c r="Y276" s="4"/>
      <c r="Z276" s="4"/>
      <c r="AA276" s="4">
        <f>IFERROR(__xludf.DUMMYFUNCTION("""COMPUTED_VALUE"""),1.0)</f>
        <v>1</v>
      </c>
      <c r="AB276" s="4" t="str">
        <f>IFERROR(__xludf.DUMMYFUNCTION("""COMPUTED_VALUE"""),"-")</f>
        <v>-</v>
      </c>
      <c r="AC276" s="4" t="str">
        <f>IFERROR(__xludf.DUMMYFUNCTION("""COMPUTED_VALUE"""),"-")</f>
        <v>-</v>
      </c>
      <c r="AD276" s="4"/>
      <c r="AE276" s="4"/>
      <c r="AF276" s="4"/>
      <c r="AG276" s="4"/>
      <c r="AH276" s="4"/>
      <c r="AI276" s="4"/>
      <c r="AJ276" s="4"/>
      <c r="AK276" s="4"/>
      <c r="AL276" s="4"/>
      <c r="AM276" s="4" t="str">
        <f>IFERROR(__xludf.DUMMYFUNCTION("""COMPUTED_VALUE"""),"FY26, FY27")</f>
        <v>FY26, FY27</v>
      </c>
      <c r="AN276" s="4"/>
      <c r="AO276" s="4">
        <f>IFERROR(__xludf.DUMMYFUNCTION("""COMPUTED_VALUE"""),95.0)</f>
        <v>95</v>
      </c>
      <c r="AP276" s="4">
        <f>IFERROR(__xludf.DUMMYFUNCTION("""COMPUTED_VALUE"""),0.0)</f>
        <v>0</v>
      </c>
      <c r="AQ276" s="4">
        <f>IFERROR(__xludf.DUMMYFUNCTION("""COMPUTED_VALUE"""),0.0)</f>
        <v>0</v>
      </c>
      <c r="AR276" s="4">
        <f>IFERROR(__xludf.DUMMYFUNCTION("""COMPUTED_VALUE"""),0.0)</f>
        <v>0</v>
      </c>
      <c r="AS276" s="4">
        <f>IFERROR(__xludf.DUMMYFUNCTION("""COMPUTED_VALUE"""),0.0)</f>
        <v>0</v>
      </c>
      <c r="AT276" s="4">
        <f>IFERROR(__xludf.DUMMYFUNCTION("""COMPUTED_VALUE"""),0.0)</f>
        <v>0</v>
      </c>
      <c r="AU276" s="4" t="str">
        <f>IFERROR(__xludf.DUMMYFUNCTION("""COMPUTED_VALUE"""),"Lídia / Emerson")</f>
        <v>Lídia / Emerson</v>
      </c>
      <c r="AV276" s="4">
        <f>IFERROR(__xludf.DUMMYFUNCTION("""COMPUTED_VALUE"""),0.0)</f>
        <v>0</v>
      </c>
      <c r="AW276" s="4">
        <f>IFERROR(__xludf.DUMMYFUNCTION("""COMPUTED_VALUE"""),0.0)</f>
        <v>0</v>
      </c>
      <c r="AX276" s="4">
        <f>IFERROR(__xludf.DUMMYFUNCTION("""COMPUTED_VALUE"""),0.0)</f>
        <v>0</v>
      </c>
      <c r="AY276" s="4"/>
      <c r="AZ276" s="4" t="str">
        <f>IFERROR(__xludf.DUMMYFUNCTION("""COMPUTED_VALUE"""),"NA")</f>
        <v>NA</v>
      </c>
      <c r="BA276" s="4">
        <f>IFERROR(__xludf.DUMMYFUNCTION("""COMPUTED_VALUE"""),80.0)</f>
        <v>80</v>
      </c>
      <c r="BB276" s="12" t="str">
        <f>IFERROR(__xludf.DUMMYFUNCTION("""COMPUTED_VALUE"""),"Fast Casual - Hamburgueria")</f>
        <v>Fast Casual - Hamburgueria</v>
      </c>
      <c r="BC276" s="4" t="str">
        <f>IFERROR(__xludf.DUMMYFUNCTION("""COMPUTED_VALUE"""),"Nordeste")</f>
        <v>Nordeste</v>
      </c>
      <c r="BD276" s="4" t="str">
        <f>IFERROR(__xludf.DUMMYFUNCTION("""COMPUTED_VALUE"""),"Dado não disponível publicamente - Necessário Discovery")</f>
        <v>Dado não disponível publicamente - Necessário Discovery</v>
      </c>
      <c r="BE276" s="4">
        <f>IFERROR(__xludf.DUMMYFUNCTION("""COMPUTED_VALUE"""),70.0)</f>
        <v>70</v>
      </c>
      <c r="BF276" s="13">
        <f>IFERROR(__xludf.DUMMYFUNCTION("""COMPUTED_VALUE"""),0.8)</f>
        <v>0.8</v>
      </c>
      <c r="BG276"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276" s="4" t="s">
        <v>63</v>
      </c>
      <c r="BI276" s="7" t="s">
        <v>63</v>
      </c>
    </row>
    <row r="277">
      <c r="A277" s="4" t="str">
        <f>IFERROR(__xludf.DUMMYFUNCTION("""COMPUTED_VALUE"""),"Carol Coxinhas")</f>
        <v>Carol Coxinhas</v>
      </c>
      <c r="B277" s="4" t="str">
        <f>IFERROR(__xludf.DUMMYFUNCTION("""COMPUTED_VALUE"""),"Leonardo Roso")</f>
        <v>Leonardo Roso</v>
      </c>
      <c r="C277" s="4" t="str">
        <f>IFERROR(__xludf.DUMMYFUNCTION("""COMPUTED_VALUE"""),"Leonardo Roso")</f>
        <v>Leonardo Roso</v>
      </c>
      <c r="D277" s="4" t="str">
        <f>IFERROR(__xludf.DUMMYFUNCTION("""COMPUTED_VALUE"""),"11. Stand by")</f>
        <v>11. Stand by</v>
      </c>
      <c r="E277" s="4" t="str">
        <f>IFERROR(__xludf.DUMMYFUNCTION("""COMPUTED_VALUE"""),"Parceiro - Aguardando retorno / Conciliação agenda")</f>
        <v>Parceiro - Aguardando retorno / Conciliação agenda</v>
      </c>
      <c r="F277" s="4" t="str">
        <f>IFERROR(__xludf.DUMMYFUNCTION("""COMPUTED_VALUE"""),"G")</f>
        <v>G</v>
      </c>
      <c r="G277" s="5">
        <f>IFERROR(__xludf.DUMMYFUNCTION("""COMPUTED_VALUE"""),46084.0)</f>
        <v>46084</v>
      </c>
      <c r="H277" s="4" t="str">
        <f>IFERROR(__xludf.DUMMYFUNCTION("""COMPUTED_VALUE"""),"FUP com Gian.")</f>
        <v>FUP com Gian.</v>
      </c>
      <c r="I277" s="4"/>
      <c r="J277" s="4"/>
      <c r="K277" s="4"/>
      <c r="L277" s="4"/>
      <c r="M277" s="4"/>
      <c r="N277" s="4"/>
      <c r="O277" s="4"/>
      <c r="P277" s="4"/>
      <c r="Q277" s="4"/>
      <c r="R277" s="4"/>
      <c r="S277" s="4"/>
      <c r="T277" s="4"/>
      <c r="U277" s="4"/>
      <c r="V277" s="4" t="str">
        <f>IFERROR(__xludf.DUMMYFUNCTION("""COMPUTED_VALUE"""),"Outros")</f>
        <v>Outros</v>
      </c>
      <c r="W277" s="4"/>
      <c r="X277" s="4"/>
      <c r="Y277" s="4"/>
      <c r="Z277" s="4"/>
      <c r="AA277" s="4">
        <f>IFERROR(__xludf.DUMMYFUNCTION("""COMPUTED_VALUE"""),98.0)</f>
        <v>98</v>
      </c>
      <c r="AB277" s="4"/>
      <c r="AC277" s="4"/>
      <c r="AD277" s="4"/>
      <c r="AE277" s="4"/>
      <c r="AF277" s="4"/>
      <c r="AG277" s="4"/>
      <c r="AH277" s="4"/>
      <c r="AI277" s="4"/>
      <c r="AJ277" s="4"/>
      <c r="AK277" s="4"/>
      <c r="AL277" s="4"/>
      <c r="AM277" s="4" t="str">
        <f>IFERROR(__xludf.DUMMYFUNCTION("""COMPUTED_VALUE"""),"FY26, FY27")</f>
        <v>FY26, FY27</v>
      </c>
      <c r="AN277" s="4"/>
      <c r="AO277" s="4">
        <f>IFERROR(__xludf.DUMMYFUNCTION("""COMPUTED_VALUE"""),130.0)</f>
        <v>130</v>
      </c>
      <c r="AP277" s="4" t="str">
        <f>IFERROR(__xludf.DUMMYFUNCTION("""COMPUTED_VALUE"""),"SP")</f>
        <v>SP</v>
      </c>
      <c r="AQ277" s="4" t="str">
        <f>IFERROR(__xludf.DUMMYFUNCTION("""COMPUTED_VALUE"""),"THIAGO MORSELLI")</f>
        <v>THIAGO MORSELLI</v>
      </c>
      <c r="AR277" s="4" t="str">
        <f>IFERROR(__xludf.DUMMYFUNCTION("""COMPUTED_VALUE"""),"AMANDA ARAUJO")</f>
        <v>AMANDA ARAUJO</v>
      </c>
      <c r="AS277" s="4" t="str">
        <f>IFERROR(__xludf.DUMMYFUNCTION("""COMPUTED_VALUE"""),"ISABELA GOULART")</f>
        <v>ISABELA GOULART</v>
      </c>
      <c r="AT277" s="4" t="str">
        <f>IFERROR(__xludf.DUMMYFUNCTION("""COMPUTED_VALUE"""),"THIAGO MORSELLI")</f>
        <v>THIAGO MORSELLI</v>
      </c>
      <c r="AU277" s="4" t="str">
        <f>IFERROR(__xludf.DUMMYFUNCTION("""COMPUTED_VALUE"""),"Diego")</f>
        <v>Diego</v>
      </c>
      <c r="AV277" s="4">
        <f>IFERROR(__xludf.DUMMYFUNCTION("""COMPUTED_VALUE"""),0.0)</f>
        <v>0</v>
      </c>
      <c r="AW277" s="4">
        <f>IFERROR(__xludf.DUMMYFUNCTION("""COMPUTED_VALUE"""),0.0)</f>
        <v>0</v>
      </c>
      <c r="AX277" s="4">
        <f>IFERROR(__xludf.DUMMYFUNCTION("""COMPUTED_VALUE"""),0.0)</f>
        <v>0</v>
      </c>
      <c r="AY277" s="4">
        <f>IFERROR(__xludf.DUMMYFUNCTION("""COMPUTED_VALUE"""),0.0)</f>
        <v>0</v>
      </c>
      <c r="AZ277" s="4" t="str">
        <f>IFERROR(__xludf.DUMMYFUNCTION("""COMPUTED_VALUE"""),"Lanches")</f>
        <v>Lanches</v>
      </c>
      <c r="BA277" s="4">
        <f>IFERROR(__xludf.DUMMYFUNCTION("""COMPUTED_VALUE"""),52.0)</f>
        <v>52</v>
      </c>
      <c r="BB277" s="4" t="str">
        <f>IFERROR(__xludf.DUMMYFUNCTION("""COMPUTED_VALUE"""),"Fast Casual - Multi-conceito")</f>
        <v>Fast Casual - Multi-conceito</v>
      </c>
      <c r="BC277" s="4" t="str">
        <f>IFERROR(__xludf.DUMMYFUNCTION("""COMPUTED_VALUE"""),"Sudeste")</f>
        <v>Sudeste</v>
      </c>
      <c r="BD277" s="4" t="str">
        <f>IFERROR(__xludf.DUMMYFUNCTION("""COMPUTED_VALUE"""),"Dado não disponível publicamente - Necessário Discovery")</f>
        <v>Dado não disponível publicamente - Necessário Discovery</v>
      </c>
      <c r="BE277" s="4">
        <f>IFERROR(__xludf.DUMMYFUNCTION("""COMPUTED_VALUE"""),65.0)</f>
        <v>65</v>
      </c>
      <c r="BF277" s="4">
        <f>IFERROR(__xludf.DUMMYFUNCTION("""COMPUTED_VALUE"""),0.75)</f>
        <v>0.75</v>
      </c>
      <c r="BG27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77" s="4" t="s">
        <v>63</v>
      </c>
      <c r="BI277" s="7" t="s">
        <v>63</v>
      </c>
    </row>
    <row r="278" hidden="1">
      <c r="A278" s="4" t="str">
        <f>IFERROR(__xludf.DUMMYFUNCTION("""COMPUTED_VALUE"""),"Casa Da Feijoada Do Paulinho")</f>
        <v>Casa Da Feijoada Do Paulinho</v>
      </c>
      <c r="B278" s="4" t="str">
        <f>IFERROR(__xludf.DUMMYFUNCTION("""COMPUTED_VALUE"""),"Lídia Esteves")</f>
        <v>Lídia Esteves</v>
      </c>
      <c r="C278" s="4" t="str">
        <f>IFERROR(__xludf.DUMMYFUNCTION("""COMPUTED_VALUE"""),"Gabriela Roma")</f>
        <v>Gabriela Roma</v>
      </c>
      <c r="D278" s="4" t="str">
        <f>IFERROR(__xludf.DUMMYFUNCTION("""COMPUTED_VALUE"""),"11. Stand by")</f>
        <v>11. Stand by</v>
      </c>
      <c r="E278" s="4" t="str">
        <f>IFERROR(__xludf.DUMMYFUNCTION("""COMPUTED_VALUE"""),"Perdido -  Momento do restaurante não favorável")</f>
        <v>Perdido -  Momento do restaurante não favorável</v>
      </c>
      <c r="F278" s="4" t="str">
        <f>IFERROR(__xludf.DUMMYFUNCTION("""COMPUTED_VALUE"""),"P")</f>
        <v>P</v>
      </c>
      <c r="G278" s="5">
        <f>IFERROR(__xludf.DUMMYFUNCTION("""COMPUTED_VALUE"""),46120.0)</f>
        <v>46120</v>
      </c>
      <c r="H278" s="4" t="str">
        <f>IFERROR(__xludf.DUMMYFUNCTION("""COMPUTED_VALUE"""),"sem interesse em mudar de pdv por agora")</f>
        <v>sem interesse em mudar de pdv por agora</v>
      </c>
      <c r="I278" s="4"/>
      <c r="J278" s="4"/>
      <c r="K278" s="6">
        <f>IFERROR(__xludf.DUMMYFUNCTION("""COMPUTED_VALUE"""),46062.0)</f>
        <v>46062</v>
      </c>
      <c r="L278" s="6">
        <f>IFERROR(__xludf.DUMMYFUNCTION("""COMPUTED_VALUE"""),46062.46462576389)</f>
        <v>46062.46463</v>
      </c>
      <c r="M278" s="4"/>
      <c r="N278" s="4"/>
      <c r="O278" s="4"/>
      <c r="P278" s="4"/>
      <c r="Q278" s="4"/>
      <c r="R278" s="4"/>
      <c r="S278" s="6">
        <f>IFERROR(__xludf.DUMMYFUNCTION("""COMPUTED_VALUE"""),46120.51203182871)</f>
        <v>46120.51203</v>
      </c>
      <c r="T278" s="4"/>
      <c r="U278" s="4"/>
      <c r="V278" s="4" t="str">
        <f>IFERROR(__xludf.DUMMYFUNCTION("""COMPUTED_VALUE"""),"Sem interesse em mudar de PDV")</f>
        <v>Sem interesse em mudar de PDV</v>
      </c>
      <c r="W278" s="4"/>
      <c r="X278" s="4"/>
      <c r="Y278" s="4"/>
      <c r="Z278" s="4"/>
      <c r="AA278" s="4">
        <f>IFERROR(__xludf.DUMMYFUNCTION("""COMPUTED_VALUE"""),1.0)</f>
        <v>1</v>
      </c>
      <c r="AB278" s="4" t="str">
        <f>IFERROR(__xludf.DUMMYFUNCTION("""COMPUTED_VALUE"""),"-")</f>
        <v>-</v>
      </c>
      <c r="AC278" s="4" t="str">
        <f>IFERROR(__xludf.DUMMYFUNCTION("""COMPUTED_VALUE"""),"-")</f>
        <v>-</v>
      </c>
      <c r="AD278" s="4"/>
      <c r="AE278" s="4"/>
      <c r="AF278" s="4"/>
      <c r="AG278" s="4"/>
      <c r="AH278" s="4"/>
      <c r="AI278" s="4"/>
      <c r="AJ278" s="4"/>
      <c r="AK278" s="4"/>
      <c r="AL278" s="4"/>
      <c r="AM278" s="4" t="str">
        <f>IFERROR(__xludf.DUMMYFUNCTION("""COMPUTED_VALUE"""),"FY26, FY27")</f>
        <v>FY26, FY27</v>
      </c>
      <c r="AN278" s="4"/>
      <c r="AO278" s="4">
        <f>IFERROR(__xludf.DUMMYFUNCTION("""COMPUTED_VALUE"""),95.0)</f>
        <v>95</v>
      </c>
      <c r="AP278" s="4" t="str">
        <f>IFERROR(__xludf.DUMMYFUNCTION("""COMPUTED_VALUE"""),"PR")</f>
        <v>PR</v>
      </c>
      <c r="AQ278" s="4" t="str">
        <f>IFERROR(__xludf.DUMMYFUNCTION("""COMPUTED_VALUE"""),"BRUNA MONTEZIN")</f>
        <v>BRUNA MONTEZIN</v>
      </c>
      <c r="AR278" s="4" t="str">
        <f>IFERROR(__xludf.DUMMYFUNCTION("""COMPUTED_VALUE"""),"ANE LUKAZINSKI")</f>
        <v>ANE LUKAZINSKI</v>
      </c>
      <c r="AS278" s="4" t="str">
        <f>IFERROR(__xludf.DUMMYFUNCTION("""COMPUTED_VALUE"""),"FABIO DONATO")</f>
        <v>FABIO DONATO</v>
      </c>
      <c r="AT278" s="4" t="str">
        <f>IFERROR(__xludf.DUMMYFUNCTION("""COMPUTED_VALUE"""),"MURILO NAGASHIMA")</f>
        <v>MURILO NAGASHIMA</v>
      </c>
      <c r="AU278" s="4" t="str">
        <f>IFERROR(__xludf.DUMMYFUNCTION("""COMPUTED_VALUE"""),"Lídia / Emerson")</f>
        <v>Lídia / Emerson</v>
      </c>
      <c r="AV278" s="4">
        <f>IFERROR(__xludf.DUMMYFUNCTION("""COMPUTED_VALUE"""),0.0)</f>
        <v>0</v>
      </c>
      <c r="AW278" s="4">
        <f>IFERROR(__xludf.DUMMYFUNCTION("""COMPUTED_VALUE"""),0.0)</f>
        <v>0</v>
      </c>
      <c r="AX278" s="4">
        <f>IFERROR(__xludf.DUMMYFUNCTION("""COMPUTED_VALUE"""),0.0)</f>
        <v>0</v>
      </c>
      <c r="AY278" s="4"/>
      <c r="AZ278" s="4" t="str">
        <f>IFERROR(__xludf.DUMMYFUNCTION("""COMPUTED_VALUE"""),"Brasileira")</f>
        <v>Brasileira</v>
      </c>
      <c r="BA278" s="4">
        <f>IFERROR(__xludf.DUMMYFUNCTION("""COMPUTED_VALUE"""),73.0)</f>
        <v>73</v>
      </c>
      <c r="BB278" s="4" t="str">
        <f>IFERROR(__xludf.DUMMYFUNCTION("""COMPUTED_VALUE"""),"Fast Casual - Multi-conceito")</f>
        <v>Fast Casual - Multi-conceito</v>
      </c>
      <c r="BC278" s="4" t="str">
        <f>IFERROR(__xludf.DUMMYFUNCTION("""COMPUTED_VALUE"""),"São Paulo/SP")</f>
        <v>São Paulo/SP</v>
      </c>
      <c r="BD278" s="4" t="str">
        <f>IFERROR(__xludf.DUMMYFUNCTION("""COMPUTED_VALUE"""),"Dado não disponível publicamente - Necessário Discovery")</f>
        <v>Dado não disponível publicamente - Necessário Discovery</v>
      </c>
      <c r="BE278" s="4">
        <f>IFERROR(__xludf.DUMMYFUNCTION("""COMPUTED_VALUE"""),70.0)</f>
        <v>70</v>
      </c>
      <c r="BF278" s="4">
        <f>IFERROR(__xludf.DUMMYFUNCTION("""COMPUTED_VALUE"""),0.75)</f>
        <v>0.75</v>
      </c>
      <c r="BG27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78" s="4" t="s">
        <v>63</v>
      </c>
      <c r="BI278" s="7" t="s">
        <v>63</v>
      </c>
    </row>
    <row r="279" hidden="1">
      <c r="A279" s="4" t="str">
        <f>IFERROR(__xludf.DUMMYFUNCTION("""COMPUTED_VALUE"""),"Casa Da Sobremesa Norte-Sul")</f>
        <v>Casa Da Sobremesa Norte-Sul</v>
      </c>
      <c r="B279" s="4" t="str">
        <f>IFERROR(__xludf.DUMMYFUNCTION("""COMPUTED_VALUE"""),"Lídia Esteves")</f>
        <v>Lídia Esteves</v>
      </c>
      <c r="C279" s="4" t="str">
        <f>IFERROR(__xludf.DUMMYFUNCTION("""COMPUTED_VALUE"""),"Gabriela Roma")</f>
        <v>Gabriela Roma</v>
      </c>
      <c r="D279" s="4" t="str">
        <f>IFERROR(__xludf.DUMMYFUNCTION("""COMPUTED_VALUE"""),"0. Não Iniciado")</f>
        <v>0. Não Iniciado</v>
      </c>
      <c r="E279" s="4"/>
      <c r="F279" s="4" t="str">
        <f>IFERROR(__xludf.DUMMYFUNCTION("""COMPUTED_VALUE"""),"P")</f>
        <v>P</v>
      </c>
      <c r="G279" s="4"/>
      <c r="H279" s="4"/>
      <c r="I279" s="4"/>
      <c r="J279" s="4"/>
      <c r="K279" s="4"/>
      <c r="L279" s="4"/>
      <c r="M279" s="4"/>
      <c r="N279" s="4"/>
      <c r="O279" s="4"/>
      <c r="P279" s="4"/>
      <c r="Q279" s="4"/>
      <c r="R279" s="4"/>
      <c r="S279" s="4"/>
      <c r="T279" s="4"/>
      <c r="U279" s="4"/>
      <c r="V279" s="4"/>
      <c r="W279" s="4"/>
      <c r="X279" s="4"/>
      <c r="Y279" s="4"/>
      <c r="Z279" s="4"/>
      <c r="AA279" s="4">
        <f>IFERROR(__xludf.DUMMYFUNCTION("""COMPUTED_VALUE"""),10.0)</f>
        <v>10</v>
      </c>
      <c r="AB279" s="4" t="str">
        <f>IFERROR(__xludf.DUMMYFUNCTION("""COMPUTED_VALUE"""),"-")</f>
        <v>-</v>
      </c>
      <c r="AC279" s="4" t="str">
        <f>IFERROR(__xludf.DUMMYFUNCTION("""COMPUTED_VALUE"""),"-")</f>
        <v>-</v>
      </c>
      <c r="AD279" s="4"/>
      <c r="AE279" s="4"/>
      <c r="AF279" s="4"/>
      <c r="AG279" s="4"/>
      <c r="AH279" s="4"/>
      <c r="AI279" s="4"/>
      <c r="AJ279" s="4"/>
      <c r="AK279" s="4"/>
      <c r="AL279" s="4"/>
      <c r="AM279" s="4" t="str">
        <f>IFERROR(__xludf.DUMMYFUNCTION("""COMPUTED_VALUE"""),"FY26, FY27")</f>
        <v>FY26, FY27</v>
      </c>
      <c r="AN279" s="4"/>
      <c r="AO279" s="4">
        <f>IFERROR(__xludf.DUMMYFUNCTION("""COMPUTED_VALUE"""),45553.0)</f>
        <v>45553</v>
      </c>
      <c r="AP279" s="4" t="str">
        <f>IFERROR(__xludf.DUMMYFUNCTION("""COMPUTED_VALUE"""),"SP")</f>
        <v>SP</v>
      </c>
      <c r="AQ279" s="4" t="str">
        <f>IFERROR(__xludf.DUMMYFUNCTION("""COMPUTED_VALUE"""),"CAMILA ARMOND")</f>
        <v>CAMILA ARMOND</v>
      </c>
      <c r="AR279" s="4" t="str">
        <f>IFERROR(__xludf.DUMMYFUNCTION("""COMPUTED_VALUE"""),"ELAINE DAIOLA")</f>
        <v>ELAINE DAIOLA</v>
      </c>
      <c r="AS279" s="4" t="str">
        <f>IFERROR(__xludf.DUMMYFUNCTION("""COMPUTED_VALUE"""),"ALAN HADDAD")</f>
        <v>ALAN HADDAD</v>
      </c>
      <c r="AT279" s="4" t="str">
        <f>IFERROR(__xludf.DUMMYFUNCTION("""COMPUTED_VALUE"""),"ISABELA DINIZ")</f>
        <v>ISABELA DINIZ</v>
      </c>
      <c r="AU279" s="4" t="str">
        <f>IFERROR(__xludf.DUMMYFUNCTION("""COMPUTED_VALUE"""),"Lídia / Emerson")</f>
        <v>Lídia / Emerson</v>
      </c>
      <c r="AV279" s="4">
        <f>IFERROR(__xludf.DUMMYFUNCTION("""COMPUTED_VALUE"""),0.0)</f>
        <v>0</v>
      </c>
      <c r="AW279" s="4">
        <f>IFERROR(__xludf.DUMMYFUNCTION("""COMPUTED_VALUE"""),0.0)</f>
        <v>0</v>
      </c>
      <c r="AX279" s="4">
        <f>IFERROR(__xludf.DUMMYFUNCTION("""COMPUTED_VALUE"""),0.0)</f>
        <v>0</v>
      </c>
      <c r="AY279" s="4"/>
      <c r="AZ279" s="4" t="str">
        <f>IFERROR(__xludf.DUMMYFUNCTION("""COMPUTED_VALUE"""),"Doces &amp; Bolos")</f>
        <v>Doces &amp; Bolos</v>
      </c>
      <c r="BA279" s="4">
        <f>IFERROR(__xludf.DUMMYFUNCTION("""COMPUTED_VALUE"""),59.0)</f>
        <v>59</v>
      </c>
      <c r="BB279" s="4" t="str">
        <f>IFERROR(__xludf.DUMMYFUNCTION("""COMPUTED_VALUE"""),"Fast Casual - Multi-conceito")</f>
        <v>Fast Casual - Multi-conceito</v>
      </c>
      <c r="BC279" s="4" t="str">
        <f>IFERROR(__xludf.DUMMYFUNCTION("""COMPUTED_VALUE"""),"Nacional")</f>
        <v>Nacional</v>
      </c>
      <c r="BD279" s="4" t="str">
        <f>IFERROR(__xludf.DUMMYFUNCTION("""COMPUTED_VALUE"""),"Dado não disponível publicamente - Necessário Discovery")</f>
        <v>Dado não disponível publicamente - Necessário Discovery</v>
      </c>
      <c r="BE279" s="4">
        <f>IFERROR(__xludf.DUMMYFUNCTION("""COMPUTED_VALUE"""),70.0)</f>
        <v>70</v>
      </c>
      <c r="BF279" s="4">
        <f>IFERROR(__xludf.DUMMYFUNCTION("""COMPUTED_VALUE"""),0.75)</f>
        <v>0.75</v>
      </c>
      <c r="BG27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79" s="4" t="s">
        <v>72</v>
      </c>
      <c r="BI279" s="7">
        <v>1.0</v>
      </c>
    </row>
    <row r="280">
      <c r="A280" s="4" t="str">
        <f>IFERROR(__xludf.DUMMYFUNCTION("""COMPUTED_VALUE"""),"Casa Do Pao De Queijo")</f>
        <v>Casa Do Pao De Queijo</v>
      </c>
      <c r="B280" s="4" t="str">
        <f>IFERROR(__xludf.DUMMYFUNCTION("""COMPUTED_VALUE"""),"Leonardo Roso")</f>
        <v>Leonardo Roso</v>
      </c>
      <c r="C280" s="4" t="str">
        <f>IFERROR(__xludf.DUMMYFUNCTION("""COMPUTED_VALUE"""),"Leonardo Roso")</f>
        <v>Leonardo Roso</v>
      </c>
      <c r="D280" s="4" t="str">
        <f>IFERROR(__xludf.DUMMYFUNCTION("""COMPUTED_VALUE"""),"10. Perdido")</f>
        <v>10. Perdido</v>
      </c>
      <c r="E280" s="4" t="str">
        <f>IFERROR(__xludf.DUMMYFUNCTION("""COMPUTED_VALUE"""),"Comercial - Contato realizado com parceiro")</f>
        <v>Comercial - Contato realizado com parceiro</v>
      </c>
      <c r="F280" s="4" t="str">
        <f>IFERROR(__xludf.DUMMYFUNCTION("""COMPUTED_VALUE"""),"G")</f>
        <v>G</v>
      </c>
      <c r="G280" s="5">
        <f>IFERROR(__xludf.DUMMYFUNCTION("""COMPUTED_VALUE"""),46155.0)</f>
        <v>46155</v>
      </c>
      <c r="H280" s="4" t="str">
        <f>IFERROR(__xludf.DUMMYFUNCTION("""COMPUTED_VALUE"""),"Conversa com Chefe de Tecnologia e Head inicio de Junho para tentar viabilizar uma proposta")</f>
        <v>Conversa com Chefe de Tecnologia e Head inicio de Junho para tentar viabilizar uma proposta</v>
      </c>
      <c r="I280" s="4"/>
      <c r="J280" s="4"/>
      <c r="K280" s="6">
        <f>IFERROR(__xludf.DUMMYFUNCTION("""COMPUTED_VALUE"""),45930.0)</f>
        <v>45930</v>
      </c>
      <c r="L280" s="4"/>
      <c r="M280" s="4"/>
      <c r="N280" s="4"/>
      <c r="O280" s="4"/>
      <c r="P280" s="4"/>
      <c r="Q280" s="4"/>
      <c r="R280" s="4"/>
      <c r="S280" s="4"/>
      <c r="T280" s="4"/>
      <c r="U280" s="4"/>
      <c r="V280" s="4" t="str">
        <f>IFERROR(__xludf.DUMMYFUNCTION("""COMPUTED_VALUE"""),"Outros")</f>
        <v>Outros</v>
      </c>
      <c r="W280" s="4"/>
      <c r="X280" s="4"/>
      <c r="Y280" s="4"/>
      <c r="Z280" s="4"/>
      <c r="AA280" s="4">
        <f>IFERROR(__xludf.DUMMYFUNCTION("""COMPUTED_VALUE"""),16.0)</f>
        <v>16</v>
      </c>
      <c r="AB280" s="4" t="str">
        <f>IFERROR(__xludf.DUMMYFUNCTION("""COMPUTED_VALUE"""),"NÃO")</f>
        <v>NÃO</v>
      </c>
      <c r="AC280" s="4" t="str">
        <f>IFERROR(__xludf.DUMMYFUNCTION("""COMPUTED_VALUE"""),"BP")</f>
        <v>BP</v>
      </c>
      <c r="AD280" s="4"/>
      <c r="AE280" s="4"/>
      <c r="AF280" s="4"/>
      <c r="AG280" s="4"/>
      <c r="AH280" s="4"/>
      <c r="AI280" s="4"/>
      <c r="AJ280" s="4"/>
      <c r="AK280" s="4"/>
      <c r="AL280" s="4"/>
      <c r="AM280" s="4" t="str">
        <f>IFERROR(__xludf.DUMMYFUNCTION("""COMPUTED_VALUE"""),"FY26, FY27")</f>
        <v>FY26, FY27</v>
      </c>
      <c r="AN280" s="4"/>
      <c r="AO280" s="4">
        <f>IFERROR(__xludf.DUMMYFUNCTION("""COMPUTED_VALUE"""),60.0)</f>
        <v>60</v>
      </c>
      <c r="AP280" s="4" t="str">
        <f>IFERROR(__xludf.DUMMYFUNCTION("""COMPUTED_VALUE"""),"SP")</f>
        <v>SP</v>
      </c>
      <c r="AQ280" s="4" t="str">
        <f>IFERROR(__xludf.DUMMYFUNCTION("""COMPUTED_VALUE"""),"LOUREIRO RAFAEL")</f>
        <v>LOUREIRO RAFAEL</v>
      </c>
      <c r="AR280" s="4" t="str">
        <f>IFERROR(__xludf.DUMMYFUNCTION("""COMPUTED_VALUE"""),"SUELLEN CARNEVALE")</f>
        <v>SUELLEN CARNEVALE</v>
      </c>
      <c r="AS280" s="4" t="str">
        <f>IFERROR(__xludf.DUMMYFUNCTION("""COMPUTED_VALUE"""),"VINICIUS MARTINS")</f>
        <v>VINICIUS MARTINS</v>
      </c>
      <c r="AT280" s="4" t="str">
        <f>IFERROR(__xludf.DUMMYFUNCTION("""COMPUTED_VALUE"""),"LOUREIRO RAFAEL")</f>
        <v>LOUREIRO RAFAEL</v>
      </c>
      <c r="AU280" s="4" t="str">
        <f>IFERROR(__xludf.DUMMYFUNCTION("""COMPUTED_VALUE"""),"Emerson / Leonardo Roso")</f>
        <v>Emerson / Leonardo Roso</v>
      </c>
      <c r="AV280" s="4">
        <f>IFERROR(__xludf.DUMMYFUNCTION("""COMPUTED_VALUE"""),0.0)</f>
        <v>0</v>
      </c>
      <c r="AW280" s="4">
        <f>IFERROR(__xludf.DUMMYFUNCTION("""COMPUTED_VALUE"""),0.0)</f>
        <v>0</v>
      </c>
      <c r="AX280" s="4">
        <f>IFERROR(__xludf.DUMMYFUNCTION("""COMPUTED_VALUE"""),0.0)</f>
        <v>0</v>
      </c>
      <c r="AY280" s="4"/>
      <c r="AZ280" s="4" t="str">
        <f>IFERROR(__xludf.DUMMYFUNCTION("""COMPUTED_VALUE"""),"Doces &amp; Bolos")</f>
        <v>Doces &amp; Bolos</v>
      </c>
      <c r="BA280" s="4" t="str">
        <f>IFERROR(__xludf.DUMMYFUNCTION("""COMPUTED_VALUE"""),"")</f>
        <v/>
      </c>
      <c r="BB280" s="4" t="str">
        <f>IFERROR(__xludf.DUMMYFUNCTION("""COMPUTED_VALUE"""),"")</f>
        <v/>
      </c>
      <c r="BC280" s="4" t="str">
        <f>IFERROR(__xludf.DUMMYFUNCTION("""COMPUTED_VALUE"""),"")</f>
        <v/>
      </c>
      <c r="BD280" s="4" t="str">
        <f>IFERROR(__xludf.DUMMYFUNCTION("""COMPUTED_VALUE"""),"")</f>
        <v/>
      </c>
      <c r="BE280" s="4" t="str">
        <f>IFERROR(__xludf.DUMMYFUNCTION("""COMPUTED_VALUE"""),"")</f>
        <v/>
      </c>
      <c r="BF280" s="4" t="str">
        <f>IFERROR(__xludf.DUMMYFUNCTION("""COMPUTED_VALUE"""),"")</f>
        <v/>
      </c>
      <c r="BG280" s="4" t="str">
        <f>IFERROR(__xludf.DUMMYFUNCTION("""COMPUTED_VALUE"""),"")</f>
        <v/>
      </c>
      <c r="BH280" s="4" t="s">
        <v>120</v>
      </c>
      <c r="BI280" s="7">
        <v>0.6</v>
      </c>
    </row>
    <row r="281" hidden="1">
      <c r="A281" s="4" t="str">
        <f>IFERROR(__xludf.DUMMYFUNCTION("""COMPUTED_VALUE"""),"Caseratto Food")</f>
        <v>Caseratto Food</v>
      </c>
      <c r="B281" s="4" t="str">
        <f>IFERROR(__xludf.DUMMYFUNCTION("""COMPUTED_VALUE"""),"João Biagiotti")</f>
        <v>João Biagiotti</v>
      </c>
      <c r="C281" s="4" t="str">
        <f>IFERROR(__xludf.DUMMYFUNCTION("""COMPUTED_VALUE"""),"Diego Santos")</f>
        <v>Diego Santos</v>
      </c>
      <c r="D281" s="4" t="str">
        <f>IFERROR(__xludf.DUMMYFUNCTION("""COMPUTED_VALUE"""),"0. Não Iniciado")</f>
        <v>0. Não Iniciado</v>
      </c>
      <c r="E281" s="4" t="str">
        <f>IFERROR(__xludf.DUMMYFUNCTION("""COMPUTED_VALUE"""),"Parceiro - Sem contato válido / Decisor inacessível")</f>
        <v>Parceiro - Sem contato válido / Decisor inacessível</v>
      </c>
      <c r="F281" s="4" t="str">
        <f>IFERROR(__xludf.DUMMYFUNCTION("""COMPUTED_VALUE"""),"P")</f>
        <v>P</v>
      </c>
      <c r="G281" s="5">
        <f>IFERROR(__xludf.DUMMYFUNCTION("""COMPUTED_VALUE"""),46076.0)</f>
        <v>46076</v>
      </c>
      <c r="H281" s="4" t="str">
        <f>IFERROR(__xludf.DUMMYFUNCTION("""COMPUTED_VALUE"""),"Sem contato válido, não tem executivo de delivery.")</f>
        <v>Sem contato válido, não tem executivo de delivery.</v>
      </c>
      <c r="I281" s="4"/>
      <c r="J281" s="4"/>
      <c r="K281" s="4"/>
      <c r="L281" s="4"/>
      <c r="M281" s="4"/>
      <c r="N281" s="4"/>
      <c r="O281" s="4"/>
      <c r="P281" s="4"/>
      <c r="Q281" s="4"/>
      <c r="R281" s="4"/>
      <c r="S281" s="4"/>
      <c r="T281" s="4"/>
      <c r="U281" s="4"/>
      <c r="V281" s="4"/>
      <c r="W281" s="4"/>
      <c r="X281" s="4"/>
      <c r="Y281" s="4"/>
      <c r="Z281" s="4"/>
      <c r="AA281" s="4">
        <f>IFERROR(__xludf.DUMMYFUNCTION("""COMPUTED_VALUE"""),4.0)</f>
        <v>4</v>
      </c>
      <c r="AB281" s="4" t="str">
        <f>IFERROR(__xludf.DUMMYFUNCTION("""COMPUTED_VALUE"""),"NÃO")</f>
        <v>NÃO</v>
      </c>
      <c r="AC281" s="4" t="str">
        <f>IFERROR(__xludf.DUMMYFUNCTION("""COMPUTED_VALUE"""),"BP")</f>
        <v>BP</v>
      </c>
      <c r="AD281" s="4"/>
      <c r="AE281" s="4"/>
      <c r="AF281" s="4"/>
      <c r="AG281" s="4"/>
      <c r="AH281" s="4"/>
      <c r="AI281" s="4"/>
      <c r="AJ281" s="4"/>
      <c r="AK281" s="4"/>
      <c r="AL281" s="4"/>
      <c r="AM281" s="4" t="str">
        <f>IFERROR(__xludf.DUMMYFUNCTION("""COMPUTED_VALUE"""),"FY26, FY27")</f>
        <v>FY26, FY27</v>
      </c>
      <c r="AN281" s="4"/>
      <c r="AO281" s="4">
        <f>IFERROR(__xludf.DUMMYFUNCTION("""COMPUTED_VALUE"""),140.0)</f>
        <v>140</v>
      </c>
      <c r="AP281" s="4">
        <f>IFERROR(__xludf.DUMMYFUNCTION("""COMPUTED_VALUE"""),0.0)</f>
        <v>0</v>
      </c>
      <c r="AQ281" s="4">
        <f>IFERROR(__xludf.DUMMYFUNCTION("""COMPUTED_VALUE"""),0.0)</f>
        <v>0</v>
      </c>
      <c r="AR281" s="4">
        <f>IFERROR(__xludf.DUMMYFUNCTION("""COMPUTED_VALUE"""),0.0)</f>
        <v>0</v>
      </c>
      <c r="AS281" s="4">
        <f>IFERROR(__xludf.DUMMYFUNCTION("""COMPUTED_VALUE"""),0.0)</f>
        <v>0</v>
      </c>
      <c r="AT281" s="4">
        <f>IFERROR(__xludf.DUMMYFUNCTION("""COMPUTED_VALUE"""),0.0)</f>
        <v>0</v>
      </c>
      <c r="AU281" s="4" t="str">
        <f>IFERROR(__xludf.DUMMYFUNCTION("""COMPUTED_VALUE"""),"Iza")</f>
        <v>Iza</v>
      </c>
      <c r="AV281" s="4">
        <f>IFERROR(__xludf.DUMMYFUNCTION("""COMPUTED_VALUE"""),0.0)</f>
        <v>0</v>
      </c>
      <c r="AW281" s="4">
        <f>IFERROR(__xludf.DUMMYFUNCTION("""COMPUTED_VALUE"""),0.0)</f>
        <v>0</v>
      </c>
      <c r="AX281" s="4">
        <f>IFERROR(__xludf.DUMMYFUNCTION("""COMPUTED_VALUE"""),0.0)</f>
        <v>0</v>
      </c>
      <c r="AY281" s="4"/>
      <c r="AZ281" s="4" t="str">
        <f>IFERROR(__xludf.DUMMYFUNCTION("""COMPUTED_VALUE"""),"NA")</f>
        <v>NA</v>
      </c>
      <c r="BA281" s="4">
        <f>IFERROR(__xludf.DUMMYFUNCTION("""COMPUTED_VALUE"""),57.0)</f>
        <v>57</v>
      </c>
      <c r="BB281" s="4" t="str">
        <f>IFERROR(__xludf.DUMMYFUNCTION("""COMPUTED_VALUE"""),"Fast Casual - Multi-conceito")</f>
        <v>Fast Casual - Multi-conceito</v>
      </c>
      <c r="BC281" s="4" t="str">
        <f>IFERROR(__xludf.DUMMYFUNCTION("""COMPUTED_VALUE"""),"Regional")</f>
        <v>Regional</v>
      </c>
      <c r="BD281" s="4" t="str">
        <f>IFERROR(__xludf.DUMMYFUNCTION("""COMPUTED_VALUE"""),"Dado não disponível publicamente - Necessário Discovery")</f>
        <v>Dado não disponível publicamente - Necessário Discovery</v>
      </c>
      <c r="BE281" s="4">
        <f>IFERROR(__xludf.DUMMYFUNCTION("""COMPUTED_VALUE"""),65.0)</f>
        <v>65</v>
      </c>
      <c r="BF281" s="4">
        <f>IFERROR(__xludf.DUMMYFUNCTION("""COMPUTED_VALUE"""),0.75)</f>
        <v>0.75</v>
      </c>
      <c r="BG28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81" s="4" t="s">
        <v>63</v>
      </c>
      <c r="BI281" s="7" t="s">
        <v>63</v>
      </c>
    </row>
    <row r="282" hidden="1">
      <c r="A282" s="4" t="str">
        <f>IFERROR(__xludf.DUMMYFUNCTION("""COMPUTED_VALUE"""),"Castelo Alemao - Marca")</f>
        <v>Castelo Alemao - Marca</v>
      </c>
      <c r="B282" s="4" t="str">
        <f>IFERROR(__xludf.DUMMYFUNCTION("""COMPUTED_VALUE"""),"Lídia Esteves")</f>
        <v>Lídia Esteves</v>
      </c>
      <c r="C282" s="4" t="str">
        <f>IFERROR(__xludf.DUMMYFUNCTION("""COMPUTED_VALUE"""),"Gabriela Roma")</f>
        <v>Gabriela Roma</v>
      </c>
      <c r="D282" s="4" t="str">
        <f>IFERROR(__xludf.DUMMYFUNCTION("""COMPUTED_VALUE"""),"0. Não Iniciado")</f>
        <v>0. Não Iniciado</v>
      </c>
      <c r="E282" s="4"/>
      <c r="F282" s="4" t="str">
        <f>IFERROR(__xludf.DUMMYFUNCTION("""COMPUTED_VALUE"""),"P")</f>
        <v>P</v>
      </c>
      <c r="G282" s="4"/>
      <c r="H282" s="4"/>
      <c r="I282" s="4"/>
      <c r="J282" s="4"/>
      <c r="K282" s="4"/>
      <c r="L282" s="4"/>
      <c r="M282" s="4"/>
      <c r="N282" s="4"/>
      <c r="O282" s="4"/>
      <c r="P282" s="4"/>
      <c r="Q282" s="4"/>
      <c r="R282" s="4"/>
      <c r="S282" s="4"/>
      <c r="T282" s="4"/>
      <c r="U282" s="4"/>
      <c r="V282" s="4"/>
      <c r="W282" s="4"/>
      <c r="X282" s="4"/>
      <c r="Y282" s="4"/>
      <c r="Z282" s="4"/>
      <c r="AA282" s="4">
        <f>IFERROR(__xludf.DUMMYFUNCTION("""COMPUTED_VALUE"""),8.0)</f>
        <v>8</v>
      </c>
      <c r="AB282" s="4" t="str">
        <f>IFERROR(__xludf.DUMMYFUNCTION("""COMPUTED_VALUE"""),"-")</f>
        <v>-</v>
      </c>
      <c r="AC282" s="4" t="str">
        <f>IFERROR(__xludf.DUMMYFUNCTION("""COMPUTED_VALUE"""),"-")</f>
        <v>-</v>
      </c>
      <c r="AD282" s="4"/>
      <c r="AE282" s="4"/>
      <c r="AF282" s="4"/>
      <c r="AG282" s="4"/>
      <c r="AH282" s="4"/>
      <c r="AI282" s="4"/>
      <c r="AJ282" s="4"/>
      <c r="AK282" s="4"/>
      <c r="AL282" s="4"/>
      <c r="AM282" s="4" t="str">
        <f>IFERROR(__xludf.DUMMYFUNCTION("""COMPUTED_VALUE"""),"FY26, FY27")</f>
        <v>FY26, FY27</v>
      </c>
      <c r="AN282" s="4"/>
      <c r="AO282" s="4">
        <f>IFERROR(__xludf.DUMMYFUNCTION("""COMPUTED_VALUE"""),45553.0)</f>
        <v>45553</v>
      </c>
      <c r="AP282" s="4" t="str">
        <f>IFERROR(__xludf.DUMMYFUNCTION("""COMPUTED_VALUE"""),"PR")</f>
        <v>PR</v>
      </c>
      <c r="AQ282" s="4" t="str">
        <f>IFERROR(__xludf.DUMMYFUNCTION("""COMPUTED_VALUE"""),"BRUNA MONTEZIN")</f>
        <v>BRUNA MONTEZIN</v>
      </c>
      <c r="AR282" s="4" t="str">
        <f>IFERROR(__xludf.DUMMYFUNCTION("""COMPUTED_VALUE"""),"PEDRO ARARIPE")</f>
        <v>PEDRO ARARIPE</v>
      </c>
      <c r="AS282" s="4" t="str">
        <f>IFERROR(__xludf.DUMMYFUNCTION("""COMPUTED_VALUE"""),"FABIO DONATO")</f>
        <v>FABIO DONATO</v>
      </c>
      <c r="AT282" s="4" t="str">
        <f>IFERROR(__xludf.DUMMYFUNCTION("""COMPUTED_VALUE"""),"MURILO NAGASHIMA")</f>
        <v>MURILO NAGASHIMA</v>
      </c>
      <c r="AU282" s="4" t="str">
        <f>IFERROR(__xludf.DUMMYFUNCTION("""COMPUTED_VALUE"""),"Lídia / Emerson")</f>
        <v>Lídia / Emerson</v>
      </c>
      <c r="AV282" s="4">
        <f>IFERROR(__xludf.DUMMYFUNCTION("""COMPUTED_VALUE"""),0.0)</f>
        <v>0</v>
      </c>
      <c r="AW282" s="4">
        <f>IFERROR(__xludf.DUMMYFUNCTION("""COMPUTED_VALUE"""),0.0)</f>
        <v>0</v>
      </c>
      <c r="AX282" s="4">
        <f>IFERROR(__xludf.DUMMYFUNCTION("""COMPUTED_VALUE"""),0.0)</f>
        <v>0</v>
      </c>
      <c r="AY282" s="4"/>
      <c r="AZ282" s="4" t="str">
        <f>IFERROR(__xludf.DUMMYFUNCTION("""COMPUTED_VALUE"""),"Italiana")</f>
        <v>Italiana</v>
      </c>
      <c r="BA282" s="4" t="str">
        <f>IFERROR(__xludf.DUMMYFUNCTION("""COMPUTED_VALUE"""),"")</f>
        <v/>
      </c>
      <c r="BB282" s="4" t="str">
        <f>IFERROR(__xludf.DUMMYFUNCTION("""COMPUTED_VALUE"""),"")</f>
        <v/>
      </c>
      <c r="BC282" s="4" t="str">
        <f>IFERROR(__xludf.DUMMYFUNCTION("""COMPUTED_VALUE"""),"")</f>
        <v/>
      </c>
      <c r="BD282" s="4" t="str">
        <f>IFERROR(__xludf.DUMMYFUNCTION("""COMPUTED_VALUE"""),"")</f>
        <v/>
      </c>
      <c r="BE282" s="4" t="str">
        <f>IFERROR(__xludf.DUMMYFUNCTION("""COMPUTED_VALUE"""),"")</f>
        <v/>
      </c>
      <c r="BF282" s="4" t="str">
        <f>IFERROR(__xludf.DUMMYFUNCTION("""COMPUTED_VALUE"""),"")</f>
        <v/>
      </c>
      <c r="BG282" s="4" t="str">
        <f>IFERROR(__xludf.DUMMYFUNCTION("""COMPUTED_VALUE"""),"")</f>
        <v/>
      </c>
      <c r="BH282" s="4" t="s">
        <v>63</v>
      </c>
      <c r="BI282" s="7" t="s">
        <v>63</v>
      </c>
    </row>
    <row r="283" hidden="1">
      <c r="A283" s="4" t="str">
        <f>IFERROR(__xludf.DUMMYFUNCTION("""COMPUTED_VALUE"""),"Cereja Grill")</f>
        <v>Cereja Grill</v>
      </c>
      <c r="B283" s="4" t="str">
        <f>IFERROR(__xludf.DUMMYFUNCTION("""COMPUTED_VALUE"""),"Lídia Esteves")</f>
        <v>Lídia Esteves</v>
      </c>
      <c r="C283" s="4" t="str">
        <f>IFERROR(__xludf.DUMMYFUNCTION("""COMPUTED_VALUE"""),"Gabriela Roma")</f>
        <v>Gabriela Roma</v>
      </c>
      <c r="D283" s="4" t="str">
        <f>IFERROR(__xludf.DUMMYFUNCTION("""COMPUTED_VALUE"""),"11. Stand by")</f>
        <v>11. Stand by</v>
      </c>
      <c r="E283" s="4" t="str">
        <f>IFERROR(__xludf.DUMMYFUNCTION("""COMPUTED_VALUE"""),"Parceiro - Aguardando retorno / Conciliação agenda")</f>
        <v>Parceiro - Aguardando retorno / Conciliação agenda</v>
      </c>
      <c r="F283" s="4" t="str">
        <f>IFERROR(__xludf.DUMMYFUNCTION("""COMPUTED_VALUE"""),"P")</f>
        <v>P</v>
      </c>
      <c r="G283" s="5">
        <f>IFERROR(__xludf.DUMMYFUNCTION("""COMPUTED_VALUE"""),46076.0)</f>
        <v>46076</v>
      </c>
      <c r="H283" s="4" t="str">
        <f>IFERROR(__xludf.DUMMYFUNCTION("""COMPUTED_VALUE"""),"parceiro veio ao ifood no showroom mas depois não nos retornou mais, fazendo fup")</f>
        <v>parceiro veio ao ifood no showroom mas depois não nos retornou mais, fazendo fup</v>
      </c>
      <c r="I283" s="4"/>
      <c r="J283" s="4"/>
      <c r="K283" s="6">
        <f>IFERROR(__xludf.DUMMYFUNCTION("""COMPUTED_VALUE"""),45991.0)</f>
        <v>45991</v>
      </c>
      <c r="L283" s="4"/>
      <c r="M283" s="4"/>
      <c r="N283" s="4"/>
      <c r="O283" s="4"/>
      <c r="P283" s="4"/>
      <c r="Q283" s="4"/>
      <c r="R283" s="6">
        <f>IFERROR(__xludf.DUMMYFUNCTION("""COMPUTED_VALUE"""),46071.6940237963)</f>
        <v>46071.69402</v>
      </c>
      <c r="S283" s="6">
        <f>IFERROR(__xludf.DUMMYFUNCTION("""COMPUTED_VALUE"""),46076.723773958336)</f>
        <v>46076.72377</v>
      </c>
      <c r="T283" s="4"/>
      <c r="U283" s="4"/>
      <c r="V283" s="4" t="str">
        <f>IFERROR(__xludf.DUMMYFUNCTION("""COMPUTED_VALUE"""),"Outros")</f>
        <v>Outros</v>
      </c>
      <c r="W283" s="4"/>
      <c r="X283" s="4"/>
      <c r="Y283" s="4"/>
      <c r="Z283" s="4"/>
      <c r="AA283" s="4">
        <f>IFERROR(__xludf.DUMMYFUNCTION("""COMPUTED_VALUE"""),15.0)</f>
        <v>15</v>
      </c>
      <c r="AB283" s="4" t="str">
        <f>IFERROR(__xludf.DUMMYFUNCTION("""COMPUTED_VALUE"""),"NÃO")</f>
        <v>NÃO</v>
      </c>
      <c r="AC283" s="4" t="str">
        <f>IFERROR(__xludf.DUMMYFUNCTION("""COMPUTED_VALUE"""),"Não BP")</f>
        <v>Não BP</v>
      </c>
      <c r="AD283" s="4"/>
      <c r="AE283" s="4"/>
      <c r="AF283" s="4"/>
      <c r="AG283" s="4"/>
      <c r="AH283" s="4"/>
      <c r="AI283" s="4"/>
      <c r="AJ283" s="4"/>
      <c r="AK283" s="4"/>
      <c r="AL283" s="4"/>
      <c r="AM283" s="4" t="str">
        <f>IFERROR(__xludf.DUMMYFUNCTION("""COMPUTED_VALUE"""),"FY26, FY27")</f>
        <v>FY26, FY27</v>
      </c>
      <c r="AN283" s="4"/>
      <c r="AO283" s="4">
        <f>IFERROR(__xludf.DUMMYFUNCTION("""COMPUTED_VALUE"""),140.0)</f>
        <v>140</v>
      </c>
      <c r="AP283" s="4">
        <f>IFERROR(__xludf.DUMMYFUNCTION("""COMPUTED_VALUE"""),0.0)</f>
        <v>0</v>
      </c>
      <c r="AQ283" s="4">
        <f>IFERROR(__xludf.DUMMYFUNCTION("""COMPUTED_VALUE"""),0.0)</f>
        <v>0</v>
      </c>
      <c r="AR283" s="4">
        <f>IFERROR(__xludf.DUMMYFUNCTION("""COMPUTED_VALUE"""),0.0)</f>
        <v>0</v>
      </c>
      <c r="AS283" s="4">
        <f>IFERROR(__xludf.DUMMYFUNCTION("""COMPUTED_VALUE"""),0.0)</f>
        <v>0</v>
      </c>
      <c r="AT283" s="4">
        <f>IFERROR(__xludf.DUMMYFUNCTION("""COMPUTED_VALUE"""),0.0)</f>
        <v>0</v>
      </c>
      <c r="AU283" s="4" t="str">
        <f>IFERROR(__xludf.DUMMYFUNCTION("""COMPUTED_VALUE"""),"Diego")</f>
        <v>Diego</v>
      </c>
      <c r="AV283" s="4">
        <f>IFERROR(__xludf.DUMMYFUNCTION("""COMPUTED_VALUE"""),0.0)</f>
        <v>0</v>
      </c>
      <c r="AW283" s="4">
        <f>IFERROR(__xludf.DUMMYFUNCTION("""COMPUTED_VALUE"""),0.0)</f>
        <v>0</v>
      </c>
      <c r="AX283" s="4">
        <f>IFERROR(__xludf.DUMMYFUNCTION("""COMPUTED_VALUE"""),0.0)</f>
        <v>0</v>
      </c>
      <c r="AY283" s="4"/>
      <c r="AZ283" s="4" t="str">
        <f>IFERROR(__xludf.DUMMYFUNCTION("""COMPUTED_VALUE"""),"NA")</f>
        <v>NA</v>
      </c>
      <c r="BA283" s="4">
        <f>IFERROR(__xludf.DUMMYFUNCTION("""COMPUTED_VALUE"""),121.0)</f>
        <v>121</v>
      </c>
      <c r="BB283" s="4" t="str">
        <f>IFERROR(__xludf.DUMMYFUNCTION("""COMPUTED_VALUE"""),"Table Service - Churrascaria")</f>
        <v>Table Service - Churrascaria</v>
      </c>
      <c r="BC283" s="4" t="str">
        <f>IFERROR(__xludf.DUMMYFUNCTION("""COMPUTED_VALUE"""),"Brasília/DF")</f>
        <v>Brasília/DF</v>
      </c>
      <c r="BD283" s="4" t="str">
        <f>IFERROR(__xludf.DUMMYFUNCTION("""COMPUTED_VALUE"""),"Dado não disponível publicamente - Necessário Discovery")</f>
        <v>Dado não disponível publicamente - Necessário Discovery</v>
      </c>
      <c r="BE283" s="4">
        <f>IFERROR(__xludf.DUMMYFUNCTION("""COMPUTED_VALUE"""),60.0)</f>
        <v>60</v>
      </c>
      <c r="BF283" s="4">
        <f>IFERROR(__xludf.DUMMYFUNCTION("""COMPUTED_VALUE"""),0.65)</f>
        <v>0.65</v>
      </c>
      <c r="BG28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83" s="4" t="s">
        <v>63</v>
      </c>
      <c r="BI283" s="7" t="s">
        <v>63</v>
      </c>
    </row>
    <row r="284" hidden="1">
      <c r="A284" s="4" t="str">
        <f>IFERROR(__xludf.DUMMYFUNCTION("""COMPUTED_VALUE"""),"Chef Sushi - Conta Marca")</f>
        <v>Chef Sushi - Conta Marca</v>
      </c>
      <c r="B284" s="4" t="str">
        <f>IFERROR(__xludf.DUMMYFUNCTION("""COMPUTED_VALUE"""),"Lídia Esteves")</f>
        <v>Lídia Esteves</v>
      </c>
      <c r="C284" s="4" t="str">
        <f>IFERROR(__xludf.DUMMYFUNCTION("""COMPUTED_VALUE"""),"Gabriela Roma")</f>
        <v>Gabriela Roma</v>
      </c>
      <c r="D284" s="4" t="str">
        <f>IFERROR(__xludf.DUMMYFUNCTION("""COMPUTED_VALUE"""),"0. Não Iniciado")</f>
        <v>0. Não Iniciado</v>
      </c>
      <c r="E284" s="4"/>
      <c r="F284" s="4" t="str">
        <f>IFERROR(__xludf.DUMMYFUNCTION("""COMPUTED_VALUE"""),"P")</f>
        <v>P</v>
      </c>
      <c r="G284" s="4"/>
      <c r="H284" s="4"/>
      <c r="I284" s="4"/>
      <c r="J284" s="4"/>
      <c r="K284" s="4"/>
      <c r="L284" s="4"/>
      <c r="M284" s="4"/>
      <c r="N284" s="4"/>
      <c r="O284" s="4"/>
      <c r="P284" s="4"/>
      <c r="Q284" s="4"/>
      <c r="R284" s="4"/>
      <c r="S284" s="4"/>
      <c r="T284" s="4"/>
      <c r="U284" s="4"/>
      <c r="V284" s="4"/>
      <c r="W284" s="4"/>
      <c r="X284" s="4"/>
      <c r="Y284" s="4"/>
      <c r="Z284" s="4"/>
      <c r="AA284" s="4">
        <f>IFERROR(__xludf.DUMMYFUNCTION("""COMPUTED_VALUE"""),22.0)</f>
        <v>22</v>
      </c>
      <c r="AB284" s="4" t="str">
        <f>IFERROR(__xludf.DUMMYFUNCTION("""COMPUTED_VALUE"""),"-")</f>
        <v>-</v>
      </c>
      <c r="AC284" s="4" t="str">
        <f>IFERROR(__xludf.DUMMYFUNCTION("""COMPUTED_VALUE"""),"-")</f>
        <v>-</v>
      </c>
      <c r="AD284" s="4"/>
      <c r="AE284" s="4"/>
      <c r="AF284" s="4"/>
      <c r="AG284" s="4"/>
      <c r="AH284" s="4"/>
      <c r="AI284" s="4"/>
      <c r="AJ284" s="4"/>
      <c r="AK284" s="4"/>
      <c r="AL284" s="4"/>
      <c r="AM284" s="4" t="str">
        <f>IFERROR(__xludf.DUMMYFUNCTION("""COMPUTED_VALUE"""),"FY26, FY27")</f>
        <v>FY26, FY27</v>
      </c>
      <c r="AN284" s="4"/>
      <c r="AO284" s="4">
        <f>IFERROR(__xludf.DUMMYFUNCTION("""COMPUTED_VALUE"""),45553.0)</f>
        <v>45553</v>
      </c>
      <c r="AP284" s="4" t="str">
        <f>IFERROR(__xludf.DUMMYFUNCTION("""COMPUTED_VALUE"""),"SP")</f>
        <v>SP</v>
      </c>
      <c r="AQ284" s="4" t="str">
        <f>IFERROR(__xludf.DUMMYFUNCTION("""COMPUTED_VALUE"""),"VITOR SERRANO")</f>
        <v>VITOR SERRANO</v>
      </c>
      <c r="AR284" s="4" t="str">
        <f>IFERROR(__xludf.DUMMYFUNCTION("""COMPUTED_VALUE"""),"VICTOR FRANCO")</f>
        <v>VICTOR FRANCO</v>
      </c>
      <c r="AS284" s="4" t="str">
        <f>IFERROR(__xludf.DUMMYFUNCTION("""COMPUTED_VALUE"""),"ALAN HADDAD")</f>
        <v>ALAN HADDAD</v>
      </c>
      <c r="AT284" s="4" t="str">
        <f>IFERROR(__xludf.DUMMYFUNCTION("""COMPUTED_VALUE"""),"ISABELA DINIZ")</f>
        <v>ISABELA DINIZ</v>
      </c>
      <c r="AU284" s="4" t="str">
        <f>IFERROR(__xludf.DUMMYFUNCTION("""COMPUTED_VALUE"""),"Lídia / Emerson")</f>
        <v>Lídia / Emerson</v>
      </c>
      <c r="AV284" s="4">
        <f>IFERROR(__xludf.DUMMYFUNCTION("""COMPUTED_VALUE"""),0.0)</f>
        <v>0</v>
      </c>
      <c r="AW284" s="4">
        <f>IFERROR(__xludf.DUMMYFUNCTION("""COMPUTED_VALUE"""),0.0)</f>
        <v>0</v>
      </c>
      <c r="AX284" s="4">
        <f>IFERROR(__xludf.DUMMYFUNCTION("""COMPUTED_VALUE"""),0.0)</f>
        <v>0</v>
      </c>
      <c r="AY284" s="4" t="str">
        <f>IFERROR(__xludf.DUMMYFUNCTION("""COMPUTED_VALUE"""),"Cardápio Web")</f>
        <v>Cardápio Web</v>
      </c>
      <c r="AZ284" s="4" t="str">
        <f>IFERROR(__xludf.DUMMYFUNCTION("""COMPUTED_VALUE"""),"Japonesa")</f>
        <v>Japonesa</v>
      </c>
      <c r="BA284" s="4">
        <f>IFERROR(__xludf.DUMMYFUNCTION("""COMPUTED_VALUE"""),78.0)</f>
        <v>78</v>
      </c>
      <c r="BB284" s="4" t="str">
        <f>IFERROR(__xludf.DUMMYFUNCTION("""COMPUTED_VALUE"""),"Fast Casual - Japonesa")</f>
        <v>Fast Casual - Japonesa</v>
      </c>
      <c r="BC284" s="4" t="str">
        <f>IFERROR(__xludf.DUMMYFUNCTION("""COMPUTED_VALUE"""),"Sul")</f>
        <v>Sul</v>
      </c>
      <c r="BD284" s="4" t="str">
        <f>IFERROR(__xludf.DUMMYFUNCTION("""COMPUTED_VALUE"""),"Dado não disponível publicamente - Necessário Discovery")</f>
        <v>Dado não disponível publicamente - Necessário Discovery</v>
      </c>
      <c r="BE284" s="4">
        <f>IFERROR(__xludf.DUMMYFUNCTION("""COMPUTED_VALUE"""),70.0)</f>
        <v>70</v>
      </c>
      <c r="BF284" s="4">
        <f>IFERROR(__xludf.DUMMYFUNCTION("""COMPUTED_VALUE"""),0.75)</f>
        <v>0.75</v>
      </c>
      <c r="BG28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84" s="4" t="s">
        <v>61</v>
      </c>
      <c r="BI284" s="7">
        <v>0.7692307692307693</v>
      </c>
    </row>
    <row r="285">
      <c r="A285" s="4" t="str">
        <f>IFERROR(__xludf.DUMMYFUNCTION("""COMPUTED_VALUE"""),"Cheirin Bão (Universal Franchesing)")</f>
        <v>Cheirin Bão (Universal Franchesing)</v>
      </c>
      <c r="B285" s="4" t="str">
        <f>IFERROR(__xludf.DUMMYFUNCTION("""COMPUTED_VALUE"""),"Leonardo Roso")</f>
        <v>Leonardo Roso</v>
      </c>
      <c r="C285" s="4" t="str">
        <f>IFERROR(__xludf.DUMMYFUNCTION("""COMPUTED_VALUE"""),"Leonardo Roso")</f>
        <v>Leonardo Roso</v>
      </c>
      <c r="D285" s="4" t="str">
        <f>IFERROR(__xludf.DUMMYFUNCTION("""COMPUTED_VALUE"""),"8. Contrato enviado")</f>
        <v>8. Contrato enviado</v>
      </c>
      <c r="E285" s="4" t="str">
        <f>IFERROR(__xludf.DUMMYFUNCTION("""COMPUTED_VALUE"""),"Comercial - Piloto em andamento e dentro do prazo")</f>
        <v>Comercial - Piloto em andamento e dentro do prazo</v>
      </c>
      <c r="F285" s="4" t="str">
        <f>IFERROR(__xludf.DUMMYFUNCTION("""COMPUTED_VALUE"""),"G")</f>
        <v>G</v>
      </c>
      <c r="G285" s="5">
        <f>IFERROR(__xludf.DUMMYFUNCTION("""COMPUTED_VALUE"""),46076.0)</f>
        <v>46076</v>
      </c>
      <c r="H285" s="4" t="str">
        <f>IFERROR(__xludf.DUMMYFUNCTION("""COMPUTED_VALUE"""),"Em piloto")</f>
        <v>Em piloto</v>
      </c>
      <c r="I285" s="4"/>
      <c r="J285" s="4"/>
      <c r="K285" s="6">
        <f>IFERROR(__xludf.DUMMYFUNCTION("""COMPUTED_VALUE"""),45879.0)</f>
        <v>45879</v>
      </c>
      <c r="L285" s="4"/>
      <c r="M285" s="4"/>
      <c r="N285" s="4"/>
      <c r="O285" s="4"/>
      <c r="P285" s="6">
        <f>IFERROR(__xludf.DUMMYFUNCTION("""COMPUTED_VALUE"""),46051.410385243056)</f>
        <v>46051.41039</v>
      </c>
      <c r="Q285" s="4"/>
      <c r="R285" s="4"/>
      <c r="S285" s="4"/>
      <c r="T285" s="4"/>
      <c r="U285" s="4"/>
      <c r="V285" s="4"/>
      <c r="W285" s="4"/>
      <c r="X285" s="4"/>
      <c r="Y285" s="4"/>
      <c r="Z285" s="4"/>
      <c r="AA285" s="4">
        <f>IFERROR(__xludf.DUMMYFUNCTION("""COMPUTED_VALUE"""),500.0)</f>
        <v>500</v>
      </c>
      <c r="AB285" s="4" t="str">
        <f>IFERROR(__xludf.DUMMYFUNCTION("""COMPUTED_VALUE"""),"-")</f>
        <v>-</v>
      </c>
      <c r="AC285" s="4" t="str">
        <f>IFERROR(__xludf.DUMMYFUNCTION("""COMPUTED_VALUE"""),"-")</f>
        <v>-</v>
      </c>
      <c r="AD285" s="4"/>
      <c r="AE285" s="4"/>
      <c r="AF285" s="4"/>
      <c r="AG285" s="4"/>
      <c r="AH285" s="4"/>
      <c r="AI285" s="4"/>
      <c r="AJ285" s="4"/>
      <c r="AK285" s="4"/>
      <c r="AL285" s="4"/>
      <c r="AM285" s="4" t="str">
        <f>IFERROR(__xludf.DUMMYFUNCTION("""COMPUTED_VALUE"""),"FY26, FY27")</f>
        <v>FY26, FY27</v>
      </c>
      <c r="AN285" s="4"/>
      <c r="AO285" s="4">
        <f>IFERROR(__xludf.DUMMYFUNCTION("""COMPUTED_VALUE"""),140.0)</f>
        <v>140</v>
      </c>
      <c r="AP285" s="4">
        <f>IFERROR(__xludf.DUMMYFUNCTION("""COMPUTED_VALUE"""),0.0)</f>
        <v>0</v>
      </c>
      <c r="AQ285" s="4">
        <f>IFERROR(__xludf.DUMMYFUNCTION("""COMPUTED_VALUE"""),0.0)</f>
        <v>0</v>
      </c>
      <c r="AR285" s="4">
        <f>IFERROR(__xludf.DUMMYFUNCTION("""COMPUTED_VALUE"""),0.0)</f>
        <v>0</v>
      </c>
      <c r="AS285" s="4">
        <f>IFERROR(__xludf.DUMMYFUNCTION("""COMPUTED_VALUE"""),0.0)</f>
        <v>0</v>
      </c>
      <c r="AT285" s="4">
        <f>IFERROR(__xludf.DUMMYFUNCTION("""COMPUTED_VALUE"""),0.0)</f>
        <v>0</v>
      </c>
      <c r="AU285" s="4" t="str">
        <f>IFERROR(__xludf.DUMMYFUNCTION("""COMPUTED_VALUE"""),"Diego")</f>
        <v>Diego</v>
      </c>
      <c r="AV285" s="4" t="str">
        <f>IFERROR(__xludf.DUMMYFUNCTION("""COMPUTED_VALUE"""),"Comer Fora-")</f>
        <v>Comer Fora-</v>
      </c>
      <c r="AW285" s="4" t="str">
        <f>IFERROR(__xludf.DUMMYFUNCTION("""COMPUTED_VALUE"""),"G - pipe")</f>
        <v>G - pipe</v>
      </c>
      <c r="AX285" s="4"/>
      <c r="AY285" s="4"/>
      <c r="AZ285" s="4" t="str">
        <f>IFERROR(__xludf.DUMMYFUNCTION("""COMPUTED_VALUE"""),"NA")</f>
        <v>NA</v>
      </c>
      <c r="BA285" s="4" t="str">
        <f>IFERROR(__xludf.DUMMYFUNCTION("""COMPUTED_VALUE"""),"")</f>
        <v/>
      </c>
      <c r="BB285" s="4" t="str">
        <f>IFERROR(__xludf.DUMMYFUNCTION("""COMPUTED_VALUE"""),"")</f>
        <v/>
      </c>
      <c r="BC285" s="4" t="str">
        <f>IFERROR(__xludf.DUMMYFUNCTION("""COMPUTED_VALUE"""),"")</f>
        <v/>
      </c>
      <c r="BD285" s="4" t="str">
        <f>IFERROR(__xludf.DUMMYFUNCTION("""COMPUTED_VALUE"""),"")</f>
        <v/>
      </c>
      <c r="BE285" s="4" t="str">
        <f>IFERROR(__xludf.DUMMYFUNCTION("""COMPUTED_VALUE"""),"")</f>
        <v/>
      </c>
      <c r="BF285" s="4" t="str">
        <f>IFERROR(__xludf.DUMMYFUNCTION("""COMPUTED_VALUE"""),"")</f>
        <v/>
      </c>
      <c r="BG285" s="4" t="str">
        <f>IFERROR(__xludf.DUMMYFUNCTION("""COMPUTED_VALUE"""),"")</f>
        <v/>
      </c>
      <c r="BH285" s="4" t="s">
        <v>63</v>
      </c>
      <c r="BI285" s="7" t="s">
        <v>63</v>
      </c>
    </row>
    <row r="286" hidden="1">
      <c r="A286" s="4" t="str">
        <f>IFERROR(__xludf.DUMMYFUNCTION("""COMPUTED_VALUE"""),"Cheppitos")</f>
        <v>Cheppitos</v>
      </c>
      <c r="B286" s="4" t="str">
        <f>IFERROR(__xludf.DUMMYFUNCTION("""COMPUTED_VALUE"""),"João Biagiotti")</f>
        <v>João Biagiotti</v>
      </c>
      <c r="C286" s="4" t="str">
        <f>IFERROR(__xludf.DUMMYFUNCTION("""COMPUTED_VALUE"""),"Diego Santos")</f>
        <v>Diego Santos</v>
      </c>
      <c r="D286" s="4" t="str">
        <f>IFERROR(__xludf.DUMMYFUNCTION("""COMPUTED_VALUE"""),"3. Apresentação")</f>
        <v>3. Apresentação</v>
      </c>
      <c r="E286" s="4" t="str">
        <f>IFERROR(__xludf.DUMMYFUNCTION("""COMPUTED_VALUE"""),"Parceiro - Sem contato válido / Decisor inacessível")</f>
        <v>Parceiro - Sem contato válido / Decisor inacessível</v>
      </c>
      <c r="F286" s="4" t="str">
        <f>IFERROR(__xludf.DUMMYFUNCTION("""COMPUTED_VALUE"""),"P")</f>
        <v>P</v>
      </c>
      <c r="G286" s="5">
        <f>IFERROR(__xludf.DUMMYFUNCTION("""COMPUTED_VALUE"""),46099.0)</f>
        <v>46099</v>
      </c>
      <c r="H286" s="4" t="str">
        <f>IFERROR(__xludf.DUMMYFUNCTION("""COMPUTED_VALUE"""),"Aguardando retorno do decisor pra conseguir uma agenda")</f>
        <v>Aguardando retorno do decisor pra conseguir uma agenda</v>
      </c>
      <c r="I286" s="4"/>
      <c r="J286" s="6">
        <f>IFERROR(__xludf.DUMMYFUNCTION("""COMPUTED_VALUE"""),46076.516536423616)</f>
        <v>46076.51654</v>
      </c>
      <c r="K286" s="6">
        <f>IFERROR(__xludf.DUMMYFUNCTION("""COMPUTED_VALUE"""),46099.48549989583)</f>
        <v>46099.4855</v>
      </c>
      <c r="L286" s="4"/>
      <c r="M286" s="4"/>
      <c r="N286" s="4"/>
      <c r="O286" s="4"/>
      <c r="P286" s="4"/>
      <c r="Q286" s="4"/>
      <c r="R286" s="4"/>
      <c r="S286" s="4"/>
      <c r="T286" s="4"/>
      <c r="U286" s="4"/>
      <c r="V286" s="4"/>
      <c r="W286" s="4"/>
      <c r="X286" s="4"/>
      <c r="Y286" s="4"/>
      <c r="Z286" s="4"/>
      <c r="AA286" s="4">
        <f>IFERROR(__xludf.DUMMYFUNCTION("""COMPUTED_VALUE"""),15.0)</f>
        <v>15</v>
      </c>
      <c r="AB286" s="4"/>
      <c r="AC286" s="4"/>
      <c r="AD286" s="4"/>
      <c r="AE286" s="4"/>
      <c r="AF286" s="4"/>
      <c r="AG286" s="4"/>
      <c r="AH286" s="4"/>
      <c r="AI286" s="4"/>
      <c r="AJ286" s="4"/>
      <c r="AK286" s="4"/>
      <c r="AL286" s="4"/>
      <c r="AM286" s="4" t="str">
        <f>IFERROR(__xludf.DUMMYFUNCTION("""COMPUTED_VALUE"""),"FY26, FY27")</f>
        <v>FY26, FY27</v>
      </c>
      <c r="AN286" s="4"/>
      <c r="AO286" s="4">
        <f>IFERROR(__xludf.DUMMYFUNCTION("""COMPUTED_VALUE"""),115.0)</f>
        <v>115</v>
      </c>
      <c r="AP286" s="4" t="str">
        <f>IFERROR(__xludf.DUMMYFUNCTION("""COMPUTED_VALUE"""),"CE")</f>
        <v>CE</v>
      </c>
      <c r="AQ286" s="4" t="str">
        <f>IFERROR(__xludf.DUMMYFUNCTION("""COMPUTED_VALUE"""),"FABIO MAKARON")</f>
        <v>FABIO MAKARON</v>
      </c>
      <c r="AR286" s="4" t="str">
        <f>IFERROR(__xludf.DUMMYFUNCTION("""COMPUTED_VALUE"""),"AMANDA FRIGO")</f>
        <v>AMANDA FRIGO</v>
      </c>
      <c r="AS286" s="4" t="str">
        <f>IFERROR(__xludf.DUMMYFUNCTION("""COMPUTED_VALUE"""),"THIAGO ROMAGNOLE")</f>
        <v>THIAGO ROMAGNOLE</v>
      </c>
      <c r="AT286" s="4" t="str">
        <f>IFERROR(__xludf.DUMMYFUNCTION("""COMPUTED_VALUE"""),"EDUARDO VAZ")</f>
        <v>EDUARDO VAZ</v>
      </c>
      <c r="AU286" s="4" t="str">
        <f>IFERROR(__xludf.DUMMYFUNCTION("""COMPUTED_VALUE"""),"Diego")</f>
        <v>Diego</v>
      </c>
      <c r="AV286" s="4">
        <f>IFERROR(__xludf.DUMMYFUNCTION("""COMPUTED_VALUE"""),0.0)</f>
        <v>0</v>
      </c>
      <c r="AW286" s="4">
        <f>IFERROR(__xludf.DUMMYFUNCTION("""COMPUTED_VALUE"""),0.0)</f>
        <v>0</v>
      </c>
      <c r="AX286" s="4">
        <f>IFERROR(__xludf.DUMMYFUNCTION("""COMPUTED_VALUE"""),0.0)</f>
        <v>0</v>
      </c>
      <c r="AY286" s="4"/>
      <c r="AZ286" s="4" t="str">
        <f>IFERROR(__xludf.DUMMYFUNCTION("""COMPUTED_VALUE"""),"Brasileira")</f>
        <v>Brasileira</v>
      </c>
      <c r="BA286" s="4">
        <f>IFERROR(__xludf.DUMMYFUNCTION("""COMPUTED_VALUE"""),74.0)</f>
        <v>74</v>
      </c>
      <c r="BB286" s="4" t="str">
        <f>IFERROR(__xludf.DUMMYFUNCTION("""COMPUTED_VALUE"""),"Fast Casual - Multi-conceito")</f>
        <v>Fast Casual - Multi-conceito</v>
      </c>
      <c r="BC286" s="4" t="str">
        <f>IFERROR(__xludf.DUMMYFUNCTION("""COMPUTED_VALUE"""),"Nacional")</f>
        <v>Nacional</v>
      </c>
      <c r="BD286" s="4" t="str">
        <f>IFERROR(__xludf.DUMMYFUNCTION("""COMPUTED_VALUE"""),"Dado não disponível publicamente - Necessário Discovery")</f>
        <v>Dado não disponível publicamente - Necessário Discovery</v>
      </c>
      <c r="BE286" s="4">
        <f>IFERROR(__xludf.DUMMYFUNCTION("""COMPUTED_VALUE"""),70.0)</f>
        <v>70</v>
      </c>
      <c r="BF286" s="4">
        <f>IFERROR(__xludf.DUMMYFUNCTION("""COMPUTED_VALUE"""),0.75)</f>
        <v>0.75</v>
      </c>
      <c r="BG28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86" s="4" t="s">
        <v>121</v>
      </c>
      <c r="BI286" s="7">
        <v>0.5116279069767442</v>
      </c>
    </row>
    <row r="287" hidden="1">
      <c r="A287" s="4" t="str">
        <f>IFERROR(__xludf.DUMMYFUNCTION("""COMPUTED_VALUE"""),"Chocomia Sweet Atelier - Marca Oficial")</f>
        <v>Chocomia Sweet Atelier - Marca Oficial</v>
      </c>
      <c r="B287" s="4" t="str">
        <f>IFERROR(__xludf.DUMMYFUNCTION("""COMPUTED_VALUE"""),"Emerson")</f>
        <v>Emerson</v>
      </c>
      <c r="C287" s="4" t="str">
        <f>IFERROR(__xludf.DUMMYFUNCTION("""COMPUTED_VALUE"""),"Emerson")</f>
        <v>Emerson</v>
      </c>
      <c r="D287" s="4" t="str">
        <f>IFERROR(__xludf.DUMMYFUNCTION("""COMPUTED_VALUE"""),"5. Demo/Showroom")</f>
        <v>5. Demo/Showroom</v>
      </c>
      <c r="E287" s="4" t="str">
        <f>IFERROR(__xludf.DUMMYFUNCTION("""COMPUTED_VALUE"""),"Perdido - Outro (detalhar ao lado)")</f>
        <v>Perdido - Outro (detalhar ao lado)</v>
      </c>
      <c r="F287" s="4" t="str">
        <f>IFERROR(__xludf.DUMMYFUNCTION("""COMPUTED_VALUE"""),"P")</f>
        <v>P</v>
      </c>
      <c r="G287" s="5">
        <f>IFERROR(__xludf.DUMMYFUNCTION("""COMPUTED_VALUE"""),46120.0)</f>
        <v>46120</v>
      </c>
      <c r="H287" s="4" t="str">
        <f>IFERROR(__xludf.DUMMYFUNCTION("""COMPUTED_VALUE"""),"Marca com Emerson, sem status. ")</f>
        <v>Marca com Emerson, sem status. </v>
      </c>
      <c r="I287" s="4"/>
      <c r="J287" s="4"/>
      <c r="K287" s="6">
        <f>IFERROR(__xludf.DUMMYFUNCTION("""COMPUTED_VALUE"""),46062.0)</f>
        <v>46062</v>
      </c>
      <c r="L287" s="6">
        <f>IFERROR(__xludf.DUMMYFUNCTION("""COMPUTED_VALUE"""),46062.46523122685)</f>
        <v>46062.46523</v>
      </c>
      <c r="M287" s="6">
        <f>IFERROR(__xludf.DUMMYFUNCTION("""COMPUTED_VALUE"""),46079.0)</f>
        <v>46079</v>
      </c>
      <c r="N287" s="4"/>
      <c r="O287" s="4"/>
      <c r="P287" s="4"/>
      <c r="Q287" s="4"/>
      <c r="R287" s="4"/>
      <c r="S287" s="6">
        <f>IFERROR(__xludf.DUMMYFUNCTION("""COMPUTED_VALUE"""),4.6120479003831E15)</f>
        <v>4.61205E+15</v>
      </c>
      <c r="T287" s="4"/>
      <c r="U287" s="4"/>
      <c r="V287" s="4"/>
      <c r="W287" s="4"/>
      <c r="X287" s="4"/>
      <c r="Y287" s="4"/>
      <c r="Z287" s="4"/>
      <c r="AA287" s="4">
        <f>IFERROR(__xludf.DUMMYFUNCTION("""COMPUTED_VALUE"""),2.0)</f>
        <v>2</v>
      </c>
      <c r="AB287" s="4" t="str">
        <f>IFERROR(__xludf.DUMMYFUNCTION("""COMPUTED_VALUE"""),"-")</f>
        <v>-</v>
      </c>
      <c r="AC287" s="4" t="str">
        <f>IFERROR(__xludf.DUMMYFUNCTION("""COMPUTED_VALUE"""),"-")</f>
        <v>-</v>
      </c>
      <c r="AD287" s="4"/>
      <c r="AE287" s="4"/>
      <c r="AF287" s="4"/>
      <c r="AG287" s="4"/>
      <c r="AH287" s="4"/>
      <c r="AI287" s="4"/>
      <c r="AJ287" s="4"/>
      <c r="AK287" s="4"/>
      <c r="AL287" s="4"/>
      <c r="AM287" s="4" t="str">
        <f>IFERROR(__xludf.DUMMYFUNCTION("""COMPUTED_VALUE"""),"FY26, FY27")</f>
        <v>FY26, FY27</v>
      </c>
      <c r="AN287" s="4"/>
      <c r="AO287" s="4">
        <f>IFERROR(__xludf.DUMMYFUNCTION("""COMPUTED_VALUE"""),95.0)</f>
        <v>95</v>
      </c>
      <c r="AP287" s="4" t="str">
        <f>IFERROR(__xludf.DUMMYFUNCTION("""COMPUTED_VALUE"""),"PR")</f>
        <v>PR</v>
      </c>
      <c r="AQ287" s="4" t="str">
        <f>IFERROR(__xludf.DUMMYFUNCTION("""COMPUTED_VALUE"""),"BRUNA MONTEZIN")</f>
        <v>BRUNA MONTEZIN</v>
      </c>
      <c r="AR287" s="4" t="str">
        <f>IFERROR(__xludf.DUMMYFUNCTION("""COMPUTED_VALUE"""),"TULIO VICARI")</f>
        <v>TULIO VICARI</v>
      </c>
      <c r="AS287" s="4" t="str">
        <f>IFERROR(__xludf.DUMMYFUNCTION("""COMPUTED_VALUE"""),"FABIO DONATO")</f>
        <v>FABIO DONATO</v>
      </c>
      <c r="AT287" s="4" t="str">
        <f>IFERROR(__xludf.DUMMYFUNCTION("""COMPUTED_VALUE"""),"MURILO NAGASHIMA")</f>
        <v>MURILO NAGASHIMA</v>
      </c>
      <c r="AU287" s="4" t="str">
        <f>IFERROR(__xludf.DUMMYFUNCTION("""COMPUTED_VALUE"""),"Lídia / Emerson")</f>
        <v>Lídia / Emerson</v>
      </c>
      <c r="AV287" s="4">
        <f>IFERROR(__xludf.DUMMYFUNCTION("""COMPUTED_VALUE"""),0.0)</f>
        <v>0</v>
      </c>
      <c r="AW287" s="4">
        <f>IFERROR(__xludf.DUMMYFUNCTION("""COMPUTED_VALUE"""),0.0)</f>
        <v>0</v>
      </c>
      <c r="AX287" s="4">
        <f>IFERROR(__xludf.DUMMYFUNCTION("""COMPUTED_VALUE"""),0.0)</f>
        <v>0</v>
      </c>
      <c r="AY287" s="4"/>
      <c r="AZ287" s="4" t="str">
        <f>IFERROR(__xludf.DUMMYFUNCTION("""COMPUTED_VALUE"""),"Doces &amp; Bolos")</f>
        <v>Doces &amp; Bolos</v>
      </c>
      <c r="BA287" s="4">
        <f>IFERROR(__xludf.DUMMYFUNCTION("""COMPUTED_VALUE"""),59.0)</f>
        <v>59</v>
      </c>
      <c r="BB287" s="4" t="str">
        <f>IFERROR(__xludf.DUMMYFUNCTION("""COMPUTED_VALUE"""),"Fast Casual - Multi-conceito")</f>
        <v>Fast Casual - Multi-conceito</v>
      </c>
      <c r="BC287" s="4" t="str">
        <f>IFERROR(__xludf.DUMMYFUNCTION("""COMPUTED_VALUE"""),"Belo Horizonte/MG")</f>
        <v>Belo Horizonte/MG</v>
      </c>
      <c r="BD287" s="4" t="str">
        <f>IFERROR(__xludf.DUMMYFUNCTION("""COMPUTED_VALUE"""),"Dado não disponível publicamente - Necessário Discovery")</f>
        <v>Dado não disponível publicamente - Necessário Discovery</v>
      </c>
      <c r="BE287" s="4">
        <f>IFERROR(__xludf.DUMMYFUNCTION("""COMPUTED_VALUE"""),70.0)</f>
        <v>70</v>
      </c>
      <c r="BF287" s="4">
        <f>IFERROR(__xludf.DUMMYFUNCTION("""COMPUTED_VALUE"""),0.75)</f>
        <v>0.75</v>
      </c>
      <c r="BG28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87" s="4" t="s">
        <v>61</v>
      </c>
      <c r="BI287" s="7">
        <v>0.6666666666666666</v>
      </c>
    </row>
    <row r="288" hidden="1">
      <c r="A288" s="4" t="str">
        <f>IFERROR(__xludf.DUMMYFUNCTION("""COMPUTED_VALUE"""),"Churrascaria America Grill")</f>
        <v>Churrascaria America Grill</v>
      </c>
      <c r="B288" s="4" t="str">
        <f>IFERROR(__xludf.DUMMYFUNCTION("""COMPUTED_VALUE"""),"Lídia Esteves")</f>
        <v>Lídia Esteves</v>
      </c>
      <c r="C288" s="4" t="str">
        <f>IFERROR(__xludf.DUMMYFUNCTION("""COMPUTED_VALUE"""),"Gabriela Roma")</f>
        <v>Gabriela Roma</v>
      </c>
      <c r="D288" s="4" t="str">
        <f>IFERROR(__xludf.DUMMYFUNCTION("""COMPUTED_VALUE"""),"1. Iniciado")</f>
        <v>1. Iniciado</v>
      </c>
      <c r="E288" s="4" t="str">
        <f>IFERROR(__xludf.DUMMYFUNCTION("""COMPUTED_VALUE"""),"Delivery - Aguardando retorno / Conciliação agenda")</f>
        <v>Delivery - Aguardando retorno / Conciliação agenda</v>
      </c>
      <c r="F288" s="4" t="str">
        <f>IFERROR(__xludf.DUMMYFUNCTION("""COMPUTED_VALUE"""),"P")</f>
        <v>P</v>
      </c>
      <c r="G288" s="4"/>
      <c r="H288" s="4"/>
      <c r="I288" s="6">
        <f>IFERROR(__xludf.DUMMYFUNCTION("""COMPUTED_VALUE"""),46122.657689224536)</f>
        <v>46122.65769</v>
      </c>
      <c r="J288" s="4"/>
      <c r="K288" s="4"/>
      <c r="L288" s="4"/>
      <c r="M288" s="4"/>
      <c r="N288" s="4"/>
      <c r="O288" s="4"/>
      <c r="P288" s="4"/>
      <c r="Q288" s="4"/>
      <c r="R288" s="4"/>
      <c r="S288" s="4"/>
      <c r="T288" s="4"/>
      <c r="U288" s="4"/>
      <c r="V288" s="4"/>
      <c r="W288" s="4"/>
      <c r="X288" s="4"/>
      <c r="Y288" s="4"/>
      <c r="Z288" s="4"/>
      <c r="AA288" s="4">
        <f>IFERROR(__xludf.DUMMYFUNCTION("""COMPUTED_VALUE"""),4.0)</f>
        <v>4</v>
      </c>
      <c r="AB288" s="4" t="str">
        <f>IFERROR(__xludf.DUMMYFUNCTION("""COMPUTED_VALUE"""),"-")</f>
        <v>-</v>
      </c>
      <c r="AC288" s="4" t="str">
        <f>IFERROR(__xludf.DUMMYFUNCTION("""COMPUTED_VALUE"""),"-")</f>
        <v>-</v>
      </c>
      <c r="AD288" s="4"/>
      <c r="AE288" s="4"/>
      <c r="AF288" s="4"/>
      <c r="AG288" s="4"/>
      <c r="AH288" s="4"/>
      <c r="AI288" s="4"/>
      <c r="AJ288" s="4"/>
      <c r="AK288" s="4"/>
      <c r="AL288" s="4"/>
      <c r="AM288" s="4" t="str">
        <f>IFERROR(__xludf.DUMMYFUNCTION("""COMPUTED_VALUE"""),"FY26, FY27")</f>
        <v>FY26, FY27</v>
      </c>
      <c r="AN288" s="4"/>
      <c r="AO288" s="4">
        <f>IFERROR(__xludf.DUMMYFUNCTION("""COMPUTED_VALUE"""),45553.0)</f>
        <v>45553</v>
      </c>
      <c r="AP288" s="4" t="str">
        <f>IFERROR(__xludf.DUMMYFUNCTION("""COMPUTED_VALUE"""),"PR")</f>
        <v>PR</v>
      </c>
      <c r="AQ288" s="4" t="str">
        <f>IFERROR(__xludf.DUMMYFUNCTION("""COMPUTED_VALUE"""),"RAFAEL FERREIRA")</f>
        <v>RAFAEL FERREIRA</v>
      </c>
      <c r="AR288" s="4" t="str">
        <f>IFERROR(__xludf.DUMMYFUNCTION("""COMPUTED_VALUE"""),"CAMILLA HENNING")</f>
        <v>CAMILLA HENNING</v>
      </c>
      <c r="AS288" s="4" t="str">
        <f>IFERROR(__xludf.DUMMYFUNCTION("""COMPUTED_VALUE"""),"FABIO DONATO")</f>
        <v>FABIO DONATO</v>
      </c>
      <c r="AT288" s="4" t="str">
        <f>IFERROR(__xludf.DUMMYFUNCTION("""COMPUTED_VALUE"""),"MURILO NAGASHIMA")</f>
        <v>MURILO NAGASHIMA</v>
      </c>
      <c r="AU288" s="4" t="str">
        <f>IFERROR(__xludf.DUMMYFUNCTION("""COMPUTED_VALUE"""),"Lídia / Emerson")</f>
        <v>Lídia / Emerson</v>
      </c>
      <c r="AV288" s="4">
        <f>IFERROR(__xludf.DUMMYFUNCTION("""COMPUTED_VALUE"""),0.0)</f>
        <v>0</v>
      </c>
      <c r="AW288" s="4">
        <f>IFERROR(__xludf.DUMMYFUNCTION("""COMPUTED_VALUE"""),0.0)</f>
        <v>0</v>
      </c>
      <c r="AX288" s="4">
        <f>IFERROR(__xludf.DUMMYFUNCTION("""COMPUTED_VALUE"""),0.0)</f>
        <v>0</v>
      </c>
      <c r="AY288" s="4"/>
      <c r="AZ288" s="4" t="str">
        <f>IFERROR(__xludf.DUMMYFUNCTION("""COMPUTED_VALUE"""),"Brasileira")</f>
        <v>Brasileira</v>
      </c>
      <c r="BA288" s="4" t="str">
        <f>IFERROR(__xludf.DUMMYFUNCTION("""COMPUTED_VALUE"""),"")</f>
        <v/>
      </c>
      <c r="BB288" s="4" t="str">
        <f>IFERROR(__xludf.DUMMYFUNCTION("""COMPUTED_VALUE"""),"")</f>
        <v/>
      </c>
      <c r="BC288" s="4" t="str">
        <f>IFERROR(__xludf.DUMMYFUNCTION("""COMPUTED_VALUE"""),"")</f>
        <v/>
      </c>
      <c r="BD288" s="4" t="str">
        <f>IFERROR(__xludf.DUMMYFUNCTION("""COMPUTED_VALUE"""),"")</f>
        <v/>
      </c>
      <c r="BE288" s="4" t="str">
        <f>IFERROR(__xludf.DUMMYFUNCTION("""COMPUTED_VALUE"""),"")</f>
        <v/>
      </c>
      <c r="BF288" s="4" t="str">
        <f>IFERROR(__xludf.DUMMYFUNCTION("""COMPUTED_VALUE"""),"")</f>
        <v/>
      </c>
      <c r="BG288" s="4" t="str">
        <f>IFERROR(__xludf.DUMMYFUNCTION("""COMPUTED_VALUE"""),"")</f>
        <v/>
      </c>
      <c r="BH288" s="4" t="s">
        <v>63</v>
      </c>
      <c r="BI288" s="7" t="s">
        <v>63</v>
      </c>
    </row>
    <row r="289">
      <c r="A289" s="4" t="str">
        <f>IFERROR(__xludf.DUMMYFUNCTION("""COMPUTED_VALUE"""),"Coco Bambu")</f>
        <v>Coco Bambu</v>
      </c>
      <c r="B289" s="4" t="str">
        <f>IFERROR(__xludf.DUMMYFUNCTION("""COMPUTED_VALUE"""),"Leonardo Roso")</f>
        <v>Leonardo Roso</v>
      </c>
      <c r="C289" s="4" t="str">
        <f>IFERROR(__xludf.DUMMYFUNCTION("""COMPUTED_VALUE"""),"Leonardo Roso")</f>
        <v>Leonardo Roso</v>
      </c>
      <c r="D289" s="4" t="str">
        <f>IFERROR(__xludf.DUMMYFUNCTION("""COMPUTED_VALUE"""),"11. Stand by")</f>
        <v>11. Stand by</v>
      </c>
      <c r="E289" s="4" t="str">
        <f>IFERROR(__xludf.DUMMYFUNCTION("""COMPUTED_VALUE"""),"Comercial - Contato realizado com parceiro")</f>
        <v>Comercial - Contato realizado com parceiro</v>
      </c>
      <c r="F289" s="4" t="str">
        <f>IFERROR(__xludf.DUMMYFUNCTION("""COMPUTED_VALUE"""),"G")</f>
        <v>G</v>
      </c>
      <c r="G289" s="5">
        <f>IFERROR(__xludf.DUMMYFUNCTION("""COMPUTED_VALUE"""),46079.0)</f>
        <v>46079</v>
      </c>
      <c r="H289" s="4" t="str">
        <f>IFERROR(__xludf.DUMMYFUNCTION("""COMPUTED_VALUE"""),"Retomar contato com parceiro no segundo semestre de 2026 conforme alinhado com Davi em evento de salão (25/02)")</f>
        <v>Retomar contato com parceiro no segundo semestre de 2026 conforme alinhado com Davi em evento de salão (25/02)</v>
      </c>
      <c r="I289" s="4"/>
      <c r="J289" s="4"/>
      <c r="K289" s="6">
        <f>IFERROR(__xludf.DUMMYFUNCTION("""COMPUTED_VALUE"""),45807.0)</f>
        <v>45807</v>
      </c>
      <c r="L289" s="4"/>
      <c r="M289" s="4"/>
      <c r="N289" s="4"/>
      <c r="O289" s="4"/>
      <c r="P289" s="4"/>
      <c r="Q289" s="4"/>
      <c r="R289" s="4"/>
      <c r="S289" s="4"/>
      <c r="T289" s="4"/>
      <c r="U289" s="4"/>
      <c r="V289" s="4" t="str">
        <f>IFERROR(__xludf.DUMMYFUNCTION("""COMPUTED_VALUE"""),"Outros")</f>
        <v>Outros</v>
      </c>
      <c r="W289" s="4"/>
      <c r="X289" s="4"/>
      <c r="Y289" s="4"/>
      <c r="Z289" s="4"/>
      <c r="AA289" s="4">
        <f>IFERROR(__xludf.DUMMYFUNCTION("""COMPUTED_VALUE"""),120.0)</f>
        <v>120</v>
      </c>
      <c r="AB289" s="4" t="str">
        <f>IFERROR(__xludf.DUMMYFUNCTION("""COMPUTED_VALUE"""),"KA")</f>
        <v>KA</v>
      </c>
      <c r="AC289" s="4" t="str">
        <f>IFERROR(__xludf.DUMMYFUNCTION("""COMPUTED_VALUE"""),"BP")</f>
        <v>BP</v>
      </c>
      <c r="AD289" s="4"/>
      <c r="AE289" s="4"/>
      <c r="AF289" s="4"/>
      <c r="AG289" s="4"/>
      <c r="AH289" s="4"/>
      <c r="AI289" s="4"/>
      <c r="AJ289" s="4"/>
      <c r="AK289" s="4"/>
      <c r="AL289" s="4"/>
      <c r="AM289" s="4" t="str">
        <f>IFERROR(__xludf.DUMMYFUNCTION("""COMPUTED_VALUE"""),"FY26, FY27")</f>
        <v>FY26, FY27</v>
      </c>
      <c r="AN289" s="4"/>
      <c r="AO289" s="4">
        <f>IFERROR(__xludf.DUMMYFUNCTION("""COMPUTED_VALUE"""),137.0)</f>
        <v>137</v>
      </c>
      <c r="AP289" s="4" t="str">
        <f>IFERROR(__xludf.DUMMYFUNCTION("""COMPUTED_VALUE"""),"PI")</f>
        <v>PI</v>
      </c>
      <c r="AQ289" s="4" t="str">
        <f>IFERROR(__xludf.DUMMYFUNCTION("""COMPUTED_VALUE"""),"CAROLINA SOUZA")</f>
        <v>CAROLINA SOUZA</v>
      </c>
      <c r="AR289" s="4" t="str">
        <f>IFERROR(__xludf.DUMMYFUNCTION("""COMPUTED_VALUE"""),"LUIZA PESSOA")</f>
        <v>LUIZA PESSOA</v>
      </c>
      <c r="AS289" s="4" t="str">
        <f>IFERROR(__xludf.DUMMYFUNCTION("""COMPUTED_VALUE"""),"VINICIUS MARTINS")</f>
        <v>VINICIUS MARTINS</v>
      </c>
      <c r="AT289" s="4" t="str">
        <f>IFERROR(__xludf.DUMMYFUNCTION("""COMPUTED_VALUE"""),"CAROLINA SOUZA")</f>
        <v>CAROLINA SOUZA</v>
      </c>
      <c r="AU289" s="4" t="str">
        <f>IFERROR(__xludf.DUMMYFUNCTION("""COMPUTED_VALUE"""),"Emerson")</f>
        <v>Emerson</v>
      </c>
      <c r="AV289" s="4" t="str">
        <f>IFERROR(__xludf.DUMMYFUNCTION("""COMPUTED_VALUE"""),"Comer Fora-Ativo na vitrine")</f>
        <v>Comer Fora-Ativo na vitrine</v>
      </c>
      <c r="AW289" s="20" t="str">
        <f>IFERROR(__xludf.DUMMYFUNCTION("""COMPUTED_VALUE"""),"Top 30")</f>
        <v>Top 30</v>
      </c>
      <c r="AX289" s="4"/>
      <c r="AY289" s="4"/>
      <c r="AZ289" s="4" t="str">
        <f>IFERROR(__xludf.DUMMYFUNCTION("""COMPUTED_VALUE"""),"Frutos Do Mar")</f>
        <v>Frutos Do Mar</v>
      </c>
      <c r="BA289" s="4">
        <f>IFERROR(__xludf.DUMMYFUNCTION("""COMPUTED_VALUE"""),190.0)</f>
        <v>190</v>
      </c>
      <c r="BB289" s="4" t="str">
        <f>IFERROR(__xludf.DUMMYFUNCTION("""COMPUTED_VALUE"""),"Full Service - Frutos do Mar")</f>
        <v>Full Service - Frutos do Mar</v>
      </c>
      <c r="BC289" s="4" t="str">
        <f>IFERROR(__xludf.DUMMYFUNCTION("""COMPUTED_VALUE"""),"Nacional")</f>
        <v>Nacional</v>
      </c>
      <c r="BD289" s="4" t="str">
        <f>IFERROR(__xludf.DUMMYFUNCTION("""COMPUTED_VALUE"""),"R$ 2,2-2,5 bilhões (2025)")</f>
        <v>R$ 2,2-2,5 bilhões (2025)</v>
      </c>
      <c r="BE289" s="4">
        <f>IFERROR(__xludf.DUMMYFUNCTION("""COMPUTED_VALUE"""),75.0)</f>
        <v>75</v>
      </c>
      <c r="BF289" s="4">
        <f>IFERROR(__xludf.DUMMYFUNCTION("""COMPUTED_VALUE"""),0.75)</f>
        <v>0.75</v>
      </c>
      <c r="BG289" s="4" t="str">
        <f>IFERROR(__xludf.DUMMYFUNCTION("""COMPUTED_VALUE"""),"Aderência forte ao 3S: PDV não identificado. 3S oferece PDV robusto, KDS integrado e mobilidade (3SGO) para gestão em tempo real - ideal para operações multi-canal.")</f>
        <v>Aderência forte ao 3S: PDV não identificado. 3S oferece PDV robusto, KDS integrado e mobilidade (3SGO) para gestão em tempo real - ideal para operações multi-canal.</v>
      </c>
      <c r="BH289" s="4" t="s">
        <v>122</v>
      </c>
      <c r="BI289" s="7">
        <v>0.8141592920353983</v>
      </c>
    </row>
    <row r="290" hidden="1">
      <c r="A290" s="4" t="str">
        <f>IFERROR(__xludf.DUMMYFUNCTION("""COMPUTED_VALUE"""),"Comendador Burguer")</f>
        <v>Comendador Burguer</v>
      </c>
      <c r="B290" s="4" t="str">
        <f>IFERROR(__xludf.DUMMYFUNCTION("""COMPUTED_VALUE"""),"Lídia Esteves")</f>
        <v>Lídia Esteves</v>
      </c>
      <c r="C290" s="4" t="str">
        <f>IFERROR(__xludf.DUMMYFUNCTION("""COMPUTED_VALUE"""),"Gabriela Roma")</f>
        <v>Gabriela Roma</v>
      </c>
      <c r="D290" s="4" t="str">
        <f>IFERROR(__xludf.DUMMYFUNCTION("""COMPUTED_VALUE"""),"1. Iniciado")</f>
        <v>1. Iniciado</v>
      </c>
      <c r="E290" s="4" t="str">
        <f>IFERROR(__xludf.DUMMYFUNCTION("""COMPUTED_VALUE"""),"Delivery - Aguardando retorno / Conciliação agenda")</f>
        <v>Delivery - Aguardando retorno / Conciliação agenda</v>
      </c>
      <c r="F290" s="4" t="str">
        <f>IFERROR(__xludf.DUMMYFUNCTION("""COMPUTED_VALUE"""),"P")</f>
        <v>P</v>
      </c>
      <c r="G290" s="4"/>
      <c r="H290" s="4"/>
      <c r="I290" s="6">
        <f>IFERROR(__xludf.DUMMYFUNCTION("""COMPUTED_VALUE"""),46122.65736157408)</f>
        <v>46122.65736</v>
      </c>
      <c r="J290" s="4"/>
      <c r="K290" s="4"/>
      <c r="L290" s="4"/>
      <c r="M290" s="4"/>
      <c r="N290" s="4"/>
      <c r="O290" s="4"/>
      <c r="P290" s="4"/>
      <c r="Q290" s="4"/>
      <c r="R290" s="4"/>
      <c r="S290" s="4"/>
      <c r="T290" s="4"/>
      <c r="U290" s="4"/>
      <c r="V290" s="4"/>
      <c r="W290" s="4"/>
      <c r="X290" s="4"/>
      <c r="Y290" s="4"/>
      <c r="Z290" s="4"/>
      <c r="AA290" s="4">
        <f>IFERROR(__xludf.DUMMYFUNCTION("""COMPUTED_VALUE"""),20.0)</f>
        <v>20</v>
      </c>
      <c r="AB290" s="4" t="str">
        <f>IFERROR(__xludf.DUMMYFUNCTION("""COMPUTED_VALUE"""),"-")</f>
        <v>-</v>
      </c>
      <c r="AC290" s="4" t="str">
        <f>IFERROR(__xludf.DUMMYFUNCTION("""COMPUTED_VALUE"""),"-")</f>
        <v>-</v>
      </c>
      <c r="AD290" s="4"/>
      <c r="AE290" s="4"/>
      <c r="AF290" s="4"/>
      <c r="AG290" s="4"/>
      <c r="AH290" s="4"/>
      <c r="AI290" s="4"/>
      <c r="AJ290" s="4"/>
      <c r="AK290" s="4"/>
      <c r="AL290" s="4"/>
      <c r="AM290" s="4" t="str">
        <f>IFERROR(__xludf.DUMMYFUNCTION("""COMPUTED_VALUE"""),"FY26, FY27")</f>
        <v>FY26, FY27</v>
      </c>
      <c r="AN290" s="4" t="str">
        <f>IFERROR(__xludf.DUMMYFUNCTION("""COMPUTED_VALUE"""),"Comer Fora")</f>
        <v>Comer Fora</v>
      </c>
      <c r="AO290" s="4">
        <f>IFERROR(__xludf.DUMMYFUNCTION("""COMPUTED_VALUE"""),45553.0)</f>
        <v>45553</v>
      </c>
      <c r="AP290" s="4" t="str">
        <f>IFERROR(__xludf.DUMMYFUNCTION("""COMPUTED_VALUE"""),"PR")</f>
        <v>PR</v>
      </c>
      <c r="AQ290" s="4" t="str">
        <f>IFERROR(__xludf.DUMMYFUNCTION("""COMPUTED_VALUE"""),"RAFAEL FERREIRA")</f>
        <v>RAFAEL FERREIRA</v>
      </c>
      <c r="AR290" s="4" t="str">
        <f>IFERROR(__xludf.DUMMYFUNCTION("""COMPUTED_VALUE"""),"GIOVANI ROCHA")</f>
        <v>GIOVANI ROCHA</v>
      </c>
      <c r="AS290" s="4" t="str">
        <f>IFERROR(__xludf.DUMMYFUNCTION("""COMPUTED_VALUE"""),"FABIO DONATO")</f>
        <v>FABIO DONATO</v>
      </c>
      <c r="AT290" s="4" t="str">
        <f>IFERROR(__xludf.DUMMYFUNCTION("""COMPUTED_VALUE"""),"MURILO NAGASHIMA")</f>
        <v>MURILO NAGASHIMA</v>
      </c>
      <c r="AU290" s="4" t="str">
        <f>IFERROR(__xludf.DUMMYFUNCTION("""COMPUTED_VALUE"""),"Lídia / Emerson")</f>
        <v>Lídia / Emerson</v>
      </c>
      <c r="AV290" s="4" t="str">
        <f>IFERROR(__xludf.DUMMYFUNCTION("""COMPUTED_VALUE"""),"Comer Fora-")</f>
        <v>Comer Fora-</v>
      </c>
      <c r="AW290" s="20" t="str">
        <f>IFERROR(__xludf.DUMMYFUNCTION("""COMPUTED_VALUE"""),"P e M - pipe")</f>
        <v>P e M - pipe</v>
      </c>
      <c r="AX290" s="4" t="str">
        <f>IFERROR(__xludf.DUMMYFUNCTION("""COMPUTED_VALUE"""),"Base P1+P2")</f>
        <v>Base P1+P2</v>
      </c>
      <c r="AY290" s="4" t="str">
        <f>IFERROR(__xludf.DUMMYFUNCTION("""COMPUTED_VALUE"""),"Cardápio Web")</f>
        <v>Cardápio Web</v>
      </c>
      <c r="AZ290" s="4" t="str">
        <f>IFERROR(__xludf.DUMMYFUNCTION("""COMPUTED_VALUE"""),"Lanches")</f>
        <v>Lanches</v>
      </c>
      <c r="BA290" s="4">
        <f>IFERROR(__xludf.DUMMYFUNCTION("""COMPUTED_VALUE"""),50.0)</f>
        <v>50</v>
      </c>
      <c r="BB290" s="4" t="str">
        <f>IFERROR(__xludf.DUMMYFUNCTION("""COMPUTED_VALUE"""),"Fast Casual - Multi-conceito")</f>
        <v>Fast Casual - Multi-conceito</v>
      </c>
      <c r="BC290" s="4" t="str">
        <f>IFERROR(__xludf.DUMMYFUNCTION("""COMPUTED_VALUE"""),"Interior SP")</f>
        <v>Interior SP</v>
      </c>
      <c r="BD290" s="4" t="str">
        <f>IFERROR(__xludf.DUMMYFUNCTION("""COMPUTED_VALUE"""),"Dado não disponível publicamente - Necessário Discovery")</f>
        <v>Dado não disponível publicamente - Necessário Discovery</v>
      </c>
      <c r="BE290" s="4">
        <f>IFERROR(__xludf.DUMMYFUNCTION("""COMPUTED_VALUE"""),70.0)</f>
        <v>70</v>
      </c>
      <c r="BF290" s="4">
        <f>IFERROR(__xludf.DUMMYFUNCTION("""COMPUTED_VALUE"""),0.75)</f>
        <v>0.75</v>
      </c>
      <c r="BG29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90" s="4" t="s">
        <v>61</v>
      </c>
      <c r="BI290" s="7">
        <v>0.3333333333333333</v>
      </c>
    </row>
    <row r="291" hidden="1">
      <c r="A291" s="4" t="str">
        <f>IFERROR(__xludf.DUMMYFUNCTION("""COMPUTED_VALUE"""),"Comodoro Burguer")</f>
        <v>Comodoro Burguer</v>
      </c>
      <c r="B291" s="4" t="str">
        <f>IFERROR(__xludf.DUMMYFUNCTION("""COMPUTED_VALUE"""),"Lídia Esteves")</f>
        <v>Lídia Esteves</v>
      </c>
      <c r="C291" s="4" t="str">
        <f>IFERROR(__xludf.DUMMYFUNCTION("""COMPUTED_VALUE"""),"Gabriela Roma")</f>
        <v>Gabriela Roma</v>
      </c>
      <c r="D291" s="4" t="str">
        <f>IFERROR(__xludf.DUMMYFUNCTION("""COMPUTED_VALUE"""),"1. Iniciado")</f>
        <v>1. Iniciado</v>
      </c>
      <c r="E291" s="4" t="str">
        <f>IFERROR(__xludf.DUMMYFUNCTION("""COMPUTED_VALUE"""),"Delivery - Aguardando retorno / Conciliação agenda")</f>
        <v>Delivery - Aguardando retorno / Conciliação agenda</v>
      </c>
      <c r="F291" s="4" t="str">
        <f>IFERROR(__xludf.DUMMYFUNCTION("""COMPUTED_VALUE"""),"M")</f>
        <v>M</v>
      </c>
      <c r="G291" s="4"/>
      <c r="H291" s="4"/>
      <c r="I291" s="6">
        <f>IFERROR(__xludf.DUMMYFUNCTION("""COMPUTED_VALUE"""),46122.65744231481)</f>
        <v>46122.65744</v>
      </c>
      <c r="J291" s="4"/>
      <c r="K291" s="4"/>
      <c r="L291" s="4"/>
      <c r="M291" s="4"/>
      <c r="N291" s="4"/>
      <c r="O291" s="4"/>
      <c r="P291" s="4"/>
      <c r="Q291" s="4"/>
      <c r="R291" s="4"/>
      <c r="S291" s="4"/>
      <c r="T291" s="4"/>
      <c r="U291" s="4"/>
      <c r="V291" s="4"/>
      <c r="W291" s="4"/>
      <c r="X291" s="4"/>
      <c r="Y291" s="4"/>
      <c r="Z291" s="4"/>
      <c r="AA291" s="4">
        <f>IFERROR(__xludf.DUMMYFUNCTION("""COMPUTED_VALUE"""),35.0)</f>
        <v>35</v>
      </c>
      <c r="AB291" s="4" t="str">
        <f>IFERROR(__xludf.DUMMYFUNCTION("""COMPUTED_VALUE"""),"-")</f>
        <v>-</v>
      </c>
      <c r="AC291" s="4" t="str">
        <f>IFERROR(__xludf.DUMMYFUNCTION("""COMPUTED_VALUE"""),"-")</f>
        <v>-</v>
      </c>
      <c r="AD291" s="4"/>
      <c r="AE291" s="4"/>
      <c r="AF291" s="4"/>
      <c r="AG291" s="4"/>
      <c r="AH291" s="4"/>
      <c r="AI291" s="4"/>
      <c r="AJ291" s="4"/>
      <c r="AK291" s="4"/>
      <c r="AL291" s="4"/>
      <c r="AM291" s="4" t="str">
        <f>IFERROR(__xludf.DUMMYFUNCTION("""COMPUTED_VALUE"""),"FY26, FY27")</f>
        <v>FY26, FY27</v>
      </c>
      <c r="AN291" s="4" t="str">
        <f>IFERROR(__xludf.DUMMYFUNCTION("""COMPUTED_VALUE"""),"Comer Fora")</f>
        <v>Comer Fora</v>
      </c>
      <c r="AO291" s="4">
        <f>IFERROR(__xludf.DUMMYFUNCTION("""COMPUTED_VALUE"""),45553.0)</f>
        <v>45553</v>
      </c>
      <c r="AP291" s="4" t="str">
        <f>IFERROR(__xludf.DUMMYFUNCTION("""COMPUTED_VALUE"""),"PR")</f>
        <v>PR</v>
      </c>
      <c r="AQ291" s="4" t="str">
        <f>IFERROR(__xludf.DUMMYFUNCTION("""COMPUTED_VALUE"""),"RAFAEL FERREIRA")</f>
        <v>RAFAEL FERREIRA</v>
      </c>
      <c r="AR291" s="4" t="str">
        <f>IFERROR(__xludf.DUMMYFUNCTION("""COMPUTED_VALUE"""),"GIOVANI ROCHA")</f>
        <v>GIOVANI ROCHA</v>
      </c>
      <c r="AS291" s="4" t="str">
        <f>IFERROR(__xludf.DUMMYFUNCTION("""COMPUTED_VALUE"""),"FABIO DONATO")</f>
        <v>FABIO DONATO</v>
      </c>
      <c r="AT291" s="4" t="str">
        <f>IFERROR(__xludf.DUMMYFUNCTION("""COMPUTED_VALUE"""),"MURILO NAGASHIMA")</f>
        <v>MURILO NAGASHIMA</v>
      </c>
      <c r="AU291" s="4" t="str">
        <f>IFERROR(__xludf.DUMMYFUNCTION("""COMPUTED_VALUE"""),"Lídia / Emerson")</f>
        <v>Lídia / Emerson</v>
      </c>
      <c r="AV291" s="4" t="str">
        <f>IFERROR(__xludf.DUMMYFUNCTION("""COMPUTED_VALUE"""),"Comer Fora-")</f>
        <v>Comer Fora-</v>
      </c>
      <c r="AW291" s="4"/>
      <c r="AX291" s="4" t="str">
        <f>IFERROR(__xludf.DUMMYFUNCTION("""COMPUTED_VALUE"""),"Base P1+P2")</f>
        <v>Base P1+P2</v>
      </c>
      <c r="AY291" s="4" t="str">
        <f>IFERROR(__xludf.DUMMYFUNCTION("""COMPUTED_VALUE"""),"Jclan Sistemas")</f>
        <v>Jclan Sistemas</v>
      </c>
      <c r="AZ291" s="4" t="str">
        <f>IFERROR(__xludf.DUMMYFUNCTION("""COMPUTED_VALUE"""),"Lanches")</f>
        <v>Lanches</v>
      </c>
      <c r="BA291" s="4">
        <f>IFERROR(__xludf.DUMMYFUNCTION("""COMPUTED_VALUE"""),61.0)</f>
        <v>61</v>
      </c>
      <c r="BB291" s="4" t="str">
        <f>IFERROR(__xludf.DUMMYFUNCTION("""COMPUTED_VALUE"""),"Fast Casual - Multi-conceito")</f>
        <v>Fast Casual - Multi-conceito</v>
      </c>
      <c r="BC291" s="4" t="str">
        <f>IFERROR(__xludf.DUMMYFUNCTION("""COMPUTED_VALUE"""),"Belo Horizonte/MG")</f>
        <v>Belo Horizonte/MG</v>
      </c>
      <c r="BD291" s="4" t="str">
        <f>IFERROR(__xludf.DUMMYFUNCTION("""COMPUTED_VALUE"""),"Dado não disponível publicamente - Necessário Discovery")</f>
        <v>Dado não disponível publicamente - Necessário Discovery</v>
      </c>
      <c r="BE291" s="4">
        <f>IFERROR(__xludf.DUMMYFUNCTION("""COMPUTED_VALUE"""),65.0)</f>
        <v>65</v>
      </c>
      <c r="BF291" s="4">
        <f>IFERROR(__xludf.DUMMYFUNCTION("""COMPUTED_VALUE"""),0.75)</f>
        <v>0.75</v>
      </c>
      <c r="BG29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91" s="4" t="s">
        <v>123</v>
      </c>
      <c r="BI291" s="7">
        <v>0.7027027027027027</v>
      </c>
    </row>
    <row r="292" hidden="1">
      <c r="A292" s="4" t="str">
        <f>IFERROR(__xludf.DUMMYFUNCTION("""COMPUTED_VALUE"""),"CHURRASCARIA SAO JUDAS TADEU")</f>
        <v>CHURRASCARIA SAO JUDAS TADEU</v>
      </c>
      <c r="B292" s="4" t="str">
        <f>IFERROR(__xludf.DUMMYFUNCTION("""COMPUTED_VALUE"""),"João Biagiotti")</f>
        <v>João Biagiotti</v>
      </c>
      <c r="C292" s="4" t="str">
        <f>IFERROR(__xludf.DUMMYFUNCTION("""COMPUTED_VALUE"""),"Diego Santos")</f>
        <v>Diego Santos</v>
      </c>
      <c r="D292" s="4" t="str">
        <f>IFERROR(__xludf.DUMMYFUNCTION("""COMPUTED_VALUE"""),"1. Iniciado")</f>
        <v>1. Iniciado</v>
      </c>
      <c r="E292" s="4" t="str">
        <f>IFERROR(__xludf.DUMMYFUNCTION("""COMPUTED_VALUE"""),"Delivery - Aguardando retorno executivo")</f>
        <v>Delivery - Aguardando retorno executivo</v>
      </c>
      <c r="F292" s="4" t="str">
        <f>IFERROR(__xludf.DUMMYFUNCTION("""COMPUTED_VALUE"""),"P")</f>
        <v>P</v>
      </c>
      <c r="G292" s="5">
        <f>IFERROR(__xludf.DUMMYFUNCTION("""COMPUTED_VALUE"""),46120.0)</f>
        <v>46120</v>
      </c>
      <c r="H292" s="4" t="str">
        <f>IFERROR(__xludf.DUMMYFUNCTION("""COMPUTED_VALUE"""),"Foi enviado mensagem para o CE, agaurdando retorno ")</f>
        <v>Foi enviado mensagem para o CE, agaurdando retorno </v>
      </c>
      <c r="I292" s="6">
        <f>IFERROR(__xludf.DUMMYFUNCTION("""COMPUTED_VALUE"""),46120.45211452546)</f>
        <v>46120.45211</v>
      </c>
      <c r="J292" s="4"/>
      <c r="K292" s="4"/>
      <c r="L292" s="4"/>
      <c r="M292" s="4"/>
      <c r="N292" s="4"/>
      <c r="O292" s="4"/>
      <c r="P292" s="4"/>
      <c r="Q292" s="4"/>
      <c r="R292" s="4"/>
      <c r="S292" s="4"/>
      <c r="T292" s="4"/>
      <c r="U292" s="4"/>
      <c r="V292" s="4"/>
      <c r="W292" s="4"/>
      <c r="X292" s="4"/>
      <c r="Y292" s="4"/>
      <c r="Z292" s="4"/>
      <c r="AA292" s="4">
        <f>IFERROR(__xludf.DUMMYFUNCTION("""COMPUTED_VALUE"""),5.0)</f>
        <v>5</v>
      </c>
      <c r="AB292" s="4" t="str">
        <f>IFERROR(__xludf.DUMMYFUNCTION("""COMPUTED_VALUE"""),"CE")</f>
        <v>CE</v>
      </c>
      <c r="AC292" s="4" t="str">
        <f>IFERROR(__xludf.DUMMYFUNCTION("""COMPUTED_VALUE"""),"Sim")</f>
        <v>Sim</v>
      </c>
      <c r="AD292" s="4" t="str">
        <f>IFERROR(__xludf.DUMMYFUNCTION("""COMPUTED_VALUE"""),"Ifood")</f>
        <v>Ifood</v>
      </c>
      <c r="AE292" s="4"/>
      <c r="AF292" s="4"/>
      <c r="AG292" s="4"/>
      <c r="AH292" s="4"/>
      <c r="AI292" s="4"/>
      <c r="AJ292" s="4"/>
      <c r="AK292" s="4"/>
      <c r="AL292" s="4"/>
      <c r="AM292" s="4" t="str">
        <f>IFERROR(__xludf.DUMMYFUNCTION("""COMPUTED_VALUE"""),"FY27")</f>
        <v>FY27</v>
      </c>
      <c r="AN292" s="4"/>
      <c r="AO292" s="4">
        <f>IFERROR(__xludf.DUMMYFUNCTION("""COMPUTED_VALUE"""),95.0)</f>
        <v>95</v>
      </c>
      <c r="AP292" s="4" t="str">
        <f>IFERROR(__xludf.DUMMYFUNCTION("""COMPUTED_VALUE"""),"SP")</f>
        <v>SP</v>
      </c>
      <c r="AQ292" s="4" t="str">
        <f>IFERROR(__xludf.DUMMYFUNCTION("""COMPUTED_VALUE"""),"GABRIEL CAMACHO")</f>
        <v>GABRIEL CAMACHO</v>
      </c>
      <c r="AR292" s="4" t="str">
        <f>IFERROR(__xludf.DUMMYFUNCTION("""COMPUTED_VALUE"""),"KAIQUE RIBEIRO")</f>
        <v>KAIQUE RIBEIRO</v>
      </c>
      <c r="AS292" s="4" t="str">
        <f>IFERROR(__xludf.DUMMYFUNCTION("""COMPUTED_VALUE"""),"NATHALIE MERTENS")</f>
        <v>NATHALIE MERTENS</v>
      </c>
      <c r="AT292" s="4" t="str">
        <f>IFERROR(__xludf.DUMMYFUNCTION("""COMPUTED_VALUE"""),"MATHEUS LESSA")</f>
        <v>MATHEUS LESSA</v>
      </c>
      <c r="AU292" s="4">
        <f>IFERROR(__xludf.DUMMYFUNCTION("""COMPUTED_VALUE"""),0.0)</f>
        <v>0</v>
      </c>
      <c r="AV292" s="4">
        <f>IFERROR(__xludf.DUMMYFUNCTION("""COMPUTED_VALUE"""),0.0)</f>
        <v>0</v>
      </c>
      <c r="AW292" s="4">
        <f>IFERROR(__xludf.DUMMYFUNCTION("""COMPUTED_VALUE"""),0.0)</f>
        <v>0</v>
      </c>
      <c r="AX292" s="4">
        <f>IFERROR(__xludf.DUMMYFUNCTION("""COMPUTED_VALUE"""),0.0)</f>
        <v>0</v>
      </c>
      <c r="AY292" s="4"/>
      <c r="AZ292" s="4" t="str">
        <f>IFERROR(__xludf.DUMMYFUNCTION("""COMPUTED_VALUE"""),"Marmita")</f>
        <v>Marmita</v>
      </c>
      <c r="BA292" s="4" t="str">
        <f>IFERROR(__xludf.DUMMYFUNCTION("""COMPUTED_VALUE"""),"")</f>
        <v/>
      </c>
      <c r="BB292" s="4" t="str">
        <f>IFERROR(__xludf.DUMMYFUNCTION("""COMPUTED_VALUE"""),"")</f>
        <v/>
      </c>
      <c r="BC292" s="4" t="str">
        <f>IFERROR(__xludf.DUMMYFUNCTION("""COMPUTED_VALUE"""),"")</f>
        <v/>
      </c>
      <c r="BD292" s="4" t="str">
        <f>IFERROR(__xludf.DUMMYFUNCTION("""COMPUTED_VALUE"""),"")</f>
        <v/>
      </c>
      <c r="BE292" s="4" t="str">
        <f>IFERROR(__xludf.DUMMYFUNCTION("""COMPUTED_VALUE"""),"")</f>
        <v/>
      </c>
      <c r="BF292" s="4" t="str">
        <f>IFERROR(__xludf.DUMMYFUNCTION("""COMPUTED_VALUE"""),"")</f>
        <v/>
      </c>
      <c r="BG292" s="4" t="str">
        <f>IFERROR(__xludf.DUMMYFUNCTION("""COMPUTED_VALUE"""),"")</f>
        <v/>
      </c>
      <c r="BH292" s="4" t="s">
        <v>101</v>
      </c>
      <c r="BI292" s="7">
        <v>0.7142857142857143</v>
      </c>
    </row>
    <row r="293">
      <c r="A293" s="4" t="str">
        <f>IFERROR(__xludf.DUMMYFUNCTION("""COMPUTED_VALUE"""),"Cremolatto")</f>
        <v>Cremolatto</v>
      </c>
      <c r="B293" s="4" t="str">
        <f>IFERROR(__xludf.DUMMYFUNCTION("""COMPUTED_VALUE"""),"Leonardo Roso")</f>
        <v>Leonardo Roso</v>
      </c>
      <c r="C293" s="4" t="str">
        <f>IFERROR(__xludf.DUMMYFUNCTION("""COMPUTED_VALUE"""),"Leonardo Roso")</f>
        <v>Leonardo Roso</v>
      </c>
      <c r="D293" s="4" t="str">
        <f>IFERROR(__xludf.DUMMYFUNCTION("""COMPUTED_VALUE"""),"11. Stand by")</f>
        <v>11. Stand by</v>
      </c>
      <c r="E293" s="4" t="str">
        <f>IFERROR(__xludf.DUMMYFUNCTION("""COMPUTED_VALUE"""),"Perdido -  Momento do restaurante não favorável")</f>
        <v>Perdido -  Momento do restaurante não favorável</v>
      </c>
      <c r="F293" s="4" t="str">
        <f>IFERROR(__xludf.DUMMYFUNCTION("""COMPUTED_VALUE"""),"G")</f>
        <v>G</v>
      </c>
      <c r="G293" s="5">
        <f>IFERROR(__xludf.DUMMYFUNCTION("""COMPUTED_VALUE"""),46076.0)</f>
        <v>46076</v>
      </c>
      <c r="H293" s="4" t="str">
        <f>IFERROR(__xludf.DUMMYFUNCTION("""COMPUTED_VALUE"""),"No momento giovanni está testando dois PDV e está verificando se faz sentido iniciar +1 fluxo conosco. Tentar agenda presencial.")</f>
        <v>No momento giovanni está testando dois PDV e está verificando se faz sentido iniciar +1 fluxo conosco. Tentar agenda presencial.</v>
      </c>
      <c r="I293" s="4"/>
      <c r="J293" s="4"/>
      <c r="K293" s="6">
        <f>IFERROR(__xludf.DUMMYFUNCTION("""COMPUTED_VALUE"""),45960.0)</f>
        <v>45960</v>
      </c>
      <c r="L293" s="6">
        <f>IFERROR(__xludf.DUMMYFUNCTION("""COMPUTED_VALUE"""),46051.40598846065)</f>
        <v>46051.40599</v>
      </c>
      <c r="M293" s="4"/>
      <c r="N293" s="4"/>
      <c r="O293" s="4"/>
      <c r="P293" s="4"/>
      <c r="Q293" s="4"/>
      <c r="R293" s="4"/>
      <c r="S293" s="6">
        <f>IFERROR(__xludf.DUMMYFUNCTION("""COMPUTED_VALUE"""),46076.7244034375)</f>
        <v>46076.7244</v>
      </c>
      <c r="T293" s="4"/>
      <c r="U293" s="4"/>
      <c r="V293" s="4" t="str">
        <f>IFERROR(__xludf.DUMMYFUNCTION("""COMPUTED_VALUE"""),"Em negociação com outro PDV")</f>
        <v>Em negociação com outro PDV</v>
      </c>
      <c r="W293" s="4"/>
      <c r="X293" s="4"/>
      <c r="Y293" s="4"/>
      <c r="Z293" s="4"/>
      <c r="AA293" s="4">
        <f>IFERROR(__xludf.DUMMYFUNCTION("""COMPUTED_VALUE"""),100.0)</f>
        <v>100</v>
      </c>
      <c r="AB293" s="4" t="str">
        <f>IFERROR(__xludf.DUMMYFUNCTION("""COMPUTED_VALUE"""),"NÃO")</f>
        <v>NÃO</v>
      </c>
      <c r="AC293" s="4" t="str">
        <f>IFERROR(__xludf.DUMMYFUNCTION("""COMPUTED_VALUE"""),"Não BP")</f>
        <v>Não BP</v>
      </c>
      <c r="AD293" s="4"/>
      <c r="AE293" s="4"/>
      <c r="AF293" s="4"/>
      <c r="AG293" s="4"/>
      <c r="AH293" s="4"/>
      <c r="AI293" s="4"/>
      <c r="AJ293" s="4"/>
      <c r="AK293" s="4"/>
      <c r="AL293" s="4"/>
      <c r="AM293" s="4" t="str">
        <f>IFERROR(__xludf.DUMMYFUNCTION("""COMPUTED_VALUE"""),"FY26, FY27")</f>
        <v>FY26, FY27</v>
      </c>
      <c r="AN293" s="4"/>
      <c r="AO293" s="4">
        <f>IFERROR(__xludf.DUMMYFUNCTION("""COMPUTED_VALUE"""),140.0)</f>
        <v>140</v>
      </c>
      <c r="AP293" s="4">
        <f>IFERROR(__xludf.DUMMYFUNCTION("""COMPUTED_VALUE"""),0.0)</f>
        <v>0</v>
      </c>
      <c r="AQ293" s="4">
        <f>IFERROR(__xludf.DUMMYFUNCTION("""COMPUTED_VALUE"""),0.0)</f>
        <v>0</v>
      </c>
      <c r="AR293" s="4">
        <f>IFERROR(__xludf.DUMMYFUNCTION("""COMPUTED_VALUE"""),0.0)</f>
        <v>0</v>
      </c>
      <c r="AS293" s="4">
        <f>IFERROR(__xludf.DUMMYFUNCTION("""COMPUTED_VALUE"""),0.0)</f>
        <v>0</v>
      </c>
      <c r="AT293" s="4">
        <f>IFERROR(__xludf.DUMMYFUNCTION("""COMPUTED_VALUE"""),0.0)</f>
        <v>0</v>
      </c>
      <c r="AU293" s="4" t="str">
        <f>IFERROR(__xludf.DUMMYFUNCTION("""COMPUTED_VALUE"""),"Diego")</f>
        <v>Diego</v>
      </c>
      <c r="AV293" s="4">
        <f>IFERROR(__xludf.DUMMYFUNCTION("""COMPUTED_VALUE"""),0.0)</f>
        <v>0</v>
      </c>
      <c r="AW293" s="4">
        <f>IFERROR(__xludf.DUMMYFUNCTION("""COMPUTED_VALUE"""),0.0)</f>
        <v>0</v>
      </c>
      <c r="AX293" s="4">
        <f>IFERROR(__xludf.DUMMYFUNCTION("""COMPUTED_VALUE"""),0.0)</f>
        <v>0</v>
      </c>
      <c r="AY293" s="4"/>
      <c r="AZ293" s="4" t="str">
        <f>IFERROR(__xludf.DUMMYFUNCTION("""COMPUTED_VALUE"""),"Sorvetes")</f>
        <v>Sorvetes</v>
      </c>
      <c r="BA293" s="4">
        <f>IFERROR(__xludf.DUMMYFUNCTION("""COMPUTED_VALUE"""),70.0)</f>
        <v>70</v>
      </c>
      <c r="BB293" s="4" t="str">
        <f>IFERROR(__xludf.DUMMYFUNCTION("""COMPUTED_VALUE"""),"Fast Casual - Multi-conceito")</f>
        <v>Fast Casual - Multi-conceito</v>
      </c>
      <c r="BC293" s="4" t="str">
        <f>IFERROR(__xludf.DUMMYFUNCTION("""COMPUTED_VALUE"""),"São Paulo/SP")</f>
        <v>São Paulo/SP</v>
      </c>
      <c r="BD293" s="4" t="str">
        <f>IFERROR(__xludf.DUMMYFUNCTION("""COMPUTED_VALUE"""),"Dado não disponível publicamente - Necessário Discovery")</f>
        <v>Dado não disponível publicamente - Necessário Discovery</v>
      </c>
      <c r="BE293" s="4">
        <f>IFERROR(__xludf.DUMMYFUNCTION("""COMPUTED_VALUE"""),70.0)</f>
        <v>70</v>
      </c>
      <c r="BF293" s="4">
        <f>IFERROR(__xludf.DUMMYFUNCTION("""COMPUTED_VALUE"""),0.75)</f>
        <v>0.75</v>
      </c>
      <c r="BG29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93" s="4" t="s">
        <v>63</v>
      </c>
      <c r="BI293" s="7" t="s">
        <v>63</v>
      </c>
    </row>
    <row r="294" hidden="1">
      <c r="A294" s="4" t="str">
        <f>IFERROR(__xludf.DUMMYFUNCTION("""COMPUTED_VALUE"""),"Cristal Pizza")</f>
        <v>Cristal Pizza</v>
      </c>
      <c r="B294" s="4" t="str">
        <f>IFERROR(__xludf.DUMMYFUNCTION("""COMPUTED_VALUE"""),"João Biagiotti")</f>
        <v>João Biagiotti</v>
      </c>
      <c r="C294" s="4" t="str">
        <f>IFERROR(__xludf.DUMMYFUNCTION("""COMPUTED_VALUE"""),"Diego Santos")</f>
        <v>Diego Santos</v>
      </c>
      <c r="D294" s="4" t="str">
        <f>IFERROR(__xludf.DUMMYFUNCTION("""COMPUTED_VALUE"""),"0. Não Iniciado")</f>
        <v>0. Não Iniciado</v>
      </c>
      <c r="E294" s="4" t="str">
        <f>IFERROR(__xludf.DUMMYFUNCTION("""COMPUTED_VALUE"""),"Delivery - Aguardando retorno executivo")</f>
        <v>Delivery - Aguardando retorno executivo</v>
      </c>
      <c r="F294" s="4" t="str">
        <f>IFERROR(__xludf.DUMMYFUNCTION("""COMPUTED_VALUE"""),"P")</f>
        <v>P</v>
      </c>
      <c r="G294" s="5">
        <f>IFERROR(__xludf.DUMMYFUNCTION("""COMPUTED_VALUE"""),46076.0)</f>
        <v>46076</v>
      </c>
      <c r="H294" s="4" t="str">
        <f>IFERROR(__xludf.DUMMYFUNCTION("""COMPUTED_VALUE"""),"Aguardando retorno do executivo para conciliação de agenda. Previsão final de março.")</f>
        <v>Aguardando retorno do executivo para conciliação de agenda. Previsão final de março.</v>
      </c>
      <c r="I294" s="4"/>
      <c r="J294" s="4"/>
      <c r="K294" s="4"/>
      <c r="L294" s="4"/>
      <c r="M294" s="4"/>
      <c r="N294" s="4"/>
      <c r="O294" s="4"/>
      <c r="P294" s="4"/>
      <c r="Q294" s="4"/>
      <c r="R294" s="4"/>
      <c r="S294" s="4"/>
      <c r="T294" s="4"/>
      <c r="U294" s="4"/>
      <c r="V294" s="4"/>
      <c r="W294" s="4"/>
      <c r="X294" s="4"/>
      <c r="Y294" s="4"/>
      <c r="Z294" s="4"/>
      <c r="AA294" s="4">
        <f>IFERROR(__xludf.DUMMYFUNCTION("""COMPUTED_VALUE"""),4.0)</f>
        <v>4</v>
      </c>
      <c r="AB294" s="4" t="str">
        <f>IFERROR(__xludf.DUMMYFUNCTION("""COMPUTED_VALUE"""),"NÃO")</f>
        <v>NÃO</v>
      </c>
      <c r="AC294" s="4" t="str">
        <f>IFERROR(__xludf.DUMMYFUNCTION("""COMPUTED_VALUE"""),"BP")</f>
        <v>BP</v>
      </c>
      <c r="AD294" s="4"/>
      <c r="AE294" s="4"/>
      <c r="AF294" s="4"/>
      <c r="AG294" s="4"/>
      <c r="AH294" s="4"/>
      <c r="AI294" s="4"/>
      <c r="AJ294" s="4"/>
      <c r="AK294" s="4"/>
      <c r="AL294" s="4"/>
      <c r="AM294" s="4" t="str">
        <f>IFERROR(__xludf.DUMMYFUNCTION("""COMPUTED_VALUE"""),"FY26, FY27")</f>
        <v>FY26, FY27</v>
      </c>
      <c r="AN294" s="4" t="str">
        <f>IFERROR(__xludf.DUMMYFUNCTION("""COMPUTED_VALUE"""),"Comer Fora")</f>
        <v>Comer Fora</v>
      </c>
      <c r="AO294" s="4">
        <f>IFERROR(__xludf.DUMMYFUNCTION("""COMPUTED_VALUE"""),140.0)</f>
        <v>140</v>
      </c>
      <c r="AP294" s="4" t="str">
        <f>IFERROR(__xludf.DUMMYFUNCTION("""COMPUTED_VALUE"""),"SP")</f>
        <v>SP</v>
      </c>
      <c r="AQ294" s="4" t="str">
        <f>IFERROR(__xludf.DUMMYFUNCTION("""COMPUTED_VALUE"""),"RODRIGO BESSER")</f>
        <v>RODRIGO BESSER</v>
      </c>
      <c r="AR294" s="4" t="str">
        <f>IFERROR(__xludf.DUMMYFUNCTION("""COMPUTED_VALUE"""),"TALITA REZENDE")</f>
        <v>TALITA REZENDE</v>
      </c>
      <c r="AS294" s="4" t="str">
        <f>IFERROR(__xludf.DUMMYFUNCTION("""COMPUTED_VALUE"""),"NATHALIE MERTENS")</f>
        <v>NATHALIE MERTENS</v>
      </c>
      <c r="AT294" s="4" t="str">
        <f>IFERROR(__xludf.DUMMYFUNCTION("""COMPUTED_VALUE"""),"MARIANA KATZ")</f>
        <v>MARIANA KATZ</v>
      </c>
      <c r="AU294" s="4" t="str">
        <f>IFERROR(__xludf.DUMMYFUNCTION("""COMPUTED_VALUE"""),"Iza")</f>
        <v>Iza</v>
      </c>
      <c r="AV294" s="4">
        <f>IFERROR(__xludf.DUMMYFUNCTION("""COMPUTED_VALUE"""),0.0)</f>
        <v>0</v>
      </c>
      <c r="AW294" s="4">
        <f>IFERROR(__xludf.DUMMYFUNCTION("""COMPUTED_VALUE"""),0.0)</f>
        <v>0</v>
      </c>
      <c r="AX294" s="4">
        <f>IFERROR(__xludf.DUMMYFUNCTION("""COMPUTED_VALUE"""),0.0)</f>
        <v>0</v>
      </c>
      <c r="AY294" s="4"/>
      <c r="AZ294" s="4" t="str">
        <f>IFERROR(__xludf.DUMMYFUNCTION("""COMPUTED_VALUE"""),"Pizza")</f>
        <v>Pizza</v>
      </c>
      <c r="BA294" s="4">
        <f>IFERROR(__xludf.DUMMYFUNCTION("""COMPUTED_VALUE"""),62.0)</f>
        <v>62</v>
      </c>
      <c r="BB294" s="4" t="str">
        <f>IFERROR(__xludf.DUMMYFUNCTION("""COMPUTED_VALUE"""),"Fast Casual - Pizzaria")</f>
        <v>Fast Casual - Pizzaria</v>
      </c>
      <c r="BC294" s="4" t="str">
        <f>IFERROR(__xludf.DUMMYFUNCTION("""COMPUTED_VALUE"""),"Belo Horizonte/MG")</f>
        <v>Belo Horizonte/MG</v>
      </c>
      <c r="BD294" s="4" t="str">
        <f>IFERROR(__xludf.DUMMYFUNCTION("""COMPUTED_VALUE"""),"Dado não disponível publicamente - Necessário Discovery")</f>
        <v>Dado não disponível publicamente - Necessário Discovery</v>
      </c>
      <c r="BE294" s="4">
        <f>IFERROR(__xludf.DUMMYFUNCTION("""COMPUTED_VALUE"""),70.0)</f>
        <v>70</v>
      </c>
      <c r="BF294" s="4">
        <f>IFERROR(__xludf.DUMMYFUNCTION("""COMPUTED_VALUE"""),0.75)</f>
        <v>0.75</v>
      </c>
      <c r="BG29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94" s="4" t="s">
        <v>71</v>
      </c>
      <c r="BI294" s="7">
        <v>1.0</v>
      </c>
    </row>
    <row r="295" hidden="1">
      <c r="A295" s="4" t="str">
        <f>IFERROR(__xludf.DUMMYFUNCTION("""COMPUTED_VALUE"""),"Daásu Sushi")</f>
        <v>Daásu Sushi</v>
      </c>
      <c r="B295" s="4" t="str">
        <f>IFERROR(__xludf.DUMMYFUNCTION("""COMPUTED_VALUE"""),"Lídia Esteves")</f>
        <v>Lídia Esteves</v>
      </c>
      <c r="C295" s="4" t="str">
        <f>IFERROR(__xludf.DUMMYFUNCTION("""COMPUTED_VALUE"""),"Gabriela Roma")</f>
        <v>Gabriela Roma</v>
      </c>
      <c r="D295" s="4" t="str">
        <f>IFERROR(__xludf.DUMMYFUNCTION("""COMPUTED_VALUE"""),"4. Diagnóstico")</f>
        <v>4. Diagnóstico</v>
      </c>
      <c r="E295" s="4" t="str">
        <f>IFERROR(__xludf.DUMMYFUNCTION("""COMPUTED_VALUE"""),"Parceiro - Aguardando retorno / Conciliação agenda")</f>
        <v>Parceiro - Aguardando retorno / Conciliação agenda</v>
      </c>
      <c r="F295" s="4" t="str">
        <f>IFERROR(__xludf.DUMMYFUNCTION("""COMPUTED_VALUE"""),"P")</f>
        <v>P</v>
      </c>
      <c r="G295" s="5">
        <f>IFERROR(__xludf.DUMMYFUNCTION("""COMPUTED_VALUE"""),46154.0)</f>
        <v>46154</v>
      </c>
      <c r="H295" s="4" t="str">
        <f>IFERROR(__xludf.DUMMYFUNCTION("""COMPUTED_VALUE"""),"ultima tentativa de demo antes de mudar pra standby")</f>
        <v>ultima tentativa de demo antes de mudar pra standby</v>
      </c>
      <c r="I295" s="4"/>
      <c r="J295" s="4"/>
      <c r="K295" s="6">
        <f>IFERROR(__xludf.DUMMYFUNCTION("""COMPUTED_VALUE"""),46056.0)</f>
        <v>46056</v>
      </c>
      <c r="L295" s="6">
        <f>IFERROR(__xludf.DUMMYFUNCTION("""COMPUTED_VALUE"""),46062.45753)</f>
        <v>46062.45753</v>
      </c>
      <c r="M295" s="4"/>
      <c r="N295" s="4"/>
      <c r="O295" s="4"/>
      <c r="P295" s="4"/>
      <c r="Q295" s="4"/>
      <c r="R295" s="4"/>
      <c r="S295" s="4"/>
      <c r="T295" s="4"/>
      <c r="U295" s="4"/>
      <c r="V295" s="4"/>
      <c r="W295" s="4"/>
      <c r="X295" s="4"/>
      <c r="Y295" s="4"/>
      <c r="Z295" s="4"/>
      <c r="AA295" s="4">
        <f>IFERROR(__xludf.DUMMYFUNCTION("""COMPUTED_VALUE"""),10.0)</f>
        <v>10</v>
      </c>
      <c r="AB295" s="4" t="str">
        <f>IFERROR(__xludf.DUMMYFUNCTION("""COMPUTED_VALUE"""),"Não")</f>
        <v>Não</v>
      </c>
      <c r="AC295" s="4" t="str">
        <f>IFERROR(__xludf.DUMMYFUNCTION("""COMPUTED_VALUE"""),"Não")</f>
        <v>Não</v>
      </c>
      <c r="AD295" s="4"/>
      <c r="AE295" s="4"/>
      <c r="AF295" s="4"/>
      <c r="AG295" s="4"/>
      <c r="AH295" s="4"/>
      <c r="AI295" s="4"/>
      <c r="AJ295" s="4"/>
      <c r="AK295" s="4"/>
      <c r="AL295" s="4"/>
      <c r="AM295" s="4" t="str">
        <f>IFERROR(__xludf.DUMMYFUNCTION("""COMPUTED_VALUE"""),"FY26, FY27")</f>
        <v>FY26, FY27</v>
      </c>
      <c r="AN295" s="4"/>
      <c r="AO295" s="4">
        <f>IFERROR(__xludf.DUMMYFUNCTION("""COMPUTED_VALUE"""),61.0)</f>
        <v>61</v>
      </c>
      <c r="AP295" s="4">
        <f>IFERROR(__xludf.DUMMYFUNCTION("""COMPUTED_VALUE"""),0.0)</f>
        <v>0</v>
      </c>
      <c r="AQ295" s="4">
        <f>IFERROR(__xludf.DUMMYFUNCTION("""COMPUTED_VALUE"""),0.0)</f>
        <v>0</v>
      </c>
      <c r="AR295" s="4">
        <f>IFERROR(__xludf.DUMMYFUNCTION("""COMPUTED_VALUE"""),0.0)</f>
        <v>0</v>
      </c>
      <c r="AS295" s="4">
        <f>IFERROR(__xludf.DUMMYFUNCTION("""COMPUTED_VALUE"""),0.0)</f>
        <v>0</v>
      </c>
      <c r="AT295" s="4">
        <f>IFERROR(__xludf.DUMMYFUNCTION("""COMPUTED_VALUE"""),0.0)</f>
        <v>0</v>
      </c>
      <c r="AU295" s="4" t="str">
        <f>IFERROR(__xludf.DUMMYFUNCTION("""COMPUTED_VALUE"""),"Lídia / Emerson")</f>
        <v>Lídia / Emerson</v>
      </c>
      <c r="AV295" s="4">
        <f>IFERROR(__xludf.DUMMYFUNCTION("""COMPUTED_VALUE"""),0.0)</f>
        <v>0</v>
      </c>
      <c r="AW295" s="4">
        <f>IFERROR(__xludf.DUMMYFUNCTION("""COMPUTED_VALUE"""),0.0)</f>
        <v>0</v>
      </c>
      <c r="AX295" s="4">
        <f>IFERROR(__xludf.DUMMYFUNCTION("""COMPUTED_VALUE"""),0.0)</f>
        <v>0</v>
      </c>
      <c r="AY295" s="4"/>
      <c r="AZ295" s="4" t="str">
        <f>IFERROR(__xludf.DUMMYFUNCTION("""COMPUTED_VALUE"""),"NA")</f>
        <v>NA</v>
      </c>
      <c r="BA295" s="4">
        <f>IFERROR(__xludf.DUMMYFUNCTION("""COMPUTED_VALUE"""),90.0)</f>
        <v>90</v>
      </c>
      <c r="BB295" s="4" t="str">
        <f>IFERROR(__xludf.DUMMYFUNCTION("""COMPUTED_VALUE"""),"Fast Casual - Japonesa")</f>
        <v>Fast Casual - Japonesa</v>
      </c>
      <c r="BC295" s="4" t="str">
        <f>IFERROR(__xludf.DUMMYFUNCTION("""COMPUTED_VALUE"""),"Interior SP")</f>
        <v>Interior SP</v>
      </c>
      <c r="BD295" s="4" t="str">
        <f>IFERROR(__xludf.DUMMYFUNCTION("""COMPUTED_VALUE"""),"Dado não disponível publicamente - Necessário Discovery")</f>
        <v>Dado não disponível publicamente - Necessário Discovery</v>
      </c>
      <c r="BE295" s="4">
        <f>IFERROR(__xludf.DUMMYFUNCTION("""COMPUTED_VALUE"""),70.0)</f>
        <v>70</v>
      </c>
      <c r="BF295" s="4">
        <f>IFERROR(__xludf.DUMMYFUNCTION("""COMPUTED_VALUE"""),0.8)</f>
        <v>0.8</v>
      </c>
      <c r="BG295"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295" s="4" t="s">
        <v>63</v>
      </c>
      <c r="BI295" s="7" t="s">
        <v>63</v>
      </c>
    </row>
    <row r="296" hidden="1">
      <c r="A296" s="4" t="str">
        <f>IFERROR(__xludf.DUMMYFUNCTION("""COMPUTED_VALUE"""),"Delirio Tropical")</f>
        <v>Delirio Tropical</v>
      </c>
      <c r="B296" s="4" t="str">
        <f>IFERROR(__xludf.DUMMYFUNCTION("""COMPUTED_VALUE"""),"Lídia Esteves")</f>
        <v>Lídia Esteves</v>
      </c>
      <c r="C296" s="4" t="str">
        <f>IFERROR(__xludf.DUMMYFUNCTION("""COMPUTED_VALUE"""),"Gabriela Roma")</f>
        <v>Gabriela Roma</v>
      </c>
      <c r="D296" s="4" t="str">
        <f>IFERROR(__xludf.DUMMYFUNCTION("""COMPUTED_VALUE"""),"11. Stand by")</f>
        <v>11. Stand by</v>
      </c>
      <c r="E296" s="4" t="str">
        <f>IFERROR(__xludf.DUMMYFUNCTION("""COMPUTED_VALUE"""),"Parceiro - Aguardando retorno / Conciliação agenda")</f>
        <v>Parceiro - Aguardando retorno / Conciliação agenda</v>
      </c>
      <c r="F296" s="4" t="str">
        <f>IFERROR(__xludf.DUMMYFUNCTION("""COMPUTED_VALUE"""),"P")</f>
        <v>P</v>
      </c>
      <c r="G296" s="5">
        <f>IFERROR(__xludf.DUMMYFUNCTION("""COMPUTED_VALUE"""),46120.0)</f>
        <v>46120</v>
      </c>
      <c r="H296" s="4" t="str">
        <f>IFERROR(__xludf.DUMMYFUNCTION("""COMPUTED_VALUE"""),"Parceiro está finalizando instalação SAP, combinamos de volta a falar daqui 2 meses")</f>
        <v>Parceiro está finalizando instalação SAP, combinamos de volta a falar daqui 2 meses</v>
      </c>
      <c r="I296" s="4"/>
      <c r="J296" s="6">
        <f>IFERROR(__xludf.DUMMYFUNCTION("""COMPUTED_VALUE"""),46078.47983456019)</f>
        <v>46078.47983</v>
      </c>
      <c r="K296" s="6">
        <f>IFERROR(__xludf.DUMMYFUNCTION("""COMPUTED_VALUE"""),46084.60625354167)</f>
        <v>46084.60625</v>
      </c>
      <c r="L296" s="6">
        <f>IFERROR(__xludf.DUMMYFUNCTION("""COMPUTED_VALUE"""),46094.66969871528)</f>
        <v>46094.6697</v>
      </c>
      <c r="M296" s="4"/>
      <c r="N296" s="4"/>
      <c r="O296" s="4"/>
      <c r="P296" s="4"/>
      <c r="Q296" s="4"/>
      <c r="R296" s="4"/>
      <c r="S296" s="6">
        <f>IFERROR(__xludf.DUMMYFUNCTION("""COMPUTED_VALUE"""),46120.47910285879)</f>
        <v>46120.4791</v>
      </c>
      <c r="T296" s="4"/>
      <c r="U296" s="4"/>
      <c r="V296" s="21" t="str">
        <f>IFERROR(__xludf.DUMMYFUNCTION("""COMPUTED_VALUE"""),"Trava por projetos internos da marca")</f>
        <v>Trava por projetos internos da marca</v>
      </c>
      <c r="W296" s="4"/>
      <c r="X296" s="4"/>
      <c r="Y296" s="4"/>
      <c r="Z296" s="4"/>
      <c r="AA296" s="4">
        <f>IFERROR(__xludf.DUMMYFUNCTION("""COMPUTED_VALUE"""),10.0)</f>
        <v>10</v>
      </c>
      <c r="AB296" s="4"/>
      <c r="AC296" s="4" t="str">
        <f>IFERROR(__xludf.DUMMYFUNCTION("""COMPUTED_VALUE"""),"Não BP")</f>
        <v>Não BP</v>
      </c>
      <c r="AD296" s="4"/>
      <c r="AE296" s="4"/>
      <c r="AF296" s="4"/>
      <c r="AG296" s="4"/>
      <c r="AH296" s="4"/>
      <c r="AI296" s="4"/>
      <c r="AJ296" s="4"/>
      <c r="AK296" s="4"/>
      <c r="AL296" s="4"/>
      <c r="AM296" s="4" t="str">
        <f>IFERROR(__xludf.DUMMYFUNCTION("""COMPUTED_VALUE"""),"FY26, FY27")</f>
        <v>FY26, FY27</v>
      </c>
      <c r="AN296" s="4" t="str">
        <f>IFERROR(__xludf.DUMMYFUNCTION("""COMPUTED_VALUE"""),"Comer Fora")</f>
        <v>Comer Fora</v>
      </c>
      <c r="AO296" s="4">
        <f>IFERROR(__xludf.DUMMYFUNCTION("""COMPUTED_VALUE"""),95.0)</f>
        <v>95</v>
      </c>
      <c r="AP296" s="4" t="str">
        <f>IFERROR(__xludf.DUMMYFUNCTION("""COMPUTED_VALUE"""),"RJ")</f>
        <v>RJ</v>
      </c>
      <c r="AQ296" s="4" t="str">
        <f>IFERROR(__xludf.DUMMYFUNCTION("""COMPUTED_VALUE"""),"THIAGO FERNANDES")</f>
        <v>THIAGO FERNANDES</v>
      </c>
      <c r="AR296" s="4" t="str">
        <f>IFERROR(__xludf.DUMMYFUNCTION("""COMPUTED_VALUE"""),"JESUS MATHEUS")</f>
        <v>JESUS MATHEUS</v>
      </c>
      <c r="AS296" s="4" t="str">
        <f>IFERROR(__xludf.DUMMYFUNCTION("""COMPUTED_VALUE"""),"NATHALIE MERTENS")</f>
        <v>NATHALIE MERTENS</v>
      </c>
      <c r="AT296" s="4" t="str">
        <f>IFERROR(__xludf.DUMMYFUNCTION("""COMPUTED_VALUE"""),"MARIANA KATZ")</f>
        <v>MARIANA KATZ</v>
      </c>
      <c r="AU296" s="4" t="str">
        <f>IFERROR(__xludf.DUMMYFUNCTION("""COMPUTED_VALUE"""),"Ana")</f>
        <v>Ana</v>
      </c>
      <c r="AV296" s="4" t="str">
        <f>IFERROR(__xludf.DUMMYFUNCTION("""COMPUTED_VALUE"""),"Comer Fora-")</f>
        <v>Comer Fora-</v>
      </c>
      <c r="AW296" s="20" t="str">
        <f>IFERROR(__xludf.DUMMYFUNCTION("""COMPUTED_VALUE"""),"P e M - pipe")</f>
        <v>P e M - pipe</v>
      </c>
      <c r="AX296" s="4"/>
      <c r="AY296" s="4"/>
      <c r="AZ296" s="4" t="str">
        <f>IFERROR(__xludf.DUMMYFUNCTION("""COMPUTED_VALUE"""),"Saudável")</f>
        <v>Saudável</v>
      </c>
      <c r="BA296" s="4" t="str">
        <f>IFERROR(__xludf.DUMMYFUNCTION("""COMPUTED_VALUE"""),"")</f>
        <v/>
      </c>
      <c r="BB296" s="4" t="str">
        <f>IFERROR(__xludf.DUMMYFUNCTION("""COMPUTED_VALUE"""),"")</f>
        <v/>
      </c>
      <c r="BC296" s="4" t="str">
        <f>IFERROR(__xludf.DUMMYFUNCTION("""COMPUTED_VALUE"""),"")</f>
        <v/>
      </c>
      <c r="BD296" s="4" t="str">
        <f>IFERROR(__xludf.DUMMYFUNCTION("""COMPUTED_VALUE"""),"")</f>
        <v/>
      </c>
      <c r="BE296" s="4" t="str">
        <f>IFERROR(__xludf.DUMMYFUNCTION("""COMPUTED_VALUE"""),"")</f>
        <v/>
      </c>
      <c r="BF296" s="4" t="str">
        <f>IFERROR(__xludf.DUMMYFUNCTION("""COMPUTED_VALUE"""),"")</f>
        <v/>
      </c>
      <c r="BG296" s="4" t="str">
        <f>IFERROR(__xludf.DUMMYFUNCTION("""COMPUTED_VALUE"""),"")</f>
        <v/>
      </c>
      <c r="BH296" s="4" t="s">
        <v>79</v>
      </c>
      <c r="BI296" s="7">
        <v>0.8</v>
      </c>
    </row>
    <row r="297" hidden="1">
      <c r="A297" s="4" t="str">
        <f>IFERROR(__xludf.DUMMYFUNCTION("""COMPUTED_VALUE"""),"Detroit Pizzaria Cp")</f>
        <v>Detroit Pizzaria Cp</v>
      </c>
      <c r="B297" s="4" t="str">
        <f>IFERROR(__xludf.DUMMYFUNCTION("""COMPUTED_VALUE"""),"Lídia Esteves")</f>
        <v>Lídia Esteves</v>
      </c>
      <c r="C297" s="4" t="str">
        <f>IFERROR(__xludf.DUMMYFUNCTION("""COMPUTED_VALUE"""),"Gabriela Roma")</f>
        <v>Gabriela Roma</v>
      </c>
      <c r="D297" s="4" t="str">
        <f>IFERROR(__xludf.DUMMYFUNCTION("""COMPUTED_VALUE"""),"0. Não Iniciado")</f>
        <v>0. Não Iniciado</v>
      </c>
      <c r="E297" s="4"/>
      <c r="F297" s="4" t="str">
        <f>IFERROR(__xludf.DUMMYFUNCTION("""COMPUTED_VALUE"""),"P")</f>
        <v>P</v>
      </c>
      <c r="G297" s="4"/>
      <c r="H297" s="4"/>
      <c r="I297" s="4"/>
      <c r="J297" s="4"/>
      <c r="K297" s="4"/>
      <c r="L297" s="4"/>
      <c r="M297" s="4"/>
      <c r="N297" s="4"/>
      <c r="O297" s="4"/>
      <c r="P297" s="4"/>
      <c r="Q297" s="4"/>
      <c r="R297" s="4"/>
      <c r="S297" s="4"/>
      <c r="T297" s="4"/>
      <c r="U297" s="4"/>
      <c r="V297" s="4"/>
      <c r="W297" s="4"/>
      <c r="X297" s="4"/>
      <c r="Y297" s="4"/>
      <c r="Z297" s="4"/>
      <c r="AA297" s="4">
        <f>IFERROR(__xludf.DUMMYFUNCTION("""COMPUTED_VALUE"""),8.0)</f>
        <v>8</v>
      </c>
      <c r="AB297" s="4" t="str">
        <f>IFERROR(__xludf.DUMMYFUNCTION("""COMPUTED_VALUE"""),"-")</f>
        <v>-</v>
      </c>
      <c r="AC297" s="4" t="str">
        <f>IFERROR(__xludf.DUMMYFUNCTION("""COMPUTED_VALUE"""),"-")</f>
        <v>-</v>
      </c>
      <c r="AD297" s="4"/>
      <c r="AE297" s="4"/>
      <c r="AF297" s="4"/>
      <c r="AG297" s="4"/>
      <c r="AH297" s="4"/>
      <c r="AI297" s="4"/>
      <c r="AJ297" s="4"/>
      <c r="AK297" s="4"/>
      <c r="AL297" s="4"/>
      <c r="AM297" s="4" t="str">
        <f>IFERROR(__xludf.DUMMYFUNCTION("""COMPUTED_VALUE"""),"FY26, FY27")</f>
        <v>FY26, FY27</v>
      </c>
      <c r="AN297" s="4"/>
      <c r="AO297" s="4">
        <f>IFERROR(__xludf.DUMMYFUNCTION("""COMPUTED_VALUE"""),45553.0)</f>
        <v>45553</v>
      </c>
      <c r="AP297" s="4">
        <f>IFERROR(__xludf.DUMMYFUNCTION("""COMPUTED_VALUE"""),0.0)</f>
        <v>0</v>
      </c>
      <c r="AQ297" s="4">
        <f>IFERROR(__xludf.DUMMYFUNCTION("""COMPUTED_VALUE"""),0.0)</f>
        <v>0</v>
      </c>
      <c r="AR297" s="4">
        <f>IFERROR(__xludf.DUMMYFUNCTION("""COMPUTED_VALUE"""),0.0)</f>
        <v>0</v>
      </c>
      <c r="AS297" s="4">
        <f>IFERROR(__xludf.DUMMYFUNCTION("""COMPUTED_VALUE"""),0.0)</f>
        <v>0</v>
      </c>
      <c r="AT297" s="4">
        <f>IFERROR(__xludf.DUMMYFUNCTION("""COMPUTED_VALUE"""),0.0)</f>
        <v>0</v>
      </c>
      <c r="AU297" s="4" t="str">
        <f>IFERROR(__xludf.DUMMYFUNCTION("""COMPUTED_VALUE"""),"Lídia / Emerson")</f>
        <v>Lídia / Emerson</v>
      </c>
      <c r="AV297" s="4">
        <f>IFERROR(__xludf.DUMMYFUNCTION("""COMPUTED_VALUE"""),0.0)</f>
        <v>0</v>
      </c>
      <c r="AW297" s="4">
        <f>IFERROR(__xludf.DUMMYFUNCTION("""COMPUTED_VALUE"""),0.0)</f>
        <v>0</v>
      </c>
      <c r="AX297" s="4">
        <f>IFERROR(__xludf.DUMMYFUNCTION("""COMPUTED_VALUE"""),0.0)</f>
        <v>0</v>
      </c>
      <c r="AY297" s="4"/>
      <c r="AZ297" s="4" t="str">
        <f>IFERROR(__xludf.DUMMYFUNCTION("""COMPUTED_VALUE"""),"NA")</f>
        <v>NA</v>
      </c>
      <c r="BA297" s="4">
        <f>IFERROR(__xludf.DUMMYFUNCTION("""COMPUTED_VALUE"""),64.0)</f>
        <v>64</v>
      </c>
      <c r="BB297" s="4" t="str">
        <f>IFERROR(__xludf.DUMMYFUNCTION("""COMPUTED_VALUE"""),"Fast Casual - Pizzaria")</f>
        <v>Fast Casual - Pizzaria</v>
      </c>
      <c r="BC297" s="4" t="str">
        <f>IFERROR(__xludf.DUMMYFUNCTION("""COMPUTED_VALUE"""),"Belo Horizonte/MG")</f>
        <v>Belo Horizonte/MG</v>
      </c>
      <c r="BD297" s="4" t="str">
        <f>IFERROR(__xludf.DUMMYFUNCTION("""COMPUTED_VALUE"""),"Dado não disponível publicamente - Necessário Discovery")</f>
        <v>Dado não disponível publicamente - Necessário Discovery</v>
      </c>
      <c r="BE297" s="4">
        <f>IFERROR(__xludf.DUMMYFUNCTION("""COMPUTED_VALUE"""),70.0)</f>
        <v>70</v>
      </c>
      <c r="BF297" s="4">
        <f>IFERROR(__xludf.DUMMYFUNCTION("""COMPUTED_VALUE"""),0.75)</f>
        <v>0.75</v>
      </c>
      <c r="BG29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97" s="4" t="s">
        <v>124</v>
      </c>
      <c r="BI297" s="7">
        <v>1.0</v>
      </c>
    </row>
    <row r="298" hidden="1">
      <c r="A298" s="4" t="str">
        <f>IFERROR(__xludf.DUMMYFUNCTION("""COMPUTED_VALUE"""),"Di Frango")</f>
        <v>Di Frango</v>
      </c>
      <c r="B298" s="4" t="str">
        <f>IFERROR(__xludf.DUMMYFUNCTION("""COMPUTED_VALUE"""),"Lídia Esteves")</f>
        <v>Lídia Esteves</v>
      </c>
      <c r="C298" s="4" t="str">
        <f>IFERROR(__xludf.DUMMYFUNCTION("""COMPUTED_VALUE"""),"Gabriela Roma")</f>
        <v>Gabriela Roma</v>
      </c>
      <c r="D298" s="4" t="str">
        <f>IFERROR(__xludf.DUMMYFUNCTION("""COMPUTED_VALUE"""),"0. Não Iniciado")</f>
        <v>0. Não Iniciado</v>
      </c>
      <c r="E298" s="4"/>
      <c r="F298" s="4" t="str">
        <f>IFERROR(__xludf.DUMMYFUNCTION("""COMPUTED_VALUE"""),"P")</f>
        <v>P</v>
      </c>
      <c r="G298" s="4"/>
      <c r="H298" s="4"/>
      <c r="I298" s="4"/>
      <c r="J298" s="4"/>
      <c r="K298" s="4"/>
      <c r="L298" s="4"/>
      <c r="M298" s="4"/>
      <c r="N298" s="4"/>
      <c r="O298" s="4"/>
      <c r="P298" s="4"/>
      <c r="Q298" s="4"/>
      <c r="R298" s="4"/>
      <c r="S298" s="4"/>
      <c r="T298" s="4"/>
      <c r="U298" s="4"/>
      <c r="V298" s="4"/>
      <c r="W298" s="4"/>
      <c r="X298" s="4"/>
      <c r="Y298" s="4"/>
      <c r="Z298" s="4"/>
      <c r="AA298" s="4">
        <f>IFERROR(__xludf.DUMMYFUNCTION("""COMPUTED_VALUE"""),8.0)</f>
        <v>8</v>
      </c>
      <c r="AB298" s="4" t="str">
        <f>IFERROR(__xludf.DUMMYFUNCTION("""COMPUTED_VALUE"""),"-")</f>
        <v>-</v>
      </c>
      <c r="AC298" s="4" t="str">
        <f>IFERROR(__xludf.DUMMYFUNCTION("""COMPUTED_VALUE"""),"-")</f>
        <v>-</v>
      </c>
      <c r="AD298" s="4"/>
      <c r="AE298" s="4"/>
      <c r="AF298" s="4"/>
      <c r="AG298" s="4"/>
      <c r="AH298" s="4"/>
      <c r="AI298" s="4"/>
      <c r="AJ298" s="4"/>
      <c r="AK298" s="4"/>
      <c r="AL298" s="4"/>
      <c r="AM298" s="4" t="str">
        <f>IFERROR(__xludf.DUMMYFUNCTION("""COMPUTED_VALUE"""),"FY26, FY27")</f>
        <v>FY26, FY27</v>
      </c>
      <c r="AN298" s="4"/>
      <c r="AO298" s="4">
        <f>IFERROR(__xludf.DUMMYFUNCTION("""COMPUTED_VALUE"""),45553.0)</f>
        <v>45553</v>
      </c>
      <c r="AP298" s="4" t="str">
        <f>IFERROR(__xludf.DUMMYFUNCTION("""COMPUTED_VALUE"""),"PR")</f>
        <v>PR</v>
      </c>
      <c r="AQ298" s="4" t="str">
        <f>IFERROR(__xludf.DUMMYFUNCTION("""COMPUTED_VALUE"""),"RAFAEL FERREIRA")</f>
        <v>RAFAEL FERREIRA</v>
      </c>
      <c r="AR298" s="4" t="str">
        <f>IFERROR(__xludf.DUMMYFUNCTION("""COMPUTED_VALUE"""),"DIEGO LISE")</f>
        <v>DIEGO LISE</v>
      </c>
      <c r="AS298" s="4" t="str">
        <f>IFERROR(__xludf.DUMMYFUNCTION("""COMPUTED_VALUE"""),"FABIO DONATO")</f>
        <v>FABIO DONATO</v>
      </c>
      <c r="AT298" s="4" t="str">
        <f>IFERROR(__xludf.DUMMYFUNCTION("""COMPUTED_VALUE"""),"MURILO NAGASHIMA")</f>
        <v>MURILO NAGASHIMA</v>
      </c>
      <c r="AU298" s="4" t="str">
        <f>IFERROR(__xludf.DUMMYFUNCTION("""COMPUTED_VALUE"""),"Lídia / Emerson")</f>
        <v>Lídia / Emerson</v>
      </c>
      <c r="AV298" s="4">
        <f>IFERROR(__xludf.DUMMYFUNCTION("""COMPUTED_VALUE"""),0.0)</f>
        <v>0</v>
      </c>
      <c r="AW298" s="4">
        <f>IFERROR(__xludf.DUMMYFUNCTION("""COMPUTED_VALUE"""),0.0)</f>
        <v>0</v>
      </c>
      <c r="AX298" s="4">
        <f>IFERROR(__xludf.DUMMYFUNCTION("""COMPUTED_VALUE"""),0.0)</f>
        <v>0</v>
      </c>
      <c r="AY298" s="4"/>
      <c r="AZ298" s="4" t="str">
        <f>IFERROR(__xludf.DUMMYFUNCTION("""COMPUTED_VALUE"""),"Brasileira")</f>
        <v>Brasileira</v>
      </c>
      <c r="BA298" s="4">
        <f>IFERROR(__xludf.DUMMYFUNCTION("""COMPUTED_VALUE"""),72.0)</f>
        <v>72</v>
      </c>
      <c r="BB298" s="4" t="str">
        <f>IFERROR(__xludf.DUMMYFUNCTION("""COMPUTED_VALUE"""),"Fast Casual - Multi-conceito")</f>
        <v>Fast Casual - Multi-conceito</v>
      </c>
      <c r="BC298" s="4" t="str">
        <f>IFERROR(__xludf.DUMMYFUNCTION("""COMPUTED_VALUE"""),"Belo Horizonte/MG")</f>
        <v>Belo Horizonte/MG</v>
      </c>
      <c r="BD298" s="4" t="str">
        <f>IFERROR(__xludf.DUMMYFUNCTION("""COMPUTED_VALUE"""),"Dado não disponível publicamente - Necessário Discovery")</f>
        <v>Dado não disponível publicamente - Necessário Discovery</v>
      </c>
      <c r="BE298" s="4">
        <f>IFERROR(__xludf.DUMMYFUNCTION("""COMPUTED_VALUE"""),65.0)</f>
        <v>65</v>
      </c>
      <c r="BF298" s="4">
        <f>IFERROR(__xludf.DUMMYFUNCTION("""COMPUTED_VALUE"""),0.75)</f>
        <v>0.75</v>
      </c>
      <c r="BG29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98" s="4" t="s">
        <v>89</v>
      </c>
      <c r="BI298" s="7">
        <v>0.75</v>
      </c>
    </row>
    <row r="299" hidden="1">
      <c r="A299" s="4" t="str">
        <f>IFERROR(__xludf.DUMMYFUNCTION("""COMPUTED_VALUE"""),"Di Napoli")</f>
        <v>Di Napoli</v>
      </c>
      <c r="B299" s="4" t="str">
        <f>IFERROR(__xludf.DUMMYFUNCTION("""COMPUTED_VALUE"""),"Lídia Esteves")</f>
        <v>Lídia Esteves</v>
      </c>
      <c r="C299" s="4" t="str">
        <f>IFERROR(__xludf.DUMMYFUNCTION("""COMPUTED_VALUE"""),"Gabriela Roma")</f>
        <v>Gabriela Roma</v>
      </c>
      <c r="D299" s="4" t="str">
        <f>IFERROR(__xludf.DUMMYFUNCTION("""COMPUTED_VALUE"""),"3. Apresentação")</f>
        <v>3. Apresentação</v>
      </c>
      <c r="E299" s="4" t="str">
        <f>IFERROR(__xludf.DUMMYFUNCTION("""COMPUTED_VALUE"""),"Parceiro - Aguardando retorno / Conciliação agenda")</f>
        <v>Parceiro - Aguardando retorno / Conciliação agenda</v>
      </c>
      <c r="F299" s="4" t="str">
        <f>IFERROR(__xludf.DUMMYFUNCTION("""COMPUTED_VALUE"""),"P")</f>
        <v>P</v>
      </c>
      <c r="G299" s="5">
        <f>IFERROR(__xludf.DUMMYFUNCTION("""COMPUTED_VALUE"""),46099.0)</f>
        <v>46099</v>
      </c>
      <c r="H299" s="4" t="str">
        <f>IFERROR(__xludf.DUMMYFUNCTION("""COMPUTED_VALUE"""),"Pedi ajuda ao executivo para conseguir engamento do lado do parceiro, entrei em contato diretamente com o parceiro porém não tive resposta.")</f>
        <v>Pedi ajuda ao executivo para conseguir engamento do lado do parceiro, entrei em contato diretamente com o parceiro porém não tive resposta.</v>
      </c>
      <c r="I299" s="4"/>
      <c r="J299" s="4"/>
      <c r="K299" s="4"/>
      <c r="L299" s="4"/>
      <c r="M299" s="4"/>
      <c r="N299" s="4"/>
      <c r="O299" s="4"/>
      <c r="P299" s="4"/>
      <c r="Q299" s="4"/>
      <c r="R299" s="4"/>
      <c r="S299" s="4"/>
      <c r="T299" s="4"/>
      <c r="U299" s="4"/>
      <c r="V299" s="4"/>
      <c r="W299" s="4"/>
      <c r="X299" s="4"/>
      <c r="Y299" s="4"/>
      <c r="Z299" s="4"/>
      <c r="AA299" s="4">
        <f>IFERROR(__xludf.DUMMYFUNCTION("""COMPUTED_VALUE"""),15.0)</f>
        <v>15</v>
      </c>
      <c r="AB299" s="4" t="str">
        <f>IFERROR(__xludf.DUMMYFUNCTION("""COMPUTED_VALUE"""),"NÃO")</f>
        <v>NÃO</v>
      </c>
      <c r="AC299" s="4" t="str">
        <f>IFERROR(__xludf.DUMMYFUNCTION("""COMPUTED_VALUE"""),"BP")</f>
        <v>BP</v>
      </c>
      <c r="AD299" s="4"/>
      <c r="AE299" s="4"/>
      <c r="AF299" s="4"/>
      <c r="AG299" s="4"/>
      <c r="AH299" s="4"/>
      <c r="AI299" s="4"/>
      <c r="AJ299" s="4"/>
      <c r="AK299" s="4"/>
      <c r="AL299" s="4"/>
      <c r="AM299" s="4" t="str">
        <f>IFERROR(__xludf.DUMMYFUNCTION("""COMPUTED_VALUE"""),"FY26, FY27")</f>
        <v>FY26, FY27</v>
      </c>
      <c r="AN299" s="4"/>
      <c r="AO299" s="4">
        <f>IFERROR(__xludf.DUMMYFUNCTION("""COMPUTED_VALUE"""),115.0)</f>
        <v>115</v>
      </c>
      <c r="AP299" s="4" t="str">
        <f>IFERROR(__xludf.DUMMYFUNCTION("""COMPUTED_VALUE"""),"PR")</f>
        <v>PR</v>
      </c>
      <c r="AQ299" s="4" t="str">
        <f>IFERROR(__xludf.DUMMYFUNCTION("""COMPUTED_VALUE"""),"OLIVEIRA DOUGLAS")</f>
        <v>OLIVEIRA DOUGLAS</v>
      </c>
      <c r="AR299" s="4">
        <f>IFERROR(__xludf.DUMMYFUNCTION("""COMPUTED_VALUE"""),0.0)</f>
        <v>0</v>
      </c>
      <c r="AS299" s="4">
        <f>IFERROR(__xludf.DUMMYFUNCTION("""COMPUTED_VALUE"""),0.0)</f>
        <v>0</v>
      </c>
      <c r="AT299" s="4">
        <f>IFERROR(__xludf.DUMMYFUNCTION("""COMPUTED_VALUE"""),0.0)</f>
        <v>0</v>
      </c>
      <c r="AU299" s="4" t="str">
        <f>IFERROR(__xludf.DUMMYFUNCTION("""COMPUTED_VALUE"""),"Ana")</f>
        <v>Ana</v>
      </c>
      <c r="AV299" s="4">
        <f>IFERROR(__xludf.DUMMYFUNCTION("""COMPUTED_VALUE"""),0.0)</f>
        <v>0</v>
      </c>
      <c r="AW299" s="4">
        <f>IFERROR(__xludf.DUMMYFUNCTION("""COMPUTED_VALUE"""),0.0)</f>
        <v>0</v>
      </c>
      <c r="AX299" s="4">
        <f>IFERROR(__xludf.DUMMYFUNCTION("""COMPUTED_VALUE"""),0.0)</f>
        <v>0</v>
      </c>
      <c r="AY299" s="4"/>
      <c r="AZ299" s="4" t="str">
        <f>IFERROR(__xludf.DUMMYFUNCTION("""COMPUTED_VALUE"""),"Pizza")</f>
        <v>Pizza</v>
      </c>
      <c r="BA299" s="4">
        <f>IFERROR(__xludf.DUMMYFUNCTION("""COMPUTED_VALUE"""),68.0)</f>
        <v>68</v>
      </c>
      <c r="BB299" s="4" t="str">
        <f>IFERROR(__xludf.DUMMYFUNCTION("""COMPUTED_VALUE"""),"Fast Casual - Multi-conceito")</f>
        <v>Fast Casual - Multi-conceito</v>
      </c>
      <c r="BC299" s="4" t="str">
        <f>IFERROR(__xludf.DUMMYFUNCTION("""COMPUTED_VALUE"""),"Brasília/DF")</f>
        <v>Brasília/DF</v>
      </c>
      <c r="BD299" s="4" t="str">
        <f>IFERROR(__xludf.DUMMYFUNCTION("""COMPUTED_VALUE"""),"Dado não disponível publicamente - Necessário Discovery")</f>
        <v>Dado não disponível publicamente - Necessário Discovery</v>
      </c>
      <c r="BE299" s="4">
        <f>IFERROR(__xludf.DUMMYFUNCTION("""COMPUTED_VALUE"""),65.0)</f>
        <v>65</v>
      </c>
      <c r="BF299" s="4">
        <f>IFERROR(__xludf.DUMMYFUNCTION("""COMPUTED_VALUE"""),0.75)</f>
        <v>0.75</v>
      </c>
      <c r="BG29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299" s="4" t="s">
        <v>63</v>
      </c>
      <c r="BI299" s="7" t="s">
        <v>63</v>
      </c>
    </row>
    <row r="300">
      <c r="A300" s="4" t="str">
        <f>IFERROR(__xludf.DUMMYFUNCTION("""COMPUTED_VALUE"""),"Divino Fogão")</f>
        <v>Divino Fogão</v>
      </c>
      <c r="B300" s="4" t="str">
        <f>IFERROR(__xludf.DUMMYFUNCTION("""COMPUTED_VALUE"""),"Leonardo Roso")</f>
        <v>Leonardo Roso</v>
      </c>
      <c r="C300" s="4" t="str">
        <f>IFERROR(__xludf.DUMMYFUNCTION("""COMPUTED_VALUE"""),"Leonardo Roso")</f>
        <v>Leonardo Roso</v>
      </c>
      <c r="D300" s="4" t="str">
        <f>IFERROR(__xludf.DUMMYFUNCTION("""COMPUTED_VALUE"""),"6. Negociação")</f>
        <v>6. Negociação</v>
      </c>
      <c r="E300" s="4" t="str">
        <f>IFERROR(__xludf.DUMMYFUNCTION("""COMPUTED_VALUE"""),"Comercial - Contato realizado com parceiro")</f>
        <v>Comercial - Contato realizado com parceiro</v>
      </c>
      <c r="F300" s="4" t="str">
        <f>IFERROR(__xludf.DUMMYFUNCTION("""COMPUTED_VALUE"""),"G")</f>
        <v>G</v>
      </c>
      <c r="G300" s="5">
        <f>IFERROR(__xludf.DUMMYFUNCTION("""COMPUTED_VALUE"""),46076.0)</f>
        <v>46076</v>
      </c>
      <c r="H300" s="4" t="str">
        <f>IFERROR(__xludf.DUMMYFUNCTION("""COMPUTED_VALUE"""),"Recebemos parceiro no escritório para showroom, enviamos e-mail com proposta, aguardando devolutiva. FUP em 23/02.")</f>
        <v>Recebemos parceiro no escritório para showroom, enviamos e-mail com proposta, aguardando devolutiva. FUP em 23/02.</v>
      </c>
      <c r="I300" s="4"/>
      <c r="J300" s="4"/>
      <c r="K300" s="6">
        <f>IFERROR(__xludf.DUMMYFUNCTION("""COMPUTED_VALUE"""),45911.0)</f>
        <v>45911</v>
      </c>
      <c r="L300" s="4"/>
      <c r="M300" s="4"/>
      <c r="N300" s="6">
        <f>IFERROR(__xludf.DUMMYFUNCTION("""COMPUTED_VALUE"""),46064.465930798615)</f>
        <v>46064.46593</v>
      </c>
      <c r="O300" s="4"/>
      <c r="P300" s="4"/>
      <c r="Q300" s="4"/>
      <c r="R300" s="4"/>
      <c r="S300" s="4"/>
      <c r="T300" s="4"/>
      <c r="U300" s="4"/>
      <c r="V300" s="4"/>
      <c r="W300" s="4"/>
      <c r="X300" s="4"/>
      <c r="Y300" s="4"/>
      <c r="Z300" s="4"/>
      <c r="AA300" s="4">
        <f>IFERROR(__xludf.DUMMYFUNCTION("""COMPUTED_VALUE"""),200.0)</f>
        <v>200</v>
      </c>
      <c r="AB300" s="4" t="str">
        <f>IFERROR(__xludf.DUMMYFUNCTION("""COMPUTED_VALUE"""),"KA")</f>
        <v>KA</v>
      </c>
      <c r="AC300" s="4" t="str">
        <f>IFERROR(__xludf.DUMMYFUNCTION("""COMPUTED_VALUE"""),"BP")</f>
        <v>BP</v>
      </c>
      <c r="AD300" s="4"/>
      <c r="AE300" s="4"/>
      <c r="AF300" s="4"/>
      <c r="AG300" s="4"/>
      <c r="AH300" s="4"/>
      <c r="AI300" s="4"/>
      <c r="AJ300" s="4"/>
      <c r="AK300" s="4"/>
      <c r="AL300" s="4"/>
      <c r="AM300" s="4" t="str">
        <f>IFERROR(__xludf.DUMMYFUNCTION("""COMPUTED_VALUE"""),"FY26, FY27")</f>
        <v>FY26, FY27</v>
      </c>
      <c r="AN300" s="4"/>
      <c r="AO300" s="4">
        <f>IFERROR(__xludf.DUMMYFUNCTION("""COMPUTED_VALUE"""),140.0)</f>
        <v>140</v>
      </c>
      <c r="AP300" s="4">
        <f>IFERROR(__xludf.DUMMYFUNCTION("""COMPUTED_VALUE"""),0.0)</f>
        <v>0</v>
      </c>
      <c r="AQ300" s="4">
        <f>IFERROR(__xludf.DUMMYFUNCTION("""COMPUTED_VALUE"""),0.0)</f>
        <v>0</v>
      </c>
      <c r="AR300" s="4">
        <f>IFERROR(__xludf.DUMMYFUNCTION("""COMPUTED_VALUE"""),0.0)</f>
        <v>0</v>
      </c>
      <c r="AS300" s="4">
        <f>IFERROR(__xludf.DUMMYFUNCTION("""COMPUTED_VALUE"""),0.0)</f>
        <v>0</v>
      </c>
      <c r="AT300" s="4">
        <f>IFERROR(__xludf.DUMMYFUNCTION("""COMPUTED_VALUE"""),0.0)</f>
        <v>0</v>
      </c>
      <c r="AU300" s="4" t="str">
        <f>IFERROR(__xludf.DUMMYFUNCTION("""COMPUTED_VALUE"""),"Leonardo Roso")</f>
        <v>Leonardo Roso</v>
      </c>
      <c r="AV300" s="4" t="str">
        <f>IFERROR(__xludf.DUMMYFUNCTION("""COMPUTED_VALUE"""),"Comer Fora-")</f>
        <v>Comer Fora-</v>
      </c>
      <c r="AW300" s="20" t="str">
        <f>IFERROR(__xludf.DUMMYFUNCTION("""COMPUTED_VALUE"""),"G - pipe")</f>
        <v>G - pipe</v>
      </c>
      <c r="AX300" s="4"/>
      <c r="AY300" s="4">
        <f>IFERROR(__xludf.DUMMYFUNCTION("""COMPUTED_VALUE"""),0.0)</f>
        <v>0</v>
      </c>
      <c r="AZ300" s="4" t="str">
        <f>IFERROR(__xludf.DUMMYFUNCTION("""COMPUTED_VALUE"""),"NA")</f>
        <v>NA</v>
      </c>
      <c r="BA300" s="4">
        <f>IFERROR(__xludf.DUMMYFUNCTION("""COMPUTED_VALUE"""),55.0)</f>
        <v>55</v>
      </c>
      <c r="BB300" s="4" t="str">
        <f>IFERROR(__xludf.DUMMYFUNCTION("""COMPUTED_VALUE"""),"Fast Casual - Multi-conceito")</f>
        <v>Fast Casual - Multi-conceito</v>
      </c>
      <c r="BC300" s="4" t="str">
        <f>IFERROR(__xludf.DUMMYFUNCTION("""COMPUTED_VALUE"""),"Regional")</f>
        <v>Regional</v>
      </c>
      <c r="BD300" s="4" t="str">
        <f>IFERROR(__xludf.DUMMYFUNCTION("""COMPUTED_VALUE"""),"Dado não disponível publicamente - Necessário Discovery")</f>
        <v>Dado não disponível publicamente - Necessário Discovery</v>
      </c>
      <c r="BE300" s="4">
        <f>IFERROR(__xludf.DUMMYFUNCTION("""COMPUTED_VALUE"""),70.0)</f>
        <v>70</v>
      </c>
      <c r="BF300" s="4">
        <f>IFERROR(__xludf.DUMMYFUNCTION("""COMPUTED_VALUE"""),0.75)</f>
        <v>0.75</v>
      </c>
      <c r="BG30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300" s="4" t="s">
        <v>63</v>
      </c>
      <c r="BI300" s="7" t="s">
        <v>63</v>
      </c>
    </row>
    <row r="301" hidden="1">
      <c r="A301" s="4" t="str">
        <f>IFERROR(__xludf.DUMMYFUNCTION("""COMPUTED_VALUE"""),"Dna Da Pizza")</f>
        <v>Dna Da Pizza</v>
      </c>
      <c r="B301" s="4" t="str">
        <f>IFERROR(__xludf.DUMMYFUNCTION("""COMPUTED_VALUE"""),"Lídia Esteves")</f>
        <v>Lídia Esteves</v>
      </c>
      <c r="C301" s="4" t="str">
        <f>IFERROR(__xludf.DUMMYFUNCTION("""COMPUTED_VALUE"""),"Gabriela Roma")</f>
        <v>Gabriela Roma</v>
      </c>
      <c r="D301" s="4" t="str">
        <f>IFERROR(__xludf.DUMMYFUNCTION("""COMPUTED_VALUE"""),"1. Iniciado")</f>
        <v>1. Iniciado</v>
      </c>
      <c r="E301" s="4" t="str">
        <f>IFERROR(__xludf.DUMMYFUNCTION("""COMPUTED_VALUE"""),"Delivery - Aguardando retorno / Conciliação agenda")</f>
        <v>Delivery - Aguardando retorno / Conciliação agenda</v>
      </c>
      <c r="F301" s="4" t="str">
        <f>IFERROR(__xludf.DUMMYFUNCTION("""COMPUTED_VALUE"""),"P")</f>
        <v>P</v>
      </c>
      <c r="G301" s="4"/>
      <c r="H301" s="4"/>
      <c r="I301" s="6">
        <f>IFERROR(__xludf.DUMMYFUNCTION("""COMPUTED_VALUE"""),46122.65713846065)</f>
        <v>46122.65714</v>
      </c>
      <c r="J301" s="4"/>
      <c r="K301" s="4"/>
      <c r="L301" s="4"/>
      <c r="M301" s="4"/>
      <c r="N301" s="4"/>
      <c r="O301" s="4"/>
      <c r="P301" s="4"/>
      <c r="Q301" s="4"/>
      <c r="R301" s="4"/>
      <c r="S301" s="4"/>
      <c r="T301" s="4"/>
      <c r="U301" s="4"/>
      <c r="V301" s="4"/>
      <c r="W301" s="4"/>
      <c r="X301" s="4"/>
      <c r="Y301" s="4"/>
      <c r="Z301" s="4"/>
      <c r="AA301" s="4">
        <f>IFERROR(__xludf.DUMMYFUNCTION("""COMPUTED_VALUE"""),11.0)</f>
        <v>11</v>
      </c>
      <c r="AB301" s="4" t="str">
        <f>IFERROR(__xludf.DUMMYFUNCTION("""COMPUTED_VALUE"""),"-")</f>
        <v>-</v>
      </c>
      <c r="AC301" s="4" t="str">
        <f>IFERROR(__xludf.DUMMYFUNCTION("""COMPUTED_VALUE"""),"-")</f>
        <v>-</v>
      </c>
      <c r="AD301" s="4"/>
      <c r="AE301" s="4"/>
      <c r="AF301" s="4"/>
      <c r="AG301" s="4"/>
      <c r="AH301" s="4"/>
      <c r="AI301" s="4"/>
      <c r="AJ301" s="4"/>
      <c r="AK301" s="4"/>
      <c r="AL301" s="4"/>
      <c r="AM301" s="4" t="str">
        <f>IFERROR(__xludf.DUMMYFUNCTION("""COMPUTED_VALUE"""),"FY26, FY27")</f>
        <v>FY26, FY27</v>
      </c>
      <c r="AN301" s="4"/>
      <c r="AO301" s="4">
        <f>IFERROR(__xludf.DUMMYFUNCTION("""COMPUTED_VALUE"""),45553.0)</f>
        <v>45553</v>
      </c>
      <c r="AP301" s="4" t="str">
        <f>IFERROR(__xludf.DUMMYFUNCTION("""COMPUTED_VALUE"""),"PR")</f>
        <v>PR</v>
      </c>
      <c r="AQ301" s="4" t="str">
        <f>IFERROR(__xludf.DUMMYFUNCTION("""COMPUTED_VALUE"""),"PAULA VERDASCA")</f>
        <v>PAULA VERDASCA</v>
      </c>
      <c r="AR301" s="4" t="str">
        <f>IFERROR(__xludf.DUMMYFUNCTION("""COMPUTED_VALUE"""),"FERNANDA ABRANTES")</f>
        <v>FERNANDA ABRANTES</v>
      </c>
      <c r="AS301" s="4" t="str">
        <f>IFERROR(__xludf.DUMMYFUNCTION("""COMPUTED_VALUE"""),"FABIO DONATO")</f>
        <v>FABIO DONATO</v>
      </c>
      <c r="AT301" s="4" t="str">
        <f>IFERROR(__xludf.DUMMYFUNCTION("""COMPUTED_VALUE"""),"MURILO NAGASHIMA")</f>
        <v>MURILO NAGASHIMA</v>
      </c>
      <c r="AU301" s="4" t="str">
        <f>IFERROR(__xludf.DUMMYFUNCTION("""COMPUTED_VALUE"""),"Lídia / Emerson")</f>
        <v>Lídia / Emerson</v>
      </c>
      <c r="AV301" s="4">
        <f>IFERROR(__xludf.DUMMYFUNCTION("""COMPUTED_VALUE"""),0.0)</f>
        <v>0</v>
      </c>
      <c r="AW301" s="4">
        <f>IFERROR(__xludf.DUMMYFUNCTION("""COMPUTED_VALUE"""),0.0)</f>
        <v>0</v>
      </c>
      <c r="AX301" s="4">
        <f>IFERROR(__xludf.DUMMYFUNCTION("""COMPUTED_VALUE"""),0.0)</f>
        <v>0</v>
      </c>
      <c r="AY301" s="4"/>
      <c r="AZ301" s="4" t="str">
        <f>IFERROR(__xludf.DUMMYFUNCTION("""COMPUTED_VALUE"""),"Pizza")</f>
        <v>Pizza</v>
      </c>
      <c r="BA301" s="4">
        <f>IFERROR(__xludf.DUMMYFUNCTION("""COMPUTED_VALUE"""),61.0)</f>
        <v>61</v>
      </c>
      <c r="BB301" s="4" t="str">
        <f>IFERROR(__xludf.DUMMYFUNCTION("""COMPUTED_VALUE"""),"Fast Casual - Pizzaria")</f>
        <v>Fast Casual - Pizzaria</v>
      </c>
      <c r="BC301" s="4" t="str">
        <f>IFERROR(__xludf.DUMMYFUNCTION("""COMPUTED_VALUE"""),"Belo Horizonte/MG")</f>
        <v>Belo Horizonte/MG</v>
      </c>
      <c r="BD301" s="4" t="str">
        <f>IFERROR(__xludf.DUMMYFUNCTION("""COMPUTED_VALUE"""),"Dado não disponível publicamente - Necessário Discovery")</f>
        <v>Dado não disponível publicamente - Necessário Discovery</v>
      </c>
      <c r="BE301" s="4">
        <f>IFERROR(__xludf.DUMMYFUNCTION("""COMPUTED_VALUE"""),70.0)</f>
        <v>70</v>
      </c>
      <c r="BF301" s="4">
        <f>IFERROR(__xludf.DUMMYFUNCTION("""COMPUTED_VALUE"""),0.75)</f>
        <v>0.75</v>
      </c>
      <c r="BG30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301" s="4" t="s">
        <v>71</v>
      </c>
      <c r="BI301" s="7">
        <v>0.5</v>
      </c>
    </row>
    <row r="302" hidden="1">
      <c r="A302" s="4" t="str">
        <f>IFERROR(__xludf.DUMMYFUNCTION("""COMPUTED_VALUE"""),"Doce Aquarella")</f>
        <v>Doce Aquarella</v>
      </c>
      <c r="B302" s="4" t="str">
        <f>IFERROR(__xludf.DUMMYFUNCTION("""COMPUTED_VALUE"""),"Diego Santos")</f>
        <v>Diego Santos</v>
      </c>
      <c r="C302" s="4" t="str">
        <f>IFERROR(__xludf.DUMMYFUNCTION("""COMPUTED_VALUE"""),"Diego Santos")</f>
        <v>Diego Santos</v>
      </c>
      <c r="D302" s="4" t="str">
        <f>IFERROR(__xludf.DUMMYFUNCTION("""COMPUTED_VALUE"""),"9. Contrato assinado")</f>
        <v>9. Contrato assinado</v>
      </c>
      <c r="E302" s="4" t="str">
        <f>IFERROR(__xludf.DUMMYFUNCTION("""COMPUTED_VALUE""")," Projetos - Contrato assinado &amp; Rollout")</f>
        <v> Projetos - Contrato assinado &amp; Rollout</v>
      </c>
      <c r="F302" s="4" t="str">
        <f>IFERROR(__xludf.DUMMYFUNCTION("""COMPUTED_VALUE"""),"P")</f>
        <v>P</v>
      </c>
      <c r="G302" s="5">
        <f>IFERROR(__xludf.DUMMYFUNCTION("""COMPUTED_VALUE"""),46113.0)</f>
        <v>46113</v>
      </c>
      <c r="H302" s="4" t="str">
        <f>IFERROR(__xludf.DUMMYFUNCTION("""COMPUTED_VALUE"""),"Aguardando validação do jurídico para enviar contrato reformulado pro cliente. ")</f>
        <v>Aguardando validação do jurídico para enviar contrato reformulado pro cliente. </v>
      </c>
      <c r="I302" s="4"/>
      <c r="J302" s="6">
        <f>IFERROR(__xludf.DUMMYFUNCTION("""COMPUTED_VALUE"""),46079.68490429399)</f>
        <v>46079.6849</v>
      </c>
      <c r="K302" s="6">
        <f>IFERROR(__xludf.DUMMYFUNCTION("""COMPUTED_VALUE"""),46079.6850275926)</f>
        <v>46079.68503</v>
      </c>
      <c r="L302" s="6">
        <f>IFERROR(__xludf.DUMMYFUNCTION("""COMPUTED_VALUE"""),46079.6850978588)</f>
        <v>46079.6851</v>
      </c>
      <c r="M302" s="6">
        <f>IFERROR(__xludf.DUMMYFUNCTION("""COMPUTED_VALUE"""),46086.456160057875)</f>
        <v>46086.45616</v>
      </c>
      <c r="N302" s="6">
        <f>IFERROR(__xludf.DUMMYFUNCTION("""COMPUTED_VALUE"""),46086.763271724536)</f>
        <v>46086.76327</v>
      </c>
      <c r="O302" s="4"/>
      <c r="P302" s="6">
        <f>IFERROR(__xludf.DUMMYFUNCTION("""COMPUTED_VALUE"""),46092.49994045139)</f>
        <v>46092.49994</v>
      </c>
      <c r="Q302" s="6">
        <f>IFERROR(__xludf.DUMMYFUNCTION("""COMPUTED_VALUE"""),46118.71580452546)</f>
        <v>46118.7158</v>
      </c>
      <c r="R302" s="4"/>
      <c r="S302" s="4"/>
      <c r="T302" s="4"/>
      <c r="U302" s="4"/>
      <c r="V302" s="4"/>
      <c r="W302" s="8">
        <f>IFERROR(__xludf.DUMMYFUNCTION("""COMPUTED_VALUE"""),550.0)</f>
        <v>550</v>
      </c>
      <c r="X302" s="4" t="str">
        <f>IFERROR(__xludf.DUMMYFUNCTION("""COMPUTED_VALUE"""),"12 meses")</f>
        <v>12 meses</v>
      </c>
      <c r="Y302" s="8">
        <f>IFERROR(__xludf.DUMMYFUNCTION("""COMPUTED_VALUE"""),0.0)</f>
        <v>0</v>
      </c>
      <c r="Z302" s="8">
        <f>IFERROR(__xludf.DUMMYFUNCTION("""COMPUTED_VALUE"""),2500.0)</f>
        <v>2500</v>
      </c>
      <c r="AA302" s="4">
        <f>IFERROR(__xludf.DUMMYFUNCTION("""COMPUTED_VALUE"""),3.0)</f>
        <v>3</v>
      </c>
      <c r="AB302" s="4"/>
      <c r="AC302" s="4"/>
      <c r="AD302" s="4"/>
      <c r="AE302" s="4">
        <f>IFERROR(__xludf.DUMMYFUNCTION("""COMPUTED_VALUE"""),3.0)</f>
        <v>3</v>
      </c>
      <c r="AF302" s="4">
        <f>IFERROR(__xludf.DUMMYFUNCTION("""COMPUTED_VALUE"""),4.0)</f>
        <v>4</v>
      </c>
      <c r="AG302" s="4">
        <f>IFERROR(__xludf.DUMMYFUNCTION("""COMPUTED_VALUE"""),1.0)</f>
        <v>1</v>
      </c>
      <c r="AH302" s="4"/>
      <c r="AI302" s="4"/>
      <c r="AJ302" s="4"/>
      <c r="AK302" s="4"/>
      <c r="AL302" s="4"/>
      <c r="AM302" s="4" t="str">
        <f>IFERROR(__xludf.DUMMYFUNCTION("""COMPUTED_VALUE"""),"FY26, FY27")</f>
        <v>FY26, FY27</v>
      </c>
      <c r="AN302" s="4"/>
      <c r="AO302" s="4">
        <f>IFERROR(__xludf.DUMMYFUNCTION("""COMPUTED_VALUE"""),102.0)</f>
        <v>102</v>
      </c>
      <c r="AP302" s="4">
        <f>IFERROR(__xludf.DUMMYFUNCTION("""COMPUTED_VALUE"""),0.0)</f>
        <v>0</v>
      </c>
      <c r="AQ302" s="4">
        <f>IFERROR(__xludf.DUMMYFUNCTION("""COMPUTED_VALUE"""),0.0)</f>
        <v>0</v>
      </c>
      <c r="AR302" s="4">
        <f>IFERROR(__xludf.DUMMYFUNCTION("""COMPUTED_VALUE"""),0.0)</f>
        <v>0</v>
      </c>
      <c r="AS302" s="4">
        <f>IFERROR(__xludf.DUMMYFUNCTION("""COMPUTED_VALUE"""),0.0)</f>
        <v>0</v>
      </c>
      <c r="AT302" s="4">
        <f>IFERROR(__xludf.DUMMYFUNCTION("""COMPUTED_VALUE"""),0.0)</f>
        <v>0</v>
      </c>
      <c r="AU302" s="4" t="str">
        <f>IFERROR(__xludf.DUMMYFUNCTION("""COMPUTED_VALUE"""),"Diego")</f>
        <v>Diego</v>
      </c>
      <c r="AV302" s="4">
        <f>IFERROR(__xludf.DUMMYFUNCTION("""COMPUTED_VALUE"""),0.0)</f>
        <v>0</v>
      </c>
      <c r="AW302" s="4">
        <f>IFERROR(__xludf.DUMMYFUNCTION("""COMPUTED_VALUE"""),0.0)</f>
        <v>0</v>
      </c>
      <c r="AX302" s="4">
        <f>IFERROR(__xludf.DUMMYFUNCTION("""COMPUTED_VALUE"""),0.0)</f>
        <v>0</v>
      </c>
      <c r="AY302" s="4"/>
      <c r="AZ302" s="4" t="str">
        <f>IFERROR(__xludf.DUMMYFUNCTION("""COMPUTED_VALUE"""),"NA")</f>
        <v>NA</v>
      </c>
      <c r="BA302" s="4" t="str">
        <f>IFERROR(__xludf.DUMMYFUNCTION("""COMPUTED_VALUE"""),"")</f>
        <v/>
      </c>
      <c r="BB302" s="4" t="str">
        <f>IFERROR(__xludf.DUMMYFUNCTION("""COMPUTED_VALUE"""),"")</f>
        <v/>
      </c>
      <c r="BC302" s="4" t="str">
        <f>IFERROR(__xludf.DUMMYFUNCTION("""COMPUTED_VALUE"""),"")</f>
        <v/>
      </c>
      <c r="BD302" s="4" t="str">
        <f>IFERROR(__xludf.DUMMYFUNCTION("""COMPUTED_VALUE"""),"")</f>
        <v/>
      </c>
      <c r="BE302" s="4" t="str">
        <f>IFERROR(__xludf.DUMMYFUNCTION("""COMPUTED_VALUE"""),"")</f>
        <v/>
      </c>
      <c r="BF302" s="4" t="str">
        <f>IFERROR(__xludf.DUMMYFUNCTION("""COMPUTED_VALUE"""),"")</f>
        <v/>
      </c>
      <c r="BG302" s="4" t="str">
        <f>IFERROR(__xludf.DUMMYFUNCTION("""COMPUTED_VALUE"""),"")</f>
        <v/>
      </c>
      <c r="BH302" s="4" t="s">
        <v>63</v>
      </c>
      <c r="BI302" s="7" t="s">
        <v>63</v>
      </c>
    </row>
    <row r="303">
      <c r="A303" s="4" t="str">
        <f>IFERROR(__xludf.DUMMYFUNCTION("""COMPUTED_VALUE"""),"Dog King")</f>
        <v>Dog King</v>
      </c>
      <c r="B303" s="4" t="str">
        <f>IFERROR(__xludf.DUMMYFUNCTION("""COMPUTED_VALUE"""),"Leonardo Roso")</f>
        <v>Leonardo Roso</v>
      </c>
      <c r="C303" s="4" t="str">
        <f>IFERROR(__xludf.DUMMYFUNCTION("""COMPUTED_VALUE"""),"Leonardo Roso")</f>
        <v>Leonardo Roso</v>
      </c>
      <c r="D303" s="4" t="str">
        <f>IFERROR(__xludf.DUMMYFUNCTION("""COMPUTED_VALUE"""),"2. Primeiro contato com a marca")</f>
        <v>2. Primeiro contato com a marca</v>
      </c>
      <c r="E303" s="4"/>
      <c r="F303" s="4" t="str">
        <f>IFERROR(__xludf.DUMMYFUNCTION("""COMPUTED_VALUE"""),"G")</f>
        <v>G</v>
      </c>
      <c r="G303" s="5">
        <f>IFERROR(__xludf.DUMMYFUNCTION("""COMPUTED_VALUE"""),46119.0)</f>
        <v>46119</v>
      </c>
      <c r="H303" s="4" t="str">
        <f>IFERROR(__xludf.DUMMYFUNCTION("""COMPUTED_VALUE"""),"Tentativa de contato com parceiro via whatsapp, KA abriu portas")</f>
        <v>Tentativa de contato com parceiro via whatsapp, KA abriu portas</v>
      </c>
      <c r="I303" s="4"/>
      <c r="J303" s="6">
        <f>IFERROR(__xludf.DUMMYFUNCTION("""COMPUTED_VALUE"""),46119.49936033565)</f>
        <v>46119.49936</v>
      </c>
      <c r="K303" s="4"/>
      <c r="L303" s="4"/>
      <c r="M303" s="4"/>
      <c r="N303" s="4"/>
      <c r="O303" s="4"/>
      <c r="P303" s="4"/>
      <c r="Q303" s="4"/>
      <c r="R303" s="4"/>
      <c r="S303" s="4"/>
      <c r="T303" s="4"/>
      <c r="U303" s="4"/>
      <c r="V303" s="4"/>
      <c r="W303" s="4"/>
      <c r="X303" s="4"/>
      <c r="Y303" s="4"/>
      <c r="Z303" s="4"/>
      <c r="AA303" s="4">
        <f>IFERROR(__xludf.DUMMYFUNCTION("""COMPUTED_VALUE"""),64.0)</f>
        <v>64</v>
      </c>
      <c r="AB303" s="4" t="str">
        <f>IFERROR(__xludf.DUMMYFUNCTION("""COMPUTED_VALUE"""),"NÃO")</f>
        <v>NÃO</v>
      </c>
      <c r="AC303" s="4" t="str">
        <f>IFERROR(__xludf.DUMMYFUNCTION("""COMPUTED_VALUE"""),"BP")</f>
        <v>BP</v>
      </c>
      <c r="AD303" s="4"/>
      <c r="AE303" s="4"/>
      <c r="AF303" s="4"/>
      <c r="AG303" s="4"/>
      <c r="AH303" s="4"/>
      <c r="AI303" s="4"/>
      <c r="AJ303" s="4"/>
      <c r="AK303" s="4"/>
      <c r="AL303" s="4"/>
      <c r="AM303" s="4" t="str">
        <f>IFERROR(__xludf.DUMMYFUNCTION("""COMPUTED_VALUE"""),"FY26, FY27")</f>
        <v>FY26, FY27</v>
      </c>
      <c r="AN303" s="4"/>
      <c r="AO303" s="4">
        <f>IFERROR(__xludf.DUMMYFUNCTION("""COMPUTED_VALUE"""),96.0)</f>
        <v>96</v>
      </c>
      <c r="AP303" s="4" t="str">
        <f>IFERROR(__xludf.DUMMYFUNCTION("""COMPUTED_VALUE"""),"SC")</f>
        <v>SC</v>
      </c>
      <c r="AQ303" s="4" t="str">
        <f>IFERROR(__xludf.DUMMYFUNCTION("""COMPUTED_VALUE"""),"THIAGO MORSELLI")</f>
        <v>THIAGO MORSELLI</v>
      </c>
      <c r="AR303" s="4" t="str">
        <f>IFERROR(__xludf.DUMMYFUNCTION("""COMPUTED_VALUE"""),"PIOVESAN GUILHERME")</f>
        <v>PIOVESAN GUILHERME</v>
      </c>
      <c r="AS303" s="4" t="str">
        <f>IFERROR(__xludf.DUMMYFUNCTION("""COMPUTED_VALUE"""),"ISABELA GOULART")</f>
        <v>ISABELA GOULART</v>
      </c>
      <c r="AT303" s="4" t="str">
        <f>IFERROR(__xludf.DUMMYFUNCTION("""COMPUTED_VALUE"""),"THIAGO MORSELLI")</f>
        <v>THIAGO MORSELLI</v>
      </c>
      <c r="AU303" s="4" t="str">
        <f>IFERROR(__xludf.DUMMYFUNCTION("""COMPUTED_VALUE"""),"Leonardo Roso")</f>
        <v>Leonardo Roso</v>
      </c>
      <c r="AV303" s="4">
        <f>IFERROR(__xludf.DUMMYFUNCTION("""COMPUTED_VALUE"""),0.0)</f>
        <v>0</v>
      </c>
      <c r="AW303" s="4">
        <f>IFERROR(__xludf.DUMMYFUNCTION("""COMPUTED_VALUE"""),0.0)</f>
        <v>0</v>
      </c>
      <c r="AX303" s="4">
        <f>IFERROR(__xludf.DUMMYFUNCTION("""COMPUTED_VALUE"""),0.0)</f>
        <v>0</v>
      </c>
      <c r="AY303" s="4"/>
      <c r="AZ303" s="4" t="str">
        <f>IFERROR(__xludf.DUMMYFUNCTION("""COMPUTED_VALUE"""),"Lanches")</f>
        <v>Lanches</v>
      </c>
      <c r="BA303" s="4">
        <f>IFERROR(__xludf.DUMMYFUNCTION("""COMPUTED_VALUE"""),36.0)</f>
        <v>36</v>
      </c>
      <c r="BB303" s="4" t="str">
        <f>IFERROR(__xludf.DUMMYFUNCTION("""COMPUTED_VALUE"""),"QSR - Hot Dog")</f>
        <v>QSR - Hot Dog</v>
      </c>
      <c r="BC303" s="4" t="str">
        <f>IFERROR(__xludf.DUMMYFUNCTION("""COMPUTED_VALUE"""),"Sudeste")</f>
        <v>Sudeste</v>
      </c>
      <c r="BD303" s="4" t="str">
        <f>IFERROR(__xludf.DUMMYFUNCTION("""COMPUTED_VALUE"""),"Dado não disponível publicamente - Necessário Discovery")</f>
        <v>Dado não disponível publicamente - Necessário Discovery</v>
      </c>
      <c r="BE303" s="4">
        <f>IFERROR(__xludf.DUMMYFUNCTION("""COMPUTED_VALUE"""),65.0)</f>
        <v>65</v>
      </c>
      <c r="BF303" s="4">
        <f>IFERROR(__xludf.DUMMYFUNCTION("""COMPUTED_VALUE"""),0.85)</f>
        <v>0.85</v>
      </c>
      <c r="BG303"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303" s="4" t="s">
        <v>66</v>
      </c>
      <c r="BI303" s="7">
        <v>0.7872340425531915</v>
      </c>
    </row>
    <row r="304" hidden="1">
      <c r="A304" s="4" t="str">
        <f>IFERROR(__xludf.DUMMYFUNCTION("""COMPUTED_VALUE"""),"Dolcíssimo")</f>
        <v>Dolcíssimo</v>
      </c>
      <c r="B304" s="4" t="str">
        <f>IFERROR(__xludf.DUMMYFUNCTION("""COMPUTED_VALUE"""),"João Biagiotti")</f>
        <v>João Biagiotti</v>
      </c>
      <c r="C304" s="4" t="str">
        <f>IFERROR(__xludf.DUMMYFUNCTION("""COMPUTED_VALUE"""),"Diego Santos")</f>
        <v>Diego Santos</v>
      </c>
      <c r="D304" s="4" t="str">
        <f>IFERROR(__xludf.DUMMYFUNCTION("""COMPUTED_VALUE"""),"0. Não Iniciado")</f>
        <v>0. Não Iniciado</v>
      </c>
      <c r="E304" s="4" t="str">
        <f>IFERROR(__xludf.DUMMYFUNCTION("""COMPUTED_VALUE"""),"Parceiro - Sem contato válido / Decisor inacessível")</f>
        <v>Parceiro - Sem contato válido / Decisor inacessível</v>
      </c>
      <c r="F304" s="4" t="str">
        <f>IFERROR(__xludf.DUMMYFUNCTION("""COMPUTED_VALUE"""),"P")</f>
        <v>P</v>
      </c>
      <c r="G304" s="5">
        <f>IFERROR(__xludf.DUMMYFUNCTION("""COMPUTED_VALUE"""),46076.0)</f>
        <v>46076</v>
      </c>
      <c r="H304" s="4" t="str">
        <f>IFERROR(__xludf.DUMMYFUNCTION("""COMPUTED_VALUE"""),"Sem executivo de delivery e contato válido.")</f>
        <v>Sem executivo de delivery e contato válido.</v>
      </c>
      <c r="I304" s="4"/>
      <c r="J304" s="4"/>
      <c r="K304" s="4"/>
      <c r="L304" s="4"/>
      <c r="M304" s="4"/>
      <c r="N304" s="4"/>
      <c r="O304" s="4"/>
      <c r="P304" s="4"/>
      <c r="Q304" s="4"/>
      <c r="R304" s="4"/>
      <c r="S304" s="4"/>
      <c r="T304" s="4"/>
      <c r="U304" s="4"/>
      <c r="V304" s="4"/>
      <c r="W304" s="4"/>
      <c r="X304" s="4"/>
      <c r="Y304" s="4"/>
      <c r="Z304" s="4"/>
      <c r="AA304" s="4">
        <f>IFERROR(__xludf.DUMMYFUNCTION("""COMPUTED_VALUE"""),10.0)</f>
        <v>10</v>
      </c>
      <c r="AB304" s="4" t="str">
        <f>IFERROR(__xludf.DUMMYFUNCTION("""COMPUTED_VALUE"""),"NÃO")</f>
        <v>NÃO</v>
      </c>
      <c r="AC304" s="4" t="str">
        <f>IFERROR(__xludf.DUMMYFUNCTION("""COMPUTED_VALUE"""),"BP")</f>
        <v>BP</v>
      </c>
      <c r="AD304" s="4"/>
      <c r="AE304" s="4"/>
      <c r="AF304" s="4"/>
      <c r="AG304" s="4"/>
      <c r="AH304" s="4"/>
      <c r="AI304" s="4"/>
      <c r="AJ304" s="4"/>
      <c r="AK304" s="4"/>
      <c r="AL304" s="4"/>
      <c r="AM304" s="4" t="str">
        <f>IFERROR(__xludf.DUMMYFUNCTION("""COMPUTED_VALUE"""),"FY26, FY27")</f>
        <v>FY26, FY27</v>
      </c>
      <c r="AN304" s="4"/>
      <c r="AO304" s="4">
        <f>IFERROR(__xludf.DUMMYFUNCTION("""COMPUTED_VALUE"""),140.0)</f>
        <v>140</v>
      </c>
      <c r="AP304" s="4">
        <f>IFERROR(__xludf.DUMMYFUNCTION("""COMPUTED_VALUE"""),0.0)</f>
        <v>0</v>
      </c>
      <c r="AQ304" s="4">
        <f>IFERROR(__xludf.DUMMYFUNCTION("""COMPUTED_VALUE"""),0.0)</f>
        <v>0</v>
      </c>
      <c r="AR304" s="4">
        <f>IFERROR(__xludf.DUMMYFUNCTION("""COMPUTED_VALUE"""),0.0)</f>
        <v>0</v>
      </c>
      <c r="AS304" s="4">
        <f>IFERROR(__xludf.DUMMYFUNCTION("""COMPUTED_VALUE"""),0.0)</f>
        <v>0</v>
      </c>
      <c r="AT304" s="4">
        <f>IFERROR(__xludf.DUMMYFUNCTION("""COMPUTED_VALUE"""),0.0)</f>
        <v>0</v>
      </c>
      <c r="AU304" s="4" t="str">
        <f>IFERROR(__xludf.DUMMYFUNCTION("""COMPUTED_VALUE"""),"Iza")</f>
        <v>Iza</v>
      </c>
      <c r="AV304" s="4">
        <f>IFERROR(__xludf.DUMMYFUNCTION("""COMPUTED_VALUE"""),0.0)</f>
        <v>0</v>
      </c>
      <c r="AW304" s="4">
        <f>IFERROR(__xludf.DUMMYFUNCTION("""COMPUTED_VALUE"""),0.0)</f>
        <v>0</v>
      </c>
      <c r="AX304" s="4">
        <f>IFERROR(__xludf.DUMMYFUNCTION("""COMPUTED_VALUE"""),0.0)</f>
        <v>0</v>
      </c>
      <c r="AY304" s="4"/>
      <c r="AZ304" s="4" t="str">
        <f>IFERROR(__xludf.DUMMYFUNCTION("""COMPUTED_VALUE"""),"NA")</f>
        <v>NA</v>
      </c>
      <c r="BA304" s="4" t="str">
        <f>IFERROR(__xludf.DUMMYFUNCTION("""COMPUTED_VALUE"""),"")</f>
        <v/>
      </c>
      <c r="BB304" s="4" t="str">
        <f>IFERROR(__xludf.DUMMYFUNCTION("""COMPUTED_VALUE"""),"")</f>
        <v/>
      </c>
      <c r="BC304" s="4" t="str">
        <f>IFERROR(__xludf.DUMMYFUNCTION("""COMPUTED_VALUE"""),"")</f>
        <v/>
      </c>
      <c r="BD304" s="4" t="str">
        <f>IFERROR(__xludf.DUMMYFUNCTION("""COMPUTED_VALUE"""),"")</f>
        <v/>
      </c>
      <c r="BE304" s="4" t="str">
        <f>IFERROR(__xludf.DUMMYFUNCTION("""COMPUTED_VALUE"""),"")</f>
        <v/>
      </c>
      <c r="BF304" s="4" t="str">
        <f>IFERROR(__xludf.DUMMYFUNCTION("""COMPUTED_VALUE"""),"")</f>
        <v/>
      </c>
      <c r="BG304" s="4" t="str">
        <f>IFERROR(__xludf.DUMMYFUNCTION("""COMPUTED_VALUE"""),"")</f>
        <v/>
      </c>
      <c r="BH304" s="4" t="s">
        <v>63</v>
      </c>
      <c r="BI304" s="7" t="s">
        <v>63</v>
      </c>
    </row>
    <row r="305">
      <c r="A305" s="4" t="str">
        <f>IFERROR(__xludf.DUMMYFUNCTION("""COMPUTED_VALUE"""),"Dominos")</f>
        <v>Dominos</v>
      </c>
      <c r="B305" s="4" t="str">
        <f>IFERROR(__xludf.DUMMYFUNCTION("""COMPUTED_VALUE"""),"Leonardo Roso")</f>
        <v>Leonardo Roso</v>
      </c>
      <c r="C305" s="4" t="str">
        <f>IFERROR(__xludf.DUMMYFUNCTION("""COMPUTED_VALUE"""),"Leonardo Roso")</f>
        <v>Leonardo Roso</v>
      </c>
      <c r="D305" s="4" t="str">
        <f>IFERROR(__xludf.DUMMYFUNCTION("""COMPUTED_VALUE"""),"5. Demo/Showroom")</f>
        <v>5. Demo/Showroom</v>
      </c>
      <c r="E305" s="4" t="str">
        <f>IFERROR(__xludf.DUMMYFUNCTION("""COMPUTED_VALUE"""),"Comercial - Piloto em andamento e dentro do prazo")</f>
        <v>Comercial - Piloto em andamento e dentro do prazo</v>
      </c>
      <c r="F305" s="4" t="str">
        <f>IFERROR(__xludf.DUMMYFUNCTION("""COMPUTED_VALUE"""),"G")</f>
        <v>G</v>
      </c>
      <c r="G305" s="5">
        <f>IFERROR(__xludf.DUMMYFUNCTION("""COMPUTED_VALUE"""),46111.0)</f>
        <v>46111</v>
      </c>
      <c r="H305" s="4" t="str">
        <f>IFERROR(__xludf.DUMMYFUNCTION("""COMPUTED_VALUE"""),"Instalação laboratório temporário 25/03, instalação laboratório permanente 02/04 e agenda com diretor para apresentação da solução completa. Pedida de 10MM para utilização da 3S")</f>
        <v>Instalação laboratório temporário 25/03, instalação laboratório permanente 02/04 e agenda com diretor para apresentação da solução completa. Pedida de 10MM para utilização da 3S</v>
      </c>
      <c r="I305" s="4"/>
      <c r="J305" s="4"/>
      <c r="K305" s="6">
        <f>IFERROR(__xludf.DUMMYFUNCTION("""COMPUTED_VALUE"""),45944.0)</f>
        <v>45944</v>
      </c>
      <c r="L305" s="4"/>
      <c r="M305" s="6">
        <f>IFERROR(__xludf.DUMMYFUNCTION("""COMPUTED_VALUE"""),46108.64258266204)</f>
        <v>46108.64258</v>
      </c>
      <c r="N305" s="4"/>
      <c r="O305" s="4"/>
      <c r="P305" s="4"/>
      <c r="Q305" s="4"/>
      <c r="R305" s="4"/>
      <c r="S305" s="4"/>
      <c r="T305" s="4"/>
      <c r="U305" s="4"/>
      <c r="V305" s="4"/>
      <c r="W305" s="4"/>
      <c r="X305" s="4"/>
      <c r="Y305" s="4"/>
      <c r="Z305" s="4"/>
      <c r="AA305" s="4">
        <f>IFERROR(__xludf.DUMMYFUNCTION("""COMPUTED_VALUE"""),290.0)</f>
        <v>290</v>
      </c>
      <c r="AB305" s="4" t="str">
        <f>IFERROR(__xludf.DUMMYFUNCTION("""COMPUTED_VALUE"""),"KA")</f>
        <v>KA</v>
      </c>
      <c r="AC305" s="4" t="str">
        <f>IFERROR(__xludf.DUMMYFUNCTION("""COMPUTED_VALUE"""),"BP")</f>
        <v>BP</v>
      </c>
      <c r="AD305" s="4"/>
      <c r="AE305" s="4"/>
      <c r="AF305" s="4"/>
      <c r="AG305" s="4"/>
      <c r="AH305" s="4"/>
      <c r="AI305" s="4"/>
      <c r="AJ305" s="4"/>
      <c r="AK305" s="4"/>
      <c r="AL305" s="4"/>
      <c r="AM305" s="4" t="str">
        <f>IFERROR(__xludf.DUMMYFUNCTION("""COMPUTED_VALUE"""),"FY26, FY27")</f>
        <v>FY26, FY27</v>
      </c>
      <c r="AN305" s="4"/>
      <c r="AO305" s="4">
        <f>IFERROR(__xludf.DUMMYFUNCTION("""COMPUTED_VALUE"""),103.0)</f>
        <v>103</v>
      </c>
      <c r="AP305" s="4" t="str">
        <f>IFERROR(__xludf.DUMMYFUNCTION("""COMPUTED_VALUE"""),"SP")</f>
        <v>SP</v>
      </c>
      <c r="AQ305" s="4" t="str">
        <f>IFERROR(__xludf.DUMMYFUNCTION("""COMPUTED_VALUE"""),"ANA OBANDO")</f>
        <v>ANA OBANDO</v>
      </c>
      <c r="AR305" s="4" t="str">
        <f>IFERROR(__xludf.DUMMYFUNCTION("""COMPUTED_VALUE"""),"SORAYA SILVA")</f>
        <v>SORAYA SILVA</v>
      </c>
      <c r="AS305" s="4" t="str">
        <f>IFERROR(__xludf.DUMMYFUNCTION("""COMPUTED_VALUE"""),"ISIS MOSTAFA")</f>
        <v>ISIS MOSTAFA</v>
      </c>
      <c r="AT305" s="4" t="str">
        <f>IFERROR(__xludf.DUMMYFUNCTION("""COMPUTED_VALUE"""),"ANA OBANDO")</f>
        <v>ANA OBANDO</v>
      </c>
      <c r="AU305" s="4" t="str">
        <f>IFERROR(__xludf.DUMMYFUNCTION("""COMPUTED_VALUE"""),"Leonardo Roso")</f>
        <v>Leonardo Roso</v>
      </c>
      <c r="AV305" s="4" t="str">
        <f>IFERROR(__xludf.DUMMYFUNCTION("""COMPUTED_VALUE"""),"Comer Fora-")</f>
        <v>Comer Fora-</v>
      </c>
      <c r="AW305" s="20" t="str">
        <f>IFERROR(__xludf.DUMMYFUNCTION("""COMPUTED_VALUE"""),"")</f>
        <v/>
      </c>
      <c r="AX305" s="4"/>
      <c r="AY305" s="4"/>
      <c r="AZ305" s="4" t="str">
        <f>IFERROR(__xludf.DUMMYFUNCTION("""COMPUTED_VALUE"""),"Pizza")</f>
        <v>Pizza</v>
      </c>
      <c r="BA305" s="4">
        <f>IFERROR(__xludf.DUMMYFUNCTION("""COMPUTED_VALUE"""),65.0)</f>
        <v>65</v>
      </c>
      <c r="BB305" s="4" t="str">
        <f>IFERROR(__xludf.DUMMYFUNCTION("""COMPUTED_VALUE"""),"QSR - Pizza Delivery")</f>
        <v>QSR - Pizza Delivery</v>
      </c>
      <c r="BC305" s="4" t="str">
        <f>IFERROR(__xludf.DUMMYFUNCTION("""COMPUTED_VALUE"""),"Nacional")</f>
        <v>Nacional</v>
      </c>
      <c r="BD305" s="4" t="str">
        <f>IFERROR(__xludf.DUMMYFUNCTION("""COMPUTED_VALUE"""),"&gt;7 milhões pizzas (2025)")</f>
        <v>&gt;7 milhões pizzas (2025)</v>
      </c>
      <c r="BE305" s="4">
        <f>IFERROR(__xludf.DUMMYFUNCTION("""COMPUTED_VALUE"""),85.0)</f>
        <v>85</v>
      </c>
      <c r="BF305" s="4">
        <f>IFERROR(__xludf.DUMMYFUNCTION("""COMPUTED_VALUE"""),0.98)</f>
        <v>0.98</v>
      </c>
      <c r="BG305" s="4" t="str">
        <f>IFERROR(__xludf.DUMMYFUNCTION("""COMPUTED_VALUE"""),"Alta aderência ao 3S: Sistema Domino's. 3S oferece Kiosk nativo, Hub Delivery integrado e gestão centralizada multi-loja - diferenciais competitivos para expansão e redução de filas.")</f>
        <v>Alta aderência ao 3S: Sistema Domino's. 3S oferece Kiosk nativo, Hub Delivery integrado e gestão centralizada multi-loja - diferenciais competitivos para expansão e redução de filas.</v>
      </c>
      <c r="BH305" s="4" t="s">
        <v>125</v>
      </c>
      <c r="BI305" s="7">
        <v>0.625</v>
      </c>
    </row>
    <row r="306">
      <c r="A306" s="4" t="str">
        <f>IFERROR(__xludf.DUMMYFUNCTION("""COMPUTED_VALUE"""),"Don Corleone")</f>
        <v>Don Corleone</v>
      </c>
      <c r="B306" s="4" t="str">
        <f>IFERROR(__xludf.DUMMYFUNCTION("""COMPUTED_VALUE"""),"Leonardo Roso")</f>
        <v>Leonardo Roso</v>
      </c>
      <c r="C306" s="4" t="str">
        <f>IFERROR(__xludf.DUMMYFUNCTION("""COMPUTED_VALUE"""),"Leonardo Roso")</f>
        <v>Leonardo Roso</v>
      </c>
      <c r="D306" s="4" t="str">
        <f>IFERROR(__xludf.DUMMYFUNCTION("""COMPUTED_VALUE"""),"0. Não Iniciado")</f>
        <v>0. Não Iniciado</v>
      </c>
      <c r="E306" s="4" t="str">
        <f>IFERROR(__xludf.DUMMYFUNCTION("""COMPUTED_VALUE"""),"Comercial - Tentativa não iniciada")</f>
        <v>Comercial - Tentativa não iniciada</v>
      </c>
      <c r="F306" s="4" t="str">
        <f>IFERROR(__xludf.DUMMYFUNCTION("""COMPUTED_VALUE"""),"G")</f>
        <v>G</v>
      </c>
      <c r="G306" s="4"/>
      <c r="H306" s="4"/>
      <c r="I306" s="4"/>
      <c r="J306" s="4"/>
      <c r="K306" s="4"/>
      <c r="L306" s="4"/>
      <c r="M306" s="4"/>
      <c r="N306" s="4"/>
      <c r="O306" s="4"/>
      <c r="P306" s="4"/>
      <c r="Q306" s="4"/>
      <c r="R306" s="4"/>
      <c r="S306" s="4"/>
      <c r="T306" s="4"/>
      <c r="U306" s="4"/>
      <c r="V306" s="4"/>
      <c r="W306" s="4"/>
      <c r="X306" s="4"/>
      <c r="Y306" s="4"/>
      <c r="Z306" s="4"/>
      <c r="AA306" s="4">
        <f>IFERROR(__xludf.DUMMYFUNCTION("""COMPUTED_VALUE"""),66.0)</f>
        <v>66</v>
      </c>
      <c r="AB306" s="4" t="str">
        <f>IFERROR(__xludf.DUMMYFUNCTION("""COMPUTED_VALUE"""),"NÃO")</f>
        <v>NÃO</v>
      </c>
      <c r="AC306" s="4" t="str">
        <f>IFERROR(__xludf.DUMMYFUNCTION("""COMPUTED_VALUE"""),"BP")</f>
        <v>BP</v>
      </c>
      <c r="AD306" s="4"/>
      <c r="AE306" s="4"/>
      <c r="AF306" s="4"/>
      <c r="AG306" s="4"/>
      <c r="AH306" s="4"/>
      <c r="AI306" s="4"/>
      <c r="AJ306" s="4"/>
      <c r="AK306" s="4"/>
      <c r="AL306" s="4"/>
      <c r="AM306" s="4" t="str">
        <f>IFERROR(__xludf.DUMMYFUNCTION("""COMPUTED_VALUE"""),"FY26, FY27")</f>
        <v>FY26, FY27</v>
      </c>
      <c r="AN306" s="4"/>
      <c r="AO306" s="4">
        <f>IFERROR(__xludf.DUMMYFUNCTION("""COMPUTED_VALUE"""),45553.0)</f>
        <v>45553</v>
      </c>
      <c r="AP306" s="4" t="str">
        <f>IFERROR(__xludf.DUMMYFUNCTION("""COMPUTED_VALUE"""),"MT")</f>
        <v>MT</v>
      </c>
      <c r="AQ306" s="4" t="str">
        <f>IFERROR(__xludf.DUMMYFUNCTION("""COMPUTED_VALUE"""),"TAMYLLE SOUSA")</f>
        <v>TAMYLLE SOUSA</v>
      </c>
      <c r="AR306" s="4">
        <f>IFERROR(__xludf.DUMMYFUNCTION("""COMPUTED_VALUE"""),0.0)</f>
        <v>0</v>
      </c>
      <c r="AS306" s="4">
        <f>IFERROR(__xludf.DUMMYFUNCTION("""COMPUTED_VALUE"""),0.0)</f>
        <v>0</v>
      </c>
      <c r="AT306" s="4">
        <f>IFERROR(__xludf.DUMMYFUNCTION("""COMPUTED_VALUE"""),0.0)</f>
        <v>0</v>
      </c>
      <c r="AU306" s="4" t="str">
        <f>IFERROR(__xludf.DUMMYFUNCTION("""COMPUTED_VALUE"""),"Leonardo Roso")</f>
        <v>Leonardo Roso</v>
      </c>
      <c r="AV306" s="4">
        <f>IFERROR(__xludf.DUMMYFUNCTION("""COMPUTED_VALUE"""),0.0)</f>
        <v>0</v>
      </c>
      <c r="AW306" s="4">
        <f>IFERROR(__xludf.DUMMYFUNCTION("""COMPUTED_VALUE"""),0.0)</f>
        <v>0</v>
      </c>
      <c r="AX306" s="4">
        <f>IFERROR(__xludf.DUMMYFUNCTION("""COMPUTED_VALUE"""),0.0)</f>
        <v>0</v>
      </c>
      <c r="AY306" s="4"/>
      <c r="AZ306" s="4" t="str">
        <f>IFERROR(__xludf.DUMMYFUNCTION("""COMPUTED_VALUE"""),"Pizza")</f>
        <v>Pizza</v>
      </c>
      <c r="BA306" s="4">
        <f>IFERROR(__xludf.DUMMYFUNCTION("""COMPUTED_VALUE"""),61.0)</f>
        <v>61</v>
      </c>
      <c r="BB306" s="4" t="str">
        <f>IFERROR(__xludf.DUMMYFUNCTION("""COMPUTED_VALUE"""),"Fast Casual - Multi-conceito")</f>
        <v>Fast Casual - Multi-conceito</v>
      </c>
      <c r="BC306" s="4" t="str">
        <f>IFERROR(__xludf.DUMMYFUNCTION("""COMPUTED_VALUE"""),"Interior SP")</f>
        <v>Interior SP</v>
      </c>
      <c r="BD306" s="4" t="str">
        <f>IFERROR(__xludf.DUMMYFUNCTION("""COMPUTED_VALUE"""),"Dado não disponível publicamente - Necessário Discovery")</f>
        <v>Dado não disponível publicamente - Necessário Discovery</v>
      </c>
      <c r="BE306" s="4">
        <f>IFERROR(__xludf.DUMMYFUNCTION("""COMPUTED_VALUE"""),70.0)</f>
        <v>70</v>
      </c>
      <c r="BF306" s="4">
        <f>IFERROR(__xludf.DUMMYFUNCTION("""COMPUTED_VALUE"""),0.75)</f>
        <v>0.75</v>
      </c>
      <c r="BG30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306" s="4" t="s">
        <v>63</v>
      </c>
      <c r="BI306" s="7" t="s">
        <v>63</v>
      </c>
    </row>
    <row r="307" hidden="1">
      <c r="A307" s="4" t="str">
        <f>IFERROR(__xludf.DUMMYFUNCTION("""COMPUTED_VALUE"""),"Don Pepe Di Napoli")</f>
        <v>Don Pepe Di Napoli</v>
      </c>
      <c r="B307" s="4" t="str">
        <f>IFERROR(__xludf.DUMMYFUNCTION("""COMPUTED_VALUE"""),"João Biagiotti")</f>
        <v>João Biagiotti</v>
      </c>
      <c r="C307" s="4" t="str">
        <f>IFERROR(__xludf.DUMMYFUNCTION("""COMPUTED_VALUE"""),"Diego Santos")</f>
        <v>Diego Santos</v>
      </c>
      <c r="D307" s="4" t="str">
        <f>IFERROR(__xludf.DUMMYFUNCTION("""COMPUTED_VALUE"""),"0. Não Iniciado")</f>
        <v>0. Não Iniciado</v>
      </c>
      <c r="E307" s="4"/>
      <c r="F307" s="4" t="str">
        <f>IFERROR(__xludf.DUMMYFUNCTION("""COMPUTED_VALUE"""),"P")</f>
        <v>P</v>
      </c>
      <c r="G307" s="5">
        <f>IFERROR(__xludf.DUMMYFUNCTION("""COMPUTED_VALUE"""),46085.0)</f>
        <v>46085</v>
      </c>
      <c r="H307" s="4" t="str">
        <f>IFERROR(__xludf.DUMMYFUNCTION("""COMPUTED_VALUE"""),"Entrei em contato diretamente com cliente, não é mais carteirizado no delivery. Tentando agenda para esse mês ainda")</f>
        <v>Entrei em contato diretamente com cliente, não é mais carteirizado no delivery. Tentando agenda para esse mês ainda</v>
      </c>
      <c r="I307" s="4"/>
      <c r="J307" s="4"/>
      <c r="K307" s="4"/>
      <c r="L307" s="4"/>
      <c r="M307" s="4"/>
      <c r="N307" s="4"/>
      <c r="O307" s="4"/>
      <c r="P307" s="4"/>
      <c r="Q307" s="4"/>
      <c r="R307" s="4"/>
      <c r="S307" s="4"/>
      <c r="T307" s="4"/>
      <c r="U307" s="4"/>
      <c r="V307" s="4"/>
      <c r="W307" s="4"/>
      <c r="X307" s="4"/>
      <c r="Y307" s="4"/>
      <c r="Z307" s="4"/>
      <c r="AA307" s="4">
        <f>IFERROR(__xludf.DUMMYFUNCTION("""COMPUTED_VALUE"""),6.0)</f>
        <v>6</v>
      </c>
      <c r="AB307" s="4" t="str">
        <f>IFERROR(__xludf.DUMMYFUNCTION("""COMPUTED_VALUE"""),"NÃO")</f>
        <v>NÃO</v>
      </c>
      <c r="AC307" s="4" t="str">
        <f>IFERROR(__xludf.DUMMYFUNCTION("""COMPUTED_VALUE"""),"BP")</f>
        <v>BP</v>
      </c>
      <c r="AD307" s="4"/>
      <c r="AE307" s="4"/>
      <c r="AF307" s="4"/>
      <c r="AG307" s="4"/>
      <c r="AH307" s="4"/>
      <c r="AI307" s="4"/>
      <c r="AJ307" s="4"/>
      <c r="AK307" s="4"/>
      <c r="AL307" s="4"/>
      <c r="AM307" s="4" t="str">
        <f>IFERROR(__xludf.DUMMYFUNCTION("""COMPUTED_VALUE"""),"FY26, FY27")</f>
        <v>FY26, FY27</v>
      </c>
      <c r="AN307" s="4" t="str">
        <f>IFERROR(__xludf.DUMMYFUNCTION("""COMPUTED_VALUE"""),"Comer Fora")</f>
        <v>Comer Fora</v>
      </c>
      <c r="AO307" s="4">
        <f>IFERROR(__xludf.DUMMYFUNCTION("""COMPUTED_VALUE"""),129.0)</f>
        <v>129</v>
      </c>
      <c r="AP307" s="4">
        <f>IFERROR(__xludf.DUMMYFUNCTION("""COMPUTED_VALUE"""),0.0)</f>
        <v>0</v>
      </c>
      <c r="AQ307" s="4">
        <f>IFERROR(__xludf.DUMMYFUNCTION("""COMPUTED_VALUE"""),0.0)</f>
        <v>0</v>
      </c>
      <c r="AR307" s="4">
        <f>IFERROR(__xludf.DUMMYFUNCTION("""COMPUTED_VALUE"""),0.0)</f>
        <v>0</v>
      </c>
      <c r="AS307" s="4">
        <f>IFERROR(__xludf.DUMMYFUNCTION("""COMPUTED_VALUE"""),0.0)</f>
        <v>0</v>
      </c>
      <c r="AT307" s="4">
        <f>IFERROR(__xludf.DUMMYFUNCTION("""COMPUTED_VALUE"""),0.0)</f>
        <v>0</v>
      </c>
      <c r="AU307" s="4" t="str">
        <f>IFERROR(__xludf.DUMMYFUNCTION("""COMPUTED_VALUE"""),"Ana")</f>
        <v>Ana</v>
      </c>
      <c r="AV307" s="4" t="str">
        <f>IFERROR(__xludf.DUMMYFUNCTION("""COMPUTED_VALUE"""),"Comer Fora-")</f>
        <v>Comer Fora-</v>
      </c>
      <c r="AW307" s="20" t="str">
        <f>IFERROR(__xludf.DUMMYFUNCTION("""COMPUTED_VALUE"""),"P e M - pipe")</f>
        <v>P e M - pipe</v>
      </c>
      <c r="AX307" s="4" t="str">
        <f>IFERROR(__xludf.DUMMYFUNCTION("""COMPUTED_VALUE"""),"Base P1+P2")</f>
        <v>Base P1+P2</v>
      </c>
      <c r="AY307" s="4" t="str">
        <f>IFERROR(__xludf.DUMMYFUNCTION("""COMPUTED_VALUE"""),"Lasertech Sistemas Ltda Me")</f>
        <v>Lasertech Sistemas Ltda Me</v>
      </c>
      <c r="AZ307" s="4" t="str">
        <f>IFERROR(__xludf.DUMMYFUNCTION("""COMPUTED_VALUE"""),"Portuguesa")</f>
        <v>Portuguesa</v>
      </c>
      <c r="BA307" s="4">
        <f>IFERROR(__xludf.DUMMYFUNCTION("""COMPUTED_VALUE"""),63.0)</f>
        <v>63</v>
      </c>
      <c r="BB307" s="4" t="str">
        <f>IFERROR(__xludf.DUMMYFUNCTION("""COMPUTED_VALUE"""),"Fast Casual - Multi-conceito")</f>
        <v>Fast Casual - Multi-conceito</v>
      </c>
      <c r="BC307" s="4" t="str">
        <f>IFERROR(__xludf.DUMMYFUNCTION("""COMPUTED_VALUE"""),"Nordeste")</f>
        <v>Nordeste</v>
      </c>
      <c r="BD307" s="4" t="str">
        <f>IFERROR(__xludf.DUMMYFUNCTION("""COMPUTED_VALUE"""),"Dado não disponível publicamente - Necessário Discovery")</f>
        <v>Dado não disponível publicamente - Necessário Discovery</v>
      </c>
      <c r="BE307" s="4">
        <f>IFERROR(__xludf.DUMMYFUNCTION("""COMPUTED_VALUE"""),65.0)</f>
        <v>65</v>
      </c>
      <c r="BF307" s="4">
        <f>IFERROR(__xludf.DUMMYFUNCTION("""COMPUTED_VALUE"""),0.75)</f>
        <v>0.75</v>
      </c>
      <c r="BG30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307" s="4" t="s">
        <v>64</v>
      </c>
      <c r="BI307" s="7">
        <v>0.7142857142857143</v>
      </c>
    </row>
    <row r="308" hidden="1">
      <c r="A308" s="4" t="str">
        <f>IFERROR(__xludf.DUMMYFUNCTION("""COMPUTED_VALUE"""),"Estacao Das Pizzas - Unidade Guanabara Lojas Proprias")</f>
        <v>Estacao Das Pizzas - Unidade Guanabara Lojas Proprias</v>
      </c>
      <c r="B308" s="4" t="str">
        <f>IFERROR(__xludf.DUMMYFUNCTION("""COMPUTED_VALUE"""),"Lídia Esteves")</f>
        <v>Lídia Esteves</v>
      </c>
      <c r="C308" s="4" t="str">
        <f>IFERROR(__xludf.DUMMYFUNCTION("""COMPUTED_VALUE"""),"Gabriela Roma")</f>
        <v>Gabriela Roma</v>
      </c>
      <c r="D308" s="4" t="str">
        <f>IFERROR(__xludf.DUMMYFUNCTION("""COMPUTED_VALUE"""),"0. Não Iniciado")</f>
        <v>0. Não Iniciado</v>
      </c>
      <c r="E308" s="4"/>
      <c r="F308" s="4" t="str">
        <f>IFERROR(__xludf.DUMMYFUNCTION("""COMPUTED_VALUE"""),"P")</f>
        <v>P</v>
      </c>
      <c r="G308" s="4"/>
      <c r="H308" s="4"/>
      <c r="I308" s="4"/>
      <c r="J308" s="4"/>
      <c r="K308" s="4"/>
      <c r="L308" s="4"/>
      <c r="M308" s="4"/>
      <c r="N308" s="4"/>
      <c r="O308" s="4"/>
      <c r="P308" s="4"/>
      <c r="Q308" s="4"/>
      <c r="R308" s="4"/>
      <c r="S308" s="4"/>
      <c r="T308" s="4"/>
      <c r="U308" s="4"/>
      <c r="V308" s="4"/>
      <c r="W308" s="4"/>
      <c r="X308" s="4"/>
      <c r="Y308" s="4"/>
      <c r="Z308" s="4"/>
      <c r="AA308" s="4">
        <f>IFERROR(__xludf.DUMMYFUNCTION("""COMPUTED_VALUE"""),11.0)</f>
        <v>11</v>
      </c>
      <c r="AB308" s="4" t="str">
        <f>IFERROR(__xludf.DUMMYFUNCTION("""COMPUTED_VALUE"""),"-")</f>
        <v>-</v>
      </c>
      <c r="AC308" s="4" t="str">
        <f>IFERROR(__xludf.DUMMYFUNCTION("""COMPUTED_VALUE"""),"-")</f>
        <v>-</v>
      </c>
      <c r="AD308" s="4"/>
      <c r="AE308" s="4"/>
      <c r="AF308" s="4"/>
      <c r="AG308" s="4"/>
      <c r="AH308" s="4"/>
      <c r="AI308" s="4"/>
      <c r="AJ308" s="4"/>
      <c r="AK308" s="4"/>
      <c r="AL308" s="4"/>
      <c r="AM308" s="4" t="str">
        <f>IFERROR(__xludf.DUMMYFUNCTION("""COMPUTED_VALUE"""),"FY26, FY27")</f>
        <v>FY26, FY27</v>
      </c>
      <c r="AN308" s="4"/>
      <c r="AO308" s="4">
        <f>IFERROR(__xludf.DUMMYFUNCTION("""COMPUTED_VALUE"""),45553.0)</f>
        <v>45553</v>
      </c>
      <c r="AP308" s="4" t="str">
        <f>IFERROR(__xludf.DUMMYFUNCTION("""COMPUTED_VALUE"""),"SP")</f>
        <v>SP</v>
      </c>
      <c r="AQ308" s="4" t="str">
        <f>IFERROR(__xludf.DUMMYFUNCTION("""COMPUTED_VALUE"""),"VITOR SERRANO")</f>
        <v>VITOR SERRANO</v>
      </c>
      <c r="AR308" s="4" t="str">
        <f>IFERROR(__xludf.DUMMYFUNCTION("""COMPUTED_VALUE"""),"LEONARDO FERRARI")</f>
        <v>LEONARDO FERRARI</v>
      </c>
      <c r="AS308" s="4" t="str">
        <f>IFERROR(__xludf.DUMMYFUNCTION("""COMPUTED_VALUE"""),"ALAN HADDAD")</f>
        <v>ALAN HADDAD</v>
      </c>
      <c r="AT308" s="4" t="str">
        <f>IFERROR(__xludf.DUMMYFUNCTION("""COMPUTED_VALUE"""),"ISABELA DINIZ")</f>
        <v>ISABELA DINIZ</v>
      </c>
      <c r="AU308" s="4" t="str">
        <f>IFERROR(__xludf.DUMMYFUNCTION("""COMPUTED_VALUE"""),"Lídia / Emerson")</f>
        <v>Lídia / Emerson</v>
      </c>
      <c r="AV308" s="4">
        <f>IFERROR(__xludf.DUMMYFUNCTION("""COMPUTED_VALUE"""),0.0)</f>
        <v>0</v>
      </c>
      <c r="AW308" s="4">
        <f>IFERROR(__xludf.DUMMYFUNCTION("""COMPUTED_VALUE"""),0.0)</f>
        <v>0</v>
      </c>
      <c r="AX308" s="4">
        <f>IFERROR(__xludf.DUMMYFUNCTION("""COMPUTED_VALUE"""),0.0)</f>
        <v>0</v>
      </c>
      <c r="AY308" s="4"/>
      <c r="AZ308" s="4" t="str">
        <f>IFERROR(__xludf.DUMMYFUNCTION("""COMPUTED_VALUE"""),"Pizza")</f>
        <v>Pizza</v>
      </c>
      <c r="BA308" s="4" t="str">
        <f>IFERROR(__xludf.DUMMYFUNCTION("""COMPUTED_VALUE"""),"")</f>
        <v/>
      </c>
      <c r="BB308" s="4" t="str">
        <f>IFERROR(__xludf.DUMMYFUNCTION("""COMPUTED_VALUE"""),"")</f>
        <v/>
      </c>
      <c r="BC308" s="4" t="str">
        <f>IFERROR(__xludf.DUMMYFUNCTION("""COMPUTED_VALUE"""),"")</f>
        <v/>
      </c>
      <c r="BD308" s="4" t="str">
        <f>IFERROR(__xludf.DUMMYFUNCTION("""COMPUTED_VALUE"""),"")</f>
        <v/>
      </c>
      <c r="BE308" s="4" t="str">
        <f>IFERROR(__xludf.DUMMYFUNCTION("""COMPUTED_VALUE"""),"")</f>
        <v/>
      </c>
      <c r="BF308" s="4" t="str">
        <f>IFERROR(__xludf.DUMMYFUNCTION("""COMPUTED_VALUE"""),"")</f>
        <v/>
      </c>
      <c r="BG308" s="4" t="str">
        <f>IFERROR(__xludf.DUMMYFUNCTION("""COMPUTED_VALUE"""),"")</f>
        <v/>
      </c>
      <c r="BH308" s="4" t="s">
        <v>126</v>
      </c>
      <c r="BI308" s="7">
        <v>1.0</v>
      </c>
    </row>
    <row r="309" hidden="1">
      <c r="A309" s="4" t="str">
        <f>IFERROR(__xludf.DUMMYFUNCTION("""COMPUTED_VALUE"""),"Estacao Grill")</f>
        <v>Estacao Grill</v>
      </c>
      <c r="B309" s="4" t="str">
        <f>IFERROR(__xludf.DUMMYFUNCTION("""COMPUTED_VALUE"""),"Lídia Esteves")</f>
        <v>Lídia Esteves</v>
      </c>
      <c r="C309" s="4" t="str">
        <f>IFERROR(__xludf.DUMMYFUNCTION("""COMPUTED_VALUE"""),"Gabriela Roma")</f>
        <v>Gabriela Roma</v>
      </c>
      <c r="D309" s="4" t="str">
        <f>IFERROR(__xludf.DUMMYFUNCTION("""COMPUTED_VALUE"""),"0. Não Iniciado")</f>
        <v>0. Não Iniciado</v>
      </c>
      <c r="E309" s="4" t="str">
        <f>IFERROR(__xludf.DUMMYFUNCTION("""COMPUTED_VALUE"""),"Delivery - Aguardando retorno / Conciliação agenda")</f>
        <v>Delivery - Aguardando retorno / Conciliação agenda</v>
      </c>
      <c r="F309" s="4" t="str">
        <f>IFERROR(__xludf.DUMMYFUNCTION("""COMPUTED_VALUE"""),"P")</f>
        <v>P</v>
      </c>
      <c r="G309" s="4"/>
      <c r="H309" s="4"/>
      <c r="I309" s="4"/>
      <c r="J309" s="4"/>
      <c r="K309" s="4"/>
      <c r="L309" s="4"/>
      <c r="M309" s="4"/>
      <c r="N309" s="4"/>
      <c r="O309" s="4"/>
      <c r="P309" s="4"/>
      <c r="Q309" s="4"/>
      <c r="R309" s="4"/>
      <c r="S309" s="4"/>
      <c r="T309" s="4"/>
      <c r="U309" s="4"/>
      <c r="V309" s="4"/>
      <c r="W309" s="4"/>
      <c r="X309" s="4"/>
      <c r="Y309" s="4"/>
      <c r="Z309" s="4"/>
      <c r="AA309" s="4">
        <f>IFERROR(__xludf.DUMMYFUNCTION("""COMPUTED_VALUE"""),1.0)</f>
        <v>1</v>
      </c>
      <c r="AB309" s="4" t="str">
        <f>IFERROR(__xludf.DUMMYFUNCTION("""COMPUTED_VALUE"""),"-")</f>
        <v>-</v>
      </c>
      <c r="AC309" s="4" t="str">
        <f>IFERROR(__xludf.DUMMYFUNCTION("""COMPUTED_VALUE"""),"-")</f>
        <v>-</v>
      </c>
      <c r="AD309" s="4"/>
      <c r="AE309" s="4"/>
      <c r="AF309" s="4"/>
      <c r="AG309" s="4"/>
      <c r="AH309" s="4"/>
      <c r="AI309" s="4"/>
      <c r="AJ309" s="4"/>
      <c r="AK309" s="4"/>
      <c r="AL309" s="4"/>
      <c r="AM309" s="4" t="str">
        <f>IFERROR(__xludf.DUMMYFUNCTION("""COMPUTED_VALUE"""),"FY26, FY27")</f>
        <v>FY26, FY27</v>
      </c>
      <c r="AN309" s="4"/>
      <c r="AO309" s="4">
        <f>IFERROR(__xludf.DUMMYFUNCTION("""COMPUTED_VALUE"""),45553.0)</f>
        <v>45553</v>
      </c>
      <c r="AP309" s="4" t="str">
        <f>IFERROR(__xludf.DUMMYFUNCTION("""COMPUTED_VALUE"""),"PR")</f>
        <v>PR</v>
      </c>
      <c r="AQ309" s="4" t="str">
        <f>IFERROR(__xludf.DUMMYFUNCTION("""COMPUTED_VALUE"""),"BRUNA MONTEZIN")</f>
        <v>BRUNA MONTEZIN</v>
      </c>
      <c r="AR309" s="4" t="str">
        <f>IFERROR(__xludf.DUMMYFUNCTION("""COMPUTED_VALUE"""),"ANE LUKAZINSKI")</f>
        <v>ANE LUKAZINSKI</v>
      </c>
      <c r="AS309" s="4" t="str">
        <f>IFERROR(__xludf.DUMMYFUNCTION("""COMPUTED_VALUE"""),"FABIO DONATO")</f>
        <v>FABIO DONATO</v>
      </c>
      <c r="AT309" s="4" t="str">
        <f>IFERROR(__xludf.DUMMYFUNCTION("""COMPUTED_VALUE"""),"MURILO NAGASHIMA")</f>
        <v>MURILO NAGASHIMA</v>
      </c>
      <c r="AU309" s="4" t="str">
        <f>IFERROR(__xludf.DUMMYFUNCTION("""COMPUTED_VALUE"""),"Lídia / Emerson")</f>
        <v>Lídia / Emerson</v>
      </c>
      <c r="AV309" s="4">
        <f>IFERROR(__xludf.DUMMYFUNCTION("""COMPUTED_VALUE"""),0.0)</f>
        <v>0</v>
      </c>
      <c r="AW309" s="4">
        <f>IFERROR(__xludf.DUMMYFUNCTION("""COMPUTED_VALUE"""),0.0)</f>
        <v>0</v>
      </c>
      <c r="AX309" s="4">
        <f>IFERROR(__xludf.DUMMYFUNCTION("""COMPUTED_VALUE"""),0.0)</f>
        <v>0</v>
      </c>
      <c r="AY309" s="4" t="str">
        <f>IFERROR(__xludf.DUMMYFUNCTION("""COMPUTED_VALUE"""),"Sagres Automação Comercial")</f>
        <v>Sagres Automação Comercial</v>
      </c>
      <c r="AZ309" s="4" t="str">
        <f>IFERROR(__xludf.DUMMYFUNCTION("""COMPUTED_VALUE"""),"Brasileira")</f>
        <v>Brasileira</v>
      </c>
      <c r="BA309" s="4" t="str">
        <f>IFERROR(__xludf.DUMMYFUNCTION("""COMPUTED_VALUE"""),"")</f>
        <v/>
      </c>
      <c r="BB309" s="4" t="str">
        <f>IFERROR(__xludf.DUMMYFUNCTION("""COMPUTED_VALUE"""),"")</f>
        <v/>
      </c>
      <c r="BC309" s="4" t="str">
        <f>IFERROR(__xludf.DUMMYFUNCTION("""COMPUTED_VALUE"""),"")</f>
        <v/>
      </c>
      <c r="BD309" s="4" t="str">
        <f>IFERROR(__xludf.DUMMYFUNCTION("""COMPUTED_VALUE"""),"")</f>
        <v/>
      </c>
      <c r="BE309" s="4" t="str">
        <f>IFERROR(__xludf.DUMMYFUNCTION("""COMPUTED_VALUE"""),"")</f>
        <v/>
      </c>
      <c r="BF309" s="4" t="str">
        <f>IFERROR(__xludf.DUMMYFUNCTION("""COMPUTED_VALUE"""),"")</f>
        <v/>
      </c>
      <c r="BG309" s="4" t="str">
        <f>IFERROR(__xludf.DUMMYFUNCTION("""COMPUTED_VALUE"""),"")</f>
        <v/>
      </c>
      <c r="BH309" s="4" t="s">
        <v>63</v>
      </c>
      <c r="BI309" s="7" t="s">
        <v>63</v>
      </c>
    </row>
    <row r="310" hidden="1">
      <c r="A310" s="4" t="str">
        <f>IFERROR(__xludf.DUMMYFUNCTION("""COMPUTED_VALUE"""),"Estella Burger")</f>
        <v>Estella Burger</v>
      </c>
      <c r="B310" s="4" t="str">
        <f>IFERROR(__xludf.DUMMYFUNCTION("""COMPUTED_VALUE"""),"Lídia Esteves")</f>
        <v>Lídia Esteves</v>
      </c>
      <c r="C310" s="4" t="str">
        <f>IFERROR(__xludf.DUMMYFUNCTION("""COMPUTED_VALUE"""),"Gabriela Roma")</f>
        <v>Gabriela Roma</v>
      </c>
      <c r="D310" s="4" t="str">
        <f>IFERROR(__xludf.DUMMYFUNCTION("""COMPUTED_VALUE"""),"11. Stand by")</f>
        <v>11. Stand by</v>
      </c>
      <c r="E310" s="4" t="str">
        <f>IFERROR(__xludf.DUMMYFUNCTION("""COMPUTED_VALUE"""),"Parceiro - Aguardando retorno parceiro")</f>
        <v>Parceiro - Aguardando retorno parceiro</v>
      </c>
      <c r="F310" s="4" t="str">
        <f>IFERROR(__xludf.DUMMYFUNCTION("""COMPUTED_VALUE"""),"P")</f>
        <v>P</v>
      </c>
      <c r="G310" s="5">
        <f>IFERROR(__xludf.DUMMYFUNCTION("""COMPUTED_VALUE"""),46154.0)</f>
        <v>46154</v>
      </c>
      <c r="H310" s="4" t="str">
        <f>IFERROR(__xludf.DUMMYFUNCTION("""COMPUTED_VALUE"""),"Parceiro não nos respondendo de forma alguma, pedi ajuda ao time de delivery mas sem sucesso também do cliente retornar.")</f>
        <v>Parceiro não nos respondendo de forma alguma, pedi ajuda ao time de delivery mas sem sucesso também do cliente retornar.</v>
      </c>
      <c r="I310" s="4"/>
      <c r="J310" s="6">
        <f>IFERROR(__xludf.DUMMYFUNCTION("""COMPUTED_VALUE"""),46058.62408958333)</f>
        <v>46058.62409</v>
      </c>
      <c r="K310" s="6">
        <f>IFERROR(__xludf.DUMMYFUNCTION("""COMPUTED_VALUE"""),46062.640660081015)</f>
        <v>46062.64066</v>
      </c>
      <c r="L310" s="6">
        <f>IFERROR(__xludf.DUMMYFUNCTION("""COMPUTED_VALUE"""),46098.50899047454)</f>
        <v>46098.50899</v>
      </c>
      <c r="M310" s="6">
        <f>IFERROR(__xludf.DUMMYFUNCTION("""COMPUTED_VALUE"""),46098.50897434028)</f>
        <v>46098.50897</v>
      </c>
      <c r="N310" s="4"/>
      <c r="O310" s="4"/>
      <c r="P310" s="4"/>
      <c r="Q310" s="4"/>
      <c r="R310" s="4"/>
      <c r="S310" s="6">
        <f>IFERROR(__xludf.DUMMYFUNCTION("""COMPUTED_VALUE"""),46154.43900677083)</f>
        <v>46154.43901</v>
      </c>
      <c r="T310" s="4"/>
      <c r="U310" s="4"/>
      <c r="V310" s="4" t="str">
        <f>IFERROR(__xludf.DUMMYFUNCTION("""COMPUTED_VALUE"""),"Outros")</f>
        <v>Outros</v>
      </c>
      <c r="W310" s="4"/>
      <c r="X310" s="4"/>
      <c r="Y310" s="4"/>
      <c r="Z310" s="4"/>
      <c r="AA310" s="4">
        <f>IFERROR(__xludf.DUMMYFUNCTION("""COMPUTED_VALUE"""),2.0)</f>
        <v>2</v>
      </c>
      <c r="AB310" s="4" t="str">
        <f>IFERROR(__xludf.DUMMYFUNCTION("""COMPUTED_VALUE"""),"NÃO")</f>
        <v>NÃO</v>
      </c>
      <c r="AC310" s="4" t="str">
        <f>IFERROR(__xludf.DUMMYFUNCTION("""COMPUTED_VALUE"""),"BP")</f>
        <v>BP</v>
      </c>
      <c r="AD310" s="4"/>
      <c r="AE310" s="4"/>
      <c r="AF310" s="4"/>
      <c r="AG310" s="4"/>
      <c r="AH310" s="4"/>
      <c r="AI310" s="4"/>
      <c r="AJ310" s="4"/>
      <c r="AK310" s="4"/>
      <c r="AL310" s="4"/>
      <c r="AM310" s="4" t="str">
        <f>IFERROR(__xludf.DUMMYFUNCTION("""COMPUTED_VALUE"""),"FY26, FY27")</f>
        <v>FY26, FY27</v>
      </c>
      <c r="AN310" s="4" t="str">
        <f>IFERROR(__xludf.DUMMYFUNCTION("""COMPUTED_VALUE"""),"Comer Fora")</f>
        <v>Comer Fora</v>
      </c>
      <c r="AO310" s="4">
        <f>IFERROR(__xludf.DUMMYFUNCTION("""COMPUTED_VALUE"""),61.0)</f>
        <v>61</v>
      </c>
      <c r="AP310" s="4" t="str">
        <f>IFERROR(__xludf.DUMMYFUNCTION("""COMPUTED_VALUE"""),"SP")</f>
        <v>SP</v>
      </c>
      <c r="AQ310" s="4" t="str">
        <f>IFERROR(__xludf.DUMMYFUNCTION("""COMPUTED_VALUE"""),"GABRIEL BISPO")</f>
        <v>GABRIEL BISPO</v>
      </c>
      <c r="AR310" s="4" t="str">
        <f>IFERROR(__xludf.DUMMYFUNCTION("""COMPUTED_VALUE"""),"TBH-VIP")</f>
        <v>TBH-VIP</v>
      </c>
      <c r="AS310" s="4" t="str">
        <f>IFERROR(__xludf.DUMMYFUNCTION("""COMPUTED_VALUE"""),"NATHALIE MERTENS")</f>
        <v>NATHALIE MERTENS</v>
      </c>
      <c r="AT310" s="4" t="str">
        <f>IFERROR(__xludf.DUMMYFUNCTION("""COMPUTED_VALUE"""),"MARIANA KATZ")</f>
        <v>MARIANA KATZ</v>
      </c>
      <c r="AU310" s="4" t="str">
        <f>IFERROR(__xludf.DUMMYFUNCTION("""COMPUTED_VALUE"""),"Iza")</f>
        <v>Iza</v>
      </c>
      <c r="AV310" s="4" t="str">
        <f>IFERROR(__xludf.DUMMYFUNCTION("""COMPUTED_VALUE"""),"Comer Fora-")</f>
        <v>Comer Fora-</v>
      </c>
      <c r="AW310" s="20" t="str">
        <f>IFERROR(__xludf.DUMMYFUNCTION("""COMPUTED_VALUE"""),"P e M - pipe")</f>
        <v>P e M - pipe</v>
      </c>
      <c r="AX310" s="4"/>
      <c r="AY310" s="4"/>
      <c r="AZ310" s="4" t="str">
        <f>IFERROR(__xludf.DUMMYFUNCTION("""COMPUTED_VALUE"""),"Lanches")</f>
        <v>Lanches</v>
      </c>
      <c r="BA310" s="4">
        <f>IFERROR(__xludf.DUMMYFUNCTION("""COMPUTED_VALUE"""),75.0)</f>
        <v>75</v>
      </c>
      <c r="BB310" s="12" t="str">
        <f>IFERROR(__xludf.DUMMYFUNCTION("""COMPUTED_VALUE"""),"Fast Casual - Hamburgueria")</f>
        <v>Fast Casual - Hamburgueria</v>
      </c>
      <c r="BC310" s="4" t="str">
        <f>IFERROR(__xludf.DUMMYFUNCTION("""COMPUTED_VALUE"""),"Interior SP")</f>
        <v>Interior SP</v>
      </c>
      <c r="BD310" s="4" t="str">
        <f>IFERROR(__xludf.DUMMYFUNCTION("""COMPUTED_VALUE"""),"Dado não disponível publicamente - Necessário Discovery")</f>
        <v>Dado não disponível publicamente - Necessário Discovery</v>
      </c>
      <c r="BE310" s="4">
        <f>IFERROR(__xludf.DUMMYFUNCTION("""COMPUTED_VALUE"""),70.0)</f>
        <v>70</v>
      </c>
      <c r="BF310" s="13">
        <f>IFERROR(__xludf.DUMMYFUNCTION("""COMPUTED_VALUE"""),0.75)</f>
        <v>0.75</v>
      </c>
      <c r="BG31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310" s="4" t="s">
        <v>63</v>
      </c>
      <c r="BI310" s="7" t="s">
        <v>63</v>
      </c>
    </row>
    <row r="311">
      <c r="A311" s="4" t="str">
        <f>IFERROR(__xludf.DUMMYFUNCTION("""COMPUTED_VALUE"""),"Ex Burger")</f>
        <v>Ex Burger</v>
      </c>
      <c r="B311" s="4" t="str">
        <f>IFERROR(__xludf.DUMMYFUNCTION("""COMPUTED_VALUE"""),"Emerson")</f>
        <v>Emerson</v>
      </c>
      <c r="C311" s="4" t="str">
        <f>IFERROR(__xludf.DUMMYFUNCTION("""COMPUTED_VALUE"""),"Emerson")</f>
        <v>Emerson</v>
      </c>
      <c r="D311" s="4" t="str">
        <f>IFERROR(__xludf.DUMMYFUNCTION("""COMPUTED_VALUE"""),"10. Perdido")</f>
        <v>10. Perdido</v>
      </c>
      <c r="E311" s="4" t="str">
        <f>IFERROR(__xludf.DUMMYFUNCTION("""COMPUTED_VALUE"""),"Perdido - Sem perfil LA / 3SCheckout / PDV próprio")</f>
        <v>Perdido - Sem perfil LA / 3SCheckout / PDV próprio</v>
      </c>
      <c r="F311" s="4" t="str">
        <f>IFERROR(__xludf.DUMMYFUNCTION("""COMPUTED_VALUE"""),"G")</f>
        <v>G</v>
      </c>
      <c r="G311" s="5">
        <f>IFERROR(__xludf.DUMMYFUNCTION("""COMPUTED_VALUE"""),46118.0)</f>
        <v>46118</v>
      </c>
      <c r="H311" s="4" t="str">
        <f>IFERROR(__xludf.DUMMYFUNCTION("""COMPUTED_VALUE"""),"Marca no pipe da Saipos")</f>
        <v>Marca no pipe da Saipos</v>
      </c>
      <c r="I311" s="4"/>
      <c r="J311" s="4"/>
      <c r="K311" s="4"/>
      <c r="L311" s="4"/>
      <c r="M311" s="4"/>
      <c r="N311" s="4"/>
      <c r="O311" s="4"/>
      <c r="P311" s="4"/>
      <c r="Q311" s="4"/>
      <c r="R311" s="6">
        <f>IFERROR(__xludf.DUMMYFUNCTION("""COMPUTED_VALUE"""),46118.47179611112)</f>
        <v>46118.4718</v>
      </c>
      <c r="S311" s="4"/>
      <c r="T311" s="4"/>
      <c r="U311" s="4"/>
      <c r="V311" s="4" t="str">
        <f>IFERROR(__xludf.DUMMYFUNCTION("""COMPUTED_VALUE"""),"Sem perfil 3S - Perfil Saipos")</f>
        <v>Sem perfil 3S - Perfil Saipos</v>
      </c>
      <c r="W311" s="4"/>
      <c r="X311" s="4"/>
      <c r="Y311" s="4"/>
      <c r="Z311" s="4"/>
      <c r="AA311" s="4">
        <f>IFERROR(__xludf.DUMMYFUNCTION("""COMPUTED_VALUE"""),70.0)</f>
        <v>70</v>
      </c>
      <c r="AB311" s="4" t="str">
        <f>IFERROR(__xludf.DUMMYFUNCTION("""COMPUTED_VALUE"""),"NÃO")</f>
        <v>NÃO</v>
      </c>
      <c r="AC311" s="4" t="str">
        <f>IFERROR(__xludf.DUMMYFUNCTION("""COMPUTED_VALUE"""),"Não BP")</f>
        <v>Não BP</v>
      </c>
      <c r="AD311" s="4"/>
      <c r="AE311" s="4"/>
      <c r="AF311" s="4"/>
      <c r="AG311" s="4"/>
      <c r="AH311" s="4"/>
      <c r="AI311" s="4"/>
      <c r="AJ311" s="4"/>
      <c r="AK311" s="4"/>
      <c r="AL311" s="4"/>
      <c r="AM311" s="4" t="str">
        <f>IFERROR(__xludf.DUMMYFUNCTION("""COMPUTED_VALUE"""),"FY26, FY27")</f>
        <v>FY26, FY27</v>
      </c>
      <c r="AN311" s="4"/>
      <c r="AO311" s="4">
        <f>IFERROR(__xludf.DUMMYFUNCTION("""COMPUTED_VALUE"""),97.0)</f>
        <v>97</v>
      </c>
      <c r="AP311" s="4">
        <f>IFERROR(__xludf.DUMMYFUNCTION("""COMPUTED_VALUE"""),0.0)</f>
        <v>0</v>
      </c>
      <c r="AQ311" s="4">
        <f>IFERROR(__xludf.DUMMYFUNCTION("""COMPUTED_VALUE"""),0.0)</f>
        <v>0</v>
      </c>
      <c r="AR311" s="4">
        <f>IFERROR(__xludf.DUMMYFUNCTION("""COMPUTED_VALUE"""),0.0)</f>
        <v>0</v>
      </c>
      <c r="AS311" s="4">
        <f>IFERROR(__xludf.DUMMYFUNCTION("""COMPUTED_VALUE"""),0.0)</f>
        <v>0</v>
      </c>
      <c r="AT311" s="4">
        <f>IFERROR(__xludf.DUMMYFUNCTION("""COMPUTED_VALUE"""),0.0)</f>
        <v>0</v>
      </c>
      <c r="AU311" s="4" t="str">
        <f>IFERROR(__xludf.DUMMYFUNCTION("""COMPUTED_VALUE"""),"Leonardo Roso")</f>
        <v>Leonardo Roso</v>
      </c>
      <c r="AV311" s="4">
        <f>IFERROR(__xludf.DUMMYFUNCTION("""COMPUTED_VALUE"""),0.0)</f>
        <v>0</v>
      </c>
      <c r="AW311" s="4">
        <f>IFERROR(__xludf.DUMMYFUNCTION("""COMPUTED_VALUE"""),0.0)</f>
        <v>0</v>
      </c>
      <c r="AX311" s="4">
        <f>IFERROR(__xludf.DUMMYFUNCTION("""COMPUTED_VALUE"""),0.0)</f>
        <v>0</v>
      </c>
      <c r="AY311" s="4"/>
      <c r="AZ311" s="4" t="str">
        <f>IFERROR(__xludf.DUMMYFUNCTION("""COMPUTED_VALUE"""),"NA")</f>
        <v>NA</v>
      </c>
      <c r="BA311" s="4" t="str">
        <f>IFERROR(__xludf.DUMMYFUNCTION("""COMPUTED_VALUE"""),"")</f>
        <v/>
      </c>
      <c r="BB311" s="4" t="str">
        <f>IFERROR(__xludf.DUMMYFUNCTION("""COMPUTED_VALUE"""),"")</f>
        <v/>
      </c>
      <c r="BC311" s="4" t="str">
        <f>IFERROR(__xludf.DUMMYFUNCTION("""COMPUTED_VALUE"""),"")</f>
        <v/>
      </c>
      <c r="BD311" s="4" t="str">
        <f>IFERROR(__xludf.DUMMYFUNCTION("""COMPUTED_VALUE"""),"")</f>
        <v/>
      </c>
      <c r="BE311" s="4" t="str">
        <f>IFERROR(__xludf.DUMMYFUNCTION("""COMPUTED_VALUE"""),"")</f>
        <v/>
      </c>
      <c r="BF311" s="4" t="str">
        <f>IFERROR(__xludf.DUMMYFUNCTION("""COMPUTED_VALUE"""),"")</f>
        <v/>
      </c>
      <c r="BG311" s="4" t="str">
        <f>IFERROR(__xludf.DUMMYFUNCTION("""COMPUTED_VALUE"""),"")</f>
        <v/>
      </c>
      <c r="BH311" s="4" t="s">
        <v>63</v>
      </c>
      <c r="BI311" s="7" t="s">
        <v>63</v>
      </c>
    </row>
    <row r="312" hidden="1">
      <c r="A312" s="4" t="str">
        <f>IFERROR(__xludf.DUMMYFUNCTION("""COMPUTED_VALUE"""),"Excelencia Do Pao")</f>
        <v>Excelencia Do Pao</v>
      </c>
      <c r="B312" s="4" t="str">
        <f>IFERROR(__xludf.DUMMYFUNCTION("""COMPUTED_VALUE"""),"Lídia Esteves")</f>
        <v>Lídia Esteves</v>
      </c>
      <c r="C312" s="4" t="str">
        <f>IFERROR(__xludf.DUMMYFUNCTION("""COMPUTED_VALUE"""),"Gabriela Roma")</f>
        <v>Gabriela Roma</v>
      </c>
      <c r="D312" s="4" t="str">
        <f>IFERROR(__xludf.DUMMYFUNCTION("""COMPUTED_VALUE"""),"0. Não Iniciado")</f>
        <v>0. Não Iniciado</v>
      </c>
      <c r="E312" s="4"/>
      <c r="F312" s="4" t="str">
        <f>IFERROR(__xludf.DUMMYFUNCTION("""COMPUTED_VALUE"""),"P")</f>
        <v>P</v>
      </c>
      <c r="G312" s="4"/>
      <c r="H312" s="4"/>
      <c r="I312" s="4"/>
      <c r="J312" s="4"/>
      <c r="K312" s="4"/>
      <c r="L312" s="4"/>
      <c r="M312" s="4"/>
      <c r="N312" s="4"/>
      <c r="O312" s="4"/>
      <c r="P312" s="4"/>
      <c r="Q312" s="4"/>
      <c r="R312" s="4"/>
      <c r="S312" s="4"/>
      <c r="T312" s="4"/>
      <c r="U312" s="4"/>
      <c r="V312" s="4"/>
      <c r="W312" s="4"/>
      <c r="X312" s="4"/>
      <c r="Y312" s="4"/>
      <c r="Z312" s="4"/>
      <c r="AA312" s="4">
        <f>IFERROR(__xludf.DUMMYFUNCTION("""COMPUTED_VALUE"""),4.0)</f>
        <v>4</v>
      </c>
      <c r="AB312" s="4" t="str">
        <f>IFERROR(__xludf.DUMMYFUNCTION("""COMPUTED_VALUE"""),"-")</f>
        <v>-</v>
      </c>
      <c r="AC312" s="4" t="str">
        <f>IFERROR(__xludf.DUMMYFUNCTION("""COMPUTED_VALUE"""),"-")</f>
        <v>-</v>
      </c>
      <c r="AD312" s="4"/>
      <c r="AE312" s="4"/>
      <c r="AF312" s="4"/>
      <c r="AG312" s="4"/>
      <c r="AH312" s="4"/>
      <c r="AI312" s="4"/>
      <c r="AJ312" s="4"/>
      <c r="AK312" s="4"/>
      <c r="AL312" s="4"/>
      <c r="AM312" s="4" t="str">
        <f>IFERROR(__xludf.DUMMYFUNCTION("""COMPUTED_VALUE"""),"FY26, FY27")</f>
        <v>FY26, FY27</v>
      </c>
      <c r="AN312" s="4"/>
      <c r="AO312" s="4">
        <f>IFERROR(__xludf.DUMMYFUNCTION("""COMPUTED_VALUE"""),45553.0)</f>
        <v>45553</v>
      </c>
      <c r="AP312" s="4" t="str">
        <f>IFERROR(__xludf.DUMMYFUNCTION("""COMPUTED_VALUE"""),"PR")</f>
        <v>PR</v>
      </c>
      <c r="AQ312" s="4" t="str">
        <f>IFERROR(__xludf.DUMMYFUNCTION("""COMPUTED_VALUE"""),"RAFAEL FERREIRA")</f>
        <v>RAFAEL FERREIRA</v>
      </c>
      <c r="AR312" s="4" t="str">
        <f>IFERROR(__xludf.DUMMYFUNCTION("""COMPUTED_VALUE"""),"MANUELLE SOARES")</f>
        <v>MANUELLE SOARES</v>
      </c>
      <c r="AS312" s="4" t="str">
        <f>IFERROR(__xludf.DUMMYFUNCTION("""COMPUTED_VALUE"""),"FABIO DONATO")</f>
        <v>FABIO DONATO</v>
      </c>
      <c r="AT312" s="4" t="str">
        <f>IFERROR(__xludf.DUMMYFUNCTION("""COMPUTED_VALUE"""),"MURILO NAGASHIMA")</f>
        <v>MURILO NAGASHIMA</v>
      </c>
      <c r="AU312" s="4" t="str">
        <f>IFERROR(__xludf.DUMMYFUNCTION("""COMPUTED_VALUE"""),"Lídia / Emerson")</f>
        <v>Lídia / Emerson</v>
      </c>
      <c r="AV312" s="4">
        <f>IFERROR(__xludf.DUMMYFUNCTION("""COMPUTED_VALUE"""),0.0)</f>
        <v>0</v>
      </c>
      <c r="AW312" s="4">
        <f>IFERROR(__xludf.DUMMYFUNCTION("""COMPUTED_VALUE"""),0.0)</f>
        <v>0</v>
      </c>
      <c r="AX312" s="4">
        <f>IFERROR(__xludf.DUMMYFUNCTION("""COMPUTED_VALUE"""),0.0)</f>
        <v>0</v>
      </c>
      <c r="AY312" s="4"/>
      <c r="AZ312" s="4" t="str">
        <f>IFERROR(__xludf.DUMMYFUNCTION("""COMPUTED_VALUE"""),"Lanches")</f>
        <v>Lanches</v>
      </c>
      <c r="BA312" s="4">
        <f>IFERROR(__xludf.DUMMYFUNCTION("""COMPUTED_VALUE"""),72.0)</f>
        <v>72</v>
      </c>
      <c r="BB312" s="4" t="str">
        <f>IFERROR(__xludf.DUMMYFUNCTION("""COMPUTED_VALUE"""),"Fast Casual - Multi-conceito")</f>
        <v>Fast Casual - Multi-conceito</v>
      </c>
      <c r="BC312" s="4" t="str">
        <f>IFERROR(__xludf.DUMMYFUNCTION("""COMPUTED_VALUE"""),"Sul")</f>
        <v>Sul</v>
      </c>
      <c r="BD312" s="4" t="str">
        <f>IFERROR(__xludf.DUMMYFUNCTION("""COMPUTED_VALUE"""),"Dado não disponível publicamente - Necessário Discovery")</f>
        <v>Dado não disponível publicamente - Necessário Discovery</v>
      </c>
      <c r="BE312" s="4">
        <f>IFERROR(__xludf.DUMMYFUNCTION("""COMPUTED_VALUE"""),65.0)</f>
        <v>65</v>
      </c>
      <c r="BF312" s="4">
        <f>IFERROR(__xludf.DUMMYFUNCTION("""COMPUTED_VALUE"""),0.75)</f>
        <v>0.75</v>
      </c>
      <c r="BG31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312" s="4" t="s">
        <v>63</v>
      </c>
      <c r="BI312" s="7" t="s">
        <v>63</v>
      </c>
    </row>
    <row r="313" hidden="1">
      <c r="A313" s="4" t="str">
        <f>IFERROR(__xludf.DUMMYFUNCTION("""COMPUTED_VALUE"""),"Ferro E Farinha")</f>
        <v>Ferro E Farinha</v>
      </c>
      <c r="B313" s="4" t="str">
        <f>IFERROR(__xludf.DUMMYFUNCTION("""COMPUTED_VALUE"""),"Lídia Esteves")</f>
        <v>Lídia Esteves</v>
      </c>
      <c r="C313" s="4" t="str">
        <f>IFERROR(__xludf.DUMMYFUNCTION("""COMPUTED_VALUE"""),"Gabriela Roma")</f>
        <v>Gabriela Roma</v>
      </c>
      <c r="D313" s="4" t="str">
        <f>IFERROR(__xludf.DUMMYFUNCTION("""COMPUTED_VALUE"""),"0. Não Iniciado")</f>
        <v>0. Não Iniciado</v>
      </c>
      <c r="E313" s="4" t="str">
        <f>IFERROR(__xludf.DUMMYFUNCTION("""COMPUTED_VALUE"""),"Delivery - Aguardando retorno / Conciliação agenda")</f>
        <v>Delivery - Aguardando retorno / Conciliação agenda</v>
      </c>
      <c r="F313" s="4" t="str">
        <f>IFERROR(__xludf.DUMMYFUNCTION("""COMPUTED_VALUE"""),"P")</f>
        <v>P</v>
      </c>
      <c r="G313" s="5">
        <f>IFERROR(__xludf.DUMMYFUNCTION("""COMPUTED_VALUE"""),46076.0)</f>
        <v>46076</v>
      </c>
      <c r="H313" s="4" t="str">
        <f>IFERROR(__xludf.DUMMYFUNCTION("""COMPUTED_VALUE"""),"Aguardando retorno do executivo de delivery Jesus Matheus. ")</f>
        <v>Aguardando retorno do executivo de delivery Jesus Matheus. </v>
      </c>
      <c r="I313" s="4"/>
      <c r="J313" s="4"/>
      <c r="K313" s="6">
        <f>IFERROR(__xludf.DUMMYFUNCTION("""COMPUTED_VALUE"""),45930.0)</f>
        <v>45930</v>
      </c>
      <c r="L313" s="4"/>
      <c r="M313" s="4"/>
      <c r="N313" s="4"/>
      <c r="O313" s="4"/>
      <c r="P313" s="4"/>
      <c r="Q313" s="4"/>
      <c r="R313" s="4"/>
      <c r="S313" s="4"/>
      <c r="T313" s="4"/>
      <c r="U313" s="4"/>
      <c r="V313" s="4"/>
      <c r="W313" s="4"/>
      <c r="X313" s="4"/>
      <c r="Y313" s="4"/>
      <c r="Z313" s="4"/>
      <c r="AA313" s="4">
        <f>IFERROR(__xludf.DUMMYFUNCTION("""COMPUTED_VALUE"""),6.0)</f>
        <v>6</v>
      </c>
      <c r="AB313" s="4" t="str">
        <f>IFERROR(__xludf.DUMMYFUNCTION("""COMPUTED_VALUE"""),"NÃO")</f>
        <v>NÃO</v>
      </c>
      <c r="AC313" s="4" t="str">
        <f>IFERROR(__xludf.DUMMYFUNCTION("""COMPUTED_VALUE"""),"BP")</f>
        <v>BP</v>
      </c>
      <c r="AD313" s="4"/>
      <c r="AE313" s="4"/>
      <c r="AF313" s="4"/>
      <c r="AG313" s="4"/>
      <c r="AH313" s="4"/>
      <c r="AI313" s="4"/>
      <c r="AJ313" s="4"/>
      <c r="AK313" s="4"/>
      <c r="AL313" s="4"/>
      <c r="AM313" s="4" t="str">
        <f>IFERROR(__xludf.DUMMYFUNCTION("""COMPUTED_VALUE"""),"FY26, FY27")</f>
        <v>FY26, FY27</v>
      </c>
      <c r="AN313" s="4" t="str">
        <f>IFERROR(__xludf.DUMMYFUNCTION("""COMPUTED_VALUE"""),"Comer Fora")</f>
        <v>Comer Fora</v>
      </c>
      <c r="AO313" s="4">
        <f>IFERROR(__xludf.DUMMYFUNCTION("""COMPUTED_VALUE"""),140.0)</f>
        <v>140</v>
      </c>
      <c r="AP313" s="4" t="str">
        <f>IFERROR(__xludf.DUMMYFUNCTION("""COMPUTED_VALUE"""),"RJ")</f>
        <v>RJ</v>
      </c>
      <c r="AQ313" s="4" t="str">
        <f>IFERROR(__xludf.DUMMYFUNCTION("""COMPUTED_VALUE"""),"THIAGO FERNANDES")</f>
        <v>THIAGO FERNANDES</v>
      </c>
      <c r="AR313" s="4" t="str">
        <f>IFERROR(__xludf.DUMMYFUNCTION("""COMPUTED_VALUE"""),"JESUS MATHEUS")</f>
        <v>JESUS MATHEUS</v>
      </c>
      <c r="AS313" s="4" t="str">
        <f>IFERROR(__xludf.DUMMYFUNCTION("""COMPUTED_VALUE"""),"NATHALIE MERTENS")</f>
        <v>NATHALIE MERTENS</v>
      </c>
      <c r="AT313" s="4" t="str">
        <f>IFERROR(__xludf.DUMMYFUNCTION("""COMPUTED_VALUE"""),"MARIANA KATZ")</f>
        <v>MARIANA KATZ</v>
      </c>
      <c r="AU313" s="4" t="str">
        <f>IFERROR(__xludf.DUMMYFUNCTION("""COMPUTED_VALUE"""),"Diego")</f>
        <v>Diego</v>
      </c>
      <c r="AV313" s="4" t="str">
        <f>IFERROR(__xludf.DUMMYFUNCTION("""COMPUTED_VALUE"""),"Comer Fora-")</f>
        <v>Comer Fora-</v>
      </c>
      <c r="AW313" s="20" t="str">
        <f>IFERROR(__xludf.DUMMYFUNCTION("""COMPUTED_VALUE"""),"P e M - pipe")</f>
        <v>P e M - pipe</v>
      </c>
      <c r="AX313" s="4"/>
      <c r="AY313" s="4"/>
      <c r="AZ313" s="4" t="str">
        <f>IFERROR(__xludf.DUMMYFUNCTION("""COMPUTED_VALUE"""),"Pizza")</f>
        <v>Pizza</v>
      </c>
      <c r="BA313" s="4">
        <f>IFERROR(__xludf.DUMMYFUNCTION("""COMPUTED_VALUE"""),56.0)</f>
        <v>56</v>
      </c>
      <c r="BB313" s="4" t="str">
        <f>IFERROR(__xludf.DUMMYFUNCTION("""COMPUTED_VALUE"""),"Fast Casual - Multi-conceito")</f>
        <v>Fast Casual - Multi-conceito</v>
      </c>
      <c r="BC313" s="4" t="str">
        <f>IFERROR(__xludf.DUMMYFUNCTION("""COMPUTED_VALUE"""),"Nordeste")</f>
        <v>Nordeste</v>
      </c>
      <c r="BD313" s="4" t="str">
        <f>IFERROR(__xludf.DUMMYFUNCTION("""COMPUTED_VALUE"""),"Dado não disponível publicamente - Necessário Discovery")</f>
        <v>Dado não disponível publicamente - Necessário Discovery</v>
      </c>
      <c r="BE313" s="4">
        <f>IFERROR(__xludf.DUMMYFUNCTION("""COMPUTED_VALUE"""),70.0)</f>
        <v>70</v>
      </c>
      <c r="BF313" s="4">
        <f>IFERROR(__xludf.DUMMYFUNCTION("""COMPUTED_VALUE"""),0.75)</f>
        <v>0.75</v>
      </c>
      <c r="BG31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313" s="4" t="s">
        <v>63</v>
      </c>
      <c r="BI313" s="7" t="s">
        <v>63</v>
      </c>
    </row>
    <row r="314" hidden="1">
      <c r="A314" s="4" t="str">
        <f>IFERROR(__xludf.DUMMYFUNCTION("""COMPUTED_VALUE"""),"Fichips Food")</f>
        <v>Fichips Food</v>
      </c>
      <c r="B314" s="4" t="str">
        <f>IFERROR(__xludf.DUMMYFUNCTION("""COMPUTED_VALUE"""),"Lídia Esteves")</f>
        <v>Lídia Esteves</v>
      </c>
      <c r="C314" s="4" t="str">
        <f>IFERROR(__xludf.DUMMYFUNCTION("""COMPUTED_VALUE"""),"Gabriela Roma")</f>
        <v>Gabriela Roma</v>
      </c>
      <c r="D314" s="4" t="str">
        <f>IFERROR(__xludf.DUMMYFUNCTION("""COMPUTED_VALUE"""),"11. Stand by")</f>
        <v>11. Stand by</v>
      </c>
      <c r="E314" s="4" t="str">
        <f>IFERROR(__xludf.DUMMYFUNCTION("""COMPUTED_VALUE"""),"Perdido - Outro (detalhar ao lado)")</f>
        <v>Perdido - Outro (detalhar ao lado)</v>
      </c>
      <c r="F314" s="4" t="str">
        <f>IFERROR(__xludf.DUMMYFUNCTION("""COMPUTED_VALUE"""),"M")</f>
        <v>M</v>
      </c>
      <c r="G314" s="5">
        <f>IFERROR(__xludf.DUMMYFUNCTION("""COMPUTED_VALUE"""),46076.0)</f>
        <v>46076</v>
      </c>
      <c r="H314" s="4" t="str">
        <f>IFERROR(__xludf.DUMMYFUNCTION("""COMPUTED_VALUE"""),"Falando com o Emerson eu soube que estão negociando em paralelo com o Impettus que agora é o grupo detentor da marca.")</f>
        <v>Falando com o Emerson eu soube que estão negociando em paralelo com o Impettus que agora é o grupo detentor da marca.</v>
      </c>
      <c r="I314" s="4"/>
      <c r="J314" s="4"/>
      <c r="K314" s="6">
        <f>IFERROR(__xludf.DUMMYFUNCTION("""COMPUTED_VALUE"""),45901.0)</f>
        <v>45901</v>
      </c>
      <c r="L314" s="4"/>
      <c r="M314" s="6">
        <f>IFERROR(__xludf.DUMMYFUNCTION("""COMPUTED_VALUE"""),46072.46371012731)</f>
        <v>46072.46371</v>
      </c>
      <c r="N314" s="6">
        <f>IFERROR(__xludf.DUMMYFUNCTION("""COMPUTED_VALUE"""),46072.463845474536)</f>
        <v>46072.46385</v>
      </c>
      <c r="O314" s="4"/>
      <c r="P314" s="4"/>
      <c r="Q314" s="4"/>
      <c r="R314" s="4"/>
      <c r="S314" s="6">
        <f>IFERROR(__xludf.DUMMYFUNCTION("""COMPUTED_VALUE"""),46072.465533703704)</f>
        <v>46072.46553</v>
      </c>
      <c r="T314" s="4"/>
      <c r="U314" s="4"/>
      <c r="V314" s="4" t="str">
        <f>IFERROR(__xludf.DUMMYFUNCTION("""COMPUTED_VALUE"""),"Outros")</f>
        <v>Outros</v>
      </c>
      <c r="W314" s="4"/>
      <c r="X314" s="4"/>
      <c r="Y314" s="4"/>
      <c r="Z314" s="4"/>
      <c r="AA314" s="4">
        <f>IFERROR(__xludf.DUMMYFUNCTION("""COMPUTED_VALUE"""),42.0)</f>
        <v>42</v>
      </c>
      <c r="AB314" s="4"/>
      <c r="AC314" s="4"/>
      <c r="AD314" s="4"/>
      <c r="AE314" s="4"/>
      <c r="AF314" s="4"/>
      <c r="AG314" s="4"/>
      <c r="AH314" s="4"/>
      <c r="AI314" s="4"/>
      <c r="AJ314" s="4"/>
      <c r="AK314" s="4"/>
      <c r="AL314" s="4"/>
      <c r="AM314" s="4" t="str">
        <f>IFERROR(__xludf.DUMMYFUNCTION("""COMPUTED_VALUE"""),"FY26, FY27")</f>
        <v>FY26, FY27</v>
      </c>
      <c r="AN314" s="4"/>
      <c r="AO314" s="4">
        <f>IFERROR(__xludf.DUMMYFUNCTION("""COMPUTED_VALUE"""),140.0)</f>
        <v>140</v>
      </c>
      <c r="AP314" s="4" t="str">
        <f>IFERROR(__xludf.DUMMYFUNCTION("""COMPUTED_VALUE"""),"SP")</f>
        <v>SP</v>
      </c>
      <c r="AQ314" s="4" t="str">
        <f>IFERROR(__xludf.DUMMYFUNCTION("""COMPUTED_VALUE"""),"RAFAEL PEDRO")</f>
        <v>RAFAEL PEDRO</v>
      </c>
      <c r="AR314" s="4" t="str">
        <f>IFERROR(__xludf.DUMMYFUNCTION("""COMPUTED_VALUE"""),"MARIA JESUS")</f>
        <v>MARIA JESUS</v>
      </c>
      <c r="AS314" s="4" t="str">
        <f>IFERROR(__xludf.DUMMYFUNCTION("""COMPUTED_VALUE"""),"THIAGO ROMAGNOLE")</f>
        <v>THIAGO ROMAGNOLE</v>
      </c>
      <c r="AT314" s="4" t="str">
        <f>IFERROR(__xludf.DUMMYFUNCTION("""COMPUTED_VALUE"""),"PAULO MODESTO")</f>
        <v>PAULO MODESTO</v>
      </c>
      <c r="AU314" s="4" t="str">
        <f>IFERROR(__xludf.DUMMYFUNCTION("""COMPUTED_VALUE"""),"Diego")</f>
        <v>Diego</v>
      </c>
      <c r="AV314" s="4">
        <f>IFERROR(__xludf.DUMMYFUNCTION("""COMPUTED_VALUE"""),0.0)</f>
        <v>0</v>
      </c>
      <c r="AW314" s="4">
        <f>IFERROR(__xludf.DUMMYFUNCTION("""COMPUTED_VALUE"""),0.0)</f>
        <v>0</v>
      </c>
      <c r="AX314" s="4">
        <f>IFERROR(__xludf.DUMMYFUNCTION("""COMPUTED_VALUE"""),0.0)</f>
        <v>0</v>
      </c>
      <c r="AY314" s="4"/>
      <c r="AZ314" s="4" t="str">
        <f>IFERROR(__xludf.DUMMYFUNCTION("""COMPUTED_VALUE"""),"Brasileira")</f>
        <v>Brasileira</v>
      </c>
      <c r="BA314" s="4">
        <f>IFERROR(__xludf.DUMMYFUNCTION("""COMPUTED_VALUE"""),71.0)</f>
        <v>71</v>
      </c>
      <c r="BB314" s="4" t="str">
        <f>IFERROR(__xludf.DUMMYFUNCTION("""COMPUTED_VALUE"""),"Fast Casual - Multi-conceito")</f>
        <v>Fast Casual - Multi-conceito</v>
      </c>
      <c r="BC314" s="4" t="str">
        <f>IFERROR(__xludf.DUMMYFUNCTION("""COMPUTED_VALUE"""),"São Paulo/SP")</f>
        <v>São Paulo/SP</v>
      </c>
      <c r="BD314" s="4" t="str">
        <f>IFERROR(__xludf.DUMMYFUNCTION("""COMPUTED_VALUE"""),"Dado não disponível publicamente - Necessário Discovery")</f>
        <v>Dado não disponível publicamente - Necessário Discovery</v>
      </c>
      <c r="BE314" s="4">
        <f>IFERROR(__xludf.DUMMYFUNCTION("""COMPUTED_VALUE"""),65.0)</f>
        <v>65</v>
      </c>
      <c r="BF314" s="4">
        <f>IFERROR(__xludf.DUMMYFUNCTION("""COMPUTED_VALUE"""),0.75)</f>
        <v>0.75</v>
      </c>
      <c r="BG31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314" s="4" t="s">
        <v>72</v>
      </c>
      <c r="BI314" s="7">
        <v>0.6666666666666666</v>
      </c>
    </row>
    <row r="315" hidden="1">
      <c r="A315" s="4" t="str">
        <f>IFERROR(__xludf.DUMMYFUNCTION("""COMPUTED_VALUE"""),"Flakes")</f>
        <v>Flakes</v>
      </c>
      <c r="B315" s="4" t="str">
        <f>IFERROR(__xludf.DUMMYFUNCTION("""COMPUTED_VALUE"""),"Ana")</f>
        <v>Ana</v>
      </c>
      <c r="C315" s="4" t="str">
        <f>IFERROR(__xludf.DUMMYFUNCTION("""COMPUTED_VALUE"""),"Gabriela Roma")</f>
        <v>Gabriela Roma</v>
      </c>
      <c r="D315" s="4" t="str">
        <f>IFERROR(__xludf.DUMMYFUNCTION("""COMPUTED_VALUE"""),"9. Contrato assinado")</f>
        <v>9. Contrato assinado</v>
      </c>
      <c r="E315" s="4" t="str">
        <f>IFERROR(__xludf.DUMMYFUNCTION("""COMPUTED_VALUE""")," Projetos - Contrato assinado &amp; Rollout")</f>
        <v> Projetos - Contrato assinado &amp; Rollout</v>
      </c>
      <c r="F315" s="4" t="str">
        <f>IFERROR(__xludf.DUMMYFUNCTION("""COMPUTED_VALUE"""),"P")</f>
        <v>P</v>
      </c>
      <c r="G315" s="5">
        <f>IFERROR(__xludf.DUMMYFUNCTION("""COMPUTED_VALUE"""),46121.0)</f>
        <v>46121</v>
      </c>
      <c r="H315" s="4" t="str">
        <f>IFERROR(__xludf.DUMMYFUNCTION("""COMPUTED_VALUE"""),"Contrato assinado 06/04 - prox passo projetos")</f>
        <v>Contrato assinado 06/04 - prox passo projetos</v>
      </c>
      <c r="I315" s="4"/>
      <c r="J315" s="6">
        <f>IFERROR(__xludf.DUMMYFUNCTION("""COMPUTED_VALUE"""),46099.55181172454)</f>
        <v>46099.55181</v>
      </c>
      <c r="K315" s="6">
        <f>IFERROR(__xludf.DUMMYFUNCTION("""COMPUTED_VALUE"""),46099.551880416664)</f>
        <v>46099.55188</v>
      </c>
      <c r="L315" s="6">
        <f>IFERROR(__xludf.DUMMYFUNCTION("""COMPUTED_VALUE"""),46099.55193599537)</f>
        <v>46099.55194</v>
      </c>
      <c r="M315" s="6">
        <f>IFERROR(__xludf.DUMMYFUNCTION("""COMPUTED_VALUE"""),46099.68215447917)</f>
        <v>46099.68215</v>
      </c>
      <c r="N315" s="6">
        <f>IFERROR(__xludf.DUMMYFUNCTION("""COMPUTED_VALUE"""),46099.68216611111)</f>
        <v>46099.68217</v>
      </c>
      <c r="O315" s="4"/>
      <c r="P315" s="6">
        <f>IFERROR(__xludf.DUMMYFUNCTION("""COMPUTED_VALUE"""),46118.72890609954)</f>
        <v>46118.72891</v>
      </c>
      <c r="Q315" s="6">
        <f>IFERROR(__xludf.DUMMYFUNCTION("""COMPUTED_VALUE"""),46118.729012384254)</f>
        <v>46118.72901</v>
      </c>
      <c r="R315" s="4"/>
      <c r="S315" s="4"/>
      <c r="T315" s="4"/>
      <c r="U315" s="4"/>
      <c r="V315" s="4"/>
      <c r="W315" s="8">
        <f>IFERROR(__xludf.DUMMYFUNCTION("""COMPUTED_VALUE"""),690.0)</f>
        <v>690</v>
      </c>
      <c r="X315" s="4">
        <f>IFERROR(__xludf.DUMMYFUNCTION("""COMPUTED_VALUE"""),36.0)</f>
        <v>36</v>
      </c>
      <c r="Y315" s="8">
        <f>IFERROR(__xludf.DUMMYFUNCTION("""COMPUTED_VALUE"""),0.0)</f>
        <v>0</v>
      </c>
      <c r="Z315" s="8">
        <f>IFERROR(__xludf.DUMMYFUNCTION("""COMPUTED_VALUE"""),1622.0)</f>
        <v>1622</v>
      </c>
      <c r="AA315" s="4">
        <f>IFERROR(__xludf.DUMMYFUNCTION("""COMPUTED_VALUE"""),4.0)</f>
        <v>4</v>
      </c>
      <c r="AB315" s="4" t="str">
        <f>IFERROR(__xludf.DUMMYFUNCTION("""COMPUTED_VALUE"""),"Não")</f>
        <v>Não</v>
      </c>
      <c r="AC315" s="4" t="str">
        <f>IFERROR(__xludf.DUMMYFUNCTION("""COMPUTED_VALUE"""),"Não")</f>
        <v>Não</v>
      </c>
      <c r="AD315" s="4"/>
      <c r="AE315" s="4"/>
      <c r="AF315" s="4"/>
      <c r="AG315" s="4"/>
      <c r="AH315" s="4"/>
      <c r="AI315" s="4"/>
      <c r="AJ315" s="4"/>
      <c r="AK315" s="4"/>
      <c r="AL315" s="4"/>
      <c r="AM315" s="4" t="str">
        <f>IFERROR(__xludf.DUMMYFUNCTION("""COMPUTED_VALUE"""),"FY26, FY27")</f>
        <v>FY26, FY27</v>
      </c>
      <c r="AN315" s="4"/>
      <c r="AO315" s="4">
        <f>IFERROR(__xludf.DUMMYFUNCTION("""COMPUTED_VALUE"""),94.0)</f>
        <v>94</v>
      </c>
      <c r="AP315" s="4" t="str">
        <f>IFERROR(__xludf.DUMMYFUNCTION("""COMPUTED_VALUE"""),"SP")</f>
        <v>SP</v>
      </c>
      <c r="AQ315" s="4" t="str">
        <f>IFERROR(__xludf.DUMMYFUNCTION("""COMPUTED_VALUE"""),"ISADORA GARCIA")</f>
        <v>ISADORA GARCIA</v>
      </c>
      <c r="AR315" s="4" t="str">
        <f>IFERROR(__xludf.DUMMYFUNCTION("""COMPUTED_VALUE"""),"AGATA ARANTES")</f>
        <v>AGATA ARANTES</v>
      </c>
      <c r="AS315" s="4" t="str">
        <f>IFERROR(__xludf.DUMMYFUNCTION("""COMPUTED_VALUE"""),"NATHALIE MERTENS")</f>
        <v>NATHALIE MERTENS</v>
      </c>
      <c r="AT315" s="4" t="str">
        <f>IFERROR(__xludf.DUMMYFUNCTION("""COMPUTED_VALUE"""),"MATHEUS LESSA")</f>
        <v>MATHEUS LESSA</v>
      </c>
      <c r="AU315" s="4" t="str">
        <f>IFERROR(__xludf.DUMMYFUNCTION("""COMPUTED_VALUE"""),"Ana")</f>
        <v>Ana</v>
      </c>
      <c r="AV315" s="4">
        <f>IFERROR(__xludf.DUMMYFUNCTION("""COMPUTED_VALUE"""),0.0)</f>
        <v>0</v>
      </c>
      <c r="AW315" s="4">
        <f>IFERROR(__xludf.DUMMYFUNCTION("""COMPUTED_VALUE"""),0.0)</f>
        <v>0</v>
      </c>
      <c r="AX315" s="4">
        <f>IFERROR(__xludf.DUMMYFUNCTION("""COMPUTED_VALUE"""),0.0)</f>
        <v>0</v>
      </c>
      <c r="AY315" s="4"/>
      <c r="AZ315" s="4" t="str">
        <f>IFERROR(__xludf.DUMMYFUNCTION("""COMPUTED_VALUE"""),"Doces &amp; Bolos")</f>
        <v>Doces &amp; Bolos</v>
      </c>
      <c r="BA315" s="4" t="str">
        <f>IFERROR(__xludf.DUMMYFUNCTION("""COMPUTED_VALUE"""),"")</f>
        <v/>
      </c>
      <c r="BB315" s="4" t="str">
        <f>IFERROR(__xludf.DUMMYFUNCTION("""COMPUTED_VALUE"""),"")</f>
        <v/>
      </c>
      <c r="BC315" s="4" t="str">
        <f>IFERROR(__xludf.DUMMYFUNCTION("""COMPUTED_VALUE"""),"")</f>
        <v/>
      </c>
      <c r="BD315" s="4" t="str">
        <f>IFERROR(__xludf.DUMMYFUNCTION("""COMPUTED_VALUE"""),"")</f>
        <v/>
      </c>
      <c r="BE315" s="4" t="str">
        <f>IFERROR(__xludf.DUMMYFUNCTION("""COMPUTED_VALUE"""),"")</f>
        <v/>
      </c>
      <c r="BF315" s="4" t="str">
        <f>IFERROR(__xludf.DUMMYFUNCTION("""COMPUTED_VALUE"""),"")</f>
        <v/>
      </c>
      <c r="BG315" s="4" t="str">
        <f>IFERROR(__xludf.DUMMYFUNCTION("""COMPUTED_VALUE"""),"")</f>
        <v/>
      </c>
      <c r="BH315" s="4" t="s">
        <v>74</v>
      </c>
      <c r="BI315" s="7">
        <v>1.0</v>
      </c>
    </row>
    <row r="316" hidden="1">
      <c r="A316" s="4" t="str">
        <f>IFERROR(__xludf.DUMMYFUNCTION("""COMPUTED_VALUE"""),"Frank &amp; Charles")</f>
        <v>Frank &amp; Charles</v>
      </c>
      <c r="B316" s="4" t="str">
        <f>IFERROR(__xludf.DUMMYFUNCTION("""COMPUTED_VALUE"""),"João Biagiotti")</f>
        <v>João Biagiotti</v>
      </c>
      <c r="C316" s="4" t="str">
        <f>IFERROR(__xludf.DUMMYFUNCTION("""COMPUTED_VALUE"""),"Diego Santos")</f>
        <v>Diego Santos</v>
      </c>
      <c r="D316" s="4" t="str">
        <f>IFERROR(__xludf.DUMMYFUNCTION("""COMPUTED_VALUE"""),"0. Não Iniciado")</f>
        <v>0. Não Iniciado</v>
      </c>
      <c r="E316" s="4" t="str">
        <f>IFERROR(__xludf.DUMMYFUNCTION("""COMPUTED_VALUE"""),"Delivery - Dificuldade de contato com executivo")</f>
        <v>Delivery - Dificuldade de contato com executivo</v>
      </c>
      <c r="F316" s="4" t="str">
        <f>IFERROR(__xludf.DUMMYFUNCTION("""COMPUTED_VALUE"""),"P")</f>
        <v>P</v>
      </c>
      <c r="G316" s="5">
        <f>IFERROR(__xludf.DUMMYFUNCTION("""COMPUTED_VALUE"""),46076.0)</f>
        <v>46076</v>
      </c>
      <c r="H316" s="4" t="str">
        <f>IFERROR(__xludf.DUMMYFUNCTION("""COMPUTED_VALUE"""),"Tentativa abertura de contato com executivo delivery, sem retorno.")</f>
        <v>Tentativa abertura de contato com executivo delivery, sem retorno.</v>
      </c>
      <c r="I316" s="4"/>
      <c r="J316" s="4"/>
      <c r="K316" s="4"/>
      <c r="L316" s="4"/>
      <c r="M316" s="4"/>
      <c r="N316" s="4"/>
      <c r="O316" s="4"/>
      <c r="P316" s="4"/>
      <c r="Q316" s="4"/>
      <c r="R316" s="4"/>
      <c r="S316" s="4"/>
      <c r="T316" s="4"/>
      <c r="U316" s="4"/>
      <c r="V316" s="4"/>
      <c r="W316" s="4"/>
      <c r="X316" s="4"/>
      <c r="Y316" s="4"/>
      <c r="Z316" s="4"/>
      <c r="AA316" s="4">
        <f>IFERROR(__xludf.DUMMYFUNCTION("""COMPUTED_VALUE"""),1.0)</f>
        <v>1</v>
      </c>
      <c r="AB316" s="4" t="str">
        <f>IFERROR(__xludf.DUMMYFUNCTION("""COMPUTED_VALUE"""),"NÃO")</f>
        <v>NÃO</v>
      </c>
      <c r="AC316" s="4" t="str">
        <f>IFERROR(__xludf.DUMMYFUNCTION("""COMPUTED_VALUE"""),"BP")</f>
        <v>BP</v>
      </c>
      <c r="AD316" s="4"/>
      <c r="AE316" s="4"/>
      <c r="AF316" s="4"/>
      <c r="AG316" s="4"/>
      <c r="AH316" s="4"/>
      <c r="AI316" s="4"/>
      <c r="AJ316" s="4"/>
      <c r="AK316" s="4"/>
      <c r="AL316" s="4"/>
      <c r="AM316" s="4" t="str">
        <f>IFERROR(__xludf.DUMMYFUNCTION("""COMPUTED_VALUE"""),"FY26, FY27")</f>
        <v>FY26, FY27</v>
      </c>
      <c r="AN316" s="4"/>
      <c r="AO316" s="4">
        <f>IFERROR(__xludf.DUMMYFUNCTION("""COMPUTED_VALUE"""),140.0)</f>
        <v>140</v>
      </c>
      <c r="AP316" s="4">
        <f>IFERROR(__xludf.DUMMYFUNCTION("""COMPUTED_VALUE"""),0.0)</f>
        <v>0</v>
      </c>
      <c r="AQ316" s="4">
        <f>IFERROR(__xludf.DUMMYFUNCTION("""COMPUTED_VALUE"""),0.0)</f>
        <v>0</v>
      </c>
      <c r="AR316" s="4">
        <f>IFERROR(__xludf.DUMMYFUNCTION("""COMPUTED_VALUE"""),0.0)</f>
        <v>0</v>
      </c>
      <c r="AS316" s="4">
        <f>IFERROR(__xludf.DUMMYFUNCTION("""COMPUTED_VALUE"""),0.0)</f>
        <v>0</v>
      </c>
      <c r="AT316" s="4">
        <f>IFERROR(__xludf.DUMMYFUNCTION("""COMPUTED_VALUE"""),0.0)</f>
        <v>0</v>
      </c>
      <c r="AU316" s="4" t="str">
        <f>IFERROR(__xludf.DUMMYFUNCTION("""COMPUTED_VALUE"""),"Iza")</f>
        <v>Iza</v>
      </c>
      <c r="AV316" s="4">
        <f>IFERROR(__xludf.DUMMYFUNCTION("""COMPUTED_VALUE"""),0.0)</f>
        <v>0</v>
      </c>
      <c r="AW316" s="4">
        <f>IFERROR(__xludf.DUMMYFUNCTION("""COMPUTED_VALUE"""),0.0)</f>
        <v>0</v>
      </c>
      <c r="AX316" s="4">
        <f>IFERROR(__xludf.DUMMYFUNCTION("""COMPUTED_VALUE"""),0.0)</f>
        <v>0</v>
      </c>
      <c r="AY316" s="4"/>
      <c r="AZ316" s="4" t="str">
        <f>IFERROR(__xludf.DUMMYFUNCTION("""COMPUTED_VALUE"""),"NA")</f>
        <v>NA</v>
      </c>
      <c r="BA316" s="4">
        <f>IFERROR(__xludf.DUMMYFUNCTION("""COMPUTED_VALUE"""),67.0)</f>
        <v>67</v>
      </c>
      <c r="BB316" s="4" t="str">
        <f>IFERROR(__xludf.DUMMYFUNCTION("""COMPUTED_VALUE"""),"Fast Casual - Multi-conceito")</f>
        <v>Fast Casual - Multi-conceito</v>
      </c>
      <c r="BC316" s="4" t="str">
        <f>IFERROR(__xludf.DUMMYFUNCTION("""COMPUTED_VALUE"""),"São Paulo/SP")</f>
        <v>São Paulo/SP</v>
      </c>
      <c r="BD316" s="4" t="str">
        <f>IFERROR(__xludf.DUMMYFUNCTION("""COMPUTED_VALUE"""),"Dado não disponível publicamente - Necessário Discovery")</f>
        <v>Dado não disponível publicamente - Necessário Discovery</v>
      </c>
      <c r="BE316" s="4">
        <f>IFERROR(__xludf.DUMMYFUNCTION("""COMPUTED_VALUE"""),65.0)</f>
        <v>65</v>
      </c>
      <c r="BF316" s="4">
        <f>IFERROR(__xludf.DUMMYFUNCTION("""COMPUTED_VALUE"""),0.75)</f>
        <v>0.75</v>
      </c>
      <c r="BG31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316" s="4" t="s">
        <v>63</v>
      </c>
      <c r="BI316" s="7" t="s">
        <v>63</v>
      </c>
    </row>
    <row r="317" hidden="1">
      <c r="A317" s="4" t="str">
        <f>IFERROR(__xludf.DUMMYFUNCTION("""COMPUTED_VALUE"""),"Frutaria São Paulo")</f>
        <v>Frutaria São Paulo</v>
      </c>
      <c r="B317" s="4" t="str">
        <f>IFERROR(__xludf.DUMMYFUNCTION("""COMPUTED_VALUE"""),"Lídia Esteves")</f>
        <v>Lídia Esteves</v>
      </c>
      <c r="C317" s="4" t="str">
        <f>IFERROR(__xludf.DUMMYFUNCTION("""COMPUTED_VALUE"""),"Gabriela Roma")</f>
        <v>Gabriela Roma</v>
      </c>
      <c r="D317" s="4" t="str">
        <f>IFERROR(__xludf.DUMMYFUNCTION("""COMPUTED_VALUE"""),"11. Stand by")</f>
        <v>11. Stand by</v>
      </c>
      <c r="E317" s="4" t="str">
        <f>IFERROR(__xludf.DUMMYFUNCTION("""COMPUTED_VALUE"""),"Parceiro - Em validação de proposta comercial")</f>
        <v>Parceiro - Em validação de proposta comercial</v>
      </c>
      <c r="F317" s="4" t="str">
        <f>IFERROR(__xludf.DUMMYFUNCTION("""COMPUTED_VALUE"""),"P")</f>
        <v>P</v>
      </c>
      <c r="G317" s="5">
        <f>IFERROR(__xludf.DUMMYFUNCTION("""COMPUTED_VALUE"""),46104.0)</f>
        <v>46104</v>
      </c>
      <c r="H317" s="4" t="str">
        <f>IFERROR(__xludf.DUMMYFUNCTION("""COMPUTED_VALUE"""),"Parceiro precisa aguardar algumas questões jurídicas (disputa com Cláudio) e técnicas (adesão a novo ERP) antes de conseguir retomar negociação conosco. Fazer FUP exporadicamente para não esfriar totalmente negoiação.")</f>
        <v>Parceiro precisa aguardar algumas questões jurídicas (disputa com Cláudio) e técnicas (adesão a novo ERP) antes de conseguir retomar negociação conosco. Fazer FUP exporadicamente para não esfriar totalmente negoiação.</v>
      </c>
      <c r="I317" s="4"/>
      <c r="J317" s="6">
        <f>IFERROR(__xludf.DUMMYFUNCTION("""COMPUTED_VALUE"""),46051.0)</f>
        <v>46051</v>
      </c>
      <c r="K317" s="6">
        <f>IFERROR(__xludf.DUMMYFUNCTION("""COMPUTED_VALUE"""),45958.0)</f>
        <v>45958</v>
      </c>
      <c r="L317" s="6">
        <f>IFERROR(__xludf.DUMMYFUNCTION("""COMPUTED_VALUE"""),45968.0)</f>
        <v>45968</v>
      </c>
      <c r="M317" s="6">
        <f>IFERROR(__xludf.DUMMYFUNCTION("""COMPUTED_VALUE"""),45968.0)</f>
        <v>45968</v>
      </c>
      <c r="N317" s="6">
        <f>IFERROR(__xludf.DUMMYFUNCTION("""COMPUTED_VALUE"""),45988.0)</f>
        <v>45988</v>
      </c>
      <c r="O317" s="4"/>
      <c r="P317" s="4"/>
      <c r="Q317" s="4"/>
      <c r="R317" s="4"/>
      <c r="S317" s="6">
        <f>IFERROR(__xludf.DUMMYFUNCTION("""COMPUTED_VALUE"""),46104.44731671296)</f>
        <v>46104.44732</v>
      </c>
      <c r="T317" s="4"/>
      <c r="U317" s="4"/>
      <c r="V317" s="4" t="str">
        <f>IFERROR(__xludf.DUMMYFUNCTION("""COMPUTED_VALUE"""),"Trava por projetos internos da marca")</f>
        <v>Trava por projetos internos da marca</v>
      </c>
      <c r="W317" s="4"/>
      <c r="X317" s="4"/>
      <c r="Y317" s="4"/>
      <c r="Z317" s="4"/>
      <c r="AA317" s="4">
        <f>IFERROR(__xludf.DUMMYFUNCTION("""COMPUTED_VALUE"""),15.0)</f>
        <v>15</v>
      </c>
      <c r="AB317" s="4" t="str">
        <f>IFERROR(__xludf.DUMMYFUNCTION("""COMPUTED_VALUE"""),"NÃO")</f>
        <v>NÃO</v>
      </c>
      <c r="AC317" s="4" t="str">
        <f>IFERROR(__xludf.DUMMYFUNCTION("""COMPUTED_VALUE"""),"BP")</f>
        <v>BP</v>
      </c>
      <c r="AD317" s="4"/>
      <c r="AE317" s="4"/>
      <c r="AF317" s="4"/>
      <c r="AG317" s="4"/>
      <c r="AH317" s="4"/>
      <c r="AI317" s="4"/>
      <c r="AJ317" s="4"/>
      <c r="AK317" s="4"/>
      <c r="AL317" s="4"/>
      <c r="AM317" s="4" t="str">
        <f>IFERROR(__xludf.DUMMYFUNCTION("""COMPUTED_VALUE"""),"FY26, FY27")</f>
        <v>FY26, FY27</v>
      </c>
      <c r="AN317" s="4"/>
      <c r="AO317" s="4">
        <f>IFERROR(__xludf.DUMMYFUNCTION("""COMPUTED_VALUE"""),110.0)</f>
        <v>110</v>
      </c>
      <c r="AP317" s="4">
        <f>IFERROR(__xludf.DUMMYFUNCTION("""COMPUTED_VALUE"""),0.0)</f>
        <v>0</v>
      </c>
      <c r="AQ317" s="4">
        <f>IFERROR(__xludf.DUMMYFUNCTION("""COMPUTED_VALUE"""),0.0)</f>
        <v>0</v>
      </c>
      <c r="AR317" s="4">
        <f>IFERROR(__xludf.DUMMYFUNCTION("""COMPUTED_VALUE"""),0.0)</f>
        <v>0</v>
      </c>
      <c r="AS317" s="4">
        <f>IFERROR(__xludf.DUMMYFUNCTION("""COMPUTED_VALUE"""),0.0)</f>
        <v>0</v>
      </c>
      <c r="AT317" s="4">
        <f>IFERROR(__xludf.DUMMYFUNCTION("""COMPUTED_VALUE"""),0.0)</f>
        <v>0</v>
      </c>
      <c r="AU317" s="4" t="str">
        <f>IFERROR(__xludf.DUMMYFUNCTION("""COMPUTED_VALUE"""),"Ana")</f>
        <v>Ana</v>
      </c>
      <c r="AV317" s="4">
        <f>IFERROR(__xludf.DUMMYFUNCTION("""COMPUTED_VALUE"""),0.0)</f>
        <v>0</v>
      </c>
      <c r="AW317" s="4">
        <f>IFERROR(__xludf.DUMMYFUNCTION("""COMPUTED_VALUE"""),0.0)</f>
        <v>0</v>
      </c>
      <c r="AX317" s="4">
        <f>IFERROR(__xludf.DUMMYFUNCTION("""COMPUTED_VALUE"""),0.0)</f>
        <v>0</v>
      </c>
      <c r="AY317" s="4">
        <f>IFERROR(__xludf.DUMMYFUNCTION("""COMPUTED_VALUE"""),0.0)</f>
        <v>0</v>
      </c>
      <c r="AZ317" s="4" t="str">
        <f>IFERROR(__xludf.DUMMYFUNCTION("""COMPUTED_VALUE"""),"NA")</f>
        <v>NA</v>
      </c>
      <c r="BA317" s="4">
        <f>IFERROR(__xludf.DUMMYFUNCTION("""COMPUTED_VALUE"""),51.0)</f>
        <v>51</v>
      </c>
      <c r="BB317" s="4" t="str">
        <f>IFERROR(__xludf.DUMMYFUNCTION("""COMPUTED_VALUE"""),"Fast Casual - Multi-conceito")</f>
        <v>Fast Casual - Multi-conceito</v>
      </c>
      <c r="BC317" s="4" t="str">
        <f>IFERROR(__xludf.DUMMYFUNCTION("""COMPUTED_VALUE"""),"Nacional")</f>
        <v>Nacional</v>
      </c>
      <c r="BD317" s="4" t="str">
        <f>IFERROR(__xludf.DUMMYFUNCTION("""COMPUTED_VALUE"""),"Dado não disponível publicamente - Necessário Discovery")</f>
        <v>Dado não disponível publicamente - Necessário Discovery</v>
      </c>
      <c r="BE317" s="4">
        <f>IFERROR(__xludf.DUMMYFUNCTION("""COMPUTED_VALUE"""),65.0)</f>
        <v>65</v>
      </c>
      <c r="BF317" s="4">
        <f>IFERROR(__xludf.DUMMYFUNCTION("""COMPUTED_VALUE"""),0.75)</f>
        <v>0.75</v>
      </c>
      <c r="BG31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317" s="4" t="s">
        <v>63</v>
      </c>
      <c r="BI317" s="7" t="s">
        <v>63</v>
      </c>
    </row>
    <row r="318" hidden="1">
      <c r="A318" s="4" t="str">
        <f>IFERROR(__xludf.DUMMYFUNCTION("""COMPUTED_VALUE"""),"Futuro Refeitorio")</f>
        <v>Futuro Refeitorio</v>
      </c>
      <c r="B318" s="4" t="str">
        <f>IFERROR(__xludf.DUMMYFUNCTION("""COMPUTED_VALUE"""),"João Biagiotti")</f>
        <v>João Biagiotti</v>
      </c>
      <c r="C318" s="4" t="str">
        <f>IFERROR(__xludf.DUMMYFUNCTION("""COMPUTED_VALUE"""),"Diego Santos")</f>
        <v>Diego Santos</v>
      </c>
      <c r="D318" s="4" t="str">
        <f>IFERROR(__xludf.DUMMYFUNCTION("""COMPUTED_VALUE"""),"13. Reativado")</f>
        <v>13. Reativado</v>
      </c>
      <c r="E318" s="4" t="str">
        <f>IFERROR(__xludf.DUMMYFUNCTION("""COMPUTED_VALUE"""),"Delivery - Momento inadequado de abordagem (ex. 99)")</f>
        <v>Delivery - Momento inadequado de abordagem (ex. 99)</v>
      </c>
      <c r="F318" s="4" t="str">
        <f>IFERROR(__xludf.DUMMYFUNCTION("""COMPUTED_VALUE"""),"P")</f>
        <v>P</v>
      </c>
      <c r="G318" s="5">
        <f>IFERROR(__xludf.DUMMYFUNCTION("""COMPUTED_VALUE"""),46076.0)</f>
        <v>46076</v>
      </c>
      <c r="H318" s="4" t="str">
        <f>IFERROR(__xludf.DUMMYFUNCTION("""COMPUTED_VALUE"""),"Problemas de relacionamento devido logística. Não conseguimos agendar reunião.")</f>
        <v>Problemas de relacionamento devido logística. Não conseguimos agendar reunião.</v>
      </c>
      <c r="I318" s="4"/>
      <c r="J318" s="4"/>
      <c r="K318" s="4"/>
      <c r="L318" s="4"/>
      <c r="M318" s="4"/>
      <c r="N318" s="4"/>
      <c r="O318" s="4"/>
      <c r="P318" s="4"/>
      <c r="Q318" s="4"/>
      <c r="R318" s="4"/>
      <c r="S318" s="6">
        <f>IFERROR(__xludf.DUMMYFUNCTION("""COMPUTED_VALUE"""),46072.688710567134)</f>
        <v>46072.68871</v>
      </c>
      <c r="T318" s="4"/>
      <c r="U318" s="6">
        <f>IFERROR(__xludf.DUMMYFUNCTION("""COMPUTED_VALUE"""),46128.656058657405)</f>
        <v>46128.65606</v>
      </c>
      <c r="V318" s="4" t="str">
        <f>IFERROR(__xludf.DUMMYFUNCTION("""COMPUTED_VALUE"""),"Outros")</f>
        <v>Outros</v>
      </c>
      <c r="W318" s="4"/>
      <c r="X318" s="4"/>
      <c r="Y318" s="4"/>
      <c r="Z318" s="4"/>
      <c r="AA318" s="4">
        <f>IFERROR(__xludf.DUMMYFUNCTION("""COMPUTED_VALUE"""),1.0)</f>
        <v>1</v>
      </c>
      <c r="AB318" s="4" t="str">
        <f>IFERROR(__xludf.DUMMYFUNCTION("""COMPUTED_VALUE"""),"NÃO")</f>
        <v>NÃO</v>
      </c>
      <c r="AC318" s="4" t="str">
        <f>IFERROR(__xludf.DUMMYFUNCTION("""COMPUTED_VALUE"""),"Não BP")</f>
        <v>Não BP</v>
      </c>
      <c r="AD318" s="4"/>
      <c r="AE318" s="4"/>
      <c r="AF318" s="4"/>
      <c r="AG318" s="4"/>
      <c r="AH318" s="4"/>
      <c r="AI318" s="4"/>
      <c r="AJ318" s="4"/>
      <c r="AK318" s="4"/>
      <c r="AL318" s="4"/>
      <c r="AM318" s="4" t="str">
        <f>IFERROR(__xludf.DUMMYFUNCTION("""COMPUTED_VALUE"""),"FY26, FY27")</f>
        <v>FY26, FY27</v>
      </c>
      <c r="AN318" s="4" t="str">
        <f>IFERROR(__xludf.DUMMYFUNCTION("""COMPUTED_VALUE"""),"Comer Fora")</f>
        <v>Comer Fora</v>
      </c>
      <c r="AO318" s="4">
        <f>IFERROR(__xludf.DUMMYFUNCTION("""COMPUTED_VALUE"""),140.0)</f>
        <v>140</v>
      </c>
      <c r="AP318" s="4" t="str">
        <f>IFERROR(__xludf.DUMMYFUNCTION("""COMPUTED_VALUE"""),"SP")</f>
        <v>SP</v>
      </c>
      <c r="AQ318" s="4" t="str">
        <f>IFERROR(__xludf.DUMMYFUNCTION("""COMPUTED_VALUE"""),"GABRIEL BISPO")</f>
        <v>GABRIEL BISPO</v>
      </c>
      <c r="AR318" s="4" t="str">
        <f>IFERROR(__xludf.DUMMYFUNCTION("""COMPUTED_VALUE"""),"RICARDO SILVEIRA")</f>
        <v>RICARDO SILVEIRA</v>
      </c>
      <c r="AS318" s="4" t="str">
        <f>IFERROR(__xludf.DUMMYFUNCTION("""COMPUTED_VALUE"""),"NATHALIE MERTENS")</f>
        <v>NATHALIE MERTENS</v>
      </c>
      <c r="AT318" s="4" t="str">
        <f>IFERROR(__xludf.DUMMYFUNCTION("""COMPUTED_VALUE"""),"MARIANA KATZ")</f>
        <v>MARIANA KATZ</v>
      </c>
      <c r="AU318" s="4" t="str">
        <f>IFERROR(__xludf.DUMMYFUNCTION("""COMPUTED_VALUE"""),"Ana")</f>
        <v>Ana</v>
      </c>
      <c r="AV318" s="4" t="str">
        <f>IFERROR(__xludf.DUMMYFUNCTION("""COMPUTED_VALUE"""),"Comer Fora-")</f>
        <v>Comer Fora-</v>
      </c>
      <c r="AW318" s="20" t="str">
        <f>IFERROR(__xludf.DUMMYFUNCTION("""COMPUTED_VALUE"""),"P e M - pipe")</f>
        <v>P e M - pipe</v>
      </c>
      <c r="AX318" s="4"/>
      <c r="AY318" s="4"/>
      <c r="AZ318" s="4" t="str">
        <f>IFERROR(__xludf.DUMMYFUNCTION("""COMPUTED_VALUE"""),"Padaria")</f>
        <v>Padaria</v>
      </c>
      <c r="BA318" s="4" t="str">
        <f>IFERROR(__xludf.DUMMYFUNCTION("""COMPUTED_VALUE"""),"")</f>
        <v/>
      </c>
      <c r="BB318" s="4" t="str">
        <f>IFERROR(__xludf.DUMMYFUNCTION("""COMPUTED_VALUE"""),"")</f>
        <v/>
      </c>
      <c r="BC318" s="4" t="str">
        <f>IFERROR(__xludf.DUMMYFUNCTION("""COMPUTED_VALUE"""),"")</f>
        <v/>
      </c>
      <c r="BD318" s="4" t="str">
        <f>IFERROR(__xludf.DUMMYFUNCTION("""COMPUTED_VALUE"""),"")</f>
        <v/>
      </c>
      <c r="BE318" s="4" t="str">
        <f>IFERROR(__xludf.DUMMYFUNCTION("""COMPUTED_VALUE"""),"")</f>
        <v/>
      </c>
      <c r="BF318" s="4" t="str">
        <f>IFERROR(__xludf.DUMMYFUNCTION("""COMPUTED_VALUE"""),"")</f>
        <v/>
      </c>
      <c r="BG318" s="4" t="str">
        <f>IFERROR(__xludf.DUMMYFUNCTION("""COMPUTED_VALUE"""),"")</f>
        <v/>
      </c>
      <c r="BH318" s="4" t="s">
        <v>74</v>
      </c>
      <c r="BI318" s="7">
        <v>1.0</v>
      </c>
    </row>
    <row r="319" hidden="1">
      <c r="A319" s="4" t="str">
        <f>IFERROR(__xludf.DUMMYFUNCTION("""COMPUTED_VALUE"""),"Galeto Mamma Mia")</f>
        <v>Galeto Mamma Mia</v>
      </c>
      <c r="B319" s="4" t="str">
        <f>IFERROR(__xludf.DUMMYFUNCTION("""COMPUTED_VALUE"""),"Emerson")</f>
        <v>Emerson</v>
      </c>
      <c r="C319" s="4" t="str">
        <f>IFERROR(__xludf.DUMMYFUNCTION("""COMPUTED_VALUE"""),"Emerson")</f>
        <v>Emerson</v>
      </c>
      <c r="D319" s="4" t="str">
        <f>IFERROR(__xludf.DUMMYFUNCTION("""COMPUTED_VALUE"""),"0. Não Iniciado")</f>
        <v>0. Não Iniciado</v>
      </c>
      <c r="E319" s="4"/>
      <c r="F319" s="4" t="str">
        <f>IFERROR(__xludf.DUMMYFUNCTION("""COMPUTED_VALUE"""),"M")</f>
        <v>M</v>
      </c>
      <c r="G319" s="4"/>
      <c r="H319" s="4"/>
      <c r="I319" s="4"/>
      <c r="J319" s="4"/>
      <c r="K319" s="4"/>
      <c r="L319" s="4"/>
      <c r="M319" s="4"/>
      <c r="N319" s="4"/>
      <c r="O319" s="4"/>
      <c r="P319" s="4"/>
      <c r="Q319" s="4"/>
      <c r="R319" s="4"/>
      <c r="S319" s="4"/>
      <c r="T319" s="4"/>
      <c r="U319" s="4"/>
      <c r="V319" s="4"/>
      <c r="W319" s="4"/>
      <c r="X319" s="4"/>
      <c r="Y319" s="4"/>
      <c r="Z319" s="4"/>
      <c r="AA319" s="4">
        <f>IFERROR(__xludf.DUMMYFUNCTION("""COMPUTED_VALUE"""),37.0)</f>
        <v>37</v>
      </c>
      <c r="AB319" s="4" t="str">
        <f>IFERROR(__xludf.DUMMYFUNCTION("""COMPUTED_VALUE"""),"NÃO")</f>
        <v>NÃO</v>
      </c>
      <c r="AC319" s="4" t="str">
        <f>IFERROR(__xludf.DUMMYFUNCTION("""COMPUTED_VALUE"""),"Não BP")</f>
        <v>Não BP</v>
      </c>
      <c r="AD319" s="4"/>
      <c r="AE319" s="4"/>
      <c r="AF319" s="4"/>
      <c r="AG319" s="4"/>
      <c r="AH319" s="4"/>
      <c r="AI319" s="4"/>
      <c r="AJ319" s="4"/>
      <c r="AK319" s="4"/>
      <c r="AL319" s="4"/>
      <c r="AM319" s="4" t="str">
        <f>IFERROR(__xludf.DUMMYFUNCTION("""COMPUTED_VALUE"""),"FY26, FY27")</f>
        <v>FY26, FY27</v>
      </c>
      <c r="AN319" s="4"/>
      <c r="AO319" s="4">
        <f>IFERROR(__xludf.DUMMYFUNCTION("""COMPUTED_VALUE"""),45553.0)</f>
        <v>45553</v>
      </c>
      <c r="AP319" s="4">
        <f>IFERROR(__xludf.DUMMYFUNCTION("""COMPUTED_VALUE"""),0.0)</f>
        <v>0</v>
      </c>
      <c r="AQ319" s="4">
        <f>IFERROR(__xludf.DUMMYFUNCTION("""COMPUTED_VALUE"""),0.0)</f>
        <v>0</v>
      </c>
      <c r="AR319" s="4">
        <f>IFERROR(__xludf.DUMMYFUNCTION("""COMPUTED_VALUE"""),0.0)</f>
        <v>0</v>
      </c>
      <c r="AS319" s="4">
        <f>IFERROR(__xludf.DUMMYFUNCTION("""COMPUTED_VALUE"""),0.0)</f>
        <v>0</v>
      </c>
      <c r="AT319" s="4">
        <f>IFERROR(__xludf.DUMMYFUNCTION("""COMPUTED_VALUE"""),0.0)</f>
        <v>0</v>
      </c>
      <c r="AU319" s="4" t="str">
        <f>IFERROR(__xludf.DUMMYFUNCTION("""COMPUTED_VALUE"""),"Diego")</f>
        <v>Diego</v>
      </c>
      <c r="AV319" s="4">
        <f>IFERROR(__xludf.DUMMYFUNCTION("""COMPUTED_VALUE"""),0.0)</f>
        <v>0</v>
      </c>
      <c r="AW319" s="4">
        <f>IFERROR(__xludf.DUMMYFUNCTION("""COMPUTED_VALUE"""),0.0)</f>
        <v>0</v>
      </c>
      <c r="AX319" s="4">
        <f>IFERROR(__xludf.DUMMYFUNCTION("""COMPUTED_VALUE"""),0.0)</f>
        <v>0</v>
      </c>
      <c r="AY319" s="4"/>
      <c r="AZ319" s="4" t="str">
        <f>IFERROR(__xludf.DUMMYFUNCTION("""COMPUTED_VALUE"""),"NA")</f>
        <v>NA</v>
      </c>
      <c r="BA319" s="4">
        <f>IFERROR(__xludf.DUMMYFUNCTION("""COMPUTED_VALUE"""),52.0)</f>
        <v>52</v>
      </c>
      <c r="BB319" s="4" t="str">
        <f>IFERROR(__xludf.DUMMYFUNCTION("""COMPUTED_VALUE"""),"Fast Casual - Multi-conceito")</f>
        <v>Fast Casual - Multi-conceito</v>
      </c>
      <c r="BC319" s="4" t="str">
        <f>IFERROR(__xludf.DUMMYFUNCTION("""COMPUTED_VALUE"""),"Brasília/DF")</f>
        <v>Brasília/DF</v>
      </c>
      <c r="BD319" s="4" t="str">
        <f>IFERROR(__xludf.DUMMYFUNCTION("""COMPUTED_VALUE"""),"Dado não disponível publicamente - Necessário Discovery")</f>
        <v>Dado não disponível publicamente - Necessário Discovery</v>
      </c>
      <c r="BE319" s="4">
        <f>IFERROR(__xludf.DUMMYFUNCTION("""COMPUTED_VALUE"""),70.0)</f>
        <v>70</v>
      </c>
      <c r="BF319" s="4">
        <f>IFERROR(__xludf.DUMMYFUNCTION("""COMPUTED_VALUE"""),0.75)</f>
        <v>0.75</v>
      </c>
      <c r="BG31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319" s="4" t="s">
        <v>63</v>
      </c>
      <c r="BI319" s="7" t="s">
        <v>63</v>
      </c>
    </row>
    <row r="320" hidden="1">
      <c r="A320" s="4" t="str">
        <f>IFERROR(__xludf.DUMMYFUNCTION("""COMPUTED_VALUE"""),"Galetos")</f>
        <v>Galetos</v>
      </c>
      <c r="B320" s="4" t="str">
        <f>IFERROR(__xludf.DUMMYFUNCTION("""COMPUTED_VALUE"""),"João Biagiotti")</f>
        <v>João Biagiotti</v>
      </c>
      <c r="C320" s="4" t="str">
        <f>IFERROR(__xludf.DUMMYFUNCTION("""COMPUTED_VALUE"""),"Diego Santos")</f>
        <v>Diego Santos</v>
      </c>
      <c r="D320" s="4" t="str">
        <f>IFERROR(__xludf.DUMMYFUNCTION("""COMPUTED_VALUE"""),"0. Não Iniciado")</f>
        <v>0. Não Iniciado</v>
      </c>
      <c r="E320" s="4" t="str">
        <f>IFERROR(__xludf.DUMMYFUNCTION("""COMPUTED_VALUE"""),"Parceiro - Sem contato válido / Decisor inacessível")</f>
        <v>Parceiro - Sem contato válido / Decisor inacessível</v>
      </c>
      <c r="F320" s="4" t="str">
        <f>IFERROR(__xludf.DUMMYFUNCTION("""COMPUTED_VALUE"""),"P")</f>
        <v>P</v>
      </c>
      <c r="G320" s="5">
        <f>IFERROR(__xludf.DUMMYFUNCTION("""COMPUTED_VALUE"""),46104.0)</f>
        <v>46104</v>
      </c>
      <c r="H320" s="4" t="str">
        <f>IFERROR(__xludf.DUMMYFUNCTION("""COMPUTED_VALUE"""),"Estávamos falando com o consultor de tecnologia do Galetos porém temos que tentar falar com alguém do parceiro diretamente para dar tração. Consultor não falou sobre dores desse parceiro porém executiva acha que temos oportunidade.")</f>
        <v>Estávamos falando com o consultor de tecnologia do Galetos porém temos que tentar falar com alguém do parceiro diretamente para dar tração. Consultor não falou sobre dores desse parceiro porém executiva acha que temos oportunidade.</v>
      </c>
      <c r="I320" s="4"/>
      <c r="J320" s="4"/>
      <c r="K320" s="4"/>
      <c r="L320" s="4"/>
      <c r="M320" s="4"/>
      <c r="N320" s="4"/>
      <c r="O320" s="4"/>
      <c r="P320" s="4"/>
      <c r="Q320" s="4"/>
      <c r="R320" s="4"/>
      <c r="S320" s="4"/>
      <c r="T320" s="4"/>
      <c r="U320" s="4"/>
      <c r="V320" s="4"/>
      <c r="W320" s="4"/>
      <c r="X320" s="4"/>
      <c r="Y320" s="4"/>
      <c r="Z320" s="4"/>
      <c r="AA320" s="4">
        <f>IFERROR(__xludf.DUMMYFUNCTION("""COMPUTED_VALUE"""),5.0)</f>
        <v>5</v>
      </c>
      <c r="AB320" s="4" t="str">
        <f>IFERROR(__xludf.DUMMYFUNCTION("""COMPUTED_VALUE"""),"NÃO")</f>
        <v>NÃO</v>
      </c>
      <c r="AC320" s="4" t="str">
        <f>IFERROR(__xludf.DUMMYFUNCTION("""COMPUTED_VALUE"""),"BP")</f>
        <v>BP</v>
      </c>
      <c r="AD320" s="4"/>
      <c r="AE320" s="4"/>
      <c r="AF320" s="4"/>
      <c r="AG320" s="4"/>
      <c r="AH320" s="4"/>
      <c r="AI320" s="4"/>
      <c r="AJ320" s="4"/>
      <c r="AK320" s="4"/>
      <c r="AL320" s="4"/>
      <c r="AM320" s="4" t="str">
        <f>IFERROR(__xludf.DUMMYFUNCTION("""COMPUTED_VALUE"""),"FY26, FY27")</f>
        <v>FY26, FY27</v>
      </c>
      <c r="AN320" s="4" t="str">
        <f>IFERROR(__xludf.DUMMYFUNCTION("""COMPUTED_VALUE"""),"Comer Fora")</f>
        <v>Comer Fora</v>
      </c>
      <c r="AO320" s="4">
        <f>IFERROR(__xludf.DUMMYFUNCTION("""COMPUTED_VALUE"""),110.0)</f>
        <v>110</v>
      </c>
      <c r="AP320" s="4" t="str">
        <f>IFERROR(__xludf.DUMMYFUNCTION("""COMPUTED_VALUE"""),"SP")</f>
        <v>SP</v>
      </c>
      <c r="AQ320" s="4" t="str">
        <f>IFERROR(__xludf.DUMMYFUNCTION("""COMPUTED_VALUE"""),"RODRIGO BESSER")</f>
        <v>RODRIGO BESSER</v>
      </c>
      <c r="AR320" s="4" t="str">
        <f>IFERROR(__xludf.DUMMYFUNCTION("""COMPUTED_VALUE"""),"ISABEL MEDEIROS")</f>
        <v>ISABEL MEDEIROS</v>
      </c>
      <c r="AS320" s="4" t="str">
        <f>IFERROR(__xludf.DUMMYFUNCTION("""COMPUTED_VALUE"""),"NATHALIE MERTENS")</f>
        <v>NATHALIE MERTENS</v>
      </c>
      <c r="AT320" s="4" t="str">
        <f>IFERROR(__xludf.DUMMYFUNCTION("""COMPUTED_VALUE"""),"MARIANA KATZ")</f>
        <v>MARIANA KATZ</v>
      </c>
      <c r="AU320" s="4" t="str">
        <f>IFERROR(__xludf.DUMMYFUNCTION("""COMPUTED_VALUE"""),"Ana")</f>
        <v>Ana</v>
      </c>
      <c r="AV320" s="4" t="str">
        <f>IFERROR(__xludf.DUMMYFUNCTION("""COMPUTED_VALUE"""),"Comer Fora-")</f>
        <v>Comer Fora-</v>
      </c>
      <c r="AW320" s="20" t="str">
        <f>IFERROR(__xludf.DUMMYFUNCTION("""COMPUTED_VALUE"""),"P e M - pipe")</f>
        <v>P e M - pipe</v>
      </c>
      <c r="AX320" s="4" t="str">
        <f>IFERROR(__xludf.DUMMYFUNCTION("""COMPUTED_VALUE"""),"Base P1+P2")</f>
        <v>Base P1+P2</v>
      </c>
      <c r="AY320" s="4"/>
      <c r="AZ320" s="4" t="str">
        <f>IFERROR(__xludf.DUMMYFUNCTION("""COMPUTED_VALUE"""),"Brasileira")</f>
        <v>Brasileira</v>
      </c>
      <c r="BA320" s="4">
        <f>IFERROR(__xludf.DUMMYFUNCTION("""COMPUTED_VALUE"""),63.0)</f>
        <v>63</v>
      </c>
      <c r="BB320" s="4" t="str">
        <f>IFERROR(__xludf.DUMMYFUNCTION("""COMPUTED_VALUE"""),"Fast Casual - Multi-conceito")</f>
        <v>Fast Casual - Multi-conceito</v>
      </c>
      <c r="BC320" s="4" t="str">
        <f>IFERROR(__xludf.DUMMYFUNCTION("""COMPUTED_VALUE"""),"Nordeste")</f>
        <v>Nordeste</v>
      </c>
      <c r="BD320" s="4" t="str">
        <f>IFERROR(__xludf.DUMMYFUNCTION("""COMPUTED_VALUE"""),"Dado não disponível publicamente - Necessário Discovery")</f>
        <v>Dado não disponível publicamente - Necessário Discovery</v>
      </c>
      <c r="BE320" s="4">
        <f>IFERROR(__xludf.DUMMYFUNCTION("""COMPUTED_VALUE"""),70.0)</f>
        <v>70</v>
      </c>
      <c r="BF320" s="4">
        <f>IFERROR(__xludf.DUMMYFUNCTION("""COMPUTED_VALUE"""),0.75)</f>
        <v>0.75</v>
      </c>
      <c r="BG32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320" s="4" t="s">
        <v>83</v>
      </c>
      <c r="BI320" s="7">
        <v>1.0</v>
      </c>
    </row>
    <row r="321" hidden="1">
      <c r="A321" s="4" t="str">
        <f>IFERROR(__xludf.DUMMYFUNCTION("""COMPUTED_VALUE"""),"Gigante Nordestino")</f>
        <v>Gigante Nordestino</v>
      </c>
      <c r="B321" s="4" t="str">
        <f>IFERROR(__xludf.DUMMYFUNCTION("""COMPUTED_VALUE"""),"João Biagiotti")</f>
        <v>João Biagiotti</v>
      </c>
      <c r="C321" s="4" t="str">
        <f>IFERROR(__xludf.DUMMYFUNCTION("""COMPUTED_VALUE"""),"Diego Santos")</f>
        <v>Diego Santos</v>
      </c>
      <c r="D321" s="4" t="str">
        <f>IFERROR(__xludf.DUMMYFUNCTION("""COMPUTED_VALUE"""),"0. Não Iniciado")</f>
        <v>0. Não Iniciado</v>
      </c>
      <c r="E321" s="4" t="str">
        <f>IFERROR(__xludf.DUMMYFUNCTION("""COMPUTED_VALUE"""),"Parceiro - Sem contato válido / Decisor inacessível")</f>
        <v>Parceiro - Sem contato válido / Decisor inacessível</v>
      </c>
      <c r="F321" s="4" t="str">
        <f>IFERROR(__xludf.DUMMYFUNCTION("""COMPUTED_VALUE"""),"P")</f>
        <v>P</v>
      </c>
      <c r="G321" s="5">
        <f>IFERROR(__xludf.DUMMYFUNCTION("""COMPUTED_VALUE"""),46076.0)</f>
        <v>46076</v>
      </c>
      <c r="H321" s="4" t="str">
        <f>IFERROR(__xludf.DUMMYFUNCTION("""COMPUTED_VALUE"""),"Mensagem enviada no linkedin para o Estevão que é gerente de operações da rede.  Mas sem retorno e não é carteirizado.")</f>
        <v>Mensagem enviada no linkedin para o Estevão que é gerente de operações da rede.  Mas sem retorno e não é carteirizado.</v>
      </c>
      <c r="I321" s="4"/>
      <c r="J321" s="4"/>
      <c r="K321" s="4"/>
      <c r="L321" s="4"/>
      <c r="M321" s="4"/>
      <c r="N321" s="4"/>
      <c r="O321" s="4"/>
      <c r="P321" s="4"/>
      <c r="Q321" s="4"/>
      <c r="R321" s="4"/>
      <c r="S321" s="4"/>
      <c r="T321" s="4"/>
      <c r="U321" s="4"/>
      <c r="V321" s="4"/>
      <c r="W321" s="4"/>
      <c r="X321" s="4"/>
      <c r="Y321" s="4"/>
      <c r="Z321" s="4"/>
      <c r="AA321" s="4">
        <f>IFERROR(__xludf.DUMMYFUNCTION("""COMPUTED_VALUE"""),12.0)</f>
        <v>12</v>
      </c>
      <c r="AB321" s="4" t="str">
        <f>IFERROR(__xludf.DUMMYFUNCTION("""COMPUTED_VALUE"""),"NÃO")</f>
        <v>NÃO</v>
      </c>
      <c r="AC321" s="4" t="str">
        <f>IFERROR(__xludf.DUMMYFUNCTION("""COMPUTED_VALUE"""),"Não BP")</f>
        <v>Não BP</v>
      </c>
      <c r="AD321" s="4"/>
      <c r="AE321" s="4"/>
      <c r="AF321" s="4"/>
      <c r="AG321" s="4"/>
      <c r="AH321" s="4"/>
      <c r="AI321" s="4"/>
      <c r="AJ321" s="4"/>
      <c r="AK321" s="4"/>
      <c r="AL321" s="4"/>
      <c r="AM321" s="4" t="str">
        <f>IFERROR(__xludf.DUMMYFUNCTION("""COMPUTED_VALUE"""),"FY26, FY27")</f>
        <v>FY26, FY27</v>
      </c>
      <c r="AN321" s="4"/>
      <c r="AO321" s="4">
        <f>IFERROR(__xludf.DUMMYFUNCTION("""COMPUTED_VALUE"""),140.0)</f>
        <v>140</v>
      </c>
      <c r="AP321" s="4">
        <f>IFERROR(__xludf.DUMMYFUNCTION("""COMPUTED_VALUE"""),0.0)</f>
        <v>0</v>
      </c>
      <c r="AQ321" s="4">
        <f>IFERROR(__xludf.DUMMYFUNCTION("""COMPUTED_VALUE"""),0.0)</f>
        <v>0</v>
      </c>
      <c r="AR321" s="4">
        <f>IFERROR(__xludf.DUMMYFUNCTION("""COMPUTED_VALUE"""),0.0)</f>
        <v>0</v>
      </c>
      <c r="AS321" s="4">
        <f>IFERROR(__xludf.DUMMYFUNCTION("""COMPUTED_VALUE"""),0.0)</f>
        <v>0</v>
      </c>
      <c r="AT321" s="4">
        <f>IFERROR(__xludf.DUMMYFUNCTION("""COMPUTED_VALUE"""),0.0)</f>
        <v>0</v>
      </c>
      <c r="AU321" s="4" t="str">
        <f>IFERROR(__xludf.DUMMYFUNCTION("""COMPUTED_VALUE"""),"Diego")</f>
        <v>Diego</v>
      </c>
      <c r="AV321" s="4">
        <f>IFERROR(__xludf.DUMMYFUNCTION("""COMPUTED_VALUE"""),0.0)</f>
        <v>0</v>
      </c>
      <c r="AW321" s="4">
        <f>IFERROR(__xludf.DUMMYFUNCTION("""COMPUTED_VALUE"""),0.0)</f>
        <v>0</v>
      </c>
      <c r="AX321" s="4">
        <f>IFERROR(__xludf.DUMMYFUNCTION("""COMPUTED_VALUE"""),0.0)</f>
        <v>0</v>
      </c>
      <c r="AY321" s="4" t="str">
        <f>IFERROR(__xludf.DUMMYFUNCTION("""COMPUTED_VALUE"""),"Ncr")</f>
        <v>Ncr</v>
      </c>
      <c r="AZ321" s="4" t="str">
        <f>IFERROR(__xludf.DUMMYFUNCTION("""COMPUTED_VALUE"""),"Brasileira")</f>
        <v>Brasileira</v>
      </c>
      <c r="BA321" s="4">
        <f>IFERROR(__xludf.DUMMYFUNCTION("""COMPUTED_VALUE"""),56.0)</f>
        <v>56</v>
      </c>
      <c r="BB321" s="4" t="str">
        <f>IFERROR(__xludf.DUMMYFUNCTION("""COMPUTED_VALUE"""),"Fast Casual - Multi-conceito")</f>
        <v>Fast Casual - Multi-conceito</v>
      </c>
      <c r="BC321" s="4" t="str">
        <f>IFERROR(__xludf.DUMMYFUNCTION("""COMPUTED_VALUE"""),"Regional")</f>
        <v>Regional</v>
      </c>
      <c r="BD321" s="4" t="str">
        <f>IFERROR(__xludf.DUMMYFUNCTION("""COMPUTED_VALUE"""),"Dado não disponível publicamente - Necessário Discovery")</f>
        <v>Dado não disponível publicamente - Necessário Discovery</v>
      </c>
      <c r="BE321" s="4">
        <f>IFERROR(__xludf.DUMMYFUNCTION("""COMPUTED_VALUE"""),65.0)</f>
        <v>65</v>
      </c>
      <c r="BF321" s="4">
        <f>IFERROR(__xludf.DUMMYFUNCTION("""COMPUTED_VALUE"""),0.75)</f>
        <v>0.75</v>
      </c>
      <c r="BG32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321" s="4" t="s">
        <v>74</v>
      </c>
      <c r="BI321" s="7">
        <v>0.5714285714285714</v>
      </c>
    </row>
    <row r="322">
      <c r="A322" s="4" t="str">
        <f>IFERROR(__xludf.DUMMYFUNCTION("""COMPUTED_VALUE"""),"Giraffas")</f>
        <v>Giraffas</v>
      </c>
      <c r="B322" s="4" t="str">
        <f>IFERROR(__xludf.DUMMYFUNCTION("""COMPUTED_VALUE"""),"Leonardo Roso")</f>
        <v>Leonardo Roso</v>
      </c>
      <c r="C322" s="4" t="str">
        <f>IFERROR(__xludf.DUMMYFUNCTION("""COMPUTED_VALUE"""),"Leonardo Roso")</f>
        <v>Leonardo Roso</v>
      </c>
      <c r="D322" s="4" t="str">
        <f>IFERROR(__xludf.DUMMYFUNCTION("""COMPUTED_VALUE"""),"11. Stand by")</f>
        <v>11. Stand by</v>
      </c>
      <c r="E322" s="4"/>
      <c r="F322" s="4" t="str">
        <f>IFERROR(__xludf.DUMMYFUNCTION("""COMPUTED_VALUE"""),"G")</f>
        <v>G</v>
      </c>
      <c r="G322" s="4"/>
      <c r="H322" s="4"/>
      <c r="I322" s="4"/>
      <c r="J322" s="4"/>
      <c r="K322" s="6">
        <f>IFERROR(__xludf.DUMMYFUNCTION("""COMPUTED_VALUE"""),45944.0)</f>
        <v>45944</v>
      </c>
      <c r="L322" s="4"/>
      <c r="M322" s="4"/>
      <c r="N322" s="4"/>
      <c r="O322" s="4"/>
      <c r="P322" s="4"/>
      <c r="Q322" s="4"/>
      <c r="R322" s="4"/>
      <c r="S322" s="4"/>
      <c r="T322" s="4"/>
      <c r="U322" s="4"/>
      <c r="V322" s="4"/>
      <c r="W322" s="4"/>
      <c r="X322" s="4"/>
      <c r="Y322" s="4"/>
      <c r="Z322" s="4"/>
      <c r="AA322" s="4">
        <f>IFERROR(__xludf.DUMMYFUNCTION("""COMPUTED_VALUE"""),505.0)</f>
        <v>505</v>
      </c>
      <c r="AB322" s="4" t="str">
        <f>IFERROR(__xludf.DUMMYFUNCTION("""COMPUTED_VALUE"""),"KA")</f>
        <v>KA</v>
      </c>
      <c r="AC322" s="4" t="str">
        <f>IFERROR(__xludf.DUMMYFUNCTION("""COMPUTED_VALUE"""),"BP")</f>
        <v>BP</v>
      </c>
      <c r="AD322" s="4"/>
      <c r="AE322" s="4"/>
      <c r="AF322" s="4"/>
      <c r="AG322" s="4"/>
      <c r="AH322" s="4"/>
      <c r="AI322" s="4"/>
      <c r="AJ322" s="4"/>
      <c r="AK322" s="4"/>
      <c r="AL322" s="4"/>
      <c r="AM322" s="4" t="str">
        <f>IFERROR(__xludf.DUMMYFUNCTION("""COMPUTED_VALUE"""),"FY26, FY27")</f>
        <v>FY26, FY27</v>
      </c>
      <c r="AN322" s="4"/>
      <c r="AO322" s="4">
        <f>IFERROR(__xludf.DUMMYFUNCTION("""COMPUTED_VALUE"""),45553.0)</f>
        <v>45553</v>
      </c>
      <c r="AP322" s="4" t="str">
        <f>IFERROR(__xludf.DUMMYFUNCTION("""COMPUTED_VALUE"""),"SP")</f>
        <v>SP</v>
      </c>
      <c r="AQ322" s="4" t="str">
        <f>IFERROR(__xludf.DUMMYFUNCTION("""COMPUTED_VALUE"""),"JOAO GRIMALDI")</f>
        <v>JOAO GRIMALDI</v>
      </c>
      <c r="AR322" s="4" t="str">
        <f>IFERROR(__xludf.DUMMYFUNCTION("""COMPUTED_VALUE"""),"JESSICA SILVEIRA")</f>
        <v>JESSICA SILVEIRA</v>
      </c>
      <c r="AS322" s="4" t="str">
        <f>IFERROR(__xludf.DUMMYFUNCTION("""COMPUTED_VALUE"""),"ISIS MOSTAFA")</f>
        <v>ISIS MOSTAFA</v>
      </c>
      <c r="AT322" s="4" t="str">
        <f>IFERROR(__xludf.DUMMYFUNCTION("""COMPUTED_VALUE"""),"JOAO GRIMALDI")</f>
        <v>JOAO GRIMALDI</v>
      </c>
      <c r="AU322" s="4" t="str">
        <f>IFERROR(__xludf.DUMMYFUNCTION("""COMPUTED_VALUE"""),"Emerson")</f>
        <v>Emerson</v>
      </c>
      <c r="AV322" s="4" t="str">
        <f>IFERROR(__xludf.DUMMYFUNCTION("""COMPUTED_VALUE"""),"Comer Fora-")</f>
        <v>Comer Fora-</v>
      </c>
      <c r="AW322" s="20" t="str">
        <f>IFERROR(__xludf.DUMMYFUNCTION("""COMPUTED_VALUE"""),"Top 30")</f>
        <v>Top 30</v>
      </c>
      <c r="AX322" s="4"/>
      <c r="AY322" s="4">
        <f>IFERROR(__xludf.DUMMYFUNCTION("""COMPUTED_VALUE"""),0.0)</f>
        <v>0</v>
      </c>
      <c r="AZ322" s="4" t="str">
        <f>IFERROR(__xludf.DUMMYFUNCTION("""COMPUTED_VALUE"""),"Brasileira")</f>
        <v>Brasileira</v>
      </c>
      <c r="BA322" s="4">
        <f>IFERROR(__xludf.DUMMYFUNCTION("""COMPUTED_VALUE"""),45.0)</f>
        <v>45</v>
      </c>
      <c r="BB322" s="4" t="str">
        <f>IFERROR(__xludf.DUMMYFUNCTION("""COMPUTED_VALUE"""),"QSR - Prato Feito")</f>
        <v>QSR - Prato Feito</v>
      </c>
      <c r="BC322" s="4" t="str">
        <f>IFERROR(__xludf.DUMMYFUNCTION("""COMPUTED_VALUE"""),"Nacional")</f>
        <v>Nacional</v>
      </c>
      <c r="BD322" s="4" t="str">
        <f>IFERROR(__xludf.DUMMYFUNCTION("""COMPUTED_VALUE"""),"R$ 1,07 bilhão (2025)")</f>
        <v>R$ 1,07 bilhão (2025)</v>
      </c>
      <c r="BE322" s="4">
        <f>IFERROR(__xludf.DUMMYFUNCTION("""COMPUTED_VALUE"""),95.0)</f>
        <v>95</v>
      </c>
      <c r="BF322" s="4">
        <f>IFERROR(__xludf.DUMMYFUNCTION("""COMPUTED_VALUE"""),0.98)</f>
        <v>0.98</v>
      </c>
      <c r="BG322" s="4" t="str">
        <f>IFERROR(__xludf.DUMMYFUNCTION("""COMPUTED_VALUE"""),"Alta aderência ao 3S: PDV não identificado. 3S oferece Kiosk nativo, Hub Delivery integrado e gestão centralizada multi-loja - diferenciais competitivos para expansão e redução de filas.")</f>
        <v>Alta aderência ao 3S: PDV não identificado. 3S oferece Kiosk nativo, Hub Delivery integrado e gestão centralizada multi-loja - diferenciais competitivos para expansão e redução de filas.</v>
      </c>
      <c r="BH322" s="4" t="s">
        <v>63</v>
      </c>
      <c r="BI322" s="7" t="s">
        <v>63</v>
      </c>
    </row>
    <row r="323" hidden="1">
      <c r="A323" s="4" t="str">
        <f>IFERROR(__xludf.DUMMYFUNCTION("""COMPUTED_VALUE"""),"Gordao Lanches - Norte Sul")</f>
        <v>Gordao Lanches - Norte Sul</v>
      </c>
      <c r="B323" s="4" t="str">
        <f>IFERROR(__xludf.DUMMYFUNCTION("""COMPUTED_VALUE"""),"Lídia Esteves")</f>
        <v>Lídia Esteves</v>
      </c>
      <c r="C323" s="4" t="str">
        <f>IFERROR(__xludf.DUMMYFUNCTION("""COMPUTED_VALUE"""),"Gabriela Roma")</f>
        <v>Gabriela Roma</v>
      </c>
      <c r="D323" s="4" t="str">
        <f>IFERROR(__xludf.DUMMYFUNCTION("""COMPUTED_VALUE"""),"0. Não Iniciado")</f>
        <v>0. Não Iniciado</v>
      </c>
      <c r="E323" s="4"/>
      <c r="F323" s="4" t="str">
        <f>IFERROR(__xludf.DUMMYFUNCTION("""COMPUTED_VALUE"""),"P")</f>
        <v>P</v>
      </c>
      <c r="G323" s="4"/>
      <c r="H323" s="22" t="str">
        <f>IFERROR(__xludf.DUMMYFUNCTION("""COMPUTED_VALUE"""),"parceiro com perfil Saipos , em negociação com Joao")</f>
        <v>parceiro com perfil Saipos , em negociação com Joao</v>
      </c>
      <c r="I323" s="4"/>
      <c r="J323" s="4"/>
      <c r="K323" s="4"/>
      <c r="L323" s="4"/>
      <c r="M323" s="4"/>
      <c r="N323" s="4"/>
      <c r="O323" s="4"/>
      <c r="P323" s="4"/>
      <c r="Q323" s="4"/>
      <c r="R323" s="4"/>
      <c r="S323" s="4"/>
      <c r="T323" s="4"/>
      <c r="U323" s="4"/>
      <c r="V323" s="4"/>
      <c r="W323" s="4"/>
      <c r="X323" s="4"/>
      <c r="Y323" s="4"/>
      <c r="Z323" s="4"/>
      <c r="AA323" s="4">
        <f>IFERROR(__xludf.DUMMYFUNCTION("""COMPUTED_VALUE"""),12.0)</f>
        <v>12</v>
      </c>
      <c r="AB323" s="4" t="str">
        <f>IFERROR(__xludf.DUMMYFUNCTION("""COMPUTED_VALUE"""),"-")</f>
        <v>-</v>
      </c>
      <c r="AC323" s="4" t="str">
        <f>IFERROR(__xludf.DUMMYFUNCTION("""COMPUTED_VALUE"""),"-")</f>
        <v>-</v>
      </c>
      <c r="AD323" s="4"/>
      <c r="AE323" s="4"/>
      <c r="AF323" s="4"/>
      <c r="AG323" s="4"/>
      <c r="AH323" s="4"/>
      <c r="AI323" s="4"/>
      <c r="AJ323" s="4"/>
      <c r="AK323" s="4"/>
      <c r="AL323" s="4"/>
      <c r="AM323" s="4" t="str">
        <f>IFERROR(__xludf.DUMMYFUNCTION("""COMPUTED_VALUE"""),"FY26, FY27")</f>
        <v>FY26, FY27</v>
      </c>
      <c r="AN323" s="4"/>
      <c r="AO323" s="4">
        <f>IFERROR(__xludf.DUMMYFUNCTION("""COMPUTED_VALUE"""),45553.0)</f>
        <v>45553</v>
      </c>
      <c r="AP323" s="4" t="str">
        <f>IFERROR(__xludf.DUMMYFUNCTION("""COMPUTED_VALUE"""),"SP")</f>
        <v>SP</v>
      </c>
      <c r="AQ323" s="4" t="str">
        <f>IFERROR(__xludf.DUMMYFUNCTION("""COMPUTED_VALUE"""),"CAMILA ARMOND")</f>
        <v>CAMILA ARMOND</v>
      </c>
      <c r="AR323" s="4" t="str">
        <f>IFERROR(__xludf.DUMMYFUNCTION("""COMPUTED_VALUE"""),"DEBORA VALENTIM")</f>
        <v>DEBORA VALENTIM</v>
      </c>
      <c r="AS323" s="4" t="str">
        <f>IFERROR(__xludf.DUMMYFUNCTION("""COMPUTED_VALUE"""),"ALAN HADDAD")</f>
        <v>ALAN HADDAD</v>
      </c>
      <c r="AT323" s="4" t="str">
        <f>IFERROR(__xludf.DUMMYFUNCTION("""COMPUTED_VALUE"""),"ISABELA DINIZ")</f>
        <v>ISABELA DINIZ</v>
      </c>
      <c r="AU323" s="4" t="str">
        <f>IFERROR(__xludf.DUMMYFUNCTION("""COMPUTED_VALUE"""),"Lídia / Emerson")</f>
        <v>Lídia / Emerson</v>
      </c>
      <c r="AV323" s="4">
        <f>IFERROR(__xludf.DUMMYFUNCTION("""COMPUTED_VALUE"""),0.0)</f>
        <v>0</v>
      </c>
      <c r="AW323" s="4">
        <f>IFERROR(__xludf.DUMMYFUNCTION("""COMPUTED_VALUE"""),0.0)</f>
        <v>0</v>
      </c>
      <c r="AX323" s="4">
        <f>IFERROR(__xludf.DUMMYFUNCTION("""COMPUTED_VALUE"""),0.0)</f>
        <v>0</v>
      </c>
      <c r="AY323" s="4"/>
      <c r="AZ323" s="4" t="str">
        <f>IFERROR(__xludf.DUMMYFUNCTION("""COMPUTED_VALUE"""),"Lanches")</f>
        <v>Lanches</v>
      </c>
      <c r="BA323" s="4" t="str">
        <f>IFERROR(__xludf.DUMMYFUNCTION("""COMPUTED_VALUE"""),"")</f>
        <v/>
      </c>
      <c r="BB323" s="4" t="str">
        <f>IFERROR(__xludf.DUMMYFUNCTION("""COMPUTED_VALUE"""),"")</f>
        <v/>
      </c>
      <c r="BC323" s="4" t="str">
        <f>IFERROR(__xludf.DUMMYFUNCTION("""COMPUTED_VALUE"""),"")</f>
        <v/>
      </c>
      <c r="BD323" s="4" t="str">
        <f>IFERROR(__xludf.DUMMYFUNCTION("""COMPUTED_VALUE"""),"")</f>
        <v/>
      </c>
      <c r="BE323" s="4" t="str">
        <f>IFERROR(__xludf.DUMMYFUNCTION("""COMPUTED_VALUE"""),"")</f>
        <v/>
      </c>
      <c r="BF323" s="4" t="str">
        <f>IFERROR(__xludf.DUMMYFUNCTION("""COMPUTED_VALUE"""),"")</f>
        <v/>
      </c>
      <c r="BG323" s="4" t="str">
        <f>IFERROR(__xludf.DUMMYFUNCTION("""COMPUTED_VALUE"""),"")</f>
        <v/>
      </c>
      <c r="BH323" s="4" t="s">
        <v>127</v>
      </c>
      <c r="BI323" s="7">
        <v>0.6666666666666666</v>
      </c>
    </row>
    <row r="324" hidden="1">
      <c r="A324" s="4" t="str">
        <f>IFERROR(__xludf.DUMMYFUNCTION("""COMPUTED_VALUE"""),"Gourmet Avenida - Cp")</f>
        <v>Gourmet Avenida - Cp</v>
      </c>
      <c r="B324" s="4" t="str">
        <f>IFERROR(__xludf.DUMMYFUNCTION("""COMPUTED_VALUE"""),"Lídia Esteves")</f>
        <v>Lídia Esteves</v>
      </c>
      <c r="C324" s="4" t="str">
        <f>IFERROR(__xludf.DUMMYFUNCTION("""COMPUTED_VALUE"""),"Gabriela Roma")</f>
        <v>Gabriela Roma</v>
      </c>
      <c r="D324" s="4" t="str">
        <f>IFERROR(__xludf.DUMMYFUNCTION("""COMPUTED_VALUE"""),"0. Não Iniciado")</f>
        <v>0. Não Iniciado</v>
      </c>
      <c r="E324" s="4"/>
      <c r="F324" s="4" t="str">
        <f>IFERROR(__xludf.DUMMYFUNCTION("""COMPUTED_VALUE"""),"P")</f>
        <v>P</v>
      </c>
      <c r="G324" s="4"/>
      <c r="H324" s="4"/>
      <c r="I324" s="4"/>
      <c r="J324" s="4"/>
      <c r="K324" s="4"/>
      <c r="L324" s="4"/>
      <c r="M324" s="4"/>
      <c r="N324" s="4"/>
      <c r="O324" s="4"/>
      <c r="P324" s="4"/>
      <c r="Q324" s="4"/>
      <c r="R324" s="4"/>
      <c r="S324" s="4"/>
      <c r="T324" s="4"/>
      <c r="U324" s="4"/>
      <c r="V324" s="4"/>
      <c r="W324" s="4"/>
      <c r="X324" s="4"/>
      <c r="Y324" s="4"/>
      <c r="Z324" s="4"/>
      <c r="AA324" s="4">
        <f>IFERROR(__xludf.DUMMYFUNCTION("""COMPUTED_VALUE"""),1.0)</f>
        <v>1</v>
      </c>
      <c r="AB324" s="4" t="str">
        <f>IFERROR(__xludf.DUMMYFUNCTION("""COMPUTED_VALUE"""),"-")</f>
        <v>-</v>
      </c>
      <c r="AC324" s="4" t="str">
        <f>IFERROR(__xludf.DUMMYFUNCTION("""COMPUTED_VALUE"""),"-")</f>
        <v>-</v>
      </c>
      <c r="AD324" s="4"/>
      <c r="AE324" s="4"/>
      <c r="AF324" s="4"/>
      <c r="AG324" s="4"/>
      <c r="AH324" s="4"/>
      <c r="AI324" s="4"/>
      <c r="AJ324" s="4"/>
      <c r="AK324" s="4"/>
      <c r="AL324" s="4"/>
      <c r="AM324" s="4" t="str">
        <f>IFERROR(__xludf.DUMMYFUNCTION("""COMPUTED_VALUE"""),"FY26, FY27")</f>
        <v>FY26, FY27</v>
      </c>
      <c r="AN324" s="4"/>
      <c r="AO324" s="4">
        <f>IFERROR(__xludf.DUMMYFUNCTION("""COMPUTED_VALUE"""),45553.0)</f>
        <v>45553</v>
      </c>
      <c r="AP324" s="4" t="str">
        <f>IFERROR(__xludf.DUMMYFUNCTION("""COMPUTED_VALUE"""),"PR")</f>
        <v>PR</v>
      </c>
      <c r="AQ324" s="4" t="str">
        <f>IFERROR(__xludf.DUMMYFUNCTION("""COMPUTED_VALUE"""),"PAULA VERDASCA")</f>
        <v>PAULA VERDASCA</v>
      </c>
      <c r="AR324" s="4" t="str">
        <f>IFERROR(__xludf.DUMMYFUNCTION("""COMPUTED_VALUE"""),"TBH-CURITIBA01")</f>
        <v>TBH-CURITIBA01</v>
      </c>
      <c r="AS324" s="4" t="str">
        <f>IFERROR(__xludf.DUMMYFUNCTION("""COMPUTED_VALUE"""),"FABIO DONATO")</f>
        <v>FABIO DONATO</v>
      </c>
      <c r="AT324" s="4" t="str">
        <f>IFERROR(__xludf.DUMMYFUNCTION("""COMPUTED_VALUE"""),"MURILO NAGASHIMA")</f>
        <v>MURILO NAGASHIMA</v>
      </c>
      <c r="AU324" s="4" t="str">
        <f>IFERROR(__xludf.DUMMYFUNCTION("""COMPUTED_VALUE"""),"Lídia / Emerson")</f>
        <v>Lídia / Emerson</v>
      </c>
      <c r="AV324" s="4">
        <f>IFERROR(__xludf.DUMMYFUNCTION("""COMPUTED_VALUE"""),0.0)</f>
        <v>0</v>
      </c>
      <c r="AW324" s="4">
        <f>IFERROR(__xludf.DUMMYFUNCTION("""COMPUTED_VALUE"""),0.0)</f>
        <v>0</v>
      </c>
      <c r="AX324" s="4">
        <f>IFERROR(__xludf.DUMMYFUNCTION("""COMPUTED_VALUE"""),0.0)</f>
        <v>0</v>
      </c>
      <c r="AY324" s="4"/>
      <c r="AZ324" s="4" t="str">
        <f>IFERROR(__xludf.DUMMYFUNCTION("""COMPUTED_VALUE"""),"Brasileira")</f>
        <v>Brasileira</v>
      </c>
      <c r="BA324" s="4">
        <f>IFERROR(__xludf.DUMMYFUNCTION("""COMPUTED_VALUE"""),56.0)</f>
        <v>56</v>
      </c>
      <c r="BB324" s="4" t="str">
        <f>IFERROR(__xludf.DUMMYFUNCTION("""COMPUTED_VALUE"""),"Fast Casual - Multi-conceito")</f>
        <v>Fast Casual - Multi-conceito</v>
      </c>
      <c r="BC324" s="4" t="str">
        <f>IFERROR(__xludf.DUMMYFUNCTION("""COMPUTED_VALUE"""),"Nordeste")</f>
        <v>Nordeste</v>
      </c>
      <c r="BD324" s="4" t="str">
        <f>IFERROR(__xludf.DUMMYFUNCTION("""COMPUTED_VALUE"""),"Dado não disponível publicamente - Necessário Discovery")</f>
        <v>Dado não disponível publicamente - Necessário Discovery</v>
      </c>
      <c r="BE324" s="4">
        <f>IFERROR(__xludf.DUMMYFUNCTION("""COMPUTED_VALUE"""),70.0)</f>
        <v>70</v>
      </c>
      <c r="BF324" s="4">
        <f>IFERROR(__xludf.DUMMYFUNCTION("""COMPUTED_VALUE"""),0.75)</f>
        <v>0.75</v>
      </c>
      <c r="BG32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324" s="4" t="s">
        <v>63</v>
      </c>
      <c r="BI324" s="7" t="s">
        <v>63</v>
      </c>
    </row>
    <row r="325">
      <c r="A325" s="4" t="str">
        <f>IFERROR(__xludf.DUMMYFUNCTION("""COMPUTED_VALUE"""),"Grão Espresso")</f>
        <v>Grão Espresso</v>
      </c>
      <c r="B325" s="4" t="str">
        <f>IFERROR(__xludf.DUMMYFUNCTION("""COMPUTED_VALUE"""),"Leonardo Roso")</f>
        <v>Leonardo Roso</v>
      </c>
      <c r="C325" s="4" t="str">
        <f>IFERROR(__xludf.DUMMYFUNCTION("""COMPUTED_VALUE"""),"Leonardo Roso")</f>
        <v>Leonardo Roso</v>
      </c>
      <c r="D325" s="4" t="str">
        <f>IFERROR(__xludf.DUMMYFUNCTION("""COMPUTED_VALUE"""),"11. Stand by")</f>
        <v>11. Stand by</v>
      </c>
      <c r="E325" s="4" t="str">
        <f>IFERROR(__xludf.DUMMYFUNCTION("""COMPUTED_VALUE"""),"Parceiro - Aguardando retorno / Conciliação agenda")</f>
        <v>Parceiro - Aguardando retorno / Conciliação agenda</v>
      </c>
      <c r="F325" s="4" t="str">
        <f>IFERROR(__xludf.DUMMYFUNCTION("""COMPUTED_VALUE"""),"G")</f>
        <v>G</v>
      </c>
      <c r="G325" s="5">
        <f>IFERROR(__xludf.DUMMYFUNCTION("""COMPUTED_VALUE"""),46073.0)</f>
        <v>46073</v>
      </c>
      <c r="H325" s="4" t="str">
        <f>IFERROR(__xludf.DUMMYFUNCTION("""COMPUTED_VALUE"""),"Abordagem com tomador de decisão a partir de Março/26")</f>
        <v>Abordagem com tomador de decisão a partir de Março/26</v>
      </c>
      <c r="I325" s="4"/>
      <c r="J325" s="4"/>
      <c r="K325" s="6">
        <f>IFERROR(__xludf.DUMMYFUNCTION("""COMPUTED_VALUE"""),45944.0)</f>
        <v>45944</v>
      </c>
      <c r="L325" s="4"/>
      <c r="M325" s="4"/>
      <c r="N325" s="4"/>
      <c r="O325" s="4"/>
      <c r="P325" s="4"/>
      <c r="Q325" s="4"/>
      <c r="R325" s="4"/>
      <c r="S325" s="4"/>
      <c r="T325" s="4"/>
      <c r="U325" s="4"/>
      <c r="V325" s="4" t="str">
        <f>IFERROR(__xludf.DUMMYFUNCTION("""COMPUTED_VALUE"""),"Outros")</f>
        <v>Outros</v>
      </c>
      <c r="W325" s="4"/>
      <c r="X325" s="4"/>
      <c r="Y325" s="4"/>
      <c r="Z325" s="4"/>
      <c r="AA325" s="4">
        <f>IFERROR(__xludf.DUMMYFUNCTION("""COMPUTED_VALUE"""),250.0)</f>
        <v>250</v>
      </c>
      <c r="AB325" s="4" t="str">
        <f>IFERROR(__xludf.DUMMYFUNCTION("""COMPUTED_VALUE"""),"NÃO")</f>
        <v>NÃO</v>
      </c>
      <c r="AC325" s="4" t="str">
        <f>IFERROR(__xludf.DUMMYFUNCTION("""COMPUTED_VALUE"""),"BP")</f>
        <v>BP</v>
      </c>
      <c r="AD325" s="4"/>
      <c r="AE325" s="4"/>
      <c r="AF325" s="4"/>
      <c r="AG325" s="4"/>
      <c r="AH325" s="4"/>
      <c r="AI325" s="4"/>
      <c r="AJ325" s="4"/>
      <c r="AK325" s="4"/>
      <c r="AL325" s="4"/>
      <c r="AM325" s="4" t="str">
        <f>IFERROR(__xludf.DUMMYFUNCTION("""COMPUTED_VALUE"""),"FY26, FY27")</f>
        <v>FY26, FY27</v>
      </c>
      <c r="AN325" s="4"/>
      <c r="AO325" s="4">
        <f>IFERROR(__xludf.DUMMYFUNCTION("""COMPUTED_VALUE"""),143.0)</f>
        <v>143</v>
      </c>
      <c r="AP325" s="4">
        <f>IFERROR(__xludf.DUMMYFUNCTION("""COMPUTED_VALUE"""),0.0)</f>
        <v>0</v>
      </c>
      <c r="AQ325" s="4">
        <f>IFERROR(__xludf.DUMMYFUNCTION("""COMPUTED_VALUE"""),0.0)</f>
        <v>0</v>
      </c>
      <c r="AR325" s="4">
        <f>IFERROR(__xludf.DUMMYFUNCTION("""COMPUTED_VALUE"""),0.0)</f>
        <v>0</v>
      </c>
      <c r="AS325" s="4">
        <f>IFERROR(__xludf.DUMMYFUNCTION("""COMPUTED_VALUE"""),0.0)</f>
        <v>0</v>
      </c>
      <c r="AT325" s="4">
        <f>IFERROR(__xludf.DUMMYFUNCTION("""COMPUTED_VALUE"""),0.0)</f>
        <v>0</v>
      </c>
      <c r="AU325" s="4" t="str">
        <f>IFERROR(__xludf.DUMMYFUNCTION("""COMPUTED_VALUE"""),"Samuel")</f>
        <v>Samuel</v>
      </c>
      <c r="AV325" s="4">
        <f>IFERROR(__xludf.DUMMYFUNCTION("""COMPUTED_VALUE"""),0.0)</f>
        <v>0</v>
      </c>
      <c r="AW325" s="4">
        <f>IFERROR(__xludf.DUMMYFUNCTION("""COMPUTED_VALUE"""),0.0)</f>
        <v>0</v>
      </c>
      <c r="AX325" s="4">
        <f>IFERROR(__xludf.DUMMYFUNCTION("""COMPUTED_VALUE"""),0.0)</f>
        <v>0</v>
      </c>
      <c r="AY325" s="4"/>
      <c r="AZ325" s="4" t="str">
        <f>IFERROR(__xludf.DUMMYFUNCTION("""COMPUTED_VALUE"""),"NA")</f>
        <v>NA</v>
      </c>
      <c r="BA325" s="4">
        <f>IFERROR(__xludf.DUMMYFUNCTION("""COMPUTED_VALUE"""),50.0)</f>
        <v>50</v>
      </c>
      <c r="BB325" s="4" t="str">
        <f>IFERROR(__xludf.DUMMYFUNCTION("""COMPUTED_VALUE"""),"Fast Casual - Multi-conceito")</f>
        <v>Fast Casual - Multi-conceito</v>
      </c>
      <c r="BC325" s="4" t="str">
        <f>IFERROR(__xludf.DUMMYFUNCTION("""COMPUTED_VALUE"""),"Sul")</f>
        <v>Sul</v>
      </c>
      <c r="BD325" s="4" t="str">
        <f>IFERROR(__xludf.DUMMYFUNCTION("""COMPUTED_VALUE"""),"Dado não disponível publicamente - Necessário Discovery")</f>
        <v>Dado não disponível publicamente - Necessário Discovery</v>
      </c>
      <c r="BE325" s="4">
        <f>IFERROR(__xludf.DUMMYFUNCTION("""COMPUTED_VALUE"""),70.0)</f>
        <v>70</v>
      </c>
      <c r="BF325" s="4">
        <f>IFERROR(__xludf.DUMMYFUNCTION("""COMPUTED_VALUE"""),0.75)</f>
        <v>0.75</v>
      </c>
      <c r="BG32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325" s="4" t="s">
        <v>63</v>
      </c>
      <c r="BI325" s="7" t="s">
        <v>63</v>
      </c>
    </row>
    <row r="326" hidden="1">
      <c r="A326" s="4" t="str">
        <f>IFERROR(__xludf.DUMMYFUNCTION("""COMPUTED_VALUE"""),"Green Dog- Conta Pai")</f>
        <v>Green Dog- Conta Pai</v>
      </c>
      <c r="B326" s="4" t="str">
        <f>IFERROR(__xludf.DUMMYFUNCTION("""COMPUTED_VALUE"""),"Lídia Esteves")</f>
        <v>Lídia Esteves</v>
      </c>
      <c r="C326" s="4" t="str">
        <f>IFERROR(__xludf.DUMMYFUNCTION("""COMPUTED_VALUE"""),"Gabriela Roma")</f>
        <v>Gabriela Roma</v>
      </c>
      <c r="D326" s="4" t="str">
        <f>IFERROR(__xludf.DUMMYFUNCTION("""COMPUTED_VALUE"""),"10. Perdido")</f>
        <v>10. Perdido</v>
      </c>
      <c r="E326" s="4" t="str">
        <f>IFERROR(__xludf.DUMMYFUNCTION("""COMPUTED_VALUE"""),"Delivery - Momento inadequado de abordagem (ex. 99)")</f>
        <v>Delivery - Momento inadequado de abordagem (ex. 99)</v>
      </c>
      <c r="F326" s="4" t="str">
        <f>IFERROR(__xludf.DUMMYFUNCTION("""COMPUTED_VALUE"""),"P")</f>
        <v>P</v>
      </c>
      <c r="G326" s="5">
        <f>IFERROR(__xludf.DUMMYFUNCTION("""COMPUTED_VALUE"""),46122.0)</f>
        <v>46122</v>
      </c>
      <c r="H326" s="4" t="str">
        <f>IFERROR(__xludf.DUMMYFUNCTION("""COMPUTED_VALUE"""),"pedi a agenda ao ex de delivery e a marca está com saipos")</f>
        <v>pedi a agenda ao ex de delivery e a marca está com saipos</v>
      </c>
      <c r="I326" s="6">
        <f>IFERROR(__xludf.DUMMYFUNCTION("""COMPUTED_VALUE"""),46122.46486359954)</f>
        <v>46122.46486</v>
      </c>
      <c r="J326" s="4"/>
      <c r="K326" s="4"/>
      <c r="L326" s="4"/>
      <c r="M326" s="4"/>
      <c r="N326" s="4"/>
      <c r="O326" s="4"/>
      <c r="P326" s="4"/>
      <c r="Q326" s="4"/>
      <c r="R326" s="6">
        <f>IFERROR(__xludf.DUMMYFUNCTION("""COMPUTED_VALUE"""),46125.65018887732)</f>
        <v>46125.65019</v>
      </c>
      <c r="S326" s="4"/>
      <c r="T326" s="4"/>
      <c r="U326" s="4"/>
      <c r="V326" s="4" t="str">
        <f>IFERROR(__xludf.DUMMYFUNCTION("""COMPUTED_VALUE"""),"Sem perfil 3S - Perfil Saipos")</f>
        <v>Sem perfil 3S - Perfil Saipos</v>
      </c>
      <c r="W326" s="4"/>
      <c r="X326" s="4"/>
      <c r="Y326" s="4"/>
      <c r="Z326" s="4"/>
      <c r="AA326" s="4">
        <f>IFERROR(__xludf.DUMMYFUNCTION("""COMPUTED_VALUE"""),4.0)</f>
        <v>4</v>
      </c>
      <c r="AB326" s="4" t="str">
        <f>IFERROR(__xludf.DUMMYFUNCTION("""COMPUTED_VALUE"""),"-")</f>
        <v>-</v>
      </c>
      <c r="AC326" s="4" t="str">
        <f>IFERROR(__xludf.DUMMYFUNCTION("""COMPUTED_VALUE"""),"-")</f>
        <v>-</v>
      </c>
      <c r="AD326" s="4"/>
      <c r="AE326" s="4"/>
      <c r="AF326" s="4"/>
      <c r="AG326" s="4"/>
      <c r="AH326" s="4"/>
      <c r="AI326" s="4"/>
      <c r="AJ326" s="4"/>
      <c r="AK326" s="4"/>
      <c r="AL326" s="4"/>
      <c r="AM326" s="4" t="str">
        <f>IFERROR(__xludf.DUMMYFUNCTION("""COMPUTED_VALUE"""),"FY26, FY27")</f>
        <v>FY26, FY27</v>
      </c>
      <c r="AN326" s="4"/>
      <c r="AO326" s="4">
        <f>IFERROR(__xludf.DUMMYFUNCTION("""COMPUTED_VALUE"""),93.0)</f>
        <v>93</v>
      </c>
      <c r="AP326" s="4" t="str">
        <f>IFERROR(__xludf.DUMMYFUNCTION("""COMPUTED_VALUE"""),"PR")</f>
        <v>PR</v>
      </c>
      <c r="AQ326" s="4" t="str">
        <f>IFERROR(__xludf.DUMMYFUNCTION("""COMPUTED_VALUE"""),"PAULA VERDASCA")</f>
        <v>PAULA VERDASCA</v>
      </c>
      <c r="AR326" s="4" t="str">
        <f>IFERROR(__xludf.DUMMYFUNCTION("""COMPUTED_VALUE"""),"RAFAEL GUBERT")</f>
        <v>RAFAEL GUBERT</v>
      </c>
      <c r="AS326" s="4" t="str">
        <f>IFERROR(__xludf.DUMMYFUNCTION("""COMPUTED_VALUE"""),"FABIO DONATO")</f>
        <v>FABIO DONATO</v>
      </c>
      <c r="AT326" s="4" t="str">
        <f>IFERROR(__xludf.DUMMYFUNCTION("""COMPUTED_VALUE"""),"MURILO NAGASHIMA")</f>
        <v>MURILO NAGASHIMA</v>
      </c>
      <c r="AU326" s="4" t="str">
        <f>IFERROR(__xludf.DUMMYFUNCTION("""COMPUTED_VALUE"""),"Lídia / Emerson")</f>
        <v>Lídia / Emerson</v>
      </c>
      <c r="AV326" s="4">
        <f>IFERROR(__xludf.DUMMYFUNCTION("""COMPUTED_VALUE"""),0.0)</f>
        <v>0</v>
      </c>
      <c r="AW326" s="4">
        <f>IFERROR(__xludf.DUMMYFUNCTION("""COMPUTED_VALUE"""),0.0)</f>
        <v>0</v>
      </c>
      <c r="AX326" s="4">
        <f>IFERROR(__xludf.DUMMYFUNCTION("""COMPUTED_VALUE"""),0.0)</f>
        <v>0</v>
      </c>
      <c r="AY326" s="4"/>
      <c r="AZ326" s="4" t="str">
        <f>IFERROR(__xludf.DUMMYFUNCTION("""COMPUTED_VALUE"""),"Hambúrguer")</f>
        <v>Hambúrguer</v>
      </c>
      <c r="BA326" s="4" t="str">
        <f>IFERROR(__xludf.DUMMYFUNCTION("""COMPUTED_VALUE"""),"")</f>
        <v/>
      </c>
      <c r="BB326" s="4" t="str">
        <f>IFERROR(__xludf.DUMMYFUNCTION("""COMPUTED_VALUE"""),"")</f>
        <v/>
      </c>
      <c r="BC326" s="4" t="str">
        <f>IFERROR(__xludf.DUMMYFUNCTION("""COMPUTED_VALUE"""),"")</f>
        <v/>
      </c>
      <c r="BD326" s="4" t="str">
        <f>IFERROR(__xludf.DUMMYFUNCTION("""COMPUTED_VALUE"""),"")</f>
        <v/>
      </c>
      <c r="BE326" s="4" t="str">
        <f>IFERROR(__xludf.DUMMYFUNCTION("""COMPUTED_VALUE"""),"")</f>
        <v/>
      </c>
      <c r="BF326" s="4" t="str">
        <f>IFERROR(__xludf.DUMMYFUNCTION("""COMPUTED_VALUE"""),"")</f>
        <v/>
      </c>
      <c r="BG326" s="4" t="str">
        <f>IFERROR(__xludf.DUMMYFUNCTION("""COMPUTED_VALUE"""),"")</f>
        <v/>
      </c>
      <c r="BH326" s="4" t="s">
        <v>63</v>
      </c>
      <c r="BI326" s="7" t="s">
        <v>63</v>
      </c>
    </row>
    <row r="327" hidden="1">
      <c r="A327" s="4" t="str">
        <f>IFERROR(__xludf.DUMMYFUNCTION("""COMPUTED_VALUE"""),"Greenjoy")</f>
        <v>Greenjoy</v>
      </c>
      <c r="B327" s="4" t="str">
        <f>IFERROR(__xludf.DUMMYFUNCTION("""COMPUTED_VALUE"""),"Diego Santos")</f>
        <v>Diego Santos</v>
      </c>
      <c r="C327" s="4" t="str">
        <f>IFERROR(__xludf.DUMMYFUNCTION("""COMPUTED_VALUE"""),"Diego Santos")</f>
        <v>Diego Santos</v>
      </c>
      <c r="D327" s="4" t="str">
        <f>IFERROR(__xludf.DUMMYFUNCTION("""COMPUTED_VALUE"""),"13. Reativado")</f>
        <v>13. Reativado</v>
      </c>
      <c r="E327" s="4" t="str">
        <f>IFERROR(__xludf.DUMMYFUNCTION("""COMPUTED_VALUE"""),"Perdido -  Momento do restaurante não favorável")</f>
        <v>Perdido -  Momento do restaurante não favorável</v>
      </c>
      <c r="F327" s="4" t="str">
        <f>IFERROR(__xludf.DUMMYFUNCTION("""COMPUTED_VALUE"""),"P")</f>
        <v>P</v>
      </c>
      <c r="G327" s="5">
        <f>IFERROR(__xludf.DUMMYFUNCTION("""COMPUTED_VALUE"""),46086.0)</f>
        <v>46086</v>
      </c>
      <c r="H327" s="4" t="str">
        <f>IFERROR(__xludf.DUMMYFUNCTION("""COMPUTED_VALUE"""),"Sem interesse em falar sobre nossos produtos, está muito satisfeito com os fornecedores atuais. ")</f>
        <v>Sem interesse em falar sobre nossos produtos, está muito satisfeito com os fornecedores atuais. </v>
      </c>
      <c r="I327" s="4"/>
      <c r="J327" s="6">
        <f>IFERROR(__xludf.DUMMYFUNCTION("""COMPUTED_VALUE"""),46072.5295438426)</f>
        <v>46072.52954</v>
      </c>
      <c r="K327" s="6">
        <f>IFERROR(__xludf.DUMMYFUNCTION("""COMPUTED_VALUE"""),46072.728191689814)</f>
        <v>46072.72819</v>
      </c>
      <c r="L327" s="6">
        <f>IFERROR(__xludf.DUMMYFUNCTION("""COMPUTED_VALUE"""),46080.697998958334)</f>
        <v>46080.698</v>
      </c>
      <c r="M327" s="4"/>
      <c r="N327" s="4"/>
      <c r="O327" s="4"/>
      <c r="P327" s="4"/>
      <c r="Q327" s="4"/>
      <c r="R327" s="6">
        <f>IFERROR(__xludf.DUMMYFUNCTION("""COMPUTED_VALUE"""),46086.51860866898)</f>
        <v>46086.51861</v>
      </c>
      <c r="S327" s="4"/>
      <c r="T327" s="4"/>
      <c r="U327" s="6">
        <f>IFERROR(__xludf.DUMMYFUNCTION("""COMPUTED_VALUE"""),46136.42390716435)</f>
        <v>46136.42391</v>
      </c>
      <c r="V327" s="4" t="str">
        <f>IFERROR(__xludf.DUMMYFUNCTION("""COMPUTED_VALUE"""),"Sem interesse em mudar de PDV")</f>
        <v>Sem interesse em mudar de PDV</v>
      </c>
      <c r="W327" s="4"/>
      <c r="X327" s="4"/>
      <c r="Y327" s="4"/>
      <c r="Z327" s="4"/>
      <c r="AA327" s="4">
        <f>IFERROR(__xludf.DUMMYFUNCTION("""COMPUTED_VALUE"""),10.0)</f>
        <v>10</v>
      </c>
      <c r="AB327" s="4" t="str">
        <f>IFERROR(__xludf.DUMMYFUNCTION("""COMPUTED_VALUE"""),"NÃO")</f>
        <v>NÃO</v>
      </c>
      <c r="AC327" s="4" t="str">
        <f>IFERROR(__xludf.DUMMYFUNCTION("""COMPUTED_VALUE"""),"BP")</f>
        <v>BP</v>
      </c>
      <c r="AD327" s="4"/>
      <c r="AE327" s="4"/>
      <c r="AF327" s="4"/>
      <c r="AG327" s="4"/>
      <c r="AH327" s="4"/>
      <c r="AI327" s="4"/>
      <c r="AJ327" s="4"/>
      <c r="AK327" s="4"/>
      <c r="AL327" s="4"/>
      <c r="AM327" s="4" t="str">
        <f>IFERROR(__xludf.DUMMYFUNCTION("""COMPUTED_VALUE"""),"FY26")</f>
        <v>FY26</v>
      </c>
      <c r="AN327" s="4" t="str">
        <f>IFERROR(__xludf.DUMMYFUNCTION("""COMPUTED_VALUE"""),"Comer Fora")</f>
        <v>Comer Fora</v>
      </c>
      <c r="AO327" s="4">
        <f>IFERROR(__xludf.DUMMYFUNCTION("""COMPUTED_VALUE"""),128.0)</f>
        <v>128</v>
      </c>
      <c r="AP327" s="4" t="str">
        <f>IFERROR(__xludf.DUMMYFUNCTION("""COMPUTED_VALUE"""),"SP")</f>
        <v>SP</v>
      </c>
      <c r="AQ327" s="4" t="str">
        <f>IFERROR(__xludf.DUMMYFUNCTION("""COMPUTED_VALUE"""),"JULIA TAKEMOTO")</f>
        <v>JULIA TAKEMOTO</v>
      </c>
      <c r="AR327" s="4" t="str">
        <f>IFERROR(__xludf.DUMMYFUNCTION("""COMPUTED_VALUE"""),"ALINNE VALENTIM")</f>
        <v>ALINNE VALENTIM</v>
      </c>
      <c r="AS327" s="4" t="str">
        <f>IFERROR(__xludf.DUMMYFUNCTION("""COMPUTED_VALUE"""),"NATHALIE MERTENS")</f>
        <v>NATHALIE MERTENS</v>
      </c>
      <c r="AT327" s="4" t="str">
        <f>IFERROR(__xludf.DUMMYFUNCTION("""COMPUTED_VALUE"""),"MARIANA KATZ")</f>
        <v>MARIANA KATZ</v>
      </c>
      <c r="AU327" s="4" t="str">
        <f>IFERROR(__xludf.DUMMYFUNCTION("""COMPUTED_VALUE"""),"Diego")</f>
        <v>Diego</v>
      </c>
      <c r="AV327" s="4" t="str">
        <f>IFERROR(__xludf.DUMMYFUNCTION("""COMPUTED_VALUE"""),"Comer Fora-Ativo na vitrine")</f>
        <v>Comer Fora-Ativo na vitrine</v>
      </c>
      <c r="AW327" s="20" t="str">
        <f>IFERROR(__xludf.DUMMYFUNCTION("""COMPUTED_VALUE"""),"P e M - pipe")</f>
        <v>P e M - pipe</v>
      </c>
      <c r="AX327" s="4"/>
      <c r="AY327" s="4"/>
      <c r="AZ327" s="4" t="str">
        <f>IFERROR(__xludf.DUMMYFUNCTION("""COMPUTED_VALUE"""),"Saudável")</f>
        <v>Saudável</v>
      </c>
      <c r="BA327" s="4">
        <f>IFERROR(__xludf.DUMMYFUNCTION("""COMPUTED_VALUE"""),65.0)</f>
        <v>65</v>
      </c>
      <c r="BB327" s="4" t="str">
        <f>IFERROR(__xludf.DUMMYFUNCTION("""COMPUTED_VALUE"""),"Fast Casual - Multi-conceito")</f>
        <v>Fast Casual - Multi-conceito</v>
      </c>
      <c r="BC327" s="4" t="str">
        <f>IFERROR(__xludf.DUMMYFUNCTION("""COMPUTED_VALUE"""),"Nacional")</f>
        <v>Nacional</v>
      </c>
      <c r="BD327" s="4" t="str">
        <f>IFERROR(__xludf.DUMMYFUNCTION("""COMPUTED_VALUE"""),"Dado não disponível publicamente - Necessário Discovery")</f>
        <v>Dado não disponível publicamente - Necessário Discovery</v>
      </c>
      <c r="BE327" s="4">
        <f>IFERROR(__xludf.DUMMYFUNCTION("""COMPUTED_VALUE"""),65.0)</f>
        <v>65</v>
      </c>
      <c r="BF327" s="4">
        <f>IFERROR(__xludf.DUMMYFUNCTION("""COMPUTED_VALUE"""),0.75)</f>
        <v>0.75</v>
      </c>
      <c r="BG32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327" s="4" t="s">
        <v>63</v>
      </c>
      <c r="BI327" s="7" t="s">
        <v>63</v>
      </c>
    </row>
    <row r="328" hidden="1">
      <c r="A328" s="4" t="str">
        <f>IFERROR(__xludf.DUMMYFUNCTION("""COMPUTED_VALUE"""),"Grupo Agua Doce Cachacaria")</f>
        <v>Grupo Agua Doce Cachacaria</v>
      </c>
      <c r="B328" s="4" t="str">
        <f>IFERROR(__xludf.DUMMYFUNCTION("""COMPUTED_VALUE"""),"Lídia Esteves")</f>
        <v>Lídia Esteves</v>
      </c>
      <c r="C328" s="4" t="str">
        <f>IFERROR(__xludf.DUMMYFUNCTION("""COMPUTED_VALUE"""),"Gabriela Roma")</f>
        <v>Gabriela Roma</v>
      </c>
      <c r="D328" s="4" t="str">
        <f>IFERROR(__xludf.DUMMYFUNCTION("""COMPUTED_VALUE"""),"4. Diagnóstico")</f>
        <v>4. Diagnóstico</v>
      </c>
      <c r="E328" s="4" t="str">
        <f>IFERROR(__xludf.DUMMYFUNCTION("""COMPUTED_VALUE"""),"Comercial - Contato realizado com parceiro")</f>
        <v>Comercial - Contato realizado com parceiro</v>
      </c>
      <c r="F328" s="4" t="str">
        <f>IFERROR(__xludf.DUMMYFUNCTION("""COMPUTED_VALUE"""),"M")</f>
        <v>M</v>
      </c>
      <c r="G328" s="5">
        <f>IFERROR(__xludf.DUMMYFUNCTION("""COMPUTED_VALUE"""),46154.0)</f>
        <v>46154</v>
      </c>
      <c r="H328" s="4" t="str">
        <f>IFERROR(__xludf.DUMMYFUNCTION("""COMPUTED_VALUE"""),"Mari e Samuca fizeram visita, estão aguardando para uma visita presencial no outback")</f>
        <v>Mari e Samuca fizeram visita, estão aguardando para uma visita presencial no outback</v>
      </c>
      <c r="I328" s="4"/>
      <c r="J328" s="4"/>
      <c r="K328" s="6">
        <f>IFERROR(__xludf.DUMMYFUNCTION("""COMPUTED_VALUE"""),46064.0)</f>
        <v>46064</v>
      </c>
      <c r="L328" s="6">
        <f>IFERROR(__xludf.DUMMYFUNCTION("""COMPUTED_VALUE"""),46154.44168412037)</f>
        <v>46154.44168</v>
      </c>
      <c r="M328" s="4"/>
      <c r="N328" s="4"/>
      <c r="O328" s="4"/>
      <c r="P328" s="4"/>
      <c r="Q328" s="4"/>
      <c r="R328" s="4"/>
      <c r="S328" s="4"/>
      <c r="T328" s="4"/>
      <c r="U328" s="4"/>
      <c r="V328" s="4"/>
      <c r="W328" s="4"/>
      <c r="X328" s="4"/>
      <c r="Y328" s="4"/>
      <c r="Z328" s="4"/>
      <c r="AA328" s="4">
        <f>IFERROR(__xludf.DUMMYFUNCTION("""COMPUTED_VALUE"""),60.0)</f>
        <v>60</v>
      </c>
      <c r="AB328" s="4" t="str">
        <f>IFERROR(__xludf.DUMMYFUNCTION("""COMPUTED_VALUE"""),"NÃO")</f>
        <v>NÃO</v>
      </c>
      <c r="AC328" s="4" t="str">
        <f>IFERROR(__xludf.DUMMYFUNCTION("""COMPUTED_VALUE"""),"Não BP")</f>
        <v>Não BP</v>
      </c>
      <c r="AD328" s="4"/>
      <c r="AE328" s="4"/>
      <c r="AF328" s="4"/>
      <c r="AG328" s="4"/>
      <c r="AH328" s="4"/>
      <c r="AI328" s="4"/>
      <c r="AJ328" s="4"/>
      <c r="AK328" s="4"/>
      <c r="AL328" s="4"/>
      <c r="AM328" s="4" t="str">
        <f>IFERROR(__xludf.DUMMYFUNCTION("""COMPUTED_VALUE"""),"FY26, FY27")</f>
        <v>FY26, FY27</v>
      </c>
      <c r="AN328" s="4"/>
      <c r="AO328" s="4">
        <f>IFERROR(__xludf.DUMMYFUNCTION("""COMPUTED_VALUE"""),61.0)</f>
        <v>61</v>
      </c>
      <c r="AP328" s="4" t="str">
        <f>IFERROR(__xludf.DUMMYFUNCTION("""COMPUTED_VALUE"""),"null")</f>
        <v>null</v>
      </c>
      <c r="AQ328" s="4" t="str">
        <f>IFERROR(__xludf.DUMMYFUNCTION("""COMPUTED_VALUE"""),"THIAGO MORSELLI")</f>
        <v>THIAGO MORSELLI</v>
      </c>
      <c r="AR328" s="4" t="str">
        <f>IFERROR(__xludf.DUMMYFUNCTION("""COMPUTED_VALUE"""),"AMANDA ARAUJO")</f>
        <v>AMANDA ARAUJO</v>
      </c>
      <c r="AS328" s="4" t="str">
        <f>IFERROR(__xludf.DUMMYFUNCTION("""COMPUTED_VALUE"""),"ISABELA GOULART")</f>
        <v>ISABELA GOULART</v>
      </c>
      <c r="AT328" s="4" t="str">
        <f>IFERROR(__xludf.DUMMYFUNCTION("""COMPUTED_VALUE"""),"THIAGO MORSELLI")</f>
        <v>THIAGO MORSELLI</v>
      </c>
      <c r="AU328" s="4" t="str">
        <f>IFERROR(__xludf.DUMMYFUNCTION("""COMPUTED_VALUE"""),"Mariana")</f>
        <v>Mariana</v>
      </c>
      <c r="AV328" s="4">
        <f>IFERROR(__xludf.DUMMYFUNCTION("""COMPUTED_VALUE"""),0.0)</f>
        <v>0</v>
      </c>
      <c r="AW328" s="4">
        <f>IFERROR(__xludf.DUMMYFUNCTION("""COMPUTED_VALUE"""),0.0)</f>
        <v>0</v>
      </c>
      <c r="AX328" s="4">
        <f>IFERROR(__xludf.DUMMYFUNCTION("""COMPUTED_VALUE"""),0.0)</f>
        <v>0</v>
      </c>
      <c r="AY328" s="4"/>
      <c r="AZ328" s="4" t="str">
        <f>IFERROR(__xludf.DUMMYFUNCTION("""COMPUTED_VALUE"""),"Brasileira")</f>
        <v>Brasileira</v>
      </c>
      <c r="BA328" s="4">
        <f>IFERROR(__xludf.DUMMYFUNCTION("""COMPUTED_VALUE"""),46.0)</f>
        <v>46</v>
      </c>
      <c r="BB328" s="4" t="str">
        <f>IFERROR(__xludf.DUMMYFUNCTION("""COMPUTED_VALUE"""),"Varejo - Confeitaria")</f>
        <v>Varejo - Confeitaria</v>
      </c>
      <c r="BC328" s="4" t="str">
        <f>IFERROR(__xludf.DUMMYFUNCTION("""COMPUTED_VALUE"""),"Regional")</f>
        <v>Regional</v>
      </c>
      <c r="BD328" s="4" t="str">
        <f>IFERROR(__xludf.DUMMYFUNCTION("""COMPUTED_VALUE"""),"Dado não disponível publicamente - Necessário Discovery")</f>
        <v>Dado não disponível publicamente - Necessário Discovery</v>
      </c>
      <c r="BE328" s="4">
        <f>IFERROR(__xludf.DUMMYFUNCTION("""COMPUTED_VALUE"""),40.0)</f>
        <v>40</v>
      </c>
      <c r="BF328" s="4">
        <f>IFERROR(__xludf.DUMMYFUNCTION("""COMPUTED_VALUE"""),0.55)</f>
        <v>0.55</v>
      </c>
      <c r="BG328"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28" s="4" t="s">
        <v>72</v>
      </c>
      <c r="BI328" s="7">
        <v>0.88</v>
      </c>
    </row>
    <row r="329" hidden="1">
      <c r="A329" s="4" t="str">
        <f>IFERROR(__xludf.DUMMYFUNCTION("""COMPUTED_VALUE"""),"Grupo Alices")</f>
        <v>Grupo Alices</v>
      </c>
      <c r="B329" s="4" t="str">
        <f>IFERROR(__xludf.DUMMYFUNCTION("""COMPUTED_VALUE"""),"João Biagiotti")</f>
        <v>João Biagiotti</v>
      </c>
      <c r="C329" s="4" t="str">
        <f>IFERROR(__xludf.DUMMYFUNCTION("""COMPUTED_VALUE"""),"Diego Santos")</f>
        <v>Diego Santos</v>
      </c>
      <c r="D329" s="4" t="str">
        <f>IFERROR(__xludf.DUMMYFUNCTION("""COMPUTED_VALUE"""),"0. Não Iniciado")</f>
        <v>0. Não Iniciado</v>
      </c>
      <c r="E329" s="4" t="str">
        <f>IFERROR(__xludf.DUMMYFUNCTION("""COMPUTED_VALUE"""),"Delivery - Dificuldade de contato com executivo")</f>
        <v>Delivery - Dificuldade de contato com executivo</v>
      </c>
      <c r="F329" s="4" t="str">
        <f>IFERROR(__xludf.DUMMYFUNCTION("""COMPUTED_VALUE"""),"P")</f>
        <v>P</v>
      </c>
      <c r="G329" s="5">
        <f>IFERROR(__xludf.DUMMYFUNCTION("""COMPUTED_VALUE"""),46076.0)</f>
        <v>46076</v>
      </c>
      <c r="H329" s="4" t="str">
        <f>IFERROR(__xludf.DUMMYFUNCTION("""COMPUTED_VALUE"""),"Pedi apoio do KA Tamires, aguardando devolutiva.")</f>
        <v>Pedi apoio do KA Tamires, aguardando devolutiva.</v>
      </c>
      <c r="I329" s="4"/>
      <c r="J329" s="4"/>
      <c r="K329" s="4"/>
      <c r="L329" s="4"/>
      <c r="M329" s="4"/>
      <c r="N329" s="4"/>
      <c r="O329" s="4"/>
      <c r="P329" s="4"/>
      <c r="Q329" s="4"/>
      <c r="R329" s="4"/>
      <c r="S329" s="4"/>
      <c r="T329" s="4"/>
      <c r="U329" s="4"/>
      <c r="V329" s="4"/>
      <c r="W329" s="4"/>
      <c r="X329" s="4"/>
      <c r="Y329" s="4"/>
      <c r="Z329" s="4"/>
      <c r="AA329" s="4">
        <f>IFERROR(__xludf.DUMMYFUNCTION("""COMPUTED_VALUE"""),6.0)</f>
        <v>6</v>
      </c>
      <c r="AB329" s="4" t="str">
        <f>IFERROR(__xludf.DUMMYFUNCTION("""COMPUTED_VALUE"""),"NÃO")</f>
        <v>NÃO</v>
      </c>
      <c r="AC329" s="4" t="str">
        <f>IFERROR(__xludf.DUMMYFUNCTION("""COMPUTED_VALUE"""),"Não BP")</f>
        <v>Não BP</v>
      </c>
      <c r="AD329" s="4"/>
      <c r="AE329" s="4"/>
      <c r="AF329" s="4"/>
      <c r="AG329" s="4"/>
      <c r="AH329" s="4"/>
      <c r="AI329" s="4"/>
      <c r="AJ329" s="4"/>
      <c r="AK329" s="4"/>
      <c r="AL329" s="4"/>
      <c r="AM329" s="4" t="str">
        <f>IFERROR(__xludf.DUMMYFUNCTION("""COMPUTED_VALUE"""),"FY26, FY27")</f>
        <v>FY26, FY27</v>
      </c>
      <c r="AN329" s="4"/>
      <c r="AO329" s="4">
        <f>IFERROR(__xludf.DUMMYFUNCTION("""COMPUTED_VALUE"""),140.0)</f>
        <v>140</v>
      </c>
      <c r="AP329" s="4" t="str">
        <f>IFERROR(__xludf.DUMMYFUNCTION("""COMPUTED_VALUE"""),"CE")</f>
        <v>CE</v>
      </c>
      <c r="AQ329" s="4" t="str">
        <f>IFERROR(__xludf.DUMMYFUNCTION("""COMPUTED_VALUE"""),"FABIO MAKARON")</f>
        <v>FABIO MAKARON</v>
      </c>
      <c r="AR329" s="4" t="str">
        <f>IFERROR(__xludf.DUMMYFUNCTION("""COMPUTED_VALUE"""),"TAMMYRES FONSECA")</f>
        <v>TAMMYRES FONSECA</v>
      </c>
      <c r="AS329" s="4" t="str">
        <f>IFERROR(__xludf.DUMMYFUNCTION("""COMPUTED_VALUE"""),"THIAGO ROMAGNOLE")</f>
        <v>THIAGO ROMAGNOLE</v>
      </c>
      <c r="AT329" s="4" t="str">
        <f>IFERROR(__xludf.DUMMYFUNCTION("""COMPUTED_VALUE"""),"EDUARDO VAZ")</f>
        <v>EDUARDO VAZ</v>
      </c>
      <c r="AU329" s="4" t="str">
        <f>IFERROR(__xludf.DUMMYFUNCTION("""COMPUTED_VALUE"""),"Iza")</f>
        <v>Iza</v>
      </c>
      <c r="AV329" s="4">
        <f>IFERROR(__xludf.DUMMYFUNCTION("""COMPUTED_VALUE"""),0.0)</f>
        <v>0</v>
      </c>
      <c r="AW329" s="4">
        <f>IFERROR(__xludf.DUMMYFUNCTION("""COMPUTED_VALUE"""),0.0)</f>
        <v>0</v>
      </c>
      <c r="AX329" s="4">
        <f>IFERROR(__xludf.DUMMYFUNCTION("""COMPUTED_VALUE"""),0.0)</f>
        <v>0</v>
      </c>
      <c r="AY329" s="4"/>
      <c r="AZ329" s="4" t="str">
        <f>IFERROR(__xludf.DUMMYFUNCTION("""COMPUTED_VALUE"""),"Pizza")</f>
        <v>Pizza</v>
      </c>
      <c r="BA329" s="4">
        <f>IFERROR(__xludf.DUMMYFUNCTION("""COMPUTED_VALUE"""),87.0)</f>
        <v>87</v>
      </c>
      <c r="BB329" s="4" t="str">
        <f>IFERROR(__xludf.DUMMYFUNCTION("""COMPUTED_VALUE"""),"Grupo Multi-marca")</f>
        <v>Grupo Multi-marca</v>
      </c>
      <c r="BC329" s="4" t="str">
        <f>IFERROR(__xludf.DUMMYFUNCTION("""COMPUTED_VALUE"""),"Nordeste")</f>
        <v>Nordeste</v>
      </c>
      <c r="BD329" s="4" t="str">
        <f>IFERROR(__xludf.DUMMYFUNCTION("""COMPUTED_VALUE"""),"Dado não disponível publicamente - Necessário Discovery")</f>
        <v>Dado não disponível publicamente - Necessário Discovery</v>
      </c>
      <c r="BE329" s="4">
        <f>IFERROR(__xludf.DUMMYFUNCTION("""COMPUTED_VALUE"""),45.0)</f>
        <v>45</v>
      </c>
      <c r="BF329" s="4">
        <f>IFERROR(__xludf.DUMMYFUNCTION("""COMPUTED_VALUE"""),0.55)</f>
        <v>0.55</v>
      </c>
      <c r="BG329"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29" s="4" t="s">
        <v>74</v>
      </c>
      <c r="BI329" s="7">
        <v>0.875</v>
      </c>
    </row>
    <row r="330" hidden="1">
      <c r="A330" s="4" t="str">
        <f>IFERROR(__xludf.DUMMYFUNCTION("""COMPUTED_VALUE"""),"Grupo Atlântico")</f>
        <v>Grupo Atlântico</v>
      </c>
      <c r="B330" s="4" t="str">
        <f>IFERROR(__xludf.DUMMYFUNCTION("""COMPUTED_VALUE"""),"João Biagiotti")</f>
        <v>João Biagiotti</v>
      </c>
      <c r="C330" s="4" t="str">
        <f>IFERROR(__xludf.DUMMYFUNCTION("""COMPUTED_VALUE"""),"Diego Santos")</f>
        <v>Diego Santos</v>
      </c>
      <c r="D330" s="4" t="str">
        <f>IFERROR(__xludf.DUMMYFUNCTION("""COMPUTED_VALUE"""),"5. Demo/Showroom")</f>
        <v>5. Demo/Showroom</v>
      </c>
      <c r="E330" s="4" t="str">
        <f>IFERROR(__xludf.DUMMYFUNCTION("""COMPUTED_VALUE"""),"Pré-vendas - Em validação técnica")</f>
        <v>Pré-vendas - Em validação técnica</v>
      </c>
      <c r="F330" s="4" t="str">
        <f>IFERROR(__xludf.DUMMYFUNCTION("""COMPUTED_VALUE"""),"P")</f>
        <v>P</v>
      </c>
      <c r="G330" s="5">
        <f>IFERROR(__xludf.DUMMYFUNCTION("""COMPUTED_VALUE"""),46153.0)</f>
        <v>46153</v>
      </c>
      <c r="H330" s="4" t="str">
        <f>IFERROR(__xludf.DUMMYFUNCTION("""COMPUTED_VALUE"""),"Alinhando com o cliente o escopo para elaborar proposta comercial. ")</f>
        <v>Alinhando com o cliente o escopo para elaborar proposta comercial. </v>
      </c>
      <c r="I330" s="4"/>
      <c r="J330" s="4"/>
      <c r="K330" s="6">
        <f>IFERROR(__xludf.DUMMYFUNCTION("""COMPUTED_VALUE"""),45943.0)</f>
        <v>45943</v>
      </c>
      <c r="L330" s="4"/>
      <c r="M330" s="6">
        <f>IFERROR(__xludf.DUMMYFUNCTION("""COMPUTED_VALUE"""),46114.49144271991)</f>
        <v>46114.49144</v>
      </c>
      <c r="N330" s="4"/>
      <c r="O330" s="4"/>
      <c r="P330" s="4"/>
      <c r="Q330" s="4"/>
      <c r="R330" s="4"/>
      <c r="S330" s="4"/>
      <c r="T330" s="4"/>
      <c r="U330" s="4"/>
      <c r="V330" s="4"/>
      <c r="W330" s="4"/>
      <c r="X330" s="4"/>
      <c r="Y330" s="4"/>
      <c r="Z330" s="4"/>
      <c r="AA330" s="4">
        <f>IFERROR(__xludf.DUMMYFUNCTION("""COMPUTED_VALUE"""),20.0)</f>
        <v>20</v>
      </c>
      <c r="AB330" s="4" t="str">
        <f>IFERROR(__xludf.DUMMYFUNCTION("""COMPUTED_VALUE"""),"NÃO")</f>
        <v>NÃO</v>
      </c>
      <c r="AC330" s="4" t="str">
        <f>IFERROR(__xludf.DUMMYFUNCTION("""COMPUTED_VALUE"""),"Não BP")</f>
        <v>Não BP</v>
      </c>
      <c r="AD330" s="4"/>
      <c r="AE330" s="4"/>
      <c r="AF330" s="4"/>
      <c r="AG330" s="4"/>
      <c r="AH330" s="4"/>
      <c r="AI330" s="4"/>
      <c r="AJ330" s="4"/>
      <c r="AK330" s="4"/>
      <c r="AL330" s="4"/>
      <c r="AM330" s="4" t="str">
        <f>IFERROR(__xludf.DUMMYFUNCTION("""COMPUTED_VALUE"""),"FY26, FY27")</f>
        <v>FY26, FY27</v>
      </c>
      <c r="AN330" s="4"/>
      <c r="AO330" s="4">
        <f>IFERROR(__xludf.DUMMYFUNCTION("""COMPUTED_VALUE"""),62.0)</f>
        <v>62</v>
      </c>
      <c r="AP330" s="4">
        <f>IFERROR(__xludf.DUMMYFUNCTION("""COMPUTED_VALUE"""),0.0)</f>
        <v>0</v>
      </c>
      <c r="AQ330" s="4">
        <f>IFERROR(__xludf.DUMMYFUNCTION("""COMPUTED_VALUE"""),0.0)</f>
        <v>0</v>
      </c>
      <c r="AR330" s="4">
        <f>IFERROR(__xludf.DUMMYFUNCTION("""COMPUTED_VALUE"""),0.0)</f>
        <v>0</v>
      </c>
      <c r="AS330" s="4">
        <f>IFERROR(__xludf.DUMMYFUNCTION("""COMPUTED_VALUE"""),0.0)</f>
        <v>0</v>
      </c>
      <c r="AT330" s="4">
        <f>IFERROR(__xludf.DUMMYFUNCTION("""COMPUTED_VALUE"""),0.0)</f>
        <v>0</v>
      </c>
      <c r="AU330" s="4" t="str">
        <f>IFERROR(__xludf.DUMMYFUNCTION("""COMPUTED_VALUE"""),"Mariana")</f>
        <v>Mariana</v>
      </c>
      <c r="AV330" s="4">
        <f>IFERROR(__xludf.DUMMYFUNCTION("""COMPUTED_VALUE"""),0.0)</f>
        <v>0</v>
      </c>
      <c r="AW330" s="4">
        <f>IFERROR(__xludf.DUMMYFUNCTION("""COMPUTED_VALUE"""),0.0)</f>
        <v>0</v>
      </c>
      <c r="AX330" s="4">
        <f>IFERROR(__xludf.DUMMYFUNCTION("""COMPUTED_VALUE"""),0.0)</f>
        <v>0</v>
      </c>
      <c r="AY330" s="4">
        <f>IFERROR(__xludf.DUMMYFUNCTION("""COMPUTED_VALUE"""),0.0)</f>
        <v>0</v>
      </c>
      <c r="AZ330" s="4" t="str">
        <f>IFERROR(__xludf.DUMMYFUNCTION("""COMPUTED_VALUE"""),"NA")</f>
        <v>NA</v>
      </c>
      <c r="BA330" s="4">
        <f>IFERROR(__xludf.DUMMYFUNCTION("""COMPUTED_VALUE"""),76.0)</f>
        <v>76</v>
      </c>
      <c r="BB330" s="4" t="str">
        <f>IFERROR(__xludf.DUMMYFUNCTION("""COMPUTED_VALUE"""),"Grupo Multi-marca")</f>
        <v>Grupo Multi-marca</v>
      </c>
      <c r="BC330" s="4" t="str">
        <f>IFERROR(__xludf.DUMMYFUNCTION("""COMPUTED_VALUE"""),"São Paulo/SP")</f>
        <v>São Paulo/SP</v>
      </c>
      <c r="BD330" s="4" t="str">
        <f>IFERROR(__xludf.DUMMYFUNCTION("""COMPUTED_VALUE"""),"Dado não disponível publicamente - Necessário Discovery")</f>
        <v>Dado não disponível publicamente - Necessário Discovery</v>
      </c>
      <c r="BE330" s="4">
        <f>IFERROR(__xludf.DUMMYFUNCTION("""COMPUTED_VALUE"""),40.0)</f>
        <v>40</v>
      </c>
      <c r="BF330" s="4">
        <f>IFERROR(__xludf.DUMMYFUNCTION("""COMPUTED_VALUE"""),0.5)</f>
        <v>0.5</v>
      </c>
      <c r="BG330"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30" s="4" t="s">
        <v>63</v>
      </c>
      <c r="BI330" s="7" t="s">
        <v>63</v>
      </c>
    </row>
    <row r="331">
      <c r="A331" s="4" t="str">
        <f>IFERROR(__xludf.DUMMYFUNCTION("""COMPUTED_VALUE"""),"Grupo Atrio")</f>
        <v>Grupo Atrio</v>
      </c>
      <c r="B331" s="4" t="str">
        <f>IFERROR(__xludf.DUMMYFUNCTION("""COMPUTED_VALUE"""),"Leonardo Roso")</f>
        <v>Leonardo Roso</v>
      </c>
      <c r="C331" s="4" t="str">
        <f>IFERROR(__xludf.DUMMYFUNCTION("""COMPUTED_VALUE"""),"Leonardo Roso")</f>
        <v>Leonardo Roso</v>
      </c>
      <c r="D331" s="4" t="str">
        <f>IFERROR(__xludf.DUMMYFUNCTION("""COMPUTED_VALUE"""),"3. Apresentação")</f>
        <v>3. Apresentação</v>
      </c>
      <c r="E331" s="4"/>
      <c r="F331" s="4" t="str">
        <f>IFERROR(__xludf.DUMMYFUNCTION("""COMPUTED_VALUE"""),"G")</f>
        <v>G</v>
      </c>
      <c r="G331" s="4"/>
      <c r="H331" s="4"/>
      <c r="I331" s="4"/>
      <c r="J331" s="4"/>
      <c r="K331" s="6">
        <f>IFERROR(__xludf.DUMMYFUNCTION("""COMPUTED_VALUE"""),45960.0)</f>
        <v>45960</v>
      </c>
      <c r="L331" s="4"/>
      <c r="M331" s="4"/>
      <c r="N331" s="4"/>
      <c r="O331" s="4"/>
      <c r="P331" s="4"/>
      <c r="Q331" s="4"/>
      <c r="R331" s="4"/>
      <c r="S331" s="4"/>
      <c r="T331" s="4"/>
      <c r="U331" s="4"/>
      <c r="V331" s="4"/>
      <c r="W331" s="4"/>
      <c r="X331" s="4"/>
      <c r="Y331" s="4"/>
      <c r="Z331" s="4"/>
      <c r="AA331" s="4">
        <f>IFERROR(__xludf.DUMMYFUNCTION("""COMPUTED_VALUE"""),68.0)</f>
        <v>68</v>
      </c>
      <c r="AB331" s="4" t="str">
        <f>IFERROR(__xludf.DUMMYFUNCTION("""COMPUTED_VALUE"""),"NÃO")</f>
        <v>NÃO</v>
      </c>
      <c r="AC331" s="4" t="str">
        <f>IFERROR(__xludf.DUMMYFUNCTION("""COMPUTED_VALUE"""),"Não BP")</f>
        <v>Não BP</v>
      </c>
      <c r="AD331" s="4"/>
      <c r="AE331" s="4"/>
      <c r="AF331" s="4"/>
      <c r="AG331" s="4"/>
      <c r="AH331" s="4"/>
      <c r="AI331" s="4"/>
      <c r="AJ331" s="4"/>
      <c r="AK331" s="4"/>
      <c r="AL331" s="4"/>
      <c r="AM331" s="4" t="str">
        <f>IFERROR(__xludf.DUMMYFUNCTION("""COMPUTED_VALUE"""),"FY26, FY27")</f>
        <v>FY26, FY27</v>
      </c>
      <c r="AN331" s="4"/>
      <c r="AO331" s="4">
        <f>IFERROR(__xludf.DUMMYFUNCTION("""COMPUTED_VALUE"""),45553.0)</f>
        <v>45553</v>
      </c>
      <c r="AP331" s="4">
        <f>IFERROR(__xludf.DUMMYFUNCTION("""COMPUTED_VALUE"""),0.0)</f>
        <v>0</v>
      </c>
      <c r="AQ331" s="4">
        <f>IFERROR(__xludf.DUMMYFUNCTION("""COMPUTED_VALUE"""),0.0)</f>
        <v>0</v>
      </c>
      <c r="AR331" s="4">
        <f>IFERROR(__xludf.DUMMYFUNCTION("""COMPUTED_VALUE"""),0.0)</f>
        <v>0</v>
      </c>
      <c r="AS331" s="4">
        <f>IFERROR(__xludf.DUMMYFUNCTION("""COMPUTED_VALUE"""),0.0)</f>
        <v>0</v>
      </c>
      <c r="AT331" s="4">
        <f>IFERROR(__xludf.DUMMYFUNCTION("""COMPUTED_VALUE"""),0.0)</f>
        <v>0</v>
      </c>
      <c r="AU331" s="4" t="str">
        <f>IFERROR(__xludf.DUMMYFUNCTION("""COMPUTED_VALUE"""),"Emerson")</f>
        <v>Emerson</v>
      </c>
      <c r="AV331" s="4">
        <f>IFERROR(__xludf.DUMMYFUNCTION("""COMPUTED_VALUE"""),0.0)</f>
        <v>0</v>
      </c>
      <c r="AW331" s="4">
        <f>IFERROR(__xludf.DUMMYFUNCTION("""COMPUTED_VALUE"""),0.0)</f>
        <v>0</v>
      </c>
      <c r="AX331" s="4">
        <f>IFERROR(__xludf.DUMMYFUNCTION("""COMPUTED_VALUE"""),0.0)</f>
        <v>0</v>
      </c>
      <c r="AY331" s="4"/>
      <c r="AZ331" s="4" t="str">
        <f>IFERROR(__xludf.DUMMYFUNCTION("""COMPUTED_VALUE"""),"NA")</f>
        <v>NA</v>
      </c>
      <c r="BA331" s="4">
        <f>IFERROR(__xludf.DUMMYFUNCTION("""COMPUTED_VALUE"""),116.0)</f>
        <v>116</v>
      </c>
      <c r="BB331" s="4" t="str">
        <f>IFERROR(__xludf.DUMMYFUNCTION("""COMPUTED_VALUE"""),"Grupo Multi-marca")</f>
        <v>Grupo Multi-marca</v>
      </c>
      <c r="BC331" s="4" t="str">
        <f>IFERROR(__xludf.DUMMYFUNCTION("""COMPUTED_VALUE"""),"Nordeste")</f>
        <v>Nordeste</v>
      </c>
      <c r="BD331" s="4" t="str">
        <f>IFERROR(__xludf.DUMMYFUNCTION("""COMPUTED_VALUE"""),"Dado não disponível publicamente - Necessário Discovery")</f>
        <v>Dado não disponível publicamente - Necessário Discovery</v>
      </c>
      <c r="BE331" s="4">
        <f>IFERROR(__xludf.DUMMYFUNCTION("""COMPUTED_VALUE"""),45.0)</f>
        <v>45</v>
      </c>
      <c r="BF331" s="4">
        <f>IFERROR(__xludf.DUMMYFUNCTION("""COMPUTED_VALUE"""),0.55)</f>
        <v>0.55</v>
      </c>
      <c r="BG331"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31" s="4" t="s">
        <v>63</v>
      </c>
      <c r="BI331" s="7" t="s">
        <v>63</v>
      </c>
    </row>
    <row r="332" hidden="1">
      <c r="A332" s="4" t="str">
        <f>IFERROR(__xludf.DUMMYFUNCTION("""COMPUTED_VALUE"""),"Grupo Attimo")</f>
        <v>Grupo Attimo</v>
      </c>
      <c r="B332" s="4" t="str">
        <f>IFERROR(__xludf.DUMMYFUNCTION("""COMPUTED_VALUE"""),"João Biagiotti")</f>
        <v>João Biagiotti</v>
      </c>
      <c r="C332" s="4" t="str">
        <f>IFERROR(__xludf.DUMMYFUNCTION("""COMPUTED_VALUE"""),"Diego Santos")</f>
        <v>Diego Santos</v>
      </c>
      <c r="D332" s="4" t="str">
        <f>IFERROR(__xludf.DUMMYFUNCTION("""COMPUTED_VALUE"""),"0. Não Iniciado")</f>
        <v>0. Não Iniciado</v>
      </c>
      <c r="E332" s="4" t="str">
        <f>IFERROR(__xludf.DUMMYFUNCTION("""COMPUTED_VALUE"""),"Delivery - Dificuldade de contato com executivo")</f>
        <v>Delivery - Dificuldade de contato com executivo</v>
      </c>
      <c r="F332" s="4" t="str">
        <f>IFERROR(__xludf.DUMMYFUNCTION("""COMPUTED_VALUE"""),"P")</f>
        <v>P</v>
      </c>
      <c r="G332" s="5">
        <f>IFERROR(__xludf.DUMMYFUNCTION("""COMPUTED_VALUE"""),46076.0)</f>
        <v>46076</v>
      </c>
      <c r="H332" s="4" t="str">
        <f>IFERROR(__xludf.DUMMYFUNCTION("""COMPUTED_VALUE"""),"Tentando contato com KA ISIS para apoio desde Dezembro, sem sucesso.")</f>
        <v>Tentando contato com KA ISIS para apoio desde Dezembro, sem sucesso.</v>
      </c>
      <c r="I332" s="4"/>
      <c r="J332" s="4"/>
      <c r="K332" s="4"/>
      <c r="L332" s="4"/>
      <c r="M332" s="4"/>
      <c r="N332" s="4"/>
      <c r="O332" s="4"/>
      <c r="P332" s="4"/>
      <c r="Q332" s="4"/>
      <c r="R332" s="4"/>
      <c r="S332" s="4"/>
      <c r="T332" s="4"/>
      <c r="U332" s="4"/>
      <c r="V332" s="4"/>
      <c r="W332" s="4"/>
      <c r="X332" s="4"/>
      <c r="Y332" s="4"/>
      <c r="Z332" s="4"/>
      <c r="AA332" s="4">
        <f>IFERROR(__xludf.DUMMYFUNCTION("""COMPUTED_VALUE"""),3.0)</f>
        <v>3</v>
      </c>
      <c r="AB332" s="4" t="str">
        <f>IFERROR(__xludf.DUMMYFUNCTION("""COMPUTED_VALUE"""),"NÃO")</f>
        <v>NÃO</v>
      </c>
      <c r="AC332" s="4" t="str">
        <f>IFERROR(__xludf.DUMMYFUNCTION("""COMPUTED_VALUE"""),"BP")</f>
        <v>BP</v>
      </c>
      <c r="AD332" s="4"/>
      <c r="AE332" s="4"/>
      <c r="AF332" s="4"/>
      <c r="AG332" s="4"/>
      <c r="AH332" s="4"/>
      <c r="AI332" s="4"/>
      <c r="AJ332" s="4"/>
      <c r="AK332" s="4"/>
      <c r="AL332" s="4"/>
      <c r="AM332" s="4" t="str">
        <f>IFERROR(__xludf.DUMMYFUNCTION("""COMPUTED_VALUE"""),"FY26, FY27")</f>
        <v>FY26, FY27</v>
      </c>
      <c r="AN332" s="4" t="str">
        <f>IFERROR(__xludf.DUMMYFUNCTION("""COMPUTED_VALUE"""),"Comer Fora")</f>
        <v>Comer Fora</v>
      </c>
      <c r="AO332" s="4">
        <f>IFERROR(__xludf.DUMMYFUNCTION("""COMPUTED_VALUE"""),140.0)</f>
        <v>140</v>
      </c>
      <c r="AP332" s="4" t="str">
        <f>IFERROR(__xludf.DUMMYFUNCTION("""COMPUTED_VALUE"""),"SP")</f>
        <v>SP</v>
      </c>
      <c r="AQ332" s="4" t="str">
        <f>IFERROR(__xludf.DUMMYFUNCTION("""COMPUTED_VALUE"""),"RODRIGO BESSER")</f>
        <v>RODRIGO BESSER</v>
      </c>
      <c r="AR332" s="4" t="str">
        <f>IFERROR(__xludf.DUMMYFUNCTION("""COMPUTED_VALUE"""),"ISIS ANDRADE")</f>
        <v>ISIS ANDRADE</v>
      </c>
      <c r="AS332" s="4" t="str">
        <f>IFERROR(__xludf.DUMMYFUNCTION("""COMPUTED_VALUE"""),"NATHALIE MERTENS")</f>
        <v>NATHALIE MERTENS</v>
      </c>
      <c r="AT332" s="4" t="str">
        <f>IFERROR(__xludf.DUMMYFUNCTION("""COMPUTED_VALUE"""),"MARIANA KATZ")</f>
        <v>MARIANA KATZ</v>
      </c>
      <c r="AU332" s="4" t="str">
        <f>IFERROR(__xludf.DUMMYFUNCTION("""COMPUTED_VALUE"""),"Iza")</f>
        <v>Iza</v>
      </c>
      <c r="AV332" s="4" t="str">
        <f>IFERROR(__xludf.DUMMYFUNCTION("""COMPUTED_VALUE"""),"Comer Fora-")</f>
        <v>Comer Fora-</v>
      </c>
      <c r="AW332" s="20" t="str">
        <f>IFERROR(__xludf.DUMMYFUNCTION("""COMPUTED_VALUE"""),"P e M - pipe")</f>
        <v>P e M - pipe</v>
      </c>
      <c r="AX332" s="4"/>
      <c r="AY332" s="4" t="str">
        <f>IFERROR(__xludf.DUMMYFUNCTION("""COMPUTED_VALUE"""),"Totvs Large Enterprise Tecnologia S.a.")</f>
        <v>Totvs Large Enterprise Tecnologia S.a.</v>
      </c>
      <c r="AZ332" s="4" t="str">
        <f>IFERROR(__xludf.DUMMYFUNCTION("""COMPUTED_VALUE"""),"Japonesa")</f>
        <v>Japonesa</v>
      </c>
      <c r="BA332" s="4">
        <f>IFERROR(__xludf.DUMMYFUNCTION("""COMPUTED_VALUE"""),103.0)</f>
        <v>103</v>
      </c>
      <c r="BB332" s="4" t="str">
        <f>IFERROR(__xludf.DUMMYFUNCTION("""COMPUTED_VALUE"""),"Grupo Multi-marca")</f>
        <v>Grupo Multi-marca</v>
      </c>
      <c r="BC332" s="4" t="str">
        <f>IFERROR(__xludf.DUMMYFUNCTION("""COMPUTED_VALUE"""),"Rio de Janeiro/RJ")</f>
        <v>Rio de Janeiro/RJ</v>
      </c>
      <c r="BD332" s="4" t="str">
        <f>IFERROR(__xludf.DUMMYFUNCTION("""COMPUTED_VALUE"""),"Dado não disponível publicamente - Necessário Discovery")</f>
        <v>Dado não disponível publicamente - Necessário Discovery</v>
      </c>
      <c r="BE332" s="4">
        <f>IFERROR(__xludf.DUMMYFUNCTION("""COMPUTED_VALUE"""),40.0)</f>
        <v>40</v>
      </c>
      <c r="BF332" s="4">
        <f>IFERROR(__xludf.DUMMYFUNCTION("""COMPUTED_VALUE"""),0.5)</f>
        <v>0.5</v>
      </c>
      <c r="BG332"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32" s="4" t="s">
        <v>64</v>
      </c>
      <c r="BI332" s="7">
        <v>0.5</v>
      </c>
    </row>
    <row r="333" hidden="1">
      <c r="A333" s="4" t="str">
        <f>IFERROR(__xludf.DUMMYFUNCTION("""COMPUTED_VALUE"""),"Grupo Belas Artes")</f>
        <v>Grupo Belas Artes</v>
      </c>
      <c r="B333" s="4" t="str">
        <f>IFERROR(__xludf.DUMMYFUNCTION("""COMPUTED_VALUE"""),"João Biagiotti")</f>
        <v>João Biagiotti</v>
      </c>
      <c r="C333" s="4" t="str">
        <f>IFERROR(__xludf.DUMMYFUNCTION("""COMPUTED_VALUE"""),"Diego Santos")</f>
        <v>Diego Santos</v>
      </c>
      <c r="D333" s="4" t="str">
        <f>IFERROR(__xludf.DUMMYFUNCTION("""COMPUTED_VALUE"""),"0. Não Iniciado")</f>
        <v>0. Não Iniciado</v>
      </c>
      <c r="E333" s="4" t="str">
        <f>IFERROR(__xludf.DUMMYFUNCTION("""COMPUTED_VALUE"""),"Parceiro - Aguardando retorno parceiro")</f>
        <v>Parceiro - Aguardando retorno parceiro</v>
      </c>
      <c r="F333" s="4" t="str">
        <f>IFERROR(__xludf.DUMMYFUNCTION("""COMPUTED_VALUE"""),"P")</f>
        <v>P</v>
      </c>
      <c r="G333" s="5">
        <f>IFERROR(__xludf.DUMMYFUNCTION("""COMPUTED_VALUE"""),46076.0)</f>
        <v>46076</v>
      </c>
      <c r="H333" s="4" t="str">
        <f>IFERROR(__xludf.DUMMYFUNCTION("""COMPUTED_VALUE"""),"Sem retorno do cliente")</f>
        <v>Sem retorno do cliente</v>
      </c>
      <c r="I333" s="4"/>
      <c r="J333" s="4"/>
      <c r="K333" s="4"/>
      <c r="L333" s="4"/>
      <c r="M333" s="4"/>
      <c r="N333" s="4"/>
      <c r="O333" s="4"/>
      <c r="P333" s="4"/>
      <c r="Q333" s="4"/>
      <c r="R333" s="4"/>
      <c r="S333" s="4"/>
      <c r="T333" s="4"/>
      <c r="U333" s="4"/>
      <c r="V333" s="4"/>
      <c r="W333" s="4"/>
      <c r="X333" s="4"/>
      <c r="Y333" s="4"/>
      <c r="Z333" s="4"/>
      <c r="AA333" s="4">
        <f>IFERROR(__xludf.DUMMYFUNCTION("""COMPUTED_VALUE"""),14.0)</f>
        <v>14</v>
      </c>
      <c r="AB333" s="4" t="str">
        <f>IFERROR(__xludf.DUMMYFUNCTION("""COMPUTED_VALUE"""),"NÃO")</f>
        <v>NÃO</v>
      </c>
      <c r="AC333" s="4" t="str">
        <f>IFERROR(__xludf.DUMMYFUNCTION("""COMPUTED_VALUE"""),"Não BP")</f>
        <v>Não BP</v>
      </c>
      <c r="AD333" s="4"/>
      <c r="AE333" s="4"/>
      <c r="AF333" s="4"/>
      <c r="AG333" s="4"/>
      <c r="AH333" s="4"/>
      <c r="AI333" s="4"/>
      <c r="AJ333" s="4"/>
      <c r="AK333" s="4"/>
      <c r="AL333" s="4"/>
      <c r="AM333" s="4" t="str">
        <f>IFERROR(__xludf.DUMMYFUNCTION("""COMPUTED_VALUE"""),"FY26, FY27")</f>
        <v>FY26, FY27</v>
      </c>
      <c r="AN333" s="4"/>
      <c r="AO333" s="4">
        <f>IFERROR(__xludf.DUMMYFUNCTION("""COMPUTED_VALUE"""),140.0)</f>
        <v>140</v>
      </c>
      <c r="AP333" s="4">
        <f>IFERROR(__xludf.DUMMYFUNCTION("""COMPUTED_VALUE"""),0.0)</f>
        <v>0</v>
      </c>
      <c r="AQ333" s="4">
        <f>IFERROR(__xludf.DUMMYFUNCTION("""COMPUTED_VALUE"""),0.0)</f>
        <v>0</v>
      </c>
      <c r="AR333" s="4">
        <f>IFERROR(__xludf.DUMMYFUNCTION("""COMPUTED_VALUE"""),0.0)</f>
        <v>0</v>
      </c>
      <c r="AS333" s="4">
        <f>IFERROR(__xludf.DUMMYFUNCTION("""COMPUTED_VALUE"""),0.0)</f>
        <v>0</v>
      </c>
      <c r="AT333" s="4">
        <f>IFERROR(__xludf.DUMMYFUNCTION("""COMPUTED_VALUE"""),0.0)</f>
        <v>0</v>
      </c>
      <c r="AU333" s="4" t="str">
        <f>IFERROR(__xludf.DUMMYFUNCTION("""COMPUTED_VALUE"""),"Iza")</f>
        <v>Iza</v>
      </c>
      <c r="AV333" s="4">
        <f>IFERROR(__xludf.DUMMYFUNCTION("""COMPUTED_VALUE"""),0.0)</f>
        <v>0</v>
      </c>
      <c r="AW333" s="4">
        <f>IFERROR(__xludf.DUMMYFUNCTION("""COMPUTED_VALUE"""),0.0)</f>
        <v>0</v>
      </c>
      <c r="AX333" s="4">
        <f>IFERROR(__xludf.DUMMYFUNCTION("""COMPUTED_VALUE"""),0.0)</f>
        <v>0</v>
      </c>
      <c r="AY333" s="4"/>
      <c r="AZ333" s="4" t="str">
        <f>IFERROR(__xludf.DUMMYFUNCTION("""COMPUTED_VALUE"""),"NA")</f>
        <v>NA</v>
      </c>
      <c r="BA333" s="4">
        <f>IFERROR(__xludf.DUMMYFUNCTION("""COMPUTED_VALUE"""),128.0)</f>
        <v>128</v>
      </c>
      <c r="BB333" s="4" t="str">
        <f>IFERROR(__xludf.DUMMYFUNCTION("""COMPUTED_VALUE"""),"Grupo Multi-marca")</f>
        <v>Grupo Multi-marca</v>
      </c>
      <c r="BC333" s="4" t="str">
        <f>IFERROR(__xludf.DUMMYFUNCTION("""COMPUTED_VALUE"""),"Nordeste")</f>
        <v>Nordeste</v>
      </c>
      <c r="BD333" s="4" t="str">
        <f>IFERROR(__xludf.DUMMYFUNCTION("""COMPUTED_VALUE"""),"Dado não disponível publicamente - Necessário Discovery")</f>
        <v>Dado não disponível publicamente - Necessário Discovery</v>
      </c>
      <c r="BE333" s="4">
        <f>IFERROR(__xludf.DUMMYFUNCTION("""COMPUTED_VALUE"""),40.0)</f>
        <v>40</v>
      </c>
      <c r="BF333" s="4">
        <f>IFERROR(__xludf.DUMMYFUNCTION("""COMPUTED_VALUE"""),0.5)</f>
        <v>0.5</v>
      </c>
      <c r="BG333"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33" s="4" t="s">
        <v>63</v>
      </c>
      <c r="BI333" s="7" t="s">
        <v>63</v>
      </c>
    </row>
    <row r="334" hidden="1">
      <c r="A334" s="4" t="str">
        <f>IFERROR(__xludf.DUMMYFUNCTION("""COMPUTED_VALUE"""),"Grupo BHF")</f>
        <v>Grupo BHF</v>
      </c>
      <c r="B334" s="4" t="str">
        <f>IFERROR(__xludf.DUMMYFUNCTION("""COMPUTED_VALUE"""),"João Biagiotti")</f>
        <v>João Biagiotti</v>
      </c>
      <c r="C334" s="4" t="str">
        <f>IFERROR(__xludf.DUMMYFUNCTION("""COMPUTED_VALUE"""),"Diego Santos")</f>
        <v>Diego Santos</v>
      </c>
      <c r="D334" s="4" t="str">
        <f>IFERROR(__xludf.DUMMYFUNCTION("""COMPUTED_VALUE"""),"3. Apresentação")</f>
        <v>3. Apresentação</v>
      </c>
      <c r="E334" s="4" t="str">
        <f>IFERROR(__xludf.DUMMYFUNCTION("""COMPUTED_VALUE"""),"Comercial - Contato realizado com parceiro")</f>
        <v>Comercial - Contato realizado com parceiro</v>
      </c>
      <c r="F334" s="4" t="str">
        <f>IFERROR(__xludf.DUMMYFUNCTION("""COMPUTED_VALUE"""),"Sem Classificação")</f>
        <v>Sem Classificação</v>
      </c>
      <c r="G334" s="5">
        <f>IFERROR(__xludf.DUMMYFUNCTION("""COMPUTED_VALUE"""),46153.0)</f>
        <v>46153</v>
      </c>
      <c r="H334" s="4" t="str">
        <f>IFERROR(__xludf.DUMMYFUNCTION("""COMPUTED_VALUE"""),"Agendei uma reuniao com a adriana (franqueadora) para apresentar a área de salão")</f>
        <v>Agendei uma reuniao com a adriana (franqueadora) para apresentar a área de salão</v>
      </c>
      <c r="I334" s="6">
        <f>IFERROR(__xludf.DUMMYFUNCTION("""COMPUTED_VALUE"""),46153.691363425925)</f>
        <v>46153.69136</v>
      </c>
      <c r="J334" s="6">
        <f>IFERROR(__xludf.DUMMYFUNCTION("""COMPUTED_VALUE"""),46153.69139165509)</f>
        <v>46153.69139</v>
      </c>
      <c r="K334" s="6">
        <f>IFERROR(__xludf.DUMMYFUNCTION("""COMPUTED_VALUE"""),46153.69154763889)</f>
        <v>46153.69155</v>
      </c>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t="str">
        <f>IFERROR(__xludf.DUMMYFUNCTION("""COMPUTED_VALUE"""),"FY26, FY27")</f>
        <v>FY26, FY27</v>
      </c>
      <c r="AN334" s="4"/>
      <c r="AO334" s="4">
        <f>IFERROR(__xludf.DUMMYFUNCTION("""COMPUTED_VALUE"""),62.0)</f>
        <v>62</v>
      </c>
      <c r="AP334" s="4">
        <f>IFERROR(__xludf.DUMMYFUNCTION("""COMPUTED_VALUE"""),0.0)</f>
        <v>0</v>
      </c>
      <c r="AQ334" s="4">
        <f>IFERROR(__xludf.DUMMYFUNCTION("""COMPUTED_VALUE"""),0.0)</f>
        <v>0</v>
      </c>
      <c r="AR334" s="4">
        <f>IFERROR(__xludf.DUMMYFUNCTION("""COMPUTED_VALUE"""),0.0)</f>
        <v>0</v>
      </c>
      <c r="AS334" s="4">
        <f>IFERROR(__xludf.DUMMYFUNCTION("""COMPUTED_VALUE"""),0.0)</f>
        <v>0</v>
      </c>
      <c r="AT334" s="4">
        <f>IFERROR(__xludf.DUMMYFUNCTION("""COMPUTED_VALUE"""),0.0)</f>
        <v>0</v>
      </c>
      <c r="AU334" s="4" t="str">
        <f>IFERROR(__xludf.DUMMYFUNCTION("""COMPUTED_VALUE"""),"Diego")</f>
        <v>Diego</v>
      </c>
      <c r="AV334" s="4">
        <f>IFERROR(__xludf.DUMMYFUNCTION("""COMPUTED_VALUE"""),0.0)</f>
        <v>0</v>
      </c>
      <c r="AW334" s="4">
        <f>IFERROR(__xludf.DUMMYFUNCTION("""COMPUTED_VALUE"""),0.0)</f>
        <v>0</v>
      </c>
      <c r="AX334" s="4">
        <f>IFERROR(__xludf.DUMMYFUNCTION("""COMPUTED_VALUE"""),0.0)</f>
        <v>0</v>
      </c>
      <c r="AY334" s="4">
        <f>IFERROR(__xludf.DUMMYFUNCTION("""COMPUTED_VALUE"""),0.0)</f>
        <v>0</v>
      </c>
      <c r="AZ334" s="4" t="str">
        <f>IFERROR(__xludf.DUMMYFUNCTION("""COMPUTED_VALUE"""),"NA")</f>
        <v>NA</v>
      </c>
      <c r="BA334" s="4">
        <f>IFERROR(__xludf.DUMMYFUNCTION("""COMPUTED_VALUE"""),97.0)</f>
        <v>97</v>
      </c>
      <c r="BB334" s="4" t="str">
        <f>IFERROR(__xludf.DUMMYFUNCTION("""COMPUTED_VALUE"""),"Grupo Multi-marca")</f>
        <v>Grupo Multi-marca</v>
      </c>
      <c r="BC334" s="4" t="str">
        <f>IFERROR(__xludf.DUMMYFUNCTION("""COMPUTED_VALUE"""),"Belo Horizonte/MG")</f>
        <v>Belo Horizonte/MG</v>
      </c>
      <c r="BD334" s="4" t="str">
        <f>IFERROR(__xludf.DUMMYFUNCTION("""COMPUTED_VALUE"""),"Dado não disponível publicamente - Necessário Discovery")</f>
        <v>Dado não disponível publicamente - Necessário Discovery</v>
      </c>
      <c r="BE334" s="4">
        <f>IFERROR(__xludf.DUMMYFUNCTION("""COMPUTED_VALUE"""),40.0)</f>
        <v>40</v>
      </c>
      <c r="BF334" s="4">
        <f>IFERROR(__xludf.DUMMYFUNCTION("""COMPUTED_VALUE"""),0.55)</f>
        <v>0.55</v>
      </c>
      <c r="BG334"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34" s="4" t="s">
        <v>63</v>
      </c>
      <c r="BI334" s="7" t="s">
        <v>63</v>
      </c>
    </row>
    <row r="335">
      <c r="A335" s="4" t="str">
        <f>IFERROR(__xludf.DUMMYFUNCTION("""COMPUTED_VALUE"""),"Grupo Crm (Kopenhagem)")</f>
        <v>Grupo Crm (Kopenhagem)</v>
      </c>
      <c r="B335" s="4" t="str">
        <f>IFERROR(__xludf.DUMMYFUNCTION("""COMPUTED_VALUE"""),"Leonardo Roso")</f>
        <v>Leonardo Roso</v>
      </c>
      <c r="C335" s="4" t="str">
        <f>IFERROR(__xludf.DUMMYFUNCTION("""COMPUTED_VALUE"""),"Leonardo Roso")</f>
        <v>Leonardo Roso</v>
      </c>
      <c r="D335" s="4" t="str">
        <f>IFERROR(__xludf.DUMMYFUNCTION("""COMPUTED_VALUE"""),"3. Apresentação")</f>
        <v>3. Apresentação</v>
      </c>
      <c r="E335" s="4" t="str">
        <f>IFERROR(__xludf.DUMMYFUNCTION("""COMPUTED_VALUE"""),"Parceiro - Aguardando retorno parceiro")</f>
        <v>Parceiro - Aguardando retorno parceiro</v>
      </c>
      <c r="F335" s="4" t="str">
        <f>IFERROR(__xludf.DUMMYFUNCTION("""COMPUTED_VALUE"""),"G")</f>
        <v>G</v>
      </c>
      <c r="G335" s="5">
        <f>IFERROR(__xludf.DUMMYFUNCTION("""COMPUTED_VALUE"""),46155.0)</f>
        <v>46155</v>
      </c>
      <c r="H335" s="4" t="str">
        <f>IFERROR(__xludf.DUMMYFUNCTION("""COMPUTED_VALUE"""),"Nova reunião realizada com time comercial e operações, apresentada produto e CRM vai analisar internamente e retornará para possível andamento da solução")</f>
        <v>Nova reunião realizada com time comercial e operações, apresentada produto e CRM vai analisar internamente e retornará para possível andamento da solução</v>
      </c>
      <c r="I335" s="6">
        <f>IFERROR(__xludf.DUMMYFUNCTION("""COMPUTED_VALUE"""),46118.58297982639)</f>
        <v>46118.58298</v>
      </c>
      <c r="J335" s="6">
        <f>IFERROR(__xludf.DUMMYFUNCTION("""COMPUTED_VALUE"""),46118.58308674768)</f>
        <v>46118.58309</v>
      </c>
      <c r="K335" s="6">
        <f>IFERROR(__xludf.DUMMYFUNCTION("""COMPUTED_VALUE"""),46135.605366909724)</f>
        <v>46135.60537</v>
      </c>
      <c r="L335" s="4"/>
      <c r="M335" s="4"/>
      <c r="N335" s="4"/>
      <c r="O335" s="4"/>
      <c r="P335" s="4"/>
      <c r="Q335" s="4"/>
      <c r="R335" s="4"/>
      <c r="S335" s="4"/>
      <c r="T335" s="4"/>
      <c r="U335" s="4"/>
      <c r="V335" s="4"/>
      <c r="W335" s="4"/>
      <c r="X335" s="4"/>
      <c r="Y335" s="4"/>
      <c r="Z335" s="4"/>
      <c r="AA335" s="4">
        <f>IFERROR(__xludf.DUMMYFUNCTION("""COMPUTED_VALUE"""),1500.0)</f>
        <v>1500</v>
      </c>
      <c r="AB335" s="4" t="str">
        <f>IFERROR(__xludf.DUMMYFUNCTION("""COMPUTED_VALUE"""),"NÃO")</f>
        <v>NÃO</v>
      </c>
      <c r="AC335" s="4" t="str">
        <f>IFERROR(__xludf.DUMMYFUNCTION("""COMPUTED_VALUE"""),"BP")</f>
        <v>BP</v>
      </c>
      <c r="AD335" s="4"/>
      <c r="AE335" s="4"/>
      <c r="AF335" s="4"/>
      <c r="AG335" s="4"/>
      <c r="AH335" s="4">
        <f>IFERROR(__xludf.DUMMYFUNCTION("""COMPUTED_VALUE"""),1.0)</f>
        <v>1</v>
      </c>
      <c r="AI335" s="4"/>
      <c r="AJ335" s="4"/>
      <c r="AK335" s="4"/>
      <c r="AL335" s="4"/>
      <c r="AM335" s="4" t="str">
        <f>IFERROR(__xludf.DUMMYFUNCTION("""COMPUTED_VALUE"""),"FY26, FY27")</f>
        <v>FY26, FY27</v>
      </c>
      <c r="AN335" s="4"/>
      <c r="AO335" s="4">
        <f>IFERROR(__xludf.DUMMYFUNCTION("""COMPUTED_VALUE"""),60.0)</f>
        <v>60</v>
      </c>
      <c r="AP335" s="4">
        <f>IFERROR(__xludf.DUMMYFUNCTION("""COMPUTED_VALUE"""),0.0)</f>
        <v>0</v>
      </c>
      <c r="AQ335" s="4">
        <f>IFERROR(__xludf.DUMMYFUNCTION("""COMPUTED_VALUE"""),0.0)</f>
        <v>0</v>
      </c>
      <c r="AR335" s="4">
        <f>IFERROR(__xludf.DUMMYFUNCTION("""COMPUTED_VALUE"""),0.0)</f>
        <v>0</v>
      </c>
      <c r="AS335" s="4">
        <f>IFERROR(__xludf.DUMMYFUNCTION("""COMPUTED_VALUE"""),0.0)</f>
        <v>0</v>
      </c>
      <c r="AT335" s="4">
        <f>IFERROR(__xludf.DUMMYFUNCTION("""COMPUTED_VALUE"""),0.0)</f>
        <v>0</v>
      </c>
      <c r="AU335" s="4" t="str">
        <f>IFERROR(__xludf.DUMMYFUNCTION("""COMPUTED_VALUE"""),"Emerson/Leonardo Roso")</f>
        <v>Emerson/Leonardo Roso</v>
      </c>
      <c r="AV335" s="4" t="str">
        <f>IFERROR(__xludf.DUMMYFUNCTION("""COMPUTED_VALUE"""),"Comer Fora-")</f>
        <v>Comer Fora-</v>
      </c>
      <c r="AW335" s="20" t="str">
        <f>IFERROR(__xludf.DUMMYFUNCTION("""COMPUTED_VALUE"""),"")</f>
        <v/>
      </c>
      <c r="AX335" s="4"/>
      <c r="AY335" s="4">
        <f>IFERROR(__xludf.DUMMYFUNCTION("""COMPUTED_VALUE"""),0.0)</f>
        <v>0</v>
      </c>
      <c r="AZ335" s="4" t="str">
        <f>IFERROR(__xludf.DUMMYFUNCTION("""COMPUTED_VALUE"""),"NA")</f>
        <v>NA</v>
      </c>
      <c r="BA335" s="4" t="str">
        <f>IFERROR(__xludf.DUMMYFUNCTION("""COMPUTED_VALUE"""),"")</f>
        <v/>
      </c>
      <c r="BB335" s="4" t="str">
        <f>IFERROR(__xludf.DUMMYFUNCTION("""COMPUTED_VALUE"""),"")</f>
        <v/>
      </c>
      <c r="BC335" s="4" t="str">
        <f>IFERROR(__xludf.DUMMYFUNCTION("""COMPUTED_VALUE"""),"")</f>
        <v/>
      </c>
      <c r="BD335" s="4" t="str">
        <f>IFERROR(__xludf.DUMMYFUNCTION("""COMPUTED_VALUE"""),"")</f>
        <v/>
      </c>
      <c r="BE335" s="4" t="str">
        <f>IFERROR(__xludf.DUMMYFUNCTION("""COMPUTED_VALUE"""),"")</f>
        <v/>
      </c>
      <c r="BF335" s="4" t="str">
        <f>IFERROR(__xludf.DUMMYFUNCTION("""COMPUTED_VALUE"""),"")</f>
        <v/>
      </c>
      <c r="BG335" s="4" t="str">
        <f>IFERROR(__xludf.DUMMYFUNCTION("""COMPUTED_VALUE"""),"")</f>
        <v/>
      </c>
      <c r="BH335" s="4" t="s">
        <v>63</v>
      </c>
      <c r="BI335" s="7" t="s">
        <v>63</v>
      </c>
    </row>
    <row r="336" hidden="1">
      <c r="A336" s="4" t="str">
        <f>IFERROR(__xludf.DUMMYFUNCTION("""COMPUTED_VALUE"""),"Grupo Di Roma Florianopolis")</f>
        <v>Grupo Di Roma Florianopolis</v>
      </c>
      <c r="B336" s="4" t="str">
        <f>IFERROR(__xludf.DUMMYFUNCTION("""COMPUTED_VALUE"""),"João Biagiotti")</f>
        <v>João Biagiotti</v>
      </c>
      <c r="C336" s="4" t="str">
        <f>IFERROR(__xludf.DUMMYFUNCTION("""COMPUTED_VALUE"""),"Diego Santos")</f>
        <v>Diego Santos</v>
      </c>
      <c r="D336" s="4" t="str">
        <f>IFERROR(__xludf.DUMMYFUNCTION("""COMPUTED_VALUE"""),"0. Não Iniciado")</f>
        <v>0. Não Iniciado</v>
      </c>
      <c r="E336" s="4" t="str">
        <f>IFERROR(__xludf.DUMMYFUNCTION("""COMPUTED_VALUE"""),"Parceiro - Aguardando retorno parceiro")</f>
        <v>Parceiro - Aguardando retorno parceiro</v>
      </c>
      <c r="F336" s="4" t="str">
        <f>IFERROR(__xludf.DUMMYFUNCTION("""COMPUTED_VALUE"""),"P")</f>
        <v>P</v>
      </c>
      <c r="G336" s="5">
        <f>IFERROR(__xludf.DUMMYFUNCTION("""COMPUTED_VALUE"""),46104.0)</f>
        <v>46104</v>
      </c>
      <c r="H336" s="4" t="str">
        <f>IFERROR(__xludf.DUMMYFUNCTION("""COMPUTED_VALUE"""),"FUP no parceiro e se não responder, pedir ao executivo um novo contato pois o que ele compartilhou pode não ter muito interesse em dar tração.")</f>
        <v>FUP no parceiro e se não responder, pedir ao executivo um novo contato pois o que ele compartilhou pode não ter muito interesse em dar tração.</v>
      </c>
      <c r="I336" s="4"/>
      <c r="J336" s="4"/>
      <c r="K336" s="4"/>
      <c r="L336" s="4"/>
      <c r="M336" s="4"/>
      <c r="N336" s="4"/>
      <c r="O336" s="4"/>
      <c r="P336" s="4"/>
      <c r="Q336" s="4"/>
      <c r="R336" s="4"/>
      <c r="S336" s="4"/>
      <c r="T336" s="4"/>
      <c r="U336" s="4"/>
      <c r="V336" s="4"/>
      <c r="W336" s="4"/>
      <c r="X336" s="4"/>
      <c r="Y336" s="4"/>
      <c r="Z336" s="4"/>
      <c r="AA336" s="4">
        <f>IFERROR(__xludf.DUMMYFUNCTION("""COMPUTED_VALUE"""),19.0)</f>
        <v>19</v>
      </c>
      <c r="AB336" s="4" t="str">
        <f>IFERROR(__xludf.DUMMYFUNCTION("""COMPUTED_VALUE"""),"NÃO")</f>
        <v>NÃO</v>
      </c>
      <c r="AC336" s="4" t="str">
        <f>IFERROR(__xludf.DUMMYFUNCTION("""COMPUTED_VALUE"""),"BP")</f>
        <v>BP</v>
      </c>
      <c r="AD336" s="4"/>
      <c r="AE336" s="4"/>
      <c r="AF336" s="4"/>
      <c r="AG336" s="4"/>
      <c r="AH336" s="4"/>
      <c r="AI336" s="4"/>
      <c r="AJ336" s="4"/>
      <c r="AK336" s="4"/>
      <c r="AL336" s="4"/>
      <c r="AM336" s="4" t="str">
        <f>IFERROR(__xludf.DUMMYFUNCTION("""COMPUTED_VALUE"""),"FY26, FY27")</f>
        <v>FY26, FY27</v>
      </c>
      <c r="AN336" s="4"/>
      <c r="AO336" s="4">
        <f>IFERROR(__xludf.DUMMYFUNCTION("""COMPUTED_VALUE"""),110.0)</f>
        <v>110</v>
      </c>
      <c r="AP336" s="4">
        <f>IFERROR(__xludf.DUMMYFUNCTION("""COMPUTED_VALUE"""),0.0)</f>
        <v>0</v>
      </c>
      <c r="AQ336" s="4">
        <f>IFERROR(__xludf.DUMMYFUNCTION("""COMPUTED_VALUE"""),0.0)</f>
        <v>0</v>
      </c>
      <c r="AR336" s="4">
        <f>IFERROR(__xludf.DUMMYFUNCTION("""COMPUTED_VALUE"""),0.0)</f>
        <v>0</v>
      </c>
      <c r="AS336" s="4">
        <f>IFERROR(__xludf.DUMMYFUNCTION("""COMPUTED_VALUE"""),0.0)</f>
        <v>0</v>
      </c>
      <c r="AT336" s="4">
        <f>IFERROR(__xludf.DUMMYFUNCTION("""COMPUTED_VALUE"""),0.0)</f>
        <v>0</v>
      </c>
      <c r="AU336" s="4" t="str">
        <f>IFERROR(__xludf.DUMMYFUNCTION("""COMPUTED_VALUE"""),"Ana")</f>
        <v>Ana</v>
      </c>
      <c r="AV336" s="4">
        <f>IFERROR(__xludf.DUMMYFUNCTION("""COMPUTED_VALUE"""),0.0)</f>
        <v>0</v>
      </c>
      <c r="AW336" s="4">
        <f>IFERROR(__xludf.DUMMYFUNCTION("""COMPUTED_VALUE"""),0.0)</f>
        <v>0</v>
      </c>
      <c r="AX336" s="4">
        <f>IFERROR(__xludf.DUMMYFUNCTION("""COMPUTED_VALUE"""),0.0)</f>
        <v>0</v>
      </c>
      <c r="AY336" s="4" t="str">
        <f>IFERROR(__xludf.DUMMYFUNCTION("""COMPUTED_VALUE"""),"Cityfoods Ltda")</f>
        <v>Cityfoods Ltda</v>
      </c>
      <c r="AZ336" s="4" t="str">
        <f>IFERROR(__xludf.DUMMYFUNCTION("""COMPUTED_VALUE"""),"Pizza")</f>
        <v>Pizza</v>
      </c>
      <c r="BA336" s="4" t="str">
        <f>IFERROR(__xludf.DUMMYFUNCTION("""COMPUTED_VALUE"""),"")</f>
        <v/>
      </c>
      <c r="BB336" s="4" t="str">
        <f>IFERROR(__xludf.DUMMYFUNCTION("""COMPUTED_VALUE"""),"")</f>
        <v/>
      </c>
      <c r="BC336" s="4" t="str">
        <f>IFERROR(__xludf.DUMMYFUNCTION("""COMPUTED_VALUE"""),"")</f>
        <v/>
      </c>
      <c r="BD336" s="4" t="str">
        <f>IFERROR(__xludf.DUMMYFUNCTION("""COMPUTED_VALUE"""),"")</f>
        <v/>
      </c>
      <c r="BE336" s="4" t="str">
        <f>IFERROR(__xludf.DUMMYFUNCTION("""COMPUTED_VALUE"""),"")</f>
        <v/>
      </c>
      <c r="BF336" s="4" t="str">
        <f>IFERROR(__xludf.DUMMYFUNCTION("""COMPUTED_VALUE"""),"")</f>
        <v/>
      </c>
      <c r="BG336" s="4" t="str">
        <f>IFERROR(__xludf.DUMMYFUNCTION("""COMPUTED_VALUE"""),"")</f>
        <v/>
      </c>
      <c r="BH336" s="4" t="s">
        <v>108</v>
      </c>
      <c r="BI336" s="7">
        <v>0.5714285714285714</v>
      </c>
    </row>
    <row r="337" hidden="1">
      <c r="A337" s="4" t="str">
        <f>IFERROR(__xludf.DUMMYFUNCTION("""COMPUTED_VALUE"""),"Grupo Django Hamburgueria")</f>
        <v>Grupo Django Hamburgueria</v>
      </c>
      <c r="B337" s="4" t="str">
        <f>IFERROR(__xludf.DUMMYFUNCTION("""COMPUTED_VALUE"""),"Lídia Esteves")</f>
        <v>Lídia Esteves</v>
      </c>
      <c r="C337" s="4" t="str">
        <f>IFERROR(__xludf.DUMMYFUNCTION("""COMPUTED_VALUE"""),"Gabriela Roma")</f>
        <v>Gabriela Roma</v>
      </c>
      <c r="D337" s="4" t="str">
        <f>IFERROR(__xludf.DUMMYFUNCTION("""COMPUTED_VALUE"""),"0. Não Iniciado")</f>
        <v>0. Não Iniciado</v>
      </c>
      <c r="E337" s="4"/>
      <c r="F337" s="4" t="str">
        <f>IFERROR(__xludf.DUMMYFUNCTION("""COMPUTED_VALUE"""),"P")</f>
        <v>P</v>
      </c>
      <c r="G337" s="4"/>
      <c r="H337" s="4"/>
      <c r="I337" s="4"/>
      <c r="J337" s="4"/>
      <c r="K337" s="4"/>
      <c r="L337" s="4"/>
      <c r="M337" s="4"/>
      <c r="N337" s="4"/>
      <c r="O337" s="4"/>
      <c r="P337" s="4"/>
      <c r="Q337" s="4"/>
      <c r="R337" s="4"/>
      <c r="S337" s="4"/>
      <c r="T337" s="4"/>
      <c r="U337" s="4"/>
      <c r="V337" s="4"/>
      <c r="W337" s="4"/>
      <c r="X337" s="4"/>
      <c r="Y337" s="4"/>
      <c r="Z337" s="4"/>
      <c r="AA337" s="4">
        <f>IFERROR(__xludf.DUMMYFUNCTION("""COMPUTED_VALUE"""),9.0)</f>
        <v>9</v>
      </c>
      <c r="AB337" s="4" t="str">
        <f>IFERROR(__xludf.DUMMYFUNCTION("""COMPUTED_VALUE"""),"-")</f>
        <v>-</v>
      </c>
      <c r="AC337" s="4" t="str">
        <f>IFERROR(__xludf.DUMMYFUNCTION("""COMPUTED_VALUE"""),"-")</f>
        <v>-</v>
      </c>
      <c r="AD337" s="4"/>
      <c r="AE337" s="4"/>
      <c r="AF337" s="4"/>
      <c r="AG337" s="4"/>
      <c r="AH337" s="4"/>
      <c r="AI337" s="4"/>
      <c r="AJ337" s="4"/>
      <c r="AK337" s="4"/>
      <c r="AL337" s="4"/>
      <c r="AM337" s="4" t="str">
        <f>IFERROR(__xludf.DUMMYFUNCTION("""COMPUTED_VALUE"""),"FY26, FY27")</f>
        <v>FY26, FY27</v>
      </c>
      <c r="AN337" s="4"/>
      <c r="AO337" s="4">
        <f>IFERROR(__xludf.DUMMYFUNCTION("""COMPUTED_VALUE"""),45553.0)</f>
        <v>45553</v>
      </c>
      <c r="AP337" s="4" t="str">
        <f>IFERROR(__xludf.DUMMYFUNCTION("""COMPUTED_VALUE"""),"PR")</f>
        <v>PR</v>
      </c>
      <c r="AQ337" s="4" t="str">
        <f>IFERROR(__xludf.DUMMYFUNCTION("""COMPUTED_VALUE"""),"BRUNA MONTEZIN")</f>
        <v>BRUNA MONTEZIN</v>
      </c>
      <c r="AR337" s="4" t="str">
        <f>IFERROR(__xludf.DUMMYFUNCTION("""COMPUTED_VALUE"""),"PEDRO ARARIPE")</f>
        <v>PEDRO ARARIPE</v>
      </c>
      <c r="AS337" s="4" t="str">
        <f>IFERROR(__xludf.DUMMYFUNCTION("""COMPUTED_VALUE"""),"FABIO DONATO")</f>
        <v>FABIO DONATO</v>
      </c>
      <c r="AT337" s="4" t="str">
        <f>IFERROR(__xludf.DUMMYFUNCTION("""COMPUTED_VALUE"""),"MURILO NAGASHIMA")</f>
        <v>MURILO NAGASHIMA</v>
      </c>
      <c r="AU337" s="4" t="str">
        <f>IFERROR(__xludf.DUMMYFUNCTION("""COMPUTED_VALUE"""),"Lídia / Emerson")</f>
        <v>Lídia / Emerson</v>
      </c>
      <c r="AV337" s="4">
        <f>IFERROR(__xludf.DUMMYFUNCTION("""COMPUTED_VALUE"""),0.0)</f>
        <v>0</v>
      </c>
      <c r="AW337" s="4">
        <f>IFERROR(__xludf.DUMMYFUNCTION("""COMPUTED_VALUE"""),0.0)</f>
        <v>0</v>
      </c>
      <c r="AX337" s="4">
        <f>IFERROR(__xludf.DUMMYFUNCTION("""COMPUTED_VALUE"""),0.0)</f>
        <v>0</v>
      </c>
      <c r="AY337" s="4"/>
      <c r="AZ337" s="4" t="str">
        <f>IFERROR(__xludf.DUMMYFUNCTION("""COMPUTED_VALUE"""),"Lanches")</f>
        <v>Lanches</v>
      </c>
      <c r="BA337" s="4">
        <f>IFERROR(__xludf.DUMMYFUNCTION("""COMPUTED_VALUE"""),67.0)</f>
        <v>67</v>
      </c>
      <c r="BB337" s="12" t="str">
        <f>IFERROR(__xludf.DUMMYFUNCTION("""COMPUTED_VALUE"""),"Fast Casual - Hamburgueria")</f>
        <v>Fast Casual - Hamburgueria</v>
      </c>
      <c r="BC337" s="4" t="str">
        <f>IFERROR(__xludf.DUMMYFUNCTION("""COMPUTED_VALUE"""),"Belo Horizonte/MG")</f>
        <v>Belo Horizonte/MG</v>
      </c>
      <c r="BD337" s="4" t="str">
        <f>IFERROR(__xludf.DUMMYFUNCTION("""COMPUTED_VALUE"""),"Dado não disponível publicamente - Necessário Discovery")</f>
        <v>Dado não disponível publicamente - Necessário Discovery</v>
      </c>
      <c r="BE337" s="4">
        <f>IFERROR(__xludf.DUMMYFUNCTION("""COMPUTED_VALUE"""),70.0)</f>
        <v>70</v>
      </c>
      <c r="BF337" s="13">
        <f>IFERROR(__xludf.DUMMYFUNCTION("""COMPUTED_VALUE"""),0.8)</f>
        <v>0.8</v>
      </c>
      <c r="BG337"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337" s="4" t="s">
        <v>128</v>
      </c>
      <c r="BI337" s="7">
        <v>0.6666666666666666</v>
      </c>
    </row>
    <row r="338" hidden="1">
      <c r="A338" s="4" t="str">
        <f>IFERROR(__xludf.DUMMYFUNCTION("""COMPUTED_VALUE"""),"Grupo Dock")</f>
        <v>Grupo Dock</v>
      </c>
      <c r="B338" s="4" t="str">
        <f>IFERROR(__xludf.DUMMYFUNCTION("""COMPUTED_VALUE"""),"João Biagiotti")</f>
        <v>João Biagiotti</v>
      </c>
      <c r="C338" s="4" t="str">
        <f>IFERROR(__xludf.DUMMYFUNCTION("""COMPUTED_VALUE"""),"Diego Santos")</f>
        <v>Diego Santos</v>
      </c>
      <c r="D338" s="4" t="str">
        <f>IFERROR(__xludf.DUMMYFUNCTION("""COMPUTED_VALUE"""),"2. Primeiro Contato com a marca")</f>
        <v>2. Primeiro Contato com a marca</v>
      </c>
      <c r="E338" s="4" t="str">
        <f>IFERROR(__xludf.DUMMYFUNCTION("""COMPUTED_VALUE"""),"Delivery - Momento inadequado de abordagem (ex. 99)")</f>
        <v>Delivery - Momento inadequado de abordagem (ex. 99)</v>
      </c>
      <c r="F338" s="4" t="str">
        <f>IFERROR(__xludf.DUMMYFUNCTION("""COMPUTED_VALUE"""),"P")</f>
        <v>P</v>
      </c>
      <c r="G338" s="5">
        <f>IFERROR(__xludf.DUMMYFUNCTION("""COMPUTED_VALUE"""),46097.0)</f>
        <v>46097</v>
      </c>
      <c r="H338" s="4" t="str">
        <f>IFERROR(__xludf.DUMMYFUNCTION("""COMPUTED_VALUE"""),"Executiva disse que ainda não é bom falar com o parceiro pois o mesmo está priorizando reformas no salão atual")</f>
        <v>Executiva disse que ainda não é bom falar com o parceiro pois o mesmo está priorizando reformas no salão atual</v>
      </c>
      <c r="I338" s="4"/>
      <c r="J338" s="6">
        <f>IFERROR(__xludf.DUMMYFUNCTION("""COMPUTED_VALUE"""),46052.425256585644)</f>
        <v>46052.42526</v>
      </c>
      <c r="K338" s="4"/>
      <c r="L338" s="4"/>
      <c r="M338" s="4"/>
      <c r="N338" s="4"/>
      <c r="O338" s="4"/>
      <c r="P338" s="4"/>
      <c r="Q338" s="4"/>
      <c r="R338" s="4"/>
      <c r="S338" s="4"/>
      <c r="T338" s="4"/>
      <c r="U338" s="4"/>
      <c r="V338" s="4"/>
      <c r="W338" s="4"/>
      <c r="X338" s="4"/>
      <c r="Y338" s="4"/>
      <c r="Z338" s="4"/>
      <c r="AA338" s="4">
        <f>IFERROR(__xludf.DUMMYFUNCTION("""COMPUTED_VALUE"""),3.0)</f>
        <v>3</v>
      </c>
      <c r="AB338" s="4" t="str">
        <f>IFERROR(__xludf.DUMMYFUNCTION("""COMPUTED_VALUE"""),"NÃO")</f>
        <v>NÃO</v>
      </c>
      <c r="AC338" s="4" t="str">
        <f>IFERROR(__xludf.DUMMYFUNCTION("""COMPUTED_VALUE"""),"BP")</f>
        <v>BP</v>
      </c>
      <c r="AD338" s="4"/>
      <c r="AE338" s="4"/>
      <c r="AF338" s="4"/>
      <c r="AG338" s="4"/>
      <c r="AH338" s="4"/>
      <c r="AI338" s="4"/>
      <c r="AJ338" s="4"/>
      <c r="AK338" s="4"/>
      <c r="AL338" s="4"/>
      <c r="AM338" s="4" t="str">
        <f>IFERROR(__xludf.DUMMYFUNCTION("""COMPUTED_VALUE"""),"FY26, FY27")</f>
        <v>FY26, FY27</v>
      </c>
      <c r="AN338" s="4"/>
      <c r="AO338" s="4">
        <f>IFERROR(__xludf.DUMMYFUNCTION("""COMPUTED_VALUE"""),117.0)</f>
        <v>117</v>
      </c>
      <c r="AP338" s="4">
        <f>IFERROR(__xludf.DUMMYFUNCTION("""COMPUTED_VALUE"""),0.0)</f>
        <v>0</v>
      </c>
      <c r="AQ338" s="4">
        <f>IFERROR(__xludf.DUMMYFUNCTION("""COMPUTED_VALUE"""),0.0)</f>
        <v>0</v>
      </c>
      <c r="AR338" s="4">
        <f>IFERROR(__xludf.DUMMYFUNCTION("""COMPUTED_VALUE"""),0.0)</f>
        <v>0</v>
      </c>
      <c r="AS338" s="4">
        <f>IFERROR(__xludf.DUMMYFUNCTION("""COMPUTED_VALUE"""),0.0)</f>
        <v>0</v>
      </c>
      <c r="AT338" s="4">
        <f>IFERROR(__xludf.DUMMYFUNCTION("""COMPUTED_VALUE"""),0.0)</f>
        <v>0</v>
      </c>
      <c r="AU338" s="4" t="str">
        <f>IFERROR(__xludf.DUMMYFUNCTION("""COMPUTED_VALUE"""),"Ana")</f>
        <v>Ana</v>
      </c>
      <c r="AV338" s="4">
        <f>IFERROR(__xludf.DUMMYFUNCTION("""COMPUTED_VALUE"""),0.0)</f>
        <v>0</v>
      </c>
      <c r="AW338" s="4">
        <f>IFERROR(__xludf.DUMMYFUNCTION("""COMPUTED_VALUE"""),0.0)</f>
        <v>0</v>
      </c>
      <c r="AX338" s="4">
        <f>IFERROR(__xludf.DUMMYFUNCTION("""COMPUTED_VALUE"""),0.0)</f>
        <v>0</v>
      </c>
      <c r="AY338" s="4"/>
      <c r="AZ338" s="4" t="str">
        <f>IFERROR(__xludf.DUMMYFUNCTION("""COMPUTED_VALUE"""),"Brasileira")</f>
        <v>Brasileira</v>
      </c>
      <c r="BA338" s="4">
        <f>IFERROR(__xludf.DUMMYFUNCTION("""COMPUTED_VALUE"""),93.0)</f>
        <v>93</v>
      </c>
      <c r="BB338" s="4" t="str">
        <f>IFERROR(__xludf.DUMMYFUNCTION("""COMPUTED_VALUE"""),"Grupo Multi-marca")</f>
        <v>Grupo Multi-marca</v>
      </c>
      <c r="BC338" s="4" t="str">
        <f>IFERROR(__xludf.DUMMYFUNCTION("""COMPUTED_VALUE"""),"Interior SP")</f>
        <v>Interior SP</v>
      </c>
      <c r="BD338" s="4" t="str">
        <f>IFERROR(__xludf.DUMMYFUNCTION("""COMPUTED_VALUE"""),"Dado não disponível publicamente - Necessário Discovery")</f>
        <v>Dado não disponível publicamente - Necessário Discovery</v>
      </c>
      <c r="BE338" s="4">
        <f>IFERROR(__xludf.DUMMYFUNCTION("""COMPUTED_VALUE"""),45.0)</f>
        <v>45</v>
      </c>
      <c r="BF338" s="4">
        <f>IFERROR(__xludf.DUMMYFUNCTION("""COMPUTED_VALUE"""),0.55)</f>
        <v>0.55</v>
      </c>
      <c r="BG338"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38" s="4" t="s">
        <v>74</v>
      </c>
      <c r="BI338" s="7">
        <v>1.0</v>
      </c>
    </row>
    <row r="339" hidden="1">
      <c r="A339" s="4" t="str">
        <f>IFERROR(__xludf.DUMMYFUNCTION("""COMPUTED_VALUE"""),"Grupo Fasano")</f>
        <v>Grupo Fasano</v>
      </c>
      <c r="B339" s="4" t="str">
        <f>IFERROR(__xludf.DUMMYFUNCTION("""COMPUTED_VALUE"""),"João Biagiotti")</f>
        <v>João Biagiotti</v>
      </c>
      <c r="C339" s="4" t="str">
        <f>IFERROR(__xludf.DUMMYFUNCTION("""COMPUTED_VALUE"""),"Diego Santos")</f>
        <v>Diego Santos</v>
      </c>
      <c r="D339" s="4" t="str">
        <f>IFERROR(__xludf.DUMMYFUNCTION("""COMPUTED_VALUE"""),"0. Não Iniciado")</f>
        <v>0. Não Iniciado</v>
      </c>
      <c r="E339" s="4" t="str">
        <f>IFERROR(__xludf.DUMMYFUNCTION("""COMPUTED_VALUE"""),"Delivery - Dificuldade de contato com executivo")</f>
        <v>Delivery - Dificuldade de contato com executivo</v>
      </c>
      <c r="F339" s="4" t="str">
        <f>IFERROR(__xludf.DUMMYFUNCTION("""COMPUTED_VALUE"""),"P")</f>
        <v>P</v>
      </c>
      <c r="G339" s="5">
        <f>IFERROR(__xludf.DUMMYFUNCTION("""COMPUTED_VALUE"""),46076.0)</f>
        <v>46076</v>
      </c>
      <c r="H339" s="4" t="str">
        <f>IFERROR(__xludf.DUMMYFUNCTION("""COMPUTED_VALUE"""),"Aguardando retorno do executivo de delivery. FUP")</f>
        <v>Aguardando retorno do executivo de delivery. FUP</v>
      </c>
      <c r="I339" s="4"/>
      <c r="J339" s="4"/>
      <c r="K339" s="4"/>
      <c r="L339" s="4"/>
      <c r="M339" s="4"/>
      <c r="N339" s="4"/>
      <c r="O339" s="4"/>
      <c r="P339" s="4"/>
      <c r="Q339" s="4"/>
      <c r="R339" s="4"/>
      <c r="S339" s="4"/>
      <c r="T339" s="4"/>
      <c r="U339" s="4"/>
      <c r="V339" s="4"/>
      <c r="W339" s="4"/>
      <c r="X339" s="4"/>
      <c r="Y339" s="4"/>
      <c r="Z339" s="4"/>
      <c r="AA339" s="4">
        <f>IFERROR(__xludf.DUMMYFUNCTION("""COMPUTED_VALUE"""),3.0)</f>
        <v>3</v>
      </c>
      <c r="AB339" s="4" t="str">
        <f>IFERROR(__xludf.DUMMYFUNCTION("""COMPUTED_VALUE"""),"NÃO")</f>
        <v>NÃO</v>
      </c>
      <c r="AC339" s="4" t="str">
        <f>IFERROR(__xludf.DUMMYFUNCTION("""COMPUTED_VALUE"""),"BP")</f>
        <v>BP</v>
      </c>
      <c r="AD339" s="4"/>
      <c r="AE339" s="4"/>
      <c r="AF339" s="4"/>
      <c r="AG339" s="4"/>
      <c r="AH339" s="4"/>
      <c r="AI339" s="4"/>
      <c r="AJ339" s="4"/>
      <c r="AK339" s="4"/>
      <c r="AL339" s="4"/>
      <c r="AM339" s="4" t="str">
        <f>IFERROR(__xludf.DUMMYFUNCTION("""COMPUTED_VALUE"""),"FY26, FY27")</f>
        <v>FY26, FY27</v>
      </c>
      <c r="AN339" s="4"/>
      <c r="AO339" s="4">
        <f>IFERROR(__xludf.DUMMYFUNCTION("""COMPUTED_VALUE"""),140.0)</f>
        <v>140</v>
      </c>
      <c r="AP339" s="4" t="str">
        <f>IFERROR(__xludf.DUMMYFUNCTION("""COMPUTED_VALUE"""),"SP")</f>
        <v>SP</v>
      </c>
      <c r="AQ339" s="4" t="str">
        <f>IFERROR(__xludf.DUMMYFUNCTION("""COMPUTED_VALUE"""),"GABRIEL BISPO")</f>
        <v>GABRIEL BISPO</v>
      </c>
      <c r="AR339" s="4" t="str">
        <f>IFERROR(__xludf.DUMMYFUNCTION("""COMPUTED_VALUE"""),"EDUARDO FIGUEIREDO")</f>
        <v>EDUARDO FIGUEIREDO</v>
      </c>
      <c r="AS339" s="4" t="str">
        <f>IFERROR(__xludf.DUMMYFUNCTION("""COMPUTED_VALUE"""),"NATHALIE MERTENS")</f>
        <v>NATHALIE MERTENS</v>
      </c>
      <c r="AT339" s="4" t="str">
        <f>IFERROR(__xludf.DUMMYFUNCTION("""COMPUTED_VALUE"""),"MARIANA KATZ")</f>
        <v>MARIANA KATZ</v>
      </c>
      <c r="AU339" s="4" t="str">
        <f>IFERROR(__xludf.DUMMYFUNCTION("""COMPUTED_VALUE"""),"Iza")</f>
        <v>Iza</v>
      </c>
      <c r="AV339" s="4">
        <f>IFERROR(__xludf.DUMMYFUNCTION("""COMPUTED_VALUE"""),0.0)</f>
        <v>0</v>
      </c>
      <c r="AW339" s="4">
        <f>IFERROR(__xludf.DUMMYFUNCTION("""COMPUTED_VALUE"""),0.0)</f>
        <v>0</v>
      </c>
      <c r="AX339" s="4">
        <f>IFERROR(__xludf.DUMMYFUNCTION("""COMPUTED_VALUE"""),0.0)</f>
        <v>0</v>
      </c>
      <c r="AY339" s="4"/>
      <c r="AZ339" s="4" t="str">
        <f>IFERROR(__xludf.DUMMYFUNCTION("""COMPUTED_VALUE"""),"Italiana")</f>
        <v>Italiana</v>
      </c>
      <c r="BA339" s="4">
        <f>IFERROR(__xludf.DUMMYFUNCTION("""COMPUTED_VALUE"""),285.0)</f>
        <v>285</v>
      </c>
      <c r="BB339" s="4" t="str">
        <f>IFERROR(__xludf.DUMMYFUNCTION("""COMPUTED_VALUE"""),"Fine Dining - Luxury")</f>
        <v>Fine Dining - Luxury</v>
      </c>
      <c r="BC339" s="4" t="str">
        <f>IFERROR(__xludf.DUMMYFUNCTION("""COMPUTED_VALUE"""),"Nacional")</f>
        <v>Nacional</v>
      </c>
      <c r="BD339" s="4" t="str">
        <f>IFERROR(__xludf.DUMMYFUNCTION("""COMPUTED_VALUE"""),"R$ 408 milhões (2024)")</f>
        <v>R$ 408 milhões (2024)</v>
      </c>
      <c r="BE339" s="4">
        <f>IFERROR(__xludf.DUMMYFUNCTION("""COMPUTED_VALUE"""),55.0)</f>
        <v>55</v>
      </c>
      <c r="BF339" s="4">
        <f>IFERROR(__xludf.DUMMYFUNCTION("""COMPUTED_VALUE"""),0.5)</f>
        <v>0.5</v>
      </c>
      <c r="BG339" s="4" t="str">
        <f>IFERROR(__xludf.DUMMYFUNCTION("""COMPUTED_VALUE"""),"Aderência moderada ao 3S: PDV não identificado. 3S pode agregar valor com padronização multi-loja e integração delivery, mas necessário Discovery para validar fit completo.")</f>
        <v>Aderência moderada ao 3S: PDV não identificado. 3S pode agregar valor com padronização multi-loja e integração delivery, mas necessário Discovery para validar fit completo.</v>
      </c>
      <c r="BH339" s="4" t="s">
        <v>63</v>
      </c>
      <c r="BI339" s="7" t="s">
        <v>63</v>
      </c>
    </row>
    <row r="340">
      <c r="A340" s="4" t="str">
        <f>IFERROR(__xludf.DUMMYFUNCTION("""COMPUTED_VALUE"""),"Grupo Fit")</f>
        <v>Grupo Fit</v>
      </c>
      <c r="B340" s="4" t="str">
        <f>IFERROR(__xludf.DUMMYFUNCTION("""COMPUTED_VALUE"""),"Leonardo Roso")</f>
        <v>Leonardo Roso</v>
      </c>
      <c r="C340" s="4" t="str">
        <f>IFERROR(__xludf.DUMMYFUNCTION("""COMPUTED_VALUE"""),"Leonardo Roso")</f>
        <v>Leonardo Roso</v>
      </c>
      <c r="D340" s="4" t="str">
        <f>IFERROR(__xludf.DUMMYFUNCTION("""COMPUTED_VALUE"""),"8. Contrato enviado")</f>
        <v>8. Contrato enviado</v>
      </c>
      <c r="E340" s="4"/>
      <c r="F340" s="4" t="str">
        <f>IFERROR(__xludf.DUMMYFUNCTION("""COMPUTED_VALUE"""),"G")</f>
        <v>G</v>
      </c>
      <c r="G340" s="4"/>
      <c r="H340" s="4"/>
      <c r="I340" s="4"/>
      <c r="J340" s="4"/>
      <c r="K340" s="6">
        <f>IFERROR(__xludf.DUMMYFUNCTION("""COMPUTED_VALUE"""),45807.0)</f>
        <v>45807</v>
      </c>
      <c r="L340" s="4"/>
      <c r="M340" s="4"/>
      <c r="N340" s="6">
        <f>IFERROR(__xludf.DUMMYFUNCTION("""COMPUTED_VALUE"""),45947.0)</f>
        <v>45947</v>
      </c>
      <c r="O340" s="4"/>
      <c r="P340" s="4"/>
      <c r="Q340" s="6">
        <f>IFERROR(__xludf.DUMMYFUNCTION("""COMPUTED_VALUE"""),45947.0)</f>
        <v>45947</v>
      </c>
      <c r="R340" s="4"/>
      <c r="S340" s="4"/>
      <c r="T340" s="4"/>
      <c r="U340" s="4"/>
      <c r="V340" s="4"/>
      <c r="W340" s="4"/>
      <c r="X340" s="4"/>
      <c r="Y340" s="4"/>
      <c r="Z340" s="4"/>
      <c r="AA340" s="4">
        <f>IFERROR(__xludf.DUMMYFUNCTION("""COMPUTED_VALUE"""),100.0)</f>
        <v>100</v>
      </c>
      <c r="AB340" s="4"/>
      <c r="AC340" s="4"/>
      <c r="AD340" s="4"/>
      <c r="AE340" s="4"/>
      <c r="AF340" s="4"/>
      <c r="AG340" s="4"/>
      <c r="AH340" s="4"/>
      <c r="AI340" s="4"/>
      <c r="AJ340" s="4"/>
      <c r="AK340" s="4"/>
      <c r="AL340" s="4"/>
      <c r="AM340" s="4" t="str">
        <f>IFERROR(__xludf.DUMMYFUNCTION("""COMPUTED_VALUE"""),"FY26, FY27")</f>
        <v>FY26, FY27</v>
      </c>
      <c r="AN340" s="4"/>
      <c r="AO340" s="4">
        <f>IFERROR(__xludf.DUMMYFUNCTION("""COMPUTED_VALUE"""),45553.0)</f>
        <v>45553</v>
      </c>
      <c r="AP340" s="4">
        <f>IFERROR(__xludf.DUMMYFUNCTION("""COMPUTED_VALUE"""),0.0)</f>
        <v>0</v>
      </c>
      <c r="AQ340" s="4">
        <f>IFERROR(__xludf.DUMMYFUNCTION("""COMPUTED_VALUE"""),0.0)</f>
        <v>0</v>
      </c>
      <c r="AR340" s="4">
        <f>IFERROR(__xludf.DUMMYFUNCTION("""COMPUTED_VALUE"""),0.0)</f>
        <v>0</v>
      </c>
      <c r="AS340" s="4">
        <f>IFERROR(__xludf.DUMMYFUNCTION("""COMPUTED_VALUE"""),0.0)</f>
        <v>0</v>
      </c>
      <c r="AT340" s="4">
        <f>IFERROR(__xludf.DUMMYFUNCTION("""COMPUTED_VALUE"""),0.0)</f>
        <v>0</v>
      </c>
      <c r="AU340" s="4" t="str">
        <f>IFERROR(__xludf.DUMMYFUNCTION("""COMPUTED_VALUE"""),"Emerson")</f>
        <v>Emerson</v>
      </c>
      <c r="AV340" s="4">
        <f>IFERROR(__xludf.DUMMYFUNCTION("""COMPUTED_VALUE"""),0.0)</f>
        <v>0</v>
      </c>
      <c r="AW340" s="4">
        <f>IFERROR(__xludf.DUMMYFUNCTION("""COMPUTED_VALUE"""),0.0)</f>
        <v>0</v>
      </c>
      <c r="AX340" s="4">
        <f>IFERROR(__xludf.DUMMYFUNCTION("""COMPUTED_VALUE"""),0.0)</f>
        <v>0</v>
      </c>
      <c r="AY340" s="4"/>
      <c r="AZ340" s="4" t="str">
        <f>IFERROR(__xludf.DUMMYFUNCTION("""COMPUTED_VALUE"""),"NA")</f>
        <v>NA</v>
      </c>
      <c r="BA340" s="4" t="str">
        <f>IFERROR(__xludf.DUMMYFUNCTION("""COMPUTED_VALUE"""),"")</f>
        <v/>
      </c>
      <c r="BB340" s="4" t="str">
        <f>IFERROR(__xludf.DUMMYFUNCTION("""COMPUTED_VALUE"""),"")</f>
        <v/>
      </c>
      <c r="BC340" s="4" t="str">
        <f>IFERROR(__xludf.DUMMYFUNCTION("""COMPUTED_VALUE"""),"")</f>
        <v/>
      </c>
      <c r="BD340" s="4" t="str">
        <f>IFERROR(__xludf.DUMMYFUNCTION("""COMPUTED_VALUE"""),"")</f>
        <v/>
      </c>
      <c r="BE340" s="4" t="str">
        <f>IFERROR(__xludf.DUMMYFUNCTION("""COMPUTED_VALUE"""),"")</f>
        <v/>
      </c>
      <c r="BF340" s="4" t="str">
        <f>IFERROR(__xludf.DUMMYFUNCTION("""COMPUTED_VALUE"""),"")</f>
        <v/>
      </c>
      <c r="BG340" s="4" t="str">
        <f>IFERROR(__xludf.DUMMYFUNCTION("""COMPUTED_VALUE"""),"")</f>
        <v/>
      </c>
      <c r="BH340" s="4" t="s">
        <v>63</v>
      </c>
      <c r="BI340" s="7" t="s">
        <v>63</v>
      </c>
    </row>
    <row r="341">
      <c r="A341" s="4" t="str">
        <f>IFERROR(__xludf.DUMMYFUNCTION("""COMPUTED_VALUE"""),"Grupo Impettus")</f>
        <v>Grupo Impettus</v>
      </c>
      <c r="B341" s="4" t="str">
        <f>IFERROR(__xludf.DUMMYFUNCTION("""COMPUTED_VALUE"""),"Leonardo Roso")</f>
        <v>Leonardo Roso</v>
      </c>
      <c r="C341" s="4" t="str">
        <f>IFERROR(__xludf.DUMMYFUNCTION("""COMPUTED_VALUE"""),"Leonardo Roso")</f>
        <v>Leonardo Roso</v>
      </c>
      <c r="D341" s="4" t="str">
        <f>IFERROR(__xludf.DUMMYFUNCTION("""COMPUTED_VALUE"""),"6. Negociação")</f>
        <v>6. Negociação</v>
      </c>
      <c r="E341" s="4" t="str">
        <f>IFERROR(__xludf.DUMMYFUNCTION("""COMPUTED_VALUE"""),"Comercial - Em negociação de proposta")</f>
        <v>Comercial - Em negociação de proposta</v>
      </c>
      <c r="F341" s="4" t="str">
        <f>IFERROR(__xludf.DUMMYFUNCTION("""COMPUTED_VALUE"""),"G")</f>
        <v>G</v>
      </c>
      <c r="G341" s="5">
        <f>IFERROR(__xludf.DUMMYFUNCTION("""COMPUTED_VALUE"""),46073.0)</f>
        <v>46073</v>
      </c>
      <c r="H341" s="4" t="str">
        <f>IFERROR(__xludf.DUMMYFUNCTION("""COMPUTED_VALUE"""),"Contraproposta de 200k investimento - Em construção do ppt para apresentação até 28/02")</f>
        <v>Contraproposta de 200k investimento - Em construção do ppt para apresentação até 28/02</v>
      </c>
      <c r="I341" s="4"/>
      <c r="J341" s="4"/>
      <c r="K341" s="6">
        <f>IFERROR(__xludf.DUMMYFUNCTION("""COMPUTED_VALUE"""),45899.0)</f>
        <v>45899</v>
      </c>
      <c r="L341" s="4"/>
      <c r="M341" s="4"/>
      <c r="N341" s="4"/>
      <c r="O341" s="4"/>
      <c r="P341" s="4"/>
      <c r="Q341" s="4"/>
      <c r="R341" s="4"/>
      <c r="S341" s="4"/>
      <c r="T341" s="4"/>
      <c r="U341" s="4"/>
      <c r="V341" s="4"/>
      <c r="W341" s="4"/>
      <c r="X341" s="4"/>
      <c r="Y341" s="4"/>
      <c r="Z341" s="4"/>
      <c r="AA341" s="4">
        <f>IFERROR(__xludf.DUMMYFUNCTION("""COMPUTED_VALUE"""),100.0)</f>
        <v>100</v>
      </c>
      <c r="AB341" s="4" t="str">
        <f>IFERROR(__xludf.DUMMYFUNCTION("""COMPUTED_VALUE"""),"NÃO")</f>
        <v>NÃO</v>
      </c>
      <c r="AC341" s="4" t="str">
        <f>IFERROR(__xludf.DUMMYFUNCTION("""COMPUTED_VALUE"""),"BP")</f>
        <v>BP</v>
      </c>
      <c r="AD341" s="4"/>
      <c r="AE341" s="4"/>
      <c r="AF341" s="4"/>
      <c r="AG341" s="4"/>
      <c r="AH341" s="4"/>
      <c r="AI341" s="4"/>
      <c r="AJ341" s="4"/>
      <c r="AK341" s="4"/>
      <c r="AL341" s="4"/>
      <c r="AM341" s="4" t="str">
        <f>IFERROR(__xludf.DUMMYFUNCTION("""COMPUTED_VALUE"""),"FY26, FY27")</f>
        <v>FY26, FY27</v>
      </c>
      <c r="AN341" s="4"/>
      <c r="AO341" s="4">
        <f>IFERROR(__xludf.DUMMYFUNCTION("""COMPUTED_VALUE"""),143.0)</f>
        <v>143</v>
      </c>
      <c r="AP341" s="4">
        <f>IFERROR(__xludf.DUMMYFUNCTION("""COMPUTED_VALUE"""),0.0)</f>
        <v>0</v>
      </c>
      <c r="AQ341" s="4">
        <f>IFERROR(__xludf.DUMMYFUNCTION("""COMPUTED_VALUE"""),0.0)</f>
        <v>0</v>
      </c>
      <c r="AR341" s="4">
        <f>IFERROR(__xludf.DUMMYFUNCTION("""COMPUTED_VALUE"""),0.0)</f>
        <v>0</v>
      </c>
      <c r="AS341" s="4">
        <f>IFERROR(__xludf.DUMMYFUNCTION("""COMPUTED_VALUE"""),0.0)</f>
        <v>0</v>
      </c>
      <c r="AT341" s="4">
        <f>IFERROR(__xludf.DUMMYFUNCTION("""COMPUTED_VALUE"""),0.0)</f>
        <v>0</v>
      </c>
      <c r="AU341" s="4" t="str">
        <f>IFERROR(__xludf.DUMMYFUNCTION("""COMPUTED_VALUE"""),"Samuel")</f>
        <v>Samuel</v>
      </c>
      <c r="AV341" s="4">
        <f>IFERROR(__xludf.DUMMYFUNCTION("""COMPUTED_VALUE"""),0.0)</f>
        <v>0</v>
      </c>
      <c r="AW341" s="4">
        <f>IFERROR(__xludf.DUMMYFUNCTION("""COMPUTED_VALUE"""),0.0)</f>
        <v>0</v>
      </c>
      <c r="AX341" s="4">
        <f>IFERROR(__xludf.DUMMYFUNCTION("""COMPUTED_VALUE"""),0.0)</f>
        <v>0</v>
      </c>
      <c r="AY341" s="4"/>
      <c r="AZ341" s="4" t="str">
        <f>IFERROR(__xludf.DUMMYFUNCTION("""COMPUTED_VALUE"""),"Brasileira")</f>
        <v>Brasileira</v>
      </c>
      <c r="BA341" s="4">
        <f>IFERROR(__xludf.DUMMYFUNCTION("""COMPUTED_VALUE"""),109.0)</f>
        <v>109</v>
      </c>
      <c r="BB341" s="4" t="str">
        <f>IFERROR(__xludf.DUMMYFUNCTION("""COMPUTED_VALUE"""),"Grupo Multi-marca")</f>
        <v>Grupo Multi-marca</v>
      </c>
      <c r="BC341" s="4" t="str">
        <f>IFERROR(__xludf.DUMMYFUNCTION("""COMPUTED_VALUE"""),"Nacional")</f>
        <v>Nacional</v>
      </c>
      <c r="BD341" s="4" t="str">
        <f>IFERROR(__xludf.DUMMYFUNCTION("""COMPUTED_VALUE"""),"Dado não disponível publicamente - Necessário Discovery")</f>
        <v>Dado não disponível publicamente - Necessário Discovery</v>
      </c>
      <c r="BE341" s="4">
        <f>IFERROR(__xludf.DUMMYFUNCTION("""COMPUTED_VALUE"""),40.0)</f>
        <v>40</v>
      </c>
      <c r="BF341" s="4">
        <f>IFERROR(__xludf.DUMMYFUNCTION("""COMPUTED_VALUE"""),0.55)</f>
        <v>0.55</v>
      </c>
      <c r="BG341"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41" s="4" t="s">
        <v>72</v>
      </c>
      <c r="BI341" s="7">
        <v>0.6666666666666666</v>
      </c>
    </row>
    <row r="342" hidden="1">
      <c r="A342" s="4" t="str">
        <f>IFERROR(__xludf.DUMMYFUNCTION("""COMPUTED_VALUE"""),"Grupo Ito")</f>
        <v>Grupo Ito</v>
      </c>
      <c r="B342" s="4" t="str">
        <f>IFERROR(__xludf.DUMMYFUNCTION("""COMPUTED_VALUE"""),"Emerson")</f>
        <v>Emerson</v>
      </c>
      <c r="C342" s="4" t="str">
        <f>IFERROR(__xludf.DUMMYFUNCTION("""COMPUTED_VALUE"""),"Emerson")</f>
        <v>Emerson</v>
      </c>
      <c r="D342" s="4" t="str">
        <f>IFERROR(__xludf.DUMMYFUNCTION("""COMPUTED_VALUE"""),"11. Stand by")</f>
        <v>11. Stand by</v>
      </c>
      <c r="E342" s="4" t="str">
        <f>IFERROR(__xludf.DUMMYFUNCTION("""COMPUTED_VALUE"""),"Comercial - Contato realizado com parceiro")</f>
        <v>Comercial - Contato realizado com parceiro</v>
      </c>
      <c r="F342" s="4" t="str">
        <f>IFERROR(__xludf.DUMMYFUNCTION("""COMPUTED_VALUE"""),"P")</f>
        <v>P</v>
      </c>
      <c r="G342" s="5">
        <f>IFERROR(__xludf.DUMMYFUNCTION("""COMPUTED_VALUE"""),46076.0)</f>
        <v>46076</v>
      </c>
      <c r="H342" s="4" t="str">
        <f>IFERROR(__xludf.DUMMYFUNCTION("""COMPUTED_VALUE"""),"Primeira agenda declinaram pois estavam em busca de um HUB de delivery, Emerson está falando com o decisor da marca para tentar novamente apresentar solução.")</f>
        <v>Primeira agenda declinaram pois estavam em busca de um HUB de delivery, Emerson está falando com o decisor da marca para tentar novamente apresentar solução.</v>
      </c>
      <c r="I342" s="4"/>
      <c r="J342" s="4"/>
      <c r="K342" s="6">
        <f>IFERROR(__xludf.DUMMYFUNCTION("""COMPUTED_VALUE"""),45944.0)</f>
        <v>45944</v>
      </c>
      <c r="L342" s="4"/>
      <c r="M342" s="4"/>
      <c r="N342" s="4"/>
      <c r="O342" s="4"/>
      <c r="P342" s="4"/>
      <c r="Q342" s="4"/>
      <c r="R342" s="6">
        <f>IFERROR(__xludf.DUMMYFUNCTION("""COMPUTED_VALUE"""),46050.48148637731)</f>
        <v>46050.48149</v>
      </c>
      <c r="S342" s="6">
        <f>IFERROR(__xludf.DUMMYFUNCTION("""COMPUTED_VALUE"""),46076.46655914352)</f>
        <v>46076.46656</v>
      </c>
      <c r="T342" s="4"/>
      <c r="U342" s="4"/>
      <c r="V342" s="4" t="str">
        <f>IFERROR(__xludf.DUMMYFUNCTION("""COMPUTED_VALUE"""),"Trava por projetos internos da marca")</f>
        <v>Trava por projetos internos da marca</v>
      </c>
      <c r="W342" s="4"/>
      <c r="X342" s="4"/>
      <c r="Y342" s="4"/>
      <c r="Z342" s="4"/>
      <c r="AA342" s="4">
        <f>IFERROR(__xludf.DUMMYFUNCTION("""COMPUTED_VALUE"""),11.0)</f>
        <v>11</v>
      </c>
      <c r="AB342" s="4" t="str">
        <f>IFERROR(__xludf.DUMMYFUNCTION("""COMPUTED_VALUE"""),"NÃO")</f>
        <v>NÃO</v>
      </c>
      <c r="AC342" s="4" t="str">
        <f>IFERROR(__xludf.DUMMYFUNCTION("""COMPUTED_VALUE"""),"BP")</f>
        <v>BP</v>
      </c>
      <c r="AD342" s="4"/>
      <c r="AE342" s="4"/>
      <c r="AF342" s="4"/>
      <c r="AG342" s="4"/>
      <c r="AH342" s="4"/>
      <c r="AI342" s="4"/>
      <c r="AJ342" s="4"/>
      <c r="AK342" s="4"/>
      <c r="AL342" s="4"/>
      <c r="AM342" s="4" t="str">
        <f>IFERROR(__xludf.DUMMYFUNCTION("""COMPUTED_VALUE"""),"FY26, FY27")</f>
        <v>FY26, FY27</v>
      </c>
      <c r="AN342" s="4"/>
      <c r="AO342" s="4">
        <f>IFERROR(__xludf.DUMMYFUNCTION("""COMPUTED_VALUE"""),140.0)</f>
        <v>140</v>
      </c>
      <c r="AP342" s="4">
        <f>IFERROR(__xludf.DUMMYFUNCTION("""COMPUTED_VALUE"""),0.0)</f>
        <v>0</v>
      </c>
      <c r="AQ342" s="4">
        <f>IFERROR(__xludf.DUMMYFUNCTION("""COMPUTED_VALUE"""),0.0)</f>
        <v>0</v>
      </c>
      <c r="AR342" s="4">
        <f>IFERROR(__xludf.DUMMYFUNCTION("""COMPUTED_VALUE"""),0.0)</f>
        <v>0</v>
      </c>
      <c r="AS342" s="4">
        <f>IFERROR(__xludf.DUMMYFUNCTION("""COMPUTED_VALUE"""),0.0)</f>
        <v>0</v>
      </c>
      <c r="AT342" s="4">
        <f>IFERROR(__xludf.DUMMYFUNCTION("""COMPUTED_VALUE"""),0.0)</f>
        <v>0</v>
      </c>
      <c r="AU342" s="4" t="str">
        <f>IFERROR(__xludf.DUMMYFUNCTION("""COMPUTED_VALUE"""),"Ana")</f>
        <v>Ana</v>
      </c>
      <c r="AV342" s="4">
        <f>IFERROR(__xludf.DUMMYFUNCTION("""COMPUTED_VALUE"""),0.0)</f>
        <v>0</v>
      </c>
      <c r="AW342" s="4">
        <f>IFERROR(__xludf.DUMMYFUNCTION("""COMPUTED_VALUE"""),0.0)</f>
        <v>0</v>
      </c>
      <c r="AX342" s="4">
        <f>IFERROR(__xludf.DUMMYFUNCTION("""COMPUTED_VALUE"""),0.0)</f>
        <v>0</v>
      </c>
      <c r="AY342" s="4"/>
      <c r="AZ342" s="4" t="str">
        <f>IFERROR(__xludf.DUMMYFUNCTION("""COMPUTED_VALUE"""),"NA")</f>
        <v>NA</v>
      </c>
      <c r="BA342" s="4">
        <f>IFERROR(__xludf.DUMMYFUNCTION("""COMPUTED_VALUE"""),79.0)</f>
        <v>79</v>
      </c>
      <c r="BB342" s="4" t="str">
        <f>IFERROR(__xludf.DUMMYFUNCTION("""COMPUTED_VALUE"""),"Grupo Multi-marca")</f>
        <v>Grupo Multi-marca</v>
      </c>
      <c r="BC342" s="4" t="str">
        <f>IFERROR(__xludf.DUMMYFUNCTION("""COMPUTED_VALUE"""),"Rio de Janeiro/RJ")</f>
        <v>Rio de Janeiro/RJ</v>
      </c>
      <c r="BD342" s="4" t="str">
        <f>IFERROR(__xludf.DUMMYFUNCTION("""COMPUTED_VALUE"""),"Dado não disponível publicamente - Necessário Discovery")</f>
        <v>Dado não disponível publicamente - Necessário Discovery</v>
      </c>
      <c r="BE342" s="4">
        <f>IFERROR(__xludf.DUMMYFUNCTION("""COMPUTED_VALUE"""),45.0)</f>
        <v>45</v>
      </c>
      <c r="BF342" s="4">
        <f>IFERROR(__xludf.DUMMYFUNCTION("""COMPUTED_VALUE"""),0.55)</f>
        <v>0.55</v>
      </c>
      <c r="BG342"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42" s="4" t="s">
        <v>63</v>
      </c>
      <c r="BI342" s="7" t="s">
        <v>63</v>
      </c>
    </row>
    <row r="343" hidden="1">
      <c r="A343" s="4" t="str">
        <f>IFERROR(__xludf.DUMMYFUNCTION("""COMPUTED_VALUE"""),"Grupo Iz")</f>
        <v>Grupo Iz</v>
      </c>
      <c r="B343" s="4" t="str">
        <f>IFERROR(__xludf.DUMMYFUNCTION("""COMPUTED_VALUE"""),"Lídia Esteves")</f>
        <v>Lídia Esteves</v>
      </c>
      <c r="C343" s="4" t="str">
        <f>IFERROR(__xludf.DUMMYFUNCTION("""COMPUTED_VALUE"""),"Gabriela Roma")</f>
        <v>Gabriela Roma</v>
      </c>
      <c r="D343" s="4" t="str">
        <f>IFERROR(__xludf.DUMMYFUNCTION("""COMPUTED_VALUE"""),"0. Não Iniciado")</f>
        <v>0. Não Iniciado</v>
      </c>
      <c r="E343" s="4" t="str">
        <f>IFERROR(__xludf.DUMMYFUNCTION("""COMPUTED_VALUE"""),"Parceiro - Sem contato válido / Decisor inacessível")</f>
        <v>Parceiro - Sem contato válido / Decisor inacessível</v>
      </c>
      <c r="F343" s="4" t="str">
        <f>IFERROR(__xludf.DUMMYFUNCTION("""COMPUTED_VALUE"""),"P")</f>
        <v>P</v>
      </c>
      <c r="G343" s="5">
        <f>IFERROR(__xludf.DUMMYFUNCTION("""COMPUTED_VALUE"""),46076.0)</f>
        <v>46076</v>
      </c>
      <c r="H343" s="4" t="str">
        <f>IFERROR(__xludf.DUMMYFUNCTION("""COMPUTED_VALUE"""),"Sem contato válido e sem executivo de delivery.")</f>
        <v>Sem contato válido e sem executivo de delivery.</v>
      </c>
      <c r="I343" s="4"/>
      <c r="J343" s="4"/>
      <c r="K343" s="4"/>
      <c r="L343" s="4"/>
      <c r="M343" s="4"/>
      <c r="N343" s="4"/>
      <c r="O343" s="4"/>
      <c r="P343" s="4"/>
      <c r="Q343" s="4"/>
      <c r="R343" s="4"/>
      <c r="S343" s="4"/>
      <c r="T343" s="4"/>
      <c r="U343" s="4"/>
      <c r="V343" s="4"/>
      <c r="W343" s="4"/>
      <c r="X343" s="4"/>
      <c r="Y343" s="4"/>
      <c r="Z343" s="4"/>
      <c r="AA343" s="4">
        <f>IFERROR(__xludf.DUMMYFUNCTION("""COMPUTED_VALUE"""),8.0)</f>
        <v>8</v>
      </c>
      <c r="AB343" s="4" t="str">
        <f>IFERROR(__xludf.DUMMYFUNCTION("""COMPUTED_VALUE"""),"NÃO")</f>
        <v>NÃO</v>
      </c>
      <c r="AC343" s="4" t="str">
        <f>IFERROR(__xludf.DUMMYFUNCTION("""COMPUTED_VALUE"""),"BP")</f>
        <v>BP</v>
      </c>
      <c r="AD343" s="4"/>
      <c r="AE343" s="4"/>
      <c r="AF343" s="4"/>
      <c r="AG343" s="4"/>
      <c r="AH343" s="4"/>
      <c r="AI343" s="4"/>
      <c r="AJ343" s="4"/>
      <c r="AK343" s="4"/>
      <c r="AL343" s="4"/>
      <c r="AM343" s="4" t="str">
        <f>IFERROR(__xludf.DUMMYFUNCTION("""COMPUTED_VALUE"""),"FY26, FY27")</f>
        <v>FY26, FY27</v>
      </c>
      <c r="AN343" s="4"/>
      <c r="AO343" s="4">
        <f>IFERROR(__xludf.DUMMYFUNCTION("""COMPUTED_VALUE"""),140.0)</f>
        <v>140</v>
      </c>
      <c r="AP343" s="4" t="str">
        <f>IFERROR(__xludf.DUMMYFUNCTION("""COMPUTED_VALUE"""),"GO")</f>
        <v>GO</v>
      </c>
      <c r="AQ343" s="4" t="str">
        <f>IFERROR(__xludf.DUMMYFUNCTION("""COMPUTED_VALUE"""),"RAFAEL ROSSATO")</f>
        <v>RAFAEL ROSSATO</v>
      </c>
      <c r="AR343" s="4" t="str">
        <f>IFERROR(__xludf.DUMMYFUNCTION("""COMPUTED_VALUE"""),"NAYARA FERREIRA")</f>
        <v>NAYARA FERREIRA</v>
      </c>
      <c r="AS343" s="4" t="str">
        <f>IFERROR(__xludf.DUMMYFUNCTION("""COMPUTED_VALUE"""),"THIAGO ROMAGNOLE")</f>
        <v>THIAGO ROMAGNOLE</v>
      </c>
      <c r="AT343" s="4" t="str">
        <f>IFERROR(__xludf.DUMMYFUNCTION("""COMPUTED_VALUE"""),"BRUNA TASSINARI")</f>
        <v>BRUNA TASSINARI</v>
      </c>
      <c r="AU343" s="4" t="str">
        <f>IFERROR(__xludf.DUMMYFUNCTION("""COMPUTED_VALUE"""),"Iza")</f>
        <v>Iza</v>
      </c>
      <c r="AV343" s="4">
        <f>IFERROR(__xludf.DUMMYFUNCTION("""COMPUTED_VALUE"""),0.0)</f>
        <v>0</v>
      </c>
      <c r="AW343" s="4">
        <f>IFERROR(__xludf.DUMMYFUNCTION("""COMPUTED_VALUE"""),0.0)</f>
        <v>0</v>
      </c>
      <c r="AX343" s="4">
        <f>IFERROR(__xludf.DUMMYFUNCTION("""COMPUTED_VALUE"""),0.0)</f>
        <v>0</v>
      </c>
      <c r="AY343" s="4"/>
      <c r="AZ343" s="4" t="str">
        <f>IFERROR(__xludf.DUMMYFUNCTION("""COMPUTED_VALUE"""),"Sorvetes")</f>
        <v>Sorvetes</v>
      </c>
      <c r="BA343" s="4">
        <f>IFERROR(__xludf.DUMMYFUNCTION("""COMPUTED_VALUE"""),102.0)</f>
        <v>102</v>
      </c>
      <c r="BB343" s="4" t="str">
        <f>IFERROR(__xludf.DUMMYFUNCTION("""COMPUTED_VALUE"""),"Grupo Multi-marca")</f>
        <v>Grupo Multi-marca</v>
      </c>
      <c r="BC343" s="4" t="str">
        <f>IFERROR(__xludf.DUMMYFUNCTION("""COMPUTED_VALUE"""),"Regional")</f>
        <v>Regional</v>
      </c>
      <c r="BD343" s="4" t="str">
        <f>IFERROR(__xludf.DUMMYFUNCTION("""COMPUTED_VALUE"""),"Dado não disponível publicamente - Necessário Discovery")</f>
        <v>Dado não disponível publicamente - Necessário Discovery</v>
      </c>
      <c r="BE343" s="4">
        <f>IFERROR(__xludf.DUMMYFUNCTION("""COMPUTED_VALUE"""),40.0)</f>
        <v>40</v>
      </c>
      <c r="BF343" s="4">
        <f>IFERROR(__xludf.DUMMYFUNCTION("""COMPUTED_VALUE"""),0.55)</f>
        <v>0.55</v>
      </c>
      <c r="BG343"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43" s="4" t="s">
        <v>63</v>
      </c>
      <c r="BI343" s="7" t="s">
        <v>63</v>
      </c>
    </row>
    <row r="344" hidden="1">
      <c r="A344" s="4" t="str">
        <f>IFERROR(__xludf.DUMMYFUNCTION("""COMPUTED_VALUE"""),"Grupo Lago")</f>
        <v>Grupo Lago</v>
      </c>
      <c r="B344" s="4" t="str">
        <f>IFERROR(__xludf.DUMMYFUNCTION("""COMPUTED_VALUE"""),"Emerson")</f>
        <v>Emerson</v>
      </c>
      <c r="C344" s="4" t="str">
        <f>IFERROR(__xludf.DUMMYFUNCTION("""COMPUTED_VALUE"""),"Emerson")</f>
        <v>Emerson</v>
      </c>
      <c r="D344" s="4" t="str">
        <f>IFERROR(__xludf.DUMMYFUNCTION("""COMPUTED_VALUE"""),"0. Não Iniciado")</f>
        <v>0. Não Iniciado</v>
      </c>
      <c r="E344" s="4"/>
      <c r="F344" s="4" t="str">
        <f>IFERROR(__xludf.DUMMYFUNCTION("""COMPUTED_VALUE"""),"M")</f>
        <v>M</v>
      </c>
      <c r="G344" s="5">
        <f>IFERROR(__xludf.DUMMYFUNCTION("""COMPUTED_VALUE"""),46076.0)</f>
        <v>46076</v>
      </c>
      <c r="H344" s="4" t="str">
        <f>IFERROR(__xludf.DUMMYFUNCTION("""COMPUTED_VALUE"""),"Parceiro interessado no CRM Comer Fora, ainda não conseguimos apresentar então vamos retomar no próximo ciclo. Emerson tambem está proximo do parceiro.")</f>
        <v>Parceiro interessado no CRM Comer Fora, ainda não conseguimos apresentar então vamos retomar no próximo ciclo. Emerson tambem está proximo do parceiro.</v>
      </c>
      <c r="I344" s="4"/>
      <c r="J344" s="4"/>
      <c r="K344" s="4"/>
      <c r="L344" s="4"/>
      <c r="M344" s="4"/>
      <c r="N344" s="4"/>
      <c r="O344" s="4"/>
      <c r="P344" s="4"/>
      <c r="Q344" s="4"/>
      <c r="R344" s="4"/>
      <c r="S344" s="4"/>
      <c r="T344" s="4"/>
      <c r="U344" s="4"/>
      <c r="V344" s="4"/>
      <c r="W344" s="4"/>
      <c r="X344" s="4"/>
      <c r="Y344" s="4"/>
      <c r="Z344" s="4"/>
      <c r="AA344" s="4">
        <f>IFERROR(__xludf.DUMMYFUNCTION("""COMPUTED_VALUE"""),54.0)</f>
        <v>54</v>
      </c>
      <c r="AB344" s="4" t="str">
        <f>IFERROR(__xludf.DUMMYFUNCTION("""COMPUTED_VALUE"""),"NÃO")</f>
        <v>NÃO</v>
      </c>
      <c r="AC344" s="4" t="str">
        <f>IFERROR(__xludf.DUMMYFUNCTION("""COMPUTED_VALUE"""),"Não BP")</f>
        <v>Não BP</v>
      </c>
      <c r="AD344" s="4"/>
      <c r="AE344" s="4"/>
      <c r="AF344" s="4"/>
      <c r="AG344" s="4"/>
      <c r="AH344" s="4"/>
      <c r="AI344" s="4"/>
      <c r="AJ344" s="4"/>
      <c r="AK344" s="4"/>
      <c r="AL344" s="4"/>
      <c r="AM344" s="4" t="str">
        <f>IFERROR(__xludf.DUMMYFUNCTION("""COMPUTED_VALUE"""),"FY26, FY27")</f>
        <v>FY26, FY27</v>
      </c>
      <c r="AN344" s="4"/>
      <c r="AO344" s="4">
        <f>IFERROR(__xludf.DUMMYFUNCTION("""COMPUTED_VALUE"""),140.0)</f>
        <v>140</v>
      </c>
      <c r="AP344" s="4" t="str">
        <f>IFERROR(__xludf.DUMMYFUNCTION("""COMPUTED_VALUE"""),"SP")</f>
        <v>SP</v>
      </c>
      <c r="AQ344" s="4" t="str">
        <f>IFERROR(__xludf.DUMMYFUNCTION("""COMPUTED_VALUE"""),"RAQUEL BATISTA")</f>
        <v>RAQUEL BATISTA</v>
      </c>
      <c r="AR344" s="4">
        <f>IFERROR(__xludf.DUMMYFUNCTION("""COMPUTED_VALUE"""),0.0)</f>
        <v>0</v>
      </c>
      <c r="AS344" s="4">
        <f>IFERROR(__xludf.DUMMYFUNCTION("""COMPUTED_VALUE"""),0.0)</f>
        <v>0</v>
      </c>
      <c r="AT344" s="4">
        <f>IFERROR(__xludf.DUMMYFUNCTION("""COMPUTED_VALUE"""),0.0)</f>
        <v>0</v>
      </c>
      <c r="AU344" s="4" t="str">
        <f>IFERROR(__xludf.DUMMYFUNCTION("""COMPUTED_VALUE"""),"Ana")</f>
        <v>Ana</v>
      </c>
      <c r="AV344" s="4">
        <f>IFERROR(__xludf.DUMMYFUNCTION("""COMPUTED_VALUE"""),0.0)</f>
        <v>0</v>
      </c>
      <c r="AW344" s="4">
        <f>IFERROR(__xludf.DUMMYFUNCTION("""COMPUTED_VALUE"""),0.0)</f>
        <v>0</v>
      </c>
      <c r="AX344" s="4">
        <f>IFERROR(__xludf.DUMMYFUNCTION("""COMPUTED_VALUE"""),0.0)</f>
        <v>0</v>
      </c>
      <c r="AY344" s="4" t="str">
        <f>IFERROR(__xludf.DUMMYFUNCTION("""COMPUTED_VALUE"""),"Eclética Tecnologia")</f>
        <v>Eclética Tecnologia</v>
      </c>
      <c r="AZ344" s="4" t="str">
        <f>IFERROR(__xludf.DUMMYFUNCTION("""COMPUTED_VALUE"""),"Saudável")</f>
        <v>Saudável</v>
      </c>
      <c r="BA344" s="4">
        <f>IFERROR(__xludf.DUMMYFUNCTION("""COMPUTED_VALUE"""),106.0)</f>
        <v>106</v>
      </c>
      <c r="BB344" s="4" t="str">
        <f>IFERROR(__xludf.DUMMYFUNCTION("""COMPUTED_VALUE"""),"Grupo Multi-marca")</f>
        <v>Grupo Multi-marca</v>
      </c>
      <c r="BC344" s="4" t="str">
        <f>IFERROR(__xludf.DUMMYFUNCTION("""COMPUTED_VALUE"""),"Brasília/DF")</f>
        <v>Brasília/DF</v>
      </c>
      <c r="BD344" s="4" t="str">
        <f>IFERROR(__xludf.DUMMYFUNCTION("""COMPUTED_VALUE"""),"Dado não disponível publicamente - Necessário Discovery")</f>
        <v>Dado não disponível publicamente - Necessário Discovery</v>
      </c>
      <c r="BE344" s="4">
        <f>IFERROR(__xludf.DUMMYFUNCTION("""COMPUTED_VALUE"""),45.0)</f>
        <v>45</v>
      </c>
      <c r="BF344" s="4">
        <f>IFERROR(__xludf.DUMMYFUNCTION("""COMPUTED_VALUE"""),0.55)</f>
        <v>0.55</v>
      </c>
      <c r="BG344"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44" s="4" t="s">
        <v>71</v>
      </c>
      <c r="BI344" s="7">
        <v>0.7328767123287672</v>
      </c>
    </row>
    <row r="345">
      <c r="A345" s="4" t="str">
        <f>IFERROR(__xludf.DUMMYFUNCTION("""COMPUTED_VALUE"""),"Grupo Lanchao Cia")</f>
        <v>Grupo Lanchao Cia</v>
      </c>
      <c r="B345" s="4" t="str">
        <f>IFERROR(__xludf.DUMMYFUNCTION("""COMPUTED_VALUE"""),"Leonardo Roso")</f>
        <v>Leonardo Roso</v>
      </c>
      <c r="C345" s="4" t="str">
        <f>IFERROR(__xludf.DUMMYFUNCTION("""COMPUTED_VALUE"""),"Leonardo Roso")</f>
        <v>Leonardo Roso</v>
      </c>
      <c r="D345" s="4" t="str">
        <f>IFERROR(__xludf.DUMMYFUNCTION("""COMPUTED_VALUE"""),"0. Não Iniciado")</f>
        <v>0. Não Iniciado</v>
      </c>
      <c r="E345" s="4"/>
      <c r="F345" s="4" t="str">
        <f>IFERROR(__xludf.DUMMYFUNCTION("""COMPUTED_VALUE"""),"G")</f>
        <v>G</v>
      </c>
      <c r="G345" s="4"/>
      <c r="H345" s="4"/>
      <c r="I345" s="4"/>
      <c r="J345" s="4"/>
      <c r="K345" s="4"/>
      <c r="L345" s="4"/>
      <c r="M345" s="4"/>
      <c r="N345" s="4"/>
      <c r="O345" s="4"/>
      <c r="P345" s="4"/>
      <c r="Q345" s="4"/>
      <c r="R345" s="4"/>
      <c r="S345" s="4"/>
      <c r="T345" s="4"/>
      <c r="U345" s="4"/>
      <c r="V345" s="4"/>
      <c r="W345" s="4"/>
      <c r="X345" s="4"/>
      <c r="Y345" s="4"/>
      <c r="Z345" s="4"/>
      <c r="AA345" s="4">
        <f>IFERROR(__xludf.DUMMYFUNCTION("""COMPUTED_VALUE"""),150.0)</f>
        <v>150</v>
      </c>
      <c r="AB345" s="4" t="str">
        <f>IFERROR(__xludf.DUMMYFUNCTION("""COMPUTED_VALUE"""),"NÃO")</f>
        <v>NÃO</v>
      </c>
      <c r="AC345" s="4" t="str">
        <f>IFERROR(__xludf.DUMMYFUNCTION("""COMPUTED_VALUE"""),"Não BP")</f>
        <v>Não BP</v>
      </c>
      <c r="AD345" s="4"/>
      <c r="AE345" s="4"/>
      <c r="AF345" s="4"/>
      <c r="AG345" s="4"/>
      <c r="AH345" s="4"/>
      <c r="AI345" s="4"/>
      <c r="AJ345" s="4"/>
      <c r="AK345" s="4"/>
      <c r="AL345" s="4"/>
      <c r="AM345" s="4" t="str">
        <f>IFERROR(__xludf.DUMMYFUNCTION("""COMPUTED_VALUE"""),"FY26, FY27")</f>
        <v>FY26, FY27</v>
      </c>
      <c r="AN345" s="4"/>
      <c r="AO345" s="4">
        <f>IFERROR(__xludf.DUMMYFUNCTION("""COMPUTED_VALUE"""),45553.0)</f>
        <v>45553</v>
      </c>
      <c r="AP345" s="4">
        <f>IFERROR(__xludf.DUMMYFUNCTION("""COMPUTED_VALUE"""),0.0)</f>
        <v>0</v>
      </c>
      <c r="AQ345" s="4">
        <f>IFERROR(__xludf.DUMMYFUNCTION("""COMPUTED_VALUE"""),0.0)</f>
        <v>0</v>
      </c>
      <c r="AR345" s="4">
        <f>IFERROR(__xludf.DUMMYFUNCTION("""COMPUTED_VALUE"""),0.0)</f>
        <v>0</v>
      </c>
      <c r="AS345" s="4">
        <f>IFERROR(__xludf.DUMMYFUNCTION("""COMPUTED_VALUE"""),0.0)</f>
        <v>0</v>
      </c>
      <c r="AT345" s="4">
        <f>IFERROR(__xludf.DUMMYFUNCTION("""COMPUTED_VALUE"""),0.0)</f>
        <v>0</v>
      </c>
      <c r="AU345" s="4" t="str">
        <f>IFERROR(__xludf.DUMMYFUNCTION("""COMPUTED_VALUE"""),"Emerson / Leonardo Roso")</f>
        <v>Emerson / Leonardo Roso</v>
      </c>
      <c r="AV345" s="4" t="str">
        <f>IFERROR(__xludf.DUMMYFUNCTION("""COMPUTED_VALUE"""),"Comer Fora-")</f>
        <v>Comer Fora-</v>
      </c>
      <c r="AW345" s="4" t="str">
        <f>IFERROR(__xludf.DUMMYFUNCTION("""COMPUTED_VALUE"""),"G - pipe")</f>
        <v>G - pipe</v>
      </c>
      <c r="AX345" s="4"/>
      <c r="AY345" s="4" t="str">
        <f>IFERROR(__xludf.DUMMYFUNCTION("""COMPUTED_VALUE"""),"Ncr")</f>
        <v>Ncr</v>
      </c>
      <c r="AZ345" s="4" t="str">
        <f>IFERROR(__xludf.DUMMYFUNCTION("""COMPUTED_VALUE"""),"Lanches")</f>
        <v>Lanches</v>
      </c>
      <c r="BA345" s="4" t="str">
        <f>IFERROR(__xludf.DUMMYFUNCTION("""COMPUTED_VALUE"""),"")</f>
        <v/>
      </c>
      <c r="BB345" s="4" t="str">
        <f>IFERROR(__xludf.DUMMYFUNCTION("""COMPUTED_VALUE"""),"")</f>
        <v/>
      </c>
      <c r="BC345" s="4" t="str">
        <f>IFERROR(__xludf.DUMMYFUNCTION("""COMPUTED_VALUE"""),"")</f>
        <v/>
      </c>
      <c r="BD345" s="4" t="str">
        <f>IFERROR(__xludf.DUMMYFUNCTION("""COMPUTED_VALUE"""),"")</f>
        <v/>
      </c>
      <c r="BE345" s="4" t="str">
        <f>IFERROR(__xludf.DUMMYFUNCTION("""COMPUTED_VALUE"""),"")</f>
        <v/>
      </c>
      <c r="BF345" s="4" t="str">
        <f>IFERROR(__xludf.DUMMYFUNCTION("""COMPUTED_VALUE"""),"")</f>
        <v/>
      </c>
      <c r="BG345" s="4" t="str">
        <f>IFERROR(__xludf.DUMMYFUNCTION("""COMPUTED_VALUE"""),"")</f>
        <v/>
      </c>
      <c r="BH345" s="4" t="s">
        <v>64</v>
      </c>
      <c r="BI345" s="7">
        <v>0.46296296296296297</v>
      </c>
    </row>
    <row r="346" hidden="1">
      <c r="A346" s="4" t="str">
        <f>IFERROR(__xludf.DUMMYFUNCTION("""COMPUTED_VALUE"""),"Grupo Matilda")</f>
        <v>Grupo Matilda</v>
      </c>
      <c r="B346" s="4" t="str">
        <f>IFERROR(__xludf.DUMMYFUNCTION("""COMPUTED_VALUE"""),"João Biagiotti")</f>
        <v>João Biagiotti</v>
      </c>
      <c r="C346" s="4" t="str">
        <f>IFERROR(__xludf.DUMMYFUNCTION("""COMPUTED_VALUE"""),"Diego Santos")</f>
        <v>Diego Santos</v>
      </c>
      <c r="D346" s="4" t="str">
        <f>IFERROR(__xludf.DUMMYFUNCTION("""COMPUTED_VALUE"""),"0. Não Iniciado")</f>
        <v>0. Não Iniciado</v>
      </c>
      <c r="E346" s="4" t="str">
        <f>IFERROR(__xludf.DUMMYFUNCTION("""COMPUTED_VALUE"""),"Delivery - Momento inadequado de abordagem (ex. 99)")</f>
        <v>Delivery - Momento inadequado de abordagem (ex. 99)</v>
      </c>
      <c r="F346" s="4" t="str">
        <f>IFERROR(__xludf.DUMMYFUNCTION("""COMPUTED_VALUE"""),"P")</f>
        <v>P</v>
      </c>
      <c r="G346" s="5">
        <f>IFERROR(__xludf.DUMMYFUNCTION("""COMPUTED_VALUE"""),46104.0)</f>
        <v>46104</v>
      </c>
      <c r="H346" s="4" t="str">
        <f>IFERROR(__xludf.DUMMYFUNCTION("""COMPUTED_VALUE"""),"Aguardar mais 1 mês o relacionamento com iFood tentar amenizar. Parceiro está com muitas dificuldades com o Delivery, resultando num momento crítico para retomar abordagem.")</f>
        <v>Aguardar mais 1 mês o relacionamento com iFood tentar amenizar. Parceiro está com muitas dificuldades com o Delivery, resultando num momento crítico para retomar abordagem.</v>
      </c>
      <c r="I346" s="4"/>
      <c r="J346" s="4"/>
      <c r="K346" s="4"/>
      <c r="L346" s="4"/>
      <c r="M346" s="4"/>
      <c r="N346" s="4"/>
      <c r="O346" s="4"/>
      <c r="P346" s="4"/>
      <c r="Q346" s="4"/>
      <c r="R346" s="4"/>
      <c r="S346" s="4"/>
      <c r="T346" s="4"/>
      <c r="U346" s="4"/>
      <c r="V346" s="4"/>
      <c r="W346" s="4"/>
      <c r="X346" s="4"/>
      <c r="Y346" s="4"/>
      <c r="Z346" s="4"/>
      <c r="AA346" s="4">
        <f>IFERROR(__xludf.DUMMYFUNCTION("""COMPUTED_VALUE"""),9.0)</f>
        <v>9</v>
      </c>
      <c r="AB346" s="4" t="str">
        <f>IFERROR(__xludf.DUMMYFUNCTION("""COMPUTED_VALUE"""),"NÃO")</f>
        <v>NÃO</v>
      </c>
      <c r="AC346" s="4" t="str">
        <f>IFERROR(__xludf.DUMMYFUNCTION("""COMPUTED_VALUE"""),"BP")</f>
        <v>BP</v>
      </c>
      <c r="AD346" s="4"/>
      <c r="AE346" s="4"/>
      <c r="AF346" s="4"/>
      <c r="AG346" s="4"/>
      <c r="AH346" s="4"/>
      <c r="AI346" s="4"/>
      <c r="AJ346" s="4"/>
      <c r="AK346" s="4"/>
      <c r="AL346" s="4"/>
      <c r="AM346" s="4" t="str">
        <f>IFERROR(__xludf.DUMMYFUNCTION("""COMPUTED_VALUE"""),"FY26, FY27")</f>
        <v>FY26, FY27</v>
      </c>
      <c r="AN346" s="4" t="str">
        <f>IFERROR(__xludf.DUMMYFUNCTION("""COMPUTED_VALUE"""),"Comer Fora")</f>
        <v>Comer Fora</v>
      </c>
      <c r="AO346" s="4">
        <f>IFERROR(__xludf.DUMMYFUNCTION("""COMPUTED_VALUE"""),110.0)</f>
        <v>110</v>
      </c>
      <c r="AP346" s="4" t="str">
        <f>IFERROR(__xludf.DUMMYFUNCTION("""COMPUTED_VALUE"""),"SP")</f>
        <v>SP</v>
      </c>
      <c r="AQ346" s="4" t="str">
        <f>IFERROR(__xludf.DUMMYFUNCTION("""COMPUTED_VALUE"""),"RODRIGO BESSER")</f>
        <v>RODRIGO BESSER</v>
      </c>
      <c r="AR346" s="4" t="str">
        <f>IFERROR(__xludf.DUMMYFUNCTION("""COMPUTED_VALUE"""),"FERNANDA BENZZATTI")</f>
        <v>FERNANDA BENZZATTI</v>
      </c>
      <c r="AS346" s="4" t="str">
        <f>IFERROR(__xludf.DUMMYFUNCTION("""COMPUTED_VALUE"""),"NATHALIE MERTENS")</f>
        <v>NATHALIE MERTENS</v>
      </c>
      <c r="AT346" s="4" t="str">
        <f>IFERROR(__xludf.DUMMYFUNCTION("""COMPUTED_VALUE"""),"MARIANA KATZ")</f>
        <v>MARIANA KATZ</v>
      </c>
      <c r="AU346" s="4" t="str">
        <f>IFERROR(__xludf.DUMMYFUNCTION("""COMPUTED_VALUE"""),"Ana")</f>
        <v>Ana</v>
      </c>
      <c r="AV346" s="4" t="str">
        <f>IFERROR(__xludf.DUMMYFUNCTION("""COMPUTED_VALUE"""),"Comer Fora-")</f>
        <v>Comer Fora-</v>
      </c>
      <c r="AW346" s="20" t="str">
        <f>IFERROR(__xludf.DUMMYFUNCTION("""COMPUTED_VALUE"""),"P e M - pipe")</f>
        <v>P e M - pipe</v>
      </c>
      <c r="AX346" s="4"/>
      <c r="AY346" s="4"/>
      <c r="AZ346" s="4" t="str">
        <f>IFERROR(__xludf.DUMMYFUNCTION("""COMPUTED_VALUE"""),"Lanches")</f>
        <v>Lanches</v>
      </c>
      <c r="BA346" s="4">
        <f>IFERROR(__xludf.DUMMYFUNCTION("""COMPUTED_VALUE"""),125.0)</f>
        <v>125</v>
      </c>
      <c r="BB346" s="4" t="str">
        <f>IFERROR(__xludf.DUMMYFUNCTION("""COMPUTED_VALUE"""),"Grupo Multi-marca")</f>
        <v>Grupo Multi-marca</v>
      </c>
      <c r="BC346" s="4" t="str">
        <f>IFERROR(__xludf.DUMMYFUNCTION("""COMPUTED_VALUE"""),"Nordeste")</f>
        <v>Nordeste</v>
      </c>
      <c r="BD346" s="4" t="str">
        <f>IFERROR(__xludf.DUMMYFUNCTION("""COMPUTED_VALUE"""),"Dado não disponível publicamente - Necessário Discovery")</f>
        <v>Dado não disponível publicamente - Necessário Discovery</v>
      </c>
      <c r="BE346" s="4">
        <f>IFERROR(__xludf.DUMMYFUNCTION("""COMPUTED_VALUE"""),40.0)</f>
        <v>40</v>
      </c>
      <c r="BF346" s="4">
        <f>IFERROR(__xludf.DUMMYFUNCTION("""COMPUTED_VALUE"""),0.55)</f>
        <v>0.55</v>
      </c>
      <c r="BG346"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46" s="4" t="s">
        <v>129</v>
      </c>
      <c r="BI346" s="7">
        <v>0.875</v>
      </c>
    </row>
    <row r="347" hidden="1">
      <c r="A347" s="4" t="str">
        <f>IFERROR(__xludf.DUMMYFUNCTION("""COMPUTED_VALUE"""),"Grupo Mono (Sunomono)")</f>
        <v>Grupo Mono (Sunomono)</v>
      </c>
      <c r="B347" s="4" t="str">
        <f>IFERROR(__xludf.DUMMYFUNCTION("""COMPUTED_VALUE"""),"Lídia Esteves")</f>
        <v>Lídia Esteves</v>
      </c>
      <c r="C347" s="4" t="str">
        <f>IFERROR(__xludf.DUMMYFUNCTION("""COMPUTED_VALUE"""),"Gabriela Roma")</f>
        <v>Gabriela Roma</v>
      </c>
      <c r="D347" s="4" t="str">
        <f>IFERROR(__xludf.DUMMYFUNCTION("""COMPUTED_VALUE"""),"0. Não Iniciado")</f>
        <v>0. Não Iniciado</v>
      </c>
      <c r="E347" s="4"/>
      <c r="F347" s="4" t="str">
        <f>IFERROR(__xludf.DUMMYFUNCTION("""COMPUTED_VALUE"""),"P")</f>
        <v>P</v>
      </c>
      <c r="G347" s="4"/>
      <c r="H347" s="4"/>
      <c r="I347" s="4"/>
      <c r="J347" s="4"/>
      <c r="K347" s="4"/>
      <c r="L347" s="4"/>
      <c r="M347" s="4"/>
      <c r="N347" s="4"/>
      <c r="O347" s="4"/>
      <c r="P347" s="4"/>
      <c r="Q347" s="4"/>
      <c r="R347" s="4"/>
      <c r="S347" s="4"/>
      <c r="T347" s="4"/>
      <c r="U347" s="4"/>
      <c r="V347" s="4"/>
      <c r="W347" s="4"/>
      <c r="X347" s="4"/>
      <c r="Y347" s="4"/>
      <c r="Z347" s="4"/>
      <c r="AA347" s="4">
        <f>IFERROR(__xludf.DUMMYFUNCTION("""COMPUTED_VALUE"""),20.0)</f>
        <v>20</v>
      </c>
      <c r="AB347" s="4" t="str">
        <f>IFERROR(__xludf.DUMMYFUNCTION("""COMPUTED_VALUE"""),"NÃO")</f>
        <v>NÃO</v>
      </c>
      <c r="AC347" s="4" t="str">
        <f>IFERROR(__xludf.DUMMYFUNCTION("""COMPUTED_VALUE"""),"BP")</f>
        <v>BP</v>
      </c>
      <c r="AD347" s="4"/>
      <c r="AE347" s="4"/>
      <c r="AF347" s="4"/>
      <c r="AG347" s="4"/>
      <c r="AH347" s="4"/>
      <c r="AI347" s="4"/>
      <c r="AJ347" s="4"/>
      <c r="AK347" s="4"/>
      <c r="AL347" s="4"/>
      <c r="AM347" s="4" t="str">
        <f>IFERROR(__xludf.DUMMYFUNCTION("""COMPUTED_VALUE"""),"FY26, FY27")</f>
        <v>FY26, FY27</v>
      </c>
      <c r="AN347" s="4"/>
      <c r="AO347" s="4">
        <f>IFERROR(__xludf.DUMMYFUNCTION("""COMPUTED_VALUE"""),45553.0)</f>
        <v>45553</v>
      </c>
      <c r="AP347" s="4">
        <f>IFERROR(__xludf.DUMMYFUNCTION("""COMPUTED_VALUE"""),0.0)</f>
        <v>0</v>
      </c>
      <c r="AQ347" s="4">
        <f>IFERROR(__xludf.DUMMYFUNCTION("""COMPUTED_VALUE"""),0.0)</f>
        <v>0</v>
      </c>
      <c r="AR347" s="4">
        <f>IFERROR(__xludf.DUMMYFUNCTION("""COMPUTED_VALUE"""),0.0)</f>
        <v>0</v>
      </c>
      <c r="AS347" s="4">
        <f>IFERROR(__xludf.DUMMYFUNCTION("""COMPUTED_VALUE"""),0.0)</f>
        <v>0</v>
      </c>
      <c r="AT347" s="4">
        <f>IFERROR(__xludf.DUMMYFUNCTION("""COMPUTED_VALUE"""),0.0)</f>
        <v>0</v>
      </c>
      <c r="AU347" s="4" t="str">
        <f>IFERROR(__xludf.DUMMYFUNCTION("""COMPUTED_VALUE"""),"Emerson")</f>
        <v>Emerson</v>
      </c>
      <c r="AV347" s="4">
        <f>IFERROR(__xludf.DUMMYFUNCTION("""COMPUTED_VALUE"""),0.0)</f>
        <v>0</v>
      </c>
      <c r="AW347" s="4">
        <f>IFERROR(__xludf.DUMMYFUNCTION("""COMPUTED_VALUE"""),0.0)</f>
        <v>0</v>
      </c>
      <c r="AX347" s="4">
        <f>IFERROR(__xludf.DUMMYFUNCTION("""COMPUTED_VALUE"""),0.0)</f>
        <v>0</v>
      </c>
      <c r="AY347" s="4"/>
      <c r="AZ347" s="4" t="str">
        <f>IFERROR(__xludf.DUMMYFUNCTION("""COMPUTED_VALUE"""),"NA")</f>
        <v>NA</v>
      </c>
      <c r="BA347" s="4">
        <f>IFERROR(__xludf.DUMMYFUNCTION("""COMPUTED_VALUE"""),124.0)</f>
        <v>124</v>
      </c>
      <c r="BB347" s="4" t="str">
        <f>IFERROR(__xludf.DUMMYFUNCTION("""COMPUTED_VALUE"""),"Grupo Multi-marca")</f>
        <v>Grupo Multi-marca</v>
      </c>
      <c r="BC347" s="4" t="str">
        <f>IFERROR(__xludf.DUMMYFUNCTION("""COMPUTED_VALUE"""),"Regional")</f>
        <v>Regional</v>
      </c>
      <c r="BD347" s="4" t="str">
        <f>IFERROR(__xludf.DUMMYFUNCTION("""COMPUTED_VALUE"""),"Dado não disponível publicamente - Necessário Discovery")</f>
        <v>Dado não disponível publicamente - Necessário Discovery</v>
      </c>
      <c r="BE347" s="4">
        <f>IFERROR(__xludf.DUMMYFUNCTION("""COMPUTED_VALUE"""),40.0)</f>
        <v>40</v>
      </c>
      <c r="BF347" s="4">
        <f>IFERROR(__xludf.DUMMYFUNCTION("""COMPUTED_VALUE"""),0.55)</f>
        <v>0.55</v>
      </c>
      <c r="BG347"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47" s="4" t="s">
        <v>63</v>
      </c>
      <c r="BI347" s="7" t="s">
        <v>63</v>
      </c>
    </row>
    <row r="348" hidden="1">
      <c r="A348" s="4" t="str">
        <f>IFERROR(__xludf.DUMMYFUNCTION("""COMPUTED_VALUE"""),"Grupo Mori")</f>
        <v>Grupo Mori</v>
      </c>
      <c r="B348" s="4" t="str">
        <f>IFERROR(__xludf.DUMMYFUNCTION("""COMPUTED_VALUE"""),"João Biagiotti")</f>
        <v>João Biagiotti</v>
      </c>
      <c r="C348" s="4" t="str">
        <f>IFERROR(__xludf.DUMMYFUNCTION("""COMPUTED_VALUE"""),"Diego Santos")</f>
        <v>Diego Santos</v>
      </c>
      <c r="D348" s="4" t="str">
        <f>IFERROR(__xludf.DUMMYFUNCTION("""COMPUTED_VALUE"""),"11. Stand by")</f>
        <v>11. Stand by</v>
      </c>
      <c r="E348" s="4" t="str">
        <f>IFERROR(__xludf.DUMMYFUNCTION("""COMPUTED_VALUE"""),"Delivery - Momento inadequado de abordagem (ex. 99)")</f>
        <v>Delivery - Momento inadequado de abordagem (ex. 99)</v>
      </c>
      <c r="F348" s="4" t="str">
        <f>IFERROR(__xludf.DUMMYFUNCTION("""COMPUTED_VALUE"""),"P")</f>
        <v>P</v>
      </c>
      <c r="G348" s="5">
        <f>IFERROR(__xludf.DUMMYFUNCTION("""COMPUTED_VALUE"""),46076.0)</f>
        <v>46076</v>
      </c>
      <c r="H348" s="4" t="str">
        <f>IFERROR(__xludf.DUMMYFUNCTION("""COMPUTED_VALUE"""),"Quer redução no delivery, não irá avançar na negociação enquanto não acontecer. Previsão Março/Abril/26")</f>
        <v>Quer redução no delivery, não irá avançar na negociação enquanto não acontecer. Previsão Março/Abril/26</v>
      </c>
      <c r="I348" s="4"/>
      <c r="J348" s="4"/>
      <c r="K348" s="6">
        <f>IFERROR(__xludf.DUMMYFUNCTION("""COMPUTED_VALUE"""),45939.0)</f>
        <v>45939</v>
      </c>
      <c r="L348" s="4"/>
      <c r="M348" s="4"/>
      <c r="N348" s="6">
        <f>IFERROR(__xludf.DUMMYFUNCTION("""COMPUTED_VALUE"""),46051.69788383102)</f>
        <v>46051.69788</v>
      </c>
      <c r="O348" s="4"/>
      <c r="P348" s="4"/>
      <c r="Q348" s="4"/>
      <c r="R348" s="4"/>
      <c r="S348" s="6">
        <f>IFERROR(__xludf.DUMMYFUNCTION("""COMPUTED_VALUE"""),46062.42313418981)</f>
        <v>46062.42313</v>
      </c>
      <c r="T348" s="4"/>
      <c r="U348" s="4"/>
      <c r="V348" s="4" t="str">
        <f>IFERROR(__xludf.DUMMYFUNCTION("""COMPUTED_VALUE"""),"Atrito Negociação")</f>
        <v>Atrito Negociação</v>
      </c>
      <c r="W348" s="4"/>
      <c r="X348" s="4"/>
      <c r="Y348" s="4"/>
      <c r="Z348" s="4"/>
      <c r="AA348" s="4">
        <f>IFERROR(__xludf.DUMMYFUNCTION("""COMPUTED_VALUE"""),5.0)</f>
        <v>5</v>
      </c>
      <c r="AB348" s="4" t="str">
        <f>IFERROR(__xludf.DUMMYFUNCTION("""COMPUTED_VALUE"""),"NÃO")</f>
        <v>NÃO</v>
      </c>
      <c r="AC348" s="4" t="str">
        <f>IFERROR(__xludf.DUMMYFUNCTION("""COMPUTED_VALUE"""),"BP")</f>
        <v>BP</v>
      </c>
      <c r="AD348" s="4"/>
      <c r="AE348" s="4"/>
      <c r="AF348" s="4"/>
      <c r="AG348" s="4"/>
      <c r="AH348" s="4"/>
      <c r="AI348" s="4"/>
      <c r="AJ348" s="4"/>
      <c r="AK348" s="4"/>
      <c r="AL348" s="4"/>
      <c r="AM348" s="4" t="str">
        <f>IFERROR(__xludf.DUMMYFUNCTION("""COMPUTED_VALUE"""),"FY26, FY27")</f>
        <v>FY26, FY27</v>
      </c>
      <c r="AN348" s="4" t="str">
        <f>IFERROR(__xludf.DUMMYFUNCTION("""COMPUTED_VALUE"""),"Comer Fora")</f>
        <v>Comer Fora</v>
      </c>
      <c r="AO348" s="4">
        <f>IFERROR(__xludf.DUMMYFUNCTION("""COMPUTED_VALUE"""),140.0)</f>
        <v>140</v>
      </c>
      <c r="AP348" s="4" t="str">
        <f>IFERROR(__xludf.DUMMYFUNCTION("""COMPUTED_VALUE"""),"SP")</f>
        <v>SP</v>
      </c>
      <c r="AQ348" s="4" t="str">
        <f>IFERROR(__xludf.DUMMYFUNCTION("""COMPUTED_VALUE"""),"GABRIEL BISPO")</f>
        <v>GABRIEL BISPO</v>
      </c>
      <c r="AR348" s="4" t="str">
        <f>IFERROR(__xludf.DUMMYFUNCTION("""COMPUTED_VALUE"""),"RICARDO SILVEIRA")</f>
        <v>RICARDO SILVEIRA</v>
      </c>
      <c r="AS348" s="4" t="str">
        <f>IFERROR(__xludf.DUMMYFUNCTION("""COMPUTED_VALUE"""),"NATHALIE MERTENS")</f>
        <v>NATHALIE MERTENS</v>
      </c>
      <c r="AT348" s="4" t="str">
        <f>IFERROR(__xludf.DUMMYFUNCTION("""COMPUTED_VALUE"""),"MARIANA KATZ")</f>
        <v>MARIANA KATZ</v>
      </c>
      <c r="AU348" s="4" t="str">
        <f>IFERROR(__xludf.DUMMYFUNCTION("""COMPUTED_VALUE"""),"Lídia")</f>
        <v>Lídia</v>
      </c>
      <c r="AV348" s="4" t="str">
        <f>IFERROR(__xludf.DUMMYFUNCTION("""COMPUTED_VALUE"""),"Comer Fora-")</f>
        <v>Comer Fora-</v>
      </c>
      <c r="AW348" s="20" t="str">
        <f>IFERROR(__xludf.DUMMYFUNCTION("""COMPUTED_VALUE"""),"P e M - pipe")</f>
        <v>P e M - pipe</v>
      </c>
      <c r="AX348" s="4"/>
      <c r="AY348" s="4"/>
      <c r="AZ348" s="4" t="str">
        <f>IFERROR(__xludf.DUMMYFUNCTION("""COMPUTED_VALUE"""),"Japonesa")</f>
        <v>Japonesa</v>
      </c>
      <c r="BA348" s="4">
        <f>IFERROR(__xludf.DUMMYFUNCTION("""COMPUTED_VALUE"""),110.0)</f>
        <v>110</v>
      </c>
      <c r="BB348" s="4" t="str">
        <f>IFERROR(__xludf.DUMMYFUNCTION("""COMPUTED_VALUE"""),"Grupo Multi-marca")</f>
        <v>Grupo Multi-marca</v>
      </c>
      <c r="BC348" s="4" t="str">
        <f>IFERROR(__xludf.DUMMYFUNCTION("""COMPUTED_VALUE"""),"São Paulo/SP")</f>
        <v>São Paulo/SP</v>
      </c>
      <c r="BD348" s="4" t="str">
        <f>IFERROR(__xludf.DUMMYFUNCTION("""COMPUTED_VALUE"""),"Dado não disponível publicamente - Necessário Discovery")</f>
        <v>Dado não disponível publicamente - Necessário Discovery</v>
      </c>
      <c r="BE348" s="4">
        <f>IFERROR(__xludf.DUMMYFUNCTION("""COMPUTED_VALUE"""),45.0)</f>
        <v>45</v>
      </c>
      <c r="BF348" s="4">
        <f>IFERROR(__xludf.DUMMYFUNCTION("""COMPUTED_VALUE"""),0.55)</f>
        <v>0.55</v>
      </c>
      <c r="BG348"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48" s="4" t="s">
        <v>63</v>
      </c>
      <c r="BI348" s="7" t="s">
        <v>63</v>
      </c>
    </row>
    <row r="349" hidden="1">
      <c r="A349" s="4" t="str">
        <f>IFERROR(__xludf.DUMMYFUNCTION("""COMPUTED_VALUE"""),"Grupo Mult")</f>
        <v>Grupo Mult</v>
      </c>
      <c r="B349" s="4" t="str">
        <f>IFERROR(__xludf.DUMMYFUNCTION("""COMPUTED_VALUE"""),"Lídia Esteves")</f>
        <v>Lídia Esteves</v>
      </c>
      <c r="C349" s="4" t="str">
        <f>IFERROR(__xludf.DUMMYFUNCTION("""COMPUTED_VALUE"""),"Gabriela Roma")</f>
        <v>Gabriela Roma</v>
      </c>
      <c r="D349" s="4" t="str">
        <f>IFERROR(__xludf.DUMMYFUNCTION("""COMPUTED_VALUE"""),"11. Stand by")</f>
        <v>11. Stand by</v>
      </c>
      <c r="E349" s="4" t="str">
        <f>IFERROR(__xludf.DUMMYFUNCTION("""COMPUTED_VALUE"""),"Parceiro - Aguardando retorno / Conciliação agenda")</f>
        <v>Parceiro - Aguardando retorno / Conciliação agenda</v>
      </c>
      <c r="F349" s="4" t="str">
        <f>IFERROR(__xludf.DUMMYFUNCTION("""COMPUTED_VALUE"""),"P")</f>
        <v>P</v>
      </c>
      <c r="G349" s="5">
        <f>IFERROR(__xludf.DUMMYFUNCTION("""COMPUTED_VALUE"""),46076.0)</f>
        <v>46076</v>
      </c>
      <c r="H349" s="4" t="str">
        <f>IFERROR(__xludf.DUMMYFUNCTION("""COMPUTED_VALUE"""),"Parceiro tem interesse em fazer piloto mas pediu para retornar no segundo semestre, devido expansão da marca.")</f>
        <v>Parceiro tem interesse em fazer piloto mas pediu para retornar no segundo semestre, devido expansão da marca.</v>
      </c>
      <c r="I349" s="4"/>
      <c r="J349" s="4"/>
      <c r="K349" s="6">
        <f>IFERROR(__xludf.DUMMYFUNCTION("""COMPUTED_VALUE"""),45960.0)</f>
        <v>45960</v>
      </c>
      <c r="L349" s="4"/>
      <c r="M349" s="4"/>
      <c r="N349" s="4"/>
      <c r="O349" s="4"/>
      <c r="P349" s="4"/>
      <c r="Q349" s="4"/>
      <c r="R349" s="4"/>
      <c r="S349" s="6">
        <f>IFERROR(__xludf.DUMMYFUNCTION("""COMPUTED_VALUE"""),46080.7483103125)</f>
        <v>46080.74831</v>
      </c>
      <c r="T349" s="4"/>
      <c r="U349" s="4"/>
      <c r="V349" s="4" t="str">
        <f>IFERROR(__xludf.DUMMYFUNCTION("""COMPUTED_VALUE"""),"Trava por projetos internos da marca")</f>
        <v>Trava por projetos internos da marca</v>
      </c>
      <c r="W349" s="4"/>
      <c r="X349" s="4"/>
      <c r="Y349" s="4"/>
      <c r="Z349" s="4"/>
      <c r="AA349" s="4">
        <f>IFERROR(__xludf.DUMMYFUNCTION("""COMPUTED_VALUE"""),16.0)</f>
        <v>16</v>
      </c>
      <c r="AB349" s="4" t="str">
        <f>IFERROR(__xludf.DUMMYFUNCTION("""COMPUTED_VALUE"""),"NÃO")</f>
        <v>NÃO</v>
      </c>
      <c r="AC349" s="4" t="str">
        <f>IFERROR(__xludf.DUMMYFUNCTION("""COMPUTED_VALUE"""),"Não BP")</f>
        <v>Não BP</v>
      </c>
      <c r="AD349" s="4"/>
      <c r="AE349" s="4"/>
      <c r="AF349" s="4"/>
      <c r="AG349" s="4"/>
      <c r="AH349" s="4"/>
      <c r="AI349" s="4"/>
      <c r="AJ349" s="4"/>
      <c r="AK349" s="4"/>
      <c r="AL349" s="4"/>
      <c r="AM349" s="4" t="str">
        <f>IFERROR(__xludf.DUMMYFUNCTION("""COMPUTED_VALUE"""),"FY26, FY27")</f>
        <v>FY26, FY27</v>
      </c>
      <c r="AN349" s="4"/>
      <c r="AO349" s="4">
        <f>IFERROR(__xludf.DUMMYFUNCTION("""COMPUTED_VALUE"""),140.0)</f>
        <v>140</v>
      </c>
      <c r="AP349" s="4" t="str">
        <f>IFERROR(__xludf.DUMMYFUNCTION("""COMPUTED_VALUE"""),"DF")</f>
        <v>DF</v>
      </c>
      <c r="AQ349" s="4" t="str">
        <f>IFERROR(__xludf.DUMMYFUNCTION("""COMPUTED_VALUE"""),"RAFAEL PEDRO")</f>
        <v>RAFAEL PEDRO</v>
      </c>
      <c r="AR349" s="4" t="str">
        <f>IFERROR(__xludf.DUMMYFUNCTION("""COMPUTED_VALUE"""),"ELISANGELA LOIOLA")</f>
        <v>ELISANGELA LOIOLA</v>
      </c>
      <c r="AS349" s="4" t="str">
        <f>IFERROR(__xludf.DUMMYFUNCTION("""COMPUTED_VALUE"""),"THIAGO ROMAGNOLE")</f>
        <v>THIAGO ROMAGNOLE</v>
      </c>
      <c r="AT349" s="4" t="str">
        <f>IFERROR(__xludf.DUMMYFUNCTION("""COMPUTED_VALUE"""),"PAULO MODESTO")</f>
        <v>PAULO MODESTO</v>
      </c>
      <c r="AU349" s="4" t="str">
        <f>IFERROR(__xludf.DUMMYFUNCTION("""COMPUTED_VALUE"""),"Lídia")</f>
        <v>Lídia</v>
      </c>
      <c r="AV349" s="4">
        <f>IFERROR(__xludf.DUMMYFUNCTION("""COMPUTED_VALUE"""),0.0)</f>
        <v>0</v>
      </c>
      <c r="AW349" s="4">
        <f>IFERROR(__xludf.DUMMYFUNCTION("""COMPUTED_VALUE"""),0.0)</f>
        <v>0</v>
      </c>
      <c r="AX349" s="4">
        <f>IFERROR(__xludf.DUMMYFUNCTION("""COMPUTED_VALUE"""),0.0)</f>
        <v>0</v>
      </c>
      <c r="AY349" s="4"/>
      <c r="AZ349" s="4" t="str">
        <f>IFERROR(__xludf.DUMMYFUNCTION("""COMPUTED_VALUE"""),"Brasileira")</f>
        <v>Brasileira</v>
      </c>
      <c r="BA349" s="4">
        <f>IFERROR(__xludf.DUMMYFUNCTION("""COMPUTED_VALUE"""),110.0)</f>
        <v>110</v>
      </c>
      <c r="BB349" s="4" t="str">
        <f>IFERROR(__xludf.DUMMYFUNCTION("""COMPUTED_VALUE"""),"Grupo Multi-marca")</f>
        <v>Grupo Multi-marca</v>
      </c>
      <c r="BC349" s="4" t="str">
        <f>IFERROR(__xludf.DUMMYFUNCTION("""COMPUTED_VALUE"""),"Sudeste")</f>
        <v>Sudeste</v>
      </c>
      <c r="BD349" s="4" t="str">
        <f>IFERROR(__xludf.DUMMYFUNCTION("""COMPUTED_VALUE"""),"Dado não disponível publicamente - Necessário Discovery")</f>
        <v>Dado não disponível publicamente - Necessário Discovery</v>
      </c>
      <c r="BE349" s="4">
        <f>IFERROR(__xludf.DUMMYFUNCTION("""COMPUTED_VALUE"""),40.0)</f>
        <v>40</v>
      </c>
      <c r="BF349" s="4">
        <f>IFERROR(__xludf.DUMMYFUNCTION("""COMPUTED_VALUE"""),0.55)</f>
        <v>0.55</v>
      </c>
      <c r="BG349"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49" s="4" t="s">
        <v>74</v>
      </c>
      <c r="BI349" s="7">
        <v>1.0</v>
      </c>
    </row>
    <row r="350" hidden="1">
      <c r="A350" s="4" t="str">
        <f>IFERROR(__xludf.DUMMYFUNCTION("""COMPUTED_VALUE"""),"Grupo Nori (Es)")</f>
        <v>Grupo Nori (Es)</v>
      </c>
      <c r="B350" s="4" t="str">
        <f>IFERROR(__xludf.DUMMYFUNCTION("""COMPUTED_VALUE"""),"Lídia Esteves")</f>
        <v>Lídia Esteves</v>
      </c>
      <c r="C350" s="4" t="str">
        <f>IFERROR(__xludf.DUMMYFUNCTION("""COMPUTED_VALUE"""),"Gabriela Roma")</f>
        <v>Gabriela Roma</v>
      </c>
      <c r="D350" s="4" t="str">
        <f>IFERROR(__xludf.DUMMYFUNCTION("""COMPUTED_VALUE"""),"0. Não Iniciado")</f>
        <v>0. Não Iniciado</v>
      </c>
      <c r="E350" s="4" t="str">
        <f>IFERROR(__xludf.DUMMYFUNCTION("""COMPUTED_VALUE"""),"Comercial - Contato realizado com parceiro")</f>
        <v>Comercial - Contato realizado com parceiro</v>
      </c>
      <c r="F350" s="4" t="str">
        <f>IFERROR(__xludf.DUMMYFUNCTION("""COMPUTED_VALUE"""),"P")</f>
        <v>P</v>
      </c>
      <c r="G350" s="5">
        <f>IFERROR(__xludf.DUMMYFUNCTION("""COMPUTED_VALUE"""),46064.0)</f>
        <v>46064</v>
      </c>
      <c r="H350" s="4" t="str">
        <f>IFERROR(__xludf.DUMMYFUNCTION("""COMPUTED_VALUE"""),"Tentativa de retomada de conversa com Victor")</f>
        <v>Tentativa de retomada de conversa com Victor</v>
      </c>
      <c r="I350" s="4"/>
      <c r="J350" s="4"/>
      <c r="K350" s="4"/>
      <c r="L350" s="4"/>
      <c r="M350" s="4"/>
      <c r="N350" s="4"/>
      <c r="O350" s="4"/>
      <c r="P350" s="4"/>
      <c r="Q350" s="4"/>
      <c r="R350" s="4"/>
      <c r="S350" s="4"/>
      <c r="T350" s="4"/>
      <c r="U350" s="4"/>
      <c r="V350" s="4"/>
      <c r="W350" s="4"/>
      <c r="X350" s="4"/>
      <c r="Y350" s="4"/>
      <c r="Z350" s="4"/>
      <c r="AA350" s="4">
        <f>IFERROR(__xludf.DUMMYFUNCTION("""COMPUTED_VALUE"""),18.0)</f>
        <v>18</v>
      </c>
      <c r="AB350" s="4" t="str">
        <f>IFERROR(__xludf.DUMMYFUNCTION("""COMPUTED_VALUE"""),"NÃO")</f>
        <v>NÃO</v>
      </c>
      <c r="AC350" s="4" t="str">
        <f>IFERROR(__xludf.DUMMYFUNCTION("""COMPUTED_VALUE"""),"BP")</f>
        <v>BP</v>
      </c>
      <c r="AD350" s="4"/>
      <c r="AE350" s="4"/>
      <c r="AF350" s="4"/>
      <c r="AG350" s="4"/>
      <c r="AH350" s="4"/>
      <c r="AI350" s="4"/>
      <c r="AJ350" s="4"/>
      <c r="AK350" s="4"/>
      <c r="AL350" s="4"/>
      <c r="AM350" s="4" t="str">
        <f>IFERROR(__xludf.DUMMYFUNCTION("""COMPUTED_VALUE"""),"FY26, FY27")</f>
        <v>FY26, FY27</v>
      </c>
      <c r="AN350" s="4"/>
      <c r="AO350" s="4">
        <f>IFERROR(__xludf.DUMMYFUNCTION("""COMPUTED_VALUE"""),152.0)</f>
        <v>152</v>
      </c>
      <c r="AP350" s="4">
        <f>IFERROR(__xludf.DUMMYFUNCTION("""COMPUTED_VALUE"""),0.0)</f>
        <v>0</v>
      </c>
      <c r="AQ350" s="4">
        <f>IFERROR(__xludf.DUMMYFUNCTION("""COMPUTED_VALUE"""),0.0)</f>
        <v>0</v>
      </c>
      <c r="AR350" s="4">
        <f>IFERROR(__xludf.DUMMYFUNCTION("""COMPUTED_VALUE"""),0.0)</f>
        <v>0</v>
      </c>
      <c r="AS350" s="4">
        <f>IFERROR(__xludf.DUMMYFUNCTION("""COMPUTED_VALUE"""),0.0)</f>
        <v>0</v>
      </c>
      <c r="AT350" s="4">
        <f>IFERROR(__xludf.DUMMYFUNCTION("""COMPUTED_VALUE"""),0.0)</f>
        <v>0</v>
      </c>
      <c r="AU350" s="4" t="str">
        <f>IFERROR(__xludf.DUMMYFUNCTION("""COMPUTED_VALUE"""),"Mariana")</f>
        <v>Mariana</v>
      </c>
      <c r="AV350" s="4">
        <f>IFERROR(__xludf.DUMMYFUNCTION("""COMPUTED_VALUE"""),0.0)</f>
        <v>0</v>
      </c>
      <c r="AW350" s="4">
        <f>IFERROR(__xludf.DUMMYFUNCTION("""COMPUTED_VALUE"""),0.0)</f>
        <v>0</v>
      </c>
      <c r="AX350" s="4">
        <f>IFERROR(__xludf.DUMMYFUNCTION("""COMPUTED_VALUE"""),0.0)</f>
        <v>0</v>
      </c>
      <c r="AY350" s="4"/>
      <c r="AZ350" s="4" t="str">
        <f>IFERROR(__xludf.DUMMYFUNCTION("""COMPUTED_VALUE"""),"NA")</f>
        <v>NA</v>
      </c>
      <c r="BA350" s="4">
        <f>IFERROR(__xludf.DUMMYFUNCTION("""COMPUTED_VALUE"""),87.0)</f>
        <v>87</v>
      </c>
      <c r="BB350" s="4" t="str">
        <f>IFERROR(__xludf.DUMMYFUNCTION("""COMPUTED_VALUE"""),"Grupo Multi-marca")</f>
        <v>Grupo Multi-marca</v>
      </c>
      <c r="BC350" s="4" t="str">
        <f>IFERROR(__xludf.DUMMYFUNCTION("""COMPUTED_VALUE"""),"Nacional")</f>
        <v>Nacional</v>
      </c>
      <c r="BD350" s="4" t="str">
        <f>IFERROR(__xludf.DUMMYFUNCTION("""COMPUTED_VALUE"""),"Dado não disponível publicamente - Necessário Discovery")</f>
        <v>Dado não disponível publicamente - Necessário Discovery</v>
      </c>
      <c r="BE350" s="4">
        <f>IFERROR(__xludf.DUMMYFUNCTION("""COMPUTED_VALUE"""),40.0)</f>
        <v>40</v>
      </c>
      <c r="BF350" s="4">
        <f>IFERROR(__xludf.DUMMYFUNCTION("""COMPUTED_VALUE"""),0.55)</f>
        <v>0.55</v>
      </c>
      <c r="BG350"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50" s="4" t="s">
        <v>63</v>
      </c>
      <c r="BI350" s="7" t="s">
        <v>63</v>
      </c>
    </row>
    <row r="351" hidden="1">
      <c r="A351" s="4" t="str">
        <f>IFERROR(__xludf.DUMMYFUNCTION("""COMPUTED_VALUE"""),"Grupo O Brazeiro")</f>
        <v>Grupo O Brazeiro</v>
      </c>
      <c r="B351" s="4" t="str">
        <f>IFERROR(__xludf.DUMMYFUNCTION("""COMPUTED_VALUE"""),"João Biagiotti")</f>
        <v>João Biagiotti</v>
      </c>
      <c r="C351" s="4" t="str">
        <f>IFERROR(__xludf.DUMMYFUNCTION("""COMPUTED_VALUE"""),"Diego Santos")</f>
        <v>Diego Santos</v>
      </c>
      <c r="D351" s="4" t="str">
        <f>IFERROR(__xludf.DUMMYFUNCTION("""COMPUTED_VALUE"""),"0. Não Iniciado")</f>
        <v>0. Não Iniciado</v>
      </c>
      <c r="E351" s="4" t="str">
        <f>IFERROR(__xludf.DUMMYFUNCTION("""COMPUTED_VALUE"""),"Delivery - Dificuldade de contato com executivo")</f>
        <v>Delivery - Dificuldade de contato com executivo</v>
      </c>
      <c r="F351" s="4" t="str">
        <f>IFERROR(__xludf.DUMMYFUNCTION("""COMPUTED_VALUE"""),"P")</f>
        <v>P</v>
      </c>
      <c r="G351" s="5">
        <f>IFERROR(__xludf.DUMMYFUNCTION("""COMPUTED_VALUE"""),46076.0)</f>
        <v>46076</v>
      </c>
      <c r="H351" s="4" t="str">
        <f>IFERROR(__xludf.DUMMYFUNCTION("""COMPUTED_VALUE"""),"Pedi apoio do KA Talita, aguardando devolutiva.")</f>
        <v>Pedi apoio do KA Talita, aguardando devolutiva.</v>
      </c>
      <c r="I351" s="4"/>
      <c r="J351" s="4"/>
      <c r="K351" s="4"/>
      <c r="L351" s="4"/>
      <c r="M351" s="4"/>
      <c r="N351" s="4"/>
      <c r="O351" s="4"/>
      <c r="P351" s="4"/>
      <c r="Q351" s="4"/>
      <c r="R351" s="4"/>
      <c r="S351" s="4"/>
      <c r="T351" s="4"/>
      <c r="U351" s="4"/>
      <c r="V351" s="4"/>
      <c r="W351" s="4"/>
      <c r="X351" s="4"/>
      <c r="Y351" s="4"/>
      <c r="Z351" s="4"/>
      <c r="AA351" s="4">
        <f>IFERROR(__xludf.DUMMYFUNCTION("""COMPUTED_VALUE"""),3.0)</f>
        <v>3</v>
      </c>
      <c r="AB351" s="4" t="str">
        <f>IFERROR(__xludf.DUMMYFUNCTION("""COMPUTED_VALUE"""),"NÃO")</f>
        <v>NÃO</v>
      </c>
      <c r="AC351" s="4" t="str">
        <f>IFERROR(__xludf.DUMMYFUNCTION("""COMPUTED_VALUE"""),"BP")</f>
        <v>BP</v>
      </c>
      <c r="AD351" s="4"/>
      <c r="AE351" s="4"/>
      <c r="AF351" s="4"/>
      <c r="AG351" s="4"/>
      <c r="AH351" s="4"/>
      <c r="AI351" s="4"/>
      <c r="AJ351" s="4"/>
      <c r="AK351" s="4"/>
      <c r="AL351" s="4"/>
      <c r="AM351" s="4" t="str">
        <f>IFERROR(__xludf.DUMMYFUNCTION("""COMPUTED_VALUE"""),"FY26, FY27")</f>
        <v>FY26, FY27</v>
      </c>
      <c r="AN351" s="4"/>
      <c r="AO351" s="4">
        <f>IFERROR(__xludf.DUMMYFUNCTION("""COMPUTED_VALUE"""),140.0)</f>
        <v>140</v>
      </c>
      <c r="AP351" s="4">
        <f>IFERROR(__xludf.DUMMYFUNCTION("""COMPUTED_VALUE"""),0.0)</f>
        <v>0</v>
      </c>
      <c r="AQ351" s="4">
        <f>IFERROR(__xludf.DUMMYFUNCTION("""COMPUTED_VALUE"""),0.0)</f>
        <v>0</v>
      </c>
      <c r="AR351" s="4">
        <f>IFERROR(__xludf.DUMMYFUNCTION("""COMPUTED_VALUE"""),0.0)</f>
        <v>0</v>
      </c>
      <c r="AS351" s="4">
        <f>IFERROR(__xludf.DUMMYFUNCTION("""COMPUTED_VALUE"""),0.0)</f>
        <v>0</v>
      </c>
      <c r="AT351" s="4">
        <f>IFERROR(__xludf.DUMMYFUNCTION("""COMPUTED_VALUE"""),0.0)</f>
        <v>0</v>
      </c>
      <c r="AU351" s="4" t="str">
        <f>IFERROR(__xludf.DUMMYFUNCTION("""COMPUTED_VALUE"""),"Iza")</f>
        <v>Iza</v>
      </c>
      <c r="AV351" s="4">
        <f>IFERROR(__xludf.DUMMYFUNCTION("""COMPUTED_VALUE"""),0.0)</f>
        <v>0</v>
      </c>
      <c r="AW351" s="4">
        <f>IFERROR(__xludf.DUMMYFUNCTION("""COMPUTED_VALUE"""),0.0)</f>
        <v>0</v>
      </c>
      <c r="AX351" s="4">
        <f>IFERROR(__xludf.DUMMYFUNCTION("""COMPUTED_VALUE"""),0.0)</f>
        <v>0</v>
      </c>
      <c r="AY351" s="4"/>
      <c r="AZ351" s="4" t="str">
        <f>IFERROR(__xludf.DUMMYFUNCTION("""COMPUTED_VALUE"""),"Brasileira")</f>
        <v>Brasileira</v>
      </c>
      <c r="BA351" s="4">
        <f>IFERROR(__xludf.DUMMYFUNCTION("""COMPUTED_VALUE"""),99.0)</f>
        <v>99</v>
      </c>
      <c r="BB351" s="4" t="str">
        <f>IFERROR(__xludf.DUMMYFUNCTION("""COMPUTED_VALUE"""),"Grupo Multi-marca")</f>
        <v>Grupo Multi-marca</v>
      </c>
      <c r="BC351" s="4" t="str">
        <f>IFERROR(__xludf.DUMMYFUNCTION("""COMPUTED_VALUE"""),"Interior SP")</f>
        <v>Interior SP</v>
      </c>
      <c r="BD351" s="4" t="str">
        <f>IFERROR(__xludf.DUMMYFUNCTION("""COMPUTED_VALUE"""),"Dado não disponível publicamente - Necessário Discovery")</f>
        <v>Dado não disponível publicamente - Necessário Discovery</v>
      </c>
      <c r="BE351" s="4">
        <f>IFERROR(__xludf.DUMMYFUNCTION("""COMPUTED_VALUE"""),45.0)</f>
        <v>45</v>
      </c>
      <c r="BF351" s="4">
        <f>IFERROR(__xludf.DUMMYFUNCTION("""COMPUTED_VALUE"""),0.55)</f>
        <v>0.55</v>
      </c>
      <c r="BG351"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51" s="4" t="s">
        <v>74</v>
      </c>
      <c r="BI351" s="7">
        <v>1.0</v>
      </c>
    </row>
    <row r="352" hidden="1">
      <c r="A352" s="4" t="str">
        <f>IFERROR(__xludf.DUMMYFUNCTION("""COMPUTED_VALUE"""),"Grupo Pizza E Cia")</f>
        <v>Grupo Pizza E Cia</v>
      </c>
      <c r="B352" s="4" t="str">
        <f>IFERROR(__xludf.DUMMYFUNCTION("""COMPUTED_VALUE"""),"Lídia Esteves")</f>
        <v>Lídia Esteves</v>
      </c>
      <c r="C352" s="4" t="str">
        <f>IFERROR(__xludf.DUMMYFUNCTION("""COMPUTED_VALUE"""),"Gabriela Roma")</f>
        <v>Gabriela Roma</v>
      </c>
      <c r="D352" s="4" t="str">
        <f>IFERROR(__xludf.DUMMYFUNCTION("""COMPUTED_VALUE"""),"0. Não Iniciado")</f>
        <v>0. Não Iniciado</v>
      </c>
      <c r="E352" s="4"/>
      <c r="F352" s="4" t="str">
        <f>IFERROR(__xludf.DUMMYFUNCTION("""COMPUTED_VALUE"""),"P")</f>
        <v>P</v>
      </c>
      <c r="G352" s="4"/>
      <c r="H352" s="4"/>
      <c r="I352" s="4"/>
      <c r="J352" s="4"/>
      <c r="K352" s="4"/>
      <c r="L352" s="4"/>
      <c r="M352" s="4"/>
      <c r="N352" s="4"/>
      <c r="O352" s="4"/>
      <c r="P352" s="4"/>
      <c r="Q352" s="4"/>
      <c r="R352" s="4"/>
      <c r="S352" s="4"/>
      <c r="T352" s="4"/>
      <c r="U352" s="4"/>
      <c r="V352" s="4"/>
      <c r="W352" s="4"/>
      <c r="X352" s="4"/>
      <c r="Y352" s="4"/>
      <c r="Z352" s="4"/>
      <c r="AA352" s="4">
        <f>IFERROR(__xludf.DUMMYFUNCTION("""COMPUTED_VALUE"""),2.0)</f>
        <v>2</v>
      </c>
      <c r="AB352" s="4" t="str">
        <f>IFERROR(__xludf.DUMMYFUNCTION("""COMPUTED_VALUE"""),"-")</f>
        <v>-</v>
      </c>
      <c r="AC352" s="4" t="str">
        <f>IFERROR(__xludf.DUMMYFUNCTION("""COMPUTED_VALUE"""),"-")</f>
        <v>-</v>
      </c>
      <c r="AD352" s="4"/>
      <c r="AE352" s="4"/>
      <c r="AF352" s="4"/>
      <c r="AG352" s="4"/>
      <c r="AH352" s="4"/>
      <c r="AI352" s="4"/>
      <c r="AJ352" s="4"/>
      <c r="AK352" s="4"/>
      <c r="AL352" s="4"/>
      <c r="AM352" s="4" t="str">
        <f>IFERROR(__xludf.DUMMYFUNCTION("""COMPUTED_VALUE"""),"FY26, FY27")</f>
        <v>FY26, FY27</v>
      </c>
      <c r="AN352" s="4"/>
      <c r="AO352" s="4">
        <f>IFERROR(__xludf.DUMMYFUNCTION("""COMPUTED_VALUE"""),45553.0)</f>
        <v>45553</v>
      </c>
      <c r="AP352" s="4" t="str">
        <f>IFERROR(__xludf.DUMMYFUNCTION("""COMPUTED_VALUE"""),"PR")</f>
        <v>PR</v>
      </c>
      <c r="AQ352" s="4" t="str">
        <f>IFERROR(__xludf.DUMMYFUNCTION("""COMPUTED_VALUE"""),"BRUNA MONTEZIN")</f>
        <v>BRUNA MONTEZIN</v>
      </c>
      <c r="AR352" s="4" t="str">
        <f>IFERROR(__xludf.DUMMYFUNCTION("""COMPUTED_VALUE"""),"LYAMARA OLTRAMARI")</f>
        <v>LYAMARA OLTRAMARI</v>
      </c>
      <c r="AS352" s="4" t="str">
        <f>IFERROR(__xludf.DUMMYFUNCTION("""COMPUTED_VALUE"""),"FABIO DONATO")</f>
        <v>FABIO DONATO</v>
      </c>
      <c r="AT352" s="4" t="str">
        <f>IFERROR(__xludf.DUMMYFUNCTION("""COMPUTED_VALUE"""),"MURILO NAGASHIMA")</f>
        <v>MURILO NAGASHIMA</v>
      </c>
      <c r="AU352" s="4" t="str">
        <f>IFERROR(__xludf.DUMMYFUNCTION("""COMPUTED_VALUE"""),"Lídia / Emerson")</f>
        <v>Lídia / Emerson</v>
      </c>
      <c r="AV352" s="4">
        <f>IFERROR(__xludf.DUMMYFUNCTION("""COMPUTED_VALUE"""),0.0)</f>
        <v>0</v>
      </c>
      <c r="AW352" s="4">
        <f>IFERROR(__xludf.DUMMYFUNCTION("""COMPUTED_VALUE"""),0.0)</f>
        <v>0</v>
      </c>
      <c r="AX352" s="4">
        <f>IFERROR(__xludf.DUMMYFUNCTION("""COMPUTED_VALUE"""),0.0)</f>
        <v>0</v>
      </c>
      <c r="AY352" s="4"/>
      <c r="AZ352" s="4" t="str">
        <f>IFERROR(__xludf.DUMMYFUNCTION("""COMPUTED_VALUE"""),"Brasileira")</f>
        <v>Brasileira</v>
      </c>
      <c r="BA352" s="4">
        <f>IFERROR(__xludf.DUMMYFUNCTION("""COMPUTED_VALUE"""),85.0)</f>
        <v>85</v>
      </c>
      <c r="BB352" s="4" t="str">
        <f>IFERROR(__xludf.DUMMYFUNCTION("""COMPUTED_VALUE"""),"Fast Casual - Pizzaria")</f>
        <v>Fast Casual - Pizzaria</v>
      </c>
      <c r="BC352" s="4" t="str">
        <f>IFERROR(__xludf.DUMMYFUNCTION("""COMPUTED_VALUE"""),"Sul")</f>
        <v>Sul</v>
      </c>
      <c r="BD352" s="4" t="str">
        <f>IFERROR(__xludf.DUMMYFUNCTION("""COMPUTED_VALUE"""),"Dado não disponível publicamente - Necessário Discovery")</f>
        <v>Dado não disponível publicamente - Necessário Discovery</v>
      </c>
      <c r="BE352" s="4">
        <f>IFERROR(__xludf.DUMMYFUNCTION("""COMPUTED_VALUE"""),65.0)</f>
        <v>65</v>
      </c>
      <c r="BF352" s="4">
        <f>IFERROR(__xludf.DUMMYFUNCTION("""COMPUTED_VALUE"""),0.75)</f>
        <v>0.75</v>
      </c>
      <c r="BG35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352" s="4" t="s">
        <v>111</v>
      </c>
      <c r="BI352" s="7">
        <v>1.0</v>
      </c>
    </row>
    <row r="353" hidden="1">
      <c r="A353" s="4" t="str">
        <f>IFERROR(__xludf.DUMMYFUNCTION("""COMPUTED_VALUE"""),"Grupo Qg")</f>
        <v>Grupo Qg</v>
      </c>
      <c r="B353" s="4" t="str">
        <f>IFERROR(__xludf.DUMMYFUNCTION("""COMPUTED_VALUE"""),"Lídia Esteves")</f>
        <v>Lídia Esteves</v>
      </c>
      <c r="C353" s="4" t="str">
        <f>IFERROR(__xludf.DUMMYFUNCTION("""COMPUTED_VALUE"""),"Gabriela Roma")</f>
        <v>Gabriela Roma</v>
      </c>
      <c r="D353" s="4" t="str">
        <f>IFERROR(__xludf.DUMMYFUNCTION("""COMPUTED_VALUE"""),"7. Piloto")</f>
        <v>7. Piloto</v>
      </c>
      <c r="E353" s="4" t="str">
        <f>IFERROR(__xludf.DUMMYFUNCTION("""COMPUTED_VALUE"""),"Projetos - Em piloto")</f>
        <v>Projetos - Em piloto</v>
      </c>
      <c r="F353" s="4" t="str">
        <f>IFERROR(__xludf.DUMMYFUNCTION("""COMPUTED_VALUE"""),"M")</f>
        <v>M</v>
      </c>
      <c r="G353" s="5">
        <f>IFERROR(__xludf.DUMMYFUNCTION("""COMPUTED_VALUE"""),46121.0)</f>
        <v>46121</v>
      </c>
      <c r="H353" s="4" t="str">
        <f>IFERROR(__xludf.DUMMYFUNCTION("""COMPUTED_VALUE"""),"reinamento + go live semana do dia 20/04. Mari FUP de contrato com PP na proxima segunda-feira (ja coloquei na minha agenda)")</f>
        <v>reinamento + go live semana do dia 20/04. Mari FUP de contrato com PP na proxima segunda-feira (ja coloquei na minha agenda)</v>
      </c>
      <c r="I353" s="4"/>
      <c r="J353" s="4"/>
      <c r="K353" s="4"/>
      <c r="L353" s="4"/>
      <c r="M353" s="4"/>
      <c r="N353" s="6">
        <f>IFERROR(__xludf.DUMMYFUNCTION("""COMPUTED_VALUE"""),46055.65511091435)</f>
        <v>46055.65511</v>
      </c>
      <c r="O353" s="6">
        <f>IFERROR(__xludf.DUMMYFUNCTION("""COMPUTED_VALUE"""),46120.513985949074)</f>
        <v>46120.51399</v>
      </c>
      <c r="P353" s="4"/>
      <c r="Q353" s="4"/>
      <c r="R353" s="4"/>
      <c r="S353" s="4"/>
      <c r="T353" s="4"/>
      <c r="U353" s="4"/>
      <c r="V353" s="4"/>
      <c r="W353" s="4"/>
      <c r="X353" s="4"/>
      <c r="Y353" s="4"/>
      <c r="Z353" s="4"/>
      <c r="AA353" s="4">
        <f>IFERROR(__xludf.DUMMYFUNCTION("""COMPUTED_VALUE"""),36.0)</f>
        <v>36</v>
      </c>
      <c r="AB353" s="4" t="str">
        <f>IFERROR(__xludf.DUMMYFUNCTION("""COMPUTED_VALUE"""),"NÃO")</f>
        <v>NÃO</v>
      </c>
      <c r="AC353" s="4" t="str">
        <f>IFERROR(__xludf.DUMMYFUNCTION("""COMPUTED_VALUE"""),"Não BP")</f>
        <v>Não BP</v>
      </c>
      <c r="AD353" s="4"/>
      <c r="AE353" s="4">
        <f>IFERROR(__xludf.DUMMYFUNCTION("""COMPUTED_VALUE"""),1.0)</f>
        <v>1</v>
      </c>
      <c r="AF353" s="4" t="str">
        <f>IFERROR(__xludf.DUMMYFUNCTION("""COMPUTED_VALUE"""),"abril")</f>
        <v>abril</v>
      </c>
      <c r="AG353" s="4">
        <f>IFERROR(__xludf.DUMMYFUNCTION("""COMPUTED_VALUE"""),30.0)</f>
        <v>30</v>
      </c>
      <c r="AH353" s="4"/>
      <c r="AI353" s="4"/>
      <c r="AJ353" s="4"/>
      <c r="AK353" s="4"/>
      <c r="AL353" s="4"/>
      <c r="AM353" s="4" t="str">
        <f>IFERROR(__xludf.DUMMYFUNCTION("""COMPUTED_VALUE"""),"FY26, FY27")</f>
        <v>FY26, FY27</v>
      </c>
      <c r="AN353" s="4"/>
      <c r="AO353" s="4">
        <f>IFERROR(__xludf.DUMMYFUNCTION("""COMPUTED_VALUE"""),94.0)</f>
        <v>94</v>
      </c>
      <c r="AP353" s="4">
        <f>IFERROR(__xludf.DUMMYFUNCTION("""COMPUTED_VALUE"""),0.0)</f>
        <v>0</v>
      </c>
      <c r="AQ353" s="4">
        <f>IFERROR(__xludf.DUMMYFUNCTION("""COMPUTED_VALUE"""),0.0)</f>
        <v>0</v>
      </c>
      <c r="AR353" s="4">
        <f>IFERROR(__xludf.DUMMYFUNCTION("""COMPUTED_VALUE"""),0.0)</f>
        <v>0</v>
      </c>
      <c r="AS353" s="4">
        <f>IFERROR(__xludf.DUMMYFUNCTION("""COMPUTED_VALUE"""),0.0)</f>
        <v>0</v>
      </c>
      <c r="AT353" s="4">
        <f>IFERROR(__xludf.DUMMYFUNCTION("""COMPUTED_VALUE"""),0.0)</f>
        <v>0</v>
      </c>
      <c r="AU353" s="4" t="str">
        <f>IFERROR(__xludf.DUMMYFUNCTION("""COMPUTED_VALUE"""),"Mariana")</f>
        <v>Mariana</v>
      </c>
      <c r="AV353" s="4">
        <f>IFERROR(__xludf.DUMMYFUNCTION("""COMPUTED_VALUE"""),0.0)</f>
        <v>0</v>
      </c>
      <c r="AW353" s="4">
        <f>IFERROR(__xludf.DUMMYFUNCTION("""COMPUTED_VALUE"""),0.0)</f>
        <v>0</v>
      </c>
      <c r="AX353" s="4">
        <f>IFERROR(__xludf.DUMMYFUNCTION("""COMPUTED_VALUE"""),0.0)</f>
        <v>0</v>
      </c>
      <c r="AY353" s="4">
        <f>IFERROR(__xludf.DUMMYFUNCTION("""COMPUTED_VALUE"""),0.0)</f>
        <v>0</v>
      </c>
      <c r="AZ353" s="4" t="str">
        <f>IFERROR(__xludf.DUMMYFUNCTION("""COMPUTED_VALUE"""),"Lanches")</f>
        <v>Lanches</v>
      </c>
      <c r="BA353" s="4">
        <f>IFERROR(__xludf.DUMMYFUNCTION("""COMPUTED_VALUE"""),114.0)</f>
        <v>114</v>
      </c>
      <c r="BB353" s="4" t="str">
        <f>IFERROR(__xludf.DUMMYFUNCTION("""COMPUTED_VALUE"""),"Grupo Multi-marca")</f>
        <v>Grupo Multi-marca</v>
      </c>
      <c r="BC353" s="4" t="str">
        <f>IFERROR(__xludf.DUMMYFUNCTION("""COMPUTED_VALUE"""),"Rio de Janeiro/RJ")</f>
        <v>Rio de Janeiro/RJ</v>
      </c>
      <c r="BD353" s="4" t="str">
        <f>IFERROR(__xludf.DUMMYFUNCTION("""COMPUTED_VALUE"""),"Dado não disponível publicamente - Necessário Discovery")</f>
        <v>Dado não disponível publicamente - Necessário Discovery</v>
      </c>
      <c r="BE353" s="4">
        <f>IFERROR(__xludf.DUMMYFUNCTION("""COMPUTED_VALUE"""),45.0)</f>
        <v>45</v>
      </c>
      <c r="BF353" s="4">
        <f>IFERROR(__xludf.DUMMYFUNCTION("""COMPUTED_VALUE"""),0.55)</f>
        <v>0.55</v>
      </c>
      <c r="BG353"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53" s="4" t="s">
        <v>63</v>
      </c>
      <c r="BI353" s="7" t="s">
        <v>63</v>
      </c>
    </row>
    <row r="354" hidden="1">
      <c r="A354" s="4" t="str">
        <f>IFERROR(__xludf.DUMMYFUNCTION("""COMPUTED_VALUE"""),"Grupo Romana")</f>
        <v>Grupo Romana</v>
      </c>
      <c r="B354" s="4" t="str">
        <f>IFERROR(__xludf.DUMMYFUNCTION("""COMPUTED_VALUE"""),"Lídia Esteves")</f>
        <v>Lídia Esteves</v>
      </c>
      <c r="C354" s="4" t="str">
        <f>IFERROR(__xludf.DUMMYFUNCTION("""COMPUTED_VALUE"""),"Gabriela Roma")</f>
        <v>Gabriela Roma</v>
      </c>
      <c r="D354" s="4" t="str">
        <f>IFERROR(__xludf.DUMMYFUNCTION("""COMPUTED_VALUE"""),"0. Não Iniciado")</f>
        <v>0. Não Iniciado</v>
      </c>
      <c r="E354" s="4"/>
      <c r="F354" s="4" t="str">
        <f>IFERROR(__xludf.DUMMYFUNCTION("""COMPUTED_VALUE"""),"P")</f>
        <v>P</v>
      </c>
      <c r="G354" s="4"/>
      <c r="H354" s="4"/>
      <c r="I354" s="4"/>
      <c r="J354" s="4"/>
      <c r="K354" s="4"/>
      <c r="L354" s="4"/>
      <c r="M354" s="4"/>
      <c r="N354" s="4"/>
      <c r="O354" s="4"/>
      <c r="P354" s="4"/>
      <c r="Q354" s="4"/>
      <c r="R354" s="4"/>
      <c r="S354" s="4"/>
      <c r="T354" s="4"/>
      <c r="U354" s="4"/>
      <c r="V354" s="4"/>
      <c r="W354" s="4"/>
      <c r="X354" s="4"/>
      <c r="Y354" s="4"/>
      <c r="Z354" s="4"/>
      <c r="AA354" s="4">
        <f>IFERROR(__xludf.DUMMYFUNCTION("""COMPUTED_VALUE"""),9.0)</f>
        <v>9</v>
      </c>
      <c r="AB354" s="4" t="str">
        <f>IFERROR(__xludf.DUMMYFUNCTION("""COMPUTED_VALUE"""),"-")</f>
        <v>-</v>
      </c>
      <c r="AC354" s="4" t="str">
        <f>IFERROR(__xludf.DUMMYFUNCTION("""COMPUTED_VALUE"""),"-")</f>
        <v>-</v>
      </c>
      <c r="AD354" s="4"/>
      <c r="AE354" s="4"/>
      <c r="AF354" s="4"/>
      <c r="AG354" s="4"/>
      <c r="AH354" s="4"/>
      <c r="AI354" s="4"/>
      <c r="AJ354" s="4"/>
      <c r="AK354" s="4"/>
      <c r="AL354" s="4"/>
      <c r="AM354" s="4" t="str">
        <f>IFERROR(__xludf.DUMMYFUNCTION("""COMPUTED_VALUE"""),"FY26, FY27")</f>
        <v>FY26, FY27</v>
      </c>
      <c r="AN354" s="4"/>
      <c r="AO354" s="4">
        <f>IFERROR(__xludf.DUMMYFUNCTION("""COMPUTED_VALUE"""),45553.0)</f>
        <v>45553</v>
      </c>
      <c r="AP354" s="4" t="str">
        <f>IFERROR(__xludf.DUMMYFUNCTION("""COMPUTED_VALUE"""),"SP")</f>
        <v>SP</v>
      </c>
      <c r="AQ354" s="4" t="str">
        <f>IFERROR(__xludf.DUMMYFUNCTION("""COMPUTED_VALUE"""),"VITOR SERRANO")</f>
        <v>VITOR SERRANO</v>
      </c>
      <c r="AR354" s="4" t="str">
        <f>IFERROR(__xludf.DUMMYFUNCTION("""COMPUTED_VALUE"""),"RAFAEL FERNANDES")</f>
        <v>RAFAEL FERNANDES</v>
      </c>
      <c r="AS354" s="4" t="str">
        <f>IFERROR(__xludf.DUMMYFUNCTION("""COMPUTED_VALUE"""),"ALAN HADDAD")</f>
        <v>ALAN HADDAD</v>
      </c>
      <c r="AT354" s="4" t="str">
        <f>IFERROR(__xludf.DUMMYFUNCTION("""COMPUTED_VALUE"""),"ISABELA DINIZ")</f>
        <v>ISABELA DINIZ</v>
      </c>
      <c r="AU354" s="4" t="str">
        <f>IFERROR(__xludf.DUMMYFUNCTION("""COMPUTED_VALUE"""),"Lídia / Emerson")</f>
        <v>Lídia / Emerson</v>
      </c>
      <c r="AV354" s="4">
        <f>IFERROR(__xludf.DUMMYFUNCTION("""COMPUTED_VALUE"""),0.0)</f>
        <v>0</v>
      </c>
      <c r="AW354" s="4">
        <f>IFERROR(__xludf.DUMMYFUNCTION("""COMPUTED_VALUE"""),0.0)</f>
        <v>0</v>
      </c>
      <c r="AX354" s="4">
        <f>IFERROR(__xludf.DUMMYFUNCTION("""COMPUTED_VALUE"""),0.0)</f>
        <v>0</v>
      </c>
      <c r="AY354" s="4"/>
      <c r="AZ354" s="4" t="str">
        <f>IFERROR(__xludf.DUMMYFUNCTION("""COMPUTED_VALUE"""),"Brasileira")</f>
        <v>Brasileira</v>
      </c>
      <c r="BA354" s="4">
        <f>IFERROR(__xludf.DUMMYFUNCTION("""COMPUTED_VALUE"""),123.0)</f>
        <v>123</v>
      </c>
      <c r="BB354" s="4" t="str">
        <f>IFERROR(__xludf.DUMMYFUNCTION("""COMPUTED_VALUE"""),"Grupo Multi-marca")</f>
        <v>Grupo Multi-marca</v>
      </c>
      <c r="BC354" s="4" t="str">
        <f>IFERROR(__xludf.DUMMYFUNCTION("""COMPUTED_VALUE"""),"Sudeste")</f>
        <v>Sudeste</v>
      </c>
      <c r="BD354" s="4" t="str">
        <f>IFERROR(__xludf.DUMMYFUNCTION("""COMPUTED_VALUE"""),"Dado não disponível publicamente - Necessário Discovery")</f>
        <v>Dado não disponível publicamente - Necessário Discovery</v>
      </c>
      <c r="BE354" s="4">
        <f>IFERROR(__xludf.DUMMYFUNCTION("""COMPUTED_VALUE"""),45.0)</f>
        <v>45</v>
      </c>
      <c r="BF354" s="4">
        <f>IFERROR(__xludf.DUMMYFUNCTION("""COMPUTED_VALUE"""),0.55)</f>
        <v>0.55</v>
      </c>
      <c r="BG354"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54" s="4" t="s">
        <v>63</v>
      </c>
      <c r="BI354" s="7" t="s">
        <v>63</v>
      </c>
    </row>
    <row r="355" hidden="1">
      <c r="A355" s="4" t="str">
        <f>IFERROR(__xludf.DUMMYFUNCTION("""COMPUTED_VALUE"""),"Grupo Rueda")</f>
        <v>Grupo Rueda</v>
      </c>
      <c r="B355" s="4" t="str">
        <f>IFERROR(__xludf.DUMMYFUNCTION("""COMPUTED_VALUE"""),"João Biagiotti")</f>
        <v>João Biagiotti</v>
      </c>
      <c r="C355" s="4" t="str">
        <f>IFERROR(__xludf.DUMMYFUNCTION("""COMPUTED_VALUE"""),"Diego Santos")</f>
        <v>Diego Santos</v>
      </c>
      <c r="D355" s="4" t="str">
        <f>IFERROR(__xludf.DUMMYFUNCTION("""COMPUTED_VALUE"""),"2. Primeiro contato com a marca")</f>
        <v>2. Primeiro contato com a marca</v>
      </c>
      <c r="E355" s="4"/>
      <c r="F355" s="4" t="str">
        <f>IFERROR(__xludf.DUMMYFUNCTION("""COMPUTED_VALUE"""),"P")</f>
        <v>P</v>
      </c>
      <c r="G355" s="5">
        <f>IFERROR(__xludf.DUMMYFUNCTION("""COMPUTED_VALUE"""),46083.0)</f>
        <v>46083</v>
      </c>
      <c r="H355" s="4" t="str">
        <f>IFERROR(__xludf.DUMMYFUNCTION("""COMPUTED_VALUE"""),"Aguardando apoio do executivo de delivery")</f>
        <v>Aguardando apoio do executivo de delivery</v>
      </c>
      <c r="I355" s="4"/>
      <c r="J355" s="6">
        <f>IFERROR(__xludf.DUMMYFUNCTION("""COMPUTED_VALUE"""),46083.46913434028)</f>
        <v>46083.46913</v>
      </c>
      <c r="K355" s="4"/>
      <c r="L355" s="4"/>
      <c r="M355" s="4"/>
      <c r="N355" s="4"/>
      <c r="O355" s="4"/>
      <c r="P355" s="4"/>
      <c r="Q355" s="4"/>
      <c r="R355" s="4"/>
      <c r="S355" s="4"/>
      <c r="T355" s="4"/>
      <c r="U355" s="4"/>
      <c r="V355" s="4"/>
      <c r="W355" s="4"/>
      <c r="X355" s="4"/>
      <c r="Y355" s="4"/>
      <c r="Z355" s="4"/>
      <c r="AA355" s="4">
        <f>IFERROR(__xludf.DUMMYFUNCTION("""COMPUTED_VALUE"""),2.0)</f>
        <v>2</v>
      </c>
      <c r="AB355" s="4" t="str">
        <f>IFERROR(__xludf.DUMMYFUNCTION("""COMPUTED_VALUE"""),"NÃO")</f>
        <v>NÃO</v>
      </c>
      <c r="AC355" s="4" t="str">
        <f>IFERROR(__xludf.DUMMYFUNCTION("""COMPUTED_VALUE"""),"Não BP")</f>
        <v>Não BP</v>
      </c>
      <c r="AD355" s="4"/>
      <c r="AE355" s="4"/>
      <c r="AF355" s="4"/>
      <c r="AG355" s="4"/>
      <c r="AH355" s="4"/>
      <c r="AI355" s="4"/>
      <c r="AJ355" s="4"/>
      <c r="AK355" s="4"/>
      <c r="AL355" s="4"/>
      <c r="AM355" s="4" t="str">
        <f>IFERROR(__xludf.DUMMYFUNCTION("""COMPUTED_VALUE"""),"FY26, FY27")</f>
        <v>FY26, FY27</v>
      </c>
      <c r="AN355" s="4" t="str">
        <f>IFERROR(__xludf.DUMMYFUNCTION("""COMPUTED_VALUE"""),"Comer Fora")</f>
        <v>Comer Fora</v>
      </c>
      <c r="AO355" s="4">
        <f>IFERROR(__xludf.DUMMYFUNCTION("""COMPUTED_VALUE"""),131.0)</f>
        <v>131</v>
      </c>
      <c r="AP355" s="4" t="str">
        <f>IFERROR(__xludf.DUMMYFUNCTION("""COMPUTED_VALUE"""),"SP")</f>
        <v>SP</v>
      </c>
      <c r="AQ355" s="4" t="str">
        <f>IFERROR(__xludf.DUMMYFUNCTION("""COMPUTED_VALUE"""),"RODRIGO BESSER")</f>
        <v>RODRIGO BESSER</v>
      </c>
      <c r="AR355" s="4" t="str">
        <f>IFERROR(__xludf.DUMMYFUNCTION("""COMPUTED_VALUE"""),"ISIS ANDRADE")</f>
        <v>ISIS ANDRADE</v>
      </c>
      <c r="AS355" s="4" t="str">
        <f>IFERROR(__xludf.DUMMYFUNCTION("""COMPUTED_VALUE"""),"NATHALIE MERTENS")</f>
        <v>NATHALIE MERTENS</v>
      </c>
      <c r="AT355" s="4" t="str">
        <f>IFERROR(__xludf.DUMMYFUNCTION("""COMPUTED_VALUE"""),"MARIANA KATZ")</f>
        <v>MARIANA KATZ</v>
      </c>
      <c r="AU355" s="4" t="str">
        <f>IFERROR(__xludf.DUMMYFUNCTION("""COMPUTED_VALUE"""),"Diego")</f>
        <v>Diego</v>
      </c>
      <c r="AV355" s="4" t="str">
        <f>IFERROR(__xludf.DUMMYFUNCTION("""COMPUTED_VALUE"""),"Comer Fora-")</f>
        <v>Comer Fora-</v>
      </c>
      <c r="AW355" s="20" t="str">
        <f>IFERROR(__xludf.DUMMYFUNCTION("""COMPUTED_VALUE"""),"P e M - pipe")</f>
        <v>P e M - pipe</v>
      </c>
      <c r="AX355" s="4"/>
      <c r="AY355" s="4"/>
      <c r="AZ355" s="4" t="str">
        <f>IFERROR(__xludf.DUMMYFUNCTION("""COMPUTED_VALUE"""),"Lanches")</f>
        <v>Lanches</v>
      </c>
      <c r="BA355" s="4">
        <f>IFERROR(__xludf.DUMMYFUNCTION("""COMPUTED_VALUE"""),74.0)</f>
        <v>74</v>
      </c>
      <c r="BB355" s="4" t="str">
        <f>IFERROR(__xludf.DUMMYFUNCTION("""COMPUTED_VALUE"""),"Grupo Multi-marca")</f>
        <v>Grupo Multi-marca</v>
      </c>
      <c r="BC355" s="4" t="str">
        <f>IFERROR(__xludf.DUMMYFUNCTION("""COMPUTED_VALUE"""),"Sul")</f>
        <v>Sul</v>
      </c>
      <c r="BD355" s="4" t="str">
        <f>IFERROR(__xludf.DUMMYFUNCTION("""COMPUTED_VALUE"""),"Dado não disponível publicamente - Necessário Discovery")</f>
        <v>Dado não disponível publicamente - Necessário Discovery</v>
      </c>
      <c r="BE355" s="4">
        <f>IFERROR(__xludf.DUMMYFUNCTION("""COMPUTED_VALUE"""),40.0)</f>
        <v>40</v>
      </c>
      <c r="BF355" s="4">
        <f>IFERROR(__xludf.DUMMYFUNCTION("""COMPUTED_VALUE"""),0.5)</f>
        <v>0.5</v>
      </c>
      <c r="BG355"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55" s="4" t="s">
        <v>82</v>
      </c>
      <c r="BI355" s="7">
        <v>1.0</v>
      </c>
    </row>
    <row r="356" hidden="1">
      <c r="A356" s="4" t="str">
        <f>IFERROR(__xludf.DUMMYFUNCTION("""COMPUTED_VALUE"""),"Grupo saints")</f>
        <v>Grupo saints</v>
      </c>
      <c r="B356" s="4" t="str">
        <f>IFERROR(__xludf.DUMMYFUNCTION("""COMPUTED_VALUE"""),"João Biagiotti")</f>
        <v>João Biagiotti</v>
      </c>
      <c r="C356" s="4" t="str">
        <f>IFERROR(__xludf.DUMMYFUNCTION("""COMPUTED_VALUE"""),"Diego Santos")</f>
        <v>Diego Santos</v>
      </c>
      <c r="D356" s="4" t="str">
        <f>IFERROR(__xludf.DUMMYFUNCTION("""COMPUTED_VALUE"""),"2. Primeiro contato com a marca")</f>
        <v>2. Primeiro contato com a marca</v>
      </c>
      <c r="E356" s="4" t="str">
        <f>IFERROR(__xludf.DUMMYFUNCTION("""COMPUTED_VALUE"""),"Delivery - Aguardando retorno executivo")</f>
        <v>Delivery - Aguardando retorno executivo</v>
      </c>
      <c r="F356" s="4" t="str">
        <f>IFERROR(__xludf.DUMMYFUNCTION("""COMPUTED_VALUE"""),"P")</f>
        <v>P</v>
      </c>
      <c r="G356" s="5">
        <f>IFERROR(__xludf.DUMMYFUNCTION("""COMPUTED_VALUE"""),46097.0)</f>
        <v>46097</v>
      </c>
      <c r="H356" s="4" t="str">
        <f>IFERROR(__xludf.DUMMYFUNCTION("""COMPUTED_VALUE"""),"ainda parado no delivery. parceiro novo na carteira, estão priorizando outros temas junto a delivery, mas vou fazer fup na gaby")</f>
        <v>ainda parado no delivery. parceiro novo na carteira, estão priorizando outros temas junto a delivery, mas vou fazer fup na gaby</v>
      </c>
      <c r="I356" s="4"/>
      <c r="J356" s="6">
        <f>IFERROR(__xludf.DUMMYFUNCTION("""COMPUTED_VALUE"""),46057.64253208334)</f>
        <v>46057.64253</v>
      </c>
      <c r="K356" s="4"/>
      <c r="L356" s="4"/>
      <c r="M356" s="4"/>
      <c r="N356" s="4"/>
      <c r="O356" s="4"/>
      <c r="P356" s="4"/>
      <c r="Q356" s="4"/>
      <c r="R356" s="4"/>
      <c r="S356" s="4"/>
      <c r="T356" s="4"/>
      <c r="U356" s="4"/>
      <c r="V356" s="4"/>
      <c r="W356" s="4"/>
      <c r="X356" s="4"/>
      <c r="Y356" s="4"/>
      <c r="Z356" s="4"/>
      <c r="AA356" s="4">
        <f>IFERROR(__xludf.DUMMYFUNCTION("""COMPUTED_VALUE"""),14.0)</f>
        <v>14</v>
      </c>
      <c r="AB356" s="4" t="str">
        <f>IFERROR(__xludf.DUMMYFUNCTION("""COMPUTED_VALUE"""),"Não")</f>
        <v>Não</v>
      </c>
      <c r="AC356" s="4" t="str">
        <f>IFERROR(__xludf.DUMMYFUNCTION("""COMPUTED_VALUE"""),"Não")</f>
        <v>Não</v>
      </c>
      <c r="AD356" s="4"/>
      <c r="AE356" s="4"/>
      <c r="AF356" s="4"/>
      <c r="AG356" s="4"/>
      <c r="AH356" s="4"/>
      <c r="AI356" s="4"/>
      <c r="AJ356" s="4"/>
      <c r="AK356" s="4"/>
      <c r="AL356" s="4"/>
      <c r="AM356" s="4" t="str">
        <f>IFERROR(__xludf.DUMMYFUNCTION("""COMPUTED_VALUE"""),"FY26, FY27")</f>
        <v>FY26, FY27</v>
      </c>
      <c r="AN356" s="4"/>
      <c r="AO356" s="4">
        <f>IFERROR(__xludf.DUMMYFUNCTION("""COMPUTED_VALUE"""),117.0)</f>
        <v>117</v>
      </c>
      <c r="AP356" s="4">
        <f>IFERROR(__xludf.DUMMYFUNCTION("""COMPUTED_VALUE"""),0.0)</f>
        <v>0</v>
      </c>
      <c r="AQ356" s="4">
        <f>IFERROR(__xludf.DUMMYFUNCTION("""COMPUTED_VALUE"""),0.0)</f>
        <v>0</v>
      </c>
      <c r="AR356" s="4">
        <f>IFERROR(__xludf.DUMMYFUNCTION("""COMPUTED_VALUE"""),0.0)</f>
        <v>0</v>
      </c>
      <c r="AS356" s="4">
        <f>IFERROR(__xludf.DUMMYFUNCTION("""COMPUTED_VALUE"""),0.0)</f>
        <v>0</v>
      </c>
      <c r="AT356" s="4">
        <f>IFERROR(__xludf.DUMMYFUNCTION("""COMPUTED_VALUE"""),0.0)</f>
        <v>0</v>
      </c>
      <c r="AU356" s="4" t="str">
        <f>IFERROR(__xludf.DUMMYFUNCTION("""COMPUTED_VALUE"""),"Ana")</f>
        <v>Ana</v>
      </c>
      <c r="AV356" s="4">
        <f>IFERROR(__xludf.DUMMYFUNCTION("""COMPUTED_VALUE"""),0.0)</f>
        <v>0</v>
      </c>
      <c r="AW356" s="4">
        <f>IFERROR(__xludf.DUMMYFUNCTION("""COMPUTED_VALUE"""),0.0)</f>
        <v>0</v>
      </c>
      <c r="AX356" s="4">
        <f>IFERROR(__xludf.DUMMYFUNCTION("""COMPUTED_VALUE"""),0.0)</f>
        <v>0</v>
      </c>
      <c r="AY356" s="4"/>
      <c r="AZ356" s="4" t="str">
        <f>IFERROR(__xludf.DUMMYFUNCTION("""COMPUTED_VALUE"""),"NA")</f>
        <v>NA</v>
      </c>
      <c r="BA356" s="4">
        <f>IFERROR(__xludf.DUMMYFUNCTION("""COMPUTED_VALUE"""),117.0)</f>
        <v>117</v>
      </c>
      <c r="BB356" s="4" t="str">
        <f>IFERROR(__xludf.DUMMYFUNCTION("""COMPUTED_VALUE"""),"Grupo Multi-marca")</f>
        <v>Grupo Multi-marca</v>
      </c>
      <c r="BC356" s="4" t="str">
        <f>IFERROR(__xludf.DUMMYFUNCTION("""COMPUTED_VALUE"""),"Rio de Janeiro/RJ")</f>
        <v>Rio de Janeiro/RJ</v>
      </c>
      <c r="BD356" s="4" t="str">
        <f>IFERROR(__xludf.DUMMYFUNCTION("""COMPUTED_VALUE"""),"Dado não disponível publicamente - Necessário Discovery")</f>
        <v>Dado não disponível publicamente - Necessário Discovery</v>
      </c>
      <c r="BE356" s="4">
        <f>IFERROR(__xludf.DUMMYFUNCTION("""COMPUTED_VALUE"""),45.0)</f>
        <v>45</v>
      </c>
      <c r="BF356" s="4">
        <f>IFERROR(__xludf.DUMMYFUNCTION("""COMPUTED_VALUE"""),0.55)</f>
        <v>0.55</v>
      </c>
      <c r="BG356"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56" s="4" t="s">
        <v>63</v>
      </c>
      <c r="BI356" s="7" t="s">
        <v>63</v>
      </c>
    </row>
    <row r="357" hidden="1">
      <c r="A357" s="4" t="str">
        <f>IFERROR(__xludf.DUMMYFUNCTION("""COMPUTED_VALUE"""),"Grupo Taikan Fast Sushi")</f>
        <v>Grupo Taikan Fast Sushi</v>
      </c>
      <c r="B357" s="4" t="str">
        <f>IFERROR(__xludf.DUMMYFUNCTION("""COMPUTED_VALUE"""),"Lídia Esteves")</f>
        <v>Lídia Esteves</v>
      </c>
      <c r="C357" s="4" t="str">
        <f>IFERROR(__xludf.DUMMYFUNCTION("""COMPUTED_VALUE"""),"Gabriela Roma")</f>
        <v>Gabriela Roma</v>
      </c>
      <c r="D357" s="4" t="str">
        <f>IFERROR(__xludf.DUMMYFUNCTION("""COMPUTED_VALUE"""),"6. Negociação")</f>
        <v>6. Negociação</v>
      </c>
      <c r="E357" s="4" t="str">
        <f>IFERROR(__xludf.DUMMYFUNCTION("""COMPUTED_VALUE"""),"Parceiro - Em validação de proposta comercial")</f>
        <v>Parceiro - Em validação de proposta comercial</v>
      </c>
      <c r="F357" s="4" t="str">
        <f>IFERROR(__xludf.DUMMYFUNCTION("""COMPUTED_VALUE"""),"P")</f>
        <v>P</v>
      </c>
      <c r="G357" s="5">
        <f>IFERROR(__xludf.DUMMYFUNCTION("""COMPUTED_VALUE"""),46121.0)</f>
        <v>46121</v>
      </c>
      <c r="H357" s="4" t="str">
        <f>IFERROR(__xludf.DUMMYFUNCTION("""COMPUTED_VALUE"""),"Mari em visita BSB conseguiu contornar situação da negociação, em tratativas para piloto.")</f>
        <v>Mari em visita BSB conseguiu contornar situação da negociação, em tratativas para piloto.</v>
      </c>
      <c r="I357" s="4"/>
      <c r="J357" s="6">
        <f>IFERROR(__xludf.DUMMYFUNCTION("""COMPUTED_VALUE"""),46052.436183125)</f>
        <v>46052.43618</v>
      </c>
      <c r="K357" s="6">
        <f>IFERROR(__xludf.DUMMYFUNCTION("""COMPUTED_VALUE"""),46099.43733460648)</f>
        <v>46099.43733</v>
      </c>
      <c r="L357" s="6">
        <f>IFERROR(__xludf.DUMMYFUNCTION("""COMPUTED_VALUE"""),46099.43737042824)</f>
        <v>46099.43737</v>
      </c>
      <c r="M357" s="6">
        <f>IFERROR(__xludf.DUMMYFUNCTION("""COMPUTED_VALUE"""),46099.43740181713)</f>
        <v>46099.4374</v>
      </c>
      <c r="N357" s="6">
        <f>IFERROR(__xludf.DUMMYFUNCTION("""COMPUTED_VALUE"""),46099.43741989583)</f>
        <v>46099.43742</v>
      </c>
      <c r="O357" s="4"/>
      <c r="P357" s="4"/>
      <c r="Q357" s="4"/>
      <c r="R357" s="4"/>
      <c r="S357" s="4"/>
      <c r="T357" s="4"/>
      <c r="U357" s="4"/>
      <c r="V357" s="4"/>
      <c r="W357" s="4"/>
      <c r="X357" s="4"/>
      <c r="Y357" s="4"/>
      <c r="Z357" s="4"/>
      <c r="AA357" s="4">
        <f>IFERROR(__xludf.DUMMYFUNCTION("""COMPUTED_VALUE"""),6.0)</f>
        <v>6</v>
      </c>
      <c r="AB357" s="4" t="str">
        <f>IFERROR(__xludf.DUMMYFUNCTION("""COMPUTED_VALUE"""),"NÃO")</f>
        <v>NÃO</v>
      </c>
      <c r="AC357" s="4" t="str">
        <f>IFERROR(__xludf.DUMMYFUNCTION("""COMPUTED_VALUE"""),"BP")</f>
        <v>BP</v>
      </c>
      <c r="AD357" s="4"/>
      <c r="AE357" s="4"/>
      <c r="AF357" s="4"/>
      <c r="AG357" s="4"/>
      <c r="AH357" s="4"/>
      <c r="AI357" s="4"/>
      <c r="AJ357" s="4"/>
      <c r="AK357" s="4"/>
      <c r="AL357" s="4"/>
      <c r="AM357" s="4" t="str">
        <f>IFERROR(__xludf.DUMMYFUNCTION("""COMPUTED_VALUE"""),"FY26, FY27")</f>
        <v>FY26, FY27</v>
      </c>
      <c r="AN357" s="4"/>
      <c r="AO357" s="4">
        <f>IFERROR(__xludf.DUMMYFUNCTION("""COMPUTED_VALUE"""),94.0)</f>
        <v>94</v>
      </c>
      <c r="AP357" s="4" t="str">
        <f>IFERROR(__xludf.DUMMYFUNCTION("""COMPUTED_VALUE"""),"DF")</f>
        <v>DF</v>
      </c>
      <c r="AQ357" s="4" t="str">
        <f>IFERROR(__xludf.DUMMYFUNCTION("""COMPUTED_VALUE"""),"ISABELLE NOGUEIRA")</f>
        <v>ISABELLE NOGUEIRA</v>
      </c>
      <c r="AR357" s="4" t="str">
        <f>IFERROR(__xludf.DUMMYFUNCTION("""COMPUTED_VALUE"""),"KARLA MOURA")</f>
        <v>KARLA MOURA</v>
      </c>
      <c r="AS357" s="4" t="str">
        <f>IFERROR(__xludf.DUMMYFUNCTION("""COMPUTED_VALUE"""),"THIAGO ROMAGNOLE")</f>
        <v>THIAGO ROMAGNOLE</v>
      </c>
      <c r="AT357" s="4" t="str">
        <f>IFERROR(__xludf.DUMMYFUNCTION("""COMPUTED_VALUE"""),"PAULO MODESTO")</f>
        <v>PAULO MODESTO</v>
      </c>
      <c r="AU357" s="4" t="str">
        <f>IFERROR(__xludf.DUMMYFUNCTION("""COMPUTED_VALUE"""),"Emerson")</f>
        <v>Emerson</v>
      </c>
      <c r="AV357" s="4">
        <f>IFERROR(__xludf.DUMMYFUNCTION("""COMPUTED_VALUE"""),0.0)</f>
        <v>0</v>
      </c>
      <c r="AW357" s="4">
        <f>IFERROR(__xludf.DUMMYFUNCTION("""COMPUTED_VALUE"""),0.0)</f>
        <v>0</v>
      </c>
      <c r="AX357" s="4">
        <f>IFERROR(__xludf.DUMMYFUNCTION("""COMPUTED_VALUE"""),0.0)</f>
        <v>0</v>
      </c>
      <c r="AY357" s="4"/>
      <c r="AZ357" s="4" t="str">
        <f>IFERROR(__xludf.DUMMYFUNCTION("""COMPUTED_VALUE"""),"Cafeteria")</f>
        <v>Cafeteria</v>
      </c>
      <c r="BA357" s="4">
        <f>IFERROR(__xludf.DUMMYFUNCTION("""COMPUTED_VALUE"""),80.0)</f>
        <v>80</v>
      </c>
      <c r="BB357" s="4" t="str">
        <f>IFERROR(__xludf.DUMMYFUNCTION("""COMPUTED_VALUE"""),"Fast Casual - Japonesa")</f>
        <v>Fast Casual - Japonesa</v>
      </c>
      <c r="BC357" s="4" t="str">
        <f>IFERROR(__xludf.DUMMYFUNCTION("""COMPUTED_VALUE"""),"Nacional")</f>
        <v>Nacional</v>
      </c>
      <c r="BD357" s="4" t="str">
        <f>IFERROR(__xludf.DUMMYFUNCTION("""COMPUTED_VALUE"""),"Dado não disponível publicamente - Necessário Discovery")</f>
        <v>Dado não disponível publicamente - Necessário Discovery</v>
      </c>
      <c r="BE357" s="4">
        <f>IFERROR(__xludf.DUMMYFUNCTION("""COMPUTED_VALUE"""),70.0)</f>
        <v>70</v>
      </c>
      <c r="BF357" s="4">
        <f>IFERROR(__xludf.DUMMYFUNCTION("""COMPUTED_VALUE"""),0.75)</f>
        <v>0.75</v>
      </c>
      <c r="BG35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357" s="4" t="s">
        <v>63</v>
      </c>
      <c r="BI357" s="7" t="s">
        <v>63</v>
      </c>
    </row>
    <row r="358" hidden="1">
      <c r="A358" s="4" t="str">
        <f>IFERROR(__xludf.DUMMYFUNCTION("""COMPUTED_VALUE"""),"Grupo Taisho")</f>
        <v>Grupo Taisho</v>
      </c>
      <c r="B358" s="4" t="str">
        <f>IFERROR(__xludf.DUMMYFUNCTION("""COMPUTED_VALUE"""),"Lídia Esteves")</f>
        <v>Lídia Esteves</v>
      </c>
      <c r="C358" s="4" t="str">
        <f>IFERROR(__xludf.DUMMYFUNCTION("""COMPUTED_VALUE"""),"Gabriela Roma")</f>
        <v>Gabriela Roma</v>
      </c>
      <c r="D358" s="4" t="str">
        <f>IFERROR(__xludf.DUMMYFUNCTION("""COMPUTED_VALUE"""),"0. Não Iniciado")</f>
        <v>0. Não Iniciado</v>
      </c>
      <c r="E358" s="4"/>
      <c r="F358" s="4" t="str">
        <f>IFERROR(__xludf.DUMMYFUNCTION("""COMPUTED_VALUE"""),"P")</f>
        <v>P</v>
      </c>
      <c r="G358" s="4"/>
      <c r="H358" s="4"/>
      <c r="I358" s="4"/>
      <c r="J358" s="4"/>
      <c r="K358" s="4"/>
      <c r="L358" s="4"/>
      <c r="M358" s="4"/>
      <c r="N358" s="4"/>
      <c r="O358" s="4"/>
      <c r="P358" s="4"/>
      <c r="Q358" s="4"/>
      <c r="R358" s="4"/>
      <c r="S358" s="4"/>
      <c r="T358" s="4"/>
      <c r="U358" s="4"/>
      <c r="V358" s="4"/>
      <c r="W358" s="4"/>
      <c r="X358" s="4"/>
      <c r="Y358" s="4"/>
      <c r="Z358" s="4"/>
      <c r="AA358" s="4">
        <f>IFERROR(__xludf.DUMMYFUNCTION("""COMPUTED_VALUE"""),3.0)</f>
        <v>3</v>
      </c>
      <c r="AB358" s="4" t="str">
        <f>IFERROR(__xludf.DUMMYFUNCTION("""COMPUTED_VALUE"""),"-")</f>
        <v>-</v>
      </c>
      <c r="AC358" s="4" t="str">
        <f>IFERROR(__xludf.DUMMYFUNCTION("""COMPUTED_VALUE"""),"-")</f>
        <v>-</v>
      </c>
      <c r="AD358" s="4"/>
      <c r="AE358" s="4"/>
      <c r="AF358" s="4"/>
      <c r="AG358" s="4"/>
      <c r="AH358" s="4"/>
      <c r="AI358" s="4"/>
      <c r="AJ358" s="4"/>
      <c r="AK358" s="4"/>
      <c r="AL358" s="4"/>
      <c r="AM358" s="4" t="str">
        <f>IFERROR(__xludf.DUMMYFUNCTION("""COMPUTED_VALUE"""),"FY26, FY27")</f>
        <v>FY26, FY27</v>
      </c>
      <c r="AN358" s="4"/>
      <c r="AO358" s="4">
        <f>IFERROR(__xludf.DUMMYFUNCTION("""COMPUTED_VALUE"""),45553.0)</f>
        <v>45553</v>
      </c>
      <c r="AP358" s="4" t="str">
        <f>IFERROR(__xludf.DUMMYFUNCTION("""COMPUTED_VALUE"""),"PR")</f>
        <v>PR</v>
      </c>
      <c r="AQ358" s="4" t="str">
        <f>IFERROR(__xludf.DUMMYFUNCTION("""COMPUTED_VALUE"""),"RAFAEL FERREIRA")</f>
        <v>RAFAEL FERREIRA</v>
      </c>
      <c r="AR358" s="4" t="str">
        <f>IFERROR(__xludf.DUMMYFUNCTION("""COMPUTED_VALUE"""),"MANUELLE SOARES")</f>
        <v>MANUELLE SOARES</v>
      </c>
      <c r="AS358" s="4" t="str">
        <f>IFERROR(__xludf.DUMMYFUNCTION("""COMPUTED_VALUE"""),"FABIO DONATO")</f>
        <v>FABIO DONATO</v>
      </c>
      <c r="AT358" s="4" t="str">
        <f>IFERROR(__xludf.DUMMYFUNCTION("""COMPUTED_VALUE"""),"MURILO NAGASHIMA")</f>
        <v>MURILO NAGASHIMA</v>
      </c>
      <c r="AU358" s="4" t="str">
        <f>IFERROR(__xludf.DUMMYFUNCTION("""COMPUTED_VALUE"""),"Lídia / Emerson")</f>
        <v>Lídia / Emerson</v>
      </c>
      <c r="AV358" s="4">
        <f>IFERROR(__xludf.DUMMYFUNCTION("""COMPUTED_VALUE"""),0.0)</f>
        <v>0</v>
      </c>
      <c r="AW358" s="4">
        <f>IFERROR(__xludf.DUMMYFUNCTION("""COMPUTED_VALUE"""),0.0)</f>
        <v>0</v>
      </c>
      <c r="AX358" s="4">
        <f>IFERROR(__xludf.DUMMYFUNCTION("""COMPUTED_VALUE"""),0.0)</f>
        <v>0</v>
      </c>
      <c r="AY358" s="4"/>
      <c r="AZ358" s="4" t="str">
        <f>IFERROR(__xludf.DUMMYFUNCTION("""COMPUTED_VALUE"""),"Saudável")</f>
        <v>Saudável</v>
      </c>
      <c r="BA358" s="4">
        <f>IFERROR(__xludf.DUMMYFUNCTION("""COMPUTED_VALUE"""),122.0)</f>
        <v>122</v>
      </c>
      <c r="BB358" s="4" t="str">
        <f>IFERROR(__xludf.DUMMYFUNCTION("""COMPUTED_VALUE"""),"Grupo Multi-marca")</f>
        <v>Grupo Multi-marca</v>
      </c>
      <c r="BC358" s="4" t="str">
        <f>IFERROR(__xludf.DUMMYFUNCTION("""COMPUTED_VALUE"""),"Interior SP")</f>
        <v>Interior SP</v>
      </c>
      <c r="BD358" s="4" t="str">
        <f>IFERROR(__xludf.DUMMYFUNCTION("""COMPUTED_VALUE"""),"Dado não disponível publicamente - Necessário Discovery")</f>
        <v>Dado não disponível publicamente - Necessário Discovery</v>
      </c>
      <c r="BE358" s="4">
        <f>IFERROR(__xludf.DUMMYFUNCTION("""COMPUTED_VALUE"""),40.0)</f>
        <v>40</v>
      </c>
      <c r="BF358" s="4">
        <f>IFERROR(__xludf.DUMMYFUNCTION("""COMPUTED_VALUE"""),0.5)</f>
        <v>0.5</v>
      </c>
      <c r="BG358"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58" s="4" t="s">
        <v>89</v>
      </c>
      <c r="BI358" s="7">
        <v>1.0</v>
      </c>
    </row>
    <row r="359" hidden="1">
      <c r="A359" s="4" t="str">
        <f>IFERROR(__xludf.DUMMYFUNCTION("""COMPUTED_VALUE"""),"Grupo The Curadoria")</f>
        <v>Grupo The Curadoria</v>
      </c>
      <c r="B359" s="4" t="str">
        <f>IFERROR(__xludf.DUMMYFUNCTION("""COMPUTED_VALUE"""),"Lídia Esteves")</f>
        <v>Lídia Esteves</v>
      </c>
      <c r="C359" s="4" t="str">
        <f>IFERROR(__xludf.DUMMYFUNCTION("""COMPUTED_VALUE"""),"Gabriela Roma")</f>
        <v>Gabriela Roma</v>
      </c>
      <c r="D359" s="4" t="str">
        <f>IFERROR(__xludf.DUMMYFUNCTION("""COMPUTED_VALUE"""),"0. Não Iniciado")</f>
        <v>0. Não Iniciado</v>
      </c>
      <c r="E359" s="4" t="str">
        <f>IFERROR(__xludf.DUMMYFUNCTION("""COMPUTED_VALUE"""),"Delivery - Aguardando retorno / Conciliação agenda")</f>
        <v>Delivery - Aguardando retorno / Conciliação agenda</v>
      </c>
      <c r="F359" s="4" t="str">
        <f>IFERROR(__xludf.DUMMYFUNCTION("""COMPUTED_VALUE"""),"P")</f>
        <v>P</v>
      </c>
      <c r="G359" s="5">
        <f>IFERROR(__xludf.DUMMYFUNCTION("""COMPUTED_VALUE"""),46076.0)</f>
        <v>46076</v>
      </c>
      <c r="H359" s="4" t="str">
        <f>IFERROR(__xludf.DUMMYFUNCTION("""COMPUTED_VALUE"""),"FUP no KA Jesus para apoio para chegar no Cliente. Mas não estamos conseguindo conciliar agenda. Cliente disse que não o momento para agenda.")</f>
        <v>FUP no KA Jesus para apoio para chegar no Cliente. Mas não estamos conseguindo conciliar agenda. Cliente disse que não o momento para agenda.</v>
      </c>
      <c r="I359" s="4"/>
      <c r="J359" s="4"/>
      <c r="K359" s="4"/>
      <c r="L359" s="4"/>
      <c r="M359" s="4"/>
      <c r="N359" s="4"/>
      <c r="O359" s="4"/>
      <c r="P359" s="4"/>
      <c r="Q359" s="4"/>
      <c r="R359" s="4"/>
      <c r="S359" s="4"/>
      <c r="T359" s="4"/>
      <c r="U359" s="4"/>
      <c r="V359" s="4"/>
      <c r="W359" s="4"/>
      <c r="X359" s="4"/>
      <c r="Y359" s="4"/>
      <c r="Z359" s="4"/>
      <c r="AA359" s="4">
        <f>IFERROR(__xludf.DUMMYFUNCTION("""COMPUTED_VALUE"""),4.0)</f>
        <v>4</v>
      </c>
      <c r="AB359" s="4" t="str">
        <f>IFERROR(__xludf.DUMMYFUNCTION("""COMPUTED_VALUE"""),"NÃO")</f>
        <v>NÃO</v>
      </c>
      <c r="AC359" s="4" t="str">
        <f>IFERROR(__xludf.DUMMYFUNCTION("""COMPUTED_VALUE"""),"Não BP")</f>
        <v>Não BP</v>
      </c>
      <c r="AD359" s="4"/>
      <c r="AE359" s="4"/>
      <c r="AF359" s="4"/>
      <c r="AG359" s="4"/>
      <c r="AH359" s="4"/>
      <c r="AI359" s="4"/>
      <c r="AJ359" s="4"/>
      <c r="AK359" s="4"/>
      <c r="AL359" s="4"/>
      <c r="AM359" s="4" t="str">
        <f>IFERROR(__xludf.DUMMYFUNCTION("""COMPUTED_VALUE"""),"FY26, FY27")</f>
        <v>FY26, FY27</v>
      </c>
      <c r="AN359" s="4" t="str">
        <f>IFERROR(__xludf.DUMMYFUNCTION("""COMPUTED_VALUE"""),"Comer Fora")</f>
        <v>Comer Fora</v>
      </c>
      <c r="AO359" s="4">
        <f>IFERROR(__xludf.DUMMYFUNCTION("""COMPUTED_VALUE"""),140.0)</f>
        <v>140</v>
      </c>
      <c r="AP359" s="4" t="str">
        <f>IFERROR(__xludf.DUMMYFUNCTION("""COMPUTED_VALUE"""),"RJ")</f>
        <v>RJ</v>
      </c>
      <c r="AQ359" s="4" t="str">
        <f>IFERROR(__xludf.DUMMYFUNCTION("""COMPUTED_VALUE"""),"THIAGO FERNANDES")</f>
        <v>THIAGO FERNANDES</v>
      </c>
      <c r="AR359" s="4" t="str">
        <f>IFERROR(__xludf.DUMMYFUNCTION("""COMPUTED_VALUE"""),"JESUS MATHEUS")</f>
        <v>JESUS MATHEUS</v>
      </c>
      <c r="AS359" s="4" t="str">
        <f>IFERROR(__xludf.DUMMYFUNCTION("""COMPUTED_VALUE"""),"NATHALIE MERTENS")</f>
        <v>NATHALIE MERTENS</v>
      </c>
      <c r="AT359" s="4" t="str">
        <f>IFERROR(__xludf.DUMMYFUNCTION("""COMPUTED_VALUE"""),"MARIANA KATZ")</f>
        <v>MARIANA KATZ</v>
      </c>
      <c r="AU359" s="4" t="str">
        <f>IFERROR(__xludf.DUMMYFUNCTION("""COMPUTED_VALUE"""),"Iza")</f>
        <v>Iza</v>
      </c>
      <c r="AV359" s="4" t="str">
        <f>IFERROR(__xludf.DUMMYFUNCTION("""COMPUTED_VALUE"""),"Comer Fora-")</f>
        <v>Comer Fora-</v>
      </c>
      <c r="AW359" s="20" t="str">
        <f>IFERROR(__xludf.DUMMYFUNCTION("""COMPUTED_VALUE"""),"P e M - pipe")</f>
        <v>P e M - pipe</v>
      </c>
      <c r="AX359" s="4"/>
      <c r="AY359" s="4"/>
      <c r="AZ359" s="4" t="str">
        <f>IFERROR(__xludf.DUMMYFUNCTION("""COMPUTED_VALUE"""),"Lanches")</f>
        <v>Lanches</v>
      </c>
      <c r="BA359" s="4">
        <f>IFERROR(__xludf.DUMMYFUNCTION("""COMPUTED_VALUE"""),115.0)</f>
        <v>115</v>
      </c>
      <c r="BB359" s="4" t="str">
        <f>IFERROR(__xludf.DUMMYFUNCTION("""COMPUTED_VALUE"""),"Grupo Multi-marca")</f>
        <v>Grupo Multi-marca</v>
      </c>
      <c r="BC359" s="4" t="str">
        <f>IFERROR(__xludf.DUMMYFUNCTION("""COMPUTED_VALUE"""),"Brasília/DF")</f>
        <v>Brasília/DF</v>
      </c>
      <c r="BD359" s="4" t="str">
        <f>IFERROR(__xludf.DUMMYFUNCTION("""COMPUTED_VALUE"""),"Dado não disponível publicamente - Necessário Discovery")</f>
        <v>Dado não disponível publicamente - Necessário Discovery</v>
      </c>
      <c r="BE359" s="4">
        <f>IFERROR(__xludf.DUMMYFUNCTION("""COMPUTED_VALUE"""),40.0)</f>
        <v>40</v>
      </c>
      <c r="BF359" s="4">
        <f>IFERROR(__xludf.DUMMYFUNCTION("""COMPUTED_VALUE"""),0.55)</f>
        <v>0.55</v>
      </c>
      <c r="BG359"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59" s="4" t="s">
        <v>63</v>
      </c>
      <c r="BI359" s="7" t="s">
        <v>63</v>
      </c>
    </row>
    <row r="360" hidden="1">
      <c r="A360" s="4" t="str">
        <f>IFERROR(__xludf.DUMMYFUNCTION("""COMPUTED_VALUE"""),"Grupo Top")</f>
        <v>Grupo Top</v>
      </c>
      <c r="B360" s="4" t="str">
        <f>IFERROR(__xludf.DUMMYFUNCTION("""COMPUTED_VALUE"""),"Lídia Esteves")</f>
        <v>Lídia Esteves</v>
      </c>
      <c r="C360" s="4" t="str">
        <f>IFERROR(__xludf.DUMMYFUNCTION("""COMPUTED_VALUE"""),"Gabriela Roma")</f>
        <v>Gabriela Roma</v>
      </c>
      <c r="D360" s="4" t="str">
        <f>IFERROR(__xludf.DUMMYFUNCTION("""COMPUTED_VALUE"""),"0. Não Iniciado")</f>
        <v>0. Não Iniciado</v>
      </c>
      <c r="E360" s="4"/>
      <c r="F360" s="4" t="str">
        <f>IFERROR(__xludf.DUMMYFUNCTION("""COMPUTED_VALUE"""),"P")</f>
        <v>P</v>
      </c>
      <c r="G360" s="4"/>
      <c r="H360" s="4"/>
      <c r="I360" s="4"/>
      <c r="J360" s="4"/>
      <c r="K360" s="4"/>
      <c r="L360" s="4"/>
      <c r="M360" s="4"/>
      <c r="N360" s="4"/>
      <c r="O360" s="4"/>
      <c r="P360" s="4"/>
      <c r="Q360" s="4"/>
      <c r="R360" s="4"/>
      <c r="S360" s="4"/>
      <c r="T360" s="4"/>
      <c r="U360" s="4"/>
      <c r="V360" s="4"/>
      <c r="W360" s="4"/>
      <c r="X360" s="4"/>
      <c r="Y360" s="4"/>
      <c r="Z360" s="4"/>
      <c r="AA360" s="4">
        <f>IFERROR(__xludf.DUMMYFUNCTION("""COMPUTED_VALUE"""),9.0)</f>
        <v>9</v>
      </c>
      <c r="AB360" s="4" t="str">
        <f>IFERROR(__xludf.DUMMYFUNCTION("""COMPUTED_VALUE"""),"-")</f>
        <v>-</v>
      </c>
      <c r="AC360" s="4" t="str">
        <f>IFERROR(__xludf.DUMMYFUNCTION("""COMPUTED_VALUE"""),"-")</f>
        <v>-</v>
      </c>
      <c r="AD360" s="4"/>
      <c r="AE360" s="4"/>
      <c r="AF360" s="4"/>
      <c r="AG360" s="4"/>
      <c r="AH360" s="4"/>
      <c r="AI360" s="4"/>
      <c r="AJ360" s="4"/>
      <c r="AK360" s="4"/>
      <c r="AL360" s="4"/>
      <c r="AM360" s="4" t="str">
        <f>IFERROR(__xludf.DUMMYFUNCTION("""COMPUTED_VALUE"""),"FY26, FY27")</f>
        <v>FY26, FY27</v>
      </c>
      <c r="AN360" s="4"/>
      <c r="AO360" s="4">
        <f>IFERROR(__xludf.DUMMYFUNCTION("""COMPUTED_VALUE"""),45553.0)</f>
        <v>45553</v>
      </c>
      <c r="AP360" s="4" t="str">
        <f>IFERROR(__xludf.DUMMYFUNCTION("""COMPUTED_VALUE"""),"PR")</f>
        <v>PR</v>
      </c>
      <c r="AQ360" s="4" t="str">
        <f>IFERROR(__xludf.DUMMYFUNCTION("""COMPUTED_VALUE"""),"RAFAEL FERREIRA")</f>
        <v>RAFAEL FERREIRA</v>
      </c>
      <c r="AR360" s="4" t="str">
        <f>IFERROR(__xludf.DUMMYFUNCTION("""COMPUTED_VALUE"""),"GIOVANI ROCHA")</f>
        <v>GIOVANI ROCHA</v>
      </c>
      <c r="AS360" s="4" t="str">
        <f>IFERROR(__xludf.DUMMYFUNCTION("""COMPUTED_VALUE"""),"FABIO DONATO")</f>
        <v>FABIO DONATO</v>
      </c>
      <c r="AT360" s="4" t="str">
        <f>IFERROR(__xludf.DUMMYFUNCTION("""COMPUTED_VALUE"""),"MURILO NAGASHIMA")</f>
        <v>MURILO NAGASHIMA</v>
      </c>
      <c r="AU360" s="4" t="str">
        <f>IFERROR(__xludf.DUMMYFUNCTION("""COMPUTED_VALUE"""),"Lídia / Emerson")</f>
        <v>Lídia / Emerson</v>
      </c>
      <c r="AV360" s="4">
        <f>IFERROR(__xludf.DUMMYFUNCTION("""COMPUTED_VALUE"""),0.0)</f>
        <v>0</v>
      </c>
      <c r="AW360" s="4">
        <f>IFERROR(__xludf.DUMMYFUNCTION("""COMPUTED_VALUE"""),0.0)</f>
        <v>0</v>
      </c>
      <c r="AX360" s="4">
        <f>IFERROR(__xludf.DUMMYFUNCTION("""COMPUTED_VALUE"""),0.0)</f>
        <v>0</v>
      </c>
      <c r="AY360" s="4" t="str">
        <f>IFERROR(__xludf.DUMMYFUNCTION("""COMPUTED_VALUE"""),"Cloudfy")</f>
        <v>Cloudfy</v>
      </c>
      <c r="AZ360" s="4" t="str">
        <f>IFERROR(__xludf.DUMMYFUNCTION("""COMPUTED_VALUE"""),"Brasileira")</f>
        <v>Brasileira</v>
      </c>
      <c r="BA360" s="4">
        <f>IFERROR(__xludf.DUMMYFUNCTION("""COMPUTED_VALUE"""),85.0)</f>
        <v>85</v>
      </c>
      <c r="BB360" s="4" t="str">
        <f>IFERROR(__xludf.DUMMYFUNCTION("""COMPUTED_VALUE"""),"Grupo Multi-marca")</f>
        <v>Grupo Multi-marca</v>
      </c>
      <c r="BC360" s="4" t="str">
        <f>IFERROR(__xludf.DUMMYFUNCTION("""COMPUTED_VALUE"""),"Nacional")</f>
        <v>Nacional</v>
      </c>
      <c r="BD360" s="4" t="str">
        <f>IFERROR(__xludf.DUMMYFUNCTION("""COMPUTED_VALUE"""),"Dado não disponível publicamente - Necessário Discovery")</f>
        <v>Dado não disponível publicamente - Necessário Discovery</v>
      </c>
      <c r="BE360" s="4">
        <f>IFERROR(__xludf.DUMMYFUNCTION("""COMPUTED_VALUE"""),45.0)</f>
        <v>45</v>
      </c>
      <c r="BF360" s="4">
        <f>IFERROR(__xludf.DUMMYFUNCTION("""COMPUTED_VALUE"""),0.55)</f>
        <v>0.55</v>
      </c>
      <c r="BG360"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60" s="4" t="s">
        <v>89</v>
      </c>
      <c r="BI360" s="7">
        <v>0.875</v>
      </c>
    </row>
    <row r="361" hidden="1">
      <c r="A361" s="4" t="str">
        <f>IFERROR(__xludf.DUMMYFUNCTION("""COMPUTED_VALUE"""),"Grupo Trema")</f>
        <v>Grupo Trema</v>
      </c>
      <c r="B361" s="4" t="str">
        <f>IFERROR(__xludf.DUMMYFUNCTION("""COMPUTED_VALUE"""),"Lídia Esteves")</f>
        <v>Lídia Esteves</v>
      </c>
      <c r="C361" s="4" t="str">
        <f>IFERROR(__xludf.DUMMYFUNCTION("""COMPUTED_VALUE"""),"Gabriela Roma")</f>
        <v>Gabriela Roma</v>
      </c>
      <c r="D361" s="4" t="str">
        <f>IFERROR(__xludf.DUMMYFUNCTION("""COMPUTED_VALUE"""),"0. Não Iniciado")</f>
        <v>0. Não Iniciado</v>
      </c>
      <c r="E361" s="4" t="str">
        <f>IFERROR(__xludf.DUMMYFUNCTION("""COMPUTED_VALUE"""),"Delivery - Momento inadequado de abordagem (ex. 99)")</f>
        <v>Delivery - Momento inadequado de abordagem (ex. 99)</v>
      </c>
      <c r="F361" s="4" t="str">
        <f>IFERROR(__xludf.DUMMYFUNCTION("""COMPUTED_VALUE"""),"P")</f>
        <v>P</v>
      </c>
      <c r="G361" s="5">
        <f>IFERROR(__xludf.DUMMYFUNCTION("""COMPUTED_VALUE"""),46076.0)</f>
        <v>46076</v>
      </c>
      <c r="H361" s="4" t="str">
        <f>IFERROR(__xludf.DUMMYFUNCTION("""COMPUTED_VALUE"""),"Falei com KA Lauriceia e me informou que não é um bom momento para aborda-los,  estão em processo de renegociação por blindagem, o contrato está com jurídico, pediu para deixar em Standby que quando resolverem essas questões nos avisaria.")</f>
        <v>Falei com KA Lauriceia e me informou que não é um bom momento para aborda-los,  estão em processo de renegociação por blindagem, o contrato está com jurídico, pediu para deixar em Standby que quando resolverem essas questões nos avisaria.</v>
      </c>
      <c r="I361" s="4"/>
      <c r="J361" s="4"/>
      <c r="K361" s="4"/>
      <c r="L361" s="4"/>
      <c r="M361" s="4"/>
      <c r="N361" s="4"/>
      <c r="O361" s="4"/>
      <c r="P361" s="4"/>
      <c r="Q361" s="4"/>
      <c r="R361" s="4"/>
      <c r="S361" s="4"/>
      <c r="T361" s="4"/>
      <c r="U361" s="4"/>
      <c r="V361" s="4"/>
      <c r="W361" s="4"/>
      <c r="X361" s="4"/>
      <c r="Y361" s="4"/>
      <c r="Z361" s="4"/>
      <c r="AA361" s="4">
        <f>IFERROR(__xludf.DUMMYFUNCTION("""COMPUTED_VALUE"""),5.0)</f>
        <v>5</v>
      </c>
      <c r="AB361" s="4" t="str">
        <f>IFERROR(__xludf.DUMMYFUNCTION("""COMPUTED_VALUE"""),"NÃO")</f>
        <v>NÃO</v>
      </c>
      <c r="AC361" s="4" t="str">
        <f>IFERROR(__xludf.DUMMYFUNCTION("""COMPUTED_VALUE"""),"BP")</f>
        <v>BP</v>
      </c>
      <c r="AD361" s="4"/>
      <c r="AE361" s="4"/>
      <c r="AF361" s="4"/>
      <c r="AG361" s="4"/>
      <c r="AH361" s="4"/>
      <c r="AI361" s="4"/>
      <c r="AJ361" s="4"/>
      <c r="AK361" s="4"/>
      <c r="AL361" s="4"/>
      <c r="AM361" s="4" t="str">
        <f>IFERROR(__xludf.DUMMYFUNCTION("""COMPUTED_VALUE"""),"FY26, FY27")</f>
        <v>FY26, FY27</v>
      </c>
      <c r="AN361" s="4"/>
      <c r="AO361" s="4">
        <f>IFERROR(__xludf.DUMMYFUNCTION("""COMPUTED_VALUE"""),140.0)</f>
        <v>140</v>
      </c>
      <c r="AP361" s="4">
        <f>IFERROR(__xludf.DUMMYFUNCTION("""COMPUTED_VALUE"""),0.0)</f>
        <v>0</v>
      </c>
      <c r="AQ361" s="4">
        <f>IFERROR(__xludf.DUMMYFUNCTION("""COMPUTED_VALUE"""),0.0)</f>
        <v>0</v>
      </c>
      <c r="AR361" s="4">
        <f>IFERROR(__xludf.DUMMYFUNCTION("""COMPUTED_VALUE"""),0.0)</f>
        <v>0</v>
      </c>
      <c r="AS361" s="4">
        <f>IFERROR(__xludf.DUMMYFUNCTION("""COMPUTED_VALUE"""),0.0)</f>
        <v>0</v>
      </c>
      <c r="AT361" s="4">
        <f>IFERROR(__xludf.DUMMYFUNCTION("""COMPUTED_VALUE"""),0.0)</f>
        <v>0</v>
      </c>
      <c r="AU361" s="4" t="str">
        <f>IFERROR(__xludf.DUMMYFUNCTION("""COMPUTED_VALUE"""),"Iza")</f>
        <v>Iza</v>
      </c>
      <c r="AV361" s="4">
        <f>IFERROR(__xludf.DUMMYFUNCTION("""COMPUTED_VALUE"""),0.0)</f>
        <v>0</v>
      </c>
      <c r="AW361" s="4">
        <f>IFERROR(__xludf.DUMMYFUNCTION("""COMPUTED_VALUE"""),0.0)</f>
        <v>0</v>
      </c>
      <c r="AX361" s="4">
        <f>IFERROR(__xludf.DUMMYFUNCTION("""COMPUTED_VALUE"""),0.0)</f>
        <v>0</v>
      </c>
      <c r="AY361" s="4"/>
      <c r="AZ361" s="4" t="str">
        <f>IFERROR(__xludf.DUMMYFUNCTION("""COMPUTED_VALUE"""),"NA")</f>
        <v>NA</v>
      </c>
      <c r="BA361" s="4">
        <f>IFERROR(__xludf.DUMMYFUNCTION("""COMPUTED_VALUE"""),81.0)</f>
        <v>81</v>
      </c>
      <c r="BB361" s="4" t="str">
        <f>IFERROR(__xludf.DUMMYFUNCTION("""COMPUTED_VALUE"""),"Grupo Multi-marca")</f>
        <v>Grupo Multi-marca</v>
      </c>
      <c r="BC361" s="4" t="str">
        <f>IFERROR(__xludf.DUMMYFUNCTION("""COMPUTED_VALUE"""),"São Paulo/SP")</f>
        <v>São Paulo/SP</v>
      </c>
      <c r="BD361" s="4" t="str">
        <f>IFERROR(__xludf.DUMMYFUNCTION("""COMPUTED_VALUE"""),"Dado não disponível publicamente - Necessário Discovery")</f>
        <v>Dado não disponível publicamente - Necessário Discovery</v>
      </c>
      <c r="BE361" s="4">
        <f>IFERROR(__xludf.DUMMYFUNCTION("""COMPUTED_VALUE"""),40.0)</f>
        <v>40</v>
      </c>
      <c r="BF361" s="4">
        <f>IFERROR(__xludf.DUMMYFUNCTION("""COMPUTED_VALUE"""),0.55)</f>
        <v>0.55</v>
      </c>
      <c r="BG361"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61" s="4" t="s">
        <v>72</v>
      </c>
      <c r="BI361" s="7">
        <v>1.0</v>
      </c>
    </row>
    <row r="362" hidden="1">
      <c r="A362" s="4" t="str">
        <f>IFERROR(__xludf.DUMMYFUNCTION("""COMPUTED_VALUE"""),"Grupo Trends Kitchen")</f>
        <v>Grupo Trends Kitchen</v>
      </c>
      <c r="B362" s="4" t="str">
        <f>IFERROR(__xludf.DUMMYFUNCTION("""COMPUTED_VALUE"""),"João Biagiotti")</f>
        <v>João Biagiotti</v>
      </c>
      <c r="C362" s="4" t="str">
        <f>IFERROR(__xludf.DUMMYFUNCTION("""COMPUTED_VALUE"""),"Diego Santos")</f>
        <v>Diego Santos</v>
      </c>
      <c r="D362" s="4" t="str">
        <f>IFERROR(__xludf.DUMMYFUNCTION("""COMPUTED_VALUE"""),"0. Não Iniciado")</f>
        <v>0. Não Iniciado</v>
      </c>
      <c r="E362" s="4" t="str">
        <f>IFERROR(__xludf.DUMMYFUNCTION("""COMPUTED_VALUE"""),"Delivery - Dificuldade de contato com executivo")</f>
        <v>Delivery - Dificuldade de contato com executivo</v>
      </c>
      <c r="F362" s="4" t="str">
        <f>IFERROR(__xludf.DUMMYFUNCTION("""COMPUTED_VALUE"""),"P")</f>
        <v>P</v>
      </c>
      <c r="G362" s="5">
        <f>IFERROR(__xludf.DUMMYFUNCTION("""COMPUTED_VALUE"""),46097.0)</f>
        <v>46097</v>
      </c>
      <c r="H362" s="4" t="str">
        <f>IFERROR(__xludf.DUMMYFUNCTION("""COMPUTED_VALUE"""),"Executivo não engajou, não passou contato e não conciliou agenda e agora saiu do iFood. Estou validando quem é novo executivo (se houver)")</f>
        <v>Executivo não engajou, não passou contato e não conciliou agenda e agora saiu do iFood. Estou validando quem é novo executivo (se houver)</v>
      </c>
      <c r="I362" s="4"/>
      <c r="J362" s="6">
        <f>IFERROR(__xludf.DUMMYFUNCTION("""COMPUTED_VALUE"""),46050.4447806713)</f>
        <v>46050.44478</v>
      </c>
      <c r="K362" s="4"/>
      <c r="L362" s="4"/>
      <c r="M362" s="4"/>
      <c r="N362" s="4"/>
      <c r="O362" s="4"/>
      <c r="P362" s="4"/>
      <c r="Q362" s="4"/>
      <c r="R362" s="4"/>
      <c r="S362" s="4"/>
      <c r="T362" s="4"/>
      <c r="U362" s="4"/>
      <c r="V362" s="4"/>
      <c r="W362" s="4"/>
      <c r="X362" s="4"/>
      <c r="Y362" s="4"/>
      <c r="Z362" s="4"/>
      <c r="AA362" s="4">
        <f>IFERROR(__xludf.DUMMYFUNCTION("""COMPUTED_VALUE"""),4.0)</f>
        <v>4</v>
      </c>
      <c r="AB362" s="4" t="str">
        <f>IFERROR(__xludf.DUMMYFUNCTION("""COMPUTED_VALUE"""),"NÃO")</f>
        <v>NÃO</v>
      </c>
      <c r="AC362" s="4" t="str">
        <f>IFERROR(__xludf.DUMMYFUNCTION("""COMPUTED_VALUE"""),"Não BP")</f>
        <v>Não BP</v>
      </c>
      <c r="AD362" s="4"/>
      <c r="AE362" s="4"/>
      <c r="AF362" s="4"/>
      <c r="AG362" s="4"/>
      <c r="AH362" s="4"/>
      <c r="AI362" s="4"/>
      <c r="AJ362" s="4"/>
      <c r="AK362" s="4"/>
      <c r="AL362" s="4"/>
      <c r="AM362" s="4" t="str">
        <f>IFERROR(__xludf.DUMMYFUNCTION("""COMPUTED_VALUE"""),"FY26, FY27")</f>
        <v>FY26, FY27</v>
      </c>
      <c r="AN362" s="4" t="str">
        <f>IFERROR(__xludf.DUMMYFUNCTION("""COMPUTED_VALUE"""),"Comer Fora")</f>
        <v>Comer Fora</v>
      </c>
      <c r="AO362" s="4">
        <f>IFERROR(__xludf.DUMMYFUNCTION("""COMPUTED_VALUE"""),117.0)</f>
        <v>117</v>
      </c>
      <c r="AP362" s="4">
        <f>IFERROR(__xludf.DUMMYFUNCTION("""COMPUTED_VALUE"""),0.0)</f>
        <v>0</v>
      </c>
      <c r="AQ362" s="4">
        <f>IFERROR(__xludf.DUMMYFUNCTION("""COMPUTED_VALUE"""),0.0)</f>
        <v>0</v>
      </c>
      <c r="AR362" s="4">
        <f>IFERROR(__xludf.DUMMYFUNCTION("""COMPUTED_VALUE"""),0.0)</f>
        <v>0</v>
      </c>
      <c r="AS362" s="4">
        <f>IFERROR(__xludf.DUMMYFUNCTION("""COMPUTED_VALUE"""),0.0)</f>
        <v>0</v>
      </c>
      <c r="AT362" s="4">
        <f>IFERROR(__xludf.DUMMYFUNCTION("""COMPUTED_VALUE"""),0.0)</f>
        <v>0</v>
      </c>
      <c r="AU362" s="4" t="str">
        <f>IFERROR(__xludf.DUMMYFUNCTION("""COMPUTED_VALUE"""),"Ana")</f>
        <v>Ana</v>
      </c>
      <c r="AV362" s="4" t="str">
        <f>IFERROR(__xludf.DUMMYFUNCTION("""COMPUTED_VALUE"""),"Comer Fora-")</f>
        <v>Comer Fora-</v>
      </c>
      <c r="AW362" s="20" t="str">
        <f>IFERROR(__xludf.DUMMYFUNCTION("""COMPUTED_VALUE"""),"P e M - pipe")</f>
        <v>P e M - pipe</v>
      </c>
      <c r="AX362" s="4"/>
      <c r="AY362" s="4" t="str">
        <f>IFERROR(__xludf.DUMMYFUNCTION("""COMPUTED_VALUE"""),"Menew - Linx")</f>
        <v>Menew - Linx</v>
      </c>
      <c r="AZ362" s="4" t="str">
        <f>IFERROR(__xludf.DUMMYFUNCTION("""COMPUTED_VALUE"""),"Variada")</f>
        <v>Variada</v>
      </c>
      <c r="BA362" s="4">
        <f>IFERROR(__xludf.DUMMYFUNCTION("""COMPUTED_VALUE"""),115.0)</f>
        <v>115</v>
      </c>
      <c r="BB362" s="4" t="str">
        <f>IFERROR(__xludf.DUMMYFUNCTION("""COMPUTED_VALUE"""),"Grupo Multi-marca")</f>
        <v>Grupo Multi-marca</v>
      </c>
      <c r="BC362" s="4" t="str">
        <f>IFERROR(__xludf.DUMMYFUNCTION("""COMPUTED_VALUE"""),"Nordeste")</f>
        <v>Nordeste</v>
      </c>
      <c r="BD362" s="4" t="str">
        <f>IFERROR(__xludf.DUMMYFUNCTION("""COMPUTED_VALUE"""),"Dado não disponível publicamente - Necessário Discovery")</f>
        <v>Dado não disponível publicamente - Necessário Discovery</v>
      </c>
      <c r="BE362" s="4">
        <f>IFERROR(__xludf.DUMMYFUNCTION("""COMPUTED_VALUE"""),40.0)</f>
        <v>40</v>
      </c>
      <c r="BF362" s="4">
        <f>IFERROR(__xludf.DUMMYFUNCTION("""COMPUTED_VALUE"""),0.55)</f>
        <v>0.55</v>
      </c>
      <c r="BG362"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62" s="4" t="s">
        <v>63</v>
      </c>
      <c r="BI362" s="7" t="s">
        <v>63</v>
      </c>
    </row>
    <row r="363" hidden="1">
      <c r="A363" s="4" t="str">
        <f>IFERROR(__xludf.DUMMYFUNCTION("""COMPUTED_VALUE"""),"Grupo Varanda")</f>
        <v>Grupo Varanda</v>
      </c>
      <c r="B363" s="4" t="str">
        <f>IFERROR(__xludf.DUMMYFUNCTION("""COMPUTED_VALUE"""),"João Biagiotti")</f>
        <v>João Biagiotti</v>
      </c>
      <c r="C363" s="4" t="str">
        <f>IFERROR(__xludf.DUMMYFUNCTION("""COMPUTED_VALUE"""),"Diego Santos")</f>
        <v>Diego Santos</v>
      </c>
      <c r="D363" s="4" t="str">
        <f>IFERROR(__xludf.DUMMYFUNCTION("""COMPUTED_VALUE"""),"0. Não Iniciado")</f>
        <v>0. Não Iniciado</v>
      </c>
      <c r="E363" s="4" t="str">
        <f>IFERROR(__xludf.DUMMYFUNCTION("""COMPUTED_VALUE"""),"Delivery - Dificuldade de contato com executivo")</f>
        <v>Delivery - Dificuldade de contato com executivo</v>
      </c>
      <c r="F363" s="4" t="str">
        <f>IFERROR(__xludf.DUMMYFUNCTION("""COMPUTED_VALUE"""),"P")</f>
        <v>P</v>
      </c>
      <c r="G363" s="5">
        <f>IFERROR(__xludf.DUMMYFUNCTION("""COMPUTED_VALUE"""),46076.0)</f>
        <v>46076</v>
      </c>
      <c r="H363" s="4" t="str">
        <f>IFERROR(__xludf.DUMMYFUNCTION("""COMPUTED_VALUE"""),"Tentativa abertura de contato com executivo delivery, sem retorno.")</f>
        <v>Tentativa abertura de contato com executivo delivery, sem retorno.</v>
      </c>
      <c r="I363" s="4"/>
      <c r="J363" s="4"/>
      <c r="K363" s="4"/>
      <c r="L363" s="4"/>
      <c r="M363" s="4"/>
      <c r="N363" s="4"/>
      <c r="O363" s="4"/>
      <c r="P363" s="4"/>
      <c r="Q363" s="4"/>
      <c r="R363" s="4"/>
      <c r="S363" s="4"/>
      <c r="T363" s="4"/>
      <c r="U363" s="4"/>
      <c r="V363" s="4"/>
      <c r="W363" s="4"/>
      <c r="X363" s="4"/>
      <c r="Y363" s="4"/>
      <c r="Z363" s="4"/>
      <c r="AA363" s="4">
        <f>IFERROR(__xludf.DUMMYFUNCTION("""COMPUTED_VALUE"""),3.0)</f>
        <v>3</v>
      </c>
      <c r="AB363" s="4" t="str">
        <f>IFERROR(__xludf.DUMMYFUNCTION("""COMPUTED_VALUE"""),"NÃO")</f>
        <v>NÃO</v>
      </c>
      <c r="AC363" s="4" t="str">
        <f>IFERROR(__xludf.DUMMYFUNCTION("""COMPUTED_VALUE"""),"BP")</f>
        <v>BP</v>
      </c>
      <c r="AD363" s="4"/>
      <c r="AE363" s="4"/>
      <c r="AF363" s="4"/>
      <c r="AG363" s="4"/>
      <c r="AH363" s="4"/>
      <c r="AI363" s="4"/>
      <c r="AJ363" s="4"/>
      <c r="AK363" s="4"/>
      <c r="AL363" s="4"/>
      <c r="AM363" s="4" t="str">
        <f>IFERROR(__xludf.DUMMYFUNCTION("""COMPUTED_VALUE"""),"FY26, FY27")</f>
        <v>FY26, FY27</v>
      </c>
      <c r="AN363" s="4" t="str">
        <f>IFERROR(__xludf.DUMMYFUNCTION("""COMPUTED_VALUE"""),"Comer Fora")</f>
        <v>Comer Fora</v>
      </c>
      <c r="AO363" s="4">
        <f>IFERROR(__xludf.DUMMYFUNCTION("""COMPUTED_VALUE"""),140.0)</f>
        <v>140</v>
      </c>
      <c r="AP363" s="4" t="str">
        <f>IFERROR(__xludf.DUMMYFUNCTION("""COMPUTED_VALUE"""),"SP")</f>
        <v>SP</v>
      </c>
      <c r="AQ363" s="4" t="str">
        <f>IFERROR(__xludf.DUMMYFUNCTION("""COMPUTED_VALUE"""),"GABRIEL BISPO")</f>
        <v>GABRIEL BISPO</v>
      </c>
      <c r="AR363" s="4" t="str">
        <f>IFERROR(__xludf.DUMMYFUNCTION("""COMPUTED_VALUE"""),"GABRYELLA ESTEVAO")</f>
        <v>GABRYELLA ESTEVAO</v>
      </c>
      <c r="AS363" s="4" t="str">
        <f>IFERROR(__xludf.DUMMYFUNCTION("""COMPUTED_VALUE"""),"NATHALIE MERTENS")</f>
        <v>NATHALIE MERTENS</v>
      </c>
      <c r="AT363" s="4" t="str">
        <f>IFERROR(__xludf.DUMMYFUNCTION("""COMPUTED_VALUE"""),"MARIANA KATZ")</f>
        <v>MARIANA KATZ</v>
      </c>
      <c r="AU363" s="4" t="str">
        <f>IFERROR(__xludf.DUMMYFUNCTION("""COMPUTED_VALUE"""),"Iza")</f>
        <v>Iza</v>
      </c>
      <c r="AV363" s="4" t="str">
        <f>IFERROR(__xludf.DUMMYFUNCTION("""COMPUTED_VALUE"""),"Comer Fora-")</f>
        <v>Comer Fora-</v>
      </c>
      <c r="AW363" s="20" t="str">
        <f>IFERROR(__xludf.DUMMYFUNCTION("""COMPUTED_VALUE"""),"P e M - pipe")</f>
        <v>P e M - pipe</v>
      </c>
      <c r="AX363" s="4"/>
      <c r="AY363" s="4" t="str">
        <f>IFERROR(__xludf.DUMMYFUNCTION("""COMPUTED_VALUE"""),"Teknisa Service Ltda")</f>
        <v>Teknisa Service Ltda</v>
      </c>
      <c r="AZ363" s="4" t="str">
        <f>IFERROR(__xludf.DUMMYFUNCTION("""COMPUTED_VALUE"""),"Brasileira")</f>
        <v>Brasileira</v>
      </c>
      <c r="BA363" s="4">
        <f>IFERROR(__xludf.DUMMYFUNCTION("""COMPUTED_VALUE"""),70.0)</f>
        <v>70</v>
      </c>
      <c r="BB363" s="4" t="str">
        <f>IFERROR(__xludf.DUMMYFUNCTION("""COMPUTED_VALUE"""),"Grupo Multi-marca")</f>
        <v>Grupo Multi-marca</v>
      </c>
      <c r="BC363" s="4" t="str">
        <f>IFERROR(__xludf.DUMMYFUNCTION("""COMPUTED_VALUE"""),"Nordeste")</f>
        <v>Nordeste</v>
      </c>
      <c r="BD363" s="4" t="str">
        <f>IFERROR(__xludf.DUMMYFUNCTION("""COMPUTED_VALUE"""),"Dado não disponível publicamente - Necessário Discovery")</f>
        <v>Dado não disponível publicamente - Necessário Discovery</v>
      </c>
      <c r="BE363" s="4">
        <f>IFERROR(__xludf.DUMMYFUNCTION("""COMPUTED_VALUE"""),45.0)</f>
        <v>45</v>
      </c>
      <c r="BF363" s="4">
        <f>IFERROR(__xludf.DUMMYFUNCTION("""COMPUTED_VALUE"""),0.55)</f>
        <v>0.55</v>
      </c>
      <c r="BG363"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63" s="4" t="s">
        <v>82</v>
      </c>
      <c r="BI363" s="7">
        <v>0.6666666666666666</v>
      </c>
    </row>
    <row r="364" hidden="1">
      <c r="A364" s="4" t="str">
        <f>IFERROR(__xludf.DUMMYFUNCTION("""COMPUTED_VALUE"""),"Grupo Villa Sucreê")</f>
        <v>Grupo Villa Sucreê</v>
      </c>
      <c r="B364" s="4" t="str">
        <f>IFERROR(__xludf.DUMMYFUNCTION("""COMPUTED_VALUE"""),"João Biagiotti")</f>
        <v>João Biagiotti</v>
      </c>
      <c r="C364" s="4" t="str">
        <f>IFERROR(__xludf.DUMMYFUNCTION("""COMPUTED_VALUE"""),"Diego Santos")</f>
        <v>Diego Santos</v>
      </c>
      <c r="D364" s="4" t="str">
        <f>IFERROR(__xludf.DUMMYFUNCTION("""COMPUTED_VALUE"""),"11. Stand by")</f>
        <v>11. Stand by</v>
      </c>
      <c r="E364" s="4" t="str">
        <f>IFERROR(__xludf.DUMMYFUNCTION("""COMPUTED_VALUE"""),"Perdido - Fechou com concorrente")</f>
        <v>Perdido - Fechou com concorrente</v>
      </c>
      <c r="F364" s="4" t="str">
        <f>IFERROR(__xludf.DUMMYFUNCTION("""COMPUTED_VALUE"""),"P")</f>
        <v>P</v>
      </c>
      <c r="G364" s="10">
        <f>IFERROR(__xludf.DUMMYFUNCTION("""COMPUTED_VALUE"""),46156.0)</f>
        <v>46156</v>
      </c>
      <c r="H364" s="4" t="str">
        <f>IFERROR(__xludf.DUMMYFUNCTION("""COMPUTED_VALUE"""),"Cliente entrou em contato que tem interesse no acelerador de avaliações, foi direcionado para o time da SAIPOS")</f>
        <v>Cliente entrou em contato que tem interesse no acelerador de avaliações, foi direcionado para o time da SAIPOS</v>
      </c>
      <c r="I364" s="4"/>
      <c r="J364" s="4"/>
      <c r="K364" s="6">
        <f>IFERROR(__xludf.DUMMYFUNCTION("""COMPUTED_VALUE"""),46044.0)</f>
        <v>46044</v>
      </c>
      <c r="L364" s="4"/>
      <c r="M364" s="4"/>
      <c r="N364" s="4"/>
      <c r="O364" s="4"/>
      <c r="P364" s="4"/>
      <c r="Q364" s="4"/>
      <c r="R364" s="4"/>
      <c r="S364" s="6">
        <f>IFERROR(__xludf.DUMMYFUNCTION("""COMPUTED_VALUE"""),46125.4299434375)</f>
        <v>46125.42994</v>
      </c>
      <c r="T364" s="4"/>
      <c r="U364" s="4"/>
      <c r="V364" s="4" t="str">
        <f>IFERROR(__xludf.DUMMYFUNCTION("""COMPUTED_VALUE"""),"Fechou com concorrente há pouco tempo")</f>
        <v>Fechou com concorrente há pouco tempo</v>
      </c>
      <c r="W364" s="4"/>
      <c r="X364" s="4"/>
      <c r="Y364" s="4"/>
      <c r="Z364" s="4"/>
      <c r="AA364" s="4">
        <f>IFERROR(__xludf.DUMMYFUNCTION("""COMPUTED_VALUE"""),10.0)</f>
        <v>10</v>
      </c>
      <c r="AB364" s="4" t="str">
        <f>IFERROR(__xludf.DUMMYFUNCTION("""COMPUTED_VALUE"""),"NÃO")</f>
        <v>NÃO</v>
      </c>
      <c r="AC364" s="4" t="str">
        <f>IFERROR(__xludf.DUMMYFUNCTION("""COMPUTED_VALUE"""),"BP")</f>
        <v>BP</v>
      </c>
      <c r="AD364" s="4"/>
      <c r="AE364" s="4"/>
      <c r="AF364" s="4"/>
      <c r="AG364" s="4"/>
      <c r="AH364" s="4"/>
      <c r="AI364" s="4"/>
      <c r="AJ364" s="4"/>
      <c r="AK364" s="4"/>
      <c r="AL364" s="4"/>
      <c r="AM364" s="4" t="str">
        <f>IFERROR(__xludf.DUMMYFUNCTION("""COMPUTED_VALUE"""),"FY26, FY27")</f>
        <v>FY26, FY27</v>
      </c>
      <c r="AN364" s="4"/>
      <c r="AO364" s="4">
        <f>IFERROR(__xludf.DUMMYFUNCTION("""COMPUTED_VALUE"""),59.0)</f>
        <v>59</v>
      </c>
      <c r="AP364" s="4">
        <f>IFERROR(__xludf.DUMMYFUNCTION("""COMPUTED_VALUE"""),0.0)</f>
        <v>0</v>
      </c>
      <c r="AQ364" s="4">
        <f>IFERROR(__xludf.DUMMYFUNCTION("""COMPUTED_VALUE"""),0.0)</f>
        <v>0</v>
      </c>
      <c r="AR364" s="4">
        <f>IFERROR(__xludf.DUMMYFUNCTION("""COMPUTED_VALUE"""),0.0)</f>
        <v>0</v>
      </c>
      <c r="AS364" s="4">
        <f>IFERROR(__xludf.DUMMYFUNCTION("""COMPUTED_VALUE"""),0.0)</f>
        <v>0</v>
      </c>
      <c r="AT364" s="4">
        <f>IFERROR(__xludf.DUMMYFUNCTION("""COMPUTED_VALUE"""),0.0)</f>
        <v>0</v>
      </c>
      <c r="AU364" s="4" t="str">
        <f>IFERROR(__xludf.DUMMYFUNCTION("""COMPUTED_VALUE"""),"Ana")</f>
        <v>Ana</v>
      </c>
      <c r="AV364" s="4">
        <f>IFERROR(__xludf.DUMMYFUNCTION("""COMPUTED_VALUE"""),0.0)</f>
        <v>0</v>
      </c>
      <c r="AW364" s="4">
        <f>IFERROR(__xludf.DUMMYFUNCTION("""COMPUTED_VALUE"""),0.0)</f>
        <v>0</v>
      </c>
      <c r="AX364" s="4">
        <f>IFERROR(__xludf.DUMMYFUNCTION("""COMPUTED_VALUE"""),0.0)</f>
        <v>0</v>
      </c>
      <c r="AY364" s="4"/>
      <c r="AZ364" s="4" t="str">
        <f>IFERROR(__xludf.DUMMYFUNCTION("""COMPUTED_VALUE"""),"NA")</f>
        <v>NA</v>
      </c>
      <c r="BA364" s="4">
        <f>IFERROR(__xludf.DUMMYFUNCTION("""COMPUTED_VALUE"""),87.0)</f>
        <v>87</v>
      </c>
      <c r="BB364" s="4" t="str">
        <f>IFERROR(__xludf.DUMMYFUNCTION("""COMPUTED_VALUE"""),"Grupo Multi-marca")</f>
        <v>Grupo Multi-marca</v>
      </c>
      <c r="BC364" s="4" t="str">
        <f>IFERROR(__xludf.DUMMYFUNCTION("""COMPUTED_VALUE"""),"Nordeste")</f>
        <v>Nordeste</v>
      </c>
      <c r="BD364" s="4" t="str">
        <f>IFERROR(__xludf.DUMMYFUNCTION("""COMPUTED_VALUE"""),"Dado não disponível publicamente - Necessário Discovery")</f>
        <v>Dado não disponível publicamente - Necessário Discovery</v>
      </c>
      <c r="BE364" s="4">
        <f>IFERROR(__xludf.DUMMYFUNCTION("""COMPUTED_VALUE"""),45.0)</f>
        <v>45</v>
      </c>
      <c r="BF364" s="4">
        <f>IFERROR(__xludf.DUMMYFUNCTION("""COMPUTED_VALUE"""),0.55)</f>
        <v>0.55</v>
      </c>
      <c r="BG364"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BH364" s="4" t="s">
        <v>63</v>
      </c>
      <c r="BI364" s="7" t="s">
        <v>63</v>
      </c>
    </row>
    <row r="365" hidden="1">
      <c r="A365" s="4" t="str">
        <f>IFERROR(__xludf.DUMMYFUNCTION("""COMPUTED_VALUE"""),"Grupo Wilson Lanches")</f>
        <v>Grupo Wilson Lanches</v>
      </c>
      <c r="B365" s="4" t="str">
        <f>IFERROR(__xludf.DUMMYFUNCTION("""COMPUTED_VALUE"""),"Lídia Esteves")</f>
        <v>Lídia Esteves</v>
      </c>
      <c r="C365" s="4" t="str">
        <f>IFERROR(__xludf.DUMMYFUNCTION("""COMPUTED_VALUE"""),"Gabriela Roma")</f>
        <v>Gabriela Roma</v>
      </c>
      <c r="D365" s="4" t="str">
        <f>IFERROR(__xludf.DUMMYFUNCTION("""COMPUTED_VALUE"""),"10. Perdido")</f>
        <v>10. Perdido</v>
      </c>
      <c r="E365" s="4" t="str">
        <f>IFERROR(__xludf.DUMMYFUNCTION("""COMPUTED_VALUE"""),"Perdido -  Momento do restaurante não favorável")</f>
        <v>Perdido -  Momento do restaurante não favorável</v>
      </c>
      <c r="F365" s="4" t="str">
        <f>IFERROR(__xludf.DUMMYFUNCTION("""COMPUTED_VALUE"""),"P")</f>
        <v>P</v>
      </c>
      <c r="G365" s="5">
        <f>IFERROR(__xludf.DUMMYFUNCTION("""COMPUTED_VALUE"""),46120.0)</f>
        <v>46120</v>
      </c>
      <c r="H365" s="4" t="str">
        <f>IFERROR(__xludf.DUMMYFUNCTION("""COMPUTED_VALUE"""),"Atrito com iFood.")</f>
        <v>Atrito com iFood.</v>
      </c>
      <c r="I365" s="4"/>
      <c r="J365" s="4"/>
      <c r="K365" s="6">
        <f>IFERROR(__xludf.DUMMYFUNCTION("""COMPUTED_VALUE"""),46056.0)</f>
        <v>46056</v>
      </c>
      <c r="L365" s="4"/>
      <c r="M365" s="4"/>
      <c r="N365" s="4"/>
      <c r="O365" s="4"/>
      <c r="P365" s="4"/>
      <c r="Q365" s="4"/>
      <c r="R365" s="6">
        <f>IFERROR(__xludf.DUMMYFUNCTION("""COMPUTED_VALUE"""),46120.51477987268)</f>
        <v>46120.51478</v>
      </c>
      <c r="S365" s="4"/>
      <c r="T365" s="4"/>
      <c r="U365" s="4"/>
      <c r="V365" s="4" t="str">
        <f>IFERROR(__xludf.DUMMYFUNCTION("""COMPUTED_VALUE"""),"Atrito Negociação")</f>
        <v>Atrito Negociação</v>
      </c>
      <c r="W365" s="4"/>
      <c r="X365" s="4"/>
      <c r="Y365" s="4"/>
      <c r="Z365" s="4"/>
      <c r="AA365" s="4">
        <f>IFERROR(__xludf.DUMMYFUNCTION("""COMPUTED_VALUE"""),1.0)</f>
        <v>1</v>
      </c>
      <c r="AB365" s="4" t="str">
        <f>IFERROR(__xludf.DUMMYFUNCTION("""COMPUTED_VALUE"""),"-")</f>
        <v>-</v>
      </c>
      <c r="AC365" s="4" t="str">
        <f>IFERROR(__xludf.DUMMYFUNCTION("""COMPUTED_VALUE"""),"-")</f>
        <v>-</v>
      </c>
      <c r="AD365" s="4"/>
      <c r="AE365" s="4"/>
      <c r="AF365" s="4"/>
      <c r="AG365" s="4"/>
      <c r="AH365" s="4"/>
      <c r="AI365" s="4"/>
      <c r="AJ365" s="4"/>
      <c r="AK365" s="4"/>
      <c r="AL365" s="4"/>
      <c r="AM365" s="4" t="str">
        <f>IFERROR(__xludf.DUMMYFUNCTION("""COMPUTED_VALUE"""),"FY26, FY27")</f>
        <v>FY26, FY27</v>
      </c>
      <c r="AN365" s="4"/>
      <c r="AO365" s="4">
        <f>IFERROR(__xludf.DUMMYFUNCTION("""COMPUTED_VALUE"""),95.0)</f>
        <v>95</v>
      </c>
      <c r="AP365" s="4" t="str">
        <f>IFERROR(__xludf.DUMMYFUNCTION("""COMPUTED_VALUE"""),"PR")</f>
        <v>PR</v>
      </c>
      <c r="AQ365" s="4" t="str">
        <f>IFERROR(__xludf.DUMMYFUNCTION("""COMPUTED_VALUE"""),"BRUNA MONTEZIN")</f>
        <v>BRUNA MONTEZIN</v>
      </c>
      <c r="AR365" s="4" t="str">
        <f>IFERROR(__xludf.DUMMYFUNCTION("""COMPUTED_VALUE"""),"ANE LUKAZINSKI")</f>
        <v>ANE LUKAZINSKI</v>
      </c>
      <c r="AS365" s="4" t="str">
        <f>IFERROR(__xludf.DUMMYFUNCTION("""COMPUTED_VALUE"""),"FABIO DONATO")</f>
        <v>FABIO DONATO</v>
      </c>
      <c r="AT365" s="4" t="str">
        <f>IFERROR(__xludf.DUMMYFUNCTION("""COMPUTED_VALUE"""),"MURILO NAGASHIMA")</f>
        <v>MURILO NAGASHIMA</v>
      </c>
      <c r="AU365" s="4" t="str">
        <f>IFERROR(__xludf.DUMMYFUNCTION("""COMPUTED_VALUE"""),"Lídia / Emerson")</f>
        <v>Lídia / Emerson</v>
      </c>
      <c r="AV365" s="4">
        <f>IFERROR(__xludf.DUMMYFUNCTION("""COMPUTED_VALUE"""),0.0)</f>
        <v>0</v>
      </c>
      <c r="AW365" s="4">
        <f>IFERROR(__xludf.DUMMYFUNCTION("""COMPUTED_VALUE"""),0.0)</f>
        <v>0</v>
      </c>
      <c r="AX365" s="4">
        <f>IFERROR(__xludf.DUMMYFUNCTION("""COMPUTED_VALUE"""),0.0)</f>
        <v>0</v>
      </c>
      <c r="AY365" s="4"/>
      <c r="AZ365" s="4" t="str">
        <f>IFERROR(__xludf.DUMMYFUNCTION("""COMPUTED_VALUE"""),"Lanches")</f>
        <v>Lanches</v>
      </c>
      <c r="BA365" s="4" t="str">
        <f>IFERROR(__xludf.DUMMYFUNCTION("""COMPUTED_VALUE"""),"")</f>
        <v/>
      </c>
      <c r="BB365" s="4" t="str">
        <f>IFERROR(__xludf.DUMMYFUNCTION("""COMPUTED_VALUE"""),"")</f>
        <v/>
      </c>
      <c r="BC365" s="4" t="str">
        <f>IFERROR(__xludf.DUMMYFUNCTION("""COMPUTED_VALUE"""),"")</f>
        <v/>
      </c>
      <c r="BD365" s="4" t="str">
        <f>IFERROR(__xludf.DUMMYFUNCTION("""COMPUTED_VALUE"""),"")</f>
        <v/>
      </c>
      <c r="BE365" s="4" t="str">
        <f>IFERROR(__xludf.DUMMYFUNCTION("""COMPUTED_VALUE"""),"")</f>
        <v/>
      </c>
      <c r="BF365" s="4" t="str">
        <f>IFERROR(__xludf.DUMMYFUNCTION("""COMPUTED_VALUE"""),"")</f>
        <v/>
      </c>
      <c r="BG365" s="4" t="str">
        <f>IFERROR(__xludf.DUMMYFUNCTION("""COMPUTED_VALUE"""),"")</f>
        <v/>
      </c>
      <c r="BH365" s="4" t="s">
        <v>63</v>
      </c>
      <c r="BI365" s="7" t="s">
        <v>63</v>
      </c>
    </row>
    <row r="366" hidden="1">
      <c r="A366" s="4" t="str">
        <f>IFERROR(__xludf.DUMMYFUNCTION("""COMPUTED_VALUE"""),"Guarita Bar")</f>
        <v>Guarita Bar</v>
      </c>
      <c r="B366" s="4" t="str">
        <f>IFERROR(__xludf.DUMMYFUNCTION("""COMPUTED_VALUE"""),"Emerson")</f>
        <v>Emerson</v>
      </c>
      <c r="C366" s="4" t="str">
        <f>IFERROR(__xludf.DUMMYFUNCTION("""COMPUTED_VALUE"""),"Emerson")</f>
        <v>Emerson</v>
      </c>
      <c r="D366" s="4" t="str">
        <f>IFERROR(__xludf.DUMMYFUNCTION("""COMPUTED_VALUE"""),"11. Stand by")</f>
        <v>11. Stand by</v>
      </c>
      <c r="E366" s="4"/>
      <c r="F366" s="4" t="str">
        <f>IFERROR(__xludf.DUMMYFUNCTION("""COMPUTED_VALUE"""),"P")</f>
        <v>P</v>
      </c>
      <c r="G366" s="4"/>
      <c r="H366" s="4"/>
      <c r="I366" s="4"/>
      <c r="J366" s="4"/>
      <c r="K366" s="6">
        <f>IFERROR(__xludf.DUMMYFUNCTION("""COMPUTED_VALUE"""),45918.0)</f>
        <v>45918</v>
      </c>
      <c r="L366" s="4"/>
      <c r="M366" s="4"/>
      <c r="N366" s="4"/>
      <c r="O366" s="4"/>
      <c r="P366" s="4"/>
      <c r="Q366" s="4"/>
      <c r="R366" s="4"/>
      <c r="S366" s="4"/>
      <c r="T366" s="4"/>
      <c r="U366" s="4"/>
      <c r="V366" s="4"/>
      <c r="W366" s="4"/>
      <c r="X366" s="4"/>
      <c r="Y366" s="4"/>
      <c r="Z366" s="4"/>
      <c r="AA366" s="4">
        <f>IFERROR(__xludf.DUMMYFUNCTION("""COMPUTED_VALUE"""),3.0)</f>
        <v>3</v>
      </c>
      <c r="AB366" s="4" t="str">
        <f>IFERROR(__xludf.DUMMYFUNCTION("""COMPUTED_VALUE"""),"NÃO")</f>
        <v>NÃO</v>
      </c>
      <c r="AC366" s="4" t="str">
        <f>IFERROR(__xludf.DUMMYFUNCTION("""COMPUTED_VALUE"""),"Não BP")</f>
        <v>Não BP</v>
      </c>
      <c r="AD366" s="4"/>
      <c r="AE366" s="4"/>
      <c r="AF366" s="4"/>
      <c r="AG366" s="4"/>
      <c r="AH366" s="4"/>
      <c r="AI366" s="4"/>
      <c r="AJ366" s="4"/>
      <c r="AK366" s="4"/>
      <c r="AL366" s="4"/>
      <c r="AM366" s="4" t="str">
        <f>IFERROR(__xludf.DUMMYFUNCTION("""COMPUTED_VALUE"""),"FY26, FY27")</f>
        <v>FY26, FY27</v>
      </c>
      <c r="AN366" s="4"/>
      <c r="AO366" s="4">
        <f>IFERROR(__xludf.DUMMYFUNCTION("""COMPUTED_VALUE"""),45553.0)</f>
        <v>45553</v>
      </c>
      <c r="AP366" s="4">
        <f>IFERROR(__xludf.DUMMYFUNCTION("""COMPUTED_VALUE"""),0.0)</f>
        <v>0</v>
      </c>
      <c r="AQ366" s="4">
        <f>IFERROR(__xludf.DUMMYFUNCTION("""COMPUTED_VALUE"""),0.0)</f>
        <v>0</v>
      </c>
      <c r="AR366" s="4">
        <f>IFERROR(__xludf.DUMMYFUNCTION("""COMPUTED_VALUE"""),0.0)</f>
        <v>0</v>
      </c>
      <c r="AS366" s="4">
        <f>IFERROR(__xludf.DUMMYFUNCTION("""COMPUTED_VALUE"""),0.0)</f>
        <v>0</v>
      </c>
      <c r="AT366" s="4">
        <f>IFERROR(__xludf.DUMMYFUNCTION("""COMPUTED_VALUE"""),0.0)</f>
        <v>0</v>
      </c>
      <c r="AU366" s="4" t="str">
        <f>IFERROR(__xludf.DUMMYFUNCTION("""COMPUTED_VALUE"""),"Emerson")</f>
        <v>Emerson</v>
      </c>
      <c r="AV366" s="4">
        <f>IFERROR(__xludf.DUMMYFUNCTION("""COMPUTED_VALUE"""),0.0)</f>
        <v>0</v>
      </c>
      <c r="AW366" s="4">
        <f>IFERROR(__xludf.DUMMYFUNCTION("""COMPUTED_VALUE"""),0.0)</f>
        <v>0</v>
      </c>
      <c r="AX366" s="4">
        <f>IFERROR(__xludf.DUMMYFUNCTION("""COMPUTED_VALUE"""),0.0)</f>
        <v>0</v>
      </c>
      <c r="AY366" s="4"/>
      <c r="AZ366" s="4" t="str">
        <f>IFERROR(__xludf.DUMMYFUNCTION("""COMPUTED_VALUE"""),"NA")</f>
        <v>NA</v>
      </c>
      <c r="BA366" s="4">
        <f>IFERROR(__xludf.DUMMYFUNCTION("""COMPUTED_VALUE"""),70.0)</f>
        <v>70</v>
      </c>
      <c r="BB366" s="4" t="str">
        <f>IFERROR(__xludf.DUMMYFUNCTION("""COMPUTED_VALUE"""),"Fast Casual - Multi-conceito")</f>
        <v>Fast Casual - Multi-conceito</v>
      </c>
      <c r="BC366" s="4" t="str">
        <f>IFERROR(__xludf.DUMMYFUNCTION("""COMPUTED_VALUE"""),"Belo Horizonte/MG")</f>
        <v>Belo Horizonte/MG</v>
      </c>
      <c r="BD366" s="4" t="str">
        <f>IFERROR(__xludf.DUMMYFUNCTION("""COMPUTED_VALUE"""),"Dado não disponível publicamente - Necessário Discovery")</f>
        <v>Dado não disponível publicamente - Necessário Discovery</v>
      </c>
      <c r="BE366" s="4">
        <f>IFERROR(__xludf.DUMMYFUNCTION("""COMPUTED_VALUE"""),70.0)</f>
        <v>70</v>
      </c>
      <c r="BF366" s="4">
        <f>IFERROR(__xludf.DUMMYFUNCTION("""COMPUTED_VALUE"""),0.75)</f>
        <v>0.75</v>
      </c>
      <c r="BG36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366" s="4" t="s">
        <v>63</v>
      </c>
      <c r="BI366" s="7" t="s">
        <v>63</v>
      </c>
    </row>
    <row r="367" hidden="1">
      <c r="A367" s="4" t="str">
        <f>IFERROR(__xludf.DUMMYFUNCTION("""COMPUTED_VALUE"""),"Gula Gula")</f>
        <v>Gula Gula</v>
      </c>
      <c r="B367" s="4" t="str">
        <f>IFERROR(__xludf.DUMMYFUNCTION("""COMPUTED_VALUE"""),"Lídia Esteves")</f>
        <v>Lídia Esteves</v>
      </c>
      <c r="C367" s="4" t="str">
        <f>IFERROR(__xludf.DUMMYFUNCTION("""COMPUTED_VALUE"""),"Gabriela Roma")</f>
        <v>Gabriela Roma</v>
      </c>
      <c r="D367" s="4" t="str">
        <f>IFERROR(__xludf.DUMMYFUNCTION("""COMPUTED_VALUE"""),"4. Diagnóstico")</f>
        <v>4. Diagnóstico</v>
      </c>
      <c r="E367" s="4" t="str">
        <f>IFERROR(__xludf.DUMMYFUNCTION("""COMPUTED_VALUE"""),"Parceiro - Sem contato válido / Decisor inacessível")</f>
        <v>Parceiro - Sem contato válido / Decisor inacessível</v>
      </c>
      <c r="F367" s="4" t="str">
        <f>IFERROR(__xludf.DUMMYFUNCTION("""COMPUTED_VALUE"""),"P")</f>
        <v>P</v>
      </c>
      <c r="G367" s="5">
        <f>IFERROR(__xludf.DUMMYFUNCTION("""COMPUTED_VALUE"""),46154.0)</f>
        <v>46154</v>
      </c>
      <c r="H367" s="4" t="str">
        <f>IFERROR(__xludf.DUMMYFUNCTION("""COMPUTED_VALUE"""),"apresentação 12/5")</f>
        <v>apresentação 12/5</v>
      </c>
      <c r="I367" s="4"/>
      <c r="J367" s="6">
        <f>IFERROR(__xludf.DUMMYFUNCTION("""COMPUTED_VALUE"""),46052.42654596065)</f>
        <v>46052.42655</v>
      </c>
      <c r="K367" s="6">
        <f>IFERROR(__xludf.DUMMYFUNCTION("""COMPUTED_VALUE"""),46066.458945509265)</f>
        <v>46066.45895</v>
      </c>
      <c r="L367" s="6">
        <f>IFERROR(__xludf.DUMMYFUNCTION("""COMPUTED_VALUE"""),46084.64337821759)</f>
        <v>46084.64338</v>
      </c>
      <c r="M367" s="4"/>
      <c r="N367" s="4"/>
      <c r="O367" s="4"/>
      <c r="P367" s="4"/>
      <c r="Q367" s="4"/>
      <c r="R367" s="4"/>
      <c r="S367" s="4"/>
      <c r="T367" s="4"/>
      <c r="U367" s="4"/>
      <c r="V367" s="4"/>
      <c r="W367" s="4"/>
      <c r="X367" s="4"/>
      <c r="Y367" s="4"/>
      <c r="Z367" s="4"/>
      <c r="AA367" s="4">
        <f>IFERROR(__xludf.DUMMYFUNCTION("""COMPUTED_VALUE"""),11.0)</f>
        <v>11</v>
      </c>
      <c r="AB367" s="4" t="str">
        <f>IFERROR(__xludf.DUMMYFUNCTION("""COMPUTED_VALUE"""),"NÃO")</f>
        <v>NÃO</v>
      </c>
      <c r="AC367" s="4" t="str">
        <f>IFERROR(__xludf.DUMMYFUNCTION("""COMPUTED_VALUE"""),"BP")</f>
        <v>BP</v>
      </c>
      <c r="AD367" s="4"/>
      <c r="AE367" s="4"/>
      <c r="AF367" s="4"/>
      <c r="AG367" s="4"/>
      <c r="AH367" s="4"/>
      <c r="AI367" s="4"/>
      <c r="AJ367" s="4"/>
      <c r="AK367" s="4"/>
      <c r="AL367" s="4"/>
      <c r="AM367" s="4" t="str">
        <f>IFERROR(__xludf.DUMMYFUNCTION("""COMPUTED_VALUE"""),"FY26, FY27")</f>
        <v>FY26, FY27</v>
      </c>
      <c r="AN367" s="4" t="str">
        <f>IFERROR(__xludf.DUMMYFUNCTION("""COMPUTED_VALUE"""),"Comer Fora")</f>
        <v>Comer Fora</v>
      </c>
      <c r="AO367" s="4">
        <f>IFERROR(__xludf.DUMMYFUNCTION("""COMPUTED_VALUE"""),61.0)</f>
        <v>61</v>
      </c>
      <c r="AP367" s="4" t="str">
        <f>IFERROR(__xludf.DUMMYFUNCTION("""COMPUTED_VALUE"""),"RJ")</f>
        <v>RJ</v>
      </c>
      <c r="AQ367" s="4" t="str">
        <f>IFERROR(__xludf.DUMMYFUNCTION("""COMPUTED_VALUE"""),"THIAGO FERNANDES")</f>
        <v>THIAGO FERNANDES</v>
      </c>
      <c r="AR367" s="4" t="str">
        <f>IFERROR(__xludf.DUMMYFUNCTION("""COMPUTED_VALUE"""),"MARCELLA SOTTO")</f>
        <v>MARCELLA SOTTO</v>
      </c>
      <c r="AS367" s="4" t="str">
        <f>IFERROR(__xludf.DUMMYFUNCTION("""COMPUTED_VALUE"""),"NATHALIE MERTENS")</f>
        <v>NATHALIE MERTENS</v>
      </c>
      <c r="AT367" s="4" t="str">
        <f>IFERROR(__xludf.DUMMYFUNCTION("""COMPUTED_VALUE"""),"MARIANA KATZ")</f>
        <v>MARIANA KATZ</v>
      </c>
      <c r="AU367" s="4" t="str">
        <f>IFERROR(__xludf.DUMMYFUNCTION("""COMPUTED_VALUE"""),"Ana")</f>
        <v>Ana</v>
      </c>
      <c r="AV367" s="4">
        <f>IFERROR(__xludf.DUMMYFUNCTION("""COMPUTED_VALUE"""),0.0)</f>
        <v>0</v>
      </c>
      <c r="AW367" s="4">
        <f>IFERROR(__xludf.DUMMYFUNCTION("""COMPUTED_VALUE"""),0.0)</f>
        <v>0</v>
      </c>
      <c r="AX367" s="4">
        <f>IFERROR(__xludf.DUMMYFUNCTION("""COMPUTED_VALUE"""),0.0)</f>
        <v>0</v>
      </c>
      <c r="AY367" s="4"/>
      <c r="AZ367" s="4" t="str">
        <f>IFERROR(__xludf.DUMMYFUNCTION("""COMPUTED_VALUE"""),"Brasileira")</f>
        <v>Brasileira</v>
      </c>
      <c r="BA367" s="4">
        <f>IFERROR(__xludf.DUMMYFUNCTION("""COMPUTED_VALUE"""),75.0)</f>
        <v>75</v>
      </c>
      <c r="BB367" s="4" t="str">
        <f>IFERROR(__xludf.DUMMYFUNCTION("""COMPUTED_VALUE"""),"Fast Casual - Self-Service")</f>
        <v>Fast Casual - Self-Service</v>
      </c>
      <c r="BC367" s="4" t="str">
        <f>IFERROR(__xludf.DUMMYFUNCTION("""COMPUTED_VALUE"""),"RJ/SP")</f>
        <v>RJ/SP</v>
      </c>
      <c r="BD367" s="4" t="str">
        <f>IFERROR(__xludf.DUMMYFUNCTION("""COMPUTED_VALUE"""),"Dado não disponível")</f>
        <v>Dado não disponível</v>
      </c>
      <c r="BE367" s="4">
        <f>IFERROR(__xludf.DUMMYFUNCTION("""COMPUTED_VALUE"""),70.0)</f>
        <v>70</v>
      </c>
      <c r="BF367" s="4">
        <f>IFERROR(__xludf.DUMMYFUNCTION("""COMPUTED_VALUE"""),0.8)</f>
        <v>0.8</v>
      </c>
      <c r="BG367" s="4" t="str">
        <f>IFERROR(__xludf.DUMMYFUNCTION("""COMPUTED_VALUE"""),"Alta aderência ao 3S: PDV não identificado. 3S oferece Kiosk nativo, Hub Delivery integrado e gestão centralizada multi-loja - diferenciais competitivos para expansão e redução de filas.")</f>
        <v>Alta aderência ao 3S: PDV não identificado. 3S oferece Kiosk nativo, Hub Delivery integrado e gestão centralizada multi-loja - diferenciais competitivos para expansão e redução de filas.</v>
      </c>
      <c r="BH367" s="4" t="s">
        <v>74</v>
      </c>
      <c r="BI367" s="7">
        <v>0.9</v>
      </c>
    </row>
    <row r="368" hidden="1">
      <c r="A368" s="4" t="str">
        <f>IFERROR(__xludf.DUMMYFUNCTION("""COMPUTED_VALUE"""),"Gurume")</f>
        <v>Gurume</v>
      </c>
      <c r="B368" s="4" t="str">
        <f>IFERROR(__xludf.DUMMYFUNCTION("""COMPUTED_VALUE"""),"Emerson")</f>
        <v>Emerson</v>
      </c>
      <c r="C368" s="4" t="str">
        <f>IFERROR(__xludf.DUMMYFUNCTION("""COMPUTED_VALUE"""),"Emerson")</f>
        <v>Emerson</v>
      </c>
      <c r="D368" s="4" t="str">
        <f>IFERROR(__xludf.DUMMYFUNCTION("""COMPUTED_VALUE"""),"11. Stand by")</f>
        <v>11. Stand by</v>
      </c>
      <c r="E368" s="4"/>
      <c r="F368" s="4" t="str">
        <f>IFERROR(__xludf.DUMMYFUNCTION("""COMPUTED_VALUE"""),"P")</f>
        <v>P</v>
      </c>
      <c r="G368" s="4"/>
      <c r="H368" s="4"/>
      <c r="I368" s="4"/>
      <c r="J368" s="4"/>
      <c r="K368" s="6">
        <f>IFERROR(__xludf.DUMMYFUNCTION("""COMPUTED_VALUE"""),45943.0)</f>
        <v>45943</v>
      </c>
      <c r="L368" s="4"/>
      <c r="M368" s="4"/>
      <c r="N368" s="4"/>
      <c r="O368" s="4"/>
      <c r="P368" s="4"/>
      <c r="Q368" s="4"/>
      <c r="R368" s="4"/>
      <c r="S368" s="4"/>
      <c r="T368" s="4"/>
      <c r="U368" s="4"/>
      <c r="V368" s="4"/>
      <c r="W368" s="4"/>
      <c r="X368" s="4"/>
      <c r="Y368" s="4"/>
      <c r="Z368" s="4"/>
      <c r="AA368" s="4">
        <f>IFERROR(__xludf.DUMMYFUNCTION("""COMPUTED_VALUE"""),9.0)</f>
        <v>9</v>
      </c>
      <c r="AB368" s="4" t="str">
        <f>IFERROR(__xludf.DUMMYFUNCTION("""COMPUTED_VALUE"""),"NÃO")</f>
        <v>NÃO</v>
      </c>
      <c r="AC368" s="4" t="str">
        <f>IFERROR(__xludf.DUMMYFUNCTION("""COMPUTED_VALUE"""),"BP")</f>
        <v>BP</v>
      </c>
      <c r="AD368" s="4"/>
      <c r="AE368" s="4"/>
      <c r="AF368" s="4"/>
      <c r="AG368" s="4"/>
      <c r="AH368" s="4"/>
      <c r="AI368" s="4"/>
      <c r="AJ368" s="4"/>
      <c r="AK368" s="4"/>
      <c r="AL368" s="4"/>
      <c r="AM368" s="4" t="str">
        <f>IFERROR(__xludf.DUMMYFUNCTION("""COMPUTED_VALUE"""),"FY26, FY27")</f>
        <v>FY26, FY27</v>
      </c>
      <c r="AN368" s="4" t="str">
        <f>IFERROR(__xludf.DUMMYFUNCTION("""COMPUTED_VALUE"""),"Comer Fora")</f>
        <v>Comer Fora</v>
      </c>
      <c r="AO368" s="4">
        <f>IFERROR(__xludf.DUMMYFUNCTION("""COMPUTED_VALUE"""),45553.0)</f>
        <v>45553</v>
      </c>
      <c r="AP368" s="4" t="str">
        <f>IFERROR(__xludf.DUMMYFUNCTION("""COMPUTED_VALUE"""),"RJ")</f>
        <v>RJ</v>
      </c>
      <c r="AQ368" s="4" t="str">
        <f>IFERROR(__xludf.DUMMYFUNCTION("""COMPUTED_VALUE"""),"THIAGO FERNANDES")</f>
        <v>THIAGO FERNANDES</v>
      </c>
      <c r="AR368" s="4" t="str">
        <f>IFERROR(__xludf.DUMMYFUNCTION("""COMPUTED_VALUE"""),"GABRIEL VARELLA")</f>
        <v>GABRIEL VARELLA</v>
      </c>
      <c r="AS368" s="4" t="str">
        <f>IFERROR(__xludf.DUMMYFUNCTION("""COMPUTED_VALUE"""),"NATHALIE MERTENS")</f>
        <v>NATHALIE MERTENS</v>
      </c>
      <c r="AT368" s="4" t="str">
        <f>IFERROR(__xludf.DUMMYFUNCTION("""COMPUTED_VALUE"""),"MARIANA KATZ")</f>
        <v>MARIANA KATZ</v>
      </c>
      <c r="AU368" s="4" t="str">
        <f>IFERROR(__xludf.DUMMYFUNCTION("""COMPUTED_VALUE"""),"Emerson")</f>
        <v>Emerson</v>
      </c>
      <c r="AV368" s="4" t="str">
        <f>IFERROR(__xludf.DUMMYFUNCTION("""COMPUTED_VALUE"""),"Comer Fora-")</f>
        <v>Comer Fora-</v>
      </c>
      <c r="AW368" s="20" t="str">
        <f>IFERROR(__xludf.DUMMYFUNCTION("""COMPUTED_VALUE"""),"P e M - pipe")</f>
        <v>P e M - pipe</v>
      </c>
      <c r="AX368" s="4"/>
      <c r="AY368" s="4"/>
      <c r="AZ368" s="4" t="str">
        <f>IFERROR(__xludf.DUMMYFUNCTION("""COMPUTED_VALUE"""),"Saudável")</f>
        <v>Saudável</v>
      </c>
      <c r="BA368" s="4" t="str">
        <f>IFERROR(__xludf.DUMMYFUNCTION("""COMPUTED_VALUE"""),"R$ 130-180")</f>
        <v>R$ 130-180</v>
      </c>
      <c r="BB368" s="4" t="str">
        <f>IFERROR(__xludf.DUMMYFUNCTION("""COMPUTED_VALUE"""),"Fast Casual Premium - Restaurante Japonês Contemporâneo (Japa Fusion)")</f>
        <v>Fast Casual Premium - Restaurante Japonês Contemporâneo (Japa Fusion)</v>
      </c>
      <c r="BC368" s="4" t="str">
        <f>IFERROR(__xludf.DUMMYFUNCTION("""COMPUTED_VALUE"""),"Matriz: Rio de Janeiro/RJ. 8 unidades no RJ (São Conrado, Ipanema, Tijuca, Barra, Botafogo, Leblon), 1 em Brasília/DF, 1 em São Paulo/SP. Expansão para capitais")</f>
        <v>Matriz: Rio de Janeiro/RJ. 8 unidades no RJ (São Conrado, Ipanema, Tijuca, Barra, Botafogo, Leblon), 1 em Brasília/DF, 1 em São Paulo/SP. Expansão para capitais</v>
      </c>
      <c r="BD368" s="4" t="str">
        <f>IFERROR(__xludf.DUMMYFUNCTION("""COMPUTED_VALUE"""),"R$ 230 milhões (projeção 2024). Delivery representa 35% do faturamento. Grupo Trigo (dono) faturou R$ 1,8 bilhão em 2025")</f>
        <v>R$ 230 milhões (projeção 2024). Delivery representa 35% do faturamento. Grupo Trigo (dono) faturou R$ 1,8 bilhão em 2025</v>
      </c>
      <c r="BE368" s="4">
        <f>IFERROR(__xludf.DUMMYFUNCTION("""COMPUTED_VALUE"""),78.0)</f>
        <v>78</v>
      </c>
      <c r="BF368" s="4">
        <f>IFERROR(__xludf.DUMMYFUNCTION("""COMPUTED_VALUE"""),0.82)</f>
        <v>0.82</v>
      </c>
      <c r="BG368" s="4" t="str">
        <f>IFERROR(__xludf.DUMMYFUNCTION("""COMPUTED_VALUE"""),"PDV atual não identificado. Operação sofisticada com forte delivery (35% faturamento) e presença em shoppings premium. 3S oferece integração PDV + delivery apps + gestão de cardápio complexo (fusion). E-Deploy permite replicação precisa em novas capitais.")</f>
        <v>PDV atual não identificado. Operação sofisticada com forte delivery (35% faturamento) e presença em shoppings premium. 3S oferece integração PDV + delivery apps + gestão de cardápio complexo (fusion). E-Deploy permite replicação precisa em novas capitais.</v>
      </c>
      <c r="BH368" s="4" t="s">
        <v>130</v>
      </c>
      <c r="BI368" s="7">
        <v>1.0</v>
      </c>
    </row>
    <row r="369">
      <c r="A369" s="4" t="str">
        <f>IFERROR(__xludf.DUMMYFUNCTION("""COMPUTED_VALUE"""),"Habib's")</f>
        <v>Habib's</v>
      </c>
      <c r="B369" s="4" t="str">
        <f>IFERROR(__xludf.DUMMYFUNCTION("""COMPUTED_VALUE"""),"Leonardo Roso")</f>
        <v>Leonardo Roso</v>
      </c>
      <c r="C369" s="4" t="str">
        <f>IFERROR(__xludf.DUMMYFUNCTION("""COMPUTED_VALUE"""),"Leonardo Roso")</f>
        <v>Leonardo Roso</v>
      </c>
      <c r="D369" s="4" t="str">
        <f>IFERROR(__xludf.DUMMYFUNCTION("""COMPUTED_VALUE"""),"6. Negociação")</f>
        <v>6. Negociação</v>
      </c>
      <c r="E369" s="4" t="str">
        <f>IFERROR(__xludf.DUMMYFUNCTION("""COMPUTED_VALUE"""),"Comercial - Em negociação de proposta")</f>
        <v>Comercial - Em negociação de proposta</v>
      </c>
      <c r="F369" s="4" t="str">
        <f>IFERROR(__xludf.DUMMYFUNCTION("""COMPUTED_VALUE"""),"G")</f>
        <v>G</v>
      </c>
      <c r="G369" s="5">
        <f>IFERROR(__xludf.DUMMYFUNCTION("""COMPUTED_VALUE"""),46073.0)</f>
        <v>46073</v>
      </c>
      <c r="H369" s="4" t="str">
        <f>IFERROR(__xludf.DUMMYFUNCTION("""COMPUTED_VALUE"""),"Proposta 360º enviada para Raboni na última semana. Agenda 25/02. Prazo: 28/02")</f>
        <v>Proposta 360º enviada para Raboni na última semana. Agenda 25/02. Prazo: 28/02</v>
      </c>
      <c r="I369" s="4"/>
      <c r="J369" s="4"/>
      <c r="K369" s="6">
        <f>IFERROR(__xludf.DUMMYFUNCTION("""COMPUTED_VALUE"""),45838.0)</f>
        <v>45838</v>
      </c>
      <c r="L369" s="4"/>
      <c r="M369" s="4"/>
      <c r="N369" s="4"/>
      <c r="O369" s="4"/>
      <c r="P369" s="4"/>
      <c r="Q369" s="4"/>
      <c r="R369" s="4"/>
      <c r="S369" s="4"/>
      <c r="T369" s="4"/>
      <c r="U369" s="4"/>
      <c r="V369" s="4"/>
      <c r="W369" s="4"/>
      <c r="X369" s="4"/>
      <c r="Y369" s="4"/>
      <c r="Z369" s="4"/>
      <c r="AA369" s="4">
        <f>IFERROR(__xludf.DUMMYFUNCTION("""COMPUTED_VALUE"""),480.0)</f>
        <v>480</v>
      </c>
      <c r="AB369" s="4" t="str">
        <f>IFERROR(__xludf.DUMMYFUNCTION("""COMPUTED_VALUE"""),"KA")</f>
        <v>KA</v>
      </c>
      <c r="AC369" s="4" t="str">
        <f>IFERROR(__xludf.DUMMYFUNCTION("""COMPUTED_VALUE"""),"BP")</f>
        <v>BP</v>
      </c>
      <c r="AD369" s="4"/>
      <c r="AE369" s="4"/>
      <c r="AF369" s="4"/>
      <c r="AG369" s="4"/>
      <c r="AH369" s="4"/>
      <c r="AI369" s="4"/>
      <c r="AJ369" s="4"/>
      <c r="AK369" s="4"/>
      <c r="AL369" s="4"/>
      <c r="AM369" s="4" t="str">
        <f>IFERROR(__xludf.DUMMYFUNCTION("""COMPUTED_VALUE"""),"FY26, FY27")</f>
        <v>FY26, FY27</v>
      </c>
      <c r="AN369" s="4"/>
      <c r="AO369" s="4">
        <f>IFERROR(__xludf.DUMMYFUNCTION("""COMPUTED_VALUE"""),143.0)</f>
        <v>143</v>
      </c>
      <c r="AP369" s="4">
        <f>IFERROR(__xludf.DUMMYFUNCTION("""COMPUTED_VALUE"""),0.0)</f>
        <v>0</v>
      </c>
      <c r="AQ369" s="4">
        <f>IFERROR(__xludf.DUMMYFUNCTION("""COMPUTED_VALUE"""),0.0)</f>
        <v>0</v>
      </c>
      <c r="AR369" s="4">
        <f>IFERROR(__xludf.DUMMYFUNCTION("""COMPUTED_VALUE"""),0.0)</f>
        <v>0</v>
      </c>
      <c r="AS369" s="4">
        <f>IFERROR(__xludf.DUMMYFUNCTION("""COMPUTED_VALUE"""),0.0)</f>
        <v>0</v>
      </c>
      <c r="AT369" s="4">
        <f>IFERROR(__xludf.DUMMYFUNCTION("""COMPUTED_VALUE"""),0.0)</f>
        <v>0</v>
      </c>
      <c r="AU369" s="4" t="str">
        <f>IFERROR(__xludf.DUMMYFUNCTION("""COMPUTED_VALUE"""),"Samuel")</f>
        <v>Samuel</v>
      </c>
      <c r="AV369" s="4" t="str">
        <f>IFERROR(__xludf.DUMMYFUNCTION("""COMPUTED_VALUE"""),"Comer Fora-")</f>
        <v>Comer Fora-</v>
      </c>
      <c r="AW369" s="20" t="str">
        <f>IFERROR(__xludf.DUMMYFUNCTION("""COMPUTED_VALUE"""),"Top 30")</f>
        <v>Top 30</v>
      </c>
      <c r="AX369" s="4"/>
      <c r="AY369" s="4">
        <f>IFERROR(__xludf.DUMMYFUNCTION("""COMPUTED_VALUE"""),0.0)</f>
        <v>0</v>
      </c>
      <c r="AZ369" s="4" t="str">
        <f>IFERROR(__xludf.DUMMYFUNCTION("""COMPUTED_VALUE"""),"Árabe")</f>
        <v>Árabe</v>
      </c>
      <c r="BA369" s="4" t="str">
        <f>IFERROR(__xludf.DUMMYFUNCTION("""COMPUTED_VALUE"""),"R$ 35-50")</f>
        <v>R$ 35-50</v>
      </c>
      <c r="BB369" s="4" t="str">
        <f>IFERROR(__xludf.DUMMYFUNCTION("""COMPUTED_VALUE"""),"QSR - Quick Service Restaurant (Fast-Food Árabe)")</f>
        <v>QSR - Quick Service Restaurant (Fast-Food Árabe)</v>
      </c>
      <c r="BC369" s="4" t="str">
        <f>IFERROR(__xludf.DUMMYFUNCTION("""COMPUTED_VALUE"""),"Matriz: São Paulo/SP. Mais de 600 unidades em 18 estados brasileiros. Presença nacional consolidada com franquias, lojas próprias e quiosques")</f>
        <v>Matriz: São Paulo/SP. Mais de 600 unidades em 18 estados brasileiros. Presença nacional consolidada com franquias, lojas próprias e quiosques</v>
      </c>
      <c r="BD369" s="4" t="str">
        <f>IFERROR(__xludf.DUMMYFUNCTION("""COMPUTED_VALUE"""),"R$ 2,7 bilhões (projeção 2025, crescimento 5% a.a.). Grupo Habib's inclui Ragazzo, Tendall")</f>
        <v>R$ 2,7 bilhões (projeção 2025, crescimento 5% a.a.). Grupo Habib's inclui Ragazzo, Tendall</v>
      </c>
      <c r="BE369" s="4">
        <f>IFERROR(__xludf.DUMMYFUNCTION("""COMPUTED_VALUE"""),92.0)</f>
        <v>92</v>
      </c>
      <c r="BF369" s="4">
        <f>IFERROR(__xludf.DUMMYFUNCTION("""COMPUTED_VALUE"""),0.95)</f>
        <v>0.95</v>
      </c>
      <c r="BG369" s="4" t="str">
        <f>IFERROR(__xludf.DUMMYFUNCTION("""COMPUTED_VALUE"""),"ATUAL: TOTVS Protheus (ERP) + Linx/Degust PDV + RS Solutions (Android 100%, totens, Smart POS, KDS). COMPARATIVO: Habib's já possui stack robusto, mas 3S pode oferecer vantagens: (1) Custo-benefício superior com solução única vs. múltiplos vendors; (2) E-"&amp;"Deploy otimizado para fast-food com menos complexidade; (3) Melhor performance em kiosks com interface mais rápida. Oportunidade em expansão de quiosques (meta 400 até 2028).")</f>
        <v>ATUAL: TOTVS Protheus (ERP) + Linx/Degust PDV + RS Solutions (Android 100%, totens, Smart POS, KDS). COMPARATIVO: Habib's já possui stack robusto, mas 3S pode oferecer vantagens: (1) Custo-benefício superior com solução única vs. múltiplos vendors; (2) E-Deploy otimizado para fast-food com menos complexidade; (3) Melhor performance em kiosks com interface mais rápida. Oportunidade em expansão de quiosques (meta 400 até 2028).</v>
      </c>
      <c r="BH369" s="4" t="s">
        <v>63</v>
      </c>
      <c r="BI369" s="7" t="s">
        <v>63</v>
      </c>
    </row>
    <row r="370">
      <c r="A370" s="4" t="str">
        <f>IFERROR(__xludf.DUMMYFUNCTION("""COMPUTED_VALUE"""),"Halipar Croasonho")</f>
        <v>Halipar Croasonho</v>
      </c>
      <c r="B370" s="4" t="str">
        <f>IFERROR(__xludf.DUMMYFUNCTION("""COMPUTED_VALUE"""),"Leonardo Roso")</f>
        <v>Leonardo Roso</v>
      </c>
      <c r="C370" s="4" t="str">
        <f>IFERROR(__xludf.DUMMYFUNCTION("""COMPUTED_VALUE"""),"Leonardo Roso")</f>
        <v>Leonardo Roso</v>
      </c>
      <c r="D370" s="4" t="str">
        <f>IFERROR(__xludf.DUMMYFUNCTION("""COMPUTED_VALUE"""),"6. Negociação")</f>
        <v>6. Negociação</v>
      </c>
      <c r="E370" s="4" t="str">
        <f>IFERROR(__xludf.DUMMYFUNCTION("""COMPUTED_VALUE"""),"Pré-vendas - Em validação técnica")</f>
        <v>Pré-vendas - Em validação técnica</v>
      </c>
      <c r="F370" s="4" t="str">
        <f>IFERROR(__xludf.DUMMYFUNCTION("""COMPUTED_VALUE"""),"G")</f>
        <v>G</v>
      </c>
      <c r="G370" s="5">
        <f>IFERROR(__xludf.DUMMYFUNCTION("""COMPUTED_VALUE"""),46073.0)</f>
        <v>46073</v>
      </c>
      <c r="H370" s="4" t="str">
        <f>IFERROR(__xludf.DUMMYFUNCTION("""COMPUTED_VALUE"""),"Comercial: contraproposta respondida pelo iFood. Tema técnica (franqueadora) impactando andamento.")</f>
        <v>Comercial: contraproposta respondida pelo iFood. Tema técnica (franqueadora) impactando andamento.</v>
      </c>
      <c r="I370" s="4"/>
      <c r="J370" s="4"/>
      <c r="K370" s="6">
        <f>IFERROR(__xludf.DUMMYFUNCTION("""COMPUTED_VALUE"""),45807.0)</f>
        <v>45807</v>
      </c>
      <c r="L370" s="4"/>
      <c r="M370" s="4"/>
      <c r="N370" s="6">
        <f>IFERROR(__xludf.DUMMYFUNCTION("""COMPUTED_VALUE"""),46055.390660543984)</f>
        <v>46055.39066</v>
      </c>
      <c r="O370" s="4"/>
      <c r="P370" s="4"/>
      <c r="Q370" s="4"/>
      <c r="R370" s="4"/>
      <c r="S370" s="4"/>
      <c r="T370" s="4"/>
      <c r="U370" s="4"/>
      <c r="V370" s="4"/>
      <c r="W370" s="4"/>
      <c r="X370" s="4"/>
      <c r="Y370" s="4"/>
      <c r="Z370" s="4"/>
      <c r="AA370" s="4">
        <f>IFERROR(__xludf.DUMMYFUNCTION("""COMPUTED_VALUE"""),70.0)</f>
        <v>70</v>
      </c>
      <c r="AB370" s="4" t="str">
        <f>IFERROR(__xludf.DUMMYFUNCTION("""COMPUTED_VALUE"""),"KA")</f>
        <v>KA</v>
      </c>
      <c r="AC370" s="4" t="str">
        <f>IFERROR(__xludf.DUMMYFUNCTION("""COMPUTED_VALUE"""),"BP")</f>
        <v>BP</v>
      </c>
      <c r="AD370" s="4"/>
      <c r="AE370" s="4"/>
      <c r="AF370" s="4"/>
      <c r="AG370" s="4"/>
      <c r="AH370" s="4"/>
      <c r="AI370" s="4"/>
      <c r="AJ370" s="4"/>
      <c r="AK370" s="4"/>
      <c r="AL370" s="4"/>
      <c r="AM370" s="4" t="str">
        <f>IFERROR(__xludf.DUMMYFUNCTION("""COMPUTED_VALUE"""),"FY26, FY27")</f>
        <v>FY26, FY27</v>
      </c>
      <c r="AN370" s="4"/>
      <c r="AO370" s="4">
        <f>IFERROR(__xludf.DUMMYFUNCTION("""COMPUTED_VALUE"""),143.0)</f>
        <v>143</v>
      </c>
      <c r="AP370" s="4">
        <f>IFERROR(__xludf.DUMMYFUNCTION("""COMPUTED_VALUE"""),0.0)</f>
        <v>0</v>
      </c>
      <c r="AQ370" s="4">
        <f>IFERROR(__xludf.DUMMYFUNCTION("""COMPUTED_VALUE"""),0.0)</f>
        <v>0</v>
      </c>
      <c r="AR370" s="4">
        <f>IFERROR(__xludf.DUMMYFUNCTION("""COMPUTED_VALUE"""),0.0)</f>
        <v>0</v>
      </c>
      <c r="AS370" s="4">
        <f>IFERROR(__xludf.DUMMYFUNCTION("""COMPUTED_VALUE"""),0.0)</f>
        <v>0</v>
      </c>
      <c r="AT370" s="4">
        <f>IFERROR(__xludf.DUMMYFUNCTION("""COMPUTED_VALUE"""),0.0)</f>
        <v>0</v>
      </c>
      <c r="AU370" s="4" t="str">
        <f>IFERROR(__xludf.DUMMYFUNCTION("""COMPUTED_VALUE"""),"Samuel")</f>
        <v>Samuel</v>
      </c>
      <c r="AV370" s="4" t="str">
        <f>IFERROR(__xludf.DUMMYFUNCTION("""COMPUTED_VALUE"""),"Comer Fora-")</f>
        <v>Comer Fora-</v>
      </c>
      <c r="AW370" s="20" t="str">
        <f>IFERROR(__xludf.DUMMYFUNCTION("""COMPUTED_VALUE"""),"")</f>
        <v/>
      </c>
      <c r="AX370" s="4"/>
      <c r="AY370" s="4">
        <f>IFERROR(__xludf.DUMMYFUNCTION("""COMPUTED_VALUE"""),0.0)</f>
        <v>0</v>
      </c>
      <c r="AZ370" s="4" t="str">
        <f>IFERROR(__xludf.DUMMYFUNCTION("""COMPUTED_VALUE"""),"NA")</f>
        <v>NA</v>
      </c>
      <c r="BA370" s="4" t="str">
        <f>IFERROR(__xludf.DUMMYFUNCTION("""COMPUTED_VALUE"""),"R$ 18-28")</f>
        <v>R$ 18-28</v>
      </c>
      <c r="BB370" s="4" t="str">
        <f>IFERROR(__xludf.DUMMYFUNCTION("""COMPUTED_VALUE"""),"QSR - Quick Service (Croissants recheados em shoppings/quiosques)")</f>
        <v>QSR - Quick Service (Croissants recheados em shoppings/quiosques)</v>
      </c>
      <c r="BC370" s="4" t="str">
        <f>IFERROR(__xludf.DUMMYFUNCTION("""COMPUTED_VALUE"""),"Matriz: Indaiatuba/SP (Grupo Halipar). Mais de 70 lojas em 13 estados, com forte presença em SP (22 unidades). Parte do grupo com 400 unidades total")</f>
        <v>Matriz: Indaiatuba/SP (Grupo Halipar). Mais de 70 lojas em 13 estados, com forte presença em SP (22 unidades). Parte do grupo com 400 unidades total</v>
      </c>
      <c r="BD370" s="4" t="str">
        <f>IFERROR(__xludf.DUMMYFUNCTION("""COMPUTED_VALUE"""),"Faturamento médio R$ 75-120k/mês por loja. Grupo Halipar: R$ 850 milhões (2024)")</f>
        <v>Faturamento médio R$ 75-120k/mês por loja. Grupo Halipar: R$ 850 milhões (2024)</v>
      </c>
      <c r="BE370" s="4">
        <f>IFERROR(__xludf.DUMMYFUNCTION("""COMPUTED_VALUE"""),72.0)</f>
        <v>72</v>
      </c>
      <c r="BF370" s="4">
        <f>IFERROR(__xludf.DUMMYFUNCTION("""COMPUTED_VALUE"""),0.76)</f>
        <v>0.76</v>
      </c>
      <c r="BG370" s="4" t="str">
        <f>IFERROR(__xludf.DUMMYFUNCTION("""COMPUTED_VALUE"""),"PDV atual não identificado (grupo usa tecnologia centralizada para 4 marcas). Operação em quiosques e praças de alimentação requer PDV compacto e ágil. 3S oferece solução leve ideal para quiosques com gestão unificada no grupo Halipar.")</f>
        <v>PDV atual não identificado (grupo usa tecnologia centralizada para 4 marcas). Operação em quiosques e praças de alimentação requer PDV compacto e ágil. 3S oferece solução leve ideal para quiosques com gestão unificada no grupo Halipar.</v>
      </c>
      <c r="BH370" s="4" t="s">
        <v>63</v>
      </c>
      <c r="BI370" s="7" t="s">
        <v>63</v>
      </c>
    </row>
    <row r="371">
      <c r="A371" s="4" t="str">
        <f>IFERROR(__xludf.DUMMYFUNCTION("""COMPUTED_VALUE"""),"Halipar Griletto")</f>
        <v>Halipar Griletto</v>
      </c>
      <c r="B371" s="4" t="str">
        <f>IFERROR(__xludf.DUMMYFUNCTION("""COMPUTED_VALUE"""),"Leonardo Roso")</f>
        <v>Leonardo Roso</v>
      </c>
      <c r="C371" s="4" t="str">
        <f>IFERROR(__xludf.DUMMYFUNCTION("""COMPUTED_VALUE"""),"Leonardo Roso")</f>
        <v>Leonardo Roso</v>
      </c>
      <c r="D371" s="4" t="str">
        <f>IFERROR(__xludf.DUMMYFUNCTION("""COMPUTED_VALUE"""),"6. Negociação")</f>
        <v>6. Negociação</v>
      </c>
      <c r="E371" s="4" t="str">
        <f>IFERROR(__xludf.DUMMYFUNCTION("""COMPUTED_VALUE"""),"Pré-vendas - Em validação técnica")</f>
        <v>Pré-vendas - Em validação técnica</v>
      </c>
      <c r="F371" s="4" t="str">
        <f>IFERROR(__xludf.DUMMYFUNCTION("""COMPUTED_VALUE"""),"G")</f>
        <v>G</v>
      </c>
      <c r="G371" s="5">
        <f>IFERROR(__xludf.DUMMYFUNCTION("""COMPUTED_VALUE"""),46073.0)</f>
        <v>46073</v>
      </c>
      <c r="H371" s="4" t="str">
        <f>IFERROR(__xludf.DUMMYFUNCTION("""COMPUTED_VALUE"""),"Comercial: contraproposta respondida pelo iFood. Tema técnica (franqueadora) impactando andamento.")</f>
        <v>Comercial: contraproposta respondida pelo iFood. Tema técnica (franqueadora) impactando andamento.</v>
      </c>
      <c r="I371" s="4"/>
      <c r="J371" s="4"/>
      <c r="K371" s="6">
        <f>IFERROR(__xludf.DUMMYFUNCTION("""COMPUTED_VALUE"""),45807.0)</f>
        <v>45807</v>
      </c>
      <c r="L371" s="4"/>
      <c r="M371" s="4"/>
      <c r="N371" s="6">
        <f>IFERROR(__xludf.DUMMYFUNCTION("""COMPUTED_VALUE"""),46055.39069085648)</f>
        <v>46055.39069</v>
      </c>
      <c r="O371" s="4"/>
      <c r="P371" s="4"/>
      <c r="Q371" s="4"/>
      <c r="R371" s="4"/>
      <c r="S371" s="4"/>
      <c r="T371" s="4"/>
      <c r="U371" s="4"/>
      <c r="V371" s="4"/>
      <c r="W371" s="4"/>
      <c r="X371" s="4"/>
      <c r="Y371" s="4"/>
      <c r="Z371" s="4"/>
      <c r="AA371" s="4">
        <f>IFERROR(__xludf.DUMMYFUNCTION("""COMPUTED_VALUE"""),250.0)</f>
        <v>250</v>
      </c>
      <c r="AB371" s="4" t="str">
        <f>IFERROR(__xludf.DUMMYFUNCTION("""COMPUTED_VALUE"""),"KA")</f>
        <v>KA</v>
      </c>
      <c r="AC371" s="4" t="str">
        <f>IFERROR(__xludf.DUMMYFUNCTION("""COMPUTED_VALUE"""),"BP")</f>
        <v>BP</v>
      </c>
      <c r="AD371" s="4"/>
      <c r="AE371" s="4"/>
      <c r="AF371" s="4"/>
      <c r="AG371" s="4"/>
      <c r="AH371" s="4"/>
      <c r="AI371" s="4"/>
      <c r="AJ371" s="4"/>
      <c r="AK371" s="4"/>
      <c r="AL371" s="4"/>
      <c r="AM371" s="4" t="str">
        <f>IFERROR(__xludf.DUMMYFUNCTION("""COMPUTED_VALUE"""),"FY26, FY27")</f>
        <v>FY26, FY27</v>
      </c>
      <c r="AN371" s="4"/>
      <c r="AO371" s="4">
        <f>IFERROR(__xludf.DUMMYFUNCTION("""COMPUTED_VALUE"""),143.0)</f>
        <v>143</v>
      </c>
      <c r="AP371" s="4">
        <f>IFERROR(__xludf.DUMMYFUNCTION("""COMPUTED_VALUE"""),0.0)</f>
        <v>0</v>
      </c>
      <c r="AQ371" s="4">
        <f>IFERROR(__xludf.DUMMYFUNCTION("""COMPUTED_VALUE"""),0.0)</f>
        <v>0</v>
      </c>
      <c r="AR371" s="4">
        <f>IFERROR(__xludf.DUMMYFUNCTION("""COMPUTED_VALUE"""),0.0)</f>
        <v>0</v>
      </c>
      <c r="AS371" s="4">
        <f>IFERROR(__xludf.DUMMYFUNCTION("""COMPUTED_VALUE"""),0.0)</f>
        <v>0</v>
      </c>
      <c r="AT371" s="4">
        <f>IFERROR(__xludf.DUMMYFUNCTION("""COMPUTED_VALUE"""),0.0)</f>
        <v>0</v>
      </c>
      <c r="AU371" s="4" t="str">
        <f>IFERROR(__xludf.DUMMYFUNCTION("""COMPUTED_VALUE"""),"Samuel")</f>
        <v>Samuel</v>
      </c>
      <c r="AV371" s="4" t="str">
        <f>IFERROR(__xludf.DUMMYFUNCTION("""COMPUTED_VALUE"""),"Comer Fora-")</f>
        <v>Comer Fora-</v>
      </c>
      <c r="AW371" s="4" t="str">
        <f>IFERROR(__xludf.DUMMYFUNCTION("""COMPUTED_VALUE"""),"Top 30")</f>
        <v>Top 30</v>
      </c>
      <c r="AX371" s="4"/>
      <c r="AY371" s="4">
        <f>IFERROR(__xludf.DUMMYFUNCTION("""COMPUTED_VALUE"""),0.0)</f>
        <v>0</v>
      </c>
      <c r="AZ371" s="4" t="str">
        <f>IFERROR(__xludf.DUMMYFUNCTION("""COMPUTED_VALUE"""),"NA")</f>
        <v>NA</v>
      </c>
      <c r="BA371" s="4" t="str">
        <f>IFERROR(__xludf.DUMMYFUNCTION("""COMPUTED_VALUE"""),"R$ 45-65")</f>
        <v>R$ 45-65</v>
      </c>
      <c r="BB371" s="4" t="str">
        <f>IFERROR(__xludf.DUMMYFUNCTION("""COMPUTED_VALUE"""),"Fast Casual - Grelhados e Parmegianas")</f>
        <v>Fast Casual - Grelhados e Parmegianas</v>
      </c>
      <c r="BC371" s="4" t="str">
        <f>IFERROR(__xludf.DUMMYFUNCTION("""COMPUTED_VALUE"""),"Matriz: Indaiatuba/SP (Grupo Halipar). Mais de 150 lojas em 14 estados. Meta de 200+ unidades. Parte do grupo com 400 unidades total")</f>
        <v>Matriz: Indaiatuba/SP (Grupo Halipar). Mais de 150 lojas em 14 estados. Meta de 200+ unidades. Parte do grupo com 400 unidades total</v>
      </c>
      <c r="BD371" s="4" t="str">
        <f>IFERROR(__xludf.DUMMYFUNCTION("""COMPUTED_VALUE"""),"Faturamento médio R$ 150k/mês por loja. Grupo Halipar: R$ 850 milhões (2024)")</f>
        <v>Faturamento médio R$ 150k/mês por loja. Grupo Halipar: R$ 850 milhões (2024)</v>
      </c>
      <c r="BE371" s="4">
        <f>IFERROR(__xludf.DUMMYFUNCTION("""COMPUTED_VALUE"""),75.0)</f>
        <v>75</v>
      </c>
      <c r="BF371" s="4">
        <f>IFERROR(__xludf.DUMMYFUNCTION("""COMPUTED_VALUE"""),0.79)</f>
        <v>0.79</v>
      </c>
      <c r="BG371" s="4" t="str">
        <f>IFERROR(__xludf.DUMMYFUNCTION("""COMPUTED_VALUE"""),"PDV atual não identificado (grupo Halipar usa sistema centralizado). Operação de médio porte em shoppings com meta agressiva (200 unidades). 3S E-Deploy é ideal para padronização de franquias em expansão, garantindo consistência operacional.")</f>
        <v>PDV atual não identificado (grupo Halipar usa sistema centralizado). Operação de médio porte em shoppings com meta agressiva (200 unidades). 3S E-Deploy é ideal para padronização de franquias em expansão, garantindo consistência operacional.</v>
      </c>
      <c r="BH371" s="4" t="s">
        <v>63</v>
      </c>
      <c r="BI371" s="7" t="s">
        <v>63</v>
      </c>
    </row>
    <row r="372">
      <c r="A372" s="4" t="str">
        <f>IFERROR(__xludf.DUMMYFUNCTION("""COMPUTED_VALUE"""),"Halipar Jinjin")</f>
        <v>Halipar Jinjin</v>
      </c>
      <c r="B372" s="4" t="str">
        <f>IFERROR(__xludf.DUMMYFUNCTION("""COMPUTED_VALUE"""),"Leonardo Roso")</f>
        <v>Leonardo Roso</v>
      </c>
      <c r="C372" s="4" t="str">
        <f>IFERROR(__xludf.DUMMYFUNCTION("""COMPUTED_VALUE"""),"Leonardo Roso")</f>
        <v>Leonardo Roso</v>
      </c>
      <c r="D372" s="4" t="str">
        <f>IFERROR(__xludf.DUMMYFUNCTION("""COMPUTED_VALUE"""),"6. Negociação")</f>
        <v>6. Negociação</v>
      </c>
      <c r="E372" s="4" t="str">
        <f>IFERROR(__xludf.DUMMYFUNCTION("""COMPUTED_VALUE"""),"Pré-vendas - Em validação técnica")</f>
        <v>Pré-vendas - Em validação técnica</v>
      </c>
      <c r="F372" s="4" t="str">
        <f>IFERROR(__xludf.DUMMYFUNCTION("""COMPUTED_VALUE"""),"G")</f>
        <v>G</v>
      </c>
      <c r="G372" s="5">
        <f>IFERROR(__xludf.DUMMYFUNCTION("""COMPUTED_VALUE"""),46073.0)</f>
        <v>46073</v>
      </c>
      <c r="H372" s="4" t="str">
        <f>IFERROR(__xludf.DUMMYFUNCTION("""COMPUTED_VALUE"""),"Comercial: contraproposta respondida pelo iFood. Tema técnica (franqueadora) impactando andamento.")</f>
        <v>Comercial: contraproposta respondida pelo iFood. Tema técnica (franqueadora) impactando andamento.</v>
      </c>
      <c r="I372" s="4"/>
      <c r="J372" s="4"/>
      <c r="K372" s="6">
        <f>IFERROR(__xludf.DUMMYFUNCTION("""COMPUTED_VALUE"""),45807.0)</f>
        <v>45807</v>
      </c>
      <c r="L372" s="4"/>
      <c r="M372" s="4"/>
      <c r="N372" s="6">
        <f>IFERROR(__xludf.DUMMYFUNCTION("""COMPUTED_VALUE"""),46055.39070605324)</f>
        <v>46055.39071</v>
      </c>
      <c r="O372" s="4"/>
      <c r="P372" s="4"/>
      <c r="Q372" s="4"/>
      <c r="R372" s="4"/>
      <c r="S372" s="4"/>
      <c r="T372" s="4"/>
      <c r="U372" s="4"/>
      <c r="V372" s="4"/>
      <c r="W372" s="4"/>
      <c r="X372" s="4"/>
      <c r="Y372" s="4"/>
      <c r="Z372" s="4"/>
      <c r="AA372" s="4">
        <f>IFERROR(__xludf.DUMMYFUNCTION("""COMPUTED_VALUE"""),80.0)</f>
        <v>80</v>
      </c>
      <c r="AB372" s="4" t="str">
        <f>IFERROR(__xludf.DUMMYFUNCTION("""COMPUTED_VALUE"""),"KA")</f>
        <v>KA</v>
      </c>
      <c r="AC372" s="4" t="str">
        <f>IFERROR(__xludf.DUMMYFUNCTION("""COMPUTED_VALUE"""),"BP")</f>
        <v>BP</v>
      </c>
      <c r="AD372" s="4"/>
      <c r="AE372" s="4"/>
      <c r="AF372" s="4"/>
      <c r="AG372" s="4"/>
      <c r="AH372" s="4"/>
      <c r="AI372" s="4"/>
      <c r="AJ372" s="4"/>
      <c r="AK372" s="4"/>
      <c r="AL372" s="4"/>
      <c r="AM372" s="4" t="str">
        <f>IFERROR(__xludf.DUMMYFUNCTION("""COMPUTED_VALUE"""),"FY26, FY27")</f>
        <v>FY26, FY27</v>
      </c>
      <c r="AN372" s="4"/>
      <c r="AO372" s="4">
        <f>IFERROR(__xludf.DUMMYFUNCTION("""COMPUTED_VALUE"""),143.0)</f>
        <v>143</v>
      </c>
      <c r="AP372" s="4">
        <f>IFERROR(__xludf.DUMMYFUNCTION("""COMPUTED_VALUE"""),0.0)</f>
        <v>0</v>
      </c>
      <c r="AQ372" s="4">
        <f>IFERROR(__xludf.DUMMYFUNCTION("""COMPUTED_VALUE"""),0.0)</f>
        <v>0</v>
      </c>
      <c r="AR372" s="4">
        <f>IFERROR(__xludf.DUMMYFUNCTION("""COMPUTED_VALUE"""),0.0)</f>
        <v>0</v>
      </c>
      <c r="AS372" s="4">
        <f>IFERROR(__xludf.DUMMYFUNCTION("""COMPUTED_VALUE"""),0.0)</f>
        <v>0</v>
      </c>
      <c r="AT372" s="4">
        <f>IFERROR(__xludf.DUMMYFUNCTION("""COMPUTED_VALUE"""),0.0)</f>
        <v>0</v>
      </c>
      <c r="AU372" s="4" t="str">
        <f>IFERROR(__xludf.DUMMYFUNCTION("""COMPUTED_VALUE"""),"Samuel")</f>
        <v>Samuel</v>
      </c>
      <c r="AV372" s="4" t="str">
        <f>IFERROR(__xludf.DUMMYFUNCTION("""COMPUTED_VALUE"""),"Comer Fora-")</f>
        <v>Comer Fora-</v>
      </c>
      <c r="AW372" s="4" t="str">
        <f>IFERROR(__xludf.DUMMYFUNCTION("""COMPUTED_VALUE"""),"G - pipe")</f>
        <v>G - pipe</v>
      </c>
      <c r="AX372" s="4"/>
      <c r="AY372" s="4">
        <f>IFERROR(__xludf.DUMMYFUNCTION("""COMPUTED_VALUE"""),0.0)</f>
        <v>0</v>
      </c>
      <c r="AZ372" s="4" t="str">
        <f>IFERROR(__xludf.DUMMYFUNCTION("""COMPUTED_VALUE"""),"NA")</f>
        <v>NA</v>
      </c>
      <c r="BA372" s="4" t="str">
        <f>IFERROR(__xludf.DUMMYFUNCTION("""COMPUTED_VALUE"""),"R$ 35-50")</f>
        <v>R$ 35-50</v>
      </c>
      <c r="BB372" s="4" t="str">
        <f>IFERROR(__xludf.DUMMYFUNCTION("""COMPUTED_VALUE"""),"QSR - Quick Service (Culinária Asiática em shoppings)")</f>
        <v>QSR - Quick Service (Culinária Asiática em shoppings)</v>
      </c>
      <c r="BC372" s="4" t="str">
        <f>IFERROR(__xludf.DUMMYFUNCTION("""COMPUTED_VALUE"""),"Matriz: Indaiatuba/SP (Grupo Halipar). 73 lojas em 18 estados, 42 só em SP. Maior rede de culinária asiática fast-food do Brasil. Parte do grupo com 400 unidades total")</f>
        <v>Matriz: Indaiatuba/SP (Grupo Halipar). 73 lojas em 18 estados, 42 só em SP. Maior rede de culinária asiática fast-food do Brasil. Parte do grupo com 400 unidades total</v>
      </c>
      <c r="BD372" s="4" t="str">
        <f>IFERROR(__xludf.DUMMYFUNCTION("""COMPUTED_VALUE"""),"Grupo Halipar: R$ 850 milhões (2024). Jin Jin representa parte significativa")</f>
        <v>Grupo Halipar: R$ 850 milhões (2024). Jin Jin representa parte significativa</v>
      </c>
      <c r="BE372" s="4">
        <f>IFERROR(__xludf.DUMMYFUNCTION("""COMPUTED_VALUE"""),74.0)</f>
        <v>74</v>
      </c>
      <c r="BF372" s="4">
        <f>IFERROR(__xludf.DUMMYFUNCTION("""COMPUTED_VALUE"""),0.78)</f>
        <v>0.78</v>
      </c>
      <c r="BG372" s="4" t="str">
        <f>IFERROR(__xludf.DUMMYFUNCTION("""COMPUTED_VALUE"""),"PDV atual não identificado (grupo Halipar centralizado). Maior rede de asiático fast-food no Brasil, operação em shoppings com alto volume. 3S oferece PDV otimizado para combos e gestão de cardápio extenso típico de asiático.")</f>
        <v>PDV atual não identificado (grupo Halipar centralizado). Maior rede de asiático fast-food no Brasil, operação em shoppings com alto volume. 3S oferece PDV otimizado para combos e gestão de cardápio extenso típico de asiático.</v>
      </c>
      <c r="BH372" s="4" t="s">
        <v>63</v>
      </c>
      <c r="BI372" s="7" t="s">
        <v>63</v>
      </c>
    </row>
    <row r="373">
      <c r="A373" s="4" t="str">
        <f>IFERROR(__xludf.DUMMYFUNCTION("""COMPUTED_VALUE"""),"Halipar Montana")</f>
        <v>Halipar Montana</v>
      </c>
      <c r="B373" s="4" t="str">
        <f>IFERROR(__xludf.DUMMYFUNCTION("""COMPUTED_VALUE"""),"Leonardo Roso")</f>
        <v>Leonardo Roso</v>
      </c>
      <c r="C373" s="4" t="str">
        <f>IFERROR(__xludf.DUMMYFUNCTION("""COMPUTED_VALUE"""),"Leonardo Roso")</f>
        <v>Leonardo Roso</v>
      </c>
      <c r="D373" s="4" t="str">
        <f>IFERROR(__xludf.DUMMYFUNCTION("""COMPUTED_VALUE"""),"6. Negociação")</f>
        <v>6. Negociação</v>
      </c>
      <c r="E373" s="4" t="str">
        <f>IFERROR(__xludf.DUMMYFUNCTION("""COMPUTED_VALUE"""),"Pré-vendas - Em validação técnica")</f>
        <v>Pré-vendas - Em validação técnica</v>
      </c>
      <c r="F373" s="4" t="str">
        <f>IFERROR(__xludf.DUMMYFUNCTION("""COMPUTED_VALUE"""),"G")</f>
        <v>G</v>
      </c>
      <c r="G373" s="5">
        <f>IFERROR(__xludf.DUMMYFUNCTION("""COMPUTED_VALUE"""),46073.0)</f>
        <v>46073</v>
      </c>
      <c r="H373" s="4" t="str">
        <f>IFERROR(__xludf.DUMMYFUNCTION("""COMPUTED_VALUE"""),"Comercial: contraproposta respondida pelo iFood. Tema técnica (franqueadora) impactando andamento.")</f>
        <v>Comercial: contraproposta respondida pelo iFood. Tema técnica (franqueadora) impactando andamento.</v>
      </c>
      <c r="I373" s="4"/>
      <c r="J373" s="4"/>
      <c r="K373" s="6">
        <f>IFERROR(__xludf.DUMMYFUNCTION("""COMPUTED_VALUE"""),45807.0)</f>
        <v>45807</v>
      </c>
      <c r="L373" s="4"/>
      <c r="M373" s="4"/>
      <c r="N373" s="6">
        <f>IFERROR(__xludf.DUMMYFUNCTION("""COMPUTED_VALUE"""),46055.39071670139)</f>
        <v>46055.39072</v>
      </c>
      <c r="O373" s="4"/>
      <c r="P373" s="4"/>
      <c r="Q373" s="4"/>
      <c r="R373" s="4"/>
      <c r="S373" s="4"/>
      <c r="T373" s="4"/>
      <c r="U373" s="4"/>
      <c r="V373" s="4"/>
      <c r="W373" s="4"/>
      <c r="X373" s="4"/>
      <c r="Y373" s="4"/>
      <c r="Z373" s="4"/>
      <c r="AA373" s="4">
        <f>IFERROR(__xludf.DUMMYFUNCTION("""COMPUTED_VALUE"""),120.0)</f>
        <v>120</v>
      </c>
      <c r="AB373" s="4" t="str">
        <f>IFERROR(__xludf.DUMMYFUNCTION("""COMPUTED_VALUE"""),"KA")</f>
        <v>KA</v>
      </c>
      <c r="AC373" s="4" t="str">
        <f>IFERROR(__xludf.DUMMYFUNCTION("""COMPUTED_VALUE"""),"BP")</f>
        <v>BP</v>
      </c>
      <c r="AD373" s="4"/>
      <c r="AE373" s="4"/>
      <c r="AF373" s="4"/>
      <c r="AG373" s="4"/>
      <c r="AH373" s="4"/>
      <c r="AI373" s="4"/>
      <c r="AJ373" s="4"/>
      <c r="AK373" s="4"/>
      <c r="AL373" s="4"/>
      <c r="AM373" s="4" t="str">
        <f>IFERROR(__xludf.DUMMYFUNCTION("""COMPUTED_VALUE"""),"FY26, FY27")</f>
        <v>FY26, FY27</v>
      </c>
      <c r="AN373" s="4"/>
      <c r="AO373" s="4">
        <f>IFERROR(__xludf.DUMMYFUNCTION("""COMPUTED_VALUE"""),143.0)</f>
        <v>143</v>
      </c>
      <c r="AP373" s="4">
        <f>IFERROR(__xludf.DUMMYFUNCTION("""COMPUTED_VALUE"""),0.0)</f>
        <v>0</v>
      </c>
      <c r="AQ373" s="4">
        <f>IFERROR(__xludf.DUMMYFUNCTION("""COMPUTED_VALUE"""),0.0)</f>
        <v>0</v>
      </c>
      <c r="AR373" s="4">
        <f>IFERROR(__xludf.DUMMYFUNCTION("""COMPUTED_VALUE"""),0.0)</f>
        <v>0</v>
      </c>
      <c r="AS373" s="4">
        <f>IFERROR(__xludf.DUMMYFUNCTION("""COMPUTED_VALUE"""),0.0)</f>
        <v>0</v>
      </c>
      <c r="AT373" s="4">
        <f>IFERROR(__xludf.DUMMYFUNCTION("""COMPUTED_VALUE"""),0.0)</f>
        <v>0</v>
      </c>
      <c r="AU373" s="4" t="str">
        <f>IFERROR(__xludf.DUMMYFUNCTION("""COMPUTED_VALUE"""),"Samuel")</f>
        <v>Samuel</v>
      </c>
      <c r="AV373" s="4" t="str">
        <f>IFERROR(__xludf.DUMMYFUNCTION("""COMPUTED_VALUE"""),"Comer Fora-")</f>
        <v>Comer Fora-</v>
      </c>
      <c r="AW373" s="20" t="str">
        <f>IFERROR(__xludf.DUMMYFUNCTION("""COMPUTED_VALUE"""),"BASE SAIPOS")</f>
        <v>BASE SAIPOS</v>
      </c>
      <c r="AX373" s="4"/>
      <c r="AY373" s="4">
        <f>IFERROR(__xludf.DUMMYFUNCTION("""COMPUTED_VALUE"""),0.0)</f>
        <v>0</v>
      </c>
      <c r="AZ373" s="4" t="str">
        <f>IFERROR(__xludf.DUMMYFUNCTION("""COMPUTED_VALUE"""),"NA")</f>
        <v>NA</v>
      </c>
      <c r="BA373" s="4" t="str">
        <f>IFERROR(__xludf.DUMMYFUNCTION("""COMPUTED_VALUE"""),"R$ 55-75")</f>
        <v>R$ 55-75</v>
      </c>
      <c r="BB373" s="4" t="str">
        <f>IFERROR(__xludf.DUMMYFUNCTION("""COMPUTED_VALUE"""),"Fast Casual - Churrascaria/Grill em shoppings")</f>
        <v>Fast Casual - Churrascaria/Grill em shoppings</v>
      </c>
      <c r="BC373" s="4" t="str">
        <f>IFERROR(__xludf.DUMMYFUNCTION("""COMPUTED_VALUE"""),"Matriz: Indaiatuba/SP (Grupo Halipar). Mais de 130 lojas em 14 estados + DF. Expansão contínua em shoppings. Parte do grupo com 400 unidades total")</f>
        <v>Matriz: Indaiatuba/SP (Grupo Halipar). Mais de 130 lojas em 14 estados + DF. Expansão contínua em shoppings. Parte do grupo com 400 unidades total</v>
      </c>
      <c r="BD373" s="4" t="str">
        <f>IFERROR(__xludf.DUMMYFUNCTION("""COMPUTED_VALUE"""),"Faturamento médio R$ 180k/mês por loja. Grupo Halipar: R$ 850 milhões (2024)")</f>
        <v>Faturamento médio R$ 180k/mês por loja. Grupo Halipar: R$ 850 milhões (2024)</v>
      </c>
      <c r="BE373" s="4">
        <f>IFERROR(__xludf.DUMMYFUNCTION("""COMPUTED_VALUE"""),76.0)</f>
        <v>76</v>
      </c>
      <c r="BF373" s="4">
        <f>IFERROR(__xludf.DUMMYFUNCTION("""COMPUTED_VALUE"""),0.8)</f>
        <v>0.8</v>
      </c>
      <c r="BG373" s="4" t="str">
        <f>IFERROR(__xludf.DUMMYFUNCTION("""COMPUTED_VALUE"""),"PDV atual não identificado (grupo Halipar). Marca criada por Chitãozinho &amp; Xororó, forte identidade. Operação em shoppings com padrão elevado. 3S pode oferecer PDV com melhor experiência para cortes nobres e gestão de pontos/estoque.")</f>
        <v>PDV atual não identificado (grupo Halipar). Marca criada por Chitãozinho &amp; Xororó, forte identidade. Operação em shoppings com padrão elevado. 3S pode oferecer PDV com melhor experiência para cortes nobres e gestão de pontos/estoque.</v>
      </c>
      <c r="BH373" s="4" t="s">
        <v>63</v>
      </c>
      <c r="BI373" s="7" t="s">
        <v>63</v>
      </c>
    </row>
    <row r="374" hidden="1">
      <c r="A374" s="4" t="str">
        <f>IFERROR(__xludf.DUMMYFUNCTION("""COMPUTED_VALUE"""),"Hiro")</f>
        <v>Hiro</v>
      </c>
      <c r="B374" s="4" t="str">
        <f>IFERROR(__xludf.DUMMYFUNCTION("""COMPUTED_VALUE"""),"Emerson")</f>
        <v>Emerson</v>
      </c>
      <c r="C374" s="4" t="str">
        <f>IFERROR(__xludf.DUMMYFUNCTION("""COMPUTED_VALUE"""),"Emerson")</f>
        <v>Emerson</v>
      </c>
      <c r="D374" s="4" t="str">
        <f>IFERROR(__xludf.DUMMYFUNCTION("""COMPUTED_VALUE"""),"6. Negociação")</f>
        <v>6. Negociação</v>
      </c>
      <c r="E374" s="4"/>
      <c r="F374" s="4" t="str">
        <f>IFERROR(__xludf.DUMMYFUNCTION("""COMPUTED_VALUE"""),"P")</f>
        <v>P</v>
      </c>
      <c r="G374" s="4"/>
      <c r="H374" s="4"/>
      <c r="I374" s="4"/>
      <c r="J374" s="4"/>
      <c r="K374" s="6">
        <f>IFERROR(__xludf.DUMMYFUNCTION("""COMPUTED_VALUE"""),45899.0)</f>
        <v>45899</v>
      </c>
      <c r="L374" s="4"/>
      <c r="M374" s="4"/>
      <c r="N374" s="4"/>
      <c r="O374" s="4"/>
      <c r="P374" s="4"/>
      <c r="Q374" s="4"/>
      <c r="R374" s="4"/>
      <c r="S374" s="4"/>
      <c r="T374" s="4"/>
      <c r="U374" s="4"/>
      <c r="V374" s="4"/>
      <c r="W374" s="4"/>
      <c r="X374" s="4"/>
      <c r="Y374" s="4"/>
      <c r="Z374" s="4"/>
      <c r="AA374" s="4">
        <f>IFERROR(__xludf.DUMMYFUNCTION("""COMPUTED_VALUE"""),4.0)</f>
        <v>4</v>
      </c>
      <c r="AB374" s="4" t="str">
        <f>IFERROR(__xludf.DUMMYFUNCTION("""COMPUTED_VALUE"""),"NÃO")</f>
        <v>NÃO</v>
      </c>
      <c r="AC374" s="4" t="str">
        <f>IFERROR(__xludf.DUMMYFUNCTION("""COMPUTED_VALUE"""),"Não BP")</f>
        <v>Não BP</v>
      </c>
      <c r="AD374" s="4"/>
      <c r="AE374" s="4"/>
      <c r="AF374" s="4"/>
      <c r="AG374" s="4"/>
      <c r="AH374" s="4"/>
      <c r="AI374" s="4"/>
      <c r="AJ374" s="4"/>
      <c r="AK374" s="4"/>
      <c r="AL374" s="4"/>
      <c r="AM374" s="4" t="str">
        <f>IFERROR(__xludf.DUMMYFUNCTION("""COMPUTED_VALUE"""),"FY26, FY27")</f>
        <v>FY26, FY27</v>
      </c>
      <c r="AN374" s="4"/>
      <c r="AO374" s="4">
        <f>IFERROR(__xludf.DUMMYFUNCTION("""COMPUTED_VALUE"""),45553.0)</f>
        <v>45553</v>
      </c>
      <c r="AP374" s="4" t="str">
        <f>IFERROR(__xludf.DUMMYFUNCTION("""COMPUTED_VALUE"""),"AM")</f>
        <v>AM</v>
      </c>
      <c r="AQ374" s="4" t="str">
        <f>IFERROR(__xludf.DUMMYFUNCTION("""COMPUTED_VALUE"""),"RODRIGO MAR")</f>
        <v>RODRIGO MAR</v>
      </c>
      <c r="AR374" s="4">
        <f>IFERROR(__xludf.DUMMYFUNCTION("""COMPUTED_VALUE"""),0.0)</f>
        <v>0</v>
      </c>
      <c r="AS374" s="4">
        <f>IFERROR(__xludf.DUMMYFUNCTION("""COMPUTED_VALUE"""),0.0)</f>
        <v>0</v>
      </c>
      <c r="AT374" s="4">
        <f>IFERROR(__xludf.DUMMYFUNCTION("""COMPUTED_VALUE"""),0.0)</f>
        <v>0</v>
      </c>
      <c r="AU374" s="4" t="str">
        <f>IFERROR(__xludf.DUMMYFUNCTION("""COMPUTED_VALUE"""),"Emerson")</f>
        <v>Emerson</v>
      </c>
      <c r="AV374" s="4">
        <f>IFERROR(__xludf.DUMMYFUNCTION("""COMPUTED_VALUE"""),0.0)</f>
        <v>0</v>
      </c>
      <c r="AW374" s="4">
        <f>IFERROR(__xludf.DUMMYFUNCTION("""COMPUTED_VALUE"""),0.0)</f>
        <v>0</v>
      </c>
      <c r="AX374" s="4">
        <f>IFERROR(__xludf.DUMMYFUNCTION("""COMPUTED_VALUE"""),0.0)</f>
        <v>0</v>
      </c>
      <c r="AY374" s="4">
        <f>IFERROR(__xludf.DUMMYFUNCTION("""COMPUTED_VALUE"""),0.0)</f>
        <v>0</v>
      </c>
      <c r="AZ374" s="4" t="str">
        <f>IFERROR(__xludf.DUMMYFUNCTION("""COMPUTED_VALUE"""),"Japonesa")</f>
        <v>Japonesa</v>
      </c>
      <c r="BA374" s="4" t="str">
        <f>IFERROR(__xludf.DUMMYFUNCTION("""COMPUTED_VALUE"""),"R$ 80-110")</f>
        <v>R$ 80-110</v>
      </c>
      <c r="BB374" s="4" t="str">
        <f>IFERROR(__xludf.DUMMYFUNCTION("""COMPUTED_VALUE"""),"Fast Casual - Restaurante Japonês Kaiten Sushi (esteira rolante)")</f>
        <v>Fast Casual - Restaurante Japonês Kaiten Sushi (esteira rolante)</v>
      </c>
      <c r="BC374" s="4" t="str">
        <f>IFERROR(__xludf.DUMMYFUNCTION("""COMPUTED_VALUE"""),"São Paulo/SP. 4 unidades (Shopping Eldorado, Pátio Paulista, Center Shop). Operação local sem expansão nacional")</f>
        <v>São Paulo/SP. 4 unidades (Shopping Eldorado, Pátio Paulista, Center Shop). Operação local sem expansão nacional</v>
      </c>
      <c r="BD374" s="4" t="str">
        <f>IFERROR(__xludf.DUMMYFUNCTION("""COMPUTED_VALUE"""),"Dado não disponível publicamente - Necessário Discovery")</f>
        <v>Dado não disponível publicamente - Necessário Discovery</v>
      </c>
      <c r="BE374" s="4">
        <f>IFERROR(__xludf.DUMMYFUNCTION("""COMPUTED_VALUE"""),48.0)</f>
        <v>48</v>
      </c>
      <c r="BF374" s="4">
        <f>IFERROR(__xludf.DUMMYFUNCTION("""COMPUTED_VALUE"""),0.52)</f>
        <v>0.52</v>
      </c>
      <c r="BG374" s="4" t="str">
        <f>IFERROR(__xludf.DUMMYFUNCTION("""COMPUTED_VALUE"""),"PDV atual não identificado. Sistema kaiten (esteira) requer PDV simples para cobrança por cor de prato. 3S pode integrar contagem automática de pratos + pagamento ágil, reduzindo erros e tempo de checkout.")</f>
        <v>PDV atual não identificado. Sistema kaiten (esteira) requer PDV simples para cobrança por cor de prato. 3S pode integrar contagem automática de pratos + pagamento ágil, reduzindo erros e tempo de checkout.</v>
      </c>
      <c r="BH374" s="4" t="s">
        <v>63</v>
      </c>
      <c r="BI374" s="7" t="s">
        <v>63</v>
      </c>
    </row>
    <row r="375" hidden="1">
      <c r="A375" s="4" t="str">
        <f>IFERROR(__xludf.DUMMYFUNCTION("""COMPUTED_VALUE"""),"Holy Cook")</f>
        <v>Holy Cook</v>
      </c>
      <c r="B375" s="4" t="str">
        <f>IFERROR(__xludf.DUMMYFUNCTION("""COMPUTED_VALUE"""),"Lídia Esteves")</f>
        <v>Lídia Esteves</v>
      </c>
      <c r="C375" s="4" t="str">
        <f>IFERROR(__xludf.DUMMYFUNCTION("""COMPUTED_VALUE"""),"Gabriela Roma")</f>
        <v>Gabriela Roma</v>
      </c>
      <c r="D375" s="4" t="str">
        <f>IFERROR(__xludf.DUMMYFUNCTION("""COMPUTED_VALUE"""),"0. Não Iniciado")</f>
        <v>0. Não Iniciado</v>
      </c>
      <c r="E375" s="4"/>
      <c r="F375" s="4" t="str">
        <f>IFERROR(__xludf.DUMMYFUNCTION("""COMPUTED_VALUE"""),"P")</f>
        <v>P</v>
      </c>
      <c r="G375" s="4"/>
      <c r="H375" s="4"/>
      <c r="I375" s="4"/>
      <c r="J375" s="4"/>
      <c r="K375" s="4"/>
      <c r="L375" s="4"/>
      <c r="M375" s="4"/>
      <c r="N375" s="4"/>
      <c r="O375" s="4"/>
      <c r="P375" s="4"/>
      <c r="Q375" s="4"/>
      <c r="R375" s="4"/>
      <c r="S375" s="4"/>
      <c r="T375" s="4"/>
      <c r="U375" s="4"/>
      <c r="V375" s="4"/>
      <c r="W375" s="4"/>
      <c r="X375" s="4"/>
      <c r="Y375" s="4"/>
      <c r="Z375" s="4"/>
      <c r="AA375" s="4">
        <f>IFERROR(__xludf.DUMMYFUNCTION("""COMPUTED_VALUE"""),10.0)</f>
        <v>10</v>
      </c>
      <c r="AB375" s="4" t="str">
        <f>IFERROR(__xludf.DUMMYFUNCTION("""COMPUTED_VALUE"""),"-")</f>
        <v>-</v>
      </c>
      <c r="AC375" s="4" t="str">
        <f>IFERROR(__xludf.DUMMYFUNCTION("""COMPUTED_VALUE"""),"-")</f>
        <v>-</v>
      </c>
      <c r="AD375" s="4"/>
      <c r="AE375" s="4"/>
      <c r="AF375" s="4"/>
      <c r="AG375" s="4"/>
      <c r="AH375" s="4"/>
      <c r="AI375" s="4"/>
      <c r="AJ375" s="4"/>
      <c r="AK375" s="4"/>
      <c r="AL375" s="4"/>
      <c r="AM375" s="4" t="str">
        <f>IFERROR(__xludf.DUMMYFUNCTION("""COMPUTED_VALUE"""),"FY26, FY27")</f>
        <v>FY26, FY27</v>
      </c>
      <c r="AN375" s="4"/>
      <c r="AO375" s="4">
        <f>IFERROR(__xludf.DUMMYFUNCTION("""COMPUTED_VALUE"""),45553.0)</f>
        <v>45553</v>
      </c>
      <c r="AP375" s="4" t="str">
        <f>IFERROR(__xludf.DUMMYFUNCTION("""COMPUTED_VALUE"""),"SP")</f>
        <v>SP</v>
      </c>
      <c r="AQ375" s="4" t="str">
        <f>IFERROR(__xludf.DUMMYFUNCTION("""COMPUTED_VALUE"""),"CAMILA ARMOND")</f>
        <v>CAMILA ARMOND</v>
      </c>
      <c r="AR375" s="4" t="str">
        <f>IFERROR(__xludf.DUMMYFUNCTION("""COMPUTED_VALUE"""),"MATHEUS BUCHEB")</f>
        <v>MATHEUS BUCHEB</v>
      </c>
      <c r="AS375" s="4" t="str">
        <f>IFERROR(__xludf.DUMMYFUNCTION("""COMPUTED_VALUE"""),"ALAN HADDAD")</f>
        <v>ALAN HADDAD</v>
      </c>
      <c r="AT375" s="4" t="str">
        <f>IFERROR(__xludf.DUMMYFUNCTION("""COMPUTED_VALUE"""),"ISABELA DINIZ")</f>
        <v>ISABELA DINIZ</v>
      </c>
      <c r="AU375" s="4" t="str">
        <f>IFERROR(__xludf.DUMMYFUNCTION("""COMPUTED_VALUE"""),"Lídia / Emerson")</f>
        <v>Lídia / Emerson</v>
      </c>
      <c r="AV375" s="4">
        <f>IFERROR(__xludf.DUMMYFUNCTION("""COMPUTED_VALUE"""),0.0)</f>
        <v>0</v>
      </c>
      <c r="AW375" s="4">
        <f>IFERROR(__xludf.DUMMYFUNCTION("""COMPUTED_VALUE"""),0.0)</f>
        <v>0</v>
      </c>
      <c r="AX375" s="4">
        <f>IFERROR(__xludf.DUMMYFUNCTION("""COMPUTED_VALUE"""),0.0)</f>
        <v>0</v>
      </c>
      <c r="AY375" s="4" t="str">
        <f>IFERROR(__xludf.DUMMYFUNCTION("""COMPUTED_VALUE"""),"Consumer Soluções Em Tecnologia Ltda")</f>
        <v>Consumer Soluções Em Tecnologia Ltda</v>
      </c>
      <c r="AZ375" s="4" t="str">
        <f>IFERROR(__xludf.DUMMYFUNCTION("""COMPUTED_VALUE"""),"Doces &amp; Bolos")</f>
        <v>Doces &amp; Bolos</v>
      </c>
      <c r="BA375" s="4" t="str">
        <f>IFERROR(__xludf.DUMMYFUNCTION("""COMPUTED_VALUE"""),"")</f>
        <v/>
      </c>
      <c r="BB375" s="4" t="str">
        <f>IFERROR(__xludf.DUMMYFUNCTION("""COMPUTED_VALUE"""),"")</f>
        <v/>
      </c>
      <c r="BC375" s="4" t="str">
        <f>IFERROR(__xludf.DUMMYFUNCTION("""COMPUTED_VALUE"""),"")</f>
        <v/>
      </c>
      <c r="BD375" s="4" t="str">
        <f>IFERROR(__xludf.DUMMYFUNCTION("""COMPUTED_VALUE"""),"")</f>
        <v/>
      </c>
      <c r="BE375" s="4" t="str">
        <f>IFERROR(__xludf.DUMMYFUNCTION("""COMPUTED_VALUE"""),"")</f>
        <v/>
      </c>
      <c r="BF375" s="4" t="str">
        <f>IFERROR(__xludf.DUMMYFUNCTION("""COMPUTED_VALUE"""),"")</f>
        <v/>
      </c>
      <c r="BG375" s="4" t="str">
        <f>IFERROR(__xludf.DUMMYFUNCTION("""COMPUTED_VALUE"""),"")</f>
        <v/>
      </c>
      <c r="BH375" s="4" t="s">
        <v>131</v>
      </c>
      <c r="BI375" s="7">
        <v>0.5555555555555556</v>
      </c>
    </row>
    <row r="376" hidden="1">
      <c r="A376" s="4" t="str">
        <f>IFERROR(__xludf.DUMMYFUNCTION("""COMPUTED_VALUE"""),"Imperador Burger")</f>
        <v>Imperador Burger</v>
      </c>
      <c r="B376" s="4" t="str">
        <f>IFERROR(__xludf.DUMMYFUNCTION("""COMPUTED_VALUE"""),"Lídia Esteves")</f>
        <v>Lídia Esteves</v>
      </c>
      <c r="C376" s="4" t="str">
        <f>IFERROR(__xludf.DUMMYFUNCTION("""COMPUTED_VALUE"""),"Gabriela Roma")</f>
        <v>Gabriela Roma</v>
      </c>
      <c r="D376" s="4" t="str">
        <f>IFERROR(__xludf.DUMMYFUNCTION("""COMPUTED_VALUE"""),"0. Não Iniciado")</f>
        <v>0. Não Iniciado</v>
      </c>
      <c r="E376" s="4" t="str">
        <f>IFERROR(__xludf.DUMMYFUNCTION("""COMPUTED_VALUE"""),"Delivery - Aguardando retorno / Conciliação agenda")</f>
        <v>Delivery - Aguardando retorno / Conciliação agenda</v>
      </c>
      <c r="F376" s="4" t="str">
        <f>IFERROR(__xludf.DUMMYFUNCTION("""COMPUTED_VALUE"""),"P")</f>
        <v>P</v>
      </c>
      <c r="G376" s="5">
        <f>IFERROR(__xludf.DUMMYFUNCTION("""COMPUTED_VALUE"""),46098.0)</f>
        <v>46098</v>
      </c>
      <c r="H376" s="4" t="str">
        <f>IFERROR(__xludf.DUMMYFUNCTION("""COMPUTED_VALUE"""),"Chamar o cliente dia 25/03 para alinhar uma agenda")</f>
        <v>Chamar o cliente dia 25/03 para alinhar uma agenda</v>
      </c>
      <c r="I376" s="4"/>
      <c r="J376" s="4"/>
      <c r="K376" s="4"/>
      <c r="L376" s="4"/>
      <c r="M376" s="4"/>
      <c r="N376" s="4"/>
      <c r="O376" s="4"/>
      <c r="P376" s="4"/>
      <c r="Q376" s="4"/>
      <c r="R376" s="4"/>
      <c r="S376" s="4"/>
      <c r="T376" s="4"/>
      <c r="U376" s="4"/>
      <c r="V376" s="4"/>
      <c r="W376" s="4"/>
      <c r="X376" s="4"/>
      <c r="Y376" s="4"/>
      <c r="Z376" s="4"/>
      <c r="AA376" s="4">
        <f>IFERROR(__xludf.DUMMYFUNCTION("""COMPUTED_VALUE"""),1.0)</f>
        <v>1</v>
      </c>
      <c r="AB376" s="4" t="str">
        <f>IFERROR(__xludf.DUMMYFUNCTION("""COMPUTED_VALUE"""),"NÃO")</f>
        <v>NÃO</v>
      </c>
      <c r="AC376" s="4" t="str">
        <f>IFERROR(__xludf.DUMMYFUNCTION("""COMPUTED_VALUE"""),"Não BP")</f>
        <v>Não BP</v>
      </c>
      <c r="AD376" s="4"/>
      <c r="AE376" s="4"/>
      <c r="AF376" s="4"/>
      <c r="AG376" s="4"/>
      <c r="AH376" s="4"/>
      <c r="AI376" s="4"/>
      <c r="AJ376" s="4"/>
      <c r="AK376" s="4"/>
      <c r="AL376" s="4"/>
      <c r="AM376" s="4" t="str">
        <f>IFERROR(__xludf.DUMMYFUNCTION("""COMPUTED_VALUE"""),"FY26, FY27")</f>
        <v>FY26, FY27</v>
      </c>
      <c r="AN376" s="4"/>
      <c r="AO376" s="4">
        <f>IFERROR(__xludf.DUMMYFUNCTION("""COMPUTED_VALUE"""),116.0)</f>
        <v>116</v>
      </c>
      <c r="AP376" s="4" t="str">
        <f>IFERROR(__xludf.DUMMYFUNCTION("""COMPUTED_VALUE"""),"ES")</f>
        <v>ES</v>
      </c>
      <c r="AQ376" s="4" t="str">
        <f>IFERROR(__xludf.DUMMYFUNCTION("""COMPUTED_VALUE"""),"LORENA PACHECO")</f>
        <v>LORENA PACHECO</v>
      </c>
      <c r="AR376" s="4" t="str">
        <f>IFERROR(__xludf.DUMMYFUNCTION("""COMPUTED_VALUE"""),"THAYNA MARINS")</f>
        <v>THAYNA MARINS</v>
      </c>
      <c r="AS376" s="4" t="str">
        <f>IFERROR(__xludf.DUMMYFUNCTION("""COMPUTED_VALUE"""),"FABIO DONATO")</f>
        <v>FABIO DONATO</v>
      </c>
      <c r="AT376" s="4" t="str">
        <f>IFERROR(__xludf.DUMMYFUNCTION("""COMPUTED_VALUE"""),"GILSON JUNIOR")</f>
        <v>GILSON JUNIOR</v>
      </c>
      <c r="AU376" s="4" t="str">
        <f>IFERROR(__xludf.DUMMYFUNCTION("""COMPUTED_VALUE"""),"Diego")</f>
        <v>Diego</v>
      </c>
      <c r="AV376" s="4">
        <f>IFERROR(__xludf.DUMMYFUNCTION("""COMPUTED_VALUE"""),0.0)</f>
        <v>0</v>
      </c>
      <c r="AW376" s="4">
        <f>IFERROR(__xludf.DUMMYFUNCTION("""COMPUTED_VALUE"""),0.0)</f>
        <v>0</v>
      </c>
      <c r="AX376" s="4">
        <f>IFERROR(__xludf.DUMMYFUNCTION("""COMPUTED_VALUE"""),0.0)</f>
        <v>0</v>
      </c>
      <c r="AY376" s="4"/>
      <c r="AZ376" s="4" t="str">
        <f>IFERROR(__xludf.DUMMYFUNCTION("""COMPUTED_VALUE"""),"Lanches")</f>
        <v>Lanches</v>
      </c>
      <c r="BA376" s="4" t="str">
        <f>IFERROR(__xludf.DUMMYFUNCTION("""COMPUTED_VALUE"""),"R$ 40-60")</f>
        <v>R$ 40-60</v>
      </c>
      <c r="BB376" s="4" t="str">
        <f>IFERROR(__xludf.DUMMYFUNCTION("""COMPUTED_VALUE"""),"QSR - Quick Service Restaurant (Burger gourmet rápido)")</f>
        <v>QSR - Quick Service Restaurant (Burger gourmet rápido)</v>
      </c>
      <c r="BC376" s="4" t="str">
        <f>IFERROR(__xludf.DUMMYFUNCTION("""COMPUTED_VALUE"""),"Matriz: Vila Velha/ES. Múltiplas unidades no ES (Shopping Vila Velha, Parque Pedros). Início de expansão para SP. Plano de R$ 70 milhões para expansão nacional")</f>
        <v>Matriz: Vila Velha/ES. Múltiplas unidades no ES (Shopping Vila Velha, Parque Pedros). Início de expansão para SP. Plano de R$ 70 milhões para expansão nacional</v>
      </c>
      <c r="BD376" s="4" t="str">
        <f>IFERROR(__xludf.DUMMYFUNCTION("""COMPUTED_VALUE"""),"Dado não disponível publicamente - Necessário Discovery. Investimento de R$ 70 milhões anunciado para expansão (abril/2026)")</f>
        <v>Dado não disponível publicamente - Necessário Discovery. Investimento de R$ 70 milhões anunciado para expansão (abril/2026)</v>
      </c>
      <c r="BE376" s="4">
        <f>IFERROR(__xludf.DUMMYFUNCTION("""COMPUTED_VALUE"""),68.0)</f>
        <v>68</v>
      </c>
      <c r="BF376" s="4">
        <f>IFERROR(__xludf.DUMMYFUNCTION("""COMPUTED_VALUE"""),0.72)</f>
        <v>0.72</v>
      </c>
      <c r="BG376" s="4" t="str">
        <f>IFERROR(__xludf.DUMMYFUNCTION("""COMPUTED_VALUE"""),"PDV atual não identificado. Marca regional com ambição nacional e investimento significativo (R$ 70Mi). 3S E-Deploy é estratégico para garantir padronização na expansão agressiva, evitando erros comuns de crescimento rápido.")</f>
        <v>PDV atual não identificado. Marca regional com ambição nacional e investimento significativo (R$ 70Mi). 3S E-Deploy é estratégico para garantir padronização na expansão agressiva, evitando erros comuns de crescimento rápido.</v>
      </c>
      <c r="BH376" s="4" t="s">
        <v>63</v>
      </c>
      <c r="BI376" s="7" t="s">
        <v>63</v>
      </c>
    </row>
    <row r="377" hidden="1">
      <c r="A377" s="4" t="str">
        <f>IFERROR(__xludf.DUMMYFUNCTION("""COMPUTED_VALUE"""),"Inspire Brands (Dunkin, Baskin-Robbins, Arby'S, Buffalo Wild Wings, Jimmy John'S, Sonic Drive-In)")</f>
        <v>Inspire Brands (Dunkin, Baskin-Robbins, Arby'S, Buffalo Wild Wings, Jimmy John'S, Sonic Drive-In)</v>
      </c>
      <c r="B377" s="4" t="str">
        <f>IFERROR(__xludf.DUMMYFUNCTION("""COMPUTED_VALUE"""),"Emerson")</f>
        <v>Emerson</v>
      </c>
      <c r="C377" s="4" t="str">
        <f>IFERROR(__xludf.DUMMYFUNCTION("""COMPUTED_VALUE"""),"Emerson")</f>
        <v>Emerson</v>
      </c>
      <c r="D377" s="4" t="str">
        <f>IFERROR(__xludf.DUMMYFUNCTION("""COMPUTED_VALUE"""),"2. Primeiro contato com a marca")</f>
        <v>2. Primeiro contato com a marca</v>
      </c>
      <c r="E377" s="4"/>
      <c r="F377" s="4" t="str">
        <f>IFERROR(__xludf.DUMMYFUNCTION("""COMPUTED_VALUE"""),"P")</f>
        <v>P</v>
      </c>
      <c r="G377" s="4"/>
      <c r="H377" s="4" t="str">
        <f>IFERROR(__xludf.DUMMYFUNCTION("""COMPUTED_VALUE"""),"Necessidade Fixe")</f>
        <v>Necessidade Fixe</v>
      </c>
      <c r="I377" s="4"/>
      <c r="J377" s="6">
        <f>IFERROR(__xludf.DUMMYFUNCTION("""COMPUTED_VALUE"""),46057.64914164352)</f>
        <v>46057.64914</v>
      </c>
      <c r="K377" s="6">
        <f>IFERROR(__xludf.DUMMYFUNCTION("""COMPUTED_VALUE"""),45964.0)</f>
        <v>45964</v>
      </c>
      <c r="L377" s="4"/>
      <c r="M377" s="4"/>
      <c r="N377" s="4"/>
      <c r="O377" s="4"/>
      <c r="P377" s="4"/>
      <c r="Q377" s="4"/>
      <c r="R377" s="4"/>
      <c r="S377" s="4"/>
      <c r="T377" s="4"/>
      <c r="U377" s="4"/>
      <c r="V377" s="4"/>
      <c r="W377" s="4"/>
      <c r="X377" s="4"/>
      <c r="Y377" s="4"/>
      <c r="Z377" s="4"/>
      <c r="AA377" s="4">
        <f>IFERROR(__xludf.DUMMYFUNCTION("""COMPUTED_VALUE"""),1.0)</f>
        <v>1</v>
      </c>
      <c r="AB377" s="4" t="str">
        <f>IFERROR(__xludf.DUMMYFUNCTION("""COMPUTED_VALUE"""),"NÃO")</f>
        <v>NÃO</v>
      </c>
      <c r="AC377" s="4" t="str">
        <f>IFERROR(__xludf.DUMMYFUNCTION("""COMPUTED_VALUE"""),"Não BP")</f>
        <v>Não BP</v>
      </c>
      <c r="AD377" s="4"/>
      <c r="AE377" s="4"/>
      <c r="AF377" s="4"/>
      <c r="AG377" s="4"/>
      <c r="AH377" s="4"/>
      <c r="AI377" s="4"/>
      <c r="AJ377" s="4"/>
      <c r="AK377" s="4"/>
      <c r="AL377" s="4"/>
      <c r="AM377" s="4" t="str">
        <f>IFERROR(__xludf.DUMMYFUNCTION("""COMPUTED_VALUE"""),"FY26, FY27")</f>
        <v>FY26, FY27</v>
      </c>
      <c r="AN377" s="4"/>
      <c r="AO377" s="4">
        <f>IFERROR(__xludf.DUMMYFUNCTION("""COMPUTED_VALUE"""),45553.0)</f>
        <v>45553</v>
      </c>
      <c r="AP377" s="4">
        <f>IFERROR(__xludf.DUMMYFUNCTION("""COMPUTED_VALUE"""),0.0)</f>
        <v>0</v>
      </c>
      <c r="AQ377" s="4">
        <f>IFERROR(__xludf.DUMMYFUNCTION("""COMPUTED_VALUE"""),0.0)</f>
        <v>0</v>
      </c>
      <c r="AR377" s="4">
        <f>IFERROR(__xludf.DUMMYFUNCTION("""COMPUTED_VALUE"""),0.0)</f>
        <v>0</v>
      </c>
      <c r="AS377" s="4">
        <f>IFERROR(__xludf.DUMMYFUNCTION("""COMPUTED_VALUE"""),0.0)</f>
        <v>0</v>
      </c>
      <c r="AT377" s="4">
        <f>IFERROR(__xludf.DUMMYFUNCTION("""COMPUTED_VALUE"""),0.0)</f>
        <v>0</v>
      </c>
      <c r="AU377" s="4" t="str">
        <f>IFERROR(__xludf.DUMMYFUNCTION("""COMPUTED_VALUE"""),"Emerson")</f>
        <v>Emerson</v>
      </c>
      <c r="AV377" s="4">
        <f>IFERROR(__xludf.DUMMYFUNCTION("""COMPUTED_VALUE"""),0.0)</f>
        <v>0</v>
      </c>
      <c r="AW377" s="4">
        <f>IFERROR(__xludf.DUMMYFUNCTION("""COMPUTED_VALUE"""),0.0)</f>
        <v>0</v>
      </c>
      <c r="AX377" s="4">
        <f>IFERROR(__xludf.DUMMYFUNCTION("""COMPUTED_VALUE"""),0.0)</f>
        <v>0</v>
      </c>
      <c r="AY377" s="4">
        <f>IFERROR(__xludf.DUMMYFUNCTION("""COMPUTED_VALUE"""),0.0)</f>
        <v>0</v>
      </c>
      <c r="AZ377" s="4" t="str">
        <f>IFERROR(__xludf.DUMMYFUNCTION("""COMPUTED_VALUE"""),"NA")</f>
        <v>NA</v>
      </c>
      <c r="BA377" s="4" t="str">
        <f>IFERROR(__xludf.DUMMYFUNCTION("""COMPUTED_VALUE"""),"")</f>
        <v/>
      </c>
      <c r="BB377" s="4" t="str">
        <f>IFERROR(__xludf.DUMMYFUNCTION("""COMPUTED_VALUE"""),"")</f>
        <v/>
      </c>
      <c r="BC377" s="4" t="str">
        <f>IFERROR(__xludf.DUMMYFUNCTION("""COMPUTED_VALUE"""),"")</f>
        <v/>
      </c>
      <c r="BD377" s="4" t="str">
        <f>IFERROR(__xludf.DUMMYFUNCTION("""COMPUTED_VALUE"""),"")</f>
        <v/>
      </c>
      <c r="BE377" s="4" t="str">
        <f>IFERROR(__xludf.DUMMYFUNCTION("""COMPUTED_VALUE"""),"")</f>
        <v/>
      </c>
      <c r="BF377" s="4" t="str">
        <f>IFERROR(__xludf.DUMMYFUNCTION("""COMPUTED_VALUE"""),"")</f>
        <v/>
      </c>
      <c r="BG377" s="4" t="str">
        <f>IFERROR(__xludf.DUMMYFUNCTION("""COMPUTED_VALUE"""),"")</f>
        <v/>
      </c>
      <c r="BH377" s="4" t="s">
        <v>63</v>
      </c>
      <c r="BI377" s="7" t="s">
        <v>63</v>
      </c>
    </row>
    <row r="378" hidden="1">
      <c r="A378" s="4" t="str">
        <f>IFERROR(__xludf.DUMMYFUNCTION("""COMPUTED_VALUE"""),"Isabela Akkari")</f>
        <v>Isabela Akkari</v>
      </c>
      <c r="B378" s="4" t="str">
        <f>IFERROR(__xludf.DUMMYFUNCTION("""COMPUTED_VALUE"""),"João Biagiotti")</f>
        <v>João Biagiotti</v>
      </c>
      <c r="C378" s="4" t="str">
        <f>IFERROR(__xludf.DUMMYFUNCTION("""COMPUTED_VALUE"""),"Diego Santos")</f>
        <v>Diego Santos</v>
      </c>
      <c r="D378" s="4" t="str">
        <f>IFERROR(__xludf.DUMMYFUNCTION("""COMPUTED_VALUE"""),"0. Não Iniciado")</f>
        <v>0. Não Iniciado</v>
      </c>
      <c r="E378" s="4" t="str">
        <f>IFERROR(__xludf.DUMMYFUNCTION("""COMPUTED_VALUE"""),"Parceiro - Aguardando retorno parceiro")</f>
        <v>Parceiro - Aguardando retorno parceiro</v>
      </c>
      <c r="F378" s="4" t="str">
        <f>IFERROR(__xludf.DUMMYFUNCTION("""COMPUTED_VALUE"""),"P")</f>
        <v>P</v>
      </c>
      <c r="G378" s="5">
        <f>IFERROR(__xludf.DUMMYFUNCTION("""COMPUTED_VALUE"""),46120.0)</f>
        <v>46120</v>
      </c>
      <c r="H378" s="4" t="str">
        <f>IFERROR(__xludf.DUMMYFUNCTION("""COMPUTED_VALUE"""),"Mandei mensagem pro contato que a ana me passou, mas ainda sem retorno. ")</f>
        <v>Mandei mensagem pro contato que a ana me passou, mas ainda sem retorno. </v>
      </c>
      <c r="I378" s="4"/>
      <c r="J378" s="4"/>
      <c r="K378" s="4"/>
      <c r="L378" s="4"/>
      <c r="M378" s="4"/>
      <c r="N378" s="4"/>
      <c r="O378" s="4"/>
      <c r="P378" s="4"/>
      <c r="Q378" s="4"/>
      <c r="R378" s="6">
        <f>IFERROR(__xludf.DUMMYFUNCTION("""COMPUTED_VALUE"""),46052.42401880787)</f>
        <v>46052.42402</v>
      </c>
      <c r="S378" s="4"/>
      <c r="T378" s="4"/>
      <c r="U378" s="4"/>
      <c r="V378" s="4"/>
      <c r="W378" s="4"/>
      <c r="X378" s="4"/>
      <c r="Y378" s="4"/>
      <c r="Z378" s="4"/>
      <c r="AA378" s="4">
        <f>IFERROR(__xludf.DUMMYFUNCTION("""COMPUTED_VALUE"""),10.0)</f>
        <v>10</v>
      </c>
      <c r="AB378" s="4" t="str">
        <f>IFERROR(__xludf.DUMMYFUNCTION("""COMPUTED_VALUE"""),"NÃO")</f>
        <v>NÃO</v>
      </c>
      <c r="AC378" s="4" t="str">
        <f>IFERROR(__xludf.DUMMYFUNCTION("""COMPUTED_VALUE"""),"Não BP")</f>
        <v>Não BP</v>
      </c>
      <c r="AD378" s="4"/>
      <c r="AE378" s="4"/>
      <c r="AF378" s="4"/>
      <c r="AG378" s="4"/>
      <c r="AH378" s="4"/>
      <c r="AI378" s="4"/>
      <c r="AJ378" s="4"/>
      <c r="AK378" s="4"/>
      <c r="AL378" s="4"/>
      <c r="AM378" s="4" t="str">
        <f>IFERROR(__xludf.DUMMYFUNCTION("""COMPUTED_VALUE"""),"FY26, FY27")</f>
        <v>FY26, FY27</v>
      </c>
      <c r="AN378" s="4" t="str">
        <f>IFERROR(__xludf.DUMMYFUNCTION("""COMPUTED_VALUE"""),"Comer Fora")</f>
        <v>Comer Fora</v>
      </c>
      <c r="AO378" s="4">
        <f>IFERROR(__xludf.DUMMYFUNCTION("""COMPUTED_VALUE"""),95.0)</f>
        <v>95</v>
      </c>
      <c r="AP378" s="4" t="str">
        <f>IFERROR(__xludf.DUMMYFUNCTION("""COMPUTED_VALUE"""),"SP")</f>
        <v>SP</v>
      </c>
      <c r="AQ378" s="4" t="str">
        <f>IFERROR(__xludf.DUMMYFUNCTION("""COMPUTED_VALUE"""),"RODRIGO BESSER")</f>
        <v>RODRIGO BESSER</v>
      </c>
      <c r="AR378" s="4" t="str">
        <f>IFERROR(__xludf.DUMMYFUNCTION("""COMPUTED_VALUE"""),"ISABEL MEDEIROS")</f>
        <v>ISABEL MEDEIROS</v>
      </c>
      <c r="AS378" s="4" t="str">
        <f>IFERROR(__xludf.DUMMYFUNCTION("""COMPUTED_VALUE"""),"NATHALIE MERTENS")</f>
        <v>NATHALIE MERTENS</v>
      </c>
      <c r="AT378" s="4" t="str">
        <f>IFERROR(__xludf.DUMMYFUNCTION("""COMPUTED_VALUE"""),"MARIANA KATZ")</f>
        <v>MARIANA KATZ</v>
      </c>
      <c r="AU378" s="4" t="str">
        <f>IFERROR(__xludf.DUMMYFUNCTION("""COMPUTED_VALUE"""),"Ana")</f>
        <v>Ana</v>
      </c>
      <c r="AV378" s="4">
        <f>IFERROR(__xludf.DUMMYFUNCTION("""COMPUTED_VALUE"""),0.0)</f>
        <v>0</v>
      </c>
      <c r="AW378" s="4">
        <f>IFERROR(__xludf.DUMMYFUNCTION("""COMPUTED_VALUE"""),0.0)</f>
        <v>0</v>
      </c>
      <c r="AX378" s="4">
        <f>IFERROR(__xludf.DUMMYFUNCTION("""COMPUTED_VALUE"""),0.0)</f>
        <v>0</v>
      </c>
      <c r="AY378" s="4" t="str">
        <f>IFERROR(__xludf.DUMMYFUNCTION("""COMPUTED_VALUE"""),"Eyemobile Tecnologia")</f>
        <v>Eyemobile Tecnologia</v>
      </c>
      <c r="AZ378" s="4" t="str">
        <f>IFERROR(__xludf.DUMMYFUNCTION("""COMPUTED_VALUE"""),"Doces &amp; Bolos")</f>
        <v>Doces &amp; Bolos</v>
      </c>
      <c r="BA378" s="4" t="str">
        <f>IFERROR(__xludf.DUMMYFUNCTION("""COMPUTED_VALUE"""),"R$ 50-90")</f>
        <v>R$ 50-90</v>
      </c>
      <c r="BB378" s="4" t="str">
        <f>IFERROR(__xludf.DUMMYFUNCTION("""COMPUTED_VALUE"""),"Fast Casual Premium - Confeitaria Saudável (sem glúten/lactose)")</f>
        <v>Fast Casual Premium - Confeitaria Saudável (sem glúten/lactose)</v>
      </c>
      <c r="BC378" s="4" t="str">
        <f>IFERROR(__xludf.DUMMYFUNCTION("""COMPUTED_VALUE"""),"Matriz: São Paulo/SP. 12 lojas em shoppings premium: 8 em SP (JK Iguatemi, Faria Lima, Higienópolis, Alphaville, Itaim, PatBo, Hospital Einstein), 2 no RJ (Leblon, Village Mall), 1 BH (Diamond), 1 Curitiba (Batel), 1 Campinas")</f>
        <v>Matriz: São Paulo/SP. 12 lojas em shoppings premium: 8 em SP (JK Iguatemi, Faria Lima, Higienópolis, Alphaville, Itaim, PatBo, Hospital Einstein), 2 no RJ (Leblon, Village Mall), 1 BH (Diamond), 1 Curitiba (Batel), 1 Campinas</v>
      </c>
      <c r="BD378" s="4" t="str">
        <f>IFERROR(__xludf.DUMMYFUNCTION("""COMPUTED_VALUE"""),"Dado não disponível publicamente - Necessário Discovery. Atende 60k clientes/mês, delivery nacional via app")</f>
        <v>Dado não disponível publicamente - Necessário Discovery. Atende 60k clientes/mês, delivery nacional via app</v>
      </c>
      <c r="BE378" s="4">
        <f>IFERROR(__xludf.DUMMYFUNCTION("""COMPUTED_VALUE"""),70.0)</f>
        <v>70</v>
      </c>
      <c r="BF378" s="4">
        <f>IFERROR(__xludf.DUMMYFUNCTION("""COMPUTED_VALUE"""),0.74)</f>
        <v>0.74</v>
      </c>
      <c r="BG378" s="4" t="str">
        <f>IFERROR(__xludf.DUMMYFUNCTION("""COMPUTED_VALUE"""),"PDV atual não identificado. Operação premium em shoppings de alto padrão com público exigente. 3S pode oferecer PDV elegante e rápido, além de integração com e-commerce (delivery nacional via SEDEX já existe).")</f>
        <v>PDV atual não identificado. Operação premium em shoppings de alto padrão com público exigente. 3S pode oferecer PDV elegante e rápido, além de integração com e-commerce (delivery nacional via SEDEX já existe).</v>
      </c>
      <c r="BH378" s="4" t="s">
        <v>132</v>
      </c>
      <c r="BI378" s="7">
        <v>0.7272727272727273</v>
      </c>
    </row>
    <row r="379" hidden="1">
      <c r="A379" s="4" t="str">
        <f>IFERROR(__xludf.DUMMYFUNCTION("""COMPUTED_VALUE"""),"Itzza")</f>
        <v>Itzza</v>
      </c>
      <c r="B379" s="4" t="str">
        <f>IFERROR(__xludf.DUMMYFUNCTION("""COMPUTED_VALUE"""),"João Biagiotti")</f>
        <v>João Biagiotti</v>
      </c>
      <c r="C379" s="4" t="str">
        <f>IFERROR(__xludf.DUMMYFUNCTION("""COMPUTED_VALUE"""),"Diego Santos")</f>
        <v>Diego Santos</v>
      </c>
      <c r="D379" s="4" t="str">
        <f>IFERROR(__xludf.DUMMYFUNCTION("""COMPUTED_VALUE"""),"0. Não Iniciado")</f>
        <v>0. Não Iniciado</v>
      </c>
      <c r="E379" s="4" t="str">
        <f>IFERROR(__xludf.DUMMYFUNCTION("""COMPUTED_VALUE"""),"Delivery - Aguardando retorno executivo")</f>
        <v>Delivery - Aguardando retorno executivo</v>
      </c>
      <c r="F379" s="4" t="str">
        <f>IFERROR(__xludf.DUMMYFUNCTION("""COMPUTED_VALUE"""),"P")</f>
        <v>P</v>
      </c>
      <c r="G379" s="5">
        <f>IFERROR(__xludf.DUMMYFUNCTION("""COMPUTED_VALUE"""),46076.0)</f>
        <v>46076</v>
      </c>
      <c r="H379" s="4" t="str">
        <f>IFERROR(__xludf.DUMMYFUNCTION("""COMPUTED_VALUE"""),"Não conseguimos contato, executiva nos respondeu mas não marca agenda.")</f>
        <v>Não conseguimos contato, executiva nos respondeu mas não marca agenda.</v>
      </c>
      <c r="I379" s="4"/>
      <c r="J379" s="4"/>
      <c r="K379" s="4"/>
      <c r="L379" s="4"/>
      <c r="M379" s="4"/>
      <c r="N379" s="4"/>
      <c r="O379" s="4"/>
      <c r="P379" s="4"/>
      <c r="Q379" s="4"/>
      <c r="R379" s="4"/>
      <c r="S379" s="4"/>
      <c r="T379" s="4"/>
      <c r="U379" s="4"/>
      <c r="V379" s="4"/>
      <c r="W379" s="4"/>
      <c r="X379" s="4"/>
      <c r="Y379" s="4"/>
      <c r="Z379" s="4"/>
      <c r="AA379" s="4">
        <f>IFERROR(__xludf.DUMMYFUNCTION("""COMPUTED_VALUE"""),4.0)</f>
        <v>4</v>
      </c>
      <c r="AB379" s="4" t="str">
        <f>IFERROR(__xludf.DUMMYFUNCTION("""COMPUTED_VALUE"""),"NÃO")</f>
        <v>NÃO</v>
      </c>
      <c r="AC379" s="4" t="str">
        <f>IFERROR(__xludf.DUMMYFUNCTION("""COMPUTED_VALUE"""),"BP")</f>
        <v>BP</v>
      </c>
      <c r="AD379" s="4"/>
      <c r="AE379" s="4"/>
      <c r="AF379" s="4"/>
      <c r="AG379" s="4"/>
      <c r="AH379" s="4"/>
      <c r="AI379" s="4"/>
      <c r="AJ379" s="4"/>
      <c r="AK379" s="4"/>
      <c r="AL379" s="4"/>
      <c r="AM379" s="4" t="str">
        <f>IFERROR(__xludf.DUMMYFUNCTION("""COMPUTED_VALUE"""),"FY26, FY27")</f>
        <v>FY26, FY27</v>
      </c>
      <c r="AN379" s="4" t="str">
        <f>IFERROR(__xludf.DUMMYFUNCTION("""COMPUTED_VALUE"""),"Comer Fora")</f>
        <v>Comer Fora</v>
      </c>
      <c r="AO379" s="4">
        <f>IFERROR(__xludf.DUMMYFUNCTION("""COMPUTED_VALUE"""),140.0)</f>
        <v>140</v>
      </c>
      <c r="AP379" s="4" t="str">
        <f>IFERROR(__xludf.DUMMYFUNCTION("""COMPUTED_VALUE"""),"SP")</f>
        <v>SP</v>
      </c>
      <c r="AQ379" s="4" t="str">
        <f>IFERROR(__xludf.DUMMYFUNCTION("""COMPUTED_VALUE"""),"GABRIEL BISPO")</f>
        <v>GABRIEL BISPO</v>
      </c>
      <c r="AR379" s="4" t="str">
        <f>IFERROR(__xludf.DUMMYFUNCTION("""COMPUTED_VALUE"""),"GOMES ALINE")</f>
        <v>GOMES ALINE</v>
      </c>
      <c r="AS379" s="4" t="str">
        <f>IFERROR(__xludf.DUMMYFUNCTION("""COMPUTED_VALUE"""),"NATHALIE MERTENS")</f>
        <v>NATHALIE MERTENS</v>
      </c>
      <c r="AT379" s="4" t="str">
        <f>IFERROR(__xludf.DUMMYFUNCTION("""COMPUTED_VALUE"""),"MARIANA KATZ")</f>
        <v>MARIANA KATZ</v>
      </c>
      <c r="AU379" s="4" t="str">
        <f>IFERROR(__xludf.DUMMYFUNCTION("""COMPUTED_VALUE"""),"Iza")</f>
        <v>Iza</v>
      </c>
      <c r="AV379" s="4" t="str">
        <f>IFERROR(__xludf.DUMMYFUNCTION("""COMPUTED_VALUE"""),"Comer Fora-")</f>
        <v>Comer Fora-</v>
      </c>
      <c r="AW379" s="20" t="str">
        <f>IFERROR(__xludf.DUMMYFUNCTION("""COMPUTED_VALUE"""),"P e M - pipe")</f>
        <v>P e M - pipe</v>
      </c>
      <c r="AX379" s="4"/>
      <c r="AY379" s="4"/>
      <c r="AZ379" s="4" t="str">
        <f>IFERROR(__xludf.DUMMYFUNCTION("""COMPUTED_VALUE"""),"Pizza")</f>
        <v>Pizza</v>
      </c>
      <c r="BA379" s="4" t="str">
        <f>IFERROR(__xludf.DUMMYFUNCTION("""COMPUTED_VALUE"""),"R$ 60-75")</f>
        <v>R$ 60-75</v>
      </c>
      <c r="BB379" s="4" t="str">
        <f>IFERROR(__xludf.DUMMYFUNCTION("""COMPUTED_VALUE"""),"Fast Casual - Pizzaria saudável (low carb, sem glúten)")</f>
        <v>Fast Casual - Pizzaria saudável (low carb, sem glúten)</v>
      </c>
      <c r="BC379" s="4" t="str">
        <f>IFERROR(__xludf.DUMMYFUNCTION("""COMPUTED_VALUE"""),"São Paulo/SP. 4 unidades (Itaim Bibi flagship, Higienópolis, Pinheiros, Iguatemi). Delivery forte via iFood/Rappi. Pizzas congeladas em empórios")</f>
        <v>São Paulo/SP. 4 unidades (Itaim Bibi flagship, Higienópolis, Pinheiros, Iguatemi). Delivery forte via iFood/Rappi. Pizzas congeladas em empórios</v>
      </c>
      <c r="BD379" s="4" t="str">
        <f>IFERROR(__xludf.DUMMYFUNCTION("""COMPUTED_VALUE"""),"Dado não disponível publicamente - Necessário Discovery")</f>
        <v>Dado não disponível publicamente - Necessário Discovery</v>
      </c>
      <c r="BE379" s="4">
        <f>IFERROR(__xludf.DUMMYFUNCTION("""COMPUTED_VALUE"""),55.0)</f>
        <v>55</v>
      </c>
      <c r="BF379" s="4">
        <f>IFERROR(__xludf.DUMMYFUNCTION("""COMPUTED_VALUE"""),0.58)</f>
        <v>0.58</v>
      </c>
      <c r="BG379" s="4" t="str">
        <f>IFERROR(__xludf.DUMMYFUNCTION("""COMPUTED_VALUE"""),"PDV atual não identificado. Nicho saudável com preço premium. Operação pequena mas com potencial de franquia (planos antigos). 3S pode padronizar operação para facilitar expansão futura.")</f>
        <v>PDV atual não identificado. Nicho saudável com preço premium. Operação pequena mas com potencial de franquia (planos antigos). 3S pode padronizar operação para facilitar expansão futura.</v>
      </c>
      <c r="BH379" s="4" t="s">
        <v>129</v>
      </c>
      <c r="BI379" s="7">
        <v>0.6666666666666666</v>
      </c>
    </row>
    <row r="380" hidden="1">
      <c r="A380" s="4" t="str">
        <f>IFERROR(__xludf.DUMMYFUNCTION("""COMPUTED_VALUE"""),"Janela Bar")</f>
        <v>Janela Bar</v>
      </c>
      <c r="B380" s="4" t="str">
        <f>IFERROR(__xludf.DUMMYFUNCTION("""COMPUTED_VALUE"""),"Lídia Esteves")</f>
        <v>Lídia Esteves</v>
      </c>
      <c r="C380" s="4" t="str">
        <f>IFERROR(__xludf.DUMMYFUNCTION("""COMPUTED_VALUE"""),"Gabriela Roma")</f>
        <v>Gabriela Roma</v>
      </c>
      <c r="D380" s="4" t="str">
        <f>IFERROR(__xludf.DUMMYFUNCTION("""COMPUTED_VALUE"""),"4. Diagnóstico")</f>
        <v>4. Diagnóstico</v>
      </c>
      <c r="E380" s="4" t="str">
        <f>IFERROR(__xludf.DUMMYFUNCTION("""COMPUTED_VALUE"""),"Parceiro - Conciliação agenda")</f>
        <v>Parceiro - Conciliação agenda</v>
      </c>
      <c r="F380" s="4" t="str">
        <f>IFERROR(__xludf.DUMMYFUNCTION("""COMPUTED_VALUE"""),"P")</f>
        <v>P</v>
      </c>
      <c r="G380" s="4" t="str">
        <f>IFERROR(__xludf.DUMMYFUNCTION("""COMPUTED_VALUE"""),"46120.0")</f>
        <v>46120.0</v>
      </c>
      <c r="H380" s="4" t="str">
        <f>IFERROR(__xludf.DUMMYFUNCTION("""COMPUTED_VALUE"""),"Conciliar agenda demo cliente")</f>
        <v>Conciliar agenda demo cliente</v>
      </c>
      <c r="I380" s="4"/>
      <c r="J380" s="6">
        <f>IFERROR(__xludf.DUMMYFUNCTION("""COMPUTED_VALUE"""),46050.49485239583)</f>
        <v>46050.49485</v>
      </c>
      <c r="K380" s="6">
        <f>IFERROR(__xludf.DUMMYFUNCTION("""COMPUTED_VALUE"""),46063.39194796296)</f>
        <v>46063.39195</v>
      </c>
      <c r="L380" s="6">
        <f>IFERROR(__xludf.DUMMYFUNCTION("""COMPUTED_VALUE"""),46153.68461524305)</f>
        <v>46153.68462</v>
      </c>
      <c r="M380" s="4"/>
      <c r="N380" s="4"/>
      <c r="O380" s="4"/>
      <c r="P380" s="4"/>
      <c r="Q380" s="4"/>
      <c r="R380" s="4"/>
      <c r="S380" s="4"/>
      <c r="T380" s="4"/>
      <c r="U380" s="4"/>
      <c r="V380" s="4"/>
      <c r="W380" s="4"/>
      <c r="X380" s="4"/>
      <c r="Y380" s="4"/>
      <c r="Z380" s="4"/>
      <c r="AA380" s="4">
        <f>IFERROR(__xludf.DUMMYFUNCTION("""COMPUTED_VALUE"""),28.0)</f>
        <v>28</v>
      </c>
      <c r="AB380" s="4" t="str">
        <f>IFERROR(__xludf.DUMMYFUNCTION("""COMPUTED_VALUE"""),"NÃO")</f>
        <v>NÃO</v>
      </c>
      <c r="AC380" s="4" t="str">
        <f>IFERROR(__xludf.DUMMYFUNCTION("""COMPUTED_VALUE"""),"Não BP")</f>
        <v>Não BP</v>
      </c>
      <c r="AD380" s="4"/>
      <c r="AE380" s="4"/>
      <c r="AF380" s="4"/>
      <c r="AG380" s="4"/>
      <c r="AH380" s="4">
        <f>IFERROR(__xludf.DUMMYFUNCTION("""COMPUTED_VALUE"""),40.0)</f>
        <v>40</v>
      </c>
      <c r="AI380" s="11">
        <f>IFERROR(__xludf.DUMMYFUNCTION("""COMPUTED_VALUE"""),400000.0)</f>
        <v>400000</v>
      </c>
      <c r="AJ380" s="4" t="str">
        <f>IFERROR(__xludf.DUMMYFUNCTION("""COMPUTED_VALUE"""),"sagres")</f>
        <v>sagres</v>
      </c>
      <c r="AK380" s="4" t="str">
        <f>IFERROR(__xludf.DUMMYFUNCTION("""COMPUTED_VALUE"""),"balcao, delivery e salão")</f>
        <v>balcao, delivery e salão</v>
      </c>
      <c r="AL380" s="4" t="str">
        <f>IFERROR(__xludf.DUMMYFUNCTION("""COMPUTED_VALUE"""),"SIM")</f>
        <v>SIM</v>
      </c>
      <c r="AM380" s="4" t="str">
        <f>IFERROR(__xludf.DUMMYFUNCTION("""COMPUTED_VALUE"""),"FY26, FY27")</f>
        <v>FY26, FY27</v>
      </c>
      <c r="AN380" s="4"/>
      <c r="AO380" s="4" t="str">
        <f>IFERROR(__xludf.DUMMYFUNCTION("""COMPUTED_VALUE"""),"#VALUE!")</f>
        <v>#VALUE!</v>
      </c>
      <c r="AP380" s="4">
        <f>IFERROR(__xludf.DUMMYFUNCTION("""COMPUTED_VALUE"""),0.0)</f>
        <v>0</v>
      </c>
      <c r="AQ380" s="4">
        <f>IFERROR(__xludf.DUMMYFUNCTION("""COMPUTED_VALUE"""),0.0)</f>
        <v>0</v>
      </c>
      <c r="AR380" s="4">
        <f>IFERROR(__xludf.DUMMYFUNCTION("""COMPUTED_VALUE"""),0.0)</f>
        <v>0</v>
      </c>
      <c r="AS380" s="4">
        <f>IFERROR(__xludf.DUMMYFUNCTION("""COMPUTED_VALUE"""),0.0)</f>
        <v>0</v>
      </c>
      <c r="AT380" s="4">
        <f>IFERROR(__xludf.DUMMYFUNCTION("""COMPUTED_VALUE"""),0.0)</f>
        <v>0</v>
      </c>
      <c r="AU380" s="4" t="str">
        <f>IFERROR(__xludf.DUMMYFUNCTION("""COMPUTED_VALUE"""),"Iza")</f>
        <v>Iza</v>
      </c>
      <c r="AV380" s="4" t="str">
        <f>IFERROR(__xludf.DUMMYFUNCTION("""COMPUTED_VALUE"""),"Comer Fora-")</f>
        <v>Comer Fora-</v>
      </c>
      <c r="AW380" s="4"/>
      <c r="AX380" s="4"/>
      <c r="AY380" s="4">
        <f>IFERROR(__xludf.DUMMYFUNCTION("""COMPUTED_VALUE"""),0.0)</f>
        <v>0</v>
      </c>
      <c r="AZ380" s="4" t="str">
        <f>IFERROR(__xludf.DUMMYFUNCTION("""COMPUTED_VALUE"""),"NA")</f>
        <v>NA</v>
      </c>
      <c r="BA380" s="4" t="str">
        <f>IFERROR(__xludf.DUMMYFUNCTION("""COMPUTED_VALUE"""),"R$ 65-90")</f>
        <v>R$ 65-90</v>
      </c>
      <c r="BB380" s="4" t="str">
        <f>IFERROR(__xludf.DUMMYFUNCTION("""COMPUTED_VALUE"""),"Full Service Bar - Coquetelaria + Burgers + Entretenimento")</f>
        <v>Full Service Bar - Coquetelaria + Burgers + Entretenimento</v>
      </c>
      <c r="BC380" s="4" t="str">
        <f>IFERROR(__xludf.DUMMYFUNCTION("""COMPUTED_VALUE"""),"Matriz: Curitiba/PR. 28 unidades em PR, RS, SC, SP. Meta: 45 unidades até fim de 2026. Expansão para MG, RJ, MT, MS, Nordeste")</f>
        <v>Matriz: Curitiba/PR. 28 unidades em PR, RS, SC, SP. Meta: 45 unidades até fim de 2026. Expansão para MG, RJ, MT, MS, Nordeste</v>
      </c>
      <c r="BD380" s="4" t="str">
        <f>IFERROR(__xludf.DUMMYFUNCTION("""COMPUTED_VALUE"""),"R$ 60 milhões projetados para 2026 (+30% vs 2025). Faturamento médio R$ 140-350k/mês por unidade. Payback médio 14 meses")</f>
        <v>R$ 60 milhões projetados para 2026 (+30% vs 2025). Faturamento médio R$ 140-350k/mês por unidade. Payback médio 14 meses</v>
      </c>
      <c r="BE380" s="4">
        <f>IFERROR(__xludf.DUMMYFUNCTION("""COMPUTED_VALUE"""),82.0)</f>
        <v>82</v>
      </c>
      <c r="BF380" s="4">
        <f>IFERROR(__xludf.DUMMYFUNCTION("""COMPUTED_VALUE"""),0.86)</f>
        <v>0.86</v>
      </c>
      <c r="BG380" s="4" t="str">
        <f>IFERROR(__xludf.DUMMYFUNCTION("""COMPUTED_VALUE"""),"PDV atual não identificado. Operação de bar com delivery significativo (R$ 100k/mês só delivery em algumas unidades). 3S pode integrar PDV de mesa + bar + cozinha + delivery, unificando operação complexa. E-Deploy crucial para expansão agressiva 2026.")</f>
        <v>PDV atual não identificado. Operação de bar com delivery significativo (R$ 100k/mês só delivery em algumas unidades). 3S pode integrar PDV de mesa + bar + cozinha + delivery, unificando operação complexa. E-Deploy crucial para expansão agressiva 2026.</v>
      </c>
      <c r="BH380" s="4" t="s">
        <v>63</v>
      </c>
      <c r="BI380" s="7" t="s">
        <v>63</v>
      </c>
    </row>
    <row r="381" hidden="1">
      <c r="A381" s="4" t="str">
        <f>IFERROR(__xludf.DUMMYFUNCTION("""COMPUTED_VALUE"""),"Jappa da Quitanda")</f>
        <v>Jappa da Quitanda</v>
      </c>
      <c r="B381" s="4" t="str">
        <f>IFERROR(__xludf.DUMMYFUNCTION("""COMPUTED_VALUE"""),"Lídia Esteves")</f>
        <v>Lídia Esteves</v>
      </c>
      <c r="C381" s="4" t="str">
        <f>IFERROR(__xludf.DUMMYFUNCTION("""COMPUTED_VALUE"""),"Gabriela Roma")</f>
        <v>Gabriela Roma</v>
      </c>
      <c r="D381" s="4" t="str">
        <f>IFERROR(__xludf.DUMMYFUNCTION("""COMPUTED_VALUE"""),"10. Perdido")</f>
        <v>10. Perdido</v>
      </c>
      <c r="E381" s="4" t="str">
        <f>IFERROR(__xludf.DUMMYFUNCTION("""COMPUTED_VALUE"""),"Perdido - Fechou com concorrente")</f>
        <v>Perdido - Fechou com concorrente</v>
      </c>
      <c r="F381" s="4" t="str">
        <f>IFERROR(__xludf.DUMMYFUNCTION("""COMPUTED_VALUE"""),"P")</f>
        <v>P</v>
      </c>
      <c r="G381" s="5">
        <f>IFERROR(__xludf.DUMMYFUNCTION("""COMPUTED_VALUE"""),46154.0)</f>
        <v>46154</v>
      </c>
      <c r="H381" s="4" t="str">
        <f>IFERROR(__xludf.DUMMYFUNCTION("""COMPUTED_VALUE"""),"Parceiro decidiu fechar com teknisa pois tem receio de fechar com uma empresa que foi recém comprada por outra.Parceiro é cliente do emilia vision.")</f>
        <v>Parceiro decidiu fechar com teknisa pois tem receio de fechar com uma empresa que foi recém comprada por outra.Parceiro é cliente do emilia vision.</v>
      </c>
      <c r="I381" s="4"/>
      <c r="J381" s="6">
        <f>IFERROR(__xludf.DUMMYFUNCTION("""COMPUTED_VALUE"""),46084.6667571412)</f>
        <v>46084.66676</v>
      </c>
      <c r="K381" s="6">
        <f>IFERROR(__xludf.DUMMYFUNCTION("""COMPUTED_VALUE"""),46084.66681405093)</f>
        <v>46084.66681</v>
      </c>
      <c r="L381" s="6">
        <f>IFERROR(__xludf.DUMMYFUNCTION("""COMPUTED_VALUE"""),46084.66686950231)</f>
        <v>46084.66687</v>
      </c>
      <c r="M381" s="6">
        <f>IFERROR(__xludf.DUMMYFUNCTION("""COMPUTED_VALUE"""),46084.66691677083)</f>
        <v>46084.66692</v>
      </c>
      <c r="N381" s="6">
        <f>IFERROR(__xludf.DUMMYFUNCTION("""COMPUTED_VALUE"""),46084.66701513889)</f>
        <v>46084.66702</v>
      </c>
      <c r="O381" s="4"/>
      <c r="P381" s="4"/>
      <c r="Q381" s="4"/>
      <c r="R381" s="6">
        <f>IFERROR(__xludf.DUMMYFUNCTION("""COMPUTED_VALUE"""),46154.433460138884)</f>
        <v>46154.43346</v>
      </c>
      <c r="S381" s="4"/>
      <c r="T381" s="4"/>
      <c r="U381" s="4"/>
      <c r="V381" s="4" t="str">
        <f>IFERROR(__xludf.DUMMYFUNCTION("""COMPUTED_VALUE"""),"Em negociação com outro PDV")</f>
        <v>Em negociação com outro PDV</v>
      </c>
      <c r="W381" s="4"/>
      <c r="X381" s="4"/>
      <c r="Y381" s="4"/>
      <c r="Z381" s="4"/>
      <c r="AA381" s="4">
        <f>IFERROR(__xludf.DUMMYFUNCTION("""COMPUTED_VALUE"""),7.0)</f>
        <v>7</v>
      </c>
      <c r="AB381" s="4" t="str">
        <f>IFERROR(__xludf.DUMMYFUNCTION("""COMPUTED_VALUE"""),"Não")</f>
        <v>Não</v>
      </c>
      <c r="AC381" s="4" t="str">
        <f>IFERROR(__xludf.DUMMYFUNCTION("""COMPUTED_VALUE"""),"Não")</f>
        <v>Não</v>
      </c>
      <c r="AD381" s="4"/>
      <c r="AE381" s="4"/>
      <c r="AF381" s="4"/>
      <c r="AG381" s="4"/>
      <c r="AH381" s="4"/>
      <c r="AI381" s="4"/>
      <c r="AJ381" s="4"/>
      <c r="AK381" s="4"/>
      <c r="AL381" s="4"/>
      <c r="AM381" s="4" t="str">
        <f>IFERROR(__xludf.DUMMYFUNCTION("""COMPUTED_VALUE"""),"FY26, FY27")</f>
        <v>FY26, FY27</v>
      </c>
      <c r="AN381" s="4"/>
      <c r="AO381" s="4">
        <f>IFERROR(__xludf.DUMMYFUNCTION("""COMPUTED_VALUE"""),61.0)</f>
        <v>61</v>
      </c>
      <c r="AP381" s="4">
        <f>IFERROR(__xludf.DUMMYFUNCTION("""COMPUTED_VALUE"""),0.0)</f>
        <v>0</v>
      </c>
      <c r="AQ381" s="4">
        <f>IFERROR(__xludf.DUMMYFUNCTION("""COMPUTED_VALUE"""),0.0)</f>
        <v>0</v>
      </c>
      <c r="AR381" s="4">
        <f>IFERROR(__xludf.DUMMYFUNCTION("""COMPUTED_VALUE"""),0.0)</f>
        <v>0</v>
      </c>
      <c r="AS381" s="4">
        <f>IFERROR(__xludf.DUMMYFUNCTION("""COMPUTED_VALUE"""),0.0)</f>
        <v>0</v>
      </c>
      <c r="AT381" s="4">
        <f>IFERROR(__xludf.DUMMYFUNCTION("""COMPUTED_VALUE"""),0.0)</f>
        <v>0</v>
      </c>
      <c r="AU381" s="4" t="str">
        <f>IFERROR(__xludf.DUMMYFUNCTION("""COMPUTED_VALUE"""),"Ana")</f>
        <v>Ana</v>
      </c>
      <c r="AV381" s="4">
        <f>IFERROR(__xludf.DUMMYFUNCTION("""COMPUTED_VALUE"""),0.0)</f>
        <v>0</v>
      </c>
      <c r="AW381" s="4">
        <f>IFERROR(__xludf.DUMMYFUNCTION("""COMPUTED_VALUE"""),0.0)</f>
        <v>0</v>
      </c>
      <c r="AX381" s="4">
        <f>IFERROR(__xludf.DUMMYFUNCTION("""COMPUTED_VALUE"""),0.0)</f>
        <v>0</v>
      </c>
      <c r="AY381" s="4"/>
      <c r="AZ381" s="4" t="str">
        <f>IFERROR(__xludf.DUMMYFUNCTION("""COMPUTED_VALUE"""),"NA")</f>
        <v>NA</v>
      </c>
      <c r="BA381" s="4" t="str">
        <f>IFERROR(__xludf.DUMMYFUNCTION("""COMPUTED_VALUE"""),"R$ 70-100 (rodízio R$ 50-70)")</f>
        <v>R$ 70-100 (rodízio R$ 50-70)</v>
      </c>
      <c r="BB381" s="4" t="str">
        <f>IFERROR(__xludf.DUMMYFUNCTION("""COMPUTED_VALUE"""),"Fast Casual - Restaurante Japonês com rodízio")</f>
        <v>Fast Casual - Restaurante Japonês com rodízio</v>
      </c>
      <c r="BC381" s="4" t="str">
        <f>IFERROR(__xludf.DUMMYFUNCTION("""COMPUTED_VALUE"""),"Rio de Janeiro/RJ e São Paulo/SP. 5 unidades no RJ (Centro, Copacabana, Ipanema, Barra Shopping, Vogue Square), 1 Niterói, 1 SP (Shopping Anália Franco). Atende 65k clientes/mês")</f>
        <v>Rio de Janeiro/RJ e São Paulo/SP. 5 unidades no RJ (Centro, Copacabana, Ipanema, Barra Shopping, Vogue Square), 1 Niterói, 1 SP (Shopping Anália Franco). Atende 65k clientes/mês</v>
      </c>
      <c r="BD381" s="4" t="str">
        <f>IFERROR(__xludf.DUMMYFUNCTION("""COMPUTED_VALUE"""),"Dado não disponível publicamente - Necessário Discovery. 20 toneladas de salmão/mês indicam alto volume")</f>
        <v>Dado não disponível publicamente - Necessário Discovery. 20 toneladas de salmão/mês indicam alto volume</v>
      </c>
      <c r="BE381" s="4">
        <f>IFERROR(__xludf.DUMMYFUNCTION("""COMPUTED_VALUE"""),64.0)</f>
        <v>64</v>
      </c>
      <c r="BF381" s="4">
        <f>IFERROR(__xludf.DUMMYFUNCTION("""COMPUTED_VALUE"""),0.68)</f>
        <v>0.68</v>
      </c>
      <c r="BG381" s="4" t="str">
        <f>IFERROR(__xludf.DUMMYFUNCTION("""COMPUTED_VALUE"""),"PDV atual não identificado. Operação de rodízio com alto volume (65k clientes/mês) requer PDV ágil para controle de entrada/saída e gestão de estoque (20t salmão/mês). 3S oferece solução para rodízio + delivery + dark kitchens.")</f>
        <v>PDV atual não identificado. Operação de rodízio com alto volume (65k clientes/mês) requer PDV ágil para controle de entrada/saída e gestão de estoque (20t salmão/mês). 3S oferece solução para rodízio + delivery + dark kitchens.</v>
      </c>
      <c r="BH381" s="4" t="s">
        <v>63</v>
      </c>
      <c r="BI381" s="7" t="s">
        <v>63</v>
      </c>
    </row>
    <row r="382" hidden="1">
      <c r="A382" s="4" t="str">
        <f>IFERROR(__xludf.DUMMYFUNCTION("""COMPUTED_VALUE"""),"Jardim De Napoli")</f>
        <v>Jardim De Napoli</v>
      </c>
      <c r="B382" s="4" t="str">
        <f>IFERROR(__xludf.DUMMYFUNCTION("""COMPUTED_VALUE"""),"João Biagiotti")</f>
        <v>João Biagiotti</v>
      </c>
      <c r="C382" s="4" t="str">
        <f>IFERROR(__xludf.DUMMYFUNCTION("""COMPUTED_VALUE"""),"Diego Santos")</f>
        <v>Diego Santos</v>
      </c>
      <c r="D382" s="4" t="str">
        <f>IFERROR(__xludf.DUMMYFUNCTION("""COMPUTED_VALUE"""),"13. Reativado")</f>
        <v>13. Reativado</v>
      </c>
      <c r="E382" s="4" t="str">
        <f>IFERROR(__xludf.DUMMYFUNCTION("""COMPUTED_VALUE"""),"Delivery - Momento inadequado de abordagem (ex. 99)")</f>
        <v>Delivery - Momento inadequado de abordagem (ex. 99)</v>
      </c>
      <c r="F382" s="4" t="str">
        <f>IFERROR(__xludf.DUMMYFUNCTION("""COMPUTED_VALUE"""),"P")</f>
        <v>P</v>
      </c>
      <c r="G382" s="5">
        <f>IFERROR(__xludf.DUMMYFUNCTION("""COMPUTED_VALUE"""),46096.0)</f>
        <v>46096</v>
      </c>
      <c r="H382" s="4" t="str">
        <f>IFERROR(__xludf.DUMMYFUNCTION("""COMPUTED_VALUE"""),"Houve mudança de carteira, vou tentar de novo contato pois na primeira vez não houve abertura para salão. fup: 15/03/26")</f>
        <v>Houve mudança de carteira, vou tentar de novo contato pois na primeira vez não houve abertura para salão. fup: 15/03/26</v>
      </c>
      <c r="I382" s="4"/>
      <c r="J382" s="4"/>
      <c r="K382" s="4"/>
      <c r="L382" s="4"/>
      <c r="M382" s="4"/>
      <c r="N382" s="4"/>
      <c r="O382" s="4"/>
      <c r="P382" s="4"/>
      <c r="Q382" s="4"/>
      <c r="R382" s="4"/>
      <c r="S382" s="6">
        <f>IFERROR(__xludf.DUMMYFUNCTION("""COMPUTED_VALUE"""),46057.63863263889)</f>
        <v>46057.63863</v>
      </c>
      <c r="T382" s="4"/>
      <c r="U382" s="6">
        <f>IFERROR(__xludf.DUMMYFUNCTION("""COMPUTED_VALUE"""),46128.65593896991)</f>
        <v>46128.65594</v>
      </c>
      <c r="V382" s="4" t="str">
        <f>IFERROR(__xludf.DUMMYFUNCTION("""COMPUTED_VALUE"""),"Outros")</f>
        <v>Outros</v>
      </c>
      <c r="W382" s="4"/>
      <c r="X382" s="4"/>
      <c r="Y382" s="4"/>
      <c r="Z382" s="4"/>
      <c r="AA382" s="4">
        <f>IFERROR(__xludf.DUMMYFUNCTION("""COMPUTED_VALUE"""),3.0)</f>
        <v>3</v>
      </c>
      <c r="AB382" s="4" t="str">
        <f>IFERROR(__xludf.DUMMYFUNCTION("""COMPUTED_VALUE"""),"NÃO")</f>
        <v>NÃO</v>
      </c>
      <c r="AC382" s="4" t="str">
        <f>IFERROR(__xludf.DUMMYFUNCTION("""COMPUTED_VALUE"""),"BP")</f>
        <v>BP</v>
      </c>
      <c r="AD382" s="4"/>
      <c r="AE382" s="4"/>
      <c r="AF382" s="4"/>
      <c r="AG382" s="4"/>
      <c r="AH382" s="4"/>
      <c r="AI382" s="4"/>
      <c r="AJ382" s="4"/>
      <c r="AK382" s="4"/>
      <c r="AL382" s="4"/>
      <c r="AM382" s="4" t="str">
        <f>IFERROR(__xludf.DUMMYFUNCTION("""COMPUTED_VALUE"""),"FY26, FY27")</f>
        <v>FY26, FY27</v>
      </c>
      <c r="AN382" s="4"/>
      <c r="AO382" s="4">
        <f>IFERROR(__xludf.DUMMYFUNCTION("""COMPUTED_VALUE"""),118.0)</f>
        <v>118</v>
      </c>
      <c r="AP382" s="4">
        <f>IFERROR(__xludf.DUMMYFUNCTION("""COMPUTED_VALUE"""),0.0)</f>
        <v>0</v>
      </c>
      <c r="AQ382" s="4">
        <f>IFERROR(__xludf.DUMMYFUNCTION("""COMPUTED_VALUE"""),0.0)</f>
        <v>0</v>
      </c>
      <c r="AR382" s="4">
        <f>IFERROR(__xludf.DUMMYFUNCTION("""COMPUTED_VALUE"""),0.0)</f>
        <v>0</v>
      </c>
      <c r="AS382" s="4">
        <f>IFERROR(__xludf.DUMMYFUNCTION("""COMPUTED_VALUE"""),0.0)</f>
        <v>0</v>
      </c>
      <c r="AT382" s="4">
        <f>IFERROR(__xludf.DUMMYFUNCTION("""COMPUTED_VALUE"""),0.0)</f>
        <v>0</v>
      </c>
      <c r="AU382" s="4" t="str">
        <f>IFERROR(__xludf.DUMMYFUNCTION("""COMPUTED_VALUE"""),"Ana")</f>
        <v>Ana</v>
      </c>
      <c r="AV382" s="4">
        <f>IFERROR(__xludf.DUMMYFUNCTION("""COMPUTED_VALUE"""),0.0)</f>
        <v>0</v>
      </c>
      <c r="AW382" s="4">
        <f>IFERROR(__xludf.DUMMYFUNCTION("""COMPUTED_VALUE"""),0.0)</f>
        <v>0</v>
      </c>
      <c r="AX382" s="4">
        <f>IFERROR(__xludf.DUMMYFUNCTION("""COMPUTED_VALUE"""),0.0)</f>
        <v>0</v>
      </c>
      <c r="AY382" s="4"/>
      <c r="AZ382" s="4" t="str">
        <f>IFERROR(__xludf.DUMMYFUNCTION("""COMPUTED_VALUE"""),"#N/A")</f>
        <v>#N/A</v>
      </c>
      <c r="BA382" s="4" t="str">
        <f>IFERROR(__xludf.DUMMYFUNCTION("""COMPUTED_VALUE"""),"R$ 70-110")</f>
        <v>R$ 70-110</v>
      </c>
      <c r="BB382" s="4" t="str">
        <f>IFERROR(__xludf.DUMMYFUNCTION("""COMPUTED_VALUE"""),"Table Service - Cantina Italiana tradicional")</f>
        <v>Table Service - Cantina Italiana tradicional</v>
      </c>
      <c r="BC382" s="4" t="str">
        <f>IFERROR(__xludf.DUMMYFUNCTION("""COMPUTED_VALUE"""),"São Paulo/SP. 2 unidades (Higienópolis, Vila Buarque). Operação familiar desde 1949, sem evidência de expansão")</f>
        <v>São Paulo/SP. 2 unidades (Higienópolis, Vila Buarque). Operação familiar desde 1949, sem evidência de expansão</v>
      </c>
      <c r="BD382" s="4" t="str">
        <f>IFERROR(__xludf.DUMMYFUNCTION("""COMPUTED_VALUE"""),"Dado não disponível publicamente - Necessário Discovery")</f>
        <v>Dado não disponível publicamente - Necessário Discovery</v>
      </c>
      <c r="BE382" s="4">
        <f>IFERROR(__xludf.DUMMYFUNCTION("""COMPUTED_VALUE"""),38.0)</f>
        <v>38</v>
      </c>
      <c r="BF382" s="4">
        <f>IFERROR(__xludf.DUMMYFUNCTION("""COMPUTED_VALUE"""),0.42)</f>
        <v>0.42</v>
      </c>
      <c r="BG382" s="4" t="str">
        <f>IFERROR(__xludf.DUMMYFUNCTION("""COMPUTED_VALUE"""),"PDV atual não identificado. Operação tradicional familiar sem ambição de crescimento. Baixa aderência à 3S por ser operação pequena e estável. Solução atual provavelmente atende necessidades.")</f>
        <v>PDV atual não identificado. Operação tradicional familiar sem ambição de crescimento. Baixa aderência à 3S por ser operação pequena e estável. Solução atual provavelmente atende necessidades.</v>
      </c>
      <c r="BH382" s="4" t="s">
        <v>118</v>
      </c>
      <c r="BI382" s="7">
        <v>1.0</v>
      </c>
    </row>
    <row r="383" hidden="1">
      <c r="A383" s="4" t="str">
        <f>IFERROR(__xludf.DUMMYFUNCTION("""COMPUTED_VALUE"""),"Joe Pizzaria - Marca")</f>
        <v>Joe Pizzaria - Marca</v>
      </c>
      <c r="B383" s="4" t="str">
        <f>IFERROR(__xludf.DUMMYFUNCTION("""COMPUTED_VALUE"""),"Lídia Esteves")</f>
        <v>Lídia Esteves</v>
      </c>
      <c r="C383" s="4" t="str">
        <f>IFERROR(__xludf.DUMMYFUNCTION("""COMPUTED_VALUE"""),"Gabriela Roma")</f>
        <v>Gabriela Roma</v>
      </c>
      <c r="D383" s="4" t="str">
        <f>IFERROR(__xludf.DUMMYFUNCTION("""COMPUTED_VALUE"""),"0. Não Iniciado")</f>
        <v>0. Não Iniciado</v>
      </c>
      <c r="E383" s="4" t="str">
        <f>IFERROR(__xludf.DUMMYFUNCTION("""COMPUTED_VALUE"""),"Delivery - Aguardando retorno / Conciliação agenda")</f>
        <v>Delivery - Aguardando retorno / Conciliação agenda</v>
      </c>
      <c r="F383" s="4" t="str">
        <f>IFERROR(__xludf.DUMMYFUNCTION("""COMPUTED_VALUE"""),"P")</f>
        <v>P</v>
      </c>
      <c r="G383" s="4"/>
      <c r="H383" s="4"/>
      <c r="I383" s="4"/>
      <c r="J383" s="4"/>
      <c r="K383" s="4"/>
      <c r="L383" s="4"/>
      <c r="M383" s="4"/>
      <c r="N383" s="4"/>
      <c r="O383" s="4"/>
      <c r="P383" s="4"/>
      <c r="Q383" s="4"/>
      <c r="R383" s="4"/>
      <c r="S383" s="4"/>
      <c r="T383" s="4"/>
      <c r="U383" s="4"/>
      <c r="V383" s="4"/>
      <c r="W383" s="4"/>
      <c r="X383" s="4"/>
      <c r="Y383" s="4"/>
      <c r="Z383" s="4"/>
      <c r="AA383" s="4">
        <f>IFERROR(__xludf.DUMMYFUNCTION("""COMPUTED_VALUE"""),2.0)</f>
        <v>2</v>
      </c>
      <c r="AB383" s="4" t="str">
        <f>IFERROR(__xludf.DUMMYFUNCTION("""COMPUTED_VALUE"""),"-")</f>
        <v>-</v>
      </c>
      <c r="AC383" s="4" t="str">
        <f>IFERROR(__xludf.DUMMYFUNCTION("""COMPUTED_VALUE"""),"-")</f>
        <v>-</v>
      </c>
      <c r="AD383" s="4"/>
      <c r="AE383" s="4"/>
      <c r="AF383" s="4"/>
      <c r="AG383" s="4"/>
      <c r="AH383" s="4"/>
      <c r="AI383" s="4"/>
      <c r="AJ383" s="4"/>
      <c r="AK383" s="4"/>
      <c r="AL383" s="4"/>
      <c r="AM383" s="4" t="str">
        <f>IFERROR(__xludf.DUMMYFUNCTION("""COMPUTED_VALUE"""),"FY26, FY27")</f>
        <v>FY26, FY27</v>
      </c>
      <c r="AN383" s="4"/>
      <c r="AO383" s="4">
        <f>IFERROR(__xludf.DUMMYFUNCTION("""COMPUTED_VALUE"""),45553.0)</f>
        <v>45553</v>
      </c>
      <c r="AP383" s="4" t="str">
        <f>IFERROR(__xludf.DUMMYFUNCTION("""COMPUTED_VALUE"""),"PR")</f>
        <v>PR</v>
      </c>
      <c r="AQ383" s="4" t="str">
        <f>IFERROR(__xludf.DUMMYFUNCTION("""COMPUTED_VALUE"""),"PAULA VERDASCA")</f>
        <v>PAULA VERDASCA</v>
      </c>
      <c r="AR383" s="4" t="str">
        <f>IFERROR(__xludf.DUMMYFUNCTION("""COMPUTED_VALUE"""),"FERNANDA ABRANTES")</f>
        <v>FERNANDA ABRANTES</v>
      </c>
      <c r="AS383" s="4" t="str">
        <f>IFERROR(__xludf.DUMMYFUNCTION("""COMPUTED_VALUE"""),"FABIO DONATO")</f>
        <v>FABIO DONATO</v>
      </c>
      <c r="AT383" s="4" t="str">
        <f>IFERROR(__xludf.DUMMYFUNCTION("""COMPUTED_VALUE"""),"MURILO NAGASHIMA")</f>
        <v>MURILO NAGASHIMA</v>
      </c>
      <c r="AU383" s="4" t="str">
        <f>IFERROR(__xludf.DUMMYFUNCTION("""COMPUTED_VALUE"""),"Lídia / Emerson")</f>
        <v>Lídia / Emerson</v>
      </c>
      <c r="AV383" s="4">
        <f>IFERROR(__xludf.DUMMYFUNCTION("""COMPUTED_VALUE"""),0.0)</f>
        <v>0</v>
      </c>
      <c r="AW383" s="4">
        <f>IFERROR(__xludf.DUMMYFUNCTION("""COMPUTED_VALUE"""),0.0)</f>
        <v>0</v>
      </c>
      <c r="AX383" s="4">
        <f>IFERROR(__xludf.DUMMYFUNCTION("""COMPUTED_VALUE"""),0.0)</f>
        <v>0</v>
      </c>
      <c r="AY383" s="4"/>
      <c r="AZ383" s="4" t="str">
        <f>IFERROR(__xludf.DUMMYFUNCTION("""COMPUTED_VALUE"""),"Variada")</f>
        <v>Variada</v>
      </c>
      <c r="BA383" s="4" t="str">
        <f>IFERROR(__xludf.DUMMYFUNCTION("""COMPUTED_VALUE"""),"")</f>
        <v/>
      </c>
      <c r="BB383" s="4" t="str">
        <f>IFERROR(__xludf.DUMMYFUNCTION("""COMPUTED_VALUE"""),"")</f>
        <v/>
      </c>
      <c r="BC383" s="4" t="str">
        <f>IFERROR(__xludf.DUMMYFUNCTION("""COMPUTED_VALUE"""),"")</f>
        <v/>
      </c>
      <c r="BD383" s="4" t="str">
        <f>IFERROR(__xludf.DUMMYFUNCTION("""COMPUTED_VALUE"""),"")</f>
        <v/>
      </c>
      <c r="BE383" s="4" t="str">
        <f>IFERROR(__xludf.DUMMYFUNCTION("""COMPUTED_VALUE"""),"")</f>
        <v/>
      </c>
      <c r="BF383" s="4" t="str">
        <f>IFERROR(__xludf.DUMMYFUNCTION("""COMPUTED_VALUE"""),"")</f>
        <v/>
      </c>
      <c r="BG383" s="4" t="str">
        <f>IFERROR(__xludf.DUMMYFUNCTION("""COMPUTED_VALUE"""),"")</f>
        <v/>
      </c>
      <c r="BH383" s="4" t="s">
        <v>63</v>
      </c>
      <c r="BI383" s="7" t="s">
        <v>63</v>
      </c>
    </row>
    <row r="384" hidden="1">
      <c r="A384" s="4" t="str">
        <f>IFERROR(__xludf.DUMMYFUNCTION("""COMPUTED_VALUE"""),"Johnny Joy")</f>
        <v>Johnny Joy</v>
      </c>
      <c r="B384" s="4" t="str">
        <f>IFERROR(__xludf.DUMMYFUNCTION("""COMPUTED_VALUE"""),"Lídia Esteves")</f>
        <v>Lídia Esteves</v>
      </c>
      <c r="C384" s="4" t="str">
        <f>IFERROR(__xludf.DUMMYFUNCTION("""COMPUTED_VALUE"""),"Gabriela Roma")</f>
        <v>Gabriela Roma</v>
      </c>
      <c r="D384" s="4" t="str">
        <f>IFERROR(__xludf.DUMMYFUNCTION("""COMPUTED_VALUE"""),"11. Stand by")</f>
        <v>11. Stand by</v>
      </c>
      <c r="E384" s="4" t="str">
        <f>IFERROR(__xludf.DUMMYFUNCTION("""COMPUTED_VALUE"""),"Perdido - Proposta comercial não aceita")</f>
        <v>Perdido - Proposta comercial não aceita</v>
      </c>
      <c r="F384" s="4" t="str">
        <f>IFERROR(__xludf.DUMMYFUNCTION("""COMPUTED_VALUE"""),"M")</f>
        <v>M</v>
      </c>
      <c r="G384" s="5">
        <f>IFERROR(__xludf.DUMMYFUNCTION("""COMPUTED_VALUE"""),46076.0)</f>
        <v>46076</v>
      </c>
      <c r="H384" s="4" t="str">
        <f>IFERROR(__xludf.DUMMYFUNCTION("""COMPUTED_VALUE"""),"Ainda aguardando dine in para iniciar piloto. Querem o CRM para iniciar, enquanto isso, é perdido.")</f>
        <v>Ainda aguardando dine in para iniciar piloto. Querem o CRM para iniciar, enquanto isso, é perdido.</v>
      </c>
      <c r="I384" s="4"/>
      <c r="J384" s="4"/>
      <c r="K384" s="6">
        <f>IFERROR(__xludf.DUMMYFUNCTION("""COMPUTED_VALUE"""),45917.0)</f>
        <v>45917</v>
      </c>
      <c r="L384" s="4"/>
      <c r="M384" s="4"/>
      <c r="N384" s="4"/>
      <c r="O384" s="4"/>
      <c r="P384" s="4"/>
      <c r="Q384" s="4"/>
      <c r="R384" s="4"/>
      <c r="S384" s="6">
        <f>IFERROR(__xludf.DUMMYFUNCTION("""COMPUTED_VALUE"""),46064.46923880787)</f>
        <v>46064.46924</v>
      </c>
      <c r="T384" s="4"/>
      <c r="U384" s="4"/>
      <c r="V384" s="4" t="str">
        <f>IFERROR(__xludf.DUMMYFUNCTION("""COMPUTED_VALUE"""),"Interesse apenas em Comer Fora")</f>
        <v>Interesse apenas em Comer Fora</v>
      </c>
      <c r="W384" s="4"/>
      <c r="X384" s="4"/>
      <c r="Y384" s="4"/>
      <c r="Z384" s="4"/>
      <c r="AA384" s="4">
        <f>IFERROR(__xludf.DUMMYFUNCTION("""COMPUTED_VALUE"""),58.0)</f>
        <v>58</v>
      </c>
      <c r="AB384" s="4" t="str">
        <f>IFERROR(__xludf.DUMMYFUNCTION("""COMPUTED_VALUE"""),"NÃO")</f>
        <v>NÃO</v>
      </c>
      <c r="AC384" s="4" t="str">
        <f>IFERROR(__xludf.DUMMYFUNCTION("""COMPUTED_VALUE"""),"Não BP")</f>
        <v>Não BP</v>
      </c>
      <c r="AD384" s="4"/>
      <c r="AE384" s="4"/>
      <c r="AF384" s="4"/>
      <c r="AG384" s="4"/>
      <c r="AH384" s="4"/>
      <c r="AI384" s="4"/>
      <c r="AJ384" s="4"/>
      <c r="AK384" s="4"/>
      <c r="AL384" s="4"/>
      <c r="AM384" s="4" t="str">
        <f>IFERROR(__xludf.DUMMYFUNCTION("""COMPUTED_VALUE"""),"FY26, FY27")</f>
        <v>FY26, FY27</v>
      </c>
      <c r="AN384" s="4" t="str">
        <f>IFERROR(__xludf.DUMMYFUNCTION("""COMPUTED_VALUE"""),"Comer Fora")</f>
        <v>Comer Fora</v>
      </c>
      <c r="AO384" s="4">
        <f>IFERROR(__xludf.DUMMYFUNCTION("""COMPUTED_VALUE"""),140.0)</f>
        <v>140</v>
      </c>
      <c r="AP384" s="4" t="str">
        <f>IFERROR(__xludf.DUMMYFUNCTION("""COMPUTED_VALUE"""),"SP")</f>
        <v>SP</v>
      </c>
      <c r="AQ384" s="4" t="str">
        <f>IFERROR(__xludf.DUMMYFUNCTION("""COMPUTED_VALUE"""),"RAFAEL ROSSATO")</f>
        <v>RAFAEL ROSSATO</v>
      </c>
      <c r="AR384" s="4" t="str">
        <f>IFERROR(__xludf.DUMMYFUNCTION("""COMPUTED_VALUE"""),"FELLIPE GUADAGNIN")</f>
        <v>FELLIPE GUADAGNIN</v>
      </c>
      <c r="AS384" s="4" t="str">
        <f>IFERROR(__xludf.DUMMYFUNCTION("""COMPUTED_VALUE"""),"THIAGO ROMAGNOLE")</f>
        <v>THIAGO ROMAGNOLE</v>
      </c>
      <c r="AT384" s="4" t="str">
        <f>IFERROR(__xludf.DUMMYFUNCTION("""COMPUTED_VALUE"""),"BRUNA TASSINARI")</f>
        <v>BRUNA TASSINARI</v>
      </c>
      <c r="AU384" s="4" t="str">
        <f>IFERROR(__xludf.DUMMYFUNCTION("""COMPUTED_VALUE"""),"Mariana")</f>
        <v>Mariana</v>
      </c>
      <c r="AV384" s="4" t="str">
        <f>IFERROR(__xludf.DUMMYFUNCTION("""COMPUTED_VALUE"""),"Comer Fora-Ativo na vitrine")</f>
        <v>Comer Fora-Ativo na vitrine</v>
      </c>
      <c r="AW384" s="20" t="str">
        <f>IFERROR(__xludf.DUMMYFUNCTION("""COMPUTED_VALUE"""),"P e M - pipe")</f>
        <v>P e M - pipe</v>
      </c>
      <c r="AX384" s="4"/>
      <c r="AY384" s="4"/>
      <c r="AZ384" s="4" t="str">
        <f>IFERROR(__xludf.DUMMYFUNCTION("""COMPUTED_VALUE"""),"Sorvetes")</f>
        <v>Sorvetes</v>
      </c>
      <c r="BA384" s="4" t="str">
        <f>IFERROR(__xludf.DUMMYFUNCTION("""COMPUTED_VALUE"""),"R$ 20-25")</f>
        <v>R$ 20-25</v>
      </c>
      <c r="BB384" s="4" t="str">
        <f>IFERROR(__xludf.DUMMYFUNCTION("""COMPUTED_VALUE"""),"QSR - Quick Service (Milkshakes gourmet em quiosques/shoppings)")</f>
        <v>QSR - Quick Service (Milkshakes gourmet em quiosques/shoppings)</v>
      </c>
      <c r="BC384" s="4" t="str">
        <f>IFERROR(__xludf.DUMMYFUNCTION("""COMPUTED_VALUE"""),"Matriz: Goiânia/GO. 50+ lojas em 18 estados, presença nos 50 maiores shoppings do Brasil. Distribuição nacional")</f>
        <v>Matriz: Goiânia/GO. 50+ lojas em 18 estados, presença nos 50 maiores shoppings do Brasil. Distribuição nacional</v>
      </c>
      <c r="BD384" s="4" t="str">
        <f>IFERROR(__xludf.DUMMYFUNCTION("""COMPUTED_VALUE"""),"R$ 66-198 milhões estimado (baseado em 50 lojas x R$ 120-350k/mês). Faturamento médio R$ 120k/mês por loja")</f>
        <v>R$ 66-198 milhões estimado (baseado em 50 lojas x R$ 120-350k/mês). Faturamento médio R$ 120k/mês por loja</v>
      </c>
      <c r="BE384" s="4">
        <f>IFERROR(__xludf.DUMMYFUNCTION("""COMPUTED_VALUE"""),76.0)</f>
        <v>76</v>
      </c>
      <c r="BF384" s="4">
        <f>IFERROR(__xludf.DUMMYFUNCTION("""COMPUTED_VALUE"""),0.8)</f>
        <v>0.8</v>
      </c>
      <c r="BG384" s="4" t="str">
        <f>IFERROR(__xludf.DUMMYFUNCTION("""COMPUTED_VALUE"""),"PDV atual não identificado. Operação de quiosques em shoppings com programa de fidelidade robusto (1 ponto por R$ 1). 3S pode integrar PDV com fidelidade e oferecer solução leve para quiosques. Expansão contínua favorece padronização.")</f>
        <v>PDV atual não identificado. Operação de quiosques em shoppings com programa de fidelidade robusto (1 ponto por R$ 1). 3S pode integrar PDV com fidelidade e oferecer solução leve para quiosques. Expansão contínua favorece padronização.</v>
      </c>
      <c r="BH384" s="4" t="s">
        <v>72</v>
      </c>
      <c r="BI384" s="7">
        <v>0.9591836734693877</v>
      </c>
    </row>
    <row r="385" hidden="1">
      <c r="A385" s="4" t="str">
        <f>IFERROR(__xludf.DUMMYFUNCTION("""COMPUTED_VALUE"""),"Johns Burguer")</f>
        <v>Johns Burguer</v>
      </c>
      <c r="B385" s="4" t="str">
        <f>IFERROR(__xludf.DUMMYFUNCTION("""COMPUTED_VALUE"""),"João Biagiotti")</f>
        <v>João Biagiotti</v>
      </c>
      <c r="C385" s="4" t="str">
        <f>IFERROR(__xludf.DUMMYFUNCTION("""COMPUTED_VALUE"""),"Emerson")</f>
        <v>Emerson</v>
      </c>
      <c r="D385" s="4" t="str">
        <f>IFERROR(__xludf.DUMMYFUNCTION("""COMPUTED_VALUE"""),"4. Diagnóstico")</f>
        <v>4. Diagnóstico</v>
      </c>
      <c r="E385" s="4"/>
      <c r="F385" s="4" t="str">
        <f>IFERROR(__xludf.DUMMYFUNCTION("""COMPUTED_VALUE"""),"P")</f>
        <v>P</v>
      </c>
      <c r="G385" s="5">
        <f>IFERROR(__xludf.DUMMYFUNCTION("""COMPUTED_VALUE"""),46120.0)</f>
        <v>46120</v>
      </c>
      <c r="H385" s="4" t="str">
        <f>IFERROR(__xludf.DUMMYFUNCTION("""COMPUTED_VALUE"""),"Emerson falou que está sendo tocado por ele e pelo michel. ")</f>
        <v>Emerson falou que está sendo tocado por ele e pelo michel. </v>
      </c>
      <c r="I385" s="4"/>
      <c r="J385" s="4"/>
      <c r="K385" s="6">
        <f>IFERROR(__xludf.DUMMYFUNCTION("""COMPUTED_VALUE"""),45899.0)</f>
        <v>45899</v>
      </c>
      <c r="L385" s="6">
        <f>IFERROR(__xludf.DUMMYFUNCTION("""COMPUTED_VALUE"""),46052.43680947917)</f>
        <v>46052.43681</v>
      </c>
      <c r="M385" s="4"/>
      <c r="N385" s="4"/>
      <c r="O385" s="4"/>
      <c r="P385" s="4"/>
      <c r="Q385" s="4"/>
      <c r="R385" s="6">
        <f>IFERROR(__xludf.DUMMYFUNCTION("""COMPUTED_VALUE"""),46120.650850439815)</f>
        <v>46120.65085</v>
      </c>
      <c r="S385" s="4"/>
      <c r="T385" s="4"/>
      <c r="U385" s="4"/>
      <c r="V385" s="4"/>
      <c r="W385" s="4"/>
      <c r="X385" s="4"/>
      <c r="Y385" s="4"/>
      <c r="Z385" s="4"/>
      <c r="AA385" s="4">
        <f>IFERROR(__xludf.DUMMYFUNCTION("""COMPUTED_VALUE"""),7.0)</f>
        <v>7</v>
      </c>
      <c r="AB385" s="4" t="str">
        <f>IFERROR(__xludf.DUMMYFUNCTION("""COMPUTED_VALUE"""),"NÃO")</f>
        <v>NÃO</v>
      </c>
      <c r="AC385" s="4" t="str">
        <f>IFERROR(__xludf.DUMMYFUNCTION("""COMPUTED_VALUE"""),"BP")</f>
        <v>BP</v>
      </c>
      <c r="AD385" s="4"/>
      <c r="AE385" s="4"/>
      <c r="AF385" s="4"/>
      <c r="AG385" s="4"/>
      <c r="AH385" s="4"/>
      <c r="AI385" s="4"/>
      <c r="AJ385" s="4"/>
      <c r="AK385" s="4"/>
      <c r="AL385" s="4"/>
      <c r="AM385" s="4" t="str">
        <f>IFERROR(__xludf.DUMMYFUNCTION("""COMPUTED_VALUE"""),"FY26, FY27")</f>
        <v>FY26, FY27</v>
      </c>
      <c r="AN385" s="4" t="str">
        <f>IFERROR(__xludf.DUMMYFUNCTION("""COMPUTED_VALUE"""),"Comer Fora")</f>
        <v>Comer Fora</v>
      </c>
      <c r="AO385" s="4">
        <f>IFERROR(__xludf.DUMMYFUNCTION("""COMPUTED_VALUE"""),95.0)</f>
        <v>95</v>
      </c>
      <c r="AP385" s="4" t="str">
        <f>IFERROR(__xludf.DUMMYFUNCTION("""COMPUTED_VALUE"""),"SP")</f>
        <v>SP</v>
      </c>
      <c r="AQ385" s="4" t="str">
        <f>IFERROR(__xludf.DUMMYFUNCTION("""COMPUTED_VALUE"""),"JULIA TAKEMOTO")</f>
        <v>JULIA TAKEMOTO</v>
      </c>
      <c r="AR385" s="4" t="str">
        <f>IFERROR(__xludf.DUMMYFUNCTION("""COMPUTED_VALUE"""),"PAULO ARAUJO")</f>
        <v>PAULO ARAUJO</v>
      </c>
      <c r="AS385" s="4" t="str">
        <f>IFERROR(__xludf.DUMMYFUNCTION("""COMPUTED_VALUE"""),"NATHALIE MERTENS")</f>
        <v>NATHALIE MERTENS</v>
      </c>
      <c r="AT385" s="4" t="str">
        <f>IFERROR(__xludf.DUMMYFUNCTION("""COMPUTED_VALUE"""),"MARIANA KATZ")</f>
        <v>MARIANA KATZ</v>
      </c>
      <c r="AU385" s="4" t="str">
        <f>IFERROR(__xludf.DUMMYFUNCTION("""COMPUTED_VALUE"""),"Ana")</f>
        <v>Ana</v>
      </c>
      <c r="AV385" s="4" t="str">
        <f>IFERROR(__xludf.DUMMYFUNCTION("""COMPUTED_VALUE"""),"Comer Fora-")</f>
        <v>Comer Fora-</v>
      </c>
      <c r="AW385" s="20" t="str">
        <f>IFERROR(__xludf.DUMMYFUNCTION("""COMPUTED_VALUE"""),"P e M - pipe")</f>
        <v>P e M - pipe</v>
      </c>
      <c r="AX385" s="4"/>
      <c r="AY385" s="4"/>
      <c r="AZ385" s="4" t="str">
        <f>IFERROR(__xludf.DUMMYFUNCTION("""COMPUTED_VALUE"""),"Marmita")</f>
        <v>Marmita</v>
      </c>
      <c r="BA385" s="4" t="str">
        <f>IFERROR(__xludf.DUMMYFUNCTION("""COMPUTED_VALUE"""),"R$ 35-50")</f>
        <v>R$ 35-50</v>
      </c>
      <c r="BB385" s="12" t="str">
        <f>IFERROR(__xludf.DUMMYFUNCTION("""COMPUTED_VALUE"""),"Fast Casual - Hamburgueria artesanal com dark kitchen")</f>
        <v>Fast Casual - Hamburgueria artesanal com dark kitchen</v>
      </c>
      <c r="BC385" s="4" t="str">
        <f>IFERROR(__xludf.DUMMYFUNCTION("""COMPUTED_VALUE"""),"São Paulo/SP. 2 unidades (Limão com salão, Mooca dark kitchen/delivery). Vende 24k hambúrgueres/mês. Operação local")</f>
        <v>São Paulo/SP. 2 unidades (Limão com salão, Mooca dark kitchen/delivery). Vende 24k hambúrgueres/mês. Operação local</v>
      </c>
      <c r="BD385" s="4" t="str">
        <f>IFERROR(__xludf.DUMMYFUNCTION("""COMPUTED_VALUE"""),"Dado não disponível publicamente - Necessário Discovery. Alto volume: 24k hambúrgueres/mês")</f>
        <v>Dado não disponível publicamente - Necessário Discovery. Alto volume: 24k hambúrgueres/mês</v>
      </c>
      <c r="BE385" s="4">
        <f>IFERROR(__xludf.DUMMYFUNCTION("""COMPUTED_VALUE"""),44.0)</f>
        <v>44</v>
      </c>
      <c r="BF385" s="4">
        <f>IFERROR(__xludf.DUMMYFUNCTION("""COMPUTED_VALUE"""),0.48)</f>
        <v>0.48</v>
      </c>
      <c r="BG385" s="4" t="str">
        <f>IFERROR(__xludf.DUMMYFUNCTION("""COMPUTED_VALUE"""),"PDV atual não identificado. Operação pequena mas com alto volume e modelo dark kitchen. 3S pode unificar PDV salão + dark kitchen + delivery, otimizando operação. Potencial se expandir.")</f>
        <v>PDV atual não identificado. Operação pequena mas com alto volume e modelo dark kitchen. 3S pode unificar PDV salão + dark kitchen + delivery, otimizando operação. Potencial se expandir.</v>
      </c>
      <c r="BH385" s="4" t="s">
        <v>71</v>
      </c>
      <c r="BI385" s="7">
        <v>0.7142857142857143</v>
      </c>
    </row>
    <row r="386" hidden="1">
      <c r="A386" s="4" t="str">
        <f>IFERROR(__xludf.DUMMYFUNCTION("""COMPUTED_VALUE"""),"Jojo Ramen")</f>
        <v>Jojo Ramen</v>
      </c>
      <c r="B386" s="4" t="str">
        <f>IFERROR(__xludf.DUMMYFUNCTION("""COMPUTED_VALUE"""),"João Biagiotti")</f>
        <v>João Biagiotti</v>
      </c>
      <c r="C386" s="4" t="str">
        <f>IFERROR(__xludf.DUMMYFUNCTION("""COMPUTED_VALUE"""),"Diego Santos")</f>
        <v>Diego Santos</v>
      </c>
      <c r="D386" s="4" t="str">
        <f>IFERROR(__xludf.DUMMYFUNCTION("""COMPUTED_VALUE"""),"0. Não Iniciado")</f>
        <v>0. Não Iniciado</v>
      </c>
      <c r="E386" s="4" t="str">
        <f>IFERROR(__xludf.DUMMYFUNCTION("""COMPUTED_VALUE"""),"Comercial - Tentativa não iniciada")</f>
        <v>Comercial - Tentativa não iniciada</v>
      </c>
      <c r="F386" s="4" t="str">
        <f>IFERROR(__xludf.DUMMYFUNCTION("""COMPUTED_VALUE"""),"P")</f>
        <v>P</v>
      </c>
      <c r="G386" s="5">
        <f>IFERROR(__xludf.DUMMYFUNCTION("""COMPUTED_VALUE"""),46076.0)</f>
        <v>46076</v>
      </c>
      <c r="H386" s="4" t="str">
        <f>IFERROR(__xludf.DUMMYFUNCTION("""COMPUTED_VALUE"""),"Nova abordagem.")</f>
        <v>Nova abordagem.</v>
      </c>
      <c r="I386" s="4"/>
      <c r="J386" s="4"/>
      <c r="K386" s="4"/>
      <c r="L386" s="4"/>
      <c r="M386" s="4"/>
      <c r="N386" s="4"/>
      <c r="O386" s="4"/>
      <c r="P386" s="4"/>
      <c r="Q386" s="4"/>
      <c r="R386" s="4"/>
      <c r="S386" s="4"/>
      <c r="T386" s="4"/>
      <c r="U386" s="4"/>
      <c r="V386" s="4"/>
      <c r="W386" s="4"/>
      <c r="X386" s="4"/>
      <c r="Y386" s="4"/>
      <c r="Z386" s="4"/>
      <c r="AA386" s="4">
        <f>IFERROR(__xludf.DUMMYFUNCTION("""COMPUTED_VALUE"""),2.0)</f>
        <v>2</v>
      </c>
      <c r="AB386" s="4" t="str">
        <f>IFERROR(__xludf.DUMMYFUNCTION("""COMPUTED_VALUE"""),"NÃO")</f>
        <v>NÃO</v>
      </c>
      <c r="AC386" s="4" t="str">
        <f>IFERROR(__xludf.DUMMYFUNCTION("""COMPUTED_VALUE"""),"Não BP")</f>
        <v>Não BP</v>
      </c>
      <c r="AD386" s="4"/>
      <c r="AE386" s="4"/>
      <c r="AF386" s="4"/>
      <c r="AG386" s="4"/>
      <c r="AH386" s="4"/>
      <c r="AI386" s="4"/>
      <c r="AJ386" s="4"/>
      <c r="AK386" s="4"/>
      <c r="AL386" s="4"/>
      <c r="AM386" s="4" t="str">
        <f>IFERROR(__xludf.DUMMYFUNCTION("""COMPUTED_VALUE"""),"FY26, FY27")</f>
        <v>FY26, FY27</v>
      </c>
      <c r="AN386" s="4" t="str">
        <f>IFERROR(__xludf.DUMMYFUNCTION("""COMPUTED_VALUE"""),"Comer Fora")</f>
        <v>Comer Fora</v>
      </c>
      <c r="AO386" s="4">
        <f>IFERROR(__xludf.DUMMYFUNCTION("""COMPUTED_VALUE"""),140.0)</f>
        <v>140</v>
      </c>
      <c r="AP386" s="4" t="str">
        <f>IFERROR(__xludf.DUMMYFUNCTION("""COMPUTED_VALUE"""),"SP")</f>
        <v>SP</v>
      </c>
      <c r="AQ386" s="4" t="str">
        <f>IFERROR(__xludf.DUMMYFUNCTION("""COMPUTED_VALUE"""),"RODRIGO BESSER")</f>
        <v>RODRIGO BESSER</v>
      </c>
      <c r="AR386" s="4" t="str">
        <f>IFERROR(__xludf.DUMMYFUNCTION("""COMPUTED_VALUE"""),"FERNANDA BENZZATTI")</f>
        <v>FERNANDA BENZZATTI</v>
      </c>
      <c r="AS386" s="4" t="str">
        <f>IFERROR(__xludf.DUMMYFUNCTION("""COMPUTED_VALUE"""),"NATHALIE MERTENS")</f>
        <v>NATHALIE MERTENS</v>
      </c>
      <c r="AT386" s="4" t="str">
        <f>IFERROR(__xludf.DUMMYFUNCTION("""COMPUTED_VALUE"""),"MARIANA KATZ")</f>
        <v>MARIANA KATZ</v>
      </c>
      <c r="AU386" s="4" t="str">
        <f>IFERROR(__xludf.DUMMYFUNCTION("""COMPUTED_VALUE"""),"Iza")</f>
        <v>Iza</v>
      </c>
      <c r="AV386" s="4" t="str">
        <f>IFERROR(__xludf.DUMMYFUNCTION("""COMPUTED_VALUE"""),"Comer Fora-")</f>
        <v>Comer Fora-</v>
      </c>
      <c r="AW386" s="20" t="str">
        <f>IFERROR(__xludf.DUMMYFUNCTION("""COMPUTED_VALUE"""),"P e M - pipe")</f>
        <v>P e M - pipe</v>
      </c>
      <c r="AX386" s="4"/>
      <c r="AY386" s="4"/>
      <c r="AZ386" s="4" t="str">
        <f>IFERROR(__xludf.DUMMYFUNCTION("""COMPUTED_VALUE"""),"Italiana")</f>
        <v>Italiana</v>
      </c>
      <c r="BA386" s="4" t="str">
        <f>IFERROR(__xludf.DUMMYFUNCTION("""COMPUTED_VALUE"""),"R$ 90-120")</f>
        <v>R$ 90-120</v>
      </c>
      <c r="BB386" s="4" t="str">
        <f>IFERROR(__xludf.DUMMYFUNCTION("""COMPUTED_VALUE"""),"Fast Casual Premium - Restaurante Japonês especializado em Ramen")</f>
        <v>Fast Casual Premium - Restaurante Japonês especializado em Ramen</v>
      </c>
      <c r="BC386" s="4" t="str">
        <f>IFERROR(__xludf.DUMMYFUNCTION("""COMPUTED_VALUE"""),"São Paulo/SP. 4 unidades (Paraíso, Santa Cecília, Vila Mariana/Jojo Lab, Pinheiros). Comemora 10 anos em 2026. Operação local premium")</f>
        <v>São Paulo/SP. 4 unidades (Paraíso, Santa Cecília, Vila Mariana/Jojo Lab, Pinheiros). Comemora 10 anos em 2026. Operação local premium</v>
      </c>
      <c r="BD386" s="4" t="str">
        <f>IFERROR(__xludf.DUMMYFUNCTION("""COMPUTED_VALUE"""),"Dado não disponível publicamente - Necessário Discovery. Serviu 60k tigelas em 6 meses (2016 inicial)")</f>
        <v>Dado não disponível publicamente - Necessário Discovery. Serviu 60k tigelas em 6 meses (2016 inicial)</v>
      </c>
      <c r="BE386" s="4">
        <f>IFERROR(__xludf.DUMMYFUNCTION("""COMPUTED_VALUE"""),58.0)</f>
        <v>58</v>
      </c>
      <c r="BF386" s="4">
        <f>IFERROR(__xludf.DUMMYFUNCTION("""COMPUTED_VALUE"""),0.62)</f>
        <v>0.62</v>
      </c>
      <c r="BG386" s="4" t="str">
        <f>IFERROR(__xludf.DUMMYFUNCTION("""COMPUTED_VALUE"""),"PDV atual não identificado. Operação premium com ramen master japonês, cardápio regional sofisticado. 3S pode oferecer PDV elegante com gestão de receitas complexas e ingredientes nobres. Potencial se expandir para RJ (planos antigos).")</f>
        <v>PDV atual não identificado. Operação premium com ramen master japonês, cardápio regional sofisticado. 3S pode oferecer PDV elegante com gestão de receitas complexas e ingredientes nobres. Potencial se expandir para RJ (planos antigos).</v>
      </c>
      <c r="BH386" s="4" t="s">
        <v>74</v>
      </c>
      <c r="BI386" s="7">
        <v>1.0</v>
      </c>
    </row>
    <row r="387" hidden="1">
      <c r="A387" s="4" t="str">
        <f>IFERROR(__xludf.DUMMYFUNCTION("""COMPUTED_VALUE"""),"Jsk Burguer")</f>
        <v>Jsk Burguer</v>
      </c>
      <c r="B387" s="4" t="str">
        <f>IFERROR(__xludf.DUMMYFUNCTION("""COMPUTED_VALUE"""),"João Biagiotti")</f>
        <v>João Biagiotti</v>
      </c>
      <c r="C387" s="4" t="str">
        <f>IFERROR(__xludf.DUMMYFUNCTION("""COMPUTED_VALUE"""),"Diego Santos")</f>
        <v>Diego Santos</v>
      </c>
      <c r="D387" s="4" t="str">
        <f>IFERROR(__xludf.DUMMYFUNCTION("""COMPUTED_VALUE"""),"0. Não Iniciado")</f>
        <v>0. Não Iniciado</v>
      </c>
      <c r="E387" s="4" t="str">
        <f>IFERROR(__xludf.DUMMYFUNCTION("""COMPUTED_VALUE"""),"Delivery - Aguardando retorno executivo")</f>
        <v>Delivery - Aguardando retorno executivo</v>
      </c>
      <c r="F387" s="4" t="str">
        <f>IFERROR(__xludf.DUMMYFUNCTION("""COMPUTED_VALUE"""),"P")</f>
        <v>P</v>
      </c>
      <c r="G387" s="5">
        <f>IFERROR(__xludf.DUMMYFUNCTION("""COMPUTED_VALUE"""),46076.0)</f>
        <v>46076</v>
      </c>
      <c r="H387" s="4" t="str">
        <f>IFERROR(__xludf.DUMMYFUNCTION("""COMPUTED_VALUE"""),"Pedi apoio do KA Paulo, aguardando devolutiva.")</f>
        <v>Pedi apoio do KA Paulo, aguardando devolutiva.</v>
      </c>
      <c r="I387" s="4"/>
      <c r="J387" s="4"/>
      <c r="K387" s="4"/>
      <c r="L387" s="4"/>
      <c r="M387" s="4"/>
      <c r="N387" s="4"/>
      <c r="O387" s="4"/>
      <c r="P387" s="4"/>
      <c r="Q387" s="4"/>
      <c r="R387" s="4"/>
      <c r="S387" s="4"/>
      <c r="T387" s="4"/>
      <c r="U387" s="4"/>
      <c r="V387" s="4"/>
      <c r="W387" s="4"/>
      <c r="X387" s="4"/>
      <c r="Y387" s="4"/>
      <c r="Z387" s="4"/>
      <c r="AA387" s="4">
        <f>IFERROR(__xludf.DUMMYFUNCTION("""COMPUTED_VALUE"""),8.0)</f>
        <v>8</v>
      </c>
      <c r="AB387" s="4" t="str">
        <f>IFERROR(__xludf.DUMMYFUNCTION("""COMPUTED_VALUE"""),"NÃO")</f>
        <v>NÃO</v>
      </c>
      <c r="AC387" s="4" t="str">
        <f>IFERROR(__xludf.DUMMYFUNCTION("""COMPUTED_VALUE"""),"BP")</f>
        <v>BP</v>
      </c>
      <c r="AD387" s="4"/>
      <c r="AE387" s="4"/>
      <c r="AF387" s="4"/>
      <c r="AG387" s="4"/>
      <c r="AH387" s="4"/>
      <c r="AI387" s="4"/>
      <c r="AJ387" s="4"/>
      <c r="AK387" s="4"/>
      <c r="AL387" s="4"/>
      <c r="AM387" s="4" t="str">
        <f>IFERROR(__xludf.DUMMYFUNCTION("""COMPUTED_VALUE"""),"FY26, FY27")</f>
        <v>FY26, FY27</v>
      </c>
      <c r="AN387" s="4"/>
      <c r="AO387" s="4">
        <f>IFERROR(__xludf.DUMMYFUNCTION("""COMPUTED_VALUE"""),140.0)</f>
        <v>140</v>
      </c>
      <c r="AP387" s="4">
        <f>IFERROR(__xludf.DUMMYFUNCTION("""COMPUTED_VALUE"""),0.0)</f>
        <v>0</v>
      </c>
      <c r="AQ387" s="4">
        <f>IFERROR(__xludf.DUMMYFUNCTION("""COMPUTED_VALUE"""),0.0)</f>
        <v>0</v>
      </c>
      <c r="AR387" s="4">
        <f>IFERROR(__xludf.DUMMYFUNCTION("""COMPUTED_VALUE"""),0.0)</f>
        <v>0</v>
      </c>
      <c r="AS387" s="4">
        <f>IFERROR(__xludf.DUMMYFUNCTION("""COMPUTED_VALUE"""),0.0)</f>
        <v>0</v>
      </c>
      <c r="AT387" s="4">
        <f>IFERROR(__xludf.DUMMYFUNCTION("""COMPUTED_VALUE"""),0.0)</f>
        <v>0</v>
      </c>
      <c r="AU387" s="4" t="str">
        <f>IFERROR(__xludf.DUMMYFUNCTION("""COMPUTED_VALUE"""),"Iza")</f>
        <v>Iza</v>
      </c>
      <c r="AV387" s="4">
        <f>IFERROR(__xludf.DUMMYFUNCTION("""COMPUTED_VALUE"""),0.0)</f>
        <v>0</v>
      </c>
      <c r="AW387" s="4">
        <f>IFERROR(__xludf.DUMMYFUNCTION("""COMPUTED_VALUE"""),0.0)</f>
        <v>0</v>
      </c>
      <c r="AX387" s="4">
        <f>IFERROR(__xludf.DUMMYFUNCTION("""COMPUTED_VALUE"""),0.0)</f>
        <v>0</v>
      </c>
      <c r="AY387" s="4"/>
      <c r="AZ387" s="4" t="str">
        <f>IFERROR(__xludf.DUMMYFUNCTION("""COMPUTED_VALUE"""),"NA")</f>
        <v>NA</v>
      </c>
      <c r="BA387" s="4" t="str">
        <f>IFERROR(__xludf.DUMMYFUNCTION("""COMPUTED_VALUE"""),"R$ 45-65")</f>
        <v>R$ 45-65</v>
      </c>
      <c r="BB387" s="12" t="str">
        <f>IFERROR(__xludf.DUMMYFUNCTION("""COMPUTED_VALUE"""),"QSR - Quick Service Restaurant (Hamburgueria artesanal regional)")</f>
        <v>QSR - Quick Service Restaurant (Hamburgueria artesanal regional)</v>
      </c>
      <c r="BC387" s="4" t="str">
        <f>IFERROR(__xludf.DUMMYFUNCTION("""COMPUTED_VALUE"""),"Manaus/AM. 11 unidades próprias todas em Manaus (Amazonas Shopping, Manauara Shopping, Park Mall, etc). Vende 120k hambúrgueres/mês. Centro de distribuição próprio. Operação 100% regional")</f>
        <v>Manaus/AM. 11 unidades próprias todas em Manaus (Amazonas Shopping, Manauara Shopping, Park Mall, etc). Vende 120k hambúrgueres/mês. Centro de distribuição próprio. Operação 100% regional</v>
      </c>
      <c r="BD387" s="4" t="str">
        <f>IFERROR(__xludf.DUMMYFUNCTION("""COMPUTED_VALUE"""),"R$ 60 milhões (2025). Projeção +16% em 2026 com nova loja Sumaúma Park Shopping")</f>
        <v>R$ 60 milhões (2025). Projeção +16% em 2026 com nova loja Sumaúma Park Shopping</v>
      </c>
      <c r="BE387" s="4">
        <f>IFERROR(__xludf.DUMMYFUNCTION("""COMPUTED_VALUE"""),72.0)</f>
        <v>72</v>
      </c>
      <c r="BF387" s="13">
        <f>IFERROR(__xludf.DUMMYFUNCTION("""COMPUTED_VALUE"""),0.76)</f>
        <v>0.76</v>
      </c>
      <c r="BG387" s="4" t="str">
        <f>IFERROR(__xludf.DUMMYFUNCTION("""COMPUTED_VALUE"""),"PDV atual não identificado. Operação sofisticada com centro de distribuição próprio, padaria e açougue. Alto volume (120k/mês). 3S pode oferecer PDV robusto para alto fluxo + integração com CD próprio + gestão de produção interna.")</f>
        <v>PDV atual não identificado. Operação sofisticada com centro de distribuição próprio, padaria e açougue. Alto volume (120k/mês). 3S pode oferecer PDV robusto para alto fluxo + integração com CD próprio + gestão de produção interna.</v>
      </c>
      <c r="BH387" s="4" t="s">
        <v>63</v>
      </c>
      <c r="BI387" s="7" t="s">
        <v>63</v>
      </c>
    </row>
    <row r="388" hidden="1">
      <c r="A388" s="4" t="str">
        <f>IFERROR(__xludf.DUMMYFUNCTION("""COMPUTED_VALUE"""),"Ken Taki Kandoo")</f>
        <v>Ken Taki Kandoo</v>
      </c>
      <c r="B388" s="4" t="str">
        <f>IFERROR(__xludf.DUMMYFUNCTION("""COMPUTED_VALUE"""),"Lídia Esteves")</f>
        <v>Lídia Esteves</v>
      </c>
      <c r="C388" s="4" t="str">
        <f>IFERROR(__xludf.DUMMYFUNCTION("""COMPUTED_VALUE"""),"Gabriela Roma")</f>
        <v>Gabriela Roma</v>
      </c>
      <c r="D388" s="4" t="str">
        <f>IFERROR(__xludf.DUMMYFUNCTION("""COMPUTED_VALUE"""),"0. Não Iniciado")</f>
        <v>0. Não Iniciado</v>
      </c>
      <c r="E388" s="4"/>
      <c r="F388" s="4" t="str">
        <f>IFERROR(__xludf.DUMMYFUNCTION("""COMPUTED_VALUE"""),"P")</f>
        <v>P</v>
      </c>
      <c r="G388" s="4"/>
      <c r="H388" s="4"/>
      <c r="I388" s="4"/>
      <c r="J388" s="4"/>
      <c r="K388" s="4"/>
      <c r="L388" s="4"/>
      <c r="M388" s="4"/>
      <c r="N388" s="4"/>
      <c r="O388" s="4"/>
      <c r="P388" s="4"/>
      <c r="Q388" s="4"/>
      <c r="R388" s="4"/>
      <c r="S388" s="4"/>
      <c r="T388" s="4"/>
      <c r="U388" s="4"/>
      <c r="V388" s="4"/>
      <c r="W388" s="4"/>
      <c r="X388" s="4"/>
      <c r="Y388" s="4"/>
      <c r="Z388" s="4"/>
      <c r="AA388" s="4">
        <f>IFERROR(__xludf.DUMMYFUNCTION("""COMPUTED_VALUE"""),5.0)</f>
        <v>5</v>
      </c>
      <c r="AB388" s="4" t="str">
        <f>IFERROR(__xludf.DUMMYFUNCTION("""COMPUTED_VALUE"""),"-")</f>
        <v>-</v>
      </c>
      <c r="AC388" s="4" t="str">
        <f>IFERROR(__xludf.DUMMYFUNCTION("""COMPUTED_VALUE"""),"-")</f>
        <v>-</v>
      </c>
      <c r="AD388" s="4"/>
      <c r="AE388" s="4"/>
      <c r="AF388" s="4"/>
      <c r="AG388" s="4"/>
      <c r="AH388" s="4"/>
      <c r="AI388" s="4"/>
      <c r="AJ388" s="4"/>
      <c r="AK388" s="4"/>
      <c r="AL388" s="4"/>
      <c r="AM388" s="4" t="str">
        <f>IFERROR(__xludf.DUMMYFUNCTION("""COMPUTED_VALUE"""),"FY26, FY27")</f>
        <v>FY26, FY27</v>
      </c>
      <c r="AN388" s="4"/>
      <c r="AO388" s="4">
        <f>IFERROR(__xludf.DUMMYFUNCTION("""COMPUTED_VALUE"""),45553.0)</f>
        <v>45553</v>
      </c>
      <c r="AP388" s="4" t="str">
        <f>IFERROR(__xludf.DUMMYFUNCTION("""COMPUTED_VALUE"""),"PR")</f>
        <v>PR</v>
      </c>
      <c r="AQ388" s="4" t="str">
        <f>IFERROR(__xludf.DUMMYFUNCTION("""COMPUTED_VALUE"""),"RAFAEL FERREIRA")</f>
        <v>RAFAEL FERREIRA</v>
      </c>
      <c r="AR388" s="4" t="str">
        <f>IFERROR(__xludf.DUMMYFUNCTION("""COMPUTED_VALUE"""),"GIOVANI ROCHA")</f>
        <v>GIOVANI ROCHA</v>
      </c>
      <c r="AS388" s="4" t="str">
        <f>IFERROR(__xludf.DUMMYFUNCTION("""COMPUTED_VALUE"""),"FABIO DONATO")</f>
        <v>FABIO DONATO</v>
      </c>
      <c r="AT388" s="4" t="str">
        <f>IFERROR(__xludf.DUMMYFUNCTION("""COMPUTED_VALUE"""),"MURILO NAGASHIMA")</f>
        <v>MURILO NAGASHIMA</v>
      </c>
      <c r="AU388" s="4" t="str">
        <f>IFERROR(__xludf.DUMMYFUNCTION("""COMPUTED_VALUE"""),"Lídia / Emerson")</f>
        <v>Lídia / Emerson</v>
      </c>
      <c r="AV388" s="4">
        <f>IFERROR(__xludf.DUMMYFUNCTION("""COMPUTED_VALUE"""),0.0)</f>
        <v>0</v>
      </c>
      <c r="AW388" s="4">
        <f>IFERROR(__xludf.DUMMYFUNCTION("""COMPUTED_VALUE"""),0.0)</f>
        <v>0</v>
      </c>
      <c r="AX388" s="4">
        <f>IFERROR(__xludf.DUMMYFUNCTION("""COMPUTED_VALUE"""),0.0)</f>
        <v>0</v>
      </c>
      <c r="AY388" s="4"/>
      <c r="AZ388" s="4" t="str">
        <f>IFERROR(__xludf.DUMMYFUNCTION("""COMPUTED_VALUE"""),"Japonesa")</f>
        <v>Japonesa</v>
      </c>
      <c r="BA388" s="4" t="str">
        <f>IFERROR(__xludf.DUMMYFUNCTION("""COMPUTED_VALUE"""),"R$ 80-110 (rodízio R$ 78-99)")</f>
        <v>R$ 80-110 (rodízio R$ 78-99)</v>
      </c>
      <c r="BB388" s="4" t="str">
        <f>IFERROR(__xludf.DUMMYFUNCTION("""COMPUTED_VALUE"""),"Fast Casual - Restaurante Japonês com rodízio kaiten (esteira)")</f>
        <v>Fast Casual - Restaurante Japonês com rodízio kaiten (esteira)</v>
      </c>
      <c r="BC388" s="4" t="str">
        <f>IFERROR(__xludf.DUMMYFUNCTION("""COMPUTED_VALUE"""),"Curitiba/PR. 4 unidades Ken Taki (Cristo Rei, Champagnat, Shopping Curitiba, delivery-only). 15k pedidos/mês delivery. Operação local sem expansão")</f>
        <v>Curitiba/PR. 4 unidades Ken Taki (Cristo Rei, Champagnat, Shopping Curitiba, delivery-only). 15k pedidos/mês delivery. Operação local sem expansão</v>
      </c>
      <c r="BD388" s="4" t="str">
        <f>IFERROR(__xludf.DUMMYFUNCTION("""COMPUTED_VALUE"""),"Dado não disponível publicamente - Necessário Discovery. 15k pedidos delivery/mês indica volume significativo")</f>
        <v>Dado não disponível publicamente - Necessário Discovery. 15k pedidos delivery/mês indica volume significativo</v>
      </c>
      <c r="BE388" s="4">
        <f>IFERROR(__xludf.DUMMYFUNCTION("""COMPUTED_VALUE"""),56.0)</f>
        <v>56</v>
      </c>
      <c r="BF388" s="4">
        <f>IFERROR(__xludf.DUMMYFUNCTION("""COMPUTED_VALUE"""),0.6)</f>
        <v>0.6</v>
      </c>
      <c r="BG388" s="4" t="str">
        <f>IFERROR(__xludf.DUMMYFUNCTION("""COMPUTED_VALUE"""),"PDV atual não identificado. Operação mista: rodízio esteira + teppan yaki + delivery forte (15k/mês). 3S pode unificar PDV presencial + delivery + gestão de rodízio, otimizando operação complexa de 10 anos no mercado.")</f>
        <v>PDV atual não identificado. Operação mista: rodízio esteira + teppan yaki + delivery forte (15k/mês). 3S pode unificar PDV presencial + delivery + gestão de rodízio, otimizando operação complexa de 10 anos no mercado.</v>
      </c>
      <c r="BH388" s="4" t="s">
        <v>74</v>
      </c>
      <c r="BI388" s="7">
        <v>0.6923076923076923</v>
      </c>
    </row>
    <row r="389" hidden="1">
      <c r="A389" s="4" t="str">
        <f>IFERROR(__xludf.DUMMYFUNCTION("""COMPUTED_VALUE"""),"Ki Gostoso Lanches Pizzas E Porcoes")</f>
        <v>Ki Gostoso Lanches Pizzas E Porcoes</v>
      </c>
      <c r="B389" s="4" t="str">
        <f>IFERROR(__xludf.DUMMYFUNCTION("""COMPUTED_VALUE"""),"Emerson")</f>
        <v>Emerson</v>
      </c>
      <c r="C389" s="4" t="str">
        <f>IFERROR(__xludf.DUMMYFUNCTION("""COMPUTED_VALUE"""),"Emerson")</f>
        <v>Emerson</v>
      </c>
      <c r="D389" s="4" t="str">
        <f>IFERROR(__xludf.DUMMYFUNCTION("""COMPUTED_VALUE"""),"11. Stand by")</f>
        <v>11. Stand by</v>
      </c>
      <c r="E389" s="4" t="str">
        <f>IFERROR(__xludf.DUMMYFUNCTION("""COMPUTED_VALUE"""),"Delivery - Momento inadequado de abordagem (ex. 99)")</f>
        <v>Delivery - Momento inadequado de abordagem (ex. 99)</v>
      </c>
      <c r="F389" s="4" t="str">
        <f>IFERROR(__xludf.DUMMYFUNCTION("""COMPUTED_VALUE"""),"P")</f>
        <v>P</v>
      </c>
      <c r="G389" s="5">
        <f>IFERROR(__xludf.DUMMYFUNCTION("""COMPUTED_VALUE"""),46062.0)</f>
        <v>46062</v>
      </c>
      <c r="H389" s="4" t="str">
        <f>IFERROR(__xludf.DUMMYFUNCTION("""COMPUTED_VALUE"""),"parceiro com problemas de relac. co delivery , avançaremos em outro momento")</f>
        <v>parceiro com problemas de relac. co delivery , avançaremos em outro momento</v>
      </c>
      <c r="I389" s="4"/>
      <c r="J389" s="4"/>
      <c r="K389" s="6">
        <f>IFERROR(__xludf.DUMMYFUNCTION("""COMPUTED_VALUE"""),46057.0)</f>
        <v>46057</v>
      </c>
      <c r="L389" s="4"/>
      <c r="M389" s="4"/>
      <c r="N389" s="4"/>
      <c r="O389" s="4"/>
      <c r="P389" s="4"/>
      <c r="Q389" s="4"/>
      <c r="R389" s="4"/>
      <c r="S389" s="6">
        <f>IFERROR(__xludf.DUMMYFUNCTION("""COMPUTED_VALUE"""),46062.725115995374)</f>
        <v>46062.72512</v>
      </c>
      <c r="T389" s="4"/>
      <c r="U389" s="4"/>
      <c r="V389" s="4" t="str">
        <f>IFERROR(__xludf.DUMMYFUNCTION("""COMPUTED_VALUE"""),"Atrito Negociação")</f>
        <v>Atrito Negociação</v>
      </c>
      <c r="W389" s="4"/>
      <c r="X389" s="4"/>
      <c r="Y389" s="4"/>
      <c r="Z389" s="4"/>
      <c r="AA389" s="4">
        <f>IFERROR(__xludf.DUMMYFUNCTION("""COMPUTED_VALUE"""),2.0)</f>
        <v>2</v>
      </c>
      <c r="AB389" s="4" t="str">
        <f>IFERROR(__xludf.DUMMYFUNCTION("""COMPUTED_VALUE"""),"-")</f>
        <v>-</v>
      </c>
      <c r="AC389" s="4" t="str">
        <f>IFERROR(__xludf.DUMMYFUNCTION("""COMPUTED_VALUE"""),"-")</f>
        <v>-</v>
      </c>
      <c r="AD389" s="4"/>
      <c r="AE389" s="4"/>
      <c r="AF389" s="4"/>
      <c r="AG389" s="4"/>
      <c r="AH389" s="4"/>
      <c r="AI389" s="4"/>
      <c r="AJ389" s="4"/>
      <c r="AK389" s="4"/>
      <c r="AL389" s="4"/>
      <c r="AM389" s="4" t="str">
        <f>IFERROR(__xludf.DUMMYFUNCTION("""COMPUTED_VALUE"""),"FY26, FY27")</f>
        <v>FY26, FY27</v>
      </c>
      <c r="AN389" s="4"/>
      <c r="AO389" s="4">
        <f>IFERROR(__xludf.DUMMYFUNCTION("""COMPUTED_VALUE"""),154.0)</f>
        <v>154</v>
      </c>
      <c r="AP389" s="4" t="str">
        <f>IFERROR(__xludf.DUMMYFUNCTION("""COMPUTED_VALUE"""),"PR")</f>
        <v>PR</v>
      </c>
      <c r="AQ389" s="4" t="str">
        <f>IFERROR(__xludf.DUMMYFUNCTION("""COMPUTED_VALUE"""),"BRUNA MONTEZIN")</f>
        <v>BRUNA MONTEZIN</v>
      </c>
      <c r="AR389" s="4" t="str">
        <f>IFERROR(__xludf.DUMMYFUNCTION("""COMPUTED_VALUE"""),"ANE LUKAZINSKI")</f>
        <v>ANE LUKAZINSKI</v>
      </c>
      <c r="AS389" s="4" t="str">
        <f>IFERROR(__xludf.DUMMYFUNCTION("""COMPUTED_VALUE"""),"FABIO DONATO")</f>
        <v>FABIO DONATO</v>
      </c>
      <c r="AT389" s="4" t="str">
        <f>IFERROR(__xludf.DUMMYFUNCTION("""COMPUTED_VALUE"""),"MURILO NAGASHIMA")</f>
        <v>MURILO NAGASHIMA</v>
      </c>
      <c r="AU389" s="4" t="str">
        <f>IFERROR(__xludf.DUMMYFUNCTION("""COMPUTED_VALUE"""),"Lídia / Emerson")</f>
        <v>Lídia / Emerson</v>
      </c>
      <c r="AV389" s="4">
        <f>IFERROR(__xludf.DUMMYFUNCTION("""COMPUTED_VALUE"""),0.0)</f>
        <v>0</v>
      </c>
      <c r="AW389" s="4">
        <f>IFERROR(__xludf.DUMMYFUNCTION("""COMPUTED_VALUE"""),0.0)</f>
        <v>0</v>
      </c>
      <c r="AX389" s="4">
        <f>IFERROR(__xludf.DUMMYFUNCTION("""COMPUTED_VALUE"""),0.0)</f>
        <v>0</v>
      </c>
      <c r="AY389" s="4"/>
      <c r="AZ389" s="4" t="str">
        <f>IFERROR(__xludf.DUMMYFUNCTION("""COMPUTED_VALUE"""),"Árabe")</f>
        <v>Árabe</v>
      </c>
      <c r="BA389" s="4" t="str">
        <f>IFERROR(__xludf.DUMMYFUNCTION("""COMPUTED_VALUE"""),"")</f>
        <v/>
      </c>
      <c r="BB389" s="4" t="str">
        <f>IFERROR(__xludf.DUMMYFUNCTION("""COMPUTED_VALUE"""),"")</f>
        <v/>
      </c>
      <c r="BC389" s="4" t="str">
        <f>IFERROR(__xludf.DUMMYFUNCTION("""COMPUTED_VALUE"""),"")</f>
        <v/>
      </c>
      <c r="BD389" s="4" t="str">
        <f>IFERROR(__xludf.DUMMYFUNCTION("""COMPUTED_VALUE"""),"")</f>
        <v/>
      </c>
      <c r="BE389" s="4" t="str">
        <f>IFERROR(__xludf.DUMMYFUNCTION("""COMPUTED_VALUE"""),"")</f>
        <v/>
      </c>
      <c r="BF389" s="4" t="str">
        <f>IFERROR(__xludf.DUMMYFUNCTION("""COMPUTED_VALUE"""),"")</f>
        <v/>
      </c>
      <c r="BG389" s="4" t="str">
        <f>IFERROR(__xludf.DUMMYFUNCTION("""COMPUTED_VALUE"""),"")</f>
        <v/>
      </c>
      <c r="BH389" s="4" t="s">
        <v>63</v>
      </c>
      <c r="BI389" s="7" t="s">
        <v>63</v>
      </c>
    </row>
    <row r="390" hidden="1">
      <c r="A390" s="4" t="str">
        <f>IFERROR(__xludf.DUMMYFUNCTION("""COMPUTED_VALUE"""),"Kome Sushi")</f>
        <v>Kome Sushi</v>
      </c>
      <c r="B390" s="4" t="str">
        <f>IFERROR(__xludf.DUMMYFUNCTION("""COMPUTED_VALUE"""),"Lídia Esteves")</f>
        <v>Lídia Esteves</v>
      </c>
      <c r="C390" s="4" t="str">
        <f>IFERROR(__xludf.DUMMYFUNCTION("""COMPUTED_VALUE"""),"Gabriela Roma")</f>
        <v>Gabriela Roma</v>
      </c>
      <c r="D390" s="4" t="str">
        <f>IFERROR(__xludf.DUMMYFUNCTION("""COMPUTED_VALUE"""),"11. Stand by")</f>
        <v>11. Stand by</v>
      </c>
      <c r="E390" s="4" t="str">
        <f>IFERROR(__xludf.DUMMYFUNCTION("""COMPUTED_VALUE"""),"Comercial - Em negociação de proposta")</f>
        <v>Comercial - Em negociação de proposta</v>
      </c>
      <c r="F390" s="4" t="str">
        <f>IFERROR(__xludf.DUMMYFUNCTION("""COMPUTED_VALUE"""),"P")</f>
        <v>P</v>
      </c>
      <c r="G390" s="5">
        <f>IFERROR(__xludf.DUMMYFUNCTION("""COMPUTED_VALUE"""),46121.0)</f>
        <v>46121</v>
      </c>
      <c r="H390" s="4" t="str">
        <f>IFERROR(__xludf.DUMMYFUNCTION("""COMPUTED_VALUE"""),"voltamos a falar com o parceiro, etapa de negociação")</f>
        <v>voltamos a falar com o parceiro, etapa de negociação</v>
      </c>
      <c r="I390" s="4"/>
      <c r="J390" s="4"/>
      <c r="K390" s="6">
        <f>IFERROR(__xludf.DUMMYFUNCTION("""COMPUTED_VALUE"""),45930.0)</f>
        <v>45930</v>
      </c>
      <c r="L390" s="4"/>
      <c r="M390" s="4"/>
      <c r="N390" s="4"/>
      <c r="O390" s="4"/>
      <c r="P390" s="4"/>
      <c r="Q390" s="4"/>
      <c r="R390" s="6">
        <f>IFERROR(__xludf.DUMMYFUNCTION("""COMPUTED_VALUE"""),46071.694651909726)</f>
        <v>46071.69465</v>
      </c>
      <c r="S390" s="6">
        <f>IFERROR(__xludf.DUMMYFUNCTION("""COMPUTED_VALUE"""),46090.477760231486)</f>
        <v>46090.47776</v>
      </c>
      <c r="T390" s="4"/>
      <c r="U390" s="4"/>
      <c r="V390" s="4" t="str">
        <f>IFERROR(__xludf.DUMMYFUNCTION("""COMPUTED_VALUE"""),"Outros")</f>
        <v>Outros</v>
      </c>
      <c r="W390" s="4"/>
      <c r="X390" s="4"/>
      <c r="Y390" s="4"/>
      <c r="Z390" s="4"/>
      <c r="AA390" s="4">
        <f>IFERROR(__xludf.DUMMYFUNCTION("""COMPUTED_VALUE"""),4.0)</f>
        <v>4</v>
      </c>
      <c r="AB390" s="4" t="str">
        <f>IFERROR(__xludf.DUMMYFUNCTION("""COMPUTED_VALUE"""),"NÃO")</f>
        <v>NÃO</v>
      </c>
      <c r="AC390" s="4" t="str">
        <f>IFERROR(__xludf.DUMMYFUNCTION("""COMPUTED_VALUE"""),"Não BP")</f>
        <v>Não BP</v>
      </c>
      <c r="AD390" s="4"/>
      <c r="AE390" s="4"/>
      <c r="AF390" s="4"/>
      <c r="AG390" s="4"/>
      <c r="AH390" s="4"/>
      <c r="AI390" s="4"/>
      <c r="AJ390" s="4"/>
      <c r="AK390" s="4"/>
      <c r="AL390" s="4"/>
      <c r="AM390" s="4" t="str">
        <f>IFERROR(__xludf.DUMMYFUNCTION("""COMPUTED_VALUE"""),"FY26, FY27")</f>
        <v>FY26, FY27</v>
      </c>
      <c r="AN390" s="4"/>
      <c r="AO390" s="4">
        <f>IFERROR(__xludf.DUMMYFUNCTION("""COMPUTED_VALUE"""),94.0)</f>
        <v>94</v>
      </c>
      <c r="AP390" s="4">
        <f>IFERROR(__xludf.DUMMYFUNCTION("""COMPUTED_VALUE"""),0.0)</f>
        <v>0</v>
      </c>
      <c r="AQ390" s="4">
        <f>IFERROR(__xludf.DUMMYFUNCTION("""COMPUTED_VALUE"""),0.0)</f>
        <v>0</v>
      </c>
      <c r="AR390" s="4">
        <f>IFERROR(__xludf.DUMMYFUNCTION("""COMPUTED_VALUE"""),0.0)</f>
        <v>0</v>
      </c>
      <c r="AS390" s="4">
        <f>IFERROR(__xludf.DUMMYFUNCTION("""COMPUTED_VALUE"""),0.0)</f>
        <v>0</v>
      </c>
      <c r="AT390" s="4">
        <f>IFERROR(__xludf.DUMMYFUNCTION("""COMPUTED_VALUE"""),0.0)</f>
        <v>0</v>
      </c>
      <c r="AU390" s="4" t="str">
        <f>IFERROR(__xludf.DUMMYFUNCTION("""COMPUTED_VALUE"""),"Diego")</f>
        <v>Diego</v>
      </c>
      <c r="AV390" s="4">
        <f>IFERROR(__xludf.DUMMYFUNCTION("""COMPUTED_VALUE"""),0.0)</f>
        <v>0</v>
      </c>
      <c r="AW390" s="4">
        <f>IFERROR(__xludf.DUMMYFUNCTION("""COMPUTED_VALUE"""),0.0)</f>
        <v>0</v>
      </c>
      <c r="AX390" s="4">
        <f>IFERROR(__xludf.DUMMYFUNCTION("""COMPUTED_VALUE"""),0.0)</f>
        <v>0</v>
      </c>
      <c r="AY390" s="4"/>
      <c r="AZ390" s="4" t="str">
        <f>IFERROR(__xludf.DUMMYFUNCTION("""COMPUTED_VALUE"""),"Japonesa")</f>
        <v>Japonesa</v>
      </c>
      <c r="BA390" s="4" t="str">
        <f>IFERROR(__xludf.DUMMYFUNCTION("""COMPUTED_VALUE"""),"R$ 90-130")</f>
        <v>R$ 90-130</v>
      </c>
      <c r="BB390" s="4" t="str">
        <f>IFERROR(__xludf.DUMMYFUNCTION("""COMPUTED_VALUE"""),"Fast Casual - Restaurante Japonês com rodízio")</f>
        <v>Fast Casual - Restaurante Japonês com rodízio</v>
      </c>
      <c r="BC390" s="4" t="str">
        <f>IFERROR(__xludf.DUMMYFUNCTION("""COMPUTED_VALUE"""),"São Paulo/SP. 2-3 unidades (Kome Bela Vista, Kome Fusion Moema). Operação local sem expansão nacional")</f>
        <v>São Paulo/SP. 2-3 unidades (Kome Bela Vista, Kome Fusion Moema). Operação local sem expansão nacional</v>
      </c>
      <c r="BD390" s="4" t="str">
        <f>IFERROR(__xludf.DUMMYFUNCTION("""COMPUTED_VALUE"""),"Dado não disponível publicamente - Necessário Discovery")</f>
        <v>Dado não disponível publicamente - Necessário Discovery</v>
      </c>
      <c r="BE390" s="4">
        <f>IFERROR(__xludf.DUMMYFUNCTION("""COMPUTED_VALUE"""),38.0)</f>
        <v>38</v>
      </c>
      <c r="BF390" s="4">
        <f>IFERROR(__xludf.DUMMYFUNCTION("""COMPUTED_VALUE"""),0.42)</f>
        <v>0.42</v>
      </c>
      <c r="BG390" s="4" t="str">
        <f>IFERROR(__xludf.DUMMYFUNCTION("""COMPUTED_VALUE"""),"PDV atual não identificado. Operação pequena de rodízio japonês fusion. 3S pode unificar PDV + delivery + gestão de rodízio, mas escala pequena limita potencial.")</f>
        <v>PDV atual não identificado. Operação pequena de rodízio japonês fusion. 3S pode unificar PDV + delivery + gestão de rodízio, mas escala pequena limita potencial.</v>
      </c>
      <c r="BH390" s="4" t="s">
        <v>133</v>
      </c>
      <c r="BI390" s="7">
        <v>0.5</v>
      </c>
    </row>
    <row r="391" hidden="1">
      <c r="A391" s="4" t="str">
        <f>IFERROR(__xludf.DUMMYFUNCTION("""COMPUTED_VALUE"""),"Kosushi")</f>
        <v>Kosushi</v>
      </c>
      <c r="B391" s="4" t="str">
        <f>IFERROR(__xludf.DUMMYFUNCTION("""COMPUTED_VALUE"""),"João Biagiotti")</f>
        <v>João Biagiotti</v>
      </c>
      <c r="C391" s="4" t="str">
        <f>IFERROR(__xludf.DUMMYFUNCTION("""COMPUTED_VALUE"""),"Diego Santos")</f>
        <v>Diego Santos</v>
      </c>
      <c r="D391" s="4" t="str">
        <f>IFERROR(__xludf.DUMMYFUNCTION("""COMPUTED_VALUE"""),"0. Não Iniciado")</f>
        <v>0. Não Iniciado</v>
      </c>
      <c r="E391" s="4" t="str">
        <f>IFERROR(__xludf.DUMMYFUNCTION("""COMPUTED_VALUE"""),"Delivery - Momento inadequado de abordagem (ex. 99)")</f>
        <v>Delivery - Momento inadequado de abordagem (ex. 99)</v>
      </c>
      <c r="F391" s="4" t="str">
        <f>IFERROR(__xludf.DUMMYFUNCTION("""COMPUTED_VALUE"""),"P")</f>
        <v>P</v>
      </c>
      <c r="G391" s="5">
        <f>IFERROR(__xludf.DUMMYFUNCTION("""COMPUTED_VALUE"""),46076.0)</f>
        <v>46076</v>
      </c>
      <c r="H391" s="4" t="str">
        <f>IFERROR(__xludf.DUMMYFUNCTION("""COMPUTED_VALUE"""),"Não é um bom momento para negociação devido negociação no delivery da exclusividade iFood. FUP Março/26")</f>
        <v>Não é um bom momento para negociação devido negociação no delivery da exclusividade iFood. FUP Março/26</v>
      </c>
      <c r="I391" s="4"/>
      <c r="J391" s="4"/>
      <c r="K391" s="4"/>
      <c r="L391" s="4"/>
      <c r="M391" s="4"/>
      <c r="N391" s="4"/>
      <c r="O391" s="4"/>
      <c r="P391" s="4"/>
      <c r="Q391" s="4"/>
      <c r="R391" s="4"/>
      <c r="S391" s="4"/>
      <c r="T391" s="4"/>
      <c r="U391" s="4"/>
      <c r="V391" s="4"/>
      <c r="W391" s="4"/>
      <c r="X391" s="4"/>
      <c r="Y391" s="4"/>
      <c r="Z391" s="4"/>
      <c r="AA391" s="4">
        <f>IFERROR(__xludf.DUMMYFUNCTION("""COMPUTED_VALUE"""),3.0)</f>
        <v>3</v>
      </c>
      <c r="AB391" s="4" t="str">
        <f>IFERROR(__xludf.DUMMYFUNCTION("""COMPUTED_VALUE"""),"NÃO")</f>
        <v>NÃO</v>
      </c>
      <c r="AC391" s="4" t="str">
        <f>IFERROR(__xludf.DUMMYFUNCTION("""COMPUTED_VALUE"""),"BP")</f>
        <v>BP</v>
      </c>
      <c r="AD391" s="4"/>
      <c r="AE391" s="4"/>
      <c r="AF391" s="4"/>
      <c r="AG391" s="4"/>
      <c r="AH391" s="4"/>
      <c r="AI391" s="4"/>
      <c r="AJ391" s="4"/>
      <c r="AK391" s="4"/>
      <c r="AL391" s="4"/>
      <c r="AM391" s="4" t="str">
        <f>IFERROR(__xludf.DUMMYFUNCTION("""COMPUTED_VALUE"""),"FY26, FY27")</f>
        <v>FY26, FY27</v>
      </c>
      <c r="AN391" s="4" t="str">
        <f>IFERROR(__xludf.DUMMYFUNCTION("""COMPUTED_VALUE"""),"Comer Fora")</f>
        <v>Comer Fora</v>
      </c>
      <c r="AO391" s="4">
        <f>IFERROR(__xludf.DUMMYFUNCTION("""COMPUTED_VALUE"""),140.0)</f>
        <v>140</v>
      </c>
      <c r="AP391" s="4" t="str">
        <f>IFERROR(__xludf.DUMMYFUNCTION("""COMPUTED_VALUE"""),"SP")</f>
        <v>SP</v>
      </c>
      <c r="AQ391" s="4" t="str">
        <f>IFERROR(__xludf.DUMMYFUNCTION("""COMPUTED_VALUE"""),"RODRIGO BESSER")</f>
        <v>RODRIGO BESSER</v>
      </c>
      <c r="AR391" s="4" t="str">
        <f>IFERROR(__xludf.DUMMYFUNCTION("""COMPUTED_VALUE"""),"VINICIUS ABATTE")</f>
        <v>VINICIUS ABATTE</v>
      </c>
      <c r="AS391" s="4" t="str">
        <f>IFERROR(__xludf.DUMMYFUNCTION("""COMPUTED_VALUE"""),"NATHALIE MERTENS")</f>
        <v>NATHALIE MERTENS</v>
      </c>
      <c r="AT391" s="4" t="str">
        <f>IFERROR(__xludf.DUMMYFUNCTION("""COMPUTED_VALUE"""),"MARIANA KATZ")</f>
        <v>MARIANA KATZ</v>
      </c>
      <c r="AU391" s="4" t="str">
        <f>IFERROR(__xludf.DUMMYFUNCTION("""COMPUTED_VALUE"""),"Iza")</f>
        <v>Iza</v>
      </c>
      <c r="AV391" s="4" t="str">
        <f>IFERROR(__xludf.DUMMYFUNCTION("""COMPUTED_VALUE"""),"Comer Fora-")</f>
        <v>Comer Fora-</v>
      </c>
      <c r="AW391" s="20" t="str">
        <f>IFERROR(__xludf.DUMMYFUNCTION("""COMPUTED_VALUE"""),"P e M - pipe")</f>
        <v>P e M - pipe</v>
      </c>
      <c r="AX391" s="4"/>
      <c r="AY391" s="4" t="str">
        <f>IFERROR(__xludf.DUMMYFUNCTION("""COMPUTED_VALUE"""),"Alpha Logo")</f>
        <v>Alpha Logo</v>
      </c>
      <c r="AZ391" s="4" t="str">
        <f>IFERROR(__xludf.DUMMYFUNCTION("""COMPUTED_VALUE"""),"Japonesa")</f>
        <v>Japonesa</v>
      </c>
      <c r="BA391" s="4" t="str">
        <f>IFERROR(__xludf.DUMMYFUNCTION("""COMPUTED_VALUE"""),"R$ 180-200")</f>
        <v>R$ 180-200</v>
      </c>
      <c r="BB391" s="4" t="str">
        <f>IFERROR(__xludf.DUMMYFUNCTION("""COMPUTED_VALUE"""),"Fine Dining - Restaurante Japonês estrelado Michelin")</f>
        <v>Fine Dining - Restaurante Japonês estrelado Michelin</v>
      </c>
      <c r="BC391" s="4" t="str">
        <f>IFERROR(__xludf.DUMMYFUNCTION("""COMPUTED_VALUE"""),"Matriz: São Paulo/SP. 5 unidades: 2 em SP (Itaim Bibi, Cidade Jardim), Campinas, Angra dos Reis/RJ, Brasília/DF (inaugurada março 2026). Expansão para capitais seletivas")</f>
        <v>Matriz: São Paulo/SP. 5 unidades: 2 em SP (Itaim Bibi, Cidade Jardim), Campinas, Angra dos Reis/RJ, Brasília/DF (inaugurada março 2026). Expansão para capitais seletivas</v>
      </c>
      <c r="BD391" s="4" t="str">
        <f>IFERROR(__xludf.DUMMYFUNCTION("""COMPUTED_VALUE"""),"Dado não disponível publicamente - Necessário Discovery. Estrela Michelin por 5 anos, operação premium")</f>
        <v>Dado não disponível publicamente - Necessário Discovery. Estrela Michelin por 5 anos, operação premium</v>
      </c>
      <c r="BE391" s="4">
        <f>IFERROR(__xludf.DUMMYFUNCTION("""COMPUTED_VALUE"""),62.0)</f>
        <v>62</v>
      </c>
      <c r="BF391" s="4">
        <f>IFERROR(__xludf.DUMMYFUNCTION("""COMPUTED_VALUE"""),0.65)</f>
        <v>0.65</v>
      </c>
      <c r="BG391" s="4" t="str">
        <f>IFERROR(__xludf.DUMMYFUNCTION("""COMPUTED_VALUE"""),"PDV atual não identificado. Operação fine dining exige PDV discreto e sofisticado. 3S pode oferecer solução premium com integração silenciosa, mantendo experiência Michelin. Expansão seletiva (Brasília 2026) indica crescimento controlado.")</f>
        <v>PDV atual não identificado. Operação fine dining exige PDV discreto e sofisticado. 3S pode oferecer solução premium com integração silenciosa, mantendo experiência Michelin. Expansão seletiva (Brasília 2026) indica crescimento controlado.</v>
      </c>
      <c r="BH391" s="4" t="s">
        <v>84</v>
      </c>
      <c r="BI391" s="7">
        <v>0.6666666666666666</v>
      </c>
    </row>
    <row r="392" hidden="1">
      <c r="A392" s="4" t="str">
        <f>IFERROR(__xludf.DUMMYFUNCTION("""COMPUTED_VALUE"""),"Koto By Makoto")</f>
        <v>Koto By Makoto</v>
      </c>
      <c r="B392" s="4" t="str">
        <f>IFERROR(__xludf.DUMMYFUNCTION("""COMPUTED_VALUE"""),"João Biagiotti")</f>
        <v>João Biagiotti</v>
      </c>
      <c r="C392" s="4" t="str">
        <f>IFERROR(__xludf.DUMMYFUNCTION("""COMPUTED_VALUE"""),"Diego Santos")</f>
        <v>Diego Santos</v>
      </c>
      <c r="D392" s="4" t="str">
        <f>IFERROR(__xludf.DUMMYFUNCTION("""COMPUTED_VALUE"""),"0. Não Iniciado")</f>
        <v>0. Não Iniciado</v>
      </c>
      <c r="E392" s="4" t="str">
        <f>IFERROR(__xludf.DUMMYFUNCTION("""COMPUTED_VALUE"""),"Delivery - Aguardando retorno executivo")</f>
        <v>Delivery - Aguardando retorno executivo</v>
      </c>
      <c r="F392" s="4" t="str">
        <f>IFERROR(__xludf.DUMMYFUNCTION("""COMPUTED_VALUE"""),"P")</f>
        <v>P</v>
      </c>
      <c r="G392" s="5">
        <f>IFERROR(__xludf.DUMMYFUNCTION("""COMPUTED_VALUE"""),46076.0)</f>
        <v>46076</v>
      </c>
      <c r="H392" s="4" t="str">
        <f>IFERROR(__xludf.DUMMYFUNCTION("""COMPUTED_VALUE"""),"Aguardando devolutiva da KA Gabryella Estevão, informou que quando conseguir agenar me avisaria. FUP fev/26")</f>
        <v>Aguardando devolutiva da KA Gabryella Estevão, informou que quando conseguir agenar me avisaria. FUP fev/26</v>
      </c>
      <c r="I392" s="4"/>
      <c r="J392" s="4"/>
      <c r="K392" s="4"/>
      <c r="L392" s="4"/>
      <c r="M392" s="4"/>
      <c r="N392" s="4"/>
      <c r="O392" s="4"/>
      <c r="P392" s="4"/>
      <c r="Q392" s="4"/>
      <c r="R392" s="4"/>
      <c r="S392" s="4"/>
      <c r="T392" s="4"/>
      <c r="U392" s="4"/>
      <c r="V392" s="4"/>
      <c r="W392" s="4"/>
      <c r="X392" s="4"/>
      <c r="Y392" s="4"/>
      <c r="Z392" s="4"/>
      <c r="AA392" s="4">
        <f>IFERROR(__xludf.DUMMYFUNCTION("""COMPUTED_VALUE"""),1.0)</f>
        <v>1</v>
      </c>
      <c r="AB392" s="4" t="str">
        <f>IFERROR(__xludf.DUMMYFUNCTION("""COMPUTED_VALUE"""),"NÃO")</f>
        <v>NÃO</v>
      </c>
      <c r="AC392" s="4" t="str">
        <f>IFERROR(__xludf.DUMMYFUNCTION("""COMPUTED_VALUE"""),"Não BP")</f>
        <v>Não BP</v>
      </c>
      <c r="AD392" s="4"/>
      <c r="AE392" s="4"/>
      <c r="AF392" s="4"/>
      <c r="AG392" s="4"/>
      <c r="AH392" s="4"/>
      <c r="AI392" s="4"/>
      <c r="AJ392" s="4"/>
      <c r="AK392" s="4"/>
      <c r="AL392" s="4"/>
      <c r="AM392" s="4" t="str">
        <f>IFERROR(__xludf.DUMMYFUNCTION("""COMPUTED_VALUE"""),"FY26, FY27")</f>
        <v>FY26, FY27</v>
      </c>
      <c r="AN392" s="4" t="str">
        <f>IFERROR(__xludf.DUMMYFUNCTION("""COMPUTED_VALUE"""),"Comer Fora")</f>
        <v>Comer Fora</v>
      </c>
      <c r="AO392" s="4">
        <f>IFERROR(__xludf.DUMMYFUNCTION("""COMPUTED_VALUE"""),140.0)</f>
        <v>140</v>
      </c>
      <c r="AP392" s="4" t="str">
        <f>IFERROR(__xludf.DUMMYFUNCTION("""COMPUTED_VALUE"""),"SP")</f>
        <v>SP</v>
      </c>
      <c r="AQ392" s="4" t="str">
        <f>IFERROR(__xludf.DUMMYFUNCTION("""COMPUTED_VALUE"""),"GABRIEL BISPO")</f>
        <v>GABRIEL BISPO</v>
      </c>
      <c r="AR392" s="4" t="str">
        <f>IFERROR(__xludf.DUMMYFUNCTION("""COMPUTED_VALUE"""),"GABRYELLA ESTEVAO")</f>
        <v>GABRYELLA ESTEVAO</v>
      </c>
      <c r="AS392" s="4" t="str">
        <f>IFERROR(__xludf.DUMMYFUNCTION("""COMPUTED_VALUE"""),"NATHALIE MERTENS")</f>
        <v>NATHALIE MERTENS</v>
      </c>
      <c r="AT392" s="4" t="str">
        <f>IFERROR(__xludf.DUMMYFUNCTION("""COMPUTED_VALUE"""),"MARIANA KATZ")</f>
        <v>MARIANA KATZ</v>
      </c>
      <c r="AU392" s="4" t="str">
        <f>IFERROR(__xludf.DUMMYFUNCTION("""COMPUTED_VALUE"""),"Iza")</f>
        <v>Iza</v>
      </c>
      <c r="AV392" s="4">
        <f>IFERROR(__xludf.DUMMYFUNCTION("""COMPUTED_VALUE"""),0.0)</f>
        <v>0</v>
      </c>
      <c r="AW392" s="4">
        <f>IFERROR(__xludf.DUMMYFUNCTION("""COMPUTED_VALUE"""),0.0)</f>
        <v>0</v>
      </c>
      <c r="AX392" s="4">
        <f>IFERROR(__xludf.DUMMYFUNCTION("""COMPUTED_VALUE"""),0.0)</f>
        <v>0</v>
      </c>
      <c r="AY392" s="4" t="str">
        <f>IFERROR(__xludf.DUMMYFUNCTION("""COMPUTED_VALUE"""),"Altec Sistemas")</f>
        <v>Altec Sistemas</v>
      </c>
      <c r="AZ392" s="4" t="str">
        <f>IFERROR(__xludf.DUMMYFUNCTION("""COMPUTED_VALUE"""),"Japonesa")</f>
        <v>Japonesa</v>
      </c>
      <c r="BA392" s="4" t="str">
        <f>IFERROR(__xludf.DUMMYFUNCTION("""COMPUTED_VALUE"""),"R$ 100-150")</f>
        <v>R$ 100-150</v>
      </c>
      <c r="BB392" s="4" t="str">
        <f>IFERROR(__xludf.DUMMYFUNCTION("""COMPUTED_VALUE"""),"Fast Casual - Restaurante Japonês")</f>
        <v>Fast Casual - Restaurante Japonês</v>
      </c>
      <c r="BC392" s="4" t="str">
        <f>IFERROR(__xludf.DUMMYFUNCTION("""COMPUTED_VALUE"""),"SP e RJ. 3 unidades: São Paulo Itaim Bibi, Niterói/RJ, São Gonçalo/RJ. Possivelmente franquias independentes")</f>
        <v>SP e RJ. 3 unidades: São Paulo Itaim Bibi, Niterói/RJ, São Gonçalo/RJ. Possivelmente franquias independentes</v>
      </c>
      <c r="BD392" s="4" t="str">
        <f>IFERROR(__xludf.DUMMYFUNCTION("""COMPUTED_VALUE"""),"Dado não disponível publicamente - Necessário Discovery")</f>
        <v>Dado não disponível publicamente - Necessário Discovery</v>
      </c>
      <c r="BE392" s="4">
        <f>IFERROR(__xludf.DUMMYFUNCTION("""COMPUTED_VALUE"""),35.0)</f>
        <v>35</v>
      </c>
      <c r="BF392" s="4">
        <f>IFERROR(__xludf.DUMMYFUNCTION("""COMPUTED_VALUE"""),0.38)</f>
        <v>0.38</v>
      </c>
      <c r="BG392" s="4" t="str">
        <f>IFERROR(__xludf.DUMMYFUNCTION("""COMPUTED_VALUE"""),"PDV atual não identificado. Operação pequena sem site oficial ou lista completa de lojas. Baixa aderência por falta de padronização e escala reduzida.")</f>
        <v>PDV atual não identificado. Operação pequena sem site oficial ou lista completa de lojas. Baixa aderência por falta de padronização e escala reduzida.</v>
      </c>
      <c r="BH392" s="4" t="s">
        <v>129</v>
      </c>
      <c r="BI392" s="7">
        <v>1.0</v>
      </c>
    </row>
    <row r="393" hidden="1">
      <c r="A393" s="4" t="str">
        <f>IFERROR(__xludf.DUMMYFUNCTION("""COMPUTED_VALUE"""),"Kouzina")</f>
        <v>Kouzina</v>
      </c>
      <c r="B393" s="4" t="str">
        <f>IFERROR(__xludf.DUMMYFUNCTION("""COMPUTED_VALUE"""),"João Biagiotti")</f>
        <v>João Biagiotti</v>
      </c>
      <c r="C393" s="4" t="str">
        <f>IFERROR(__xludf.DUMMYFUNCTION("""COMPUTED_VALUE"""),"Diego Santos")</f>
        <v>Diego Santos</v>
      </c>
      <c r="D393" s="4" t="str">
        <f>IFERROR(__xludf.DUMMYFUNCTION("""COMPUTED_VALUE"""),"0. Não Iniciado")</f>
        <v>0. Não Iniciado</v>
      </c>
      <c r="E393" s="4" t="str">
        <f>IFERROR(__xludf.DUMMYFUNCTION("""COMPUTED_VALUE"""),"Parceiro - Sem contato válido / Decisor inacessível")</f>
        <v>Parceiro - Sem contato válido / Decisor inacessível</v>
      </c>
      <c r="F393" s="4" t="str">
        <f>IFERROR(__xludf.DUMMYFUNCTION("""COMPUTED_VALUE"""),"P")</f>
        <v>P</v>
      </c>
      <c r="G393" s="5">
        <f>IFERROR(__xludf.DUMMYFUNCTION("""COMPUTED_VALUE"""),46076.0)</f>
        <v>46076</v>
      </c>
      <c r="H393" s="4" t="str">
        <f>IFERROR(__xludf.DUMMYFUNCTION("""COMPUTED_VALUE"""),"Sem contato válido e sem executivo de delivery.")</f>
        <v>Sem contato válido e sem executivo de delivery.</v>
      </c>
      <c r="I393" s="4"/>
      <c r="J393" s="4"/>
      <c r="K393" s="4"/>
      <c r="L393" s="4"/>
      <c r="M393" s="4"/>
      <c r="N393" s="4"/>
      <c r="O393" s="4"/>
      <c r="P393" s="4"/>
      <c r="Q393" s="4"/>
      <c r="R393" s="4"/>
      <c r="S393" s="4"/>
      <c r="T393" s="4"/>
      <c r="U393" s="4"/>
      <c r="V393" s="4"/>
      <c r="W393" s="4"/>
      <c r="X393" s="4"/>
      <c r="Y393" s="4"/>
      <c r="Z393" s="4"/>
      <c r="AA393" s="4">
        <f>IFERROR(__xludf.DUMMYFUNCTION("""COMPUTED_VALUE"""),2.0)</f>
        <v>2</v>
      </c>
      <c r="AB393" s="4" t="str">
        <f>IFERROR(__xludf.DUMMYFUNCTION("""COMPUTED_VALUE"""),"NÃO")</f>
        <v>NÃO</v>
      </c>
      <c r="AC393" s="4" t="str">
        <f>IFERROR(__xludf.DUMMYFUNCTION("""COMPUTED_VALUE"""),"BP")</f>
        <v>BP</v>
      </c>
      <c r="AD393" s="4"/>
      <c r="AE393" s="4"/>
      <c r="AF393" s="4"/>
      <c r="AG393" s="4"/>
      <c r="AH393" s="4"/>
      <c r="AI393" s="4"/>
      <c r="AJ393" s="4"/>
      <c r="AK393" s="4"/>
      <c r="AL393" s="4"/>
      <c r="AM393" s="4" t="str">
        <f>IFERROR(__xludf.DUMMYFUNCTION("""COMPUTED_VALUE"""),"FY26, FY27")</f>
        <v>FY26, FY27</v>
      </c>
      <c r="AN393" s="4"/>
      <c r="AO393" s="4">
        <f>IFERROR(__xludf.DUMMYFUNCTION("""COMPUTED_VALUE"""),140.0)</f>
        <v>140</v>
      </c>
      <c r="AP393" s="4" t="str">
        <f>IFERROR(__xludf.DUMMYFUNCTION("""COMPUTED_VALUE"""),"MG")</f>
        <v>MG</v>
      </c>
      <c r="AQ393" s="4" t="str">
        <f>IFERROR(__xludf.DUMMYFUNCTION("""COMPUTED_VALUE"""),"TAMIRES DIAS")</f>
        <v>TAMIRES DIAS</v>
      </c>
      <c r="AR393" s="4">
        <f>IFERROR(__xludf.DUMMYFUNCTION("""COMPUTED_VALUE"""),0.0)</f>
        <v>0</v>
      </c>
      <c r="AS393" s="4">
        <f>IFERROR(__xludf.DUMMYFUNCTION("""COMPUTED_VALUE"""),0.0)</f>
        <v>0</v>
      </c>
      <c r="AT393" s="4">
        <f>IFERROR(__xludf.DUMMYFUNCTION("""COMPUTED_VALUE"""),0.0)</f>
        <v>0</v>
      </c>
      <c r="AU393" s="4" t="str">
        <f>IFERROR(__xludf.DUMMYFUNCTION("""COMPUTED_VALUE"""),"Iza")</f>
        <v>Iza</v>
      </c>
      <c r="AV393" s="4">
        <f>IFERROR(__xludf.DUMMYFUNCTION("""COMPUTED_VALUE"""),0.0)</f>
        <v>0</v>
      </c>
      <c r="AW393" s="4">
        <f>IFERROR(__xludf.DUMMYFUNCTION("""COMPUTED_VALUE"""),0.0)</f>
        <v>0</v>
      </c>
      <c r="AX393" s="4">
        <f>IFERROR(__xludf.DUMMYFUNCTION("""COMPUTED_VALUE"""),0.0)</f>
        <v>0</v>
      </c>
      <c r="AY393" s="4"/>
      <c r="AZ393" s="4" t="str">
        <f>IFERROR(__xludf.DUMMYFUNCTION("""COMPUTED_VALUE"""),"Brasileira")</f>
        <v>Brasileira</v>
      </c>
      <c r="BA393" s="4" t="str">
        <f>IFERROR(__xludf.DUMMYFUNCTION("""COMPUTED_VALUE"""),"R$ 90-130")</f>
        <v>R$ 90-130</v>
      </c>
      <c r="BB393" s="4" t="str">
        <f>IFERROR(__xludf.DUMMYFUNCTION("""COMPUTED_VALUE"""),"Fast Casual Premium - Restaurante Grego-Mediterrâneo")</f>
        <v>Fast Casual Premium - Restaurante Grego-Mediterrâneo</v>
      </c>
      <c r="BC393" s="4" t="str">
        <f>IFERROR(__xludf.DUMMYFUNCTION("""COMPUTED_VALUE"""),"São Paulo/SP. 2 unidades (Jardins Rua Peixoto Gomide, Shopping Cidade Jardim). Operação local, 1 unidade fechada em Pinheiros")</f>
        <v>São Paulo/SP. 2 unidades (Jardins Rua Peixoto Gomide, Shopping Cidade Jardim). Operação local, 1 unidade fechada em Pinheiros</v>
      </c>
      <c r="BD393" s="4" t="str">
        <f>IFERROR(__xludf.DUMMYFUNCTION("""COMPUTED_VALUE"""),"Dado não disponível publicamente - Necessário Discovery. Comemora 10 anos em 2025")</f>
        <v>Dado não disponível publicamente - Necessário Discovery. Comemora 10 anos em 2025</v>
      </c>
      <c r="BE393" s="4">
        <f>IFERROR(__xludf.DUMMYFUNCTION("""COMPUTED_VALUE"""),42.0)</f>
        <v>42</v>
      </c>
      <c r="BF393" s="4">
        <f>IFERROR(__xludf.DUMMYFUNCTION("""COMPUTED_VALUE"""),0.45)</f>
        <v>0.45</v>
      </c>
      <c r="BG393" s="4" t="str">
        <f>IFERROR(__xludf.DUMMYFUNCTION("""COMPUTED_VALUE"""),"PDV atual não identificado. Operação boutique grega com público premium. Escala muito reduzida (2 lojas) limita potencial. 3S seria oversized para operação atual.")</f>
        <v>PDV atual não identificado. Operação boutique grega com público premium. Escala muito reduzida (2 lojas) limita potencial. 3S seria oversized para operação atual.</v>
      </c>
      <c r="BH393" s="4" t="s">
        <v>63</v>
      </c>
      <c r="BI393" s="7" t="s">
        <v>63</v>
      </c>
    </row>
    <row r="394" hidden="1">
      <c r="A394" s="4" t="str">
        <f>IFERROR(__xludf.DUMMYFUNCTION("""COMPUTED_VALUE"""),"La Braciera Pizzaria")</f>
        <v>La Braciera Pizzaria</v>
      </c>
      <c r="B394" s="4" t="str">
        <f>IFERROR(__xludf.DUMMYFUNCTION("""COMPUTED_VALUE"""),"Lídia Esteves")</f>
        <v>Lídia Esteves</v>
      </c>
      <c r="C394" s="4" t="str">
        <f>IFERROR(__xludf.DUMMYFUNCTION("""COMPUTED_VALUE"""),"Gabriela Roma")</f>
        <v>Gabriela Roma</v>
      </c>
      <c r="D394" s="4" t="str">
        <f>IFERROR(__xludf.DUMMYFUNCTION("""COMPUTED_VALUE"""),"0. Não Iniciado")</f>
        <v>0. Não Iniciado</v>
      </c>
      <c r="E394" s="4"/>
      <c r="F394" s="4" t="str">
        <f>IFERROR(__xludf.DUMMYFUNCTION("""COMPUTED_VALUE"""),"P")</f>
        <v>P</v>
      </c>
      <c r="G394" s="4"/>
      <c r="H394" s="4"/>
      <c r="I394" s="4"/>
      <c r="J394" s="4"/>
      <c r="K394" s="4"/>
      <c r="L394" s="4"/>
      <c r="M394" s="4"/>
      <c r="N394" s="4"/>
      <c r="O394" s="4"/>
      <c r="P394" s="4"/>
      <c r="Q394" s="4"/>
      <c r="R394" s="4"/>
      <c r="S394" s="4"/>
      <c r="T394" s="4"/>
      <c r="U394" s="4"/>
      <c r="V394" s="4"/>
      <c r="W394" s="4"/>
      <c r="X394" s="4"/>
      <c r="Y394" s="4"/>
      <c r="Z394" s="4"/>
      <c r="AA394" s="4">
        <f>IFERROR(__xludf.DUMMYFUNCTION("""COMPUTED_VALUE"""),7.0)</f>
        <v>7</v>
      </c>
      <c r="AB394" s="4" t="str">
        <f>IFERROR(__xludf.DUMMYFUNCTION("""COMPUTED_VALUE"""),"-")</f>
        <v>-</v>
      </c>
      <c r="AC394" s="4" t="str">
        <f>IFERROR(__xludf.DUMMYFUNCTION("""COMPUTED_VALUE"""),"-")</f>
        <v>-</v>
      </c>
      <c r="AD394" s="4"/>
      <c r="AE394" s="4"/>
      <c r="AF394" s="4"/>
      <c r="AG394" s="4"/>
      <c r="AH394" s="4"/>
      <c r="AI394" s="4"/>
      <c r="AJ394" s="4"/>
      <c r="AK394" s="4"/>
      <c r="AL394" s="4"/>
      <c r="AM394" s="4" t="str">
        <f>IFERROR(__xludf.DUMMYFUNCTION("""COMPUTED_VALUE"""),"FY26, FY27")</f>
        <v>FY26, FY27</v>
      </c>
      <c r="AN394" s="4"/>
      <c r="AO394" s="4">
        <f>IFERROR(__xludf.DUMMYFUNCTION("""COMPUTED_VALUE"""),45553.0)</f>
        <v>45553</v>
      </c>
      <c r="AP394" s="4">
        <f>IFERROR(__xludf.DUMMYFUNCTION("""COMPUTED_VALUE"""),0.0)</f>
        <v>0</v>
      </c>
      <c r="AQ394" s="4">
        <f>IFERROR(__xludf.DUMMYFUNCTION("""COMPUTED_VALUE"""),0.0)</f>
        <v>0</v>
      </c>
      <c r="AR394" s="4">
        <f>IFERROR(__xludf.DUMMYFUNCTION("""COMPUTED_VALUE"""),0.0)</f>
        <v>0</v>
      </c>
      <c r="AS394" s="4">
        <f>IFERROR(__xludf.DUMMYFUNCTION("""COMPUTED_VALUE"""),0.0)</f>
        <v>0</v>
      </c>
      <c r="AT394" s="4">
        <f>IFERROR(__xludf.DUMMYFUNCTION("""COMPUTED_VALUE"""),0.0)</f>
        <v>0</v>
      </c>
      <c r="AU394" s="4" t="str">
        <f>IFERROR(__xludf.DUMMYFUNCTION("""COMPUTED_VALUE"""),"Emerson")</f>
        <v>Emerson</v>
      </c>
      <c r="AV394" s="4">
        <f>IFERROR(__xludf.DUMMYFUNCTION("""COMPUTED_VALUE"""),0.0)</f>
        <v>0</v>
      </c>
      <c r="AW394" s="4">
        <f>IFERROR(__xludf.DUMMYFUNCTION("""COMPUTED_VALUE"""),0.0)</f>
        <v>0</v>
      </c>
      <c r="AX394" s="4">
        <f>IFERROR(__xludf.DUMMYFUNCTION("""COMPUTED_VALUE"""),0.0)</f>
        <v>0</v>
      </c>
      <c r="AY394" s="4"/>
      <c r="AZ394" s="4" t="str">
        <f>IFERROR(__xludf.DUMMYFUNCTION("""COMPUTED_VALUE"""),"Pizza")</f>
        <v>Pizza</v>
      </c>
      <c r="BA394" s="4" t="str">
        <f>IFERROR(__xludf.DUMMYFUNCTION("""COMPUTED_VALUE"""),"R$ 100-130")</f>
        <v>R$ 100-130</v>
      </c>
      <c r="BB394" s="4" t="str">
        <f>IFERROR(__xludf.DUMMYFUNCTION("""COMPUTED_VALUE"""),"Fast Casual Premium - Pizzaria Napolitana")</f>
        <v>Fast Casual Premium - Pizzaria Napolitana</v>
      </c>
      <c r="BC394" s="4" t="str">
        <f>IFERROR(__xludf.DUMMYFUNCTION("""COMPUTED_VALUE"""),"Matriz: São Paulo/SP. 7 unidades: 6 em SP (Jardins, Tatuapé, Morumbi, Santana, Higienópolis, Moema), 1 Campinas. Meta: 17 unidades até 2027")</f>
        <v>Matriz: São Paulo/SP. 7 unidades: 6 em SP (Jardins, Tatuapé, Morumbi, Santana, Higienópolis, Moema), 1 Campinas. Meta: 17 unidades até 2027</v>
      </c>
      <c r="BD394" s="4" t="str">
        <f>IFERROR(__xludf.DUMMYFUNCTION("""COMPUTED_VALUE"""),"R$ 53 milhões (2026). Crescimento de 274% (2022: R$ 3,2 mi → 2023: R$ 11,8 mi). Produz 20 mil pizzas/mês")</f>
        <v>R$ 53 milhões (2026). Crescimento de 274% (2022: R$ 3,2 mi → 2023: R$ 11,8 mi). Produz 20 mil pizzas/mês</v>
      </c>
      <c r="BE394" s="4">
        <f>IFERROR(__xludf.DUMMYFUNCTION("""COMPUTED_VALUE"""),76.0)</f>
        <v>76</v>
      </c>
      <c r="BF394" s="4">
        <f>IFERROR(__xludf.DUMMYFUNCTION("""COMPUTED_VALUE"""),0.8)</f>
        <v>0.8</v>
      </c>
      <c r="BG394" s="4" t="str">
        <f>IFERROR(__xludf.DUMMYFUNCTION("""COMPUTED_VALUE"""),"PDV atual não identificado. Crescimento exponencial (274% a.a.) com reconhecimento internacional (35ª melhor rede mundial 50 Top Pizza). 3S é estratégico para padronização na expansão agressiva planejada (17 lojas 2027). Alto potencial.")</f>
        <v>PDV atual não identificado. Crescimento exponencial (274% a.a.) com reconhecimento internacional (35ª melhor rede mundial 50 Top Pizza). 3S é estratégico para padronização na expansão agressiva planejada (17 lojas 2027). Alto potencial.</v>
      </c>
      <c r="BH394" s="4" t="s">
        <v>63</v>
      </c>
      <c r="BI394" s="7" t="s">
        <v>63</v>
      </c>
    </row>
    <row r="395" hidden="1">
      <c r="A395" s="4" t="str">
        <f>IFERROR(__xludf.DUMMYFUNCTION("""COMPUTED_VALUE"""),"La Guapa")</f>
        <v>La Guapa</v>
      </c>
      <c r="B395" s="4" t="str">
        <f>IFERROR(__xludf.DUMMYFUNCTION("""COMPUTED_VALUE"""),"Michel")</f>
        <v>Michel</v>
      </c>
      <c r="C395" s="4" t="str">
        <f>IFERROR(__xludf.DUMMYFUNCTION("""COMPUTED_VALUE"""),"Michel")</f>
        <v>Michel</v>
      </c>
      <c r="D395" s="4" t="str">
        <f>IFERROR(__xludf.DUMMYFUNCTION("""COMPUTED_VALUE"""),"7. Piloto")</f>
        <v>7. Piloto</v>
      </c>
      <c r="E395" s="4" t="str">
        <f>IFERROR(__xludf.DUMMYFUNCTION("""COMPUTED_VALUE"""),"Projetos - Contrato assinado mas com trava técnica")</f>
        <v>Projetos - Contrato assinado mas com trava técnica</v>
      </c>
      <c r="F395" s="4" t="str">
        <f>IFERROR(__xludf.DUMMYFUNCTION("""COMPUTED_VALUE"""),"M")</f>
        <v>M</v>
      </c>
      <c r="G395" s="4"/>
      <c r="H395" s="4" t="str">
        <f>IFERROR(__xludf.DUMMYFUNCTION("""COMPUTED_VALUE"""),"Validar investimento para integração com Vcqpede")</f>
        <v>Validar investimento para integração com Vcqpede</v>
      </c>
      <c r="I395" s="4"/>
      <c r="J395" s="4"/>
      <c r="K395" s="6">
        <f>IFERROR(__xludf.DUMMYFUNCTION("""COMPUTED_VALUE"""),45838.0)</f>
        <v>45838</v>
      </c>
      <c r="L395" s="4"/>
      <c r="M395" s="4"/>
      <c r="N395" s="4"/>
      <c r="O395" s="6">
        <f>IFERROR(__xludf.DUMMYFUNCTION("""COMPUTED_VALUE"""),46055.39034986111)</f>
        <v>46055.39035</v>
      </c>
      <c r="P395" s="4"/>
      <c r="Q395" s="4"/>
      <c r="R395" s="4"/>
      <c r="S395" s="4"/>
      <c r="T395" s="4"/>
      <c r="U395" s="4"/>
      <c r="V395" s="4"/>
      <c r="W395" s="4"/>
      <c r="X395" s="4"/>
      <c r="Y395" s="4"/>
      <c r="Z395" s="4"/>
      <c r="AA395" s="4">
        <f>IFERROR(__xludf.DUMMYFUNCTION("""COMPUTED_VALUE"""),36.0)</f>
        <v>36</v>
      </c>
      <c r="AB395" s="4" t="str">
        <f>IFERROR(__xludf.DUMMYFUNCTION("""COMPUTED_VALUE"""),"NÃO")</f>
        <v>NÃO</v>
      </c>
      <c r="AC395" s="4" t="str">
        <f>IFERROR(__xludf.DUMMYFUNCTION("""COMPUTED_VALUE"""),"BP")</f>
        <v>BP</v>
      </c>
      <c r="AD395" s="4"/>
      <c r="AE395" s="4">
        <f>IFERROR(__xludf.DUMMYFUNCTION("""COMPUTED_VALUE"""),1.0)</f>
        <v>1</v>
      </c>
      <c r="AF395" s="4">
        <f>IFERROR(__xludf.DUMMYFUNCTION("""COMPUTED_VALUE"""),46023.0)</f>
        <v>46023</v>
      </c>
      <c r="AG395" s="4">
        <f>IFERROR(__xludf.DUMMYFUNCTION("""COMPUTED_VALUE"""),2.0)</f>
        <v>2</v>
      </c>
      <c r="AH395" s="4"/>
      <c r="AI395" s="4"/>
      <c r="AJ395" s="4"/>
      <c r="AK395" s="4"/>
      <c r="AL395" s="4"/>
      <c r="AM395" s="4" t="str">
        <f>IFERROR(__xludf.DUMMYFUNCTION("""COMPUTED_VALUE"""),"FY26, FY27")</f>
        <v>FY26, FY27</v>
      </c>
      <c r="AN395" s="4"/>
      <c r="AO395" s="4">
        <f>IFERROR(__xludf.DUMMYFUNCTION("""COMPUTED_VALUE"""),45553.0)</f>
        <v>45553</v>
      </c>
      <c r="AP395" s="4" t="str">
        <f>IFERROR(__xludf.DUMMYFUNCTION("""COMPUTED_VALUE"""),"SP")</f>
        <v>SP</v>
      </c>
      <c r="AQ395" s="4" t="str">
        <f>IFERROR(__xludf.DUMMYFUNCTION("""COMPUTED_VALUE"""),"LOUREIRO RAFAEL")</f>
        <v>LOUREIRO RAFAEL</v>
      </c>
      <c r="AR395" s="4">
        <f>IFERROR(__xludf.DUMMYFUNCTION("""COMPUTED_VALUE"""),0.0)</f>
        <v>0</v>
      </c>
      <c r="AS395" s="4">
        <f>IFERROR(__xludf.DUMMYFUNCTION("""COMPUTED_VALUE"""),0.0)</f>
        <v>0</v>
      </c>
      <c r="AT395" s="4">
        <f>IFERROR(__xludf.DUMMYFUNCTION("""COMPUTED_VALUE"""),0.0)</f>
        <v>0</v>
      </c>
      <c r="AU395" s="4" t="str">
        <f>IFERROR(__xludf.DUMMYFUNCTION("""COMPUTED_VALUE"""),"Michel")</f>
        <v>Michel</v>
      </c>
      <c r="AV395" s="4">
        <f>IFERROR(__xludf.DUMMYFUNCTION("""COMPUTED_VALUE"""),0.0)</f>
        <v>0</v>
      </c>
      <c r="AW395" s="4">
        <f>IFERROR(__xludf.DUMMYFUNCTION("""COMPUTED_VALUE"""),0.0)</f>
        <v>0</v>
      </c>
      <c r="AX395" s="4">
        <f>IFERROR(__xludf.DUMMYFUNCTION("""COMPUTED_VALUE"""),0.0)</f>
        <v>0</v>
      </c>
      <c r="AY395" s="4">
        <f>IFERROR(__xludf.DUMMYFUNCTION("""COMPUTED_VALUE"""),0.0)</f>
        <v>0</v>
      </c>
      <c r="AZ395" s="4" t="str">
        <f>IFERROR(__xludf.DUMMYFUNCTION("""COMPUTED_VALUE"""),"Lanches")</f>
        <v>Lanches</v>
      </c>
      <c r="BA395" s="4" t="str">
        <f>IFERROR(__xludf.DUMMYFUNCTION("""COMPUTED_VALUE"""),"R$ 25-35 (R$ 15/empanada)")</f>
        <v>R$ 25-35 (R$ 15/empanada)</v>
      </c>
      <c r="BB395" s="4" t="str">
        <f>IFERROR(__xludf.DUMMYFUNCTION("""COMPUTED_VALUE"""),"QSR - Quick Service (Empanadas artesanais)")</f>
        <v>QSR - Quick Service (Empanadas artesanais)</v>
      </c>
      <c r="BC395" s="4" t="str">
        <f>IFERROR(__xludf.DUMMYFUNCTION("""COMPUTED_VALUE"""),"Matriz: São Paulo/SP. 36 lojas em SP (21 capital + 8 interior), RJ (3), MG (1), PR (1 Curitiba), DF (2). Marca de Paola Carosella, expansão nacional")</f>
        <v>Matriz: São Paulo/SP. 36 lojas em SP (21 capital + 8 interior), RJ (3), MG (1), PR (1 Curitiba), DF (2). Marca de Paola Carosella, expansão nacional</v>
      </c>
      <c r="BD395" s="4" t="str">
        <f>IFERROR(__xludf.DUMMYFUNCTION("""COMPUTED_VALUE"""),"R$ 100 milhões (projeção 2025). 2024: R$ 75 milhões. Meta: 150 lojas até 2030")</f>
        <v>R$ 100 milhões (projeção 2025). 2024: R$ 75 milhões. Meta: 150 lojas até 2030</v>
      </c>
      <c r="BE395" s="4">
        <f>IFERROR(__xludf.DUMMYFUNCTION("""COMPUTED_VALUE"""),82.0)</f>
        <v>82</v>
      </c>
      <c r="BF395" s="4">
        <f>IFERROR(__xludf.DUMMYFUNCTION("""COMPUTED_VALUE"""),0.86)</f>
        <v>0.86</v>
      </c>
      <c r="BG395" s="4" t="str">
        <f>IFERROR(__xludf.DUMMYFUNCTION("""COMPUTED_VALUE"""),"PDV atual não identificado. Rede em franca expansão (R$ 75Mi → R$ 100Mi) com marca forte (Paola Carosella). Fábrica própria indica profissionalismo. 3S pode padronizar franquias em crescimento, garantindo consistência operacional em aeroportos e shoppings"&amp;".")</f>
        <v>PDV atual não identificado. Rede em franca expansão (R$ 75Mi → R$ 100Mi) com marca forte (Paola Carosella). Fábrica própria indica profissionalismo. 3S pode padronizar franquias em crescimento, garantindo consistência operacional em aeroportos e shoppings.</v>
      </c>
      <c r="BH395" s="4" t="s">
        <v>63</v>
      </c>
      <c r="BI395" s="7" t="s">
        <v>63</v>
      </c>
    </row>
    <row r="396" hidden="1">
      <c r="A396" s="4" t="str">
        <f>IFERROR(__xludf.DUMMYFUNCTION("""COMPUTED_VALUE"""),"Lacerda Lanches")</f>
        <v>Lacerda Lanches</v>
      </c>
      <c r="B396" s="4" t="str">
        <f>IFERROR(__xludf.DUMMYFUNCTION("""COMPUTED_VALUE"""),"Lídia Esteves")</f>
        <v>Lídia Esteves</v>
      </c>
      <c r="C396" s="4" t="str">
        <f>IFERROR(__xludf.DUMMYFUNCTION("""COMPUTED_VALUE"""),"Gabriela Roma")</f>
        <v>Gabriela Roma</v>
      </c>
      <c r="D396" s="4" t="str">
        <f>IFERROR(__xludf.DUMMYFUNCTION("""COMPUTED_VALUE"""),"0. Não Iniciado")</f>
        <v>0. Não Iniciado</v>
      </c>
      <c r="E396" s="4"/>
      <c r="F396" s="4" t="str">
        <f>IFERROR(__xludf.DUMMYFUNCTION("""COMPUTED_VALUE"""),"P")</f>
        <v>P</v>
      </c>
      <c r="G396" s="4"/>
      <c r="H396" s="4"/>
      <c r="I396" s="4"/>
      <c r="J396" s="4"/>
      <c r="K396" s="4"/>
      <c r="L396" s="4"/>
      <c r="M396" s="4"/>
      <c r="N396" s="4"/>
      <c r="O396" s="4"/>
      <c r="P396" s="4"/>
      <c r="Q396" s="4"/>
      <c r="R396" s="4"/>
      <c r="S396" s="4"/>
      <c r="T396" s="4"/>
      <c r="U396" s="4"/>
      <c r="V396" s="4"/>
      <c r="W396" s="4"/>
      <c r="X396" s="4"/>
      <c r="Y396" s="4"/>
      <c r="Z396" s="4"/>
      <c r="AA396" s="4">
        <f>IFERROR(__xludf.DUMMYFUNCTION("""COMPUTED_VALUE"""),9.0)</f>
        <v>9</v>
      </c>
      <c r="AB396" s="4" t="str">
        <f>IFERROR(__xludf.DUMMYFUNCTION("""COMPUTED_VALUE"""),"-")</f>
        <v>-</v>
      </c>
      <c r="AC396" s="4" t="str">
        <f>IFERROR(__xludf.DUMMYFUNCTION("""COMPUTED_VALUE"""),"-")</f>
        <v>-</v>
      </c>
      <c r="AD396" s="4"/>
      <c r="AE396" s="4"/>
      <c r="AF396" s="4"/>
      <c r="AG396" s="4"/>
      <c r="AH396" s="4"/>
      <c r="AI396" s="4"/>
      <c r="AJ396" s="4"/>
      <c r="AK396" s="4"/>
      <c r="AL396" s="4"/>
      <c r="AM396" s="4" t="str">
        <f>IFERROR(__xludf.DUMMYFUNCTION("""COMPUTED_VALUE"""),"FY26, FY27")</f>
        <v>FY26, FY27</v>
      </c>
      <c r="AN396" s="4"/>
      <c r="AO396" s="4">
        <f>IFERROR(__xludf.DUMMYFUNCTION("""COMPUTED_VALUE"""),45553.0)</f>
        <v>45553</v>
      </c>
      <c r="AP396" s="4" t="str">
        <f>IFERROR(__xludf.DUMMYFUNCTION("""COMPUTED_VALUE"""),"PR")</f>
        <v>PR</v>
      </c>
      <c r="AQ396" s="4" t="str">
        <f>IFERROR(__xludf.DUMMYFUNCTION("""COMPUTED_VALUE"""),"BRUNA MONTEZIN")</f>
        <v>BRUNA MONTEZIN</v>
      </c>
      <c r="AR396" s="4" t="str">
        <f>IFERROR(__xludf.DUMMYFUNCTION("""COMPUTED_VALUE"""),"LYAMARA OLTRAMARI")</f>
        <v>LYAMARA OLTRAMARI</v>
      </c>
      <c r="AS396" s="4" t="str">
        <f>IFERROR(__xludf.DUMMYFUNCTION("""COMPUTED_VALUE"""),"FABIO DONATO")</f>
        <v>FABIO DONATO</v>
      </c>
      <c r="AT396" s="4" t="str">
        <f>IFERROR(__xludf.DUMMYFUNCTION("""COMPUTED_VALUE"""),"MURILO NAGASHIMA")</f>
        <v>MURILO NAGASHIMA</v>
      </c>
      <c r="AU396" s="4" t="str">
        <f>IFERROR(__xludf.DUMMYFUNCTION("""COMPUTED_VALUE"""),"Lídia / Emerson")</f>
        <v>Lídia / Emerson</v>
      </c>
      <c r="AV396" s="4">
        <f>IFERROR(__xludf.DUMMYFUNCTION("""COMPUTED_VALUE"""),0.0)</f>
        <v>0</v>
      </c>
      <c r="AW396" s="4">
        <f>IFERROR(__xludf.DUMMYFUNCTION("""COMPUTED_VALUE"""),0.0)</f>
        <v>0</v>
      </c>
      <c r="AX396" s="4">
        <f>IFERROR(__xludf.DUMMYFUNCTION("""COMPUTED_VALUE"""),0.0)</f>
        <v>0</v>
      </c>
      <c r="AY396" s="4"/>
      <c r="AZ396" s="4" t="str">
        <f>IFERROR(__xludf.DUMMYFUNCTION("""COMPUTED_VALUE"""),"Lanches")</f>
        <v>Lanches</v>
      </c>
      <c r="BA396" s="4" t="str">
        <f>IFERROR(__xludf.DUMMYFUNCTION("""COMPUTED_VALUE"""),"R$ 25-40")</f>
        <v>R$ 25-40</v>
      </c>
      <c r="BB396" s="4" t="str">
        <f>IFERROR(__xludf.DUMMYFUNCTION("""COMPUTED_VALUE"""),"Table Service Local - Lanchonete independente")</f>
        <v>Table Service Local - Lanchonete independente</v>
      </c>
      <c r="BC396" s="4" t="str">
        <f>IFERROR(__xludf.DUMMYFUNCTION("""COMPUTED_VALUE"""),"Unidades independentes em Cascavel/PR, Sertãozinho/SP, Espera Feliz/MG. Não é rede, são estabelecimentos sem conexão")</f>
        <v>Unidades independentes em Cascavel/PR, Sertãozinho/SP, Espera Feliz/MG. Não é rede, são estabelecimentos sem conexão</v>
      </c>
      <c r="BD396" s="4" t="str">
        <f>IFERROR(__xludf.DUMMYFUNCTION("""COMPUTED_VALUE"""),"Não aplicável - São estabelecimentos independentes")</f>
        <v>Não aplicável - São estabelecimentos independentes</v>
      </c>
      <c r="BE396" s="4">
        <f>IFERROR(__xludf.DUMMYFUNCTION("""COMPUTED_VALUE"""),8.0)</f>
        <v>8</v>
      </c>
      <c r="BF396" s="4">
        <f>IFERROR(__xludf.DUMMYFUNCTION("""COMPUTED_VALUE"""),0.1)</f>
        <v>0.1</v>
      </c>
      <c r="BG396" s="4" t="str">
        <f>IFERROR(__xludf.DUMMYFUNCTION("""COMPUTED_VALUE"""),"Não aplicável. São lanchonetes locais independentes com nome similar, sem conexão entre si. Sem potencial para 3S.")</f>
        <v>Não aplicável. São lanchonetes locais independentes com nome similar, sem conexão entre si. Sem potencial para 3S.</v>
      </c>
      <c r="BH396" s="4" t="s">
        <v>63</v>
      </c>
      <c r="BI396" s="7" t="s">
        <v>63</v>
      </c>
    </row>
    <row r="397" hidden="1">
      <c r="A397" s="4" t="str">
        <f>IFERROR(__xludf.DUMMYFUNCTION("""COMPUTED_VALUE"""),"Le Blond")</f>
        <v>Le Blond</v>
      </c>
      <c r="B397" s="4" t="str">
        <f>IFERROR(__xludf.DUMMYFUNCTION("""COMPUTED_VALUE"""),"João Biagiotti")</f>
        <v>João Biagiotti</v>
      </c>
      <c r="C397" s="4" t="str">
        <f>IFERROR(__xludf.DUMMYFUNCTION("""COMPUTED_VALUE"""),"Diego Santos")</f>
        <v>Diego Santos</v>
      </c>
      <c r="D397" s="4" t="str">
        <f>IFERROR(__xludf.DUMMYFUNCTION("""COMPUTED_VALUE"""),"0. Não Iniciado")</f>
        <v>0. Não Iniciado</v>
      </c>
      <c r="E397" s="4" t="str">
        <f>IFERROR(__xludf.DUMMYFUNCTION("""COMPUTED_VALUE"""),"Parceiro - Sem contato válido / Decisor inacessível")</f>
        <v>Parceiro - Sem contato válido / Decisor inacessível</v>
      </c>
      <c r="F397" s="4" t="str">
        <f>IFERROR(__xludf.DUMMYFUNCTION("""COMPUTED_VALUE"""),"P")</f>
        <v>P</v>
      </c>
      <c r="G397" s="5">
        <f>IFERROR(__xludf.DUMMYFUNCTION("""COMPUTED_VALUE"""),46076.0)</f>
        <v>46076</v>
      </c>
      <c r="H397" s="4" t="str">
        <f>IFERROR(__xludf.DUMMYFUNCTION("""COMPUTED_VALUE"""),"Sem contato válido e sem executivo de delivery.")</f>
        <v>Sem contato válido e sem executivo de delivery.</v>
      </c>
      <c r="I397" s="4"/>
      <c r="J397" s="4"/>
      <c r="K397" s="4"/>
      <c r="L397" s="4"/>
      <c r="M397" s="4"/>
      <c r="N397" s="4"/>
      <c r="O397" s="4"/>
      <c r="P397" s="4"/>
      <c r="Q397" s="4"/>
      <c r="R397" s="4"/>
      <c r="S397" s="4"/>
      <c r="T397" s="4"/>
      <c r="U397" s="4"/>
      <c r="V397" s="4"/>
      <c r="W397" s="4"/>
      <c r="X397" s="4"/>
      <c r="Y397" s="4"/>
      <c r="Z397" s="4"/>
      <c r="AA397" s="4">
        <f>IFERROR(__xludf.DUMMYFUNCTION("""COMPUTED_VALUE"""),6.0)</f>
        <v>6</v>
      </c>
      <c r="AB397" s="4" t="str">
        <f>IFERROR(__xludf.DUMMYFUNCTION("""COMPUTED_VALUE"""),"NÃO")</f>
        <v>NÃO</v>
      </c>
      <c r="AC397" s="4" t="str">
        <f>IFERROR(__xludf.DUMMYFUNCTION("""COMPUTED_VALUE"""),"BP")</f>
        <v>BP</v>
      </c>
      <c r="AD397" s="4"/>
      <c r="AE397" s="4"/>
      <c r="AF397" s="4"/>
      <c r="AG397" s="4"/>
      <c r="AH397" s="4"/>
      <c r="AI397" s="4"/>
      <c r="AJ397" s="4"/>
      <c r="AK397" s="4"/>
      <c r="AL397" s="4"/>
      <c r="AM397" s="4" t="str">
        <f>IFERROR(__xludf.DUMMYFUNCTION("""COMPUTED_VALUE"""),"FY26, FY27")</f>
        <v>FY26, FY27</v>
      </c>
      <c r="AN397" s="4" t="str">
        <f>IFERROR(__xludf.DUMMYFUNCTION("""COMPUTED_VALUE"""),"Comer Fora")</f>
        <v>Comer Fora</v>
      </c>
      <c r="AO397" s="4">
        <f>IFERROR(__xludf.DUMMYFUNCTION("""COMPUTED_VALUE"""),140.0)</f>
        <v>140</v>
      </c>
      <c r="AP397" s="4" t="str">
        <f>IFERROR(__xludf.DUMMYFUNCTION("""COMPUTED_VALUE"""),"RJ")</f>
        <v>RJ</v>
      </c>
      <c r="AQ397" s="4" t="str">
        <f>IFERROR(__xludf.DUMMYFUNCTION("""COMPUTED_VALUE"""),"THIAGO FERNANDES")</f>
        <v>THIAGO FERNANDES</v>
      </c>
      <c r="AR397" s="4" t="str">
        <f>IFERROR(__xludf.DUMMYFUNCTION("""COMPUTED_VALUE"""),"GABRIEL VARELLA")</f>
        <v>GABRIEL VARELLA</v>
      </c>
      <c r="AS397" s="4" t="str">
        <f>IFERROR(__xludf.DUMMYFUNCTION("""COMPUTED_VALUE"""),"NATHALIE MERTENS")</f>
        <v>NATHALIE MERTENS</v>
      </c>
      <c r="AT397" s="4" t="str">
        <f>IFERROR(__xludf.DUMMYFUNCTION("""COMPUTED_VALUE"""),"MARIANA KATZ")</f>
        <v>MARIANA KATZ</v>
      </c>
      <c r="AU397" s="4" t="str">
        <f>IFERROR(__xludf.DUMMYFUNCTION("""COMPUTED_VALUE"""),"Iza")</f>
        <v>Iza</v>
      </c>
      <c r="AV397" s="4">
        <f>IFERROR(__xludf.DUMMYFUNCTION("""COMPUTED_VALUE"""),0.0)</f>
        <v>0</v>
      </c>
      <c r="AW397" s="4">
        <f>IFERROR(__xludf.DUMMYFUNCTION("""COMPUTED_VALUE"""),0.0)</f>
        <v>0</v>
      </c>
      <c r="AX397" s="4">
        <f>IFERROR(__xludf.DUMMYFUNCTION("""COMPUTED_VALUE"""),0.0)</f>
        <v>0</v>
      </c>
      <c r="AY397" s="4" t="str">
        <f>IFERROR(__xludf.DUMMYFUNCTION("""COMPUTED_VALUE"""),"Menew - Linx")</f>
        <v>Menew - Linx</v>
      </c>
      <c r="AZ397" s="4" t="str">
        <f>IFERROR(__xludf.DUMMYFUNCTION("""COMPUTED_VALUE"""),"Carnes")</f>
        <v>Carnes</v>
      </c>
      <c r="BA397" s="4" t="str">
        <f>IFERROR(__xludf.DUMMYFUNCTION("""COMPUTED_VALUE"""),"R$ 120-180")</f>
        <v>R$ 120-180</v>
      </c>
      <c r="BB397" s="4" t="str">
        <f>IFERROR(__xludf.DUMMYFUNCTION("""COMPUTED_VALUE"""),"Fine Dining - Bistrô Franco-Brasileiro")</f>
        <v>Fine Dining - Bistrô Franco-Brasileiro</v>
      </c>
      <c r="BC397" s="4" t="str">
        <f>IFERROR(__xludf.DUMMYFUNCTION("""COMPUTED_VALUE"""),"Rio de Janeiro/RJ. Única unidade no Leblon (Av. Ataulfo de Paiva, 1321). Grupo Troisgros (Chef Claude Troisgros)")</f>
        <v>Rio de Janeiro/RJ. Única unidade no Leblon (Av. Ataulfo de Paiva, 1321). Grupo Troisgros (Chef Claude Troisgros)</v>
      </c>
      <c r="BD397" s="4" t="str">
        <f>IFERROR(__xludf.DUMMYFUNCTION("""COMPUTED_VALUE"""),"Dado não disponível publicamente - Necessário Discovery")</f>
        <v>Dado não disponível publicamente - Necessário Discovery</v>
      </c>
      <c r="BE397" s="4">
        <f>IFERROR(__xludf.DUMMYFUNCTION("""COMPUTED_VALUE"""),25.0)</f>
        <v>25</v>
      </c>
      <c r="BF397" s="4">
        <f>IFERROR(__xludf.DUMMYFUNCTION("""COMPUTED_VALUE"""),0.28)</f>
        <v>0.28</v>
      </c>
      <c r="BG397" s="4" t="str">
        <f>IFERROR(__xludf.DUMMYFUNCTION("""COMPUTED_VALUE"""),"PDV atual não identificado. Operação única de alta gastronomia sem expansão. Baixíssima aderência - 3S não é adequado para single location fine dining.")</f>
        <v>PDV atual não identificado. Operação única de alta gastronomia sem expansão. Baixíssima aderência - 3S não é adequado para single location fine dining.</v>
      </c>
      <c r="BH397" s="4" t="s">
        <v>75</v>
      </c>
      <c r="BI397" s="7">
        <v>0.4444444444444444</v>
      </c>
    </row>
    <row r="398" hidden="1">
      <c r="A398" s="4" t="str">
        <f>IFERROR(__xludf.DUMMYFUNCTION("""COMPUTED_VALUE"""),"Lecado")</f>
        <v>Lecado</v>
      </c>
      <c r="B398" s="4" t="str">
        <f>IFERROR(__xludf.DUMMYFUNCTION("""COMPUTED_VALUE"""),"Emerson")</f>
        <v>Emerson</v>
      </c>
      <c r="C398" s="4" t="str">
        <f>IFERROR(__xludf.DUMMYFUNCTION("""COMPUTED_VALUE"""),"Emerson")</f>
        <v>Emerson</v>
      </c>
      <c r="D398" s="4" t="str">
        <f>IFERROR(__xludf.DUMMYFUNCTION("""COMPUTED_VALUE"""),"6. Negociação")</f>
        <v>6. Negociação</v>
      </c>
      <c r="E398" s="4"/>
      <c r="F398" s="4" t="str">
        <f>IFERROR(__xludf.DUMMYFUNCTION("""COMPUTED_VALUE"""),"M")</f>
        <v>M</v>
      </c>
      <c r="G398" s="4"/>
      <c r="H398" s="4"/>
      <c r="I398" s="4"/>
      <c r="J398" s="4"/>
      <c r="K398" s="6">
        <f>IFERROR(__xludf.DUMMYFUNCTION("""COMPUTED_VALUE"""),45899.0)</f>
        <v>45899</v>
      </c>
      <c r="L398" s="4"/>
      <c r="M398" s="4"/>
      <c r="N398" s="4"/>
      <c r="O398" s="4"/>
      <c r="P398" s="4"/>
      <c r="Q398" s="4"/>
      <c r="R398" s="4"/>
      <c r="S398" s="4"/>
      <c r="T398" s="4"/>
      <c r="U398" s="4"/>
      <c r="V398" s="4"/>
      <c r="W398" s="4"/>
      <c r="X398" s="4"/>
      <c r="Y398" s="4"/>
      <c r="Z398" s="4"/>
      <c r="AA398" s="4">
        <f>IFERROR(__xludf.DUMMYFUNCTION("""COMPUTED_VALUE"""),35.0)</f>
        <v>35</v>
      </c>
      <c r="AB398" s="4" t="str">
        <f>IFERROR(__xludf.DUMMYFUNCTION("""COMPUTED_VALUE"""),"NÃO")</f>
        <v>NÃO</v>
      </c>
      <c r="AC398" s="4" t="str">
        <f>IFERROR(__xludf.DUMMYFUNCTION("""COMPUTED_VALUE"""),"BP")</f>
        <v>BP</v>
      </c>
      <c r="AD398" s="4"/>
      <c r="AE398" s="4"/>
      <c r="AF398" s="4"/>
      <c r="AG398" s="4"/>
      <c r="AH398" s="4"/>
      <c r="AI398" s="4"/>
      <c r="AJ398" s="4"/>
      <c r="AK398" s="4"/>
      <c r="AL398" s="4"/>
      <c r="AM398" s="4" t="str">
        <f>IFERROR(__xludf.DUMMYFUNCTION("""COMPUTED_VALUE"""),"FY26, FY27")</f>
        <v>FY26, FY27</v>
      </c>
      <c r="AN398" s="4" t="str">
        <f>IFERROR(__xludf.DUMMYFUNCTION("""COMPUTED_VALUE"""),"Comer Fora")</f>
        <v>Comer Fora</v>
      </c>
      <c r="AO398" s="4">
        <f>IFERROR(__xludf.DUMMYFUNCTION("""COMPUTED_VALUE"""),45553.0)</f>
        <v>45553</v>
      </c>
      <c r="AP398" s="4" t="str">
        <f>IFERROR(__xludf.DUMMYFUNCTION("""COMPUTED_VALUE"""),"RJ")</f>
        <v>RJ</v>
      </c>
      <c r="AQ398" s="4" t="str">
        <f>IFERROR(__xludf.DUMMYFUNCTION("""COMPUTED_VALUE"""),"JULIO MESQUITA")</f>
        <v>JULIO MESQUITA</v>
      </c>
      <c r="AR398" s="4" t="str">
        <f>IFERROR(__xludf.DUMMYFUNCTION("""COMPUTED_VALUE"""),"MATHEUS MARCAL")</f>
        <v>MATHEUS MARCAL</v>
      </c>
      <c r="AS398" s="4" t="str">
        <f>IFERROR(__xludf.DUMMYFUNCTION("""COMPUTED_VALUE"""),"NATHALIE MERTENS")</f>
        <v>NATHALIE MERTENS</v>
      </c>
      <c r="AT398" s="4" t="str">
        <f>IFERROR(__xludf.DUMMYFUNCTION("""COMPUTED_VALUE"""),"NATALIA COUTINHO")</f>
        <v>NATALIA COUTINHO</v>
      </c>
      <c r="AU398" s="4" t="str">
        <f>IFERROR(__xludf.DUMMYFUNCTION("""COMPUTED_VALUE"""),"Emerson")</f>
        <v>Emerson</v>
      </c>
      <c r="AV398" s="4" t="str">
        <f>IFERROR(__xludf.DUMMYFUNCTION("""COMPUTED_VALUE"""),"Comer Fora-")</f>
        <v>Comer Fora-</v>
      </c>
      <c r="AW398" s="20" t="str">
        <f>IFERROR(__xludf.DUMMYFUNCTION("""COMPUTED_VALUE"""),"P e M - pipe")</f>
        <v>P e M - pipe</v>
      </c>
      <c r="AX398" s="4"/>
      <c r="AY398" s="4"/>
      <c r="AZ398" s="4" t="str">
        <f>IFERROR(__xludf.DUMMYFUNCTION("""COMPUTED_VALUE"""),"Lanches")</f>
        <v>Lanches</v>
      </c>
      <c r="BA398" s="4" t="str">
        <f>IFERROR(__xludf.DUMMYFUNCTION("""COMPUTED_VALUE"""),"")</f>
        <v/>
      </c>
      <c r="BB398" s="4" t="str">
        <f>IFERROR(__xludf.DUMMYFUNCTION("""COMPUTED_VALUE"""),"")</f>
        <v/>
      </c>
      <c r="BC398" s="4" t="str">
        <f>IFERROR(__xludf.DUMMYFUNCTION("""COMPUTED_VALUE"""),"")</f>
        <v/>
      </c>
      <c r="BD398" s="4" t="str">
        <f>IFERROR(__xludf.DUMMYFUNCTION("""COMPUTED_VALUE"""),"")</f>
        <v/>
      </c>
      <c r="BE398" s="4" t="str">
        <f>IFERROR(__xludf.DUMMYFUNCTION("""COMPUTED_VALUE"""),"")</f>
        <v/>
      </c>
      <c r="BF398" s="4" t="str">
        <f>IFERROR(__xludf.DUMMYFUNCTION("""COMPUTED_VALUE"""),"")</f>
        <v/>
      </c>
      <c r="BG398" s="4" t="str">
        <f>IFERROR(__xludf.DUMMYFUNCTION("""COMPUTED_VALUE"""),"")</f>
        <v/>
      </c>
      <c r="BH398" s="4" t="s">
        <v>134</v>
      </c>
      <c r="BI398" s="7">
        <v>0.90625</v>
      </c>
    </row>
    <row r="399" hidden="1">
      <c r="A399" s="4" t="str">
        <f>IFERROR(__xludf.DUMMYFUNCTION("""COMPUTED_VALUE"""),"Lemax Hamburgueria")</f>
        <v>Lemax Hamburgueria</v>
      </c>
      <c r="B399" s="4" t="str">
        <f>IFERROR(__xludf.DUMMYFUNCTION("""COMPUTED_VALUE"""),"Emerson")</f>
        <v>Emerson</v>
      </c>
      <c r="C399" s="4" t="str">
        <f>IFERROR(__xludf.DUMMYFUNCTION("""COMPUTED_VALUE"""),"Emerson")</f>
        <v>Emerson</v>
      </c>
      <c r="D399" s="4" t="str">
        <f>IFERROR(__xludf.DUMMYFUNCTION("""COMPUTED_VALUE"""),"11. Stand by")</f>
        <v>11. Stand by</v>
      </c>
      <c r="E399" s="4"/>
      <c r="F399" s="4" t="str">
        <f>IFERROR(__xludf.DUMMYFUNCTION("""COMPUTED_VALUE"""),"P")</f>
        <v>P</v>
      </c>
      <c r="G399" s="4"/>
      <c r="H399" s="4"/>
      <c r="I399" s="4"/>
      <c r="J399" s="4"/>
      <c r="K399" s="6">
        <f>IFERROR(__xludf.DUMMYFUNCTION("""COMPUTED_VALUE"""),45807.0)</f>
        <v>45807</v>
      </c>
      <c r="L399" s="4"/>
      <c r="M399" s="4"/>
      <c r="N399" s="4"/>
      <c r="O399" s="4"/>
      <c r="P399" s="4"/>
      <c r="Q399" s="4"/>
      <c r="R399" s="4"/>
      <c r="S399" s="4"/>
      <c r="T399" s="4"/>
      <c r="U399" s="4"/>
      <c r="V399" s="4"/>
      <c r="W399" s="4"/>
      <c r="X399" s="4"/>
      <c r="Y399" s="4"/>
      <c r="Z399" s="4"/>
      <c r="AA399" s="4">
        <f>IFERROR(__xludf.DUMMYFUNCTION("""COMPUTED_VALUE"""),11.0)</f>
        <v>11</v>
      </c>
      <c r="AB399" s="4" t="str">
        <f>IFERROR(__xludf.DUMMYFUNCTION("""COMPUTED_VALUE"""),"NÃO")</f>
        <v>NÃO</v>
      </c>
      <c r="AC399" s="4" t="str">
        <f>IFERROR(__xludf.DUMMYFUNCTION("""COMPUTED_VALUE"""),"BP")</f>
        <v>BP</v>
      </c>
      <c r="AD399" s="4"/>
      <c r="AE399" s="4"/>
      <c r="AF399" s="4"/>
      <c r="AG399" s="4"/>
      <c r="AH399" s="4"/>
      <c r="AI399" s="4"/>
      <c r="AJ399" s="4"/>
      <c r="AK399" s="4"/>
      <c r="AL399" s="4"/>
      <c r="AM399" s="4" t="str">
        <f>IFERROR(__xludf.DUMMYFUNCTION("""COMPUTED_VALUE"""),"FY26, FY27")</f>
        <v>FY26, FY27</v>
      </c>
      <c r="AN399" s="4"/>
      <c r="AO399" s="4">
        <f>IFERROR(__xludf.DUMMYFUNCTION("""COMPUTED_VALUE"""),45553.0)</f>
        <v>45553</v>
      </c>
      <c r="AP399" s="4">
        <f>IFERROR(__xludf.DUMMYFUNCTION("""COMPUTED_VALUE"""),0.0)</f>
        <v>0</v>
      </c>
      <c r="AQ399" s="4">
        <f>IFERROR(__xludf.DUMMYFUNCTION("""COMPUTED_VALUE"""),0.0)</f>
        <v>0</v>
      </c>
      <c r="AR399" s="4">
        <f>IFERROR(__xludf.DUMMYFUNCTION("""COMPUTED_VALUE"""),0.0)</f>
        <v>0</v>
      </c>
      <c r="AS399" s="4">
        <f>IFERROR(__xludf.DUMMYFUNCTION("""COMPUTED_VALUE"""),0.0)</f>
        <v>0</v>
      </c>
      <c r="AT399" s="4">
        <f>IFERROR(__xludf.DUMMYFUNCTION("""COMPUTED_VALUE"""),0.0)</f>
        <v>0</v>
      </c>
      <c r="AU399" s="4" t="str">
        <f>IFERROR(__xludf.DUMMYFUNCTION("""COMPUTED_VALUE"""),"Emerson")</f>
        <v>Emerson</v>
      </c>
      <c r="AV399" s="4">
        <f>IFERROR(__xludf.DUMMYFUNCTION("""COMPUTED_VALUE"""),0.0)</f>
        <v>0</v>
      </c>
      <c r="AW399" s="4">
        <f>IFERROR(__xludf.DUMMYFUNCTION("""COMPUTED_VALUE"""),0.0)</f>
        <v>0</v>
      </c>
      <c r="AX399" s="4">
        <f>IFERROR(__xludf.DUMMYFUNCTION("""COMPUTED_VALUE"""),0.0)</f>
        <v>0</v>
      </c>
      <c r="AY399" s="4"/>
      <c r="AZ399" s="4" t="str">
        <f>IFERROR(__xludf.DUMMYFUNCTION("""COMPUTED_VALUE"""),"Lanches")</f>
        <v>Lanches</v>
      </c>
      <c r="BA399" s="4" t="str">
        <f>IFERROR(__xludf.DUMMYFUNCTION("""COMPUTED_VALUE"""),"R$ 50-70")</f>
        <v>R$ 50-70</v>
      </c>
      <c r="BB399" s="12" t="str">
        <f>IFERROR(__xludf.DUMMYFUNCTION("""COMPUTED_VALUE"""),"Fast Casual - Hamburgueria premium")</f>
        <v>Fast Casual - Hamburgueria premium</v>
      </c>
      <c r="BC399" s="4" t="str">
        <f>IFERROR(__xludf.DUMMYFUNCTION("""COMPUTED_VALUE"""),"Rio de Janeiro/RJ. 12 lojas todas no RJ (Leblon, Via Parque, Botafogo, Méier, Recreio, America Shopping, etc). Auto-proclamada ""hamburgueria #1 do Rio""")</f>
        <v>Rio de Janeiro/RJ. 12 lojas todas no RJ (Leblon, Via Parque, Botafogo, Méier, Recreio, America Shopping, etc). Auto-proclamada "hamburgueria #1 do Rio"</v>
      </c>
      <c r="BD399" s="4" t="str">
        <f>IFERROR(__xludf.DUMMYFUNCTION("""COMPUTED_VALUE"""),"R$ 24-36 milhões estimado (R$ 200-300k/mês x 12 lojas). Faturamento médio: R$ 2,7-4 mi/ano por loja")</f>
        <v>R$ 24-36 milhões estimado (R$ 200-300k/mês x 12 lojas). Faturamento médio: R$ 2,7-4 mi/ano por loja</v>
      </c>
      <c r="BE399" s="4">
        <f>IFERROR(__xludf.DUMMYFUNCTION("""COMPUTED_VALUE"""),58.0)</f>
        <v>58</v>
      </c>
      <c r="BF399" s="13">
        <f>IFERROR(__xludf.DUMMYFUNCTION("""COMPUTED_VALUE"""),0.62)</f>
        <v>0.62</v>
      </c>
      <c r="BG399" s="4" t="str">
        <f>IFERROR(__xludf.DUMMYFUNCTION("""COMPUTED_VALUE"""),"PDV atual não identificado. Rede regional consolidada no RJ com 12 lojas. Alto faturamento por loja indica operação profissional. 3S pode otimizar delivery (150k entregas/ano) e integrar PDV + delivery + salão.")</f>
        <v>PDV atual não identificado. Rede regional consolidada no RJ com 12 lojas. Alto faturamento por loja indica operação profissional. 3S pode otimizar delivery (150k entregas/ano) e integrar PDV + delivery + salão.</v>
      </c>
      <c r="BH399" s="4" t="s">
        <v>72</v>
      </c>
      <c r="BI399" s="7">
        <v>0.8888888888888888</v>
      </c>
    </row>
    <row r="400" hidden="1">
      <c r="A400" s="4" t="str">
        <f>IFERROR(__xludf.DUMMYFUNCTION("""COMPUTED_VALUE"""),"Let'S Poke")</f>
        <v>Let'S Poke</v>
      </c>
      <c r="B400" s="4" t="str">
        <f>IFERROR(__xludf.DUMMYFUNCTION("""COMPUTED_VALUE"""),"Diego Santos")</f>
        <v>Diego Santos</v>
      </c>
      <c r="C400" s="4" t="str">
        <f>IFERROR(__xludf.DUMMYFUNCTION("""COMPUTED_VALUE"""),"Diego Santos")</f>
        <v>Diego Santos</v>
      </c>
      <c r="D400" s="4" t="str">
        <f>IFERROR(__xludf.DUMMYFUNCTION("""COMPUTED_VALUE"""),"10. Perdido")</f>
        <v>10. Perdido</v>
      </c>
      <c r="E400" s="4" t="str">
        <f>IFERROR(__xludf.DUMMYFUNCTION("""COMPUTED_VALUE"""),"Perdido - Fechou com concorrente")</f>
        <v>Perdido - Fechou com concorrente</v>
      </c>
      <c r="F400" s="4" t="str">
        <f>IFERROR(__xludf.DUMMYFUNCTION("""COMPUTED_VALUE"""),"P")</f>
        <v>P</v>
      </c>
      <c r="G400" s="5">
        <f>IFERROR(__xludf.DUMMYFUNCTION("""COMPUTED_VALUE"""),46104.0)</f>
        <v>46104</v>
      </c>
      <c r="H400" s="4" t="str">
        <f>IFERROR(__xludf.DUMMYFUNCTION("""COMPUTED_VALUE"""),"Parceiro não aceitou falar com iFood Salão pois tinha eclética e está mudando o pdv para SWFAST.")</f>
        <v>Parceiro não aceitou falar com iFood Salão pois tinha eclética e está mudando o pdv para SWFAST.</v>
      </c>
      <c r="I400" s="4"/>
      <c r="J400" s="6">
        <f>IFERROR(__xludf.DUMMYFUNCTION("""COMPUTED_VALUE"""),46052.437566875)</f>
        <v>46052.43757</v>
      </c>
      <c r="K400" s="6">
        <f>IFERROR(__xludf.DUMMYFUNCTION("""COMPUTED_VALUE"""),46072.58852982639)</f>
        <v>46072.58853</v>
      </c>
      <c r="L400" s="6">
        <f>IFERROR(__xludf.DUMMYFUNCTION("""COMPUTED_VALUE"""),46084.64346460648)</f>
        <v>46084.64346</v>
      </c>
      <c r="M400" s="4"/>
      <c r="N400" s="4"/>
      <c r="O400" s="4"/>
      <c r="P400" s="4"/>
      <c r="Q400" s="4"/>
      <c r="R400" s="6">
        <f>IFERROR(__xludf.DUMMYFUNCTION("""COMPUTED_VALUE"""),46104.44164892361)</f>
        <v>46104.44165</v>
      </c>
      <c r="S400" s="4"/>
      <c r="T400" s="4"/>
      <c r="U400" s="4"/>
      <c r="V400" s="4" t="str">
        <f>IFERROR(__xludf.DUMMYFUNCTION("""COMPUTED_VALUE"""),"Fechou com concorrente há pouco tempo")</f>
        <v>Fechou com concorrente há pouco tempo</v>
      </c>
      <c r="W400" s="4"/>
      <c r="X400" s="4"/>
      <c r="Y400" s="4"/>
      <c r="Z400" s="4"/>
      <c r="AA400" s="4">
        <f>IFERROR(__xludf.DUMMYFUNCTION("""COMPUTED_VALUE"""),10.0)</f>
        <v>10</v>
      </c>
      <c r="AB400" s="4" t="str">
        <f>IFERROR(__xludf.DUMMYFUNCTION("""COMPUTED_VALUE"""),"NÃO")</f>
        <v>NÃO</v>
      </c>
      <c r="AC400" s="4" t="str">
        <f>IFERROR(__xludf.DUMMYFUNCTION("""COMPUTED_VALUE"""),"BP")</f>
        <v>BP</v>
      </c>
      <c r="AD400" s="4"/>
      <c r="AE400" s="4"/>
      <c r="AF400" s="4"/>
      <c r="AG400" s="4"/>
      <c r="AH400" s="4"/>
      <c r="AI400" s="4"/>
      <c r="AJ400" s="4"/>
      <c r="AK400" s="4"/>
      <c r="AL400" s="4"/>
      <c r="AM400" s="4" t="str">
        <f>IFERROR(__xludf.DUMMYFUNCTION("""COMPUTED_VALUE"""),"FY26")</f>
        <v>FY26</v>
      </c>
      <c r="AN400" s="4"/>
      <c r="AO400" s="4">
        <f>IFERROR(__xludf.DUMMYFUNCTION("""COMPUTED_VALUE"""),110.0)</f>
        <v>110</v>
      </c>
      <c r="AP400" s="4">
        <f>IFERROR(__xludf.DUMMYFUNCTION("""COMPUTED_VALUE"""),0.0)</f>
        <v>0</v>
      </c>
      <c r="AQ400" s="4">
        <f>IFERROR(__xludf.DUMMYFUNCTION("""COMPUTED_VALUE"""),0.0)</f>
        <v>0</v>
      </c>
      <c r="AR400" s="4">
        <f>IFERROR(__xludf.DUMMYFUNCTION("""COMPUTED_VALUE"""),0.0)</f>
        <v>0</v>
      </c>
      <c r="AS400" s="4">
        <f>IFERROR(__xludf.DUMMYFUNCTION("""COMPUTED_VALUE"""),0.0)</f>
        <v>0</v>
      </c>
      <c r="AT400" s="4">
        <f>IFERROR(__xludf.DUMMYFUNCTION("""COMPUTED_VALUE"""),0.0)</f>
        <v>0</v>
      </c>
      <c r="AU400" s="4" t="str">
        <f>IFERROR(__xludf.DUMMYFUNCTION("""COMPUTED_VALUE"""),"Ana")</f>
        <v>Ana</v>
      </c>
      <c r="AV400" s="4">
        <f>IFERROR(__xludf.DUMMYFUNCTION("""COMPUTED_VALUE"""),0.0)</f>
        <v>0</v>
      </c>
      <c r="AW400" s="4">
        <f>IFERROR(__xludf.DUMMYFUNCTION("""COMPUTED_VALUE"""),0.0)</f>
        <v>0</v>
      </c>
      <c r="AX400" s="4">
        <f>IFERROR(__xludf.DUMMYFUNCTION("""COMPUTED_VALUE"""),0.0)</f>
        <v>0</v>
      </c>
      <c r="AY400" s="4"/>
      <c r="AZ400" s="4" t="str">
        <f>IFERROR(__xludf.DUMMYFUNCTION("""COMPUTED_VALUE"""),"#N/A")</f>
        <v>#N/A</v>
      </c>
      <c r="BA400" s="4" t="str">
        <f>IFERROR(__xludf.DUMMYFUNCTION("""COMPUTED_VALUE"""),"")</f>
        <v/>
      </c>
      <c r="BB400" s="4" t="str">
        <f>IFERROR(__xludf.DUMMYFUNCTION("""COMPUTED_VALUE"""),"")</f>
        <v/>
      </c>
      <c r="BC400" s="4" t="str">
        <f>IFERROR(__xludf.DUMMYFUNCTION("""COMPUTED_VALUE"""),"")</f>
        <v/>
      </c>
      <c r="BD400" s="4" t="str">
        <f>IFERROR(__xludf.DUMMYFUNCTION("""COMPUTED_VALUE"""),"")</f>
        <v/>
      </c>
      <c r="BE400" s="4" t="str">
        <f>IFERROR(__xludf.DUMMYFUNCTION("""COMPUTED_VALUE"""),"")</f>
        <v/>
      </c>
      <c r="BF400" s="4" t="str">
        <f>IFERROR(__xludf.DUMMYFUNCTION("""COMPUTED_VALUE"""),"")</f>
        <v/>
      </c>
      <c r="BG400" s="4" t="str">
        <f>IFERROR(__xludf.DUMMYFUNCTION("""COMPUTED_VALUE"""),"")</f>
        <v/>
      </c>
      <c r="BH400" s="4" t="s">
        <v>63</v>
      </c>
      <c r="BI400" s="7" t="s">
        <v>63</v>
      </c>
    </row>
    <row r="401" hidden="1">
      <c r="A401" s="4" t="str">
        <f>IFERROR(__xludf.DUMMYFUNCTION("""COMPUTED_VALUE"""),"Leve Mirin")</f>
        <v>Leve Mirin</v>
      </c>
      <c r="B401" s="4" t="str">
        <f>IFERROR(__xludf.DUMMYFUNCTION("""COMPUTED_VALUE"""),"Lídia Esteves")</f>
        <v>Lídia Esteves</v>
      </c>
      <c r="C401" s="4" t="str">
        <f>IFERROR(__xludf.DUMMYFUNCTION("""COMPUTED_VALUE"""),"Gabriela Roma")</f>
        <v>Gabriela Roma</v>
      </c>
      <c r="D401" s="4" t="str">
        <f>IFERROR(__xludf.DUMMYFUNCTION("""COMPUTED_VALUE"""),"0. Não Iniciado")</f>
        <v>0. Não Iniciado</v>
      </c>
      <c r="E401" s="4" t="str">
        <f>IFERROR(__xludf.DUMMYFUNCTION("""COMPUTED_VALUE"""),"Delivery - Dificuldade de contato com executivo")</f>
        <v>Delivery - Dificuldade de contato com executivo</v>
      </c>
      <c r="F401" s="4" t="str">
        <f>IFERROR(__xludf.DUMMYFUNCTION("""COMPUTED_VALUE"""),"P")</f>
        <v>P</v>
      </c>
      <c r="G401" s="5">
        <f>IFERROR(__xludf.DUMMYFUNCTION("""COMPUTED_VALUE"""),46076.0)</f>
        <v>46076</v>
      </c>
      <c r="H401" s="4" t="str">
        <f>IFERROR(__xludf.DUMMYFUNCTION("""COMPUTED_VALUE"""),"Sem retorno do time de delivery, só eles possuem os contatos e não marcam agenda. Fiquei sem retorno a dias e cobrei novamente. ")</f>
        <v>Sem retorno do time de delivery, só eles possuem os contatos e não marcam agenda. Fiquei sem retorno a dias e cobrei novamente. </v>
      </c>
      <c r="I401" s="4"/>
      <c r="J401" s="4"/>
      <c r="K401" s="4"/>
      <c r="L401" s="4"/>
      <c r="M401" s="4"/>
      <c r="N401" s="4"/>
      <c r="O401" s="4"/>
      <c r="P401" s="4"/>
      <c r="Q401" s="4"/>
      <c r="R401" s="4"/>
      <c r="S401" s="4"/>
      <c r="T401" s="4"/>
      <c r="U401" s="4"/>
      <c r="V401" s="4"/>
      <c r="W401" s="4"/>
      <c r="X401" s="4"/>
      <c r="Y401" s="4"/>
      <c r="Z401" s="4"/>
      <c r="AA401" s="4">
        <f>IFERROR(__xludf.DUMMYFUNCTION("""COMPUTED_VALUE"""),2.0)</f>
        <v>2</v>
      </c>
      <c r="AB401" s="4" t="str">
        <f>IFERROR(__xludf.DUMMYFUNCTION("""COMPUTED_VALUE"""),"NÃO")</f>
        <v>NÃO</v>
      </c>
      <c r="AC401" s="4" t="str">
        <f>IFERROR(__xludf.DUMMYFUNCTION("""COMPUTED_VALUE"""),"BP")</f>
        <v>BP</v>
      </c>
      <c r="AD401" s="4"/>
      <c r="AE401" s="4"/>
      <c r="AF401" s="4"/>
      <c r="AG401" s="4"/>
      <c r="AH401" s="4"/>
      <c r="AI401" s="4"/>
      <c r="AJ401" s="4"/>
      <c r="AK401" s="4"/>
      <c r="AL401" s="4"/>
      <c r="AM401" s="4" t="str">
        <f>IFERROR(__xludf.DUMMYFUNCTION("""COMPUTED_VALUE"""),"FY26, FY27")</f>
        <v>FY26, FY27</v>
      </c>
      <c r="AN401" s="4" t="str">
        <f>IFERROR(__xludf.DUMMYFUNCTION("""COMPUTED_VALUE"""),"Comer Fora")</f>
        <v>Comer Fora</v>
      </c>
      <c r="AO401" s="4">
        <f>IFERROR(__xludf.DUMMYFUNCTION("""COMPUTED_VALUE"""),140.0)</f>
        <v>140</v>
      </c>
      <c r="AP401" s="4" t="str">
        <f>IFERROR(__xludf.DUMMYFUNCTION("""COMPUTED_VALUE"""),"SP")</f>
        <v>SP</v>
      </c>
      <c r="AQ401" s="4" t="str">
        <f>IFERROR(__xludf.DUMMYFUNCTION("""COMPUTED_VALUE"""),"THIAGO FERNANDES")</f>
        <v>THIAGO FERNANDES</v>
      </c>
      <c r="AR401" s="4" t="str">
        <f>IFERROR(__xludf.DUMMYFUNCTION("""COMPUTED_VALUE"""),"ALANA SANTIAGO")</f>
        <v>ALANA SANTIAGO</v>
      </c>
      <c r="AS401" s="4" t="str">
        <f>IFERROR(__xludf.DUMMYFUNCTION("""COMPUTED_VALUE"""),"NATHALIE MERTENS")</f>
        <v>NATHALIE MERTENS</v>
      </c>
      <c r="AT401" s="4" t="str">
        <f>IFERROR(__xludf.DUMMYFUNCTION("""COMPUTED_VALUE"""),"MARIANA KATZ")</f>
        <v>MARIANA KATZ</v>
      </c>
      <c r="AU401" s="4" t="str">
        <f>IFERROR(__xludf.DUMMYFUNCTION("""COMPUTED_VALUE"""),"Diego")</f>
        <v>Diego</v>
      </c>
      <c r="AV401" s="4" t="str">
        <f>IFERROR(__xludf.DUMMYFUNCTION("""COMPUTED_VALUE"""),"Comer Fora-")</f>
        <v>Comer Fora-</v>
      </c>
      <c r="AW401" s="20" t="str">
        <f>IFERROR(__xludf.DUMMYFUNCTION("""COMPUTED_VALUE"""),"P e M - pipe")</f>
        <v>P e M - pipe</v>
      </c>
      <c r="AX401" s="4"/>
      <c r="AY401" s="4"/>
      <c r="AZ401" s="4" t="str">
        <f>IFERROR(__xludf.DUMMYFUNCTION("""COMPUTED_VALUE"""),"Japonesa")</f>
        <v>Japonesa</v>
      </c>
      <c r="BA401" s="4" t="str">
        <f>IFERROR(__xludf.DUMMYFUNCTION("""COMPUTED_VALUE"""),"R$ 50-80")</f>
        <v>R$ 50-80</v>
      </c>
      <c r="BB401" s="4" t="str">
        <f>IFERROR(__xludf.DUMMYFUNCTION("""COMPUTED_VALUE"""),"Fast Casual - Restaurante Japonês delivery")</f>
        <v>Fast Casual - Restaurante Japonês delivery</v>
      </c>
      <c r="BC401" s="4" t="str">
        <f>IFERROR(__xludf.DUMMYFUNCTION("""COMPUTED_VALUE"""),"Rio de Janeiro/RJ. 1 unidade na Barra da Tijuca (Av. Ruy Frazão Soares, 121). Operação única")</f>
        <v>Rio de Janeiro/RJ. 1 unidade na Barra da Tijuca (Av. Ruy Frazão Soares, 121). Operação única</v>
      </c>
      <c r="BD401" s="4" t="str">
        <f>IFERROR(__xludf.DUMMYFUNCTION("""COMPUTED_VALUE"""),"Dado não disponível publicamente - Necessário Discovery")</f>
        <v>Dado não disponível publicamente - Necessário Discovery</v>
      </c>
      <c r="BE401" s="4">
        <f>IFERROR(__xludf.DUMMYFUNCTION("""COMPUTED_VALUE"""),18.0)</f>
        <v>18</v>
      </c>
      <c r="BF401" s="4">
        <f>IFERROR(__xludf.DUMMYFUNCTION("""COMPUTED_VALUE"""),0.2)</f>
        <v>0.2</v>
      </c>
      <c r="BG401" s="4" t="str">
        <f>IFERROR(__xludf.DUMMYFUNCTION("""COMPUTED_VALUE"""),"PDV atual não identificado. Operação única sem evidência de expansão. Baixíssima aderência - 3S não justifica para single location.")</f>
        <v>PDV atual não identificado. Operação única sem evidência de expansão. Baixíssima aderência - 3S não justifica para single location.</v>
      </c>
      <c r="BH401" s="4" t="s">
        <v>69</v>
      </c>
      <c r="BI401" s="7">
        <v>0.6666666666666666</v>
      </c>
    </row>
    <row r="402">
      <c r="A402" s="4" t="str">
        <f>IFERROR(__xludf.DUMMYFUNCTION("""COMPUTED_VALUE"""),"Lindt")</f>
        <v>Lindt</v>
      </c>
      <c r="B402" s="4" t="str">
        <f>IFERROR(__xludf.DUMMYFUNCTION("""COMPUTED_VALUE"""),"Leonardo Roso")</f>
        <v>Leonardo Roso</v>
      </c>
      <c r="C402" s="4" t="str">
        <f>IFERROR(__xludf.DUMMYFUNCTION("""COMPUTED_VALUE"""),"Leonardo Roso")</f>
        <v>Leonardo Roso</v>
      </c>
      <c r="D402" s="4" t="str">
        <f>IFERROR(__xludf.DUMMYFUNCTION("""COMPUTED_VALUE"""),"2. Primeiro contato com a marca")</f>
        <v>2. Primeiro contato com a marca</v>
      </c>
      <c r="E402" s="4" t="str">
        <f>IFERROR(__xludf.DUMMYFUNCTION("""COMPUTED_VALUE"""),"Parceiro - Sem contato válido / Decisor inacessível")</f>
        <v>Parceiro - Sem contato válido / Decisor inacessível</v>
      </c>
      <c r="F402" s="4" t="str">
        <f>IFERROR(__xludf.DUMMYFUNCTION("""COMPUTED_VALUE"""),"G")</f>
        <v>G</v>
      </c>
      <c r="G402" s="5">
        <f>IFERROR(__xludf.DUMMYFUNCTION("""COMPUTED_VALUE"""),46064.0)</f>
        <v>46064</v>
      </c>
      <c r="H402" s="4" t="str">
        <f>IFERROR(__xludf.DUMMYFUNCTION("""COMPUTED_VALUE"""),"Conseguindo contato whats com time de groceries (só temos email do financeiro)")</f>
        <v>Conseguindo contato whats com time de groceries (só temos email do financeiro)</v>
      </c>
      <c r="I402" s="4"/>
      <c r="J402" s="6">
        <f>IFERROR(__xludf.DUMMYFUNCTION("""COMPUTED_VALUE"""),46077.82116853009)</f>
        <v>46077.82117</v>
      </c>
      <c r="K402" s="4"/>
      <c r="L402" s="4"/>
      <c r="M402" s="4"/>
      <c r="N402" s="4"/>
      <c r="O402" s="4"/>
      <c r="P402" s="4"/>
      <c r="Q402" s="4"/>
      <c r="R402" s="4"/>
      <c r="S402" s="4"/>
      <c r="T402" s="4"/>
      <c r="U402" s="4"/>
      <c r="V402" s="4"/>
      <c r="W402" s="4"/>
      <c r="X402" s="4"/>
      <c r="Y402" s="4"/>
      <c r="Z402" s="4"/>
      <c r="AA402" s="4">
        <f>IFERROR(__xludf.DUMMYFUNCTION("""COMPUTED_VALUE"""),85.0)</f>
        <v>85</v>
      </c>
      <c r="AB402" s="4" t="str">
        <f>IFERROR(__xludf.DUMMYFUNCTION("""COMPUTED_VALUE"""),"NÃO")</f>
        <v>NÃO</v>
      </c>
      <c r="AC402" s="4" t="str">
        <f>IFERROR(__xludf.DUMMYFUNCTION("""COMPUTED_VALUE"""),"BP")</f>
        <v>BP</v>
      </c>
      <c r="AD402" s="4"/>
      <c r="AE402" s="4"/>
      <c r="AF402" s="4"/>
      <c r="AG402" s="4"/>
      <c r="AH402" s="4"/>
      <c r="AI402" s="4"/>
      <c r="AJ402" s="4"/>
      <c r="AK402" s="4"/>
      <c r="AL402" s="4"/>
      <c r="AM402" s="4" t="str">
        <f>IFERROR(__xludf.DUMMYFUNCTION("""COMPUTED_VALUE"""),"FY26, FY27")</f>
        <v>FY26, FY27</v>
      </c>
      <c r="AN402" s="4"/>
      <c r="AO402" s="4">
        <f>IFERROR(__xludf.DUMMYFUNCTION("""COMPUTED_VALUE"""),152.0)</f>
        <v>152</v>
      </c>
      <c r="AP402" s="4" t="str">
        <f>IFERROR(__xludf.DUMMYFUNCTION("""COMPUTED_VALUE"""),"SP")</f>
        <v>SP</v>
      </c>
      <c r="AQ402" s="4" t="str">
        <f>IFERROR(__xludf.DUMMYFUNCTION("""COMPUTED_VALUE"""),"ANDRE CATENASSI")</f>
        <v>ANDRE CATENASSI</v>
      </c>
      <c r="AR402" s="4" t="str">
        <f>IFERROR(__xludf.DUMMYFUNCTION("""COMPUTED_VALUE"""),"GESSICA SANTANA")</f>
        <v>GESSICA SANTANA</v>
      </c>
      <c r="AS402" s="4" t="str">
        <f>IFERROR(__xludf.DUMMYFUNCTION("""COMPUTED_VALUE"""),"ISABELA GOULART")</f>
        <v>ISABELA GOULART</v>
      </c>
      <c r="AT402" s="4" t="str">
        <f>IFERROR(__xludf.DUMMYFUNCTION("""COMPUTED_VALUE"""),"ANDRE CATENASSI")</f>
        <v>ANDRE CATENASSI</v>
      </c>
      <c r="AU402" s="4" t="str">
        <f>IFERROR(__xludf.DUMMYFUNCTION("""COMPUTED_VALUE"""),"Leonardo Roso")</f>
        <v>Leonardo Roso</v>
      </c>
      <c r="AV402" s="4">
        <f>IFERROR(__xludf.DUMMYFUNCTION("""COMPUTED_VALUE"""),0.0)</f>
        <v>0</v>
      </c>
      <c r="AW402" s="4">
        <f>IFERROR(__xludf.DUMMYFUNCTION("""COMPUTED_VALUE"""),0.0)</f>
        <v>0</v>
      </c>
      <c r="AX402" s="4">
        <f>IFERROR(__xludf.DUMMYFUNCTION("""COMPUTED_VALUE"""),0.0)</f>
        <v>0</v>
      </c>
      <c r="AY402" s="4"/>
      <c r="AZ402" s="4" t="str">
        <f>IFERROR(__xludf.DUMMYFUNCTION("""COMPUTED_VALUE"""),"Doces &amp; Bolos")</f>
        <v>Doces &amp; Bolos</v>
      </c>
      <c r="BA402" s="4" t="str">
        <f>IFERROR(__xludf.DUMMYFUNCTION("""COMPUTED_VALUE"""),"R$ 80-150")</f>
        <v>R$ 80-150</v>
      </c>
      <c r="BB402" s="4" t="str">
        <f>IFERROR(__xludf.DUMMYFUNCTION("""COMPUTED_VALUE"""),"Varejo Especializado - Chocolates premium suíços")</f>
        <v>Varejo Especializado - Chocolates premium suíços</v>
      </c>
      <c r="BC402" s="4" t="str">
        <f>IFERROR(__xludf.DUMMYFUNCTION("""COMPUTED_VALUE"""),"Brasil todo. 90+ lojas próprias (não franquias) em todas regiões. 2024: 80 lojas, 2025: 85-90 lojas. Nestlé/Lindt &amp; Sprüngli Suíça")</f>
        <v>Brasil todo. 90+ lojas próprias (não franquias) em todas regiões. 2024: 80 lojas, 2025: 85-90 lojas. Nestlé/Lindt &amp; Sprüngli Suíça</v>
      </c>
      <c r="BD402" s="4" t="str">
        <f>IFERROR(__xludf.DUMMYFUNCTION("""COMPUTED_VALUE"""),"Estimado R$ 295 milhões (capital social). Crescimento double-digit no Brasil (mercado key). Global: CHF 5,92 bilhões")</f>
        <v>Estimado R$ 295 milhões (capital social). Crescimento double-digit no Brasil (mercado key). Global: CHF 5,92 bilhões</v>
      </c>
      <c r="BE402" s="4">
        <f>IFERROR(__xludf.DUMMYFUNCTION("""COMPUTED_VALUE"""),70.0)</f>
        <v>70</v>
      </c>
      <c r="BF402" s="4">
        <f>IFERROR(__xludf.DUMMYFUNCTION("""COMPUTED_VALUE"""),0.68)</f>
        <v>0.68</v>
      </c>
      <c r="BG402" s="4" t="str">
        <f>IFERROR(__xludf.DUMMYFUNCTION("""COMPUTED_VALUE"""),"PDV atual não identificado. Marca global premium com 90+ lojas próprias em expansão contínua. 3S pode oferecer solução elegante para lojas boutiques com integração e-commerce (Pick &amp; Mix, fontes chocolate). Potencial em novas lojas 2026+.")</f>
        <v>PDV atual não identificado. Marca global premium com 90+ lojas próprias em expansão contínua. 3S pode oferecer solução elegante para lojas boutiques com integração e-commerce (Pick &amp; Mix, fontes chocolate). Potencial em novas lojas 2026+.</v>
      </c>
      <c r="BH402" s="4" t="s">
        <v>120</v>
      </c>
      <c r="BI402" s="7">
        <v>0.9375</v>
      </c>
    </row>
    <row r="403" hidden="1">
      <c r="A403" s="4" t="str">
        <f>IFERROR(__xludf.DUMMYFUNCTION("""COMPUTED_VALUE"""),"Madalosso")</f>
        <v>Madalosso</v>
      </c>
      <c r="B403" s="4" t="str">
        <f>IFERROR(__xludf.DUMMYFUNCTION("""COMPUTED_VALUE"""),"Lídia Esteves")</f>
        <v>Lídia Esteves</v>
      </c>
      <c r="C403" s="4" t="str">
        <f>IFERROR(__xludf.DUMMYFUNCTION("""COMPUTED_VALUE"""),"Gabriela Roma")</f>
        <v>Gabriela Roma</v>
      </c>
      <c r="D403" s="4" t="str">
        <f>IFERROR(__xludf.DUMMYFUNCTION("""COMPUTED_VALUE"""),"10. Perdido")</f>
        <v>10. Perdido</v>
      </c>
      <c r="E403" s="4" t="str">
        <f>IFERROR(__xludf.DUMMYFUNCTION("""COMPUTED_VALUE"""),"Perdido -  Momento do restaurante não favorável")</f>
        <v>Perdido -  Momento do restaurante não favorável</v>
      </c>
      <c r="F403" s="4" t="str">
        <f>IFERROR(__xludf.DUMMYFUNCTION("""COMPUTED_VALUE"""),"P")</f>
        <v>P</v>
      </c>
      <c r="G403" s="5">
        <f>IFERROR(__xludf.DUMMYFUNCTION("""COMPUTED_VALUE"""),46078.0)</f>
        <v>46078</v>
      </c>
      <c r="H403" s="4" t="str">
        <f>IFERROR(__xludf.DUMMYFUNCTION("""COMPUTED_VALUE"""),"Na planilha oficial estava sinalizado que entramos em contato em 13/08/2025, confirmar.")</f>
        <v>Na planilha oficial estava sinalizado que entramos em contato em 13/08/2025, confirmar.</v>
      </c>
      <c r="I403" s="4"/>
      <c r="J403" s="6">
        <f>IFERROR(__xludf.DUMMYFUNCTION("""COMPUTED_VALUE"""),46107.62387606481)</f>
        <v>46107.62388</v>
      </c>
      <c r="K403" s="4"/>
      <c r="L403" s="4"/>
      <c r="M403" s="4"/>
      <c r="N403" s="4"/>
      <c r="O403" s="4"/>
      <c r="P403" s="4"/>
      <c r="Q403" s="4"/>
      <c r="R403" s="6">
        <f>IFERROR(__xludf.DUMMYFUNCTION("""COMPUTED_VALUE"""),46120.51698021991)</f>
        <v>46120.51698</v>
      </c>
      <c r="S403" s="4"/>
      <c r="T403" s="4"/>
      <c r="U403" s="4"/>
      <c r="V403" s="4" t="str">
        <f>IFERROR(__xludf.DUMMYFUNCTION("""COMPUTED_VALUE"""),"Sem interesse em mudar de PDV")</f>
        <v>Sem interesse em mudar de PDV</v>
      </c>
      <c r="W403" s="4"/>
      <c r="X403" s="4"/>
      <c r="Y403" s="4"/>
      <c r="Z403" s="4"/>
      <c r="AA403" s="4">
        <f>IFERROR(__xludf.DUMMYFUNCTION("""COMPUTED_VALUE"""),10.0)</f>
        <v>10</v>
      </c>
      <c r="AB403" s="4" t="str">
        <f>IFERROR(__xludf.DUMMYFUNCTION("""COMPUTED_VALUE"""),"-")</f>
        <v>-</v>
      </c>
      <c r="AC403" s="4" t="str">
        <f>IFERROR(__xludf.DUMMYFUNCTION("""COMPUTED_VALUE"""),"-")</f>
        <v>-</v>
      </c>
      <c r="AD403" s="4"/>
      <c r="AE403" s="4"/>
      <c r="AF403" s="4"/>
      <c r="AG403" s="4"/>
      <c r="AH403" s="4"/>
      <c r="AI403" s="4"/>
      <c r="AJ403" s="4"/>
      <c r="AK403" s="4"/>
      <c r="AL403" s="4"/>
      <c r="AM403" s="4" t="str">
        <f>IFERROR(__xludf.DUMMYFUNCTION("""COMPUTED_VALUE"""),"FY26, FY27")</f>
        <v>FY26, FY27</v>
      </c>
      <c r="AN403" s="4" t="str">
        <f>IFERROR(__xludf.DUMMYFUNCTION("""COMPUTED_VALUE"""),"Comer Fora")</f>
        <v>Comer Fora</v>
      </c>
      <c r="AO403" s="4">
        <f>IFERROR(__xludf.DUMMYFUNCTION("""COMPUTED_VALUE"""),138.0)</f>
        <v>138</v>
      </c>
      <c r="AP403" s="4" t="str">
        <f>IFERROR(__xludf.DUMMYFUNCTION("""COMPUTED_VALUE"""),"PR")</f>
        <v>PR</v>
      </c>
      <c r="AQ403" s="4" t="str">
        <f>IFERROR(__xludf.DUMMYFUNCTION("""COMPUTED_VALUE"""),"RAFAEL FERREIRA")</f>
        <v>RAFAEL FERREIRA</v>
      </c>
      <c r="AR403" s="4" t="str">
        <f>IFERROR(__xludf.DUMMYFUNCTION("""COMPUTED_VALUE"""),"MANUELLE SOARES")</f>
        <v>MANUELLE SOARES</v>
      </c>
      <c r="AS403" s="4" t="str">
        <f>IFERROR(__xludf.DUMMYFUNCTION("""COMPUTED_VALUE"""),"FABIO DONATO")</f>
        <v>FABIO DONATO</v>
      </c>
      <c r="AT403" s="4" t="str">
        <f>IFERROR(__xludf.DUMMYFUNCTION("""COMPUTED_VALUE"""),"MURILO NAGASHIMA")</f>
        <v>MURILO NAGASHIMA</v>
      </c>
      <c r="AU403" s="4" t="str">
        <f>IFERROR(__xludf.DUMMYFUNCTION("""COMPUTED_VALUE"""),"Lídia / Emerson")</f>
        <v>Lídia / Emerson</v>
      </c>
      <c r="AV403" s="4" t="str">
        <f>IFERROR(__xludf.DUMMYFUNCTION("""COMPUTED_VALUE"""),"Comer Fora-")</f>
        <v>Comer Fora-</v>
      </c>
      <c r="AW403" s="20" t="str">
        <f>IFERROR(__xludf.DUMMYFUNCTION("""COMPUTED_VALUE"""),"P e M - pipe")</f>
        <v>P e M - pipe</v>
      </c>
      <c r="AX403" s="4"/>
      <c r="AY403" s="4"/>
      <c r="AZ403" s="4" t="str">
        <f>IFERROR(__xludf.DUMMYFUNCTION("""COMPUTED_VALUE"""),"Pizza")</f>
        <v>Pizza</v>
      </c>
      <c r="BA403" s="4" t="str">
        <f>IFERROR(__xludf.DUMMYFUNCTION("""COMPUTED_VALUE"""),"")</f>
        <v/>
      </c>
      <c r="BB403" s="4" t="str">
        <f>IFERROR(__xludf.DUMMYFUNCTION("""COMPUTED_VALUE"""),"")</f>
        <v/>
      </c>
      <c r="BC403" s="4" t="str">
        <f>IFERROR(__xludf.DUMMYFUNCTION("""COMPUTED_VALUE"""),"")</f>
        <v/>
      </c>
      <c r="BD403" s="4" t="str">
        <f>IFERROR(__xludf.DUMMYFUNCTION("""COMPUTED_VALUE"""),"")</f>
        <v/>
      </c>
      <c r="BE403" s="4" t="str">
        <f>IFERROR(__xludf.DUMMYFUNCTION("""COMPUTED_VALUE"""),"")</f>
        <v/>
      </c>
      <c r="BF403" s="4" t="str">
        <f>IFERROR(__xludf.DUMMYFUNCTION("""COMPUTED_VALUE"""),"")</f>
        <v/>
      </c>
      <c r="BG403" s="4" t="str">
        <f>IFERROR(__xludf.DUMMYFUNCTION("""COMPUTED_VALUE"""),"")</f>
        <v/>
      </c>
      <c r="BH403" s="4" t="s">
        <v>82</v>
      </c>
      <c r="BI403" s="7">
        <v>0.5</v>
      </c>
    </row>
    <row r="404">
      <c r="A404" s="4" t="str">
        <f>IFERROR(__xludf.DUMMYFUNCTION("""COMPUTED_VALUE"""),"Madero")</f>
        <v>Madero</v>
      </c>
      <c r="B404" s="4" t="str">
        <f>IFERROR(__xludf.DUMMYFUNCTION("""COMPUTED_VALUE"""),"Leonardo Roso")</f>
        <v>Leonardo Roso</v>
      </c>
      <c r="C404" s="4" t="str">
        <f>IFERROR(__xludf.DUMMYFUNCTION("""COMPUTED_VALUE"""),"Leonardo Roso")</f>
        <v>Leonardo Roso</v>
      </c>
      <c r="D404" s="4" t="str">
        <f>IFERROR(__xludf.DUMMYFUNCTION("""COMPUTED_VALUE"""),"6. Negociação")</f>
        <v>6. Negociação</v>
      </c>
      <c r="E404" s="4" t="str">
        <f>IFERROR(__xludf.DUMMYFUNCTION("""COMPUTED_VALUE"""),"Comercial - Em negociação de proposta")</f>
        <v>Comercial - Em negociação de proposta</v>
      </c>
      <c r="F404" s="4" t="str">
        <f>IFERROR(__xludf.DUMMYFUNCTION("""COMPUTED_VALUE"""),"G")</f>
        <v>G</v>
      </c>
      <c r="G404" s="5">
        <f>IFERROR(__xludf.DUMMYFUNCTION("""COMPUTED_VALUE"""),46073.0)</f>
        <v>46073</v>
      </c>
      <c r="H404" s="4" t="str">
        <f>IFERROR(__xludf.DUMMYFUNCTION("""COMPUTED_VALUE"""),"Proposta 360º enviada para Murilo na última semana, que vai validar com o Rafael. Agenda com delivery dia 11/03.")</f>
        <v>Proposta 360º enviada para Murilo na última semana, que vai validar com o Rafael. Agenda com delivery dia 11/03.</v>
      </c>
      <c r="I404" s="4"/>
      <c r="J404" s="4"/>
      <c r="K404" s="6">
        <f>IFERROR(__xludf.DUMMYFUNCTION("""COMPUTED_VALUE"""),45899.0)</f>
        <v>45899</v>
      </c>
      <c r="L404" s="4"/>
      <c r="M404" s="4"/>
      <c r="N404" s="4"/>
      <c r="O404" s="4"/>
      <c r="P404" s="4"/>
      <c r="Q404" s="4"/>
      <c r="R404" s="4"/>
      <c r="S404" s="4"/>
      <c r="T404" s="4"/>
      <c r="U404" s="4"/>
      <c r="V404" s="4"/>
      <c r="W404" s="4"/>
      <c r="X404" s="4"/>
      <c r="Y404" s="4"/>
      <c r="Z404" s="4"/>
      <c r="AA404" s="4">
        <f>IFERROR(__xludf.DUMMYFUNCTION("""COMPUTED_VALUE"""),220.0)</f>
        <v>220</v>
      </c>
      <c r="AB404" s="4" t="str">
        <f>IFERROR(__xludf.DUMMYFUNCTION("""COMPUTED_VALUE"""),"KA")</f>
        <v>KA</v>
      </c>
      <c r="AC404" s="4" t="str">
        <f>IFERROR(__xludf.DUMMYFUNCTION("""COMPUTED_VALUE"""),"BP")</f>
        <v>BP</v>
      </c>
      <c r="AD404" s="4"/>
      <c r="AE404" s="4"/>
      <c r="AF404" s="4"/>
      <c r="AG404" s="4"/>
      <c r="AH404" s="4"/>
      <c r="AI404" s="4"/>
      <c r="AJ404" s="4"/>
      <c r="AK404" s="4"/>
      <c r="AL404" s="4"/>
      <c r="AM404" s="4" t="str">
        <f>IFERROR(__xludf.DUMMYFUNCTION("""COMPUTED_VALUE"""),"FY26, FY27")</f>
        <v>FY26, FY27</v>
      </c>
      <c r="AN404" s="4"/>
      <c r="AO404" s="4">
        <f>IFERROR(__xludf.DUMMYFUNCTION("""COMPUTED_VALUE"""),143.0)</f>
        <v>143</v>
      </c>
      <c r="AP404" s="4" t="str">
        <f>IFERROR(__xludf.DUMMYFUNCTION("""COMPUTED_VALUE"""),"SP")</f>
        <v>SP</v>
      </c>
      <c r="AQ404" s="4" t="str">
        <f>IFERROR(__xludf.DUMMYFUNCTION("""COMPUTED_VALUE"""),"THIAGO MORSELLI")</f>
        <v>THIAGO MORSELLI</v>
      </c>
      <c r="AR404" s="4" t="str">
        <f>IFERROR(__xludf.DUMMYFUNCTION("""COMPUTED_VALUE"""),"RAFAELA SILVEIRA")</f>
        <v>RAFAELA SILVEIRA</v>
      </c>
      <c r="AS404" s="4" t="str">
        <f>IFERROR(__xludf.DUMMYFUNCTION("""COMPUTED_VALUE"""),"ISABELA GOULART")</f>
        <v>ISABELA GOULART</v>
      </c>
      <c r="AT404" s="4" t="str">
        <f>IFERROR(__xludf.DUMMYFUNCTION("""COMPUTED_VALUE"""),"THIAGO MORSELLI")</f>
        <v>THIAGO MORSELLI</v>
      </c>
      <c r="AU404" s="4" t="str">
        <f>IFERROR(__xludf.DUMMYFUNCTION("""COMPUTED_VALUE"""),"Samuel")</f>
        <v>Samuel</v>
      </c>
      <c r="AV404" s="4">
        <f>IFERROR(__xludf.DUMMYFUNCTION("""COMPUTED_VALUE"""),0.0)</f>
        <v>0</v>
      </c>
      <c r="AW404" s="4">
        <f>IFERROR(__xludf.DUMMYFUNCTION("""COMPUTED_VALUE"""),0.0)</f>
        <v>0</v>
      </c>
      <c r="AX404" s="4">
        <f>IFERROR(__xludf.DUMMYFUNCTION("""COMPUTED_VALUE"""),0.0)</f>
        <v>0</v>
      </c>
      <c r="AY404" s="4">
        <f>IFERROR(__xludf.DUMMYFUNCTION("""COMPUTED_VALUE"""),0.0)</f>
        <v>0</v>
      </c>
      <c r="AZ404" s="4" t="str">
        <f>IFERROR(__xludf.DUMMYFUNCTION("""COMPUTED_VALUE"""),"Lanches")</f>
        <v>Lanches</v>
      </c>
      <c r="BA404" s="4" t="str">
        <f>IFERROR(__xludf.DUMMYFUNCTION("""COMPUTED_VALUE"""),"R$ 45-65")</f>
        <v>R$ 45-65</v>
      </c>
      <c r="BB404" s="12" t="str">
        <f>IFERROR(__xludf.DUMMYFUNCTION("""COMPUTED_VALUE"""),"Fast Casual Premium - Hamburgueria + Steakhouse (Madero, Jeronimo, híbridos)")</f>
        <v>Fast Casual Premium - Hamburgueria + Steakhouse (Madero, Jeronimo, híbridos)</v>
      </c>
      <c r="BC404" s="4" t="str">
        <f>IFERROR(__xludf.DUMMYFUNCTION("""COMPUTED_VALUE"""),"Brasil (18 estados) + Paraguai (1 loja Q1/2026). 355 unidades fim 2025, meta &gt;365 em 2026. Matriz: Curitiba/PR. Expansão nacional consolidada")</f>
        <v>Brasil (18 estados) + Paraguai (1 loja Q1/2026). 355 unidades fim 2025, meta &gt;365 em 2026. Matriz: Curitiba/PR. Expansão nacional consolidada</v>
      </c>
      <c r="BD404" s="4" t="str">
        <f>IFERROR(__xludf.DUMMYFUNCTION("""COMPUTED_VALUE"""),"R$ 2,3 bilhões (2025, recorde). Receita líquida ex-PERSE: R$ 2 bilhões (+3,9% vs 2024). Meta 2026: ~R$ 2,4 bilhões com dark kitchens")</f>
        <v>R$ 2,3 bilhões (2025, recorde). Receita líquida ex-PERSE: R$ 2 bilhões (+3,9% vs 2024). Meta 2026: ~R$ 2,4 bilhões com dark kitchens</v>
      </c>
      <c r="BE404" s="4">
        <f>IFERROR(__xludf.DUMMYFUNCTION("""COMPUTED_VALUE"""),95.0)</f>
        <v>95</v>
      </c>
      <c r="BF404" s="4">
        <f>IFERROR(__xludf.DUMMYFUNCTION("""COMPUTED_VALUE"""),0.92)</f>
        <v>0.92</v>
      </c>
      <c r="BG404" s="4" t="str">
        <f>IFERROR(__xludf.DUMMYFUNCTION("""COMPUTED_VALUE"""),"PDV atual não identificado claramente (operação verticalizada própria). Maior rede premium do Brasil em expansão agressiva (355 lojas, +10-30/ano). Delivery 20,7%, canais digitais 56,3%. 3S pode oferecer: (1) Solução unificada para dark kitchens; (2) Inte"&amp;"gração superior delivery; (3) Custo-benefício vs. stack proprietário. Oportunidade gigante em expansão contínua.")</f>
        <v>PDV atual não identificado claramente (operação verticalizada própria). Maior rede premium do Brasil em expansão agressiva (355 lojas, +10-30/ano). Delivery 20,7%, canais digitais 56,3%. 3S pode oferecer: (1) Solução unificada para dark kitchens; (2) Integração superior delivery; (3) Custo-benefício vs. stack proprietário. Oportunidade gigante em expansão contínua.</v>
      </c>
      <c r="BH404" s="4" t="s">
        <v>63</v>
      </c>
      <c r="BI404" s="7" t="s">
        <v>63</v>
      </c>
    </row>
    <row r="405" hidden="1">
      <c r="A405" s="4" t="str">
        <f>IFERROR(__xludf.DUMMYFUNCTION("""COMPUTED_VALUE"""),"Madureira - Grupo")</f>
        <v>Madureira - Grupo</v>
      </c>
      <c r="B405" s="4" t="str">
        <f>IFERROR(__xludf.DUMMYFUNCTION("""COMPUTED_VALUE"""),"João Biagiotti")</f>
        <v>João Biagiotti</v>
      </c>
      <c r="C405" s="4" t="str">
        <f>IFERROR(__xludf.DUMMYFUNCTION("""COMPUTED_VALUE"""),"Diego Santos")</f>
        <v>Diego Santos</v>
      </c>
      <c r="D405" s="4" t="str">
        <f>IFERROR(__xludf.DUMMYFUNCTION("""COMPUTED_VALUE"""),"0. Não Iniciado")</f>
        <v>0. Não Iniciado</v>
      </c>
      <c r="E405" s="4" t="str">
        <f>IFERROR(__xludf.DUMMYFUNCTION("""COMPUTED_VALUE"""),"Delivery - Dificuldade de contato com executivo")</f>
        <v>Delivery - Dificuldade de contato com executivo</v>
      </c>
      <c r="F405" s="4" t="str">
        <f>IFERROR(__xludf.DUMMYFUNCTION("""COMPUTED_VALUE"""),"P")</f>
        <v>P</v>
      </c>
      <c r="G405" s="5">
        <f>IFERROR(__xludf.DUMMYFUNCTION("""COMPUTED_VALUE"""),46076.0)</f>
        <v>46076</v>
      </c>
      <c r="H405" s="4" t="str">
        <f>IFERROR(__xludf.DUMMYFUNCTION("""COMPUTED_VALUE"""),"Pedi apoio do KA natasha, aguardando devolutiva.")</f>
        <v>Pedi apoio do KA natasha, aguardando devolutiva.</v>
      </c>
      <c r="I405" s="4"/>
      <c r="J405" s="4"/>
      <c r="K405" s="4"/>
      <c r="L405" s="4"/>
      <c r="M405" s="4"/>
      <c r="N405" s="4"/>
      <c r="O405" s="4"/>
      <c r="P405" s="4"/>
      <c r="Q405" s="4"/>
      <c r="R405" s="4"/>
      <c r="S405" s="4"/>
      <c r="T405" s="4"/>
      <c r="U405" s="4"/>
      <c r="V405" s="4"/>
      <c r="W405" s="4"/>
      <c r="X405" s="4"/>
      <c r="Y405" s="4"/>
      <c r="Z405" s="4"/>
      <c r="AA405" s="4">
        <f>IFERROR(__xludf.DUMMYFUNCTION("""COMPUTED_VALUE"""),2.0)</f>
        <v>2</v>
      </c>
      <c r="AB405" s="4" t="str">
        <f>IFERROR(__xludf.DUMMYFUNCTION("""COMPUTED_VALUE"""),"NÃO")</f>
        <v>NÃO</v>
      </c>
      <c r="AC405" s="4" t="str">
        <f>IFERROR(__xludf.DUMMYFUNCTION("""COMPUTED_VALUE"""),"BP")</f>
        <v>BP</v>
      </c>
      <c r="AD405" s="4"/>
      <c r="AE405" s="4"/>
      <c r="AF405" s="4"/>
      <c r="AG405" s="4"/>
      <c r="AH405" s="4"/>
      <c r="AI405" s="4"/>
      <c r="AJ405" s="4"/>
      <c r="AK405" s="4"/>
      <c r="AL405" s="4"/>
      <c r="AM405" s="4" t="str">
        <f>IFERROR(__xludf.DUMMYFUNCTION("""COMPUTED_VALUE"""),"FY26, FY27")</f>
        <v>FY26, FY27</v>
      </c>
      <c r="AN405" s="4"/>
      <c r="AO405" s="4">
        <f>IFERROR(__xludf.DUMMYFUNCTION("""COMPUTED_VALUE"""),140.0)</f>
        <v>140</v>
      </c>
      <c r="AP405" s="4">
        <f>IFERROR(__xludf.DUMMYFUNCTION("""COMPUTED_VALUE"""),0.0)</f>
        <v>0</v>
      </c>
      <c r="AQ405" s="4">
        <f>IFERROR(__xludf.DUMMYFUNCTION("""COMPUTED_VALUE"""),0.0)</f>
        <v>0</v>
      </c>
      <c r="AR405" s="4">
        <f>IFERROR(__xludf.DUMMYFUNCTION("""COMPUTED_VALUE"""),0.0)</f>
        <v>0</v>
      </c>
      <c r="AS405" s="4">
        <f>IFERROR(__xludf.DUMMYFUNCTION("""COMPUTED_VALUE"""),0.0)</f>
        <v>0</v>
      </c>
      <c r="AT405" s="4">
        <f>IFERROR(__xludf.DUMMYFUNCTION("""COMPUTED_VALUE"""),0.0)</f>
        <v>0</v>
      </c>
      <c r="AU405" s="4" t="str">
        <f>IFERROR(__xludf.DUMMYFUNCTION("""COMPUTED_VALUE"""),"Iza")</f>
        <v>Iza</v>
      </c>
      <c r="AV405" s="4">
        <f>IFERROR(__xludf.DUMMYFUNCTION("""COMPUTED_VALUE"""),0.0)</f>
        <v>0</v>
      </c>
      <c r="AW405" s="4">
        <f>IFERROR(__xludf.DUMMYFUNCTION("""COMPUTED_VALUE"""),0.0)</f>
        <v>0</v>
      </c>
      <c r="AX405" s="4">
        <f>IFERROR(__xludf.DUMMYFUNCTION("""COMPUTED_VALUE"""),0.0)</f>
        <v>0</v>
      </c>
      <c r="AY405" s="4"/>
      <c r="AZ405" s="4" t="str">
        <f>IFERROR(__xludf.DUMMYFUNCTION("""COMPUTED_VALUE"""),"Brasileira")</f>
        <v>Brasileira</v>
      </c>
      <c r="BA405" s="4" t="str">
        <f>IFERROR(__xludf.DUMMYFUNCTION("""COMPUTED_VALUE"""),"")</f>
        <v/>
      </c>
      <c r="BB405" s="4" t="str">
        <f>IFERROR(__xludf.DUMMYFUNCTION("""COMPUTED_VALUE"""),"")</f>
        <v/>
      </c>
      <c r="BC405" s="4" t="str">
        <f>IFERROR(__xludf.DUMMYFUNCTION("""COMPUTED_VALUE"""),"")</f>
        <v/>
      </c>
      <c r="BD405" s="4" t="str">
        <f>IFERROR(__xludf.DUMMYFUNCTION("""COMPUTED_VALUE"""),"")</f>
        <v/>
      </c>
      <c r="BE405" s="4" t="str">
        <f>IFERROR(__xludf.DUMMYFUNCTION("""COMPUTED_VALUE"""),"")</f>
        <v/>
      </c>
      <c r="BF405" s="4" t="str">
        <f>IFERROR(__xludf.DUMMYFUNCTION("""COMPUTED_VALUE"""),"")</f>
        <v/>
      </c>
      <c r="BG405" s="4" t="str">
        <f>IFERROR(__xludf.DUMMYFUNCTION("""COMPUTED_VALUE"""),"")</f>
        <v/>
      </c>
      <c r="BH405" s="4" t="s">
        <v>135</v>
      </c>
      <c r="BI405" s="7">
        <v>1.0</v>
      </c>
    </row>
    <row r="406" hidden="1">
      <c r="A406" s="4" t="str">
        <f>IFERROR(__xludf.DUMMYFUNCTION("""COMPUTED_VALUE"""),"Mahab Esfiharia Conta Marca")</f>
        <v>Mahab Esfiharia Conta Marca</v>
      </c>
      <c r="B406" s="4" t="str">
        <f>IFERROR(__xludf.DUMMYFUNCTION("""COMPUTED_VALUE"""),"Lídia Esteves")</f>
        <v>Lídia Esteves</v>
      </c>
      <c r="C406" s="4" t="str">
        <f>IFERROR(__xludf.DUMMYFUNCTION("""COMPUTED_VALUE"""),"Gabriela Roma")</f>
        <v>Gabriela Roma</v>
      </c>
      <c r="D406" s="4" t="str">
        <f>IFERROR(__xludf.DUMMYFUNCTION("""COMPUTED_VALUE"""),"0. Não Iniciado")</f>
        <v>0. Não Iniciado</v>
      </c>
      <c r="E406" s="4"/>
      <c r="F406" s="4" t="str">
        <f>IFERROR(__xludf.DUMMYFUNCTION("""COMPUTED_VALUE"""),"P")</f>
        <v>P</v>
      </c>
      <c r="G406" s="4"/>
      <c r="H406" s="4"/>
      <c r="I406" s="4"/>
      <c r="J406" s="4"/>
      <c r="K406" s="4"/>
      <c r="L406" s="4"/>
      <c r="M406" s="4"/>
      <c r="N406" s="4"/>
      <c r="O406" s="4"/>
      <c r="P406" s="4"/>
      <c r="Q406" s="4"/>
      <c r="R406" s="4"/>
      <c r="S406" s="4"/>
      <c r="T406" s="4"/>
      <c r="U406" s="4"/>
      <c r="V406" s="4"/>
      <c r="W406" s="4"/>
      <c r="X406" s="4"/>
      <c r="Y406" s="4"/>
      <c r="Z406" s="4"/>
      <c r="AA406" s="4">
        <f>IFERROR(__xludf.DUMMYFUNCTION("""COMPUTED_VALUE"""),12.0)</f>
        <v>12</v>
      </c>
      <c r="AB406" s="4" t="str">
        <f>IFERROR(__xludf.DUMMYFUNCTION("""COMPUTED_VALUE"""),"-")</f>
        <v>-</v>
      </c>
      <c r="AC406" s="4" t="str">
        <f>IFERROR(__xludf.DUMMYFUNCTION("""COMPUTED_VALUE"""),"-")</f>
        <v>-</v>
      </c>
      <c r="AD406" s="4"/>
      <c r="AE406" s="4"/>
      <c r="AF406" s="4"/>
      <c r="AG406" s="4"/>
      <c r="AH406" s="4"/>
      <c r="AI406" s="4"/>
      <c r="AJ406" s="4"/>
      <c r="AK406" s="4"/>
      <c r="AL406" s="4"/>
      <c r="AM406" s="4" t="str">
        <f>IFERROR(__xludf.DUMMYFUNCTION("""COMPUTED_VALUE"""),"FY26, FY27")</f>
        <v>FY26, FY27</v>
      </c>
      <c r="AN406" s="4"/>
      <c r="AO406" s="4">
        <f>IFERROR(__xludf.DUMMYFUNCTION("""COMPUTED_VALUE"""),45553.0)</f>
        <v>45553</v>
      </c>
      <c r="AP406" s="4" t="str">
        <f>IFERROR(__xludf.DUMMYFUNCTION("""COMPUTED_VALUE"""),"SP")</f>
        <v>SP</v>
      </c>
      <c r="AQ406" s="4" t="str">
        <f>IFERROR(__xludf.DUMMYFUNCTION("""COMPUTED_VALUE"""),"VITOR SERRANO")</f>
        <v>VITOR SERRANO</v>
      </c>
      <c r="AR406" s="4" t="str">
        <f>IFERROR(__xludf.DUMMYFUNCTION("""COMPUTED_VALUE"""),"VICTOR FRANCO")</f>
        <v>VICTOR FRANCO</v>
      </c>
      <c r="AS406" s="4" t="str">
        <f>IFERROR(__xludf.DUMMYFUNCTION("""COMPUTED_VALUE"""),"ALAN HADDAD")</f>
        <v>ALAN HADDAD</v>
      </c>
      <c r="AT406" s="4" t="str">
        <f>IFERROR(__xludf.DUMMYFUNCTION("""COMPUTED_VALUE"""),"ISABELA DINIZ")</f>
        <v>ISABELA DINIZ</v>
      </c>
      <c r="AU406" s="4" t="str">
        <f>IFERROR(__xludf.DUMMYFUNCTION("""COMPUTED_VALUE"""),"Lídia / Emerson")</f>
        <v>Lídia / Emerson</v>
      </c>
      <c r="AV406" s="4">
        <f>IFERROR(__xludf.DUMMYFUNCTION("""COMPUTED_VALUE"""),0.0)</f>
        <v>0</v>
      </c>
      <c r="AW406" s="4">
        <f>IFERROR(__xludf.DUMMYFUNCTION("""COMPUTED_VALUE"""),0.0)</f>
        <v>0</v>
      </c>
      <c r="AX406" s="4">
        <f>IFERROR(__xludf.DUMMYFUNCTION("""COMPUTED_VALUE"""),0.0)</f>
        <v>0</v>
      </c>
      <c r="AY406" s="4" t="str">
        <f>IFERROR(__xludf.DUMMYFUNCTION("""COMPUTED_VALUE"""),"Beefood - Sistema Para Restaurantes")</f>
        <v>Beefood - Sistema Para Restaurantes</v>
      </c>
      <c r="AZ406" s="4" t="str">
        <f>IFERROR(__xludf.DUMMYFUNCTION("""COMPUTED_VALUE"""),"Árabe")</f>
        <v>Árabe</v>
      </c>
      <c r="BA406" s="4" t="str">
        <f>IFERROR(__xludf.DUMMYFUNCTION("""COMPUTED_VALUE"""),"")</f>
        <v/>
      </c>
      <c r="BB406" s="4" t="str">
        <f>IFERROR(__xludf.DUMMYFUNCTION("""COMPUTED_VALUE"""),"")</f>
        <v/>
      </c>
      <c r="BC406" s="4" t="str">
        <f>IFERROR(__xludf.DUMMYFUNCTION("""COMPUTED_VALUE"""),"")</f>
        <v/>
      </c>
      <c r="BD406" s="4" t="str">
        <f>IFERROR(__xludf.DUMMYFUNCTION("""COMPUTED_VALUE"""),"")</f>
        <v/>
      </c>
      <c r="BE406" s="4" t="str">
        <f>IFERROR(__xludf.DUMMYFUNCTION("""COMPUTED_VALUE"""),"")</f>
        <v/>
      </c>
      <c r="BF406" s="4" t="str">
        <f>IFERROR(__xludf.DUMMYFUNCTION("""COMPUTED_VALUE"""),"")</f>
        <v/>
      </c>
      <c r="BG406" s="4" t="str">
        <f>IFERROR(__xludf.DUMMYFUNCTION("""COMPUTED_VALUE"""),"")</f>
        <v/>
      </c>
      <c r="BH406" s="4" t="s">
        <v>63</v>
      </c>
      <c r="BI406" s="7" t="s">
        <v>63</v>
      </c>
    </row>
    <row r="407" hidden="1">
      <c r="A407" s="4" t="str">
        <f>IFERROR(__xludf.DUMMYFUNCTION("""COMPUTED_VALUE"""),"Makoto Brasil")</f>
        <v>Makoto Brasil</v>
      </c>
      <c r="B407" s="4" t="str">
        <f>IFERROR(__xludf.DUMMYFUNCTION("""COMPUTED_VALUE"""),"Diego Santos")</f>
        <v>Diego Santos</v>
      </c>
      <c r="C407" s="4" t="str">
        <f>IFERROR(__xludf.DUMMYFUNCTION("""COMPUTED_VALUE"""),"Diego Santos")</f>
        <v>Diego Santos</v>
      </c>
      <c r="D407" s="4" t="str">
        <f>IFERROR(__xludf.DUMMYFUNCTION("""COMPUTED_VALUE"""),"13. Reativado")</f>
        <v>13. Reativado</v>
      </c>
      <c r="E407" s="4" t="str">
        <f>IFERROR(__xludf.DUMMYFUNCTION("""COMPUTED_VALUE"""),"Perdido -  Momento do restaurante não favorável")</f>
        <v>Perdido -  Momento do restaurante não favorável</v>
      </c>
      <c r="F407" s="4" t="str">
        <f>IFERROR(__xludf.DUMMYFUNCTION("""COMPUTED_VALUE"""),"Sem Classificação")</f>
        <v>Sem Classificação</v>
      </c>
      <c r="G407" s="5">
        <f>IFERROR(__xludf.DUMMYFUNCTION("""COMPUTED_VALUE"""),46119.0)</f>
        <v>46119</v>
      </c>
      <c r="H407" s="4" t="str">
        <f>IFERROR(__xludf.DUMMYFUNCTION("""COMPUTED_VALUE"""),"Cliente não está priorizando o tema no momento. ")</f>
        <v>Cliente não está priorizando o tema no momento. </v>
      </c>
      <c r="I407" s="4"/>
      <c r="J407" s="6">
        <f>IFERROR(__xludf.DUMMYFUNCTION("""COMPUTED_VALUE"""),46090.56372239583)</f>
        <v>46090.56372</v>
      </c>
      <c r="K407" s="6">
        <f>IFERROR(__xludf.DUMMYFUNCTION("""COMPUTED_VALUE"""),46090.56376935185)</f>
        <v>46090.56377</v>
      </c>
      <c r="L407" s="6">
        <f>IFERROR(__xludf.DUMMYFUNCTION("""COMPUTED_VALUE"""),46090.56380820602)</f>
        <v>46090.56381</v>
      </c>
      <c r="M407" s="6">
        <f>IFERROR(__xludf.DUMMYFUNCTION("""COMPUTED_VALUE"""),46092.498242534726)</f>
        <v>46092.49824</v>
      </c>
      <c r="N407" s="4"/>
      <c r="O407" s="4"/>
      <c r="P407" s="4"/>
      <c r="Q407" s="4"/>
      <c r="R407" s="6">
        <f>IFERROR(__xludf.DUMMYFUNCTION("""COMPUTED_VALUE"""),46113.635443067134)</f>
        <v>46113.63544</v>
      </c>
      <c r="S407" s="4"/>
      <c r="T407" s="4"/>
      <c r="U407" s="6">
        <f>IFERROR(__xludf.DUMMYFUNCTION("""COMPUTED_VALUE"""),46121.687550636576)</f>
        <v>46121.68755</v>
      </c>
      <c r="V407" s="4" t="str">
        <f>IFERROR(__xludf.DUMMYFUNCTION("""COMPUTED_VALUE"""),"Sem perfil LA")</f>
        <v>Sem perfil LA</v>
      </c>
      <c r="W407" s="4"/>
      <c r="X407" s="4"/>
      <c r="Y407" s="4"/>
      <c r="Z407" s="4"/>
      <c r="AA407" s="4"/>
      <c r="AB407" s="4"/>
      <c r="AC407" s="4"/>
      <c r="AD407" s="4"/>
      <c r="AE407" s="4"/>
      <c r="AF407" s="4"/>
      <c r="AG407" s="4"/>
      <c r="AH407" s="4"/>
      <c r="AI407" s="4"/>
      <c r="AJ407" s="4"/>
      <c r="AK407" s="4"/>
      <c r="AL407" s="4"/>
      <c r="AM407" s="4" t="str">
        <f>IFERROR(__xludf.DUMMYFUNCTION("""COMPUTED_VALUE"""),"FY26")</f>
        <v>FY26</v>
      </c>
      <c r="AN407" s="4"/>
      <c r="AO407" s="4">
        <f>IFERROR(__xludf.DUMMYFUNCTION("""COMPUTED_VALUE"""),96.0)</f>
        <v>96</v>
      </c>
      <c r="AP407" s="4">
        <f>IFERROR(__xludf.DUMMYFUNCTION("""COMPUTED_VALUE"""),0.0)</f>
        <v>0</v>
      </c>
      <c r="AQ407" s="4">
        <f>IFERROR(__xludf.DUMMYFUNCTION("""COMPUTED_VALUE"""),0.0)</f>
        <v>0</v>
      </c>
      <c r="AR407" s="4">
        <f>IFERROR(__xludf.DUMMYFUNCTION("""COMPUTED_VALUE"""),0.0)</f>
        <v>0</v>
      </c>
      <c r="AS407" s="4">
        <f>IFERROR(__xludf.DUMMYFUNCTION("""COMPUTED_VALUE"""),0.0)</f>
        <v>0</v>
      </c>
      <c r="AT407" s="4">
        <f>IFERROR(__xludf.DUMMYFUNCTION("""COMPUTED_VALUE"""),0.0)</f>
        <v>0</v>
      </c>
      <c r="AU407" s="4" t="str">
        <f>IFERROR(__xludf.DUMMYFUNCTION("""COMPUTED_VALUE"""),"Diego")</f>
        <v>Diego</v>
      </c>
      <c r="AV407" s="4">
        <f>IFERROR(__xludf.DUMMYFUNCTION("""COMPUTED_VALUE"""),0.0)</f>
        <v>0</v>
      </c>
      <c r="AW407" s="4">
        <f>IFERROR(__xludf.DUMMYFUNCTION("""COMPUTED_VALUE"""),0.0)</f>
        <v>0</v>
      </c>
      <c r="AX407" s="4">
        <f>IFERROR(__xludf.DUMMYFUNCTION("""COMPUTED_VALUE"""),0.0)</f>
        <v>0</v>
      </c>
      <c r="AY407" s="4"/>
      <c r="AZ407" s="4">
        <f>IFERROR(__xludf.DUMMYFUNCTION("""COMPUTED_VALUE"""),0.0)</f>
        <v>0</v>
      </c>
      <c r="BA407" s="4" t="str">
        <f>IFERROR(__xludf.DUMMYFUNCTION("""COMPUTED_VALUE"""),"R$ 250-350")</f>
        <v>R$ 250-350</v>
      </c>
      <c r="BB407" s="4" t="str">
        <f>IFERROR(__xludf.DUMMYFUNCTION("""COMPUTED_VALUE"""),"Fine Dining - Restaurante Japonês de alta gastronomia (Chef Makoto Okuwa)")</f>
        <v>Fine Dining - Restaurante Japonês de alta gastronomia (Chef Makoto Okuwa)</v>
      </c>
      <c r="BC407" s="4" t="str">
        <f>IFERROR(__xludf.DUMMYFUNCTION("""COMPUTED_VALUE"""),"São Paulo/SP. 2 unidades (Shopping Cidade Jardim, Shops Jardins). Extensão da marca de Miami (Chef japonês famoso)")</f>
        <v>São Paulo/SP. 2 unidades (Shopping Cidade Jardim, Shops Jardins). Extensão da marca de Miami (Chef japonês famoso)</v>
      </c>
      <c r="BD407" s="4" t="str">
        <f>IFERROR(__xludf.DUMMYFUNCTION("""COMPUTED_VALUE"""),"Dado não disponível publicamente - Necessário Discovery. Operação premium (80% do menu de Miami)")</f>
        <v>Dado não disponível publicamente - Necessário Discovery. Operação premium (80% do menu de Miami)</v>
      </c>
      <c r="BE407" s="4">
        <f>IFERROR(__xludf.DUMMYFUNCTION("""COMPUTED_VALUE"""),48.0)</f>
        <v>48</v>
      </c>
      <c r="BF407" s="4">
        <f>IFERROR(__xludf.DUMMYFUNCTION("""COMPUTED_VALUE"""),0.5)</f>
        <v>0.5</v>
      </c>
      <c r="BG407" s="4" t="str">
        <f>IFERROR(__xludf.DUMMYFUNCTION("""COMPUTED_VALUE"""),"PDV atual não identificado. Fine dining exige PDV discretíssimo. Escala muito reduzida (2 lojas) em SP. 3S teria baixa aderência - operação boutique sem ambição de rede.")</f>
        <v>PDV atual não identificado. Fine dining exige PDV discretíssimo. Escala muito reduzida (2 lojas) em SP. 3S teria baixa aderência - operação boutique sem ambição de rede.</v>
      </c>
      <c r="BH407" s="4" t="s">
        <v>63</v>
      </c>
      <c r="BI407" s="7" t="s">
        <v>63</v>
      </c>
    </row>
    <row r="408">
      <c r="A408" s="4" t="str">
        <f>IFERROR(__xludf.DUMMYFUNCTION("""COMPUTED_VALUE"""),"Mana Poke (Grupo Boali)")</f>
        <v>Mana Poke (Grupo Boali)</v>
      </c>
      <c r="B408" s="4" t="str">
        <f>IFERROR(__xludf.DUMMYFUNCTION("""COMPUTED_VALUE"""),"Leonardo Roso")</f>
        <v>Leonardo Roso</v>
      </c>
      <c r="C408" s="4" t="str">
        <f>IFERROR(__xludf.DUMMYFUNCTION("""COMPUTED_VALUE"""),"Leonardo Roso")</f>
        <v>Leonardo Roso</v>
      </c>
      <c r="D408" s="4" t="str">
        <f>IFERROR(__xludf.DUMMYFUNCTION("""COMPUTED_VALUE"""),"7. Piloto")</f>
        <v>7. Piloto</v>
      </c>
      <c r="E408" s="4" t="str">
        <f>IFERROR(__xludf.DUMMYFUNCTION("""COMPUTED_VALUE"""),"Projetos - Em piloto")</f>
        <v>Projetos - Em piloto</v>
      </c>
      <c r="F408" s="4" t="str">
        <f>IFERROR(__xludf.DUMMYFUNCTION("""COMPUTED_VALUE"""),"G")</f>
        <v>G</v>
      </c>
      <c r="G408" s="5">
        <f>IFERROR(__xludf.DUMMYFUNCTION("""COMPUTED_VALUE"""),46066.0)</f>
        <v>46066</v>
      </c>
      <c r="H408" s="4" t="str">
        <f>IFERROR(__xludf.DUMMYFUNCTION("""COMPUTED_VALUE"""),"Hugo aguardando aprovação shopping para início piloto (previsto para Março) - Prazo: 20/02 expirado")</f>
        <v>Hugo aguardando aprovação shopping para início piloto (previsto para Março) - Prazo: 20/02 expirado</v>
      </c>
      <c r="I408" s="4"/>
      <c r="J408" s="4"/>
      <c r="K408" s="6">
        <f>IFERROR(__xludf.DUMMYFUNCTION("""COMPUTED_VALUE"""),45897.0)</f>
        <v>45897</v>
      </c>
      <c r="L408" s="4"/>
      <c r="M408" s="4"/>
      <c r="N408" s="4"/>
      <c r="O408" s="6">
        <f>IFERROR(__xludf.DUMMYFUNCTION("""COMPUTED_VALUE"""),46062.39608196759)</f>
        <v>46062.39608</v>
      </c>
      <c r="P408" s="4"/>
      <c r="Q408" s="4"/>
      <c r="R408" s="4"/>
      <c r="S408" s="4"/>
      <c r="T408" s="4"/>
      <c r="U408" s="4"/>
      <c r="V408" s="4"/>
      <c r="W408" s="4"/>
      <c r="X408" s="4"/>
      <c r="Y408" s="4"/>
      <c r="Z408" s="4"/>
      <c r="AA408" s="4">
        <f>IFERROR(__xludf.DUMMYFUNCTION("""COMPUTED_VALUE"""),60.0)</f>
        <v>60</v>
      </c>
      <c r="AB408" s="4" t="str">
        <f>IFERROR(__xludf.DUMMYFUNCTION("""COMPUTED_VALUE"""),"-")</f>
        <v>-</v>
      </c>
      <c r="AC408" s="4" t="str">
        <f>IFERROR(__xludf.DUMMYFUNCTION("""COMPUTED_VALUE"""),"-")</f>
        <v>-</v>
      </c>
      <c r="AD408" s="4"/>
      <c r="AE408" s="4">
        <f>IFERROR(__xludf.DUMMYFUNCTION("""COMPUTED_VALUE"""),1.0)</f>
        <v>1</v>
      </c>
      <c r="AF408" s="9">
        <f>IFERROR(__xludf.DUMMYFUNCTION("""COMPUTED_VALUE"""),46068.0)</f>
        <v>46068</v>
      </c>
      <c r="AG408" s="4">
        <f>IFERROR(__xludf.DUMMYFUNCTION("""COMPUTED_VALUE"""),1.0)</f>
        <v>1</v>
      </c>
      <c r="AH408" s="4"/>
      <c r="AI408" s="4"/>
      <c r="AJ408" s="4"/>
      <c r="AK408" s="4"/>
      <c r="AL408" s="4"/>
      <c r="AM408" s="4" t="str">
        <f>IFERROR(__xludf.DUMMYFUNCTION("""COMPUTED_VALUE"""),"FY26, FY27")</f>
        <v>FY26, FY27</v>
      </c>
      <c r="AN408" s="4"/>
      <c r="AO408" s="4">
        <f>IFERROR(__xludf.DUMMYFUNCTION("""COMPUTED_VALUE"""),150.0)</f>
        <v>150</v>
      </c>
      <c r="AP408" s="4">
        <f>IFERROR(__xludf.DUMMYFUNCTION("""COMPUTED_VALUE"""),0.0)</f>
        <v>0</v>
      </c>
      <c r="AQ408" s="4">
        <f>IFERROR(__xludf.DUMMYFUNCTION("""COMPUTED_VALUE"""),0.0)</f>
        <v>0</v>
      </c>
      <c r="AR408" s="4">
        <f>IFERROR(__xludf.DUMMYFUNCTION("""COMPUTED_VALUE"""),0.0)</f>
        <v>0</v>
      </c>
      <c r="AS408" s="4">
        <f>IFERROR(__xludf.DUMMYFUNCTION("""COMPUTED_VALUE"""),0.0)</f>
        <v>0</v>
      </c>
      <c r="AT408" s="4">
        <f>IFERROR(__xludf.DUMMYFUNCTION("""COMPUTED_VALUE"""),0.0)</f>
        <v>0</v>
      </c>
      <c r="AU408" s="4" t="str">
        <f>IFERROR(__xludf.DUMMYFUNCTION("""COMPUTED_VALUE"""),"Samuel")</f>
        <v>Samuel</v>
      </c>
      <c r="AV408" s="4" t="str">
        <f>IFERROR(__xludf.DUMMYFUNCTION("""COMPUTED_VALUE"""),"Comer Fora-")</f>
        <v>Comer Fora-</v>
      </c>
      <c r="AW408" s="20" t="str">
        <f>IFERROR(__xludf.DUMMYFUNCTION("""COMPUTED_VALUE"""),"BASE SAIPOS")</f>
        <v>BASE SAIPOS</v>
      </c>
      <c r="AX408" s="4"/>
      <c r="AY408" s="4">
        <f>IFERROR(__xludf.DUMMYFUNCTION("""COMPUTED_VALUE"""),0.0)</f>
        <v>0</v>
      </c>
      <c r="AZ408" s="4" t="str">
        <f>IFERROR(__xludf.DUMMYFUNCTION("""COMPUTED_VALUE"""),"NA")</f>
        <v>NA</v>
      </c>
      <c r="BA408" s="4">
        <f>IFERROR(__xludf.DUMMYFUNCTION("""COMPUTED_VALUE"""),50.0)</f>
        <v>50</v>
      </c>
      <c r="BB408" s="4" t="str">
        <f>IFERROR(__xludf.DUMMYFUNCTION("""COMPUTED_VALUE"""),"Fast Casual Saudável - Poke havaiano")</f>
        <v>Fast Casual Saudável - Poke havaiano</v>
      </c>
      <c r="BC408" s="4" t="str">
        <f>IFERROR(__xludf.DUMMYFUNCTION("""COMPUTED_VALUE"""),"70 unidades em 13 estados + DF. Grupo Boali adquiriu 51% em set/2025. Meta: 110 lojas até fim 2026. Expansão nacional em shoppings (80% das lojas)")</f>
        <v>70 unidades em 13 estados + DF. Grupo Boali adquiriu 51% em set/2025. Meta: 110 lojas até fim 2026. Expansão nacional em shoppings (80% das lojas)</v>
      </c>
      <c r="BD408" s="4" t="str">
        <f>IFERROR(__xludf.DUMMYFUNCTION("""COMPUTED_VALUE"""),"R$ 270 milhões (projeção 2025). Grupo Boali + Mana Poke: R$ 400 milhões combinados. Meta adicional: +R$ 40 milhões em shoppings 2026")</f>
        <v>R$ 270 milhões (projeção 2025). Grupo Boali + Mana Poke: R$ 400 milhões combinados. Meta adicional: +R$ 40 milhões em shoppings 2026</v>
      </c>
      <c r="BE408" s="4">
        <f>IFERROR(__xludf.DUMMYFUNCTION("""COMPUTED_VALUE"""),85.0)</f>
        <v>85</v>
      </c>
      <c r="BF408" s="4">
        <f>IFERROR(__xludf.DUMMYFUNCTION("""COMPUTED_VALUE"""),0.88)</f>
        <v>0.88</v>
      </c>
      <c r="BG408" s="4" t="str">
        <f>IFERROR(__xludf.DUMMYFUNCTION("""COMPUTED_VALUE"""),"PDV atual não identificado. Grupo Boali (comida saudável) em expansão agressiva pós-aquisição. 70→110 lojas em 2026. 3S é estratégico para: (1) Padronizar Mana Poke + Boali; (2) Unificar 173+ lojas do grupo; (3) Gestão centralizada de rede saudável. Alto "&amp;"potencial de conversão.")</f>
        <v>PDV atual não identificado. Grupo Boali (comida saudável) em expansão agressiva pós-aquisição. 70→110 lojas em 2026. 3S é estratégico para: (1) Padronizar Mana Poke + Boali; (2) Unificar 173+ lojas do grupo; (3) Gestão centralizada de rede saudável. Alto potencial de conversão.</v>
      </c>
      <c r="BH408" s="4" t="s">
        <v>63</v>
      </c>
      <c r="BI408" s="7" t="s">
        <v>63</v>
      </c>
    </row>
    <row r="409" hidden="1">
      <c r="A409" s="4" t="str">
        <f>IFERROR(__xludf.DUMMYFUNCTION("""COMPUTED_VALUE"""),"Manekineko")</f>
        <v>Manekineko</v>
      </c>
      <c r="B409" s="4" t="str">
        <f>IFERROR(__xludf.DUMMYFUNCTION("""COMPUTED_VALUE"""),"Lídia Esteves")</f>
        <v>Lídia Esteves</v>
      </c>
      <c r="C409" s="4" t="str">
        <f>IFERROR(__xludf.DUMMYFUNCTION("""COMPUTED_VALUE"""),"Gabriela Roma")</f>
        <v>Gabriela Roma</v>
      </c>
      <c r="D409" s="4" t="str">
        <f>IFERROR(__xludf.DUMMYFUNCTION("""COMPUTED_VALUE"""),"0. Não Iniciado")</f>
        <v>0. Não Iniciado</v>
      </c>
      <c r="E409" s="4"/>
      <c r="F409" s="4" t="str">
        <f>IFERROR(__xludf.DUMMYFUNCTION("""COMPUTED_VALUE"""),"P")</f>
        <v>P</v>
      </c>
      <c r="G409" s="4"/>
      <c r="H409" s="4"/>
      <c r="I409" s="4"/>
      <c r="J409" s="4"/>
      <c r="K409" s="4"/>
      <c r="L409" s="4"/>
      <c r="M409" s="4"/>
      <c r="N409" s="4"/>
      <c r="O409" s="4"/>
      <c r="P409" s="4"/>
      <c r="Q409" s="4"/>
      <c r="R409" s="4"/>
      <c r="S409" s="4"/>
      <c r="T409" s="4"/>
      <c r="U409" s="4"/>
      <c r="V409" s="4"/>
      <c r="W409" s="4"/>
      <c r="X409" s="4"/>
      <c r="Y409" s="4"/>
      <c r="Z409" s="4"/>
      <c r="AA409" s="4">
        <f>IFERROR(__xludf.DUMMYFUNCTION("""COMPUTED_VALUE"""),7.0)</f>
        <v>7</v>
      </c>
      <c r="AB409" s="4" t="str">
        <f>IFERROR(__xludf.DUMMYFUNCTION("""COMPUTED_VALUE"""),"NÃO")</f>
        <v>NÃO</v>
      </c>
      <c r="AC409" s="4" t="str">
        <f>IFERROR(__xludf.DUMMYFUNCTION("""COMPUTED_VALUE"""),"BP")</f>
        <v>BP</v>
      </c>
      <c r="AD409" s="4"/>
      <c r="AE409" s="4"/>
      <c r="AF409" s="4"/>
      <c r="AG409" s="4"/>
      <c r="AH409" s="4"/>
      <c r="AI409" s="4"/>
      <c r="AJ409" s="4"/>
      <c r="AK409" s="4"/>
      <c r="AL409" s="4"/>
      <c r="AM409" s="4" t="str">
        <f>IFERROR(__xludf.DUMMYFUNCTION("""COMPUTED_VALUE"""),"FY26, FY27")</f>
        <v>FY26, FY27</v>
      </c>
      <c r="AN409" s="4" t="str">
        <f>IFERROR(__xludf.DUMMYFUNCTION("""COMPUTED_VALUE"""),"Comer Fora")</f>
        <v>Comer Fora</v>
      </c>
      <c r="AO409" s="4">
        <f>IFERROR(__xludf.DUMMYFUNCTION("""COMPUTED_VALUE"""),45553.0)</f>
        <v>45553</v>
      </c>
      <c r="AP409" s="4" t="str">
        <f>IFERROR(__xludf.DUMMYFUNCTION("""COMPUTED_VALUE"""),"RJ")</f>
        <v>RJ</v>
      </c>
      <c r="AQ409" s="4" t="str">
        <f>IFERROR(__xludf.DUMMYFUNCTION("""COMPUTED_VALUE"""),"THIAGO FERNANDES")</f>
        <v>THIAGO FERNANDES</v>
      </c>
      <c r="AR409" s="4" t="str">
        <f>IFERROR(__xludf.DUMMYFUNCTION("""COMPUTED_VALUE"""),"MARCELLA SOTTO")</f>
        <v>MARCELLA SOTTO</v>
      </c>
      <c r="AS409" s="4" t="str">
        <f>IFERROR(__xludf.DUMMYFUNCTION("""COMPUTED_VALUE"""),"NATHALIE MERTENS")</f>
        <v>NATHALIE MERTENS</v>
      </c>
      <c r="AT409" s="4" t="str">
        <f>IFERROR(__xludf.DUMMYFUNCTION("""COMPUTED_VALUE"""),"MARIANA KATZ")</f>
        <v>MARIANA KATZ</v>
      </c>
      <c r="AU409" s="4" t="str">
        <f>IFERROR(__xludf.DUMMYFUNCTION("""COMPUTED_VALUE"""),"Emerson")</f>
        <v>Emerson</v>
      </c>
      <c r="AV409" s="4">
        <f>IFERROR(__xludf.DUMMYFUNCTION("""COMPUTED_VALUE"""),0.0)</f>
        <v>0</v>
      </c>
      <c r="AW409" s="4">
        <f>IFERROR(__xludf.DUMMYFUNCTION("""COMPUTED_VALUE"""),0.0)</f>
        <v>0</v>
      </c>
      <c r="AX409" s="4">
        <f>IFERROR(__xludf.DUMMYFUNCTION("""COMPUTED_VALUE"""),0.0)</f>
        <v>0</v>
      </c>
      <c r="AY409" s="4" t="str">
        <f>IFERROR(__xludf.DUMMYFUNCTION("""COMPUTED_VALUE"""),"Teknisa Service Ltda")</f>
        <v>Teknisa Service Ltda</v>
      </c>
      <c r="AZ409" s="4" t="str">
        <f>IFERROR(__xludf.DUMMYFUNCTION("""COMPUTED_VALUE"""),"Japonesa")</f>
        <v>Japonesa</v>
      </c>
      <c r="BA409" s="4" t="str">
        <f>IFERROR(__xludf.DUMMYFUNCTION("""COMPUTED_VALUE"""),"R$ 70-100 (rodízio)")</f>
        <v>R$ 70-100 (rodízio)</v>
      </c>
      <c r="BB409" s="4" t="str">
        <f>IFERROR(__xludf.DUMMYFUNCTION("""COMPUTED_VALUE"""),"Fast Casual - Restaurante Japonês com rodízio")</f>
        <v>Fast Casual - Restaurante Japonês com rodízio</v>
      </c>
      <c r="BC409" s="4" t="str">
        <f>IFERROR(__xludf.DUMMYFUNCTION("""COMPUTED_VALUE"""),"Rio de Janeiro/RJ. 5 unidades (Casashopping Barra, Tijuca, Humaitá, Itanhangá). Todas no RJ, sem expansão para outras cidades")</f>
        <v>Rio de Janeiro/RJ. 5 unidades (Casashopping Barra, Tijuca, Humaitá, Itanhangá). Todas no RJ, sem expansão para outras cidades</v>
      </c>
      <c r="BD409" s="4" t="str">
        <f>IFERROR(__xludf.DUMMYFUNCTION("""COMPUTED_VALUE"""),"Dado não disponível publicamente - Necessário Discovery")</f>
        <v>Dado não disponível publicamente - Necessário Discovery</v>
      </c>
      <c r="BE409" s="4">
        <f>IFERROR(__xludf.DUMMYFUNCTION("""COMPUTED_VALUE"""),48.0)</f>
        <v>48</v>
      </c>
      <c r="BF409" s="4">
        <f>IFERROR(__xludf.DUMMYFUNCTION("""COMPUTED_VALUE"""),0.52)</f>
        <v>0.52</v>
      </c>
      <c r="BG409" s="4" t="str">
        <f>IFERROR(__xludf.DUMMYFUNCTION("""COMPUTED_VALUE"""),"PDV atual não identificado. Operação regional consolidada no RJ com 5 lojas. Rodízio + delivery. 3S pode integrar PDV + delivery + eventos, mas escala moderada limita potencial.")</f>
        <v>PDV atual não identificado. Operação regional consolidada no RJ com 5 lojas. Rodízio + delivery. 3S pode integrar PDV + delivery + eventos, mas escala moderada limita potencial.</v>
      </c>
      <c r="BH409" s="4" t="s">
        <v>64</v>
      </c>
      <c r="BI409" s="7">
        <v>0.6666666666666666</v>
      </c>
    </row>
    <row r="410">
      <c r="A410" s="4" t="str">
        <f>IFERROR(__xludf.DUMMYFUNCTION("""COMPUTED_VALUE"""),"Mania De Churrasco")</f>
        <v>Mania De Churrasco</v>
      </c>
      <c r="B410" s="4" t="str">
        <f>IFERROR(__xludf.DUMMYFUNCTION("""COMPUTED_VALUE"""),"Leonardo Roso")</f>
        <v>Leonardo Roso</v>
      </c>
      <c r="C410" s="4" t="str">
        <f>IFERROR(__xludf.DUMMYFUNCTION("""COMPUTED_VALUE"""),"Leonardo Roso")</f>
        <v>Leonardo Roso</v>
      </c>
      <c r="D410" s="4" t="str">
        <f>IFERROR(__xludf.DUMMYFUNCTION("""COMPUTED_VALUE"""),"3. Apresentação")</f>
        <v>3. Apresentação</v>
      </c>
      <c r="E410" s="4" t="str">
        <f>IFERROR(__xludf.DUMMYFUNCTION("""COMPUTED_VALUE"""),"Perdido - Outro (detalhar ao lado)")</f>
        <v>Perdido - Outro (detalhar ao lado)</v>
      </c>
      <c r="F410" s="4" t="str">
        <f>IFERROR(__xludf.DUMMYFUNCTION("""COMPUTED_VALUE"""),"G")</f>
        <v>G</v>
      </c>
      <c r="G410" s="4"/>
      <c r="H410" s="4" t="str">
        <f>IFERROR(__xludf.DUMMYFUNCTION("""COMPUTED_VALUE"""),"Fazer contato com cliente , estava muito quente mas esfriou depois da compra pelo Ifood")</f>
        <v>Fazer contato com cliente , estava muito quente mas esfriou depois da compra pelo Ifood</v>
      </c>
      <c r="I410" s="4"/>
      <c r="J410" s="4"/>
      <c r="K410" s="6">
        <f>IFERROR(__xludf.DUMMYFUNCTION("""COMPUTED_VALUE"""),45899.0)</f>
        <v>45899</v>
      </c>
      <c r="L410" s="4"/>
      <c r="M410" s="4"/>
      <c r="N410" s="4"/>
      <c r="O410" s="4"/>
      <c r="P410" s="4"/>
      <c r="Q410" s="4"/>
      <c r="R410" s="4"/>
      <c r="S410" s="4"/>
      <c r="T410" s="4"/>
      <c r="U410" s="4"/>
      <c r="V410" s="4"/>
      <c r="W410" s="4"/>
      <c r="X410" s="4"/>
      <c r="Y410" s="4"/>
      <c r="Z410" s="4"/>
      <c r="AA410" s="4">
        <f>IFERROR(__xludf.DUMMYFUNCTION("""COMPUTED_VALUE"""),130.0)</f>
        <v>130</v>
      </c>
      <c r="AB410" s="4" t="str">
        <f>IFERROR(__xludf.DUMMYFUNCTION("""COMPUTED_VALUE"""),"NÃO")</f>
        <v>NÃO</v>
      </c>
      <c r="AC410" s="4" t="str">
        <f>IFERROR(__xludf.DUMMYFUNCTION("""COMPUTED_VALUE"""),"BP")</f>
        <v>BP</v>
      </c>
      <c r="AD410" s="4"/>
      <c r="AE410" s="4"/>
      <c r="AF410" s="4"/>
      <c r="AG410" s="4"/>
      <c r="AH410" s="4"/>
      <c r="AI410" s="4"/>
      <c r="AJ410" s="4"/>
      <c r="AK410" s="4"/>
      <c r="AL410" s="4"/>
      <c r="AM410" s="4" t="str">
        <f>IFERROR(__xludf.DUMMYFUNCTION("""COMPUTED_VALUE"""),"FY26, FY27")</f>
        <v>FY26, FY27</v>
      </c>
      <c r="AN410" s="4"/>
      <c r="AO410" s="4">
        <f>IFERROR(__xludf.DUMMYFUNCTION("""COMPUTED_VALUE"""),45553.0)</f>
        <v>45553</v>
      </c>
      <c r="AP410" s="4" t="str">
        <f>IFERROR(__xludf.DUMMYFUNCTION("""COMPUTED_VALUE"""),"RJ")</f>
        <v>RJ</v>
      </c>
      <c r="AQ410" s="4" t="str">
        <f>IFERROR(__xludf.DUMMYFUNCTION("""COMPUTED_VALUE"""),"THIAGO MORSELLI")</f>
        <v>THIAGO MORSELLI</v>
      </c>
      <c r="AR410" s="4" t="str">
        <f>IFERROR(__xludf.DUMMYFUNCTION("""COMPUTED_VALUE"""),"AMANDA ARAUJO")</f>
        <v>AMANDA ARAUJO</v>
      </c>
      <c r="AS410" s="4" t="str">
        <f>IFERROR(__xludf.DUMMYFUNCTION("""COMPUTED_VALUE"""),"ISABELA GOULART")</f>
        <v>ISABELA GOULART</v>
      </c>
      <c r="AT410" s="4" t="str">
        <f>IFERROR(__xludf.DUMMYFUNCTION("""COMPUTED_VALUE"""),"THIAGO MORSELLI")</f>
        <v>THIAGO MORSELLI</v>
      </c>
      <c r="AU410" s="4" t="str">
        <f>IFERROR(__xludf.DUMMYFUNCTION("""COMPUTED_VALUE"""),"Michel")</f>
        <v>Michel</v>
      </c>
      <c r="AV410" s="4" t="str">
        <f>IFERROR(__xludf.DUMMYFUNCTION("""COMPUTED_VALUE"""),"Comer Fora-")</f>
        <v>Comer Fora-</v>
      </c>
      <c r="AW410" s="20" t="str">
        <f>IFERROR(__xludf.DUMMYFUNCTION("""COMPUTED_VALUE"""),"")</f>
        <v/>
      </c>
      <c r="AX410" s="4"/>
      <c r="AY410" s="4"/>
      <c r="AZ410" s="4" t="str">
        <f>IFERROR(__xludf.DUMMYFUNCTION("""COMPUTED_VALUE"""),"Brasileira")</f>
        <v>Brasileira</v>
      </c>
      <c r="BA410" s="4" t="str">
        <f>IFERROR(__xludf.DUMMYFUNCTION("""COMPUTED_VALUE"""),"R$ 55-65")</f>
        <v>R$ 55-65</v>
      </c>
      <c r="BB410" s="4" t="str">
        <f>IFERROR(__xludf.DUMMYFUNCTION("""COMPUTED_VALUE"""),"Fast Casual - Churrascaria em shoppings/aeroportos (Prime Steak, Buffet)")</f>
        <v>Fast Casual - Churrascaria em shoppings/aeroportos (Prime Steak, Buffet)</v>
      </c>
      <c r="BC410" s="4" t="str">
        <f>IFERROR(__xludf.DUMMYFUNCTION("""COMPUTED_VALUE"""),"115 lojas em 33 cidades. Sudeste, Sul, Centro-Oeste. Meta: &gt;120 lojas até fim 2026 (+10 unidades). 800 funcionários próprios")</f>
        <v>115 lojas em 33 cidades. Sudeste, Sul, Centro-Oeste. Meta: &gt;120 lojas até fim 2026 (+10 unidades). 800 funcionários próprios</v>
      </c>
      <c r="BD410" s="4" t="str">
        <f>IFERROR(__xludf.DUMMYFUNCTION("""COMPUTED_VALUE"""),"R$ 670 milhões (2025). Projeção 2026: R$ 727 milhões (+8%). 7,8 milhões de clientes/ano. Delivery: 12,2% do faturamento")</f>
        <v>R$ 670 milhões (2025). Projeção 2026: R$ 727 milhões (+8%). 7,8 milhões de clientes/ano. Delivery: 12,2% do faturamento</v>
      </c>
      <c r="BE410" s="4">
        <f>IFERROR(__xludf.DUMMYFUNCTION("""COMPUTED_VALUE"""),88.0)</f>
        <v>88</v>
      </c>
      <c r="BF410" s="4">
        <f>IFERROR(__xludf.DUMMYFUNCTION("""COMPUTED_VALUE"""),0.9)</f>
        <v>0.9</v>
      </c>
      <c r="BG410" s="4" t="str">
        <f>IFERROR(__xludf.DUMMYFUNCTION("""COMPUTED_VALUE"""),"PDV atual não identificado. Grande rede nacional (115 lojas) em expansão (R$ 670Mi → R$ 727Mi). Mix de próprias e franquias. 3S é ideal para: (1) Unificar PDV nos 3 formatos (Prime, Buffet, Salão); (2) Integração delivery (12,2%); (3) Padronização em shop"&amp;"pings/aeroportos. Oportunidade alta.")</f>
        <v>PDV atual não identificado. Grande rede nacional (115 lojas) em expansão (R$ 670Mi → R$ 727Mi). Mix de próprias e franquias. 3S é ideal para: (1) Unificar PDV nos 3 formatos (Prime, Buffet, Salão); (2) Integração delivery (12,2%); (3) Padronização em shoppings/aeroportos. Oportunidade alta.</v>
      </c>
      <c r="BH410" s="4" t="s">
        <v>71</v>
      </c>
      <c r="BI410" s="7">
        <v>0.837037037037037</v>
      </c>
    </row>
    <row r="411" hidden="1">
      <c r="A411" s="4" t="str">
        <f>IFERROR(__xludf.DUMMYFUNCTION("""COMPUTED_VALUE"""),"Marcos A Padaria Maringa")</f>
        <v>Marcos A Padaria Maringa</v>
      </c>
      <c r="B411" s="4" t="str">
        <f>IFERROR(__xludf.DUMMYFUNCTION("""COMPUTED_VALUE"""),"Emerson")</f>
        <v>Emerson</v>
      </c>
      <c r="C411" s="4" t="str">
        <f>IFERROR(__xludf.DUMMYFUNCTION("""COMPUTED_VALUE"""),"Emerson")</f>
        <v>Emerson</v>
      </c>
      <c r="D411" s="4" t="str">
        <f>IFERROR(__xludf.DUMMYFUNCTION("""COMPUTED_VALUE"""),"11. Stand by")</f>
        <v>11. Stand by</v>
      </c>
      <c r="E411" s="4" t="str">
        <f>IFERROR(__xludf.DUMMYFUNCTION("""COMPUTED_VALUE"""),"Parceiro - Em validação de proposta comercial")</f>
        <v>Parceiro - Em validação de proposta comercial</v>
      </c>
      <c r="F411" s="4" t="str">
        <f>IFERROR(__xludf.DUMMYFUNCTION("""COMPUTED_VALUE"""),"P")</f>
        <v>P</v>
      </c>
      <c r="G411" s="5">
        <f>IFERROR(__xludf.DUMMYFUNCTION("""COMPUTED_VALUE"""),46120.0)</f>
        <v>46120</v>
      </c>
      <c r="H411" s="4" t="str">
        <f>IFERROR(__xludf.DUMMYFUNCTION("""COMPUTED_VALUE"""),"Mudando o sistema de gestão da fabrica, pediram para aguardar")</f>
        <v>Mudando o sistema de gestão da fabrica, pediram para aguardar</v>
      </c>
      <c r="I411" s="4"/>
      <c r="J411" s="4"/>
      <c r="K411" s="6">
        <f>IFERROR(__xludf.DUMMYFUNCTION("""COMPUTED_VALUE"""),46058.0)</f>
        <v>46058</v>
      </c>
      <c r="L411" s="6">
        <f>IFERROR(__xludf.DUMMYFUNCTION("""COMPUTED_VALUE"""),46062.468550335645)</f>
        <v>46062.46855</v>
      </c>
      <c r="M411" s="6">
        <f>IFERROR(__xludf.DUMMYFUNCTION("""COMPUTED_VALUE"""),46073.0)</f>
        <v>46073</v>
      </c>
      <c r="N411" s="6">
        <f>IFERROR(__xludf.DUMMYFUNCTION("""COMPUTED_VALUE"""),46090.59275403935)</f>
        <v>46090.59275</v>
      </c>
      <c r="O411" s="4"/>
      <c r="P411" s="4"/>
      <c r="Q411" s="4"/>
      <c r="R411" s="4"/>
      <c r="S411" s="6">
        <f>IFERROR(__xludf.DUMMYFUNCTION("""COMPUTED_VALUE"""),46120.51721247685)</f>
        <v>46120.51721</v>
      </c>
      <c r="T411" s="4"/>
      <c r="U411" s="4"/>
      <c r="V411" s="21" t="str">
        <f>IFERROR(__xludf.DUMMYFUNCTION("""COMPUTED_VALUE"""),"Trava por projetos internos da marca")</f>
        <v>Trava por projetos internos da marca</v>
      </c>
      <c r="W411" s="4"/>
      <c r="X411" s="4"/>
      <c r="Y411" s="4"/>
      <c r="Z411" s="4"/>
      <c r="AA411" s="4">
        <f>IFERROR(__xludf.DUMMYFUNCTION("""COMPUTED_VALUE"""),2.0)</f>
        <v>2</v>
      </c>
      <c r="AB411" s="4" t="str">
        <f>IFERROR(__xludf.DUMMYFUNCTION("""COMPUTED_VALUE"""),"-")</f>
        <v>-</v>
      </c>
      <c r="AC411" s="4" t="str">
        <f>IFERROR(__xludf.DUMMYFUNCTION("""COMPUTED_VALUE"""),"-")</f>
        <v>-</v>
      </c>
      <c r="AD411" s="4"/>
      <c r="AE411" s="4"/>
      <c r="AF411" s="4"/>
      <c r="AG411" s="4"/>
      <c r="AH411" s="4"/>
      <c r="AI411" s="4"/>
      <c r="AJ411" s="4"/>
      <c r="AK411" s="4"/>
      <c r="AL411" s="4"/>
      <c r="AM411" s="4" t="str">
        <f>IFERROR(__xludf.DUMMYFUNCTION("""COMPUTED_VALUE"""),"FY26, FY27")</f>
        <v>FY26, FY27</v>
      </c>
      <c r="AN411" s="4"/>
      <c r="AO411" s="4">
        <f>IFERROR(__xludf.DUMMYFUNCTION("""COMPUTED_VALUE"""),95.0)</f>
        <v>95</v>
      </c>
      <c r="AP411" s="4" t="str">
        <f>IFERROR(__xludf.DUMMYFUNCTION("""COMPUTED_VALUE"""),"PR")</f>
        <v>PR</v>
      </c>
      <c r="AQ411" s="4" t="str">
        <f>IFERROR(__xludf.DUMMYFUNCTION("""COMPUTED_VALUE"""),"BRUNA MONTEZIN")</f>
        <v>BRUNA MONTEZIN</v>
      </c>
      <c r="AR411" s="4" t="str">
        <f>IFERROR(__xludf.DUMMYFUNCTION("""COMPUTED_VALUE"""),"TULIO VICARI")</f>
        <v>TULIO VICARI</v>
      </c>
      <c r="AS411" s="4" t="str">
        <f>IFERROR(__xludf.DUMMYFUNCTION("""COMPUTED_VALUE"""),"FABIO DONATO")</f>
        <v>FABIO DONATO</v>
      </c>
      <c r="AT411" s="4" t="str">
        <f>IFERROR(__xludf.DUMMYFUNCTION("""COMPUTED_VALUE"""),"MURILO NAGASHIMA")</f>
        <v>MURILO NAGASHIMA</v>
      </c>
      <c r="AU411" s="4" t="str">
        <f>IFERROR(__xludf.DUMMYFUNCTION("""COMPUTED_VALUE"""),"Lídia / Emerson")</f>
        <v>Lídia / Emerson</v>
      </c>
      <c r="AV411" s="4">
        <f>IFERROR(__xludf.DUMMYFUNCTION("""COMPUTED_VALUE"""),0.0)</f>
        <v>0</v>
      </c>
      <c r="AW411" s="4">
        <f>IFERROR(__xludf.DUMMYFUNCTION("""COMPUTED_VALUE"""),0.0)</f>
        <v>0</v>
      </c>
      <c r="AX411" s="4">
        <f>IFERROR(__xludf.DUMMYFUNCTION("""COMPUTED_VALUE"""),0.0)</f>
        <v>0</v>
      </c>
      <c r="AY411" s="4"/>
      <c r="AZ411" s="4" t="str">
        <f>IFERROR(__xludf.DUMMYFUNCTION("""COMPUTED_VALUE"""),"Brasileira")</f>
        <v>Brasileira</v>
      </c>
      <c r="BA411" s="4" t="str">
        <f>IFERROR(__xludf.DUMMYFUNCTION("""COMPUTED_VALUE"""),"")</f>
        <v/>
      </c>
      <c r="BB411" s="4" t="str">
        <f>IFERROR(__xludf.DUMMYFUNCTION("""COMPUTED_VALUE"""),"")</f>
        <v/>
      </c>
      <c r="BC411" s="4" t="str">
        <f>IFERROR(__xludf.DUMMYFUNCTION("""COMPUTED_VALUE"""),"")</f>
        <v/>
      </c>
      <c r="BD411" s="4" t="str">
        <f>IFERROR(__xludf.DUMMYFUNCTION("""COMPUTED_VALUE"""),"")</f>
        <v/>
      </c>
      <c r="BE411" s="4" t="str">
        <f>IFERROR(__xludf.DUMMYFUNCTION("""COMPUTED_VALUE"""),"")</f>
        <v/>
      </c>
      <c r="BF411" s="4" t="str">
        <f>IFERROR(__xludf.DUMMYFUNCTION("""COMPUTED_VALUE"""),"")</f>
        <v/>
      </c>
      <c r="BG411" s="4" t="str">
        <f>IFERROR(__xludf.DUMMYFUNCTION("""COMPUTED_VALUE"""),"")</f>
        <v/>
      </c>
      <c r="BH411" s="4" t="s">
        <v>63</v>
      </c>
      <c r="BI411" s="7" t="s">
        <v>63</v>
      </c>
    </row>
    <row r="412" hidden="1">
      <c r="A412" s="4" t="str">
        <f>IFERROR(__xludf.DUMMYFUNCTION("""COMPUTED_VALUE"""),"Matsuya")</f>
        <v>Matsuya</v>
      </c>
      <c r="B412" s="4" t="str">
        <f>IFERROR(__xludf.DUMMYFUNCTION("""COMPUTED_VALUE"""),"João Biagiotti")</f>
        <v>João Biagiotti</v>
      </c>
      <c r="C412" s="4" t="str">
        <f>IFERROR(__xludf.DUMMYFUNCTION("""COMPUTED_VALUE"""),"Diego Santos")</f>
        <v>Diego Santos</v>
      </c>
      <c r="D412" s="4" t="str">
        <f>IFERROR(__xludf.DUMMYFUNCTION("""COMPUTED_VALUE"""),"13. Reativado")</f>
        <v>13. Reativado</v>
      </c>
      <c r="E412" s="4" t="str">
        <f>IFERROR(__xludf.DUMMYFUNCTION("""COMPUTED_VALUE"""),"Parceiro - Aguardando retorno / Conciliação agenda")</f>
        <v>Parceiro - Aguardando retorno / Conciliação agenda</v>
      </c>
      <c r="F412" s="4" t="str">
        <f>IFERROR(__xludf.DUMMYFUNCTION("""COMPUTED_VALUE"""),"P")</f>
        <v>P</v>
      </c>
      <c r="G412" s="5">
        <f>IFERROR(__xludf.DUMMYFUNCTION("""COMPUTED_VALUE"""),46076.0)</f>
        <v>46076</v>
      </c>
      <c r="H412" s="4" t="str">
        <f>IFERROR(__xludf.DUMMYFUNCTION("""COMPUTED_VALUE"""),"Parceiro com aderencia porém sem retorno dos decisores. Focar pro próximo ciclo.")</f>
        <v>Parceiro com aderencia porém sem retorno dos decisores. Focar pro próximo ciclo.</v>
      </c>
      <c r="I412" s="4"/>
      <c r="J412" s="4"/>
      <c r="K412" s="6">
        <f>IFERROR(__xludf.DUMMYFUNCTION("""COMPUTED_VALUE"""),45954.0)</f>
        <v>45954</v>
      </c>
      <c r="L412" s="6">
        <f>IFERROR(__xludf.DUMMYFUNCTION("""COMPUTED_VALUE"""),46052.43763011574)</f>
        <v>46052.43763</v>
      </c>
      <c r="M412" s="4"/>
      <c r="N412" s="4"/>
      <c r="O412" s="4"/>
      <c r="P412" s="4"/>
      <c r="Q412" s="4"/>
      <c r="R412" s="6">
        <f>IFERROR(__xludf.DUMMYFUNCTION("""COMPUTED_VALUE"""),46076.47788918982)</f>
        <v>46076.47789</v>
      </c>
      <c r="S412" s="6">
        <f>IFERROR(__xludf.DUMMYFUNCTION("""COMPUTED_VALUE"""),46072.47430973379)</f>
        <v>46072.47431</v>
      </c>
      <c r="T412" s="4"/>
      <c r="U412" s="6">
        <f>IFERROR(__xludf.DUMMYFUNCTION("""COMPUTED_VALUE"""),46120.45598722222)</f>
        <v>46120.45599</v>
      </c>
      <c r="V412" s="4" t="str">
        <f>IFERROR(__xludf.DUMMYFUNCTION("""COMPUTED_VALUE"""),"Sem interesse em mudar de PDV")</f>
        <v>Sem interesse em mudar de PDV</v>
      </c>
      <c r="W412" s="4"/>
      <c r="X412" s="4"/>
      <c r="Y412" s="4"/>
      <c r="Z412" s="4"/>
      <c r="AA412" s="4">
        <f>IFERROR(__xludf.DUMMYFUNCTION("""COMPUTED_VALUE"""),10.0)</f>
        <v>10</v>
      </c>
      <c r="AB412" s="4" t="str">
        <f>IFERROR(__xludf.DUMMYFUNCTION("""COMPUTED_VALUE"""),"NÃO")</f>
        <v>NÃO</v>
      </c>
      <c r="AC412" s="4" t="str">
        <f>IFERROR(__xludf.DUMMYFUNCTION("""COMPUTED_VALUE"""),"BP")</f>
        <v>BP</v>
      </c>
      <c r="AD412" s="4"/>
      <c r="AE412" s="4"/>
      <c r="AF412" s="4"/>
      <c r="AG412" s="4"/>
      <c r="AH412" s="4"/>
      <c r="AI412" s="4"/>
      <c r="AJ412" s="4"/>
      <c r="AK412" s="4"/>
      <c r="AL412" s="4"/>
      <c r="AM412" s="4" t="str">
        <f>IFERROR(__xludf.DUMMYFUNCTION("""COMPUTED_VALUE"""),"FY26, FY27")</f>
        <v>FY26, FY27</v>
      </c>
      <c r="AN412" s="4" t="str">
        <f>IFERROR(__xludf.DUMMYFUNCTION("""COMPUTED_VALUE"""),"Comer Fora")</f>
        <v>Comer Fora</v>
      </c>
      <c r="AO412" s="4">
        <f>IFERROR(__xludf.DUMMYFUNCTION("""COMPUTED_VALUE"""),140.0)</f>
        <v>140</v>
      </c>
      <c r="AP412" s="4" t="str">
        <f>IFERROR(__xludf.DUMMYFUNCTION("""COMPUTED_VALUE"""),"SP")</f>
        <v>SP</v>
      </c>
      <c r="AQ412" s="4" t="str">
        <f>IFERROR(__xludf.DUMMYFUNCTION("""COMPUTED_VALUE"""),"MONICA BERTACHI")</f>
        <v>MONICA BERTACHI</v>
      </c>
      <c r="AR412" s="4" t="str">
        <f>IFERROR(__xludf.DUMMYFUNCTION("""COMPUTED_VALUE"""),"PAULO ESCUDERO")</f>
        <v>PAULO ESCUDERO</v>
      </c>
      <c r="AS412" s="4" t="str">
        <f>IFERROR(__xludf.DUMMYFUNCTION("""COMPUTED_VALUE"""),"NATHALIE MERTENS")</f>
        <v>NATHALIE MERTENS</v>
      </c>
      <c r="AT412" s="4" t="str">
        <f>IFERROR(__xludf.DUMMYFUNCTION("""COMPUTED_VALUE"""),"MATHEUS LESSA")</f>
        <v>MATHEUS LESSA</v>
      </c>
      <c r="AU412" s="4" t="str">
        <f>IFERROR(__xludf.DUMMYFUNCTION("""COMPUTED_VALUE"""),"Ana")</f>
        <v>Ana</v>
      </c>
      <c r="AV412" s="4" t="str">
        <f>IFERROR(__xludf.DUMMYFUNCTION("""COMPUTED_VALUE"""),"Comer Fora-")</f>
        <v>Comer Fora-</v>
      </c>
      <c r="AW412" s="20" t="str">
        <f>IFERROR(__xludf.DUMMYFUNCTION("""COMPUTED_VALUE"""),"P e M - pipe")</f>
        <v>P e M - pipe</v>
      </c>
      <c r="AX412" s="4"/>
      <c r="AY412" s="4"/>
      <c r="AZ412" s="4" t="str">
        <f>IFERROR(__xludf.DUMMYFUNCTION("""COMPUTED_VALUE"""),"Japonesa")</f>
        <v>Japonesa</v>
      </c>
      <c r="BA412" s="4" t="str">
        <f>IFERROR(__xludf.DUMMYFUNCTION("""COMPUTED_VALUE"""),"R$ 90-120 (rodízio)")</f>
        <v>R$ 90-120 (rodízio)</v>
      </c>
      <c r="BB412" s="4" t="str">
        <f>IFERROR(__xludf.DUMMYFUNCTION("""COMPUTED_VALUE"""),"Fast Casual - Restaurante Japonês rodízio pioneiro em SP")</f>
        <v>Fast Casual - Restaurante Japonês rodízio pioneiro em SP</v>
      </c>
      <c r="BC412" s="4" t="str">
        <f>IFERROR(__xludf.DUMMYFUNCTION("""COMPUTED_VALUE"""),"São Paulo/SP e região. 11 unidades (Aclimação, Morumbi, Perdizes, Vila Mariana, Moema, Mooca, Vila da Saúde, Panamby, Guarulhos, etc). Fundado 1998, pioneiro do rodízio")</f>
        <v>São Paulo/SP e região. 11 unidades (Aclimação, Morumbi, Perdizes, Vila Mariana, Moema, Mooca, Vila da Saúde, Panamby, Guarulhos, etc). Fundado 1998, pioneiro do rodízio</v>
      </c>
      <c r="BD412" s="4" t="str">
        <f>IFERROR(__xludf.DUMMYFUNCTION("""COMPUTED_VALUE"""),"Dado não disponível publicamente - Necessário Discovery. Instagram menciona 16 unidades (incluindo Sushi Blue e Sushi Oba marcas associadas)")</f>
        <v>Dado não disponível publicamente - Necessário Discovery. Instagram menciona 16 unidades (incluindo Sushi Blue e Sushi Oba marcas associadas)</v>
      </c>
      <c r="BE412" s="4">
        <f>IFERROR(__xludf.DUMMYFUNCTION("""COMPUTED_VALUE"""),62.0)</f>
        <v>62</v>
      </c>
      <c r="BF412" s="4">
        <f>IFERROR(__xludf.DUMMYFUNCTION("""COMPUTED_VALUE"""),0.66)</f>
        <v>0.66</v>
      </c>
      <c r="BG412" s="4" t="str">
        <f>IFERROR(__xludf.DUMMYFUNCTION("""COMPUTED_VALUE"""),"PDV atual não identificado. Pioneiro do rodízio japonês em SP (1998) com 11+ unidades. Modelo de franquia ativo. 3S pode padronizar PDV rodízio + delivery + gestão de cardápio extenso (60+ opções). Potencial médio-alto.")</f>
        <v>PDV atual não identificado. Pioneiro do rodízio japonês em SP (1998) com 11+ unidades. Modelo de franquia ativo. 3S pode padronizar PDV rodízio + delivery + gestão de cardápio extenso (60+ opções). Potencial médio-alto.</v>
      </c>
      <c r="BH412" s="4" t="s">
        <v>64</v>
      </c>
      <c r="BI412" s="7">
        <v>0.40625</v>
      </c>
    </row>
    <row r="413">
      <c r="A413" s="4" t="str">
        <f>IFERROR(__xludf.DUMMYFUNCTION("""COMPUTED_VALUE"""),"Mega Matte")</f>
        <v>Mega Matte</v>
      </c>
      <c r="B413" s="4" t="str">
        <f>IFERROR(__xludf.DUMMYFUNCTION("""COMPUTED_VALUE"""),"Leonardo Roso")</f>
        <v>Leonardo Roso</v>
      </c>
      <c r="C413" s="4" t="str">
        <f>IFERROR(__xludf.DUMMYFUNCTION("""COMPUTED_VALUE"""),"Leonardo Roso")</f>
        <v>Leonardo Roso</v>
      </c>
      <c r="D413" s="4" t="str">
        <f>IFERROR(__xludf.DUMMYFUNCTION("""COMPUTED_VALUE"""),"11. Stand by")</f>
        <v>11. Stand by</v>
      </c>
      <c r="E413" s="4"/>
      <c r="F413" s="4" t="str">
        <f>IFERROR(__xludf.DUMMYFUNCTION("""COMPUTED_VALUE"""),"G")</f>
        <v>G</v>
      </c>
      <c r="G413" s="5">
        <f>IFERROR(__xludf.DUMMYFUNCTION("""COMPUTED_VALUE"""),46118.0)</f>
        <v>46118</v>
      </c>
      <c r="H413" s="4" t="str">
        <f>IFERROR(__xludf.DUMMYFUNCTION("""COMPUTED_VALUE"""),"Entrada com Comer Fora")</f>
        <v>Entrada com Comer Fora</v>
      </c>
      <c r="I413" s="4"/>
      <c r="J413" s="4"/>
      <c r="K413" s="6">
        <f>IFERROR(__xludf.DUMMYFUNCTION("""COMPUTED_VALUE"""),45944.0)</f>
        <v>45944</v>
      </c>
      <c r="L413" s="4"/>
      <c r="M413" s="4"/>
      <c r="N413" s="4"/>
      <c r="O413" s="4"/>
      <c r="P413" s="4"/>
      <c r="Q413" s="4"/>
      <c r="R413" s="4"/>
      <c r="S413" s="4"/>
      <c r="T413" s="4"/>
      <c r="U413" s="4"/>
      <c r="V413" s="4" t="str">
        <f>IFERROR(__xludf.DUMMYFUNCTION("""COMPUTED_VALUE"""),"Interesse apenas em Comer Fora")</f>
        <v>Interesse apenas em Comer Fora</v>
      </c>
      <c r="W413" s="4"/>
      <c r="X413" s="4"/>
      <c r="Y413" s="4"/>
      <c r="Z413" s="4"/>
      <c r="AA413" s="4">
        <f>IFERROR(__xludf.DUMMYFUNCTION("""COMPUTED_VALUE"""),110.0)</f>
        <v>110</v>
      </c>
      <c r="AB413" s="4" t="str">
        <f>IFERROR(__xludf.DUMMYFUNCTION("""COMPUTED_VALUE"""),"NÃO")</f>
        <v>NÃO</v>
      </c>
      <c r="AC413" s="4" t="str">
        <f>IFERROR(__xludf.DUMMYFUNCTION("""COMPUTED_VALUE"""),"BP")</f>
        <v>BP</v>
      </c>
      <c r="AD413" s="4"/>
      <c r="AE413" s="4"/>
      <c r="AF413" s="4"/>
      <c r="AG413" s="4"/>
      <c r="AH413" s="4"/>
      <c r="AI413" s="4"/>
      <c r="AJ413" s="4"/>
      <c r="AK413" s="4"/>
      <c r="AL413" s="4"/>
      <c r="AM413" s="4" t="str">
        <f>IFERROR(__xludf.DUMMYFUNCTION("""COMPUTED_VALUE"""),"FY26, FY27")</f>
        <v>FY26, FY27</v>
      </c>
      <c r="AN413" s="4"/>
      <c r="AO413" s="4">
        <f>IFERROR(__xludf.DUMMYFUNCTION("""COMPUTED_VALUE"""),97.0)</f>
        <v>97</v>
      </c>
      <c r="AP413" s="4">
        <f>IFERROR(__xludf.DUMMYFUNCTION("""COMPUTED_VALUE"""),0.0)</f>
        <v>0</v>
      </c>
      <c r="AQ413" s="4">
        <f>IFERROR(__xludf.DUMMYFUNCTION("""COMPUTED_VALUE"""),0.0)</f>
        <v>0</v>
      </c>
      <c r="AR413" s="4">
        <f>IFERROR(__xludf.DUMMYFUNCTION("""COMPUTED_VALUE"""),0.0)</f>
        <v>0</v>
      </c>
      <c r="AS413" s="4">
        <f>IFERROR(__xludf.DUMMYFUNCTION("""COMPUTED_VALUE"""),0.0)</f>
        <v>0</v>
      </c>
      <c r="AT413" s="4">
        <f>IFERROR(__xludf.DUMMYFUNCTION("""COMPUTED_VALUE"""),0.0)</f>
        <v>0</v>
      </c>
      <c r="AU413" s="4" t="str">
        <f>IFERROR(__xludf.DUMMYFUNCTION("""COMPUTED_VALUE"""),"Emerson/Leonardo Roso")</f>
        <v>Emerson/Leonardo Roso</v>
      </c>
      <c r="AV413" s="4">
        <f>IFERROR(__xludf.DUMMYFUNCTION("""COMPUTED_VALUE"""),0.0)</f>
        <v>0</v>
      </c>
      <c r="AW413" s="4">
        <f>IFERROR(__xludf.DUMMYFUNCTION("""COMPUTED_VALUE"""),0.0)</f>
        <v>0</v>
      </c>
      <c r="AX413" s="4">
        <f>IFERROR(__xludf.DUMMYFUNCTION("""COMPUTED_VALUE"""),0.0)</f>
        <v>0</v>
      </c>
      <c r="AY413" s="4"/>
      <c r="AZ413" s="4" t="str">
        <f>IFERROR(__xludf.DUMMYFUNCTION("""COMPUTED_VALUE"""),"Lanches")</f>
        <v>Lanches</v>
      </c>
      <c r="BA413" s="4" t="str">
        <f>IFERROR(__xludf.DUMMYFUNCTION("""COMPUTED_VALUE"""),"R$ 20-30")</f>
        <v>R$ 20-30</v>
      </c>
      <c r="BB413" s="4" t="str">
        <f>IFERROR(__xludf.DUMMYFUNCTION("""COMPUTED_VALUE"""),"QSR - Quick Service (Mate orgânico + Comida saudável em quiosques/lojas)")</f>
        <v>QSR - Quick Service (Mate orgânico + Comida saudável em quiosques/lojas)</v>
      </c>
      <c r="BC413" s="4" t="str">
        <f>IFERROR(__xludf.DUMMYFUNCTION("""COMPUTED_VALUE"""),"150 unidades em 6 estados (RJ, SP, MG, ES, DF e mais). Fundada 1994 no RJ, maior rede carioca de alimentação saudável. 90% renovação franqueados")</f>
        <v>150 unidades em 6 estados (RJ, SP, MG, ES, DF e mais). Fundada 1994 no RJ, maior rede carioca de alimentação saudável. 90% renovação franqueados</v>
      </c>
      <c r="BD413" s="4" t="str">
        <f>IFERROR(__xludf.DUMMYFUNCTION("""COMPUTED_VALUE"""),"R$ 110+ milhões (2023). Faturamento médio: R$ 40-75k/mês por loja. R$ 900k/ano por unidade média")</f>
        <v>R$ 110+ milhões (2023). Faturamento médio: R$ 40-75k/mês por loja. R$ 900k/ano por unidade média</v>
      </c>
      <c r="BE413" s="4">
        <f>IFERROR(__xludf.DUMMYFUNCTION("""COMPUTED_VALUE"""),78.0)</f>
        <v>78</v>
      </c>
      <c r="BF413" s="4">
        <f>IFERROR(__xludf.DUMMYFUNCTION("""COMPUTED_VALUE"""),0.82)</f>
        <v>0.82</v>
      </c>
      <c r="BG413" s="4" t="str">
        <f>IFERROR(__xludf.DUMMYFUNCTION("""COMPUTED_VALUE"""),"PDV atual não identificado. Grande rede (150 lojas) em expansão nacional com 4 formatos (loja, container, quiosque, móvel). 3S é ideal para: (1) Padronizar PDV compacto nos 4 modelos; (2) Gestão unificada de franquias; (3) Integração delivery + mate orgân"&amp;"ico. Alto potencial.")</f>
        <v>PDV atual não identificado. Grande rede (150 lojas) em expansão nacional com 4 formatos (loja, container, quiosque, móvel). 3S é ideal para: (1) Padronizar PDV compacto nos 4 modelos; (2) Gestão unificada de franquias; (3) Integração delivery + mate orgânico. Alto potencial.</v>
      </c>
      <c r="BH413" s="4" t="s">
        <v>63</v>
      </c>
      <c r="BI413" s="7" t="s">
        <v>63</v>
      </c>
    </row>
    <row r="414" hidden="1">
      <c r="A414" s="4" t="str">
        <f>IFERROR(__xludf.DUMMYFUNCTION("""COMPUTED_VALUE"""),"Mei Mei")</f>
        <v>Mei Mei</v>
      </c>
      <c r="B414" s="4" t="str">
        <f>IFERROR(__xludf.DUMMYFUNCTION("""COMPUTED_VALUE"""),"Lídia Esteves")</f>
        <v>Lídia Esteves</v>
      </c>
      <c r="C414" s="4" t="str">
        <f>IFERROR(__xludf.DUMMYFUNCTION("""COMPUTED_VALUE"""),"Gabriela Roma")</f>
        <v>Gabriela Roma</v>
      </c>
      <c r="D414" s="4" t="str">
        <f>IFERROR(__xludf.DUMMYFUNCTION("""COMPUTED_VALUE"""),"5. Demo/Showroom")</f>
        <v>5. Demo/Showroom</v>
      </c>
      <c r="E414" s="4" t="str">
        <f>IFERROR(__xludf.DUMMYFUNCTION("""COMPUTED_VALUE"""),"Pré-vendas - Em validação técnica")</f>
        <v>Pré-vendas - Em validação técnica</v>
      </c>
      <c r="F414" s="4" t="str">
        <f>IFERROR(__xludf.DUMMYFUNCTION("""COMPUTED_VALUE"""),"P")</f>
        <v>P</v>
      </c>
      <c r="G414" s="5">
        <f>IFERROR(__xludf.DUMMYFUNCTION("""COMPUTED_VALUE"""),46154.0)</f>
        <v>46154</v>
      </c>
      <c r="H414" s="4" t="str">
        <f>IFERROR(__xludf.DUMMYFUNCTION("""COMPUTED_VALUE"""),"Feito showroom presencial no ifood, ainda falta uma nova reunião com time do financeiro + pre vendas. Piloto tem previsão de iniciar apenas em Ago/26 + emilia vision")</f>
        <v>Feito showroom presencial no ifood, ainda falta uma nova reunião com time do financeiro + pre vendas. Piloto tem previsão de iniciar apenas em Ago/26 + emilia vision</v>
      </c>
      <c r="I414" s="4"/>
      <c r="J414" s="6">
        <f>IFERROR(__xludf.DUMMYFUNCTION("""COMPUTED_VALUE"""),46114.483317025464)</f>
        <v>46114.48332</v>
      </c>
      <c r="K414" s="6">
        <f>IFERROR(__xludf.DUMMYFUNCTION("""COMPUTED_VALUE"""),46114.483317025464)</f>
        <v>46114.48332</v>
      </c>
      <c r="L414" s="6">
        <f>IFERROR(__xludf.DUMMYFUNCTION("""COMPUTED_VALUE"""),46114.483317025464)</f>
        <v>46114.48332</v>
      </c>
      <c r="M414" s="6">
        <f>IFERROR(__xludf.DUMMYFUNCTION("""COMPUTED_VALUE"""),46114.483317025464)</f>
        <v>46114.48332</v>
      </c>
      <c r="N414" s="4"/>
      <c r="O414" s="4"/>
      <c r="P414" s="4"/>
      <c r="Q414" s="4"/>
      <c r="R414" s="4"/>
      <c r="S414" s="4"/>
      <c r="T414" s="4"/>
      <c r="U414" s="4"/>
      <c r="V414" s="4"/>
      <c r="W414" s="4"/>
      <c r="X414" s="4"/>
      <c r="Y414" s="4"/>
      <c r="Z414" s="4"/>
      <c r="AA414" s="4">
        <f>IFERROR(__xludf.DUMMYFUNCTION("""COMPUTED_VALUE"""),1.0)</f>
        <v>1</v>
      </c>
      <c r="AB414" s="4" t="str">
        <f>IFERROR(__xludf.DUMMYFUNCTION("""COMPUTED_VALUE"""),"-")</f>
        <v>-</v>
      </c>
      <c r="AC414" s="4" t="str">
        <f>IFERROR(__xludf.DUMMYFUNCTION("""COMPUTED_VALUE"""),"-")</f>
        <v>-</v>
      </c>
      <c r="AD414" s="4"/>
      <c r="AE414" s="4"/>
      <c r="AF414" s="4"/>
      <c r="AG414" s="4"/>
      <c r="AH414" s="4"/>
      <c r="AI414" s="4"/>
      <c r="AJ414" s="4"/>
      <c r="AK414" s="4"/>
      <c r="AL414" s="4"/>
      <c r="AM414" s="4" t="str">
        <f>IFERROR(__xludf.DUMMYFUNCTION("""COMPUTED_VALUE"""),"FY26, FY27")</f>
        <v>FY26, FY27</v>
      </c>
      <c r="AN414" s="4"/>
      <c r="AO414" s="4">
        <f>IFERROR(__xludf.DUMMYFUNCTION("""COMPUTED_VALUE"""),61.0)</f>
        <v>61</v>
      </c>
      <c r="AP414" s="4" t="str">
        <f>IFERROR(__xludf.DUMMYFUNCTION("""COMPUTED_VALUE"""),"SP")</f>
        <v>SP</v>
      </c>
      <c r="AQ414" s="4" t="str">
        <f>IFERROR(__xludf.DUMMYFUNCTION("""COMPUTED_VALUE"""),"THIAGO MORSELLI")</f>
        <v>THIAGO MORSELLI</v>
      </c>
      <c r="AR414" s="4" t="str">
        <f>IFERROR(__xludf.DUMMYFUNCTION("""COMPUTED_VALUE"""),"CAROLINA DOMINGUES")</f>
        <v>CAROLINA DOMINGUES</v>
      </c>
      <c r="AS414" s="4" t="str">
        <f>IFERROR(__xludf.DUMMYFUNCTION("""COMPUTED_VALUE"""),"ISABELA GOULART")</f>
        <v>ISABELA GOULART</v>
      </c>
      <c r="AT414" s="4" t="str">
        <f>IFERROR(__xludf.DUMMYFUNCTION("""COMPUTED_VALUE"""),"THIAGO MORSELLI")</f>
        <v>THIAGO MORSELLI</v>
      </c>
      <c r="AU414" s="4" t="str">
        <f>IFERROR(__xludf.DUMMYFUNCTION("""COMPUTED_VALUE"""),"Mariana")</f>
        <v>Mariana</v>
      </c>
      <c r="AV414" s="4">
        <f>IFERROR(__xludf.DUMMYFUNCTION("""COMPUTED_VALUE"""),0.0)</f>
        <v>0</v>
      </c>
      <c r="AW414" s="4">
        <f>IFERROR(__xludf.DUMMYFUNCTION("""COMPUTED_VALUE"""),0.0)</f>
        <v>0</v>
      </c>
      <c r="AX414" s="4">
        <f>IFERROR(__xludf.DUMMYFUNCTION("""COMPUTED_VALUE"""),0.0)</f>
        <v>0</v>
      </c>
      <c r="AY414" s="4">
        <f>IFERROR(__xludf.DUMMYFUNCTION("""COMPUTED_VALUE"""),0.0)</f>
        <v>0</v>
      </c>
      <c r="AZ414" s="4" t="str">
        <f>IFERROR(__xludf.DUMMYFUNCTION("""COMPUTED_VALUE"""),"Japonesa")</f>
        <v>Japonesa</v>
      </c>
      <c r="BA414" s="4">
        <f>IFERROR(__xludf.DUMMYFUNCTION("""COMPUTED_VALUE"""),49.0)</f>
        <v>49</v>
      </c>
      <c r="BB414" s="4" t="str">
        <f>IFERROR(__xludf.DUMMYFUNCTION("""COMPUTED_VALUE"""),"Fast Casual - Culinária Asiática (buffet self-service japonês/chinês/coreano)")</f>
        <v>Fast Casual - Culinária Asiática (buffet self-service japonês/chinês/coreano)</v>
      </c>
      <c r="BC414" s="4" t="str">
        <f>IFERROR(__xludf.DUMMYFUNCTION("""COMPUTED_VALUE"""),"São Paulo (40 lojas) + início expansão RJ (Barra Shopping, Rio Sul 2025). Meta: 55 lojas em 2025, &gt;100 em 2030. Principalmente shoppings")</f>
        <v>São Paulo (40 lojas) + início expansão RJ (Barra Shopping, Rio Sul 2025). Meta: 55 lojas em 2025, &gt;100 em 2030. Principalmente shoppings</v>
      </c>
      <c r="BD414" s="4" t="str">
        <f>IFERROR(__xludf.DUMMYFUNCTION("""COMPUTED_VALUE"""),"R$ 115 milhões (2024). Projeção 2025: R$ 170 milhões. Faturamento médio: R$ 250k/mês por loja. 15 novas/ano")</f>
        <v>R$ 115 milhões (2024). Projeção 2025: R$ 170 milhões. Faturamento médio: R$ 250k/mês por loja. 15 novas/ano</v>
      </c>
      <c r="BE414" s="4">
        <f>IFERROR(__xludf.DUMMYFUNCTION("""COMPUTED_VALUE"""),80.0)</f>
        <v>80</v>
      </c>
      <c r="BF414" s="4">
        <f>IFERROR(__xludf.DUMMYFUNCTION("""COMPUTED_VALUE"""),0.84)</f>
        <v>0.84</v>
      </c>
      <c r="BG414" s="4" t="str">
        <f>IFERROR(__xludf.DUMMYFUNCTION("""COMPUTED_VALUE"""),"PDV atual não identificado. Rede em crescimento acelerado (R$ 115Mi → R$ 170Mi, +48%). Expansão para RJ. 3S pode: (1) Padronizar buffet self-service; (2) Gestão de balança integrada; (3) Unificar delivery (6% hoje, meta 30%). Potencial alto.")</f>
        <v>PDV atual não identificado. Rede em crescimento acelerado (R$ 115Mi → R$ 170Mi, +48%). Expansão para RJ. 3S pode: (1) Padronizar buffet self-service; (2) Gestão de balança integrada; (3) Unificar delivery (6% hoje, meta 30%). Potencial alto.</v>
      </c>
      <c r="BH414" s="4" t="s">
        <v>63</v>
      </c>
      <c r="BI414" s="7" t="s">
        <v>63</v>
      </c>
    </row>
    <row r="415" hidden="1">
      <c r="A415" s="4" t="str">
        <f>IFERROR(__xludf.DUMMYFUNCTION("""COMPUTED_VALUE"""),"Meu Chef Lanches - Marca")</f>
        <v>Meu Chef Lanches - Marca</v>
      </c>
      <c r="B415" s="4" t="str">
        <f>IFERROR(__xludf.DUMMYFUNCTION("""COMPUTED_VALUE"""),"Lídia Esteves")</f>
        <v>Lídia Esteves</v>
      </c>
      <c r="C415" s="4" t="str">
        <f>IFERROR(__xludf.DUMMYFUNCTION("""COMPUTED_VALUE"""),"Gabriela Roma")</f>
        <v>Gabriela Roma</v>
      </c>
      <c r="D415" s="4" t="str">
        <f>IFERROR(__xludf.DUMMYFUNCTION("""COMPUTED_VALUE"""),"0. Não Iniciado")</f>
        <v>0. Não Iniciado</v>
      </c>
      <c r="E415" s="4"/>
      <c r="F415" s="4" t="str">
        <f>IFERROR(__xludf.DUMMYFUNCTION("""COMPUTED_VALUE"""),"P")</f>
        <v>P</v>
      </c>
      <c r="G415" s="4"/>
      <c r="H415" s="4"/>
      <c r="I415" s="4"/>
      <c r="J415" s="6">
        <f>IFERROR(__xludf.DUMMYFUNCTION("""COMPUTED_VALUE"""),46104.42481153936)</f>
        <v>46104.42481</v>
      </c>
      <c r="K415" s="6">
        <f>IFERROR(__xludf.DUMMYFUNCTION("""COMPUTED_VALUE"""),46104.424834074074)</f>
        <v>46104.42483</v>
      </c>
      <c r="L415" s="6">
        <f>IFERROR(__xludf.DUMMYFUNCTION("""COMPUTED_VALUE"""),46107.624129814816)</f>
        <v>46107.62413</v>
      </c>
      <c r="M415" s="4"/>
      <c r="N415" s="4"/>
      <c r="O415" s="4"/>
      <c r="P415" s="4"/>
      <c r="Q415" s="4"/>
      <c r="R415" s="4"/>
      <c r="S415" s="4"/>
      <c r="T415" s="4"/>
      <c r="U415" s="4"/>
      <c r="V415" s="4"/>
      <c r="W415" s="4"/>
      <c r="X415" s="4"/>
      <c r="Y415" s="4"/>
      <c r="Z415" s="4"/>
      <c r="AA415" s="4">
        <f>IFERROR(__xludf.DUMMYFUNCTION("""COMPUTED_VALUE"""),6.0)</f>
        <v>6</v>
      </c>
      <c r="AB415" s="4" t="str">
        <f>IFERROR(__xludf.DUMMYFUNCTION("""COMPUTED_VALUE"""),"-")</f>
        <v>-</v>
      </c>
      <c r="AC415" s="4" t="str">
        <f>IFERROR(__xludf.DUMMYFUNCTION("""COMPUTED_VALUE"""),"-")</f>
        <v>-</v>
      </c>
      <c r="AD415" s="4"/>
      <c r="AE415" s="4"/>
      <c r="AF415" s="4"/>
      <c r="AG415" s="4"/>
      <c r="AH415" s="4"/>
      <c r="AI415" s="4"/>
      <c r="AJ415" s="4"/>
      <c r="AK415" s="4"/>
      <c r="AL415" s="4"/>
      <c r="AM415" s="4" t="str">
        <f>IFERROR(__xludf.DUMMYFUNCTION("""COMPUTED_VALUE"""),"FY26, FY27")</f>
        <v>FY26, FY27</v>
      </c>
      <c r="AN415" s="4"/>
      <c r="AO415" s="4">
        <f>IFERROR(__xludf.DUMMYFUNCTION("""COMPUTED_VALUE"""),45553.0)</f>
        <v>45553</v>
      </c>
      <c r="AP415" s="4" t="str">
        <f>IFERROR(__xludf.DUMMYFUNCTION("""COMPUTED_VALUE"""),"PR")</f>
        <v>PR</v>
      </c>
      <c r="AQ415" s="4" t="str">
        <f>IFERROR(__xludf.DUMMYFUNCTION("""COMPUTED_VALUE"""),"BRUNA MONTEZIN")</f>
        <v>BRUNA MONTEZIN</v>
      </c>
      <c r="AR415" s="4" t="str">
        <f>IFERROR(__xludf.DUMMYFUNCTION("""COMPUTED_VALUE"""),"TULIO VICARI")</f>
        <v>TULIO VICARI</v>
      </c>
      <c r="AS415" s="4" t="str">
        <f>IFERROR(__xludf.DUMMYFUNCTION("""COMPUTED_VALUE"""),"FABIO DONATO")</f>
        <v>FABIO DONATO</v>
      </c>
      <c r="AT415" s="4" t="str">
        <f>IFERROR(__xludf.DUMMYFUNCTION("""COMPUTED_VALUE"""),"MURILO NAGASHIMA")</f>
        <v>MURILO NAGASHIMA</v>
      </c>
      <c r="AU415" s="4" t="str">
        <f>IFERROR(__xludf.DUMMYFUNCTION("""COMPUTED_VALUE"""),"Lídia / Emerson")</f>
        <v>Lídia / Emerson</v>
      </c>
      <c r="AV415" s="4">
        <f>IFERROR(__xludf.DUMMYFUNCTION("""COMPUTED_VALUE"""),0.0)</f>
        <v>0</v>
      </c>
      <c r="AW415" s="4">
        <f>IFERROR(__xludf.DUMMYFUNCTION("""COMPUTED_VALUE"""),0.0)</f>
        <v>0</v>
      </c>
      <c r="AX415" s="4">
        <f>IFERROR(__xludf.DUMMYFUNCTION("""COMPUTED_VALUE"""),0.0)</f>
        <v>0</v>
      </c>
      <c r="AY415" s="4"/>
      <c r="AZ415" s="4" t="str">
        <f>IFERROR(__xludf.DUMMYFUNCTION("""COMPUTED_VALUE"""),"Brasileira")</f>
        <v>Brasileira</v>
      </c>
      <c r="BA415" s="4" t="str">
        <f>IFERROR(__xludf.DUMMYFUNCTION("""COMPUTED_VALUE"""),"R$ 30-50")</f>
        <v>R$ 30-50</v>
      </c>
      <c r="BB415" s="12" t="str">
        <f>IFERROR(__xludf.DUMMYFUNCTION("""COMPUTED_VALUE"""),"QSR - Quick Service (Lanches 24h em Maringá)")</f>
        <v>QSR - Quick Service (Lanches 24h em Maringá)</v>
      </c>
      <c r="BC415" s="4" t="str">
        <f>IFERROR(__xludf.DUMMYFUNCTION("""COMPUTED_VALUE"""),"Maringá e Sarandi/PR. 6 lojas: Aclimação, Unicesumar, Mandacaru, Centro 24h, Sarandi, Alvorada, Zona 7. Operação regional sem expansão nacional")</f>
        <v>Maringá e Sarandi/PR. 6 lojas: Aclimação, Unicesumar, Mandacaru, Centro 24h, Sarandi, Alvorada, Zona 7. Operação regional sem expansão nacional</v>
      </c>
      <c r="BD415" s="4" t="str">
        <f>IFERROR(__xludf.DUMMYFUNCTION("""COMPUTED_VALUE"""),"Estimado baseado em franquia: R$ 120k/mês médio por loja = R$ 8,6 milhões/ano (6 lojas). Modelo franquia ativo")</f>
        <v>Estimado baseado em franquia: R$ 120k/mês médio por loja = R$ 8,6 milhões/ano (6 lojas). Modelo franquia ativo</v>
      </c>
      <c r="BE415" s="4">
        <f>IFERROR(__xludf.DUMMYFUNCTION("""COMPUTED_VALUE"""),52.0)</f>
        <v>52</v>
      </c>
      <c r="BF415" s="13">
        <f>IFERROR(__xludf.DUMMYFUNCTION("""COMPUTED_VALUE"""),0.55)</f>
        <v>0.55</v>
      </c>
      <c r="BG415" s="4" t="str">
        <f>IFERROR(__xludf.DUMMYFUNCTION("""COMPUTED_VALUE"""),"PDV atual não identificado. Rede regional (Maringá) com 6 lojas e modelo 24h. Franquia ativa mas expansão lenta. 3S pode padronizar operação 24h e delivery, mas escala regional limita potencial.")</f>
        <v>PDV atual não identificado. Rede regional (Maringá) com 6 lojas e modelo 24h. Franquia ativa mas expansão lenta. 3S pode padronizar operação 24h e delivery, mas escala regional limita potencial.</v>
      </c>
      <c r="BH415" s="4" t="s">
        <v>66</v>
      </c>
      <c r="BI415" s="7">
        <v>0.9</v>
      </c>
    </row>
    <row r="416" hidden="1">
      <c r="A416" s="4" t="str">
        <f>IFERROR(__xludf.DUMMYFUNCTION("""COMPUTED_VALUE"""),"Milk Mellow - Conta Marca")</f>
        <v>Milk Mellow - Conta Marca</v>
      </c>
      <c r="B416" s="4" t="str">
        <f>IFERROR(__xludf.DUMMYFUNCTION("""COMPUTED_VALUE"""),"João Biagiotti")</f>
        <v>João Biagiotti</v>
      </c>
      <c r="C416" s="4" t="str">
        <f>IFERROR(__xludf.DUMMYFUNCTION("""COMPUTED_VALUE"""),"Diego Santos")</f>
        <v>Diego Santos</v>
      </c>
      <c r="D416" s="4" t="str">
        <f>IFERROR(__xludf.DUMMYFUNCTION("""COMPUTED_VALUE"""),"0. Não Iniciado")</f>
        <v>0. Não Iniciado</v>
      </c>
      <c r="E416" s="4" t="str">
        <f>IFERROR(__xludf.DUMMYFUNCTION("""COMPUTED_VALUE"""),"Comercial - Tentativa não iniciada")</f>
        <v>Comercial - Tentativa não iniciada</v>
      </c>
      <c r="F416" s="4" t="str">
        <f>IFERROR(__xludf.DUMMYFUNCTION("""COMPUTED_VALUE"""),"P")</f>
        <v>P</v>
      </c>
      <c r="G416" s="5">
        <f>IFERROR(__xludf.DUMMYFUNCTION("""COMPUTED_VALUE"""),46076.0)</f>
        <v>46076</v>
      </c>
      <c r="H416" s="4" t="str">
        <f>IFERROR(__xludf.DUMMYFUNCTION("""COMPUTED_VALUE"""),"Nova abordagem.")</f>
        <v>Nova abordagem.</v>
      </c>
      <c r="I416" s="4"/>
      <c r="J416" s="4"/>
      <c r="K416" s="4"/>
      <c r="L416" s="4"/>
      <c r="M416" s="4"/>
      <c r="N416" s="4"/>
      <c r="O416" s="4"/>
      <c r="P416" s="4"/>
      <c r="Q416" s="4"/>
      <c r="R416" s="4"/>
      <c r="S416" s="4"/>
      <c r="T416" s="4"/>
      <c r="U416" s="4"/>
      <c r="V416" s="4"/>
      <c r="W416" s="4"/>
      <c r="X416" s="4"/>
      <c r="Y416" s="4"/>
      <c r="Z416" s="4"/>
      <c r="AA416" s="4">
        <f>IFERROR(__xludf.DUMMYFUNCTION("""COMPUTED_VALUE"""),2.0)</f>
        <v>2</v>
      </c>
      <c r="AB416" s="4" t="str">
        <f>IFERROR(__xludf.DUMMYFUNCTION("""COMPUTED_VALUE"""),"NÃO")</f>
        <v>NÃO</v>
      </c>
      <c r="AC416" s="4" t="str">
        <f>IFERROR(__xludf.DUMMYFUNCTION("""COMPUTED_VALUE"""),"BP")</f>
        <v>BP</v>
      </c>
      <c r="AD416" s="4"/>
      <c r="AE416" s="4"/>
      <c r="AF416" s="4"/>
      <c r="AG416" s="4"/>
      <c r="AH416" s="4"/>
      <c r="AI416" s="4"/>
      <c r="AJ416" s="4"/>
      <c r="AK416" s="4"/>
      <c r="AL416" s="4"/>
      <c r="AM416" s="4" t="str">
        <f>IFERROR(__xludf.DUMMYFUNCTION("""COMPUTED_VALUE"""),"FY26, FY27")</f>
        <v>FY26, FY27</v>
      </c>
      <c r="AN416" s="4" t="str">
        <f>IFERROR(__xludf.DUMMYFUNCTION("""COMPUTED_VALUE"""),"Comer Fora")</f>
        <v>Comer Fora</v>
      </c>
      <c r="AO416" s="4">
        <f>IFERROR(__xludf.DUMMYFUNCTION("""COMPUTED_VALUE"""),140.0)</f>
        <v>140</v>
      </c>
      <c r="AP416" s="4" t="str">
        <f>IFERROR(__xludf.DUMMYFUNCTION("""COMPUTED_VALUE"""),"SP")</f>
        <v>SP</v>
      </c>
      <c r="AQ416" s="4" t="str">
        <f>IFERROR(__xludf.DUMMYFUNCTION("""COMPUTED_VALUE"""),"GABRIEL BISPO")</f>
        <v>GABRIEL BISPO</v>
      </c>
      <c r="AR416" s="4" t="str">
        <f>IFERROR(__xludf.DUMMYFUNCTION("""COMPUTED_VALUE"""),"TBH-VIP")</f>
        <v>TBH-VIP</v>
      </c>
      <c r="AS416" s="4" t="str">
        <f>IFERROR(__xludf.DUMMYFUNCTION("""COMPUTED_VALUE"""),"NATHALIE MERTENS")</f>
        <v>NATHALIE MERTENS</v>
      </c>
      <c r="AT416" s="4" t="str">
        <f>IFERROR(__xludf.DUMMYFUNCTION("""COMPUTED_VALUE"""),"MARIANA KATZ")</f>
        <v>MARIANA KATZ</v>
      </c>
      <c r="AU416" s="4" t="str">
        <f>IFERROR(__xludf.DUMMYFUNCTION("""COMPUTED_VALUE"""),"Iza")</f>
        <v>Iza</v>
      </c>
      <c r="AV416" s="4" t="str">
        <f>IFERROR(__xludf.DUMMYFUNCTION("""COMPUTED_VALUE"""),"Comer Fora-")</f>
        <v>Comer Fora-</v>
      </c>
      <c r="AW416" s="20" t="str">
        <f>IFERROR(__xludf.DUMMYFUNCTION("""COMPUTED_VALUE"""),"P e M - pipe")</f>
        <v>P e M - pipe</v>
      </c>
      <c r="AX416" s="4"/>
      <c r="AY416" s="4"/>
      <c r="AZ416" s="4" t="str">
        <f>IFERROR(__xludf.DUMMYFUNCTION("""COMPUTED_VALUE"""),"Lanches")</f>
        <v>Lanches</v>
      </c>
      <c r="BA416" s="4" t="str">
        <f>IFERROR(__xludf.DUMMYFUNCTION("""COMPUTED_VALUE"""),"")</f>
        <v/>
      </c>
      <c r="BB416" s="4" t="str">
        <f>IFERROR(__xludf.DUMMYFUNCTION("""COMPUTED_VALUE"""),"")</f>
        <v/>
      </c>
      <c r="BC416" s="4" t="str">
        <f>IFERROR(__xludf.DUMMYFUNCTION("""COMPUTED_VALUE"""),"")</f>
        <v/>
      </c>
      <c r="BD416" s="4" t="str">
        <f>IFERROR(__xludf.DUMMYFUNCTION("""COMPUTED_VALUE"""),"")</f>
        <v/>
      </c>
      <c r="BE416" s="4" t="str">
        <f>IFERROR(__xludf.DUMMYFUNCTION("""COMPUTED_VALUE"""),"")</f>
        <v/>
      </c>
      <c r="BF416" s="4" t="str">
        <f>IFERROR(__xludf.DUMMYFUNCTION("""COMPUTED_VALUE"""),"")</f>
        <v/>
      </c>
      <c r="BG416" s="4" t="str">
        <f>IFERROR(__xludf.DUMMYFUNCTION("""COMPUTED_VALUE"""),"")</f>
        <v/>
      </c>
      <c r="BH416" s="4" t="s">
        <v>74</v>
      </c>
      <c r="BI416" s="7">
        <v>1.0</v>
      </c>
    </row>
    <row r="417">
      <c r="A417" s="4" t="str">
        <f>IFERROR(__xludf.DUMMYFUNCTION("""COMPUTED_VALUE"""),"Mini Kalzone")</f>
        <v>Mini Kalzone</v>
      </c>
      <c r="B417" s="4" t="str">
        <f>IFERROR(__xludf.DUMMYFUNCTION("""COMPUTED_VALUE"""),"NA")</f>
        <v>NA</v>
      </c>
      <c r="C417" s="4" t="str">
        <f>IFERROR(__xludf.DUMMYFUNCTION("""COMPUTED_VALUE"""),"NA")</f>
        <v>NA</v>
      </c>
      <c r="D417" s="4" t="str">
        <f>IFERROR(__xludf.DUMMYFUNCTION("""COMPUTED_VALUE"""),"10. Perdido")</f>
        <v>10. Perdido</v>
      </c>
      <c r="E417" s="4"/>
      <c r="F417" s="4" t="str">
        <f>IFERROR(__xludf.DUMMYFUNCTION("""COMPUTED_VALUE"""),"G")</f>
        <v>G</v>
      </c>
      <c r="G417" s="5">
        <f>IFERROR(__xludf.DUMMYFUNCTION("""COMPUTED_VALUE"""),46136.0)</f>
        <v>46136</v>
      </c>
      <c r="H417" s="4" t="str">
        <f>IFERROR(__xludf.DUMMYFUNCTION("""COMPUTED_VALUE"""),"Já é cliente Saipos")</f>
        <v>Já é cliente Saipos</v>
      </c>
      <c r="I417" s="4"/>
      <c r="J417" s="4"/>
      <c r="K417" s="4"/>
      <c r="L417" s="4"/>
      <c r="M417" s="4"/>
      <c r="N417" s="4"/>
      <c r="O417" s="4"/>
      <c r="P417" s="4"/>
      <c r="Q417" s="4"/>
      <c r="R417" s="6">
        <f>IFERROR(__xludf.DUMMYFUNCTION("""COMPUTED_VALUE"""),46136.74795379629)</f>
        <v>46136.74795</v>
      </c>
      <c r="S417" s="4"/>
      <c r="T417" s="4"/>
      <c r="U417" s="4"/>
      <c r="V417" s="4" t="str">
        <f>IFERROR(__xludf.DUMMYFUNCTION("""COMPUTED_VALUE"""),"Sem perfil 3S - Perfil Saipos")</f>
        <v>Sem perfil 3S - Perfil Saipos</v>
      </c>
      <c r="W417" s="4"/>
      <c r="X417" s="4"/>
      <c r="Y417" s="4"/>
      <c r="Z417" s="4"/>
      <c r="AA417" s="4">
        <f>IFERROR(__xludf.DUMMYFUNCTION("""COMPUTED_VALUE"""),150.0)</f>
        <v>150</v>
      </c>
      <c r="AB417" s="4" t="str">
        <f>IFERROR(__xludf.DUMMYFUNCTION("""COMPUTED_VALUE"""),"Não")</f>
        <v>Não</v>
      </c>
      <c r="AC417" s="4" t="str">
        <f>IFERROR(__xludf.DUMMYFUNCTION("""COMPUTED_VALUE"""),"Não")</f>
        <v>Não</v>
      </c>
      <c r="AD417" s="4" t="str">
        <f>IFERROR(__xludf.DUMMYFUNCTION("""COMPUTED_VALUE"""),"tecnisa")</f>
        <v>tecnisa</v>
      </c>
      <c r="AE417" s="4"/>
      <c r="AF417" s="4"/>
      <c r="AG417" s="4"/>
      <c r="AH417" s="4"/>
      <c r="AI417" s="4"/>
      <c r="AJ417" s="4"/>
      <c r="AK417" s="4"/>
      <c r="AL417" s="4"/>
      <c r="AM417" s="4" t="str">
        <f>IFERROR(__xludf.DUMMYFUNCTION("""COMPUTED_VALUE"""),"FY26, FY27")</f>
        <v>FY26, FY27</v>
      </c>
      <c r="AN417" s="4"/>
      <c r="AO417" s="4">
        <f>IFERROR(__xludf.DUMMYFUNCTION("""COMPUTED_VALUE"""),79.0)</f>
        <v>79</v>
      </c>
      <c r="AP417" s="4" t="str">
        <f>IFERROR(__xludf.DUMMYFUNCTION("""COMPUTED_VALUE"""),"SC")</f>
        <v>SC</v>
      </c>
      <c r="AQ417" s="4" t="str">
        <f>IFERROR(__xludf.DUMMYFUNCTION("""COMPUTED_VALUE"""),"ANA OBANDO")</f>
        <v>ANA OBANDO</v>
      </c>
      <c r="AR417" s="4" t="str">
        <f>IFERROR(__xludf.DUMMYFUNCTION("""COMPUTED_VALUE"""),"SORAYA SILVA")</f>
        <v>SORAYA SILVA</v>
      </c>
      <c r="AS417" s="4" t="str">
        <f>IFERROR(__xludf.DUMMYFUNCTION("""COMPUTED_VALUE"""),"ISIS MOSTAFA")</f>
        <v>ISIS MOSTAFA</v>
      </c>
      <c r="AT417" s="4" t="str">
        <f>IFERROR(__xludf.DUMMYFUNCTION("""COMPUTED_VALUE"""),"ANA OBANDO")</f>
        <v>ANA OBANDO</v>
      </c>
      <c r="AU417" s="4" t="str">
        <f>IFERROR(__xludf.DUMMYFUNCTION("""COMPUTED_VALUE"""),"Emerson/Leonardo Roso")</f>
        <v>Emerson/Leonardo Roso</v>
      </c>
      <c r="AV417" s="4" t="str">
        <f>IFERROR(__xludf.DUMMYFUNCTION("""COMPUTED_VALUE"""),"Comer Fora-")</f>
        <v>Comer Fora-</v>
      </c>
      <c r="AW417" s="4" t="str">
        <f>IFERROR(__xludf.DUMMYFUNCTION("""COMPUTED_VALUE"""),"BASE SAIPOS")</f>
        <v>BASE SAIPOS</v>
      </c>
      <c r="AX417" s="4"/>
      <c r="AY417" s="4"/>
      <c r="AZ417" s="4" t="str">
        <f>IFERROR(__xludf.DUMMYFUNCTION("""COMPUTED_VALUE"""),"Lanches")</f>
        <v>Lanches</v>
      </c>
      <c r="BA417" s="4" t="str">
        <f>IFERROR(__xludf.DUMMYFUNCTION("""COMPUTED_VALUE"""),"")</f>
        <v/>
      </c>
      <c r="BB417" s="4" t="str">
        <f>IFERROR(__xludf.DUMMYFUNCTION("""COMPUTED_VALUE"""),"")</f>
        <v/>
      </c>
      <c r="BC417" s="4" t="str">
        <f>IFERROR(__xludf.DUMMYFUNCTION("""COMPUTED_VALUE"""),"")</f>
        <v/>
      </c>
      <c r="BD417" s="4" t="str">
        <f>IFERROR(__xludf.DUMMYFUNCTION("""COMPUTED_VALUE"""),"")</f>
        <v/>
      </c>
      <c r="BE417" s="4" t="str">
        <f>IFERROR(__xludf.DUMMYFUNCTION("""COMPUTED_VALUE"""),"")</f>
        <v/>
      </c>
      <c r="BF417" s="4" t="str">
        <f>IFERROR(__xludf.DUMMYFUNCTION("""COMPUTED_VALUE"""),"")</f>
        <v/>
      </c>
      <c r="BG417" s="4" t="str">
        <f>IFERROR(__xludf.DUMMYFUNCTION("""COMPUTED_VALUE"""),"")</f>
        <v/>
      </c>
      <c r="BH417" s="4" t="s">
        <v>63</v>
      </c>
      <c r="BI417" s="7" t="s">
        <v>63</v>
      </c>
    </row>
    <row r="418" hidden="1">
      <c r="A418" s="4" t="str">
        <f>IFERROR(__xludf.DUMMYFUNCTION("""COMPUTED_VALUE"""),"Mitsuba")</f>
        <v>Mitsuba</v>
      </c>
      <c r="B418" s="4" t="str">
        <f>IFERROR(__xludf.DUMMYFUNCTION("""COMPUTED_VALUE"""),"João Biagiotti")</f>
        <v>João Biagiotti</v>
      </c>
      <c r="C418" s="4" t="str">
        <f>IFERROR(__xludf.DUMMYFUNCTION("""COMPUTED_VALUE"""),"Diego Santos")</f>
        <v>Diego Santos</v>
      </c>
      <c r="D418" s="4" t="str">
        <f>IFERROR(__xludf.DUMMYFUNCTION("""COMPUTED_VALUE"""),"0. Não Iniciado")</f>
        <v>0. Não Iniciado</v>
      </c>
      <c r="E418" s="4" t="str">
        <f>IFERROR(__xludf.DUMMYFUNCTION("""COMPUTED_VALUE"""),"Parceiro - Sem contato válido / Decisor inacessível")</f>
        <v>Parceiro - Sem contato válido / Decisor inacessível</v>
      </c>
      <c r="F418" s="4" t="str">
        <f>IFERROR(__xludf.DUMMYFUNCTION("""COMPUTED_VALUE"""),"P")</f>
        <v>P</v>
      </c>
      <c r="G418" s="5">
        <f>IFERROR(__xludf.DUMMYFUNCTION("""COMPUTED_VALUE"""),46076.0)</f>
        <v>46076</v>
      </c>
      <c r="H418" s="4" t="str">
        <f>IFERROR(__xludf.DUMMYFUNCTION("""COMPUTED_VALUE"""),"Sem contato válido e sem atendimento delivery.")</f>
        <v>Sem contato válido e sem atendimento delivery.</v>
      </c>
      <c r="I418" s="4"/>
      <c r="J418" s="4"/>
      <c r="K418" s="4"/>
      <c r="L418" s="4"/>
      <c r="M418" s="4"/>
      <c r="N418" s="4"/>
      <c r="O418" s="4"/>
      <c r="P418" s="4"/>
      <c r="Q418" s="4"/>
      <c r="R418" s="4"/>
      <c r="S418" s="4"/>
      <c r="T418" s="4"/>
      <c r="U418" s="4"/>
      <c r="V418" s="4"/>
      <c r="W418" s="4"/>
      <c r="X418" s="4"/>
      <c r="Y418" s="4"/>
      <c r="Z418" s="4"/>
      <c r="AA418" s="4">
        <f>IFERROR(__xludf.DUMMYFUNCTION("""COMPUTED_VALUE"""),1.0)</f>
        <v>1</v>
      </c>
      <c r="AB418" s="4" t="str">
        <f>IFERROR(__xludf.DUMMYFUNCTION("""COMPUTED_VALUE"""),"NÃO")</f>
        <v>NÃO</v>
      </c>
      <c r="AC418" s="4" t="str">
        <f>IFERROR(__xludf.DUMMYFUNCTION("""COMPUTED_VALUE"""),"BP")</f>
        <v>BP</v>
      </c>
      <c r="AD418" s="4"/>
      <c r="AE418" s="4"/>
      <c r="AF418" s="4"/>
      <c r="AG418" s="4"/>
      <c r="AH418" s="4"/>
      <c r="AI418" s="4"/>
      <c r="AJ418" s="4"/>
      <c r="AK418" s="4"/>
      <c r="AL418" s="4"/>
      <c r="AM418" s="4" t="str">
        <f>IFERROR(__xludf.DUMMYFUNCTION("""COMPUTED_VALUE"""),"FY26, FY27")</f>
        <v>FY26, FY27</v>
      </c>
      <c r="AN418" s="4" t="str">
        <f>IFERROR(__xludf.DUMMYFUNCTION("""COMPUTED_VALUE"""),"Comer Fora")</f>
        <v>Comer Fora</v>
      </c>
      <c r="AO418" s="4">
        <f>IFERROR(__xludf.DUMMYFUNCTION("""COMPUTED_VALUE"""),140.0)</f>
        <v>140</v>
      </c>
      <c r="AP418" s="4">
        <f>IFERROR(__xludf.DUMMYFUNCTION("""COMPUTED_VALUE"""),0.0)</f>
        <v>0</v>
      </c>
      <c r="AQ418" s="4">
        <f>IFERROR(__xludf.DUMMYFUNCTION("""COMPUTED_VALUE"""),0.0)</f>
        <v>0</v>
      </c>
      <c r="AR418" s="4">
        <f>IFERROR(__xludf.DUMMYFUNCTION("""COMPUTED_VALUE"""),0.0)</f>
        <v>0</v>
      </c>
      <c r="AS418" s="4">
        <f>IFERROR(__xludf.DUMMYFUNCTION("""COMPUTED_VALUE"""),0.0)</f>
        <v>0</v>
      </c>
      <c r="AT418" s="4">
        <f>IFERROR(__xludf.DUMMYFUNCTION("""COMPUTED_VALUE"""),0.0)</f>
        <v>0</v>
      </c>
      <c r="AU418" s="4" t="str">
        <f>IFERROR(__xludf.DUMMYFUNCTION("""COMPUTED_VALUE"""),"Diego")</f>
        <v>Diego</v>
      </c>
      <c r="AV418" s="4">
        <f>IFERROR(__xludf.DUMMYFUNCTION("""COMPUTED_VALUE"""),0.0)</f>
        <v>0</v>
      </c>
      <c r="AW418" s="4">
        <f>IFERROR(__xludf.DUMMYFUNCTION("""COMPUTED_VALUE"""),0.0)</f>
        <v>0</v>
      </c>
      <c r="AX418" s="4">
        <f>IFERROR(__xludf.DUMMYFUNCTION("""COMPUTED_VALUE"""),0.0)</f>
        <v>0</v>
      </c>
      <c r="AY418" s="4"/>
      <c r="AZ418" s="4" t="str">
        <f>IFERROR(__xludf.DUMMYFUNCTION("""COMPUTED_VALUE"""),"Japonesa")</f>
        <v>Japonesa</v>
      </c>
      <c r="BA418" s="4" t="str">
        <f>IFERROR(__xludf.DUMMYFUNCTION("""COMPUTED_VALUE"""),"Dado não disponível publicamente")</f>
        <v>Dado não disponível publicamente</v>
      </c>
      <c r="BB418" s="4" t="str">
        <f>IFERROR(__xludf.DUMMYFUNCTION("""COMPUTED_VALUE"""),"Table Service - Restaurante japonês tradicional (sushis, sashimis, peixes frescos)")</f>
        <v>Table Service - Restaurante japonês tradicional (sushis, sashimis, peixes frescos)</v>
      </c>
      <c r="BC418" s="4" t="str">
        <f>IFERROR(__xludf.DUMMYFUNCTION("""COMPUTED_VALUE"""),"Brasil - Rio de Janeiro/RJ (única loja no Horto/Jardim Botânico)")</f>
        <v>Brasil - Rio de Janeiro/RJ (única loja no Horto/Jardim Botânico)</v>
      </c>
      <c r="BD418" s="4" t="str">
        <f>IFERROR(__xludf.DUMMYFUNCTION("""COMPUTED_VALUE"""),"R$ 70 - R$ 150")</f>
        <v>R$ 70 - R$ 150</v>
      </c>
      <c r="BE418" s="4">
        <f>IFERROR(__xludf.DUMMYFUNCTION("""COMPUTED_VALUE"""),30.0)</f>
        <v>30</v>
      </c>
      <c r="BF418" s="4">
        <f>IFERROR(__xludf.DUMMYFUNCTION("""COMPUTED_VALUE"""),55.0)</f>
        <v>55</v>
      </c>
      <c r="BG418" s="4" t="str">
        <f>IFERROR(__xludf.DUMMYFUNCTION("""COMPUTED_VALUE"""),"Dado não identificado publicamente - Necessário Discovery")</f>
        <v>Dado não identificado publicamente - Necessário Discovery</v>
      </c>
      <c r="BH418" s="4" t="s">
        <v>63</v>
      </c>
      <c r="BI418" s="7" t="s">
        <v>63</v>
      </c>
    </row>
    <row r="419" hidden="1">
      <c r="A419" s="4" t="str">
        <f>IFERROR(__xludf.DUMMYFUNCTION("""COMPUTED_VALUE"""),"Momo Gelatto")</f>
        <v>Momo Gelatto</v>
      </c>
      <c r="B419" s="4" t="str">
        <f>IFERROR(__xludf.DUMMYFUNCTION("""COMPUTED_VALUE"""),"João Biagiotti")</f>
        <v>João Biagiotti</v>
      </c>
      <c r="C419" s="4" t="str">
        <f>IFERROR(__xludf.DUMMYFUNCTION("""COMPUTED_VALUE"""),"Diego Santos")</f>
        <v>Diego Santos</v>
      </c>
      <c r="D419" s="4" t="str">
        <f>IFERROR(__xludf.DUMMYFUNCTION("""COMPUTED_VALUE"""),"11. Stand by")</f>
        <v>11. Stand by</v>
      </c>
      <c r="E419" s="4" t="str">
        <f>IFERROR(__xludf.DUMMYFUNCTION("""COMPUTED_VALUE"""),"Perdido -  Momento do restaurante não favorável")</f>
        <v>Perdido -  Momento do restaurante não favorável</v>
      </c>
      <c r="F419" s="4" t="str">
        <f>IFERROR(__xludf.DUMMYFUNCTION("""COMPUTED_VALUE"""),"P")</f>
        <v>P</v>
      </c>
      <c r="G419" s="5">
        <f>IFERROR(__xludf.DUMMYFUNCTION("""COMPUTED_VALUE"""),46101.0)</f>
        <v>46101</v>
      </c>
      <c r="H419" s="4" t="str">
        <f>IFERROR(__xludf.DUMMYFUNCTION("""COMPUTED_VALUE"""),"Cliente informou que está com outras prioridades no momento, informou que assim que possível voltaria o contato. ")</f>
        <v>Cliente informou que está com outras prioridades no momento, informou que assim que possível voltaria o contato. </v>
      </c>
      <c r="I419" s="4"/>
      <c r="J419" s="6">
        <f>IFERROR(__xludf.DUMMYFUNCTION("""COMPUTED_VALUE"""),46083.46929872685)</f>
        <v>46083.4693</v>
      </c>
      <c r="K419" s="6">
        <f>IFERROR(__xludf.DUMMYFUNCTION("""COMPUTED_VALUE"""),46083.4693580787)</f>
        <v>46083.46936</v>
      </c>
      <c r="L419" s="6">
        <f>IFERROR(__xludf.DUMMYFUNCTION("""COMPUTED_VALUE"""),46084.52623369213)</f>
        <v>46084.52623</v>
      </c>
      <c r="M419" s="6">
        <f>IFERROR(__xludf.DUMMYFUNCTION("""COMPUTED_VALUE"""),46086.456232372686)</f>
        <v>46086.45623</v>
      </c>
      <c r="N419" s="6">
        <f>IFERROR(__xludf.DUMMYFUNCTION("""COMPUTED_VALUE"""),46090.474372048615)</f>
        <v>46090.47437</v>
      </c>
      <c r="O419" s="4"/>
      <c r="P419" s="4"/>
      <c r="Q419" s="4"/>
      <c r="R419" s="4"/>
      <c r="S419" s="6">
        <f>IFERROR(__xludf.DUMMYFUNCTION("""COMPUTED_VALUE"""),46101.50842616898)</f>
        <v>46101.50843</v>
      </c>
      <c r="T419" s="4"/>
      <c r="U419" s="4"/>
      <c r="V419" s="4" t="str">
        <f>IFERROR(__xludf.DUMMYFUNCTION("""COMPUTED_VALUE"""),"Trava por projetos internos da marca")</f>
        <v>Trava por projetos internos da marca</v>
      </c>
      <c r="W419" s="4"/>
      <c r="X419" s="4"/>
      <c r="Y419" s="4"/>
      <c r="Z419" s="4"/>
      <c r="AA419" s="4">
        <f>IFERROR(__xludf.DUMMYFUNCTION("""COMPUTED_VALUE"""),10.0)</f>
        <v>10</v>
      </c>
      <c r="AB419" s="4"/>
      <c r="AC419" s="4"/>
      <c r="AD419" s="4"/>
      <c r="AE419" s="4"/>
      <c r="AF419" s="4"/>
      <c r="AG419" s="4"/>
      <c r="AH419" s="4"/>
      <c r="AI419" s="4"/>
      <c r="AJ419" s="4"/>
      <c r="AK419" s="4"/>
      <c r="AL419" s="4"/>
      <c r="AM419" s="4" t="str">
        <f>IFERROR(__xludf.DUMMYFUNCTION("""COMPUTED_VALUE"""),"FY26, FY27")</f>
        <v>FY26, FY27</v>
      </c>
      <c r="AN419" s="4"/>
      <c r="AO419" s="4">
        <f>IFERROR(__xludf.DUMMYFUNCTION("""COMPUTED_VALUE"""),113.0)</f>
        <v>113</v>
      </c>
      <c r="AP419" s="4">
        <f>IFERROR(__xludf.DUMMYFUNCTION("""COMPUTED_VALUE"""),0.0)</f>
        <v>0</v>
      </c>
      <c r="AQ419" s="4">
        <f>IFERROR(__xludf.DUMMYFUNCTION("""COMPUTED_VALUE"""),0.0)</f>
        <v>0</v>
      </c>
      <c r="AR419" s="4">
        <f>IFERROR(__xludf.DUMMYFUNCTION("""COMPUTED_VALUE"""),0.0)</f>
        <v>0</v>
      </c>
      <c r="AS419" s="4">
        <f>IFERROR(__xludf.DUMMYFUNCTION("""COMPUTED_VALUE"""),0.0)</f>
        <v>0</v>
      </c>
      <c r="AT419" s="4">
        <f>IFERROR(__xludf.DUMMYFUNCTION("""COMPUTED_VALUE"""),0.0)</f>
        <v>0</v>
      </c>
      <c r="AU419" s="4" t="str">
        <f>IFERROR(__xludf.DUMMYFUNCTION("""COMPUTED_VALUE"""),"Diego")</f>
        <v>Diego</v>
      </c>
      <c r="AV419" s="4">
        <f>IFERROR(__xludf.DUMMYFUNCTION("""COMPUTED_VALUE"""),0.0)</f>
        <v>0</v>
      </c>
      <c r="AW419" s="4">
        <f>IFERROR(__xludf.DUMMYFUNCTION("""COMPUTED_VALUE"""),0.0)</f>
        <v>0</v>
      </c>
      <c r="AX419" s="4">
        <f>IFERROR(__xludf.DUMMYFUNCTION("""COMPUTED_VALUE"""),0.0)</f>
        <v>0</v>
      </c>
      <c r="AY419" s="4"/>
      <c r="AZ419" s="4" t="str">
        <f>IFERROR(__xludf.DUMMYFUNCTION("""COMPUTED_VALUE"""),"NA")</f>
        <v>NA</v>
      </c>
      <c r="BA419" s="4" t="str">
        <f>IFERROR(__xludf.DUMMYFUNCTION("""COMPUTED_VALUE"""),"")</f>
        <v/>
      </c>
      <c r="BB419" s="4" t="str">
        <f>IFERROR(__xludf.DUMMYFUNCTION("""COMPUTED_VALUE"""),"")</f>
        <v/>
      </c>
      <c r="BC419" s="4" t="str">
        <f>IFERROR(__xludf.DUMMYFUNCTION("""COMPUTED_VALUE"""),"")</f>
        <v/>
      </c>
      <c r="BD419" s="4" t="str">
        <f>IFERROR(__xludf.DUMMYFUNCTION("""COMPUTED_VALUE"""),"")</f>
        <v/>
      </c>
      <c r="BE419" s="4" t="str">
        <f>IFERROR(__xludf.DUMMYFUNCTION("""COMPUTED_VALUE"""),"")</f>
        <v/>
      </c>
      <c r="BF419" s="4" t="str">
        <f>IFERROR(__xludf.DUMMYFUNCTION("""COMPUTED_VALUE"""),"")</f>
        <v/>
      </c>
      <c r="BG419" s="4" t="str">
        <f>IFERROR(__xludf.DUMMYFUNCTION("""COMPUTED_VALUE"""),"")</f>
        <v/>
      </c>
      <c r="BH419" s="4" t="s">
        <v>63</v>
      </c>
      <c r="BI419" s="7" t="s">
        <v>63</v>
      </c>
    </row>
    <row r="420" hidden="1">
      <c r="A420" s="4" t="str">
        <f>IFERROR(__xludf.DUMMYFUNCTION("""COMPUTED_VALUE"""),"Mondo Food")</f>
        <v>Mondo Food</v>
      </c>
      <c r="B420" s="4" t="str">
        <f>IFERROR(__xludf.DUMMYFUNCTION("""COMPUTED_VALUE"""),"Diego Santos")</f>
        <v>Diego Santos</v>
      </c>
      <c r="C420" s="4" t="str">
        <f>IFERROR(__xludf.DUMMYFUNCTION("""COMPUTED_VALUE"""),"Diego Santos")</f>
        <v>Diego Santos</v>
      </c>
      <c r="D420" s="4" t="str">
        <f>IFERROR(__xludf.DUMMYFUNCTION("""COMPUTED_VALUE"""),"10. Perdido")</f>
        <v>10. Perdido</v>
      </c>
      <c r="E420" s="4" t="str">
        <f>IFERROR(__xludf.DUMMYFUNCTION("""COMPUTED_VALUE"""),"Perdido -  Momento do restaurante não favorável")</f>
        <v>Perdido -  Momento do restaurante não favorável</v>
      </c>
      <c r="F420" s="4" t="str">
        <f>IFERROR(__xludf.DUMMYFUNCTION("""COMPUTED_VALUE"""),"P")</f>
        <v>P</v>
      </c>
      <c r="G420" s="5">
        <f>IFERROR(__xludf.DUMMYFUNCTION("""COMPUTED_VALUE"""),46113.0)</f>
        <v>46113</v>
      </c>
      <c r="H420" s="4" t="str">
        <f>IFERROR(__xludf.DUMMYFUNCTION("""COMPUTED_VALUE"""),"FUP - Cliente parou de responder. ")</f>
        <v>FUP - Cliente parou de responder. </v>
      </c>
      <c r="I420" s="4"/>
      <c r="J420" s="6">
        <f>IFERROR(__xludf.DUMMYFUNCTION("""COMPUTED_VALUE"""),46086.453720729165)</f>
        <v>46086.45372</v>
      </c>
      <c r="K420" s="6">
        <f>IFERROR(__xludf.DUMMYFUNCTION("""COMPUTED_VALUE"""),46086.45375734953)</f>
        <v>46086.45376</v>
      </c>
      <c r="L420" s="6">
        <f>IFERROR(__xludf.DUMMYFUNCTION("""COMPUTED_VALUE"""),46086.45384484954)</f>
        <v>46086.45384</v>
      </c>
      <c r="M420" s="6">
        <f>IFERROR(__xludf.DUMMYFUNCTION("""COMPUTED_VALUE"""),46090.508598518514)</f>
        <v>46090.5086</v>
      </c>
      <c r="N420" s="6">
        <f>IFERROR(__xludf.DUMMYFUNCTION("""COMPUTED_VALUE"""),46090.50865650463)</f>
        <v>46090.50866</v>
      </c>
      <c r="O420" s="4"/>
      <c r="P420" s="4"/>
      <c r="Q420" s="4"/>
      <c r="R420" s="6">
        <f>IFERROR(__xludf.DUMMYFUNCTION("""COMPUTED_VALUE"""),46121.51176175926)</f>
        <v>46121.51176</v>
      </c>
      <c r="S420" s="4"/>
      <c r="T420" s="4"/>
      <c r="U420" s="4"/>
      <c r="V420" s="4" t="str">
        <f>IFERROR(__xludf.DUMMYFUNCTION("""COMPUTED_VALUE"""),"Desistência na mudança de PDV")</f>
        <v>Desistência na mudança de PDV</v>
      </c>
      <c r="W420" s="4"/>
      <c r="X420" s="4"/>
      <c r="Y420" s="4"/>
      <c r="Z420" s="4"/>
      <c r="AA420" s="4">
        <f>IFERROR(__xludf.DUMMYFUNCTION("""COMPUTED_VALUE"""),12.0)</f>
        <v>12</v>
      </c>
      <c r="AB420" s="4"/>
      <c r="AC420" s="4"/>
      <c r="AD420" s="4"/>
      <c r="AE420" s="4"/>
      <c r="AF420" s="4"/>
      <c r="AG420" s="4"/>
      <c r="AH420" s="4"/>
      <c r="AI420" s="4"/>
      <c r="AJ420" s="4"/>
      <c r="AK420" s="4"/>
      <c r="AL420" s="4"/>
      <c r="AM420" s="4" t="str">
        <f>IFERROR(__xludf.DUMMYFUNCTION("""COMPUTED_VALUE"""),"FY26, FY27")</f>
        <v>FY26, FY27</v>
      </c>
      <c r="AN420" s="4"/>
      <c r="AO420" s="4">
        <f>IFERROR(__xludf.DUMMYFUNCTION("""COMPUTED_VALUE"""),102.0)</f>
        <v>102</v>
      </c>
      <c r="AP420" s="4">
        <f>IFERROR(__xludf.DUMMYFUNCTION("""COMPUTED_VALUE"""),0.0)</f>
        <v>0</v>
      </c>
      <c r="AQ420" s="4">
        <f>IFERROR(__xludf.DUMMYFUNCTION("""COMPUTED_VALUE"""),0.0)</f>
        <v>0</v>
      </c>
      <c r="AR420" s="4">
        <f>IFERROR(__xludf.DUMMYFUNCTION("""COMPUTED_VALUE"""),0.0)</f>
        <v>0</v>
      </c>
      <c r="AS420" s="4">
        <f>IFERROR(__xludf.DUMMYFUNCTION("""COMPUTED_VALUE"""),0.0)</f>
        <v>0</v>
      </c>
      <c r="AT420" s="4">
        <f>IFERROR(__xludf.DUMMYFUNCTION("""COMPUTED_VALUE"""),0.0)</f>
        <v>0</v>
      </c>
      <c r="AU420" s="4" t="str">
        <f>IFERROR(__xludf.DUMMYFUNCTION("""COMPUTED_VALUE"""),"Diego")</f>
        <v>Diego</v>
      </c>
      <c r="AV420" s="4">
        <f>IFERROR(__xludf.DUMMYFUNCTION("""COMPUTED_VALUE"""),0.0)</f>
        <v>0</v>
      </c>
      <c r="AW420" s="4">
        <f>IFERROR(__xludf.DUMMYFUNCTION("""COMPUTED_VALUE"""),0.0)</f>
        <v>0</v>
      </c>
      <c r="AX420" s="4">
        <f>IFERROR(__xludf.DUMMYFUNCTION("""COMPUTED_VALUE"""),0.0)</f>
        <v>0</v>
      </c>
      <c r="AY420" s="4"/>
      <c r="AZ420" s="4" t="str">
        <f>IFERROR(__xludf.DUMMYFUNCTION("""COMPUTED_VALUE"""),"NA")</f>
        <v>NA</v>
      </c>
      <c r="BA420" s="4" t="str">
        <f>IFERROR(__xludf.DUMMYFUNCTION("""COMPUTED_VALUE"""),"")</f>
        <v/>
      </c>
      <c r="BB420" s="4" t="str">
        <f>IFERROR(__xludf.DUMMYFUNCTION("""COMPUTED_VALUE"""),"")</f>
        <v/>
      </c>
      <c r="BC420" s="4" t="str">
        <f>IFERROR(__xludf.DUMMYFUNCTION("""COMPUTED_VALUE"""),"")</f>
        <v/>
      </c>
      <c r="BD420" s="4" t="str">
        <f>IFERROR(__xludf.DUMMYFUNCTION("""COMPUTED_VALUE"""),"")</f>
        <v/>
      </c>
      <c r="BE420" s="4" t="str">
        <f>IFERROR(__xludf.DUMMYFUNCTION("""COMPUTED_VALUE"""),"")</f>
        <v/>
      </c>
      <c r="BF420" s="4" t="str">
        <f>IFERROR(__xludf.DUMMYFUNCTION("""COMPUTED_VALUE"""),"")</f>
        <v/>
      </c>
      <c r="BG420" s="4" t="str">
        <f>IFERROR(__xludf.DUMMYFUNCTION("""COMPUTED_VALUE"""),"")</f>
        <v/>
      </c>
      <c r="BH420" s="4" t="s">
        <v>63</v>
      </c>
      <c r="BI420" s="7" t="s">
        <v>63</v>
      </c>
    </row>
    <row r="421" hidden="1">
      <c r="A421" s="4" t="str">
        <f>IFERROR(__xludf.DUMMYFUNCTION("""COMPUTED_VALUE"""),"Monster Dog")</f>
        <v>Monster Dog</v>
      </c>
      <c r="B421" s="4" t="str">
        <f>IFERROR(__xludf.DUMMYFUNCTION("""COMPUTED_VALUE"""),"Emerson")</f>
        <v>Emerson</v>
      </c>
      <c r="C421" s="4" t="str">
        <f>IFERROR(__xludf.DUMMYFUNCTION("""COMPUTED_VALUE"""),"Emerson")</f>
        <v>Emerson</v>
      </c>
      <c r="D421" s="4" t="str">
        <f>IFERROR(__xludf.DUMMYFUNCTION("""COMPUTED_VALUE"""),"0. Não Iniciado")</f>
        <v>0. Não Iniciado</v>
      </c>
      <c r="E421" s="4"/>
      <c r="F421" s="4" t="str">
        <f>IFERROR(__xludf.DUMMYFUNCTION("""COMPUTED_VALUE"""),"M")</f>
        <v>M</v>
      </c>
      <c r="G421" s="4"/>
      <c r="H421" s="4"/>
      <c r="I421" s="4"/>
      <c r="J421" s="4"/>
      <c r="K421" s="4"/>
      <c r="L421" s="4"/>
      <c r="M421" s="4"/>
      <c r="N421" s="4"/>
      <c r="O421" s="4"/>
      <c r="P421" s="4"/>
      <c r="Q421" s="4"/>
      <c r="R421" s="4"/>
      <c r="S421" s="4"/>
      <c r="T421" s="4"/>
      <c r="U421" s="4"/>
      <c r="V421" s="4"/>
      <c r="W421" s="4"/>
      <c r="X421" s="4"/>
      <c r="Y421" s="4"/>
      <c r="Z421" s="4"/>
      <c r="AA421" s="4">
        <f>IFERROR(__xludf.DUMMYFUNCTION("""COMPUTED_VALUE"""),51.0)</f>
        <v>51</v>
      </c>
      <c r="AB421" s="4" t="str">
        <f>IFERROR(__xludf.DUMMYFUNCTION("""COMPUTED_VALUE"""),"NÃO")</f>
        <v>NÃO</v>
      </c>
      <c r="AC421" s="4" t="str">
        <f>IFERROR(__xludf.DUMMYFUNCTION("""COMPUTED_VALUE"""),"BP")</f>
        <v>BP</v>
      </c>
      <c r="AD421" s="4"/>
      <c r="AE421" s="4"/>
      <c r="AF421" s="4"/>
      <c r="AG421" s="4"/>
      <c r="AH421" s="4"/>
      <c r="AI421" s="4"/>
      <c r="AJ421" s="4"/>
      <c r="AK421" s="4"/>
      <c r="AL421" s="4"/>
      <c r="AM421" s="4" t="str">
        <f>IFERROR(__xludf.DUMMYFUNCTION("""COMPUTED_VALUE"""),"FY26, FY27")</f>
        <v>FY26, FY27</v>
      </c>
      <c r="AN421" s="4"/>
      <c r="AO421" s="4">
        <f>IFERROR(__xludf.DUMMYFUNCTION("""COMPUTED_VALUE"""),45553.0)</f>
        <v>45553</v>
      </c>
      <c r="AP421" s="4">
        <f>IFERROR(__xludf.DUMMYFUNCTION("""COMPUTED_VALUE"""),0.0)</f>
        <v>0</v>
      </c>
      <c r="AQ421" s="4">
        <f>IFERROR(__xludf.DUMMYFUNCTION("""COMPUTED_VALUE"""),0.0)</f>
        <v>0</v>
      </c>
      <c r="AR421" s="4">
        <f>IFERROR(__xludf.DUMMYFUNCTION("""COMPUTED_VALUE"""),0.0)</f>
        <v>0</v>
      </c>
      <c r="AS421" s="4">
        <f>IFERROR(__xludf.DUMMYFUNCTION("""COMPUTED_VALUE"""),0.0)</f>
        <v>0</v>
      </c>
      <c r="AT421" s="4">
        <f>IFERROR(__xludf.DUMMYFUNCTION("""COMPUTED_VALUE"""),0.0)</f>
        <v>0</v>
      </c>
      <c r="AU421" s="4" t="str">
        <f>IFERROR(__xludf.DUMMYFUNCTION("""COMPUTED_VALUE"""),"Emerson")</f>
        <v>Emerson</v>
      </c>
      <c r="AV421" s="4">
        <f>IFERROR(__xludf.DUMMYFUNCTION("""COMPUTED_VALUE"""),0.0)</f>
        <v>0</v>
      </c>
      <c r="AW421" s="4">
        <f>IFERROR(__xludf.DUMMYFUNCTION("""COMPUTED_VALUE"""),0.0)</f>
        <v>0</v>
      </c>
      <c r="AX421" s="4">
        <f>IFERROR(__xludf.DUMMYFUNCTION("""COMPUTED_VALUE"""),0.0)</f>
        <v>0</v>
      </c>
      <c r="AY421" s="4"/>
      <c r="AZ421" s="4" t="str">
        <f>IFERROR(__xludf.DUMMYFUNCTION("""COMPUTED_VALUE"""),"Lanche")</f>
        <v>Lanche</v>
      </c>
      <c r="BA421" s="4" t="str">
        <f>IFERROR(__xludf.DUMMYFUNCTION("""COMPUTED_VALUE"""),"R$ 90 mil/mês por unidade (2020)")</f>
        <v>R$ 90 mil/mês por unidade (2020)</v>
      </c>
      <c r="BB421" s="4" t="str">
        <f>IFERROR(__xludf.DUMMYFUNCTION("""COMPUTED_VALUE"""),"QSR - Hot Dog em terminais de transporte e metrô")</f>
        <v>QSR - Hot Dog em terminais de transporte e metrô</v>
      </c>
      <c r="BC421" s="4" t="str">
        <f>IFERROR(__xludf.DUMMYFUNCTION("""COMPUTED_VALUE"""),"Brasil - SP (capital e região metropolitana, Campinas); Foco em terminais de transporte")</f>
        <v>Brasil - SP (capital e região metropolitana, Campinas); Foco em terminais de transporte</v>
      </c>
      <c r="BD421" s="4" t="str">
        <f>IFERROR(__xludf.DUMMYFUNCTION("""COMPUTED_VALUE"""),"R$ 30 - R$ 55")</f>
        <v>R$ 30 - R$ 55</v>
      </c>
      <c r="BE421" s="4">
        <f>IFERROR(__xludf.DUMMYFUNCTION("""COMPUTED_VALUE"""),80.0)</f>
        <v>80</v>
      </c>
      <c r="BF421" s="4">
        <f>IFERROR(__xludf.DUMMYFUNCTION("""COMPUTED_VALUE"""),90.0)</f>
        <v>90</v>
      </c>
      <c r="BG421" s="4" t="str">
        <f>IFERROR(__xludf.DUMMYFUNCTION("""COMPUTED_VALUE"""),"Dado não identificado publicamente - Necessário Discovery")</f>
        <v>Dado não identificado publicamente - Necessário Discovery</v>
      </c>
      <c r="BH421" s="4" t="s">
        <v>63</v>
      </c>
      <c r="BI421" s="7" t="s">
        <v>63</v>
      </c>
    </row>
    <row r="422" hidden="1">
      <c r="A422" s="4" t="str">
        <f>IFERROR(__xludf.DUMMYFUNCTION("""COMPUTED_VALUE"""),"Nacional Lanches - Marca")</f>
        <v>Nacional Lanches - Marca</v>
      </c>
      <c r="B422" s="4" t="str">
        <f>IFERROR(__xludf.DUMMYFUNCTION("""COMPUTED_VALUE"""),"Lídia Esteves")</f>
        <v>Lídia Esteves</v>
      </c>
      <c r="C422" s="4" t="str">
        <f>IFERROR(__xludf.DUMMYFUNCTION("""COMPUTED_VALUE"""),"Gabriela Roma")</f>
        <v>Gabriela Roma</v>
      </c>
      <c r="D422" s="4" t="str">
        <f>IFERROR(__xludf.DUMMYFUNCTION("""COMPUTED_VALUE"""),"10. Perdido")</f>
        <v>10. Perdido</v>
      </c>
      <c r="E422" s="4" t="str">
        <f>IFERROR(__xludf.DUMMYFUNCTION("""COMPUTED_VALUE"""),"Perdido - Sem perfil LA / 3SCheckout / PDV próprio")</f>
        <v>Perdido - Sem perfil LA / 3SCheckout / PDV próprio</v>
      </c>
      <c r="F422" s="4" t="str">
        <f>IFERROR(__xludf.DUMMYFUNCTION("""COMPUTED_VALUE"""),"P")</f>
        <v>P</v>
      </c>
      <c r="G422" s="5">
        <f>IFERROR(__xludf.DUMMYFUNCTION("""COMPUTED_VALUE"""),46154.0)</f>
        <v>46154</v>
      </c>
      <c r="H422" s="4" t="str">
        <f>IFERROR(__xludf.DUMMYFUNCTION("""COMPUTED_VALUE"""),"sem perfil LA")</f>
        <v>sem perfil LA</v>
      </c>
      <c r="I422" s="4"/>
      <c r="J422" s="4"/>
      <c r="K422" s="6">
        <f>IFERROR(__xludf.DUMMYFUNCTION("""COMPUTED_VALUE"""),46057.0)</f>
        <v>46057</v>
      </c>
      <c r="L422" s="6">
        <f>IFERROR(__xludf.DUMMYFUNCTION("""COMPUTED_VALUE"""),46062.47708606481)</f>
        <v>46062.47709</v>
      </c>
      <c r="M422" s="6">
        <f>IFERROR(__xludf.DUMMYFUNCTION("""COMPUTED_VALUE"""),46107.62418265046)</f>
        <v>46107.62418</v>
      </c>
      <c r="N422" s="6">
        <f>IFERROR(__xludf.DUMMYFUNCTION("""COMPUTED_VALUE"""),46120.50696105324)</f>
        <v>46120.50696</v>
      </c>
      <c r="O422" s="4"/>
      <c r="P422" s="4"/>
      <c r="Q422" s="4"/>
      <c r="R422" s="6">
        <f>IFERROR(__xludf.DUMMYFUNCTION("""COMPUTED_VALUE"""),46154.43436142361)</f>
        <v>46154.43436</v>
      </c>
      <c r="S422" s="4"/>
      <c r="T422" s="4"/>
      <c r="U422" s="4"/>
      <c r="V422" s="4" t="str">
        <f>IFERROR(__xludf.DUMMYFUNCTION("""COMPUTED_VALUE"""),"Sem perfil LA")</f>
        <v>Sem perfil LA</v>
      </c>
      <c r="W422" s="4"/>
      <c r="X422" s="4"/>
      <c r="Y422" s="4"/>
      <c r="Z422" s="4"/>
      <c r="AA422" s="4">
        <f>IFERROR(__xludf.DUMMYFUNCTION("""COMPUTED_VALUE"""),1.0)</f>
        <v>1</v>
      </c>
      <c r="AB422" s="4" t="str">
        <f>IFERROR(__xludf.DUMMYFUNCTION("""COMPUTED_VALUE"""),"-")</f>
        <v>-</v>
      </c>
      <c r="AC422" s="4" t="str">
        <f>IFERROR(__xludf.DUMMYFUNCTION("""COMPUTED_VALUE"""),"-")</f>
        <v>-</v>
      </c>
      <c r="AD422" s="4"/>
      <c r="AE422" s="4"/>
      <c r="AF422" s="4"/>
      <c r="AG422" s="4"/>
      <c r="AH422" s="4"/>
      <c r="AI422" s="4"/>
      <c r="AJ422" s="4"/>
      <c r="AK422" s="4"/>
      <c r="AL422" s="4"/>
      <c r="AM422" s="4" t="str">
        <f>IFERROR(__xludf.DUMMYFUNCTION("""COMPUTED_VALUE"""),"FY26, FY27")</f>
        <v>FY26, FY27</v>
      </c>
      <c r="AN422" s="4"/>
      <c r="AO422" s="4">
        <f>IFERROR(__xludf.DUMMYFUNCTION("""COMPUTED_VALUE"""),61.0)</f>
        <v>61</v>
      </c>
      <c r="AP422" s="4" t="str">
        <f>IFERROR(__xludf.DUMMYFUNCTION("""COMPUTED_VALUE"""),"PR")</f>
        <v>PR</v>
      </c>
      <c r="AQ422" s="4" t="str">
        <f>IFERROR(__xludf.DUMMYFUNCTION("""COMPUTED_VALUE"""),"BRUNA MONTEZIN")</f>
        <v>BRUNA MONTEZIN</v>
      </c>
      <c r="AR422" s="4" t="str">
        <f>IFERROR(__xludf.DUMMYFUNCTION("""COMPUTED_VALUE"""),"ANE LUKAZINSKI")</f>
        <v>ANE LUKAZINSKI</v>
      </c>
      <c r="AS422" s="4" t="str">
        <f>IFERROR(__xludf.DUMMYFUNCTION("""COMPUTED_VALUE"""),"FABIO DONATO")</f>
        <v>FABIO DONATO</v>
      </c>
      <c r="AT422" s="4" t="str">
        <f>IFERROR(__xludf.DUMMYFUNCTION("""COMPUTED_VALUE"""),"MURILO NAGASHIMA")</f>
        <v>MURILO NAGASHIMA</v>
      </c>
      <c r="AU422" s="4" t="str">
        <f>IFERROR(__xludf.DUMMYFUNCTION("""COMPUTED_VALUE"""),"Lídia / Emerson")</f>
        <v>Lídia / Emerson</v>
      </c>
      <c r="AV422" s="4">
        <f>IFERROR(__xludf.DUMMYFUNCTION("""COMPUTED_VALUE"""),0.0)</f>
        <v>0</v>
      </c>
      <c r="AW422" s="4">
        <f>IFERROR(__xludf.DUMMYFUNCTION("""COMPUTED_VALUE"""),0.0)</f>
        <v>0</v>
      </c>
      <c r="AX422" s="4">
        <f>IFERROR(__xludf.DUMMYFUNCTION("""COMPUTED_VALUE"""),0.0)</f>
        <v>0</v>
      </c>
      <c r="AY422" s="4"/>
      <c r="AZ422" s="4" t="str">
        <f>IFERROR(__xludf.DUMMYFUNCTION("""COMPUTED_VALUE"""),"Lanches")</f>
        <v>Lanches</v>
      </c>
      <c r="BA422" s="4" t="str">
        <f>IFERROR(__xludf.DUMMYFUNCTION("""COMPUTED_VALUE"""),"")</f>
        <v/>
      </c>
      <c r="BB422" s="4" t="str">
        <f>IFERROR(__xludf.DUMMYFUNCTION("""COMPUTED_VALUE"""),"")</f>
        <v/>
      </c>
      <c r="BC422" s="4" t="str">
        <f>IFERROR(__xludf.DUMMYFUNCTION("""COMPUTED_VALUE"""),"")</f>
        <v/>
      </c>
      <c r="BD422" s="4" t="str">
        <f>IFERROR(__xludf.DUMMYFUNCTION("""COMPUTED_VALUE"""),"")</f>
        <v/>
      </c>
      <c r="BE422" s="4" t="str">
        <f>IFERROR(__xludf.DUMMYFUNCTION("""COMPUTED_VALUE"""),"")</f>
        <v/>
      </c>
      <c r="BF422" s="4" t="str">
        <f>IFERROR(__xludf.DUMMYFUNCTION("""COMPUTED_VALUE"""),"")</f>
        <v/>
      </c>
      <c r="BG422" s="4" t="str">
        <f>IFERROR(__xludf.DUMMYFUNCTION("""COMPUTED_VALUE"""),"")</f>
        <v/>
      </c>
      <c r="BH422" s="4" t="s">
        <v>66</v>
      </c>
      <c r="BI422" s="7">
        <v>1.0</v>
      </c>
    </row>
    <row r="423" hidden="1">
      <c r="A423" s="4" t="str">
        <f>IFERROR(__xludf.DUMMYFUNCTION("""COMPUTED_VALUE"""),"Nathan'S Famous Brasil")</f>
        <v>Nathan'S Famous Brasil</v>
      </c>
      <c r="B423" s="4" t="str">
        <f>IFERROR(__xludf.DUMMYFUNCTION("""COMPUTED_VALUE"""),"Emerson")</f>
        <v>Emerson</v>
      </c>
      <c r="C423" s="4" t="str">
        <f>IFERROR(__xludf.DUMMYFUNCTION("""COMPUTED_VALUE"""),"Emerson")</f>
        <v>Emerson</v>
      </c>
      <c r="D423" s="4" t="str">
        <f>IFERROR(__xludf.DUMMYFUNCTION("""COMPUTED_VALUE"""),"3. Apresentação")</f>
        <v>3. Apresentação</v>
      </c>
      <c r="E423" s="4"/>
      <c r="F423" s="4" t="str">
        <f>IFERROR(__xludf.DUMMYFUNCTION("""COMPUTED_VALUE"""),"P")</f>
        <v>P</v>
      </c>
      <c r="G423" s="4"/>
      <c r="H423" s="4"/>
      <c r="I423" s="4"/>
      <c r="J423" s="4"/>
      <c r="K423" s="6">
        <f>IFERROR(__xludf.DUMMYFUNCTION("""COMPUTED_VALUE"""),45899.0)</f>
        <v>45899</v>
      </c>
      <c r="L423" s="4"/>
      <c r="M423" s="4"/>
      <c r="N423" s="4"/>
      <c r="O423" s="4"/>
      <c r="P423" s="4"/>
      <c r="Q423" s="4"/>
      <c r="R423" s="4"/>
      <c r="S423" s="4"/>
      <c r="T423" s="4"/>
      <c r="U423" s="4"/>
      <c r="V423" s="4"/>
      <c r="W423" s="4"/>
      <c r="X423" s="4"/>
      <c r="Y423" s="4"/>
      <c r="Z423" s="4"/>
      <c r="AA423" s="4">
        <f>IFERROR(__xludf.DUMMYFUNCTION("""COMPUTED_VALUE"""),18.0)</f>
        <v>18</v>
      </c>
      <c r="AB423" s="4" t="str">
        <f>IFERROR(__xludf.DUMMYFUNCTION("""COMPUTED_VALUE"""),"NÃO")</f>
        <v>NÃO</v>
      </c>
      <c r="AC423" s="4" t="str">
        <f>IFERROR(__xludf.DUMMYFUNCTION("""COMPUTED_VALUE"""),"Não BP")</f>
        <v>Não BP</v>
      </c>
      <c r="AD423" s="4"/>
      <c r="AE423" s="4"/>
      <c r="AF423" s="4"/>
      <c r="AG423" s="4"/>
      <c r="AH423" s="4"/>
      <c r="AI423" s="4"/>
      <c r="AJ423" s="4"/>
      <c r="AK423" s="4"/>
      <c r="AL423" s="4"/>
      <c r="AM423" s="4" t="str">
        <f>IFERROR(__xludf.DUMMYFUNCTION("""COMPUTED_VALUE"""),"FY26, FY27")</f>
        <v>FY26, FY27</v>
      </c>
      <c r="AN423" s="4"/>
      <c r="AO423" s="4">
        <f>IFERROR(__xludf.DUMMYFUNCTION("""COMPUTED_VALUE"""),45553.0)</f>
        <v>45553</v>
      </c>
      <c r="AP423" s="4">
        <f>IFERROR(__xludf.DUMMYFUNCTION("""COMPUTED_VALUE"""),0.0)</f>
        <v>0</v>
      </c>
      <c r="AQ423" s="4">
        <f>IFERROR(__xludf.DUMMYFUNCTION("""COMPUTED_VALUE"""),0.0)</f>
        <v>0</v>
      </c>
      <c r="AR423" s="4">
        <f>IFERROR(__xludf.DUMMYFUNCTION("""COMPUTED_VALUE"""),0.0)</f>
        <v>0</v>
      </c>
      <c r="AS423" s="4">
        <f>IFERROR(__xludf.DUMMYFUNCTION("""COMPUTED_VALUE"""),0.0)</f>
        <v>0</v>
      </c>
      <c r="AT423" s="4">
        <f>IFERROR(__xludf.DUMMYFUNCTION("""COMPUTED_VALUE"""),0.0)</f>
        <v>0</v>
      </c>
      <c r="AU423" s="4" t="str">
        <f>IFERROR(__xludf.DUMMYFUNCTION("""COMPUTED_VALUE"""),"Emerson")</f>
        <v>Emerson</v>
      </c>
      <c r="AV423" s="4">
        <f>IFERROR(__xludf.DUMMYFUNCTION("""COMPUTED_VALUE"""),0.0)</f>
        <v>0</v>
      </c>
      <c r="AW423" s="4">
        <f>IFERROR(__xludf.DUMMYFUNCTION("""COMPUTED_VALUE"""),0.0)</f>
        <v>0</v>
      </c>
      <c r="AX423" s="4">
        <f>IFERROR(__xludf.DUMMYFUNCTION("""COMPUTED_VALUE"""),0.0)</f>
        <v>0</v>
      </c>
      <c r="AY423" s="4">
        <f>IFERROR(__xludf.DUMMYFUNCTION("""COMPUTED_VALUE"""),0.0)</f>
        <v>0</v>
      </c>
      <c r="AZ423" s="4" t="str">
        <f>IFERROR(__xludf.DUMMYFUNCTION("""COMPUTED_VALUE"""),"NA")</f>
        <v>NA</v>
      </c>
      <c r="BA423" s="4" t="str">
        <f>IFERROR(__xludf.DUMMYFUNCTION("""COMPUTED_VALUE"""),"Dado não disponível publicamente")</f>
        <v>Dado não disponível publicamente</v>
      </c>
      <c r="BB423" s="4" t="str">
        <f>IFERROR(__xludf.DUMMYFUNCTION("""COMPUTED_VALUE"""),"QSR/Fast Casual - Hot dog americano (lojas próprias + store-in-store AmPm + franquias)")</f>
        <v>QSR/Fast Casual - Hot dog americano (lojas próprias + store-in-store AmPm + franquias)</v>
      </c>
      <c r="BC423" s="4" t="str">
        <f>IFERROR(__xludf.DUMMYFUNCTION("""COMPUTED_VALUE"""),"Brasil - SP (maior concentração), BH, RJ; Expansão 2025-2026 para Belém e Porto Alegre")</f>
        <v>Brasil - SP (maior concentração), BH, RJ; Expansão 2025-2026 para Belém e Porto Alegre</v>
      </c>
      <c r="BD423" s="4" t="str">
        <f>IFERROR(__xludf.DUMMYFUNCTION("""COMPUTED_VALUE"""),"R$ 30 - R$ 55")</f>
        <v>R$ 30 - R$ 55</v>
      </c>
      <c r="BE423" s="4">
        <f>IFERROR(__xludf.DUMMYFUNCTION("""COMPUTED_VALUE"""),95.0)</f>
        <v>95</v>
      </c>
      <c r="BF423" s="4">
        <f>IFERROR(__xludf.DUMMYFUNCTION("""COMPUTED_VALUE"""),95.0)</f>
        <v>95</v>
      </c>
      <c r="BG423" s="4" t="str">
        <f>IFERROR(__xludf.DUMMYFUNCTION("""COMPUTED_VALUE"""),"Dado não identificado publicamente - Necessário Discovery")</f>
        <v>Dado não identificado publicamente - Necessário Discovery</v>
      </c>
      <c r="BH423" s="4" t="s">
        <v>63</v>
      </c>
      <c r="BI423" s="7" t="s">
        <v>63</v>
      </c>
    </row>
    <row r="424" hidden="1">
      <c r="A424" s="4" t="str">
        <f>IFERROR(__xludf.DUMMYFUNCTION("""COMPUTED_VALUE"""),"New Dog")</f>
        <v>New Dog</v>
      </c>
      <c r="B424" s="4" t="str">
        <f>IFERROR(__xludf.DUMMYFUNCTION("""COMPUTED_VALUE"""),"Lídia Esteves")</f>
        <v>Lídia Esteves</v>
      </c>
      <c r="C424" s="4" t="str">
        <f>IFERROR(__xludf.DUMMYFUNCTION("""COMPUTED_VALUE"""),"Gabriela Roma")</f>
        <v>Gabriela Roma</v>
      </c>
      <c r="D424" s="4" t="str">
        <f>IFERROR(__xludf.DUMMYFUNCTION("""COMPUTED_VALUE"""),"3. Apresentação")</f>
        <v>3. Apresentação</v>
      </c>
      <c r="E424" s="4" t="str">
        <f>IFERROR(__xludf.DUMMYFUNCTION("""COMPUTED_VALUE"""),"Comercial - Primeira reunião / Visita presencial agendada")</f>
        <v>Comercial - Primeira reunião / Visita presencial agendada</v>
      </c>
      <c r="F424" s="4" t="str">
        <f>IFERROR(__xludf.DUMMYFUNCTION("""COMPUTED_VALUE"""),"P")</f>
        <v>P</v>
      </c>
      <c r="G424" s="4"/>
      <c r="H424" s="4"/>
      <c r="I424" s="6">
        <f>IFERROR(__xludf.DUMMYFUNCTION("""COMPUTED_VALUE"""),46139.7259877662)</f>
        <v>46139.72599</v>
      </c>
      <c r="J424" s="6">
        <f>IFERROR(__xludf.DUMMYFUNCTION("""COMPUTED_VALUE"""),46139.72619418982)</f>
        <v>46139.72619</v>
      </c>
      <c r="K424" s="6">
        <f>IFERROR(__xludf.DUMMYFUNCTION("""COMPUTED_VALUE"""),46140.40386604167)</f>
        <v>46140.40387</v>
      </c>
      <c r="L424" s="4"/>
      <c r="M424" s="4"/>
      <c r="N424" s="4"/>
      <c r="O424" s="4"/>
      <c r="P424" s="4"/>
      <c r="Q424" s="4"/>
      <c r="R424" s="4"/>
      <c r="S424" s="4"/>
      <c r="T424" s="4"/>
      <c r="U424" s="4"/>
      <c r="V424" s="4"/>
      <c r="W424" s="4"/>
      <c r="X424" s="4"/>
      <c r="Y424" s="4"/>
      <c r="Z424" s="4"/>
      <c r="AA424" s="4">
        <f>IFERROR(__xludf.DUMMYFUNCTION("""COMPUTED_VALUE"""),2.0)</f>
        <v>2</v>
      </c>
      <c r="AB424" s="4" t="str">
        <f>IFERROR(__xludf.DUMMYFUNCTION("""COMPUTED_VALUE"""),"NÃO")</f>
        <v>NÃO</v>
      </c>
      <c r="AC424" s="4" t="str">
        <f>IFERROR(__xludf.DUMMYFUNCTION("""COMPUTED_VALUE"""),"Não BP")</f>
        <v>Não BP</v>
      </c>
      <c r="AD424" s="4"/>
      <c r="AE424" s="4"/>
      <c r="AF424" s="4"/>
      <c r="AG424" s="4"/>
      <c r="AH424" s="4"/>
      <c r="AI424" s="4"/>
      <c r="AJ424" s="4"/>
      <c r="AK424" s="4"/>
      <c r="AL424" s="4"/>
      <c r="AM424" s="4" t="str">
        <f>IFERROR(__xludf.DUMMYFUNCTION("""COMPUTED_VALUE"""),"FY26, FY27")</f>
        <v>FY26, FY27</v>
      </c>
      <c r="AN424" s="4"/>
      <c r="AO424" s="4">
        <f>IFERROR(__xludf.DUMMYFUNCTION("""COMPUTED_VALUE"""),45553.0)</f>
        <v>45553</v>
      </c>
      <c r="AP424" s="4" t="str">
        <f>IFERROR(__xludf.DUMMYFUNCTION("""COMPUTED_VALUE"""),"SP")</f>
        <v>SP</v>
      </c>
      <c r="AQ424" s="4" t="str">
        <f>IFERROR(__xludf.DUMMYFUNCTION("""COMPUTED_VALUE"""),"ISADORA GARCIA")</f>
        <v>ISADORA GARCIA</v>
      </c>
      <c r="AR424" s="4">
        <f>IFERROR(__xludf.DUMMYFUNCTION("""COMPUTED_VALUE"""),0.0)</f>
        <v>0</v>
      </c>
      <c r="AS424" s="4">
        <f>IFERROR(__xludf.DUMMYFUNCTION("""COMPUTED_VALUE"""),0.0)</f>
        <v>0</v>
      </c>
      <c r="AT424" s="4">
        <f>IFERROR(__xludf.DUMMYFUNCTION("""COMPUTED_VALUE"""),0.0)</f>
        <v>0</v>
      </c>
      <c r="AU424" s="4" t="str">
        <f>IFERROR(__xludf.DUMMYFUNCTION("""COMPUTED_VALUE"""),"Emerson")</f>
        <v>Emerson</v>
      </c>
      <c r="AV424" s="4">
        <f>IFERROR(__xludf.DUMMYFUNCTION("""COMPUTED_VALUE"""),0.0)</f>
        <v>0</v>
      </c>
      <c r="AW424" s="4">
        <f>IFERROR(__xludf.DUMMYFUNCTION("""COMPUTED_VALUE"""),0.0)</f>
        <v>0</v>
      </c>
      <c r="AX424" s="4">
        <f>IFERROR(__xludf.DUMMYFUNCTION("""COMPUTED_VALUE"""),0.0)</f>
        <v>0</v>
      </c>
      <c r="AY424" s="4"/>
      <c r="AZ424" s="4" t="str">
        <f>IFERROR(__xludf.DUMMYFUNCTION("""COMPUTED_VALUE"""),"Lanches")</f>
        <v>Lanches</v>
      </c>
      <c r="BA424" s="4" t="str">
        <f>IFERROR(__xludf.DUMMYFUNCTION("""COMPUTED_VALUE"""),"Dado não disponível publicamente")</f>
        <v>Dado não disponível publicamente</v>
      </c>
      <c r="BB424" s="12" t="str">
        <f>IFERROR(__xludf.DUMMYFUNCTION("""COMPUTED_VALUE"""),"Diner/Hamburgueria 24h")</f>
        <v>Diner/Hamburgueria 24h</v>
      </c>
      <c r="BC424" s="4" t="str">
        <f>IFERROR(__xludf.DUMMYFUNCTION("""COMPUTED_VALUE"""),"Brasil - São Paulo/SP (Itaim Bibi, única loja 24h)")</f>
        <v>Brasil - São Paulo/SP (Itaim Bibi, única loja 24h)</v>
      </c>
      <c r="BD424" s="4" t="str">
        <f>IFERROR(__xludf.DUMMYFUNCTION("""COMPUTED_VALUE"""),"R$ 45 - R$ 80")</f>
        <v>R$ 45 - R$ 80</v>
      </c>
      <c r="BE424" s="4">
        <f>IFERROR(__xludf.DUMMYFUNCTION("""COMPUTED_VALUE"""),40.0)</f>
        <v>40</v>
      </c>
      <c r="BF424" s="4">
        <f>IFERROR(__xludf.DUMMYFUNCTION("""COMPUTED_VALUE"""),55.0)</f>
        <v>55</v>
      </c>
      <c r="BG424" s="4" t="str">
        <f>IFERROR(__xludf.DUMMYFUNCTION("""COMPUTED_VALUE"""),"Dado não identificado publicamente - Necessário Discovery")</f>
        <v>Dado não identificado publicamente - Necessário Discovery</v>
      </c>
      <c r="BH424" s="4" t="s">
        <v>63</v>
      </c>
      <c r="BI424" s="7" t="s">
        <v>63</v>
      </c>
    </row>
    <row r="425" hidden="1">
      <c r="A425" s="4" t="str">
        <f>IFERROR(__xludf.DUMMYFUNCTION("""COMPUTED_VALUE"""),"O Acai")</f>
        <v>O Acai</v>
      </c>
      <c r="B425" s="4" t="str">
        <f>IFERROR(__xludf.DUMMYFUNCTION("""COMPUTED_VALUE"""),"Lídia Esteves")</f>
        <v>Lídia Esteves</v>
      </c>
      <c r="C425" s="4" t="str">
        <f>IFERROR(__xludf.DUMMYFUNCTION("""COMPUTED_VALUE"""),"Gabriela Roma")</f>
        <v>Gabriela Roma</v>
      </c>
      <c r="D425" s="4" t="str">
        <f>IFERROR(__xludf.DUMMYFUNCTION("""COMPUTED_VALUE"""),"0. Não Iniciado")</f>
        <v>0. Não Iniciado</v>
      </c>
      <c r="E425" s="4" t="str">
        <f>IFERROR(__xludf.DUMMYFUNCTION("""COMPUTED_VALUE"""),"Parceiro - Aguardando retorno / Conciliação agenda")</f>
        <v>Parceiro - Aguardando retorno / Conciliação agenda</v>
      </c>
      <c r="F425" s="4" t="str">
        <f>IFERROR(__xludf.DUMMYFUNCTION("""COMPUTED_VALUE"""),"P")</f>
        <v>P</v>
      </c>
      <c r="G425" s="4"/>
      <c r="H425" s="22" t="str">
        <f>IFERROR(__xludf.DUMMYFUNCTION("""COMPUTED_VALUE"""),"estava programada para 17/3 cancelada a pedido do parceiro")</f>
        <v>estava programada para 17/3 cancelada a pedido do parceiro</v>
      </c>
      <c r="I425" s="4"/>
      <c r="J425" s="4"/>
      <c r="K425" s="4"/>
      <c r="L425" s="4"/>
      <c r="M425" s="4"/>
      <c r="N425" s="4"/>
      <c r="O425" s="4"/>
      <c r="P425" s="4"/>
      <c r="Q425" s="4"/>
      <c r="R425" s="4"/>
      <c r="S425" s="4"/>
      <c r="T425" s="4"/>
      <c r="U425" s="4"/>
      <c r="V425" s="4"/>
      <c r="W425" s="4"/>
      <c r="X425" s="4"/>
      <c r="Y425" s="4"/>
      <c r="Z425" s="4"/>
      <c r="AA425" s="4">
        <f>IFERROR(__xludf.DUMMYFUNCTION("""COMPUTED_VALUE"""),3.0)</f>
        <v>3</v>
      </c>
      <c r="AB425" s="4" t="str">
        <f>IFERROR(__xludf.DUMMYFUNCTION("""COMPUTED_VALUE"""),"-")</f>
        <v>-</v>
      </c>
      <c r="AC425" s="4" t="str">
        <f>IFERROR(__xludf.DUMMYFUNCTION("""COMPUTED_VALUE"""),"-")</f>
        <v>-</v>
      </c>
      <c r="AD425" s="4"/>
      <c r="AE425" s="4"/>
      <c r="AF425" s="4"/>
      <c r="AG425" s="4"/>
      <c r="AH425" s="4"/>
      <c r="AI425" s="4"/>
      <c r="AJ425" s="4"/>
      <c r="AK425" s="4"/>
      <c r="AL425" s="4"/>
      <c r="AM425" s="4" t="str">
        <f>IFERROR(__xludf.DUMMYFUNCTION("""COMPUTED_VALUE"""),"FY26, FY27")</f>
        <v>FY26, FY27</v>
      </c>
      <c r="AN425" s="4"/>
      <c r="AO425" s="4">
        <f>IFERROR(__xludf.DUMMYFUNCTION("""COMPUTED_VALUE"""),45553.0)</f>
        <v>45553</v>
      </c>
      <c r="AP425" s="4" t="str">
        <f>IFERROR(__xludf.DUMMYFUNCTION("""COMPUTED_VALUE"""),"SP")</f>
        <v>SP</v>
      </c>
      <c r="AQ425" s="4" t="str">
        <f>IFERROR(__xludf.DUMMYFUNCTION("""COMPUTED_VALUE"""),"CAMILA ARMOND")</f>
        <v>CAMILA ARMOND</v>
      </c>
      <c r="AR425" s="4" t="str">
        <f>IFERROR(__xludf.DUMMYFUNCTION("""COMPUTED_VALUE"""),"MATHEUS BUCHEB")</f>
        <v>MATHEUS BUCHEB</v>
      </c>
      <c r="AS425" s="4" t="str">
        <f>IFERROR(__xludf.DUMMYFUNCTION("""COMPUTED_VALUE"""),"ALAN HADDAD")</f>
        <v>ALAN HADDAD</v>
      </c>
      <c r="AT425" s="4" t="str">
        <f>IFERROR(__xludf.DUMMYFUNCTION("""COMPUTED_VALUE"""),"ISABELA DINIZ")</f>
        <v>ISABELA DINIZ</v>
      </c>
      <c r="AU425" s="4" t="str">
        <f>IFERROR(__xludf.DUMMYFUNCTION("""COMPUTED_VALUE"""),"Lídia / Emerson")</f>
        <v>Lídia / Emerson</v>
      </c>
      <c r="AV425" s="4">
        <f>IFERROR(__xludf.DUMMYFUNCTION("""COMPUTED_VALUE"""),0.0)</f>
        <v>0</v>
      </c>
      <c r="AW425" s="4">
        <f>IFERROR(__xludf.DUMMYFUNCTION("""COMPUTED_VALUE"""),0.0)</f>
        <v>0</v>
      </c>
      <c r="AX425" s="4">
        <f>IFERROR(__xludf.DUMMYFUNCTION("""COMPUTED_VALUE"""),0.0)</f>
        <v>0</v>
      </c>
      <c r="AY425" s="4" t="str">
        <f>IFERROR(__xludf.DUMMYFUNCTION("""COMPUTED_VALUE"""),"Yooga")</f>
        <v>Yooga</v>
      </c>
      <c r="AZ425" s="4" t="str">
        <f>IFERROR(__xludf.DUMMYFUNCTION("""COMPUTED_VALUE"""),"Saudável")</f>
        <v>Saudável</v>
      </c>
      <c r="BA425" s="4" t="str">
        <f>IFERROR(__xludf.DUMMYFUNCTION("""COMPUTED_VALUE"""),"")</f>
        <v/>
      </c>
      <c r="BB425" s="4" t="str">
        <f>IFERROR(__xludf.DUMMYFUNCTION("""COMPUTED_VALUE"""),"")</f>
        <v/>
      </c>
      <c r="BC425" s="4" t="str">
        <f>IFERROR(__xludf.DUMMYFUNCTION("""COMPUTED_VALUE"""),"")</f>
        <v/>
      </c>
      <c r="BD425" s="4" t="str">
        <f>IFERROR(__xludf.DUMMYFUNCTION("""COMPUTED_VALUE"""),"")</f>
        <v/>
      </c>
      <c r="BE425" s="4" t="str">
        <f>IFERROR(__xludf.DUMMYFUNCTION("""COMPUTED_VALUE"""),"")</f>
        <v/>
      </c>
      <c r="BF425" s="4" t="str">
        <f>IFERROR(__xludf.DUMMYFUNCTION("""COMPUTED_VALUE"""),"")</f>
        <v/>
      </c>
      <c r="BG425" s="4" t="str">
        <f>IFERROR(__xludf.DUMMYFUNCTION("""COMPUTED_VALUE"""),"")</f>
        <v/>
      </c>
      <c r="BH425" s="4" t="s">
        <v>64</v>
      </c>
      <c r="BI425" s="7">
        <v>1.0</v>
      </c>
    </row>
    <row r="426" hidden="1">
      <c r="A426" s="4" t="str">
        <f>IFERROR(__xludf.DUMMYFUNCTION("""COMPUTED_VALUE"""),"O Matuto Express")</f>
        <v>O Matuto Express</v>
      </c>
      <c r="B426" s="4" t="str">
        <f>IFERROR(__xludf.DUMMYFUNCTION("""COMPUTED_VALUE"""),"Emerson")</f>
        <v>Emerson</v>
      </c>
      <c r="C426" s="4" t="str">
        <f>IFERROR(__xludf.DUMMYFUNCTION("""COMPUTED_VALUE"""),"Emerson")</f>
        <v>Emerson</v>
      </c>
      <c r="D426" s="4" t="str">
        <f>IFERROR(__xludf.DUMMYFUNCTION("""COMPUTED_VALUE"""),"4. Diagnóstico")</f>
        <v>4. Diagnóstico</v>
      </c>
      <c r="E426" s="4"/>
      <c r="F426" s="4" t="str">
        <f>IFERROR(__xludf.DUMMYFUNCTION("""COMPUTED_VALUE"""),"P")</f>
        <v>P</v>
      </c>
      <c r="G426" s="4"/>
      <c r="H426" s="22" t="str">
        <f>IFERROR(__xludf.DUMMYFUNCTION("""COMPUTED_VALUE"""),"conta negociada pelo Emerson")</f>
        <v>conta negociada pelo Emerson</v>
      </c>
      <c r="I426" s="4"/>
      <c r="J426" s="6">
        <f>IFERROR(__xludf.DUMMYFUNCTION("""COMPUTED_VALUE"""),46107.62434289352)</f>
        <v>46107.62434</v>
      </c>
      <c r="K426" s="4"/>
      <c r="L426" s="4"/>
      <c r="M426" s="4"/>
      <c r="N426" s="4"/>
      <c r="O426" s="4"/>
      <c r="P426" s="4"/>
      <c r="Q426" s="4"/>
      <c r="R426" s="4"/>
      <c r="S426" s="4"/>
      <c r="T426" s="4"/>
      <c r="U426" s="4"/>
      <c r="V426" s="4"/>
      <c r="W426" s="4"/>
      <c r="X426" s="4"/>
      <c r="Y426" s="4"/>
      <c r="Z426" s="4"/>
      <c r="AA426" s="4">
        <f>IFERROR(__xludf.DUMMYFUNCTION("""COMPUTED_VALUE"""),23.0)</f>
        <v>23</v>
      </c>
      <c r="AB426" s="4" t="str">
        <f>IFERROR(__xludf.DUMMYFUNCTION("""COMPUTED_VALUE"""),"-")</f>
        <v>-</v>
      </c>
      <c r="AC426" s="4" t="str">
        <f>IFERROR(__xludf.DUMMYFUNCTION("""COMPUTED_VALUE"""),"-")</f>
        <v>-</v>
      </c>
      <c r="AD426" s="4"/>
      <c r="AE426" s="4"/>
      <c r="AF426" s="4"/>
      <c r="AG426" s="4"/>
      <c r="AH426" s="4"/>
      <c r="AI426" s="4"/>
      <c r="AJ426" s="4"/>
      <c r="AK426" s="4"/>
      <c r="AL426" s="4"/>
      <c r="AM426" s="4" t="str">
        <f>IFERROR(__xludf.DUMMYFUNCTION("""COMPUTED_VALUE"""),"FY26, FY27")</f>
        <v>FY26, FY27</v>
      </c>
      <c r="AN426" s="4"/>
      <c r="AO426" s="4">
        <f>IFERROR(__xludf.DUMMYFUNCTION("""COMPUTED_VALUE"""),45553.0)</f>
        <v>45553</v>
      </c>
      <c r="AP426" s="4" t="str">
        <f>IFERROR(__xludf.DUMMYFUNCTION("""COMPUTED_VALUE"""),"SP")</f>
        <v>SP</v>
      </c>
      <c r="AQ426" s="4" t="str">
        <f>IFERROR(__xludf.DUMMYFUNCTION("""COMPUTED_VALUE"""),"CAMILA ARMOND")</f>
        <v>CAMILA ARMOND</v>
      </c>
      <c r="AR426" s="4" t="str">
        <f>IFERROR(__xludf.DUMMYFUNCTION("""COMPUTED_VALUE"""),"DEBORA VALENTIM")</f>
        <v>DEBORA VALENTIM</v>
      </c>
      <c r="AS426" s="4" t="str">
        <f>IFERROR(__xludf.DUMMYFUNCTION("""COMPUTED_VALUE"""),"ALAN HADDAD")</f>
        <v>ALAN HADDAD</v>
      </c>
      <c r="AT426" s="4" t="str">
        <f>IFERROR(__xludf.DUMMYFUNCTION("""COMPUTED_VALUE"""),"ISABELA DINIZ")</f>
        <v>ISABELA DINIZ</v>
      </c>
      <c r="AU426" s="4" t="str">
        <f>IFERROR(__xludf.DUMMYFUNCTION("""COMPUTED_VALUE"""),"Lídia / Emerson")</f>
        <v>Lídia / Emerson</v>
      </c>
      <c r="AV426" s="4">
        <f>IFERROR(__xludf.DUMMYFUNCTION("""COMPUTED_VALUE"""),0.0)</f>
        <v>0</v>
      </c>
      <c r="AW426" s="4">
        <f>IFERROR(__xludf.DUMMYFUNCTION("""COMPUTED_VALUE"""),0.0)</f>
        <v>0</v>
      </c>
      <c r="AX426" s="4">
        <f>IFERROR(__xludf.DUMMYFUNCTION("""COMPUTED_VALUE"""),0.0)</f>
        <v>0</v>
      </c>
      <c r="AY426" s="4"/>
      <c r="AZ426" s="4" t="str">
        <f>IFERROR(__xludf.DUMMYFUNCTION("""COMPUTED_VALUE"""),"Brasileira")</f>
        <v>Brasileira</v>
      </c>
      <c r="BA426" s="4" t="str">
        <f>IFERROR(__xludf.DUMMYFUNCTION("""COMPUTED_VALUE"""),"Dado não disponível publicamente")</f>
        <v>Dado não disponível publicamente</v>
      </c>
      <c r="BB426" s="4" t="str">
        <f>IFERROR(__xludf.DUMMYFUNCTION("""COMPUTED_VALUE"""),"Fast Casual - Churrasco nordestino em shoppings")</f>
        <v>Fast Casual - Churrasco nordestino em shoppings</v>
      </c>
      <c r="BC426" s="4" t="str">
        <f>IFERROR(__xludf.DUMMYFUNCTION("""COMPUTED_VALUE"""),"Brasil - SP (13 unidades físicas em shoppings: Campinas, Jundiaí, Guarulhos, Barueri, Indaiatuba + delivery Campinas)")</f>
        <v>Brasil - SP (13 unidades físicas em shoppings: Campinas, Jundiaí, Guarulhos, Barueri, Indaiatuba + delivery Campinas)</v>
      </c>
      <c r="BD426" s="4" t="str">
        <f>IFERROR(__xludf.DUMMYFUNCTION("""COMPUTED_VALUE"""),"R$ 80 - R$ 180")</f>
        <v>R$ 80 - R$ 180</v>
      </c>
      <c r="BE426" s="4">
        <f>IFERROR(__xludf.DUMMYFUNCTION("""COMPUTED_VALUE"""),70.0)</f>
        <v>70</v>
      </c>
      <c r="BF426" s="4">
        <f>IFERROR(__xludf.DUMMYFUNCTION("""COMPUTED_VALUE"""),85.0)</f>
        <v>85</v>
      </c>
      <c r="BG426" s="4" t="str">
        <f>IFERROR(__xludf.DUMMYFUNCTION("""COMPUTED_VALUE"""),"Dado não identificado publicamente - Necessário Discovery")</f>
        <v>Dado não identificado publicamente - Necessário Discovery</v>
      </c>
      <c r="BH426" s="4" t="s">
        <v>74</v>
      </c>
      <c r="BI426" s="7">
        <v>1.0</v>
      </c>
    </row>
    <row r="427">
      <c r="A427" s="4" t="str">
        <f>IFERROR(__xludf.DUMMYFUNCTION("""COMPUTED_VALUE"""),"Oakberry")</f>
        <v>Oakberry</v>
      </c>
      <c r="B427" s="4" t="str">
        <f>IFERROR(__xludf.DUMMYFUNCTION("""COMPUTED_VALUE"""),"Leonardo Roso")</f>
        <v>Leonardo Roso</v>
      </c>
      <c r="C427" s="4" t="str">
        <f>IFERROR(__xludf.DUMMYFUNCTION("""COMPUTED_VALUE"""),"Leonardo Roso")</f>
        <v>Leonardo Roso</v>
      </c>
      <c r="D427" s="4" t="str">
        <f>IFERROR(__xludf.DUMMYFUNCTION("""COMPUTED_VALUE"""),"11. Stand by")</f>
        <v>11. Stand by</v>
      </c>
      <c r="E427" s="4" t="str">
        <f>IFERROR(__xludf.DUMMYFUNCTION("""COMPUTED_VALUE"""),"Perdido -  Momento do restaurante não favorável")</f>
        <v>Perdido -  Momento do restaurante não favorável</v>
      </c>
      <c r="F427" s="4" t="str">
        <f>IFERROR(__xludf.DUMMYFUNCTION("""COMPUTED_VALUE"""),"G")</f>
        <v>G</v>
      </c>
      <c r="G427" s="5">
        <f>IFERROR(__xludf.DUMMYFUNCTION("""COMPUTED_VALUE"""),46118.0)</f>
        <v>46118</v>
      </c>
      <c r="H427" s="4" t="str">
        <f>IFERROR(__xludf.DUMMYFUNCTION("""COMPUTED_VALUE"""),"Diretor informou que estão caminhando bem com a CISS, não temos abertura por hora, nova tentativa em Abril")</f>
        <v>Diretor informou que estão caminhando bem com a CISS, não temos abertura por hora, nova tentativa em Abril</v>
      </c>
      <c r="I427" s="4"/>
      <c r="J427" s="4"/>
      <c r="K427" s="6">
        <f>IFERROR(__xludf.DUMMYFUNCTION("""COMPUTED_VALUE"""),45807.0)</f>
        <v>45807</v>
      </c>
      <c r="L427" s="4"/>
      <c r="M427" s="4"/>
      <c r="N427" s="4"/>
      <c r="O427" s="4"/>
      <c r="P427" s="4"/>
      <c r="Q427" s="4"/>
      <c r="R427" s="4"/>
      <c r="S427" s="4"/>
      <c r="T427" s="4"/>
      <c r="U427" s="4"/>
      <c r="V427" s="4" t="str">
        <f>IFERROR(__xludf.DUMMYFUNCTION("""COMPUTED_VALUE"""),"Sem interesse em mudar de PDV")</f>
        <v>Sem interesse em mudar de PDV</v>
      </c>
      <c r="W427" s="4"/>
      <c r="X427" s="4"/>
      <c r="Y427" s="4"/>
      <c r="Z427" s="4"/>
      <c r="AA427" s="4">
        <f>IFERROR(__xludf.DUMMYFUNCTION("""COMPUTED_VALUE"""),620.0)</f>
        <v>620</v>
      </c>
      <c r="AB427" s="4" t="str">
        <f>IFERROR(__xludf.DUMMYFUNCTION("""COMPUTED_VALUE"""),"KA")</f>
        <v>KA</v>
      </c>
      <c r="AC427" s="4" t="str">
        <f>IFERROR(__xludf.DUMMYFUNCTION("""COMPUTED_VALUE"""),"BP")</f>
        <v>BP</v>
      </c>
      <c r="AD427" s="4"/>
      <c r="AE427" s="4"/>
      <c r="AF427" s="4"/>
      <c r="AG427" s="4"/>
      <c r="AH427" s="4"/>
      <c r="AI427" s="4"/>
      <c r="AJ427" s="4"/>
      <c r="AK427" s="4"/>
      <c r="AL427" s="4"/>
      <c r="AM427" s="4" t="str">
        <f>IFERROR(__xludf.DUMMYFUNCTION("""COMPUTED_VALUE"""),"FY26, FY27")</f>
        <v>FY26, FY27</v>
      </c>
      <c r="AN427" s="4"/>
      <c r="AO427" s="4">
        <f>IFERROR(__xludf.DUMMYFUNCTION("""COMPUTED_VALUE"""),97.0)</f>
        <v>97</v>
      </c>
      <c r="AP427" s="4" t="str">
        <f>IFERROR(__xludf.DUMMYFUNCTION("""COMPUTED_VALUE"""),"AM")</f>
        <v>AM</v>
      </c>
      <c r="AQ427" s="4" t="str">
        <f>IFERROR(__xludf.DUMMYFUNCTION("""COMPUTED_VALUE"""),"ANA OBANDO")</f>
        <v>ANA OBANDO</v>
      </c>
      <c r="AR427" s="4" t="str">
        <f>IFERROR(__xludf.DUMMYFUNCTION("""COMPUTED_VALUE"""),"ANTONIO GEHRING")</f>
        <v>ANTONIO GEHRING</v>
      </c>
      <c r="AS427" s="4" t="str">
        <f>IFERROR(__xludf.DUMMYFUNCTION("""COMPUTED_VALUE"""),"ISIS MOSTAFA")</f>
        <v>ISIS MOSTAFA</v>
      </c>
      <c r="AT427" s="4" t="str">
        <f>IFERROR(__xludf.DUMMYFUNCTION("""COMPUTED_VALUE"""),"ANA OBANDO")</f>
        <v>ANA OBANDO</v>
      </c>
      <c r="AU427" s="4" t="str">
        <f>IFERROR(__xludf.DUMMYFUNCTION("""COMPUTED_VALUE"""),"Leonardo Roso")</f>
        <v>Leonardo Roso</v>
      </c>
      <c r="AV427" s="4">
        <f>IFERROR(__xludf.DUMMYFUNCTION("""COMPUTED_VALUE"""),0.0)</f>
        <v>0</v>
      </c>
      <c r="AW427" s="4">
        <f>IFERROR(__xludf.DUMMYFUNCTION("""COMPUTED_VALUE"""),0.0)</f>
        <v>0</v>
      </c>
      <c r="AX427" s="4">
        <f>IFERROR(__xludf.DUMMYFUNCTION("""COMPUTED_VALUE"""),0.0)</f>
        <v>0</v>
      </c>
      <c r="AY427" s="4"/>
      <c r="AZ427" s="4" t="str">
        <f>IFERROR(__xludf.DUMMYFUNCTION("""COMPUTED_VALUE"""),"Açaí")</f>
        <v>Açaí</v>
      </c>
      <c r="BA427" s="4" t="str">
        <f>IFERROR(__xludf.DUMMYFUNCTION("""COMPUTED_VALUE"""),"R$ 20-35")</f>
        <v>R$ 20-35</v>
      </c>
      <c r="BB427" s="4" t="str">
        <f>IFERROR(__xludf.DUMMYFUNCTION("""COMPUTED_VALUE"""),"QSR - Açaí Bowl")</f>
        <v>QSR - Açaí Bowl</v>
      </c>
      <c r="BC427" s="4" t="str">
        <f>IFERROR(__xludf.DUMMYFUNCTION("""COMPUTED_VALUE"""),"Nacional (560+ lojas)")</f>
        <v>Nacional (560+ lojas)</v>
      </c>
      <c r="BD427" s="4" t="str">
        <f>IFERROR(__xludf.DUMMYFUNCTION("""COMPUTED_VALUE"""),"R$ 600M-1B projetado 2025-26 global (Brasil ~R$ 180-300M)")</f>
        <v>R$ 600M-1B projetado 2025-26 global (Brasil ~R$ 180-300M)</v>
      </c>
      <c r="BE427" s="4">
        <f>IFERROR(__xludf.DUMMYFUNCTION("""COMPUTED_VALUE"""),92.0)</f>
        <v>92</v>
      </c>
      <c r="BF427" s="4">
        <f>IFERROR(__xludf.DUMMYFUNCTION("""COMPUTED_VALUE"""),0.95)</f>
        <v>0.95</v>
      </c>
      <c r="BG427" s="4" t="str">
        <f>IFERROR(__xludf.DUMMYFUNCTION("""COMPUTED_VALUE"""),"PDV não identificado - ALTÍSSIMA ADERÊNCIA: Expansão acelerada (meta 1.000 lojas), necessita padronização, gestão multi-loja, integração delivery. 3S E-DEPLOY: cloud, backoffice, suporte franquias. ROI rápido")</f>
        <v>PDV não identificado - ALTÍSSIMA ADERÊNCIA: Expansão acelerada (meta 1.000 lojas), necessita padronização, gestão multi-loja, integração delivery. 3S E-DEPLOY: cloud, backoffice, suporte franquias. ROI rápido</v>
      </c>
      <c r="BH427" s="4" t="s">
        <v>120</v>
      </c>
      <c r="BI427" s="7">
        <v>0.7905027932960894</v>
      </c>
    </row>
    <row r="428" hidden="1">
      <c r="A428" s="4" t="str">
        <f>IFERROR(__xludf.DUMMYFUNCTION("""COMPUTED_VALUE"""),"Office Gourmet")</f>
        <v>Office Gourmet</v>
      </c>
      <c r="B428" s="4" t="str">
        <f>IFERROR(__xludf.DUMMYFUNCTION("""COMPUTED_VALUE"""),"Lídia Esteves")</f>
        <v>Lídia Esteves</v>
      </c>
      <c r="C428" s="4" t="str">
        <f>IFERROR(__xludf.DUMMYFUNCTION("""COMPUTED_VALUE"""),"Gabriela Roma")</f>
        <v>Gabriela Roma</v>
      </c>
      <c r="D428" s="4" t="str">
        <f>IFERROR(__xludf.DUMMYFUNCTION("""COMPUTED_VALUE"""),"0. Não Iniciado")</f>
        <v>0. Não Iniciado</v>
      </c>
      <c r="E428" s="4" t="str">
        <f>IFERROR(__xludf.DUMMYFUNCTION("""COMPUTED_VALUE"""),"Delivery - Momento inadequado de abordagem (ex. 99)")</f>
        <v>Delivery - Momento inadequado de abordagem (ex. 99)</v>
      </c>
      <c r="F428" s="4" t="str">
        <f>IFERROR(__xludf.DUMMYFUNCTION("""COMPUTED_VALUE"""),"P")</f>
        <v>P</v>
      </c>
      <c r="G428" s="5">
        <f>IFERROR(__xludf.DUMMYFUNCTION("""COMPUTED_VALUE"""),46076.0)</f>
        <v>46076</v>
      </c>
      <c r="H428" s="4" t="str">
        <f>IFERROR(__xludf.DUMMYFUNCTION("""COMPUTED_VALUE"""),"Falei com KA Raissa, informou que não é um bom momento, mas quando conseguir alguma reunião me sinalizaria.")</f>
        <v>Falei com KA Raissa, informou que não é um bom momento, mas quando conseguir alguma reunião me sinalizaria.</v>
      </c>
      <c r="I428" s="4"/>
      <c r="J428" s="4"/>
      <c r="K428" s="4"/>
      <c r="L428" s="4"/>
      <c r="M428" s="4"/>
      <c r="N428" s="4"/>
      <c r="O428" s="4"/>
      <c r="P428" s="4"/>
      <c r="Q428" s="4"/>
      <c r="R428" s="4"/>
      <c r="S428" s="4"/>
      <c r="T428" s="4"/>
      <c r="U428" s="4"/>
      <c r="V428" s="4"/>
      <c r="W428" s="4"/>
      <c r="X428" s="4"/>
      <c r="Y428" s="4"/>
      <c r="Z428" s="4"/>
      <c r="AA428" s="4">
        <f>IFERROR(__xludf.DUMMYFUNCTION("""COMPUTED_VALUE"""),18.0)</f>
        <v>18</v>
      </c>
      <c r="AB428" s="4" t="str">
        <f>IFERROR(__xludf.DUMMYFUNCTION("""COMPUTED_VALUE"""),"NÃO")</f>
        <v>NÃO</v>
      </c>
      <c r="AC428" s="4" t="str">
        <f>IFERROR(__xludf.DUMMYFUNCTION("""COMPUTED_VALUE"""),"Não BP")</f>
        <v>Não BP</v>
      </c>
      <c r="AD428" s="4"/>
      <c r="AE428" s="4"/>
      <c r="AF428" s="4"/>
      <c r="AG428" s="4"/>
      <c r="AH428" s="4"/>
      <c r="AI428" s="4"/>
      <c r="AJ428" s="4"/>
      <c r="AK428" s="4"/>
      <c r="AL428" s="4"/>
      <c r="AM428" s="4" t="str">
        <f>IFERROR(__xludf.DUMMYFUNCTION("""COMPUTED_VALUE"""),"FY26, FY27")</f>
        <v>FY26, FY27</v>
      </c>
      <c r="AN428" s="4" t="str">
        <f>IFERROR(__xludf.DUMMYFUNCTION("""COMPUTED_VALUE"""),"Comer Fora")</f>
        <v>Comer Fora</v>
      </c>
      <c r="AO428" s="4">
        <f>IFERROR(__xludf.DUMMYFUNCTION("""COMPUTED_VALUE"""),140.0)</f>
        <v>140</v>
      </c>
      <c r="AP428" s="4" t="str">
        <f>IFERROR(__xludf.DUMMYFUNCTION("""COMPUTED_VALUE"""),"RJ")</f>
        <v>RJ</v>
      </c>
      <c r="AQ428" s="4" t="str">
        <f>IFERROR(__xludf.DUMMYFUNCTION("""COMPUTED_VALUE"""),"JULIO MESQUITA")</f>
        <v>JULIO MESQUITA</v>
      </c>
      <c r="AR428" s="4" t="str">
        <f>IFERROR(__xludf.DUMMYFUNCTION("""COMPUTED_VALUE"""),"RAISSA DOMINGUES")</f>
        <v>RAISSA DOMINGUES</v>
      </c>
      <c r="AS428" s="4" t="str">
        <f>IFERROR(__xludf.DUMMYFUNCTION("""COMPUTED_VALUE"""),"NATHALIE MERTENS")</f>
        <v>NATHALIE MERTENS</v>
      </c>
      <c r="AT428" s="4" t="str">
        <f>IFERROR(__xludf.DUMMYFUNCTION("""COMPUTED_VALUE"""),"NATALIA COUTINHO")</f>
        <v>NATALIA COUTINHO</v>
      </c>
      <c r="AU428" s="4" t="str">
        <f>IFERROR(__xludf.DUMMYFUNCTION("""COMPUTED_VALUE"""),"Iza")</f>
        <v>Iza</v>
      </c>
      <c r="AV428" s="4" t="str">
        <f>IFERROR(__xludf.DUMMYFUNCTION("""COMPUTED_VALUE"""),"Comer Fora-")</f>
        <v>Comer Fora-</v>
      </c>
      <c r="AW428" s="20" t="str">
        <f>IFERROR(__xludf.DUMMYFUNCTION("""COMPUTED_VALUE"""),"P e M - pipe")</f>
        <v>P e M - pipe</v>
      </c>
      <c r="AX428" s="4"/>
      <c r="AY428" s="4"/>
      <c r="AZ428" s="4" t="str">
        <f>IFERROR(__xludf.DUMMYFUNCTION("""COMPUTED_VALUE"""),"Brasileira")</f>
        <v>Brasileira</v>
      </c>
      <c r="BA428" s="4" t="str">
        <f>IFERROR(__xludf.DUMMYFUNCTION("""COMPUTED_VALUE"""),"Dado não disponível publicamente")</f>
        <v>Dado não disponível publicamente</v>
      </c>
      <c r="BB428" s="4" t="str">
        <f>IFERROR(__xludf.DUMMYFUNCTION("""COMPUTED_VALUE"""),"Fast Food/Fast Casual - Pratos executivos, sanduíches, batata recheada em shoppings")</f>
        <v>Fast Food/Fast Casual - Pratos executivos, sanduíches, batata recheada em shoppings</v>
      </c>
      <c r="BC428" s="4" t="str">
        <f>IFERROR(__xludf.DUMMYFUNCTION("""COMPUTED_VALUE"""),"Brasil - Rio de Janeiro/RJ (9-10 unidades em shoppings da Grande Rio)")</f>
        <v>Brasil - Rio de Janeiro/RJ (9-10 unidades em shoppings da Grande Rio)</v>
      </c>
      <c r="BD428" s="4" t="str">
        <f>IFERROR(__xludf.DUMMYFUNCTION("""COMPUTED_VALUE"""),"R$ 50 - R$ 100")</f>
        <v>R$ 50 - R$ 100</v>
      </c>
      <c r="BE428" s="4">
        <f>IFERROR(__xludf.DUMMYFUNCTION("""COMPUTED_VALUE"""),55.0)</f>
        <v>55</v>
      </c>
      <c r="BF428" s="4">
        <f>IFERROR(__xludf.DUMMYFUNCTION("""COMPUTED_VALUE"""),80.0)</f>
        <v>80</v>
      </c>
      <c r="BG428" s="4" t="str">
        <f>IFERROR(__xludf.DUMMYFUNCTION("""COMPUTED_VALUE"""),"Dado não identificado publicamente - Necessário Discovery")</f>
        <v>Dado não identificado publicamente - Necessário Discovery</v>
      </c>
      <c r="BH428" s="4" t="s">
        <v>63</v>
      </c>
      <c r="BI428" s="7" t="s">
        <v>63</v>
      </c>
    </row>
    <row r="429">
      <c r="A429" s="4" t="str">
        <f>IFERROR(__xludf.DUMMYFUNCTION("""COMPUTED_VALUE"""),"Oggi Sorvetes")</f>
        <v>Oggi Sorvetes</v>
      </c>
      <c r="B429" s="4" t="str">
        <f>IFERROR(__xludf.DUMMYFUNCTION("""COMPUTED_VALUE"""),"Leonardo Roso")</f>
        <v>Leonardo Roso</v>
      </c>
      <c r="C429" s="4" t="str">
        <f>IFERROR(__xludf.DUMMYFUNCTION("""COMPUTED_VALUE"""),"Leonardo Roso")</f>
        <v>Leonardo Roso</v>
      </c>
      <c r="D429" s="4" t="str">
        <f>IFERROR(__xludf.DUMMYFUNCTION("""COMPUTED_VALUE"""),"11. Stand by")</f>
        <v>11. Stand by</v>
      </c>
      <c r="E429" s="4" t="str">
        <f>IFERROR(__xludf.DUMMYFUNCTION("""COMPUTED_VALUE"""),"Comercial - Tentativa não iniciada")</f>
        <v>Comercial - Tentativa não iniciada</v>
      </c>
      <c r="F429" s="4" t="str">
        <f>IFERROR(__xludf.DUMMYFUNCTION("""COMPUTED_VALUE"""),"G")</f>
        <v>G</v>
      </c>
      <c r="G429" s="5">
        <f>IFERROR(__xludf.DUMMYFUNCTION("""COMPUTED_VALUE"""),46118.0)</f>
        <v>46118</v>
      </c>
      <c r="H429" s="4" t="str">
        <f>IFERROR(__xludf.DUMMYFUNCTION("""COMPUTED_VALUE"""),"Aguardando contato Samuca, abordagem 3S + Totem + Comer Fora")</f>
        <v>Aguardando contato Samuca, abordagem 3S + Totem + Comer Fora</v>
      </c>
      <c r="I429" s="4"/>
      <c r="J429" s="4"/>
      <c r="K429" s="4"/>
      <c r="L429" s="4"/>
      <c r="M429" s="4"/>
      <c r="N429" s="4"/>
      <c r="O429" s="4"/>
      <c r="P429" s="4"/>
      <c r="Q429" s="4"/>
      <c r="R429" s="4"/>
      <c r="S429" s="4"/>
      <c r="T429" s="4"/>
      <c r="U429" s="4"/>
      <c r="V429" s="4" t="str">
        <f>IFERROR(__xludf.DUMMYFUNCTION("""COMPUTED_VALUE"""),"Outros")</f>
        <v>Outros</v>
      </c>
      <c r="W429" s="4"/>
      <c r="X429" s="4"/>
      <c r="Y429" s="4"/>
      <c r="Z429" s="4"/>
      <c r="AA429" s="4">
        <f>IFERROR(__xludf.DUMMYFUNCTION("""COMPUTED_VALUE"""),948.0)</f>
        <v>948</v>
      </c>
      <c r="AB429" s="4" t="str">
        <f>IFERROR(__xludf.DUMMYFUNCTION("""COMPUTED_VALUE"""),"NÃO")</f>
        <v>NÃO</v>
      </c>
      <c r="AC429" s="4" t="str">
        <f>IFERROR(__xludf.DUMMYFUNCTION("""COMPUTED_VALUE"""),"BP")</f>
        <v>BP</v>
      </c>
      <c r="AD429" s="4"/>
      <c r="AE429" s="4"/>
      <c r="AF429" s="4"/>
      <c r="AG429" s="4"/>
      <c r="AH429" s="4"/>
      <c r="AI429" s="4"/>
      <c r="AJ429" s="4"/>
      <c r="AK429" s="4"/>
      <c r="AL429" s="4"/>
      <c r="AM429" s="4" t="str">
        <f>IFERROR(__xludf.DUMMYFUNCTION("""COMPUTED_VALUE"""),"FY26, FY27")</f>
        <v>FY26, FY27</v>
      </c>
      <c r="AN429" s="4"/>
      <c r="AO429" s="4">
        <f>IFERROR(__xludf.DUMMYFUNCTION("""COMPUTED_VALUE"""),97.0)</f>
        <v>97</v>
      </c>
      <c r="AP429" s="4" t="str">
        <f>IFERROR(__xludf.DUMMYFUNCTION("""COMPUTED_VALUE"""),"SP")</f>
        <v>SP</v>
      </c>
      <c r="AQ429" s="4" t="str">
        <f>IFERROR(__xludf.DUMMYFUNCTION("""COMPUTED_VALUE"""),"RAIZA CARDOSO")</f>
        <v>RAIZA CARDOSO</v>
      </c>
      <c r="AR429" s="4" t="str">
        <f>IFERROR(__xludf.DUMMYFUNCTION("""COMPUTED_VALUE"""),"CAMILLA DIAS")</f>
        <v>CAMILLA DIAS</v>
      </c>
      <c r="AS429" s="4" t="str">
        <f>IFERROR(__xludf.DUMMYFUNCTION("""COMPUTED_VALUE"""),"VINICIUS MARTINS")</f>
        <v>VINICIUS MARTINS</v>
      </c>
      <c r="AT429" s="4" t="str">
        <f>IFERROR(__xludf.DUMMYFUNCTION("""COMPUTED_VALUE"""),"RAIZA CARDOSO")</f>
        <v>RAIZA CARDOSO</v>
      </c>
      <c r="AU429" s="4" t="str">
        <f>IFERROR(__xludf.DUMMYFUNCTION("""COMPUTED_VALUE"""),"Michel")</f>
        <v>Michel</v>
      </c>
      <c r="AV429" s="4">
        <f>IFERROR(__xludf.DUMMYFUNCTION("""COMPUTED_VALUE"""),0.0)</f>
        <v>0</v>
      </c>
      <c r="AW429" s="4">
        <f>IFERROR(__xludf.DUMMYFUNCTION("""COMPUTED_VALUE"""),0.0)</f>
        <v>0</v>
      </c>
      <c r="AX429" s="4">
        <f>IFERROR(__xludf.DUMMYFUNCTION("""COMPUTED_VALUE"""),0.0)</f>
        <v>0</v>
      </c>
      <c r="AY429" s="4"/>
      <c r="AZ429" s="4" t="str">
        <f>IFERROR(__xludf.DUMMYFUNCTION("""COMPUTED_VALUE"""),"Sorvetes")</f>
        <v>Sorvetes</v>
      </c>
      <c r="BA429" s="4" t="str">
        <f>IFERROR(__xludf.DUMMYFUNCTION("""COMPUTED_VALUE"""),"Dado não disponível publicamente - Rede com 1.312 unidades")</f>
        <v>Dado não disponível publicamente - Rede com 1.312 unidades</v>
      </c>
      <c r="BB429" s="4" t="str">
        <f>IFERROR(__xludf.DUMMYFUNCTION("""COMPUTED_VALUE"""),"QSR - Sorvetes factory stores (franquias)")</f>
        <v>QSR - Sorvetes factory stores (franquias)</v>
      </c>
      <c r="BC429" s="4" t="str">
        <f>IFERROR(__xludf.DUMMYFUNCTION("""COMPUTED_VALUE"""),"Brasil - 16 estados + DF (1.312 unidades); Forte presença SP, RJ, MG, PE, Nordeste")</f>
        <v>Brasil - 16 estados + DF (1.312 unidades); Forte presença SP, RJ, MG, PE, Nordeste</v>
      </c>
      <c r="BD429" s="4" t="str">
        <f>IFERROR(__xludf.DUMMYFUNCTION("""COMPUTED_VALUE"""),"R$ 25 - R$ 45")</f>
        <v>R$ 25 - R$ 45</v>
      </c>
      <c r="BE429" s="4">
        <f>IFERROR(__xludf.DUMMYFUNCTION("""COMPUTED_VALUE"""),95.0)</f>
        <v>95</v>
      </c>
      <c r="BF429" s="4">
        <f>IFERROR(__xludf.DUMMYFUNCTION("""COMPUTED_VALUE"""),100.0)</f>
        <v>100</v>
      </c>
      <c r="BG429" s="4" t="str">
        <f>IFERROR(__xludf.DUMMYFUNCTION("""COMPUTED_VALUE"""),"Dado não identificado publicamente - Necessário Discovery")</f>
        <v>Dado não identificado publicamente - Necessário Discovery</v>
      </c>
      <c r="BH429" s="4" t="s">
        <v>136</v>
      </c>
      <c r="BI429" s="7">
        <v>0.6450662739322534</v>
      </c>
    </row>
    <row r="430" hidden="1">
      <c r="A430" s="4" t="str">
        <f>IFERROR(__xludf.DUMMYFUNCTION("""COMPUTED_VALUE"""),"Osnir")</f>
        <v>Osnir</v>
      </c>
      <c r="B430" s="4" t="str">
        <f>IFERROR(__xludf.DUMMYFUNCTION("""COMPUTED_VALUE"""),"João Biagiotti")</f>
        <v>João Biagiotti</v>
      </c>
      <c r="C430" s="4" t="str">
        <f>IFERROR(__xludf.DUMMYFUNCTION("""COMPUTED_VALUE"""),"Diego Santos")</f>
        <v>Diego Santos</v>
      </c>
      <c r="D430" s="4" t="str">
        <f>IFERROR(__xludf.DUMMYFUNCTION("""COMPUTED_VALUE"""),"13. Reativado")</f>
        <v>13. Reativado</v>
      </c>
      <c r="E430" s="4"/>
      <c r="F430" s="4" t="str">
        <f>IFERROR(__xludf.DUMMYFUNCTION("""COMPUTED_VALUE"""),"P")</f>
        <v>P</v>
      </c>
      <c r="G430" s="5">
        <f>IFERROR(__xludf.DUMMYFUNCTION("""COMPUTED_VALUE"""),46076.0)</f>
        <v>46076</v>
      </c>
      <c r="H430" s="4" t="str">
        <f>IFERROR(__xludf.DUMMYFUNCTION("""COMPUTED_VALUE"""),"Parceiro gostou da nossa solução mas não consegue encerrar contrato com atual fornecedor neste momento. ")</f>
        <v>Parceiro gostou da nossa solução mas não consegue encerrar contrato com atual fornecedor neste momento. </v>
      </c>
      <c r="I430" s="4"/>
      <c r="J430" s="4"/>
      <c r="K430" s="6">
        <f>IFERROR(__xludf.DUMMYFUNCTION("""COMPUTED_VALUE"""),46037.0)</f>
        <v>46037</v>
      </c>
      <c r="L430" s="6">
        <f>IFERROR(__xludf.DUMMYFUNCTION("""COMPUTED_VALUE"""),46051.0)</f>
        <v>46051</v>
      </c>
      <c r="M430" s="6">
        <f>IFERROR(__xludf.DUMMYFUNCTION("""COMPUTED_VALUE"""),46051.0)</f>
        <v>46051</v>
      </c>
      <c r="N430" s="4"/>
      <c r="O430" s="4"/>
      <c r="P430" s="4"/>
      <c r="Q430" s="4"/>
      <c r="R430" s="6">
        <f>IFERROR(__xludf.DUMMYFUNCTION("""COMPUTED_VALUE"""),46057.62063237268)</f>
        <v>46057.62063</v>
      </c>
      <c r="S430" s="6">
        <f>IFERROR(__xludf.DUMMYFUNCTION("""COMPUTED_VALUE"""),46077.563801516204)</f>
        <v>46077.5638</v>
      </c>
      <c r="T430" s="4"/>
      <c r="U430" s="6">
        <f>IFERROR(__xludf.DUMMYFUNCTION("""COMPUTED_VALUE"""),46132.58516944444)</f>
        <v>46132.58517</v>
      </c>
      <c r="V430" s="4" t="str">
        <f>IFERROR(__xludf.DUMMYFUNCTION("""COMPUTED_VALUE"""),"Proposta declinada")</f>
        <v>Proposta declinada</v>
      </c>
      <c r="W430" s="4"/>
      <c r="X430" s="4"/>
      <c r="Y430" s="4"/>
      <c r="Z430" s="4"/>
      <c r="AA430" s="4">
        <f>IFERROR(__xludf.DUMMYFUNCTION("""COMPUTED_VALUE"""),4.0)</f>
        <v>4</v>
      </c>
      <c r="AB430" s="4" t="str">
        <f>IFERROR(__xludf.DUMMYFUNCTION("""COMPUTED_VALUE"""),"NÃO")</f>
        <v>NÃO</v>
      </c>
      <c r="AC430" s="4" t="str">
        <f>IFERROR(__xludf.DUMMYFUNCTION("""COMPUTED_VALUE"""),"BP")</f>
        <v>BP</v>
      </c>
      <c r="AD430" s="4"/>
      <c r="AE430" s="4"/>
      <c r="AF430" s="4"/>
      <c r="AG430" s="4"/>
      <c r="AH430" s="4"/>
      <c r="AI430" s="4"/>
      <c r="AJ430" s="4"/>
      <c r="AK430" s="4"/>
      <c r="AL430" s="4"/>
      <c r="AM430" s="4" t="str">
        <f>IFERROR(__xludf.DUMMYFUNCTION("""COMPUTED_VALUE"""),"FY26, FY27")</f>
        <v>FY26, FY27</v>
      </c>
      <c r="AN430" s="4"/>
      <c r="AO430" s="4">
        <f>IFERROR(__xludf.DUMMYFUNCTION("""COMPUTED_VALUE"""),140.0)</f>
        <v>140</v>
      </c>
      <c r="AP430" s="4" t="str">
        <f>IFERROR(__xludf.DUMMYFUNCTION("""COMPUTED_VALUE"""),"SP")</f>
        <v>SP</v>
      </c>
      <c r="AQ430" s="4" t="str">
        <f>IFERROR(__xludf.DUMMYFUNCTION("""COMPUTED_VALUE"""),"JULIA TAKEMOTO")</f>
        <v>JULIA TAKEMOTO</v>
      </c>
      <c r="AR430" s="4">
        <f>IFERROR(__xludf.DUMMYFUNCTION("""COMPUTED_VALUE"""),0.0)</f>
        <v>0</v>
      </c>
      <c r="AS430" s="4">
        <f>IFERROR(__xludf.DUMMYFUNCTION("""COMPUTED_VALUE"""),0.0)</f>
        <v>0</v>
      </c>
      <c r="AT430" s="4">
        <f>IFERROR(__xludf.DUMMYFUNCTION("""COMPUTED_VALUE"""),0.0)</f>
        <v>0</v>
      </c>
      <c r="AU430" s="4" t="str">
        <f>IFERROR(__xludf.DUMMYFUNCTION("""COMPUTED_VALUE"""),"Ana")</f>
        <v>Ana</v>
      </c>
      <c r="AV430" s="4">
        <f>IFERROR(__xludf.DUMMYFUNCTION("""COMPUTED_VALUE"""),0.0)</f>
        <v>0</v>
      </c>
      <c r="AW430" s="4">
        <f>IFERROR(__xludf.DUMMYFUNCTION("""COMPUTED_VALUE"""),0.0)</f>
        <v>0</v>
      </c>
      <c r="AX430" s="4">
        <f>IFERROR(__xludf.DUMMYFUNCTION("""COMPUTED_VALUE"""),0.0)</f>
        <v>0</v>
      </c>
      <c r="AY430" s="4"/>
      <c r="AZ430" s="4" t="str">
        <f>IFERROR(__xludf.DUMMYFUNCTION("""COMPUTED_VALUE"""),"Lanches")</f>
        <v>Lanches</v>
      </c>
      <c r="BA430" s="4" t="str">
        <f>IFERROR(__xludf.DUMMYFUNCTION("""COMPUTED_VALUE"""),"Dado não disponível publicamente")</f>
        <v>Dado não disponível publicamente</v>
      </c>
      <c r="BB430" s="12" t="str">
        <f>IFERROR(__xludf.DUMMYFUNCTION("""COMPUTED_VALUE"""),"QSR/Fast Casual - Hamburgueria (NÃO é pizzaria)")</f>
        <v>QSR/Fast Casual - Hamburgueria (NÃO é pizzaria)</v>
      </c>
      <c r="BC430" s="4" t="str">
        <f>IFERROR(__xludf.DUMMYFUNCTION("""COMPUTED_VALUE"""),"Brasil - São Paulo/SP (5 unidades próprias: Praça da Árvore, Vila Zelina, Paraíso, Pompeia, Campo Belo)")</f>
        <v>Brasil - São Paulo/SP (5 unidades próprias: Praça da Árvore, Vila Zelina, Paraíso, Pompeia, Campo Belo)</v>
      </c>
      <c r="BD430" s="4" t="str">
        <f>IFERROR(__xludf.DUMMYFUNCTION("""COMPUTED_VALUE"""),"R$ 45 - R$ 80")</f>
        <v>R$ 45 - R$ 80</v>
      </c>
      <c r="BE430" s="4">
        <f>IFERROR(__xludf.DUMMYFUNCTION("""COMPUTED_VALUE"""),65.0)</f>
        <v>65</v>
      </c>
      <c r="BF430" s="4">
        <f>IFERROR(__xludf.DUMMYFUNCTION("""COMPUTED_VALUE"""),85.0)</f>
        <v>85</v>
      </c>
      <c r="BG430" s="4" t="str">
        <f>IFERROR(__xludf.DUMMYFUNCTION("""COMPUTED_VALUE"""),"Dado não identificado publicamente - Necessário Discovery")</f>
        <v>Dado não identificado publicamente - Necessário Discovery</v>
      </c>
      <c r="BH430" s="4" t="s">
        <v>63</v>
      </c>
      <c r="BI430" s="7" t="s">
        <v>63</v>
      </c>
    </row>
    <row r="431" hidden="1">
      <c r="A431" s="4" t="str">
        <f>IFERROR(__xludf.DUMMYFUNCTION("""COMPUTED_VALUE"""),"Outros 500 Cb")</f>
        <v>Outros 500 Cb</v>
      </c>
      <c r="B431" s="4" t="str">
        <f>IFERROR(__xludf.DUMMYFUNCTION("""COMPUTED_VALUE"""),"Lídia Esteves")</f>
        <v>Lídia Esteves</v>
      </c>
      <c r="C431" s="4" t="str">
        <f>IFERROR(__xludf.DUMMYFUNCTION("""COMPUTED_VALUE"""),"Gabriela Roma")</f>
        <v>Gabriela Roma</v>
      </c>
      <c r="D431" s="4" t="str">
        <f>IFERROR(__xludf.DUMMYFUNCTION("""COMPUTED_VALUE"""),"0. Não Iniciado")</f>
        <v>0. Não Iniciado</v>
      </c>
      <c r="E431" s="4"/>
      <c r="F431" s="4" t="str">
        <f>IFERROR(__xludf.DUMMYFUNCTION("""COMPUTED_VALUE"""),"P")</f>
        <v>P</v>
      </c>
      <c r="G431" s="4"/>
      <c r="H431" s="4"/>
      <c r="I431" s="4"/>
      <c r="J431" s="4"/>
      <c r="K431" s="4"/>
      <c r="L431" s="4"/>
      <c r="M431" s="4"/>
      <c r="N431" s="4"/>
      <c r="O431" s="4"/>
      <c r="P431" s="4"/>
      <c r="Q431" s="4"/>
      <c r="R431" s="4"/>
      <c r="S431" s="4"/>
      <c r="T431" s="4"/>
      <c r="U431" s="4"/>
      <c r="V431" s="4"/>
      <c r="W431" s="4"/>
      <c r="X431" s="4"/>
      <c r="Y431" s="4"/>
      <c r="Z431" s="4"/>
      <c r="AA431" s="4">
        <f>IFERROR(__xludf.DUMMYFUNCTION("""COMPUTED_VALUE"""),10.0)</f>
        <v>10</v>
      </c>
      <c r="AB431" s="4" t="str">
        <f>IFERROR(__xludf.DUMMYFUNCTION("""COMPUTED_VALUE"""),"NÃO")</f>
        <v>NÃO</v>
      </c>
      <c r="AC431" s="4" t="str">
        <f>IFERROR(__xludf.DUMMYFUNCTION("""COMPUTED_VALUE"""),"Não BP")</f>
        <v>Não BP</v>
      </c>
      <c r="AD431" s="4"/>
      <c r="AE431" s="4"/>
      <c r="AF431" s="4"/>
      <c r="AG431" s="4"/>
      <c r="AH431" s="4"/>
      <c r="AI431" s="4"/>
      <c r="AJ431" s="4"/>
      <c r="AK431" s="4"/>
      <c r="AL431" s="4"/>
      <c r="AM431" s="4" t="str">
        <f>IFERROR(__xludf.DUMMYFUNCTION("""COMPUTED_VALUE"""),"FY26, FY27")</f>
        <v>FY26, FY27</v>
      </c>
      <c r="AN431" s="4" t="str">
        <f>IFERROR(__xludf.DUMMYFUNCTION("""COMPUTED_VALUE"""),"Comer Fora")</f>
        <v>Comer Fora</v>
      </c>
      <c r="AO431" s="4">
        <f>IFERROR(__xludf.DUMMYFUNCTION("""COMPUTED_VALUE"""),45553.0)</f>
        <v>45553</v>
      </c>
      <c r="AP431" s="4" t="str">
        <f>IFERROR(__xludf.DUMMYFUNCTION("""COMPUTED_VALUE"""),"RJ")</f>
        <v>RJ</v>
      </c>
      <c r="AQ431" s="4" t="str">
        <f>IFERROR(__xludf.DUMMYFUNCTION("""COMPUTED_VALUE"""),"JUAN CHAROTTA")</f>
        <v>JUAN CHAROTTA</v>
      </c>
      <c r="AR431" s="4" t="str">
        <f>IFERROR(__xludf.DUMMYFUNCTION("""COMPUTED_VALUE"""),"MARCELLA GUIMARAES")</f>
        <v>MARCELLA GUIMARAES</v>
      </c>
      <c r="AS431" s="4" t="str">
        <f>IFERROR(__xludf.DUMMYFUNCTION("""COMPUTED_VALUE"""),"NATHALIE MERTENS")</f>
        <v>NATHALIE MERTENS</v>
      </c>
      <c r="AT431" s="4" t="str">
        <f>IFERROR(__xludf.DUMMYFUNCTION("""COMPUTED_VALUE"""),"NATALIA COUTINHO")</f>
        <v>NATALIA COUTINHO</v>
      </c>
      <c r="AU431" s="4" t="str">
        <f>IFERROR(__xludf.DUMMYFUNCTION("""COMPUTED_VALUE"""),"Emerson")</f>
        <v>Emerson</v>
      </c>
      <c r="AV431" s="4" t="str">
        <f>IFERROR(__xludf.DUMMYFUNCTION("""COMPUTED_VALUE"""),"Comer Fora-")</f>
        <v>Comer Fora-</v>
      </c>
      <c r="AW431" s="20" t="str">
        <f>IFERROR(__xludf.DUMMYFUNCTION("""COMPUTED_VALUE"""),"P e M - pipe")</f>
        <v>P e M - pipe</v>
      </c>
      <c r="AX431" s="4"/>
      <c r="AY431" s="4"/>
      <c r="AZ431" s="4" t="str">
        <f>IFERROR(__xludf.DUMMYFUNCTION("""COMPUTED_VALUE"""),"Variada")</f>
        <v>Variada</v>
      </c>
      <c r="BA431" s="4" t="str">
        <f>IFERROR(__xludf.DUMMYFUNCTION("""COMPUTED_VALUE"""),"")</f>
        <v/>
      </c>
      <c r="BB431" s="4" t="str">
        <f>IFERROR(__xludf.DUMMYFUNCTION("""COMPUTED_VALUE"""),"")</f>
        <v/>
      </c>
      <c r="BC431" s="4" t="str">
        <f>IFERROR(__xludf.DUMMYFUNCTION("""COMPUTED_VALUE"""),"")</f>
        <v/>
      </c>
      <c r="BD431" s="4" t="str">
        <f>IFERROR(__xludf.DUMMYFUNCTION("""COMPUTED_VALUE"""),"")</f>
        <v/>
      </c>
      <c r="BE431" s="4" t="str">
        <f>IFERROR(__xludf.DUMMYFUNCTION("""COMPUTED_VALUE"""),"")</f>
        <v/>
      </c>
      <c r="BF431" s="4" t="str">
        <f>IFERROR(__xludf.DUMMYFUNCTION("""COMPUTED_VALUE"""),"")</f>
        <v/>
      </c>
      <c r="BG431" s="4" t="str">
        <f>IFERROR(__xludf.DUMMYFUNCTION("""COMPUTED_VALUE"""),"")</f>
        <v/>
      </c>
      <c r="BH431" s="4" t="s">
        <v>74</v>
      </c>
      <c r="BI431" s="7">
        <v>0.8125</v>
      </c>
    </row>
    <row r="432" hidden="1">
      <c r="A432" s="4" t="str">
        <f>IFERROR(__xludf.DUMMYFUNCTION("""COMPUTED_VALUE"""),"Pabu Izakaya")</f>
        <v>Pabu Izakaya</v>
      </c>
      <c r="B432" s="4" t="str">
        <f>IFERROR(__xludf.DUMMYFUNCTION("""COMPUTED_VALUE"""),"João Biagiotti")</f>
        <v>João Biagiotti</v>
      </c>
      <c r="C432" s="4" t="str">
        <f>IFERROR(__xludf.DUMMYFUNCTION("""COMPUTED_VALUE"""),"Diego Santos")</f>
        <v>Diego Santos</v>
      </c>
      <c r="D432" s="4" t="str">
        <f>IFERROR(__xludf.DUMMYFUNCTION("""COMPUTED_VALUE"""),"6. Negociação")</f>
        <v>6. Negociação</v>
      </c>
      <c r="E432" s="4" t="str">
        <f>IFERROR(__xludf.DUMMYFUNCTION("""COMPUTED_VALUE"""),"Parceiro - Aguardando retorno parceiro")</f>
        <v>Parceiro - Aguardando retorno parceiro</v>
      </c>
      <c r="F432" s="4" t="str">
        <f>IFERROR(__xludf.DUMMYFUNCTION("""COMPUTED_VALUE"""),"P")</f>
        <v>P</v>
      </c>
      <c r="G432" s="5">
        <f>IFERROR(__xludf.DUMMYFUNCTION("""COMPUTED_VALUE"""),46157.0)</f>
        <v>46157</v>
      </c>
      <c r="H432" s="4" t="str">
        <f>IFERROR(__xludf.DUMMYFUNCTION("""COMPUTED_VALUE"""),"FUP da proposta, porém, sem retorno. ")</f>
        <v>FUP da proposta, porém, sem retorno. </v>
      </c>
      <c r="I432" s="4"/>
      <c r="J432" s="6">
        <f>IFERROR(__xludf.DUMMYFUNCTION("""COMPUTED_VALUE"""),46072.47884664352)</f>
        <v>46072.47885</v>
      </c>
      <c r="K432" s="6">
        <f>IFERROR(__xludf.DUMMYFUNCTION("""COMPUTED_VALUE"""),46104.73679947917)</f>
        <v>46104.7368</v>
      </c>
      <c r="L432" s="6">
        <f>IFERROR(__xludf.DUMMYFUNCTION("""COMPUTED_VALUE"""),46104.73690787037)</f>
        <v>46104.73691</v>
      </c>
      <c r="M432" s="6">
        <f>IFERROR(__xludf.DUMMYFUNCTION("""COMPUTED_VALUE"""),46125.662029768515)</f>
        <v>46125.66203</v>
      </c>
      <c r="N432" s="6">
        <f>IFERROR(__xludf.DUMMYFUNCTION("""COMPUTED_VALUE"""),46126.673846261576)</f>
        <v>46126.67385</v>
      </c>
      <c r="O432" s="4"/>
      <c r="P432" s="4"/>
      <c r="Q432" s="4"/>
      <c r="R432" s="4"/>
      <c r="S432" s="4"/>
      <c r="T432" s="4"/>
      <c r="U432" s="4"/>
      <c r="V432" s="4"/>
      <c r="W432" s="4"/>
      <c r="X432" s="4"/>
      <c r="Y432" s="4"/>
      <c r="Z432" s="4"/>
      <c r="AA432" s="4">
        <f>IFERROR(__xludf.DUMMYFUNCTION("""COMPUTED_VALUE"""),6.0)</f>
        <v>6</v>
      </c>
      <c r="AB432" s="4" t="str">
        <f>IFERROR(__xludf.DUMMYFUNCTION("""COMPUTED_VALUE"""),"NÃO")</f>
        <v>NÃO</v>
      </c>
      <c r="AC432" s="4" t="str">
        <f>IFERROR(__xludf.DUMMYFUNCTION("""COMPUTED_VALUE"""),"BP")</f>
        <v>BP</v>
      </c>
      <c r="AD432" s="4"/>
      <c r="AE432" s="4"/>
      <c r="AF432" s="4"/>
      <c r="AG432" s="4"/>
      <c r="AH432" s="4"/>
      <c r="AI432" s="4"/>
      <c r="AJ432" s="4"/>
      <c r="AK432" s="4"/>
      <c r="AL432" s="4"/>
      <c r="AM432" s="4" t="str">
        <f>IFERROR(__xludf.DUMMYFUNCTION("""COMPUTED_VALUE"""),"FY26, FY27")</f>
        <v>FY26, FY27</v>
      </c>
      <c r="AN432" s="4" t="str">
        <f>IFERROR(__xludf.DUMMYFUNCTION("""COMPUTED_VALUE"""),"Comer Fora")</f>
        <v>Comer Fora</v>
      </c>
      <c r="AO432" s="4">
        <f>IFERROR(__xludf.DUMMYFUNCTION("""COMPUTED_VALUE"""),58.0)</f>
        <v>58</v>
      </c>
      <c r="AP432" s="4" t="str">
        <f>IFERROR(__xludf.DUMMYFUNCTION("""COMPUTED_VALUE"""),"RJ")</f>
        <v>RJ</v>
      </c>
      <c r="AQ432" s="4" t="str">
        <f>IFERROR(__xludf.DUMMYFUNCTION("""COMPUTED_VALUE"""),"THIAGO FERNANDES")</f>
        <v>THIAGO FERNANDES</v>
      </c>
      <c r="AR432" s="4" t="str">
        <f>IFERROR(__xludf.DUMMYFUNCTION("""COMPUTED_VALUE"""),"GABRIEL VARELLA")</f>
        <v>GABRIEL VARELLA</v>
      </c>
      <c r="AS432" s="4" t="str">
        <f>IFERROR(__xludf.DUMMYFUNCTION("""COMPUTED_VALUE"""),"NATHALIE MERTENS")</f>
        <v>NATHALIE MERTENS</v>
      </c>
      <c r="AT432" s="4" t="str">
        <f>IFERROR(__xludf.DUMMYFUNCTION("""COMPUTED_VALUE"""),"MARIANA KATZ")</f>
        <v>MARIANA KATZ</v>
      </c>
      <c r="AU432" s="4" t="str">
        <f>IFERROR(__xludf.DUMMYFUNCTION("""COMPUTED_VALUE"""),"Diego")</f>
        <v>Diego</v>
      </c>
      <c r="AV432" s="4" t="str">
        <f>IFERROR(__xludf.DUMMYFUNCTION("""COMPUTED_VALUE"""),"Comer Fora-")</f>
        <v>Comer Fora-</v>
      </c>
      <c r="AW432" s="20" t="str">
        <f>IFERROR(__xludf.DUMMYFUNCTION("""COMPUTED_VALUE"""),"P e M - pipe")</f>
        <v>P e M - pipe</v>
      </c>
      <c r="AX432" s="4"/>
      <c r="AY432" s="4"/>
      <c r="AZ432" s="4" t="str">
        <f>IFERROR(__xludf.DUMMYFUNCTION("""COMPUTED_VALUE"""),"Japonesa")</f>
        <v>Japonesa</v>
      </c>
      <c r="BA432" s="4" t="str">
        <f>IFERROR(__xludf.DUMMYFUNCTION("""COMPUTED_VALUE"""),"Dado não disponível publicamente")</f>
        <v>Dado não disponível publicamente</v>
      </c>
      <c r="BB432" s="4" t="str">
        <f>IFERROR(__xludf.DUMMYFUNCTION("""COMPUTED_VALUE"""),"Table Service - Izakaya japonês (bar tradicional)")</f>
        <v>Table Service - Izakaya japonês (bar tradicional)</v>
      </c>
      <c r="BC432" s="4" t="str">
        <f>IFERROR(__xludf.DUMMYFUNCTION("""COMPUTED_VALUE"""),"Brasil - Rio de Janeiro/RJ (Leblon, única loja)")</f>
        <v>Brasil - Rio de Janeiro/RJ (Leblon, única loja)</v>
      </c>
      <c r="BD432" s="4" t="str">
        <f>IFERROR(__xludf.DUMMYFUNCTION("""COMPUTED_VALUE"""),"R$ 70 - R$ 150")</f>
        <v>R$ 70 - R$ 150</v>
      </c>
      <c r="BE432" s="4">
        <f>IFERROR(__xludf.DUMMYFUNCTION("""COMPUTED_VALUE"""),30.0)</f>
        <v>30</v>
      </c>
      <c r="BF432" s="4">
        <f>IFERROR(__xludf.DUMMYFUNCTION("""COMPUTED_VALUE"""),55.0)</f>
        <v>55</v>
      </c>
      <c r="BG432" s="4" t="str">
        <f>IFERROR(__xludf.DUMMYFUNCTION("""COMPUTED_VALUE"""),"Dado não identificado publicamente - Necessário Discovery")</f>
        <v>Dado não identificado publicamente - Necessário Discovery</v>
      </c>
      <c r="BH432" s="4" t="s">
        <v>74</v>
      </c>
      <c r="BI432" s="7">
        <v>0.6363636363636364</v>
      </c>
    </row>
    <row r="433" hidden="1">
      <c r="A433" s="4" t="str">
        <f>IFERROR(__xludf.DUMMYFUNCTION("""COMPUTED_VALUE"""),"Pacifico Sea Food")</f>
        <v>Pacifico Sea Food</v>
      </c>
      <c r="B433" s="4" t="str">
        <f>IFERROR(__xludf.DUMMYFUNCTION("""COMPUTED_VALUE"""),"João Biagiotti")</f>
        <v>João Biagiotti</v>
      </c>
      <c r="C433" s="4" t="str">
        <f>IFERROR(__xludf.DUMMYFUNCTION("""COMPUTED_VALUE"""),"Diego Santos")</f>
        <v>Diego Santos</v>
      </c>
      <c r="D433" s="4" t="str">
        <f>IFERROR(__xludf.DUMMYFUNCTION("""COMPUTED_VALUE"""),"0. Não Iniciado")</f>
        <v>0. Não Iniciado</v>
      </c>
      <c r="E433" s="4" t="str">
        <f>IFERROR(__xludf.DUMMYFUNCTION("""COMPUTED_VALUE"""),"Parceiro - Sem contato válido / Decisor inacessível")</f>
        <v>Parceiro - Sem contato válido / Decisor inacessível</v>
      </c>
      <c r="F433" s="4" t="str">
        <f>IFERROR(__xludf.DUMMYFUNCTION("""COMPUTED_VALUE"""),"P")</f>
        <v>P</v>
      </c>
      <c r="G433" s="5">
        <f>IFERROR(__xludf.DUMMYFUNCTION("""COMPUTED_VALUE"""),46076.0)</f>
        <v>46076</v>
      </c>
      <c r="H433" s="4" t="str">
        <f>IFERROR(__xludf.DUMMYFUNCTION("""COMPUTED_VALUE"""),"Sem contato válido e sem executivo de delivery.")</f>
        <v>Sem contato válido e sem executivo de delivery.</v>
      </c>
      <c r="I433" s="4"/>
      <c r="J433" s="4"/>
      <c r="K433" s="4"/>
      <c r="L433" s="4"/>
      <c r="M433" s="4"/>
      <c r="N433" s="4"/>
      <c r="O433" s="4"/>
      <c r="P433" s="4"/>
      <c r="Q433" s="4"/>
      <c r="R433" s="4"/>
      <c r="S433" s="4"/>
      <c r="T433" s="4"/>
      <c r="U433" s="4"/>
      <c r="V433" s="4"/>
      <c r="W433" s="4"/>
      <c r="X433" s="4"/>
      <c r="Y433" s="4"/>
      <c r="Z433" s="4"/>
      <c r="AA433" s="4">
        <f>IFERROR(__xludf.DUMMYFUNCTION("""COMPUTED_VALUE"""),9.0)</f>
        <v>9</v>
      </c>
      <c r="AB433" s="4" t="str">
        <f>IFERROR(__xludf.DUMMYFUNCTION("""COMPUTED_VALUE"""),"NÃO")</f>
        <v>NÃO</v>
      </c>
      <c r="AC433" s="4" t="str">
        <f>IFERROR(__xludf.DUMMYFUNCTION("""COMPUTED_VALUE"""),"Não BP")</f>
        <v>Não BP</v>
      </c>
      <c r="AD433" s="4"/>
      <c r="AE433" s="4"/>
      <c r="AF433" s="4"/>
      <c r="AG433" s="4"/>
      <c r="AH433" s="4"/>
      <c r="AI433" s="4"/>
      <c r="AJ433" s="4"/>
      <c r="AK433" s="4"/>
      <c r="AL433" s="4"/>
      <c r="AM433" s="4" t="str">
        <f>IFERROR(__xludf.DUMMYFUNCTION("""COMPUTED_VALUE"""),"FY26, FY27")</f>
        <v>FY26, FY27</v>
      </c>
      <c r="AN433" s="4"/>
      <c r="AO433" s="4">
        <f>IFERROR(__xludf.DUMMYFUNCTION("""COMPUTED_VALUE"""),140.0)</f>
        <v>140</v>
      </c>
      <c r="AP433" s="4">
        <f>IFERROR(__xludf.DUMMYFUNCTION("""COMPUTED_VALUE"""),0.0)</f>
        <v>0</v>
      </c>
      <c r="AQ433" s="4">
        <f>IFERROR(__xludf.DUMMYFUNCTION("""COMPUTED_VALUE"""),0.0)</f>
        <v>0</v>
      </c>
      <c r="AR433" s="4">
        <f>IFERROR(__xludf.DUMMYFUNCTION("""COMPUTED_VALUE"""),0.0)</f>
        <v>0</v>
      </c>
      <c r="AS433" s="4">
        <f>IFERROR(__xludf.DUMMYFUNCTION("""COMPUTED_VALUE"""),0.0)</f>
        <v>0</v>
      </c>
      <c r="AT433" s="4">
        <f>IFERROR(__xludf.DUMMYFUNCTION("""COMPUTED_VALUE"""),0.0)</f>
        <v>0</v>
      </c>
      <c r="AU433" s="4" t="str">
        <f>IFERROR(__xludf.DUMMYFUNCTION("""COMPUTED_VALUE"""),"Iza")</f>
        <v>Iza</v>
      </c>
      <c r="AV433" s="4">
        <f>IFERROR(__xludf.DUMMYFUNCTION("""COMPUTED_VALUE"""),0.0)</f>
        <v>0</v>
      </c>
      <c r="AW433" s="4">
        <f>IFERROR(__xludf.DUMMYFUNCTION("""COMPUTED_VALUE"""),0.0)</f>
        <v>0</v>
      </c>
      <c r="AX433" s="4">
        <f>IFERROR(__xludf.DUMMYFUNCTION("""COMPUTED_VALUE"""),0.0)</f>
        <v>0</v>
      </c>
      <c r="AY433" s="4"/>
      <c r="AZ433" s="4" t="str">
        <f>IFERROR(__xludf.DUMMYFUNCTION("""COMPUTED_VALUE"""),"NA")</f>
        <v>NA</v>
      </c>
      <c r="BA433" s="4" t="str">
        <f>IFERROR(__xludf.DUMMYFUNCTION("""COMPUTED_VALUE"""),"Dado não disponível publicamente")</f>
        <v>Dado não disponível publicamente</v>
      </c>
      <c r="BB433" s="4" t="str">
        <f>IFERROR(__xludf.DUMMYFUNCTION("""COMPUTED_VALUE"""),"Fast Casual - Frutos do mar em praças de alimentação")</f>
        <v>Fast Casual - Frutos do mar em praças de alimentação</v>
      </c>
      <c r="BC433" s="4" t="str">
        <f>IFERROR(__xludf.DUMMYFUNCTION("""COMPUTED_VALUE"""),"Brasil - Nordeste (PE, PB, RN, CE, AL); 10 operacionais + 6 em breve")</f>
        <v>Brasil - Nordeste (PE, PB, RN, CE, AL); 10 operacionais + 6 em breve</v>
      </c>
      <c r="BD433" s="4" t="str">
        <f>IFERROR(__xludf.DUMMYFUNCTION("""COMPUTED_VALUE"""),"R$ 80 - R$ 180")</f>
        <v>R$ 80 - R$ 180</v>
      </c>
      <c r="BE433" s="4">
        <f>IFERROR(__xludf.DUMMYFUNCTION("""COMPUTED_VALUE"""),65.0)</f>
        <v>65</v>
      </c>
      <c r="BF433" s="4">
        <f>IFERROR(__xludf.DUMMYFUNCTION("""COMPUTED_VALUE"""),85.0)</f>
        <v>85</v>
      </c>
      <c r="BG433" s="4" t="str">
        <f>IFERROR(__xludf.DUMMYFUNCTION("""COMPUTED_VALUE"""),"Dado não identificado publicamente - Necessário Discovery")</f>
        <v>Dado não identificado publicamente - Necessário Discovery</v>
      </c>
      <c r="BH433" s="4" t="s">
        <v>63</v>
      </c>
      <c r="BI433" s="7" t="s">
        <v>63</v>
      </c>
    </row>
    <row r="434" hidden="1">
      <c r="A434" s="4" t="str">
        <f>IFERROR(__xludf.DUMMYFUNCTION("""COMPUTED_VALUE"""),"Paellas Pepe")</f>
        <v>Paellas Pepe</v>
      </c>
      <c r="B434" s="4" t="str">
        <f>IFERROR(__xludf.DUMMYFUNCTION("""COMPUTED_VALUE"""),"João Biagiotti")</f>
        <v>João Biagiotti</v>
      </c>
      <c r="C434" s="4" t="str">
        <f>IFERROR(__xludf.DUMMYFUNCTION("""COMPUTED_VALUE"""),"Diego Santos")</f>
        <v>Diego Santos</v>
      </c>
      <c r="D434" s="4" t="str">
        <f>IFERROR(__xludf.DUMMYFUNCTION("""COMPUTED_VALUE"""),"0. Não Iniciado")</f>
        <v>0. Não Iniciado</v>
      </c>
      <c r="E434" s="4" t="str">
        <f>IFERROR(__xludf.DUMMYFUNCTION("""COMPUTED_VALUE"""),"Delivery - Dificuldade de contato com executivo")</f>
        <v>Delivery - Dificuldade de contato com executivo</v>
      </c>
      <c r="F434" s="4" t="str">
        <f>IFERROR(__xludf.DUMMYFUNCTION("""COMPUTED_VALUE"""),"P")</f>
        <v>P</v>
      </c>
      <c r="G434" s="5">
        <f>IFERROR(__xludf.DUMMYFUNCTION("""COMPUTED_VALUE"""),46076.0)</f>
        <v>46076</v>
      </c>
      <c r="H434" s="4" t="str">
        <f>IFERROR(__xludf.DUMMYFUNCTION("""COMPUTED_VALUE"""),"KA Vini ficou de verificar possivel interesse. Parceiro delicado em relacionamento.")</f>
        <v>KA Vini ficou de verificar possivel interesse. Parceiro delicado em relacionamento.</v>
      </c>
      <c r="I434" s="4"/>
      <c r="J434" s="4"/>
      <c r="K434" s="4"/>
      <c r="L434" s="4"/>
      <c r="M434" s="4"/>
      <c r="N434" s="4"/>
      <c r="O434" s="4"/>
      <c r="P434" s="4"/>
      <c r="Q434" s="4"/>
      <c r="R434" s="4"/>
      <c r="S434" s="4"/>
      <c r="T434" s="4"/>
      <c r="U434" s="4"/>
      <c r="V434" s="4"/>
      <c r="W434" s="4"/>
      <c r="X434" s="4"/>
      <c r="Y434" s="4"/>
      <c r="Z434" s="4"/>
      <c r="AA434" s="4">
        <f>IFERROR(__xludf.DUMMYFUNCTION("""COMPUTED_VALUE"""),1.0)</f>
        <v>1</v>
      </c>
      <c r="AB434" s="4" t="str">
        <f>IFERROR(__xludf.DUMMYFUNCTION("""COMPUTED_VALUE"""),"NÃO")</f>
        <v>NÃO</v>
      </c>
      <c r="AC434" s="4" t="str">
        <f>IFERROR(__xludf.DUMMYFUNCTION("""COMPUTED_VALUE"""),"BP")</f>
        <v>BP</v>
      </c>
      <c r="AD434" s="4"/>
      <c r="AE434" s="4"/>
      <c r="AF434" s="4"/>
      <c r="AG434" s="4"/>
      <c r="AH434" s="4"/>
      <c r="AI434" s="4"/>
      <c r="AJ434" s="4"/>
      <c r="AK434" s="4"/>
      <c r="AL434" s="4"/>
      <c r="AM434" s="4" t="str">
        <f>IFERROR(__xludf.DUMMYFUNCTION("""COMPUTED_VALUE"""),"FY26, FY27")</f>
        <v>FY26, FY27</v>
      </c>
      <c r="AN434" s="4" t="str">
        <f>IFERROR(__xludf.DUMMYFUNCTION("""COMPUTED_VALUE"""),"Comer Fora")</f>
        <v>Comer Fora</v>
      </c>
      <c r="AO434" s="4">
        <f>IFERROR(__xludf.DUMMYFUNCTION("""COMPUTED_VALUE"""),140.0)</f>
        <v>140</v>
      </c>
      <c r="AP434" s="4" t="str">
        <f>IFERROR(__xludf.DUMMYFUNCTION("""COMPUTED_VALUE"""),"SP")</f>
        <v>SP</v>
      </c>
      <c r="AQ434" s="4" t="str">
        <f>IFERROR(__xludf.DUMMYFUNCTION("""COMPUTED_VALUE"""),"RODRIGO BESSER")</f>
        <v>RODRIGO BESSER</v>
      </c>
      <c r="AR434" s="4" t="str">
        <f>IFERROR(__xludf.DUMMYFUNCTION("""COMPUTED_VALUE"""),"VINICIUS ABATTE")</f>
        <v>VINICIUS ABATTE</v>
      </c>
      <c r="AS434" s="4" t="str">
        <f>IFERROR(__xludf.DUMMYFUNCTION("""COMPUTED_VALUE"""),"NATHALIE MERTENS")</f>
        <v>NATHALIE MERTENS</v>
      </c>
      <c r="AT434" s="4" t="str">
        <f>IFERROR(__xludf.DUMMYFUNCTION("""COMPUTED_VALUE"""),"MARIANA KATZ")</f>
        <v>MARIANA KATZ</v>
      </c>
      <c r="AU434" s="4" t="str">
        <f>IFERROR(__xludf.DUMMYFUNCTION("""COMPUTED_VALUE"""),"Iza")</f>
        <v>Iza</v>
      </c>
      <c r="AV434" s="4" t="str">
        <f>IFERROR(__xludf.DUMMYFUNCTION("""COMPUTED_VALUE"""),"Comer Fora-")</f>
        <v>Comer Fora-</v>
      </c>
      <c r="AW434" s="20" t="str">
        <f>IFERROR(__xludf.DUMMYFUNCTION("""COMPUTED_VALUE"""),"P e M - pipe")</f>
        <v>P e M - pipe</v>
      </c>
      <c r="AX434" s="4"/>
      <c r="AY434" s="4"/>
      <c r="AZ434" s="4" t="str">
        <f>IFERROR(__xludf.DUMMYFUNCTION("""COMPUTED_VALUE"""),"Frutos Do Mar")</f>
        <v>Frutos Do Mar</v>
      </c>
      <c r="BA434" s="4" t="str">
        <f>IFERROR(__xludf.DUMMYFUNCTION("""COMPUTED_VALUE"""),"Dado não disponível publicamente")</f>
        <v>Dado não disponível publicamente</v>
      </c>
      <c r="BB434" s="4" t="str">
        <f>IFERROR(__xludf.DUMMYFUNCTION("""COMPUTED_VALUE"""),"Table Service - Paella espanhola autêntica")</f>
        <v>Table Service - Paella espanhola autêntica</v>
      </c>
      <c r="BC434" s="4" t="str">
        <f>IFERROR(__xludf.DUMMYFUNCTION("""COMPUTED_VALUE"""),"Brasil - São Paulo/SP (Ipiranga, loja única)")</f>
        <v>Brasil - São Paulo/SP (Ipiranga, loja única)</v>
      </c>
      <c r="BD434" s="4" t="str">
        <f>IFERROR(__xludf.DUMMYFUNCTION("""COMPUTED_VALUE"""),"R$ 80 - R$ 180")</f>
        <v>R$ 80 - R$ 180</v>
      </c>
      <c r="BE434" s="4">
        <f>IFERROR(__xludf.DUMMYFUNCTION("""COMPUTED_VALUE"""),25.0)</f>
        <v>25</v>
      </c>
      <c r="BF434" s="4">
        <f>IFERROR(__xludf.DUMMYFUNCTION("""COMPUTED_VALUE"""),55.0)</f>
        <v>55</v>
      </c>
      <c r="BG434" s="4" t="str">
        <f>IFERROR(__xludf.DUMMYFUNCTION("""COMPUTED_VALUE"""),"Dado não identificado publicamente - Necessário Discovery")</f>
        <v>Dado não identificado publicamente - Necessário Discovery</v>
      </c>
      <c r="BH434" s="4" t="s">
        <v>71</v>
      </c>
      <c r="BI434" s="7">
        <v>1.0</v>
      </c>
    </row>
    <row r="435" hidden="1">
      <c r="A435" s="4" t="str">
        <f>IFERROR(__xludf.DUMMYFUNCTION("""COMPUTED_VALUE"""),"Pamonhas Do Cezar Conta-Pai")</f>
        <v>Pamonhas Do Cezar Conta-Pai</v>
      </c>
      <c r="B435" s="4" t="str">
        <f>IFERROR(__xludf.DUMMYFUNCTION("""COMPUTED_VALUE"""),"Lídia Esteves")</f>
        <v>Lídia Esteves</v>
      </c>
      <c r="C435" s="4" t="str">
        <f>IFERROR(__xludf.DUMMYFUNCTION("""COMPUTED_VALUE"""),"Gabriela Roma")</f>
        <v>Gabriela Roma</v>
      </c>
      <c r="D435" s="4" t="str">
        <f>IFERROR(__xludf.DUMMYFUNCTION("""COMPUTED_VALUE"""),"2. Primeiro contato com a marca")</f>
        <v>2. Primeiro contato com a marca</v>
      </c>
      <c r="E435" s="4" t="str">
        <f>IFERROR(__xludf.DUMMYFUNCTION("""COMPUTED_VALUE"""),"Parceiro - Aguardando retorno / Conciliação agenda")</f>
        <v>Parceiro - Aguardando retorno / Conciliação agenda</v>
      </c>
      <c r="F435" s="4" t="str">
        <f>IFERROR(__xludf.DUMMYFUNCTION("""COMPUTED_VALUE"""),"P")</f>
        <v>P</v>
      </c>
      <c r="G435" s="5">
        <f>IFERROR(__xludf.DUMMYFUNCTION("""COMPUTED_VALUE"""),46120.0)</f>
        <v>46120</v>
      </c>
      <c r="H435" s="4" t="str">
        <f>IFERROR(__xludf.DUMMYFUNCTION("""COMPUTED_VALUE"""),"Em conciliação de agenda")</f>
        <v>Em conciliação de agenda</v>
      </c>
      <c r="I435" s="4"/>
      <c r="J435" s="6">
        <f>IFERROR(__xludf.DUMMYFUNCTION("""COMPUTED_VALUE"""),46107.625168819446)</f>
        <v>46107.62517</v>
      </c>
      <c r="K435" s="4"/>
      <c r="L435" s="4"/>
      <c r="M435" s="4"/>
      <c r="N435" s="4"/>
      <c r="O435" s="4"/>
      <c r="P435" s="4"/>
      <c r="Q435" s="4"/>
      <c r="R435" s="4"/>
      <c r="S435" s="4"/>
      <c r="T435" s="4"/>
      <c r="U435" s="4"/>
      <c r="V435" s="4"/>
      <c r="W435" s="4"/>
      <c r="X435" s="4"/>
      <c r="Y435" s="4"/>
      <c r="Z435" s="4"/>
      <c r="AA435" s="4">
        <f>IFERROR(__xludf.DUMMYFUNCTION("""COMPUTED_VALUE"""),10.0)</f>
        <v>10</v>
      </c>
      <c r="AB435" s="4" t="str">
        <f>IFERROR(__xludf.DUMMYFUNCTION("""COMPUTED_VALUE"""),"-")</f>
        <v>-</v>
      </c>
      <c r="AC435" s="4" t="str">
        <f>IFERROR(__xludf.DUMMYFUNCTION("""COMPUTED_VALUE"""),"-")</f>
        <v>-</v>
      </c>
      <c r="AD435" s="4"/>
      <c r="AE435" s="4"/>
      <c r="AF435" s="4"/>
      <c r="AG435" s="4"/>
      <c r="AH435" s="4"/>
      <c r="AI435" s="4"/>
      <c r="AJ435" s="4"/>
      <c r="AK435" s="4"/>
      <c r="AL435" s="4"/>
      <c r="AM435" s="4" t="str">
        <f>IFERROR(__xludf.DUMMYFUNCTION("""COMPUTED_VALUE"""),"FY26, FY27")</f>
        <v>FY26, FY27</v>
      </c>
      <c r="AN435" s="4"/>
      <c r="AO435" s="4">
        <f>IFERROR(__xludf.DUMMYFUNCTION("""COMPUTED_VALUE"""),95.0)</f>
        <v>95</v>
      </c>
      <c r="AP435" s="4" t="str">
        <f>IFERROR(__xludf.DUMMYFUNCTION("""COMPUTED_VALUE"""),"PR")</f>
        <v>PR</v>
      </c>
      <c r="AQ435" s="4" t="str">
        <f>IFERROR(__xludf.DUMMYFUNCTION("""COMPUTED_VALUE"""),"BRUNA MONTEZIN")</f>
        <v>BRUNA MONTEZIN</v>
      </c>
      <c r="AR435" s="4" t="str">
        <f>IFERROR(__xludf.DUMMYFUNCTION("""COMPUTED_VALUE"""),"BRUNO BASSO")</f>
        <v>BRUNO BASSO</v>
      </c>
      <c r="AS435" s="4" t="str">
        <f>IFERROR(__xludf.DUMMYFUNCTION("""COMPUTED_VALUE"""),"FABIO DONATO")</f>
        <v>FABIO DONATO</v>
      </c>
      <c r="AT435" s="4" t="str">
        <f>IFERROR(__xludf.DUMMYFUNCTION("""COMPUTED_VALUE"""),"MURILO NAGASHIMA")</f>
        <v>MURILO NAGASHIMA</v>
      </c>
      <c r="AU435" s="4" t="str">
        <f>IFERROR(__xludf.DUMMYFUNCTION("""COMPUTED_VALUE"""),"Lídia / Emerson")</f>
        <v>Lídia / Emerson</v>
      </c>
      <c r="AV435" s="4">
        <f>IFERROR(__xludf.DUMMYFUNCTION("""COMPUTED_VALUE"""),0.0)</f>
        <v>0</v>
      </c>
      <c r="AW435" s="4">
        <f>IFERROR(__xludf.DUMMYFUNCTION("""COMPUTED_VALUE"""),0.0)</f>
        <v>0</v>
      </c>
      <c r="AX435" s="4">
        <f>IFERROR(__xludf.DUMMYFUNCTION("""COMPUTED_VALUE"""),0.0)</f>
        <v>0</v>
      </c>
      <c r="AY435" s="4"/>
      <c r="AZ435" s="4" t="str">
        <f>IFERROR(__xludf.DUMMYFUNCTION("""COMPUTED_VALUE"""),"Brasileira")</f>
        <v>Brasileira</v>
      </c>
      <c r="BA435" s="4" t="str">
        <f>IFERROR(__xludf.DUMMYFUNCTION("""COMPUTED_VALUE"""),"")</f>
        <v/>
      </c>
      <c r="BB435" s="4" t="str">
        <f>IFERROR(__xludf.DUMMYFUNCTION("""COMPUTED_VALUE"""),"")</f>
        <v/>
      </c>
      <c r="BC435" s="4" t="str">
        <f>IFERROR(__xludf.DUMMYFUNCTION("""COMPUTED_VALUE"""),"")</f>
        <v/>
      </c>
      <c r="BD435" s="4" t="str">
        <f>IFERROR(__xludf.DUMMYFUNCTION("""COMPUTED_VALUE"""),"")</f>
        <v/>
      </c>
      <c r="BE435" s="4" t="str">
        <f>IFERROR(__xludf.DUMMYFUNCTION("""COMPUTED_VALUE"""),"")</f>
        <v/>
      </c>
      <c r="BF435" s="4" t="str">
        <f>IFERROR(__xludf.DUMMYFUNCTION("""COMPUTED_VALUE"""),"")</f>
        <v/>
      </c>
      <c r="BG435" s="4" t="str">
        <f>IFERROR(__xludf.DUMMYFUNCTION("""COMPUTED_VALUE"""),"")</f>
        <v/>
      </c>
      <c r="BH435" s="4" t="s">
        <v>66</v>
      </c>
      <c r="BI435" s="7">
        <v>1.0</v>
      </c>
    </row>
    <row r="436" hidden="1">
      <c r="A436" s="4" t="str">
        <f>IFERROR(__xludf.DUMMYFUNCTION("""COMPUTED_VALUE"""),"Pão Com Carne")</f>
        <v>Pão Com Carne</v>
      </c>
      <c r="B436" s="4" t="str">
        <f>IFERROR(__xludf.DUMMYFUNCTION("""COMPUTED_VALUE"""),"Lídia Esteves")</f>
        <v>Lídia Esteves</v>
      </c>
      <c r="C436" s="4" t="str">
        <f>IFERROR(__xludf.DUMMYFUNCTION("""COMPUTED_VALUE"""),"Gabriela Roma")</f>
        <v>Gabriela Roma</v>
      </c>
      <c r="D436" s="4" t="str">
        <f>IFERROR(__xludf.DUMMYFUNCTION("""COMPUTED_VALUE"""),"7. Piloto")</f>
        <v>7. Piloto</v>
      </c>
      <c r="E436" s="4" t="str">
        <f>IFERROR(__xludf.DUMMYFUNCTION("""COMPUTED_VALUE"""),"Projetos - Em piloto")</f>
        <v>Projetos - Em piloto</v>
      </c>
      <c r="F436" s="4" t="str">
        <f>IFERROR(__xludf.DUMMYFUNCTION("""COMPUTED_VALUE"""),"P")</f>
        <v>P</v>
      </c>
      <c r="G436" s="5">
        <f>IFERROR(__xludf.DUMMYFUNCTION("""COMPUTED_VALUE"""),46139.0)</f>
        <v>46139</v>
      </c>
      <c r="H436" s="4" t="str">
        <f>IFERROR(__xludf.DUMMYFUNCTION("""COMPUTED_VALUE"""),"Cliente iniciará piloto na loja nova que inaugura em maio, em paralelo estamos negociando a proposta comercial. ")</f>
        <v>Cliente iniciará piloto na loja nova que inaugura em maio, em paralelo estamos negociando a proposta comercial. </v>
      </c>
      <c r="I436" s="4"/>
      <c r="J436" s="4"/>
      <c r="K436" s="6">
        <f>IFERROR(__xludf.DUMMYFUNCTION("""COMPUTED_VALUE"""),45973.0)</f>
        <v>45973</v>
      </c>
      <c r="L436" s="6">
        <f>IFERROR(__xludf.DUMMYFUNCTION("""COMPUTED_VALUE"""),45979.0)</f>
        <v>45979</v>
      </c>
      <c r="M436" s="6">
        <f>IFERROR(__xludf.DUMMYFUNCTION("""COMPUTED_VALUE"""),46000.0)</f>
        <v>46000</v>
      </c>
      <c r="N436" s="6">
        <f>IFERROR(__xludf.DUMMYFUNCTION("""COMPUTED_VALUE"""),46057.64125872686)</f>
        <v>46057.64126</v>
      </c>
      <c r="O436" s="6">
        <f>IFERROR(__xludf.DUMMYFUNCTION("""COMPUTED_VALUE"""),46139.665568854165)</f>
        <v>46139.66557</v>
      </c>
      <c r="P436" s="4"/>
      <c r="Q436" s="4"/>
      <c r="R436" s="4"/>
      <c r="S436" s="4"/>
      <c r="T436" s="4"/>
      <c r="U436" s="4"/>
      <c r="V436" s="4"/>
      <c r="W436" s="4"/>
      <c r="X436" s="4"/>
      <c r="Y436" s="4"/>
      <c r="Z436" s="4"/>
      <c r="AA436" s="4">
        <f>IFERROR(__xludf.DUMMYFUNCTION("""COMPUTED_VALUE"""),2.0)</f>
        <v>2</v>
      </c>
      <c r="AB436" s="4" t="str">
        <f>IFERROR(__xludf.DUMMYFUNCTION("""COMPUTED_VALUE"""),"NÃO")</f>
        <v>NÃO</v>
      </c>
      <c r="AC436" s="4" t="str">
        <f>IFERROR(__xludf.DUMMYFUNCTION("""COMPUTED_VALUE"""),"Não BP")</f>
        <v>Não BP</v>
      </c>
      <c r="AD436" s="4"/>
      <c r="AE436" s="4">
        <f>IFERROR(__xludf.DUMMYFUNCTION("""COMPUTED_VALUE"""),1.0)</f>
        <v>1</v>
      </c>
      <c r="AF436" s="4" t="str">
        <f>IFERROR(__xludf.DUMMYFUNCTION("""COMPUTED_VALUE"""),"maio")</f>
        <v>maio</v>
      </c>
      <c r="AG436" s="4" t="str">
        <f>IFERROR(__xludf.DUMMYFUNCTION("""COMPUTED_VALUE"""),"30 dias")</f>
        <v>30 dias</v>
      </c>
      <c r="AH436" s="4"/>
      <c r="AI436" s="4"/>
      <c r="AJ436" s="4"/>
      <c r="AK436" s="4"/>
      <c r="AL436" s="4"/>
      <c r="AM436" s="4" t="str">
        <f>IFERROR(__xludf.DUMMYFUNCTION("""COMPUTED_VALUE"""),"FY26, FY27")</f>
        <v>FY26, FY27</v>
      </c>
      <c r="AN436" s="4"/>
      <c r="AO436" s="4">
        <f>IFERROR(__xludf.DUMMYFUNCTION("""COMPUTED_VALUE"""),76.0)</f>
        <v>76</v>
      </c>
      <c r="AP436" s="4">
        <f>IFERROR(__xludf.DUMMYFUNCTION("""COMPUTED_VALUE"""),0.0)</f>
        <v>0</v>
      </c>
      <c r="AQ436" s="4">
        <f>IFERROR(__xludf.DUMMYFUNCTION("""COMPUTED_VALUE"""),0.0)</f>
        <v>0</v>
      </c>
      <c r="AR436" s="4">
        <f>IFERROR(__xludf.DUMMYFUNCTION("""COMPUTED_VALUE"""),0.0)</f>
        <v>0</v>
      </c>
      <c r="AS436" s="4">
        <f>IFERROR(__xludf.DUMMYFUNCTION("""COMPUTED_VALUE"""),0.0)</f>
        <v>0</v>
      </c>
      <c r="AT436" s="4">
        <f>IFERROR(__xludf.DUMMYFUNCTION("""COMPUTED_VALUE"""),0.0)</f>
        <v>0</v>
      </c>
      <c r="AU436" s="4" t="str">
        <f>IFERROR(__xludf.DUMMYFUNCTION("""COMPUTED_VALUE"""),"Ana")</f>
        <v>Ana</v>
      </c>
      <c r="AV436" s="4">
        <f>IFERROR(__xludf.DUMMYFUNCTION("""COMPUTED_VALUE"""),0.0)</f>
        <v>0</v>
      </c>
      <c r="AW436" s="4">
        <f>IFERROR(__xludf.DUMMYFUNCTION("""COMPUTED_VALUE"""),0.0)</f>
        <v>0</v>
      </c>
      <c r="AX436" s="4">
        <f>IFERROR(__xludf.DUMMYFUNCTION("""COMPUTED_VALUE"""),0.0)</f>
        <v>0</v>
      </c>
      <c r="AY436" s="4">
        <f>IFERROR(__xludf.DUMMYFUNCTION("""COMPUTED_VALUE"""),0.0)</f>
        <v>0</v>
      </c>
      <c r="AZ436" s="4" t="str">
        <f>IFERROR(__xludf.DUMMYFUNCTION("""COMPUTED_VALUE"""),"NA")</f>
        <v>NA</v>
      </c>
      <c r="BA436" s="4" t="str">
        <f>IFERROR(__xludf.DUMMYFUNCTION("""COMPUTED_VALUE"""),"Dado não disponível publicamente")</f>
        <v>Dado não disponível publicamente</v>
      </c>
      <c r="BB436" s="12" t="str">
        <f>IFERROR(__xludf.DUMMYFUNCTION("""COMPUTED_VALUE"""),"Fast Casual - Hamburgueria artesanal (SP)")</f>
        <v>Fast Casual - Hamburgueria artesanal (SP)</v>
      </c>
      <c r="BC436" s="4" t="str">
        <f>IFERROR(__xludf.DUMMYFUNCTION("""COMPUTED_VALUE"""),"Brasil - São Paulo/SP (Itaim Bibi, loja principal)")</f>
        <v>Brasil - São Paulo/SP (Itaim Bibi, loja principal)</v>
      </c>
      <c r="BD436" s="4" t="str">
        <f>IFERROR(__xludf.DUMMYFUNCTION("""COMPUTED_VALUE"""),"R$ 45 - R$ 80")</f>
        <v>R$ 45 - R$ 80</v>
      </c>
      <c r="BE436" s="4">
        <f>IFERROR(__xludf.DUMMYFUNCTION("""COMPUTED_VALUE"""),60.0)</f>
        <v>60</v>
      </c>
      <c r="BF436" s="4">
        <f>IFERROR(__xludf.DUMMYFUNCTION("""COMPUTED_VALUE"""),75.0)</f>
        <v>75</v>
      </c>
      <c r="BG436" s="4" t="str">
        <f>IFERROR(__xludf.DUMMYFUNCTION("""COMPUTED_VALUE"""),"Dado não identificado publicamente - Necessário Discovery")</f>
        <v>Dado não identificado publicamente - Necessário Discovery</v>
      </c>
      <c r="BH436" s="4" t="s">
        <v>63</v>
      </c>
      <c r="BI436" s="7" t="s">
        <v>63</v>
      </c>
    </row>
    <row r="437" hidden="1">
      <c r="A437" s="4" t="str">
        <f>IFERROR(__xludf.DUMMYFUNCTION("""COMPUTED_VALUE"""),"Paris 6")</f>
        <v>Paris 6</v>
      </c>
      <c r="B437" s="4" t="str">
        <f>IFERROR(__xludf.DUMMYFUNCTION("""COMPUTED_VALUE"""),"João Biagiotti")</f>
        <v>João Biagiotti</v>
      </c>
      <c r="C437" s="4" t="str">
        <f>IFERROR(__xludf.DUMMYFUNCTION("""COMPUTED_VALUE"""),"Diego Santos")</f>
        <v>Diego Santos</v>
      </c>
      <c r="D437" s="4" t="str">
        <f>IFERROR(__xludf.DUMMYFUNCTION("""COMPUTED_VALUE"""),"0. Não Iniciado")</f>
        <v>0. Não Iniciado</v>
      </c>
      <c r="E437" s="4" t="str">
        <f>IFERROR(__xludf.DUMMYFUNCTION("""COMPUTED_VALUE"""),"Comercial - Tentativa não iniciada")</f>
        <v>Comercial - Tentativa não iniciada</v>
      </c>
      <c r="F437" s="4" t="str">
        <f>IFERROR(__xludf.DUMMYFUNCTION("""COMPUTED_VALUE"""),"P")</f>
        <v>P</v>
      </c>
      <c r="G437" s="5">
        <f>IFERROR(__xludf.DUMMYFUNCTION("""COMPUTED_VALUE"""),46076.0)</f>
        <v>46076</v>
      </c>
      <c r="H437" s="4" t="str">
        <f>IFERROR(__xludf.DUMMYFUNCTION("""COMPUTED_VALUE"""),"samuel fez contato com cliente mas sem devolutiva.")</f>
        <v>samuel fez contato com cliente mas sem devolutiva.</v>
      </c>
      <c r="I437" s="4"/>
      <c r="J437" s="4"/>
      <c r="K437" s="4"/>
      <c r="L437" s="4"/>
      <c r="M437" s="4"/>
      <c r="N437" s="4"/>
      <c r="O437" s="4"/>
      <c r="P437" s="4"/>
      <c r="Q437" s="4"/>
      <c r="R437" s="4"/>
      <c r="S437" s="4"/>
      <c r="T437" s="4"/>
      <c r="U437" s="4"/>
      <c r="V437" s="4"/>
      <c r="W437" s="4"/>
      <c r="X437" s="4"/>
      <c r="Y437" s="4"/>
      <c r="Z437" s="4"/>
      <c r="AA437" s="4">
        <f>IFERROR(__xludf.DUMMYFUNCTION("""COMPUTED_VALUE"""),12.0)</f>
        <v>12</v>
      </c>
      <c r="AB437" s="4" t="str">
        <f>IFERROR(__xludf.DUMMYFUNCTION("""COMPUTED_VALUE"""),"NÃO")</f>
        <v>NÃO</v>
      </c>
      <c r="AC437" s="4" t="str">
        <f>IFERROR(__xludf.DUMMYFUNCTION("""COMPUTED_VALUE"""),"Não BP")</f>
        <v>Não BP</v>
      </c>
      <c r="AD437" s="4"/>
      <c r="AE437" s="4"/>
      <c r="AF437" s="4"/>
      <c r="AG437" s="4"/>
      <c r="AH437" s="4"/>
      <c r="AI437" s="4"/>
      <c r="AJ437" s="4"/>
      <c r="AK437" s="4"/>
      <c r="AL437" s="4"/>
      <c r="AM437" s="4" t="str">
        <f>IFERROR(__xludf.DUMMYFUNCTION("""COMPUTED_VALUE"""),"FY26, FY27")</f>
        <v>FY26, FY27</v>
      </c>
      <c r="AN437" s="4"/>
      <c r="AO437" s="4">
        <f>IFERROR(__xludf.DUMMYFUNCTION("""COMPUTED_VALUE"""),140.0)</f>
        <v>140</v>
      </c>
      <c r="AP437" s="4" t="str">
        <f>IFERROR(__xludf.DUMMYFUNCTION("""COMPUTED_VALUE"""),"SP")</f>
        <v>SP</v>
      </c>
      <c r="AQ437" s="4" t="str">
        <f>IFERROR(__xludf.DUMMYFUNCTION("""COMPUTED_VALUE"""),"FABRYCIO MORI")</f>
        <v>FABRYCIO MORI</v>
      </c>
      <c r="AR437" s="4">
        <f>IFERROR(__xludf.DUMMYFUNCTION("""COMPUTED_VALUE"""),0.0)</f>
        <v>0</v>
      </c>
      <c r="AS437" s="4">
        <f>IFERROR(__xludf.DUMMYFUNCTION("""COMPUTED_VALUE"""),0.0)</f>
        <v>0</v>
      </c>
      <c r="AT437" s="4">
        <f>IFERROR(__xludf.DUMMYFUNCTION("""COMPUTED_VALUE"""),0.0)</f>
        <v>0</v>
      </c>
      <c r="AU437" s="4" t="str">
        <f>IFERROR(__xludf.DUMMYFUNCTION("""COMPUTED_VALUE"""),"Iza")</f>
        <v>Iza</v>
      </c>
      <c r="AV437" s="4">
        <f>IFERROR(__xludf.DUMMYFUNCTION("""COMPUTED_VALUE"""),0.0)</f>
        <v>0</v>
      </c>
      <c r="AW437" s="4">
        <f>IFERROR(__xludf.DUMMYFUNCTION("""COMPUTED_VALUE"""),0.0)</f>
        <v>0</v>
      </c>
      <c r="AX437" s="4">
        <f>IFERROR(__xludf.DUMMYFUNCTION("""COMPUTED_VALUE"""),0.0)</f>
        <v>0</v>
      </c>
      <c r="AY437" s="4"/>
      <c r="AZ437" s="4" t="str">
        <f>IFERROR(__xludf.DUMMYFUNCTION("""COMPUTED_VALUE"""),"Francesa")</f>
        <v>Francesa</v>
      </c>
      <c r="BA437" s="4" t="str">
        <f>IFERROR(__xludf.DUMMYFUNCTION("""COMPUTED_VALUE"""),"")</f>
        <v/>
      </c>
      <c r="BB437" s="4" t="str">
        <f>IFERROR(__xludf.DUMMYFUNCTION("""COMPUTED_VALUE"""),"")</f>
        <v/>
      </c>
      <c r="BC437" s="4" t="str">
        <f>IFERROR(__xludf.DUMMYFUNCTION("""COMPUTED_VALUE"""),"")</f>
        <v/>
      </c>
      <c r="BD437" s="4" t="str">
        <f>IFERROR(__xludf.DUMMYFUNCTION("""COMPUTED_VALUE"""),"")</f>
        <v/>
      </c>
      <c r="BE437" s="4" t="str">
        <f>IFERROR(__xludf.DUMMYFUNCTION("""COMPUTED_VALUE"""),"")</f>
        <v/>
      </c>
      <c r="BF437" s="4" t="str">
        <f>IFERROR(__xludf.DUMMYFUNCTION("""COMPUTED_VALUE"""),"")</f>
        <v/>
      </c>
      <c r="BG437" s="4" t="str">
        <f>IFERROR(__xludf.DUMMYFUNCTION("""COMPUTED_VALUE"""),"")</f>
        <v/>
      </c>
      <c r="BH437" s="4" t="s">
        <v>63</v>
      </c>
      <c r="BI437" s="7" t="s">
        <v>63</v>
      </c>
    </row>
    <row r="438" hidden="1">
      <c r="A438" s="4" t="str">
        <f>IFERROR(__xludf.DUMMYFUNCTION("""COMPUTED_VALUE"""),"Parmê")</f>
        <v>Parmê</v>
      </c>
      <c r="B438" s="4" t="str">
        <f>IFERROR(__xludf.DUMMYFUNCTION("""COMPUTED_VALUE"""),"Lídia Esteves")</f>
        <v>Lídia Esteves</v>
      </c>
      <c r="C438" s="4" t="str">
        <f>IFERROR(__xludf.DUMMYFUNCTION("""COMPUTED_VALUE"""),"Gabriela Roma")</f>
        <v>Gabriela Roma</v>
      </c>
      <c r="D438" s="4" t="str">
        <f>IFERROR(__xludf.DUMMYFUNCTION("""COMPUTED_VALUE"""),"0. Não Iniciado")</f>
        <v>0. Não Iniciado</v>
      </c>
      <c r="E438" s="4"/>
      <c r="F438" s="4" t="str">
        <f>IFERROR(__xludf.DUMMYFUNCTION("""COMPUTED_VALUE"""),"P")</f>
        <v>P</v>
      </c>
      <c r="G438" s="4"/>
      <c r="H438" s="4"/>
      <c r="I438" s="4"/>
      <c r="J438" s="4"/>
      <c r="K438" s="4"/>
      <c r="L438" s="4"/>
      <c r="M438" s="4"/>
      <c r="N438" s="4"/>
      <c r="O438" s="4"/>
      <c r="P438" s="4"/>
      <c r="Q438" s="4"/>
      <c r="R438" s="4"/>
      <c r="S438" s="4"/>
      <c r="T438" s="4"/>
      <c r="U438" s="4"/>
      <c r="V438" s="4"/>
      <c r="W438" s="4"/>
      <c r="X438" s="4"/>
      <c r="Y438" s="4"/>
      <c r="Z438" s="4"/>
      <c r="AA438" s="4">
        <f>IFERROR(__xludf.DUMMYFUNCTION("""COMPUTED_VALUE"""),20.0)</f>
        <v>20</v>
      </c>
      <c r="AB438" s="4" t="str">
        <f>IFERROR(__xludf.DUMMYFUNCTION("""COMPUTED_VALUE"""),"NÃO")</f>
        <v>NÃO</v>
      </c>
      <c r="AC438" s="4" t="str">
        <f>IFERROR(__xludf.DUMMYFUNCTION("""COMPUTED_VALUE"""),"Não BP")</f>
        <v>Não BP</v>
      </c>
      <c r="AD438" s="4"/>
      <c r="AE438" s="4"/>
      <c r="AF438" s="4"/>
      <c r="AG438" s="4"/>
      <c r="AH438" s="4"/>
      <c r="AI438" s="4"/>
      <c r="AJ438" s="4"/>
      <c r="AK438" s="4"/>
      <c r="AL438" s="4"/>
      <c r="AM438" s="4" t="str">
        <f>IFERROR(__xludf.DUMMYFUNCTION("""COMPUTED_VALUE"""),"FY26, FY27")</f>
        <v>FY26, FY27</v>
      </c>
      <c r="AN438" s="4"/>
      <c r="AO438" s="4">
        <f>IFERROR(__xludf.DUMMYFUNCTION("""COMPUTED_VALUE"""),45553.0)</f>
        <v>45553</v>
      </c>
      <c r="AP438" s="4">
        <f>IFERROR(__xludf.DUMMYFUNCTION("""COMPUTED_VALUE"""),0.0)</f>
        <v>0</v>
      </c>
      <c r="AQ438" s="4">
        <f>IFERROR(__xludf.DUMMYFUNCTION("""COMPUTED_VALUE"""),0.0)</f>
        <v>0</v>
      </c>
      <c r="AR438" s="4">
        <f>IFERROR(__xludf.DUMMYFUNCTION("""COMPUTED_VALUE"""),0.0)</f>
        <v>0</v>
      </c>
      <c r="AS438" s="4">
        <f>IFERROR(__xludf.DUMMYFUNCTION("""COMPUTED_VALUE"""),0.0)</f>
        <v>0</v>
      </c>
      <c r="AT438" s="4">
        <f>IFERROR(__xludf.DUMMYFUNCTION("""COMPUTED_VALUE"""),0.0)</f>
        <v>0</v>
      </c>
      <c r="AU438" s="4" t="str">
        <f>IFERROR(__xludf.DUMMYFUNCTION("""COMPUTED_VALUE"""),"Emerson")</f>
        <v>Emerson</v>
      </c>
      <c r="AV438" s="4">
        <f>IFERROR(__xludf.DUMMYFUNCTION("""COMPUTED_VALUE"""),0.0)</f>
        <v>0</v>
      </c>
      <c r="AW438" s="4">
        <f>IFERROR(__xludf.DUMMYFUNCTION("""COMPUTED_VALUE"""),0.0)</f>
        <v>0</v>
      </c>
      <c r="AX438" s="4">
        <f>IFERROR(__xludf.DUMMYFUNCTION("""COMPUTED_VALUE"""),0.0)</f>
        <v>0</v>
      </c>
      <c r="AY438" s="4"/>
      <c r="AZ438" s="4" t="str">
        <f>IFERROR(__xludf.DUMMYFUNCTION("""COMPUTED_VALUE"""),"NA")</f>
        <v>NA</v>
      </c>
      <c r="BA438" s="4" t="str">
        <f>IFERROR(__xludf.DUMMYFUNCTION("""COMPUTED_VALUE"""),"R$ 200k/mês por unidade (média)")</f>
        <v>R$ 200k/mês por unidade (média)</v>
      </c>
      <c r="BB438" s="4" t="str">
        <f>IFERROR(__xludf.DUMMYFUNCTION("""COMPUTED_VALUE"""),"Table Service/Delivery - Pizzaria tradicional carioca")</f>
        <v>Table Service/Delivery - Pizzaria tradicional carioca</v>
      </c>
      <c r="BC438" s="4" t="str">
        <f>IFERROR(__xludf.DUMMYFUNCTION("""COMPUTED_VALUE"""),"Brasil - Rio de Janeiro/RJ (60+ unidades em shoppings e ruas)")</f>
        <v>Brasil - Rio de Janeiro/RJ (60+ unidades em shoppings e ruas)</v>
      </c>
      <c r="BD438" s="4" t="str">
        <f>IFERROR(__xludf.DUMMYFUNCTION("""COMPUTED_VALUE"""),"R$ 60 - R$ 120")</f>
        <v>R$ 60 - R$ 120</v>
      </c>
      <c r="BE438" s="4">
        <f>IFERROR(__xludf.DUMMYFUNCTION("""COMPUTED_VALUE"""),90.0)</f>
        <v>90</v>
      </c>
      <c r="BF438" s="4">
        <f>IFERROR(__xludf.DUMMYFUNCTION("""COMPUTED_VALUE"""),75.0)</f>
        <v>75</v>
      </c>
      <c r="BG438" s="4" t="str">
        <f>IFERROR(__xludf.DUMMYFUNCTION("""COMPUTED_VALUE"""),"Dado não identificado publicamente - Necessário Discovery")</f>
        <v>Dado não identificado publicamente - Necessário Discovery</v>
      </c>
      <c r="BH438" s="4" t="s">
        <v>63</v>
      </c>
      <c r="BI438" s="7" t="s">
        <v>63</v>
      </c>
    </row>
    <row r="439" hidden="1">
      <c r="A439" s="4" t="str">
        <f>IFERROR(__xludf.DUMMYFUNCTION("""COMPUTED_VALUE"""),"Parmeggio")</f>
        <v>Parmeggio</v>
      </c>
      <c r="B439" s="4" t="str">
        <f>IFERROR(__xludf.DUMMYFUNCTION("""COMPUTED_VALUE"""),"João Biagiotti")</f>
        <v>João Biagiotti</v>
      </c>
      <c r="C439" s="4" t="str">
        <f>IFERROR(__xludf.DUMMYFUNCTION("""COMPUTED_VALUE"""),"Diego Santos")</f>
        <v>Diego Santos</v>
      </c>
      <c r="D439" s="4" t="str">
        <f>IFERROR(__xludf.DUMMYFUNCTION("""COMPUTED_VALUE"""),"9. Contrato assinado")</f>
        <v>9. Contrato assinado</v>
      </c>
      <c r="E439" s="4" t="str">
        <f>IFERROR(__xludf.DUMMYFUNCTION("""COMPUTED_VALUE"""),"Projetos - Em piloto")</f>
        <v>Projetos - Em piloto</v>
      </c>
      <c r="F439" s="4" t="str">
        <f>IFERROR(__xludf.DUMMYFUNCTION("""COMPUTED_VALUE"""),"M")</f>
        <v>M</v>
      </c>
      <c r="G439" s="5">
        <f>IFERROR(__xludf.DUMMYFUNCTION("""COMPUTED_VALUE"""),46135.0)</f>
        <v>46135</v>
      </c>
      <c r="H439" s="4" t="str">
        <f>IFERROR(__xludf.DUMMYFUNCTION("""COMPUTED_VALUE"""),"Alinhado com o cliente sobre a assinatura do contrato. ")</f>
        <v>Alinhado com o cliente sobre a assinatura do contrato. </v>
      </c>
      <c r="I439" s="4"/>
      <c r="J439" s="6">
        <f>IFERROR(__xludf.DUMMYFUNCTION("""COMPUTED_VALUE"""),46063.39497116898)</f>
        <v>46063.39497</v>
      </c>
      <c r="K439" s="6">
        <f>IFERROR(__xludf.DUMMYFUNCTION("""COMPUTED_VALUE"""),46063.39497116898)</f>
        <v>46063.39497</v>
      </c>
      <c r="L439" s="6">
        <f>IFERROR(__xludf.DUMMYFUNCTION("""COMPUTED_VALUE"""),46097.480813159724)</f>
        <v>46097.48081</v>
      </c>
      <c r="M439" s="6">
        <f>IFERROR(__xludf.DUMMYFUNCTION("""COMPUTED_VALUE"""),46100.68869384259)</f>
        <v>46100.68869</v>
      </c>
      <c r="N439" s="6">
        <f>IFERROR(__xludf.DUMMYFUNCTION("""COMPUTED_VALUE"""),46101.46508417824)</f>
        <v>46101.46508</v>
      </c>
      <c r="O439" s="4"/>
      <c r="P439" s="6">
        <f>IFERROR(__xludf.DUMMYFUNCTION("""COMPUTED_VALUE"""),46113.614392766205)</f>
        <v>46113.61439</v>
      </c>
      <c r="Q439" s="6">
        <f>IFERROR(__xludf.DUMMYFUNCTION("""COMPUTED_VALUE"""),46142.72363586805)</f>
        <v>46142.72364</v>
      </c>
      <c r="R439" s="4"/>
      <c r="S439" s="4"/>
      <c r="T439" s="4"/>
      <c r="U439" s="4"/>
      <c r="V439" s="4"/>
      <c r="W439" s="8">
        <f>IFERROR(__xludf.DUMMYFUNCTION("""COMPUTED_VALUE"""),350.0)</f>
        <v>350</v>
      </c>
      <c r="X439" s="4">
        <f>IFERROR(__xludf.DUMMYFUNCTION("""COMPUTED_VALUE"""),12.0)</f>
        <v>12</v>
      </c>
      <c r="Y439" s="8">
        <f>IFERROR(__xludf.DUMMYFUNCTION("""COMPUTED_VALUE"""),0.0)</f>
        <v>0</v>
      </c>
      <c r="Z439" s="8">
        <f>IFERROR(__xludf.DUMMYFUNCTION("""COMPUTED_VALUE"""),0.0)</f>
        <v>0</v>
      </c>
      <c r="AA439" s="4">
        <f>IFERROR(__xludf.DUMMYFUNCTION("""COMPUTED_VALUE"""),56.0)</f>
        <v>56</v>
      </c>
      <c r="AB439" s="4" t="str">
        <f>IFERROR(__xludf.DUMMYFUNCTION("""COMPUTED_VALUE"""),"NÃO")</f>
        <v>NÃO</v>
      </c>
      <c r="AC439" s="4" t="str">
        <f>IFERROR(__xludf.DUMMYFUNCTION("""COMPUTED_VALUE"""),"Não BP")</f>
        <v>Não BP</v>
      </c>
      <c r="AD439" s="4"/>
      <c r="AE439" s="4"/>
      <c r="AF439" s="4"/>
      <c r="AG439" s="4"/>
      <c r="AH439" s="4"/>
      <c r="AI439" s="4"/>
      <c r="AJ439" s="4"/>
      <c r="AK439" s="4"/>
      <c r="AL439" s="4"/>
      <c r="AM439" s="4" t="str">
        <f>IFERROR(__xludf.DUMMYFUNCTION("""COMPUTED_VALUE"""),"FY26, FY27")</f>
        <v>FY26, FY27</v>
      </c>
      <c r="AN439" s="4" t="str">
        <f>IFERROR(__xludf.DUMMYFUNCTION("""COMPUTED_VALUE"""),"Comer Fora")</f>
        <v>Comer Fora</v>
      </c>
      <c r="AO439" s="4">
        <f>IFERROR(__xludf.DUMMYFUNCTION("""COMPUTED_VALUE"""),80.0)</f>
        <v>80</v>
      </c>
      <c r="AP439" s="4" t="str">
        <f>IFERROR(__xludf.DUMMYFUNCTION("""COMPUTED_VALUE"""),"SP")</f>
        <v>SP</v>
      </c>
      <c r="AQ439" s="4" t="str">
        <f>IFERROR(__xludf.DUMMYFUNCTION("""COMPUTED_VALUE"""),"NATALIA MANZINI")</f>
        <v>NATALIA MANZINI</v>
      </c>
      <c r="AR439" s="4" t="str">
        <f>IFERROR(__xludf.DUMMYFUNCTION("""COMPUTED_VALUE"""),"HEITOR ARROYO")</f>
        <v>HEITOR ARROYO</v>
      </c>
      <c r="AS439" s="4" t="str">
        <f>IFERROR(__xludf.DUMMYFUNCTION("""COMPUTED_VALUE"""),"THIAGO ROMAGNOLE")</f>
        <v>THIAGO ROMAGNOLE</v>
      </c>
      <c r="AT439" s="4" t="str">
        <f>IFERROR(__xludf.DUMMYFUNCTION("""COMPUTED_VALUE"""),"BRUNA TASSINARI")</f>
        <v>BRUNA TASSINARI</v>
      </c>
      <c r="AU439" s="4" t="str">
        <f>IFERROR(__xludf.DUMMYFUNCTION("""COMPUTED_VALUE"""),"Diego")</f>
        <v>Diego</v>
      </c>
      <c r="AV439" s="4" t="str">
        <f>IFERROR(__xludf.DUMMYFUNCTION("""COMPUTED_VALUE"""),"Comer Fora-Ativo na vitrine")</f>
        <v>Comer Fora-Ativo na vitrine</v>
      </c>
      <c r="AW439" s="20" t="str">
        <f>IFERROR(__xludf.DUMMYFUNCTION("""COMPUTED_VALUE"""),"P e M - pipe")</f>
        <v>P e M - pipe</v>
      </c>
      <c r="AX439" s="4"/>
      <c r="AY439" s="4"/>
      <c r="AZ439" s="4" t="str">
        <f>IFERROR(__xludf.DUMMYFUNCTION("""COMPUTED_VALUE"""),"Brasileira")</f>
        <v>Brasileira</v>
      </c>
      <c r="BA439" s="4" t="str">
        <f>IFERROR(__xludf.DUMMYFUNCTION("""COMPUTED_VALUE"""),"")</f>
        <v/>
      </c>
      <c r="BB439" s="4" t="str">
        <f>IFERROR(__xludf.DUMMYFUNCTION("""COMPUTED_VALUE"""),"")</f>
        <v/>
      </c>
      <c r="BC439" s="4" t="str">
        <f>IFERROR(__xludf.DUMMYFUNCTION("""COMPUTED_VALUE"""),"")</f>
        <v/>
      </c>
      <c r="BD439" s="4" t="str">
        <f>IFERROR(__xludf.DUMMYFUNCTION("""COMPUTED_VALUE"""),"")</f>
        <v/>
      </c>
      <c r="BE439" s="4" t="str">
        <f>IFERROR(__xludf.DUMMYFUNCTION("""COMPUTED_VALUE"""),"")</f>
        <v/>
      </c>
      <c r="BF439" s="4" t="str">
        <f>IFERROR(__xludf.DUMMYFUNCTION("""COMPUTED_VALUE"""),"")</f>
        <v/>
      </c>
      <c r="BG439" s="4" t="str">
        <f>IFERROR(__xludf.DUMMYFUNCTION("""COMPUTED_VALUE"""),"")</f>
        <v/>
      </c>
      <c r="BH439" s="4" t="s">
        <v>74</v>
      </c>
      <c r="BI439" s="7">
        <v>0.85</v>
      </c>
    </row>
    <row r="440" hidden="1">
      <c r="A440" s="4" t="str">
        <f>IFERROR(__xludf.DUMMYFUNCTION("""COMPUTED_VALUE"""),"Pati Piva")</f>
        <v>Pati Piva</v>
      </c>
      <c r="B440" s="4" t="str">
        <f>IFERROR(__xludf.DUMMYFUNCTION("""COMPUTED_VALUE"""),"João Biagiotti")</f>
        <v>João Biagiotti</v>
      </c>
      <c r="C440" s="4" t="str">
        <f>IFERROR(__xludf.DUMMYFUNCTION("""COMPUTED_VALUE"""),"Diego Santos")</f>
        <v>Diego Santos</v>
      </c>
      <c r="D440" s="4" t="str">
        <f>IFERROR(__xludf.DUMMYFUNCTION("""COMPUTED_VALUE"""),"0. Não Iniciado")</f>
        <v>0. Não Iniciado</v>
      </c>
      <c r="E440" s="4" t="str">
        <f>IFERROR(__xludf.DUMMYFUNCTION("""COMPUTED_VALUE"""),"Delivery - Aguardando retorno executivo")</f>
        <v>Delivery - Aguardando retorno executivo</v>
      </c>
      <c r="F440" s="4" t="str">
        <f>IFERROR(__xludf.DUMMYFUNCTION("""COMPUTED_VALUE"""),"P")</f>
        <v>P</v>
      </c>
      <c r="G440" s="5">
        <f>IFERROR(__xludf.DUMMYFUNCTION("""COMPUTED_VALUE"""),46076.0)</f>
        <v>46076</v>
      </c>
      <c r="H440" s="4" t="str">
        <f>IFERROR(__xludf.DUMMYFUNCTION("""COMPUTED_VALUE"""),"Em contato co KA Carol para possível reunião.")</f>
        <v>Em contato co KA Carol para possível reunião.</v>
      </c>
      <c r="I440" s="4"/>
      <c r="J440" s="4"/>
      <c r="K440" s="4"/>
      <c r="L440" s="4"/>
      <c r="M440" s="4"/>
      <c r="N440" s="4"/>
      <c r="O440" s="4"/>
      <c r="P440" s="4"/>
      <c r="Q440" s="4"/>
      <c r="R440" s="4"/>
      <c r="S440" s="4"/>
      <c r="T440" s="4"/>
      <c r="U440" s="4"/>
      <c r="V440" s="4"/>
      <c r="W440" s="4"/>
      <c r="X440" s="4"/>
      <c r="Y440" s="4"/>
      <c r="Z440" s="4"/>
      <c r="AA440" s="4">
        <f>IFERROR(__xludf.DUMMYFUNCTION("""COMPUTED_VALUE"""),5.0)</f>
        <v>5</v>
      </c>
      <c r="AB440" s="4" t="str">
        <f>IFERROR(__xludf.DUMMYFUNCTION("""COMPUTED_VALUE"""),"NÃO")</f>
        <v>NÃO</v>
      </c>
      <c r="AC440" s="4" t="str">
        <f>IFERROR(__xludf.DUMMYFUNCTION("""COMPUTED_VALUE"""),"BP")</f>
        <v>BP</v>
      </c>
      <c r="AD440" s="4"/>
      <c r="AE440" s="4"/>
      <c r="AF440" s="4"/>
      <c r="AG440" s="4"/>
      <c r="AH440" s="4"/>
      <c r="AI440" s="4"/>
      <c r="AJ440" s="4"/>
      <c r="AK440" s="4"/>
      <c r="AL440" s="4"/>
      <c r="AM440" s="4" t="str">
        <f>IFERROR(__xludf.DUMMYFUNCTION("""COMPUTED_VALUE"""),"FY26, FY27")</f>
        <v>FY26, FY27</v>
      </c>
      <c r="AN440" s="4" t="str">
        <f>IFERROR(__xludf.DUMMYFUNCTION("""COMPUTED_VALUE"""),"Comer Fora")</f>
        <v>Comer Fora</v>
      </c>
      <c r="AO440" s="4">
        <f>IFERROR(__xludf.DUMMYFUNCTION("""COMPUTED_VALUE"""),140.0)</f>
        <v>140</v>
      </c>
      <c r="AP440" s="4" t="str">
        <f>IFERROR(__xludf.DUMMYFUNCTION("""COMPUTED_VALUE"""),"SP")</f>
        <v>SP</v>
      </c>
      <c r="AQ440" s="4" t="str">
        <f>IFERROR(__xludf.DUMMYFUNCTION("""COMPUTED_VALUE"""),"JULIA TAKEMOTO")</f>
        <v>JULIA TAKEMOTO</v>
      </c>
      <c r="AR440" s="4" t="str">
        <f>IFERROR(__xludf.DUMMYFUNCTION("""COMPUTED_VALUE"""),"CAROLINA DOURADO")</f>
        <v>CAROLINA DOURADO</v>
      </c>
      <c r="AS440" s="4" t="str">
        <f>IFERROR(__xludf.DUMMYFUNCTION("""COMPUTED_VALUE"""),"NATHALIE MERTENS")</f>
        <v>NATHALIE MERTENS</v>
      </c>
      <c r="AT440" s="4" t="str">
        <f>IFERROR(__xludf.DUMMYFUNCTION("""COMPUTED_VALUE"""),"MARIANA KATZ")</f>
        <v>MARIANA KATZ</v>
      </c>
      <c r="AU440" s="4" t="str">
        <f>IFERROR(__xludf.DUMMYFUNCTION("""COMPUTED_VALUE"""),"Iza")</f>
        <v>Iza</v>
      </c>
      <c r="AV440" s="4">
        <f>IFERROR(__xludf.DUMMYFUNCTION("""COMPUTED_VALUE"""),0.0)</f>
        <v>0</v>
      </c>
      <c r="AW440" s="4">
        <f>IFERROR(__xludf.DUMMYFUNCTION("""COMPUTED_VALUE"""),0.0)</f>
        <v>0</v>
      </c>
      <c r="AX440" s="4">
        <f>IFERROR(__xludf.DUMMYFUNCTION("""COMPUTED_VALUE"""),0.0)</f>
        <v>0</v>
      </c>
      <c r="AY440" s="4"/>
      <c r="AZ440" s="4" t="str">
        <f>IFERROR(__xludf.DUMMYFUNCTION("""COMPUTED_VALUE"""),"Doces &amp; Bolos")</f>
        <v>Doces &amp; Bolos</v>
      </c>
      <c r="BA440" s="4" t="str">
        <f>IFERROR(__xludf.DUMMYFUNCTION("""COMPUTED_VALUE"""),"R$ 50-120")</f>
        <v>R$ 50-120</v>
      </c>
      <c r="BB440" s="4" t="str">
        <f>IFERROR(__xludf.DUMMYFUNCTION("""COMPUTED_VALUE"""),"Retail - Confeitaria Premium")</f>
        <v>Retail - Confeitaria Premium</v>
      </c>
      <c r="BC440" s="4" t="str">
        <f>IFERROR(__xludf.DUMMYFUNCTION("""COMPUTED_VALUE"""),"São Paulo/SP")</f>
        <v>São Paulo/SP</v>
      </c>
      <c r="BD440" s="4" t="str">
        <f>IFERROR(__xludf.DUMMYFUNCTION("""COMPUTED_VALUE"""),"Necessário Discovery")</f>
        <v>Necessário Discovery</v>
      </c>
      <c r="BE440" s="4">
        <f>IFERROR(__xludf.DUMMYFUNCTION("""COMPUTED_VALUE"""),58.0)</f>
        <v>58</v>
      </c>
      <c r="BF440" s="4">
        <f>IFERROR(__xludf.DUMMYFUNCTION("""COMPUTED_VALUE"""),0.62)</f>
        <v>0.62</v>
      </c>
      <c r="BG440" s="4" t="str">
        <f>IFERROR(__xludf.DUMMYFUNCTION("""COMPUTED_VALUE"""),"PDV não identificado - Confeitaria premium. Modelo próprio e-commerce. 3S: integração omnichannel (física + online + delivery), gestão estoque/fiscal")</f>
        <v>PDV não identificado - Confeitaria premium. Modelo próprio e-commerce. 3S: integração omnichannel (física + online + delivery), gestão estoque/fiscal</v>
      </c>
      <c r="BH440" s="4" t="s">
        <v>63</v>
      </c>
      <c r="BI440" s="7" t="s">
        <v>63</v>
      </c>
    </row>
    <row r="441">
      <c r="A441" s="4" t="str">
        <f>IFERROR(__xludf.DUMMYFUNCTION("""COMPUTED_VALUE"""),"Patroni")</f>
        <v>Patroni</v>
      </c>
      <c r="B441" s="4" t="str">
        <f>IFERROR(__xludf.DUMMYFUNCTION("""COMPUTED_VALUE"""),"Leonardo Roso")</f>
        <v>Leonardo Roso</v>
      </c>
      <c r="C441" s="4" t="str">
        <f>IFERROR(__xludf.DUMMYFUNCTION("""COMPUTED_VALUE"""),"Leonardo Roso")</f>
        <v>Leonardo Roso</v>
      </c>
      <c r="D441" s="4" t="str">
        <f>IFERROR(__xludf.DUMMYFUNCTION("""COMPUTED_VALUE"""),"2. Primeiro contato com a marca")</f>
        <v>2. Primeiro contato com a marca</v>
      </c>
      <c r="E441" s="4" t="str">
        <f>IFERROR(__xludf.DUMMYFUNCTION("""COMPUTED_VALUE"""),"Delivery - Aguardando retorno / Conciliação agenda")</f>
        <v>Delivery - Aguardando retorno / Conciliação agenda</v>
      </c>
      <c r="F441" s="4" t="str">
        <f>IFERROR(__xludf.DUMMYFUNCTION("""COMPUTED_VALUE"""),"G")</f>
        <v>G</v>
      </c>
      <c r="G441" s="5">
        <f>IFERROR(__xludf.DUMMYFUNCTION("""COMPUTED_VALUE"""),46119.0)</f>
        <v>46119</v>
      </c>
      <c r="H441" s="4" t="str">
        <f>IFERROR(__xludf.DUMMYFUNCTION("""COMPUTED_VALUE"""),"Retomar contatos com Rafael (Ceo Patroni), tentativa em conjunto com o delivery")</f>
        <v>Retomar contatos com Rafael (Ceo Patroni), tentativa em conjunto com o delivery</v>
      </c>
      <c r="I441" s="4"/>
      <c r="J441" s="6">
        <f>IFERROR(__xludf.DUMMYFUNCTION("""COMPUTED_VALUE"""),46119.66167934028)</f>
        <v>46119.66168</v>
      </c>
      <c r="K441" s="6">
        <f>IFERROR(__xludf.DUMMYFUNCTION("""COMPUTED_VALUE"""),45807.0)</f>
        <v>45807</v>
      </c>
      <c r="L441" s="4"/>
      <c r="M441" s="4"/>
      <c r="N441" s="4"/>
      <c r="O441" s="4"/>
      <c r="P441" s="4"/>
      <c r="Q441" s="4"/>
      <c r="R441" s="6">
        <f>IFERROR(__xludf.DUMMYFUNCTION("""COMPUTED_VALUE"""),46064.46954859953)</f>
        <v>46064.46955</v>
      </c>
      <c r="S441" s="6">
        <f>IFERROR(__xludf.DUMMYFUNCTION("""COMPUTED_VALUE"""),46055.39079335648)</f>
        <v>46055.39079</v>
      </c>
      <c r="T441" s="4"/>
      <c r="U441" s="4"/>
      <c r="V441" s="4" t="str">
        <f>IFERROR(__xludf.DUMMYFUNCTION("""COMPUTED_VALUE"""),"Trava por projetos internos da marca")</f>
        <v>Trava por projetos internos da marca</v>
      </c>
      <c r="W441" s="4"/>
      <c r="X441" s="4"/>
      <c r="Y441" s="4"/>
      <c r="Z441" s="4"/>
      <c r="AA441" s="4">
        <f>IFERROR(__xludf.DUMMYFUNCTION("""COMPUTED_VALUE"""),88.0)</f>
        <v>88</v>
      </c>
      <c r="AB441" s="4" t="str">
        <f>IFERROR(__xludf.DUMMYFUNCTION("""COMPUTED_VALUE"""),"NÃO")</f>
        <v>NÃO</v>
      </c>
      <c r="AC441" s="4" t="str">
        <f>IFERROR(__xludf.DUMMYFUNCTION("""COMPUTED_VALUE"""),"BP")</f>
        <v>BP</v>
      </c>
      <c r="AD441" s="4"/>
      <c r="AE441" s="4"/>
      <c r="AF441" s="4"/>
      <c r="AG441" s="4"/>
      <c r="AH441" s="4"/>
      <c r="AI441" s="4"/>
      <c r="AJ441" s="4"/>
      <c r="AK441" s="4"/>
      <c r="AL441" s="4"/>
      <c r="AM441" s="4" t="str">
        <f>IFERROR(__xludf.DUMMYFUNCTION("""COMPUTED_VALUE"""),"FY26, FY27")</f>
        <v>FY26, FY27</v>
      </c>
      <c r="AN441" s="4"/>
      <c r="AO441" s="4">
        <f>IFERROR(__xludf.DUMMYFUNCTION("""COMPUTED_VALUE"""),96.0)</f>
        <v>96</v>
      </c>
      <c r="AP441" s="4" t="str">
        <f>IFERROR(__xludf.DUMMYFUNCTION("""COMPUTED_VALUE"""),"SP")</f>
        <v>SP</v>
      </c>
      <c r="AQ441" s="4" t="str">
        <f>IFERROR(__xludf.DUMMYFUNCTION("""COMPUTED_VALUE"""),"ANDRE CATENASSI")</f>
        <v>ANDRE CATENASSI</v>
      </c>
      <c r="AR441" s="4">
        <f>IFERROR(__xludf.DUMMYFUNCTION("""COMPUTED_VALUE"""),0.0)</f>
        <v>0</v>
      </c>
      <c r="AS441" s="4">
        <f>IFERROR(__xludf.DUMMYFUNCTION("""COMPUTED_VALUE"""),0.0)</f>
        <v>0</v>
      </c>
      <c r="AT441" s="4">
        <f>IFERROR(__xludf.DUMMYFUNCTION("""COMPUTED_VALUE"""),0.0)</f>
        <v>0</v>
      </c>
      <c r="AU441" s="4" t="str">
        <f>IFERROR(__xludf.DUMMYFUNCTION("""COMPUTED_VALUE"""),"Leonardo Roso")</f>
        <v>Leonardo Roso</v>
      </c>
      <c r="AV441" s="4" t="str">
        <f>IFERROR(__xludf.DUMMYFUNCTION("""COMPUTED_VALUE"""),"Comer Fora-")</f>
        <v>Comer Fora-</v>
      </c>
      <c r="AW441" s="20" t="str">
        <f>IFERROR(__xludf.DUMMYFUNCTION("""COMPUTED_VALUE"""),"G - pipe")</f>
        <v>G - pipe</v>
      </c>
      <c r="AX441" s="4"/>
      <c r="AY441" s="4">
        <f>IFERROR(__xludf.DUMMYFUNCTION("""COMPUTED_VALUE"""),0.0)</f>
        <v>0</v>
      </c>
      <c r="AZ441" s="4" t="str">
        <f>IFERROR(__xludf.DUMMYFUNCTION("""COMPUTED_VALUE"""),"Pizza")</f>
        <v>Pizza</v>
      </c>
      <c r="BA441" s="4" t="str">
        <f>IFERROR(__xludf.DUMMYFUNCTION("""COMPUTED_VALUE"""),"")</f>
        <v/>
      </c>
      <c r="BB441" s="4" t="str">
        <f>IFERROR(__xludf.DUMMYFUNCTION("""COMPUTED_VALUE"""),"")</f>
        <v/>
      </c>
      <c r="BC441" s="4" t="str">
        <f>IFERROR(__xludf.DUMMYFUNCTION("""COMPUTED_VALUE"""),"")</f>
        <v/>
      </c>
      <c r="BD441" s="4" t="str">
        <f>IFERROR(__xludf.DUMMYFUNCTION("""COMPUTED_VALUE"""),"")</f>
        <v/>
      </c>
      <c r="BE441" s="4" t="str">
        <f>IFERROR(__xludf.DUMMYFUNCTION("""COMPUTED_VALUE"""),"")</f>
        <v/>
      </c>
      <c r="BF441" s="4" t="str">
        <f>IFERROR(__xludf.DUMMYFUNCTION("""COMPUTED_VALUE"""),"")</f>
        <v/>
      </c>
      <c r="BG441" s="4" t="str">
        <f>IFERROR(__xludf.DUMMYFUNCTION("""COMPUTED_VALUE"""),"")</f>
        <v/>
      </c>
      <c r="BH441" s="4" t="s">
        <v>63</v>
      </c>
      <c r="BI441" s="7" t="s">
        <v>63</v>
      </c>
    </row>
    <row r="442" hidden="1">
      <c r="A442" s="4" t="str">
        <f>IFERROR(__xludf.DUMMYFUNCTION("""COMPUTED_VALUE"""),"Pecorino")</f>
        <v>Pecorino</v>
      </c>
      <c r="B442" s="4" t="str">
        <f>IFERROR(__xludf.DUMMYFUNCTION("""COMPUTED_VALUE"""),"Emerson")</f>
        <v>Emerson</v>
      </c>
      <c r="C442" s="4" t="str">
        <f>IFERROR(__xludf.DUMMYFUNCTION("""COMPUTED_VALUE"""),"Emerson")</f>
        <v>Emerson</v>
      </c>
      <c r="D442" s="4" t="str">
        <f>IFERROR(__xludf.DUMMYFUNCTION("""COMPUTED_VALUE"""),"0. Não Iniciado")</f>
        <v>0. Não Iniciado</v>
      </c>
      <c r="E442" s="4"/>
      <c r="F442" s="4" t="str">
        <f>IFERROR(__xludf.DUMMYFUNCTION("""COMPUTED_VALUE"""),"M")</f>
        <v>M</v>
      </c>
      <c r="G442" s="4"/>
      <c r="H442" s="4"/>
      <c r="I442" s="4"/>
      <c r="J442" s="4"/>
      <c r="K442" s="4"/>
      <c r="L442" s="4"/>
      <c r="M442" s="4"/>
      <c r="N442" s="4"/>
      <c r="O442" s="4"/>
      <c r="P442" s="4"/>
      <c r="Q442" s="4"/>
      <c r="R442" s="4"/>
      <c r="S442" s="4"/>
      <c r="T442" s="4"/>
      <c r="U442" s="4"/>
      <c r="V442" s="4"/>
      <c r="W442" s="4"/>
      <c r="X442" s="4"/>
      <c r="Y442" s="4"/>
      <c r="Z442" s="4"/>
      <c r="AA442" s="4">
        <f>IFERROR(__xludf.DUMMYFUNCTION("""COMPUTED_VALUE"""),50.0)</f>
        <v>50</v>
      </c>
      <c r="AB442" s="4" t="str">
        <f>IFERROR(__xludf.DUMMYFUNCTION("""COMPUTED_VALUE"""),"NÃO")</f>
        <v>NÃO</v>
      </c>
      <c r="AC442" s="4" t="str">
        <f>IFERROR(__xludf.DUMMYFUNCTION("""COMPUTED_VALUE"""),"BP")</f>
        <v>BP</v>
      </c>
      <c r="AD442" s="4"/>
      <c r="AE442" s="4"/>
      <c r="AF442" s="4"/>
      <c r="AG442" s="4"/>
      <c r="AH442" s="4"/>
      <c r="AI442" s="4"/>
      <c r="AJ442" s="4"/>
      <c r="AK442" s="4"/>
      <c r="AL442" s="4"/>
      <c r="AM442" s="4" t="str">
        <f>IFERROR(__xludf.DUMMYFUNCTION("""COMPUTED_VALUE"""),"FY26, FY27")</f>
        <v>FY26, FY27</v>
      </c>
      <c r="AN442" s="4"/>
      <c r="AO442" s="4">
        <f>IFERROR(__xludf.DUMMYFUNCTION("""COMPUTED_VALUE"""),45553.0)</f>
        <v>45553</v>
      </c>
      <c r="AP442" s="4" t="str">
        <f>IFERROR(__xludf.DUMMYFUNCTION("""COMPUTED_VALUE"""),"DF")</f>
        <v>DF</v>
      </c>
      <c r="AQ442" s="4" t="str">
        <f>IFERROR(__xludf.DUMMYFUNCTION("""COMPUTED_VALUE"""),"RAIZA CARDOSO")</f>
        <v>RAIZA CARDOSO</v>
      </c>
      <c r="AR442" s="4">
        <f>IFERROR(__xludf.DUMMYFUNCTION("""COMPUTED_VALUE"""),0.0)</f>
        <v>0</v>
      </c>
      <c r="AS442" s="4">
        <f>IFERROR(__xludf.DUMMYFUNCTION("""COMPUTED_VALUE"""),0.0)</f>
        <v>0</v>
      </c>
      <c r="AT442" s="4">
        <f>IFERROR(__xludf.DUMMYFUNCTION("""COMPUTED_VALUE"""),0.0)</f>
        <v>0</v>
      </c>
      <c r="AU442" s="4" t="str">
        <f>IFERROR(__xludf.DUMMYFUNCTION("""COMPUTED_VALUE"""),"Mariana")</f>
        <v>Mariana</v>
      </c>
      <c r="AV442" s="4" t="str">
        <f>IFERROR(__xludf.DUMMYFUNCTION("""COMPUTED_VALUE"""),"Comer Fora-")</f>
        <v>Comer Fora-</v>
      </c>
      <c r="AW442" s="4" t="str">
        <f>IFERROR(__xludf.DUMMYFUNCTION("""COMPUTED_VALUE"""),"BASE SAIPOS")</f>
        <v>BASE SAIPOS</v>
      </c>
      <c r="AX442" s="4" t="str">
        <f>IFERROR(__xludf.DUMMYFUNCTION("""COMPUTED_VALUE"""),"Base P1+P2")</f>
        <v>Base P1+P2</v>
      </c>
      <c r="AY442" s="4" t="str">
        <f>IFERROR(__xludf.DUMMYFUNCTION("""COMPUTED_VALUE"""),"Hsm Soluções")</f>
        <v>Hsm Soluções</v>
      </c>
      <c r="AZ442" s="4" t="str">
        <f>IFERROR(__xludf.DUMMYFUNCTION("""COMPUTED_VALUE"""),"Italiana")</f>
        <v>Italiana</v>
      </c>
      <c r="BA442" s="4" t="str">
        <f>IFERROR(__xludf.DUMMYFUNCTION("""COMPUTED_VALUE"""),"")</f>
        <v/>
      </c>
      <c r="BB442" s="4" t="str">
        <f>IFERROR(__xludf.DUMMYFUNCTION("""COMPUTED_VALUE"""),"")</f>
        <v/>
      </c>
      <c r="BC442" s="4" t="str">
        <f>IFERROR(__xludf.DUMMYFUNCTION("""COMPUTED_VALUE"""),"")</f>
        <v/>
      </c>
      <c r="BD442" s="4" t="str">
        <f>IFERROR(__xludf.DUMMYFUNCTION("""COMPUTED_VALUE"""),"")</f>
        <v/>
      </c>
      <c r="BE442" s="4" t="str">
        <f>IFERROR(__xludf.DUMMYFUNCTION("""COMPUTED_VALUE"""),"")</f>
        <v/>
      </c>
      <c r="BF442" s="4" t="str">
        <f>IFERROR(__xludf.DUMMYFUNCTION("""COMPUTED_VALUE"""),"")</f>
        <v/>
      </c>
      <c r="BG442" s="4" t="str">
        <f>IFERROR(__xludf.DUMMYFUNCTION("""COMPUTED_VALUE"""),"")</f>
        <v/>
      </c>
      <c r="BH442" s="4" t="s">
        <v>64</v>
      </c>
      <c r="BI442" s="7">
        <v>0.4968553459119497</v>
      </c>
    </row>
    <row r="443" hidden="1">
      <c r="A443" s="4" t="str">
        <f>IFERROR(__xludf.DUMMYFUNCTION("""COMPUTED_VALUE"""),"Perdomo Doces")</f>
        <v>Perdomo Doces</v>
      </c>
      <c r="B443" s="4" t="str">
        <f>IFERROR(__xludf.DUMMYFUNCTION("""COMPUTED_VALUE"""),"Lídia Esteves")</f>
        <v>Lídia Esteves</v>
      </c>
      <c r="C443" s="4" t="str">
        <f>IFERROR(__xludf.DUMMYFUNCTION("""COMPUTED_VALUE"""),"Gabriela Roma")</f>
        <v>Gabriela Roma</v>
      </c>
      <c r="D443" s="4" t="str">
        <f>IFERROR(__xludf.DUMMYFUNCTION("""COMPUTED_VALUE"""),"6. Negociação")</f>
        <v>6. Negociação</v>
      </c>
      <c r="E443" s="4" t="str">
        <f>IFERROR(__xludf.DUMMYFUNCTION("""COMPUTED_VALUE"""),"Parceiro - Aguardando retorno parceiro")</f>
        <v>Parceiro - Aguardando retorno parceiro</v>
      </c>
      <c r="F443" s="4" t="str">
        <f>IFERROR(__xludf.DUMMYFUNCTION("""COMPUTED_VALUE"""),"P")</f>
        <v>P</v>
      </c>
      <c r="G443" s="5">
        <f>IFERROR(__xludf.DUMMYFUNCTION("""COMPUTED_VALUE"""),46154.0)</f>
        <v>46154</v>
      </c>
      <c r="H443" s="4" t="str">
        <f>IFERROR(__xludf.DUMMYFUNCTION("""COMPUTED_VALUE"""),"Aguardando retorno do jurídico, avaliação de proposta.")</f>
        <v>Aguardando retorno do jurídico, avaliação de proposta.</v>
      </c>
      <c r="I443" s="4"/>
      <c r="J443" s="4"/>
      <c r="K443" s="6">
        <f>IFERROR(__xludf.DUMMYFUNCTION("""COMPUTED_VALUE"""),45943.0)</f>
        <v>45943</v>
      </c>
      <c r="L443" s="4"/>
      <c r="M443" s="6">
        <f>IFERROR(__xludf.DUMMYFUNCTION("""COMPUTED_VALUE"""),46064.46701037037)</f>
        <v>46064.46701</v>
      </c>
      <c r="N443" s="6">
        <f>IFERROR(__xludf.DUMMYFUNCTION("""COMPUTED_VALUE"""),46084.66594986111)</f>
        <v>46084.66595</v>
      </c>
      <c r="O443" s="4"/>
      <c r="P443" s="4"/>
      <c r="Q443" s="4"/>
      <c r="R443" s="4"/>
      <c r="S443" s="4"/>
      <c r="T443" s="4"/>
      <c r="U443" s="4"/>
      <c r="V443" s="4"/>
      <c r="W443" s="4"/>
      <c r="X443" s="4"/>
      <c r="Y443" s="4"/>
      <c r="Z443" s="4"/>
      <c r="AA443" s="4">
        <f>IFERROR(__xludf.DUMMYFUNCTION("""COMPUTED_VALUE"""),11.0)</f>
        <v>11</v>
      </c>
      <c r="AB443" s="4" t="str">
        <f>IFERROR(__xludf.DUMMYFUNCTION("""COMPUTED_VALUE"""),"NÃO")</f>
        <v>NÃO</v>
      </c>
      <c r="AC443" s="4" t="str">
        <f>IFERROR(__xludf.DUMMYFUNCTION("""COMPUTED_VALUE"""),"BP")</f>
        <v>BP</v>
      </c>
      <c r="AD443" s="4"/>
      <c r="AE443" s="4"/>
      <c r="AF443" s="4"/>
      <c r="AG443" s="4"/>
      <c r="AH443" s="4"/>
      <c r="AI443" s="4"/>
      <c r="AJ443" s="4"/>
      <c r="AK443" s="4"/>
      <c r="AL443" s="4"/>
      <c r="AM443" s="4" t="str">
        <f>IFERROR(__xludf.DUMMYFUNCTION("""COMPUTED_VALUE"""),"FY26, FY27")</f>
        <v>FY26, FY27</v>
      </c>
      <c r="AN443" s="4" t="str">
        <f>IFERROR(__xludf.DUMMYFUNCTION("""COMPUTED_VALUE"""),"Comer Fora")</f>
        <v>Comer Fora</v>
      </c>
      <c r="AO443" s="4">
        <f>IFERROR(__xludf.DUMMYFUNCTION("""COMPUTED_VALUE"""),61.0)</f>
        <v>61</v>
      </c>
      <c r="AP443" s="4" t="str">
        <f>IFERROR(__xludf.DUMMYFUNCTION("""COMPUTED_VALUE"""),"SP")</f>
        <v>SP</v>
      </c>
      <c r="AQ443" s="4" t="str">
        <f>IFERROR(__xludf.DUMMYFUNCTION("""COMPUTED_VALUE"""),"RAFAEL ROSSATO")</f>
        <v>RAFAEL ROSSATO</v>
      </c>
      <c r="AR443" s="4" t="str">
        <f>IFERROR(__xludf.DUMMYFUNCTION("""COMPUTED_VALUE"""),"NATALIA CARDOSO")</f>
        <v>NATALIA CARDOSO</v>
      </c>
      <c r="AS443" s="4" t="str">
        <f>IFERROR(__xludf.DUMMYFUNCTION("""COMPUTED_VALUE"""),"THIAGO ROMAGNOLE")</f>
        <v>THIAGO ROMAGNOLE</v>
      </c>
      <c r="AT443" s="4" t="str">
        <f>IFERROR(__xludf.DUMMYFUNCTION("""COMPUTED_VALUE"""),"BRUNA TASSINARI")</f>
        <v>BRUNA TASSINARI</v>
      </c>
      <c r="AU443" s="4" t="str">
        <f>IFERROR(__xludf.DUMMYFUNCTION("""COMPUTED_VALUE"""),"Ana")</f>
        <v>Ana</v>
      </c>
      <c r="AV443" s="4" t="str">
        <f>IFERROR(__xludf.DUMMYFUNCTION("""COMPUTED_VALUE"""),"Comer Fora-")</f>
        <v>Comer Fora-</v>
      </c>
      <c r="AW443" s="20" t="str">
        <f>IFERROR(__xludf.DUMMYFUNCTION("""COMPUTED_VALUE"""),"P e M - pipe")</f>
        <v>P e M - pipe</v>
      </c>
      <c r="AX443" s="4"/>
      <c r="AY443" s="4"/>
      <c r="AZ443" s="4" t="str">
        <f>IFERROR(__xludf.DUMMYFUNCTION("""COMPUTED_VALUE"""),"Doces &amp; Bolos")</f>
        <v>Doces &amp; Bolos</v>
      </c>
      <c r="BA443" s="4" t="str">
        <f>IFERROR(__xludf.DUMMYFUNCTION("""COMPUTED_VALUE"""),"R$ 11-100 milhões (estimado, sem confirmação oficial 2026)")</f>
        <v>R$ 11-100 milhões (estimado, sem confirmação oficial 2026)</v>
      </c>
      <c r="BB443" s="4" t="str">
        <f>IFERROR(__xludf.DUMMYFUNCTION("""COMPUTED_VALUE"""),"Fast Casual/Retail - Doceria artesanal (tortas no pote, gelados)")</f>
        <v>Fast Casual/Retail - Doceria artesanal (tortas no pote, gelados)</v>
      </c>
      <c r="BC443" s="4" t="str">
        <f>IFERROR(__xludf.DUMMYFUNCTION("""COMPUTED_VALUE"""),"Brasil - Goiás (7 lojas: 3 Goiânia, 1 Anápolis, 3 Brasília/DF) + SP (2 delivery) + projeto itinerante nacional")</f>
        <v>Brasil - Goiás (7 lojas: 3 Goiânia, 1 Anápolis, 3 Brasília/DF) + SP (2 delivery) + projeto itinerante nacional</v>
      </c>
      <c r="BD443" s="4" t="str">
        <f>IFERROR(__xludf.DUMMYFUNCTION("""COMPUTED_VALUE"""),"R$ 50 - R$ 100")</f>
        <v>R$ 50 - R$ 100</v>
      </c>
      <c r="BE443" s="4">
        <f>IFERROR(__xludf.DUMMYFUNCTION("""COMPUTED_VALUE"""),55.0)</f>
        <v>55</v>
      </c>
      <c r="BF443" s="4">
        <f>IFERROR(__xludf.DUMMYFUNCTION("""COMPUTED_VALUE"""),80.0)</f>
        <v>80</v>
      </c>
      <c r="BG443" s="4" t="str">
        <f>IFERROR(__xludf.DUMMYFUNCTION("""COMPUTED_VALUE"""),"Dado não identificado publicamente - Necessário Discovery")</f>
        <v>Dado não identificado publicamente - Necessário Discovery</v>
      </c>
      <c r="BH443" s="4" t="s">
        <v>78</v>
      </c>
      <c r="BI443" s="7">
        <v>0.7142857142857143</v>
      </c>
    </row>
    <row r="444" hidden="1">
      <c r="A444" s="4" t="str">
        <f>IFERROR(__xludf.DUMMYFUNCTION("""COMPUTED_VALUE"""),"Piola (Grupo Botanikafe)")</f>
        <v>Piola (Grupo Botanikafe)</v>
      </c>
      <c r="B444" s="4" t="str">
        <f>IFERROR(__xludf.DUMMYFUNCTION("""COMPUTED_VALUE"""),"João Biagiotti")</f>
        <v>João Biagiotti</v>
      </c>
      <c r="C444" s="4" t="str">
        <f>IFERROR(__xludf.DUMMYFUNCTION("""COMPUTED_VALUE"""),"Diego Santos")</f>
        <v>Diego Santos</v>
      </c>
      <c r="D444" s="4" t="str">
        <f>IFERROR(__xludf.DUMMYFUNCTION("""COMPUTED_VALUE"""),"0. Não Iniciado")</f>
        <v>0. Não Iniciado</v>
      </c>
      <c r="E444" s="4" t="str">
        <f>IFERROR(__xludf.DUMMYFUNCTION("""COMPUTED_VALUE"""),"Delivery - Momento inadequado de abordagem (ex. 99)")</f>
        <v>Delivery - Momento inadequado de abordagem (ex. 99)</v>
      </c>
      <c r="F444" s="4" t="str">
        <f>IFERROR(__xludf.DUMMYFUNCTION("""COMPUTED_VALUE"""),"P")</f>
        <v>P</v>
      </c>
      <c r="G444" s="5">
        <f>IFERROR(__xludf.DUMMYFUNCTION("""COMPUTED_VALUE"""),46097.0)</f>
        <v>46097</v>
      </c>
      <c r="H444" s="11" t="str">
        <f>IFERROR(__xludf.DUMMYFUNCTION("""COMPUTED_VALUE"""),"Parceiro acabou de assinar exclusividade no iFood, exec Ricardo pediu para aguardarmos mais um pouco para apresentarmos salão.")</f>
        <v>Parceiro acabou de assinar exclusividade no iFood, exec Ricardo pediu para aguardarmos mais um pouco para apresentarmos salão.</v>
      </c>
      <c r="I444" s="4"/>
      <c r="J444" s="4"/>
      <c r="K444" s="4"/>
      <c r="L444" s="4"/>
      <c r="M444" s="4"/>
      <c r="N444" s="4"/>
      <c r="O444" s="4"/>
      <c r="P444" s="4"/>
      <c r="Q444" s="4"/>
      <c r="R444" s="4"/>
      <c r="S444" s="4"/>
      <c r="T444" s="4"/>
      <c r="U444" s="4"/>
      <c r="V444" s="4"/>
      <c r="W444" s="4"/>
      <c r="X444" s="4"/>
      <c r="Y444" s="4"/>
      <c r="Z444" s="4"/>
      <c r="AA444" s="4">
        <f>IFERROR(__xludf.DUMMYFUNCTION("""COMPUTED_VALUE"""),3.0)</f>
        <v>3</v>
      </c>
      <c r="AB444" s="4"/>
      <c r="AC444" s="4"/>
      <c r="AD444" s="4"/>
      <c r="AE444" s="4"/>
      <c r="AF444" s="4"/>
      <c r="AG444" s="4"/>
      <c r="AH444" s="4"/>
      <c r="AI444" s="4"/>
      <c r="AJ444" s="4"/>
      <c r="AK444" s="4"/>
      <c r="AL444" s="4"/>
      <c r="AM444" s="4" t="str">
        <f>IFERROR(__xludf.DUMMYFUNCTION("""COMPUTED_VALUE"""),"FY26, FY27")</f>
        <v>FY26, FY27</v>
      </c>
      <c r="AN444" s="4"/>
      <c r="AO444" s="4">
        <f>IFERROR(__xludf.DUMMYFUNCTION("""COMPUTED_VALUE"""),117.0)</f>
        <v>117</v>
      </c>
      <c r="AP444" s="4">
        <f>IFERROR(__xludf.DUMMYFUNCTION("""COMPUTED_VALUE"""),0.0)</f>
        <v>0</v>
      </c>
      <c r="AQ444" s="4">
        <f>IFERROR(__xludf.DUMMYFUNCTION("""COMPUTED_VALUE"""),0.0)</f>
        <v>0</v>
      </c>
      <c r="AR444" s="4">
        <f>IFERROR(__xludf.DUMMYFUNCTION("""COMPUTED_VALUE"""),0.0)</f>
        <v>0</v>
      </c>
      <c r="AS444" s="4">
        <f>IFERROR(__xludf.DUMMYFUNCTION("""COMPUTED_VALUE"""),0.0)</f>
        <v>0</v>
      </c>
      <c r="AT444" s="4">
        <f>IFERROR(__xludf.DUMMYFUNCTION("""COMPUTED_VALUE"""),0.0)</f>
        <v>0</v>
      </c>
      <c r="AU444" s="4" t="str">
        <f>IFERROR(__xludf.DUMMYFUNCTION("""COMPUTED_VALUE"""),"Ana")</f>
        <v>Ana</v>
      </c>
      <c r="AV444" s="4">
        <f>IFERROR(__xludf.DUMMYFUNCTION("""COMPUTED_VALUE"""),0.0)</f>
        <v>0</v>
      </c>
      <c r="AW444" s="4">
        <f>IFERROR(__xludf.DUMMYFUNCTION("""COMPUTED_VALUE"""),0.0)</f>
        <v>0</v>
      </c>
      <c r="AX444" s="4">
        <f>IFERROR(__xludf.DUMMYFUNCTION("""COMPUTED_VALUE"""),0.0)</f>
        <v>0</v>
      </c>
      <c r="AY444" s="4"/>
      <c r="AZ444" s="4" t="str">
        <f>IFERROR(__xludf.DUMMYFUNCTION("""COMPUTED_VALUE"""),"Lanches")</f>
        <v>Lanches</v>
      </c>
      <c r="BA444" s="4" t="str">
        <f>IFERROR(__xludf.DUMMYFUNCTION("""COMPUTED_VALUE"""),"")</f>
        <v/>
      </c>
      <c r="BB444" s="4" t="str">
        <f>IFERROR(__xludf.DUMMYFUNCTION("""COMPUTED_VALUE"""),"")</f>
        <v/>
      </c>
      <c r="BC444" s="4" t="str">
        <f>IFERROR(__xludf.DUMMYFUNCTION("""COMPUTED_VALUE"""),"")</f>
        <v/>
      </c>
      <c r="BD444" s="4" t="str">
        <f>IFERROR(__xludf.DUMMYFUNCTION("""COMPUTED_VALUE"""),"")</f>
        <v/>
      </c>
      <c r="BE444" s="4" t="str">
        <f>IFERROR(__xludf.DUMMYFUNCTION("""COMPUTED_VALUE"""),"")</f>
        <v/>
      </c>
      <c r="BF444" s="4" t="str">
        <f>IFERROR(__xludf.DUMMYFUNCTION("""COMPUTED_VALUE"""),"")</f>
        <v/>
      </c>
      <c r="BG444" s="4" t="str">
        <f>IFERROR(__xludf.DUMMYFUNCTION("""COMPUTED_VALUE"""),"")</f>
        <v/>
      </c>
      <c r="BH444" s="4" t="s">
        <v>63</v>
      </c>
      <c r="BI444" s="7" t="s">
        <v>63</v>
      </c>
    </row>
    <row r="445" hidden="1">
      <c r="A445" s="4" t="str">
        <f>IFERROR(__xludf.DUMMYFUNCTION("""COMPUTED_VALUE"""),"Piratas Hamburgueria")</f>
        <v>Piratas Hamburgueria</v>
      </c>
      <c r="B445" s="4" t="str">
        <f>IFERROR(__xludf.DUMMYFUNCTION("""COMPUTED_VALUE"""),"Lídia Esteves")</f>
        <v>Lídia Esteves</v>
      </c>
      <c r="C445" s="4" t="str">
        <f>IFERROR(__xludf.DUMMYFUNCTION("""COMPUTED_VALUE"""),"Gabriela Roma")</f>
        <v>Gabriela Roma</v>
      </c>
      <c r="D445" s="4" t="str">
        <f>IFERROR(__xludf.DUMMYFUNCTION("""COMPUTED_VALUE"""),"10. Perdido")</f>
        <v>10. Perdido</v>
      </c>
      <c r="E445" s="4"/>
      <c r="F445" s="4" t="str">
        <f>IFERROR(__xludf.DUMMYFUNCTION("""COMPUTED_VALUE"""),"P")</f>
        <v>P</v>
      </c>
      <c r="G445" s="5">
        <f>IFERROR(__xludf.DUMMYFUNCTION("""COMPUTED_VALUE"""),46111.0)</f>
        <v>46111</v>
      </c>
      <c r="H445" s="4" t="str">
        <f>IFERROR(__xludf.DUMMYFUNCTION("""COMPUTED_VALUE"""),"testeeeee")</f>
        <v>testeeeee</v>
      </c>
      <c r="I445" s="4"/>
      <c r="J445" s="6">
        <f>IFERROR(__xludf.DUMMYFUNCTION("""COMPUTED_VALUE"""),46111.697079930556)</f>
        <v>46111.69708</v>
      </c>
      <c r="K445" s="6">
        <f>IFERROR(__xludf.DUMMYFUNCTION("""COMPUTED_VALUE"""),46111.697244201394)</f>
        <v>46111.69724</v>
      </c>
      <c r="L445" s="4"/>
      <c r="M445" s="4"/>
      <c r="N445" s="4"/>
      <c r="O445" s="4"/>
      <c r="P445" s="4"/>
      <c r="Q445" s="4"/>
      <c r="R445" s="6">
        <f>IFERROR(__xludf.DUMMYFUNCTION("""COMPUTED_VALUE"""),46111.701399375)</f>
        <v>46111.7014</v>
      </c>
      <c r="S445" s="4"/>
      <c r="T445" s="4"/>
      <c r="U445" s="4"/>
      <c r="V445" s="4" t="str">
        <f>IFERROR(__xludf.DUMMYFUNCTION("""COMPUTED_VALUE"""),"Fechou com concorrente há pouco tempo")</f>
        <v>Fechou com concorrente há pouco tempo</v>
      </c>
      <c r="W445" s="21">
        <f>IFERROR(__xludf.DUMMYFUNCTION("""COMPUTED_VALUE"""),500.0)</f>
        <v>500</v>
      </c>
      <c r="X445" s="4">
        <f>IFERROR(__xludf.DUMMYFUNCTION("""COMPUTED_VALUE"""),36.0)</f>
        <v>36</v>
      </c>
      <c r="Y445" s="21">
        <f>IFERROR(__xludf.DUMMYFUNCTION("""COMPUTED_VALUE"""),1200.0)</f>
        <v>1200</v>
      </c>
      <c r="Z445" s="21">
        <f>IFERROR(__xludf.DUMMYFUNCTION("""COMPUTED_VALUE"""),0.0)</f>
        <v>0</v>
      </c>
      <c r="AA445" s="4">
        <f>IFERROR(__xludf.DUMMYFUNCTION("""COMPUTED_VALUE"""),2.0)</f>
        <v>2</v>
      </c>
      <c r="AB445" s="4" t="str">
        <f>IFERROR(__xludf.DUMMYFUNCTION("""COMPUTED_VALUE"""),"Não")</f>
        <v>Não</v>
      </c>
      <c r="AC445" s="4" t="str">
        <f>IFERROR(__xludf.DUMMYFUNCTION("""COMPUTED_VALUE"""),"Não")</f>
        <v>Não</v>
      </c>
      <c r="AD445" s="4" t="str">
        <f>IFERROR(__xludf.DUMMYFUNCTION("""COMPUTED_VALUE"""),"Sagres Automação Comercial")</f>
        <v>Sagres Automação Comercial</v>
      </c>
      <c r="AE445" s="4">
        <f>IFERROR(__xludf.DUMMYFUNCTION("""COMPUTED_VALUE"""),1.0)</f>
        <v>1</v>
      </c>
      <c r="AF445" s="9">
        <f>IFERROR(__xludf.DUMMYFUNCTION("""COMPUTED_VALUE"""),46174.0)</f>
        <v>46174</v>
      </c>
      <c r="AG445" s="4">
        <f>IFERROR(__xludf.DUMMYFUNCTION("""COMPUTED_VALUE"""),2.0)</f>
        <v>2</v>
      </c>
      <c r="AH445" s="4"/>
      <c r="AI445" s="4"/>
      <c r="AJ445" s="4"/>
      <c r="AK445" s="4"/>
      <c r="AL445" s="4"/>
      <c r="AM445" s="4" t="str">
        <f>IFERROR(__xludf.DUMMYFUNCTION("""COMPUTED_VALUE"""),"FY26")</f>
        <v>FY26</v>
      </c>
      <c r="AN445" s="4"/>
      <c r="AO445" s="4">
        <f>IFERROR(__xludf.DUMMYFUNCTION("""COMPUTED_VALUE"""),103.0)</f>
        <v>103</v>
      </c>
      <c r="AP445" s="4">
        <f>IFERROR(__xludf.DUMMYFUNCTION("""COMPUTED_VALUE"""),0.0)</f>
        <v>0</v>
      </c>
      <c r="AQ445" s="4">
        <f>IFERROR(__xludf.DUMMYFUNCTION("""COMPUTED_VALUE"""),0.0)</f>
        <v>0</v>
      </c>
      <c r="AR445" s="4">
        <f>IFERROR(__xludf.DUMMYFUNCTION("""COMPUTED_VALUE"""),0.0)</f>
        <v>0</v>
      </c>
      <c r="AS445" s="4">
        <f>IFERROR(__xludf.DUMMYFUNCTION("""COMPUTED_VALUE"""),0.0)</f>
        <v>0</v>
      </c>
      <c r="AT445" s="4">
        <f>IFERROR(__xludf.DUMMYFUNCTION("""COMPUTED_VALUE"""),0.0)</f>
        <v>0</v>
      </c>
      <c r="AU445" s="4" t="str">
        <f>IFERROR(__xludf.DUMMYFUNCTION("""COMPUTED_VALUE"""),"Lídia / Emerson")</f>
        <v>Lídia / Emerson</v>
      </c>
      <c r="AV445" s="4">
        <f>IFERROR(__xludf.DUMMYFUNCTION("""COMPUTED_VALUE"""),0.0)</f>
        <v>0</v>
      </c>
      <c r="AW445" s="4">
        <f>IFERROR(__xludf.DUMMYFUNCTION("""COMPUTED_VALUE"""),0.0)</f>
        <v>0</v>
      </c>
      <c r="AX445" s="4">
        <f>IFERROR(__xludf.DUMMYFUNCTION("""COMPUTED_VALUE"""),0.0)</f>
        <v>0</v>
      </c>
      <c r="AY445" s="4"/>
      <c r="AZ445" s="4">
        <f>IFERROR(__xludf.DUMMYFUNCTION("""COMPUTED_VALUE"""),0.0)</f>
        <v>0</v>
      </c>
      <c r="BA445" s="4" t="str">
        <f>IFERROR(__xludf.DUMMYFUNCTION("""COMPUTED_VALUE"""),"")</f>
        <v/>
      </c>
      <c r="BB445" s="4" t="str">
        <f>IFERROR(__xludf.DUMMYFUNCTION("""COMPUTED_VALUE"""),"")</f>
        <v/>
      </c>
      <c r="BC445" s="4" t="str">
        <f>IFERROR(__xludf.DUMMYFUNCTION("""COMPUTED_VALUE"""),"")</f>
        <v/>
      </c>
      <c r="BD445" s="4" t="str">
        <f>IFERROR(__xludf.DUMMYFUNCTION("""COMPUTED_VALUE"""),"")</f>
        <v/>
      </c>
      <c r="BE445" s="4" t="str">
        <f>IFERROR(__xludf.DUMMYFUNCTION("""COMPUTED_VALUE"""),"")</f>
        <v/>
      </c>
      <c r="BF445" s="4" t="str">
        <f>IFERROR(__xludf.DUMMYFUNCTION("""COMPUTED_VALUE"""),"")</f>
        <v/>
      </c>
      <c r="BG445" s="4" t="str">
        <f>IFERROR(__xludf.DUMMYFUNCTION("""COMPUTED_VALUE"""),"")</f>
        <v/>
      </c>
      <c r="BH445" s="4" t="s">
        <v>63</v>
      </c>
      <c r="BI445" s="7" t="s">
        <v>63</v>
      </c>
    </row>
    <row r="446" hidden="1">
      <c r="A446" s="4" t="str">
        <f>IFERROR(__xludf.DUMMYFUNCTION("""COMPUTED_VALUE"""),"Pitico")</f>
        <v>Pitico</v>
      </c>
      <c r="B446" s="4" t="str">
        <f>IFERROR(__xludf.DUMMYFUNCTION("""COMPUTED_VALUE"""),"João Biagiotti")</f>
        <v>João Biagiotti</v>
      </c>
      <c r="C446" s="4" t="str">
        <f>IFERROR(__xludf.DUMMYFUNCTION("""COMPUTED_VALUE"""),"Diego Santos")</f>
        <v>Diego Santos</v>
      </c>
      <c r="D446" s="4" t="str">
        <f>IFERROR(__xludf.DUMMYFUNCTION("""COMPUTED_VALUE"""),"0. Não Iniciado")</f>
        <v>0. Não Iniciado</v>
      </c>
      <c r="E446" s="4" t="str">
        <f>IFERROR(__xludf.DUMMYFUNCTION("""COMPUTED_VALUE"""),"Delivery - Dificuldade de contato com executivo")</f>
        <v>Delivery - Dificuldade de contato com executivo</v>
      </c>
      <c r="F446" s="4" t="str">
        <f>IFERROR(__xludf.DUMMYFUNCTION("""COMPUTED_VALUE"""),"P")</f>
        <v>P</v>
      </c>
      <c r="G446" s="5">
        <f>IFERROR(__xludf.DUMMYFUNCTION("""COMPUTED_VALUE"""),46076.0)</f>
        <v>46076</v>
      </c>
      <c r="H446" s="4" t="str">
        <f>IFERROR(__xludf.DUMMYFUNCTION("""COMPUTED_VALUE"""),"Mudou de executivo, procurando executivo novo para conciliação de agenda.")</f>
        <v>Mudou de executivo, procurando executivo novo para conciliação de agenda.</v>
      </c>
      <c r="I446" s="4"/>
      <c r="J446" s="4"/>
      <c r="K446" s="4"/>
      <c r="L446" s="4"/>
      <c r="M446" s="4"/>
      <c r="N446" s="4"/>
      <c r="O446" s="4"/>
      <c r="P446" s="4"/>
      <c r="Q446" s="4"/>
      <c r="R446" s="4"/>
      <c r="S446" s="4"/>
      <c r="T446" s="4"/>
      <c r="U446" s="4"/>
      <c r="V446" s="4"/>
      <c r="W446" s="4"/>
      <c r="X446" s="4"/>
      <c r="Y446" s="4"/>
      <c r="Z446" s="4"/>
      <c r="AA446" s="4">
        <f>IFERROR(__xludf.DUMMYFUNCTION("""COMPUTED_VALUE"""),2.0)</f>
        <v>2</v>
      </c>
      <c r="AB446" s="4"/>
      <c r="AC446" s="4"/>
      <c r="AD446" s="4"/>
      <c r="AE446" s="4"/>
      <c r="AF446" s="4"/>
      <c r="AG446" s="4"/>
      <c r="AH446" s="4"/>
      <c r="AI446" s="4"/>
      <c r="AJ446" s="4"/>
      <c r="AK446" s="4"/>
      <c r="AL446" s="4"/>
      <c r="AM446" s="4" t="str">
        <f>IFERROR(__xludf.DUMMYFUNCTION("""COMPUTED_VALUE"""),"FY26, FY27")</f>
        <v>FY26, FY27</v>
      </c>
      <c r="AN446" s="4"/>
      <c r="AO446" s="4">
        <f>IFERROR(__xludf.DUMMYFUNCTION("""COMPUTED_VALUE"""),140.0)</f>
        <v>140</v>
      </c>
      <c r="AP446" s="4">
        <f>IFERROR(__xludf.DUMMYFUNCTION("""COMPUTED_VALUE"""),0.0)</f>
        <v>0</v>
      </c>
      <c r="AQ446" s="4">
        <f>IFERROR(__xludf.DUMMYFUNCTION("""COMPUTED_VALUE"""),0.0)</f>
        <v>0</v>
      </c>
      <c r="AR446" s="4">
        <f>IFERROR(__xludf.DUMMYFUNCTION("""COMPUTED_VALUE"""),0.0)</f>
        <v>0</v>
      </c>
      <c r="AS446" s="4">
        <f>IFERROR(__xludf.DUMMYFUNCTION("""COMPUTED_VALUE"""),0.0)</f>
        <v>0</v>
      </c>
      <c r="AT446" s="4">
        <f>IFERROR(__xludf.DUMMYFUNCTION("""COMPUTED_VALUE"""),0.0)</f>
        <v>0</v>
      </c>
      <c r="AU446" s="4" t="str">
        <f>IFERROR(__xludf.DUMMYFUNCTION("""COMPUTED_VALUE"""),"Iza")</f>
        <v>Iza</v>
      </c>
      <c r="AV446" s="4">
        <f>IFERROR(__xludf.DUMMYFUNCTION("""COMPUTED_VALUE"""),0.0)</f>
        <v>0</v>
      </c>
      <c r="AW446" s="4">
        <f>IFERROR(__xludf.DUMMYFUNCTION("""COMPUTED_VALUE"""),0.0)</f>
        <v>0</v>
      </c>
      <c r="AX446" s="4">
        <f>IFERROR(__xludf.DUMMYFUNCTION("""COMPUTED_VALUE"""),0.0)</f>
        <v>0</v>
      </c>
      <c r="AY446" s="4"/>
      <c r="AZ446" s="4" t="str">
        <f>IFERROR(__xludf.DUMMYFUNCTION("""COMPUTED_VALUE"""),"Variada")</f>
        <v>Variada</v>
      </c>
      <c r="BA446" s="4" t="str">
        <f>IFERROR(__xludf.DUMMYFUNCTION("""COMPUTED_VALUE"""),"Dado não disponível publicamente - Necessário Discovery")</f>
        <v>Dado não disponível publicamente - Necessário Discovery</v>
      </c>
      <c r="BB446" s="4" t="str">
        <f>IFERROR(__xludf.DUMMYFUNCTION("""COMPUTED_VALUE"""),"Bar/Restaurante Libanês (Contêineres Pinheiros SP)")</f>
        <v>Bar/Restaurante Libanês (Contêineres Pinheiros SP)</v>
      </c>
      <c r="BC446" s="4" t="str">
        <f>IFERROR(__xludf.DUMMYFUNCTION("""COMPUTED_VALUE"""),"São Paulo-SP (Pinheiros - Rua Guaicuí)")</f>
        <v>São Paulo-SP (Pinheiros - Rua Guaicuí)</v>
      </c>
      <c r="BD446" s="4" t="str">
        <f>IFERROR(__xludf.DUMMYFUNCTION("""COMPUTED_VALUE"""),"R$ 45-70")</f>
        <v>R$ 45-70</v>
      </c>
      <c r="BE446" s="4">
        <f>IFERROR(__xludf.DUMMYFUNCTION("""COMPUTED_VALUE"""),20.0)</f>
        <v>20</v>
      </c>
      <c r="BF446" s="4">
        <f>IFERROR(__xludf.DUMMYFUNCTION("""COMPUTED_VALUE"""),0.25)</f>
        <v>0.25</v>
      </c>
      <c r="BG446" s="4" t="str">
        <f>IFERROR(__xludf.DUMMYFUNCTION("""COMPUTED_VALUE"""),"Single-unit conceito bar/restaurante único. Sem escala para justificar E-DEPLOY.")</f>
        <v>Single-unit conceito bar/restaurante único. Sem escala para justificar E-DEPLOY.</v>
      </c>
      <c r="BH446" s="4" t="s">
        <v>137</v>
      </c>
      <c r="BI446" s="7">
        <v>1.0</v>
      </c>
    </row>
    <row r="447" hidden="1">
      <c r="A447" s="4" t="str">
        <f>IFERROR(__xludf.DUMMYFUNCTION("""COMPUTED_VALUE"""),"Pizza Do Frei")</f>
        <v>Pizza Do Frei</v>
      </c>
      <c r="B447" s="4" t="str">
        <f>IFERROR(__xludf.DUMMYFUNCTION("""COMPUTED_VALUE"""),"João Biagiotti")</f>
        <v>João Biagiotti</v>
      </c>
      <c r="C447" s="4" t="str">
        <f>IFERROR(__xludf.DUMMYFUNCTION("""COMPUTED_VALUE"""),"Diego Santos")</f>
        <v>Diego Santos</v>
      </c>
      <c r="D447" s="4" t="str">
        <f>IFERROR(__xludf.DUMMYFUNCTION("""COMPUTED_VALUE"""),"0. Não Iniciado")</f>
        <v>0. Não Iniciado</v>
      </c>
      <c r="E447" s="4" t="str">
        <f>IFERROR(__xludf.DUMMYFUNCTION("""COMPUTED_VALUE"""),"Parceiro - Aguardando retorno parceiro")</f>
        <v>Parceiro - Aguardando retorno parceiro</v>
      </c>
      <c r="F447" s="4" t="str">
        <f>IFERROR(__xludf.DUMMYFUNCTION("""COMPUTED_VALUE"""),"P")</f>
        <v>P</v>
      </c>
      <c r="G447" s="5">
        <f>IFERROR(__xludf.DUMMYFUNCTION("""COMPUTED_VALUE"""),46099.0)</f>
        <v>46099</v>
      </c>
      <c r="H447" s="4" t="str">
        <f>IFERROR(__xludf.DUMMYFUNCTION("""COMPUTED_VALUE"""),"Aguardando decisor para alinharmos uma agenda")</f>
        <v>Aguardando decisor para alinharmos uma agenda</v>
      </c>
      <c r="I447" s="4"/>
      <c r="J447" s="4"/>
      <c r="K447" s="4"/>
      <c r="L447" s="4"/>
      <c r="M447" s="4"/>
      <c r="N447" s="4"/>
      <c r="O447" s="4"/>
      <c r="P447" s="4"/>
      <c r="Q447" s="4"/>
      <c r="R447" s="4"/>
      <c r="S447" s="4"/>
      <c r="T447" s="4"/>
      <c r="U447" s="4"/>
      <c r="V447" s="4"/>
      <c r="W447" s="4"/>
      <c r="X447" s="4"/>
      <c r="Y447" s="4"/>
      <c r="Z447" s="4"/>
      <c r="AA447" s="4">
        <f>IFERROR(__xludf.DUMMYFUNCTION("""COMPUTED_VALUE"""),16.0)</f>
        <v>16</v>
      </c>
      <c r="AB447" s="4" t="str">
        <f>IFERROR(__xludf.DUMMYFUNCTION("""COMPUTED_VALUE"""),"NÃO")</f>
        <v>NÃO</v>
      </c>
      <c r="AC447" s="4" t="str">
        <f>IFERROR(__xludf.DUMMYFUNCTION("""COMPUTED_VALUE"""),"Não BP")</f>
        <v>Não BP</v>
      </c>
      <c r="AD447" s="4"/>
      <c r="AE447" s="4"/>
      <c r="AF447" s="4"/>
      <c r="AG447" s="4"/>
      <c r="AH447" s="4"/>
      <c r="AI447" s="4"/>
      <c r="AJ447" s="4"/>
      <c r="AK447" s="4"/>
      <c r="AL447" s="4"/>
      <c r="AM447" s="4" t="str">
        <f>IFERROR(__xludf.DUMMYFUNCTION("""COMPUTED_VALUE"""),"FY26, FY27")</f>
        <v>FY26, FY27</v>
      </c>
      <c r="AN447" s="4"/>
      <c r="AO447" s="4">
        <f>IFERROR(__xludf.DUMMYFUNCTION("""COMPUTED_VALUE"""),115.0)</f>
        <v>115</v>
      </c>
      <c r="AP447" s="4" t="str">
        <f>IFERROR(__xludf.DUMMYFUNCTION("""COMPUTED_VALUE"""),"CE")</f>
        <v>CE</v>
      </c>
      <c r="AQ447" s="4" t="str">
        <f>IFERROR(__xludf.DUMMYFUNCTION("""COMPUTED_VALUE"""),"FABIO MAKARON")</f>
        <v>FABIO MAKARON</v>
      </c>
      <c r="AR447" s="4" t="str">
        <f>IFERROR(__xludf.DUMMYFUNCTION("""COMPUTED_VALUE"""),"AMANDA FRIGO")</f>
        <v>AMANDA FRIGO</v>
      </c>
      <c r="AS447" s="4" t="str">
        <f>IFERROR(__xludf.DUMMYFUNCTION("""COMPUTED_VALUE"""),"THIAGO ROMAGNOLE")</f>
        <v>THIAGO ROMAGNOLE</v>
      </c>
      <c r="AT447" s="4" t="str">
        <f>IFERROR(__xludf.DUMMYFUNCTION("""COMPUTED_VALUE"""),"EDUARDO VAZ")</f>
        <v>EDUARDO VAZ</v>
      </c>
      <c r="AU447" s="4" t="str">
        <f>IFERROR(__xludf.DUMMYFUNCTION("""COMPUTED_VALUE"""),"Diego")</f>
        <v>Diego</v>
      </c>
      <c r="AV447" s="4">
        <f>IFERROR(__xludf.DUMMYFUNCTION("""COMPUTED_VALUE"""),0.0)</f>
        <v>0</v>
      </c>
      <c r="AW447" s="4">
        <f>IFERROR(__xludf.DUMMYFUNCTION("""COMPUTED_VALUE"""),0.0)</f>
        <v>0</v>
      </c>
      <c r="AX447" s="4">
        <f>IFERROR(__xludf.DUMMYFUNCTION("""COMPUTED_VALUE"""),0.0)</f>
        <v>0</v>
      </c>
      <c r="AY447" s="4"/>
      <c r="AZ447" s="4" t="str">
        <f>IFERROR(__xludf.DUMMYFUNCTION("""COMPUTED_VALUE"""),"Pizza")</f>
        <v>Pizza</v>
      </c>
      <c r="BA447" s="4" t="str">
        <f>IFERROR(__xludf.DUMMYFUNCTION("""COMPUTED_VALUE"""),"Dado não disponível publicamente - Necessário Discovery")</f>
        <v>Dado não disponível publicamente - Necessário Discovery</v>
      </c>
      <c r="BB447" s="4" t="str">
        <f>IFERROR(__xludf.DUMMYFUNCTION("""COMPUTED_VALUE"""),"Pizzaria Delivery 24h (Fortaleza - Aldeota e Messejana)")</f>
        <v>Pizzaria Delivery 24h (Fortaleza - Aldeota e Messejana)</v>
      </c>
      <c r="BC447" s="4" t="str">
        <f>IFERROR(__xludf.DUMMYFUNCTION("""COMPUTED_VALUE"""),"Fortaleza-CE (2-3 unidades locais)")</f>
        <v>Fortaleza-CE (2-3 unidades locais)</v>
      </c>
      <c r="BD447" s="4" t="str">
        <f>IFERROR(__xludf.DUMMYFUNCTION("""COMPUTED_VALUE"""),"R$ 40-60")</f>
        <v>R$ 40-60</v>
      </c>
      <c r="BE447" s="4">
        <f>IFERROR(__xludf.DUMMYFUNCTION("""COMPUTED_VALUE"""),25.0)</f>
        <v>25</v>
      </c>
      <c r="BF447" s="4">
        <f>IFERROR(__xludf.DUMMYFUNCTION("""COMPUTED_VALUE"""),0.3)</f>
        <v>0.3</v>
      </c>
      <c r="BG447" s="4" t="str">
        <f>IFERROR(__xludf.DUMMYFUNCTION("""COMPUTED_VALUE"""),"Operação local Fortaleza 2-3 lojas. Delivery 24h precisa PDV rápido mas escala baixa limita ROI E-DEPLOY.")</f>
        <v>Operação local Fortaleza 2-3 lojas. Delivery 24h precisa PDV rápido mas escala baixa limita ROI E-DEPLOY.</v>
      </c>
      <c r="BH447" s="4" t="s">
        <v>126</v>
      </c>
      <c r="BI447" s="7">
        <v>1.0</v>
      </c>
    </row>
    <row r="448" hidden="1">
      <c r="A448" s="4" t="str">
        <f>IFERROR(__xludf.DUMMYFUNCTION("""COMPUTED_VALUE"""),"Pizza Do Pão")</f>
        <v>Pizza Do Pão</v>
      </c>
      <c r="B448" s="4" t="str">
        <f>IFERROR(__xludf.DUMMYFUNCTION("""COMPUTED_VALUE"""),"João Biagiotti")</f>
        <v>João Biagiotti</v>
      </c>
      <c r="C448" s="4" t="str">
        <f>IFERROR(__xludf.DUMMYFUNCTION("""COMPUTED_VALUE"""),"Diego Santos")</f>
        <v>Diego Santos</v>
      </c>
      <c r="D448" s="4" t="str">
        <f>IFERROR(__xludf.DUMMYFUNCTION("""COMPUTED_VALUE"""),"11. Stand by")</f>
        <v>11. Stand by</v>
      </c>
      <c r="E448" s="4" t="str">
        <f>IFERROR(__xludf.DUMMYFUNCTION("""COMPUTED_VALUE"""),"Perdido -  Momento do restaurante não favorável")</f>
        <v>Perdido -  Momento do restaurante não favorável</v>
      </c>
      <c r="F448" s="4" t="str">
        <f>IFERROR(__xludf.DUMMYFUNCTION("""COMPUTED_VALUE"""),"P")</f>
        <v>P</v>
      </c>
      <c r="G448" s="5">
        <f>IFERROR(__xludf.DUMMYFUNCTION("""COMPUTED_VALUE"""),46076.0)</f>
        <v>46076</v>
      </c>
      <c r="H448" s="4" t="str">
        <f>IFERROR(__xludf.DUMMYFUNCTION("""COMPUTED_VALUE"""),"Stand by, disse que não está no momento para procurar outra solução. ")</f>
        <v>Stand by, disse que não está no momento para procurar outra solução. </v>
      </c>
      <c r="I448" s="4"/>
      <c r="J448" s="4"/>
      <c r="K448" s="4"/>
      <c r="L448" s="4"/>
      <c r="M448" s="4"/>
      <c r="N448" s="4"/>
      <c r="O448" s="4"/>
      <c r="P448" s="4"/>
      <c r="Q448" s="4"/>
      <c r="R448" s="4"/>
      <c r="S448" s="4"/>
      <c r="T448" s="4"/>
      <c r="U448" s="4"/>
      <c r="V448" s="4" t="str">
        <f>IFERROR(__xludf.DUMMYFUNCTION("""COMPUTED_VALUE"""),"Sem interesse em mudar de PDV")</f>
        <v>Sem interesse em mudar de PDV</v>
      </c>
      <c r="W448" s="4"/>
      <c r="X448" s="4"/>
      <c r="Y448" s="4"/>
      <c r="Z448" s="4"/>
      <c r="AA448" s="4">
        <f>IFERROR(__xludf.DUMMYFUNCTION("""COMPUTED_VALUE"""),26.0)</f>
        <v>26</v>
      </c>
      <c r="AB448" s="4" t="str">
        <f>IFERROR(__xludf.DUMMYFUNCTION("""COMPUTED_VALUE"""),"NÃO")</f>
        <v>NÃO</v>
      </c>
      <c r="AC448" s="4" t="str">
        <f>IFERROR(__xludf.DUMMYFUNCTION("""COMPUTED_VALUE"""),"Não BP")</f>
        <v>Não BP</v>
      </c>
      <c r="AD448" s="4"/>
      <c r="AE448" s="4"/>
      <c r="AF448" s="4"/>
      <c r="AG448" s="4"/>
      <c r="AH448" s="4"/>
      <c r="AI448" s="4"/>
      <c r="AJ448" s="4"/>
      <c r="AK448" s="4"/>
      <c r="AL448" s="4"/>
      <c r="AM448" s="4" t="str">
        <f>IFERROR(__xludf.DUMMYFUNCTION("""COMPUTED_VALUE"""),"FY26, FY27")</f>
        <v>FY26, FY27</v>
      </c>
      <c r="AN448" s="4"/>
      <c r="AO448" s="4">
        <f>IFERROR(__xludf.DUMMYFUNCTION("""COMPUTED_VALUE"""),140.0)</f>
        <v>140</v>
      </c>
      <c r="AP448" s="4">
        <f>IFERROR(__xludf.DUMMYFUNCTION("""COMPUTED_VALUE"""),0.0)</f>
        <v>0</v>
      </c>
      <c r="AQ448" s="4">
        <f>IFERROR(__xludf.DUMMYFUNCTION("""COMPUTED_VALUE"""),0.0)</f>
        <v>0</v>
      </c>
      <c r="AR448" s="4">
        <f>IFERROR(__xludf.DUMMYFUNCTION("""COMPUTED_VALUE"""),0.0)</f>
        <v>0</v>
      </c>
      <c r="AS448" s="4">
        <f>IFERROR(__xludf.DUMMYFUNCTION("""COMPUTED_VALUE"""),0.0)</f>
        <v>0</v>
      </c>
      <c r="AT448" s="4">
        <f>IFERROR(__xludf.DUMMYFUNCTION("""COMPUTED_VALUE"""),0.0)</f>
        <v>0</v>
      </c>
      <c r="AU448" s="4" t="str">
        <f>IFERROR(__xludf.DUMMYFUNCTION("""COMPUTED_VALUE"""),"Diego")</f>
        <v>Diego</v>
      </c>
      <c r="AV448" s="4">
        <f>IFERROR(__xludf.DUMMYFUNCTION("""COMPUTED_VALUE"""),0.0)</f>
        <v>0</v>
      </c>
      <c r="AW448" s="4">
        <f>IFERROR(__xludf.DUMMYFUNCTION("""COMPUTED_VALUE"""),0.0)</f>
        <v>0</v>
      </c>
      <c r="AX448" s="4">
        <f>IFERROR(__xludf.DUMMYFUNCTION("""COMPUTED_VALUE"""),0.0)</f>
        <v>0</v>
      </c>
      <c r="AY448" s="4"/>
      <c r="AZ448" s="4" t="str">
        <f>IFERROR(__xludf.DUMMYFUNCTION("""COMPUTED_VALUE"""),"NA")</f>
        <v>NA</v>
      </c>
      <c r="BA448" s="4" t="str">
        <f>IFERROR(__xludf.DUMMYFUNCTION("""COMPUTED_VALUE"""),"Dado não disponível publicamente - Necessário Discovery")</f>
        <v>Dado não disponível publicamente - Necessário Discovery</v>
      </c>
      <c r="BB448" s="4" t="str">
        <f>IFERROR(__xludf.DUMMYFUNCTION("""COMPUTED_VALUE"""),"Pizzaria Local (Santa Maria da Vitória-BA)")</f>
        <v>Pizzaria Local (Santa Maria da Vitória-BA)</v>
      </c>
      <c r="BC448" s="4" t="str">
        <f>IFERROR(__xludf.DUMMYFUNCTION("""COMPUTED_VALUE"""),"Santa Maria da Vitória-BA")</f>
        <v>Santa Maria da Vitória-BA</v>
      </c>
      <c r="BD448" s="4" t="str">
        <f>IFERROR(__xludf.DUMMYFUNCTION("""COMPUTED_VALUE"""),"R$ 35-55")</f>
        <v>R$ 35-55</v>
      </c>
      <c r="BE448" s="4">
        <f>IFERROR(__xludf.DUMMYFUNCTION("""COMPUTED_VALUE"""),15.0)</f>
        <v>15</v>
      </c>
      <c r="BF448" s="4">
        <f>IFERROR(__xludf.DUMMYFUNCTION("""COMPUTED_VALUE"""),0.2)</f>
        <v>0.2</v>
      </c>
      <c r="BG448" s="4" t="str">
        <f>IFERROR(__xludf.DUMMYFUNCTION("""COMPUTED_VALUE"""),"Single-unit local. Volume muito baixo para solução enterprise.")</f>
        <v>Single-unit local. Volume muito baixo para solução enterprise.</v>
      </c>
      <c r="BH448" s="4" t="s">
        <v>63</v>
      </c>
      <c r="BI448" s="7" t="s">
        <v>63</v>
      </c>
    </row>
    <row r="449" hidden="1">
      <c r="A449" s="4" t="str">
        <f>IFERROR(__xludf.DUMMYFUNCTION("""COMPUTED_VALUE"""),"Pizza Pazza")</f>
        <v>Pizza Pazza</v>
      </c>
      <c r="B449" s="4" t="str">
        <f>IFERROR(__xludf.DUMMYFUNCTION("""COMPUTED_VALUE"""),"João Biagiotti")</f>
        <v>João Biagiotti</v>
      </c>
      <c r="C449" s="4" t="str">
        <f>IFERROR(__xludf.DUMMYFUNCTION("""COMPUTED_VALUE"""),"Diego Santos")</f>
        <v>Diego Santos</v>
      </c>
      <c r="D449" s="4" t="str">
        <f>IFERROR(__xludf.DUMMYFUNCTION("""COMPUTED_VALUE"""),"11. Stand by")</f>
        <v>11. Stand by</v>
      </c>
      <c r="E449" s="4" t="str">
        <f>IFERROR(__xludf.DUMMYFUNCTION("""COMPUTED_VALUE"""),"Parceiro - Aguardando retorno / Conciliação agenda")</f>
        <v>Parceiro - Aguardando retorno / Conciliação agenda</v>
      </c>
      <c r="F449" s="4" t="str">
        <f>IFERROR(__xludf.DUMMYFUNCTION("""COMPUTED_VALUE"""),"P")</f>
        <v>P</v>
      </c>
      <c r="G449" s="5">
        <f>IFERROR(__xludf.DUMMYFUNCTION("""COMPUTED_VALUE"""),46090.0)</f>
        <v>46090</v>
      </c>
      <c r="H449" s="4" t="str">
        <f>IFERROR(__xludf.DUMMYFUNCTION("""COMPUTED_VALUE"""),"Cliente sem responder")</f>
        <v>Cliente sem responder</v>
      </c>
      <c r="I449" s="4"/>
      <c r="J449" s="4"/>
      <c r="K449" s="6">
        <f>IFERROR(__xludf.DUMMYFUNCTION("""COMPUTED_VALUE"""),45899.0)</f>
        <v>45899</v>
      </c>
      <c r="L449" s="4"/>
      <c r="M449" s="4"/>
      <c r="N449" s="6">
        <f>IFERROR(__xludf.DUMMYFUNCTION("""COMPUTED_VALUE"""),46055.39021159722)</f>
        <v>46055.39021</v>
      </c>
      <c r="O449" s="4"/>
      <c r="P449" s="4"/>
      <c r="Q449" s="4"/>
      <c r="R449" s="4"/>
      <c r="S449" s="6">
        <f>IFERROR(__xludf.DUMMYFUNCTION("""COMPUTED_VALUE"""),46090.48843442129)</f>
        <v>46090.48843</v>
      </c>
      <c r="T449" s="4"/>
      <c r="U449" s="4"/>
      <c r="V449" s="4" t="str">
        <f>IFERROR(__xludf.DUMMYFUNCTION("""COMPUTED_VALUE"""),"Outros")</f>
        <v>Outros</v>
      </c>
      <c r="W449" s="4"/>
      <c r="X449" s="4"/>
      <c r="Y449" s="4"/>
      <c r="Z449" s="4"/>
      <c r="AA449" s="4">
        <f>IFERROR(__xludf.DUMMYFUNCTION("""COMPUTED_VALUE"""),16.0)</f>
        <v>16</v>
      </c>
      <c r="AB449" s="4" t="str">
        <f>IFERROR(__xludf.DUMMYFUNCTION("""COMPUTED_VALUE"""),"NÃO")</f>
        <v>NÃO</v>
      </c>
      <c r="AC449" s="4" t="str">
        <f>IFERROR(__xludf.DUMMYFUNCTION("""COMPUTED_VALUE"""),"Não BP")</f>
        <v>Não BP</v>
      </c>
      <c r="AD449" s="4"/>
      <c r="AE449" s="4"/>
      <c r="AF449" s="4"/>
      <c r="AG449" s="4"/>
      <c r="AH449" s="4"/>
      <c r="AI449" s="4"/>
      <c r="AJ449" s="4"/>
      <c r="AK449" s="4"/>
      <c r="AL449" s="4"/>
      <c r="AM449" s="4" t="str">
        <f>IFERROR(__xludf.DUMMYFUNCTION("""COMPUTED_VALUE"""),"FY26, FY27")</f>
        <v>FY26, FY27</v>
      </c>
      <c r="AN449" s="4"/>
      <c r="AO449" s="4">
        <f>IFERROR(__xludf.DUMMYFUNCTION("""COMPUTED_VALUE"""),124.0)</f>
        <v>124</v>
      </c>
      <c r="AP449" s="4">
        <f>IFERROR(__xludf.DUMMYFUNCTION("""COMPUTED_VALUE"""),0.0)</f>
        <v>0</v>
      </c>
      <c r="AQ449" s="4">
        <f>IFERROR(__xludf.DUMMYFUNCTION("""COMPUTED_VALUE"""),0.0)</f>
        <v>0</v>
      </c>
      <c r="AR449" s="4">
        <f>IFERROR(__xludf.DUMMYFUNCTION("""COMPUTED_VALUE"""),0.0)</f>
        <v>0</v>
      </c>
      <c r="AS449" s="4">
        <f>IFERROR(__xludf.DUMMYFUNCTION("""COMPUTED_VALUE"""),0.0)</f>
        <v>0</v>
      </c>
      <c r="AT449" s="4">
        <f>IFERROR(__xludf.DUMMYFUNCTION("""COMPUTED_VALUE"""),0.0)</f>
        <v>0</v>
      </c>
      <c r="AU449" s="4" t="str">
        <f>IFERROR(__xludf.DUMMYFUNCTION("""COMPUTED_VALUE"""),"Diego")</f>
        <v>Diego</v>
      </c>
      <c r="AV449" s="4">
        <f>IFERROR(__xludf.DUMMYFUNCTION("""COMPUTED_VALUE"""),0.0)</f>
        <v>0</v>
      </c>
      <c r="AW449" s="4">
        <f>IFERROR(__xludf.DUMMYFUNCTION("""COMPUTED_VALUE"""),0.0)</f>
        <v>0</v>
      </c>
      <c r="AX449" s="4">
        <f>IFERROR(__xludf.DUMMYFUNCTION("""COMPUTED_VALUE"""),0.0)</f>
        <v>0</v>
      </c>
      <c r="AY449" s="4"/>
      <c r="AZ449" s="4" t="str">
        <f>IFERROR(__xludf.DUMMYFUNCTION("""COMPUTED_VALUE"""),"NA")</f>
        <v>NA</v>
      </c>
      <c r="BA449" s="4" t="str">
        <f>IFERROR(__xludf.DUMMYFUNCTION("""COMPUTED_VALUE"""),"Dado não disponível publicamente - Necessário Discovery")</f>
        <v>Dado não disponível publicamente - Necessário Discovery</v>
      </c>
      <c r="BB449" s="4" t="str">
        <f>IFERROR(__xludf.DUMMYFUNCTION("""COMPUTED_VALUE"""),"Pizzaria Shopping / Fast Casual (Foco Belo Horizonte região metropolitana)")</f>
        <v>Pizzaria Shopping / Fast Casual (Foco Belo Horizonte região metropolitana)</v>
      </c>
      <c r="BC449" s="4" t="str">
        <f>IFERROR(__xludf.DUMMYFUNCTION("""COMPUTED_VALUE"""),"Minas Gerais (16 unidades BH e região metropolitana)")</f>
        <v>Minas Gerais (16 unidades BH e região metropolitana)</v>
      </c>
      <c r="BD449" s="4" t="str">
        <f>IFERROR(__xludf.DUMMYFUNCTION("""COMPUTED_VALUE"""),"R$ 45-65")</f>
        <v>R$ 45-65</v>
      </c>
      <c r="BE449" s="4">
        <f>IFERROR(__xludf.DUMMYFUNCTION("""COMPUTED_VALUE"""),60.0)</f>
        <v>60</v>
      </c>
      <c r="BF449" s="4">
        <f>IFERROR(__xludf.DUMMYFUNCTION("""COMPUTED_VALUE"""),0.65)</f>
        <v>0.65</v>
      </c>
      <c r="BG449" s="4" t="str">
        <f>IFERROR(__xludf.DUMMYFUNCTION("""COMPUTED_VALUE"""),"Rede regional BH 16 lojas shopping. Perfil Fast Casual: Kiosk acelera pedidos + E-DEPLOY padroniza shoppings. Boa aderência regional.")</f>
        <v>Rede regional BH 16 lojas shopping. Perfil Fast Casual: Kiosk acelera pedidos + E-DEPLOY padroniza shoppings. Boa aderência regional.</v>
      </c>
      <c r="BH449" s="4" t="s">
        <v>63</v>
      </c>
      <c r="BI449" s="7" t="s">
        <v>63</v>
      </c>
    </row>
    <row r="450" hidden="1">
      <c r="A450" s="4" t="str">
        <f>IFERROR(__xludf.DUMMYFUNCTION("""COMPUTED_VALUE"""),"Pizzadog")</f>
        <v>Pizzadog</v>
      </c>
      <c r="B450" s="4" t="str">
        <f>IFERROR(__xludf.DUMMYFUNCTION("""COMPUTED_VALUE"""),"Lídia Esteves")</f>
        <v>Lídia Esteves</v>
      </c>
      <c r="C450" s="4" t="str">
        <f>IFERROR(__xludf.DUMMYFUNCTION("""COMPUTED_VALUE"""),"Gabriela Roma")</f>
        <v>Gabriela Roma</v>
      </c>
      <c r="D450" s="4" t="str">
        <f>IFERROR(__xludf.DUMMYFUNCTION("""COMPUTED_VALUE"""),"3. Apresentação")</f>
        <v>3. Apresentação</v>
      </c>
      <c r="E450" s="4" t="str">
        <f>IFERROR(__xludf.DUMMYFUNCTION("""COMPUTED_VALUE"""),"Parceiro - Aguardando retorno / Conciliação agenda")</f>
        <v>Parceiro - Aguardando retorno / Conciliação agenda</v>
      </c>
      <c r="F450" s="4" t="str">
        <f>IFERROR(__xludf.DUMMYFUNCTION("""COMPUTED_VALUE"""),"M")</f>
        <v>M</v>
      </c>
      <c r="G450" s="4"/>
      <c r="H450" s="4"/>
      <c r="I450" s="4"/>
      <c r="J450" s="6">
        <f>IFERROR(__xludf.DUMMYFUNCTION("""COMPUTED_VALUE"""),46107.62842765046)</f>
        <v>46107.62843</v>
      </c>
      <c r="K450" s="6">
        <f>IFERROR(__xludf.DUMMYFUNCTION("""COMPUTED_VALUE"""),46107.62849329862)</f>
        <v>46107.62849</v>
      </c>
      <c r="L450" s="4"/>
      <c r="M450" s="4"/>
      <c r="N450" s="4"/>
      <c r="O450" s="4"/>
      <c r="P450" s="4"/>
      <c r="Q450" s="4"/>
      <c r="R450" s="4"/>
      <c r="S450" s="4"/>
      <c r="T450" s="4"/>
      <c r="U450" s="4"/>
      <c r="V450" s="4"/>
      <c r="W450" s="4"/>
      <c r="X450" s="4"/>
      <c r="Y450" s="4"/>
      <c r="Z450" s="4"/>
      <c r="AA450" s="4">
        <f>IFERROR(__xludf.DUMMYFUNCTION("""COMPUTED_VALUE"""),45.0)</f>
        <v>45</v>
      </c>
      <c r="AB450" s="4" t="str">
        <f>IFERROR(__xludf.DUMMYFUNCTION("""COMPUTED_VALUE"""),"NÃO")</f>
        <v>NÃO</v>
      </c>
      <c r="AC450" s="4" t="str">
        <f>IFERROR(__xludf.DUMMYFUNCTION("""COMPUTED_VALUE"""),"Não BP")</f>
        <v>Não BP</v>
      </c>
      <c r="AD450" s="4"/>
      <c r="AE450" s="4"/>
      <c r="AF450" s="4"/>
      <c r="AG450" s="4"/>
      <c r="AH450" s="4"/>
      <c r="AI450" s="4"/>
      <c r="AJ450" s="4"/>
      <c r="AK450" s="4"/>
      <c r="AL450" s="4"/>
      <c r="AM450" s="4" t="str">
        <f>IFERROR(__xludf.DUMMYFUNCTION("""COMPUTED_VALUE"""),"FY26, FY27")</f>
        <v>FY26, FY27</v>
      </c>
      <c r="AN450" s="4" t="str">
        <f>IFERROR(__xludf.DUMMYFUNCTION("""COMPUTED_VALUE"""),"Comer Fora")</f>
        <v>Comer Fora</v>
      </c>
      <c r="AO450" s="4">
        <f>IFERROR(__xludf.DUMMYFUNCTION("""COMPUTED_VALUE"""),45553.0)</f>
        <v>45553</v>
      </c>
      <c r="AP450" s="4" t="str">
        <f>IFERROR(__xludf.DUMMYFUNCTION("""COMPUTED_VALUE"""),"ES")</f>
        <v>ES</v>
      </c>
      <c r="AQ450" s="4" t="str">
        <f>IFERROR(__xludf.DUMMYFUNCTION("""COMPUTED_VALUE"""),"RAFAEL FERREIRA")</f>
        <v>RAFAEL FERREIRA</v>
      </c>
      <c r="AR450" s="4" t="str">
        <f>IFERROR(__xludf.DUMMYFUNCTION("""COMPUTED_VALUE"""),"CLAUDIA FERRO")</f>
        <v>CLAUDIA FERRO</v>
      </c>
      <c r="AS450" s="4" t="str">
        <f>IFERROR(__xludf.DUMMYFUNCTION("""COMPUTED_VALUE"""),"FABIO DONATO")</f>
        <v>FABIO DONATO</v>
      </c>
      <c r="AT450" s="4" t="str">
        <f>IFERROR(__xludf.DUMMYFUNCTION("""COMPUTED_VALUE"""),"MURILO NAGASHIMA")</f>
        <v>MURILO NAGASHIMA</v>
      </c>
      <c r="AU450" s="4" t="str">
        <f>IFERROR(__xludf.DUMMYFUNCTION("""COMPUTED_VALUE"""),"Emerson")</f>
        <v>Emerson</v>
      </c>
      <c r="AV450" s="4">
        <f>IFERROR(__xludf.DUMMYFUNCTION("""COMPUTED_VALUE"""),0.0)</f>
        <v>0</v>
      </c>
      <c r="AW450" s="4">
        <f>IFERROR(__xludf.DUMMYFUNCTION("""COMPUTED_VALUE"""),0.0)</f>
        <v>0</v>
      </c>
      <c r="AX450" s="4">
        <f>IFERROR(__xludf.DUMMYFUNCTION("""COMPUTED_VALUE"""),0.0)</f>
        <v>0</v>
      </c>
      <c r="AY450" s="4"/>
      <c r="AZ450" s="4" t="str">
        <f>IFERROR(__xludf.DUMMYFUNCTION("""COMPUTED_VALUE"""),"Lanches")</f>
        <v>Lanches</v>
      </c>
      <c r="BA450" s="4" t="str">
        <f>IFERROR(__xludf.DUMMYFUNCTION("""COMPUTED_VALUE"""),"Dado não disponível publicamente - Necessário Discovery")</f>
        <v>Dado não disponível publicamente - Necessário Discovery</v>
      </c>
      <c r="BB450" s="4" t="str">
        <f>IFERROR(__xludf.DUMMYFUNCTION("""COMPUTED_VALUE"""),"Pizzaria Regional (PR SC ES RO PE - dispersão geográfica)")</f>
        <v>Pizzaria Regional (PR SC ES RO PE - dispersão geográfica)</v>
      </c>
      <c r="BC450" s="4" t="str">
        <f>IFERROR(__xludf.DUMMYFUNCTION("""COMPUTED_VALUE"""),"Multi-regional (Paraná, Santa Catarina, Espírito Santo, Rondônia, Pernambuco)")</f>
        <v>Multi-regional (Paraná, Santa Catarina, Espírito Santo, Rondônia, Pernambuco)</v>
      </c>
      <c r="BD450" s="4" t="str">
        <f>IFERROR(__xludf.DUMMYFUNCTION("""COMPUTED_VALUE"""),"R$ 40-60")</f>
        <v>R$ 40-60</v>
      </c>
      <c r="BE450" s="4">
        <f>IFERROR(__xludf.DUMMYFUNCTION("""COMPUTED_VALUE"""),40.0)</f>
        <v>40</v>
      </c>
      <c r="BF450" s="4">
        <f>IFERROR(__xludf.DUMMYFUNCTION("""COMPUTED_VALUE"""),0.45)</f>
        <v>0.45</v>
      </c>
      <c r="BG450" s="4" t="str">
        <f>IFERROR(__xludf.DUMMYFUNCTION("""COMPUTED_VALUE"""),"Rede dispersa 8 lojas em 5 estados. Padronização E-DEPLOY justificada mas dispersão geográfica dificulta suporte. Aderência média.")</f>
        <v>Rede dispersa 8 lojas em 5 estados. Padronização E-DEPLOY justificada mas dispersão geográfica dificulta suporte. Aderência média.</v>
      </c>
      <c r="BH450" s="4" t="s">
        <v>85</v>
      </c>
      <c r="BI450" s="7">
        <v>0.6666666666666666</v>
      </c>
    </row>
    <row r="451" hidden="1">
      <c r="A451" s="4" t="str">
        <f>IFERROR(__xludf.DUMMYFUNCTION("""COMPUTED_VALUE"""),"Pizzaria Abaré")</f>
        <v>Pizzaria Abaré</v>
      </c>
      <c r="B451" s="4" t="str">
        <f>IFERROR(__xludf.DUMMYFUNCTION("""COMPUTED_VALUE"""),"Lídia Esteves")</f>
        <v>Lídia Esteves</v>
      </c>
      <c r="C451" s="4" t="str">
        <f>IFERROR(__xludf.DUMMYFUNCTION("""COMPUTED_VALUE"""),"Gabriela Roma")</f>
        <v>Gabriela Roma</v>
      </c>
      <c r="D451" s="4" t="str">
        <f>IFERROR(__xludf.DUMMYFUNCTION("""COMPUTED_VALUE"""),"0. Não Iniciado")</f>
        <v>0. Não Iniciado</v>
      </c>
      <c r="E451" s="4"/>
      <c r="F451" s="4" t="str">
        <f>IFERROR(__xludf.DUMMYFUNCTION("""COMPUTED_VALUE"""),"P")</f>
        <v>P</v>
      </c>
      <c r="G451" s="5">
        <f>IFERROR(__xludf.DUMMYFUNCTION("""COMPUTED_VALUE"""),46078.0)</f>
        <v>46078</v>
      </c>
      <c r="H451" s="4" t="str">
        <f>IFERROR(__xludf.DUMMYFUNCTION("""COMPUTED_VALUE"""),"Na planilha oficial estava sinalizado que entramos em contato em nov/2025, confirmar.")</f>
        <v>Na planilha oficial estava sinalizado que entramos em contato em nov/2025, confirmar.</v>
      </c>
      <c r="I451" s="4"/>
      <c r="J451" s="4"/>
      <c r="K451" s="4"/>
      <c r="L451" s="4"/>
      <c r="M451" s="4"/>
      <c r="N451" s="4"/>
      <c r="O451" s="4"/>
      <c r="P451" s="4"/>
      <c r="Q451" s="4"/>
      <c r="R451" s="4"/>
      <c r="S451" s="4"/>
      <c r="T451" s="4"/>
      <c r="U451" s="4"/>
      <c r="V451" s="4"/>
      <c r="W451" s="4"/>
      <c r="X451" s="4"/>
      <c r="Y451" s="4"/>
      <c r="Z451" s="4"/>
      <c r="AA451" s="4">
        <f>IFERROR(__xludf.DUMMYFUNCTION("""COMPUTED_VALUE"""),16.0)</f>
        <v>16</v>
      </c>
      <c r="AB451" s="4" t="str">
        <f>IFERROR(__xludf.DUMMYFUNCTION("""COMPUTED_VALUE"""),"-")</f>
        <v>-</v>
      </c>
      <c r="AC451" s="4" t="str">
        <f>IFERROR(__xludf.DUMMYFUNCTION("""COMPUTED_VALUE"""),"-")</f>
        <v>-</v>
      </c>
      <c r="AD451" s="4"/>
      <c r="AE451" s="4"/>
      <c r="AF451" s="4"/>
      <c r="AG451" s="4"/>
      <c r="AH451" s="4"/>
      <c r="AI451" s="4"/>
      <c r="AJ451" s="4"/>
      <c r="AK451" s="4"/>
      <c r="AL451" s="4"/>
      <c r="AM451" s="4" t="str">
        <f>IFERROR(__xludf.DUMMYFUNCTION("""COMPUTED_VALUE"""),"FY26, FY27")</f>
        <v>FY26, FY27</v>
      </c>
      <c r="AN451" s="4" t="str">
        <f>IFERROR(__xludf.DUMMYFUNCTION("""COMPUTED_VALUE"""),"Comer Fora")</f>
        <v>Comer Fora</v>
      </c>
      <c r="AO451" s="4">
        <f>IFERROR(__xludf.DUMMYFUNCTION("""COMPUTED_VALUE"""),138.0)</f>
        <v>138</v>
      </c>
      <c r="AP451" s="4">
        <f>IFERROR(__xludf.DUMMYFUNCTION("""COMPUTED_VALUE"""),0.0)</f>
        <v>0</v>
      </c>
      <c r="AQ451" s="4">
        <f>IFERROR(__xludf.DUMMYFUNCTION("""COMPUTED_VALUE"""),0.0)</f>
        <v>0</v>
      </c>
      <c r="AR451" s="4">
        <f>IFERROR(__xludf.DUMMYFUNCTION("""COMPUTED_VALUE"""),0.0)</f>
        <v>0</v>
      </c>
      <c r="AS451" s="4">
        <f>IFERROR(__xludf.DUMMYFUNCTION("""COMPUTED_VALUE"""),0.0)</f>
        <v>0</v>
      </c>
      <c r="AT451" s="4">
        <f>IFERROR(__xludf.DUMMYFUNCTION("""COMPUTED_VALUE"""),0.0)</f>
        <v>0</v>
      </c>
      <c r="AU451" s="4" t="str">
        <f>IFERROR(__xludf.DUMMYFUNCTION("""COMPUTED_VALUE"""),"Lídia / Emerson")</f>
        <v>Lídia / Emerson</v>
      </c>
      <c r="AV451" s="4" t="str">
        <f>IFERROR(__xludf.DUMMYFUNCTION("""COMPUTED_VALUE"""),"Comer Fora-")</f>
        <v>Comer Fora-</v>
      </c>
      <c r="AW451" s="4"/>
      <c r="AX451" s="4"/>
      <c r="AY451" s="4"/>
      <c r="AZ451" s="4" t="str">
        <f>IFERROR(__xludf.DUMMYFUNCTION("""COMPUTED_VALUE"""),"NA")</f>
        <v>NA</v>
      </c>
      <c r="BA451" s="4" t="str">
        <f>IFERROR(__xludf.DUMMYFUNCTION("""COMPUTED_VALUE"""),"Dado não disponível publicamente - Necessário Discovery")</f>
        <v>Dado não disponível publicamente - Necessário Discovery</v>
      </c>
      <c r="BB451" s="4" t="str">
        <f>IFERROR(__xludf.DUMMYFUNCTION("""COMPUTED_VALUE"""),"Pizzaria Regional / Multi-formato (3 restaurantes + 12 express Curitiba)")</f>
        <v>Pizzaria Regional / Multi-formato (3 restaurantes + 12 express Curitiba)</v>
      </c>
      <c r="BC451" s="4" t="str">
        <f>IFERROR(__xludf.DUMMYFUNCTION("""COMPUTED_VALUE"""),"Paraná (12 em Curitiba + 4 região metropolitana)")</f>
        <v>Paraná (12 em Curitiba + 4 região metropolitana)</v>
      </c>
      <c r="BD451" s="4" t="str">
        <f>IFERROR(__xludf.DUMMYFUNCTION("""COMPUTED_VALUE"""),"R$ 45-70")</f>
        <v>R$ 45-70</v>
      </c>
      <c r="BE451" s="4">
        <f>IFERROR(__xludf.DUMMYFUNCTION("""COMPUTED_VALUE"""),60.0)</f>
        <v>60</v>
      </c>
      <c r="BF451" s="4">
        <f>IFERROR(__xludf.DUMMYFUNCTION("""COMPUTED_VALUE"""),0.65)</f>
        <v>0.65</v>
      </c>
      <c r="BG451" s="4" t="str">
        <f>IFERROR(__xludf.DUMMYFUNCTION("""COMPUTED_VALUE"""),"Rede consolidada Curitiba 16 unidades multi-formato. Express = Kiosk + velocidade. E-DEPLOY padroniza. Boa aderência regional.")</f>
        <v>Rede consolidada Curitiba 16 unidades multi-formato. Express = Kiosk + velocidade. E-DEPLOY padroniza. Boa aderência regional.</v>
      </c>
      <c r="BH451" s="4" t="s">
        <v>63</v>
      </c>
      <c r="BI451" s="7" t="s">
        <v>63</v>
      </c>
    </row>
    <row r="452" hidden="1">
      <c r="A452" s="4" t="str">
        <f>IFERROR(__xludf.DUMMYFUNCTION("""COMPUTED_VALUE"""),"Pizzaria Camelo")</f>
        <v>Pizzaria Camelo</v>
      </c>
      <c r="B452" s="4" t="str">
        <f>IFERROR(__xludf.DUMMYFUNCTION("""COMPUTED_VALUE"""),"Emerson")</f>
        <v>Emerson</v>
      </c>
      <c r="C452" s="4" t="str">
        <f>IFERROR(__xludf.DUMMYFUNCTION("""COMPUTED_VALUE"""),"Emerson")</f>
        <v>Emerson</v>
      </c>
      <c r="D452" s="4" t="str">
        <f>IFERROR(__xludf.DUMMYFUNCTION("""COMPUTED_VALUE"""),"11. Stand by")</f>
        <v>11. Stand by</v>
      </c>
      <c r="E452" s="4"/>
      <c r="F452" s="4" t="str">
        <f>IFERROR(__xludf.DUMMYFUNCTION("""COMPUTED_VALUE"""),"P")</f>
        <v>P</v>
      </c>
      <c r="G452" s="4"/>
      <c r="H452" s="4"/>
      <c r="I452" s="4"/>
      <c r="J452" s="4"/>
      <c r="K452" s="6">
        <f>IFERROR(__xludf.DUMMYFUNCTION("""COMPUTED_VALUE"""),45918.0)</f>
        <v>45918</v>
      </c>
      <c r="L452" s="4"/>
      <c r="M452" s="4"/>
      <c r="N452" s="4"/>
      <c r="O452" s="4"/>
      <c r="P452" s="4"/>
      <c r="Q452" s="4"/>
      <c r="R452" s="4"/>
      <c r="S452" s="4"/>
      <c r="T452" s="4"/>
      <c r="U452" s="4"/>
      <c r="V452" s="4"/>
      <c r="W452" s="4"/>
      <c r="X452" s="4"/>
      <c r="Y452" s="4"/>
      <c r="Z452" s="4"/>
      <c r="AA452" s="4">
        <f>IFERROR(__xludf.DUMMYFUNCTION("""COMPUTED_VALUE"""),10.0)</f>
        <v>10</v>
      </c>
      <c r="AB452" s="4" t="str">
        <f>IFERROR(__xludf.DUMMYFUNCTION("""COMPUTED_VALUE"""),"NÃO")</f>
        <v>NÃO</v>
      </c>
      <c r="AC452" s="4" t="str">
        <f>IFERROR(__xludf.DUMMYFUNCTION("""COMPUTED_VALUE"""),"BP")</f>
        <v>BP</v>
      </c>
      <c r="AD452" s="4"/>
      <c r="AE452" s="4"/>
      <c r="AF452" s="4"/>
      <c r="AG452" s="4"/>
      <c r="AH452" s="4"/>
      <c r="AI452" s="4"/>
      <c r="AJ452" s="4"/>
      <c r="AK452" s="4"/>
      <c r="AL452" s="4"/>
      <c r="AM452" s="4" t="str">
        <f>IFERROR(__xludf.DUMMYFUNCTION("""COMPUTED_VALUE"""),"FY26, FY27")</f>
        <v>FY26, FY27</v>
      </c>
      <c r="AN452" s="4"/>
      <c r="AO452" s="4">
        <f>IFERROR(__xludf.DUMMYFUNCTION("""COMPUTED_VALUE"""),45553.0)</f>
        <v>45553</v>
      </c>
      <c r="AP452" s="4">
        <f>IFERROR(__xludf.DUMMYFUNCTION("""COMPUTED_VALUE"""),0.0)</f>
        <v>0</v>
      </c>
      <c r="AQ452" s="4">
        <f>IFERROR(__xludf.DUMMYFUNCTION("""COMPUTED_VALUE"""),0.0)</f>
        <v>0</v>
      </c>
      <c r="AR452" s="4">
        <f>IFERROR(__xludf.DUMMYFUNCTION("""COMPUTED_VALUE"""),0.0)</f>
        <v>0</v>
      </c>
      <c r="AS452" s="4">
        <f>IFERROR(__xludf.DUMMYFUNCTION("""COMPUTED_VALUE"""),0.0)</f>
        <v>0</v>
      </c>
      <c r="AT452" s="4">
        <f>IFERROR(__xludf.DUMMYFUNCTION("""COMPUTED_VALUE"""),0.0)</f>
        <v>0</v>
      </c>
      <c r="AU452" s="4" t="str">
        <f>IFERROR(__xludf.DUMMYFUNCTION("""COMPUTED_VALUE"""),"Emerson")</f>
        <v>Emerson</v>
      </c>
      <c r="AV452" s="4">
        <f>IFERROR(__xludf.DUMMYFUNCTION("""COMPUTED_VALUE"""),0.0)</f>
        <v>0</v>
      </c>
      <c r="AW452" s="4">
        <f>IFERROR(__xludf.DUMMYFUNCTION("""COMPUTED_VALUE"""),0.0)</f>
        <v>0</v>
      </c>
      <c r="AX452" s="4">
        <f>IFERROR(__xludf.DUMMYFUNCTION("""COMPUTED_VALUE"""),0.0)</f>
        <v>0</v>
      </c>
      <c r="AY452" s="4"/>
      <c r="AZ452" s="4" t="str">
        <f>IFERROR(__xludf.DUMMYFUNCTION("""COMPUTED_VALUE"""),"Pizza")</f>
        <v>Pizza</v>
      </c>
      <c r="BA452" s="4" t="str">
        <f>IFERROR(__xludf.DUMMYFUNCTION("""COMPUTED_VALUE"""),"Dado não disponível publicamente - Necessário Discovery")</f>
        <v>Dado não disponível publicamente - Necessário Discovery</v>
      </c>
      <c r="BB452" s="4" t="str">
        <f>IFERROR(__xludf.DUMMYFUNCTION("""COMPUTED_VALUE"""),"Pizzaria Premium / Table Service (Desde 1957 - 8 SP + 1 RJ)")</f>
        <v>Pizzaria Premium / Table Service (Desde 1957 - 8 SP + 1 RJ)</v>
      </c>
      <c r="BC452" s="4" t="str">
        <f>IFERROR(__xludf.DUMMYFUNCTION("""COMPUTED_VALUE"""),"São Paulo (8 unidades) + Rio de Janeiro (1 Ipanema)")</f>
        <v>São Paulo (8 unidades) + Rio de Janeiro (1 Ipanema)</v>
      </c>
      <c r="BD452" s="4" t="str">
        <f>IFERROR(__xludf.DUMMYFUNCTION("""COMPUTED_VALUE"""),"R$ 70-110")</f>
        <v>R$ 70-110</v>
      </c>
      <c r="BE452" s="4">
        <f>IFERROR(__xludf.DUMMYFUNCTION("""COMPUTED_VALUE"""),50.0)</f>
        <v>50</v>
      </c>
      <c r="BF452" s="4">
        <f>IFERROR(__xludf.DUMMYFUNCTION("""COMPUTED_VALUE"""),0.55)</f>
        <v>0.55</v>
      </c>
      <c r="BG452" s="4" t="str">
        <f>IFERROR(__xludf.DUMMYFUNCTION("""COMPUTED_VALUE"""),"Pizzaria tradicional premium 9 lojas. Table Service mas volume justifica Kiosk bebidas/sobremesas. Padronização E-DEPLOY para multi-lojas.")</f>
        <v>Pizzaria tradicional premium 9 lojas. Table Service mas volume justifica Kiosk bebidas/sobremesas. Padronização E-DEPLOY para multi-lojas.</v>
      </c>
      <c r="BH452" s="4" t="s">
        <v>74</v>
      </c>
      <c r="BI452" s="7">
        <v>1.0</v>
      </c>
    </row>
    <row r="453" hidden="1">
      <c r="A453" s="4" t="str">
        <f>IFERROR(__xludf.DUMMYFUNCTION("""COMPUTED_VALUE"""),"Pizzaria Catedral")</f>
        <v>Pizzaria Catedral</v>
      </c>
      <c r="B453" s="4" t="str">
        <f>IFERROR(__xludf.DUMMYFUNCTION("""COMPUTED_VALUE"""),"Lídia Esteves")</f>
        <v>Lídia Esteves</v>
      </c>
      <c r="C453" s="4" t="str">
        <f>IFERROR(__xludf.DUMMYFUNCTION("""COMPUTED_VALUE"""),"Gabriela Roma")</f>
        <v>Gabriela Roma</v>
      </c>
      <c r="D453" s="4" t="str">
        <f>IFERROR(__xludf.DUMMYFUNCTION("""COMPUTED_VALUE"""),"2. Primeiro contato com a marca")</f>
        <v>2. Primeiro contato com a marca</v>
      </c>
      <c r="E453" s="4" t="str">
        <f>IFERROR(__xludf.DUMMYFUNCTION("""COMPUTED_VALUE"""),"Delivery - Aguardando retorno / Conciliação agenda")</f>
        <v>Delivery - Aguardando retorno / Conciliação agenda</v>
      </c>
      <c r="F453" s="4" t="str">
        <f>IFERROR(__xludf.DUMMYFUNCTION("""COMPUTED_VALUE"""),"P")</f>
        <v>P</v>
      </c>
      <c r="G453" s="4"/>
      <c r="H453" s="4"/>
      <c r="I453" s="4"/>
      <c r="J453" s="6">
        <f>IFERROR(__xludf.DUMMYFUNCTION("""COMPUTED_VALUE"""),46107.62873871528)</f>
        <v>46107.62874</v>
      </c>
      <c r="K453" s="4"/>
      <c r="L453" s="4"/>
      <c r="M453" s="4"/>
      <c r="N453" s="4"/>
      <c r="O453" s="4"/>
      <c r="P453" s="4"/>
      <c r="Q453" s="4"/>
      <c r="R453" s="4"/>
      <c r="S453" s="4"/>
      <c r="T453" s="4"/>
      <c r="U453" s="4"/>
      <c r="V453" s="4"/>
      <c r="W453" s="4"/>
      <c r="X453" s="4"/>
      <c r="Y453" s="4"/>
      <c r="Z453" s="4"/>
      <c r="AA453" s="4">
        <f>IFERROR(__xludf.DUMMYFUNCTION("""COMPUTED_VALUE"""),11.0)</f>
        <v>11</v>
      </c>
      <c r="AB453" s="4" t="str">
        <f>IFERROR(__xludf.DUMMYFUNCTION("""COMPUTED_VALUE"""),"-")</f>
        <v>-</v>
      </c>
      <c r="AC453" s="4" t="str">
        <f>IFERROR(__xludf.DUMMYFUNCTION("""COMPUTED_VALUE"""),"-")</f>
        <v>-</v>
      </c>
      <c r="AD453" s="4"/>
      <c r="AE453" s="4"/>
      <c r="AF453" s="4"/>
      <c r="AG453" s="4"/>
      <c r="AH453" s="4"/>
      <c r="AI453" s="4"/>
      <c r="AJ453" s="4"/>
      <c r="AK453" s="4"/>
      <c r="AL453" s="4"/>
      <c r="AM453" s="4" t="str">
        <f>IFERROR(__xludf.DUMMYFUNCTION("""COMPUTED_VALUE"""),"FY26, FY27")</f>
        <v>FY26, FY27</v>
      </c>
      <c r="AN453" s="4"/>
      <c r="AO453" s="4">
        <f>IFERROR(__xludf.DUMMYFUNCTION("""COMPUTED_VALUE"""),45553.0)</f>
        <v>45553</v>
      </c>
      <c r="AP453" s="4" t="str">
        <f>IFERROR(__xludf.DUMMYFUNCTION("""COMPUTED_VALUE"""),"PR")</f>
        <v>PR</v>
      </c>
      <c r="AQ453" s="4" t="str">
        <f>IFERROR(__xludf.DUMMYFUNCTION("""COMPUTED_VALUE"""),"BRUNA MONTEZIN")</f>
        <v>BRUNA MONTEZIN</v>
      </c>
      <c r="AR453" s="4" t="str">
        <f>IFERROR(__xludf.DUMMYFUNCTION("""COMPUTED_VALUE"""),"BRUNO BASSO")</f>
        <v>BRUNO BASSO</v>
      </c>
      <c r="AS453" s="4" t="str">
        <f>IFERROR(__xludf.DUMMYFUNCTION("""COMPUTED_VALUE"""),"FABIO DONATO")</f>
        <v>FABIO DONATO</v>
      </c>
      <c r="AT453" s="4" t="str">
        <f>IFERROR(__xludf.DUMMYFUNCTION("""COMPUTED_VALUE"""),"MURILO NAGASHIMA")</f>
        <v>MURILO NAGASHIMA</v>
      </c>
      <c r="AU453" s="4" t="str">
        <f>IFERROR(__xludf.DUMMYFUNCTION("""COMPUTED_VALUE"""),"Lídia / Emerson")</f>
        <v>Lídia / Emerson</v>
      </c>
      <c r="AV453" s="4">
        <f>IFERROR(__xludf.DUMMYFUNCTION("""COMPUTED_VALUE"""),0.0)</f>
        <v>0</v>
      </c>
      <c r="AW453" s="4">
        <f>IFERROR(__xludf.DUMMYFUNCTION("""COMPUTED_VALUE"""),0.0)</f>
        <v>0</v>
      </c>
      <c r="AX453" s="4">
        <f>IFERROR(__xludf.DUMMYFUNCTION("""COMPUTED_VALUE"""),0.0)</f>
        <v>0</v>
      </c>
      <c r="AY453" s="4"/>
      <c r="AZ453" s="4" t="str">
        <f>IFERROR(__xludf.DUMMYFUNCTION("""COMPUTED_VALUE"""),"Pizza")</f>
        <v>Pizza</v>
      </c>
      <c r="BA453" s="4" t="str">
        <f>IFERROR(__xludf.DUMMYFUNCTION("""COMPUTED_VALUE"""),"Dado não disponível publicamente - Necessário Discovery")</f>
        <v>Dado não disponível publicamente - Necessário Discovery</v>
      </c>
      <c r="BB453" s="4" t="str">
        <f>IFERROR(__xludf.DUMMYFUNCTION("""COMPUTED_VALUE"""),"Pizzaria Local (Ourinhos-SP e/ou Maringá-PR - operações independentes)")</f>
        <v>Pizzaria Local (Ourinhos-SP e/ou Maringá-PR - operações independentes)</v>
      </c>
      <c r="BC453" s="4" t="str">
        <f>IFERROR(__xludf.DUMMYFUNCTION("""COMPUTED_VALUE"""),"Ourinhos-SP e/ou Maringá-PR (estabelecimentos locais)")</f>
        <v>Ourinhos-SP e/ou Maringá-PR (estabelecimentos locais)</v>
      </c>
      <c r="BD453" s="4" t="str">
        <f>IFERROR(__xludf.DUMMYFUNCTION("""COMPUTED_VALUE"""),"R$ 40-60")</f>
        <v>R$ 40-60</v>
      </c>
      <c r="BE453" s="4">
        <f>IFERROR(__xludf.DUMMYFUNCTION("""COMPUTED_VALUE"""),15.0)</f>
        <v>15</v>
      </c>
      <c r="BF453" s="4">
        <f>IFERROR(__xludf.DUMMYFUNCTION("""COMPUTED_VALUE"""),0.2)</f>
        <v>0.2</v>
      </c>
      <c r="BG453" s="4" t="str">
        <f>IFERROR(__xludf.DUMMYFUNCTION("""COMPUTED_VALUE"""),"Estabelecimentos locais independentes mesmo nome. Sem rede consolidada. Baixíssima aderência.")</f>
        <v>Estabelecimentos locais independentes mesmo nome. Sem rede consolidada. Baixíssima aderência.</v>
      </c>
      <c r="BH453" s="4" t="s">
        <v>63</v>
      </c>
      <c r="BI453" s="7" t="s">
        <v>63</v>
      </c>
    </row>
    <row r="454" hidden="1">
      <c r="A454" s="4" t="str">
        <f>IFERROR(__xludf.DUMMYFUNCTION("""COMPUTED_VALUE"""),"PIZZARIA DO SAMBA")</f>
        <v>PIZZARIA DO SAMBA</v>
      </c>
      <c r="B454" s="4" t="str">
        <f>IFERROR(__xludf.DUMMYFUNCTION("""COMPUTED_VALUE"""),"Lídia Esteves")</f>
        <v>Lídia Esteves</v>
      </c>
      <c r="C454" s="4" t="str">
        <f>IFERROR(__xludf.DUMMYFUNCTION("""COMPUTED_VALUE"""),"Gabriela Roma")</f>
        <v>Gabriela Roma</v>
      </c>
      <c r="D454" s="4" t="str">
        <f>IFERROR(__xludf.DUMMYFUNCTION("""COMPUTED_VALUE"""),"10. Perdido")</f>
        <v>10. Perdido</v>
      </c>
      <c r="E454" s="4" t="str">
        <f>IFERROR(__xludf.DUMMYFUNCTION("""COMPUTED_VALUE"""),"Parceiro - Aguardando retorno parceiro")</f>
        <v>Parceiro - Aguardando retorno parceiro</v>
      </c>
      <c r="F454" s="4" t="str">
        <f>IFERROR(__xludf.DUMMYFUNCTION("""COMPUTED_VALUE"""),"P")</f>
        <v>P</v>
      </c>
      <c r="G454" s="5">
        <f>IFERROR(__xludf.DUMMYFUNCTION("""COMPUTED_VALUE"""),46154.0)</f>
        <v>46154</v>
      </c>
      <c r="H454" s="4" t="str">
        <f>IFERROR(__xludf.DUMMYFUNCTION("""COMPUTED_VALUE"""),"apresentação para proprietária a mesma finalizou  a pouco tempo a contratação de Saipos")</f>
        <v>apresentação para proprietária a mesma finalizou  a pouco tempo a contratação de Saipos</v>
      </c>
      <c r="I454" s="6">
        <f>IFERROR(__xludf.DUMMYFUNCTION("""COMPUTED_VALUE"""),46121.68748945602)</f>
        <v>46121.68749</v>
      </c>
      <c r="J454" s="6">
        <f>IFERROR(__xludf.DUMMYFUNCTION("""COMPUTED_VALUE"""),46077.411798761575)</f>
        <v>46077.4118</v>
      </c>
      <c r="K454" s="6">
        <f>IFERROR(__xludf.DUMMYFUNCTION("""COMPUTED_VALUE"""),46084.563663506946)</f>
        <v>46084.56366</v>
      </c>
      <c r="L454" s="6">
        <f>IFERROR(__xludf.DUMMYFUNCTION("""COMPUTED_VALUE"""),46107.71349886574)</f>
        <v>46107.7135</v>
      </c>
      <c r="M454" s="6">
        <f>IFERROR(__xludf.DUMMYFUNCTION("""COMPUTED_VALUE"""),46154.61714741898)</f>
        <v>46154.61715</v>
      </c>
      <c r="N454" s="6">
        <f>IFERROR(__xludf.DUMMYFUNCTION("""COMPUTED_VALUE"""),46154.61734140046)</f>
        <v>46154.61734</v>
      </c>
      <c r="O454" s="4"/>
      <c r="P454" s="4"/>
      <c r="Q454" s="4"/>
      <c r="R454" s="6">
        <f>IFERROR(__xludf.DUMMYFUNCTION("""COMPUTED_VALUE"""),46154.618025289354)</f>
        <v>46154.61803</v>
      </c>
      <c r="S454" s="4"/>
      <c r="T454" s="4"/>
      <c r="U454" s="4"/>
      <c r="V454" s="4" t="str">
        <f>IFERROR(__xludf.DUMMYFUNCTION("""COMPUTED_VALUE"""),"Outros")</f>
        <v>Outros</v>
      </c>
      <c r="W454" s="4"/>
      <c r="X454" s="4"/>
      <c r="Y454" s="4"/>
      <c r="Z454" s="4"/>
      <c r="AA454" s="4">
        <f>IFERROR(__xludf.DUMMYFUNCTION("""COMPUTED_VALUE"""),14.0)</f>
        <v>14</v>
      </c>
      <c r="AB454" s="4"/>
      <c r="AC454" s="4"/>
      <c r="AD454" s="4"/>
      <c r="AE454" s="4"/>
      <c r="AF454" s="4"/>
      <c r="AG454" s="4"/>
      <c r="AH454" s="4">
        <f>IFERROR(__xludf.DUMMYFUNCTION("""COMPUTED_VALUE"""),13.0)</f>
        <v>13</v>
      </c>
      <c r="AI454" s="4">
        <f>IFERROR(__xludf.DUMMYFUNCTION("""COMPUTED_VALUE"""),400000.0)</f>
        <v>400000</v>
      </c>
      <c r="AJ454" s="4" t="str">
        <f>IFERROR(__xludf.DUMMYFUNCTION("""COMPUTED_VALUE"""),"saipos")</f>
        <v>saipos</v>
      </c>
      <c r="AK454" s="4" t="str">
        <f>IFERROR(__xludf.DUMMYFUNCTION("""COMPUTED_VALUE"""),"balcao , delivery e salão")</f>
        <v>balcao , delivery e salão</v>
      </c>
      <c r="AL454" s="4" t="str">
        <f>IFERROR(__xludf.DUMMYFUNCTION("""COMPUTED_VALUE"""),"SIM")</f>
        <v>SIM</v>
      </c>
      <c r="AM454" s="4" t="str">
        <f>IFERROR(__xludf.DUMMYFUNCTION("""COMPUTED_VALUE"""),"FY26, FY27")</f>
        <v>FY26, FY27</v>
      </c>
      <c r="AN454" s="4" t="str">
        <f>IFERROR(__xludf.DUMMYFUNCTION("""COMPUTED_VALUE"""),"Comer Fora")</f>
        <v>Comer Fora</v>
      </c>
      <c r="AO454" s="4">
        <f>IFERROR(__xludf.DUMMYFUNCTION("""COMPUTED_VALUE"""),61.0)</f>
        <v>61</v>
      </c>
      <c r="AP454" s="4" t="str">
        <f>IFERROR(__xludf.DUMMYFUNCTION("""COMPUTED_VALUE"""),"RJ")</f>
        <v>RJ</v>
      </c>
      <c r="AQ454" s="4" t="str">
        <f>IFERROR(__xludf.DUMMYFUNCTION("""COMPUTED_VALUE"""),"ANA SALLES")</f>
        <v>ANA SALLES</v>
      </c>
      <c r="AR454" s="4" t="str">
        <f>IFERROR(__xludf.DUMMYFUNCTION("""COMPUTED_VALUE"""),"LUIZA BELA")</f>
        <v>LUIZA BELA</v>
      </c>
      <c r="AS454" s="4" t="str">
        <f>IFERROR(__xludf.DUMMYFUNCTION("""COMPUTED_VALUE"""),"NATHALIE MERTENS")</f>
        <v>NATHALIE MERTENS</v>
      </c>
      <c r="AT454" s="4" t="str">
        <f>IFERROR(__xludf.DUMMYFUNCTION("""COMPUTED_VALUE"""),"NATALIA COUTINHO")</f>
        <v>NATALIA COUTINHO</v>
      </c>
      <c r="AU454" s="4" t="str">
        <f>IFERROR(__xludf.DUMMYFUNCTION("""COMPUTED_VALUE"""),"Diego")</f>
        <v>Diego</v>
      </c>
      <c r="AV454" s="4" t="str">
        <f>IFERROR(__xludf.DUMMYFUNCTION("""COMPUTED_VALUE"""),"Comer Fora-")</f>
        <v>Comer Fora-</v>
      </c>
      <c r="AW454" s="20" t="str">
        <f>IFERROR(__xludf.DUMMYFUNCTION("""COMPUTED_VALUE"""),"P e M - pipe")</f>
        <v>P e M - pipe</v>
      </c>
      <c r="AX454" s="4"/>
      <c r="AY454" s="4"/>
      <c r="AZ454" s="4" t="str">
        <f>IFERROR(__xludf.DUMMYFUNCTION("""COMPUTED_VALUE"""),"Brasileira")</f>
        <v>Brasileira</v>
      </c>
      <c r="BA454" s="4" t="str">
        <f>IFERROR(__xludf.DUMMYFUNCTION("""COMPUTED_VALUE"""),"Dado não disponível publicamente - Necessário Discovery")</f>
        <v>Dado não disponível publicamente - Necessário Discovery</v>
      </c>
      <c r="BB454" s="4" t="str">
        <f>IFERROR(__xludf.DUMMYFUNCTION("""COMPUTED_VALUE"""),"Pizzaria Delivery + Rodízio (13 lojas Rio de Janeiro + Rio das Ostras + Nova Iguaçu)")</f>
        <v>Pizzaria Delivery + Rodízio (13 lojas Rio de Janeiro + Rio das Ostras + Nova Iguaçu)</v>
      </c>
      <c r="BC454" s="4" t="str">
        <f>IFERROR(__xludf.DUMMYFUNCTION("""COMPUTED_VALUE"""),"Rio de Janeiro (11 RJ capital + 1 Rio das Ostras + 1 Nova Iguaçu)")</f>
        <v>Rio de Janeiro (11 RJ capital + 1 Rio das Ostras + 1 Nova Iguaçu)</v>
      </c>
      <c r="BD454" s="4" t="str">
        <f>IFERROR(__xludf.DUMMYFUNCTION("""COMPUTED_VALUE"""),"R$ 50-70")</f>
        <v>R$ 50-70</v>
      </c>
      <c r="BE454" s="4">
        <f>IFERROR(__xludf.DUMMYFUNCTION("""COMPUTED_VALUE"""),55.0)</f>
        <v>55</v>
      </c>
      <c r="BF454" s="4">
        <f>IFERROR(__xludf.DUMMYFUNCTION("""COMPUTED_VALUE"""),0.6)</f>
        <v>0.6</v>
      </c>
      <c r="BG454" s="4" t="str">
        <f>IFERROR(__xludf.DUMMYFUNCTION("""COMPUTED_VALUE"""),"Rede regional RJ 13 lojas rodízio + delivery. Kiosk gerencia pedidos ilimitados rodízio + integração delivery. Boa aderência.")</f>
        <v>Rede regional RJ 13 lojas rodízio + delivery. Kiosk gerencia pedidos ilimitados rodízio + integração delivery. Boa aderência.</v>
      </c>
      <c r="BH454" s="4" t="s">
        <v>61</v>
      </c>
      <c r="BI454" s="7">
        <v>0.8125</v>
      </c>
    </row>
    <row r="455" hidden="1">
      <c r="A455" s="4" t="str">
        <f>IFERROR(__xludf.DUMMYFUNCTION("""COMPUTED_VALUE"""),"Pobre Juan")</f>
        <v>Pobre Juan</v>
      </c>
      <c r="B455" s="4" t="str">
        <f>IFERROR(__xludf.DUMMYFUNCTION("""COMPUTED_VALUE"""),"Lídia Esteves")</f>
        <v>Lídia Esteves</v>
      </c>
      <c r="C455" s="4" t="str">
        <f>IFERROR(__xludf.DUMMYFUNCTION("""COMPUTED_VALUE"""),"Gabriela Roma")</f>
        <v>Gabriela Roma</v>
      </c>
      <c r="D455" s="4" t="str">
        <f>IFERROR(__xludf.DUMMYFUNCTION("""COMPUTED_VALUE"""),"13. Reativado")</f>
        <v>13. Reativado</v>
      </c>
      <c r="E455" s="4" t="str">
        <f>IFERROR(__xludf.DUMMYFUNCTION("""COMPUTED_VALUE"""),"Perdido - Outro (detalhar ao lado)")</f>
        <v>Perdido - Outro (detalhar ao lado)</v>
      </c>
      <c r="F455" s="4" t="str">
        <f>IFERROR(__xludf.DUMMYFUNCTION("""COMPUTED_VALUE"""),"P")</f>
        <v>P</v>
      </c>
      <c r="G455" s="5">
        <f>IFERROR(__xludf.DUMMYFUNCTION("""COMPUTED_VALUE"""),46076.0)</f>
        <v>46076</v>
      </c>
      <c r="H455" s="4" t="str">
        <f>IFERROR(__xludf.DUMMYFUNCTION("""COMPUTED_VALUE"""),"Falei com o diretor de operações e só temos alguma possível oportunidade em abril, final do mês. Chamar ele nesta data!")</f>
        <v>Falei com o diretor de operações e só temos alguma possível oportunidade em abril, final do mês. Chamar ele nesta data!</v>
      </c>
      <c r="I455" s="4"/>
      <c r="J455" s="6">
        <f>IFERROR(__xludf.DUMMYFUNCTION("""COMPUTED_VALUE"""),46062.41713570602)</f>
        <v>46062.41714</v>
      </c>
      <c r="K455" s="4"/>
      <c r="L455" s="4"/>
      <c r="M455" s="4"/>
      <c r="N455" s="4"/>
      <c r="O455" s="4"/>
      <c r="P455" s="4"/>
      <c r="Q455" s="4"/>
      <c r="R455" s="6">
        <f>IFERROR(__xludf.DUMMYFUNCTION("""COMPUTED_VALUE"""),46094.76400488426)</f>
        <v>46094.764</v>
      </c>
      <c r="S455" s="6">
        <f>IFERROR(__xludf.DUMMYFUNCTION("""COMPUTED_VALUE"""),46073.59588043981)</f>
        <v>46073.59588</v>
      </c>
      <c r="T455" s="4"/>
      <c r="U455" s="6">
        <f>IFERROR(__xludf.DUMMYFUNCTION("""COMPUTED_VALUE"""),46128.66366439815)</f>
        <v>46128.66366</v>
      </c>
      <c r="V455" s="4" t="str">
        <f>IFERROR(__xludf.DUMMYFUNCTION("""COMPUTED_VALUE"""),"Sem interesse em mudar de PDV")</f>
        <v>Sem interesse em mudar de PDV</v>
      </c>
      <c r="W455" s="4"/>
      <c r="X455" s="4"/>
      <c r="Y455" s="4"/>
      <c r="Z455" s="4"/>
      <c r="AA455" s="4">
        <f>IFERROR(__xludf.DUMMYFUNCTION("""COMPUTED_VALUE"""),19.0)</f>
        <v>19</v>
      </c>
      <c r="AB455" s="4" t="str">
        <f>IFERROR(__xludf.DUMMYFUNCTION("""COMPUTED_VALUE"""),"KA")</f>
        <v>KA</v>
      </c>
      <c r="AC455" s="4" t="str">
        <f>IFERROR(__xludf.DUMMYFUNCTION("""COMPUTED_VALUE"""),"BP")</f>
        <v>BP</v>
      </c>
      <c r="AD455" s="4"/>
      <c r="AE455" s="4"/>
      <c r="AF455" s="4"/>
      <c r="AG455" s="4"/>
      <c r="AH455" s="4"/>
      <c r="AI455" s="4"/>
      <c r="AJ455" s="4"/>
      <c r="AK455" s="4"/>
      <c r="AL455" s="4"/>
      <c r="AM455" s="4" t="str">
        <f>IFERROR(__xludf.DUMMYFUNCTION("""COMPUTED_VALUE"""),"FY26, FY27")</f>
        <v>FY26, FY27</v>
      </c>
      <c r="AN455" s="4"/>
      <c r="AO455" s="4">
        <f>IFERROR(__xludf.DUMMYFUNCTION("""COMPUTED_VALUE"""),140.0)</f>
        <v>140</v>
      </c>
      <c r="AP455" s="4">
        <f>IFERROR(__xludf.DUMMYFUNCTION("""COMPUTED_VALUE"""),0.0)</f>
        <v>0</v>
      </c>
      <c r="AQ455" s="4">
        <f>IFERROR(__xludf.DUMMYFUNCTION("""COMPUTED_VALUE"""),0.0)</f>
        <v>0</v>
      </c>
      <c r="AR455" s="4">
        <f>IFERROR(__xludf.DUMMYFUNCTION("""COMPUTED_VALUE"""),0.0)</f>
        <v>0</v>
      </c>
      <c r="AS455" s="4">
        <f>IFERROR(__xludf.DUMMYFUNCTION("""COMPUTED_VALUE"""),0.0)</f>
        <v>0</v>
      </c>
      <c r="AT455" s="4">
        <f>IFERROR(__xludf.DUMMYFUNCTION("""COMPUTED_VALUE"""),0.0)</f>
        <v>0</v>
      </c>
      <c r="AU455" s="4" t="str">
        <f>IFERROR(__xludf.DUMMYFUNCTION("""COMPUTED_VALUE"""),"Diego")</f>
        <v>Diego</v>
      </c>
      <c r="AV455" s="4">
        <f>IFERROR(__xludf.DUMMYFUNCTION("""COMPUTED_VALUE"""),0.0)</f>
        <v>0</v>
      </c>
      <c r="AW455" s="4">
        <f>IFERROR(__xludf.DUMMYFUNCTION("""COMPUTED_VALUE"""),0.0)</f>
        <v>0</v>
      </c>
      <c r="AX455" s="4">
        <f>IFERROR(__xludf.DUMMYFUNCTION("""COMPUTED_VALUE"""),0.0)</f>
        <v>0</v>
      </c>
      <c r="AY455" s="4"/>
      <c r="AZ455" s="4" t="str">
        <f>IFERROR(__xludf.DUMMYFUNCTION("""COMPUTED_VALUE"""),"#N/A")</f>
        <v>#N/A</v>
      </c>
      <c r="BA455" s="4" t="str">
        <f>IFERROR(__xludf.DUMMYFUNCTION("""COMPUTED_VALUE"""),"R$ 120-200")</f>
        <v>R$ 120-200</v>
      </c>
      <c r="BB455" s="4" t="str">
        <f>IFERROR(__xludf.DUMMYFUNCTION("""COMPUTED_VALUE"""),"Fine Dining - Churrascaria")</f>
        <v>Fine Dining - Churrascaria</v>
      </c>
      <c r="BC455" s="4" t="str">
        <f>IFERROR(__xludf.DUMMYFUNCTION("""COMPUTED_VALUE"""),"Nacional (19 unidades)")</f>
        <v>Nacional (19 unidades)</v>
      </c>
      <c r="BD455" s="4" t="str">
        <f>IFERROR(__xludf.DUMMYFUNCTION("""COMPUTED_VALUE"""),"Necessário Discovery")</f>
        <v>Necessário Discovery</v>
      </c>
      <c r="BE455" s="4">
        <f>IFERROR(__xludf.DUMMYFUNCTION("""COMPUTED_VALUE"""),75.0)</f>
        <v>75</v>
      </c>
      <c r="BF455" s="4">
        <f>IFERROR(__xludf.DUMMYFUNCTION("""COMPUTED_VALUE"""),0.78)</f>
        <v>0.78</v>
      </c>
      <c r="BG455" s="4" t="str">
        <f>IFERROR(__xludf.DUMMYFUNCTION("""COMPUTED_VALUE"""),"PDV não identificado - Churrascaria premium 19 lojas Guia Michelin 2026. Table service complexo. ALTA ADERÊNCIA 3S: PDV Mobile garçons, KDS, gestão salões, integração fiscal/delivery")</f>
        <v>PDV não identificado - Churrascaria premium 19 lojas Guia Michelin 2026. Table service complexo. ALTA ADERÊNCIA 3S: PDV Mobile garçons, KDS, gestão salões, integração fiscal/delivery</v>
      </c>
      <c r="BH455" s="4" t="s">
        <v>63</v>
      </c>
      <c r="BI455" s="7" t="s">
        <v>63</v>
      </c>
    </row>
    <row r="456" hidden="1">
      <c r="A456" s="4" t="str">
        <f>IFERROR(__xludf.DUMMYFUNCTION("""COMPUTED_VALUE"""),"Poke To Wok")</f>
        <v>Poke To Wok</v>
      </c>
      <c r="B456" s="4" t="str">
        <f>IFERROR(__xludf.DUMMYFUNCTION("""COMPUTED_VALUE"""),"Lídia Esteves")</f>
        <v>Lídia Esteves</v>
      </c>
      <c r="C456" s="4" t="str">
        <f>IFERROR(__xludf.DUMMYFUNCTION("""COMPUTED_VALUE"""),"Gabriela Roma")</f>
        <v>Gabriela Roma</v>
      </c>
      <c r="D456" s="4" t="str">
        <f>IFERROR(__xludf.DUMMYFUNCTION("""COMPUTED_VALUE"""),"0. Não Iniciado")</f>
        <v>0. Não Iniciado</v>
      </c>
      <c r="E456" s="4"/>
      <c r="F456" s="4" t="str">
        <f>IFERROR(__xludf.DUMMYFUNCTION("""COMPUTED_VALUE"""),"P")</f>
        <v>P</v>
      </c>
      <c r="G456" s="4"/>
      <c r="H456" s="4"/>
      <c r="I456" s="4"/>
      <c r="J456" s="4"/>
      <c r="K456" s="4"/>
      <c r="L456" s="4"/>
      <c r="M456" s="4"/>
      <c r="N456" s="4"/>
      <c r="O456" s="4"/>
      <c r="P456" s="4"/>
      <c r="Q456" s="4"/>
      <c r="R456" s="4"/>
      <c r="S456" s="4"/>
      <c r="T456" s="4"/>
      <c r="U456" s="4"/>
      <c r="V456" s="4"/>
      <c r="W456" s="4"/>
      <c r="X456" s="4"/>
      <c r="Y456" s="4"/>
      <c r="Z456" s="4"/>
      <c r="AA456" s="4">
        <f>IFERROR(__xludf.DUMMYFUNCTION("""COMPUTED_VALUE"""),6.0)</f>
        <v>6</v>
      </c>
      <c r="AB456" s="4" t="str">
        <f>IFERROR(__xludf.DUMMYFUNCTION("""COMPUTED_VALUE"""),"-")</f>
        <v>-</v>
      </c>
      <c r="AC456" s="4" t="str">
        <f>IFERROR(__xludf.DUMMYFUNCTION("""COMPUTED_VALUE"""),"-")</f>
        <v>-</v>
      </c>
      <c r="AD456" s="4"/>
      <c r="AE456" s="4"/>
      <c r="AF456" s="4"/>
      <c r="AG456" s="4"/>
      <c r="AH456" s="4"/>
      <c r="AI456" s="4"/>
      <c r="AJ456" s="4"/>
      <c r="AK456" s="4"/>
      <c r="AL456" s="4"/>
      <c r="AM456" s="4" t="str">
        <f>IFERROR(__xludf.DUMMYFUNCTION("""COMPUTED_VALUE"""),"FY26, FY27")</f>
        <v>FY26, FY27</v>
      </c>
      <c r="AN456" s="4"/>
      <c r="AO456" s="4">
        <f>IFERROR(__xludf.DUMMYFUNCTION("""COMPUTED_VALUE"""),45553.0)</f>
        <v>45553</v>
      </c>
      <c r="AP456" s="4" t="str">
        <f>IFERROR(__xludf.DUMMYFUNCTION("""COMPUTED_VALUE"""),"PR")</f>
        <v>PR</v>
      </c>
      <c r="AQ456" s="4" t="str">
        <f>IFERROR(__xludf.DUMMYFUNCTION("""COMPUTED_VALUE"""),"RAFAEL FERREIRA")</f>
        <v>RAFAEL FERREIRA</v>
      </c>
      <c r="AR456" s="4" t="str">
        <f>IFERROR(__xludf.DUMMYFUNCTION("""COMPUTED_VALUE"""),"CAMILLA HENNING")</f>
        <v>CAMILLA HENNING</v>
      </c>
      <c r="AS456" s="4" t="str">
        <f>IFERROR(__xludf.DUMMYFUNCTION("""COMPUTED_VALUE"""),"FABIO DONATO")</f>
        <v>FABIO DONATO</v>
      </c>
      <c r="AT456" s="4" t="str">
        <f>IFERROR(__xludf.DUMMYFUNCTION("""COMPUTED_VALUE"""),"MURILO NAGASHIMA")</f>
        <v>MURILO NAGASHIMA</v>
      </c>
      <c r="AU456" s="4" t="str">
        <f>IFERROR(__xludf.DUMMYFUNCTION("""COMPUTED_VALUE"""),"Lídia / Emerson")</f>
        <v>Lídia / Emerson</v>
      </c>
      <c r="AV456" s="4">
        <f>IFERROR(__xludf.DUMMYFUNCTION("""COMPUTED_VALUE"""),0.0)</f>
        <v>0</v>
      </c>
      <c r="AW456" s="4">
        <f>IFERROR(__xludf.DUMMYFUNCTION("""COMPUTED_VALUE"""),0.0)</f>
        <v>0</v>
      </c>
      <c r="AX456" s="4">
        <f>IFERROR(__xludf.DUMMYFUNCTION("""COMPUTED_VALUE"""),0.0)</f>
        <v>0</v>
      </c>
      <c r="AY456" s="4"/>
      <c r="AZ456" s="4" t="str">
        <f>IFERROR(__xludf.DUMMYFUNCTION("""COMPUTED_VALUE"""),"Saudável")</f>
        <v>Saudável</v>
      </c>
      <c r="BA456" s="4" t="str">
        <f>IFERROR(__xludf.DUMMYFUNCTION("""COMPUTED_VALUE"""),"Dado não disponível publicamente - Necessário Discovery")</f>
        <v>Dado não disponível publicamente - Necessário Discovery</v>
      </c>
      <c r="BB456" s="4" t="str">
        <f>IFERROR(__xludf.DUMMYFUNCTION("""COMPUTED_VALUE"""),"Fast Casual / Poke Havaiano e Asiático (Curitiba)")</f>
        <v>Fast Casual / Poke Havaiano e Asiático (Curitiba)</v>
      </c>
      <c r="BC456" s="4" t="str">
        <f>IFERROR(__xludf.DUMMYFUNCTION("""COMPUTED_VALUE"""),"Curitiba-PR (4 unidades - Centro, Água Verde, Barigui, Juvevê)")</f>
        <v>Curitiba-PR (4 unidades - Centro, Água Verde, Barigui, Juvevê)</v>
      </c>
      <c r="BD456" s="4" t="str">
        <f>IFERROR(__xludf.DUMMYFUNCTION("""COMPUTED_VALUE"""),"R$ 35-55")</f>
        <v>R$ 35-55</v>
      </c>
      <c r="BE456" s="4">
        <f>IFERROR(__xludf.DUMMYFUNCTION("""COMPUTED_VALUE"""),35.0)</f>
        <v>35</v>
      </c>
      <c r="BF456" s="4">
        <f>IFERROR(__xludf.DUMMYFUNCTION("""COMPUTED_VALUE"""),0.4)</f>
        <v>0.4</v>
      </c>
      <c r="BG456" s="4" t="str">
        <f>IFERROR(__xludf.DUMMYFUNCTION("""COMPUTED_VALUE"""),"Rede local Curitiba 4 lojas. Poke = customização intensa ideal para Kiosk mas escala baixa limita ROI E-DEPLOY.")</f>
        <v>Rede local Curitiba 4 lojas. Poke = customização intensa ideal para Kiosk mas escala baixa limita ROI E-DEPLOY.</v>
      </c>
      <c r="BH456" s="4" t="s">
        <v>89</v>
      </c>
      <c r="BI456" s="7">
        <v>1.0</v>
      </c>
    </row>
    <row r="457" hidden="1">
      <c r="A457" s="4" t="str">
        <f>IFERROR(__xludf.DUMMYFUNCTION("""COMPUTED_VALUE"""),"Poke Up")</f>
        <v>Poke Up</v>
      </c>
      <c r="B457" s="4" t="str">
        <f>IFERROR(__xludf.DUMMYFUNCTION("""COMPUTED_VALUE"""),"João Biagiotti")</f>
        <v>João Biagiotti</v>
      </c>
      <c r="C457" s="4" t="str">
        <f>IFERROR(__xludf.DUMMYFUNCTION("""COMPUTED_VALUE"""),"Diego Santos")</f>
        <v>Diego Santos</v>
      </c>
      <c r="D457" s="4" t="str">
        <f>IFERROR(__xludf.DUMMYFUNCTION("""COMPUTED_VALUE"""),"0. Não Iniciado")</f>
        <v>0. Não Iniciado</v>
      </c>
      <c r="E457" s="4" t="str">
        <f>IFERROR(__xludf.DUMMYFUNCTION("""COMPUTED_VALUE"""),"Parceiro - Aguardando retorno parceiro")</f>
        <v>Parceiro - Aguardando retorno parceiro</v>
      </c>
      <c r="F457" s="4" t="str">
        <f>IFERROR(__xludf.DUMMYFUNCTION("""COMPUTED_VALUE"""),"P")</f>
        <v>P</v>
      </c>
      <c r="G457" s="5">
        <f>IFERROR(__xludf.DUMMYFUNCTION("""COMPUTED_VALUE"""),46076.0)</f>
        <v>46076</v>
      </c>
      <c r="H457" s="4" t="str">
        <f>IFERROR(__xludf.DUMMYFUNCTION("""COMPUTED_VALUE"""),"Fup cliente para nos dar agenda de apresentação.")</f>
        <v>Fup cliente para nos dar agenda de apresentação.</v>
      </c>
      <c r="I457" s="4"/>
      <c r="J457" s="4"/>
      <c r="K457" s="4"/>
      <c r="L457" s="4"/>
      <c r="M457" s="4"/>
      <c r="N457" s="4"/>
      <c r="O457" s="4"/>
      <c r="P457" s="4"/>
      <c r="Q457" s="4"/>
      <c r="R457" s="4"/>
      <c r="S457" s="4"/>
      <c r="T457" s="4"/>
      <c r="U457" s="4"/>
      <c r="V457" s="4"/>
      <c r="W457" s="4"/>
      <c r="X457" s="4"/>
      <c r="Y457" s="4"/>
      <c r="Z457" s="4"/>
      <c r="AA457" s="4">
        <f>IFERROR(__xludf.DUMMYFUNCTION("""COMPUTED_VALUE"""),26.0)</f>
        <v>26</v>
      </c>
      <c r="AB457" s="4" t="str">
        <f>IFERROR(__xludf.DUMMYFUNCTION("""COMPUTED_VALUE"""),"NÃO")</f>
        <v>NÃO</v>
      </c>
      <c r="AC457" s="4" t="str">
        <f>IFERROR(__xludf.DUMMYFUNCTION("""COMPUTED_VALUE"""),"Não BP")</f>
        <v>Não BP</v>
      </c>
      <c r="AD457" s="4"/>
      <c r="AE457" s="4"/>
      <c r="AF457" s="4"/>
      <c r="AG457" s="4"/>
      <c r="AH457" s="4"/>
      <c r="AI457" s="4"/>
      <c r="AJ457" s="4"/>
      <c r="AK457" s="4"/>
      <c r="AL457" s="4"/>
      <c r="AM457" s="4" t="str">
        <f>IFERROR(__xludf.DUMMYFUNCTION("""COMPUTED_VALUE"""),"FY26, FY27")</f>
        <v>FY26, FY27</v>
      </c>
      <c r="AN457" s="4"/>
      <c r="AO457" s="4">
        <f>IFERROR(__xludf.DUMMYFUNCTION("""COMPUTED_VALUE"""),140.0)</f>
        <v>140</v>
      </c>
      <c r="AP457" s="4" t="str">
        <f>IFERROR(__xludf.DUMMYFUNCTION("""COMPUTED_VALUE"""),"MG")</f>
        <v>MG</v>
      </c>
      <c r="AQ457" s="4" t="str">
        <f>IFERROR(__xludf.DUMMYFUNCTION("""COMPUTED_VALUE"""),"TAMIRES DIAS")</f>
        <v>TAMIRES DIAS</v>
      </c>
      <c r="AR457" s="4" t="str">
        <f>IFERROR(__xludf.DUMMYFUNCTION("""COMPUTED_VALUE"""),"LORENA DINIZ")</f>
        <v>LORENA DINIZ</v>
      </c>
      <c r="AS457" s="4" t="str">
        <f>IFERROR(__xludf.DUMMYFUNCTION("""COMPUTED_VALUE"""),"FABIO DONATO")</f>
        <v>FABIO DONATO</v>
      </c>
      <c r="AT457" s="4" t="str">
        <f>IFERROR(__xludf.DUMMYFUNCTION("""COMPUTED_VALUE"""),"GILSON JUNIOR")</f>
        <v>GILSON JUNIOR</v>
      </c>
      <c r="AU457" s="4" t="str">
        <f>IFERROR(__xludf.DUMMYFUNCTION("""COMPUTED_VALUE"""),"Diego")</f>
        <v>Diego</v>
      </c>
      <c r="AV457" s="4">
        <f>IFERROR(__xludf.DUMMYFUNCTION("""COMPUTED_VALUE"""),0.0)</f>
        <v>0</v>
      </c>
      <c r="AW457" s="4">
        <f>IFERROR(__xludf.DUMMYFUNCTION("""COMPUTED_VALUE"""),0.0)</f>
        <v>0</v>
      </c>
      <c r="AX457" s="4">
        <f>IFERROR(__xludf.DUMMYFUNCTION("""COMPUTED_VALUE"""),0.0)</f>
        <v>0</v>
      </c>
      <c r="AY457" s="4" t="str">
        <f>IFERROR(__xludf.DUMMYFUNCTION("""COMPUTED_VALUE"""),"Hubster")</f>
        <v>Hubster</v>
      </c>
      <c r="AZ457" s="4" t="str">
        <f>IFERROR(__xludf.DUMMYFUNCTION("""COMPUTED_VALUE"""),"Japonesa")</f>
        <v>Japonesa</v>
      </c>
      <c r="BA457" s="4" t="str">
        <f>IFERROR(__xludf.DUMMYFUNCTION("""COMPUTED_VALUE"""),"Dado não disponível publicamente - Necessário Discovery")</f>
        <v>Dado não disponível publicamente - Necessário Discovery</v>
      </c>
      <c r="BB457" s="4" t="str">
        <f>IFERROR(__xludf.DUMMYFUNCTION("""COMPUTED_VALUE"""),"Fast Casual / Poke Havaiano (Belo Horizonte e Nova Lima)")</f>
        <v>Fast Casual / Poke Havaiano (Belo Horizonte e Nova Lima)</v>
      </c>
      <c r="BC457" s="4" t="str">
        <f>IFERROR(__xludf.DUMMYFUNCTION("""COMPUTED_VALUE"""),"Minas Gerais (2 BH + 1 Nova Lima)")</f>
        <v>Minas Gerais (2 BH + 1 Nova Lima)</v>
      </c>
      <c r="BD457" s="4" t="str">
        <f>IFERROR(__xludf.DUMMYFUNCTION("""COMPUTED_VALUE"""),"R$ 35-55")</f>
        <v>R$ 35-55</v>
      </c>
      <c r="BE457" s="4">
        <f>IFERROR(__xludf.DUMMYFUNCTION("""COMPUTED_VALUE"""),30.0)</f>
        <v>30</v>
      </c>
      <c r="BF457" s="4">
        <f>IFERROR(__xludf.DUMMYFUNCTION("""COMPUTED_VALUE"""),0.35)</f>
        <v>0.35</v>
      </c>
      <c r="BG457" s="4" t="str">
        <f>IFERROR(__xludf.DUMMYFUNCTION("""COMPUTED_VALUE"""),"Rede micro BH 3 lojas. Poke customização = fit Kiosk mas escala muito baixa para E-DEPLOY completo.")</f>
        <v>Rede micro BH 3 lojas. Poke customização = fit Kiosk mas escala muito baixa para E-DEPLOY completo.</v>
      </c>
      <c r="BH457" s="4" t="s">
        <v>64</v>
      </c>
      <c r="BI457" s="7">
        <v>0.48148148148148145</v>
      </c>
    </row>
    <row r="458" hidden="1">
      <c r="A458" s="4" t="str">
        <f>IFERROR(__xludf.DUMMYFUNCTION("""COMPUTED_VALUE"""),"Ponto Final")</f>
        <v>Ponto Final</v>
      </c>
      <c r="B458" s="4" t="str">
        <f>IFERROR(__xludf.DUMMYFUNCTION("""COMPUTED_VALUE"""),"Lídia Esteves")</f>
        <v>Lídia Esteves</v>
      </c>
      <c r="C458" s="4" t="str">
        <f>IFERROR(__xludf.DUMMYFUNCTION("""COMPUTED_VALUE"""),"Gabriela Roma")</f>
        <v>Gabriela Roma</v>
      </c>
      <c r="D458" s="4" t="str">
        <f>IFERROR(__xludf.DUMMYFUNCTION("""COMPUTED_VALUE"""),"0. Não Iniciado")</f>
        <v>0. Não Iniciado</v>
      </c>
      <c r="E458" s="4"/>
      <c r="F458" s="4" t="str">
        <f>IFERROR(__xludf.DUMMYFUNCTION("""COMPUTED_VALUE"""),"P")</f>
        <v>P</v>
      </c>
      <c r="G458" s="4"/>
      <c r="H458" s="4"/>
      <c r="I458" s="4"/>
      <c r="J458" s="4"/>
      <c r="K458" s="4"/>
      <c r="L458" s="4"/>
      <c r="M458" s="4"/>
      <c r="N458" s="4"/>
      <c r="O458" s="4"/>
      <c r="P458" s="4"/>
      <c r="Q458" s="4"/>
      <c r="R458" s="4"/>
      <c r="S458" s="4"/>
      <c r="T458" s="4"/>
      <c r="U458" s="4"/>
      <c r="V458" s="4"/>
      <c r="W458" s="4"/>
      <c r="X458" s="4"/>
      <c r="Y458" s="4"/>
      <c r="Z458" s="4"/>
      <c r="AA458" s="4">
        <f>IFERROR(__xludf.DUMMYFUNCTION("""COMPUTED_VALUE"""),6.0)</f>
        <v>6</v>
      </c>
      <c r="AB458" s="4" t="str">
        <f>IFERROR(__xludf.DUMMYFUNCTION("""COMPUTED_VALUE"""),"-")</f>
        <v>-</v>
      </c>
      <c r="AC458" s="4" t="str">
        <f>IFERROR(__xludf.DUMMYFUNCTION("""COMPUTED_VALUE"""),"-")</f>
        <v>-</v>
      </c>
      <c r="AD458" s="4"/>
      <c r="AE458" s="4"/>
      <c r="AF458" s="4"/>
      <c r="AG458" s="4"/>
      <c r="AH458" s="4"/>
      <c r="AI458" s="4"/>
      <c r="AJ458" s="4"/>
      <c r="AK458" s="4"/>
      <c r="AL458" s="4"/>
      <c r="AM458" s="4" t="str">
        <f>IFERROR(__xludf.DUMMYFUNCTION("""COMPUTED_VALUE"""),"FY26, FY27")</f>
        <v>FY26, FY27</v>
      </c>
      <c r="AN458" s="4"/>
      <c r="AO458" s="4">
        <f>IFERROR(__xludf.DUMMYFUNCTION("""COMPUTED_VALUE"""),45553.0)</f>
        <v>45553</v>
      </c>
      <c r="AP458" s="4" t="str">
        <f>IFERROR(__xludf.DUMMYFUNCTION("""COMPUTED_VALUE"""),"SP")</f>
        <v>SP</v>
      </c>
      <c r="AQ458" s="4" t="str">
        <f>IFERROR(__xludf.DUMMYFUNCTION("""COMPUTED_VALUE"""),"VITOR SERRANO")</f>
        <v>VITOR SERRANO</v>
      </c>
      <c r="AR458" s="4" t="str">
        <f>IFERROR(__xludf.DUMMYFUNCTION("""COMPUTED_VALUE"""),"RAFAEL FERNANDES")</f>
        <v>RAFAEL FERNANDES</v>
      </c>
      <c r="AS458" s="4" t="str">
        <f>IFERROR(__xludf.DUMMYFUNCTION("""COMPUTED_VALUE"""),"ALAN HADDAD")</f>
        <v>ALAN HADDAD</v>
      </c>
      <c r="AT458" s="4" t="str">
        <f>IFERROR(__xludf.DUMMYFUNCTION("""COMPUTED_VALUE"""),"ISABELA DINIZ")</f>
        <v>ISABELA DINIZ</v>
      </c>
      <c r="AU458" s="4" t="str">
        <f>IFERROR(__xludf.DUMMYFUNCTION("""COMPUTED_VALUE"""),"Lídia / Emerson")</f>
        <v>Lídia / Emerson</v>
      </c>
      <c r="AV458" s="4">
        <f>IFERROR(__xludf.DUMMYFUNCTION("""COMPUTED_VALUE"""),0.0)</f>
        <v>0</v>
      </c>
      <c r="AW458" s="4">
        <f>IFERROR(__xludf.DUMMYFUNCTION("""COMPUTED_VALUE"""),0.0)</f>
        <v>0</v>
      </c>
      <c r="AX458" s="4">
        <f>IFERROR(__xludf.DUMMYFUNCTION("""COMPUTED_VALUE"""),0.0)</f>
        <v>0</v>
      </c>
      <c r="AY458" s="4"/>
      <c r="AZ458" s="4" t="str">
        <f>IFERROR(__xludf.DUMMYFUNCTION("""COMPUTED_VALUE"""),"Lanches")</f>
        <v>Lanches</v>
      </c>
      <c r="BA458" s="4" t="str">
        <f>IFERROR(__xludf.DUMMYFUNCTION("""COMPUTED_VALUE"""),"Dado não disponível publicamente - Necessário Discovery")</f>
        <v>Dado não disponível publicamente - Necessário Discovery</v>
      </c>
      <c r="BB458" s="4" t="str">
        <f>IFERROR(__xludf.DUMMYFUNCTION("""COMPUTED_VALUE"""),"Restaurante Local (Múltiplas operações independentes mesmo nome)")</f>
        <v>Restaurante Local (Múltiplas operações independentes mesmo nome)</v>
      </c>
      <c r="BC458" s="4" t="str">
        <f>IFERROR(__xludf.DUMMYFUNCTION("""COMPUTED_VALUE"""),"Diversos (Campinas-SP, Novo Gama-GO, Brasília-DF - não são rede)")</f>
        <v>Diversos (Campinas-SP, Novo Gama-GO, Brasília-DF - não são rede)</v>
      </c>
      <c r="BD458" s="4" t="str">
        <f>IFERROR(__xludf.DUMMYFUNCTION("""COMPUTED_VALUE"""),"R$ 35-55")</f>
        <v>R$ 35-55</v>
      </c>
      <c r="BE458" s="4">
        <f>IFERROR(__xludf.DUMMYFUNCTION("""COMPUTED_VALUE"""),15.0)</f>
        <v>15</v>
      </c>
      <c r="BF458" s="4">
        <f>IFERROR(__xludf.DUMMYFUNCTION("""COMPUTED_VALUE"""),0.2)</f>
        <v>0.2</v>
      </c>
      <c r="BG458" s="4" t="str">
        <f>IFERROR(__xludf.DUMMYFUNCTION("""COMPUTED_VALUE"""),"Estabelecimentos locais independentes. Não há rede consolidada. Baixíssima aderência.")</f>
        <v>Estabelecimentos locais independentes. Não há rede consolidada. Baixíssima aderência.</v>
      </c>
      <c r="BH458" s="4" t="s">
        <v>63</v>
      </c>
      <c r="BI458" s="7" t="s">
        <v>63</v>
      </c>
    </row>
    <row r="459" hidden="1">
      <c r="A459" s="4" t="str">
        <f>IFERROR(__xludf.DUMMYFUNCTION("""COMPUTED_VALUE"""),"Qualitta Food Service Ltda - Marca")</f>
        <v>Qualitta Food Service Ltda - Marca</v>
      </c>
      <c r="B459" s="4" t="str">
        <f>IFERROR(__xludf.DUMMYFUNCTION("""COMPUTED_VALUE"""),"Lídia Esteves")</f>
        <v>Lídia Esteves</v>
      </c>
      <c r="C459" s="4" t="str">
        <f>IFERROR(__xludf.DUMMYFUNCTION("""COMPUTED_VALUE"""),"Gabriela Roma")</f>
        <v>Gabriela Roma</v>
      </c>
      <c r="D459" s="4" t="str">
        <f>IFERROR(__xludf.DUMMYFUNCTION("""COMPUTED_VALUE"""),"0. Não Iniciado")</f>
        <v>0. Não Iniciado</v>
      </c>
      <c r="E459" s="4"/>
      <c r="F459" s="4" t="str">
        <f>IFERROR(__xludf.DUMMYFUNCTION("""COMPUTED_VALUE"""),"P")</f>
        <v>P</v>
      </c>
      <c r="G459" s="4"/>
      <c r="H459" s="4"/>
      <c r="I459" s="4"/>
      <c r="J459" s="4"/>
      <c r="K459" s="4"/>
      <c r="L459" s="4"/>
      <c r="M459" s="4"/>
      <c r="N459" s="4"/>
      <c r="O459" s="4"/>
      <c r="P459" s="4"/>
      <c r="Q459" s="4"/>
      <c r="R459" s="4"/>
      <c r="S459" s="4"/>
      <c r="T459" s="4"/>
      <c r="U459" s="4"/>
      <c r="V459" s="4"/>
      <c r="W459" s="4"/>
      <c r="X459" s="4"/>
      <c r="Y459" s="4"/>
      <c r="Z459" s="4"/>
      <c r="AA459" s="4">
        <f>IFERROR(__xludf.DUMMYFUNCTION("""COMPUTED_VALUE"""),4.0)</f>
        <v>4</v>
      </c>
      <c r="AB459" s="4" t="str">
        <f>IFERROR(__xludf.DUMMYFUNCTION("""COMPUTED_VALUE"""),"-")</f>
        <v>-</v>
      </c>
      <c r="AC459" s="4" t="str">
        <f>IFERROR(__xludf.DUMMYFUNCTION("""COMPUTED_VALUE"""),"-")</f>
        <v>-</v>
      </c>
      <c r="AD459" s="4"/>
      <c r="AE459" s="4"/>
      <c r="AF459" s="4"/>
      <c r="AG459" s="4"/>
      <c r="AH459" s="4"/>
      <c r="AI459" s="4"/>
      <c r="AJ459" s="4"/>
      <c r="AK459" s="4"/>
      <c r="AL459" s="4"/>
      <c r="AM459" s="4" t="str">
        <f>IFERROR(__xludf.DUMMYFUNCTION("""COMPUTED_VALUE"""),"FY26, FY27")</f>
        <v>FY26, FY27</v>
      </c>
      <c r="AN459" s="4"/>
      <c r="AO459" s="4">
        <f>IFERROR(__xludf.DUMMYFUNCTION("""COMPUTED_VALUE"""),45553.0)</f>
        <v>45553</v>
      </c>
      <c r="AP459" s="4" t="str">
        <f>IFERROR(__xludf.DUMMYFUNCTION("""COMPUTED_VALUE"""),"PR")</f>
        <v>PR</v>
      </c>
      <c r="AQ459" s="4" t="str">
        <f>IFERROR(__xludf.DUMMYFUNCTION("""COMPUTED_VALUE"""),"BRUNA MONTEZIN")</f>
        <v>BRUNA MONTEZIN</v>
      </c>
      <c r="AR459" s="4" t="str">
        <f>IFERROR(__xludf.DUMMYFUNCTION("""COMPUTED_VALUE"""),"TULIO VICARI")</f>
        <v>TULIO VICARI</v>
      </c>
      <c r="AS459" s="4" t="str">
        <f>IFERROR(__xludf.DUMMYFUNCTION("""COMPUTED_VALUE"""),"FABIO DONATO")</f>
        <v>FABIO DONATO</v>
      </c>
      <c r="AT459" s="4" t="str">
        <f>IFERROR(__xludf.DUMMYFUNCTION("""COMPUTED_VALUE"""),"MURILO NAGASHIMA")</f>
        <v>MURILO NAGASHIMA</v>
      </c>
      <c r="AU459" s="4" t="str">
        <f>IFERROR(__xludf.DUMMYFUNCTION("""COMPUTED_VALUE"""),"Lídia / Emerson")</f>
        <v>Lídia / Emerson</v>
      </c>
      <c r="AV459" s="4">
        <f>IFERROR(__xludf.DUMMYFUNCTION("""COMPUTED_VALUE"""),0.0)</f>
        <v>0</v>
      </c>
      <c r="AW459" s="4">
        <f>IFERROR(__xludf.DUMMYFUNCTION("""COMPUTED_VALUE"""),0.0)</f>
        <v>0</v>
      </c>
      <c r="AX459" s="4">
        <f>IFERROR(__xludf.DUMMYFUNCTION("""COMPUTED_VALUE"""),0.0)</f>
        <v>0</v>
      </c>
      <c r="AY459" s="4" t="str">
        <f>IFERROR(__xludf.DUMMYFUNCTION("""COMPUTED_VALUE"""),"Jaxtech")</f>
        <v>Jaxtech</v>
      </c>
      <c r="AZ459" s="4" t="str">
        <f>IFERROR(__xludf.DUMMYFUNCTION("""COMPUTED_VALUE"""),"Brasileira")</f>
        <v>Brasileira</v>
      </c>
      <c r="BA459" s="4" t="str">
        <f>IFERROR(__xludf.DUMMYFUNCTION("""COMPUTED_VALUE"""),"")</f>
        <v/>
      </c>
      <c r="BB459" s="4" t="str">
        <f>IFERROR(__xludf.DUMMYFUNCTION("""COMPUTED_VALUE"""),"")</f>
        <v/>
      </c>
      <c r="BC459" s="4" t="str">
        <f>IFERROR(__xludf.DUMMYFUNCTION("""COMPUTED_VALUE"""),"")</f>
        <v/>
      </c>
      <c r="BD459" s="4" t="str">
        <f>IFERROR(__xludf.DUMMYFUNCTION("""COMPUTED_VALUE"""),"")</f>
        <v/>
      </c>
      <c r="BE459" s="4" t="str">
        <f>IFERROR(__xludf.DUMMYFUNCTION("""COMPUTED_VALUE"""),"")</f>
        <v/>
      </c>
      <c r="BF459" s="4" t="str">
        <f>IFERROR(__xludf.DUMMYFUNCTION("""COMPUTED_VALUE"""),"")</f>
        <v/>
      </c>
      <c r="BG459" s="4" t="str">
        <f>IFERROR(__xludf.DUMMYFUNCTION("""COMPUTED_VALUE"""),"")</f>
        <v/>
      </c>
      <c r="BH459" s="4" t="s">
        <v>125</v>
      </c>
      <c r="BI459" s="7">
        <v>0.7</v>
      </c>
    </row>
    <row r="460" hidden="1">
      <c r="A460" s="4" t="str">
        <f>IFERROR(__xludf.DUMMYFUNCTION("""COMPUTED_VALUE"""),"Quick Temaki -")</f>
        <v>Quick Temaki -</v>
      </c>
      <c r="B460" s="4" t="str">
        <f>IFERROR(__xludf.DUMMYFUNCTION("""COMPUTED_VALUE"""),"Lídia Esteves")</f>
        <v>Lídia Esteves</v>
      </c>
      <c r="C460" s="4" t="str">
        <f>IFERROR(__xludf.DUMMYFUNCTION("""COMPUTED_VALUE"""),"Gabriela Roma")</f>
        <v>Gabriela Roma</v>
      </c>
      <c r="D460" s="4" t="str">
        <f>IFERROR(__xludf.DUMMYFUNCTION("""COMPUTED_VALUE"""),"0. Não Iniciado")</f>
        <v>0. Não Iniciado</v>
      </c>
      <c r="E460" s="4"/>
      <c r="F460" s="4" t="str">
        <f>IFERROR(__xludf.DUMMYFUNCTION("""COMPUTED_VALUE"""),"P")</f>
        <v>P</v>
      </c>
      <c r="G460" s="4"/>
      <c r="H460" s="4"/>
      <c r="I460" s="4"/>
      <c r="J460" s="4"/>
      <c r="K460" s="4"/>
      <c r="L460" s="4"/>
      <c r="M460" s="4"/>
      <c r="N460" s="4"/>
      <c r="O460" s="4"/>
      <c r="P460" s="4"/>
      <c r="Q460" s="4"/>
      <c r="R460" s="4"/>
      <c r="S460" s="4"/>
      <c r="T460" s="4"/>
      <c r="U460" s="4"/>
      <c r="V460" s="4"/>
      <c r="W460" s="4"/>
      <c r="X460" s="4"/>
      <c r="Y460" s="4"/>
      <c r="Z460" s="4"/>
      <c r="AA460" s="4">
        <f>IFERROR(__xludf.DUMMYFUNCTION("""COMPUTED_VALUE"""),4.0)</f>
        <v>4</v>
      </c>
      <c r="AB460" s="4" t="str">
        <f>IFERROR(__xludf.DUMMYFUNCTION("""COMPUTED_VALUE"""),"-")</f>
        <v>-</v>
      </c>
      <c r="AC460" s="4" t="str">
        <f>IFERROR(__xludf.DUMMYFUNCTION("""COMPUTED_VALUE"""),"-")</f>
        <v>-</v>
      </c>
      <c r="AD460" s="4"/>
      <c r="AE460" s="4"/>
      <c r="AF460" s="4"/>
      <c r="AG460" s="4"/>
      <c r="AH460" s="4"/>
      <c r="AI460" s="4"/>
      <c r="AJ460" s="4"/>
      <c r="AK460" s="4"/>
      <c r="AL460" s="4"/>
      <c r="AM460" s="4" t="str">
        <f>IFERROR(__xludf.DUMMYFUNCTION("""COMPUTED_VALUE"""),"FY26, FY27")</f>
        <v>FY26, FY27</v>
      </c>
      <c r="AN460" s="4"/>
      <c r="AO460" s="4">
        <f>IFERROR(__xludf.DUMMYFUNCTION("""COMPUTED_VALUE"""),45553.0)</f>
        <v>45553</v>
      </c>
      <c r="AP460" s="4" t="str">
        <f>IFERROR(__xludf.DUMMYFUNCTION("""COMPUTED_VALUE"""),"PR")</f>
        <v>PR</v>
      </c>
      <c r="AQ460" s="4" t="str">
        <f>IFERROR(__xludf.DUMMYFUNCTION("""COMPUTED_VALUE"""),"RAFAEL FERREIRA")</f>
        <v>RAFAEL FERREIRA</v>
      </c>
      <c r="AR460" s="4" t="str">
        <f>IFERROR(__xludf.DUMMYFUNCTION("""COMPUTED_VALUE"""),"MANUELLE SOARES")</f>
        <v>MANUELLE SOARES</v>
      </c>
      <c r="AS460" s="4" t="str">
        <f>IFERROR(__xludf.DUMMYFUNCTION("""COMPUTED_VALUE"""),"FABIO DONATO")</f>
        <v>FABIO DONATO</v>
      </c>
      <c r="AT460" s="4" t="str">
        <f>IFERROR(__xludf.DUMMYFUNCTION("""COMPUTED_VALUE"""),"MURILO NAGASHIMA")</f>
        <v>MURILO NAGASHIMA</v>
      </c>
      <c r="AU460" s="4" t="str">
        <f>IFERROR(__xludf.DUMMYFUNCTION("""COMPUTED_VALUE"""),"Lídia / Emerson")</f>
        <v>Lídia / Emerson</v>
      </c>
      <c r="AV460" s="4">
        <f>IFERROR(__xludf.DUMMYFUNCTION("""COMPUTED_VALUE"""),0.0)</f>
        <v>0</v>
      </c>
      <c r="AW460" s="4">
        <f>IFERROR(__xludf.DUMMYFUNCTION("""COMPUTED_VALUE"""),0.0)</f>
        <v>0</v>
      </c>
      <c r="AX460" s="4">
        <f>IFERROR(__xludf.DUMMYFUNCTION("""COMPUTED_VALUE"""),0.0)</f>
        <v>0</v>
      </c>
      <c r="AY460" s="4"/>
      <c r="AZ460" s="4" t="str">
        <f>IFERROR(__xludf.DUMMYFUNCTION("""COMPUTED_VALUE"""),"Japonesa")</f>
        <v>Japonesa</v>
      </c>
      <c r="BA460" s="4" t="str">
        <f>IFERROR(__xludf.DUMMYFUNCTION("""COMPUTED_VALUE"""),"")</f>
        <v/>
      </c>
      <c r="BB460" s="4" t="str">
        <f>IFERROR(__xludf.DUMMYFUNCTION("""COMPUTED_VALUE"""),"")</f>
        <v/>
      </c>
      <c r="BC460" s="4" t="str">
        <f>IFERROR(__xludf.DUMMYFUNCTION("""COMPUTED_VALUE"""),"")</f>
        <v/>
      </c>
      <c r="BD460" s="4" t="str">
        <f>IFERROR(__xludf.DUMMYFUNCTION("""COMPUTED_VALUE"""),"")</f>
        <v/>
      </c>
      <c r="BE460" s="4" t="str">
        <f>IFERROR(__xludf.DUMMYFUNCTION("""COMPUTED_VALUE"""),"")</f>
        <v/>
      </c>
      <c r="BF460" s="4" t="str">
        <f>IFERROR(__xludf.DUMMYFUNCTION("""COMPUTED_VALUE"""),"")</f>
        <v/>
      </c>
      <c r="BG460" s="4" t="str">
        <f>IFERROR(__xludf.DUMMYFUNCTION("""COMPUTED_VALUE"""),"")</f>
        <v/>
      </c>
      <c r="BH460" s="4" t="s">
        <v>63</v>
      </c>
      <c r="BI460" s="7" t="s">
        <v>63</v>
      </c>
    </row>
    <row r="461">
      <c r="A461" s="4" t="str">
        <f>IFERROR(__xludf.DUMMYFUNCTION("""COMPUTED_VALUE"""),"Quiero Cafe")</f>
        <v>Quiero Cafe</v>
      </c>
      <c r="B461" s="4" t="str">
        <f>IFERROR(__xludf.DUMMYFUNCTION("""COMPUTED_VALUE"""),"Leonardo Roso")</f>
        <v>Leonardo Roso</v>
      </c>
      <c r="C461" s="4" t="str">
        <f>IFERROR(__xludf.DUMMYFUNCTION("""COMPUTED_VALUE"""),"Leonardo Roso")</f>
        <v>Leonardo Roso</v>
      </c>
      <c r="D461" s="4" t="str">
        <f>IFERROR(__xludf.DUMMYFUNCTION("""COMPUTED_VALUE"""),"3. Apresentação")</f>
        <v>3. Apresentação</v>
      </c>
      <c r="E461" s="4"/>
      <c r="F461" s="4" t="str">
        <f>IFERROR(__xludf.DUMMYFUNCTION("""COMPUTED_VALUE"""),"G")</f>
        <v>G</v>
      </c>
      <c r="G461" s="4"/>
      <c r="H461" s="4"/>
      <c r="I461" s="6">
        <f>IFERROR(__xludf.DUMMYFUNCTION("""COMPUTED_VALUE"""),46121.68786638889)</f>
        <v>46121.68787</v>
      </c>
      <c r="J461" s="6">
        <f>IFERROR(__xludf.DUMMYFUNCTION("""COMPUTED_VALUE"""),46121.68798400463)</f>
        <v>46121.68798</v>
      </c>
      <c r="K461" s="6">
        <f>IFERROR(__xludf.DUMMYFUNCTION("""COMPUTED_VALUE"""),46121.68798400463)</f>
        <v>46121.68798</v>
      </c>
      <c r="L461" s="4"/>
      <c r="M461" s="4"/>
      <c r="N461" s="4"/>
      <c r="O461" s="4"/>
      <c r="P461" s="4"/>
      <c r="Q461" s="4"/>
      <c r="R461" s="4"/>
      <c r="S461" s="4"/>
      <c r="T461" s="4"/>
      <c r="U461" s="4"/>
      <c r="V461" s="4"/>
      <c r="W461" s="4"/>
      <c r="X461" s="4"/>
      <c r="Y461" s="4"/>
      <c r="Z461" s="4"/>
      <c r="AA461" s="4">
        <f>IFERROR(__xludf.DUMMYFUNCTION("""COMPUTED_VALUE"""),80.0)</f>
        <v>80</v>
      </c>
      <c r="AB461" s="4" t="str">
        <f>IFERROR(__xludf.DUMMYFUNCTION("""COMPUTED_VALUE"""),"NÃO")</f>
        <v>NÃO</v>
      </c>
      <c r="AC461" s="4" t="str">
        <f>IFERROR(__xludf.DUMMYFUNCTION("""COMPUTED_VALUE"""),"Não BP")</f>
        <v>Não BP</v>
      </c>
      <c r="AD461" s="4"/>
      <c r="AE461" s="4"/>
      <c r="AF461" s="4"/>
      <c r="AG461" s="4"/>
      <c r="AH461" s="4"/>
      <c r="AI461" s="4"/>
      <c r="AJ461" s="4"/>
      <c r="AK461" s="4"/>
      <c r="AL461" s="4"/>
      <c r="AM461" s="4" t="str">
        <f>IFERROR(__xludf.DUMMYFUNCTION("""COMPUTED_VALUE"""),"FY26, FY27")</f>
        <v>FY26, FY27</v>
      </c>
      <c r="AN461" s="4"/>
      <c r="AO461" s="4">
        <f>IFERROR(__xludf.DUMMYFUNCTION("""COMPUTED_VALUE"""),45553.0)</f>
        <v>45553</v>
      </c>
      <c r="AP461" s="4" t="str">
        <f>IFERROR(__xludf.DUMMYFUNCTION("""COMPUTED_VALUE"""),"RS")</f>
        <v>RS</v>
      </c>
      <c r="AQ461" s="4" t="str">
        <f>IFERROR(__xludf.DUMMYFUNCTION("""COMPUTED_VALUE"""),"OLIVEIRA DOUGLAS")</f>
        <v>OLIVEIRA DOUGLAS</v>
      </c>
      <c r="AR461" s="4" t="str">
        <f>IFERROR(__xludf.DUMMYFUNCTION("""COMPUTED_VALUE"""),"GUILHERMO MAIER")</f>
        <v>GUILHERMO MAIER</v>
      </c>
      <c r="AS461" s="4" t="str">
        <f>IFERROR(__xludf.DUMMYFUNCTION("""COMPUTED_VALUE"""),"FABIO DONATO")</f>
        <v>FABIO DONATO</v>
      </c>
      <c r="AT461" s="4" t="str">
        <f>IFERROR(__xludf.DUMMYFUNCTION("""COMPUTED_VALUE"""),"CAMILA HOLANDA")</f>
        <v>CAMILA HOLANDA</v>
      </c>
      <c r="AU461" s="4" t="str">
        <f>IFERROR(__xludf.DUMMYFUNCTION("""COMPUTED_VALUE"""),"Mariana")</f>
        <v>Mariana</v>
      </c>
      <c r="AV461" s="4" t="str">
        <f>IFERROR(__xludf.DUMMYFUNCTION("""COMPUTED_VALUE"""),"Comer Fora-")</f>
        <v>Comer Fora-</v>
      </c>
      <c r="AW461" s="4" t="str">
        <f>IFERROR(__xludf.DUMMYFUNCTION("""COMPUTED_VALUE"""),"G - pipe")</f>
        <v>G - pipe</v>
      </c>
      <c r="AX461" s="4"/>
      <c r="AY461" s="4"/>
      <c r="AZ461" s="4" t="str">
        <f>IFERROR(__xludf.DUMMYFUNCTION("""COMPUTED_VALUE"""),"Brasileira")</f>
        <v>Brasileira</v>
      </c>
      <c r="BA461" s="4" t="str">
        <f>IFERROR(__xludf.DUMMYFUNCTION("""COMPUTED_VALUE"""),"Dado não disponível publicamente - Projeção 100 unidades fim 2026")</f>
        <v>Dado não disponível publicamente - Projeção 100 unidades fim 2026</v>
      </c>
      <c r="BB461" s="4" t="str">
        <f>IFERROR(__xludf.DUMMYFUNCTION("""COMPUTED_VALUE"""),"QSR / Cafeteria Express (Franquia nacional em expansão)")</f>
        <v>QSR / Cafeteria Express (Franquia nacional em expansão)</v>
      </c>
      <c r="BC461" s="4" t="str">
        <f>IFERROR(__xludf.DUMMYFUNCTION("""COMPUTED_VALUE"""),"Nacional (80 unidades distribuídas Brasil, meta 100 até fim 2026)")</f>
        <v>Nacional (80 unidades distribuídas Brasil, meta 100 até fim 2026)</v>
      </c>
      <c r="BD461" s="4" t="str">
        <f>IFERROR(__xludf.DUMMYFUNCTION("""COMPUTED_VALUE"""),"R$ 15-30")</f>
        <v>R$ 15-30</v>
      </c>
      <c r="BE461" s="4">
        <f>IFERROR(__xludf.DUMMYFUNCTION("""COMPUTED_VALUE"""),75.0)</f>
        <v>75</v>
      </c>
      <c r="BF461" s="4">
        <f>IFERROR(__xludf.DUMMYFUNCTION("""COMPUTED_VALUE"""),0.8)</f>
        <v>0.8</v>
      </c>
      <c r="BG461" s="4" t="str">
        <f>IFERROR(__xludf.DUMMYFUNCTION("""COMPUTED_VALUE"""),"Rede em expansão rápida 80→100 lojas. QSR cafeteria: Kiosk para pedidos + combos + E-DEPLOY crítico para padronização nacional. Alta aderência.")</f>
        <v>Rede em expansão rápida 80→100 lojas. QSR cafeteria: Kiosk para pedidos + combos + E-DEPLOY crítico para padronização nacional. Alta aderência.</v>
      </c>
      <c r="BH461" s="4" t="s">
        <v>78</v>
      </c>
      <c r="BI461" s="7">
        <v>0.918918918918919</v>
      </c>
    </row>
    <row r="462" hidden="1">
      <c r="A462" s="4" t="str">
        <f>IFERROR(__xludf.DUMMYFUNCTION("""COMPUTED_VALUE"""),"Quinta Da Oliva")</f>
        <v>Quinta Da Oliva</v>
      </c>
      <c r="B462" s="4" t="str">
        <f>IFERROR(__xludf.DUMMYFUNCTION("""COMPUTED_VALUE"""),"Lídia Esteves")</f>
        <v>Lídia Esteves</v>
      </c>
      <c r="C462" s="4" t="str">
        <f>IFERROR(__xludf.DUMMYFUNCTION("""COMPUTED_VALUE"""),"Gabriela Roma")</f>
        <v>Gabriela Roma</v>
      </c>
      <c r="D462" s="4" t="str">
        <f>IFERROR(__xludf.DUMMYFUNCTION("""COMPUTED_VALUE"""),"0. Não Iniciado")</f>
        <v>0. Não Iniciado</v>
      </c>
      <c r="E462" s="4"/>
      <c r="F462" s="4" t="str">
        <f>IFERROR(__xludf.DUMMYFUNCTION("""COMPUTED_VALUE"""),"P")</f>
        <v>P</v>
      </c>
      <c r="G462" s="4"/>
      <c r="H462" s="4"/>
      <c r="I462" s="4"/>
      <c r="J462" s="4"/>
      <c r="K462" s="4"/>
      <c r="L462" s="4"/>
      <c r="M462" s="4"/>
      <c r="N462" s="4"/>
      <c r="O462" s="4"/>
      <c r="P462" s="4"/>
      <c r="Q462" s="4"/>
      <c r="R462" s="4"/>
      <c r="S462" s="4"/>
      <c r="T462" s="4"/>
      <c r="U462" s="4"/>
      <c r="V462" s="4"/>
      <c r="W462" s="4"/>
      <c r="X462" s="4"/>
      <c r="Y462" s="4"/>
      <c r="Z462" s="4"/>
      <c r="AA462" s="4">
        <f>IFERROR(__xludf.DUMMYFUNCTION("""COMPUTED_VALUE"""),7.0)</f>
        <v>7</v>
      </c>
      <c r="AB462" s="4" t="str">
        <f>IFERROR(__xludf.DUMMYFUNCTION("""COMPUTED_VALUE"""),"-")</f>
        <v>-</v>
      </c>
      <c r="AC462" s="4" t="str">
        <f>IFERROR(__xludf.DUMMYFUNCTION("""COMPUTED_VALUE"""),"-")</f>
        <v>-</v>
      </c>
      <c r="AD462" s="4"/>
      <c r="AE462" s="4"/>
      <c r="AF462" s="4"/>
      <c r="AG462" s="4"/>
      <c r="AH462" s="4"/>
      <c r="AI462" s="4"/>
      <c r="AJ462" s="4"/>
      <c r="AK462" s="4"/>
      <c r="AL462" s="4"/>
      <c r="AM462" s="4" t="str">
        <f>IFERROR(__xludf.DUMMYFUNCTION("""COMPUTED_VALUE"""),"FY26, FY27")</f>
        <v>FY26, FY27</v>
      </c>
      <c r="AN462" s="4"/>
      <c r="AO462" s="4">
        <f>IFERROR(__xludf.DUMMYFUNCTION("""COMPUTED_VALUE"""),45553.0)</f>
        <v>45553</v>
      </c>
      <c r="AP462" s="4" t="str">
        <f>IFERROR(__xludf.DUMMYFUNCTION("""COMPUTED_VALUE"""),"PR")</f>
        <v>PR</v>
      </c>
      <c r="AQ462" s="4" t="str">
        <f>IFERROR(__xludf.DUMMYFUNCTION("""COMPUTED_VALUE"""),"BRUNA MONTEZIN")</f>
        <v>BRUNA MONTEZIN</v>
      </c>
      <c r="AR462" s="4" t="str">
        <f>IFERROR(__xludf.DUMMYFUNCTION("""COMPUTED_VALUE"""),"LYAMARA OLTRAMARI")</f>
        <v>LYAMARA OLTRAMARI</v>
      </c>
      <c r="AS462" s="4" t="str">
        <f>IFERROR(__xludf.DUMMYFUNCTION("""COMPUTED_VALUE"""),"FABIO DONATO")</f>
        <v>FABIO DONATO</v>
      </c>
      <c r="AT462" s="4" t="str">
        <f>IFERROR(__xludf.DUMMYFUNCTION("""COMPUTED_VALUE"""),"MURILO NAGASHIMA")</f>
        <v>MURILO NAGASHIMA</v>
      </c>
      <c r="AU462" s="4" t="str">
        <f>IFERROR(__xludf.DUMMYFUNCTION("""COMPUTED_VALUE"""),"Lídia / Emerson")</f>
        <v>Lídia / Emerson</v>
      </c>
      <c r="AV462" s="4">
        <f>IFERROR(__xludf.DUMMYFUNCTION("""COMPUTED_VALUE"""),0.0)</f>
        <v>0</v>
      </c>
      <c r="AW462" s="4">
        <f>IFERROR(__xludf.DUMMYFUNCTION("""COMPUTED_VALUE"""),0.0)</f>
        <v>0</v>
      </c>
      <c r="AX462" s="4">
        <f>IFERROR(__xludf.DUMMYFUNCTION("""COMPUTED_VALUE"""),0.0)</f>
        <v>0</v>
      </c>
      <c r="AY462" s="4" t="str">
        <f>IFERROR(__xludf.DUMMYFUNCTION("""COMPUTED_VALUE"""),"Junsoft Tecnologia")</f>
        <v>Junsoft Tecnologia</v>
      </c>
      <c r="AZ462" s="4" t="str">
        <f>IFERROR(__xludf.DUMMYFUNCTION("""COMPUTED_VALUE"""),"Pizza")</f>
        <v>Pizza</v>
      </c>
      <c r="BA462" s="4" t="str">
        <f>IFERROR(__xludf.DUMMYFUNCTION("""COMPUTED_VALUE"""),"Dado não disponível publicamente - Necessário Discovery")</f>
        <v>Dado não disponível publicamente - Necessário Discovery</v>
      </c>
      <c r="BB462" s="4" t="str">
        <f>IFERROR(__xludf.DUMMYFUNCTION("""COMPUTED_VALUE"""),"Table Service / Restaurante Italiano (Cascavel e Foz do Iguaçu PR)")</f>
        <v>Table Service / Restaurante Italiano (Cascavel e Foz do Iguaçu PR)</v>
      </c>
      <c r="BC462" s="4" t="str">
        <f>IFERROR(__xludf.DUMMYFUNCTION("""COMPUTED_VALUE"""),"Paraná (Cascavel desde 2010 + Foz do Iguaçu desde 2018)")</f>
        <v>Paraná (Cascavel desde 2010 + Foz do Iguaçu desde 2018)</v>
      </c>
      <c r="BD462" s="4" t="str">
        <f>IFERROR(__xludf.DUMMYFUNCTION("""COMPUTED_VALUE"""),"R$ 60-90")</f>
        <v>R$ 60-90</v>
      </c>
      <c r="BE462" s="4">
        <f>IFERROR(__xludf.DUMMYFUNCTION("""COMPUTED_VALUE"""),25.0)</f>
        <v>25</v>
      </c>
      <c r="BF462" s="4">
        <f>IFERROR(__xludf.DUMMYFUNCTION("""COMPUTED_VALUE"""),0.3)</f>
        <v>0.3</v>
      </c>
      <c r="BG462" s="4" t="str">
        <f>IFERROR(__xludf.DUMMYFUNCTION("""COMPUTED_VALUE"""),"Restaurante italiano familiar 2 casas PR. Table Service tradicional. Baixa aderência para autoatendimento.")</f>
        <v>Restaurante italiano familiar 2 casas PR. Table Service tradicional. Baixa aderência para autoatendimento.</v>
      </c>
      <c r="BH462" s="4" t="s">
        <v>119</v>
      </c>
      <c r="BI462" s="7">
        <v>0.8333333333333334</v>
      </c>
    </row>
    <row r="463">
      <c r="A463" s="4" t="str">
        <f>IFERROR(__xludf.DUMMYFUNCTION("""COMPUTED_VALUE"""),"Rei Do Mate")</f>
        <v>Rei Do Mate</v>
      </c>
      <c r="B463" s="4" t="str">
        <f>IFERROR(__xludf.DUMMYFUNCTION("""COMPUTED_VALUE"""),"Leonardo Roso")</f>
        <v>Leonardo Roso</v>
      </c>
      <c r="C463" s="4" t="str">
        <f>IFERROR(__xludf.DUMMYFUNCTION("""COMPUTED_VALUE"""),"Leonardo Roso")</f>
        <v>Leonardo Roso</v>
      </c>
      <c r="D463" s="4" t="str">
        <f>IFERROR(__xludf.DUMMYFUNCTION("""COMPUTED_VALUE"""),"3. Apresentação")</f>
        <v>3. Apresentação</v>
      </c>
      <c r="E463" s="4" t="str">
        <f>IFERROR(__xludf.DUMMYFUNCTION("""COMPUTED_VALUE"""),"Perdido -  Momento do restaurante não favorável")</f>
        <v>Perdido -  Momento do restaurante não favorável</v>
      </c>
      <c r="F463" s="4" t="str">
        <f>IFERROR(__xludf.DUMMYFUNCTION("""COMPUTED_VALUE"""),"G")</f>
        <v>G</v>
      </c>
      <c r="G463" s="5">
        <f>IFERROR(__xludf.DUMMYFUNCTION("""COMPUTED_VALUE"""),46073.0)</f>
        <v>46073</v>
      </c>
      <c r="H463" s="4" t="str">
        <f>IFERROR(__xludf.DUMMYFUNCTION("""COMPUTED_VALUE"""),"Parceiro com Gcom - Não é estratégico atacar com PDV nesse momento. Com totem VS e iniciaremos abordagem de Comer Fora.")</f>
        <v>Parceiro com Gcom - Não é estratégico atacar com PDV nesse momento. Com totem VS e iniciaremos abordagem de Comer Fora.</v>
      </c>
      <c r="I463" s="4"/>
      <c r="J463" s="4"/>
      <c r="K463" s="6">
        <f>IFERROR(__xludf.DUMMYFUNCTION("""COMPUTED_VALUE"""),45960.0)</f>
        <v>45960</v>
      </c>
      <c r="L463" s="4"/>
      <c r="M463" s="4"/>
      <c r="N463" s="4"/>
      <c r="O463" s="4"/>
      <c r="P463" s="4"/>
      <c r="Q463" s="4"/>
      <c r="R463" s="4"/>
      <c r="S463" s="4"/>
      <c r="T463" s="4"/>
      <c r="U463" s="4"/>
      <c r="V463" s="4"/>
      <c r="W463" s="4"/>
      <c r="X463" s="4"/>
      <c r="Y463" s="4"/>
      <c r="Z463" s="4"/>
      <c r="AA463" s="4">
        <f>IFERROR(__xludf.DUMMYFUNCTION("""COMPUTED_VALUE"""),240.0)</f>
        <v>240</v>
      </c>
      <c r="AB463" s="4" t="str">
        <f>IFERROR(__xludf.DUMMYFUNCTION("""COMPUTED_VALUE"""),"NÃO")</f>
        <v>NÃO</v>
      </c>
      <c r="AC463" s="4" t="str">
        <f>IFERROR(__xludf.DUMMYFUNCTION("""COMPUTED_VALUE"""),"BP")</f>
        <v>BP</v>
      </c>
      <c r="AD463" s="4"/>
      <c r="AE463" s="4"/>
      <c r="AF463" s="4"/>
      <c r="AG463" s="4"/>
      <c r="AH463" s="4"/>
      <c r="AI463" s="4"/>
      <c r="AJ463" s="4"/>
      <c r="AK463" s="4"/>
      <c r="AL463" s="4"/>
      <c r="AM463" s="4" t="str">
        <f>IFERROR(__xludf.DUMMYFUNCTION("""COMPUTED_VALUE"""),"FY26, FY27")</f>
        <v>FY26, FY27</v>
      </c>
      <c r="AN463" s="4"/>
      <c r="AO463" s="4">
        <f>IFERROR(__xludf.DUMMYFUNCTION("""COMPUTED_VALUE"""),143.0)</f>
        <v>143</v>
      </c>
      <c r="AP463" s="4" t="str">
        <f>IFERROR(__xludf.DUMMYFUNCTION("""COMPUTED_VALUE"""),"RJ")</f>
        <v>RJ</v>
      </c>
      <c r="AQ463" s="4" t="str">
        <f>IFERROR(__xludf.DUMMYFUNCTION("""COMPUTED_VALUE"""),"ANNA BALBINOT")</f>
        <v>ANNA BALBINOT</v>
      </c>
      <c r="AR463" s="4" t="str">
        <f>IFERROR(__xludf.DUMMYFUNCTION("""COMPUTED_VALUE"""),"WAGNER ASSIS")</f>
        <v>WAGNER ASSIS</v>
      </c>
      <c r="AS463" s="4" t="str">
        <f>IFERROR(__xludf.DUMMYFUNCTION("""COMPUTED_VALUE"""),"ISABELA GOULART")</f>
        <v>ISABELA GOULART</v>
      </c>
      <c r="AT463" s="4" t="str">
        <f>IFERROR(__xludf.DUMMYFUNCTION("""COMPUTED_VALUE"""),"ANNA BALBINOT")</f>
        <v>ANNA BALBINOT</v>
      </c>
      <c r="AU463" s="4" t="str">
        <f>IFERROR(__xludf.DUMMYFUNCTION("""COMPUTED_VALUE"""),"Samuel")</f>
        <v>Samuel</v>
      </c>
      <c r="AV463" s="4">
        <f>IFERROR(__xludf.DUMMYFUNCTION("""COMPUTED_VALUE"""),0.0)</f>
        <v>0</v>
      </c>
      <c r="AW463" s="4">
        <f>IFERROR(__xludf.DUMMYFUNCTION("""COMPUTED_VALUE"""),0.0)</f>
        <v>0</v>
      </c>
      <c r="AX463" s="4">
        <f>IFERROR(__xludf.DUMMYFUNCTION("""COMPUTED_VALUE"""),0.0)</f>
        <v>0</v>
      </c>
      <c r="AY463" s="4"/>
      <c r="AZ463" s="4" t="str">
        <f>IFERROR(__xludf.DUMMYFUNCTION("""COMPUTED_VALUE"""),"Cafeteria")</f>
        <v>Cafeteria</v>
      </c>
      <c r="BA463" s="4" t="str">
        <f>IFERROR(__xludf.DUMMYFUNCTION("""COMPUTED_VALUE"""),"R$ 400+ milhões (2026 - crescimento 7%, 328→340 lojas)")</f>
        <v>R$ 400+ milhões (2026 - crescimento 7%, 328→340 lojas)</v>
      </c>
      <c r="BB463" s="12" t="str">
        <f>IFERROR(__xludf.DUMMYFUNCTION("""COMPUTED_VALUE"""),"QSR / Sucos e Lanches Naturais (Franquia nacional - 12 novas lojas 1º sem 2026)")</f>
        <v>QSR / Sucos e Lanches Naturais (Franquia nacional - 12 novas lojas 1º sem 2026)</v>
      </c>
      <c r="BC463" s="4" t="str">
        <f>IFERROR(__xludf.DUMMYFUNCTION("""COMPUTED_VALUE"""),"Nacional (340 lojas distribuídas Brasil)")</f>
        <v>Nacional (340 lojas distribuídas Brasil)</v>
      </c>
      <c r="BD463" s="4" t="str">
        <f>IFERROR(__xludf.DUMMYFUNCTION("""COMPUTED_VALUE"""),"R$ 15-30")</f>
        <v>R$ 15-30</v>
      </c>
      <c r="BE463" s="4">
        <f>IFERROR(__xludf.DUMMYFUNCTION("""COMPUTED_VALUE"""),85.0)</f>
        <v>85</v>
      </c>
      <c r="BF463" s="4">
        <f>IFERROR(__xludf.DUMMYFUNCTION("""COMPUTED_VALUE"""),0.9)</f>
        <v>0.9</v>
      </c>
      <c r="BG463" s="4" t="str">
        <f>IFERROR(__xludf.DUMMYFUNCTION("""COMPUTED_VALUE"""),"TOP TARGET. Rede consolidada 340 lojas, R$ 400M+, expansão ativa. QSR sucos = Kiosk customização + velocidade + E-DEPLOY 340 lojas. Aderência máxima.")</f>
        <v>TOP TARGET. Rede consolidada 340 lojas, R$ 400M+, expansão ativa. QSR sucos = Kiosk customização + velocidade + E-DEPLOY 340 lojas. Aderência máxima.</v>
      </c>
      <c r="BH463" s="4" t="s">
        <v>130</v>
      </c>
      <c r="BI463" s="7">
        <v>0.8703703703703703</v>
      </c>
    </row>
    <row r="464" hidden="1">
      <c r="A464" s="4" t="str">
        <f>IFERROR(__xludf.DUMMYFUNCTION("""COMPUTED_VALUE"""),"Rei Do Parmegiana")</f>
        <v>Rei Do Parmegiana</v>
      </c>
      <c r="B464" s="4" t="str">
        <f>IFERROR(__xludf.DUMMYFUNCTION("""COMPUTED_VALUE"""),"Lídia Esteves")</f>
        <v>Lídia Esteves</v>
      </c>
      <c r="C464" s="4" t="str">
        <f>IFERROR(__xludf.DUMMYFUNCTION("""COMPUTED_VALUE"""),"Gabriela Roma")</f>
        <v>Gabriela Roma</v>
      </c>
      <c r="D464" s="4" t="str">
        <f>IFERROR(__xludf.DUMMYFUNCTION("""COMPUTED_VALUE"""),"0. Não Iniciado")</f>
        <v>0. Não Iniciado</v>
      </c>
      <c r="E464" s="4"/>
      <c r="F464" s="4" t="str">
        <f>IFERROR(__xludf.DUMMYFUNCTION("""COMPUTED_VALUE"""),"P")</f>
        <v>P</v>
      </c>
      <c r="G464" s="4"/>
      <c r="H464" s="4"/>
      <c r="I464" s="4"/>
      <c r="J464" s="4"/>
      <c r="K464" s="4"/>
      <c r="L464" s="4"/>
      <c r="M464" s="4"/>
      <c r="N464" s="4"/>
      <c r="O464" s="4"/>
      <c r="P464" s="4"/>
      <c r="Q464" s="4"/>
      <c r="R464" s="4"/>
      <c r="S464" s="4"/>
      <c r="T464" s="4"/>
      <c r="U464" s="4"/>
      <c r="V464" s="4"/>
      <c r="W464" s="4"/>
      <c r="X464" s="4"/>
      <c r="Y464" s="4"/>
      <c r="Z464" s="4"/>
      <c r="AA464" s="4">
        <f>IFERROR(__xludf.DUMMYFUNCTION("""COMPUTED_VALUE"""),10.0)</f>
        <v>10</v>
      </c>
      <c r="AB464" s="4" t="str">
        <f>IFERROR(__xludf.DUMMYFUNCTION("""COMPUTED_VALUE"""),"-")</f>
        <v>-</v>
      </c>
      <c r="AC464" s="4" t="str">
        <f>IFERROR(__xludf.DUMMYFUNCTION("""COMPUTED_VALUE"""),"-")</f>
        <v>-</v>
      </c>
      <c r="AD464" s="4"/>
      <c r="AE464" s="4"/>
      <c r="AF464" s="4"/>
      <c r="AG464" s="4"/>
      <c r="AH464" s="4"/>
      <c r="AI464" s="4"/>
      <c r="AJ464" s="4"/>
      <c r="AK464" s="4"/>
      <c r="AL464" s="4"/>
      <c r="AM464" s="4" t="str">
        <f>IFERROR(__xludf.DUMMYFUNCTION("""COMPUTED_VALUE"""),"FY26, FY27")</f>
        <v>FY26, FY27</v>
      </c>
      <c r="AN464" s="4"/>
      <c r="AO464" s="4">
        <f>IFERROR(__xludf.DUMMYFUNCTION("""COMPUTED_VALUE"""),45553.0)</f>
        <v>45553</v>
      </c>
      <c r="AP464" s="4" t="str">
        <f>IFERROR(__xludf.DUMMYFUNCTION("""COMPUTED_VALUE"""),"SP")</f>
        <v>SP</v>
      </c>
      <c r="AQ464" s="4" t="str">
        <f>IFERROR(__xludf.DUMMYFUNCTION("""COMPUTED_VALUE"""),"VITOR SERRANO")</f>
        <v>VITOR SERRANO</v>
      </c>
      <c r="AR464" s="4" t="str">
        <f>IFERROR(__xludf.DUMMYFUNCTION("""COMPUTED_VALUE"""),"RAFAEL FERNANDES")</f>
        <v>RAFAEL FERNANDES</v>
      </c>
      <c r="AS464" s="4" t="str">
        <f>IFERROR(__xludf.DUMMYFUNCTION("""COMPUTED_VALUE"""),"ALAN HADDAD")</f>
        <v>ALAN HADDAD</v>
      </c>
      <c r="AT464" s="4" t="str">
        <f>IFERROR(__xludf.DUMMYFUNCTION("""COMPUTED_VALUE"""),"ISABELA DINIZ")</f>
        <v>ISABELA DINIZ</v>
      </c>
      <c r="AU464" s="4" t="str">
        <f>IFERROR(__xludf.DUMMYFUNCTION("""COMPUTED_VALUE"""),"Lídia / Emerson")</f>
        <v>Lídia / Emerson</v>
      </c>
      <c r="AV464" s="4">
        <f>IFERROR(__xludf.DUMMYFUNCTION("""COMPUTED_VALUE"""),0.0)</f>
        <v>0</v>
      </c>
      <c r="AW464" s="4">
        <f>IFERROR(__xludf.DUMMYFUNCTION("""COMPUTED_VALUE"""),0.0)</f>
        <v>0</v>
      </c>
      <c r="AX464" s="4">
        <f>IFERROR(__xludf.DUMMYFUNCTION("""COMPUTED_VALUE"""),0.0)</f>
        <v>0</v>
      </c>
      <c r="AY464" s="4" t="str">
        <f>IFERROR(__xludf.DUMMYFUNCTION("""COMPUTED_VALUE"""),"Fudo Soluciones Sas")</f>
        <v>Fudo Soluciones Sas</v>
      </c>
      <c r="AZ464" s="4" t="str">
        <f>IFERROR(__xludf.DUMMYFUNCTION("""COMPUTED_VALUE"""),"Brasileira")</f>
        <v>Brasileira</v>
      </c>
      <c r="BA464" s="4" t="str">
        <f>IFERROR(__xludf.DUMMYFUNCTION("""COMPUTED_VALUE"""),"R$ 35-55")</f>
        <v>R$ 35-55</v>
      </c>
      <c r="BB464" s="4" t="str">
        <f>IFERROR(__xludf.DUMMYFUNCTION("""COMPUTED_VALUE"""),"Fast Casual - Parmegiana Delivery")</f>
        <v>Fast Casual - Parmegiana Delivery</v>
      </c>
      <c r="BC464" s="4" t="str">
        <f>IFERROR(__xludf.DUMMYFUNCTION("""COMPUTED_VALUE"""),"São Paulo e Campinas")</f>
        <v>São Paulo e Campinas</v>
      </c>
      <c r="BD464" s="4" t="str">
        <f>IFERROR(__xludf.DUMMYFUNCTION("""COMPUTED_VALUE"""),"Necessário Discovery")</f>
        <v>Necessário Discovery</v>
      </c>
      <c r="BE464" s="4">
        <f>IFERROR(__xludf.DUMMYFUNCTION("""COMPUTED_VALUE"""),50.0)</f>
        <v>50</v>
      </c>
      <c r="BF464" s="4">
        <f>IFERROR(__xludf.DUMMYFUNCTION("""COMPUTED_VALUE"""),0.55)</f>
        <v>0.55</v>
      </c>
      <c r="BG464" s="4" t="str">
        <f>IFERROR(__xludf.DUMMYFUNCTION("""COMPUTED_VALUE"""),"PDV não identificado - Rede delivery (7-8 lojas SP/Campinas). 3S: integração delivery, gestão pedidos multi-canal")</f>
        <v>PDV não identificado - Rede delivery (7-8 lojas SP/Campinas). 3S: integração delivery, gestão pedidos multi-canal</v>
      </c>
      <c r="BH464" s="4" t="s">
        <v>64</v>
      </c>
      <c r="BI464" s="7">
        <v>0.625</v>
      </c>
    </row>
    <row r="465" hidden="1">
      <c r="A465" s="4" t="str">
        <f>IFERROR(__xludf.DUMMYFUNCTION("""COMPUTED_VALUE"""),"Restaurante Cacilda")</f>
        <v>Restaurante Cacilda</v>
      </c>
      <c r="B465" s="4" t="str">
        <f>IFERROR(__xludf.DUMMYFUNCTION("""COMPUTED_VALUE"""),"João Biagiotti")</f>
        <v>João Biagiotti</v>
      </c>
      <c r="C465" s="4" t="str">
        <f>IFERROR(__xludf.DUMMYFUNCTION("""COMPUTED_VALUE"""),"Diego Santos")</f>
        <v>Diego Santos</v>
      </c>
      <c r="D465" s="4" t="str">
        <f>IFERROR(__xludf.DUMMYFUNCTION("""COMPUTED_VALUE"""),"0. Não Iniciado")</f>
        <v>0. Não Iniciado</v>
      </c>
      <c r="E465" s="4" t="str">
        <f>IFERROR(__xludf.DUMMYFUNCTION("""COMPUTED_VALUE"""),"Parceiro - Aguardando retorno / Conciliação agenda")</f>
        <v>Parceiro - Aguardando retorno / Conciliação agenda</v>
      </c>
      <c r="F465" s="4" t="str">
        <f>IFERROR(__xludf.DUMMYFUNCTION("""COMPUTED_VALUE"""),"P")</f>
        <v>P</v>
      </c>
      <c r="G465" s="5">
        <f>IFERROR(__xludf.DUMMYFUNCTION("""COMPUTED_VALUE"""),46076.0)</f>
        <v>46076</v>
      </c>
      <c r="H465" s="4" t="str">
        <f>IFERROR(__xludf.DUMMYFUNCTION("""COMPUTED_VALUE"""),"Parceiro ja estava como perdido, mas estou tentando nova abordagem, tentando uma demonstração da mesma forma.")</f>
        <v>Parceiro ja estava como perdido, mas estou tentando nova abordagem, tentando uma demonstração da mesma forma.</v>
      </c>
      <c r="I465" s="4"/>
      <c r="J465" s="4"/>
      <c r="K465" s="4"/>
      <c r="L465" s="4"/>
      <c r="M465" s="4"/>
      <c r="N465" s="4"/>
      <c r="O465" s="4"/>
      <c r="P465" s="4"/>
      <c r="Q465" s="4"/>
      <c r="R465" s="4"/>
      <c r="S465" s="4"/>
      <c r="T465" s="4"/>
      <c r="U465" s="4"/>
      <c r="V465" s="4"/>
      <c r="W465" s="4"/>
      <c r="X465" s="4"/>
      <c r="Y465" s="4"/>
      <c r="Z465" s="4"/>
      <c r="AA465" s="4">
        <f>IFERROR(__xludf.DUMMYFUNCTION("""COMPUTED_VALUE"""),2.0)</f>
        <v>2</v>
      </c>
      <c r="AB465" s="4" t="str">
        <f>IFERROR(__xludf.DUMMYFUNCTION("""COMPUTED_VALUE"""),"NÃO")</f>
        <v>NÃO</v>
      </c>
      <c r="AC465" s="4" t="str">
        <f>IFERROR(__xludf.DUMMYFUNCTION("""COMPUTED_VALUE"""),"Não BP")</f>
        <v>Não BP</v>
      </c>
      <c r="AD465" s="4"/>
      <c r="AE465" s="4"/>
      <c r="AF465" s="4"/>
      <c r="AG465" s="4"/>
      <c r="AH465" s="4"/>
      <c r="AI465" s="4"/>
      <c r="AJ465" s="4"/>
      <c r="AK465" s="4"/>
      <c r="AL465" s="4"/>
      <c r="AM465" s="4" t="str">
        <f>IFERROR(__xludf.DUMMYFUNCTION("""COMPUTED_VALUE"""),"FY26, FY27")</f>
        <v>FY26, FY27</v>
      </c>
      <c r="AN465" s="4"/>
      <c r="AO465" s="4">
        <f>IFERROR(__xludf.DUMMYFUNCTION("""COMPUTED_VALUE"""),140.0)</f>
        <v>140</v>
      </c>
      <c r="AP465" s="4" t="str">
        <f>IFERROR(__xludf.DUMMYFUNCTION("""COMPUTED_VALUE"""),"SP")</f>
        <v>SP</v>
      </c>
      <c r="AQ465" s="4" t="str">
        <f>IFERROR(__xludf.DUMMYFUNCTION("""COMPUTED_VALUE"""),"GABRIEL BISPO")</f>
        <v>GABRIEL BISPO</v>
      </c>
      <c r="AR465" s="4" t="str">
        <f>IFERROR(__xludf.DUMMYFUNCTION("""COMPUTED_VALUE"""),"GABRYELLA ESTEVAO")</f>
        <v>GABRYELLA ESTEVAO</v>
      </c>
      <c r="AS465" s="4" t="str">
        <f>IFERROR(__xludf.DUMMYFUNCTION("""COMPUTED_VALUE"""),"NATHALIE MERTENS")</f>
        <v>NATHALIE MERTENS</v>
      </c>
      <c r="AT465" s="4" t="str">
        <f>IFERROR(__xludf.DUMMYFUNCTION("""COMPUTED_VALUE"""),"MARIANA KATZ")</f>
        <v>MARIANA KATZ</v>
      </c>
      <c r="AU465" s="4" t="str">
        <f>IFERROR(__xludf.DUMMYFUNCTION("""COMPUTED_VALUE"""),"Ana")</f>
        <v>Ana</v>
      </c>
      <c r="AV465" s="4">
        <f>IFERROR(__xludf.DUMMYFUNCTION("""COMPUTED_VALUE"""),0.0)</f>
        <v>0</v>
      </c>
      <c r="AW465" s="4">
        <f>IFERROR(__xludf.DUMMYFUNCTION("""COMPUTED_VALUE"""),0.0)</f>
        <v>0</v>
      </c>
      <c r="AX465" s="4">
        <f>IFERROR(__xludf.DUMMYFUNCTION("""COMPUTED_VALUE"""),0.0)</f>
        <v>0</v>
      </c>
      <c r="AY465" s="4" t="str">
        <f>IFERROR(__xludf.DUMMYFUNCTION("""COMPUTED_VALUE"""),"Totvs Large Enterprise Tecnologia S.a.")</f>
        <v>Totvs Large Enterprise Tecnologia S.a.</v>
      </c>
      <c r="AZ465" s="4" t="str">
        <f>IFERROR(__xludf.DUMMYFUNCTION("""COMPUTED_VALUE"""),"Brasileira")</f>
        <v>Brasileira</v>
      </c>
      <c r="BA465" s="4" t="str">
        <f>IFERROR(__xludf.DUMMYFUNCTION("""COMPUTED_VALUE"""),"")</f>
        <v/>
      </c>
      <c r="BB465" s="4" t="str">
        <f>IFERROR(__xludf.DUMMYFUNCTION("""COMPUTED_VALUE"""),"")</f>
        <v/>
      </c>
      <c r="BC465" s="4" t="str">
        <f>IFERROR(__xludf.DUMMYFUNCTION("""COMPUTED_VALUE"""),"")</f>
        <v/>
      </c>
      <c r="BD465" s="4" t="str">
        <f>IFERROR(__xludf.DUMMYFUNCTION("""COMPUTED_VALUE"""),"")</f>
        <v/>
      </c>
      <c r="BE465" s="4" t="str">
        <f>IFERROR(__xludf.DUMMYFUNCTION("""COMPUTED_VALUE"""),"")</f>
        <v/>
      </c>
      <c r="BF465" s="4" t="str">
        <f>IFERROR(__xludf.DUMMYFUNCTION("""COMPUTED_VALUE"""),"")</f>
        <v/>
      </c>
      <c r="BG465" s="4" t="str">
        <f>IFERROR(__xludf.DUMMYFUNCTION("""COMPUTED_VALUE"""),"")</f>
        <v/>
      </c>
      <c r="BH465" s="4" t="s">
        <v>63</v>
      </c>
      <c r="BI465" s="7" t="s">
        <v>63</v>
      </c>
    </row>
    <row r="466" hidden="1">
      <c r="A466" s="4" t="str">
        <f>IFERROR(__xludf.DUMMYFUNCTION("""COMPUTED_VALUE"""),"Ricco Burger")</f>
        <v>Ricco Burger</v>
      </c>
      <c r="B466" s="4" t="str">
        <f>IFERROR(__xludf.DUMMYFUNCTION("""COMPUTED_VALUE"""),"Lídia Esteves")</f>
        <v>Lídia Esteves</v>
      </c>
      <c r="C466" s="4" t="str">
        <f>IFERROR(__xludf.DUMMYFUNCTION("""COMPUTED_VALUE"""),"Gabriela Roma")</f>
        <v>Gabriela Roma</v>
      </c>
      <c r="D466" s="4" t="str">
        <f>IFERROR(__xludf.DUMMYFUNCTION("""COMPUTED_VALUE"""),"11. Stand by")</f>
        <v>11. Stand by</v>
      </c>
      <c r="E466" s="4" t="str">
        <f>IFERROR(__xludf.DUMMYFUNCTION("""COMPUTED_VALUE"""),"Parceiro - Aguardando retorno parceiro")</f>
        <v>Parceiro - Aguardando retorno parceiro</v>
      </c>
      <c r="F466" s="4" t="str">
        <f>IFERROR(__xludf.DUMMYFUNCTION("""COMPUTED_VALUE"""),"P")</f>
        <v>P</v>
      </c>
      <c r="G466" s="5">
        <f>IFERROR(__xludf.DUMMYFUNCTION("""COMPUTED_VALUE"""),46154.0)</f>
        <v>46154</v>
      </c>
      <c r="H466" s="4" t="str">
        <f>IFERROR(__xludf.DUMMYFUNCTION("""COMPUTED_VALUE"""),"Parceiro não está no momento de trocar pdv, enviamos proposta mas não tem interesse no momento.")</f>
        <v>Parceiro não está no momento de trocar pdv, enviamos proposta mas não tem interesse no momento.</v>
      </c>
      <c r="I466" s="4"/>
      <c r="J466" s="6">
        <f>IFERROR(__xludf.DUMMYFUNCTION("""COMPUTED_VALUE"""),46072.479986527775)</f>
        <v>46072.47999</v>
      </c>
      <c r="K466" s="6">
        <f>IFERROR(__xludf.DUMMYFUNCTION("""COMPUTED_VALUE"""),46125.49697034722)</f>
        <v>46125.49697</v>
      </c>
      <c r="L466" s="6">
        <f>IFERROR(__xludf.DUMMYFUNCTION("""COMPUTED_VALUE"""),46125.49697034722)</f>
        <v>46125.49697</v>
      </c>
      <c r="M466" s="6">
        <f>IFERROR(__xludf.DUMMYFUNCTION("""COMPUTED_VALUE"""),46125.49697034722)</f>
        <v>46125.49697</v>
      </c>
      <c r="N466" s="6">
        <f>IFERROR(__xludf.DUMMYFUNCTION("""COMPUTED_VALUE"""),46136.40556974537)</f>
        <v>46136.40557</v>
      </c>
      <c r="O466" s="4"/>
      <c r="P466" s="4"/>
      <c r="Q466" s="4"/>
      <c r="R466" s="4"/>
      <c r="S466" s="6">
        <f>IFERROR(__xludf.DUMMYFUNCTION("""COMPUTED_VALUE"""),46154.435165891206)</f>
        <v>46154.43517</v>
      </c>
      <c r="T466" s="4"/>
      <c r="U466" s="4"/>
      <c r="V466" s="21" t="str">
        <f>IFERROR(__xludf.DUMMYFUNCTION("""COMPUTED_VALUE"""),"Sem interesse em mudar de PDV")</f>
        <v>Sem interesse em mudar de PDV</v>
      </c>
      <c r="W466" s="4"/>
      <c r="X466" s="4"/>
      <c r="Y466" s="4"/>
      <c r="Z466" s="4"/>
      <c r="AA466" s="4">
        <f>IFERROR(__xludf.DUMMYFUNCTION("""COMPUTED_VALUE"""),11.0)</f>
        <v>11</v>
      </c>
      <c r="AB466" s="4" t="str">
        <f>IFERROR(__xludf.DUMMYFUNCTION("""COMPUTED_VALUE"""),"Não")</f>
        <v>Não</v>
      </c>
      <c r="AC466" s="4" t="str">
        <f>IFERROR(__xludf.DUMMYFUNCTION("""COMPUTED_VALUE"""),"Não")</f>
        <v>Não</v>
      </c>
      <c r="AD466" s="4" t="str">
        <f>IFERROR(__xludf.DUMMYFUNCTION("""COMPUTED_VALUE"""),"Vulca")</f>
        <v>Vulca</v>
      </c>
      <c r="AE466" s="4"/>
      <c r="AF466" s="4"/>
      <c r="AG466" s="4"/>
      <c r="AH466" s="4">
        <f>IFERROR(__xludf.DUMMYFUNCTION("""COMPUTED_VALUE"""),11.0)</f>
        <v>11</v>
      </c>
      <c r="AI466" s="4"/>
      <c r="AJ466" s="4" t="str">
        <f>IFERROR(__xludf.DUMMYFUNCTION("""COMPUTED_VALUE"""),"vulca")</f>
        <v>vulca</v>
      </c>
      <c r="AK466" s="4" t="str">
        <f>IFERROR(__xludf.DUMMYFUNCTION("""COMPUTED_VALUE"""),"table service")</f>
        <v>table service</v>
      </c>
      <c r="AL466" s="4"/>
      <c r="AM466" s="4" t="str">
        <f>IFERROR(__xludf.DUMMYFUNCTION("""COMPUTED_VALUE"""),"FY26, FY27")</f>
        <v>FY26, FY27</v>
      </c>
      <c r="AN466" s="4"/>
      <c r="AO466" s="4">
        <f>IFERROR(__xludf.DUMMYFUNCTION("""COMPUTED_VALUE"""),61.0)</f>
        <v>61</v>
      </c>
      <c r="AP466" s="4">
        <f>IFERROR(__xludf.DUMMYFUNCTION("""COMPUTED_VALUE"""),0.0)</f>
        <v>0</v>
      </c>
      <c r="AQ466" s="4">
        <f>IFERROR(__xludf.DUMMYFUNCTION("""COMPUTED_VALUE"""),0.0)</f>
        <v>0</v>
      </c>
      <c r="AR466" s="4">
        <f>IFERROR(__xludf.DUMMYFUNCTION("""COMPUTED_VALUE"""),0.0)</f>
        <v>0</v>
      </c>
      <c r="AS466" s="4">
        <f>IFERROR(__xludf.DUMMYFUNCTION("""COMPUTED_VALUE"""),0.0)</f>
        <v>0</v>
      </c>
      <c r="AT466" s="4">
        <f>IFERROR(__xludf.DUMMYFUNCTION("""COMPUTED_VALUE"""),0.0)</f>
        <v>0</v>
      </c>
      <c r="AU466" s="4" t="str">
        <f>IFERROR(__xludf.DUMMYFUNCTION("""COMPUTED_VALUE"""),"Ana")</f>
        <v>Ana</v>
      </c>
      <c r="AV466" s="4">
        <f>IFERROR(__xludf.DUMMYFUNCTION("""COMPUTED_VALUE"""),0.0)</f>
        <v>0</v>
      </c>
      <c r="AW466" s="4">
        <f>IFERROR(__xludf.DUMMYFUNCTION("""COMPUTED_VALUE"""),0.0)</f>
        <v>0</v>
      </c>
      <c r="AX466" s="4">
        <f>IFERROR(__xludf.DUMMYFUNCTION("""COMPUTED_VALUE"""),0.0)</f>
        <v>0</v>
      </c>
      <c r="AY466" s="4">
        <f>IFERROR(__xludf.DUMMYFUNCTION("""COMPUTED_VALUE"""),0.0)</f>
        <v>0</v>
      </c>
      <c r="AZ466" s="4" t="str">
        <f>IFERROR(__xludf.DUMMYFUNCTION("""COMPUTED_VALUE"""),"NA")</f>
        <v>NA</v>
      </c>
      <c r="BA466" s="4" t="str">
        <f>IFERROR(__xludf.DUMMYFUNCTION("""COMPUTED_VALUE"""),"Dado não disponível publicamente - Necessário Discovery")</f>
        <v>Dado não disponível publicamente - Necessário Discovery</v>
      </c>
      <c r="BB466" s="12" t="str">
        <f>IFERROR(__xludf.DUMMYFUNCTION("""COMPUTED_VALUE"""),"Hamburgueria Fast Casual / Brasília (10 DF + 1 SP - West Plaza)")</f>
        <v>Hamburgueria Fast Casual / Brasília (10 DF + 1 SP - West Plaza)</v>
      </c>
      <c r="BC466" s="4" t="str">
        <f>IFERROR(__xludf.DUMMYFUNCTION("""COMPUTED_VALUE"""),"Brasília/DF (10 lojas incluindo Aeroporto) + São Paulo (1 loja)")</f>
        <v>Brasília/DF (10 lojas incluindo Aeroporto) + São Paulo (1 loja)</v>
      </c>
      <c r="BD466" s="4" t="str">
        <f>IFERROR(__xludf.DUMMYFUNCTION("""COMPUTED_VALUE"""),"R$ 45-70")</f>
        <v>R$ 45-70</v>
      </c>
      <c r="BE466" s="4">
        <f>IFERROR(__xludf.DUMMYFUNCTION("""COMPUTED_VALUE"""),55.0)</f>
        <v>55</v>
      </c>
      <c r="BF466" s="13">
        <f>IFERROR(__xludf.DUMMYFUNCTION("""COMPUTED_VALUE"""),0.6)</f>
        <v>0.6</v>
      </c>
      <c r="BG466" s="4" t="str">
        <f>IFERROR(__xludf.DUMMYFUNCTION("""COMPUTED_VALUE"""),"Rede regional Brasília 11 lojas + expansão SP. Fast Casual hamburgueria: Kiosk customização + E-DEPLOY multi-loja. Boa aderência.")</f>
        <v>Rede regional Brasília 11 lojas + expansão SP. Fast Casual hamburgueria: Kiosk customização + E-DEPLOY multi-loja. Boa aderência.</v>
      </c>
      <c r="BH466" s="4" t="s">
        <v>63</v>
      </c>
      <c r="BI466" s="7" t="s">
        <v>63</v>
      </c>
    </row>
    <row r="467" hidden="1">
      <c r="A467" s="4" t="str">
        <f>IFERROR(__xludf.DUMMYFUNCTION("""COMPUTED_VALUE"""),"Ritz")</f>
        <v>Ritz</v>
      </c>
      <c r="B467" s="4" t="str">
        <f>IFERROR(__xludf.DUMMYFUNCTION("""COMPUTED_VALUE"""),"João Biagiotti")</f>
        <v>João Biagiotti</v>
      </c>
      <c r="C467" s="4" t="str">
        <f>IFERROR(__xludf.DUMMYFUNCTION("""COMPUTED_VALUE"""),"Diego Santos")</f>
        <v>Diego Santos</v>
      </c>
      <c r="D467" s="4" t="str">
        <f>IFERROR(__xludf.DUMMYFUNCTION("""COMPUTED_VALUE"""),"10. Perdido")</f>
        <v>10. Perdido</v>
      </c>
      <c r="E467" s="4" t="str">
        <f>IFERROR(__xludf.DUMMYFUNCTION("""COMPUTED_VALUE"""),"Perdido - Proposta comercial não aceita")</f>
        <v>Perdido - Proposta comercial não aceita</v>
      </c>
      <c r="F467" s="4" t="str">
        <f>IFERROR(__xludf.DUMMYFUNCTION("""COMPUTED_VALUE"""),"P")</f>
        <v>P</v>
      </c>
      <c r="G467" s="4" t="str">
        <f>IFERROR(__xludf.DUMMYFUNCTION("""COMPUTED_VALUE"""),"46104.0")</f>
        <v>46104.0</v>
      </c>
      <c r="H467" s="4" t="str">
        <f>IFERROR(__xludf.DUMMYFUNCTION("""COMPUTED_VALUE"""),"Aguardando parceiro liberar um horário para fazer agenda de demo. Estamos dependendo de 2 de 3 gerentes do Ritz a conciliarem a agendas mas segundo nosso contato, esses gerentes são senhores e estão um pouco resistentes a fazer essa agenda, mesmo sendo vi"&amp;"rtual.")</f>
        <v>Aguardando parceiro liberar um horário para fazer agenda de demo. Estamos dependendo de 2 de 3 gerentes do Ritz a conciliarem a agendas mas segundo nosso contato, esses gerentes são senhores e estão um pouco resistentes a fazer essa agenda, mesmo sendo virtual.</v>
      </c>
      <c r="I467" s="4"/>
      <c r="J467" s="6">
        <f>IFERROR(__xludf.DUMMYFUNCTION("""COMPUTED_VALUE"""),46079.63787922454)</f>
        <v>46079.63788</v>
      </c>
      <c r="K467" s="6">
        <f>IFERROR(__xludf.DUMMYFUNCTION("""COMPUTED_VALUE"""),46080.67573215278)</f>
        <v>46080.67573</v>
      </c>
      <c r="L467" s="6">
        <f>IFERROR(__xludf.DUMMYFUNCTION("""COMPUTED_VALUE"""),46080.675752546296)</f>
        <v>46080.67575</v>
      </c>
      <c r="M467" s="4"/>
      <c r="N467" s="4"/>
      <c r="O467" s="4"/>
      <c r="P467" s="4"/>
      <c r="Q467" s="4"/>
      <c r="R467" s="6">
        <f>IFERROR(__xludf.DUMMYFUNCTION("""COMPUTED_VALUE"""),46141.64046303241)</f>
        <v>46141.64046</v>
      </c>
      <c r="S467" s="4"/>
      <c r="T467" s="4"/>
      <c r="U467" s="4"/>
      <c r="V467" s="4" t="str">
        <f>IFERROR(__xludf.DUMMYFUNCTION("""COMPUTED_VALUE"""),"Sem interesse em mudar de PDV")</f>
        <v>Sem interesse em mudar de PDV</v>
      </c>
      <c r="W467" s="4"/>
      <c r="X467" s="4"/>
      <c r="Y467" s="4"/>
      <c r="Z467" s="4"/>
      <c r="AA467" s="4">
        <f>IFERROR(__xludf.DUMMYFUNCTION("""COMPUTED_VALUE"""),3.0)</f>
        <v>3</v>
      </c>
      <c r="AB467" s="4" t="str">
        <f>IFERROR(__xludf.DUMMYFUNCTION("""COMPUTED_VALUE"""),"NÃO")</f>
        <v>NÃO</v>
      </c>
      <c r="AC467" s="4" t="str">
        <f>IFERROR(__xludf.DUMMYFUNCTION("""COMPUTED_VALUE"""),"BP")</f>
        <v>BP</v>
      </c>
      <c r="AD467" s="4"/>
      <c r="AE467" s="4"/>
      <c r="AF467" s="4"/>
      <c r="AG467" s="4"/>
      <c r="AH467" s="4"/>
      <c r="AI467" s="4"/>
      <c r="AJ467" s="4"/>
      <c r="AK467" s="4"/>
      <c r="AL467" s="4"/>
      <c r="AM467" s="4" t="str">
        <f>IFERROR(__xludf.DUMMYFUNCTION("""COMPUTED_VALUE"""),"FY26, FY27")</f>
        <v>FY26, FY27</v>
      </c>
      <c r="AN467" s="4" t="str">
        <f>IFERROR(__xludf.DUMMYFUNCTION("""COMPUTED_VALUE"""),"Comer Fora")</f>
        <v>Comer Fora</v>
      </c>
      <c r="AO467" s="4" t="str">
        <f>IFERROR(__xludf.DUMMYFUNCTION("""COMPUTED_VALUE"""),"#VALUE!")</f>
        <v>#VALUE!</v>
      </c>
      <c r="AP467" s="4" t="str">
        <f>IFERROR(__xludf.DUMMYFUNCTION("""COMPUTED_VALUE"""),"SP")</f>
        <v>SP</v>
      </c>
      <c r="AQ467" s="4" t="str">
        <f>IFERROR(__xludf.DUMMYFUNCTION("""COMPUTED_VALUE"""),"RODRIGO BESSER")</f>
        <v>RODRIGO BESSER</v>
      </c>
      <c r="AR467" s="4" t="str">
        <f>IFERROR(__xludf.DUMMYFUNCTION("""COMPUTED_VALUE"""),"ISABEL MEDEIROS")</f>
        <v>ISABEL MEDEIROS</v>
      </c>
      <c r="AS467" s="4" t="str">
        <f>IFERROR(__xludf.DUMMYFUNCTION("""COMPUTED_VALUE"""),"NATHALIE MERTENS")</f>
        <v>NATHALIE MERTENS</v>
      </c>
      <c r="AT467" s="4" t="str">
        <f>IFERROR(__xludf.DUMMYFUNCTION("""COMPUTED_VALUE"""),"MARIANA KATZ")</f>
        <v>MARIANA KATZ</v>
      </c>
      <c r="AU467" s="4" t="str">
        <f>IFERROR(__xludf.DUMMYFUNCTION("""COMPUTED_VALUE"""),"Ana")</f>
        <v>Ana</v>
      </c>
      <c r="AV467" s="4" t="str">
        <f>IFERROR(__xludf.DUMMYFUNCTION("""COMPUTED_VALUE"""),"Comer Fora-")</f>
        <v>Comer Fora-</v>
      </c>
      <c r="AW467" s="20" t="str">
        <f>IFERROR(__xludf.DUMMYFUNCTION("""COMPUTED_VALUE"""),"P e M - pipe")</f>
        <v>P e M - pipe</v>
      </c>
      <c r="AX467" s="4"/>
      <c r="AY467" s="4"/>
      <c r="AZ467" s="4" t="str">
        <f>IFERROR(__xludf.DUMMYFUNCTION("""COMPUTED_VALUE"""),"Frangos")</f>
        <v>Frangos</v>
      </c>
      <c r="BA467" s="4" t="str">
        <f>IFERROR(__xludf.DUMMYFUNCTION("""COMPUTED_VALUE"""),"Dado não disponível publicamente - Necessário Discovery")</f>
        <v>Dado não disponível publicamente - Necessário Discovery</v>
      </c>
      <c r="BB467" s="4" t="str">
        <f>IFERROR(__xludf.DUMMYFUNCTION("""COMPUTED_VALUE"""),"Table Service Premium / Restaurante Tradicional SP (Jardins, Itaim, Iguatemi)")</f>
        <v>Table Service Premium / Restaurante Tradicional SP (Jardins, Itaim, Iguatemi)</v>
      </c>
      <c r="BC467" s="4" t="str">
        <f>IFERROR(__xludf.DUMMYFUNCTION("""COMPUTED_VALUE"""),"São Paulo (3 unidades: Alameda Franca, Itaim Bibi, Shopping Iguatemi)")</f>
        <v>São Paulo (3 unidades: Alameda Franca, Itaim Bibi, Shopping Iguatemi)</v>
      </c>
      <c r="BD467" s="4" t="str">
        <f>IFERROR(__xludf.DUMMYFUNCTION("""COMPUTED_VALUE"""),"R$ 80-130")</f>
        <v>R$ 80-130</v>
      </c>
      <c r="BE467" s="4">
        <f>IFERROR(__xludf.DUMMYFUNCTION("""COMPUTED_VALUE"""),35.0)</f>
        <v>35</v>
      </c>
      <c r="BF467" s="4">
        <f>IFERROR(__xludf.DUMMYFUNCTION("""COMPUTED_VALUE"""),0.4)</f>
        <v>0.4</v>
      </c>
      <c r="BG467" s="4" t="str">
        <f>IFERROR(__xludf.DUMMYFUNCTION("""COMPUTED_VALUE"""),"Restaurante tradicional premium 3 lojas SP. Table Service sofisticado. Aderência média-baixa. Kiosk bebidas possível.")</f>
        <v>Restaurante tradicional premium 3 lojas SP. Table Service sofisticado. Aderência média-baixa. Kiosk bebidas possível.</v>
      </c>
      <c r="BH467" s="4" t="s">
        <v>129</v>
      </c>
      <c r="BI467" s="7">
        <v>1.0</v>
      </c>
    </row>
    <row r="468" hidden="1">
      <c r="A468" s="4" t="str">
        <f>IFERROR(__xludf.DUMMYFUNCTION("""COMPUTED_VALUE"""),"Roasted Potato")</f>
        <v>Roasted Potato</v>
      </c>
      <c r="B468" s="4" t="str">
        <f>IFERROR(__xludf.DUMMYFUNCTION("""COMPUTED_VALUE"""),"João Biagiotti")</f>
        <v>João Biagiotti</v>
      </c>
      <c r="C468" s="4" t="str">
        <f>IFERROR(__xludf.DUMMYFUNCTION("""COMPUTED_VALUE"""),"Diego Santos")</f>
        <v>Diego Santos</v>
      </c>
      <c r="D468" s="4" t="str">
        <f>IFERROR(__xludf.DUMMYFUNCTION("""COMPUTED_VALUE"""),"0. Não Iniciado")</f>
        <v>0. Não Iniciado</v>
      </c>
      <c r="E468" s="4" t="str">
        <f>IFERROR(__xludf.DUMMYFUNCTION("""COMPUTED_VALUE"""),"Parceiro - Sem contato válido / Decisor inacessível")</f>
        <v>Parceiro - Sem contato válido / Decisor inacessível</v>
      </c>
      <c r="F468" s="4" t="str">
        <f>IFERROR(__xludf.DUMMYFUNCTION("""COMPUTED_VALUE"""),"M")</f>
        <v>M</v>
      </c>
      <c r="G468" s="5">
        <f>IFERROR(__xludf.DUMMYFUNCTION("""COMPUTED_VALUE"""),46076.0)</f>
        <v>46076</v>
      </c>
      <c r="H468" s="4" t="str">
        <f>IFERROR(__xludf.DUMMYFUNCTION("""COMPUTED_VALUE"""),"Sem contato válido e sem executivo de delivery.")</f>
        <v>Sem contato válido e sem executivo de delivery.</v>
      </c>
      <c r="I468" s="4"/>
      <c r="J468" s="4"/>
      <c r="K468" s="4"/>
      <c r="L468" s="4"/>
      <c r="M468" s="4"/>
      <c r="N468" s="4"/>
      <c r="O468" s="4"/>
      <c r="P468" s="4"/>
      <c r="Q468" s="4"/>
      <c r="R468" s="4"/>
      <c r="S468" s="4"/>
      <c r="T468" s="4"/>
      <c r="U468" s="4"/>
      <c r="V468" s="4"/>
      <c r="W468" s="4"/>
      <c r="X468" s="4"/>
      <c r="Y468" s="4"/>
      <c r="Z468" s="4"/>
      <c r="AA468" s="4">
        <f>IFERROR(__xludf.DUMMYFUNCTION("""COMPUTED_VALUE"""),30.0)</f>
        <v>30</v>
      </c>
      <c r="AB468" s="4" t="str">
        <f>IFERROR(__xludf.DUMMYFUNCTION("""COMPUTED_VALUE"""),"NÃO")</f>
        <v>NÃO</v>
      </c>
      <c r="AC468" s="4" t="str">
        <f>IFERROR(__xludf.DUMMYFUNCTION("""COMPUTED_VALUE"""),"Não BP")</f>
        <v>Não BP</v>
      </c>
      <c r="AD468" s="4"/>
      <c r="AE468" s="4"/>
      <c r="AF468" s="4"/>
      <c r="AG468" s="4"/>
      <c r="AH468" s="4"/>
      <c r="AI468" s="4"/>
      <c r="AJ468" s="4"/>
      <c r="AK468" s="4"/>
      <c r="AL468" s="4"/>
      <c r="AM468" s="4" t="str">
        <f>IFERROR(__xludf.DUMMYFUNCTION("""COMPUTED_VALUE"""),"FY26, FY27")</f>
        <v>FY26, FY27</v>
      </c>
      <c r="AN468" s="4"/>
      <c r="AO468" s="4">
        <f>IFERROR(__xludf.DUMMYFUNCTION("""COMPUTED_VALUE"""),140.0)</f>
        <v>140</v>
      </c>
      <c r="AP468" s="4">
        <f>IFERROR(__xludf.DUMMYFUNCTION("""COMPUTED_VALUE"""),0.0)</f>
        <v>0</v>
      </c>
      <c r="AQ468" s="4">
        <f>IFERROR(__xludf.DUMMYFUNCTION("""COMPUTED_VALUE"""),0.0)</f>
        <v>0</v>
      </c>
      <c r="AR468" s="4">
        <f>IFERROR(__xludf.DUMMYFUNCTION("""COMPUTED_VALUE"""),0.0)</f>
        <v>0</v>
      </c>
      <c r="AS468" s="4">
        <f>IFERROR(__xludf.DUMMYFUNCTION("""COMPUTED_VALUE"""),0.0)</f>
        <v>0</v>
      </c>
      <c r="AT468" s="4">
        <f>IFERROR(__xludf.DUMMYFUNCTION("""COMPUTED_VALUE"""),0.0)</f>
        <v>0</v>
      </c>
      <c r="AU468" s="4" t="str">
        <f>IFERROR(__xludf.DUMMYFUNCTION("""COMPUTED_VALUE"""),"Iza")</f>
        <v>Iza</v>
      </c>
      <c r="AV468" s="4">
        <f>IFERROR(__xludf.DUMMYFUNCTION("""COMPUTED_VALUE"""),0.0)</f>
        <v>0</v>
      </c>
      <c r="AW468" s="4">
        <f>IFERROR(__xludf.DUMMYFUNCTION("""COMPUTED_VALUE"""),0.0)</f>
        <v>0</v>
      </c>
      <c r="AX468" s="4">
        <f>IFERROR(__xludf.DUMMYFUNCTION("""COMPUTED_VALUE"""),0.0)</f>
        <v>0</v>
      </c>
      <c r="AY468" s="4" t="str">
        <f>IFERROR(__xludf.DUMMYFUNCTION("""COMPUTED_VALUE"""),"Sagres Automação Comercial")</f>
        <v>Sagres Automação Comercial</v>
      </c>
      <c r="AZ468" s="4" t="str">
        <f>IFERROR(__xludf.DUMMYFUNCTION("""COMPUTED_VALUE"""),"Brasileira")</f>
        <v>Brasileira</v>
      </c>
      <c r="BA468" s="4" t="str">
        <f>IFERROR(__xludf.DUMMYFUNCTION("""COMPUTED_VALUE"""),"Dado não disponível publicamente - Necessário Discovery")</f>
        <v>Dado não disponível publicamente - Necessário Discovery</v>
      </c>
      <c r="BB468" s="4" t="str">
        <f>IFERROR(__xludf.DUMMYFUNCTION("""COMPUTED_VALUE"""),"QSR / Batata Assada Recheada (Franquia nacional)")</f>
        <v>QSR / Batata Assada Recheada (Franquia nacional)</v>
      </c>
      <c r="BC468" s="4" t="str">
        <f>IFERROR(__xludf.DUMMYFUNCTION("""COMPUTED_VALUE"""),"Nacional (32 lojas distribuídas Brasil)")</f>
        <v>Nacional (32 lojas distribuídas Brasil)</v>
      </c>
      <c r="BD468" s="4" t="str">
        <f>IFERROR(__xludf.DUMMYFUNCTION("""COMPUTED_VALUE"""),"R$ 25-40")</f>
        <v>R$ 25-40</v>
      </c>
      <c r="BE468" s="4">
        <f>IFERROR(__xludf.DUMMYFUNCTION("""COMPUTED_VALUE"""),70.0)</f>
        <v>70</v>
      </c>
      <c r="BF468" s="4">
        <f>IFERROR(__xludf.DUMMYFUNCTION("""COMPUTED_VALUE"""),0.75)</f>
        <v>0.75</v>
      </c>
      <c r="BG468" s="4" t="str">
        <f>IFERROR(__xludf.DUMMYFUNCTION("""COMPUTED_VALUE"""),"Rede consolidada 32 lojas. QSR batata recheada = customização intensa ideal Kiosk + E-DEPLOY padronização. Alta aderência.")</f>
        <v>Rede consolidada 32 lojas. QSR batata recheada = customização intensa ideal Kiosk + E-DEPLOY padronização. Alta aderência.</v>
      </c>
      <c r="BH468" s="4" t="s">
        <v>66</v>
      </c>
      <c r="BI468" s="7">
        <v>0.5</v>
      </c>
    </row>
    <row r="469" hidden="1">
      <c r="A469" s="4" t="str">
        <f>IFERROR(__xludf.DUMMYFUNCTION("""COMPUTED_VALUE"""),"Robinfood")</f>
        <v>Robinfood</v>
      </c>
      <c r="B469" s="4" t="str">
        <f>IFERROR(__xludf.DUMMYFUNCTION("""COMPUTED_VALUE"""),"Lídia Esteves")</f>
        <v>Lídia Esteves</v>
      </c>
      <c r="C469" s="4" t="str">
        <f>IFERROR(__xludf.DUMMYFUNCTION("""COMPUTED_VALUE"""),"Gabriela Roma")</f>
        <v>Gabriela Roma</v>
      </c>
      <c r="D469" s="4" t="str">
        <f>IFERROR(__xludf.DUMMYFUNCTION("""COMPUTED_VALUE"""),"10. Perdido")</f>
        <v>10. Perdido</v>
      </c>
      <c r="E469" s="4" t="str">
        <f>IFERROR(__xludf.DUMMYFUNCTION("""COMPUTED_VALUE"""),"Perdido - Outro (detalhar ao lado)")</f>
        <v>Perdido - Outro (detalhar ao lado)</v>
      </c>
      <c r="F469" s="4" t="str">
        <f>IFERROR(__xludf.DUMMYFUNCTION("""COMPUTED_VALUE"""),"P")</f>
        <v>P</v>
      </c>
      <c r="G469" s="5">
        <f>IFERROR(__xludf.DUMMYFUNCTION("""COMPUTED_VALUE"""),46076.0)</f>
        <v>46076</v>
      </c>
      <c r="H469" s="4" t="str">
        <f>IFERROR(__xludf.DUMMYFUNCTION("""COMPUTED_VALUE"""),"Negociação com a saipos")</f>
        <v>Negociação com a saipos</v>
      </c>
      <c r="I469" s="4"/>
      <c r="J469" s="4"/>
      <c r="K469" s="4"/>
      <c r="L469" s="4"/>
      <c r="M469" s="4"/>
      <c r="N469" s="4"/>
      <c r="O469" s="4"/>
      <c r="P469" s="4"/>
      <c r="Q469" s="4"/>
      <c r="R469" s="6">
        <f>IFERROR(__xludf.DUMMYFUNCTION("""COMPUTED_VALUE"""),46076.63746725694)</f>
        <v>46076.63747</v>
      </c>
      <c r="S469" s="6">
        <f>IFERROR(__xludf.DUMMYFUNCTION("""COMPUTED_VALUE"""),46057.65795288194)</f>
        <v>46057.65795</v>
      </c>
      <c r="T469" s="4"/>
      <c r="U469" s="4"/>
      <c r="V469" s="4" t="str">
        <f>IFERROR(__xludf.DUMMYFUNCTION("""COMPUTED_VALUE"""),"Proposta declinada")</f>
        <v>Proposta declinada</v>
      </c>
      <c r="W469" s="4"/>
      <c r="X469" s="4"/>
      <c r="Y469" s="4"/>
      <c r="Z469" s="4"/>
      <c r="AA469" s="4">
        <f>IFERROR(__xludf.DUMMYFUNCTION("""COMPUTED_VALUE"""),21.0)</f>
        <v>21</v>
      </c>
      <c r="AB469" s="4" t="str">
        <f>IFERROR(__xludf.DUMMYFUNCTION("""COMPUTED_VALUE"""),"NÃO")</f>
        <v>NÃO</v>
      </c>
      <c r="AC469" s="4" t="str">
        <f>IFERROR(__xludf.DUMMYFUNCTION("""COMPUTED_VALUE"""),"Não BP")</f>
        <v>Não BP</v>
      </c>
      <c r="AD469" s="4"/>
      <c r="AE469" s="4"/>
      <c r="AF469" s="4"/>
      <c r="AG469" s="4"/>
      <c r="AH469" s="4"/>
      <c r="AI469" s="4"/>
      <c r="AJ469" s="4"/>
      <c r="AK469" s="4"/>
      <c r="AL469" s="4"/>
      <c r="AM469" s="4" t="str">
        <f>IFERROR(__xludf.DUMMYFUNCTION("""COMPUTED_VALUE"""),"FY26")</f>
        <v>FY26</v>
      </c>
      <c r="AN469" s="4"/>
      <c r="AO469" s="4">
        <f>IFERROR(__xludf.DUMMYFUNCTION("""COMPUTED_VALUE"""),140.0)</f>
        <v>140</v>
      </c>
      <c r="AP469" s="4">
        <f>IFERROR(__xludf.DUMMYFUNCTION("""COMPUTED_VALUE"""),0.0)</f>
        <v>0</v>
      </c>
      <c r="AQ469" s="4">
        <f>IFERROR(__xludf.DUMMYFUNCTION("""COMPUTED_VALUE"""),0.0)</f>
        <v>0</v>
      </c>
      <c r="AR469" s="4">
        <f>IFERROR(__xludf.DUMMYFUNCTION("""COMPUTED_VALUE"""),0.0)</f>
        <v>0</v>
      </c>
      <c r="AS469" s="4">
        <f>IFERROR(__xludf.DUMMYFUNCTION("""COMPUTED_VALUE"""),0.0)</f>
        <v>0</v>
      </c>
      <c r="AT469" s="4">
        <f>IFERROR(__xludf.DUMMYFUNCTION("""COMPUTED_VALUE"""),0.0)</f>
        <v>0</v>
      </c>
      <c r="AU469" s="4" t="str">
        <f>IFERROR(__xludf.DUMMYFUNCTION("""COMPUTED_VALUE"""),"Iza")</f>
        <v>Iza</v>
      </c>
      <c r="AV469" s="4">
        <f>IFERROR(__xludf.DUMMYFUNCTION("""COMPUTED_VALUE"""),0.0)</f>
        <v>0</v>
      </c>
      <c r="AW469" s="4">
        <f>IFERROR(__xludf.DUMMYFUNCTION("""COMPUTED_VALUE"""),0.0)</f>
        <v>0</v>
      </c>
      <c r="AX469" s="4">
        <f>IFERROR(__xludf.DUMMYFUNCTION("""COMPUTED_VALUE"""),0.0)</f>
        <v>0</v>
      </c>
      <c r="AY469" s="4"/>
      <c r="AZ469" s="4" t="str">
        <f>IFERROR(__xludf.DUMMYFUNCTION("""COMPUTED_VALUE"""),"Pizza")</f>
        <v>Pizza</v>
      </c>
      <c r="BA469" s="4" t="str">
        <f>IFERROR(__xludf.DUMMYFUNCTION("""COMPUTED_VALUE"""),"")</f>
        <v/>
      </c>
      <c r="BB469" s="4" t="str">
        <f>IFERROR(__xludf.DUMMYFUNCTION("""COMPUTED_VALUE"""),"")</f>
        <v/>
      </c>
      <c r="BC469" s="4" t="str">
        <f>IFERROR(__xludf.DUMMYFUNCTION("""COMPUTED_VALUE"""),"")</f>
        <v/>
      </c>
      <c r="BD469" s="4" t="str">
        <f>IFERROR(__xludf.DUMMYFUNCTION("""COMPUTED_VALUE"""),"")</f>
        <v/>
      </c>
      <c r="BE469" s="4" t="str">
        <f>IFERROR(__xludf.DUMMYFUNCTION("""COMPUTED_VALUE"""),"")</f>
        <v/>
      </c>
      <c r="BF469" s="4" t="str">
        <f>IFERROR(__xludf.DUMMYFUNCTION("""COMPUTED_VALUE"""),"")</f>
        <v/>
      </c>
      <c r="BG469" s="4" t="str">
        <f>IFERROR(__xludf.DUMMYFUNCTION("""COMPUTED_VALUE"""),"")</f>
        <v/>
      </c>
      <c r="BH469" s="4" t="s">
        <v>69</v>
      </c>
      <c r="BI469" s="7">
        <v>0.9615384615384616</v>
      </c>
    </row>
    <row r="470" hidden="1">
      <c r="A470" s="4" t="str">
        <f>IFERROR(__xludf.DUMMYFUNCTION("""COMPUTED_VALUE"""),"Rock'N Grill Curitiba")</f>
        <v>Rock'N Grill Curitiba</v>
      </c>
      <c r="B470" s="4" t="str">
        <f>IFERROR(__xludf.DUMMYFUNCTION("""COMPUTED_VALUE"""),"João Biagiotti")</f>
        <v>João Biagiotti</v>
      </c>
      <c r="C470" s="4" t="str">
        <f>IFERROR(__xludf.DUMMYFUNCTION("""COMPUTED_VALUE"""),"Diego Santos")</f>
        <v>Diego Santos</v>
      </c>
      <c r="D470" s="4" t="str">
        <f>IFERROR(__xludf.DUMMYFUNCTION("""COMPUTED_VALUE"""),"0. Não Iniciado")</f>
        <v>0. Não Iniciado</v>
      </c>
      <c r="E470" s="4" t="str">
        <f>IFERROR(__xludf.DUMMYFUNCTION("""COMPUTED_VALUE"""),"Parceiro - Sem contato válido / Decisor inacessível")</f>
        <v>Parceiro - Sem contato válido / Decisor inacessível</v>
      </c>
      <c r="F470" s="4" t="str">
        <f>IFERROR(__xludf.DUMMYFUNCTION("""COMPUTED_VALUE"""),"P")</f>
        <v>P</v>
      </c>
      <c r="G470" s="5">
        <f>IFERROR(__xludf.DUMMYFUNCTION("""COMPUTED_VALUE"""),46076.0)</f>
        <v>46076</v>
      </c>
      <c r="H470" s="4" t="str">
        <f>IFERROR(__xludf.DUMMYFUNCTION("""COMPUTED_VALUE"""),"Sem contato válido e sem executivo de delivery.")</f>
        <v>Sem contato válido e sem executivo de delivery.</v>
      </c>
      <c r="I470" s="4"/>
      <c r="J470" s="4"/>
      <c r="K470" s="4"/>
      <c r="L470" s="4"/>
      <c r="M470" s="4"/>
      <c r="N470" s="4"/>
      <c r="O470" s="4"/>
      <c r="P470" s="4"/>
      <c r="Q470" s="4"/>
      <c r="R470" s="4"/>
      <c r="S470" s="4"/>
      <c r="T470" s="4"/>
      <c r="U470" s="4"/>
      <c r="V470" s="4"/>
      <c r="W470" s="4"/>
      <c r="X470" s="4"/>
      <c r="Y470" s="4"/>
      <c r="Z470" s="4"/>
      <c r="AA470" s="4">
        <f>IFERROR(__xludf.DUMMYFUNCTION("""COMPUTED_VALUE"""),9.0)</f>
        <v>9</v>
      </c>
      <c r="AB470" s="4" t="str">
        <f>IFERROR(__xludf.DUMMYFUNCTION("""COMPUTED_VALUE"""),"NÃO")</f>
        <v>NÃO</v>
      </c>
      <c r="AC470" s="4" t="str">
        <f>IFERROR(__xludf.DUMMYFUNCTION("""COMPUTED_VALUE"""),"Não BP")</f>
        <v>Não BP</v>
      </c>
      <c r="AD470" s="4"/>
      <c r="AE470" s="4"/>
      <c r="AF470" s="4"/>
      <c r="AG470" s="4"/>
      <c r="AH470" s="4"/>
      <c r="AI470" s="4"/>
      <c r="AJ470" s="4"/>
      <c r="AK470" s="4"/>
      <c r="AL470" s="4"/>
      <c r="AM470" s="4" t="str">
        <f>IFERROR(__xludf.DUMMYFUNCTION("""COMPUTED_VALUE"""),"FY26, FY27")</f>
        <v>FY26, FY27</v>
      </c>
      <c r="AN470" s="4"/>
      <c r="AO470" s="4">
        <f>IFERROR(__xludf.DUMMYFUNCTION("""COMPUTED_VALUE"""),140.0)</f>
        <v>140</v>
      </c>
      <c r="AP470" s="4">
        <f>IFERROR(__xludf.DUMMYFUNCTION("""COMPUTED_VALUE"""),0.0)</f>
        <v>0</v>
      </c>
      <c r="AQ470" s="4">
        <f>IFERROR(__xludf.DUMMYFUNCTION("""COMPUTED_VALUE"""),0.0)</f>
        <v>0</v>
      </c>
      <c r="AR470" s="4">
        <f>IFERROR(__xludf.DUMMYFUNCTION("""COMPUTED_VALUE"""),0.0)</f>
        <v>0</v>
      </c>
      <c r="AS470" s="4">
        <f>IFERROR(__xludf.DUMMYFUNCTION("""COMPUTED_VALUE"""),0.0)</f>
        <v>0</v>
      </c>
      <c r="AT470" s="4">
        <f>IFERROR(__xludf.DUMMYFUNCTION("""COMPUTED_VALUE"""),0.0)</f>
        <v>0</v>
      </c>
      <c r="AU470" s="4" t="str">
        <f>IFERROR(__xludf.DUMMYFUNCTION("""COMPUTED_VALUE"""),"Iza")</f>
        <v>Iza</v>
      </c>
      <c r="AV470" s="4">
        <f>IFERROR(__xludf.DUMMYFUNCTION("""COMPUTED_VALUE"""),0.0)</f>
        <v>0</v>
      </c>
      <c r="AW470" s="4">
        <f>IFERROR(__xludf.DUMMYFUNCTION("""COMPUTED_VALUE"""),0.0)</f>
        <v>0</v>
      </c>
      <c r="AX470" s="4">
        <f>IFERROR(__xludf.DUMMYFUNCTION("""COMPUTED_VALUE"""),0.0)</f>
        <v>0</v>
      </c>
      <c r="AY470" s="4"/>
      <c r="AZ470" s="4" t="str">
        <f>IFERROR(__xludf.DUMMYFUNCTION("""COMPUTED_VALUE"""),"NA")</f>
        <v>NA</v>
      </c>
      <c r="BA470" s="4" t="str">
        <f>IFERROR(__xludf.DUMMYFUNCTION("""COMPUTED_VALUE"""),"Dado não disponível publicamente - Necessário Discovery")</f>
        <v>Dado não disponível publicamente - Necessário Discovery</v>
      </c>
      <c r="BB470" s="4" t="str">
        <f>IFERROR(__xludf.DUMMYFUNCTION("""COMPUTED_VALUE"""),"Fast Casual / Grelhados Shopping (Curitiba shoppings)")</f>
        <v>Fast Casual / Grelhados Shopping (Curitiba shoppings)</v>
      </c>
      <c r="BC470" s="4" t="str">
        <f>IFERROR(__xludf.DUMMYFUNCTION("""COMPUTED_VALUE"""),"Curitiba-PR (8 lojas em shoppings)")</f>
        <v>Curitiba-PR (8 lojas em shoppings)</v>
      </c>
      <c r="BD470" s="4" t="str">
        <f>IFERROR(__xludf.DUMMYFUNCTION("""COMPUTED_VALUE"""),"R$ 40-65")</f>
        <v>R$ 40-65</v>
      </c>
      <c r="BE470" s="4">
        <f>IFERROR(__xludf.DUMMYFUNCTION("""COMPUTED_VALUE"""),50.0)</f>
        <v>50</v>
      </c>
      <c r="BF470" s="4">
        <f>IFERROR(__xludf.DUMMYFUNCTION("""COMPUTED_VALUE"""),0.55)</f>
        <v>0.55</v>
      </c>
      <c r="BG470" s="4" t="str">
        <f>IFERROR(__xludf.DUMMYFUNCTION("""COMPUTED_VALUE"""),"Rede regional Curitiba 8 shoppings. Fast Casual: Kiosk acelera pedidos + E-DEPLOY padroniza. Aderência média-alta regional.")</f>
        <v>Rede regional Curitiba 8 shoppings. Fast Casual: Kiosk acelera pedidos + E-DEPLOY padroniza. Aderência média-alta regional.</v>
      </c>
      <c r="BH470" s="4" t="s">
        <v>63</v>
      </c>
      <c r="BI470" s="7" t="s">
        <v>63</v>
      </c>
    </row>
    <row r="471" hidden="1">
      <c r="A471" s="4" t="str">
        <f>IFERROR(__xludf.DUMMYFUNCTION("""COMPUTED_VALUE"""),"Rock&amp;Ribs")</f>
        <v>Rock&amp;Ribs</v>
      </c>
      <c r="B471" s="4" t="str">
        <f>IFERROR(__xludf.DUMMYFUNCTION("""COMPUTED_VALUE"""),"João Biagiotti")</f>
        <v>João Biagiotti</v>
      </c>
      <c r="C471" s="4" t="str">
        <f>IFERROR(__xludf.DUMMYFUNCTION("""COMPUTED_VALUE"""),"Diego Santos")</f>
        <v>Diego Santos</v>
      </c>
      <c r="D471" s="4" t="str">
        <f>IFERROR(__xludf.DUMMYFUNCTION("""COMPUTED_VALUE"""),"0. Não Iniciado")</f>
        <v>0. Não Iniciado</v>
      </c>
      <c r="E471" s="4" t="str">
        <f>IFERROR(__xludf.DUMMYFUNCTION("""COMPUTED_VALUE"""),"Parceiro - Sem contato válido / Decisor inacessível")</f>
        <v>Parceiro - Sem contato válido / Decisor inacessível</v>
      </c>
      <c r="F471" s="4" t="str">
        <f>IFERROR(__xludf.DUMMYFUNCTION("""COMPUTED_VALUE"""),"P")</f>
        <v>P</v>
      </c>
      <c r="G471" s="5">
        <f>IFERROR(__xludf.DUMMYFUNCTION("""COMPUTED_VALUE"""),46076.0)</f>
        <v>46076</v>
      </c>
      <c r="H471" s="4" t="str">
        <f>IFERROR(__xludf.DUMMYFUNCTION("""COMPUTED_VALUE"""),"Sem contato válido e sem executivo de delivery.")</f>
        <v>Sem contato válido e sem executivo de delivery.</v>
      </c>
      <c r="I471" s="4"/>
      <c r="J471" s="4"/>
      <c r="K471" s="4"/>
      <c r="L471" s="4"/>
      <c r="M471" s="4"/>
      <c r="N471" s="4"/>
      <c r="O471" s="4"/>
      <c r="P471" s="4"/>
      <c r="Q471" s="4"/>
      <c r="R471" s="4"/>
      <c r="S471" s="4"/>
      <c r="T471" s="4"/>
      <c r="U471" s="4"/>
      <c r="V471" s="4"/>
      <c r="W471" s="4"/>
      <c r="X471" s="4"/>
      <c r="Y471" s="4"/>
      <c r="Z471" s="4"/>
      <c r="AA471" s="4">
        <f>IFERROR(__xludf.DUMMYFUNCTION("""COMPUTED_VALUE"""),10.0)</f>
        <v>10</v>
      </c>
      <c r="AB471" s="4" t="str">
        <f>IFERROR(__xludf.DUMMYFUNCTION("""COMPUTED_VALUE"""),"NÃO")</f>
        <v>NÃO</v>
      </c>
      <c r="AC471" s="4" t="str">
        <f>IFERROR(__xludf.DUMMYFUNCTION("""COMPUTED_VALUE"""),"BP")</f>
        <v>BP</v>
      </c>
      <c r="AD471" s="4"/>
      <c r="AE471" s="4"/>
      <c r="AF471" s="4"/>
      <c r="AG471" s="4"/>
      <c r="AH471" s="4"/>
      <c r="AI471" s="4"/>
      <c r="AJ471" s="4"/>
      <c r="AK471" s="4"/>
      <c r="AL471" s="4"/>
      <c r="AM471" s="4" t="str">
        <f>IFERROR(__xludf.DUMMYFUNCTION("""COMPUTED_VALUE"""),"FY26, FY27")</f>
        <v>FY26, FY27</v>
      </c>
      <c r="AN471" s="4"/>
      <c r="AO471" s="4">
        <f>IFERROR(__xludf.DUMMYFUNCTION("""COMPUTED_VALUE"""),140.0)</f>
        <v>140</v>
      </c>
      <c r="AP471" s="4">
        <f>IFERROR(__xludf.DUMMYFUNCTION("""COMPUTED_VALUE"""),0.0)</f>
        <v>0</v>
      </c>
      <c r="AQ471" s="4">
        <f>IFERROR(__xludf.DUMMYFUNCTION("""COMPUTED_VALUE"""),0.0)</f>
        <v>0</v>
      </c>
      <c r="AR471" s="4">
        <f>IFERROR(__xludf.DUMMYFUNCTION("""COMPUTED_VALUE"""),0.0)</f>
        <v>0</v>
      </c>
      <c r="AS471" s="4">
        <f>IFERROR(__xludf.DUMMYFUNCTION("""COMPUTED_VALUE"""),0.0)</f>
        <v>0</v>
      </c>
      <c r="AT471" s="4">
        <f>IFERROR(__xludf.DUMMYFUNCTION("""COMPUTED_VALUE"""),0.0)</f>
        <v>0</v>
      </c>
      <c r="AU471" s="4" t="str">
        <f>IFERROR(__xludf.DUMMYFUNCTION("""COMPUTED_VALUE"""),"Iza")</f>
        <v>Iza</v>
      </c>
      <c r="AV471" s="4">
        <f>IFERROR(__xludf.DUMMYFUNCTION("""COMPUTED_VALUE"""),0.0)</f>
        <v>0</v>
      </c>
      <c r="AW471" s="4">
        <f>IFERROR(__xludf.DUMMYFUNCTION("""COMPUTED_VALUE"""),0.0)</f>
        <v>0</v>
      </c>
      <c r="AX471" s="4">
        <f>IFERROR(__xludf.DUMMYFUNCTION("""COMPUTED_VALUE"""),0.0)</f>
        <v>0</v>
      </c>
      <c r="AY471" s="4"/>
      <c r="AZ471" s="4" t="str">
        <f>IFERROR(__xludf.DUMMYFUNCTION("""COMPUTED_VALUE"""),"NA")</f>
        <v>NA</v>
      </c>
      <c r="BA471" s="4" t="str">
        <f>IFERROR(__xludf.DUMMYFUNCTION("""COMPUTED_VALUE"""),"Dado não disponível publicamente - Necessário Discovery")</f>
        <v>Dado não disponível publicamente - Necessário Discovery</v>
      </c>
      <c r="BB471" s="4" t="str">
        <f>IFERROR(__xludf.DUMMYFUNCTION("""COMPUTED_VALUE"""),"Fast Casual / Costelas e Ribs (SP 4 lojas + PB + PE + resort SP)")</f>
        <v>Fast Casual / Costelas e Ribs (SP 4 lojas + PB + PE + resort SP)</v>
      </c>
      <c r="BC471" s="4" t="str">
        <f>IFERROR(__xludf.DUMMYFUNCTION("""COMPUTED_VALUE"""),"Multi-regional (São Paulo 4, Paraíba 1, Pernambuco 1, Resort Olímpia 1)")</f>
        <v>Multi-regional (São Paulo 4, Paraíba 1, Pernambuco 1, Resort Olímpia 1)</v>
      </c>
      <c r="BD471" s="4" t="str">
        <f>IFERROR(__xludf.DUMMYFUNCTION("""COMPUTED_VALUE"""),"R$ 50-75")</f>
        <v>R$ 50-75</v>
      </c>
      <c r="BE471" s="4">
        <f>IFERROR(__xludf.DUMMYFUNCTION("""COMPUTED_VALUE"""),45.0)</f>
        <v>45</v>
      </c>
      <c r="BF471" s="4">
        <f>IFERROR(__xludf.DUMMYFUNCTION("""COMPUTED_VALUE"""),0.5)</f>
        <v>0.5</v>
      </c>
      <c r="BG471" s="4" t="str">
        <f>IFERROR(__xludf.DUMMYFUNCTION("""COMPUTED_VALUE"""),"Rede dispersa 7 lojas em 3 estados. Padronização E-DEPLOY justificada mas dispersão dificulta. Aderência média.")</f>
        <v>Rede dispersa 7 lojas em 3 estados. Padronização E-DEPLOY justificada mas dispersão dificulta. Aderência média.</v>
      </c>
      <c r="BH471" s="4" t="s">
        <v>63</v>
      </c>
      <c r="BI471" s="7" t="s">
        <v>63</v>
      </c>
    </row>
    <row r="472" hidden="1">
      <c r="A472" s="4" t="str">
        <f>IFERROR(__xludf.DUMMYFUNCTION("""COMPUTED_VALUE"""),"Sa Alexandria")</f>
        <v>Sa Alexandria</v>
      </c>
      <c r="B472" s="4" t="str">
        <f>IFERROR(__xludf.DUMMYFUNCTION("""COMPUTED_VALUE"""),"Lídia Esteves")</f>
        <v>Lídia Esteves</v>
      </c>
      <c r="C472" s="4" t="str">
        <f>IFERROR(__xludf.DUMMYFUNCTION("""COMPUTED_VALUE"""),"Gabriela Roma")</f>
        <v>Gabriela Roma</v>
      </c>
      <c r="D472" s="4" t="str">
        <f>IFERROR(__xludf.DUMMYFUNCTION("""COMPUTED_VALUE"""),"11. Stand by")</f>
        <v>11. Stand by</v>
      </c>
      <c r="E472" s="4" t="str">
        <f>IFERROR(__xludf.DUMMYFUNCTION("""COMPUTED_VALUE"""),"Parceiro - Aguardando retorno parceiro")</f>
        <v>Parceiro - Aguardando retorno parceiro</v>
      </c>
      <c r="F472" s="4" t="str">
        <f>IFERROR(__xludf.DUMMYFUNCTION("""COMPUTED_VALUE"""),"M")</f>
        <v>M</v>
      </c>
      <c r="G472" s="5">
        <f>IFERROR(__xludf.DUMMYFUNCTION("""COMPUTED_VALUE"""),46120.0)</f>
        <v>46120</v>
      </c>
      <c r="H472" s="4" t="str">
        <f>IFERROR(__xludf.DUMMYFUNCTION("""COMPUTED_VALUE"""),"Enviado proposta mas recebemos feedback da cliente que não achou o sistema - parte do backoffice - muito simples, demonstração não engajou a cliente, dizendo que o sistema atual é melhor. ")</f>
        <v>Enviado proposta mas recebemos feedback da cliente que não achou o sistema - parte do backoffice - muito simples, demonstração não engajou a cliente, dizendo que o sistema atual é melhor. </v>
      </c>
      <c r="I472" s="4"/>
      <c r="J472" s="6">
        <f>IFERROR(__xludf.DUMMYFUNCTION("""COMPUTED_VALUE"""),46111.0)</f>
        <v>46111</v>
      </c>
      <c r="K472" s="6">
        <f>IFERROR(__xludf.DUMMYFUNCTION("""COMPUTED_VALUE"""),46113.603863807875)</f>
        <v>46113.60386</v>
      </c>
      <c r="L472" s="4"/>
      <c r="M472" s="6">
        <f>IFERROR(__xludf.DUMMYFUNCTION("""COMPUTED_VALUE"""),46113.60402263889)</f>
        <v>46113.60402</v>
      </c>
      <c r="N472" s="6">
        <f>IFERROR(__xludf.DUMMYFUNCTION("""COMPUTED_VALUE"""),46119.741819999996)</f>
        <v>46119.74182</v>
      </c>
      <c r="O472" s="4"/>
      <c r="P472" s="4"/>
      <c r="Q472" s="4"/>
      <c r="R472" s="4"/>
      <c r="S472" s="6">
        <f>IFERROR(__xludf.DUMMYFUNCTION("""COMPUTED_VALUE"""),46154.43568663194)</f>
        <v>46154.43569</v>
      </c>
      <c r="T472" s="4"/>
      <c r="U472" s="4"/>
      <c r="V472" s="4" t="str">
        <f>IFERROR(__xludf.DUMMYFUNCTION("""COMPUTED_VALUE"""),"Proposta declinada")</f>
        <v>Proposta declinada</v>
      </c>
      <c r="W472" s="4"/>
      <c r="X472" s="4"/>
      <c r="Y472" s="4"/>
      <c r="Z472" s="4"/>
      <c r="AA472" s="4">
        <f>IFERROR(__xludf.DUMMYFUNCTION("""COMPUTED_VALUE"""),42.0)</f>
        <v>42</v>
      </c>
      <c r="AB472" s="4" t="str">
        <f>IFERROR(__xludf.DUMMYFUNCTION("""COMPUTED_VALUE"""),"NÃO")</f>
        <v>NÃO</v>
      </c>
      <c r="AC472" s="4" t="str">
        <f>IFERROR(__xludf.DUMMYFUNCTION("""COMPUTED_VALUE"""),"Não BP")</f>
        <v>Não BP</v>
      </c>
      <c r="AD472" s="4"/>
      <c r="AE472" s="4"/>
      <c r="AF472" s="4"/>
      <c r="AG472" s="4"/>
      <c r="AH472" s="4"/>
      <c r="AI472" s="4"/>
      <c r="AJ472" s="4"/>
      <c r="AK472" s="4"/>
      <c r="AL472" s="4"/>
      <c r="AM472" s="4" t="str">
        <f>IFERROR(__xludf.DUMMYFUNCTION("""COMPUTED_VALUE"""),"FY26, FY27")</f>
        <v>FY26, FY27</v>
      </c>
      <c r="AN472" s="4" t="str">
        <f>IFERROR(__xludf.DUMMYFUNCTION("""COMPUTED_VALUE"""),"Comer Fora")</f>
        <v>Comer Fora</v>
      </c>
      <c r="AO472" s="4">
        <f>IFERROR(__xludf.DUMMYFUNCTION("""COMPUTED_VALUE"""),95.0)</f>
        <v>95</v>
      </c>
      <c r="AP472" s="4">
        <f>IFERROR(__xludf.DUMMYFUNCTION("""COMPUTED_VALUE"""),0.0)</f>
        <v>0</v>
      </c>
      <c r="AQ472" s="4">
        <f>IFERROR(__xludf.DUMMYFUNCTION("""COMPUTED_VALUE"""),0.0)</f>
        <v>0</v>
      </c>
      <c r="AR472" s="4">
        <f>IFERROR(__xludf.DUMMYFUNCTION("""COMPUTED_VALUE"""),0.0)</f>
        <v>0</v>
      </c>
      <c r="AS472" s="4">
        <f>IFERROR(__xludf.DUMMYFUNCTION("""COMPUTED_VALUE"""),0.0)</f>
        <v>0</v>
      </c>
      <c r="AT472" s="4">
        <f>IFERROR(__xludf.DUMMYFUNCTION("""COMPUTED_VALUE"""),0.0)</f>
        <v>0</v>
      </c>
      <c r="AU472" s="4" t="str">
        <f>IFERROR(__xludf.DUMMYFUNCTION("""COMPUTED_VALUE"""),"Lídia")</f>
        <v>Lídia</v>
      </c>
      <c r="AV472" s="4" t="str">
        <f>IFERROR(__xludf.DUMMYFUNCTION("""COMPUTED_VALUE"""),"Comer Fora-")</f>
        <v>Comer Fora-</v>
      </c>
      <c r="AW472" s="20" t="str">
        <f>IFERROR(__xludf.DUMMYFUNCTION("""COMPUTED_VALUE"""),"P e M - pipe")</f>
        <v>P e M - pipe</v>
      </c>
      <c r="AX472" s="4" t="str">
        <f>IFERROR(__xludf.DUMMYFUNCTION("""COMPUTED_VALUE"""),"Base P1+P2")</f>
        <v>Base P1+P2</v>
      </c>
      <c r="AY472" s="4"/>
      <c r="AZ472" s="4" t="str">
        <f>IFERROR(__xludf.DUMMYFUNCTION("""COMPUTED_VALUE"""),"Lanches")</f>
        <v>Lanches</v>
      </c>
      <c r="BA472" s="4" t="str">
        <f>IFERROR(__xludf.DUMMYFUNCTION("""COMPUTED_VALUE"""),"")</f>
        <v/>
      </c>
      <c r="BB472" s="4" t="str">
        <f>IFERROR(__xludf.DUMMYFUNCTION("""COMPUTED_VALUE"""),"")</f>
        <v/>
      </c>
      <c r="BC472" s="4" t="str">
        <f>IFERROR(__xludf.DUMMYFUNCTION("""COMPUTED_VALUE"""),"")</f>
        <v/>
      </c>
      <c r="BD472" s="4" t="str">
        <f>IFERROR(__xludf.DUMMYFUNCTION("""COMPUTED_VALUE"""),"")</f>
        <v/>
      </c>
      <c r="BE472" s="4" t="str">
        <f>IFERROR(__xludf.DUMMYFUNCTION("""COMPUTED_VALUE"""),"")</f>
        <v/>
      </c>
      <c r="BF472" s="4" t="str">
        <f>IFERROR(__xludf.DUMMYFUNCTION("""COMPUTED_VALUE"""),"")</f>
        <v/>
      </c>
      <c r="BG472" s="4" t="str">
        <f>IFERROR(__xludf.DUMMYFUNCTION("""COMPUTED_VALUE"""),"")</f>
        <v/>
      </c>
      <c r="BH472" s="4" t="s">
        <v>138</v>
      </c>
      <c r="BI472" s="7">
        <v>0.6538461538461539</v>
      </c>
    </row>
    <row r="473" hidden="1">
      <c r="A473" s="4" t="str">
        <f>IFERROR(__xludf.DUMMYFUNCTION("""COMPUTED_VALUE"""),"Sal E Brasa")</f>
        <v>Sal E Brasa</v>
      </c>
      <c r="B473" s="4" t="str">
        <f>IFERROR(__xludf.DUMMYFUNCTION("""COMPUTED_VALUE"""),"Diego Santos")</f>
        <v>Diego Santos</v>
      </c>
      <c r="C473" s="4" t="str">
        <f>IFERROR(__xludf.DUMMYFUNCTION("""COMPUTED_VALUE"""),"Diego Santos")</f>
        <v>Diego Santos</v>
      </c>
      <c r="D473" s="4" t="str">
        <f>IFERROR(__xludf.DUMMYFUNCTION("""COMPUTED_VALUE"""),"10. Perdido")</f>
        <v>10. Perdido</v>
      </c>
      <c r="E473" s="4" t="str">
        <f>IFERROR(__xludf.DUMMYFUNCTION("""COMPUTED_VALUE"""),"Perdido - Proposta comercial não aceita")</f>
        <v>Perdido - Proposta comercial não aceita</v>
      </c>
      <c r="F473" s="4" t="str">
        <f>IFERROR(__xludf.DUMMYFUNCTION("""COMPUTED_VALUE"""),"P")</f>
        <v>P</v>
      </c>
      <c r="G473" s="4"/>
      <c r="H473" s="4" t="str">
        <f>IFERROR(__xludf.DUMMYFUNCTION("""COMPUTED_VALUE"""),"Usam 3LM sistema barato e sem interesse em mudar no momento. Mas estamos em contato para apoiar nas decisões. ")</f>
        <v>Usam 3LM sistema barato e sem interesse em mudar no momento. Mas estamos em contato para apoiar nas decisões. </v>
      </c>
      <c r="I473" s="4"/>
      <c r="J473" s="4"/>
      <c r="K473" s="6">
        <f>IFERROR(__xludf.DUMMYFUNCTION("""COMPUTED_VALUE"""),45991.0)</f>
        <v>45991</v>
      </c>
      <c r="L473" s="6">
        <f>IFERROR(__xludf.DUMMYFUNCTION("""COMPUTED_VALUE"""),46072.73521084491)</f>
        <v>46072.73521</v>
      </c>
      <c r="M473" s="4"/>
      <c r="N473" s="4"/>
      <c r="O473" s="4"/>
      <c r="P473" s="4"/>
      <c r="Q473" s="4"/>
      <c r="R473" s="6">
        <f>IFERROR(__xludf.DUMMYFUNCTION("""COMPUTED_VALUE"""),46114.49206290509)</f>
        <v>46114.49206</v>
      </c>
      <c r="S473" s="4"/>
      <c r="T473" s="4"/>
      <c r="U473" s="4"/>
      <c r="V473" s="4" t="str">
        <f>IFERROR(__xludf.DUMMYFUNCTION("""COMPUTED_VALUE"""),"Desistência na mudança de PDV")</f>
        <v>Desistência na mudança de PDV</v>
      </c>
      <c r="W473" s="4"/>
      <c r="X473" s="4"/>
      <c r="Y473" s="4"/>
      <c r="Z473" s="4"/>
      <c r="AA473" s="4">
        <f>IFERROR(__xludf.DUMMYFUNCTION("""COMPUTED_VALUE"""),18.0)</f>
        <v>18</v>
      </c>
      <c r="AB473" s="4" t="str">
        <f>IFERROR(__xludf.DUMMYFUNCTION("""COMPUTED_VALUE"""),"KA")</f>
        <v>KA</v>
      </c>
      <c r="AC473" s="4" t="str">
        <f>IFERROR(__xludf.DUMMYFUNCTION("""COMPUTED_VALUE"""),"Não BP")</f>
        <v>Não BP</v>
      </c>
      <c r="AD473" s="4"/>
      <c r="AE473" s="4"/>
      <c r="AF473" s="4"/>
      <c r="AG473" s="4"/>
      <c r="AH473" s="4"/>
      <c r="AI473" s="4"/>
      <c r="AJ473" s="4"/>
      <c r="AK473" s="4"/>
      <c r="AL473" s="4"/>
      <c r="AM473" s="4" t="str">
        <f>IFERROR(__xludf.DUMMYFUNCTION("""COMPUTED_VALUE"""),"FY26")</f>
        <v>FY26</v>
      </c>
      <c r="AN473" s="4"/>
      <c r="AO473" s="4">
        <f>IFERROR(__xludf.DUMMYFUNCTION("""COMPUTED_VALUE"""),45553.0)</f>
        <v>45553</v>
      </c>
      <c r="AP473" s="4" t="str">
        <f>IFERROR(__xludf.DUMMYFUNCTION("""COMPUTED_VALUE"""),"SE")</f>
        <v>SE</v>
      </c>
      <c r="AQ473" s="4" t="str">
        <f>IFERROR(__xludf.DUMMYFUNCTION("""COMPUTED_VALUE"""),"JORGE VINICIUS")</f>
        <v>JORGE VINICIUS</v>
      </c>
      <c r="AR473" s="4">
        <f>IFERROR(__xludf.DUMMYFUNCTION("""COMPUTED_VALUE"""),0.0)</f>
        <v>0</v>
      </c>
      <c r="AS473" s="4">
        <f>IFERROR(__xludf.DUMMYFUNCTION("""COMPUTED_VALUE"""),0.0)</f>
        <v>0</v>
      </c>
      <c r="AT473" s="4">
        <f>IFERROR(__xludf.DUMMYFUNCTION("""COMPUTED_VALUE"""),0.0)</f>
        <v>0</v>
      </c>
      <c r="AU473" s="4" t="str">
        <f>IFERROR(__xludf.DUMMYFUNCTION("""COMPUTED_VALUE"""),"Diego")</f>
        <v>Diego</v>
      </c>
      <c r="AV473" s="4">
        <f>IFERROR(__xludf.DUMMYFUNCTION("""COMPUTED_VALUE"""),0.0)</f>
        <v>0</v>
      </c>
      <c r="AW473" s="4">
        <f>IFERROR(__xludf.DUMMYFUNCTION("""COMPUTED_VALUE"""),0.0)</f>
        <v>0</v>
      </c>
      <c r="AX473" s="4">
        <f>IFERROR(__xludf.DUMMYFUNCTION("""COMPUTED_VALUE"""),0.0)</f>
        <v>0</v>
      </c>
      <c r="AY473" s="4"/>
      <c r="AZ473" s="4" t="str">
        <f>IFERROR(__xludf.DUMMYFUNCTION("""COMPUTED_VALUE"""),"Carnes")</f>
        <v>Carnes</v>
      </c>
      <c r="BA473" s="4" t="str">
        <f>IFERROR(__xludf.DUMMYFUNCTION("""COMPUTED_VALUE"""),"")</f>
        <v/>
      </c>
      <c r="BB473" s="4" t="str">
        <f>IFERROR(__xludf.DUMMYFUNCTION("""COMPUTED_VALUE"""),"")</f>
        <v/>
      </c>
      <c r="BC473" s="4" t="str">
        <f>IFERROR(__xludf.DUMMYFUNCTION("""COMPUTED_VALUE"""),"")</f>
        <v/>
      </c>
      <c r="BD473" s="4" t="str">
        <f>IFERROR(__xludf.DUMMYFUNCTION("""COMPUTED_VALUE"""),"")</f>
        <v/>
      </c>
      <c r="BE473" s="4" t="str">
        <f>IFERROR(__xludf.DUMMYFUNCTION("""COMPUTED_VALUE"""),"")</f>
        <v/>
      </c>
      <c r="BF473" s="4" t="str">
        <f>IFERROR(__xludf.DUMMYFUNCTION("""COMPUTED_VALUE"""),"")</f>
        <v/>
      </c>
      <c r="BG473" s="4" t="str">
        <f>IFERROR(__xludf.DUMMYFUNCTION("""COMPUTED_VALUE"""),"")</f>
        <v/>
      </c>
      <c r="BH473" s="4" t="s">
        <v>63</v>
      </c>
      <c r="BI473" s="7" t="s">
        <v>63</v>
      </c>
    </row>
    <row r="474" hidden="1">
      <c r="A474" s="4" t="str">
        <f>IFERROR(__xludf.DUMMYFUNCTION("""COMPUTED_VALUE"""),"Sala Vip")</f>
        <v>Sala Vip</v>
      </c>
      <c r="B474" s="4" t="str">
        <f>IFERROR(__xludf.DUMMYFUNCTION("""COMPUTED_VALUE"""),"João Biagiotti")</f>
        <v>João Biagiotti</v>
      </c>
      <c r="C474" s="4" t="str">
        <f>IFERROR(__xludf.DUMMYFUNCTION("""COMPUTED_VALUE"""),"Diego Santos")</f>
        <v>Diego Santos</v>
      </c>
      <c r="D474" s="4" t="str">
        <f>IFERROR(__xludf.DUMMYFUNCTION("""COMPUTED_VALUE"""),"13. Reativado")</f>
        <v>13. Reativado</v>
      </c>
      <c r="E474" s="4" t="str">
        <f>IFERROR(__xludf.DUMMYFUNCTION("""COMPUTED_VALUE"""),"Parceiro - Aguardando retorno / Conciliação agenda")</f>
        <v>Parceiro - Aguardando retorno / Conciliação agenda</v>
      </c>
      <c r="F474" s="4" t="str">
        <f>IFERROR(__xludf.DUMMYFUNCTION("""COMPUTED_VALUE"""),"P")</f>
        <v>P</v>
      </c>
      <c r="G474" s="5">
        <f>IFERROR(__xludf.DUMMYFUNCTION("""COMPUTED_VALUE"""),46141.0)</f>
        <v>46141</v>
      </c>
      <c r="H474" s="4" t="str">
        <f>IFERROR(__xludf.DUMMYFUNCTION("""COMPUTED_VALUE"""),"sem interesse em mudar de solução")</f>
        <v>sem interesse em mudar de solução</v>
      </c>
      <c r="I474" s="4"/>
      <c r="J474" s="4"/>
      <c r="K474" s="6">
        <f>IFERROR(__xludf.DUMMYFUNCTION("""COMPUTED_VALUE"""),45952.0)</f>
        <v>45952</v>
      </c>
      <c r="L474" s="6">
        <f>IFERROR(__xludf.DUMMYFUNCTION("""COMPUTED_VALUE"""),45965.0)</f>
        <v>45965</v>
      </c>
      <c r="M474" s="4"/>
      <c r="N474" s="4"/>
      <c r="O474" s="4"/>
      <c r="P474" s="4"/>
      <c r="Q474" s="4"/>
      <c r="R474" s="6">
        <f>IFERROR(__xludf.DUMMYFUNCTION("""COMPUTED_VALUE"""),46055.42108554398)</f>
        <v>46055.42109</v>
      </c>
      <c r="S474" s="6">
        <f>IFERROR(__xludf.DUMMYFUNCTION("""COMPUTED_VALUE"""),46077.56420105324)</f>
        <v>46077.5642</v>
      </c>
      <c r="T474" s="4"/>
      <c r="U474" s="6">
        <f>IFERROR(__xludf.DUMMYFUNCTION("""COMPUTED_VALUE"""),46136.42305546296)</f>
        <v>46136.42306</v>
      </c>
      <c r="V474" s="4" t="str">
        <f>IFERROR(__xludf.DUMMYFUNCTION("""COMPUTED_VALUE"""),"Sem interesse em mudar de PDV")</f>
        <v>Sem interesse em mudar de PDV</v>
      </c>
      <c r="W474" s="4"/>
      <c r="X474" s="4"/>
      <c r="Y474" s="4"/>
      <c r="Z474" s="4"/>
      <c r="AA474" s="4">
        <f>IFERROR(__xludf.DUMMYFUNCTION("""COMPUTED_VALUE"""),10.0)</f>
        <v>10</v>
      </c>
      <c r="AB474" s="4" t="str">
        <f>IFERROR(__xludf.DUMMYFUNCTION("""COMPUTED_VALUE"""),"NÃO")</f>
        <v>NÃO</v>
      </c>
      <c r="AC474" s="4" t="str">
        <f>IFERROR(__xludf.DUMMYFUNCTION("""COMPUTED_VALUE"""),"BP")</f>
        <v>BP</v>
      </c>
      <c r="AD474" s="4"/>
      <c r="AE474" s="4"/>
      <c r="AF474" s="4"/>
      <c r="AG474" s="4"/>
      <c r="AH474" s="4"/>
      <c r="AI474" s="4"/>
      <c r="AJ474" s="4"/>
      <c r="AK474" s="4"/>
      <c r="AL474" s="4"/>
      <c r="AM474" s="4" t="str">
        <f>IFERROR(__xludf.DUMMYFUNCTION("""COMPUTED_VALUE"""),"FY26, FY27")</f>
        <v>FY26, FY27</v>
      </c>
      <c r="AN474" s="4" t="str">
        <f>IFERROR(__xludf.DUMMYFUNCTION("""COMPUTED_VALUE"""),"Comer Fora")</f>
        <v>Comer Fora</v>
      </c>
      <c r="AO474" s="4">
        <f>IFERROR(__xludf.DUMMYFUNCTION("""COMPUTED_VALUE"""),74.0)</f>
        <v>74</v>
      </c>
      <c r="AP474" s="4" t="str">
        <f>IFERROR(__xludf.DUMMYFUNCTION("""COMPUTED_VALUE"""),"SP")</f>
        <v>SP</v>
      </c>
      <c r="AQ474" s="4" t="str">
        <f>IFERROR(__xludf.DUMMYFUNCTION("""COMPUTED_VALUE"""),"JULIA TAKEMOTO")</f>
        <v>JULIA TAKEMOTO</v>
      </c>
      <c r="AR474" s="4" t="str">
        <f>IFERROR(__xludf.DUMMYFUNCTION("""COMPUTED_VALUE"""),"ALINNE VALENTIM")</f>
        <v>ALINNE VALENTIM</v>
      </c>
      <c r="AS474" s="4" t="str">
        <f>IFERROR(__xludf.DUMMYFUNCTION("""COMPUTED_VALUE"""),"NATHALIE MERTENS")</f>
        <v>NATHALIE MERTENS</v>
      </c>
      <c r="AT474" s="4" t="str">
        <f>IFERROR(__xludf.DUMMYFUNCTION("""COMPUTED_VALUE"""),"MARIANA KATZ")</f>
        <v>MARIANA KATZ</v>
      </c>
      <c r="AU474" s="4" t="str">
        <f>IFERROR(__xludf.DUMMYFUNCTION("""COMPUTED_VALUE"""),"Ana")</f>
        <v>Ana</v>
      </c>
      <c r="AV474" s="4" t="str">
        <f>IFERROR(__xludf.DUMMYFUNCTION("""COMPUTED_VALUE"""),"Comer Fora-")</f>
        <v>Comer Fora-</v>
      </c>
      <c r="AW474" s="20" t="str">
        <f>IFERROR(__xludf.DUMMYFUNCTION("""COMPUTED_VALUE"""),"P e M - pipe")</f>
        <v>P e M - pipe</v>
      </c>
      <c r="AX474" s="4"/>
      <c r="AY474" s="4"/>
      <c r="AZ474" s="4" t="str">
        <f>IFERROR(__xludf.DUMMYFUNCTION("""COMPUTED_VALUE"""),"Italiana")</f>
        <v>Italiana</v>
      </c>
      <c r="BA474" s="4" t="str">
        <f>IFERROR(__xludf.DUMMYFUNCTION("""COMPUTED_VALUE"""),"Dado não disponível publicamente - Necessário Discovery")</f>
        <v>Dado não disponível publicamente - Necessário Discovery</v>
      </c>
      <c r="BB474" s="4" t="str">
        <f>IFERROR(__xludf.DUMMYFUNCTION("""COMPUTED_VALUE"""),"Pizzaria Multi-formato / Salão + Delivery (SP + Guarujá - 200 funcionários)")</f>
        <v>Pizzaria Multi-formato / Salão + Delivery (SP + Guarujá - 200 funcionários)</v>
      </c>
      <c r="BC474" s="4" t="str">
        <f>IFERROR(__xludf.DUMMYFUNCTION("""COMPUTED_VALUE"""),"São Paulo (Ipiranga, Moema, São Bernardo, São Caetano, Guarujá)")</f>
        <v>São Paulo (Ipiranga, Moema, São Bernardo, São Caetano, Guarujá)</v>
      </c>
      <c r="BD474" s="4" t="str">
        <f>IFERROR(__xludf.DUMMYFUNCTION("""COMPUTED_VALUE"""),"R$ 50-75")</f>
        <v>R$ 50-75</v>
      </c>
      <c r="BE474" s="4">
        <f>IFERROR(__xludf.DUMMYFUNCTION("""COMPUTED_VALUE"""),55.0)</f>
        <v>55</v>
      </c>
      <c r="BF474" s="4">
        <f>IFERROR(__xludf.DUMMYFUNCTION("""COMPUTED_VALUE"""),0.6)</f>
        <v>0.6</v>
      </c>
      <c r="BG474" s="4" t="str">
        <f>IFERROR(__xludf.DUMMYFUNCTION("""COMPUTED_VALUE"""),"Rede regional SP 13 unidades (salões + delivery). Multi-formato precisa E-DEPLOY padronização. Aderência média-alta.")</f>
        <v>Rede regional SP 13 unidades (salões + delivery). Multi-formato precisa E-DEPLOY padronização. Aderência média-alta.</v>
      </c>
      <c r="BH474" s="4" t="s">
        <v>74</v>
      </c>
      <c r="BI474" s="7">
        <v>1.0</v>
      </c>
    </row>
    <row r="475" hidden="1">
      <c r="A475" s="4" t="str">
        <f>IFERROR(__xludf.DUMMYFUNCTION("""COMPUTED_VALUE"""),"Sassa Sushi")</f>
        <v>Sassa Sushi</v>
      </c>
      <c r="B475" s="4" t="str">
        <f>IFERROR(__xludf.DUMMYFUNCTION("""COMPUTED_VALUE"""),"João Biagiotti")</f>
        <v>João Biagiotti</v>
      </c>
      <c r="C475" s="4" t="str">
        <f>IFERROR(__xludf.DUMMYFUNCTION("""COMPUTED_VALUE"""),"Diego Santos")</f>
        <v>Diego Santos</v>
      </c>
      <c r="D475" s="4" t="str">
        <f>IFERROR(__xludf.DUMMYFUNCTION("""COMPUTED_VALUE"""),"2. Primeiro contato com a marca")</f>
        <v>2. Primeiro contato com a marca</v>
      </c>
      <c r="E475" s="4" t="str">
        <f>IFERROR(__xludf.DUMMYFUNCTION("""COMPUTED_VALUE"""),"Delivery - Aguardando retorno executivo")</f>
        <v>Delivery - Aguardando retorno executivo</v>
      </c>
      <c r="F475" s="4" t="str">
        <f>IFERROR(__xludf.DUMMYFUNCTION("""COMPUTED_VALUE"""),"P")</f>
        <v>P</v>
      </c>
      <c r="G475" s="5">
        <f>IFERROR(__xludf.DUMMYFUNCTION("""COMPUTED_VALUE"""),46099.0)</f>
        <v>46099</v>
      </c>
      <c r="H475" s="4" t="str">
        <f>IFERROR(__xludf.DUMMYFUNCTION("""COMPUTED_VALUE"""),"Aguardando apoio da executiva de delivery ")</f>
        <v>Aguardando apoio da executiva de delivery </v>
      </c>
      <c r="I475" s="4"/>
      <c r="J475" s="6">
        <f>IFERROR(__xludf.DUMMYFUNCTION("""COMPUTED_VALUE"""),46076.737583344904)</f>
        <v>46076.73758</v>
      </c>
      <c r="K475" s="4"/>
      <c r="L475" s="4"/>
      <c r="M475" s="4"/>
      <c r="N475" s="4"/>
      <c r="O475" s="4"/>
      <c r="P475" s="4"/>
      <c r="Q475" s="4"/>
      <c r="R475" s="4"/>
      <c r="S475" s="4"/>
      <c r="T475" s="4"/>
      <c r="U475" s="4"/>
      <c r="V475" s="4"/>
      <c r="W475" s="4"/>
      <c r="X475" s="4"/>
      <c r="Y475" s="4"/>
      <c r="Z475" s="4"/>
      <c r="AA475" s="4">
        <f>IFERROR(__xludf.DUMMYFUNCTION("""COMPUTED_VALUE"""),7.0)</f>
        <v>7</v>
      </c>
      <c r="AB475" s="4" t="str">
        <f>IFERROR(__xludf.DUMMYFUNCTION("""COMPUTED_VALUE"""),"NÃO")</f>
        <v>NÃO</v>
      </c>
      <c r="AC475" s="4" t="str">
        <f>IFERROR(__xludf.DUMMYFUNCTION("""COMPUTED_VALUE"""),"BP")</f>
        <v>BP</v>
      </c>
      <c r="AD475" s="4"/>
      <c r="AE475" s="4"/>
      <c r="AF475" s="4"/>
      <c r="AG475" s="4"/>
      <c r="AH475" s="4"/>
      <c r="AI475" s="4"/>
      <c r="AJ475" s="4"/>
      <c r="AK475" s="4"/>
      <c r="AL475" s="4"/>
      <c r="AM475" s="4" t="str">
        <f>IFERROR(__xludf.DUMMYFUNCTION("""COMPUTED_VALUE"""),"FY26, FY27")</f>
        <v>FY26, FY27</v>
      </c>
      <c r="AN475" s="4" t="str">
        <f>IFERROR(__xludf.DUMMYFUNCTION("""COMPUTED_VALUE"""),"Comer Fora")</f>
        <v>Comer Fora</v>
      </c>
      <c r="AO475" s="4">
        <f>IFERROR(__xludf.DUMMYFUNCTION("""COMPUTED_VALUE"""),115.0)</f>
        <v>115</v>
      </c>
      <c r="AP475" s="4" t="str">
        <f>IFERROR(__xludf.DUMMYFUNCTION("""COMPUTED_VALUE"""),"SP")</f>
        <v>SP</v>
      </c>
      <c r="AQ475" s="4" t="str">
        <f>IFERROR(__xludf.DUMMYFUNCTION("""COMPUTED_VALUE"""),"GABRIEL BISPO")</f>
        <v>GABRIEL BISPO</v>
      </c>
      <c r="AR475" s="4" t="str">
        <f>IFERROR(__xludf.DUMMYFUNCTION("""COMPUTED_VALUE"""),"GOMES ALINE")</f>
        <v>GOMES ALINE</v>
      </c>
      <c r="AS475" s="4" t="str">
        <f>IFERROR(__xludf.DUMMYFUNCTION("""COMPUTED_VALUE"""),"NATHALIE MERTENS")</f>
        <v>NATHALIE MERTENS</v>
      </c>
      <c r="AT475" s="4" t="str">
        <f>IFERROR(__xludf.DUMMYFUNCTION("""COMPUTED_VALUE"""),"MARIANA KATZ")</f>
        <v>MARIANA KATZ</v>
      </c>
      <c r="AU475" s="4" t="str">
        <f>IFERROR(__xludf.DUMMYFUNCTION("""COMPUTED_VALUE"""),"Diego")</f>
        <v>Diego</v>
      </c>
      <c r="AV475" s="4" t="str">
        <f>IFERROR(__xludf.DUMMYFUNCTION("""COMPUTED_VALUE"""),"Comer Fora-")</f>
        <v>Comer Fora-</v>
      </c>
      <c r="AW475" s="20" t="str">
        <f>IFERROR(__xludf.DUMMYFUNCTION("""COMPUTED_VALUE"""),"P e M - pipe")</f>
        <v>P e M - pipe</v>
      </c>
      <c r="AX475" s="4"/>
      <c r="AY475" s="4"/>
      <c r="AZ475" s="4" t="str">
        <f>IFERROR(__xludf.DUMMYFUNCTION("""COMPUTED_VALUE"""),"Japonesa")</f>
        <v>Japonesa</v>
      </c>
      <c r="BA475" s="4" t="str">
        <f>IFERROR(__xludf.DUMMYFUNCTION("""COMPUTED_VALUE"""),"Dado não disponível publicamente - Necessário Discovery")</f>
        <v>Dado não disponível publicamente - Necessário Discovery</v>
      </c>
      <c r="BB475" s="4" t="str">
        <f>IFERROR(__xludf.DUMMYFUNCTION("""COMPUTED_VALUE"""),"Japonês Premium / Table Service + Delivery (São Paulo)")</f>
        <v>Japonês Premium / Table Service + Delivery (São Paulo)</v>
      </c>
      <c r="BC475" s="4" t="str">
        <f>IFERROR(__xludf.DUMMYFUNCTION("""COMPUTED_VALUE"""),"São Paulo (Itaim, Jardins, Tatuapé, Morumbi, Vila Leopoldina)")</f>
        <v>São Paulo (Itaim, Jardins, Tatuapé, Morumbi, Vila Leopoldina)</v>
      </c>
      <c r="BD475" s="4" t="str">
        <f>IFERROR(__xludf.DUMMYFUNCTION("""COMPUTED_VALUE"""),"R$ 80-130")</f>
        <v>R$ 80-130</v>
      </c>
      <c r="BE475" s="4">
        <f>IFERROR(__xludf.DUMMYFUNCTION("""COMPUTED_VALUE"""),35.0)</f>
        <v>35</v>
      </c>
      <c r="BF475" s="4">
        <f>IFERROR(__xludf.DUMMYFUNCTION("""COMPUTED_VALUE"""),0.4)</f>
        <v>0.4</v>
      </c>
      <c r="BG475" s="4" t="str">
        <f>IFERROR(__xludf.DUMMYFUNCTION("""COMPUTED_VALUE"""),"Japonês premium 5 unidades SP. Forte delivery mas perfil premium limita aderência Kiosk. Integração delivery é oportunidade.")</f>
        <v>Japonês premium 5 unidades SP. Forte delivery mas perfil premium limita aderência Kiosk. Integração delivery é oportunidade.</v>
      </c>
      <c r="BH475" s="4" t="s">
        <v>118</v>
      </c>
      <c r="BI475" s="7">
        <v>0.9090909090909091</v>
      </c>
    </row>
    <row r="476" hidden="1">
      <c r="A476" s="4" t="str">
        <f>IFERROR(__xludf.DUMMYFUNCTION("""COMPUTED_VALUE"""),"Seto Culinaria - Marca")</f>
        <v>Seto Culinaria - Marca</v>
      </c>
      <c r="B476" s="4" t="str">
        <f>IFERROR(__xludf.DUMMYFUNCTION("""COMPUTED_VALUE"""),"Lídia Esteves")</f>
        <v>Lídia Esteves</v>
      </c>
      <c r="C476" s="4" t="str">
        <f>IFERROR(__xludf.DUMMYFUNCTION("""COMPUTED_VALUE"""),"Gabriela Roma")</f>
        <v>Gabriela Roma</v>
      </c>
      <c r="D476" s="4" t="str">
        <f>IFERROR(__xludf.DUMMYFUNCTION("""COMPUTED_VALUE"""),"10. Perdido")</f>
        <v>10. Perdido</v>
      </c>
      <c r="E476" s="4" t="str">
        <f>IFERROR(__xludf.DUMMYFUNCTION("""COMPUTED_VALUE"""),"Perdido - Outro (detalhar ao lado)")</f>
        <v>Perdido - Outro (detalhar ao lado)</v>
      </c>
      <c r="F476" s="4" t="str">
        <f>IFERROR(__xludf.DUMMYFUNCTION("""COMPUTED_VALUE"""),"P")</f>
        <v>P</v>
      </c>
      <c r="G476" s="5">
        <f>IFERROR(__xludf.DUMMYFUNCTION("""COMPUTED_VALUE"""),46062.0)</f>
        <v>46062</v>
      </c>
      <c r="H476" s="4" t="str">
        <f>IFERROR(__xludf.DUMMYFUNCTION("""COMPUTED_VALUE"""),"tem perfil saipos, tem operação no salao muito enxuta e mais problemas em gerenciar delivery, mas querem ver a demo")</f>
        <v>tem perfil saipos, tem operação no salao muito enxuta e mais problemas em gerenciar delivery, mas querem ver a demo</v>
      </c>
      <c r="I476" s="4"/>
      <c r="J476" s="4"/>
      <c r="K476" s="6">
        <f>IFERROR(__xludf.DUMMYFUNCTION("""COMPUTED_VALUE"""),46058.0)</f>
        <v>46058</v>
      </c>
      <c r="L476" s="6">
        <f>IFERROR(__xludf.DUMMYFUNCTION("""COMPUTED_VALUE"""),46062.47584991898)</f>
        <v>46062.47585</v>
      </c>
      <c r="M476" s="4"/>
      <c r="N476" s="4"/>
      <c r="O476" s="4"/>
      <c r="P476" s="4"/>
      <c r="Q476" s="4"/>
      <c r="R476" s="6">
        <f>IFERROR(__xludf.DUMMYFUNCTION("""COMPUTED_VALUE"""),46154.44401025463)</f>
        <v>46154.44401</v>
      </c>
      <c r="S476" s="4"/>
      <c r="T476" s="4"/>
      <c r="U476" s="4"/>
      <c r="V476" s="4" t="str">
        <f>IFERROR(__xludf.DUMMYFUNCTION("""COMPUTED_VALUE"""),"Sem perfil 3S - Perfil Saipos")</f>
        <v>Sem perfil 3S - Perfil Saipos</v>
      </c>
      <c r="W476" s="4"/>
      <c r="X476" s="4"/>
      <c r="Y476" s="4"/>
      <c r="Z476" s="4"/>
      <c r="AA476" s="4">
        <f>IFERROR(__xludf.DUMMYFUNCTION("""COMPUTED_VALUE"""),1.0)</f>
        <v>1</v>
      </c>
      <c r="AB476" s="4" t="str">
        <f>IFERROR(__xludf.DUMMYFUNCTION("""COMPUTED_VALUE"""),"-")</f>
        <v>-</v>
      </c>
      <c r="AC476" s="4" t="str">
        <f>IFERROR(__xludf.DUMMYFUNCTION("""COMPUTED_VALUE"""),"-")</f>
        <v>-</v>
      </c>
      <c r="AD476" s="4"/>
      <c r="AE476" s="4"/>
      <c r="AF476" s="4"/>
      <c r="AG476" s="4"/>
      <c r="AH476" s="4"/>
      <c r="AI476" s="4"/>
      <c r="AJ476" s="4"/>
      <c r="AK476" s="4"/>
      <c r="AL476" s="4"/>
      <c r="AM476" s="4" t="str">
        <f>IFERROR(__xludf.DUMMYFUNCTION("""COMPUTED_VALUE"""),"FY26, FY27")</f>
        <v>FY26, FY27</v>
      </c>
      <c r="AN476" s="4"/>
      <c r="AO476" s="4">
        <f>IFERROR(__xludf.DUMMYFUNCTION("""COMPUTED_VALUE"""),154.0)</f>
        <v>154</v>
      </c>
      <c r="AP476" s="4" t="str">
        <f>IFERROR(__xludf.DUMMYFUNCTION("""COMPUTED_VALUE"""),"PR")</f>
        <v>PR</v>
      </c>
      <c r="AQ476" s="4" t="str">
        <f>IFERROR(__xludf.DUMMYFUNCTION("""COMPUTED_VALUE"""),"BRUNA MONTEZIN")</f>
        <v>BRUNA MONTEZIN</v>
      </c>
      <c r="AR476" s="4" t="str">
        <f>IFERROR(__xludf.DUMMYFUNCTION("""COMPUTED_VALUE"""),"TULIO VICARI")</f>
        <v>TULIO VICARI</v>
      </c>
      <c r="AS476" s="4" t="str">
        <f>IFERROR(__xludf.DUMMYFUNCTION("""COMPUTED_VALUE"""),"FABIO DONATO")</f>
        <v>FABIO DONATO</v>
      </c>
      <c r="AT476" s="4" t="str">
        <f>IFERROR(__xludf.DUMMYFUNCTION("""COMPUTED_VALUE"""),"MURILO NAGASHIMA")</f>
        <v>MURILO NAGASHIMA</v>
      </c>
      <c r="AU476" s="4" t="str">
        <f>IFERROR(__xludf.DUMMYFUNCTION("""COMPUTED_VALUE"""),"Lídia / Emerson")</f>
        <v>Lídia / Emerson</v>
      </c>
      <c r="AV476" s="4">
        <f>IFERROR(__xludf.DUMMYFUNCTION("""COMPUTED_VALUE"""),0.0)</f>
        <v>0</v>
      </c>
      <c r="AW476" s="4">
        <f>IFERROR(__xludf.DUMMYFUNCTION("""COMPUTED_VALUE"""),0.0)</f>
        <v>0</v>
      </c>
      <c r="AX476" s="4">
        <f>IFERROR(__xludf.DUMMYFUNCTION("""COMPUTED_VALUE"""),0.0)</f>
        <v>0</v>
      </c>
      <c r="AY476" s="4"/>
      <c r="AZ476" s="4" t="str">
        <f>IFERROR(__xludf.DUMMYFUNCTION("""COMPUTED_VALUE"""),"Brasileira")</f>
        <v>Brasileira</v>
      </c>
      <c r="BA476" s="4" t="str">
        <f>IFERROR(__xludf.DUMMYFUNCTION("""COMPUTED_VALUE"""),"")</f>
        <v/>
      </c>
      <c r="BB476" s="4" t="str">
        <f>IFERROR(__xludf.DUMMYFUNCTION("""COMPUTED_VALUE"""),"")</f>
        <v/>
      </c>
      <c r="BC476" s="4" t="str">
        <f>IFERROR(__xludf.DUMMYFUNCTION("""COMPUTED_VALUE"""),"")</f>
        <v/>
      </c>
      <c r="BD476" s="4" t="str">
        <f>IFERROR(__xludf.DUMMYFUNCTION("""COMPUTED_VALUE"""),"")</f>
        <v/>
      </c>
      <c r="BE476" s="4" t="str">
        <f>IFERROR(__xludf.DUMMYFUNCTION("""COMPUTED_VALUE"""),"")</f>
        <v/>
      </c>
      <c r="BF476" s="4" t="str">
        <f>IFERROR(__xludf.DUMMYFUNCTION("""COMPUTED_VALUE"""),"")</f>
        <v/>
      </c>
      <c r="BG476" s="4" t="str">
        <f>IFERROR(__xludf.DUMMYFUNCTION("""COMPUTED_VALUE"""),"")</f>
        <v/>
      </c>
      <c r="BH476" s="4" t="s">
        <v>63</v>
      </c>
      <c r="BI476" s="7" t="s">
        <v>63</v>
      </c>
    </row>
    <row r="477" hidden="1">
      <c r="A477" s="4" t="str">
        <f>IFERROR(__xludf.DUMMYFUNCTION("""COMPUTED_VALUE"""),"Si Senor")</f>
        <v>Si Senor</v>
      </c>
      <c r="B477" s="4" t="str">
        <f>IFERROR(__xludf.DUMMYFUNCTION("""COMPUTED_VALUE"""),"João Biagiotti")</f>
        <v>João Biagiotti</v>
      </c>
      <c r="C477" s="4" t="str">
        <f>IFERROR(__xludf.DUMMYFUNCTION("""COMPUTED_VALUE"""),"Diego Santos")</f>
        <v>Diego Santos</v>
      </c>
      <c r="D477" s="4" t="str">
        <f>IFERROR(__xludf.DUMMYFUNCTION("""COMPUTED_VALUE"""),"6. Negociação")</f>
        <v>6. Negociação</v>
      </c>
      <c r="E477" s="4" t="str">
        <f>IFERROR(__xludf.DUMMYFUNCTION("""COMPUTED_VALUE"""),"Comercial - Primeira reunião / Visita presencial agendada")</f>
        <v>Comercial - Primeira reunião / Visita presencial agendada</v>
      </c>
      <c r="F477" s="4" t="str">
        <f>IFERROR(__xludf.DUMMYFUNCTION("""COMPUTED_VALUE"""),"P")</f>
        <v>P</v>
      </c>
      <c r="G477" s="23">
        <f>IFERROR(__xludf.DUMMYFUNCTION("""COMPUTED_VALUE"""),46155.0)</f>
        <v>46155</v>
      </c>
      <c r="H477" s="4" t="str">
        <f>IFERROR(__xludf.DUMMYFUNCTION("""COMPUTED_VALUE"""),"Estamos negociando proposta em paralelo com visita presencial em nossos parceiros com o lead. Temos visita em 14/05")</f>
        <v>Estamos negociando proposta em paralelo com visita presencial em nossos parceiros com o lead. Temos visita em 14/05</v>
      </c>
      <c r="I477" s="6">
        <f>IFERROR(__xludf.DUMMYFUNCTION("""COMPUTED_VALUE"""),46120.5565740625)</f>
        <v>46120.55657</v>
      </c>
      <c r="J477" s="6">
        <f>IFERROR(__xludf.DUMMYFUNCTION("""COMPUTED_VALUE"""),46120.55662376157)</f>
        <v>46120.55662</v>
      </c>
      <c r="K477" s="6">
        <f>IFERROR(__xludf.DUMMYFUNCTION("""COMPUTED_VALUE"""),46120.55784631944)</f>
        <v>46120.55785</v>
      </c>
      <c r="L477" s="6">
        <f>IFERROR(__xludf.DUMMYFUNCTION("""COMPUTED_VALUE"""),46127.637163125)</f>
        <v>46127.63716</v>
      </c>
      <c r="M477" s="6">
        <f>IFERROR(__xludf.DUMMYFUNCTION("""COMPUTED_VALUE"""),46127.637891562495)</f>
        <v>46127.63789</v>
      </c>
      <c r="N477" s="6">
        <f>IFERROR(__xludf.DUMMYFUNCTION("""COMPUTED_VALUE"""),46155.513768668985)</f>
        <v>46155.51377</v>
      </c>
      <c r="O477" s="4"/>
      <c r="P477" s="4"/>
      <c r="Q477" s="4"/>
      <c r="R477" s="4"/>
      <c r="S477" s="4"/>
      <c r="T477" s="4"/>
      <c r="U477" s="4"/>
      <c r="V477" s="4"/>
      <c r="W477" s="4"/>
      <c r="X477" s="4"/>
      <c r="Y477" s="4"/>
      <c r="Z477" s="4"/>
      <c r="AA477" s="4">
        <f>IFERROR(__xludf.DUMMYFUNCTION("""COMPUTED_VALUE"""),21.0)</f>
        <v>21</v>
      </c>
      <c r="AB477" s="4" t="str">
        <f>IFERROR(__xludf.DUMMYFUNCTION("""COMPUTED_VALUE"""),"NÃO")</f>
        <v>NÃO</v>
      </c>
      <c r="AC477" s="4" t="str">
        <f>IFERROR(__xludf.DUMMYFUNCTION("""COMPUTED_VALUE"""),"BP")</f>
        <v>BP</v>
      </c>
      <c r="AD477" s="4"/>
      <c r="AE477" s="4"/>
      <c r="AF477" s="4"/>
      <c r="AG477" s="4"/>
      <c r="AH477" s="4">
        <f>IFERROR(__xludf.DUMMYFUNCTION("""COMPUTED_VALUE"""),12.0)</f>
        <v>12</v>
      </c>
      <c r="AI477" s="4" t="str">
        <f>IFERROR(__xludf.DUMMYFUNCTION("""COMPUTED_VALUE"""),"838K")</f>
        <v>838K</v>
      </c>
      <c r="AJ477" s="4" t="str">
        <f>IFERROR(__xludf.DUMMYFUNCTION("""COMPUTED_VALUE"""),"Colibri")</f>
        <v>Colibri</v>
      </c>
      <c r="AK477" s="4" t="str">
        <f>IFERROR(__xludf.DUMMYFUNCTION("""COMPUTED_VALUE"""),"Salão / Delivery")</f>
        <v>Salão / Delivery</v>
      </c>
      <c r="AL477" s="4" t="str">
        <f>IFERROR(__xludf.DUMMYFUNCTION("""COMPUTED_VALUE"""),"SIM")</f>
        <v>SIM</v>
      </c>
      <c r="AM477" s="4" t="str">
        <f>IFERROR(__xludf.DUMMYFUNCTION("""COMPUTED_VALUE"""),"FY26, FY27")</f>
        <v>FY26, FY27</v>
      </c>
      <c r="AN477" s="4" t="str">
        <f>IFERROR(__xludf.DUMMYFUNCTION("""COMPUTED_VALUE"""),"Comer Fora")</f>
        <v>Comer Fora</v>
      </c>
      <c r="AO477" s="4">
        <f>IFERROR(__xludf.DUMMYFUNCTION("""COMPUTED_VALUE"""),60.0)</f>
        <v>60</v>
      </c>
      <c r="AP477" s="4" t="str">
        <f>IFERROR(__xludf.DUMMYFUNCTION("""COMPUTED_VALUE"""),"SP")</f>
        <v>SP</v>
      </c>
      <c r="AQ477" s="4" t="str">
        <f>IFERROR(__xludf.DUMMYFUNCTION("""COMPUTED_VALUE"""),"JULIA TAKEMOTO")</f>
        <v>JULIA TAKEMOTO</v>
      </c>
      <c r="AR477" s="4" t="str">
        <f>IFERROR(__xludf.DUMMYFUNCTION("""COMPUTED_VALUE"""),"CAROLINA DOURADO")</f>
        <v>CAROLINA DOURADO</v>
      </c>
      <c r="AS477" s="4" t="str">
        <f>IFERROR(__xludf.DUMMYFUNCTION("""COMPUTED_VALUE"""),"NATHALIE MERTENS")</f>
        <v>NATHALIE MERTENS</v>
      </c>
      <c r="AT477" s="4" t="str">
        <f>IFERROR(__xludf.DUMMYFUNCTION("""COMPUTED_VALUE"""),"MARIANA KATZ")</f>
        <v>MARIANA KATZ</v>
      </c>
      <c r="AU477" s="4" t="str">
        <f>IFERROR(__xludf.DUMMYFUNCTION("""COMPUTED_VALUE"""),"Emerson")</f>
        <v>Emerson</v>
      </c>
      <c r="AV477" s="4" t="str">
        <f>IFERROR(__xludf.DUMMYFUNCTION("""COMPUTED_VALUE"""),"Comer Fora-")</f>
        <v>Comer Fora-</v>
      </c>
      <c r="AW477" s="20" t="str">
        <f>IFERROR(__xludf.DUMMYFUNCTION("""COMPUTED_VALUE"""),"P e M - pipe")</f>
        <v>P e M - pipe</v>
      </c>
      <c r="AX477" s="4"/>
      <c r="AY477" s="4"/>
      <c r="AZ477" s="4" t="str">
        <f>IFERROR(__xludf.DUMMYFUNCTION("""COMPUTED_VALUE"""),"Mexicana")</f>
        <v>Mexicana</v>
      </c>
      <c r="BA477" s="4" t="str">
        <f>IFERROR(__xludf.DUMMYFUNCTION("""COMPUTED_VALUE"""),"Dado não disponível publicamente - Necessário Discovery (Dado 2019: 20 unidades)")</f>
        <v>Dado não disponível publicamente - Necessário Discovery (Dado 2019: 20 unidades)</v>
      </c>
      <c r="BB477" s="4" t="str">
        <f>IFERROR(__xludf.DUMMYFUNCTION("""COMPUTED_VALUE"""),"Mexicano Fast Casual / Shopping (São Paulo e Minas Gerais)")</f>
        <v>Mexicano Fast Casual / Shopping (São Paulo e Minas Gerais)</v>
      </c>
      <c r="BC477" s="4" t="str">
        <f>IFERROR(__xludf.DUMMYFUNCTION("""COMPUTED_VALUE"""),"São Paulo e Minas Gerais (expansão shopping centers)")</f>
        <v>São Paulo e Minas Gerais (expansão shopping centers)</v>
      </c>
      <c r="BD477" s="4" t="str">
        <f>IFERROR(__xludf.DUMMYFUNCTION("""COMPUTED_VALUE"""),"R$ 40-65")</f>
        <v>R$ 40-65</v>
      </c>
      <c r="BE477" s="4">
        <f>IFERROR(__xludf.DUMMYFUNCTION("""COMPUTED_VALUE"""),60.0)</f>
        <v>60</v>
      </c>
      <c r="BF477" s="4">
        <f>IFERROR(__xludf.DUMMYFUNCTION("""COMPUTED_VALUE"""),0.65)</f>
        <v>0.65</v>
      </c>
      <c r="BG477" s="4" t="str">
        <f>IFERROR(__xludf.DUMMYFUNCTION("""COMPUTED_VALUE"""),"Rede regional 20 lojas mexicano. Shopping = alto fluxo. Kiosk customização tacos/burritos + E-DEPLOY. Boa aderência.")</f>
        <v>Rede regional 20 lojas mexicano. Shopping = alto fluxo. Kiosk customização tacos/burritos + E-DEPLOY. Boa aderência.</v>
      </c>
      <c r="BH477" s="4" t="s">
        <v>74</v>
      </c>
      <c r="BI477" s="7">
        <v>0.7857142857142857</v>
      </c>
    </row>
    <row r="478">
      <c r="A478" s="4" t="str">
        <f>IFERROR(__xludf.DUMMYFUNCTION("""COMPUTED_VALUE"""),"Sorvetes Frosty")</f>
        <v>Sorvetes Frosty</v>
      </c>
      <c r="B478" s="4" t="str">
        <f>IFERROR(__xludf.DUMMYFUNCTION("""COMPUTED_VALUE"""),"Leonardo Roso")</f>
        <v>Leonardo Roso</v>
      </c>
      <c r="C478" s="4" t="str">
        <f>IFERROR(__xludf.DUMMYFUNCTION("""COMPUTED_VALUE"""),"Leonardo Roso")</f>
        <v>Leonardo Roso</v>
      </c>
      <c r="D478" s="4" t="str">
        <f>IFERROR(__xludf.DUMMYFUNCTION("""COMPUTED_VALUE"""),"11. Stand by")</f>
        <v>11. Stand by</v>
      </c>
      <c r="E478" s="4" t="str">
        <f>IFERROR(__xludf.DUMMYFUNCTION("""COMPUTED_VALUE"""),"Parceiro - Aguardando retorno / Conciliação agenda")</f>
        <v>Parceiro - Aguardando retorno / Conciliação agenda</v>
      </c>
      <c r="F478" s="4" t="str">
        <f>IFERROR(__xludf.DUMMYFUNCTION("""COMPUTED_VALUE"""),"G")</f>
        <v>G</v>
      </c>
      <c r="G478" s="5">
        <f>IFERROR(__xludf.DUMMYFUNCTION("""COMPUTED_VALUE"""),46076.0)</f>
        <v>46076</v>
      </c>
      <c r="H478" s="4" t="str">
        <f>IFERROR(__xludf.DUMMYFUNCTION("""COMPUTED_VALUE"""),"Mudou de solução em Set/25, sem interesse em mudar agora.")</f>
        <v>Mudou de solução em Set/25, sem interesse em mudar agora.</v>
      </c>
      <c r="I478" s="4"/>
      <c r="J478" s="4"/>
      <c r="K478" s="6">
        <f>IFERROR(__xludf.DUMMYFUNCTION("""COMPUTED_VALUE"""),45943.0)</f>
        <v>45943</v>
      </c>
      <c r="L478" s="4"/>
      <c r="M478" s="4"/>
      <c r="N478" s="4"/>
      <c r="O478" s="4"/>
      <c r="P478" s="4"/>
      <c r="Q478" s="4"/>
      <c r="R478" s="4"/>
      <c r="S478" s="6">
        <f>IFERROR(__xludf.DUMMYFUNCTION("""COMPUTED_VALUE"""),46077.56440746528)</f>
        <v>46077.56441</v>
      </c>
      <c r="T478" s="4"/>
      <c r="U478" s="4"/>
      <c r="V478" s="4" t="str">
        <f>IFERROR(__xludf.DUMMYFUNCTION("""COMPUTED_VALUE"""),"Fechou com concorrente há pouco tempo")</f>
        <v>Fechou com concorrente há pouco tempo</v>
      </c>
      <c r="W478" s="4"/>
      <c r="X478" s="4"/>
      <c r="Y478" s="4"/>
      <c r="Z478" s="4"/>
      <c r="AA478" s="4">
        <f>IFERROR(__xludf.DUMMYFUNCTION("""COMPUTED_VALUE"""),100.0)</f>
        <v>100</v>
      </c>
      <c r="AB478" s="4" t="str">
        <f>IFERROR(__xludf.DUMMYFUNCTION("""COMPUTED_VALUE"""),"NÃO")</f>
        <v>NÃO</v>
      </c>
      <c r="AC478" s="4" t="str">
        <f>IFERROR(__xludf.DUMMYFUNCTION("""COMPUTED_VALUE"""),"BP")</f>
        <v>BP</v>
      </c>
      <c r="AD478" s="4"/>
      <c r="AE478" s="4"/>
      <c r="AF478" s="4"/>
      <c r="AG478" s="4"/>
      <c r="AH478" s="4"/>
      <c r="AI478" s="4"/>
      <c r="AJ478" s="4"/>
      <c r="AK478" s="4"/>
      <c r="AL478" s="4"/>
      <c r="AM478" s="4" t="str">
        <f>IFERROR(__xludf.DUMMYFUNCTION("""COMPUTED_VALUE"""),"FY26, FY27")</f>
        <v>FY26, FY27</v>
      </c>
      <c r="AN478" s="4"/>
      <c r="AO478" s="4">
        <f>IFERROR(__xludf.DUMMYFUNCTION("""COMPUTED_VALUE"""),140.0)</f>
        <v>140</v>
      </c>
      <c r="AP478" s="4" t="str">
        <f>IFERROR(__xludf.DUMMYFUNCTION("""COMPUTED_VALUE"""),"PA")</f>
        <v>PA</v>
      </c>
      <c r="AQ478" s="4" t="str">
        <f>IFERROR(__xludf.DUMMYFUNCTION("""COMPUTED_VALUE"""),"ANDRE CATENASSI")</f>
        <v>ANDRE CATENASSI</v>
      </c>
      <c r="AR478" s="4" t="str">
        <f>IFERROR(__xludf.DUMMYFUNCTION("""COMPUTED_VALUE"""),"PAMELA MIRANDA")</f>
        <v>PAMELA MIRANDA</v>
      </c>
      <c r="AS478" s="4" t="str">
        <f>IFERROR(__xludf.DUMMYFUNCTION("""COMPUTED_VALUE"""),"ISABELA GOULART")</f>
        <v>ISABELA GOULART</v>
      </c>
      <c r="AT478" s="4" t="str">
        <f>IFERROR(__xludf.DUMMYFUNCTION("""COMPUTED_VALUE"""),"ANDRE CATENASSI")</f>
        <v>ANDRE CATENASSI</v>
      </c>
      <c r="AU478" s="4" t="str">
        <f>IFERROR(__xludf.DUMMYFUNCTION("""COMPUTED_VALUE"""),"Leonardo Roso")</f>
        <v>Leonardo Roso</v>
      </c>
      <c r="AV478" s="4">
        <f>IFERROR(__xludf.DUMMYFUNCTION("""COMPUTED_VALUE"""),0.0)</f>
        <v>0</v>
      </c>
      <c r="AW478" s="4">
        <f>IFERROR(__xludf.DUMMYFUNCTION("""COMPUTED_VALUE"""),0.0)</f>
        <v>0</v>
      </c>
      <c r="AX478" s="4">
        <f>IFERROR(__xludf.DUMMYFUNCTION("""COMPUTED_VALUE"""),0.0)</f>
        <v>0</v>
      </c>
      <c r="AY478" s="4"/>
      <c r="AZ478" s="4" t="str">
        <f>IFERROR(__xludf.DUMMYFUNCTION("""COMPUTED_VALUE"""),"Açaí; Sorvetes")</f>
        <v>Açaí; Sorvetes</v>
      </c>
      <c r="BA478" s="4" t="str">
        <f>IFERROR(__xludf.DUMMYFUNCTION("""COMPUTED_VALUE"""),"Dado não disponível publicamente - Investimento R$ 20M em 2026 (+60 lojas, meta 200 total)")</f>
        <v>Dado não disponível publicamente - Investimento R$ 20M em 2026 (+60 lojas, meta 200 total)</v>
      </c>
      <c r="BB478" s="4" t="str">
        <f>IFERROR(__xludf.DUMMYFUNCTION("""COMPUTED_VALUE"""),"QSR / Sorvetes Domésticos (Líder Nordeste - 7 estados Norte/Nordeste)")</f>
        <v>QSR / Sorvetes Domésticos (Líder Nordeste - 7 estados Norte/Nordeste)</v>
      </c>
      <c r="BC478" s="4" t="str">
        <f>IFERROR(__xludf.DUMMYFUNCTION("""COMPUTED_VALUE"""),"Norte/Nordeste (CE, MA, PI, RN, PB, PE, PA - 140 lojas → meta 200 fim 2026)")</f>
        <v>Norte/Nordeste (CE, MA, PI, RN, PB, PE, PA - 140 lojas → meta 200 fim 2026)</v>
      </c>
      <c r="BD478" s="4" t="str">
        <f>IFERROR(__xludf.DUMMYFUNCTION("""COMPUTED_VALUE"""),"R$ 12-25")</f>
        <v>R$ 12-25</v>
      </c>
      <c r="BE478" s="4">
        <f>IFERROR(__xludf.DUMMYFUNCTION("""COMPUTED_VALUE"""),80.0)</f>
        <v>80</v>
      </c>
      <c r="BF478" s="4">
        <f>IFERROR(__xludf.DUMMYFUNCTION("""COMPUTED_VALUE"""),0.85)</f>
        <v>0.85</v>
      </c>
      <c r="BG478" s="4" t="str">
        <f>IFERROR(__xludf.DUMMYFUNCTION("""COMPUTED_VALUE"""),"Rede consolidada 140→200 lojas. Líder Nordeste sorvete doméstico. Expansão agressiva +60 lojas 2026 = urgência E-DEPLOY. Alta aderência.")</f>
        <v>Rede consolidada 140→200 lojas. Líder Nordeste sorvete doméstico. Expansão agressiva +60 lojas 2026 = urgência E-DEPLOY. Alta aderência.</v>
      </c>
      <c r="BH478" s="4" t="s">
        <v>63</v>
      </c>
      <c r="BI478" s="7" t="s">
        <v>63</v>
      </c>
    </row>
    <row r="479" hidden="1">
      <c r="A479" s="4" t="str">
        <f>IFERROR(__xludf.DUMMYFUNCTION("""COMPUTED_VALUE"""),"Spedini Curitiba")</f>
        <v>Spedini Curitiba</v>
      </c>
      <c r="B479" s="4" t="str">
        <f>IFERROR(__xludf.DUMMYFUNCTION("""COMPUTED_VALUE"""),"Emerson")</f>
        <v>Emerson</v>
      </c>
      <c r="C479" s="4" t="str">
        <f>IFERROR(__xludf.DUMMYFUNCTION("""COMPUTED_VALUE"""),"Emerson")</f>
        <v>Emerson</v>
      </c>
      <c r="D479" s="4" t="str">
        <f>IFERROR(__xludf.DUMMYFUNCTION("""COMPUTED_VALUE"""),"0. Não Iniciado")</f>
        <v>0. Não Iniciado</v>
      </c>
      <c r="E479" s="4"/>
      <c r="F479" s="4" t="str">
        <f>IFERROR(__xludf.DUMMYFUNCTION("""COMPUTED_VALUE"""),"M")</f>
        <v>M</v>
      </c>
      <c r="G479" s="4"/>
      <c r="H479" s="4"/>
      <c r="I479" s="4"/>
      <c r="J479" s="4"/>
      <c r="K479" s="4"/>
      <c r="L479" s="4"/>
      <c r="M479" s="4"/>
      <c r="N479" s="4"/>
      <c r="O479" s="4"/>
      <c r="P479" s="4"/>
      <c r="Q479" s="4"/>
      <c r="R479" s="4"/>
      <c r="S479" s="4"/>
      <c r="T479" s="4"/>
      <c r="U479" s="4"/>
      <c r="V479" s="4"/>
      <c r="W479" s="4"/>
      <c r="X479" s="4"/>
      <c r="Y479" s="4"/>
      <c r="Z479" s="4"/>
      <c r="AA479" s="4">
        <f>IFERROR(__xludf.DUMMYFUNCTION("""COMPUTED_VALUE"""),43.0)</f>
        <v>43</v>
      </c>
      <c r="AB479" s="4" t="str">
        <f>IFERROR(__xludf.DUMMYFUNCTION("""COMPUTED_VALUE"""),"-")</f>
        <v>-</v>
      </c>
      <c r="AC479" s="4" t="str">
        <f>IFERROR(__xludf.DUMMYFUNCTION("""COMPUTED_VALUE"""),"-")</f>
        <v>-</v>
      </c>
      <c r="AD479" s="4"/>
      <c r="AE479" s="4"/>
      <c r="AF479" s="4"/>
      <c r="AG479" s="4"/>
      <c r="AH479" s="4"/>
      <c r="AI479" s="4"/>
      <c r="AJ479" s="4"/>
      <c r="AK479" s="4"/>
      <c r="AL479" s="4"/>
      <c r="AM479" s="4" t="str">
        <f>IFERROR(__xludf.DUMMYFUNCTION("""COMPUTED_VALUE"""),"FY26, FY27")</f>
        <v>FY26, FY27</v>
      </c>
      <c r="AN479" s="4"/>
      <c r="AO479" s="4">
        <f>IFERROR(__xludf.DUMMYFUNCTION("""COMPUTED_VALUE"""),45553.0)</f>
        <v>45553</v>
      </c>
      <c r="AP479" s="4">
        <f>IFERROR(__xludf.DUMMYFUNCTION("""COMPUTED_VALUE"""),0.0)</f>
        <v>0</v>
      </c>
      <c r="AQ479" s="4">
        <f>IFERROR(__xludf.DUMMYFUNCTION("""COMPUTED_VALUE"""),0.0)</f>
        <v>0</v>
      </c>
      <c r="AR479" s="4">
        <f>IFERROR(__xludf.DUMMYFUNCTION("""COMPUTED_VALUE"""),0.0)</f>
        <v>0</v>
      </c>
      <c r="AS479" s="4">
        <f>IFERROR(__xludf.DUMMYFUNCTION("""COMPUTED_VALUE"""),0.0)</f>
        <v>0</v>
      </c>
      <c r="AT479" s="4">
        <f>IFERROR(__xludf.DUMMYFUNCTION("""COMPUTED_VALUE"""),0.0)</f>
        <v>0</v>
      </c>
      <c r="AU479" s="4" t="str">
        <f>IFERROR(__xludf.DUMMYFUNCTION("""COMPUTED_VALUE"""),"Lídia / Emerson")</f>
        <v>Lídia / Emerson</v>
      </c>
      <c r="AV479" s="4">
        <f>IFERROR(__xludf.DUMMYFUNCTION("""COMPUTED_VALUE"""),0.0)</f>
        <v>0</v>
      </c>
      <c r="AW479" s="4">
        <f>IFERROR(__xludf.DUMMYFUNCTION("""COMPUTED_VALUE"""),0.0)</f>
        <v>0</v>
      </c>
      <c r="AX479" s="4">
        <f>IFERROR(__xludf.DUMMYFUNCTION("""COMPUTED_VALUE"""),0.0)</f>
        <v>0</v>
      </c>
      <c r="AY479" s="4"/>
      <c r="AZ479" s="4" t="str">
        <f>IFERROR(__xludf.DUMMYFUNCTION("""COMPUTED_VALUE"""),"NA")</f>
        <v>NA</v>
      </c>
      <c r="BA479" s="4" t="str">
        <f>IFERROR(__xludf.DUMMYFUNCTION("""COMPUTED_VALUE"""),"R$ 60 milhões (Grupo Spedini 3 marcas, 31 unidades total)")</f>
        <v>R$ 60 milhões (Grupo Spedini 3 marcas, 31 unidades total)</v>
      </c>
      <c r="BB479" s="4" t="str">
        <f>IFERROR(__xludf.DUMMYFUNCTION("""COMPUTED_VALUE"""),"Fast Casual / Italiana Express Shopping (Spedini 18 lojas Sul/Sudeste)")</f>
        <v>Fast Casual / Italiana Express Shopping (Spedini 18 lojas Sul/Sudeste)</v>
      </c>
      <c r="BC479" s="4" t="str">
        <f>IFERROR(__xludf.DUMMYFUNCTION("""COMPUTED_VALUE"""),"Sul e Sudeste (Curitiba 9-10 lojas + outras regiões)")</f>
        <v>Sul e Sudeste (Curitiba 9-10 lojas + outras regiões)</v>
      </c>
      <c r="BD479" s="4" t="str">
        <f>IFERROR(__xludf.DUMMYFUNCTION("""COMPUTED_VALUE"""),"R$ 40-60")</f>
        <v>R$ 40-60</v>
      </c>
      <c r="BE479" s="4">
        <f>IFERROR(__xludf.DUMMYFUNCTION("""COMPUTED_VALUE"""),60.0)</f>
        <v>60</v>
      </c>
      <c r="BF479" s="4">
        <f>IFERROR(__xludf.DUMMYFUNCTION("""COMPUTED_VALUE"""),0.65)</f>
        <v>0.65</v>
      </c>
      <c r="BG479" s="4" t="str">
        <f>IFERROR(__xludf.DUMMYFUNCTION("""COMPUTED_VALUE"""),"Grupo R$ 60M, Spedini 18 lojas shopping. Fast Casual italiana: Kiosk acelera + E-DEPLOY 18 pontos. Boa aderência.")</f>
        <v>Grupo R$ 60M, Spedini 18 lojas shopping. Fast Casual italiana: Kiosk acelera + E-DEPLOY 18 pontos. Boa aderência.</v>
      </c>
      <c r="BH479" s="4" t="s">
        <v>63</v>
      </c>
      <c r="BI479" s="7" t="s">
        <v>63</v>
      </c>
    </row>
    <row r="480" hidden="1">
      <c r="A480" s="4" t="str">
        <f>IFERROR(__xludf.DUMMYFUNCTION("""COMPUTED_VALUE"""),"Spot")</f>
        <v>Spot</v>
      </c>
      <c r="B480" s="4" t="str">
        <f>IFERROR(__xludf.DUMMYFUNCTION("""COMPUTED_VALUE"""),"Ana")</f>
        <v>Ana</v>
      </c>
      <c r="C480" s="4" t="str">
        <f>IFERROR(__xludf.DUMMYFUNCTION("""COMPUTED_VALUE"""),"Gabriela Roma")</f>
        <v>Gabriela Roma</v>
      </c>
      <c r="D480" s="4" t="str">
        <f>IFERROR(__xludf.DUMMYFUNCTION("""COMPUTED_VALUE"""),"10. Perdido")</f>
        <v>10. Perdido</v>
      </c>
      <c r="E480" s="4" t="str">
        <f>IFERROR(__xludf.DUMMYFUNCTION("""COMPUTED_VALUE"""),"Perdido - Outro (detalhar ao lado)")</f>
        <v>Perdido - Outro (detalhar ao lado)</v>
      </c>
      <c r="F480" s="4" t="str">
        <f>IFERROR(__xludf.DUMMYFUNCTION("""COMPUTED_VALUE"""),"P")</f>
        <v>P</v>
      </c>
      <c r="G480" s="5">
        <f>IFERROR(__xludf.DUMMYFUNCTION("""COMPUTED_VALUE"""),46113.0)</f>
        <v>46113</v>
      </c>
      <c r="H480" s="4" t="str">
        <f>IFERROR(__xludf.DUMMYFUNCTION("""COMPUTED_VALUE"""),"Parceiro optou por seguir com seu pdv e mudar apenas a versão, o novo sistema da Altec. ")</f>
        <v>Parceiro optou por seguir com seu pdv e mudar apenas a versão, o novo sistema da Altec. </v>
      </c>
      <c r="I480" s="4"/>
      <c r="J480" s="6">
        <f>IFERROR(__xludf.DUMMYFUNCTION("""COMPUTED_VALUE"""),46062.72190063658)</f>
        <v>46062.7219</v>
      </c>
      <c r="K480" s="6">
        <f>IFERROR(__xludf.DUMMYFUNCTION("""COMPUTED_VALUE"""),46076.50514663194)</f>
        <v>46076.50515</v>
      </c>
      <c r="L480" s="6">
        <f>IFERROR(__xludf.DUMMYFUNCTION("""COMPUTED_VALUE"""),46083.625459409726)</f>
        <v>46083.62546</v>
      </c>
      <c r="M480" s="6">
        <f>IFERROR(__xludf.DUMMYFUNCTION("""COMPUTED_VALUE"""),46090.476017928246)</f>
        <v>46090.47602</v>
      </c>
      <c r="N480" s="6">
        <f>IFERROR(__xludf.DUMMYFUNCTION("""COMPUTED_VALUE"""),46092.73784920139)</f>
        <v>46092.73785</v>
      </c>
      <c r="O480" s="4"/>
      <c r="P480" s="4"/>
      <c r="Q480" s="4"/>
      <c r="R480" s="6">
        <f>IFERROR(__xludf.DUMMYFUNCTION("""COMPUTED_VALUE"""),46113.60329658564)</f>
        <v>46113.6033</v>
      </c>
      <c r="S480" s="4"/>
      <c r="T480" s="4"/>
      <c r="U480" s="4"/>
      <c r="V480" s="4" t="str">
        <f>IFERROR(__xludf.DUMMYFUNCTION("""COMPUTED_VALUE"""),"Sem interesse em mudar de PDV")</f>
        <v>Sem interesse em mudar de PDV</v>
      </c>
      <c r="W480" s="4"/>
      <c r="X480" s="4"/>
      <c r="Y480" s="4"/>
      <c r="Z480" s="4"/>
      <c r="AA480" s="4">
        <f>IFERROR(__xludf.DUMMYFUNCTION("""COMPUTED_VALUE"""),2.0)</f>
        <v>2</v>
      </c>
      <c r="AB480" s="4" t="str">
        <f>IFERROR(__xludf.DUMMYFUNCTION("""COMPUTED_VALUE"""),"NÃO")</f>
        <v>NÃO</v>
      </c>
      <c r="AC480" s="4" t="str">
        <f>IFERROR(__xludf.DUMMYFUNCTION("""COMPUTED_VALUE"""),"Não BP")</f>
        <v>Não BP</v>
      </c>
      <c r="AD480" s="4"/>
      <c r="AE480" s="4"/>
      <c r="AF480" s="4"/>
      <c r="AG480" s="4"/>
      <c r="AH480" s="4"/>
      <c r="AI480" s="4"/>
      <c r="AJ480" s="4"/>
      <c r="AK480" s="4"/>
      <c r="AL480" s="4"/>
      <c r="AM480" s="4" t="str">
        <f>IFERROR(__xludf.DUMMYFUNCTION("""COMPUTED_VALUE"""),"FY26")</f>
        <v>FY26</v>
      </c>
      <c r="AN480" s="4" t="str">
        <f>IFERROR(__xludf.DUMMYFUNCTION("""COMPUTED_VALUE"""),"Comer Fora")</f>
        <v>Comer Fora</v>
      </c>
      <c r="AO480" s="4">
        <f>IFERROR(__xludf.DUMMYFUNCTION("""COMPUTED_VALUE"""),102.0)</f>
        <v>102</v>
      </c>
      <c r="AP480" s="4" t="str">
        <f>IFERROR(__xludf.DUMMYFUNCTION("""COMPUTED_VALUE"""),"SP")</f>
        <v>SP</v>
      </c>
      <c r="AQ480" s="4" t="str">
        <f>IFERROR(__xludf.DUMMYFUNCTION("""COMPUTED_VALUE"""),"RODRIGO BESSER")</f>
        <v>RODRIGO BESSER</v>
      </c>
      <c r="AR480" s="4" t="str">
        <f>IFERROR(__xludf.DUMMYFUNCTION("""COMPUTED_VALUE"""),"ISABEL MEDEIROS")</f>
        <v>ISABEL MEDEIROS</v>
      </c>
      <c r="AS480" s="4" t="str">
        <f>IFERROR(__xludf.DUMMYFUNCTION("""COMPUTED_VALUE"""),"NATHALIE MERTENS")</f>
        <v>NATHALIE MERTENS</v>
      </c>
      <c r="AT480" s="4" t="str">
        <f>IFERROR(__xludf.DUMMYFUNCTION("""COMPUTED_VALUE"""),"MARIANA KATZ")</f>
        <v>MARIANA KATZ</v>
      </c>
      <c r="AU480" s="4" t="str">
        <f>IFERROR(__xludf.DUMMYFUNCTION("""COMPUTED_VALUE"""),"Ana")</f>
        <v>Ana</v>
      </c>
      <c r="AV480" s="4" t="str">
        <f>IFERROR(__xludf.DUMMYFUNCTION("""COMPUTED_VALUE"""),"Comer Fora-")</f>
        <v>Comer Fora-</v>
      </c>
      <c r="AW480" s="20" t="str">
        <f>IFERROR(__xludf.DUMMYFUNCTION("""COMPUTED_VALUE"""),"P e M - pipe")</f>
        <v>P e M - pipe</v>
      </c>
      <c r="AX480" s="4"/>
      <c r="AY480" s="4"/>
      <c r="AZ480" s="4" t="str">
        <f>IFERROR(__xludf.DUMMYFUNCTION("""COMPUTED_VALUE"""),"Lanches")</f>
        <v>Lanches</v>
      </c>
      <c r="BA480" s="4" t="str">
        <f>IFERROR(__xludf.DUMMYFUNCTION("""COMPUTED_VALUE"""),"")</f>
        <v/>
      </c>
      <c r="BB480" s="4" t="str">
        <f>IFERROR(__xludf.DUMMYFUNCTION("""COMPUTED_VALUE"""),"")</f>
        <v/>
      </c>
      <c r="BC480" s="4" t="str">
        <f>IFERROR(__xludf.DUMMYFUNCTION("""COMPUTED_VALUE"""),"")</f>
        <v/>
      </c>
      <c r="BD480" s="4" t="str">
        <f>IFERROR(__xludf.DUMMYFUNCTION("""COMPUTED_VALUE"""),"")</f>
        <v/>
      </c>
      <c r="BE480" s="4" t="str">
        <f>IFERROR(__xludf.DUMMYFUNCTION("""COMPUTED_VALUE"""),"")</f>
        <v/>
      </c>
      <c r="BF480" s="4" t="str">
        <f>IFERROR(__xludf.DUMMYFUNCTION("""COMPUTED_VALUE"""),"")</f>
        <v/>
      </c>
      <c r="BG480" s="4" t="str">
        <f>IFERROR(__xludf.DUMMYFUNCTION("""COMPUTED_VALUE"""),"")</f>
        <v/>
      </c>
      <c r="BH480" s="4" t="s">
        <v>129</v>
      </c>
      <c r="BI480" s="7">
        <v>1.0</v>
      </c>
    </row>
    <row r="481" hidden="1">
      <c r="A481" s="4" t="str">
        <f>IFERROR(__xludf.DUMMYFUNCTION("""COMPUTED_VALUE"""),"Stefan Behar")</f>
        <v>Stefan Behar</v>
      </c>
      <c r="B481" s="4" t="str">
        <f>IFERROR(__xludf.DUMMYFUNCTION("""COMPUTED_VALUE"""),"João Biagiotti")</f>
        <v>João Biagiotti</v>
      </c>
      <c r="C481" s="4" t="str">
        <f>IFERROR(__xludf.DUMMYFUNCTION("""COMPUTED_VALUE"""),"Diego Santos")</f>
        <v>Diego Santos</v>
      </c>
      <c r="D481" s="4" t="str">
        <f>IFERROR(__xludf.DUMMYFUNCTION("""COMPUTED_VALUE"""),"11. Stand by")</f>
        <v>11. Stand by</v>
      </c>
      <c r="E481" s="4" t="str">
        <f>IFERROR(__xludf.DUMMYFUNCTION("""COMPUTED_VALUE"""),"Parceiro - Sem contato válido / Decisor inacessível")</f>
        <v>Parceiro - Sem contato válido / Decisor inacessível</v>
      </c>
      <c r="F481" s="4" t="str">
        <f>IFERROR(__xludf.DUMMYFUNCTION("""COMPUTED_VALUE"""),"P")</f>
        <v>P</v>
      </c>
      <c r="G481" s="5">
        <f>IFERROR(__xludf.DUMMYFUNCTION("""COMPUTED_VALUE"""),46076.0)</f>
        <v>46076</v>
      </c>
      <c r="H481" s="4" t="str">
        <f>IFERROR(__xludf.DUMMYFUNCTION("""COMPUTED_VALUE"""),"Parceiro critico, sem relaciomento com o time de delivery para agendamento de reunião.")</f>
        <v>Parceiro critico, sem relaciomento com o time de delivery para agendamento de reunião.</v>
      </c>
      <c r="I481" s="4"/>
      <c r="J481" s="6">
        <f>IFERROR(__xludf.DUMMYFUNCTION("""COMPUTED_VALUE"""),46052.433702187496)</f>
        <v>46052.4337</v>
      </c>
      <c r="K481" s="6">
        <f>IFERROR(__xludf.DUMMYFUNCTION("""COMPUTED_VALUE"""),45918.0)</f>
        <v>45918</v>
      </c>
      <c r="L481" s="4"/>
      <c r="M481" s="4"/>
      <c r="N481" s="4"/>
      <c r="O481" s="4"/>
      <c r="P481" s="4"/>
      <c r="Q481" s="4"/>
      <c r="R481" s="4"/>
      <c r="S481" s="6">
        <f>IFERROR(__xludf.DUMMYFUNCTION("""COMPUTED_VALUE"""),46057.64602811342)</f>
        <v>46057.64603</v>
      </c>
      <c r="T481" s="4"/>
      <c r="U481" s="4"/>
      <c r="V481" s="4" t="str">
        <f>IFERROR(__xludf.DUMMYFUNCTION("""COMPUTED_VALUE"""),"Atrito Negociação")</f>
        <v>Atrito Negociação</v>
      </c>
      <c r="W481" s="4"/>
      <c r="X481" s="4"/>
      <c r="Y481" s="4"/>
      <c r="Z481" s="4"/>
      <c r="AA481" s="4">
        <f>IFERROR(__xludf.DUMMYFUNCTION("""COMPUTED_VALUE"""),3.0)</f>
        <v>3</v>
      </c>
      <c r="AB481" s="4" t="str">
        <f>IFERROR(__xludf.DUMMYFUNCTION("""COMPUTED_VALUE"""),"NÃO")</f>
        <v>NÃO</v>
      </c>
      <c r="AC481" s="4" t="str">
        <f>IFERROR(__xludf.DUMMYFUNCTION("""COMPUTED_VALUE"""),"BP")</f>
        <v>BP</v>
      </c>
      <c r="AD481" s="4"/>
      <c r="AE481" s="4"/>
      <c r="AF481" s="4"/>
      <c r="AG481" s="4"/>
      <c r="AH481" s="4"/>
      <c r="AI481" s="4"/>
      <c r="AJ481" s="4"/>
      <c r="AK481" s="4"/>
      <c r="AL481" s="4"/>
      <c r="AM481" s="4" t="str">
        <f>IFERROR(__xludf.DUMMYFUNCTION("""COMPUTED_VALUE"""),"FY26, FY27")</f>
        <v>FY26, FY27</v>
      </c>
      <c r="AN481" s="4" t="str">
        <f>IFERROR(__xludf.DUMMYFUNCTION("""COMPUTED_VALUE"""),"Comer Fora")</f>
        <v>Comer Fora</v>
      </c>
      <c r="AO481" s="4">
        <f>IFERROR(__xludf.DUMMYFUNCTION("""COMPUTED_VALUE"""),140.0)</f>
        <v>140</v>
      </c>
      <c r="AP481" s="4" t="str">
        <f>IFERROR(__xludf.DUMMYFUNCTION("""COMPUTED_VALUE"""),"SP")</f>
        <v>SP</v>
      </c>
      <c r="AQ481" s="4" t="str">
        <f>IFERROR(__xludf.DUMMYFUNCTION("""COMPUTED_VALUE"""),"GABRIEL BISPO")</f>
        <v>GABRIEL BISPO</v>
      </c>
      <c r="AR481" s="4" t="str">
        <f>IFERROR(__xludf.DUMMYFUNCTION("""COMPUTED_VALUE"""),"GABRYELLA ESTEVAO")</f>
        <v>GABRYELLA ESTEVAO</v>
      </c>
      <c r="AS481" s="4" t="str">
        <f>IFERROR(__xludf.DUMMYFUNCTION("""COMPUTED_VALUE"""),"NATHALIE MERTENS")</f>
        <v>NATHALIE MERTENS</v>
      </c>
      <c r="AT481" s="4" t="str">
        <f>IFERROR(__xludf.DUMMYFUNCTION("""COMPUTED_VALUE"""),"MARIANA KATZ")</f>
        <v>MARIANA KATZ</v>
      </c>
      <c r="AU481" s="4" t="str">
        <f>IFERROR(__xludf.DUMMYFUNCTION("""COMPUTED_VALUE"""),"Ana")</f>
        <v>Ana</v>
      </c>
      <c r="AV481" s="4" t="str">
        <f>IFERROR(__xludf.DUMMYFUNCTION("""COMPUTED_VALUE"""),"Comer Fora-")</f>
        <v>Comer Fora-</v>
      </c>
      <c r="AW481" s="20" t="str">
        <f>IFERROR(__xludf.DUMMYFUNCTION("""COMPUTED_VALUE"""),"P e M - pipe")</f>
        <v>P e M - pipe</v>
      </c>
      <c r="AX481" s="4"/>
      <c r="AY481" s="4"/>
      <c r="AZ481" s="4" t="str">
        <f>IFERROR(__xludf.DUMMYFUNCTION("""COMPUTED_VALUE"""),"Doces &amp; Bolos")</f>
        <v>Doces &amp; Bolos</v>
      </c>
      <c r="BA481" s="4" t="str">
        <f>IFERROR(__xludf.DUMMYFUNCTION("""COMPUTED_VALUE"""),"Dado não disponível publicamente - Necessário Discovery")</f>
        <v>Dado não disponível publicamente - Necessário Discovery</v>
      </c>
      <c r="BB481" s="4" t="str">
        <f>IFERROR(__xludf.DUMMYFUNCTION("""COMPUTED_VALUE"""),"Confeitaria Premium / Flagship + Ateliê (São Paulo)")</f>
        <v>Confeitaria Premium / Flagship + Ateliê (São Paulo)</v>
      </c>
      <c r="BC481" s="4" t="str">
        <f>IFERROR(__xludf.DUMMYFUNCTION("""COMPUTED_VALUE"""),"São Paulo (Shopping Iguatemi + Ateliê Barra Funda)")</f>
        <v>São Paulo (Shopping Iguatemi + Ateliê Barra Funda)</v>
      </c>
      <c r="BD481" s="4" t="str">
        <f>IFERROR(__xludf.DUMMYFUNCTION("""COMPUTED_VALUE"""),"R$ 60-120")</f>
        <v>R$ 60-120</v>
      </c>
      <c r="BE481" s="4">
        <f>IFERROR(__xludf.DUMMYFUNCTION("""COMPUTED_VALUE"""),25.0)</f>
        <v>25</v>
      </c>
      <c r="BF481" s="4">
        <f>IFERROR(__xludf.DUMMYFUNCTION("""COMPUTED_VALUE"""),0.3)</f>
        <v>0.3</v>
      </c>
      <c r="BG481" s="4" t="str">
        <f>IFERROR(__xludf.DUMMYFUNCTION("""COMPUTED_VALUE"""),"Confeitaria premium 2 pontos + e-commerce. Perfil artesanal alto ticket. Baixa aderência autoatendimento.")</f>
        <v>Confeitaria premium 2 pontos + e-commerce. Perfil artesanal alto ticket. Baixa aderência autoatendimento.</v>
      </c>
      <c r="BH481" s="4" t="s">
        <v>72</v>
      </c>
      <c r="BI481" s="7">
        <v>1.0</v>
      </c>
    </row>
    <row r="482">
      <c r="A482" s="4" t="str">
        <f>IFERROR(__xludf.DUMMYFUNCTION("""COMPUTED_VALUE"""),"Sterna Cafe")</f>
        <v>Sterna Cafe</v>
      </c>
      <c r="B482" s="4" t="str">
        <f>IFERROR(__xludf.DUMMYFUNCTION("""COMPUTED_VALUE"""),"Leonardo Roso")</f>
        <v>Leonardo Roso</v>
      </c>
      <c r="C482" s="4" t="str">
        <f>IFERROR(__xludf.DUMMYFUNCTION("""COMPUTED_VALUE"""),"Leonardo Roso")</f>
        <v>Leonardo Roso</v>
      </c>
      <c r="D482" s="4" t="str">
        <f>IFERROR(__xludf.DUMMYFUNCTION("""COMPUTED_VALUE"""),"2. Primeiro Contato com a marca")</f>
        <v>2. Primeiro Contato com a marca</v>
      </c>
      <c r="E482" s="4" t="str">
        <f>IFERROR(__xludf.DUMMYFUNCTION("""COMPUTED_VALUE"""),"Comercial - Primeira reunião / Visita presencial agendada")</f>
        <v>Comercial - Primeira reunião / Visita presencial agendada</v>
      </c>
      <c r="F482" s="4" t="str">
        <f>IFERROR(__xludf.DUMMYFUNCTION("""COMPUTED_VALUE"""),"G")</f>
        <v>G</v>
      </c>
      <c r="G482" s="5">
        <f>IFERROR(__xludf.DUMMYFUNCTION("""COMPUTED_VALUE"""),46139.0)</f>
        <v>46139</v>
      </c>
      <c r="H482" s="4" t="str">
        <f>IFERROR(__xludf.DUMMYFUNCTION("""COMPUTED_VALUE"""),"agenda presencial agendada para dia 29/4")</f>
        <v>agenda presencial agendada para dia 29/4</v>
      </c>
      <c r="I482" s="6">
        <f>IFERROR(__xludf.DUMMYFUNCTION("""COMPUTED_VALUE"""),46139.73684304398)</f>
        <v>46139.73684</v>
      </c>
      <c r="J482" s="6">
        <f>IFERROR(__xludf.DUMMYFUNCTION("""COMPUTED_VALUE"""),46139.73687332176)</f>
        <v>46139.73687</v>
      </c>
      <c r="K482" s="4"/>
      <c r="L482" s="4"/>
      <c r="M482" s="4"/>
      <c r="N482" s="4"/>
      <c r="O482" s="4"/>
      <c r="P482" s="4"/>
      <c r="Q482" s="4"/>
      <c r="R482" s="4"/>
      <c r="S482" s="4"/>
      <c r="T482" s="4"/>
      <c r="U482" s="4"/>
      <c r="V482" s="4"/>
      <c r="W482" s="4"/>
      <c r="X482" s="4"/>
      <c r="Y482" s="4"/>
      <c r="Z482" s="4"/>
      <c r="AA482" s="4">
        <f>IFERROR(__xludf.DUMMYFUNCTION("""COMPUTED_VALUE"""),90.0)</f>
        <v>90</v>
      </c>
      <c r="AB482" s="4" t="str">
        <f>IFERROR(__xludf.DUMMYFUNCTION("""COMPUTED_VALUE"""),"-")</f>
        <v>-</v>
      </c>
      <c r="AC482" s="4" t="str">
        <f>IFERROR(__xludf.DUMMYFUNCTION("""COMPUTED_VALUE"""),"-")</f>
        <v>-</v>
      </c>
      <c r="AD482" s="4"/>
      <c r="AE482" s="4"/>
      <c r="AF482" s="4"/>
      <c r="AG482" s="4"/>
      <c r="AH482" s="4"/>
      <c r="AI482" s="4"/>
      <c r="AJ482" s="4"/>
      <c r="AK482" s="4"/>
      <c r="AL482" s="4"/>
      <c r="AM482" s="4" t="str">
        <f>IFERROR(__xludf.DUMMYFUNCTION("""COMPUTED_VALUE"""),"FY26, FY27")</f>
        <v>FY26, FY27</v>
      </c>
      <c r="AN482" s="4"/>
      <c r="AO482" s="4">
        <f>IFERROR(__xludf.DUMMYFUNCTION("""COMPUTED_VALUE"""),76.0)</f>
        <v>76</v>
      </c>
      <c r="AP482" s="4">
        <f>IFERROR(__xludf.DUMMYFUNCTION("""COMPUTED_VALUE"""),0.0)</f>
        <v>0</v>
      </c>
      <c r="AQ482" s="4">
        <f>IFERROR(__xludf.DUMMYFUNCTION("""COMPUTED_VALUE"""),0.0)</f>
        <v>0</v>
      </c>
      <c r="AR482" s="4">
        <f>IFERROR(__xludf.DUMMYFUNCTION("""COMPUTED_VALUE"""),0.0)</f>
        <v>0</v>
      </c>
      <c r="AS482" s="4">
        <f>IFERROR(__xludf.DUMMYFUNCTION("""COMPUTED_VALUE"""),0.0)</f>
        <v>0</v>
      </c>
      <c r="AT482" s="4">
        <f>IFERROR(__xludf.DUMMYFUNCTION("""COMPUTED_VALUE"""),0.0)</f>
        <v>0</v>
      </c>
      <c r="AU482" s="4" t="str">
        <f>IFERROR(__xludf.DUMMYFUNCTION("""COMPUTED_VALUE"""),"Lídia / Emerson")</f>
        <v>Lídia / Emerson</v>
      </c>
      <c r="AV482" s="4">
        <f>IFERROR(__xludf.DUMMYFUNCTION("""COMPUTED_VALUE"""),0.0)</f>
        <v>0</v>
      </c>
      <c r="AW482" s="4">
        <f>IFERROR(__xludf.DUMMYFUNCTION("""COMPUTED_VALUE"""),0.0)</f>
        <v>0</v>
      </c>
      <c r="AX482" s="4">
        <f>IFERROR(__xludf.DUMMYFUNCTION("""COMPUTED_VALUE"""),0.0)</f>
        <v>0</v>
      </c>
      <c r="AY482" s="4" t="str">
        <f>IFERROR(__xludf.DUMMYFUNCTION("""COMPUTED_VALUE"""),"Nextsoft")</f>
        <v>Nextsoft</v>
      </c>
      <c r="AZ482" s="4" t="str">
        <f>IFERROR(__xludf.DUMMYFUNCTION("""COMPUTED_VALUE"""),"Brasileira")</f>
        <v>Brasileira</v>
      </c>
      <c r="BA482" s="4" t="str">
        <f>IFERROR(__xludf.DUMMYFUNCTION("""COMPUTED_VALUE"""),"Dado não disponível publicamente - Meta 130 lojas até fim 2026 (10 estados)")</f>
        <v>Dado não disponível publicamente - Meta 130 lojas até fim 2026 (10 estados)</v>
      </c>
      <c r="BB482" s="4" t="str">
        <f>IFERROR(__xludf.DUMMYFUNCTION("""COMPUTED_VALUE"""),"QSR / Cafeteria Express (Franquia nacional em expansão - 29 inaugurações em 2025)")</f>
        <v>QSR / Cafeteria Express (Franquia nacional em expansão - 29 inaugurações em 2025)</v>
      </c>
      <c r="BC482" s="4" t="str">
        <f>IFERROR(__xludf.DUMMYFUNCTION("""COMPUTED_VALUE"""),"Nacional (10 estados, 90 lojas início 2026 → meta 130 fim 2026)")</f>
        <v>Nacional (10 estados, 90 lojas início 2026 → meta 130 fim 2026)</v>
      </c>
      <c r="BD482" s="4" t="str">
        <f>IFERROR(__xludf.DUMMYFUNCTION("""COMPUTED_VALUE"""),"R$ 15-30")</f>
        <v>R$ 15-30</v>
      </c>
      <c r="BE482" s="4">
        <f>IFERROR(__xludf.DUMMYFUNCTION("""COMPUTED_VALUE"""),80.0)</f>
        <v>80</v>
      </c>
      <c r="BF482" s="4">
        <f>IFERROR(__xludf.DUMMYFUNCTION("""COMPUTED_VALUE"""),0.85)</f>
        <v>0.85</v>
      </c>
      <c r="BG482" s="4" t="str">
        <f>IFERROR(__xludf.DUMMYFUNCTION("""COMPUTED_VALUE"""),"SUPER TARGET. Expansão agressiva 90→130 lojas (+40 em 2026). QSR cafeteria: Kiosk combos + E-DEPLOY 130 lojas. Aderência máxima.")</f>
        <v>SUPER TARGET. Expansão agressiva 90→130 lojas (+40 em 2026). QSR cafeteria: Kiosk combos + E-DEPLOY 130 lojas. Aderência máxima.</v>
      </c>
      <c r="BH482" s="4" t="s">
        <v>64</v>
      </c>
      <c r="BI482" s="7">
        <v>0.5833333333333334</v>
      </c>
    </row>
    <row r="483">
      <c r="A483" s="4" t="str">
        <f>IFERROR(__xludf.DUMMYFUNCTION("""COMPUTED_VALUE"""),"Subway")</f>
        <v>Subway</v>
      </c>
      <c r="B483" s="4" t="str">
        <f>IFERROR(__xludf.DUMMYFUNCTION("""COMPUTED_VALUE"""),"Leonardo Roso")</f>
        <v>Leonardo Roso</v>
      </c>
      <c r="C483" s="4" t="str">
        <f>IFERROR(__xludf.DUMMYFUNCTION("""COMPUTED_VALUE"""),"Leonardo Roso")</f>
        <v>Leonardo Roso</v>
      </c>
      <c r="D483" s="4" t="str">
        <f>IFERROR(__xludf.DUMMYFUNCTION("""COMPUTED_VALUE"""),"6. Negociação")</f>
        <v>6. Negociação</v>
      </c>
      <c r="E483" s="4" t="str">
        <f>IFERROR(__xludf.DUMMYFUNCTION("""COMPUTED_VALUE"""),"Comercial - Em negociação de proposta")</f>
        <v>Comercial - Em negociação de proposta</v>
      </c>
      <c r="F483" s="4" t="str">
        <f>IFERROR(__xludf.DUMMYFUNCTION("""COMPUTED_VALUE"""),"G")</f>
        <v>G</v>
      </c>
      <c r="G483" s="4"/>
      <c r="H483" s="4" t="str">
        <f>IFERROR(__xludf.DUMMYFUNCTION("""COMPUTED_VALUE"""),"Estamos em processo de nova proposta para ZAMP ")</f>
        <v>Estamos em processo de nova proposta para ZAMP </v>
      </c>
      <c r="I483" s="4"/>
      <c r="J483" s="4"/>
      <c r="K483" s="6">
        <f>IFERROR(__xludf.DUMMYFUNCTION("""COMPUTED_VALUE"""),45807.0)</f>
        <v>45807</v>
      </c>
      <c r="L483" s="4"/>
      <c r="M483" s="4"/>
      <c r="N483" s="6">
        <f>IFERROR(__xludf.DUMMYFUNCTION("""COMPUTED_VALUE"""),46126.44163288195)</f>
        <v>46126.44163</v>
      </c>
      <c r="O483" s="4"/>
      <c r="P483" s="4"/>
      <c r="Q483" s="4"/>
      <c r="R483" s="4"/>
      <c r="S483" s="4"/>
      <c r="T483" s="4"/>
      <c r="U483" s="4"/>
      <c r="V483" s="4"/>
      <c r="W483" s="4"/>
      <c r="X483" s="4"/>
      <c r="Y483" s="4"/>
      <c r="Z483" s="4"/>
      <c r="AA483" s="4">
        <f>IFERROR(__xludf.DUMMYFUNCTION("""COMPUTED_VALUE"""),1500.0)</f>
        <v>1500</v>
      </c>
      <c r="AB483" s="4" t="str">
        <f>IFERROR(__xludf.DUMMYFUNCTION("""COMPUTED_VALUE"""),"KA")</f>
        <v>KA</v>
      </c>
      <c r="AC483" s="4" t="str">
        <f>IFERROR(__xludf.DUMMYFUNCTION("""COMPUTED_VALUE"""),"BP")</f>
        <v>BP</v>
      </c>
      <c r="AD483" s="4"/>
      <c r="AE483" s="4"/>
      <c r="AF483" s="4"/>
      <c r="AG483" s="4"/>
      <c r="AH483" s="4"/>
      <c r="AI483" s="4"/>
      <c r="AJ483" s="4"/>
      <c r="AK483" s="4"/>
      <c r="AL483" s="4"/>
      <c r="AM483" s="4" t="str">
        <f>IFERROR(__xludf.DUMMYFUNCTION("""COMPUTED_VALUE"""),"FY26, FY27")</f>
        <v>FY26, FY27</v>
      </c>
      <c r="AN483" s="4"/>
      <c r="AO483" s="4">
        <f>IFERROR(__xludf.DUMMYFUNCTION("""COMPUTED_VALUE"""),45553.0)</f>
        <v>45553</v>
      </c>
      <c r="AP483" s="4" t="str">
        <f>IFERROR(__xludf.DUMMYFUNCTION("""COMPUTED_VALUE"""),"SP")</f>
        <v>SP</v>
      </c>
      <c r="AQ483" s="4" t="str">
        <f>IFERROR(__xludf.DUMMYFUNCTION("""COMPUTED_VALUE"""),"RAIZA CARDOSO")</f>
        <v>RAIZA CARDOSO</v>
      </c>
      <c r="AR483" s="4" t="str">
        <f>IFERROR(__xludf.DUMMYFUNCTION("""COMPUTED_VALUE"""),"HANNAH MAGNANI")</f>
        <v>HANNAH MAGNANI</v>
      </c>
      <c r="AS483" s="4" t="str">
        <f>IFERROR(__xludf.DUMMYFUNCTION("""COMPUTED_VALUE"""),"VINICIUS MARTINS")</f>
        <v>VINICIUS MARTINS</v>
      </c>
      <c r="AT483" s="4" t="str">
        <f>IFERROR(__xludf.DUMMYFUNCTION("""COMPUTED_VALUE"""),"RAIZA CARDOSO")</f>
        <v>RAIZA CARDOSO</v>
      </c>
      <c r="AU483" s="4" t="str">
        <f>IFERROR(__xludf.DUMMYFUNCTION("""COMPUTED_VALUE"""),"Michel")</f>
        <v>Michel</v>
      </c>
      <c r="AV483" s="4" t="str">
        <f>IFERROR(__xludf.DUMMYFUNCTION("""COMPUTED_VALUE"""),"Comer Fora-")</f>
        <v>Comer Fora-</v>
      </c>
      <c r="AW483" s="20" t="str">
        <f>IFERROR(__xludf.DUMMYFUNCTION("""COMPUTED_VALUE"""),"BASE SAIPOS")</f>
        <v>BASE SAIPOS</v>
      </c>
      <c r="AX483" s="4"/>
      <c r="AY483" s="4">
        <f>IFERROR(__xludf.DUMMYFUNCTION("""COMPUTED_VALUE"""),0.0)</f>
        <v>0</v>
      </c>
      <c r="AZ483" s="4" t="str">
        <f>IFERROR(__xludf.DUMMYFUNCTION("""COMPUTED_VALUE"""),"Lanches")</f>
        <v>Lanches</v>
      </c>
      <c r="BA483" s="4" t="str">
        <f>IFERROR(__xludf.DUMMYFUNCTION("""COMPUTED_VALUE"""),"R$ 25-45")</f>
        <v>R$ 25-45</v>
      </c>
      <c r="BB483" s="4" t="str">
        <f>IFERROR(__xludf.DUMMYFUNCTION("""COMPUTED_VALUE"""),"QSR - Fast Food (Sanduíches)")</f>
        <v>QSR - Fast Food (Sanduíches)</v>
      </c>
      <c r="BC483" s="4" t="str">
        <f>IFERROR(__xludf.DUMMYFUNCTION("""COMPUTED_VALUE"""),"Nacional (1.559 lojas - todos estados)")</f>
        <v>Nacional (1.559 lojas - todos estados)</v>
      </c>
      <c r="BD483" s="4" t="str">
        <f>IFERROR(__xludf.DUMMYFUNCTION("""COMPUTED_VALUE"""),"R$ 5,23 bilhões (2025) - Zamp consolidado")</f>
        <v>R$ 5,23 bilhões (2025) - Zamp consolidado</v>
      </c>
      <c r="BE483" s="4">
        <f>IFERROR(__xludf.DUMMYFUNCTION("""COMPUTED_VALUE"""),88.0)</f>
        <v>88</v>
      </c>
      <c r="BF483" s="4">
        <f>IFERROR(__xludf.DUMMYFUNCTION("""COMPUTED_VALUE"""),0.9)</f>
        <v>0.9</v>
      </c>
      <c r="BG483" s="4" t="str">
        <f>IFERROR(__xludf.DUMMYFUNCTION("""COMPUTED_VALUE"""),"PDV não identificado (Zamp opera Subway). ALTÍSSIMA ADERÊNCIA: 1.559 lojas nacionais, faturamento R$ 5,23B (2025 Zamp). Canais digitais 50-53% vendas. 3S: gestão multi-loja, totens, integração delivery, escalabilidade. Zamp já cliente 3S (Burger King)")</f>
        <v>PDV não identificado (Zamp opera Subway). ALTÍSSIMA ADERÊNCIA: 1.559 lojas nacionais, faturamento R$ 5,23B (2025 Zamp). Canais digitais 50-53% vendas. 3S: gestão multi-loja, totens, integração delivery, escalabilidade. Zamp já cliente 3S (Burger King)</v>
      </c>
      <c r="BH483" s="4" t="s">
        <v>63</v>
      </c>
      <c r="BI483" s="7" t="s">
        <v>63</v>
      </c>
    </row>
    <row r="484" hidden="1">
      <c r="A484" s="4" t="str">
        <f>IFERROR(__xludf.DUMMYFUNCTION("""COMPUTED_VALUE"""),"Sujinho")</f>
        <v>Sujinho</v>
      </c>
      <c r="B484" s="4" t="str">
        <f>IFERROR(__xludf.DUMMYFUNCTION("""COMPUTED_VALUE"""),"Emerson")</f>
        <v>Emerson</v>
      </c>
      <c r="C484" s="4" t="str">
        <f>IFERROR(__xludf.DUMMYFUNCTION("""COMPUTED_VALUE"""),"Emerson")</f>
        <v>Emerson</v>
      </c>
      <c r="D484" s="4" t="str">
        <f>IFERROR(__xludf.DUMMYFUNCTION("""COMPUTED_VALUE"""),"11. Stand by")</f>
        <v>11. Stand by</v>
      </c>
      <c r="E484" s="4"/>
      <c r="F484" s="4" t="str">
        <f>IFERROR(__xludf.DUMMYFUNCTION("""COMPUTED_VALUE"""),"P")</f>
        <v>P</v>
      </c>
      <c r="G484" s="4"/>
      <c r="H484" s="4"/>
      <c r="I484" s="4"/>
      <c r="J484" s="4"/>
      <c r="K484" s="6">
        <f>IFERROR(__xludf.DUMMYFUNCTION("""COMPUTED_VALUE"""),45918.0)</f>
        <v>45918</v>
      </c>
      <c r="L484" s="4"/>
      <c r="M484" s="4"/>
      <c r="N484" s="4"/>
      <c r="O484" s="4"/>
      <c r="P484" s="4"/>
      <c r="Q484" s="4"/>
      <c r="R484" s="4"/>
      <c r="S484" s="4"/>
      <c r="T484" s="4"/>
      <c r="U484" s="4"/>
      <c r="V484" s="4"/>
      <c r="W484" s="4"/>
      <c r="X484" s="4"/>
      <c r="Y484" s="4"/>
      <c r="Z484" s="4"/>
      <c r="AA484" s="4">
        <f>IFERROR(__xludf.DUMMYFUNCTION("""COMPUTED_VALUE"""),4.0)</f>
        <v>4</v>
      </c>
      <c r="AB484" s="4" t="str">
        <f>IFERROR(__xludf.DUMMYFUNCTION("""COMPUTED_VALUE"""),"NÃO")</f>
        <v>NÃO</v>
      </c>
      <c r="AC484" s="4" t="str">
        <f>IFERROR(__xludf.DUMMYFUNCTION("""COMPUTED_VALUE"""),"BP")</f>
        <v>BP</v>
      </c>
      <c r="AD484" s="4"/>
      <c r="AE484" s="4"/>
      <c r="AF484" s="4"/>
      <c r="AG484" s="4"/>
      <c r="AH484" s="4"/>
      <c r="AI484" s="4"/>
      <c r="AJ484" s="4"/>
      <c r="AK484" s="4"/>
      <c r="AL484" s="4"/>
      <c r="AM484" s="4" t="str">
        <f>IFERROR(__xludf.DUMMYFUNCTION("""COMPUTED_VALUE"""),"FY26, FY27")</f>
        <v>FY26, FY27</v>
      </c>
      <c r="AN484" s="4" t="str">
        <f>IFERROR(__xludf.DUMMYFUNCTION("""COMPUTED_VALUE"""),"Comer Fora")</f>
        <v>Comer Fora</v>
      </c>
      <c r="AO484" s="4">
        <f>IFERROR(__xludf.DUMMYFUNCTION("""COMPUTED_VALUE"""),45553.0)</f>
        <v>45553</v>
      </c>
      <c r="AP484" s="4" t="str">
        <f>IFERROR(__xludf.DUMMYFUNCTION("""COMPUTED_VALUE"""),"SP")</f>
        <v>SP</v>
      </c>
      <c r="AQ484" s="4" t="str">
        <f>IFERROR(__xludf.DUMMYFUNCTION("""COMPUTED_VALUE"""),"RODRIGO BESSER")</f>
        <v>RODRIGO BESSER</v>
      </c>
      <c r="AR484" s="4" t="str">
        <f>IFERROR(__xludf.DUMMYFUNCTION("""COMPUTED_VALUE"""),"ISIS ANDRADE")</f>
        <v>ISIS ANDRADE</v>
      </c>
      <c r="AS484" s="4" t="str">
        <f>IFERROR(__xludf.DUMMYFUNCTION("""COMPUTED_VALUE"""),"NATHALIE MERTENS")</f>
        <v>NATHALIE MERTENS</v>
      </c>
      <c r="AT484" s="4" t="str">
        <f>IFERROR(__xludf.DUMMYFUNCTION("""COMPUTED_VALUE"""),"MARIANA KATZ")</f>
        <v>MARIANA KATZ</v>
      </c>
      <c r="AU484" s="4" t="str">
        <f>IFERROR(__xludf.DUMMYFUNCTION("""COMPUTED_VALUE"""),"Emerson")</f>
        <v>Emerson</v>
      </c>
      <c r="AV484" s="4" t="str">
        <f>IFERROR(__xludf.DUMMYFUNCTION("""COMPUTED_VALUE"""),"Comer Fora-")</f>
        <v>Comer Fora-</v>
      </c>
      <c r="AW484" s="20" t="str">
        <f>IFERROR(__xludf.DUMMYFUNCTION("""COMPUTED_VALUE"""),"P e M - pipe")</f>
        <v>P e M - pipe</v>
      </c>
      <c r="AX484" s="4"/>
      <c r="AY484" s="4"/>
      <c r="AZ484" s="4" t="str">
        <f>IFERROR(__xludf.DUMMYFUNCTION("""COMPUTED_VALUE"""),"Lanches")</f>
        <v>Lanches</v>
      </c>
      <c r="BA484" s="4" t="str">
        <f>IFERROR(__xludf.DUMMYFUNCTION("""COMPUTED_VALUE"""),"")</f>
        <v/>
      </c>
      <c r="BB484" s="4" t="str">
        <f>IFERROR(__xludf.DUMMYFUNCTION("""COMPUTED_VALUE"""),"")</f>
        <v/>
      </c>
      <c r="BC484" s="4" t="str">
        <f>IFERROR(__xludf.DUMMYFUNCTION("""COMPUTED_VALUE"""),"")</f>
        <v/>
      </c>
      <c r="BD484" s="4" t="str">
        <f>IFERROR(__xludf.DUMMYFUNCTION("""COMPUTED_VALUE"""),"")</f>
        <v/>
      </c>
      <c r="BE484" s="4" t="str">
        <f>IFERROR(__xludf.DUMMYFUNCTION("""COMPUTED_VALUE"""),"")</f>
        <v/>
      </c>
      <c r="BF484" s="4" t="str">
        <f>IFERROR(__xludf.DUMMYFUNCTION("""COMPUTED_VALUE"""),"")</f>
        <v/>
      </c>
      <c r="BG484" s="4" t="str">
        <f>IFERROR(__xludf.DUMMYFUNCTION("""COMPUTED_VALUE"""),"")</f>
        <v/>
      </c>
      <c r="BH484" s="4" t="s">
        <v>95</v>
      </c>
      <c r="BI484" s="7">
        <v>0.6</v>
      </c>
    </row>
    <row r="485" hidden="1">
      <c r="A485" s="4" t="str">
        <f>IFERROR(__xludf.DUMMYFUNCTION("""COMPUTED_VALUE"""),"Super Duper Burger")</f>
        <v>Super Duper Burger</v>
      </c>
      <c r="B485" s="4" t="str">
        <f>IFERROR(__xludf.DUMMYFUNCTION("""COMPUTED_VALUE"""),"João Biagiotti")</f>
        <v>João Biagiotti</v>
      </c>
      <c r="C485" s="4" t="str">
        <f>IFERROR(__xludf.DUMMYFUNCTION("""COMPUTED_VALUE"""),"Diego Santos")</f>
        <v>Diego Santos</v>
      </c>
      <c r="D485" s="4" t="str">
        <f>IFERROR(__xludf.DUMMYFUNCTION("""COMPUTED_VALUE"""),"0. Não Iniciado")</f>
        <v>0. Não Iniciado</v>
      </c>
      <c r="E485" s="4"/>
      <c r="F485" s="4" t="str">
        <f>IFERROR(__xludf.DUMMYFUNCTION("""COMPUTED_VALUE"""),"P")</f>
        <v>P</v>
      </c>
      <c r="G485" s="4"/>
      <c r="H485" s="4"/>
      <c r="I485" s="4"/>
      <c r="J485" s="4"/>
      <c r="K485" s="4"/>
      <c r="L485" s="4"/>
      <c r="M485" s="4"/>
      <c r="N485" s="4"/>
      <c r="O485" s="4"/>
      <c r="P485" s="4"/>
      <c r="Q485" s="4"/>
      <c r="R485" s="4"/>
      <c r="S485" s="4"/>
      <c r="T485" s="4"/>
      <c r="U485" s="4"/>
      <c r="V485" s="4"/>
      <c r="W485" s="4"/>
      <c r="X485" s="4"/>
      <c r="Y485" s="4"/>
      <c r="Z485" s="4"/>
      <c r="AA485" s="4">
        <f>IFERROR(__xludf.DUMMYFUNCTION("""COMPUTED_VALUE"""),19.0)</f>
        <v>19</v>
      </c>
      <c r="AB485" s="4" t="str">
        <f>IFERROR(__xludf.DUMMYFUNCTION("""COMPUTED_VALUE"""),"NÃO")</f>
        <v>NÃO</v>
      </c>
      <c r="AC485" s="4" t="str">
        <f>IFERROR(__xludf.DUMMYFUNCTION("""COMPUTED_VALUE"""),"Não BP")</f>
        <v>Não BP</v>
      </c>
      <c r="AD485" s="4"/>
      <c r="AE485" s="4"/>
      <c r="AF485" s="4"/>
      <c r="AG485" s="4"/>
      <c r="AH485" s="4"/>
      <c r="AI485" s="4"/>
      <c r="AJ485" s="4"/>
      <c r="AK485" s="4"/>
      <c r="AL485" s="4"/>
      <c r="AM485" s="4" t="str">
        <f>IFERROR(__xludf.DUMMYFUNCTION("""COMPUTED_VALUE"""),"FY26, FY27")</f>
        <v>FY26, FY27</v>
      </c>
      <c r="AN485" s="4"/>
      <c r="AO485" s="4">
        <f>IFERROR(__xludf.DUMMYFUNCTION("""COMPUTED_VALUE"""),45553.0)</f>
        <v>45553</v>
      </c>
      <c r="AP485" s="4">
        <f>IFERROR(__xludf.DUMMYFUNCTION("""COMPUTED_VALUE"""),0.0)</f>
        <v>0</v>
      </c>
      <c r="AQ485" s="4">
        <f>IFERROR(__xludf.DUMMYFUNCTION("""COMPUTED_VALUE"""),0.0)</f>
        <v>0</v>
      </c>
      <c r="AR485" s="4">
        <f>IFERROR(__xludf.DUMMYFUNCTION("""COMPUTED_VALUE"""),0.0)</f>
        <v>0</v>
      </c>
      <c r="AS485" s="4">
        <f>IFERROR(__xludf.DUMMYFUNCTION("""COMPUTED_VALUE"""),0.0)</f>
        <v>0</v>
      </c>
      <c r="AT485" s="4">
        <f>IFERROR(__xludf.DUMMYFUNCTION("""COMPUTED_VALUE"""),0.0)</f>
        <v>0</v>
      </c>
      <c r="AU485" s="4" t="str">
        <f>IFERROR(__xludf.DUMMYFUNCTION("""COMPUTED_VALUE"""),"Diego")</f>
        <v>Diego</v>
      </c>
      <c r="AV485" s="4">
        <f>IFERROR(__xludf.DUMMYFUNCTION("""COMPUTED_VALUE"""),0.0)</f>
        <v>0</v>
      </c>
      <c r="AW485" s="4">
        <f>IFERROR(__xludf.DUMMYFUNCTION("""COMPUTED_VALUE"""),0.0)</f>
        <v>0</v>
      </c>
      <c r="AX485" s="4">
        <f>IFERROR(__xludf.DUMMYFUNCTION("""COMPUTED_VALUE"""),0.0)</f>
        <v>0</v>
      </c>
      <c r="AY485" s="4"/>
      <c r="AZ485" s="4" t="str">
        <f>IFERROR(__xludf.DUMMYFUNCTION("""COMPUTED_VALUE"""),"NA")</f>
        <v>NA</v>
      </c>
      <c r="BA485" s="4" t="str">
        <f>IFERROR(__xludf.DUMMYFUNCTION("""COMPUTED_VALUE"""),"Dado não disponível publicamente - Necessário Discovery")</f>
        <v>Dado não disponível publicamente - Necessário Discovery</v>
      </c>
      <c r="BB485" s="12" t="str">
        <f>IFERROR(__xludf.DUMMYFUNCTION("""COMPUTED_VALUE"""),"Hamburgueria / Multi-unidades (São José dos Campos confirmado)")</f>
        <v>Hamburgueria / Multi-unidades (São José dos Campos confirmado)</v>
      </c>
      <c r="BC485" s="4" t="str">
        <f>IFERROR(__xludf.DUMMYFUNCTION("""COMPUTED_VALUE"""),"Brasil (unidades não totalizadas publicamente)")</f>
        <v>Brasil (unidades não totalizadas publicamente)</v>
      </c>
      <c r="BD485" s="4" t="str">
        <f>IFERROR(__xludf.DUMMYFUNCTION("""COMPUTED_VALUE"""),"R$ 40-65")</f>
        <v>R$ 40-65</v>
      </c>
      <c r="BE485" s="4">
        <f>IFERROR(__xludf.DUMMYFUNCTION("""COMPUTED_VALUE"""),35.0)</f>
        <v>35</v>
      </c>
      <c r="BF485" s="13">
        <f>IFERROR(__xludf.DUMMYFUNCTION("""COMPUTED_VALUE"""),0.4)</f>
        <v>0.4</v>
      </c>
      <c r="BG485" s="4" t="str">
        <f>IFERROR(__xludf.DUMMYFUNCTION("""COMPUTED_VALUE"""),"Dados de rede insuficientes. Site oficial não divulga total lojas. Necessário Discovery.")</f>
        <v>Dados de rede insuficientes. Site oficial não divulga total lojas. Necessário Discovery.</v>
      </c>
      <c r="BH485" s="4" t="s">
        <v>63</v>
      </c>
      <c r="BI485" s="7" t="s">
        <v>63</v>
      </c>
    </row>
    <row r="486" hidden="1">
      <c r="A486" s="4" t="str">
        <f>IFERROR(__xludf.DUMMYFUNCTION("""COMPUTED_VALUE"""),"Sushi Go")</f>
        <v>Sushi Go</v>
      </c>
      <c r="B486" s="4" t="str">
        <f>IFERROR(__xludf.DUMMYFUNCTION("""COMPUTED_VALUE"""),"Lídia Esteves")</f>
        <v>Lídia Esteves</v>
      </c>
      <c r="C486" s="4" t="str">
        <f>IFERROR(__xludf.DUMMYFUNCTION("""COMPUTED_VALUE"""),"Gabriela Roma")</f>
        <v>Gabriela Roma</v>
      </c>
      <c r="D486" s="4" t="str">
        <f>IFERROR(__xludf.DUMMYFUNCTION("""COMPUTED_VALUE"""),"2. Primeiro Contato com a marca")</f>
        <v>2. Primeiro Contato com a marca</v>
      </c>
      <c r="E486" s="4" t="str">
        <f>IFERROR(__xludf.DUMMYFUNCTION("""COMPUTED_VALUE"""),"Parceiro - Conciliação agenda")</f>
        <v>Parceiro - Conciliação agenda</v>
      </c>
      <c r="F486" s="4" t="str">
        <f>IFERROR(__xludf.DUMMYFUNCTION("""COMPUTED_VALUE"""),"P")</f>
        <v>P</v>
      </c>
      <c r="G486" s="5">
        <f>IFERROR(__xludf.DUMMYFUNCTION("""COMPUTED_VALUE"""),46106.0)</f>
        <v>46106</v>
      </c>
      <c r="H486" s="4" t="str">
        <f>IFERROR(__xludf.DUMMYFUNCTION("""COMPUTED_VALUE"""),"tentando alinhar com o decisor uma agenda para falar do ifood salão ")</f>
        <v>tentando alinhar com o decisor uma agenda para falar do ifood salão </v>
      </c>
      <c r="I486" s="6">
        <f>IFERROR(__xludf.DUMMYFUNCTION("""COMPUTED_VALUE"""),46121.68864390046)</f>
        <v>46121.68864</v>
      </c>
      <c r="J486" s="6">
        <f>IFERROR(__xludf.DUMMYFUNCTION("""COMPUTED_VALUE"""),46154.61246984954)</f>
        <v>46154.61247</v>
      </c>
      <c r="K486" s="4"/>
      <c r="L486" s="4"/>
      <c r="M486" s="4"/>
      <c r="N486" s="4"/>
      <c r="O486" s="4"/>
      <c r="P486" s="4"/>
      <c r="Q486" s="4"/>
      <c r="R486" s="4"/>
      <c r="S486" s="4"/>
      <c r="T486" s="4"/>
      <c r="U486" s="4"/>
      <c r="V486" s="4"/>
      <c r="W486" s="4"/>
      <c r="X486" s="4"/>
      <c r="Y486" s="4"/>
      <c r="Z486" s="4"/>
      <c r="AA486" s="4">
        <f>IFERROR(__xludf.DUMMYFUNCTION("""COMPUTED_VALUE"""),20.0)</f>
        <v>20</v>
      </c>
      <c r="AB486" s="4" t="str">
        <f>IFERROR(__xludf.DUMMYFUNCTION("""COMPUTED_VALUE"""),"NÃO")</f>
        <v>NÃO</v>
      </c>
      <c r="AC486" s="4" t="str">
        <f>IFERROR(__xludf.DUMMYFUNCTION("""COMPUTED_VALUE"""),"Não BP")</f>
        <v>Não BP</v>
      </c>
      <c r="AD486" s="4"/>
      <c r="AE486" s="4"/>
      <c r="AF486" s="4"/>
      <c r="AG486" s="4"/>
      <c r="AH486" s="4"/>
      <c r="AI486" s="4"/>
      <c r="AJ486" s="4"/>
      <c r="AK486" s="4"/>
      <c r="AL486" s="4"/>
      <c r="AM486" s="4" t="str">
        <f>IFERROR(__xludf.DUMMYFUNCTION("""COMPUTED_VALUE"""),"FY26, FY27")</f>
        <v>FY26, FY27</v>
      </c>
      <c r="AN486" s="4" t="str">
        <f>IFERROR(__xludf.DUMMYFUNCTION("""COMPUTED_VALUE"""),"Comer Fora")</f>
        <v>Comer Fora</v>
      </c>
      <c r="AO486" s="4">
        <f>IFERROR(__xludf.DUMMYFUNCTION("""COMPUTED_VALUE"""),108.0)</f>
        <v>108</v>
      </c>
      <c r="AP486" s="4" t="str">
        <f>IFERROR(__xludf.DUMMYFUNCTION("""COMPUTED_VALUE"""),"RJ")</f>
        <v>RJ</v>
      </c>
      <c r="AQ486" s="4" t="str">
        <f>IFERROR(__xludf.DUMMYFUNCTION("""COMPUTED_VALUE"""),"ANA SALLES")</f>
        <v>ANA SALLES</v>
      </c>
      <c r="AR486" s="4" t="str">
        <f>IFERROR(__xludf.DUMMYFUNCTION("""COMPUTED_VALUE"""),"LUIZA BELA")</f>
        <v>LUIZA BELA</v>
      </c>
      <c r="AS486" s="4" t="str">
        <f>IFERROR(__xludf.DUMMYFUNCTION("""COMPUTED_VALUE"""),"NATHALIE MERTENS")</f>
        <v>NATHALIE MERTENS</v>
      </c>
      <c r="AT486" s="4" t="str">
        <f>IFERROR(__xludf.DUMMYFUNCTION("""COMPUTED_VALUE"""),"NATALIA COUTINHO")</f>
        <v>NATALIA COUTINHO</v>
      </c>
      <c r="AU486" s="4" t="str">
        <f>IFERROR(__xludf.DUMMYFUNCTION("""COMPUTED_VALUE"""),"Diego")</f>
        <v>Diego</v>
      </c>
      <c r="AV486" s="4" t="str">
        <f>IFERROR(__xludf.DUMMYFUNCTION("""COMPUTED_VALUE"""),"Comer Fora-")</f>
        <v>Comer Fora-</v>
      </c>
      <c r="AW486" s="20" t="str">
        <f>IFERROR(__xludf.DUMMYFUNCTION("""COMPUTED_VALUE"""),"P e M - pipe")</f>
        <v>P e M - pipe</v>
      </c>
      <c r="AX486" s="4"/>
      <c r="AY486" s="4" t="str">
        <f>IFERROR(__xludf.DUMMYFUNCTION("""COMPUTED_VALUE"""),"Saipos Serviços De Software")</f>
        <v>Saipos Serviços De Software</v>
      </c>
      <c r="AZ486" s="4" t="str">
        <f>IFERROR(__xludf.DUMMYFUNCTION("""COMPUTED_VALUE"""),"Japonesa")</f>
        <v>Japonesa</v>
      </c>
      <c r="BA486" s="4" t="str">
        <f>IFERROR(__xludf.DUMMYFUNCTION("""COMPUTED_VALUE"""),"Dado não disponível publicamente - Necessário Discovery")</f>
        <v>Dado não disponível publicamente - Necessário Discovery</v>
      </c>
      <c r="BB486" s="4" t="str">
        <f>IFERROR(__xludf.DUMMYFUNCTION("""COMPUTED_VALUE"""),"Japonês Delivery / Fast Casual (Foco Rio de Janeiro)")</f>
        <v>Japonês Delivery / Fast Casual (Foco Rio de Janeiro)</v>
      </c>
      <c r="BC486" s="4" t="str">
        <f>IFERROR(__xludf.DUMMYFUNCTION("""COMPUTED_VALUE"""),"Rio de Janeiro e região metropolitana (18 regiões atendidas)")</f>
        <v>Rio de Janeiro e região metropolitana (18 regiões atendidas)</v>
      </c>
      <c r="BD486" s="4" t="str">
        <f>IFERROR(__xludf.DUMMYFUNCTION("""COMPUTED_VALUE"""),"R$ 35-60")</f>
        <v>R$ 35-60</v>
      </c>
      <c r="BE486" s="4">
        <f>IFERROR(__xludf.DUMMYFUNCTION("""COMPUTED_VALUE"""),45.0)</f>
        <v>45</v>
      </c>
      <c r="BF486" s="4">
        <f>IFERROR(__xludf.DUMMYFUNCTION("""COMPUTED_VALUE"""),0.5)</f>
        <v>0.5</v>
      </c>
      <c r="BG486" s="4" t="str">
        <f>IFERROR(__xludf.DUMMYFUNCTION("""COMPUTED_VALUE"""),"Rede delivery RJ 18 pontos. Delivery-first precisa integração apps + PDV rápido. Aderência média.")</f>
        <v>Rede delivery RJ 18 pontos. Delivery-first precisa integração apps + PDV rápido. Aderência média.</v>
      </c>
      <c r="BH486" s="4" t="s">
        <v>69</v>
      </c>
      <c r="BI486" s="7">
        <v>0.5625</v>
      </c>
    </row>
    <row r="487" hidden="1">
      <c r="A487" s="4" t="str">
        <f>IFERROR(__xludf.DUMMYFUNCTION("""COMPUTED_VALUE"""),"Sushi Leblon")</f>
        <v>Sushi Leblon</v>
      </c>
      <c r="B487" s="4" t="str">
        <f>IFERROR(__xludf.DUMMYFUNCTION("""COMPUTED_VALUE"""),"Lídia Esteves")</f>
        <v>Lídia Esteves</v>
      </c>
      <c r="C487" s="4" t="str">
        <f>IFERROR(__xludf.DUMMYFUNCTION("""COMPUTED_VALUE"""),"Gabriela Roma")</f>
        <v>Gabriela Roma</v>
      </c>
      <c r="D487" s="4" t="str">
        <f>IFERROR(__xludf.DUMMYFUNCTION("""COMPUTED_VALUE"""),"1. Iniciado")</f>
        <v>1. Iniciado</v>
      </c>
      <c r="E487" s="4" t="str">
        <f>IFERROR(__xludf.DUMMYFUNCTION("""COMPUTED_VALUE"""),"Delivery - Aguardando retorno / Conciliação agenda")</f>
        <v>Delivery - Aguardando retorno / Conciliação agenda</v>
      </c>
      <c r="F487" s="4" t="str">
        <f>IFERROR(__xludf.DUMMYFUNCTION("""COMPUTED_VALUE"""),"P")</f>
        <v>P</v>
      </c>
      <c r="G487" s="4"/>
      <c r="H487" s="4"/>
      <c r="I487" s="6">
        <f>IFERROR(__xludf.DUMMYFUNCTION("""COMPUTED_VALUE"""),46121.68869905092)</f>
        <v>46121.6887</v>
      </c>
      <c r="J487" s="4"/>
      <c r="K487" s="4"/>
      <c r="L487" s="4"/>
      <c r="M487" s="4"/>
      <c r="N487" s="4"/>
      <c r="O487" s="4"/>
      <c r="P487" s="4"/>
      <c r="Q487" s="4"/>
      <c r="R487" s="4"/>
      <c r="S487" s="4"/>
      <c r="T487" s="4"/>
      <c r="U487" s="4"/>
      <c r="V487" s="4"/>
      <c r="W487" s="4"/>
      <c r="X487" s="4"/>
      <c r="Y487" s="4"/>
      <c r="Z487" s="4"/>
      <c r="AA487" s="4">
        <f>IFERROR(__xludf.DUMMYFUNCTION("""COMPUTED_VALUE"""),3.0)</f>
        <v>3</v>
      </c>
      <c r="AB487" s="4" t="str">
        <f>IFERROR(__xludf.DUMMYFUNCTION("""COMPUTED_VALUE"""),"NÃO")</f>
        <v>NÃO</v>
      </c>
      <c r="AC487" s="4" t="str">
        <f>IFERROR(__xludf.DUMMYFUNCTION("""COMPUTED_VALUE"""),"BP")</f>
        <v>BP</v>
      </c>
      <c r="AD487" s="4"/>
      <c r="AE487" s="4"/>
      <c r="AF487" s="4"/>
      <c r="AG487" s="4"/>
      <c r="AH487" s="4"/>
      <c r="AI487" s="4"/>
      <c r="AJ487" s="4"/>
      <c r="AK487" s="4"/>
      <c r="AL487" s="4"/>
      <c r="AM487" s="4" t="str">
        <f>IFERROR(__xludf.DUMMYFUNCTION("""COMPUTED_VALUE"""),"FY26, FY27")</f>
        <v>FY26, FY27</v>
      </c>
      <c r="AN487" s="4" t="str">
        <f>IFERROR(__xludf.DUMMYFUNCTION("""COMPUTED_VALUE"""),"Comer Fora")</f>
        <v>Comer Fora</v>
      </c>
      <c r="AO487" s="4">
        <f>IFERROR(__xludf.DUMMYFUNCTION("""COMPUTED_VALUE"""),45553.0)</f>
        <v>45553</v>
      </c>
      <c r="AP487" s="4" t="str">
        <f>IFERROR(__xludf.DUMMYFUNCTION("""COMPUTED_VALUE"""),"RJ")</f>
        <v>RJ</v>
      </c>
      <c r="AQ487" s="4" t="str">
        <f>IFERROR(__xludf.DUMMYFUNCTION("""COMPUTED_VALUE"""),"THIAGO FERNANDES")</f>
        <v>THIAGO FERNANDES</v>
      </c>
      <c r="AR487" s="4" t="str">
        <f>IFERROR(__xludf.DUMMYFUNCTION("""COMPUTED_VALUE"""),"LAURICEIA MINARINI")</f>
        <v>LAURICEIA MINARINI</v>
      </c>
      <c r="AS487" s="4" t="str">
        <f>IFERROR(__xludf.DUMMYFUNCTION("""COMPUTED_VALUE"""),"NATHALIE MERTENS")</f>
        <v>NATHALIE MERTENS</v>
      </c>
      <c r="AT487" s="4" t="str">
        <f>IFERROR(__xludf.DUMMYFUNCTION("""COMPUTED_VALUE"""),"MARIANA KATZ")</f>
        <v>MARIANA KATZ</v>
      </c>
      <c r="AU487" s="4" t="str">
        <f>IFERROR(__xludf.DUMMYFUNCTION("""COMPUTED_VALUE"""),"Emerson")</f>
        <v>Emerson</v>
      </c>
      <c r="AV487" s="4" t="str">
        <f>IFERROR(__xludf.DUMMYFUNCTION("""COMPUTED_VALUE"""),"Comer Fora-")</f>
        <v>Comer Fora-</v>
      </c>
      <c r="AW487" s="20" t="str">
        <f>IFERROR(__xludf.DUMMYFUNCTION("""COMPUTED_VALUE"""),"P e M - pipe")</f>
        <v>P e M - pipe</v>
      </c>
      <c r="AX487" s="4"/>
      <c r="AY487" s="4" t="str">
        <f>IFERROR(__xludf.DUMMYFUNCTION("""COMPUTED_VALUE"""),"Totvs Large Enterprise Tecnologia S.a.")</f>
        <v>Totvs Large Enterprise Tecnologia S.a.</v>
      </c>
      <c r="AZ487" s="4" t="str">
        <f>IFERROR(__xludf.DUMMYFUNCTION("""COMPUTED_VALUE"""),"Brasileira")</f>
        <v>Brasileira</v>
      </c>
      <c r="BA487" s="4" t="str">
        <f>IFERROR(__xludf.DUMMYFUNCTION("""COMPUTED_VALUE"""),"R$ 100-180")</f>
        <v>R$ 100-180</v>
      </c>
      <c r="BB487" s="4" t="str">
        <f>IFERROR(__xludf.DUMMYFUNCTION("""COMPUTED_VALUE"""),"Fine Dining - Japonesa Premium")</f>
        <v>Fine Dining - Japonesa Premium</v>
      </c>
      <c r="BC487" s="4" t="str">
        <f>IFERROR(__xludf.DUMMYFUNCTION("""COMPUTED_VALUE"""),"Rio de Janeiro/RJ (Leblon) - Loja única")</f>
        <v>Rio de Janeiro/RJ (Leblon) - Loja única</v>
      </c>
      <c r="BD487" s="4" t="str">
        <f>IFERROR(__xludf.DUMMYFUNCTION("""COMPUTED_VALUE"""),"Necessário Discovery")</f>
        <v>Necessário Discovery</v>
      </c>
      <c r="BE487" s="4">
        <f>IFERROR(__xludf.DUMMYFUNCTION("""COMPUTED_VALUE"""),58.0)</f>
        <v>58</v>
      </c>
      <c r="BF487" s="4">
        <f>IFERROR(__xludf.DUMMYFUNCTION("""COMPUTED_VALUE"""),0.6)</f>
        <v>0.6</v>
      </c>
      <c r="BG487" s="4" t="str">
        <f>IFERROR(__xludf.DUMMYFUNCTION("""COMPUTED_VALUE"""),"PDV não identificado - Loja única premium Rio (40 anos, Guia Michelin 2026). Aderência média: PDV Mobile, comandas, delivery. Operação tradicional enxuta")</f>
        <v>PDV não identificado - Loja única premium Rio (40 anos, Guia Michelin 2026). Aderência média: PDV Mobile, comandas, delivery. Operação tradicional enxuta</v>
      </c>
      <c r="BH487" s="4" t="s">
        <v>78</v>
      </c>
      <c r="BI487" s="7">
        <v>1.0</v>
      </c>
    </row>
    <row r="488" hidden="1">
      <c r="A488" s="4" t="str">
        <f>IFERROR(__xludf.DUMMYFUNCTION("""COMPUTED_VALUE"""),"Sushi Papaia")</f>
        <v>Sushi Papaia</v>
      </c>
      <c r="B488" s="4" t="str">
        <f>IFERROR(__xludf.DUMMYFUNCTION("""COMPUTED_VALUE"""),"João Biagiotti")</f>
        <v>João Biagiotti</v>
      </c>
      <c r="C488" s="4" t="str">
        <f>IFERROR(__xludf.DUMMYFUNCTION("""COMPUTED_VALUE"""),"Diego Santos")</f>
        <v>Diego Santos</v>
      </c>
      <c r="D488" s="4" t="str">
        <f>IFERROR(__xludf.DUMMYFUNCTION("""COMPUTED_VALUE"""),"13. Reativado")</f>
        <v>13. Reativado</v>
      </c>
      <c r="E488" s="4" t="str">
        <f>IFERROR(__xludf.DUMMYFUNCTION("""COMPUTED_VALUE"""),"Parceiro - Aguardando retorno / Conciliação agenda")</f>
        <v>Parceiro - Aguardando retorno / Conciliação agenda</v>
      </c>
      <c r="F488" s="4" t="str">
        <f>IFERROR(__xludf.DUMMYFUNCTION("""COMPUTED_VALUE"""),"P")</f>
        <v>P</v>
      </c>
      <c r="G488" s="5">
        <f>IFERROR(__xludf.DUMMYFUNCTION("""COMPUTED_VALUE"""),46076.0)</f>
        <v>46076</v>
      </c>
      <c r="H488" s="4" t="str">
        <f>IFERROR(__xludf.DUMMYFUNCTION("""COMPUTED_VALUE"""),"Parceiro não tem interesse em mudar de sistema, ficou interessado no CRM mas não temos ainda como apresentar.")</f>
        <v>Parceiro não tem interesse em mudar de sistema, ficou interessado no CRM mas não temos ainda como apresentar.</v>
      </c>
      <c r="I488" s="4"/>
      <c r="J488" s="6">
        <f>IFERROR(__xludf.DUMMYFUNCTION("""COMPUTED_VALUE"""),46055.398402858795)</f>
        <v>46055.3984</v>
      </c>
      <c r="K488" s="6">
        <f>IFERROR(__xludf.DUMMYFUNCTION("""COMPUTED_VALUE"""),46063.38661069445)</f>
        <v>46063.38661</v>
      </c>
      <c r="L488" s="4"/>
      <c r="M488" s="4"/>
      <c r="N488" s="4"/>
      <c r="O488" s="4"/>
      <c r="P488" s="4"/>
      <c r="Q488" s="4"/>
      <c r="R488" s="4"/>
      <c r="S488" s="6">
        <f>IFERROR(__xludf.DUMMYFUNCTION("""COMPUTED_VALUE"""),46072.61732197917)</f>
        <v>46072.61732</v>
      </c>
      <c r="T488" s="4"/>
      <c r="U488" s="6">
        <f>IFERROR(__xludf.DUMMYFUNCTION("""COMPUTED_VALUE"""),46128.656739479164)</f>
        <v>46128.65674</v>
      </c>
      <c r="V488" s="4" t="str">
        <f>IFERROR(__xludf.DUMMYFUNCTION("""COMPUTED_VALUE"""),"Interesse apenas em Comer Fora")</f>
        <v>Interesse apenas em Comer Fora</v>
      </c>
      <c r="W488" s="4"/>
      <c r="X488" s="4"/>
      <c r="Y488" s="4"/>
      <c r="Z488" s="4"/>
      <c r="AA488" s="4">
        <f>IFERROR(__xludf.DUMMYFUNCTION("""COMPUTED_VALUE"""),3.0)</f>
        <v>3</v>
      </c>
      <c r="AB488" s="4" t="str">
        <f>IFERROR(__xludf.DUMMYFUNCTION("""COMPUTED_VALUE"""),"NÃO")</f>
        <v>NÃO</v>
      </c>
      <c r="AC488" s="4" t="str">
        <f>IFERROR(__xludf.DUMMYFUNCTION("""COMPUTED_VALUE"""),"BP")</f>
        <v>BP</v>
      </c>
      <c r="AD488" s="4"/>
      <c r="AE488" s="4"/>
      <c r="AF488" s="4"/>
      <c r="AG488" s="4"/>
      <c r="AH488" s="4"/>
      <c r="AI488" s="4"/>
      <c r="AJ488" s="4"/>
      <c r="AK488" s="4"/>
      <c r="AL488" s="4"/>
      <c r="AM488" s="4" t="str">
        <f>IFERROR(__xludf.DUMMYFUNCTION("""COMPUTED_VALUE"""),"FY26, FY27")</f>
        <v>FY26, FY27</v>
      </c>
      <c r="AN488" s="4" t="str">
        <f>IFERROR(__xludf.DUMMYFUNCTION("""COMPUTED_VALUE"""),"Comer Fora")</f>
        <v>Comer Fora</v>
      </c>
      <c r="AO488" s="4">
        <f>IFERROR(__xludf.DUMMYFUNCTION("""COMPUTED_VALUE"""),140.0)</f>
        <v>140</v>
      </c>
      <c r="AP488" s="4" t="str">
        <f>IFERROR(__xludf.DUMMYFUNCTION("""COMPUTED_VALUE"""),"SP")</f>
        <v>SP</v>
      </c>
      <c r="AQ488" s="4" t="str">
        <f>IFERROR(__xludf.DUMMYFUNCTION("""COMPUTED_VALUE"""),"RODRIGO BESSER")</f>
        <v>RODRIGO BESSER</v>
      </c>
      <c r="AR488" s="4" t="str">
        <f>IFERROR(__xludf.DUMMYFUNCTION("""COMPUTED_VALUE"""),"ISABEL MEDEIROS")</f>
        <v>ISABEL MEDEIROS</v>
      </c>
      <c r="AS488" s="4" t="str">
        <f>IFERROR(__xludf.DUMMYFUNCTION("""COMPUTED_VALUE"""),"NATHALIE MERTENS")</f>
        <v>NATHALIE MERTENS</v>
      </c>
      <c r="AT488" s="4" t="str">
        <f>IFERROR(__xludf.DUMMYFUNCTION("""COMPUTED_VALUE"""),"MARIANA KATZ")</f>
        <v>MARIANA KATZ</v>
      </c>
      <c r="AU488" s="4" t="str">
        <f>IFERROR(__xludf.DUMMYFUNCTION("""COMPUTED_VALUE"""),"Ana")</f>
        <v>Ana</v>
      </c>
      <c r="AV488" s="4" t="str">
        <f>IFERROR(__xludf.DUMMYFUNCTION("""COMPUTED_VALUE"""),"Comer Fora-")</f>
        <v>Comer Fora-</v>
      </c>
      <c r="AW488" s="20" t="str">
        <f>IFERROR(__xludf.DUMMYFUNCTION("""COMPUTED_VALUE"""),"P e M - pipe")</f>
        <v>P e M - pipe</v>
      </c>
      <c r="AX488" s="4"/>
      <c r="AY488" s="4"/>
      <c r="AZ488" s="4" t="str">
        <f>IFERROR(__xludf.DUMMYFUNCTION("""COMPUTED_VALUE"""),"Chinesa")</f>
        <v>Chinesa</v>
      </c>
      <c r="BA488" s="4" t="str">
        <f>IFERROR(__xludf.DUMMYFUNCTION("""COMPUTED_VALUE"""),"Dado não disponível publicamente - Necessário Discovery")</f>
        <v>Dado não disponível publicamente - Necessário Discovery</v>
      </c>
      <c r="BB488" s="4" t="str">
        <f>IFERROR(__xludf.DUMMYFUNCTION("""COMPUTED_VALUE"""),"Japonês / Delivery + Kosher (São Paulo Higienópolis)")</f>
        <v>Japonês / Delivery + Kosher (São Paulo Higienópolis)</v>
      </c>
      <c r="BC488" s="4" t="str">
        <f>IFERROR(__xludf.DUMMYFUNCTION("""COMPUTED_VALUE"""),"São Paulo (3 unidades Higienópolis - Vilaboim, Veiga Filho, Kosher)")</f>
        <v>São Paulo (3 unidades Higienópolis - Vilaboim, Veiga Filho, Kosher)</v>
      </c>
      <c r="BD488" s="4" t="str">
        <f>IFERROR(__xludf.DUMMYFUNCTION("""COMPUTED_VALUE"""),"R$ 60-90")</f>
        <v>R$ 60-90</v>
      </c>
      <c r="BE488" s="4">
        <f>IFERROR(__xludf.DUMMYFUNCTION("""COMPUTED_VALUE"""),30.0)</f>
        <v>30</v>
      </c>
      <c r="BF488" s="4">
        <f>IFERROR(__xludf.DUMMYFUNCTION("""COMPUTED_VALUE"""),0.35)</f>
        <v>0.35</v>
      </c>
      <c r="BG488" s="4" t="str">
        <f>IFERROR(__xludf.DUMMYFUNCTION("""COMPUTED_VALUE"""),"Operação micro 3 lojas bairro Higienópolis. Escala baixa para E-DEPLOY. Kosher é nicho específico.")</f>
        <v>Operação micro 3 lojas bairro Higienópolis. Escala baixa para E-DEPLOY. Kosher é nicho específico.</v>
      </c>
      <c r="BH488" s="4" t="s">
        <v>95</v>
      </c>
      <c r="BI488" s="7">
        <v>0.6666666666666666</v>
      </c>
    </row>
    <row r="489" hidden="1">
      <c r="A489" s="4" t="str">
        <f>IFERROR(__xludf.DUMMYFUNCTION("""COMPUTED_VALUE"""),"Sushiaki - Grupo Master")</f>
        <v>Sushiaki - Grupo Master</v>
      </c>
      <c r="B489" s="4" t="str">
        <f>IFERROR(__xludf.DUMMYFUNCTION("""COMPUTED_VALUE"""),"Lídia Esteves")</f>
        <v>Lídia Esteves</v>
      </c>
      <c r="C489" s="4" t="str">
        <f>IFERROR(__xludf.DUMMYFUNCTION("""COMPUTED_VALUE"""),"Gabriela Roma")</f>
        <v>Gabriela Roma</v>
      </c>
      <c r="D489" s="4" t="str">
        <f>IFERROR(__xludf.DUMMYFUNCTION("""COMPUTED_VALUE"""),"10. Perdido")</f>
        <v>10. Perdido</v>
      </c>
      <c r="E489" s="4" t="str">
        <f>IFERROR(__xludf.DUMMYFUNCTION("""COMPUTED_VALUE"""),"Perdido - Fechou com concorrente")</f>
        <v>Perdido - Fechou com concorrente</v>
      </c>
      <c r="F489" s="4" t="str">
        <f>IFERROR(__xludf.DUMMYFUNCTION("""COMPUTED_VALUE"""),"P")</f>
        <v>P</v>
      </c>
      <c r="G489" s="5">
        <f>IFERROR(__xludf.DUMMYFUNCTION("""COMPUTED_VALUE"""),46120.0)</f>
        <v>46120</v>
      </c>
      <c r="H489" s="4" t="str">
        <f>IFERROR(__xludf.DUMMYFUNCTION("""COMPUTED_VALUE"""),"Parceiro rodando piloto com teknisa, não está engajado em fazer demo par apresentação do produto, estamos tentando engajar o cliente para demo, Rafa validando agenda mas estamos apertados. ")</f>
        <v>Parceiro rodando piloto com teknisa, não está engajado em fazer demo par apresentação do produto, estamos tentando engajar o cliente para demo, Rafa validando agenda mas estamos apertados. </v>
      </c>
      <c r="I489" s="4"/>
      <c r="J489" s="4"/>
      <c r="K489" s="6">
        <f>IFERROR(__xludf.DUMMYFUNCTION("""COMPUTED_VALUE"""),46064.0)</f>
        <v>46064</v>
      </c>
      <c r="L489" s="6">
        <f>IFERROR(__xludf.DUMMYFUNCTION("""COMPUTED_VALUE"""),46065.0)</f>
        <v>46065</v>
      </c>
      <c r="M489" s="6">
        <f>IFERROR(__xludf.DUMMYFUNCTION("""COMPUTED_VALUE"""),46077.0)</f>
        <v>46077</v>
      </c>
      <c r="N489" s="4"/>
      <c r="O489" s="4"/>
      <c r="P489" s="4"/>
      <c r="Q489" s="4"/>
      <c r="R489" s="6">
        <f>IFERROR(__xludf.DUMMYFUNCTION("""COMPUTED_VALUE"""),46136.40580778936)</f>
        <v>46136.40581</v>
      </c>
      <c r="S489" s="4"/>
      <c r="T489" s="4"/>
      <c r="U489" s="4"/>
      <c r="V489" s="4" t="str">
        <f>IFERROR(__xludf.DUMMYFUNCTION("""COMPUTED_VALUE"""),"Em negociação com outro PDV")</f>
        <v>Em negociação com outro PDV</v>
      </c>
      <c r="W489" s="4"/>
      <c r="X489" s="4"/>
      <c r="Y489" s="4"/>
      <c r="Z489" s="4"/>
      <c r="AA489" s="4">
        <f>IFERROR(__xludf.DUMMYFUNCTION("""COMPUTED_VALUE"""),18.0)</f>
        <v>18</v>
      </c>
      <c r="AB489" s="4" t="str">
        <f>IFERROR(__xludf.DUMMYFUNCTION("""COMPUTED_VALUE"""),"-")</f>
        <v>-</v>
      </c>
      <c r="AC489" s="4" t="str">
        <f>IFERROR(__xludf.DUMMYFUNCTION("""COMPUTED_VALUE"""),"-")</f>
        <v>-</v>
      </c>
      <c r="AD489" s="4"/>
      <c r="AE489" s="4"/>
      <c r="AF489" s="4"/>
      <c r="AG489" s="4"/>
      <c r="AH489" s="4"/>
      <c r="AI489" s="4"/>
      <c r="AJ489" s="4"/>
      <c r="AK489" s="4"/>
      <c r="AL489" s="4"/>
      <c r="AM489" s="4" t="str">
        <f>IFERROR(__xludf.DUMMYFUNCTION("""COMPUTED_VALUE"""),"FY26, FY27")</f>
        <v>FY26, FY27</v>
      </c>
      <c r="AN489" s="4"/>
      <c r="AO489" s="4">
        <f>IFERROR(__xludf.DUMMYFUNCTION("""COMPUTED_VALUE"""),95.0)</f>
        <v>95</v>
      </c>
      <c r="AP489" s="4">
        <f>IFERROR(__xludf.DUMMYFUNCTION("""COMPUTED_VALUE"""),0.0)</f>
        <v>0</v>
      </c>
      <c r="AQ489" s="4">
        <f>IFERROR(__xludf.DUMMYFUNCTION("""COMPUTED_VALUE"""),0.0)</f>
        <v>0</v>
      </c>
      <c r="AR489" s="4">
        <f>IFERROR(__xludf.DUMMYFUNCTION("""COMPUTED_VALUE"""),0.0)</f>
        <v>0</v>
      </c>
      <c r="AS489" s="4">
        <f>IFERROR(__xludf.DUMMYFUNCTION("""COMPUTED_VALUE"""),0.0)</f>
        <v>0</v>
      </c>
      <c r="AT489" s="4">
        <f>IFERROR(__xludf.DUMMYFUNCTION("""COMPUTED_VALUE"""),0.0)</f>
        <v>0</v>
      </c>
      <c r="AU489" s="4" t="str">
        <f>IFERROR(__xludf.DUMMYFUNCTION("""COMPUTED_VALUE"""),"Lídia / Emerson")</f>
        <v>Lídia / Emerson</v>
      </c>
      <c r="AV489" s="4">
        <f>IFERROR(__xludf.DUMMYFUNCTION("""COMPUTED_VALUE"""),0.0)</f>
        <v>0</v>
      </c>
      <c r="AW489" s="4">
        <f>IFERROR(__xludf.DUMMYFUNCTION("""COMPUTED_VALUE"""),0.0)</f>
        <v>0</v>
      </c>
      <c r="AX489" s="4">
        <f>IFERROR(__xludf.DUMMYFUNCTION("""COMPUTED_VALUE"""),0.0)</f>
        <v>0</v>
      </c>
      <c r="AY489" s="4"/>
      <c r="AZ489" s="4" t="str">
        <f>IFERROR(__xludf.DUMMYFUNCTION("""COMPUTED_VALUE"""),"NA")</f>
        <v>NA</v>
      </c>
      <c r="BA489" s="4" t="str">
        <f>IFERROR(__xludf.DUMMYFUNCTION("""COMPUTED_VALUE"""),"")</f>
        <v/>
      </c>
      <c r="BB489" s="4" t="str">
        <f>IFERROR(__xludf.DUMMYFUNCTION("""COMPUTED_VALUE"""),"")</f>
        <v/>
      </c>
      <c r="BC489" s="4" t="str">
        <f>IFERROR(__xludf.DUMMYFUNCTION("""COMPUTED_VALUE"""),"")</f>
        <v/>
      </c>
      <c r="BD489" s="4" t="str">
        <f>IFERROR(__xludf.DUMMYFUNCTION("""COMPUTED_VALUE"""),"")</f>
        <v/>
      </c>
      <c r="BE489" s="4" t="str">
        <f>IFERROR(__xludf.DUMMYFUNCTION("""COMPUTED_VALUE"""),"")</f>
        <v/>
      </c>
      <c r="BF489" s="4" t="str">
        <f>IFERROR(__xludf.DUMMYFUNCTION("""COMPUTED_VALUE"""),"")</f>
        <v/>
      </c>
      <c r="BG489" s="4" t="str">
        <f>IFERROR(__xludf.DUMMYFUNCTION("""COMPUTED_VALUE"""),"")</f>
        <v/>
      </c>
      <c r="BH489" s="4" t="s">
        <v>136</v>
      </c>
      <c r="BI489" s="7">
        <v>0.45454545454545453</v>
      </c>
    </row>
    <row r="490" hidden="1">
      <c r="A490" s="4" t="str">
        <f>IFERROR(__xludf.DUMMYFUNCTION("""COMPUTED_VALUE"""),"Temakeria Com")</f>
        <v>Temakeria Com</v>
      </c>
      <c r="B490" s="4" t="str">
        <f>IFERROR(__xludf.DUMMYFUNCTION("""COMPUTED_VALUE"""),"Lídia Esteves")</f>
        <v>Lídia Esteves</v>
      </c>
      <c r="C490" s="4" t="str">
        <f>IFERROR(__xludf.DUMMYFUNCTION("""COMPUTED_VALUE"""),"Gabriela Roma")</f>
        <v>Gabriela Roma</v>
      </c>
      <c r="D490" s="4" t="str">
        <f>IFERROR(__xludf.DUMMYFUNCTION("""COMPUTED_VALUE"""),"0. Não Iniciado")</f>
        <v>0. Não Iniciado</v>
      </c>
      <c r="E490" s="4"/>
      <c r="F490" s="4" t="str">
        <f>IFERROR(__xludf.DUMMYFUNCTION("""COMPUTED_VALUE"""),"P")</f>
        <v>P</v>
      </c>
      <c r="G490" s="4"/>
      <c r="H490" s="4"/>
      <c r="I490" s="4"/>
      <c r="J490" s="4"/>
      <c r="K490" s="4"/>
      <c r="L490" s="4"/>
      <c r="M490" s="4"/>
      <c r="N490" s="4"/>
      <c r="O490" s="4"/>
      <c r="P490" s="4"/>
      <c r="Q490" s="4"/>
      <c r="R490" s="4"/>
      <c r="S490" s="4"/>
      <c r="T490" s="4"/>
      <c r="U490" s="4"/>
      <c r="V490" s="4"/>
      <c r="W490" s="4"/>
      <c r="X490" s="4"/>
      <c r="Y490" s="4"/>
      <c r="Z490" s="4"/>
      <c r="AA490" s="4">
        <f>IFERROR(__xludf.DUMMYFUNCTION("""COMPUTED_VALUE"""),6.0)</f>
        <v>6</v>
      </c>
      <c r="AB490" s="4" t="str">
        <f>IFERROR(__xludf.DUMMYFUNCTION("""COMPUTED_VALUE"""),"-")</f>
        <v>-</v>
      </c>
      <c r="AC490" s="4" t="str">
        <f>IFERROR(__xludf.DUMMYFUNCTION("""COMPUTED_VALUE"""),"-")</f>
        <v>-</v>
      </c>
      <c r="AD490" s="4"/>
      <c r="AE490" s="4"/>
      <c r="AF490" s="4"/>
      <c r="AG490" s="4"/>
      <c r="AH490" s="4"/>
      <c r="AI490" s="4"/>
      <c r="AJ490" s="4"/>
      <c r="AK490" s="4"/>
      <c r="AL490" s="4"/>
      <c r="AM490" s="4" t="str">
        <f>IFERROR(__xludf.DUMMYFUNCTION("""COMPUTED_VALUE"""),"FY26, FY27")</f>
        <v>FY26, FY27</v>
      </c>
      <c r="AN490" s="4"/>
      <c r="AO490" s="4">
        <f>IFERROR(__xludf.DUMMYFUNCTION("""COMPUTED_VALUE"""),45553.0)</f>
        <v>45553</v>
      </c>
      <c r="AP490" s="4" t="str">
        <f>IFERROR(__xludf.DUMMYFUNCTION("""COMPUTED_VALUE"""),"SP")</f>
        <v>SP</v>
      </c>
      <c r="AQ490" s="4" t="str">
        <f>IFERROR(__xludf.DUMMYFUNCTION("""COMPUTED_VALUE"""),"VITOR SERRANO")</f>
        <v>VITOR SERRANO</v>
      </c>
      <c r="AR490" s="4" t="str">
        <f>IFERROR(__xludf.DUMMYFUNCTION("""COMPUTED_VALUE"""),"RAFAEL FERNANDES")</f>
        <v>RAFAEL FERNANDES</v>
      </c>
      <c r="AS490" s="4" t="str">
        <f>IFERROR(__xludf.DUMMYFUNCTION("""COMPUTED_VALUE"""),"ALAN HADDAD")</f>
        <v>ALAN HADDAD</v>
      </c>
      <c r="AT490" s="4" t="str">
        <f>IFERROR(__xludf.DUMMYFUNCTION("""COMPUTED_VALUE"""),"ISABELA DINIZ")</f>
        <v>ISABELA DINIZ</v>
      </c>
      <c r="AU490" s="4" t="str">
        <f>IFERROR(__xludf.DUMMYFUNCTION("""COMPUTED_VALUE"""),"Lídia / Emerson")</f>
        <v>Lídia / Emerson</v>
      </c>
      <c r="AV490" s="4">
        <f>IFERROR(__xludf.DUMMYFUNCTION("""COMPUTED_VALUE"""),0.0)</f>
        <v>0</v>
      </c>
      <c r="AW490" s="4">
        <f>IFERROR(__xludf.DUMMYFUNCTION("""COMPUTED_VALUE"""),0.0)</f>
        <v>0</v>
      </c>
      <c r="AX490" s="4">
        <f>IFERROR(__xludf.DUMMYFUNCTION("""COMPUTED_VALUE"""),0.0)</f>
        <v>0</v>
      </c>
      <c r="AY490" s="4"/>
      <c r="AZ490" s="4" t="str">
        <f>IFERROR(__xludf.DUMMYFUNCTION("""COMPUTED_VALUE"""),"Japonesa")</f>
        <v>Japonesa</v>
      </c>
      <c r="BA490" s="4" t="str">
        <f>IFERROR(__xludf.DUMMYFUNCTION("""COMPUTED_VALUE"""),"")</f>
        <v/>
      </c>
      <c r="BB490" s="4" t="str">
        <f>IFERROR(__xludf.DUMMYFUNCTION("""COMPUTED_VALUE"""),"")</f>
        <v/>
      </c>
      <c r="BC490" s="4" t="str">
        <f>IFERROR(__xludf.DUMMYFUNCTION("""COMPUTED_VALUE"""),"")</f>
        <v/>
      </c>
      <c r="BD490" s="4" t="str">
        <f>IFERROR(__xludf.DUMMYFUNCTION("""COMPUTED_VALUE"""),"")</f>
        <v/>
      </c>
      <c r="BE490" s="4" t="str">
        <f>IFERROR(__xludf.DUMMYFUNCTION("""COMPUTED_VALUE"""),"")</f>
        <v/>
      </c>
      <c r="BF490" s="4" t="str">
        <f>IFERROR(__xludf.DUMMYFUNCTION("""COMPUTED_VALUE"""),"")</f>
        <v/>
      </c>
      <c r="BG490" s="4" t="str">
        <f>IFERROR(__xludf.DUMMYFUNCTION("""COMPUTED_VALUE"""),"")</f>
        <v/>
      </c>
      <c r="BH490" s="4" t="s">
        <v>139</v>
      </c>
      <c r="BI490" s="7">
        <v>0.5384615384615384</v>
      </c>
    </row>
    <row r="491" hidden="1">
      <c r="A491" s="4" t="str">
        <f>IFERROR(__xludf.DUMMYFUNCTION("""COMPUTED_VALUE"""),"Temaki Fry")</f>
        <v>Temaki Fry</v>
      </c>
      <c r="B491" s="4" t="str">
        <f>IFERROR(__xludf.DUMMYFUNCTION("""COMPUTED_VALUE"""),"João Biagiotti")</f>
        <v>João Biagiotti</v>
      </c>
      <c r="C491" s="4" t="str">
        <f>IFERROR(__xludf.DUMMYFUNCTION("""COMPUTED_VALUE"""),"Diego Santos")</f>
        <v>Diego Santos</v>
      </c>
      <c r="D491" s="4" t="str">
        <f>IFERROR(__xludf.DUMMYFUNCTION("""COMPUTED_VALUE"""),"13. Reativado")</f>
        <v>13. Reativado</v>
      </c>
      <c r="E491" s="4" t="str">
        <f>IFERROR(__xludf.DUMMYFUNCTION("""COMPUTED_VALUE"""),"Delivery - Momento inadequado de abordagem (ex. 99)")</f>
        <v>Delivery - Momento inadequado de abordagem (ex. 99)</v>
      </c>
      <c r="F491" s="4" t="str">
        <f>IFERROR(__xludf.DUMMYFUNCTION("""COMPUTED_VALUE"""),"P")</f>
        <v>P</v>
      </c>
      <c r="G491" s="5">
        <f>IFERROR(__xludf.DUMMYFUNCTION("""COMPUTED_VALUE"""),46076.0)</f>
        <v>46076</v>
      </c>
      <c r="H491" s="4" t="str">
        <f>IFERROR(__xludf.DUMMYFUNCTION("""COMPUTED_VALUE"""),"Pediram para voltar contato em Abril/26")</f>
        <v>Pediram para voltar contato em Abril/26</v>
      </c>
      <c r="I491" s="4"/>
      <c r="J491" s="4"/>
      <c r="K491" s="6">
        <f>IFERROR(__xludf.DUMMYFUNCTION("""COMPUTED_VALUE"""),45946.0)</f>
        <v>45946</v>
      </c>
      <c r="L491" s="6">
        <f>IFERROR(__xludf.DUMMYFUNCTION("""COMPUTED_VALUE"""),46052.43453140046)</f>
        <v>46052.43453</v>
      </c>
      <c r="M491" s="4"/>
      <c r="N491" s="4"/>
      <c r="O491" s="4"/>
      <c r="P491" s="4"/>
      <c r="Q491" s="4"/>
      <c r="R491" s="4"/>
      <c r="S491" s="6">
        <f>IFERROR(__xludf.DUMMYFUNCTION("""COMPUTED_VALUE"""),46065.63961733796)</f>
        <v>46065.63962</v>
      </c>
      <c r="T491" s="4"/>
      <c r="U491" s="6">
        <f>IFERROR(__xludf.DUMMYFUNCTION("""COMPUTED_VALUE"""),46128.65505395833)</f>
        <v>46128.65505</v>
      </c>
      <c r="V491" s="4" t="str">
        <f>IFERROR(__xludf.DUMMYFUNCTION("""COMPUTED_VALUE"""),"Outros")</f>
        <v>Outros</v>
      </c>
      <c r="W491" s="4"/>
      <c r="X491" s="4"/>
      <c r="Y491" s="4"/>
      <c r="Z491" s="4"/>
      <c r="AA491" s="4">
        <f>IFERROR(__xludf.DUMMYFUNCTION("""COMPUTED_VALUE"""),20.0)</f>
        <v>20</v>
      </c>
      <c r="AB491" s="4"/>
      <c r="AC491" s="4"/>
      <c r="AD491" s="4"/>
      <c r="AE491" s="4"/>
      <c r="AF491" s="4"/>
      <c r="AG491" s="4"/>
      <c r="AH491" s="4"/>
      <c r="AI491" s="4"/>
      <c r="AJ491" s="4"/>
      <c r="AK491" s="4"/>
      <c r="AL491" s="4"/>
      <c r="AM491" s="4" t="str">
        <f>IFERROR(__xludf.DUMMYFUNCTION("""COMPUTED_VALUE"""),"FY26, FY27")</f>
        <v>FY26, FY27</v>
      </c>
      <c r="AN491" s="4" t="str">
        <f>IFERROR(__xludf.DUMMYFUNCTION("""COMPUTED_VALUE"""),"Comer Fora")</f>
        <v>Comer Fora</v>
      </c>
      <c r="AO491" s="4">
        <f>IFERROR(__xludf.DUMMYFUNCTION("""COMPUTED_VALUE"""),140.0)</f>
        <v>140</v>
      </c>
      <c r="AP491" s="4" t="str">
        <f>IFERROR(__xludf.DUMMYFUNCTION("""COMPUTED_VALUE"""),"SP")</f>
        <v>SP</v>
      </c>
      <c r="AQ491" s="4" t="str">
        <f>IFERROR(__xludf.DUMMYFUNCTION("""COMPUTED_VALUE"""),"FABRYCIO MORI")</f>
        <v>FABRYCIO MORI</v>
      </c>
      <c r="AR491" s="4" t="str">
        <f>IFERROR(__xludf.DUMMYFUNCTION("""COMPUTED_VALUE"""),"LUCAS VALENTIM")</f>
        <v>LUCAS VALENTIM</v>
      </c>
      <c r="AS491" s="4" t="str">
        <f>IFERROR(__xludf.DUMMYFUNCTION("""COMPUTED_VALUE"""),"NATHALIE MERTENS")</f>
        <v>NATHALIE MERTENS</v>
      </c>
      <c r="AT491" s="4" t="str">
        <f>IFERROR(__xludf.DUMMYFUNCTION("""COMPUTED_VALUE"""),"MATHEUS LESSA")</f>
        <v>MATHEUS LESSA</v>
      </c>
      <c r="AU491" s="4" t="str">
        <f>IFERROR(__xludf.DUMMYFUNCTION("""COMPUTED_VALUE"""),"Ana")</f>
        <v>Ana</v>
      </c>
      <c r="AV491" s="4" t="str">
        <f>IFERROR(__xludf.DUMMYFUNCTION("""COMPUTED_VALUE"""),"Comer Fora-")</f>
        <v>Comer Fora-</v>
      </c>
      <c r="AW491" s="20" t="str">
        <f>IFERROR(__xludf.DUMMYFUNCTION("""COMPUTED_VALUE"""),"P e M - pipe")</f>
        <v>P e M - pipe</v>
      </c>
      <c r="AX491" s="4"/>
      <c r="AY491" s="4"/>
      <c r="AZ491" s="4" t="str">
        <f>IFERROR(__xludf.DUMMYFUNCTION("""COMPUTED_VALUE"""),"Asiática")</f>
        <v>Asiática</v>
      </c>
      <c r="BA491" s="4" t="str">
        <f>IFERROR(__xludf.DUMMYFUNCTION("""COMPUTED_VALUE"""),"Dado não disponível publicamente - Necessário Discovery")</f>
        <v>Dado não disponível publicamente - Necessário Discovery</v>
      </c>
      <c r="BB491" s="4" t="str">
        <f>IFERROR(__xludf.DUMMYFUNCTION("""COMPUTED_VALUE"""),"Fast Casual / Temakeria (SP, RJ, GO - Brasília em breve)")</f>
        <v>Fast Casual / Temakeria (SP, RJ, GO - Brasília em breve)</v>
      </c>
      <c r="BC491" s="4" t="str">
        <f>IFERROR(__xludf.DUMMYFUNCTION("""COMPUTED_VALUE"""),"Multi-regional (3 estados: São Paulo, Rio de Janeiro, Goiás + DF em breve)")</f>
        <v>Multi-regional (3 estados: São Paulo, Rio de Janeiro, Goiás + DF em breve)</v>
      </c>
      <c r="BD491" s="4" t="str">
        <f>IFERROR(__xludf.DUMMYFUNCTION("""COMPUTED_VALUE"""),"R$ 35-60")</f>
        <v>R$ 35-60</v>
      </c>
      <c r="BE491" s="4">
        <f>IFERROR(__xludf.DUMMYFUNCTION("""COMPUTED_VALUE"""),60.0)</f>
        <v>60</v>
      </c>
      <c r="BF491" s="4">
        <f>IFERROR(__xludf.DUMMYFUNCTION("""COMPUTED_VALUE"""),0.65)</f>
        <v>0.65</v>
      </c>
      <c r="BG491" s="4" t="str">
        <f>IFERROR(__xludf.DUMMYFUNCTION("""COMPUTED_VALUE"""),"Rede 19 lojas em 3 estados. Fast Casual temaki: Kiosk customização + E-DEPLOY nacional. Boa aderência.")</f>
        <v>Rede 19 lojas em 3 estados. Fast Casual temaki: Kiosk customização + E-DEPLOY nacional. Boa aderência.</v>
      </c>
      <c r="BH491" s="4" t="s">
        <v>71</v>
      </c>
      <c r="BI491" s="7">
        <v>0.6666666666666666</v>
      </c>
    </row>
    <row r="492" hidden="1">
      <c r="A492" s="4" t="str">
        <f>IFERROR(__xludf.DUMMYFUNCTION("""COMPUTED_VALUE"""),"Templo Da Carne Marcos Bassi")</f>
        <v>Templo Da Carne Marcos Bassi</v>
      </c>
      <c r="B492" s="4" t="str">
        <f>IFERROR(__xludf.DUMMYFUNCTION("""COMPUTED_VALUE"""),"João Biagiotti")</f>
        <v>João Biagiotti</v>
      </c>
      <c r="C492" s="4" t="str">
        <f>IFERROR(__xludf.DUMMYFUNCTION("""COMPUTED_VALUE"""),"Diego Santos")</f>
        <v>Diego Santos</v>
      </c>
      <c r="D492" s="4" t="str">
        <f>IFERROR(__xludf.DUMMYFUNCTION("""COMPUTED_VALUE"""),"0. Não Iniciado")</f>
        <v>0. Não Iniciado</v>
      </c>
      <c r="E492" s="4" t="str">
        <f>IFERROR(__xludf.DUMMYFUNCTION("""COMPUTED_VALUE"""),"Comercial - Tentativa não iniciada")</f>
        <v>Comercial - Tentativa não iniciada</v>
      </c>
      <c r="F492" s="4" t="str">
        <f>IFERROR(__xludf.DUMMYFUNCTION("""COMPUTED_VALUE"""),"P")</f>
        <v>P</v>
      </c>
      <c r="G492" s="5">
        <f>IFERROR(__xludf.DUMMYFUNCTION("""COMPUTED_VALUE"""),46076.0)</f>
        <v>46076</v>
      </c>
      <c r="H492" s="4" t="str">
        <f>IFERROR(__xludf.DUMMYFUNCTION("""COMPUTED_VALUE"""),"Nova abordagem")</f>
        <v>Nova abordagem</v>
      </c>
      <c r="I492" s="4"/>
      <c r="J492" s="4"/>
      <c r="K492" s="4"/>
      <c r="L492" s="4"/>
      <c r="M492" s="4"/>
      <c r="N492" s="4"/>
      <c r="O492" s="4"/>
      <c r="P492" s="4"/>
      <c r="Q492" s="4"/>
      <c r="R492" s="4"/>
      <c r="S492" s="4"/>
      <c r="T492" s="4"/>
      <c r="U492" s="4"/>
      <c r="V492" s="4"/>
      <c r="W492" s="4"/>
      <c r="X492" s="4"/>
      <c r="Y492" s="4"/>
      <c r="Z492" s="4"/>
      <c r="AA492" s="4">
        <f>IFERROR(__xludf.DUMMYFUNCTION("""COMPUTED_VALUE"""),2.0)</f>
        <v>2</v>
      </c>
      <c r="AB492" s="4" t="str">
        <f>IFERROR(__xludf.DUMMYFUNCTION("""COMPUTED_VALUE"""),"NÃO")</f>
        <v>NÃO</v>
      </c>
      <c r="AC492" s="4" t="str">
        <f>IFERROR(__xludf.DUMMYFUNCTION("""COMPUTED_VALUE"""),"BP")</f>
        <v>BP</v>
      </c>
      <c r="AD492" s="4"/>
      <c r="AE492" s="4"/>
      <c r="AF492" s="4"/>
      <c r="AG492" s="4"/>
      <c r="AH492" s="4"/>
      <c r="AI492" s="4"/>
      <c r="AJ492" s="4"/>
      <c r="AK492" s="4"/>
      <c r="AL492" s="4"/>
      <c r="AM492" s="4" t="str">
        <f>IFERROR(__xludf.DUMMYFUNCTION("""COMPUTED_VALUE"""),"FY26, FY27")</f>
        <v>FY26, FY27</v>
      </c>
      <c r="AN492" s="4" t="str">
        <f>IFERROR(__xludf.DUMMYFUNCTION("""COMPUTED_VALUE"""),"Comer Fora")</f>
        <v>Comer Fora</v>
      </c>
      <c r="AO492" s="4">
        <f>IFERROR(__xludf.DUMMYFUNCTION("""COMPUTED_VALUE"""),140.0)</f>
        <v>140</v>
      </c>
      <c r="AP492" s="4" t="str">
        <f>IFERROR(__xludf.DUMMYFUNCTION("""COMPUTED_VALUE"""),"SP")</f>
        <v>SP</v>
      </c>
      <c r="AQ492" s="4" t="str">
        <f>IFERROR(__xludf.DUMMYFUNCTION("""COMPUTED_VALUE"""),"GABRIEL BISPO")</f>
        <v>GABRIEL BISPO</v>
      </c>
      <c r="AR492" s="4" t="str">
        <f>IFERROR(__xludf.DUMMYFUNCTION("""COMPUTED_VALUE"""),"EDUARDO FIGUEIREDO")</f>
        <v>EDUARDO FIGUEIREDO</v>
      </c>
      <c r="AS492" s="4" t="str">
        <f>IFERROR(__xludf.DUMMYFUNCTION("""COMPUTED_VALUE"""),"NATHALIE MERTENS")</f>
        <v>NATHALIE MERTENS</v>
      </c>
      <c r="AT492" s="4" t="str">
        <f>IFERROR(__xludf.DUMMYFUNCTION("""COMPUTED_VALUE"""),"MARIANA KATZ")</f>
        <v>MARIANA KATZ</v>
      </c>
      <c r="AU492" s="4" t="str">
        <f>IFERROR(__xludf.DUMMYFUNCTION("""COMPUTED_VALUE"""),"Iza")</f>
        <v>Iza</v>
      </c>
      <c r="AV492" s="4" t="str">
        <f>IFERROR(__xludf.DUMMYFUNCTION("""COMPUTED_VALUE"""),"Comer Fora-")</f>
        <v>Comer Fora-</v>
      </c>
      <c r="AW492" s="20" t="str">
        <f>IFERROR(__xludf.DUMMYFUNCTION("""COMPUTED_VALUE"""),"P e M - pipe")</f>
        <v>P e M - pipe</v>
      </c>
      <c r="AX492" s="4"/>
      <c r="AY492" s="4"/>
      <c r="AZ492" s="4" t="str">
        <f>IFERROR(__xludf.DUMMYFUNCTION("""COMPUTED_VALUE"""),"Brasileira")</f>
        <v>Brasileira</v>
      </c>
      <c r="BA492" s="4" t="str">
        <f>IFERROR(__xludf.DUMMYFUNCTION("""COMPUTED_VALUE"""),"R$ 150-250")</f>
        <v>R$ 150-250</v>
      </c>
      <c r="BB492" s="4" t="str">
        <f>IFERROR(__xludf.DUMMYFUNCTION("""COMPUTED_VALUE"""),"Fine Dining - Churrascaria Premium")</f>
        <v>Fine Dining - Churrascaria Premium</v>
      </c>
      <c r="BC492" s="4" t="str">
        <f>IFERROR(__xludf.DUMMYFUNCTION("""COMPUTED_VALUE"""),"São Paulo/SP (Bela Vista) - Loja única")</f>
        <v>São Paulo/SP (Bela Vista) - Loja única</v>
      </c>
      <c r="BD492" s="4" t="str">
        <f>IFERROR(__xludf.DUMMYFUNCTION("""COMPUTED_VALUE"""),"Necessário Discovery")</f>
        <v>Necessário Discovery</v>
      </c>
      <c r="BE492" s="4">
        <f>IFERROR(__xludf.DUMMYFUNCTION("""COMPUTED_VALUE"""),62.0)</f>
        <v>62</v>
      </c>
      <c r="BF492" s="4">
        <f>IFERROR(__xludf.DUMMYFUNCTION("""COMPUTED_VALUE"""),0.65)</f>
        <v>0.65</v>
      </c>
      <c r="BG492" s="4" t="str">
        <f>IFERROR(__xludf.DUMMYFUNCTION("""COMPUTED_VALUE"""),"PDV não identificado - Loja única icônica SP (Steak Revolution 2013). Fine dining premiado. 3S: PDV Mobile, comandas premium, integração delivery/empório. Aderência alta por complexidade operacional")</f>
        <v>PDV não identificado - Loja única icônica SP (Steak Revolution 2013). Fine dining premiado. 3S: PDV Mobile, comandas premium, integração delivery/empório. Aderência alta por complexidade operacional</v>
      </c>
      <c r="BH492" s="4" t="s">
        <v>129</v>
      </c>
      <c r="BI492" s="7">
        <v>0.3333333333333333</v>
      </c>
    </row>
    <row r="493" hidden="1">
      <c r="A493" s="4" t="str">
        <f>IFERROR(__xludf.DUMMYFUNCTION("""COMPUTED_VALUE"""),"Tentazione Pizzaria")</f>
        <v>Tentazione Pizzaria</v>
      </c>
      <c r="B493" s="4" t="str">
        <f>IFERROR(__xludf.DUMMYFUNCTION("""COMPUTED_VALUE"""),"Lídia Esteves")</f>
        <v>Lídia Esteves</v>
      </c>
      <c r="C493" s="4" t="str">
        <f>IFERROR(__xludf.DUMMYFUNCTION("""COMPUTED_VALUE"""),"Gabriela Roma")</f>
        <v>Gabriela Roma</v>
      </c>
      <c r="D493" s="4" t="str">
        <f>IFERROR(__xludf.DUMMYFUNCTION("""COMPUTED_VALUE"""),"2. Primeiro contato com a marca")</f>
        <v>2. Primeiro contato com a marca</v>
      </c>
      <c r="E493" s="4" t="str">
        <f>IFERROR(__xludf.DUMMYFUNCTION("""COMPUTED_VALUE"""),"Parceiro - Aguardando retorno / Conciliação agenda")</f>
        <v>Parceiro - Aguardando retorno / Conciliação agenda</v>
      </c>
      <c r="F493" s="4" t="str">
        <f>IFERROR(__xludf.DUMMYFUNCTION("""COMPUTED_VALUE"""),"P")</f>
        <v>P</v>
      </c>
      <c r="G493" s="5">
        <f>IFERROR(__xludf.DUMMYFUNCTION("""COMPUTED_VALUE"""),46120.0)</f>
        <v>46120</v>
      </c>
      <c r="H493" s="4" t="str">
        <f>IFERROR(__xludf.DUMMYFUNCTION("""COMPUTED_VALUE"""),"mãe da prop em estado crítico de saúde")</f>
        <v>mãe da prop em estado crítico de saúde</v>
      </c>
      <c r="I493" s="4"/>
      <c r="J493" s="6">
        <f>IFERROR(__xludf.DUMMYFUNCTION("""COMPUTED_VALUE"""),46107.62926341435)</f>
        <v>46107.62926</v>
      </c>
      <c r="K493" s="4"/>
      <c r="L493" s="4"/>
      <c r="M493" s="4"/>
      <c r="N493" s="4"/>
      <c r="O493" s="4"/>
      <c r="P493" s="4"/>
      <c r="Q493" s="4"/>
      <c r="R493" s="4"/>
      <c r="S493" s="4"/>
      <c r="T493" s="4"/>
      <c r="U493" s="4"/>
      <c r="V493" s="4"/>
      <c r="W493" s="4"/>
      <c r="X493" s="4"/>
      <c r="Y493" s="4"/>
      <c r="Z493" s="4"/>
      <c r="AA493" s="4">
        <f>IFERROR(__xludf.DUMMYFUNCTION("""COMPUTED_VALUE"""),6.0)</f>
        <v>6</v>
      </c>
      <c r="AB493" s="4" t="str">
        <f>IFERROR(__xludf.DUMMYFUNCTION("""COMPUTED_VALUE"""),"-")</f>
        <v>-</v>
      </c>
      <c r="AC493" s="4" t="str">
        <f>IFERROR(__xludf.DUMMYFUNCTION("""COMPUTED_VALUE"""),"-")</f>
        <v>-</v>
      </c>
      <c r="AD493" s="4"/>
      <c r="AE493" s="4"/>
      <c r="AF493" s="4"/>
      <c r="AG493" s="4"/>
      <c r="AH493" s="4"/>
      <c r="AI493" s="4"/>
      <c r="AJ493" s="4"/>
      <c r="AK493" s="4"/>
      <c r="AL493" s="4"/>
      <c r="AM493" s="4" t="str">
        <f>IFERROR(__xludf.DUMMYFUNCTION("""COMPUTED_VALUE"""),"FY26, FY27")</f>
        <v>FY26, FY27</v>
      </c>
      <c r="AN493" s="4"/>
      <c r="AO493" s="4">
        <f>IFERROR(__xludf.DUMMYFUNCTION("""COMPUTED_VALUE"""),95.0)</f>
        <v>95</v>
      </c>
      <c r="AP493" s="4" t="str">
        <f>IFERROR(__xludf.DUMMYFUNCTION("""COMPUTED_VALUE"""),"PR")</f>
        <v>PR</v>
      </c>
      <c r="AQ493" s="4" t="str">
        <f>IFERROR(__xludf.DUMMYFUNCTION("""COMPUTED_VALUE"""),"BRUNA MONTEZIN")</f>
        <v>BRUNA MONTEZIN</v>
      </c>
      <c r="AR493" s="4" t="str">
        <f>IFERROR(__xludf.DUMMYFUNCTION("""COMPUTED_VALUE"""),"TULIO VICARI")</f>
        <v>TULIO VICARI</v>
      </c>
      <c r="AS493" s="4" t="str">
        <f>IFERROR(__xludf.DUMMYFUNCTION("""COMPUTED_VALUE"""),"FABIO DONATO")</f>
        <v>FABIO DONATO</v>
      </c>
      <c r="AT493" s="4" t="str">
        <f>IFERROR(__xludf.DUMMYFUNCTION("""COMPUTED_VALUE"""),"MURILO NAGASHIMA")</f>
        <v>MURILO NAGASHIMA</v>
      </c>
      <c r="AU493" s="4" t="str">
        <f>IFERROR(__xludf.DUMMYFUNCTION("""COMPUTED_VALUE"""),"Lídia / Emerson")</f>
        <v>Lídia / Emerson</v>
      </c>
      <c r="AV493" s="4">
        <f>IFERROR(__xludf.DUMMYFUNCTION("""COMPUTED_VALUE"""),0.0)</f>
        <v>0</v>
      </c>
      <c r="AW493" s="4">
        <f>IFERROR(__xludf.DUMMYFUNCTION("""COMPUTED_VALUE"""),0.0)</f>
        <v>0</v>
      </c>
      <c r="AX493" s="4">
        <f>IFERROR(__xludf.DUMMYFUNCTION("""COMPUTED_VALUE"""),0.0)</f>
        <v>0</v>
      </c>
      <c r="AY493" s="4"/>
      <c r="AZ493" s="4" t="str">
        <f>IFERROR(__xludf.DUMMYFUNCTION("""COMPUTED_VALUE"""),"Lanches")</f>
        <v>Lanches</v>
      </c>
      <c r="BA493" s="4" t="str">
        <f>IFERROR(__xludf.DUMMYFUNCTION("""COMPUTED_VALUE"""),"Dado não disponível publicamente - Necessário Discovery")</f>
        <v>Dado não disponível publicamente - Necessário Discovery</v>
      </c>
      <c r="BB493" s="4" t="str">
        <f>IFERROR(__xludf.DUMMYFUNCTION("""COMPUTED_VALUE"""),"Pizzaria Local / Delivery + Salão (Maringá-PR)")</f>
        <v>Pizzaria Local / Delivery + Salão (Maringá-PR)</v>
      </c>
      <c r="BC493" s="4" t="str">
        <f>IFERROR(__xludf.DUMMYFUNCTION("""COMPUTED_VALUE"""),"Maringá-PR (3 unidades: Cerro Azul, Pedro Taques, Avenida Herval)")</f>
        <v>Maringá-PR (3 unidades: Cerro Azul, Pedro Taques, Avenida Herval)</v>
      </c>
      <c r="BD493" s="4" t="str">
        <f>IFERROR(__xludf.DUMMYFUNCTION("""COMPUTED_VALUE"""),"R$ 40-60")</f>
        <v>R$ 40-60</v>
      </c>
      <c r="BE493" s="4">
        <f>IFERROR(__xludf.DUMMYFUNCTION("""COMPUTED_VALUE"""),30.0)</f>
        <v>30</v>
      </c>
      <c r="BF493" s="4">
        <f>IFERROR(__xludf.DUMMYFUNCTION("""COMPUTED_VALUE"""),0.35)</f>
        <v>0.35</v>
      </c>
      <c r="BG493" s="4" t="str">
        <f>IFERROR(__xludf.DUMMYFUNCTION("""COMPUTED_VALUE"""),"Pizzaria local Maringá 3 lojas. Escala baixa para E-DEPLOY completo. Aderência baixa-média.")</f>
        <v>Pizzaria local Maringá 3 lojas. Escala baixa para E-DEPLOY completo. Aderência baixa-média.</v>
      </c>
      <c r="BH493" s="4" t="s">
        <v>64</v>
      </c>
      <c r="BI493" s="7">
        <v>0.6666666666666666</v>
      </c>
    </row>
    <row r="494">
      <c r="A494" s="4" t="str">
        <f>IFERROR(__xludf.DUMMYFUNCTION("""COMPUTED_VALUE"""),"The Black Beef")</f>
        <v>The Black Beef</v>
      </c>
      <c r="B494" s="4" t="str">
        <f>IFERROR(__xludf.DUMMYFUNCTION("""COMPUTED_VALUE"""),"Leonardo Roso")</f>
        <v>Leonardo Roso</v>
      </c>
      <c r="C494" s="4" t="str">
        <f>IFERROR(__xludf.DUMMYFUNCTION("""COMPUTED_VALUE"""),"Leonardo Roso")</f>
        <v>Leonardo Roso</v>
      </c>
      <c r="D494" s="4" t="str">
        <f>IFERROR(__xludf.DUMMYFUNCTION("""COMPUTED_VALUE"""),"11. Stand by")</f>
        <v>11. Stand by</v>
      </c>
      <c r="E494" s="4"/>
      <c r="F494" s="4" t="str">
        <f>IFERROR(__xludf.DUMMYFUNCTION("""COMPUTED_VALUE"""),"G")</f>
        <v>G</v>
      </c>
      <c r="G494" s="4"/>
      <c r="H494" s="4"/>
      <c r="I494" s="4"/>
      <c r="J494" s="4"/>
      <c r="K494" s="6">
        <f>IFERROR(__xludf.DUMMYFUNCTION("""COMPUTED_VALUE"""),45951.0)</f>
        <v>45951</v>
      </c>
      <c r="L494" s="4"/>
      <c r="M494" s="4"/>
      <c r="N494" s="4"/>
      <c r="O494" s="4"/>
      <c r="P494" s="4"/>
      <c r="Q494" s="4"/>
      <c r="R494" s="4"/>
      <c r="S494" s="4"/>
      <c r="T494" s="4"/>
      <c r="U494" s="4"/>
      <c r="V494" s="4"/>
      <c r="W494" s="4"/>
      <c r="X494" s="4"/>
      <c r="Y494" s="4"/>
      <c r="Z494" s="4"/>
      <c r="AA494" s="4">
        <f>IFERROR(__xludf.DUMMYFUNCTION("""COMPUTED_VALUE"""),84.0)</f>
        <v>84</v>
      </c>
      <c r="AB494" s="4" t="str">
        <f>IFERROR(__xludf.DUMMYFUNCTION("""COMPUTED_VALUE"""),"NÃO")</f>
        <v>NÃO</v>
      </c>
      <c r="AC494" s="4" t="str">
        <f>IFERROR(__xludf.DUMMYFUNCTION("""COMPUTED_VALUE"""),"BP")</f>
        <v>BP</v>
      </c>
      <c r="AD494" s="4"/>
      <c r="AE494" s="4"/>
      <c r="AF494" s="4"/>
      <c r="AG494" s="4"/>
      <c r="AH494" s="4"/>
      <c r="AI494" s="4"/>
      <c r="AJ494" s="4"/>
      <c r="AK494" s="4"/>
      <c r="AL494" s="4"/>
      <c r="AM494" s="4" t="str">
        <f>IFERROR(__xludf.DUMMYFUNCTION("""COMPUTED_VALUE"""),"FY26, FY27")</f>
        <v>FY26, FY27</v>
      </c>
      <c r="AN494" s="4"/>
      <c r="AO494" s="4">
        <f>IFERROR(__xludf.DUMMYFUNCTION("""COMPUTED_VALUE"""),45553.0)</f>
        <v>45553</v>
      </c>
      <c r="AP494" s="4" t="str">
        <f>IFERROR(__xludf.DUMMYFUNCTION("""COMPUTED_VALUE"""),"DF")</f>
        <v>DF</v>
      </c>
      <c r="AQ494" s="4" t="str">
        <f>IFERROR(__xludf.DUMMYFUNCTION("""COMPUTED_VALUE"""),"MARCELO ESTEVES")</f>
        <v>MARCELO ESTEVES</v>
      </c>
      <c r="AR494" s="4" t="str">
        <f>IFERROR(__xludf.DUMMYFUNCTION("""COMPUTED_VALUE"""),"BASILIO RAFAEL")</f>
        <v>BASILIO RAFAEL</v>
      </c>
      <c r="AS494" s="4" t="str">
        <f>IFERROR(__xludf.DUMMYFUNCTION("""COMPUTED_VALUE"""),"THIAGO ROMAGNOLE")</f>
        <v>THIAGO ROMAGNOLE</v>
      </c>
      <c r="AT494" s="4" t="str">
        <f>IFERROR(__xludf.DUMMYFUNCTION("""COMPUTED_VALUE"""),"ANDERSON LAUREANO")</f>
        <v>ANDERSON LAUREANO</v>
      </c>
      <c r="AU494" s="4" t="str">
        <f>IFERROR(__xludf.DUMMYFUNCTION("""COMPUTED_VALUE"""),"Leonardo Roso")</f>
        <v>Leonardo Roso</v>
      </c>
      <c r="AV494" s="4" t="str">
        <f>IFERROR(__xludf.DUMMYFUNCTION("""COMPUTED_VALUE"""),"Comer Fora-")</f>
        <v>Comer Fora-</v>
      </c>
      <c r="AW494" s="20" t="str">
        <f>IFERROR(__xludf.DUMMYFUNCTION("""COMPUTED_VALUE"""),"G - pipe")</f>
        <v>G - pipe</v>
      </c>
      <c r="AX494" s="4"/>
      <c r="AY494" s="4"/>
      <c r="AZ494" s="4" t="str">
        <f>IFERROR(__xludf.DUMMYFUNCTION("""COMPUTED_VALUE"""),"Lanches")</f>
        <v>Lanches</v>
      </c>
      <c r="BA494" s="4" t="str">
        <f>IFERROR(__xludf.DUMMYFUNCTION("""COMPUTED_VALUE"""),"Dado não disponível publicamente - Necessário Discovery")</f>
        <v>Dado não disponível publicamente - Necessário Discovery</v>
      </c>
      <c r="BB494" s="12" t="str">
        <f>IFERROR(__xludf.DUMMYFUNCTION("""COMPUTED_VALUE"""),"Hamburgueria / Fast Casual (Nacional - mais de 50 unidades)")</f>
        <v>Hamburgueria / Fast Casual (Nacional - mais de 50 unidades)</v>
      </c>
      <c r="BC494" s="4" t="str">
        <f>IFERROR(__xludf.DUMMYFUNCTION("""COMPUTED_VALUE"""),"Nacional (50+ unidades espalhadas pelo Brasil)")</f>
        <v>Nacional (50+ unidades espalhadas pelo Brasil)</v>
      </c>
      <c r="BD494" s="4" t="str">
        <f>IFERROR(__xludf.DUMMYFUNCTION("""COMPUTED_VALUE"""),"R$ 45-70")</f>
        <v>R$ 45-70</v>
      </c>
      <c r="BE494" s="4">
        <f>IFERROR(__xludf.DUMMYFUNCTION("""COMPUTED_VALUE"""),75.0)</f>
        <v>75</v>
      </c>
      <c r="BF494" s="4">
        <f>IFERROR(__xludf.DUMMYFUNCTION("""COMPUTED_VALUE"""),0.8)</f>
        <v>0.8</v>
      </c>
      <c r="BG494" s="4" t="str">
        <f>IFERROR(__xludf.DUMMYFUNCTION("""COMPUTED_VALUE"""),"Rede nacional 50+ lojas hamburgueria. Fast Casual: Kiosk customização burgers + E-DEPLOY 50 lojas. Alta aderência.")</f>
        <v>Rede nacional 50+ lojas hamburgueria. Fast Casual: Kiosk customização burgers + E-DEPLOY 50 lojas. Alta aderência.</v>
      </c>
      <c r="BH494" s="4" t="s">
        <v>72</v>
      </c>
      <c r="BI494" s="7">
        <v>0.75</v>
      </c>
    </row>
    <row r="495" hidden="1">
      <c r="A495" s="4" t="str">
        <f>IFERROR(__xludf.DUMMYFUNCTION("""COMPUTED_VALUE"""),"Tiobak")</f>
        <v>Tiobak</v>
      </c>
      <c r="B495" s="4" t="str">
        <f>IFERROR(__xludf.DUMMYFUNCTION("""COMPUTED_VALUE"""),"João Biagiotti")</f>
        <v>João Biagiotti</v>
      </c>
      <c r="C495" s="4" t="str">
        <f>IFERROR(__xludf.DUMMYFUNCTION("""COMPUTED_VALUE"""),"Diego Santos")</f>
        <v>Diego Santos</v>
      </c>
      <c r="D495" s="4" t="str">
        <f>IFERROR(__xludf.DUMMYFUNCTION("""COMPUTED_VALUE"""),"0. Não Iniciado")</f>
        <v>0. Não Iniciado</v>
      </c>
      <c r="E495" s="4" t="str">
        <f>IFERROR(__xludf.DUMMYFUNCTION("""COMPUTED_VALUE"""),"Perdido -  Momento do restaurante não favorável")</f>
        <v>Perdido -  Momento do restaurante não favorável</v>
      </c>
      <c r="F495" s="4" t="str">
        <f>IFERROR(__xludf.DUMMYFUNCTION("""COMPUTED_VALUE"""),"P")</f>
        <v>P</v>
      </c>
      <c r="G495" s="5">
        <f>IFERROR(__xludf.DUMMYFUNCTION("""COMPUTED_VALUE"""),46076.0)</f>
        <v>46076</v>
      </c>
      <c r="H495" s="4" t="str">
        <f>IFERROR(__xludf.DUMMYFUNCTION("""COMPUTED_VALUE"""),"Aguardando ajuda do executivo de delivery. Mandei mensagem no slack")</f>
        <v>Aguardando ajuda do executivo de delivery. Mandei mensagem no slack</v>
      </c>
      <c r="I495" s="4"/>
      <c r="J495" s="6">
        <f>IFERROR(__xludf.DUMMYFUNCTION("""COMPUTED_VALUE"""),46072.581592083334)</f>
        <v>46072.58159</v>
      </c>
      <c r="K495" s="4"/>
      <c r="L495" s="4"/>
      <c r="M495" s="4"/>
      <c r="N495" s="4"/>
      <c r="O495" s="4"/>
      <c r="P495" s="4"/>
      <c r="Q495" s="4"/>
      <c r="R495" s="4"/>
      <c r="S495" s="4"/>
      <c r="T495" s="4"/>
      <c r="U495" s="4"/>
      <c r="V495" s="4"/>
      <c r="W495" s="4"/>
      <c r="X495" s="4"/>
      <c r="Y495" s="4"/>
      <c r="Z495" s="4"/>
      <c r="AA495" s="4">
        <f>IFERROR(__xludf.DUMMYFUNCTION("""COMPUTED_VALUE"""),16.0)</f>
        <v>16</v>
      </c>
      <c r="AB495" s="4" t="str">
        <f>IFERROR(__xludf.DUMMYFUNCTION("""COMPUTED_VALUE"""),"NÃO")</f>
        <v>NÃO</v>
      </c>
      <c r="AC495" s="4" t="str">
        <f>IFERROR(__xludf.DUMMYFUNCTION("""COMPUTED_VALUE"""),"BP")</f>
        <v>BP</v>
      </c>
      <c r="AD495" s="4"/>
      <c r="AE495" s="4"/>
      <c r="AF495" s="4"/>
      <c r="AG495" s="4"/>
      <c r="AH495" s="4"/>
      <c r="AI495" s="4"/>
      <c r="AJ495" s="4"/>
      <c r="AK495" s="4"/>
      <c r="AL495" s="4"/>
      <c r="AM495" s="4" t="str">
        <f>IFERROR(__xludf.DUMMYFUNCTION("""COMPUTED_VALUE"""),"FY26, FY27")</f>
        <v>FY26, FY27</v>
      </c>
      <c r="AN495" s="4"/>
      <c r="AO495" s="4">
        <f>IFERROR(__xludf.DUMMYFUNCTION("""COMPUTED_VALUE"""),140.0)</f>
        <v>140</v>
      </c>
      <c r="AP495" s="4">
        <f>IFERROR(__xludf.DUMMYFUNCTION("""COMPUTED_VALUE"""),0.0)</f>
        <v>0</v>
      </c>
      <c r="AQ495" s="4">
        <f>IFERROR(__xludf.DUMMYFUNCTION("""COMPUTED_VALUE"""),0.0)</f>
        <v>0</v>
      </c>
      <c r="AR495" s="4">
        <f>IFERROR(__xludf.DUMMYFUNCTION("""COMPUTED_VALUE"""),0.0)</f>
        <v>0</v>
      </c>
      <c r="AS495" s="4">
        <f>IFERROR(__xludf.DUMMYFUNCTION("""COMPUTED_VALUE"""),0.0)</f>
        <v>0</v>
      </c>
      <c r="AT495" s="4">
        <f>IFERROR(__xludf.DUMMYFUNCTION("""COMPUTED_VALUE"""),0.0)</f>
        <v>0</v>
      </c>
      <c r="AU495" s="4" t="str">
        <f>IFERROR(__xludf.DUMMYFUNCTION("""COMPUTED_VALUE"""),"Diego")</f>
        <v>Diego</v>
      </c>
      <c r="AV495" s="4">
        <f>IFERROR(__xludf.DUMMYFUNCTION("""COMPUTED_VALUE"""),0.0)</f>
        <v>0</v>
      </c>
      <c r="AW495" s="4">
        <f>IFERROR(__xludf.DUMMYFUNCTION("""COMPUTED_VALUE"""),0.0)</f>
        <v>0</v>
      </c>
      <c r="AX495" s="4">
        <f>IFERROR(__xludf.DUMMYFUNCTION("""COMPUTED_VALUE"""),0.0)</f>
        <v>0</v>
      </c>
      <c r="AY495" s="4"/>
      <c r="AZ495" s="4" t="str">
        <f>IFERROR(__xludf.DUMMYFUNCTION("""COMPUTED_VALUE"""),"NA")</f>
        <v>NA</v>
      </c>
      <c r="BA495" s="4" t="str">
        <f>IFERROR(__xludf.DUMMYFUNCTION("""COMPUTED_VALUE"""),"Dado não disponível publicamente - Necessário Discovery (Dado 2021: 16 Goiás)")</f>
        <v>Dado não disponível publicamente - Necessário Discovery (Dado 2021: 16 Goiás)</v>
      </c>
      <c r="BB495" s="12" t="str">
        <f>IFERROR(__xludf.DUMMYFUNCTION("""COMPUTED_VALUE"""),"QSR / Sanduíches e Lanches (Franquia regional Goiás)")</f>
        <v>QSR / Sanduíches e Lanches (Franquia regional Goiás)</v>
      </c>
      <c r="BC495" s="4" t="str">
        <f>IFERROR(__xludf.DUMMYFUNCTION("""COMPUTED_VALUE"""),"Goiás (16 lojas pelo estado)")</f>
        <v>Goiás (16 lojas pelo estado)</v>
      </c>
      <c r="BD495" s="4" t="str">
        <f>IFERROR(__xludf.DUMMYFUNCTION("""COMPUTED_VALUE"""),"R$ 25-40")</f>
        <v>R$ 25-40</v>
      </c>
      <c r="BE495" s="4">
        <f>IFERROR(__xludf.DUMMYFUNCTION("""COMPUTED_VALUE"""),50.0)</f>
        <v>50</v>
      </c>
      <c r="BF495" s="13">
        <f>IFERROR(__xludf.DUMMYFUNCTION("""COMPUTED_VALUE"""),0.55)</f>
        <v>0.55</v>
      </c>
      <c r="BG495" s="4" t="str">
        <f>IFERROR(__xludf.DUMMYFUNCTION("""COMPUTED_VALUE"""),"Franquia regional Goiás 16 lojas. QSR lanchonete: Kiosk acelera pedidos + E-DEPLOY regional. Aderência média.")</f>
        <v>Franquia regional Goiás 16 lojas. QSR lanchonete: Kiosk acelera pedidos + E-DEPLOY regional. Aderência média.</v>
      </c>
      <c r="BH495" s="4" t="s">
        <v>63</v>
      </c>
      <c r="BI495" s="7" t="s">
        <v>63</v>
      </c>
    </row>
    <row r="496" hidden="1">
      <c r="A496" s="4" t="str">
        <f>IFERROR(__xludf.DUMMYFUNCTION("""COMPUTED_VALUE"""),"Ton Hoi")</f>
        <v>Ton Hoi</v>
      </c>
      <c r="B496" s="4" t="str">
        <f>IFERROR(__xludf.DUMMYFUNCTION("""COMPUTED_VALUE"""),"João Biagiotti")</f>
        <v>João Biagiotti</v>
      </c>
      <c r="C496" s="4" t="str">
        <f>IFERROR(__xludf.DUMMYFUNCTION("""COMPUTED_VALUE"""),"Diego Santos")</f>
        <v>Diego Santos</v>
      </c>
      <c r="D496" s="4" t="str">
        <f>IFERROR(__xludf.DUMMYFUNCTION("""COMPUTED_VALUE"""),"10. Perdido")</f>
        <v>10. Perdido</v>
      </c>
      <c r="E496" s="4" t="str">
        <f>IFERROR(__xludf.DUMMYFUNCTION("""COMPUTED_VALUE"""),"Perdido - Fechou com concorrente")</f>
        <v>Perdido - Fechou com concorrente</v>
      </c>
      <c r="F496" s="4" t="str">
        <f>IFERROR(__xludf.DUMMYFUNCTION("""COMPUTED_VALUE"""),"Sem Classificação")</f>
        <v>Sem Classificação</v>
      </c>
      <c r="G496" s="5">
        <f>IFERROR(__xludf.DUMMYFUNCTION("""COMPUTED_VALUE"""),46120.0)</f>
        <v>46120</v>
      </c>
      <c r="H496" s="4" t="str">
        <f>IFERROR(__xludf.DUMMYFUNCTION("""COMPUTED_VALUE"""),"Fechou com concorrente, PDV de 130 reais. Não era um lead com nosso perfil. ")</f>
        <v>Fechou com concorrente, PDV de 130 reais. Não era um lead com nosso perfil. </v>
      </c>
      <c r="I496" s="4"/>
      <c r="J496" s="6">
        <f>IFERROR(__xludf.DUMMYFUNCTION("""COMPUTED_VALUE"""),46090.54783074074)</f>
        <v>46090.54783</v>
      </c>
      <c r="K496" s="6">
        <f>IFERROR(__xludf.DUMMYFUNCTION("""COMPUTED_VALUE"""),46090.548983506946)</f>
        <v>46090.54898</v>
      </c>
      <c r="L496" s="6">
        <f>IFERROR(__xludf.DUMMYFUNCTION("""COMPUTED_VALUE"""),46090.54902135416)</f>
        <v>46090.54902</v>
      </c>
      <c r="M496" s="4"/>
      <c r="N496" s="4"/>
      <c r="O496" s="4"/>
      <c r="P496" s="4"/>
      <c r="Q496" s="4"/>
      <c r="R496" s="6">
        <f>IFERROR(__xludf.DUMMYFUNCTION("""COMPUTED_VALUE"""),46120.50586671296)</f>
        <v>46120.50587</v>
      </c>
      <c r="S496" s="4"/>
      <c r="T496" s="4"/>
      <c r="U496" s="4"/>
      <c r="V496" s="4" t="str">
        <f>IFERROR(__xludf.DUMMYFUNCTION("""COMPUTED_VALUE"""),"Fechou com concorrente há pouco tempo")</f>
        <v>Fechou com concorrente há pouco tempo</v>
      </c>
      <c r="W496" s="4"/>
      <c r="X496" s="4"/>
      <c r="Y496" s="4"/>
      <c r="Z496" s="4"/>
      <c r="AA496" s="4"/>
      <c r="AB496" s="4"/>
      <c r="AC496" s="4"/>
      <c r="AD496" s="4"/>
      <c r="AE496" s="4"/>
      <c r="AF496" s="4"/>
      <c r="AG496" s="4"/>
      <c r="AH496" s="4"/>
      <c r="AI496" s="4"/>
      <c r="AJ496" s="4"/>
      <c r="AK496" s="4"/>
      <c r="AL496" s="4"/>
      <c r="AM496" s="4" t="str">
        <f>IFERROR(__xludf.DUMMYFUNCTION("""COMPUTED_VALUE"""),"FY26, FY27")</f>
        <v>FY26, FY27</v>
      </c>
      <c r="AN496" s="4"/>
      <c r="AO496" s="4">
        <f>IFERROR(__xludf.DUMMYFUNCTION("""COMPUTED_VALUE"""),95.0)</f>
        <v>95</v>
      </c>
      <c r="AP496" s="4">
        <f>IFERROR(__xludf.DUMMYFUNCTION("""COMPUTED_VALUE"""),0.0)</f>
        <v>0</v>
      </c>
      <c r="AQ496" s="4">
        <f>IFERROR(__xludf.DUMMYFUNCTION("""COMPUTED_VALUE"""),0.0)</f>
        <v>0</v>
      </c>
      <c r="AR496" s="4">
        <f>IFERROR(__xludf.DUMMYFUNCTION("""COMPUTED_VALUE"""),0.0)</f>
        <v>0</v>
      </c>
      <c r="AS496" s="4">
        <f>IFERROR(__xludf.DUMMYFUNCTION("""COMPUTED_VALUE"""),0.0)</f>
        <v>0</v>
      </c>
      <c r="AT496" s="4">
        <f>IFERROR(__xludf.DUMMYFUNCTION("""COMPUTED_VALUE"""),0.0)</f>
        <v>0</v>
      </c>
      <c r="AU496" s="4" t="str">
        <f>IFERROR(__xludf.DUMMYFUNCTION("""COMPUTED_VALUE"""),"Diego")</f>
        <v>Diego</v>
      </c>
      <c r="AV496" s="4">
        <f>IFERROR(__xludf.DUMMYFUNCTION("""COMPUTED_VALUE"""),0.0)</f>
        <v>0</v>
      </c>
      <c r="AW496" s="4">
        <f>IFERROR(__xludf.DUMMYFUNCTION("""COMPUTED_VALUE"""),0.0)</f>
        <v>0</v>
      </c>
      <c r="AX496" s="4">
        <f>IFERROR(__xludf.DUMMYFUNCTION("""COMPUTED_VALUE"""),0.0)</f>
        <v>0</v>
      </c>
      <c r="AY496" s="4"/>
      <c r="AZ496" s="4" t="str">
        <f>IFERROR(__xludf.DUMMYFUNCTION("""COMPUTED_VALUE"""),"NA")</f>
        <v>NA</v>
      </c>
      <c r="BA496" s="4" t="str">
        <f>IFERROR(__xludf.DUMMYFUNCTION("""COMPUTED_VALUE"""),"")</f>
        <v/>
      </c>
      <c r="BB496" s="4" t="str">
        <f>IFERROR(__xludf.DUMMYFUNCTION("""COMPUTED_VALUE"""),"")</f>
        <v/>
      </c>
      <c r="BC496" s="4" t="str">
        <f>IFERROR(__xludf.DUMMYFUNCTION("""COMPUTED_VALUE"""),"")</f>
        <v/>
      </c>
      <c r="BD496" s="4" t="str">
        <f>IFERROR(__xludf.DUMMYFUNCTION("""COMPUTED_VALUE"""),"")</f>
        <v/>
      </c>
      <c r="BE496" s="4" t="str">
        <f>IFERROR(__xludf.DUMMYFUNCTION("""COMPUTED_VALUE"""),"")</f>
        <v/>
      </c>
      <c r="BF496" s="4" t="str">
        <f>IFERROR(__xludf.DUMMYFUNCTION("""COMPUTED_VALUE"""),"")</f>
        <v/>
      </c>
      <c r="BG496" s="4" t="str">
        <f>IFERROR(__xludf.DUMMYFUNCTION("""COMPUTED_VALUE"""),"")</f>
        <v/>
      </c>
      <c r="BH496" s="4" t="s">
        <v>63</v>
      </c>
      <c r="BI496" s="7" t="s">
        <v>63</v>
      </c>
    </row>
    <row r="497" hidden="1">
      <c r="A497" s="4" t="str">
        <f>IFERROR(__xludf.DUMMYFUNCTION("""COMPUTED_VALUE"""),"Tortelli - Cp")</f>
        <v>Tortelli - Cp</v>
      </c>
      <c r="B497" s="4" t="str">
        <f>IFERROR(__xludf.DUMMYFUNCTION("""COMPUTED_VALUE"""),"Lídia Esteves")</f>
        <v>Lídia Esteves</v>
      </c>
      <c r="C497" s="4" t="str">
        <f>IFERROR(__xludf.DUMMYFUNCTION("""COMPUTED_VALUE"""),"Gabriela Roma")</f>
        <v>Gabriela Roma</v>
      </c>
      <c r="D497" s="4" t="str">
        <f>IFERROR(__xludf.DUMMYFUNCTION("""COMPUTED_VALUE"""),"0. Não Iniciado")</f>
        <v>0. Não Iniciado</v>
      </c>
      <c r="E497" s="4"/>
      <c r="F497" s="4" t="str">
        <f>IFERROR(__xludf.DUMMYFUNCTION("""COMPUTED_VALUE"""),"P")</f>
        <v>P</v>
      </c>
      <c r="G497" s="4"/>
      <c r="H497" s="4"/>
      <c r="I497" s="4"/>
      <c r="J497" s="4"/>
      <c r="K497" s="4"/>
      <c r="L497" s="4"/>
      <c r="M497" s="4"/>
      <c r="N497" s="4"/>
      <c r="O497" s="4"/>
      <c r="P497" s="4"/>
      <c r="Q497" s="4"/>
      <c r="R497" s="4"/>
      <c r="S497" s="4"/>
      <c r="T497" s="4"/>
      <c r="U497" s="4"/>
      <c r="V497" s="4"/>
      <c r="W497" s="4"/>
      <c r="X497" s="4"/>
      <c r="Y497" s="4"/>
      <c r="Z497" s="4"/>
      <c r="AA497" s="4">
        <f>IFERROR(__xludf.DUMMYFUNCTION("""COMPUTED_VALUE"""),10.0)</f>
        <v>10</v>
      </c>
      <c r="AB497" s="4" t="str">
        <f>IFERROR(__xludf.DUMMYFUNCTION("""COMPUTED_VALUE"""),"-")</f>
        <v>-</v>
      </c>
      <c r="AC497" s="4" t="str">
        <f>IFERROR(__xludf.DUMMYFUNCTION("""COMPUTED_VALUE"""),"-")</f>
        <v>-</v>
      </c>
      <c r="AD497" s="4"/>
      <c r="AE497" s="4"/>
      <c r="AF497" s="4"/>
      <c r="AG497" s="4"/>
      <c r="AH497" s="4"/>
      <c r="AI497" s="4"/>
      <c r="AJ497" s="4"/>
      <c r="AK497" s="4"/>
      <c r="AL497" s="4"/>
      <c r="AM497" s="4" t="str">
        <f>IFERROR(__xludf.DUMMYFUNCTION("""COMPUTED_VALUE"""),"FY26, FY27")</f>
        <v>FY26, FY27</v>
      </c>
      <c r="AN497" s="4"/>
      <c r="AO497" s="4">
        <f>IFERROR(__xludf.DUMMYFUNCTION("""COMPUTED_VALUE"""),45553.0)</f>
        <v>45553</v>
      </c>
      <c r="AP497" s="4" t="str">
        <f>IFERROR(__xludf.DUMMYFUNCTION("""COMPUTED_VALUE"""),"PR")</f>
        <v>PR</v>
      </c>
      <c r="AQ497" s="4" t="str">
        <f>IFERROR(__xludf.DUMMYFUNCTION("""COMPUTED_VALUE"""),"RAFAEL FERREIRA")</f>
        <v>RAFAEL FERREIRA</v>
      </c>
      <c r="AR497" s="4" t="str">
        <f>IFERROR(__xludf.DUMMYFUNCTION("""COMPUTED_VALUE"""),"DIEGO LOUREIRO")</f>
        <v>DIEGO LOUREIRO</v>
      </c>
      <c r="AS497" s="4" t="str">
        <f>IFERROR(__xludf.DUMMYFUNCTION("""COMPUTED_VALUE"""),"FABIO DONATO")</f>
        <v>FABIO DONATO</v>
      </c>
      <c r="AT497" s="4" t="str">
        <f>IFERROR(__xludf.DUMMYFUNCTION("""COMPUTED_VALUE"""),"MURILO NAGASHIMA")</f>
        <v>MURILO NAGASHIMA</v>
      </c>
      <c r="AU497" s="4" t="str">
        <f>IFERROR(__xludf.DUMMYFUNCTION("""COMPUTED_VALUE"""),"Lídia / Emerson")</f>
        <v>Lídia / Emerson</v>
      </c>
      <c r="AV497" s="4">
        <f>IFERROR(__xludf.DUMMYFUNCTION("""COMPUTED_VALUE"""),0.0)</f>
        <v>0</v>
      </c>
      <c r="AW497" s="4">
        <f>IFERROR(__xludf.DUMMYFUNCTION("""COMPUTED_VALUE"""),0.0)</f>
        <v>0</v>
      </c>
      <c r="AX497" s="4">
        <f>IFERROR(__xludf.DUMMYFUNCTION("""COMPUTED_VALUE"""),0.0)</f>
        <v>0</v>
      </c>
      <c r="AY497" s="4" t="str">
        <f>IFERROR(__xludf.DUMMYFUNCTION("""COMPUTED_VALUE"""),"Consumer Soluções Em Tecnologia Ltda")</f>
        <v>Consumer Soluções Em Tecnologia Ltda</v>
      </c>
      <c r="AZ497" s="4" t="str">
        <f>IFERROR(__xludf.DUMMYFUNCTION("""COMPUTED_VALUE"""),"Pizza")</f>
        <v>Pizza</v>
      </c>
      <c r="BA497" s="4" t="str">
        <f>IFERROR(__xludf.DUMMYFUNCTION("""COMPUTED_VALUE"""),"")</f>
        <v/>
      </c>
      <c r="BB497" s="4" t="str">
        <f>IFERROR(__xludf.DUMMYFUNCTION("""COMPUTED_VALUE"""),"")</f>
        <v/>
      </c>
      <c r="BC497" s="4" t="str">
        <f>IFERROR(__xludf.DUMMYFUNCTION("""COMPUTED_VALUE"""),"")</f>
        <v/>
      </c>
      <c r="BD497" s="4" t="str">
        <f>IFERROR(__xludf.DUMMYFUNCTION("""COMPUTED_VALUE"""),"")</f>
        <v/>
      </c>
      <c r="BE497" s="4" t="str">
        <f>IFERROR(__xludf.DUMMYFUNCTION("""COMPUTED_VALUE"""),"")</f>
        <v/>
      </c>
      <c r="BF497" s="4" t="str">
        <f>IFERROR(__xludf.DUMMYFUNCTION("""COMPUTED_VALUE"""),"")</f>
        <v/>
      </c>
      <c r="BG497" s="4" t="str">
        <f>IFERROR(__xludf.DUMMYFUNCTION("""COMPUTED_VALUE"""),"")</f>
        <v/>
      </c>
      <c r="BH497" s="4" t="s">
        <v>63</v>
      </c>
      <c r="BI497" s="7" t="s">
        <v>63</v>
      </c>
    </row>
    <row r="498" hidden="1">
      <c r="A498" s="4" t="str">
        <f>IFERROR(__xludf.DUMMYFUNCTION("""COMPUTED_VALUE"""),"TORTERIA - TORTA, QUICHE E SOBREMESA")</f>
        <v>TORTERIA - TORTA, QUICHE E SOBREMESA</v>
      </c>
      <c r="B498" s="4" t="str">
        <f>IFERROR(__xludf.DUMMYFUNCTION("""COMPUTED_VALUE"""),"Lídia Esteves")</f>
        <v>Lídia Esteves</v>
      </c>
      <c r="C498" s="4" t="str">
        <f>IFERROR(__xludf.DUMMYFUNCTION("""COMPUTED_VALUE"""),"Gabriela Roma")</f>
        <v>Gabriela Roma</v>
      </c>
      <c r="D498" s="4" t="str">
        <f>IFERROR(__xludf.DUMMYFUNCTION("""COMPUTED_VALUE"""),"2. Primeiro Contato com a marca")</f>
        <v>2. Primeiro Contato com a marca</v>
      </c>
      <c r="E498" s="4" t="str">
        <f>IFERROR(__xludf.DUMMYFUNCTION("""COMPUTED_VALUE"""),"Parceiro - Aguardando retorno parceiro")</f>
        <v>Parceiro - Aguardando retorno parceiro</v>
      </c>
      <c r="F498" s="4" t="str">
        <f>IFERROR(__xludf.DUMMYFUNCTION("""COMPUTED_VALUE"""),"P")</f>
        <v>P</v>
      </c>
      <c r="G498" s="5">
        <f>IFERROR(__xludf.DUMMYFUNCTION("""COMPUTED_VALUE"""),46139.0)</f>
        <v>46139</v>
      </c>
      <c r="H498" s="4" t="str">
        <f>IFERROR(__xludf.DUMMYFUNCTION("""COMPUTED_VALUE"""),"cliente cancelou a apresentação do dia 19/4 estamos reagendando")</f>
        <v>cliente cancelou a apresentação do dia 19/4 estamos reagendando</v>
      </c>
      <c r="I498" s="6">
        <f>IFERROR(__xludf.DUMMYFUNCTION("""COMPUTED_VALUE"""),46121.68903208333)</f>
        <v>46121.68903</v>
      </c>
      <c r="J498" s="6">
        <f>IFERROR(__xludf.DUMMYFUNCTION("""COMPUTED_VALUE"""),46121.689104687495)</f>
        <v>46121.6891</v>
      </c>
      <c r="K498" s="4"/>
      <c r="L498" s="4"/>
      <c r="M498" s="4"/>
      <c r="N498" s="4"/>
      <c r="O498" s="4"/>
      <c r="P498" s="4"/>
      <c r="Q498" s="4"/>
      <c r="R498" s="4"/>
      <c r="S498" s="4"/>
      <c r="T498" s="4"/>
      <c r="U498" s="4"/>
      <c r="V498" s="4"/>
      <c r="W498" s="4"/>
      <c r="X498" s="4"/>
      <c r="Y498" s="4"/>
      <c r="Z498" s="4"/>
      <c r="AA498" s="4">
        <f>IFERROR(__xludf.DUMMYFUNCTION("""COMPUTED_VALUE"""),4.0)</f>
        <v>4</v>
      </c>
      <c r="AB498" s="4" t="str">
        <f>IFERROR(__xludf.DUMMYFUNCTION("""COMPUTED_VALUE"""),"Não")</f>
        <v>Não</v>
      </c>
      <c r="AC498" s="4" t="str">
        <f>IFERROR(__xludf.DUMMYFUNCTION("""COMPUTED_VALUE"""),"Sim")</f>
        <v>Sim</v>
      </c>
      <c r="AD498" s="4"/>
      <c r="AE498" s="4"/>
      <c r="AF498" s="4"/>
      <c r="AG498" s="4"/>
      <c r="AH498" s="4"/>
      <c r="AI498" s="4"/>
      <c r="AJ498" s="4"/>
      <c r="AK498" s="4"/>
      <c r="AL498" s="4"/>
      <c r="AM498" s="4" t="str">
        <f>IFERROR(__xludf.DUMMYFUNCTION("""COMPUTED_VALUE"""),"FY26, FY27")</f>
        <v>FY26, FY27</v>
      </c>
      <c r="AN498" s="4"/>
      <c r="AO498" s="4">
        <f>IFERROR(__xludf.DUMMYFUNCTION("""COMPUTED_VALUE"""),76.0)</f>
        <v>76</v>
      </c>
      <c r="AP498" s="4" t="str">
        <f>IFERROR(__xludf.DUMMYFUNCTION("""COMPUTED_VALUE"""),"SP")</f>
        <v>SP</v>
      </c>
      <c r="AQ498" s="4" t="str">
        <f>IFERROR(__xludf.DUMMYFUNCTION("""COMPUTED_VALUE"""),"ISADORA GARCIA")</f>
        <v>ISADORA GARCIA</v>
      </c>
      <c r="AR498" s="4" t="str">
        <f>IFERROR(__xludf.DUMMYFUNCTION("""COMPUTED_VALUE"""),"THAINARA SACIENTE")</f>
        <v>THAINARA SACIENTE</v>
      </c>
      <c r="AS498" s="4" t="str">
        <f>IFERROR(__xludf.DUMMYFUNCTION("""COMPUTED_VALUE"""),"NATHALIE MERTENS")</f>
        <v>NATHALIE MERTENS</v>
      </c>
      <c r="AT498" s="4" t="str">
        <f>IFERROR(__xludf.DUMMYFUNCTION("""COMPUTED_VALUE"""),"MATHEUS LESSA")</f>
        <v>MATHEUS LESSA</v>
      </c>
      <c r="AU498" s="4" t="str">
        <f>IFERROR(__xludf.DUMMYFUNCTION("""COMPUTED_VALUE"""),"Lídia")</f>
        <v>Lídia</v>
      </c>
      <c r="AV498" s="4">
        <f>IFERROR(__xludf.DUMMYFUNCTION("""COMPUTED_VALUE"""),0.0)</f>
        <v>0</v>
      </c>
      <c r="AW498" s="4">
        <f>IFERROR(__xludf.DUMMYFUNCTION("""COMPUTED_VALUE"""),0.0)</f>
        <v>0</v>
      </c>
      <c r="AX498" s="4">
        <f>IFERROR(__xludf.DUMMYFUNCTION("""COMPUTED_VALUE"""),0.0)</f>
        <v>0</v>
      </c>
      <c r="AY498" s="4"/>
      <c r="AZ498" s="4" t="str">
        <f>IFERROR(__xludf.DUMMYFUNCTION("""COMPUTED_VALUE"""),"Congelados")</f>
        <v>Congelados</v>
      </c>
      <c r="BA498" s="4" t="str">
        <f>IFERROR(__xludf.DUMMYFUNCTION("""COMPUTED_VALUE"""),"")</f>
        <v/>
      </c>
      <c r="BB498" s="4" t="str">
        <f>IFERROR(__xludf.DUMMYFUNCTION("""COMPUTED_VALUE"""),"")</f>
        <v/>
      </c>
      <c r="BC498" s="4" t="str">
        <f>IFERROR(__xludf.DUMMYFUNCTION("""COMPUTED_VALUE"""),"")</f>
        <v/>
      </c>
      <c r="BD498" s="4" t="str">
        <f>IFERROR(__xludf.DUMMYFUNCTION("""COMPUTED_VALUE"""),"")</f>
        <v/>
      </c>
      <c r="BE498" s="4" t="str">
        <f>IFERROR(__xludf.DUMMYFUNCTION("""COMPUTED_VALUE"""),"")</f>
        <v/>
      </c>
      <c r="BF498" s="4" t="str">
        <f>IFERROR(__xludf.DUMMYFUNCTION("""COMPUTED_VALUE"""),"")</f>
        <v/>
      </c>
      <c r="BG498" s="4" t="str">
        <f>IFERROR(__xludf.DUMMYFUNCTION("""COMPUTED_VALUE"""),"")</f>
        <v/>
      </c>
      <c r="BH498" s="4" t="s">
        <v>91</v>
      </c>
      <c r="BI498" s="7">
        <v>0.8571428571428571</v>
      </c>
    </row>
    <row r="499" hidden="1">
      <c r="A499" s="4" t="str">
        <f>IFERROR(__xludf.DUMMYFUNCTION("""COMPUTED_VALUE"""),"Tragga")</f>
        <v>Tragga</v>
      </c>
      <c r="B499" s="4" t="str">
        <f>IFERROR(__xludf.DUMMYFUNCTION("""COMPUTED_VALUE"""),"Lídia Esteves")</f>
        <v>Lídia Esteves</v>
      </c>
      <c r="C499" s="4" t="str">
        <f>IFERROR(__xludf.DUMMYFUNCTION("""COMPUTED_VALUE"""),"Gabriela Roma")</f>
        <v>Gabriela Roma</v>
      </c>
      <c r="D499" s="4" t="str">
        <f>IFERROR(__xludf.DUMMYFUNCTION("""COMPUTED_VALUE"""),"0. Não Iniciado")</f>
        <v>0. Não Iniciado</v>
      </c>
      <c r="E499" s="4" t="str">
        <f>IFERROR(__xludf.DUMMYFUNCTION("""COMPUTED_VALUE"""),"Delivery - Aguardando retorno / Conciliação agenda")</f>
        <v>Delivery - Aguardando retorno / Conciliação agenda</v>
      </c>
      <c r="F499" s="4" t="str">
        <f>IFERROR(__xludf.DUMMYFUNCTION("""COMPUTED_VALUE"""),"P")</f>
        <v>P</v>
      </c>
      <c r="G499" s="5">
        <f>IFERROR(__xludf.DUMMYFUNCTION("""COMPUTED_VALUE"""),46106.0)</f>
        <v>46106</v>
      </c>
      <c r="H499" s="4" t="str">
        <f>IFERROR(__xludf.DUMMYFUNCTION("""COMPUTED_VALUE"""),"Buscar agenda com decisor, apoio do executivo delivery")</f>
        <v>Buscar agenda com decisor, apoio do executivo delivery</v>
      </c>
      <c r="I499" s="4"/>
      <c r="J499" s="4"/>
      <c r="K499" s="4"/>
      <c r="L499" s="4"/>
      <c r="M499" s="4"/>
      <c r="N499" s="4"/>
      <c r="O499" s="4"/>
      <c r="P499" s="4"/>
      <c r="Q499" s="4"/>
      <c r="R499" s="4"/>
      <c r="S499" s="4"/>
      <c r="T499" s="4"/>
      <c r="U499" s="4"/>
      <c r="V499" s="4"/>
      <c r="W499" s="4"/>
      <c r="X499" s="4"/>
      <c r="Y499" s="4"/>
      <c r="Z499" s="4"/>
      <c r="AA499" s="4">
        <f>IFERROR(__xludf.DUMMYFUNCTION("""COMPUTED_VALUE"""),4.0)</f>
        <v>4</v>
      </c>
      <c r="AB499" s="4" t="str">
        <f>IFERROR(__xludf.DUMMYFUNCTION("""COMPUTED_VALUE"""),"NÃO")</f>
        <v>NÃO</v>
      </c>
      <c r="AC499" s="4" t="str">
        <f>IFERROR(__xludf.DUMMYFUNCTION("""COMPUTED_VALUE"""),"BP")</f>
        <v>BP</v>
      </c>
      <c r="AD499" s="4"/>
      <c r="AE499" s="4"/>
      <c r="AF499" s="4"/>
      <c r="AG499" s="4"/>
      <c r="AH499" s="4"/>
      <c r="AI499" s="4"/>
      <c r="AJ499" s="4"/>
      <c r="AK499" s="4"/>
      <c r="AL499" s="4"/>
      <c r="AM499" s="4" t="str">
        <f>IFERROR(__xludf.DUMMYFUNCTION("""COMPUTED_VALUE"""),"FY26, FY27")</f>
        <v>FY26, FY27</v>
      </c>
      <c r="AN499" s="4" t="str">
        <f>IFERROR(__xludf.DUMMYFUNCTION("""COMPUTED_VALUE"""),"Comer Fora")</f>
        <v>Comer Fora</v>
      </c>
      <c r="AO499" s="4">
        <f>IFERROR(__xludf.DUMMYFUNCTION("""COMPUTED_VALUE"""),108.0)</f>
        <v>108</v>
      </c>
      <c r="AP499" s="4" t="str">
        <f>IFERROR(__xludf.DUMMYFUNCTION("""COMPUTED_VALUE"""),"RJ")</f>
        <v>RJ</v>
      </c>
      <c r="AQ499" s="4" t="str">
        <f>IFERROR(__xludf.DUMMYFUNCTION("""COMPUTED_VALUE"""),"THIAGO FERNANDES")</f>
        <v>THIAGO FERNANDES</v>
      </c>
      <c r="AR499" s="4" t="str">
        <f>IFERROR(__xludf.DUMMYFUNCTION("""COMPUTED_VALUE"""),"MARCELLA SOTTO")</f>
        <v>MARCELLA SOTTO</v>
      </c>
      <c r="AS499" s="4" t="str">
        <f>IFERROR(__xludf.DUMMYFUNCTION("""COMPUTED_VALUE"""),"NATHALIE MERTENS")</f>
        <v>NATHALIE MERTENS</v>
      </c>
      <c r="AT499" s="4" t="str">
        <f>IFERROR(__xludf.DUMMYFUNCTION("""COMPUTED_VALUE"""),"MARIANA KATZ")</f>
        <v>MARIANA KATZ</v>
      </c>
      <c r="AU499" s="4" t="str">
        <f>IFERROR(__xludf.DUMMYFUNCTION("""COMPUTED_VALUE"""),"Diego")</f>
        <v>Diego</v>
      </c>
      <c r="AV499" s="4" t="str">
        <f>IFERROR(__xludf.DUMMYFUNCTION("""COMPUTED_VALUE"""),"Comer Fora-")</f>
        <v>Comer Fora-</v>
      </c>
      <c r="AW499" s="20" t="str">
        <f>IFERROR(__xludf.DUMMYFUNCTION("""COMPUTED_VALUE"""),"P e M - pipe")</f>
        <v>P e M - pipe</v>
      </c>
      <c r="AX499" s="4"/>
      <c r="AY499" s="4"/>
      <c r="AZ499" s="4" t="str">
        <f>IFERROR(__xludf.DUMMYFUNCTION("""COMPUTED_VALUE"""),"Brasileira")</f>
        <v>Brasileira</v>
      </c>
      <c r="BA499" s="4" t="str">
        <f>IFERROR(__xludf.DUMMYFUNCTION("""COMPUTED_VALUE"""),"Dado não disponível publicamente - Necessário Discovery (Grupo Tragga multi-marcas)")</f>
        <v>Dado não disponível publicamente - Necessário Discovery (Grupo Tragga multi-marcas)</v>
      </c>
      <c r="BB499" s="4" t="str">
        <f>IFERROR(__xludf.DUMMYFUNCTION("""COMPUTED_VALUE"""),"Table Service Premium / Grelhados (Rio de Janeiro - Humaitá, Barra, 3ª unidade)")</f>
        <v>Table Service Premium / Grelhados (Rio de Janeiro - Humaitá, Barra, 3ª unidade)</v>
      </c>
      <c r="BC499" s="4" t="str">
        <f>IFERROR(__xludf.DUMMYFUNCTION("""COMPUTED_VALUE"""),"Rio de Janeiro (3 unidades - Grupo tem outras marcas)")</f>
        <v>Rio de Janeiro (3 unidades - Grupo tem outras marcas)</v>
      </c>
      <c r="BD499" s="4" t="str">
        <f>IFERROR(__xludf.DUMMYFUNCTION("""COMPUTED_VALUE"""),"R$ 80-130")</f>
        <v>R$ 80-130</v>
      </c>
      <c r="BE499" s="4">
        <f>IFERROR(__xludf.DUMMYFUNCTION("""COMPUTED_VALUE"""),35.0)</f>
        <v>35</v>
      </c>
      <c r="BF499" s="4">
        <f>IFERROR(__xludf.DUMMYFUNCTION("""COMPUTED_VALUE"""),0.4)</f>
        <v>0.4</v>
      </c>
      <c r="BG499" s="4" t="str">
        <f>IFERROR(__xludf.DUMMYFUNCTION("""COMPUTED_VALUE"""),"Grelhados premium RJ 3 lojas. Table Service sofisticado. Aderência média-baixa. Grupo pode ter outras marcas relevantes.")</f>
        <v>Grelhados premium RJ 3 lojas. Table Service sofisticado. Aderência média-baixa. Grupo pode ter outras marcas relevantes.</v>
      </c>
      <c r="BH499" s="4" t="s">
        <v>74</v>
      </c>
      <c r="BI499" s="7">
        <v>1.0</v>
      </c>
    </row>
    <row r="500" hidden="1">
      <c r="A500" s="4" t="str">
        <f>IFERROR(__xludf.DUMMYFUNCTION("""COMPUTED_VALUE"""),"Trattoria De Origem")</f>
        <v>Trattoria De Origem</v>
      </c>
      <c r="B500" s="4" t="str">
        <f>IFERROR(__xludf.DUMMYFUNCTION("""COMPUTED_VALUE"""),"Lídia Esteves")</f>
        <v>Lídia Esteves</v>
      </c>
      <c r="C500" s="4" t="str">
        <f>IFERROR(__xludf.DUMMYFUNCTION("""COMPUTED_VALUE"""),"Gabriela Roma")</f>
        <v>Gabriela Roma</v>
      </c>
      <c r="D500" s="4" t="str">
        <f>IFERROR(__xludf.DUMMYFUNCTION("""COMPUTED_VALUE"""),"11. Stand by")</f>
        <v>11. Stand by</v>
      </c>
      <c r="E500" s="4" t="str">
        <f>IFERROR(__xludf.DUMMYFUNCTION("""COMPUTED_VALUE"""),"Parceiro - Em validação de proposta comercial")</f>
        <v>Parceiro - Em validação de proposta comercial</v>
      </c>
      <c r="F500" s="4" t="str">
        <f>IFERROR(__xludf.DUMMYFUNCTION("""COMPUTED_VALUE"""),"P")</f>
        <v>P</v>
      </c>
      <c r="G500" s="5">
        <f>IFERROR(__xludf.DUMMYFUNCTION("""COMPUTED_VALUE"""),46084.0)</f>
        <v>46084</v>
      </c>
      <c r="H500" s="4" t="str">
        <f>IFERROR(__xludf.DUMMYFUNCTION("""COMPUTED_VALUE"""),"Dificuldade de contato com o lead")</f>
        <v>Dificuldade de contato com o lead</v>
      </c>
      <c r="I500" s="4"/>
      <c r="J500" s="4"/>
      <c r="K500" s="6">
        <f>IFERROR(__xludf.DUMMYFUNCTION("""COMPUTED_VALUE"""),45991.0)</f>
        <v>45991</v>
      </c>
      <c r="L500" s="4"/>
      <c r="M500" s="4"/>
      <c r="N500" s="4"/>
      <c r="O500" s="4"/>
      <c r="P500" s="4"/>
      <c r="Q500" s="4"/>
      <c r="R500" s="4"/>
      <c r="S500" s="6">
        <f>IFERROR(__xludf.DUMMYFUNCTION("""COMPUTED_VALUE"""),46084.719414652776)</f>
        <v>46084.71941</v>
      </c>
      <c r="T500" s="4"/>
      <c r="U500" s="4"/>
      <c r="V500" s="4" t="str">
        <f>IFERROR(__xludf.DUMMYFUNCTION("""COMPUTED_VALUE"""),"Outros")</f>
        <v>Outros</v>
      </c>
      <c r="W500" s="4"/>
      <c r="X500" s="4"/>
      <c r="Y500" s="4"/>
      <c r="Z500" s="4"/>
      <c r="AA500" s="4">
        <f>IFERROR(__xludf.DUMMYFUNCTION("""COMPUTED_VALUE"""),3.0)</f>
        <v>3</v>
      </c>
      <c r="AB500" s="4" t="str">
        <f>IFERROR(__xludf.DUMMYFUNCTION("""COMPUTED_VALUE"""),"NÃO")</f>
        <v>NÃO</v>
      </c>
      <c r="AC500" s="4" t="str">
        <f>IFERROR(__xludf.DUMMYFUNCTION("""COMPUTED_VALUE"""),"Não BP")</f>
        <v>Não BP</v>
      </c>
      <c r="AD500" s="4"/>
      <c r="AE500" s="4"/>
      <c r="AF500" s="4"/>
      <c r="AG500" s="4"/>
      <c r="AH500" s="4"/>
      <c r="AI500" s="4"/>
      <c r="AJ500" s="4"/>
      <c r="AK500" s="4"/>
      <c r="AL500" s="4"/>
      <c r="AM500" s="4" t="str">
        <f>IFERROR(__xludf.DUMMYFUNCTION("""COMPUTED_VALUE"""),"FY26, FY27")</f>
        <v>FY26, FY27</v>
      </c>
      <c r="AN500" s="4"/>
      <c r="AO500" s="4">
        <f>IFERROR(__xludf.DUMMYFUNCTION("""COMPUTED_VALUE"""),130.0)</f>
        <v>130</v>
      </c>
      <c r="AP500" s="4">
        <f>IFERROR(__xludf.DUMMYFUNCTION("""COMPUTED_VALUE"""),0.0)</f>
        <v>0</v>
      </c>
      <c r="AQ500" s="4">
        <f>IFERROR(__xludf.DUMMYFUNCTION("""COMPUTED_VALUE"""),0.0)</f>
        <v>0</v>
      </c>
      <c r="AR500" s="4">
        <f>IFERROR(__xludf.DUMMYFUNCTION("""COMPUTED_VALUE"""),0.0)</f>
        <v>0</v>
      </c>
      <c r="AS500" s="4">
        <f>IFERROR(__xludf.DUMMYFUNCTION("""COMPUTED_VALUE"""),0.0)</f>
        <v>0</v>
      </c>
      <c r="AT500" s="4">
        <f>IFERROR(__xludf.DUMMYFUNCTION("""COMPUTED_VALUE"""),0.0)</f>
        <v>0</v>
      </c>
      <c r="AU500" s="4" t="str">
        <f>IFERROR(__xludf.DUMMYFUNCTION("""COMPUTED_VALUE"""),"Diego")</f>
        <v>Diego</v>
      </c>
      <c r="AV500" s="4">
        <f>IFERROR(__xludf.DUMMYFUNCTION("""COMPUTED_VALUE"""),0.0)</f>
        <v>0</v>
      </c>
      <c r="AW500" s="4">
        <f>IFERROR(__xludf.DUMMYFUNCTION("""COMPUTED_VALUE"""),0.0)</f>
        <v>0</v>
      </c>
      <c r="AX500" s="4">
        <f>IFERROR(__xludf.DUMMYFUNCTION("""COMPUTED_VALUE"""),0.0)</f>
        <v>0</v>
      </c>
      <c r="AY500" s="4"/>
      <c r="AZ500" s="4" t="str">
        <f>IFERROR(__xludf.DUMMYFUNCTION("""COMPUTED_VALUE"""),"NA")</f>
        <v>NA</v>
      </c>
      <c r="BA500" s="4" t="str">
        <f>IFERROR(__xludf.DUMMYFUNCTION("""COMPUTED_VALUE"""),"Dado não disponível publicamente - Necessário Discovery")</f>
        <v>Dado não disponível publicamente - Necessário Discovery</v>
      </c>
      <c r="BB500" s="4" t="str">
        <f>IFERROR(__xludf.DUMMYFUNCTION("""COMPUTED_VALUE"""),"Table Service / Italiana (Paraíba - João Pessoa e Campina Grande)")</f>
        <v>Table Service / Italiana (Paraíba - João Pessoa e Campina Grande)</v>
      </c>
      <c r="BC500" s="4" t="str">
        <f>IFERROR(__xludf.DUMMYFUNCTION("""COMPUTED_VALUE"""),"Paraíba (João Pessoa + Campina Grande Shopping Partage)")</f>
        <v>Paraíba (João Pessoa + Campina Grande Shopping Partage)</v>
      </c>
      <c r="BD500" s="4" t="str">
        <f>IFERROR(__xludf.DUMMYFUNCTION("""COMPUTED_VALUE"""),"R$ 60-90")</f>
        <v>R$ 60-90</v>
      </c>
      <c r="BE500" s="4">
        <f>IFERROR(__xludf.DUMMYFUNCTION("""COMPUTED_VALUE"""),25.0)</f>
        <v>25</v>
      </c>
      <c r="BF500" s="4">
        <f>IFERROR(__xludf.DUMMYFUNCTION("""COMPUTED_VALUE"""),0.3)</f>
        <v>0.3</v>
      </c>
      <c r="BG500" s="4" t="str">
        <f>IFERROR(__xludf.DUMMYFUNCTION("""COMPUTED_VALUE"""),"Italiana tradicional PB 2 lojas. Table Service. Sem aderência significativa para E-DEPLOY.")</f>
        <v>Italiana tradicional PB 2 lojas. Table Service. Sem aderência significativa para E-DEPLOY.</v>
      </c>
      <c r="BH500" s="4" t="s">
        <v>63</v>
      </c>
      <c r="BI500" s="7" t="s">
        <v>63</v>
      </c>
    </row>
    <row r="501" hidden="1">
      <c r="A501" s="4" t="str">
        <f>IFERROR(__xludf.DUMMYFUNCTION("""COMPUTED_VALUE"""),"Tropical Banana")</f>
        <v>Tropical Banana</v>
      </c>
      <c r="B501" s="4" t="str">
        <f>IFERROR(__xludf.DUMMYFUNCTION("""COMPUTED_VALUE"""),"Lídia Esteves")</f>
        <v>Lídia Esteves</v>
      </c>
      <c r="C501" s="4" t="str">
        <f>IFERROR(__xludf.DUMMYFUNCTION("""COMPUTED_VALUE"""),"Gabriela Roma")</f>
        <v>Gabriela Roma</v>
      </c>
      <c r="D501" s="4" t="str">
        <f>IFERROR(__xludf.DUMMYFUNCTION("""COMPUTED_VALUE"""),"11. Stand by")</f>
        <v>11. Stand by</v>
      </c>
      <c r="E501" s="4" t="str">
        <f>IFERROR(__xludf.DUMMYFUNCTION("""COMPUTED_VALUE"""),"Perdido -  Momento do restaurante não favorável")</f>
        <v>Perdido -  Momento do restaurante não favorável</v>
      </c>
      <c r="F501" s="4" t="str">
        <f>IFERROR(__xludf.DUMMYFUNCTION("""COMPUTED_VALUE"""),"P")</f>
        <v>P</v>
      </c>
      <c r="G501" s="5">
        <f>IFERROR(__xludf.DUMMYFUNCTION("""COMPUTED_VALUE"""),46120.0)</f>
        <v>46120</v>
      </c>
      <c r="H501" s="4" t="str">
        <f>IFERROR(__xludf.DUMMYFUNCTION("""COMPUTED_VALUE"""),"Validação de proposta, pedido cliente antes de partir pra demo ")</f>
        <v>Validação de proposta, pedido cliente antes de partir pra demo </v>
      </c>
      <c r="I501" s="4"/>
      <c r="J501" s="6">
        <f>IFERROR(__xludf.DUMMYFUNCTION("""COMPUTED_VALUE"""),46107.631158206015)</f>
        <v>46107.63116</v>
      </c>
      <c r="K501" s="6">
        <f>IFERROR(__xludf.DUMMYFUNCTION("""COMPUTED_VALUE"""),46107.631210590276)</f>
        <v>46107.63121</v>
      </c>
      <c r="L501" s="6">
        <f>IFERROR(__xludf.DUMMYFUNCTION("""COMPUTED_VALUE"""),46120.51932755787)</f>
        <v>46120.51933</v>
      </c>
      <c r="M501" s="6">
        <f>IFERROR(__xludf.DUMMYFUNCTION("""COMPUTED_VALUE"""),46120.519362569445)</f>
        <v>46120.51936</v>
      </c>
      <c r="N501" s="6">
        <f>IFERROR(__xludf.DUMMYFUNCTION("""COMPUTED_VALUE"""),46120.51937892361)</f>
        <v>46120.51938</v>
      </c>
      <c r="O501" s="4"/>
      <c r="P501" s="4"/>
      <c r="Q501" s="4"/>
      <c r="R501" s="4"/>
      <c r="S501" s="6">
        <f>IFERROR(__xludf.DUMMYFUNCTION("""COMPUTED_VALUE"""),46136.40614517361)</f>
        <v>46136.40615</v>
      </c>
      <c r="T501" s="4"/>
      <c r="U501" s="4"/>
      <c r="V501" s="4" t="str">
        <f>IFERROR(__xludf.DUMMYFUNCTION("""COMPUTED_VALUE"""),"Trava por projetos internos da marca")</f>
        <v>Trava por projetos internos da marca</v>
      </c>
      <c r="W501" s="4"/>
      <c r="X501" s="4"/>
      <c r="Y501" s="4"/>
      <c r="Z501" s="4"/>
      <c r="AA501" s="4">
        <f>IFERROR(__xludf.DUMMYFUNCTION("""COMPUTED_VALUE"""),13.0)</f>
        <v>13</v>
      </c>
      <c r="AB501" s="4" t="str">
        <f>IFERROR(__xludf.DUMMYFUNCTION("""COMPUTED_VALUE"""),"-")</f>
        <v>-</v>
      </c>
      <c r="AC501" s="4" t="str">
        <f>IFERROR(__xludf.DUMMYFUNCTION("""COMPUTED_VALUE"""),"-")</f>
        <v>-</v>
      </c>
      <c r="AD501" s="4"/>
      <c r="AE501" s="4"/>
      <c r="AF501" s="4"/>
      <c r="AG501" s="4"/>
      <c r="AH501" s="4"/>
      <c r="AI501" s="4"/>
      <c r="AJ501" s="4"/>
      <c r="AK501" s="4"/>
      <c r="AL501" s="4"/>
      <c r="AM501" s="4" t="str">
        <f>IFERROR(__xludf.DUMMYFUNCTION("""COMPUTED_VALUE"""),"FY26, FY27")</f>
        <v>FY26, FY27</v>
      </c>
      <c r="AN501" s="4" t="str">
        <f>IFERROR(__xludf.DUMMYFUNCTION("""COMPUTED_VALUE"""),"Comer Fora")</f>
        <v>Comer Fora</v>
      </c>
      <c r="AO501" s="4">
        <f>IFERROR(__xludf.DUMMYFUNCTION("""COMPUTED_VALUE"""),95.0)</f>
        <v>95</v>
      </c>
      <c r="AP501" s="4" t="str">
        <f>IFERROR(__xludf.DUMMYFUNCTION("""COMPUTED_VALUE"""),"PR")</f>
        <v>PR</v>
      </c>
      <c r="AQ501" s="4" t="str">
        <f>IFERROR(__xludf.DUMMYFUNCTION("""COMPUTED_VALUE"""),"RAFAEL FERREIRA")</f>
        <v>RAFAEL FERREIRA</v>
      </c>
      <c r="AR501" s="4" t="str">
        <f>IFERROR(__xludf.DUMMYFUNCTION("""COMPUTED_VALUE"""),"JEYCE VICENTE")</f>
        <v>JEYCE VICENTE</v>
      </c>
      <c r="AS501" s="4" t="str">
        <f>IFERROR(__xludf.DUMMYFUNCTION("""COMPUTED_VALUE"""),"FABIO DONATO")</f>
        <v>FABIO DONATO</v>
      </c>
      <c r="AT501" s="4" t="str">
        <f>IFERROR(__xludf.DUMMYFUNCTION("""COMPUTED_VALUE"""),"MURILO NAGASHIMA")</f>
        <v>MURILO NAGASHIMA</v>
      </c>
      <c r="AU501" s="4" t="str">
        <f>IFERROR(__xludf.DUMMYFUNCTION("""COMPUTED_VALUE"""),"Lídia / Emerson")</f>
        <v>Lídia / Emerson</v>
      </c>
      <c r="AV501" s="4" t="str">
        <f>IFERROR(__xludf.DUMMYFUNCTION("""COMPUTED_VALUE"""),"Comer Fora-")</f>
        <v>Comer Fora-</v>
      </c>
      <c r="AW501" s="4"/>
      <c r="AX501" s="4" t="str">
        <f>IFERROR(__xludf.DUMMYFUNCTION("""COMPUTED_VALUE"""),"Base P1+P2")</f>
        <v>Base P1+P2</v>
      </c>
      <c r="AY501" s="4"/>
      <c r="AZ501" s="4" t="str">
        <f>IFERROR(__xludf.DUMMYFUNCTION("""COMPUTED_VALUE"""),"Saudável")</f>
        <v>Saudável</v>
      </c>
      <c r="BA501" s="4" t="str">
        <f>IFERROR(__xludf.DUMMYFUNCTION("""COMPUTED_VALUE"""),"Dado não disponível publicamente - Necessário Discovery")</f>
        <v>Dado não disponível publicamente - Necessário Discovery</v>
      </c>
      <c r="BB501" s="4" t="str">
        <f>IFERROR(__xludf.DUMMYFUNCTION("""COMPUTED_VALUE"""),"QSR / Açaí e Sucos (13 lojas em operação)")</f>
        <v>QSR / Açaí e Sucos (13 lojas em operação)</v>
      </c>
      <c r="BC501" s="4" t="str">
        <f>IFERROR(__xludf.DUMMYFUNCTION("""COMPUTED_VALUE"""),"Brasil (13 lojas - estados não especificados publicamente)")</f>
        <v>Brasil (13 lojas - estados não especificados publicamente)</v>
      </c>
      <c r="BD501" s="4" t="str">
        <f>IFERROR(__xludf.DUMMYFUNCTION("""COMPUTED_VALUE"""),"R$ 15-30")</f>
        <v>R$ 15-30</v>
      </c>
      <c r="BE501" s="4">
        <f>IFERROR(__xludf.DUMMYFUNCTION("""COMPUTED_VALUE"""),55.0)</f>
        <v>55</v>
      </c>
      <c r="BF501" s="4">
        <f>IFERROR(__xludf.DUMMYFUNCTION("""COMPUTED_VALUE"""),0.6)</f>
        <v>0.6</v>
      </c>
      <c r="BG501" s="4" t="str">
        <f>IFERROR(__xludf.DUMMYFUNCTION("""COMPUTED_VALUE"""),"Rede açaí/sucos 13 lojas. QSR customização = Kiosk fit + E-DEPLOY. Aderência média-alta.")</f>
        <v>Rede açaí/sucos 13 lojas. QSR customização = Kiosk fit + E-DEPLOY. Aderência média-alta.</v>
      </c>
      <c r="BH501" s="4" t="s">
        <v>136</v>
      </c>
      <c r="BI501" s="7">
        <v>0.9285714285714286</v>
      </c>
    </row>
    <row r="502" hidden="1">
      <c r="A502" s="4" t="str">
        <f>IFERROR(__xludf.DUMMYFUNCTION("""COMPUTED_VALUE"""),"Tt Burger")</f>
        <v>Tt Burger</v>
      </c>
      <c r="B502" s="4" t="str">
        <f>IFERROR(__xludf.DUMMYFUNCTION("""COMPUTED_VALUE"""),"Emerson")</f>
        <v>Emerson</v>
      </c>
      <c r="C502" s="4" t="str">
        <f>IFERROR(__xludf.DUMMYFUNCTION("""COMPUTED_VALUE"""),"Emerson")</f>
        <v>Emerson</v>
      </c>
      <c r="D502" s="4" t="str">
        <f>IFERROR(__xludf.DUMMYFUNCTION("""COMPUTED_VALUE"""),"0. Não Iniciado")</f>
        <v>0. Não Iniciado</v>
      </c>
      <c r="E502" s="4"/>
      <c r="F502" s="4" t="str">
        <f>IFERROR(__xludf.DUMMYFUNCTION("""COMPUTED_VALUE"""),"P")</f>
        <v>P</v>
      </c>
      <c r="G502" s="5">
        <f>IFERROR(__xludf.DUMMYFUNCTION("""COMPUTED_VALUE"""),46120.0)</f>
        <v>46120</v>
      </c>
      <c r="H502" s="4" t="str">
        <f>IFERROR(__xludf.DUMMYFUNCTION("""COMPUTED_VALUE"""),"Falei com emerson hoje 08/04 e ele disse que é perdido, não entendi motivo.")</f>
        <v>Falei com emerson hoje 08/04 e ele disse que é perdido, não entendi motivo.</v>
      </c>
      <c r="I502" s="4"/>
      <c r="J502" s="4"/>
      <c r="K502" s="4"/>
      <c r="L502" s="4"/>
      <c r="M502" s="4"/>
      <c r="N502" s="4"/>
      <c r="O502" s="4"/>
      <c r="P502" s="4"/>
      <c r="Q502" s="4"/>
      <c r="R502" s="4"/>
      <c r="S502" s="4"/>
      <c r="T502" s="4"/>
      <c r="U502" s="4"/>
      <c r="V502" s="4"/>
      <c r="W502" s="4"/>
      <c r="X502" s="4"/>
      <c r="Y502" s="4"/>
      <c r="Z502" s="4"/>
      <c r="AA502" s="4">
        <f>IFERROR(__xludf.DUMMYFUNCTION("""COMPUTED_VALUE"""),11.0)</f>
        <v>11</v>
      </c>
      <c r="AB502" s="4" t="str">
        <f>IFERROR(__xludf.DUMMYFUNCTION("""COMPUTED_VALUE"""),"NÃO")</f>
        <v>NÃO</v>
      </c>
      <c r="AC502" s="4" t="str">
        <f>IFERROR(__xludf.DUMMYFUNCTION("""COMPUTED_VALUE"""),"Não BP")</f>
        <v>Não BP</v>
      </c>
      <c r="AD502" s="4"/>
      <c r="AE502" s="4"/>
      <c r="AF502" s="4"/>
      <c r="AG502" s="4"/>
      <c r="AH502" s="4"/>
      <c r="AI502" s="4"/>
      <c r="AJ502" s="4"/>
      <c r="AK502" s="4"/>
      <c r="AL502" s="4"/>
      <c r="AM502" s="4" t="str">
        <f>IFERROR(__xludf.DUMMYFUNCTION("""COMPUTED_VALUE"""),"FY26, FY27")</f>
        <v>FY26, FY27</v>
      </c>
      <c r="AN502" s="4" t="str">
        <f>IFERROR(__xludf.DUMMYFUNCTION("""COMPUTED_VALUE"""),"Comer Fora")</f>
        <v>Comer Fora</v>
      </c>
      <c r="AO502" s="4">
        <f>IFERROR(__xludf.DUMMYFUNCTION("""COMPUTED_VALUE"""),95.0)</f>
        <v>95</v>
      </c>
      <c r="AP502" s="4" t="str">
        <f>IFERROR(__xludf.DUMMYFUNCTION("""COMPUTED_VALUE"""),"RJ")</f>
        <v>RJ</v>
      </c>
      <c r="AQ502" s="4" t="str">
        <f>IFERROR(__xludf.DUMMYFUNCTION("""COMPUTED_VALUE"""),"THIAGO FERNANDES")</f>
        <v>THIAGO FERNANDES</v>
      </c>
      <c r="AR502" s="4" t="str">
        <f>IFERROR(__xludf.DUMMYFUNCTION("""COMPUTED_VALUE"""),"ALANA SANTIAGO")</f>
        <v>ALANA SANTIAGO</v>
      </c>
      <c r="AS502" s="4" t="str">
        <f>IFERROR(__xludf.DUMMYFUNCTION("""COMPUTED_VALUE"""),"NATHALIE MERTENS")</f>
        <v>NATHALIE MERTENS</v>
      </c>
      <c r="AT502" s="4" t="str">
        <f>IFERROR(__xludf.DUMMYFUNCTION("""COMPUTED_VALUE"""),"MARIANA KATZ")</f>
        <v>MARIANA KATZ</v>
      </c>
      <c r="AU502" s="4" t="str">
        <f>IFERROR(__xludf.DUMMYFUNCTION("""COMPUTED_VALUE"""),"Emerson")</f>
        <v>Emerson</v>
      </c>
      <c r="AV502" s="4" t="str">
        <f>IFERROR(__xludf.DUMMYFUNCTION("""COMPUTED_VALUE"""),"Comer Fora-")</f>
        <v>Comer Fora-</v>
      </c>
      <c r="AW502" s="20" t="str">
        <f>IFERROR(__xludf.DUMMYFUNCTION("""COMPUTED_VALUE"""),"P e M - pipe")</f>
        <v>P e M - pipe</v>
      </c>
      <c r="AX502" s="4" t="str">
        <f>IFERROR(__xludf.DUMMYFUNCTION("""COMPUTED_VALUE"""),"Base P1+P2")</f>
        <v>Base P1+P2</v>
      </c>
      <c r="AY502" s="4" t="str">
        <f>IFERROR(__xludf.DUMMYFUNCTION("""COMPUTED_VALUE"""),"Stone Co.")</f>
        <v>Stone Co.</v>
      </c>
      <c r="AZ502" s="4" t="str">
        <f>IFERROR(__xludf.DUMMYFUNCTION("""COMPUTED_VALUE"""),"Pizza")</f>
        <v>Pizza</v>
      </c>
      <c r="BA502" s="4" t="str">
        <f>IFERROR(__xludf.DUMMYFUNCTION("""COMPUTED_VALUE"""),"")</f>
        <v/>
      </c>
      <c r="BB502" s="4" t="str">
        <f>IFERROR(__xludf.DUMMYFUNCTION("""COMPUTED_VALUE"""),"")</f>
        <v/>
      </c>
      <c r="BC502" s="4" t="str">
        <f>IFERROR(__xludf.DUMMYFUNCTION("""COMPUTED_VALUE"""),"")</f>
        <v/>
      </c>
      <c r="BD502" s="4" t="str">
        <f>IFERROR(__xludf.DUMMYFUNCTION("""COMPUTED_VALUE"""),"")</f>
        <v/>
      </c>
      <c r="BE502" s="4" t="str">
        <f>IFERROR(__xludf.DUMMYFUNCTION("""COMPUTED_VALUE"""),"")</f>
        <v/>
      </c>
      <c r="BF502" s="4" t="str">
        <f>IFERROR(__xludf.DUMMYFUNCTION("""COMPUTED_VALUE"""),"")</f>
        <v/>
      </c>
      <c r="BG502" s="4" t="str">
        <f>IFERROR(__xludf.DUMMYFUNCTION("""COMPUTED_VALUE"""),"")</f>
        <v/>
      </c>
      <c r="BH502" s="4" t="s">
        <v>72</v>
      </c>
      <c r="BI502" s="7">
        <v>0.8679245283018868</v>
      </c>
    </row>
    <row r="503" hidden="1">
      <c r="A503" s="4" t="str">
        <f>IFERROR(__xludf.DUMMYFUNCTION("""COMPUTED_VALUE"""),"Uata?!")</f>
        <v>Uata?!</v>
      </c>
      <c r="B503" s="4" t="str">
        <f>IFERROR(__xludf.DUMMYFUNCTION("""COMPUTED_VALUE"""),"João Biagiotti")</f>
        <v>João Biagiotti</v>
      </c>
      <c r="C503" s="4" t="str">
        <f>IFERROR(__xludf.DUMMYFUNCTION("""COMPUTED_VALUE"""),"Diego Santos")</f>
        <v>Diego Santos</v>
      </c>
      <c r="D503" s="4" t="str">
        <f>IFERROR(__xludf.DUMMYFUNCTION("""COMPUTED_VALUE"""),"0. Não Iniciado")</f>
        <v>0. Não Iniciado</v>
      </c>
      <c r="E503" s="4" t="str">
        <f>IFERROR(__xludf.DUMMYFUNCTION("""COMPUTED_VALUE"""),"Delivery - Aguardando retorno executivo")</f>
        <v>Delivery - Aguardando retorno executivo</v>
      </c>
      <c r="F503" s="4" t="str">
        <f>IFERROR(__xludf.DUMMYFUNCTION("""COMPUTED_VALUE"""),"P")</f>
        <v>P</v>
      </c>
      <c r="G503" s="5">
        <f>IFERROR(__xludf.DUMMYFUNCTION("""COMPUTED_VALUE"""),46076.0)</f>
        <v>46076</v>
      </c>
      <c r="H503" s="4" t="str">
        <f>IFERROR(__xludf.DUMMYFUNCTION("""COMPUTED_VALUE"""),"Aguardando retorno do executivo Reginaldo. FUP KA.")</f>
        <v>Aguardando retorno do executivo Reginaldo. FUP KA.</v>
      </c>
      <c r="I503" s="4"/>
      <c r="J503" s="4"/>
      <c r="K503" s="4"/>
      <c r="L503" s="4"/>
      <c r="M503" s="4"/>
      <c r="N503" s="4"/>
      <c r="O503" s="4"/>
      <c r="P503" s="4"/>
      <c r="Q503" s="4"/>
      <c r="R503" s="4"/>
      <c r="S503" s="4"/>
      <c r="T503" s="4"/>
      <c r="U503" s="4"/>
      <c r="V503" s="4"/>
      <c r="W503" s="4"/>
      <c r="X503" s="4"/>
      <c r="Y503" s="4"/>
      <c r="Z503" s="4"/>
      <c r="AA503" s="4">
        <f>IFERROR(__xludf.DUMMYFUNCTION("""COMPUTED_VALUE"""),8.0)</f>
        <v>8</v>
      </c>
      <c r="AB503" s="4"/>
      <c r="AC503" s="4"/>
      <c r="AD503" s="4"/>
      <c r="AE503" s="4"/>
      <c r="AF503" s="4"/>
      <c r="AG503" s="4"/>
      <c r="AH503" s="4"/>
      <c r="AI503" s="4"/>
      <c r="AJ503" s="4"/>
      <c r="AK503" s="4"/>
      <c r="AL503" s="4"/>
      <c r="AM503" s="4" t="str">
        <f>IFERROR(__xludf.DUMMYFUNCTION("""COMPUTED_VALUE"""),"FY26, FY27")</f>
        <v>FY26, FY27</v>
      </c>
      <c r="AN503" s="4"/>
      <c r="AO503" s="4">
        <f>IFERROR(__xludf.DUMMYFUNCTION("""COMPUTED_VALUE"""),140.0)</f>
        <v>140</v>
      </c>
      <c r="AP503" s="4">
        <f>IFERROR(__xludf.DUMMYFUNCTION("""COMPUTED_VALUE"""),0.0)</f>
        <v>0</v>
      </c>
      <c r="AQ503" s="4">
        <f>IFERROR(__xludf.DUMMYFUNCTION("""COMPUTED_VALUE"""),0.0)</f>
        <v>0</v>
      </c>
      <c r="AR503" s="4">
        <f>IFERROR(__xludf.DUMMYFUNCTION("""COMPUTED_VALUE"""),0.0)</f>
        <v>0</v>
      </c>
      <c r="AS503" s="4">
        <f>IFERROR(__xludf.DUMMYFUNCTION("""COMPUTED_VALUE"""),0.0)</f>
        <v>0</v>
      </c>
      <c r="AT503" s="4">
        <f>IFERROR(__xludf.DUMMYFUNCTION("""COMPUTED_VALUE"""),0.0)</f>
        <v>0</v>
      </c>
      <c r="AU503" s="4" t="str">
        <f>IFERROR(__xludf.DUMMYFUNCTION("""COMPUTED_VALUE"""),"Iza")</f>
        <v>Iza</v>
      </c>
      <c r="AV503" s="4">
        <f>IFERROR(__xludf.DUMMYFUNCTION("""COMPUTED_VALUE"""),0.0)</f>
        <v>0</v>
      </c>
      <c r="AW503" s="4">
        <f>IFERROR(__xludf.DUMMYFUNCTION("""COMPUTED_VALUE"""),0.0)</f>
        <v>0</v>
      </c>
      <c r="AX503" s="4">
        <f>IFERROR(__xludf.DUMMYFUNCTION("""COMPUTED_VALUE"""),0.0)</f>
        <v>0</v>
      </c>
      <c r="AY503" s="4"/>
      <c r="AZ503" s="4" t="str">
        <f>IFERROR(__xludf.DUMMYFUNCTION("""COMPUTED_VALUE"""),"NA")</f>
        <v>NA</v>
      </c>
      <c r="BA503" s="4" t="str">
        <f>IFERROR(__xludf.DUMMYFUNCTION("""COMPUTED_VALUE"""),"Dado não disponível publicamente - Necessário Discovery")</f>
        <v>Dado não disponível publicamente - Necessário Discovery</v>
      </c>
      <c r="BB503" s="4" t="str">
        <f>IFERROR(__xludf.DUMMYFUNCTION("""COMPUTED_VALUE"""),"Não identificado em fontes públicas")</f>
        <v>Não identificado em fontes públicas</v>
      </c>
      <c r="BC503" s="4" t="str">
        <f>IFERROR(__xludf.DUMMYFUNCTION("""COMPUTED_VALUE"""),"Não identificado")</f>
        <v>Não identificado</v>
      </c>
      <c r="BD503" s="4" t="str">
        <f>IFERROR(__xludf.DUMMYFUNCTION("""COMPUTED_VALUE"""),"Não identificado")</f>
        <v>Não identificado</v>
      </c>
      <c r="BE503" s="4">
        <f>IFERROR(__xludf.DUMMYFUNCTION("""COMPUTED_VALUE"""),0.0)</f>
        <v>0</v>
      </c>
      <c r="BF503" s="4">
        <f>IFERROR(__xludf.DUMMYFUNCTION("""COMPUTED_VALUE"""),0.0)</f>
        <v>0</v>
      </c>
      <c r="BG503" s="4" t="str">
        <f>IFERROR(__xludf.DUMMYFUNCTION("""COMPUTED_VALUE"""),"Marca não identificada em buscas públicas. Necessário verificar nome correto ou CNPJ.")</f>
        <v>Marca não identificada em buscas públicas. Necessário verificar nome correto ou CNPJ.</v>
      </c>
      <c r="BH503" s="4" t="s">
        <v>63</v>
      </c>
      <c r="BI503" s="7" t="s">
        <v>63</v>
      </c>
    </row>
    <row r="504" hidden="1">
      <c r="A504" s="4" t="str">
        <f>IFERROR(__xludf.DUMMYFUNCTION("""COMPUTED_VALUE"""),"Varanda 1389")</f>
        <v>Varanda 1389</v>
      </c>
      <c r="B504" s="4" t="str">
        <f>IFERROR(__xludf.DUMMYFUNCTION("""COMPUTED_VALUE"""),"João Biagiotti")</f>
        <v>João Biagiotti</v>
      </c>
      <c r="C504" s="4" t="str">
        <f>IFERROR(__xludf.DUMMYFUNCTION("""COMPUTED_VALUE"""),"Diego Santos")</f>
        <v>Diego Santos</v>
      </c>
      <c r="D504" s="4" t="str">
        <f>IFERROR(__xludf.DUMMYFUNCTION("""COMPUTED_VALUE"""),"2. Primeiro contato com a marca")</f>
        <v>2. Primeiro contato com a marca</v>
      </c>
      <c r="E504" s="4" t="str">
        <f>IFERROR(__xludf.DUMMYFUNCTION("""COMPUTED_VALUE"""),"Parceiro - Sem contato válido / Decisor inacessível")</f>
        <v>Parceiro - Sem contato válido / Decisor inacessível</v>
      </c>
      <c r="F504" s="4" t="str">
        <f>IFERROR(__xludf.DUMMYFUNCTION("""COMPUTED_VALUE"""),"P")</f>
        <v>P</v>
      </c>
      <c r="G504" s="5">
        <f>IFERROR(__xludf.DUMMYFUNCTION("""COMPUTED_VALUE"""),46076.0)</f>
        <v>46076</v>
      </c>
      <c r="H504" s="4" t="str">
        <f>IFERROR(__xludf.DUMMYFUNCTION("""COMPUTED_VALUE"""),"aguardando retorno do executivo de delivery")</f>
        <v>aguardando retorno do executivo de delivery</v>
      </c>
      <c r="I504" s="4"/>
      <c r="J504" s="6">
        <f>IFERROR(__xludf.DUMMYFUNCTION("""COMPUTED_VALUE"""),46064.520628171296)</f>
        <v>46064.52063</v>
      </c>
      <c r="K504" s="4"/>
      <c r="L504" s="4"/>
      <c r="M504" s="4"/>
      <c r="N504" s="4"/>
      <c r="O504" s="4"/>
      <c r="P504" s="4"/>
      <c r="Q504" s="4"/>
      <c r="R504" s="4"/>
      <c r="S504" s="4"/>
      <c r="T504" s="4"/>
      <c r="U504" s="4"/>
      <c r="V504" s="4"/>
      <c r="W504" s="4"/>
      <c r="X504" s="4"/>
      <c r="Y504" s="4"/>
      <c r="Z504" s="4"/>
      <c r="AA504" s="4">
        <f>IFERROR(__xludf.DUMMYFUNCTION("""COMPUTED_VALUE"""),2.0)</f>
        <v>2</v>
      </c>
      <c r="AB504" s="4" t="str">
        <f>IFERROR(__xludf.DUMMYFUNCTION("""COMPUTED_VALUE"""),"NÃO")</f>
        <v>NÃO</v>
      </c>
      <c r="AC504" s="4" t="str">
        <f>IFERROR(__xludf.DUMMYFUNCTION("""COMPUTED_VALUE"""),"Não BP")</f>
        <v>Não BP</v>
      </c>
      <c r="AD504" s="4"/>
      <c r="AE504" s="4"/>
      <c r="AF504" s="4"/>
      <c r="AG504" s="4"/>
      <c r="AH504" s="4"/>
      <c r="AI504" s="4"/>
      <c r="AJ504" s="4"/>
      <c r="AK504" s="4"/>
      <c r="AL504" s="4"/>
      <c r="AM504" s="4" t="str">
        <f>IFERROR(__xludf.DUMMYFUNCTION("""COMPUTED_VALUE"""),"FY26, FY27")</f>
        <v>FY26, FY27</v>
      </c>
      <c r="AN504" s="4"/>
      <c r="AO504" s="4">
        <f>IFERROR(__xludf.DUMMYFUNCTION("""COMPUTED_VALUE"""),140.0)</f>
        <v>140</v>
      </c>
      <c r="AP504" s="4" t="str">
        <f>IFERROR(__xludf.DUMMYFUNCTION("""COMPUTED_VALUE"""),"MG")</f>
        <v>MG</v>
      </c>
      <c r="AQ504" s="4" t="str">
        <f>IFERROR(__xludf.DUMMYFUNCTION("""COMPUTED_VALUE"""),"EDUARDA HALABI")</f>
        <v>EDUARDA HALABI</v>
      </c>
      <c r="AR504" s="4" t="str">
        <f>IFERROR(__xludf.DUMMYFUNCTION("""COMPUTED_VALUE"""),"DIEGO PINTO")</f>
        <v>DIEGO PINTO</v>
      </c>
      <c r="AS504" s="4" t="str">
        <f>IFERROR(__xludf.DUMMYFUNCTION("""COMPUTED_VALUE"""),"FABIO DONATO")</f>
        <v>FABIO DONATO</v>
      </c>
      <c r="AT504" s="4" t="str">
        <f>IFERROR(__xludf.DUMMYFUNCTION("""COMPUTED_VALUE"""),"GILSON JUNIOR")</f>
        <v>GILSON JUNIOR</v>
      </c>
      <c r="AU504" s="4" t="str">
        <f>IFERROR(__xludf.DUMMYFUNCTION("""COMPUTED_VALUE"""),"Diego")</f>
        <v>Diego</v>
      </c>
      <c r="AV504" s="4">
        <f>IFERROR(__xludf.DUMMYFUNCTION("""COMPUTED_VALUE"""),0.0)</f>
        <v>0</v>
      </c>
      <c r="AW504" s="4">
        <f>IFERROR(__xludf.DUMMYFUNCTION("""COMPUTED_VALUE"""),0.0)</f>
        <v>0</v>
      </c>
      <c r="AX504" s="4">
        <f>IFERROR(__xludf.DUMMYFUNCTION("""COMPUTED_VALUE"""),0.0)</f>
        <v>0</v>
      </c>
      <c r="AY504" s="4"/>
      <c r="AZ504" s="4" t="str">
        <f>IFERROR(__xludf.DUMMYFUNCTION("""COMPUTED_VALUE"""),"Marmita")</f>
        <v>Marmita</v>
      </c>
      <c r="BA504" s="4" t="str">
        <f>IFERROR(__xludf.DUMMYFUNCTION("""COMPUTED_VALUE"""),"Dado não disponível publicamente - Investimento R$ 2,5M unidade Buritis")</f>
        <v>Dado não disponível publicamente - Investimento R$ 2,5M unidade Buritis</v>
      </c>
      <c r="BB504" s="4" t="str">
        <f>IFERROR(__xludf.DUMMYFUNCTION("""COMPUTED_VALUE"""),"Table Service / Restaurante Contemporâneo (Belo Horizonte)")</f>
        <v>Table Service / Restaurante Contemporâneo (Belo Horizonte)</v>
      </c>
      <c r="BC504" s="4" t="str">
        <f>IFERROR(__xludf.DUMMYFUNCTION("""COMPUTED_VALUE"""),"Belo Horizonte-MG (Lourdes + Buritis - Pampulha planejada)")</f>
        <v>Belo Horizonte-MG (Lourdes + Buritis - Pampulha planejada)</v>
      </c>
      <c r="BD504" s="4" t="str">
        <f>IFERROR(__xludf.DUMMYFUNCTION("""COMPUTED_VALUE"""),"R$ 70-110")</f>
        <v>R$ 70-110</v>
      </c>
      <c r="BE504" s="4">
        <f>IFERROR(__xludf.DUMMYFUNCTION("""COMPUTED_VALUE"""),30.0)</f>
        <v>30</v>
      </c>
      <c r="BF504" s="4">
        <f>IFERROR(__xludf.DUMMYFUNCTION("""COMPUTED_VALUE"""),0.35)</f>
        <v>0.35</v>
      </c>
      <c r="BG504" s="4" t="str">
        <f>IFERROR(__xludf.DUMMYFUNCTION("""COMPUTED_VALUE"""),"Restaurante contemporâneo BH 2 lojas. Table Service premium. Investimento alto mas aderência baixa-média autoatendimento.")</f>
        <v>Restaurante contemporâneo BH 2 lojas. Table Service premium. Investimento alto mas aderência baixa-média autoatendimento.</v>
      </c>
      <c r="BH504" s="4" t="s">
        <v>63</v>
      </c>
      <c r="BI504" s="7" t="s">
        <v>63</v>
      </c>
    </row>
    <row r="505" hidden="1">
      <c r="A505" s="4" t="str">
        <f>IFERROR(__xludf.DUMMYFUNCTION("""COMPUTED_VALUE"""),"Vila Arabe")</f>
        <v>Vila Arabe</v>
      </c>
      <c r="B505" s="4" t="str">
        <f>IFERROR(__xludf.DUMMYFUNCTION("""COMPUTED_VALUE"""),"João Biagiotti")</f>
        <v>João Biagiotti</v>
      </c>
      <c r="C505" s="4" t="str">
        <f>IFERROR(__xludf.DUMMYFUNCTION("""COMPUTED_VALUE"""),"Diego Santos")</f>
        <v>Diego Santos</v>
      </c>
      <c r="D505" s="4" t="str">
        <f>IFERROR(__xludf.DUMMYFUNCTION("""COMPUTED_VALUE"""),"0. Não Iniciado")</f>
        <v>0. Não Iniciado</v>
      </c>
      <c r="E505" s="4" t="str">
        <f>IFERROR(__xludf.DUMMYFUNCTION("""COMPUTED_VALUE"""),"Parceiro - Sem contato válido / Decisor inacessível")</f>
        <v>Parceiro - Sem contato válido / Decisor inacessível</v>
      </c>
      <c r="F505" s="4" t="str">
        <f>IFERROR(__xludf.DUMMYFUNCTION("""COMPUTED_VALUE"""),"M")</f>
        <v>M</v>
      </c>
      <c r="G505" s="5">
        <f>IFERROR(__xludf.DUMMYFUNCTION("""COMPUTED_VALUE"""),46097.0)</f>
        <v>46097</v>
      </c>
      <c r="H505" s="4" t="str">
        <f>IFERROR(__xludf.DUMMYFUNCTION("""COMPUTED_VALUE"""),"Sem contato do cliente, Emerson está tentando ajudar. Executivo passou um contato que não nos retorna.")</f>
        <v>Sem contato do cliente, Emerson está tentando ajudar. Executivo passou um contato que não nos retorna.</v>
      </c>
      <c r="I505" s="4"/>
      <c r="J505" s="4"/>
      <c r="K505" s="4"/>
      <c r="L505" s="4"/>
      <c r="M505" s="4"/>
      <c r="N505" s="4"/>
      <c r="O505" s="4"/>
      <c r="P505" s="4"/>
      <c r="Q505" s="4"/>
      <c r="R505" s="4"/>
      <c r="S505" s="4"/>
      <c r="T505" s="4"/>
      <c r="U505" s="4"/>
      <c r="V505" s="4"/>
      <c r="W505" s="4"/>
      <c r="X505" s="4"/>
      <c r="Y505" s="4"/>
      <c r="Z505" s="4"/>
      <c r="AA505" s="4">
        <f>IFERROR(__xludf.DUMMYFUNCTION("""COMPUTED_VALUE"""),32.0)</f>
        <v>32</v>
      </c>
      <c r="AB505" s="4" t="str">
        <f>IFERROR(__xludf.DUMMYFUNCTION("""COMPUTED_VALUE"""),"NÃO")</f>
        <v>NÃO</v>
      </c>
      <c r="AC505" s="4" t="str">
        <f>IFERROR(__xludf.DUMMYFUNCTION("""COMPUTED_VALUE"""),"Não BP")</f>
        <v>Não BP</v>
      </c>
      <c r="AD505" s="4"/>
      <c r="AE505" s="4"/>
      <c r="AF505" s="4"/>
      <c r="AG505" s="4"/>
      <c r="AH505" s="4"/>
      <c r="AI505" s="4"/>
      <c r="AJ505" s="4"/>
      <c r="AK505" s="4"/>
      <c r="AL505" s="4"/>
      <c r="AM505" s="4" t="str">
        <f>IFERROR(__xludf.DUMMYFUNCTION("""COMPUTED_VALUE"""),"FY26, FY27")</f>
        <v>FY26, FY27</v>
      </c>
      <c r="AN505" s="4"/>
      <c r="AO505" s="4">
        <f>IFERROR(__xludf.DUMMYFUNCTION("""COMPUTED_VALUE"""),117.0)</f>
        <v>117</v>
      </c>
      <c r="AP505" s="4" t="str">
        <f>IFERROR(__xludf.DUMMYFUNCTION("""COMPUTED_VALUE"""),"MG")</f>
        <v>MG</v>
      </c>
      <c r="AQ505" s="4" t="str">
        <f>IFERROR(__xludf.DUMMYFUNCTION("""COMPUTED_VALUE"""),"TAMIRES DIAS")</f>
        <v>TAMIRES DIAS</v>
      </c>
      <c r="AR505" s="4" t="str">
        <f>IFERROR(__xludf.DUMMYFUNCTION("""COMPUTED_VALUE"""),"PACELLI MAGALHAES")</f>
        <v>PACELLI MAGALHAES</v>
      </c>
      <c r="AS505" s="4" t="str">
        <f>IFERROR(__xludf.DUMMYFUNCTION("""COMPUTED_VALUE"""),"FABIO DONATO")</f>
        <v>FABIO DONATO</v>
      </c>
      <c r="AT505" s="4" t="str">
        <f>IFERROR(__xludf.DUMMYFUNCTION("""COMPUTED_VALUE"""),"GILSON JUNIOR")</f>
        <v>GILSON JUNIOR</v>
      </c>
      <c r="AU505" s="4" t="str">
        <f>IFERROR(__xludf.DUMMYFUNCTION("""COMPUTED_VALUE"""),"Ana")</f>
        <v>Ana</v>
      </c>
      <c r="AV505" s="4">
        <f>IFERROR(__xludf.DUMMYFUNCTION("""COMPUTED_VALUE"""),0.0)</f>
        <v>0</v>
      </c>
      <c r="AW505" s="4">
        <f>IFERROR(__xludf.DUMMYFUNCTION("""COMPUTED_VALUE"""),0.0)</f>
        <v>0</v>
      </c>
      <c r="AX505" s="4">
        <f>IFERROR(__xludf.DUMMYFUNCTION("""COMPUTED_VALUE"""),0.0)</f>
        <v>0</v>
      </c>
      <c r="AY505" s="4"/>
      <c r="AZ505" s="4" t="str">
        <f>IFERROR(__xludf.DUMMYFUNCTION("""COMPUTED_VALUE"""),"Padaria")</f>
        <v>Padaria</v>
      </c>
      <c r="BA505" s="4" t="str">
        <f>IFERROR(__xludf.DUMMYFUNCTION("""COMPUTED_VALUE"""),"")</f>
        <v/>
      </c>
      <c r="BB505" s="4" t="str">
        <f>IFERROR(__xludf.DUMMYFUNCTION("""COMPUTED_VALUE"""),"")</f>
        <v/>
      </c>
      <c r="BC505" s="4" t="str">
        <f>IFERROR(__xludf.DUMMYFUNCTION("""COMPUTED_VALUE"""),"")</f>
        <v/>
      </c>
      <c r="BD505" s="4" t="str">
        <f>IFERROR(__xludf.DUMMYFUNCTION("""COMPUTED_VALUE"""),"")</f>
        <v/>
      </c>
      <c r="BE505" s="4" t="str">
        <f>IFERROR(__xludf.DUMMYFUNCTION("""COMPUTED_VALUE"""),"")</f>
        <v/>
      </c>
      <c r="BF505" s="4" t="str">
        <f>IFERROR(__xludf.DUMMYFUNCTION("""COMPUTED_VALUE"""),"")</f>
        <v/>
      </c>
      <c r="BG505" s="4" t="str">
        <f>IFERROR(__xludf.DUMMYFUNCTION("""COMPUTED_VALUE"""),"")</f>
        <v/>
      </c>
      <c r="BH505" s="4" t="s">
        <v>72</v>
      </c>
      <c r="BI505" s="7">
        <v>1.0</v>
      </c>
    </row>
    <row r="506">
      <c r="A506" s="4" t="str">
        <f>IFERROR(__xludf.DUMMYFUNCTION("""COMPUTED_VALUE"""),"Vivenda Do Camarão")</f>
        <v>Vivenda Do Camarão</v>
      </c>
      <c r="B506" s="4" t="str">
        <f>IFERROR(__xludf.DUMMYFUNCTION("""COMPUTED_VALUE"""),"Leonardo Roso")</f>
        <v>Leonardo Roso</v>
      </c>
      <c r="C506" s="4" t="str">
        <f>IFERROR(__xludf.DUMMYFUNCTION("""COMPUTED_VALUE"""),"Leonardo Roso")</f>
        <v>Leonardo Roso</v>
      </c>
      <c r="D506" s="4" t="str">
        <f>IFERROR(__xludf.DUMMYFUNCTION("""COMPUTED_VALUE"""),"3. Apresentação")</f>
        <v>3. Apresentação</v>
      </c>
      <c r="E506" s="4" t="str">
        <f>IFERROR(__xludf.DUMMYFUNCTION("""COMPUTED_VALUE"""),"Comercial - Primeira reunião / Visita presencial agendada")</f>
        <v>Comercial - Primeira reunião / Visita presencial agendada</v>
      </c>
      <c r="F506" s="4" t="str">
        <f>IFERROR(__xludf.DUMMYFUNCTION("""COMPUTED_VALUE"""),"G")</f>
        <v>G</v>
      </c>
      <c r="G506" s="5">
        <f>IFERROR(__xludf.DUMMYFUNCTION("""COMPUTED_VALUE"""),46155.0)</f>
        <v>46155</v>
      </c>
      <c r="H506" s="4" t="str">
        <f>IFERROR(__xludf.DUMMYFUNCTION("""COMPUTED_VALUE"""),"Reunião para falar sobre proposta 09/06")</f>
        <v>Reunião para falar sobre proposta 09/06</v>
      </c>
      <c r="I506" s="4"/>
      <c r="J506" s="4"/>
      <c r="K506" s="6">
        <f>IFERROR(__xludf.DUMMYFUNCTION("""COMPUTED_VALUE"""),45960.0)</f>
        <v>45960</v>
      </c>
      <c r="L506" s="4"/>
      <c r="M506" s="4"/>
      <c r="N506" s="4"/>
      <c r="O506" s="4"/>
      <c r="P506" s="4"/>
      <c r="Q506" s="4"/>
      <c r="R506" s="4"/>
      <c r="S506" s="4"/>
      <c r="T506" s="4"/>
      <c r="U506" s="4"/>
      <c r="V506" s="4"/>
      <c r="W506" s="4"/>
      <c r="X506" s="4"/>
      <c r="Y506" s="4"/>
      <c r="Z506" s="4"/>
      <c r="AA506" s="4">
        <f>IFERROR(__xludf.DUMMYFUNCTION("""COMPUTED_VALUE"""),120.0)</f>
        <v>120</v>
      </c>
      <c r="AB506" s="4" t="str">
        <f>IFERROR(__xludf.DUMMYFUNCTION("""COMPUTED_VALUE"""),"NÃO")</f>
        <v>NÃO</v>
      </c>
      <c r="AC506" s="4" t="str">
        <f>IFERROR(__xludf.DUMMYFUNCTION("""COMPUTED_VALUE"""),"BP")</f>
        <v>BP</v>
      </c>
      <c r="AD506" s="4"/>
      <c r="AE506" s="4"/>
      <c r="AF506" s="4"/>
      <c r="AG506" s="4"/>
      <c r="AH506" s="4"/>
      <c r="AI506" s="4"/>
      <c r="AJ506" s="4"/>
      <c r="AK506" s="4"/>
      <c r="AL506" s="4"/>
      <c r="AM506" s="4" t="str">
        <f>IFERROR(__xludf.DUMMYFUNCTION("""COMPUTED_VALUE"""),"FY26, FY27")</f>
        <v>FY26, FY27</v>
      </c>
      <c r="AN506" s="4"/>
      <c r="AO506" s="4">
        <f>IFERROR(__xludf.DUMMYFUNCTION("""COMPUTED_VALUE"""),60.0)</f>
        <v>60</v>
      </c>
      <c r="AP506" s="4">
        <f>IFERROR(__xludf.DUMMYFUNCTION("""COMPUTED_VALUE"""),0.0)</f>
        <v>0</v>
      </c>
      <c r="AQ506" s="4">
        <f>IFERROR(__xludf.DUMMYFUNCTION("""COMPUTED_VALUE"""),0.0)</f>
        <v>0</v>
      </c>
      <c r="AR506" s="4">
        <f>IFERROR(__xludf.DUMMYFUNCTION("""COMPUTED_VALUE"""),0.0)</f>
        <v>0</v>
      </c>
      <c r="AS506" s="4">
        <f>IFERROR(__xludf.DUMMYFUNCTION("""COMPUTED_VALUE"""),0.0)</f>
        <v>0</v>
      </c>
      <c r="AT506" s="4">
        <f>IFERROR(__xludf.DUMMYFUNCTION("""COMPUTED_VALUE"""),0.0)</f>
        <v>0</v>
      </c>
      <c r="AU506" s="4" t="str">
        <f>IFERROR(__xludf.DUMMYFUNCTION("""COMPUTED_VALUE"""),"Leonardo Roso")</f>
        <v>Leonardo Roso</v>
      </c>
      <c r="AV506" s="4" t="str">
        <f>IFERROR(__xludf.DUMMYFUNCTION("""COMPUTED_VALUE"""),"Comer Fora-")</f>
        <v>Comer Fora-</v>
      </c>
      <c r="AW506" s="20" t="str">
        <f>IFERROR(__xludf.DUMMYFUNCTION("""COMPUTED_VALUE"""),"")</f>
        <v/>
      </c>
      <c r="AX506" s="4"/>
      <c r="AY506" s="4">
        <f>IFERROR(__xludf.DUMMYFUNCTION("""COMPUTED_VALUE"""),0.0)</f>
        <v>0</v>
      </c>
      <c r="AZ506" s="4" t="str">
        <f>IFERROR(__xludf.DUMMYFUNCTION("""COMPUTED_VALUE"""),"NA")</f>
        <v>NA</v>
      </c>
      <c r="BA506" s="4" t="str">
        <f>IFERROR(__xludf.DUMMYFUNCTION("""COMPUTED_VALUE"""),"R$ 45-75")</f>
        <v>R$ 45-75</v>
      </c>
      <c r="BB506" s="4" t="str">
        <f>IFERROR(__xludf.DUMMYFUNCTION("""COMPUTED_VALUE"""),"Casual Dining - Frutos do Mar (Shopping)")</f>
        <v>Casual Dining - Frutos do Mar (Shopping)</v>
      </c>
      <c r="BC506" s="4" t="str">
        <f>IFERROR(__xludf.DUMMYFUNCTION("""COMPUTED_VALUE"""),"Nacional (150+ lojas, principalmente shoppings)")</f>
        <v>Nacional (150+ lojas, principalmente shoppings)</v>
      </c>
      <c r="BD506" s="4" t="str">
        <f>IFERROR(__xludf.DUMMYFUNCTION("""COMPUTED_VALUE"""),"R$ 300-350 milhões (2024-2025 estimado)")</f>
        <v>R$ 300-350 milhões (2024-2025 estimado)</v>
      </c>
      <c r="BE506" s="4">
        <f>IFERROR(__xludf.DUMMYFUNCTION("""COMPUTED_VALUE"""),85.0)</f>
        <v>85</v>
      </c>
      <c r="BF506" s="4">
        <f>IFERROR(__xludf.DUMMYFUNCTION("""COMPUTED_VALUE"""),0.88)</f>
        <v>0.88</v>
      </c>
      <c r="BG506" s="4" t="str">
        <f>IFERROR(__xludf.DUMMYFUNCTION("""COMPUTED_VALUE"""),"PDV não identificado - ALTÍSSIMA ADERÊNCIA: 150+ lojas (franquia + próprias), faturamento R$ 300-350M. Praças shopping, forte delivery. 3S: padronização franquias, gestão multi-loja, KDS, integração fiscal. Expansão varejo/atacado = necessidade escalabili"&amp;"dade")</f>
        <v>PDV não identificado - ALTÍSSIMA ADERÊNCIA: 150+ lojas (franquia + próprias), faturamento R$ 300-350M. Praças shopping, forte delivery. 3S: padronização franquias, gestão multi-loja, KDS, integração fiscal. Expansão varejo/atacado = necessidade escalabilidade</v>
      </c>
      <c r="BH506" s="4" t="s">
        <v>63</v>
      </c>
      <c r="BI506" s="7" t="s">
        <v>63</v>
      </c>
    </row>
    <row r="507" hidden="1">
      <c r="A507" s="4" t="str">
        <f>IFERROR(__xludf.DUMMYFUNCTION("""COMPUTED_VALUE"""),"We Donuts")</f>
        <v>We Donuts</v>
      </c>
      <c r="B507" s="4" t="str">
        <f>IFERROR(__xludf.DUMMYFUNCTION("""COMPUTED_VALUE"""),"Lídia Esteves")</f>
        <v>Lídia Esteves</v>
      </c>
      <c r="C507" s="4" t="str">
        <f>IFERROR(__xludf.DUMMYFUNCTION("""COMPUTED_VALUE"""),"Gabriela Roma")</f>
        <v>Gabriela Roma</v>
      </c>
      <c r="D507" s="4" t="str">
        <f>IFERROR(__xludf.DUMMYFUNCTION("""COMPUTED_VALUE"""),"0. Não Iniciado")</f>
        <v>0. Não Iniciado</v>
      </c>
      <c r="E507" s="4"/>
      <c r="F507" s="4" t="str">
        <f>IFERROR(__xludf.DUMMYFUNCTION("""COMPUTED_VALUE"""),"P")</f>
        <v>P</v>
      </c>
      <c r="G507" s="4"/>
      <c r="H507" s="4"/>
      <c r="I507" s="4"/>
      <c r="J507" s="4"/>
      <c r="K507" s="4"/>
      <c r="L507" s="4"/>
      <c r="M507" s="4"/>
      <c r="N507" s="4"/>
      <c r="O507" s="4"/>
      <c r="P507" s="4"/>
      <c r="Q507" s="4"/>
      <c r="R507" s="4"/>
      <c r="S507" s="4"/>
      <c r="T507" s="4"/>
      <c r="U507" s="4"/>
      <c r="V507" s="4"/>
      <c r="W507" s="4"/>
      <c r="X507" s="4"/>
      <c r="Y507" s="4"/>
      <c r="Z507" s="4"/>
      <c r="AA507" s="4">
        <f>IFERROR(__xludf.DUMMYFUNCTION("""COMPUTED_VALUE"""),11.0)</f>
        <v>11</v>
      </c>
      <c r="AB507" s="4" t="str">
        <f>IFERROR(__xludf.DUMMYFUNCTION("""COMPUTED_VALUE"""),"-")</f>
        <v>-</v>
      </c>
      <c r="AC507" s="4" t="str">
        <f>IFERROR(__xludf.DUMMYFUNCTION("""COMPUTED_VALUE"""),"-")</f>
        <v>-</v>
      </c>
      <c r="AD507" s="4"/>
      <c r="AE507" s="4"/>
      <c r="AF507" s="4"/>
      <c r="AG507" s="4"/>
      <c r="AH507" s="4"/>
      <c r="AI507" s="4"/>
      <c r="AJ507" s="4"/>
      <c r="AK507" s="4"/>
      <c r="AL507" s="4"/>
      <c r="AM507" s="4" t="str">
        <f>IFERROR(__xludf.DUMMYFUNCTION("""COMPUTED_VALUE"""),"FY26, FY27")</f>
        <v>FY26, FY27</v>
      </c>
      <c r="AN507" s="4"/>
      <c r="AO507" s="4">
        <f>IFERROR(__xludf.DUMMYFUNCTION("""COMPUTED_VALUE"""),45553.0)</f>
        <v>45553</v>
      </c>
      <c r="AP507" s="4" t="str">
        <f>IFERROR(__xludf.DUMMYFUNCTION("""COMPUTED_VALUE"""),"SP")</f>
        <v>SP</v>
      </c>
      <c r="AQ507" s="4" t="str">
        <f>IFERROR(__xludf.DUMMYFUNCTION("""COMPUTED_VALUE"""),"VITOR SERRANO")</f>
        <v>VITOR SERRANO</v>
      </c>
      <c r="AR507" s="4" t="str">
        <f>IFERROR(__xludf.DUMMYFUNCTION("""COMPUTED_VALUE"""),"LEONARDO FERRARI")</f>
        <v>LEONARDO FERRARI</v>
      </c>
      <c r="AS507" s="4" t="str">
        <f>IFERROR(__xludf.DUMMYFUNCTION("""COMPUTED_VALUE"""),"ALAN HADDAD")</f>
        <v>ALAN HADDAD</v>
      </c>
      <c r="AT507" s="4" t="str">
        <f>IFERROR(__xludf.DUMMYFUNCTION("""COMPUTED_VALUE"""),"ISABELA DINIZ")</f>
        <v>ISABELA DINIZ</v>
      </c>
      <c r="AU507" s="4" t="str">
        <f>IFERROR(__xludf.DUMMYFUNCTION("""COMPUTED_VALUE"""),"Lídia / Emerson")</f>
        <v>Lídia / Emerson</v>
      </c>
      <c r="AV507" s="4">
        <f>IFERROR(__xludf.DUMMYFUNCTION("""COMPUTED_VALUE"""),0.0)</f>
        <v>0</v>
      </c>
      <c r="AW507" s="4">
        <f>IFERROR(__xludf.DUMMYFUNCTION("""COMPUTED_VALUE"""),0.0)</f>
        <v>0</v>
      </c>
      <c r="AX507" s="4">
        <f>IFERROR(__xludf.DUMMYFUNCTION("""COMPUTED_VALUE"""),0.0)</f>
        <v>0</v>
      </c>
      <c r="AY507" s="4"/>
      <c r="AZ507" s="4" t="str">
        <f>IFERROR(__xludf.DUMMYFUNCTION("""COMPUTED_VALUE"""),"Doces &amp; Bolos")</f>
        <v>Doces &amp; Bolos</v>
      </c>
      <c r="BA507" s="4" t="str">
        <f>IFERROR(__xludf.DUMMYFUNCTION("""COMPUTED_VALUE"""),"R$ 15-30")</f>
        <v>R$ 15-30</v>
      </c>
      <c r="BB507" s="4" t="str">
        <f>IFERROR(__xludf.DUMMYFUNCTION("""COMPUTED_VALUE"""),"QSR - Donuts")</f>
        <v>QSR - Donuts</v>
      </c>
      <c r="BC507" s="4" t="str">
        <f>IFERROR(__xludf.DUMMYFUNCTION("""COMPUTED_VALUE"""),"São Paulo (4-5 lojas)")</f>
        <v>São Paulo (4-5 lojas)</v>
      </c>
      <c r="BD507" s="4" t="str">
        <f>IFERROR(__xludf.DUMMYFUNCTION("""COMPUTED_VALUE"""),"Necessário Discovery")</f>
        <v>Necessário Discovery</v>
      </c>
      <c r="BE507" s="4">
        <f>IFERROR(__xludf.DUMMYFUNCTION("""COMPUTED_VALUE"""),40.0)</f>
        <v>40</v>
      </c>
      <c r="BF507" s="4">
        <f>IFERROR(__xludf.DUMMYFUNCTION("""COMPUTED_VALUE"""),0.45)</f>
        <v>0.45</v>
      </c>
      <c r="BG507" s="4" t="str">
        <f>IFERROR(__xludf.DUMMYFUNCTION("""COMPUTED_VALUE"""),"PDV não identificado - Rede pequena (4-5 lojas SP). 3S: solução básica delivery/gestão")</f>
        <v>PDV não identificado - Rede pequena (4-5 lojas SP). 3S: solução básica delivery/gestão</v>
      </c>
      <c r="BH507" s="4" t="s">
        <v>63</v>
      </c>
      <c r="BI507" s="7" t="s">
        <v>63</v>
      </c>
    </row>
    <row r="508" hidden="1">
      <c r="A508" s="4" t="str">
        <f>IFERROR(__xludf.DUMMYFUNCTION("""COMPUTED_VALUE"""),"Yo Japa")</f>
        <v>Yo Japa</v>
      </c>
      <c r="B508" s="4" t="str">
        <f>IFERROR(__xludf.DUMMYFUNCTION("""COMPUTED_VALUE"""),"Lídia Esteves")</f>
        <v>Lídia Esteves</v>
      </c>
      <c r="C508" s="4" t="str">
        <f>IFERROR(__xludf.DUMMYFUNCTION("""COMPUTED_VALUE"""),"Gabriela Roma")</f>
        <v>Gabriela Roma</v>
      </c>
      <c r="D508" s="4" t="str">
        <f>IFERROR(__xludf.DUMMYFUNCTION("""COMPUTED_VALUE"""),"10. Perdido")</f>
        <v>10. Perdido</v>
      </c>
      <c r="E508" s="4" t="str">
        <f>IFERROR(__xludf.DUMMYFUNCTION("""COMPUTED_VALUE"""),"Perdido - Sem perfil LA / 3SCheckout / PDV próprio")</f>
        <v>Perdido - Sem perfil LA / 3SCheckout / PDV próprio</v>
      </c>
      <c r="F508" s="4" t="str">
        <f>IFERROR(__xludf.DUMMYFUNCTION("""COMPUTED_VALUE"""),"P")</f>
        <v>P</v>
      </c>
      <c r="G508" s="5">
        <f>IFERROR(__xludf.DUMMYFUNCTION("""COMPUTED_VALUE"""),46076.0)</f>
        <v>46076</v>
      </c>
      <c r="H508" s="4" t="str">
        <f>IFERROR(__xludf.DUMMYFUNCTION("""COMPUTED_VALUE"""),"Nova abordagem")</f>
        <v>Nova abordagem</v>
      </c>
      <c r="I508" s="4"/>
      <c r="J508" s="6">
        <f>IFERROR(__xludf.DUMMYFUNCTION("""COMPUTED_VALUE"""),46083.469228692134)</f>
        <v>46083.46923</v>
      </c>
      <c r="K508" s="6">
        <f>IFERROR(__xludf.DUMMYFUNCTION("""COMPUTED_VALUE"""),45960.0)</f>
        <v>45960</v>
      </c>
      <c r="L508" s="4"/>
      <c r="M508" s="4"/>
      <c r="N508" s="4"/>
      <c r="O508" s="4"/>
      <c r="P508" s="4"/>
      <c r="Q508" s="4"/>
      <c r="R508" s="6">
        <f>IFERROR(__xludf.DUMMYFUNCTION("""COMPUTED_VALUE"""),46084.78363439815)</f>
        <v>46084.78363</v>
      </c>
      <c r="S508" s="4"/>
      <c r="T508" s="4"/>
      <c r="U508" s="4"/>
      <c r="V508" s="4" t="str">
        <f>IFERROR(__xludf.DUMMYFUNCTION("""COMPUTED_VALUE"""),"Sem interesse em mudar de PDV")</f>
        <v>Sem interesse em mudar de PDV</v>
      </c>
      <c r="W508" s="4"/>
      <c r="X508" s="4"/>
      <c r="Y508" s="4"/>
      <c r="Z508" s="4"/>
      <c r="AA508" s="4">
        <f>IFERROR(__xludf.DUMMYFUNCTION("""COMPUTED_VALUE"""),11.0)</f>
        <v>11</v>
      </c>
      <c r="AB508" s="4" t="str">
        <f>IFERROR(__xludf.DUMMYFUNCTION("""COMPUTED_VALUE"""),"NÃO")</f>
        <v>NÃO</v>
      </c>
      <c r="AC508" s="4" t="str">
        <f>IFERROR(__xludf.DUMMYFUNCTION("""COMPUTED_VALUE"""),"Não BP")</f>
        <v>Não BP</v>
      </c>
      <c r="AD508" s="4"/>
      <c r="AE508" s="4"/>
      <c r="AF508" s="4"/>
      <c r="AG508" s="4"/>
      <c r="AH508" s="4"/>
      <c r="AI508" s="4"/>
      <c r="AJ508" s="4"/>
      <c r="AK508" s="4"/>
      <c r="AL508" s="4"/>
      <c r="AM508" s="4" t="str">
        <f>IFERROR(__xludf.DUMMYFUNCTION("""COMPUTED_VALUE"""),"FY26")</f>
        <v>FY26</v>
      </c>
      <c r="AN508" s="4"/>
      <c r="AO508" s="4">
        <f>IFERROR(__xludf.DUMMYFUNCTION("""COMPUTED_VALUE"""),140.0)</f>
        <v>140</v>
      </c>
      <c r="AP508" s="4" t="str">
        <f>IFERROR(__xludf.DUMMYFUNCTION("""COMPUTED_VALUE"""),"SP")</f>
        <v>SP</v>
      </c>
      <c r="AQ508" s="4" t="str">
        <f>IFERROR(__xludf.DUMMYFUNCTION("""COMPUTED_VALUE"""),"ISADORA GARCIA")</f>
        <v>ISADORA GARCIA</v>
      </c>
      <c r="AR508" s="4">
        <f>IFERROR(__xludf.DUMMYFUNCTION("""COMPUTED_VALUE"""),0.0)</f>
        <v>0</v>
      </c>
      <c r="AS508" s="4">
        <f>IFERROR(__xludf.DUMMYFUNCTION("""COMPUTED_VALUE"""),0.0)</f>
        <v>0</v>
      </c>
      <c r="AT508" s="4">
        <f>IFERROR(__xludf.DUMMYFUNCTION("""COMPUTED_VALUE"""),0.0)</f>
        <v>0</v>
      </c>
      <c r="AU508" s="4" t="str">
        <f>IFERROR(__xludf.DUMMYFUNCTION("""COMPUTED_VALUE"""),"Diego")</f>
        <v>Diego</v>
      </c>
      <c r="AV508" s="4">
        <f>IFERROR(__xludf.DUMMYFUNCTION("""COMPUTED_VALUE"""),0.0)</f>
        <v>0</v>
      </c>
      <c r="AW508" s="4">
        <f>IFERROR(__xludf.DUMMYFUNCTION("""COMPUTED_VALUE"""),0.0)</f>
        <v>0</v>
      </c>
      <c r="AX508" s="4">
        <f>IFERROR(__xludf.DUMMYFUNCTION("""COMPUTED_VALUE"""),0.0)</f>
        <v>0</v>
      </c>
      <c r="AY508" s="4"/>
      <c r="AZ508" s="4" t="str">
        <f>IFERROR(__xludf.DUMMYFUNCTION("""COMPUTED_VALUE"""),"Japonesa")</f>
        <v>Japonesa</v>
      </c>
      <c r="BA508" s="4" t="str">
        <f>IFERROR(__xludf.DUMMYFUNCTION("""COMPUTED_VALUE"""),"")</f>
        <v/>
      </c>
      <c r="BB508" s="4" t="str">
        <f>IFERROR(__xludf.DUMMYFUNCTION("""COMPUTED_VALUE"""),"")</f>
        <v/>
      </c>
      <c r="BC508" s="4" t="str">
        <f>IFERROR(__xludf.DUMMYFUNCTION("""COMPUTED_VALUE"""),"")</f>
        <v/>
      </c>
      <c r="BD508" s="4" t="str">
        <f>IFERROR(__xludf.DUMMYFUNCTION("""COMPUTED_VALUE"""),"")</f>
        <v/>
      </c>
      <c r="BE508" s="4" t="str">
        <f>IFERROR(__xludf.DUMMYFUNCTION("""COMPUTED_VALUE"""),"")</f>
        <v/>
      </c>
      <c r="BF508" s="4" t="str">
        <f>IFERROR(__xludf.DUMMYFUNCTION("""COMPUTED_VALUE"""),"")</f>
        <v/>
      </c>
      <c r="BG508" s="4" t="str">
        <f>IFERROR(__xludf.DUMMYFUNCTION("""COMPUTED_VALUE"""),"")</f>
        <v/>
      </c>
      <c r="BH508" s="4" t="s">
        <v>63</v>
      </c>
      <c r="BI508" s="7" t="s">
        <v>63</v>
      </c>
    </row>
    <row r="509" hidden="1">
      <c r="A509" s="4" t="str">
        <f>IFERROR(__xludf.DUMMYFUNCTION("""COMPUTED_VALUE"""),"Zapata Mexican Bar E Taquerias")</f>
        <v>Zapata Mexican Bar E Taquerias</v>
      </c>
      <c r="B509" s="4" t="str">
        <f>IFERROR(__xludf.DUMMYFUNCTION("""COMPUTED_VALUE"""),"Lídia Esteves")</f>
        <v>Lídia Esteves</v>
      </c>
      <c r="C509" s="4" t="str">
        <f>IFERROR(__xludf.DUMMYFUNCTION("""COMPUTED_VALUE"""),"Gabriela Roma")</f>
        <v>Gabriela Roma</v>
      </c>
      <c r="D509" s="4" t="str">
        <f>IFERROR(__xludf.DUMMYFUNCTION("""COMPUTED_VALUE"""),"1. Iniciado")</f>
        <v>1. Iniciado</v>
      </c>
      <c r="E509" s="4" t="str">
        <f>IFERROR(__xludf.DUMMYFUNCTION("""COMPUTED_VALUE"""),"Delivery - Aguardando retorno / Conciliação agenda")</f>
        <v>Delivery - Aguardando retorno / Conciliação agenda</v>
      </c>
      <c r="F509" s="4" t="str">
        <f>IFERROR(__xludf.DUMMYFUNCTION("""COMPUTED_VALUE"""),"P")</f>
        <v>P</v>
      </c>
      <c r="G509" s="4"/>
      <c r="H509" s="4"/>
      <c r="I509" s="6">
        <f>IFERROR(__xludf.DUMMYFUNCTION("""COMPUTED_VALUE"""),46121.68938804398)</f>
        <v>46121.68939</v>
      </c>
      <c r="J509" s="4"/>
      <c r="K509" s="4"/>
      <c r="L509" s="4"/>
      <c r="M509" s="4"/>
      <c r="N509" s="4"/>
      <c r="O509" s="4"/>
      <c r="P509" s="4"/>
      <c r="Q509" s="4"/>
      <c r="R509" s="4"/>
      <c r="S509" s="4"/>
      <c r="T509" s="4"/>
      <c r="U509" s="4"/>
      <c r="V509" s="4"/>
      <c r="W509" s="4"/>
      <c r="X509" s="4"/>
      <c r="Y509" s="4"/>
      <c r="Z509" s="4"/>
      <c r="AA509" s="4">
        <f>IFERROR(__xludf.DUMMYFUNCTION("""COMPUTED_VALUE"""),10.0)</f>
        <v>10</v>
      </c>
      <c r="AB509" s="4" t="str">
        <f>IFERROR(__xludf.DUMMYFUNCTION("""COMPUTED_VALUE"""),"-")</f>
        <v>-</v>
      </c>
      <c r="AC509" s="4" t="str">
        <f>IFERROR(__xludf.DUMMYFUNCTION("""COMPUTED_VALUE"""),"-")</f>
        <v>-</v>
      </c>
      <c r="AD509" s="4"/>
      <c r="AE509" s="4"/>
      <c r="AF509" s="4"/>
      <c r="AG509" s="4"/>
      <c r="AH509" s="4"/>
      <c r="AI509" s="4"/>
      <c r="AJ509" s="4"/>
      <c r="AK509" s="4"/>
      <c r="AL509" s="4"/>
      <c r="AM509" s="4" t="str">
        <f>IFERROR(__xludf.DUMMYFUNCTION("""COMPUTED_VALUE"""),"FY26, FY27")</f>
        <v>FY26, FY27</v>
      </c>
      <c r="AN509" s="4"/>
      <c r="AO509" s="4">
        <f>IFERROR(__xludf.DUMMYFUNCTION("""COMPUTED_VALUE"""),45553.0)</f>
        <v>45553</v>
      </c>
      <c r="AP509" s="4" t="str">
        <f>IFERROR(__xludf.DUMMYFUNCTION("""COMPUTED_VALUE"""),"PR")</f>
        <v>PR</v>
      </c>
      <c r="AQ509" s="4" t="str">
        <f>IFERROR(__xludf.DUMMYFUNCTION("""COMPUTED_VALUE"""),"RAFAEL FERREIRA")</f>
        <v>RAFAEL FERREIRA</v>
      </c>
      <c r="AR509" s="4" t="str">
        <f>IFERROR(__xludf.DUMMYFUNCTION("""COMPUTED_VALUE"""),"CAMILLA HENNING")</f>
        <v>CAMILLA HENNING</v>
      </c>
      <c r="AS509" s="4" t="str">
        <f>IFERROR(__xludf.DUMMYFUNCTION("""COMPUTED_VALUE"""),"FABIO DONATO")</f>
        <v>FABIO DONATO</v>
      </c>
      <c r="AT509" s="4" t="str">
        <f>IFERROR(__xludf.DUMMYFUNCTION("""COMPUTED_VALUE"""),"MURILO NAGASHIMA")</f>
        <v>MURILO NAGASHIMA</v>
      </c>
      <c r="AU509" s="4" t="str">
        <f>IFERROR(__xludf.DUMMYFUNCTION("""COMPUTED_VALUE"""),"Lídia / Emerson")</f>
        <v>Lídia / Emerson</v>
      </c>
      <c r="AV509" s="4">
        <f>IFERROR(__xludf.DUMMYFUNCTION("""COMPUTED_VALUE"""),0.0)</f>
        <v>0</v>
      </c>
      <c r="AW509" s="4">
        <f>IFERROR(__xludf.DUMMYFUNCTION("""COMPUTED_VALUE"""),0.0)</f>
        <v>0</v>
      </c>
      <c r="AX509" s="4">
        <f>IFERROR(__xludf.DUMMYFUNCTION("""COMPUTED_VALUE"""),0.0)</f>
        <v>0</v>
      </c>
      <c r="AY509" s="4"/>
      <c r="AZ509" s="4" t="str">
        <f>IFERROR(__xludf.DUMMYFUNCTION("""COMPUTED_VALUE"""),"Mexicana")</f>
        <v>Mexicana</v>
      </c>
      <c r="BA509" s="4" t="str">
        <f>IFERROR(__xludf.DUMMYFUNCTION("""COMPUTED_VALUE"""),"")</f>
        <v/>
      </c>
      <c r="BB509" s="4" t="str">
        <f>IFERROR(__xludf.DUMMYFUNCTION("""COMPUTED_VALUE"""),"")</f>
        <v/>
      </c>
      <c r="BC509" s="4" t="str">
        <f>IFERROR(__xludf.DUMMYFUNCTION("""COMPUTED_VALUE"""),"")</f>
        <v/>
      </c>
      <c r="BD509" s="4" t="str">
        <f>IFERROR(__xludf.DUMMYFUNCTION("""COMPUTED_VALUE"""),"")</f>
        <v/>
      </c>
      <c r="BE509" s="4" t="str">
        <f>IFERROR(__xludf.DUMMYFUNCTION("""COMPUTED_VALUE"""),"")</f>
        <v/>
      </c>
      <c r="BF509" s="4" t="str">
        <f>IFERROR(__xludf.DUMMYFUNCTION("""COMPUTED_VALUE"""),"")</f>
        <v/>
      </c>
      <c r="BG509" s="4" t="str">
        <f>IFERROR(__xludf.DUMMYFUNCTION("""COMPUTED_VALUE"""),"")</f>
        <v/>
      </c>
      <c r="BH509" s="4" t="s">
        <v>63</v>
      </c>
      <c r="BI509" s="7" t="s">
        <v>63</v>
      </c>
    </row>
    <row r="510" hidden="1">
      <c r="A510" s="4" t="str">
        <f>IFERROR(__xludf.DUMMYFUNCTION("""COMPUTED_VALUE"""),"Ze Do Hamburger")</f>
        <v>Ze Do Hamburger</v>
      </c>
      <c r="B510" s="4" t="str">
        <f>IFERROR(__xludf.DUMMYFUNCTION("""COMPUTED_VALUE"""),"João Biagiotti")</f>
        <v>João Biagiotti</v>
      </c>
      <c r="C510" s="4" t="str">
        <f>IFERROR(__xludf.DUMMYFUNCTION("""COMPUTED_VALUE"""),"Diego Santos")</f>
        <v>Diego Santos</v>
      </c>
      <c r="D510" s="4" t="str">
        <f>IFERROR(__xludf.DUMMYFUNCTION("""COMPUTED_VALUE"""),"3. Apresentação")</f>
        <v>3. Apresentação</v>
      </c>
      <c r="E510" s="4" t="str">
        <f>IFERROR(__xludf.DUMMYFUNCTION("""COMPUTED_VALUE"""),"Comercial - Contato realizado com parceiro")</f>
        <v>Comercial - Contato realizado com parceiro</v>
      </c>
      <c r="F510" s="4" t="str">
        <f>IFERROR(__xludf.DUMMYFUNCTION("""COMPUTED_VALUE"""),"P")</f>
        <v>P</v>
      </c>
      <c r="G510" s="5">
        <f>IFERROR(__xludf.DUMMYFUNCTION("""COMPUTED_VALUE"""),46120.0)</f>
        <v>46120</v>
      </c>
      <c r="H510" s="4" t="str">
        <f>IFERROR(__xludf.DUMMYFUNCTION("""COMPUTED_VALUE"""),"O emerson está tentando apoiar pra conseguir uma agenda com o prospect")</f>
        <v>O emerson está tentando apoiar pra conseguir uma agenda com o prospect</v>
      </c>
      <c r="I510" s="4"/>
      <c r="J510" s="4"/>
      <c r="K510" s="6">
        <f>IFERROR(__xludf.DUMMYFUNCTION("""COMPUTED_VALUE"""),45899.0)</f>
        <v>45899</v>
      </c>
      <c r="L510" s="4"/>
      <c r="M510" s="4"/>
      <c r="N510" s="4"/>
      <c r="O510" s="4"/>
      <c r="P510" s="4"/>
      <c r="Q510" s="4"/>
      <c r="R510" s="4"/>
      <c r="S510" s="4"/>
      <c r="T510" s="4"/>
      <c r="U510" s="4"/>
      <c r="V510" s="4"/>
      <c r="W510" s="4"/>
      <c r="X510" s="4"/>
      <c r="Y510" s="4"/>
      <c r="Z510" s="4"/>
      <c r="AA510" s="4">
        <f>IFERROR(__xludf.DUMMYFUNCTION("""COMPUTED_VALUE"""),6.0)</f>
        <v>6</v>
      </c>
      <c r="AB510" s="4" t="str">
        <f>IFERROR(__xludf.DUMMYFUNCTION("""COMPUTED_VALUE"""),"NÃO")</f>
        <v>NÃO</v>
      </c>
      <c r="AC510" s="4" t="str">
        <f>IFERROR(__xludf.DUMMYFUNCTION("""COMPUTED_VALUE"""),"Não BP")</f>
        <v>Não BP</v>
      </c>
      <c r="AD510" s="4"/>
      <c r="AE510" s="4"/>
      <c r="AF510" s="4"/>
      <c r="AG510" s="4"/>
      <c r="AH510" s="4"/>
      <c r="AI510" s="4"/>
      <c r="AJ510" s="4"/>
      <c r="AK510" s="4"/>
      <c r="AL510" s="4"/>
      <c r="AM510" s="4" t="str">
        <f>IFERROR(__xludf.DUMMYFUNCTION("""COMPUTED_VALUE"""),"FY26, FY27")</f>
        <v>FY26, FY27</v>
      </c>
      <c r="AN510" s="4" t="str">
        <f>IFERROR(__xludf.DUMMYFUNCTION("""COMPUTED_VALUE"""),"Comer Fora")</f>
        <v>Comer Fora</v>
      </c>
      <c r="AO510" s="4">
        <f>IFERROR(__xludf.DUMMYFUNCTION("""COMPUTED_VALUE"""),95.0)</f>
        <v>95</v>
      </c>
      <c r="AP510" s="4" t="str">
        <f>IFERROR(__xludf.DUMMYFUNCTION("""COMPUTED_VALUE"""),"SP")</f>
        <v>SP</v>
      </c>
      <c r="AQ510" s="4" t="str">
        <f>IFERROR(__xludf.DUMMYFUNCTION("""COMPUTED_VALUE"""),"RODRIGO BESSER")</f>
        <v>RODRIGO BESSER</v>
      </c>
      <c r="AR510" s="4" t="str">
        <f>IFERROR(__xludf.DUMMYFUNCTION("""COMPUTED_VALUE"""),"FERNANDA BENZZATTI")</f>
        <v>FERNANDA BENZZATTI</v>
      </c>
      <c r="AS510" s="4" t="str">
        <f>IFERROR(__xludf.DUMMYFUNCTION("""COMPUTED_VALUE"""),"NATHALIE MERTENS")</f>
        <v>NATHALIE MERTENS</v>
      </c>
      <c r="AT510" s="4" t="str">
        <f>IFERROR(__xludf.DUMMYFUNCTION("""COMPUTED_VALUE"""),"MARIANA KATZ")</f>
        <v>MARIANA KATZ</v>
      </c>
      <c r="AU510" s="4" t="str">
        <f>IFERROR(__xludf.DUMMYFUNCTION("""COMPUTED_VALUE"""),"Emerson")</f>
        <v>Emerson</v>
      </c>
      <c r="AV510" s="4" t="str">
        <f>IFERROR(__xludf.DUMMYFUNCTION("""COMPUTED_VALUE"""),"Comer Fora-")</f>
        <v>Comer Fora-</v>
      </c>
      <c r="AW510" s="20" t="str">
        <f>IFERROR(__xludf.DUMMYFUNCTION("""COMPUTED_VALUE"""),"P e M - pipe")</f>
        <v>P e M - pipe</v>
      </c>
      <c r="AX510" s="4"/>
      <c r="AY510" s="4"/>
      <c r="AZ510" s="4" t="str">
        <f>IFERROR(__xludf.DUMMYFUNCTION("""COMPUTED_VALUE"""),"Lanches")</f>
        <v>Lanches</v>
      </c>
      <c r="BA510" s="4" t="str">
        <f>IFERROR(__xludf.DUMMYFUNCTION("""COMPUTED_VALUE"""),"")</f>
        <v/>
      </c>
      <c r="BB510" s="4" t="str">
        <f>IFERROR(__xludf.DUMMYFUNCTION("""COMPUTED_VALUE"""),"")</f>
        <v/>
      </c>
      <c r="BC510" s="4" t="str">
        <f>IFERROR(__xludf.DUMMYFUNCTION("""COMPUTED_VALUE"""),"")</f>
        <v/>
      </c>
      <c r="BD510" s="4" t="str">
        <f>IFERROR(__xludf.DUMMYFUNCTION("""COMPUTED_VALUE"""),"")</f>
        <v/>
      </c>
      <c r="BE510" s="4" t="str">
        <f>IFERROR(__xludf.DUMMYFUNCTION("""COMPUTED_VALUE"""),"")</f>
        <v/>
      </c>
      <c r="BF510" s="4" t="str">
        <f>IFERROR(__xludf.DUMMYFUNCTION("""COMPUTED_VALUE"""),"")</f>
        <v/>
      </c>
      <c r="BG510" s="4" t="str">
        <f>IFERROR(__xludf.DUMMYFUNCTION("""COMPUTED_VALUE"""),"")</f>
        <v/>
      </c>
      <c r="BH510" s="4" t="s">
        <v>63</v>
      </c>
      <c r="BI510" s="7" t="s">
        <v>63</v>
      </c>
    </row>
    <row r="511" hidden="1">
      <c r="A511" s="4" t="str">
        <f>IFERROR(__xludf.DUMMYFUNCTION("""COMPUTED_VALUE"""),"10 Pastéis")</f>
        <v>10 Pastéis</v>
      </c>
      <c r="B511" s="4" t="str">
        <f>IFERROR(__xludf.DUMMYFUNCTION("""COMPUTED_VALUE"""),"Gabriela Roma")</f>
        <v>Gabriela Roma</v>
      </c>
      <c r="C511" s="4" t="str">
        <f>IFERROR(__xludf.DUMMYFUNCTION("""COMPUTED_VALUE"""),"Gabriela Roma")</f>
        <v>Gabriela Roma</v>
      </c>
      <c r="D511" s="4" t="str">
        <f>IFERROR(__xludf.DUMMYFUNCTION("""COMPUTED_VALUE"""),"9. Contrato assinado")</f>
        <v>9. Contrato assinado</v>
      </c>
      <c r="E511" s="4" t="str">
        <f>IFERROR(__xludf.DUMMYFUNCTION("""COMPUTED_VALUE""")," Projetos - Contrato assinado &amp; Rollout")</f>
        <v> Projetos - Contrato assinado &amp; Rollout</v>
      </c>
      <c r="F511" s="4" t="str">
        <f>IFERROR(__xludf.DUMMYFUNCTION("""COMPUTED_VALUE"""),"M")</f>
        <v>M</v>
      </c>
      <c r="G511" s="5">
        <f>IFERROR(__xludf.DUMMYFUNCTION("""COMPUTED_VALUE"""),46076.0)</f>
        <v>46076</v>
      </c>
      <c r="H511" s="4" t="str">
        <f>IFERROR(__xludf.DUMMYFUNCTION("""COMPUTED_VALUE"""),"Contrato assinado ")</f>
        <v>Contrato assinado </v>
      </c>
      <c r="I511" s="4"/>
      <c r="J511" s="4"/>
      <c r="K511" s="6">
        <f>IFERROR(__xludf.DUMMYFUNCTION("""COMPUTED_VALUE"""),45870.0)</f>
        <v>45870</v>
      </c>
      <c r="L511" s="4"/>
      <c r="M511" s="4"/>
      <c r="N511" s="6">
        <f>IFERROR(__xludf.DUMMYFUNCTION("""COMPUTED_VALUE"""),45899.0)</f>
        <v>45899</v>
      </c>
      <c r="O511" s="4"/>
      <c r="P511" s="4"/>
      <c r="Q511" s="6">
        <f>IFERROR(__xludf.DUMMYFUNCTION("""COMPUTED_VALUE"""),45899.0)</f>
        <v>45899</v>
      </c>
      <c r="R511" s="4"/>
      <c r="S511" s="4"/>
      <c r="T511" s="4"/>
      <c r="U511" s="4"/>
      <c r="V511" s="4"/>
      <c r="W511" s="4"/>
      <c r="X511" s="4"/>
      <c r="Y511" s="4"/>
      <c r="Z511" s="4"/>
      <c r="AA511" s="4">
        <f>IFERROR(__xludf.DUMMYFUNCTION("""COMPUTED_VALUE"""),60.0)</f>
        <v>60</v>
      </c>
      <c r="AB511" s="4"/>
      <c r="AC511" s="4"/>
      <c r="AD511" s="4"/>
      <c r="AE511" s="4"/>
      <c r="AF511" s="4"/>
      <c r="AG511" s="4"/>
      <c r="AH511" s="4"/>
      <c r="AI511" s="4"/>
      <c r="AJ511" s="4"/>
      <c r="AK511" s="4"/>
      <c r="AL511" s="4"/>
      <c r="AM511" s="4" t="str">
        <f>IFERROR(__xludf.DUMMYFUNCTION("""COMPUTED_VALUE"""),"FY26")</f>
        <v>FY26</v>
      </c>
      <c r="AN511" s="4"/>
      <c r="AO511" s="4">
        <f>IFERROR(__xludf.DUMMYFUNCTION("""COMPUTED_VALUE"""),140.0)</f>
        <v>140</v>
      </c>
      <c r="AP511" s="4"/>
      <c r="AQ511" s="4"/>
      <c r="AR511" s="4"/>
      <c r="AS511" s="4">
        <f>IFERROR(__xludf.DUMMYFUNCTION("""COMPUTED_VALUE"""),0.0)</f>
        <v>0</v>
      </c>
      <c r="AT511" s="4">
        <f>IFERROR(__xludf.DUMMYFUNCTION("""COMPUTED_VALUE"""),0.0)</f>
        <v>0</v>
      </c>
      <c r="AU511" s="4" t="str">
        <f>IFERROR(__xludf.DUMMYFUNCTION("""COMPUTED_VALUE"""),"Gabriela")</f>
        <v>Gabriela</v>
      </c>
      <c r="AV511" s="4">
        <f>IFERROR(__xludf.DUMMYFUNCTION("""COMPUTED_VALUE"""),0.0)</f>
        <v>0</v>
      </c>
      <c r="AW511" s="4">
        <f>IFERROR(__xludf.DUMMYFUNCTION("""COMPUTED_VALUE"""),0.0)</f>
        <v>0</v>
      </c>
      <c r="AX511" s="4">
        <f>IFERROR(__xludf.DUMMYFUNCTION("""COMPUTED_VALUE"""),0.0)</f>
        <v>0</v>
      </c>
      <c r="AY511" s="4">
        <f>IFERROR(__xludf.DUMMYFUNCTION("""COMPUTED_VALUE"""),0.0)</f>
        <v>0</v>
      </c>
      <c r="AZ511" s="4" t="str">
        <f>IFERROR(__xludf.DUMMYFUNCTION("""COMPUTED_VALUE"""),"#N/A")</f>
        <v>#N/A</v>
      </c>
      <c r="BA511" s="4" t="str">
        <f>IFERROR(__xludf.DUMMYFUNCTION("""COMPUTED_VALUE"""),"")</f>
        <v/>
      </c>
      <c r="BB511" s="4" t="str">
        <f>IFERROR(__xludf.DUMMYFUNCTION("""COMPUTED_VALUE"""),"")</f>
        <v/>
      </c>
      <c r="BC511" s="4" t="str">
        <f>IFERROR(__xludf.DUMMYFUNCTION("""COMPUTED_VALUE"""),"")</f>
        <v/>
      </c>
      <c r="BD511" s="4" t="str">
        <f>IFERROR(__xludf.DUMMYFUNCTION("""COMPUTED_VALUE"""),"")</f>
        <v/>
      </c>
      <c r="BE511" s="4" t="str">
        <f>IFERROR(__xludf.DUMMYFUNCTION("""COMPUTED_VALUE"""),"")</f>
        <v/>
      </c>
      <c r="BF511" s="4" t="str">
        <f>IFERROR(__xludf.DUMMYFUNCTION("""COMPUTED_VALUE"""),"")</f>
        <v/>
      </c>
      <c r="BG511" s="4" t="str">
        <f>IFERROR(__xludf.DUMMYFUNCTION("""COMPUTED_VALUE"""),"")</f>
        <v/>
      </c>
      <c r="BH511" s="4" t="s">
        <v>63</v>
      </c>
      <c r="BI511" s="7" t="s">
        <v>63</v>
      </c>
    </row>
    <row r="512" hidden="1">
      <c r="A512" s="4" t="str">
        <f>IFERROR(__xludf.DUMMYFUNCTION("""COMPUTED_VALUE"""),"1900 Pizzeria")</f>
        <v>1900 Pizzeria</v>
      </c>
      <c r="B512" s="4" t="str">
        <f>IFERROR(__xludf.DUMMYFUNCTION("""COMPUTED_VALUE"""),"Ana")</f>
        <v>Ana</v>
      </c>
      <c r="C512" s="4" t="str">
        <f>IFERROR(__xludf.DUMMYFUNCTION("""COMPUTED_VALUE"""),"Ana")</f>
        <v>Ana</v>
      </c>
      <c r="D512" s="4" t="str">
        <f>IFERROR(__xludf.DUMMYFUNCTION("""COMPUTED_VALUE"""),"13. Reativado")</f>
        <v>13. Reativado</v>
      </c>
      <c r="E512" s="4" t="str">
        <f>IFERROR(__xludf.DUMMYFUNCTION("""COMPUTED_VALUE"""),"Perdido - Sem perfil LA / 3SCheckout / PDV próprio")</f>
        <v>Perdido - Sem perfil LA / 3SCheckout / PDV próprio</v>
      </c>
      <c r="F512" s="4" t="str">
        <f>IFERROR(__xludf.DUMMYFUNCTION("""COMPUTED_VALUE"""),"P")</f>
        <v>P</v>
      </c>
      <c r="G512" s="5">
        <f>IFERROR(__xludf.DUMMYFUNCTION("""COMPUTED_VALUE"""),46076.0)</f>
        <v>46076</v>
      </c>
      <c r="H512" s="4" t="str">
        <f>IFERROR(__xludf.DUMMYFUNCTION("""COMPUTED_VALUE"""),"Tem um sistema próprio desenvolvido especialmente para ele e para sua culinária.")</f>
        <v>Tem um sistema próprio desenvolvido especialmente para ele e para sua culinária.</v>
      </c>
      <c r="I512" s="4"/>
      <c r="J512" s="4"/>
      <c r="K512" s="6">
        <f>IFERROR(__xludf.DUMMYFUNCTION("""COMPUTED_VALUE"""),45875.0)</f>
        <v>45875</v>
      </c>
      <c r="L512" s="4"/>
      <c r="M512" s="4"/>
      <c r="N512" s="4"/>
      <c r="O512" s="4"/>
      <c r="P512" s="4"/>
      <c r="Q512" s="4"/>
      <c r="R512" s="6">
        <f>IFERROR(__xludf.DUMMYFUNCTION("""COMPUTED_VALUE"""),46057.65039248843)</f>
        <v>46057.65039</v>
      </c>
      <c r="S512" s="4"/>
      <c r="T512" s="4"/>
      <c r="U512" s="6">
        <f>IFERROR(__xludf.DUMMYFUNCTION("""COMPUTED_VALUE"""),46132.62300836806)</f>
        <v>46132.62301</v>
      </c>
      <c r="V512" s="4" t="str">
        <f>IFERROR(__xludf.DUMMYFUNCTION("""COMPUTED_VALUE"""),"Sem interesse em mudar de PDV")</f>
        <v>Sem interesse em mudar de PDV</v>
      </c>
      <c r="W512" s="4"/>
      <c r="X512" s="4"/>
      <c r="Y512" s="4"/>
      <c r="Z512" s="4"/>
      <c r="AA512" s="4">
        <f>IFERROR(__xludf.DUMMYFUNCTION("""COMPUTED_VALUE"""),13.0)</f>
        <v>13</v>
      </c>
      <c r="AB512" s="4" t="str">
        <f>IFERROR(__xludf.DUMMYFUNCTION("""COMPUTED_VALUE"""),"NÃO")</f>
        <v>NÃO</v>
      </c>
      <c r="AC512" s="4" t="str">
        <f>IFERROR(__xludf.DUMMYFUNCTION("""COMPUTED_VALUE"""),"BP")</f>
        <v>BP</v>
      </c>
      <c r="AD512" s="4"/>
      <c r="AE512" s="4"/>
      <c r="AF512" s="4"/>
      <c r="AG512" s="4"/>
      <c r="AH512" s="4"/>
      <c r="AI512" s="4"/>
      <c r="AJ512" s="4"/>
      <c r="AK512" s="4"/>
      <c r="AL512" s="4"/>
      <c r="AM512" s="4" t="str">
        <f>IFERROR(__xludf.DUMMYFUNCTION("""COMPUTED_VALUE"""),"FY26")</f>
        <v>FY26</v>
      </c>
      <c r="AN512" s="4" t="str">
        <f>IFERROR(__xludf.DUMMYFUNCTION("""COMPUTED_VALUE"""),"Comer Fora")</f>
        <v>Comer Fora</v>
      </c>
      <c r="AO512" s="4">
        <f>IFERROR(__xludf.DUMMYFUNCTION("""COMPUTED_VALUE"""),140.0)</f>
        <v>140</v>
      </c>
      <c r="AP512" s="4"/>
      <c r="AQ512" s="4"/>
      <c r="AR512" s="4"/>
      <c r="AS512" s="4" t="str">
        <f>IFERROR(__xludf.DUMMYFUNCTION("""COMPUTED_VALUE"""),"NATHALIE MERTENS")</f>
        <v>NATHALIE MERTENS</v>
      </c>
      <c r="AT512" s="4" t="str">
        <f>IFERROR(__xludf.DUMMYFUNCTION("""COMPUTED_VALUE"""),"MARIANA KATZ")</f>
        <v>MARIANA KATZ</v>
      </c>
      <c r="AU512" s="4" t="str">
        <f>IFERROR(__xludf.DUMMYFUNCTION("""COMPUTED_VALUE"""),"Ana")</f>
        <v>Ana</v>
      </c>
      <c r="AV512" s="4" t="str">
        <f>IFERROR(__xludf.DUMMYFUNCTION("""COMPUTED_VALUE"""),"Comer Fora-")</f>
        <v>Comer Fora-</v>
      </c>
      <c r="AW512" s="20" t="str">
        <f>IFERROR(__xludf.DUMMYFUNCTION("""COMPUTED_VALUE"""),"P e M - pipe")</f>
        <v>P e M - pipe</v>
      </c>
      <c r="AX512" s="4"/>
      <c r="AY512" s="4"/>
      <c r="AZ512" s="4" t="str">
        <f>IFERROR(__xludf.DUMMYFUNCTION("""COMPUTED_VALUE"""),"#N/A")</f>
        <v>#N/A</v>
      </c>
      <c r="BA512" s="4" t="str">
        <f>IFERROR(__xludf.DUMMYFUNCTION("""COMPUTED_VALUE"""),"R$ 60-100")</f>
        <v>R$ 60-100</v>
      </c>
      <c r="BB512" s="4" t="str">
        <f>IFERROR(__xludf.DUMMYFUNCTION("""COMPUTED_VALUE"""),"Casual Dining - Pizzaria Premium")</f>
        <v>Casual Dining - Pizzaria Premium</v>
      </c>
      <c r="BC512" s="4" t="str">
        <f>IFERROR(__xludf.DUMMYFUNCTION("""COMPUTED_VALUE"""),"São Paulo/SP (13-14 unidades)")</f>
        <v>São Paulo/SP (13-14 unidades)</v>
      </c>
      <c r="BD512" s="4" t="str">
        <f>IFERROR(__xludf.DUMMYFUNCTION("""COMPUTED_VALUE"""),"Necessário Discovery")</f>
        <v>Necessário Discovery</v>
      </c>
      <c r="BE512" s="4">
        <f>IFERROR(__xludf.DUMMYFUNCTION("""COMPUTED_VALUE"""),65.0)</f>
        <v>65</v>
      </c>
      <c r="BF512" s="4">
        <f>IFERROR(__xludf.DUMMYFUNCTION("""COMPUTED_VALUE"""),0.68)</f>
        <v>0.68</v>
      </c>
      <c r="BG512" s="4" t="str">
        <f>IFERROR(__xludf.DUMMYFUNCTION("""COMPUTED_VALUE"""),"PDV não identificado - Pizzaria premium SP (13-14 unidades). Salão + delivery. 3S: PDV Mobile, KDS, gestão comandas, integração delivery")</f>
        <v>PDV não identificado - Pizzaria premium SP (13-14 unidades). Salão + delivery. 3S: PDV Mobile, KDS, gestão comandas, integração delivery</v>
      </c>
      <c r="BH512" s="4" t="s">
        <v>140</v>
      </c>
      <c r="BI512" s="7">
        <v>1.0</v>
      </c>
    </row>
    <row r="513" hidden="1">
      <c r="A513" s="4" t="str">
        <f>IFERROR(__xludf.DUMMYFUNCTION("""COMPUTED_VALUE"""),"4 Beer Franquias")</f>
        <v>4 Beer Franquias</v>
      </c>
      <c r="B513" s="4" t="str">
        <f>IFERROR(__xludf.DUMMYFUNCTION("""COMPUTED_VALUE"""),"Diego Santos")</f>
        <v>Diego Santos</v>
      </c>
      <c r="C513" s="4" t="str">
        <f>IFERROR(__xludf.DUMMYFUNCTION("""COMPUTED_VALUE"""),"Diego Santos")</f>
        <v>Diego Santos</v>
      </c>
      <c r="D513" s="4" t="str">
        <f>IFERROR(__xludf.DUMMYFUNCTION("""COMPUTED_VALUE"""),"10. Perdido")</f>
        <v>10. Perdido</v>
      </c>
      <c r="E513" s="4" t="str">
        <f>IFERROR(__xludf.DUMMYFUNCTION("""COMPUTED_VALUE"""),"Perdido - Outro (detalhar ao lado)")</f>
        <v>Perdido - Outro (detalhar ao lado)</v>
      </c>
      <c r="F513" s="4" t="str">
        <f>IFERROR(__xludf.DUMMYFUNCTION("""COMPUTED_VALUE"""),"P")</f>
        <v>P</v>
      </c>
      <c r="G513" s="5">
        <f>IFERROR(__xludf.DUMMYFUNCTION("""COMPUTED_VALUE"""),46076.0)</f>
        <v>46076</v>
      </c>
      <c r="H513" s="4" t="str">
        <f>IFERROR(__xludf.DUMMYFUNCTION("""COMPUTED_VALUE"""),"Sem interesse mudar de solução")</f>
        <v>Sem interesse mudar de solução</v>
      </c>
      <c r="I513" s="4"/>
      <c r="J513" s="4"/>
      <c r="K513" s="4"/>
      <c r="L513" s="4"/>
      <c r="M513" s="4"/>
      <c r="N513" s="4"/>
      <c r="O513" s="4"/>
      <c r="P513" s="4"/>
      <c r="Q513" s="4"/>
      <c r="R513" s="4"/>
      <c r="S513" s="4"/>
      <c r="T513" s="4"/>
      <c r="U513" s="4"/>
      <c r="V513" s="4" t="str">
        <f>IFERROR(__xludf.DUMMYFUNCTION("""COMPUTED_VALUE"""),"Sem interesse em mudar de PDV")</f>
        <v>Sem interesse em mudar de PDV</v>
      </c>
      <c r="W513" s="4"/>
      <c r="X513" s="4"/>
      <c r="Y513" s="4"/>
      <c r="Z513" s="4"/>
      <c r="AA513" s="4">
        <f>IFERROR(__xludf.DUMMYFUNCTION("""COMPUTED_VALUE"""),4.0)</f>
        <v>4</v>
      </c>
      <c r="AB513" s="4" t="str">
        <f>IFERROR(__xludf.DUMMYFUNCTION("""COMPUTED_VALUE"""),"NÃO")</f>
        <v>NÃO</v>
      </c>
      <c r="AC513" s="4" t="str">
        <f>IFERROR(__xludf.DUMMYFUNCTION("""COMPUTED_VALUE"""),"BP")</f>
        <v>BP</v>
      </c>
      <c r="AD513" s="4"/>
      <c r="AE513" s="4"/>
      <c r="AF513" s="4"/>
      <c r="AG513" s="4"/>
      <c r="AH513" s="4"/>
      <c r="AI513" s="4"/>
      <c r="AJ513" s="4"/>
      <c r="AK513" s="4"/>
      <c r="AL513" s="4"/>
      <c r="AM513" s="4" t="str">
        <f>IFERROR(__xludf.DUMMYFUNCTION("""COMPUTED_VALUE"""),"FY26")</f>
        <v>FY26</v>
      </c>
      <c r="AN513" s="4"/>
      <c r="AO513" s="4">
        <f>IFERROR(__xludf.DUMMYFUNCTION("""COMPUTED_VALUE"""),140.0)</f>
        <v>140</v>
      </c>
      <c r="AP513" s="4"/>
      <c r="AQ513" s="4"/>
      <c r="AR513" s="4"/>
      <c r="AS513" s="4">
        <f>IFERROR(__xludf.DUMMYFUNCTION("""COMPUTED_VALUE"""),0.0)</f>
        <v>0</v>
      </c>
      <c r="AT513" s="4">
        <f>IFERROR(__xludf.DUMMYFUNCTION("""COMPUTED_VALUE"""),0.0)</f>
        <v>0</v>
      </c>
      <c r="AU513" s="4" t="str">
        <f>IFERROR(__xludf.DUMMYFUNCTION("""COMPUTED_VALUE"""),"Diego")</f>
        <v>Diego</v>
      </c>
      <c r="AV513" s="4">
        <f>IFERROR(__xludf.DUMMYFUNCTION("""COMPUTED_VALUE"""),0.0)</f>
        <v>0</v>
      </c>
      <c r="AW513" s="4">
        <f>IFERROR(__xludf.DUMMYFUNCTION("""COMPUTED_VALUE"""),0.0)</f>
        <v>0</v>
      </c>
      <c r="AX513" s="4">
        <f>IFERROR(__xludf.DUMMYFUNCTION("""COMPUTED_VALUE"""),0.0)</f>
        <v>0</v>
      </c>
      <c r="AY513" s="4"/>
      <c r="AZ513" s="4" t="str">
        <f>IFERROR(__xludf.DUMMYFUNCTION("""COMPUTED_VALUE"""),"#N/A")</f>
        <v>#N/A</v>
      </c>
      <c r="BA513" s="4" t="str">
        <f>IFERROR(__xludf.DUMMYFUNCTION("""COMPUTED_VALUE"""),"")</f>
        <v/>
      </c>
      <c r="BB513" s="4" t="str">
        <f>IFERROR(__xludf.DUMMYFUNCTION("""COMPUTED_VALUE"""),"")</f>
        <v/>
      </c>
      <c r="BC513" s="4" t="str">
        <f>IFERROR(__xludf.DUMMYFUNCTION("""COMPUTED_VALUE"""),"")</f>
        <v/>
      </c>
      <c r="BD513" s="4" t="str">
        <f>IFERROR(__xludf.DUMMYFUNCTION("""COMPUTED_VALUE"""),"")</f>
        <v/>
      </c>
      <c r="BE513" s="4" t="str">
        <f>IFERROR(__xludf.DUMMYFUNCTION("""COMPUTED_VALUE"""),"")</f>
        <v/>
      </c>
      <c r="BF513" s="4" t="str">
        <f>IFERROR(__xludf.DUMMYFUNCTION("""COMPUTED_VALUE"""),"")</f>
        <v/>
      </c>
      <c r="BG513" s="4" t="str">
        <f>IFERROR(__xludf.DUMMYFUNCTION("""COMPUTED_VALUE"""),"")</f>
        <v/>
      </c>
      <c r="BH513" s="4" t="s">
        <v>63</v>
      </c>
      <c r="BI513" s="7" t="s">
        <v>63</v>
      </c>
    </row>
    <row r="514" hidden="1">
      <c r="A514" s="4" t="str">
        <f>IFERROR(__xludf.DUMMYFUNCTION("""COMPUTED_VALUE"""),"A Casa Do Bife")</f>
        <v>A Casa Do Bife</v>
      </c>
      <c r="B514" s="4" t="str">
        <f>IFERROR(__xludf.DUMMYFUNCTION("""COMPUTED_VALUE"""),"Lídia Esteves")</f>
        <v>Lídia Esteves</v>
      </c>
      <c r="C514" s="4" t="str">
        <f>IFERROR(__xludf.DUMMYFUNCTION("""COMPUTED_VALUE"""),"Gabriela Roma")</f>
        <v>Gabriela Roma</v>
      </c>
      <c r="D514" s="4" t="str">
        <f>IFERROR(__xludf.DUMMYFUNCTION("""COMPUTED_VALUE"""),"10. Perdido")</f>
        <v>10. Perdido</v>
      </c>
      <c r="E514" s="4" t="str">
        <f>IFERROR(__xludf.DUMMYFUNCTION("""COMPUTED_VALUE"""),"Perdido - Fechou com concorrente")</f>
        <v>Perdido - Fechou com concorrente</v>
      </c>
      <c r="F514" s="4" t="str">
        <f>IFERROR(__xludf.DUMMYFUNCTION("""COMPUTED_VALUE"""),"P")</f>
        <v>P</v>
      </c>
      <c r="G514" s="4"/>
      <c r="H514" s="4" t="str">
        <f>IFERROR(__xludf.DUMMYFUNCTION("""COMPUTED_VALUE"""),"Parceiro sinalizou que fechou com concorrente. Estamos tentando aprofundar o motivo. Anteriormente não aceitou nossa proposta pois não conseguimos seguir com upfront.")</f>
        <v>Parceiro sinalizou que fechou com concorrente. Estamos tentando aprofundar o motivo. Anteriormente não aceitou nossa proposta pois não conseguimos seguir com upfront.</v>
      </c>
      <c r="I514" s="4"/>
      <c r="J514" s="4"/>
      <c r="K514" s="6">
        <f>IFERROR(__xludf.DUMMYFUNCTION("""COMPUTED_VALUE"""),45904.0)</f>
        <v>45904</v>
      </c>
      <c r="L514" s="4"/>
      <c r="M514" s="4"/>
      <c r="N514" s="6">
        <f>IFERROR(__xludf.DUMMYFUNCTION("""COMPUTED_VALUE"""),46051.51927827546)</f>
        <v>46051.51928</v>
      </c>
      <c r="O514" s="4"/>
      <c r="P514" s="4"/>
      <c r="Q514" s="4"/>
      <c r="R514" s="6">
        <f>IFERROR(__xludf.DUMMYFUNCTION("""COMPUTED_VALUE"""),46094.724129317125)</f>
        <v>46094.72413</v>
      </c>
      <c r="S514" s="6">
        <f>IFERROR(__xludf.DUMMYFUNCTION("""COMPUTED_VALUE"""),46064.468661782405)</f>
        <v>46064.46866</v>
      </c>
      <c r="T514" s="4"/>
      <c r="U514" s="4"/>
      <c r="V514" s="4" t="str">
        <f>IFERROR(__xludf.DUMMYFUNCTION("""COMPUTED_VALUE"""),"Proposta declinada")</f>
        <v>Proposta declinada</v>
      </c>
      <c r="W514" s="4"/>
      <c r="X514" s="4"/>
      <c r="Y514" s="4"/>
      <c r="Z514" s="4"/>
      <c r="AA514" s="4">
        <f>IFERROR(__xludf.DUMMYFUNCTION("""COMPUTED_VALUE"""),23.0)</f>
        <v>23</v>
      </c>
      <c r="AB514" s="4" t="str">
        <f>IFERROR(__xludf.DUMMYFUNCTION("""COMPUTED_VALUE"""),"NÃO")</f>
        <v>NÃO</v>
      </c>
      <c r="AC514" s="4" t="str">
        <f>IFERROR(__xludf.DUMMYFUNCTION("""COMPUTED_VALUE"""),"Não BP")</f>
        <v>Não BP</v>
      </c>
      <c r="AD514" s="4"/>
      <c r="AE514" s="4"/>
      <c r="AF514" s="4"/>
      <c r="AG514" s="4"/>
      <c r="AH514" s="4"/>
      <c r="AI514" s="4"/>
      <c r="AJ514" s="4"/>
      <c r="AK514" s="4"/>
      <c r="AL514" s="4"/>
      <c r="AM514" s="4" t="str">
        <f>IFERROR(__xludf.DUMMYFUNCTION("""COMPUTED_VALUE"""),"FY26")</f>
        <v>FY26</v>
      </c>
      <c r="AN514" s="4"/>
      <c r="AO514" s="4">
        <f>IFERROR(__xludf.DUMMYFUNCTION("""COMPUTED_VALUE"""),45553.0)</f>
        <v>45553</v>
      </c>
      <c r="AP514" s="4"/>
      <c r="AQ514" s="4"/>
      <c r="AR514" s="4"/>
      <c r="AS514" s="4">
        <f>IFERROR(__xludf.DUMMYFUNCTION("""COMPUTED_VALUE"""),0.0)</f>
        <v>0</v>
      </c>
      <c r="AT514" s="4">
        <f>IFERROR(__xludf.DUMMYFUNCTION("""COMPUTED_VALUE"""),0.0)</f>
        <v>0</v>
      </c>
      <c r="AU514" s="4" t="str">
        <f>IFERROR(__xludf.DUMMYFUNCTION("""COMPUTED_VALUE"""),"Mariana")</f>
        <v>Mariana</v>
      </c>
      <c r="AV514" s="4">
        <f>IFERROR(__xludf.DUMMYFUNCTION("""COMPUTED_VALUE"""),0.0)</f>
        <v>0</v>
      </c>
      <c r="AW514" s="4">
        <f>IFERROR(__xludf.DUMMYFUNCTION("""COMPUTED_VALUE"""),0.0)</f>
        <v>0</v>
      </c>
      <c r="AX514" s="4">
        <f>IFERROR(__xludf.DUMMYFUNCTION("""COMPUTED_VALUE"""),0.0)</f>
        <v>0</v>
      </c>
      <c r="AY514" s="4"/>
      <c r="AZ514" s="4" t="str">
        <f>IFERROR(__xludf.DUMMYFUNCTION("""COMPUTED_VALUE"""),"#N/A")</f>
        <v>#N/A</v>
      </c>
      <c r="BA514" s="4" t="str">
        <f>IFERROR(__xludf.DUMMYFUNCTION("""COMPUTED_VALUE"""),"")</f>
        <v/>
      </c>
      <c r="BB514" s="4" t="str">
        <f>IFERROR(__xludf.DUMMYFUNCTION("""COMPUTED_VALUE"""),"")</f>
        <v/>
      </c>
      <c r="BC514" s="4" t="str">
        <f>IFERROR(__xludf.DUMMYFUNCTION("""COMPUTED_VALUE"""),"")</f>
        <v/>
      </c>
      <c r="BD514" s="4" t="str">
        <f>IFERROR(__xludf.DUMMYFUNCTION("""COMPUTED_VALUE"""),"")</f>
        <v/>
      </c>
      <c r="BE514" s="4" t="str">
        <f>IFERROR(__xludf.DUMMYFUNCTION("""COMPUTED_VALUE"""),"")</f>
        <v/>
      </c>
      <c r="BF514" s="4" t="str">
        <f>IFERROR(__xludf.DUMMYFUNCTION("""COMPUTED_VALUE"""),"")</f>
        <v/>
      </c>
      <c r="BG514" s="4" t="str">
        <f>IFERROR(__xludf.DUMMYFUNCTION("""COMPUTED_VALUE"""),"")</f>
        <v/>
      </c>
      <c r="BH514" s="4" t="s">
        <v>63</v>
      </c>
      <c r="BI514" s="7" t="s">
        <v>63</v>
      </c>
    </row>
    <row r="515" hidden="1">
      <c r="A515" s="4" t="str">
        <f>IFERROR(__xludf.DUMMYFUNCTION("""COMPUTED_VALUE"""),"A Feijoada")</f>
        <v>A Feijoada</v>
      </c>
      <c r="B515" s="4" t="str">
        <f>IFERROR(__xludf.DUMMYFUNCTION("""COMPUTED_VALUE"""),"Ana")</f>
        <v>Ana</v>
      </c>
      <c r="C515" s="4" t="str">
        <f>IFERROR(__xludf.DUMMYFUNCTION("""COMPUTED_VALUE"""),"Ana")</f>
        <v>Ana</v>
      </c>
      <c r="D515" s="4" t="str">
        <f>IFERROR(__xludf.DUMMYFUNCTION("""COMPUTED_VALUE"""),"10. Perdido")</f>
        <v>10. Perdido</v>
      </c>
      <c r="E515" s="4" t="str">
        <f>IFERROR(__xludf.DUMMYFUNCTION("""COMPUTED_VALUE"""),"Perdido - Outro (detalhar ao lado)")</f>
        <v>Perdido - Outro (detalhar ao lado)</v>
      </c>
      <c r="F515" s="4" t="str">
        <f>IFERROR(__xludf.DUMMYFUNCTION("""COMPUTED_VALUE"""),"P")</f>
        <v>P</v>
      </c>
      <c r="G515" s="5">
        <f>IFERROR(__xludf.DUMMYFUNCTION("""COMPUTED_VALUE"""),46076.0)</f>
        <v>46076</v>
      </c>
      <c r="H515" s="4" t="str">
        <f>IFERROR(__xludf.DUMMYFUNCTION("""COMPUTED_VALUE"""),"Parceiro sem contato valido, sem presença digital, descarteirizado. não conseguimos avançar com aborgadem.")</f>
        <v>Parceiro sem contato valido, sem presença digital, descarteirizado. não conseguimos avançar com aborgadem.</v>
      </c>
      <c r="I515" s="4"/>
      <c r="J515" s="4"/>
      <c r="K515" s="6">
        <f>IFERROR(__xludf.DUMMYFUNCTION("""COMPUTED_VALUE"""),45951.0)</f>
        <v>45951</v>
      </c>
      <c r="L515" s="4"/>
      <c r="M515" s="4"/>
      <c r="N515" s="4"/>
      <c r="O515" s="4"/>
      <c r="P515" s="4"/>
      <c r="Q515" s="4"/>
      <c r="R515" s="6">
        <f>IFERROR(__xludf.DUMMYFUNCTION("""COMPUTED_VALUE"""),46072.626382766204)</f>
        <v>46072.62638</v>
      </c>
      <c r="S515" s="4"/>
      <c r="T515" s="4"/>
      <c r="U515" s="4"/>
      <c r="V515" s="4" t="str">
        <f>IFERROR(__xludf.DUMMYFUNCTION("""COMPUTED_VALUE"""),"Outros")</f>
        <v>Outros</v>
      </c>
      <c r="W515" s="4"/>
      <c r="X515" s="4"/>
      <c r="Y515" s="4"/>
      <c r="Z515" s="4"/>
      <c r="AA515" s="4">
        <f>IFERROR(__xludf.DUMMYFUNCTION("""COMPUTED_VALUE"""),3.0)</f>
        <v>3</v>
      </c>
      <c r="AB515" s="4" t="str">
        <f>IFERROR(__xludf.DUMMYFUNCTION("""COMPUTED_VALUE"""),"NÃO")</f>
        <v>NÃO</v>
      </c>
      <c r="AC515" s="4" t="str">
        <f>IFERROR(__xludf.DUMMYFUNCTION("""COMPUTED_VALUE"""),"BP")</f>
        <v>BP</v>
      </c>
      <c r="AD515" s="4"/>
      <c r="AE515" s="4"/>
      <c r="AF515" s="4"/>
      <c r="AG515" s="4"/>
      <c r="AH515" s="4"/>
      <c r="AI515" s="4"/>
      <c r="AJ515" s="4"/>
      <c r="AK515" s="4"/>
      <c r="AL515" s="4"/>
      <c r="AM515" s="4" t="str">
        <f>IFERROR(__xludf.DUMMYFUNCTION("""COMPUTED_VALUE"""),"FY26")</f>
        <v>FY26</v>
      </c>
      <c r="AN515" s="4"/>
      <c r="AO515" s="4">
        <f>IFERROR(__xludf.DUMMYFUNCTION("""COMPUTED_VALUE"""),140.0)</f>
        <v>140</v>
      </c>
      <c r="AP515" s="4"/>
      <c r="AQ515" s="4"/>
      <c r="AR515" s="4"/>
      <c r="AS515" s="4">
        <f>IFERROR(__xludf.DUMMYFUNCTION("""COMPUTED_VALUE"""),0.0)</f>
        <v>0</v>
      </c>
      <c r="AT515" s="4">
        <f>IFERROR(__xludf.DUMMYFUNCTION("""COMPUTED_VALUE"""),0.0)</f>
        <v>0</v>
      </c>
      <c r="AU515" s="4" t="str">
        <f>IFERROR(__xludf.DUMMYFUNCTION("""COMPUTED_VALUE"""),"Ana")</f>
        <v>Ana</v>
      </c>
      <c r="AV515" s="4">
        <f>IFERROR(__xludf.DUMMYFUNCTION("""COMPUTED_VALUE"""),0.0)</f>
        <v>0</v>
      </c>
      <c r="AW515" s="4">
        <f>IFERROR(__xludf.DUMMYFUNCTION("""COMPUTED_VALUE"""),0.0)</f>
        <v>0</v>
      </c>
      <c r="AX515" s="4">
        <f>IFERROR(__xludf.DUMMYFUNCTION("""COMPUTED_VALUE"""),0.0)</f>
        <v>0</v>
      </c>
      <c r="AY515" s="4"/>
      <c r="AZ515" s="4" t="str">
        <f>IFERROR(__xludf.DUMMYFUNCTION("""COMPUTED_VALUE"""),"Brasileira")</f>
        <v>Brasileira</v>
      </c>
      <c r="BA515" s="4" t="str">
        <f>IFERROR(__xludf.DUMMYFUNCTION("""COMPUTED_VALUE"""),"")</f>
        <v/>
      </c>
      <c r="BB515" s="4" t="str">
        <f>IFERROR(__xludf.DUMMYFUNCTION("""COMPUTED_VALUE"""),"")</f>
        <v/>
      </c>
      <c r="BC515" s="4" t="str">
        <f>IFERROR(__xludf.DUMMYFUNCTION("""COMPUTED_VALUE"""),"")</f>
        <v/>
      </c>
      <c r="BD515" s="4" t="str">
        <f>IFERROR(__xludf.DUMMYFUNCTION("""COMPUTED_VALUE"""),"")</f>
        <v/>
      </c>
      <c r="BE515" s="4" t="str">
        <f>IFERROR(__xludf.DUMMYFUNCTION("""COMPUTED_VALUE"""),"")</f>
        <v/>
      </c>
      <c r="BF515" s="4" t="str">
        <f>IFERROR(__xludf.DUMMYFUNCTION("""COMPUTED_VALUE"""),"")</f>
        <v/>
      </c>
      <c r="BG515" s="4" t="str">
        <f>IFERROR(__xludf.DUMMYFUNCTION("""COMPUTED_VALUE"""),"")</f>
        <v/>
      </c>
      <c r="BH515" s="4" t="s">
        <v>64</v>
      </c>
      <c r="BI515" s="7">
        <v>0.8</v>
      </c>
    </row>
    <row r="516" hidden="1">
      <c r="A516" s="4" t="str">
        <f>IFERROR(__xludf.DUMMYFUNCTION("""COMPUTED_VALUE"""),"Achapa")</f>
        <v>Achapa</v>
      </c>
      <c r="B516" s="4" t="str">
        <f>IFERROR(__xludf.DUMMYFUNCTION("""COMPUTED_VALUE"""),"Ana")</f>
        <v>Ana</v>
      </c>
      <c r="C516" s="4" t="str">
        <f>IFERROR(__xludf.DUMMYFUNCTION("""COMPUTED_VALUE"""),"Ana")</f>
        <v>Ana</v>
      </c>
      <c r="D516" s="4" t="str">
        <f>IFERROR(__xludf.DUMMYFUNCTION("""COMPUTED_VALUE"""),"10. Perdido")</f>
        <v>10. Perdido</v>
      </c>
      <c r="E516" s="4" t="str">
        <f>IFERROR(__xludf.DUMMYFUNCTION("""COMPUTED_VALUE"""),"Perdido -  Momento do restaurante não favorável")</f>
        <v>Perdido -  Momento do restaurante não favorável</v>
      </c>
      <c r="F516" s="4" t="str">
        <f>IFERROR(__xludf.DUMMYFUNCTION("""COMPUTED_VALUE"""),"P")</f>
        <v>P</v>
      </c>
      <c r="G516" s="5">
        <f>IFERROR(__xludf.DUMMYFUNCTION("""COMPUTED_VALUE"""),46076.0)</f>
        <v>46076</v>
      </c>
      <c r="H516" s="4" t="str">
        <f>IFERROR(__xludf.DUMMYFUNCTION("""COMPUTED_VALUE"""),"Utilizam Altec. Recentemente migraram do módulo Classic para o Next em todas as lojas. Por esse motivo, a marca não considera a troca de PDV.")</f>
        <v>Utilizam Altec. Recentemente migraram do módulo Classic para o Next em todas as lojas. Por esse motivo, a marca não considera a troca de PDV.</v>
      </c>
      <c r="I516" s="4"/>
      <c r="J516" s="4"/>
      <c r="K516" s="6">
        <f>IFERROR(__xludf.DUMMYFUNCTION("""COMPUTED_VALUE"""),45946.0)</f>
        <v>45946</v>
      </c>
      <c r="L516" s="4"/>
      <c r="M516" s="4"/>
      <c r="N516" s="4"/>
      <c r="O516" s="4"/>
      <c r="P516" s="4"/>
      <c r="Q516" s="4"/>
      <c r="R516" s="6">
        <f>IFERROR(__xludf.DUMMYFUNCTION("""COMPUTED_VALUE"""),46052.428266504634)</f>
        <v>46052.42827</v>
      </c>
      <c r="S516" s="4"/>
      <c r="T516" s="4"/>
      <c r="U516" s="4"/>
      <c r="V516" s="4" t="str">
        <f>IFERROR(__xludf.DUMMYFUNCTION("""COMPUTED_VALUE"""),"Sem interesse em mudar de PDV")</f>
        <v>Sem interesse em mudar de PDV</v>
      </c>
      <c r="W516" s="4"/>
      <c r="X516" s="4"/>
      <c r="Y516" s="4"/>
      <c r="Z516" s="4"/>
      <c r="AA516" s="4">
        <f>IFERROR(__xludf.DUMMYFUNCTION("""COMPUTED_VALUE"""),6.0)</f>
        <v>6</v>
      </c>
      <c r="AB516" s="4" t="str">
        <f>IFERROR(__xludf.DUMMYFUNCTION("""COMPUTED_VALUE"""),"NÃO")</f>
        <v>NÃO</v>
      </c>
      <c r="AC516" s="4" t="str">
        <f>IFERROR(__xludf.DUMMYFUNCTION("""COMPUTED_VALUE"""),"BP")</f>
        <v>BP</v>
      </c>
      <c r="AD516" s="4"/>
      <c r="AE516" s="4"/>
      <c r="AF516" s="4"/>
      <c r="AG516" s="4"/>
      <c r="AH516" s="4"/>
      <c r="AI516" s="4"/>
      <c r="AJ516" s="4"/>
      <c r="AK516" s="4"/>
      <c r="AL516" s="4"/>
      <c r="AM516" s="4" t="str">
        <f>IFERROR(__xludf.DUMMYFUNCTION("""COMPUTED_VALUE"""),"FY26")</f>
        <v>FY26</v>
      </c>
      <c r="AN516" s="4" t="str">
        <f>IFERROR(__xludf.DUMMYFUNCTION("""COMPUTED_VALUE"""),"Comer Fora")</f>
        <v>Comer Fora</v>
      </c>
      <c r="AO516" s="4">
        <f>IFERROR(__xludf.DUMMYFUNCTION("""COMPUTED_VALUE"""),140.0)</f>
        <v>140</v>
      </c>
      <c r="AP516" s="4"/>
      <c r="AQ516" s="4"/>
      <c r="AR516" s="4"/>
      <c r="AS516" s="4" t="str">
        <f>IFERROR(__xludf.DUMMYFUNCTION("""COMPUTED_VALUE"""),"NATHALIE MERTENS")</f>
        <v>NATHALIE MERTENS</v>
      </c>
      <c r="AT516" s="4" t="str">
        <f>IFERROR(__xludf.DUMMYFUNCTION("""COMPUTED_VALUE"""),"MARIANA KATZ")</f>
        <v>MARIANA KATZ</v>
      </c>
      <c r="AU516" s="4" t="str">
        <f>IFERROR(__xludf.DUMMYFUNCTION("""COMPUTED_VALUE"""),"Ana")</f>
        <v>Ana</v>
      </c>
      <c r="AV516" s="4" t="str">
        <f>IFERROR(__xludf.DUMMYFUNCTION("""COMPUTED_VALUE"""),"Comer Fora-")</f>
        <v>Comer Fora-</v>
      </c>
      <c r="AW516" s="20" t="str">
        <f>IFERROR(__xludf.DUMMYFUNCTION("""COMPUTED_VALUE"""),"P e M - pipe")</f>
        <v>P e M - pipe</v>
      </c>
      <c r="AX516" s="4"/>
      <c r="AY516" s="4"/>
      <c r="AZ516" s="4" t="str">
        <f>IFERROR(__xludf.DUMMYFUNCTION("""COMPUTED_VALUE"""),"Lanches")</f>
        <v>Lanches</v>
      </c>
      <c r="BA516" s="4" t="str">
        <f>IFERROR(__xludf.DUMMYFUNCTION("""COMPUTED_VALUE"""),"")</f>
        <v/>
      </c>
      <c r="BB516" s="4" t="str">
        <f>IFERROR(__xludf.DUMMYFUNCTION("""COMPUTED_VALUE"""),"")</f>
        <v/>
      </c>
      <c r="BC516" s="4" t="str">
        <f>IFERROR(__xludf.DUMMYFUNCTION("""COMPUTED_VALUE"""),"")</f>
        <v/>
      </c>
      <c r="BD516" s="4" t="str">
        <f>IFERROR(__xludf.DUMMYFUNCTION("""COMPUTED_VALUE"""),"")</f>
        <v/>
      </c>
      <c r="BE516" s="4" t="str">
        <f>IFERROR(__xludf.DUMMYFUNCTION("""COMPUTED_VALUE"""),"")</f>
        <v/>
      </c>
      <c r="BF516" s="4" t="str">
        <f>IFERROR(__xludf.DUMMYFUNCTION("""COMPUTED_VALUE"""),"")</f>
        <v/>
      </c>
      <c r="BG516" s="4" t="str">
        <f>IFERROR(__xludf.DUMMYFUNCTION("""COMPUTED_VALUE"""),"")</f>
        <v/>
      </c>
      <c r="BH516" s="4" t="s">
        <v>129</v>
      </c>
      <c r="BI516" s="7">
        <v>0.8333333333333334</v>
      </c>
    </row>
    <row r="517" hidden="1">
      <c r="A517" s="4" t="str">
        <f>IFERROR(__xludf.DUMMYFUNCTION("""COMPUTED_VALUE"""),"Adega Santiago")</f>
        <v>Adega Santiago</v>
      </c>
      <c r="B517" s="4" t="str">
        <f>IFERROR(__xludf.DUMMYFUNCTION("""COMPUTED_VALUE"""),"Ana")</f>
        <v>Ana</v>
      </c>
      <c r="C517" s="4" t="str">
        <f>IFERROR(__xludf.DUMMYFUNCTION("""COMPUTED_VALUE"""),"Ana")</f>
        <v>Ana</v>
      </c>
      <c r="D517" s="4" t="str">
        <f>IFERROR(__xludf.DUMMYFUNCTION("""COMPUTED_VALUE"""),"10. Perdido")</f>
        <v>10. Perdido</v>
      </c>
      <c r="E517" s="4" t="str">
        <f>IFERROR(__xludf.DUMMYFUNCTION("""COMPUTED_VALUE"""),"Perdido -  Momento do restaurante não favorável")</f>
        <v>Perdido -  Momento do restaurante não favorável</v>
      </c>
      <c r="F517" s="4" t="str">
        <f>IFERROR(__xludf.DUMMYFUNCTION("""COMPUTED_VALUE"""),"P")</f>
        <v>P</v>
      </c>
      <c r="G517" s="5">
        <f>IFERROR(__xludf.DUMMYFUNCTION("""COMPUTED_VALUE"""),46076.0)</f>
        <v>46076</v>
      </c>
      <c r="H517" s="4" t="str">
        <f>IFERROR(__xludf.DUMMYFUNCTION("""COMPUTED_VALUE"""),"Parceiro está priorizando outros projetos internamente, voltar abordagem no próximo ciclo. Cliente não quer marcar agenda.")</f>
        <v>Parceiro está priorizando outros projetos internamente, voltar abordagem no próximo ciclo. Cliente não quer marcar agenda.</v>
      </c>
      <c r="I517" s="4"/>
      <c r="J517" s="4"/>
      <c r="K517" s="6">
        <f>IFERROR(__xludf.DUMMYFUNCTION("""COMPUTED_VALUE"""),45918.0)</f>
        <v>45918</v>
      </c>
      <c r="L517" s="4"/>
      <c r="M517" s="4"/>
      <c r="N517" s="4"/>
      <c r="O517" s="4"/>
      <c r="P517" s="4"/>
      <c r="Q517" s="4"/>
      <c r="R517" s="6">
        <f>IFERROR(__xludf.DUMMYFUNCTION("""COMPUTED_VALUE"""),46077.65371425926)</f>
        <v>46077.65371</v>
      </c>
      <c r="S517" s="6">
        <f>IFERROR(__xludf.DUMMYFUNCTION("""COMPUTED_VALUE"""),46072.48455902778)</f>
        <v>46072.48456</v>
      </c>
      <c r="T517" s="4"/>
      <c r="U517" s="4"/>
      <c r="V517" s="4" t="str">
        <f>IFERROR(__xludf.DUMMYFUNCTION("""COMPUTED_VALUE"""),"Sem interesse em mudar de PDV")</f>
        <v>Sem interesse em mudar de PDV</v>
      </c>
      <c r="W517" s="4"/>
      <c r="X517" s="4"/>
      <c r="Y517" s="4"/>
      <c r="Z517" s="4"/>
      <c r="AA517" s="4">
        <f>IFERROR(__xludf.DUMMYFUNCTION("""COMPUTED_VALUE"""),8.0)</f>
        <v>8</v>
      </c>
      <c r="AB517" s="4" t="str">
        <f>IFERROR(__xludf.DUMMYFUNCTION("""COMPUTED_VALUE"""),"NÃO")</f>
        <v>NÃO</v>
      </c>
      <c r="AC517" s="4" t="str">
        <f>IFERROR(__xludf.DUMMYFUNCTION("""COMPUTED_VALUE"""),"BP")</f>
        <v>BP</v>
      </c>
      <c r="AD517" s="4"/>
      <c r="AE517" s="4"/>
      <c r="AF517" s="4"/>
      <c r="AG517" s="4"/>
      <c r="AH517" s="4"/>
      <c r="AI517" s="4"/>
      <c r="AJ517" s="4"/>
      <c r="AK517" s="4"/>
      <c r="AL517" s="4"/>
      <c r="AM517" s="4" t="str">
        <f>IFERROR(__xludf.DUMMYFUNCTION("""COMPUTED_VALUE"""),"FY26")</f>
        <v>FY26</v>
      </c>
      <c r="AN517" s="4" t="str">
        <f>IFERROR(__xludf.DUMMYFUNCTION("""COMPUTED_VALUE"""),"Comer Fora")</f>
        <v>Comer Fora</v>
      </c>
      <c r="AO517" s="4">
        <f>IFERROR(__xludf.DUMMYFUNCTION("""COMPUTED_VALUE"""),140.0)</f>
        <v>140</v>
      </c>
      <c r="AP517" s="4"/>
      <c r="AQ517" s="4"/>
      <c r="AR517" s="4"/>
      <c r="AS517" s="4" t="str">
        <f>IFERROR(__xludf.DUMMYFUNCTION("""COMPUTED_VALUE"""),"NATHALIE MERTENS")</f>
        <v>NATHALIE MERTENS</v>
      </c>
      <c r="AT517" s="4" t="str">
        <f>IFERROR(__xludf.DUMMYFUNCTION("""COMPUTED_VALUE"""),"MARIANA KATZ")</f>
        <v>MARIANA KATZ</v>
      </c>
      <c r="AU517" s="4" t="str">
        <f>IFERROR(__xludf.DUMMYFUNCTION("""COMPUTED_VALUE"""),"Ana")</f>
        <v>Ana</v>
      </c>
      <c r="AV517" s="4">
        <f>IFERROR(__xludf.DUMMYFUNCTION("""COMPUTED_VALUE"""),0.0)</f>
        <v>0</v>
      </c>
      <c r="AW517" s="4">
        <f>IFERROR(__xludf.DUMMYFUNCTION("""COMPUTED_VALUE"""),0.0)</f>
        <v>0</v>
      </c>
      <c r="AX517" s="4">
        <f>IFERROR(__xludf.DUMMYFUNCTION("""COMPUTED_VALUE"""),0.0)</f>
        <v>0</v>
      </c>
      <c r="AY517" s="4"/>
      <c r="AZ517" s="4" t="str">
        <f>IFERROR(__xludf.DUMMYFUNCTION("""COMPUTED_VALUE"""),"#N/A")</f>
        <v>#N/A</v>
      </c>
      <c r="BA517" s="4" t="str">
        <f>IFERROR(__xludf.DUMMYFUNCTION("""COMPUTED_VALUE"""),"")</f>
        <v/>
      </c>
      <c r="BB517" s="4" t="str">
        <f>IFERROR(__xludf.DUMMYFUNCTION("""COMPUTED_VALUE"""),"")</f>
        <v/>
      </c>
      <c r="BC517" s="4" t="str">
        <f>IFERROR(__xludf.DUMMYFUNCTION("""COMPUTED_VALUE"""),"")</f>
        <v/>
      </c>
      <c r="BD517" s="4" t="str">
        <f>IFERROR(__xludf.DUMMYFUNCTION("""COMPUTED_VALUE"""),"")</f>
        <v/>
      </c>
      <c r="BE517" s="4" t="str">
        <f>IFERROR(__xludf.DUMMYFUNCTION("""COMPUTED_VALUE"""),"")</f>
        <v/>
      </c>
      <c r="BF517" s="4" t="str">
        <f>IFERROR(__xludf.DUMMYFUNCTION("""COMPUTED_VALUE"""),"")</f>
        <v/>
      </c>
      <c r="BG517" s="4" t="str">
        <f>IFERROR(__xludf.DUMMYFUNCTION("""COMPUTED_VALUE"""),"")</f>
        <v/>
      </c>
      <c r="BH517" s="4" t="s">
        <v>63</v>
      </c>
      <c r="BI517" s="7" t="s">
        <v>63</v>
      </c>
    </row>
    <row r="518" hidden="1">
      <c r="A518" s="4" t="str">
        <f>IFERROR(__xludf.DUMMYFUNCTION("""COMPUTED_VALUE"""),"Aizome")</f>
        <v>Aizome</v>
      </c>
      <c r="B518" s="4" t="str">
        <f>IFERROR(__xludf.DUMMYFUNCTION("""COMPUTED_VALUE"""),"Lídia Esteves")</f>
        <v>Lídia Esteves</v>
      </c>
      <c r="C518" s="4" t="str">
        <f>IFERROR(__xludf.DUMMYFUNCTION("""COMPUTED_VALUE"""),"Lídia Esteves")</f>
        <v>Lídia Esteves</v>
      </c>
      <c r="D518" s="4" t="str">
        <f>IFERROR(__xludf.DUMMYFUNCTION("""COMPUTED_VALUE"""),"9. Contrato assinado")</f>
        <v>9. Contrato assinado</v>
      </c>
      <c r="E518" s="4" t="str">
        <f>IFERROR(__xludf.DUMMYFUNCTION("""COMPUTED_VALUE""")," Projetos - Contrato assinado &amp; Rollout")</f>
        <v> Projetos - Contrato assinado &amp; Rollout</v>
      </c>
      <c r="F518" s="4" t="str">
        <f>IFERROR(__xludf.DUMMYFUNCTION("""COMPUTED_VALUE"""),"P")</f>
        <v>P</v>
      </c>
      <c r="G518" s="5">
        <f>IFERROR(__xludf.DUMMYFUNCTION("""COMPUTED_VALUE"""),46076.0)</f>
        <v>46076</v>
      </c>
      <c r="H518" s="4" t="str">
        <f>IFERROR(__xludf.DUMMYFUNCTION("""COMPUTED_VALUE"""),"Contrato enviado em analise pelo jurídico, prazo assinatuara fev/26")</f>
        <v>Contrato enviado em analise pelo jurídico, prazo assinatuara fev/26</v>
      </c>
      <c r="I518" s="4"/>
      <c r="J518" s="4"/>
      <c r="K518" s="6">
        <f>IFERROR(__xludf.DUMMYFUNCTION("""COMPUTED_VALUE"""),46036.0)</f>
        <v>46036</v>
      </c>
      <c r="L518" s="6">
        <f>IFERROR(__xludf.DUMMYFUNCTION("""COMPUTED_VALUE"""),46036.0)</f>
        <v>46036</v>
      </c>
      <c r="M518" s="4"/>
      <c r="N518" s="6">
        <f>IFERROR(__xludf.DUMMYFUNCTION("""COMPUTED_VALUE"""),46051.6978134838)</f>
        <v>46051.69781</v>
      </c>
      <c r="O518" s="4"/>
      <c r="P518" s="6">
        <f>IFERROR(__xludf.DUMMYFUNCTION("""COMPUTED_VALUE"""),46080.74379145833)</f>
        <v>46080.74379</v>
      </c>
      <c r="Q518" s="6">
        <f>IFERROR(__xludf.DUMMYFUNCTION("""COMPUTED_VALUE"""),46080.74398508102)</f>
        <v>46080.74399</v>
      </c>
      <c r="R518" s="4"/>
      <c r="S518" s="4"/>
      <c r="T518" s="4"/>
      <c r="U518" s="4"/>
      <c r="V518" s="4"/>
      <c r="W518" s="8">
        <f>IFERROR(__xludf.DUMMYFUNCTION("""COMPUTED_VALUE"""),630.0)</f>
        <v>630</v>
      </c>
      <c r="X518" s="4">
        <f>IFERROR(__xludf.DUMMYFUNCTION("""COMPUTED_VALUE"""),36.0)</f>
        <v>36</v>
      </c>
      <c r="Y518" s="8">
        <f>IFERROR(__xludf.DUMMYFUNCTION("""COMPUTED_VALUE"""),3000.0)</f>
        <v>3000</v>
      </c>
      <c r="Z518" s="8">
        <f>IFERROR(__xludf.DUMMYFUNCTION("""COMPUTED_VALUE"""),1600.0)</f>
        <v>1600</v>
      </c>
      <c r="AA518" s="4">
        <f>IFERROR(__xludf.DUMMYFUNCTION("""COMPUTED_VALUE"""),4.0)</f>
        <v>4</v>
      </c>
      <c r="AB518" s="4" t="str">
        <f>IFERROR(__xludf.DUMMYFUNCTION("""COMPUTED_VALUE"""),"-")</f>
        <v>-</v>
      </c>
      <c r="AC518" s="4" t="str">
        <f>IFERROR(__xludf.DUMMYFUNCTION("""COMPUTED_VALUE"""),"-")</f>
        <v>-</v>
      </c>
      <c r="AD518" s="4"/>
      <c r="AE518" s="4"/>
      <c r="AF518" s="4"/>
      <c r="AG518" s="4"/>
      <c r="AH518" s="4"/>
      <c r="AI518" s="4"/>
      <c r="AJ518" s="4"/>
      <c r="AK518" s="4"/>
      <c r="AL518" s="4"/>
      <c r="AM518" s="4" t="str">
        <f>IFERROR(__xludf.DUMMYFUNCTION("""COMPUTED_VALUE"""),"FY26")</f>
        <v>FY26</v>
      </c>
      <c r="AN518" s="4"/>
      <c r="AO518" s="4">
        <f>IFERROR(__xludf.DUMMYFUNCTION("""COMPUTED_VALUE"""),140.0)</f>
        <v>140</v>
      </c>
      <c r="AP518" s="4"/>
      <c r="AQ518" s="4"/>
      <c r="AR518" s="4"/>
      <c r="AS518" s="4">
        <f>IFERROR(__xludf.DUMMYFUNCTION("""COMPUTED_VALUE"""),0.0)</f>
        <v>0</v>
      </c>
      <c r="AT518" s="4">
        <f>IFERROR(__xludf.DUMMYFUNCTION("""COMPUTED_VALUE"""),0.0)</f>
        <v>0</v>
      </c>
      <c r="AU518" s="4" t="str">
        <f>IFERROR(__xludf.DUMMYFUNCTION("""COMPUTED_VALUE"""),"Lídia")</f>
        <v>Lídia</v>
      </c>
      <c r="AV518" s="4">
        <f>IFERROR(__xludf.DUMMYFUNCTION("""COMPUTED_VALUE"""),0.0)</f>
        <v>0</v>
      </c>
      <c r="AW518" s="4">
        <f>IFERROR(__xludf.DUMMYFUNCTION("""COMPUTED_VALUE"""),0.0)</f>
        <v>0</v>
      </c>
      <c r="AX518" s="4">
        <f>IFERROR(__xludf.DUMMYFUNCTION("""COMPUTED_VALUE"""),0.0)</f>
        <v>0</v>
      </c>
      <c r="AY518" s="4">
        <f>IFERROR(__xludf.DUMMYFUNCTION("""COMPUTED_VALUE"""),0.0)</f>
        <v>0</v>
      </c>
      <c r="AZ518" s="4" t="str">
        <f>IFERROR(__xludf.DUMMYFUNCTION("""COMPUTED_VALUE"""),"Japonesa")</f>
        <v>Japonesa</v>
      </c>
      <c r="BA518" s="4" t="str">
        <f>IFERROR(__xludf.DUMMYFUNCTION("""COMPUTED_VALUE"""),"")</f>
        <v/>
      </c>
      <c r="BB518" s="4" t="str">
        <f>IFERROR(__xludf.DUMMYFUNCTION("""COMPUTED_VALUE"""),"")</f>
        <v/>
      </c>
      <c r="BC518" s="4" t="str">
        <f>IFERROR(__xludf.DUMMYFUNCTION("""COMPUTED_VALUE"""),"")</f>
        <v/>
      </c>
      <c r="BD518" s="4" t="str">
        <f>IFERROR(__xludf.DUMMYFUNCTION("""COMPUTED_VALUE"""),"")</f>
        <v/>
      </c>
      <c r="BE518" s="4" t="str">
        <f>IFERROR(__xludf.DUMMYFUNCTION("""COMPUTED_VALUE"""),"")</f>
        <v/>
      </c>
      <c r="BF518" s="4" t="str">
        <f>IFERROR(__xludf.DUMMYFUNCTION("""COMPUTED_VALUE"""),"")</f>
        <v/>
      </c>
      <c r="BG518" s="4" t="str">
        <f>IFERROR(__xludf.DUMMYFUNCTION("""COMPUTED_VALUE"""),"")</f>
        <v/>
      </c>
      <c r="BH518" s="4" t="s">
        <v>63</v>
      </c>
      <c r="BI518" s="7" t="s">
        <v>63</v>
      </c>
    </row>
    <row r="519" hidden="1">
      <c r="A519" s="4" t="str">
        <f>IFERROR(__xludf.DUMMYFUNCTION("""COMPUTED_VALUE"""),"Albis - Middle East Fast Food")</f>
        <v>Albis - Middle East Fast Food</v>
      </c>
      <c r="B519" s="4" t="str">
        <f>IFERROR(__xludf.DUMMYFUNCTION("""COMPUTED_VALUE"""),"Ana")</f>
        <v>Ana</v>
      </c>
      <c r="C519" s="4" t="str">
        <f>IFERROR(__xludf.DUMMYFUNCTION("""COMPUTED_VALUE"""),"Ana")</f>
        <v>Ana</v>
      </c>
      <c r="D519" s="4" t="str">
        <f>IFERROR(__xludf.DUMMYFUNCTION("""COMPUTED_VALUE"""),"12. Orgânico")</f>
        <v>12. Orgânico</v>
      </c>
      <c r="E519" s="4" t="str">
        <f>IFERROR(__xludf.DUMMYFUNCTION("""COMPUTED_VALUE""")," Projetos - Contrato assinado &amp; Rollout")</f>
        <v> Projetos - Contrato assinado &amp; Rollout</v>
      </c>
      <c r="F519" s="4" t="str">
        <f>IFERROR(__xludf.DUMMYFUNCTION("""COMPUTED_VALUE"""),"P")</f>
        <v>P</v>
      </c>
      <c r="G519" s="5">
        <f>IFERROR(__xludf.DUMMYFUNCTION("""COMPUTED_VALUE"""),46076.0)</f>
        <v>46076</v>
      </c>
      <c r="H519" s="4" t="str">
        <f>IFERROR(__xludf.DUMMYFUNCTION("""COMPUTED_VALUE"""),"contrato assinado")</f>
        <v>contrato assinado</v>
      </c>
      <c r="I519" s="4"/>
      <c r="J519" s="4"/>
      <c r="K519" s="6">
        <f>IFERROR(__xludf.DUMMYFUNCTION("""COMPUTED_VALUE"""),45870.0)</f>
        <v>45870</v>
      </c>
      <c r="L519" s="4"/>
      <c r="M519" s="4"/>
      <c r="N519" s="6">
        <f>IFERROR(__xludf.DUMMYFUNCTION("""COMPUTED_VALUE"""),45930.0)</f>
        <v>45930</v>
      </c>
      <c r="O519" s="4"/>
      <c r="P519" s="4"/>
      <c r="Q519" s="6">
        <f>IFERROR(__xludf.DUMMYFUNCTION("""COMPUTED_VALUE"""),45930.0)</f>
        <v>45930</v>
      </c>
      <c r="R519" s="4"/>
      <c r="S519" s="4"/>
      <c r="T519" s="6">
        <f>IFERROR(__xludf.DUMMYFUNCTION("""COMPUTED_VALUE"""),46090.423387083334)</f>
        <v>46090.42339</v>
      </c>
      <c r="U519" s="4"/>
      <c r="V519" s="4"/>
      <c r="W519" s="4"/>
      <c r="X519" s="4"/>
      <c r="Y519" s="4"/>
      <c r="Z519" s="4"/>
      <c r="AA519" s="4">
        <f>IFERROR(__xludf.DUMMYFUNCTION("""COMPUTED_VALUE"""),2.0)</f>
        <v>2</v>
      </c>
      <c r="AB519" s="4"/>
      <c r="AC519" s="4"/>
      <c r="AD519" s="4"/>
      <c r="AE519" s="4"/>
      <c r="AF519" s="4"/>
      <c r="AG519" s="4"/>
      <c r="AH519" s="4"/>
      <c r="AI519" s="4"/>
      <c r="AJ519" s="4"/>
      <c r="AK519" s="4"/>
      <c r="AL519" s="4"/>
      <c r="AM519" s="4" t="str">
        <f>IFERROR(__xludf.DUMMYFUNCTION("""COMPUTED_VALUE"""),"FY26")</f>
        <v>FY26</v>
      </c>
      <c r="AN519" s="4"/>
      <c r="AO519" s="4">
        <f>IFERROR(__xludf.DUMMYFUNCTION("""COMPUTED_VALUE"""),140.0)</f>
        <v>140</v>
      </c>
      <c r="AP519" s="4"/>
      <c r="AQ519" s="4"/>
      <c r="AR519" s="4"/>
      <c r="AS519" s="4" t="str">
        <f>IFERROR(__xludf.DUMMYFUNCTION("""COMPUTED_VALUE"""),"NATHALIE MERTENS")</f>
        <v>NATHALIE MERTENS</v>
      </c>
      <c r="AT519" s="4" t="str">
        <f>IFERROR(__xludf.DUMMYFUNCTION("""COMPUTED_VALUE"""),"MARIANA KATZ")</f>
        <v>MARIANA KATZ</v>
      </c>
      <c r="AU519" s="4" t="str">
        <f>IFERROR(__xludf.DUMMYFUNCTION("""COMPUTED_VALUE"""),"Ana")</f>
        <v>Ana</v>
      </c>
      <c r="AV519" s="4" t="str">
        <f>IFERROR(__xludf.DUMMYFUNCTION("""COMPUTED_VALUE"""),"Comer Fora-")</f>
        <v>Comer Fora-</v>
      </c>
      <c r="AW519" s="20" t="str">
        <f>IFERROR(__xludf.DUMMYFUNCTION("""COMPUTED_VALUE"""),"P e M - pipe")</f>
        <v>P e M - pipe</v>
      </c>
      <c r="AX519" s="4"/>
      <c r="AY519" s="4"/>
      <c r="AZ519" s="4" t="str">
        <f>IFERROR(__xludf.DUMMYFUNCTION("""COMPUTED_VALUE"""),"Árabe")</f>
        <v>Árabe</v>
      </c>
      <c r="BA519" s="4" t="str">
        <f>IFERROR(__xludf.DUMMYFUNCTION("""COMPUTED_VALUE"""),"")</f>
        <v/>
      </c>
      <c r="BB519" s="4" t="str">
        <f>IFERROR(__xludf.DUMMYFUNCTION("""COMPUTED_VALUE"""),"")</f>
        <v/>
      </c>
      <c r="BC519" s="4" t="str">
        <f>IFERROR(__xludf.DUMMYFUNCTION("""COMPUTED_VALUE"""),"")</f>
        <v/>
      </c>
      <c r="BD519" s="4" t="str">
        <f>IFERROR(__xludf.DUMMYFUNCTION("""COMPUTED_VALUE"""),"")</f>
        <v/>
      </c>
      <c r="BE519" s="4" t="str">
        <f>IFERROR(__xludf.DUMMYFUNCTION("""COMPUTED_VALUE"""),"")</f>
        <v/>
      </c>
      <c r="BF519" s="4" t="str">
        <f>IFERROR(__xludf.DUMMYFUNCTION("""COMPUTED_VALUE"""),"")</f>
        <v/>
      </c>
      <c r="BG519" s="4" t="str">
        <f>IFERROR(__xludf.DUMMYFUNCTION("""COMPUTED_VALUE"""),"")</f>
        <v/>
      </c>
      <c r="BH519" s="4" t="s">
        <v>63</v>
      </c>
      <c r="BI519" s="7" t="s">
        <v>63</v>
      </c>
    </row>
    <row r="520" hidden="1">
      <c r="A520" s="4" t="str">
        <f>IFERROR(__xludf.DUMMYFUNCTION("""COMPUTED_VALUE"""),"Almanara")</f>
        <v>Almanara</v>
      </c>
      <c r="B520" s="4" t="str">
        <f>IFERROR(__xludf.DUMMYFUNCTION("""COMPUTED_VALUE"""),"Lídia Esteves")</f>
        <v>Lídia Esteves</v>
      </c>
      <c r="C520" s="4" t="str">
        <f>IFERROR(__xludf.DUMMYFUNCTION("""COMPUTED_VALUE"""),"Lídia Esteves")</f>
        <v>Lídia Esteves</v>
      </c>
      <c r="D520" s="4" t="str">
        <f>IFERROR(__xludf.DUMMYFUNCTION("""COMPUTED_VALUE"""),"10. Perdido")</f>
        <v>10. Perdido</v>
      </c>
      <c r="E520" s="4" t="str">
        <f>IFERROR(__xludf.DUMMYFUNCTION("""COMPUTED_VALUE"""),"Perdido -  Momento do restaurante não favorável")</f>
        <v>Perdido -  Momento do restaurante não favorável</v>
      </c>
      <c r="F520" s="4" t="str">
        <f>IFERROR(__xludf.DUMMYFUNCTION("""COMPUTED_VALUE"""),"P")</f>
        <v>P</v>
      </c>
      <c r="G520" s="5">
        <f>IFERROR(__xludf.DUMMYFUNCTION("""COMPUTED_VALUE"""),46076.0)</f>
        <v>46076</v>
      </c>
      <c r="H520" s="4" t="str">
        <f>IFERROR(__xludf.DUMMYFUNCTION("""COMPUTED_VALUE"""),"Parceiro não nos recebe, já tentamos marcar agenda técnica 2x e sempre cancelam. Pararam de nos responder.")</f>
        <v>Parceiro não nos recebe, já tentamos marcar agenda técnica 2x e sempre cancelam. Pararam de nos responder.</v>
      </c>
      <c r="I520" s="4"/>
      <c r="J520" s="6">
        <f>IFERROR(__xludf.DUMMYFUNCTION("""COMPUTED_VALUE"""),46057.0)</f>
        <v>46057</v>
      </c>
      <c r="K520" s="6">
        <f>IFERROR(__xludf.DUMMYFUNCTION("""COMPUTED_VALUE"""),45887.0)</f>
        <v>45887</v>
      </c>
      <c r="L520" s="4"/>
      <c r="M520" s="4"/>
      <c r="N520" s="4"/>
      <c r="O520" s="4"/>
      <c r="P520" s="4"/>
      <c r="Q520" s="4"/>
      <c r="R520" s="6">
        <f>IFERROR(__xludf.DUMMYFUNCTION("""COMPUTED_VALUE"""),46057.649209675925)</f>
        <v>46057.64921</v>
      </c>
      <c r="S520" s="4"/>
      <c r="T520" s="4"/>
      <c r="U520" s="4"/>
      <c r="V520" s="4" t="str">
        <f>IFERROR(__xludf.DUMMYFUNCTION("""COMPUTED_VALUE"""),"Sem interesse em mudar de PDV")</f>
        <v>Sem interesse em mudar de PDV</v>
      </c>
      <c r="W520" s="4"/>
      <c r="X520" s="4"/>
      <c r="Y520" s="4"/>
      <c r="Z520" s="4"/>
      <c r="AA520" s="4">
        <f>IFERROR(__xludf.DUMMYFUNCTION("""COMPUTED_VALUE"""),15.0)</f>
        <v>15</v>
      </c>
      <c r="AB520" s="4" t="str">
        <f>IFERROR(__xludf.DUMMYFUNCTION("""COMPUTED_VALUE"""),"NÃO")</f>
        <v>NÃO</v>
      </c>
      <c r="AC520" s="4" t="str">
        <f>IFERROR(__xludf.DUMMYFUNCTION("""COMPUTED_VALUE"""),"BP")</f>
        <v>BP</v>
      </c>
      <c r="AD520" s="4"/>
      <c r="AE520" s="4"/>
      <c r="AF520" s="4"/>
      <c r="AG520" s="4"/>
      <c r="AH520" s="4"/>
      <c r="AI520" s="4"/>
      <c r="AJ520" s="4"/>
      <c r="AK520" s="4"/>
      <c r="AL520" s="4"/>
      <c r="AM520" s="4" t="str">
        <f>IFERROR(__xludf.DUMMYFUNCTION("""COMPUTED_VALUE"""),"FY26")</f>
        <v>FY26</v>
      </c>
      <c r="AN520" s="4" t="str">
        <f>IFERROR(__xludf.DUMMYFUNCTION("""COMPUTED_VALUE"""),"Comer Fora")</f>
        <v>Comer Fora</v>
      </c>
      <c r="AO520" s="4">
        <f>IFERROR(__xludf.DUMMYFUNCTION("""COMPUTED_VALUE"""),140.0)</f>
        <v>140</v>
      </c>
      <c r="AP520" s="4"/>
      <c r="AQ520" s="4"/>
      <c r="AR520" s="4"/>
      <c r="AS520" s="4" t="str">
        <f>IFERROR(__xludf.DUMMYFUNCTION("""COMPUTED_VALUE"""),"NATHALIE MERTENS")</f>
        <v>NATHALIE MERTENS</v>
      </c>
      <c r="AT520" s="4" t="str">
        <f>IFERROR(__xludf.DUMMYFUNCTION("""COMPUTED_VALUE"""),"MARIANA KATZ")</f>
        <v>MARIANA KATZ</v>
      </c>
      <c r="AU520" s="4" t="str">
        <f>IFERROR(__xludf.DUMMYFUNCTION("""COMPUTED_VALUE"""),"Lídia")</f>
        <v>Lídia</v>
      </c>
      <c r="AV520" s="4" t="str">
        <f>IFERROR(__xludf.DUMMYFUNCTION("""COMPUTED_VALUE"""),"Comer Fora-")</f>
        <v>Comer Fora-</v>
      </c>
      <c r="AW520" s="20" t="str">
        <f>IFERROR(__xludf.DUMMYFUNCTION("""COMPUTED_VALUE"""),"P e M - pipe")</f>
        <v>P e M - pipe</v>
      </c>
      <c r="AX520" s="4"/>
      <c r="AY520" s="4"/>
      <c r="AZ520" s="4" t="str">
        <f>IFERROR(__xludf.DUMMYFUNCTION("""COMPUTED_VALUE"""),"Árabe")</f>
        <v>Árabe</v>
      </c>
      <c r="BA520" s="4" t="str">
        <f>IFERROR(__xludf.DUMMYFUNCTION("""COMPUTED_VALUE"""),"")</f>
        <v/>
      </c>
      <c r="BB520" s="4" t="str">
        <f>IFERROR(__xludf.DUMMYFUNCTION("""COMPUTED_VALUE"""),"")</f>
        <v/>
      </c>
      <c r="BC520" s="4" t="str">
        <f>IFERROR(__xludf.DUMMYFUNCTION("""COMPUTED_VALUE"""),"")</f>
        <v/>
      </c>
      <c r="BD520" s="4" t="str">
        <f>IFERROR(__xludf.DUMMYFUNCTION("""COMPUTED_VALUE"""),"")</f>
        <v/>
      </c>
      <c r="BE520" s="4" t="str">
        <f>IFERROR(__xludf.DUMMYFUNCTION("""COMPUTED_VALUE"""),"")</f>
        <v/>
      </c>
      <c r="BF520" s="4" t="str">
        <f>IFERROR(__xludf.DUMMYFUNCTION("""COMPUTED_VALUE"""),"")</f>
        <v/>
      </c>
      <c r="BG520" s="4" t="str">
        <f>IFERROR(__xludf.DUMMYFUNCTION("""COMPUTED_VALUE"""),"")</f>
        <v/>
      </c>
      <c r="BH520" s="4" t="s">
        <v>72</v>
      </c>
      <c r="BI520" s="7">
        <v>1.0</v>
      </c>
    </row>
    <row r="521" hidden="1">
      <c r="A521" s="4" t="str">
        <f>IFERROR(__xludf.DUMMYFUNCTION("""COMPUTED_VALUE"""),"Ama.Zo")</f>
        <v>Ama.Zo</v>
      </c>
      <c r="B521" s="4" t="str">
        <f>IFERROR(__xludf.DUMMYFUNCTION("""COMPUTED_VALUE"""),"Lídia Esteves")</f>
        <v>Lídia Esteves</v>
      </c>
      <c r="C521" s="4" t="str">
        <f>IFERROR(__xludf.DUMMYFUNCTION("""COMPUTED_VALUE"""),"Gabriela Roma")</f>
        <v>Gabriela Roma</v>
      </c>
      <c r="D521" s="4" t="str">
        <f>IFERROR(__xludf.DUMMYFUNCTION("""COMPUTED_VALUE"""),"10. Perdido")</f>
        <v>10. Perdido</v>
      </c>
      <c r="E521" s="4" t="str">
        <f>IFERROR(__xludf.DUMMYFUNCTION("""COMPUTED_VALUE"""),"Perdido - Falta de aderência técnica")</f>
        <v>Perdido - Falta de aderência técnica</v>
      </c>
      <c r="F521" s="4" t="str">
        <f>IFERROR(__xludf.DUMMYFUNCTION("""COMPUTED_VALUE"""),"P")</f>
        <v>P</v>
      </c>
      <c r="G521" s="4"/>
      <c r="H521" s="22" t="str">
        <f>IFERROR(__xludf.DUMMYFUNCTION("""COMPUTED_VALUE"""),"Parceiro chegou a testar 3S e não teve fit devido necessidades especificas para agendamento e eventos")</f>
        <v>Parceiro chegou a testar 3S e não teve fit devido necessidades especificas para agendamento e eventos</v>
      </c>
      <c r="I521" s="4"/>
      <c r="J521" s="4"/>
      <c r="K521" s="6">
        <f>IFERROR(__xludf.DUMMYFUNCTION("""COMPUTED_VALUE"""),45881.0)</f>
        <v>45881</v>
      </c>
      <c r="L521" s="4"/>
      <c r="M521" s="4"/>
      <c r="N521" s="4"/>
      <c r="O521" s="4"/>
      <c r="P521" s="4"/>
      <c r="Q521" s="4"/>
      <c r="R521" s="4"/>
      <c r="S521" s="4"/>
      <c r="T521" s="4"/>
      <c r="U521" s="4"/>
      <c r="V521" s="4" t="str">
        <f>IFERROR(__xludf.DUMMYFUNCTION("""COMPUTED_VALUE"""),"Sem perfil LA")</f>
        <v>Sem perfil LA</v>
      </c>
      <c r="W521" s="4"/>
      <c r="X521" s="4"/>
      <c r="Y521" s="4"/>
      <c r="Z521" s="4"/>
      <c r="AA521" s="4">
        <f>IFERROR(__xludf.DUMMYFUNCTION("""COMPUTED_VALUE"""),2.0)</f>
        <v>2</v>
      </c>
      <c r="AB521" s="4" t="str">
        <f>IFERROR(__xludf.DUMMYFUNCTION("""COMPUTED_VALUE"""),"NÃO")</f>
        <v>NÃO</v>
      </c>
      <c r="AC521" s="4" t="str">
        <f>IFERROR(__xludf.DUMMYFUNCTION("""COMPUTED_VALUE"""),"BP")</f>
        <v>BP</v>
      </c>
      <c r="AD521" s="4"/>
      <c r="AE521" s="4"/>
      <c r="AF521" s="4"/>
      <c r="AG521" s="4"/>
      <c r="AH521" s="4"/>
      <c r="AI521" s="4"/>
      <c r="AJ521" s="4"/>
      <c r="AK521" s="4"/>
      <c r="AL521" s="4"/>
      <c r="AM521" s="4" t="str">
        <f>IFERROR(__xludf.DUMMYFUNCTION("""COMPUTED_VALUE"""),"FY26")</f>
        <v>FY26</v>
      </c>
      <c r="AN521" s="4"/>
      <c r="AO521" s="4">
        <f>IFERROR(__xludf.DUMMYFUNCTION("""COMPUTED_VALUE"""),45553.0)</f>
        <v>45553</v>
      </c>
      <c r="AP521" s="4"/>
      <c r="AQ521" s="4"/>
      <c r="AR521" s="4"/>
      <c r="AS521" s="4">
        <f>IFERROR(__xludf.DUMMYFUNCTION("""COMPUTED_VALUE"""),0.0)</f>
        <v>0</v>
      </c>
      <c r="AT521" s="4">
        <f>IFERROR(__xludf.DUMMYFUNCTION("""COMPUTED_VALUE"""),0.0)</f>
        <v>0</v>
      </c>
      <c r="AU521" s="4" t="str">
        <f>IFERROR(__xludf.DUMMYFUNCTION("""COMPUTED_VALUE"""),"Mariana")</f>
        <v>Mariana</v>
      </c>
      <c r="AV521" s="4">
        <f>IFERROR(__xludf.DUMMYFUNCTION("""COMPUTED_VALUE"""),0.0)</f>
        <v>0</v>
      </c>
      <c r="AW521" s="4">
        <f>IFERROR(__xludf.DUMMYFUNCTION("""COMPUTED_VALUE"""),0.0)</f>
        <v>0</v>
      </c>
      <c r="AX521" s="4">
        <f>IFERROR(__xludf.DUMMYFUNCTION("""COMPUTED_VALUE"""),0.0)</f>
        <v>0</v>
      </c>
      <c r="AY521" s="4"/>
      <c r="AZ521" s="4" t="str">
        <f>IFERROR(__xludf.DUMMYFUNCTION("""COMPUTED_VALUE"""),"#N/A")</f>
        <v>#N/A</v>
      </c>
      <c r="BA521" s="4" t="str">
        <f>IFERROR(__xludf.DUMMYFUNCTION("""COMPUTED_VALUE"""),"")</f>
        <v/>
      </c>
      <c r="BB521" s="4" t="str">
        <f>IFERROR(__xludf.DUMMYFUNCTION("""COMPUTED_VALUE"""),"")</f>
        <v/>
      </c>
      <c r="BC521" s="4" t="str">
        <f>IFERROR(__xludf.DUMMYFUNCTION("""COMPUTED_VALUE"""),"")</f>
        <v/>
      </c>
      <c r="BD521" s="4" t="str">
        <f>IFERROR(__xludf.DUMMYFUNCTION("""COMPUTED_VALUE"""),"")</f>
        <v/>
      </c>
      <c r="BE521" s="4" t="str">
        <f>IFERROR(__xludf.DUMMYFUNCTION("""COMPUTED_VALUE"""),"")</f>
        <v/>
      </c>
      <c r="BF521" s="4" t="str">
        <f>IFERROR(__xludf.DUMMYFUNCTION("""COMPUTED_VALUE"""),"")</f>
        <v/>
      </c>
      <c r="BG521" s="4" t="str">
        <f>IFERROR(__xludf.DUMMYFUNCTION("""COMPUTED_VALUE"""),"")</f>
        <v/>
      </c>
      <c r="BH521" s="4" t="s">
        <v>63</v>
      </c>
      <c r="BI521" s="7" t="s">
        <v>63</v>
      </c>
    </row>
    <row r="522" hidden="1">
      <c r="A522" s="4" t="str">
        <f>IFERROR(__xludf.DUMMYFUNCTION("""COMPUTED_VALUE"""),"America")</f>
        <v>America</v>
      </c>
      <c r="B522" s="4" t="str">
        <f>IFERROR(__xludf.DUMMYFUNCTION("""COMPUTED_VALUE"""),"Michel")</f>
        <v>Michel</v>
      </c>
      <c r="C522" s="4" t="str">
        <f>IFERROR(__xludf.DUMMYFUNCTION("""COMPUTED_VALUE"""),"Michel")</f>
        <v>Michel</v>
      </c>
      <c r="D522" s="4" t="str">
        <f>IFERROR(__xludf.DUMMYFUNCTION("""COMPUTED_VALUE"""),"12. Orgânico")</f>
        <v>12. Orgânico</v>
      </c>
      <c r="E522" s="4"/>
      <c r="F522" s="4" t="str">
        <f>IFERROR(__xludf.DUMMYFUNCTION("""COMPUTED_VALUE"""),"P")</f>
        <v>P</v>
      </c>
      <c r="G522" s="4"/>
      <c r="H522" s="4"/>
      <c r="I522" s="4"/>
      <c r="J522" s="4"/>
      <c r="K522" s="4"/>
      <c r="L522" s="4"/>
      <c r="M522" s="4"/>
      <c r="N522" s="4"/>
      <c r="O522" s="4"/>
      <c r="P522" s="4"/>
      <c r="Q522" s="4"/>
      <c r="R522" s="4"/>
      <c r="S522" s="4"/>
      <c r="T522" s="4"/>
      <c r="U522" s="4"/>
      <c r="V522" s="4"/>
      <c r="W522" s="4"/>
      <c r="X522" s="4"/>
      <c r="Y522" s="4"/>
      <c r="Z522" s="4"/>
      <c r="AA522" s="4">
        <f>IFERROR(__xludf.DUMMYFUNCTION("""COMPUTED_VALUE"""),2.0)</f>
        <v>2</v>
      </c>
      <c r="AB522" s="4"/>
      <c r="AC522" s="4"/>
      <c r="AD522" s="4"/>
      <c r="AE522" s="4"/>
      <c r="AF522" s="4"/>
      <c r="AG522" s="4"/>
      <c r="AH522" s="4"/>
      <c r="AI522" s="4"/>
      <c r="AJ522" s="4"/>
      <c r="AK522" s="4"/>
      <c r="AL522" s="4"/>
      <c r="AM522" s="4" t="str">
        <f>IFERROR(__xludf.DUMMYFUNCTION("""COMPUTED_VALUE"""),"Orgânico 3S")</f>
        <v>Orgânico 3S</v>
      </c>
      <c r="AN522" s="4"/>
      <c r="AO522" s="4">
        <f>IFERROR(__xludf.DUMMYFUNCTION("""COMPUTED_VALUE"""),45553.0)</f>
        <v>45553</v>
      </c>
      <c r="AP522" s="4"/>
      <c r="AQ522" s="4"/>
      <c r="AR522" s="4"/>
      <c r="AS522" s="4">
        <f>IFERROR(__xludf.DUMMYFUNCTION("""COMPUTED_VALUE"""),0.0)</f>
        <v>0</v>
      </c>
      <c r="AT522" s="4">
        <f>IFERROR(__xludf.DUMMYFUNCTION("""COMPUTED_VALUE"""),0.0)</f>
        <v>0</v>
      </c>
      <c r="AU522" s="4" t="str">
        <f>IFERROR(__xludf.DUMMYFUNCTION("""COMPUTED_VALUE"""),"Michel")</f>
        <v>Michel</v>
      </c>
      <c r="AV522" s="4">
        <f>IFERROR(__xludf.DUMMYFUNCTION("""COMPUTED_VALUE"""),0.0)</f>
        <v>0</v>
      </c>
      <c r="AW522" s="4">
        <f>IFERROR(__xludf.DUMMYFUNCTION("""COMPUTED_VALUE"""),0.0)</f>
        <v>0</v>
      </c>
      <c r="AX522" s="4">
        <f>IFERROR(__xludf.DUMMYFUNCTION("""COMPUTED_VALUE"""),0.0)</f>
        <v>0</v>
      </c>
      <c r="AY522" s="4"/>
      <c r="AZ522" s="4">
        <f>IFERROR(__xludf.DUMMYFUNCTION("""COMPUTED_VALUE"""),0.0)</f>
        <v>0</v>
      </c>
      <c r="BA522" s="4" t="str">
        <f>IFERROR(__xludf.DUMMYFUNCTION("""COMPUTED_VALUE"""),"")</f>
        <v/>
      </c>
      <c r="BB522" s="4" t="str">
        <f>IFERROR(__xludf.DUMMYFUNCTION("""COMPUTED_VALUE"""),"")</f>
        <v/>
      </c>
      <c r="BC522" s="4" t="str">
        <f>IFERROR(__xludf.DUMMYFUNCTION("""COMPUTED_VALUE"""),"")</f>
        <v/>
      </c>
      <c r="BD522" s="4" t="str">
        <f>IFERROR(__xludf.DUMMYFUNCTION("""COMPUTED_VALUE"""),"")</f>
        <v/>
      </c>
      <c r="BE522" s="4" t="str">
        <f>IFERROR(__xludf.DUMMYFUNCTION("""COMPUTED_VALUE"""),"")</f>
        <v/>
      </c>
      <c r="BF522" s="4" t="str">
        <f>IFERROR(__xludf.DUMMYFUNCTION("""COMPUTED_VALUE"""),"")</f>
        <v/>
      </c>
      <c r="BG522" s="4" t="str">
        <f>IFERROR(__xludf.DUMMYFUNCTION("""COMPUTED_VALUE"""),"")</f>
        <v/>
      </c>
      <c r="BH522" s="4" t="s">
        <v>63</v>
      </c>
      <c r="BI522" s="7" t="s">
        <v>63</v>
      </c>
    </row>
    <row r="523" hidden="1">
      <c r="A523" s="4" t="str">
        <f>IFERROR(__xludf.DUMMYFUNCTION("""COMPUTED_VALUE"""),"Antaris (Johnny Rockets)")</f>
        <v>Antaris (Johnny Rockets)</v>
      </c>
      <c r="B523" s="4" t="str">
        <f>IFERROR(__xludf.DUMMYFUNCTION("""COMPUTED_VALUE"""),"Michel")</f>
        <v>Michel</v>
      </c>
      <c r="C523" s="4" t="str">
        <f>IFERROR(__xludf.DUMMYFUNCTION("""COMPUTED_VALUE"""),"Michel")</f>
        <v>Michel</v>
      </c>
      <c r="D523" s="4" t="str">
        <f>IFERROR(__xludf.DUMMYFUNCTION("""COMPUTED_VALUE"""),"12. Orgânico")</f>
        <v>12. Orgânico</v>
      </c>
      <c r="E523" s="4"/>
      <c r="F523" s="4" t="str">
        <f>IFERROR(__xludf.DUMMYFUNCTION("""COMPUTED_VALUE"""),"Sem Classificação")</f>
        <v>Sem Classificação</v>
      </c>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t="str">
        <f>IFERROR(__xludf.DUMMYFUNCTION("""COMPUTED_VALUE"""),"Orgânico 3S")</f>
        <v>Orgânico 3S</v>
      </c>
      <c r="AN523" s="4"/>
      <c r="AO523" s="4">
        <f>IFERROR(__xludf.DUMMYFUNCTION("""COMPUTED_VALUE"""),45553.0)</f>
        <v>45553</v>
      </c>
      <c r="AP523" s="4"/>
      <c r="AQ523" s="4"/>
      <c r="AR523" s="4"/>
      <c r="AS523" s="4">
        <f>IFERROR(__xludf.DUMMYFUNCTION("""COMPUTED_VALUE"""),0.0)</f>
        <v>0</v>
      </c>
      <c r="AT523" s="4">
        <f>IFERROR(__xludf.DUMMYFUNCTION("""COMPUTED_VALUE"""),0.0)</f>
        <v>0</v>
      </c>
      <c r="AU523" s="4" t="str">
        <f>IFERROR(__xludf.DUMMYFUNCTION("""COMPUTED_VALUE"""),"Michel")</f>
        <v>Michel</v>
      </c>
      <c r="AV523" s="4">
        <f>IFERROR(__xludf.DUMMYFUNCTION("""COMPUTED_VALUE"""),0.0)</f>
        <v>0</v>
      </c>
      <c r="AW523" s="4">
        <f>IFERROR(__xludf.DUMMYFUNCTION("""COMPUTED_VALUE"""),0.0)</f>
        <v>0</v>
      </c>
      <c r="AX523" s="4">
        <f>IFERROR(__xludf.DUMMYFUNCTION("""COMPUTED_VALUE"""),0.0)</f>
        <v>0</v>
      </c>
      <c r="AY523" s="4"/>
      <c r="AZ523" s="4">
        <f>IFERROR(__xludf.DUMMYFUNCTION("""COMPUTED_VALUE"""),0.0)</f>
        <v>0</v>
      </c>
      <c r="BA523" s="4" t="str">
        <f>IFERROR(__xludf.DUMMYFUNCTION("""COMPUTED_VALUE"""),"R$ 40-70")</f>
        <v>R$ 40-70</v>
      </c>
      <c r="BB523" s="4" t="str">
        <f>IFERROR(__xludf.DUMMYFUNCTION("""COMPUTED_VALUE"""),"QSR - Fast Food (Burgers)")</f>
        <v>QSR - Fast Food (Burgers)</v>
      </c>
      <c r="BC523" s="4" t="str">
        <f>IFERROR(__xludf.DUMMYFUNCTION("""COMPUTED_VALUE"""),"Nacional (50+ unidades)")</f>
        <v>Nacional (50+ unidades)</v>
      </c>
      <c r="BD523" s="4" t="str">
        <f>IFERROR(__xludf.DUMMYFUNCTION("""COMPUTED_VALUE"""),"R$ 135 milhões Brasil (2024)")</f>
        <v>R$ 135 milhões Brasil (2024)</v>
      </c>
      <c r="BE523" s="4">
        <f>IFERROR(__xludf.DUMMYFUNCTION("""COMPUTED_VALUE"""),72.0)</f>
        <v>72</v>
      </c>
      <c r="BF523" s="4">
        <f>IFERROR(__xludf.DUMMYFUNCTION("""COMPUTED_VALUE"""),0.75)</f>
        <v>0.75</v>
      </c>
      <c r="BG523" s="4" t="str">
        <f>IFERROR(__xludf.DUMMYFUNCTION("""COMPUTED_VALUE"""),"PDV não identificado (Antaris opera Johnny Rockets). ALTA ADERÊNCIA: 50+ lojas nacionais, faturamento R$ 135M Brasil (2024). QSR retrô em expansão. 3S: totens autoatendimento, gestão multi-loja franquias, KDS, delivery")</f>
        <v>PDV não identificado (Antaris opera Johnny Rockets). ALTA ADERÊNCIA: 50+ lojas nacionais, faturamento R$ 135M Brasil (2024). QSR retrô em expansão. 3S: totens autoatendimento, gestão multi-loja franquias, KDS, delivery</v>
      </c>
      <c r="BH523" s="4" t="s">
        <v>63</v>
      </c>
      <c r="BI523" s="7" t="s">
        <v>63</v>
      </c>
    </row>
    <row r="524" hidden="1">
      <c r="A524" s="4" t="str">
        <f>IFERROR(__xludf.DUMMYFUNCTION("""COMPUTED_VALUE"""),"Antaris Multimarcas")</f>
        <v>Antaris Multimarcas</v>
      </c>
      <c r="B524" s="4" t="str">
        <f>IFERROR(__xludf.DUMMYFUNCTION("""COMPUTED_VALUE"""),"Michel")</f>
        <v>Michel</v>
      </c>
      <c r="C524" s="4" t="str">
        <f>IFERROR(__xludf.DUMMYFUNCTION("""COMPUTED_VALUE"""),"Michel")</f>
        <v>Michel</v>
      </c>
      <c r="D524" s="4" t="str">
        <f>IFERROR(__xludf.DUMMYFUNCTION("""COMPUTED_VALUE"""),"12. Orgânico")</f>
        <v>12. Orgânico</v>
      </c>
      <c r="E524" s="4"/>
      <c r="F524" s="4" t="str">
        <f>IFERROR(__xludf.DUMMYFUNCTION("""COMPUTED_VALUE"""),"P")</f>
        <v>P</v>
      </c>
      <c r="G524" s="4"/>
      <c r="H524" s="4"/>
      <c r="I524" s="4"/>
      <c r="J524" s="4"/>
      <c r="K524" s="4"/>
      <c r="L524" s="4"/>
      <c r="M524" s="4"/>
      <c r="N524" s="4"/>
      <c r="O524" s="4"/>
      <c r="P524" s="4"/>
      <c r="Q524" s="4"/>
      <c r="R524" s="4"/>
      <c r="S524" s="4"/>
      <c r="T524" s="4"/>
      <c r="U524" s="4"/>
      <c r="V524" s="4"/>
      <c r="W524" s="4"/>
      <c r="X524" s="4"/>
      <c r="Y524" s="4"/>
      <c r="Z524" s="4"/>
      <c r="AA524" s="4">
        <f>IFERROR(__xludf.DUMMYFUNCTION("""COMPUTED_VALUE"""),4.0)</f>
        <v>4</v>
      </c>
      <c r="AB524" s="4"/>
      <c r="AC524" s="4"/>
      <c r="AD524" s="4"/>
      <c r="AE524" s="4"/>
      <c r="AF524" s="4"/>
      <c r="AG524" s="4"/>
      <c r="AH524" s="4"/>
      <c r="AI524" s="4"/>
      <c r="AJ524" s="4"/>
      <c r="AK524" s="4"/>
      <c r="AL524" s="4"/>
      <c r="AM524" s="4" t="str">
        <f>IFERROR(__xludf.DUMMYFUNCTION("""COMPUTED_VALUE"""),"Orgânico 3S")</f>
        <v>Orgânico 3S</v>
      </c>
      <c r="AN524" s="4"/>
      <c r="AO524" s="4">
        <f>IFERROR(__xludf.DUMMYFUNCTION("""COMPUTED_VALUE"""),45553.0)</f>
        <v>45553</v>
      </c>
      <c r="AP524" s="4"/>
      <c r="AQ524" s="4"/>
      <c r="AR524" s="4"/>
      <c r="AS524" s="4">
        <f>IFERROR(__xludf.DUMMYFUNCTION("""COMPUTED_VALUE"""),0.0)</f>
        <v>0</v>
      </c>
      <c r="AT524" s="4">
        <f>IFERROR(__xludf.DUMMYFUNCTION("""COMPUTED_VALUE"""),0.0)</f>
        <v>0</v>
      </c>
      <c r="AU524" s="4" t="str">
        <f>IFERROR(__xludf.DUMMYFUNCTION("""COMPUTED_VALUE"""),"Michel")</f>
        <v>Michel</v>
      </c>
      <c r="AV524" s="4">
        <f>IFERROR(__xludf.DUMMYFUNCTION("""COMPUTED_VALUE"""),0.0)</f>
        <v>0</v>
      </c>
      <c r="AW524" s="4">
        <f>IFERROR(__xludf.DUMMYFUNCTION("""COMPUTED_VALUE"""),0.0)</f>
        <v>0</v>
      </c>
      <c r="AX524" s="4">
        <f>IFERROR(__xludf.DUMMYFUNCTION("""COMPUTED_VALUE"""),0.0)</f>
        <v>0</v>
      </c>
      <c r="AY524" s="4"/>
      <c r="AZ524" s="4">
        <f>IFERROR(__xludf.DUMMYFUNCTION("""COMPUTED_VALUE"""),0.0)</f>
        <v>0</v>
      </c>
      <c r="BA524" s="4" t="str">
        <f>IFERROR(__xludf.DUMMYFUNCTION("""COMPUTED_VALUE"""),"")</f>
        <v/>
      </c>
      <c r="BB524" s="4" t="str">
        <f>IFERROR(__xludf.DUMMYFUNCTION("""COMPUTED_VALUE"""),"")</f>
        <v/>
      </c>
      <c r="BC524" s="4" t="str">
        <f>IFERROR(__xludf.DUMMYFUNCTION("""COMPUTED_VALUE"""),"")</f>
        <v/>
      </c>
      <c r="BD524" s="4" t="str">
        <f>IFERROR(__xludf.DUMMYFUNCTION("""COMPUTED_VALUE"""),"")</f>
        <v/>
      </c>
      <c r="BE524" s="4" t="str">
        <f>IFERROR(__xludf.DUMMYFUNCTION("""COMPUTED_VALUE"""),"")</f>
        <v/>
      </c>
      <c r="BF524" s="4" t="str">
        <f>IFERROR(__xludf.DUMMYFUNCTION("""COMPUTED_VALUE"""),"")</f>
        <v/>
      </c>
      <c r="BG524" s="4" t="str">
        <f>IFERROR(__xludf.DUMMYFUNCTION("""COMPUTED_VALUE"""),"")</f>
        <v/>
      </c>
      <c r="BH524" s="4" t="s">
        <v>63</v>
      </c>
      <c r="BI524" s="7" t="s">
        <v>63</v>
      </c>
    </row>
    <row r="525" hidden="1">
      <c r="A525" s="4" t="str">
        <f>IFERROR(__xludf.DUMMYFUNCTION("""COMPUTED_VALUE"""),"Arabia")</f>
        <v>Arabia</v>
      </c>
      <c r="B525" s="4" t="str">
        <f>IFERROR(__xludf.DUMMYFUNCTION("""COMPUTED_VALUE"""),"Michel")</f>
        <v>Michel</v>
      </c>
      <c r="C525" s="4" t="str">
        <f>IFERROR(__xludf.DUMMYFUNCTION("""COMPUTED_VALUE"""),"Michel")</f>
        <v>Michel</v>
      </c>
      <c r="D525" s="4" t="str">
        <f>IFERROR(__xludf.DUMMYFUNCTION("""COMPUTED_VALUE"""),"12. Orgânico")</f>
        <v>12. Orgânico</v>
      </c>
      <c r="E525" s="4"/>
      <c r="F525" s="4" t="str">
        <f>IFERROR(__xludf.DUMMYFUNCTION("""COMPUTED_VALUE"""),"P")</f>
        <v>P</v>
      </c>
      <c r="G525" s="4"/>
      <c r="H525" s="4"/>
      <c r="I525" s="4"/>
      <c r="J525" s="4"/>
      <c r="K525" s="4"/>
      <c r="L525" s="4"/>
      <c r="M525" s="4"/>
      <c r="N525" s="4"/>
      <c r="O525" s="4"/>
      <c r="P525" s="4"/>
      <c r="Q525" s="4"/>
      <c r="R525" s="4"/>
      <c r="S525" s="4"/>
      <c r="T525" s="4"/>
      <c r="U525" s="4"/>
      <c r="V525" s="4"/>
      <c r="W525" s="4"/>
      <c r="X525" s="4"/>
      <c r="Y525" s="4"/>
      <c r="Z525" s="4"/>
      <c r="AA525" s="4">
        <f>IFERROR(__xludf.DUMMYFUNCTION("""COMPUTED_VALUE"""),2.0)</f>
        <v>2</v>
      </c>
      <c r="AB525" s="4"/>
      <c r="AC525" s="4"/>
      <c r="AD525" s="4"/>
      <c r="AE525" s="4"/>
      <c r="AF525" s="4"/>
      <c r="AG525" s="4"/>
      <c r="AH525" s="4"/>
      <c r="AI525" s="4"/>
      <c r="AJ525" s="4"/>
      <c r="AK525" s="4"/>
      <c r="AL525" s="4"/>
      <c r="AM525" s="4" t="str">
        <f>IFERROR(__xludf.DUMMYFUNCTION("""COMPUTED_VALUE"""),"Orgânico 3S")</f>
        <v>Orgânico 3S</v>
      </c>
      <c r="AN525" s="4"/>
      <c r="AO525" s="4">
        <f>IFERROR(__xludf.DUMMYFUNCTION("""COMPUTED_VALUE"""),45553.0)</f>
        <v>45553</v>
      </c>
      <c r="AP525" s="4"/>
      <c r="AQ525" s="4"/>
      <c r="AR525" s="4"/>
      <c r="AS525" s="4" t="str">
        <f>IFERROR(__xludf.DUMMYFUNCTION("""COMPUTED_VALUE"""),"NATHALIE MERTENS")</f>
        <v>NATHALIE MERTENS</v>
      </c>
      <c r="AT525" s="4" t="str">
        <f>IFERROR(__xludf.DUMMYFUNCTION("""COMPUTED_VALUE"""),"MARIANA KATZ")</f>
        <v>MARIANA KATZ</v>
      </c>
      <c r="AU525" s="4" t="str">
        <f>IFERROR(__xludf.DUMMYFUNCTION("""COMPUTED_VALUE"""),"Michel")</f>
        <v>Michel</v>
      </c>
      <c r="AV525" s="4">
        <f>IFERROR(__xludf.DUMMYFUNCTION("""COMPUTED_VALUE"""),0.0)</f>
        <v>0</v>
      </c>
      <c r="AW525" s="4">
        <f>IFERROR(__xludf.DUMMYFUNCTION("""COMPUTED_VALUE"""),0.0)</f>
        <v>0</v>
      </c>
      <c r="AX525" s="4">
        <f>IFERROR(__xludf.DUMMYFUNCTION("""COMPUTED_VALUE"""),0.0)</f>
        <v>0</v>
      </c>
      <c r="AY525" s="4"/>
      <c r="AZ525" s="4" t="str">
        <f>IFERROR(__xludf.DUMMYFUNCTION("""COMPUTED_VALUE"""),"Doces &amp; Bolos")</f>
        <v>Doces &amp; Bolos</v>
      </c>
      <c r="BA525" s="4" t="str">
        <f>IFERROR(__xludf.DUMMYFUNCTION("""COMPUTED_VALUE"""),"")</f>
        <v/>
      </c>
      <c r="BB525" s="4" t="str">
        <f>IFERROR(__xludf.DUMMYFUNCTION("""COMPUTED_VALUE"""),"")</f>
        <v/>
      </c>
      <c r="BC525" s="4" t="str">
        <f>IFERROR(__xludf.DUMMYFUNCTION("""COMPUTED_VALUE"""),"")</f>
        <v/>
      </c>
      <c r="BD525" s="4" t="str">
        <f>IFERROR(__xludf.DUMMYFUNCTION("""COMPUTED_VALUE"""),"")</f>
        <v/>
      </c>
      <c r="BE525" s="4" t="str">
        <f>IFERROR(__xludf.DUMMYFUNCTION("""COMPUTED_VALUE"""),"")</f>
        <v/>
      </c>
      <c r="BF525" s="4" t="str">
        <f>IFERROR(__xludf.DUMMYFUNCTION("""COMPUTED_VALUE"""),"")</f>
        <v/>
      </c>
      <c r="BG525" s="4" t="str">
        <f>IFERROR(__xludf.DUMMYFUNCTION("""COMPUTED_VALUE"""),"")</f>
        <v/>
      </c>
      <c r="BH525" s="4" t="s">
        <v>137</v>
      </c>
      <c r="BI525" s="7">
        <v>0.3333333333333333</v>
      </c>
    </row>
    <row r="526" hidden="1">
      <c r="A526" s="4" t="str">
        <f>IFERROR(__xludf.DUMMYFUNCTION("""COMPUTED_VALUE"""),"Bachir")</f>
        <v>Bachir</v>
      </c>
      <c r="B526" s="4" t="str">
        <f>IFERROR(__xludf.DUMMYFUNCTION("""COMPUTED_VALUE"""),"Ana")</f>
        <v>Ana</v>
      </c>
      <c r="C526" s="4" t="str">
        <f>IFERROR(__xludf.DUMMYFUNCTION("""COMPUTED_VALUE"""),"Ana")</f>
        <v>Ana</v>
      </c>
      <c r="D526" s="4" t="str">
        <f>IFERROR(__xludf.DUMMYFUNCTION("""COMPUTED_VALUE"""),"10. Perdido")</f>
        <v>10. Perdido</v>
      </c>
      <c r="E526" s="4" t="str">
        <f>IFERROR(__xludf.DUMMYFUNCTION("""COMPUTED_VALUE"""),"Perdido - Outro (detalhar ao lado)")</f>
        <v>Perdido - Outro (detalhar ao lado)</v>
      </c>
      <c r="F526" s="4" t="str">
        <f>IFERROR(__xludf.DUMMYFUNCTION("""COMPUTED_VALUE"""),"P")</f>
        <v>P</v>
      </c>
      <c r="G526" s="5">
        <f>IFERROR(__xludf.DUMMYFUNCTION("""COMPUTED_VALUE"""),46104.0)</f>
        <v>46104</v>
      </c>
      <c r="H526" s="4" t="str">
        <f>IFERROR(__xludf.DUMMYFUNCTION("""COMPUTED_VALUE"""),"Aguardar situação jurídica ser resolvida e retomar negociação e iniciar piloto.")</f>
        <v>Aguardar situação jurídica ser resolvida e retomar negociação e iniciar piloto.</v>
      </c>
      <c r="I526" s="4"/>
      <c r="J526" s="4"/>
      <c r="K526" s="6">
        <f>IFERROR(__xludf.DUMMYFUNCTION("""COMPUTED_VALUE"""),45951.0)</f>
        <v>45951</v>
      </c>
      <c r="L526" s="6">
        <f>IFERROR(__xludf.DUMMYFUNCTION("""COMPUTED_VALUE"""),45964.0)</f>
        <v>45964</v>
      </c>
      <c r="M526" s="6">
        <f>IFERROR(__xludf.DUMMYFUNCTION("""COMPUTED_VALUE"""),45971.0)</f>
        <v>45971</v>
      </c>
      <c r="N526" s="6">
        <f>IFERROR(__xludf.DUMMYFUNCTION("""COMPUTED_VALUE"""),45980.0)</f>
        <v>45980</v>
      </c>
      <c r="O526" s="4"/>
      <c r="P526" s="4"/>
      <c r="Q526" s="4"/>
      <c r="R526" s="6">
        <f>IFERROR(__xludf.DUMMYFUNCTION("""COMPUTED_VALUE"""),46104.42688165509)</f>
        <v>46104.42688</v>
      </c>
      <c r="S526" s="4"/>
      <c r="T526" s="4"/>
      <c r="U526" s="4"/>
      <c r="V526" s="4" t="str">
        <f>IFERROR(__xludf.DUMMYFUNCTION("""COMPUTED_VALUE"""),"Trava por projetos internos da marca")</f>
        <v>Trava por projetos internos da marca</v>
      </c>
      <c r="W526" s="4"/>
      <c r="X526" s="4"/>
      <c r="Y526" s="4"/>
      <c r="Z526" s="4"/>
      <c r="AA526" s="4">
        <f>IFERROR(__xludf.DUMMYFUNCTION("""COMPUTED_VALUE"""),8.0)</f>
        <v>8</v>
      </c>
      <c r="AB526" s="4" t="str">
        <f>IFERROR(__xludf.DUMMYFUNCTION("""COMPUTED_VALUE"""),"-")</f>
        <v>-</v>
      </c>
      <c r="AC526" s="4" t="str">
        <f>IFERROR(__xludf.DUMMYFUNCTION("""COMPUTED_VALUE"""),"-")</f>
        <v>-</v>
      </c>
      <c r="AD526" s="4"/>
      <c r="AE526" s="4"/>
      <c r="AF526" s="4"/>
      <c r="AG526" s="4"/>
      <c r="AH526" s="4"/>
      <c r="AI526" s="4"/>
      <c r="AJ526" s="4"/>
      <c r="AK526" s="4"/>
      <c r="AL526" s="4"/>
      <c r="AM526" s="4" t="str">
        <f>IFERROR(__xludf.DUMMYFUNCTION("""COMPUTED_VALUE"""),"FY26")</f>
        <v>FY26</v>
      </c>
      <c r="AN526" s="4"/>
      <c r="AO526" s="4">
        <f>IFERROR(__xludf.DUMMYFUNCTION("""COMPUTED_VALUE"""),110.0)</f>
        <v>110</v>
      </c>
      <c r="AP526" s="4"/>
      <c r="AQ526" s="4"/>
      <c r="AR526" s="4"/>
      <c r="AS526" s="4">
        <f>IFERROR(__xludf.DUMMYFUNCTION("""COMPUTED_VALUE"""),0.0)</f>
        <v>0</v>
      </c>
      <c r="AT526" s="4">
        <f>IFERROR(__xludf.DUMMYFUNCTION("""COMPUTED_VALUE"""),0.0)</f>
        <v>0</v>
      </c>
      <c r="AU526" s="4" t="str">
        <f>IFERROR(__xludf.DUMMYFUNCTION("""COMPUTED_VALUE"""),"Ana")</f>
        <v>Ana</v>
      </c>
      <c r="AV526" s="4">
        <f>IFERROR(__xludf.DUMMYFUNCTION("""COMPUTED_VALUE"""),0.0)</f>
        <v>0</v>
      </c>
      <c r="AW526" s="4">
        <f>IFERROR(__xludf.DUMMYFUNCTION("""COMPUTED_VALUE"""),0.0)</f>
        <v>0</v>
      </c>
      <c r="AX526" s="4">
        <f>IFERROR(__xludf.DUMMYFUNCTION("""COMPUTED_VALUE"""),0.0)</f>
        <v>0</v>
      </c>
      <c r="AY526" s="4"/>
      <c r="AZ526" s="4" t="str">
        <f>IFERROR(__xludf.DUMMYFUNCTION("""COMPUTED_VALUE"""),"Sorvetes")</f>
        <v>Sorvetes</v>
      </c>
      <c r="BA526" s="4" t="str">
        <f>IFERROR(__xludf.DUMMYFUNCTION("""COMPUTED_VALUE"""),"")</f>
        <v/>
      </c>
      <c r="BB526" s="4" t="str">
        <f>IFERROR(__xludf.DUMMYFUNCTION("""COMPUTED_VALUE"""),"")</f>
        <v/>
      </c>
      <c r="BC526" s="4" t="str">
        <f>IFERROR(__xludf.DUMMYFUNCTION("""COMPUTED_VALUE"""),"")</f>
        <v/>
      </c>
      <c r="BD526" s="4" t="str">
        <f>IFERROR(__xludf.DUMMYFUNCTION("""COMPUTED_VALUE"""),"")</f>
        <v/>
      </c>
      <c r="BE526" s="4" t="str">
        <f>IFERROR(__xludf.DUMMYFUNCTION("""COMPUTED_VALUE"""),"")</f>
        <v/>
      </c>
      <c r="BF526" s="4" t="str">
        <f>IFERROR(__xludf.DUMMYFUNCTION("""COMPUTED_VALUE"""),"")</f>
        <v/>
      </c>
      <c r="BG526" s="4" t="str">
        <f>IFERROR(__xludf.DUMMYFUNCTION("""COMPUTED_VALUE"""),"")</f>
        <v/>
      </c>
      <c r="BH526" s="4" t="s">
        <v>63</v>
      </c>
      <c r="BI526" s="7" t="s">
        <v>63</v>
      </c>
    </row>
    <row r="527" hidden="1">
      <c r="A527" s="4" t="str">
        <f>IFERROR(__xludf.DUMMYFUNCTION("""COMPUTED_VALUE"""),"Balada Mix")</f>
        <v>Balada Mix</v>
      </c>
      <c r="B527" s="4" t="str">
        <f>IFERROR(__xludf.DUMMYFUNCTION("""COMPUTED_VALUE"""),"Ana")</f>
        <v>Ana</v>
      </c>
      <c r="C527" s="4" t="str">
        <f>IFERROR(__xludf.DUMMYFUNCTION("""COMPUTED_VALUE"""),"Ana")</f>
        <v>Ana</v>
      </c>
      <c r="D527" s="4" t="str">
        <f>IFERROR(__xludf.DUMMYFUNCTION("""COMPUTED_VALUE"""),"10. Perdido")</f>
        <v>10. Perdido</v>
      </c>
      <c r="E527" s="4" t="str">
        <f>IFERROR(__xludf.DUMMYFUNCTION("""COMPUTED_VALUE"""),"Perdido - Outro (detalhar ao lado)")</f>
        <v>Perdido - Outro (detalhar ao lado)</v>
      </c>
      <c r="F527" s="4" t="str">
        <f>IFERROR(__xludf.DUMMYFUNCTION("""COMPUTED_VALUE"""),"P")</f>
        <v>P</v>
      </c>
      <c r="G527" s="5">
        <f>IFERROR(__xludf.DUMMYFUNCTION("""COMPUTED_VALUE"""),46076.0)</f>
        <v>46076</v>
      </c>
      <c r="H527" s="4" t="str">
        <f>IFERROR(__xludf.DUMMYFUNCTION("""COMPUTED_VALUE"""),"Parceiro sem contato valido, sem presença digital, descarteirizado. não conseguimos avançar com aborgadem.")</f>
        <v>Parceiro sem contato valido, sem presença digital, descarteirizado. não conseguimos avançar com aborgadem.</v>
      </c>
      <c r="I527" s="4"/>
      <c r="J527" s="4"/>
      <c r="K527" s="6">
        <f>IFERROR(__xludf.DUMMYFUNCTION("""COMPUTED_VALUE"""),45911.0)</f>
        <v>45911</v>
      </c>
      <c r="L527" s="4"/>
      <c r="M527" s="4"/>
      <c r="N527" s="4"/>
      <c r="O527" s="4"/>
      <c r="P527" s="4"/>
      <c r="Q527" s="4"/>
      <c r="R527" s="6">
        <f>IFERROR(__xludf.DUMMYFUNCTION("""COMPUTED_VALUE"""),46076.48491347222)</f>
        <v>46076.48491</v>
      </c>
      <c r="S527" s="6">
        <f>IFERROR(__xludf.DUMMYFUNCTION("""COMPUTED_VALUE"""),46057.63709354166)</f>
        <v>46057.63709</v>
      </c>
      <c r="T527" s="4"/>
      <c r="U527" s="4"/>
      <c r="V527" s="4" t="str">
        <f>IFERROR(__xludf.DUMMYFUNCTION("""COMPUTED_VALUE"""),"Outros")</f>
        <v>Outros</v>
      </c>
      <c r="W527" s="4"/>
      <c r="X527" s="4"/>
      <c r="Y527" s="4"/>
      <c r="Z527" s="4"/>
      <c r="AA527" s="4">
        <f>IFERROR(__xludf.DUMMYFUNCTION("""COMPUTED_VALUE"""),16.0)</f>
        <v>16</v>
      </c>
      <c r="AB527" s="4" t="str">
        <f>IFERROR(__xludf.DUMMYFUNCTION("""COMPUTED_VALUE"""),"NÃO")</f>
        <v>NÃO</v>
      </c>
      <c r="AC527" s="4" t="str">
        <f>IFERROR(__xludf.DUMMYFUNCTION("""COMPUTED_VALUE"""),"Não BP")</f>
        <v>Não BP</v>
      </c>
      <c r="AD527" s="4"/>
      <c r="AE527" s="4"/>
      <c r="AF527" s="4"/>
      <c r="AG527" s="4"/>
      <c r="AH527" s="4"/>
      <c r="AI527" s="4"/>
      <c r="AJ527" s="4"/>
      <c r="AK527" s="4"/>
      <c r="AL527" s="4"/>
      <c r="AM527" s="4" t="str">
        <f>IFERROR(__xludf.DUMMYFUNCTION("""COMPUTED_VALUE"""),"FY26")</f>
        <v>FY26</v>
      </c>
      <c r="AN527" s="4"/>
      <c r="AO527" s="4">
        <f>IFERROR(__xludf.DUMMYFUNCTION("""COMPUTED_VALUE"""),140.0)</f>
        <v>140</v>
      </c>
      <c r="AP527" s="4"/>
      <c r="AQ527" s="4"/>
      <c r="AR527" s="4"/>
      <c r="AS527" s="4">
        <f>IFERROR(__xludf.DUMMYFUNCTION("""COMPUTED_VALUE"""),0.0)</f>
        <v>0</v>
      </c>
      <c r="AT527" s="4">
        <f>IFERROR(__xludf.DUMMYFUNCTION("""COMPUTED_VALUE"""),0.0)</f>
        <v>0</v>
      </c>
      <c r="AU527" s="4" t="str">
        <f>IFERROR(__xludf.DUMMYFUNCTION("""COMPUTED_VALUE"""),"Ana")</f>
        <v>Ana</v>
      </c>
      <c r="AV527" s="4">
        <f>IFERROR(__xludf.DUMMYFUNCTION("""COMPUTED_VALUE"""),0.0)</f>
        <v>0</v>
      </c>
      <c r="AW527" s="4">
        <f>IFERROR(__xludf.DUMMYFUNCTION("""COMPUTED_VALUE"""),0.0)</f>
        <v>0</v>
      </c>
      <c r="AX527" s="4">
        <f>IFERROR(__xludf.DUMMYFUNCTION("""COMPUTED_VALUE"""),0.0)</f>
        <v>0</v>
      </c>
      <c r="AY527" s="4"/>
      <c r="AZ527" s="4" t="str">
        <f>IFERROR(__xludf.DUMMYFUNCTION("""COMPUTED_VALUE"""),"#N/A")</f>
        <v>#N/A</v>
      </c>
      <c r="BA527" s="4" t="str">
        <f>IFERROR(__xludf.DUMMYFUNCTION("""COMPUTED_VALUE"""),"")</f>
        <v/>
      </c>
      <c r="BB527" s="4" t="str">
        <f>IFERROR(__xludf.DUMMYFUNCTION("""COMPUTED_VALUE"""),"")</f>
        <v/>
      </c>
      <c r="BC527" s="4" t="str">
        <f>IFERROR(__xludf.DUMMYFUNCTION("""COMPUTED_VALUE"""),"")</f>
        <v/>
      </c>
      <c r="BD527" s="4" t="str">
        <f>IFERROR(__xludf.DUMMYFUNCTION("""COMPUTED_VALUE"""),"")</f>
        <v/>
      </c>
      <c r="BE527" s="4" t="str">
        <f>IFERROR(__xludf.DUMMYFUNCTION("""COMPUTED_VALUE"""),"")</f>
        <v/>
      </c>
      <c r="BF527" s="4" t="str">
        <f>IFERROR(__xludf.DUMMYFUNCTION("""COMPUTED_VALUE"""),"")</f>
        <v/>
      </c>
      <c r="BG527" s="4" t="str">
        <f>IFERROR(__xludf.DUMMYFUNCTION("""COMPUTED_VALUE"""),"")</f>
        <v/>
      </c>
      <c r="BH527" s="4" t="s">
        <v>63</v>
      </c>
      <c r="BI527" s="7" t="s">
        <v>63</v>
      </c>
    </row>
    <row r="528" hidden="1">
      <c r="A528" s="4" t="str">
        <f>IFERROR(__xludf.DUMMYFUNCTION("""COMPUTED_VALUE"""),"Bar Do Adão")</f>
        <v>Bar Do Adão</v>
      </c>
      <c r="B528" s="4" t="str">
        <f>IFERROR(__xludf.DUMMYFUNCTION("""COMPUTED_VALUE"""),"Ana")</f>
        <v>Ana</v>
      </c>
      <c r="C528" s="4" t="str">
        <f>IFERROR(__xludf.DUMMYFUNCTION("""COMPUTED_VALUE"""),"Ana")</f>
        <v>Ana</v>
      </c>
      <c r="D528" s="4" t="str">
        <f>IFERROR(__xludf.DUMMYFUNCTION("""COMPUTED_VALUE"""),"9. Contrato assinado")</f>
        <v>9. Contrato assinado</v>
      </c>
      <c r="E528" s="4" t="str">
        <f>IFERROR(__xludf.DUMMYFUNCTION("""COMPUTED_VALUE""")," Projetos - Contrato assinado &amp; Rollout")</f>
        <v> Projetos - Contrato assinado &amp; Rollout</v>
      </c>
      <c r="F528" s="4" t="str">
        <f>IFERROR(__xludf.DUMMYFUNCTION("""COMPUTED_VALUE"""),"P")</f>
        <v>P</v>
      </c>
      <c r="G528" s="5">
        <f>IFERROR(__xludf.DUMMYFUNCTION("""COMPUTED_VALUE"""),46076.0)</f>
        <v>46076</v>
      </c>
      <c r="H528" s="4" t="str">
        <f>IFERROR(__xludf.DUMMYFUNCTION("""COMPUTED_VALUE"""),"Contrato Assinado, rollout iniciado")</f>
        <v>Contrato Assinado, rollout iniciado</v>
      </c>
      <c r="I528" s="4"/>
      <c r="J528" s="4"/>
      <c r="K528" s="6">
        <f>IFERROR(__xludf.DUMMYFUNCTION("""COMPUTED_VALUE"""),46036.0)</f>
        <v>46036</v>
      </c>
      <c r="L528" s="6">
        <f>IFERROR(__xludf.DUMMYFUNCTION("""COMPUTED_VALUE"""),46038.0)</f>
        <v>46038</v>
      </c>
      <c r="M528" s="6">
        <f>IFERROR(__xludf.DUMMYFUNCTION("""COMPUTED_VALUE"""),46038.0)</f>
        <v>46038</v>
      </c>
      <c r="N528" s="6">
        <f>IFERROR(__xludf.DUMMYFUNCTION("""COMPUTED_VALUE"""),46048.0)</f>
        <v>46048</v>
      </c>
      <c r="O528" s="4"/>
      <c r="P528" s="6">
        <f>IFERROR(__xludf.DUMMYFUNCTION("""COMPUTED_VALUE"""),46051.51887864583)</f>
        <v>46051.51888</v>
      </c>
      <c r="Q528" s="6">
        <f>IFERROR(__xludf.DUMMYFUNCTION("""COMPUTED_VALUE"""),46053.0)</f>
        <v>46053</v>
      </c>
      <c r="R528" s="4"/>
      <c r="S528" s="4"/>
      <c r="T528" s="4"/>
      <c r="U528" s="4"/>
      <c r="V528" s="4"/>
      <c r="W528" s="8">
        <f>IFERROR(__xludf.DUMMYFUNCTION("""COMPUTED_VALUE"""),690.0)</f>
        <v>690</v>
      </c>
      <c r="X528" s="4">
        <f>IFERROR(__xludf.DUMMYFUNCTION("""COMPUTED_VALUE"""),60.0)</f>
        <v>60</v>
      </c>
      <c r="Y528" s="8">
        <f>IFERROR(__xludf.DUMMYFUNCTION("""COMPUTED_VALUE"""),0.0)</f>
        <v>0</v>
      </c>
      <c r="Z528" s="8">
        <f>IFERROR(__xludf.DUMMYFUNCTION("""COMPUTED_VALUE"""),1622.0)</f>
        <v>1622</v>
      </c>
      <c r="AA528" s="4">
        <f>IFERROR(__xludf.DUMMYFUNCTION("""COMPUTED_VALUE"""),18.0)</f>
        <v>18</v>
      </c>
      <c r="AB528" s="4" t="str">
        <f>IFERROR(__xludf.DUMMYFUNCTION("""COMPUTED_VALUE"""),"NÃO")</f>
        <v>NÃO</v>
      </c>
      <c r="AC528" s="4" t="str">
        <f>IFERROR(__xludf.DUMMYFUNCTION("""COMPUTED_VALUE"""),"Não BP")</f>
        <v>Não BP</v>
      </c>
      <c r="AD528" s="4"/>
      <c r="AE528" s="4"/>
      <c r="AF528" s="4"/>
      <c r="AG528" s="4"/>
      <c r="AH528" s="4"/>
      <c r="AI528" s="4"/>
      <c r="AJ528" s="4"/>
      <c r="AK528" s="4"/>
      <c r="AL528" s="4"/>
      <c r="AM528" s="4" t="str">
        <f>IFERROR(__xludf.DUMMYFUNCTION("""COMPUTED_VALUE"""),"FY26")</f>
        <v>FY26</v>
      </c>
      <c r="AN528" s="4"/>
      <c r="AO528" s="4">
        <f>IFERROR(__xludf.DUMMYFUNCTION("""COMPUTED_VALUE"""),140.0)</f>
        <v>140</v>
      </c>
      <c r="AP528" s="4"/>
      <c r="AQ528" s="4"/>
      <c r="AR528" s="4"/>
      <c r="AS528" s="4">
        <f>IFERROR(__xludf.DUMMYFUNCTION("""COMPUTED_VALUE"""),0.0)</f>
        <v>0</v>
      </c>
      <c r="AT528" s="4">
        <f>IFERROR(__xludf.DUMMYFUNCTION("""COMPUTED_VALUE"""),0.0)</f>
        <v>0</v>
      </c>
      <c r="AU528" s="4" t="str">
        <f>IFERROR(__xludf.DUMMYFUNCTION("""COMPUTED_VALUE"""),"Ana")</f>
        <v>Ana</v>
      </c>
      <c r="AV528" s="4">
        <f>IFERROR(__xludf.DUMMYFUNCTION("""COMPUTED_VALUE"""),0.0)</f>
        <v>0</v>
      </c>
      <c r="AW528" s="4">
        <f>IFERROR(__xludf.DUMMYFUNCTION("""COMPUTED_VALUE"""),0.0)</f>
        <v>0</v>
      </c>
      <c r="AX528" s="4">
        <f>IFERROR(__xludf.DUMMYFUNCTION("""COMPUTED_VALUE"""),0.0)</f>
        <v>0</v>
      </c>
      <c r="AY528" s="4">
        <f>IFERROR(__xludf.DUMMYFUNCTION("""COMPUTED_VALUE"""),0.0)</f>
        <v>0</v>
      </c>
      <c r="AZ528" s="4" t="str">
        <f>IFERROR(__xludf.DUMMYFUNCTION("""COMPUTED_VALUE"""),"#N/A")</f>
        <v>#N/A</v>
      </c>
      <c r="BA528" s="4" t="str">
        <f>IFERROR(__xludf.DUMMYFUNCTION("""COMPUTED_VALUE"""),"")</f>
        <v/>
      </c>
      <c r="BB528" s="4" t="str">
        <f>IFERROR(__xludf.DUMMYFUNCTION("""COMPUTED_VALUE"""),"")</f>
        <v/>
      </c>
      <c r="BC528" s="4" t="str">
        <f>IFERROR(__xludf.DUMMYFUNCTION("""COMPUTED_VALUE"""),"")</f>
        <v/>
      </c>
      <c r="BD528" s="4" t="str">
        <f>IFERROR(__xludf.DUMMYFUNCTION("""COMPUTED_VALUE"""),"")</f>
        <v/>
      </c>
      <c r="BE528" s="4" t="str">
        <f>IFERROR(__xludf.DUMMYFUNCTION("""COMPUTED_VALUE"""),"")</f>
        <v/>
      </c>
      <c r="BF528" s="4" t="str">
        <f>IFERROR(__xludf.DUMMYFUNCTION("""COMPUTED_VALUE"""),"")</f>
        <v/>
      </c>
      <c r="BG528" s="4" t="str">
        <f>IFERROR(__xludf.DUMMYFUNCTION("""COMPUTED_VALUE"""),"")</f>
        <v/>
      </c>
      <c r="BH528" s="4" t="s">
        <v>63</v>
      </c>
      <c r="BI528" s="7" t="s">
        <v>63</v>
      </c>
    </row>
    <row r="529" hidden="1">
      <c r="A529" s="4" t="str">
        <f>IFERROR(__xludf.DUMMYFUNCTION("""COMPUTED_VALUE"""),"Bar Do Alemão")</f>
        <v>Bar Do Alemão</v>
      </c>
      <c r="B529" s="4" t="str">
        <f>IFERROR(__xludf.DUMMYFUNCTION("""COMPUTED_VALUE"""),"Michel")</f>
        <v>Michel</v>
      </c>
      <c r="C529" s="4" t="str">
        <f>IFERROR(__xludf.DUMMYFUNCTION("""COMPUTED_VALUE"""),"Michel")</f>
        <v>Michel</v>
      </c>
      <c r="D529" s="4" t="str">
        <f>IFERROR(__xludf.DUMMYFUNCTION("""COMPUTED_VALUE"""),"9. Contrato assinado")</f>
        <v>9. Contrato assinado</v>
      </c>
      <c r="E529" s="4"/>
      <c r="F529" s="4" t="str">
        <f>IFERROR(__xludf.DUMMYFUNCTION("""COMPUTED_VALUE"""),"P")</f>
        <v>P</v>
      </c>
      <c r="G529" s="4"/>
      <c r="H529" s="4"/>
      <c r="I529" s="4"/>
      <c r="J529" s="4"/>
      <c r="K529" s="6">
        <f>IFERROR(__xludf.DUMMYFUNCTION("""COMPUTED_VALUE"""),45809.0)</f>
        <v>45809</v>
      </c>
      <c r="L529" s="4"/>
      <c r="M529" s="4"/>
      <c r="N529" s="6">
        <f>IFERROR(__xludf.DUMMYFUNCTION("""COMPUTED_VALUE"""),45899.0)</f>
        <v>45899</v>
      </c>
      <c r="O529" s="4"/>
      <c r="P529" s="4"/>
      <c r="Q529" s="6">
        <f>IFERROR(__xludf.DUMMYFUNCTION("""COMPUTED_VALUE"""),45899.0)</f>
        <v>45899</v>
      </c>
      <c r="R529" s="4"/>
      <c r="S529" s="4"/>
      <c r="T529" s="6">
        <f>IFERROR(__xludf.DUMMYFUNCTION("""COMPUTED_VALUE"""),46076.63074658565)</f>
        <v>46076.63075</v>
      </c>
      <c r="U529" s="4"/>
      <c r="V529" s="4"/>
      <c r="W529" s="4"/>
      <c r="X529" s="4"/>
      <c r="Y529" s="4"/>
      <c r="Z529" s="4"/>
      <c r="AA529" s="4">
        <f>IFERROR(__xludf.DUMMYFUNCTION("""COMPUTED_VALUE"""),20.0)</f>
        <v>20</v>
      </c>
      <c r="AB529" s="4"/>
      <c r="AC529" s="4"/>
      <c r="AD529" s="4"/>
      <c r="AE529" s="4"/>
      <c r="AF529" s="4"/>
      <c r="AG529" s="4"/>
      <c r="AH529" s="4"/>
      <c r="AI529" s="4"/>
      <c r="AJ529" s="4"/>
      <c r="AK529" s="4"/>
      <c r="AL529" s="4"/>
      <c r="AM529" s="4" t="str">
        <f>IFERROR(__xludf.DUMMYFUNCTION("""COMPUTED_VALUE"""),"FY26")</f>
        <v>FY26</v>
      </c>
      <c r="AN529" s="4"/>
      <c r="AO529" s="4">
        <f>IFERROR(__xludf.DUMMYFUNCTION("""COMPUTED_VALUE"""),45553.0)</f>
        <v>45553</v>
      </c>
      <c r="AP529" s="4"/>
      <c r="AQ529" s="4"/>
      <c r="AR529" s="4"/>
      <c r="AS529" s="4">
        <f>IFERROR(__xludf.DUMMYFUNCTION("""COMPUTED_VALUE"""),0.0)</f>
        <v>0</v>
      </c>
      <c r="AT529" s="4">
        <f>IFERROR(__xludf.DUMMYFUNCTION("""COMPUTED_VALUE"""),0.0)</f>
        <v>0</v>
      </c>
      <c r="AU529" s="4" t="str">
        <f>IFERROR(__xludf.DUMMYFUNCTION("""COMPUTED_VALUE"""),"Michel")</f>
        <v>Michel</v>
      </c>
      <c r="AV529" s="4">
        <f>IFERROR(__xludf.DUMMYFUNCTION("""COMPUTED_VALUE"""),0.0)</f>
        <v>0</v>
      </c>
      <c r="AW529" s="4">
        <f>IFERROR(__xludf.DUMMYFUNCTION("""COMPUTED_VALUE"""),0.0)</f>
        <v>0</v>
      </c>
      <c r="AX529" s="4">
        <f>IFERROR(__xludf.DUMMYFUNCTION("""COMPUTED_VALUE"""),0.0)</f>
        <v>0</v>
      </c>
      <c r="AY529" s="4">
        <f>IFERROR(__xludf.DUMMYFUNCTION("""COMPUTED_VALUE"""),0.0)</f>
        <v>0</v>
      </c>
      <c r="AZ529" s="4" t="str">
        <f>IFERROR(__xludf.DUMMYFUNCTION("""COMPUTED_VALUE"""),"#N/A")</f>
        <v>#N/A</v>
      </c>
      <c r="BA529" s="4" t="str">
        <f>IFERROR(__xludf.DUMMYFUNCTION("""COMPUTED_VALUE"""),"")</f>
        <v/>
      </c>
      <c r="BB529" s="4" t="str">
        <f>IFERROR(__xludf.DUMMYFUNCTION("""COMPUTED_VALUE"""),"")</f>
        <v/>
      </c>
      <c r="BC529" s="4" t="str">
        <f>IFERROR(__xludf.DUMMYFUNCTION("""COMPUTED_VALUE"""),"")</f>
        <v/>
      </c>
      <c r="BD529" s="4" t="str">
        <f>IFERROR(__xludf.DUMMYFUNCTION("""COMPUTED_VALUE"""),"")</f>
        <v/>
      </c>
      <c r="BE529" s="4" t="str">
        <f>IFERROR(__xludf.DUMMYFUNCTION("""COMPUTED_VALUE"""),"")</f>
        <v/>
      </c>
      <c r="BF529" s="4" t="str">
        <f>IFERROR(__xludf.DUMMYFUNCTION("""COMPUTED_VALUE"""),"")</f>
        <v/>
      </c>
      <c r="BG529" s="4" t="str">
        <f>IFERROR(__xludf.DUMMYFUNCTION("""COMPUTED_VALUE"""),"")</f>
        <v/>
      </c>
      <c r="BH529" s="4" t="s">
        <v>63</v>
      </c>
      <c r="BI529" s="7" t="s">
        <v>63</v>
      </c>
    </row>
    <row r="530" hidden="1">
      <c r="A530" s="4" t="str">
        <f>IFERROR(__xludf.DUMMYFUNCTION("""COMPUTED_VALUE"""),"Barbacoa")</f>
        <v>Barbacoa</v>
      </c>
      <c r="B530" s="4" t="str">
        <f>IFERROR(__xludf.DUMMYFUNCTION("""COMPUTED_VALUE"""),"Ana")</f>
        <v>Ana</v>
      </c>
      <c r="C530" s="4" t="str">
        <f>IFERROR(__xludf.DUMMYFUNCTION("""COMPUTED_VALUE"""),"Ana")</f>
        <v>Ana</v>
      </c>
      <c r="D530" s="4" t="str">
        <f>IFERROR(__xludf.DUMMYFUNCTION("""COMPUTED_VALUE"""),"10. Perdido")</f>
        <v>10. Perdido</v>
      </c>
      <c r="E530" s="4" t="str">
        <f>IFERROR(__xludf.DUMMYFUNCTION("""COMPUTED_VALUE"""),"Perdido -  Momento do restaurante não favorável")</f>
        <v>Perdido -  Momento do restaurante não favorável</v>
      </c>
      <c r="F530" s="4" t="str">
        <f>IFERROR(__xludf.DUMMYFUNCTION("""COMPUTED_VALUE"""),"P")</f>
        <v>P</v>
      </c>
      <c r="G530" s="5">
        <f>IFERROR(__xludf.DUMMYFUNCTION("""COMPUTED_VALUE"""),46076.0)</f>
        <v>46076</v>
      </c>
      <c r="H530" s="4" t="str">
        <f>IFERROR(__xludf.DUMMYFUNCTION("""COMPUTED_VALUE"""),"Parceiro mudou de sistema ano passado. Não estão abertos para falar conosco. Houve mais de uma tentativa para abordar salão com o Barbacoa nos últimos 6 meses e o parceiro continuou sem interesse em nos receber.")</f>
        <v>Parceiro mudou de sistema ano passado. Não estão abertos para falar conosco. Houve mais de uma tentativa para abordar salão com o Barbacoa nos últimos 6 meses e o parceiro continuou sem interesse em nos receber.</v>
      </c>
      <c r="I530" s="4"/>
      <c r="J530" s="4"/>
      <c r="K530" s="4"/>
      <c r="L530" s="4"/>
      <c r="M530" s="4"/>
      <c r="N530" s="4"/>
      <c r="O530" s="4"/>
      <c r="P530" s="4"/>
      <c r="Q530" s="4"/>
      <c r="R530" s="6">
        <f>IFERROR(__xludf.DUMMYFUNCTION("""COMPUTED_VALUE"""),46072.68065703704)</f>
        <v>46072.68066</v>
      </c>
      <c r="S530" s="6">
        <f>IFERROR(__xludf.DUMMYFUNCTION("""COMPUTED_VALUE"""),46057.63673261574)</f>
        <v>46057.63673</v>
      </c>
      <c r="T530" s="4"/>
      <c r="U530" s="4"/>
      <c r="V530" s="4" t="str">
        <f>IFERROR(__xludf.DUMMYFUNCTION("""COMPUTED_VALUE"""),"Sem interesse em mudar de PDV")</f>
        <v>Sem interesse em mudar de PDV</v>
      </c>
      <c r="W530" s="4"/>
      <c r="X530" s="4"/>
      <c r="Y530" s="4"/>
      <c r="Z530" s="4"/>
      <c r="AA530" s="4">
        <f>IFERROR(__xludf.DUMMYFUNCTION("""COMPUTED_VALUE"""),6.0)</f>
        <v>6</v>
      </c>
      <c r="AB530" s="4" t="str">
        <f>IFERROR(__xludf.DUMMYFUNCTION("""COMPUTED_VALUE"""),"NÃO")</f>
        <v>NÃO</v>
      </c>
      <c r="AC530" s="4" t="str">
        <f>IFERROR(__xludf.DUMMYFUNCTION("""COMPUTED_VALUE"""),"BP")</f>
        <v>BP</v>
      </c>
      <c r="AD530" s="4"/>
      <c r="AE530" s="4"/>
      <c r="AF530" s="4"/>
      <c r="AG530" s="4"/>
      <c r="AH530" s="4"/>
      <c r="AI530" s="4"/>
      <c r="AJ530" s="4"/>
      <c r="AK530" s="4"/>
      <c r="AL530" s="4"/>
      <c r="AM530" s="4" t="str">
        <f>IFERROR(__xludf.DUMMYFUNCTION("""COMPUTED_VALUE"""),"FY26")</f>
        <v>FY26</v>
      </c>
      <c r="AN530" s="4" t="str">
        <f>IFERROR(__xludf.DUMMYFUNCTION("""COMPUTED_VALUE"""),"Comer Fora")</f>
        <v>Comer Fora</v>
      </c>
      <c r="AO530" s="4">
        <f>IFERROR(__xludf.DUMMYFUNCTION("""COMPUTED_VALUE"""),140.0)</f>
        <v>140</v>
      </c>
      <c r="AP530" s="4"/>
      <c r="AQ530" s="4"/>
      <c r="AR530" s="4"/>
      <c r="AS530" s="4" t="str">
        <f>IFERROR(__xludf.DUMMYFUNCTION("""COMPUTED_VALUE"""),"NATHALIE MERTENS")</f>
        <v>NATHALIE MERTENS</v>
      </c>
      <c r="AT530" s="4" t="str">
        <f>IFERROR(__xludf.DUMMYFUNCTION("""COMPUTED_VALUE"""),"MARIANA KATZ")</f>
        <v>MARIANA KATZ</v>
      </c>
      <c r="AU530" s="4" t="str">
        <f>IFERROR(__xludf.DUMMYFUNCTION("""COMPUTED_VALUE"""),"Ana")</f>
        <v>Ana</v>
      </c>
      <c r="AV530" s="4">
        <f>IFERROR(__xludf.DUMMYFUNCTION("""COMPUTED_VALUE"""),0.0)</f>
        <v>0</v>
      </c>
      <c r="AW530" s="4">
        <f>IFERROR(__xludf.DUMMYFUNCTION("""COMPUTED_VALUE"""),0.0)</f>
        <v>0</v>
      </c>
      <c r="AX530" s="4">
        <f>IFERROR(__xludf.DUMMYFUNCTION("""COMPUTED_VALUE"""),0.0)</f>
        <v>0</v>
      </c>
      <c r="AY530" s="4"/>
      <c r="AZ530" s="4" t="str">
        <f>IFERROR(__xludf.DUMMYFUNCTION("""COMPUTED_VALUE"""),"Italiana")</f>
        <v>Italiana</v>
      </c>
      <c r="BA530" s="4" t="str">
        <f>IFERROR(__xludf.DUMMYFUNCTION("""COMPUTED_VALUE"""),"")</f>
        <v/>
      </c>
      <c r="BB530" s="4" t="str">
        <f>IFERROR(__xludf.DUMMYFUNCTION("""COMPUTED_VALUE"""),"")</f>
        <v/>
      </c>
      <c r="BC530" s="4" t="str">
        <f>IFERROR(__xludf.DUMMYFUNCTION("""COMPUTED_VALUE"""),"")</f>
        <v/>
      </c>
      <c r="BD530" s="4" t="str">
        <f>IFERROR(__xludf.DUMMYFUNCTION("""COMPUTED_VALUE"""),"")</f>
        <v/>
      </c>
      <c r="BE530" s="4" t="str">
        <f>IFERROR(__xludf.DUMMYFUNCTION("""COMPUTED_VALUE"""),"")</f>
        <v/>
      </c>
      <c r="BF530" s="4" t="str">
        <f>IFERROR(__xludf.DUMMYFUNCTION("""COMPUTED_VALUE"""),"")</f>
        <v/>
      </c>
      <c r="BG530" s="4" t="str">
        <f>IFERROR(__xludf.DUMMYFUNCTION("""COMPUTED_VALUE"""),"")</f>
        <v/>
      </c>
      <c r="BH530" s="4" t="s">
        <v>84</v>
      </c>
      <c r="BI530" s="7">
        <v>0.9166666666666666</v>
      </c>
    </row>
    <row r="531" hidden="1">
      <c r="A531" s="4" t="str">
        <f>IFERROR(__xludf.DUMMYFUNCTION("""COMPUTED_VALUE"""),"Barbaresco")</f>
        <v>Barbaresco</v>
      </c>
      <c r="B531" s="4" t="str">
        <f>IFERROR(__xludf.DUMMYFUNCTION("""COMPUTED_VALUE"""),"Diego Santos")</f>
        <v>Diego Santos</v>
      </c>
      <c r="C531" s="4" t="str">
        <f>IFERROR(__xludf.DUMMYFUNCTION("""COMPUTED_VALUE"""),"Diego Santos")</f>
        <v>Diego Santos</v>
      </c>
      <c r="D531" s="4" t="str">
        <f>IFERROR(__xludf.DUMMYFUNCTION("""COMPUTED_VALUE"""),"10. Perdido")</f>
        <v>10. Perdido</v>
      </c>
      <c r="E531" s="4" t="str">
        <f>IFERROR(__xludf.DUMMYFUNCTION("""COMPUTED_VALUE"""),"Perdido - Sem perfil LA / 3SCheckout / PDV próprio")</f>
        <v>Perdido - Sem perfil LA / 3SCheckout / PDV próprio</v>
      </c>
      <c r="F531" s="4" t="str">
        <f>IFERROR(__xludf.DUMMYFUNCTION("""COMPUTED_VALUE"""),"P")</f>
        <v>P</v>
      </c>
      <c r="G531" s="5">
        <f>IFERROR(__xludf.DUMMYFUNCTION("""COMPUTED_VALUE"""),46076.0)</f>
        <v>46076</v>
      </c>
      <c r="H531" s="4" t="str">
        <f>IFERROR(__xludf.DUMMYFUNCTION("""COMPUTED_VALUE"""),"Sem perfil LA.")</f>
        <v>Sem perfil LA.</v>
      </c>
      <c r="I531" s="4"/>
      <c r="J531" s="4"/>
      <c r="K531" s="4"/>
      <c r="L531" s="4"/>
      <c r="M531" s="4"/>
      <c r="N531" s="4"/>
      <c r="O531" s="4"/>
      <c r="P531" s="4"/>
      <c r="Q531" s="4"/>
      <c r="R531" s="4"/>
      <c r="S531" s="4"/>
      <c r="T531" s="4"/>
      <c r="U531" s="4"/>
      <c r="V531" s="4" t="str">
        <f>IFERROR(__xludf.DUMMYFUNCTION("""COMPUTED_VALUE"""),"Sem perfil LA")</f>
        <v>Sem perfil LA</v>
      </c>
      <c r="W531" s="4"/>
      <c r="X531" s="4"/>
      <c r="Y531" s="4"/>
      <c r="Z531" s="4"/>
      <c r="AA531" s="4">
        <f>IFERROR(__xludf.DUMMYFUNCTION("""COMPUTED_VALUE"""),1.0)</f>
        <v>1</v>
      </c>
      <c r="AB531" s="4" t="str">
        <f>IFERROR(__xludf.DUMMYFUNCTION("""COMPUTED_VALUE"""),"NÃO")</f>
        <v>NÃO</v>
      </c>
      <c r="AC531" s="4" t="str">
        <f>IFERROR(__xludf.DUMMYFUNCTION("""COMPUTED_VALUE"""),"BP")</f>
        <v>BP</v>
      </c>
      <c r="AD531" s="4"/>
      <c r="AE531" s="4"/>
      <c r="AF531" s="4"/>
      <c r="AG531" s="4"/>
      <c r="AH531" s="4"/>
      <c r="AI531" s="4"/>
      <c r="AJ531" s="4"/>
      <c r="AK531" s="4"/>
      <c r="AL531" s="4"/>
      <c r="AM531" s="4" t="str">
        <f>IFERROR(__xludf.DUMMYFUNCTION("""COMPUTED_VALUE"""),"FY26")</f>
        <v>FY26</v>
      </c>
      <c r="AN531" s="4"/>
      <c r="AO531" s="4">
        <f>IFERROR(__xludf.DUMMYFUNCTION("""COMPUTED_VALUE"""),140.0)</f>
        <v>140</v>
      </c>
      <c r="AP531" s="4"/>
      <c r="AQ531" s="4"/>
      <c r="AR531" s="4"/>
      <c r="AS531" s="4" t="str">
        <f>IFERROR(__xludf.DUMMYFUNCTION("""COMPUTED_VALUE"""),"ALAN HADDAD")</f>
        <v>ALAN HADDAD</v>
      </c>
      <c r="AT531" s="4" t="str">
        <f>IFERROR(__xludf.DUMMYFUNCTION("""COMPUTED_VALUE"""),"GABRIEL PERES")</f>
        <v>GABRIEL PERES</v>
      </c>
      <c r="AU531" s="4" t="str">
        <f>IFERROR(__xludf.DUMMYFUNCTION("""COMPUTED_VALUE"""),"Diego")</f>
        <v>Diego</v>
      </c>
      <c r="AV531" s="4">
        <f>IFERROR(__xludf.DUMMYFUNCTION("""COMPUTED_VALUE"""),0.0)</f>
        <v>0</v>
      </c>
      <c r="AW531" s="4">
        <f>IFERROR(__xludf.DUMMYFUNCTION("""COMPUTED_VALUE"""),0.0)</f>
        <v>0</v>
      </c>
      <c r="AX531" s="4">
        <f>IFERROR(__xludf.DUMMYFUNCTION("""COMPUTED_VALUE"""),0.0)</f>
        <v>0</v>
      </c>
      <c r="AY531" s="4"/>
      <c r="AZ531" s="4" t="str">
        <f>IFERROR(__xludf.DUMMYFUNCTION("""COMPUTED_VALUE"""),"Italiana")</f>
        <v>Italiana</v>
      </c>
      <c r="BA531" s="4" t="str">
        <f>IFERROR(__xludf.DUMMYFUNCTION("""COMPUTED_VALUE"""),"")</f>
        <v/>
      </c>
      <c r="BB531" s="4" t="str">
        <f>IFERROR(__xludf.DUMMYFUNCTION("""COMPUTED_VALUE"""),"")</f>
        <v/>
      </c>
      <c r="BC531" s="4" t="str">
        <f>IFERROR(__xludf.DUMMYFUNCTION("""COMPUTED_VALUE"""),"")</f>
        <v/>
      </c>
      <c r="BD531" s="4" t="str">
        <f>IFERROR(__xludf.DUMMYFUNCTION("""COMPUTED_VALUE"""),"")</f>
        <v/>
      </c>
      <c r="BE531" s="4" t="str">
        <f>IFERROR(__xludf.DUMMYFUNCTION("""COMPUTED_VALUE"""),"")</f>
        <v/>
      </c>
      <c r="BF531" s="4" t="str">
        <f>IFERROR(__xludf.DUMMYFUNCTION("""COMPUTED_VALUE"""),"")</f>
        <v/>
      </c>
      <c r="BG531" s="4" t="str">
        <f>IFERROR(__xludf.DUMMYFUNCTION("""COMPUTED_VALUE"""),"")</f>
        <v/>
      </c>
      <c r="BH531" s="4" t="s">
        <v>74</v>
      </c>
      <c r="BI531" s="7">
        <v>0.7058823529411765</v>
      </c>
    </row>
    <row r="532" hidden="1">
      <c r="A532" s="4" t="str">
        <f>IFERROR(__xludf.DUMMYFUNCTION("""COMPUTED_VALUE"""),"Batata Inglesa")</f>
        <v>Batata Inglesa</v>
      </c>
      <c r="B532" s="4" t="str">
        <f>IFERROR(__xludf.DUMMYFUNCTION("""COMPUTED_VALUE"""),"Michel")</f>
        <v>Michel</v>
      </c>
      <c r="C532" s="4" t="str">
        <f>IFERROR(__xludf.DUMMYFUNCTION("""COMPUTED_VALUE"""),"Michel")</f>
        <v>Michel</v>
      </c>
      <c r="D532" s="4" t="str">
        <f>IFERROR(__xludf.DUMMYFUNCTION("""COMPUTED_VALUE"""),"12. Orgânico")</f>
        <v>12. Orgânico</v>
      </c>
      <c r="E532" s="4"/>
      <c r="F532" s="4" t="str">
        <f>IFERROR(__xludf.DUMMYFUNCTION("""COMPUTED_VALUE"""),"P")</f>
        <v>P</v>
      </c>
      <c r="G532" s="4"/>
      <c r="H532" s="4"/>
      <c r="I532" s="4"/>
      <c r="J532" s="4"/>
      <c r="K532" s="4"/>
      <c r="L532" s="4"/>
      <c r="M532" s="4"/>
      <c r="N532" s="4"/>
      <c r="O532" s="4"/>
      <c r="P532" s="4"/>
      <c r="Q532" s="4"/>
      <c r="R532" s="4"/>
      <c r="S532" s="4"/>
      <c r="T532" s="4"/>
      <c r="U532" s="4"/>
      <c r="V532" s="4"/>
      <c r="W532" s="4"/>
      <c r="X532" s="4"/>
      <c r="Y532" s="4"/>
      <c r="Z532" s="4"/>
      <c r="AA532" s="4">
        <f>IFERROR(__xludf.DUMMYFUNCTION("""COMPUTED_VALUE"""),1.0)</f>
        <v>1</v>
      </c>
      <c r="AB532" s="4"/>
      <c r="AC532" s="4"/>
      <c r="AD532" s="4"/>
      <c r="AE532" s="4"/>
      <c r="AF532" s="4"/>
      <c r="AG532" s="4"/>
      <c r="AH532" s="4"/>
      <c r="AI532" s="4"/>
      <c r="AJ532" s="4"/>
      <c r="AK532" s="4"/>
      <c r="AL532" s="4"/>
      <c r="AM532" s="4" t="str">
        <f>IFERROR(__xludf.DUMMYFUNCTION("""COMPUTED_VALUE"""),"Orgânico 3S")</f>
        <v>Orgânico 3S</v>
      </c>
      <c r="AN532" s="4"/>
      <c r="AO532" s="4">
        <f>IFERROR(__xludf.DUMMYFUNCTION("""COMPUTED_VALUE"""),45553.0)</f>
        <v>45553</v>
      </c>
      <c r="AP532" s="4"/>
      <c r="AQ532" s="4"/>
      <c r="AR532" s="4"/>
      <c r="AS532" s="4" t="str">
        <f>IFERROR(__xludf.DUMMYFUNCTION("""COMPUTED_VALUE"""),"ISIS MOSTAFA")</f>
        <v>ISIS MOSTAFA</v>
      </c>
      <c r="AT532" s="4" t="str">
        <f>IFERROR(__xludf.DUMMYFUNCTION("""COMPUTED_VALUE"""),"JOAO GRIMALDI")</f>
        <v>JOAO GRIMALDI</v>
      </c>
      <c r="AU532" s="4" t="str">
        <f>IFERROR(__xludf.DUMMYFUNCTION("""COMPUTED_VALUE"""),"Michel")</f>
        <v>Michel</v>
      </c>
      <c r="AV532" s="4" t="str">
        <f>IFERROR(__xludf.DUMMYFUNCTION("""COMPUTED_VALUE"""),"Comer Fora-")</f>
        <v>Comer Fora-</v>
      </c>
      <c r="AW532" s="20" t="str">
        <f>IFERROR(__xludf.DUMMYFUNCTION("""COMPUTED_VALUE"""),"P - 5 a 9 lojas")</f>
        <v>P - 5 a 9 lojas</v>
      </c>
      <c r="AX532" s="4"/>
      <c r="AY532" s="4"/>
      <c r="AZ532" s="4" t="str">
        <f>IFERROR(__xludf.DUMMYFUNCTION("""COMPUTED_VALUE"""),"Brasileira")</f>
        <v>Brasileira</v>
      </c>
      <c r="BA532" s="4" t="str">
        <f>IFERROR(__xludf.DUMMYFUNCTION("""COMPUTED_VALUE"""),"R$ 30-50")</f>
        <v>R$ 30-50</v>
      </c>
      <c r="BB532" s="4" t="str">
        <f>IFERROR(__xludf.DUMMYFUNCTION("""COMPUTED_VALUE"""),"QSR - Fast Food (Shopping)")</f>
        <v>QSR - Fast Food (Shopping)</v>
      </c>
      <c r="BC532" s="4" t="str">
        <f>IFERROR(__xludf.DUMMYFUNCTION("""COMPUTED_VALUE"""),"Rio de Janeiro (44+ unidades - IMC)")</f>
        <v>Rio de Janeiro (44+ unidades - IMC)</v>
      </c>
      <c r="BD532" s="4" t="str">
        <f>IFERROR(__xludf.DUMMYFUNCTION("""COMPUTED_VALUE"""),"Necessário Discovery (IMC)")</f>
        <v>Necessário Discovery (IMC)</v>
      </c>
      <c r="BE532" s="4">
        <f>IFERROR(__xludf.DUMMYFUNCTION("""COMPUTED_VALUE"""),52.0)</f>
        <v>52</v>
      </c>
      <c r="BF532" s="4">
        <f>IFERROR(__xludf.DUMMYFUNCTION("""COMPUTED_VALUE"""),0.55)</f>
        <v>0.55</v>
      </c>
      <c r="BG532" s="4" t="str">
        <f>IFERROR(__xludf.DUMMYFUNCTION("""COMPUTED_VALUE"""),"PDV não identificado (IMC opera marca). 44+ lojas RJ (shoppings). Fast food. 3S: padronização IMC, integração delivery, gestão multi-lojas")</f>
        <v>PDV não identificado (IMC opera marca). 44+ lojas RJ (shoppings). Fast food. 3S: padronização IMC, integração delivery, gestão multi-lojas</v>
      </c>
      <c r="BH532" s="4" t="s">
        <v>63</v>
      </c>
      <c r="BI532" s="7" t="s">
        <v>63</v>
      </c>
    </row>
    <row r="533" hidden="1">
      <c r="A533" s="4" t="str">
        <f>IFERROR(__xludf.DUMMYFUNCTION("""COMPUTED_VALUE"""),"Bdc (Bar Do Cuscuz)")</f>
        <v>Bdc (Bar Do Cuscuz)</v>
      </c>
      <c r="B533" s="4" t="str">
        <f>IFERROR(__xludf.DUMMYFUNCTION("""COMPUTED_VALUE"""),"Diego Santos")</f>
        <v>Diego Santos</v>
      </c>
      <c r="C533" s="4" t="str">
        <f>IFERROR(__xludf.DUMMYFUNCTION("""COMPUTED_VALUE"""),"Diego Santos")</f>
        <v>Diego Santos</v>
      </c>
      <c r="D533" s="4" t="str">
        <f>IFERROR(__xludf.DUMMYFUNCTION("""COMPUTED_VALUE"""),"13. Reativado")</f>
        <v>13. Reativado</v>
      </c>
      <c r="E533" s="4" t="str">
        <f>IFERROR(__xludf.DUMMYFUNCTION("""COMPUTED_VALUE"""),"Perdido - Falta de aderência técnica")</f>
        <v>Perdido - Falta de aderência técnica</v>
      </c>
      <c r="F533" s="4" t="str">
        <f>IFERROR(__xludf.DUMMYFUNCTION("""COMPUTED_VALUE"""),"P")</f>
        <v>P</v>
      </c>
      <c r="G533" s="5">
        <f>IFERROR(__xludf.DUMMYFUNCTION("""COMPUTED_VALUE"""),46093.0)</f>
        <v>46093</v>
      </c>
      <c r="H533" s="4" t="str">
        <f>IFERROR(__xludf.DUMMYFUNCTION("""COMPUTED_VALUE"""),"Não atendemos a muitas necessidades técnicas do cliente")</f>
        <v>Não atendemos a muitas necessidades técnicas do cliente</v>
      </c>
      <c r="I533" s="4"/>
      <c r="J533" s="4"/>
      <c r="K533" s="6">
        <f>IFERROR(__xludf.DUMMYFUNCTION("""COMPUTED_VALUE"""),46021.0)</f>
        <v>46021</v>
      </c>
      <c r="L533" s="4"/>
      <c r="M533" s="6">
        <f>IFERROR(__xludf.DUMMYFUNCTION("""COMPUTED_VALUE"""),46051.40551815972)</f>
        <v>46051.40552</v>
      </c>
      <c r="N533" s="6">
        <f>IFERROR(__xludf.DUMMYFUNCTION("""COMPUTED_VALUE"""),46062.40199791666)</f>
        <v>46062.402</v>
      </c>
      <c r="O533" s="4"/>
      <c r="P533" s="4"/>
      <c r="Q533" s="4"/>
      <c r="R533" s="6">
        <f>IFERROR(__xludf.DUMMYFUNCTION("""COMPUTED_VALUE"""),46097.482961354166)</f>
        <v>46097.48296</v>
      </c>
      <c r="S533" s="4"/>
      <c r="T533" s="4"/>
      <c r="U533" s="6">
        <f>IFERROR(__xludf.DUMMYFUNCTION("""COMPUTED_VALUE"""),46155.408809988425)</f>
        <v>46155.40881</v>
      </c>
      <c r="V533" s="4" t="str">
        <f>IFERROR(__xludf.DUMMYFUNCTION("""COMPUTED_VALUE"""),"Desenvolvimento Solução")</f>
        <v>Desenvolvimento Solução</v>
      </c>
      <c r="W533" s="4"/>
      <c r="X533" s="4"/>
      <c r="Y533" s="4"/>
      <c r="Z533" s="4"/>
      <c r="AA533" s="4">
        <f>IFERROR(__xludf.DUMMYFUNCTION("""COMPUTED_VALUE"""),3.0)</f>
        <v>3</v>
      </c>
      <c r="AB533" s="4" t="str">
        <f>IFERROR(__xludf.DUMMYFUNCTION("""COMPUTED_VALUE"""),"NÃO")</f>
        <v>NÃO</v>
      </c>
      <c r="AC533" s="4" t="str">
        <f>IFERROR(__xludf.DUMMYFUNCTION("""COMPUTED_VALUE"""),"BP")</f>
        <v>BP</v>
      </c>
      <c r="AD533" s="4"/>
      <c r="AE533" s="4"/>
      <c r="AF533" s="4"/>
      <c r="AG533" s="4"/>
      <c r="AH533" s="4"/>
      <c r="AI533" s="4"/>
      <c r="AJ533" s="4"/>
      <c r="AK533" s="4"/>
      <c r="AL533" s="4"/>
      <c r="AM533" s="4" t="str">
        <f>IFERROR(__xludf.DUMMYFUNCTION("""COMPUTED_VALUE"""),"FY26")</f>
        <v>FY26</v>
      </c>
      <c r="AN533" s="4"/>
      <c r="AO533" s="4">
        <f>IFERROR(__xludf.DUMMYFUNCTION("""COMPUTED_VALUE"""),121.0)</f>
        <v>121</v>
      </c>
      <c r="AP533" s="4"/>
      <c r="AQ533" s="4"/>
      <c r="AR533" s="4"/>
      <c r="AS533" s="4">
        <f>IFERROR(__xludf.DUMMYFUNCTION("""COMPUTED_VALUE"""),0.0)</f>
        <v>0</v>
      </c>
      <c r="AT533" s="4">
        <f>IFERROR(__xludf.DUMMYFUNCTION("""COMPUTED_VALUE"""),0.0)</f>
        <v>0</v>
      </c>
      <c r="AU533" s="4" t="str">
        <f>IFERROR(__xludf.DUMMYFUNCTION("""COMPUTED_VALUE"""),"Diego")</f>
        <v>Diego</v>
      </c>
      <c r="AV533" s="4">
        <f>IFERROR(__xludf.DUMMYFUNCTION("""COMPUTED_VALUE"""),0.0)</f>
        <v>0</v>
      </c>
      <c r="AW533" s="4">
        <f>IFERROR(__xludf.DUMMYFUNCTION("""COMPUTED_VALUE"""),0.0)</f>
        <v>0</v>
      </c>
      <c r="AX533" s="4">
        <f>IFERROR(__xludf.DUMMYFUNCTION("""COMPUTED_VALUE"""),0.0)</f>
        <v>0</v>
      </c>
      <c r="AY533" s="4"/>
      <c r="AZ533" s="4" t="str">
        <f>IFERROR(__xludf.DUMMYFUNCTION("""COMPUTED_VALUE"""),"#N/A")</f>
        <v>#N/A</v>
      </c>
      <c r="BA533" s="4" t="str">
        <f>IFERROR(__xludf.DUMMYFUNCTION("""COMPUTED_VALUE"""),"")</f>
        <v/>
      </c>
      <c r="BB533" s="4" t="str">
        <f>IFERROR(__xludf.DUMMYFUNCTION("""COMPUTED_VALUE"""),"")</f>
        <v/>
      </c>
      <c r="BC533" s="4" t="str">
        <f>IFERROR(__xludf.DUMMYFUNCTION("""COMPUTED_VALUE"""),"")</f>
        <v/>
      </c>
      <c r="BD533" s="4" t="str">
        <f>IFERROR(__xludf.DUMMYFUNCTION("""COMPUTED_VALUE"""),"")</f>
        <v/>
      </c>
      <c r="BE533" s="4" t="str">
        <f>IFERROR(__xludf.DUMMYFUNCTION("""COMPUTED_VALUE"""),"")</f>
        <v/>
      </c>
      <c r="BF533" s="4" t="str">
        <f>IFERROR(__xludf.DUMMYFUNCTION("""COMPUTED_VALUE"""),"")</f>
        <v/>
      </c>
      <c r="BG533" s="4" t="str">
        <f>IFERROR(__xludf.DUMMYFUNCTION("""COMPUTED_VALUE"""),"")</f>
        <v/>
      </c>
      <c r="BH533" s="4" t="s">
        <v>63</v>
      </c>
      <c r="BI533" s="7" t="s">
        <v>63</v>
      </c>
    </row>
    <row r="534" hidden="1">
      <c r="A534" s="4" t="str">
        <f>IFERROR(__xludf.DUMMYFUNCTION("""COMPUTED_VALUE"""),"Bebelu Sanduiches")</f>
        <v>Bebelu Sanduiches</v>
      </c>
      <c r="B534" s="4" t="str">
        <f>IFERROR(__xludf.DUMMYFUNCTION("""COMPUTED_VALUE"""),"Diego Santos")</f>
        <v>Diego Santos</v>
      </c>
      <c r="C534" s="4" t="str">
        <f>IFERROR(__xludf.DUMMYFUNCTION("""COMPUTED_VALUE"""),"Diego Santos")</f>
        <v>Diego Santos</v>
      </c>
      <c r="D534" s="4" t="str">
        <f>IFERROR(__xludf.DUMMYFUNCTION("""COMPUTED_VALUE"""),"10. Perdido")</f>
        <v>10. Perdido</v>
      </c>
      <c r="E534" s="4" t="str">
        <f>IFERROR(__xludf.DUMMYFUNCTION("""COMPUTED_VALUE"""),"Perdido - Falta de aderência técnica")</f>
        <v>Perdido - Falta de aderência técnica</v>
      </c>
      <c r="F534" s="4" t="str">
        <f>IFERROR(__xludf.DUMMYFUNCTION("""COMPUTED_VALUE"""),"M")</f>
        <v>M</v>
      </c>
      <c r="G534" s="5">
        <f>IFERROR(__xludf.DUMMYFUNCTION("""COMPUTED_VALUE"""),46076.0)</f>
        <v>46076</v>
      </c>
      <c r="H534" s="4" t="str">
        <f>IFERROR(__xludf.DUMMYFUNCTION("""COMPUTED_VALUE"""),"usam pdv do sócio com rebate, em negociação com time de totem VS")</f>
        <v>usam pdv do sócio com rebate, em negociação com time de totem VS</v>
      </c>
      <c r="I534" s="4"/>
      <c r="J534" s="4"/>
      <c r="K534" s="6">
        <f>IFERROR(__xludf.DUMMYFUNCTION("""COMPUTED_VALUE"""),46001.0)</f>
        <v>46001</v>
      </c>
      <c r="L534" s="4"/>
      <c r="M534" s="4"/>
      <c r="N534" s="4"/>
      <c r="O534" s="4"/>
      <c r="P534" s="4"/>
      <c r="Q534" s="4"/>
      <c r="R534" s="4"/>
      <c r="S534" s="4"/>
      <c r="T534" s="4"/>
      <c r="U534" s="4"/>
      <c r="V534" s="4" t="str">
        <f>IFERROR(__xludf.DUMMYFUNCTION("""COMPUTED_VALUE"""),"Sistema próprio")</f>
        <v>Sistema próprio</v>
      </c>
      <c r="W534" s="4"/>
      <c r="X534" s="4"/>
      <c r="Y534" s="4"/>
      <c r="Z534" s="4"/>
      <c r="AA534" s="4">
        <f>IFERROR(__xludf.DUMMYFUNCTION("""COMPUTED_VALUE"""),35.0)</f>
        <v>35</v>
      </c>
      <c r="AB534" s="4" t="str">
        <f>IFERROR(__xludf.DUMMYFUNCTION("""COMPUTED_VALUE"""),"NÃO")</f>
        <v>NÃO</v>
      </c>
      <c r="AC534" s="4" t="str">
        <f>IFERROR(__xludf.DUMMYFUNCTION("""COMPUTED_VALUE"""),"Não BP")</f>
        <v>Não BP</v>
      </c>
      <c r="AD534" s="4"/>
      <c r="AE534" s="4"/>
      <c r="AF534" s="4"/>
      <c r="AG534" s="4"/>
      <c r="AH534" s="4"/>
      <c r="AI534" s="4"/>
      <c r="AJ534" s="4"/>
      <c r="AK534" s="4"/>
      <c r="AL534" s="4"/>
      <c r="AM534" s="4" t="str">
        <f>IFERROR(__xludf.DUMMYFUNCTION("""COMPUTED_VALUE"""),"FY26")</f>
        <v>FY26</v>
      </c>
      <c r="AN534" s="4"/>
      <c r="AO534" s="4">
        <f>IFERROR(__xludf.DUMMYFUNCTION("""COMPUTED_VALUE"""),140.0)</f>
        <v>140</v>
      </c>
      <c r="AP534" s="4"/>
      <c r="AQ534" s="4"/>
      <c r="AR534" s="4"/>
      <c r="AS534" s="4" t="str">
        <f>IFERROR(__xludf.DUMMYFUNCTION("""COMPUTED_VALUE"""),"THIAGO ROMAGNOLE")</f>
        <v>THIAGO ROMAGNOLE</v>
      </c>
      <c r="AT534" s="4" t="str">
        <f>IFERROR(__xludf.DUMMYFUNCTION("""COMPUTED_VALUE"""),"EDUARDO VAZ")</f>
        <v>EDUARDO VAZ</v>
      </c>
      <c r="AU534" s="4" t="str">
        <f>IFERROR(__xludf.DUMMYFUNCTION("""COMPUTED_VALUE"""),"Diego")</f>
        <v>Diego</v>
      </c>
      <c r="AV534" s="4">
        <f>IFERROR(__xludf.DUMMYFUNCTION("""COMPUTED_VALUE"""),0.0)</f>
        <v>0</v>
      </c>
      <c r="AW534" s="4">
        <f>IFERROR(__xludf.DUMMYFUNCTION("""COMPUTED_VALUE"""),0.0)</f>
        <v>0</v>
      </c>
      <c r="AX534" s="4">
        <f>IFERROR(__xludf.DUMMYFUNCTION("""COMPUTED_VALUE"""),0.0)</f>
        <v>0</v>
      </c>
      <c r="AY534" s="4"/>
      <c r="AZ534" s="4" t="str">
        <f>IFERROR(__xludf.DUMMYFUNCTION("""COMPUTED_VALUE"""),"Lanches")</f>
        <v>Lanches</v>
      </c>
      <c r="BA534" s="4" t="str">
        <f>IFERROR(__xludf.DUMMYFUNCTION("""COMPUTED_VALUE"""),"")</f>
        <v/>
      </c>
      <c r="BB534" s="4" t="str">
        <f>IFERROR(__xludf.DUMMYFUNCTION("""COMPUTED_VALUE"""),"")</f>
        <v/>
      </c>
      <c r="BC534" s="4" t="str">
        <f>IFERROR(__xludf.DUMMYFUNCTION("""COMPUTED_VALUE"""),"")</f>
        <v/>
      </c>
      <c r="BD534" s="4" t="str">
        <f>IFERROR(__xludf.DUMMYFUNCTION("""COMPUTED_VALUE"""),"")</f>
        <v/>
      </c>
      <c r="BE534" s="4" t="str">
        <f>IFERROR(__xludf.DUMMYFUNCTION("""COMPUTED_VALUE"""),"")</f>
        <v/>
      </c>
      <c r="BF534" s="4" t="str">
        <f>IFERROR(__xludf.DUMMYFUNCTION("""COMPUTED_VALUE"""),"")</f>
        <v/>
      </c>
      <c r="BG534" s="4" t="str">
        <f>IFERROR(__xludf.DUMMYFUNCTION("""COMPUTED_VALUE"""),"")</f>
        <v/>
      </c>
      <c r="BH534" s="4" t="s">
        <v>141</v>
      </c>
      <c r="BI534" s="7">
        <v>0.7222222222222222</v>
      </c>
    </row>
    <row r="535" hidden="1">
      <c r="A535" s="4" t="str">
        <f>IFERROR(__xludf.DUMMYFUNCTION("""COMPUTED_VALUE"""),"Bella Dona")</f>
        <v>Bella Dona</v>
      </c>
      <c r="B535" s="4" t="str">
        <f>IFERROR(__xludf.DUMMYFUNCTION("""COMPUTED_VALUE"""),"Ana")</f>
        <v>Ana</v>
      </c>
      <c r="C535" s="4" t="str">
        <f>IFERROR(__xludf.DUMMYFUNCTION("""COMPUTED_VALUE"""),"Ana")</f>
        <v>Ana</v>
      </c>
      <c r="D535" s="4" t="str">
        <f>IFERROR(__xludf.DUMMYFUNCTION("""COMPUTED_VALUE"""),"10. Perdido")</f>
        <v>10. Perdido</v>
      </c>
      <c r="E535" s="4" t="str">
        <f>IFERROR(__xludf.DUMMYFUNCTION("""COMPUTED_VALUE"""),"Perdido - Outro (detalhar ao lado)")</f>
        <v>Perdido - Outro (detalhar ao lado)</v>
      </c>
      <c r="F535" s="4" t="str">
        <f>IFERROR(__xludf.DUMMYFUNCTION("""COMPUTED_VALUE"""),"P")</f>
        <v>P</v>
      </c>
      <c r="G535" s="5">
        <f>IFERROR(__xludf.DUMMYFUNCTION("""COMPUTED_VALUE"""),46076.0)</f>
        <v>46076</v>
      </c>
      <c r="H535" s="4" t="str">
        <f>IFERROR(__xludf.DUMMYFUNCTION("""COMPUTED_VALUE"""),"Cliente saipos.")</f>
        <v>Cliente saipos.</v>
      </c>
      <c r="I535" s="4"/>
      <c r="J535" s="4"/>
      <c r="K535" s="6">
        <f>IFERROR(__xludf.DUMMYFUNCTION("""COMPUTED_VALUE"""),45978.0)</f>
        <v>45978</v>
      </c>
      <c r="L535" s="4"/>
      <c r="M535" s="4"/>
      <c r="N535" s="4"/>
      <c r="O535" s="4"/>
      <c r="P535" s="4"/>
      <c r="Q535" s="4"/>
      <c r="R535" s="6">
        <f>IFERROR(__xludf.DUMMYFUNCTION("""COMPUTED_VALUE"""),46062.430667152774)</f>
        <v>46062.43067</v>
      </c>
      <c r="S535" s="4"/>
      <c r="T535" s="4"/>
      <c r="U535" s="4"/>
      <c r="V535" s="4" t="str">
        <f>IFERROR(__xludf.DUMMYFUNCTION("""COMPUTED_VALUE"""),"Sem interesse em mudar de PDV")</f>
        <v>Sem interesse em mudar de PDV</v>
      </c>
      <c r="W535" s="4"/>
      <c r="X535" s="4"/>
      <c r="Y535" s="4"/>
      <c r="Z535" s="4"/>
      <c r="AA535" s="4">
        <f>IFERROR(__xludf.DUMMYFUNCTION("""COMPUTED_VALUE"""),2.0)</f>
        <v>2</v>
      </c>
      <c r="AB535" s="4" t="str">
        <f>IFERROR(__xludf.DUMMYFUNCTION("""COMPUTED_VALUE"""),"-")</f>
        <v>-</v>
      </c>
      <c r="AC535" s="4" t="str">
        <f>IFERROR(__xludf.DUMMYFUNCTION("""COMPUTED_VALUE"""),"-")</f>
        <v>-</v>
      </c>
      <c r="AD535" s="4"/>
      <c r="AE535" s="4"/>
      <c r="AF535" s="4"/>
      <c r="AG535" s="4"/>
      <c r="AH535" s="4"/>
      <c r="AI535" s="4"/>
      <c r="AJ535" s="4"/>
      <c r="AK535" s="4"/>
      <c r="AL535" s="4"/>
      <c r="AM535" s="4" t="str">
        <f>IFERROR(__xludf.DUMMYFUNCTION("""COMPUTED_VALUE"""),"FY26")</f>
        <v>FY26</v>
      </c>
      <c r="AN535" s="4"/>
      <c r="AO535" s="4">
        <f>IFERROR(__xludf.DUMMYFUNCTION("""COMPUTED_VALUE"""),140.0)</f>
        <v>140</v>
      </c>
      <c r="AP535" s="4"/>
      <c r="AQ535" s="4"/>
      <c r="AR535" s="4"/>
      <c r="AS535" s="4">
        <f>IFERROR(__xludf.DUMMYFUNCTION("""COMPUTED_VALUE"""),0.0)</f>
        <v>0</v>
      </c>
      <c r="AT535" s="4">
        <f>IFERROR(__xludf.DUMMYFUNCTION("""COMPUTED_VALUE"""),0.0)</f>
        <v>0</v>
      </c>
      <c r="AU535" s="4" t="str">
        <f>IFERROR(__xludf.DUMMYFUNCTION("""COMPUTED_VALUE"""),"Ana")</f>
        <v>Ana</v>
      </c>
      <c r="AV535" s="4">
        <f>IFERROR(__xludf.DUMMYFUNCTION("""COMPUTED_VALUE"""),0.0)</f>
        <v>0</v>
      </c>
      <c r="AW535" s="4">
        <f>IFERROR(__xludf.DUMMYFUNCTION("""COMPUTED_VALUE"""),0.0)</f>
        <v>0</v>
      </c>
      <c r="AX535" s="4">
        <f>IFERROR(__xludf.DUMMYFUNCTION("""COMPUTED_VALUE"""),0.0)</f>
        <v>0</v>
      </c>
      <c r="AY535" s="4"/>
      <c r="AZ535" s="4" t="str">
        <f>IFERROR(__xludf.DUMMYFUNCTION("""COMPUTED_VALUE"""),"#N/A")</f>
        <v>#N/A</v>
      </c>
      <c r="BA535" s="4" t="str">
        <f>IFERROR(__xludf.DUMMYFUNCTION("""COMPUTED_VALUE"""),"")</f>
        <v/>
      </c>
      <c r="BB535" s="4" t="str">
        <f>IFERROR(__xludf.DUMMYFUNCTION("""COMPUTED_VALUE"""),"")</f>
        <v/>
      </c>
      <c r="BC535" s="4" t="str">
        <f>IFERROR(__xludf.DUMMYFUNCTION("""COMPUTED_VALUE"""),"")</f>
        <v/>
      </c>
      <c r="BD535" s="4" t="str">
        <f>IFERROR(__xludf.DUMMYFUNCTION("""COMPUTED_VALUE"""),"")</f>
        <v/>
      </c>
      <c r="BE535" s="4" t="str">
        <f>IFERROR(__xludf.DUMMYFUNCTION("""COMPUTED_VALUE"""),"")</f>
        <v/>
      </c>
      <c r="BF535" s="4" t="str">
        <f>IFERROR(__xludf.DUMMYFUNCTION("""COMPUTED_VALUE"""),"")</f>
        <v/>
      </c>
      <c r="BG535" s="4" t="str">
        <f>IFERROR(__xludf.DUMMYFUNCTION("""COMPUTED_VALUE"""),"")</f>
        <v/>
      </c>
      <c r="BH535" s="4" t="s">
        <v>63</v>
      </c>
      <c r="BI535" s="7" t="s">
        <v>63</v>
      </c>
    </row>
    <row r="536" hidden="1">
      <c r="A536" s="4" t="str">
        <f>IFERROR(__xludf.DUMMYFUNCTION("""COMPUTED_VALUE"""),"Bella Gula")</f>
        <v>Bella Gula</v>
      </c>
      <c r="B536" s="4" t="str">
        <f>IFERROR(__xludf.DUMMYFUNCTION("""COMPUTED_VALUE"""),"Lídia Esteves")</f>
        <v>Lídia Esteves</v>
      </c>
      <c r="C536" s="4" t="str">
        <f>IFERROR(__xludf.DUMMYFUNCTION("""COMPUTED_VALUE"""),"Lídia Esteves")</f>
        <v>Lídia Esteves</v>
      </c>
      <c r="D536" s="4" t="str">
        <f>IFERROR(__xludf.DUMMYFUNCTION("""COMPUTED_VALUE"""),"9. Contrato assinado")</f>
        <v>9. Contrato assinado</v>
      </c>
      <c r="E536" s="4" t="str">
        <f>IFERROR(__xludf.DUMMYFUNCTION("""COMPUTED_VALUE""")," Projetos - Contrato assinado &amp; Rollout")</f>
        <v> Projetos - Contrato assinado &amp; Rollout</v>
      </c>
      <c r="F536" s="4" t="str">
        <f>IFERROR(__xludf.DUMMYFUNCTION("""COMPUTED_VALUE"""),"M")</f>
        <v>M</v>
      </c>
      <c r="G536" s="5">
        <f>IFERROR(__xludf.DUMMYFUNCTION("""COMPUTED_VALUE"""),46076.0)</f>
        <v>46076</v>
      </c>
      <c r="H536" s="4" t="str">
        <f>IFERROR(__xludf.DUMMYFUNCTION("""COMPUTED_VALUE"""),"contrato assinado")</f>
        <v>contrato assinado</v>
      </c>
      <c r="I536" s="4"/>
      <c r="J536" s="4"/>
      <c r="K536" s="6">
        <f>IFERROR(__xludf.DUMMYFUNCTION("""COMPUTED_VALUE"""),45960.0)</f>
        <v>45960</v>
      </c>
      <c r="L536" s="4"/>
      <c r="M536" s="4"/>
      <c r="N536" s="6">
        <f>IFERROR(__xludf.DUMMYFUNCTION("""COMPUTED_VALUE"""),46051.517143819445)</f>
        <v>46051.51714</v>
      </c>
      <c r="O536" s="4"/>
      <c r="P536" s="4"/>
      <c r="Q536" s="6">
        <f>IFERROR(__xludf.DUMMYFUNCTION("""COMPUTED_VALUE"""),46051.517143819445)</f>
        <v>46051.51714</v>
      </c>
      <c r="R536" s="4"/>
      <c r="S536" s="4"/>
      <c r="T536" s="4"/>
      <c r="U536" s="4"/>
      <c r="V536" s="4"/>
      <c r="W536" s="8">
        <f>IFERROR(__xludf.DUMMYFUNCTION("""COMPUTED_VALUE"""),550.0)</f>
        <v>550</v>
      </c>
      <c r="X536" s="4">
        <f>IFERROR(__xludf.DUMMYFUNCTION("""COMPUTED_VALUE"""),36.0)</f>
        <v>36</v>
      </c>
      <c r="Y536" s="8">
        <f>IFERROR(__xludf.DUMMYFUNCTION("""COMPUTED_VALUE"""),3000.0)</f>
        <v>3000</v>
      </c>
      <c r="Z536" s="8">
        <f>IFERROR(__xludf.DUMMYFUNCTION("""COMPUTED_VALUE"""),0.0)</f>
        <v>0</v>
      </c>
      <c r="AA536" s="4">
        <f>IFERROR(__xludf.DUMMYFUNCTION("""COMPUTED_VALUE"""),38.0)</f>
        <v>38</v>
      </c>
      <c r="AB536" s="4" t="str">
        <f>IFERROR(__xludf.DUMMYFUNCTION("""COMPUTED_VALUE"""),"NÃO")</f>
        <v>NÃO</v>
      </c>
      <c r="AC536" s="4" t="str">
        <f>IFERROR(__xludf.DUMMYFUNCTION("""COMPUTED_VALUE"""),"Não BP")</f>
        <v>Não BP</v>
      </c>
      <c r="AD536" s="4"/>
      <c r="AE536" s="4"/>
      <c r="AF536" s="4"/>
      <c r="AG536" s="4"/>
      <c r="AH536" s="4"/>
      <c r="AI536" s="4"/>
      <c r="AJ536" s="4"/>
      <c r="AK536" s="4"/>
      <c r="AL536" s="4"/>
      <c r="AM536" s="4" t="str">
        <f>IFERROR(__xludf.DUMMYFUNCTION("""COMPUTED_VALUE"""),"FY26")</f>
        <v>FY26</v>
      </c>
      <c r="AN536" s="4"/>
      <c r="AO536" s="4">
        <f>IFERROR(__xludf.DUMMYFUNCTION("""COMPUTED_VALUE"""),140.0)</f>
        <v>140</v>
      </c>
      <c r="AP536" s="4"/>
      <c r="AQ536" s="4"/>
      <c r="AR536" s="4"/>
      <c r="AS536" s="4">
        <f>IFERROR(__xludf.DUMMYFUNCTION("""COMPUTED_VALUE"""),0.0)</f>
        <v>0</v>
      </c>
      <c r="AT536" s="4">
        <f>IFERROR(__xludf.DUMMYFUNCTION("""COMPUTED_VALUE"""),0.0)</f>
        <v>0</v>
      </c>
      <c r="AU536" s="4" t="str">
        <f>IFERROR(__xludf.DUMMYFUNCTION("""COMPUTED_VALUE"""),"Lídia")</f>
        <v>Lídia</v>
      </c>
      <c r="AV536" s="4">
        <f>IFERROR(__xludf.DUMMYFUNCTION("""COMPUTED_VALUE"""),0.0)</f>
        <v>0</v>
      </c>
      <c r="AW536" s="4">
        <f>IFERROR(__xludf.DUMMYFUNCTION("""COMPUTED_VALUE"""),0.0)</f>
        <v>0</v>
      </c>
      <c r="AX536" s="4">
        <f>IFERROR(__xludf.DUMMYFUNCTION("""COMPUTED_VALUE"""),0.0)</f>
        <v>0</v>
      </c>
      <c r="AY536" s="4">
        <f>IFERROR(__xludf.DUMMYFUNCTION("""COMPUTED_VALUE"""),0.0)</f>
        <v>0</v>
      </c>
      <c r="AZ536" s="4" t="str">
        <f>IFERROR(__xludf.DUMMYFUNCTION("""COMPUTED_VALUE"""),"#N/A")</f>
        <v>#N/A</v>
      </c>
      <c r="BA536" s="4" t="str">
        <f>IFERROR(__xludf.DUMMYFUNCTION("""COMPUTED_VALUE"""),"")</f>
        <v/>
      </c>
      <c r="BB536" s="4" t="str">
        <f>IFERROR(__xludf.DUMMYFUNCTION("""COMPUTED_VALUE"""),"")</f>
        <v/>
      </c>
      <c r="BC536" s="4" t="str">
        <f>IFERROR(__xludf.DUMMYFUNCTION("""COMPUTED_VALUE"""),"")</f>
        <v/>
      </c>
      <c r="BD536" s="4" t="str">
        <f>IFERROR(__xludf.DUMMYFUNCTION("""COMPUTED_VALUE"""),"")</f>
        <v/>
      </c>
      <c r="BE536" s="4" t="str">
        <f>IFERROR(__xludf.DUMMYFUNCTION("""COMPUTED_VALUE"""),"")</f>
        <v/>
      </c>
      <c r="BF536" s="4" t="str">
        <f>IFERROR(__xludf.DUMMYFUNCTION("""COMPUTED_VALUE"""),"")</f>
        <v/>
      </c>
      <c r="BG536" s="4" t="str">
        <f>IFERROR(__xludf.DUMMYFUNCTION("""COMPUTED_VALUE"""),"")</f>
        <v/>
      </c>
      <c r="BH536" s="4" t="s">
        <v>63</v>
      </c>
      <c r="BI536" s="7" t="s">
        <v>63</v>
      </c>
    </row>
    <row r="537" hidden="1">
      <c r="A537" s="4" t="str">
        <f>IFERROR(__xludf.DUMMYFUNCTION("""COMPUTED_VALUE"""),"Bellini")</f>
        <v>Bellini</v>
      </c>
      <c r="B537" s="4" t="str">
        <f>IFERROR(__xludf.DUMMYFUNCTION("""COMPUTED_VALUE"""),"Iza")</f>
        <v>Iza</v>
      </c>
      <c r="C537" s="4" t="str">
        <f>IFERROR(__xludf.DUMMYFUNCTION("""COMPUTED_VALUE"""),"Iza")</f>
        <v>Iza</v>
      </c>
      <c r="D537" s="4" t="str">
        <f>IFERROR(__xludf.DUMMYFUNCTION("""COMPUTED_VALUE"""),"9. Contrato assinado")</f>
        <v>9. Contrato assinado</v>
      </c>
      <c r="E537" s="4" t="str">
        <f>IFERROR(__xludf.DUMMYFUNCTION("""COMPUTED_VALUE""")," Projetos - Contrato assinado &amp; Rollout")</f>
        <v> Projetos - Contrato assinado &amp; Rollout</v>
      </c>
      <c r="F537" s="4" t="str">
        <f>IFERROR(__xludf.DUMMYFUNCTION("""COMPUTED_VALUE"""),"P")</f>
        <v>P</v>
      </c>
      <c r="G537" s="5">
        <f>IFERROR(__xludf.DUMMYFUNCTION("""COMPUTED_VALUE"""),46076.0)</f>
        <v>46076</v>
      </c>
      <c r="H537" s="4" t="str">
        <f>IFERROR(__xludf.DUMMYFUNCTION("""COMPUTED_VALUE"""),"Contrato assinado")</f>
        <v>Contrato assinado</v>
      </c>
      <c r="I537" s="4"/>
      <c r="J537" s="4"/>
      <c r="K537" s="6">
        <f>IFERROR(__xludf.DUMMYFUNCTION("""COMPUTED_VALUE"""),45870.0)</f>
        <v>45870</v>
      </c>
      <c r="L537" s="4"/>
      <c r="M537" s="4"/>
      <c r="N537" s="6">
        <f>IFERROR(__xludf.DUMMYFUNCTION("""COMPUTED_VALUE"""),45930.0)</f>
        <v>45930</v>
      </c>
      <c r="O537" s="4"/>
      <c r="P537" s="4"/>
      <c r="Q537" s="6">
        <f>IFERROR(__xludf.DUMMYFUNCTION("""COMPUTED_VALUE"""),45930.0)</f>
        <v>45930</v>
      </c>
      <c r="R537" s="4"/>
      <c r="S537" s="4"/>
      <c r="T537" s="4"/>
      <c r="U537" s="4"/>
      <c r="V537" s="4"/>
      <c r="W537" s="4"/>
      <c r="X537" s="4"/>
      <c r="Y537" s="4"/>
      <c r="Z537" s="4"/>
      <c r="AA537" s="4">
        <f>IFERROR(__xludf.DUMMYFUNCTION("""COMPUTED_VALUE"""),1.0)</f>
        <v>1</v>
      </c>
      <c r="AB537" s="4"/>
      <c r="AC537" s="4"/>
      <c r="AD537" s="4"/>
      <c r="AE537" s="4"/>
      <c r="AF537" s="4"/>
      <c r="AG537" s="4"/>
      <c r="AH537" s="4"/>
      <c r="AI537" s="4"/>
      <c r="AJ537" s="4"/>
      <c r="AK537" s="4"/>
      <c r="AL537" s="4"/>
      <c r="AM537" s="4" t="str">
        <f>IFERROR(__xludf.DUMMYFUNCTION("""COMPUTED_VALUE"""),"FY26")</f>
        <v>FY26</v>
      </c>
      <c r="AN537" s="4"/>
      <c r="AO537" s="4">
        <f>IFERROR(__xludf.DUMMYFUNCTION("""COMPUTED_VALUE"""),140.0)</f>
        <v>140</v>
      </c>
      <c r="AP537" s="4"/>
      <c r="AQ537" s="4"/>
      <c r="AR537" s="4"/>
      <c r="AS537" s="4">
        <f>IFERROR(__xludf.DUMMYFUNCTION("""COMPUTED_VALUE"""),0.0)</f>
        <v>0</v>
      </c>
      <c r="AT537" s="4">
        <f>IFERROR(__xludf.DUMMYFUNCTION("""COMPUTED_VALUE"""),0.0)</f>
        <v>0</v>
      </c>
      <c r="AU537" s="4" t="str">
        <f>IFERROR(__xludf.DUMMYFUNCTION("""COMPUTED_VALUE"""),"Iza")</f>
        <v>Iza</v>
      </c>
      <c r="AV537" s="4">
        <f>IFERROR(__xludf.DUMMYFUNCTION("""COMPUTED_VALUE"""),0.0)</f>
        <v>0</v>
      </c>
      <c r="AW537" s="4">
        <f>IFERROR(__xludf.DUMMYFUNCTION("""COMPUTED_VALUE"""),0.0)</f>
        <v>0</v>
      </c>
      <c r="AX537" s="4">
        <f>IFERROR(__xludf.DUMMYFUNCTION("""COMPUTED_VALUE"""),0.0)</f>
        <v>0</v>
      </c>
      <c r="AY537" s="4"/>
      <c r="AZ537" s="4" t="str">
        <f>IFERROR(__xludf.DUMMYFUNCTION("""COMPUTED_VALUE"""),"#N/A")</f>
        <v>#N/A</v>
      </c>
      <c r="BA537" s="4" t="str">
        <f>IFERROR(__xludf.DUMMYFUNCTION("""COMPUTED_VALUE"""),"")</f>
        <v/>
      </c>
      <c r="BB537" s="4" t="str">
        <f>IFERROR(__xludf.DUMMYFUNCTION("""COMPUTED_VALUE"""),"")</f>
        <v/>
      </c>
      <c r="BC537" s="4" t="str">
        <f>IFERROR(__xludf.DUMMYFUNCTION("""COMPUTED_VALUE"""),"")</f>
        <v/>
      </c>
      <c r="BD537" s="4" t="str">
        <f>IFERROR(__xludf.DUMMYFUNCTION("""COMPUTED_VALUE"""),"")</f>
        <v/>
      </c>
      <c r="BE537" s="4" t="str">
        <f>IFERROR(__xludf.DUMMYFUNCTION("""COMPUTED_VALUE"""),"")</f>
        <v/>
      </c>
      <c r="BF537" s="4" t="str">
        <f>IFERROR(__xludf.DUMMYFUNCTION("""COMPUTED_VALUE"""),"")</f>
        <v/>
      </c>
      <c r="BG537" s="4" t="str">
        <f>IFERROR(__xludf.DUMMYFUNCTION("""COMPUTED_VALUE"""),"")</f>
        <v/>
      </c>
      <c r="BH537" s="4" t="s">
        <v>63</v>
      </c>
      <c r="BI537" s="7" t="s">
        <v>63</v>
      </c>
    </row>
    <row r="538" hidden="1">
      <c r="A538" s="4" t="str">
        <f>IFERROR(__xludf.DUMMYFUNCTION("""COMPUTED_VALUE"""),"Benjamin A Padaria")</f>
        <v>Benjamin A Padaria</v>
      </c>
      <c r="B538" s="4" t="str">
        <f>IFERROR(__xludf.DUMMYFUNCTION("""COMPUTED_VALUE"""),"Michel")</f>
        <v>Michel</v>
      </c>
      <c r="C538" s="4" t="str">
        <f>IFERROR(__xludf.DUMMYFUNCTION("""COMPUTED_VALUE"""),"Michel")</f>
        <v>Michel</v>
      </c>
      <c r="D538" s="4" t="str">
        <f>IFERROR(__xludf.DUMMYFUNCTION("""COMPUTED_VALUE"""),"9. Contrato assinado")</f>
        <v>9. Contrato assinado</v>
      </c>
      <c r="E538" s="4" t="str">
        <f>IFERROR(__xludf.DUMMYFUNCTION("""COMPUTED_VALUE"""),"Projetos - Contrato assinado mas com falta de priorização")</f>
        <v>Projetos - Contrato assinado mas com falta de priorização</v>
      </c>
      <c r="F538" s="4" t="str">
        <f>IFERROR(__xludf.DUMMYFUNCTION("""COMPUTED_VALUE"""),"P")</f>
        <v>P</v>
      </c>
      <c r="G538" s="4"/>
      <c r="H538" s="4" t="str">
        <f>IFERROR(__xludf.DUMMYFUNCTION("""COMPUTED_VALUE"""),"Projeto voltou depois de 2 meses parado. Fianl da semana devemos ter uma data")</f>
        <v>Projeto voltou depois de 2 meses parado. Fianl da semana devemos ter uma data</v>
      </c>
      <c r="I538" s="4"/>
      <c r="J538" s="4"/>
      <c r="K538" s="6">
        <f>IFERROR(__xludf.DUMMYFUNCTION("""COMPUTED_VALUE"""),45807.0)</f>
        <v>45807</v>
      </c>
      <c r="L538" s="4"/>
      <c r="M538" s="4"/>
      <c r="N538" s="6">
        <f>IFERROR(__xludf.DUMMYFUNCTION("""COMPUTED_VALUE"""),45899.0)</f>
        <v>45899</v>
      </c>
      <c r="O538" s="4"/>
      <c r="P538" s="4"/>
      <c r="Q538" s="6">
        <f>IFERROR(__xludf.DUMMYFUNCTION("""COMPUTED_VALUE"""),45899.0)</f>
        <v>45899</v>
      </c>
      <c r="R538" s="4"/>
      <c r="S538" s="4"/>
      <c r="T538" s="4"/>
      <c r="U538" s="4"/>
      <c r="V538" s="4"/>
      <c r="W538" s="4"/>
      <c r="X538" s="4"/>
      <c r="Y538" s="4"/>
      <c r="Z538" s="4"/>
      <c r="AA538" s="4">
        <f>IFERROR(__xludf.DUMMYFUNCTION("""COMPUTED_VALUE"""),10.0)</f>
        <v>10</v>
      </c>
      <c r="AB538" s="4" t="str">
        <f>IFERROR(__xludf.DUMMYFUNCTION("""COMPUTED_VALUE"""),"-")</f>
        <v>-</v>
      </c>
      <c r="AC538" s="4" t="str">
        <f>IFERROR(__xludf.DUMMYFUNCTION("""COMPUTED_VALUE"""),"-")</f>
        <v>-</v>
      </c>
      <c r="AD538" s="4"/>
      <c r="AE538" s="4"/>
      <c r="AF538" s="4"/>
      <c r="AG538" s="4"/>
      <c r="AH538" s="4"/>
      <c r="AI538" s="4"/>
      <c r="AJ538" s="4"/>
      <c r="AK538" s="4"/>
      <c r="AL538" s="4"/>
      <c r="AM538" s="4" t="str">
        <f>IFERROR(__xludf.DUMMYFUNCTION("""COMPUTED_VALUE"""),"FY26")</f>
        <v>FY26</v>
      </c>
      <c r="AN538" s="4"/>
      <c r="AO538" s="4">
        <f>IFERROR(__xludf.DUMMYFUNCTION("""COMPUTED_VALUE"""),45553.0)</f>
        <v>45553</v>
      </c>
      <c r="AP538" s="4"/>
      <c r="AQ538" s="4"/>
      <c r="AR538" s="4"/>
      <c r="AS538" s="4" t="str">
        <f>IFERROR(__xludf.DUMMYFUNCTION("""COMPUTED_VALUE"""),"NATHALIE MERTENS")</f>
        <v>NATHALIE MERTENS</v>
      </c>
      <c r="AT538" s="4" t="str">
        <f>IFERROR(__xludf.DUMMYFUNCTION("""COMPUTED_VALUE"""),"MARIANA KATZ")</f>
        <v>MARIANA KATZ</v>
      </c>
      <c r="AU538" s="4" t="str">
        <f>IFERROR(__xludf.DUMMYFUNCTION("""COMPUTED_VALUE"""),"Michel")</f>
        <v>Michel</v>
      </c>
      <c r="AV538" s="4">
        <f>IFERROR(__xludf.DUMMYFUNCTION("""COMPUTED_VALUE"""),0.0)</f>
        <v>0</v>
      </c>
      <c r="AW538" s="4">
        <f>IFERROR(__xludf.DUMMYFUNCTION("""COMPUTED_VALUE"""),0.0)</f>
        <v>0</v>
      </c>
      <c r="AX538" s="4">
        <f>IFERROR(__xludf.DUMMYFUNCTION("""COMPUTED_VALUE"""),0.0)</f>
        <v>0</v>
      </c>
      <c r="AY538" s="4"/>
      <c r="AZ538" s="4" t="str">
        <f>IFERROR(__xludf.DUMMYFUNCTION("""COMPUTED_VALUE"""),"Padaria")</f>
        <v>Padaria</v>
      </c>
      <c r="BA538" s="4" t="str">
        <f>IFERROR(__xludf.DUMMYFUNCTION("""COMPUTED_VALUE"""),"")</f>
        <v/>
      </c>
      <c r="BB538" s="4" t="str">
        <f>IFERROR(__xludf.DUMMYFUNCTION("""COMPUTED_VALUE"""),"")</f>
        <v/>
      </c>
      <c r="BC538" s="4" t="str">
        <f>IFERROR(__xludf.DUMMYFUNCTION("""COMPUTED_VALUE"""),"")</f>
        <v/>
      </c>
      <c r="BD538" s="4" t="str">
        <f>IFERROR(__xludf.DUMMYFUNCTION("""COMPUTED_VALUE"""),"")</f>
        <v/>
      </c>
      <c r="BE538" s="4" t="str">
        <f>IFERROR(__xludf.DUMMYFUNCTION("""COMPUTED_VALUE"""),"")</f>
        <v/>
      </c>
      <c r="BF538" s="4" t="str">
        <f>IFERROR(__xludf.DUMMYFUNCTION("""COMPUTED_VALUE"""),"")</f>
        <v/>
      </c>
      <c r="BG538" s="4" t="str">
        <f>IFERROR(__xludf.DUMMYFUNCTION("""COMPUTED_VALUE"""),"")</f>
        <v/>
      </c>
      <c r="BH538" s="4" t="s">
        <v>63</v>
      </c>
      <c r="BI538" s="7" t="s">
        <v>63</v>
      </c>
    </row>
    <row r="539" hidden="1">
      <c r="A539" s="4" t="str">
        <f>IFERROR(__xludf.DUMMYFUNCTION("""COMPUTED_VALUE"""),"Big Churros")</f>
        <v>Big Churros</v>
      </c>
      <c r="B539" s="4" t="str">
        <f>IFERROR(__xludf.DUMMYFUNCTION("""COMPUTED_VALUE"""),"Michel")</f>
        <v>Michel</v>
      </c>
      <c r="C539" s="4" t="str">
        <f>IFERROR(__xludf.DUMMYFUNCTION("""COMPUTED_VALUE"""),"Michel")</f>
        <v>Michel</v>
      </c>
      <c r="D539" s="4" t="str">
        <f>IFERROR(__xludf.DUMMYFUNCTION("""COMPUTED_VALUE"""),"9. Contrato assinado")</f>
        <v>9. Contrato assinado</v>
      </c>
      <c r="E539" s="4" t="str">
        <f>IFERROR(__xludf.DUMMYFUNCTION("""COMPUTED_VALUE"""),"Projetos - Contrato assinado mas com falta de priorização")</f>
        <v>Projetos - Contrato assinado mas com falta de priorização</v>
      </c>
      <c r="F539" s="4" t="str">
        <f>IFERROR(__xludf.DUMMYFUNCTION("""COMPUTED_VALUE"""),"P")</f>
        <v>P</v>
      </c>
      <c r="G539" s="4"/>
      <c r="H539" s="4" t="str">
        <f>IFERROR(__xludf.DUMMYFUNCTION("""COMPUTED_VALUE"""),"Cliente esta com problema na Obra , depende de finalização , do nosso lado esta td configurado")</f>
        <v>Cliente esta com problema na Obra , depende de finalização , do nosso lado esta td configurado</v>
      </c>
      <c r="I539" s="4"/>
      <c r="J539" s="4"/>
      <c r="K539" s="6">
        <f>IFERROR(__xludf.DUMMYFUNCTION("""COMPUTED_VALUE"""),45839.0)</f>
        <v>45839</v>
      </c>
      <c r="L539" s="4"/>
      <c r="M539" s="4"/>
      <c r="N539" s="6">
        <f>IFERROR(__xludf.DUMMYFUNCTION("""COMPUTED_VALUE"""),45933.0)</f>
        <v>45933</v>
      </c>
      <c r="O539" s="4"/>
      <c r="P539" s="4"/>
      <c r="Q539" s="6">
        <f>IFERROR(__xludf.DUMMYFUNCTION("""COMPUTED_VALUE"""),45933.0)</f>
        <v>45933</v>
      </c>
      <c r="R539" s="4"/>
      <c r="S539" s="4"/>
      <c r="T539" s="4"/>
      <c r="U539" s="4"/>
      <c r="V539" s="4"/>
      <c r="W539" s="4"/>
      <c r="X539" s="4"/>
      <c r="Y539" s="4"/>
      <c r="Z539" s="4"/>
      <c r="AA539" s="4">
        <f>IFERROR(__xludf.DUMMYFUNCTION("""COMPUTED_VALUE"""),3.0)</f>
        <v>3</v>
      </c>
      <c r="AB539" s="4"/>
      <c r="AC539" s="4"/>
      <c r="AD539" s="4"/>
      <c r="AE539" s="4"/>
      <c r="AF539" s="4"/>
      <c r="AG539" s="4"/>
      <c r="AH539" s="4"/>
      <c r="AI539" s="4"/>
      <c r="AJ539" s="4"/>
      <c r="AK539" s="4"/>
      <c r="AL539" s="4"/>
      <c r="AM539" s="4" t="str">
        <f>IFERROR(__xludf.DUMMYFUNCTION("""COMPUTED_VALUE"""),"FY26")</f>
        <v>FY26</v>
      </c>
      <c r="AN539" s="4"/>
      <c r="AO539" s="4">
        <f>IFERROR(__xludf.DUMMYFUNCTION("""COMPUTED_VALUE"""),45553.0)</f>
        <v>45553</v>
      </c>
      <c r="AP539" s="4"/>
      <c r="AQ539" s="4"/>
      <c r="AR539" s="4"/>
      <c r="AS539" s="4" t="str">
        <f>IFERROR(__xludf.DUMMYFUNCTION("""COMPUTED_VALUE"""),"ALAN HADDAD")</f>
        <v>ALAN HADDAD</v>
      </c>
      <c r="AT539" s="4" t="str">
        <f>IFERROR(__xludf.DUMMYFUNCTION("""COMPUTED_VALUE"""),"ISABELA DINIZ")</f>
        <v>ISABELA DINIZ</v>
      </c>
      <c r="AU539" s="4" t="str">
        <f>IFERROR(__xludf.DUMMYFUNCTION("""COMPUTED_VALUE"""),"Michel")</f>
        <v>Michel</v>
      </c>
      <c r="AV539" s="4">
        <f>IFERROR(__xludf.DUMMYFUNCTION("""COMPUTED_VALUE"""),0.0)</f>
        <v>0</v>
      </c>
      <c r="AW539" s="4">
        <f>IFERROR(__xludf.DUMMYFUNCTION("""COMPUTED_VALUE"""),0.0)</f>
        <v>0</v>
      </c>
      <c r="AX539" s="4">
        <f>IFERROR(__xludf.DUMMYFUNCTION("""COMPUTED_VALUE"""),0.0)</f>
        <v>0</v>
      </c>
      <c r="AY539" s="4"/>
      <c r="AZ539" s="4" t="str">
        <f>IFERROR(__xludf.DUMMYFUNCTION("""COMPUTED_VALUE"""),"Doces &amp; Bolos")</f>
        <v>Doces &amp; Bolos</v>
      </c>
      <c r="BA539" s="4" t="str">
        <f>IFERROR(__xludf.DUMMYFUNCTION("""COMPUTED_VALUE"""),"")</f>
        <v/>
      </c>
      <c r="BB539" s="4" t="str">
        <f>IFERROR(__xludf.DUMMYFUNCTION("""COMPUTED_VALUE"""),"")</f>
        <v/>
      </c>
      <c r="BC539" s="4" t="str">
        <f>IFERROR(__xludf.DUMMYFUNCTION("""COMPUTED_VALUE"""),"")</f>
        <v/>
      </c>
      <c r="BD539" s="4" t="str">
        <f>IFERROR(__xludf.DUMMYFUNCTION("""COMPUTED_VALUE"""),"")</f>
        <v/>
      </c>
      <c r="BE539" s="4" t="str">
        <f>IFERROR(__xludf.DUMMYFUNCTION("""COMPUTED_VALUE"""),"")</f>
        <v/>
      </c>
      <c r="BF539" s="4" t="str">
        <f>IFERROR(__xludf.DUMMYFUNCTION("""COMPUTED_VALUE"""),"")</f>
        <v/>
      </c>
      <c r="BG539" s="4" t="str">
        <f>IFERROR(__xludf.DUMMYFUNCTION("""COMPUTED_VALUE"""),"")</f>
        <v/>
      </c>
      <c r="BH539" s="4" t="s">
        <v>67</v>
      </c>
      <c r="BI539" s="7">
        <v>1.0</v>
      </c>
    </row>
    <row r="540" hidden="1">
      <c r="A540" s="4" t="str">
        <f>IFERROR(__xludf.DUMMYFUNCTION("""COMPUTED_VALUE"""),"Boa Mesa")</f>
        <v>Boa Mesa</v>
      </c>
      <c r="B540" s="4" t="str">
        <f>IFERROR(__xludf.DUMMYFUNCTION("""COMPUTED_VALUE"""),"Michel")</f>
        <v>Michel</v>
      </c>
      <c r="C540" s="4" t="str">
        <f>IFERROR(__xludf.DUMMYFUNCTION("""COMPUTED_VALUE"""),"Michel")</f>
        <v>Michel</v>
      </c>
      <c r="D540" s="4" t="str">
        <f>IFERROR(__xludf.DUMMYFUNCTION("""COMPUTED_VALUE"""),"12. Orgânico")</f>
        <v>12. Orgânico</v>
      </c>
      <c r="E540" s="4"/>
      <c r="F540" s="4" t="str">
        <f>IFERROR(__xludf.DUMMYFUNCTION("""COMPUTED_VALUE"""),"P")</f>
        <v>P</v>
      </c>
      <c r="G540" s="4"/>
      <c r="H540" s="4"/>
      <c r="I540" s="4"/>
      <c r="J540" s="4"/>
      <c r="K540" s="4"/>
      <c r="L540" s="4"/>
      <c r="M540" s="4"/>
      <c r="N540" s="4"/>
      <c r="O540" s="4"/>
      <c r="P540" s="4"/>
      <c r="Q540" s="4"/>
      <c r="R540" s="4"/>
      <c r="S540" s="4"/>
      <c r="T540" s="4"/>
      <c r="U540" s="4"/>
      <c r="V540" s="4"/>
      <c r="W540" s="4"/>
      <c r="X540" s="4"/>
      <c r="Y540" s="4"/>
      <c r="Z540" s="4"/>
      <c r="AA540" s="4">
        <f>IFERROR(__xludf.DUMMYFUNCTION("""COMPUTED_VALUE"""),1.0)</f>
        <v>1</v>
      </c>
      <c r="AB540" s="4"/>
      <c r="AC540" s="4"/>
      <c r="AD540" s="4"/>
      <c r="AE540" s="4"/>
      <c r="AF540" s="4"/>
      <c r="AG540" s="4"/>
      <c r="AH540" s="4"/>
      <c r="AI540" s="4"/>
      <c r="AJ540" s="4"/>
      <c r="AK540" s="4"/>
      <c r="AL540" s="4"/>
      <c r="AM540" s="4" t="str">
        <f>IFERROR(__xludf.DUMMYFUNCTION("""COMPUTED_VALUE"""),"Orgânico 3S")</f>
        <v>Orgânico 3S</v>
      </c>
      <c r="AN540" s="4"/>
      <c r="AO540" s="4">
        <f>IFERROR(__xludf.DUMMYFUNCTION("""COMPUTED_VALUE"""),45553.0)</f>
        <v>45553</v>
      </c>
      <c r="AP540" s="4"/>
      <c r="AQ540" s="4"/>
      <c r="AR540" s="4"/>
      <c r="AS540" s="4">
        <f>IFERROR(__xludf.DUMMYFUNCTION("""COMPUTED_VALUE"""),0.0)</f>
        <v>0</v>
      </c>
      <c r="AT540" s="4">
        <f>IFERROR(__xludf.DUMMYFUNCTION("""COMPUTED_VALUE"""),0.0)</f>
        <v>0</v>
      </c>
      <c r="AU540" s="4" t="str">
        <f>IFERROR(__xludf.DUMMYFUNCTION("""COMPUTED_VALUE"""),"Michel")</f>
        <v>Michel</v>
      </c>
      <c r="AV540" s="4">
        <f>IFERROR(__xludf.DUMMYFUNCTION("""COMPUTED_VALUE"""),0.0)</f>
        <v>0</v>
      </c>
      <c r="AW540" s="4">
        <f>IFERROR(__xludf.DUMMYFUNCTION("""COMPUTED_VALUE"""),0.0)</f>
        <v>0</v>
      </c>
      <c r="AX540" s="4">
        <f>IFERROR(__xludf.DUMMYFUNCTION("""COMPUTED_VALUE"""),0.0)</f>
        <v>0</v>
      </c>
      <c r="AY540" s="4"/>
      <c r="AZ540" s="4" t="str">
        <f>IFERROR(__xludf.DUMMYFUNCTION("""COMPUTED_VALUE"""),"#N/A")</f>
        <v>#N/A</v>
      </c>
      <c r="BA540" s="4" t="str">
        <f>IFERROR(__xludf.DUMMYFUNCTION("""COMPUTED_VALUE"""),"")</f>
        <v/>
      </c>
      <c r="BB540" s="4" t="str">
        <f>IFERROR(__xludf.DUMMYFUNCTION("""COMPUTED_VALUE"""),"")</f>
        <v/>
      </c>
      <c r="BC540" s="4" t="str">
        <f>IFERROR(__xludf.DUMMYFUNCTION("""COMPUTED_VALUE"""),"")</f>
        <v/>
      </c>
      <c r="BD540" s="4" t="str">
        <f>IFERROR(__xludf.DUMMYFUNCTION("""COMPUTED_VALUE"""),"")</f>
        <v/>
      </c>
      <c r="BE540" s="4" t="str">
        <f>IFERROR(__xludf.DUMMYFUNCTION("""COMPUTED_VALUE"""),"")</f>
        <v/>
      </c>
      <c r="BF540" s="4" t="str">
        <f>IFERROR(__xludf.DUMMYFUNCTION("""COMPUTED_VALUE"""),"")</f>
        <v/>
      </c>
      <c r="BG540" s="4" t="str">
        <f>IFERROR(__xludf.DUMMYFUNCTION("""COMPUTED_VALUE"""),"")</f>
        <v/>
      </c>
      <c r="BH540" s="4" t="s">
        <v>63</v>
      </c>
      <c r="BI540" s="7" t="s">
        <v>63</v>
      </c>
    </row>
    <row r="541" hidden="1">
      <c r="A541" s="4" t="str">
        <f>IFERROR(__xludf.DUMMYFUNCTION("""COMPUTED_VALUE"""),"Bolos Do Flávio")</f>
        <v>Bolos Do Flávio</v>
      </c>
      <c r="B541" s="4" t="str">
        <f>IFERROR(__xludf.DUMMYFUNCTION("""COMPUTED_VALUE"""),"Lídia Esteves")</f>
        <v>Lídia Esteves</v>
      </c>
      <c r="C541" s="4" t="str">
        <f>IFERROR(__xludf.DUMMYFUNCTION("""COMPUTED_VALUE"""),"Lídia Esteves")</f>
        <v>Lídia Esteves</v>
      </c>
      <c r="D541" s="4" t="str">
        <f>IFERROR(__xludf.DUMMYFUNCTION("""COMPUTED_VALUE"""),"9. Contrato assinado")</f>
        <v>9. Contrato assinado</v>
      </c>
      <c r="E541" s="4" t="str">
        <f>IFERROR(__xludf.DUMMYFUNCTION("""COMPUTED_VALUE"""),"Comercial - Em negociação de proposta")</f>
        <v>Comercial - Em negociação de proposta</v>
      </c>
      <c r="F541" s="4" t="str">
        <f>IFERROR(__xludf.DUMMYFUNCTION("""COMPUTED_VALUE"""),"P")</f>
        <v>P</v>
      </c>
      <c r="G541" s="5">
        <f>IFERROR(__xludf.DUMMYFUNCTION("""COMPUTED_VALUE"""),46076.0)</f>
        <v>46076</v>
      </c>
      <c r="H541" s="4" t="str">
        <f>IFERROR(__xludf.DUMMYFUNCTION("""COMPUTED_VALUE"""),"negociação 360 com delivery, cliente avaliando proposta. assinatura prevista para primeira semana de março.")</f>
        <v>negociação 360 com delivery, cliente avaliando proposta. assinatura prevista para primeira semana de março.</v>
      </c>
      <c r="I541" s="4"/>
      <c r="J541" s="4"/>
      <c r="K541" s="6">
        <f>IFERROR(__xludf.DUMMYFUNCTION("""COMPUTED_VALUE"""),45899.0)</f>
        <v>45899</v>
      </c>
      <c r="L541" s="4"/>
      <c r="M541" s="4"/>
      <c r="N541" s="6">
        <f>IFERROR(__xludf.DUMMYFUNCTION("""COMPUTED_VALUE"""),46076.70007921296)</f>
        <v>46076.70008</v>
      </c>
      <c r="O541" s="4"/>
      <c r="P541" s="6">
        <f>IFERROR(__xludf.DUMMYFUNCTION("""COMPUTED_VALUE"""),46091.620354467595)</f>
        <v>46091.62035</v>
      </c>
      <c r="Q541" s="6">
        <f>IFERROR(__xludf.DUMMYFUNCTION("""COMPUTED_VALUE"""),46092.66928365741)</f>
        <v>46092.66928</v>
      </c>
      <c r="R541" s="4"/>
      <c r="S541" s="4"/>
      <c r="T541" s="4"/>
      <c r="U541" s="4"/>
      <c r="V541" s="4"/>
      <c r="W541" s="8">
        <f>IFERROR(__xludf.DUMMYFUNCTION("""COMPUTED_VALUE"""),490.0)</f>
        <v>490</v>
      </c>
      <c r="X541" s="4">
        <f>IFERROR(__xludf.DUMMYFUNCTION("""COMPUTED_VALUE"""),48.0)</f>
        <v>48</v>
      </c>
      <c r="Y541" s="8">
        <f>IFERROR(__xludf.DUMMYFUNCTION("""COMPUTED_VALUE"""),0.0)</f>
        <v>0</v>
      </c>
      <c r="Z541" s="8">
        <f>IFERROR(__xludf.DUMMYFUNCTION("""COMPUTED_VALUE"""),0.0)</f>
        <v>0</v>
      </c>
      <c r="AA541" s="4">
        <f>IFERROR(__xludf.DUMMYFUNCTION("""COMPUTED_VALUE"""),27.0)</f>
        <v>27</v>
      </c>
      <c r="AB541" s="4" t="str">
        <f>IFERROR(__xludf.DUMMYFUNCTION("""COMPUTED_VALUE"""),"NÃO")</f>
        <v>NÃO</v>
      </c>
      <c r="AC541" s="4" t="str">
        <f>IFERROR(__xludf.DUMMYFUNCTION("""COMPUTED_VALUE"""),"Não BP")</f>
        <v>Não BP</v>
      </c>
      <c r="AD541" s="4"/>
      <c r="AE541" s="4"/>
      <c r="AF541" s="4"/>
      <c r="AG541" s="4"/>
      <c r="AH541" s="4"/>
      <c r="AI541" s="4"/>
      <c r="AJ541" s="4"/>
      <c r="AK541" s="4"/>
      <c r="AL541" s="4"/>
      <c r="AM541" s="4" t="str">
        <f>IFERROR(__xludf.DUMMYFUNCTION("""COMPUTED_VALUE"""),"FY26")</f>
        <v>FY26</v>
      </c>
      <c r="AN541" s="4"/>
      <c r="AO541" s="4">
        <f>IFERROR(__xludf.DUMMYFUNCTION("""COMPUTED_VALUE"""),140.0)</f>
        <v>140</v>
      </c>
      <c r="AP541" s="4"/>
      <c r="AQ541" s="4"/>
      <c r="AR541" s="4"/>
      <c r="AS541" s="4">
        <f>IFERROR(__xludf.DUMMYFUNCTION("""COMPUTED_VALUE"""),0.0)</f>
        <v>0</v>
      </c>
      <c r="AT541" s="4">
        <f>IFERROR(__xludf.DUMMYFUNCTION("""COMPUTED_VALUE"""),0.0)</f>
        <v>0</v>
      </c>
      <c r="AU541" s="4" t="str">
        <f>IFERROR(__xludf.DUMMYFUNCTION("""COMPUTED_VALUE"""),"Lídia")</f>
        <v>Lídia</v>
      </c>
      <c r="AV541" s="4">
        <f>IFERROR(__xludf.DUMMYFUNCTION("""COMPUTED_VALUE"""),0.0)</f>
        <v>0</v>
      </c>
      <c r="AW541" s="4">
        <f>IFERROR(__xludf.DUMMYFUNCTION("""COMPUTED_VALUE"""),0.0)</f>
        <v>0</v>
      </c>
      <c r="AX541" s="4">
        <f>IFERROR(__xludf.DUMMYFUNCTION("""COMPUTED_VALUE"""),0.0)</f>
        <v>0</v>
      </c>
      <c r="AY541" s="4">
        <f>IFERROR(__xludf.DUMMYFUNCTION("""COMPUTED_VALUE"""),0.0)</f>
        <v>0</v>
      </c>
      <c r="AZ541" s="4" t="str">
        <f>IFERROR(__xludf.DUMMYFUNCTION("""COMPUTED_VALUE"""),"#N/A")</f>
        <v>#N/A</v>
      </c>
      <c r="BA541" s="4" t="str">
        <f>IFERROR(__xludf.DUMMYFUNCTION("""COMPUTED_VALUE"""),"")</f>
        <v/>
      </c>
      <c r="BB541" s="4" t="str">
        <f>IFERROR(__xludf.DUMMYFUNCTION("""COMPUTED_VALUE"""),"")</f>
        <v/>
      </c>
      <c r="BC541" s="4" t="str">
        <f>IFERROR(__xludf.DUMMYFUNCTION("""COMPUTED_VALUE"""),"")</f>
        <v/>
      </c>
      <c r="BD541" s="4" t="str">
        <f>IFERROR(__xludf.DUMMYFUNCTION("""COMPUTED_VALUE"""),"")</f>
        <v/>
      </c>
      <c r="BE541" s="4" t="str">
        <f>IFERROR(__xludf.DUMMYFUNCTION("""COMPUTED_VALUE"""),"")</f>
        <v/>
      </c>
      <c r="BF541" s="4" t="str">
        <f>IFERROR(__xludf.DUMMYFUNCTION("""COMPUTED_VALUE"""),"")</f>
        <v/>
      </c>
      <c r="BG541" s="4" t="str">
        <f>IFERROR(__xludf.DUMMYFUNCTION("""COMPUTED_VALUE"""),"")</f>
        <v/>
      </c>
      <c r="BH541" s="4" t="s">
        <v>63</v>
      </c>
      <c r="BI541" s="7" t="s">
        <v>63</v>
      </c>
    </row>
    <row r="542" hidden="1">
      <c r="A542" s="4" t="str">
        <f>IFERROR(__xludf.DUMMYFUNCTION("""COMPUTED_VALUE"""),"Bom Beef")</f>
        <v>Bom Beef</v>
      </c>
      <c r="B542" s="4" t="str">
        <f>IFERROR(__xludf.DUMMYFUNCTION("""COMPUTED_VALUE"""),"Michel")</f>
        <v>Michel</v>
      </c>
      <c r="C542" s="4" t="str">
        <f>IFERROR(__xludf.DUMMYFUNCTION("""COMPUTED_VALUE"""),"Michel")</f>
        <v>Michel</v>
      </c>
      <c r="D542" s="4" t="str">
        <f>IFERROR(__xludf.DUMMYFUNCTION("""COMPUTED_VALUE"""),"12. Orgânico")</f>
        <v>12. Orgânico</v>
      </c>
      <c r="E542" s="4"/>
      <c r="F542" s="4" t="str">
        <f>IFERROR(__xludf.DUMMYFUNCTION("""COMPUTED_VALUE"""),"P")</f>
        <v>P</v>
      </c>
      <c r="G542" s="4"/>
      <c r="H542" s="4"/>
      <c r="I542" s="4"/>
      <c r="J542" s="4"/>
      <c r="K542" s="4"/>
      <c r="L542" s="4"/>
      <c r="M542" s="4"/>
      <c r="N542" s="4"/>
      <c r="O542" s="4"/>
      <c r="P542" s="4"/>
      <c r="Q542" s="4"/>
      <c r="R542" s="4"/>
      <c r="S542" s="4"/>
      <c r="T542" s="4"/>
      <c r="U542" s="4"/>
      <c r="V542" s="4"/>
      <c r="W542" s="4"/>
      <c r="X542" s="4"/>
      <c r="Y542" s="4"/>
      <c r="Z542" s="4"/>
      <c r="AA542" s="4">
        <f>IFERROR(__xludf.DUMMYFUNCTION("""COMPUTED_VALUE"""),8.0)</f>
        <v>8</v>
      </c>
      <c r="AB542" s="4"/>
      <c r="AC542" s="4"/>
      <c r="AD542" s="4"/>
      <c r="AE542" s="4"/>
      <c r="AF542" s="4"/>
      <c r="AG542" s="4"/>
      <c r="AH542" s="4"/>
      <c r="AI542" s="4"/>
      <c r="AJ542" s="4"/>
      <c r="AK542" s="4"/>
      <c r="AL542" s="4"/>
      <c r="AM542" s="4" t="str">
        <f>IFERROR(__xludf.DUMMYFUNCTION("""COMPUTED_VALUE"""),"Orgânico 3S")</f>
        <v>Orgânico 3S</v>
      </c>
      <c r="AN542" s="4"/>
      <c r="AO542" s="4">
        <f>IFERROR(__xludf.DUMMYFUNCTION("""COMPUTED_VALUE"""),45553.0)</f>
        <v>45553</v>
      </c>
      <c r="AP542" s="4"/>
      <c r="AQ542" s="4"/>
      <c r="AR542" s="4"/>
      <c r="AS542" s="4">
        <f>IFERROR(__xludf.DUMMYFUNCTION("""COMPUTED_VALUE"""),0.0)</f>
        <v>0</v>
      </c>
      <c r="AT542" s="4">
        <f>IFERROR(__xludf.DUMMYFUNCTION("""COMPUTED_VALUE"""),0.0)</f>
        <v>0</v>
      </c>
      <c r="AU542" s="4" t="str">
        <f>IFERROR(__xludf.DUMMYFUNCTION("""COMPUTED_VALUE"""),"Michel")</f>
        <v>Michel</v>
      </c>
      <c r="AV542" s="4">
        <f>IFERROR(__xludf.DUMMYFUNCTION("""COMPUTED_VALUE"""),0.0)</f>
        <v>0</v>
      </c>
      <c r="AW542" s="4">
        <f>IFERROR(__xludf.DUMMYFUNCTION("""COMPUTED_VALUE"""),0.0)</f>
        <v>0</v>
      </c>
      <c r="AX542" s="4">
        <f>IFERROR(__xludf.DUMMYFUNCTION("""COMPUTED_VALUE"""),0.0)</f>
        <v>0</v>
      </c>
      <c r="AY542" s="4"/>
      <c r="AZ542" s="4">
        <f>IFERROR(__xludf.DUMMYFUNCTION("""COMPUTED_VALUE"""),0.0)</f>
        <v>0</v>
      </c>
      <c r="BA542" s="4" t="str">
        <f>IFERROR(__xludf.DUMMYFUNCTION("""COMPUTED_VALUE"""),"R$ 35-65")</f>
        <v>R$ 35-65</v>
      </c>
      <c r="BB542" s="4" t="str">
        <f>IFERROR(__xludf.DUMMYFUNCTION("""COMPUTED_VALUE"""),"Retail - Açougue Premium (Franquia)")</f>
        <v>Retail - Açougue Premium (Franquia)</v>
      </c>
      <c r="BC542" s="4" t="str">
        <f>IFERROR(__xludf.DUMMYFUNCTION("""COMPUTED_VALUE"""),"Nacional (49 açougues em 12 estados)")</f>
        <v>Nacional (49 açougues em 12 estados)</v>
      </c>
      <c r="BD542" s="4" t="str">
        <f>IFERROR(__xludf.DUMMYFUNCTION("""COMPUTED_VALUE"""),"R$ 300 milhões (2024 estimado)")</f>
        <v>R$ 300 milhões (2024 estimado)</v>
      </c>
      <c r="BE542" s="4">
        <f>IFERROR(__xludf.DUMMYFUNCTION("""COMPUTED_VALUE"""),78.0)</f>
        <v>78</v>
      </c>
      <c r="BF542" s="4">
        <f>IFERROR(__xludf.DUMMYFUNCTION("""COMPUTED_VALUE"""),0.8)</f>
        <v>0.8</v>
      </c>
      <c r="BG542" s="4" t="str">
        <f>IFERROR(__xludf.DUMMYFUNCTION("""COMPUTED_VALUE"""),"PDV não identificado - ALTA ADERÊNCIA: 49 açougues franquia em 12 estados, faturamento R$ 300M (2024 projetado), movimenta R$ 1M/dia. Varejo especializado em expansão. 3S: gestão franquias, controle estoque, fiscal, delivery, empório. Modelo inovador nece"&amp;"ssita tecnologia")</f>
        <v>PDV não identificado - ALTA ADERÊNCIA: 49 açougues franquia em 12 estados, faturamento R$ 300M (2024 projetado), movimenta R$ 1M/dia. Varejo especializado em expansão. 3S: gestão franquias, controle estoque, fiscal, delivery, empório. Modelo inovador necessita tecnologia</v>
      </c>
      <c r="BH542" s="4" t="s">
        <v>63</v>
      </c>
      <c r="BI542" s="7" t="s">
        <v>63</v>
      </c>
    </row>
    <row r="543" hidden="1">
      <c r="A543" s="4" t="str">
        <f>IFERROR(__xludf.DUMMYFUNCTION("""COMPUTED_VALUE"""),"Borger Burger")</f>
        <v>Borger Burger</v>
      </c>
      <c r="B543" s="4" t="str">
        <f>IFERROR(__xludf.DUMMYFUNCTION("""COMPUTED_VALUE"""),"Michel")</f>
        <v>Michel</v>
      </c>
      <c r="C543" s="4" t="str">
        <f>IFERROR(__xludf.DUMMYFUNCTION("""COMPUTED_VALUE"""),"Michel")</f>
        <v>Michel</v>
      </c>
      <c r="D543" s="4" t="str">
        <f>IFERROR(__xludf.DUMMYFUNCTION("""COMPUTED_VALUE"""),"12. Orgânico")</f>
        <v>12. Orgânico</v>
      </c>
      <c r="E543" s="4"/>
      <c r="F543" s="4" t="str">
        <f>IFERROR(__xludf.DUMMYFUNCTION("""COMPUTED_VALUE"""),"P")</f>
        <v>P</v>
      </c>
      <c r="G543" s="4"/>
      <c r="H543" s="4"/>
      <c r="I543" s="4"/>
      <c r="J543" s="4"/>
      <c r="K543" s="4"/>
      <c r="L543" s="4"/>
      <c r="M543" s="4"/>
      <c r="N543" s="4"/>
      <c r="O543" s="4"/>
      <c r="P543" s="4"/>
      <c r="Q543" s="4"/>
      <c r="R543" s="4"/>
      <c r="S543" s="4"/>
      <c r="T543" s="4"/>
      <c r="U543" s="4"/>
      <c r="V543" s="4"/>
      <c r="W543" s="4"/>
      <c r="X543" s="4"/>
      <c r="Y543" s="4"/>
      <c r="Z543" s="4"/>
      <c r="AA543" s="4">
        <f>IFERROR(__xludf.DUMMYFUNCTION("""COMPUTED_VALUE"""),1.0)</f>
        <v>1</v>
      </c>
      <c r="AB543" s="4"/>
      <c r="AC543" s="4"/>
      <c r="AD543" s="4"/>
      <c r="AE543" s="4"/>
      <c r="AF543" s="4"/>
      <c r="AG543" s="4"/>
      <c r="AH543" s="4"/>
      <c r="AI543" s="4"/>
      <c r="AJ543" s="4"/>
      <c r="AK543" s="4"/>
      <c r="AL543" s="4"/>
      <c r="AM543" s="4" t="str">
        <f>IFERROR(__xludf.DUMMYFUNCTION("""COMPUTED_VALUE"""),"Orgânico 3S")</f>
        <v>Orgânico 3S</v>
      </c>
      <c r="AN543" s="4"/>
      <c r="AO543" s="4">
        <f>IFERROR(__xludf.DUMMYFUNCTION("""COMPUTED_VALUE"""),45553.0)</f>
        <v>45553</v>
      </c>
      <c r="AP543" s="4"/>
      <c r="AQ543" s="4"/>
      <c r="AR543" s="4"/>
      <c r="AS543" s="4">
        <f>IFERROR(__xludf.DUMMYFUNCTION("""COMPUTED_VALUE"""),0.0)</f>
        <v>0</v>
      </c>
      <c r="AT543" s="4">
        <f>IFERROR(__xludf.DUMMYFUNCTION("""COMPUTED_VALUE"""),0.0)</f>
        <v>0</v>
      </c>
      <c r="AU543" s="4" t="str">
        <f>IFERROR(__xludf.DUMMYFUNCTION("""COMPUTED_VALUE"""),"Michel")</f>
        <v>Michel</v>
      </c>
      <c r="AV543" s="4">
        <f>IFERROR(__xludf.DUMMYFUNCTION("""COMPUTED_VALUE"""),0.0)</f>
        <v>0</v>
      </c>
      <c r="AW543" s="4">
        <f>IFERROR(__xludf.DUMMYFUNCTION("""COMPUTED_VALUE"""),0.0)</f>
        <v>0</v>
      </c>
      <c r="AX543" s="4">
        <f>IFERROR(__xludf.DUMMYFUNCTION("""COMPUTED_VALUE"""),0.0)</f>
        <v>0</v>
      </c>
      <c r="AY543" s="4"/>
      <c r="AZ543" s="4">
        <f>IFERROR(__xludf.DUMMYFUNCTION("""COMPUTED_VALUE"""),0.0)</f>
        <v>0</v>
      </c>
      <c r="BA543" s="4" t="str">
        <f>IFERROR(__xludf.DUMMYFUNCTION("""COMPUTED_VALUE"""),"")</f>
        <v/>
      </c>
      <c r="BB543" s="4" t="str">
        <f>IFERROR(__xludf.DUMMYFUNCTION("""COMPUTED_VALUE"""),"")</f>
        <v/>
      </c>
      <c r="BC543" s="4" t="str">
        <f>IFERROR(__xludf.DUMMYFUNCTION("""COMPUTED_VALUE"""),"")</f>
        <v/>
      </c>
      <c r="BD543" s="4" t="str">
        <f>IFERROR(__xludf.DUMMYFUNCTION("""COMPUTED_VALUE"""),"")</f>
        <v/>
      </c>
      <c r="BE543" s="4" t="str">
        <f>IFERROR(__xludf.DUMMYFUNCTION("""COMPUTED_VALUE"""),"")</f>
        <v/>
      </c>
      <c r="BF543" s="4" t="str">
        <f>IFERROR(__xludf.DUMMYFUNCTION("""COMPUTED_VALUE"""),"")</f>
        <v/>
      </c>
      <c r="BG543" s="4" t="str">
        <f>IFERROR(__xludf.DUMMYFUNCTION("""COMPUTED_VALUE"""),"")</f>
        <v/>
      </c>
      <c r="BH543" s="4" t="s">
        <v>63</v>
      </c>
      <c r="BI543" s="7" t="s">
        <v>63</v>
      </c>
    </row>
    <row r="544" hidden="1">
      <c r="A544" s="4" t="str">
        <f>IFERROR(__xludf.DUMMYFUNCTION("""COMPUTED_VALUE"""),"Boulangerie Carioca")</f>
        <v>Boulangerie Carioca</v>
      </c>
      <c r="B544" s="4" t="str">
        <f>IFERROR(__xludf.DUMMYFUNCTION("""COMPUTED_VALUE"""),"Michel")</f>
        <v>Michel</v>
      </c>
      <c r="C544" s="4" t="str">
        <f>IFERROR(__xludf.DUMMYFUNCTION("""COMPUTED_VALUE"""),"Michel")</f>
        <v>Michel</v>
      </c>
      <c r="D544" s="4" t="str">
        <f>IFERROR(__xludf.DUMMYFUNCTION("""COMPUTED_VALUE"""),"12. Orgânico")</f>
        <v>12. Orgânico</v>
      </c>
      <c r="E544" s="4"/>
      <c r="F544" s="4" t="str">
        <f>IFERROR(__xludf.DUMMYFUNCTION("""COMPUTED_VALUE"""),"P")</f>
        <v>P</v>
      </c>
      <c r="G544" s="4"/>
      <c r="H544" s="4"/>
      <c r="I544" s="4"/>
      <c r="J544" s="4"/>
      <c r="K544" s="4"/>
      <c r="L544" s="4"/>
      <c r="M544" s="4"/>
      <c r="N544" s="4"/>
      <c r="O544" s="4"/>
      <c r="P544" s="4"/>
      <c r="Q544" s="4"/>
      <c r="R544" s="4"/>
      <c r="S544" s="4"/>
      <c r="T544" s="4"/>
      <c r="U544" s="4"/>
      <c r="V544" s="4"/>
      <c r="W544" s="4"/>
      <c r="X544" s="4"/>
      <c r="Y544" s="4"/>
      <c r="Z544" s="4"/>
      <c r="AA544" s="4">
        <f>IFERROR(__xludf.DUMMYFUNCTION("""COMPUTED_VALUE"""),12.0)</f>
        <v>12</v>
      </c>
      <c r="AB544" s="4"/>
      <c r="AC544" s="4"/>
      <c r="AD544" s="4"/>
      <c r="AE544" s="4"/>
      <c r="AF544" s="4"/>
      <c r="AG544" s="4"/>
      <c r="AH544" s="4"/>
      <c r="AI544" s="4"/>
      <c r="AJ544" s="4"/>
      <c r="AK544" s="4"/>
      <c r="AL544" s="4"/>
      <c r="AM544" s="4" t="str">
        <f>IFERROR(__xludf.DUMMYFUNCTION("""COMPUTED_VALUE"""),"Orgânico 3S")</f>
        <v>Orgânico 3S</v>
      </c>
      <c r="AN544" s="4"/>
      <c r="AO544" s="4">
        <f>IFERROR(__xludf.DUMMYFUNCTION("""COMPUTED_VALUE"""),45553.0)</f>
        <v>45553</v>
      </c>
      <c r="AP544" s="4"/>
      <c r="AQ544" s="4"/>
      <c r="AR544" s="4"/>
      <c r="AS544" s="4">
        <f>IFERROR(__xludf.DUMMYFUNCTION("""COMPUTED_VALUE"""),0.0)</f>
        <v>0</v>
      </c>
      <c r="AT544" s="4">
        <f>IFERROR(__xludf.DUMMYFUNCTION("""COMPUTED_VALUE"""),0.0)</f>
        <v>0</v>
      </c>
      <c r="AU544" s="4" t="str">
        <f>IFERROR(__xludf.DUMMYFUNCTION("""COMPUTED_VALUE"""),"Michel")</f>
        <v>Michel</v>
      </c>
      <c r="AV544" s="4" t="str">
        <f>IFERROR(__xludf.DUMMYFUNCTION("""COMPUTED_VALUE"""),"Comer Fora-")</f>
        <v>Comer Fora-</v>
      </c>
      <c r="AW544" s="20" t="str">
        <f>IFERROR(__xludf.DUMMYFUNCTION("""COMPUTED_VALUE"""),"P e M - pipe")</f>
        <v>P e M - pipe</v>
      </c>
      <c r="AX544" s="4"/>
      <c r="AY544" s="4"/>
      <c r="AZ544" s="4" t="str">
        <f>IFERROR(__xludf.DUMMYFUNCTION("""COMPUTED_VALUE"""),"#N/A")</f>
        <v>#N/A</v>
      </c>
      <c r="BA544" s="4" t="str">
        <f>IFERROR(__xludf.DUMMYFUNCTION("""COMPUTED_VALUE"""),"R$ 35-65")</f>
        <v>R$ 35-65</v>
      </c>
      <c r="BB544" s="4" t="str">
        <f>IFERROR(__xludf.DUMMYFUNCTION("""COMPUTED_VALUE"""),"Retail - Pâtisserie Francesa (Franquia)")</f>
        <v>Retail - Pâtisserie Francesa (Franquia)</v>
      </c>
      <c r="BC544" s="4" t="str">
        <f>IFERROR(__xludf.DUMMYFUNCTION("""COMPUTED_VALUE"""),"Nacional (9 lojas: SP, RJ, CE, RS)")</f>
        <v>Nacional (9 lojas: SP, RJ, CE, RS)</v>
      </c>
      <c r="BD544" s="4" t="str">
        <f>IFERROR(__xludf.DUMMYFUNCTION("""COMPUTED_VALUE"""),"R$ 15 milhões projetado (Antaris grupo)")</f>
        <v>R$ 15 milhões projetado (Antaris grupo)</v>
      </c>
      <c r="BE544" s="4">
        <f>IFERROR(__xludf.DUMMYFUNCTION("""COMPUTED_VALUE"""),62.0)</f>
        <v>62</v>
      </c>
      <c r="BF544" s="4">
        <f>IFERROR(__xludf.DUMMYFUNCTION("""COMPUTED_VALUE"""),0.65)</f>
        <v>0.65</v>
      </c>
      <c r="BG544" s="4" t="str">
        <f>IFERROR(__xludf.DUMMYFUNCTION("""COMPUTED_VALUE"""),"PDV não identificado (Antaris opera). Franquia premium pâtisserie francesa. 9 lojas ativas, expansão 2026. 3S: padronização franquias, gestão multi-loja, integração delivery")</f>
        <v>PDV não identificado (Antaris opera). Franquia premium pâtisserie francesa. 9 lojas ativas, expansão 2026. 3S: padronização franquias, gestão multi-loja, integração delivery</v>
      </c>
      <c r="BH544" s="4" t="s">
        <v>63</v>
      </c>
      <c r="BI544" s="7" t="s">
        <v>63</v>
      </c>
    </row>
    <row r="545" hidden="1">
      <c r="A545" s="4" t="str">
        <f>IFERROR(__xludf.DUMMYFUNCTION("""COMPUTED_VALUE"""),"Bullguer")</f>
        <v>Bullguer</v>
      </c>
      <c r="B545" s="4" t="str">
        <f>IFERROR(__xludf.DUMMYFUNCTION("""COMPUTED_VALUE"""),"Lídia Esteves")</f>
        <v>Lídia Esteves</v>
      </c>
      <c r="C545" s="4" t="str">
        <f>IFERROR(__xludf.DUMMYFUNCTION("""COMPUTED_VALUE"""),"Gabriela Roma")</f>
        <v>Gabriela Roma</v>
      </c>
      <c r="D545" s="4" t="str">
        <f>IFERROR(__xludf.DUMMYFUNCTION("""COMPUTED_VALUE"""),"9. Contrato assinado")</f>
        <v>9. Contrato assinado</v>
      </c>
      <c r="E545" s="4" t="str">
        <f>IFERROR(__xludf.DUMMYFUNCTION("""COMPUTED_VALUE""")," Projetos - Contrato assinado &amp; Rollout")</f>
        <v> Projetos - Contrato assinado &amp; Rollout</v>
      </c>
      <c r="F545" s="4" t="str">
        <f>IFERROR(__xludf.DUMMYFUNCTION("""COMPUTED_VALUE"""),"M")</f>
        <v>M</v>
      </c>
      <c r="G545" s="4"/>
      <c r="H545" s="4"/>
      <c r="I545" s="4"/>
      <c r="J545" s="4"/>
      <c r="K545" s="6">
        <f>IFERROR(__xludf.DUMMYFUNCTION("""COMPUTED_VALUE"""),45807.0)</f>
        <v>45807</v>
      </c>
      <c r="L545" s="4"/>
      <c r="M545" s="4"/>
      <c r="N545" s="6">
        <f>IFERROR(__xludf.DUMMYFUNCTION("""COMPUTED_VALUE"""),45930.0)</f>
        <v>45930</v>
      </c>
      <c r="O545" s="4"/>
      <c r="P545" s="4"/>
      <c r="Q545" s="6">
        <f>IFERROR(__xludf.DUMMYFUNCTION("""COMPUTED_VALUE"""),45930.0)</f>
        <v>45930</v>
      </c>
      <c r="R545" s="4"/>
      <c r="S545" s="4"/>
      <c r="T545" s="4"/>
      <c r="U545" s="4"/>
      <c r="V545" s="4"/>
      <c r="W545" s="4"/>
      <c r="X545" s="4"/>
      <c r="Y545" s="4"/>
      <c r="Z545" s="4"/>
      <c r="AA545" s="4">
        <f>IFERROR(__xludf.DUMMYFUNCTION("""COMPUTED_VALUE"""),36.0)</f>
        <v>36</v>
      </c>
      <c r="AB545" s="4" t="str">
        <f>IFERROR(__xludf.DUMMYFUNCTION("""COMPUTED_VALUE"""),"NÃO")</f>
        <v>NÃO</v>
      </c>
      <c r="AC545" s="4" t="str">
        <f>IFERROR(__xludf.DUMMYFUNCTION("""COMPUTED_VALUE"""),"BP")</f>
        <v>BP</v>
      </c>
      <c r="AD545" s="4"/>
      <c r="AE545" s="4"/>
      <c r="AF545" s="4"/>
      <c r="AG545" s="4"/>
      <c r="AH545" s="4"/>
      <c r="AI545" s="4"/>
      <c r="AJ545" s="4"/>
      <c r="AK545" s="4"/>
      <c r="AL545" s="4"/>
      <c r="AM545" s="4" t="str">
        <f>IFERROR(__xludf.DUMMYFUNCTION("""COMPUTED_VALUE"""),"FY26")</f>
        <v>FY26</v>
      </c>
      <c r="AN545" s="4"/>
      <c r="AO545" s="4">
        <f>IFERROR(__xludf.DUMMYFUNCTION("""COMPUTED_VALUE"""),45553.0)</f>
        <v>45553</v>
      </c>
      <c r="AP545" s="4"/>
      <c r="AQ545" s="4"/>
      <c r="AR545" s="4"/>
      <c r="AS545" s="4" t="str">
        <f>IFERROR(__xludf.DUMMYFUNCTION("""COMPUTED_VALUE"""),"ISIS MOSTAFA")</f>
        <v>ISIS MOSTAFA</v>
      </c>
      <c r="AT545" s="4" t="str">
        <f>IFERROR(__xludf.DUMMYFUNCTION("""COMPUTED_VALUE"""),"ANA OBANDO")</f>
        <v>ANA OBANDO</v>
      </c>
      <c r="AU545" s="4" t="str">
        <f>IFERROR(__xludf.DUMMYFUNCTION("""COMPUTED_VALUE"""),"Mariana")</f>
        <v>Mariana</v>
      </c>
      <c r="AV545" s="4" t="str">
        <f>IFERROR(__xludf.DUMMYFUNCTION("""COMPUTED_VALUE"""),"Comer Fora-Ativo na vitrine")</f>
        <v>Comer Fora-Ativo na vitrine</v>
      </c>
      <c r="AW545" s="24" t="str">
        <f>IFERROR(__xludf.DUMMYFUNCTION("""COMPUTED_VALUE"""),"P e M - pipe")</f>
        <v>P e M - pipe</v>
      </c>
      <c r="AX545" s="4"/>
      <c r="AY545" s="4"/>
      <c r="AZ545" s="4" t="str">
        <f>IFERROR(__xludf.DUMMYFUNCTION("""COMPUTED_VALUE"""),"Lanches")</f>
        <v>Lanches</v>
      </c>
      <c r="BA545" s="4" t="str">
        <f>IFERROR(__xludf.DUMMYFUNCTION("""COMPUTED_VALUE"""),"")</f>
        <v/>
      </c>
      <c r="BB545" s="4" t="str">
        <f>IFERROR(__xludf.DUMMYFUNCTION("""COMPUTED_VALUE"""),"")</f>
        <v/>
      </c>
      <c r="BC545" s="4" t="str">
        <f>IFERROR(__xludf.DUMMYFUNCTION("""COMPUTED_VALUE"""),"")</f>
        <v/>
      </c>
      <c r="BD545" s="4" t="str">
        <f>IFERROR(__xludf.DUMMYFUNCTION("""COMPUTED_VALUE"""),"")</f>
        <v/>
      </c>
      <c r="BE545" s="4" t="str">
        <f>IFERROR(__xludf.DUMMYFUNCTION("""COMPUTED_VALUE"""),"")</f>
        <v/>
      </c>
      <c r="BF545" s="4" t="str">
        <f>IFERROR(__xludf.DUMMYFUNCTION("""COMPUTED_VALUE"""),"")</f>
        <v/>
      </c>
      <c r="BG545" s="4" t="str">
        <f>IFERROR(__xludf.DUMMYFUNCTION("""COMPUTED_VALUE"""),"")</f>
        <v/>
      </c>
      <c r="BH545" s="4" t="s">
        <v>72</v>
      </c>
      <c r="BI545" s="7">
        <v>0.5853658536585366</v>
      </c>
    </row>
    <row r="546" hidden="1">
      <c r="A546" s="4" t="str">
        <f>IFERROR(__xludf.DUMMYFUNCTION("""COMPUTED_VALUE"""),"Burger King")</f>
        <v>Burger King</v>
      </c>
      <c r="B546" s="4" t="str">
        <f>IFERROR(__xludf.DUMMYFUNCTION("""COMPUTED_VALUE"""),"Michel")</f>
        <v>Michel</v>
      </c>
      <c r="C546" s="4" t="str">
        <f>IFERROR(__xludf.DUMMYFUNCTION("""COMPUTED_VALUE"""),"Michel")</f>
        <v>Michel</v>
      </c>
      <c r="D546" s="4" t="str">
        <f>IFERROR(__xludf.DUMMYFUNCTION("""COMPUTED_VALUE"""),"12. Orgânico")</f>
        <v>12. Orgânico</v>
      </c>
      <c r="E546" s="4"/>
      <c r="F546" s="4" t="str">
        <f>IFERROR(__xludf.DUMMYFUNCTION("""COMPUTED_VALUE"""),"M")</f>
        <v>M</v>
      </c>
      <c r="G546" s="4"/>
      <c r="H546" s="4"/>
      <c r="I546" s="4"/>
      <c r="J546" s="4"/>
      <c r="K546" s="4"/>
      <c r="L546" s="4"/>
      <c r="M546" s="4"/>
      <c r="N546" s="4"/>
      <c r="O546" s="4"/>
      <c r="P546" s="4"/>
      <c r="Q546" s="4"/>
      <c r="R546" s="4"/>
      <c r="S546" s="4"/>
      <c r="T546" s="4"/>
      <c r="U546" s="4"/>
      <c r="V546" s="4"/>
      <c r="W546" s="4"/>
      <c r="X546" s="4"/>
      <c r="Y546" s="4"/>
      <c r="Z546" s="4"/>
      <c r="AA546" s="4">
        <f>IFERROR(__xludf.DUMMYFUNCTION("""COMPUTED_VALUE"""),45.0)</f>
        <v>45</v>
      </c>
      <c r="AB546" s="4"/>
      <c r="AC546" s="4"/>
      <c r="AD546" s="4"/>
      <c r="AE546" s="4"/>
      <c r="AF546" s="4"/>
      <c r="AG546" s="4"/>
      <c r="AH546" s="4"/>
      <c r="AI546" s="4"/>
      <c r="AJ546" s="4"/>
      <c r="AK546" s="4"/>
      <c r="AL546" s="4"/>
      <c r="AM546" s="4" t="str">
        <f>IFERROR(__xludf.DUMMYFUNCTION("""COMPUTED_VALUE"""),"Orgânico 3S")</f>
        <v>Orgânico 3S</v>
      </c>
      <c r="AN546" s="4" t="str">
        <f>IFERROR(__xludf.DUMMYFUNCTION("""COMPUTED_VALUE"""),"Comer Fora")</f>
        <v>Comer Fora</v>
      </c>
      <c r="AO546" s="4">
        <f>IFERROR(__xludf.DUMMYFUNCTION("""COMPUTED_VALUE"""),45553.0)</f>
        <v>45553</v>
      </c>
      <c r="AP546" s="4"/>
      <c r="AQ546" s="4"/>
      <c r="AR546" s="4"/>
      <c r="AS546" s="4" t="str">
        <f>IFERROR(__xludf.DUMMYFUNCTION("""COMPUTED_VALUE"""),"VINICIUS MARTINS")</f>
        <v>VINICIUS MARTINS</v>
      </c>
      <c r="AT546" s="4" t="str">
        <f>IFERROR(__xludf.DUMMYFUNCTION("""COMPUTED_VALUE"""),"CAROLINA SOUZA")</f>
        <v>CAROLINA SOUZA</v>
      </c>
      <c r="AU546" s="4" t="str">
        <f>IFERROR(__xludf.DUMMYFUNCTION("""COMPUTED_VALUE"""),"Michel")</f>
        <v>Michel</v>
      </c>
      <c r="AV546" s="4">
        <f>IFERROR(__xludf.DUMMYFUNCTION("""COMPUTED_VALUE"""),0.0)</f>
        <v>0</v>
      </c>
      <c r="AW546" s="4">
        <f>IFERROR(__xludf.DUMMYFUNCTION("""COMPUTED_VALUE"""),0.0)</f>
        <v>0</v>
      </c>
      <c r="AX546" s="4">
        <f>IFERROR(__xludf.DUMMYFUNCTION("""COMPUTED_VALUE"""),0.0)</f>
        <v>0</v>
      </c>
      <c r="AY546" s="4"/>
      <c r="AZ546" s="4" t="str">
        <f>IFERROR(__xludf.DUMMYFUNCTION("""COMPUTED_VALUE"""),"Lanches")</f>
        <v>Lanches</v>
      </c>
      <c r="BA546" s="4" t="str">
        <f>IFERROR(__xludf.DUMMYFUNCTION("""COMPUTED_VALUE"""),"R$ 30-55")</f>
        <v>R$ 30-55</v>
      </c>
      <c r="BB546" s="4" t="str">
        <f>IFERROR(__xludf.DUMMYFUNCTION("""COMPUTED_VALUE"""),"QSR - Fast Food (Burgers)")</f>
        <v>QSR - Fast Food (Burgers)</v>
      </c>
      <c r="BC546" s="4" t="str">
        <f>IFERROR(__xludf.DUMMYFUNCTION("""COMPUTED_VALUE"""),"Nacional (1.225 lojas - todos estados)")</f>
        <v>Nacional (1.225 lojas - todos estados)</v>
      </c>
      <c r="BD546" s="4" t="str">
        <f>IFERROR(__xludf.DUMMYFUNCTION("""COMPUTED_VALUE"""),"R$ 5,23 bilhões (2025 - Zamp)")</f>
        <v>R$ 5,23 bilhões (2025 - Zamp)</v>
      </c>
      <c r="BE546" s="4">
        <f>IFERROR(__xludf.DUMMYFUNCTION("""COMPUTED_VALUE"""),90.0)</f>
        <v>90</v>
      </c>
      <c r="BF546" s="4">
        <f>IFERROR(__xludf.DUMMYFUNCTION("""COMPUTED_VALUE"""),0.92)</f>
        <v>0.92</v>
      </c>
      <c r="BG546" s="4" t="str">
        <f>IFERROR(__xludf.DUMMYFUNCTION("""COMPUTED_VALUE"""),"PDV não identificado (Zamp opera, já cliente 3S). ALTÍSSIMA ADERÊNCIA: 1.225 lojas nacionais, R$ 5,23B faturamento. Canais digitais 50%+. 3S já implementado - expansão natural para toda rede")</f>
        <v>PDV não identificado (Zamp opera, já cliente 3S). ALTÍSSIMA ADERÊNCIA: 1.225 lojas nacionais, R$ 5,23B faturamento. Canais digitais 50%+. 3S já implementado - expansão natural para toda rede</v>
      </c>
      <c r="BH546" s="4" t="s">
        <v>63</v>
      </c>
      <c r="BI546" s="7" t="s">
        <v>63</v>
      </c>
    </row>
    <row r="547" hidden="1">
      <c r="A547" s="4" t="str">
        <f>IFERROR(__xludf.DUMMYFUNCTION("""COMPUTED_VALUE"""),"By Koji")</f>
        <v>By Koji</v>
      </c>
      <c r="B547" s="4" t="str">
        <f>IFERROR(__xludf.DUMMYFUNCTION("""COMPUTED_VALUE"""),"Ana")</f>
        <v>Ana</v>
      </c>
      <c r="C547" s="4" t="str">
        <f>IFERROR(__xludf.DUMMYFUNCTION("""COMPUTED_VALUE"""),"Ana")</f>
        <v>Ana</v>
      </c>
      <c r="D547" s="4" t="str">
        <f>IFERROR(__xludf.DUMMYFUNCTION("""COMPUTED_VALUE"""),"10. Perdido")</f>
        <v>10. Perdido</v>
      </c>
      <c r="E547" s="4" t="str">
        <f>IFERROR(__xludf.DUMMYFUNCTION("""COMPUTED_VALUE"""),"Perdido - Outro (detalhar ao lado)")</f>
        <v>Perdido - Outro (detalhar ao lado)</v>
      </c>
      <c r="F547" s="4" t="str">
        <f>IFERROR(__xludf.DUMMYFUNCTION("""COMPUTED_VALUE"""),"P")</f>
        <v>P</v>
      </c>
      <c r="G547" s="5">
        <f>IFERROR(__xludf.DUMMYFUNCTION("""COMPUTED_VALUE"""),46076.0)</f>
        <v>46076</v>
      </c>
      <c r="H547" s="4" t="str">
        <f>IFERROR(__xludf.DUMMYFUNCTION("""COMPUTED_VALUE"""),"Quebra de relacionamento com o delivery.")</f>
        <v>Quebra de relacionamento com o delivery.</v>
      </c>
      <c r="I547" s="4"/>
      <c r="J547" s="4"/>
      <c r="K547" s="6">
        <f>IFERROR(__xludf.DUMMYFUNCTION("""COMPUTED_VALUE"""),45943.0)</f>
        <v>45943</v>
      </c>
      <c r="L547" s="4"/>
      <c r="M547" s="4"/>
      <c r="N547" s="4"/>
      <c r="O547" s="4"/>
      <c r="P547" s="4"/>
      <c r="Q547" s="4"/>
      <c r="R547" s="4"/>
      <c r="S547" s="4"/>
      <c r="T547" s="4"/>
      <c r="U547" s="4"/>
      <c r="V547" s="4" t="str">
        <f>IFERROR(__xludf.DUMMYFUNCTION("""COMPUTED_VALUE"""),"Atrito Negociação")</f>
        <v>Atrito Negociação</v>
      </c>
      <c r="W547" s="4"/>
      <c r="X547" s="4"/>
      <c r="Y547" s="4"/>
      <c r="Z547" s="4"/>
      <c r="AA547" s="4">
        <f>IFERROR(__xludf.DUMMYFUNCTION("""COMPUTED_VALUE"""),3.0)</f>
        <v>3</v>
      </c>
      <c r="AB547" s="4" t="str">
        <f>IFERROR(__xludf.DUMMYFUNCTION("""COMPUTED_VALUE"""),"NÃO")</f>
        <v>NÃO</v>
      </c>
      <c r="AC547" s="4" t="str">
        <f>IFERROR(__xludf.DUMMYFUNCTION("""COMPUTED_VALUE"""),"BP")</f>
        <v>BP</v>
      </c>
      <c r="AD547" s="4"/>
      <c r="AE547" s="4"/>
      <c r="AF547" s="4"/>
      <c r="AG547" s="4"/>
      <c r="AH547" s="4"/>
      <c r="AI547" s="4"/>
      <c r="AJ547" s="4"/>
      <c r="AK547" s="4"/>
      <c r="AL547" s="4"/>
      <c r="AM547" s="4" t="str">
        <f>IFERROR(__xludf.DUMMYFUNCTION("""COMPUTED_VALUE"""),"FY26")</f>
        <v>FY26</v>
      </c>
      <c r="AN547" s="4"/>
      <c r="AO547" s="4">
        <f>IFERROR(__xludf.DUMMYFUNCTION("""COMPUTED_VALUE"""),140.0)</f>
        <v>140</v>
      </c>
      <c r="AP547" s="4"/>
      <c r="AQ547" s="4"/>
      <c r="AR547" s="4"/>
      <c r="AS547" s="4">
        <f>IFERROR(__xludf.DUMMYFUNCTION("""COMPUTED_VALUE"""),0.0)</f>
        <v>0</v>
      </c>
      <c r="AT547" s="4">
        <f>IFERROR(__xludf.DUMMYFUNCTION("""COMPUTED_VALUE"""),0.0)</f>
        <v>0</v>
      </c>
      <c r="AU547" s="4" t="str">
        <f>IFERROR(__xludf.DUMMYFUNCTION("""COMPUTED_VALUE"""),"Ana")</f>
        <v>Ana</v>
      </c>
      <c r="AV547" s="4">
        <f>IFERROR(__xludf.DUMMYFUNCTION("""COMPUTED_VALUE"""),0.0)</f>
        <v>0</v>
      </c>
      <c r="AW547" s="4">
        <f>IFERROR(__xludf.DUMMYFUNCTION("""COMPUTED_VALUE"""),0.0)</f>
        <v>0</v>
      </c>
      <c r="AX547" s="4">
        <f>IFERROR(__xludf.DUMMYFUNCTION("""COMPUTED_VALUE"""),0.0)</f>
        <v>0</v>
      </c>
      <c r="AY547" s="4"/>
      <c r="AZ547" s="4" t="str">
        <f>IFERROR(__xludf.DUMMYFUNCTION("""COMPUTED_VALUE"""),"#N/A")</f>
        <v>#N/A</v>
      </c>
      <c r="BA547" s="4" t="str">
        <f>IFERROR(__xludf.DUMMYFUNCTION("""COMPUTED_VALUE"""),"")</f>
        <v/>
      </c>
      <c r="BB547" s="4" t="str">
        <f>IFERROR(__xludf.DUMMYFUNCTION("""COMPUTED_VALUE"""),"")</f>
        <v/>
      </c>
      <c r="BC547" s="4" t="str">
        <f>IFERROR(__xludf.DUMMYFUNCTION("""COMPUTED_VALUE"""),"")</f>
        <v/>
      </c>
      <c r="BD547" s="4" t="str">
        <f>IFERROR(__xludf.DUMMYFUNCTION("""COMPUTED_VALUE"""),"")</f>
        <v/>
      </c>
      <c r="BE547" s="4" t="str">
        <f>IFERROR(__xludf.DUMMYFUNCTION("""COMPUTED_VALUE"""),"")</f>
        <v/>
      </c>
      <c r="BF547" s="4" t="str">
        <f>IFERROR(__xludf.DUMMYFUNCTION("""COMPUTED_VALUE"""),"")</f>
        <v/>
      </c>
      <c r="BG547" s="4" t="str">
        <f>IFERROR(__xludf.DUMMYFUNCTION("""COMPUTED_VALUE"""),"")</f>
        <v/>
      </c>
      <c r="BH547" s="4" t="s">
        <v>135</v>
      </c>
      <c r="BI547" s="7">
        <v>0.6666666666666666</v>
      </c>
    </row>
    <row r="548" hidden="1">
      <c r="A548" s="4" t="str">
        <f>IFERROR(__xludf.DUMMYFUNCTION("""COMPUTED_VALUE"""),"Cabana")</f>
        <v>Cabana</v>
      </c>
      <c r="B548" s="4" t="str">
        <f>IFERROR(__xludf.DUMMYFUNCTION("""COMPUTED_VALUE"""),"Lídia Esteves")</f>
        <v>Lídia Esteves</v>
      </c>
      <c r="C548" s="4" t="str">
        <f>IFERROR(__xludf.DUMMYFUNCTION("""COMPUTED_VALUE"""),"Gabriela Roma")</f>
        <v>Gabriela Roma</v>
      </c>
      <c r="D548" s="4" t="str">
        <f>IFERROR(__xludf.DUMMYFUNCTION("""COMPUTED_VALUE"""),"10. Perdido")</f>
        <v>10. Perdido</v>
      </c>
      <c r="E548" s="4" t="str">
        <f>IFERROR(__xludf.DUMMYFUNCTION("""COMPUTED_VALUE"""),"Perdido - Falta de aderência técnica")</f>
        <v>Perdido - Falta de aderência técnica</v>
      </c>
      <c r="F548" s="4" t="str">
        <f>IFERROR(__xludf.DUMMYFUNCTION("""COMPUTED_VALUE"""),"P")</f>
        <v>P</v>
      </c>
      <c r="G548" s="5">
        <f>IFERROR(__xludf.DUMMYFUNCTION("""COMPUTED_VALUE"""),46076.0)</f>
        <v>46076</v>
      </c>
      <c r="H548" s="4" t="str">
        <f>IFERROR(__xludf.DUMMYFUNCTION("""COMPUTED_VALUE"""),"Não integramos com Olgatech e não querem se desvincular da funcionalidade contratada.")</f>
        <v>Não integramos com Olgatech e não querem se desvincular da funcionalidade contratada.</v>
      </c>
      <c r="I548" s="4"/>
      <c r="J548" s="4"/>
      <c r="K548" s="6">
        <f>IFERROR(__xludf.DUMMYFUNCTION("""COMPUTED_VALUE"""),45884.0)</f>
        <v>45884</v>
      </c>
      <c r="L548" s="4"/>
      <c r="M548" s="4"/>
      <c r="N548" s="4"/>
      <c r="O548" s="4"/>
      <c r="P548" s="4"/>
      <c r="Q548" s="4"/>
      <c r="R548" s="4"/>
      <c r="S548" s="4"/>
      <c r="T548" s="4"/>
      <c r="U548" s="4"/>
      <c r="V548" s="4" t="str">
        <f>IFERROR(__xludf.DUMMYFUNCTION("""COMPUTED_VALUE"""),"Desenvolvimento Solução")</f>
        <v>Desenvolvimento Solução</v>
      </c>
      <c r="W548" s="4"/>
      <c r="X548" s="4"/>
      <c r="Y548" s="4"/>
      <c r="Z548" s="4"/>
      <c r="AA548" s="4">
        <f>IFERROR(__xludf.DUMMYFUNCTION("""COMPUTED_VALUE"""),25.0)</f>
        <v>25</v>
      </c>
      <c r="AB548" s="4" t="str">
        <f>IFERROR(__xludf.DUMMYFUNCTION("""COMPUTED_VALUE"""),"NÃO")</f>
        <v>NÃO</v>
      </c>
      <c r="AC548" s="4" t="str">
        <f>IFERROR(__xludf.DUMMYFUNCTION("""COMPUTED_VALUE"""),"BP")</f>
        <v>BP</v>
      </c>
      <c r="AD548" s="4"/>
      <c r="AE548" s="4"/>
      <c r="AF548" s="4"/>
      <c r="AG548" s="4"/>
      <c r="AH548" s="4"/>
      <c r="AI548" s="4"/>
      <c r="AJ548" s="4"/>
      <c r="AK548" s="4"/>
      <c r="AL548" s="4"/>
      <c r="AM548" s="4" t="str">
        <f>IFERROR(__xludf.DUMMYFUNCTION("""COMPUTED_VALUE"""),"FY26")</f>
        <v>FY26</v>
      </c>
      <c r="AN548" s="4" t="str">
        <f>IFERROR(__xludf.DUMMYFUNCTION("""COMPUTED_VALUE"""),"Comer Fora")</f>
        <v>Comer Fora</v>
      </c>
      <c r="AO548" s="4">
        <f>IFERROR(__xludf.DUMMYFUNCTION("""COMPUTED_VALUE"""),140.0)</f>
        <v>140</v>
      </c>
      <c r="AP548" s="4"/>
      <c r="AQ548" s="4"/>
      <c r="AR548" s="4"/>
      <c r="AS548" s="4">
        <f>IFERROR(__xludf.DUMMYFUNCTION("""COMPUTED_VALUE"""),0.0)</f>
        <v>0</v>
      </c>
      <c r="AT548" s="4">
        <f>IFERROR(__xludf.DUMMYFUNCTION("""COMPUTED_VALUE"""),0.0)</f>
        <v>0</v>
      </c>
      <c r="AU548" s="4" t="str">
        <f>IFERROR(__xludf.DUMMYFUNCTION("""COMPUTED_VALUE"""),"Mariana")</f>
        <v>Mariana</v>
      </c>
      <c r="AV548" s="4" t="str">
        <f>IFERROR(__xludf.DUMMYFUNCTION("""COMPUTED_VALUE"""),"Comer Fora-")</f>
        <v>Comer Fora-</v>
      </c>
      <c r="AW548" s="20" t="str">
        <f>IFERROR(__xludf.DUMMYFUNCTION("""COMPUTED_VALUE"""),"G - pipe")</f>
        <v>G - pipe</v>
      </c>
      <c r="AX548" s="4"/>
      <c r="AY548" s="4"/>
      <c r="AZ548" s="4" t="str">
        <f>IFERROR(__xludf.DUMMYFUNCTION("""COMPUTED_VALUE"""),"Lanches")</f>
        <v>Lanches</v>
      </c>
      <c r="BA548" s="4" t="str">
        <f>IFERROR(__xludf.DUMMYFUNCTION("""COMPUTED_VALUE"""),"")</f>
        <v/>
      </c>
      <c r="BB548" s="4" t="str">
        <f>IFERROR(__xludf.DUMMYFUNCTION("""COMPUTED_VALUE"""),"")</f>
        <v/>
      </c>
      <c r="BC548" s="4" t="str">
        <f>IFERROR(__xludf.DUMMYFUNCTION("""COMPUTED_VALUE"""),"")</f>
        <v/>
      </c>
      <c r="BD548" s="4" t="str">
        <f>IFERROR(__xludf.DUMMYFUNCTION("""COMPUTED_VALUE"""),"")</f>
        <v/>
      </c>
      <c r="BE548" s="4" t="str">
        <f>IFERROR(__xludf.DUMMYFUNCTION("""COMPUTED_VALUE"""),"")</f>
        <v/>
      </c>
      <c r="BF548" s="4" t="str">
        <f>IFERROR(__xludf.DUMMYFUNCTION("""COMPUTED_VALUE"""),"")</f>
        <v/>
      </c>
      <c r="BG548" s="4" t="str">
        <f>IFERROR(__xludf.DUMMYFUNCTION("""COMPUTED_VALUE"""),"")</f>
        <v/>
      </c>
      <c r="BH548" s="4" t="s">
        <v>142</v>
      </c>
      <c r="BI548" s="7">
        <v>0.967741935483871</v>
      </c>
    </row>
    <row r="549" hidden="1">
      <c r="A549" s="4" t="str">
        <f>IFERROR(__xludf.DUMMYFUNCTION("""COMPUTED_VALUE"""),"California Coffee")</f>
        <v>California Coffee</v>
      </c>
      <c r="B549" s="4" t="str">
        <f>IFERROR(__xludf.DUMMYFUNCTION("""COMPUTED_VALUE"""),"Michel")</f>
        <v>Michel</v>
      </c>
      <c r="C549" s="4" t="str">
        <f>IFERROR(__xludf.DUMMYFUNCTION("""COMPUTED_VALUE"""),"Michel")</f>
        <v>Michel</v>
      </c>
      <c r="D549" s="4" t="str">
        <f>IFERROR(__xludf.DUMMYFUNCTION("""COMPUTED_VALUE"""),"9. Contrato assinado")</f>
        <v>9. Contrato assinado</v>
      </c>
      <c r="E549" s="4" t="str">
        <f>IFERROR(__xludf.DUMMYFUNCTION("""COMPUTED_VALUE"""),"Projetos - Contrato assinado mas com falta de priorização")</f>
        <v>Projetos - Contrato assinado mas com falta de priorização</v>
      </c>
      <c r="F549" s="4" t="str">
        <f>IFERROR(__xludf.DUMMYFUNCTION("""COMPUTED_VALUE"""),"M")</f>
        <v>M</v>
      </c>
      <c r="G549" s="4"/>
      <c r="H549" s="4" t="str">
        <f>IFERROR(__xludf.DUMMYFUNCTION("""COMPUTED_VALUE"""),"Reunião dia 26/02 com os proprietarias da marca ")</f>
        <v>Reunião dia 26/02 com os proprietarias da marca </v>
      </c>
      <c r="I549" s="4"/>
      <c r="J549" s="4"/>
      <c r="K549" s="6">
        <f>IFERROR(__xludf.DUMMYFUNCTION("""COMPUTED_VALUE"""),45807.0)</f>
        <v>45807</v>
      </c>
      <c r="L549" s="4"/>
      <c r="M549" s="4"/>
      <c r="N549" s="6">
        <f>IFERROR(__xludf.DUMMYFUNCTION("""COMPUTED_VALUE"""),45930.0)</f>
        <v>45930</v>
      </c>
      <c r="O549" s="4"/>
      <c r="P549" s="4"/>
      <c r="Q549" s="6">
        <f>IFERROR(__xludf.DUMMYFUNCTION("""COMPUTED_VALUE"""),45930.0)</f>
        <v>45930</v>
      </c>
      <c r="R549" s="4"/>
      <c r="S549" s="4"/>
      <c r="T549" s="4"/>
      <c r="U549" s="4"/>
      <c r="V549" s="4"/>
      <c r="W549" s="4"/>
      <c r="X549" s="4"/>
      <c r="Y549" s="4"/>
      <c r="Z549" s="4"/>
      <c r="AA549" s="4">
        <f>IFERROR(__xludf.DUMMYFUNCTION("""COMPUTED_VALUE"""),36.0)</f>
        <v>36</v>
      </c>
      <c r="AB549" s="4" t="str">
        <f>IFERROR(__xludf.DUMMYFUNCTION("""COMPUTED_VALUE"""),"-")</f>
        <v>-</v>
      </c>
      <c r="AC549" s="4" t="str">
        <f>IFERROR(__xludf.DUMMYFUNCTION("""COMPUTED_VALUE"""),"-")</f>
        <v>-</v>
      </c>
      <c r="AD549" s="4"/>
      <c r="AE549" s="4"/>
      <c r="AF549" s="4"/>
      <c r="AG549" s="4"/>
      <c r="AH549" s="4"/>
      <c r="AI549" s="4"/>
      <c r="AJ549" s="4"/>
      <c r="AK549" s="4"/>
      <c r="AL549" s="4"/>
      <c r="AM549" s="4" t="str">
        <f>IFERROR(__xludf.DUMMYFUNCTION("""COMPUTED_VALUE"""),"FY26")</f>
        <v>FY26</v>
      </c>
      <c r="AN549" s="4"/>
      <c r="AO549" s="4">
        <f>IFERROR(__xludf.DUMMYFUNCTION("""COMPUTED_VALUE"""),45553.0)</f>
        <v>45553</v>
      </c>
      <c r="AP549" s="4"/>
      <c r="AQ549" s="4"/>
      <c r="AR549" s="4"/>
      <c r="AS549" s="4">
        <f>IFERROR(__xludf.DUMMYFUNCTION("""COMPUTED_VALUE"""),0.0)</f>
        <v>0</v>
      </c>
      <c r="AT549" s="4">
        <f>IFERROR(__xludf.DUMMYFUNCTION("""COMPUTED_VALUE"""),0.0)</f>
        <v>0</v>
      </c>
      <c r="AU549" s="4" t="str">
        <f>IFERROR(__xludf.DUMMYFUNCTION("""COMPUTED_VALUE"""),"Michel")</f>
        <v>Michel</v>
      </c>
      <c r="AV549" s="4">
        <f>IFERROR(__xludf.DUMMYFUNCTION("""COMPUTED_VALUE"""),0.0)</f>
        <v>0</v>
      </c>
      <c r="AW549" s="4">
        <f>IFERROR(__xludf.DUMMYFUNCTION("""COMPUTED_VALUE"""),0.0)</f>
        <v>0</v>
      </c>
      <c r="AX549" s="4">
        <f>IFERROR(__xludf.DUMMYFUNCTION("""COMPUTED_VALUE"""),0.0)</f>
        <v>0</v>
      </c>
      <c r="AY549" s="4"/>
      <c r="AZ549" s="4" t="str">
        <f>IFERROR(__xludf.DUMMYFUNCTION("""COMPUTED_VALUE"""),"#N/A")</f>
        <v>#N/A</v>
      </c>
      <c r="BA549" s="4" t="str">
        <f>IFERROR(__xludf.DUMMYFUNCTION("""COMPUTED_VALUE"""),"")</f>
        <v/>
      </c>
      <c r="BB549" s="4" t="str">
        <f>IFERROR(__xludf.DUMMYFUNCTION("""COMPUTED_VALUE"""),"")</f>
        <v/>
      </c>
      <c r="BC549" s="4" t="str">
        <f>IFERROR(__xludf.DUMMYFUNCTION("""COMPUTED_VALUE"""),"")</f>
        <v/>
      </c>
      <c r="BD549" s="4" t="str">
        <f>IFERROR(__xludf.DUMMYFUNCTION("""COMPUTED_VALUE"""),"")</f>
        <v/>
      </c>
      <c r="BE549" s="4" t="str">
        <f>IFERROR(__xludf.DUMMYFUNCTION("""COMPUTED_VALUE"""),"")</f>
        <v/>
      </c>
      <c r="BF549" s="4" t="str">
        <f>IFERROR(__xludf.DUMMYFUNCTION("""COMPUTED_VALUE"""),"")</f>
        <v/>
      </c>
      <c r="BG549" s="4" t="str">
        <f>IFERROR(__xludf.DUMMYFUNCTION("""COMPUTED_VALUE"""),"")</f>
        <v/>
      </c>
      <c r="BH549" s="4" t="s">
        <v>63</v>
      </c>
      <c r="BI549" s="7" t="s">
        <v>63</v>
      </c>
    </row>
    <row r="550" hidden="1">
      <c r="A550" s="4" t="str">
        <f>IFERROR(__xludf.DUMMYFUNCTION("""COMPUTED_VALUE"""),"CANTINA VOLPI")</f>
        <v>CANTINA VOLPI</v>
      </c>
      <c r="B550" s="4" t="str">
        <f>IFERROR(__xludf.DUMMYFUNCTION("""COMPUTED_VALUE"""),"Diego Santos")</f>
        <v>Diego Santos</v>
      </c>
      <c r="C550" s="4" t="str">
        <f>IFERROR(__xludf.DUMMYFUNCTION("""COMPUTED_VALUE"""),"Diego Santos")</f>
        <v>Diego Santos</v>
      </c>
      <c r="D550" s="4" t="str">
        <f>IFERROR(__xludf.DUMMYFUNCTION("""COMPUTED_VALUE"""),"10. Perdido")</f>
        <v>10. Perdido</v>
      </c>
      <c r="E550" s="4" t="str">
        <f>IFERROR(__xludf.DUMMYFUNCTION("""COMPUTED_VALUE"""),"Perdido - Sem perfil LA / 3SCheckout / PDV próprio")</f>
        <v>Perdido - Sem perfil LA / 3SCheckout / PDV próprio</v>
      </c>
      <c r="F550" s="4" t="str">
        <f>IFERROR(__xludf.DUMMYFUNCTION("""COMPUTED_VALUE"""),"P")</f>
        <v>P</v>
      </c>
      <c r="G550" s="5">
        <f>IFERROR(__xludf.DUMMYFUNCTION("""COMPUTED_VALUE"""),46084.0)</f>
        <v>46084</v>
      </c>
      <c r="H550" s="4" t="str">
        <f>IFERROR(__xludf.DUMMYFUNCTION("""COMPUTED_VALUE"""),"Sem perfil LA")</f>
        <v>Sem perfil LA</v>
      </c>
      <c r="I550" s="4"/>
      <c r="J550" s="6">
        <f>IFERROR(__xludf.DUMMYFUNCTION("""COMPUTED_VALUE"""),46076.73079553241)</f>
        <v>46076.7308</v>
      </c>
      <c r="K550" s="4"/>
      <c r="L550" s="4"/>
      <c r="M550" s="4"/>
      <c r="N550" s="4"/>
      <c r="O550" s="4"/>
      <c r="P550" s="4"/>
      <c r="Q550" s="4"/>
      <c r="R550" s="6">
        <f>IFERROR(__xludf.DUMMYFUNCTION("""COMPUTED_VALUE"""),46084.715481736115)</f>
        <v>46084.71548</v>
      </c>
      <c r="S550" s="4"/>
      <c r="T550" s="4"/>
      <c r="U550" s="4"/>
      <c r="V550" s="4" t="str">
        <f>IFERROR(__xludf.DUMMYFUNCTION("""COMPUTED_VALUE"""),"Sem interesse em mudar de PDV")</f>
        <v>Sem interesse em mudar de PDV</v>
      </c>
      <c r="W550" s="4"/>
      <c r="X550" s="4"/>
      <c r="Y550" s="4"/>
      <c r="Z550" s="4"/>
      <c r="AA550" s="4">
        <f>IFERROR(__xludf.DUMMYFUNCTION("""COMPUTED_VALUE"""),5.0)</f>
        <v>5</v>
      </c>
      <c r="AB550" s="4"/>
      <c r="AC550" s="4"/>
      <c r="AD550" s="4"/>
      <c r="AE550" s="4"/>
      <c r="AF550" s="4"/>
      <c r="AG550" s="4"/>
      <c r="AH550" s="4"/>
      <c r="AI550" s="4"/>
      <c r="AJ550" s="4"/>
      <c r="AK550" s="4"/>
      <c r="AL550" s="4"/>
      <c r="AM550" s="4" t="str">
        <f>IFERROR(__xludf.DUMMYFUNCTION("""COMPUTED_VALUE"""),"FY26")</f>
        <v>FY26</v>
      </c>
      <c r="AN550" s="4" t="str">
        <f>IFERROR(__xludf.DUMMYFUNCTION("""COMPUTED_VALUE"""),"Comer Fora")</f>
        <v>Comer Fora</v>
      </c>
      <c r="AO550" s="4">
        <f>IFERROR(__xludf.DUMMYFUNCTION("""COMPUTED_VALUE"""),130.0)</f>
        <v>130</v>
      </c>
      <c r="AP550" s="4"/>
      <c r="AQ550" s="4"/>
      <c r="AR550" s="4"/>
      <c r="AS550" s="4" t="str">
        <f>IFERROR(__xludf.DUMMYFUNCTION("""COMPUTED_VALUE"""),"THIAGO ROMAGNOLE")</f>
        <v>THIAGO ROMAGNOLE</v>
      </c>
      <c r="AT550" s="4" t="str">
        <f>IFERROR(__xludf.DUMMYFUNCTION("""COMPUTED_VALUE"""),"EDUARDO VAZ")</f>
        <v>EDUARDO VAZ</v>
      </c>
      <c r="AU550" s="4" t="str">
        <f>IFERROR(__xludf.DUMMYFUNCTION("""COMPUTED_VALUE"""),"Diego")</f>
        <v>Diego</v>
      </c>
      <c r="AV550" s="4" t="str">
        <f>IFERROR(__xludf.DUMMYFUNCTION("""COMPUTED_VALUE"""),"Comer Fora-")</f>
        <v>Comer Fora-</v>
      </c>
      <c r="AW550" s="20" t="str">
        <f>IFERROR(__xludf.DUMMYFUNCTION("""COMPUTED_VALUE"""),"P e M - pipe")</f>
        <v>P e M - pipe</v>
      </c>
      <c r="AX550" s="4"/>
      <c r="AY550" s="4"/>
      <c r="AZ550" s="4" t="str">
        <f>IFERROR(__xludf.DUMMYFUNCTION("""COMPUTED_VALUE"""),"Italiana")</f>
        <v>Italiana</v>
      </c>
      <c r="BA550" s="4" t="str">
        <f>IFERROR(__xludf.DUMMYFUNCTION("""COMPUTED_VALUE"""),"")</f>
        <v/>
      </c>
      <c r="BB550" s="4" t="str">
        <f>IFERROR(__xludf.DUMMYFUNCTION("""COMPUTED_VALUE"""),"")</f>
        <v/>
      </c>
      <c r="BC550" s="4" t="str">
        <f>IFERROR(__xludf.DUMMYFUNCTION("""COMPUTED_VALUE"""),"")</f>
        <v/>
      </c>
      <c r="BD550" s="4" t="str">
        <f>IFERROR(__xludf.DUMMYFUNCTION("""COMPUTED_VALUE"""),"")</f>
        <v/>
      </c>
      <c r="BE550" s="4" t="str">
        <f>IFERROR(__xludf.DUMMYFUNCTION("""COMPUTED_VALUE"""),"")</f>
        <v/>
      </c>
      <c r="BF550" s="4" t="str">
        <f>IFERROR(__xludf.DUMMYFUNCTION("""COMPUTED_VALUE"""),"")</f>
        <v/>
      </c>
      <c r="BG550" s="4" t="str">
        <f>IFERROR(__xludf.DUMMYFUNCTION("""COMPUTED_VALUE"""),"")</f>
        <v/>
      </c>
      <c r="BH550" s="4" t="s">
        <v>64</v>
      </c>
      <c r="BI550" s="7">
        <v>0.5</v>
      </c>
    </row>
    <row r="551" hidden="1">
      <c r="A551" s="4" t="str">
        <f>IFERROR(__xludf.DUMMYFUNCTION("""COMPUTED_VALUE"""),"Cao Veio")</f>
        <v>Cao Veio</v>
      </c>
      <c r="B551" s="4" t="str">
        <f>IFERROR(__xludf.DUMMYFUNCTION("""COMPUTED_VALUE"""),"Ana")</f>
        <v>Ana</v>
      </c>
      <c r="C551" s="4" t="str">
        <f>IFERROR(__xludf.DUMMYFUNCTION("""COMPUTED_VALUE"""),"Ana")</f>
        <v>Ana</v>
      </c>
      <c r="D551" s="4" t="str">
        <f>IFERROR(__xludf.DUMMYFUNCTION("""COMPUTED_VALUE"""),"10. Perdido")</f>
        <v>10. Perdido</v>
      </c>
      <c r="E551" s="4" t="str">
        <f>IFERROR(__xludf.DUMMYFUNCTION("""COMPUTED_VALUE"""),"Perdido -  Momento do restaurante não favorável")</f>
        <v>Perdido -  Momento do restaurante não favorável</v>
      </c>
      <c r="F551" s="4" t="str">
        <f>IFERROR(__xludf.DUMMYFUNCTION("""COMPUTED_VALUE"""),"P")</f>
        <v>P</v>
      </c>
      <c r="G551" s="5">
        <f>IFERROR(__xludf.DUMMYFUNCTION("""COMPUTED_VALUE"""),46076.0)</f>
        <v>46076</v>
      </c>
      <c r="H551" s="4" t="str">
        <f>IFERROR(__xludf.DUMMYFUNCTION("""COMPUTED_VALUE"""),"Parceiro está implementando sistema novo desde ano passado, mudou de pdv há 6 meses. Possivel lead para totem.")</f>
        <v>Parceiro está implementando sistema novo desde ano passado, mudou de pdv há 6 meses. Possivel lead para totem.</v>
      </c>
      <c r="I551" s="4"/>
      <c r="J551" s="4"/>
      <c r="K551" s="4"/>
      <c r="L551" s="4"/>
      <c r="M551" s="4"/>
      <c r="N551" s="4"/>
      <c r="O551" s="4"/>
      <c r="P551" s="4"/>
      <c r="Q551" s="4"/>
      <c r="R551" s="6">
        <f>IFERROR(__xludf.DUMMYFUNCTION("""COMPUTED_VALUE"""),46050.44532827546)</f>
        <v>46050.44533</v>
      </c>
      <c r="S551" s="4"/>
      <c r="T551" s="4"/>
      <c r="U551" s="4"/>
      <c r="V551" s="4" t="str">
        <f>IFERROR(__xludf.DUMMYFUNCTION("""COMPUTED_VALUE"""),"Sem interesse em mudar de PDV")</f>
        <v>Sem interesse em mudar de PDV</v>
      </c>
      <c r="W551" s="4"/>
      <c r="X551" s="4"/>
      <c r="Y551" s="4"/>
      <c r="Z551" s="4"/>
      <c r="AA551" s="4">
        <f>IFERROR(__xludf.DUMMYFUNCTION("""COMPUTED_VALUE"""),10.0)</f>
        <v>10</v>
      </c>
      <c r="AB551" s="4" t="str">
        <f>IFERROR(__xludf.DUMMYFUNCTION("""COMPUTED_VALUE"""),"NÃO")</f>
        <v>NÃO</v>
      </c>
      <c r="AC551" s="4" t="str">
        <f>IFERROR(__xludf.DUMMYFUNCTION("""COMPUTED_VALUE"""),"BP")</f>
        <v>BP</v>
      </c>
      <c r="AD551" s="4"/>
      <c r="AE551" s="4"/>
      <c r="AF551" s="4"/>
      <c r="AG551" s="4"/>
      <c r="AH551" s="4"/>
      <c r="AI551" s="4"/>
      <c r="AJ551" s="4"/>
      <c r="AK551" s="4"/>
      <c r="AL551" s="4"/>
      <c r="AM551" s="4" t="str">
        <f>IFERROR(__xludf.DUMMYFUNCTION("""COMPUTED_VALUE"""),"FY26")</f>
        <v>FY26</v>
      </c>
      <c r="AN551" s="4" t="str">
        <f>IFERROR(__xludf.DUMMYFUNCTION("""COMPUTED_VALUE"""),"Comer Fora")</f>
        <v>Comer Fora</v>
      </c>
      <c r="AO551" s="4">
        <f>IFERROR(__xludf.DUMMYFUNCTION("""COMPUTED_VALUE"""),140.0)</f>
        <v>140</v>
      </c>
      <c r="AP551" s="4"/>
      <c r="AQ551" s="4"/>
      <c r="AR551" s="4"/>
      <c r="AS551" s="4" t="str">
        <f>IFERROR(__xludf.DUMMYFUNCTION("""COMPUTED_VALUE"""),"NATHALIE MERTENS")</f>
        <v>NATHALIE MERTENS</v>
      </c>
      <c r="AT551" s="4" t="str">
        <f>IFERROR(__xludf.DUMMYFUNCTION("""COMPUTED_VALUE"""),"MARIANA KATZ")</f>
        <v>MARIANA KATZ</v>
      </c>
      <c r="AU551" s="4" t="str">
        <f>IFERROR(__xludf.DUMMYFUNCTION("""COMPUTED_VALUE"""),"Ana")</f>
        <v>Ana</v>
      </c>
      <c r="AV551" s="4" t="str">
        <f>IFERROR(__xludf.DUMMYFUNCTION("""COMPUTED_VALUE"""),"Comer Fora-")</f>
        <v>Comer Fora-</v>
      </c>
      <c r="AW551" s="20" t="str">
        <f>IFERROR(__xludf.DUMMYFUNCTION("""COMPUTED_VALUE"""),"P e M - pipe")</f>
        <v>P e M - pipe</v>
      </c>
      <c r="AX551" s="4"/>
      <c r="AY551" s="4"/>
      <c r="AZ551" s="4" t="str">
        <f>IFERROR(__xludf.DUMMYFUNCTION("""COMPUTED_VALUE"""),"Lanches")</f>
        <v>Lanches</v>
      </c>
      <c r="BA551" s="4" t="str">
        <f>IFERROR(__xludf.DUMMYFUNCTION("""COMPUTED_VALUE"""),"")</f>
        <v/>
      </c>
      <c r="BB551" s="4" t="str">
        <f>IFERROR(__xludf.DUMMYFUNCTION("""COMPUTED_VALUE"""),"")</f>
        <v/>
      </c>
      <c r="BC551" s="4" t="str">
        <f>IFERROR(__xludf.DUMMYFUNCTION("""COMPUTED_VALUE"""),"")</f>
        <v/>
      </c>
      <c r="BD551" s="4" t="str">
        <f>IFERROR(__xludf.DUMMYFUNCTION("""COMPUTED_VALUE"""),"")</f>
        <v/>
      </c>
      <c r="BE551" s="4" t="str">
        <f>IFERROR(__xludf.DUMMYFUNCTION("""COMPUTED_VALUE"""),"")</f>
        <v/>
      </c>
      <c r="BF551" s="4" t="str">
        <f>IFERROR(__xludf.DUMMYFUNCTION("""COMPUTED_VALUE"""),"")</f>
        <v/>
      </c>
      <c r="BG551" s="4" t="str">
        <f>IFERROR(__xludf.DUMMYFUNCTION("""COMPUTED_VALUE"""),"")</f>
        <v/>
      </c>
      <c r="BH551" s="4" t="s">
        <v>75</v>
      </c>
      <c r="BI551" s="7">
        <v>0.2857142857142857</v>
      </c>
    </row>
    <row r="552" hidden="1">
      <c r="A552" s="4" t="str">
        <f>IFERROR(__xludf.DUMMYFUNCTION("""COMPUTED_VALUE"""),"Carlos Pizza")</f>
        <v>Carlos Pizza</v>
      </c>
      <c r="B552" s="4" t="str">
        <f>IFERROR(__xludf.DUMMYFUNCTION("""COMPUTED_VALUE"""),"Diego Santos")</f>
        <v>Diego Santos</v>
      </c>
      <c r="C552" s="4" t="str">
        <f>IFERROR(__xludf.DUMMYFUNCTION("""COMPUTED_VALUE"""),"Diego Santos")</f>
        <v>Diego Santos</v>
      </c>
      <c r="D552" s="4" t="str">
        <f>IFERROR(__xludf.DUMMYFUNCTION("""COMPUTED_VALUE"""),"10. Perdido")</f>
        <v>10. Perdido</v>
      </c>
      <c r="E552" s="4" t="str">
        <f>IFERROR(__xludf.DUMMYFUNCTION("""COMPUTED_VALUE"""),"Perdido - Outro (detalhar ao lado)")</f>
        <v>Perdido - Outro (detalhar ao lado)</v>
      </c>
      <c r="F552" s="4" t="str">
        <f>IFERROR(__xludf.DUMMYFUNCTION("""COMPUTED_VALUE"""),"P")</f>
        <v>P</v>
      </c>
      <c r="G552" s="5">
        <f>IFERROR(__xludf.DUMMYFUNCTION("""COMPUTED_VALUE"""),46076.0)</f>
        <v>46076</v>
      </c>
      <c r="H552" s="4" t="str">
        <f>IFERROR(__xludf.DUMMYFUNCTION("""COMPUTED_VALUE"""),"Sem interesse mudar de solução")</f>
        <v>Sem interesse mudar de solução</v>
      </c>
      <c r="I552" s="4"/>
      <c r="J552" s="4"/>
      <c r="K552" s="6">
        <f>IFERROR(__xludf.DUMMYFUNCTION("""COMPUTED_VALUE"""),45943.0)</f>
        <v>45943</v>
      </c>
      <c r="L552" s="4"/>
      <c r="M552" s="4"/>
      <c r="N552" s="4"/>
      <c r="O552" s="4"/>
      <c r="P552" s="4"/>
      <c r="Q552" s="4"/>
      <c r="R552" s="4"/>
      <c r="S552" s="4"/>
      <c r="T552" s="4"/>
      <c r="U552" s="4"/>
      <c r="V552" s="4" t="str">
        <f>IFERROR(__xludf.DUMMYFUNCTION("""COMPUTED_VALUE"""),"Sem interesse em mudar de PDV")</f>
        <v>Sem interesse em mudar de PDV</v>
      </c>
      <c r="W552" s="4"/>
      <c r="X552" s="4"/>
      <c r="Y552" s="4"/>
      <c r="Z552" s="4"/>
      <c r="AA552" s="4">
        <f>IFERROR(__xludf.DUMMYFUNCTION("""COMPUTED_VALUE"""),2.0)</f>
        <v>2</v>
      </c>
      <c r="AB552" s="4" t="str">
        <f>IFERROR(__xludf.DUMMYFUNCTION("""COMPUTED_VALUE"""),"NÃO")</f>
        <v>NÃO</v>
      </c>
      <c r="AC552" s="4" t="str">
        <f>IFERROR(__xludf.DUMMYFUNCTION("""COMPUTED_VALUE"""),"BP")</f>
        <v>BP</v>
      </c>
      <c r="AD552" s="4"/>
      <c r="AE552" s="4"/>
      <c r="AF552" s="4"/>
      <c r="AG552" s="4"/>
      <c r="AH552" s="4"/>
      <c r="AI552" s="4"/>
      <c r="AJ552" s="4"/>
      <c r="AK552" s="4"/>
      <c r="AL552" s="4"/>
      <c r="AM552" s="4" t="str">
        <f>IFERROR(__xludf.DUMMYFUNCTION("""COMPUTED_VALUE"""),"FY26")</f>
        <v>FY26</v>
      </c>
      <c r="AN552" s="4" t="str">
        <f>IFERROR(__xludf.DUMMYFUNCTION("""COMPUTED_VALUE"""),"Comer Fora")</f>
        <v>Comer Fora</v>
      </c>
      <c r="AO552" s="4">
        <f>IFERROR(__xludf.DUMMYFUNCTION("""COMPUTED_VALUE"""),140.0)</f>
        <v>140</v>
      </c>
      <c r="AP552" s="4"/>
      <c r="AQ552" s="4"/>
      <c r="AR552" s="4"/>
      <c r="AS552" s="4" t="str">
        <f>IFERROR(__xludf.DUMMYFUNCTION("""COMPUTED_VALUE"""),"NATHALIE MERTENS")</f>
        <v>NATHALIE MERTENS</v>
      </c>
      <c r="AT552" s="4" t="str">
        <f>IFERROR(__xludf.DUMMYFUNCTION("""COMPUTED_VALUE"""),"MARIANA KATZ")</f>
        <v>MARIANA KATZ</v>
      </c>
      <c r="AU552" s="4" t="str">
        <f>IFERROR(__xludf.DUMMYFUNCTION("""COMPUTED_VALUE"""),"Diego")</f>
        <v>Diego</v>
      </c>
      <c r="AV552" s="4" t="str">
        <f>IFERROR(__xludf.DUMMYFUNCTION("""COMPUTED_VALUE"""),"Comer Fora-")</f>
        <v>Comer Fora-</v>
      </c>
      <c r="AW552" s="20" t="str">
        <f>IFERROR(__xludf.DUMMYFUNCTION("""COMPUTED_VALUE"""),"P e M - pipe")</f>
        <v>P e M - pipe</v>
      </c>
      <c r="AX552" s="4"/>
      <c r="AY552" s="4"/>
      <c r="AZ552" s="4" t="str">
        <f>IFERROR(__xludf.DUMMYFUNCTION("""COMPUTED_VALUE"""),"Pizza")</f>
        <v>Pizza</v>
      </c>
      <c r="BA552" s="4" t="str">
        <f>IFERROR(__xludf.DUMMYFUNCTION("""COMPUTED_VALUE"""),"")</f>
        <v/>
      </c>
      <c r="BB552" s="4" t="str">
        <f>IFERROR(__xludf.DUMMYFUNCTION("""COMPUTED_VALUE"""),"")</f>
        <v/>
      </c>
      <c r="BC552" s="4" t="str">
        <f>IFERROR(__xludf.DUMMYFUNCTION("""COMPUTED_VALUE"""),"")</f>
        <v/>
      </c>
      <c r="BD552" s="4" t="str">
        <f>IFERROR(__xludf.DUMMYFUNCTION("""COMPUTED_VALUE"""),"")</f>
        <v/>
      </c>
      <c r="BE552" s="4" t="str">
        <f>IFERROR(__xludf.DUMMYFUNCTION("""COMPUTED_VALUE"""),"")</f>
        <v/>
      </c>
      <c r="BF552" s="4" t="str">
        <f>IFERROR(__xludf.DUMMYFUNCTION("""COMPUTED_VALUE"""),"")</f>
        <v/>
      </c>
      <c r="BG552" s="4" t="str">
        <f>IFERROR(__xludf.DUMMYFUNCTION("""COMPUTED_VALUE"""),"")</f>
        <v/>
      </c>
      <c r="BH552" s="4" t="s">
        <v>129</v>
      </c>
      <c r="BI552" s="7">
        <v>1.0</v>
      </c>
    </row>
    <row r="553" hidden="1">
      <c r="A553" s="4" t="str">
        <f>IFERROR(__xludf.DUMMYFUNCTION("""COMPUTED_VALUE"""),"Casa Brig")</f>
        <v>Casa Brig</v>
      </c>
      <c r="B553" s="4" t="str">
        <f>IFERROR(__xludf.DUMMYFUNCTION("""COMPUTED_VALUE"""),"Diego Santos")</f>
        <v>Diego Santos</v>
      </c>
      <c r="C553" s="4" t="str">
        <f>IFERROR(__xludf.DUMMYFUNCTION("""COMPUTED_VALUE"""),"Diego Santos")</f>
        <v>Diego Santos</v>
      </c>
      <c r="D553" s="4" t="str">
        <f>IFERROR(__xludf.DUMMYFUNCTION("""COMPUTED_VALUE"""),"10. Perdido")</f>
        <v>10. Perdido</v>
      </c>
      <c r="E553" s="4" t="str">
        <f>IFERROR(__xludf.DUMMYFUNCTION("""COMPUTED_VALUE"""),"Perdido - Falta de aderência técnica")</f>
        <v>Perdido - Falta de aderência técnica</v>
      </c>
      <c r="F553" s="4" t="str">
        <f>IFERROR(__xludf.DUMMYFUNCTION("""COMPUTED_VALUE"""),"P")</f>
        <v>P</v>
      </c>
      <c r="G553" s="5">
        <f>IFERROR(__xludf.DUMMYFUNCTION("""COMPUTED_VALUE"""),46076.0)</f>
        <v>46076</v>
      </c>
      <c r="H553" s="4" t="str">
        <f>IFERROR(__xludf.DUMMYFUNCTION("""COMPUTED_VALUE"""),"assinou contrato e declinou ")</f>
        <v>assinou contrato e declinou </v>
      </c>
      <c r="I553" s="4"/>
      <c r="J553" s="4"/>
      <c r="K553" s="6">
        <f>IFERROR(__xludf.DUMMYFUNCTION("""COMPUTED_VALUE"""),45940.0)</f>
        <v>45940</v>
      </c>
      <c r="L553" s="4"/>
      <c r="M553" s="4"/>
      <c r="N553" s="4"/>
      <c r="O553" s="4"/>
      <c r="P553" s="4"/>
      <c r="Q553" s="4"/>
      <c r="R553" s="4"/>
      <c r="S553" s="4"/>
      <c r="T553" s="4"/>
      <c r="U553" s="4"/>
      <c r="V553" s="4" t="str">
        <f>IFERROR(__xludf.DUMMYFUNCTION("""COMPUTED_VALUE"""),"Proposta declinada")</f>
        <v>Proposta declinada</v>
      </c>
      <c r="W553" s="4"/>
      <c r="X553" s="4"/>
      <c r="Y553" s="4"/>
      <c r="Z553" s="4"/>
      <c r="AA553" s="4">
        <f>IFERROR(__xludf.DUMMYFUNCTION("""COMPUTED_VALUE"""),1.0)</f>
        <v>1</v>
      </c>
      <c r="AB553" s="4" t="str">
        <f>IFERROR(__xludf.DUMMYFUNCTION("""COMPUTED_VALUE"""),"NÃO")</f>
        <v>NÃO</v>
      </c>
      <c r="AC553" s="4" t="str">
        <f>IFERROR(__xludf.DUMMYFUNCTION("""COMPUTED_VALUE"""),"Não BP")</f>
        <v>Não BP</v>
      </c>
      <c r="AD553" s="4"/>
      <c r="AE553" s="4"/>
      <c r="AF553" s="4"/>
      <c r="AG553" s="4"/>
      <c r="AH553" s="4"/>
      <c r="AI553" s="4"/>
      <c r="AJ553" s="4"/>
      <c r="AK553" s="4"/>
      <c r="AL553" s="4"/>
      <c r="AM553" s="4" t="str">
        <f>IFERROR(__xludf.DUMMYFUNCTION("""COMPUTED_VALUE"""),"FY26")</f>
        <v>FY26</v>
      </c>
      <c r="AN553" s="4"/>
      <c r="AO553" s="4">
        <f>IFERROR(__xludf.DUMMYFUNCTION("""COMPUTED_VALUE"""),140.0)</f>
        <v>140</v>
      </c>
      <c r="AP553" s="4"/>
      <c r="AQ553" s="4"/>
      <c r="AR553" s="4"/>
      <c r="AS553" s="4">
        <f>IFERROR(__xludf.DUMMYFUNCTION("""COMPUTED_VALUE"""),0.0)</f>
        <v>0</v>
      </c>
      <c r="AT553" s="4">
        <f>IFERROR(__xludf.DUMMYFUNCTION("""COMPUTED_VALUE"""),0.0)</f>
        <v>0</v>
      </c>
      <c r="AU553" s="4" t="str">
        <f>IFERROR(__xludf.DUMMYFUNCTION("""COMPUTED_VALUE"""),"Diego")</f>
        <v>Diego</v>
      </c>
      <c r="AV553" s="4">
        <f>IFERROR(__xludf.DUMMYFUNCTION("""COMPUTED_VALUE"""),0.0)</f>
        <v>0</v>
      </c>
      <c r="AW553" s="4">
        <f>IFERROR(__xludf.DUMMYFUNCTION("""COMPUTED_VALUE"""),0.0)</f>
        <v>0</v>
      </c>
      <c r="AX553" s="4">
        <f>IFERROR(__xludf.DUMMYFUNCTION("""COMPUTED_VALUE"""),0.0)</f>
        <v>0</v>
      </c>
      <c r="AY553" s="4"/>
      <c r="AZ553" s="4" t="str">
        <f>IFERROR(__xludf.DUMMYFUNCTION("""COMPUTED_VALUE"""),"Doces &amp; Bolos")</f>
        <v>Doces &amp; Bolos</v>
      </c>
      <c r="BA553" s="4" t="str">
        <f>IFERROR(__xludf.DUMMYFUNCTION("""COMPUTED_VALUE"""),"")</f>
        <v/>
      </c>
      <c r="BB553" s="4" t="str">
        <f>IFERROR(__xludf.DUMMYFUNCTION("""COMPUTED_VALUE"""),"")</f>
        <v/>
      </c>
      <c r="BC553" s="4" t="str">
        <f>IFERROR(__xludf.DUMMYFUNCTION("""COMPUTED_VALUE"""),"")</f>
        <v/>
      </c>
      <c r="BD553" s="4" t="str">
        <f>IFERROR(__xludf.DUMMYFUNCTION("""COMPUTED_VALUE"""),"")</f>
        <v/>
      </c>
      <c r="BE553" s="4" t="str">
        <f>IFERROR(__xludf.DUMMYFUNCTION("""COMPUTED_VALUE"""),"")</f>
        <v/>
      </c>
      <c r="BF553" s="4" t="str">
        <f>IFERROR(__xludf.DUMMYFUNCTION("""COMPUTED_VALUE"""),"")</f>
        <v/>
      </c>
      <c r="BG553" s="4" t="str">
        <f>IFERROR(__xludf.DUMMYFUNCTION("""COMPUTED_VALUE"""),"")</f>
        <v/>
      </c>
      <c r="BH553" s="4" t="s">
        <v>63</v>
      </c>
      <c r="BI553" s="7" t="s">
        <v>63</v>
      </c>
    </row>
    <row r="554" hidden="1">
      <c r="A554" s="4" t="str">
        <f>IFERROR(__xludf.DUMMYFUNCTION("""COMPUTED_VALUE"""),"Casa Da Pizza")</f>
        <v>Casa Da Pizza</v>
      </c>
      <c r="B554" s="4" t="str">
        <f>IFERROR(__xludf.DUMMYFUNCTION("""COMPUTED_VALUE"""),"Diego Santos")</f>
        <v>Diego Santos</v>
      </c>
      <c r="C554" s="4" t="str">
        <f>IFERROR(__xludf.DUMMYFUNCTION("""COMPUTED_VALUE"""),"Diego Santos")</f>
        <v>Diego Santos</v>
      </c>
      <c r="D554" s="4" t="str">
        <f>IFERROR(__xludf.DUMMYFUNCTION("""COMPUTED_VALUE"""),"9. Contrato assinado")</f>
        <v>9. Contrato assinado</v>
      </c>
      <c r="E554" s="4" t="str">
        <f>IFERROR(__xludf.DUMMYFUNCTION("""COMPUTED_VALUE""")," Projetos - Contrato assinado &amp; Rollout")</f>
        <v> Projetos - Contrato assinado &amp; Rollout</v>
      </c>
      <c r="F554" s="4" t="str">
        <f>IFERROR(__xludf.DUMMYFUNCTION("""COMPUTED_VALUE"""),"P")</f>
        <v>P</v>
      </c>
      <c r="G554" s="5">
        <f>IFERROR(__xludf.DUMMYFUNCTION("""COMPUTED_VALUE"""),46076.0)</f>
        <v>46076</v>
      </c>
      <c r="H554" s="4" t="str">
        <f>IFERROR(__xludf.DUMMYFUNCTION("""COMPUTED_VALUE"""),"Contrato assinado")</f>
        <v>Contrato assinado</v>
      </c>
      <c r="I554" s="4"/>
      <c r="J554" s="4"/>
      <c r="K554" s="6">
        <f>IFERROR(__xludf.DUMMYFUNCTION("""COMPUTED_VALUE"""),45960.0)</f>
        <v>45960</v>
      </c>
      <c r="L554" s="4"/>
      <c r="M554" s="4"/>
      <c r="N554" s="6">
        <f>IFERROR(__xludf.DUMMYFUNCTION("""COMPUTED_VALUE"""),46051.403469282406)</f>
        <v>46051.40347</v>
      </c>
      <c r="O554" s="4"/>
      <c r="P554" s="4"/>
      <c r="Q554" s="6">
        <f>IFERROR(__xludf.DUMMYFUNCTION("""COMPUTED_VALUE"""),46051.403469282406)</f>
        <v>46051.40347</v>
      </c>
      <c r="R554" s="4"/>
      <c r="S554" s="4"/>
      <c r="T554" s="4"/>
      <c r="U554" s="4"/>
      <c r="V554" s="4"/>
      <c r="W554" s="8">
        <f>IFERROR(__xludf.DUMMYFUNCTION("""COMPUTED_VALUE"""),1620.0)</f>
        <v>1620</v>
      </c>
      <c r="X554" s="4">
        <f>IFERROR(__xludf.DUMMYFUNCTION("""COMPUTED_VALUE"""),1.0)</f>
        <v>1</v>
      </c>
      <c r="Y554" s="8">
        <f>IFERROR(__xludf.DUMMYFUNCTION("""COMPUTED_VALUE"""),2500.0)</f>
        <v>2500</v>
      </c>
      <c r="Z554" s="8">
        <f>IFERROR(__xludf.DUMMYFUNCTION("""COMPUTED_VALUE"""),2500.0)</f>
        <v>2500</v>
      </c>
      <c r="AA554" s="4">
        <f>IFERROR(__xludf.DUMMYFUNCTION("""COMPUTED_VALUE"""),1.0)</f>
        <v>1</v>
      </c>
      <c r="AB554" s="4" t="str">
        <f>IFERROR(__xludf.DUMMYFUNCTION("""COMPUTED_VALUE"""),"NÃO")</f>
        <v>NÃO</v>
      </c>
      <c r="AC554" s="4" t="str">
        <f>IFERROR(__xludf.DUMMYFUNCTION("""COMPUTED_VALUE"""),"BP")</f>
        <v>BP</v>
      </c>
      <c r="AD554" s="4"/>
      <c r="AE554" s="4"/>
      <c r="AF554" s="4"/>
      <c r="AG554" s="4"/>
      <c r="AH554" s="4"/>
      <c r="AI554" s="4"/>
      <c r="AJ554" s="4"/>
      <c r="AK554" s="4"/>
      <c r="AL554" s="4"/>
      <c r="AM554" s="4" t="str">
        <f>IFERROR(__xludf.DUMMYFUNCTION("""COMPUTED_VALUE"""),"FY26")</f>
        <v>FY26</v>
      </c>
      <c r="AN554" s="4"/>
      <c r="AO554" s="4">
        <f>IFERROR(__xludf.DUMMYFUNCTION("""COMPUTED_VALUE"""),140.0)</f>
        <v>140</v>
      </c>
      <c r="AP554" s="4"/>
      <c r="AQ554" s="4"/>
      <c r="AR554" s="4"/>
      <c r="AS554" s="4" t="str">
        <f>IFERROR(__xludf.DUMMYFUNCTION("""COMPUTED_VALUE"""),"FABIO DONATO")</f>
        <v>FABIO DONATO</v>
      </c>
      <c r="AT554" s="4" t="str">
        <f>IFERROR(__xludf.DUMMYFUNCTION("""COMPUTED_VALUE"""),"MURILO NAGASHIMA")</f>
        <v>MURILO NAGASHIMA</v>
      </c>
      <c r="AU554" s="4" t="str">
        <f>IFERROR(__xludf.DUMMYFUNCTION("""COMPUTED_VALUE"""),"Diego")</f>
        <v>Diego</v>
      </c>
      <c r="AV554" s="4">
        <f>IFERROR(__xludf.DUMMYFUNCTION("""COMPUTED_VALUE"""),0.0)</f>
        <v>0</v>
      </c>
      <c r="AW554" s="4">
        <f>IFERROR(__xludf.DUMMYFUNCTION("""COMPUTED_VALUE"""),0.0)</f>
        <v>0</v>
      </c>
      <c r="AX554" s="4">
        <f>IFERROR(__xludf.DUMMYFUNCTION("""COMPUTED_VALUE"""),0.0)</f>
        <v>0</v>
      </c>
      <c r="AY554" s="4"/>
      <c r="AZ554" s="4" t="str">
        <f>IFERROR(__xludf.DUMMYFUNCTION("""COMPUTED_VALUE"""),"Pizza")</f>
        <v>Pizza</v>
      </c>
      <c r="BA554" s="4" t="str">
        <f>IFERROR(__xludf.DUMMYFUNCTION("""COMPUTED_VALUE"""),"")</f>
        <v/>
      </c>
      <c r="BB554" s="4" t="str">
        <f>IFERROR(__xludf.DUMMYFUNCTION("""COMPUTED_VALUE"""),"")</f>
        <v/>
      </c>
      <c r="BC554" s="4" t="str">
        <f>IFERROR(__xludf.DUMMYFUNCTION("""COMPUTED_VALUE"""),"")</f>
        <v/>
      </c>
      <c r="BD554" s="4" t="str">
        <f>IFERROR(__xludf.DUMMYFUNCTION("""COMPUTED_VALUE"""),"")</f>
        <v/>
      </c>
      <c r="BE554" s="4" t="str">
        <f>IFERROR(__xludf.DUMMYFUNCTION("""COMPUTED_VALUE"""),"")</f>
        <v/>
      </c>
      <c r="BF554" s="4" t="str">
        <f>IFERROR(__xludf.DUMMYFUNCTION("""COMPUTED_VALUE"""),"")</f>
        <v/>
      </c>
      <c r="BG554" s="4" t="str">
        <f>IFERROR(__xludf.DUMMYFUNCTION("""COMPUTED_VALUE"""),"")</f>
        <v/>
      </c>
      <c r="BH554" s="4" t="s">
        <v>69</v>
      </c>
      <c r="BI554" s="7">
        <v>0.30434782608695654</v>
      </c>
    </row>
    <row r="555" hidden="1">
      <c r="A555" s="4" t="str">
        <f>IFERROR(__xludf.DUMMYFUNCTION("""COMPUTED_VALUE"""),"Casa Do Pastel")</f>
        <v>Casa Do Pastel</v>
      </c>
      <c r="B555" s="4" t="str">
        <f>IFERROR(__xludf.DUMMYFUNCTION("""COMPUTED_VALUE"""),"Emerson")</f>
        <v>Emerson</v>
      </c>
      <c r="C555" s="4" t="str">
        <f>IFERROR(__xludf.DUMMYFUNCTION("""COMPUTED_VALUE"""),"Emerson")</f>
        <v>Emerson</v>
      </c>
      <c r="D555" s="4" t="str">
        <f>IFERROR(__xludf.DUMMYFUNCTION("""COMPUTED_VALUE"""),"6. Negociação")</f>
        <v>6. Negociação</v>
      </c>
      <c r="E555" s="4"/>
      <c r="F555" s="4" t="str">
        <f>IFERROR(__xludf.DUMMYFUNCTION("""COMPUTED_VALUE"""),"P")</f>
        <v>P</v>
      </c>
      <c r="G555" s="4"/>
      <c r="H555" s="4"/>
      <c r="I555" s="4"/>
      <c r="J555" s="4"/>
      <c r="K555" s="6">
        <f>IFERROR(__xludf.DUMMYFUNCTION("""COMPUTED_VALUE"""),45899.0)</f>
        <v>45899</v>
      </c>
      <c r="L555" s="4"/>
      <c r="M555" s="4"/>
      <c r="N555" s="4"/>
      <c r="O555" s="4"/>
      <c r="P555" s="4"/>
      <c r="Q555" s="4"/>
      <c r="R555" s="4"/>
      <c r="S555" s="4"/>
      <c r="T555" s="4"/>
      <c r="U555" s="4"/>
      <c r="V555" s="4"/>
      <c r="W555" s="4"/>
      <c r="X555" s="4"/>
      <c r="Y555" s="4"/>
      <c r="Z555" s="4"/>
      <c r="AA555" s="4">
        <f>IFERROR(__xludf.DUMMYFUNCTION("""COMPUTED_VALUE"""),10.0)</f>
        <v>10</v>
      </c>
      <c r="AB555" s="4" t="str">
        <f>IFERROR(__xludf.DUMMYFUNCTION("""COMPUTED_VALUE"""),"NÃO")</f>
        <v>NÃO</v>
      </c>
      <c r="AC555" s="4" t="str">
        <f>IFERROR(__xludf.DUMMYFUNCTION("""COMPUTED_VALUE"""),"Não BP")</f>
        <v>Não BP</v>
      </c>
      <c r="AD555" s="4"/>
      <c r="AE555" s="4"/>
      <c r="AF555" s="4"/>
      <c r="AG555" s="4"/>
      <c r="AH555" s="4"/>
      <c r="AI555" s="4"/>
      <c r="AJ555" s="4"/>
      <c r="AK555" s="4"/>
      <c r="AL555" s="4"/>
      <c r="AM555" s="4" t="str">
        <f>IFERROR(__xludf.DUMMYFUNCTION("""COMPUTED_VALUE"""),"FY26, FY27")</f>
        <v>FY26, FY27</v>
      </c>
      <c r="AN555" s="4" t="str">
        <f>IFERROR(__xludf.DUMMYFUNCTION("""COMPUTED_VALUE"""),"Comer Fora")</f>
        <v>Comer Fora</v>
      </c>
      <c r="AO555" s="4">
        <f>IFERROR(__xludf.DUMMYFUNCTION("""COMPUTED_VALUE"""),45553.0)</f>
        <v>45553</v>
      </c>
      <c r="AP555" s="4"/>
      <c r="AQ555" s="4"/>
      <c r="AR555" s="4"/>
      <c r="AS555" s="4" t="str">
        <f>IFERROR(__xludf.DUMMYFUNCTION("""COMPUTED_VALUE"""),"NATHALIE MERTENS")</f>
        <v>NATHALIE MERTENS</v>
      </c>
      <c r="AT555" s="4" t="str">
        <f>IFERROR(__xludf.DUMMYFUNCTION("""COMPUTED_VALUE"""),"NATALIA COUTINHO")</f>
        <v>NATALIA COUTINHO</v>
      </c>
      <c r="AU555" s="4" t="str">
        <f>IFERROR(__xludf.DUMMYFUNCTION("""COMPUTED_VALUE"""),"Emerson")</f>
        <v>Emerson</v>
      </c>
      <c r="AV555" s="4" t="str">
        <f>IFERROR(__xludf.DUMMYFUNCTION("""COMPUTED_VALUE"""),"Comer Fora-")</f>
        <v>Comer Fora-</v>
      </c>
      <c r="AW555" s="20" t="str">
        <f>IFERROR(__xludf.DUMMYFUNCTION("""COMPUTED_VALUE"""),"P e M - pipe")</f>
        <v>P e M - pipe</v>
      </c>
      <c r="AX555" s="4"/>
      <c r="AY555" s="4"/>
      <c r="AZ555" s="4" t="str">
        <f>IFERROR(__xludf.DUMMYFUNCTION("""COMPUTED_VALUE"""),"Lanches")</f>
        <v>Lanches</v>
      </c>
      <c r="BA555" s="4" t="str">
        <f>IFERROR(__xludf.DUMMYFUNCTION("""COMPUTED_VALUE"""),"R$ 12-25")</f>
        <v>R$ 12-25</v>
      </c>
      <c r="BB555" s="4" t="str">
        <f>IFERROR(__xludf.DUMMYFUNCTION("""COMPUTED_VALUE"""),"QSR - Pastelaria")</f>
        <v>QSR - Pastelaria</v>
      </c>
      <c r="BC555" s="4" t="str">
        <f>IFERROR(__xludf.DUMMYFUNCTION("""COMPUTED_VALUE"""),"Mogi das Cruzes e Suzano/SP")</f>
        <v>Mogi das Cruzes e Suzano/SP</v>
      </c>
      <c r="BD555" s="4" t="str">
        <f>IFERROR(__xludf.DUMMYFUNCTION("""COMPUTED_VALUE"""),"Necessário Discovery")</f>
        <v>Necessário Discovery</v>
      </c>
      <c r="BE555" s="4">
        <f>IFERROR(__xludf.DUMMYFUNCTION("""COMPUTED_VALUE"""),45.0)</f>
        <v>45</v>
      </c>
      <c r="BF555" s="4">
        <f>IFERROR(__xludf.DUMMYFUNCTION("""COMPUTED_VALUE"""),0.5)</f>
        <v>0.5</v>
      </c>
      <c r="BG555" s="4" t="str">
        <f>IFERROR(__xludf.DUMMYFUNCTION("""COMPUTED_VALUE"""),"PDV não identificado - Rede pequena (4 lojas). Naturale &amp; Cia. 3S: solução básica")</f>
        <v>PDV não identificado - Rede pequena (4 lojas). Naturale &amp; Cia. 3S: solução básica</v>
      </c>
      <c r="BH555" s="4" t="s">
        <v>143</v>
      </c>
      <c r="BI555" s="7">
        <v>0.2</v>
      </c>
    </row>
    <row r="556" hidden="1">
      <c r="A556" s="4" t="str">
        <f>IFERROR(__xludf.DUMMYFUNCTION("""COMPUTED_VALUE"""),"Cepam")</f>
        <v>Cepam</v>
      </c>
      <c r="B556" s="4" t="str">
        <f>IFERROR(__xludf.DUMMYFUNCTION("""COMPUTED_VALUE"""),"Ana")</f>
        <v>Ana</v>
      </c>
      <c r="C556" s="4" t="str">
        <f>IFERROR(__xludf.DUMMYFUNCTION("""COMPUTED_VALUE"""),"Ana")</f>
        <v>Ana</v>
      </c>
      <c r="D556" s="4" t="str">
        <f>IFERROR(__xludf.DUMMYFUNCTION("""COMPUTED_VALUE"""),"10. Perdido")</f>
        <v>10. Perdido</v>
      </c>
      <c r="E556" s="4" t="str">
        <f>IFERROR(__xludf.DUMMYFUNCTION("""COMPUTED_VALUE"""),"Perdido - Sem perfil LA / 3SCheckout / PDV próprio")</f>
        <v>Perdido - Sem perfil LA / 3SCheckout / PDV próprio</v>
      </c>
      <c r="F556" s="4" t="str">
        <f>IFERROR(__xludf.DUMMYFUNCTION("""COMPUTED_VALUE"""),"P")</f>
        <v>P</v>
      </c>
      <c r="G556" s="5">
        <f>IFERROR(__xludf.DUMMYFUNCTION("""COMPUTED_VALUE"""),46076.0)</f>
        <v>46076</v>
      </c>
      <c r="H556" s="4" t="str">
        <f>IFERROR(__xludf.DUMMYFUNCTION("""COMPUTED_VALUE"""),"Sem fit com sistema, padaria muito grande, usam datamax, mais perfil até de varejo nesse primeiro momento. podemos voltar a sondar no próximo ciclo após entender se vale o esforço... cardapio com mais de 1000 itens ativos e 3000 no total, fazem encomendas"&amp;" e etc")</f>
        <v>Sem fit com sistema, padaria muito grande, usam datamax, mais perfil até de varejo nesse primeiro momento. podemos voltar a sondar no próximo ciclo após entender se vale o esforço... cardapio com mais de 1000 itens ativos e 3000 no total, fazem encomendas e etc</v>
      </c>
      <c r="I556" s="4"/>
      <c r="J556" s="4"/>
      <c r="K556" s="6">
        <f>IFERROR(__xludf.DUMMYFUNCTION("""COMPUTED_VALUE"""),45986.0)</f>
        <v>45986</v>
      </c>
      <c r="L556" s="4"/>
      <c r="M556" s="4"/>
      <c r="N556" s="4"/>
      <c r="O556" s="4"/>
      <c r="P556" s="4"/>
      <c r="Q556" s="4"/>
      <c r="R556" s="6">
        <f>IFERROR(__xludf.DUMMYFUNCTION("""COMPUTED_VALUE"""),46050.45668180556)</f>
        <v>46050.45668</v>
      </c>
      <c r="S556" s="4"/>
      <c r="T556" s="4"/>
      <c r="U556" s="4"/>
      <c r="V556" s="4" t="str">
        <f>IFERROR(__xludf.DUMMYFUNCTION("""COMPUTED_VALUE"""),"Sem interesse em mudar de PDV")</f>
        <v>Sem interesse em mudar de PDV</v>
      </c>
      <c r="W556" s="4"/>
      <c r="X556" s="4"/>
      <c r="Y556" s="4"/>
      <c r="Z556" s="4"/>
      <c r="AA556" s="4">
        <f>IFERROR(__xludf.DUMMYFUNCTION("""COMPUTED_VALUE"""),1.0)</f>
        <v>1</v>
      </c>
      <c r="AB556" s="4" t="str">
        <f>IFERROR(__xludf.DUMMYFUNCTION("""COMPUTED_VALUE"""),"NÃO")</f>
        <v>NÃO</v>
      </c>
      <c r="AC556" s="4" t="str">
        <f>IFERROR(__xludf.DUMMYFUNCTION("""COMPUTED_VALUE"""),"Não BP")</f>
        <v>Não BP</v>
      </c>
      <c r="AD556" s="4"/>
      <c r="AE556" s="4"/>
      <c r="AF556" s="4"/>
      <c r="AG556" s="4"/>
      <c r="AH556" s="4"/>
      <c r="AI556" s="4"/>
      <c r="AJ556" s="4"/>
      <c r="AK556" s="4"/>
      <c r="AL556" s="4"/>
      <c r="AM556" s="4" t="str">
        <f>IFERROR(__xludf.DUMMYFUNCTION("""COMPUTED_VALUE"""),"FY26")</f>
        <v>FY26</v>
      </c>
      <c r="AN556" s="4" t="str">
        <f>IFERROR(__xludf.DUMMYFUNCTION("""COMPUTED_VALUE"""),"Comer Fora")</f>
        <v>Comer Fora</v>
      </c>
      <c r="AO556" s="4">
        <f>IFERROR(__xludf.DUMMYFUNCTION("""COMPUTED_VALUE"""),140.0)</f>
        <v>140</v>
      </c>
      <c r="AP556" s="4"/>
      <c r="AQ556" s="4"/>
      <c r="AR556" s="4"/>
      <c r="AS556" s="4" t="str">
        <f>IFERROR(__xludf.DUMMYFUNCTION("""COMPUTED_VALUE"""),"NATHALIE MERTENS")</f>
        <v>NATHALIE MERTENS</v>
      </c>
      <c r="AT556" s="4" t="str">
        <f>IFERROR(__xludf.DUMMYFUNCTION("""COMPUTED_VALUE"""),"MARIANA KATZ")</f>
        <v>MARIANA KATZ</v>
      </c>
      <c r="AU556" s="4" t="str">
        <f>IFERROR(__xludf.DUMMYFUNCTION("""COMPUTED_VALUE"""),"Ana")</f>
        <v>Ana</v>
      </c>
      <c r="AV556" s="4" t="str">
        <f>IFERROR(__xludf.DUMMYFUNCTION("""COMPUTED_VALUE"""),"Comer Fora-")</f>
        <v>Comer Fora-</v>
      </c>
      <c r="AW556" s="20" t="str">
        <f>IFERROR(__xludf.DUMMYFUNCTION("""COMPUTED_VALUE"""),"P e M - pipe")</f>
        <v>P e M - pipe</v>
      </c>
      <c r="AX556" s="4"/>
      <c r="AY556" s="4"/>
      <c r="AZ556" s="4" t="str">
        <f>IFERROR(__xludf.DUMMYFUNCTION("""COMPUTED_VALUE"""),"Padaria")</f>
        <v>Padaria</v>
      </c>
      <c r="BA556" s="4" t="str">
        <f>IFERROR(__xludf.DUMMYFUNCTION("""COMPUTED_VALUE"""),"")</f>
        <v/>
      </c>
      <c r="BB556" s="4" t="str">
        <f>IFERROR(__xludf.DUMMYFUNCTION("""COMPUTED_VALUE"""),"")</f>
        <v/>
      </c>
      <c r="BC556" s="4" t="str">
        <f>IFERROR(__xludf.DUMMYFUNCTION("""COMPUTED_VALUE"""),"")</f>
        <v/>
      </c>
      <c r="BD556" s="4" t="str">
        <f>IFERROR(__xludf.DUMMYFUNCTION("""COMPUTED_VALUE"""),"")</f>
        <v/>
      </c>
      <c r="BE556" s="4" t="str">
        <f>IFERROR(__xludf.DUMMYFUNCTION("""COMPUTED_VALUE"""),"")</f>
        <v/>
      </c>
      <c r="BF556" s="4" t="str">
        <f>IFERROR(__xludf.DUMMYFUNCTION("""COMPUTED_VALUE"""),"")</f>
        <v/>
      </c>
      <c r="BG556" s="4" t="str">
        <f>IFERROR(__xludf.DUMMYFUNCTION("""COMPUTED_VALUE"""),"")</f>
        <v/>
      </c>
      <c r="BH556" s="4" t="s">
        <v>64</v>
      </c>
      <c r="BI556" s="7">
        <v>0.5</v>
      </c>
    </row>
    <row r="557" hidden="1">
      <c r="A557" s="4" t="str">
        <f>IFERROR(__xludf.DUMMYFUNCTION("""COMPUTED_VALUE"""),"Che Barbaro")</f>
        <v>Che Barbaro</v>
      </c>
      <c r="B557" s="4" t="str">
        <f>IFERROR(__xludf.DUMMYFUNCTION("""COMPUTED_VALUE"""),"Ana")</f>
        <v>Ana</v>
      </c>
      <c r="C557" s="4" t="str">
        <f>IFERROR(__xludf.DUMMYFUNCTION("""COMPUTED_VALUE"""),"Ana")</f>
        <v>Ana</v>
      </c>
      <c r="D557" s="4" t="str">
        <f>IFERROR(__xludf.DUMMYFUNCTION("""COMPUTED_VALUE"""),"10. Perdido")</f>
        <v>10. Perdido</v>
      </c>
      <c r="E557" s="4" t="str">
        <f>IFERROR(__xludf.DUMMYFUNCTION("""COMPUTED_VALUE"""),"Perdido - Outro (detalhar ao lado)")</f>
        <v>Perdido - Outro (detalhar ao lado)</v>
      </c>
      <c r="F557" s="4" t="str">
        <f>IFERROR(__xludf.DUMMYFUNCTION("""COMPUTED_VALUE"""),"P")</f>
        <v>P</v>
      </c>
      <c r="G557" s="5">
        <f>IFERROR(__xludf.DUMMYFUNCTION("""COMPUTED_VALUE"""),46076.0)</f>
        <v>46076</v>
      </c>
      <c r="H557" s="4" t="str">
        <f>IFERROR(__xludf.DUMMYFUNCTION("""COMPUTED_VALUE"""),"Utilizam colibri e estão satisfeitos com o PDV e não abriram espaço para troca. Possuem maquinona, podemos aborda-los futuramente com o dine in. ")</f>
        <v>Utilizam colibri e estão satisfeitos com o PDV e não abriram espaço para troca. Possuem maquinona, podemos aborda-los futuramente com o dine in. </v>
      </c>
      <c r="I557" s="4"/>
      <c r="J557" s="4"/>
      <c r="K557" s="6">
        <f>IFERROR(__xludf.DUMMYFUNCTION("""COMPUTED_VALUE"""),45950.0)</f>
        <v>45950</v>
      </c>
      <c r="L557" s="4"/>
      <c r="M557" s="4"/>
      <c r="N557" s="4"/>
      <c r="O557" s="4"/>
      <c r="P557" s="4"/>
      <c r="Q557" s="4"/>
      <c r="R557" s="6">
        <f>IFERROR(__xludf.DUMMYFUNCTION("""COMPUTED_VALUE"""),46052.42976315972)</f>
        <v>46052.42976</v>
      </c>
      <c r="S557" s="4"/>
      <c r="T557" s="4"/>
      <c r="U557" s="4"/>
      <c r="V557" s="4" t="str">
        <f>IFERROR(__xludf.DUMMYFUNCTION("""COMPUTED_VALUE"""),"Sem interesse em mudar de PDV")</f>
        <v>Sem interesse em mudar de PDV</v>
      </c>
      <c r="W557" s="4"/>
      <c r="X557" s="4"/>
      <c r="Y557" s="4"/>
      <c r="Z557" s="4"/>
      <c r="AA557" s="4">
        <f>IFERROR(__xludf.DUMMYFUNCTION("""COMPUTED_VALUE"""),5.0)</f>
        <v>5</v>
      </c>
      <c r="AB557" s="4" t="str">
        <f>IFERROR(__xludf.DUMMYFUNCTION("""COMPUTED_VALUE"""),"NÃO")</f>
        <v>NÃO</v>
      </c>
      <c r="AC557" s="4" t="str">
        <f>IFERROR(__xludf.DUMMYFUNCTION("""COMPUTED_VALUE"""),"Não BP")</f>
        <v>Não BP</v>
      </c>
      <c r="AD557" s="4"/>
      <c r="AE557" s="4"/>
      <c r="AF557" s="4"/>
      <c r="AG557" s="4"/>
      <c r="AH557" s="4"/>
      <c r="AI557" s="4"/>
      <c r="AJ557" s="4"/>
      <c r="AK557" s="4"/>
      <c r="AL557" s="4"/>
      <c r="AM557" s="4" t="str">
        <f>IFERROR(__xludf.DUMMYFUNCTION("""COMPUTED_VALUE"""),"FY26")</f>
        <v>FY26</v>
      </c>
      <c r="AN557" s="4" t="str">
        <f>IFERROR(__xludf.DUMMYFUNCTION("""COMPUTED_VALUE"""),"Comer Fora")</f>
        <v>Comer Fora</v>
      </c>
      <c r="AO557" s="4">
        <f>IFERROR(__xludf.DUMMYFUNCTION("""COMPUTED_VALUE"""),140.0)</f>
        <v>140</v>
      </c>
      <c r="AP557" s="4"/>
      <c r="AQ557" s="4"/>
      <c r="AR557" s="4"/>
      <c r="AS557" s="4" t="str">
        <f>IFERROR(__xludf.DUMMYFUNCTION("""COMPUTED_VALUE"""),"NATHALIE MERTENS")</f>
        <v>NATHALIE MERTENS</v>
      </c>
      <c r="AT557" s="4" t="str">
        <f>IFERROR(__xludf.DUMMYFUNCTION("""COMPUTED_VALUE"""),"MARIANA KATZ")</f>
        <v>MARIANA KATZ</v>
      </c>
      <c r="AU557" s="4" t="str">
        <f>IFERROR(__xludf.DUMMYFUNCTION("""COMPUTED_VALUE"""),"Ana")</f>
        <v>Ana</v>
      </c>
      <c r="AV557" s="4">
        <f>IFERROR(__xludf.DUMMYFUNCTION("""COMPUTED_VALUE"""),0.0)</f>
        <v>0</v>
      </c>
      <c r="AW557" s="4">
        <f>IFERROR(__xludf.DUMMYFUNCTION("""COMPUTED_VALUE"""),0.0)</f>
        <v>0</v>
      </c>
      <c r="AX557" s="4">
        <f>IFERROR(__xludf.DUMMYFUNCTION("""COMPUTED_VALUE"""),0.0)</f>
        <v>0</v>
      </c>
      <c r="AY557" s="4"/>
      <c r="AZ557" s="4" t="str">
        <f>IFERROR(__xludf.DUMMYFUNCTION("""COMPUTED_VALUE"""),"Brasileira")</f>
        <v>Brasileira</v>
      </c>
      <c r="BA557" s="4" t="str">
        <f>IFERROR(__xludf.DUMMYFUNCTION("""COMPUTED_VALUE"""),"")</f>
        <v/>
      </c>
      <c r="BB557" s="4" t="str">
        <f>IFERROR(__xludf.DUMMYFUNCTION("""COMPUTED_VALUE"""),"")</f>
        <v/>
      </c>
      <c r="BC557" s="4" t="str">
        <f>IFERROR(__xludf.DUMMYFUNCTION("""COMPUTED_VALUE"""),"")</f>
        <v/>
      </c>
      <c r="BD557" s="4" t="str">
        <f>IFERROR(__xludf.DUMMYFUNCTION("""COMPUTED_VALUE"""),"")</f>
        <v/>
      </c>
      <c r="BE557" s="4" t="str">
        <f>IFERROR(__xludf.DUMMYFUNCTION("""COMPUTED_VALUE"""),"")</f>
        <v/>
      </c>
      <c r="BF557" s="4" t="str">
        <f>IFERROR(__xludf.DUMMYFUNCTION("""COMPUTED_VALUE"""),"")</f>
        <v/>
      </c>
      <c r="BG557" s="4" t="str">
        <f>IFERROR(__xludf.DUMMYFUNCTION("""COMPUTED_VALUE"""),"")</f>
        <v/>
      </c>
      <c r="BH557" s="4" t="s">
        <v>74</v>
      </c>
      <c r="BI557" s="7">
        <v>0.5</v>
      </c>
    </row>
    <row r="558" hidden="1">
      <c r="A558" s="4" t="str">
        <f>IFERROR(__xludf.DUMMYFUNCTION("""COMPUTED_VALUE"""),"Chef Da Empada")</f>
        <v>Chef Da Empada</v>
      </c>
      <c r="B558" s="4" t="str">
        <f>IFERROR(__xludf.DUMMYFUNCTION("""COMPUTED_VALUE"""),"Diego Santos")</f>
        <v>Diego Santos</v>
      </c>
      <c r="C558" s="4" t="str">
        <f>IFERROR(__xludf.DUMMYFUNCTION("""COMPUTED_VALUE"""),"Diego Santos")</f>
        <v>Diego Santos</v>
      </c>
      <c r="D558" s="4" t="str">
        <f>IFERROR(__xludf.DUMMYFUNCTION("""COMPUTED_VALUE"""),"10. Perdido")</f>
        <v>10. Perdido</v>
      </c>
      <c r="E558" s="4" t="str">
        <f>IFERROR(__xludf.DUMMYFUNCTION("""COMPUTED_VALUE"""),"Perdido - Outro (detalhar ao lado)")</f>
        <v>Perdido - Outro (detalhar ao lado)</v>
      </c>
      <c r="F558" s="4" t="str">
        <f>IFERROR(__xludf.DUMMYFUNCTION("""COMPUTED_VALUE"""),"M")</f>
        <v>M</v>
      </c>
      <c r="G558" s="5">
        <f>IFERROR(__xludf.DUMMYFUNCTION("""COMPUTED_VALUE"""),46085.0)</f>
        <v>46085</v>
      </c>
      <c r="H558" s="4" t="str">
        <f>IFERROR(__xludf.DUMMYFUNCTION("""COMPUTED_VALUE"""),"sem interesse em falar sobre o tema")</f>
        <v>sem interesse em falar sobre o tema</v>
      </c>
      <c r="I558" s="4"/>
      <c r="J558" s="6">
        <f>IFERROR(__xludf.DUMMYFUNCTION("""COMPUTED_VALUE"""),46072.43116699074)</f>
        <v>46072.43117</v>
      </c>
      <c r="K558" s="6">
        <f>IFERROR(__xludf.DUMMYFUNCTION("""COMPUTED_VALUE"""),46073.60174864583)</f>
        <v>46073.60175</v>
      </c>
      <c r="L558" s="4"/>
      <c r="M558" s="4"/>
      <c r="N558" s="4"/>
      <c r="O558" s="4"/>
      <c r="P558" s="4"/>
      <c r="Q558" s="4"/>
      <c r="R558" s="6">
        <f>IFERROR(__xludf.DUMMYFUNCTION("""COMPUTED_VALUE"""),46085.4744587037)</f>
        <v>46085.47446</v>
      </c>
      <c r="S558" s="4"/>
      <c r="T558" s="4"/>
      <c r="U558" s="4"/>
      <c r="V558" s="4" t="str">
        <f>IFERROR(__xludf.DUMMYFUNCTION("""COMPUTED_VALUE"""),"Sem interesse em mudar de PDV")</f>
        <v>Sem interesse em mudar de PDV</v>
      </c>
      <c r="W558" s="4"/>
      <c r="X558" s="4"/>
      <c r="Y558" s="4"/>
      <c r="Z558" s="4"/>
      <c r="AA558" s="4">
        <f>IFERROR(__xludf.DUMMYFUNCTION("""COMPUTED_VALUE"""),48.0)</f>
        <v>48</v>
      </c>
      <c r="AB558" s="4" t="str">
        <f>IFERROR(__xludf.DUMMYFUNCTION("""COMPUTED_VALUE"""),"NÃO")</f>
        <v>NÃO</v>
      </c>
      <c r="AC558" s="4" t="str">
        <f>IFERROR(__xludf.DUMMYFUNCTION("""COMPUTED_VALUE"""),"Não BP")</f>
        <v>Não BP</v>
      </c>
      <c r="AD558" s="4"/>
      <c r="AE558" s="4"/>
      <c r="AF558" s="4"/>
      <c r="AG558" s="4"/>
      <c r="AH558" s="4"/>
      <c r="AI558" s="4"/>
      <c r="AJ558" s="4"/>
      <c r="AK558" s="4"/>
      <c r="AL558" s="4"/>
      <c r="AM558" s="4" t="str">
        <f>IFERROR(__xludf.DUMMYFUNCTION("""COMPUTED_VALUE"""),"FY26")</f>
        <v>FY26</v>
      </c>
      <c r="AN558" s="4"/>
      <c r="AO558" s="4">
        <f>IFERROR(__xludf.DUMMYFUNCTION("""COMPUTED_VALUE"""),129.0)</f>
        <v>129</v>
      </c>
      <c r="AP558" s="4"/>
      <c r="AQ558" s="4"/>
      <c r="AR558" s="4"/>
      <c r="AS558" s="4">
        <f>IFERROR(__xludf.DUMMYFUNCTION("""COMPUTED_VALUE"""),0.0)</f>
        <v>0</v>
      </c>
      <c r="AT558" s="4">
        <f>IFERROR(__xludf.DUMMYFUNCTION("""COMPUTED_VALUE"""),0.0)</f>
        <v>0</v>
      </c>
      <c r="AU558" s="4" t="str">
        <f>IFERROR(__xludf.DUMMYFUNCTION("""COMPUTED_VALUE"""),"Diego")</f>
        <v>Diego</v>
      </c>
      <c r="AV558" s="4">
        <f>IFERROR(__xludf.DUMMYFUNCTION("""COMPUTED_VALUE"""),0.0)</f>
        <v>0</v>
      </c>
      <c r="AW558" s="4">
        <f>IFERROR(__xludf.DUMMYFUNCTION("""COMPUTED_VALUE"""),0.0)</f>
        <v>0</v>
      </c>
      <c r="AX558" s="4">
        <f>IFERROR(__xludf.DUMMYFUNCTION("""COMPUTED_VALUE"""),0.0)</f>
        <v>0</v>
      </c>
      <c r="AY558" s="4"/>
      <c r="AZ558" s="4" t="str">
        <f>IFERROR(__xludf.DUMMYFUNCTION("""COMPUTED_VALUE"""),"#N/A")</f>
        <v>#N/A</v>
      </c>
      <c r="BA558" s="4" t="str">
        <f>IFERROR(__xludf.DUMMYFUNCTION("""COMPUTED_VALUE"""),"")</f>
        <v/>
      </c>
      <c r="BB558" s="4" t="str">
        <f>IFERROR(__xludf.DUMMYFUNCTION("""COMPUTED_VALUE"""),"")</f>
        <v/>
      </c>
      <c r="BC558" s="4" t="str">
        <f>IFERROR(__xludf.DUMMYFUNCTION("""COMPUTED_VALUE"""),"")</f>
        <v/>
      </c>
      <c r="BD558" s="4" t="str">
        <f>IFERROR(__xludf.DUMMYFUNCTION("""COMPUTED_VALUE"""),"")</f>
        <v/>
      </c>
      <c r="BE558" s="4" t="str">
        <f>IFERROR(__xludf.DUMMYFUNCTION("""COMPUTED_VALUE"""),"")</f>
        <v/>
      </c>
      <c r="BF558" s="4" t="str">
        <f>IFERROR(__xludf.DUMMYFUNCTION("""COMPUTED_VALUE"""),"")</f>
        <v/>
      </c>
      <c r="BG558" s="4" t="str">
        <f>IFERROR(__xludf.DUMMYFUNCTION("""COMPUTED_VALUE"""),"")</f>
        <v/>
      </c>
      <c r="BH558" s="4" t="s">
        <v>63</v>
      </c>
      <c r="BI558" s="7" t="s">
        <v>63</v>
      </c>
    </row>
    <row r="559" hidden="1">
      <c r="A559" s="4" t="str">
        <f>IFERROR(__xludf.DUMMYFUNCTION("""COMPUTED_VALUE"""),"Chef Verge")</f>
        <v>Chef Verge</v>
      </c>
      <c r="B559" s="4" t="str">
        <f>IFERROR(__xludf.DUMMYFUNCTION("""COMPUTED_VALUE"""),"Michel")</f>
        <v>Michel</v>
      </c>
      <c r="C559" s="4" t="str">
        <f>IFERROR(__xludf.DUMMYFUNCTION("""COMPUTED_VALUE"""),"Michel")</f>
        <v>Michel</v>
      </c>
      <c r="D559" s="4" t="str">
        <f>IFERROR(__xludf.DUMMYFUNCTION("""COMPUTED_VALUE"""),"12. Orgânico")</f>
        <v>12. Orgânico</v>
      </c>
      <c r="E559" s="4"/>
      <c r="F559" s="4" t="str">
        <f>IFERROR(__xludf.DUMMYFUNCTION("""COMPUTED_VALUE"""),"P")</f>
        <v>P</v>
      </c>
      <c r="G559" s="4"/>
      <c r="H559" s="4"/>
      <c r="I559" s="4"/>
      <c r="J559" s="4"/>
      <c r="K559" s="6">
        <f>IFERROR(__xludf.DUMMYFUNCTION("""COMPUTED_VALUE"""),45807.0)</f>
        <v>45807</v>
      </c>
      <c r="L559" s="4"/>
      <c r="M559" s="4"/>
      <c r="N559" s="6">
        <f>IFERROR(__xludf.DUMMYFUNCTION("""COMPUTED_VALUE"""),45930.0)</f>
        <v>45930</v>
      </c>
      <c r="O559" s="4"/>
      <c r="P559" s="4"/>
      <c r="Q559" s="6">
        <f>IFERROR(__xludf.DUMMYFUNCTION("""COMPUTED_VALUE"""),45930.0)</f>
        <v>45930</v>
      </c>
      <c r="R559" s="4"/>
      <c r="S559" s="4"/>
      <c r="T559" s="4"/>
      <c r="U559" s="4"/>
      <c r="V559" s="4"/>
      <c r="W559" s="4"/>
      <c r="X559" s="4"/>
      <c r="Y559" s="4"/>
      <c r="Z559" s="4"/>
      <c r="AA559" s="4">
        <f>IFERROR(__xludf.DUMMYFUNCTION("""COMPUTED_VALUE"""),5.0)</f>
        <v>5</v>
      </c>
      <c r="AB559" s="4"/>
      <c r="AC559" s="4"/>
      <c r="AD559" s="4"/>
      <c r="AE559" s="4"/>
      <c r="AF559" s="4"/>
      <c r="AG559" s="4"/>
      <c r="AH559" s="4"/>
      <c r="AI559" s="4"/>
      <c r="AJ559" s="4"/>
      <c r="AK559" s="4"/>
      <c r="AL559" s="4"/>
      <c r="AM559" s="4" t="str">
        <f>IFERROR(__xludf.DUMMYFUNCTION("""COMPUTED_VALUE"""),"Orgânico 3S")</f>
        <v>Orgânico 3S</v>
      </c>
      <c r="AN559" s="4"/>
      <c r="AO559" s="4">
        <f>IFERROR(__xludf.DUMMYFUNCTION("""COMPUTED_VALUE"""),45553.0)</f>
        <v>45553</v>
      </c>
      <c r="AP559" s="4"/>
      <c r="AQ559" s="4"/>
      <c r="AR559" s="4"/>
      <c r="AS559" s="4" t="str">
        <f>IFERROR(__xludf.DUMMYFUNCTION("""COMPUTED_VALUE"""),"FABIO DONATO")</f>
        <v>FABIO DONATO</v>
      </c>
      <c r="AT559" s="4" t="str">
        <f>IFERROR(__xludf.DUMMYFUNCTION("""COMPUTED_VALUE"""),"MURILO NAGASHIMA")</f>
        <v>MURILO NAGASHIMA</v>
      </c>
      <c r="AU559" s="4" t="str">
        <f>IFERROR(__xludf.DUMMYFUNCTION("""COMPUTED_VALUE"""),"Michel")</f>
        <v>Michel</v>
      </c>
      <c r="AV559" s="4" t="str">
        <f>IFERROR(__xludf.DUMMYFUNCTION("""COMPUTED_VALUE"""),"Comer Fora-")</f>
        <v>Comer Fora-</v>
      </c>
      <c r="AW559" s="20" t="str">
        <f>IFERROR(__xludf.DUMMYFUNCTION("""COMPUTED_VALUE"""),"P - 5 a 9 lojas")</f>
        <v>P - 5 a 9 lojas</v>
      </c>
      <c r="AX559" s="4"/>
      <c r="AY559" s="4"/>
      <c r="AZ559" s="4" t="str">
        <f>IFERROR(__xludf.DUMMYFUNCTION("""COMPUTED_VALUE"""),"Lanches")</f>
        <v>Lanches</v>
      </c>
      <c r="BA559" s="4" t="str">
        <f>IFERROR(__xludf.DUMMYFUNCTION("""COMPUTED_VALUE"""),"")</f>
        <v/>
      </c>
      <c r="BB559" s="4" t="str">
        <f>IFERROR(__xludf.DUMMYFUNCTION("""COMPUTED_VALUE"""),"")</f>
        <v/>
      </c>
      <c r="BC559" s="4" t="str">
        <f>IFERROR(__xludf.DUMMYFUNCTION("""COMPUTED_VALUE"""),"")</f>
        <v/>
      </c>
      <c r="BD559" s="4" t="str">
        <f>IFERROR(__xludf.DUMMYFUNCTION("""COMPUTED_VALUE"""),"")</f>
        <v/>
      </c>
      <c r="BE559" s="4" t="str">
        <f>IFERROR(__xludf.DUMMYFUNCTION("""COMPUTED_VALUE"""),"")</f>
        <v/>
      </c>
      <c r="BF559" s="4" t="str">
        <f>IFERROR(__xludf.DUMMYFUNCTION("""COMPUTED_VALUE"""),"")</f>
        <v/>
      </c>
      <c r="BG559" s="4" t="str">
        <f>IFERROR(__xludf.DUMMYFUNCTION("""COMPUTED_VALUE"""),"")</f>
        <v/>
      </c>
      <c r="BH559" s="4" t="s">
        <v>64</v>
      </c>
      <c r="BI559" s="7">
        <v>0.42857142857142855</v>
      </c>
    </row>
    <row r="560" hidden="1">
      <c r="A560" s="4" t="str">
        <f>IFERROR(__xludf.DUMMYFUNCTION("""COMPUTED_VALUE"""),"Chefe Naza")</f>
        <v>Chefe Naza</v>
      </c>
      <c r="B560" s="4" t="str">
        <f>IFERROR(__xludf.DUMMYFUNCTION("""COMPUTED_VALUE"""),"Diego Santos")</f>
        <v>Diego Santos</v>
      </c>
      <c r="C560" s="4" t="str">
        <f>IFERROR(__xludf.DUMMYFUNCTION("""COMPUTED_VALUE"""),"Diego Santos")</f>
        <v>Diego Santos</v>
      </c>
      <c r="D560" s="4" t="str">
        <f>IFERROR(__xludf.DUMMYFUNCTION("""COMPUTED_VALUE"""),"9. Contrato assinado")</f>
        <v>9. Contrato assinado</v>
      </c>
      <c r="E560" s="4" t="str">
        <f>IFERROR(__xludf.DUMMYFUNCTION("""COMPUTED_VALUE"""),"Comercial - Em negociação de proposta")</f>
        <v>Comercial - Em negociação de proposta</v>
      </c>
      <c r="F560" s="4" t="str">
        <f>IFERROR(__xludf.DUMMYFUNCTION("""COMPUTED_VALUE"""),"Sem Classificação")</f>
        <v>Sem Classificação</v>
      </c>
      <c r="G560" s="5">
        <f>IFERROR(__xludf.DUMMYFUNCTION("""COMPUTED_VALUE"""),46111.0)</f>
        <v>46111</v>
      </c>
      <c r="H560" s="4" t="str">
        <f>IFERROR(__xludf.DUMMYFUNCTION("""COMPUTED_VALUE"""),"Realizar Kickoff com o cliente")</f>
        <v>Realizar Kickoff com o cliente</v>
      </c>
      <c r="I560" s="4"/>
      <c r="J560" s="6">
        <f>IFERROR(__xludf.DUMMYFUNCTION("""COMPUTED_VALUE"""),46108.67207181713)</f>
        <v>46108.67207</v>
      </c>
      <c r="K560" s="6">
        <f>IFERROR(__xludf.DUMMYFUNCTION("""COMPUTED_VALUE"""),46108.67243648148)</f>
        <v>46108.67244</v>
      </c>
      <c r="L560" s="6">
        <f>IFERROR(__xludf.DUMMYFUNCTION("""COMPUTED_VALUE"""),46108.67246584491)</f>
        <v>46108.67247</v>
      </c>
      <c r="M560" s="6">
        <f>IFERROR(__xludf.DUMMYFUNCTION("""COMPUTED_VALUE"""),46108.672539189814)</f>
        <v>46108.67254</v>
      </c>
      <c r="N560" s="6">
        <f>IFERROR(__xludf.DUMMYFUNCTION("""COMPUTED_VALUE"""),46108.6725653125)</f>
        <v>46108.67257</v>
      </c>
      <c r="O560" s="4"/>
      <c r="P560" s="6">
        <f>IFERROR(__xludf.DUMMYFUNCTION("""COMPUTED_VALUE"""),46109.47903145834)</f>
        <v>46109.47903</v>
      </c>
      <c r="Q560" s="6">
        <f>IFERROR(__xludf.DUMMYFUNCTION("""COMPUTED_VALUE"""),46111.53616743056)</f>
        <v>46111.53617</v>
      </c>
      <c r="R560" s="4"/>
      <c r="S560" s="4"/>
      <c r="T560" s="4"/>
      <c r="U560" s="4"/>
      <c r="V560" s="4"/>
      <c r="W560" s="8">
        <f>IFERROR(__xludf.DUMMYFUNCTION("""COMPUTED_VALUE"""),380.0)</f>
        <v>380</v>
      </c>
      <c r="X560" s="4">
        <f>IFERROR(__xludf.DUMMYFUNCTION("""COMPUTED_VALUE"""),2.0)</f>
        <v>2</v>
      </c>
      <c r="Y560" s="8">
        <f>IFERROR(__xludf.DUMMYFUNCTION("""COMPUTED_VALUE"""),0.0)</f>
        <v>0</v>
      </c>
      <c r="Z560" s="8">
        <f>IFERROR(__xludf.DUMMYFUNCTION("""COMPUTED_VALUE"""),1200.0)</f>
        <v>1200</v>
      </c>
      <c r="AA560" s="4">
        <f>IFERROR(__xludf.DUMMYFUNCTION("""COMPUTED_VALUE"""),0.0)</f>
        <v>0</v>
      </c>
      <c r="AB560" s="4"/>
      <c r="AC560" s="4"/>
      <c r="AD560" s="4"/>
      <c r="AE560" s="4"/>
      <c r="AF560" s="4"/>
      <c r="AG560" s="4"/>
      <c r="AH560" s="4"/>
      <c r="AI560" s="4"/>
      <c r="AJ560" s="4"/>
      <c r="AK560" s="4"/>
      <c r="AL560" s="4"/>
      <c r="AM560" s="4" t="str">
        <f>IFERROR(__xludf.DUMMYFUNCTION("""COMPUTED_VALUE"""),"FY26")</f>
        <v>FY26</v>
      </c>
      <c r="AN560" s="4"/>
      <c r="AO560" s="4">
        <f>IFERROR(__xludf.DUMMYFUNCTION("""COMPUTED_VALUE"""),103.0)</f>
        <v>103</v>
      </c>
      <c r="AP560" s="4"/>
      <c r="AQ560" s="4"/>
      <c r="AR560" s="4"/>
      <c r="AS560" s="4">
        <f>IFERROR(__xludf.DUMMYFUNCTION("""COMPUTED_VALUE"""),0.0)</f>
        <v>0</v>
      </c>
      <c r="AT560" s="4">
        <f>IFERROR(__xludf.DUMMYFUNCTION("""COMPUTED_VALUE"""),0.0)</f>
        <v>0</v>
      </c>
      <c r="AU560" s="4" t="str">
        <f>IFERROR(__xludf.DUMMYFUNCTION("""COMPUTED_VALUE"""),"Diego")</f>
        <v>Diego</v>
      </c>
      <c r="AV560" s="4">
        <f>IFERROR(__xludf.DUMMYFUNCTION("""COMPUTED_VALUE"""),0.0)</f>
        <v>0</v>
      </c>
      <c r="AW560" s="4">
        <f>IFERROR(__xludf.DUMMYFUNCTION("""COMPUTED_VALUE"""),0.0)</f>
        <v>0</v>
      </c>
      <c r="AX560" s="4">
        <f>IFERROR(__xludf.DUMMYFUNCTION("""COMPUTED_VALUE"""),0.0)</f>
        <v>0</v>
      </c>
      <c r="AY560" s="4"/>
      <c r="AZ560" s="4">
        <f>IFERROR(__xludf.DUMMYFUNCTION("""COMPUTED_VALUE"""),0.0)</f>
        <v>0</v>
      </c>
      <c r="BA560" s="4" t="str">
        <f>IFERROR(__xludf.DUMMYFUNCTION("""COMPUTED_VALUE"""),"")</f>
        <v/>
      </c>
      <c r="BB560" s="4" t="str">
        <f>IFERROR(__xludf.DUMMYFUNCTION("""COMPUTED_VALUE"""),"")</f>
        <v/>
      </c>
      <c r="BC560" s="4" t="str">
        <f>IFERROR(__xludf.DUMMYFUNCTION("""COMPUTED_VALUE"""),"")</f>
        <v/>
      </c>
      <c r="BD560" s="4" t="str">
        <f>IFERROR(__xludf.DUMMYFUNCTION("""COMPUTED_VALUE"""),"")</f>
        <v/>
      </c>
      <c r="BE560" s="4" t="str">
        <f>IFERROR(__xludf.DUMMYFUNCTION("""COMPUTED_VALUE"""),"")</f>
        <v/>
      </c>
      <c r="BF560" s="4" t="str">
        <f>IFERROR(__xludf.DUMMYFUNCTION("""COMPUTED_VALUE"""),"")</f>
        <v/>
      </c>
      <c r="BG560" s="4" t="str">
        <f>IFERROR(__xludf.DUMMYFUNCTION("""COMPUTED_VALUE"""),"")</f>
        <v/>
      </c>
      <c r="BH560" s="4" t="s">
        <v>63</v>
      </c>
      <c r="BI560" s="7" t="s">
        <v>63</v>
      </c>
    </row>
    <row r="561">
      <c r="A561" s="4" t="str">
        <f>IFERROR(__xludf.DUMMYFUNCTION("""COMPUTED_VALUE"""),"Chiquinho Sorvetes")</f>
        <v>Chiquinho Sorvetes</v>
      </c>
      <c r="B561" s="4" t="str">
        <f>IFERROR(__xludf.DUMMYFUNCTION("""COMPUTED_VALUE"""),"Samuel")</f>
        <v>Samuel</v>
      </c>
      <c r="C561" s="4" t="str">
        <f>IFERROR(__xludf.DUMMYFUNCTION("""COMPUTED_VALUE"""),"Samuel")</f>
        <v>Samuel</v>
      </c>
      <c r="D561" s="4" t="str">
        <f>IFERROR(__xludf.DUMMYFUNCTION("""COMPUTED_VALUE"""),"10. Perdido")</f>
        <v>10. Perdido</v>
      </c>
      <c r="E561" s="4" t="str">
        <f>IFERROR(__xludf.DUMMYFUNCTION("""COMPUTED_VALUE"""),"Perdido - Sem perfil LA / 3SCheckout / PDV próprio")</f>
        <v>Perdido - Sem perfil LA / 3SCheckout / PDV próprio</v>
      </c>
      <c r="F561" s="4" t="str">
        <f>IFERROR(__xludf.DUMMYFUNCTION("""COMPUTED_VALUE"""),"G")</f>
        <v>G</v>
      </c>
      <c r="G561" s="5">
        <f>IFERROR(__xludf.DUMMYFUNCTION("""COMPUTED_VALUE"""),46073.0)</f>
        <v>46073</v>
      </c>
      <c r="H561" s="4" t="str">
        <f>IFERROR(__xludf.DUMMYFUNCTION("""COMPUTED_VALUE"""),"Parceiro com PDV próprio. Com totem VS e iniciaremos abordagem de Comer Fora.")</f>
        <v>Parceiro com PDV próprio. Com totem VS e iniciaremos abordagem de Comer Fora.</v>
      </c>
      <c r="I561" s="4"/>
      <c r="J561" s="4"/>
      <c r="K561" s="6">
        <f>IFERROR(__xludf.DUMMYFUNCTION("""COMPUTED_VALUE"""),45944.0)</f>
        <v>45944</v>
      </c>
      <c r="L561" s="4"/>
      <c r="M561" s="4"/>
      <c r="N561" s="4"/>
      <c r="O561" s="4"/>
      <c r="P561" s="4"/>
      <c r="Q561" s="4"/>
      <c r="R561" s="4"/>
      <c r="S561" s="4"/>
      <c r="T561" s="4"/>
      <c r="U561" s="4"/>
      <c r="V561" s="4" t="str">
        <f>IFERROR(__xludf.DUMMYFUNCTION("""COMPUTED_VALUE"""),"Sistema próprio")</f>
        <v>Sistema próprio</v>
      </c>
      <c r="W561" s="4"/>
      <c r="X561" s="4"/>
      <c r="Y561" s="4"/>
      <c r="Z561" s="4"/>
      <c r="AA561" s="4">
        <f>IFERROR(__xludf.DUMMYFUNCTION("""COMPUTED_VALUE"""),873.0)</f>
        <v>873</v>
      </c>
      <c r="AB561" s="4" t="str">
        <f>IFERROR(__xludf.DUMMYFUNCTION("""COMPUTED_VALUE"""),"NÃO")</f>
        <v>NÃO</v>
      </c>
      <c r="AC561" s="4" t="str">
        <f>IFERROR(__xludf.DUMMYFUNCTION("""COMPUTED_VALUE"""),"Não BP")</f>
        <v>Não BP</v>
      </c>
      <c r="AD561" s="4"/>
      <c r="AE561" s="4"/>
      <c r="AF561" s="4"/>
      <c r="AG561" s="4"/>
      <c r="AH561" s="4"/>
      <c r="AI561" s="4"/>
      <c r="AJ561" s="4"/>
      <c r="AK561" s="4"/>
      <c r="AL561" s="4"/>
      <c r="AM561" s="4" t="str">
        <f>IFERROR(__xludf.DUMMYFUNCTION("""COMPUTED_VALUE"""),"FY26")</f>
        <v>FY26</v>
      </c>
      <c r="AN561" s="4"/>
      <c r="AO561" s="4">
        <f>IFERROR(__xludf.DUMMYFUNCTION("""COMPUTED_VALUE"""),143.0)</f>
        <v>143</v>
      </c>
      <c r="AP561" s="4"/>
      <c r="AQ561" s="4"/>
      <c r="AR561" s="4"/>
      <c r="AS561" s="4" t="str">
        <f>IFERROR(__xludf.DUMMYFUNCTION("""COMPUTED_VALUE"""),"ISABELA GOULART")</f>
        <v>ISABELA GOULART</v>
      </c>
      <c r="AT561" s="4" t="str">
        <f>IFERROR(__xludf.DUMMYFUNCTION("""COMPUTED_VALUE"""),"ANNA BALBINOT")</f>
        <v>ANNA BALBINOT</v>
      </c>
      <c r="AU561" s="4" t="str">
        <f>IFERROR(__xludf.DUMMYFUNCTION("""COMPUTED_VALUE"""),"Samuel")</f>
        <v>Samuel</v>
      </c>
      <c r="AV561" s="4">
        <f>IFERROR(__xludf.DUMMYFUNCTION("""COMPUTED_VALUE"""),0.0)</f>
        <v>0</v>
      </c>
      <c r="AW561" s="4">
        <f>IFERROR(__xludf.DUMMYFUNCTION("""COMPUTED_VALUE"""),0.0)</f>
        <v>0</v>
      </c>
      <c r="AX561" s="4">
        <f>IFERROR(__xludf.DUMMYFUNCTION("""COMPUTED_VALUE"""),0.0)</f>
        <v>0</v>
      </c>
      <c r="AY561" s="4"/>
      <c r="AZ561" s="4" t="str">
        <f>IFERROR(__xludf.DUMMYFUNCTION("""COMPUTED_VALUE"""),"Sorvetes")</f>
        <v>Sorvetes</v>
      </c>
      <c r="BA561" s="4" t="str">
        <f>IFERROR(__xludf.DUMMYFUNCTION("""COMPUTED_VALUE"""),"")</f>
        <v/>
      </c>
      <c r="BB561" s="4" t="str">
        <f>IFERROR(__xludf.DUMMYFUNCTION("""COMPUTED_VALUE"""),"")</f>
        <v/>
      </c>
      <c r="BC561" s="4" t="str">
        <f>IFERROR(__xludf.DUMMYFUNCTION("""COMPUTED_VALUE"""),"")</f>
        <v/>
      </c>
      <c r="BD561" s="4" t="str">
        <f>IFERROR(__xludf.DUMMYFUNCTION("""COMPUTED_VALUE"""),"")</f>
        <v/>
      </c>
      <c r="BE561" s="4" t="str">
        <f>IFERROR(__xludf.DUMMYFUNCTION("""COMPUTED_VALUE"""),"")</f>
        <v/>
      </c>
      <c r="BF561" s="4" t="str">
        <f>IFERROR(__xludf.DUMMYFUNCTION("""COMPUTED_VALUE"""),"")</f>
        <v/>
      </c>
      <c r="BG561" s="4" t="str">
        <f>IFERROR(__xludf.DUMMYFUNCTION("""COMPUTED_VALUE"""),"")</f>
        <v/>
      </c>
      <c r="BH561" s="4" t="s">
        <v>144</v>
      </c>
      <c r="BI561" s="7">
        <v>0.8455056179775281</v>
      </c>
    </row>
    <row r="562" hidden="1">
      <c r="A562" s="4" t="str">
        <f>IFERROR(__xludf.DUMMYFUNCTION("""COMPUTED_VALUE"""),"Choripan")</f>
        <v>Choripan</v>
      </c>
      <c r="B562" s="4" t="str">
        <f>IFERROR(__xludf.DUMMYFUNCTION("""COMPUTED_VALUE"""),"Iza")</f>
        <v>Iza</v>
      </c>
      <c r="C562" s="4" t="str">
        <f>IFERROR(__xludf.DUMMYFUNCTION("""COMPUTED_VALUE"""),"Iza")</f>
        <v>Iza</v>
      </c>
      <c r="D562" s="4" t="str">
        <f>IFERROR(__xludf.DUMMYFUNCTION("""COMPUTED_VALUE"""),"10. Perdido")</f>
        <v>10. Perdido</v>
      </c>
      <c r="E562" s="4" t="str">
        <f>IFERROR(__xludf.DUMMYFUNCTION("""COMPUTED_VALUE"""),"Perdido - Sem perfil LA / 3SCheckout / PDV próprio")</f>
        <v>Perdido - Sem perfil LA / 3SCheckout / PDV próprio</v>
      </c>
      <c r="F562" s="4" t="str">
        <f>IFERROR(__xludf.DUMMYFUNCTION("""COMPUTED_VALUE"""),"P")</f>
        <v>P</v>
      </c>
      <c r="G562" s="5">
        <f>IFERROR(__xludf.DUMMYFUNCTION("""COMPUTED_VALUE"""),46076.0)</f>
        <v>46076</v>
      </c>
      <c r="H562" s="4" t="str">
        <f>IFERROR(__xludf.DUMMYFUNCTION("""COMPUTED_VALUE"""),"Cliente saipos")</f>
        <v>Cliente saipos</v>
      </c>
      <c r="I562" s="4"/>
      <c r="J562" s="6">
        <f>IFERROR(__xludf.DUMMYFUNCTION("""COMPUTED_VALUE"""),46072.65480409723)</f>
        <v>46072.6548</v>
      </c>
      <c r="K562" s="6">
        <f>IFERROR(__xludf.DUMMYFUNCTION("""COMPUTED_VALUE"""),46072.65523851852)</f>
        <v>46072.65524</v>
      </c>
      <c r="L562" s="4"/>
      <c r="M562" s="4"/>
      <c r="N562" s="4"/>
      <c r="O562" s="4"/>
      <c r="P562" s="4"/>
      <c r="Q562" s="4"/>
      <c r="R562" s="6">
        <f>IFERROR(__xludf.DUMMYFUNCTION("""COMPUTED_VALUE"""),46073.48240065972)</f>
        <v>46073.4824</v>
      </c>
      <c r="S562" s="6">
        <f>IFERROR(__xludf.DUMMYFUNCTION("""COMPUTED_VALUE"""),46073.48262685185)</f>
        <v>46073.48263</v>
      </c>
      <c r="T562" s="4"/>
      <c r="U562" s="4"/>
      <c r="V562" s="4" t="str">
        <f>IFERROR(__xludf.DUMMYFUNCTION("""COMPUTED_VALUE"""),"Sem interesse em mudar de PDV")</f>
        <v>Sem interesse em mudar de PDV</v>
      </c>
      <c r="W562" s="4"/>
      <c r="X562" s="4"/>
      <c r="Y562" s="4"/>
      <c r="Z562" s="4"/>
      <c r="AA562" s="4">
        <f>IFERROR(__xludf.DUMMYFUNCTION("""COMPUTED_VALUE"""),8.0)</f>
        <v>8</v>
      </c>
      <c r="AB562" s="4" t="str">
        <f>IFERROR(__xludf.DUMMYFUNCTION("""COMPUTED_VALUE"""),"NÃO")</f>
        <v>NÃO</v>
      </c>
      <c r="AC562" s="4" t="str">
        <f>IFERROR(__xludf.DUMMYFUNCTION("""COMPUTED_VALUE"""),"Não BP")</f>
        <v>Não BP</v>
      </c>
      <c r="AD562" s="4"/>
      <c r="AE562" s="4"/>
      <c r="AF562" s="4"/>
      <c r="AG562" s="4"/>
      <c r="AH562" s="4"/>
      <c r="AI562" s="4"/>
      <c r="AJ562" s="4"/>
      <c r="AK562" s="4"/>
      <c r="AL562" s="4"/>
      <c r="AM562" s="4" t="str">
        <f>IFERROR(__xludf.DUMMYFUNCTION("""COMPUTED_VALUE"""),"FY26")</f>
        <v>FY26</v>
      </c>
      <c r="AN562" s="4"/>
      <c r="AO562" s="4">
        <f>IFERROR(__xludf.DUMMYFUNCTION("""COMPUTED_VALUE"""),140.0)</f>
        <v>140</v>
      </c>
      <c r="AP562" s="4"/>
      <c r="AQ562" s="4"/>
      <c r="AR562" s="4"/>
      <c r="AS562" s="4">
        <f>IFERROR(__xludf.DUMMYFUNCTION("""COMPUTED_VALUE"""),0.0)</f>
        <v>0</v>
      </c>
      <c r="AT562" s="4">
        <f>IFERROR(__xludf.DUMMYFUNCTION("""COMPUTED_VALUE"""),0.0)</f>
        <v>0</v>
      </c>
      <c r="AU562" s="4" t="str">
        <f>IFERROR(__xludf.DUMMYFUNCTION("""COMPUTED_VALUE"""),"Iza")</f>
        <v>Iza</v>
      </c>
      <c r="AV562" s="4">
        <f>IFERROR(__xludf.DUMMYFUNCTION("""COMPUTED_VALUE"""),0.0)</f>
        <v>0</v>
      </c>
      <c r="AW562" s="4">
        <f>IFERROR(__xludf.DUMMYFUNCTION("""COMPUTED_VALUE"""),0.0)</f>
        <v>0</v>
      </c>
      <c r="AX562" s="4">
        <f>IFERROR(__xludf.DUMMYFUNCTION("""COMPUTED_VALUE"""),0.0)</f>
        <v>0</v>
      </c>
      <c r="AY562" s="4"/>
      <c r="AZ562" s="4" t="str">
        <f>IFERROR(__xludf.DUMMYFUNCTION("""COMPUTED_VALUE"""),"Hambúrguer")</f>
        <v>Hambúrguer</v>
      </c>
      <c r="BA562" s="4" t="str">
        <f>IFERROR(__xludf.DUMMYFUNCTION("""COMPUTED_VALUE"""),"")</f>
        <v/>
      </c>
      <c r="BB562" s="4" t="str">
        <f>IFERROR(__xludf.DUMMYFUNCTION("""COMPUTED_VALUE"""),"")</f>
        <v/>
      </c>
      <c r="BC562" s="4" t="str">
        <f>IFERROR(__xludf.DUMMYFUNCTION("""COMPUTED_VALUE"""),"")</f>
        <v/>
      </c>
      <c r="BD562" s="4" t="str">
        <f>IFERROR(__xludf.DUMMYFUNCTION("""COMPUTED_VALUE"""),"")</f>
        <v/>
      </c>
      <c r="BE562" s="4" t="str">
        <f>IFERROR(__xludf.DUMMYFUNCTION("""COMPUTED_VALUE"""),"")</f>
        <v/>
      </c>
      <c r="BF562" s="4" t="str">
        <f>IFERROR(__xludf.DUMMYFUNCTION("""COMPUTED_VALUE"""),"")</f>
        <v/>
      </c>
      <c r="BG562" s="4" t="str">
        <f>IFERROR(__xludf.DUMMYFUNCTION("""COMPUTED_VALUE"""),"")</f>
        <v/>
      </c>
      <c r="BH562" s="4" t="s">
        <v>63</v>
      </c>
      <c r="BI562" s="7" t="s">
        <v>63</v>
      </c>
    </row>
    <row r="563" hidden="1">
      <c r="A563" s="4" t="str">
        <f>IFERROR(__xludf.DUMMYFUNCTION("""COMPUTED_VALUE"""),"Churras Express")</f>
        <v>Churras Express</v>
      </c>
      <c r="B563" s="4" t="str">
        <f>IFERROR(__xludf.DUMMYFUNCTION("""COMPUTED_VALUE"""),"Diego Santos")</f>
        <v>Diego Santos</v>
      </c>
      <c r="C563" s="4" t="str">
        <f>IFERROR(__xludf.DUMMYFUNCTION("""COMPUTED_VALUE"""),"Diego Santos")</f>
        <v>Diego Santos</v>
      </c>
      <c r="D563" s="4" t="str">
        <f>IFERROR(__xludf.DUMMYFUNCTION("""COMPUTED_VALUE"""),"10. Perdido")</f>
        <v>10. Perdido</v>
      </c>
      <c r="E563" s="4" t="str">
        <f>IFERROR(__xludf.DUMMYFUNCTION("""COMPUTED_VALUE"""),"Perdido -  Momento do restaurante não favorável")</f>
        <v>Perdido -  Momento do restaurante não favorável</v>
      </c>
      <c r="F563" s="4" t="str">
        <f>IFERROR(__xludf.DUMMYFUNCTION("""COMPUTED_VALUE"""),"M")</f>
        <v>M</v>
      </c>
      <c r="G563" s="5">
        <f>IFERROR(__xludf.DUMMYFUNCTION("""COMPUTED_VALUE"""),46080.0)</f>
        <v>46080</v>
      </c>
      <c r="H563" s="4" t="str">
        <f>IFERROR(__xludf.DUMMYFUNCTION("""COMPUTED_VALUE"""),"Estão muito satisfeitos com a ferramenta atual e não há possibilidade no momento de troca.")</f>
        <v>Estão muito satisfeitos com a ferramenta atual e não há possibilidade no momento de troca.</v>
      </c>
      <c r="I563" s="4"/>
      <c r="J563" s="6">
        <f>IFERROR(__xludf.DUMMYFUNCTION("""COMPUTED_VALUE"""),46072.441953587964)</f>
        <v>46072.44195</v>
      </c>
      <c r="K563" s="6">
        <f>IFERROR(__xludf.DUMMYFUNCTION("""COMPUTED_VALUE"""),46076.52321496527)</f>
        <v>46076.52321</v>
      </c>
      <c r="L563" s="4"/>
      <c r="M563" s="4"/>
      <c r="N563" s="4"/>
      <c r="O563" s="4"/>
      <c r="P563" s="4"/>
      <c r="Q563" s="4"/>
      <c r="R563" s="6">
        <f>IFERROR(__xludf.DUMMYFUNCTION("""COMPUTED_VALUE"""),46080.6940856713)</f>
        <v>46080.69409</v>
      </c>
      <c r="S563" s="4"/>
      <c r="T563" s="4"/>
      <c r="U563" s="4"/>
      <c r="V563" s="4" t="str">
        <f>IFERROR(__xludf.DUMMYFUNCTION("""COMPUTED_VALUE"""),"Sem interesse em mudar de PDV")</f>
        <v>Sem interesse em mudar de PDV</v>
      </c>
      <c r="W563" s="4"/>
      <c r="X563" s="4"/>
      <c r="Y563" s="4"/>
      <c r="Z563" s="4"/>
      <c r="AA563" s="4">
        <f>IFERROR(__xludf.DUMMYFUNCTION("""COMPUTED_VALUE"""),45.0)</f>
        <v>45</v>
      </c>
      <c r="AB563" s="4" t="str">
        <f>IFERROR(__xludf.DUMMYFUNCTION("""COMPUTED_VALUE"""),"NÃO")</f>
        <v>NÃO</v>
      </c>
      <c r="AC563" s="4" t="str">
        <f>IFERROR(__xludf.DUMMYFUNCTION("""COMPUTED_VALUE"""),"Não BP")</f>
        <v>Não BP</v>
      </c>
      <c r="AD563" s="4"/>
      <c r="AE563" s="4"/>
      <c r="AF563" s="4"/>
      <c r="AG563" s="4"/>
      <c r="AH563" s="4"/>
      <c r="AI563" s="4"/>
      <c r="AJ563" s="4"/>
      <c r="AK563" s="4"/>
      <c r="AL563" s="4"/>
      <c r="AM563" s="4" t="str">
        <f>IFERROR(__xludf.DUMMYFUNCTION("""COMPUTED_VALUE"""),"FY26")</f>
        <v>FY26</v>
      </c>
      <c r="AN563" s="4"/>
      <c r="AO563" s="4">
        <f>IFERROR(__xludf.DUMMYFUNCTION("""COMPUTED_VALUE"""),136.0)</f>
        <v>136</v>
      </c>
      <c r="AP563" s="4"/>
      <c r="AQ563" s="4"/>
      <c r="AR563" s="4"/>
      <c r="AS563" s="4">
        <f>IFERROR(__xludf.DUMMYFUNCTION("""COMPUTED_VALUE"""),0.0)</f>
        <v>0</v>
      </c>
      <c r="AT563" s="4">
        <f>IFERROR(__xludf.DUMMYFUNCTION("""COMPUTED_VALUE"""),0.0)</f>
        <v>0</v>
      </c>
      <c r="AU563" s="4" t="str">
        <f>IFERROR(__xludf.DUMMYFUNCTION("""COMPUTED_VALUE"""),"Diego")</f>
        <v>Diego</v>
      </c>
      <c r="AV563" s="4">
        <f>IFERROR(__xludf.DUMMYFUNCTION("""COMPUTED_VALUE"""),0.0)</f>
        <v>0</v>
      </c>
      <c r="AW563" s="4">
        <f>IFERROR(__xludf.DUMMYFUNCTION("""COMPUTED_VALUE"""),0.0)</f>
        <v>0</v>
      </c>
      <c r="AX563" s="4">
        <f>IFERROR(__xludf.DUMMYFUNCTION("""COMPUTED_VALUE"""),0.0)</f>
        <v>0</v>
      </c>
      <c r="AY563" s="4"/>
      <c r="AZ563" s="4" t="str">
        <f>IFERROR(__xludf.DUMMYFUNCTION("""COMPUTED_VALUE"""),"#N/A")</f>
        <v>#N/A</v>
      </c>
      <c r="BA563" s="4" t="str">
        <f>IFERROR(__xludf.DUMMYFUNCTION("""COMPUTED_VALUE"""),"")</f>
        <v/>
      </c>
      <c r="BB563" s="4" t="str">
        <f>IFERROR(__xludf.DUMMYFUNCTION("""COMPUTED_VALUE"""),"")</f>
        <v/>
      </c>
      <c r="BC563" s="4" t="str">
        <f>IFERROR(__xludf.DUMMYFUNCTION("""COMPUTED_VALUE"""),"")</f>
        <v/>
      </c>
      <c r="BD563" s="4" t="str">
        <f>IFERROR(__xludf.DUMMYFUNCTION("""COMPUTED_VALUE"""),"")</f>
        <v/>
      </c>
      <c r="BE563" s="4" t="str">
        <f>IFERROR(__xludf.DUMMYFUNCTION("""COMPUTED_VALUE"""),"")</f>
        <v/>
      </c>
      <c r="BF563" s="4" t="str">
        <f>IFERROR(__xludf.DUMMYFUNCTION("""COMPUTED_VALUE"""),"")</f>
        <v/>
      </c>
      <c r="BG563" s="4" t="str">
        <f>IFERROR(__xludf.DUMMYFUNCTION("""COMPUTED_VALUE"""),"")</f>
        <v/>
      </c>
      <c r="BH563" s="4" t="s">
        <v>63</v>
      </c>
      <c r="BI563" s="7" t="s">
        <v>63</v>
      </c>
    </row>
    <row r="564" hidden="1">
      <c r="A564" s="4" t="str">
        <f>IFERROR(__xludf.DUMMYFUNCTION("""COMPUTED_VALUE"""),"Cia Tradicional Do Comercio")</f>
        <v>Cia Tradicional Do Comercio</v>
      </c>
      <c r="B564" s="4" t="str">
        <f>IFERROR(__xludf.DUMMYFUNCTION("""COMPUTED_VALUE"""),"Michel")</f>
        <v>Michel</v>
      </c>
      <c r="C564" s="4" t="str">
        <f>IFERROR(__xludf.DUMMYFUNCTION("""COMPUTED_VALUE"""),"Michel")</f>
        <v>Michel</v>
      </c>
      <c r="D564" s="4" t="str">
        <f>IFERROR(__xludf.DUMMYFUNCTION("""COMPUTED_VALUE"""),"12. Orgânico")</f>
        <v>12. Orgânico</v>
      </c>
      <c r="E564" s="4"/>
      <c r="F564" s="4" t="str">
        <f>IFERROR(__xludf.DUMMYFUNCTION("""COMPUTED_VALUE"""),"P")</f>
        <v>P</v>
      </c>
      <c r="G564" s="4"/>
      <c r="H564" s="4"/>
      <c r="I564" s="4"/>
      <c r="J564" s="4"/>
      <c r="K564" s="4"/>
      <c r="L564" s="4"/>
      <c r="M564" s="4"/>
      <c r="N564" s="4"/>
      <c r="O564" s="4"/>
      <c r="P564" s="4"/>
      <c r="Q564" s="4"/>
      <c r="R564" s="4"/>
      <c r="S564" s="4"/>
      <c r="T564" s="4"/>
      <c r="U564" s="4"/>
      <c r="V564" s="4"/>
      <c r="W564" s="4"/>
      <c r="X564" s="4"/>
      <c r="Y564" s="4"/>
      <c r="Z564" s="4"/>
      <c r="AA564" s="4">
        <f>IFERROR(__xludf.DUMMYFUNCTION("""COMPUTED_VALUE"""),7.0)</f>
        <v>7</v>
      </c>
      <c r="AB564" s="4"/>
      <c r="AC564" s="4"/>
      <c r="AD564" s="4"/>
      <c r="AE564" s="4"/>
      <c r="AF564" s="4"/>
      <c r="AG564" s="4"/>
      <c r="AH564" s="4"/>
      <c r="AI564" s="4"/>
      <c r="AJ564" s="4"/>
      <c r="AK564" s="4"/>
      <c r="AL564" s="4"/>
      <c r="AM564" s="4" t="str">
        <f>IFERROR(__xludf.DUMMYFUNCTION("""COMPUTED_VALUE"""),"Orgânico 3S")</f>
        <v>Orgânico 3S</v>
      </c>
      <c r="AN564" s="4"/>
      <c r="AO564" s="4">
        <f>IFERROR(__xludf.DUMMYFUNCTION("""COMPUTED_VALUE"""),45553.0)</f>
        <v>45553</v>
      </c>
      <c r="AP564" s="4"/>
      <c r="AQ564" s="4"/>
      <c r="AR564" s="4"/>
      <c r="AS564" s="4" t="str">
        <f>IFERROR(__xludf.DUMMYFUNCTION("""COMPUTED_VALUE"""),"ISIS MOSTAFA")</f>
        <v>ISIS MOSTAFA</v>
      </c>
      <c r="AT564" s="4" t="str">
        <f>IFERROR(__xludf.DUMMYFUNCTION("""COMPUTED_VALUE"""),"ANA OBANDO")</f>
        <v>ANA OBANDO</v>
      </c>
      <c r="AU564" s="4" t="str">
        <f>IFERROR(__xludf.DUMMYFUNCTION("""COMPUTED_VALUE"""),"Michel")</f>
        <v>Michel</v>
      </c>
      <c r="AV564" s="4">
        <f>IFERROR(__xludf.DUMMYFUNCTION("""COMPUTED_VALUE"""),0.0)</f>
        <v>0</v>
      </c>
      <c r="AW564" s="4">
        <f>IFERROR(__xludf.DUMMYFUNCTION("""COMPUTED_VALUE"""),0.0)</f>
        <v>0</v>
      </c>
      <c r="AX564" s="4">
        <f>IFERROR(__xludf.DUMMYFUNCTION("""COMPUTED_VALUE"""),0.0)</f>
        <v>0</v>
      </c>
      <c r="AY564" s="4"/>
      <c r="AZ564" s="4" t="str">
        <f>IFERROR(__xludf.DUMMYFUNCTION("""COMPUTED_VALUE"""),"Pizza")</f>
        <v>Pizza</v>
      </c>
      <c r="BA564" s="4" t="str">
        <f>IFERROR(__xludf.DUMMYFUNCTION("""COMPUTED_VALUE"""),"")</f>
        <v/>
      </c>
      <c r="BB564" s="4" t="str">
        <f>IFERROR(__xludf.DUMMYFUNCTION("""COMPUTED_VALUE"""),"")</f>
        <v/>
      </c>
      <c r="BC564" s="4" t="str">
        <f>IFERROR(__xludf.DUMMYFUNCTION("""COMPUTED_VALUE"""),"")</f>
        <v/>
      </c>
      <c r="BD564" s="4" t="str">
        <f>IFERROR(__xludf.DUMMYFUNCTION("""COMPUTED_VALUE"""),"")</f>
        <v/>
      </c>
      <c r="BE564" s="4" t="str">
        <f>IFERROR(__xludf.DUMMYFUNCTION("""COMPUTED_VALUE"""),"")</f>
        <v/>
      </c>
      <c r="BF564" s="4" t="str">
        <f>IFERROR(__xludf.DUMMYFUNCTION("""COMPUTED_VALUE"""),"")</f>
        <v/>
      </c>
      <c r="BG564" s="4" t="str">
        <f>IFERROR(__xludf.DUMMYFUNCTION("""COMPUTED_VALUE"""),"")</f>
        <v/>
      </c>
      <c r="BH564" s="4" t="s">
        <v>145</v>
      </c>
      <c r="BI564" s="7">
        <v>0.9230769230769231</v>
      </c>
    </row>
    <row r="565" hidden="1">
      <c r="A565" s="4" t="str">
        <f>IFERROR(__xludf.DUMMYFUNCTION("""COMPUTED_VALUE"""),"Corrientes 348")</f>
        <v>Corrientes 348</v>
      </c>
      <c r="B565" s="4" t="str">
        <f>IFERROR(__xludf.DUMMYFUNCTION("""COMPUTED_VALUE"""),"Lídia Esteves")</f>
        <v>Lídia Esteves</v>
      </c>
      <c r="C565" s="4" t="str">
        <f>IFERROR(__xludf.DUMMYFUNCTION("""COMPUTED_VALUE"""),"Lídia Esteves")</f>
        <v>Lídia Esteves</v>
      </c>
      <c r="D565" s="4" t="str">
        <f>IFERROR(__xludf.DUMMYFUNCTION("""COMPUTED_VALUE"""),"10. Perdido")</f>
        <v>10. Perdido</v>
      </c>
      <c r="E565" s="4" t="str">
        <f>IFERROR(__xludf.DUMMYFUNCTION("""COMPUTED_VALUE"""),"Perdido - Outro (detalhar ao lado)")</f>
        <v>Perdido - Outro (detalhar ao lado)</v>
      </c>
      <c r="F565" s="4" t="str">
        <f>IFERROR(__xludf.DUMMYFUNCTION("""COMPUTED_VALUE"""),"P")</f>
        <v>P</v>
      </c>
      <c r="G565" s="5">
        <f>IFERROR(__xludf.DUMMYFUNCTION("""COMPUTED_VALUE"""),46076.0)</f>
        <v>46076</v>
      </c>
      <c r="H565" s="4" t="str">
        <f>IFERROR(__xludf.DUMMYFUNCTION("""COMPUTED_VALUE"""),"contrato assinado")</f>
        <v>contrato assinado</v>
      </c>
      <c r="I565" s="4"/>
      <c r="J565" s="4"/>
      <c r="K565" s="6">
        <f>IFERROR(__xludf.DUMMYFUNCTION("""COMPUTED_VALUE"""),45919.0)</f>
        <v>45919</v>
      </c>
      <c r="L565" s="4"/>
      <c r="M565" s="4"/>
      <c r="N565" s="6">
        <f>IFERROR(__xludf.DUMMYFUNCTION("""COMPUTED_VALUE"""),46054.0)</f>
        <v>46054</v>
      </c>
      <c r="O565" s="4"/>
      <c r="P565" s="4"/>
      <c r="Q565" s="6">
        <f>IFERROR(__xludf.DUMMYFUNCTION("""COMPUTED_VALUE"""),46054.0)</f>
        <v>46054</v>
      </c>
      <c r="R565" s="6">
        <f>IFERROR(__xludf.DUMMYFUNCTION("""COMPUTED_VALUE"""),46136.40787451389)</f>
        <v>46136.40787</v>
      </c>
      <c r="S565" s="4"/>
      <c r="T565" s="4"/>
      <c r="U565" s="4"/>
      <c r="V565" s="4" t="str">
        <f>IFERROR(__xludf.DUMMYFUNCTION("""COMPUTED_VALUE"""),"Sem interesse em mudar de PDV")</f>
        <v>Sem interesse em mudar de PDV</v>
      </c>
      <c r="W565" s="4"/>
      <c r="X565" s="4"/>
      <c r="Y565" s="4"/>
      <c r="Z565" s="4"/>
      <c r="AA565" s="4">
        <f>IFERROR(__xludf.DUMMYFUNCTION("""COMPUTED_VALUE"""),3.0)</f>
        <v>3</v>
      </c>
      <c r="AB565" s="4" t="str">
        <f>IFERROR(__xludf.DUMMYFUNCTION("""COMPUTED_VALUE"""),"NÃO")</f>
        <v>NÃO</v>
      </c>
      <c r="AC565" s="4" t="str">
        <f>IFERROR(__xludf.DUMMYFUNCTION("""COMPUTED_VALUE"""),"BP")</f>
        <v>BP</v>
      </c>
      <c r="AD565" s="4"/>
      <c r="AE565" s="4"/>
      <c r="AF565" s="4"/>
      <c r="AG565" s="4"/>
      <c r="AH565" s="4"/>
      <c r="AI565" s="4"/>
      <c r="AJ565" s="4"/>
      <c r="AK565" s="4"/>
      <c r="AL565" s="4"/>
      <c r="AM565" s="4" t="str">
        <f>IFERROR(__xludf.DUMMYFUNCTION("""COMPUTED_VALUE"""),"FY26")</f>
        <v>FY26</v>
      </c>
      <c r="AN565" s="4" t="str">
        <f>IFERROR(__xludf.DUMMYFUNCTION("""COMPUTED_VALUE"""),"Comer Fora")</f>
        <v>Comer Fora</v>
      </c>
      <c r="AO565" s="4">
        <f>IFERROR(__xludf.DUMMYFUNCTION("""COMPUTED_VALUE"""),140.0)</f>
        <v>140</v>
      </c>
      <c r="AP565" s="4"/>
      <c r="AQ565" s="4"/>
      <c r="AR565" s="4"/>
      <c r="AS565" s="4" t="str">
        <f>IFERROR(__xludf.DUMMYFUNCTION("""COMPUTED_VALUE"""),"NATHALIE MERTENS")</f>
        <v>NATHALIE MERTENS</v>
      </c>
      <c r="AT565" s="4" t="str">
        <f>IFERROR(__xludf.DUMMYFUNCTION("""COMPUTED_VALUE"""),"MARIANA KATZ")</f>
        <v>MARIANA KATZ</v>
      </c>
      <c r="AU565" s="4" t="str">
        <f>IFERROR(__xludf.DUMMYFUNCTION("""COMPUTED_VALUE"""),"Lídia")</f>
        <v>Lídia</v>
      </c>
      <c r="AV565" s="4" t="str">
        <f>IFERROR(__xludf.DUMMYFUNCTION("""COMPUTED_VALUE"""),"Comer Fora-")</f>
        <v>Comer Fora-</v>
      </c>
      <c r="AW565" s="20" t="str">
        <f>IFERROR(__xludf.DUMMYFUNCTION("""COMPUTED_VALUE"""),"P e M - pipe")</f>
        <v>P e M - pipe</v>
      </c>
      <c r="AX565" s="4"/>
      <c r="AY565" s="4"/>
      <c r="AZ565" s="4" t="str">
        <f>IFERROR(__xludf.DUMMYFUNCTION("""COMPUTED_VALUE"""),"Carnes")</f>
        <v>Carnes</v>
      </c>
      <c r="BA565" s="4" t="str">
        <f>IFERROR(__xludf.DUMMYFUNCTION("""COMPUTED_VALUE"""),"")</f>
        <v/>
      </c>
      <c r="BB565" s="4" t="str">
        <f>IFERROR(__xludf.DUMMYFUNCTION("""COMPUTED_VALUE"""),"")</f>
        <v/>
      </c>
      <c r="BC565" s="4" t="str">
        <f>IFERROR(__xludf.DUMMYFUNCTION("""COMPUTED_VALUE"""),"")</f>
        <v/>
      </c>
      <c r="BD565" s="4" t="str">
        <f>IFERROR(__xludf.DUMMYFUNCTION("""COMPUTED_VALUE"""),"")</f>
        <v/>
      </c>
      <c r="BE565" s="4" t="str">
        <f>IFERROR(__xludf.DUMMYFUNCTION("""COMPUTED_VALUE"""),"")</f>
        <v/>
      </c>
      <c r="BF565" s="4" t="str">
        <f>IFERROR(__xludf.DUMMYFUNCTION("""COMPUTED_VALUE"""),"")</f>
        <v/>
      </c>
      <c r="BG565" s="4" t="str">
        <f>IFERROR(__xludf.DUMMYFUNCTION("""COMPUTED_VALUE"""),"")</f>
        <v/>
      </c>
      <c r="BH565" s="4" t="s">
        <v>79</v>
      </c>
      <c r="BI565" s="7">
        <v>1.0</v>
      </c>
    </row>
    <row r="566">
      <c r="A566" s="4" t="str">
        <f>IFERROR(__xludf.DUMMYFUNCTION("""COMPUTED_VALUE"""),"Cosechas")</f>
        <v>Cosechas</v>
      </c>
      <c r="B566" s="4" t="str">
        <f>IFERROR(__xludf.DUMMYFUNCTION("""COMPUTED_VALUE"""),"Ana")</f>
        <v>Ana</v>
      </c>
      <c r="C566" s="4" t="str">
        <f>IFERROR(__xludf.DUMMYFUNCTION("""COMPUTED_VALUE"""),"Ana")</f>
        <v>Ana</v>
      </c>
      <c r="D566" s="4" t="str">
        <f>IFERROR(__xludf.DUMMYFUNCTION("""COMPUTED_VALUE"""),"10. Perdido")</f>
        <v>10. Perdido</v>
      </c>
      <c r="E566" s="4" t="str">
        <f>IFERROR(__xludf.DUMMYFUNCTION("""COMPUTED_VALUE"""),"Perdido - Outro (detalhar ao lado)")</f>
        <v>Perdido - Outro (detalhar ao lado)</v>
      </c>
      <c r="F566" s="4" t="str">
        <f>IFERROR(__xludf.DUMMYFUNCTION("""COMPUTED_VALUE"""),"G")</f>
        <v>G</v>
      </c>
      <c r="G566" s="5">
        <f>IFERROR(__xludf.DUMMYFUNCTION("""COMPUTED_VALUE"""),46076.0)</f>
        <v>46076</v>
      </c>
      <c r="H566" s="4" t="str">
        <f>IFERROR(__xludf.DUMMYFUNCTION("""COMPUTED_VALUE"""),"Sem interesse em fazer negociação, cliente opdc, procurando solução no mercado.")</f>
        <v>Sem interesse em fazer negociação, cliente opdc, procurando solução no mercado.</v>
      </c>
      <c r="I566" s="4"/>
      <c r="J566" s="4"/>
      <c r="K566" s="6">
        <f>IFERROR(__xludf.DUMMYFUNCTION("""COMPUTED_VALUE"""),45931.0)</f>
        <v>45931</v>
      </c>
      <c r="L566" s="4"/>
      <c r="M566" s="4"/>
      <c r="N566" s="4"/>
      <c r="O566" s="4"/>
      <c r="P566" s="4"/>
      <c r="Q566" s="4"/>
      <c r="R566" s="6">
        <f>IFERROR(__xludf.DUMMYFUNCTION("""COMPUTED_VALUE"""),46076.48702306713)</f>
        <v>46076.48702</v>
      </c>
      <c r="S566" s="4"/>
      <c r="T566" s="4"/>
      <c r="U566" s="4"/>
      <c r="V566" s="4" t="str">
        <f>IFERROR(__xludf.DUMMYFUNCTION("""COMPUTED_VALUE"""),"Proposta declinada")</f>
        <v>Proposta declinada</v>
      </c>
      <c r="W566" s="4"/>
      <c r="X566" s="4"/>
      <c r="Y566" s="4"/>
      <c r="Z566" s="4"/>
      <c r="AA566" s="4">
        <f>IFERROR(__xludf.DUMMYFUNCTION("""COMPUTED_VALUE"""),270.0)</f>
        <v>270</v>
      </c>
      <c r="AB566" s="4"/>
      <c r="AC566" s="4"/>
      <c r="AD566" s="4"/>
      <c r="AE566" s="4"/>
      <c r="AF566" s="4"/>
      <c r="AG566" s="4"/>
      <c r="AH566" s="4"/>
      <c r="AI566" s="4"/>
      <c r="AJ566" s="4"/>
      <c r="AK566" s="4"/>
      <c r="AL566" s="4"/>
      <c r="AM566" s="4" t="str">
        <f>IFERROR(__xludf.DUMMYFUNCTION("""COMPUTED_VALUE"""),"FY26")</f>
        <v>FY26</v>
      </c>
      <c r="AN566" s="4"/>
      <c r="AO566" s="4">
        <f>IFERROR(__xludf.DUMMYFUNCTION("""COMPUTED_VALUE"""),140.0)</f>
        <v>140</v>
      </c>
      <c r="AP566" s="4"/>
      <c r="AQ566" s="4"/>
      <c r="AR566" s="4"/>
      <c r="AS566" s="4">
        <f>IFERROR(__xludf.DUMMYFUNCTION("""COMPUTED_VALUE"""),0.0)</f>
        <v>0</v>
      </c>
      <c r="AT566" s="4">
        <f>IFERROR(__xludf.DUMMYFUNCTION("""COMPUTED_VALUE"""),0.0)</f>
        <v>0</v>
      </c>
      <c r="AU566" s="4" t="str">
        <f>IFERROR(__xludf.DUMMYFUNCTION("""COMPUTED_VALUE"""),"Ana")</f>
        <v>Ana</v>
      </c>
      <c r="AV566" s="4">
        <f>IFERROR(__xludf.DUMMYFUNCTION("""COMPUTED_VALUE"""),0.0)</f>
        <v>0</v>
      </c>
      <c r="AW566" s="4">
        <f>IFERROR(__xludf.DUMMYFUNCTION("""COMPUTED_VALUE"""),0.0)</f>
        <v>0</v>
      </c>
      <c r="AX566" s="4">
        <f>IFERROR(__xludf.DUMMYFUNCTION("""COMPUTED_VALUE"""),0.0)</f>
        <v>0</v>
      </c>
      <c r="AY566" s="4"/>
      <c r="AZ566" s="4">
        <f>IFERROR(__xludf.DUMMYFUNCTION("""COMPUTED_VALUE"""),0.0)</f>
        <v>0</v>
      </c>
      <c r="BA566" s="4" t="str">
        <f>IFERROR(__xludf.DUMMYFUNCTION("""COMPUTED_VALUE"""),"")</f>
        <v/>
      </c>
      <c r="BB566" s="4" t="str">
        <f>IFERROR(__xludf.DUMMYFUNCTION("""COMPUTED_VALUE"""),"")</f>
        <v/>
      </c>
      <c r="BC566" s="4" t="str">
        <f>IFERROR(__xludf.DUMMYFUNCTION("""COMPUTED_VALUE"""),"")</f>
        <v/>
      </c>
      <c r="BD566" s="4" t="str">
        <f>IFERROR(__xludf.DUMMYFUNCTION("""COMPUTED_VALUE"""),"")</f>
        <v/>
      </c>
      <c r="BE566" s="4" t="str">
        <f>IFERROR(__xludf.DUMMYFUNCTION("""COMPUTED_VALUE"""),"")</f>
        <v/>
      </c>
      <c r="BF566" s="4" t="str">
        <f>IFERROR(__xludf.DUMMYFUNCTION("""COMPUTED_VALUE"""),"")</f>
        <v/>
      </c>
      <c r="BG566" s="4" t="str">
        <f>IFERROR(__xludf.DUMMYFUNCTION("""COMPUTED_VALUE"""),"")</f>
        <v/>
      </c>
      <c r="BH566" s="4" t="s">
        <v>64</v>
      </c>
      <c r="BI566" s="7">
        <v>0.5</v>
      </c>
    </row>
    <row r="567" hidden="1">
      <c r="A567" s="4" t="str">
        <f>IFERROR(__xludf.DUMMYFUNCTION("""COMPUTED_VALUE"""),"D&amp;P Holding (Master Franquia Bullguer)")</f>
        <v>D&amp;P Holding (Master Franquia Bullguer)</v>
      </c>
      <c r="B567" s="4" t="str">
        <f>IFERROR(__xludf.DUMMYFUNCTION("""COMPUTED_VALUE"""),"Lídia Esteves")</f>
        <v>Lídia Esteves</v>
      </c>
      <c r="C567" s="4" t="str">
        <f>IFERROR(__xludf.DUMMYFUNCTION("""COMPUTED_VALUE"""),"Gabriela Roma")</f>
        <v>Gabriela Roma</v>
      </c>
      <c r="D567" s="4" t="str">
        <f>IFERROR(__xludf.DUMMYFUNCTION("""COMPUTED_VALUE"""),"10. Perdido")</f>
        <v>10. Perdido</v>
      </c>
      <c r="E567" s="4" t="str">
        <f>IFERROR(__xludf.DUMMYFUNCTION("""COMPUTED_VALUE"""),"Perdido - Falta de aderência técnica")</f>
        <v>Perdido - Falta de aderência técnica</v>
      </c>
      <c r="F567" s="4" t="str">
        <f>IFERROR(__xludf.DUMMYFUNCTION("""COMPUTED_VALUE"""),"P")</f>
        <v>P</v>
      </c>
      <c r="G567" s="5">
        <f>IFERROR(__xludf.DUMMYFUNCTION("""COMPUTED_VALUE"""),46076.0)</f>
        <v>46076</v>
      </c>
      <c r="H567" s="4" t="str">
        <f>IFERROR(__xludf.DUMMYFUNCTION("""COMPUTED_VALUE"""),"Usam Teknisa no front (PDV) e ERP, não conseguem desvincular ERP e não integramos com Teknisa")</f>
        <v>Usam Teknisa no front (PDV) e ERP, não conseguem desvincular ERP e não integramos com Teknisa</v>
      </c>
      <c r="I567" s="4"/>
      <c r="J567" s="4"/>
      <c r="K567" s="6">
        <f>IFERROR(__xludf.DUMMYFUNCTION("""COMPUTED_VALUE"""),45897.0)</f>
        <v>45897</v>
      </c>
      <c r="L567" s="4"/>
      <c r="M567" s="4"/>
      <c r="N567" s="4"/>
      <c r="O567" s="4"/>
      <c r="P567" s="4"/>
      <c r="Q567" s="4"/>
      <c r="R567" s="6">
        <f>IFERROR(__xludf.DUMMYFUNCTION("""COMPUTED_VALUE"""),46064.47058770833)</f>
        <v>46064.47059</v>
      </c>
      <c r="S567" s="4"/>
      <c r="T567" s="4"/>
      <c r="U567" s="4"/>
      <c r="V567" s="4" t="str">
        <f>IFERROR(__xludf.DUMMYFUNCTION("""COMPUTED_VALUE"""),"Sem interesse em mudar de PDV")</f>
        <v>Sem interesse em mudar de PDV</v>
      </c>
      <c r="W567" s="4"/>
      <c r="X567" s="4"/>
      <c r="Y567" s="4"/>
      <c r="Z567" s="4"/>
      <c r="AA567" s="4">
        <f>IFERROR(__xludf.DUMMYFUNCTION("""COMPUTED_VALUE"""),8.0)</f>
        <v>8</v>
      </c>
      <c r="AB567" s="4" t="str">
        <f>IFERROR(__xludf.DUMMYFUNCTION("""COMPUTED_VALUE"""),"NÃO")</f>
        <v>NÃO</v>
      </c>
      <c r="AC567" s="4" t="str">
        <f>IFERROR(__xludf.DUMMYFUNCTION("""COMPUTED_VALUE"""),"Não BP")</f>
        <v>Não BP</v>
      </c>
      <c r="AD567" s="4"/>
      <c r="AE567" s="4"/>
      <c r="AF567" s="4"/>
      <c r="AG567" s="4"/>
      <c r="AH567" s="4"/>
      <c r="AI567" s="4"/>
      <c r="AJ567" s="4"/>
      <c r="AK567" s="4"/>
      <c r="AL567" s="4"/>
      <c r="AM567" s="4" t="str">
        <f>IFERROR(__xludf.DUMMYFUNCTION("""COMPUTED_VALUE"""),"FY26")</f>
        <v>FY26</v>
      </c>
      <c r="AN567" s="4"/>
      <c r="AO567" s="4">
        <f>IFERROR(__xludf.DUMMYFUNCTION("""COMPUTED_VALUE"""),140.0)</f>
        <v>140</v>
      </c>
      <c r="AP567" s="4"/>
      <c r="AQ567" s="4"/>
      <c r="AR567" s="4"/>
      <c r="AS567" s="4">
        <f>IFERROR(__xludf.DUMMYFUNCTION("""COMPUTED_VALUE"""),0.0)</f>
        <v>0</v>
      </c>
      <c r="AT567" s="4">
        <f>IFERROR(__xludf.DUMMYFUNCTION("""COMPUTED_VALUE"""),0.0)</f>
        <v>0</v>
      </c>
      <c r="AU567" s="4" t="str">
        <f>IFERROR(__xludf.DUMMYFUNCTION("""COMPUTED_VALUE"""),"Mariana")</f>
        <v>Mariana</v>
      </c>
      <c r="AV567" s="4">
        <f>IFERROR(__xludf.DUMMYFUNCTION("""COMPUTED_VALUE"""),0.0)</f>
        <v>0</v>
      </c>
      <c r="AW567" s="4">
        <f>IFERROR(__xludf.DUMMYFUNCTION("""COMPUTED_VALUE"""),0.0)</f>
        <v>0</v>
      </c>
      <c r="AX567" s="4">
        <f>IFERROR(__xludf.DUMMYFUNCTION("""COMPUTED_VALUE"""),0.0)</f>
        <v>0</v>
      </c>
      <c r="AY567" s="4"/>
      <c r="AZ567" s="4" t="str">
        <f>IFERROR(__xludf.DUMMYFUNCTION("""COMPUTED_VALUE"""),"#N/A")</f>
        <v>#N/A</v>
      </c>
      <c r="BA567" s="4" t="str">
        <f>IFERROR(__xludf.DUMMYFUNCTION("""COMPUTED_VALUE"""),"")</f>
        <v/>
      </c>
      <c r="BB567" s="4" t="str">
        <f>IFERROR(__xludf.DUMMYFUNCTION("""COMPUTED_VALUE"""),"")</f>
        <v/>
      </c>
      <c r="BC567" s="4" t="str">
        <f>IFERROR(__xludf.DUMMYFUNCTION("""COMPUTED_VALUE"""),"")</f>
        <v/>
      </c>
      <c r="BD567" s="4" t="str">
        <f>IFERROR(__xludf.DUMMYFUNCTION("""COMPUTED_VALUE"""),"")</f>
        <v/>
      </c>
      <c r="BE567" s="4" t="str">
        <f>IFERROR(__xludf.DUMMYFUNCTION("""COMPUTED_VALUE"""),"")</f>
        <v/>
      </c>
      <c r="BF567" s="4" t="str">
        <f>IFERROR(__xludf.DUMMYFUNCTION("""COMPUTED_VALUE"""),"")</f>
        <v/>
      </c>
      <c r="BG567" s="4" t="str">
        <f>IFERROR(__xludf.DUMMYFUNCTION("""COMPUTED_VALUE"""),"")</f>
        <v/>
      </c>
      <c r="BH567" s="4" t="s">
        <v>63</v>
      </c>
      <c r="BI567" s="7" t="s">
        <v>63</v>
      </c>
    </row>
    <row r="568" hidden="1">
      <c r="A568" s="4" t="str">
        <f>IFERROR(__xludf.DUMMYFUNCTION("""COMPUTED_VALUE"""),"Debetti")</f>
        <v>Debetti</v>
      </c>
      <c r="B568" s="4" t="str">
        <f>IFERROR(__xludf.DUMMYFUNCTION("""COMPUTED_VALUE"""),"Lídia Esteves")</f>
        <v>Lídia Esteves</v>
      </c>
      <c r="C568" s="4" t="str">
        <f>IFERROR(__xludf.DUMMYFUNCTION("""COMPUTED_VALUE"""),"Lídia Esteves")</f>
        <v>Lídia Esteves</v>
      </c>
      <c r="D568" s="4" t="str">
        <f>IFERROR(__xludf.DUMMYFUNCTION("""COMPUTED_VALUE"""),"10. Perdido")</f>
        <v>10. Perdido</v>
      </c>
      <c r="E568" s="4" t="str">
        <f>IFERROR(__xludf.DUMMYFUNCTION("""COMPUTED_VALUE"""),"Perdido - Outro (detalhar ao lado)")</f>
        <v>Perdido - Outro (detalhar ao lado)</v>
      </c>
      <c r="F568" s="4" t="str">
        <f>IFERROR(__xludf.DUMMYFUNCTION("""COMPUTED_VALUE"""),"P")</f>
        <v>P</v>
      </c>
      <c r="G568" s="5">
        <f>IFERROR(__xludf.DUMMYFUNCTION("""COMPUTED_VALUE"""),46076.0)</f>
        <v>46076</v>
      </c>
      <c r="H568" s="4" t="str">
        <f>IFERROR(__xludf.DUMMYFUNCTION("""COMPUTED_VALUE"""),"Sem interesse em mudar a solução")</f>
        <v>Sem interesse em mudar a solução</v>
      </c>
      <c r="I568" s="4"/>
      <c r="J568" s="4"/>
      <c r="K568" s="6">
        <f>IFERROR(__xludf.DUMMYFUNCTION("""COMPUTED_VALUE"""),45915.0)</f>
        <v>45915</v>
      </c>
      <c r="L568" s="4"/>
      <c r="M568" s="4"/>
      <c r="N568" s="4"/>
      <c r="O568" s="4"/>
      <c r="P568" s="4"/>
      <c r="Q568" s="4"/>
      <c r="R568" s="4"/>
      <c r="S568" s="4"/>
      <c r="T568" s="4"/>
      <c r="U568" s="4"/>
      <c r="V568" s="4" t="str">
        <f>IFERROR(__xludf.DUMMYFUNCTION("""COMPUTED_VALUE"""),"Sem interesse em mudar de PDV")</f>
        <v>Sem interesse em mudar de PDV</v>
      </c>
      <c r="W568" s="4"/>
      <c r="X568" s="4"/>
      <c r="Y568" s="4"/>
      <c r="Z568" s="4"/>
      <c r="AA568" s="4">
        <f>IFERROR(__xludf.DUMMYFUNCTION("""COMPUTED_VALUE"""),2.0)</f>
        <v>2</v>
      </c>
      <c r="AB568" s="4" t="str">
        <f>IFERROR(__xludf.DUMMYFUNCTION("""COMPUTED_VALUE"""),"NÃO")</f>
        <v>NÃO</v>
      </c>
      <c r="AC568" s="4" t="str">
        <f>IFERROR(__xludf.DUMMYFUNCTION("""COMPUTED_VALUE"""),"BP")</f>
        <v>BP</v>
      </c>
      <c r="AD568" s="4"/>
      <c r="AE568" s="4"/>
      <c r="AF568" s="4"/>
      <c r="AG568" s="4"/>
      <c r="AH568" s="4"/>
      <c r="AI568" s="4"/>
      <c r="AJ568" s="4"/>
      <c r="AK568" s="4"/>
      <c r="AL568" s="4"/>
      <c r="AM568" s="4" t="str">
        <f>IFERROR(__xludf.DUMMYFUNCTION("""COMPUTED_VALUE"""),"FY26")</f>
        <v>FY26</v>
      </c>
      <c r="AN568" s="4" t="str">
        <f>IFERROR(__xludf.DUMMYFUNCTION("""COMPUTED_VALUE"""),"Comer Fora")</f>
        <v>Comer Fora</v>
      </c>
      <c r="AO568" s="4">
        <f>IFERROR(__xludf.DUMMYFUNCTION("""COMPUTED_VALUE"""),140.0)</f>
        <v>140</v>
      </c>
      <c r="AP568" s="4"/>
      <c r="AQ568" s="4"/>
      <c r="AR568" s="4"/>
      <c r="AS568" s="4" t="str">
        <f>IFERROR(__xludf.DUMMYFUNCTION("""COMPUTED_VALUE"""),"NATHALIE MERTENS")</f>
        <v>NATHALIE MERTENS</v>
      </c>
      <c r="AT568" s="4" t="str">
        <f>IFERROR(__xludf.DUMMYFUNCTION("""COMPUTED_VALUE"""),"MARIANA KATZ")</f>
        <v>MARIANA KATZ</v>
      </c>
      <c r="AU568" s="4" t="str">
        <f>IFERROR(__xludf.DUMMYFUNCTION("""COMPUTED_VALUE"""),"Lídia")</f>
        <v>Lídia</v>
      </c>
      <c r="AV568" s="4" t="str">
        <f>IFERROR(__xludf.DUMMYFUNCTION("""COMPUTED_VALUE"""),"Comer Fora-")</f>
        <v>Comer Fora-</v>
      </c>
      <c r="AW568" s="20" t="str">
        <f>IFERROR(__xludf.DUMMYFUNCTION("""COMPUTED_VALUE"""),"P e M - pipe")</f>
        <v>P e M - pipe</v>
      </c>
      <c r="AX568" s="4"/>
      <c r="AY568" s="4"/>
      <c r="AZ568" s="4" t="str">
        <f>IFERROR(__xludf.DUMMYFUNCTION("""COMPUTED_VALUE"""),"Lanches")</f>
        <v>Lanches</v>
      </c>
      <c r="BA568" s="4" t="str">
        <f>IFERROR(__xludf.DUMMYFUNCTION("""COMPUTED_VALUE"""),"")</f>
        <v/>
      </c>
      <c r="BB568" s="4" t="str">
        <f>IFERROR(__xludf.DUMMYFUNCTION("""COMPUTED_VALUE"""),"")</f>
        <v/>
      </c>
      <c r="BC568" s="4" t="str">
        <f>IFERROR(__xludf.DUMMYFUNCTION("""COMPUTED_VALUE"""),"")</f>
        <v/>
      </c>
      <c r="BD568" s="4" t="str">
        <f>IFERROR(__xludf.DUMMYFUNCTION("""COMPUTED_VALUE"""),"")</f>
        <v/>
      </c>
      <c r="BE568" s="4" t="str">
        <f>IFERROR(__xludf.DUMMYFUNCTION("""COMPUTED_VALUE"""),"")</f>
        <v/>
      </c>
      <c r="BF568" s="4" t="str">
        <f>IFERROR(__xludf.DUMMYFUNCTION("""COMPUTED_VALUE"""),"")</f>
        <v/>
      </c>
      <c r="BG568" s="4" t="str">
        <f>IFERROR(__xludf.DUMMYFUNCTION("""COMPUTED_VALUE"""),"")</f>
        <v/>
      </c>
      <c r="BH568" s="4" t="s">
        <v>64</v>
      </c>
      <c r="BI568" s="7">
        <v>1.0</v>
      </c>
    </row>
    <row r="569" hidden="1">
      <c r="A569" s="4" t="str">
        <f>IFERROR(__xludf.DUMMYFUNCTION("""COMPUTED_VALUE"""),"Dengo Chocolates")</f>
        <v>Dengo Chocolates</v>
      </c>
      <c r="B569" s="4" t="str">
        <f>IFERROR(__xludf.DUMMYFUNCTION("""COMPUTED_VALUE"""),"Samuel")</f>
        <v>Samuel</v>
      </c>
      <c r="C569" s="4" t="str">
        <f>IFERROR(__xludf.DUMMYFUNCTION("""COMPUTED_VALUE"""),"Samuel")</f>
        <v>Samuel</v>
      </c>
      <c r="D569" s="4" t="str">
        <f>IFERROR(__xludf.DUMMYFUNCTION("""COMPUTED_VALUE"""),"10. Perdido")</f>
        <v>10. Perdido</v>
      </c>
      <c r="E569" s="4" t="str">
        <f>IFERROR(__xludf.DUMMYFUNCTION("""COMPUTED_VALUE"""),"Parceiro - Aguardando retorno / Conciliação agenda")</f>
        <v>Parceiro - Aguardando retorno / Conciliação agenda</v>
      </c>
      <c r="F569" s="4" t="str">
        <f>IFERROR(__xludf.DUMMYFUNCTION("""COMPUTED_VALUE"""),"M")</f>
        <v>M</v>
      </c>
      <c r="G569" s="5">
        <f>IFERROR(__xludf.DUMMYFUNCTION("""COMPUTED_VALUE"""),46073.0)</f>
        <v>46073</v>
      </c>
      <c r="H569" s="4" t="str">
        <f>IFERROR(__xludf.DUMMYFUNCTION("""COMPUTED_VALUE"""),"Abordagem com tomador de decisão a partir de Março/26")</f>
        <v>Abordagem com tomador de decisão a partir de Março/26</v>
      </c>
      <c r="I569" s="4"/>
      <c r="J569" s="4"/>
      <c r="K569" s="4"/>
      <c r="L569" s="4"/>
      <c r="M569" s="4"/>
      <c r="N569" s="4"/>
      <c r="O569" s="4"/>
      <c r="P569" s="4"/>
      <c r="Q569" s="4"/>
      <c r="R569" s="4"/>
      <c r="S569" s="4"/>
      <c r="T569" s="4"/>
      <c r="U569" s="4"/>
      <c r="V569" s="4" t="str">
        <f>IFERROR(__xludf.DUMMYFUNCTION("""COMPUTED_VALUE"""),"Outros")</f>
        <v>Outros</v>
      </c>
      <c r="W569" s="4"/>
      <c r="X569" s="4"/>
      <c r="Y569" s="4"/>
      <c r="Z569" s="4"/>
      <c r="AA569" s="4">
        <f>IFERROR(__xludf.DUMMYFUNCTION("""COMPUTED_VALUE"""),53.0)</f>
        <v>53</v>
      </c>
      <c r="AB569" s="4" t="str">
        <f>IFERROR(__xludf.DUMMYFUNCTION("""COMPUTED_VALUE"""),"NÃO")</f>
        <v>NÃO</v>
      </c>
      <c r="AC569" s="4" t="str">
        <f>IFERROR(__xludf.DUMMYFUNCTION("""COMPUTED_VALUE"""),"BP")</f>
        <v>BP</v>
      </c>
      <c r="AD569" s="4"/>
      <c r="AE569" s="4"/>
      <c r="AF569" s="4"/>
      <c r="AG569" s="4"/>
      <c r="AH569" s="4"/>
      <c r="AI569" s="4"/>
      <c r="AJ569" s="4"/>
      <c r="AK569" s="4"/>
      <c r="AL569" s="4"/>
      <c r="AM569" s="4" t="str">
        <f>IFERROR(__xludf.DUMMYFUNCTION("""COMPUTED_VALUE"""),"FY26")</f>
        <v>FY26</v>
      </c>
      <c r="AN569" s="4" t="str">
        <f>IFERROR(__xludf.DUMMYFUNCTION("""COMPUTED_VALUE"""),"Comer Fora")</f>
        <v>Comer Fora</v>
      </c>
      <c r="AO569" s="4">
        <f>IFERROR(__xludf.DUMMYFUNCTION("""COMPUTED_VALUE"""),143.0)</f>
        <v>143</v>
      </c>
      <c r="AP569" s="4"/>
      <c r="AQ569" s="4"/>
      <c r="AR569" s="4"/>
      <c r="AS569" s="4" t="str">
        <f>IFERROR(__xludf.DUMMYFUNCTION("""COMPUTED_VALUE"""),"ISABELA GOULART")</f>
        <v>ISABELA GOULART</v>
      </c>
      <c r="AT569" s="4" t="str">
        <f>IFERROR(__xludf.DUMMYFUNCTION("""COMPUTED_VALUE"""),"ANDRE CATENASSI")</f>
        <v>ANDRE CATENASSI</v>
      </c>
      <c r="AU569" s="4" t="str">
        <f>IFERROR(__xludf.DUMMYFUNCTION("""COMPUTED_VALUE"""),"Samuel")</f>
        <v>Samuel</v>
      </c>
      <c r="AV569" s="4">
        <f>IFERROR(__xludf.DUMMYFUNCTION("""COMPUTED_VALUE"""),0.0)</f>
        <v>0</v>
      </c>
      <c r="AW569" s="4">
        <f>IFERROR(__xludf.DUMMYFUNCTION("""COMPUTED_VALUE"""),0.0)</f>
        <v>0</v>
      </c>
      <c r="AX569" s="4">
        <f>IFERROR(__xludf.DUMMYFUNCTION("""COMPUTED_VALUE"""),0.0)</f>
        <v>0</v>
      </c>
      <c r="AY569" s="4"/>
      <c r="AZ569" s="4" t="str">
        <f>IFERROR(__xludf.DUMMYFUNCTION("""COMPUTED_VALUE"""),"Doces &amp; Bolos")</f>
        <v>Doces &amp; Bolos</v>
      </c>
      <c r="BA569" s="4" t="str">
        <f>IFERROR(__xludf.DUMMYFUNCTION("""COMPUTED_VALUE"""),"")</f>
        <v/>
      </c>
      <c r="BB569" s="4" t="str">
        <f>IFERROR(__xludf.DUMMYFUNCTION("""COMPUTED_VALUE"""),"")</f>
        <v/>
      </c>
      <c r="BC569" s="4" t="str">
        <f>IFERROR(__xludf.DUMMYFUNCTION("""COMPUTED_VALUE"""),"")</f>
        <v/>
      </c>
      <c r="BD569" s="4" t="str">
        <f>IFERROR(__xludf.DUMMYFUNCTION("""COMPUTED_VALUE"""),"")</f>
        <v/>
      </c>
      <c r="BE569" s="4" t="str">
        <f>IFERROR(__xludf.DUMMYFUNCTION("""COMPUTED_VALUE"""),"")</f>
        <v/>
      </c>
      <c r="BF569" s="4" t="str">
        <f>IFERROR(__xludf.DUMMYFUNCTION("""COMPUTED_VALUE"""),"")</f>
        <v/>
      </c>
      <c r="BG569" s="4" t="str">
        <f>IFERROR(__xludf.DUMMYFUNCTION("""COMPUTED_VALUE"""),"")</f>
        <v/>
      </c>
      <c r="BH569" s="4" t="s">
        <v>120</v>
      </c>
      <c r="BI569" s="7">
        <v>0.9230769230769231</v>
      </c>
    </row>
    <row r="570" hidden="1">
      <c r="A570" s="4" t="str">
        <f>IFERROR(__xludf.DUMMYFUNCTION("""COMPUTED_VALUE"""),"Di Blasi")</f>
        <v>Di Blasi</v>
      </c>
      <c r="B570" s="4" t="str">
        <f>IFERROR(__xludf.DUMMYFUNCTION("""COMPUTED_VALUE"""),"Diego Santos")</f>
        <v>Diego Santos</v>
      </c>
      <c r="C570" s="4" t="str">
        <f>IFERROR(__xludf.DUMMYFUNCTION("""COMPUTED_VALUE"""),"Diego Santos")</f>
        <v>Diego Santos</v>
      </c>
      <c r="D570" s="4" t="str">
        <f>IFERROR(__xludf.DUMMYFUNCTION("""COMPUTED_VALUE"""),"10. Perdido")</f>
        <v>10. Perdido</v>
      </c>
      <c r="E570" s="4" t="str">
        <f>IFERROR(__xludf.DUMMYFUNCTION("""COMPUTED_VALUE"""),"Perdido - Outro (detalhar ao lado)")</f>
        <v>Perdido - Outro (detalhar ao lado)</v>
      </c>
      <c r="F570" s="4" t="str">
        <f>IFERROR(__xludf.DUMMYFUNCTION("""COMPUTED_VALUE"""),"P")</f>
        <v>P</v>
      </c>
      <c r="G570" s="5">
        <f>IFERROR(__xludf.DUMMYFUNCTION("""COMPUTED_VALUE"""),46076.0)</f>
        <v>46076</v>
      </c>
      <c r="H570" s="4" t="str">
        <f>IFERROR(__xludf.DUMMYFUNCTION("""COMPUTED_VALUE"""),"Cliente SAIPOS.")</f>
        <v>Cliente SAIPOS.</v>
      </c>
      <c r="I570" s="4"/>
      <c r="J570" s="4"/>
      <c r="K570" s="6">
        <f>IFERROR(__xludf.DUMMYFUNCTION("""COMPUTED_VALUE"""),45931.0)</f>
        <v>45931</v>
      </c>
      <c r="L570" s="4"/>
      <c r="M570" s="4"/>
      <c r="N570" s="4"/>
      <c r="O570" s="4"/>
      <c r="P570" s="4"/>
      <c r="Q570" s="4"/>
      <c r="R570" s="6">
        <f>IFERROR(__xludf.DUMMYFUNCTION("""COMPUTED_VALUE"""),46072.57273296296)</f>
        <v>46072.57273</v>
      </c>
      <c r="S570" s="4"/>
      <c r="T570" s="4"/>
      <c r="U570" s="4"/>
      <c r="V570" s="4" t="str">
        <f>IFERROR(__xludf.DUMMYFUNCTION("""COMPUTED_VALUE"""),"Fechou com concorrente há pouco tempo")</f>
        <v>Fechou com concorrente há pouco tempo</v>
      </c>
      <c r="W570" s="4"/>
      <c r="X570" s="4"/>
      <c r="Y570" s="4"/>
      <c r="Z570" s="4"/>
      <c r="AA570" s="4">
        <f>IFERROR(__xludf.DUMMYFUNCTION("""COMPUTED_VALUE"""),20.0)</f>
        <v>20</v>
      </c>
      <c r="AB570" s="4"/>
      <c r="AC570" s="4"/>
      <c r="AD570" s="4"/>
      <c r="AE570" s="4"/>
      <c r="AF570" s="4"/>
      <c r="AG570" s="4"/>
      <c r="AH570" s="4"/>
      <c r="AI570" s="4"/>
      <c r="AJ570" s="4"/>
      <c r="AK570" s="4"/>
      <c r="AL570" s="4"/>
      <c r="AM570" s="4" t="str">
        <f>IFERROR(__xludf.DUMMYFUNCTION("""COMPUTED_VALUE"""),"FY26")</f>
        <v>FY26</v>
      </c>
      <c r="AN570" s="4"/>
      <c r="AO570" s="4">
        <f>IFERROR(__xludf.DUMMYFUNCTION("""COMPUTED_VALUE"""),140.0)</f>
        <v>140</v>
      </c>
      <c r="AP570" s="4"/>
      <c r="AQ570" s="4"/>
      <c r="AR570" s="4"/>
      <c r="AS570" s="4">
        <f>IFERROR(__xludf.DUMMYFUNCTION("""COMPUTED_VALUE"""),0.0)</f>
        <v>0</v>
      </c>
      <c r="AT570" s="4">
        <f>IFERROR(__xludf.DUMMYFUNCTION("""COMPUTED_VALUE"""),0.0)</f>
        <v>0</v>
      </c>
      <c r="AU570" s="4" t="str">
        <f>IFERROR(__xludf.DUMMYFUNCTION("""COMPUTED_VALUE"""),"Diego")</f>
        <v>Diego</v>
      </c>
      <c r="AV570" s="4">
        <f>IFERROR(__xludf.DUMMYFUNCTION("""COMPUTED_VALUE"""),0.0)</f>
        <v>0</v>
      </c>
      <c r="AW570" s="4">
        <f>IFERROR(__xludf.DUMMYFUNCTION("""COMPUTED_VALUE"""),0.0)</f>
        <v>0</v>
      </c>
      <c r="AX570" s="4">
        <f>IFERROR(__xludf.DUMMYFUNCTION("""COMPUTED_VALUE"""),0.0)</f>
        <v>0</v>
      </c>
      <c r="AY570" s="4"/>
      <c r="AZ570" s="4" t="str">
        <f>IFERROR(__xludf.DUMMYFUNCTION("""COMPUTED_VALUE"""),"#N/A")</f>
        <v>#N/A</v>
      </c>
      <c r="BA570" s="4" t="str">
        <f>IFERROR(__xludf.DUMMYFUNCTION("""COMPUTED_VALUE"""),"")</f>
        <v/>
      </c>
      <c r="BB570" s="4" t="str">
        <f>IFERROR(__xludf.DUMMYFUNCTION("""COMPUTED_VALUE"""),"")</f>
        <v/>
      </c>
      <c r="BC570" s="4" t="str">
        <f>IFERROR(__xludf.DUMMYFUNCTION("""COMPUTED_VALUE"""),"")</f>
        <v/>
      </c>
      <c r="BD570" s="4" t="str">
        <f>IFERROR(__xludf.DUMMYFUNCTION("""COMPUTED_VALUE"""),"")</f>
        <v/>
      </c>
      <c r="BE570" s="4" t="str">
        <f>IFERROR(__xludf.DUMMYFUNCTION("""COMPUTED_VALUE"""),"")</f>
        <v/>
      </c>
      <c r="BF570" s="4" t="str">
        <f>IFERROR(__xludf.DUMMYFUNCTION("""COMPUTED_VALUE"""),"")</f>
        <v/>
      </c>
      <c r="BG570" s="4" t="str">
        <f>IFERROR(__xludf.DUMMYFUNCTION("""COMPUTED_VALUE"""),"")</f>
        <v/>
      </c>
      <c r="BH570" s="4" t="s">
        <v>63</v>
      </c>
      <c r="BI570" s="7" t="s">
        <v>63</v>
      </c>
    </row>
    <row r="571" hidden="1">
      <c r="A571" s="4" t="str">
        <f>IFERROR(__xludf.DUMMYFUNCTION("""COMPUTED_VALUE"""),"Dipz")</f>
        <v>Dipz</v>
      </c>
      <c r="B571" s="4" t="str">
        <f>IFERROR(__xludf.DUMMYFUNCTION("""COMPUTED_VALUE"""),"Michel")</f>
        <v>Michel</v>
      </c>
      <c r="C571" s="4" t="str">
        <f>IFERROR(__xludf.DUMMYFUNCTION("""COMPUTED_VALUE"""),"Michel")</f>
        <v>Michel</v>
      </c>
      <c r="D571" s="4" t="str">
        <f>IFERROR(__xludf.DUMMYFUNCTION("""COMPUTED_VALUE"""),"12. Orgânico")</f>
        <v>12. Orgânico</v>
      </c>
      <c r="E571" s="4"/>
      <c r="F571" s="4" t="str">
        <f>IFERROR(__xludf.DUMMYFUNCTION("""COMPUTED_VALUE"""),"P")</f>
        <v>P</v>
      </c>
      <c r="G571" s="4"/>
      <c r="H571" s="4"/>
      <c r="I571" s="4"/>
      <c r="J571" s="4"/>
      <c r="K571" s="4"/>
      <c r="L571" s="4"/>
      <c r="M571" s="4"/>
      <c r="N571" s="4"/>
      <c r="O571" s="4"/>
      <c r="P571" s="4"/>
      <c r="Q571" s="4"/>
      <c r="R571" s="4"/>
      <c r="S571" s="4"/>
      <c r="T571" s="4"/>
      <c r="U571" s="4"/>
      <c r="V571" s="4"/>
      <c r="W571" s="4"/>
      <c r="X571" s="4"/>
      <c r="Y571" s="4"/>
      <c r="Z571" s="4"/>
      <c r="AA571" s="4">
        <f>IFERROR(__xludf.DUMMYFUNCTION("""COMPUTED_VALUE"""),5.0)</f>
        <v>5</v>
      </c>
      <c r="AB571" s="4"/>
      <c r="AC571" s="4"/>
      <c r="AD571" s="4"/>
      <c r="AE571" s="4"/>
      <c r="AF571" s="4"/>
      <c r="AG571" s="4"/>
      <c r="AH571" s="4"/>
      <c r="AI571" s="4"/>
      <c r="AJ571" s="4"/>
      <c r="AK571" s="4"/>
      <c r="AL571" s="4"/>
      <c r="AM571" s="4" t="str">
        <f>IFERROR(__xludf.DUMMYFUNCTION("""COMPUTED_VALUE"""),"Orgânico 3S")</f>
        <v>Orgânico 3S</v>
      </c>
      <c r="AN571" s="4"/>
      <c r="AO571" s="4">
        <f>IFERROR(__xludf.DUMMYFUNCTION("""COMPUTED_VALUE"""),45553.0)</f>
        <v>45553</v>
      </c>
      <c r="AP571" s="4"/>
      <c r="AQ571" s="4"/>
      <c r="AR571" s="4"/>
      <c r="AS571" s="4">
        <f>IFERROR(__xludf.DUMMYFUNCTION("""COMPUTED_VALUE"""),0.0)</f>
        <v>0</v>
      </c>
      <c r="AT571" s="4">
        <f>IFERROR(__xludf.DUMMYFUNCTION("""COMPUTED_VALUE"""),0.0)</f>
        <v>0</v>
      </c>
      <c r="AU571" s="4" t="str">
        <f>IFERROR(__xludf.DUMMYFUNCTION("""COMPUTED_VALUE"""),"Michel")</f>
        <v>Michel</v>
      </c>
      <c r="AV571" s="4">
        <f>IFERROR(__xludf.DUMMYFUNCTION("""COMPUTED_VALUE"""),0.0)</f>
        <v>0</v>
      </c>
      <c r="AW571" s="4">
        <f>IFERROR(__xludf.DUMMYFUNCTION("""COMPUTED_VALUE"""),0.0)</f>
        <v>0</v>
      </c>
      <c r="AX571" s="4">
        <f>IFERROR(__xludf.DUMMYFUNCTION("""COMPUTED_VALUE"""),0.0)</f>
        <v>0</v>
      </c>
      <c r="AY571" s="4"/>
      <c r="AZ571" s="4">
        <f>IFERROR(__xludf.DUMMYFUNCTION("""COMPUTED_VALUE"""),0.0)</f>
        <v>0</v>
      </c>
      <c r="BA571" s="4" t="str">
        <f>IFERROR(__xludf.DUMMYFUNCTION("""COMPUTED_VALUE"""),"")</f>
        <v/>
      </c>
      <c r="BB571" s="4" t="str">
        <f>IFERROR(__xludf.DUMMYFUNCTION("""COMPUTED_VALUE"""),"")</f>
        <v/>
      </c>
      <c r="BC571" s="4" t="str">
        <f>IFERROR(__xludf.DUMMYFUNCTION("""COMPUTED_VALUE"""),"")</f>
        <v/>
      </c>
      <c r="BD571" s="4" t="str">
        <f>IFERROR(__xludf.DUMMYFUNCTION("""COMPUTED_VALUE"""),"")</f>
        <v/>
      </c>
      <c r="BE571" s="4" t="str">
        <f>IFERROR(__xludf.DUMMYFUNCTION("""COMPUTED_VALUE"""),"")</f>
        <v/>
      </c>
      <c r="BF571" s="4" t="str">
        <f>IFERROR(__xludf.DUMMYFUNCTION("""COMPUTED_VALUE"""),"")</f>
        <v/>
      </c>
      <c r="BG571" s="4" t="str">
        <f>IFERROR(__xludf.DUMMYFUNCTION("""COMPUTED_VALUE"""),"")</f>
        <v/>
      </c>
      <c r="BH571" s="4" t="s">
        <v>63</v>
      </c>
      <c r="BI571" s="7" t="s">
        <v>63</v>
      </c>
    </row>
    <row r="572" hidden="1">
      <c r="A572" s="4" t="str">
        <f>IFERROR(__xludf.DUMMYFUNCTION("""COMPUTED_VALUE"""),"Doce Docê")</f>
        <v>Doce Docê</v>
      </c>
      <c r="B572" s="4" t="str">
        <f>IFERROR(__xludf.DUMMYFUNCTION("""COMPUTED_VALUE"""),"Ana")</f>
        <v>Ana</v>
      </c>
      <c r="C572" s="4" t="str">
        <f>IFERROR(__xludf.DUMMYFUNCTION("""COMPUTED_VALUE"""),"Ana")</f>
        <v>Ana</v>
      </c>
      <c r="D572" s="4" t="str">
        <f>IFERROR(__xludf.DUMMYFUNCTION("""COMPUTED_VALUE"""),"10. Perdido")</f>
        <v>10. Perdido</v>
      </c>
      <c r="E572" s="4" t="str">
        <f>IFERROR(__xludf.DUMMYFUNCTION("""COMPUTED_VALUE"""),"Perdido - Outro (detalhar ao lado)")</f>
        <v>Perdido - Outro (detalhar ao lado)</v>
      </c>
      <c r="F572" s="4" t="str">
        <f>IFERROR(__xludf.DUMMYFUNCTION("""COMPUTED_VALUE"""),"Sem Classificação")</f>
        <v>Sem Classificação</v>
      </c>
      <c r="G572" s="5">
        <f>IFERROR(__xludf.DUMMYFUNCTION("""COMPUTED_VALUE"""),46076.0)</f>
        <v>46076</v>
      </c>
      <c r="H572" s="4" t="str">
        <f>IFERROR(__xludf.DUMMYFUNCTION("""COMPUTED_VALUE"""),"Sem contato, ciente opdv, não nos retorna.")</f>
        <v>Sem contato, ciente opdv, não nos retorna.</v>
      </c>
      <c r="I572" s="4"/>
      <c r="J572" s="6">
        <f>IFERROR(__xludf.DUMMYFUNCTION("""COMPUTED_VALUE"""),46072.6269284838)</f>
        <v>46072.62693</v>
      </c>
      <c r="K572" s="4"/>
      <c r="L572" s="4"/>
      <c r="M572" s="4"/>
      <c r="N572" s="4"/>
      <c r="O572" s="4"/>
      <c r="P572" s="4"/>
      <c r="Q572" s="4"/>
      <c r="R572" s="6">
        <f>IFERROR(__xludf.DUMMYFUNCTION("""COMPUTED_VALUE"""),46085.65451175926)</f>
        <v>46085.65451</v>
      </c>
      <c r="S572" s="4"/>
      <c r="T572" s="4"/>
      <c r="U572" s="4"/>
      <c r="V572" s="4" t="str">
        <f>IFERROR(__xludf.DUMMYFUNCTION("""COMPUTED_VALUE"""),"Fechou com concorrente há pouco tempo")</f>
        <v>Fechou com concorrente há pouco tempo</v>
      </c>
      <c r="W572" s="4"/>
      <c r="X572" s="4"/>
      <c r="Y572" s="4"/>
      <c r="Z572" s="4"/>
      <c r="AA572" s="4"/>
      <c r="AB572" s="4"/>
      <c r="AC572" s="4"/>
      <c r="AD572" s="4"/>
      <c r="AE572" s="4"/>
      <c r="AF572" s="4"/>
      <c r="AG572" s="4"/>
      <c r="AH572" s="4"/>
      <c r="AI572" s="4"/>
      <c r="AJ572" s="4"/>
      <c r="AK572" s="4"/>
      <c r="AL572" s="4"/>
      <c r="AM572" s="4" t="str">
        <f>IFERROR(__xludf.DUMMYFUNCTION("""COMPUTED_VALUE"""),"FY26")</f>
        <v>FY26</v>
      </c>
      <c r="AN572" s="4"/>
      <c r="AO572" s="4">
        <f>IFERROR(__xludf.DUMMYFUNCTION("""COMPUTED_VALUE"""),140.0)</f>
        <v>140</v>
      </c>
      <c r="AP572" s="4"/>
      <c r="AQ572" s="4"/>
      <c r="AR572" s="4"/>
      <c r="AS572" s="4">
        <f>IFERROR(__xludf.DUMMYFUNCTION("""COMPUTED_VALUE"""),0.0)</f>
        <v>0</v>
      </c>
      <c r="AT572" s="4">
        <f>IFERROR(__xludf.DUMMYFUNCTION("""COMPUTED_VALUE"""),0.0)</f>
        <v>0</v>
      </c>
      <c r="AU572" s="4" t="str">
        <f>IFERROR(__xludf.DUMMYFUNCTION("""COMPUTED_VALUE"""),"Ana")</f>
        <v>Ana</v>
      </c>
      <c r="AV572" s="4">
        <f>IFERROR(__xludf.DUMMYFUNCTION("""COMPUTED_VALUE"""),0.0)</f>
        <v>0</v>
      </c>
      <c r="AW572" s="4">
        <f>IFERROR(__xludf.DUMMYFUNCTION("""COMPUTED_VALUE"""),0.0)</f>
        <v>0</v>
      </c>
      <c r="AX572" s="4">
        <f>IFERROR(__xludf.DUMMYFUNCTION("""COMPUTED_VALUE"""),0.0)</f>
        <v>0</v>
      </c>
      <c r="AY572" s="4"/>
      <c r="AZ572" s="4">
        <f>IFERROR(__xludf.DUMMYFUNCTION("""COMPUTED_VALUE"""),0.0)</f>
        <v>0</v>
      </c>
      <c r="BA572" s="4" t="str">
        <f>IFERROR(__xludf.DUMMYFUNCTION("""COMPUTED_VALUE"""),"")</f>
        <v/>
      </c>
      <c r="BB572" s="4" t="str">
        <f>IFERROR(__xludf.DUMMYFUNCTION("""COMPUTED_VALUE"""),"")</f>
        <v/>
      </c>
      <c r="BC572" s="4" t="str">
        <f>IFERROR(__xludf.DUMMYFUNCTION("""COMPUTED_VALUE"""),"")</f>
        <v/>
      </c>
      <c r="BD572" s="4" t="str">
        <f>IFERROR(__xludf.DUMMYFUNCTION("""COMPUTED_VALUE"""),"")</f>
        <v/>
      </c>
      <c r="BE572" s="4" t="str">
        <f>IFERROR(__xludf.DUMMYFUNCTION("""COMPUTED_VALUE"""),"")</f>
        <v/>
      </c>
      <c r="BF572" s="4" t="str">
        <f>IFERROR(__xludf.DUMMYFUNCTION("""COMPUTED_VALUE"""),"")</f>
        <v/>
      </c>
      <c r="BG572" s="4" t="str">
        <f>IFERROR(__xludf.DUMMYFUNCTION("""COMPUTED_VALUE"""),"")</f>
        <v/>
      </c>
      <c r="BH572" s="4" t="s">
        <v>63</v>
      </c>
      <c r="BI572" s="7" t="s">
        <v>63</v>
      </c>
    </row>
    <row r="573" hidden="1">
      <c r="A573" s="4" t="str">
        <f>IFERROR(__xludf.DUMMYFUNCTION("""COMPUTED_VALUE"""),"Dona Baunilha")</f>
        <v>Dona Baunilha</v>
      </c>
      <c r="B573" s="4" t="str">
        <f>IFERROR(__xludf.DUMMYFUNCTION("""COMPUTED_VALUE"""),"Ana")</f>
        <v>Ana</v>
      </c>
      <c r="C573" s="4" t="str">
        <f>IFERROR(__xludf.DUMMYFUNCTION("""COMPUTED_VALUE"""),"Ana")</f>
        <v>Ana</v>
      </c>
      <c r="D573" s="4" t="str">
        <f>IFERROR(__xludf.DUMMYFUNCTION("""COMPUTED_VALUE"""),"13. Reativado")</f>
        <v>13. Reativado</v>
      </c>
      <c r="E573" s="4" t="str">
        <f>IFERROR(__xludf.DUMMYFUNCTION("""COMPUTED_VALUE"""),"Perdido -  Momento do restaurante não favorável")</f>
        <v>Perdido -  Momento do restaurante não favorável</v>
      </c>
      <c r="F573" s="4" t="str">
        <f>IFERROR(__xludf.DUMMYFUNCTION("""COMPUTED_VALUE"""),"P")</f>
        <v>P</v>
      </c>
      <c r="G573" s="5">
        <f>IFERROR(__xludf.DUMMYFUNCTION("""COMPUTED_VALUE"""),46076.0)</f>
        <v>46076</v>
      </c>
      <c r="H573" s="4" t="str">
        <f>IFERROR(__xludf.DUMMYFUNCTION("""COMPUTED_VALUE"""),"Entrei em contato porém parceiro não deu abertura para mudança de PDV atual")</f>
        <v>Entrei em contato porém parceiro não deu abertura para mudança de PDV atual</v>
      </c>
      <c r="I573" s="4"/>
      <c r="J573" s="4"/>
      <c r="K573" s="6">
        <f>IFERROR(__xludf.DUMMYFUNCTION("""COMPUTED_VALUE"""),45999.0)</f>
        <v>45999</v>
      </c>
      <c r="L573" s="4"/>
      <c r="M573" s="4"/>
      <c r="N573" s="4"/>
      <c r="O573" s="4"/>
      <c r="P573" s="4"/>
      <c r="Q573" s="4"/>
      <c r="R573" s="6">
        <f>IFERROR(__xludf.DUMMYFUNCTION("""COMPUTED_VALUE"""),46057.659372002316)</f>
        <v>46057.65937</v>
      </c>
      <c r="S573" s="4"/>
      <c r="T573" s="4"/>
      <c r="U573" s="6">
        <f>IFERROR(__xludf.DUMMYFUNCTION("""COMPUTED_VALUE"""),46128.55007111111)</f>
        <v>46128.55007</v>
      </c>
      <c r="V573" s="4" t="str">
        <f>IFERROR(__xludf.DUMMYFUNCTION("""COMPUTED_VALUE"""),"Sem interesse em mudar de PDV")</f>
        <v>Sem interesse em mudar de PDV</v>
      </c>
      <c r="W573" s="4"/>
      <c r="X573" s="4"/>
      <c r="Y573" s="4"/>
      <c r="Z573" s="4"/>
      <c r="AA573" s="4">
        <f>IFERROR(__xludf.DUMMYFUNCTION("""COMPUTED_VALUE"""),26.0)</f>
        <v>26</v>
      </c>
      <c r="AB573" s="4" t="str">
        <f>IFERROR(__xludf.DUMMYFUNCTION("""COMPUTED_VALUE"""),"NÃO")</f>
        <v>NÃO</v>
      </c>
      <c r="AC573" s="4" t="str">
        <f>IFERROR(__xludf.DUMMYFUNCTION("""COMPUTED_VALUE"""),"Não BP")</f>
        <v>Não BP</v>
      </c>
      <c r="AD573" s="4"/>
      <c r="AE573" s="4"/>
      <c r="AF573" s="4"/>
      <c r="AG573" s="4"/>
      <c r="AH573" s="4"/>
      <c r="AI573" s="4"/>
      <c r="AJ573" s="4"/>
      <c r="AK573" s="4"/>
      <c r="AL573" s="4"/>
      <c r="AM573" s="4" t="str">
        <f>IFERROR(__xludf.DUMMYFUNCTION("""COMPUTED_VALUE"""),"FY26")</f>
        <v>FY26</v>
      </c>
      <c r="AN573" s="4" t="str">
        <f>IFERROR(__xludf.DUMMYFUNCTION("""COMPUTED_VALUE"""),"Comer Fora")</f>
        <v>Comer Fora</v>
      </c>
      <c r="AO573" s="4">
        <f>IFERROR(__xludf.DUMMYFUNCTION("""COMPUTED_VALUE"""),140.0)</f>
        <v>140</v>
      </c>
      <c r="AP573" s="4"/>
      <c r="AQ573" s="4"/>
      <c r="AR573" s="4"/>
      <c r="AS573" s="4" t="str">
        <f>IFERROR(__xludf.DUMMYFUNCTION("""COMPUTED_VALUE"""),"THIAGO ROMAGNOLE")</f>
        <v>THIAGO ROMAGNOLE</v>
      </c>
      <c r="AT573" s="4" t="str">
        <f>IFERROR(__xludf.DUMMYFUNCTION("""COMPUTED_VALUE"""),"BRUNA TASSINARI")</f>
        <v>BRUNA TASSINARI</v>
      </c>
      <c r="AU573" s="4" t="str">
        <f>IFERROR(__xludf.DUMMYFUNCTION("""COMPUTED_VALUE"""),"Ana")</f>
        <v>Ana</v>
      </c>
      <c r="AV573" s="4" t="str">
        <f>IFERROR(__xludf.DUMMYFUNCTION("""COMPUTED_VALUE"""),"Comer Fora-")</f>
        <v>Comer Fora-</v>
      </c>
      <c r="AW573" s="20" t="str">
        <f>IFERROR(__xludf.DUMMYFUNCTION("""COMPUTED_VALUE"""),"P e M - pipe")</f>
        <v>P e M - pipe</v>
      </c>
      <c r="AX573" s="4"/>
      <c r="AY573" s="4"/>
      <c r="AZ573" s="4" t="str">
        <f>IFERROR(__xludf.DUMMYFUNCTION("""COMPUTED_VALUE"""),"Doces &amp; Bolos")</f>
        <v>Doces &amp; Bolos</v>
      </c>
      <c r="BA573" s="4" t="str">
        <f>IFERROR(__xludf.DUMMYFUNCTION("""COMPUTED_VALUE"""),"")</f>
        <v/>
      </c>
      <c r="BB573" s="4" t="str">
        <f>IFERROR(__xludf.DUMMYFUNCTION("""COMPUTED_VALUE"""),"")</f>
        <v/>
      </c>
      <c r="BC573" s="4" t="str">
        <f>IFERROR(__xludf.DUMMYFUNCTION("""COMPUTED_VALUE"""),"")</f>
        <v/>
      </c>
      <c r="BD573" s="4" t="str">
        <f>IFERROR(__xludf.DUMMYFUNCTION("""COMPUTED_VALUE"""),"")</f>
        <v/>
      </c>
      <c r="BE573" s="4" t="str">
        <f>IFERROR(__xludf.DUMMYFUNCTION("""COMPUTED_VALUE"""),"")</f>
        <v/>
      </c>
      <c r="BF573" s="4" t="str">
        <f>IFERROR(__xludf.DUMMYFUNCTION("""COMPUTED_VALUE"""),"")</f>
        <v/>
      </c>
      <c r="BG573" s="4" t="str">
        <f>IFERROR(__xludf.DUMMYFUNCTION("""COMPUTED_VALUE"""),"")</f>
        <v/>
      </c>
      <c r="BH573" s="4" t="s">
        <v>72</v>
      </c>
      <c r="BI573" s="7">
        <v>0.9473684210526315</v>
      </c>
    </row>
    <row r="574" hidden="1">
      <c r="A574" s="4" t="str">
        <f>IFERROR(__xludf.DUMMYFUNCTION("""COMPUTED_VALUE"""),"Eatopia - Patties")</f>
        <v>Eatopia - Patties</v>
      </c>
      <c r="B574" s="4" t="str">
        <f>IFERROR(__xludf.DUMMYFUNCTION("""COMPUTED_VALUE"""),"Michel")</f>
        <v>Michel</v>
      </c>
      <c r="C574" s="4" t="str">
        <f>IFERROR(__xludf.DUMMYFUNCTION("""COMPUTED_VALUE"""),"Michel")</f>
        <v>Michel</v>
      </c>
      <c r="D574" s="4" t="str">
        <f>IFERROR(__xludf.DUMMYFUNCTION("""COMPUTED_VALUE"""),"12. Orgânico")</f>
        <v>12. Orgânico</v>
      </c>
      <c r="E574" s="4"/>
      <c r="F574" s="4" t="str">
        <f>IFERROR(__xludf.DUMMYFUNCTION("""COMPUTED_VALUE"""),"P")</f>
        <v>P</v>
      </c>
      <c r="G574" s="4"/>
      <c r="H574" s="4"/>
      <c r="I574" s="4"/>
      <c r="J574" s="4"/>
      <c r="K574" s="4"/>
      <c r="L574" s="4"/>
      <c r="M574" s="4"/>
      <c r="N574" s="4"/>
      <c r="O574" s="4"/>
      <c r="P574" s="4"/>
      <c r="Q574" s="4"/>
      <c r="R574" s="4"/>
      <c r="S574" s="4"/>
      <c r="T574" s="4"/>
      <c r="U574" s="4"/>
      <c r="V574" s="4"/>
      <c r="W574" s="4"/>
      <c r="X574" s="4"/>
      <c r="Y574" s="4"/>
      <c r="Z574" s="4"/>
      <c r="AA574" s="4">
        <f>IFERROR(__xludf.DUMMYFUNCTION("""COMPUTED_VALUE"""),4.0)</f>
        <v>4</v>
      </c>
      <c r="AB574" s="4"/>
      <c r="AC574" s="4"/>
      <c r="AD574" s="4"/>
      <c r="AE574" s="4"/>
      <c r="AF574" s="4"/>
      <c r="AG574" s="4"/>
      <c r="AH574" s="4"/>
      <c r="AI574" s="4"/>
      <c r="AJ574" s="4"/>
      <c r="AK574" s="4"/>
      <c r="AL574" s="4"/>
      <c r="AM574" s="4" t="str">
        <f>IFERROR(__xludf.DUMMYFUNCTION("""COMPUTED_VALUE"""),"Orgânico 3S")</f>
        <v>Orgânico 3S</v>
      </c>
      <c r="AN574" s="4"/>
      <c r="AO574" s="4">
        <f>IFERROR(__xludf.DUMMYFUNCTION("""COMPUTED_VALUE"""),45553.0)</f>
        <v>45553</v>
      </c>
      <c r="AP574" s="4"/>
      <c r="AQ574" s="4"/>
      <c r="AR574" s="4"/>
      <c r="AS574" s="4">
        <f>IFERROR(__xludf.DUMMYFUNCTION("""COMPUTED_VALUE"""),0.0)</f>
        <v>0</v>
      </c>
      <c r="AT574" s="4">
        <f>IFERROR(__xludf.DUMMYFUNCTION("""COMPUTED_VALUE"""),0.0)</f>
        <v>0</v>
      </c>
      <c r="AU574" s="4" t="str">
        <f>IFERROR(__xludf.DUMMYFUNCTION("""COMPUTED_VALUE"""),"Michel")</f>
        <v>Michel</v>
      </c>
      <c r="AV574" s="4" t="str">
        <f>IFERROR(__xludf.DUMMYFUNCTION("""COMPUTED_VALUE"""),"Comer Fora-")</f>
        <v>Comer Fora-</v>
      </c>
      <c r="AW574" s="20" t="str">
        <f>IFERROR(__xludf.DUMMYFUNCTION("""COMPUTED_VALUE"""),"P - 10 a 15 lojas")</f>
        <v>P - 10 a 15 lojas</v>
      </c>
      <c r="AX574" s="4"/>
      <c r="AY574" s="4"/>
      <c r="AZ574" s="4">
        <f>IFERROR(__xludf.DUMMYFUNCTION("""COMPUTED_VALUE"""),0.0)</f>
        <v>0</v>
      </c>
      <c r="BA574" s="4" t="str">
        <f>IFERROR(__xludf.DUMMYFUNCTION("""COMPUTED_VALUE"""),"")</f>
        <v/>
      </c>
      <c r="BB574" s="4" t="str">
        <f>IFERROR(__xludf.DUMMYFUNCTION("""COMPUTED_VALUE"""),"")</f>
        <v/>
      </c>
      <c r="BC574" s="4" t="str">
        <f>IFERROR(__xludf.DUMMYFUNCTION("""COMPUTED_VALUE"""),"")</f>
        <v/>
      </c>
      <c r="BD574" s="4" t="str">
        <f>IFERROR(__xludf.DUMMYFUNCTION("""COMPUTED_VALUE"""),"")</f>
        <v/>
      </c>
      <c r="BE574" s="4" t="str">
        <f>IFERROR(__xludf.DUMMYFUNCTION("""COMPUTED_VALUE"""),"")</f>
        <v/>
      </c>
      <c r="BF574" s="4" t="str">
        <f>IFERROR(__xludf.DUMMYFUNCTION("""COMPUTED_VALUE"""),"")</f>
        <v/>
      </c>
      <c r="BG574" s="4" t="str">
        <f>IFERROR(__xludf.DUMMYFUNCTION("""COMPUTED_VALUE"""),"")</f>
        <v/>
      </c>
      <c r="BH574" s="4" t="s">
        <v>63</v>
      </c>
      <c r="BI574" s="7" t="s">
        <v>63</v>
      </c>
    </row>
    <row r="575" hidden="1">
      <c r="A575" s="4" t="str">
        <f>IFERROR(__xludf.DUMMYFUNCTION("""COMPUTED_VALUE"""),"Eggies")</f>
        <v>Eggies</v>
      </c>
      <c r="B575" s="4" t="str">
        <f>IFERROR(__xludf.DUMMYFUNCTION("""COMPUTED_VALUE"""),"Michel")</f>
        <v>Michel</v>
      </c>
      <c r="C575" s="4" t="str">
        <f>IFERROR(__xludf.DUMMYFUNCTION("""COMPUTED_VALUE"""),"Michel")</f>
        <v>Michel</v>
      </c>
      <c r="D575" s="4" t="str">
        <f>IFERROR(__xludf.DUMMYFUNCTION("""COMPUTED_VALUE"""),"10. Perdido")</f>
        <v>10. Perdido</v>
      </c>
      <c r="E575" s="4" t="str">
        <f>IFERROR(__xludf.DUMMYFUNCTION("""COMPUTED_VALUE"""),"Perdido - Falta de aderência técnica")</f>
        <v>Perdido - Falta de aderência técnica</v>
      </c>
      <c r="F575" s="4" t="str">
        <f>IFERROR(__xludf.DUMMYFUNCTION("""COMPUTED_VALUE"""),"P")</f>
        <v>P</v>
      </c>
      <c r="G575" s="4"/>
      <c r="H575" s="4" t="str">
        <f>IFERROR(__xludf.DUMMYFUNCTION("""COMPUTED_VALUE"""),"Restaurante operava com tecnologia Online para baratear hardware , sem aderencua ")</f>
        <v>Restaurante operava com tecnologia Online para baratear hardware , sem aderencua </v>
      </c>
      <c r="I575" s="4"/>
      <c r="J575" s="4"/>
      <c r="K575" s="6">
        <f>IFERROR(__xludf.DUMMYFUNCTION("""COMPUTED_VALUE"""),45807.0)</f>
        <v>45807</v>
      </c>
      <c r="L575" s="4"/>
      <c r="M575" s="4"/>
      <c r="N575" s="4"/>
      <c r="O575" s="4"/>
      <c r="P575" s="4"/>
      <c r="Q575" s="4"/>
      <c r="R575" s="4"/>
      <c r="S575" s="4"/>
      <c r="T575" s="4"/>
      <c r="U575" s="4"/>
      <c r="V575" s="4" t="str">
        <f>IFERROR(__xludf.DUMMYFUNCTION("""COMPUTED_VALUE"""),"Sem perfil LA")</f>
        <v>Sem perfil LA</v>
      </c>
      <c r="W575" s="4"/>
      <c r="X575" s="4"/>
      <c r="Y575" s="4"/>
      <c r="Z575" s="4"/>
      <c r="AA575" s="4">
        <f>IFERROR(__xludf.DUMMYFUNCTION("""COMPUTED_VALUE"""),1.0)</f>
        <v>1</v>
      </c>
      <c r="AB575" s="4"/>
      <c r="AC575" s="4"/>
      <c r="AD575" s="4"/>
      <c r="AE575" s="4"/>
      <c r="AF575" s="4"/>
      <c r="AG575" s="4"/>
      <c r="AH575" s="4"/>
      <c r="AI575" s="4"/>
      <c r="AJ575" s="4"/>
      <c r="AK575" s="4"/>
      <c r="AL575" s="4"/>
      <c r="AM575" s="4" t="str">
        <f>IFERROR(__xludf.DUMMYFUNCTION("""COMPUTED_VALUE"""),"FY26")</f>
        <v>FY26</v>
      </c>
      <c r="AN575" s="4"/>
      <c r="AO575" s="4">
        <f>IFERROR(__xludf.DUMMYFUNCTION("""COMPUTED_VALUE"""),45553.0)</f>
        <v>45553</v>
      </c>
      <c r="AP575" s="4"/>
      <c r="AQ575" s="4"/>
      <c r="AR575" s="4"/>
      <c r="AS575" s="4" t="str">
        <f>IFERROR(__xludf.DUMMYFUNCTION("""COMPUTED_VALUE"""),"FABIO DONATO")</f>
        <v>FABIO DONATO</v>
      </c>
      <c r="AT575" s="4" t="str">
        <f>IFERROR(__xludf.DUMMYFUNCTION("""COMPUTED_VALUE"""),"CAMILA HOLANDA")</f>
        <v>CAMILA HOLANDA</v>
      </c>
      <c r="AU575" s="4" t="str">
        <f>IFERROR(__xludf.DUMMYFUNCTION("""COMPUTED_VALUE"""),"Michel")</f>
        <v>Michel</v>
      </c>
      <c r="AV575" s="4">
        <f>IFERROR(__xludf.DUMMYFUNCTION("""COMPUTED_VALUE"""),0.0)</f>
        <v>0</v>
      </c>
      <c r="AW575" s="4">
        <f>IFERROR(__xludf.DUMMYFUNCTION("""COMPUTED_VALUE"""),0.0)</f>
        <v>0</v>
      </c>
      <c r="AX575" s="4">
        <f>IFERROR(__xludf.DUMMYFUNCTION("""COMPUTED_VALUE"""),0.0)</f>
        <v>0</v>
      </c>
      <c r="AY575" s="4"/>
      <c r="AZ575" s="4" t="str">
        <f>IFERROR(__xludf.DUMMYFUNCTION("""COMPUTED_VALUE"""),"Xis")</f>
        <v>Xis</v>
      </c>
      <c r="BA575" s="4" t="str">
        <f>IFERROR(__xludf.DUMMYFUNCTION("""COMPUTED_VALUE"""),"")</f>
        <v/>
      </c>
      <c r="BB575" s="4" t="str">
        <f>IFERROR(__xludf.DUMMYFUNCTION("""COMPUTED_VALUE"""),"")</f>
        <v/>
      </c>
      <c r="BC575" s="4" t="str">
        <f>IFERROR(__xludf.DUMMYFUNCTION("""COMPUTED_VALUE"""),"")</f>
        <v/>
      </c>
      <c r="BD575" s="4" t="str">
        <f>IFERROR(__xludf.DUMMYFUNCTION("""COMPUTED_VALUE"""),"")</f>
        <v/>
      </c>
      <c r="BE575" s="4" t="str">
        <f>IFERROR(__xludf.DUMMYFUNCTION("""COMPUTED_VALUE"""),"")</f>
        <v/>
      </c>
      <c r="BF575" s="4" t="str">
        <f>IFERROR(__xludf.DUMMYFUNCTION("""COMPUTED_VALUE"""),"")</f>
        <v/>
      </c>
      <c r="BG575" s="4" t="str">
        <f>IFERROR(__xludf.DUMMYFUNCTION("""COMPUTED_VALUE"""),"")</f>
        <v/>
      </c>
      <c r="BH575" s="4" t="s">
        <v>78</v>
      </c>
      <c r="BI575" s="7">
        <v>0.6</v>
      </c>
    </row>
    <row r="576" hidden="1">
      <c r="A576" s="4" t="str">
        <f>IFERROR(__xludf.DUMMYFUNCTION("""COMPUTED_VALUE"""),"Ella Pizzaria")</f>
        <v>Ella Pizzaria</v>
      </c>
      <c r="B576" s="4" t="str">
        <f>IFERROR(__xludf.DUMMYFUNCTION("""COMPUTED_VALUE"""),"Iza")</f>
        <v>Iza</v>
      </c>
      <c r="C576" s="4" t="str">
        <f>IFERROR(__xludf.DUMMYFUNCTION("""COMPUTED_VALUE"""),"Iza")</f>
        <v>Iza</v>
      </c>
      <c r="D576" s="4" t="str">
        <f>IFERROR(__xludf.DUMMYFUNCTION("""COMPUTED_VALUE"""),"11. Stand by")</f>
        <v>11. Stand by</v>
      </c>
      <c r="E576" s="4" t="str">
        <f>IFERROR(__xludf.DUMMYFUNCTION("""COMPUTED_VALUE"""),"Perdido - Outro (detalhar ao lado)")</f>
        <v>Perdido - Outro (detalhar ao lado)</v>
      </c>
      <c r="F576" s="4" t="str">
        <f>IFERROR(__xludf.DUMMYFUNCTION("""COMPUTED_VALUE"""),"P")</f>
        <v>P</v>
      </c>
      <c r="G576" s="5">
        <f>IFERROR(__xludf.DUMMYFUNCTION("""COMPUTED_VALUE"""),46126.0)</f>
        <v>46126</v>
      </c>
      <c r="H576" s="4" t="str">
        <f>IFERROR(__xludf.DUMMYFUNCTION("""COMPUTED_VALUE"""),"Cliente Saipos - não atuar")</f>
        <v>Cliente Saipos - não atuar</v>
      </c>
      <c r="I576" s="4"/>
      <c r="J576" s="4"/>
      <c r="K576" s="6">
        <f>IFERROR(__xludf.DUMMYFUNCTION("""COMPUTED_VALUE"""),45995.0)</f>
        <v>45995</v>
      </c>
      <c r="L576" s="4"/>
      <c r="M576" s="4"/>
      <c r="N576" s="4"/>
      <c r="O576" s="4"/>
      <c r="P576" s="4"/>
      <c r="Q576" s="4"/>
      <c r="R576" s="4"/>
      <c r="S576" s="4"/>
      <c r="T576" s="4"/>
      <c r="U576" s="4"/>
      <c r="V576" s="4" t="str">
        <f>IFERROR(__xludf.DUMMYFUNCTION("""COMPUTED_VALUE"""),"Sem perfil 3S - Perfil Saipos")</f>
        <v>Sem perfil 3S - Perfil Saipos</v>
      </c>
      <c r="W576" s="4"/>
      <c r="X576" s="4"/>
      <c r="Y576" s="4"/>
      <c r="Z576" s="4"/>
      <c r="AA576" s="4">
        <f>IFERROR(__xludf.DUMMYFUNCTION("""COMPUTED_VALUE"""),2.0)</f>
        <v>2</v>
      </c>
      <c r="AB576" s="4" t="str">
        <f>IFERROR(__xludf.DUMMYFUNCTION("""COMPUTED_VALUE"""),"NÃO")</f>
        <v>NÃO</v>
      </c>
      <c r="AC576" s="4" t="str">
        <f>IFERROR(__xludf.DUMMYFUNCTION("""COMPUTED_VALUE"""),"Não BP")</f>
        <v>Não BP</v>
      </c>
      <c r="AD576" s="4"/>
      <c r="AE576" s="4"/>
      <c r="AF576" s="4"/>
      <c r="AG576" s="4"/>
      <c r="AH576" s="4"/>
      <c r="AI576" s="4"/>
      <c r="AJ576" s="4"/>
      <c r="AK576" s="4"/>
      <c r="AL576" s="4"/>
      <c r="AM576" s="4" t="str">
        <f>IFERROR(__xludf.DUMMYFUNCTION("""COMPUTED_VALUE"""),"FY26, FY27")</f>
        <v>FY26, FY27</v>
      </c>
      <c r="AN576" s="4" t="str">
        <f>IFERROR(__xludf.DUMMYFUNCTION("""COMPUTED_VALUE"""),"Comer Fora")</f>
        <v>Comer Fora</v>
      </c>
      <c r="AO576" s="4">
        <f>IFERROR(__xludf.DUMMYFUNCTION("""COMPUTED_VALUE"""),89.0)</f>
        <v>89</v>
      </c>
      <c r="AP576" s="4"/>
      <c r="AQ576" s="4"/>
      <c r="AR576" s="4"/>
      <c r="AS576" s="4" t="str">
        <f>IFERROR(__xludf.DUMMYFUNCTION("""COMPUTED_VALUE"""),"NATHALIE MERTENS")</f>
        <v>NATHALIE MERTENS</v>
      </c>
      <c r="AT576" s="4" t="str">
        <f>IFERROR(__xludf.DUMMYFUNCTION("""COMPUTED_VALUE"""),"MARIANA KATZ")</f>
        <v>MARIANA KATZ</v>
      </c>
      <c r="AU576" s="4" t="str">
        <f>IFERROR(__xludf.DUMMYFUNCTION("""COMPUTED_VALUE"""),"Iza")</f>
        <v>Iza</v>
      </c>
      <c r="AV576" s="4" t="str">
        <f>IFERROR(__xludf.DUMMYFUNCTION("""COMPUTED_VALUE"""),"Comer Fora-")</f>
        <v>Comer Fora-</v>
      </c>
      <c r="AW576" s="20" t="str">
        <f>IFERROR(__xludf.DUMMYFUNCTION("""COMPUTED_VALUE"""),"P e M - pipe")</f>
        <v>P e M - pipe</v>
      </c>
      <c r="AX576" s="4"/>
      <c r="AY576" s="4"/>
      <c r="AZ576" s="4" t="str">
        <f>IFERROR(__xludf.DUMMYFUNCTION("""COMPUTED_VALUE"""),"Pizza")</f>
        <v>Pizza</v>
      </c>
      <c r="BA576" s="4" t="str">
        <f>IFERROR(__xludf.DUMMYFUNCTION("""COMPUTED_VALUE"""),"")</f>
        <v/>
      </c>
      <c r="BB576" s="4" t="str">
        <f>IFERROR(__xludf.DUMMYFUNCTION("""COMPUTED_VALUE"""),"")</f>
        <v/>
      </c>
      <c r="BC576" s="4" t="str">
        <f>IFERROR(__xludf.DUMMYFUNCTION("""COMPUTED_VALUE"""),"")</f>
        <v/>
      </c>
      <c r="BD576" s="4" t="str">
        <f>IFERROR(__xludf.DUMMYFUNCTION("""COMPUTED_VALUE"""),"")</f>
        <v/>
      </c>
      <c r="BE576" s="4" t="str">
        <f>IFERROR(__xludf.DUMMYFUNCTION("""COMPUTED_VALUE"""),"")</f>
        <v/>
      </c>
      <c r="BF576" s="4" t="str">
        <f>IFERROR(__xludf.DUMMYFUNCTION("""COMPUTED_VALUE"""),"")</f>
        <v/>
      </c>
      <c r="BG576" s="4" t="str">
        <f>IFERROR(__xludf.DUMMYFUNCTION("""COMPUTED_VALUE"""),"")</f>
        <v/>
      </c>
      <c r="BH576" s="4" t="s">
        <v>63</v>
      </c>
      <c r="BI576" s="7" t="s">
        <v>63</v>
      </c>
    </row>
    <row r="577" hidden="1">
      <c r="A577" s="4" t="str">
        <f>IFERROR(__xludf.DUMMYFUNCTION("""COMPUTED_VALUE"""),"Empadinhas Express")</f>
        <v>Empadinhas Express</v>
      </c>
      <c r="B577" s="4" t="str">
        <f>IFERROR(__xludf.DUMMYFUNCTION("""COMPUTED_VALUE"""),"Diego Santos")</f>
        <v>Diego Santos</v>
      </c>
      <c r="C577" s="4" t="str">
        <f>IFERROR(__xludf.DUMMYFUNCTION("""COMPUTED_VALUE"""),"Diego Santos")</f>
        <v>Diego Santos</v>
      </c>
      <c r="D577" s="4" t="str">
        <f>IFERROR(__xludf.DUMMYFUNCTION("""COMPUTED_VALUE"""),"10. Perdido")</f>
        <v>10. Perdido</v>
      </c>
      <c r="E577" s="4" t="str">
        <f>IFERROR(__xludf.DUMMYFUNCTION("""COMPUTED_VALUE"""),"Perdido - Proposta comercial não aceita")</f>
        <v>Perdido - Proposta comercial não aceita</v>
      </c>
      <c r="F577" s="4" t="str">
        <f>IFERROR(__xludf.DUMMYFUNCTION("""COMPUTED_VALUE"""),"M")</f>
        <v>M</v>
      </c>
      <c r="G577" s="5">
        <f>IFERROR(__xludf.DUMMYFUNCTION("""COMPUTED_VALUE"""),46076.0)</f>
        <v>46076</v>
      </c>
      <c r="H577" s="4" t="str">
        <f>IFERROR(__xludf.DUMMYFUNCTION("""COMPUTED_VALUE"""),"Não tem caixa pra negociar. Paga 60 reais na solução atual e atende sua necessidade.")</f>
        <v>Não tem caixa pra negociar. Paga 60 reais na solução atual e atende sua necessidade.</v>
      </c>
      <c r="I577" s="4"/>
      <c r="J577" s="6">
        <f>IFERROR(__xludf.DUMMYFUNCTION("""COMPUTED_VALUE"""),46055.40745388889)</f>
        <v>46055.40745</v>
      </c>
      <c r="K577" s="4"/>
      <c r="L577" s="4"/>
      <c r="M577" s="4"/>
      <c r="N577" s="4"/>
      <c r="O577" s="4"/>
      <c r="P577" s="4"/>
      <c r="Q577" s="4"/>
      <c r="R577" s="6">
        <f>IFERROR(__xludf.DUMMYFUNCTION("""COMPUTED_VALUE"""),46055.40745388889)</f>
        <v>46055.40745</v>
      </c>
      <c r="S577" s="4"/>
      <c r="T577" s="4"/>
      <c r="U577" s="4"/>
      <c r="V577" s="4" t="str">
        <f>IFERROR(__xludf.DUMMYFUNCTION("""COMPUTED_VALUE"""),"Sem interesse em mudar de PDV")</f>
        <v>Sem interesse em mudar de PDV</v>
      </c>
      <c r="W577" s="4"/>
      <c r="X577" s="4"/>
      <c r="Y577" s="4"/>
      <c r="Z577" s="4"/>
      <c r="AA577" s="4">
        <f>IFERROR(__xludf.DUMMYFUNCTION("""COMPUTED_VALUE"""),42.0)</f>
        <v>42</v>
      </c>
      <c r="AB577" s="4" t="str">
        <f>IFERROR(__xludf.DUMMYFUNCTION("""COMPUTED_VALUE"""),"NÃO")</f>
        <v>NÃO</v>
      </c>
      <c r="AC577" s="4" t="str">
        <f>IFERROR(__xludf.DUMMYFUNCTION("""COMPUTED_VALUE"""),"Não BP")</f>
        <v>Não BP</v>
      </c>
      <c r="AD577" s="4"/>
      <c r="AE577" s="4"/>
      <c r="AF577" s="4"/>
      <c r="AG577" s="4"/>
      <c r="AH577" s="4"/>
      <c r="AI577" s="4"/>
      <c r="AJ577" s="4"/>
      <c r="AK577" s="4"/>
      <c r="AL577" s="4"/>
      <c r="AM577" s="4" t="str">
        <f>IFERROR(__xludf.DUMMYFUNCTION("""COMPUTED_VALUE"""),"FY26")</f>
        <v>FY26</v>
      </c>
      <c r="AN577" s="4"/>
      <c r="AO577" s="4">
        <f>IFERROR(__xludf.DUMMYFUNCTION("""COMPUTED_VALUE"""),140.0)</f>
        <v>140</v>
      </c>
      <c r="AP577" s="4"/>
      <c r="AQ577" s="4"/>
      <c r="AR577" s="4"/>
      <c r="AS577" s="4">
        <f>IFERROR(__xludf.DUMMYFUNCTION("""COMPUTED_VALUE"""),0.0)</f>
        <v>0</v>
      </c>
      <c r="AT577" s="4">
        <f>IFERROR(__xludf.DUMMYFUNCTION("""COMPUTED_VALUE"""),0.0)</f>
        <v>0</v>
      </c>
      <c r="AU577" s="4" t="str">
        <f>IFERROR(__xludf.DUMMYFUNCTION("""COMPUTED_VALUE"""),"Diego")</f>
        <v>Diego</v>
      </c>
      <c r="AV577" s="4">
        <f>IFERROR(__xludf.DUMMYFUNCTION("""COMPUTED_VALUE"""),0.0)</f>
        <v>0</v>
      </c>
      <c r="AW577" s="4">
        <f>IFERROR(__xludf.DUMMYFUNCTION("""COMPUTED_VALUE"""),0.0)</f>
        <v>0</v>
      </c>
      <c r="AX577" s="4">
        <f>IFERROR(__xludf.DUMMYFUNCTION("""COMPUTED_VALUE"""),0.0)</f>
        <v>0</v>
      </c>
      <c r="AY577" s="4"/>
      <c r="AZ577" s="4" t="str">
        <f>IFERROR(__xludf.DUMMYFUNCTION("""COMPUTED_VALUE"""),"#N/A")</f>
        <v>#N/A</v>
      </c>
      <c r="BA577" s="4" t="str">
        <f>IFERROR(__xludf.DUMMYFUNCTION("""COMPUTED_VALUE"""),"")</f>
        <v/>
      </c>
      <c r="BB577" s="4" t="str">
        <f>IFERROR(__xludf.DUMMYFUNCTION("""COMPUTED_VALUE"""),"")</f>
        <v/>
      </c>
      <c r="BC577" s="4" t="str">
        <f>IFERROR(__xludf.DUMMYFUNCTION("""COMPUTED_VALUE"""),"")</f>
        <v/>
      </c>
      <c r="BD577" s="4" t="str">
        <f>IFERROR(__xludf.DUMMYFUNCTION("""COMPUTED_VALUE"""),"")</f>
        <v/>
      </c>
      <c r="BE577" s="4" t="str">
        <f>IFERROR(__xludf.DUMMYFUNCTION("""COMPUTED_VALUE"""),"")</f>
        <v/>
      </c>
      <c r="BF577" s="4" t="str">
        <f>IFERROR(__xludf.DUMMYFUNCTION("""COMPUTED_VALUE"""),"")</f>
        <v/>
      </c>
      <c r="BG577" s="4" t="str">
        <f>IFERROR(__xludf.DUMMYFUNCTION("""COMPUTED_VALUE"""),"")</f>
        <v/>
      </c>
      <c r="BH577" s="4" t="s">
        <v>63</v>
      </c>
      <c r="BI577" s="7" t="s">
        <v>63</v>
      </c>
    </row>
    <row r="578" hidden="1">
      <c r="A578" s="4" t="str">
        <f>IFERROR(__xludf.DUMMYFUNCTION("""COMPUTED_VALUE"""),"Empório Brownie")</f>
        <v>Empório Brownie</v>
      </c>
      <c r="B578" s="4" t="str">
        <f>IFERROR(__xludf.DUMMYFUNCTION("""COMPUTED_VALUE"""),"Michel")</f>
        <v>Michel</v>
      </c>
      <c r="C578" s="4" t="str">
        <f>IFERROR(__xludf.DUMMYFUNCTION("""COMPUTED_VALUE"""),"Michel")</f>
        <v>Michel</v>
      </c>
      <c r="D578" s="4" t="str">
        <f>IFERROR(__xludf.DUMMYFUNCTION("""COMPUTED_VALUE"""),"9. Contrato assinado")</f>
        <v>9. Contrato assinado</v>
      </c>
      <c r="E578" s="4"/>
      <c r="F578" s="4" t="str">
        <f>IFERROR(__xludf.DUMMYFUNCTION("""COMPUTED_VALUE"""),"P")</f>
        <v>P</v>
      </c>
      <c r="G578" s="4"/>
      <c r="H578" s="4"/>
      <c r="I578" s="4"/>
      <c r="J578" s="4"/>
      <c r="K578" s="6">
        <f>IFERROR(__xludf.DUMMYFUNCTION("""COMPUTED_VALUE"""),45778.0)</f>
        <v>45778</v>
      </c>
      <c r="L578" s="4"/>
      <c r="M578" s="4"/>
      <c r="N578" s="6">
        <f>IFERROR(__xludf.DUMMYFUNCTION("""COMPUTED_VALUE"""),45930.0)</f>
        <v>45930</v>
      </c>
      <c r="O578" s="4"/>
      <c r="P578" s="4"/>
      <c r="Q578" s="6">
        <f>IFERROR(__xludf.DUMMYFUNCTION("""COMPUTED_VALUE"""),45930.0)</f>
        <v>45930</v>
      </c>
      <c r="R578" s="4"/>
      <c r="S578" s="4"/>
      <c r="T578" s="6">
        <f>IFERROR(__xludf.DUMMYFUNCTION("""COMPUTED_VALUE"""),46076.60618137731)</f>
        <v>46076.60618</v>
      </c>
      <c r="U578" s="4"/>
      <c r="V578" s="4"/>
      <c r="W578" s="4"/>
      <c r="X578" s="4"/>
      <c r="Y578" s="4"/>
      <c r="Z578" s="4"/>
      <c r="AA578" s="4">
        <f>IFERROR(__xludf.DUMMYFUNCTION("""COMPUTED_VALUE"""),12.0)</f>
        <v>12</v>
      </c>
      <c r="AB578" s="4"/>
      <c r="AC578" s="4"/>
      <c r="AD578" s="4"/>
      <c r="AE578" s="4"/>
      <c r="AF578" s="4"/>
      <c r="AG578" s="4"/>
      <c r="AH578" s="4"/>
      <c r="AI578" s="4"/>
      <c r="AJ578" s="4"/>
      <c r="AK578" s="4"/>
      <c r="AL578" s="4"/>
      <c r="AM578" s="4" t="str">
        <f>IFERROR(__xludf.DUMMYFUNCTION("""COMPUTED_VALUE"""),"FY26")</f>
        <v>FY26</v>
      </c>
      <c r="AN578" s="4"/>
      <c r="AO578" s="4">
        <f>IFERROR(__xludf.DUMMYFUNCTION("""COMPUTED_VALUE"""),45553.0)</f>
        <v>45553</v>
      </c>
      <c r="AP578" s="4"/>
      <c r="AQ578" s="4"/>
      <c r="AR578" s="4"/>
      <c r="AS578" s="4">
        <f>IFERROR(__xludf.DUMMYFUNCTION("""COMPUTED_VALUE"""),0.0)</f>
        <v>0</v>
      </c>
      <c r="AT578" s="4">
        <f>IFERROR(__xludf.DUMMYFUNCTION("""COMPUTED_VALUE"""),0.0)</f>
        <v>0</v>
      </c>
      <c r="AU578" s="4" t="str">
        <f>IFERROR(__xludf.DUMMYFUNCTION("""COMPUTED_VALUE"""),"Michel")</f>
        <v>Michel</v>
      </c>
      <c r="AV578" s="4">
        <f>IFERROR(__xludf.DUMMYFUNCTION("""COMPUTED_VALUE"""),0.0)</f>
        <v>0</v>
      </c>
      <c r="AW578" s="4">
        <f>IFERROR(__xludf.DUMMYFUNCTION("""COMPUTED_VALUE"""),0.0)</f>
        <v>0</v>
      </c>
      <c r="AX578" s="4">
        <f>IFERROR(__xludf.DUMMYFUNCTION("""COMPUTED_VALUE"""),0.0)</f>
        <v>0</v>
      </c>
      <c r="AY578" s="4"/>
      <c r="AZ578" s="4" t="str">
        <f>IFERROR(__xludf.DUMMYFUNCTION("""COMPUTED_VALUE"""),"#N/A")</f>
        <v>#N/A</v>
      </c>
      <c r="BA578" s="4" t="str">
        <f>IFERROR(__xludf.DUMMYFUNCTION("""COMPUTED_VALUE"""),"")</f>
        <v/>
      </c>
      <c r="BB578" s="4" t="str">
        <f>IFERROR(__xludf.DUMMYFUNCTION("""COMPUTED_VALUE"""),"")</f>
        <v/>
      </c>
      <c r="BC578" s="4" t="str">
        <f>IFERROR(__xludf.DUMMYFUNCTION("""COMPUTED_VALUE"""),"")</f>
        <v/>
      </c>
      <c r="BD578" s="4" t="str">
        <f>IFERROR(__xludf.DUMMYFUNCTION("""COMPUTED_VALUE"""),"")</f>
        <v/>
      </c>
      <c r="BE578" s="4" t="str">
        <f>IFERROR(__xludf.DUMMYFUNCTION("""COMPUTED_VALUE"""),"")</f>
        <v/>
      </c>
      <c r="BF578" s="4" t="str">
        <f>IFERROR(__xludf.DUMMYFUNCTION("""COMPUTED_VALUE"""),"")</f>
        <v/>
      </c>
      <c r="BG578" s="4" t="str">
        <f>IFERROR(__xludf.DUMMYFUNCTION("""COMPUTED_VALUE"""),"")</f>
        <v/>
      </c>
      <c r="BH578" s="4" t="s">
        <v>63</v>
      </c>
      <c r="BI578" s="7" t="s">
        <v>63</v>
      </c>
    </row>
    <row r="579" hidden="1">
      <c r="A579" s="4" t="str">
        <f>IFERROR(__xludf.DUMMYFUNCTION("""COMPUTED_VALUE"""),"Engenheiros Bh")</f>
        <v>Engenheiros Bh</v>
      </c>
      <c r="B579" s="4" t="str">
        <f>IFERROR(__xludf.DUMMYFUNCTION("""COMPUTED_VALUE"""),"Diego Santos")</f>
        <v>Diego Santos</v>
      </c>
      <c r="C579" s="4" t="str">
        <f>IFERROR(__xludf.DUMMYFUNCTION("""COMPUTED_VALUE"""),"Diego Santos")</f>
        <v>Diego Santos</v>
      </c>
      <c r="D579" s="4" t="str">
        <f>IFERROR(__xludf.DUMMYFUNCTION("""COMPUTED_VALUE"""),"10. Perdido")</f>
        <v>10. Perdido</v>
      </c>
      <c r="E579" s="4" t="str">
        <f>IFERROR(__xludf.DUMMYFUNCTION("""COMPUTED_VALUE"""),"Perdido - Sem perfil LA / 3SCheckout / PDV próprio")</f>
        <v>Perdido - Sem perfil LA / 3SCheckout / PDV próprio</v>
      </c>
      <c r="F579" s="4" t="str">
        <f>IFERROR(__xludf.DUMMYFUNCTION("""COMPUTED_VALUE"""),"P")</f>
        <v>P</v>
      </c>
      <c r="G579" s="5">
        <f>IFERROR(__xludf.DUMMYFUNCTION("""COMPUTED_VALUE"""),46076.0)</f>
        <v>46076</v>
      </c>
      <c r="H579" s="4" t="str">
        <f>IFERROR(__xludf.DUMMYFUNCTION("""COMPUTED_VALUE"""),"Sem interesse mudar de solução")</f>
        <v>Sem interesse mudar de solução</v>
      </c>
      <c r="I579" s="4"/>
      <c r="J579" s="4"/>
      <c r="K579" s="4"/>
      <c r="L579" s="4"/>
      <c r="M579" s="4"/>
      <c r="N579" s="4"/>
      <c r="O579" s="4"/>
      <c r="P579" s="4"/>
      <c r="Q579" s="4"/>
      <c r="R579" s="4"/>
      <c r="S579" s="4"/>
      <c r="T579" s="4"/>
      <c r="U579" s="4"/>
      <c r="V579" s="4" t="str">
        <f>IFERROR(__xludf.DUMMYFUNCTION("""COMPUTED_VALUE"""),"Sem interesse em mudar de PDV")</f>
        <v>Sem interesse em mudar de PDV</v>
      </c>
      <c r="W579" s="4"/>
      <c r="X579" s="4"/>
      <c r="Y579" s="4"/>
      <c r="Z579" s="4"/>
      <c r="AA579" s="4">
        <f>IFERROR(__xludf.DUMMYFUNCTION("""COMPUTED_VALUE"""),1.0)</f>
        <v>1</v>
      </c>
      <c r="AB579" s="4" t="str">
        <f>IFERROR(__xludf.DUMMYFUNCTION("""COMPUTED_VALUE"""),"NÃO")</f>
        <v>NÃO</v>
      </c>
      <c r="AC579" s="4" t="str">
        <f>IFERROR(__xludf.DUMMYFUNCTION("""COMPUTED_VALUE"""),"BP")</f>
        <v>BP</v>
      </c>
      <c r="AD579" s="4"/>
      <c r="AE579" s="4"/>
      <c r="AF579" s="4"/>
      <c r="AG579" s="4"/>
      <c r="AH579" s="4"/>
      <c r="AI579" s="4"/>
      <c r="AJ579" s="4"/>
      <c r="AK579" s="4"/>
      <c r="AL579" s="4"/>
      <c r="AM579" s="4" t="str">
        <f>IFERROR(__xludf.DUMMYFUNCTION("""COMPUTED_VALUE"""),"FY26")</f>
        <v>FY26</v>
      </c>
      <c r="AN579" s="4"/>
      <c r="AO579" s="4">
        <f>IFERROR(__xludf.DUMMYFUNCTION("""COMPUTED_VALUE"""),140.0)</f>
        <v>140</v>
      </c>
      <c r="AP579" s="4"/>
      <c r="AQ579" s="4"/>
      <c r="AR579" s="4"/>
      <c r="AS579" s="4" t="str">
        <f>IFERROR(__xludf.DUMMYFUNCTION("""COMPUTED_VALUE"""),"FABIO DONATO")</f>
        <v>FABIO DONATO</v>
      </c>
      <c r="AT579" s="4" t="str">
        <f>IFERROR(__xludf.DUMMYFUNCTION("""COMPUTED_VALUE"""),"GILSON JUNIOR")</f>
        <v>GILSON JUNIOR</v>
      </c>
      <c r="AU579" s="4" t="str">
        <f>IFERROR(__xludf.DUMMYFUNCTION("""COMPUTED_VALUE"""),"Diego")</f>
        <v>Diego</v>
      </c>
      <c r="AV579" s="4">
        <f>IFERROR(__xludf.DUMMYFUNCTION("""COMPUTED_VALUE"""),0.0)</f>
        <v>0</v>
      </c>
      <c r="AW579" s="4">
        <f>IFERROR(__xludf.DUMMYFUNCTION("""COMPUTED_VALUE"""),0.0)</f>
        <v>0</v>
      </c>
      <c r="AX579" s="4">
        <f>IFERROR(__xludf.DUMMYFUNCTION("""COMPUTED_VALUE"""),0.0)</f>
        <v>0</v>
      </c>
      <c r="AY579" s="4"/>
      <c r="AZ579" s="4" t="str">
        <f>IFERROR(__xludf.DUMMYFUNCTION("""COMPUTED_VALUE"""),"Lanches")</f>
        <v>Lanches</v>
      </c>
      <c r="BA579" s="4" t="str">
        <f>IFERROR(__xludf.DUMMYFUNCTION("""COMPUTED_VALUE"""),"")</f>
        <v/>
      </c>
      <c r="BB579" s="4" t="str">
        <f>IFERROR(__xludf.DUMMYFUNCTION("""COMPUTED_VALUE"""),"")</f>
        <v/>
      </c>
      <c r="BC579" s="4" t="str">
        <f>IFERROR(__xludf.DUMMYFUNCTION("""COMPUTED_VALUE"""),"")</f>
        <v/>
      </c>
      <c r="BD579" s="4" t="str">
        <f>IFERROR(__xludf.DUMMYFUNCTION("""COMPUTED_VALUE"""),"")</f>
        <v/>
      </c>
      <c r="BE579" s="4" t="str">
        <f>IFERROR(__xludf.DUMMYFUNCTION("""COMPUTED_VALUE"""),"")</f>
        <v/>
      </c>
      <c r="BF579" s="4" t="str">
        <f>IFERROR(__xludf.DUMMYFUNCTION("""COMPUTED_VALUE"""),"")</f>
        <v/>
      </c>
      <c r="BG579" s="4" t="str">
        <f>IFERROR(__xludf.DUMMYFUNCTION("""COMPUTED_VALUE"""),"")</f>
        <v/>
      </c>
      <c r="BH579" s="4" t="s">
        <v>64</v>
      </c>
      <c r="BI579" s="7">
        <v>0.5</v>
      </c>
    </row>
    <row r="580" hidden="1">
      <c r="A580" s="4" t="str">
        <f>IFERROR(__xludf.DUMMYFUNCTION("""COMPUTED_VALUE"""),"Esfiha Imigrantes")</f>
        <v>Esfiha Imigrantes</v>
      </c>
      <c r="B580" s="4" t="str">
        <f>IFERROR(__xludf.DUMMYFUNCTION("""COMPUTED_VALUE"""),"Emerson")</f>
        <v>Emerson</v>
      </c>
      <c r="C580" s="4" t="str">
        <f>IFERROR(__xludf.DUMMYFUNCTION("""COMPUTED_VALUE"""),"Emerson")</f>
        <v>Emerson</v>
      </c>
      <c r="D580" s="4" t="str">
        <f>IFERROR(__xludf.DUMMYFUNCTION("""COMPUTED_VALUE"""),"8. Contrato enviado")</f>
        <v>8. Contrato enviado</v>
      </c>
      <c r="E580" s="4"/>
      <c r="F580" s="4" t="str">
        <f>IFERROR(__xludf.DUMMYFUNCTION("""COMPUTED_VALUE"""),"P")</f>
        <v>P</v>
      </c>
      <c r="G580" s="4"/>
      <c r="H580" s="4"/>
      <c r="I580" s="4"/>
      <c r="J580" s="4"/>
      <c r="K580" s="6">
        <f>IFERROR(__xludf.DUMMYFUNCTION("""COMPUTED_VALUE"""),45899.0)</f>
        <v>45899</v>
      </c>
      <c r="L580" s="4"/>
      <c r="M580" s="4"/>
      <c r="N580" s="4"/>
      <c r="O580" s="4"/>
      <c r="P580" s="6">
        <f>IFERROR(__xludf.DUMMYFUNCTION("""COMPUTED_VALUE"""),46051.51717832176)</f>
        <v>46051.51718</v>
      </c>
      <c r="Q580" s="6">
        <f>IFERROR(__xludf.DUMMYFUNCTION("""COMPUTED_VALUE"""),46177.58675957176)</f>
        <v>46177.58676</v>
      </c>
      <c r="R580" s="4"/>
      <c r="S580" s="4"/>
      <c r="T580" s="4"/>
      <c r="U580" s="4"/>
      <c r="V580" s="4"/>
      <c r="W580" s="4"/>
      <c r="X580" s="4"/>
      <c r="Y580" s="4"/>
      <c r="Z580" s="4"/>
      <c r="AA580" s="4">
        <f>IFERROR(__xludf.DUMMYFUNCTION("""COMPUTED_VALUE"""),6.0)</f>
        <v>6</v>
      </c>
      <c r="AB580" s="4"/>
      <c r="AC580" s="4"/>
      <c r="AD580" s="4"/>
      <c r="AE580" s="4"/>
      <c r="AF580" s="4"/>
      <c r="AG580" s="4"/>
      <c r="AH580" s="4"/>
      <c r="AI580" s="4"/>
      <c r="AJ580" s="4"/>
      <c r="AK580" s="4"/>
      <c r="AL580" s="4"/>
      <c r="AM580" s="4" t="str">
        <f>IFERROR(__xludf.DUMMYFUNCTION("""COMPUTED_VALUE"""),"FY26, FY27")</f>
        <v>FY26, FY27</v>
      </c>
      <c r="AN580" s="4" t="str">
        <f>IFERROR(__xludf.DUMMYFUNCTION("""COMPUTED_VALUE"""),"Comer Fora")</f>
        <v>Comer Fora</v>
      </c>
      <c r="AO580" s="4">
        <f>IFERROR(__xludf.DUMMYFUNCTION("""COMPUTED_VALUE"""),45553.0)</f>
        <v>45553</v>
      </c>
      <c r="AP580" s="4"/>
      <c r="AQ580" s="4"/>
      <c r="AR580" s="4"/>
      <c r="AS580" s="4">
        <f>IFERROR(__xludf.DUMMYFUNCTION("""COMPUTED_VALUE"""),0.0)</f>
        <v>0</v>
      </c>
      <c r="AT580" s="4">
        <f>IFERROR(__xludf.DUMMYFUNCTION("""COMPUTED_VALUE"""),0.0)</f>
        <v>0</v>
      </c>
      <c r="AU580" s="4" t="str">
        <f>IFERROR(__xludf.DUMMYFUNCTION("""COMPUTED_VALUE"""),"Emerson")</f>
        <v>Emerson</v>
      </c>
      <c r="AV580" s="4" t="str">
        <f>IFERROR(__xludf.DUMMYFUNCTION("""COMPUTED_VALUE"""),"Comer Fora-")</f>
        <v>Comer Fora-</v>
      </c>
      <c r="AW580" s="20" t="str">
        <f>IFERROR(__xludf.DUMMYFUNCTION("""COMPUTED_VALUE"""),"P e M - pipe")</f>
        <v>P e M - pipe</v>
      </c>
      <c r="AX580" s="4"/>
      <c r="AY580" s="4"/>
      <c r="AZ580" s="4" t="str">
        <f>IFERROR(__xludf.DUMMYFUNCTION("""COMPUTED_VALUE"""),"Árabe")</f>
        <v>Árabe</v>
      </c>
      <c r="BA580" s="4" t="str">
        <f>IFERROR(__xludf.DUMMYFUNCTION("""COMPUTED_VALUE"""),"")</f>
        <v/>
      </c>
      <c r="BB580" s="4" t="str">
        <f>IFERROR(__xludf.DUMMYFUNCTION("""COMPUTED_VALUE"""),"")</f>
        <v/>
      </c>
      <c r="BC580" s="4" t="str">
        <f>IFERROR(__xludf.DUMMYFUNCTION("""COMPUTED_VALUE"""),"")</f>
        <v/>
      </c>
      <c r="BD580" s="4" t="str">
        <f>IFERROR(__xludf.DUMMYFUNCTION("""COMPUTED_VALUE"""),"")</f>
        <v/>
      </c>
      <c r="BE580" s="4" t="str">
        <f>IFERROR(__xludf.DUMMYFUNCTION("""COMPUTED_VALUE"""),"")</f>
        <v/>
      </c>
      <c r="BF580" s="4" t="str">
        <f>IFERROR(__xludf.DUMMYFUNCTION("""COMPUTED_VALUE"""),"")</f>
        <v/>
      </c>
      <c r="BG580" s="4" t="str">
        <f>IFERROR(__xludf.DUMMYFUNCTION("""COMPUTED_VALUE"""),"")</f>
        <v/>
      </c>
      <c r="BH580" s="4" t="s">
        <v>88</v>
      </c>
      <c r="BI580" s="7">
        <v>0.6</v>
      </c>
    </row>
    <row r="581" hidden="1">
      <c r="A581" s="4" t="str">
        <f>IFERROR(__xludf.DUMMYFUNCTION("""COMPUTED_VALUE"""),"Essen Biergarten/ zapata")</f>
        <v>Essen Biergarten/ zapata</v>
      </c>
      <c r="B581" s="4" t="str">
        <f>IFERROR(__xludf.DUMMYFUNCTION("""COMPUTED_VALUE"""),"Ana")</f>
        <v>Ana</v>
      </c>
      <c r="C581" s="4" t="str">
        <f>IFERROR(__xludf.DUMMYFUNCTION("""COMPUTED_VALUE"""),"Ana")</f>
        <v>Ana</v>
      </c>
      <c r="D581" s="4" t="str">
        <f>IFERROR(__xludf.DUMMYFUNCTION("""COMPUTED_VALUE"""),"10. Perdido")</f>
        <v>10. Perdido</v>
      </c>
      <c r="E581" s="4" t="str">
        <f>IFERROR(__xludf.DUMMYFUNCTION("""COMPUTED_VALUE"""),"Perdido - Outro (detalhar ao lado)")</f>
        <v>Perdido - Outro (detalhar ao lado)</v>
      </c>
      <c r="F581" s="4" t="str">
        <f>IFERROR(__xludf.DUMMYFUNCTION("""COMPUTED_VALUE"""),"P")</f>
        <v>P</v>
      </c>
      <c r="G581" s="5">
        <f>IFERROR(__xludf.DUMMYFUNCTION("""COMPUTED_VALUE"""),46076.0)</f>
        <v>46076</v>
      </c>
      <c r="H581" s="4" t="str">
        <f>IFERROR(__xludf.DUMMYFUNCTION("""COMPUTED_VALUE"""),"sem perfil LA, falamos no ifood day BH. Restauante tem um pdv local que o atende bem, não quis ir pra demonstração")</f>
        <v>sem perfil LA, falamos no ifood day BH. Restauante tem um pdv local que o atende bem, não quis ir pra demonstração</v>
      </c>
      <c r="I581" s="4"/>
      <c r="J581" s="4"/>
      <c r="K581" s="6">
        <f>IFERROR(__xludf.DUMMYFUNCTION("""COMPUTED_VALUE"""),45870.0)</f>
        <v>45870</v>
      </c>
      <c r="L581" s="4"/>
      <c r="M581" s="4"/>
      <c r="N581" s="4"/>
      <c r="O581" s="4"/>
      <c r="P581" s="4"/>
      <c r="Q581" s="4"/>
      <c r="R581" s="4"/>
      <c r="S581" s="4"/>
      <c r="T581" s="4"/>
      <c r="U581" s="4"/>
      <c r="V581" s="4" t="str">
        <f>IFERROR(__xludf.DUMMYFUNCTION("""COMPUTED_VALUE"""),"Sem perfil LA")</f>
        <v>Sem perfil LA</v>
      </c>
      <c r="W581" s="4"/>
      <c r="X581" s="4"/>
      <c r="Y581" s="4"/>
      <c r="Z581" s="4"/>
      <c r="AA581" s="4">
        <f>IFERROR(__xludf.DUMMYFUNCTION("""COMPUTED_VALUE"""),1.0)</f>
        <v>1</v>
      </c>
      <c r="AB581" s="4"/>
      <c r="AC581" s="4"/>
      <c r="AD581" s="4"/>
      <c r="AE581" s="4"/>
      <c r="AF581" s="4"/>
      <c r="AG581" s="4"/>
      <c r="AH581" s="4"/>
      <c r="AI581" s="4"/>
      <c r="AJ581" s="4"/>
      <c r="AK581" s="4"/>
      <c r="AL581" s="4"/>
      <c r="AM581" s="4" t="str">
        <f>IFERROR(__xludf.DUMMYFUNCTION("""COMPUTED_VALUE"""),"FY26")</f>
        <v>FY26</v>
      </c>
      <c r="AN581" s="4"/>
      <c r="AO581" s="4">
        <f>IFERROR(__xludf.DUMMYFUNCTION("""COMPUTED_VALUE"""),140.0)</f>
        <v>140</v>
      </c>
      <c r="AP581" s="4"/>
      <c r="AQ581" s="4"/>
      <c r="AR581" s="4"/>
      <c r="AS581" s="4">
        <f>IFERROR(__xludf.DUMMYFUNCTION("""COMPUTED_VALUE"""),0.0)</f>
        <v>0</v>
      </c>
      <c r="AT581" s="4">
        <f>IFERROR(__xludf.DUMMYFUNCTION("""COMPUTED_VALUE"""),0.0)</f>
        <v>0</v>
      </c>
      <c r="AU581" s="4" t="str">
        <f>IFERROR(__xludf.DUMMYFUNCTION("""COMPUTED_VALUE"""),"Ana")</f>
        <v>Ana</v>
      </c>
      <c r="AV581" s="4">
        <f>IFERROR(__xludf.DUMMYFUNCTION("""COMPUTED_VALUE"""),0.0)</f>
        <v>0</v>
      </c>
      <c r="AW581" s="4">
        <f>IFERROR(__xludf.DUMMYFUNCTION("""COMPUTED_VALUE"""),0.0)</f>
        <v>0</v>
      </c>
      <c r="AX581" s="4">
        <f>IFERROR(__xludf.DUMMYFUNCTION("""COMPUTED_VALUE"""),0.0)</f>
        <v>0</v>
      </c>
      <c r="AY581" s="4"/>
      <c r="AZ581" s="4" t="str">
        <f>IFERROR(__xludf.DUMMYFUNCTION("""COMPUTED_VALUE"""),"#N/A")</f>
        <v>#N/A</v>
      </c>
      <c r="BA581" s="4" t="str">
        <f>IFERROR(__xludf.DUMMYFUNCTION("""COMPUTED_VALUE"""),"")</f>
        <v/>
      </c>
      <c r="BB581" s="4" t="str">
        <f>IFERROR(__xludf.DUMMYFUNCTION("""COMPUTED_VALUE"""),"")</f>
        <v/>
      </c>
      <c r="BC581" s="4" t="str">
        <f>IFERROR(__xludf.DUMMYFUNCTION("""COMPUTED_VALUE"""),"")</f>
        <v/>
      </c>
      <c r="BD581" s="4" t="str">
        <f>IFERROR(__xludf.DUMMYFUNCTION("""COMPUTED_VALUE"""),"")</f>
        <v/>
      </c>
      <c r="BE581" s="4" t="str">
        <f>IFERROR(__xludf.DUMMYFUNCTION("""COMPUTED_VALUE"""),"")</f>
        <v/>
      </c>
      <c r="BF581" s="4" t="str">
        <f>IFERROR(__xludf.DUMMYFUNCTION("""COMPUTED_VALUE"""),"")</f>
        <v/>
      </c>
      <c r="BG581" s="4" t="str">
        <f>IFERROR(__xludf.DUMMYFUNCTION("""COMPUTED_VALUE"""),"")</f>
        <v/>
      </c>
      <c r="BH581" s="4" t="s">
        <v>63</v>
      </c>
      <c r="BI581" s="7" t="s">
        <v>63</v>
      </c>
    </row>
    <row r="582" hidden="1">
      <c r="A582" s="4" t="str">
        <f>IFERROR(__xludf.DUMMYFUNCTION("""COMPUTED_VALUE"""),"Fábrica de Bares")</f>
        <v>Fábrica de Bares</v>
      </c>
      <c r="B582" s="4" t="str">
        <f>IFERROR(__xludf.DUMMYFUNCTION("""COMPUTED_VALUE"""),"Diego Santos")</f>
        <v>Diego Santos</v>
      </c>
      <c r="C582" s="4" t="str">
        <f>IFERROR(__xludf.DUMMYFUNCTION("""COMPUTED_VALUE"""),"Diego Santos")</f>
        <v>Diego Santos</v>
      </c>
      <c r="D582" s="4" t="str">
        <f>IFERROR(__xludf.DUMMYFUNCTION("""COMPUTED_VALUE"""),"10. Perdido")</f>
        <v>10. Perdido</v>
      </c>
      <c r="E582" s="4" t="str">
        <f>IFERROR(__xludf.DUMMYFUNCTION("""COMPUTED_VALUE"""),"Perdido - Falta de aderência técnica")</f>
        <v>Perdido - Falta de aderência técnica</v>
      </c>
      <c r="F582" s="4" t="str">
        <f>IFERROR(__xludf.DUMMYFUNCTION("""COMPUTED_VALUE"""),"P")</f>
        <v>P</v>
      </c>
      <c r="G582" s="5">
        <f>IFERROR(__xludf.DUMMYFUNCTION("""COMPUTED_VALUE"""),46076.0)</f>
        <v>46076</v>
      </c>
      <c r="H582" s="4" t="str">
        <f>IFERROR(__xludf.DUMMYFUNCTION("""COMPUTED_VALUE"""),"Não atendemos parte técnica.")</f>
        <v>Não atendemos parte técnica.</v>
      </c>
      <c r="I582" s="4"/>
      <c r="J582" s="4"/>
      <c r="K582" s="6">
        <f>IFERROR(__xludf.DUMMYFUNCTION("""COMPUTED_VALUE"""),45901.0)</f>
        <v>45901</v>
      </c>
      <c r="L582" s="4"/>
      <c r="M582" s="4"/>
      <c r="N582" s="4"/>
      <c r="O582" s="4"/>
      <c r="P582" s="4"/>
      <c r="Q582" s="4"/>
      <c r="R582" s="4"/>
      <c r="S582" s="4"/>
      <c r="T582" s="4"/>
      <c r="U582" s="4"/>
      <c r="V582" s="4" t="str">
        <f>IFERROR(__xludf.DUMMYFUNCTION("""COMPUTED_VALUE"""),"Desenvolvimento Solução")</f>
        <v>Desenvolvimento Solução</v>
      </c>
      <c r="W582" s="4"/>
      <c r="X582" s="4"/>
      <c r="Y582" s="4"/>
      <c r="Z582" s="4"/>
      <c r="AA582" s="4">
        <f>IFERROR(__xludf.DUMMYFUNCTION("""COMPUTED_VALUE"""),1.0)</f>
        <v>1</v>
      </c>
      <c r="AB582" s="4"/>
      <c r="AC582" s="4"/>
      <c r="AD582" s="4"/>
      <c r="AE582" s="4"/>
      <c r="AF582" s="4"/>
      <c r="AG582" s="4"/>
      <c r="AH582" s="4"/>
      <c r="AI582" s="4"/>
      <c r="AJ582" s="4"/>
      <c r="AK582" s="4"/>
      <c r="AL582" s="4"/>
      <c r="AM582" s="4" t="str">
        <f>IFERROR(__xludf.DUMMYFUNCTION("""COMPUTED_VALUE"""),"FY26")</f>
        <v>FY26</v>
      </c>
      <c r="AN582" s="4"/>
      <c r="AO582" s="4">
        <f>IFERROR(__xludf.DUMMYFUNCTION("""COMPUTED_VALUE"""),140.0)</f>
        <v>140</v>
      </c>
      <c r="AP582" s="4"/>
      <c r="AQ582" s="4"/>
      <c r="AR582" s="4"/>
      <c r="AS582" s="4">
        <f>IFERROR(__xludf.DUMMYFUNCTION("""COMPUTED_VALUE"""),0.0)</f>
        <v>0</v>
      </c>
      <c r="AT582" s="4">
        <f>IFERROR(__xludf.DUMMYFUNCTION("""COMPUTED_VALUE"""),0.0)</f>
        <v>0</v>
      </c>
      <c r="AU582" s="4" t="str">
        <f>IFERROR(__xludf.DUMMYFUNCTION("""COMPUTED_VALUE"""),"Diego")</f>
        <v>Diego</v>
      </c>
      <c r="AV582" s="4">
        <f>IFERROR(__xludf.DUMMYFUNCTION("""COMPUTED_VALUE"""),0.0)</f>
        <v>0</v>
      </c>
      <c r="AW582" s="4">
        <f>IFERROR(__xludf.DUMMYFUNCTION("""COMPUTED_VALUE"""),0.0)</f>
        <v>0</v>
      </c>
      <c r="AX582" s="4">
        <f>IFERROR(__xludf.DUMMYFUNCTION("""COMPUTED_VALUE"""),0.0)</f>
        <v>0</v>
      </c>
      <c r="AY582" s="4"/>
      <c r="AZ582" s="4" t="str">
        <f>IFERROR(__xludf.DUMMYFUNCTION("""COMPUTED_VALUE"""),"#N/A")</f>
        <v>#N/A</v>
      </c>
      <c r="BA582" s="4" t="str">
        <f>IFERROR(__xludf.DUMMYFUNCTION("""COMPUTED_VALUE"""),"")</f>
        <v/>
      </c>
      <c r="BB582" s="4" t="str">
        <f>IFERROR(__xludf.DUMMYFUNCTION("""COMPUTED_VALUE"""),"")</f>
        <v/>
      </c>
      <c r="BC582" s="4" t="str">
        <f>IFERROR(__xludf.DUMMYFUNCTION("""COMPUTED_VALUE"""),"")</f>
        <v/>
      </c>
      <c r="BD582" s="4" t="str">
        <f>IFERROR(__xludf.DUMMYFUNCTION("""COMPUTED_VALUE"""),"")</f>
        <v/>
      </c>
      <c r="BE582" s="4" t="str">
        <f>IFERROR(__xludf.DUMMYFUNCTION("""COMPUTED_VALUE"""),"")</f>
        <v/>
      </c>
      <c r="BF582" s="4" t="str">
        <f>IFERROR(__xludf.DUMMYFUNCTION("""COMPUTED_VALUE"""),"")</f>
        <v/>
      </c>
      <c r="BG582" s="4" t="str">
        <f>IFERROR(__xludf.DUMMYFUNCTION("""COMPUTED_VALUE"""),"")</f>
        <v/>
      </c>
      <c r="BH582" s="4" t="s">
        <v>63</v>
      </c>
      <c r="BI582" s="7" t="s">
        <v>63</v>
      </c>
    </row>
    <row r="583" hidden="1">
      <c r="A583" s="4" t="str">
        <f>IFERROR(__xludf.DUMMYFUNCTION("""COMPUTED_VALUE"""),"Fat Guys")</f>
        <v>Fat Guys</v>
      </c>
      <c r="B583" s="4" t="str">
        <f>IFERROR(__xludf.DUMMYFUNCTION("""COMPUTED_VALUE"""),"Michel")</f>
        <v>Michel</v>
      </c>
      <c r="C583" s="4" t="str">
        <f>IFERROR(__xludf.DUMMYFUNCTION("""COMPUTED_VALUE"""),"Michel")</f>
        <v>Michel</v>
      </c>
      <c r="D583" s="4" t="str">
        <f>IFERROR(__xludf.DUMMYFUNCTION("""COMPUTED_VALUE"""),"12. Orgânico")</f>
        <v>12. Orgânico</v>
      </c>
      <c r="E583" s="4"/>
      <c r="F583" s="4" t="str">
        <f>IFERROR(__xludf.DUMMYFUNCTION("""COMPUTED_VALUE"""),"P")</f>
        <v>P</v>
      </c>
      <c r="G583" s="5">
        <f>IFERROR(__xludf.DUMMYFUNCTION("""COMPUTED_VALUE"""),46139.0)</f>
        <v>46139</v>
      </c>
      <c r="H583" s="4" t="str">
        <f>IFERROR(__xludf.DUMMYFUNCTION("""COMPUTED_VALUE"""),"Mudou para Saipos")</f>
        <v>Mudou para Saipos</v>
      </c>
      <c r="I583" s="4"/>
      <c r="J583" s="4"/>
      <c r="K583" s="4"/>
      <c r="L583" s="4"/>
      <c r="M583" s="4"/>
      <c r="N583" s="4"/>
      <c r="O583" s="4"/>
      <c r="P583" s="4"/>
      <c r="Q583" s="4"/>
      <c r="R583" s="4"/>
      <c r="S583" s="4"/>
      <c r="T583" s="4"/>
      <c r="U583" s="4"/>
      <c r="V583" s="4"/>
      <c r="W583" s="4"/>
      <c r="X583" s="4"/>
      <c r="Y583" s="4"/>
      <c r="Z583" s="4"/>
      <c r="AA583" s="4">
        <f>IFERROR(__xludf.DUMMYFUNCTION("""COMPUTED_VALUE"""),5.0)</f>
        <v>5</v>
      </c>
      <c r="AB583" s="4"/>
      <c r="AC583" s="4"/>
      <c r="AD583" s="4"/>
      <c r="AE583" s="4"/>
      <c r="AF583" s="4"/>
      <c r="AG583" s="4"/>
      <c r="AH583" s="4"/>
      <c r="AI583" s="4"/>
      <c r="AJ583" s="4"/>
      <c r="AK583" s="4"/>
      <c r="AL583" s="4"/>
      <c r="AM583" s="4" t="str">
        <f>IFERROR(__xludf.DUMMYFUNCTION("""COMPUTED_VALUE"""),"Orgânico 3S")</f>
        <v>Orgânico 3S</v>
      </c>
      <c r="AN583" s="4"/>
      <c r="AO583" s="4">
        <f>IFERROR(__xludf.DUMMYFUNCTION("""COMPUTED_VALUE"""),76.0)</f>
        <v>76</v>
      </c>
      <c r="AP583" s="4"/>
      <c r="AQ583" s="4"/>
      <c r="AR583" s="4"/>
      <c r="AS583" s="4">
        <f>IFERROR(__xludf.DUMMYFUNCTION("""COMPUTED_VALUE"""),0.0)</f>
        <v>0</v>
      </c>
      <c r="AT583" s="4">
        <f>IFERROR(__xludf.DUMMYFUNCTION("""COMPUTED_VALUE"""),0.0)</f>
        <v>0</v>
      </c>
      <c r="AU583" s="4" t="str">
        <f>IFERROR(__xludf.DUMMYFUNCTION("""COMPUTED_VALUE"""),"Michel")</f>
        <v>Michel</v>
      </c>
      <c r="AV583" s="4">
        <f>IFERROR(__xludf.DUMMYFUNCTION("""COMPUTED_VALUE"""),0.0)</f>
        <v>0</v>
      </c>
      <c r="AW583" s="4">
        <f>IFERROR(__xludf.DUMMYFUNCTION("""COMPUTED_VALUE"""),0.0)</f>
        <v>0</v>
      </c>
      <c r="AX583" s="4">
        <f>IFERROR(__xludf.DUMMYFUNCTION("""COMPUTED_VALUE"""),0.0)</f>
        <v>0</v>
      </c>
      <c r="AY583" s="4"/>
      <c r="AZ583" s="4">
        <f>IFERROR(__xludf.DUMMYFUNCTION("""COMPUTED_VALUE"""),0.0)</f>
        <v>0</v>
      </c>
      <c r="BA583" s="4" t="str">
        <f>IFERROR(__xludf.DUMMYFUNCTION("""COMPUTED_VALUE"""),"")</f>
        <v/>
      </c>
      <c r="BB583" s="4" t="str">
        <f>IFERROR(__xludf.DUMMYFUNCTION("""COMPUTED_VALUE"""),"")</f>
        <v/>
      </c>
      <c r="BC583" s="4" t="str">
        <f>IFERROR(__xludf.DUMMYFUNCTION("""COMPUTED_VALUE"""),"")</f>
        <v/>
      </c>
      <c r="BD583" s="4" t="str">
        <f>IFERROR(__xludf.DUMMYFUNCTION("""COMPUTED_VALUE"""),"")</f>
        <v/>
      </c>
      <c r="BE583" s="4" t="str">
        <f>IFERROR(__xludf.DUMMYFUNCTION("""COMPUTED_VALUE"""),"")</f>
        <v/>
      </c>
      <c r="BF583" s="4" t="str">
        <f>IFERROR(__xludf.DUMMYFUNCTION("""COMPUTED_VALUE"""),"")</f>
        <v/>
      </c>
      <c r="BG583" s="4" t="str">
        <f>IFERROR(__xludf.DUMMYFUNCTION("""COMPUTED_VALUE"""),"")</f>
        <v/>
      </c>
      <c r="BH583" s="4" t="s">
        <v>69</v>
      </c>
      <c r="BI583" s="7">
        <v>0.8421052631578947</v>
      </c>
    </row>
    <row r="584" hidden="1">
      <c r="A584" s="4" t="str">
        <f>IFERROR(__xludf.DUMMYFUNCTION("""COMPUTED_VALUE"""),"Fazenda Churrascada")</f>
        <v>Fazenda Churrascada</v>
      </c>
      <c r="B584" s="4" t="str">
        <f>IFERROR(__xludf.DUMMYFUNCTION("""COMPUTED_VALUE"""),"Ana")</f>
        <v>Ana</v>
      </c>
      <c r="C584" s="4" t="str">
        <f>IFERROR(__xludf.DUMMYFUNCTION("""COMPUTED_VALUE"""),"Ana")</f>
        <v>Ana</v>
      </c>
      <c r="D584" s="4" t="str">
        <f>IFERROR(__xludf.DUMMYFUNCTION("""COMPUTED_VALUE"""),"10. Perdido")</f>
        <v>10. Perdido</v>
      </c>
      <c r="E584" s="4" t="str">
        <f>IFERROR(__xludf.DUMMYFUNCTION("""COMPUTED_VALUE"""),"Perdido - Sem perfil LA / 3SCheckout / PDV próprio")</f>
        <v>Perdido - Sem perfil LA / 3SCheckout / PDV próprio</v>
      </c>
      <c r="F584" s="4" t="str">
        <f>IFERROR(__xludf.DUMMYFUNCTION("""COMPUTED_VALUE"""),"P")</f>
        <v>P</v>
      </c>
      <c r="G584" s="5">
        <f>IFERROR(__xludf.DUMMYFUNCTION("""COMPUTED_VALUE"""),46076.0)</f>
        <v>46076</v>
      </c>
      <c r="H584" s="4" t="str">
        <f>IFERROR(__xludf.DUMMYFUNCTION("""COMPUTED_VALUE"""),"Parceiro tem sistema de pdv próprio, sem abertura para apresentar iFood Salão")</f>
        <v>Parceiro tem sistema de pdv próprio, sem abertura para apresentar iFood Salão</v>
      </c>
      <c r="I584" s="4"/>
      <c r="J584" s="4"/>
      <c r="K584" s="6">
        <f>IFERROR(__xludf.DUMMYFUNCTION("""COMPUTED_VALUE"""),45924.0)</f>
        <v>45924</v>
      </c>
      <c r="L584" s="4"/>
      <c r="M584" s="4"/>
      <c r="N584" s="4"/>
      <c r="O584" s="4"/>
      <c r="P584" s="4"/>
      <c r="Q584" s="4"/>
      <c r="R584" s="6">
        <f>IFERROR(__xludf.DUMMYFUNCTION("""COMPUTED_VALUE"""),46062.72198253473)</f>
        <v>46062.72198</v>
      </c>
      <c r="S584" s="4"/>
      <c r="T584" s="4"/>
      <c r="U584" s="4"/>
      <c r="V584" s="4" t="str">
        <f>IFERROR(__xludf.DUMMYFUNCTION("""COMPUTED_VALUE"""),"Sem interesse em mudar de PDV")</f>
        <v>Sem interesse em mudar de PDV</v>
      </c>
      <c r="W584" s="4"/>
      <c r="X584" s="4"/>
      <c r="Y584" s="4"/>
      <c r="Z584" s="4"/>
      <c r="AA584" s="4">
        <f>IFERROR(__xludf.DUMMYFUNCTION("""COMPUTED_VALUE"""),7.0)</f>
        <v>7</v>
      </c>
      <c r="AB584" s="4" t="str">
        <f>IFERROR(__xludf.DUMMYFUNCTION("""COMPUTED_VALUE"""),"NÃO")</f>
        <v>NÃO</v>
      </c>
      <c r="AC584" s="4" t="str">
        <f>IFERROR(__xludf.DUMMYFUNCTION("""COMPUTED_VALUE"""),"BP")</f>
        <v>BP</v>
      </c>
      <c r="AD584" s="4"/>
      <c r="AE584" s="4"/>
      <c r="AF584" s="4"/>
      <c r="AG584" s="4"/>
      <c r="AH584" s="4"/>
      <c r="AI584" s="4"/>
      <c r="AJ584" s="4"/>
      <c r="AK584" s="4"/>
      <c r="AL584" s="4"/>
      <c r="AM584" s="4" t="str">
        <f>IFERROR(__xludf.DUMMYFUNCTION("""COMPUTED_VALUE"""),"FY26")</f>
        <v>FY26</v>
      </c>
      <c r="AN584" s="4"/>
      <c r="AO584" s="4">
        <f>IFERROR(__xludf.DUMMYFUNCTION("""COMPUTED_VALUE"""),140.0)</f>
        <v>140</v>
      </c>
      <c r="AP584" s="4"/>
      <c r="AQ584" s="4"/>
      <c r="AR584" s="4"/>
      <c r="AS584" s="4">
        <f>IFERROR(__xludf.DUMMYFUNCTION("""COMPUTED_VALUE"""),0.0)</f>
        <v>0</v>
      </c>
      <c r="AT584" s="4">
        <f>IFERROR(__xludf.DUMMYFUNCTION("""COMPUTED_VALUE"""),0.0)</f>
        <v>0</v>
      </c>
      <c r="AU584" s="4" t="str">
        <f>IFERROR(__xludf.DUMMYFUNCTION("""COMPUTED_VALUE"""),"Ana")</f>
        <v>Ana</v>
      </c>
      <c r="AV584" s="4">
        <f>IFERROR(__xludf.DUMMYFUNCTION("""COMPUTED_VALUE"""),0.0)</f>
        <v>0</v>
      </c>
      <c r="AW584" s="4">
        <f>IFERROR(__xludf.DUMMYFUNCTION("""COMPUTED_VALUE"""),0.0)</f>
        <v>0</v>
      </c>
      <c r="AX584" s="4">
        <f>IFERROR(__xludf.DUMMYFUNCTION("""COMPUTED_VALUE"""),0.0)</f>
        <v>0</v>
      </c>
      <c r="AY584" s="4"/>
      <c r="AZ584" s="4" t="str">
        <f>IFERROR(__xludf.DUMMYFUNCTION("""COMPUTED_VALUE"""),"#N/A")</f>
        <v>#N/A</v>
      </c>
      <c r="BA584" s="4" t="str">
        <f>IFERROR(__xludf.DUMMYFUNCTION("""COMPUTED_VALUE"""),"")</f>
        <v/>
      </c>
      <c r="BB584" s="4" t="str">
        <f>IFERROR(__xludf.DUMMYFUNCTION("""COMPUTED_VALUE"""),"")</f>
        <v/>
      </c>
      <c r="BC584" s="4" t="str">
        <f>IFERROR(__xludf.DUMMYFUNCTION("""COMPUTED_VALUE"""),"")</f>
        <v/>
      </c>
      <c r="BD584" s="4" t="str">
        <f>IFERROR(__xludf.DUMMYFUNCTION("""COMPUTED_VALUE"""),"")</f>
        <v/>
      </c>
      <c r="BE584" s="4" t="str">
        <f>IFERROR(__xludf.DUMMYFUNCTION("""COMPUTED_VALUE"""),"")</f>
        <v/>
      </c>
      <c r="BF584" s="4" t="str">
        <f>IFERROR(__xludf.DUMMYFUNCTION("""COMPUTED_VALUE"""),"")</f>
        <v/>
      </c>
      <c r="BG584" s="4" t="str">
        <f>IFERROR(__xludf.DUMMYFUNCTION("""COMPUTED_VALUE"""),"")</f>
        <v/>
      </c>
      <c r="BH584" s="4" t="s">
        <v>63</v>
      </c>
      <c r="BI584" s="7" t="s">
        <v>63</v>
      </c>
    </row>
    <row r="585" hidden="1">
      <c r="A585" s="4" t="str">
        <f>IFERROR(__xludf.DUMMYFUNCTION("""COMPUTED_VALUE"""),"Fire House")</f>
        <v>Fire House</v>
      </c>
      <c r="B585" s="4" t="str">
        <f>IFERROR(__xludf.DUMMYFUNCTION("""COMPUTED_VALUE"""),"Michel")</f>
        <v>Michel</v>
      </c>
      <c r="C585" s="4" t="str">
        <f>IFERROR(__xludf.DUMMYFUNCTION("""COMPUTED_VALUE"""),"Michel")</f>
        <v>Michel</v>
      </c>
      <c r="D585" s="4" t="str">
        <f>IFERROR(__xludf.DUMMYFUNCTION("""COMPUTED_VALUE"""),"9. Contrato assinado")</f>
        <v>9. Contrato assinado</v>
      </c>
      <c r="E585" s="4"/>
      <c r="F585" s="4" t="str">
        <f>IFERROR(__xludf.DUMMYFUNCTION("""COMPUTED_VALUE"""),"P")</f>
        <v>P</v>
      </c>
      <c r="G585" s="4"/>
      <c r="H585" s="4"/>
      <c r="I585" s="4"/>
      <c r="J585" s="4"/>
      <c r="K585" s="6">
        <f>IFERROR(__xludf.DUMMYFUNCTION("""COMPUTED_VALUE"""),45778.0)</f>
        <v>45778</v>
      </c>
      <c r="L585" s="4"/>
      <c r="M585" s="4"/>
      <c r="N585" s="6">
        <f>IFERROR(__xludf.DUMMYFUNCTION("""COMPUTED_VALUE"""),45930.0)</f>
        <v>45930</v>
      </c>
      <c r="O585" s="4"/>
      <c r="P585" s="4"/>
      <c r="Q585" s="6">
        <f>IFERROR(__xludf.DUMMYFUNCTION("""COMPUTED_VALUE"""),45930.0)</f>
        <v>45930</v>
      </c>
      <c r="R585" s="4"/>
      <c r="S585" s="4"/>
      <c r="T585" s="6">
        <f>IFERROR(__xludf.DUMMYFUNCTION("""COMPUTED_VALUE"""),46076.60622019676)</f>
        <v>46076.60622</v>
      </c>
      <c r="U585" s="4"/>
      <c r="V585" s="4"/>
      <c r="W585" s="4"/>
      <c r="X585" s="4"/>
      <c r="Y585" s="4"/>
      <c r="Z585" s="4"/>
      <c r="AA585" s="4">
        <f>IFERROR(__xludf.DUMMYFUNCTION("""COMPUTED_VALUE"""),10.0)</f>
        <v>10</v>
      </c>
      <c r="AB585" s="4"/>
      <c r="AC585" s="4"/>
      <c r="AD585" s="4"/>
      <c r="AE585" s="4"/>
      <c r="AF585" s="4"/>
      <c r="AG585" s="4"/>
      <c r="AH585" s="4"/>
      <c r="AI585" s="4"/>
      <c r="AJ585" s="4"/>
      <c r="AK585" s="4"/>
      <c r="AL585" s="4"/>
      <c r="AM585" s="4" t="str">
        <f>IFERROR(__xludf.DUMMYFUNCTION("""COMPUTED_VALUE"""),"FY26")</f>
        <v>FY26</v>
      </c>
      <c r="AN585" s="4" t="str">
        <f>IFERROR(__xludf.DUMMYFUNCTION("""COMPUTED_VALUE"""),"Comer Fora")</f>
        <v>Comer Fora</v>
      </c>
      <c r="AO585" s="4">
        <f>IFERROR(__xludf.DUMMYFUNCTION("""COMPUTED_VALUE"""),45553.0)</f>
        <v>45553</v>
      </c>
      <c r="AP585" s="4"/>
      <c r="AQ585" s="4"/>
      <c r="AR585" s="4"/>
      <c r="AS585" s="4" t="str">
        <f>IFERROR(__xludf.DUMMYFUNCTION("""COMPUTED_VALUE"""),"NATHALIE MERTENS")</f>
        <v>NATHALIE MERTENS</v>
      </c>
      <c r="AT585" s="4" t="str">
        <f>IFERROR(__xludf.DUMMYFUNCTION("""COMPUTED_VALUE"""),"NATALIA COUTINHO")</f>
        <v>NATALIA COUTINHO</v>
      </c>
      <c r="AU585" s="4" t="str">
        <f>IFERROR(__xludf.DUMMYFUNCTION("""COMPUTED_VALUE"""),"Michel")</f>
        <v>Michel</v>
      </c>
      <c r="AV585" s="4" t="str">
        <f>IFERROR(__xludf.DUMMYFUNCTION("""COMPUTED_VALUE"""),"Comer Fora-")</f>
        <v>Comer Fora-</v>
      </c>
      <c r="AW585" s="20" t="str">
        <f>IFERROR(__xludf.DUMMYFUNCTION("""COMPUTED_VALUE"""),"P e M - pipe")</f>
        <v>P e M - pipe</v>
      </c>
      <c r="AX585" s="4"/>
      <c r="AY585" s="4"/>
      <c r="AZ585" s="4" t="str">
        <f>IFERROR(__xludf.DUMMYFUNCTION("""COMPUTED_VALUE"""),"Lanches")</f>
        <v>Lanches</v>
      </c>
      <c r="BA585" s="4" t="str">
        <f>IFERROR(__xludf.DUMMYFUNCTION("""COMPUTED_VALUE"""),"")</f>
        <v/>
      </c>
      <c r="BB585" s="4" t="str">
        <f>IFERROR(__xludf.DUMMYFUNCTION("""COMPUTED_VALUE"""),"")</f>
        <v/>
      </c>
      <c r="BC585" s="4" t="str">
        <f>IFERROR(__xludf.DUMMYFUNCTION("""COMPUTED_VALUE"""),"")</f>
        <v/>
      </c>
      <c r="BD585" s="4" t="str">
        <f>IFERROR(__xludf.DUMMYFUNCTION("""COMPUTED_VALUE"""),"")</f>
        <v/>
      </c>
      <c r="BE585" s="4" t="str">
        <f>IFERROR(__xludf.DUMMYFUNCTION("""COMPUTED_VALUE"""),"")</f>
        <v/>
      </c>
      <c r="BF585" s="4" t="str">
        <f>IFERROR(__xludf.DUMMYFUNCTION("""COMPUTED_VALUE"""),"")</f>
        <v/>
      </c>
      <c r="BG585" s="4" t="str">
        <f>IFERROR(__xludf.DUMMYFUNCTION("""COMPUTED_VALUE"""),"")</f>
        <v/>
      </c>
      <c r="BH585" s="4" t="s">
        <v>63</v>
      </c>
      <c r="BI585" s="7" t="s">
        <v>63</v>
      </c>
    </row>
    <row r="586" hidden="1">
      <c r="A586" s="4" t="str">
        <f>IFERROR(__xludf.DUMMYFUNCTION("""COMPUTED_VALUE"""),"Fish Market")</f>
        <v>Fish Market</v>
      </c>
      <c r="B586" s="4" t="str">
        <f>IFERROR(__xludf.DUMMYFUNCTION("""COMPUTED_VALUE"""),"Diego Santos")</f>
        <v>Diego Santos</v>
      </c>
      <c r="C586" s="4" t="str">
        <f>IFERROR(__xludf.DUMMYFUNCTION("""COMPUTED_VALUE"""),"Diego Santos")</f>
        <v>Diego Santos</v>
      </c>
      <c r="D586" s="4" t="str">
        <f>IFERROR(__xludf.DUMMYFUNCTION("""COMPUTED_VALUE"""),"9. Contrato assinado")</f>
        <v>9. Contrato assinado</v>
      </c>
      <c r="E586" s="4" t="str">
        <f>IFERROR(__xludf.DUMMYFUNCTION("""COMPUTED_VALUE""")," Projetos - Contrato assinado &amp; Rollout")</f>
        <v> Projetos - Contrato assinado &amp; Rollout</v>
      </c>
      <c r="F586" s="4" t="str">
        <f>IFERROR(__xludf.DUMMYFUNCTION("""COMPUTED_VALUE"""),"P")</f>
        <v>P</v>
      </c>
      <c r="G586" s="5">
        <f>IFERROR(__xludf.DUMMYFUNCTION("""COMPUTED_VALUE"""),46076.0)</f>
        <v>46076</v>
      </c>
      <c r="H586" s="4" t="str">
        <f>IFERROR(__xludf.DUMMYFUNCTION("""COMPUTED_VALUE"""),"Contrato assinado")</f>
        <v>Contrato assinado</v>
      </c>
      <c r="I586" s="4"/>
      <c r="J586" s="4"/>
      <c r="K586" s="6">
        <f>IFERROR(__xludf.DUMMYFUNCTION("""COMPUTED_VALUE"""),45931.0)</f>
        <v>45931</v>
      </c>
      <c r="L586" s="4"/>
      <c r="M586" s="4"/>
      <c r="N586" s="6">
        <f>IFERROR(__xludf.DUMMYFUNCTION("""COMPUTED_VALUE"""),45940.0)</f>
        <v>45940</v>
      </c>
      <c r="O586" s="4"/>
      <c r="P586" s="4"/>
      <c r="Q586" s="6">
        <f>IFERROR(__xludf.DUMMYFUNCTION("""COMPUTED_VALUE"""),45940.0)</f>
        <v>45940</v>
      </c>
      <c r="R586" s="4"/>
      <c r="S586" s="4"/>
      <c r="T586" s="4"/>
      <c r="U586" s="4"/>
      <c r="V586" s="4"/>
      <c r="W586" s="4"/>
      <c r="X586" s="4"/>
      <c r="Y586" s="4"/>
      <c r="Z586" s="4"/>
      <c r="AA586" s="4">
        <f>IFERROR(__xludf.DUMMYFUNCTION("""COMPUTED_VALUE"""),1.0)</f>
        <v>1</v>
      </c>
      <c r="AB586" s="4"/>
      <c r="AC586" s="4"/>
      <c r="AD586" s="4"/>
      <c r="AE586" s="4"/>
      <c r="AF586" s="4"/>
      <c r="AG586" s="4"/>
      <c r="AH586" s="4"/>
      <c r="AI586" s="4"/>
      <c r="AJ586" s="4"/>
      <c r="AK586" s="4"/>
      <c r="AL586" s="4"/>
      <c r="AM586" s="4" t="str">
        <f>IFERROR(__xludf.DUMMYFUNCTION("""COMPUTED_VALUE"""),"FY26")</f>
        <v>FY26</v>
      </c>
      <c r="AN586" s="4"/>
      <c r="AO586" s="4">
        <f>IFERROR(__xludf.DUMMYFUNCTION("""COMPUTED_VALUE"""),140.0)</f>
        <v>140</v>
      </c>
      <c r="AP586" s="4"/>
      <c r="AQ586" s="4"/>
      <c r="AR586" s="4"/>
      <c r="AS586" s="4">
        <f>IFERROR(__xludf.DUMMYFUNCTION("""COMPUTED_VALUE"""),0.0)</f>
        <v>0</v>
      </c>
      <c r="AT586" s="4">
        <f>IFERROR(__xludf.DUMMYFUNCTION("""COMPUTED_VALUE"""),0.0)</f>
        <v>0</v>
      </c>
      <c r="AU586" s="4" t="str">
        <f>IFERROR(__xludf.DUMMYFUNCTION("""COMPUTED_VALUE"""),"Diego")</f>
        <v>Diego</v>
      </c>
      <c r="AV586" s="4">
        <f>IFERROR(__xludf.DUMMYFUNCTION("""COMPUTED_VALUE"""),0.0)</f>
        <v>0</v>
      </c>
      <c r="AW586" s="4">
        <f>IFERROR(__xludf.DUMMYFUNCTION("""COMPUTED_VALUE"""),0.0)</f>
        <v>0</v>
      </c>
      <c r="AX586" s="4">
        <f>IFERROR(__xludf.DUMMYFUNCTION("""COMPUTED_VALUE"""),0.0)</f>
        <v>0</v>
      </c>
      <c r="AY586" s="4"/>
      <c r="AZ586" s="4" t="str">
        <f>IFERROR(__xludf.DUMMYFUNCTION("""COMPUTED_VALUE"""),"#N/A")</f>
        <v>#N/A</v>
      </c>
      <c r="BA586" s="4" t="str">
        <f>IFERROR(__xludf.DUMMYFUNCTION("""COMPUTED_VALUE"""),"")</f>
        <v/>
      </c>
      <c r="BB586" s="4" t="str">
        <f>IFERROR(__xludf.DUMMYFUNCTION("""COMPUTED_VALUE"""),"")</f>
        <v/>
      </c>
      <c r="BC586" s="4" t="str">
        <f>IFERROR(__xludf.DUMMYFUNCTION("""COMPUTED_VALUE"""),"")</f>
        <v/>
      </c>
      <c r="BD586" s="4" t="str">
        <f>IFERROR(__xludf.DUMMYFUNCTION("""COMPUTED_VALUE"""),"")</f>
        <v/>
      </c>
      <c r="BE586" s="4" t="str">
        <f>IFERROR(__xludf.DUMMYFUNCTION("""COMPUTED_VALUE"""),"")</f>
        <v/>
      </c>
      <c r="BF586" s="4" t="str">
        <f>IFERROR(__xludf.DUMMYFUNCTION("""COMPUTED_VALUE"""),"")</f>
        <v/>
      </c>
      <c r="BG586" s="4" t="str">
        <f>IFERROR(__xludf.DUMMYFUNCTION("""COMPUTED_VALUE"""),"")</f>
        <v/>
      </c>
      <c r="BH586" s="4" t="s">
        <v>63</v>
      </c>
      <c r="BI586" s="7" t="s">
        <v>63</v>
      </c>
    </row>
    <row r="587" hidden="1">
      <c r="A587" s="4" t="str">
        <f>IFERROR(__xludf.DUMMYFUNCTION("""COMPUTED_VALUE"""),"Fito - Conta Marca")</f>
        <v>Fito - Conta Marca</v>
      </c>
      <c r="B587" s="4" t="str">
        <f>IFERROR(__xludf.DUMMYFUNCTION("""COMPUTED_VALUE"""),"Iza")</f>
        <v>Iza</v>
      </c>
      <c r="C587" s="4" t="str">
        <f>IFERROR(__xludf.DUMMYFUNCTION("""COMPUTED_VALUE"""),"Iza")</f>
        <v>Iza</v>
      </c>
      <c r="D587" s="4" t="str">
        <f>IFERROR(__xludf.DUMMYFUNCTION("""COMPUTED_VALUE"""),"10. Perdido")</f>
        <v>10. Perdido</v>
      </c>
      <c r="E587" s="4" t="str">
        <f>IFERROR(__xludf.DUMMYFUNCTION("""COMPUTED_VALUE"""),"Perdido - Falta de aderência técnica")</f>
        <v>Perdido - Falta de aderência técnica</v>
      </c>
      <c r="F587" s="4" t="str">
        <f>IFERROR(__xludf.DUMMYFUNCTION("""COMPUTED_VALUE"""),"P")</f>
        <v>P</v>
      </c>
      <c r="G587" s="5">
        <f>IFERROR(__xludf.DUMMYFUNCTION("""COMPUTED_VALUE"""),46076.0)</f>
        <v>46076</v>
      </c>
      <c r="H587" s="4" t="str">
        <f>IFERROR(__xludf.DUMMYFUNCTION("""COMPUTED_VALUE"""),"Está trocando pelo sistema da Eclética e Gula, informou que eles iriam os atender de uma foma mais completa.")</f>
        <v>Está trocando pelo sistema da Eclética e Gula, informou que eles iriam os atender de uma foma mais completa.</v>
      </c>
      <c r="I587" s="4"/>
      <c r="J587" s="4"/>
      <c r="K587" s="6">
        <f>IFERROR(__xludf.DUMMYFUNCTION("""COMPUTED_VALUE"""),45950.0)</f>
        <v>45950</v>
      </c>
      <c r="L587" s="4"/>
      <c r="M587" s="4"/>
      <c r="N587" s="4"/>
      <c r="O587" s="4"/>
      <c r="P587" s="4"/>
      <c r="Q587" s="4"/>
      <c r="R587" s="4"/>
      <c r="S587" s="4"/>
      <c r="T587" s="4"/>
      <c r="U587" s="4"/>
      <c r="V587" s="4" t="str">
        <f>IFERROR(__xludf.DUMMYFUNCTION("""COMPUTED_VALUE"""),"Sem interesse em mudar de PDV")</f>
        <v>Sem interesse em mudar de PDV</v>
      </c>
      <c r="W587" s="4"/>
      <c r="X587" s="4"/>
      <c r="Y587" s="4"/>
      <c r="Z587" s="4"/>
      <c r="AA587" s="4">
        <f>IFERROR(__xludf.DUMMYFUNCTION("""COMPUTED_VALUE"""),4.0)</f>
        <v>4</v>
      </c>
      <c r="AB587" s="4" t="str">
        <f>IFERROR(__xludf.DUMMYFUNCTION("""COMPUTED_VALUE"""),"NÃO")</f>
        <v>NÃO</v>
      </c>
      <c r="AC587" s="4" t="str">
        <f>IFERROR(__xludf.DUMMYFUNCTION("""COMPUTED_VALUE"""),"Não BP")</f>
        <v>Não BP</v>
      </c>
      <c r="AD587" s="4"/>
      <c r="AE587" s="4"/>
      <c r="AF587" s="4"/>
      <c r="AG587" s="4"/>
      <c r="AH587" s="4"/>
      <c r="AI587" s="4"/>
      <c r="AJ587" s="4"/>
      <c r="AK587" s="4"/>
      <c r="AL587" s="4"/>
      <c r="AM587" s="4" t="str">
        <f>IFERROR(__xludf.DUMMYFUNCTION("""COMPUTED_VALUE"""),"FY26")</f>
        <v>FY26</v>
      </c>
      <c r="AN587" s="4" t="str">
        <f>IFERROR(__xludf.DUMMYFUNCTION("""COMPUTED_VALUE"""),"Comer Fora")</f>
        <v>Comer Fora</v>
      </c>
      <c r="AO587" s="4">
        <f>IFERROR(__xludf.DUMMYFUNCTION("""COMPUTED_VALUE"""),140.0)</f>
        <v>140</v>
      </c>
      <c r="AP587" s="4"/>
      <c r="AQ587" s="4"/>
      <c r="AR587" s="4"/>
      <c r="AS587" s="4" t="str">
        <f>IFERROR(__xludf.DUMMYFUNCTION("""COMPUTED_VALUE"""),"NATHALIE MERTENS")</f>
        <v>NATHALIE MERTENS</v>
      </c>
      <c r="AT587" s="4" t="str">
        <f>IFERROR(__xludf.DUMMYFUNCTION("""COMPUTED_VALUE"""),"MARIANA KATZ")</f>
        <v>MARIANA KATZ</v>
      </c>
      <c r="AU587" s="4" t="str">
        <f>IFERROR(__xludf.DUMMYFUNCTION("""COMPUTED_VALUE"""),"Iza")</f>
        <v>Iza</v>
      </c>
      <c r="AV587" s="4" t="str">
        <f>IFERROR(__xludf.DUMMYFUNCTION("""COMPUTED_VALUE"""),"Comer Fora-")</f>
        <v>Comer Fora-</v>
      </c>
      <c r="AW587" s="20" t="str">
        <f>IFERROR(__xludf.DUMMYFUNCTION("""COMPUTED_VALUE"""),"P e M - pipe")</f>
        <v>P e M - pipe</v>
      </c>
      <c r="AX587" s="4"/>
      <c r="AY587" s="4"/>
      <c r="AZ587" s="4" t="str">
        <f>IFERROR(__xludf.DUMMYFUNCTION("""COMPUTED_VALUE"""),"Brasileira")</f>
        <v>Brasileira</v>
      </c>
      <c r="BA587" s="4" t="str">
        <f>IFERROR(__xludf.DUMMYFUNCTION("""COMPUTED_VALUE"""),"")</f>
        <v/>
      </c>
      <c r="BB587" s="4" t="str">
        <f>IFERROR(__xludf.DUMMYFUNCTION("""COMPUTED_VALUE"""),"")</f>
        <v/>
      </c>
      <c r="BC587" s="4" t="str">
        <f>IFERROR(__xludf.DUMMYFUNCTION("""COMPUTED_VALUE"""),"")</f>
        <v/>
      </c>
      <c r="BD587" s="4" t="str">
        <f>IFERROR(__xludf.DUMMYFUNCTION("""COMPUTED_VALUE"""),"")</f>
        <v/>
      </c>
      <c r="BE587" s="4" t="str">
        <f>IFERROR(__xludf.DUMMYFUNCTION("""COMPUTED_VALUE"""),"")</f>
        <v/>
      </c>
      <c r="BF587" s="4" t="str">
        <f>IFERROR(__xludf.DUMMYFUNCTION("""COMPUTED_VALUE"""),"")</f>
        <v/>
      </c>
      <c r="BG587" s="4" t="str">
        <f>IFERROR(__xludf.DUMMYFUNCTION("""COMPUTED_VALUE"""),"")</f>
        <v/>
      </c>
      <c r="BH587" s="4" t="s">
        <v>63</v>
      </c>
      <c r="BI587" s="7" t="s">
        <v>63</v>
      </c>
    </row>
    <row r="588" hidden="1">
      <c r="A588" s="4" t="str">
        <f>IFERROR(__xludf.DUMMYFUNCTION("""COMPUTED_VALUE"""),"Fogo De Chao")</f>
        <v>Fogo De Chao</v>
      </c>
      <c r="B588" s="4" t="str">
        <f>IFERROR(__xludf.DUMMYFUNCTION("""COMPUTED_VALUE"""),"Lídia Esteves")</f>
        <v>Lídia Esteves</v>
      </c>
      <c r="C588" s="4" t="str">
        <f>IFERROR(__xludf.DUMMYFUNCTION("""COMPUTED_VALUE"""),"Lídia Esteves")</f>
        <v>Lídia Esteves</v>
      </c>
      <c r="D588" s="4" t="str">
        <f>IFERROR(__xludf.DUMMYFUNCTION("""COMPUTED_VALUE"""),"10. Perdido")</f>
        <v>10. Perdido</v>
      </c>
      <c r="E588" s="4" t="str">
        <f>IFERROR(__xludf.DUMMYFUNCTION("""COMPUTED_VALUE"""),"Perdido - Outro (detalhar ao lado)")</f>
        <v>Perdido - Outro (detalhar ao lado)</v>
      </c>
      <c r="F588" s="4" t="str">
        <f>IFERROR(__xludf.DUMMYFUNCTION("""COMPUTED_VALUE"""),"P")</f>
        <v>P</v>
      </c>
      <c r="G588" s="5">
        <f>IFERROR(__xludf.DUMMYFUNCTION("""COMPUTED_VALUE"""),46076.0)</f>
        <v>46076</v>
      </c>
      <c r="H588" s="4" t="str">
        <f>IFERROR(__xludf.DUMMYFUNCTION("""COMPUTED_VALUE"""),"Solução propria")</f>
        <v>Solução propria</v>
      </c>
      <c r="I588" s="4"/>
      <c r="J588" s="4"/>
      <c r="K588" s="6">
        <f>IFERROR(__xludf.DUMMYFUNCTION("""COMPUTED_VALUE"""),45918.0)</f>
        <v>45918</v>
      </c>
      <c r="L588" s="4"/>
      <c r="M588" s="4"/>
      <c r="N588" s="4"/>
      <c r="O588" s="4"/>
      <c r="P588" s="4"/>
      <c r="Q588" s="4"/>
      <c r="R588" s="4"/>
      <c r="S588" s="4"/>
      <c r="T588" s="4"/>
      <c r="U588" s="4"/>
      <c r="V588" s="4" t="str">
        <f>IFERROR(__xludf.DUMMYFUNCTION("""COMPUTED_VALUE"""),"Sistema próprio")</f>
        <v>Sistema próprio</v>
      </c>
      <c r="W588" s="4"/>
      <c r="X588" s="4"/>
      <c r="Y588" s="4"/>
      <c r="Z588" s="4"/>
      <c r="AA588" s="4">
        <f>IFERROR(__xludf.DUMMYFUNCTION("""COMPUTED_VALUE"""),5.0)</f>
        <v>5</v>
      </c>
      <c r="AB588" s="4" t="str">
        <f>IFERROR(__xludf.DUMMYFUNCTION("""COMPUTED_VALUE"""),"NÃO")</f>
        <v>NÃO</v>
      </c>
      <c r="AC588" s="4" t="str">
        <f>IFERROR(__xludf.DUMMYFUNCTION("""COMPUTED_VALUE"""),"BP")</f>
        <v>BP</v>
      </c>
      <c r="AD588" s="4"/>
      <c r="AE588" s="4"/>
      <c r="AF588" s="4"/>
      <c r="AG588" s="4"/>
      <c r="AH588" s="4"/>
      <c r="AI588" s="4"/>
      <c r="AJ588" s="4"/>
      <c r="AK588" s="4"/>
      <c r="AL588" s="4"/>
      <c r="AM588" s="4" t="str">
        <f>IFERROR(__xludf.DUMMYFUNCTION("""COMPUTED_VALUE"""),"FY26")</f>
        <v>FY26</v>
      </c>
      <c r="AN588" s="4" t="str">
        <f>IFERROR(__xludf.DUMMYFUNCTION("""COMPUTED_VALUE"""),"Comer Fora")</f>
        <v>Comer Fora</v>
      </c>
      <c r="AO588" s="4">
        <f>IFERROR(__xludf.DUMMYFUNCTION("""COMPUTED_VALUE"""),140.0)</f>
        <v>140</v>
      </c>
      <c r="AP588" s="4"/>
      <c r="AQ588" s="4"/>
      <c r="AR588" s="4"/>
      <c r="AS588" s="4" t="str">
        <f>IFERROR(__xludf.DUMMYFUNCTION("""COMPUTED_VALUE"""),"NATHALIE MERTENS")</f>
        <v>NATHALIE MERTENS</v>
      </c>
      <c r="AT588" s="4" t="str">
        <f>IFERROR(__xludf.DUMMYFUNCTION("""COMPUTED_VALUE"""),"MARIANA KATZ")</f>
        <v>MARIANA KATZ</v>
      </c>
      <c r="AU588" s="4" t="str">
        <f>IFERROR(__xludf.DUMMYFUNCTION("""COMPUTED_VALUE"""),"Lídia")</f>
        <v>Lídia</v>
      </c>
      <c r="AV588" s="4" t="str">
        <f>IFERROR(__xludf.DUMMYFUNCTION("""COMPUTED_VALUE"""),"Comer Fora-")</f>
        <v>Comer Fora-</v>
      </c>
      <c r="AW588" s="20" t="str">
        <f>IFERROR(__xludf.DUMMYFUNCTION("""COMPUTED_VALUE"""),"P e M - pipe")</f>
        <v>P e M - pipe</v>
      </c>
      <c r="AX588" s="4"/>
      <c r="AY588" s="4"/>
      <c r="AZ588" s="4" t="str">
        <f>IFERROR(__xludf.DUMMYFUNCTION("""COMPUTED_VALUE"""),"Carnes")</f>
        <v>Carnes</v>
      </c>
      <c r="BA588" s="4" t="str">
        <f>IFERROR(__xludf.DUMMYFUNCTION("""COMPUTED_VALUE"""),"")</f>
        <v/>
      </c>
      <c r="BB588" s="4" t="str">
        <f>IFERROR(__xludf.DUMMYFUNCTION("""COMPUTED_VALUE"""),"")</f>
        <v/>
      </c>
      <c r="BC588" s="4" t="str">
        <f>IFERROR(__xludf.DUMMYFUNCTION("""COMPUTED_VALUE"""),"")</f>
        <v/>
      </c>
      <c r="BD588" s="4" t="str">
        <f>IFERROR(__xludf.DUMMYFUNCTION("""COMPUTED_VALUE"""),"")</f>
        <v/>
      </c>
      <c r="BE588" s="4" t="str">
        <f>IFERROR(__xludf.DUMMYFUNCTION("""COMPUTED_VALUE"""),"")</f>
        <v/>
      </c>
      <c r="BF588" s="4" t="str">
        <f>IFERROR(__xludf.DUMMYFUNCTION("""COMPUTED_VALUE"""),"")</f>
        <v/>
      </c>
      <c r="BG588" s="4" t="str">
        <f>IFERROR(__xludf.DUMMYFUNCTION("""COMPUTED_VALUE"""),"")</f>
        <v/>
      </c>
      <c r="BH588" s="4" t="s">
        <v>63</v>
      </c>
      <c r="BI588" s="7" t="s">
        <v>63</v>
      </c>
    </row>
    <row r="589" hidden="1">
      <c r="A589" s="4" t="str">
        <f>IFERROR(__xludf.DUMMYFUNCTION("""COMPUTED_VALUE"""),"Formaggio")</f>
        <v>Formaggio</v>
      </c>
      <c r="B589" s="4" t="str">
        <f>IFERROR(__xludf.DUMMYFUNCTION("""COMPUTED_VALUE"""),"Michel")</f>
        <v>Michel</v>
      </c>
      <c r="C589" s="4" t="str">
        <f>IFERROR(__xludf.DUMMYFUNCTION("""COMPUTED_VALUE"""),"Michel")</f>
        <v>Michel</v>
      </c>
      <c r="D589" s="4" t="str">
        <f>IFERROR(__xludf.DUMMYFUNCTION("""COMPUTED_VALUE"""),"12. Orgânico")</f>
        <v>12. Orgânico</v>
      </c>
      <c r="E589" s="4"/>
      <c r="F589" s="4" t="str">
        <f>IFERROR(__xludf.DUMMYFUNCTION("""COMPUTED_VALUE"""),"Sem Classificação")</f>
        <v>Sem Classificação</v>
      </c>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t="str">
        <f>IFERROR(__xludf.DUMMYFUNCTION("""COMPUTED_VALUE"""),"Orgânico 3S")</f>
        <v>Orgânico 3S</v>
      </c>
      <c r="AN589" s="4"/>
      <c r="AO589" s="4">
        <f>IFERROR(__xludf.DUMMYFUNCTION("""COMPUTED_VALUE"""),45553.0)</f>
        <v>45553</v>
      </c>
      <c r="AP589" s="4"/>
      <c r="AQ589" s="4"/>
      <c r="AR589" s="4"/>
      <c r="AS589" s="4">
        <f>IFERROR(__xludf.DUMMYFUNCTION("""COMPUTED_VALUE"""),0.0)</f>
        <v>0</v>
      </c>
      <c r="AT589" s="4">
        <f>IFERROR(__xludf.DUMMYFUNCTION("""COMPUTED_VALUE"""),0.0)</f>
        <v>0</v>
      </c>
      <c r="AU589" s="4" t="str">
        <f>IFERROR(__xludf.DUMMYFUNCTION("""COMPUTED_VALUE"""),"Michel")</f>
        <v>Michel</v>
      </c>
      <c r="AV589" s="4">
        <f>IFERROR(__xludf.DUMMYFUNCTION("""COMPUTED_VALUE"""),0.0)</f>
        <v>0</v>
      </c>
      <c r="AW589" s="4">
        <f>IFERROR(__xludf.DUMMYFUNCTION("""COMPUTED_VALUE"""),0.0)</f>
        <v>0</v>
      </c>
      <c r="AX589" s="4">
        <f>IFERROR(__xludf.DUMMYFUNCTION("""COMPUTED_VALUE"""),0.0)</f>
        <v>0</v>
      </c>
      <c r="AY589" s="4"/>
      <c r="AZ589" s="4">
        <f>IFERROR(__xludf.DUMMYFUNCTION("""COMPUTED_VALUE"""),0.0)</f>
        <v>0</v>
      </c>
      <c r="BA589" s="4" t="str">
        <f>IFERROR(__xludf.DUMMYFUNCTION("""COMPUTED_VALUE"""),"")</f>
        <v/>
      </c>
      <c r="BB589" s="4" t="str">
        <f>IFERROR(__xludf.DUMMYFUNCTION("""COMPUTED_VALUE"""),"")</f>
        <v/>
      </c>
      <c r="BC589" s="4" t="str">
        <f>IFERROR(__xludf.DUMMYFUNCTION("""COMPUTED_VALUE"""),"")</f>
        <v/>
      </c>
      <c r="BD589" s="4" t="str">
        <f>IFERROR(__xludf.DUMMYFUNCTION("""COMPUTED_VALUE"""),"")</f>
        <v/>
      </c>
      <c r="BE589" s="4" t="str">
        <f>IFERROR(__xludf.DUMMYFUNCTION("""COMPUTED_VALUE"""),"")</f>
        <v/>
      </c>
      <c r="BF589" s="4" t="str">
        <f>IFERROR(__xludf.DUMMYFUNCTION("""COMPUTED_VALUE"""),"")</f>
        <v/>
      </c>
      <c r="BG589" s="4" t="str">
        <f>IFERROR(__xludf.DUMMYFUNCTION("""COMPUTED_VALUE"""),"")</f>
        <v/>
      </c>
      <c r="BH589" s="4" t="s">
        <v>63</v>
      </c>
      <c r="BI589" s="7" t="s">
        <v>63</v>
      </c>
    </row>
    <row r="590" hidden="1">
      <c r="A590" s="4" t="str">
        <f>IFERROR(__xludf.DUMMYFUNCTION("""COMPUTED_VALUE"""),"Frango Americano - Conta Marca")</f>
        <v>Frango Americano - Conta Marca</v>
      </c>
      <c r="B590" s="4" t="str">
        <f>IFERROR(__xludf.DUMMYFUNCTION("""COMPUTED_VALUE"""),"Lídia Esteves")</f>
        <v>Lídia Esteves</v>
      </c>
      <c r="C590" s="4" t="str">
        <f>IFERROR(__xludf.DUMMYFUNCTION("""COMPUTED_VALUE"""),"Emerson")</f>
        <v>Emerson</v>
      </c>
      <c r="D590" s="4" t="str">
        <f>IFERROR(__xludf.DUMMYFUNCTION("""COMPUTED_VALUE"""),"10. Perdido")</f>
        <v>10. Perdido</v>
      </c>
      <c r="E590" s="4"/>
      <c r="F590" s="4" t="str">
        <f>IFERROR(__xludf.DUMMYFUNCTION("""COMPUTED_VALUE"""),"P")</f>
        <v>P</v>
      </c>
      <c r="G590" s="4"/>
      <c r="H590" s="22" t="str">
        <f>IFERROR(__xludf.DUMMYFUNCTION("""COMPUTED_VALUE"""),"parceiro com perfil Saipos , em negociação com Joao")</f>
        <v>parceiro com perfil Saipos , em negociação com Joao</v>
      </c>
      <c r="I590" s="4"/>
      <c r="J590" s="4"/>
      <c r="K590" s="4"/>
      <c r="L590" s="4"/>
      <c r="M590" s="4"/>
      <c r="N590" s="4"/>
      <c r="O590" s="4"/>
      <c r="P590" s="4"/>
      <c r="Q590" s="4"/>
      <c r="R590" s="6">
        <f>IFERROR(__xludf.DUMMYFUNCTION("""COMPUTED_VALUE"""),46090.58554158565)</f>
        <v>46090.58554</v>
      </c>
      <c r="S590" s="4"/>
      <c r="T590" s="4"/>
      <c r="U590" s="4"/>
      <c r="V590" s="4" t="str">
        <f>IFERROR(__xludf.DUMMYFUNCTION("""COMPUTED_VALUE"""),"Desenvolvimento Solução")</f>
        <v>Desenvolvimento Solução</v>
      </c>
      <c r="W590" s="4"/>
      <c r="X590" s="4"/>
      <c r="Y590" s="4"/>
      <c r="Z590" s="4"/>
      <c r="AA590" s="4">
        <f>IFERROR(__xludf.DUMMYFUNCTION("""COMPUTED_VALUE"""),21.0)</f>
        <v>21</v>
      </c>
      <c r="AB590" s="4" t="str">
        <f>IFERROR(__xludf.DUMMYFUNCTION("""COMPUTED_VALUE"""),"-")</f>
        <v>-</v>
      </c>
      <c r="AC590" s="4" t="str">
        <f>IFERROR(__xludf.DUMMYFUNCTION("""COMPUTED_VALUE"""),"-")</f>
        <v>-</v>
      </c>
      <c r="AD590" s="4"/>
      <c r="AE590" s="4"/>
      <c r="AF590" s="4"/>
      <c r="AG590" s="4"/>
      <c r="AH590" s="4"/>
      <c r="AI590" s="4"/>
      <c r="AJ590" s="4"/>
      <c r="AK590" s="4"/>
      <c r="AL590" s="4"/>
      <c r="AM590" s="4" t="str">
        <f>IFERROR(__xludf.DUMMYFUNCTION("""COMPUTED_VALUE"""),"FY26")</f>
        <v>FY26</v>
      </c>
      <c r="AN590" s="4"/>
      <c r="AO590" s="4">
        <f>IFERROR(__xludf.DUMMYFUNCTION("""COMPUTED_VALUE"""),45553.0)</f>
        <v>45553</v>
      </c>
      <c r="AP590" s="4"/>
      <c r="AQ590" s="4"/>
      <c r="AR590" s="4"/>
      <c r="AS590" s="4" t="str">
        <f>IFERROR(__xludf.DUMMYFUNCTION("""COMPUTED_VALUE"""),"FABIO DONATO")</f>
        <v>FABIO DONATO</v>
      </c>
      <c r="AT590" s="4" t="str">
        <f>IFERROR(__xludf.DUMMYFUNCTION("""COMPUTED_VALUE"""),"MURILO NAGASHIMA")</f>
        <v>MURILO NAGASHIMA</v>
      </c>
      <c r="AU590" s="4" t="str">
        <f>IFERROR(__xludf.DUMMYFUNCTION("""COMPUTED_VALUE"""),"Lídia / Emerson")</f>
        <v>Lídia / Emerson</v>
      </c>
      <c r="AV590" s="4">
        <f>IFERROR(__xludf.DUMMYFUNCTION("""COMPUTED_VALUE"""),0.0)</f>
        <v>0</v>
      </c>
      <c r="AW590" s="4">
        <f>IFERROR(__xludf.DUMMYFUNCTION("""COMPUTED_VALUE"""),0.0)</f>
        <v>0</v>
      </c>
      <c r="AX590" s="4">
        <f>IFERROR(__xludf.DUMMYFUNCTION("""COMPUTED_VALUE"""),0.0)</f>
        <v>0</v>
      </c>
      <c r="AY590" s="4"/>
      <c r="AZ590" s="4" t="str">
        <f>IFERROR(__xludf.DUMMYFUNCTION("""COMPUTED_VALUE"""),"Cozinha Rápida")</f>
        <v>Cozinha Rápida</v>
      </c>
      <c r="BA590" s="4" t="str">
        <f>IFERROR(__xludf.DUMMYFUNCTION("""COMPUTED_VALUE"""),"")</f>
        <v/>
      </c>
      <c r="BB590" s="4" t="str">
        <f>IFERROR(__xludf.DUMMYFUNCTION("""COMPUTED_VALUE"""),"")</f>
        <v/>
      </c>
      <c r="BC590" s="4" t="str">
        <f>IFERROR(__xludf.DUMMYFUNCTION("""COMPUTED_VALUE"""),"")</f>
        <v/>
      </c>
      <c r="BD590" s="4" t="str">
        <f>IFERROR(__xludf.DUMMYFUNCTION("""COMPUTED_VALUE"""),"")</f>
        <v/>
      </c>
      <c r="BE590" s="4" t="str">
        <f>IFERROR(__xludf.DUMMYFUNCTION("""COMPUTED_VALUE"""),"")</f>
        <v/>
      </c>
      <c r="BF590" s="4" t="str">
        <f>IFERROR(__xludf.DUMMYFUNCTION("""COMPUTED_VALUE"""),"")</f>
        <v/>
      </c>
      <c r="BG590" s="4" t="str">
        <f>IFERROR(__xludf.DUMMYFUNCTION("""COMPUTED_VALUE"""),"")</f>
        <v/>
      </c>
      <c r="BH590" s="4" t="s">
        <v>146</v>
      </c>
      <c r="BI590" s="7">
        <v>0.6</v>
      </c>
    </row>
    <row r="591">
      <c r="A591" s="4" t="str">
        <f>IFERROR(__xludf.DUMMYFUNCTION("""COMPUTED_VALUE"""),"Frango No Pote")</f>
        <v>Frango No Pote</v>
      </c>
      <c r="B591" s="4" t="str">
        <f>IFERROR(__xludf.DUMMYFUNCTION("""COMPUTED_VALUE"""),"Leonardo Roso")</f>
        <v>Leonardo Roso</v>
      </c>
      <c r="C591" s="4" t="str">
        <f>IFERROR(__xludf.DUMMYFUNCTION("""COMPUTED_VALUE"""),"Leonardo Roso")</f>
        <v>Leonardo Roso</v>
      </c>
      <c r="D591" s="4" t="str">
        <f>IFERROR(__xludf.DUMMYFUNCTION("""COMPUTED_VALUE"""),"4. Diagnóstico")</f>
        <v>4. Diagnóstico</v>
      </c>
      <c r="E591" s="4" t="str">
        <f>IFERROR(__xludf.DUMMYFUNCTION("""COMPUTED_VALUE"""),"Comercial - Primeira reunião / Visita presencial agendada")</f>
        <v>Comercial - Primeira reunião / Visita presencial agendada</v>
      </c>
      <c r="F591" s="4" t="str">
        <f>IFERROR(__xludf.DUMMYFUNCTION("""COMPUTED_VALUE"""),"G")</f>
        <v>G</v>
      </c>
      <c r="G591" s="5">
        <f>IFERROR(__xludf.DUMMYFUNCTION("""COMPUTED_VALUE"""),46155.0)</f>
        <v>46155</v>
      </c>
      <c r="H591" s="4" t="str">
        <f>IFERROR(__xludf.DUMMYFUNCTION("""COMPUTED_VALUE"""),"Conciliando agenda com parceiro")</f>
        <v>Conciliando agenda com parceiro</v>
      </c>
      <c r="I591" s="4"/>
      <c r="J591" s="4"/>
      <c r="K591" s="6">
        <f>IFERROR(__xludf.DUMMYFUNCTION("""COMPUTED_VALUE"""),45926.0)</f>
        <v>45926</v>
      </c>
      <c r="L591" s="6">
        <f>IFERROR(__xludf.DUMMYFUNCTION("""COMPUTED_VALUE"""),46121.63373158565)</f>
        <v>46121.63373</v>
      </c>
      <c r="M591" s="4"/>
      <c r="N591" s="4"/>
      <c r="O591" s="4"/>
      <c r="P591" s="4"/>
      <c r="Q591" s="4"/>
      <c r="R591" s="4"/>
      <c r="S591" s="4"/>
      <c r="T591" s="4"/>
      <c r="U591" s="4"/>
      <c r="V591" s="4"/>
      <c r="W591" s="4"/>
      <c r="X591" s="4"/>
      <c r="Y591" s="4"/>
      <c r="Z591" s="4"/>
      <c r="AA591" s="4">
        <f>IFERROR(__xludf.DUMMYFUNCTION("""COMPUTED_VALUE"""),62.0)</f>
        <v>62</v>
      </c>
      <c r="AB591" s="4" t="str">
        <f>IFERROR(__xludf.DUMMYFUNCTION("""COMPUTED_VALUE"""),"NÃO")</f>
        <v>NÃO</v>
      </c>
      <c r="AC591" s="4" t="str">
        <f>IFERROR(__xludf.DUMMYFUNCTION("""COMPUTED_VALUE"""),"Não BP")</f>
        <v>Não BP</v>
      </c>
      <c r="AD591" s="4" t="str">
        <f>IFERROR(__xludf.DUMMYFUNCTION("""COMPUTED_VALUE"""),"GCOM")</f>
        <v>GCOM</v>
      </c>
      <c r="AE591" s="4"/>
      <c r="AF591" s="4"/>
      <c r="AG591" s="4"/>
      <c r="AH591" s="4"/>
      <c r="AI591" s="4"/>
      <c r="AJ591" s="4"/>
      <c r="AK591" s="4"/>
      <c r="AL591" s="4"/>
      <c r="AM591" s="4" t="str">
        <f>IFERROR(__xludf.DUMMYFUNCTION("""COMPUTED_VALUE"""),"FY26, FY27")</f>
        <v>FY26, FY27</v>
      </c>
      <c r="AN591" s="4"/>
      <c r="AO591" s="4">
        <f>IFERROR(__xludf.DUMMYFUNCTION("""COMPUTED_VALUE"""),60.0)</f>
        <v>60</v>
      </c>
      <c r="AP591" s="4"/>
      <c r="AQ591" s="4"/>
      <c r="AR591" s="4"/>
      <c r="AS591" s="4" t="str">
        <f>IFERROR(__xludf.DUMMYFUNCTION("""COMPUTED_VALUE"""),"ISIS MOSTAFA")</f>
        <v>ISIS MOSTAFA</v>
      </c>
      <c r="AT591" s="4" t="str">
        <f>IFERROR(__xludf.DUMMYFUNCTION("""COMPUTED_VALUE"""),"ANA OBANDO")</f>
        <v>ANA OBANDO</v>
      </c>
      <c r="AU591" s="4" t="str">
        <f>IFERROR(__xludf.DUMMYFUNCTION("""COMPUTED_VALUE"""),"Leonardo Roso")</f>
        <v>Leonardo Roso</v>
      </c>
      <c r="AV591" s="4">
        <f>IFERROR(__xludf.DUMMYFUNCTION("""COMPUTED_VALUE"""),0.0)</f>
        <v>0</v>
      </c>
      <c r="AW591" s="4">
        <f>IFERROR(__xludf.DUMMYFUNCTION("""COMPUTED_VALUE"""),0.0)</f>
        <v>0</v>
      </c>
      <c r="AX591" s="4">
        <f>IFERROR(__xludf.DUMMYFUNCTION("""COMPUTED_VALUE"""),0.0)</f>
        <v>0</v>
      </c>
      <c r="AY591" s="4"/>
      <c r="AZ591" s="4" t="str">
        <f>IFERROR(__xludf.DUMMYFUNCTION("""COMPUTED_VALUE"""),"Lanches")</f>
        <v>Lanches</v>
      </c>
      <c r="BA591" s="4" t="str">
        <f>IFERROR(__xludf.DUMMYFUNCTION("""COMPUTED_VALUE"""),"R$ 25-45")</f>
        <v>R$ 25-45</v>
      </c>
      <c r="BB591" s="4" t="str">
        <f>IFERROR(__xludf.DUMMYFUNCTION("""COMPUTED_VALUE"""),"QSR - Frango Frito (Franquia)")</f>
        <v>QSR - Frango Frito (Franquia)</v>
      </c>
      <c r="BC591" s="4" t="str">
        <f>IFERROR(__xludf.DUMMYFUNCTION("""COMPUTED_VALUE"""),"Nacional (100+ lojas em 17 estados + DF)")</f>
        <v>Nacional (100+ lojas em 17 estados + DF)</v>
      </c>
      <c r="BD591" s="4" t="str">
        <f>IFERROR(__xludf.DUMMYFUNCTION("""COMPUTED_VALUE"""),"R$ 110 milhões (2023)")</f>
        <v>R$ 110 milhões (2023)</v>
      </c>
      <c r="BE591" s="4">
        <f>IFERROR(__xludf.DUMMYFUNCTION("""COMPUTED_VALUE"""),82.0)</f>
        <v>82</v>
      </c>
      <c r="BF591" s="4">
        <f>IFERROR(__xludf.DUMMYFUNCTION("""COMPUTED_VALUE"""),0.85)</f>
        <v>0.85</v>
      </c>
      <c r="BG591" s="4" t="str">
        <f>IFERROR(__xludf.DUMMYFUNCTION("""COMPUTED_VALUE"""),"PDV não identificado - ALTA ADERÊNCIA: 100+ lojas franquia em 17 estados, R$ 110M (2023), meta 400 lojas até 2030. Retrofit 2026 +30% vendas. 3S: padronização franquias, gestão multi-loja, totens autoatendimento, KDS")</f>
        <v>PDV não identificado - ALTA ADERÊNCIA: 100+ lojas franquia em 17 estados, R$ 110M (2023), meta 400 lojas até 2030. Retrofit 2026 +30% vendas. 3S: padronização franquias, gestão multi-loja, totens autoatendimento, KDS</v>
      </c>
      <c r="BH591" s="4" t="s">
        <v>130</v>
      </c>
      <c r="BI591" s="7">
        <v>0.4934210526315789</v>
      </c>
    </row>
    <row r="592" hidden="1">
      <c r="A592" s="4" t="str">
        <f>IFERROR(__xludf.DUMMYFUNCTION("""COMPUTED_VALUE"""),"Frevo")</f>
        <v>Frevo</v>
      </c>
      <c r="B592" s="4" t="str">
        <f>IFERROR(__xludf.DUMMYFUNCTION("""COMPUTED_VALUE"""),"Lídia Esteves")</f>
        <v>Lídia Esteves</v>
      </c>
      <c r="C592" s="4" t="str">
        <f>IFERROR(__xludf.DUMMYFUNCTION("""COMPUTED_VALUE"""),"Lídia Esteves")</f>
        <v>Lídia Esteves</v>
      </c>
      <c r="D592" s="4" t="str">
        <f>IFERROR(__xludf.DUMMYFUNCTION("""COMPUTED_VALUE"""),"10. Perdido")</f>
        <v>10. Perdido</v>
      </c>
      <c r="E592" s="4" t="str">
        <f>IFERROR(__xludf.DUMMYFUNCTION("""COMPUTED_VALUE"""),"Perdido - Outro (detalhar ao lado)")</f>
        <v>Perdido - Outro (detalhar ao lado)</v>
      </c>
      <c r="F592" s="4" t="str">
        <f>IFERROR(__xludf.DUMMYFUNCTION("""COMPUTED_VALUE"""),"P")</f>
        <v>P</v>
      </c>
      <c r="G592" s="5">
        <f>IFERROR(__xludf.DUMMYFUNCTION("""COMPUTED_VALUE"""),46076.0)</f>
        <v>46076</v>
      </c>
      <c r="H592" s="4" t="str">
        <f>IFERROR(__xludf.DUMMYFUNCTION("""COMPUTED_VALUE"""),"Mudou de solução pdv em 2025")</f>
        <v>Mudou de solução pdv em 2025</v>
      </c>
      <c r="I592" s="4"/>
      <c r="J592" s="4"/>
      <c r="K592" s="6">
        <f>IFERROR(__xludf.DUMMYFUNCTION("""COMPUTED_VALUE"""),45933.0)</f>
        <v>45933</v>
      </c>
      <c r="L592" s="4"/>
      <c r="M592" s="4"/>
      <c r="N592" s="4"/>
      <c r="O592" s="4"/>
      <c r="P592" s="4"/>
      <c r="Q592" s="4"/>
      <c r="R592" s="4"/>
      <c r="S592" s="4"/>
      <c r="T592" s="4"/>
      <c r="U592" s="4"/>
      <c r="V592" s="4" t="str">
        <f>IFERROR(__xludf.DUMMYFUNCTION("""COMPUTED_VALUE"""),"Fechou com concorrente há pouco tempo")</f>
        <v>Fechou com concorrente há pouco tempo</v>
      </c>
      <c r="W592" s="4"/>
      <c r="X592" s="4"/>
      <c r="Y592" s="4"/>
      <c r="Z592" s="4"/>
      <c r="AA592" s="4">
        <f>IFERROR(__xludf.DUMMYFUNCTION("""COMPUTED_VALUE"""),3.0)</f>
        <v>3</v>
      </c>
      <c r="AB592" s="4" t="str">
        <f>IFERROR(__xludf.DUMMYFUNCTION("""COMPUTED_VALUE"""),"NÃO")</f>
        <v>NÃO</v>
      </c>
      <c r="AC592" s="4" t="str">
        <f>IFERROR(__xludf.DUMMYFUNCTION("""COMPUTED_VALUE"""),"BP")</f>
        <v>BP</v>
      </c>
      <c r="AD592" s="4"/>
      <c r="AE592" s="4"/>
      <c r="AF592" s="4"/>
      <c r="AG592" s="4"/>
      <c r="AH592" s="4"/>
      <c r="AI592" s="4"/>
      <c r="AJ592" s="4"/>
      <c r="AK592" s="4"/>
      <c r="AL592" s="4"/>
      <c r="AM592" s="4" t="str">
        <f>IFERROR(__xludf.DUMMYFUNCTION("""COMPUTED_VALUE"""),"FY26")</f>
        <v>FY26</v>
      </c>
      <c r="AN592" s="4" t="str">
        <f>IFERROR(__xludf.DUMMYFUNCTION("""COMPUTED_VALUE"""),"Comer Fora")</f>
        <v>Comer Fora</v>
      </c>
      <c r="AO592" s="4">
        <f>IFERROR(__xludf.DUMMYFUNCTION("""COMPUTED_VALUE"""),140.0)</f>
        <v>140</v>
      </c>
      <c r="AP592" s="4"/>
      <c r="AQ592" s="4"/>
      <c r="AR592" s="4"/>
      <c r="AS592" s="4" t="str">
        <f>IFERROR(__xludf.DUMMYFUNCTION("""COMPUTED_VALUE"""),"NATHALIE MERTENS")</f>
        <v>NATHALIE MERTENS</v>
      </c>
      <c r="AT592" s="4" t="str">
        <f>IFERROR(__xludf.DUMMYFUNCTION("""COMPUTED_VALUE"""),"MARIANA KATZ")</f>
        <v>MARIANA KATZ</v>
      </c>
      <c r="AU592" s="4" t="str">
        <f>IFERROR(__xludf.DUMMYFUNCTION("""COMPUTED_VALUE"""),"Lídia")</f>
        <v>Lídia</v>
      </c>
      <c r="AV592" s="4" t="str">
        <f>IFERROR(__xludf.DUMMYFUNCTION("""COMPUTED_VALUE"""),"Comer Fora-")</f>
        <v>Comer Fora-</v>
      </c>
      <c r="AW592" s="20" t="str">
        <f>IFERROR(__xludf.DUMMYFUNCTION("""COMPUTED_VALUE"""),"P e M - pipe")</f>
        <v>P e M - pipe</v>
      </c>
      <c r="AX592" s="4"/>
      <c r="AY592" s="4"/>
      <c r="AZ592" s="4" t="str">
        <f>IFERROR(__xludf.DUMMYFUNCTION("""COMPUTED_VALUE"""),"Lanches")</f>
        <v>Lanches</v>
      </c>
      <c r="BA592" s="4" t="str">
        <f>IFERROR(__xludf.DUMMYFUNCTION("""COMPUTED_VALUE"""),"")</f>
        <v/>
      </c>
      <c r="BB592" s="4" t="str">
        <f>IFERROR(__xludf.DUMMYFUNCTION("""COMPUTED_VALUE"""),"")</f>
        <v/>
      </c>
      <c r="BC592" s="4" t="str">
        <f>IFERROR(__xludf.DUMMYFUNCTION("""COMPUTED_VALUE"""),"")</f>
        <v/>
      </c>
      <c r="BD592" s="4" t="str">
        <f>IFERROR(__xludf.DUMMYFUNCTION("""COMPUTED_VALUE"""),"")</f>
        <v/>
      </c>
      <c r="BE592" s="4" t="str">
        <f>IFERROR(__xludf.DUMMYFUNCTION("""COMPUTED_VALUE"""),"")</f>
        <v/>
      </c>
      <c r="BF592" s="4" t="str">
        <f>IFERROR(__xludf.DUMMYFUNCTION("""COMPUTED_VALUE"""),"")</f>
        <v/>
      </c>
      <c r="BG592" s="4" t="str">
        <f>IFERROR(__xludf.DUMMYFUNCTION("""COMPUTED_VALUE"""),"")</f>
        <v/>
      </c>
      <c r="BH592" s="4" t="s">
        <v>71</v>
      </c>
      <c r="BI592" s="7">
        <v>1.0</v>
      </c>
    </row>
    <row r="593" hidden="1">
      <c r="A593" s="4" t="str">
        <f>IFERROR(__xludf.DUMMYFUNCTION("""COMPUTED_VALUE"""),"Galpão Padaria Natural")</f>
        <v>Galpão Padaria Natural</v>
      </c>
      <c r="B593" s="4" t="str">
        <f>IFERROR(__xludf.DUMMYFUNCTION("""COMPUTED_VALUE"""),"Iza")</f>
        <v>Iza</v>
      </c>
      <c r="C593" s="4" t="str">
        <f>IFERROR(__xludf.DUMMYFUNCTION("""COMPUTED_VALUE"""),"Iza")</f>
        <v>Iza</v>
      </c>
      <c r="D593" s="4" t="str">
        <f>IFERROR(__xludf.DUMMYFUNCTION("""COMPUTED_VALUE"""),"10. Perdido")</f>
        <v>10. Perdido</v>
      </c>
      <c r="E593" s="4" t="str">
        <f>IFERROR(__xludf.DUMMYFUNCTION("""COMPUTED_VALUE"""),"Perdido -  Momento do restaurante não favorável")</f>
        <v>Perdido -  Momento do restaurante não favorável</v>
      </c>
      <c r="F593" s="4" t="str">
        <f>IFERROR(__xludf.DUMMYFUNCTION("""COMPUTED_VALUE"""),"P")</f>
        <v>P</v>
      </c>
      <c r="G593" s="5">
        <f>IFERROR(__xludf.DUMMYFUNCTION("""COMPUTED_VALUE"""),46076.0)</f>
        <v>46076</v>
      </c>
      <c r="H593" s="4" t="str">
        <f>IFERROR(__xludf.DUMMYFUNCTION("""COMPUTED_VALUE"""),"sem aderência 3S")</f>
        <v>sem aderência 3S</v>
      </c>
      <c r="I593" s="4"/>
      <c r="J593" s="4"/>
      <c r="K593" s="6">
        <f>IFERROR(__xludf.DUMMYFUNCTION("""COMPUTED_VALUE"""),45897.0)</f>
        <v>45897</v>
      </c>
      <c r="L593" s="4"/>
      <c r="M593" s="4"/>
      <c r="N593" s="4"/>
      <c r="O593" s="4"/>
      <c r="P593" s="4"/>
      <c r="Q593" s="4"/>
      <c r="R593" s="6">
        <f>IFERROR(__xludf.DUMMYFUNCTION("""COMPUTED_VALUE"""),46055.417857650464)</f>
        <v>46055.41786</v>
      </c>
      <c r="S593" s="4"/>
      <c r="T593" s="4"/>
      <c r="U593" s="4"/>
      <c r="V593" s="4" t="str">
        <f>IFERROR(__xludf.DUMMYFUNCTION("""COMPUTED_VALUE"""),"Desenvolvimento Solução")</f>
        <v>Desenvolvimento Solução</v>
      </c>
      <c r="W593" s="4"/>
      <c r="X593" s="4"/>
      <c r="Y593" s="4"/>
      <c r="Z593" s="4"/>
      <c r="AA593" s="4">
        <f>IFERROR(__xludf.DUMMYFUNCTION("""COMPUTED_VALUE"""),1.0)</f>
        <v>1</v>
      </c>
      <c r="AB593" s="4" t="str">
        <f>IFERROR(__xludf.DUMMYFUNCTION("""COMPUTED_VALUE"""),"NÃO")</f>
        <v>NÃO</v>
      </c>
      <c r="AC593" s="4" t="str">
        <f>IFERROR(__xludf.DUMMYFUNCTION("""COMPUTED_VALUE"""),"BP")</f>
        <v>BP</v>
      </c>
      <c r="AD593" s="4"/>
      <c r="AE593" s="4"/>
      <c r="AF593" s="4"/>
      <c r="AG593" s="4"/>
      <c r="AH593" s="4"/>
      <c r="AI593" s="4"/>
      <c r="AJ593" s="4"/>
      <c r="AK593" s="4"/>
      <c r="AL593" s="4"/>
      <c r="AM593" s="4" t="str">
        <f>IFERROR(__xludf.DUMMYFUNCTION("""COMPUTED_VALUE"""),"FY26")</f>
        <v>FY26</v>
      </c>
      <c r="AN593" s="4"/>
      <c r="AO593" s="4">
        <f>IFERROR(__xludf.DUMMYFUNCTION("""COMPUTED_VALUE"""),140.0)</f>
        <v>140</v>
      </c>
      <c r="AP593" s="4"/>
      <c r="AQ593" s="4"/>
      <c r="AR593" s="4"/>
      <c r="AS593" s="4">
        <f>IFERROR(__xludf.DUMMYFUNCTION("""COMPUTED_VALUE"""),0.0)</f>
        <v>0</v>
      </c>
      <c r="AT593" s="4">
        <f>IFERROR(__xludf.DUMMYFUNCTION("""COMPUTED_VALUE"""),0.0)</f>
        <v>0</v>
      </c>
      <c r="AU593" s="4" t="str">
        <f>IFERROR(__xludf.DUMMYFUNCTION("""COMPUTED_VALUE"""),"Iza")</f>
        <v>Iza</v>
      </c>
      <c r="AV593" s="4">
        <f>IFERROR(__xludf.DUMMYFUNCTION("""COMPUTED_VALUE"""),0.0)</f>
        <v>0</v>
      </c>
      <c r="AW593" s="4">
        <f>IFERROR(__xludf.DUMMYFUNCTION("""COMPUTED_VALUE"""),0.0)</f>
        <v>0</v>
      </c>
      <c r="AX593" s="4">
        <f>IFERROR(__xludf.DUMMYFUNCTION("""COMPUTED_VALUE"""),0.0)</f>
        <v>0</v>
      </c>
      <c r="AY593" s="4"/>
      <c r="AZ593" s="4" t="str">
        <f>IFERROR(__xludf.DUMMYFUNCTION("""COMPUTED_VALUE"""),"#N/A")</f>
        <v>#N/A</v>
      </c>
      <c r="BA593" s="4" t="str">
        <f>IFERROR(__xludf.DUMMYFUNCTION("""COMPUTED_VALUE"""),"")</f>
        <v/>
      </c>
      <c r="BB593" s="4" t="str">
        <f>IFERROR(__xludf.DUMMYFUNCTION("""COMPUTED_VALUE"""),"")</f>
        <v/>
      </c>
      <c r="BC593" s="4" t="str">
        <f>IFERROR(__xludf.DUMMYFUNCTION("""COMPUTED_VALUE"""),"")</f>
        <v/>
      </c>
      <c r="BD593" s="4" t="str">
        <f>IFERROR(__xludf.DUMMYFUNCTION("""COMPUTED_VALUE"""),"")</f>
        <v/>
      </c>
      <c r="BE593" s="4" t="str">
        <f>IFERROR(__xludf.DUMMYFUNCTION("""COMPUTED_VALUE"""),"")</f>
        <v/>
      </c>
      <c r="BF593" s="4" t="str">
        <f>IFERROR(__xludf.DUMMYFUNCTION("""COMPUTED_VALUE"""),"")</f>
        <v/>
      </c>
      <c r="BG593" s="4" t="str">
        <f>IFERROR(__xludf.DUMMYFUNCTION("""COMPUTED_VALUE"""),"")</f>
        <v/>
      </c>
      <c r="BH593" s="4" t="s">
        <v>63</v>
      </c>
      <c r="BI593" s="7" t="s">
        <v>63</v>
      </c>
    </row>
    <row r="594" hidden="1">
      <c r="A594" s="4" t="str">
        <f>IFERROR(__xludf.DUMMYFUNCTION("""COMPUTED_VALUE"""),"Garden Good Food")</f>
        <v>Garden Good Food</v>
      </c>
      <c r="B594" s="4" t="str">
        <f>IFERROR(__xludf.DUMMYFUNCTION("""COMPUTED_VALUE"""),"Diego Santos")</f>
        <v>Diego Santos</v>
      </c>
      <c r="C594" s="4" t="str">
        <f>IFERROR(__xludf.DUMMYFUNCTION("""COMPUTED_VALUE"""),"Diego Santos")</f>
        <v>Diego Santos</v>
      </c>
      <c r="D594" s="4" t="str">
        <f>IFERROR(__xludf.DUMMYFUNCTION("""COMPUTED_VALUE"""),"10. Perdido")</f>
        <v>10. Perdido</v>
      </c>
      <c r="E594" s="4" t="str">
        <f>IFERROR(__xludf.DUMMYFUNCTION("""COMPUTED_VALUE"""),"Perdido - Sem perfil LA / 3SCheckout / PDV próprio")</f>
        <v>Perdido - Sem perfil LA / 3SCheckout / PDV próprio</v>
      </c>
      <c r="F594" s="4" t="str">
        <f>IFERROR(__xludf.DUMMYFUNCTION("""COMPUTED_VALUE"""),"P")</f>
        <v>P</v>
      </c>
      <c r="G594" s="5">
        <f>IFERROR(__xludf.DUMMYFUNCTION("""COMPUTED_VALUE"""),46076.0)</f>
        <v>46076</v>
      </c>
      <c r="H594" s="4" t="str">
        <f>IFERROR(__xludf.DUMMYFUNCTION("""COMPUTED_VALUE"""),"Recebi o direcionamento da conta vinda de outro executivo e estou abordando o lead pra entender se ainda existe oportunidade.  Já visitar showroom mas não estamos conseguindo avançar.")</f>
        <v>Recebi o direcionamento da conta vinda de outro executivo e estou abordando o lead pra entender se ainda existe oportunidade.  Já visitar showroom mas não estamos conseguindo avançar.</v>
      </c>
      <c r="I594" s="4"/>
      <c r="J594" s="4"/>
      <c r="K594" s="6">
        <f>IFERROR(__xludf.DUMMYFUNCTION("""COMPUTED_VALUE"""),45893.0)</f>
        <v>45893</v>
      </c>
      <c r="L594" s="4"/>
      <c r="M594" s="4"/>
      <c r="N594" s="4"/>
      <c r="O594" s="4"/>
      <c r="P594" s="4"/>
      <c r="Q594" s="4"/>
      <c r="R594" s="6">
        <f>IFERROR(__xludf.DUMMYFUNCTION("""COMPUTED_VALUE"""),46064.41317980324)</f>
        <v>46064.41318</v>
      </c>
      <c r="S594" s="4"/>
      <c r="T594" s="4"/>
      <c r="U594" s="4"/>
      <c r="V594" s="4" t="str">
        <f>IFERROR(__xludf.DUMMYFUNCTION("""COMPUTED_VALUE"""),"Sem interesse em mudar de PDV")</f>
        <v>Sem interesse em mudar de PDV</v>
      </c>
      <c r="W594" s="4"/>
      <c r="X594" s="4"/>
      <c r="Y594" s="4"/>
      <c r="Z594" s="4"/>
      <c r="AA594" s="4">
        <f>IFERROR(__xludf.DUMMYFUNCTION("""COMPUTED_VALUE"""),3.0)</f>
        <v>3</v>
      </c>
      <c r="AB594" s="4" t="str">
        <f>IFERROR(__xludf.DUMMYFUNCTION("""COMPUTED_VALUE"""),"NÃO")</f>
        <v>NÃO</v>
      </c>
      <c r="AC594" s="4" t="str">
        <f>IFERROR(__xludf.DUMMYFUNCTION("""COMPUTED_VALUE"""),"Não BP")</f>
        <v>Não BP</v>
      </c>
      <c r="AD594" s="4"/>
      <c r="AE594" s="4"/>
      <c r="AF594" s="4"/>
      <c r="AG594" s="4"/>
      <c r="AH594" s="4"/>
      <c r="AI594" s="4"/>
      <c r="AJ594" s="4"/>
      <c r="AK594" s="4"/>
      <c r="AL594" s="4"/>
      <c r="AM594" s="4" t="str">
        <f>IFERROR(__xludf.DUMMYFUNCTION("""COMPUTED_VALUE"""),"FY26")</f>
        <v>FY26</v>
      </c>
      <c r="AN594" s="4"/>
      <c r="AO594" s="4">
        <f>IFERROR(__xludf.DUMMYFUNCTION("""COMPUTED_VALUE"""),140.0)</f>
        <v>140</v>
      </c>
      <c r="AP594" s="4"/>
      <c r="AQ594" s="4"/>
      <c r="AR594" s="4"/>
      <c r="AS594" s="4">
        <f>IFERROR(__xludf.DUMMYFUNCTION("""COMPUTED_VALUE"""),0.0)</f>
        <v>0</v>
      </c>
      <c r="AT594" s="4">
        <f>IFERROR(__xludf.DUMMYFUNCTION("""COMPUTED_VALUE"""),0.0)</f>
        <v>0</v>
      </c>
      <c r="AU594" s="4" t="str">
        <f>IFERROR(__xludf.DUMMYFUNCTION("""COMPUTED_VALUE"""),"Diego")</f>
        <v>Diego</v>
      </c>
      <c r="AV594" s="4">
        <f>IFERROR(__xludf.DUMMYFUNCTION("""COMPUTED_VALUE"""),0.0)</f>
        <v>0</v>
      </c>
      <c r="AW594" s="4">
        <f>IFERROR(__xludf.DUMMYFUNCTION("""COMPUTED_VALUE"""),0.0)</f>
        <v>0</v>
      </c>
      <c r="AX594" s="4">
        <f>IFERROR(__xludf.DUMMYFUNCTION("""COMPUTED_VALUE"""),0.0)</f>
        <v>0</v>
      </c>
      <c r="AY594" s="4"/>
      <c r="AZ594" s="4" t="str">
        <f>IFERROR(__xludf.DUMMYFUNCTION("""COMPUTED_VALUE"""),"#N/A")</f>
        <v>#N/A</v>
      </c>
      <c r="BA594" s="4" t="str">
        <f>IFERROR(__xludf.DUMMYFUNCTION("""COMPUTED_VALUE"""),"")</f>
        <v/>
      </c>
      <c r="BB594" s="4" t="str">
        <f>IFERROR(__xludf.DUMMYFUNCTION("""COMPUTED_VALUE"""),"")</f>
        <v/>
      </c>
      <c r="BC594" s="4" t="str">
        <f>IFERROR(__xludf.DUMMYFUNCTION("""COMPUTED_VALUE"""),"")</f>
        <v/>
      </c>
      <c r="BD594" s="4" t="str">
        <f>IFERROR(__xludf.DUMMYFUNCTION("""COMPUTED_VALUE"""),"")</f>
        <v/>
      </c>
      <c r="BE594" s="4" t="str">
        <f>IFERROR(__xludf.DUMMYFUNCTION("""COMPUTED_VALUE"""),"")</f>
        <v/>
      </c>
      <c r="BF594" s="4" t="str">
        <f>IFERROR(__xludf.DUMMYFUNCTION("""COMPUTED_VALUE"""),"")</f>
        <v/>
      </c>
      <c r="BG594" s="4" t="str">
        <f>IFERROR(__xludf.DUMMYFUNCTION("""COMPUTED_VALUE"""),"")</f>
        <v/>
      </c>
      <c r="BH594" s="4" t="s">
        <v>63</v>
      </c>
      <c r="BI594" s="7" t="s">
        <v>63</v>
      </c>
    </row>
    <row r="595" hidden="1">
      <c r="A595" s="4" t="str">
        <f>IFERROR(__xludf.DUMMYFUNCTION("""COMPUTED_VALUE"""),"General Prime")</f>
        <v>General Prime</v>
      </c>
      <c r="B595" s="4" t="str">
        <f>IFERROR(__xludf.DUMMYFUNCTION("""COMPUTED_VALUE"""),"Diego Santos")</f>
        <v>Diego Santos</v>
      </c>
      <c r="C595" s="4" t="str">
        <f>IFERROR(__xludf.DUMMYFUNCTION("""COMPUTED_VALUE"""),"Diego Santos")</f>
        <v>Diego Santos</v>
      </c>
      <c r="D595" s="4" t="str">
        <f>IFERROR(__xludf.DUMMYFUNCTION("""COMPUTED_VALUE"""),"10. Perdido")</f>
        <v>10. Perdido</v>
      </c>
      <c r="E595" s="4" t="str">
        <f>IFERROR(__xludf.DUMMYFUNCTION("""COMPUTED_VALUE"""),"Perdido - Outro (detalhar ao lado)")</f>
        <v>Perdido - Outro (detalhar ao lado)</v>
      </c>
      <c r="F595" s="4" t="str">
        <f>IFERROR(__xludf.DUMMYFUNCTION("""COMPUTED_VALUE"""),"P")</f>
        <v>P</v>
      </c>
      <c r="G595" s="5">
        <f>IFERROR(__xludf.DUMMYFUNCTION("""COMPUTED_VALUE"""),46083.0)</f>
        <v>46083</v>
      </c>
      <c r="H595" s="4" t="str">
        <f>IFERROR(__xludf.DUMMYFUNCTION("""COMPUTED_VALUE"""),"Cliente ")</f>
        <v>Cliente </v>
      </c>
      <c r="I595" s="4"/>
      <c r="J595" s="6">
        <f>IFERROR(__xludf.DUMMYFUNCTION("""COMPUTED_VALUE"""),46083.467420138884)</f>
        <v>46083.46742</v>
      </c>
      <c r="K595" s="6">
        <f>IFERROR(__xludf.DUMMYFUNCTION("""COMPUTED_VALUE"""),45944.0)</f>
        <v>45944</v>
      </c>
      <c r="L595" s="4"/>
      <c r="M595" s="4"/>
      <c r="N595" s="4"/>
      <c r="O595" s="4"/>
      <c r="P595" s="4"/>
      <c r="Q595" s="4"/>
      <c r="R595" s="6">
        <f>IFERROR(__xludf.DUMMYFUNCTION("""COMPUTED_VALUE"""),46083.614421192135)</f>
        <v>46083.61442</v>
      </c>
      <c r="S595" s="4"/>
      <c r="T595" s="4"/>
      <c r="U595" s="4"/>
      <c r="V595" s="4" t="str">
        <f>IFERROR(__xludf.DUMMYFUNCTION("""COMPUTED_VALUE"""),"Sem interesse em mudar de PDV")</f>
        <v>Sem interesse em mudar de PDV</v>
      </c>
      <c r="W595" s="4"/>
      <c r="X595" s="4"/>
      <c r="Y595" s="4"/>
      <c r="Z595" s="4"/>
      <c r="AA595" s="4">
        <f>IFERROR(__xludf.DUMMYFUNCTION("""COMPUTED_VALUE"""),15.0)</f>
        <v>15</v>
      </c>
      <c r="AB595" s="4" t="str">
        <f>IFERROR(__xludf.DUMMYFUNCTION("""COMPUTED_VALUE"""),"KA")</f>
        <v>KA</v>
      </c>
      <c r="AC595" s="4" t="str">
        <f>IFERROR(__xludf.DUMMYFUNCTION("""COMPUTED_VALUE"""),"BP")</f>
        <v>BP</v>
      </c>
      <c r="AD595" s="4"/>
      <c r="AE595" s="4"/>
      <c r="AF595" s="4"/>
      <c r="AG595" s="4"/>
      <c r="AH595" s="4"/>
      <c r="AI595" s="4"/>
      <c r="AJ595" s="4"/>
      <c r="AK595" s="4"/>
      <c r="AL595" s="4"/>
      <c r="AM595" s="4" t="str">
        <f>IFERROR(__xludf.DUMMYFUNCTION("""COMPUTED_VALUE"""),"FY26")</f>
        <v>FY26</v>
      </c>
      <c r="AN595" s="4"/>
      <c r="AO595" s="4">
        <f>IFERROR(__xludf.DUMMYFUNCTION("""COMPUTED_VALUE"""),131.0)</f>
        <v>131</v>
      </c>
      <c r="AP595" s="4"/>
      <c r="AQ595" s="4"/>
      <c r="AR595" s="4"/>
      <c r="AS595" s="4">
        <f>IFERROR(__xludf.DUMMYFUNCTION("""COMPUTED_VALUE"""),0.0)</f>
        <v>0</v>
      </c>
      <c r="AT595" s="4">
        <f>IFERROR(__xludf.DUMMYFUNCTION("""COMPUTED_VALUE"""),0.0)</f>
        <v>0</v>
      </c>
      <c r="AU595" s="4" t="str">
        <f>IFERROR(__xludf.DUMMYFUNCTION("""COMPUTED_VALUE"""),"Diego")</f>
        <v>Diego</v>
      </c>
      <c r="AV595" s="4">
        <f>IFERROR(__xludf.DUMMYFUNCTION("""COMPUTED_VALUE"""),0.0)</f>
        <v>0</v>
      </c>
      <c r="AW595" s="4">
        <f>IFERROR(__xludf.DUMMYFUNCTION("""COMPUTED_VALUE"""),0.0)</f>
        <v>0</v>
      </c>
      <c r="AX595" s="4">
        <f>IFERROR(__xludf.DUMMYFUNCTION("""COMPUTED_VALUE"""),0.0)</f>
        <v>0</v>
      </c>
      <c r="AY595" s="4"/>
      <c r="AZ595" s="4" t="str">
        <f>IFERROR(__xludf.DUMMYFUNCTION("""COMPUTED_VALUE"""),"#N/A")</f>
        <v>#N/A</v>
      </c>
      <c r="BA595" s="4" t="str">
        <f>IFERROR(__xludf.DUMMYFUNCTION("""COMPUTED_VALUE"""),"")</f>
        <v/>
      </c>
      <c r="BB595" s="4" t="str">
        <f>IFERROR(__xludf.DUMMYFUNCTION("""COMPUTED_VALUE"""),"")</f>
        <v/>
      </c>
      <c r="BC595" s="4" t="str">
        <f>IFERROR(__xludf.DUMMYFUNCTION("""COMPUTED_VALUE"""),"")</f>
        <v/>
      </c>
      <c r="BD595" s="4" t="str">
        <f>IFERROR(__xludf.DUMMYFUNCTION("""COMPUTED_VALUE"""),"")</f>
        <v/>
      </c>
      <c r="BE595" s="4" t="str">
        <f>IFERROR(__xludf.DUMMYFUNCTION("""COMPUTED_VALUE"""),"")</f>
        <v/>
      </c>
      <c r="BF595" s="4" t="str">
        <f>IFERROR(__xludf.DUMMYFUNCTION("""COMPUTED_VALUE"""),"")</f>
        <v/>
      </c>
      <c r="BG595" s="4" t="str">
        <f>IFERROR(__xludf.DUMMYFUNCTION("""COMPUTED_VALUE"""),"")</f>
        <v/>
      </c>
      <c r="BH595" s="4" t="s">
        <v>63</v>
      </c>
      <c r="BI595" s="7" t="s">
        <v>63</v>
      </c>
    </row>
    <row r="596" hidden="1">
      <c r="A596" s="4" t="str">
        <f>IFERROR(__xludf.DUMMYFUNCTION("""COMPUTED_VALUE"""),"Grupo A Bela Sintra")</f>
        <v>Grupo A Bela Sintra</v>
      </c>
      <c r="B596" s="4" t="str">
        <f>IFERROR(__xludf.DUMMYFUNCTION("""COMPUTED_VALUE"""),"Lídia Esteves")</f>
        <v>Lídia Esteves</v>
      </c>
      <c r="C596" s="4" t="str">
        <f>IFERROR(__xludf.DUMMYFUNCTION("""COMPUTED_VALUE"""),"Lídia Esteves")</f>
        <v>Lídia Esteves</v>
      </c>
      <c r="D596" s="4" t="str">
        <f>IFERROR(__xludf.DUMMYFUNCTION("""COMPUTED_VALUE"""),"10. Perdido")</f>
        <v>10. Perdido</v>
      </c>
      <c r="E596" s="4" t="str">
        <f>IFERROR(__xludf.DUMMYFUNCTION("""COMPUTED_VALUE"""),"Perdido - Outro (detalhar ao lado)")</f>
        <v>Perdido - Outro (detalhar ao lado)</v>
      </c>
      <c r="F596" s="4" t="str">
        <f>IFERROR(__xludf.DUMMYFUNCTION("""COMPUTED_VALUE"""),"P")</f>
        <v>P</v>
      </c>
      <c r="G596" s="5">
        <f>IFERROR(__xludf.DUMMYFUNCTION("""COMPUTED_VALUE"""),46076.0)</f>
        <v>46076</v>
      </c>
      <c r="H596" s="4" t="str">
        <f>IFERROR(__xludf.DUMMYFUNCTION("""COMPUTED_VALUE"""),"Sem interesse em mudar a solução")</f>
        <v>Sem interesse em mudar a solução</v>
      </c>
      <c r="I596" s="4"/>
      <c r="J596" s="4"/>
      <c r="K596" s="6">
        <f>IFERROR(__xludf.DUMMYFUNCTION("""COMPUTED_VALUE"""),45910.0)</f>
        <v>45910</v>
      </c>
      <c r="L596" s="4"/>
      <c r="M596" s="4"/>
      <c r="N596" s="4"/>
      <c r="O596" s="4"/>
      <c r="P596" s="4"/>
      <c r="Q596" s="4"/>
      <c r="R596" s="4"/>
      <c r="S596" s="4"/>
      <c r="T596" s="4"/>
      <c r="U596" s="4"/>
      <c r="V596" s="4" t="str">
        <f>IFERROR(__xludf.DUMMYFUNCTION("""COMPUTED_VALUE"""),"Sem interesse em mudar de PDV")</f>
        <v>Sem interesse em mudar de PDV</v>
      </c>
      <c r="W596" s="4"/>
      <c r="X596" s="4"/>
      <c r="Y596" s="4"/>
      <c r="Z596" s="4"/>
      <c r="AA596" s="4">
        <f>IFERROR(__xludf.DUMMYFUNCTION("""COMPUTED_VALUE"""),2.0)</f>
        <v>2</v>
      </c>
      <c r="AB596" s="4" t="str">
        <f>IFERROR(__xludf.DUMMYFUNCTION("""COMPUTED_VALUE"""),"NÃO")</f>
        <v>NÃO</v>
      </c>
      <c r="AC596" s="4" t="str">
        <f>IFERROR(__xludf.DUMMYFUNCTION("""COMPUTED_VALUE"""),"BP")</f>
        <v>BP</v>
      </c>
      <c r="AD596" s="4"/>
      <c r="AE596" s="4"/>
      <c r="AF596" s="4"/>
      <c r="AG596" s="4"/>
      <c r="AH596" s="4"/>
      <c r="AI596" s="4"/>
      <c r="AJ596" s="4"/>
      <c r="AK596" s="4"/>
      <c r="AL596" s="4"/>
      <c r="AM596" s="4" t="str">
        <f>IFERROR(__xludf.DUMMYFUNCTION("""COMPUTED_VALUE"""),"FY26")</f>
        <v>FY26</v>
      </c>
      <c r="AN596" s="4"/>
      <c r="AO596" s="4">
        <f>IFERROR(__xludf.DUMMYFUNCTION("""COMPUTED_VALUE"""),140.0)</f>
        <v>140</v>
      </c>
      <c r="AP596" s="4"/>
      <c r="AQ596" s="4"/>
      <c r="AR596" s="4"/>
      <c r="AS596" s="4">
        <f>IFERROR(__xludf.DUMMYFUNCTION("""COMPUTED_VALUE"""),0.0)</f>
        <v>0</v>
      </c>
      <c r="AT596" s="4">
        <f>IFERROR(__xludf.DUMMYFUNCTION("""COMPUTED_VALUE"""),0.0)</f>
        <v>0</v>
      </c>
      <c r="AU596" s="4" t="str">
        <f>IFERROR(__xludf.DUMMYFUNCTION("""COMPUTED_VALUE"""),"Lídia")</f>
        <v>Lídia</v>
      </c>
      <c r="AV596" s="4">
        <f>IFERROR(__xludf.DUMMYFUNCTION("""COMPUTED_VALUE"""),0.0)</f>
        <v>0</v>
      </c>
      <c r="AW596" s="4">
        <f>IFERROR(__xludf.DUMMYFUNCTION("""COMPUTED_VALUE"""),0.0)</f>
        <v>0</v>
      </c>
      <c r="AX596" s="4">
        <f>IFERROR(__xludf.DUMMYFUNCTION("""COMPUTED_VALUE"""),0.0)</f>
        <v>0</v>
      </c>
      <c r="AY596" s="4"/>
      <c r="AZ596" s="4" t="str">
        <f>IFERROR(__xludf.DUMMYFUNCTION("""COMPUTED_VALUE"""),"Portuguesa")</f>
        <v>Portuguesa</v>
      </c>
      <c r="BA596" s="4" t="str">
        <f>IFERROR(__xludf.DUMMYFUNCTION("""COMPUTED_VALUE"""),"")</f>
        <v/>
      </c>
      <c r="BB596" s="4" t="str">
        <f>IFERROR(__xludf.DUMMYFUNCTION("""COMPUTED_VALUE"""),"")</f>
        <v/>
      </c>
      <c r="BC596" s="4" t="str">
        <f>IFERROR(__xludf.DUMMYFUNCTION("""COMPUTED_VALUE"""),"")</f>
        <v/>
      </c>
      <c r="BD596" s="4" t="str">
        <f>IFERROR(__xludf.DUMMYFUNCTION("""COMPUTED_VALUE"""),"")</f>
        <v/>
      </c>
      <c r="BE596" s="4" t="str">
        <f>IFERROR(__xludf.DUMMYFUNCTION("""COMPUTED_VALUE"""),"")</f>
        <v/>
      </c>
      <c r="BF596" s="4" t="str">
        <f>IFERROR(__xludf.DUMMYFUNCTION("""COMPUTED_VALUE"""),"")</f>
        <v/>
      </c>
      <c r="BG596" s="4" t="str">
        <f>IFERROR(__xludf.DUMMYFUNCTION("""COMPUTED_VALUE"""),"")</f>
        <v/>
      </c>
      <c r="BH596" s="4" t="s">
        <v>64</v>
      </c>
      <c r="BI596" s="7">
        <v>1.0</v>
      </c>
    </row>
    <row r="597" hidden="1">
      <c r="A597" s="4" t="str">
        <f>IFERROR(__xludf.DUMMYFUNCTION("""COMPUTED_VALUE"""),"Grupo A Quinta Do Marques")</f>
        <v>Grupo A Quinta Do Marques</v>
      </c>
      <c r="B597" s="4" t="str">
        <f>IFERROR(__xludf.DUMMYFUNCTION("""COMPUTED_VALUE"""),"Iza")</f>
        <v>Iza</v>
      </c>
      <c r="C597" s="4" t="str">
        <f>IFERROR(__xludf.DUMMYFUNCTION("""COMPUTED_VALUE"""),"Iza")</f>
        <v>Iza</v>
      </c>
      <c r="D597" s="4" t="str">
        <f>IFERROR(__xludf.DUMMYFUNCTION("""COMPUTED_VALUE"""),"10. Perdido")</f>
        <v>10. Perdido</v>
      </c>
      <c r="E597" s="4" t="str">
        <f>IFERROR(__xludf.DUMMYFUNCTION("""COMPUTED_VALUE"""),"Perdido - Falta de aderência técnica")</f>
        <v>Perdido - Falta de aderência técnica</v>
      </c>
      <c r="F597" s="4" t="str">
        <f>IFERROR(__xludf.DUMMYFUNCTION("""COMPUTED_VALUE"""),"P")</f>
        <v>P</v>
      </c>
      <c r="G597" s="5">
        <f>IFERROR(__xludf.DUMMYFUNCTION("""COMPUTED_VALUE"""),46076.0)</f>
        <v>46076</v>
      </c>
      <c r="H597" s="4" t="str">
        <f>IFERROR(__xludf.DUMMYFUNCTION("""COMPUTED_VALUE"""),"Falta de aderência.")</f>
        <v>Falta de aderência.</v>
      </c>
      <c r="I597" s="4"/>
      <c r="J597" s="4"/>
      <c r="K597" s="6">
        <f>IFERROR(__xludf.DUMMYFUNCTION("""COMPUTED_VALUE"""),45910.0)</f>
        <v>45910</v>
      </c>
      <c r="L597" s="4"/>
      <c r="M597" s="4"/>
      <c r="N597" s="4"/>
      <c r="O597" s="4"/>
      <c r="P597" s="4"/>
      <c r="Q597" s="4"/>
      <c r="R597" s="4"/>
      <c r="S597" s="4"/>
      <c r="T597" s="4"/>
      <c r="U597" s="4"/>
      <c r="V597" s="4" t="str">
        <f>IFERROR(__xludf.DUMMYFUNCTION("""COMPUTED_VALUE"""),"Sem interesse em mudar de PDV")</f>
        <v>Sem interesse em mudar de PDV</v>
      </c>
      <c r="W597" s="4"/>
      <c r="X597" s="4"/>
      <c r="Y597" s="4"/>
      <c r="Z597" s="4"/>
      <c r="AA597" s="4">
        <f>IFERROR(__xludf.DUMMYFUNCTION("""COMPUTED_VALUE"""),5.0)</f>
        <v>5</v>
      </c>
      <c r="AB597" s="4" t="str">
        <f>IFERROR(__xludf.DUMMYFUNCTION("""COMPUTED_VALUE"""),"NÃO")</f>
        <v>NÃO</v>
      </c>
      <c r="AC597" s="4" t="str">
        <f>IFERROR(__xludf.DUMMYFUNCTION("""COMPUTED_VALUE"""),"BP")</f>
        <v>BP</v>
      </c>
      <c r="AD597" s="4"/>
      <c r="AE597" s="4"/>
      <c r="AF597" s="4"/>
      <c r="AG597" s="4"/>
      <c r="AH597" s="4"/>
      <c r="AI597" s="4"/>
      <c r="AJ597" s="4"/>
      <c r="AK597" s="4"/>
      <c r="AL597" s="4"/>
      <c r="AM597" s="4" t="str">
        <f>IFERROR(__xludf.DUMMYFUNCTION("""COMPUTED_VALUE"""),"FY26")</f>
        <v>FY26</v>
      </c>
      <c r="AN597" s="4" t="str">
        <f>IFERROR(__xludf.DUMMYFUNCTION("""COMPUTED_VALUE"""),"Comer Fora")</f>
        <v>Comer Fora</v>
      </c>
      <c r="AO597" s="4">
        <f>IFERROR(__xludf.DUMMYFUNCTION("""COMPUTED_VALUE"""),140.0)</f>
        <v>140</v>
      </c>
      <c r="AP597" s="4"/>
      <c r="AQ597" s="4"/>
      <c r="AR597" s="4"/>
      <c r="AS597" s="4" t="str">
        <f>IFERROR(__xludf.DUMMYFUNCTION("""COMPUTED_VALUE"""),"NATHALIE MERTENS")</f>
        <v>NATHALIE MERTENS</v>
      </c>
      <c r="AT597" s="4" t="str">
        <f>IFERROR(__xludf.DUMMYFUNCTION("""COMPUTED_VALUE"""),"CIBELE OLIVEIRA")</f>
        <v>CIBELE OLIVEIRA</v>
      </c>
      <c r="AU597" s="4" t="str">
        <f>IFERROR(__xludf.DUMMYFUNCTION("""COMPUTED_VALUE"""),"Iza")</f>
        <v>Iza</v>
      </c>
      <c r="AV597" s="4" t="str">
        <f>IFERROR(__xludf.DUMMYFUNCTION("""COMPUTED_VALUE"""),"Comer Fora-")</f>
        <v>Comer Fora-</v>
      </c>
      <c r="AW597" s="20" t="str">
        <f>IFERROR(__xludf.DUMMYFUNCTION("""COMPUTED_VALUE"""),"P e M - pipe")</f>
        <v>P e M - pipe</v>
      </c>
      <c r="AX597" s="4"/>
      <c r="AY597" s="4"/>
      <c r="AZ597" s="4" t="str">
        <f>IFERROR(__xludf.DUMMYFUNCTION("""COMPUTED_VALUE"""),"Padaria")</f>
        <v>Padaria</v>
      </c>
      <c r="BA597" s="4" t="str">
        <f>IFERROR(__xludf.DUMMYFUNCTION("""COMPUTED_VALUE"""),"")</f>
        <v/>
      </c>
      <c r="BB597" s="4" t="str">
        <f>IFERROR(__xludf.DUMMYFUNCTION("""COMPUTED_VALUE"""),"")</f>
        <v/>
      </c>
      <c r="BC597" s="4" t="str">
        <f>IFERROR(__xludf.DUMMYFUNCTION("""COMPUTED_VALUE"""),"")</f>
        <v/>
      </c>
      <c r="BD597" s="4" t="str">
        <f>IFERROR(__xludf.DUMMYFUNCTION("""COMPUTED_VALUE"""),"")</f>
        <v/>
      </c>
      <c r="BE597" s="4" t="str">
        <f>IFERROR(__xludf.DUMMYFUNCTION("""COMPUTED_VALUE"""),"")</f>
        <v/>
      </c>
      <c r="BF597" s="4" t="str">
        <f>IFERROR(__xludf.DUMMYFUNCTION("""COMPUTED_VALUE"""),"")</f>
        <v/>
      </c>
      <c r="BG597" s="4" t="str">
        <f>IFERROR(__xludf.DUMMYFUNCTION("""COMPUTED_VALUE"""),"")</f>
        <v/>
      </c>
      <c r="BH597" s="4" t="s">
        <v>64</v>
      </c>
      <c r="BI597" s="7">
        <v>1.0</v>
      </c>
    </row>
    <row r="598" hidden="1">
      <c r="A598" s="4" t="str">
        <f>IFERROR(__xludf.DUMMYFUNCTION("""COMPUTED_VALUE"""),"Grupo Attivo")</f>
        <v>Grupo Attivo</v>
      </c>
      <c r="B598" s="4" t="str">
        <f>IFERROR(__xludf.DUMMYFUNCTION("""COMPUTED_VALUE"""),"Michel")</f>
        <v>Michel</v>
      </c>
      <c r="C598" s="4" t="str">
        <f>IFERROR(__xludf.DUMMYFUNCTION("""COMPUTED_VALUE"""),"Michel")</f>
        <v>Michel</v>
      </c>
      <c r="D598" s="4" t="str">
        <f>IFERROR(__xludf.DUMMYFUNCTION("""COMPUTED_VALUE"""),"12. Orgânico")</f>
        <v>12. Orgânico</v>
      </c>
      <c r="E598" s="4"/>
      <c r="F598" s="4" t="str">
        <f>IFERROR(__xludf.DUMMYFUNCTION("""COMPUTED_VALUE"""),"P")</f>
        <v>P</v>
      </c>
      <c r="G598" s="4"/>
      <c r="H598" s="4"/>
      <c r="I598" s="4"/>
      <c r="J598" s="4"/>
      <c r="K598" s="4"/>
      <c r="L598" s="4"/>
      <c r="M598" s="4"/>
      <c r="N598" s="4"/>
      <c r="O598" s="4"/>
      <c r="P598" s="4"/>
      <c r="Q598" s="4"/>
      <c r="R598" s="4"/>
      <c r="S598" s="4"/>
      <c r="T598" s="4"/>
      <c r="U598" s="4"/>
      <c r="V598" s="4"/>
      <c r="W598" s="4"/>
      <c r="X598" s="4"/>
      <c r="Y598" s="4"/>
      <c r="Z598" s="4"/>
      <c r="AA598" s="4">
        <f>IFERROR(__xludf.DUMMYFUNCTION("""COMPUTED_VALUE"""),8.0)</f>
        <v>8</v>
      </c>
      <c r="AB598" s="4"/>
      <c r="AC598" s="4"/>
      <c r="AD598" s="4"/>
      <c r="AE598" s="4"/>
      <c r="AF598" s="4"/>
      <c r="AG598" s="4"/>
      <c r="AH598" s="4"/>
      <c r="AI598" s="4"/>
      <c r="AJ598" s="4"/>
      <c r="AK598" s="4"/>
      <c r="AL598" s="4"/>
      <c r="AM598" s="4" t="str">
        <f>IFERROR(__xludf.DUMMYFUNCTION("""COMPUTED_VALUE"""),"Orgânico 3S")</f>
        <v>Orgânico 3S</v>
      </c>
      <c r="AN598" s="4"/>
      <c r="AO598" s="4">
        <f>IFERROR(__xludf.DUMMYFUNCTION("""COMPUTED_VALUE"""),45553.0)</f>
        <v>45553</v>
      </c>
      <c r="AP598" s="4"/>
      <c r="AQ598" s="4"/>
      <c r="AR598" s="4"/>
      <c r="AS598" s="4">
        <f>IFERROR(__xludf.DUMMYFUNCTION("""COMPUTED_VALUE"""),0.0)</f>
        <v>0</v>
      </c>
      <c r="AT598" s="4">
        <f>IFERROR(__xludf.DUMMYFUNCTION("""COMPUTED_VALUE"""),0.0)</f>
        <v>0</v>
      </c>
      <c r="AU598" s="4" t="str">
        <f>IFERROR(__xludf.DUMMYFUNCTION("""COMPUTED_VALUE"""),"Michel")</f>
        <v>Michel</v>
      </c>
      <c r="AV598" s="4">
        <f>IFERROR(__xludf.DUMMYFUNCTION("""COMPUTED_VALUE"""),0.0)</f>
        <v>0</v>
      </c>
      <c r="AW598" s="4">
        <f>IFERROR(__xludf.DUMMYFUNCTION("""COMPUTED_VALUE"""),0.0)</f>
        <v>0</v>
      </c>
      <c r="AX598" s="4">
        <f>IFERROR(__xludf.DUMMYFUNCTION("""COMPUTED_VALUE"""),0.0)</f>
        <v>0</v>
      </c>
      <c r="AY598" s="4"/>
      <c r="AZ598" s="4">
        <f>IFERROR(__xludf.DUMMYFUNCTION("""COMPUTED_VALUE"""),0.0)</f>
        <v>0</v>
      </c>
      <c r="BA598" s="4" t="str">
        <f>IFERROR(__xludf.DUMMYFUNCTION("""COMPUTED_VALUE"""),"")</f>
        <v/>
      </c>
      <c r="BB598" s="4" t="str">
        <f>IFERROR(__xludf.DUMMYFUNCTION("""COMPUTED_VALUE"""),"")</f>
        <v/>
      </c>
      <c r="BC598" s="4" t="str">
        <f>IFERROR(__xludf.DUMMYFUNCTION("""COMPUTED_VALUE"""),"")</f>
        <v/>
      </c>
      <c r="BD598" s="4" t="str">
        <f>IFERROR(__xludf.DUMMYFUNCTION("""COMPUTED_VALUE"""),"")</f>
        <v/>
      </c>
      <c r="BE598" s="4" t="str">
        <f>IFERROR(__xludf.DUMMYFUNCTION("""COMPUTED_VALUE"""),"")</f>
        <v/>
      </c>
      <c r="BF598" s="4" t="str">
        <f>IFERROR(__xludf.DUMMYFUNCTION("""COMPUTED_VALUE"""),"")</f>
        <v/>
      </c>
      <c r="BG598" s="4" t="str">
        <f>IFERROR(__xludf.DUMMYFUNCTION("""COMPUTED_VALUE"""),"")</f>
        <v/>
      </c>
      <c r="BH598" s="4" t="s">
        <v>64</v>
      </c>
      <c r="BI598" s="7">
        <v>0.75</v>
      </c>
    </row>
    <row r="599" hidden="1">
      <c r="A599" s="4" t="str">
        <f>IFERROR(__xludf.DUMMYFUNCTION("""COMPUTED_VALUE"""),"Grupo Bella Capri")</f>
        <v>Grupo Bella Capri</v>
      </c>
      <c r="B599" s="4" t="str">
        <f>IFERROR(__xludf.DUMMYFUNCTION("""COMPUTED_VALUE"""),"Iza")</f>
        <v>Iza</v>
      </c>
      <c r="C599" s="4" t="str">
        <f>IFERROR(__xludf.DUMMYFUNCTION("""COMPUTED_VALUE"""),"Iza")</f>
        <v>Iza</v>
      </c>
      <c r="D599" s="4" t="str">
        <f>IFERROR(__xludf.DUMMYFUNCTION("""COMPUTED_VALUE"""),"10. Perdido")</f>
        <v>10. Perdido</v>
      </c>
      <c r="E599" s="4" t="str">
        <f>IFERROR(__xludf.DUMMYFUNCTION("""COMPUTED_VALUE"""),"Perdido - Sem perfil LA / 3SCheckout / PDV próprio")</f>
        <v>Perdido - Sem perfil LA / 3SCheckout / PDV próprio</v>
      </c>
      <c r="F599" s="4" t="str">
        <f>IFERROR(__xludf.DUMMYFUNCTION("""COMPUTED_VALUE"""),"M")</f>
        <v>M</v>
      </c>
      <c r="G599" s="5">
        <f>IFERROR(__xludf.DUMMYFUNCTION("""COMPUTED_VALUE"""),46076.0)</f>
        <v>46076</v>
      </c>
      <c r="H599" s="4" t="str">
        <f>IFERROR(__xludf.DUMMYFUNCTION("""COMPUTED_VALUE"""),"Ja possuem sistema próprio.")</f>
        <v>Ja possuem sistema próprio.</v>
      </c>
      <c r="I599" s="4"/>
      <c r="J599" s="4"/>
      <c r="K599" s="6">
        <f>IFERROR(__xludf.DUMMYFUNCTION("""COMPUTED_VALUE"""),45916.0)</f>
        <v>45916</v>
      </c>
      <c r="L599" s="4"/>
      <c r="M599" s="4"/>
      <c r="N599" s="4"/>
      <c r="O599" s="4"/>
      <c r="P599" s="4"/>
      <c r="Q599" s="4"/>
      <c r="R599" s="4"/>
      <c r="S599" s="4"/>
      <c r="T599" s="4"/>
      <c r="U599" s="4"/>
      <c r="V599" s="4" t="str">
        <f>IFERROR(__xludf.DUMMYFUNCTION("""COMPUTED_VALUE"""),"Sistema próprio")</f>
        <v>Sistema próprio</v>
      </c>
      <c r="W599" s="4"/>
      <c r="X599" s="4"/>
      <c r="Y599" s="4"/>
      <c r="Z599" s="4"/>
      <c r="AA599" s="4">
        <f>IFERROR(__xludf.DUMMYFUNCTION("""COMPUTED_VALUE"""),42.0)</f>
        <v>42</v>
      </c>
      <c r="AB599" s="4" t="str">
        <f>IFERROR(__xludf.DUMMYFUNCTION("""COMPUTED_VALUE"""),"NÃO")</f>
        <v>NÃO</v>
      </c>
      <c r="AC599" s="4" t="str">
        <f>IFERROR(__xludf.DUMMYFUNCTION("""COMPUTED_VALUE"""),"BP")</f>
        <v>BP</v>
      </c>
      <c r="AD599" s="4"/>
      <c r="AE599" s="4"/>
      <c r="AF599" s="4"/>
      <c r="AG599" s="4"/>
      <c r="AH599" s="4"/>
      <c r="AI599" s="4"/>
      <c r="AJ599" s="4"/>
      <c r="AK599" s="4"/>
      <c r="AL599" s="4"/>
      <c r="AM599" s="4" t="str">
        <f>IFERROR(__xludf.DUMMYFUNCTION("""COMPUTED_VALUE"""),"FY26")</f>
        <v>FY26</v>
      </c>
      <c r="AN599" s="4" t="str">
        <f>IFERROR(__xludf.DUMMYFUNCTION("""COMPUTED_VALUE"""),"Comer Fora")</f>
        <v>Comer Fora</v>
      </c>
      <c r="AO599" s="4">
        <f>IFERROR(__xludf.DUMMYFUNCTION("""COMPUTED_VALUE"""),140.0)</f>
        <v>140</v>
      </c>
      <c r="AP599" s="4"/>
      <c r="AQ599" s="4"/>
      <c r="AR599" s="4"/>
      <c r="AS599" s="4">
        <f>IFERROR(__xludf.DUMMYFUNCTION("""COMPUTED_VALUE"""),0.0)</f>
        <v>0</v>
      </c>
      <c r="AT599" s="4">
        <f>IFERROR(__xludf.DUMMYFUNCTION("""COMPUTED_VALUE"""),0.0)</f>
        <v>0</v>
      </c>
      <c r="AU599" s="4" t="str">
        <f>IFERROR(__xludf.DUMMYFUNCTION("""COMPUTED_VALUE"""),"Iza")</f>
        <v>Iza</v>
      </c>
      <c r="AV599" s="4" t="str">
        <f>IFERROR(__xludf.DUMMYFUNCTION("""COMPUTED_VALUE"""),"Comer Fora-")</f>
        <v>Comer Fora-</v>
      </c>
      <c r="AW599" s="20" t="str">
        <f>IFERROR(__xludf.DUMMYFUNCTION("""COMPUTED_VALUE"""),"P e M - pipe")</f>
        <v>P e M - pipe</v>
      </c>
      <c r="AX599" s="4"/>
      <c r="AY599" s="4"/>
      <c r="AZ599" s="4" t="str">
        <f>IFERROR(__xludf.DUMMYFUNCTION("""COMPUTED_VALUE"""),"Pizza")</f>
        <v>Pizza</v>
      </c>
      <c r="BA599" s="4" t="str">
        <f>IFERROR(__xludf.DUMMYFUNCTION("""COMPUTED_VALUE"""),"")</f>
        <v/>
      </c>
      <c r="BB599" s="4" t="str">
        <f>IFERROR(__xludf.DUMMYFUNCTION("""COMPUTED_VALUE"""),"")</f>
        <v/>
      </c>
      <c r="BC599" s="4" t="str">
        <f>IFERROR(__xludf.DUMMYFUNCTION("""COMPUTED_VALUE"""),"")</f>
        <v/>
      </c>
      <c r="BD599" s="4" t="str">
        <f>IFERROR(__xludf.DUMMYFUNCTION("""COMPUTED_VALUE"""),"")</f>
        <v/>
      </c>
      <c r="BE599" s="4" t="str">
        <f>IFERROR(__xludf.DUMMYFUNCTION("""COMPUTED_VALUE"""),"")</f>
        <v/>
      </c>
      <c r="BF599" s="4" t="str">
        <f>IFERROR(__xludf.DUMMYFUNCTION("""COMPUTED_VALUE"""),"")</f>
        <v/>
      </c>
      <c r="BG599" s="4" t="str">
        <f>IFERROR(__xludf.DUMMYFUNCTION("""COMPUTED_VALUE"""),"")</f>
        <v/>
      </c>
      <c r="BH599" s="4" t="s">
        <v>147</v>
      </c>
      <c r="BI599" s="7">
        <v>0.7924528301886793</v>
      </c>
    </row>
    <row r="600" hidden="1">
      <c r="A600" s="4" t="str">
        <f>IFERROR(__xludf.DUMMYFUNCTION("""COMPUTED_VALUE"""),"Grupo Carlos Bakery")</f>
        <v>Grupo Carlos Bakery</v>
      </c>
      <c r="B600" s="4" t="str">
        <f>IFERROR(__xludf.DUMMYFUNCTION("""COMPUTED_VALUE"""),"Lídia Esteves")</f>
        <v>Lídia Esteves</v>
      </c>
      <c r="C600" s="4" t="str">
        <f>IFERROR(__xludf.DUMMYFUNCTION("""COMPUTED_VALUE"""),"Lídia Esteves")</f>
        <v>Lídia Esteves</v>
      </c>
      <c r="D600" s="4" t="str">
        <f>IFERROR(__xludf.DUMMYFUNCTION("""COMPUTED_VALUE"""),"10. Perdido")</f>
        <v>10. Perdido</v>
      </c>
      <c r="E600" s="4" t="str">
        <f>IFERROR(__xludf.DUMMYFUNCTION("""COMPUTED_VALUE"""),"Perdido - Proposta comercial não aceita")</f>
        <v>Perdido - Proposta comercial não aceita</v>
      </c>
      <c r="F600" s="4" t="str">
        <f>IFERROR(__xludf.DUMMYFUNCTION("""COMPUTED_VALUE"""),"P")</f>
        <v>P</v>
      </c>
      <c r="G600" s="5">
        <f>IFERROR(__xludf.DUMMYFUNCTION("""COMPUTED_VALUE"""),46076.0)</f>
        <v>46076</v>
      </c>
      <c r="H600" s="4" t="str">
        <f>IFERROR(__xludf.DUMMYFUNCTION("""COMPUTED_VALUE"""),"Fechou no concorrente com preço menor.")</f>
        <v>Fechou no concorrente com preço menor.</v>
      </c>
      <c r="I600" s="4"/>
      <c r="J600" s="4"/>
      <c r="K600" s="6">
        <f>IFERROR(__xludf.DUMMYFUNCTION("""COMPUTED_VALUE"""),45967.0)</f>
        <v>45967</v>
      </c>
      <c r="L600" s="4"/>
      <c r="M600" s="4"/>
      <c r="N600" s="4"/>
      <c r="O600" s="4"/>
      <c r="P600" s="4"/>
      <c r="Q600" s="4"/>
      <c r="R600" s="6">
        <f>IFERROR(__xludf.DUMMYFUNCTION("""COMPUTED_VALUE"""),46057.65115413195)</f>
        <v>46057.65115</v>
      </c>
      <c r="S600" s="4"/>
      <c r="T600" s="4"/>
      <c r="U600" s="4"/>
      <c r="V600" s="4" t="str">
        <f>IFERROR(__xludf.DUMMYFUNCTION("""COMPUTED_VALUE"""),"Proposta declinada")</f>
        <v>Proposta declinada</v>
      </c>
      <c r="W600" s="4"/>
      <c r="X600" s="4"/>
      <c r="Y600" s="4"/>
      <c r="Z600" s="4"/>
      <c r="AA600" s="4">
        <f>IFERROR(__xludf.DUMMYFUNCTION("""COMPUTED_VALUE"""),8.0)</f>
        <v>8</v>
      </c>
      <c r="AB600" s="4" t="str">
        <f>IFERROR(__xludf.DUMMYFUNCTION("""COMPUTED_VALUE"""),"NÃO")</f>
        <v>NÃO</v>
      </c>
      <c r="AC600" s="4" t="str">
        <f>IFERROR(__xludf.DUMMYFUNCTION("""COMPUTED_VALUE"""),"BP")</f>
        <v>BP</v>
      </c>
      <c r="AD600" s="4"/>
      <c r="AE600" s="4"/>
      <c r="AF600" s="4"/>
      <c r="AG600" s="4"/>
      <c r="AH600" s="4"/>
      <c r="AI600" s="4"/>
      <c r="AJ600" s="4"/>
      <c r="AK600" s="4"/>
      <c r="AL600" s="4"/>
      <c r="AM600" s="4" t="str">
        <f>IFERROR(__xludf.DUMMYFUNCTION("""COMPUTED_VALUE"""),"FY26")</f>
        <v>FY26</v>
      </c>
      <c r="AN600" s="4"/>
      <c r="AO600" s="4">
        <f>IFERROR(__xludf.DUMMYFUNCTION("""COMPUTED_VALUE"""),140.0)</f>
        <v>140</v>
      </c>
      <c r="AP600" s="4"/>
      <c r="AQ600" s="4"/>
      <c r="AR600" s="4"/>
      <c r="AS600" s="4">
        <f>IFERROR(__xludf.DUMMYFUNCTION("""COMPUTED_VALUE"""),0.0)</f>
        <v>0</v>
      </c>
      <c r="AT600" s="4">
        <f>IFERROR(__xludf.DUMMYFUNCTION("""COMPUTED_VALUE"""),0.0)</f>
        <v>0</v>
      </c>
      <c r="AU600" s="4" t="str">
        <f>IFERROR(__xludf.DUMMYFUNCTION("""COMPUTED_VALUE"""),"Lídia")</f>
        <v>Lídia</v>
      </c>
      <c r="AV600" s="4">
        <f>IFERROR(__xludf.DUMMYFUNCTION("""COMPUTED_VALUE"""),0.0)</f>
        <v>0</v>
      </c>
      <c r="AW600" s="4">
        <f>IFERROR(__xludf.DUMMYFUNCTION("""COMPUTED_VALUE"""),0.0)</f>
        <v>0</v>
      </c>
      <c r="AX600" s="4">
        <f>IFERROR(__xludf.DUMMYFUNCTION("""COMPUTED_VALUE"""),0.0)</f>
        <v>0</v>
      </c>
      <c r="AY600" s="4"/>
      <c r="AZ600" s="4" t="str">
        <f>IFERROR(__xludf.DUMMYFUNCTION("""COMPUTED_VALUE"""),"Padaria")</f>
        <v>Padaria</v>
      </c>
      <c r="BA600" s="4" t="str">
        <f>IFERROR(__xludf.DUMMYFUNCTION("""COMPUTED_VALUE"""),"")</f>
        <v/>
      </c>
      <c r="BB600" s="4" t="str">
        <f>IFERROR(__xludf.DUMMYFUNCTION("""COMPUTED_VALUE"""),"")</f>
        <v/>
      </c>
      <c r="BC600" s="4" t="str">
        <f>IFERROR(__xludf.DUMMYFUNCTION("""COMPUTED_VALUE"""),"")</f>
        <v/>
      </c>
      <c r="BD600" s="4" t="str">
        <f>IFERROR(__xludf.DUMMYFUNCTION("""COMPUTED_VALUE"""),"")</f>
        <v/>
      </c>
      <c r="BE600" s="4" t="str">
        <f>IFERROR(__xludf.DUMMYFUNCTION("""COMPUTED_VALUE"""),"")</f>
        <v/>
      </c>
      <c r="BF600" s="4" t="str">
        <f>IFERROR(__xludf.DUMMYFUNCTION("""COMPUTED_VALUE"""),"")</f>
        <v/>
      </c>
      <c r="BG600" s="4" t="str">
        <f>IFERROR(__xludf.DUMMYFUNCTION("""COMPUTED_VALUE"""),"")</f>
        <v/>
      </c>
      <c r="BH600" s="4" t="s">
        <v>148</v>
      </c>
      <c r="BI600" s="7">
        <v>1.0</v>
      </c>
    </row>
    <row r="601" hidden="1">
      <c r="A601" s="4" t="str">
        <f>IFERROR(__xludf.DUMMYFUNCTION("""COMPUTED_VALUE"""),"Grupo Dog Do Barto")</f>
        <v>Grupo Dog Do Barto</v>
      </c>
      <c r="B601" s="4" t="str">
        <f>IFERROR(__xludf.DUMMYFUNCTION("""COMPUTED_VALUE"""),"Lídia Esteves")</f>
        <v>Lídia Esteves</v>
      </c>
      <c r="C601" s="4" t="str">
        <f>IFERROR(__xludf.DUMMYFUNCTION("""COMPUTED_VALUE"""),"Lídia Esteves")</f>
        <v>Lídia Esteves</v>
      </c>
      <c r="D601" s="4" t="str">
        <f>IFERROR(__xludf.DUMMYFUNCTION("""COMPUTED_VALUE"""),"10. Perdido")</f>
        <v>10. Perdido</v>
      </c>
      <c r="E601" s="4" t="str">
        <f>IFERROR(__xludf.DUMMYFUNCTION("""COMPUTED_VALUE"""),"Perdido -  Momento do restaurante não favorável")</f>
        <v>Perdido -  Momento do restaurante não favorável</v>
      </c>
      <c r="F601" s="4" t="str">
        <f>IFERROR(__xludf.DUMMYFUNCTION("""COMPUTED_VALUE"""),"P")</f>
        <v>P</v>
      </c>
      <c r="G601" s="5">
        <f>IFERROR(__xludf.DUMMYFUNCTION("""COMPUTED_VALUE"""),46076.0)</f>
        <v>46076</v>
      </c>
      <c r="H601" s="4" t="str">
        <f>IFERROR(__xludf.DUMMYFUNCTION("""COMPUTED_VALUE"""),"Cliente recebeu proposta mas comentou que não consegue sair do atual sistema dele.")</f>
        <v>Cliente recebeu proposta mas comentou que não consegue sair do atual sistema dele.</v>
      </c>
      <c r="I601" s="4"/>
      <c r="J601" s="4"/>
      <c r="K601" s="6">
        <f>IFERROR(__xludf.DUMMYFUNCTION("""COMPUTED_VALUE"""),45945.0)</f>
        <v>45945</v>
      </c>
      <c r="L601" s="4"/>
      <c r="M601" s="4"/>
      <c r="N601" s="4"/>
      <c r="O601" s="4"/>
      <c r="P601" s="4"/>
      <c r="Q601" s="4"/>
      <c r="R601" s="4"/>
      <c r="S601" s="6">
        <f>IFERROR(__xludf.DUMMYFUNCTION("""COMPUTED_VALUE"""),46057.651558784724)</f>
        <v>46057.65156</v>
      </c>
      <c r="T601" s="4"/>
      <c r="U601" s="4"/>
      <c r="V601" s="4" t="str">
        <f>IFERROR(__xludf.DUMMYFUNCTION("""COMPUTED_VALUE"""),"Desistência na mudança de PDV")</f>
        <v>Desistência na mudança de PDV</v>
      </c>
      <c r="W601" s="4"/>
      <c r="X601" s="4"/>
      <c r="Y601" s="4"/>
      <c r="Z601" s="4"/>
      <c r="AA601" s="4">
        <f>IFERROR(__xludf.DUMMYFUNCTION("""COMPUTED_VALUE"""),25.0)</f>
        <v>25</v>
      </c>
      <c r="AB601" s="4" t="str">
        <f>IFERROR(__xludf.DUMMYFUNCTION("""COMPUTED_VALUE"""),"NÃO")</f>
        <v>NÃO</v>
      </c>
      <c r="AC601" s="4" t="str">
        <f>IFERROR(__xludf.DUMMYFUNCTION("""COMPUTED_VALUE"""),"Não BP")</f>
        <v>Não BP</v>
      </c>
      <c r="AD601" s="4"/>
      <c r="AE601" s="4"/>
      <c r="AF601" s="4"/>
      <c r="AG601" s="4"/>
      <c r="AH601" s="4"/>
      <c r="AI601" s="4"/>
      <c r="AJ601" s="4"/>
      <c r="AK601" s="4"/>
      <c r="AL601" s="4"/>
      <c r="AM601" s="4" t="str">
        <f>IFERROR(__xludf.DUMMYFUNCTION("""COMPUTED_VALUE"""),"FY26")</f>
        <v>FY26</v>
      </c>
      <c r="AN601" s="4" t="str">
        <f>IFERROR(__xludf.DUMMYFUNCTION("""COMPUTED_VALUE"""),"Comer Fora")</f>
        <v>Comer Fora</v>
      </c>
      <c r="AO601" s="4">
        <f>IFERROR(__xludf.DUMMYFUNCTION("""COMPUTED_VALUE"""),140.0)</f>
        <v>140</v>
      </c>
      <c r="AP601" s="4"/>
      <c r="AQ601" s="4"/>
      <c r="AR601" s="4"/>
      <c r="AS601" s="4" t="str">
        <f>IFERROR(__xludf.DUMMYFUNCTION("""COMPUTED_VALUE"""),"THIAGO ROMAGNOLE")</f>
        <v>THIAGO ROMAGNOLE</v>
      </c>
      <c r="AT601" s="4" t="str">
        <f>IFERROR(__xludf.DUMMYFUNCTION("""COMPUTED_VALUE"""),"PAULO MODESTO")</f>
        <v>PAULO MODESTO</v>
      </c>
      <c r="AU601" s="4" t="str">
        <f>IFERROR(__xludf.DUMMYFUNCTION("""COMPUTED_VALUE"""),"Lídia")</f>
        <v>Lídia</v>
      </c>
      <c r="AV601" s="4" t="str">
        <f>IFERROR(__xludf.DUMMYFUNCTION("""COMPUTED_VALUE"""),"Comer Fora-")</f>
        <v>Comer Fora-</v>
      </c>
      <c r="AW601" s="20" t="str">
        <f>IFERROR(__xludf.DUMMYFUNCTION("""COMPUTED_VALUE"""),"P e M - pipe")</f>
        <v>P e M - pipe</v>
      </c>
      <c r="AX601" s="4"/>
      <c r="AY601" s="4"/>
      <c r="AZ601" s="4" t="str">
        <f>IFERROR(__xludf.DUMMYFUNCTION("""COMPUTED_VALUE"""),"Lanches")</f>
        <v>Lanches</v>
      </c>
      <c r="BA601" s="4" t="str">
        <f>IFERROR(__xludf.DUMMYFUNCTION("""COMPUTED_VALUE"""),"")</f>
        <v/>
      </c>
      <c r="BB601" s="4" t="str">
        <f>IFERROR(__xludf.DUMMYFUNCTION("""COMPUTED_VALUE"""),"")</f>
        <v/>
      </c>
      <c r="BC601" s="4" t="str">
        <f>IFERROR(__xludf.DUMMYFUNCTION("""COMPUTED_VALUE"""),"")</f>
        <v/>
      </c>
      <c r="BD601" s="4" t="str">
        <f>IFERROR(__xludf.DUMMYFUNCTION("""COMPUTED_VALUE"""),"")</f>
        <v/>
      </c>
      <c r="BE601" s="4" t="str">
        <f>IFERROR(__xludf.DUMMYFUNCTION("""COMPUTED_VALUE"""),"")</f>
        <v/>
      </c>
      <c r="BF601" s="4" t="str">
        <f>IFERROR(__xludf.DUMMYFUNCTION("""COMPUTED_VALUE"""),"")</f>
        <v/>
      </c>
      <c r="BG601" s="4" t="str">
        <f>IFERROR(__xludf.DUMMYFUNCTION("""COMPUTED_VALUE"""),"")</f>
        <v/>
      </c>
      <c r="BH601" s="4" t="s">
        <v>64</v>
      </c>
      <c r="BI601" s="7">
        <v>0.38461538461538464</v>
      </c>
    </row>
    <row r="602" hidden="1">
      <c r="A602" s="4" t="str">
        <f>IFERROR(__xludf.DUMMYFUNCTION("""COMPUTED_VALUE"""),"Grupo Kero")</f>
        <v>Grupo Kero</v>
      </c>
      <c r="B602" s="4" t="str">
        <f>IFERROR(__xludf.DUMMYFUNCTION("""COMPUTED_VALUE"""),"Ana")</f>
        <v>Ana</v>
      </c>
      <c r="C602" s="4" t="str">
        <f>IFERROR(__xludf.DUMMYFUNCTION("""COMPUTED_VALUE"""),"Ana")</f>
        <v>Ana</v>
      </c>
      <c r="D602" s="4" t="str">
        <f>IFERROR(__xludf.DUMMYFUNCTION("""COMPUTED_VALUE"""),"10. Perdido")</f>
        <v>10. Perdido</v>
      </c>
      <c r="E602" s="4" t="str">
        <f>IFERROR(__xludf.DUMMYFUNCTION("""COMPUTED_VALUE"""),"Perdido - Outro (detalhar ao lado)")</f>
        <v>Perdido - Outro (detalhar ao lado)</v>
      </c>
      <c r="F602" s="4" t="str">
        <f>IFERROR(__xludf.DUMMYFUNCTION("""COMPUTED_VALUE"""),"P")</f>
        <v>P</v>
      </c>
      <c r="G602" s="5">
        <f>IFERROR(__xludf.DUMMYFUNCTION("""COMPUTED_VALUE"""),46076.0)</f>
        <v>46076</v>
      </c>
      <c r="H602" s="4" t="str">
        <f>IFERROR(__xludf.DUMMYFUNCTION("""COMPUTED_VALUE"""),"Cliente saipos")</f>
        <v>Cliente saipos</v>
      </c>
      <c r="I602" s="4"/>
      <c r="J602" s="6">
        <f>IFERROR(__xludf.DUMMYFUNCTION("""COMPUTED_VALUE"""),46050.444320740746)</f>
        <v>46050.44432</v>
      </c>
      <c r="K602" s="6">
        <f>IFERROR(__xludf.DUMMYFUNCTION("""COMPUTED_VALUE"""),46057.0)</f>
        <v>46057</v>
      </c>
      <c r="L602" s="4"/>
      <c r="M602" s="4"/>
      <c r="N602" s="4"/>
      <c r="O602" s="4"/>
      <c r="P602" s="4"/>
      <c r="Q602" s="4"/>
      <c r="R602" s="6">
        <f>IFERROR(__xludf.DUMMYFUNCTION("""COMPUTED_VALUE"""),46057.62299208333)</f>
        <v>46057.62299</v>
      </c>
      <c r="S602" s="4"/>
      <c r="T602" s="4"/>
      <c r="U602" s="4"/>
      <c r="V602" s="4" t="str">
        <f>IFERROR(__xludf.DUMMYFUNCTION("""COMPUTED_VALUE"""),"Sem interesse em mudar de PDV")</f>
        <v>Sem interesse em mudar de PDV</v>
      </c>
      <c r="W602" s="4"/>
      <c r="X602" s="4"/>
      <c r="Y602" s="4"/>
      <c r="Z602" s="4"/>
      <c r="AA602" s="4">
        <f>IFERROR(__xludf.DUMMYFUNCTION("""COMPUTED_VALUE"""),15.0)</f>
        <v>15</v>
      </c>
      <c r="AB602" s="4" t="str">
        <f>IFERROR(__xludf.DUMMYFUNCTION("""COMPUTED_VALUE"""),"NÃO")</f>
        <v>NÃO</v>
      </c>
      <c r="AC602" s="4" t="str">
        <f>IFERROR(__xludf.DUMMYFUNCTION("""COMPUTED_VALUE"""),"BP")</f>
        <v>BP</v>
      </c>
      <c r="AD602" s="4"/>
      <c r="AE602" s="4"/>
      <c r="AF602" s="4"/>
      <c r="AG602" s="4"/>
      <c r="AH602" s="4"/>
      <c r="AI602" s="4"/>
      <c r="AJ602" s="4"/>
      <c r="AK602" s="4"/>
      <c r="AL602" s="4"/>
      <c r="AM602" s="4" t="str">
        <f>IFERROR(__xludf.DUMMYFUNCTION("""COMPUTED_VALUE"""),"FY26")</f>
        <v>FY26</v>
      </c>
      <c r="AN602" s="4"/>
      <c r="AO602" s="4">
        <f>IFERROR(__xludf.DUMMYFUNCTION("""COMPUTED_VALUE"""),140.0)</f>
        <v>140</v>
      </c>
      <c r="AP602" s="4"/>
      <c r="AQ602" s="4"/>
      <c r="AR602" s="4"/>
      <c r="AS602" s="4" t="str">
        <f>IFERROR(__xludf.DUMMYFUNCTION("""COMPUTED_VALUE"""),"FABIO DONATO")</f>
        <v>FABIO DONATO</v>
      </c>
      <c r="AT602" s="4" t="str">
        <f>IFERROR(__xludf.DUMMYFUNCTION("""COMPUTED_VALUE"""),"CAMILA HOLANDA")</f>
        <v>CAMILA HOLANDA</v>
      </c>
      <c r="AU602" s="4" t="str">
        <f>IFERROR(__xludf.DUMMYFUNCTION("""COMPUTED_VALUE"""),"Ana")</f>
        <v>Ana</v>
      </c>
      <c r="AV602" s="4">
        <f>IFERROR(__xludf.DUMMYFUNCTION("""COMPUTED_VALUE"""),0.0)</f>
        <v>0</v>
      </c>
      <c r="AW602" s="4">
        <f>IFERROR(__xludf.DUMMYFUNCTION("""COMPUTED_VALUE"""),0.0)</f>
        <v>0</v>
      </c>
      <c r="AX602" s="4">
        <f>IFERROR(__xludf.DUMMYFUNCTION("""COMPUTED_VALUE"""),0.0)</f>
        <v>0</v>
      </c>
      <c r="AY602" s="4"/>
      <c r="AZ602" s="4" t="str">
        <f>IFERROR(__xludf.DUMMYFUNCTION("""COMPUTED_VALUE"""),"Chinesa")</f>
        <v>Chinesa</v>
      </c>
      <c r="BA602" s="4" t="str">
        <f>IFERROR(__xludf.DUMMYFUNCTION("""COMPUTED_VALUE"""),"")</f>
        <v/>
      </c>
      <c r="BB602" s="4" t="str">
        <f>IFERROR(__xludf.DUMMYFUNCTION("""COMPUTED_VALUE"""),"")</f>
        <v/>
      </c>
      <c r="BC602" s="4" t="str">
        <f>IFERROR(__xludf.DUMMYFUNCTION("""COMPUTED_VALUE"""),"")</f>
        <v/>
      </c>
      <c r="BD602" s="4" t="str">
        <f>IFERROR(__xludf.DUMMYFUNCTION("""COMPUTED_VALUE"""),"")</f>
        <v/>
      </c>
      <c r="BE602" s="4" t="str">
        <f>IFERROR(__xludf.DUMMYFUNCTION("""COMPUTED_VALUE"""),"")</f>
        <v/>
      </c>
      <c r="BF602" s="4" t="str">
        <f>IFERROR(__xludf.DUMMYFUNCTION("""COMPUTED_VALUE"""),"")</f>
        <v/>
      </c>
      <c r="BG602" s="4" t="str">
        <f>IFERROR(__xludf.DUMMYFUNCTION("""COMPUTED_VALUE"""),"")</f>
        <v/>
      </c>
      <c r="BH602" s="4" t="s">
        <v>69</v>
      </c>
      <c r="BI602" s="7">
        <v>0.8913043478260869</v>
      </c>
    </row>
    <row r="603" hidden="1">
      <c r="A603" s="4" t="str">
        <f>IFERROR(__xludf.DUMMYFUNCTION("""COMPUTED_VALUE"""),"Grupo Kosho")</f>
        <v>Grupo Kosho</v>
      </c>
      <c r="B603" s="4" t="str">
        <f>IFERROR(__xludf.DUMMYFUNCTION("""COMPUTED_VALUE"""),"Ana")</f>
        <v>Ana</v>
      </c>
      <c r="C603" s="4" t="str">
        <f>IFERROR(__xludf.DUMMYFUNCTION("""COMPUTED_VALUE"""),"Ana")</f>
        <v>Ana</v>
      </c>
      <c r="D603" s="4" t="str">
        <f>IFERROR(__xludf.DUMMYFUNCTION("""COMPUTED_VALUE"""),"10. Perdido")</f>
        <v>10. Perdido</v>
      </c>
      <c r="E603" s="4" t="str">
        <f>IFERROR(__xludf.DUMMYFUNCTION("""COMPUTED_VALUE"""),"Perdido - Outro (detalhar ao lado)")</f>
        <v>Perdido - Outro (detalhar ao lado)</v>
      </c>
      <c r="F603" s="4" t="str">
        <f>IFERROR(__xludf.DUMMYFUNCTION("""COMPUTED_VALUE"""),"P")</f>
        <v>P</v>
      </c>
      <c r="G603" s="5">
        <f>IFERROR(__xludf.DUMMYFUNCTION("""COMPUTED_VALUE"""),46076.0)</f>
        <v>46076</v>
      </c>
      <c r="H603" s="4" t="str">
        <f>IFERROR(__xludf.DUMMYFUNCTION("""COMPUTED_VALUE"""),"Parceiro usa colibri e concorrente desenvolveu dor que o parceiro tinha e ele decidiu manter com o atual fornecedor.")</f>
        <v>Parceiro usa colibri e concorrente desenvolveu dor que o parceiro tinha e ele decidiu manter com o atual fornecedor.</v>
      </c>
      <c r="I603" s="4"/>
      <c r="J603" s="4"/>
      <c r="K603" s="6">
        <f>IFERROR(__xludf.DUMMYFUNCTION("""COMPUTED_VALUE"""),45952.0)</f>
        <v>45952</v>
      </c>
      <c r="L603" s="4"/>
      <c r="M603" s="4"/>
      <c r="N603" s="4"/>
      <c r="O603" s="4"/>
      <c r="P603" s="4"/>
      <c r="Q603" s="4"/>
      <c r="R603" s="6">
        <f>IFERROR(__xludf.DUMMYFUNCTION("""COMPUTED_VALUE"""),46052.4313667824)</f>
        <v>46052.43137</v>
      </c>
      <c r="S603" s="4"/>
      <c r="T603" s="4"/>
      <c r="U603" s="4"/>
      <c r="V603" s="4" t="str">
        <f>IFERROR(__xludf.DUMMYFUNCTION("""COMPUTED_VALUE"""),"Sem interesse em mudar de PDV")</f>
        <v>Sem interesse em mudar de PDV</v>
      </c>
      <c r="W603" s="4"/>
      <c r="X603" s="4"/>
      <c r="Y603" s="4"/>
      <c r="Z603" s="4"/>
      <c r="AA603" s="4">
        <f>IFERROR(__xludf.DUMMYFUNCTION("""COMPUTED_VALUE"""),2.0)</f>
        <v>2</v>
      </c>
      <c r="AB603" s="4" t="str">
        <f>IFERROR(__xludf.DUMMYFUNCTION("""COMPUTED_VALUE"""),"NÃO")</f>
        <v>NÃO</v>
      </c>
      <c r="AC603" s="4" t="str">
        <f>IFERROR(__xludf.DUMMYFUNCTION("""COMPUTED_VALUE"""),"BP")</f>
        <v>BP</v>
      </c>
      <c r="AD603" s="4"/>
      <c r="AE603" s="4"/>
      <c r="AF603" s="4"/>
      <c r="AG603" s="4"/>
      <c r="AH603" s="4"/>
      <c r="AI603" s="4"/>
      <c r="AJ603" s="4"/>
      <c r="AK603" s="4"/>
      <c r="AL603" s="4"/>
      <c r="AM603" s="4" t="str">
        <f>IFERROR(__xludf.DUMMYFUNCTION("""COMPUTED_VALUE"""),"FY26")</f>
        <v>FY26</v>
      </c>
      <c r="AN603" s="4"/>
      <c r="AO603" s="4">
        <f>IFERROR(__xludf.DUMMYFUNCTION("""COMPUTED_VALUE"""),140.0)</f>
        <v>140</v>
      </c>
      <c r="AP603" s="4"/>
      <c r="AQ603" s="4"/>
      <c r="AR603" s="4"/>
      <c r="AS603" s="4">
        <f>IFERROR(__xludf.DUMMYFUNCTION("""COMPUTED_VALUE"""),0.0)</f>
        <v>0</v>
      </c>
      <c r="AT603" s="4">
        <f>IFERROR(__xludf.DUMMYFUNCTION("""COMPUTED_VALUE"""),0.0)</f>
        <v>0</v>
      </c>
      <c r="AU603" s="4" t="str">
        <f>IFERROR(__xludf.DUMMYFUNCTION("""COMPUTED_VALUE"""),"Ana")</f>
        <v>Ana</v>
      </c>
      <c r="AV603" s="4">
        <f>IFERROR(__xludf.DUMMYFUNCTION("""COMPUTED_VALUE"""),0.0)</f>
        <v>0</v>
      </c>
      <c r="AW603" s="4">
        <f>IFERROR(__xludf.DUMMYFUNCTION("""COMPUTED_VALUE"""),0.0)</f>
        <v>0</v>
      </c>
      <c r="AX603" s="4">
        <f>IFERROR(__xludf.DUMMYFUNCTION("""COMPUTED_VALUE"""),0.0)</f>
        <v>0</v>
      </c>
      <c r="AY603" s="4"/>
      <c r="AZ603" s="4" t="str">
        <f>IFERROR(__xludf.DUMMYFUNCTION("""COMPUTED_VALUE"""),"Japonesa")</f>
        <v>Japonesa</v>
      </c>
      <c r="BA603" s="4" t="str">
        <f>IFERROR(__xludf.DUMMYFUNCTION("""COMPUTED_VALUE"""),"")</f>
        <v/>
      </c>
      <c r="BB603" s="4" t="str">
        <f>IFERROR(__xludf.DUMMYFUNCTION("""COMPUTED_VALUE"""),"")</f>
        <v/>
      </c>
      <c r="BC603" s="4" t="str">
        <f>IFERROR(__xludf.DUMMYFUNCTION("""COMPUTED_VALUE"""),"")</f>
        <v/>
      </c>
      <c r="BD603" s="4" t="str">
        <f>IFERROR(__xludf.DUMMYFUNCTION("""COMPUTED_VALUE"""),"")</f>
        <v/>
      </c>
      <c r="BE603" s="4" t="str">
        <f>IFERROR(__xludf.DUMMYFUNCTION("""COMPUTED_VALUE"""),"")</f>
        <v/>
      </c>
      <c r="BF603" s="4" t="str">
        <f>IFERROR(__xludf.DUMMYFUNCTION("""COMPUTED_VALUE"""),"")</f>
        <v/>
      </c>
      <c r="BG603" s="4" t="str">
        <f>IFERROR(__xludf.DUMMYFUNCTION("""COMPUTED_VALUE"""),"")</f>
        <v/>
      </c>
      <c r="BH603" s="4" t="s">
        <v>74</v>
      </c>
      <c r="BI603" s="7">
        <v>0.6</v>
      </c>
    </row>
    <row r="604" hidden="1">
      <c r="A604" s="4" t="str">
        <f>IFERROR(__xludf.DUMMYFUNCTION("""COMPUTED_VALUE"""),"Grupo Le Jazz")</f>
        <v>Grupo Le Jazz</v>
      </c>
      <c r="B604" s="4" t="str">
        <f>IFERROR(__xludf.DUMMYFUNCTION("""COMPUTED_VALUE"""),"Ana")</f>
        <v>Ana</v>
      </c>
      <c r="C604" s="4" t="str">
        <f>IFERROR(__xludf.DUMMYFUNCTION("""COMPUTED_VALUE"""),"Ana")</f>
        <v>Ana</v>
      </c>
      <c r="D604" s="4" t="str">
        <f>IFERROR(__xludf.DUMMYFUNCTION("""COMPUTED_VALUE"""),"10. Perdido")</f>
        <v>10. Perdido</v>
      </c>
      <c r="E604" s="4" t="str">
        <f>IFERROR(__xludf.DUMMYFUNCTION("""COMPUTED_VALUE"""),"Perdido - Outro (detalhar ao lado)")</f>
        <v>Perdido - Outro (detalhar ao lado)</v>
      </c>
      <c r="F604" s="4" t="str">
        <f>IFERROR(__xludf.DUMMYFUNCTION("""COMPUTED_VALUE"""),"P")</f>
        <v>P</v>
      </c>
      <c r="G604" s="5">
        <f>IFERROR(__xludf.DUMMYFUNCTION("""COMPUTED_VALUE"""),46076.0)</f>
        <v>46076</v>
      </c>
      <c r="H604" s="4" t="str">
        <f>IFERROR(__xludf.DUMMYFUNCTION("""COMPUTED_VALUE"""),"Satisfeito com o Gula Menu. Sem interesse em mudar.")</f>
        <v>Satisfeito com o Gula Menu. Sem interesse em mudar.</v>
      </c>
      <c r="I604" s="4"/>
      <c r="J604" s="4"/>
      <c r="K604" s="6">
        <f>IFERROR(__xludf.DUMMYFUNCTION("""COMPUTED_VALUE"""),45944.0)</f>
        <v>45944</v>
      </c>
      <c r="L604" s="4"/>
      <c r="M604" s="4"/>
      <c r="N604" s="4"/>
      <c r="O604" s="4"/>
      <c r="P604" s="4"/>
      <c r="Q604" s="4"/>
      <c r="R604" s="6">
        <f>IFERROR(__xludf.DUMMYFUNCTION("""COMPUTED_VALUE"""),46057.65092699074)</f>
        <v>46057.65093</v>
      </c>
      <c r="S604" s="4"/>
      <c r="T604" s="4"/>
      <c r="U604" s="4"/>
      <c r="V604" s="4" t="str">
        <f>IFERROR(__xludf.DUMMYFUNCTION("""COMPUTED_VALUE"""),"Sem interesse em mudar de PDV")</f>
        <v>Sem interesse em mudar de PDV</v>
      </c>
      <c r="W604" s="4"/>
      <c r="X604" s="4"/>
      <c r="Y604" s="4"/>
      <c r="Z604" s="4"/>
      <c r="AA604" s="4">
        <f>IFERROR(__xludf.DUMMYFUNCTION("""COMPUTED_VALUE"""),3.0)</f>
        <v>3</v>
      </c>
      <c r="AB604" s="4" t="str">
        <f>IFERROR(__xludf.DUMMYFUNCTION("""COMPUTED_VALUE"""),"NÃO")</f>
        <v>NÃO</v>
      </c>
      <c r="AC604" s="4" t="str">
        <f>IFERROR(__xludf.DUMMYFUNCTION("""COMPUTED_VALUE"""),"BP")</f>
        <v>BP</v>
      </c>
      <c r="AD604" s="4"/>
      <c r="AE604" s="4"/>
      <c r="AF604" s="4"/>
      <c r="AG604" s="4"/>
      <c r="AH604" s="4"/>
      <c r="AI604" s="4"/>
      <c r="AJ604" s="4"/>
      <c r="AK604" s="4"/>
      <c r="AL604" s="4"/>
      <c r="AM604" s="4" t="str">
        <f>IFERROR(__xludf.DUMMYFUNCTION("""COMPUTED_VALUE"""),"FY26")</f>
        <v>FY26</v>
      </c>
      <c r="AN604" s="4"/>
      <c r="AO604" s="4">
        <f>IFERROR(__xludf.DUMMYFUNCTION("""COMPUTED_VALUE"""),140.0)</f>
        <v>140</v>
      </c>
      <c r="AP604" s="4"/>
      <c r="AQ604" s="4"/>
      <c r="AR604" s="4"/>
      <c r="AS604" s="4">
        <f>IFERROR(__xludf.DUMMYFUNCTION("""COMPUTED_VALUE"""),0.0)</f>
        <v>0</v>
      </c>
      <c r="AT604" s="4">
        <f>IFERROR(__xludf.DUMMYFUNCTION("""COMPUTED_VALUE"""),0.0)</f>
        <v>0</v>
      </c>
      <c r="AU604" s="4" t="str">
        <f>IFERROR(__xludf.DUMMYFUNCTION("""COMPUTED_VALUE"""),"Ana")</f>
        <v>Ana</v>
      </c>
      <c r="AV604" s="4">
        <f>IFERROR(__xludf.DUMMYFUNCTION("""COMPUTED_VALUE"""),0.0)</f>
        <v>0</v>
      </c>
      <c r="AW604" s="4">
        <f>IFERROR(__xludf.DUMMYFUNCTION("""COMPUTED_VALUE"""),0.0)</f>
        <v>0</v>
      </c>
      <c r="AX604" s="4">
        <f>IFERROR(__xludf.DUMMYFUNCTION("""COMPUTED_VALUE"""),0.0)</f>
        <v>0</v>
      </c>
      <c r="AY604" s="4"/>
      <c r="AZ604" s="4" t="str">
        <f>IFERROR(__xludf.DUMMYFUNCTION("""COMPUTED_VALUE"""),"Lanches")</f>
        <v>Lanches</v>
      </c>
      <c r="BA604" s="4" t="str">
        <f>IFERROR(__xludf.DUMMYFUNCTION("""COMPUTED_VALUE"""),"")</f>
        <v/>
      </c>
      <c r="BB604" s="4" t="str">
        <f>IFERROR(__xludf.DUMMYFUNCTION("""COMPUTED_VALUE"""),"")</f>
        <v/>
      </c>
      <c r="BC604" s="4" t="str">
        <f>IFERROR(__xludf.DUMMYFUNCTION("""COMPUTED_VALUE"""),"")</f>
        <v/>
      </c>
      <c r="BD604" s="4" t="str">
        <f>IFERROR(__xludf.DUMMYFUNCTION("""COMPUTED_VALUE"""),"")</f>
        <v/>
      </c>
      <c r="BE604" s="4" t="str">
        <f>IFERROR(__xludf.DUMMYFUNCTION("""COMPUTED_VALUE"""),"")</f>
        <v/>
      </c>
      <c r="BF604" s="4" t="str">
        <f>IFERROR(__xludf.DUMMYFUNCTION("""COMPUTED_VALUE"""),"")</f>
        <v/>
      </c>
      <c r="BG604" s="4" t="str">
        <f>IFERROR(__xludf.DUMMYFUNCTION("""COMPUTED_VALUE"""),"")</f>
        <v/>
      </c>
      <c r="BH604" s="4" t="s">
        <v>137</v>
      </c>
      <c r="BI604" s="7">
        <v>1.0</v>
      </c>
    </row>
    <row r="605" hidden="1">
      <c r="A605" s="4" t="str">
        <f>IFERROR(__xludf.DUMMYFUNCTION("""COMPUTED_VALUE"""),"Grupo Nakka")</f>
        <v>Grupo Nakka</v>
      </c>
      <c r="B605" s="4" t="str">
        <f>IFERROR(__xludf.DUMMYFUNCTION("""COMPUTED_VALUE"""),"Ana")</f>
        <v>Ana</v>
      </c>
      <c r="C605" s="4" t="str">
        <f>IFERROR(__xludf.DUMMYFUNCTION("""COMPUTED_VALUE"""),"Ana")</f>
        <v>Ana</v>
      </c>
      <c r="D605" s="4" t="str">
        <f>IFERROR(__xludf.DUMMYFUNCTION("""COMPUTED_VALUE"""),"12. Orgânico")</f>
        <v>12. Orgânico</v>
      </c>
      <c r="E605" s="4" t="str">
        <f>IFERROR(__xludf.DUMMYFUNCTION("""COMPUTED_VALUE""")," Projetos - Contrato assinado &amp; Rollout")</f>
        <v> Projetos - Contrato assinado &amp; Rollout</v>
      </c>
      <c r="F605" s="4" t="str">
        <f>IFERROR(__xludf.DUMMYFUNCTION("""COMPUTED_VALUE"""),"P")</f>
        <v>P</v>
      </c>
      <c r="G605" s="5">
        <f>IFERROR(__xludf.DUMMYFUNCTION("""COMPUTED_VALUE"""),46076.0)</f>
        <v>46076</v>
      </c>
      <c r="H605" s="4" t="str">
        <f>IFERROR(__xludf.DUMMYFUNCTION("""COMPUTED_VALUE"""),"contrato assinado")</f>
        <v>contrato assinado</v>
      </c>
      <c r="I605" s="4"/>
      <c r="J605" s="4"/>
      <c r="K605" s="6">
        <f>IFERROR(__xludf.DUMMYFUNCTION("""COMPUTED_VALUE"""),45901.0)</f>
        <v>45901</v>
      </c>
      <c r="L605" s="4"/>
      <c r="M605" s="4"/>
      <c r="N605" s="6">
        <f>IFERROR(__xludf.DUMMYFUNCTION("""COMPUTED_VALUE"""),46003.0)</f>
        <v>46003</v>
      </c>
      <c r="O605" s="4"/>
      <c r="P605" s="4"/>
      <c r="Q605" s="6">
        <f>IFERROR(__xludf.DUMMYFUNCTION("""COMPUTED_VALUE"""),46003.0)</f>
        <v>46003</v>
      </c>
      <c r="R605" s="4"/>
      <c r="S605" s="4"/>
      <c r="T605" s="6">
        <f>IFERROR(__xludf.DUMMYFUNCTION("""COMPUTED_VALUE"""),46090.423400266205)</f>
        <v>46090.4234</v>
      </c>
      <c r="U605" s="4"/>
      <c r="V605" s="4"/>
      <c r="W605" s="4"/>
      <c r="X605" s="4"/>
      <c r="Y605" s="4"/>
      <c r="Z605" s="4"/>
      <c r="AA605" s="4">
        <f>IFERROR(__xludf.DUMMYFUNCTION("""COMPUTED_VALUE"""),6.0)</f>
        <v>6</v>
      </c>
      <c r="AB605" s="4"/>
      <c r="AC605" s="4"/>
      <c r="AD605" s="4"/>
      <c r="AE605" s="4"/>
      <c r="AF605" s="4"/>
      <c r="AG605" s="4"/>
      <c r="AH605" s="4"/>
      <c r="AI605" s="4"/>
      <c r="AJ605" s="4"/>
      <c r="AK605" s="4"/>
      <c r="AL605" s="4"/>
      <c r="AM605" s="4" t="str">
        <f>IFERROR(__xludf.DUMMYFUNCTION("""COMPUTED_VALUE"""),"FY26")</f>
        <v>FY26</v>
      </c>
      <c r="AN605" s="4"/>
      <c r="AO605" s="4">
        <f>IFERROR(__xludf.DUMMYFUNCTION("""COMPUTED_VALUE"""),140.0)</f>
        <v>140</v>
      </c>
      <c r="AP605" s="4"/>
      <c r="AQ605" s="4"/>
      <c r="AR605" s="4"/>
      <c r="AS605" s="4" t="str">
        <f>IFERROR(__xludf.DUMMYFUNCTION("""COMPUTED_VALUE"""),"NATHALIE MERTENS")</f>
        <v>NATHALIE MERTENS</v>
      </c>
      <c r="AT605" s="4" t="str">
        <f>IFERROR(__xludf.DUMMYFUNCTION("""COMPUTED_VALUE"""),"MARIANA KATZ")</f>
        <v>MARIANA KATZ</v>
      </c>
      <c r="AU605" s="4" t="str">
        <f>IFERROR(__xludf.DUMMYFUNCTION("""COMPUTED_VALUE"""),"Ana")</f>
        <v>Ana</v>
      </c>
      <c r="AV605" s="4">
        <f>IFERROR(__xludf.DUMMYFUNCTION("""COMPUTED_VALUE"""),0.0)</f>
        <v>0</v>
      </c>
      <c r="AW605" s="4">
        <f>IFERROR(__xludf.DUMMYFUNCTION("""COMPUTED_VALUE"""),0.0)</f>
        <v>0</v>
      </c>
      <c r="AX605" s="4">
        <f>IFERROR(__xludf.DUMMYFUNCTION("""COMPUTED_VALUE"""),0.0)</f>
        <v>0</v>
      </c>
      <c r="AY605" s="4"/>
      <c r="AZ605" s="4" t="str">
        <f>IFERROR(__xludf.DUMMYFUNCTION("""COMPUTED_VALUE"""),"Japonesa")</f>
        <v>Japonesa</v>
      </c>
      <c r="BA605" s="4" t="str">
        <f>IFERROR(__xludf.DUMMYFUNCTION("""COMPUTED_VALUE"""),"")</f>
        <v/>
      </c>
      <c r="BB605" s="4" t="str">
        <f>IFERROR(__xludf.DUMMYFUNCTION("""COMPUTED_VALUE"""),"")</f>
        <v/>
      </c>
      <c r="BC605" s="4" t="str">
        <f>IFERROR(__xludf.DUMMYFUNCTION("""COMPUTED_VALUE"""),"")</f>
        <v/>
      </c>
      <c r="BD605" s="4" t="str">
        <f>IFERROR(__xludf.DUMMYFUNCTION("""COMPUTED_VALUE"""),"")</f>
        <v/>
      </c>
      <c r="BE605" s="4" t="str">
        <f>IFERROR(__xludf.DUMMYFUNCTION("""COMPUTED_VALUE"""),"")</f>
        <v/>
      </c>
      <c r="BF605" s="4" t="str">
        <f>IFERROR(__xludf.DUMMYFUNCTION("""COMPUTED_VALUE"""),"")</f>
        <v/>
      </c>
      <c r="BG605" s="4" t="str">
        <f>IFERROR(__xludf.DUMMYFUNCTION("""COMPUTED_VALUE"""),"")</f>
        <v/>
      </c>
      <c r="BH605" s="4" t="s">
        <v>145</v>
      </c>
      <c r="BI605" s="7">
        <v>0.8461538461538461</v>
      </c>
    </row>
    <row r="606">
      <c r="A606" s="4" t="str">
        <f>IFERROR(__xludf.DUMMYFUNCTION("""COMPUTED_VALUE"""),"Grupo Rao")</f>
        <v>Grupo Rao</v>
      </c>
      <c r="B606" s="4" t="str">
        <f>IFERROR(__xludf.DUMMYFUNCTION("""COMPUTED_VALUE"""),"Leonardo Roso")</f>
        <v>Leonardo Roso</v>
      </c>
      <c r="C606" s="4" t="str">
        <f>IFERROR(__xludf.DUMMYFUNCTION("""COMPUTED_VALUE"""),"Leonardo Roso")</f>
        <v>Leonardo Roso</v>
      </c>
      <c r="D606" s="4" t="str">
        <f>IFERROR(__xludf.DUMMYFUNCTION("""COMPUTED_VALUE"""),"10. Perdido")</f>
        <v>10. Perdido</v>
      </c>
      <c r="E606" s="4" t="str">
        <f>IFERROR(__xludf.DUMMYFUNCTION("""COMPUTED_VALUE"""),"Perdido - Sem perfil LA / 3SCheckout / PDV próprio")</f>
        <v>Perdido - Sem perfil LA / 3SCheckout / PDV próprio</v>
      </c>
      <c r="F606" s="4" t="str">
        <f>IFERROR(__xludf.DUMMYFUNCTION("""COMPUTED_VALUE"""),"G")</f>
        <v>G</v>
      </c>
      <c r="G606" s="4"/>
      <c r="H606" s="22" t="str">
        <f>IFERROR(__xludf.DUMMYFUNCTION("""COMPUTED_VALUE"""),"Possui PDV próprio, não faz sentido acionamento")</f>
        <v>Possui PDV próprio, não faz sentido acionamento</v>
      </c>
      <c r="I606" s="4"/>
      <c r="J606" s="4"/>
      <c r="K606" s="4"/>
      <c r="L606" s="4"/>
      <c r="M606" s="4"/>
      <c r="N606" s="4"/>
      <c r="O606" s="4"/>
      <c r="P606" s="4"/>
      <c r="Q606" s="4"/>
      <c r="R606" s="4"/>
      <c r="S606" s="4"/>
      <c r="T606" s="4"/>
      <c r="U606" s="4"/>
      <c r="V606" s="4" t="str">
        <f>IFERROR(__xludf.DUMMYFUNCTION("""COMPUTED_VALUE"""),"Sistema próprio")</f>
        <v>Sistema próprio</v>
      </c>
      <c r="W606" s="4"/>
      <c r="X606" s="4"/>
      <c r="Y606" s="4"/>
      <c r="Z606" s="4"/>
      <c r="AA606" s="4">
        <f>IFERROR(__xludf.DUMMYFUNCTION("""COMPUTED_VALUE"""),250.0)</f>
        <v>250</v>
      </c>
      <c r="AB606" s="4" t="str">
        <f>IFERROR(__xludf.DUMMYFUNCTION("""COMPUTED_VALUE"""),"KA")</f>
        <v>KA</v>
      </c>
      <c r="AC606" s="4" t="str">
        <f>IFERROR(__xludf.DUMMYFUNCTION("""COMPUTED_VALUE"""),"BP")</f>
        <v>BP</v>
      </c>
      <c r="AD606" s="4"/>
      <c r="AE606" s="4"/>
      <c r="AF606" s="4"/>
      <c r="AG606" s="4"/>
      <c r="AH606" s="4"/>
      <c r="AI606" s="4"/>
      <c r="AJ606" s="4"/>
      <c r="AK606" s="4"/>
      <c r="AL606" s="4"/>
      <c r="AM606" s="4" t="str">
        <f>IFERROR(__xludf.DUMMYFUNCTION("""COMPUTED_VALUE"""),"FY26")</f>
        <v>FY26</v>
      </c>
      <c r="AN606" s="4"/>
      <c r="AO606" s="4">
        <f>IFERROR(__xludf.DUMMYFUNCTION("""COMPUTED_VALUE"""),45553.0)</f>
        <v>45553</v>
      </c>
      <c r="AP606" s="4"/>
      <c r="AQ606" s="4"/>
      <c r="AR606" s="4"/>
      <c r="AS606" s="4">
        <f>IFERROR(__xludf.DUMMYFUNCTION("""COMPUTED_VALUE"""),0.0)</f>
        <v>0</v>
      </c>
      <c r="AT606" s="4">
        <f>IFERROR(__xludf.DUMMYFUNCTION("""COMPUTED_VALUE"""),0.0)</f>
        <v>0</v>
      </c>
      <c r="AU606" s="4" t="str">
        <f>IFERROR(__xludf.DUMMYFUNCTION("""COMPUTED_VALUE"""),"Leonardo Roso")</f>
        <v>Leonardo Roso</v>
      </c>
      <c r="AV606" s="4" t="str">
        <f>IFERROR(__xludf.DUMMYFUNCTION("""COMPUTED_VALUE"""),"Comer Fora-")</f>
        <v>Comer Fora-</v>
      </c>
      <c r="AW606" s="20" t="str">
        <f>IFERROR(__xludf.DUMMYFUNCTION("""COMPUTED_VALUE"""),"")</f>
        <v/>
      </c>
      <c r="AX606" s="4"/>
      <c r="AY606" s="4"/>
      <c r="AZ606" s="4" t="str">
        <f>IFERROR(__xludf.DUMMYFUNCTION("""COMPUTED_VALUE"""),"Crepe")</f>
        <v>Crepe</v>
      </c>
      <c r="BA606" s="4" t="str">
        <f>IFERROR(__xludf.DUMMYFUNCTION("""COMPUTED_VALUE"""),"")</f>
        <v/>
      </c>
      <c r="BB606" s="4" t="str">
        <f>IFERROR(__xludf.DUMMYFUNCTION("""COMPUTED_VALUE"""),"")</f>
        <v/>
      </c>
      <c r="BC606" s="4" t="str">
        <f>IFERROR(__xludf.DUMMYFUNCTION("""COMPUTED_VALUE"""),"")</f>
        <v/>
      </c>
      <c r="BD606" s="4" t="str">
        <f>IFERROR(__xludf.DUMMYFUNCTION("""COMPUTED_VALUE"""),"")</f>
        <v/>
      </c>
      <c r="BE606" s="4" t="str">
        <f>IFERROR(__xludf.DUMMYFUNCTION("""COMPUTED_VALUE"""),"")</f>
        <v/>
      </c>
      <c r="BF606" s="4" t="str">
        <f>IFERROR(__xludf.DUMMYFUNCTION("""COMPUTED_VALUE"""),"")</f>
        <v/>
      </c>
      <c r="BG606" s="4" t="str">
        <f>IFERROR(__xludf.DUMMYFUNCTION("""COMPUTED_VALUE"""),"")</f>
        <v/>
      </c>
      <c r="BH606" s="4" t="s">
        <v>149</v>
      </c>
      <c r="BI606" s="7">
        <v>0.73224043715847</v>
      </c>
    </row>
    <row r="607" hidden="1">
      <c r="A607" s="4" t="str">
        <f>IFERROR(__xludf.DUMMYFUNCTION("""COMPUTED_VALUE"""),"Grupo Ristorantino")</f>
        <v>Grupo Ristorantino</v>
      </c>
      <c r="B607" s="4" t="str">
        <f>IFERROR(__xludf.DUMMYFUNCTION("""COMPUTED_VALUE"""),"Iza")</f>
        <v>Iza</v>
      </c>
      <c r="C607" s="4" t="str">
        <f>IFERROR(__xludf.DUMMYFUNCTION("""COMPUTED_VALUE"""),"Iza")</f>
        <v>Iza</v>
      </c>
      <c r="D607" s="4" t="str">
        <f>IFERROR(__xludf.DUMMYFUNCTION("""COMPUTED_VALUE"""),"10. Perdido")</f>
        <v>10. Perdido</v>
      </c>
      <c r="E607" s="4" t="str">
        <f>IFERROR(__xludf.DUMMYFUNCTION("""COMPUTED_VALUE"""),"Perdido - Outro (detalhar ao lado)")</f>
        <v>Perdido - Outro (detalhar ao lado)</v>
      </c>
      <c r="F607" s="4" t="str">
        <f>IFERROR(__xludf.DUMMYFUNCTION("""COMPUTED_VALUE"""),"P")</f>
        <v>P</v>
      </c>
      <c r="G607" s="5">
        <f>IFERROR(__xludf.DUMMYFUNCTION("""COMPUTED_VALUE"""),46076.0)</f>
        <v>46076</v>
      </c>
      <c r="H607" s="4" t="str">
        <f>IFERROR(__xludf.DUMMYFUNCTION("""COMPUTED_VALUE"""),"Fechou com concorrente.")</f>
        <v>Fechou com concorrente.</v>
      </c>
      <c r="I607" s="4"/>
      <c r="J607" s="4"/>
      <c r="K607" s="6">
        <f>IFERROR(__xludf.DUMMYFUNCTION("""COMPUTED_VALUE"""),45932.0)</f>
        <v>45932</v>
      </c>
      <c r="L607" s="4"/>
      <c r="M607" s="4"/>
      <c r="N607" s="4"/>
      <c r="O607" s="4"/>
      <c r="P607" s="4"/>
      <c r="Q607" s="4"/>
      <c r="R607" s="4"/>
      <c r="S607" s="4"/>
      <c r="T607" s="4"/>
      <c r="U607" s="4"/>
      <c r="V607" s="4" t="str">
        <f>IFERROR(__xludf.DUMMYFUNCTION("""COMPUTED_VALUE"""),"Fechou com concorrente há pouco tempo")</f>
        <v>Fechou com concorrente há pouco tempo</v>
      </c>
      <c r="W607" s="4"/>
      <c r="X607" s="4"/>
      <c r="Y607" s="4"/>
      <c r="Z607" s="4"/>
      <c r="AA607" s="4">
        <f>IFERROR(__xludf.DUMMYFUNCTION("""COMPUTED_VALUE"""),6.0)</f>
        <v>6</v>
      </c>
      <c r="AB607" s="4" t="str">
        <f>IFERROR(__xludf.DUMMYFUNCTION("""COMPUTED_VALUE"""),"NÃO")</f>
        <v>NÃO</v>
      </c>
      <c r="AC607" s="4" t="str">
        <f>IFERROR(__xludf.DUMMYFUNCTION("""COMPUTED_VALUE"""),"Não BP")</f>
        <v>Não BP</v>
      </c>
      <c r="AD607" s="4"/>
      <c r="AE607" s="4"/>
      <c r="AF607" s="4"/>
      <c r="AG607" s="4"/>
      <c r="AH607" s="4"/>
      <c r="AI607" s="4"/>
      <c r="AJ607" s="4"/>
      <c r="AK607" s="4"/>
      <c r="AL607" s="4"/>
      <c r="AM607" s="4" t="str">
        <f>IFERROR(__xludf.DUMMYFUNCTION("""COMPUTED_VALUE"""),"FY26")</f>
        <v>FY26</v>
      </c>
      <c r="AN607" s="4" t="str">
        <f>IFERROR(__xludf.DUMMYFUNCTION("""COMPUTED_VALUE"""),"Comer Fora")</f>
        <v>Comer Fora</v>
      </c>
      <c r="AO607" s="4">
        <f>IFERROR(__xludf.DUMMYFUNCTION("""COMPUTED_VALUE"""),140.0)</f>
        <v>140</v>
      </c>
      <c r="AP607" s="4"/>
      <c r="AQ607" s="4"/>
      <c r="AR607" s="4"/>
      <c r="AS607" s="4" t="str">
        <f>IFERROR(__xludf.DUMMYFUNCTION("""COMPUTED_VALUE"""),"NATHALIE MERTENS")</f>
        <v>NATHALIE MERTENS</v>
      </c>
      <c r="AT607" s="4" t="str">
        <f>IFERROR(__xludf.DUMMYFUNCTION("""COMPUTED_VALUE"""),"MARIANA KATZ")</f>
        <v>MARIANA KATZ</v>
      </c>
      <c r="AU607" s="4" t="str">
        <f>IFERROR(__xludf.DUMMYFUNCTION("""COMPUTED_VALUE"""),"Iza")</f>
        <v>Iza</v>
      </c>
      <c r="AV607" s="4" t="str">
        <f>IFERROR(__xludf.DUMMYFUNCTION("""COMPUTED_VALUE"""),"Comer Fora-")</f>
        <v>Comer Fora-</v>
      </c>
      <c r="AW607" s="20" t="str">
        <f>IFERROR(__xludf.DUMMYFUNCTION("""COMPUTED_VALUE"""),"P e M - pipe")</f>
        <v>P e M - pipe</v>
      </c>
      <c r="AX607" s="4"/>
      <c r="AY607" s="4"/>
      <c r="AZ607" s="4" t="str">
        <f>IFERROR(__xludf.DUMMYFUNCTION("""COMPUTED_VALUE"""),"Italiana")</f>
        <v>Italiana</v>
      </c>
      <c r="BA607" s="4" t="str">
        <f>IFERROR(__xludf.DUMMYFUNCTION("""COMPUTED_VALUE"""),"")</f>
        <v/>
      </c>
      <c r="BB607" s="4" t="str">
        <f>IFERROR(__xludf.DUMMYFUNCTION("""COMPUTED_VALUE"""),"")</f>
        <v/>
      </c>
      <c r="BC607" s="4" t="str">
        <f>IFERROR(__xludf.DUMMYFUNCTION("""COMPUTED_VALUE"""),"")</f>
        <v/>
      </c>
      <c r="BD607" s="4" t="str">
        <f>IFERROR(__xludf.DUMMYFUNCTION("""COMPUTED_VALUE"""),"")</f>
        <v/>
      </c>
      <c r="BE607" s="4" t="str">
        <f>IFERROR(__xludf.DUMMYFUNCTION("""COMPUTED_VALUE"""),"")</f>
        <v/>
      </c>
      <c r="BF607" s="4" t="str">
        <f>IFERROR(__xludf.DUMMYFUNCTION("""COMPUTED_VALUE"""),"")</f>
        <v/>
      </c>
      <c r="BG607" s="4" t="str">
        <f>IFERROR(__xludf.DUMMYFUNCTION("""COMPUTED_VALUE"""),"")</f>
        <v/>
      </c>
      <c r="BH607" s="4" t="s">
        <v>84</v>
      </c>
      <c r="BI607" s="7">
        <v>1.0</v>
      </c>
    </row>
    <row r="608" hidden="1">
      <c r="A608" s="4" t="str">
        <f>IFERROR(__xludf.DUMMYFUNCTION("""COMPUTED_VALUE"""),"Grupo Tradi")</f>
        <v>Grupo Tradi</v>
      </c>
      <c r="B608" s="4" t="str">
        <f>IFERROR(__xludf.DUMMYFUNCTION("""COMPUTED_VALUE"""),"Ana")</f>
        <v>Ana</v>
      </c>
      <c r="C608" s="4" t="str">
        <f>IFERROR(__xludf.DUMMYFUNCTION("""COMPUTED_VALUE"""),"Ana")</f>
        <v>Ana</v>
      </c>
      <c r="D608" s="4" t="str">
        <f>IFERROR(__xludf.DUMMYFUNCTION("""COMPUTED_VALUE"""),"10. Perdido")</f>
        <v>10. Perdido</v>
      </c>
      <c r="E608" s="4" t="str">
        <f>IFERROR(__xludf.DUMMYFUNCTION("""COMPUTED_VALUE"""),"Perdido -  Momento do restaurante não favorável")</f>
        <v>Perdido -  Momento do restaurante não favorável</v>
      </c>
      <c r="F608" s="4" t="str">
        <f>IFERROR(__xludf.DUMMYFUNCTION("""COMPUTED_VALUE"""),"P")</f>
        <v>P</v>
      </c>
      <c r="G608" s="5">
        <f>IFERROR(__xludf.DUMMYFUNCTION("""COMPUTED_VALUE"""),46076.0)</f>
        <v>46076</v>
      </c>
      <c r="H608" s="4" t="str">
        <f>IFERROR(__xludf.DUMMYFUNCTION("""COMPUTED_VALUE"""),"Perdido por relaciomanento delivery. Quebra exclusividade.")</f>
        <v>Perdido por relaciomanento delivery. Quebra exclusividade.</v>
      </c>
      <c r="I608" s="4"/>
      <c r="J608" s="4"/>
      <c r="K608" s="6">
        <f>IFERROR(__xludf.DUMMYFUNCTION("""COMPUTED_VALUE"""),45918.0)</f>
        <v>45918</v>
      </c>
      <c r="L608" s="4"/>
      <c r="M608" s="4"/>
      <c r="N608" s="4"/>
      <c r="O608" s="4"/>
      <c r="P608" s="4"/>
      <c r="Q608" s="4"/>
      <c r="R608" s="6">
        <f>IFERROR(__xludf.DUMMYFUNCTION("""COMPUTED_VALUE"""),46063.60277297454)</f>
        <v>46063.60277</v>
      </c>
      <c r="S608" s="6">
        <f>IFERROR(__xludf.DUMMYFUNCTION("""COMPUTED_VALUE"""),46063.60376517361)</f>
        <v>46063.60377</v>
      </c>
      <c r="T608" s="4"/>
      <c r="U608" s="4"/>
      <c r="V608" s="4" t="str">
        <f>IFERROR(__xludf.DUMMYFUNCTION("""COMPUTED_VALUE"""),"Atrito Negociação")</f>
        <v>Atrito Negociação</v>
      </c>
      <c r="W608" s="4"/>
      <c r="X608" s="4"/>
      <c r="Y608" s="4"/>
      <c r="Z608" s="4"/>
      <c r="AA608" s="4">
        <f>IFERROR(__xludf.DUMMYFUNCTION("""COMPUTED_VALUE"""),9.0)</f>
        <v>9</v>
      </c>
      <c r="AB608" s="4" t="str">
        <f>IFERROR(__xludf.DUMMYFUNCTION("""COMPUTED_VALUE"""),"NÃO")</f>
        <v>NÃO</v>
      </c>
      <c r="AC608" s="4" t="str">
        <f>IFERROR(__xludf.DUMMYFUNCTION("""COMPUTED_VALUE"""),"BP")</f>
        <v>BP</v>
      </c>
      <c r="AD608" s="4"/>
      <c r="AE608" s="4"/>
      <c r="AF608" s="4"/>
      <c r="AG608" s="4"/>
      <c r="AH608" s="4"/>
      <c r="AI608" s="4"/>
      <c r="AJ608" s="4"/>
      <c r="AK608" s="4"/>
      <c r="AL608" s="4"/>
      <c r="AM608" s="4" t="str">
        <f>IFERROR(__xludf.DUMMYFUNCTION("""COMPUTED_VALUE"""),"FY26")</f>
        <v>FY26</v>
      </c>
      <c r="AN608" s="4"/>
      <c r="AO608" s="4">
        <f>IFERROR(__xludf.DUMMYFUNCTION("""COMPUTED_VALUE"""),140.0)</f>
        <v>140</v>
      </c>
      <c r="AP608" s="4"/>
      <c r="AQ608" s="4"/>
      <c r="AR608" s="4"/>
      <c r="AS608" s="4" t="str">
        <f>IFERROR(__xludf.DUMMYFUNCTION("""COMPUTED_VALUE"""),"THIAGO ROMAGNOLE")</f>
        <v>THIAGO ROMAGNOLE</v>
      </c>
      <c r="AT608" s="4" t="str">
        <f>IFERROR(__xludf.DUMMYFUNCTION("""COMPUTED_VALUE"""),"ANDERSON LAUREANO")</f>
        <v>ANDERSON LAUREANO</v>
      </c>
      <c r="AU608" s="4" t="str">
        <f>IFERROR(__xludf.DUMMYFUNCTION("""COMPUTED_VALUE"""),"Ana")</f>
        <v>Ana</v>
      </c>
      <c r="AV608" s="4">
        <f>IFERROR(__xludf.DUMMYFUNCTION("""COMPUTED_VALUE"""),0.0)</f>
        <v>0</v>
      </c>
      <c r="AW608" s="4">
        <f>IFERROR(__xludf.DUMMYFUNCTION("""COMPUTED_VALUE"""),0.0)</f>
        <v>0</v>
      </c>
      <c r="AX608" s="4">
        <f>IFERROR(__xludf.DUMMYFUNCTION("""COMPUTED_VALUE"""),0.0)</f>
        <v>0</v>
      </c>
      <c r="AY608" s="4"/>
      <c r="AZ608" s="4" t="str">
        <f>IFERROR(__xludf.DUMMYFUNCTION("""COMPUTED_VALUE"""),"Hambúrguer")</f>
        <v>Hambúrguer</v>
      </c>
      <c r="BA608" s="4" t="str">
        <f>IFERROR(__xludf.DUMMYFUNCTION("""COMPUTED_VALUE"""),"")</f>
        <v/>
      </c>
      <c r="BB608" s="4" t="str">
        <f>IFERROR(__xludf.DUMMYFUNCTION("""COMPUTED_VALUE"""),"")</f>
        <v/>
      </c>
      <c r="BC608" s="4" t="str">
        <f>IFERROR(__xludf.DUMMYFUNCTION("""COMPUTED_VALUE"""),"")</f>
        <v/>
      </c>
      <c r="BD608" s="4" t="str">
        <f>IFERROR(__xludf.DUMMYFUNCTION("""COMPUTED_VALUE"""),"")</f>
        <v/>
      </c>
      <c r="BE608" s="4" t="str">
        <f>IFERROR(__xludf.DUMMYFUNCTION("""COMPUTED_VALUE"""),"")</f>
        <v/>
      </c>
      <c r="BF608" s="4" t="str">
        <f>IFERROR(__xludf.DUMMYFUNCTION("""COMPUTED_VALUE"""),"")</f>
        <v/>
      </c>
      <c r="BG608" s="4" t="str">
        <f>IFERROR(__xludf.DUMMYFUNCTION("""COMPUTED_VALUE"""),"")</f>
        <v/>
      </c>
      <c r="BH608" s="4" t="s">
        <v>78</v>
      </c>
      <c r="BI608" s="7">
        <v>0.875</v>
      </c>
    </row>
    <row r="609">
      <c r="A609" s="4" t="str">
        <f>IFERROR(__xludf.DUMMYFUNCTION("""COMPUTED_VALUE"""),"Grupo Trigo/Trends (Spoleto, China, Gendai)")</f>
        <v>Grupo Trigo/Trends (Spoleto, China, Gendai)</v>
      </c>
      <c r="B609" s="4" t="str">
        <f>IFERROR(__xludf.DUMMYFUNCTION("""COMPUTED_VALUE"""),"Samuel")</f>
        <v>Samuel</v>
      </c>
      <c r="C609" s="4" t="str">
        <f>IFERROR(__xludf.DUMMYFUNCTION("""COMPUTED_VALUE"""),"Samuel")</f>
        <v>Samuel</v>
      </c>
      <c r="D609" s="4" t="str">
        <f>IFERROR(__xludf.DUMMYFUNCTION("""COMPUTED_VALUE"""),"10. Perdido")</f>
        <v>10. Perdido</v>
      </c>
      <c r="E609" s="4" t="str">
        <f>IFERROR(__xludf.DUMMYFUNCTION("""COMPUTED_VALUE"""),"Perdido -  Momento do restaurante não favorável")</f>
        <v>Perdido -  Momento do restaurante não favorável</v>
      </c>
      <c r="F609" s="4" t="str">
        <f>IFERROR(__xludf.DUMMYFUNCTION("""COMPUTED_VALUE"""),"G")</f>
        <v>G</v>
      </c>
      <c r="G609" s="5">
        <f>IFERROR(__xludf.DUMMYFUNCTION("""COMPUTED_VALUE"""),46073.0)</f>
        <v>46073</v>
      </c>
      <c r="H609" s="4" t="str">
        <f>IFERROR(__xludf.DUMMYFUNCTION("""COMPUTED_VALUE"""),"Parceiro com Gcom - Não é estratégico atacar com PDV nesse momento. Com totem VS e iniciaremos abordagem de Comer Fora.")</f>
        <v>Parceiro com Gcom - Não é estratégico atacar com PDV nesse momento. Com totem VS e iniciaremos abordagem de Comer Fora.</v>
      </c>
      <c r="I609" s="4"/>
      <c r="J609" s="4"/>
      <c r="K609" s="4"/>
      <c r="L609" s="4"/>
      <c r="M609" s="4"/>
      <c r="N609" s="4"/>
      <c r="O609" s="4"/>
      <c r="P609" s="4"/>
      <c r="Q609" s="4"/>
      <c r="R609" s="6">
        <f>IFERROR(__xludf.DUMMYFUNCTION("""COMPUTED_VALUE"""),46057.65012637731)</f>
        <v>46057.65013</v>
      </c>
      <c r="S609" s="4"/>
      <c r="T609" s="4"/>
      <c r="U609" s="4"/>
      <c r="V609" s="4" t="str">
        <f>IFERROR(__xludf.DUMMYFUNCTION("""COMPUTED_VALUE"""),"Sistema próprio")</f>
        <v>Sistema próprio</v>
      </c>
      <c r="W609" s="4"/>
      <c r="X609" s="4"/>
      <c r="Y609" s="4"/>
      <c r="Z609" s="4"/>
      <c r="AA609" s="4">
        <f>IFERROR(__xludf.DUMMYFUNCTION("""COMPUTED_VALUE"""),900.0)</f>
        <v>900</v>
      </c>
      <c r="AB609" s="4" t="str">
        <f>IFERROR(__xludf.DUMMYFUNCTION("""COMPUTED_VALUE"""),"KA")</f>
        <v>KA</v>
      </c>
      <c r="AC609" s="4" t="str">
        <f>IFERROR(__xludf.DUMMYFUNCTION("""COMPUTED_VALUE"""),"BP")</f>
        <v>BP</v>
      </c>
      <c r="AD609" s="4"/>
      <c r="AE609" s="4"/>
      <c r="AF609" s="4"/>
      <c r="AG609" s="4"/>
      <c r="AH609" s="4"/>
      <c r="AI609" s="4"/>
      <c r="AJ609" s="4"/>
      <c r="AK609" s="4"/>
      <c r="AL609" s="4"/>
      <c r="AM609" s="4" t="str">
        <f>IFERROR(__xludf.DUMMYFUNCTION("""COMPUTED_VALUE"""),"FY26")</f>
        <v>FY26</v>
      </c>
      <c r="AN609" s="4"/>
      <c r="AO609" s="4">
        <f>IFERROR(__xludf.DUMMYFUNCTION("""COMPUTED_VALUE"""),143.0)</f>
        <v>143</v>
      </c>
      <c r="AP609" s="4"/>
      <c r="AQ609" s="4"/>
      <c r="AR609" s="4"/>
      <c r="AS609" s="4">
        <f>IFERROR(__xludf.DUMMYFUNCTION("""COMPUTED_VALUE"""),0.0)</f>
        <v>0</v>
      </c>
      <c r="AT609" s="4">
        <f>IFERROR(__xludf.DUMMYFUNCTION("""COMPUTED_VALUE"""),0.0)</f>
        <v>0</v>
      </c>
      <c r="AU609" s="4" t="str">
        <f>IFERROR(__xludf.DUMMYFUNCTION("""COMPUTED_VALUE"""),"Samuel")</f>
        <v>Samuel</v>
      </c>
      <c r="AV609" s="4">
        <f>IFERROR(__xludf.DUMMYFUNCTION("""COMPUTED_VALUE"""),0.0)</f>
        <v>0</v>
      </c>
      <c r="AW609" s="4">
        <f>IFERROR(__xludf.DUMMYFUNCTION("""COMPUTED_VALUE"""),0.0)</f>
        <v>0</v>
      </c>
      <c r="AX609" s="4">
        <f>IFERROR(__xludf.DUMMYFUNCTION("""COMPUTED_VALUE"""),0.0)</f>
        <v>0</v>
      </c>
      <c r="AY609" s="4"/>
      <c r="AZ609" s="4" t="str">
        <f>IFERROR(__xludf.DUMMYFUNCTION("""COMPUTED_VALUE"""),"#N/A")</f>
        <v>#N/A</v>
      </c>
      <c r="BA609" s="4" t="str">
        <f>IFERROR(__xludf.DUMMYFUNCTION("""COMPUTED_VALUE"""),"")</f>
        <v/>
      </c>
      <c r="BB609" s="4" t="str">
        <f>IFERROR(__xludf.DUMMYFUNCTION("""COMPUTED_VALUE"""),"")</f>
        <v/>
      </c>
      <c r="BC609" s="4" t="str">
        <f>IFERROR(__xludf.DUMMYFUNCTION("""COMPUTED_VALUE"""),"")</f>
        <v/>
      </c>
      <c r="BD609" s="4" t="str">
        <f>IFERROR(__xludf.DUMMYFUNCTION("""COMPUTED_VALUE"""),"")</f>
        <v/>
      </c>
      <c r="BE609" s="4" t="str">
        <f>IFERROR(__xludf.DUMMYFUNCTION("""COMPUTED_VALUE"""),"")</f>
        <v/>
      </c>
      <c r="BF609" s="4" t="str">
        <f>IFERROR(__xludf.DUMMYFUNCTION("""COMPUTED_VALUE"""),"")</f>
        <v/>
      </c>
      <c r="BG609" s="4" t="str">
        <f>IFERROR(__xludf.DUMMYFUNCTION("""COMPUTED_VALUE"""),"")</f>
        <v/>
      </c>
      <c r="BH609" s="4" t="s">
        <v>63</v>
      </c>
      <c r="BI609" s="7" t="s">
        <v>63</v>
      </c>
    </row>
    <row r="610" hidden="1">
      <c r="A610" s="4" t="str">
        <f>IFERROR(__xludf.DUMMYFUNCTION("""COMPUTED_VALUE"""),"Grupo Vivant")</f>
        <v>Grupo Vivant</v>
      </c>
      <c r="B610" s="4" t="str">
        <f>IFERROR(__xludf.DUMMYFUNCTION("""COMPUTED_VALUE"""),"Diego Santos")</f>
        <v>Diego Santos</v>
      </c>
      <c r="C610" s="4" t="str">
        <f>IFERROR(__xludf.DUMMYFUNCTION("""COMPUTED_VALUE"""),"Diego Santos")</f>
        <v>Diego Santos</v>
      </c>
      <c r="D610" s="4" t="str">
        <f>IFERROR(__xludf.DUMMYFUNCTION("""COMPUTED_VALUE"""),"10. Perdido")</f>
        <v>10. Perdido</v>
      </c>
      <c r="E610" s="4" t="str">
        <f>IFERROR(__xludf.DUMMYFUNCTION("""COMPUTED_VALUE"""),"Perdido - Outro (detalhar ao lado)")</f>
        <v>Perdido - Outro (detalhar ao lado)</v>
      </c>
      <c r="F610" s="4" t="str">
        <f>IFERROR(__xludf.DUMMYFUNCTION("""COMPUTED_VALUE"""),"P")</f>
        <v>P</v>
      </c>
      <c r="G610" s="5">
        <f>IFERROR(__xludf.DUMMYFUNCTION("""COMPUTED_VALUE"""),46076.0)</f>
        <v>46076</v>
      </c>
      <c r="H610" s="4" t="str">
        <f>IFERROR(__xludf.DUMMYFUNCTION("""COMPUTED_VALUE"""),"Cliente é amigo pessoa do dono da Teknisa, e já tinha sido contactado pela lidia e falou que não tem interesse nenhum em trocar solução. ")</f>
        <v>Cliente é amigo pessoa do dono da Teknisa, e já tinha sido contactado pela lidia e falou que não tem interesse nenhum em trocar solução. </v>
      </c>
      <c r="I610" s="4"/>
      <c r="J610" s="6">
        <f>IFERROR(__xludf.DUMMYFUNCTION("""COMPUTED_VALUE"""),46072.58624305556)</f>
        <v>46072.58624</v>
      </c>
      <c r="K610" s="6">
        <f>IFERROR(__xludf.DUMMYFUNCTION("""COMPUTED_VALUE"""),46072.58630484954)</f>
        <v>46072.5863</v>
      </c>
      <c r="L610" s="4"/>
      <c r="M610" s="4"/>
      <c r="N610" s="4"/>
      <c r="O610" s="4"/>
      <c r="P610" s="4"/>
      <c r="Q610" s="4"/>
      <c r="R610" s="6">
        <f>IFERROR(__xludf.DUMMYFUNCTION("""COMPUTED_VALUE"""),46072.59240194444)</f>
        <v>46072.5924</v>
      </c>
      <c r="S610" s="4"/>
      <c r="T610" s="4"/>
      <c r="U610" s="4"/>
      <c r="V610" s="4" t="str">
        <f>IFERROR(__xludf.DUMMYFUNCTION("""COMPUTED_VALUE"""),"Sem interesse em mudar de PDV")</f>
        <v>Sem interesse em mudar de PDV</v>
      </c>
      <c r="W610" s="4"/>
      <c r="X610" s="4"/>
      <c r="Y610" s="4"/>
      <c r="Z610" s="4"/>
      <c r="AA610" s="4">
        <f>IFERROR(__xludf.DUMMYFUNCTION("""COMPUTED_VALUE"""),15.0)</f>
        <v>15</v>
      </c>
      <c r="AB610" s="4" t="str">
        <f>IFERROR(__xludf.DUMMYFUNCTION("""COMPUTED_VALUE"""),"NÃO")</f>
        <v>NÃO</v>
      </c>
      <c r="AC610" s="4" t="str">
        <f>IFERROR(__xludf.DUMMYFUNCTION("""COMPUTED_VALUE"""),"BP")</f>
        <v>BP</v>
      </c>
      <c r="AD610" s="4"/>
      <c r="AE610" s="4"/>
      <c r="AF610" s="4"/>
      <c r="AG610" s="4"/>
      <c r="AH610" s="4"/>
      <c r="AI610" s="4"/>
      <c r="AJ610" s="4"/>
      <c r="AK610" s="4"/>
      <c r="AL610" s="4"/>
      <c r="AM610" s="4" t="str">
        <f>IFERROR(__xludf.DUMMYFUNCTION("""COMPUTED_VALUE"""),"FY26")</f>
        <v>FY26</v>
      </c>
      <c r="AN610" s="4" t="str">
        <f>IFERROR(__xludf.DUMMYFUNCTION("""COMPUTED_VALUE"""),"Comer Fora")</f>
        <v>Comer Fora</v>
      </c>
      <c r="AO610" s="4">
        <f>IFERROR(__xludf.DUMMYFUNCTION("""COMPUTED_VALUE"""),140.0)</f>
        <v>140</v>
      </c>
      <c r="AP610" s="4"/>
      <c r="AQ610" s="4"/>
      <c r="AR610" s="4"/>
      <c r="AS610" s="4" t="str">
        <f>IFERROR(__xludf.DUMMYFUNCTION("""COMPUTED_VALUE"""),"NATHALIE MERTENS")</f>
        <v>NATHALIE MERTENS</v>
      </c>
      <c r="AT610" s="4" t="str">
        <f>IFERROR(__xludf.DUMMYFUNCTION("""COMPUTED_VALUE"""),"MARIANA KATZ")</f>
        <v>MARIANA KATZ</v>
      </c>
      <c r="AU610" s="4" t="str">
        <f>IFERROR(__xludf.DUMMYFUNCTION("""COMPUTED_VALUE"""),"Diego")</f>
        <v>Diego</v>
      </c>
      <c r="AV610" s="4" t="str">
        <f>IFERROR(__xludf.DUMMYFUNCTION("""COMPUTED_VALUE"""),"Comer Fora-")</f>
        <v>Comer Fora-</v>
      </c>
      <c r="AW610" s="20" t="str">
        <f>IFERROR(__xludf.DUMMYFUNCTION("""COMPUTED_VALUE"""),"P e M - pipe")</f>
        <v>P e M - pipe</v>
      </c>
      <c r="AX610" s="4"/>
      <c r="AY610" s="4"/>
      <c r="AZ610" s="4" t="str">
        <f>IFERROR(__xludf.DUMMYFUNCTION("""COMPUTED_VALUE"""),"Carnes")</f>
        <v>Carnes</v>
      </c>
      <c r="BA610" s="4" t="str">
        <f>IFERROR(__xludf.DUMMYFUNCTION("""COMPUTED_VALUE"""),"")</f>
        <v/>
      </c>
      <c r="BB610" s="4" t="str">
        <f>IFERROR(__xludf.DUMMYFUNCTION("""COMPUTED_VALUE"""),"")</f>
        <v/>
      </c>
      <c r="BC610" s="4" t="str">
        <f>IFERROR(__xludf.DUMMYFUNCTION("""COMPUTED_VALUE"""),"")</f>
        <v/>
      </c>
      <c r="BD610" s="4" t="str">
        <f>IFERROR(__xludf.DUMMYFUNCTION("""COMPUTED_VALUE"""),"")</f>
        <v/>
      </c>
      <c r="BE610" s="4" t="str">
        <f>IFERROR(__xludf.DUMMYFUNCTION("""COMPUTED_VALUE"""),"")</f>
        <v/>
      </c>
      <c r="BF610" s="4" t="str">
        <f>IFERROR(__xludf.DUMMYFUNCTION("""COMPUTED_VALUE"""),"")</f>
        <v/>
      </c>
      <c r="BG610" s="4" t="str">
        <f>IFERROR(__xludf.DUMMYFUNCTION("""COMPUTED_VALUE"""),"")</f>
        <v/>
      </c>
      <c r="BH610" s="4" t="s">
        <v>82</v>
      </c>
      <c r="BI610" s="7">
        <v>1.0</v>
      </c>
    </row>
    <row r="611">
      <c r="A611" s="4" t="str">
        <f>IFERROR(__xludf.DUMMYFUNCTION("""COMPUTED_VALUE"""),"Grupo Z+")</f>
        <v>Grupo Z+</v>
      </c>
      <c r="B611" s="4" t="str">
        <f>IFERROR(__xludf.DUMMYFUNCTION("""COMPUTED_VALUE"""),"Leonardo Roso")</f>
        <v>Leonardo Roso</v>
      </c>
      <c r="C611" s="4" t="str">
        <f>IFERROR(__xludf.DUMMYFUNCTION("""COMPUTED_VALUE"""),"Leonardo Roso")</f>
        <v>Leonardo Roso</v>
      </c>
      <c r="D611" s="4" t="str">
        <f>IFERROR(__xludf.DUMMYFUNCTION("""COMPUTED_VALUE"""),"2. Primeiro Contato com a marca")</f>
        <v>2. Primeiro Contato com a marca</v>
      </c>
      <c r="E611" s="4" t="str">
        <f>IFERROR(__xludf.DUMMYFUNCTION("""COMPUTED_VALUE"""),"Parceiro - Aguardando retorno parceiro")</f>
        <v>Parceiro - Aguardando retorno parceiro</v>
      </c>
      <c r="F611" s="4" t="str">
        <f>IFERROR(__xludf.DUMMYFUNCTION("""COMPUTED_VALUE"""),"G")</f>
        <v>G</v>
      </c>
      <c r="G611" s="5">
        <f>IFERROR(__xludf.DUMMYFUNCTION("""COMPUTED_VALUE"""),46155.0)</f>
        <v>46155</v>
      </c>
      <c r="H611" s="4" t="str">
        <f>IFERROR(__xludf.DUMMYFUNCTION("""COMPUTED_VALUE"""),"Aguardando agenda do parceiro para novo contato")</f>
        <v>Aguardando agenda do parceiro para novo contato</v>
      </c>
      <c r="I611" s="4"/>
      <c r="J611" s="6">
        <f>IFERROR(__xludf.DUMMYFUNCTION("""COMPUTED_VALUE"""),46155.59137164352)</f>
        <v>46155.59137</v>
      </c>
      <c r="K611" s="6">
        <f>IFERROR(__xludf.DUMMYFUNCTION("""COMPUTED_VALUE"""),45931.0)</f>
        <v>45931</v>
      </c>
      <c r="L611" s="4"/>
      <c r="M611" s="4"/>
      <c r="N611" s="4"/>
      <c r="O611" s="4"/>
      <c r="P611" s="4"/>
      <c r="Q611" s="4"/>
      <c r="R611" s="4"/>
      <c r="S611" s="4"/>
      <c r="T611" s="4"/>
      <c r="U611" s="4"/>
      <c r="V611" s="4" t="str">
        <f>IFERROR(__xludf.DUMMYFUNCTION("""COMPUTED_VALUE"""),"Outros")</f>
        <v>Outros</v>
      </c>
      <c r="W611" s="4"/>
      <c r="X611" s="4"/>
      <c r="Y611" s="4"/>
      <c r="Z611" s="4"/>
      <c r="AA611" s="4">
        <f>IFERROR(__xludf.DUMMYFUNCTION("""COMPUTED_VALUE"""),500.0)</f>
        <v>500</v>
      </c>
      <c r="AB611" s="4"/>
      <c r="AC611" s="4"/>
      <c r="AD611" s="4"/>
      <c r="AE611" s="4"/>
      <c r="AF611" s="4"/>
      <c r="AG611" s="4"/>
      <c r="AH611" s="4"/>
      <c r="AI611" s="4"/>
      <c r="AJ611" s="4"/>
      <c r="AK611" s="4"/>
      <c r="AL611" s="4"/>
      <c r="AM611" s="4" t="str">
        <f>IFERROR(__xludf.DUMMYFUNCTION("""COMPUTED_VALUE"""),"FY26")</f>
        <v>FY26</v>
      </c>
      <c r="AN611" s="4"/>
      <c r="AO611" s="4">
        <f>IFERROR(__xludf.DUMMYFUNCTION("""COMPUTED_VALUE"""),60.0)</f>
        <v>60</v>
      </c>
      <c r="AP611" s="4"/>
      <c r="AQ611" s="4"/>
      <c r="AR611" s="4"/>
      <c r="AS611" s="4">
        <f>IFERROR(__xludf.DUMMYFUNCTION("""COMPUTED_VALUE"""),0.0)</f>
        <v>0</v>
      </c>
      <c r="AT611" s="4">
        <f>IFERROR(__xludf.DUMMYFUNCTION("""COMPUTED_VALUE"""),0.0)</f>
        <v>0</v>
      </c>
      <c r="AU611" s="4" t="str">
        <f>IFERROR(__xludf.DUMMYFUNCTION("""COMPUTED_VALUE"""),"Leonardo Roso")</f>
        <v>Leonardo Roso</v>
      </c>
      <c r="AV611" s="4" t="str">
        <f>IFERROR(__xludf.DUMMYFUNCTION("""COMPUTED_VALUE"""),"Comer Fora-")</f>
        <v>Comer Fora-</v>
      </c>
      <c r="AW611" s="20" t="str">
        <f>IFERROR(__xludf.DUMMYFUNCTION("""COMPUTED_VALUE"""),"")</f>
        <v/>
      </c>
      <c r="AX611" s="4"/>
      <c r="AY611" s="4"/>
      <c r="AZ611" s="4" t="str">
        <f>IFERROR(__xludf.DUMMYFUNCTION("""COMPUTED_VALUE"""),"#N/A")</f>
        <v>#N/A</v>
      </c>
      <c r="BA611" s="4" t="str">
        <f>IFERROR(__xludf.DUMMYFUNCTION("""COMPUTED_VALUE"""),"")</f>
        <v/>
      </c>
      <c r="BB611" s="4" t="str">
        <f>IFERROR(__xludf.DUMMYFUNCTION("""COMPUTED_VALUE"""),"")</f>
        <v/>
      </c>
      <c r="BC611" s="4" t="str">
        <f>IFERROR(__xludf.DUMMYFUNCTION("""COMPUTED_VALUE"""),"")</f>
        <v/>
      </c>
      <c r="BD611" s="4" t="str">
        <f>IFERROR(__xludf.DUMMYFUNCTION("""COMPUTED_VALUE"""),"")</f>
        <v/>
      </c>
      <c r="BE611" s="4" t="str">
        <f>IFERROR(__xludf.DUMMYFUNCTION("""COMPUTED_VALUE"""),"")</f>
        <v/>
      </c>
      <c r="BF611" s="4" t="str">
        <f>IFERROR(__xludf.DUMMYFUNCTION("""COMPUTED_VALUE"""),"")</f>
        <v/>
      </c>
      <c r="BG611" s="4" t="str">
        <f>IFERROR(__xludf.DUMMYFUNCTION("""COMPUTED_VALUE"""),"")</f>
        <v/>
      </c>
      <c r="BH611" s="4" t="s">
        <v>63</v>
      </c>
      <c r="BI611" s="7" t="s">
        <v>63</v>
      </c>
    </row>
    <row r="612" hidden="1">
      <c r="A612" s="4" t="str">
        <f>IFERROR(__xludf.DUMMYFUNCTION("""COMPUTED_VALUE"""),"Gua .Co")</f>
        <v>Gua .Co</v>
      </c>
      <c r="B612" s="4" t="str">
        <f>IFERROR(__xludf.DUMMYFUNCTION("""COMPUTED_VALUE"""),"Michel")</f>
        <v>Michel</v>
      </c>
      <c r="C612" s="4" t="str">
        <f>IFERROR(__xludf.DUMMYFUNCTION("""COMPUTED_VALUE"""),"Michel")</f>
        <v>Michel</v>
      </c>
      <c r="D612" s="4" t="str">
        <f>IFERROR(__xludf.DUMMYFUNCTION("""COMPUTED_VALUE"""),"12. Orgânico")</f>
        <v>12. Orgânico</v>
      </c>
      <c r="E612" s="4"/>
      <c r="F612" s="4" t="str">
        <f>IFERROR(__xludf.DUMMYFUNCTION("""COMPUTED_VALUE"""),"P")</f>
        <v>P</v>
      </c>
      <c r="G612" s="4"/>
      <c r="H612" s="4"/>
      <c r="I612" s="4"/>
      <c r="J612" s="4"/>
      <c r="K612" s="4"/>
      <c r="L612" s="4"/>
      <c r="M612" s="4"/>
      <c r="N612" s="4"/>
      <c r="O612" s="4"/>
      <c r="P612" s="4"/>
      <c r="Q612" s="4"/>
      <c r="R612" s="4"/>
      <c r="S612" s="4"/>
      <c r="T612" s="4"/>
      <c r="U612" s="4"/>
      <c r="V612" s="4"/>
      <c r="W612" s="4"/>
      <c r="X612" s="4"/>
      <c r="Y612" s="4"/>
      <c r="Z612" s="4"/>
      <c r="AA612" s="4">
        <f>IFERROR(__xludf.DUMMYFUNCTION("""COMPUTED_VALUE"""),7.0)</f>
        <v>7</v>
      </c>
      <c r="AB612" s="4"/>
      <c r="AC612" s="4"/>
      <c r="AD612" s="4"/>
      <c r="AE612" s="4"/>
      <c r="AF612" s="4"/>
      <c r="AG612" s="4"/>
      <c r="AH612" s="4"/>
      <c r="AI612" s="4"/>
      <c r="AJ612" s="4"/>
      <c r="AK612" s="4"/>
      <c r="AL612" s="4"/>
      <c r="AM612" s="4" t="str">
        <f>IFERROR(__xludf.DUMMYFUNCTION("""COMPUTED_VALUE"""),"Orgânico 3S")</f>
        <v>Orgânico 3S</v>
      </c>
      <c r="AN612" s="4"/>
      <c r="AO612" s="4">
        <f>IFERROR(__xludf.DUMMYFUNCTION("""COMPUTED_VALUE"""),45553.0)</f>
        <v>45553</v>
      </c>
      <c r="AP612" s="4"/>
      <c r="AQ612" s="4"/>
      <c r="AR612" s="4"/>
      <c r="AS612" s="4">
        <f>IFERROR(__xludf.DUMMYFUNCTION("""COMPUTED_VALUE"""),0.0)</f>
        <v>0</v>
      </c>
      <c r="AT612" s="4">
        <f>IFERROR(__xludf.DUMMYFUNCTION("""COMPUTED_VALUE"""),0.0)</f>
        <v>0</v>
      </c>
      <c r="AU612" s="4" t="str">
        <f>IFERROR(__xludf.DUMMYFUNCTION("""COMPUTED_VALUE"""),"Michel")</f>
        <v>Michel</v>
      </c>
      <c r="AV612" s="4">
        <f>IFERROR(__xludf.DUMMYFUNCTION("""COMPUTED_VALUE"""),0.0)</f>
        <v>0</v>
      </c>
      <c r="AW612" s="4">
        <f>IFERROR(__xludf.DUMMYFUNCTION("""COMPUTED_VALUE"""),0.0)</f>
        <v>0</v>
      </c>
      <c r="AX612" s="4">
        <f>IFERROR(__xludf.DUMMYFUNCTION("""COMPUTED_VALUE"""),0.0)</f>
        <v>0</v>
      </c>
      <c r="AY612" s="4"/>
      <c r="AZ612" s="4">
        <f>IFERROR(__xludf.DUMMYFUNCTION("""COMPUTED_VALUE"""),0.0)</f>
        <v>0</v>
      </c>
      <c r="BA612" s="4" t="str">
        <f>IFERROR(__xludf.DUMMYFUNCTION("""COMPUTED_VALUE"""),"")</f>
        <v/>
      </c>
      <c r="BB612" s="4" t="str">
        <f>IFERROR(__xludf.DUMMYFUNCTION("""COMPUTED_VALUE"""),"")</f>
        <v/>
      </c>
      <c r="BC612" s="4" t="str">
        <f>IFERROR(__xludf.DUMMYFUNCTION("""COMPUTED_VALUE"""),"")</f>
        <v/>
      </c>
      <c r="BD612" s="4" t="str">
        <f>IFERROR(__xludf.DUMMYFUNCTION("""COMPUTED_VALUE"""),"")</f>
        <v/>
      </c>
      <c r="BE612" s="4" t="str">
        <f>IFERROR(__xludf.DUMMYFUNCTION("""COMPUTED_VALUE"""),"")</f>
        <v/>
      </c>
      <c r="BF612" s="4" t="str">
        <f>IFERROR(__xludf.DUMMYFUNCTION("""COMPUTED_VALUE"""),"")</f>
        <v/>
      </c>
      <c r="BG612" s="4" t="str">
        <f>IFERROR(__xludf.DUMMYFUNCTION("""COMPUTED_VALUE"""),"")</f>
        <v/>
      </c>
      <c r="BH612" s="4" t="s">
        <v>63</v>
      </c>
      <c r="BI612" s="7" t="s">
        <v>63</v>
      </c>
    </row>
    <row r="613">
      <c r="A613" s="4" t="str">
        <f>IFERROR(__xludf.DUMMYFUNCTION("""COMPUTED_VALUE"""),"Havanna")</f>
        <v>Havanna</v>
      </c>
      <c r="B613" s="4" t="str">
        <f>IFERROR(__xludf.DUMMYFUNCTION("""COMPUTED_VALUE"""),"Samuel")</f>
        <v>Samuel</v>
      </c>
      <c r="C613" s="4" t="str">
        <f>IFERROR(__xludf.DUMMYFUNCTION("""COMPUTED_VALUE"""),"Samuel")</f>
        <v>Samuel</v>
      </c>
      <c r="D613" s="4" t="str">
        <f>IFERROR(__xludf.DUMMYFUNCTION("""COMPUTED_VALUE"""),"10. Perdido")</f>
        <v>10. Perdido</v>
      </c>
      <c r="E613" s="4" t="str">
        <f>IFERROR(__xludf.DUMMYFUNCTION("""COMPUTED_VALUE"""),"Perdido - Proposta comercial não aceita")</f>
        <v>Perdido - Proposta comercial não aceita</v>
      </c>
      <c r="F613" s="4" t="str">
        <f>IFERROR(__xludf.DUMMYFUNCTION("""COMPUTED_VALUE"""),"G")</f>
        <v>G</v>
      </c>
      <c r="G613" s="5">
        <f>IFERROR(__xludf.DUMMYFUNCTION("""COMPUTED_VALUE"""),46073.0)</f>
        <v>46073</v>
      </c>
      <c r="H613" s="4" t="str">
        <f>IFERROR(__xludf.DUMMYFUNCTION("""COMPUTED_VALUE"""),"Valor de investimento do contrato não coube na margem do projeto.")</f>
        <v>Valor de investimento do contrato não coube na margem do projeto.</v>
      </c>
      <c r="I613" s="4"/>
      <c r="J613" s="4"/>
      <c r="K613" s="6">
        <f>IFERROR(__xludf.DUMMYFUNCTION("""COMPUTED_VALUE"""),45807.0)</f>
        <v>45807</v>
      </c>
      <c r="L613" s="4"/>
      <c r="M613" s="4"/>
      <c r="N613" s="4"/>
      <c r="O613" s="4"/>
      <c r="P613" s="4"/>
      <c r="Q613" s="4"/>
      <c r="R613" s="4"/>
      <c r="S613" s="4"/>
      <c r="T613" s="4"/>
      <c r="U613" s="4"/>
      <c r="V613" s="4" t="str">
        <f>IFERROR(__xludf.DUMMYFUNCTION("""COMPUTED_VALUE"""),"Proposta declinada")</f>
        <v>Proposta declinada</v>
      </c>
      <c r="W613" s="4"/>
      <c r="X613" s="4"/>
      <c r="Y613" s="4"/>
      <c r="Z613" s="4"/>
      <c r="AA613" s="4">
        <f>IFERROR(__xludf.DUMMYFUNCTION("""COMPUTED_VALUE"""),250.0)</f>
        <v>250</v>
      </c>
      <c r="AB613" s="4" t="str">
        <f>IFERROR(__xludf.DUMMYFUNCTION("""COMPUTED_VALUE"""),"NÃO")</f>
        <v>NÃO</v>
      </c>
      <c r="AC613" s="4" t="str">
        <f>IFERROR(__xludf.DUMMYFUNCTION("""COMPUTED_VALUE"""),"BP")</f>
        <v>BP</v>
      </c>
      <c r="AD613" s="4"/>
      <c r="AE613" s="4"/>
      <c r="AF613" s="4"/>
      <c r="AG613" s="4"/>
      <c r="AH613" s="4"/>
      <c r="AI613" s="4"/>
      <c r="AJ613" s="4"/>
      <c r="AK613" s="4"/>
      <c r="AL613" s="4"/>
      <c r="AM613" s="4" t="str">
        <f>IFERROR(__xludf.DUMMYFUNCTION("""COMPUTED_VALUE"""),"FY26")</f>
        <v>FY26</v>
      </c>
      <c r="AN613" s="4"/>
      <c r="AO613" s="4">
        <f>IFERROR(__xludf.DUMMYFUNCTION("""COMPUTED_VALUE"""),143.0)</f>
        <v>143</v>
      </c>
      <c r="AP613" s="4"/>
      <c r="AQ613" s="4"/>
      <c r="AR613" s="4"/>
      <c r="AS613" s="4">
        <f>IFERROR(__xludf.DUMMYFUNCTION("""COMPUTED_VALUE"""),0.0)</f>
        <v>0</v>
      </c>
      <c r="AT613" s="4">
        <f>IFERROR(__xludf.DUMMYFUNCTION("""COMPUTED_VALUE"""),0.0)</f>
        <v>0</v>
      </c>
      <c r="AU613" s="4" t="str">
        <f>IFERROR(__xludf.DUMMYFUNCTION("""COMPUTED_VALUE"""),"Samuel")</f>
        <v>Samuel</v>
      </c>
      <c r="AV613" s="4" t="str">
        <f>IFERROR(__xludf.DUMMYFUNCTION("""COMPUTED_VALUE"""),"Comer Fora-")</f>
        <v>Comer Fora-</v>
      </c>
      <c r="AW613" s="20" t="str">
        <f>IFERROR(__xludf.DUMMYFUNCTION("""COMPUTED_VALUE"""),"")</f>
        <v/>
      </c>
      <c r="AX613" s="4"/>
      <c r="AY613" s="4"/>
      <c r="AZ613" s="4" t="str">
        <f>IFERROR(__xludf.DUMMYFUNCTION("""COMPUTED_VALUE"""),"Doces &amp; Bolos")</f>
        <v>Doces &amp; Bolos</v>
      </c>
      <c r="BA613" s="4" t="str">
        <f>IFERROR(__xludf.DUMMYFUNCTION("""COMPUTED_VALUE"""),"")</f>
        <v/>
      </c>
      <c r="BB613" s="4" t="str">
        <f>IFERROR(__xludf.DUMMYFUNCTION("""COMPUTED_VALUE"""),"")</f>
        <v/>
      </c>
      <c r="BC613" s="4" t="str">
        <f>IFERROR(__xludf.DUMMYFUNCTION("""COMPUTED_VALUE"""),"")</f>
        <v/>
      </c>
      <c r="BD613" s="4" t="str">
        <f>IFERROR(__xludf.DUMMYFUNCTION("""COMPUTED_VALUE"""),"")</f>
        <v/>
      </c>
      <c r="BE613" s="4" t="str">
        <f>IFERROR(__xludf.DUMMYFUNCTION("""COMPUTED_VALUE"""),"")</f>
        <v/>
      </c>
      <c r="BF613" s="4" t="str">
        <f>IFERROR(__xludf.DUMMYFUNCTION("""COMPUTED_VALUE"""),"")</f>
        <v/>
      </c>
      <c r="BG613" s="4" t="str">
        <f>IFERROR(__xludf.DUMMYFUNCTION("""COMPUTED_VALUE"""),"")</f>
        <v/>
      </c>
      <c r="BH613" s="4" t="s">
        <v>63</v>
      </c>
      <c r="BI613" s="7" t="s">
        <v>63</v>
      </c>
    </row>
    <row r="614" hidden="1">
      <c r="A614" s="4" t="str">
        <f>IFERROR(__xludf.DUMMYFUNCTION("""COMPUTED_VALUE"""),"HNT")</f>
        <v>HNT</v>
      </c>
      <c r="B614" s="4" t="str">
        <f>IFERROR(__xludf.DUMMYFUNCTION("""COMPUTED_VALUE"""),"Lídia Esteves")</f>
        <v>Lídia Esteves</v>
      </c>
      <c r="C614" s="4" t="str">
        <f>IFERROR(__xludf.DUMMYFUNCTION("""COMPUTED_VALUE"""),"Gabriela Roma")</f>
        <v>Gabriela Roma</v>
      </c>
      <c r="D614" s="4" t="str">
        <f>IFERROR(__xludf.DUMMYFUNCTION("""COMPUTED_VALUE"""),"9. Contrato assinado")</f>
        <v>9. Contrato assinado</v>
      </c>
      <c r="E614" s="4" t="str">
        <f>IFERROR(__xludf.DUMMYFUNCTION("""COMPUTED_VALUE""")," Projetos - Contrato assinado &amp; Rollout")</f>
        <v> Projetos - Contrato assinado &amp; Rollout</v>
      </c>
      <c r="F614" s="4" t="str">
        <f>IFERROR(__xludf.DUMMYFUNCTION("""COMPUTED_VALUE"""),"M")</f>
        <v>M</v>
      </c>
      <c r="G614" s="4"/>
      <c r="H614" s="4"/>
      <c r="I614" s="4"/>
      <c r="J614" s="4"/>
      <c r="K614" s="6">
        <f>IFERROR(__xludf.DUMMYFUNCTION("""COMPUTED_VALUE"""),45809.0)</f>
        <v>45809</v>
      </c>
      <c r="L614" s="4"/>
      <c r="M614" s="4"/>
      <c r="N614" s="6">
        <f>IFERROR(__xludf.DUMMYFUNCTION("""COMPUTED_VALUE"""),45930.0)</f>
        <v>45930</v>
      </c>
      <c r="O614" s="4"/>
      <c r="P614" s="4"/>
      <c r="Q614" s="6">
        <f>IFERROR(__xludf.DUMMYFUNCTION("""COMPUTED_VALUE"""),45930.0)</f>
        <v>45930</v>
      </c>
      <c r="R614" s="4"/>
      <c r="S614" s="4"/>
      <c r="T614" s="4"/>
      <c r="U614" s="4"/>
      <c r="V614" s="4"/>
      <c r="W614" s="4"/>
      <c r="X614" s="4"/>
      <c r="Y614" s="4"/>
      <c r="Z614" s="4"/>
      <c r="AA614" s="4">
        <f>IFERROR(__xludf.DUMMYFUNCTION("""COMPUTED_VALUE"""),47.0)</f>
        <v>47</v>
      </c>
      <c r="AB614" s="4"/>
      <c r="AC614" s="4"/>
      <c r="AD614" s="4"/>
      <c r="AE614" s="4"/>
      <c r="AF614" s="4"/>
      <c r="AG614" s="4"/>
      <c r="AH614" s="4"/>
      <c r="AI614" s="4"/>
      <c r="AJ614" s="4"/>
      <c r="AK614" s="4"/>
      <c r="AL614" s="4"/>
      <c r="AM614" s="4" t="str">
        <f>IFERROR(__xludf.DUMMYFUNCTION("""COMPUTED_VALUE"""),"FY26")</f>
        <v>FY26</v>
      </c>
      <c r="AN614" s="4"/>
      <c r="AO614" s="4">
        <f>IFERROR(__xludf.DUMMYFUNCTION("""COMPUTED_VALUE"""),45553.0)</f>
        <v>45553</v>
      </c>
      <c r="AP614" s="4"/>
      <c r="AQ614" s="4"/>
      <c r="AR614" s="4"/>
      <c r="AS614" s="4">
        <f>IFERROR(__xludf.DUMMYFUNCTION("""COMPUTED_VALUE"""),0.0)</f>
        <v>0</v>
      </c>
      <c r="AT614" s="4">
        <f>IFERROR(__xludf.DUMMYFUNCTION("""COMPUTED_VALUE"""),0.0)</f>
        <v>0</v>
      </c>
      <c r="AU614" s="4" t="str">
        <f>IFERROR(__xludf.DUMMYFUNCTION("""COMPUTED_VALUE"""),"Mariana")</f>
        <v>Mariana</v>
      </c>
      <c r="AV614" s="4">
        <f>IFERROR(__xludf.DUMMYFUNCTION("""COMPUTED_VALUE"""),0.0)</f>
        <v>0</v>
      </c>
      <c r="AW614" s="4">
        <f>IFERROR(__xludf.DUMMYFUNCTION("""COMPUTED_VALUE"""),0.0)</f>
        <v>0</v>
      </c>
      <c r="AX614" s="4">
        <f>IFERROR(__xludf.DUMMYFUNCTION("""COMPUTED_VALUE"""),0.0)</f>
        <v>0</v>
      </c>
      <c r="AY614" s="4">
        <f>IFERROR(__xludf.DUMMYFUNCTION("""COMPUTED_VALUE"""),0.0)</f>
        <v>0</v>
      </c>
      <c r="AZ614" s="4" t="str">
        <f>IFERROR(__xludf.DUMMYFUNCTION("""COMPUTED_VALUE"""),"#N/A")</f>
        <v>#N/A</v>
      </c>
      <c r="BA614" s="4" t="str">
        <f>IFERROR(__xludf.DUMMYFUNCTION("""COMPUTED_VALUE"""),"")</f>
        <v/>
      </c>
      <c r="BB614" s="4" t="str">
        <f>IFERROR(__xludf.DUMMYFUNCTION("""COMPUTED_VALUE"""),"")</f>
        <v/>
      </c>
      <c r="BC614" s="4" t="str">
        <f>IFERROR(__xludf.DUMMYFUNCTION("""COMPUTED_VALUE"""),"")</f>
        <v/>
      </c>
      <c r="BD614" s="4" t="str">
        <f>IFERROR(__xludf.DUMMYFUNCTION("""COMPUTED_VALUE"""),"")</f>
        <v/>
      </c>
      <c r="BE614" s="4" t="str">
        <f>IFERROR(__xludf.DUMMYFUNCTION("""COMPUTED_VALUE"""),"")</f>
        <v/>
      </c>
      <c r="BF614" s="4" t="str">
        <f>IFERROR(__xludf.DUMMYFUNCTION("""COMPUTED_VALUE"""),"")</f>
        <v/>
      </c>
      <c r="BG614" s="4" t="str">
        <f>IFERROR(__xludf.DUMMYFUNCTION("""COMPUTED_VALUE"""),"")</f>
        <v/>
      </c>
      <c r="BH614" s="4" t="s">
        <v>63</v>
      </c>
      <c r="BI614" s="7" t="s">
        <v>63</v>
      </c>
    </row>
    <row r="615" hidden="1">
      <c r="A615" s="4" t="str">
        <f>IFERROR(__xludf.DUMMYFUNCTION("""COMPUTED_VALUE"""),"House Forneria")</f>
        <v>House Forneria</v>
      </c>
      <c r="B615" s="4" t="str">
        <f>IFERROR(__xludf.DUMMYFUNCTION("""COMPUTED_VALUE"""),"Diego Santos")</f>
        <v>Diego Santos</v>
      </c>
      <c r="C615" s="4" t="str">
        <f>IFERROR(__xludf.DUMMYFUNCTION("""COMPUTED_VALUE"""),"Diego Santos")</f>
        <v>Diego Santos</v>
      </c>
      <c r="D615" s="4" t="str">
        <f>IFERROR(__xludf.DUMMYFUNCTION("""COMPUTED_VALUE"""),"10. Perdido")</f>
        <v>10. Perdido</v>
      </c>
      <c r="E615" s="4" t="str">
        <f>IFERROR(__xludf.DUMMYFUNCTION("""COMPUTED_VALUE"""),"Perdido - Sem perfil LA / 3SCheckout / PDV próprio")</f>
        <v>Perdido - Sem perfil LA / 3SCheckout / PDV próprio</v>
      </c>
      <c r="F615" s="4" t="str">
        <f>IFERROR(__xludf.DUMMYFUNCTION("""COMPUTED_VALUE"""),"P")</f>
        <v>P</v>
      </c>
      <c r="G615" s="5">
        <f>IFERROR(__xludf.DUMMYFUNCTION("""COMPUTED_VALUE"""),46118.0)</f>
        <v>46118</v>
      </c>
      <c r="H615" s="4" t="str">
        <f>IFERROR(__xludf.DUMMYFUNCTION("""COMPUTED_VALUE"""),"Cliente Saipos")</f>
        <v>Cliente Saipos</v>
      </c>
      <c r="I615" s="4"/>
      <c r="J615" s="6">
        <f>IFERROR(__xludf.DUMMYFUNCTION("""COMPUTED_VALUE"""),46090.562222430555)</f>
        <v>46090.56222</v>
      </c>
      <c r="K615" s="6">
        <f>IFERROR(__xludf.DUMMYFUNCTION("""COMPUTED_VALUE"""),46090.56226099537)</f>
        <v>46090.56226</v>
      </c>
      <c r="L615" s="6">
        <f>IFERROR(__xludf.DUMMYFUNCTION("""COMPUTED_VALUE"""),46090.562331608795)</f>
        <v>46090.56233</v>
      </c>
      <c r="M615" s="6">
        <f>IFERROR(__xludf.DUMMYFUNCTION("""COMPUTED_VALUE"""),46092.49832663195)</f>
        <v>46092.49833</v>
      </c>
      <c r="N615" s="6">
        <f>IFERROR(__xludf.DUMMYFUNCTION("""COMPUTED_VALUE"""),46092.498631678245)</f>
        <v>46092.49863</v>
      </c>
      <c r="O615" s="4"/>
      <c r="P615" s="4"/>
      <c r="Q615" s="4"/>
      <c r="R615" s="6">
        <f>IFERROR(__xludf.DUMMYFUNCTION("""COMPUTED_VALUE"""),46120.505069837964)</f>
        <v>46120.50507</v>
      </c>
      <c r="S615" s="6">
        <f>IFERROR(__xludf.DUMMYFUNCTION("""COMPUTED_VALUE"""),46118.55058898148)</f>
        <v>46118.55059</v>
      </c>
      <c r="T615" s="4"/>
      <c r="U615" s="4"/>
      <c r="V615" s="4" t="str">
        <f>IFERROR(__xludf.DUMMYFUNCTION("""COMPUTED_VALUE"""),"Desistência na mudança de PDV")</f>
        <v>Desistência na mudança de PDV</v>
      </c>
      <c r="W615" s="4"/>
      <c r="X615" s="4"/>
      <c r="Y615" s="4"/>
      <c r="Z615" s="4"/>
      <c r="AA615" s="4">
        <f>IFERROR(__xludf.DUMMYFUNCTION("""COMPUTED_VALUE"""),5.0)</f>
        <v>5</v>
      </c>
      <c r="AB615" s="4"/>
      <c r="AC615" s="4"/>
      <c r="AD615" s="4"/>
      <c r="AE615" s="4"/>
      <c r="AF615" s="4"/>
      <c r="AG615" s="4"/>
      <c r="AH615" s="4"/>
      <c r="AI615" s="4"/>
      <c r="AJ615" s="4"/>
      <c r="AK615" s="4"/>
      <c r="AL615" s="4"/>
      <c r="AM615" s="4" t="str">
        <f>IFERROR(__xludf.DUMMYFUNCTION("""COMPUTED_VALUE"""),"FY26")</f>
        <v>FY26</v>
      </c>
      <c r="AN615" s="4"/>
      <c r="AO615" s="4">
        <f>IFERROR(__xludf.DUMMYFUNCTION("""COMPUTED_VALUE"""),97.0)</f>
        <v>97</v>
      </c>
      <c r="AP615" s="4"/>
      <c r="AQ615" s="4"/>
      <c r="AR615" s="4"/>
      <c r="AS615" s="4" t="str">
        <f>IFERROR(__xludf.DUMMYFUNCTION("""COMPUTED_VALUE"""),"NATHALIE MERTENS")</f>
        <v>NATHALIE MERTENS</v>
      </c>
      <c r="AT615" s="4" t="str">
        <f>IFERROR(__xludf.DUMMYFUNCTION("""COMPUTED_VALUE"""),"NATALIA COUTINHO")</f>
        <v>NATALIA COUTINHO</v>
      </c>
      <c r="AU615" s="4" t="str">
        <f>IFERROR(__xludf.DUMMYFUNCTION("""COMPUTED_VALUE"""),"Diego")</f>
        <v>Diego</v>
      </c>
      <c r="AV615" s="4">
        <f>IFERROR(__xludf.DUMMYFUNCTION("""COMPUTED_VALUE"""),0.0)</f>
        <v>0</v>
      </c>
      <c r="AW615" s="4">
        <f>IFERROR(__xludf.DUMMYFUNCTION("""COMPUTED_VALUE"""),0.0)</f>
        <v>0</v>
      </c>
      <c r="AX615" s="4">
        <f>IFERROR(__xludf.DUMMYFUNCTION("""COMPUTED_VALUE"""),0.0)</f>
        <v>0</v>
      </c>
      <c r="AY615" s="4"/>
      <c r="AZ615" s="4" t="str">
        <f>IFERROR(__xludf.DUMMYFUNCTION("""COMPUTED_VALUE"""),"Pizza")</f>
        <v>Pizza</v>
      </c>
      <c r="BA615" s="4" t="str">
        <f>IFERROR(__xludf.DUMMYFUNCTION("""COMPUTED_VALUE"""),"")</f>
        <v/>
      </c>
      <c r="BB615" s="4" t="str">
        <f>IFERROR(__xludf.DUMMYFUNCTION("""COMPUTED_VALUE"""),"")</f>
        <v/>
      </c>
      <c r="BC615" s="4" t="str">
        <f>IFERROR(__xludf.DUMMYFUNCTION("""COMPUTED_VALUE"""),"")</f>
        <v/>
      </c>
      <c r="BD615" s="4" t="str">
        <f>IFERROR(__xludf.DUMMYFUNCTION("""COMPUTED_VALUE"""),"")</f>
        <v/>
      </c>
      <c r="BE615" s="4" t="str">
        <f>IFERROR(__xludf.DUMMYFUNCTION("""COMPUTED_VALUE"""),"")</f>
        <v/>
      </c>
      <c r="BF615" s="4" t="str">
        <f>IFERROR(__xludf.DUMMYFUNCTION("""COMPUTED_VALUE"""),"")</f>
        <v/>
      </c>
      <c r="BG615" s="4" t="str">
        <f>IFERROR(__xludf.DUMMYFUNCTION("""COMPUTED_VALUE"""),"")</f>
        <v/>
      </c>
      <c r="BH615" s="4" t="s">
        <v>69</v>
      </c>
      <c r="BI615" s="7">
        <v>0.875</v>
      </c>
    </row>
    <row r="616" hidden="1">
      <c r="A616" s="4" t="str">
        <f>IFERROR(__xludf.DUMMYFUNCTION("""COMPUTED_VALUE"""),"Insalata")</f>
        <v>Insalata</v>
      </c>
      <c r="B616" s="4" t="str">
        <f>IFERROR(__xludf.DUMMYFUNCTION("""COMPUTED_VALUE"""),"Lídia Esteves")</f>
        <v>Lídia Esteves</v>
      </c>
      <c r="C616" s="4" t="str">
        <f>IFERROR(__xludf.DUMMYFUNCTION("""COMPUTED_VALUE"""),"Lídia Esteves")</f>
        <v>Lídia Esteves</v>
      </c>
      <c r="D616" s="4" t="str">
        <f>IFERROR(__xludf.DUMMYFUNCTION("""COMPUTED_VALUE"""),"10. Perdido")</f>
        <v>10. Perdido</v>
      </c>
      <c r="E616" s="4" t="str">
        <f>IFERROR(__xludf.DUMMYFUNCTION("""COMPUTED_VALUE"""),"Perdido - Outro (detalhar ao lado)")</f>
        <v>Perdido - Outro (detalhar ao lado)</v>
      </c>
      <c r="F616" s="4" t="str">
        <f>IFERROR(__xludf.DUMMYFUNCTION("""COMPUTED_VALUE"""),"P")</f>
        <v>P</v>
      </c>
      <c r="G616" s="5">
        <f>IFERROR(__xludf.DUMMYFUNCTION("""COMPUTED_VALUE"""),46076.0)</f>
        <v>46076</v>
      </c>
      <c r="H616" s="4" t="str">
        <f>IFERROR(__xludf.DUMMYFUNCTION("""COMPUTED_VALUE"""),"Mudou de solução pdv em 2025")</f>
        <v>Mudou de solução pdv em 2025</v>
      </c>
      <c r="I616" s="4"/>
      <c r="J616" s="4"/>
      <c r="K616" s="6">
        <f>IFERROR(__xludf.DUMMYFUNCTION("""COMPUTED_VALUE"""),45930.0)</f>
        <v>45930</v>
      </c>
      <c r="L616" s="4"/>
      <c r="M616" s="4"/>
      <c r="N616" s="4"/>
      <c r="O616" s="4"/>
      <c r="P616" s="4"/>
      <c r="Q616" s="4"/>
      <c r="R616" s="4"/>
      <c r="S616" s="4"/>
      <c r="T616" s="4"/>
      <c r="U616" s="4"/>
      <c r="V616" s="4" t="str">
        <f>IFERROR(__xludf.DUMMYFUNCTION("""COMPUTED_VALUE"""),"Fechou com concorrente há pouco tempo")</f>
        <v>Fechou com concorrente há pouco tempo</v>
      </c>
      <c r="W616" s="4"/>
      <c r="X616" s="4"/>
      <c r="Y616" s="4"/>
      <c r="Z616" s="4"/>
      <c r="AA616" s="4">
        <f>IFERROR(__xludf.DUMMYFUNCTION("""COMPUTED_VALUE"""),1.0)</f>
        <v>1</v>
      </c>
      <c r="AB616" s="4" t="str">
        <f>IFERROR(__xludf.DUMMYFUNCTION("""COMPUTED_VALUE"""),"NÃO")</f>
        <v>NÃO</v>
      </c>
      <c r="AC616" s="4" t="str">
        <f>IFERROR(__xludf.DUMMYFUNCTION("""COMPUTED_VALUE"""),"BP")</f>
        <v>BP</v>
      </c>
      <c r="AD616" s="4"/>
      <c r="AE616" s="4"/>
      <c r="AF616" s="4"/>
      <c r="AG616" s="4"/>
      <c r="AH616" s="4"/>
      <c r="AI616" s="4"/>
      <c r="AJ616" s="4"/>
      <c r="AK616" s="4"/>
      <c r="AL616" s="4"/>
      <c r="AM616" s="4" t="str">
        <f>IFERROR(__xludf.DUMMYFUNCTION("""COMPUTED_VALUE"""),"FY26")</f>
        <v>FY26</v>
      </c>
      <c r="AN616" s="4" t="str">
        <f>IFERROR(__xludf.DUMMYFUNCTION("""COMPUTED_VALUE"""),"Comer Fora")</f>
        <v>Comer Fora</v>
      </c>
      <c r="AO616" s="4">
        <f>IFERROR(__xludf.DUMMYFUNCTION("""COMPUTED_VALUE"""),140.0)</f>
        <v>140</v>
      </c>
      <c r="AP616" s="4"/>
      <c r="AQ616" s="4"/>
      <c r="AR616" s="4"/>
      <c r="AS616" s="4" t="str">
        <f>IFERROR(__xludf.DUMMYFUNCTION("""COMPUTED_VALUE"""),"NATHALIE MERTENS")</f>
        <v>NATHALIE MERTENS</v>
      </c>
      <c r="AT616" s="4" t="str">
        <f>IFERROR(__xludf.DUMMYFUNCTION("""COMPUTED_VALUE"""),"MARIANA KATZ")</f>
        <v>MARIANA KATZ</v>
      </c>
      <c r="AU616" s="4" t="str">
        <f>IFERROR(__xludf.DUMMYFUNCTION("""COMPUTED_VALUE"""),"Lídia")</f>
        <v>Lídia</v>
      </c>
      <c r="AV616" s="4">
        <f>IFERROR(__xludf.DUMMYFUNCTION("""COMPUTED_VALUE"""),0.0)</f>
        <v>0</v>
      </c>
      <c r="AW616" s="4">
        <f>IFERROR(__xludf.DUMMYFUNCTION("""COMPUTED_VALUE"""),0.0)</f>
        <v>0</v>
      </c>
      <c r="AX616" s="4">
        <f>IFERROR(__xludf.DUMMYFUNCTION("""COMPUTED_VALUE"""),0.0)</f>
        <v>0</v>
      </c>
      <c r="AY616" s="4"/>
      <c r="AZ616" s="4" t="str">
        <f>IFERROR(__xludf.DUMMYFUNCTION("""COMPUTED_VALUE"""),"Saudável")</f>
        <v>Saudável</v>
      </c>
      <c r="BA616" s="4" t="str">
        <f>IFERROR(__xludf.DUMMYFUNCTION("""COMPUTED_VALUE"""),"")</f>
        <v/>
      </c>
      <c r="BB616" s="4" t="str">
        <f>IFERROR(__xludf.DUMMYFUNCTION("""COMPUTED_VALUE"""),"")</f>
        <v/>
      </c>
      <c r="BC616" s="4" t="str">
        <f>IFERROR(__xludf.DUMMYFUNCTION("""COMPUTED_VALUE"""),"")</f>
        <v/>
      </c>
      <c r="BD616" s="4" t="str">
        <f>IFERROR(__xludf.DUMMYFUNCTION("""COMPUTED_VALUE"""),"")</f>
        <v/>
      </c>
      <c r="BE616" s="4" t="str">
        <f>IFERROR(__xludf.DUMMYFUNCTION("""COMPUTED_VALUE"""),"")</f>
        <v/>
      </c>
      <c r="BF616" s="4" t="str">
        <f>IFERROR(__xludf.DUMMYFUNCTION("""COMPUTED_VALUE"""),"")</f>
        <v/>
      </c>
      <c r="BG616" s="4" t="str">
        <f>IFERROR(__xludf.DUMMYFUNCTION("""COMPUTED_VALUE"""),"")</f>
        <v/>
      </c>
      <c r="BH616" s="4" t="s">
        <v>71</v>
      </c>
      <c r="BI616" s="7">
        <v>0.5</v>
      </c>
    </row>
    <row r="617">
      <c r="A617" s="4" t="str">
        <f>IFERROR(__xludf.DUMMYFUNCTION("""COMPUTED_VALUE"""),"Jah Do Acai")</f>
        <v>Jah Do Acai</v>
      </c>
      <c r="B617" s="4" t="str">
        <f>IFERROR(__xludf.DUMMYFUNCTION("""COMPUTED_VALUE"""),"Diego Santos")</f>
        <v>Diego Santos</v>
      </c>
      <c r="C617" s="4" t="str">
        <f>IFERROR(__xludf.DUMMYFUNCTION("""COMPUTED_VALUE"""),"Diego Santos")</f>
        <v>Diego Santos</v>
      </c>
      <c r="D617" s="4" t="str">
        <f>IFERROR(__xludf.DUMMYFUNCTION("""COMPUTED_VALUE"""),"10. Perdido")</f>
        <v>10. Perdido</v>
      </c>
      <c r="E617" s="4" t="str">
        <f>IFERROR(__xludf.DUMMYFUNCTION("""COMPUTED_VALUE"""),"Perdido - Proposta comercial não aceita")</f>
        <v>Perdido - Proposta comercial não aceita</v>
      </c>
      <c r="F617" s="4" t="str">
        <f>IFERROR(__xludf.DUMMYFUNCTION("""COMPUTED_VALUE"""),"G")</f>
        <v>G</v>
      </c>
      <c r="G617" s="5">
        <f>IFERROR(__xludf.DUMMYFUNCTION("""COMPUTED_VALUE"""),46076.0)</f>
        <v>46076</v>
      </c>
      <c r="H617" s="4" t="str">
        <f>IFERROR(__xludf.DUMMYFUNCTION("""COMPUTED_VALUE"""),"Fechado com concorrente GCOM")</f>
        <v>Fechado com concorrente GCOM</v>
      </c>
      <c r="I617" s="4"/>
      <c r="J617" s="4"/>
      <c r="K617" s="6">
        <f>IFERROR(__xludf.DUMMYFUNCTION("""COMPUTED_VALUE"""),45870.0)</f>
        <v>45870</v>
      </c>
      <c r="L617" s="4"/>
      <c r="M617" s="4"/>
      <c r="N617" s="4"/>
      <c r="O617" s="4"/>
      <c r="P617" s="4"/>
      <c r="Q617" s="4"/>
      <c r="R617" s="4"/>
      <c r="S617" s="4"/>
      <c r="T617" s="4"/>
      <c r="U617" s="4"/>
      <c r="V617" s="4" t="str">
        <f>IFERROR(__xludf.DUMMYFUNCTION("""COMPUTED_VALUE"""),"Sem interesse em mudar de PDV")</f>
        <v>Sem interesse em mudar de PDV</v>
      </c>
      <c r="W617" s="4"/>
      <c r="X617" s="4"/>
      <c r="Y617" s="4"/>
      <c r="Z617" s="4"/>
      <c r="AA617" s="4">
        <f>IFERROR(__xludf.DUMMYFUNCTION("""COMPUTED_VALUE"""),180.0)</f>
        <v>180</v>
      </c>
      <c r="AB617" s="4"/>
      <c r="AC617" s="4"/>
      <c r="AD617" s="4"/>
      <c r="AE617" s="4"/>
      <c r="AF617" s="4"/>
      <c r="AG617" s="4"/>
      <c r="AH617" s="4"/>
      <c r="AI617" s="4"/>
      <c r="AJ617" s="4"/>
      <c r="AK617" s="4"/>
      <c r="AL617" s="4"/>
      <c r="AM617" s="4" t="str">
        <f>IFERROR(__xludf.DUMMYFUNCTION("""COMPUTED_VALUE"""),"FY26")</f>
        <v>FY26</v>
      </c>
      <c r="AN617" s="4"/>
      <c r="AO617" s="4">
        <f>IFERROR(__xludf.DUMMYFUNCTION("""COMPUTED_VALUE"""),140.0)</f>
        <v>140</v>
      </c>
      <c r="AP617" s="4"/>
      <c r="AQ617" s="4"/>
      <c r="AR617" s="4"/>
      <c r="AS617" s="4">
        <f>IFERROR(__xludf.DUMMYFUNCTION("""COMPUTED_VALUE"""),0.0)</f>
        <v>0</v>
      </c>
      <c r="AT617" s="4">
        <f>IFERROR(__xludf.DUMMYFUNCTION("""COMPUTED_VALUE"""),0.0)</f>
        <v>0</v>
      </c>
      <c r="AU617" s="4" t="str">
        <f>IFERROR(__xludf.DUMMYFUNCTION("""COMPUTED_VALUE"""),"Diego")</f>
        <v>Diego</v>
      </c>
      <c r="AV617" s="4" t="str">
        <f>IFERROR(__xludf.DUMMYFUNCTION("""COMPUTED_VALUE"""),"Comer Fora-")</f>
        <v>Comer Fora-</v>
      </c>
      <c r="AW617" s="20" t="str">
        <f>IFERROR(__xludf.DUMMYFUNCTION("""COMPUTED_VALUE"""),"")</f>
        <v/>
      </c>
      <c r="AX617" s="4"/>
      <c r="AY617" s="4"/>
      <c r="AZ617" s="4" t="str">
        <f>IFERROR(__xludf.DUMMYFUNCTION("""COMPUTED_VALUE"""),"Açaí")</f>
        <v>Açaí</v>
      </c>
      <c r="BA617" s="4" t="str">
        <f>IFERROR(__xludf.DUMMYFUNCTION("""COMPUTED_VALUE"""),"")</f>
        <v/>
      </c>
      <c r="BB617" s="4" t="str">
        <f>IFERROR(__xludf.DUMMYFUNCTION("""COMPUTED_VALUE"""),"")</f>
        <v/>
      </c>
      <c r="BC617" s="4" t="str">
        <f>IFERROR(__xludf.DUMMYFUNCTION("""COMPUTED_VALUE"""),"")</f>
        <v/>
      </c>
      <c r="BD617" s="4" t="str">
        <f>IFERROR(__xludf.DUMMYFUNCTION("""COMPUTED_VALUE"""),"")</f>
        <v/>
      </c>
      <c r="BE617" s="4" t="str">
        <f>IFERROR(__xludf.DUMMYFUNCTION("""COMPUTED_VALUE"""),"")</f>
        <v/>
      </c>
      <c r="BF617" s="4" t="str">
        <f>IFERROR(__xludf.DUMMYFUNCTION("""COMPUTED_VALUE"""),"")</f>
        <v/>
      </c>
      <c r="BG617" s="4" t="str">
        <f>IFERROR(__xludf.DUMMYFUNCTION("""COMPUTED_VALUE"""),"")</f>
        <v/>
      </c>
      <c r="BH617" s="4" t="s">
        <v>63</v>
      </c>
      <c r="BI617" s="7" t="s">
        <v>63</v>
      </c>
    </row>
    <row r="618" hidden="1">
      <c r="A618" s="4" t="str">
        <f>IFERROR(__xludf.DUMMYFUNCTION("""COMPUTED_VALUE"""),"Jangada")</f>
        <v>Jangada</v>
      </c>
      <c r="B618" s="4" t="str">
        <f>IFERROR(__xludf.DUMMYFUNCTION("""COMPUTED_VALUE"""),"Emerson")</f>
        <v>Emerson</v>
      </c>
      <c r="C618" s="4" t="str">
        <f>IFERROR(__xludf.DUMMYFUNCTION("""COMPUTED_VALUE"""),"Emerson")</f>
        <v>Emerson</v>
      </c>
      <c r="D618" s="4" t="str">
        <f>IFERROR(__xludf.DUMMYFUNCTION("""COMPUTED_VALUE"""),"9. Contrato assinado")</f>
        <v>9. Contrato assinado</v>
      </c>
      <c r="E618" s="4"/>
      <c r="F618" s="4" t="str">
        <f>IFERROR(__xludf.DUMMYFUNCTION("""COMPUTED_VALUE"""),"P")</f>
        <v>P</v>
      </c>
      <c r="G618" s="4"/>
      <c r="H618" s="4"/>
      <c r="I618" s="4"/>
      <c r="J618" s="4"/>
      <c r="K618" s="6">
        <f>IFERROR(__xludf.DUMMYFUNCTION("""COMPUTED_VALUE"""),45807.0)</f>
        <v>45807</v>
      </c>
      <c r="L618" s="4"/>
      <c r="M618" s="4"/>
      <c r="N618" s="6">
        <f>IFERROR(__xludf.DUMMYFUNCTION("""COMPUTED_VALUE"""),45912.0)</f>
        <v>45912</v>
      </c>
      <c r="O618" s="4"/>
      <c r="P618" s="4"/>
      <c r="Q618" s="6">
        <f>IFERROR(__xludf.DUMMYFUNCTION("""COMPUTED_VALUE"""),45912.0)</f>
        <v>45912</v>
      </c>
      <c r="R618" s="4"/>
      <c r="S618" s="4"/>
      <c r="T618" s="4"/>
      <c r="U618" s="4"/>
      <c r="V618" s="4"/>
      <c r="W618" s="4"/>
      <c r="X618" s="4"/>
      <c r="Y618" s="4"/>
      <c r="Z618" s="4"/>
      <c r="AA618" s="4">
        <f>IFERROR(__xludf.DUMMYFUNCTION("""COMPUTED_VALUE"""),11.0)</f>
        <v>11</v>
      </c>
      <c r="AB618" s="4" t="str">
        <f>IFERROR(__xludf.DUMMYFUNCTION("""COMPUTED_VALUE"""),"-")</f>
        <v>-</v>
      </c>
      <c r="AC618" s="4" t="str">
        <f>IFERROR(__xludf.DUMMYFUNCTION("""COMPUTED_VALUE"""),"-")</f>
        <v>-</v>
      </c>
      <c r="AD618" s="4"/>
      <c r="AE618" s="4"/>
      <c r="AF618" s="4"/>
      <c r="AG618" s="4"/>
      <c r="AH618" s="4"/>
      <c r="AI618" s="4"/>
      <c r="AJ618" s="4"/>
      <c r="AK618" s="4"/>
      <c r="AL618" s="4"/>
      <c r="AM618" s="4" t="str">
        <f>IFERROR(__xludf.DUMMYFUNCTION("""COMPUTED_VALUE"""),"FY26")</f>
        <v>FY26</v>
      </c>
      <c r="AN618" s="4"/>
      <c r="AO618" s="4">
        <f>IFERROR(__xludf.DUMMYFUNCTION("""COMPUTED_VALUE"""),45553.0)</f>
        <v>45553</v>
      </c>
      <c r="AP618" s="4"/>
      <c r="AQ618" s="4"/>
      <c r="AR618" s="4"/>
      <c r="AS618" s="4" t="str">
        <f>IFERROR(__xludf.DUMMYFUNCTION("""COMPUTED_VALUE"""),"ALAN HADDAD")</f>
        <v>ALAN HADDAD</v>
      </c>
      <c r="AT618" s="4" t="str">
        <f>IFERROR(__xludf.DUMMYFUNCTION("""COMPUTED_VALUE"""),"ISABELA DINIZ")</f>
        <v>ISABELA DINIZ</v>
      </c>
      <c r="AU618" s="4" t="str">
        <f>IFERROR(__xludf.DUMMYFUNCTION("""COMPUTED_VALUE"""),"Emerson")</f>
        <v>Emerson</v>
      </c>
      <c r="AV618" s="4" t="str">
        <f>IFERROR(__xludf.DUMMYFUNCTION("""COMPUTED_VALUE"""),"Comer Fora-")</f>
        <v>Comer Fora-</v>
      </c>
      <c r="AW618" s="20" t="str">
        <f>IFERROR(__xludf.DUMMYFUNCTION("""COMPUTED_VALUE"""),"P e M - pipe")</f>
        <v>P e M - pipe</v>
      </c>
      <c r="AX618" s="4"/>
      <c r="AY618" s="4"/>
      <c r="AZ618" s="4" t="str">
        <f>IFERROR(__xludf.DUMMYFUNCTION("""COMPUTED_VALUE"""),"Japonesa")</f>
        <v>Japonesa</v>
      </c>
      <c r="BA618" s="4" t="str">
        <f>IFERROR(__xludf.DUMMYFUNCTION("""COMPUTED_VALUE"""),"")</f>
        <v/>
      </c>
      <c r="BB618" s="4" t="str">
        <f>IFERROR(__xludf.DUMMYFUNCTION("""COMPUTED_VALUE"""),"")</f>
        <v/>
      </c>
      <c r="BC618" s="4" t="str">
        <f>IFERROR(__xludf.DUMMYFUNCTION("""COMPUTED_VALUE"""),"")</f>
        <v/>
      </c>
      <c r="BD618" s="4" t="str">
        <f>IFERROR(__xludf.DUMMYFUNCTION("""COMPUTED_VALUE"""),"")</f>
        <v/>
      </c>
      <c r="BE618" s="4" t="str">
        <f>IFERROR(__xludf.DUMMYFUNCTION("""COMPUTED_VALUE"""),"")</f>
        <v/>
      </c>
      <c r="BF618" s="4" t="str">
        <f>IFERROR(__xludf.DUMMYFUNCTION("""COMPUTED_VALUE"""),"")</f>
        <v/>
      </c>
      <c r="BG618" s="4" t="str">
        <f>IFERROR(__xludf.DUMMYFUNCTION("""COMPUTED_VALUE"""),"")</f>
        <v/>
      </c>
      <c r="BH618" s="4" t="s">
        <v>145</v>
      </c>
      <c r="BI618" s="7">
        <v>0.8888888888888888</v>
      </c>
    </row>
    <row r="619" hidden="1">
      <c r="A619" s="4" t="str">
        <f>IFERROR(__xludf.DUMMYFUNCTION("""COMPUTED_VALUE"""),"Johnny Rockets")</f>
        <v>Johnny Rockets</v>
      </c>
      <c r="B619" s="4" t="str">
        <f>IFERROR(__xludf.DUMMYFUNCTION("""COMPUTED_VALUE"""),"Michel")</f>
        <v>Michel</v>
      </c>
      <c r="C619" s="4" t="str">
        <f>IFERROR(__xludf.DUMMYFUNCTION("""COMPUTED_VALUE"""),"Michel")</f>
        <v>Michel</v>
      </c>
      <c r="D619" s="4" t="str">
        <f>IFERROR(__xludf.DUMMYFUNCTION("""COMPUTED_VALUE"""),"12. Orgânico")</f>
        <v>12. Orgânico</v>
      </c>
      <c r="E619" s="4"/>
      <c r="F619" s="4" t="str">
        <f>IFERROR(__xludf.DUMMYFUNCTION("""COMPUTED_VALUE"""),"Sem Classificação")</f>
        <v>Sem Classificação</v>
      </c>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t="str">
        <f>IFERROR(__xludf.DUMMYFUNCTION("""COMPUTED_VALUE"""),"Orgânico 3S")</f>
        <v>Orgânico 3S</v>
      </c>
      <c r="AN619" s="4"/>
      <c r="AO619" s="4">
        <f>IFERROR(__xludf.DUMMYFUNCTION("""COMPUTED_VALUE"""),45553.0)</f>
        <v>45553</v>
      </c>
      <c r="AP619" s="4"/>
      <c r="AQ619" s="4"/>
      <c r="AR619" s="4"/>
      <c r="AS619" s="4" t="str">
        <f>IFERROR(__xludf.DUMMYFUNCTION("""COMPUTED_VALUE"""),"ISABELA GOULART")</f>
        <v>ISABELA GOULART</v>
      </c>
      <c r="AT619" s="4" t="str">
        <f>IFERROR(__xludf.DUMMYFUNCTION("""COMPUTED_VALUE"""),"ANNA BALBINOT")</f>
        <v>ANNA BALBINOT</v>
      </c>
      <c r="AU619" s="4" t="str">
        <f>IFERROR(__xludf.DUMMYFUNCTION("""COMPUTED_VALUE"""),"Michel")</f>
        <v>Michel</v>
      </c>
      <c r="AV619" s="4" t="str">
        <f>IFERROR(__xludf.DUMMYFUNCTION("""COMPUTED_VALUE"""),"Comer Fora-")</f>
        <v>Comer Fora-</v>
      </c>
      <c r="AW619" s="20" t="str">
        <f>IFERROR(__xludf.DUMMYFUNCTION("""COMPUTED_VALUE"""),"P - 5 a 9 lojas")</f>
        <v>P - 5 a 9 lojas</v>
      </c>
      <c r="AX619" s="4"/>
      <c r="AY619" s="4"/>
      <c r="AZ619" s="4" t="str">
        <f>IFERROR(__xludf.DUMMYFUNCTION("""COMPUTED_VALUE"""),"Mexicana")</f>
        <v>Mexicana</v>
      </c>
      <c r="BA619" s="4" t="str">
        <f>IFERROR(__xludf.DUMMYFUNCTION("""COMPUTED_VALUE"""),"R$ 40-70")</f>
        <v>R$ 40-70</v>
      </c>
      <c r="BB619" s="4" t="str">
        <f>IFERROR(__xludf.DUMMYFUNCTION("""COMPUTED_VALUE"""),"QSR - Fast Food (Burgers retro)")</f>
        <v>QSR - Fast Food (Burgers retro)</v>
      </c>
      <c r="BC619" s="4" t="str">
        <f>IFERROR(__xludf.DUMMYFUNCTION("""COMPUTED_VALUE"""),"Nacional (50+ lojas)")</f>
        <v>Nacional (50+ lojas)</v>
      </c>
      <c r="BD619" s="4" t="str">
        <f>IFERROR(__xludf.DUMMYFUNCTION("""COMPUTED_VALUE"""),"R$ 135 milhões Brasil (2024)")</f>
        <v>R$ 135 milhões Brasil (2024)</v>
      </c>
      <c r="BE619" s="4">
        <f>IFERROR(__xludf.DUMMYFUNCTION("""COMPUTED_VALUE"""),72.0)</f>
        <v>72</v>
      </c>
      <c r="BF619" s="4">
        <f>IFERROR(__xludf.DUMMYFUNCTION("""COMPUTED_VALUE"""),0.75)</f>
        <v>0.75</v>
      </c>
      <c r="BG619" s="4" t="str">
        <f>IFERROR(__xludf.DUMMYFUNCTION("""COMPUTED_VALUE"""),"PDV não identificado (Antaris - já no Lote 2). 50+ lojas, R$ 135M. 3S: totens, franquias, KDS")</f>
        <v>PDV não identificado (Antaris - já no Lote 2). 50+ lojas, R$ 135M. 3S: totens, franquias, KDS</v>
      </c>
      <c r="BH619" s="4" t="s">
        <v>63</v>
      </c>
      <c r="BI619" s="7" t="s">
        <v>63</v>
      </c>
    </row>
    <row r="620" hidden="1">
      <c r="A620" s="4" t="str">
        <f>IFERROR(__xludf.DUMMYFUNCTION("""COMPUTED_VALUE"""),"Juistreet")</f>
        <v>Juistreet</v>
      </c>
      <c r="B620" s="4" t="str">
        <f>IFERROR(__xludf.DUMMYFUNCTION("""COMPUTED_VALUE"""),"Ana")</f>
        <v>Ana</v>
      </c>
      <c r="C620" s="4" t="str">
        <f>IFERROR(__xludf.DUMMYFUNCTION("""COMPUTED_VALUE"""),"Ana")</f>
        <v>Ana</v>
      </c>
      <c r="D620" s="4" t="str">
        <f>IFERROR(__xludf.DUMMYFUNCTION("""COMPUTED_VALUE"""),"9. Contrato assinado")</f>
        <v>9. Contrato assinado</v>
      </c>
      <c r="E620" s="4" t="str">
        <f>IFERROR(__xludf.DUMMYFUNCTION("""COMPUTED_VALUE""")," Projetos - Contrato assinado &amp; Rollout")</f>
        <v> Projetos - Contrato assinado &amp; Rollout</v>
      </c>
      <c r="F620" s="4" t="str">
        <f>IFERROR(__xludf.DUMMYFUNCTION("""COMPUTED_VALUE"""),"P")</f>
        <v>P</v>
      </c>
      <c r="G620" s="5">
        <f>IFERROR(__xludf.DUMMYFUNCTION("""COMPUTED_VALUE"""),46079.0)</f>
        <v>46079</v>
      </c>
      <c r="H620" s="4" t="str">
        <f>IFERROR(__xludf.DUMMYFUNCTION("""COMPUTED_VALUE"""),"contrato assinado")</f>
        <v>contrato assinado</v>
      </c>
      <c r="I620" s="4"/>
      <c r="J620" s="4"/>
      <c r="K620" s="6">
        <f>IFERROR(__xludf.DUMMYFUNCTION("""COMPUTED_VALUE"""),46038.0)</f>
        <v>46038</v>
      </c>
      <c r="L620" s="4"/>
      <c r="M620" s="6">
        <f>IFERROR(__xludf.DUMMYFUNCTION("""COMPUTED_VALUE"""),46051.70499949074)</f>
        <v>46051.705</v>
      </c>
      <c r="N620" s="6">
        <f>IFERROR(__xludf.DUMMYFUNCTION("""COMPUTED_VALUE"""),46083.64705707176)</f>
        <v>46083.64706</v>
      </c>
      <c r="O620" s="4"/>
      <c r="P620" s="6">
        <f>IFERROR(__xludf.DUMMYFUNCTION("""COMPUTED_VALUE"""),46083.64702068287)</f>
        <v>46083.64702</v>
      </c>
      <c r="Q620" s="6">
        <f>IFERROR(__xludf.DUMMYFUNCTION("""COMPUTED_VALUE"""),46083.64705707176)</f>
        <v>46083.64706</v>
      </c>
      <c r="R620" s="4"/>
      <c r="S620" s="4"/>
      <c r="T620" s="4"/>
      <c r="U620" s="4"/>
      <c r="V620" s="4"/>
      <c r="W620" s="8">
        <f>IFERROR(__xludf.DUMMYFUNCTION("""COMPUTED_VALUE"""),640.0)</f>
        <v>640</v>
      </c>
      <c r="X620" s="4">
        <f>IFERROR(__xludf.DUMMYFUNCTION("""COMPUTED_VALUE"""),60.0)</f>
        <v>60</v>
      </c>
      <c r="Y620" s="8">
        <f>IFERROR(__xludf.DUMMYFUNCTION("""COMPUTED_VALUE"""),0.0)</f>
        <v>0</v>
      </c>
      <c r="Z620" s="8">
        <f>IFERROR(__xludf.DUMMYFUNCTION("""COMPUTED_VALUE"""),0.0)</f>
        <v>0</v>
      </c>
      <c r="AA620" s="4">
        <f>IFERROR(__xludf.DUMMYFUNCTION("""COMPUTED_VALUE"""),26.0)</f>
        <v>26</v>
      </c>
      <c r="AB620" s="4" t="str">
        <f>IFERROR(__xludf.DUMMYFUNCTION("""COMPUTED_VALUE"""),"NÃO")</f>
        <v>NÃO</v>
      </c>
      <c r="AC620" s="4" t="str">
        <f>IFERROR(__xludf.DUMMYFUNCTION("""COMPUTED_VALUE"""),"Não BP")</f>
        <v>Não BP</v>
      </c>
      <c r="AD620" s="4"/>
      <c r="AE620" s="4"/>
      <c r="AF620" s="4"/>
      <c r="AG620" s="4"/>
      <c r="AH620" s="4"/>
      <c r="AI620" s="4"/>
      <c r="AJ620" s="4"/>
      <c r="AK620" s="4"/>
      <c r="AL620" s="4"/>
      <c r="AM620" s="4" t="str">
        <f>IFERROR(__xludf.DUMMYFUNCTION("""COMPUTED_VALUE"""),"FY26")</f>
        <v>FY26</v>
      </c>
      <c r="AN620" s="4"/>
      <c r="AO620" s="4">
        <f>IFERROR(__xludf.DUMMYFUNCTION("""COMPUTED_VALUE"""),137.0)</f>
        <v>137</v>
      </c>
      <c r="AP620" s="4"/>
      <c r="AQ620" s="4"/>
      <c r="AR620" s="4"/>
      <c r="AS620" s="4">
        <f>IFERROR(__xludf.DUMMYFUNCTION("""COMPUTED_VALUE"""),0.0)</f>
        <v>0</v>
      </c>
      <c r="AT620" s="4">
        <f>IFERROR(__xludf.DUMMYFUNCTION("""COMPUTED_VALUE"""),0.0)</f>
        <v>0</v>
      </c>
      <c r="AU620" s="4" t="str">
        <f>IFERROR(__xludf.DUMMYFUNCTION("""COMPUTED_VALUE"""),"Ana")</f>
        <v>Ana</v>
      </c>
      <c r="AV620" s="4">
        <f>IFERROR(__xludf.DUMMYFUNCTION("""COMPUTED_VALUE"""),0.0)</f>
        <v>0</v>
      </c>
      <c r="AW620" s="4">
        <f>IFERROR(__xludf.DUMMYFUNCTION("""COMPUTED_VALUE"""),0.0)</f>
        <v>0</v>
      </c>
      <c r="AX620" s="4">
        <f>IFERROR(__xludf.DUMMYFUNCTION("""COMPUTED_VALUE"""),0.0)</f>
        <v>0</v>
      </c>
      <c r="AY620" s="4">
        <f>IFERROR(__xludf.DUMMYFUNCTION("""COMPUTED_VALUE"""),0.0)</f>
        <v>0</v>
      </c>
      <c r="AZ620" s="4" t="str">
        <f>IFERROR(__xludf.DUMMYFUNCTION("""COMPUTED_VALUE"""),"Saudável")</f>
        <v>Saudável</v>
      </c>
      <c r="BA620" s="4" t="str">
        <f>IFERROR(__xludf.DUMMYFUNCTION("""COMPUTED_VALUE"""),"")</f>
        <v/>
      </c>
      <c r="BB620" s="4" t="str">
        <f>IFERROR(__xludf.DUMMYFUNCTION("""COMPUTED_VALUE"""),"")</f>
        <v/>
      </c>
      <c r="BC620" s="4" t="str">
        <f>IFERROR(__xludf.DUMMYFUNCTION("""COMPUTED_VALUE"""),"")</f>
        <v/>
      </c>
      <c r="BD620" s="4" t="str">
        <f>IFERROR(__xludf.DUMMYFUNCTION("""COMPUTED_VALUE"""),"")</f>
        <v/>
      </c>
      <c r="BE620" s="4" t="str">
        <f>IFERROR(__xludf.DUMMYFUNCTION("""COMPUTED_VALUE"""),"")</f>
        <v/>
      </c>
      <c r="BF620" s="4" t="str">
        <f>IFERROR(__xludf.DUMMYFUNCTION("""COMPUTED_VALUE"""),"")</f>
        <v/>
      </c>
      <c r="BG620" s="4" t="str">
        <f>IFERROR(__xludf.DUMMYFUNCTION("""COMPUTED_VALUE"""),"")</f>
        <v/>
      </c>
      <c r="BH620" s="4" t="s">
        <v>63</v>
      </c>
      <c r="BI620" s="7" t="s">
        <v>63</v>
      </c>
    </row>
    <row r="621" hidden="1">
      <c r="A621" s="4" t="str">
        <f>IFERROR(__xludf.DUMMYFUNCTION("""COMPUTED_VALUE"""),"Kaskata'S Lanches")</f>
        <v>Kaskata'S Lanches</v>
      </c>
      <c r="B621" s="4" t="str">
        <f>IFERROR(__xludf.DUMMYFUNCTION("""COMPUTED_VALUE"""),"Iza")</f>
        <v>Iza</v>
      </c>
      <c r="C621" s="4" t="str">
        <f>IFERROR(__xludf.DUMMYFUNCTION("""COMPUTED_VALUE"""),"Iza")</f>
        <v>Iza</v>
      </c>
      <c r="D621" s="4" t="str">
        <f>IFERROR(__xludf.DUMMYFUNCTION("""COMPUTED_VALUE"""),"10. Perdido")</f>
        <v>10. Perdido</v>
      </c>
      <c r="E621" s="4" t="str">
        <f>IFERROR(__xludf.DUMMYFUNCTION("""COMPUTED_VALUE"""),"Perdido -  Momento do restaurante não favorável")</f>
        <v>Perdido -  Momento do restaurante não favorável</v>
      </c>
      <c r="F621" s="4" t="str">
        <f>IFERROR(__xludf.DUMMYFUNCTION("""COMPUTED_VALUE"""),"P")</f>
        <v>P</v>
      </c>
      <c r="G621" s="5">
        <f>IFERROR(__xludf.DUMMYFUNCTION("""COMPUTED_VALUE"""),46076.0)</f>
        <v>46076</v>
      </c>
      <c r="H621" s="4" t="str">
        <f>IFERROR(__xludf.DUMMYFUNCTION("""COMPUTED_VALUE"""),"Trocou de sistema recentemente, sem interesse.")</f>
        <v>Trocou de sistema recentemente, sem interesse.</v>
      </c>
      <c r="I621" s="4"/>
      <c r="J621" s="4"/>
      <c r="K621" s="6">
        <f>IFERROR(__xludf.DUMMYFUNCTION("""COMPUTED_VALUE"""),45940.0)</f>
        <v>45940</v>
      </c>
      <c r="L621" s="4"/>
      <c r="M621" s="4"/>
      <c r="N621" s="4"/>
      <c r="O621" s="4"/>
      <c r="P621" s="4"/>
      <c r="Q621" s="4"/>
      <c r="R621" s="4"/>
      <c r="S621" s="4"/>
      <c r="T621" s="4"/>
      <c r="U621" s="4"/>
      <c r="V621" s="4" t="str">
        <f>IFERROR(__xludf.DUMMYFUNCTION("""COMPUTED_VALUE"""),"Fechou com concorrente há pouco tempo")</f>
        <v>Fechou com concorrente há pouco tempo</v>
      </c>
      <c r="W621" s="4"/>
      <c r="X621" s="4"/>
      <c r="Y621" s="4"/>
      <c r="Z621" s="4"/>
      <c r="AA621" s="4">
        <f>IFERROR(__xludf.DUMMYFUNCTION("""COMPUTED_VALUE"""),1.0)</f>
        <v>1</v>
      </c>
      <c r="AB621" s="4" t="str">
        <f>IFERROR(__xludf.DUMMYFUNCTION("""COMPUTED_VALUE"""),"NÃO")</f>
        <v>NÃO</v>
      </c>
      <c r="AC621" s="4" t="str">
        <f>IFERROR(__xludf.DUMMYFUNCTION("""COMPUTED_VALUE"""),"Não BP")</f>
        <v>Não BP</v>
      </c>
      <c r="AD621" s="4"/>
      <c r="AE621" s="4"/>
      <c r="AF621" s="4"/>
      <c r="AG621" s="4"/>
      <c r="AH621" s="4"/>
      <c r="AI621" s="4"/>
      <c r="AJ621" s="4"/>
      <c r="AK621" s="4"/>
      <c r="AL621" s="4"/>
      <c r="AM621" s="4" t="str">
        <f>IFERROR(__xludf.DUMMYFUNCTION("""COMPUTED_VALUE"""),"FY26")</f>
        <v>FY26</v>
      </c>
      <c r="AN621" s="4"/>
      <c r="AO621" s="4">
        <f>IFERROR(__xludf.DUMMYFUNCTION("""COMPUTED_VALUE"""),140.0)</f>
        <v>140</v>
      </c>
      <c r="AP621" s="4"/>
      <c r="AQ621" s="4"/>
      <c r="AR621" s="4"/>
      <c r="AS621" s="4">
        <f>IFERROR(__xludf.DUMMYFUNCTION("""COMPUTED_VALUE"""),0.0)</f>
        <v>0</v>
      </c>
      <c r="AT621" s="4">
        <f>IFERROR(__xludf.DUMMYFUNCTION("""COMPUTED_VALUE"""),0.0)</f>
        <v>0</v>
      </c>
      <c r="AU621" s="4" t="str">
        <f>IFERROR(__xludf.DUMMYFUNCTION("""COMPUTED_VALUE"""),"Iza")</f>
        <v>Iza</v>
      </c>
      <c r="AV621" s="4">
        <f>IFERROR(__xludf.DUMMYFUNCTION("""COMPUTED_VALUE"""),0.0)</f>
        <v>0</v>
      </c>
      <c r="AW621" s="4">
        <f>IFERROR(__xludf.DUMMYFUNCTION("""COMPUTED_VALUE"""),0.0)</f>
        <v>0</v>
      </c>
      <c r="AX621" s="4">
        <f>IFERROR(__xludf.DUMMYFUNCTION("""COMPUTED_VALUE"""),0.0)</f>
        <v>0</v>
      </c>
      <c r="AY621" s="4"/>
      <c r="AZ621" s="4" t="str">
        <f>IFERROR(__xludf.DUMMYFUNCTION("""COMPUTED_VALUE"""),"#N/A")</f>
        <v>#N/A</v>
      </c>
      <c r="BA621" s="4" t="str">
        <f>IFERROR(__xludf.DUMMYFUNCTION("""COMPUTED_VALUE"""),"")</f>
        <v/>
      </c>
      <c r="BB621" s="4" t="str">
        <f>IFERROR(__xludf.DUMMYFUNCTION("""COMPUTED_VALUE"""),"")</f>
        <v/>
      </c>
      <c r="BC621" s="4" t="str">
        <f>IFERROR(__xludf.DUMMYFUNCTION("""COMPUTED_VALUE"""),"")</f>
        <v/>
      </c>
      <c r="BD621" s="4" t="str">
        <f>IFERROR(__xludf.DUMMYFUNCTION("""COMPUTED_VALUE"""),"")</f>
        <v/>
      </c>
      <c r="BE621" s="4" t="str">
        <f>IFERROR(__xludf.DUMMYFUNCTION("""COMPUTED_VALUE"""),"")</f>
        <v/>
      </c>
      <c r="BF621" s="4" t="str">
        <f>IFERROR(__xludf.DUMMYFUNCTION("""COMPUTED_VALUE"""),"")</f>
        <v/>
      </c>
      <c r="BG621" s="4" t="str">
        <f>IFERROR(__xludf.DUMMYFUNCTION("""COMPUTED_VALUE"""),"")</f>
        <v/>
      </c>
      <c r="BH621" s="4" t="s">
        <v>63</v>
      </c>
      <c r="BI621" s="7" t="s">
        <v>63</v>
      </c>
    </row>
    <row r="622" hidden="1">
      <c r="A622" s="4" t="str">
        <f>IFERROR(__xludf.DUMMYFUNCTION("""COMPUTED_VALUE"""),"KFC")</f>
        <v>KFC</v>
      </c>
      <c r="B622" s="4" t="str">
        <f>IFERROR(__xludf.DUMMYFUNCTION("""COMPUTED_VALUE"""),"Michel")</f>
        <v>Michel</v>
      </c>
      <c r="C622" s="4" t="str">
        <f>IFERROR(__xludf.DUMMYFUNCTION("""COMPUTED_VALUE"""),"Michel")</f>
        <v>Michel</v>
      </c>
      <c r="D622" s="4" t="str">
        <f>IFERROR(__xludf.DUMMYFUNCTION("""COMPUTED_VALUE"""),"12. Orgânico")</f>
        <v>12. Orgânico</v>
      </c>
      <c r="E622" s="4"/>
      <c r="F622" s="4" t="str">
        <f>IFERROR(__xludf.DUMMYFUNCTION("""COMPUTED_VALUE"""),"M")</f>
        <v>M</v>
      </c>
      <c r="G622" s="4"/>
      <c r="H622" s="4"/>
      <c r="I622" s="4"/>
      <c r="J622" s="4"/>
      <c r="K622" s="4"/>
      <c r="L622" s="4"/>
      <c r="M622" s="4"/>
      <c r="N622" s="4"/>
      <c r="O622" s="4"/>
      <c r="P622" s="4"/>
      <c r="Q622" s="4"/>
      <c r="R622" s="4"/>
      <c r="S622" s="4"/>
      <c r="T622" s="4"/>
      <c r="U622" s="4"/>
      <c r="V622" s="4"/>
      <c r="W622" s="4"/>
      <c r="X622" s="4"/>
      <c r="Y622" s="4"/>
      <c r="Z622" s="4"/>
      <c r="AA622" s="4">
        <f>IFERROR(__xludf.DUMMYFUNCTION("""COMPUTED_VALUE"""),33.0)</f>
        <v>33</v>
      </c>
      <c r="AB622" s="4"/>
      <c r="AC622" s="4"/>
      <c r="AD622" s="4"/>
      <c r="AE622" s="4"/>
      <c r="AF622" s="4"/>
      <c r="AG622" s="4"/>
      <c r="AH622" s="4"/>
      <c r="AI622" s="4"/>
      <c r="AJ622" s="4"/>
      <c r="AK622" s="4"/>
      <c r="AL622" s="4"/>
      <c r="AM622" s="4" t="str">
        <f>IFERROR(__xludf.DUMMYFUNCTION("""COMPUTED_VALUE"""),"Orgânico 3S")</f>
        <v>Orgânico 3S</v>
      </c>
      <c r="AN622" s="4"/>
      <c r="AO622" s="4">
        <f>IFERROR(__xludf.DUMMYFUNCTION("""COMPUTED_VALUE"""),45553.0)</f>
        <v>45553</v>
      </c>
      <c r="AP622" s="4"/>
      <c r="AQ622" s="4"/>
      <c r="AR622" s="4"/>
      <c r="AS622" s="4" t="str">
        <f>IFERROR(__xludf.DUMMYFUNCTION("""COMPUTED_VALUE"""),"ISIS MOSTAFA")</f>
        <v>ISIS MOSTAFA</v>
      </c>
      <c r="AT622" s="4" t="str">
        <f>IFERROR(__xludf.DUMMYFUNCTION("""COMPUTED_VALUE"""),"JOAO GRIMALDI")</f>
        <v>JOAO GRIMALDI</v>
      </c>
      <c r="AU622" s="4" t="str">
        <f>IFERROR(__xludf.DUMMYFUNCTION("""COMPUTED_VALUE"""),"Michel")</f>
        <v>Michel</v>
      </c>
      <c r="AV622" s="4">
        <f>IFERROR(__xludf.DUMMYFUNCTION("""COMPUTED_VALUE"""),0.0)</f>
        <v>0</v>
      </c>
      <c r="AW622" s="4">
        <f>IFERROR(__xludf.DUMMYFUNCTION("""COMPUTED_VALUE"""),0.0)</f>
        <v>0</v>
      </c>
      <c r="AX622" s="4">
        <f>IFERROR(__xludf.DUMMYFUNCTION("""COMPUTED_VALUE"""),0.0)</f>
        <v>0</v>
      </c>
      <c r="AY622" s="4"/>
      <c r="AZ622" s="4" t="str">
        <f>IFERROR(__xludf.DUMMYFUNCTION("""COMPUTED_VALUE"""),"Lanches")</f>
        <v>Lanches</v>
      </c>
      <c r="BA622" s="4" t="str">
        <f>IFERROR(__xludf.DUMMYFUNCTION("""COMPUTED_VALUE"""),"R$ 35-60")</f>
        <v>R$ 35-60</v>
      </c>
      <c r="BB622" s="4" t="str">
        <f>IFERROR(__xludf.DUMMYFUNCTION("""COMPUTED_VALUE"""),"QSR - Fast Food (Frango)")</f>
        <v>QSR - Fast Food (Frango)</v>
      </c>
      <c r="BC622" s="4" t="str">
        <f>IFERROR(__xludf.DUMMYFUNCTION("""COMPUTED_VALUE"""),"Nacional (260 lojas)")</f>
        <v>Nacional (260 lojas)</v>
      </c>
      <c r="BD622" s="4" t="str">
        <f>IFERROR(__xludf.DUMMYFUNCTION("""COMPUTED_VALUE"""),"Necessário Discovery (Kentucky Foods)")</f>
        <v>Necessário Discovery (Kentucky Foods)</v>
      </c>
      <c r="BE622" s="4">
        <f>IFERROR(__xludf.DUMMYFUNCTION("""COMPUTED_VALUE"""),85.0)</f>
        <v>85</v>
      </c>
      <c r="BF622" s="4">
        <f>IFERROR(__xludf.DUMMYFUNCTION("""COMPUTED_VALUE"""),0.88)</f>
        <v>0.88</v>
      </c>
      <c r="BG622" s="4" t="str">
        <f>IFERROR(__xludf.DUMMYFUNCTION("""COMPUTED_VALUE"""),"PDV não identificado (Kentucky Foods opera). ALTA ADERÊNCIA: 260 lojas, meta 50-60 novas 2026. Expansão acelerada drive-thru. 3S: gestão multi-loja, KDS, integração delivery")</f>
        <v>PDV não identificado (Kentucky Foods opera). ALTA ADERÊNCIA: 260 lojas, meta 50-60 novas 2026. Expansão acelerada drive-thru. 3S: gestão multi-loja, KDS, integração delivery</v>
      </c>
      <c r="BH622" s="4" t="s">
        <v>63</v>
      </c>
      <c r="BI622" s="7" t="s">
        <v>63</v>
      </c>
    </row>
    <row r="623" hidden="1">
      <c r="A623" s="4" t="str">
        <f>IFERROR(__xludf.DUMMYFUNCTION("""COMPUTED_VALUE"""),"Komah")</f>
        <v>Komah</v>
      </c>
      <c r="B623" s="4" t="str">
        <f>IFERROR(__xludf.DUMMYFUNCTION("""COMPUTED_VALUE"""),"Iza")</f>
        <v>Iza</v>
      </c>
      <c r="C623" s="4" t="str">
        <f>IFERROR(__xludf.DUMMYFUNCTION("""COMPUTED_VALUE"""),"Iza")</f>
        <v>Iza</v>
      </c>
      <c r="D623" s="4" t="str">
        <f>IFERROR(__xludf.DUMMYFUNCTION("""COMPUTED_VALUE"""),"10. Perdido")</f>
        <v>10. Perdido</v>
      </c>
      <c r="E623" s="4" t="str">
        <f>IFERROR(__xludf.DUMMYFUNCTION("""COMPUTED_VALUE"""),"Perdido - Outro (detalhar ao lado)")</f>
        <v>Perdido - Outro (detalhar ao lado)</v>
      </c>
      <c r="F623" s="4" t="str">
        <f>IFERROR(__xludf.DUMMYFUNCTION("""COMPUTED_VALUE"""),"P")</f>
        <v>P</v>
      </c>
      <c r="G623" s="5">
        <f>IFERROR(__xludf.DUMMYFUNCTION("""COMPUTED_VALUE"""),46076.0)</f>
        <v>46076</v>
      </c>
      <c r="H623" s="4" t="str">
        <f>IFERROR(__xludf.DUMMYFUNCTION("""COMPUTED_VALUE"""),"Parceiro tinha contrapartida de mudar de sistema com renovação de contrato exclusividade, renovação não avançou e cliente não quis seguir com pdv")</f>
        <v>Parceiro tinha contrapartida de mudar de sistema com renovação de contrato exclusividade, renovação não avançou e cliente não quis seguir com pdv</v>
      </c>
      <c r="I623" s="4"/>
      <c r="J623" s="4"/>
      <c r="K623" s="6">
        <f>IFERROR(__xludf.DUMMYFUNCTION("""COMPUTED_VALUE"""),45953.0)</f>
        <v>45953</v>
      </c>
      <c r="L623" s="4"/>
      <c r="M623" s="4"/>
      <c r="N623" s="4"/>
      <c r="O623" s="4"/>
      <c r="P623" s="4"/>
      <c r="Q623" s="4"/>
      <c r="R623" s="4"/>
      <c r="S623" s="4"/>
      <c r="T623" s="4"/>
      <c r="U623" s="4"/>
      <c r="V623" s="4" t="str">
        <f>IFERROR(__xludf.DUMMYFUNCTION("""COMPUTED_VALUE"""),"Atrito Negociação")</f>
        <v>Atrito Negociação</v>
      </c>
      <c r="W623" s="4"/>
      <c r="X623" s="4"/>
      <c r="Y623" s="4"/>
      <c r="Z623" s="4"/>
      <c r="AA623" s="4">
        <f>IFERROR(__xludf.DUMMYFUNCTION("""COMPUTED_VALUE"""),4.0)</f>
        <v>4</v>
      </c>
      <c r="AB623" s="4" t="str">
        <f>IFERROR(__xludf.DUMMYFUNCTION("""COMPUTED_VALUE"""),"NÃO")</f>
        <v>NÃO</v>
      </c>
      <c r="AC623" s="4" t="str">
        <f>IFERROR(__xludf.DUMMYFUNCTION("""COMPUTED_VALUE"""),"BP")</f>
        <v>BP</v>
      </c>
      <c r="AD623" s="4"/>
      <c r="AE623" s="4"/>
      <c r="AF623" s="4"/>
      <c r="AG623" s="4"/>
      <c r="AH623" s="4"/>
      <c r="AI623" s="4"/>
      <c r="AJ623" s="4"/>
      <c r="AK623" s="4"/>
      <c r="AL623" s="4"/>
      <c r="AM623" s="4" t="str">
        <f>IFERROR(__xludf.DUMMYFUNCTION("""COMPUTED_VALUE"""),"FY26")</f>
        <v>FY26</v>
      </c>
      <c r="AN623" s="4" t="str">
        <f>IFERROR(__xludf.DUMMYFUNCTION("""COMPUTED_VALUE"""),"Comer Fora")</f>
        <v>Comer Fora</v>
      </c>
      <c r="AO623" s="4">
        <f>IFERROR(__xludf.DUMMYFUNCTION("""COMPUTED_VALUE"""),140.0)</f>
        <v>140</v>
      </c>
      <c r="AP623" s="4"/>
      <c r="AQ623" s="4"/>
      <c r="AR623" s="4"/>
      <c r="AS623" s="4" t="str">
        <f>IFERROR(__xludf.DUMMYFUNCTION("""COMPUTED_VALUE"""),"NATHALIE MERTENS")</f>
        <v>NATHALIE MERTENS</v>
      </c>
      <c r="AT623" s="4" t="str">
        <f>IFERROR(__xludf.DUMMYFUNCTION("""COMPUTED_VALUE"""),"MARIANA KATZ")</f>
        <v>MARIANA KATZ</v>
      </c>
      <c r="AU623" s="4" t="str">
        <f>IFERROR(__xludf.DUMMYFUNCTION("""COMPUTED_VALUE"""),"Iza")</f>
        <v>Iza</v>
      </c>
      <c r="AV623" s="4">
        <f>IFERROR(__xludf.DUMMYFUNCTION("""COMPUTED_VALUE"""),0.0)</f>
        <v>0</v>
      </c>
      <c r="AW623" s="4">
        <f>IFERROR(__xludf.DUMMYFUNCTION("""COMPUTED_VALUE"""),0.0)</f>
        <v>0</v>
      </c>
      <c r="AX623" s="4">
        <f>IFERROR(__xludf.DUMMYFUNCTION("""COMPUTED_VALUE"""),0.0)</f>
        <v>0</v>
      </c>
      <c r="AY623" s="4"/>
      <c r="AZ623" s="4" t="str">
        <f>IFERROR(__xludf.DUMMYFUNCTION("""COMPUTED_VALUE"""),"Coreana")</f>
        <v>Coreana</v>
      </c>
      <c r="BA623" s="4" t="str">
        <f>IFERROR(__xludf.DUMMYFUNCTION("""COMPUTED_VALUE"""),"")</f>
        <v/>
      </c>
      <c r="BB623" s="4" t="str">
        <f>IFERROR(__xludf.DUMMYFUNCTION("""COMPUTED_VALUE"""),"")</f>
        <v/>
      </c>
      <c r="BC623" s="4" t="str">
        <f>IFERROR(__xludf.DUMMYFUNCTION("""COMPUTED_VALUE"""),"")</f>
        <v/>
      </c>
      <c r="BD623" s="4" t="str">
        <f>IFERROR(__xludf.DUMMYFUNCTION("""COMPUTED_VALUE"""),"")</f>
        <v/>
      </c>
      <c r="BE623" s="4" t="str">
        <f>IFERROR(__xludf.DUMMYFUNCTION("""COMPUTED_VALUE"""),"")</f>
        <v/>
      </c>
      <c r="BF623" s="4" t="str">
        <f>IFERROR(__xludf.DUMMYFUNCTION("""COMPUTED_VALUE"""),"")</f>
        <v/>
      </c>
      <c r="BG623" s="4" t="str">
        <f>IFERROR(__xludf.DUMMYFUNCTION("""COMPUTED_VALUE"""),"")</f>
        <v/>
      </c>
      <c r="BH623" s="4" t="s">
        <v>63</v>
      </c>
      <c r="BI623" s="7" t="s">
        <v>63</v>
      </c>
    </row>
    <row r="624" hidden="1">
      <c r="A624" s="4" t="str">
        <f>IFERROR(__xludf.DUMMYFUNCTION("""COMPUTED_VALUE"""),"Krispy Kreme")</f>
        <v>Krispy Kreme</v>
      </c>
      <c r="B624" s="4" t="str">
        <f>IFERROR(__xludf.DUMMYFUNCTION("""COMPUTED_VALUE"""),"Michel")</f>
        <v>Michel</v>
      </c>
      <c r="C624" s="4" t="str">
        <f>IFERROR(__xludf.DUMMYFUNCTION("""COMPUTED_VALUE"""),"Michel")</f>
        <v>Michel</v>
      </c>
      <c r="D624" s="4" t="str">
        <f>IFERROR(__xludf.DUMMYFUNCTION("""COMPUTED_VALUE"""),"12. Orgânico")</f>
        <v>12. Orgânico</v>
      </c>
      <c r="E624" s="4"/>
      <c r="F624" s="4" t="str">
        <f>IFERROR(__xludf.DUMMYFUNCTION("""COMPUTED_VALUE"""),"P")</f>
        <v>P</v>
      </c>
      <c r="G624" s="4"/>
      <c r="H624" s="4"/>
      <c r="I624" s="4"/>
      <c r="J624" s="4"/>
      <c r="K624" s="6">
        <f>IFERROR(__xludf.DUMMYFUNCTION("""COMPUTED_VALUE"""),45807.0)</f>
        <v>45807</v>
      </c>
      <c r="L624" s="4"/>
      <c r="M624" s="4"/>
      <c r="N624" s="6">
        <f>IFERROR(__xludf.DUMMYFUNCTION("""COMPUTED_VALUE"""),45930.0)</f>
        <v>45930</v>
      </c>
      <c r="O624" s="4"/>
      <c r="P624" s="4"/>
      <c r="Q624" s="6">
        <f>IFERROR(__xludf.DUMMYFUNCTION("""COMPUTED_VALUE"""),45930.0)</f>
        <v>45930</v>
      </c>
      <c r="R624" s="4"/>
      <c r="S624" s="4"/>
      <c r="T624" s="6">
        <f>IFERROR(__xludf.DUMMYFUNCTION("""COMPUTED_VALUE"""),46076.60627712963)</f>
        <v>46076.60628</v>
      </c>
      <c r="U624" s="4"/>
      <c r="V624" s="4"/>
      <c r="W624" s="4"/>
      <c r="X624" s="4"/>
      <c r="Y624" s="4"/>
      <c r="Z624" s="4"/>
      <c r="AA624" s="4">
        <f>IFERROR(__xludf.DUMMYFUNCTION("""COMPUTED_VALUE"""),3.0)</f>
        <v>3</v>
      </c>
      <c r="AB624" s="4"/>
      <c r="AC624" s="4"/>
      <c r="AD624" s="4"/>
      <c r="AE624" s="4"/>
      <c r="AF624" s="4"/>
      <c r="AG624" s="4"/>
      <c r="AH624" s="4"/>
      <c r="AI624" s="4"/>
      <c r="AJ624" s="4"/>
      <c r="AK624" s="4"/>
      <c r="AL624" s="4"/>
      <c r="AM624" s="4" t="str">
        <f>IFERROR(__xludf.DUMMYFUNCTION("""COMPUTED_VALUE"""),"Orgânico 3S")</f>
        <v>Orgânico 3S</v>
      </c>
      <c r="AN624" s="4"/>
      <c r="AO624" s="4">
        <f>IFERROR(__xludf.DUMMYFUNCTION("""COMPUTED_VALUE"""),45553.0)</f>
        <v>45553</v>
      </c>
      <c r="AP624" s="4"/>
      <c r="AQ624" s="4"/>
      <c r="AR624" s="4"/>
      <c r="AS624" s="4" t="str">
        <f>IFERROR(__xludf.DUMMYFUNCTION("""COMPUTED_VALUE"""),"NATHALIE MERTENS")</f>
        <v>NATHALIE MERTENS</v>
      </c>
      <c r="AT624" s="4" t="str">
        <f>IFERROR(__xludf.DUMMYFUNCTION("""COMPUTED_VALUE"""),"MARIANA KATZ")</f>
        <v>MARIANA KATZ</v>
      </c>
      <c r="AU624" s="4" t="str">
        <f>IFERROR(__xludf.DUMMYFUNCTION("""COMPUTED_VALUE"""),"Michel")</f>
        <v>Michel</v>
      </c>
      <c r="AV624" s="4">
        <f>IFERROR(__xludf.DUMMYFUNCTION("""COMPUTED_VALUE"""),0.0)</f>
        <v>0</v>
      </c>
      <c r="AW624" s="4">
        <f>IFERROR(__xludf.DUMMYFUNCTION("""COMPUTED_VALUE"""),0.0)</f>
        <v>0</v>
      </c>
      <c r="AX624" s="4">
        <f>IFERROR(__xludf.DUMMYFUNCTION("""COMPUTED_VALUE"""),0.0)</f>
        <v>0</v>
      </c>
      <c r="AY624" s="4"/>
      <c r="AZ624" s="4" t="str">
        <f>IFERROR(__xludf.DUMMYFUNCTION("""COMPUTED_VALUE"""),"Doces &amp; Bolos")</f>
        <v>Doces &amp; Bolos</v>
      </c>
      <c r="BA624" s="4" t="str">
        <f>IFERROR(__xludf.DUMMYFUNCTION("""COMPUTED_VALUE"""),"R$ 15-35")</f>
        <v>R$ 15-35</v>
      </c>
      <c r="BB624" s="4" t="str">
        <f>IFERROR(__xludf.DUMMYFUNCTION("""COMPUTED_VALUE"""),"QSR - Donuts")</f>
        <v>QSR - Donuts</v>
      </c>
      <c r="BC624" s="4" t="str">
        <f>IFERROR(__xludf.DUMMYFUNCTION("""COMPUTED_VALUE"""),"São Paulo (3-5 lojas, expansão 2026)")</f>
        <v>São Paulo (3-5 lojas, expansão 2026)</v>
      </c>
      <c r="BD624" s="4" t="str">
        <f>IFERROR(__xludf.DUMMYFUNCTION("""COMPUTED_VALUE"""),"Necessário Discovery")</f>
        <v>Necessário Discovery</v>
      </c>
      <c r="BE624" s="4">
        <f>IFERROR(__xludf.DUMMYFUNCTION("""COMPUTED_VALUE"""),68.0)</f>
        <v>68</v>
      </c>
      <c r="BF624" s="4">
        <f>IFERROR(__xludf.DUMMYFUNCTION("""COMPUTED_VALUE"""),0.72)</f>
        <v>0.72</v>
      </c>
      <c r="BG624" s="4" t="str">
        <f>IFERROR(__xludf.DUMMYFUNCTION("""COMPUTED_VALUE"""),"PDV não identificado - 3-5 lojas SP, expansão 2026 (maio/2º sem). Donuts premium. 3S: gestão produção (50k donuts/dia), delivery, totens")</f>
        <v>PDV não identificado - 3-5 lojas SP, expansão 2026 (maio/2º sem). Donuts premium. 3S: gestão produção (50k donuts/dia), delivery, totens</v>
      </c>
      <c r="BH624" s="4" t="s">
        <v>145</v>
      </c>
      <c r="BI624" s="7">
        <v>1.0</v>
      </c>
    </row>
    <row r="625" hidden="1">
      <c r="A625" s="4" t="str">
        <f>IFERROR(__xludf.DUMMYFUNCTION("""COMPUTED_VALUE"""),"L'Entrecôte Paris")</f>
        <v>L'Entrecôte Paris</v>
      </c>
      <c r="B625" s="4" t="str">
        <f>IFERROR(__xludf.DUMMYFUNCTION("""COMPUTED_VALUE"""),"Michel")</f>
        <v>Michel</v>
      </c>
      <c r="C625" s="4" t="str">
        <f>IFERROR(__xludf.DUMMYFUNCTION("""COMPUTED_VALUE"""),"Michel")</f>
        <v>Michel</v>
      </c>
      <c r="D625" s="4" t="str">
        <f>IFERROR(__xludf.DUMMYFUNCTION("""COMPUTED_VALUE"""),"12. Orgânico")</f>
        <v>12. Orgânico</v>
      </c>
      <c r="E625" s="4"/>
      <c r="F625" s="4" t="str">
        <f>IFERROR(__xludf.DUMMYFUNCTION("""COMPUTED_VALUE"""),"M")</f>
        <v>M</v>
      </c>
      <c r="G625" s="4"/>
      <c r="H625" s="4"/>
      <c r="I625" s="4"/>
      <c r="J625" s="4"/>
      <c r="K625" s="4"/>
      <c r="L625" s="4"/>
      <c r="M625" s="4"/>
      <c r="N625" s="4"/>
      <c r="O625" s="4"/>
      <c r="P625" s="4"/>
      <c r="Q625" s="4"/>
      <c r="R625" s="4"/>
      <c r="S625" s="4"/>
      <c r="T625" s="4"/>
      <c r="U625" s="4"/>
      <c r="V625" s="4"/>
      <c r="W625" s="4"/>
      <c r="X625" s="4"/>
      <c r="Y625" s="4"/>
      <c r="Z625" s="4"/>
      <c r="AA625" s="4">
        <f>IFERROR(__xludf.DUMMYFUNCTION("""COMPUTED_VALUE"""),35.0)</f>
        <v>35</v>
      </c>
      <c r="AB625" s="4"/>
      <c r="AC625" s="4"/>
      <c r="AD625" s="4"/>
      <c r="AE625" s="4"/>
      <c r="AF625" s="4"/>
      <c r="AG625" s="4"/>
      <c r="AH625" s="4"/>
      <c r="AI625" s="4"/>
      <c r="AJ625" s="4"/>
      <c r="AK625" s="4"/>
      <c r="AL625" s="4"/>
      <c r="AM625" s="4" t="str">
        <f>IFERROR(__xludf.DUMMYFUNCTION("""COMPUTED_VALUE"""),"Orgânico 3S")</f>
        <v>Orgânico 3S</v>
      </c>
      <c r="AN625" s="4"/>
      <c r="AO625" s="4">
        <f>IFERROR(__xludf.DUMMYFUNCTION("""COMPUTED_VALUE"""),45553.0)</f>
        <v>45553</v>
      </c>
      <c r="AP625" s="4"/>
      <c r="AQ625" s="4"/>
      <c r="AR625" s="4"/>
      <c r="AS625" s="4">
        <f>IFERROR(__xludf.DUMMYFUNCTION("""COMPUTED_VALUE"""),0.0)</f>
        <v>0</v>
      </c>
      <c r="AT625" s="4">
        <f>IFERROR(__xludf.DUMMYFUNCTION("""COMPUTED_VALUE"""),0.0)</f>
        <v>0</v>
      </c>
      <c r="AU625" s="4" t="str">
        <f>IFERROR(__xludf.DUMMYFUNCTION("""COMPUTED_VALUE"""),"Michel")</f>
        <v>Michel</v>
      </c>
      <c r="AV625" s="4" t="str">
        <f>IFERROR(__xludf.DUMMYFUNCTION("""COMPUTED_VALUE"""),"Comer Fora-Validação técnica")</f>
        <v>Comer Fora-Validação técnica</v>
      </c>
      <c r="AW625" s="20" t="str">
        <f>IFERROR(__xludf.DUMMYFUNCTION("""COMPUTED_VALUE"""),"G - pipe")</f>
        <v>G - pipe</v>
      </c>
      <c r="AX625" s="4"/>
      <c r="AY625" s="4"/>
      <c r="AZ625" s="4">
        <f>IFERROR(__xludf.DUMMYFUNCTION("""COMPUTED_VALUE"""),0.0)</f>
        <v>0</v>
      </c>
      <c r="BA625" s="4" t="str">
        <f>IFERROR(__xludf.DUMMYFUNCTION("""COMPUTED_VALUE"""),"R$ 80-140")</f>
        <v>R$ 80-140</v>
      </c>
      <c r="BB625" s="4" t="str">
        <f>IFERROR(__xludf.DUMMYFUNCTION("""COMPUTED_VALUE"""),"Fine Dining - Francesa (Carnes)")</f>
        <v>Fine Dining - Francesa (Carnes)</v>
      </c>
      <c r="BC625" s="4" t="str">
        <f>IFERROR(__xludf.DUMMYFUNCTION("""COMPUTED_VALUE"""),"Nacional (32 lojas: SP, RJ, MG, RS, GO, DF)")</f>
        <v>Nacional (32 lojas: SP, RJ, MG, RS, GO, DF)</v>
      </c>
      <c r="BD625" s="4" t="str">
        <f>IFERROR(__xludf.DUMMYFUNCTION("""COMPUTED_VALUE"""),"Necessário Discovery")</f>
        <v>Necessário Discovery</v>
      </c>
      <c r="BE625" s="4">
        <f>IFERROR(__xludf.DUMMYFUNCTION("""COMPUTED_VALUE"""),70.0)</f>
        <v>70</v>
      </c>
      <c r="BF625" s="4">
        <f>IFERROR(__xludf.DUMMYFUNCTION("""COMPUTED_VALUE"""),0.73)</f>
        <v>0.73</v>
      </c>
      <c r="BG625" s="4" t="str">
        <f>IFERROR(__xludf.DUMMYFUNCTION("""COMPUTED_VALUE"""),"PDV não identificado - 32 lojas premium (SP, RJ, MG, RS, GO, DF), meta +8 em 2026. Fine dining francesa. 3S: PDV Mobile, comandas premium, delivery")</f>
        <v>PDV não identificado - 32 lojas premium (SP, RJ, MG, RS, GO, DF), meta +8 em 2026. Fine dining francesa. 3S: PDV Mobile, comandas premium, delivery</v>
      </c>
      <c r="BH625" s="4" t="s">
        <v>63</v>
      </c>
      <c r="BI625" s="7" t="s">
        <v>63</v>
      </c>
    </row>
    <row r="626" hidden="1">
      <c r="A626" s="4" t="str">
        <f>IFERROR(__xludf.DUMMYFUNCTION("""COMPUTED_VALUE"""),"La Borratxeria")</f>
        <v>La Borratxeria</v>
      </c>
      <c r="B626" s="4" t="str">
        <f>IFERROR(__xludf.DUMMYFUNCTION("""COMPUTED_VALUE"""),"Lídia Esteves")</f>
        <v>Lídia Esteves</v>
      </c>
      <c r="C626" s="4" t="str">
        <f>IFERROR(__xludf.DUMMYFUNCTION("""COMPUTED_VALUE"""),"Lídia Esteves")</f>
        <v>Lídia Esteves</v>
      </c>
      <c r="D626" s="4" t="str">
        <f>IFERROR(__xludf.DUMMYFUNCTION("""COMPUTED_VALUE"""),"13. Reativado")</f>
        <v>13. Reativado</v>
      </c>
      <c r="E626" s="4" t="str">
        <f>IFERROR(__xludf.DUMMYFUNCTION("""COMPUTED_VALUE"""),"Perdido - Proposta comercial não aceita")</f>
        <v>Perdido - Proposta comercial não aceita</v>
      </c>
      <c r="F626" s="4" t="str">
        <f>IFERROR(__xludf.DUMMYFUNCTION("""COMPUTED_VALUE"""),"P")</f>
        <v>P</v>
      </c>
      <c r="G626" s="5">
        <f>IFERROR(__xludf.DUMMYFUNCTION("""COMPUTED_VALUE"""),46076.0)</f>
        <v>46076</v>
      </c>
      <c r="H626" s="4" t="str">
        <f>IFERROR(__xludf.DUMMYFUNCTION("""COMPUTED_VALUE"""),"Parceiro não aceitou proposta comercial devido preço mensalidade, não conseguimos descer mais a margem.")</f>
        <v>Parceiro não aceitou proposta comercial devido preço mensalidade, não conseguimos descer mais a margem.</v>
      </c>
      <c r="I626" s="4"/>
      <c r="J626" s="4"/>
      <c r="K626" s="6">
        <f>IFERROR(__xludf.DUMMYFUNCTION("""COMPUTED_VALUE"""),45991.0)</f>
        <v>45991</v>
      </c>
      <c r="L626" s="4"/>
      <c r="M626" s="6">
        <f>IFERROR(__xludf.DUMMYFUNCTION("""COMPUTED_VALUE"""),46051.69771787037)</f>
        <v>46051.69772</v>
      </c>
      <c r="N626" s="6">
        <f>IFERROR(__xludf.DUMMYFUNCTION("""COMPUTED_VALUE"""),46051.697768425925)</f>
        <v>46051.69777</v>
      </c>
      <c r="O626" s="4"/>
      <c r="P626" s="4"/>
      <c r="Q626" s="4"/>
      <c r="R626" s="4"/>
      <c r="S626" s="4"/>
      <c r="T626" s="4"/>
      <c r="U626" s="6">
        <f>IFERROR(__xludf.DUMMYFUNCTION("""COMPUTED_VALUE"""),46119.66790864583)</f>
        <v>46119.66791</v>
      </c>
      <c r="V626" s="4"/>
      <c r="W626" s="4"/>
      <c r="X626" s="4"/>
      <c r="Y626" s="4"/>
      <c r="Z626" s="4"/>
      <c r="AA626" s="4">
        <f>IFERROR(__xludf.DUMMYFUNCTION("""COMPUTED_VALUE"""),2.0)</f>
        <v>2</v>
      </c>
      <c r="AB626" s="4" t="str">
        <f>IFERROR(__xludf.DUMMYFUNCTION("""COMPUTED_VALUE"""),"NÃO")</f>
        <v>NÃO</v>
      </c>
      <c r="AC626" s="4" t="str">
        <f>IFERROR(__xludf.DUMMYFUNCTION("""COMPUTED_VALUE"""),"BP")</f>
        <v>BP</v>
      </c>
      <c r="AD626" s="4"/>
      <c r="AE626" s="4"/>
      <c r="AF626" s="4"/>
      <c r="AG626" s="4"/>
      <c r="AH626" s="4"/>
      <c r="AI626" s="4"/>
      <c r="AJ626" s="4"/>
      <c r="AK626" s="4"/>
      <c r="AL626" s="4"/>
      <c r="AM626" s="4" t="str">
        <f>IFERROR(__xludf.DUMMYFUNCTION("""COMPUTED_VALUE"""),"FY26")</f>
        <v>FY26</v>
      </c>
      <c r="AN626" s="4" t="str">
        <f>IFERROR(__xludf.DUMMYFUNCTION("""COMPUTED_VALUE"""),"Comer Fora")</f>
        <v>Comer Fora</v>
      </c>
      <c r="AO626" s="4">
        <f>IFERROR(__xludf.DUMMYFUNCTION("""COMPUTED_VALUE"""),140.0)</f>
        <v>140</v>
      </c>
      <c r="AP626" s="4"/>
      <c r="AQ626" s="4"/>
      <c r="AR626" s="4"/>
      <c r="AS626" s="4" t="str">
        <f>IFERROR(__xludf.DUMMYFUNCTION("""COMPUTED_VALUE"""),"NATHALIE MERTENS")</f>
        <v>NATHALIE MERTENS</v>
      </c>
      <c r="AT626" s="4" t="str">
        <f>IFERROR(__xludf.DUMMYFUNCTION("""COMPUTED_VALUE"""),"MARIANA KATZ")</f>
        <v>MARIANA KATZ</v>
      </c>
      <c r="AU626" s="4" t="str">
        <f>IFERROR(__xludf.DUMMYFUNCTION("""COMPUTED_VALUE"""),"Lídia")</f>
        <v>Lídia</v>
      </c>
      <c r="AV626" s="4">
        <f>IFERROR(__xludf.DUMMYFUNCTION("""COMPUTED_VALUE"""),0.0)</f>
        <v>0</v>
      </c>
      <c r="AW626" s="4">
        <f>IFERROR(__xludf.DUMMYFUNCTION("""COMPUTED_VALUE"""),0.0)</f>
        <v>0</v>
      </c>
      <c r="AX626" s="4">
        <f>IFERROR(__xludf.DUMMYFUNCTION("""COMPUTED_VALUE"""),0.0)</f>
        <v>0</v>
      </c>
      <c r="AY626" s="4"/>
      <c r="AZ626" s="4" t="str">
        <f>IFERROR(__xludf.DUMMYFUNCTION("""COMPUTED_VALUE"""),"Lanches")</f>
        <v>Lanches</v>
      </c>
      <c r="BA626" s="4" t="str">
        <f>IFERROR(__xludf.DUMMYFUNCTION("""COMPUTED_VALUE"""),"R$ 60-100")</f>
        <v>R$ 60-100</v>
      </c>
      <c r="BB626" s="4" t="str">
        <f>IFERROR(__xludf.DUMMYFUNCTION("""COMPUTED_VALUE"""),"Casual Dining - Espanhola")</f>
        <v>Casual Dining - Espanhola</v>
      </c>
      <c r="BC626" s="4" t="str">
        <f>IFERROR(__xludf.DUMMYFUNCTION("""COMPUTED_VALUE"""),"Curitiba/PR (6 unidades)")</f>
        <v>Curitiba/PR (6 unidades)</v>
      </c>
      <c r="BD626" s="4" t="str">
        <f>IFERROR(__xludf.DUMMYFUNCTION("""COMPUTED_VALUE"""),"R$ 9 milhões (2018, dado histórico)")</f>
        <v>R$ 9 milhões (2018, dado histórico)</v>
      </c>
      <c r="BE626" s="4">
        <f>IFERROR(__xludf.DUMMYFUNCTION("""COMPUTED_VALUE"""),48.0)</f>
        <v>48</v>
      </c>
      <c r="BF626" s="4">
        <f>IFERROR(__xludf.DUMMYFUNCTION("""COMPUTED_VALUE"""),0.52)</f>
        <v>0.52</v>
      </c>
      <c r="BG626" s="4" t="str">
        <f>IFERROR(__xludf.DUMMYFUNCTION("""COMPUTED_VALUE"""),"PDV não identificado (já no Lote 3) - 6 lojas Curitiba. Franquia mexicana crescimento limitado")</f>
        <v>PDV não identificado (já no Lote 3) - 6 lojas Curitiba. Franquia mexicana crescimento limitado</v>
      </c>
      <c r="BH626" s="4" t="s">
        <v>129</v>
      </c>
      <c r="BI626" s="7">
        <v>1.0</v>
      </c>
    </row>
    <row r="627" hidden="1">
      <c r="A627" s="4" t="str">
        <f>IFERROR(__xludf.DUMMYFUNCTION("""COMPUTED_VALUE"""),"Le Mani Pizza")</f>
        <v>Le Mani Pizza</v>
      </c>
      <c r="B627" s="4" t="str">
        <f>IFERROR(__xludf.DUMMYFUNCTION("""COMPUTED_VALUE"""),"Ana")</f>
        <v>Ana</v>
      </c>
      <c r="C627" s="4" t="str">
        <f>IFERROR(__xludf.DUMMYFUNCTION("""COMPUTED_VALUE"""),"Ana")</f>
        <v>Ana</v>
      </c>
      <c r="D627" s="4" t="str">
        <f>IFERROR(__xludf.DUMMYFUNCTION("""COMPUTED_VALUE"""),"9. Contrato assinado")</f>
        <v>9. Contrato assinado</v>
      </c>
      <c r="E627" s="4" t="str">
        <f>IFERROR(__xludf.DUMMYFUNCTION("""COMPUTED_VALUE""")," Projetos - Contrato assinado &amp; Rollout")</f>
        <v> Projetos - Contrato assinado &amp; Rollout</v>
      </c>
      <c r="F627" s="4" t="str">
        <f>IFERROR(__xludf.DUMMYFUNCTION("""COMPUTED_VALUE"""),"P")</f>
        <v>P</v>
      </c>
      <c r="G627" s="5">
        <f>IFERROR(__xludf.DUMMYFUNCTION("""COMPUTED_VALUE"""),46104.0)</f>
        <v>46104</v>
      </c>
      <c r="H627" s="4" t="str">
        <f>IFERROR(__xludf.DUMMYFUNCTION("""COMPUTED_VALUE"""),"Kick Off de projeto agendado para 23/03 e será iniciado o projeto de implantação")</f>
        <v>Kick Off de projeto agendado para 23/03 e será iniciado o projeto de implantação</v>
      </c>
      <c r="I627" s="4"/>
      <c r="J627" s="6">
        <f>IFERROR(__xludf.DUMMYFUNCTION("""COMPUTED_VALUE"""),46090.359616435184)</f>
        <v>46090.35962</v>
      </c>
      <c r="K627" s="6">
        <f>IFERROR(__xludf.DUMMYFUNCTION("""COMPUTED_VALUE"""),46090.35966025463)</f>
        <v>46090.35966</v>
      </c>
      <c r="L627" s="6">
        <f>IFERROR(__xludf.DUMMYFUNCTION("""COMPUTED_VALUE"""),46093.6011683449)</f>
        <v>46093.60117</v>
      </c>
      <c r="M627" s="6">
        <f>IFERROR(__xludf.DUMMYFUNCTION("""COMPUTED_VALUE"""),46093.60147010417)</f>
        <v>46093.60147</v>
      </c>
      <c r="N627" s="6">
        <f>IFERROR(__xludf.DUMMYFUNCTION("""COMPUTED_VALUE"""),46094.71691657408)</f>
        <v>46094.71692</v>
      </c>
      <c r="O627" s="4"/>
      <c r="P627" s="6">
        <f>IFERROR(__xludf.DUMMYFUNCTION("""COMPUTED_VALUE"""),46104.42868965278)</f>
        <v>46104.42869</v>
      </c>
      <c r="Q627" s="6">
        <f>IFERROR(__xludf.DUMMYFUNCTION("""COMPUTED_VALUE"""),46104.42877965278)</f>
        <v>46104.42878</v>
      </c>
      <c r="R627" s="4"/>
      <c r="S627" s="4"/>
      <c r="T627" s="4"/>
      <c r="U627" s="4"/>
      <c r="V627" s="4"/>
      <c r="W627" s="8">
        <f>IFERROR(__xludf.DUMMYFUNCTION("""COMPUTED_VALUE"""),740.0)</f>
        <v>740</v>
      </c>
      <c r="X627" s="4">
        <f>IFERROR(__xludf.DUMMYFUNCTION("""COMPUTED_VALUE"""),60.0)</f>
        <v>60</v>
      </c>
      <c r="Y627" s="8">
        <f>IFERROR(__xludf.DUMMYFUNCTION("""COMPUTED_VALUE"""),0.0)</f>
        <v>0</v>
      </c>
      <c r="Z627" s="8">
        <f>IFERROR(__xludf.DUMMYFUNCTION("""COMPUTED_VALUE"""),0.0)</f>
        <v>0</v>
      </c>
      <c r="AA627" s="4">
        <f>IFERROR(__xludf.DUMMYFUNCTION("""COMPUTED_VALUE"""),1.0)</f>
        <v>1</v>
      </c>
      <c r="AB627" s="4" t="str">
        <f>IFERROR(__xludf.DUMMYFUNCTION("""COMPUTED_VALUE"""),"Não")</f>
        <v>Não</v>
      </c>
      <c r="AC627" s="4" t="str">
        <f>IFERROR(__xludf.DUMMYFUNCTION("""COMPUTED_VALUE"""),"Não")</f>
        <v>Não</v>
      </c>
      <c r="AD627" s="4"/>
      <c r="AE627" s="4"/>
      <c r="AF627" s="4"/>
      <c r="AG627" s="4"/>
      <c r="AH627" s="4"/>
      <c r="AI627" s="4"/>
      <c r="AJ627" s="4"/>
      <c r="AK627" s="4"/>
      <c r="AL627" s="4"/>
      <c r="AM627" s="4" t="str">
        <f>IFERROR(__xludf.DUMMYFUNCTION("""COMPUTED_VALUE"""),"FY26")</f>
        <v>FY26</v>
      </c>
      <c r="AN627" s="4"/>
      <c r="AO627" s="4">
        <f>IFERROR(__xludf.DUMMYFUNCTION("""COMPUTED_VALUE"""),110.0)</f>
        <v>110</v>
      </c>
      <c r="AP627" s="4"/>
      <c r="AQ627" s="4"/>
      <c r="AR627" s="4"/>
      <c r="AS627" s="4">
        <f>IFERROR(__xludf.DUMMYFUNCTION("""COMPUTED_VALUE"""),0.0)</f>
        <v>0</v>
      </c>
      <c r="AT627" s="4">
        <f>IFERROR(__xludf.DUMMYFUNCTION("""COMPUTED_VALUE"""),0.0)</f>
        <v>0</v>
      </c>
      <c r="AU627" s="4" t="str">
        <f>IFERROR(__xludf.DUMMYFUNCTION("""COMPUTED_VALUE"""),"Ana")</f>
        <v>Ana</v>
      </c>
      <c r="AV627" s="4">
        <f>IFERROR(__xludf.DUMMYFUNCTION("""COMPUTED_VALUE"""),0.0)</f>
        <v>0</v>
      </c>
      <c r="AW627" s="4">
        <f>IFERROR(__xludf.DUMMYFUNCTION("""COMPUTED_VALUE"""),0.0)</f>
        <v>0</v>
      </c>
      <c r="AX627" s="4">
        <f>IFERROR(__xludf.DUMMYFUNCTION("""COMPUTED_VALUE"""),0.0)</f>
        <v>0</v>
      </c>
      <c r="AY627" s="4">
        <f>IFERROR(__xludf.DUMMYFUNCTION("""COMPUTED_VALUE"""),0.0)</f>
        <v>0</v>
      </c>
      <c r="AZ627" s="4">
        <f>IFERROR(__xludf.DUMMYFUNCTION("""COMPUTED_VALUE"""),0.0)</f>
        <v>0</v>
      </c>
      <c r="BA627" s="4" t="str">
        <f>IFERROR(__xludf.DUMMYFUNCTION("""COMPUTED_VALUE"""),"")</f>
        <v/>
      </c>
      <c r="BB627" s="4" t="str">
        <f>IFERROR(__xludf.DUMMYFUNCTION("""COMPUTED_VALUE"""),"")</f>
        <v/>
      </c>
      <c r="BC627" s="4" t="str">
        <f>IFERROR(__xludf.DUMMYFUNCTION("""COMPUTED_VALUE"""),"")</f>
        <v/>
      </c>
      <c r="BD627" s="4" t="str">
        <f>IFERROR(__xludf.DUMMYFUNCTION("""COMPUTED_VALUE"""),"")</f>
        <v/>
      </c>
      <c r="BE627" s="4" t="str">
        <f>IFERROR(__xludf.DUMMYFUNCTION("""COMPUTED_VALUE"""),"")</f>
        <v/>
      </c>
      <c r="BF627" s="4" t="str">
        <f>IFERROR(__xludf.DUMMYFUNCTION("""COMPUTED_VALUE"""),"")</f>
        <v/>
      </c>
      <c r="BG627" s="4" t="str">
        <f>IFERROR(__xludf.DUMMYFUNCTION("""COMPUTED_VALUE"""),"")</f>
        <v/>
      </c>
      <c r="BH627" s="4" t="s">
        <v>63</v>
      </c>
      <c r="BI627" s="7" t="s">
        <v>63</v>
      </c>
    </row>
    <row r="628" hidden="1">
      <c r="A628" s="4" t="str">
        <f>IFERROR(__xludf.DUMMYFUNCTION("""COMPUTED_VALUE"""),"Liv Up")</f>
        <v>Liv Up</v>
      </c>
      <c r="B628" s="4" t="str">
        <f>IFERROR(__xludf.DUMMYFUNCTION("""COMPUTED_VALUE"""),"Ana")</f>
        <v>Ana</v>
      </c>
      <c r="C628" s="4" t="str">
        <f>IFERROR(__xludf.DUMMYFUNCTION("""COMPUTED_VALUE"""),"Ana")</f>
        <v>Ana</v>
      </c>
      <c r="D628" s="4" t="str">
        <f>IFERROR(__xludf.DUMMYFUNCTION("""COMPUTED_VALUE"""),"13. Reativado")</f>
        <v>13. Reativado</v>
      </c>
      <c r="E628" s="4" t="str">
        <f>IFERROR(__xludf.DUMMYFUNCTION("""COMPUTED_VALUE"""),"Perdido - Outro (detalhar ao lado)")</f>
        <v>Perdido - Outro (detalhar ao lado)</v>
      </c>
      <c r="F628" s="4" t="str">
        <f>IFERROR(__xludf.DUMMYFUNCTION("""COMPUTED_VALUE"""),"P")</f>
        <v>P</v>
      </c>
      <c r="G628" s="5">
        <f>IFERROR(__xludf.DUMMYFUNCTION("""COMPUTED_VALUE"""),46076.0)</f>
        <v>46076</v>
      </c>
      <c r="H628" s="4" t="str">
        <f>IFERROR(__xludf.DUMMYFUNCTION("""COMPUTED_VALUE"""),"Não chegou a receber proposta comercial e já fechou com outra solução")</f>
        <v>Não chegou a receber proposta comercial e já fechou com outra solução</v>
      </c>
      <c r="I628" s="4"/>
      <c r="J628" s="4"/>
      <c r="K628" s="6">
        <f>IFERROR(__xludf.DUMMYFUNCTION("""COMPUTED_VALUE"""),45930.0)</f>
        <v>45930</v>
      </c>
      <c r="L628" s="4"/>
      <c r="M628" s="4"/>
      <c r="N628" s="4"/>
      <c r="O628" s="4"/>
      <c r="P628" s="4"/>
      <c r="Q628" s="4"/>
      <c r="R628" s="6">
        <f>IFERROR(__xludf.DUMMYFUNCTION("""COMPUTED_VALUE"""),46055.42187170139)</f>
        <v>46055.42187</v>
      </c>
      <c r="S628" s="4"/>
      <c r="T628" s="4"/>
      <c r="U628" s="6">
        <f>IFERROR(__xludf.DUMMYFUNCTION("""COMPUTED_VALUE"""),46111.66278182871)</f>
        <v>46111.66278</v>
      </c>
      <c r="V628" s="4" t="str">
        <f>IFERROR(__xludf.DUMMYFUNCTION("""COMPUTED_VALUE"""),"Fechou com concorrente há pouco tempo")</f>
        <v>Fechou com concorrente há pouco tempo</v>
      </c>
      <c r="W628" s="4"/>
      <c r="X628" s="4"/>
      <c r="Y628" s="4"/>
      <c r="Z628" s="4"/>
      <c r="AA628" s="4">
        <f>IFERROR(__xludf.DUMMYFUNCTION("""COMPUTED_VALUE"""),22.0)</f>
        <v>22</v>
      </c>
      <c r="AB628" s="4" t="str">
        <f>IFERROR(__xludf.DUMMYFUNCTION("""COMPUTED_VALUE"""),"-")</f>
        <v>-</v>
      </c>
      <c r="AC628" s="4" t="str">
        <f>IFERROR(__xludf.DUMMYFUNCTION("""COMPUTED_VALUE"""),"-")</f>
        <v>-</v>
      </c>
      <c r="AD628" s="4"/>
      <c r="AE628" s="4"/>
      <c r="AF628" s="4"/>
      <c r="AG628" s="4"/>
      <c r="AH628" s="4"/>
      <c r="AI628" s="4"/>
      <c r="AJ628" s="4"/>
      <c r="AK628" s="4"/>
      <c r="AL628" s="4"/>
      <c r="AM628" s="4" t="str">
        <f>IFERROR(__xludf.DUMMYFUNCTION("""COMPUTED_VALUE"""),"FY26")</f>
        <v>FY26</v>
      </c>
      <c r="AN628" s="4"/>
      <c r="AO628" s="4">
        <f>IFERROR(__xludf.DUMMYFUNCTION("""COMPUTED_VALUE"""),140.0)</f>
        <v>140</v>
      </c>
      <c r="AP628" s="4"/>
      <c r="AQ628" s="4"/>
      <c r="AR628" s="4"/>
      <c r="AS628" s="4">
        <f>IFERROR(__xludf.DUMMYFUNCTION("""COMPUTED_VALUE"""),0.0)</f>
        <v>0</v>
      </c>
      <c r="AT628" s="4">
        <f>IFERROR(__xludf.DUMMYFUNCTION("""COMPUTED_VALUE"""),0.0)</f>
        <v>0</v>
      </c>
      <c r="AU628" s="4" t="str">
        <f>IFERROR(__xludf.DUMMYFUNCTION("""COMPUTED_VALUE"""),"Ana")</f>
        <v>Ana</v>
      </c>
      <c r="AV628" s="4">
        <f>IFERROR(__xludf.DUMMYFUNCTION("""COMPUTED_VALUE"""),0.0)</f>
        <v>0</v>
      </c>
      <c r="AW628" s="4">
        <f>IFERROR(__xludf.DUMMYFUNCTION("""COMPUTED_VALUE"""),0.0)</f>
        <v>0</v>
      </c>
      <c r="AX628" s="4">
        <f>IFERROR(__xludf.DUMMYFUNCTION("""COMPUTED_VALUE"""),0.0)</f>
        <v>0</v>
      </c>
      <c r="AY628" s="4"/>
      <c r="AZ628" s="4" t="str">
        <f>IFERROR(__xludf.DUMMYFUNCTION("""COMPUTED_VALUE"""),"#N/A")</f>
        <v>#N/A</v>
      </c>
      <c r="BA628" s="4" t="str">
        <f>IFERROR(__xludf.DUMMYFUNCTION("""COMPUTED_VALUE"""),"R$ 35-55")</f>
        <v>R$ 35-55</v>
      </c>
      <c r="BB628" s="4" t="str">
        <f>IFERROR(__xludf.DUMMYFUNCTION("""COMPUTED_VALUE"""),"Delivery - Refeições Saudáveis")</f>
        <v>Delivery - Refeições Saudáveis</v>
      </c>
      <c r="BC628" s="4" t="str">
        <f>IFERROR(__xludf.DUMMYFUNCTION("""COMPUTED_VALUE"""),"Nacional (11 pontos: SP, RJ, BH, Curitiba, POA, Fortaleza, Recife, Salvador, Brasília, Floripa, Campinas)")</f>
        <v>Nacional (11 pontos: SP, RJ, BH, Curitiba, POA, Fortaleza, Recife, Salvador, Brasília, Floripa, Campinas)</v>
      </c>
      <c r="BD628" s="4" t="str">
        <f>IFERROR(__xludf.DUMMYFUNCTION("""COMPUTED_VALUE"""),"R$ 450 milhões projetado 2026")</f>
        <v>R$ 450 milhões projetado 2026</v>
      </c>
      <c r="BE628" s="4">
        <f>IFERROR(__xludf.DUMMYFUNCTION("""COMPUTED_VALUE"""),88.0)</f>
        <v>88</v>
      </c>
      <c r="BF628" s="4">
        <f>IFERROR(__xludf.DUMMYFUNCTION("""COMPUTED_VALUE"""),0.9)</f>
        <v>0.9</v>
      </c>
      <c r="BG628" s="4" t="str">
        <f>IFERROR(__xludf.DUMMYFUNCTION("""COMPUTED_VALUE"""),"PDV não identificado - ALTÍSSIMA ADERÊNCIA: Delivery saudável, 11 pontos retirada nacionais, R$ 450M projetado 2026. Modelo inovador D2C. 3S: gestão pedidos multi-canal, integração logística, e-commerce")</f>
        <v>PDV não identificado - ALTÍSSIMA ADERÊNCIA: Delivery saudável, 11 pontos retirada nacionais, R$ 450M projetado 2026. Modelo inovador D2C. 3S: gestão pedidos multi-canal, integração logística, e-commerce</v>
      </c>
      <c r="BH628" s="4" t="s">
        <v>63</v>
      </c>
      <c r="BI628" s="7" t="s">
        <v>63</v>
      </c>
    </row>
    <row r="629" hidden="1">
      <c r="A629" s="4" t="str">
        <f>IFERROR(__xludf.DUMMYFUNCTION("""COMPUTED_VALUE"""),"Liv Up")</f>
        <v>Liv Up</v>
      </c>
      <c r="B629" s="4" t="str">
        <f>IFERROR(__xludf.DUMMYFUNCTION("""COMPUTED_VALUE"""),"Lídia Esteves")</f>
        <v>Lídia Esteves</v>
      </c>
      <c r="C629" s="4" t="str">
        <f>IFERROR(__xludf.DUMMYFUNCTION("""COMPUTED_VALUE"""),"Gabriela Roma")</f>
        <v>Gabriela Roma</v>
      </c>
      <c r="D629" s="4" t="str">
        <f>IFERROR(__xludf.DUMMYFUNCTION("""COMPUTED_VALUE"""),"10. Perdido")</f>
        <v>10. Perdido</v>
      </c>
      <c r="E629" s="4" t="str">
        <f>IFERROR(__xludf.DUMMYFUNCTION("""COMPUTED_VALUE"""),"Perdido - Sem perfil LA / 3SCheckout / PDV próprio")</f>
        <v>Perdido - Sem perfil LA / 3SCheckout / PDV próprio</v>
      </c>
      <c r="F629" s="4" t="str">
        <f>IFERROR(__xludf.DUMMYFUNCTION("""COMPUTED_VALUE"""),"P")</f>
        <v>P</v>
      </c>
      <c r="G629" s="5">
        <f>IFERROR(__xludf.DUMMYFUNCTION("""COMPUTED_VALUE"""),46154.0)</f>
        <v>46154</v>
      </c>
      <c r="H629" s="4" t="str">
        <f>IFERROR(__xludf.DUMMYFUNCTION("""COMPUTED_VALUE"""),"Parceiro não usa pdv e seu modelo de negocio não tem aderencia.")</f>
        <v>Parceiro não usa pdv e seu modelo de negocio não tem aderencia.</v>
      </c>
      <c r="I629" s="4"/>
      <c r="J629" s="6">
        <f>IFERROR(__xludf.DUMMYFUNCTION("""COMPUTED_VALUE"""),46111.66353842593)</f>
        <v>46111.66354</v>
      </c>
      <c r="K629" s="6">
        <f>IFERROR(__xludf.DUMMYFUNCTION("""COMPUTED_VALUE"""),46111.663588842595)</f>
        <v>46111.66359</v>
      </c>
      <c r="L629" s="6">
        <f>IFERROR(__xludf.DUMMYFUNCTION("""COMPUTED_VALUE"""),46111.663623368055)</f>
        <v>46111.66362</v>
      </c>
      <c r="M629" s="6">
        <f>IFERROR(__xludf.DUMMYFUNCTION("""COMPUTED_VALUE"""),46114.49252984954)</f>
        <v>46114.49253</v>
      </c>
      <c r="N629" s="4"/>
      <c r="O629" s="4"/>
      <c r="P629" s="4"/>
      <c r="Q629" s="4"/>
      <c r="R629" s="6">
        <f>IFERROR(__xludf.DUMMYFUNCTION("""COMPUTED_VALUE"""),46154.443440312505)</f>
        <v>46154.44344</v>
      </c>
      <c r="S629" s="4"/>
      <c r="T629" s="4"/>
      <c r="U629" s="4"/>
      <c r="V629" s="4" t="str">
        <f>IFERROR(__xludf.DUMMYFUNCTION("""COMPUTED_VALUE"""),"Sem perfil LA")</f>
        <v>Sem perfil LA</v>
      </c>
      <c r="W629" s="4"/>
      <c r="X629" s="4"/>
      <c r="Y629" s="4"/>
      <c r="Z629" s="4"/>
      <c r="AA629" s="4">
        <f>IFERROR(__xludf.DUMMYFUNCTION("""COMPUTED_VALUE"""),22.0)</f>
        <v>22</v>
      </c>
      <c r="AB629" s="4" t="str">
        <f>IFERROR(__xludf.DUMMYFUNCTION("""COMPUTED_VALUE"""),"-")</f>
        <v>-</v>
      </c>
      <c r="AC629" s="4" t="str">
        <f>IFERROR(__xludf.DUMMYFUNCTION("""COMPUTED_VALUE"""),"-")</f>
        <v>-</v>
      </c>
      <c r="AD629" s="4"/>
      <c r="AE629" s="4"/>
      <c r="AF629" s="4"/>
      <c r="AG629" s="4"/>
      <c r="AH629" s="4"/>
      <c r="AI629" s="4"/>
      <c r="AJ629" s="4"/>
      <c r="AK629" s="4"/>
      <c r="AL629" s="4"/>
      <c r="AM629" s="4" t="str">
        <f>IFERROR(__xludf.DUMMYFUNCTION("""COMPUTED_VALUE"""),"FY26, FY27")</f>
        <v>FY26, FY27</v>
      </c>
      <c r="AN629" s="4"/>
      <c r="AO629" s="4">
        <f>IFERROR(__xludf.DUMMYFUNCTION("""COMPUTED_VALUE"""),61.0)</f>
        <v>61</v>
      </c>
      <c r="AP629" s="4"/>
      <c r="AQ629" s="4"/>
      <c r="AR629" s="4"/>
      <c r="AS629" s="4">
        <f>IFERROR(__xludf.DUMMYFUNCTION("""COMPUTED_VALUE"""),0.0)</f>
        <v>0</v>
      </c>
      <c r="AT629" s="4">
        <f>IFERROR(__xludf.DUMMYFUNCTION("""COMPUTED_VALUE"""),0.0)</f>
        <v>0</v>
      </c>
      <c r="AU629" s="4" t="str">
        <f>IFERROR(__xludf.DUMMYFUNCTION("""COMPUTED_VALUE"""),"Ana")</f>
        <v>Ana</v>
      </c>
      <c r="AV629" s="4">
        <f>IFERROR(__xludf.DUMMYFUNCTION("""COMPUTED_VALUE"""),0.0)</f>
        <v>0</v>
      </c>
      <c r="AW629" s="4">
        <f>IFERROR(__xludf.DUMMYFUNCTION("""COMPUTED_VALUE"""),0.0)</f>
        <v>0</v>
      </c>
      <c r="AX629" s="4">
        <f>IFERROR(__xludf.DUMMYFUNCTION("""COMPUTED_VALUE"""),0.0)</f>
        <v>0</v>
      </c>
      <c r="AY629" s="4"/>
      <c r="AZ629" s="4" t="str">
        <f>IFERROR(__xludf.DUMMYFUNCTION("""COMPUTED_VALUE"""),"NA")</f>
        <v>NA</v>
      </c>
      <c r="BA629" s="4" t="str">
        <f>IFERROR(__xludf.DUMMYFUNCTION("""COMPUTED_VALUE"""),"R$ 35-55")</f>
        <v>R$ 35-55</v>
      </c>
      <c r="BB629" s="4" t="str">
        <f>IFERROR(__xludf.DUMMYFUNCTION("""COMPUTED_VALUE"""),"Delivery - Refeições Saudáveis")</f>
        <v>Delivery - Refeições Saudáveis</v>
      </c>
      <c r="BC629" s="4" t="str">
        <f>IFERROR(__xludf.DUMMYFUNCTION("""COMPUTED_VALUE"""),"Nacional (11 pontos: SP, RJ, BH, Curitiba, POA, Fortaleza, Recife, Salvador, Brasília, Floripa, Campinas)")</f>
        <v>Nacional (11 pontos: SP, RJ, BH, Curitiba, POA, Fortaleza, Recife, Salvador, Brasília, Floripa, Campinas)</v>
      </c>
      <c r="BD629" s="4" t="str">
        <f>IFERROR(__xludf.DUMMYFUNCTION("""COMPUTED_VALUE"""),"R$ 450 milhões projetado 2026")</f>
        <v>R$ 450 milhões projetado 2026</v>
      </c>
      <c r="BE629" s="4">
        <f>IFERROR(__xludf.DUMMYFUNCTION("""COMPUTED_VALUE"""),88.0)</f>
        <v>88</v>
      </c>
      <c r="BF629" s="4">
        <f>IFERROR(__xludf.DUMMYFUNCTION("""COMPUTED_VALUE"""),0.9)</f>
        <v>0.9</v>
      </c>
      <c r="BG629" s="4" t="str">
        <f>IFERROR(__xludf.DUMMYFUNCTION("""COMPUTED_VALUE"""),"PDV não identificado - ALTÍSSIMA ADERÊNCIA: Delivery saudável, 11 pontos retirada nacionais, R$ 450M projetado 2026. Modelo inovador D2C. 3S: gestão pedidos multi-canal, integração logística, e-commerce")</f>
        <v>PDV não identificado - ALTÍSSIMA ADERÊNCIA: Delivery saudável, 11 pontos retirada nacionais, R$ 450M projetado 2026. Modelo inovador D2C. 3S: gestão pedidos multi-canal, integração logística, e-commerce</v>
      </c>
      <c r="BH629" s="4" t="s">
        <v>63</v>
      </c>
      <c r="BI629" s="7" t="s">
        <v>63</v>
      </c>
    </row>
    <row r="630" hidden="1">
      <c r="A630" s="4" t="str">
        <f>IFERROR(__xludf.DUMMYFUNCTION("""COMPUTED_VALUE"""),"Locale")</f>
        <v>Locale</v>
      </c>
      <c r="B630" s="4" t="str">
        <f>IFERROR(__xludf.DUMMYFUNCTION("""COMPUTED_VALUE"""),"Diego Santos")</f>
        <v>Diego Santos</v>
      </c>
      <c r="C630" s="4" t="str">
        <f>IFERROR(__xludf.DUMMYFUNCTION("""COMPUTED_VALUE"""),"Diego Santos")</f>
        <v>Diego Santos</v>
      </c>
      <c r="D630" s="4" t="str">
        <f>IFERROR(__xludf.DUMMYFUNCTION("""COMPUTED_VALUE"""),"10. Perdido")</f>
        <v>10. Perdido</v>
      </c>
      <c r="E630" s="4" t="str">
        <f>IFERROR(__xludf.DUMMYFUNCTION("""COMPUTED_VALUE"""),"Perdido - Outro (detalhar ao lado)")</f>
        <v>Perdido - Outro (detalhar ao lado)</v>
      </c>
      <c r="F630" s="4" t="str">
        <f>IFERROR(__xludf.DUMMYFUNCTION("""COMPUTED_VALUE"""),"P")</f>
        <v>P</v>
      </c>
      <c r="G630" s="5">
        <f>IFERROR(__xludf.DUMMYFUNCTION("""COMPUTED_VALUE"""),46076.0)</f>
        <v>46076</v>
      </c>
      <c r="H630" s="4" t="str">
        <f>IFERROR(__xludf.DUMMYFUNCTION("""COMPUTED_VALUE"""),"Cliente sem interesse em trocar. ")</f>
        <v>Cliente sem interesse em trocar. </v>
      </c>
      <c r="I630" s="4"/>
      <c r="J630" s="6">
        <f>IFERROR(__xludf.DUMMYFUNCTION("""COMPUTED_VALUE"""),46072.37162525463)</f>
        <v>46072.37163</v>
      </c>
      <c r="K630" s="4"/>
      <c r="L630" s="4"/>
      <c r="M630" s="4"/>
      <c r="N630" s="4"/>
      <c r="O630" s="4"/>
      <c r="P630" s="4"/>
      <c r="Q630" s="4"/>
      <c r="R630" s="6">
        <f>IFERROR(__xludf.DUMMYFUNCTION("""COMPUTED_VALUE"""),46072.71916689815)</f>
        <v>46072.71917</v>
      </c>
      <c r="S630" s="4"/>
      <c r="T630" s="4"/>
      <c r="U630" s="4"/>
      <c r="V630" s="4" t="str">
        <f>IFERROR(__xludf.DUMMYFUNCTION("""COMPUTED_VALUE"""),"Sem interesse em mudar de PDV")</f>
        <v>Sem interesse em mudar de PDV</v>
      </c>
      <c r="W630" s="4"/>
      <c r="X630" s="4"/>
      <c r="Y630" s="4"/>
      <c r="Z630" s="4"/>
      <c r="AA630" s="4">
        <f>IFERROR(__xludf.DUMMYFUNCTION("""COMPUTED_VALUE"""),2.0)</f>
        <v>2</v>
      </c>
      <c r="AB630" s="4" t="str">
        <f>IFERROR(__xludf.DUMMYFUNCTION("""COMPUTED_VALUE"""),"NÃO")</f>
        <v>NÃO</v>
      </c>
      <c r="AC630" s="4" t="str">
        <f>IFERROR(__xludf.DUMMYFUNCTION("""COMPUTED_VALUE"""),"BP")</f>
        <v>BP</v>
      </c>
      <c r="AD630" s="4"/>
      <c r="AE630" s="4"/>
      <c r="AF630" s="4"/>
      <c r="AG630" s="4"/>
      <c r="AH630" s="4"/>
      <c r="AI630" s="4"/>
      <c r="AJ630" s="4"/>
      <c r="AK630" s="4"/>
      <c r="AL630" s="4"/>
      <c r="AM630" s="4" t="str">
        <f>IFERROR(__xludf.DUMMYFUNCTION("""COMPUTED_VALUE"""),"FY26")</f>
        <v>FY26</v>
      </c>
      <c r="AN630" s="4" t="str">
        <f>IFERROR(__xludf.DUMMYFUNCTION("""COMPUTED_VALUE"""),"Comer Fora")</f>
        <v>Comer Fora</v>
      </c>
      <c r="AO630" s="4">
        <f>IFERROR(__xludf.DUMMYFUNCTION("""COMPUTED_VALUE"""),140.0)</f>
        <v>140</v>
      </c>
      <c r="AP630" s="4"/>
      <c r="AQ630" s="4"/>
      <c r="AR630" s="4"/>
      <c r="AS630" s="4" t="str">
        <f>IFERROR(__xludf.DUMMYFUNCTION("""COMPUTED_VALUE"""),"NATHALIE MERTENS")</f>
        <v>NATHALIE MERTENS</v>
      </c>
      <c r="AT630" s="4" t="str">
        <f>IFERROR(__xludf.DUMMYFUNCTION("""COMPUTED_VALUE"""),"MARIANA KATZ")</f>
        <v>MARIANA KATZ</v>
      </c>
      <c r="AU630" s="4" t="str">
        <f>IFERROR(__xludf.DUMMYFUNCTION("""COMPUTED_VALUE"""),"Diego")</f>
        <v>Diego</v>
      </c>
      <c r="AV630" s="4" t="str">
        <f>IFERROR(__xludf.DUMMYFUNCTION("""COMPUTED_VALUE"""),"Comer Fora-")</f>
        <v>Comer Fora-</v>
      </c>
      <c r="AW630" s="20" t="str">
        <f>IFERROR(__xludf.DUMMYFUNCTION("""COMPUTED_VALUE"""),"P e M - pipe")</f>
        <v>P e M - pipe</v>
      </c>
      <c r="AX630" s="4"/>
      <c r="AY630" s="4"/>
      <c r="AZ630" s="4" t="str">
        <f>IFERROR(__xludf.DUMMYFUNCTION("""COMPUTED_VALUE"""),"Saudável")</f>
        <v>Saudável</v>
      </c>
      <c r="BA630" s="4" t="str">
        <f>IFERROR(__xludf.DUMMYFUNCTION("""COMPUTED_VALUE"""),"")</f>
        <v/>
      </c>
      <c r="BB630" s="4" t="str">
        <f>IFERROR(__xludf.DUMMYFUNCTION("""COMPUTED_VALUE"""),"")</f>
        <v/>
      </c>
      <c r="BC630" s="4" t="str">
        <f>IFERROR(__xludf.DUMMYFUNCTION("""COMPUTED_VALUE"""),"")</f>
        <v/>
      </c>
      <c r="BD630" s="4" t="str">
        <f>IFERROR(__xludf.DUMMYFUNCTION("""COMPUTED_VALUE"""),"")</f>
        <v/>
      </c>
      <c r="BE630" s="4" t="str">
        <f>IFERROR(__xludf.DUMMYFUNCTION("""COMPUTED_VALUE"""),"")</f>
        <v/>
      </c>
      <c r="BF630" s="4" t="str">
        <f>IFERROR(__xludf.DUMMYFUNCTION("""COMPUTED_VALUE"""),"")</f>
        <v/>
      </c>
      <c r="BG630" s="4" t="str">
        <f>IFERROR(__xludf.DUMMYFUNCTION("""COMPUTED_VALUE"""),"")</f>
        <v/>
      </c>
      <c r="BH630" s="4" t="s">
        <v>150</v>
      </c>
      <c r="BI630" s="7">
        <v>0.625</v>
      </c>
    </row>
    <row r="631" hidden="1">
      <c r="A631" s="4" t="str">
        <f>IFERROR(__xludf.DUMMYFUNCTION("""COMPUTED_VALUE"""),"Lourdes Square")</f>
        <v>Lourdes Square</v>
      </c>
      <c r="B631" s="4" t="str">
        <f>IFERROR(__xludf.DUMMYFUNCTION("""COMPUTED_VALUE"""),"Ana")</f>
        <v>Ana</v>
      </c>
      <c r="C631" s="4" t="str">
        <f>IFERROR(__xludf.DUMMYFUNCTION("""COMPUTED_VALUE"""),"Ana")</f>
        <v>Ana</v>
      </c>
      <c r="D631" s="4" t="str">
        <f>IFERROR(__xludf.DUMMYFUNCTION("""COMPUTED_VALUE"""),"10. Perdido")</f>
        <v>10. Perdido</v>
      </c>
      <c r="E631" s="4" t="str">
        <f>IFERROR(__xludf.DUMMYFUNCTION("""COMPUTED_VALUE"""),"Perdido - Sem perfil LA / 3SCheckout / PDV próprio")</f>
        <v>Perdido - Sem perfil LA / 3SCheckout / PDV próprio</v>
      </c>
      <c r="F631" s="4" t="str">
        <f>IFERROR(__xludf.DUMMYFUNCTION("""COMPUTED_VALUE"""),"P")</f>
        <v>P</v>
      </c>
      <c r="G631" s="5">
        <f>IFERROR(__xludf.DUMMYFUNCTION("""COMPUTED_VALUE"""),46111.0)</f>
        <v>46111</v>
      </c>
      <c r="H631" s="4" t="str">
        <f>IFERROR(__xludf.DUMMYFUNCTION("""COMPUTED_VALUE"""),"conseguir retorno formal do parceiro sobre proposta")</f>
        <v>conseguir retorno formal do parceiro sobre proposta</v>
      </c>
      <c r="I631" s="4"/>
      <c r="J631" s="6">
        <f>IFERROR(__xludf.DUMMYFUNCTION("""COMPUTED_VALUE"""),46080.675506134256)</f>
        <v>46080.67551</v>
      </c>
      <c r="K631" s="6">
        <f>IFERROR(__xludf.DUMMYFUNCTION("""COMPUTED_VALUE"""),46080.675520069446)</f>
        <v>46080.67552</v>
      </c>
      <c r="L631" s="6">
        <f>IFERROR(__xludf.DUMMYFUNCTION("""COMPUTED_VALUE"""),46080.67558030093)</f>
        <v>46080.67558</v>
      </c>
      <c r="M631" s="6">
        <f>IFERROR(__xludf.DUMMYFUNCTION("""COMPUTED_VALUE"""),46080.67560004629)</f>
        <v>46080.6756</v>
      </c>
      <c r="N631" s="6">
        <f>IFERROR(__xludf.DUMMYFUNCTION("""COMPUTED_VALUE"""),46084.665915833335)</f>
        <v>46084.66592</v>
      </c>
      <c r="O631" s="4"/>
      <c r="P631" s="4"/>
      <c r="Q631" s="4"/>
      <c r="R631" s="6">
        <f>IFERROR(__xludf.DUMMYFUNCTION("""COMPUTED_VALUE"""),46104.66346560185)</f>
        <v>46104.66347</v>
      </c>
      <c r="S631" s="4"/>
      <c r="T631" s="4"/>
      <c r="U631" s="4"/>
      <c r="V631" s="4" t="str">
        <f>IFERROR(__xludf.DUMMYFUNCTION("""COMPUTED_VALUE"""),"Proposta declinada")</f>
        <v>Proposta declinada</v>
      </c>
      <c r="W631" s="4"/>
      <c r="X631" s="4"/>
      <c r="Y631" s="4"/>
      <c r="Z631" s="4"/>
      <c r="AA631" s="4">
        <f>IFERROR(__xludf.DUMMYFUNCTION("""COMPUTED_VALUE"""),2.0)</f>
        <v>2</v>
      </c>
      <c r="AB631" s="4" t="str">
        <f>IFERROR(__xludf.DUMMYFUNCTION("""COMPUTED_VALUE"""),"Não")</f>
        <v>Não</v>
      </c>
      <c r="AC631" s="4" t="str">
        <f>IFERROR(__xludf.DUMMYFUNCTION("""COMPUTED_VALUE"""),"Não")</f>
        <v>Não</v>
      </c>
      <c r="AD631" s="4"/>
      <c r="AE631" s="4"/>
      <c r="AF631" s="4"/>
      <c r="AG631" s="4"/>
      <c r="AH631" s="4"/>
      <c r="AI631" s="4"/>
      <c r="AJ631" s="4"/>
      <c r="AK631" s="4"/>
      <c r="AL631" s="4"/>
      <c r="AM631" s="4" t="str">
        <f>IFERROR(__xludf.DUMMYFUNCTION("""COMPUTED_VALUE"""),"FY26")</f>
        <v>FY26</v>
      </c>
      <c r="AN631" s="4"/>
      <c r="AO631" s="4">
        <f>IFERROR(__xludf.DUMMYFUNCTION("""COMPUTED_VALUE"""),103.0)</f>
        <v>103</v>
      </c>
      <c r="AP631" s="4"/>
      <c r="AQ631" s="4"/>
      <c r="AR631" s="4"/>
      <c r="AS631" s="4">
        <f>IFERROR(__xludf.DUMMYFUNCTION("""COMPUTED_VALUE"""),0.0)</f>
        <v>0</v>
      </c>
      <c r="AT631" s="4">
        <f>IFERROR(__xludf.DUMMYFUNCTION("""COMPUTED_VALUE"""),0.0)</f>
        <v>0</v>
      </c>
      <c r="AU631" s="4" t="str">
        <f>IFERROR(__xludf.DUMMYFUNCTION("""COMPUTED_VALUE"""),"Ana")</f>
        <v>Ana</v>
      </c>
      <c r="AV631" s="4">
        <f>IFERROR(__xludf.DUMMYFUNCTION("""COMPUTED_VALUE"""),0.0)</f>
        <v>0</v>
      </c>
      <c r="AW631" s="4">
        <f>IFERROR(__xludf.DUMMYFUNCTION("""COMPUTED_VALUE"""),0.0)</f>
        <v>0</v>
      </c>
      <c r="AX631" s="4">
        <f>IFERROR(__xludf.DUMMYFUNCTION("""COMPUTED_VALUE"""),0.0)</f>
        <v>0</v>
      </c>
      <c r="AY631" s="4"/>
      <c r="AZ631" s="4">
        <f>IFERROR(__xludf.DUMMYFUNCTION("""COMPUTED_VALUE"""),0.0)</f>
        <v>0</v>
      </c>
      <c r="BA631" s="4" t="str">
        <f>IFERROR(__xludf.DUMMYFUNCTION("""COMPUTED_VALUE"""),"")</f>
        <v/>
      </c>
      <c r="BB631" s="4" t="str">
        <f>IFERROR(__xludf.DUMMYFUNCTION("""COMPUTED_VALUE"""),"")</f>
        <v/>
      </c>
      <c r="BC631" s="4" t="str">
        <f>IFERROR(__xludf.DUMMYFUNCTION("""COMPUTED_VALUE"""),"")</f>
        <v/>
      </c>
      <c r="BD631" s="4" t="str">
        <f>IFERROR(__xludf.DUMMYFUNCTION("""COMPUTED_VALUE"""),"")</f>
        <v/>
      </c>
      <c r="BE631" s="4" t="str">
        <f>IFERROR(__xludf.DUMMYFUNCTION("""COMPUTED_VALUE"""),"")</f>
        <v/>
      </c>
      <c r="BF631" s="4" t="str">
        <f>IFERROR(__xludf.DUMMYFUNCTION("""COMPUTED_VALUE"""),"")</f>
        <v/>
      </c>
      <c r="BG631" s="4" t="str">
        <f>IFERROR(__xludf.DUMMYFUNCTION("""COMPUTED_VALUE"""),"")</f>
        <v/>
      </c>
      <c r="BH631" s="4" t="s">
        <v>63</v>
      </c>
      <c r="BI631" s="7" t="s">
        <v>63</v>
      </c>
    </row>
    <row r="632">
      <c r="A632" s="4" t="str">
        <f>IFERROR(__xludf.DUMMYFUNCTION("""COMPUTED_VALUE"""),"Mais1 Cafe")</f>
        <v>Mais1 Cafe</v>
      </c>
      <c r="B632" s="4" t="str">
        <f>IFERROR(__xludf.DUMMYFUNCTION("""COMPUTED_VALUE"""),"Emerson")</f>
        <v>Emerson</v>
      </c>
      <c r="C632" s="4" t="str">
        <f>IFERROR(__xludf.DUMMYFUNCTION("""COMPUTED_VALUE"""),"Emerson")</f>
        <v>Emerson</v>
      </c>
      <c r="D632" s="4" t="str">
        <f>IFERROR(__xludf.DUMMYFUNCTION("""COMPUTED_VALUE"""),"10. Perdido")</f>
        <v>10. Perdido</v>
      </c>
      <c r="E632" s="4"/>
      <c r="F632" s="4" t="str">
        <f>IFERROR(__xludf.DUMMYFUNCTION("""COMPUTED_VALUE"""),"G")</f>
        <v>G</v>
      </c>
      <c r="G632" s="4"/>
      <c r="H632" s="22" t="str">
        <f>IFERROR(__xludf.DUMMYFUNCTION("""COMPUTED_VALUE"""),"PDV Próprio")</f>
        <v>PDV Próprio</v>
      </c>
      <c r="I632" s="4"/>
      <c r="J632" s="4"/>
      <c r="K632" s="6">
        <f>IFERROR(__xludf.DUMMYFUNCTION("""COMPUTED_VALUE"""),45929.0)</f>
        <v>45929</v>
      </c>
      <c r="L632" s="4"/>
      <c r="M632" s="4"/>
      <c r="N632" s="4"/>
      <c r="O632" s="4"/>
      <c r="P632" s="4"/>
      <c r="Q632" s="4"/>
      <c r="R632" s="4"/>
      <c r="S632" s="4"/>
      <c r="T632" s="4"/>
      <c r="U632" s="4"/>
      <c r="V632" s="4" t="str">
        <f>IFERROR(__xludf.DUMMYFUNCTION("""COMPUTED_VALUE"""),"Sistema próprio")</f>
        <v>Sistema próprio</v>
      </c>
      <c r="W632" s="4"/>
      <c r="X632" s="4"/>
      <c r="Y632" s="4"/>
      <c r="Z632" s="4"/>
      <c r="AA632" s="4">
        <f>IFERROR(__xludf.DUMMYFUNCTION("""COMPUTED_VALUE"""),449.0)</f>
        <v>449</v>
      </c>
      <c r="AB632" s="4" t="str">
        <f>IFERROR(__xludf.DUMMYFUNCTION("""COMPUTED_VALUE"""),"NÃO")</f>
        <v>NÃO</v>
      </c>
      <c r="AC632" s="4" t="str">
        <f>IFERROR(__xludf.DUMMYFUNCTION("""COMPUTED_VALUE"""),"BP")</f>
        <v>BP</v>
      </c>
      <c r="AD632" s="4"/>
      <c r="AE632" s="4"/>
      <c r="AF632" s="4"/>
      <c r="AG632" s="4"/>
      <c r="AH632" s="4"/>
      <c r="AI632" s="4"/>
      <c r="AJ632" s="4"/>
      <c r="AK632" s="4"/>
      <c r="AL632" s="4"/>
      <c r="AM632" s="4" t="str">
        <f>IFERROR(__xludf.DUMMYFUNCTION("""COMPUTED_VALUE"""),"FY26")</f>
        <v>FY26</v>
      </c>
      <c r="AN632" s="4"/>
      <c r="AO632" s="4">
        <f>IFERROR(__xludf.DUMMYFUNCTION("""COMPUTED_VALUE"""),45553.0)</f>
        <v>45553</v>
      </c>
      <c r="AP632" s="4"/>
      <c r="AQ632" s="4"/>
      <c r="AR632" s="4"/>
      <c r="AS632" s="4" t="str">
        <f>IFERROR(__xludf.DUMMYFUNCTION("""COMPUTED_VALUE"""),"VINICIUS MARTINS")</f>
        <v>VINICIUS MARTINS</v>
      </c>
      <c r="AT632" s="4" t="str">
        <f>IFERROR(__xludf.DUMMYFUNCTION("""COMPUTED_VALUE"""),"RAIZA CARDOSO")</f>
        <v>RAIZA CARDOSO</v>
      </c>
      <c r="AU632" s="4" t="str">
        <f>IFERROR(__xludf.DUMMYFUNCTION("""COMPUTED_VALUE"""),"Emerson")</f>
        <v>Emerson</v>
      </c>
      <c r="AV632" s="4">
        <f>IFERROR(__xludf.DUMMYFUNCTION("""COMPUTED_VALUE"""),0.0)</f>
        <v>0</v>
      </c>
      <c r="AW632" s="4">
        <f>IFERROR(__xludf.DUMMYFUNCTION("""COMPUTED_VALUE"""),0.0)</f>
        <v>0</v>
      </c>
      <c r="AX632" s="4">
        <f>IFERROR(__xludf.DUMMYFUNCTION("""COMPUTED_VALUE"""),0.0)</f>
        <v>0</v>
      </c>
      <c r="AY632" s="4"/>
      <c r="AZ632" s="4" t="str">
        <f>IFERROR(__xludf.DUMMYFUNCTION("""COMPUTED_VALUE"""),"Padaria")</f>
        <v>Padaria</v>
      </c>
      <c r="BA632" s="4" t="str">
        <f>IFERROR(__xludf.DUMMYFUNCTION("""COMPUTED_VALUE"""),"")</f>
        <v/>
      </c>
      <c r="BB632" s="4" t="str">
        <f>IFERROR(__xludf.DUMMYFUNCTION("""COMPUTED_VALUE"""),"")</f>
        <v/>
      </c>
      <c r="BC632" s="4" t="str">
        <f>IFERROR(__xludf.DUMMYFUNCTION("""COMPUTED_VALUE"""),"")</f>
        <v/>
      </c>
      <c r="BD632" s="4" t="str">
        <f>IFERROR(__xludf.DUMMYFUNCTION("""COMPUTED_VALUE"""),"")</f>
        <v/>
      </c>
      <c r="BE632" s="4" t="str">
        <f>IFERROR(__xludf.DUMMYFUNCTION("""COMPUTED_VALUE"""),"")</f>
        <v/>
      </c>
      <c r="BF632" s="4" t="str">
        <f>IFERROR(__xludf.DUMMYFUNCTION("""COMPUTED_VALUE"""),"")</f>
        <v/>
      </c>
      <c r="BG632" s="4" t="str">
        <f>IFERROR(__xludf.DUMMYFUNCTION("""COMPUTED_VALUE"""),"")</f>
        <v/>
      </c>
      <c r="BH632" s="4" t="s">
        <v>151</v>
      </c>
      <c r="BI632" s="7">
        <v>0.7621951219512195</v>
      </c>
    </row>
    <row r="633" hidden="1">
      <c r="A633" s="4" t="str">
        <f>IFERROR(__xludf.DUMMYFUNCTION("""COMPUTED_VALUE"""),"Mamma Jamma")</f>
        <v>Mamma Jamma</v>
      </c>
      <c r="B633" s="4" t="str">
        <f>IFERROR(__xludf.DUMMYFUNCTION("""COMPUTED_VALUE"""),"Emerson")</f>
        <v>Emerson</v>
      </c>
      <c r="C633" s="4" t="str">
        <f>IFERROR(__xludf.DUMMYFUNCTION("""COMPUTED_VALUE"""),"Emerson")</f>
        <v>Emerson</v>
      </c>
      <c r="D633" s="4" t="str">
        <f>IFERROR(__xludf.DUMMYFUNCTION("""COMPUTED_VALUE"""),"9. Contrato assinado")</f>
        <v>9. Contrato assinado</v>
      </c>
      <c r="E633" s="4"/>
      <c r="F633" s="4" t="str">
        <f>IFERROR(__xludf.DUMMYFUNCTION("""COMPUTED_VALUE"""),"P")</f>
        <v>P</v>
      </c>
      <c r="G633" s="4"/>
      <c r="H633" s="4"/>
      <c r="I633" s="4"/>
      <c r="J633" s="4"/>
      <c r="K633" s="6">
        <f>IFERROR(__xludf.DUMMYFUNCTION("""COMPUTED_VALUE"""),45899.0)</f>
        <v>45899</v>
      </c>
      <c r="L633" s="4"/>
      <c r="M633" s="4"/>
      <c r="N633" s="4"/>
      <c r="O633" s="4"/>
      <c r="P633" s="4"/>
      <c r="Q633" s="4"/>
      <c r="R633" s="4"/>
      <c r="S633" s="4"/>
      <c r="T633" s="4"/>
      <c r="U633" s="4"/>
      <c r="V633" s="4"/>
      <c r="W633" s="4"/>
      <c r="X633" s="4"/>
      <c r="Y633" s="4"/>
      <c r="Z633" s="4"/>
      <c r="AA633" s="4">
        <f>IFERROR(__xludf.DUMMYFUNCTION("""COMPUTED_VALUE"""),18.0)</f>
        <v>18</v>
      </c>
      <c r="AB633" s="4"/>
      <c r="AC633" s="4"/>
      <c r="AD633" s="4"/>
      <c r="AE633" s="4"/>
      <c r="AF633" s="4"/>
      <c r="AG633" s="4"/>
      <c r="AH633" s="4"/>
      <c r="AI633" s="4"/>
      <c r="AJ633" s="4"/>
      <c r="AK633" s="4"/>
      <c r="AL633" s="4"/>
      <c r="AM633" s="4" t="str">
        <f>IFERROR(__xludf.DUMMYFUNCTION("""COMPUTED_VALUE"""),"FY26")</f>
        <v>FY26</v>
      </c>
      <c r="AN633" s="4"/>
      <c r="AO633" s="4">
        <f>IFERROR(__xludf.DUMMYFUNCTION("""COMPUTED_VALUE"""),45553.0)</f>
        <v>45553</v>
      </c>
      <c r="AP633" s="4"/>
      <c r="AQ633" s="4"/>
      <c r="AR633" s="4"/>
      <c r="AS633" s="4">
        <f>IFERROR(__xludf.DUMMYFUNCTION("""COMPUTED_VALUE"""),0.0)</f>
        <v>0</v>
      </c>
      <c r="AT633" s="4">
        <f>IFERROR(__xludf.DUMMYFUNCTION("""COMPUTED_VALUE"""),0.0)</f>
        <v>0</v>
      </c>
      <c r="AU633" s="4" t="str">
        <f>IFERROR(__xludf.DUMMYFUNCTION("""COMPUTED_VALUE"""),"Emerson")</f>
        <v>Emerson</v>
      </c>
      <c r="AV633" s="4">
        <f>IFERROR(__xludf.DUMMYFUNCTION("""COMPUTED_VALUE"""),0.0)</f>
        <v>0</v>
      </c>
      <c r="AW633" s="4">
        <f>IFERROR(__xludf.DUMMYFUNCTION("""COMPUTED_VALUE"""),0.0)</f>
        <v>0</v>
      </c>
      <c r="AX633" s="4">
        <f>IFERROR(__xludf.DUMMYFUNCTION("""COMPUTED_VALUE"""),0.0)</f>
        <v>0</v>
      </c>
      <c r="AY633" s="4"/>
      <c r="AZ633" s="4" t="str">
        <f>IFERROR(__xludf.DUMMYFUNCTION("""COMPUTED_VALUE"""),"#N/A")</f>
        <v>#N/A</v>
      </c>
      <c r="BA633" s="4" t="str">
        <f>IFERROR(__xludf.DUMMYFUNCTION("""COMPUTED_VALUE"""),"")</f>
        <v/>
      </c>
      <c r="BB633" s="4" t="str">
        <f>IFERROR(__xludf.DUMMYFUNCTION("""COMPUTED_VALUE"""),"")</f>
        <v/>
      </c>
      <c r="BC633" s="4" t="str">
        <f>IFERROR(__xludf.DUMMYFUNCTION("""COMPUTED_VALUE"""),"")</f>
        <v/>
      </c>
      <c r="BD633" s="4" t="str">
        <f>IFERROR(__xludf.DUMMYFUNCTION("""COMPUTED_VALUE"""),"")</f>
        <v/>
      </c>
      <c r="BE633" s="4" t="str">
        <f>IFERROR(__xludf.DUMMYFUNCTION("""COMPUTED_VALUE"""),"")</f>
        <v/>
      </c>
      <c r="BF633" s="4" t="str">
        <f>IFERROR(__xludf.DUMMYFUNCTION("""COMPUTED_VALUE"""),"")</f>
        <v/>
      </c>
      <c r="BG633" s="4" t="str">
        <f>IFERROR(__xludf.DUMMYFUNCTION("""COMPUTED_VALUE"""),"")</f>
        <v/>
      </c>
      <c r="BH633" s="4" t="s">
        <v>74</v>
      </c>
      <c r="BI633" s="7">
        <v>0.4827586206896552</v>
      </c>
    </row>
    <row r="634" hidden="1">
      <c r="A634" s="4" t="str">
        <f>IFERROR(__xludf.DUMMYFUNCTION("""COMPUTED_VALUE"""),"Manda Picanha")</f>
        <v>Manda Picanha</v>
      </c>
      <c r="B634" s="4" t="str">
        <f>IFERROR(__xludf.DUMMYFUNCTION("""COMPUTED_VALUE"""),"Lídia Esteves")</f>
        <v>Lídia Esteves</v>
      </c>
      <c r="C634" s="4" t="str">
        <f>IFERROR(__xludf.DUMMYFUNCTION("""COMPUTED_VALUE"""),"Lídia Esteves")</f>
        <v>Lídia Esteves</v>
      </c>
      <c r="D634" s="4" t="str">
        <f>IFERROR(__xludf.DUMMYFUNCTION("""COMPUTED_VALUE"""),"10. Perdido")</f>
        <v>10. Perdido</v>
      </c>
      <c r="E634" s="4" t="str">
        <f>IFERROR(__xludf.DUMMYFUNCTION("""COMPUTED_VALUE"""),"Perdido - Outro (detalhar ao lado)")</f>
        <v>Perdido - Outro (detalhar ao lado)</v>
      </c>
      <c r="F634" s="4" t="str">
        <f>IFERROR(__xludf.DUMMYFUNCTION("""COMPUTED_VALUE"""),"P")</f>
        <v>P</v>
      </c>
      <c r="G634" s="5">
        <f>IFERROR(__xludf.DUMMYFUNCTION("""COMPUTED_VALUE"""),46076.0)</f>
        <v>46076</v>
      </c>
      <c r="H634" s="4" t="str">
        <f>IFERROR(__xludf.DUMMYFUNCTION("""COMPUTED_VALUE"""),"Cliente parou de nos responder.")</f>
        <v>Cliente parou de nos responder.</v>
      </c>
      <c r="I634" s="4"/>
      <c r="J634" s="4"/>
      <c r="K634" s="4"/>
      <c r="L634" s="4"/>
      <c r="M634" s="4"/>
      <c r="N634" s="4"/>
      <c r="O634" s="4"/>
      <c r="P634" s="4"/>
      <c r="Q634" s="4"/>
      <c r="R634" s="4"/>
      <c r="S634" s="4"/>
      <c r="T634" s="4"/>
      <c r="U634" s="4"/>
      <c r="V634" s="4" t="str">
        <f>IFERROR(__xludf.DUMMYFUNCTION("""COMPUTED_VALUE"""),"Outros")</f>
        <v>Outros</v>
      </c>
      <c r="W634" s="4"/>
      <c r="X634" s="4"/>
      <c r="Y634" s="4"/>
      <c r="Z634" s="4"/>
      <c r="AA634" s="4">
        <f>IFERROR(__xludf.DUMMYFUNCTION("""COMPUTED_VALUE"""),13.0)</f>
        <v>13</v>
      </c>
      <c r="AB634" s="4" t="str">
        <f>IFERROR(__xludf.DUMMYFUNCTION("""COMPUTED_VALUE"""),"NÃO")</f>
        <v>NÃO</v>
      </c>
      <c r="AC634" s="4" t="str">
        <f>IFERROR(__xludf.DUMMYFUNCTION("""COMPUTED_VALUE"""),"Não BP")</f>
        <v>Não BP</v>
      </c>
      <c r="AD634" s="4"/>
      <c r="AE634" s="4"/>
      <c r="AF634" s="4"/>
      <c r="AG634" s="4"/>
      <c r="AH634" s="4"/>
      <c r="AI634" s="4"/>
      <c r="AJ634" s="4"/>
      <c r="AK634" s="4"/>
      <c r="AL634" s="4"/>
      <c r="AM634" s="4" t="str">
        <f>IFERROR(__xludf.DUMMYFUNCTION("""COMPUTED_VALUE"""),"FY26")</f>
        <v>FY26</v>
      </c>
      <c r="AN634" s="4"/>
      <c r="AO634" s="4">
        <f>IFERROR(__xludf.DUMMYFUNCTION("""COMPUTED_VALUE"""),140.0)</f>
        <v>140</v>
      </c>
      <c r="AP634" s="4"/>
      <c r="AQ634" s="4"/>
      <c r="AR634" s="4"/>
      <c r="AS634" s="4" t="str">
        <f>IFERROR(__xludf.DUMMYFUNCTION("""COMPUTED_VALUE"""),"THIAGO ROMAGNOLE")</f>
        <v>THIAGO ROMAGNOLE</v>
      </c>
      <c r="AT634" s="4" t="str">
        <f>IFERROR(__xludf.DUMMYFUNCTION("""COMPUTED_VALUE"""),"BRUNA TASSINARI")</f>
        <v>BRUNA TASSINARI</v>
      </c>
      <c r="AU634" s="4" t="str">
        <f>IFERROR(__xludf.DUMMYFUNCTION("""COMPUTED_VALUE"""),"Lídia")</f>
        <v>Lídia</v>
      </c>
      <c r="AV634" s="4">
        <f>IFERROR(__xludf.DUMMYFUNCTION("""COMPUTED_VALUE"""),0.0)</f>
        <v>0</v>
      </c>
      <c r="AW634" s="4">
        <f>IFERROR(__xludf.DUMMYFUNCTION("""COMPUTED_VALUE"""),0.0)</f>
        <v>0</v>
      </c>
      <c r="AX634" s="4">
        <f>IFERROR(__xludf.DUMMYFUNCTION("""COMPUTED_VALUE"""),0.0)</f>
        <v>0</v>
      </c>
      <c r="AY634" s="4"/>
      <c r="AZ634" s="4" t="str">
        <f>IFERROR(__xludf.DUMMYFUNCTION("""COMPUTED_VALUE"""),"Saudável")</f>
        <v>Saudável</v>
      </c>
      <c r="BA634" s="4" t="str">
        <f>IFERROR(__xludf.DUMMYFUNCTION("""COMPUTED_VALUE"""),"")</f>
        <v/>
      </c>
      <c r="BB634" s="4" t="str">
        <f>IFERROR(__xludf.DUMMYFUNCTION("""COMPUTED_VALUE"""),"")</f>
        <v/>
      </c>
      <c r="BC634" s="4" t="str">
        <f>IFERROR(__xludf.DUMMYFUNCTION("""COMPUTED_VALUE"""),"")</f>
        <v/>
      </c>
      <c r="BD634" s="4" t="str">
        <f>IFERROR(__xludf.DUMMYFUNCTION("""COMPUTED_VALUE"""),"")</f>
        <v/>
      </c>
      <c r="BE634" s="4" t="str">
        <f>IFERROR(__xludf.DUMMYFUNCTION("""COMPUTED_VALUE"""),"")</f>
        <v/>
      </c>
      <c r="BF634" s="4" t="str">
        <f>IFERROR(__xludf.DUMMYFUNCTION("""COMPUTED_VALUE"""),"")</f>
        <v/>
      </c>
      <c r="BG634" s="4" t="str">
        <f>IFERROR(__xludf.DUMMYFUNCTION("""COMPUTED_VALUE"""),"")</f>
        <v/>
      </c>
      <c r="BH634" s="4" t="s">
        <v>74</v>
      </c>
      <c r="BI634" s="7">
        <v>1.0</v>
      </c>
    </row>
    <row r="635" hidden="1">
      <c r="A635" s="4" t="str">
        <f>IFERROR(__xludf.DUMMYFUNCTION("""COMPUTED_VALUE"""),"Mangiare Pizzaria Delivery - Pai")</f>
        <v>Mangiare Pizzaria Delivery - Pai</v>
      </c>
      <c r="B635" s="4" t="str">
        <f>IFERROR(__xludf.DUMMYFUNCTION("""COMPUTED_VALUE"""),"Lídia Esteves")</f>
        <v>Lídia Esteves</v>
      </c>
      <c r="C635" s="4" t="str">
        <f>IFERROR(__xludf.DUMMYFUNCTION("""COMPUTED_VALUE"""),"Emerson")</f>
        <v>Emerson</v>
      </c>
      <c r="D635" s="4" t="str">
        <f>IFERROR(__xludf.DUMMYFUNCTION("""COMPUTED_VALUE"""),"10. Perdido")</f>
        <v>10. Perdido</v>
      </c>
      <c r="E635" s="4"/>
      <c r="F635" s="4" t="str">
        <f>IFERROR(__xludf.DUMMYFUNCTION("""COMPUTED_VALUE"""),"P")</f>
        <v>P</v>
      </c>
      <c r="G635" s="5">
        <f>IFERROR(__xludf.DUMMYFUNCTION("""COMPUTED_VALUE"""),46062.0)</f>
        <v>46062</v>
      </c>
      <c r="H635" s="4" t="str">
        <f>IFERROR(__xludf.DUMMYFUNCTION("""COMPUTED_VALUE"""),"Não possui salão somente delivery,encaminhado pra Saipos")</f>
        <v>Não possui salão somente delivery,encaminhado pra Saipos</v>
      </c>
      <c r="I635" s="4"/>
      <c r="J635" s="4"/>
      <c r="K635" s="6">
        <f>IFERROR(__xludf.DUMMYFUNCTION("""COMPUTED_VALUE"""),46056.0)</f>
        <v>46056</v>
      </c>
      <c r="L635" s="6">
        <f>IFERROR(__xludf.DUMMYFUNCTION("""COMPUTED_VALUE"""),46062.467275393516)</f>
        <v>46062.46728</v>
      </c>
      <c r="M635" s="4"/>
      <c r="N635" s="4"/>
      <c r="O635" s="4"/>
      <c r="P635" s="4"/>
      <c r="Q635" s="4"/>
      <c r="R635" s="6">
        <f>IFERROR(__xludf.DUMMYFUNCTION("""COMPUTED_VALUE"""),46062.725212916666)</f>
        <v>46062.72521</v>
      </c>
      <c r="S635" s="4"/>
      <c r="T635" s="4"/>
      <c r="U635" s="4"/>
      <c r="V635" s="4" t="str">
        <f>IFERROR(__xludf.DUMMYFUNCTION("""COMPUTED_VALUE"""),"Desenvolvimento Solução")</f>
        <v>Desenvolvimento Solução</v>
      </c>
      <c r="W635" s="4"/>
      <c r="X635" s="4"/>
      <c r="Y635" s="4"/>
      <c r="Z635" s="4"/>
      <c r="AA635" s="4">
        <f>IFERROR(__xludf.DUMMYFUNCTION("""COMPUTED_VALUE"""),2.0)</f>
        <v>2</v>
      </c>
      <c r="AB635" s="4" t="str">
        <f>IFERROR(__xludf.DUMMYFUNCTION("""COMPUTED_VALUE"""),"-")</f>
        <v>-</v>
      </c>
      <c r="AC635" s="4" t="str">
        <f>IFERROR(__xludf.DUMMYFUNCTION("""COMPUTED_VALUE"""),"-")</f>
        <v>-</v>
      </c>
      <c r="AD635" s="4"/>
      <c r="AE635" s="4"/>
      <c r="AF635" s="4"/>
      <c r="AG635" s="4"/>
      <c r="AH635" s="4"/>
      <c r="AI635" s="4"/>
      <c r="AJ635" s="4"/>
      <c r="AK635" s="4"/>
      <c r="AL635" s="4"/>
      <c r="AM635" s="4" t="str">
        <f>IFERROR(__xludf.DUMMYFUNCTION("""COMPUTED_VALUE"""),"FY26")</f>
        <v>FY26</v>
      </c>
      <c r="AN635" s="4"/>
      <c r="AO635" s="4">
        <f>IFERROR(__xludf.DUMMYFUNCTION("""COMPUTED_VALUE"""),154.0)</f>
        <v>154</v>
      </c>
      <c r="AP635" s="4"/>
      <c r="AQ635" s="4"/>
      <c r="AR635" s="4"/>
      <c r="AS635" s="4" t="str">
        <f>IFERROR(__xludf.DUMMYFUNCTION("""COMPUTED_VALUE"""),"FABIO DONATO")</f>
        <v>FABIO DONATO</v>
      </c>
      <c r="AT635" s="4" t="str">
        <f>IFERROR(__xludf.DUMMYFUNCTION("""COMPUTED_VALUE"""),"MURILO NAGASHIMA")</f>
        <v>MURILO NAGASHIMA</v>
      </c>
      <c r="AU635" s="4" t="str">
        <f>IFERROR(__xludf.DUMMYFUNCTION("""COMPUTED_VALUE"""),"Lídia / Emerson")</f>
        <v>Lídia / Emerson</v>
      </c>
      <c r="AV635" s="4">
        <f>IFERROR(__xludf.DUMMYFUNCTION("""COMPUTED_VALUE"""),0.0)</f>
        <v>0</v>
      </c>
      <c r="AW635" s="4">
        <f>IFERROR(__xludf.DUMMYFUNCTION("""COMPUTED_VALUE"""),0.0)</f>
        <v>0</v>
      </c>
      <c r="AX635" s="4">
        <f>IFERROR(__xludf.DUMMYFUNCTION("""COMPUTED_VALUE"""),0.0)</f>
        <v>0</v>
      </c>
      <c r="AY635" s="4"/>
      <c r="AZ635" s="4" t="str">
        <f>IFERROR(__xludf.DUMMYFUNCTION("""COMPUTED_VALUE"""),"Lanches")</f>
        <v>Lanches</v>
      </c>
      <c r="BA635" s="4" t="str">
        <f>IFERROR(__xludf.DUMMYFUNCTION("""COMPUTED_VALUE"""),"")</f>
        <v/>
      </c>
      <c r="BB635" s="4" t="str">
        <f>IFERROR(__xludf.DUMMYFUNCTION("""COMPUTED_VALUE"""),"")</f>
        <v/>
      </c>
      <c r="BC635" s="4" t="str">
        <f>IFERROR(__xludf.DUMMYFUNCTION("""COMPUTED_VALUE"""),"")</f>
        <v/>
      </c>
      <c r="BD635" s="4" t="str">
        <f>IFERROR(__xludf.DUMMYFUNCTION("""COMPUTED_VALUE"""),"")</f>
        <v/>
      </c>
      <c r="BE635" s="4" t="str">
        <f>IFERROR(__xludf.DUMMYFUNCTION("""COMPUTED_VALUE"""),"")</f>
        <v/>
      </c>
      <c r="BF635" s="4" t="str">
        <f>IFERROR(__xludf.DUMMYFUNCTION("""COMPUTED_VALUE"""),"")</f>
        <v/>
      </c>
      <c r="BG635" s="4" t="str">
        <f>IFERROR(__xludf.DUMMYFUNCTION("""COMPUTED_VALUE"""),"")</f>
        <v/>
      </c>
      <c r="BH635" s="4" t="s">
        <v>63</v>
      </c>
      <c r="BI635" s="7" t="s">
        <v>63</v>
      </c>
    </row>
    <row r="636" hidden="1">
      <c r="A636" s="4" t="str">
        <f>IFERROR(__xludf.DUMMYFUNCTION("""COMPUTED_VALUE"""),"Manimanioca")</f>
        <v>Manimanioca</v>
      </c>
      <c r="B636" s="4" t="str">
        <f>IFERROR(__xludf.DUMMYFUNCTION("""COMPUTED_VALUE"""),"Emerson")</f>
        <v>Emerson</v>
      </c>
      <c r="C636" s="4" t="str">
        <f>IFERROR(__xludf.DUMMYFUNCTION("""COMPUTED_VALUE"""),"Emerson")</f>
        <v>Emerson</v>
      </c>
      <c r="D636" s="4" t="str">
        <f>IFERROR(__xludf.DUMMYFUNCTION("""COMPUTED_VALUE"""),"9. Contrato assinado")</f>
        <v>9. Contrato assinado</v>
      </c>
      <c r="E636" s="4"/>
      <c r="F636" s="4" t="str">
        <f>IFERROR(__xludf.DUMMYFUNCTION("""COMPUTED_VALUE"""),"P")</f>
        <v>P</v>
      </c>
      <c r="G636" s="4"/>
      <c r="H636" s="4"/>
      <c r="I636" s="4"/>
      <c r="J636" s="4"/>
      <c r="K636" s="6">
        <f>IFERROR(__xludf.DUMMYFUNCTION("""COMPUTED_VALUE"""),45901.0)</f>
        <v>45901</v>
      </c>
      <c r="L636" s="4"/>
      <c r="M636" s="4"/>
      <c r="N636" s="6">
        <f>IFERROR(__xludf.DUMMYFUNCTION("""COMPUTED_VALUE"""),45930.0)</f>
        <v>45930</v>
      </c>
      <c r="O636" s="4"/>
      <c r="P636" s="4"/>
      <c r="Q636" s="6">
        <f>IFERROR(__xludf.DUMMYFUNCTION("""COMPUTED_VALUE"""),45930.0)</f>
        <v>45930</v>
      </c>
      <c r="R636" s="4"/>
      <c r="S636" s="4"/>
      <c r="T636" s="4"/>
      <c r="U636" s="4"/>
      <c r="V636" s="4"/>
      <c r="W636" s="4"/>
      <c r="X636" s="4"/>
      <c r="Y636" s="4"/>
      <c r="Z636" s="4"/>
      <c r="AA636" s="4">
        <f>IFERROR(__xludf.DUMMYFUNCTION("""COMPUTED_VALUE"""),7.0)</f>
        <v>7</v>
      </c>
      <c r="AB636" s="4"/>
      <c r="AC636" s="4"/>
      <c r="AD636" s="4"/>
      <c r="AE636" s="4"/>
      <c r="AF636" s="4"/>
      <c r="AG636" s="4"/>
      <c r="AH636" s="4"/>
      <c r="AI636" s="4"/>
      <c r="AJ636" s="4"/>
      <c r="AK636" s="4"/>
      <c r="AL636" s="4"/>
      <c r="AM636" s="4" t="str">
        <f>IFERROR(__xludf.DUMMYFUNCTION("""COMPUTED_VALUE"""),"FY26")</f>
        <v>FY26</v>
      </c>
      <c r="AN636" s="4"/>
      <c r="AO636" s="4">
        <f>IFERROR(__xludf.DUMMYFUNCTION("""COMPUTED_VALUE"""),45553.0)</f>
        <v>45553</v>
      </c>
      <c r="AP636" s="4"/>
      <c r="AQ636" s="4"/>
      <c r="AR636" s="4"/>
      <c r="AS636" s="4">
        <f>IFERROR(__xludf.DUMMYFUNCTION("""COMPUTED_VALUE"""),0.0)</f>
        <v>0</v>
      </c>
      <c r="AT636" s="4">
        <f>IFERROR(__xludf.DUMMYFUNCTION("""COMPUTED_VALUE"""),0.0)</f>
        <v>0</v>
      </c>
      <c r="AU636" s="4" t="str">
        <f>IFERROR(__xludf.DUMMYFUNCTION("""COMPUTED_VALUE"""),"Emerson")</f>
        <v>Emerson</v>
      </c>
      <c r="AV636" s="4">
        <f>IFERROR(__xludf.DUMMYFUNCTION("""COMPUTED_VALUE"""),0.0)</f>
        <v>0</v>
      </c>
      <c r="AW636" s="4">
        <f>IFERROR(__xludf.DUMMYFUNCTION("""COMPUTED_VALUE"""),0.0)</f>
        <v>0</v>
      </c>
      <c r="AX636" s="4">
        <f>IFERROR(__xludf.DUMMYFUNCTION("""COMPUTED_VALUE"""),0.0)</f>
        <v>0</v>
      </c>
      <c r="AY636" s="4">
        <f>IFERROR(__xludf.DUMMYFUNCTION("""COMPUTED_VALUE"""),0.0)</f>
        <v>0</v>
      </c>
      <c r="AZ636" s="4" t="str">
        <f>IFERROR(__xludf.DUMMYFUNCTION("""COMPUTED_VALUE"""),"#N/A")</f>
        <v>#N/A</v>
      </c>
      <c r="BA636" s="4" t="str">
        <f>IFERROR(__xludf.DUMMYFUNCTION("""COMPUTED_VALUE"""),"")</f>
        <v/>
      </c>
      <c r="BB636" s="4" t="str">
        <f>IFERROR(__xludf.DUMMYFUNCTION("""COMPUTED_VALUE"""),"")</f>
        <v/>
      </c>
      <c r="BC636" s="4" t="str">
        <f>IFERROR(__xludf.DUMMYFUNCTION("""COMPUTED_VALUE"""),"")</f>
        <v/>
      </c>
      <c r="BD636" s="4" t="str">
        <f>IFERROR(__xludf.DUMMYFUNCTION("""COMPUTED_VALUE"""),"")</f>
        <v/>
      </c>
      <c r="BE636" s="4" t="str">
        <f>IFERROR(__xludf.DUMMYFUNCTION("""COMPUTED_VALUE"""),"")</f>
        <v/>
      </c>
      <c r="BF636" s="4" t="str">
        <f>IFERROR(__xludf.DUMMYFUNCTION("""COMPUTED_VALUE"""),"")</f>
        <v/>
      </c>
      <c r="BG636" s="4" t="str">
        <f>IFERROR(__xludf.DUMMYFUNCTION("""COMPUTED_VALUE"""),"")</f>
        <v/>
      </c>
      <c r="BH636" s="4" t="s">
        <v>63</v>
      </c>
      <c r="BI636" s="7" t="s">
        <v>63</v>
      </c>
    </row>
    <row r="637" hidden="1">
      <c r="A637" s="4" t="str">
        <f>IFERROR(__xludf.DUMMYFUNCTION("""COMPUTED_VALUE"""),"Marietta")</f>
        <v>Marietta</v>
      </c>
      <c r="B637" s="4" t="str">
        <f>IFERROR(__xludf.DUMMYFUNCTION("""COMPUTED_VALUE"""),"Iza")</f>
        <v>Iza</v>
      </c>
      <c r="C637" s="4" t="str">
        <f>IFERROR(__xludf.DUMMYFUNCTION("""COMPUTED_VALUE"""),"Iza")</f>
        <v>Iza</v>
      </c>
      <c r="D637" s="4" t="str">
        <f>IFERROR(__xludf.DUMMYFUNCTION("""COMPUTED_VALUE"""),"9. Contrato assinado")</f>
        <v>9. Contrato assinado</v>
      </c>
      <c r="E637" s="4" t="str">
        <f>IFERROR(__xludf.DUMMYFUNCTION("""COMPUTED_VALUE""")," Projetos - Contrato assinado &amp; Rollout")</f>
        <v> Projetos - Contrato assinado &amp; Rollout</v>
      </c>
      <c r="F637" s="4" t="str">
        <f>IFERROR(__xludf.DUMMYFUNCTION("""COMPUTED_VALUE"""),"P")</f>
        <v>P</v>
      </c>
      <c r="G637" s="5">
        <f>IFERROR(__xludf.DUMMYFUNCTION("""COMPUTED_VALUE"""),46076.0)</f>
        <v>46076</v>
      </c>
      <c r="H637" s="4" t="str">
        <f>IFERROR(__xludf.DUMMYFUNCTION("""COMPUTED_VALUE"""),"Contrato assinado")</f>
        <v>Contrato assinado</v>
      </c>
      <c r="I637" s="4"/>
      <c r="J637" s="4"/>
      <c r="K637" s="6">
        <f>IFERROR(__xludf.DUMMYFUNCTION("""COMPUTED_VALUE"""),45962.0)</f>
        <v>45962</v>
      </c>
      <c r="L637" s="4"/>
      <c r="M637" s="4"/>
      <c r="N637" s="6">
        <f>IFERROR(__xludf.DUMMYFUNCTION("""COMPUTED_VALUE"""),46028.0)</f>
        <v>46028</v>
      </c>
      <c r="O637" s="4"/>
      <c r="P637" s="4"/>
      <c r="Q637" s="6">
        <f>IFERROR(__xludf.DUMMYFUNCTION("""COMPUTED_VALUE"""),46028.0)</f>
        <v>46028</v>
      </c>
      <c r="R637" s="4"/>
      <c r="S637" s="4"/>
      <c r="T637" s="4"/>
      <c r="U637" s="4"/>
      <c r="V637" s="4"/>
      <c r="W637" s="4"/>
      <c r="X637" s="4"/>
      <c r="Y637" s="4"/>
      <c r="Z637" s="4"/>
      <c r="AA637" s="4">
        <f>IFERROR(__xludf.DUMMYFUNCTION("""COMPUTED_VALUE"""),10.0)</f>
        <v>10</v>
      </c>
      <c r="AB637" s="4"/>
      <c r="AC637" s="4"/>
      <c r="AD637" s="4"/>
      <c r="AE637" s="4"/>
      <c r="AF637" s="4"/>
      <c r="AG637" s="4"/>
      <c r="AH637" s="4"/>
      <c r="AI637" s="4"/>
      <c r="AJ637" s="4"/>
      <c r="AK637" s="4"/>
      <c r="AL637" s="4"/>
      <c r="AM637" s="4" t="str">
        <f>IFERROR(__xludf.DUMMYFUNCTION("""COMPUTED_VALUE"""),"FY26")</f>
        <v>FY26</v>
      </c>
      <c r="AN637" s="4"/>
      <c r="AO637" s="4">
        <f>IFERROR(__xludf.DUMMYFUNCTION("""COMPUTED_VALUE"""),140.0)</f>
        <v>140</v>
      </c>
      <c r="AP637" s="4"/>
      <c r="AQ637" s="4"/>
      <c r="AR637" s="4"/>
      <c r="AS637" s="4">
        <f>IFERROR(__xludf.DUMMYFUNCTION("""COMPUTED_VALUE"""),0.0)</f>
        <v>0</v>
      </c>
      <c r="AT637" s="4">
        <f>IFERROR(__xludf.DUMMYFUNCTION("""COMPUTED_VALUE"""),0.0)</f>
        <v>0</v>
      </c>
      <c r="AU637" s="4" t="str">
        <f>IFERROR(__xludf.DUMMYFUNCTION("""COMPUTED_VALUE"""),"Iza")</f>
        <v>Iza</v>
      </c>
      <c r="AV637" s="4">
        <f>IFERROR(__xludf.DUMMYFUNCTION("""COMPUTED_VALUE"""),0.0)</f>
        <v>0</v>
      </c>
      <c r="AW637" s="4">
        <f>IFERROR(__xludf.DUMMYFUNCTION("""COMPUTED_VALUE"""),0.0)</f>
        <v>0</v>
      </c>
      <c r="AX637" s="4">
        <f>IFERROR(__xludf.DUMMYFUNCTION("""COMPUTED_VALUE"""),0.0)</f>
        <v>0</v>
      </c>
      <c r="AY637" s="4">
        <f>IFERROR(__xludf.DUMMYFUNCTION("""COMPUTED_VALUE"""),0.0)</f>
        <v>0</v>
      </c>
      <c r="AZ637" s="4" t="str">
        <f>IFERROR(__xludf.DUMMYFUNCTION("""COMPUTED_VALUE"""),"Saudável")</f>
        <v>Saudável</v>
      </c>
      <c r="BA637" s="4" t="str">
        <f>IFERROR(__xludf.DUMMYFUNCTION("""COMPUTED_VALUE"""),"")</f>
        <v/>
      </c>
      <c r="BB637" s="4" t="str">
        <f>IFERROR(__xludf.DUMMYFUNCTION("""COMPUTED_VALUE"""),"")</f>
        <v/>
      </c>
      <c r="BC637" s="4" t="str">
        <f>IFERROR(__xludf.DUMMYFUNCTION("""COMPUTED_VALUE"""),"")</f>
        <v/>
      </c>
      <c r="BD637" s="4" t="str">
        <f>IFERROR(__xludf.DUMMYFUNCTION("""COMPUTED_VALUE"""),"")</f>
        <v/>
      </c>
      <c r="BE637" s="4" t="str">
        <f>IFERROR(__xludf.DUMMYFUNCTION("""COMPUTED_VALUE"""),"")</f>
        <v/>
      </c>
      <c r="BF637" s="4" t="str">
        <f>IFERROR(__xludf.DUMMYFUNCTION("""COMPUTED_VALUE"""),"")</f>
        <v/>
      </c>
      <c r="BG637" s="4" t="str">
        <f>IFERROR(__xludf.DUMMYFUNCTION("""COMPUTED_VALUE"""),"")</f>
        <v/>
      </c>
      <c r="BH637" s="4" t="s">
        <v>63</v>
      </c>
      <c r="BI637" s="7" t="s">
        <v>63</v>
      </c>
    </row>
    <row r="638" hidden="1">
      <c r="A638" s="4" t="str">
        <f>IFERROR(__xludf.DUMMYFUNCTION("""COMPUTED_VALUE"""),"Markt Bbq")</f>
        <v>Markt Bbq</v>
      </c>
      <c r="B638" s="4" t="str">
        <f>IFERROR(__xludf.DUMMYFUNCTION("""COMPUTED_VALUE"""),"Diego Santos")</f>
        <v>Diego Santos</v>
      </c>
      <c r="C638" s="4" t="str">
        <f>IFERROR(__xludf.DUMMYFUNCTION("""COMPUTED_VALUE"""),"Diego Santos")</f>
        <v>Diego Santos</v>
      </c>
      <c r="D638" s="4" t="str">
        <f>IFERROR(__xludf.DUMMYFUNCTION("""COMPUTED_VALUE"""),"10. Perdido")</f>
        <v>10. Perdido</v>
      </c>
      <c r="E638" s="4" t="str">
        <f>IFERROR(__xludf.DUMMYFUNCTION("""COMPUTED_VALUE"""),"Perdido - Outro (detalhar ao lado)")</f>
        <v>Perdido - Outro (detalhar ao lado)</v>
      </c>
      <c r="F638" s="4" t="str">
        <f>IFERROR(__xludf.DUMMYFUNCTION("""COMPUTED_VALUE"""),"P")</f>
        <v>P</v>
      </c>
      <c r="G638" s="5">
        <f>IFERROR(__xludf.DUMMYFUNCTION("""COMPUTED_VALUE"""),46085.0)</f>
        <v>46085</v>
      </c>
      <c r="H638" s="4" t="str">
        <f>IFERROR(__xludf.DUMMYFUNCTION("""COMPUTED_VALUE"""),"Apresentação comercial do PDV ")</f>
        <v>Apresentação comercial do PDV </v>
      </c>
      <c r="I638" s="4"/>
      <c r="J638" s="6">
        <f>IFERROR(__xludf.DUMMYFUNCTION("""COMPUTED_VALUE"""),46063.57642834491)</f>
        <v>46063.57643</v>
      </c>
      <c r="K638" s="6">
        <f>IFERROR(__xludf.DUMMYFUNCTION("""COMPUTED_VALUE"""),46063.57642834491)</f>
        <v>46063.57643</v>
      </c>
      <c r="L638" s="6">
        <f>IFERROR(__xludf.DUMMYFUNCTION("""COMPUTED_VALUE"""),46076.68645383102)</f>
        <v>46076.68645</v>
      </c>
      <c r="M638" s="6">
        <f>IFERROR(__xludf.DUMMYFUNCTION("""COMPUTED_VALUE"""),46076.68652299768)</f>
        <v>46076.68652</v>
      </c>
      <c r="N638" s="4"/>
      <c r="O638" s="4"/>
      <c r="P638" s="4"/>
      <c r="Q638" s="4"/>
      <c r="R638" s="6">
        <f>IFERROR(__xludf.DUMMYFUNCTION("""COMPUTED_VALUE"""),46086.42366663195)</f>
        <v>46086.42367</v>
      </c>
      <c r="S638" s="4"/>
      <c r="T638" s="4"/>
      <c r="U638" s="4"/>
      <c r="V638" s="4" t="str">
        <f>IFERROR(__xludf.DUMMYFUNCTION("""COMPUTED_VALUE"""),"Fechou com concorrente há pouco tempo")</f>
        <v>Fechou com concorrente há pouco tempo</v>
      </c>
      <c r="W638" s="4"/>
      <c r="X638" s="4"/>
      <c r="Y638" s="4"/>
      <c r="Z638" s="4"/>
      <c r="AA638" s="4">
        <f>IFERROR(__xludf.DUMMYFUNCTION("""COMPUTED_VALUE"""),15.0)</f>
        <v>15</v>
      </c>
      <c r="AB638" s="4" t="str">
        <f>IFERROR(__xludf.DUMMYFUNCTION("""COMPUTED_VALUE"""),"NÃO")</f>
        <v>NÃO</v>
      </c>
      <c r="AC638" s="4" t="str">
        <f>IFERROR(__xludf.DUMMYFUNCTION("""COMPUTED_VALUE"""),"BP")</f>
        <v>BP</v>
      </c>
      <c r="AD638" s="4"/>
      <c r="AE638" s="4"/>
      <c r="AF638" s="4"/>
      <c r="AG638" s="4"/>
      <c r="AH638" s="4"/>
      <c r="AI638" s="4"/>
      <c r="AJ638" s="4"/>
      <c r="AK638" s="4"/>
      <c r="AL638" s="4"/>
      <c r="AM638" s="4" t="str">
        <f>IFERROR(__xludf.DUMMYFUNCTION("""COMPUTED_VALUE"""),"FY26")</f>
        <v>FY26</v>
      </c>
      <c r="AN638" s="4"/>
      <c r="AO638" s="4">
        <f>IFERROR(__xludf.DUMMYFUNCTION("""COMPUTED_VALUE"""),129.0)</f>
        <v>129</v>
      </c>
      <c r="AP638" s="4"/>
      <c r="AQ638" s="4"/>
      <c r="AR638" s="4"/>
      <c r="AS638" s="4" t="str">
        <f>IFERROR(__xludf.DUMMYFUNCTION("""COMPUTED_VALUE"""),"FABIO DONATO")</f>
        <v>FABIO DONATO</v>
      </c>
      <c r="AT638" s="4" t="str">
        <f>IFERROR(__xludf.DUMMYFUNCTION("""COMPUTED_VALUE"""),"CAMILA HOLANDA")</f>
        <v>CAMILA HOLANDA</v>
      </c>
      <c r="AU638" s="4" t="str">
        <f>IFERROR(__xludf.DUMMYFUNCTION("""COMPUTED_VALUE"""),"Diego")</f>
        <v>Diego</v>
      </c>
      <c r="AV638" s="4">
        <f>IFERROR(__xludf.DUMMYFUNCTION("""COMPUTED_VALUE"""),0.0)</f>
        <v>0</v>
      </c>
      <c r="AW638" s="4">
        <f>IFERROR(__xludf.DUMMYFUNCTION("""COMPUTED_VALUE"""),0.0)</f>
        <v>0</v>
      </c>
      <c r="AX638" s="4">
        <f>IFERROR(__xludf.DUMMYFUNCTION("""COMPUTED_VALUE"""),0.0)</f>
        <v>0</v>
      </c>
      <c r="AY638" s="4"/>
      <c r="AZ638" s="4" t="str">
        <f>IFERROR(__xludf.DUMMYFUNCTION("""COMPUTED_VALUE"""),"Carnes")</f>
        <v>Carnes</v>
      </c>
      <c r="BA638" s="4" t="str">
        <f>IFERROR(__xludf.DUMMYFUNCTION("""COMPUTED_VALUE"""),"")</f>
        <v/>
      </c>
      <c r="BB638" s="4" t="str">
        <f>IFERROR(__xludf.DUMMYFUNCTION("""COMPUTED_VALUE"""),"")</f>
        <v/>
      </c>
      <c r="BC638" s="4" t="str">
        <f>IFERROR(__xludf.DUMMYFUNCTION("""COMPUTED_VALUE"""),"")</f>
        <v/>
      </c>
      <c r="BD638" s="4" t="str">
        <f>IFERROR(__xludf.DUMMYFUNCTION("""COMPUTED_VALUE"""),"")</f>
        <v/>
      </c>
      <c r="BE638" s="4" t="str">
        <f>IFERROR(__xludf.DUMMYFUNCTION("""COMPUTED_VALUE"""),"")</f>
        <v/>
      </c>
      <c r="BF638" s="4" t="str">
        <f>IFERROR(__xludf.DUMMYFUNCTION("""COMPUTED_VALUE"""),"")</f>
        <v/>
      </c>
      <c r="BG638" s="4" t="str">
        <f>IFERROR(__xludf.DUMMYFUNCTION("""COMPUTED_VALUE"""),"")</f>
        <v/>
      </c>
      <c r="BH638" s="4" t="s">
        <v>69</v>
      </c>
      <c r="BI638" s="7">
        <v>0.5915492957746479</v>
      </c>
    </row>
    <row r="639" hidden="1">
      <c r="A639" s="4" t="str">
        <f>IFERROR(__xludf.DUMMYFUNCTION("""COMPUTED_VALUE"""),"Mercearia Bresser")</f>
        <v>Mercearia Bresser</v>
      </c>
      <c r="B639" s="4" t="str">
        <f>IFERROR(__xludf.DUMMYFUNCTION("""COMPUTED_VALUE"""),"Lídia Esteves")</f>
        <v>Lídia Esteves</v>
      </c>
      <c r="C639" s="4" t="str">
        <f>IFERROR(__xludf.DUMMYFUNCTION("""COMPUTED_VALUE"""),"Emerson")</f>
        <v>Emerson</v>
      </c>
      <c r="D639" s="4" t="str">
        <f>IFERROR(__xludf.DUMMYFUNCTION("""COMPUTED_VALUE"""),"10. Perdido")</f>
        <v>10. Perdido</v>
      </c>
      <c r="E639" s="4"/>
      <c r="F639" s="4" t="str">
        <f>IFERROR(__xludf.DUMMYFUNCTION("""COMPUTED_VALUE"""),"P")</f>
        <v>P</v>
      </c>
      <c r="G639" s="5">
        <f>IFERROR(__xludf.DUMMYFUNCTION("""COMPUTED_VALUE"""),46057.0)</f>
        <v>46057</v>
      </c>
      <c r="H639" s="4" t="str">
        <f>IFERROR(__xludf.DUMMYFUNCTION("""COMPUTED_VALUE"""),"Conhecemos cliente no ifood day 2025 e não tem interesse em migrar de pdv.")</f>
        <v>Conhecemos cliente no ifood day 2025 e não tem interesse em migrar de pdv.</v>
      </c>
      <c r="I639" s="4"/>
      <c r="J639" s="4"/>
      <c r="K639" s="6">
        <f>IFERROR(__xludf.DUMMYFUNCTION("""COMPUTED_VALUE"""),46057.0)</f>
        <v>46057</v>
      </c>
      <c r="L639" s="4"/>
      <c r="M639" s="4"/>
      <c r="N639" s="4"/>
      <c r="O639" s="4"/>
      <c r="P639" s="4"/>
      <c r="Q639" s="4"/>
      <c r="R639" s="6">
        <f>IFERROR(__xludf.DUMMYFUNCTION("""COMPUTED_VALUE"""),46057.655277060185)</f>
        <v>46057.65528</v>
      </c>
      <c r="S639" s="4"/>
      <c r="T639" s="4"/>
      <c r="U639" s="4"/>
      <c r="V639" s="4" t="str">
        <f>IFERROR(__xludf.DUMMYFUNCTION("""COMPUTED_VALUE"""),"Sem interesse em mudar de PDV")</f>
        <v>Sem interesse em mudar de PDV</v>
      </c>
      <c r="W639" s="4"/>
      <c r="X639" s="4"/>
      <c r="Y639" s="4"/>
      <c r="Z639" s="4"/>
      <c r="AA639" s="4">
        <f>IFERROR(__xludf.DUMMYFUNCTION("""COMPUTED_VALUE"""),3.0)</f>
        <v>3</v>
      </c>
      <c r="AB639" s="4" t="str">
        <f>IFERROR(__xludf.DUMMYFUNCTION("""COMPUTED_VALUE"""),"NÃO")</f>
        <v>NÃO</v>
      </c>
      <c r="AC639" s="4" t="str">
        <f>IFERROR(__xludf.DUMMYFUNCTION("""COMPUTED_VALUE"""),"Não BP")</f>
        <v>Não BP</v>
      </c>
      <c r="AD639" s="4"/>
      <c r="AE639" s="4"/>
      <c r="AF639" s="4"/>
      <c r="AG639" s="4"/>
      <c r="AH639" s="4"/>
      <c r="AI639" s="4"/>
      <c r="AJ639" s="4"/>
      <c r="AK639" s="4"/>
      <c r="AL639" s="4"/>
      <c r="AM639" s="4" t="str">
        <f>IFERROR(__xludf.DUMMYFUNCTION("""COMPUTED_VALUE"""),"FY26")</f>
        <v>FY26</v>
      </c>
      <c r="AN639" s="4" t="str">
        <f>IFERROR(__xludf.DUMMYFUNCTION("""COMPUTED_VALUE"""),"Comer Fora")</f>
        <v>Comer Fora</v>
      </c>
      <c r="AO639" s="4">
        <f>IFERROR(__xludf.DUMMYFUNCTION("""COMPUTED_VALUE"""),159.0)</f>
        <v>159</v>
      </c>
      <c r="AP639" s="4"/>
      <c r="AQ639" s="4"/>
      <c r="AR639" s="4"/>
      <c r="AS639" s="4" t="str">
        <f>IFERROR(__xludf.DUMMYFUNCTION("""COMPUTED_VALUE"""),"FABIO DONATO")</f>
        <v>FABIO DONATO</v>
      </c>
      <c r="AT639" s="4" t="str">
        <f>IFERROR(__xludf.DUMMYFUNCTION("""COMPUTED_VALUE"""),"MURILO NAGASHIMA")</f>
        <v>MURILO NAGASHIMA</v>
      </c>
      <c r="AU639" s="4" t="str">
        <f>IFERROR(__xludf.DUMMYFUNCTION("""COMPUTED_VALUE"""),"Lídia / Emerson")</f>
        <v>Lídia / Emerson</v>
      </c>
      <c r="AV639" s="4" t="str">
        <f>IFERROR(__xludf.DUMMYFUNCTION("""COMPUTED_VALUE"""),"Comer Fora-")</f>
        <v>Comer Fora-</v>
      </c>
      <c r="AW639" s="20" t="str">
        <f>IFERROR(__xludf.DUMMYFUNCTION("""COMPUTED_VALUE"""),"P e M - pipe")</f>
        <v>P e M - pipe</v>
      </c>
      <c r="AX639" s="4"/>
      <c r="AY639" s="4"/>
      <c r="AZ639" s="4" t="str">
        <f>IFERROR(__xludf.DUMMYFUNCTION("""COMPUTED_VALUE"""),"Pizza")</f>
        <v>Pizza</v>
      </c>
      <c r="BA639" s="4" t="str">
        <f>IFERROR(__xludf.DUMMYFUNCTION("""COMPUTED_VALUE"""),"")</f>
        <v/>
      </c>
      <c r="BB639" s="4" t="str">
        <f>IFERROR(__xludf.DUMMYFUNCTION("""COMPUTED_VALUE"""),"")</f>
        <v/>
      </c>
      <c r="BC639" s="4" t="str">
        <f>IFERROR(__xludf.DUMMYFUNCTION("""COMPUTED_VALUE"""),"")</f>
        <v/>
      </c>
      <c r="BD639" s="4" t="str">
        <f>IFERROR(__xludf.DUMMYFUNCTION("""COMPUTED_VALUE"""),"")</f>
        <v/>
      </c>
      <c r="BE639" s="4" t="str">
        <f>IFERROR(__xludf.DUMMYFUNCTION("""COMPUTED_VALUE"""),"")</f>
        <v/>
      </c>
      <c r="BF639" s="4" t="str">
        <f>IFERROR(__xludf.DUMMYFUNCTION("""COMPUTED_VALUE"""),"")</f>
        <v/>
      </c>
      <c r="BG639" s="4" t="str">
        <f>IFERROR(__xludf.DUMMYFUNCTION("""COMPUTED_VALUE"""),"")</f>
        <v/>
      </c>
      <c r="BH639" s="4" t="s">
        <v>63</v>
      </c>
      <c r="BI639" s="7" t="s">
        <v>63</v>
      </c>
    </row>
    <row r="640" hidden="1">
      <c r="A640" s="4" t="str">
        <f>IFERROR(__xludf.DUMMYFUNCTION("""COMPUTED_VALUE"""),"Mestico")</f>
        <v>Mestico</v>
      </c>
      <c r="B640" s="4" t="str">
        <f>IFERROR(__xludf.DUMMYFUNCTION("""COMPUTED_VALUE"""),"Ana")</f>
        <v>Ana</v>
      </c>
      <c r="C640" s="4" t="str">
        <f>IFERROR(__xludf.DUMMYFUNCTION("""COMPUTED_VALUE"""),"Ana")</f>
        <v>Ana</v>
      </c>
      <c r="D640" s="4" t="str">
        <f>IFERROR(__xludf.DUMMYFUNCTION("""COMPUTED_VALUE"""),"10. Perdido")</f>
        <v>10. Perdido</v>
      </c>
      <c r="E640" s="4" t="str">
        <f>IFERROR(__xludf.DUMMYFUNCTION("""COMPUTED_VALUE"""),"Perdido -  Momento do restaurante não favorável")</f>
        <v>Perdido -  Momento do restaurante não favorável</v>
      </c>
      <c r="F640" s="4" t="str">
        <f>IFERROR(__xludf.DUMMYFUNCTION("""COMPUTED_VALUE"""),"P")</f>
        <v>P</v>
      </c>
      <c r="G640" s="5">
        <f>IFERROR(__xludf.DUMMYFUNCTION("""COMPUTED_VALUE"""),46076.0)</f>
        <v>46076</v>
      </c>
      <c r="H640" s="4" t="str">
        <f>IFERROR(__xludf.DUMMYFUNCTION("""COMPUTED_VALUE"""),"Parceiro abordado em out/25, tinham acabado de trocar o sistema, estavam satisfeitos e não deram abertura para continuar falando conosco. Podemos tentar abordar no próximo ciclo e entender se o sistema atual ainda está os atendendo bem e tentar apresentar"&amp;" novidades do Salão.")</f>
        <v>Parceiro abordado em out/25, tinham acabado de trocar o sistema, estavam satisfeitos e não deram abertura para continuar falando conosco. Podemos tentar abordar no próximo ciclo e entender se o sistema atual ainda está os atendendo bem e tentar apresentar novidades do Salão.</v>
      </c>
      <c r="I640" s="4"/>
      <c r="J640" s="4"/>
      <c r="K640" s="6">
        <f>IFERROR(__xludf.DUMMYFUNCTION("""COMPUTED_VALUE"""),45929.0)</f>
        <v>45929</v>
      </c>
      <c r="L640" s="4"/>
      <c r="M640" s="4"/>
      <c r="N640" s="4"/>
      <c r="O640" s="4"/>
      <c r="P640" s="4"/>
      <c r="Q640" s="4"/>
      <c r="R640" s="6">
        <f>IFERROR(__xludf.DUMMYFUNCTION("""COMPUTED_VALUE"""),46072.69105350695)</f>
        <v>46072.69105</v>
      </c>
      <c r="S640" s="4"/>
      <c r="T640" s="4"/>
      <c r="U640" s="4"/>
      <c r="V640" s="4" t="str">
        <f>IFERROR(__xludf.DUMMYFUNCTION("""COMPUTED_VALUE"""),"Sem interesse em mudar de PDV")</f>
        <v>Sem interesse em mudar de PDV</v>
      </c>
      <c r="W640" s="4"/>
      <c r="X640" s="4"/>
      <c r="Y640" s="4"/>
      <c r="Z640" s="4"/>
      <c r="AA640" s="4">
        <f>IFERROR(__xludf.DUMMYFUNCTION("""COMPUTED_VALUE"""),2.0)</f>
        <v>2</v>
      </c>
      <c r="AB640" s="4" t="str">
        <f>IFERROR(__xludf.DUMMYFUNCTION("""COMPUTED_VALUE"""),"NÃO")</f>
        <v>NÃO</v>
      </c>
      <c r="AC640" s="4" t="str">
        <f>IFERROR(__xludf.DUMMYFUNCTION("""COMPUTED_VALUE"""),"BP")</f>
        <v>BP</v>
      </c>
      <c r="AD640" s="4"/>
      <c r="AE640" s="4"/>
      <c r="AF640" s="4"/>
      <c r="AG640" s="4"/>
      <c r="AH640" s="4"/>
      <c r="AI640" s="4"/>
      <c r="AJ640" s="4"/>
      <c r="AK640" s="4"/>
      <c r="AL640" s="4"/>
      <c r="AM640" s="4" t="str">
        <f>IFERROR(__xludf.DUMMYFUNCTION("""COMPUTED_VALUE"""),"FY26")</f>
        <v>FY26</v>
      </c>
      <c r="AN640" s="4"/>
      <c r="AO640" s="4">
        <f>IFERROR(__xludf.DUMMYFUNCTION("""COMPUTED_VALUE"""),140.0)</f>
        <v>140</v>
      </c>
      <c r="AP640" s="4"/>
      <c r="AQ640" s="4"/>
      <c r="AR640" s="4"/>
      <c r="AS640" s="4" t="str">
        <f>IFERROR(__xludf.DUMMYFUNCTION("""COMPUTED_VALUE"""),"NATHALIE MERTENS")</f>
        <v>NATHALIE MERTENS</v>
      </c>
      <c r="AT640" s="4" t="str">
        <f>IFERROR(__xludf.DUMMYFUNCTION("""COMPUTED_VALUE"""),"MARIANA KATZ")</f>
        <v>MARIANA KATZ</v>
      </c>
      <c r="AU640" s="4" t="str">
        <f>IFERROR(__xludf.DUMMYFUNCTION("""COMPUTED_VALUE"""),"Ana")</f>
        <v>Ana</v>
      </c>
      <c r="AV640" s="4">
        <f>IFERROR(__xludf.DUMMYFUNCTION("""COMPUTED_VALUE"""),0.0)</f>
        <v>0</v>
      </c>
      <c r="AW640" s="4">
        <f>IFERROR(__xludf.DUMMYFUNCTION("""COMPUTED_VALUE"""),0.0)</f>
        <v>0</v>
      </c>
      <c r="AX640" s="4">
        <f>IFERROR(__xludf.DUMMYFUNCTION("""COMPUTED_VALUE"""),0.0)</f>
        <v>0</v>
      </c>
      <c r="AY640" s="4"/>
      <c r="AZ640" s="4" t="str">
        <f>IFERROR(__xludf.DUMMYFUNCTION("""COMPUTED_VALUE"""),"Saudável")</f>
        <v>Saudável</v>
      </c>
      <c r="BA640" s="4" t="str">
        <f>IFERROR(__xludf.DUMMYFUNCTION("""COMPUTED_VALUE"""),"")</f>
        <v/>
      </c>
      <c r="BB640" s="4" t="str">
        <f>IFERROR(__xludf.DUMMYFUNCTION("""COMPUTED_VALUE"""),"")</f>
        <v/>
      </c>
      <c r="BC640" s="4" t="str">
        <f>IFERROR(__xludf.DUMMYFUNCTION("""COMPUTED_VALUE"""),"")</f>
        <v/>
      </c>
      <c r="BD640" s="4" t="str">
        <f>IFERROR(__xludf.DUMMYFUNCTION("""COMPUTED_VALUE"""),"")</f>
        <v/>
      </c>
      <c r="BE640" s="4" t="str">
        <f>IFERROR(__xludf.DUMMYFUNCTION("""COMPUTED_VALUE"""),"")</f>
        <v/>
      </c>
      <c r="BF640" s="4" t="str">
        <f>IFERROR(__xludf.DUMMYFUNCTION("""COMPUTED_VALUE"""),"")</f>
        <v/>
      </c>
      <c r="BG640" s="4" t="str">
        <f>IFERROR(__xludf.DUMMYFUNCTION("""COMPUTED_VALUE"""),"")</f>
        <v/>
      </c>
      <c r="BH640" s="4" t="s">
        <v>78</v>
      </c>
      <c r="BI640" s="7">
        <v>1.0</v>
      </c>
    </row>
    <row r="641" hidden="1">
      <c r="A641" s="4" t="str">
        <f>IFERROR(__xludf.DUMMYFUNCTION("""COMPUTED_VALUE"""),"Meu Freeze")</f>
        <v>Meu Freeze</v>
      </c>
      <c r="B641" s="4" t="str">
        <f>IFERROR(__xludf.DUMMYFUNCTION("""COMPUTED_VALUE"""),"Michel")</f>
        <v>Michel</v>
      </c>
      <c r="C641" s="4" t="str">
        <f>IFERROR(__xludf.DUMMYFUNCTION("""COMPUTED_VALUE"""),"Michel")</f>
        <v>Michel</v>
      </c>
      <c r="D641" s="4" t="str">
        <f>IFERROR(__xludf.DUMMYFUNCTION("""COMPUTED_VALUE"""),"12. Orgânico")</f>
        <v>12. Orgânico</v>
      </c>
      <c r="E641" s="4"/>
      <c r="F641" s="4" t="str">
        <f>IFERROR(__xludf.DUMMYFUNCTION("""COMPUTED_VALUE"""),"Sem Classificação")</f>
        <v>Sem Classificação</v>
      </c>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t="str">
        <f>IFERROR(__xludf.DUMMYFUNCTION("""COMPUTED_VALUE"""),"Orgânico 3S")</f>
        <v>Orgânico 3S</v>
      </c>
      <c r="AN641" s="4"/>
      <c r="AO641" s="4">
        <f>IFERROR(__xludf.DUMMYFUNCTION("""COMPUTED_VALUE"""),45553.0)</f>
        <v>45553</v>
      </c>
      <c r="AP641" s="4"/>
      <c r="AQ641" s="4"/>
      <c r="AR641" s="4"/>
      <c r="AS641" s="4">
        <f>IFERROR(__xludf.DUMMYFUNCTION("""COMPUTED_VALUE"""),0.0)</f>
        <v>0</v>
      </c>
      <c r="AT641" s="4">
        <f>IFERROR(__xludf.DUMMYFUNCTION("""COMPUTED_VALUE"""),0.0)</f>
        <v>0</v>
      </c>
      <c r="AU641" s="4" t="str">
        <f>IFERROR(__xludf.DUMMYFUNCTION("""COMPUTED_VALUE"""),"Michel")</f>
        <v>Michel</v>
      </c>
      <c r="AV641" s="4">
        <f>IFERROR(__xludf.DUMMYFUNCTION("""COMPUTED_VALUE"""),0.0)</f>
        <v>0</v>
      </c>
      <c r="AW641" s="4">
        <f>IFERROR(__xludf.DUMMYFUNCTION("""COMPUTED_VALUE"""),0.0)</f>
        <v>0</v>
      </c>
      <c r="AX641" s="4">
        <f>IFERROR(__xludf.DUMMYFUNCTION("""COMPUTED_VALUE"""),0.0)</f>
        <v>0</v>
      </c>
      <c r="AY641" s="4"/>
      <c r="AZ641" s="4">
        <f>IFERROR(__xludf.DUMMYFUNCTION("""COMPUTED_VALUE"""),0.0)</f>
        <v>0</v>
      </c>
      <c r="BA641" s="4" t="str">
        <f>IFERROR(__xludf.DUMMYFUNCTION("""COMPUTED_VALUE"""),"")</f>
        <v/>
      </c>
      <c r="BB641" s="4" t="str">
        <f>IFERROR(__xludf.DUMMYFUNCTION("""COMPUTED_VALUE"""),"")</f>
        <v/>
      </c>
      <c r="BC641" s="4" t="str">
        <f>IFERROR(__xludf.DUMMYFUNCTION("""COMPUTED_VALUE"""),"")</f>
        <v/>
      </c>
      <c r="BD641" s="4" t="str">
        <f>IFERROR(__xludf.DUMMYFUNCTION("""COMPUTED_VALUE"""),"")</f>
        <v/>
      </c>
      <c r="BE641" s="4" t="str">
        <f>IFERROR(__xludf.DUMMYFUNCTION("""COMPUTED_VALUE"""),"")</f>
        <v/>
      </c>
      <c r="BF641" s="4" t="str">
        <f>IFERROR(__xludf.DUMMYFUNCTION("""COMPUTED_VALUE"""),"")</f>
        <v/>
      </c>
      <c r="BG641" s="4" t="str">
        <f>IFERROR(__xludf.DUMMYFUNCTION("""COMPUTED_VALUE"""),"")</f>
        <v/>
      </c>
      <c r="BH641" s="4" t="s">
        <v>63</v>
      </c>
      <c r="BI641" s="7" t="s">
        <v>63</v>
      </c>
    </row>
    <row r="642" hidden="1">
      <c r="A642" s="4" t="str">
        <f>IFERROR(__xludf.DUMMYFUNCTION("""COMPUTED_VALUE"""),"Milk Nilla")</f>
        <v>Milk Nilla</v>
      </c>
      <c r="B642" s="4" t="str">
        <f>IFERROR(__xludf.DUMMYFUNCTION("""COMPUTED_VALUE"""),"Diego Santos")</f>
        <v>Diego Santos</v>
      </c>
      <c r="C642" s="4" t="str">
        <f>IFERROR(__xludf.DUMMYFUNCTION("""COMPUTED_VALUE"""),"Diego Santos")</f>
        <v>Diego Santos</v>
      </c>
      <c r="D642" s="4" t="str">
        <f>IFERROR(__xludf.DUMMYFUNCTION("""COMPUTED_VALUE"""),"10. Perdido")</f>
        <v>10. Perdido</v>
      </c>
      <c r="E642" s="4" t="str">
        <f>IFERROR(__xludf.DUMMYFUNCTION("""COMPUTED_VALUE"""),"Perdido - Sem perfil LA / 3SCheckout / PDV próprio")</f>
        <v>Perdido - Sem perfil LA / 3SCheckout / PDV próprio</v>
      </c>
      <c r="F642" s="4" t="str">
        <f>IFERROR(__xludf.DUMMYFUNCTION("""COMPUTED_VALUE"""),"P")</f>
        <v>P</v>
      </c>
      <c r="G642" s="5">
        <f>IFERROR(__xludf.DUMMYFUNCTION("""COMPUTED_VALUE"""),46083.0)</f>
        <v>46083</v>
      </c>
      <c r="H642" s="4" t="str">
        <f>IFERROR(__xludf.DUMMYFUNCTION("""COMPUTED_VALUE"""),"Perdido, sem interesse e sem potencial.")</f>
        <v>Perdido, sem interesse e sem potencial.</v>
      </c>
      <c r="I642" s="4"/>
      <c r="J642" s="6">
        <f>IFERROR(__xludf.DUMMYFUNCTION("""COMPUTED_VALUE"""),46083.46927480324)</f>
        <v>46083.46927</v>
      </c>
      <c r="K642" s="6">
        <f>IFERROR(__xludf.DUMMYFUNCTION("""COMPUTED_VALUE"""),45901.0)</f>
        <v>45901</v>
      </c>
      <c r="L642" s="4"/>
      <c r="M642" s="4"/>
      <c r="N642" s="4"/>
      <c r="O642" s="4"/>
      <c r="P642" s="4"/>
      <c r="Q642" s="4"/>
      <c r="R642" s="6">
        <f>IFERROR(__xludf.DUMMYFUNCTION("""COMPUTED_VALUE"""),46083.47117909722)</f>
        <v>46083.47118</v>
      </c>
      <c r="S642" s="4"/>
      <c r="T642" s="4"/>
      <c r="U642" s="4"/>
      <c r="V642" s="4" t="str">
        <f>IFERROR(__xludf.DUMMYFUNCTION("""COMPUTED_VALUE"""),"Sem interesse em mudar de PDV")</f>
        <v>Sem interesse em mudar de PDV</v>
      </c>
      <c r="W642" s="4"/>
      <c r="X642" s="4"/>
      <c r="Y642" s="4"/>
      <c r="Z642" s="4"/>
      <c r="AA642" s="4">
        <f>IFERROR(__xludf.DUMMYFUNCTION("""COMPUTED_VALUE"""),8.0)</f>
        <v>8</v>
      </c>
      <c r="AB642" s="4"/>
      <c r="AC642" s="4"/>
      <c r="AD642" s="4"/>
      <c r="AE642" s="4"/>
      <c r="AF642" s="4"/>
      <c r="AG642" s="4"/>
      <c r="AH642" s="4"/>
      <c r="AI642" s="4"/>
      <c r="AJ642" s="4"/>
      <c r="AK642" s="4"/>
      <c r="AL642" s="4"/>
      <c r="AM642" s="4" t="str">
        <f>IFERROR(__xludf.DUMMYFUNCTION("""COMPUTED_VALUE"""),"FY26")</f>
        <v>FY26</v>
      </c>
      <c r="AN642" s="4"/>
      <c r="AO642" s="4">
        <f>IFERROR(__xludf.DUMMYFUNCTION("""COMPUTED_VALUE"""),131.0)</f>
        <v>131</v>
      </c>
      <c r="AP642" s="4"/>
      <c r="AQ642" s="4"/>
      <c r="AR642" s="4"/>
      <c r="AS642" s="4">
        <f>IFERROR(__xludf.DUMMYFUNCTION("""COMPUTED_VALUE"""),0.0)</f>
        <v>0</v>
      </c>
      <c r="AT642" s="4">
        <f>IFERROR(__xludf.DUMMYFUNCTION("""COMPUTED_VALUE"""),0.0)</f>
        <v>0</v>
      </c>
      <c r="AU642" s="4" t="str">
        <f>IFERROR(__xludf.DUMMYFUNCTION("""COMPUTED_VALUE"""),"Diego")</f>
        <v>Diego</v>
      </c>
      <c r="AV642" s="4">
        <f>IFERROR(__xludf.DUMMYFUNCTION("""COMPUTED_VALUE"""),0.0)</f>
        <v>0</v>
      </c>
      <c r="AW642" s="4">
        <f>IFERROR(__xludf.DUMMYFUNCTION("""COMPUTED_VALUE"""),0.0)</f>
        <v>0</v>
      </c>
      <c r="AX642" s="4">
        <f>IFERROR(__xludf.DUMMYFUNCTION("""COMPUTED_VALUE"""),0.0)</f>
        <v>0</v>
      </c>
      <c r="AY642" s="4"/>
      <c r="AZ642" s="4" t="str">
        <f>IFERROR(__xludf.DUMMYFUNCTION("""COMPUTED_VALUE"""),"#N/A")</f>
        <v>#N/A</v>
      </c>
      <c r="BA642" s="4" t="str">
        <f>IFERROR(__xludf.DUMMYFUNCTION("""COMPUTED_VALUE"""),"")</f>
        <v/>
      </c>
      <c r="BB642" s="4" t="str">
        <f>IFERROR(__xludf.DUMMYFUNCTION("""COMPUTED_VALUE"""),"")</f>
        <v/>
      </c>
      <c r="BC642" s="4" t="str">
        <f>IFERROR(__xludf.DUMMYFUNCTION("""COMPUTED_VALUE"""),"")</f>
        <v/>
      </c>
      <c r="BD642" s="4" t="str">
        <f>IFERROR(__xludf.DUMMYFUNCTION("""COMPUTED_VALUE"""),"")</f>
        <v/>
      </c>
      <c r="BE642" s="4" t="str">
        <f>IFERROR(__xludf.DUMMYFUNCTION("""COMPUTED_VALUE"""),"")</f>
        <v/>
      </c>
      <c r="BF642" s="4" t="str">
        <f>IFERROR(__xludf.DUMMYFUNCTION("""COMPUTED_VALUE"""),"")</f>
        <v/>
      </c>
      <c r="BG642" s="4" t="str">
        <f>IFERROR(__xludf.DUMMYFUNCTION("""COMPUTED_VALUE"""),"")</f>
        <v/>
      </c>
      <c r="BH642" s="4" t="s">
        <v>63</v>
      </c>
      <c r="BI642" s="7" t="s">
        <v>63</v>
      </c>
    </row>
    <row r="643" hidden="1">
      <c r="A643" s="4" t="str">
        <f>IFERROR(__xludf.DUMMYFUNCTION("""COMPUTED_VALUE"""),"Mocoto")</f>
        <v>Mocoto</v>
      </c>
      <c r="B643" s="4" t="str">
        <f>IFERROR(__xludf.DUMMYFUNCTION("""COMPUTED_VALUE"""),"Iza")</f>
        <v>Iza</v>
      </c>
      <c r="C643" s="4" t="str">
        <f>IFERROR(__xludf.DUMMYFUNCTION("""COMPUTED_VALUE"""),"Iza")</f>
        <v>Iza</v>
      </c>
      <c r="D643" s="4" t="str">
        <f>IFERROR(__xludf.DUMMYFUNCTION("""COMPUTED_VALUE"""),"10. Perdido")</f>
        <v>10. Perdido</v>
      </c>
      <c r="E643" s="4" t="str">
        <f>IFERROR(__xludf.DUMMYFUNCTION("""COMPUTED_VALUE"""),"Perdido - Sem perfil LA / 3SCheckout / PDV próprio")</f>
        <v>Perdido - Sem perfil LA / 3SCheckout / PDV próprio</v>
      </c>
      <c r="F643" s="4" t="str">
        <f>IFERROR(__xludf.DUMMYFUNCTION("""COMPUTED_VALUE"""),"P")</f>
        <v>P</v>
      </c>
      <c r="G643" s="5">
        <f>IFERROR(__xludf.DUMMYFUNCTION("""COMPUTED_VALUE"""),46076.0)</f>
        <v>46076</v>
      </c>
      <c r="H643" s="4" t="str">
        <f>IFERROR(__xludf.DUMMYFUNCTION("""COMPUTED_VALUE"""),"Fechou com concorrente.")</f>
        <v>Fechou com concorrente.</v>
      </c>
      <c r="I643" s="4"/>
      <c r="J643" s="4"/>
      <c r="K643" s="6">
        <f>IFERROR(__xludf.DUMMYFUNCTION("""COMPUTED_VALUE"""),45924.0)</f>
        <v>45924</v>
      </c>
      <c r="L643" s="4"/>
      <c r="M643" s="4"/>
      <c r="N643" s="4"/>
      <c r="O643" s="4"/>
      <c r="P643" s="4"/>
      <c r="Q643" s="4"/>
      <c r="R643" s="4"/>
      <c r="S643" s="4"/>
      <c r="T643" s="4"/>
      <c r="U643" s="4"/>
      <c r="V643" s="4" t="str">
        <f>IFERROR(__xludf.DUMMYFUNCTION("""COMPUTED_VALUE"""),"Sem interesse em mudar de PDV")</f>
        <v>Sem interesse em mudar de PDV</v>
      </c>
      <c r="W643" s="4"/>
      <c r="X643" s="4"/>
      <c r="Y643" s="4"/>
      <c r="Z643" s="4"/>
      <c r="AA643" s="4">
        <f>IFERROR(__xludf.DUMMYFUNCTION("""COMPUTED_VALUE"""),3.0)</f>
        <v>3</v>
      </c>
      <c r="AB643" s="4" t="str">
        <f>IFERROR(__xludf.DUMMYFUNCTION("""COMPUTED_VALUE"""),"NÃO")</f>
        <v>NÃO</v>
      </c>
      <c r="AC643" s="4" t="str">
        <f>IFERROR(__xludf.DUMMYFUNCTION("""COMPUTED_VALUE"""),"BP")</f>
        <v>BP</v>
      </c>
      <c r="AD643" s="4"/>
      <c r="AE643" s="4"/>
      <c r="AF643" s="4"/>
      <c r="AG643" s="4"/>
      <c r="AH643" s="4"/>
      <c r="AI643" s="4"/>
      <c r="AJ643" s="4"/>
      <c r="AK643" s="4"/>
      <c r="AL643" s="4"/>
      <c r="AM643" s="4" t="str">
        <f>IFERROR(__xludf.DUMMYFUNCTION("""COMPUTED_VALUE"""),"FY26")</f>
        <v>FY26</v>
      </c>
      <c r="AN643" s="4" t="str">
        <f>IFERROR(__xludf.DUMMYFUNCTION("""COMPUTED_VALUE"""),"Comer Fora")</f>
        <v>Comer Fora</v>
      </c>
      <c r="AO643" s="4">
        <f>IFERROR(__xludf.DUMMYFUNCTION("""COMPUTED_VALUE"""),140.0)</f>
        <v>140</v>
      </c>
      <c r="AP643" s="4"/>
      <c r="AQ643" s="4"/>
      <c r="AR643" s="4"/>
      <c r="AS643" s="4" t="str">
        <f>IFERROR(__xludf.DUMMYFUNCTION("""COMPUTED_VALUE"""),"NATHALIE MERTENS")</f>
        <v>NATHALIE MERTENS</v>
      </c>
      <c r="AT643" s="4" t="str">
        <f>IFERROR(__xludf.DUMMYFUNCTION("""COMPUTED_VALUE"""),"MARIANA KATZ")</f>
        <v>MARIANA KATZ</v>
      </c>
      <c r="AU643" s="4" t="str">
        <f>IFERROR(__xludf.DUMMYFUNCTION("""COMPUTED_VALUE"""),"Iza")</f>
        <v>Iza</v>
      </c>
      <c r="AV643" s="4" t="str">
        <f>IFERROR(__xludf.DUMMYFUNCTION("""COMPUTED_VALUE"""),"Comer Fora-")</f>
        <v>Comer Fora-</v>
      </c>
      <c r="AW643" s="20" t="str">
        <f>IFERROR(__xludf.DUMMYFUNCTION("""COMPUTED_VALUE"""),"P e M - pipe")</f>
        <v>P e M - pipe</v>
      </c>
      <c r="AX643" s="4"/>
      <c r="AY643" s="4"/>
      <c r="AZ643" s="4" t="str">
        <f>IFERROR(__xludf.DUMMYFUNCTION("""COMPUTED_VALUE"""),"Brasileira")</f>
        <v>Brasileira</v>
      </c>
      <c r="BA643" s="4" t="str">
        <f>IFERROR(__xludf.DUMMYFUNCTION("""COMPUTED_VALUE"""),"")</f>
        <v/>
      </c>
      <c r="BB643" s="4" t="str">
        <f>IFERROR(__xludf.DUMMYFUNCTION("""COMPUTED_VALUE"""),"")</f>
        <v/>
      </c>
      <c r="BC643" s="4" t="str">
        <f>IFERROR(__xludf.DUMMYFUNCTION("""COMPUTED_VALUE"""),"")</f>
        <v/>
      </c>
      <c r="BD643" s="4" t="str">
        <f>IFERROR(__xludf.DUMMYFUNCTION("""COMPUTED_VALUE"""),"")</f>
        <v/>
      </c>
      <c r="BE643" s="4" t="str">
        <f>IFERROR(__xludf.DUMMYFUNCTION("""COMPUTED_VALUE"""),"")</f>
        <v/>
      </c>
      <c r="BF643" s="4" t="str">
        <f>IFERROR(__xludf.DUMMYFUNCTION("""COMPUTED_VALUE"""),"")</f>
        <v/>
      </c>
      <c r="BG643" s="4" t="str">
        <f>IFERROR(__xludf.DUMMYFUNCTION("""COMPUTED_VALUE"""),"")</f>
        <v/>
      </c>
      <c r="BH643" s="4" t="s">
        <v>74</v>
      </c>
      <c r="BI643" s="7">
        <v>0.6666666666666666</v>
      </c>
    </row>
    <row r="644">
      <c r="A644" s="4" t="str">
        <f>IFERROR(__xludf.DUMMYFUNCTION("""COMPUTED_VALUE"""),"Mundo Animal")</f>
        <v>Mundo Animal</v>
      </c>
      <c r="B644" s="4" t="str">
        <f>IFERROR(__xludf.DUMMYFUNCTION("""COMPUTED_VALUE"""),"Leonardo Roso")</f>
        <v>Leonardo Roso</v>
      </c>
      <c r="C644" s="4" t="str">
        <f>IFERROR(__xludf.DUMMYFUNCTION("""COMPUTED_VALUE"""),"Leonardo Roso")</f>
        <v>Leonardo Roso</v>
      </c>
      <c r="D644" s="4" t="str">
        <f>IFERROR(__xludf.DUMMYFUNCTION("""COMPUTED_VALUE"""),"10. Perdido")</f>
        <v>10. Perdido</v>
      </c>
      <c r="E644" s="4" t="str">
        <f>IFERROR(__xludf.DUMMYFUNCTION("""COMPUTED_VALUE"""),"Perdido - Outro (detalhar ao lado)")</f>
        <v>Perdido - Outro (detalhar ao lado)</v>
      </c>
      <c r="F644" s="4" t="str">
        <f>IFERROR(__xludf.DUMMYFUNCTION("""COMPUTED_VALUE"""),"G")</f>
        <v>G</v>
      </c>
      <c r="G644" s="5">
        <f>IFERROR(__xludf.DUMMYFUNCTION("""COMPUTED_VALUE"""),46064.0)</f>
        <v>46064</v>
      </c>
      <c r="H644" s="4" t="str">
        <f>IFERROR(__xludf.DUMMYFUNCTION("""COMPUTED_VALUE"""),"Falência.")</f>
        <v>Falência.</v>
      </c>
      <c r="I644" s="4"/>
      <c r="J644" s="4"/>
      <c r="K644" s="4"/>
      <c r="L644" s="4"/>
      <c r="M644" s="4"/>
      <c r="N644" s="4"/>
      <c r="O644" s="4"/>
      <c r="P644" s="4"/>
      <c r="Q644" s="4"/>
      <c r="R644" s="6">
        <f>IFERROR(__xludf.DUMMYFUNCTION("""COMPUTED_VALUE"""),46064.464546655094)</f>
        <v>46064.46455</v>
      </c>
      <c r="S644" s="4"/>
      <c r="T644" s="4"/>
      <c r="U644" s="4"/>
      <c r="V644" s="4" t="str">
        <f>IFERROR(__xludf.DUMMYFUNCTION("""COMPUTED_VALUE"""),"Sem interesse em mudar de PDV")</f>
        <v>Sem interesse em mudar de PDV</v>
      </c>
      <c r="W644" s="4"/>
      <c r="X644" s="4"/>
      <c r="Y644" s="4"/>
      <c r="Z644" s="4"/>
      <c r="AA644" s="4">
        <f>IFERROR(__xludf.DUMMYFUNCTION("""COMPUTED_VALUE"""),210.0)</f>
        <v>210</v>
      </c>
      <c r="AB644" s="4" t="str">
        <f>IFERROR(__xludf.DUMMYFUNCTION("""COMPUTED_VALUE"""),"NÃO")</f>
        <v>NÃO</v>
      </c>
      <c r="AC644" s="4" t="str">
        <f>IFERROR(__xludf.DUMMYFUNCTION("""COMPUTED_VALUE"""),"BP")</f>
        <v>BP</v>
      </c>
      <c r="AD644" s="4"/>
      <c r="AE644" s="4"/>
      <c r="AF644" s="4"/>
      <c r="AG644" s="4"/>
      <c r="AH644" s="4"/>
      <c r="AI644" s="4"/>
      <c r="AJ644" s="4"/>
      <c r="AK644" s="4"/>
      <c r="AL644" s="4"/>
      <c r="AM644" s="4" t="str">
        <f>IFERROR(__xludf.DUMMYFUNCTION("""COMPUTED_VALUE"""),"FY26")</f>
        <v>FY26</v>
      </c>
      <c r="AN644" s="4"/>
      <c r="AO644" s="4">
        <f>IFERROR(__xludf.DUMMYFUNCTION("""COMPUTED_VALUE"""),152.0)</f>
        <v>152</v>
      </c>
      <c r="AP644" s="4"/>
      <c r="AQ644" s="4"/>
      <c r="AR644" s="4"/>
      <c r="AS644" s="4">
        <f>IFERROR(__xludf.DUMMYFUNCTION("""COMPUTED_VALUE"""),0.0)</f>
        <v>0</v>
      </c>
      <c r="AT644" s="4">
        <f>IFERROR(__xludf.DUMMYFUNCTION("""COMPUTED_VALUE"""),0.0)</f>
        <v>0</v>
      </c>
      <c r="AU644" s="4" t="str">
        <f>IFERROR(__xludf.DUMMYFUNCTION("""COMPUTED_VALUE"""),"Leonardo Roso")</f>
        <v>Leonardo Roso</v>
      </c>
      <c r="AV644" s="4" t="str">
        <f>IFERROR(__xludf.DUMMYFUNCTION("""COMPUTED_VALUE"""),"Comer Fora-")</f>
        <v>Comer Fora-</v>
      </c>
      <c r="AW644" s="20" t="str">
        <f>IFERROR(__xludf.DUMMYFUNCTION("""COMPUTED_VALUE"""),"")</f>
        <v/>
      </c>
      <c r="AX644" s="4"/>
      <c r="AY644" s="4"/>
      <c r="AZ644" s="4" t="str">
        <f>IFERROR(__xludf.DUMMYFUNCTION("""COMPUTED_VALUE"""),"Lanches")</f>
        <v>Lanches</v>
      </c>
      <c r="BA644" s="4" t="str">
        <f>IFERROR(__xludf.DUMMYFUNCTION("""COMPUTED_VALUE"""),"")</f>
        <v/>
      </c>
      <c r="BB644" s="4" t="str">
        <f>IFERROR(__xludf.DUMMYFUNCTION("""COMPUTED_VALUE"""),"")</f>
        <v/>
      </c>
      <c r="BC644" s="4" t="str">
        <f>IFERROR(__xludf.DUMMYFUNCTION("""COMPUTED_VALUE"""),"")</f>
        <v/>
      </c>
      <c r="BD644" s="4" t="str">
        <f>IFERROR(__xludf.DUMMYFUNCTION("""COMPUTED_VALUE"""),"")</f>
        <v/>
      </c>
      <c r="BE644" s="4" t="str">
        <f>IFERROR(__xludf.DUMMYFUNCTION("""COMPUTED_VALUE"""),"")</f>
        <v/>
      </c>
      <c r="BF644" s="4" t="str">
        <f>IFERROR(__xludf.DUMMYFUNCTION("""COMPUTED_VALUE"""),"")</f>
        <v/>
      </c>
      <c r="BG644" s="4" t="str">
        <f>IFERROR(__xludf.DUMMYFUNCTION("""COMPUTED_VALUE"""),"")</f>
        <v/>
      </c>
      <c r="BH644" s="4" t="s">
        <v>63</v>
      </c>
      <c r="BI644" s="7" t="s">
        <v>63</v>
      </c>
    </row>
    <row r="645" hidden="1">
      <c r="A645" s="4" t="str">
        <f>IFERROR(__xludf.DUMMYFUNCTION("""COMPUTED_VALUE"""),"Najanela")</f>
        <v>Najanela</v>
      </c>
      <c r="B645" s="4" t="str">
        <f>IFERROR(__xludf.DUMMYFUNCTION("""COMPUTED_VALUE"""),"Lídia Esteves")</f>
        <v>Lídia Esteves</v>
      </c>
      <c r="C645" s="4" t="str">
        <f>IFERROR(__xludf.DUMMYFUNCTION("""COMPUTED_VALUE"""),"Gabriela Roma")</f>
        <v>Gabriela Roma</v>
      </c>
      <c r="D645" s="4" t="str">
        <f>IFERROR(__xludf.DUMMYFUNCTION("""COMPUTED_VALUE"""),"4. Diagnóstico")</f>
        <v>4. Diagnóstico</v>
      </c>
      <c r="E645" s="4" t="str">
        <f>IFERROR(__xludf.DUMMYFUNCTION("""COMPUTED_VALUE"""),"Parceiro - Em validação de proposta comercial")</f>
        <v>Parceiro - Em validação de proposta comercial</v>
      </c>
      <c r="F645" s="4" t="str">
        <f>IFERROR(__xludf.DUMMYFUNCTION("""COMPUTED_VALUE"""),"P")</f>
        <v>P</v>
      </c>
      <c r="G645" s="5">
        <f>IFERROR(__xludf.DUMMYFUNCTION("""COMPUTED_VALUE"""),46104.0)</f>
        <v>46104</v>
      </c>
      <c r="H645" s="4" t="str">
        <f>IFERROR(__xludf.DUMMYFUNCTION("""COMPUTED_VALUE"""),"Engajar parceiro novamente com Comer Fora.")</f>
        <v>Engajar parceiro novamente com Comer Fora.</v>
      </c>
      <c r="I645" s="4"/>
      <c r="J645" s="4"/>
      <c r="K645" s="6">
        <f>IFERROR(__xludf.DUMMYFUNCTION("""COMPUTED_VALUE"""),46057.644429259264)</f>
        <v>46057.64443</v>
      </c>
      <c r="L645" s="6">
        <f>IFERROR(__xludf.DUMMYFUNCTION("""COMPUTED_VALUE"""),46062.430477754635)</f>
        <v>46062.43048</v>
      </c>
      <c r="M645" s="6">
        <f>IFERROR(__xludf.DUMMYFUNCTION("""COMPUTED_VALUE"""),46065.61742138889)</f>
        <v>46065.61742</v>
      </c>
      <c r="N645" s="4"/>
      <c r="O645" s="4"/>
      <c r="P645" s="4"/>
      <c r="Q645" s="4"/>
      <c r="R645" s="4"/>
      <c r="S645" s="6">
        <f>IFERROR(__xludf.DUMMYFUNCTION("""COMPUTED_VALUE"""),46079.68297009259)</f>
        <v>46079.68297</v>
      </c>
      <c r="T645" s="4"/>
      <c r="U645" s="4"/>
      <c r="V645" s="4"/>
      <c r="W645" s="4"/>
      <c r="X645" s="4"/>
      <c r="Y645" s="4"/>
      <c r="Z645" s="4"/>
      <c r="AA645" s="4">
        <f>IFERROR(__xludf.DUMMYFUNCTION("""COMPUTED_VALUE"""),4.0)</f>
        <v>4</v>
      </c>
      <c r="AB645" s="4" t="str">
        <f>IFERROR(__xludf.DUMMYFUNCTION("""COMPUTED_VALUE"""),"Não")</f>
        <v>Não</v>
      </c>
      <c r="AC645" s="4" t="str">
        <f>IFERROR(__xludf.DUMMYFUNCTION("""COMPUTED_VALUE"""),"Não")</f>
        <v>Não</v>
      </c>
      <c r="AD645" s="4" t="str">
        <f>IFERROR(__xludf.DUMMYFUNCTION("""COMPUTED_VALUE"""),"Altec")</f>
        <v>Altec</v>
      </c>
      <c r="AE645" s="4"/>
      <c r="AF645" s="4"/>
      <c r="AG645" s="4"/>
      <c r="AH645" s="4"/>
      <c r="AI645" s="4"/>
      <c r="AJ645" s="4"/>
      <c r="AK645" s="4"/>
      <c r="AL645" s="4"/>
      <c r="AM645" s="4" t="str">
        <f>IFERROR(__xludf.DUMMYFUNCTION("""COMPUTED_VALUE"""),"FY26, FY27")</f>
        <v>FY26, FY27</v>
      </c>
      <c r="AN645" s="4"/>
      <c r="AO645" s="4">
        <f>IFERROR(__xludf.DUMMYFUNCTION("""COMPUTED_VALUE"""),110.0)</f>
        <v>110</v>
      </c>
      <c r="AP645" s="4"/>
      <c r="AQ645" s="4"/>
      <c r="AR645" s="4"/>
      <c r="AS645" s="4">
        <f>IFERROR(__xludf.DUMMYFUNCTION("""COMPUTED_VALUE"""),0.0)</f>
        <v>0</v>
      </c>
      <c r="AT645" s="4">
        <f>IFERROR(__xludf.DUMMYFUNCTION("""COMPUTED_VALUE"""),0.0)</f>
        <v>0</v>
      </c>
      <c r="AU645" s="4" t="str">
        <f>IFERROR(__xludf.DUMMYFUNCTION("""COMPUTED_VALUE"""),"Ana")</f>
        <v>Ana</v>
      </c>
      <c r="AV645" s="4">
        <f>IFERROR(__xludf.DUMMYFUNCTION("""COMPUTED_VALUE"""),0.0)</f>
        <v>0</v>
      </c>
      <c r="AW645" s="4">
        <f>IFERROR(__xludf.DUMMYFUNCTION("""COMPUTED_VALUE"""),0.0)</f>
        <v>0</v>
      </c>
      <c r="AX645" s="4">
        <f>IFERROR(__xludf.DUMMYFUNCTION("""COMPUTED_VALUE"""),0.0)</f>
        <v>0</v>
      </c>
      <c r="AY645" s="4"/>
      <c r="AZ645" s="4" t="str">
        <f>IFERROR(__xludf.DUMMYFUNCTION("""COMPUTED_VALUE"""),"NA")</f>
        <v>NA</v>
      </c>
      <c r="BA645" s="4" t="str">
        <f>IFERROR(__xludf.DUMMYFUNCTION("""COMPUTED_VALUE"""),"")</f>
        <v/>
      </c>
      <c r="BB645" s="4" t="str">
        <f>IFERROR(__xludf.DUMMYFUNCTION("""COMPUTED_VALUE"""),"")</f>
        <v/>
      </c>
      <c r="BC645" s="4" t="str">
        <f>IFERROR(__xludf.DUMMYFUNCTION("""COMPUTED_VALUE"""),"")</f>
        <v/>
      </c>
      <c r="BD645" s="4" t="str">
        <f>IFERROR(__xludf.DUMMYFUNCTION("""COMPUTED_VALUE"""),"")</f>
        <v/>
      </c>
      <c r="BE645" s="4" t="str">
        <f>IFERROR(__xludf.DUMMYFUNCTION("""COMPUTED_VALUE"""),"")</f>
        <v/>
      </c>
      <c r="BF645" s="4" t="str">
        <f>IFERROR(__xludf.DUMMYFUNCTION("""COMPUTED_VALUE"""),"")</f>
        <v/>
      </c>
      <c r="BG645" s="4" t="str">
        <f>IFERROR(__xludf.DUMMYFUNCTION("""COMPUTED_VALUE"""),"")</f>
        <v/>
      </c>
      <c r="BH645" s="4" t="s">
        <v>63</v>
      </c>
      <c r="BI645" s="7" t="s">
        <v>63</v>
      </c>
    </row>
    <row r="646" hidden="1">
      <c r="A646" s="4" t="str">
        <f>IFERROR(__xludf.DUMMYFUNCTION("""COMPUTED_VALUE"""),"Nanica")</f>
        <v>Nanica</v>
      </c>
      <c r="B646" s="4" t="str">
        <f>IFERROR(__xludf.DUMMYFUNCTION("""COMPUTED_VALUE"""),"Michel")</f>
        <v>Michel</v>
      </c>
      <c r="C646" s="4" t="str">
        <f>IFERROR(__xludf.DUMMYFUNCTION("""COMPUTED_VALUE"""),"Michel")</f>
        <v>Michel</v>
      </c>
      <c r="D646" s="4" t="str">
        <f>IFERROR(__xludf.DUMMYFUNCTION("""COMPUTED_VALUE"""),"12. Orgânico")</f>
        <v>12. Orgânico</v>
      </c>
      <c r="E646" s="4"/>
      <c r="F646" s="4" t="str">
        <f>IFERROR(__xludf.DUMMYFUNCTION("""COMPUTED_VALUE"""),"P")</f>
        <v>P</v>
      </c>
      <c r="G646" s="4"/>
      <c r="H646" s="4"/>
      <c r="I646" s="4"/>
      <c r="J646" s="4"/>
      <c r="K646" s="4"/>
      <c r="L646" s="4"/>
      <c r="M646" s="4"/>
      <c r="N646" s="4"/>
      <c r="O646" s="4"/>
      <c r="P646" s="4"/>
      <c r="Q646" s="4"/>
      <c r="R646" s="4"/>
      <c r="S646" s="4"/>
      <c r="T646" s="4"/>
      <c r="U646" s="4"/>
      <c r="V646" s="4"/>
      <c r="W646" s="4"/>
      <c r="X646" s="4"/>
      <c r="Y646" s="4"/>
      <c r="Z646" s="4"/>
      <c r="AA646" s="4">
        <f>IFERROR(__xludf.DUMMYFUNCTION("""COMPUTED_VALUE"""),7.0)</f>
        <v>7</v>
      </c>
      <c r="AB646" s="4"/>
      <c r="AC646" s="4"/>
      <c r="AD646" s="4"/>
      <c r="AE646" s="4"/>
      <c r="AF646" s="4"/>
      <c r="AG646" s="4"/>
      <c r="AH646" s="4"/>
      <c r="AI646" s="4"/>
      <c r="AJ646" s="4"/>
      <c r="AK646" s="4"/>
      <c r="AL646" s="4"/>
      <c r="AM646" s="4" t="str">
        <f>IFERROR(__xludf.DUMMYFUNCTION("""COMPUTED_VALUE"""),"Orgânico 3S")</f>
        <v>Orgânico 3S</v>
      </c>
      <c r="AN646" s="4"/>
      <c r="AO646" s="4">
        <f>IFERROR(__xludf.DUMMYFUNCTION("""COMPUTED_VALUE"""),45553.0)</f>
        <v>45553</v>
      </c>
      <c r="AP646" s="4"/>
      <c r="AQ646" s="4"/>
      <c r="AR646" s="4"/>
      <c r="AS646" s="4" t="str">
        <f>IFERROR(__xludf.DUMMYFUNCTION("""COMPUTED_VALUE"""),"VINICIUS MARTINS")</f>
        <v>VINICIUS MARTINS</v>
      </c>
      <c r="AT646" s="4" t="str">
        <f>IFERROR(__xludf.DUMMYFUNCTION("""COMPUTED_VALUE"""),"CAROLINA SOUZA")</f>
        <v>CAROLINA SOUZA</v>
      </c>
      <c r="AU646" s="4" t="str">
        <f>IFERROR(__xludf.DUMMYFUNCTION("""COMPUTED_VALUE"""),"Michel")</f>
        <v>Michel</v>
      </c>
      <c r="AV646" s="4" t="str">
        <f>IFERROR(__xludf.DUMMYFUNCTION("""COMPUTED_VALUE"""),"Comer Fora-")</f>
        <v>Comer Fora-</v>
      </c>
      <c r="AW646" s="20" t="str">
        <f>IFERROR(__xludf.DUMMYFUNCTION("""COMPUTED_VALUE"""),"P - 5 a 9 lojas")</f>
        <v>P - 5 a 9 lojas</v>
      </c>
      <c r="AX646" s="4"/>
      <c r="AY646" s="4"/>
      <c r="AZ646" s="4" t="str">
        <f>IFERROR(__xludf.DUMMYFUNCTION("""COMPUTED_VALUE"""),"Doces &amp; Bolos")</f>
        <v>Doces &amp; Bolos</v>
      </c>
      <c r="BA646" s="4" t="str">
        <f>IFERROR(__xludf.DUMMYFUNCTION("""COMPUTED_VALUE"""),"")</f>
        <v/>
      </c>
      <c r="BB646" s="4" t="str">
        <f>IFERROR(__xludf.DUMMYFUNCTION("""COMPUTED_VALUE"""),"")</f>
        <v/>
      </c>
      <c r="BC646" s="4" t="str">
        <f>IFERROR(__xludf.DUMMYFUNCTION("""COMPUTED_VALUE"""),"")</f>
        <v/>
      </c>
      <c r="BD646" s="4" t="str">
        <f>IFERROR(__xludf.DUMMYFUNCTION("""COMPUTED_VALUE"""),"")</f>
        <v/>
      </c>
      <c r="BE646" s="4" t="str">
        <f>IFERROR(__xludf.DUMMYFUNCTION("""COMPUTED_VALUE"""),"")</f>
        <v/>
      </c>
      <c r="BF646" s="4" t="str">
        <f>IFERROR(__xludf.DUMMYFUNCTION("""COMPUTED_VALUE"""),"")</f>
        <v/>
      </c>
      <c r="BG646" s="4" t="str">
        <f>IFERROR(__xludf.DUMMYFUNCTION("""COMPUTED_VALUE"""),"")</f>
        <v/>
      </c>
      <c r="BH646" s="4" t="s">
        <v>145</v>
      </c>
      <c r="BI646" s="7">
        <v>0.8936170212765957</v>
      </c>
    </row>
    <row r="647" hidden="1">
      <c r="A647" s="4" t="str">
        <f>IFERROR(__xludf.DUMMYFUNCTION("""COMPUTED_VALUE"""),"Naturale")</f>
        <v>Naturale</v>
      </c>
      <c r="B647" s="4" t="str">
        <f>IFERROR(__xludf.DUMMYFUNCTION("""COMPUTED_VALUE"""),"Michel")</f>
        <v>Michel</v>
      </c>
      <c r="C647" s="4" t="str">
        <f>IFERROR(__xludf.DUMMYFUNCTION("""COMPUTED_VALUE"""),"Michel")</f>
        <v>Michel</v>
      </c>
      <c r="D647" s="4" t="str">
        <f>IFERROR(__xludf.DUMMYFUNCTION("""COMPUTED_VALUE"""),"12. Orgânico")</f>
        <v>12. Orgânico</v>
      </c>
      <c r="E647" s="4"/>
      <c r="F647" s="4" t="str">
        <f>IFERROR(__xludf.DUMMYFUNCTION("""COMPUTED_VALUE"""),"P")</f>
        <v>P</v>
      </c>
      <c r="G647" s="4"/>
      <c r="H647" s="4"/>
      <c r="I647" s="4"/>
      <c r="J647" s="4"/>
      <c r="K647" s="6">
        <f>IFERROR(__xludf.DUMMYFUNCTION("""COMPUTED_VALUE"""),45870.0)</f>
        <v>45870</v>
      </c>
      <c r="L647" s="4"/>
      <c r="M647" s="4"/>
      <c r="N647" s="4"/>
      <c r="O647" s="4"/>
      <c r="P647" s="4"/>
      <c r="Q647" s="4"/>
      <c r="R647" s="4"/>
      <c r="S647" s="4"/>
      <c r="T647" s="6">
        <f>IFERROR(__xludf.DUMMYFUNCTION("""COMPUTED_VALUE"""),46076.60631519676)</f>
        <v>46076.60632</v>
      </c>
      <c r="U647" s="4"/>
      <c r="V647" s="4"/>
      <c r="W647" s="4"/>
      <c r="X647" s="4"/>
      <c r="Y647" s="4"/>
      <c r="Z647" s="4"/>
      <c r="AA647" s="4">
        <f>IFERROR(__xludf.DUMMYFUNCTION("""COMPUTED_VALUE"""),3.0)</f>
        <v>3</v>
      </c>
      <c r="AB647" s="4"/>
      <c r="AC647" s="4"/>
      <c r="AD647" s="4"/>
      <c r="AE647" s="4"/>
      <c r="AF647" s="4"/>
      <c r="AG647" s="4"/>
      <c r="AH647" s="4"/>
      <c r="AI647" s="4"/>
      <c r="AJ647" s="4"/>
      <c r="AK647" s="4"/>
      <c r="AL647" s="4"/>
      <c r="AM647" s="4" t="str">
        <f>IFERROR(__xludf.DUMMYFUNCTION("""COMPUTED_VALUE"""),"Orgânico 3S")</f>
        <v>Orgânico 3S</v>
      </c>
      <c r="AN647" s="4"/>
      <c r="AO647" s="4">
        <f>IFERROR(__xludf.DUMMYFUNCTION("""COMPUTED_VALUE"""),45553.0)</f>
        <v>45553</v>
      </c>
      <c r="AP647" s="4"/>
      <c r="AQ647" s="4"/>
      <c r="AR647" s="4"/>
      <c r="AS647" s="4">
        <f>IFERROR(__xludf.DUMMYFUNCTION("""COMPUTED_VALUE"""),0.0)</f>
        <v>0</v>
      </c>
      <c r="AT647" s="4">
        <f>IFERROR(__xludf.DUMMYFUNCTION("""COMPUTED_VALUE"""),0.0)</f>
        <v>0</v>
      </c>
      <c r="AU647" s="4" t="str">
        <f>IFERROR(__xludf.DUMMYFUNCTION("""COMPUTED_VALUE"""),"Michel")</f>
        <v>Michel</v>
      </c>
      <c r="AV647" s="4">
        <f>IFERROR(__xludf.DUMMYFUNCTION("""COMPUTED_VALUE"""),0.0)</f>
        <v>0</v>
      </c>
      <c r="AW647" s="4">
        <f>IFERROR(__xludf.DUMMYFUNCTION("""COMPUTED_VALUE"""),0.0)</f>
        <v>0</v>
      </c>
      <c r="AX647" s="4">
        <f>IFERROR(__xludf.DUMMYFUNCTION("""COMPUTED_VALUE"""),0.0)</f>
        <v>0</v>
      </c>
      <c r="AY647" s="4"/>
      <c r="AZ647" s="4" t="str">
        <f>IFERROR(__xludf.DUMMYFUNCTION("""COMPUTED_VALUE"""),"#N/A")</f>
        <v>#N/A</v>
      </c>
      <c r="BA647" s="4" t="str">
        <f>IFERROR(__xludf.DUMMYFUNCTION("""COMPUTED_VALUE"""),"R$ 30-55")</f>
        <v>R$ 30-55</v>
      </c>
      <c r="BB647" s="4" t="str">
        <f>IFERROR(__xludf.DUMMYFUNCTION("""COMPUTED_VALUE"""),"Retail - Produtos Naturais")</f>
        <v>Retail - Produtos Naturais</v>
      </c>
      <c r="BC647" s="4" t="str">
        <f>IFERROR(__xludf.DUMMYFUNCTION("""COMPUTED_VALUE"""),"Mogi das Cruzes e Suzano/SP")</f>
        <v>Mogi das Cruzes e Suzano/SP</v>
      </c>
      <c r="BD647" s="4" t="str">
        <f>IFERROR(__xludf.DUMMYFUNCTION("""COMPUTED_VALUE"""),"Necessário Discovery")</f>
        <v>Necessário Discovery</v>
      </c>
      <c r="BE647" s="4">
        <f>IFERROR(__xludf.DUMMYFUNCTION("""COMPUTED_VALUE"""),42.0)</f>
        <v>42</v>
      </c>
      <c r="BF647" s="4">
        <f>IFERROR(__xludf.DUMMYFUNCTION("""COMPUTED_VALUE"""),0.47)</f>
        <v>0.47</v>
      </c>
      <c r="BG647" s="4" t="str">
        <f>IFERROR(__xludf.DUMMYFUNCTION("""COMPUTED_VALUE"""),"PDV não identificado - Rede pequena local (4 lojas SP). Produtos naturais")</f>
        <v>PDV não identificado - Rede pequena local (4 lojas SP). Produtos naturais</v>
      </c>
      <c r="BH647" s="4" t="s">
        <v>63</v>
      </c>
      <c r="BI647" s="7" t="s">
        <v>63</v>
      </c>
    </row>
    <row r="648" hidden="1">
      <c r="A648" s="4" t="str">
        <f>IFERROR(__xludf.DUMMYFUNCTION("""COMPUTED_VALUE"""),"Navarro Cheesecake")</f>
        <v>Navarro Cheesecake</v>
      </c>
      <c r="B648" s="4" t="str">
        <f>IFERROR(__xludf.DUMMYFUNCTION("""COMPUTED_VALUE"""),"Iza")</f>
        <v>Iza</v>
      </c>
      <c r="C648" s="4" t="str">
        <f>IFERROR(__xludf.DUMMYFUNCTION("""COMPUTED_VALUE"""),"Iza")</f>
        <v>Iza</v>
      </c>
      <c r="D648" s="4" t="str">
        <f>IFERROR(__xludf.DUMMYFUNCTION("""COMPUTED_VALUE"""),"10. Perdido")</f>
        <v>10. Perdido</v>
      </c>
      <c r="E648" s="4" t="str">
        <f>IFERROR(__xludf.DUMMYFUNCTION("""COMPUTED_VALUE"""),"Perdido -  Momento do restaurante não favorável")</f>
        <v>Perdido -  Momento do restaurante não favorável</v>
      </c>
      <c r="F648" s="4" t="str">
        <f>IFERROR(__xludf.DUMMYFUNCTION("""COMPUTED_VALUE"""),"P")</f>
        <v>P</v>
      </c>
      <c r="G648" s="5">
        <f>IFERROR(__xludf.DUMMYFUNCTION("""COMPUTED_VALUE"""),46076.0)</f>
        <v>46076</v>
      </c>
      <c r="H648" s="4" t="str">
        <f>IFERROR(__xludf.DUMMYFUNCTION("""COMPUTED_VALUE"""),"Solução não atende sua necessidade - PERDIDO")</f>
        <v>Solução não atende sua necessidade - PERDIDO</v>
      </c>
      <c r="I648" s="4"/>
      <c r="J648" s="4"/>
      <c r="K648" s="6">
        <f>IFERROR(__xludf.DUMMYFUNCTION("""COMPUTED_VALUE"""),45905.0)</f>
        <v>45905</v>
      </c>
      <c r="L648" s="4"/>
      <c r="M648" s="4"/>
      <c r="N648" s="4"/>
      <c r="O648" s="4"/>
      <c r="P648" s="4"/>
      <c r="Q648" s="4"/>
      <c r="R648" s="6">
        <f>IFERROR(__xludf.DUMMYFUNCTION("""COMPUTED_VALUE"""),46063.38849603009)</f>
        <v>46063.3885</v>
      </c>
      <c r="S648" s="4"/>
      <c r="T648" s="4"/>
      <c r="U648" s="4"/>
      <c r="V648" s="4" t="str">
        <f>IFERROR(__xludf.DUMMYFUNCTION("""COMPUTED_VALUE"""),"Sem interesse em mudar de PDV")</f>
        <v>Sem interesse em mudar de PDV</v>
      </c>
      <c r="W648" s="4"/>
      <c r="X648" s="4"/>
      <c r="Y648" s="4"/>
      <c r="Z648" s="4"/>
      <c r="AA648" s="4">
        <f>IFERROR(__xludf.DUMMYFUNCTION("""COMPUTED_VALUE"""),2.0)</f>
        <v>2</v>
      </c>
      <c r="AB648" s="4" t="str">
        <f>IFERROR(__xludf.DUMMYFUNCTION("""COMPUTED_VALUE"""),"NÃO")</f>
        <v>NÃO</v>
      </c>
      <c r="AC648" s="4" t="str">
        <f>IFERROR(__xludf.DUMMYFUNCTION("""COMPUTED_VALUE"""),"BP")</f>
        <v>BP</v>
      </c>
      <c r="AD648" s="4"/>
      <c r="AE648" s="4"/>
      <c r="AF648" s="4"/>
      <c r="AG648" s="4"/>
      <c r="AH648" s="4"/>
      <c r="AI648" s="4"/>
      <c r="AJ648" s="4"/>
      <c r="AK648" s="4"/>
      <c r="AL648" s="4"/>
      <c r="AM648" s="4" t="str">
        <f>IFERROR(__xludf.DUMMYFUNCTION("""COMPUTED_VALUE"""),"FY26")</f>
        <v>FY26</v>
      </c>
      <c r="AN648" s="4"/>
      <c r="AO648" s="4">
        <f>IFERROR(__xludf.DUMMYFUNCTION("""COMPUTED_VALUE"""),140.0)</f>
        <v>140</v>
      </c>
      <c r="AP648" s="4"/>
      <c r="AQ648" s="4"/>
      <c r="AR648" s="4"/>
      <c r="AS648" s="4">
        <f>IFERROR(__xludf.DUMMYFUNCTION("""COMPUTED_VALUE"""),0.0)</f>
        <v>0</v>
      </c>
      <c r="AT648" s="4">
        <f>IFERROR(__xludf.DUMMYFUNCTION("""COMPUTED_VALUE"""),0.0)</f>
        <v>0</v>
      </c>
      <c r="AU648" s="4" t="str">
        <f>IFERROR(__xludf.DUMMYFUNCTION("""COMPUTED_VALUE"""),"Iza")</f>
        <v>Iza</v>
      </c>
      <c r="AV648" s="4">
        <f>IFERROR(__xludf.DUMMYFUNCTION("""COMPUTED_VALUE"""),0.0)</f>
        <v>0</v>
      </c>
      <c r="AW648" s="4">
        <f>IFERROR(__xludf.DUMMYFUNCTION("""COMPUTED_VALUE"""),0.0)</f>
        <v>0</v>
      </c>
      <c r="AX648" s="4">
        <f>IFERROR(__xludf.DUMMYFUNCTION("""COMPUTED_VALUE"""),0.0)</f>
        <v>0</v>
      </c>
      <c r="AY648" s="4"/>
      <c r="AZ648" s="4" t="str">
        <f>IFERROR(__xludf.DUMMYFUNCTION("""COMPUTED_VALUE"""),"#N/A")</f>
        <v>#N/A</v>
      </c>
      <c r="BA648" s="4" t="str">
        <f>IFERROR(__xludf.DUMMYFUNCTION("""COMPUTED_VALUE"""),"")</f>
        <v/>
      </c>
      <c r="BB648" s="4" t="str">
        <f>IFERROR(__xludf.DUMMYFUNCTION("""COMPUTED_VALUE"""),"")</f>
        <v/>
      </c>
      <c r="BC648" s="4" t="str">
        <f>IFERROR(__xludf.DUMMYFUNCTION("""COMPUTED_VALUE"""),"")</f>
        <v/>
      </c>
      <c r="BD648" s="4" t="str">
        <f>IFERROR(__xludf.DUMMYFUNCTION("""COMPUTED_VALUE"""),"")</f>
        <v/>
      </c>
      <c r="BE648" s="4" t="str">
        <f>IFERROR(__xludf.DUMMYFUNCTION("""COMPUTED_VALUE"""),"")</f>
        <v/>
      </c>
      <c r="BF648" s="4" t="str">
        <f>IFERROR(__xludf.DUMMYFUNCTION("""COMPUTED_VALUE"""),"")</f>
        <v/>
      </c>
      <c r="BG648" s="4" t="str">
        <f>IFERROR(__xludf.DUMMYFUNCTION("""COMPUTED_VALUE"""),"")</f>
        <v/>
      </c>
      <c r="BH648" s="4" t="s">
        <v>63</v>
      </c>
      <c r="BI648" s="7" t="s">
        <v>63</v>
      </c>
    </row>
    <row r="649" hidden="1">
      <c r="A649" s="4" t="str">
        <f>IFERROR(__xludf.DUMMYFUNCTION("""COMPUTED_VALUE"""),"Nectar")</f>
        <v>Nectar</v>
      </c>
      <c r="B649" s="4" t="str">
        <f>IFERROR(__xludf.DUMMYFUNCTION("""COMPUTED_VALUE"""),"Michel")</f>
        <v>Michel</v>
      </c>
      <c r="C649" s="4" t="str">
        <f>IFERROR(__xludf.DUMMYFUNCTION("""COMPUTED_VALUE"""),"Michel")</f>
        <v>Michel</v>
      </c>
      <c r="D649" s="4" t="str">
        <f>IFERROR(__xludf.DUMMYFUNCTION("""COMPUTED_VALUE"""),"12. Orgânico")</f>
        <v>12. Orgânico</v>
      </c>
      <c r="E649" s="4"/>
      <c r="F649" s="4" t="str">
        <f>IFERROR(__xludf.DUMMYFUNCTION("""COMPUTED_VALUE"""),"P")</f>
        <v>P</v>
      </c>
      <c r="G649" s="4"/>
      <c r="H649" s="4"/>
      <c r="I649" s="4"/>
      <c r="J649" s="4"/>
      <c r="K649" s="4"/>
      <c r="L649" s="4"/>
      <c r="M649" s="4"/>
      <c r="N649" s="4"/>
      <c r="O649" s="4"/>
      <c r="P649" s="4"/>
      <c r="Q649" s="4"/>
      <c r="R649" s="4"/>
      <c r="S649" s="4"/>
      <c r="T649" s="4"/>
      <c r="U649" s="4"/>
      <c r="V649" s="4"/>
      <c r="W649" s="4"/>
      <c r="X649" s="4"/>
      <c r="Y649" s="4"/>
      <c r="Z649" s="4"/>
      <c r="AA649" s="4">
        <f>IFERROR(__xludf.DUMMYFUNCTION("""COMPUTED_VALUE"""),3.0)</f>
        <v>3</v>
      </c>
      <c r="AB649" s="4"/>
      <c r="AC649" s="4"/>
      <c r="AD649" s="4"/>
      <c r="AE649" s="4"/>
      <c r="AF649" s="4"/>
      <c r="AG649" s="4"/>
      <c r="AH649" s="4"/>
      <c r="AI649" s="4"/>
      <c r="AJ649" s="4"/>
      <c r="AK649" s="4"/>
      <c r="AL649" s="4"/>
      <c r="AM649" s="4" t="str">
        <f>IFERROR(__xludf.DUMMYFUNCTION("""COMPUTED_VALUE"""),"Orgânico 3S")</f>
        <v>Orgânico 3S</v>
      </c>
      <c r="AN649" s="4"/>
      <c r="AO649" s="4">
        <f>IFERROR(__xludf.DUMMYFUNCTION("""COMPUTED_VALUE"""),45553.0)</f>
        <v>45553</v>
      </c>
      <c r="AP649" s="4"/>
      <c r="AQ649" s="4"/>
      <c r="AR649" s="4"/>
      <c r="AS649" s="4">
        <f>IFERROR(__xludf.DUMMYFUNCTION("""COMPUTED_VALUE"""),0.0)</f>
        <v>0</v>
      </c>
      <c r="AT649" s="4">
        <f>IFERROR(__xludf.DUMMYFUNCTION("""COMPUTED_VALUE"""),0.0)</f>
        <v>0</v>
      </c>
      <c r="AU649" s="4" t="str">
        <f>IFERROR(__xludf.DUMMYFUNCTION("""COMPUTED_VALUE"""),"Michel")</f>
        <v>Michel</v>
      </c>
      <c r="AV649" s="4">
        <f>IFERROR(__xludf.DUMMYFUNCTION("""COMPUTED_VALUE"""),0.0)</f>
        <v>0</v>
      </c>
      <c r="AW649" s="4">
        <f>IFERROR(__xludf.DUMMYFUNCTION("""COMPUTED_VALUE"""),0.0)</f>
        <v>0</v>
      </c>
      <c r="AX649" s="4">
        <f>IFERROR(__xludf.DUMMYFUNCTION("""COMPUTED_VALUE"""),0.0)</f>
        <v>0</v>
      </c>
      <c r="AY649" s="4"/>
      <c r="AZ649" s="4">
        <f>IFERROR(__xludf.DUMMYFUNCTION("""COMPUTED_VALUE"""),0.0)</f>
        <v>0</v>
      </c>
      <c r="BA649" s="4" t="str">
        <f>IFERROR(__xludf.DUMMYFUNCTION("""COMPUTED_VALUE"""),"")</f>
        <v/>
      </c>
      <c r="BB649" s="4" t="str">
        <f>IFERROR(__xludf.DUMMYFUNCTION("""COMPUTED_VALUE"""),"")</f>
        <v/>
      </c>
      <c r="BC649" s="4" t="str">
        <f>IFERROR(__xludf.DUMMYFUNCTION("""COMPUTED_VALUE"""),"")</f>
        <v/>
      </c>
      <c r="BD649" s="4" t="str">
        <f>IFERROR(__xludf.DUMMYFUNCTION("""COMPUTED_VALUE"""),"")</f>
        <v/>
      </c>
      <c r="BE649" s="4" t="str">
        <f>IFERROR(__xludf.DUMMYFUNCTION("""COMPUTED_VALUE"""),"")</f>
        <v/>
      </c>
      <c r="BF649" s="4" t="str">
        <f>IFERROR(__xludf.DUMMYFUNCTION("""COMPUTED_VALUE"""),"")</f>
        <v/>
      </c>
      <c r="BG649" s="4" t="str">
        <f>IFERROR(__xludf.DUMMYFUNCTION("""COMPUTED_VALUE"""),"")</f>
        <v/>
      </c>
      <c r="BH649" s="4" t="s">
        <v>63</v>
      </c>
      <c r="BI649" s="7" t="s">
        <v>63</v>
      </c>
    </row>
    <row r="650" hidden="1">
      <c r="A650" s="4" t="str">
        <f>IFERROR(__xludf.DUMMYFUNCTION("""COMPUTED_VALUE"""),"Nema Padaria")</f>
        <v>Nema Padaria</v>
      </c>
      <c r="B650" s="4" t="str">
        <f>IFERROR(__xludf.DUMMYFUNCTION("""COMPUTED_VALUE"""),"Michel")</f>
        <v>Michel</v>
      </c>
      <c r="C650" s="4" t="str">
        <f>IFERROR(__xludf.DUMMYFUNCTION("""COMPUTED_VALUE"""),"Michel")</f>
        <v>Michel</v>
      </c>
      <c r="D650" s="4" t="str">
        <f>IFERROR(__xludf.DUMMYFUNCTION("""COMPUTED_VALUE"""),"9. Contrato assinado")</f>
        <v>9. Contrato assinado</v>
      </c>
      <c r="E650" s="4" t="str">
        <f>IFERROR(__xludf.DUMMYFUNCTION("""COMPUTED_VALUE"""),"Projetos - Contrato assinado mas com trava técnica")</f>
        <v>Projetos - Contrato assinado mas com trava técnica</v>
      </c>
      <c r="F650" s="4" t="str">
        <f>IFERROR(__xludf.DUMMYFUNCTION("""COMPUTED_VALUE"""),"M")</f>
        <v>M</v>
      </c>
      <c r="G650" s="4"/>
      <c r="H650" s="4" t="str">
        <f>IFERROR(__xludf.DUMMYFUNCTION("""COMPUTED_VALUE"""),"Fizemos reuniã 23/02 para alinhar próximos passoas e iremos fazer 5 lojas próprias na primeira quinzena de março,As travas tecnicas eram : Inventario e integraçaõ via BI com dados legados")</f>
        <v>Fizemos reuniã 23/02 para alinhar próximos passoas e iremos fazer 5 lojas próprias na primeira quinzena de março,As travas tecnicas eram : Inventario e integraçaõ via BI com dados legados</v>
      </c>
      <c r="I650" s="4"/>
      <c r="J650" s="4"/>
      <c r="K650" s="6">
        <f>IFERROR(__xludf.DUMMYFUNCTION("""COMPUTED_VALUE"""),45899.0)</f>
        <v>45899</v>
      </c>
      <c r="L650" s="4"/>
      <c r="M650" s="4"/>
      <c r="N650" s="4"/>
      <c r="O650" s="4"/>
      <c r="P650" s="4"/>
      <c r="Q650" s="4"/>
      <c r="R650" s="4"/>
      <c r="S650" s="4"/>
      <c r="T650" s="4"/>
      <c r="U650" s="4"/>
      <c r="V650" s="4"/>
      <c r="W650" s="4"/>
      <c r="X650" s="4"/>
      <c r="Y650" s="4"/>
      <c r="Z650" s="4"/>
      <c r="AA650" s="4">
        <f>IFERROR(__xludf.DUMMYFUNCTION("""COMPUTED_VALUE"""),30.0)</f>
        <v>30</v>
      </c>
      <c r="AB650" s="4"/>
      <c r="AC650" s="4"/>
      <c r="AD650" s="4"/>
      <c r="AE650" s="4"/>
      <c r="AF650" s="4"/>
      <c r="AG650" s="4"/>
      <c r="AH650" s="4"/>
      <c r="AI650" s="4"/>
      <c r="AJ650" s="4"/>
      <c r="AK650" s="4"/>
      <c r="AL650" s="4"/>
      <c r="AM650" s="4" t="str">
        <f>IFERROR(__xludf.DUMMYFUNCTION("""COMPUTED_VALUE"""),"FY26")</f>
        <v>FY26</v>
      </c>
      <c r="AN650" s="4"/>
      <c r="AO650" s="4">
        <f>IFERROR(__xludf.DUMMYFUNCTION("""COMPUTED_VALUE"""),45553.0)</f>
        <v>45553</v>
      </c>
      <c r="AP650" s="4"/>
      <c r="AQ650" s="4"/>
      <c r="AR650" s="4"/>
      <c r="AS650" s="4">
        <f>IFERROR(__xludf.DUMMYFUNCTION("""COMPUTED_VALUE"""),0.0)</f>
        <v>0</v>
      </c>
      <c r="AT650" s="4">
        <f>IFERROR(__xludf.DUMMYFUNCTION("""COMPUTED_VALUE"""),0.0)</f>
        <v>0</v>
      </c>
      <c r="AU650" s="4" t="str">
        <f>IFERROR(__xludf.DUMMYFUNCTION("""COMPUTED_VALUE"""),"Michel")</f>
        <v>Michel</v>
      </c>
      <c r="AV650" s="4">
        <f>IFERROR(__xludf.DUMMYFUNCTION("""COMPUTED_VALUE"""),0.0)</f>
        <v>0</v>
      </c>
      <c r="AW650" s="4">
        <f>IFERROR(__xludf.DUMMYFUNCTION("""COMPUTED_VALUE"""),0.0)</f>
        <v>0</v>
      </c>
      <c r="AX650" s="4">
        <f>IFERROR(__xludf.DUMMYFUNCTION("""COMPUTED_VALUE"""),0.0)</f>
        <v>0</v>
      </c>
      <c r="AY650" s="4">
        <f>IFERROR(__xludf.DUMMYFUNCTION("""COMPUTED_VALUE"""),0.0)</f>
        <v>0</v>
      </c>
      <c r="AZ650" s="4" t="str">
        <f>IFERROR(__xludf.DUMMYFUNCTION("""COMPUTED_VALUE"""),"#N/A")</f>
        <v>#N/A</v>
      </c>
      <c r="BA650" s="4" t="str">
        <f>IFERROR(__xludf.DUMMYFUNCTION("""COMPUTED_VALUE"""),"")</f>
        <v/>
      </c>
      <c r="BB650" s="4" t="str">
        <f>IFERROR(__xludf.DUMMYFUNCTION("""COMPUTED_VALUE"""),"")</f>
        <v/>
      </c>
      <c r="BC650" s="4" t="str">
        <f>IFERROR(__xludf.DUMMYFUNCTION("""COMPUTED_VALUE"""),"")</f>
        <v/>
      </c>
      <c r="BD650" s="4" t="str">
        <f>IFERROR(__xludf.DUMMYFUNCTION("""COMPUTED_VALUE"""),"")</f>
        <v/>
      </c>
      <c r="BE650" s="4" t="str">
        <f>IFERROR(__xludf.DUMMYFUNCTION("""COMPUTED_VALUE"""),"")</f>
        <v/>
      </c>
      <c r="BF650" s="4" t="str">
        <f>IFERROR(__xludf.DUMMYFUNCTION("""COMPUTED_VALUE"""),"")</f>
        <v/>
      </c>
      <c r="BG650" s="4" t="str">
        <f>IFERROR(__xludf.DUMMYFUNCTION("""COMPUTED_VALUE"""),"")</f>
        <v/>
      </c>
      <c r="BH650" s="4" t="s">
        <v>63</v>
      </c>
      <c r="BI650" s="7" t="s">
        <v>63</v>
      </c>
    </row>
    <row r="651" hidden="1">
      <c r="A651" s="4" t="str">
        <f>IFERROR(__xludf.DUMMYFUNCTION("""COMPUTED_VALUE"""),"Nero Gelato")</f>
        <v>Nero Gelato</v>
      </c>
      <c r="B651" s="4" t="str">
        <f>IFERROR(__xludf.DUMMYFUNCTION("""COMPUTED_VALUE"""),"Michel")</f>
        <v>Michel</v>
      </c>
      <c r="C651" s="4" t="str">
        <f>IFERROR(__xludf.DUMMYFUNCTION("""COMPUTED_VALUE"""),"Michel")</f>
        <v>Michel</v>
      </c>
      <c r="D651" s="4" t="str">
        <f>IFERROR(__xludf.DUMMYFUNCTION("""COMPUTED_VALUE"""),"12. Orgânico")</f>
        <v>12. Orgânico</v>
      </c>
      <c r="E651" s="4"/>
      <c r="F651" s="4" t="str">
        <f>IFERROR(__xludf.DUMMYFUNCTION("""COMPUTED_VALUE"""),"P")</f>
        <v>P</v>
      </c>
      <c r="G651" s="4"/>
      <c r="H651" s="4"/>
      <c r="I651" s="4"/>
      <c r="J651" s="4"/>
      <c r="K651" s="6">
        <f>IFERROR(__xludf.DUMMYFUNCTION("""COMPUTED_VALUE"""),45807.0)</f>
        <v>45807</v>
      </c>
      <c r="L651" s="4"/>
      <c r="M651" s="4"/>
      <c r="N651" s="6">
        <f>IFERROR(__xludf.DUMMYFUNCTION("""COMPUTED_VALUE"""),45930.0)</f>
        <v>45930</v>
      </c>
      <c r="O651" s="4"/>
      <c r="P651" s="4"/>
      <c r="Q651" s="6">
        <f>IFERROR(__xludf.DUMMYFUNCTION("""COMPUTED_VALUE"""),45930.0)</f>
        <v>45930</v>
      </c>
      <c r="R651" s="4"/>
      <c r="S651" s="4"/>
      <c r="T651" s="6">
        <f>IFERROR(__xludf.DUMMYFUNCTION("""COMPUTED_VALUE"""),46076.60636052083)</f>
        <v>46076.60636</v>
      </c>
      <c r="U651" s="4"/>
      <c r="V651" s="4"/>
      <c r="W651" s="4"/>
      <c r="X651" s="4"/>
      <c r="Y651" s="4"/>
      <c r="Z651" s="4"/>
      <c r="AA651" s="4">
        <f>IFERROR(__xludf.DUMMYFUNCTION("""COMPUTED_VALUE"""),7.0)</f>
        <v>7</v>
      </c>
      <c r="AB651" s="4"/>
      <c r="AC651" s="4"/>
      <c r="AD651" s="4"/>
      <c r="AE651" s="4"/>
      <c r="AF651" s="4"/>
      <c r="AG651" s="4"/>
      <c r="AH651" s="4"/>
      <c r="AI651" s="4"/>
      <c r="AJ651" s="4"/>
      <c r="AK651" s="4"/>
      <c r="AL651" s="4"/>
      <c r="AM651" s="4" t="str">
        <f>IFERROR(__xludf.DUMMYFUNCTION("""COMPUTED_VALUE"""),"Orgânico 3S")</f>
        <v>Orgânico 3S</v>
      </c>
      <c r="AN651" s="4"/>
      <c r="AO651" s="4">
        <f>IFERROR(__xludf.DUMMYFUNCTION("""COMPUTED_VALUE"""),45553.0)</f>
        <v>45553</v>
      </c>
      <c r="AP651" s="4"/>
      <c r="AQ651" s="4"/>
      <c r="AR651" s="4"/>
      <c r="AS651" s="4">
        <f>IFERROR(__xludf.DUMMYFUNCTION("""COMPUTED_VALUE"""),0.0)</f>
        <v>0</v>
      </c>
      <c r="AT651" s="4">
        <f>IFERROR(__xludf.DUMMYFUNCTION("""COMPUTED_VALUE"""),0.0)</f>
        <v>0</v>
      </c>
      <c r="AU651" s="4" t="str">
        <f>IFERROR(__xludf.DUMMYFUNCTION("""COMPUTED_VALUE"""),"Michel")</f>
        <v>Michel</v>
      </c>
      <c r="AV651" s="4">
        <f>IFERROR(__xludf.DUMMYFUNCTION("""COMPUTED_VALUE"""),0.0)</f>
        <v>0</v>
      </c>
      <c r="AW651" s="4">
        <f>IFERROR(__xludf.DUMMYFUNCTION("""COMPUTED_VALUE"""),0.0)</f>
        <v>0</v>
      </c>
      <c r="AX651" s="4">
        <f>IFERROR(__xludf.DUMMYFUNCTION("""COMPUTED_VALUE"""),0.0)</f>
        <v>0</v>
      </c>
      <c r="AY651" s="4"/>
      <c r="AZ651" s="4">
        <f>IFERROR(__xludf.DUMMYFUNCTION("""COMPUTED_VALUE"""),0.0)</f>
        <v>0</v>
      </c>
      <c r="BA651" s="4" t="str">
        <f>IFERROR(__xludf.DUMMYFUNCTION("""COMPUTED_VALUE"""),"")</f>
        <v/>
      </c>
      <c r="BB651" s="4" t="str">
        <f>IFERROR(__xludf.DUMMYFUNCTION("""COMPUTED_VALUE"""),"")</f>
        <v/>
      </c>
      <c r="BC651" s="4" t="str">
        <f>IFERROR(__xludf.DUMMYFUNCTION("""COMPUTED_VALUE"""),"")</f>
        <v/>
      </c>
      <c r="BD651" s="4" t="str">
        <f>IFERROR(__xludf.DUMMYFUNCTION("""COMPUTED_VALUE"""),"")</f>
        <v/>
      </c>
      <c r="BE651" s="4" t="str">
        <f>IFERROR(__xludf.DUMMYFUNCTION("""COMPUTED_VALUE"""),"")</f>
        <v/>
      </c>
      <c r="BF651" s="4" t="str">
        <f>IFERROR(__xludf.DUMMYFUNCTION("""COMPUTED_VALUE"""),"")</f>
        <v/>
      </c>
      <c r="BG651" s="4" t="str">
        <f>IFERROR(__xludf.DUMMYFUNCTION("""COMPUTED_VALUE"""),"")</f>
        <v/>
      </c>
      <c r="BH651" s="4" t="s">
        <v>63</v>
      </c>
      <c r="BI651" s="7" t="s">
        <v>63</v>
      </c>
    </row>
    <row r="652" hidden="1">
      <c r="A652" s="4" t="str">
        <f>IFERROR(__xludf.DUMMYFUNCTION("""COMPUTED_VALUE"""),"Nippon")</f>
        <v>Nippon</v>
      </c>
      <c r="B652" s="4" t="str">
        <f>IFERROR(__xludf.DUMMYFUNCTION("""COMPUTED_VALUE"""),"Emerson")</f>
        <v>Emerson</v>
      </c>
      <c r="C652" s="4" t="str">
        <f>IFERROR(__xludf.DUMMYFUNCTION("""COMPUTED_VALUE"""),"Emerson")</f>
        <v>Emerson</v>
      </c>
      <c r="D652" s="4" t="str">
        <f>IFERROR(__xludf.DUMMYFUNCTION("""COMPUTED_VALUE"""),"13. Reativado")</f>
        <v>13. Reativado</v>
      </c>
      <c r="E652" s="4" t="str">
        <f>IFERROR(__xludf.DUMMYFUNCTION("""COMPUTED_VALUE"""),"Perdido - Fechou com concorrente")</f>
        <v>Perdido - Fechou com concorrente</v>
      </c>
      <c r="F652" s="4" t="str">
        <f>IFERROR(__xludf.DUMMYFUNCTION("""COMPUTED_VALUE"""),"P")</f>
        <v>P</v>
      </c>
      <c r="G652" s="4"/>
      <c r="H652" s="4" t="str">
        <f>IFERROR(__xludf.DUMMYFUNCTION("""COMPUTED_VALUE"""),"Cliente fechou contrato e depois desistiu de implementar pois acho o produto muito complexo")</f>
        <v>Cliente fechou contrato e depois desistiu de implementar pois acho o produto muito complexo</v>
      </c>
      <c r="I652" s="4"/>
      <c r="J652" s="4"/>
      <c r="K652" s="6">
        <f>IFERROR(__xludf.DUMMYFUNCTION("""COMPUTED_VALUE"""),45807.0)</f>
        <v>45807</v>
      </c>
      <c r="L652" s="4"/>
      <c r="M652" s="4"/>
      <c r="N652" s="4"/>
      <c r="O652" s="4"/>
      <c r="P652" s="4"/>
      <c r="Q652" s="4"/>
      <c r="R652" s="6">
        <f>IFERROR(__xludf.DUMMYFUNCTION("""COMPUTED_VALUE"""),46076.66324016204)</f>
        <v>46076.66324</v>
      </c>
      <c r="S652" s="6">
        <f>IFERROR(__xludf.DUMMYFUNCTION("""COMPUTED_VALUE"""),46118.59025064815)</f>
        <v>46118.59025</v>
      </c>
      <c r="T652" s="4"/>
      <c r="U652" s="6">
        <f>IFERROR(__xludf.DUMMYFUNCTION("""COMPUTED_VALUE"""),46118.59449483796)</f>
        <v>46118.59449</v>
      </c>
      <c r="V652" s="4"/>
      <c r="W652" s="4"/>
      <c r="X652" s="4"/>
      <c r="Y652" s="4"/>
      <c r="Z652" s="4"/>
      <c r="AA652" s="4">
        <f>IFERROR(__xludf.DUMMYFUNCTION("""COMPUTED_VALUE"""),1.0)</f>
        <v>1</v>
      </c>
      <c r="AB652" s="4"/>
      <c r="AC652" s="4"/>
      <c r="AD652" s="4"/>
      <c r="AE652" s="4"/>
      <c r="AF652" s="4"/>
      <c r="AG652" s="4"/>
      <c r="AH652" s="4"/>
      <c r="AI652" s="4"/>
      <c r="AJ652" s="4"/>
      <c r="AK652" s="4"/>
      <c r="AL652" s="4"/>
      <c r="AM652" s="4" t="str">
        <f>IFERROR(__xludf.DUMMYFUNCTION("""COMPUTED_VALUE"""),"FY26")</f>
        <v>FY26</v>
      </c>
      <c r="AN652" s="4"/>
      <c r="AO652" s="4">
        <f>IFERROR(__xludf.DUMMYFUNCTION("""COMPUTED_VALUE"""),45553.0)</f>
        <v>45553</v>
      </c>
      <c r="AP652" s="4"/>
      <c r="AQ652" s="4"/>
      <c r="AR652" s="4"/>
      <c r="AS652" s="4">
        <f>IFERROR(__xludf.DUMMYFUNCTION("""COMPUTED_VALUE"""),0.0)</f>
        <v>0</v>
      </c>
      <c r="AT652" s="4">
        <f>IFERROR(__xludf.DUMMYFUNCTION("""COMPUTED_VALUE"""),0.0)</f>
        <v>0</v>
      </c>
      <c r="AU652" s="4" t="str">
        <f>IFERROR(__xludf.DUMMYFUNCTION("""COMPUTED_VALUE"""),"Michel")</f>
        <v>Michel</v>
      </c>
      <c r="AV652" s="4">
        <f>IFERROR(__xludf.DUMMYFUNCTION("""COMPUTED_VALUE"""),0.0)</f>
        <v>0</v>
      </c>
      <c r="AW652" s="4">
        <f>IFERROR(__xludf.DUMMYFUNCTION("""COMPUTED_VALUE"""),0.0)</f>
        <v>0</v>
      </c>
      <c r="AX652" s="4">
        <f>IFERROR(__xludf.DUMMYFUNCTION("""COMPUTED_VALUE"""),0.0)</f>
        <v>0</v>
      </c>
      <c r="AY652" s="4"/>
      <c r="AZ652" s="4" t="str">
        <f>IFERROR(__xludf.DUMMYFUNCTION("""COMPUTED_VALUE"""),"Japonesa")</f>
        <v>Japonesa</v>
      </c>
      <c r="BA652" s="4" t="str">
        <f>IFERROR(__xludf.DUMMYFUNCTION("""COMPUTED_VALUE"""),"")</f>
        <v/>
      </c>
      <c r="BB652" s="4" t="str">
        <f>IFERROR(__xludf.DUMMYFUNCTION("""COMPUTED_VALUE"""),"")</f>
        <v/>
      </c>
      <c r="BC652" s="4" t="str">
        <f>IFERROR(__xludf.DUMMYFUNCTION("""COMPUTED_VALUE"""),"")</f>
        <v/>
      </c>
      <c r="BD652" s="4" t="str">
        <f>IFERROR(__xludf.DUMMYFUNCTION("""COMPUTED_VALUE"""),"")</f>
        <v/>
      </c>
      <c r="BE652" s="4" t="str">
        <f>IFERROR(__xludf.DUMMYFUNCTION("""COMPUTED_VALUE"""),"")</f>
        <v/>
      </c>
      <c r="BF652" s="4" t="str">
        <f>IFERROR(__xludf.DUMMYFUNCTION("""COMPUTED_VALUE"""),"")</f>
        <v/>
      </c>
      <c r="BG652" s="4" t="str">
        <f>IFERROR(__xludf.DUMMYFUNCTION("""COMPUTED_VALUE"""),"")</f>
        <v/>
      </c>
      <c r="BH652" s="4" t="s">
        <v>130</v>
      </c>
      <c r="BI652" s="7">
        <v>1.0</v>
      </c>
    </row>
    <row r="653" hidden="1">
      <c r="A653" s="4" t="str">
        <f>IFERROR(__xludf.DUMMYFUNCTION("""COMPUTED_VALUE"""),"Nou")</f>
        <v>Nou</v>
      </c>
      <c r="B653" s="4" t="str">
        <f>IFERROR(__xludf.DUMMYFUNCTION("""COMPUTED_VALUE"""),"Ana")</f>
        <v>Ana</v>
      </c>
      <c r="C653" s="4" t="str">
        <f>IFERROR(__xludf.DUMMYFUNCTION("""COMPUTED_VALUE"""),"Ana")</f>
        <v>Ana</v>
      </c>
      <c r="D653" s="4" t="str">
        <f>IFERROR(__xludf.DUMMYFUNCTION("""COMPUTED_VALUE"""),"10. Perdido")</f>
        <v>10. Perdido</v>
      </c>
      <c r="E653" s="4" t="str">
        <f>IFERROR(__xludf.DUMMYFUNCTION("""COMPUTED_VALUE"""),"Perdido -  Momento do restaurante não favorável")</f>
        <v>Perdido -  Momento do restaurante não favorável</v>
      </c>
      <c r="F653" s="4" t="str">
        <f>IFERROR(__xludf.DUMMYFUNCTION("""COMPUTED_VALUE"""),"P")</f>
        <v>P</v>
      </c>
      <c r="G653" s="5">
        <f>IFERROR(__xludf.DUMMYFUNCTION("""COMPUTED_VALUE"""),46076.0)</f>
        <v>46076</v>
      </c>
      <c r="H653" s="4" t="str">
        <f>IFERROR(__xludf.DUMMYFUNCTION("""COMPUTED_VALUE"""),"Parceiro possui sistema funcional e barato, sem interesse em mudar.")</f>
        <v>Parceiro possui sistema funcional e barato, sem interesse em mudar.</v>
      </c>
      <c r="I653" s="4"/>
      <c r="J653" s="4"/>
      <c r="K653" s="6">
        <f>IFERROR(__xludf.DUMMYFUNCTION("""COMPUTED_VALUE"""),45910.0)</f>
        <v>45910</v>
      </c>
      <c r="L653" s="4"/>
      <c r="M653" s="4"/>
      <c r="N653" s="4"/>
      <c r="O653" s="4"/>
      <c r="P653" s="4"/>
      <c r="Q653" s="4"/>
      <c r="R653" s="6">
        <f>IFERROR(__xludf.DUMMYFUNCTION("""COMPUTED_VALUE"""),45910.0)</f>
        <v>45910</v>
      </c>
      <c r="S653" s="4"/>
      <c r="T653" s="4"/>
      <c r="U653" s="4"/>
      <c r="V653" s="4" t="str">
        <f>IFERROR(__xludf.DUMMYFUNCTION("""COMPUTED_VALUE"""),"Sem interesse em mudar de PDV")</f>
        <v>Sem interesse em mudar de PDV</v>
      </c>
      <c r="W653" s="4"/>
      <c r="X653" s="4"/>
      <c r="Y653" s="4"/>
      <c r="Z653" s="4"/>
      <c r="AA653" s="4">
        <f>IFERROR(__xludf.DUMMYFUNCTION("""COMPUTED_VALUE"""),5.0)</f>
        <v>5</v>
      </c>
      <c r="AB653" s="4" t="str">
        <f>IFERROR(__xludf.DUMMYFUNCTION("""COMPUTED_VALUE"""),"NÃO")</f>
        <v>NÃO</v>
      </c>
      <c r="AC653" s="4" t="str">
        <f>IFERROR(__xludf.DUMMYFUNCTION("""COMPUTED_VALUE"""),"BP")</f>
        <v>BP</v>
      </c>
      <c r="AD653" s="4"/>
      <c r="AE653" s="4"/>
      <c r="AF653" s="4"/>
      <c r="AG653" s="4"/>
      <c r="AH653" s="4"/>
      <c r="AI653" s="4"/>
      <c r="AJ653" s="4"/>
      <c r="AK653" s="4"/>
      <c r="AL653" s="4"/>
      <c r="AM653" s="4" t="str">
        <f>IFERROR(__xludf.DUMMYFUNCTION("""COMPUTED_VALUE"""),"FY26")</f>
        <v>FY26</v>
      </c>
      <c r="AN653" s="4" t="str">
        <f>IFERROR(__xludf.DUMMYFUNCTION("""COMPUTED_VALUE"""),"Comer Fora")</f>
        <v>Comer Fora</v>
      </c>
      <c r="AO653" s="4">
        <f>IFERROR(__xludf.DUMMYFUNCTION("""COMPUTED_VALUE"""),140.0)</f>
        <v>140</v>
      </c>
      <c r="AP653" s="4"/>
      <c r="AQ653" s="4"/>
      <c r="AR653" s="4"/>
      <c r="AS653" s="4" t="str">
        <f>IFERROR(__xludf.DUMMYFUNCTION("""COMPUTED_VALUE"""),"NATHALIE MERTENS")</f>
        <v>NATHALIE MERTENS</v>
      </c>
      <c r="AT653" s="4" t="str">
        <f>IFERROR(__xludf.DUMMYFUNCTION("""COMPUTED_VALUE"""),"MARIANA KATZ")</f>
        <v>MARIANA KATZ</v>
      </c>
      <c r="AU653" s="4" t="str">
        <f>IFERROR(__xludf.DUMMYFUNCTION("""COMPUTED_VALUE"""),"Ana")</f>
        <v>Ana</v>
      </c>
      <c r="AV653" s="4">
        <f>IFERROR(__xludf.DUMMYFUNCTION("""COMPUTED_VALUE"""),0.0)</f>
        <v>0</v>
      </c>
      <c r="AW653" s="4">
        <f>IFERROR(__xludf.DUMMYFUNCTION("""COMPUTED_VALUE"""),0.0)</f>
        <v>0</v>
      </c>
      <c r="AX653" s="4">
        <f>IFERROR(__xludf.DUMMYFUNCTION("""COMPUTED_VALUE"""),0.0)</f>
        <v>0</v>
      </c>
      <c r="AY653" s="4"/>
      <c r="AZ653" s="4" t="str">
        <f>IFERROR(__xludf.DUMMYFUNCTION("""COMPUTED_VALUE"""),"Japonesa")</f>
        <v>Japonesa</v>
      </c>
      <c r="BA653" s="4" t="str">
        <f>IFERROR(__xludf.DUMMYFUNCTION("""COMPUTED_VALUE"""),"")</f>
        <v/>
      </c>
      <c r="BB653" s="4" t="str">
        <f>IFERROR(__xludf.DUMMYFUNCTION("""COMPUTED_VALUE"""),"")</f>
        <v/>
      </c>
      <c r="BC653" s="4" t="str">
        <f>IFERROR(__xludf.DUMMYFUNCTION("""COMPUTED_VALUE"""),"")</f>
        <v/>
      </c>
      <c r="BD653" s="4" t="str">
        <f>IFERROR(__xludf.DUMMYFUNCTION("""COMPUTED_VALUE"""),"")</f>
        <v/>
      </c>
      <c r="BE653" s="4" t="str">
        <f>IFERROR(__xludf.DUMMYFUNCTION("""COMPUTED_VALUE"""),"")</f>
        <v/>
      </c>
      <c r="BF653" s="4" t="str">
        <f>IFERROR(__xludf.DUMMYFUNCTION("""COMPUTED_VALUE"""),"")</f>
        <v/>
      </c>
      <c r="BG653" s="4" t="str">
        <f>IFERROR(__xludf.DUMMYFUNCTION("""COMPUTED_VALUE"""),"")</f>
        <v/>
      </c>
      <c r="BH653" s="4" t="s">
        <v>150</v>
      </c>
      <c r="BI653" s="7">
        <v>1.0</v>
      </c>
    </row>
    <row r="654">
      <c r="A654" s="4" t="str">
        <f>IFERROR(__xludf.DUMMYFUNCTION("""COMPUTED_VALUE"""),"O Burguês")</f>
        <v>O Burguês</v>
      </c>
      <c r="B654" s="4" t="str">
        <f>IFERROR(__xludf.DUMMYFUNCTION("""COMPUTED_VALUE"""),"Leonardo Roso")</f>
        <v>Leonardo Roso</v>
      </c>
      <c r="C654" s="4" t="str">
        <f>IFERROR(__xludf.DUMMYFUNCTION("""COMPUTED_VALUE"""),"Leonardo Roso")</f>
        <v>Leonardo Roso</v>
      </c>
      <c r="D654" s="4" t="str">
        <f>IFERROR(__xludf.DUMMYFUNCTION("""COMPUTED_VALUE"""),"9. Contrato assinado")</f>
        <v>9. Contrato assinado</v>
      </c>
      <c r="E654" s="4" t="str">
        <f>IFERROR(__xludf.DUMMYFUNCTION("""COMPUTED_VALUE"""),"Projetos - Contrato assinado mas com trava técnica")</f>
        <v>Projetos - Contrato assinado mas com trava técnica</v>
      </c>
      <c r="F654" s="4" t="str">
        <f>IFERROR(__xludf.DUMMYFUNCTION("""COMPUTED_VALUE"""),"G")</f>
        <v>G</v>
      </c>
      <c r="G654" s="4"/>
      <c r="H654" s="4"/>
      <c r="I654" s="4"/>
      <c r="J654" s="4"/>
      <c r="K654" s="6">
        <f>IFERROR(__xludf.DUMMYFUNCTION("""COMPUTED_VALUE"""),45870.0)</f>
        <v>45870</v>
      </c>
      <c r="L654" s="4"/>
      <c r="M654" s="4"/>
      <c r="N654" s="6">
        <f>IFERROR(__xludf.DUMMYFUNCTION("""COMPUTED_VALUE"""),46031.0)</f>
        <v>46031</v>
      </c>
      <c r="O654" s="4"/>
      <c r="P654" s="4"/>
      <c r="Q654" s="6">
        <f>IFERROR(__xludf.DUMMYFUNCTION("""COMPUTED_VALUE"""),46031.0)</f>
        <v>46031</v>
      </c>
      <c r="R654" s="4"/>
      <c r="S654" s="4"/>
      <c r="T654" s="4"/>
      <c r="U654" s="4"/>
      <c r="V654" s="4"/>
      <c r="W654" s="4"/>
      <c r="X654" s="4"/>
      <c r="Y654" s="4"/>
      <c r="Z654" s="4"/>
      <c r="AA654" s="4">
        <f>IFERROR(__xludf.DUMMYFUNCTION("""COMPUTED_VALUE"""),96.0)</f>
        <v>96</v>
      </c>
      <c r="AB654" s="4"/>
      <c r="AC654" s="4"/>
      <c r="AD654" s="4"/>
      <c r="AE654" s="4"/>
      <c r="AF654" s="4"/>
      <c r="AG654" s="4"/>
      <c r="AH654" s="4"/>
      <c r="AI654" s="4"/>
      <c r="AJ654" s="4"/>
      <c r="AK654" s="4"/>
      <c r="AL654" s="4"/>
      <c r="AM654" s="4" t="str">
        <f>IFERROR(__xludf.DUMMYFUNCTION("""COMPUTED_VALUE"""),"FY26")</f>
        <v>FY26</v>
      </c>
      <c r="AN654" s="4"/>
      <c r="AO654" s="4">
        <f>IFERROR(__xludf.DUMMYFUNCTION("""COMPUTED_VALUE"""),45553.0)</f>
        <v>45553</v>
      </c>
      <c r="AP654" s="4"/>
      <c r="AQ654" s="4"/>
      <c r="AR654" s="4"/>
      <c r="AS654" s="4">
        <f>IFERROR(__xludf.DUMMYFUNCTION("""COMPUTED_VALUE"""),0.0)</f>
        <v>0</v>
      </c>
      <c r="AT654" s="4">
        <f>IFERROR(__xludf.DUMMYFUNCTION("""COMPUTED_VALUE"""),0.0)</f>
        <v>0</v>
      </c>
      <c r="AU654" s="4" t="str">
        <f>IFERROR(__xludf.DUMMYFUNCTION("""COMPUTED_VALUE"""),"Leonardo Roso")</f>
        <v>Leonardo Roso</v>
      </c>
      <c r="AV654" s="4">
        <f>IFERROR(__xludf.DUMMYFUNCTION("""COMPUTED_VALUE"""),0.0)</f>
        <v>0</v>
      </c>
      <c r="AW654" s="4">
        <f>IFERROR(__xludf.DUMMYFUNCTION("""COMPUTED_VALUE"""),0.0)</f>
        <v>0</v>
      </c>
      <c r="AX654" s="4">
        <f>IFERROR(__xludf.DUMMYFUNCTION("""COMPUTED_VALUE"""),0.0)</f>
        <v>0</v>
      </c>
      <c r="AY654" s="4">
        <f>IFERROR(__xludf.DUMMYFUNCTION("""COMPUTED_VALUE"""),0.0)</f>
        <v>0</v>
      </c>
      <c r="AZ654" s="4" t="str">
        <f>IFERROR(__xludf.DUMMYFUNCTION("""COMPUTED_VALUE"""),"#N/A")</f>
        <v>#N/A</v>
      </c>
      <c r="BA654" s="4" t="str">
        <f>IFERROR(__xludf.DUMMYFUNCTION("""COMPUTED_VALUE"""),"")</f>
        <v/>
      </c>
      <c r="BB654" s="4" t="str">
        <f>IFERROR(__xludf.DUMMYFUNCTION("""COMPUTED_VALUE"""),"")</f>
        <v/>
      </c>
      <c r="BC654" s="4" t="str">
        <f>IFERROR(__xludf.DUMMYFUNCTION("""COMPUTED_VALUE"""),"")</f>
        <v/>
      </c>
      <c r="BD654" s="4" t="str">
        <f>IFERROR(__xludf.DUMMYFUNCTION("""COMPUTED_VALUE"""),"")</f>
        <v/>
      </c>
      <c r="BE654" s="4" t="str">
        <f>IFERROR(__xludf.DUMMYFUNCTION("""COMPUTED_VALUE"""),"")</f>
        <v/>
      </c>
      <c r="BF654" s="4" t="str">
        <f>IFERROR(__xludf.DUMMYFUNCTION("""COMPUTED_VALUE"""),"")</f>
        <v/>
      </c>
      <c r="BG654" s="4" t="str">
        <f>IFERROR(__xludf.DUMMYFUNCTION("""COMPUTED_VALUE"""),"")</f>
        <v/>
      </c>
      <c r="BH654" s="4" t="s">
        <v>63</v>
      </c>
      <c r="BI654" s="7" t="s">
        <v>63</v>
      </c>
    </row>
    <row r="655" hidden="1">
      <c r="A655" s="4" t="str">
        <f>IFERROR(__xludf.DUMMYFUNCTION("""COMPUTED_VALUE"""),"Oaks Cozinha Mexicana")</f>
        <v>Oaks Cozinha Mexicana</v>
      </c>
      <c r="B655" s="4" t="str">
        <f>IFERROR(__xludf.DUMMYFUNCTION("""COMPUTED_VALUE"""),"Lídia Esteves")</f>
        <v>Lídia Esteves</v>
      </c>
      <c r="C655" s="4" t="str">
        <f>IFERROR(__xludf.DUMMYFUNCTION("""COMPUTED_VALUE"""),"Lídia Esteves")</f>
        <v>Lídia Esteves</v>
      </c>
      <c r="D655" s="4" t="str">
        <f>IFERROR(__xludf.DUMMYFUNCTION("""COMPUTED_VALUE"""),"9. Contrato assinado")</f>
        <v>9. Contrato assinado</v>
      </c>
      <c r="E655" s="4" t="str">
        <f>IFERROR(__xludf.DUMMYFUNCTION("""COMPUTED_VALUE"""),"Projetos - Contrato assinado mas com trava técnica")</f>
        <v>Projetos - Contrato assinado mas com trava técnica</v>
      </c>
      <c r="F655" s="4" t="str">
        <f>IFERROR(__xludf.DUMMYFUNCTION("""COMPUTED_VALUE"""),"P")</f>
        <v>P</v>
      </c>
      <c r="G655" s="5">
        <f>IFERROR(__xludf.DUMMYFUNCTION("""COMPUTED_VALUE"""),46076.0)</f>
        <v>46076</v>
      </c>
      <c r="H655" s="4" t="str">
        <f>IFERROR(__xludf.DUMMYFUNCTION("""COMPUTED_VALUE"""),"Assinado mas com problemas na integração do anota ai")</f>
        <v>Assinado mas com problemas na integração do anota ai</v>
      </c>
      <c r="I655" s="4"/>
      <c r="J655" s="4"/>
      <c r="K655" s="6">
        <f>IFERROR(__xludf.DUMMYFUNCTION("""COMPUTED_VALUE"""),45952.0)</f>
        <v>45952</v>
      </c>
      <c r="L655" s="4"/>
      <c r="M655" s="4"/>
      <c r="N655" s="6">
        <f>IFERROR(__xludf.DUMMYFUNCTION("""COMPUTED_VALUE"""),46051.69793155092)</f>
        <v>46051.69793</v>
      </c>
      <c r="O655" s="4"/>
      <c r="P655" s="4"/>
      <c r="Q655" s="6">
        <f>IFERROR(__xludf.DUMMYFUNCTION("""COMPUTED_VALUE"""),46051.69793155092)</f>
        <v>46051.69793</v>
      </c>
      <c r="R655" s="4"/>
      <c r="S655" s="4"/>
      <c r="T655" s="4"/>
      <c r="U655" s="4"/>
      <c r="V655" s="4"/>
      <c r="W655" s="8">
        <f>IFERROR(__xludf.DUMMYFUNCTION("""COMPUTED_VALUE"""),560.0)</f>
        <v>560</v>
      </c>
      <c r="X655" s="4">
        <f>IFERROR(__xludf.DUMMYFUNCTION("""COMPUTED_VALUE"""),36.0)</f>
        <v>36</v>
      </c>
      <c r="Y655" s="8">
        <f>IFERROR(__xludf.DUMMYFUNCTION("""COMPUTED_VALUE"""),3000.0)</f>
        <v>3000</v>
      </c>
      <c r="Z655" s="8">
        <f>IFERROR(__xludf.DUMMYFUNCTION("""COMPUTED_VALUE"""),0.0)</f>
        <v>0</v>
      </c>
      <c r="AA655" s="4">
        <f>IFERROR(__xludf.DUMMYFUNCTION("""COMPUTED_VALUE"""),12.0)</f>
        <v>12</v>
      </c>
      <c r="AB655" s="4" t="str">
        <f>IFERROR(__xludf.DUMMYFUNCTION("""COMPUTED_VALUE"""),"NÃO")</f>
        <v>NÃO</v>
      </c>
      <c r="AC655" s="4" t="str">
        <f>IFERROR(__xludf.DUMMYFUNCTION("""COMPUTED_VALUE"""),"BP")</f>
        <v>BP</v>
      </c>
      <c r="AD655" s="4"/>
      <c r="AE655" s="4"/>
      <c r="AF655" s="4"/>
      <c r="AG655" s="4"/>
      <c r="AH655" s="4"/>
      <c r="AI655" s="4"/>
      <c r="AJ655" s="4"/>
      <c r="AK655" s="4"/>
      <c r="AL655" s="4"/>
      <c r="AM655" s="4" t="str">
        <f>IFERROR(__xludf.DUMMYFUNCTION("""COMPUTED_VALUE"""),"FY26")</f>
        <v>FY26</v>
      </c>
      <c r="AN655" s="4"/>
      <c r="AO655" s="4">
        <f>IFERROR(__xludf.DUMMYFUNCTION("""COMPUTED_VALUE"""),140.0)</f>
        <v>140</v>
      </c>
      <c r="AP655" s="4"/>
      <c r="AQ655" s="4"/>
      <c r="AR655" s="4"/>
      <c r="AS655" s="4">
        <f>IFERROR(__xludf.DUMMYFUNCTION("""COMPUTED_VALUE"""),0.0)</f>
        <v>0</v>
      </c>
      <c r="AT655" s="4">
        <f>IFERROR(__xludf.DUMMYFUNCTION("""COMPUTED_VALUE"""),0.0)</f>
        <v>0</v>
      </c>
      <c r="AU655" s="4" t="str">
        <f>IFERROR(__xludf.DUMMYFUNCTION("""COMPUTED_VALUE"""),"Lídia")</f>
        <v>Lídia</v>
      </c>
      <c r="AV655" s="4">
        <f>IFERROR(__xludf.DUMMYFUNCTION("""COMPUTED_VALUE"""),0.0)</f>
        <v>0</v>
      </c>
      <c r="AW655" s="4">
        <f>IFERROR(__xludf.DUMMYFUNCTION("""COMPUTED_VALUE"""),0.0)</f>
        <v>0</v>
      </c>
      <c r="AX655" s="4">
        <f>IFERROR(__xludf.DUMMYFUNCTION("""COMPUTED_VALUE"""),0.0)</f>
        <v>0</v>
      </c>
      <c r="AY655" s="4">
        <f>IFERROR(__xludf.DUMMYFUNCTION("""COMPUTED_VALUE"""),0.0)</f>
        <v>0</v>
      </c>
      <c r="AZ655" s="4" t="str">
        <f>IFERROR(__xludf.DUMMYFUNCTION("""COMPUTED_VALUE"""),"#N/A")</f>
        <v>#N/A</v>
      </c>
      <c r="BA655" s="4" t="str">
        <f>IFERROR(__xludf.DUMMYFUNCTION("""COMPUTED_VALUE"""),"")</f>
        <v/>
      </c>
      <c r="BB655" s="4" t="str">
        <f>IFERROR(__xludf.DUMMYFUNCTION("""COMPUTED_VALUE"""),"")</f>
        <v/>
      </c>
      <c r="BC655" s="4" t="str">
        <f>IFERROR(__xludf.DUMMYFUNCTION("""COMPUTED_VALUE"""),"")</f>
        <v/>
      </c>
      <c r="BD655" s="4" t="str">
        <f>IFERROR(__xludf.DUMMYFUNCTION("""COMPUTED_VALUE"""),"")</f>
        <v/>
      </c>
      <c r="BE655" s="4" t="str">
        <f>IFERROR(__xludf.DUMMYFUNCTION("""COMPUTED_VALUE"""),"")</f>
        <v/>
      </c>
      <c r="BF655" s="4" t="str">
        <f>IFERROR(__xludf.DUMMYFUNCTION("""COMPUTED_VALUE"""),"")</f>
        <v/>
      </c>
      <c r="BG655" s="4" t="str">
        <f>IFERROR(__xludf.DUMMYFUNCTION("""COMPUTED_VALUE"""),"")</f>
        <v/>
      </c>
      <c r="BH655" s="4" t="s">
        <v>63</v>
      </c>
      <c r="BI655" s="7" t="s">
        <v>63</v>
      </c>
    </row>
    <row r="656" hidden="1">
      <c r="A656" s="4" t="str">
        <f>IFERROR(__xludf.DUMMYFUNCTION("""COMPUTED_VALUE"""),"Ohana Poke")</f>
        <v>Ohana Poke</v>
      </c>
      <c r="B656" s="4" t="str">
        <f>IFERROR(__xludf.DUMMYFUNCTION("""COMPUTED_VALUE"""),"Diego Santos")</f>
        <v>Diego Santos</v>
      </c>
      <c r="C656" s="4" t="str">
        <f>IFERROR(__xludf.DUMMYFUNCTION("""COMPUTED_VALUE"""),"Diego Santos")</f>
        <v>Diego Santos</v>
      </c>
      <c r="D656" s="4" t="str">
        <f>IFERROR(__xludf.DUMMYFUNCTION("""COMPUTED_VALUE"""),"9. Contrato assinado")</f>
        <v>9. Contrato assinado</v>
      </c>
      <c r="E656" s="4" t="str">
        <f>IFERROR(__xludf.DUMMYFUNCTION("""COMPUTED_VALUE""")," Projetos - Contrato assinado &amp; Rollout")</f>
        <v> Projetos - Contrato assinado &amp; Rollout</v>
      </c>
      <c r="F656" s="4" t="str">
        <f>IFERROR(__xludf.DUMMYFUNCTION("""COMPUTED_VALUE"""),"P")</f>
        <v>P</v>
      </c>
      <c r="G656" s="5">
        <f>IFERROR(__xludf.DUMMYFUNCTION("""COMPUTED_VALUE"""),46076.0)</f>
        <v>46076</v>
      </c>
      <c r="H656" s="4" t="str">
        <f>IFERROR(__xludf.DUMMYFUNCTION("""COMPUTED_VALUE"""),"Contrato assinado")</f>
        <v>Contrato assinado</v>
      </c>
      <c r="I656" s="4"/>
      <c r="J656" s="4"/>
      <c r="K656" s="6">
        <f>IFERROR(__xludf.DUMMYFUNCTION("""COMPUTED_VALUE"""),45901.0)</f>
        <v>45901</v>
      </c>
      <c r="L656" s="4"/>
      <c r="M656" s="4"/>
      <c r="N656" s="6">
        <f>IFERROR(__xludf.DUMMYFUNCTION("""COMPUTED_VALUE"""),46006.0)</f>
        <v>46006</v>
      </c>
      <c r="O656" s="4"/>
      <c r="P656" s="4"/>
      <c r="Q656" s="6">
        <f>IFERROR(__xludf.DUMMYFUNCTION("""COMPUTED_VALUE"""),46006.0)</f>
        <v>46006</v>
      </c>
      <c r="R656" s="4"/>
      <c r="S656" s="4"/>
      <c r="T656" s="4"/>
      <c r="U656" s="4"/>
      <c r="V656" s="4"/>
      <c r="W656" s="4"/>
      <c r="X656" s="4"/>
      <c r="Y656" s="4"/>
      <c r="Z656" s="4"/>
      <c r="AA656" s="4">
        <f>IFERROR(__xludf.DUMMYFUNCTION("""COMPUTED_VALUE"""),4.0)</f>
        <v>4</v>
      </c>
      <c r="AB656" s="4"/>
      <c r="AC656" s="4"/>
      <c r="AD656" s="4"/>
      <c r="AE656" s="4"/>
      <c r="AF656" s="4"/>
      <c r="AG656" s="4"/>
      <c r="AH656" s="4"/>
      <c r="AI656" s="4"/>
      <c r="AJ656" s="4"/>
      <c r="AK656" s="4"/>
      <c r="AL656" s="4"/>
      <c r="AM656" s="4" t="str">
        <f>IFERROR(__xludf.DUMMYFUNCTION("""COMPUTED_VALUE"""),"FY26")</f>
        <v>FY26</v>
      </c>
      <c r="AN656" s="4"/>
      <c r="AO656" s="4">
        <f>IFERROR(__xludf.DUMMYFUNCTION("""COMPUTED_VALUE"""),140.0)</f>
        <v>140</v>
      </c>
      <c r="AP656" s="4"/>
      <c r="AQ656" s="4"/>
      <c r="AR656" s="4"/>
      <c r="AS656" s="4">
        <f>IFERROR(__xludf.DUMMYFUNCTION("""COMPUTED_VALUE"""),0.0)</f>
        <v>0</v>
      </c>
      <c r="AT656" s="4">
        <f>IFERROR(__xludf.DUMMYFUNCTION("""COMPUTED_VALUE"""),0.0)</f>
        <v>0</v>
      </c>
      <c r="AU656" s="4" t="str">
        <f>IFERROR(__xludf.DUMMYFUNCTION("""COMPUTED_VALUE"""),"Diego")</f>
        <v>Diego</v>
      </c>
      <c r="AV656" s="4">
        <f>IFERROR(__xludf.DUMMYFUNCTION("""COMPUTED_VALUE"""),0.0)</f>
        <v>0</v>
      </c>
      <c r="AW656" s="4">
        <f>IFERROR(__xludf.DUMMYFUNCTION("""COMPUTED_VALUE"""),0.0)</f>
        <v>0</v>
      </c>
      <c r="AX656" s="4">
        <f>IFERROR(__xludf.DUMMYFUNCTION("""COMPUTED_VALUE"""),0.0)</f>
        <v>0</v>
      </c>
      <c r="AY656" s="4"/>
      <c r="AZ656" s="4" t="str">
        <f>IFERROR(__xludf.DUMMYFUNCTION("""COMPUTED_VALUE"""),"Japonesa")</f>
        <v>Japonesa</v>
      </c>
      <c r="BA656" s="4" t="str">
        <f>IFERROR(__xludf.DUMMYFUNCTION("""COMPUTED_VALUE"""),"")</f>
        <v/>
      </c>
      <c r="BB656" s="4" t="str">
        <f>IFERROR(__xludf.DUMMYFUNCTION("""COMPUTED_VALUE"""),"")</f>
        <v/>
      </c>
      <c r="BC656" s="4" t="str">
        <f>IFERROR(__xludf.DUMMYFUNCTION("""COMPUTED_VALUE"""),"")</f>
        <v/>
      </c>
      <c r="BD656" s="4" t="str">
        <f>IFERROR(__xludf.DUMMYFUNCTION("""COMPUTED_VALUE"""),"")</f>
        <v/>
      </c>
      <c r="BE656" s="4" t="str">
        <f>IFERROR(__xludf.DUMMYFUNCTION("""COMPUTED_VALUE"""),"")</f>
        <v/>
      </c>
      <c r="BF656" s="4" t="str">
        <f>IFERROR(__xludf.DUMMYFUNCTION("""COMPUTED_VALUE"""),"")</f>
        <v/>
      </c>
      <c r="BG656" s="4" t="str">
        <f>IFERROR(__xludf.DUMMYFUNCTION("""COMPUTED_VALUE"""),"")</f>
        <v/>
      </c>
      <c r="BH656" s="4" t="s">
        <v>64</v>
      </c>
      <c r="BI656" s="7">
        <v>1.0</v>
      </c>
    </row>
    <row r="657" hidden="1">
      <c r="A657" s="4" t="str">
        <f>IFERROR(__xludf.DUMMYFUNCTION("""COMPUTED_VALUE"""),"Ohara Sushi")</f>
        <v>Ohara Sushi</v>
      </c>
      <c r="B657" s="4" t="str">
        <f>IFERROR(__xludf.DUMMYFUNCTION("""COMPUTED_VALUE"""),"Ana")</f>
        <v>Ana</v>
      </c>
      <c r="C657" s="4" t="str">
        <f>IFERROR(__xludf.DUMMYFUNCTION("""COMPUTED_VALUE"""),"Ana")</f>
        <v>Ana</v>
      </c>
      <c r="D657" s="4" t="str">
        <f>IFERROR(__xludf.DUMMYFUNCTION("""COMPUTED_VALUE"""),"10. Perdido")</f>
        <v>10. Perdido</v>
      </c>
      <c r="E657" s="4" t="str">
        <f>IFERROR(__xludf.DUMMYFUNCTION("""COMPUTED_VALUE"""),"Perdido - Outro (detalhar ao lado)")</f>
        <v>Perdido - Outro (detalhar ao lado)</v>
      </c>
      <c r="F657" s="4" t="str">
        <f>IFERROR(__xludf.DUMMYFUNCTION("""COMPUTED_VALUE"""),"P")</f>
        <v>P</v>
      </c>
      <c r="G657" s="5">
        <f>IFERROR(__xludf.DUMMYFUNCTION("""COMPUTED_VALUE"""),46076.0)</f>
        <v>46076</v>
      </c>
      <c r="H657" s="4" t="str">
        <f>IFERROR(__xludf.DUMMYFUNCTION("""COMPUTED_VALUE"""),"Marca não identificada e sem contato válido.")</f>
        <v>Marca não identificada e sem contato válido.</v>
      </c>
      <c r="I657" s="4"/>
      <c r="J657" s="4"/>
      <c r="K657" s="4"/>
      <c r="L657" s="4"/>
      <c r="M657" s="4"/>
      <c r="N657" s="4"/>
      <c r="O657" s="4"/>
      <c r="P657" s="4"/>
      <c r="Q657" s="4"/>
      <c r="R657" s="6">
        <f>IFERROR(__xludf.DUMMYFUNCTION("""COMPUTED_VALUE"""),46062.43453628472)</f>
        <v>46062.43454</v>
      </c>
      <c r="S657" s="4"/>
      <c r="T657" s="4"/>
      <c r="U657" s="4"/>
      <c r="V657" s="4" t="str">
        <f>IFERROR(__xludf.DUMMYFUNCTION("""COMPUTED_VALUE"""),"Sem interesse em mudar de PDV")</f>
        <v>Sem interesse em mudar de PDV</v>
      </c>
      <c r="W657" s="4"/>
      <c r="X657" s="4"/>
      <c r="Y657" s="4"/>
      <c r="Z657" s="4"/>
      <c r="AA657" s="4">
        <f>IFERROR(__xludf.DUMMYFUNCTION("""COMPUTED_VALUE"""),3.0)</f>
        <v>3</v>
      </c>
      <c r="AB657" s="4" t="str">
        <f>IFERROR(__xludf.DUMMYFUNCTION("""COMPUTED_VALUE"""),"NÃO")</f>
        <v>NÃO</v>
      </c>
      <c r="AC657" s="4" t="str">
        <f>IFERROR(__xludf.DUMMYFUNCTION("""COMPUTED_VALUE"""),"Não BP")</f>
        <v>Não BP</v>
      </c>
      <c r="AD657" s="4"/>
      <c r="AE657" s="4"/>
      <c r="AF657" s="4"/>
      <c r="AG657" s="4"/>
      <c r="AH657" s="4"/>
      <c r="AI657" s="4"/>
      <c r="AJ657" s="4"/>
      <c r="AK657" s="4"/>
      <c r="AL657" s="4"/>
      <c r="AM657" s="4" t="str">
        <f>IFERROR(__xludf.DUMMYFUNCTION("""COMPUTED_VALUE"""),"FY26")</f>
        <v>FY26</v>
      </c>
      <c r="AN657" s="4"/>
      <c r="AO657" s="4">
        <f>IFERROR(__xludf.DUMMYFUNCTION("""COMPUTED_VALUE"""),140.0)</f>
        <v>140</v>
      </c>
      <c r="AP657" s="4"/>
      <c r="AQ657" s="4"/>
      <c r="AR657" s="4"/>
      <c r="AS657" s="4">
        <f>IFERROR(__xludf.DUMMYFUNCTION("""COMPUTED_VALUE"""),0.0)</f>
        <v>0</v>
      </c>
      <c r="AT657" s="4">
        <f>IFERROR(__xludf.DUMMYFUNCTION("""COMPUTED_VALUE"""),0.0)</f>
        <v>0</v>
      </c>
      <c r="AU657" s="4" t="str">
        <f>IFERROR(__xludf.DUMMYFUNCTION("""COMPUTED_VALUE"""),"Ana")</f>
        <v>Ana</v>
      </c>
      <c r="AV657" s="4">
        <f>IFERROR(__xludf.DUMMYFUNCTION("""COMPUTED_VALUE"""),0.0)</f>
        <v>0</v>
      </c>
      <c r="AW657" s="4">
        <f>IFERROR(__xludf.DUMMYFUNCTION("""COMPUTED_VALUE"""),0.0)</f>
        <v>0</v>
      </c>
      <c r="AX657" s="4">
        <f>IFERROR(__xludf.DUMMYFUNCTION("""COMPUTED_VALUE"""),0.0)</f>
        <v>0</v>
      </c>
      <c r="AY657" s="4"/>
      <c r="AZ657" s="4" t="str">
        <f>IFERROR(__xludf.DUMMYFUNCTION("""COMPUTED_VALUE"""),"#N/A")</f>
        <v>#N/A</v>
      </c>
      <c r="BA657" s="4" t="str">
        <f>IFERROR(__xludf.DUMMYFUNCTION("""COMPUTED_VALUE"""),"")</f>
        <v/>
      </c>
      <c r="BB657" s="4" t="str">
        <f>IFERROR(__xludf.DUMMYFUNCTION("""COMPUTED_VALUE"""),"")</f>
        <v/>
      </c>
      <c r="BC657" s="4" t="str">
        <f>IFERROR(__xludf.DUMMYFUNCTION("""COMPUTED_VALUE"""),"")</f>
        <v/>
      </c>
      <c r="BD657" s="4" t="str">
        <f>IFERROR(__xludf.DUMMYFUNCTION("""COMPUTED_VALUE"""),"")</f>
        <v/>
      </c>
      <c r="BE657" s="4" t="str">
        <f>IFERROR(__xludf.DUMMYFUNCTION("""COMPUTED_VALUE"""),"")</f>
        <v/>
      </c>
      <c r="BF657" s="4" t="str">
        <f>IFERROR(__xludf.DUMMYFUNCTION("""COMPUTED_VALUE"""),"")</f>
        <v/>
      </c>
      <c r="BG657" s="4" t="str">
        <f>IFERROR(__xludf.DUMMYFUNCTION("""COMPUTED_VALUE"""),"")</f>
        <v/>
      </c>
      <c r="BH657" s="4" t="s">
        <v>63</v>
      </c>
      <c r="BI657" s="7" t="s">
        <v>63</v>
      </c>
    </row>
    <row r="658" hidden="1">
      <c r="A658" s="4" t="str">
        <f>IFERROR(__xludf.DUMMYFUNCTION("""COMPUTED_VALUE"""),"Olgari")</f>
        <v>Olgari</v>
      </c>
      <c r="B658" s="4" t="str">
        <f>IFERROR(__xludf.DUMMYFUNCTION("""COMPUTED_VALUE"""),"Michel")</f>
        <v>Michel</v>
      </c>
      <c r="C658" s="4" t="str">
        <f>IFERROR(__xludf.DUMMYFUNCTION("""COMPUTED_VALUE"""),"Michel")</f>
        <v>Michel</v>
      </c>
      <c r="D658" s="4" t="str">
        <f>IFERROR(__xludf.DUMMYFUNCTION("""COMPUTED_VALUE"""),"12. Orgânico")</f>
        <v>12. Orgânico</v>
      </c>
      <c r="E658" s="4"/>
      <c r="F658" s="4" t="str">
        <f>IFERROR(__xludf.DUMMYFUNCTION("""COMPUTED_VALUE"""),"P")</f>
        <v>P</v>
      </c>
      <c r="G658" s="4"/>
      <c r="H658" s="4"/>
      <c r="I658" s="4"/>
      <c r="J658" s="4"/>
      <c r="K658" s="4"/>
      <c r="L658" s="4"/>
      <c r="M658" s="4"/>
      <c r="N658" s="4"/>
      <c r="O658" s="4"/>
      <c r="P658" s="4"/>
      <c r="Q658" s="4"/>
      <c r="R658" s="4"/>
      <c r="S658" s="4"/>
      <c r="T658" s="4"/>
      <c r="U658" s="4"/>
      <c r="V658" s="4"/>
      <c r="W658" s="4"/>
      <c r="X658" s="4"/>
      <c r="Y658" s="4"/>
      <c r="Z658" s="4"/>
      <c r="AA658" s="4">
        <f>IFERROR(__xludf.DUMMYFUNCTION("""COMPUTED_VALUE"""),1.0)</f>
        <v>1</v>
      </c>
      <c r="AB658" s="4"/>
      <c r="AC658" s="4"/>
      <c r="AD658" s="4"/>
      <c r="AE658" s="4"/>
      <c r="AF658" s="4"/>
      <c r="AG658" s="4"/>
      <c r="AH658" s="4"/>
      <c r="AI658" s="4"/>
      <c r="AJ658" s="4"/>
      <c r="AK658" s="4"/>
      <c r="AL658" s="4"/>
      <c r="AM658" s="4" t="str">
        <f>IFERROR(__xludf.DUMMYFUNCTION("""COMPUTED_VALUE"""),"Orgânico 3S")</f>
        <v>Orgânico 3S</v>
      </c>
      <c r="AN658" s="4"/>
      <c r="AO658" s="4">
        <f>IFERROR(__xludf.DUMMYFUNCTION("""COMPUTED_VALUE"""),45553.0)</f>
        <v>45553</v>
      </c>
      <c r="AP658" s="4"/>
      <c r="AQ658" s="4"/>
      <c r="AR658" s="4"/>
      <c r="AS658" s="4">
        <f>IFERROR(__xludf.DUMMYFUNCTION("""COMPUTED_VALUE"""),0.0)</f>
        <v>0</v>
      </c>
      <c r="AT658" s="4">
        <f>IFERROR(__xludf.DUMMYFUNCTION("""COMPUTED_VALUE"""),0.0)</f>
        <v>0</v>
      </c>
      <c r="AU658" s="4" t="str">
        <f>IFERROR(__xludf.DUMMYFUNCTION("""COMPUTED_VALUE"""),"Michel")</f>
        <v>Michel</v>
      </c>
      <c r="AV658" s="4">
        <f>IFERROR(__xludf.DUMMYFUNCTION("""COMPUTED_VALUE"""),0.0)</f>
        <v>0</v>
      </c>
      <c r="AW658" s="4">
        <f>IFERROR(__xludf.DUMMYFUNCTION("""COMPUTED_VALUE"""),0.0)</f>
        <v>0</v>
      </c>
      <c r="AX658" s="4">
        <f>IFERROR(__xludf.DUMMYFUNCTION("""COMPUTED_VALUE"""),0.0)</f>
        <v>0</v>
      </c>
      <c r="AY658" s="4"/>
      <c r="AZ658" s="4">
        <f>IFERROR(__xludf.DUMMYFUNCTION("""COMPUTED_VALUE"""),0.0)</f>
        <v>0</v>
      </c>
      <c r="BA658" s="4" t="str">
        <f>IFERROR(__xludf.DUMMYFUNCTION("""COMPUTED_VALUE"""),"")</f>
        <v/>
      </c>
      <c r="BB658" s="4" t="str">
        <f>IFERROR(__xludf.DUMMYFUNCTION("""COMPUTED_VALUE"""),"")</f>
        <v/>
      </c>
      <c r="BC658" s="4" t="str">
        <f>IFERROR(__xludf.DUMMYFUNCTION("""COMPUTED_VALUE"""),"")</f>
        <v/>
      </c>
      <c r="BD658" s="4" t="str">
        <f>IFERROR(__xludf.DUMMYFUNCTION("""COMPUTED_VALUE"""),"")</f>
        <v/>
      </c>
      <c r="BE658" s="4" t="str">
        <f>IFERROR(__xludf.DUMMYFUNCTION("""COMPUTED_VALUE"""),"")</f>
        <v/>
      </c>
      <c r="BF658" s="4" t="str">
        <f>IFERROR(__xludf.DUMMYFUNCTION("""COMPUTED_VALUE"""),"")</f>
        <v/>
      </c>
      <c r="BG658" s="4" t="str">
        <f>IFERROR(__xludf.DUMMYFUNCTION("""COMPUTED_VALUE"""),"")</f>
        <v/>
      </c>
      <c r="BH658" s="4" t="s">
        <v>63</v>
      </c>
      <c r="BI658" s="7" t="s">
        <v>63</v>
      </c>
    </row>
    <row r="659" hidden="1">
      <c r="A659" s="4" t="str">
        <f>IFERROR(__xludf.DUMMYFUNCTION("""COMPUTED_VALUE"""),"Orangee")</f>
        <v>Orangee</v>
      </c>
      <c r="B659" s="4" t="str">
        <f>IFERROR(__xludf.DUMMYFUNCTION("""COMPUTED_VALUE"""),"Michel")</f>
        <v>Michel</v>
      </c>
      <c r="C659" s="4" t="str">
        <f>IFERROR(__xludf.DUMMYFUNCTION("""COMPUTED_VALUE"""),"Michel")</f>
        <v>Michel</v>
      </c>
      <c r="D659" s="4" t="str">
        <f>IFERROR(__xludf.DUMMYFUNCTION("""COMPUTED_VALUE"""),"9. Contrato assinado")</f>
        <v>9. Contrato assinado</v>
      </c>
      <c r="E659" s="4"/>
      <c r="F659" s="4" t="str">
        <f>IFERROR(__xludf.DUMMYFUNCTION("""COMPUTED_VALUE"""),"P")</f>
        <v>P</v>
      </c>
      <c r="G659" s="4"/>
      <c r="H659" s="4"/>
      <c r="I659" s="4"/>
      <c r="J659" s="4"/>
      <c r="K659" s="6">
        <f>IFERROR(__xludf.DUMMYFUNCTION("""COMPUTED_VALUE"""),45807.0)</f>
        <v>45807</v>
      </c>
      <c r="L659" s="4"/>
      <c r="M659" s="4"/>
      <c r="N659" s="6">
        <f>IFERROR(__xludf.DUMMYFUNCTION("""COMPUTED_VALUE"""),45893.0)</f>
        <v>45893</v>
      </c>
      <c r="O659" s="4"/>
      <c r="P659" s="4"/>
      <c r="Q659" s="6">
        <f>IFERROR(__xludf.DUMMYFUNCTION("""COMPUTED_VALUE"""),45893.0)</f>
        <v>45893</v>
      </c>
      <c r="R659" s="4"/>
      <c r="S659" s="4"/>
      <c r="T659" s="6">
        <f>IFERROR(__xludf.DUMMYFUNCTION("""COMPUTED_VALUE"""),46076.60646439815)</f>
        <v>46076.60646</v>
      </c>
      <c r="U659" s="4"/>
      <c r="V659" s="4"/>
      <c r="W659" s="4"/>
      <c r="X659" s="4"/>
      <c r="Y659" s="4"/>
      <c r="Z659" s="4"/>
      <c r="AA659" s="4">
        <f>IFERROR(__xludf.DUMMYFUNCTION("""COMPUTED_VALUE"""),1.0)</f>
        <v>1</v>
      </c>
      <c r="AB659" s="4"/>
      <c r="AC659" s="4"/>
      <c r="AD659" s="4"/>
      <c r="AE659" s="4"/>
      <c r="AF659" s="4"/>
      <c r="AG659" s="4"/>
      <c r="AH659" s="4"/>
      <c r="AI659" s="4"/>
      <c r="AJ659" s="4"/>
      <c r="AK659" s="4"/>
      <c r="AL659" s="4"/>
      <c r="AM659" s="4" t="str">
        <f>IFERROR(__xludf.DUMMYFUNCTION("""COMPUTED_VALUE"""),"FY26")</f>
        <v>FY26</v>
      </c>
      <c r="AN659" s="4"/>
      <c r="AO659" s="4">
        <f>IFERROR(__xludf.DUMMYFUNCTION("""COMPUTED_VALUE"""),45553.0)</f>
        <v>45553</v>
      </c>
      <c r="AP659" s="4"/>
      <c r="AQ659" s="4"/>
      <c r="AR659" s="4"/>
      <c r="AS659" s="4">
        <f>IFERROR(__xludf.DUMMYFUNCTION("""COMPUTED_VALUE"""),0.0)</f>
        <v>0</v>
      </c>
      <c r="AT659" s="4">
        <f>IFERROR(__xludf.DUMMYFUNCTION("""COMPUTED_VALUE"""),0.0)</f>
        <v>0</v>
      </c>
      <c r="AU659" s="4" t="str">
        <f>IFERROR(__xludf.DUMMYFUNCTION("""COMPUTED_VALUE"""),"Michel")</f>
        <v>Michel</v>
      </c>
      <c r="AV659" s="4">
        <f>IFERROR(__xludf.DUMMYFUNCTION("""COMPUTED_VALUE"""),0.0)</f>
        <v>0</v>
      </c>
      <c r="AW659" s="4">
        <f>IFERROR(__xludf.DUMMYFUNCTION("""COMPUTED_VALUE"""),0.0)</f>
        <v>0</v>
      </c>
      <c r="AX659" s="4">
        <f>IFERROR(__xludf.DUMMYFUNCTION("""COMPUTED_VALUE"""),0.0)</f>
        <v>0</v>
      </c>
      <c r="AY659" s="4"/>
      <c r="AZ659" s="4" t="str">
        <f>IFERROR(__xludf.DUMMYFUNCTION("""COMPUTED_VALUE"""),"#N/A")</f>
        <v>#N/A</v>
      </c>
      <c r="BA659" s="4" t="str">
        <f>IFERROR(__xludf.DUMMYFUNCTION("""COMPUTED_VALUE"""),"")</f>
        <v/>
      </c>
      <c r="BB659" s="4" t="str">
        <f>IFERROR(__xludf.DUMMYFUNCTION("""COMPUTED_VALUE"""),"")</f>
        <v/>
      </c>
      <c r="BC659" s="4" t="str">
        <f>IFERROR(__xludf.DUMMYFUNCTION("""COMPUTED_VALUE"""),"")</f>
        <v/>
      </c>
      <c r="BD659" s="4" t="str">
        <f>IFERROR(__xludf.DUMMYFUNCTION("""COMPUTED_VALUE"""),"")</f>
        <v/>
      </c>
      <c r="BE659" s="4" t="str">
        <f>IFERROR(__xludf.DUMMYFUNCTION("""COMPUTED_VALUE"""),"")</f>
        <v/>
      </c>
      <c r="BF659" s="4" t="str">
        <f>IFERROR(__xludf.DUMMYFUNCTION("""COMPUTED_VALUE"""),"")</f>
        <v/>
      </c>
      <c r="BG659" s="4" t="str">
        <f>IFERROR(__xludf.DUMMYFUNCTION("""COMPUTED_VALUE"""),"")</f>
        <v/>
      </c>
      <c r="BH659" s="4" t="s">
        <v>63</v>
      </c>
      <c r="BI659" s="7" t="s">
        <v>63</v>
      </c>
    </row>
    <row r="660" hidden="1">
      <c r="A660" s="4" t="str">
        <f>IFERROR(__xludf.DUMMYFUNCTION("""COMPUTED_VALUE"""),"Osaka")</f>
        <v>Osaka</v>
      </c>
      <c r="B660" s="4" t="str">
        <f>IFERROR(__xludf.DUMMYFUNCTION("""COMPUTED_VALUE"""),"Lídia Esteves")</f>
        <v>Lídia Esteves</v>
      </c>
      <c r="C660" s="4" t="str">
        <f>IFERROR(__xludf.DUMMYFUNCTION("""COMPUTED_VALUE"""),"Lídia Esteves")</f>
        <v>Lídia Esteves</v>
      </c>
      <c r="D660" s="4" t="str">
        <f>IFERROR(__xludf.DUMMYFUNCTION("""COMPUTED_VALUE"""),"12. Orgânico")</f>
        <v>12. Orgânico</v>
      </c>
      <c r="E660" s="4" t="str">
        <f>IFERROR(__xludf.DUMMYFUNCTION("""COMPUTED_VALUE""")," Projetos - Contrato assinado &amp; Rollout")</f>
        <v> Projetos - Contrato assinado &amp; Rollout</v>
      </c>
      <c r="F660" s="4" t="str">
        <f>IFERROR(__xludf.DUMMYFUNCTION("""COMPUTED_VALUE"""),"P")</f>
        <v>P</v>
      </c>
      <c r="G660" s="5">
        <f>IFERROR(__xludf.DUMMYFUNCTION("""COMPUTED_VALUE"""),46076.0)</f>
        <v>46076</v>
      </c>
      <c r="H660" s="4" t="str">
        <f>IFERROR(__xludf.DUMMYFUNCTION("""COMPUTED_VALUE"""),"contrato assinado")</f>
        <v>contrato assinado</v>
      </c>
      <c r="I660" s="4"/>
      <c r="J660" s="4"/>
      <c r="K660" s="6">
        <f>IFERROR(__xludf.DUMMYFUNCTION("""COMPUTED_VALUE"""),45870.0)</f>
        <v>45870</v>
      </c>
      <c r="L660" s="4"/>
      <c r="M660" s="4"/>
      <c r="N660" s="6">
        <f>IFERROR(__xludf.DUMMYFUNCTION("""COMPUTED_VALUE"""),45948.0)</f>
        <v>45948</v>
      </c>
      <c r="O660" s="4"/>
      <c r="P660" s="4"/>
      <c r="Q660" s="6">
        <f>IFERROR(__xludf.DUMMYFUNCTION("""COMPUTED_VALUE"""),45948.0)</f>
        <v>45948</v>
      </c>
      <c r="R660" s="4"/>
      <c r="S660" s="4"/>
      <c r="T660" s="6">
        <f>IFERROR(__xludf.DUMMYFUNCTION("""COMPUTED_VALUE"""),46090.42435318287)</f>
        <v>46090.42435</v>
      </c>
      <c r="U660" s="4"/>
      <c r="V660" s="4"/>
      <c r="W660" s="4"/>
      <c r="X660" s="4"/>
      <c r="Y660" s="4"/>
      <c r="Z660" s="4"/>
      <c r="AA660" s="4">
        <f>IFERROR(__xludf.DUMMYFUNCTION("""COMPUTED_VALUE"""),1.0)</f>
        <v>1</v>
      </c>
      <c r="AB660" s="4"/>
      <c r="AC660" s="4"/>
      <c r="AD660" s="4"/>
      <c r="AE660" s="4"/>
      <c r="AF660" s="4"/>
      <c r="AG660" s="4"/>
      <c r="AH660" s="4"/>
      <c r="AI660" s="4"/>
      <c r="AJ660" s="4"/>
      <c r="AK660" s="4"/>
      <c r="AL660" s="4"/>
      <c r="AM660" s="4" t="str">
        <f>IFERROR(__xludf.DUMMYFUNCTION("""COMPUTED_VALUE"""),"FY26")</f>
        <v>FY26</v>
      </c>
      <c r="AN660" s="4"/>
      <c r="AO660" s="4">
        <f>IFERROR(__xludf.DUMMYFUNCTION("""COMPUTED_VALUE"""),140.0)</f>
        <v>140</v>
      </c>
      <c r="AP660" s="4"/>
      <c r="AQ660" s="4"/>
      <c r="AR660" s="4"/>
      <c r="AS660" s="4">
        <f>IFERROR(__xludf.DUMMYFUNCTION("""COMPUTED_VALUE"""),0.0)</f>
        <v>0</v>
      </c>
      <c r="AT660" s="4">
        <f>IFERROR(__xludf.DUMMYFUNCTION("""COMPUTED_VALUE"""),0.0)</f>
        <v>0</v>
      </c>
      <c r="AU660" s="4" t="str">
        <f>IFERROR(__xludf.DUMMYFUNCTION("""COMPUTED_VALUE"""),"Lídia")</f>
        <v>Lídia</v>
      </c>
      <c r="AV660" s="4" t="str">
        <f>IFERROR(__xludf.DUMMYFUNCTION("""COMPUTED_VALUE"""),"Comer Fora-")</f>
        <v>Comer Fora-</v>
      </c>
      <c r="AW660" s="20" t="str">
        <f>IFERROR(__xludf.DUMMYFUNCTION("""COMPUTED_VALUE"""),"P e M - pipe")</f>
        <v>P e M - pipe</v>
      </c>
      <c r="AX660" s="4"/>
      <c r="AY660" s="4"/>
      <c r="AZ660" s="4" t="str">
        <f>IFERROR(__xludf.DUMMYFUNCTION("""COMPUTED_VALUE"""),"#N/A")</f>
        <v>#N/A</v>
      </c>
      <c r="BA660" s="4" t="str">
        <f>IFERROR(__xludf.DUMMYFUNCTION("""COMPUTED_VALUE"""),"")</f>
        <v/>
      </c>
      <c r="BB660" s="4" t="str">
        <f>IFERROR(__xludf.DUMMYFUNCTION("""COMPUTED_VALUE"""),"")</f>
        <v/>
      </c>
      <c r="BC660" s="4" t="str">
        <f>IFERROR(__xludf.DUMMYFUNCTION("""COMPUTED_VALUE"""),"")</f>
        <v/>
      </c>
      <c r="BD660" s="4" t="str">
        <f>IFERROR(__xludf.DUMMYFUNCTION("""COMPUTED_VALUE"""),"")</f>
        <v/>
      </c>
      <c r="BE660" s="4" t="str">
        <f>IFERROR(__xludf.DUMMYFUNCTION("""COMPUTED_VALUE"""),"")</f>
        <v/>
      </c>
      <c r="BF660" s="4" t="str">
        <f>IFERROR(__xludf.DUMMYFUNCTION("""COMPUTED_VALUE"""),"")</f>
        <v/>
      </c>
      <c r="BG660" s="4" t="str">
        <f>IFERROR(__xludf.DUMMYFUNCTION("""COMPUTED_VALUE"""),"")</f>
        <v/>
      </c>
      <c r="BH660" s="4" t="s">
        <v>63</v>
      </c>
      <c r="BI660" s="7" t="s">
        <v>63</v>
      </c>
    </row>
    <row r="661" hidden="1">
      <c r="A661" s="4" t="str">
        <f>IFERROR(__xludf.DUMMYFUNCTION("""COMPUTED_VALUE"""),"Outback")</f>
        <v>Outback</v>
      </c>
      <c r="B661" s="4" t="str">
        <f>IFERROR(__xludf.DUMMYFUNCTION("""COMPUTED_VALUE"""),"Michel")</f>
        <v>Michel</v>
      </c>
      <c r="C661" s="4" t="str">
        <f>IFERROR(__xludf.DUMMYFUNCTION("""COMPUTED_VALUE"""),"Michel")</f>
        <v>Michel</v>
      </c>
      <c r="D661" s="4" t="str">
        <f>IFERROR(__xludf.DUMMYFUNCTION("""COMPUTED_VALUE"""),"12. Orgânico")</f>
        <v>12. Orgânico</v>
      </c>
      <c r="E661" s="4"/>
      <c r="F661" s="4" t="str">
        <f>IFERROR(__xludf.DUMMYFUNCTION("""COMPUTED_VALUE"""),"P")</f>
        <v>P</v>
      </c>
      <c r="G661" s="4"/>
      <c r="H661" s="4"/>
      <c r="I661" s="4"/>
      <c r="J661" s="4"/>
      <c r="K661" s="4"/>
      <c r="L661" s="4"/>
      <c r="M661" s="4"/>
      <c r="N661" s="4"/>
      <c r="O661" s="4"/>
      <c r="P661" s="4"/>
      <c r="Q661" s="4"/>
      <c r="R661" s="4"/>
      <c r="S661" s="4"/>
      <c r="T661" s="4"/>
      <c r="U661" s="4"/>
      <c r="V661" s="4"/>
      <c r="W661" s="4"/>
      <c r="X661" s="4"/>
      <c r="Y661" s="4"/>
      <c r="Z661" s="4"/>
      <c r="AA661" s="4">
        <f>IFERROR(__xludf.DUMMYFUNCTION("""COMPUTED_VALUE"""),18.0)</f>
        <v>18</v>
      </c>
      <c r="AB661" s="4"/>
      <c r="AC661" s="4"/>
      <c r="AD661" s="4"/>
      <c r="AE661" s="4"/>
      <c r="AF661" s="4"/>
      <c r="AG661" s="4"/>
      <c r="AH661" s="4"/>
      <c r="AI661" s="4"/>
      <c r="AJ661" s="4"/>
      <c r="AK661" s="4"/>
      <c r="AL661" s="4"/>
      <c r="AM661" s="4" t="str">
        <f>IFERROR(__xludf.DUMMYFUNCTION("""COMPUTED_VALUE"""),"Orgânico 3S")</f>
        <v>Orgânico 3S</v>
      </c>
      <c r="AN661" s="4"/>
      <c r="AO661" s="4">
        <f>IFERROR(__xludf.DUMMYFUNCTION("""COMPUTED_VALUE"""),45553.0)</f>
        <v>45553</v>
      </c>
      <c r="AP661" s="4"/>
      <c r="AQ661" s="4"/>
      <c r="AR661" s="4"/>
      <c r="AS661" s="4" t="str">
        <f>IFERROR(__xludf.DUMMYFUNCTION("""COMPUTED_VALUE"""),"ISABELA GOULART")</f>
        <v>ISABELA GOULART</v>
      </c>
      <c r="AT661" s="4" t="str">
        <f>IFERROR(__xludf.DUMMYFUNCTION("""COMPUTED_VALUE"""),"ANNA BALBINOT")</f>
        <v>ANNA BALBINOT</v>
      </c>
      <c r="AU661" s="4" t="str">
        <f>IFERROR(__xludf.DUMMYFUNCTION("""COMPUTED_VALUE"""),"Michel")</f>
        <v>Michel</v>
      </c>
      <c r="AV661" s="4" t="str">
        <f>IFERROR(__xludf.DUMMYFUNCTION("""COMPUTED_VALUE"""),"Comer Fora-")</f>
        <v>Comer Fora-</v>
      </c>
      <c r="AW661" s="20" t="str">
        <f>IFERROR(__xludf.DUMMYFUNCTION("""COMPUTED_VALUE"""),"P e M - pipe")</f>
        <v>P e M - pipe</v>
      </c>
      <c r="AX661" s="4"/>
      <c r="AY661" s="4"/>
      <c r="AZ661" s="4" t="str">
        <f>IFERROR(__xludf.DUMMYFUNCTION("""COMPUTED_VALUE"""),"Lanches")</f>
        <v>Lanches</v>
      </c>
      <c r="BA661" s="4" t="str">
        <f>IFERROR(__xludf.DUMMYFUNCTION("""COMPUTED_VALUE"""),"R$ 80-150")</f>
        <v>R$ 80-150</v>
      </c>
      <c r="BB661" s="4" t="str">
        <f>IFERROR(__xludf.DUMMYFUNCTION("""COMPUTED_VALUE"""),"Casual Dining - Churrascaria Americana")</f>
        <v>Casual Dining - Churrascaria Americana</v>
      </c>
      <c r="BC661" s="4" t="str">
        <f>IFERROR(__xludf.DUMMYFUNCTION("""COMPUTED_VALUE"""),"Nacional (188 lojas)")</f>
        <v>Nacional (188 lojas)</v>
      </c>
      <c r="BD661" s="4" t="str">
        <f>IFERROR(__xludf.DUMMYFUNCTION("""COMPUTED_VALUE"""),"Necessário Discovery (Bloomin Brands)")</f>
        <v>Necessário Discovery (Bloomin Brands)</v>
      </c>
      <c r="BE661" s="4">
        <f>IFERROR(__xludf.DUMMYFUNCTION("""COMPUTED_VALUE"""),80.0)</f>
        <v>80</v>
      </c>
      <c r="BF661" s="4">
        <f>IFERROR(__xludf.DUMMYFUNCTION("""COMPUTED_VALUE"""),0.82)</f>
        <v>0.82</v>
      </c>
      <c r="BG661" s="4" t="str">
        <f>IFERROR(__xludf.DUMMYFUNCTION("""COMPUTED_VALUE"""),"PDV E-Deploy já implementado (case público 2023). ALTA ADERÊNCIA: 188 lojas, expansão 2026 (+13). 3S fornece PDV Mobile, PDV balcão, KDS. Retrofit contínuo = oportunidade upsell")</f>
        <v>PDV E-Deploy já implementado (case público 2023). ALTA ADERÊNCIA: 188 lojas, expansão 2026 (+13). 3S fornece PDV Mobile, PDV balcão, KDS. Retrofit contínuo = oportunidade upsell</v>
      </c>
      <c r="BH661" s="4" t="s">
        <v>63</v>
      </c>
      <c r="BI661" s="7" t="s">
        <v>63</v>
      </c>
    </row>
    <row r="662" hidden="1">
      <c r="A662" s="4" t="str">
        <f>IFERROR(__xludf.DUMMYFUNCTION("""COMPUTED_VALUE"""),"Pão &amp; Cia Manaus")</f>
        <v>Pão &amp; Cia Manaus</v>
      </c>
      <c r="B662" s="4" t="str">
        <f>IFERROR(__xludf.DUMMYFUNCTION("""COMPUTED_VALUE"""),"Lídia Esteves")</f>
        <v>Lídia Esteves</v>
      </c>
      <c r="C662" s="4" t="str">
        <f>IFERROR(__xludf.DUMMYFUNCTION("""COMPUTED_VALUE"""),"Lídia Esteves")</f>
        <v>Lídia Esteves</v>
      </c>
      <c r="D662" s="4" t="str">
        <f>IFERROR(__xludf.DUMMYFUNCTION("""COMPUTED_VALUE"""),"9. Contrato assinado")</f>
        <v>9. Contrato assinado</v>
      </c>
      <c r="E662" s="4" t="str">
        <f>IFERROR(__xludf.DUMMYFUNCTION("""COMPUTED_VALUE""")," Projetos - Contrato assinado &amp; Rollout")</f>
        <v> Projetos - Contrato assinado &amp; Rollout</v>
      </c>
      <c r="F662" s="4" t="str">
        <f>IFERROR(__xludf.DUMMYFUNCTION("""COMPUTED_VALUE"""),"P")</f>
        <v>P</v>
      </c>
      <c r="G662" s="5">
        <f>IFERROR(__xludf.DUMMYFUNCTION("""COMPUTED_VALUE"""),46076.0)</f>
        <v>46076</v>
      </c>
      <c r="H662" s="4" t="str">
        <f>IFERROR(__xludf.DUMMYFUNCTION("""COMPUTED_VALUE"""),"contrato assinado")</f>
        <v>contrato assinado</v>
      </c>
      <c r="I662" s="4"/>
      <c r="J662" s="4"/>
      <c r="K662" s="6">
        <f>IFERROR(__xludf.DUMMYFUNCTION("""COMPUTED_VALUE"""),45899.0)</f>
        <v>45899</v>
      </c>
      <c r="L662" s="4"/>
      <c r="M662" s="4"/>
      <c r="N662" s="6">
        <f>IFERROR(__xludf.DUMMYFUNCTION("""COMPUTED_VALUE"""),45919.0)</f>
        <v>45919</v>
      </c>
      <c r="O662" s="4"/>
      <c r="P662" s="4"/>
      <c r="Q662" s="6">
        <f>IFERROR(__xludf.DUMMYFUNCTION("""COMPUTED_VALUE"""),45919.0)</f>
        <v>45919</v>
      </c>
      <c r="R662" s="4"/>
      <c r="S662" s="4"/>
      <c r="T662" s="4"/>
      <c r="U662" s="4"/>
      <c r="V662" s="4"/>
      <c r="W662" s="8">
        <f>IFERROR(__xludf.DUMMYFUNCTION("""COMPUTED_VALUE"""),510.0)</f>
        <v>510</v>
      </c>
      <c r="X662" s="4">
        <f>IFERROR(__xludf.DUMMYFUNCTION("""COMPUTED_VALUE"""),36.0)</f>
        <v>36</v>
      </c>
      <c r="Y662" s="8">
        <f>IFERROR(__xludf.DUMMYFUNCTION("""COMPUTED_VALUE"""),950.0)</f>
        <v>950</v>
      </c>
      <c r="Z662" s="8">
        <f>IFERROR(__xludf.DUMMYFUNCTION("""COMPUTED_VALUE"""),3600.0)</f>
        <v>3600</v>
      </c>
      <c r="AA662" s="4">
        <f>IFERROR(__xludf.DUMMYFUNCTION("""COMPUTED_VALUE"""),9.0)</f>
        <v>9</v>
      </c>
      <c r="AB662" s="4" t="str">
        <f>IFERROR(__xludf.DUMMYFUNCTION("""COMPUTED_VALUE"""),"NÃO")</f>
        <v>NÃO</v>
      </c>
      <c r="AC662" s="4" t="str">
        <f>IFERROR(__xludf.DUMMYFUNCTION("""COMPUTED_VALUE"""),"Não BP")</f>
        <v>Não BP</v>
      </c>
      <c r="AD662" s="4"/>
      <c r="AE662" s="4"/>
      <c r="AF662" s="4"/>
      <c r="AG662" s="4"/>
      <c r="AH662" s="4"/>
      <c r="AI662" s="4"/>
      <c r="AJ662" s="4"/>
      <c r="AK662" s="4"/>
      <c r="AL662" s="4"/>
      <c r="AM662" s="4" t="str">
        <f>IFERROR(__xludf.DUMMYFUNCTION("""COMPUTED_VALUE"""),"FY26")</f>
        <v>FY26</v>
      </c>
      <c r="AN662" s="4"/>
      <c r="AO662" s="4">
        <f>IFERROR(__xludf.DUMMYFUNCTION("""COMPUTED_VALUE"""),140.0)</f>
        <v>140</v>
      </c>
      <c r="AP662" s="4"/>
      <c r="AQ662" s="4"/>
      <c r="AR662" s="4"/>
      <c r="AS662" s="4">
        <f>IFERROR(__xludf.DUMMYFUNCTION("""COMPUTED_VALUE"""),0.0)</f>
        <v>0</v>
      </c>
      <c r="AT662" s="4">
        <f>IFERROR(__xludf.DUMMYFUNCTION("""COMPUTED_VALUE"""),0.0)</f>
        <v>0</v>
      </c>
      <c r="AU662" s="4" t="str">
        <f>IFERROR(__xludf.DUMMYFUNCTION("""COMPUTED_VALUE"""),"Lídia")</f>
        <v>Lídia</v>
      </c>
      <c r="AV662" s="4">
        <f>IFERROR(__xludf.DUMMYFUNCTION("""COMPUTED_VALUE"""),0.0)</f>
        <v>0</v>
      </c>
      <c r="AW662" s="4">
        <f>IFERROR(__xludf.DUMMYFUNCTION("""COMPUTED_VALUE"""),0.0)</f>
        <v>0</v>
      </c>
      <c r="AX662" s="4">
        <f>IFERROR(__xludf.DUMMYFUNCTION("""COMPUTED_VALUE"""),0.0)</f>
        <v>0</v>
      </c>
      <c r="AY662" s="4">
        <f>IFERROR(__xludf.DUMMYFUNCTION("""COMPUTED_VALUE"""),0.0)</f>
        <v>0</v>
      </c>
      <c r="AZ662" s="4" t="str">
        <f>IFERROR(__xludf.DUMMYFUNCTION("""COMPUTED_VALUE"""),"#N/A")</f>
        <v>#N/A</v>
      </c>
      <c r="BA662" s="4" t="str">
        <f>IFERROR(__xludf.DUMMYFUNCTION("""COMPUTED_VALUE"""),"")</f>
        <v/>
      </c>
      <c r="BB662" s="4" t="str">
        <f>IFERROR(__xludf.DUMMYFUNCTION("""COMPUTED_VALUE"""),"")</f>
        <v/>
      </c>
      <c r="BC662" s="4" t="str">
        <f>IFERROR(__xludf.DUMMYFUNCTION("""COMPUTED_VALUE"""),"")</f>
        <v/>
      </c>
      <c r="BD662" s="4" t="str">
        <f>IFERROR(__xludf.DUMMYFUNCTION("""COMPUTED_VALUE"""),"")</f>
        <v/>
      </c>
      <c r="BE662" s="4" t="str">
        <f>IFERROR(__xludf.DUMMYFUNCTION("""COMPUTED_VALUE"""),"")</f>
        <v/>
      </c>
      <c r="BF662" s="4" t="str">
        <f>IFERROR(__xludf.DUMMYFUNCTION("""COMPUTED_VALUE"""),"")</f>
        <v/>
      </c>
      <c r="BG662" s="4" t="str">
        <f>IFERROR(__xludf.DUMMYFUNCTION("""COMPUTED_VALUE"""),"")</f>
        <v/>
      </c>
      <c r="BH662" s="4" t="s">
        <v>63</v>
      </c>
      <c r="BI662" s="7" t="s">
        <v>63</v>
      </c>
    </row>
    <row r="663" hidden="1">
      <c r="A663" s="4" t="str">
        <f>IFERROR(__xludf.DUMMYFUNCTION("""COMPUTED_VALUE"""),"Papiladeli")</f>
        <v>Papiladeli</v>
      </c>
      <c r="B663" s="4" t="str">
        <f>IFERROR(__xludf.DUMMYFUNCTION("""COMPUTED_VALUE"""),"Michel")</f>
        <v>Michel</v>
      </c>
      <c r="C663" s="4" t="str">
        <f>IFERROR(__xludf.DUMMYFUNCTION("""COMPUTED_VALUE"""),"Michel")</f>
        <v>Michel</v>
      </c>
      <c r="D663" s="4" t="str">
        <f>IFERROR(__xludf.DUMMYFUNCTION("""COMPUTED_VALUE"""),"12. Orgânico")</f>
        <v>12. Orgânico</v>
      </c>
      <c r="E663" s="4"/>
      <c r="F663" s="4" t="str">
        <f>IFERROR(__xludf.DUMMYFUNCTION("""COMPUTED_VALUE"""),"P")</f>
        <v>P</v>
      </c>
      <c r="G663" s="4"/>
      <c r="H663" s="4"/>
      <c r="I663" s="4"/>
      <c r="J663" s="4"/>
      <c r="K663" s="4"/>
      <c r="L663" s="4"/>
      <c r="M663" s="4"/>
      <c r="N663" s="4"/>
      <c r="O663" s="4"/>
      <c r="P663" s="4"/>
      <c r="Q663" s="4"/>
      <c r="R663" s="4"/>
      <c r="S663" s="4"/>
      <c r="T663" s="4"/>
      <c r="U663" s="4"/>
      <c r="V663" s="4"/>
      <c r="W663" s="4"/>
      <c r="X663" s="4"/>
      <c r="Y663" s="4"/>
      <c r="Z663" s="4"/>
      <c r="AA663" s="4">
        <f>IFERROR(__xludf.DUMMYFUNCTION("""COMPUTED_VALUE"""),3.0)</f>
        <v>3</v>
      </c>
      <c r="AB663" s="4"/>
      <c r="AC663" s="4"/>
      <c r="AD663" s="4"/>
      <c r="AE663" s="4"/>
      <c r="AF663" s="4"/>
      <c r="AG663" s="4"/>
      <c r="AH663" s="4"/>
      <c r="AI663" s="4"/>
      <c r="AJ663" s="4"/>
      <c r="AK663" s="4"/>
      <c r="AL663" s="4"/>
      <c r="AM663" s="4" t="str">
        <f>IFERROR(__xludf.DUMMYFUNCTION("""COMPUTED_VALUE"""),"Orgânico 3S")</f>
        <v>Orgânico 3S</v>
      </c>
      <c r="AN663" s="4"/>
      <c r="AO663" s="4">
        <f>IFERROR(__xludf.DUMMYFUNCTION("""COMPUTED_VALUE"""),45553.0)</f>
        <v>45553</v>
      </c>
      <c r="AP663" s="4"/>
      <c r="AQ663" s="4"/>
      <c r="AR663" s="4"/>
      <c r="AS663" s="4">
        <f>IFERROR(__xludf.DUMMYFUNCTION("""COMPUTED_VALUE"""),0.0)</f>
        <v>0</v>
      </c>
      <c r="AT663" s="4">
        <f>IFERROR(__xludf.DUMMYFUNCTION("""COMPUTED_VALUE"""),0.0)</f>
        <v>0</v>
      </c>
      <c r="AU663" s="4" t="str">
        <f>IFERROR(__xludf.DUMMYFUNCTION("""COMPUTED_VALUE"""),"Michel")</f>
        <v>Michel</v>
      </c>
      <c r="AV663" s="4" t="str">
        <f>IFERROR(__xludf.DUMMYFUNCTION("""COMPUTED_VALUE"""),"Comer Fora-")</f>
        <v>Comer Fora-</v>
      </c>
      <c r="AW663" s="20" t="str">
        <f>IFERROR(__xludf.DUMMYFUNCTION("""COMPUTED_VALUE"""),"P - 5 a 9 lojas")</f>
        <v>P - 5 a 9 lojas</v>
      </c>
      <c r="AX663" s="4"/>
      <c r="AY663" s="4"/>
      <c r="AZ663" s="4">
        <f>IFERROR(__xludf.DUMMYFUNCTION("""COMPUTED_VALUE"""),0.0)</f>
        <v>0</v>
      </c>
      <c r="BA663" s="4" t="str">
        <f>IFERROR(__xludf.DUMMYFUNCTION("""COMPUTED_VALUE"""),"")</f>
        <v/>
      </c>
      <c r="BB663" s="4" t="str">
        <f>IFERROR(__xludf.DUMMYFUNCTION("""COMPUTED_VALUE"""),"")</f>
        <v/>
      </c>
      <c r="BC663" s="4" t="str">
        <f>IFERROR(__xludf.DUMMYFUNCTION("""COMPUTED_VALUE"""),"")</f>
        <v/>
      </c>
      <c r="BD663" s="4" t="str">
        <f>IFERROR(__xludf.DUMMYFUNCTION("""COMPUTED_VALUE"""),"")</f>
        <v/>
      </c>
      <c r="BE663" s="4" t="str">
        <f>IFERROR(__xludf.DUMMYFUNCTION("""COMPUTED_VALUE"""),"")</f>
        <v/>
      </c>
      <c r="BF663" s="4" t="str">
        <f>IFERROR(__xludf.DUMMYFUNCTION("""COMPUTED_VALUE"""),"")</f>
        <v/>
      </c>
      <c r="BG663" s="4" t="str">
        <f>IFERROR(__xludf.DUMMYFUNCTION("""COMPUTED_VALUE"""),"")</f>
        <v/>
      </c>
      <c r="BH663" s="4" t="s">
        <v>63</v>
      </c>
      <c r="BI663" s="7" t="s">
        <v>63</v>
      </c>
    </row>
    <row r="664" hidden="1">
      <c r="A664" s="4" t="str">
        <f>IFERROR(__xludf.DUMMYFUNCTION("""COMPUTED_VALUE"""),"Parada 17")</f>
        <v>Parada 17</v>
      </c>
      <c r="B664" s="4" t="str">
        <f>IFERROR(__xludf.DUMMYFUNCTION("""COMPUTED_VALUE"""),"Michel")</f>
        <v>Michel</v>
      </c>
      <c r="C664" s="4" t="str">
        <f>IFERROR(__xludf.DUMMYFUNCTION("""COMPUTED_VALUE"""),"Michel")</f>
        <v>Michel</v>
      </c>
      <c r="D664" s="4" t="str">
        <f>IFERROR(__xludf.DUMMYFUNCTION("""COMPUTED_VALUE"""),"12. Orgânico")</f>
        <v>12. Orgânico</v>
      </c>
      <c r="E664" s="4"/>
      <c r="F664" s="4" t="str">
        <f>IFERROR(__xludf.DUMMYFUNCTION("""COMPUTED_VALUE"""),"P")</f>
        <v>P</v>
      </c>
      <c r="G664" s="4"/>
      <c r="H664" s="4"/>
      <c r="I664" s="4"/>
      <c r="J664" s="4"/>
      <c r="K664" s="4"/>
      <c r="L664" s="4"/>
      <c r="M664" s="4"/>
      <c r="N664" s="4"/>
      <c r="O664" s="4"/>
      <c r="P664" s="4"/>
      <c r="Q664" s="4"/>
      <c r="R664" s="4"/>
      <c r="S664" s="4"/>
      <c r="T664" s="4"/>
      <c r="U664" s="4"/>
      <c r="V664" s="4"/>
      <c r="W664" s="4"/>
      <c r="X664" s="4"/>
      <c r="Y664" s="4"/>
      <c r="Z664" s="4"/>
      <c r="AA664" s="4">
        <f>IFERROR(__xludf.DUMMYFUNCTION("""COMPUTED_VALUE"""),2.0)</f>
        <v>2</v>
      </c>
      <c r="AB664" s="4"/>
      <c r="AC664" s="4"/>
      <c r="AD664" s="4"/>
      <c r="AE664" s="4"/>
      <c r="AF664" s="4"/>
      <c r="AG664" s="4"/>
      <c r="AH664" s="4"/>
      <c r="AI664" s="4"/>
      <c r="AJ664" s="4"/>
      <c r="AK664" s="4"/>
      <c r="AL664" s="4"/>
      <c r="AM664" s="4" t="str">
        <f>IFERROR(__xludf.DUMMYFUNCTION("""COMPUTED_VALUE"""),"Orgânico 3S")</f>
        <v>Orgânico 3S</v>
      </c>
      <c r="AN664" s="4"/>
      <c r="AO664" s="4">
        <f>IFERROR(__xludf.DUMMYFUNCTION("""COMPUTED_VALUE"""),45553.0)</f>
        <v>45553</v>
      </c>
      <c r="AP664" s="4"/>
      <c r="AQ664" s="4"/>
      <c r="AR664" s="4"/>
      <c r="AS664" s="4">
        <f>IFERROR(__xludf.DUMMYFUNCTION("""COMPUTED_VALUE"""),0.0)</f>
        <v>0</v>
      </c>
      <c r="AT664" s="4">
        <f>IFERROR(__xludf.DUMMYFUNCTION("""COMPUTED_VALUE"""),0.0)</f>
        <v>0</v>
      </c>
      <c r="AU664" s="4" t="str">
        <f>IFERROR(__xludf.DUMMYFUNCTION("""COMPUTED_VALUE"""),"Michel")</f>
        <v>Michel</v>
      </c>
      <c r="AV664" s="4">
        <f>IFERROR(__xludf.DUMMYFUNCTION("""COMPUTED_VALUE"""),0.0)</f>
        <v>0</v>
      </c>
      <c r="AW664" s="4">
        <f>IFERROR(__xludf.DUMMYFUNCTION("""COMPUTED_VALUE"""),0.0)</f>
        <v>0</v>
      </c>
      <c r="AX664" s="4">
        <f>IFERROR(__xludf.DUMMYFUNCTION("""COMPUTED_VALUE"""),0.0)</f>
        <v>0</v>
      </c>
      <c r="AY664" s="4"/>
      <c r="AZ664" s="4">
        <f>IFERROR(__xludf.DUMMYFUNCTION("""COMPUTED_VALUE"""),0.0)</f>
        <v>0</v>
      </c>
      <c r="BA664" s="4" t="str">
        <f>IFERROR(__xludf.DUMMYFUNCTION("""COMPUTED_VALUE"""),"")</f>
        <v/>
      </c>
      <c r="BB664" s="4" t="str">
        <f>IFERROR(__xludf.DUMMYFUNCTION("""COMPUTED_VALUE"""),"")</f>
        <v/>
      </c>
      <c r="BC664" s="4" t="str">
        <f>IFERROR(__xludf.DUMMYFUNCTION("""COMPUTED_VALUE"""),"")</f>
        <v/>
      </c>
      <c r="BD664" s="4" t="str">
        <f>IFERROR(__xludf.DUMMYFUNCTION("""COMPUTED_VALUE"""),"")</f>
        <v/>
      </c>
      <c r="BE664" s="4" t="str">
        <f>IFERROR(__xludf.DUMMYFUNCTION("""COMPUTED_VALUE"""),"")</f>
        <v/>
      </c>
      <c r="BF664" s="4" t="str">
        <f>IFERROR(__xludf.DUMMYFUNCTION("""COMPUTED_VALUE"""),"")</f>
        <v/>
      </c>
      <c r="BG664" s="4" t="str">
        <f>IFERROR(__xludf.DUMMYFUNCTION("""COMPUTED_VALUE"""),"")</f>
        <v/>
      </c>
      <c r="BH664" s="4" t="s">
        <v>63</v>
      </c>
      <c r="BI664" s="7" t="s">
        <v>63</v>
      </c>
    </row>
    <row r="665" hidden="1">
      <c r="A665" s="4" t="str">
        <f>IFERROR(__xludf.DUMMYFUNCTION("""COMPUTED_VALUE"""),"Paul'S Boutique Pizza")</f>
        <v>Paul'S Boutique Pizza</v>
      </c>
      <c r="B665" s="4" t="str">
        <f>IFERROR(__xludf.DUMMYFUNCTION("""COMPUTED_VALUE"""),"Michel")</f>
        <v>Michel</v>
      </c>
      <c r="C665" s="4" t="str">
        <f>IFERROR(__xludf.DUMMYFUNCTION("""COMPUTED_VALUE"""),"Michel")</f>
        <v>Michel</v>
      </c>
      <c r="D665" s="4" t="str">
        <f>IFERROR(__xludf.DUMMYFUNCTION("""COMPUTED_VALUE"""),"9. Contrato assinado")</f>
        <v>9. Contrato assinado</v>
      </c>
      <c r="E665" s="4"/>
      <c r="F665" s="4" t="str">
        <f>IFERROR(__xludf.DUMMYFUNCTION("""COMPUTED_VALUE"""),"P")</f>
        <v>P</v>
      </c>
      <c r="G665" s="4"/>
      <c r="H665" s="4"/>
      <c r="I665" s="4"/>
      <c r="J665" s="4"/>
      <c r="K665" s="6">
        <f>IFERROR(__xludf.DUMMYFUNCTION("""COMPUTED_VALUE"""),45870.0)</f>
        <v>45870</v>
      </c>
      <c r="L665" s="4"/>
      <c r="M665" s="4"/>
      <c r="N665" s="6">
        <f>IFERROR(__xludf.DUMMYFUNCTION("""COMPUTED_VALUE"""),45894.0)</f>
        <v>45894</v>
      </c>
      <c r="O665" s="4"/>
      <c r="P665" s="4"/>
      <c r="Q665" s="6">
        <f>IFERROR(__xludf.DUMMYFUNCTION("""COMPUTED_VALUE"""),45894.0)</f>
        <v>45894</v>
      </c>
      <c r="R665" s="4"/>
      <c r="S665" s="4"/>
      <c r="T665" s="4"/>
      <c r="U665" s="4"/>
      <c r="V665" s="4"/>
      <c r="W665" s="4"/>
      <c r="X665" s="4"/>
      <c r="Y665" s="4"/>
      <c r="Z665" s="4"/>
      <c r="AA665" s="4">
        <f>IFERROR(__xludf.DUMMYFUNCTION("""COMPUTED_VALUE"""),2.0)</f>
        <v>2</v>
      </c>
      <c r="AB665" s="4"/>
      <c r="AC665" s="4"/>
      <c r="AD665" s="4"/>
      <c r="AE665" s="4"/>
      <c r="AF665" s="4"/>
      <c r="AG665" s="4"/>
      <c r="AH665" s="4"/>
      <c r="AI665" s="4"/>
      <c r="AJ665" s="4"/>
      <c r="AK665" s="4"/>
      <c r="AL665" s="4"/>
      <c r="AM665" s="4" t="str">
        <f>IFERROR(__xludf.DUMMYFUNCTION("""COMPUTED_VALUE"""),"FY26")</f>
        <v>FY26</v>
      </c>
      <c r="AN665" s="4"/>
      <c r="AO665" s="4">
        <f>IFERROR(__xludf.DUMMYFUNCTION("""COMPUTED_VALUE"""),45553.0)</f>
        <v>45553</v>
      </c>
      <c r="AP665" s="4"/>
      <c r="AQ665" s="4"/>
      <c r="AR665" s="4"/>
      <c r="AS665" s="4">
        <f>IFERROR(__xludf.DUMMYFUNCTION("""COMPUTED_VALUE"""),0.0)</f>
        <v>0</v>
      </c>
      <c r="AT665" s="4">
        <f>IFERROR(__xludf.DUMMYFUNCTION("""COMPUTED_VALUE"""),0.0)</f>
        <v>0</v>
      </c>
      <c r="AU665" s="4" t="str">
        <f>IFERROR(__xludf.DUMMYFUNCTION("""COMPUTED_VALUE"""),"Michel")</f>
        <v>Michel</v>
      </c>
      <c r="AV665" s="4">
        <f>IFERROR(__xludf.DUMMYFUNCTION("""COMPUTED_VALUE"""),0.0)</f>
        <v>0</v>
      </c>
      <c r="AW665" s="4">
        <f>IFERROR(__xludf.DUMMYFUNCTION("""COMPUTED_VALUE"""),0.0)</f>
        <v>0</v>
      </c>
      <c r="AX665" s="4">
        <f>IFERROR(__xludf.DUMMYFUNCTION("""COMPUTED_VALUE"""),0.0)</f>
        <v>0</v>
      </c>
      <c r="AY665" s="4">
        <f>IFERROR(__xludf.DUMMYFUNCTION("""COMPUTED_VALUE"""),0.0)</f>
        <v>0</v>
      </c>
      <c r="AZ665" s="4" t="str">
        <f>IFERROR(__xludf.DUMMYFUNCTION("""COMPUTED_VALUE"""),"#N/A")</f>
        <v>#N/A</v>
      </c>
      <c r="BA665" s="4" t="str">
        <f>IFERROR(__xludf.DUMMYFUNCTION("""COMPUTED_VALUE"""),"")</f>
        <v/>
      </c>
      <c r="BB665" s="4" t="str">
        <f>IFERROR(__xludf.DUMMYFUNCTION("""COMPUTED_VALUE"""),"")</f>
        <v/>
      </c>
      <c r="BC665" s="4" t="str">
        <f>IFERROR(__xludf.DUMMYFUNCTION("""COMPUTED_VALUE"""),"")</f>
        <v/>
      </c>
      <c r="BD665" s="4" t="str">
        <f>IFERROR(__xludf.DUMMYFUNCTION("""COMPUTED_VALUE"""),"")</f>
        <v/>
      </c>
      <c r="BE665" s="4" t="str">
        <f>IFERROR(__xludf.DUMMYFUNCTION("""COMPUTED_VALUE"""),"")</f>
        <v/>
      </c>
      <c r="BF665" s="4" t="str">
        <f>IFERROR(__xludf.DUMMYFUNCTION("""COMPUTED_VALUE"""),"")</f>
        <v/>
      </c>
      <c r="BG665" s="4" t="str">
        <f>IFERROR(__xludf.DUMMYFUNCTION("""COMPUTED_VALUE"""),"")</f>
        <v/>
      </c>
      <c r="BH665" s="4" t="s">
        <v>63</v>
      </c>
      <c r="BI665" s="7" t="s">
        <v>63</v>
      </c>
    </row>
    <row r="666" hidden="1">
      <c r="A666" s="4" t="str">
        <f>IFERROR(__xludf.DUMMYFUNCTION("""COMPUTED_VALUE"""),"Piadina")</f>
        <v>Piadina</v>
      </c>
      <c r="B666" s="4" t="str">
        <f>IFERROR(__xludf.DUMMYFUNCTION("""COMPUTED_VALUE"""),"Michel")</f>
        <v>Michel</v>
      </c>
      <c r="C666" s="4" t="str">
        <f>IFERROR(__xludf.DUMMYFUNCTION("""COMPUTED_VALUE"""),"Michel")</f>
        <v>Michel</v>
      </c>
      <c r="D666" s="4" t="str">
        <f>IFERROR(__xludf.DUMMYFUNCTION("""COMPUTED_VALUE"""),"12. Orgânico")</f>
        <v>12. Orgânico</v>
      </c>
      <c r="E666" s="4"/>
      <c r="F666" s="4" t="str">
        <f>IFERROR(__xludf.DUMMYFUNCTION("""COMPUTED_VALUE"""),"P")</f>
        <v>P</v>
      </c>
      <c r="G666" s="4"/>
      <c r="H666" s="4"/>
      <c r="I666" s="4"/>
      <c r="J666" s="4"/>
      <c r="K666" s="4"/>
      <c r="L666" s="4"/>
      <c r="M666" s="4"/>
      <c r="N666" s="4"/>
      <c r="O666" s="4"/>
      <c r="P666" s="4"/>
      <c r="Q666" s="4"/>
      <c r="R666" s="4"/>
      <c r="S666" s="4"/>
      <c r="T666" s="4"/>
      <c r="U666" s="4"/>
      <c r="V666" s="4"/>
      <c r="W666" s="4"/>
      <c r="X666" s="4"/>
      <c r="Y666" s="4"/>
      <c r="Z666" s="4"/>
      <c r="AA666" s="4">
        <f>IFERROR(__xludf.DUMMYFUNCTION("""COMPUTED_VALUE"""),3.0)</f>
        <v>3</v>
      </c>
      <c r="AB666" s="4"/>
      <c r="AC666" s="4"/>
      <c r="AD666" s="4"/>
      <c r="AE666" s="4"/>
      <c r="AF666" s="4"/>
      <c r="AG666" s="4"/>
      <c r="AH666" s="4"/>
      <c r="AI666" s="4"/>
      <c r="AJ666" s="4"/>
      <c r="AK666" s="4"/>
      <c r="AL666" s="4"/>
      <c r="AM666" s="4" t="str">
        <f>IFERROR(__xludf.DUMMYFUNCTION("""COMPUTED_VALUE"""),"Orgânico 3S")</f>
        <v>Orgânico 3S</v>
      </c>
      <c r="AN666" s="4"/>
      <c r="AO666" s="4">
        <f>IFERROR(__xludf.DUMMYFUNCTION("""COMPUTED_VALUE"""),45553.0)</f>
        <v>45553</v>
      </c>
      <c r="AP666" s="4"/>
      <c r="AQ666" s="4"/>
      <c r="AR666" s="4"/>
      <c r="AS666" s="4">
        <f>IFERROR(__xludf.DUMMYFUNCTION("""COMPUTED_VALUE"""),0.0)</f>
        <v>0</v>
      </c>
      <c r="AT666" s="4">
        <f>IFERROR(__xludf.DUMMYFUNCTION("""COMPUTED_VALUE"""),0.0)</f>
        <v>0</v>
      </c>
      <c r="AU666" s="4" t="str">
        <f>IFERROR(__xludf.DUMMYFUNCTION("""COMPUTED_VALUE"""),"Michel")</f>
        <v>Michel</v>
      </c>
      <c r="AV666" s="4">
        <f>IFERROR(__xludf.DUMMYFUNCTION("""COMPUTED_VALUE"""),0.0)</f>
        <v>0</v>
      </c>
      <c r="AW666" s="4">
        <f>IFERROR(__xludf.DUMMYFUNCTION("""COMPUTED_VALUE"""),0.0)</f>
        <v>0</v>
      </c>
      <c r="AX666" s="4">
        <f>IFERROR(__xludf.DUMMYFUNCTION("""COMPUTED_VALUE"""),0.0)</f>
        <v>0</v>
      </c>
      <c r="AY666" s="4"/>
      <c r="AZ666" s="4">
        <f>IFERROR(__xludf.DUMMYFUNCTION("""COMPUTED_VALUE"""),0.0)</f>
        <v>0</v>
      </c>
      <c r="BA666" s="4" t="str">
        <f>IFERROR(__xludf.DUMMYFUNCTION("""COMPUTED_VALUE"""),"")</f>
        <v/>
      </c>
      <c r="BB666" s="4" t="str">
        <f>IFERROR(__xludf.DUMMYFUNCTION("""COMPUTED_VALUE"""),"")</f>
        <v/>
      </c>
      <c r="BC666" s="4" t="str">
        <f>IFERROR(__xludf.DUMMYFUNCTION("""COMPUTED_VALUE"""),"")</f>
        <v/>
      </c>
      <c r="BD666" s="4" t="str">
        <f>IFERROR(__xludf.DUMMYFUNCTION("""COMPUTED_VALUE"""),"")</f>
        <v/>
      </c>
      <c r="BE666" s="4" t="str">
        <f>IFERROR(__xludf.DUMMYFUNCTION("""COMPUTED_VALUE"""),"")</f>
        <v/>
      </c>
      <c r="BF666" s="4" t="str">
        <f>IFERROR(__xludf.DUMMYFUNCTION("""COMPUTED_VALUE"""),"")</f>
        <v/>
      </c>
      <c r="BG666" s="4" t="str">
        <f>IFERROR(__xludf.DUMMYFUNCTION("""COMPUTED_VALUE"""),"")</f>
        <v/>
      </c>
      <c r="BH666" s="4" t="s">
        <v>63</v>
      </c>
      <c r="BI666" s="7" t="s">
        <v>63</v>
      </c>
    </row>
    <row r="667" hidden="1">
      <c r="A667" s="4" t="str">
        <f>IFERROR(__xludf.DUMMYFUNCTION("""COMPUTED_VALUE"""),"Pikurruchas")</f>
        <v>Pikurruchas</v>
      </c>
      <c r="B667" s="4" t="str">
        <f>IFERROR(__xludf.DUMMYFUNCTION("""COMPUTED_VALUE"""),"Ana")</f>
        <v>Ana</v>
      </c>
      <c r="C667" s="4" t="str">
        <f>IFERROR(__xludf.DUMMYFUNCTION("""COMPUTED_VALUE"""),"Ana")</f>
        <v>Ana</v>
      </c>
      <c r="D667" s="4" t="str">
        <f>IFERROR(__xludf.DUMMYFUNCTION("""COMPUTED_VALUE"""),"10. Perdido")</f>
        <v>10. Perdido</v>
      </c>
      <c r="E667" s="4" t="str">
        <f>IFERROR(__xludf.DUMMYFUNCTION("""COMPUTED_VALUE"""),"Perdido - Outro (detalhar ao lado)")</f>
        <v>Perdido - Outro (detalhar ao lado)</v>
      </c>
      <c r="F667" s="4" t="str">
        <f>IFERROR(__xludf.DUMMYFUNCTION("""COMPUTED_VALUE"""),"P")</f>
        <v>P</v>
      </c>
      <c r="G667" s="5">
        <f>IFERROR(__xludf.DUMMYFUNCTION("""COMPUTED_VALUE"""),46097.0)</f>
        <v>46097</v>
      </c>
      <c r="H667" s="4" t="str">
        <f>IFERROR(__xludf.DUMMYFUNCTION("""COMPUTED_VALUE"""),"executiva pediu demissão, parceiro em transição de carteira... estou avaliando quem está cobrindo esse parceiro para tentar conciliar uma agenda")</f>
        <v>executiva pediu demissão, parceiro em transição de carteira... estou avaliando quem está cobrindo esse parceiro para tentar conciliar uma agenda</v>
      </c>
      <c r="I667" s="4"/>
      <c r="J667" s="6">
        <f>IFERROR(__xludf.DUMMYFUNCTION("""COMPUTED_VALUE"""),46052.42660733796)</f>
        <v>46052.42661</v>
      </c>
      <c r="K667" s="4"/>
      <c r="L667" s="4"/>
      <c r="M667" s="4"/>
      <c r="N667" s="4"/>
      <c r="O667" s="4"/>
      <c r="P667" s="4"/>
      <c r="Q667" s="4"/>
      <c r="R667" s="6">
        <f>IFERROR(__xludf.DUMMYFUNCTION("""COMPUTED_VALUE"""),46098.47273930555)</f>
        <v>46098.47274</v>
      </c>
      <c r="S667" s="4"/>
      <c r="T667" s="4"/>
      <c r="U667" s="4"/>
      <c r="V667" s="4" t="str">
        <f>IFERROR(__xludf.DUMMYFUNCTION("""COMPUTED_VALUE"""),"Sem interesse em mudar de PDV")</f>
        <v>Sem interesse em mudar de PDV</v>
      </c>
      <c r="W667" s="4"/>
      <c r="X667" s="4"/>
      <c r="Y667" s="4"/>
      <c r="Z667" s="4"/>
      <c r="AA667" s="4">
        <f>IFERROR(__xludf.DUMMYFUNCTION("""COMPUTED_VALUE"""),5.0)</f>
        <v>5</v>
      </c>
      <c r="AB667" s="4" t="str">
        <f>IFERROR(__xludf.DUMMYFUNCTION("""COMPUTED_VALUE"""),"NÃO")</f>
        <v>NÃO</v>
      </c>
      <c r="AC667" s="4" t="str">
        <f>IFERROR(__xludf.DUMMYFUNCTION("""COMPUTED_VALUE"""),"BP")</f>
        <v>BP</v>
      </c>
      <c r="AD667" s="4"/>
      <c r="AE667" s="4"/>
      <c r="AF667" s="4"/>
      <c r="AG667" s="4"/>
      <c r="AH667" s="4"/>
      <c r="AI667" s="4"/>
      <c r="AJ667" s="4"/>
      <c r="AK667" s="4"/>
      <c r="AL667" s="4"/>
      <c r="AM667" s="4" t="str">
        <f>IFERROR(__xludf.DUMMYFUNCTION("""COMPUTED_VALUE"""),"FY26")</f>
        <v>FY26</v>
      </c>
      <c r="AN667" s="4" t="str">
        <f>IFERROR(__xludf.DUMMYFUNCTION("""COMPUTED_VALUE"""),"Comer Fora")</f>
        <v>Comer Fora</v>
      </c>
      <c r="AO667" s="4">
        <f>IFERROR(__xludf.DUMMYFUNCTION("""COMPUTED_VALUE"""),117.0)</f>
        <v>117</v>
      </c>
      <c r="AP667" s="4"/>
      <c r="AQ667" s="4"/>
      <c r="AR667" s="4"/>
      <c r="AS667" s="4" t="str">
        <f>IFERROR(__xludf.DUMMYFUNCTION("""COMPUTED_VALUE"""),"NATHALIE MERTENS")</f>
        <v>NATHALIE MERTENS</v>
      </c>
      <c r="AT667" s="4" t="str">
        <f>IFERROR(__xludf.DUMMYFUNCTION("""COMPUTED_VALUE"""),"MARIANA KATZ")</f>
        <v>MARIANA KATZ</v>
      </c>
      <c r="AU667" s="4" t="str">
        <f>IFERROR(__xludf.DUMMYFUNCTION("""COMPUTED_VALUE"""),"Ana")</f>
        <v>Ana</v>
      </c>
      <c r="AV667" s="4" t="str">
        <f>IFERROR(__xludf.DUMMYFUNCTION("""COMPUTED_VALUE"""),"Comer Fora-")</f>
        <v>Comer Fora-</v>
      </c>
      <c r="AW667" s="20" t="str">
        <f>IFERROR(__xludf.DUMMYFUNCTION("""COMPUTED_VALUE"""),"P e M - pipe")</f>
        <v>P e M - pipe</v>
      </c>
      <c r="AX667" s="4"/>
      <c r="AY667" s="4"/>
      <c r="AZ667" s="4" t="str">
        <f>IFERROR(__xludf.DUMMYFUNCTION("""COMPUTED_VALUE"""),"Doces &amp; Bolos")</f>
        <v>Doces &amp; Bolos</v>
      </c>
      <c r="BA667" s="4" t="str">
        <f>IFERROR(__xludf.DUMMYFUNCTION("""COMPUTED_VALUE"""),"")</f>
        <v/>
      </c>
      <c r="BB667" s="4" t="str">
        <f>IFERROR(__xludf.DUMMYFUNCTION("""COMPUTED_VALUE"""),"")</f>
        <v/>
      </c>
      <c r="BC667" s="4" t="str">
        <f>IFERROR(__xludf.DUMMYFUNCTION("""COMPUTED_VALUE"""),"")</f>
        <v/>
      </c>
      <c r="BD667" s="4" t="str">
        <f>IFERROR(__xludf.DUMMYFUNCTION("""COMPUTED_VALUE"""),"")</f>
        <v/>
      </c>
      <c r="BE667" s="4" t="str">
        <f>IFERROR(__xludf.DUMMYFUNCTION("""COMPUTED_VALUE"""),"")</f>
        <v/>
      </c>
      <c r="BF667" s="4" t="str">
        <f>IFERROR(__xludf.DUMMYFUNCTION("""COMPUTED_VALUE"""),"")</f>
        <v/>
      </c>
      <c r="BG667" s="4" t="str">
        <f>IFERROR(__xludf.DUMMYFUNCTION("""COMPUTED_VALUE"""),"")</f>
        <v/>
      </c>
      <c r="BH667" s="4" t="s">
        <v>63</v>
      </c>
      <c r="BI667" s="7" t="s">
        <v>63</v>
      </c>
    </row>
    <row r="668" hidden="1">
      <c r="A668" s="4" t="str">
        <f>IFERROR(__xludf.DUMMYFUNCTION("""COMPUTED_VALUE"""),"Pita Kebab")</f>
        <v>Pita Kebab</v>
      </c>
      <c r="B668" s="4" t="str">
        <f>IFERROR(__xludf.DUMMYFUNCTION("""COMPUTED_VALUE"""),"Lídia Esteves")</f>
        <v>Lídia Esteves</v>
      </c>
      <c r="C668" s="4" t="str">
        <f>IFERROR(__xludf.DUMMYFUNCTION("""COMPUTED_VALUE"""),"Lídia Esteves")</f>
        <v>Lídia Esteves</v>
      </c>
      <c r="D668" s="4" t="str">
        <f>IFERROR(__xludf.DUMMYFUNCTION("""COMPUTED_VALUE"""),"10. Perdido")</f>
        <v>10. Perdido</v>
      </c>
      <c r="E668" s="4" t="str">
        <f>IFERROR(__xludf.DUMMYFUNCTION("""COMPUTED_VALUE"""),"Perdido -  Momento do restaurante não favorável")</f>
        <v>Perdido -  Momento do restaurante não favorável</v>
      </c>
      <c r="F668" s="4" t="str">
        <f>IFERROR(__xludf.DUMMYFUNCTION("""COMPUTED_VALUE"""),"P")</f>
        <v>P</v>
      </c>
      <c r="G668" s="5">
        <f>IFERROR(__xludf.DUMMYFUNCTION("""COMPUTED_VALUE"""),46076.0)</f>
        <v>46076</v>
      </c>
      <c r="H668" s="4" t="str">
        <f>IFERROR(__xludf.DUMMYFUNCTION("""COMPUTED_VALUE"""),"parceiro descarteirizado , foi para 99 e está com relacionamento ruim com Ifood por discussao de equiparaçaõ de taxas com a concorrencia")</f>
        <v>parceiro descarteirizado , foi para 99 e está com relacionamento ruim com Ifood por discussao de equiparaçaõ de taxas com a concorrencia</v>
      </c>
      <c r="I668" s="4"/>
      <c r="J668" s="4"/>
      <c r="K668" s="6">
        <f>IFERROR(__xludf.DUMMYFUNCTION("""COMPUTED_VALUE"""),45924.0)</f>
        <v>45924</v>
      </c>
      <c r="L668" s="4"/>
      <c r="M668" s="4"/>
      <c r="N668" s="4"/>
      <c r="O668" s="4"/>
      <c r="P668" s="4"/>
      <c r="Q668" s="4"/>
      <c r="R668" s="4"/>
      <c r="S668" s="4"/>
      <c r="T668" s="4"/>
      <c r="U668" s="4"/>
      <c r="V668" s="4" t="str">
        <f>IFERROR(__xludf.DUMMYFUNCTION("""COMPUTED_VALUE"""),"Atrito Negociação")</f>
        <v>Atrito Negociação</v>
      </c>
      <c r="W668" s="4"/>
      <c r="X668" s="4"/>
      <c r="Y668" s="4"/>
      <c r="Z668" s="4"/>
      <c r="AA668" s="4">
        <f>IFERROR(__xludf.DUMMYFUNCTION("""COMPUTED_VALUE"""),1.0)</f>
        <v>1</v>
      </c>
      <c r="AB668" s="4" t="str">
        <f>IFERROR(__xludf.DUMMYFUNCTION("""COMPUTED_VALUE"""),"NÃO")</f>
        <v>NÃO</v>
      </c>
      <c r="AC668" s="4" t="str">
        <f>IFERROR(__xludf.DUMMYFUNCTION("""COMPUTED_VALUE"""),"BP")</f>
        <v>BP</v>
      </c>
      <c r="AD668" s="4"/>
      <c r="AE668" s="4"/>
      <c r="AF668" s="4"/>
      <c r="AG668" s="4"/>
      <c r="AH668" s="4"/>
      <c r="AI668" s="4"/>
      <c r="AJ668" s="4"/>
      <c r="AK668" s="4"/>
      <c r="AL668" s="4"/>
      <c r="AM668" s="4" t="str">
        <f>IFERROR(__xludf.DUMMYFUNCTION("""COMPUTED_VALUE"""),"FY26")</f>
        <v>FY26</v>
      </c>
      <c r="AN668" s="4"/>
      <c r="AO668" s="4">
        <f>IFERROR(__xludf.DUMMYFUNCTION("""COMPUTED_VALUE"""),140.0)</f>
        <v>140</v>
      </c>
      <c r="AP668" s="4"/>
      <c r="AQ668" s="4"/>
      <c r="AR668" s="4"/>
      <c r="AS668" s="4">
        <f>IFERROR(__xludf.DUMMYFUNCTION("""COMPUTED_VALUE"""),0.0)</f>
        <v>0</v>
      </c>
      <c r="AT668" s="4">
        <f>IFERROR(__xludf.DUMMYFUNCTION("""COMPUTED_VALUE"""),0.0)</f>
        <v>0</v>
      </c>
      <c r="AU668" s="4" t="str">
        <f>IFERROR(__xludf.DUMMYFUNCTION("""COMPUTED_VALUE"""),"Lídia")</f>
        <v>Lídia</v>
      </c>
      <c r="AV668" s="4">
        <f>IFERROR(__xludf.DUMMYFUNCTION("""COMPUTED_VALUE"""),0.0)</f>
        <v>0</v>
      </c>
      <c r="AW668" s="4">
        <f>IFERROR(__xludf.DUMMYFUNCTION("""COMPUTED_VALUE"""),0.0)</f>
        <v>0</v>
      </c>
      <c r="AX668" s="4">
        <f>IFERROR(__xludf.DUMMYFUNCTION("""COMPUTED_VALUE"""),0.0)</f>
        <v>0</v>
      </c>
      <c r="AY668" s="4"/>
      <c r="AZ668" s="4" t="str">
        <f>IFERROR(__xludf.DUMMYFUNCTION("""COMPUTED_VALUE"""),"#N/A")</f>
        <v>#N/A</v>
      </c>
      <c r="BA668" s="4" t="str">
        <f>IFERROR(__xludf.DUMMYFUNCTION("""COMPUTED_VALUE"""),"")</f>
        <v/>
      </c>
      <c r="BB668" s="4" t="str">
        <f>IFERROR(__xludf.DUMMYFUNCTION("""COMPUTED_VALUE"""),"")</f>
        <v/>
      </c>
      <c r="BC668" s="4" t="str">
        <f>IFERROR(__xludf.DUMMYFUNCTION("""COMPUTED_VALUE"""),"")</f>
        <v/>
      </c>
      <c r="BD668" s="4" t="str">
        <f>IFERROR(__xludf.DUMMYFUNCTION("""COMPUTED_VALUE"""),"")</f>
        <v/>
      </c>
      <c r="BE668" s="4" t="str">
        <f>IFERROR(__xludf.DUMMYFUNCTION("""COMPUTED_VALUE"""),"")</f>
        <v/>
      </c>
      <c r="BF668" s="4" t="str">
        <f>IFERROR(__xludf.DUMMYFUNCTION("""COMPUTED_VALUE"""),"")</f>
        <v/>
      </c>
      <c r="BG668" s="4" t="str">
        <f>IFERROR(__xludf.DUMMYFUNCTION("""COMPUTED_VALUE"""),"")</f>
        <v/>
      </c>
      <c r="BH668" s="4" t="s">
        <v>63</v>
      </c>
      <c r="BI668" s="7" t="s">
        <v>63</v>
      </c>
    </row>
    <row r="669" hidden="1">
      <c r="A669" s="4" t="str">
        <f>IFERROR(__xludf.DUMMYFUNCTION("""COMPUTED_VALUE"""),"Pizza Da Mafia")</f>
        <v>Pizza Da Mafia</v>
      </c>
      <c r="B669" s="4" t="str">
        <f>IFERROR(__xludf.DUMMYFUNCTION("""COMPUTED_VALUE"""),"Lídia Esteves")</f>
        <v>Lídia Esteves</v>
      </c>
      <c r="C669" s="4" t="str">
        <f>IFERROR(__xludf.DUMMYFUNCTION("""COMPUTED_VALUE"""),"Emerson")</f>
        <v>Emerson</v>
      </c>
      <c r="D669" s="4" t="str">
        <f>IFERROR(__xludf.DUMMYFUNCTION("""COMPUTED_VALUE"""),"10. Perdido")</f>
        <v>10. Perdido</v>
      </c>
      <c r="E669" s="4" t="str">
        <f>IFERROR(__xludf.DUMMYFUNCTION("""COMPUTED_VALUE"""),"Perdido - Outro (detalhar ao lado)")</f>
        <v>Perdido - Outro (detalhar ao lado)</v>
      </c>
      <c r="F669" s="4" t="str">
        <f>IFERROR(__xludf.DUMMYFUNCTION("""COMPUTED_VALUE"""),"P")</f>
        <v>P</v>
      </c>
      <c r="G669" s="5">
        <f>IFERROR(__xludf.DUMMYFUNCTION("""COMPUTED_VALUE"""),46062.0)</f>
        <v>46062</v>
      </c>
      <c r="H669" s="4" t="str">
        <f>IFERROR(__xludf.DUMMYFUNCTION("""COMPUTED_VALUE"""),"cliente saipos insatisfeito e olhando o mercado , demonstrou interesse em conhecer 3S")</f>
        <v>cliente saipos insatisfeito e olhando o mercado , demonstrou interesse em conhecer 3S</v>
      </c>
      <c r="I669" s="4"/>
      <c r="J669" s="4"/>
      <c r="K669" s="6">
        <f>IFERROR(__xludf.DUMMYFUNCTION("""COMPUTED_VALUE"""),46056.0)</f>
        <v>46056</v>
      </c>
      <c r="L669" s="6">
        <f>IFERROR(__xludf.DUMMYFUNCTION("""COMPUTED_VALUE"""),46062.46961179398)</f>
        <v>46062.46961</v>
      </c>
      <c r="M669" s="4"/>
      <c r="N669" s="4"/>
      <c r="O669" s="4"/>
      <c r="P669" s="4"/>
      <c r="Q669" s="4"/>
      <c r="R669" s="6">
        <f>IFERROR(__xludf.DUMMYFUNCTION("""COMPUTED_VALUE"""),46107.62565782407)</f>
        <v>46107.62566</v>
      </c>
      <c r="S669" s="4"/>
      <c r="T669" s="4"/>
      <c r="U669" s="4"/>
      <c r="V669" s="4" t="str">
        <f>IFERROR(__xludf.DUMMYFUNCTION("""COMPUTED_VALUE"""),"Fechou com concorrente há pouco tempo")</f>
        <v>Fechou com concorrente há pouco tempo</v>
      </c>
      <c r="W669" s="4"/>
      <c r="X669" s="4"/>
      <c r="Y669" s="4"/>
      <c r="Z669" s="4"/>
      <c r="AA669" s="4">
        <f>IFERROR(__xludf.DUMMYFUNCTION("""COMPUTED_VALUE"""),1.0)</f>
        <v>1</v>
      </c>
      <c r="AB669" s="4" t="str">
        <f>IFERROR(__xludf.DUMMYFUNCTION("""COMPUTED_VALUE"""),"-")</f>
        <v>-</v>
      </c>
      <c r="AC669" s="4" t="str">
        <f>IFERROR(__xludf.DUMMYFUNCTION("""COMPUTED_VALUE"""),"-")</f>
        <v>-</v>
      </c>
      <c r="AD669" s="4"/>
      <c r="AE669" s="4"/>
      <c r="AF669" s="4"/>
      <c r="AG669" s="4"/>
      <c r="AH669" s="4"/>
      <c r="AI669" s="4"/>
      <c r="AJ669" s="4"/>
      <c r="AK669" s="4"/>
      <c r="AL669" s="4"/>
      <c r="AM669" s="4" t="str">
        <f>IFERROR(__xludf.DUMMYFUNCTION("""COMPUTED_VALUE"""),"FY26")</f>
        <v>FY26</v>
      </c>
      <c r="AN669" s="4"/>
      <c r="AO669" s="4">
        <f>IFERROR(__xludf.DUMMYFUNCTION("""COMPUTED_VALUE"""),154.0)</f>
        <v>154</v>
      </c>
      <c r="AP669" s="4"/>
      <c r="AQ669" s="4"/>
      <c r="AR669" s="4"/>
      <c r="AS669" s="4" t="str">
        <f>IFERROR(__xludf.DUMMYFUNCTION("""COMPUTED_VALUE"""),"FABIO DONATO")</f>
        <v>FABIO DONATO</v>
      </c>
      <c r="AT669" s="4" t="str">
        <f>IFERROR(__xludf.DUMMYFUNCTION("""COMPUTED_VALUE"""),"MURILO NAGASHIMA")</f>
        <v>MURILO NAGASHIMA</v>
      </c>
      <c r="AU669" s="4" t="str">
        <f>IFERROR(__xludf.DUMMYFUNCTION("""COMPUTED_VALUE"""),"Lídia / Emerson")</f>
        <v>Lídia / Emerson</v>
      </c>
      <c r="AV669" s="4">
        <f>IFERROR(__xludf.DUMMYFUNCTION("""COMPUTED_VALUE"""),0.0)</f>
        <v>0</v>
      </c>
      <c r="AW669" s="4">
        <f>IFERROR(__xludf.DUMMYFUNCTION("""COMPUTED_VALUE"""),0.0)</f>
        <v>0</v>
      </c>
      <c r="AX669" s="4">
        <f>IFERROR(__xludf.DUMMYFUNCTION("""COMPUTED_VALUE"""),0.0)</f>
        <v>0</v>
      </c>
      <c r="AY669" s="4"/>
      <c r="AZ669" s="4" t="str">
        <f>IFERROR(__xludf.DUMMYFUNCTION("""COMPUTED_VALUE"""),"Pizza")</f>
        <v>Pizza</v>
      </c>
      <c r="BA669" s="4" t="str">
        <f>IFERROR(__xludf.DUMMYFUNCTION("""COMPUTED_VALUE"""),"")</f>
        <v/>
      </c>
      <c r="BB669" s="4" t="str">
        <f>IFERROR(__xludf.DUMMYFUNCTION("""COMPUTED_VALUE"""),"")</f>
        <v/>
      </c>
      <c r="BC669" s="4" t="str">
        <f>IFERROR(__xludf.DUMMYFUNCTION("""COMPUTED_VALUE"""),"")</f>
        <v/>
      </c>
      <c r="BD669" s="4" t="str">
        <f>IFERROR(__xludf.DUMMYFUNCTION("""COMPUTED_VALUE"""),"")</f>
        <v/>
      </c>
      <c r="BE669" s="4" t="str">
        <f>IFERROR(__xludf.DUMMYFUNCTION("""COMPUTED_VALUE"""),"")</f>
        <v/>
      </c>
      <c r="BF669" s="4" t="str">
        <f>IFERROR(__xludf.DUMMYFUNCTION("""COMPUTED_VALUE"""),"")</f>
        <v/>
      </c>
      <c r="BG669" s="4" t="str">
        <f>IFERROR(__xludf.DUMMYFUNCTION("""COMPUTED_VALUE"""),"")</f>
        <v/>
      </c>
      <c r="BH669" s="4" t="s">
        <v>69</v>
      </c>
      <c r="BI669" s="7">
        <v>1.0</v>
      </c>
    </row>
    <row r="670" hidden="1">
      <c r="A670" s="4" t="str">
        <f>IFERROR(__xludf.DUMMYFUNCTION("""COMPUTED_VALUE"""),"Pizza Hut")</f>
        <v>Pizza Hut</v>
      </c>
      <c r="B670" s="4" t="str">
        <f>IFERROR(__xludf.DUMMYFUNCTION("""COMPUTED_VALUE"""),"Michel")</f>
        <v>Michel</v>
      </c>
      <c r="C670" s="4" t="str">
        <f>IFERROR(__xludf.DUMMYFUNCTION("""COMPUTED_VALUE"""),"Michel")</f>
        <v>Michel</v>
      </c>
      <c r="D670" s="4" t="str">
        <f>IFERROR(__xludf.DUMMYFUNCTION("""COMPUTED_VALUE"""),"12. Orgânico")</f>
        <v>12. Orgânico</v>
      </c>
      <c r="E670" s="4"/>
      <c r="F670" s="4" t="str">
        <f>IFERROR(__xludf.DUMMYFUNCTION("""COMPUTED_VALUE"""),"M")</f>
        <v>M</v>
      </c>
      <c r="G670" s="4"/>
      <c r="H670" s="4"/>
      <c r="I670" s="4"/>
      <c r="J670" s="4"/>
      <c r="K670" s="4"/>
      <c r="L670" s="4"/>
      <c r="M670" s="4"/>
      <c r="N670" s="4"/>
      <c r="O670" s="4"/>
      <c r="P670" s="4"/>
      <c r="Q670" s="4"/>
      <c r="R670" s="4"/>
      <c r="S670" s="4"/>
      <c r="T670" s="4"/>
      <c r="U670" s="4"/>
      <c r="V670" s="4"/>
      <c r="W670" s="4"/>
      <c r="X670" s="4"/>
      <c r="Y670" s="4"/>
      <c r="Z670" s="4"/>
      <c r="AA670" s="4">
        <f>IFERROR(__xludf.DUMMYFUNCTION("""COMPUTED_VALUE"""),33.0)</f>
        <v>33</v>
      </c>
      <c r="AB670" s="4"/>
      <c r="AC670" s="4"/>
      <c r="AD670" s="4"/>
      <c r="AE670" s="4"/>
      <c r="AF670" s="4"/>
      <c r="AG670" s="4"/>
      <c r="AH670" s="4"/>
      <c r="AI670" s="4"/>
      <c r="AJ670" s="4"/>
      <c r="AK670" s="4"/>
      <c r="AL670" s="4"/>
      <c r="AM670" s="4" t="str">
        <f>IFERROR(__xludf.DUMMYFUNCTION("""COMPUTED_VALUE"""),"Orgânico 3S")</f>
        <v>Orgânico 3S</v>
      </c>
      <c r="AN670" s="4"/>
      <c r="AO670" s="4">
        <f>IFERROR(__xludf.DUMMYFUNCTION("""COMPUTED_VALUE"""),45553.0)</f>
        <v>45553</v>
      </c>
      <c r="AP670" s="4"/>
      <c r="AQ670" s="4"/>
      <c r="AR670" s="4"/>
      <c r="AS670" s="4" t="str">
        <f>IFERROR(__xludf.DUMMYFUNCTION("""COMPUTED_VALUE"""),"ISIS MOSTAFA")</f>
        <v>ISIS MOSTAFA</v>
      </c>
      <c r="AT670" s="4" t="str">
        <f>IFERROR(__xludf.DUMMYFUNCTION("""COMPUTED_VALUE"""),"JOAO GRIMALDI")</f>
        <v>JOAO GRIMALDI</v>
      </c>
      <c r="AU670" s="4" t="str">
        <f>IFERROR(__xludf.DUMMYFUNCTION("""COMPUTED_VALUE"""),"Michel")</f>
        <v>Michel</v>
      </c>
      <c r="AV670" s="4" t="str">
        <f>IFERROR(__xludf.DUMMYFUNCTION("""COMPUTED_VALUE"""),"Comer Fora-Ativo na vitrine")</f>
        <v>Comer Fora-Ativo na vitrine</v>
      </c>
      <c r="AW670" s="20" t="str">
        <f>IFERROR(__xludf.DUMMYFUNCTION("""COMPUTED_VALUE"""),"P e M - pipe")</f>
        <v>P e M - pipe</v>
      </c>
      <c r="AX670" s="4"/>
      <c r="AY670" s="4"/>
      <c r="AZ670" s="4" t="str">
        <f>IFERROR(__xludf.DUMMYFUNCTION("""COMPUTED_VALUE"""),"Pizza")</f>
        <v>Pizza</v>
      </c>
      <c r="BA670" s="4" t="str">
        <f>IFERROR(__xludf.DUMMYFUNCTION("""COMPUTED_VALUE"""),"R$ 35-65")</f>
        <v>R$ 35-65</v>
      </c>
      <c r="BB670" s="4" t="str">
        <f>IFERROR(__xludf.DUMMYFUNCTION("""COMPUTED_VALUE"""),"QSR - Pizza (IMC)")</f>
        <v>QSR - Pizza (IMC)</v>
      </c>
      <c r="BC670" s="4" t="str">
        <f>IFERROR(__xludf.DUMMYFUNCTION("""COMPUTED_VALUE"""),"Nacional (267 lojas - IMC)")</f>
        <v>Nacional (267 lojas - IMC)</v>
      </c>
      <c r="BD670" s="4" t="str">
        <f>IFERROR(__xludf.DUMMYFUNCTION("""COMPUTED_VALUE"""),"Necessário Discovery (IMC)")</f>
        <v>Necessário Discovery (IMC)</v>
      </c>
      <c r="BE670" s="4">
        <f>IFERROR(__xludf.DUMMYFUNCTION("""COMPUTED_VALUE"""),78.0)</f>
        <v>78</v>
      </c>
      <c r="BF670" s="4">
        <f>IFERROR(__xludf.DUMMYFUNCTION("""COMPUTED_VALUE"""),0.8)</f>
        <v>0.8</v>
      </c>
      <c r="BG670" s="4" t="str">
        <f>IFERROR(__xludf.DUMMYFUNCTION("""COMPUTED_VALUE"""),"PDV não identificado (IMC opera). ALTA ADERÊNCIA: 267 lojas nacionais. Pizza Hut + KFC IMC. 3S: padronização multi-loja, delivery, gestão franquias")</f>
        <v>PDV não identificado (IMC opera). ALTA ADERÊNCIA: 267 lojas nacionais. Pizza Hut + KFC IMC. 3S: padronização multi-loja, delivery, gestão franquias</v>
      </c>
      <c r="BH670" s="4" t="s">
        <v>63</v>
      </c>
      <c r="BI670" s="7" t="s">
        <v>63</v>
      </c>
    </row>
    <row r="671" hidden="1">
      <c r="A671" s="4" t="str">
        <f>IFERROR(__xludf.DUMMYFUNCTION("""COMPUTED_VALUE"""),"Pizza Para Voce - Conta Pai")</f>
        <v>Pizza Para Voce - Conta Pai</v>
      </c>
      <c r="B671" s="4" t="str">
        <f>IFERROR(__xludf.DUMMYFUNCTION("""COMPUTED_VALUE"""),"Lídia Esteves")</f>
        <v>Lídia Esteves</v>
      </c>
      <c r="C671" s="4" t="str">
        <f>IFERROR(__xludf.DUMMYFUNCTION("""COMPUTED_VALUE"""),"Lídia Esteves")</f>
        <v>Lídia Esteves</v>
      </c>
      <c r="D671" s="4" t="str">
        <f>IFERROR(__xludf.DUMMYFUNCTION("""COMPUTED_VALUE"""),"10. Perdido")</f>
        <v>10. Perdido</v>
      </c>
      <c r="E671" s="4" t="str">
        <f>IFERROR(__xludf.DUMMYFUNCTION("""COMPUTED_VALUE"""),"Perdido - Outro (detalhar ao lado)")</f>
        <v>Perdido - Outro (detalhar ao lado)</v>
      </c>
      <c r="F671" s="4" t="str">
        <f>IFERROR(__xludf.DUMMYFUNCTION("""COMPUTED_VALUE"""),"P")</f>
        <v>P</v>
      </c>
      <c r="G671" s="4"/>
      <c r="H671" s="22" t="str">
        <f>IFERROR(__xludf.DUMMYFUNCTION("""COMPUTED_VALUE"""),"perfil saipos encaminhei para o Joao")</f>
        <v>perfil saipos encaminhei para o Joao</v>
      </c>
      <c r="I671" s="4"/>
      <c r="J671" s="4"/>
      <c r="K671" s="4"/>
      <c r="L671" s="4"/>
      <c r="M671" s="4"/>
      <c r="N671" s="4"/>
      <c r="O671" s="4"/>
      <c r="P671" s="4"/>
      <c r="Q671" s="4"/>
      <c r="R671" s="6">
        <f>IFERROR(__xludf.DUMMYFUNCTION("""COMPUTED_VALUE"""),46107.62778564815)</f>
        <v>46107.62779</v>
      </c>
      <c r="S671" s="4"/>
      <c r="T671" s="4"/>
      <c r="U671" s="4"/>
      <c r="V671" s="4" t="str">
        <f>IFERROR(__xludf.DUMMYFUNCTION("""COMPUTED_VALUE"""),"Fechou com concorrente há pouco tempo")</f>
        <v>Fechou com concorrente há pouco tempo</v>
      </c>
      <c r="W671" s="4"/>
      <c r="X671" s="4"/>
      <c r="Y671" s="4"/>
      <c r="Z671" s="4"/>
      <c r="AA671" s="4">
        <f>IFERROR(__xludf.DUMMYFUNCTION("""COMPUTED_VALUE"""),25.0)</f>
        <v>25</v>
      </c>
      <c r="AB671" s="4" t="str">
        <f>IFERROR(__xludf.DUMMYFUNCTION("""COMPUTED_VALUE"""),"-")</f>
        <v>-</v>
      </c>
      <c r="AC671" s="4" t="str">
        <f>IFERROR(__xludf.DUMMYFUNCTION("""COMPUTED_VALUE"""),"-")</f>
        <v>-</v>
      </c>
      <c r="AD671" s="4"/>
      <c r="AE671" s="4"/>
      <c r="AF671" s="4"/>
      <c r="AG671" s="4"/>
      <c r="AH671" s="4"/>
      <c r="AI671" s="4"/>
      <c r="AJ671" s="4"/>
      <c r="AK671" s="4"/>
      <c r="AL671" s="4"/>
      <c r="AM671" s="4" t="str">
        <f>IFERROR(__xludf.DUMMYFUNCTION("""COMPUTED_VALUE"""),"FY26")</f>
        <v>FY26</v>
      </c>
      <c r="AN671" s="4"/>
      <c r="AO671" s="4">
        <f>IFERROR(__xludf.DUMMYFUNCTION("""COMPUTED_VALUE"""),45553.0)</f>
        <v>45553</v>
      </c>
      <c r="AP671" s="4"/>
      <c r="AQ671" s="4"/>
      <c r="AR671" s="4"/>
      <c r="AS671" s="4" t="str">
        <f>IFERROR(__xludf.DUMMYFUNCTION("""COMPUTED_VALUE"""),"FABIO DONATO")</f>
        <v>FABIO DONATO</v>
      </c>
      <c r="AT671" s="4" t="str">
        <f>IFERROR(__xludf.DUMMYFUNCTION("""COMPUTED_VALUE"""),"MURILO NAGASHIMA")</f>
        <v>MURILO NAGASHIMA</v>
      </c>
      <c r="AU671" s="4" t="str">
        <f>IFERROR(__xludf.DUMMYFUNCTION("""COMPUTED_VALUE"""),"Lídia / Emerson")</f>
        <v>Lídia / Emerson</v>
      </c>
      <c r="AV671" s="4">
        <f>IFERROR(__xludf.DUMMYFUNCTION("""COMPUTED_VALUE"""),0.0)</f>
        <v>0</v>
      </c>
      <c r="AW671" s="4">
        <f>IFERROR(__xludf.DUMMYFUNCTION("""COMPUTED_VALUE"""),0.0)</f>
        <v>0</v>
      </c>
      <c r="AX671" s="4">
        <f>IFERROR(__xludf.DUMMYFUNCTION("""COMPUTED_VALUE"""),0.0)</f>
        <v>0</v>
      </c>
      <c r="AY671" s="4"/>
      <c r="AZ671" s="4" t="str">
        <f>IFERROR(__xludf.DUMMYFUNCTION("""COMPUTED_VALUE"""),"Pizza")</f>
        <v>Pizza</v>
      </c>
      <c r="BA671" s="4" t="str">
        <f>IFERROR(__xludf.DUMMYFUNCTION("""COMPUTED_VALUE"""),"")</f>
        <v/>
      </c>
      <c r="BB671" s="4" t="str">
        <f>IFERROR(__xludf.DUMMYFUNCTION("""COMPUTED_VALUE"""),"")</f>
        <v/>
      </c>
      <c r="BC671" s="4" t="str">
        <f>IFERROR(__xludf.DUMMYFUNCTION("""COMPUTED_VALUE"""),"")</f>
        <v/>
      </c>
      <c r="BD671" s="4" t="str">
        <f>IFERROR(__xludf.DUMMYFUNCTION("""COMPUTED_VALUE"""),"")</f>
        <v/>
      </c>
      <c r="BE671" s="4" t="str">
        <f>IFERROR(__xludf.DUMMYFUNCTION("""COMPUTED_VALUE"""),"")</f>
        <v/>
      </c>
      <c r="BF671" s="4" t="str">
        <f>IFERROR(__xludf.DUMMYFUNCTION("""COMPUTED_VALUE"""),"")</f>
        <v/>
      </c>
      <c r="BG671" s="4" t="str">
        <f>IFERROR(__xludf.DUMMYFUNCTION("""COMPUTED_VALUE"""),"")</f>
        <v/>
      </c>
      <c r="BH671" s="4" t="s">
        <v>146</v>
      </c>
      <c r="BI671" s="7">
        <v>0.9473684210526315</v>
      </c>
    </row>
    <row r="672" hidden="1">
      <c r="A672" s="4" t="str">
        <f>IFERROR(__xludf.DUMMYFUNCTION("""COMPUTED_VALUE"""),"Popeyes")</f>
        <v>Popeyes</v>
      </c>
      <c r="B672" s="4" t="str">
        <f>IFERROR(__xludf.DUMMYFUNCTION("""COMPUTED_VALUE"""),"Michel")</f>
        <v>Michel</v>
      </c>
      <c r="C672" s="4" t="str">
        <f>IFERROR(__xludf.DUMMYFUNCTION("""COMPUTED_VALUE"""),"Michel")</f>
        <v>Michel</v>
      </c>
      <c r="D672" s="4" t="str">
        <f>IFERROR(__xludf.DUMMYFUNCTION("""COMPUTED_VALUE"""),"12. Orgânico")</f>
        <v>12. Orgânico</v>
      </c>
      <c r="E672" s="4"/>
      <c r="F672" s="4" t="str">
        <f>IFERROR(__xludf.DUMMYFUNCTION("""COMPUTED_VALUE"""),"P")</f>
        <v>P</v>
      </c>
      <c r="G672" s="4"/>
      <c r="H672" s="4"/>
      <c r="I672" s="4"/>
      <c r="J672" s="4"/>
      <c r="K672" s="4"/>
      <c r="L672" s="4"/>
      <c r="M672" s="4"/>
      <c r="N672" s="4"/>
      <c r="O672" s="4"/>
      <c r="P672" s="4"/>
      <c r="Q672" s="4"/>
      <c r="R672" s="4"/>
      <c r="S672" s="4"/>
      <c r="T672" s="4"/>
      <c r="U672" s="4"/>
      <c r="V672" s="4"/>
      <c r="W672" s="4"/>
      <c r="X672" s="4"/>
      <c r="Y672" s="4"/>
      <c r="Z672" s="4"/>
      <c r="AA672" s="4">
        <f>IFERROR(__xludf.DUMMYFUNCTION("""COMPUTED_VALUE"""),6.0)</f>
        <v>6</v>
      </c>
      <c r="AB672" s="4"/>
      <c r="AC672" s="4"/>
      <c r="AD672" s="4"/>
      <c r="AE672" s="4"/>
      <c r="AF672" s="4"/>
      <c r="AG672" s="4"/>
      <c r="AH672" s="4"/>
      <c r="AI672" s="4"/>
      <c r="AJ672" s="4"/>
      <c r="AK672" s="4"/>
      <c r="AL672" s="4"/>
      <c r="AM672" s="4" t="str">
        <f>IFERROR(__xludf.DUMMYFUNCTION("""COMPUTED_VALUE"""),"Orgânico 3S")</f>
        <v>Orgânico 3S</v>
      </c>
      <c r="AN672" s="4"/>
      <c r="AO672" s="4">
        <f>IFERROR(__xludf.DUMMYFUNCTION("""COMPUTED_VALUE"""),45553.0)</f>
        <v>45553</v>
      </c>
      <c r="AP672" s="4"/>
      <c r="AQ672" s="4"/>
      <c r="AR672" s="4"/>
      <c r="AS672" s="4" t="str">
        <f>IFERROR(__xludf.DUMMYFUNCTION("""COMPUTED_VALUE"""),"VINICIUS MARTINS")</f>
        <v>VINICIUS MARTINS</v>
      </c>
      <c r="AT672" s="4" t="str">
        <f>IFERROR(__xludf.DUMMYFUNCTION("""COMPUTED_VALUE"""),"CAROLINA SOUZA")</f>
        <v>CAROLINA SOUZA</v>
      </c>
      <c r="AU672" s="4" t="str">
        <f>IFERROR(__xludf.DUMMYFUNCTION("""COMPUTED_VALUE"""),"Michel")</f>
        <v>Michel</v>
      </c>
      <c r="AV672" s="4">
        <f>IFERROR(__xludf.DUMMYFUNCTION("""COMPUTED_VALUE"""),0.0)</f>
        <v>0</v>
      </c>
      <c r="AW672" s="4">
        <f>IFERROR(__xludf.DUMMYFUNCTION("""COMPUTED_VALUE"""),0.0)</f>
        <v>0</v>
      </c>
      <c r="AX672" s="4">
        <f>IFERROR(__xludf.DUMMYFUNCTION("""COMPUTED_VALUE"""),0.0)</f>
        <v>0</v>
      </c>
      <c r="AY672" s="4"/>
      <c r="AZ672" s="4" t="str">
        <f>IFERROR(__xludf.DUMMYFUNCTION("""COMPUTED_VALUE"""),"Lanches")</f>
        <v>Lanches</v>
      </c>
      <c r="BA672" s="4" t="str">
        <f>IFERROR(__xludf.DUMMYFUNCTION("""COMPUTED_VALUE"""),"R$ 35-60")</f>
        <v>R$ 35-60</v>
      </c>
      <c r="BB672" s="4" t="str">
        <f>IFERROR(__xludf.DUMMYFUNCTION("""COMPUTED_VALUE"""),"QSR - Frango Frito (Zamp)")</f>
        <v>QSR - Frango Frito (Zamp)</v>
      </c>
      <c r="BC672" s="4" t="str">
        <f>IFERROR(__xludf.DUMMYFUNCTION("""COMPUTED_VALUE"""),"Nacional (93 lojas - Zamp)")</f>
        <v>Nacional (93 lojas - Zamp)</v>
      </c>
      <c r="BD672" s="4" t="str">
        <f>IFERROR(__xludf.DUMMYFUNCTION("""COMPUTED_VALUE"""),"Necessário Discovery (Zamp)")</f>
        <v>Necessário Discovery (Zamp)</v>
      </c>
      <c r="BE672" s="4">
        <f>IFERROR(__xludf.DUMMYFUNCTION("""COMPUTED_VALUE"""),82.0)</f>
        <v>82</v>
      </c>
      <c r="BF672" s="4">
        <f>IFERROR(__xludf.DUMMYFUNCTION("""COMPUTED_VALUE"""),0.85)</f>
        <v>0.85</v>
      </c>
      <c r="BG672" s="4" t="str">
        <f>IFERROR(__xludf.DUMMYFUNCTION("""COMPUTED_VALUE"""),"PDV não identificado (Zamp opera). ALTA ADERÊNCIA: 93 lojas, crescimento forte (+22% SSS). Zamp já cliente 3S. Expansão natural para Popeyes")</f>
        <v>PDV não identificado (Zamp opera). ALTA ADERÊNCIA: 93 lojas, crescimento forte (+22% SSS). Zamp já cliente 3S. Expansão natural para Popeyes</v>
      </c>
      <c r="BH672" s="4" t="s">
        <v>63</v>
      </c>
      <c r="BI672" s="7" t="s">
        <v>63</v>
      </c>
    </row>
    <row r="673" hidden="1">
      <c r="A673" s="4" t="str">
        <f>IFERROR(__xludf.DUMMYFUNCTION("""COMPUTED_VALUE"""),"Porto Do Sabor")</f>
        <v>Porto Do Sabor</v>
      </c>
      <c r="B673" s="4" t="str">
        <f>IFERROR(__xludf.DUMMYFUNCTION("""COMPUTED_VALUE"""),"Lídia Esteves")</f>
        <v>Lídia Esteves</v>
      </c>
      <c r="C673" s="4" t="str">
        <f>IFERROR(__xludf.DUMMYFUNCTION("""COMPUTED_VALUE"""),"Lídia Esteves")</f>
        <v>Lídia Esteves</v>
      </c>
      <c r="D673" s="4" t="str">
        <f>IFERROR(__xludf.DUMMYFUNCTION("""COMPUTED_VALUE"""),"10. Perdido")</f>
        <v>10. Perdido</v>
      </c>
      <c r="E673" s="4" t="str">
        <f>IFERROR(__xludf.DUMMYFUNCTION("""COMPUTED_VALUE"""),"Perdido - Outro (detalhar ao lado)")</f>
        <v>Perdido - Outro (detalhar ao lado)</v>
      </c>
      <c r="F673" s="4" t="str">
        <f>IFERROR(__xludf.DUMMYFUNCTION("""COMPUTED_VALUE"""),"P")</f>
        <v>P</v>
      </c>
      <c r="G673" s="5">
        <f>IFERROR(__xludf.DUMMYFUNCTION("""COMPUTED_VALUE"""),46076.0)</f>
        <v>46076</v>
      </c>
      <c r="H673" s="4" t="str">
        <f>IFERROR(__xludf.DUMMYFUNCTION("""COMPUTED_VALUE"""),"Fechou com concorrente.")</f>
        <v>Fechou com concorrente.</v>
      </c>
      <c r="I673" s="4"/>
      <c r="J673" s="4"/>
      <c r="K673" s="6">
        <f>IFERROR(__xludf.DUMMYFUNCTION("""COMPUTED_VALUE"""),45807.0)</f>
        <v>45807</v>
      </c>
      <c r="L673" s="4"/>
      <c r="M673" s="4"/>
      <c r="N673" s="4"/>
      <c r="O673" s="4"/>
      <c r="P673" s="4"/>
      <c r="Q673" s="4"/>
      <c r="R673" s="4"/>
      <c r="S673" s="4"/>
      <c r="T673" s="4"/>
      <c r="U673" s="4"/>
      <c r="V673" s="4" t="str">
        <f>IFERROR(__xludf.DUMMYFUNCTION("""COMPUTED_VALUE"""),"Fechou com concorrente há pouco tempo")</f>
        <v>Fechou com concorrente há pouco tempo</v>
      </c>
      <c r="W673" s="4"/>
      <c r="X673" s="4"/>
      <c r="Y673" s="4"/>
      <c r="Z673" s="4"/>
      <c r="AA673" s="4">
        <f>IFERROR(__xludf.DUMMYFUNCTION("""COMPUTED_VALUE"""),28.0)</f>
        <v>28</v>
      </c>
      <c r="AB673" s="4" t="str">
        <f>IFERROR(__xludf.DUMMYFUNCTION("""COMPUTED_VALUE"""),"NÃO")</f>
        <v>NÃO</v>
      </c>
      <c r="AC673" s="4" t="str">
        <f>IFERROR(__xludf.DUMMYFUNCTION("""COMPUTED_VALUE"""),"Não BP")</f>
        <v>Não BP</v>
      </c>
      <c r="AD673" s="4"/>
      <c r="AE673" s="4"/>
      <c r="AF673" s="4"/>
      <c r="AG673" s="4"/>
      <c r="AH673" s="4"/>
      <c r="AI673" s="4"/>
      <c r="AJ673" s="4"/>
      <c r="AK673" s="4"/>
      <c r="AL673" s="4"/>
      <c r="AM673" s="4" t="str">
        <f>IFERROR(__xludf.DUMMYFUNCTION("""COMPUTED_VALUE"""),"FY26")</f>
        <v>FY26</v>
      </c>
      <c r="AN673" s="4" t="str">
        <f>IFERROR(__xludf.DUMMYFUNCTION("""COMPUTED_VALUE"""),"Comer Fora")</f>
        <v>Comer Fora</v>
      </c>
      <c r="AO673" s="4">
        <f>IFERROR(__xludf.DUMMYFUNCTION("""COMPUTED_VALUE"""),140.0)</f>
        <v>140</v>
      </c>
      <c r="AP673" s="4"/>
      <c r="AQ673" s="4"/>
      <c r="AR673" s="4"/>
      <c r="AS673" s="4" t="str">
        <f>IFERROR(__xludf.DUMMYFUNCTION("""COMPUTED_VALUE"""),"NATHALIE MERTENS")</f>
        <v>NATHALIE MERTENS</v>
      </c>
      <c r="AT673" s="4" t="str">
        <f>IFERROR(__xludf.DUMMYFUNCTION("""COMPUTED_VALUE"""),"MARIANA KATZ")</f>
        <v>MARIANA KATZ</v>
      </c>
      <c r="AU673" s="4" t="str">
        <f>IFERROR(__xludf.DUMMYFUNCTION("""COMPUTED_VALUE"""),"Lídia")</f>
        <v>Lídia</v>
      </c>
      <c r="AV673" s="4" t="str">
        <f>IFERROR(__xludf.DUMMYFUNCTION("""COMPUTED_VALUE"""),"Comer Fora-")</f>
        <v>Comer Fora-</v>
      </c>
      <c r="AW673" s="20" t="str">
        <f>IFERROR(__xludf.DUMMYFUNCTION("""COMPUTED_VALUE"""),"P e M - pipe")</f>
        <v>P e M - pipe</v>
      </c>
      <c r="AX673" s="4"/>
      <c r="AY673" s="4"/>
      <c r="AZ673" s="4" t="str">
        <f>IFERROR(__xludf.DUMMYFUNCTION("""COMPUTED_VALUE"""),"Lanches")</f>
        <v>Lanches</v>
      </c>
      <c r="BA673" s="4" t="str">
        <f>IFERROR(__xludf.DUMMYFUNCTION("""COMPUTED_VALUE"""),"")</f>
        <v/>
      </c>
      <c r="BB673" s="4" t="str">
        <f>IFERROR(__xludf.DUMMYFUNCTION("""COMPUTED_VALUE"""),"")</f>
        <v/>
      </c>
      <c r="BC673" s="4" t="str">
        <f>IFERROR(__xludf.DUMMYFUNCTION("""COMPUTED_VALUE"""),"")</f>
        <v/>
      </c>
      <c r="BD673" s="4" t="str">
        <f>IFERROR(__xludf.DUMMYFUNCTION("""COMPUTED_VALUE"""),"")</f>
        <v/>
      </c>
      <c r="BE673" s="4" t="str">
        <f>IFERROR(__xludf.DUMMYFUNCTION("""COMPUTED_VALUE"""),"")</f>
        <v/>
      </c>
      <c r="BF673" s="4" t="str">
        <f>IFERROR(__xludf.DUMMYFUNCTION("""COMPUTED_VALUE"""),"")</f>
        <v/>
      </c>
      <c r="BG673" s="4" t="str">
        <f>IFERROR(__xludf.DUMMYFUNCTION("""COMPUTED_VALUE"""),"")</f>
        <v/>
      </c>
      <c r="BH673" s="4" t="s">
        <v>130</v>
      </c>
      <c r="BI673" s="7">
        <v>0.8378378378378378</v>
      </c>
    </row>
    <row r="674" hidden="1">
      <c r="A674" s="4" t="str">
        <f>IFERROR(__xludf.DUMMYFUNCTION("""COMPUTED_VALUE"""),"Quinchito")</f>
        <v>Quinchito</v>
      </c>
      <c r="B674" s="4" t="str">
        <f>IFERROR(__xludf.DUMMYFUNCTION("""COMPUTED_VALUE"""),"Diego Santos")</f>
        <v>Diego Santos</v>
      </c>
      <c r="C674" s="4" t="str">
        <f>IFERROR(__xludf.DUMMYFUNCTION("""COMPUTED_VALUE"""),"Diego Santos")</f>
        <v>Diego Santos</v>
      </c>
      <c r="D674" s="4" t="str">
        <f>IFERROR(__xludf.DUMMYFUNCTION("""COMPUTED_VALUE"""),"10. Perdido")</f>
        <v>10. Perdido</v>
      </c>
      <c r="E674" s="4" t="str">
        <f>IFERROR(__xludf.DUMMYFUNCTION("""COMPUTED_VALUE"""),"Perdido - Sem perfil LA / 3SCheckout / PDV próprio")</f>
        <v>Perdido - Sem perfil LA / 3SCheckout / PDV próprio</v>
      </c>
      <c r="F674" s="4" t="str">
        <f>IFERROR(__xludf.DUMMYFUNCTION("""COMPUTED_VALUE"""),"P")</f>
        <v>P</v>
      </c>
      <c r="G674" s="5">
        <f>IFERROR(__xludf.DUMMYFUNCTION("""COMPUTED_VALUE"""),46076.0)</f>
        <v>46076</v>
      </c>
      <c r="H674" s="4" t="str">
        <f>IFERROR(__xludf.DUMMYFUNCTION("""COMPUTED_VALUE"""),"Sem perfil LA.")</f>
        <v>Sem perfil LA.</v>
      </c>
      <c r="I674" s="4"/>
      <c r="J674" s="4"/>
      <c r="K674" s="6">
        <f>IFERROR(__xludf.DUMMYFUNCTION("""COMPUTED_VALUE"""),45943.0)</f>
        <v>45943</v>
      </c>
      <c r="L674" s="4"/>
      <c r="M674" s="4"/>
      <c r="N674" s="4"/>
      <c r="O674" s="4"/>
      <c r="P674" s="4"/>
      <c r="Q674" s="4"/>
      <c r="R674" s="6">
        <f>IFERROR(__xludf.DUMMYFUNCTION("""COMPUTED_VALUE"""),46083.46798623842)</f>
        <v>46083.46799</v>
      </c>
      <c r="S674" s="4"/>
      <c r="T674" s="4"/>
      <c r="U674" s="4"/>
      <c r="V674" s="4" t="str">
        <f>IFERROR(__xludf.DUMMYFUNCTION("""COMPUTED_VALUE"""),"Sistema próprio")</f>
        <v>Sistema próprio</v>
      </c>
      <c r="W674" s="4"/>
      <c r="X674" s="4"/>
      <c r="Y674" s="4"/>
      <c r="Z674" s="4"/>
      <c r="AA674" s="4">
        <f>IFERROR(__xludf.DUMMYFUNCTION("""COMPUTED_VALUE"""),1.0)</f>
        <v>1</v>
      </c>
      <c r="AB674" s="4" t="str">
        <f>IFERROR(__xludf.DUMMYFUNCTION("""COMPUTED_VALUE"""),"NÃO")</f>
        <v>NÃO</v>
      </c>
      <c r="AC674" s="4" t="str">
        <f>IFERROR(__xludf.DUMMYFUNCTION("""COMPUTED_VALUE"""),"Não BP")</f>
        <v>Não BP</v>
      </c>
      <c r="AD674" s="4"/>
      <c r="AE674" s="4"/>
      <c r="AF674" s="4"/>
      <c r="AG674" s="4"/>
      <c r="AH674" s="4"/>
      <c r="AI674" s="4"/>
      <c r="AJ674" s="4"/>
      <c r="AK674" s="4"/>
      <c r="AL674" s="4"/>
      <c r="AM674" s="4" t="str">
        <f>IFERROR(__xludf.DUMMYFUNCTION("""COMPUTED_VALUE"""),"FY26")</f>
        <v>FY26</v>
      </c>
      <c r="AN674" s="4"/>
      <c r="AO674" s="4">
        <f>IFERROR(__xludf.DUMMYFUNCTION("""COMPUTED_VALUE"""),140.0)</f>
        <v>140</v>
      </c>
      <c r="AP674" s="4"/>
      <c r="AQ674" s="4"/>
      <c r="AR674" s="4"/>
      <c r="AS674" s="4">
        <f>IFERROR(__xludf.DUMMYFUNCTION("""COMPUTED_VALUE"""),0.0)</f>
        <v>0</v>
      </c>
      <c r="AT674" s="4">
        <f>IFERROR(__xludf.DUMMYFUNCTION("""COMPUTED_VALUE"""),0.0)</f>
        <v>0</v>
      </c>
      <c r="AU674" s="4" t="str">
        <f>IFERROR(__xludf.DUMMYFUNCTION("""COMPUTED_VALUE"""),"Diego")</f>
        <v>Diego</v>
      </c>
      <c r="AV674" s="4">
        <f>IFERROR(__xludf.DUMMYFUNCTION("""COMPUTED_VALUE"""),0.0)</f>
        <v>0</v>
      </c>
      <c r="AW674" s="4">
        <f>IFERROR(__xludf.DUMMYFUNCTION("""COMPUTED_VALUE"""),0.0)</f>
        <v>0</v>
      </c>
      <c r="AX674" s="4">
        <f>IFERROR(__xludf.DUMMYFUNCTION("""COMPUTED_VALUE"""),0.0)</f>
        <v>0</v>
      </c>
      <c r="AY674" s="4"/>
      <c r="AZ674" s="4" t="str">
        <f>IFERROR(__xludf.DUMMYFUNCTION("""COMPUTED_VALUE"""),"#N/A")</f>
        <v>#N/A</v>
      </c>
      <c r="BA674" s="4" t="str">
        <f>IFERROR(__xludf.DUMMYFUNCTION("""COMPUTED_VALUE"""),"")</f>
        <v/>
      </c>
      <c r="BB674" s="4" t="str">
        <f>IFERROR(__xludf.DUMMYFUNCTION("""COMPUTED_VALUE"""),"")</f>
        <v/>
      </c>
      <c r="BC674" s="4" t="str">
        <f>IFERROR(__xludf.DUMMYFUNCTION("""COMPUTED_VALUE"""),"")</f>
        <v/>
      </c>
      <c r="BD674" s="4" t="str">
        <f>IFERROR(__xludf.DUMMYFUNCTION("""COMPUTED_VALUE"""),"")</f>
        <v/>
      </c>
      <c r="BE674" s="4" t="str">
        <f>IFERROR(__xludf.DUMMYFUNCTION("""COMPUTED_VALUE"""),"")</f>
        <v/>
      </c>
      <c r="BF674" s="4" t="str">
        <f>IFERROR(__xludf.DUMMYFUNCTION("""COMPUTED_VALUE"""),"")</f>
        <v/>
      </c>
      <c r="BG674" s="4" t="str">
        <f>IFERROR(__xludf.DUMMYFUNCTION("""COMPUTED_VALUE"""),"")</f>
        <v/>
      </c>
      <c r="BH674" s="4" t="s">
        <v>63</v>
      </c>
      <c r="BI674" s="7" t="s">
        <v>63</v>
      </c>
    </row>
    <row r="675" hidden="1">
      <c r="A675" s="4" t="str">
        <f>IFERROR(__xludf.DUMMYFUNCTION("""COMPUTED_VALUE"""),"Rascal")</f>
        <v>Rascal</v>
      </c>
      <c r="B675" s="4" t="str">
        <f>IFERROR(__xludf.DUMMYFUNCTION("""COMPUTED_VALUE"""),"Michel")</f>
        <v>Michel</v>
      </c>
      <c r="C675" s="4" t="str">
        <f>IFERROR(__xludf.DUMMYFUNCTION("""COMPUTED_VALUE"""),"Michel")</f>
        <v>Michel</v>
      </c>
      <c r="D675" s="4" t="str">
        <f>IFERROR(__xludf.DUMMYFUNCTION("""COMPUTED_VALUE"""),"12. Orgânico")</f>
        <v>12. Orgânico</v>
      </c>
      <c r="E675" s="4"/>
      <c r="F675" s="4" t="str">
        <f>IFERROR(__xludf.DUMMYFUNCTION("""COMPUTED_VALUE"""),"P")</f>
        <v>P</v>
      </c>
      <c r="G675" s="4"/>
      <c r="H675" s="4"/>
      <c r="I675" s="4"/>
      <c r="J675" s="4"/>
      <c r="K675" s="4"/>
      <c r="L675" s="4"/>
      <c r="M675" s="4"/>
      <c r="N675" s="4"/>
      <c r="O675" s="4"/>
      <c r="P675" s="4"/>
      <c r="Q675" s="4"/>
      <c r="R675" s="4"/>
      <c r="S675" s="4"/>
      <c r="T675" s="4"/>
      <c r="U675" s="4"/>
      <c r="V675" s="4"/>
      <c r="W675" s="4"/>
      <c r="X675" s="4"/>
      <c r="Y675" s="4"/>
      <c r="Z675" s="4"/>
      <c r="AA675" s="4">
        <f>IFERROR(__xludf.DUMMYFUNCTION("""COMPUTED_VALUE"""),3.0)</f>
        <v>3</v>
      </c>
      <c r="AB675" s="4"/>
      <c r="AC675" s="4"/>
      <c r="AD675" s="4"/>
      <c r="AE675" s="4"/>
      <c r="AF675" s="4"/>
      <c r="AG675" s="4"/>
      <c r="AH675" s="4"/>
      <c r="AI675" s="4"/>
      <c r="AJ675" s="4"/>
      <c r="AK675" s="4"/>
      <c r="AL675" s="4"/>
      <c r="AM675" s="4" t="str">
        <f>IFERROR(__xludf.DUMMYFUNCTION("""COMPUTED_VALUE"""),"Orgânico 3S")</f>
        <v>Orgânico 3S</v>
      </c>
      <c r="AN675" s="4"/>
      <c r="AO675" s="4">
        <f>IFERROR(__xludf.DUMMYFUNCTION("""COMPUTED_VALUE"""),45553.0)</f>
        <v>45553</v>
      </c>
      <c r="AP675" s="4"/>
      <c r="AQ675" s="4"/>
      <c r="AR675" s="4"/>
      <c r="AS675" s="4" t="str">
        <f>IFERROR(__xludf.DUMMYFUNCTION("""COMPUTED_VALUE"""),"NATHALIE MERTENS")</f>
        <v>NATHALIE MERTENS</v>
      </c>
      <c r="AT675" s="4" t="str">
        <f>IFERROR(__xludf.DUMMYFUNCTION("""COMPUTED_VALUE"""),"MARIANA KATZ")</f>
        <v>MARIANA KATZ</v>
      </c>
      <c r="AU675" s="4" t="str">
        <f>IFERROR(__xludf.DUMMYFUNCTION("""COMPUTED_VALUE"""),"Michel")</f>
        <v>Michel</v>
      </c>
      <c r="AV675" s="4">
        <f>IFERROR(__xludf.DUMMYFUNCTION("""COMPUTED_VALUE"""),0.0)</f>
        <v>0</v>
      </c>
      <c r="AW675" s="4">
        <f>IFERROR(__xludf.DUMMYFUNCTION("""COMPUTED_VALUE"""),0.0)</f>
        <v>0</v>
      </c>
      <c r="AX675" s="4">
        <f>IFERROR(__xludf.DUMMYFUNCTION("""COMPUTED_VALUE"""),0.0)</f>
        <v>0</v>
      </c>
      <c r="AY675" s="4"/>
      <c r="AZ675" s="4" t="str">
        <f>IFERROR(__xludf.DUMMYFUNCTION("""COMPUTED_VALUE"""),"Lanches")</f>
        <v>Lanches</v>
      </c>
      <c r="BA675" s="4" t="str">
        <f>IFERROR(__xludf.DUMMYFUNCTION("""COMPUTED_VALUE"""),"")</f>
        <v/>
      </c>
      <c r="BB675" s="4" t="str">
        <f>IFERROR(__xludf.DUMMYFUNCTION("""COMPUTED_VALUE"""),"")</f>
        <v/>
      </c>
      <c r="BC675" s="4" t="str">
        <f>IFERROR(__xludf.DUMMYFUNCTION("""COMPUTED_VALUE"""),"")</f>
        <v/>
      </c>
      <c r="BD675" s="4" t="str">
        <f>IFERROR(__xludf.DUMMYFUNCTION("""COMPUTED_VALUE"""),"")</f>
        <v/>
      </c>
      <c r="BE675" s="4" t="str">
        <f>IFERROR(__xludf.DUMMYFUNCTION("""COMPUTED_VALUE"""),"")</f>
        <v/>
      </c>
      <c r="BF675" s="4" t="str">
        <f>IFERROR(__xludf.DUMMYFUNCTION("""COMPUTED_VALUE"""),"")</f>
        <v/>
      </c>
      <c r="BG675" s="4" t="str">
        <f>IFERROR(__xludf.DUMMYFUNCTION("""COMPUTED_VALUE"""),"")</f>
        <v/>
      </c>
      <c r="BH675" s="4" t="s">
        <v>64</v>
      </c>
      <c r="BI675" s="7">
        <v>0.5</v>
      </c>
    </row>
    <row r="676" hidden="1">
      <c r="A676" s="4" t="str">
        <f>IFERROR(__xludf.DUMMYFUNCTION("""COMPUTED_VALUE"""),"Rede Macaxeira")</f>
        <v>Rede Macaxeira</v>
      </c>
      <c r="B676" s="4" t="str">
        <f>IFERROR(__xludf.DUMMYFUNCTION("""COMPUTED_VALUE"""),"Ana")</f>
        <v>Ana</v>
      </c>
      <c r="C676" s="4" t="str">
        <f>IFERROR(__xludf.DUMMYFUNCTION("""COMPUTED_VALUE"""),"Ana")</f>
        <v>Ana</v>
      </c>
      <c r="D676" s="4" t="str">
        <f>IFERROR(__xludf.DUMMYFUNCTION("""COMPUTED_VALUE"""),"10. Perdido")</f>
        <v>10. Perdido</v>
      </c>
      <c r="E676" s="4" t="str">
        <f>IFERROR(__xludf.DUMMYFUNCTION("""COMPUTED_VALUE"""),"Perdido -  Momento do restaurante não favorável")</f>
        <v>Perdido -  Momento do restaurante não favorável</v>
      </c>
      <c r="F676" s="4" t="str">
        <f>IFERROR(__xludf.DUMMYFUNCTION("""COMPUTED_VALUE"""),"P")</f>
        <v>P</v>
      </c>
      <c r="G676" s="5">
        <f>IFERROR(__xludf.DUMMYFUNCTION("""COMPUTED_VALUE"""),46076.0)</f>
        <v>46076</v>
      </c>
      <c r="H676" s="4" t="str">
        <f>IFERROR(__xludf.DUMMYFUNCTION("""COMPUTED_VALUE"""),"Sem interesse de mudar o pdv atual (garçom web)")</f>
        <v>Sem interesse de mudar o pdv atual (garçom web)</v>
      </c>
      <c r="I676" s="4"/>
      <c r="J676" s="6">
        <f>IFERROR(__xludf.DUMMYFUNCTION("""COMPUTED_VALUE"""),46052.435784456015)</f>
        <v>46052.43578</v>
      </c>
      <c r="K676" s="6">
        <f>IFERROR(__xludf.DUMMYFUNCTION("""COMPUTED_VALUE"""),45987.0)</f>
        <v>45987</v>
      </c>
      <c r="L676" s="4"/>
      <c r="M676" s="4"/>
      <c r="N676" s="4"/>
      <c r="O676" s="4"/>
      <c r="P676" s="4"/>
      <c r="Q676" s="4"/>
      <c r="R676" s="6">
        <f>IFERROR(__xludf.DUMMYFUNCTION("""COMPUTED_VALUE"""),46052.44015840278)</f>
        <v>46052.44016</v>
      </c>
      <c r="S676" s="4"/>
      <c r="T676" s="4"/>
      <c r="U676" s="4"/>
      <c r="V676" s="4" t="str">
        <f>IFERROR(__xludf.DUMMYFUNCTION("""COMPUTED_VALUE"""),"Sem interesse em mudar de PDV")</f>
        <v>Sem interesse em mudar de PDV</v>
      </c>
      <c r="W676" s="4"/>
      <c r="X676" s="4"/>
      <c r="Y676" s="4"/>
      <c r="Z676" s="4"/>
      <c r="AA676" s="4">
        <f>IFERROR(__xludf.DUMMYFUNCTION("""COMPUTED_VALUE"""),14.0)</f>
        <v>14</v>
      </c>
      <c r="AB676" s="4" t="str">
        <f>IFERROR(__xludf.DUMMYFUNCTION("""COMPUTED_VALUE"""),"NÃO")</f>
        <v>NÃO</v>
      </c>
      <c r="AC676" s="4" t="str">
        <f>IFERROR(__xludf.DUMMYFUNCTION("""COMPUTED_VALUE"""),"Não BP")</f>
        <v>Não BP</v>
      </c>
      <c r="AD676" s="4"/>
      <c r="AE676" s="4"/>
      <c r="AF676" s="4"/>
      <c r="AG676" s="4"/>
      <c r="AH676" s="4"/>
      <c r="AI676" s="4"/>
      <c r="AJ676" s="4"/>
      <c r="AK676" s="4"/>
      <c r="AL676" s="4"/>
      <c r="AM676" s="4" t="str">
        <f>IFERROR(__xludf.DUMMYFUNCTION("""COMPUTED_VALUE"""),"FY26")</f>
        <v>FY26</v>
      </c>
      <c r="AN676" s="4" t="str">
        <f>IFERROR(__xludf.DUMMYFUNCTION("""COMPUTED_VALUE"""),"Comer Fora")</f>
        <v>Comer Fora</v>
      </c>
      <c r="AO676" s="4">
        <f>IFERROR(__xludf.DUMMYFUNCTION("""COMPUTED_VALUE"""),140.0)</f>
        <v>140</v>
      </c>
      <c r="AP676" s="4"/>
      <c r="AQ676" s="4"/>
      <c r="AR676" s="4"/>
      <c r="AS676" s="4">
        <f>IFERROR(__xludf.DUMMYFUNCTION("""COMPUTED_VALUE"""),0.0)</f>
        <v>0</v>
      </c>
      <c r="AT676" s="4">
        <f>IFERROR(__xludf.DUMMYFUNCTION("""COMPUTED_VALUE"""),0.0)</f>
        <v>0</v>
      </c>
      <c r="AU676" s="4" t="str">
        <f>IFERROR(__xludf.DUMMYFUNCTION("""COMPUTED_VALUE"""),"Ana")</f>
        <v>Ana</v>
      </c>
      <c r="AV676" s="4" t="str">
        <f>IFERROR(__xludf.DUMMYFUNCTION("""COMPUTED_VALUE"""),"Comer Fora-")</f>
        <v>Comer Fora-</v>
      </c>
      <c r="AW676" s="20" t="str">
        <f>IFERROR(__xludf.DUMMYFUNCTION("""COMPUTED_VALUE"""),"P e M - pipe")</f>
        <v>P e M - pipe</v>
      </c>
      <c r="AX676" s="4"/>
      <c r="AY676" s="4"/>
      <c r="AZ676" s="4" t="str">
        <f>IFERROR(__xludf.DUMMYFUNCTION("""COMPUTED_VALUE"""),"Brasileira")</f>
        <v>Brasileira</v>
      </c>
      <c r="BA676" s="4" t="str">
        <f>IFERROR(__xludf.DUMMYFUNCTION("""COMPUTED_VALUE"""),"")</f>
        <v/>
      </c>
      <c r="BB676" s="4" t="str">
        <f>IFERROR(__xludf.DUMMYFUNCTION("""COMPUTED_VALUE"""),"")</f>
        <v/>
      </c>
      <c r="BC676" s="4" t="str">
        <f>IFERROR(__xludf.DUMMYFUNCTION("""COMPUTED_VALUE"""),"")</f>
        <v/>
      </c>
      <c r="BD676" s="4" t="str">
        <f>IFERROR(__xludf.DUMMYFUNCTION("""COMPUTED_VALUE"""),"")</f>
        <v/>
      </c>
      <c r="BE676" s="4" t="str">
        <f>IFERROR(__xludf.DUMMYFUNCTION("""COMPUTED_VALUE"""),"")</f>
        <v/>
      </c>
      <c r="BF676" s="4" t="str">
        <f>IFERROR(__xludf.DUMMYFUNCTION("""COMPUTED_VALUE"""),"")</f>
        <v/>
      </c>
      <c r="BG676" s="4" t="str">
        <f>IFERROR(__xludf.DUMMYFUNCTION("""COMPUTED_VALUE"""),"")</f>
        <v/>
      </c>
      <c r="BH676" s="4" t="s">
        <v>72</v>
      </c>
      <c r="BI676" s="7">
        <v>0.5333333333333333</v>
      </c>
    </row>
    <row r="677" hidden="1">
      <c r="A677" s="4" t="str">
        <f>IFERROR(__xludf.DUMMYFUNCTION("""COMPUTED_VALUE"""),"Restaurante Maza")</f>
        <v>Restaurante Maza</v>
      </c>
      <c r="B677" s="4" t="str">
        <f>IFERROR(__xludf.DUMMYFUNCTION("""COMPUTED_VALUE"""),"Iza")</f>
        <v>Iza</v>
      </c>
      <c r="C677" s="4" t="str">
        <f>IFERROR(__xludf.DUMMYFUNCTION("""COMPUTED_VALUE"""),"Iza")</f>
        <v>Iza</v>
      </c>
      <c r="D677" s="4" t="str">
        <f>IFERROR(__xludf.DUMMYFUNCTION("""COMPUTED_VALUE"""),"9. Contrato assinado")</f>
        <v>9. Contrato assinado</v>
      </c>
      <c r="E677" s="4" t="str">
        <f>IFERROR(__xludf.DUMMYFUNCTION("""COMPUTED_VALUE""")," Projetos - Contrato assinado &amp; Rollout")</f>
        <v> Projetos - Contrato assinado &amp; Rollout</v>
      </c>
      <c r="F677" s="4" t="str">
        <f>IFERROR(__xludf.DUMMYFUNCTION("""COMPUTED_VALUE"""),"P")</f>
        <v>P</v>
      </c>
      <c r="G677" s="5">
        <f>IFERROR(__xludf.DUMMYFUNCTION("""COMPUTED_VALUE"""),46076.0)</f>
        <v>46076</v>
      </c>
      <c r="H677" s="4" t="str">
        <f>IFERROR(__xludf.DUMMYFUNCTION("""COMPUTED_VALUE"""),"Contrato assinado")</f>
        <v>Contrato assinado</v>
      </c>
      <c r="I677" s="4"/>
      <c r="J677" s="4"/>
      <c r="K677" s="6">
        <f>IFERROR(__xludf.DUMMYFUNCTION("""COMPUTED_VALUE"""),45901.0)</f>
        <v>45901</v>
      </c>
      <c r="L677" s="4"/>
      <c r="M677" s="4"/>
      <c r="N677" s="6">
        <f>IFERROR(__xludf.DUMMYFUNCTION("""COMPUTED_VALUE"""),45980.0)</f>
        <v>45980</v>
      </c>
      <c r="O677" s="4"/>
      <c r="P677" s="4"/>
      <c r="Q677" s="6">
        <f>IFERROR(__xludf.DUMMYFUNCTION("""COMPUTED_VALUE"""),45980.0)</f>
        <v>45980</v>
      </c>
      <c r="R677" s="4"/>
      <c r="S677" s="4"/>
      <c r="T677" s="4"/>
      <c r="U677" s="4"/>
      <c r="V677" s="4"/>
      <c r="W677" s="4"/>
      <c r="X677" s="4"/>
      <c r="Y677" s="4"/>
      <c r="Z677" s="4"/>
      <c r="AA677" s="4">
        <f>IFERROR(__xludf.DUMMYFUNCTION("""COMPUTED_VALUE"""),4.0)</f>
        <v>4</v>
      </c>
      <c r="AB677" s="4"/>
      <c r="AC677" s="4"/>
      <c r="AD677" s="4"/>
      <c r="AE677" s="4"/>
      <c r="AF677" s="4"/>
      <c r="AG677" s="4"/>
      <c r="AH677" s="4"/>
      <c r="AI677" s="4"/>
      <c r="AJ677" s="4"/>
      <c r="AK677" s="4"/>
      <c r="AL677" s="4"/>
      <c r="AM677" s="4" t="str">
        <f>IFERROR(__xludf.DUMMYFUNCTION("""COMPUTED_VALUE"""),"FY26")</f>
        <v>FY26</v>
      </c>
      <c r="AN677" s="4"/>
      <c r="AO677" s="4">
        <f>IFERROR(__xludf.DUMMYFUNCTION("""COMPUTED_VALUE"""),140.0)</f>
        <v>140</v>
      </c>
      <c r="AP677" s="4"/>
      <c r="AQ677" s="4"/>
      <c r="AR677" s="4"/>
      <c r="AS677" s="4">
        <f>IFERROR(__xludf.DUMMYFUNCTION("""COMPUTED_VALUE"""),0.0)</f>
        <v>0</v>
      </c>
      <c r="AT677" s="4">
        <f>IFERROR(__xludf.DUMMYFUNCTION("""COMPUTED_VALUE"""),0.0)</f>
        <v>0</v>
      </c>
      <c r="AU677" s="4" t="str">
        <f>IFERROR(__xludf.DUMMYFUNCTION("""COMPUTED_VALUE"""),"Iza")</f>
        <v>Iza</v>
      </c>
      <c r="AV677" s="4">
        <f>IFERROR(__xludf.DUMMYFUNCTION("""COMPUTED_VALUE"""),0.0)</f>
        <v>0</v>
      </c>
      <c r="AW677" s="4">
        <f>IFERROR(__xludf.DUMMYFUNCTION("""COMPUTED_VALUE"""),0.0)</f>
        <v>0</v>
      </c>
      <c r="AX677" s="4">
        <f>IFERROR(__xludf.DUMMYFUNCTION("""COMPUTED_VALUE"""),0.0)</f>
        <v>0</v>
      </c>
      <c r="AY677" s="4">
        <f>IFERROR(__xludf.DUMMYFUNCTION("""COMPUTED_VALUE"""),0.0)</f>
        <v>0</v>
      </c>
      <c r="AZ677" s="4" t="str">
        <f>IFERROR(__xludf.DUMMYFUNCTION("""COMPUTED_VALUE"""),"#N/A")</f>
        <v>#N/A</v>
      </c>
      <c r="BA677" s="4" t="str">
        <f>IFERROR(__xludf.DUMMYFUNCTION("""COMPUTED_VALUE"""),"")</f>
        <v/>
      </c>
      <c r="BB677" s="4" t="str">
        <f>IFERROR(__xludf.DUMMYFUNCTION("""COMPUTED_VALUE"""),"")</f>
        <v/>
      </c>
      <c r="BC677" s="4" t="str">
        <f>IFERROR(__xludf.DUMMYFUNCTION("""COMPUTED_VALUE"""),"")</f>
        <v/>
      </c>
      <c r="BD677" s="4" t="str">
        <f>IFERROR(__xludf.DUMMYFUNCTION("""COMPUTED_VALUE"""),"")</f>
        <v/>
      </c>
      <c r="BE677" s="4" t="str">
        <f>IFERROR(__xludf.DUMMYFUNCTION("""COMPUTED_VALUE"""),"")</f>
        <v/>
      </c>
      <c r="BF677" s="4" t="str">
        <f>IFERROR(__xludf.DUMMYFUNCTION("""COMPUTED_VALUE"""),"")</f>
        <v/>
      </c>
      <c r="BG677" s="4" t="str">
        <f>IFERROR(__xludf.DUMMYFUNCTION("""COMPUTED_VALUE"""),"")</f>
        <v/>
      </c>
      <c r="BH677" s="4" t="s">
        <v>63</v>
      </c>
      <c r="BI677" s="7" t="s">
        <v>63</v>
      </c>
    </row>
    <row r="678" hidden="1">
      <c r="A678" s="4" t="str">
        <f>IFERROR(__xludf.DUMMYFUNCTION("""COMPUTED_VALUE"""),"Rosso Burguer")</f>
        <v>Rosso Burguer</v>
      </c>
      <c r="B678" s="4" t="str">
        <f>IFERROR(__xludf.DUMMYFUNCTION("""COMPUTED_VALUE"""),"Diego Santos")</f>
        <v>Diego Santos</v>
      </c>
      <c r="C678" s="4" t="str">
        <f>IFERROR(__xludf.DUMMYFUNCTION("""COMPUTED_VALUE"""),"Diego Santos")</f>
        <v>Diego Santos</v>
      </c>
      <c r="D678" s="4" t="str">
        <f>IFERROR(__xludf.DUMMYFUNCTION("""COMPUTED_VALUE"""),"10. Perdido")</f>
        <v>10. Perdido</v>
      </c>
      <c r="E678" s="4" t="str">
        <f>IFERROR(__xludf.DUMMYFUNCTION("""COMPUTED_VALUE"""),"Perdido - Sem perfil LA / 3SCheckout / PDV próprio")</f>
        <v>Perdido - Sem perfil LA / 3SCheckout / PDV próprio</v>
      </c>
      <c r="F678" s="4" t="str">
        <f>IFERROR(__xludf.DUMMYFUNCTION("""COMPUTED_VALUE"""),"P")</f>
        <v>P</v>
      </c>
      <c r="G678" s="4"/>
      <c r="H678" s="22" t="str">
        <f>IFERROR(__xludf.DUMMYFUNCTION("""COMPUTED_VALUE"""),"Usa Saipos mas já está de saída pra outro software. Não teve interesse em negociar conosco nem tem possibilidade de reversão da saída da saipos.")</f>
        <v>Usa Saipos mas já está de saída pra outro software. Não teve interesse em negociar conosco nem tem possibilidade de reversão da saída da saipos.</v>
      </c>
      <c r="I678" s="4"/>
      <c r="J678" s="4"/>
      <c r="K678" s="6">
        <f>IFERROR(__xludf.DUMMYFUNCTION("""COMPUTED_VALUE"""),46034.0)</f>
        <v>46034</v>
      </c>
      <c r="L678" s="4"/>
      <c r="M678" s="4"/>
      <c r="N678" s="4"/>
      <c r="O678" s="4"/>
      <c r="P678" s="4"/>
      <c r="Q678" s="4"/>
      <c r="R678" s="4"/>
      <c r="S678" s="4"/>
      <c r="T678" s="4"/>
      <c r="U678" s="4"/>
      <c r="V678" s="4" t="str">
        <f>IFERROR(__xludf.DUMMYFUNCTION("""COMPUTED_VALUE"""),"Sem interesse em mudar de PDV")</f>
        <v>Sem interesse em mudar de PDV</v>
      </c>
      <c r="W678" s="4"/>
      <c r="X678" s="4"/>
      <c r="Y678" s="4"/>
      <c r="Z678" s="4"/>
      <c r="AA678" s="4">
        <f>IFERROR(__xludf.DUMMYFUNCTION("""COMPUTED_VALUE"""),5.0)</f>
        <v>5</v>
      </c>
      <c r="AB678" s="4"/>
      <c r="AC678" s="4"/>
      <c r="AD678" s="4"/>
      <c r="AE678" s="4"/>
      <c r="AF678" s="4"/>
      <c r="AG678" s="4"/>
      <c r="AH678" s="4"/>
      <c r="AI678" s="4"/>
      <c r="AJ678" s="4"/>
      <c r="AK678" s="4"/>
      <c r="AL678" s="4"/>
      <c r="AM678" s="4" t="str">
        <f>IFERROR(__xludf.DUMMYFUNCTION("""COMPUTED_VALUE"""),"FY26")</f>
        <v>FY26</v>
      </c>
      <c r="AN678" s="4"/>
      <c r="AO678" s="4">
        <f>IFERROR(__xludf.DUMMYFUNCTION("""COMPUTED_VALUE"""),45553.0)</f>
        <v>45553</v>
      </c>
      <c r="AP678" s="4"/>
      <c r="AQ678" s="4"/>
      <c r="AR678" s="4"/>
      <c r="AS678" s="4">
        <f>IFERROR(__xludf.DUMMYFUNCTION("""COMPUTED_VALUE"""),0.0)</f>
        <v>0</v>
      </c>
      <c r="AT678" s="4">
        <f>IFERROR(__xludf.DUMMYFUNCTION("""COMPUTED_VALUE"""),0.0)</f>
        <v>0</v>
      </c>
      <c r="AU678" s="4" t="str">
        <f>IFERROR(__xludf.DUMMYFUNCTION("""COMPUTED_VALUE"""),"Diego")</f>
        <v>Diego</v>
      </c>
      <c r="AV678" s="4">
        <f>IFERROR(__xludf.DUMMYFUNCTION("""COMPUTED_VALUE"""),0.0)</f>
        <v>0</v>
      </c>
      <c r="AW678" s="4">
        <f>IFERROR(__xludf.DUMMYFUNCTION("""COMPUTED_VALUE"""),0.0)</f>
        <v>0</v>
      </c>
      <c r="AX678" s="4">
        <f>IFERROR(__xludf.DUMMYFUNCTION("""COMPUTED_VALUE"""),0.0)</f>
        <v>0</v>
      </c>
      <c r="AY678" s="4"/>
      <c r="AZ678" s="4" t="str">
        <f>IFERROR(__xludf.DUMMYFUNCTION("""COMPUTED_VALUE"""),"#N/A")</f>
        <v>#N/A</v>
      </c>
      <c r="BA678" s="4" t="str">
        <f>IFERROR(__xludf.DUMMYFUNCTION("""COMPUTED_VALUE"""),"")</f>
        <v/>
      </c>
      <c r="BB678" s="4" t="str">
        <f>IFERROR(__xludf.DUMMYFUNCTION("""COMPUTED_VALUE"""),"")</f>
        <v/>
      </c>
      <c r="BC678" s="4" t="str">
        <f>IFERROR(__xludf.DUMMYFUNCTION("""COMPUTED_VALUE"""),"")</f>
        <v/>
      </c>
      <c r="BD678" s="4" t="str">
        <f>IFERROR(__xludf.DUMMYFUNCTION("""COMPUTED_VALUE"""),"")</f>
        <v/>
      </c>
      <c r="BE678" s="4" t="str">
        <f>IFERROR(__xludf.DUMMYFUNCTION("""COMPUTED_VALUE"""),"")</f>
        <v/>
      </c>
      <c r="BF678" s="4" t="str">
        <f>IFERROR(__xludf.DUMMYFUNCTION("""COMPUTED_VALUE"""),"")</f>
        <v/>
      </c>
      <c r="BG678" s="4" t="str">
        <f>IFERROR(__xludf.DUMMYFUNCTION("""COMPUTED_VALUE"""),"")</f>
        <v/>
      </c>
      <c r="BH678" s="4" t="s">
        <v>63</v>
      </c>
      <c r="BI678" s="7" t="s">
        <v>63</v>
      </c>
    </row>
    <row r="679" hidden="1">
      <c r="A679" s="4" t="str">
        <f>IFERROR(__xludf.DUMMYFUNCTION("""COMPUTED_VALUE"""),"Rubaiyat")</f>
        <v>Rubaiyat</v>
      </c>
      <c r="B679" s="4" t="str">
        <f>IFERROR(__xludf.DUMMYFUNCTION("""COMPUTED_VALUE"""),"Ana")</f>
        <v>Ana</v>
      </c>
      <c r="C679" s="4" t="str">
        <f>IFERROR(__xludf.DUMMYFUNCTION("""COMPUTED_VALUE"""),"Ana")</f>
        <v>Ana</v>
      </c>
      <c r="D679" s="4" t="str">
        <f>IFERROR(__xludf.DUMMYFUNCTION("""COMPUTED_VALUE"""),"10. Perdido")</f>
        <v>10. Perdido</v>
      </c>
      <c r="E679" s="4" t="str">
        <f>IFERROR(__xludf.DUMMYFUNCTION("""COMPUTED_VALUE"""),"Perdido - Outro (detalhar ao lado)")</f>
        <v>Perdido - Outro (detalhar ao lado)</v>
      </c>
      <c r="F679" s="4" t="str">
        <f>IFERROR(__xludf.DUMMYFUNCTION("""COMPUTED_VALUE"""),"P")</f>
        <v>P</v>
      </c>
      <c r="G679" s="5">
        <f>IFERROR(__xludf.DUMMYFUNCTION("""COMPUTED_VALUE"""),46076.0)</f>
        <v>46076</v>
      </c>
      <c r="H679" s="4" t="str">
        <f>IFERROR(__xludf.DUMMYFUNCTION("""COMPUTED_VALUE"""),"Tem solução própria ")</f>
        <v>Tem solução própria </v>
      </c>
      <c r="I679" s="4"/>
      <c r="J679" s="4"/>
      <c r="K679" s="6">
        <f>IFERROR(__xludf.DUMMYFUNCTION("""COMPUTED_VALUE"""),45807.0)</f>
        <v>45807</v>
      </c>
      <c r="L679" s="4"/>
      <c r="M679" s="4"/>
      <c r="N679" s="4"/>
      <c r="O679" s="4"/>
      <c r="P679" s="4"/>
      <c r="Q679" s="4"/>
      <c r="R679" s="4"/>
      <c r="S679" s="4"/>
      <c r="T679" s="4"/>
      <c r="U679" s="4"/>
      <c r="V679" s="4" t="str">
        <f>IFERROR(__xludf.DUMMYFUNCTION("""COMPUTED_VALUE"""),"Sistema próprio")</f>
        <v>Sistema próprio</v>
      </c>
      <c r="W679" s="4"/>
      <c r="X679" s="4"/>
      <c r="Y679" s="4"/>
      <c r="Z679" s="4"/>
      <c r="AA679" s="4">
        <f>IFERROR(__xludf.DUMMYFUNCTION("""COMPUTED_VALUE"""),7.0)</f>
        <v>7</v>
      </c>
      <c r="AB679" s="4" t="str">
        <f>IFERROR(__xludf.DUMMYFUNCTION("""COMPUTED_VALUE"""),"NÃO")</f>
        <v>NÃO</v>
      </c>
      <c r="AC679" s="4" t="str">
        <f>IFERROR(__xludf.DUMMYFUNCTION("""COMPUTED_VALUE"""),"BP")</f>
        <v>BP</v>
      </c>
      <c r="AD679" s="4"/>
      <c r="AE679" s="4"/>
      <c r="AF679" s="4"/>
      <c r="AG679" s="4"/>
      <c r="AH679" s="4"/>
      <c r="AI679" s="4"/>
      <c r="AJ679" s="4"/>
      <c r="AK679" s="4"/>
      <c r="AL679" s="4"/>
      <c r="AM679" s="4" t="str">
        <f>IFERROR(__xludf.DUMMYFUNCTION("""COMPUTED_VALUE"""),"FY26")</f>
        <v>FY26</v>
      </c>
      <c r="AN679" s="4" t="str">
        <f>IFERROR(__xludf.DUMMYFUNCTION("""COMPUTED_VALUE"""),"Comer Fora")</f>
        <v>Comer Fora</v>
      </c>
      <c r="AO679" s="4">
        <f>IFERROR(__xludf.DUMMYFUNCTION("""COMPUTED_VALUE"""),140.0)</f>
        <v>140</v>
      </c>
      <c r="AP679" s="4"/>
      <c r="AQ679" s="4"/>
      <c r="AR679" s="4"/>
      <c r="AS679" s="4" t="str">
        <f>IFERROR(__xludf.DUMMYFUNCTION("""COMPUTED_VALUE"""),"NATHALIE MERTENS")</f>
        <v>NATHALIE MERTENS</v>
      </c>
      <c r="AT679" s="4" t="str">
        <f>IFERROR(__xludf.DUMMYFUNCTION("""COMPUTED_VALUE"""),"MARIANA KATZ")</f>
        <v>MARIANA KATZ</v>
      </c>
      <c r="AU679" s="4" t="str">
        <f>IFERROR(__xludf.DUMMYFUNCTION("""COMPUTED_VALUE"""),"Ana")</f>
        <v>Ana</v>
      </c>
      <c r="AV679" s="4" t="str">
        <f>IFERROR(__xludf.DUMMYFUNCTION("""COMPUTED_VALUE"""),"Comer Fora-")</f>
        <v>Comer Fora-</v>
      </c>
      <c r="AW679" s="20" t="str">
        <f>IFERROR(__xludf.DUMMYFUNCTION("""COMPUTED_VALUE"""),"P e M - pipe")</f>
        <v>P e M - pipe</v>
      </c>
      <c r="AX679" s="4"/>
      <c r="AY679" s="4"/>
      <c r="AZ679" s="4" t="str">
        <f>IFERROR(__xludf.DUMMYFUNCTION("""COMPUTED_VALUE"""),"Presentes")</f>
        <v>Presentes</v>
      </c>
      <c r="BA679" s="4" t="str">
        <f>IFERROR(__xludf.DUMMYFUNCTION("""COMPUTED_VALUE"""),"")</f>
        <v/>
      </c>
      <c r="BB679" s="4" t="str">
        <f>IFERROR(__xludf.DUMMYFUNCTION("""COMPUTED_VALUE"""),"")</f>
        <v/>
      </c>
      <c r="BC679" s="4" t="str">
        <f>IFERROR(__xludf.DUMMYFUNCTION("""COMPUTED_VALUE"""),"")</f>
        <v/>
      </c>
      <c r="BD679" s="4" t="str">
        <f>IFERROR(__xludf.DUMMYFUNCTION("""COMPUTED_VALUE"""),"")</f>
        <v/>
      </c>
      <c r="BE679" s="4" t="str">
        <f>IFERROR(__xludf.DUMMYFUNCTION("""COMPUTED_VALUE"""),"")</f>
        <v/>
      </c>
      <c r="BF679" s="4" t="str">
        <f>IFERROR(__xludf.DUMMYFUNCTION("""COMPUTED_VALUE"""),"")</f>
        <v/>
      </c>
      <c r="BG679" s="4" t="str">
        <f>IFERROR(__xludf.DUMMYFUNCTION("""COMPUTED_VALUE"""),"")</f>
        <v/>
      </c>
      <c r="BH679" s="4" t="s">
        <v>152</v>
      </c>
      <c r="BI679" s="7">
        <v>1.0</v>
      </c>
    </row>
    <row r="680" hidden="1">
      <c r="A680" s="4" t="str">
        <f>IFERROR(__xludf.DUMMYFUNCTION("""COMPUTED_VALUE"""),"S.A Casa Do Sushi")</f>
        <v>S.A Casa Do Sushi</v>
      </c>
      <c r="B680" s="4" t="str">
        <f>IFERROR(__xludf.DUMMYFUNCTION("""COMPUTED_VALUE"""),"Iza")</f>
        <v>Iza</v>
      </c>
      <c r="C680" s="4" t="str">
        <f>IFERROR(__xludf.DUMMYFUNCTION("""COMPUTED_VALUE"""),"Iza")</f>
        <v>Iza</v>
      </c>
      <c r="D680" s="4" t="str">
        <f>IFERROR(__xludf.DUMMYFUNCTION("""COMPUTED_VALUE"""),"10. Perdido")</f>
        <v>10. Perdido</v>
      </c>
      <c r="E680" s="4" t="str">
        <f>IFERROR(__xludf.DUMMYFUNCTION("""COMPUTED_VALUE"""),"Perdido - Sem perfil LA / 3SCheckout / PDV próprio")</f>
        <v>Perdido - Sem perfil LA / 3SCheckout / PDV próprio</v>
      </c>
      <c r="F680" s="4" t="str">
        <f>IFERROR(__xludf.DUMMYFUNCTION("""COMPUTED_VALUE"""),"P")</f>
        <v>P</v>
      </c>
      <c r="G680" s="5">
        <f>IFERROR(__xludf.DUMMYFUNCTION("""COMPUTED_VALUE"""),46076.0)</f>
        <v>46076</v>
      </c>
      <c r="H680" s="4" t="str">
        <f>IFERROR(__xludf.DUMMYFUNCTION("""COMPUTED_VALUE"""),"Falei com diretor Natan e me informou que acabaram de fechar com um sistema (Livn) que estão os atendendo muito bem.")</f>
        <v>Falei com diretor Natan e me informou que acabaram de fechar com um sistema (Livn) que estão os atendendo muito bem.</v>
      </c>
      <c r="I680" s="4"/>
      <c r="J680" s="4"/>
      <c r="K680" s="6">
        <f>IFERROR(__xludf.DUMMYFUNCTION("""COMPUTED_VALUE"""),45994.0)</f>
        <v>45994</v>
      </c>
      <c r="L680" s="4"/>
      <c r="M680" s="4"/>
      <c r="N680" s="4"/>
      <c r="O680" s="4"/>
      <c r="P680" s="4"/>
      <c r="Q680" s="4"/>
      <c r="R680" s="4"/>
      <c r="S680" s="4"/>
      <c r="T680" s="4"/>
      <c r="U680" s="4"/>
      <c r="V680" s="4" t="str">
        <f>IFERROR(__xludf.DUMMYFUNCTION("""COMPUTED_VALUE"""),"Sem interesse em mudar de PDV")</f>
        <v>Sem interesse em mudar de PDV</v>
      </c>
      <c r="W680" s="4"/>
      <c r="X680" s="4"/>
      <c r="Y680" s="4"/>
      <c r="Z680" s="4"/>
      <c r="AA680" s="4">
        <f>IFERROR(__xludf.DUMMYFUNCTION("""COMPUTED_VALUE"""),27.0)</f>
        <v>27</v>
      </c>
      <c r="AB680" s="4" t="str">
        <f>IFERROR(__xludf.DUMMYFUNCTION("""COMPUTED_VALUE"""),"NÃO")</f>
        <v>NÃO</v>
      </c>
      <c r="AC680" s="4" t="str">
        <f>IFERROR(__xludf.DUMMYFUNCTION("""COMPUTED_VALUE"""),"Não BP")</f>
        <v>Não BP</v>
      </c>
      <c r="AD680" s="4"/>
      <c r="AE680" s="4"/>
      <c r="AF680" s="4"/>
      <c r="AG680" s="4"/>
      <c r="AH680" s="4"/>
      <c r="AI680" s="4"/>
      <c r="AJ680" s="4"/>
      <c r="AK680" s="4"/>
      <c r="AL680" s="4"/>
      <c r="AM680" s="4" t="str">
        <f>IFERROR(__xludf.DUMMYFUNCTION("""COMPUTED_VALUE"""),"FY26")</f>
        <v>FY26</v>
      </c>
      <c r="AN680" s="4" t="str">
        <f>IFERROR(__xludf.DUMMYFUNCTION("""COMPUTED_VALUE"""),"Comer Fora")</f>
        <v>Comer Fora</v>
      </c>
      <c r="AO680" s="4">
        <f>IFERROR(__xludf.DUMMYFUNCTION("""COMPUTED_VALUE"""),140.0)</f>
        <v>140</v>
      </c>
      <c r="AP680" s="4"/>
      <c r="AQ680" s="4"/>
      <c r="AR680" s="4"/>
      <c r="AS680" s="4">
        <f>IFERROR(__xludf.DUMMYFUNCTION("""COMPUTED_VALUE"""),0.0)</f>
        <v>0</v>
      </c>
      <c r="AT680" s="4">
        <f>IFERROR(__xludf.DUMMYFUNCTION("""COMPUTED_VALUE"""),0.0)</f>
        <v>0</v>
      </c>
      <c r="AU680" s="4" t="str">
        <f>IFERROR(__xludf.DUMMYFUNCTION("""COMPUTED_VALUE"""),"Iza")</f>
        <v>Iza</v>
      </c>
      <c r="AV680" s="4" t="str">
        <f>IFERROR(__xludf.DUMMYFUNCTION("""COMPUTED_VALUE"""),"Comer Fora-")</f>
        <v>Comer Fora-</v>
      </c>
      <c r="AW680" s="20" t="str">
        <f>IFERROR(__xludf.DUMMYFUNCTION("""COMPUTED_VALUE"""),"P e M - pipe")</f>
        <v>P e M - pipe</v>
      </c>
      <c r="AX680" s="4"/>
      <c r="AY680" s="4"/>
      <c r="AZ680" s="4" t="str">
        <f>IFERROR(__xludf.DUMMYFUNCTION("""COMPUTED_VALUE"""),"#N/A")</f>
        <v>#N/A</v>
      </c>
      <c r="BA680" s="4" t="str">
        <f>IFERROR(__xludf.DUMMYFUNCTION("""COMPUTED_VALUE"""),"")</f>
        <v/>
      </c>
      <c r="BB680" s="4" t="str">
        <f>IFERROR(__xludf.DUMMYFUNCTION("""COMPUTED_VALUE"""),"")</f>
        <v/>
      </c>
      <c r="BC680" s="4" t="str">
        <f>IFERROR(__xludf.DUMMYFUNCTION("""COMPUTED_VALUE"""),"")</f>
        <v/>
      </c>
      <c r="BD680" s="4" t="str">
        <f>IFERROR(__xludf.DUMMYFUNCTION("""COMPUTED_VALUE"""),"")</f>
        <v/>
      </c>
      <c r="BE680" s="4" t="str">
        <f>IFERROR(__xludf.DUMMYFUNCTION("""COMPUTED_VALUE"""),"")</f>
        <v/>
      </c>
      <c r="BF680" s="4" t="str">
        <f>IFERROR(__xludf.DUMMYFUNCTION("""COMPUTED_VALUE"""),"")</f>
        <v/>
      </c>
      <c r="BG680" s="4" t="str">
        <f>IFERROR(__xludf.DUMMYFUNCTION("""COMPUTED_VALUE"""),"")</f>
        <v/>
      </c>
      <c r="BH680" s="4" t="s">
        <v>63</v>
      </c>
      <c r="BI680" s="7" t="s">
        <v>63</v>
      </c>
    </row>
    <row r="681" hidden="1">
      <c r="A681" s="4" t="str">
        <f>IFERROR(__xludf.DUMMYFUNCTION("""COMPUTED_VALUE"""),"Saj")</f>
        <v>Saj</v>
      </c>
      <c r="B681" s="4" t="str">
        <f>IFERROR(__xludf.DUMMYFUNCTION("""COMPUTED_VALUE"""),"Ana")</f>
        <v>Ana</v>
      </c>
      <c r="C681" s="4" t="str">
        <f>IFERROR(__xludf.DUMMYFUNCTION("""COMPUTED_VALUE"""),"Ana")</f>
        <v>Ana</v>
      </c>
      <c r="D681" s="4" t="str">
        <f>IFERROR(__xludf.DUMMYFUNCTION("""COMPUTED_VALUE"""),"13. Reativado")</f>
        <v>13. Reativado</v>
      </c>
      <c r="E681" s="4" t="str">
        <f>IFERROR(__xludf.DUMMYFUNCTION("""COMPUTED_VALUE"""),"Perdido -  Momento do restaurante não favorável")</f>
        <v>Perdido -  Momento do restaurante não favorável</v>
      </c>
      <c r="F681" s="4" t="str">
        <f>IFERROR(__xludf.DUMMYFUNCTION("""COMPUTED_VALUE"""),"P")</f>
        <v>P</v>
      </c>
      <c r="G681" s="5">
        <f>IFERROR(__xludf.DUMMYFUNCTION("""COMPUTED_VALUE"""),46076.0)</f>
        <v>46076</v>
      </c>
      <c r="H681" s="4" t="str">
        <f>IFERROR(__xludf.DUMMYFUNCTION("""COMPUTED_VALUE"""),"Parceiro não deu abertura pra falar sobre salao, não quer trocar de sistema.")</f>
        <v>Parceiro não deu abertura pra falar sobre salao, não quer trocar de sistema.</v>
      </c>
      <c r="I681" s="4"/>
      <c r="J681" s="6">
        <f>IFERROR(__xludf.DUMMYFUNCTION("""COMPUTED_VALUE"""),46029.0)</f>
        <v>46029</v>
      </c>
      <c r="K681" s="4"/>
      <c r="L681" s="4"/>
      <c r="M681" s="4"/>
      <c r="N681" s="4"/>
      <c r="O681" s="4"/>
      <c r="P681" s="4"/>
      <c r="Q681" s="4"/>
      <c r="R681" s="6">
        <f>IFERROR(__xludf.DUMMYFUNCTION("""COMPUTED_VALUE"""),46057.638039502315)</f>
        <v>46057.63804</v>
      </c>
      <c r="S681" s="6">
        <f>IFERROR(__xludf.DUMMYFUNCTION("""COMPUTED_VALUE"""),46051.69282038194)</f>
        <v>46051.69282</v>
      </c>
      <c r="T681" s="4"/>
      <c r="U681" s="6">
        <f>IFERROR(__xludf.DUMMYFUNCTION("""COMPUTED_VALUE"""),46154.4316965162)</f>
        <v>46154.4317</v>
      </c>
      <c r="V681" s="4" t="str">
        <f>IFERROR(__xludf.DUMMYFUNCTION("""COMPUTED_VALUE"""),"Sem interesse em mudar de PDV")</f>
        <v>Sem interesse em mudar de PDV</v>
      </c>
      <c r="W681" s="4"/>
      <c r="X681" s="4"/>
      <c r="Y681" s="4"/>
      <c r="Z681" s="4"/>
      <c r="AA681" s="4">
        <f>IFERROR(__xludf.DUMMYFUNCTION("""COMPUTED_VALUE"""),6.0)</f>
        <v>6</v>
      </c>
      <c r="AB681" s="4" t="str">
        <f>IFERROR(__xludf.DUMMYFUNCTION("""COMPUTED_VALUE"""),"NÃO")</f>
        <v>NÃO</v>
      </c>
      <c r="AC681" s="4" t="str">
        <f>IFERROR(__xludf.DUMMYFUNCTION("""COMPUTED_VALUE"""),"BP")</f>
        <v>BP</v>
      </c>
      <c r="AD681" s="4"/>
      <c r="AE681" s="4"/>
      <c r="AF681" s="4"/>
      <c r="AG681" s="4"/>
      <c r="AH681" s="4"/>
      <c r="AI681" s="4"/>
      <c r="AJ681" s="4"/>
      <c r="AK681" s="4"/>
      <c r="AL681" s="4"/>
      <c r="AM681" s="4" t="str">
        <f>IFERROR(__xludf.DUMMYFUNCTION("""COMPUTED_VALUE"""),"FY26")</f>
        <v>FY26</v>
      </c>
      <c r="AN681" s="4" t="str">
        <f>IFERROR(__xludf.DUMMYFUNCTION("""COMPUTED_VALUE"""),"Comer Fora")</f>
        <v>Comer Fora</v>
      </c>
      <c r="AO681" s="4">
        <f>IFERROR(__xludf.DUMMYFUNCTION("""COMPUTED_VALUE"""),140.0)</f>
        <v>140</v>
      </c>
      <c r="AP681" s="4"/>
      <c r="AQ681" s="4"/>
      <c r="AR681" s="4"/>
      <c r="AS681" s="4" t="str">
        <f>IFERROR(__xludf.DUMMYFUNCTION("""COMPUTED_VALUE"""),"NATHALIE MERTENS")</f>
        <v>NATHALIE MERTENS</v>
      </c>
      <c r="AT681" s="4" t="str">
        <f>IFERROR(__xludf.DUMMYFUNCTION("""COMPUTED_VALUE"""),"MARIANA KATZ")</f>
        <v>MARIANA KATZ</v>
      </c>
      <c r="AU681" s="4" t="str">
        <f>IFERROR(__xludf.DUMMYFUNCTION("""COMPUTED_VALUE"""),"Ana")</f>
        <v>Ana</v>
      </c>
      <c r="AV681" s="4" t="str">
        <f>IFERROR(__xludf.DUMMYFUNCTION("""COMPUTED_VALUE"""),"Comer Fora-")</f>
        <v>Comer Fora-</v>
      </c>
      <c r="AW681" s="20" t="str">
        <f>IFERROR(__xludf.DUMMYFUNCTION("""COMPUTED_VALUE"""),"P e M - pipe")</f>
        <v>P e M - pipe</v>
      </c>
      <c r="AX681" s="4"/>
      <c r="AY681" s="4"/>
      <c r="AZ681" s="4" t="str">
        <f>IFERROR(__xludf.DUMMYFUNCTION("""COMPUTED_VALUE"""),"Árabe")</f>
        <v>Árabe</v>
      </c>
      <c r="BA681" s="4" t="str">
        <f>IFERROR(__xludf.DUMMYFUNCTION("""COMPUTED_VALUE"""),"")</f>
        <v/>
      </c>
      <c r="BB681" s="4" t="str">
        <f>IFERROR(__xludf.DUMMYFUNCTION("""COMPUTED_VALUE"""),"")</f>
        <v/>
      </c>
      <c r="BC681" s="4" t="str">
        <f>IFERROR(__xludf.DUMMYFUNCTION("""COMPUTED_VALUE"""),"")</f>
        <v/>
      </c>
      <c r="BD681" s="4" t="str">
        <f>IFERROR(__xludf.DUMMYFUNCTION("""COMPUTED_VALUE"""),"")</f>
        <v/>
      </c>
      <c r="BE681" s="4" t="str">
        <f>IFERROR(__xludf.DUMMYFUNCTION("""COMPUTED_VALUE"""),"")</f>
        <v/>
      </c>
      <c r="BF681" s="4" t="str">
        <f>IFERROR(__xludf.DUMMYFUNCTION("""COMPUTED_VALUE"""),"")</f>
        <v/>
      </c>
      <c r="BG681" s="4" t="str">
        <f>IFERROR(__xludf.DUMMYFUNCTION("""COMPUTED_VALUE"""),"")</f>
        <v/>
      </c>
      <c r="BH681" s="4" t="s">
        <v>140</v>
      </c>
      <c r="BI681" s="7">
        <v>0.6153846153846154</v>
      </c>
    </row>
    <row r="682" hidden="1">
      <c r="A682" s="4" t="str">
        <f>IFERROR(__xludf.DUMMYFUNCTION("""COMPUTED_VALUE"""),"Salu")</f>
        <v>Salu</v>
      </c>
      <c r="B682" s="4" t="str">
        <f>IFERROR(__xludf.DUMMYFUNCTION("""COMPUTED_VALUE"""),"Michel")</f>
        <v>Michel</v>
      </c>
      <c r="C682" s="4" t="str">
        <f>IFERROR(__xludf.DUMMYFUNCTION("""COMPUTED_VALUE"""),"Michel")</f>
        <v>Michel</v>
      </c>
      <c r="D682" s="4" t="str">
        <f>IFERROR(__xludf.DUMMYFUNCTION("""COMPUTED_VALUE"""),"12. Orgânico")</f>
        <v>12. Orgânico</v>
      </c>
      <c r="E682" s="4"/>
      <c r="F682" s="4" t="str">
        <f>IFERROR(__xludf.DUMMYFUNCTION("""COMPUTED_VALUE"""),"P")</f>
        <v>P</v>
      </c>
      <c r="G682" s="4"/>
      <c r="H682" s="4"/>
      <c r="I682" s="4"/>
      <c r="J682" s="4"/>
      <c r="K682" s="6">
        <f>IFERROR(__xludf.DUMMYFUNCTION("""COMPUTED_VALUE"""),45807.0)</f>
        <v>45807</v>
      </c>
      <c r="L682" s="4"/>
      <c r="M682" s="4"/>
      <c r="N682" s="6">
        <f>IFERROR(__xludf.DUMMYFUNCTION("""COMPUTED_VALUE"""),45782.0)</f>
        <v>45782</v>
      </c>
      <c r="O682" s="4"/>
      <c r="P682" s="4"/>
      <c r="Q682" s="6">
        <f>IFERROR(__xludf.DUMMYFUNCTION("""COMPUTED_VALUE"""),45782.0)</f>
        <v>45782</v>
      </c>
      <c r="R682" s="4"/>
      <c r="S682" s="4"/>
      <c r="T682" s="6">
        <f>IFERROR(__xludf.DUMMYFUNCTION("""COMPUTED_VALUE"""),46076.60655434028)</f>
        <v>46076.60655</v>
      </c>
      <c r="U682" s="4"/>
      <c r="V682" s="4"/>
      <c r="W682" s="4"/>
      <c r="X682" s="4"/>
      <c r="Y682" s="4"/>
      <c r="Z682" s="4"/>
      <c r="AA682" s="4">
        <f>IFERROR(__xludf.DUMMYFUNCTION("""COMPUTED_VALUE"""),1.0)</f>
        <v>1</v>
      </c>
      <c r="AB682" s="4"/>
      <c r="AC682" s="4"/>
      <c r="AD682" s="4"/>
      <c r="AE682" s="4"/>
      <c r="AF682" s="4"/>
      <c r="AG682" s="4"/>
      <c r="AH682" s="4"/>
      <c r="AI682" s="4"/>
      <c r="AJ682" s="4"/>
      <c r="AK682" s="4"/>
      <c r="AL682" s="4"/>
      <c r="AM682" s="4" t="str">
        <f>IFERROR(__xludf.DUMMYFUNCTION("""COMPUTED_VALUE"""),"Orgânico 3S")</f>
        <v>Orgânico 3S</v>
      </c>
      <c r="AN682" s="4"/>
      <c r="AO682" s="4">
        <f>IFERROR(__xludf.DUMMYFUNCTION("""COMPUTED_VALUE"""),45553.0)</f>
        <v>45553</v>
      </c>
      <c r="AP682" s="4"/>
      <c r="AQ682" s="4"/>
      <c r="AR682" s="4"/>
      <c r="AS682" s="4">
        <f>IFERROR(__xludf.DUMMYFUNCTION("""COMPUTED_VALUE"""),0.0)</f>
        <v>0</v>
      </c>
      <c r="AT682" s="4">
        <f>IFERROR(__xludf.DUMMYFUNCTION("""COMPUTED_VALUE"""),0.0)</f>
        <v>0</v>
      </c>
      <c r="AU682" s="4" t="str">
        <f>IFERROR(__xludf.DUMMYFUNCTION("""COMPUTED_VALUE"""),"Michel")</f>
        <v>Michel</v>
      </c>
      <c r="AV682" s="4" t="str">
        <f>IFERROR(__xludf.DUMMYFUNCTION("""COMPUTED_VALUE"""),"Comer Fora-")</f>
        <v>Comer Fora-</v>
      </c>
      <c r="AW682" s="20" t="str">
        <f>IFERROR(__xludf.DUMMYFUNCTION("""COMPUTED_VALUE"""),"P - 5 a 9 lojas")</f>
        <v>P - 5 a 9 lojas</v>
      </c>
      <c r="AX682" s="4"/>
      <c r="AY682" s="4"/>
      <c r="AZ682" s="4">
        <f>IFERROR(__xludf.DUMMYFUNCTION("""COMPUTED_VALUE"""),0.0)</f>
        <v>0</v>
      </c>
      <c r="BA682" s="4" t="str">
        <f>IFERROR(__xludf.DUMMYFUNCTION("""COMPUTED_VALUE"""),"")</f>
        <v/>
      </c>
      <c r="BB682" s="4" t="str">
        <f>IFERROR(__xludf.DUMMYFUNCTION("""COMPUTED_VALUE"""),"")</f>
        <v/>
      </c>
      <c r="BC682" s="4" t="str">
        <f>IFERROR(__xludf.DUMMYFUNCTION("""COMPUTED_VALUE"""),"")</f>
        <v/>
      </c>
      <c r="BD682" s="4" t="str">
        <f>IFERROR(__xludf.DUMMYFUNCTION("""COMPUTED_VALUE"""),"")</f>
        <v/>
      </c>
      <c r="BE682" s="4" t="str">
        <f>IFERROR(__xludf.DUMMYFUNCTION("""COMPUTED_VALUE"""),"")</f>
        <v/>
      </c>
      <c r="BF682" s="4" t="str">
        <f>IFERROR(__xludf.DUMMYFUNCTION("""COMPUTED_VALUE"""),"")</f>
        <v/>
      </c>
      <c r="BG682" s="4" t="str">
        <f>IFERROR(__xludf.DUMMYFUNCTION("""COMPUTED_VALUE"""),"")</f>
        <v/>
      </c>
      <c r="BH682" s="4" t="s">
        <v>63</v>
      </c>
      <c r="BI682" s="7" t="s">
        <v>63</v>
      </c>
    </row>
    <row r="683" hidden="1">
      <c r="A683" s="4" t="str">
        <f>IFERROR(__xludf.DUMMYFUNCTION("""COMPUTED_VALUE"""),"Sampa Food")</f>
        <v>Sampa Food</v>
      </c>
      <c r="B683" s="4" t="str">
        <f>IFERROR(__xludf.DUMMYFUNCTION("""COMPUTED_VALUE"""),"Michel")</f>
        <v>Michel</v>
      </c>
      <c r="C683" s="4" t="str">
        <f>IFERROR(__xludf.DUMMYFUNCTION("""COMPUTED_VALUE"""),"Michel")</f>
        <v>Michel</v>
      </c>
      <c r="D683" s="4" t="str">
        <f>IFERROR(__xludf.DUMMYFUNCTION("""COMPUTED_VALUE"""),"12. Orgânico")</f>
        <v>12. Orgânico</v>
      </c>
      <c r="E683" s="4"/>
      <c r="F683" s="4" t="str">
        <f>IFERROR(__xludf.DUMMYFUNCTION("""COMPUTED_VALUE"""),"P")</f>
        <v>P</v>
      </c>
      <c r="G683" s="4"/>
      <c r="H683" s="4"/>
      <c r="I683" s="4"/>
      <c r="J683" s="4"/>
      <c r="K683" s="6">
        <f>IFERROR(__xludf.DUMMYFUNCTION("""COMPUTED_VALUE"""),45807.0)</f>
        <v>45807</v>
      </c>
      <c r="L683" s="4"/>
      <c r="M683" s="4"/>
      <c r="N683" s="6">
        <f>IFERROR(__xludf.DUMMYFUNCTION("""COMPUTED_VALUE"""),45930.0)</f>
        <v>45930</v>
      </c>
      <c r="O683" s="4"/>
      <c r="P683" s="4"/>
      <c r="Q683" s="6">
        <f>IFERROR(__xludf.DUMMYFUNCTION("""COMPUTED_VALUE"""),45930.0)</f>
        <v>45930</v>
      </c>
      <c r="R683" s="4"/>
      <c r="S683" s="4"/>
      <c r="T683" s="4"/>
      <c r="U683" s="4"/>
      <c r="V683" s="4"/>
      <c r="W683" s="4"/>
      <c r="X683" s="4"/>
      <c r="Y683" s="4"/>
      <c r="Z683" s="4"/>
      <c r="AA683" s="4">
        <f>IFERROR(__xludf.DUMMYFUNCTION("""COMPUTED_VALUE"""),3.0)</f>
        <v>3</v>
      </c>
      <c r="AB683" s="4"/>
      <c r="AC683" s="4"/>
      <c r="AD683" s="4"/>
      <c r="AE683" s="4"/>
      <c r="AF683" s="4"/>
      <c r="AG683" s="4"/>
      <c r="AH683" s="4"/>
      <c r="AI683" s="4"/>
      <c r="AJ683" s="4"/>
      <c r="AK683" s="4"/>
      <c r="AL683" s="4"/>
      <c r="AM683" s="4" t="str">
        <f>IFERROR(__xludf.DUMMYFUNCTION("""COMPUTED_VALUE"""),"Orgânico 3S")</f>
        <v>Orgânico 3S</v>
      </c>
      <c r="AN683" s="4"/>
      <c r="AO683" s="4">
        <f>IFERROR(__xludf.DUMMYFUNCTION("""COMPUTED_VALUE"""),45553.0)</f>
        <v>45553</v>
      </c>
      <c r="AP683" s="4"/>
      <c r="AQ683" s="4"/>
      <c r="AR683" s="4"/>
      <c r="AS683" s="4">
        <f>IFERROR(__xludf.DUMMYFUNCTION("""COMPUTED_VALUE"""),0.0)</f>
        <v>0</v>
      </c>
      <c r="AT683" s="4">
        <f>IFERROR(__xludf.DUMMYFUNCTION("""COMPUTED_VALUE"""),0.0)</f>
        <v>0</v>
      </c>
      <c r="AU683" s="4" t="str">
        <f>IFERROR(__xludf.DUMMYFUNCTION("""COMPUTED_VALUE"""),"Michel")</f>
        <v>Michel</v>
      </c>
      <c r="AV683" s="4">
        <f>IFERROR(__xludf.DUMMYFUNCTION("""COMPUTED_VALUE"""),0.0)</f>
        <v>0</v>
      </c>
      <c r="AW683" s="4">
        <f>IFERROR(__xludf.DUMMYFUNCTION("""COMPUTED_VALUE"""),0.0)</f>
        <v>0</v>
      </c>
      <c r="AX683" s="4">
        <f>IFERROR(__xludf.DUMMYFUNCTION("""COMPUTED_VALUE"""),0.0)</f>
        <v>0</v>
      </c>
      <c r="AY683" s="4"/>
      <c r="AZ683" s="4">
        <f>IFERROR(__xludf.DUMMYFUNCTION("""COMPUTED_VALUE"""),0.0)</f>
        <v>0</v>
      </c>
      <c r="BA683" s="4" t="str">
        <f>IFERROR(__xludf.DUMMYFUNCTION("""COMPUTED_VALUE"""),"")</f>
        <v/>
      </c>
      <c r="BB683" s="4" t="str">
        <f>IFERROR(__xludf.DUMMYFUNCTION("""COMPUTED_VALUE"""),"")</f>
        <v/>
      </c>
      <c r="BC683" s="4" t="str">
        <f>IFERROR(__xludf.DUMMYFUNCTION("""COMPUTED_VALUE"""),"")</f>
        <v/>
      </c>
      <c r="BD683" s="4" t="str">
        <f>IFERROR(__xludf.DUMMYFUNCTION("""COMPUTED_VALUE"""),"")</f>
        <v/>
      </c>
      <c r="BE683" s="4" t="str">
        <f>IFERROR(__xludf.DUMMYFUNCTION("""COMPUTED_VALUE"""),"")</f>
        <v/>
      </c>
      <c r="BF683" s="4" t="str">
        <f>IFERROR(__xludf.DUMMYFUNCTION("""COMPUTED_VALUE"""),"")</f>
        <v/>
      </c>
      <c r="BG683" s="4" t="str">
        <f>IFERROR(__xludf.DUMMYFUNCTION("""COMPUTED_VALUE"""),"")</f>
        <v/>
      </c>
      <c r="BH683" s="4" t="s">
        <v>63</v>
      </c>
      <c r="BI683" s="7" t="s">
        <v>63</v>
      </c>
    </row>
    <row r="684">
      <c r="A684" s="4" t="str">
        <f>IFERROR(__xludf.DUMMYFUNCTION("""COMPUTED_VALUE"""),"San Paolo Gelato")</f>
        <v>San Paolo Gelato</v>
      </c>
      <c r="B684" s="4" t="str">
        <f>IFERROR(__xludf.DUMMYFUNCTION("""COMPUTED_VALUE"""),"Michel")</f>
        <v>Michel</v>
      </c>
      <c r="C684" s="4" t="str">
        <f>IFERROR(__xludf.DUMMYFUNCTION("""COMPUTED_VALUE"""),"Michel")</f>
        <v>Michel</v>
      </c>
      <c r="D684" s="4" t="str">
        <f>IFERROR(__xludf.DUMMYFUNCTION("""COMPUTED_VALUE"""),"9. Contrato assinado")</f>
        <v>9. Contrato assinado</v>
      </c>
      <c r="E684" s="4" t="str">
        <f>IFERROR(__xludf.DUMMYFUNCTION("""COMPUTED_VALUE"""),"Projetos - Contrato assinado mas com trava técnica")</f>
        <v>Projetos - Contrato assinado mas com trava técnica</v>
      </c>
      <c r="F684" s="4" t="str">
        <f>IFERROR(__xludf.DUMMYFUNCTION("""COMPUTED_VALUE"""),"G")</f>
        <v>G</v>
      </c>
      <c r="G684" s="4"/>
      <c r="H684" s="4" t="str">
        <f>IFERROR(__xludf.DUMMYFUNCTION("""COMPUTED_VALUE"""),"Cliente finalizou a integração com ERP na sexta-feira (marcar reunião para alinhar rollou)")</f>
        <v>Cliente finalizou a integração com ERP na sexta-feira (marcar reunião para alinhar rollou)</v>
      </c>
      <c r="I684" s="4"/>
      <c r="J684" s="4"/>
      <c r="K684" s="6">
        <f>IFERROR(__xludf.DUMMYFUNCTION("""COMPUTED_VALUE"""),45838.0)</f>
        <v>45838</v>
      </c>
      <c r="L684" s="4"/>
      <c r="M684" s="4"/>
      <c r="N684" s="6">
        <f>IFERROR(__xludf.DUMMYFUNCTION("""COMPUTED_VALUE"""),45884.0)</f>
        <v>45884</v>
      </c>
      <c r="O684" s="4"/>
      <c r="P684" s="4"/>
      <c r="Q684" s="6">
        <f>IFERROR(__xludf.DUMMYFUNCTION("""COMPUTED_VALUE"""),45884.0)</f>
        <v>45884</v>
      </c>
      <c r="R684" s="4"/>
      <c r="S684" s="4"/>
      <c r="T684" s="4"/>
      <c r="U684" s="4"/>
      <c r="V684" s="4"/>
      <c r="W684" s="4"/>
      <c r="X684" s="4"/>
      <c r="Y684" s="4"/>
      <c r="Z684" s="4"/>
      <c r="AA684" s="4">
        <f>IFERROR(__xludf.DUMMYFUNCTION("""COMPUTED_VALUE"""),65.0)</f>
        <v>65</v>
      </c>
      <c r="AB684" s="4"/>
      <c r="AC684" s="4"/>
      <c r="AD684" s="4"/>
      <c r="AE684" s="4"/>
      <c r="AF684" s="4"/>
      <c r="AG684" s="4"/>
      <c r="AH684" s="4"/>
      <c r="AI684" s="4"/>
      <c r="AJ684" s="4"/>
      <c r="AK684" s="4"/>
      <c r="AL684" s="4"/>
      <c r="AM684" s="4" t="str">
        <f>IFERROR(__xludf.DUMMYFUNCTION("""COMPUTED_VALUE"""),"FY26")</f>
        <v>FY26</v>
      </c>
      <c r="AN684" s="4"/>
      <c r="AO684" s="4">
        <f>IFERROR(__xludf.DUMMYFUNCTION("""COMPUTED_VALUE"""),45553.0)</f>
        <v>45553</v>
      </c>
      <c r="AP684" s="4"/>
      <c r="AQ684" s="4"/>
      <c r="AR684" s="4"/>
      <c r="AS684" s="4">
        <f>IFERROR(__xludf.DUMMYFUNCTION("""COMPUTED_VALUE"""),0.0)</f>
        <v>0</v>
      </c>
      <c r="AT684" s="4">
        <f>IFERROR(__xludf.DUMMYFUNCTION("""COMPUTED_VALUE"""),0.0)</f>
        <v>0</v>
      </c>
      <c r="AU684" s="4" t="str">
        <f>IFERROR(__xludf.DUMMYFUNCTION("""COMPUTED_VALUE"""),"Michel")</f>
        <v>Michel</v>
      </c>
      <c r="AV684" s="4">
        <f>IFERROR(__xludf.DUMMYFUNCTION("""COMPUTED_VALUE"""),0.0)</f>
        <v>0</v>
      </c>
      <c r="AW684" s="4">
        <f>IFERROR(__xludf.DUMMYFUNCTION("""COMPUTED_VALUE"""),0.0)</f>
        <v>0</v>
      </c>
      <c r="AX684" s="4">
        <f>IFERROR(__xludf.DUMMYFUNCTION("""COMPUTED_VALUE"""),0.0)</f>
        <v>0</v>
      </c>
      <c r="AY684" s="4"/>
      <c r="AZ684" s="4" t="str">
        <f>IFERROR(__xludf.DUMMYFUNCTION("""COMPUTED_VALUE"""),"Doces &amp; Bolos")</f>
        <v>Doces &amp; Bolos</v>
      </c>
      <c r="BA684" s="4" t="str">
        <f>IFERROR(__xludf.DUMMYFUNCTION("""COMPUTED_VALUE"""),"")</f>
        <v/>
      </c>
      <c r="BB684" s="4" t="str">
        <f>IFERROR(__xludf.DUMMYFUNCTION("""COMPUTED_VALUE"""),"")</f>
        <v/>
      </c>
      <c r="BC684" s="4" t="str">
        <f>IFERROR(__xludf.DUMMYFUNCTION("""COMPUTED_VALUE"""),"")</f>
        <v/>
      </c>
      <c r="BD684" s="4" t="str">
        <f>IFERROR(__xludf.DUMMYFUNCTION("""COMPUTED_VALUE"""),"")</f>
        <v/>
      </c>
      <c r="BE684" s="4" t="str">
        <f>IFERROR(__xludf.DUMMYFUNCTION("""COMPUTED_VALUE"""),"")</f>
        <v/>
      </c>
      <c r="BF684" s="4" t="str">
        <f>IFERROR(__xludf.DUMMYFUNCTION("""COMPUTED_VALUE"""),"")</f>
        <v/>
      </c>
      <c r="BG684" s="4" t="str">
        <f>IFERROR(__xludf.DUMMYFUNCTION("""COMPUTED_VALUE"""),"")</f>
        <v/>
      </c>
      <c r="BH684" s="4" t="s">
        <v>72</v>
      </c>
      <c r="BI684" s="7">
        <v>0.9540229885057471</v>
      </c>
    </row>
    <row r="685" hidden="1">
      <c r="A685" s="4" t="str">
        <f>IFERROR(__xludf.DUMMYFUNCTION("""COMPUTED_VALUE"""),"Santu Padaria")</f>
        <v>Santu Padaria</v>
      </c>
      <c r="B685" s="4" t="str">
        <f>IFERROR(__xludf.DUMMYFUNCTION("""COMPUTED_VALUE"""),"Iza")</f>
        <v>Iza</v>
      </c>
      <c r="C685" s="4" t="str">
        <f>IFERROR(__xludf.DUMMYFUNCTION("""COMPUTED_VALUE"""),"Iza")</f>
        <v>Iza</v>
      </c>
      <c r="D685" s="4" t="str">
        <f>IFERROR(__xludf.DUMMYFUNCTION("""COMPUTED_VALUE"""),"10. Perdido")</f>
        <v>10. Perdido</v>
      </c>
      <c r="E685" s="4" t="str">
        <f>IFERROR(__xludf.DUMMYFUNCTION("""COMPUTED_VALUE"""),"Perdido - Sem perfil LA / 3SCheckout / PDV próprio")</f>
        <v>Perdido - Sem perfil LA / 3SCheckout / PDV próprio</v>
      </c>
      <c r="F685" s="4" t="str">
        <f>IFERROR(__xludf.DUMMYFUNCTION("""COMPUTED_VALUE"""),"P")</f>
        <v>P</v>
      </c>
      <c r="G685" s="5">
        <f>IFERROR(__xludf.DUMMYFUNCTION("""COMPUTED_VALUE"""),46076.0)</f>
        <v>46076</v>
      </c>
      <c r="H685" s="4" t="str">
        <f>IFERROR(__xludf.DUMMYFUNCTION("""COMPUTED_VALUE"""),"Fechou com concorrente.")</f>
        <v>Fechou com concorrente.</v>
      </c>
      <c r="I685" s="4"/>
      <c r="J685" s="4"/>
      <c r="K685" s="6">
        <f>IFERROR(__xludf.DUMMYFUNCTION("""COMPUTED_VALUE"""),45904.0)</f>
        <v>45904</v>
      </c>
      <c r="L685" s="4"/>
      <c r="M685" s="4"/>
      <c r="N685" s="4"/>
      <c r="O685" s="4"/>
      <c r="P685" s="4"/>
      <c r="Q685" s="4"/>
      <c r="R685" s="4"/>
      <c r="S685" s="4"/>
      <c r="T685" s="4"/>
      <c r="U685" s="4"/>
      <c r="V685" s="4" t="str">
        <f>IFERROR(__xludf.DUMMYFUNCTION("""COMPUTED_VALUE"""),"Sem interesse em mudar de PDV")</f>
        <v>Sem interesse em mudar de PDV</v>
      </c>
      <c r="W685" s="4"/>
      <c r="X685" s="4"/>
      <c r="Y685" s="4"/>
      <c r="Z685" s="4"/>
      <c r="AA685" s="4">
        <f>IFERROR(__xludf.DUMMYFUNCTION("""COMPUTED_VALUE"""),1.0)</f>
        <v>1</v>
      </c>
      <c r="AB685" s="4" t="str">
        <f>IFERROR(__xludf.DUMMYFUNCTION("""COMPUTED_VALUE"""),"NÃO")</f>
        <v>NÃO</v>
      </c>
      <c r="AC685" s="4" t="str">
        <f>IFERROR(__xludf.DUMMYFUNCTION("""COMPUTED_VALUE"""),"Não BP")</f>
        <v>Não BP</v>
      </c>
      <c r="AD685" s="4"/>
      <c r="AE685" s="4"/>
      <c r="AF685" s="4"/>
      <c r="AG685" s="4"/>
      <c r="AH685" s="4"/>
      <c r="AI685" s="4"/>
      <c r="AJ685" s="4"/>
      <c r="AK685" s="4"/>
      <c r="AL685" s="4"/>
      <c r="AM685" s="4" t="str">
        <f>IFERROR(__xludf.DUMMYFUNCTION("""COMPUTED_VALUE"""),"FY26")</f>
        <v>FY26</v>
      </c>
      <c r="AN685" s="4"/>
      <c r="AO685" s="4">
        <f>IFERROR(__xludf.DUMMYFUNCTION("""COMPUTED_VALUE"""),140.0)</f>
        <v>140</v>
      </c>
      <c r="AP685" s="4"/>
      <c r="AQ685" s="4"/>
      <c r="AR685" s="4"/>
      <c r="AS685" s="4">
        <f>IFERROR(__xludf.DUMMYFUNCTION("""COMPUTED_VALUE"""),0.0)</f>
        <v>0</v>
      </c>
      <c r="AT685" s="4">
        <f>IFERROR(__xludf.DUMMYFUNCTION("""COMPUTED_VALUE"""),0.0)</f>
        <v>0</v>
      </c>
      <c r="AU685" s="4" t="str">
        <f>IFERROR(__xludf.DUMMYFUNCTION("""COMPUTED_VALUE"""),"Iza")</f>
        <v>Iza</v>
      </c>
      <c r="AV685" s="4">
        <f>IFERROR(__xludf.DUMMYFUNCTION("""COMPUTED_VALUE"""),0.0)</f>
        <v>0</v>
      </c>
      <c r="AW685" s="4">
        <f>IFERROR(__xludf.DUMMYFUNCTION("""COMPUTED_VALUE"""),0.0)</f>
        <v>0</v>
      </c>
      <c r="AX685" s="4">
        <f>IFERROR(__xludf.DUMMYFUNCTION("""COMPUTED_VALUE"""),0.0)</f>
        <v>0</v>
      </c>
      <c r="AY685" s="4"/>
      <c r="AZ685" s="4" t="str">
        <f>IFERROR(__xludf.DUMMYFUNCTION("""COMPUTED_VALUE"""),"#N/A")</f>
        <v>#N/A</v>
      </c>
      <c r="BA685" s="4" t="str">
        <f>IFERROR(__xludf.DUMMYFUNCTION("""COMPUTED_VALUE"""),"")</f>
        <v/>
      </c>
      <c r="BB685" s="4" t="str">
        <f>IFERROR(__xludf.DUMMYFUNCTION("""COMPUTED_VALUE"""),"")</f>
        <v/>
      </c>
      <c r="BC685" s="4" t="str">
        <f>IFERROR(__xludf.DUMMYFUNCTION("""COMPUTED_VALUE"""),"")</f>
        <v/>
      </c>
      <c r="BD685" s="4" t="str">
        <f>IFERROR(__xludf.DUMMYFUNCTION("""COMPUTED_VALUE"""),"")</f>
        <v/>
      </c>
      <c r="BE685" s="4" t="str">
        <f>IFERROR(__xludf.DUMMYFUNCTION("""COMPUTED_VALUE"""),"")</f>
        <v/>
      </c>
      <c r="BF685" s="4" t="str">
        <f>IFERROR(__xludf.DUMMYFUNCTION("""COMPUTED_VALUE"""),"")</f>
        <v/>
      </c>
      <c r="BG685" s="4" t="str">
        <f>IFERROR(__xludf.DUMMYFUNCTION("""COMPUTED_VALUE"""),"")</f>
        <v/>
      </c>
      <c r="BH685" s="4" t="s">
        <v>63</v>
      </c>
      <c r="BI685" s="7" t="s">
        <v>63</v>
      </c>
    </row>
    <row r="686" hidden="1">
      <c r="A686" s="4" t="str">
        <f>IFERROR(__xludf.DUMMYFUNCTION("""COMPUTED_VALUE"""),"Sorrentino")</f>
        <v>Sorrentino</v>
      </c>
      <c r="B686" s="4" t="str">
        <f>IFERROR(__xludf.DUMMYFUNCTION("""COMPUTED_VALUE"""),"Diego Santos")</f>
        <v>Diego Santos</v>
      </c>
      <c r="C686" s="4" t="str">
        <f>IFERROR(__xludf.DUMMYFUNCTION("""COMPUTED_VALUE"""),"Diego Santos")</f>
        <v>Diego Santos</v>
      </c>
      <c r="D686" s="4" t="str">
        <f>IFERROR(__xludf.DUMMYFUNCTION("""COMPUTED_VALUE"""),"10. Perdido")</f>
        <v>10. Perdido</v>
      </c>
      <c r="E686" s="4" t="str">
        <f>IFERROR(__xludf.DUMMYFUNCTION("""COMPUTED_VALUE"""),"Perdido - Outro (detalhar ao lado)")</f>
        <v>Perdido - Outro (detalhar ao lado)</v>
      </c>
      <c r="F686" s="4" t="str">
        <f>IFERROR(__xludf.DUMMYFUNCTION("""COMPUTED_VALUE"""),"P")</f>
        <v>P</v>
      </c>
      <c r="G686" s="5">
        <f>IFERROR(__xludf.DUMMYFUNCTION("""COMPUTED_VALUE"""),46076.0)</f>
        <v>46076</v>
      </c>
      <c r="H686" s="4" t="str">
        <f>IFERROR(__xludf.DUMMYFUNCTION("""COMPUTED_VALUE"""),"Sem interesse mudar de solução")</f>
        <v>Sem interesse mudar de solução</v>
      </c>
      <c r="I686" s="4"/>
      <c r="J686" s="4"/>
      <c r="K686" s="6">
        <f>IFERROR(__xludf.DUMMYFUNCTION("""COMPUTED_VALUE"""),45939.0)</f>
        <v>45939</v>
      </c>
      <c r="L686" s="4"/>
      <c r="M686" s="4"/>
      <c r="N686" s="4"/>
      <c r="O686" s="4"/>
      <c r="P686" s="4"/>
      <c r="Q686" s="4"/>
      <c r="R686" s="4"/>
      <c r="S686" s="4"/>
      <c r="T686" s="4"/>
      <c r="U686" s="4"/>
      <c r="V686" s="4" t="str">
        <f>IFERROR(__xludf.DUMMYFUNCTION("""COMPUTED_VALUE"""),"Sem interesse em mudar de PDV")</f>
        <v>Sem interesse em mudar de PDV</v>
      </c>
      <c r="W686" s="4"/>
      <c r="X686" s="4"/>
      <c r="Y686" s="4"/>
      <c r="Z686" s="4"/>
      <c r="AA686" s="4">
        <f>IFERROR(__xludf.DUMMYFUNCTION("""COMPUTED_VALUE"""),1.0)</f>
        <v>1</v>
      </c>
      <c r="AB686" s="4" t="str">
        <f>IFERROR(__xludf.DUMMYFUNCTION("""COMPUTED_VALUE"""),"NÃO")</f>
        <v>NÃO</v>
      </c>
      <c r="AC686" s="4" t="str">
        <f>IFERROR(__xludf.DUMMYFUNCTION("""COMPUTED_VALUE"""),"Não BP")</f>
        <v>Não BP</v>
      </c>
      <c r="AD686" s="4"/>
      <c r="AE686" s="4"/>
      <c r="AF686" s="4"/>
      <c r="AG686" s="4"/>
      <c r="AH686" s="4"/>
      <c r="AI686" s="4"/>
      <c r="AJ686" s="4"/>
      <c r="AK686" s="4"/>
      <c r="AL686" s="4"/>
      <c r="AM686" s="4" t="str">
        <f>IFERROR(__xludf.DUMMYFUNCTION("""COMPUTED_VALUE"""),"FY26")</f>
        <v>FY26</v>
      </c>
      <c r="AN686" s="4" t="str">
        <f>IFERROR(__xludf.DUMMYFUNCTION("""COMPUTED_VALUE"""),"Comer Fora")</f>
        <v>Comer Fora</v>
      </c>
      <c r="AO686" s="4">
        <f>IFERROR(__xludf.DUMMYFUNCTION("""COMPUTED_VALUE"""),140.0)</f>
        <v>140</v>
      </c>
      <c r="AP686" s="4"/>
      <c r="AQ686" s="4"/>
      <c r="AR686" s="4"/>
      <c r="AS686" s="4" t="str">
        <f>IFERROR(__xludf.DUMMYFUNCTION("""COMPUTED_VALUE"""),"NATHALIE MERTENS")</f>
        <v>NATHALIE MERTENS</v>
      </c>
      <c r="AT686" s="4" t="str">
        <f>IFERROR(__xludf.DUMMYFUNCTION("""COMPUTED_VALUE"""),"MARIANA KATZ")</f>
        <v>MARIANA KATZ</v>
      </c>
      <c r="AU686" s="4" t="str">
        <f>IFERROR(__xludf.DUMMYFUNCTION("""COMPUTED_VALUE"""),"Diego")</f>
        <v>Diego</v>
      </c>
      <c r="AV686" s="4" t="str">
        <f>IFERROR(__xludf.DUMMYFUNCTION("""COMPUTED_VALUE"""),"Comer Fora-")</f>
        <v>Comer Fora-</v>
      </c>
      <c r="AW686" s="20" t="str">
        <f>IFERROR(__xludf.DUMMYFUNCTION("""COMPUTED_VALUE"""),"P e M - pipe")</f>
        <v>P e M - pipe</v>
      </c>
      <c r="AX686" s="4"/>
      <c r="AY686" s="4"/>
      <c r="AZ686" s="4" t="str">
        <f>IFERROR(__xludf.DUMMYFUNCTION("""COMPUTED_VALUE"""),"#N/A")</f>
        <v>#N/A</v>
      </c>
      <c r="BA686" s="4" t="str">
        <f>IFERROR(__xludf.DUMMYFUNCTION("""COMPUTED_VALUE"""),"")</f>
        <v/>
      </c>
      <c r="BB686" s="4" t="str">
        <f>IFERROR(__xludf.DUMMYFUNCTION("""COMPUTED_VALUE"""),"")</f>
        <v/>
      </c>
      <c r="BC686" s="4" t="str">
        <f>IFERROR(__xludf.DUMMYFUNCTION("""COMPUTED_VALUE"""),"")</f>
        <v/>
      </c>
      <c r="BD686" s="4" t="str">
        <f>IFERROR(__xludf.DUMMYFUNCTION("""COMPUTED_VALUE"""),"")</f>
        <v/>
      </c>
      <c r="BE686" s="4" t="str">
        <f>IFERROR(__xludf.DUMMYFUNCTION("""COMPUTED_VALUE"""),"")</f>
        <v/>
      </c>
      <c r="BF686" s="4" t="str">
        <f>IFERROR(__xludf.DUMMYFUNCTION("""COMPUTED_VALUE"""),"")</f>
        <v/>
      </c>
      <c r="BG686" s="4" t="str">
        <f>IFERROR(__xludf.DUMMYFUNCTION("""COMPUTED_VALUE"""),"")</f>
        <v/>
      </c>
      <c r="BH686" s="4" t="s">
        <v>63</v>
      </c>
      <c r="BI686" s="7" t="s">
        <v>63</v>
      </c>
    </row>
    <row r="687" hidden="1">
      <c r="A687" s="4" t="str">
        <f>IFERROR(__xludf.DUMMYFUNCTION("""COMPUTED_VALUE"""),"Sorvete Yopa")</f>
        <v>Sorvete Yopa</v>
      </c>
      <c r="B687" s="4" t="str">
        <f>IFERROR(__xludf.DUMMYFUNCTION("""COMPUTED_VALUE"""),"Emerson")</f>
        <v>Emerson</v>
      </c>
      <c r="C687" s="4" t="str">
        <f>IFERROR(__xludf.DUMMYFUNCTION("""COMPUTED_VALUE"""),"Emerson")</f>
        <v>Emerson</v>
      </c>
      <c r="D687" s="4" t="str">
        <f>IFERROR(__xludf.DUMMYFUNCTION("""COMPUTED_VALUE"""),"8. Contrato enviado")</f>
        <v>8. Contrato enviado</v>
      </c>
      <c r="E687" s="4"/>
      <c r="F687" s="4" t="str">
        <f>IFERROR(__xludf.DUMMYFUNCTION("""COMPUTED_VALUE"""),"P")</f>
        <v>P</v>
      </c>
      <c r="G687" s="4"/>
      <c r="H687" s="4"/>
      <c r="I687" s="4"/>
      <c r="J687" s="4"/>
      <c r="K687" s="6">
        <f>IFERROR(__xludf.DUMMYFUNCTION("""COMPUTED_VALUE"""),45807.0)</f>
        <v>45807</v>
      </c>
      <c r="L687" s="4"/>
      <c r="M687" s="4"/>
      <c r="N687" s="4"/>
      <c r="O687" s="4"/>
      <c r="P687" s="4"/>
      <c r="Q687" s="4"/>
      <c r="R687" s="4"/>
      <c r="S687" s="4"/>
      <c r="T687" s="4"/>
      <c r="U687" s="4"/>
      <c r="V687" s="4"/>
      <c r="W687" s="4"/>
      <c r="X687" s="4"/>
      <c r="Y687" s="4"/>
      <c r="Z687" s="4"/>
      <c r="AA687" s="4">
        <f>IFERROR(__xludf.DUMMYFUNCTION("""COMPUTED_VALUE"""),1.0)</f>
        <v>1</v>
      </c>
      <c r="AB687" s="4" t="str">
        <f>IFERROR(__xludf.DUMMYFUNCTION("""COMPUTED_VALUE"""),"NÃO")</f>
        <v>NÃO</v>
      </c>
      <c r="AC687" s="4" t="str">
        <f>IFERROR(__xludf.DUMMYFUNCTION("""COMPUTED_VALUE"""),"Não BP")</f>
        <v>Não BP</v>
      </c>
      <c r="AD687" s="4"/>
      <c r="AE687" s="4"/>
      <c r="AF687" s="4"/>
      <c r="AG687" s="4"/>
      <c r="AH687" s="4"/>
      <c r="AI687" s="4"/>
      <c r="AJ687" s="4"/>
      <c r="AK687" s="4"/>
      <c r="AL687" s="4"/>
      <c r="AM687" s="4" t="str">
        <f>IFERROR(__xludf.DUMMYFUNCTION("""COMPUTED_VALUE"""),"FY26, FY27")</f>
        <v>FY26, FY27</v>
      </c>
      <c r="AN687" s="4"/>
      <c r="AO687" s="4">
        <f>IFERROR(__xludf.DUMMYFUNCTION("""COMPUTED_VALUE"""),45553.0)</f>
        <v>45553</v>
      </c>
      <c r="AP687" s="4"/>
      <c r="AQ687" s="4"/>
      <c r="AR687" s="4"/>
      <c r="AS687" s="4">
        <f>IFERROR(__xludf.DUMMYFUNCTION("""COMPUTED_VALUE"""),0.0)</f>
        <v>0</v>
      </c>
      <c r="AT687" s="4">
        <f>IFERROR(__xludf.DUMMYFUNCTION("""COMPUTED_VALUE"""),0.0)</f>
        <v>0</v>
      </c>
      <c r="AU687" s="4" t="str">
        <f>IFERROR(__xludf.DUMMYFUNCTION("""COMPUTED_VALUE"""),"Emerson")</f>
        <v>Emerson</v>
      </c>
      <c r="AV687" s="4">
        <f>IFERROR(__xludf.DUMMYFUNCTION("""COMPUTED_VALUE"""),0.0)</f>
        <v>0</v>
      </c>
      <c r="AW687" s="4">
        <f>IFERROR(__xludf.DUMMYFUNCTION("""COMPUTED_VALUE"""),0.0)</f>
        <v>0</v>
      </c>
      <c r="AX687" s="4">
        <f>IFERROR(__xludf.DUMMYFUNCTION("""COMPUTED_VALUE"""),0.0)</f>
        <v>0</v>
      </c>
      <c r="AY687" s="4"/>
      <c r="AZ687" s="4" t="str">
        <f>IFERROR(__xludf.DUMMYFUNCTION("""COMPUTED_VALUE"""),"NA")</f>
        <v>NA</v>
      </c>
      <c r="BA687" s="4" t="str">
        <f>IFERROR(__xludf.DUMMYFUNCTION("""COMPUTED_VALUE"""),"")</f>
        <v/>
      </c>
      <c r="BB687" s="4" t="str">
        <f>IFERROR(__xludf.DUMMYFUNCTION("""COMPUTED_VALUE"""),"")</f>
        <v/>
      </c>
      <c r="BC687" s="4" t="str">
        <f>IFERROR(__xludf.DUMMYFUNCTION("""COMPUTED_VALUE"""),"")</f>
        <v/>
      </c>
      <c r="BD687" s="4" t="str">
        <f>IFERROR(__xludf.DUMMYFUNCTION("""COMPUTED_VALUE"""),"")</f>
        <v/>
      </c>
      <c r="BE687" s="4" t="str">
        <f>IFERROR(__xludf.DUMMYFUNCTION("""COMPUTED_VALUE"""),"")</f>
        <v/>
      </c>
      <c r="BF687" s="4" t="str">
        <f>IFERROR(__xludf.DUMMYFUNCTION("""COMPUTED_VALUE"""),"")</f>
        <v/>
      </c>
      <c r="BG687" s="4" t="str">
        <f>IFERROR(__xludf.DUMMYFUNCTION("""COMPUTED_VALUE"""),"")</f>
        <v/>
      </c>
      <c r="BH687" s="4" t="s">
        <v>63</v>
      </c>
      <c r="BI687" s="7" t="s">
        <v>63</v>
      </c>
    </row>
    <row r="688" hidden="1">
      <c r="A688" s="4" t="str">
        <f>IFERROR(__xludf.DUMMYFUNCTION("""COMPUTED_VALUE"""),"Sucão")</f>
        <v>Sucão</v>
      </c>
      <c r="B688" s="4" t="str">
        <f>IFERROR(__xludf.DUMMYFUNCTION("""COMPUTED_VALUE"""),"Michel")</f>
        <v>Michel</v>
      </c>
      <c r="C688" s="4" t="str">
        <f>IFERROR(__xludf.DUMMYFUNCTION("""COMPUTED_VALUE"""),"Michel")</f>
        <v>Michel</v>
      </c>
      <c r="D688" s="4" t="str">
        <f>IFERROR(__xludf.DUMMYFUNCTION("""COMPUTED_VALUE"""),"12. Orgânico")</f>
        <v>12. Orgânico</v>
      </c>
      <c r="E688" s="4"/>
      <c r="F688" s="4" t="str">
        <f>IFERROR(__xludf.DUMMYFUNCTION("""COMPUTED_VALUE"""),"P")</f>
        <v>P</v>
      </c>
      <c r="G688" s="4"/>
      <c r="H688" s="4"/>
      <c r="I688" s="4"/>
      <c r="J688" s="4"/>
      <c r="K688" s="4"/>
      <c r="L688" s="4"/>
      <c r="M688" s="4"/>
      <c r="N688" s="4"/>
      <c r="O688" s="4"/>
      <c r="P688" s="4"/>
      <c r="Q688" s="4"/>
      <c r="R688" s="4"/>
      <c r="S688" s="4"/>
      <c r="T688" s="4"/>
      <c r="U688" s="4"/>
      <c r="V688" s="4"/>
      <c r="W688" s="4"/>
      <c r="X688" s="4"/>
      <c r="Y688" s="4"/>
      <c r="Z688" s="4"/>
      <c r="AA688" s="4">
        <f>IFERROR(__xludf.DUMMYFUNCTION("""COMPUTED_VALUE"""),13.0)</f>
        <v>13</v>
      </c>
      <c r="AB688" s="4"/>
      <c r="AC688" s="4"/>
      <c r="AD688" s="4"/>
      <c r="AE688" s="4"/>
      <c r="AF688" s="4"/>
      <c r="AG688" s="4"/>
      <c r="AH688" s="4"/>
      <c r="AI688" s="4"/>
      <c r="AJ688" s="4"/>
      <c r="AK688" s="4"/>
      <c r="AL688" s="4"/>
      <c r="AM688" s="4" t="str">
        <f>IFERROR(__xludf.DUMMYFUNCTION("""COMPUTED_VALUE"""),"Orgânico 3S")</f>
        <v>Orgânico 3S</v>
      </c>
      <c r="AN688" s="4"/>
      <c r="AO688" s="4">
        <f>IFERROR(__xludf.DUMMYFUNCTION("""COMPUTED_VALUE"""),45553.0)</f>
        <v>45553</v>
      </c>
      <c r="AP688" s="4"/>
      <c r="AQ688" s="4"/>
      <c r="AR688" s="4"/>
      <c r="AS688" s="4">
        <f>IFERROR(__xludf.DUMMYFUNCTION("""COMPUTED_VALUE"""),0.0)</f>
        <v>0</v>
      </c>
      <c r="AT688" s="4">
        <f>IFERROR(__xludf.DUMMYFUNCTION("""COMPUTED_VALUE"""),0.0)</f>
        <v>0</v>
      </c>
      <c r="AU688" s="4" t="str">
        <f>IFERROR(__xludf.DUMMYFUNCTION("""COMPUTED_VALUE"""),"Michel")</f>
        <v>Michel</v>
      </c>
      <c r="AV688" s="4">
        <f>IFERROR(__xludf.DUMMYFUNCTION("""COMPUTED_VALUE"""),0.0)</f>
        <v>0</v>
      </c>
      <c r="AW688" s="4">
        <f>IFERROR(__xludf.DUMMYFUNCTION("""COMPUTED_VALUE"""),0.0)</f>
        <v>0</v>
      </c>
      <c r="AX688" s="4">
        <f>IFERROR(__xludf.DUMMYFUNCTION("""COMPUTED_VALUE"""),0.0)</f>
        <v>0</v>
      </c>
      <c r="AY688" s="4"/>
      <c r="AZ688" s="4">
        <f>IFERROR(__xludf.DUMMYFUNCTION("""COMPUTED_VALUE"""),0.0)</f>
        <v>0</v>
      </c>
      <c r="BA688" s="4" t="str">
        <f>IFERROR(__xludf.DUMMYFUNCTION("""COMPUTED_VALUE"""),"")</f>
        <v/>
      </c>
      <c r="BB688" s="4" t="str">
        <f>IFERROR(__xludf.DUMMYFUNCTION("""COMPUTED_VALUE"""),"")</f>
        <v/>
      </c>
      <c r="BC688" s="4" t="str">
        <f>IFERROR(__xludf.DUMMYFUNCTION("""COMPUTED_VALUE"""),"")</f>
        <v/>
      </c>
      <c r="BD688" s="4" t="str">
        <f>IFERROR(__xludf.DUMMYFUNCTION("""COMPUTED_VALUE"""),"")</f>
        <v/>
      </c>
      <c r="BE688" s="4" t="str">
        <f>IFERROR(__xludf.DUMMYFUNCTION("""COMPUTED_VALUE"""),"")</f>
        <v/>
      </c>
      <c r="BF688" s="4" t="str">
        <f>IFERROR(__xludf.DUMMYFUNCTION("""COMPUTED_VALUE"""),"")</f>
        <v/>
      </c>
      <c r="BG688" s="4" t="str">
        <f>IFERROR(__xludf.DUMMYFUNCTION("""COMPUTED_VALUE"""),"")</f>
        <v/>
      </c>
      <c r="BH688" s="4" t="s">
        <v>63</v>
      </c>
      <c r="BI688" s="7" t="s">
        <v>63</v>
      </c>
    </row>
    <row r="689" hidden="1">
      <c r="A689" s="4" t="str">
        <f>IFERROR(__xludf.DUMMYFUNCTION("""COMPUTED_VALUE"""),"Sukiya")</f>
        <v>Sukiya</v>
      </c>
      <c r="B689" s="4" t="str">
        <f>IFERROR(__xludf.DUMMYFUNCTION("""COMPUTED_VALUE"""),"Michel")</f>
        <v>Michel</v>
      </c>
      <c r="C689" s="4" t="str">
        <f>IFERROR(__xludf.DUMMYFUNCTION("""COMPUTED_VALUE"""),"Michel")</f>
        <v>Michel</v>
      </c>
      <c r="D689" s="4" t="str">
        <f>IFERROR(__xludf.DUMMYFUNCTION("""COMPUTED_VALUE"""),"12. Orgânico")</f>
        <v>12. Orgânico</v>
      </c>
      <c r="E689" s="4"/>
      <c r="F689" s="4" t="str">
        <f>IFERROR(__xludf.DUMMYFUNCTION("""COMPUTED_VALUE"""),"M")</f>
        <v>M</v>
      </c>
      <c r="G689" s="4"/>
      <c r="H689" s="4"/>
      <c r="I689" s="4"/>
      <c r="J689" s="4"/>
      <c r="K689" s="4"/>
      <c r="L689" s="4"/>
      <c r="M689" s="4"/>
      <c r="N689" s="4"/>
      <c r="O689" s="4"/>
      <c r="P689" s="4"/>
      <c r="Q689" s="4"/>
      <c r="R689" s="4"/>
      <c r="S689" s="4"/>
      <c r="T689" s="4"/>
      <c r="U689" s="4"/>
      <c r="V689" s="4"/>
      <c r="W689" s="4"/>
      <c r="X689" s="4"/>
      <c r="Y689" s="4"/>
      <c r="Z689" s="4"/>
      <c r="AA689" s="4">
        <f>IFERROR(__xludf.DUMMYFUNCTION("""COMPUTED_VALUE"""),30.0)</f>
        <v>30</v>
      </c>
      <c r="AB689" s="4"/>
      <c r="AC689" s="4"/>
      <c r="AD689" s="4"/>
      <c r="AE689" s="4"/>
      <c r="AF689" s="4"/>
      <c r="AG689" s="4"/>
      <c r="AH689" s="4"/>
      <c r="AI689" s="4"/>
      <c r="AJ689" s="4"/>
      <c r="AK689" s="4"/>
      <c r="AL689" s="4"/>
      <c r="AM689" s="4" t="str">
        <f>IFERROR(__xludf.DUMMYFUNCTION("""COMPUTED_VALUE"""),"Orgânico 3S")</f>
        <v>Orgânico 3S</v>
      </c>
      <c r="AN689" s="4"/>
      <c r="AO689" s="4">
        <f>IFERROR(__xludf.DUMMYFUNCTION("""COMPUTED_VALUE"""),45553.0)</f>
        <v>45553</v>
      </c>
      <c r="AP689" s="4"/>
      <c r="AQ689" s="4"/>
      <c r="AR689" s="4"/>
      <c r="AS689" s="4" t="str">
        <f>IFERROR(__xludf.DUMMYFUNCTION("""COMPUTED_VALUE"""),"NATHALIE MERTENS")</f>
        <v>NATHALIE MERTENS</v>
      </c>
      <c r="AT689" s="4" t="str">
        <f>IFERROR(__xludf.DUMMYFUNCTION("""COMPUTED_VALUE"""),"MATHEUS LESSA")</f>
        <v>MATHEUS LESSA</v>
      </c>
      <c r="AU689" s="4" t="str">
        <f>IFERROR(__xludf.DUMMYFUNCTION("""COMPUTED_VALUE"""),"Michel")</f>
        <v>Michel</v>
      </c>
      <c r="AV689" s="4" t="str">
        <f>IFERROR(__xludf.DUMMYFUNCTION("""COMPUTED_VALUE"""),"Comer Fora-")</f>
        <v>Comer Fora-</v>
      </c>
      <c r="AW689" s="20" t="str">
        <f>IFERROR(__xludf.DUMMYFUNCTION("""COMPUTED_VALUE"""),"P e M - pipe")</f>
        <v>P e M - pipe</v>
      </c>
      <c r="AX689" s="4"/>
      <c r="AY689" s="4"/>
      <c r="AZ689" s="4" t="str">
        <f>IFERROR(__xludf.DUMMYFUNCTION("""COMPUTED_VALUE"""),"Japonesa")</f>
        <v>Japonesa</v>
      </c>
      <c r="BA689" s="4" t="str">
        <f>IFERROR(__xludf.DUMMYFUNCTION("""COMPUTED_VALUE"""),"R$ 30-50")</f>
        <v>R$ 30-50</v>
      </c>
      <c r="BB689" s="4" t="str">
        <f>IFERROR(__xludf.DUMMYFUNCTION("""COMPUTED_VALUE"""),"QSR - Gyudon (Japonês)")</f>
        <v>QSR - Gyudon (Japonês)</v>
      </c>
      <c r="BC689" s="4" t="str">
        <f>IFERROR(__xludf.DUMMYFUNCTION("""COMPUTED_VALUE"""),"São Paulo e região (29 lojas)")</f>
        <v>São Paulo e região (29 lojas)</v>
      </c>
      <c r="BD689" s="4" t="str">
        <f>IFERROR(__xludf.DUMMYFUNCTION("""COMPUTED_VALUE"""),"Necessário Discovery")</f>
        <v>Necessário Discovery</v>
      </c>
      <c r="BE689" s="4">
        <f>IFERROR(__xludf.DUMMYFUNCTION("""COMPUTED_VALUE"""),72.0)</f>
        <v>72</v>
      </c>
      <c r="BF689" s="4">
        <f>IFERROR(__xludf.DUMMYFUNCTION("""COMPUTED_VALUE"""),0.75)</f>
        <v>0.75</v>
      </c>
      <c r="BG689" s="4" t="str">
        <f>IFERROR(__xludf.DUMMYFUNCTION("""COMPUTED_VALUE"""),"PDV não identificado - 29 lojas SP gyudon japonês. QSR asiático. 3S: gestão multi-loja, delivery, totens")</f>
        <v>PDV não identificado - 29 lojas SP gyudon japonês. QSR asiático. 3S: gestão multi-loja, delivery, totens</v>
      </c>
      <c r="BH689" s="4" t="s">
        <v>145</v>
      </c>
      <c r="BI689" s="7">
        <v>1.0</v>
      </c>
    </row>
    <row r="690" hidden="1">
      <c r="A690" s="4" t="str">
        <f>IFERROR(__xludf.DUMMYFUNCTION("""COMPUTED_VALUE"""),"Super Soft")</f>
        <v>Super Soft</v>
      </c>
      <c r="B690" s="4" t="str">
        <f>IFERROR(__xludf.DUMMYFUNCTION("""COMPUTED_VALUE"""),"Diego Santos")</f>
        <v>Diego Santos</v>
      </c>
      <c r="C690" s="4" t="str">
        <f>IFERROR(__xludf.DUMMYFUNCTION("""COMPUTED_VALUE"""),"Diego Santos")</f>
        <v>Diego Santos</v>
      </c>
      <c r="D690" s="4" t="str">
        <f>IFERROR(__xludf.DUMMYFUNCTION("""COMPUTED_VALUE"""),"9. Contrato assinado")</f>
        <v>9. Contrato assinado</v>
      </c>
      <c r="E690" s="4" t="str">
        <f>IFERROR(__xludf.DUMMYFUNCTION("""COMPUTED_VALUE""")," Projetos - Contrato assinado &amp; Rollout")</f>
        <v> Projetos - Contrato assinado &amp; Rollout</v>
      </c>
      <c r="F690" s="4" t="str">
        <f>IFERROR(__xludf.DUMMYFUNCTION("""COMPUTED_VALUE"""),"P")</f>
        <v>P</v>
      </c>
      <c r="G690" s="5">
        <f>IFERROR(__xludf.DUMMYFUNCTION("""COMPUTED_VALUE"""),46076.0)</f>
        <v>46076</v>
      </c>
      <c r="H690" s="4" t="str">
        <f>IFERROR(__xludf.DUMMYFUNCTION("""COMPUTED_VALUE"""),"Contrato assinado")</f>
        <v>Contrato assinado</v>
      </c>
      <c r="I690" s="4"/>
      <c r="J690" s="4"/>
      <c r="K690" s="6">
        <f>IFERROR(__xludf.DUMMYFUNCTION("""COMPUTED_VALUE"""),45901.0)</f>
        <v>45901</v>
      </c>
      <c r="L690" s="4"/>
      <c r="M690" s="4"/>
      <c r="N690" s="6">
        <f>IFERROR(__xludf.DUMMYFUNCTION("""COMPUTED_VALUE"""),45940.0)</f>
        <v>45940</v>
      </c>
      <c r="O690" s="4"/>
      <c r="P690" s="4"/>
      <c r="Q690" s="6">
        <f>IFERROR(__xludf.DUMMYFUNCTION("""COMPUTED_VALUE"""),45940.0)</f>
        <v>45940</v>
      </c>
      <c r="R690" s="4"/>
      <c r="S690" s="4"/>
      <c r="T690" s="4"/>
      <c r="U690" s="4"/>
      <c r="V690" s="4"/>
      <c r="W690" s="4"/>
      <c r="X690" s="4"/>
      <c r="Y690" s="4"/>
      <c r="Z690" s="4"/>
      <c r="AA690" s="4">
        <f>IFERROR(__xludf.DUMMYFUNCTION("""COMPUTED_VALUE"""),1.0)</f>
        <v>1</v>
      </c>
      <c r="AB690" s="4"/>
      <c r="AC690" s="4"/>
      <c r="AD690" s="4"/>
      <c r="AE690" s="4"/>
      <c r="AF690" s="4"/>
      <c r="AG690" s="4"/>
      <c r="AH690" s="4"/>
      <c r="AI690" s="4"/>
      <c r="AJ690" s="4"/>
      <c r="AK690" s="4"/>
      <c r="AL690" s="4"/>
      <c r="AM690" s="4" t="str">
        <f>IFERROR(__xludf.DUMMYFUNCTION("""COMPUTED_VALUE"""),"FY26")</f>
        <v>FY26</v>
      </c>
      <c r="AN690" s="4"/>
      <c r="AO690" s="4">
        <f>IFERROR(__xludf.DUMMYFUNCTION("""COMPUTED_VALUE"""),140.0)</f>
        <v>140</v>
      </c>
      <c r="AP690" s="4"/>
      <c r="AQ690" s="4"/>
      <c r="AR690" s="4"/>
      <c r="AS690" s="4">
        <f>IFERROR(__xludf.DUMMYFUNCTION("""COMPUTED_VALUE"""),0.0)</f>
        <v>0</v>
      </c>
      <c r="AT690" s="4">
        <f>IFERROR(__xludf.DUMMYFUNCTION("""COMPUTED_VALUE"""),0.0)</f>
        <v>0</v>
      </c>
      <c r="AU690" s="4" t="str">
        <f>IFERROR(__xludf.DUMMYFUNCTION("""COMPUTED_VALUE"""),"Diego")</f>
        <v>Diego</v>
      </c>
      <c r="AV690" s="4">
        <f>IFERROR(__xludf.DUMMYFUNCTION("""COMPUTED_VALUE"""),0.0)</f>
        <v>0</v>
      </c>
      <c r="AW690" s="4">
        <f>IFERROR(__xludf.DUMMYFUNCTION("""COMPUTED_VALUE"""),0.0)</f>
        <v>0</v>
      </c>
      <c r="AX690" s="4">
        <f>IFERROR(__xludf.DUMMYFUNCTION("""COMPUTED_VALUE"""),0.0)</f>
        <v>0</v>
      </c>
      <c r="AY690" s="4">
        <f>IFERROR(__xludf.DUMMYFUNCTION("""COMPUTED_VALUE"""),0.0)</f>
        <v>0</v>
      </c>
      <c r="AZ690" s="4" t="str">
        <f>IFERROR(__xludf.DUMMYFUNCTION("""COMPUTED_VALUE"""),"#N/A")</f>
        <v>#N/A</v>
      </c>
      <c r="BA690" s="4" t="str">
        <f>IFERROR(__xludf.DUMMYFUNCTION("""COMPUTED_VALUE"""),"")</f>
        <v/>
      </c>
      <c r="BB690" s="4" t="str">
        <f>IFERROR(__xludf.DUMMYFUNCTION("""COMPUTED_VALUE"""),"")</f>
        <v/>
      </c>
      <c r="BC690" s="4" t="str">
        <f>IFERROR(__xludf.DUMMYFUNCTION("""COMPUTED_VALUE"""),"")</f>
        <v/>
      </c>
      <c r="BD690" s="4" t="str">
        <f>IFERROR(__xludf.DUMMYFUNCTION("""COMPUTED_VALUE"""),"")</f>
        <v/>
      </c>
      <c r="BE690" s="4" t="str">
        <f>IFERROR(__xludf.DUMMYFUNCTION("""COMPUTED_VALUE"""),"")</f>
        <v/>
      </c>
      <c r="BF690" s="4" t="str">
        <f>IFERROR(__xludf.DUMMYFUNCTION("""COMPUTED_VALUE"""),"")</f>
        <v/>
      </c>
      <c r="BG690" s="4" t="str">
        <f>IFERROR(__xludf.DUMMYFUNCTION("""COMPUTED_VALUE"""),"")</f>
        <v/>
      </c>
      <c r="BH690" s="4" t="s">
        <v>63</v>
      </c>
      <c r="BI690" s="7" t="s">
        <v>63</v>
      </c>
    </row>
    <row r="691" hidden="1">
      <c r="A691" s="4" t="str">
        <f>IFERROR(__xludf.DUMMYFUNCTION("""COMPUTED_VALUE"""),"Supra Di Mauro Maia")</f>
        <v>Supra Di Mauro Maia</v>
      </c>
      <c r="B691" s="4" t="str">
        <f>IFERROR(__xludf.DUMMYFUNCTION("""COMPUTED_VALUE"""),"Ana")</f>
        <v>Ana</v>
      </c>
      <c r="C691" s="4" t="str">
        <f>IFERROR(__xludf.DUMMYFUNCTION("""COMPUTED_VALUE"""),"Ana")</f>
        <v>Ana</v>
      </c>
      <c r="D691" s="4" t="str">
        <f>IFERROR(__xludf.DUMMYFUNCTION("""COMPUTED_VALUE"""),"10. Perdido")</f>
        <v>10. Perdido</v>
      </c>
      <c r="E691" s="4" t="str">
        <f>IFERROR(__xludf.DUMMYFUNCTION("""COMPUTED_VALUE"""),"Perdido - Outro (detalhar ao lado)")</f>
        <v>Perdido - Outro (detalhar ao lado)</v>
      </c>
      <c r="F691" s="4" t="str">
        <f>IFERROR(__xludf.DUMMYFUNCTION("""COMPUTED_VALUE"""),"P")</f>
        <v>P</v>
      </c>
      <c r="G691" s="5">
        <f>IFERROR(__xludf.DUMMYFUNCTION("""COMPUTED_VALUE"""),46076.0)</f>
        <v>46076</v>
      </c>
      <c r="H691" s="4" t="str">
        <f>IFERROR(__xludf.DUMMYFUNCTION("""COMPUTED_VALUE"""),"Parceiro não dá abertura para tratativas com iFood, executivo tentou abordar para falar sobre salão e parceiro não aceitou.")</f>
        <v>Parceiro não dá abertura para tratativas com iFood, executivo tentou abordar para falar sobre salão e parceiro não aceitou.</v>
      </c>
      <c r="I691" s="4"/>
      <c r="J691" s="4"/>
      <c r="K691" s="6">
        <f>IFERROR(__xludf.DUMMYFUNCTION("""COMPUTED_VALUE"""),45992.0)</f>
        <v>45992</v>
      </c>
      <c r="L691" s="4"/>
      <c r="M691" s="4"/>
      <c r="N691" s="4"/>
      <c r="O691" s="4"/>
      <c r="P691" s="4"/>
      <c r="Q691" s="4"/>
      <c r="R691" s="6">
        <f>IFERROR(__xludf.DUMMYFUNCTION("""COMPUTED_VALUE"""),46051.69270100695)</f>
        <v>46051.6927</v>
      </c>
      <c r="S691" s="6">
        <f>IFERROR(__xludf.DUMMYFUNCTION("""COMPUTED_VALUE"""),46051.69264504629)</f>
        <v>46051.69265</v>
      </c>
      <c r="T691" s="4"/>
      <c r="U691" s="4"/>
      <c r="V691" s="4" t="str">
        <f>IFERROR(__xludf.DUMMYFUNCTION("""COMPUTED_VALUE"""),"Sem interesse em mudar de PDV")</f>
        <v>Sem interesse em mudar de PDV</v>
      </c>
      <c r="W691" s="4"/>
      <c r="X691" s="4"/>
      <c r="Y691" s="4"/>
      <c r="Z691" s="4"/>
      <c r="AA691" s="4">
        <f>IFERROR(__xludf.DUMMYFUNCTION("""COMPUTED_VALUE"""),2.0)</f>
        <v>2</v>
      </c>
      <c r="AB691" s="4" t="str">
        <f>IFERROR(__xludf.DUMMYFUNCTION("""COMPUTED_VALUE"""),"NÃO")</f>
        <v>NÃO</v>
      </c>
      <c r="AC691" s="4" t="str">
        <f>IFERROR(__xludf.DUMMYFUNCTION("""COMPUTED_VALUE"""),"BP")</f>
        <v>BP</v>
      </c>
      <c r="AD691" s="4"/>
      <c r="AE691" s="4"/>
      <c r="AF691" s="4"/>
      <c r="AG691" s="4"/>
      <c r="AH691" s="4"/>
      <c r="AI691" s="4"/>
      <c r="AJ691" s="4"/>
      <c r="AK691" s="4"/>
      <c r="AL691" s="4"/>
      <c r="AM691" s="4" t="str">
        <f>IFERROR(__xludf.DUMMYFUNCTION("""COMPUTED_VALUE"""),"FY26")</f>
        <v>FY26</v>
      </c>
      <c r="AN691" s="4" t="str">
        <f>IFERROR(__xludf.DUMMYFUNCTION("""COMPUTED_VALUE"""),"Comer Fora")</f>
        <v>Comer Fora</v>
      </c>
      <c r="AO691" s="4">
        <f>IFERROR(__xludf.DUMMYFUNCTION("""COMPUTED_VALUE"""),140.0)</f>
        <v>140</v>
      </c>
      <c r="AP691" s="4"/>
      <c r="AQ691" s="4"/>
      <c r="AR691" s="4"/>
      <c r="AS691" s="4" t="str">
        <f>IFERROR(__xludf.DUMMYFUNCTION("""COMPUTED_VALUE"""),"NATHALIE MERTENS")</f>
        <v>NATHALIE MERTENS</v>
      </c>
      <c r="AT691" s="4" t="str">
        <f>IFERROR(__xludf.DUMMYFUNCTION("""COMPUTED_VALUE"""),"MARIANA KATZ")</f>
        <v>MARIANA KATZ</v>
      </c>
      <c r="AU691" s="4" t="str">
        <f>IFERROR(__xludf.DUMMYFUNCTION("""COMPUTED_VALUE"""),"Ana")</f>
        <v>Ana</v>
      </c>
      <c r="AV691" s="4" t="str">
        <f>IFERROR(__xludf.DUMMYFUNCTION("""COMPUTED_VALUE"""),"Comer Fora-")</f>
        <v>Comer Fora-</v>
      </c>
      <c r="AW691" s="20" t="str">
        <f>IFERROR(__xludf.DUMMYFUNCTION("""COMPUTED_VALUE"""),"P e M - pipe")</f>
        <v>P e M - pipe</v>
      </c>
      <c r="AX691" s="4"/>
      <c r="AY691" s="4"/>
      <c r="AZ691" s="4" t="str">
        <f>IFERROR(__xludf.DUMMYFUNCTION("""COMPUTED_VALUE"""),"Italiana")</f>
        <v>Italiana</v>
      </c>
      <c r="BA691" s="4" t="str">
        <f>IFERROR(__xludf.DUMMYFUNCTION("""COMPUTED_VALUE"""),"")</f>
        <v/>
      </c>
      <c r="BB691" s="4" t="str">
        <f>IFERROR(__xludf.DUMMYFUNCTION("""COMPUTED_VALUE"""),"")</f>
        <v/>
      </c>
      <c r="BC691" s="4" t="str">
        <f>IFERROR(__xludf.DUMMYFUNCTION("""COMPUTED_VALUE"""),"")</f>
        <v/>
      </c>
      <c r="BD691" s="4" t="str">
        <f>IFERROR(__xludf.DUMMYFUNCTION("""COMPUTED_VALUE"""),"")</f>
        <v/>
      </c>
      <c r="BE691" s="4" t="str">
        <f>IFERROR(__xludf.DUMMYFUNCTION("""COMPUTED_VALUE"""),"")</f>
        <v/>
      </c>
      <c r="BF691" s="4" t="str">
        <f>IFERROR(__xludf.DUMMYFUNCTION("""COMPUTED_VALUE"""),"")</f>
        <v/>
      </c>
      <c r="BG691" s="4" t="str">
        <f>IFERROR(__xludf.DUMMYFUNCTION("""COMPUTED_VALUE"""),"")</f>
        <v/>
      </c>
      <c r="BH691" s="4" t="s">
        <v>129</v>
      </c>
      <c r="BI691" s="7">
        <v>0.6666666666666666</v>
      </c>
    </row>
    <row r="692" hidden="1">
      <c r="A692" s="4" t="str">
        <f>IFERROR(__xludf.DUMMYFUNCTION("""COMPUTED_VALUE"""),"Sushichic")</f>
        <v>Sushichic</v>
      </c>
      <c r="B692" s="4" t="str">
        <f>IFERROR(__xludf.DUMMYFUNCTION("""COMPUTED_VALUE"""),"Iza")</f>
        <v>Iza</v>
      </c>
      <c r="C692" s="4" t="str">
        <f>IFERROR(__xludf.DUMMYFUNCTION("""COMPUTED_VALUE"""),"Iza")</f>
        <v>Iza</v>
      </c>
      <c r="D692" s="4" t="str">
        <f>IFERROR(__xludf.DUMMYFUNCTION("""COMPUTED_VALUE"""),"10. Perdido")</f>
        <v>10. Perdido</v>
      </c>
      <c r="E692" s="4" t="str">
        <f>IFERROR(__xludf.DUMMYFUNCTION("""COMPUTED_VALUE"""),"Perdido - Sem perfil LA / 3SCheckout / PDV próprio")</f>
        <v>Perdido - Sem perfil LA / 3SCheckout / PDV próprio</v>
      </c>
      <c r="F692" s="4" t="str">
        <f>IFERROR(__xludf.DUMMYFUNCTION("""COMPUTED_VALUE"""),"P")</f>
        <v>P</v>
      </c>
      <c r="G692" s="5">
        <f>IFERROR(__xludf.DUMMYFUNCTION("""COMPUTED_VALUE"""),46076.0)</f>
        <v>46076</v>
      </c>
      <c r="H692" s="4" t="str">
        <f>IFERROR(__xludf.DUMMYFUNCTION("""COMPUTED_VALUE"""),"Em contato ctt KA Thainara nos respondeu que não possui salão e sistema próprio. ")</f>
        <v>Em contato ctt KA Thainara nos respondeu que não possui salão e sistema próprio. </v>
      </c>
      <c r="I692" s="4"/>
      <c r="J692" s="6">
        <f>IFERROR(__xludf.DUMMYFUNCTION("""COMPUTED_VALUE"""),46073.5109500463)</f>
        <v>46073.51095</v>
      </c>
      <c r="K692" s="4"/>
      <c r="L692" s="4"/>
      <c r="M692" s="4"/>
      <c r="N692" s="4"/>
      <c r="O692" s="4"/>
      <c r="P692" s="4"/>
      <c r="Q692" s="4"/>
      <c r="R692" s="6">
        <f>IFERROR(__xludf.DUMMYFUNCTION("""COMPUTED_VALUE"""),46076.63890291667)</f>
        <v>46076.6389</v>
      </c>
      <c r="S692" s="4"/>
      <c r="T692" s="4"/>
      <c r="U692" s="4"/>
      <c r="V692" s="4" t="str">
        <f>IFERROR(__xludf.DUMMYFUNCTION("""COMPUTED_VALUE"""),"Sistema próprio")</f>
        <v>Sistema próprio</v>
      </c>
      <c r="W692" s="4"/>
      <c r="X692" s="4"/>
      <c r="Y692" s="4"/>
      <c r="Z692" s="4"/>
      <c r="AA692" s="4">
        <f>IFERROR(__xludf.DUMMYFUNCTION("""COMPUTED_VALUE"""),4.0)</f>
        <v>4</v>
      </c>
      <c r="AB692" s="4" t="str">
        <f>IFERROR(__xludf.DUMMYFUNCTION("""COMPUTED_VALUE"""),"NÃO")</f>
        <v>NÃO</v>
      </c>
      <c r="AC692" s="4" t="str">
        <f>IFERROR(__xludf.DUMMYFUNCTION("""COMPUTED_VALUE"""),"BP")</f>
        <v>BP</v>
      </c>
      <c r="AD692" s="4"/>
      <c r="AE692" s="4"/>
      <c r="AF692" s="4"/>
      <c r="AG692" s="4"/>
      <c r="AH692" s="4"/>
      <c r="AI692" s="4"/>
      <c r="AJ692" s="4"/>
      <c r="AK692" s="4"/>
      <c r="AL692" s="4"/>
      <c r="AM692" s="4" t="str">
        <f>IFERROR(__xludf.DUMMYFUNCTION("""COMPUTED_VALUE"""),"FY26")</f>
        <v>FY26</v>
      </c>
      <c r="AN692" s="4" t="str">
        <f>IFERROR(__xludf.DUMMYFUNCTION("""COMPUTED_VALUE"""),"Comer Fora")</f>
        <v>Comer Fora</v>
      </c>
      <c r="AO692" s="4">
        <f>IFERROR(__xludf.DUMMYFUNCTION("""COMPUTED_VALUE"""),140.0)</f>
        <v>140</v>
      </c>
      <c r="AP692" s="4"/>
      <c r="AQ692" s="4"/>
      <c r="AR692" s="4"/>
      <c r="AS692" s="4" t="str">
        <f>IFERROR(__xludf.DUMMYFUNCTION("""COMPUTED_VALUE"""),"NATHALIE MERTENS")</f>
        <v>NATHALIE MERTENS</v>
      </c>
      <c r="AT692" s="4" t="str">
        <f>IFERROR(__xludf.DUMMYFUNCTION("""COMPUTED_VALUE"""),"CIBELE OLIVEIRA")</f>
        <v>CIBELE OLIVEIRA</v>
      </c>
      <c r="AU692" s="4" t="str">
        <f>IFERROR(__xludf.DUMMYFUNCTION("""COMPUTED_VALUE"""),"Iza")</f>
        <v>Iza</v>
      </c>
      <c r="AV692" s="4" t="str">
        <f>IFERROR(__xludf.DUMMYFUNCTION("""COMPUTED_VALUE"""),"Comer Fora-")</f>
        <v>Comer Fora-</v>
      </c>
      <c r="AW692" s="20" t="str">
        <f>IFERROR(__xludf.DUMMYFUNCTION("""COMPUTED_VALUE"""),"P e M - pipe")</f>
        <v>P e M - pipe</v>
      </c>
      <c r="AX692" s="4"/>
      <c r="AY692" s="4"/>
      <c r="AZ692" s="4" t="str">
        <f>IFERROR(__xludf.DUMMYFUNCTION("""COMPUTED_VALUE"""),"Japonesa")</f>
        <v>Japonesa</v>
      </c>
      <c r="BA692" s="4" t="str">
        <f>IFERROR(__xludf.DUMMYFUNCTION("""COMPUTED_VALUE"""),"")</f>
        <v/>
      </c>
      <c r="BB692" s="4" t="str">
        <f>IFERROR(__xludf.DUMMYFUNCTION("""COMPUTED_VALUE"""),"")</f>
        <v/>
      </c>
      <c r="BC692" s="4" t="str">
        <f>IFERROR(__xludf.DUMMYFUNCTION("""COMPUTED_VALUE"""),"")</f>
        <v/>
      </c>
      <c r="BD692" s="4" t="str">
        <f>IFERROR(__xludf.DUMMYFUNCTION("""COMPUTED_VALUE"""),"")</f>
        <v/>
      </c>
      <c r="BE692" s="4" t="str">
        <f>IFERROR(__xludf.DUMMYFUNCTION("""COMPUTED_VALUE"""),"")</f>
        <v/>
      </c>
      <c r="BF692" s="4" t="str">
        <f>IFERROR(__xludf.DUMMYFUNCTION("""COMPUTED_VALUE"""),"")</f>
        <v/>
      </c>
      <c r="BG692" s="4" t="str">
        <f>IFERROR(__xludf.DUMMYFUNCTION("""COMPUTED_VALUE"""),"")</f>
        <v/>
      </c>
      <c r="BH692" s="4" t="s">
        <v>69</v>
      </c>
      <c r="BI692" s="7">
        <v>0.8333333333333334</v>
      </c>
    </row>
    <row r="693" hidden="1">
      <c r="A693" s="4" t="str">
        <f>IFERROR(__xludf.DUMMYFUNCTION("""COMPUTED_VALUE"""),"Taco Bell")</f>
        <v>Taco Bell</v>
      </c>
      <c r="B693" s="4" t="str">
        <f>IFERROR(__xludf.DUMMYFUNCTION("""COMPUTED_VALUE"""),"Michel")</f>
        <v>Michel</v>
      </c>
      <c r="C693" s="4" t="str">
        <f>IFERROR(__xludf.DUMMYFUNCTION("""COMPUTED_VALUE"""),"Michel")</f>
        <v>Michel</v>
      </c>
      <c r="D693" s="4" t="str">
        <f>IFERROR(__xludf.DUMMYFUNCTION("""COMPUTED_VALUE"""),"12. Orgânico")</f>
        <v>12. Orgânico</v>
      </c>
      <c r="E693" s="4"/>
      <c r="F693" s="4" t="str">
        <f>IFERROR(__xludf.DUMMYFUNCTION("""COMPUTED_VALUE"""),"P")</f>
        <v>P</v>
      </c>
      <c r="G693" s="4"/>
      <c r="H693" s="4"/>
      <c r="I693" s="4"/>
      <c r="J693" s="4"/>
      <c r="K693" s="4"/>
      <c r="L693" s="4"/>
      <c r="M693" s="4"/>
      <c r="N693" s="4"/>
      <c r="O693" s="4"/>
      <c r="P693" s="4"/>
      <c r="Q693" s="4"/>
      <c r="R693" s="4"/>
      <c r="S693" s="4"/>
      <c r="T693" s="4"/>
      <c r="U693" s="4"/>
      <c r="V693" s="4"/>
      <c r="W693" s="4"/>
      <c r="X693" s="4"/>
      <c r="Y693" s="4"/>
      <c r="Z693" s="4"/>
      <c r="AA693" s="4">
        <f>IFERROR(__xludf.DUMMYFUNCTION("""COMPUTED_VALUE"""),24.0)</f>
        <v>24</v>
      </c>
      <c r="AB693" s="4"/>
      <c r="AC693" s="4"/>
      <c r="AD693" s="4"/>
      <c r="AE693" s="4"/>
      <c r="AF693" s="4"/>
      <c r="AG693" s="4"/>
      <c r="AH693" s="4"/>
      <c r="AI693" s="4"/>
      <c r="AJ693" s="4"/>
      <c r="AK693" s="4"/>
      <c r="AL693" s="4"/>
      <c r="AM693" s="4" t="str">
        <f>IFERROR(__xludf.DUMMYFUNCTION("""COMPUTED_VALUE"""),"Orgânico 3S")</f>
        <v>Orgânico 3S</v>
      </c>
      <c r="AN693" s="4"/>
      <c r="AO693" s="4">
        <f>IFERROR(__xludf.DUMMYFUNCTION("""COMPUTED_VALUE"""),45553.0)</f>
        <v>45553</v>
      </c>
      <c r="AP693" s="4"/>
      <c r="AQ693" s="4"/>
      <c r="AR693" s="4"/>
      <c r="AS693" s="4" t="str">
        <f>IFERROR(__xludf.DUMMYFUNCTION("""COMPUTED_VALUE"""),"ISABELA GOULART")</f>
        <v>ISABELA GOULART</v>
      </c>
      <c r="AT693" s="4" t="str">
        <f>IFERROR(__xludf.DUMMYFUNCTION("""COMPUTED_VALUE"""),"ANDRE CATENASSI")</f>
        <v>ANDRE CATENASSI</v>
      </c>
      <c r="AU693" s="4" t="str">
        <f>IFERROR(__xludf.DUMMYFUNCTION("""COMPUTED_VALUE"""),"Michel")</f>
        <v>Michel</v>
      </c>
      <c r="AV693" s="4" t="str">
        <f>IFERROR(__xludf.DUMMYFUNCTION("""COMPUTED_VALUE"""),"Comer Fora-")</f>
        <v>Comer Fora-</v>
      </c>
      <c r="AW693" s="20" t="str">
        <f>IFERROR(__xludf.DUMMYFUNCTION("""COMPUTED_VALUE"""),"P e M - pipe")</f>
        <v>P e M - pipe</v>
      </c>
      <c r="AX693" s="4"/>
      <c r="AY693" s="4"/>
      <c r="AZ693" s="4" t="str">
        <f>IFERROR(__xludf.DUMMYFUNCTION("""COMPUTED_VALUE"""),"Lanches")</f>
        <v>Lanches</v>
      </c>
      <c r="BA693" s="4" t="str">
        <f>IFERROR(__xludf.DUMMYFUNCTION("""COMPUTED_VALUE"""),"R$ 30-55")</f>
        <v>R$ 30-55</v>
      </c>
      <c r="BB693" s="4" t="str">
        <f>IFERROR(__xludf.DUMMYFUNCTION("""COMPUTED_VALUE"""),"QSR - Mexicano (Yum!)")</f>
        <v>QSR - Mexicano (Yum!)</v>
      </c>
      <c r="BC693" s="4" t="str">
        <f>IFERROR(__xludf.DUMMYFUNCTION("""COMPUTED_VALUE"""),"Nacional (34 lojas: SP, RJ, PR, GO, DF, MS)")</f>
        <v>Nacional (34 lojas: SP, RJ, PR, GO, DF, MS)</v>
      </c>
      <c r="BD693" s="4" t="str">
        <f>IFERROR(__xludf.DUMMYFUNCTION("""COMPUTED_VALUE"""),"Necessário Discovery (Yum!)")</f>
        <v>Necessário Discovery (Yum!)</v>
      </c>
      <c r="BE693" s="4">
        <f>IFERROR(__xludf.DUMMYFUNCTION("""COMPUTED_VALUE"""),75.0)</f>
        <v>75</v>
      </c>
      <c r="BF693" s="4">
        <f>IFERROR(__xludf.DUMMYFUNCTION("""COMPUTED_VALUE"""),0.78)</f>
        <v>0.78</v>
      </c>
      <c r="BG693" s="4" t="str">
        <f>IFERROR(__xludf.DUMMYFUNCTION("""COMPUTED_VALUE"""),"PDV não identificado (Yum! opera direto). ALTA ADERÊNCIA: 34 lojas, meta 200 até 2030. QSR mexicano expansão rápida. 3S: totens, delivery, gestão franquias, loyalty app 2026")</f>
        <v>PDV não identificado (Yum! opera direto). ALTA ADERÊNCIA: 34 lojas, meta 200 até 2030. QSR mexicano expansão rápida. 3S: totens, delivery, gestão franquias, loyalty app 2026</v>
      </c>
      <c r="BH693" s="4" t="s">
        <v>145</v>
      </c>
      <c r="BI693" s="7">
        <v>0.9487179487179487</v>
      </c>
    </row>
    <row r="694" hidden="1">
      <c r="A694" s="4" t="str">
        <f>IFERROR(__xludf.DUMMYFUNCTION("""COMPUTED_VALUE"""),"Taj")</f>
        <v>Taj</v>
      </c>
      <c r="B694" s="4" t="str">
        <f>IFERROR(__xludf.DUMMYFUNCTION("""COMPUTED_VALUE"""),"Lídia Esteves")</f>
        <v>Lídia Esteves</v>
      </c>
      <c r="C694" s="4" t="str">
        <f>IFERROR(__xludf.DUMMYFUNCTION("""COMPUTED_VALUE"""),"Emerson")</f>
        <v>Emerson</v>
      </c>
      <c r="D694" s="4" t="str">
        <f>IFERROR(__xludf.DUMMYFUNCTION("""COMPUTED_VALUE"""),"10. Perdido")</f>
        <v>10. Perdido</v>
      </c>
      <c r="E694" s="4" t="str">
        <f>IFERROR(__xludf.DUMMYFUNCTION("""COMPUTED_VALUE"""),"Perdido - Sem perfil LA / 3SCheckout / PDV próprio")</f>
        <v>Perdido - Sem perfil LA / 3SCheckout / PDV próprio</v>
      </c>
      <c r="F694" s="4" t="str">
        <f>IFERROR(__xludf.DUMMYFUNCTION("""COMPUTED_VALUE"""),"P")</f>
        <v>P</v>
      </c>
      <c r="G694" s="4"/>
      <c r="H694" s="22" t="str">
        <f>IFERROR(__xludf.DUMMYFUNCTION("""COMPUTED_VALUE"""),"Parceiro não tem interesse em mudar de sistema, usa sistema regional de curitiba")</f>
        <v>Parceiro não tem interesse em mudar de sistema, usa sistema regional de curitiba</v>
      </c>
      <c r="I694" s="4"/>
      <c r="J694" s="4"/>
      <c r="K694" s="6">
        <f>IFERROR(__xludf.DUMMYFUNCTION("""COMPUTED_VALUE"""),45894.0)</f>
        <v>45894</v>
      </c>
      <c r="L694" s="4"/>
      <c r="M694" s="4"/>
      <c r="N694" s="4"/>
      <c r="O694" s="4"/>
      <c r="P694" s="4"/>
      <c r="Q694" s="4"/>
      <c r="R694" s="4"/>
      <c r="S694" s="4"/>
      <c r="T694" s="4"/>
      <c r="U694" s="4"/>
      <c r="V694" s="4" t="str">
        <f>IFERROR(__xludf.DUMMYFUNCTION("""COMPUTED_VALUE"""),"Sem interesse em mudar de PDV")</f>
        <v>Sem interesse em mudar de PDV</v>
      </c>
      <c r="W694" s="4"/>
      <c r="X694" s="4"/>
      <c r="Y694" s="4"/>
      <c r="Z694" s="4"/>
      <c r="AA694" s="4">
        <f>IFERROR(__xludf.DUMMYFUNCTION("""COMPUTED_VALUE"""),1.0)</f>
        <v>1</v>
      </c>
      <c r="AB694" s="4"/>
      <c r="AC694" s="4"/>
      <c r="AD694" s="4"/>
      <c r="AE694" s="4"/>
      <c r="AF694" s="4"/>
      <c r="AG694" s="4"/>
      <c r="AH694" s="4"/>
      <c r="AI694" s="4"/>
      <c r="AJ694" s="4"/>
      <c r="AK694" s="4"/>
      <c r="AL694" s="4"/>
      <c r="AM694" s="4" t="str">
        <f>IFERROR(__xludf.DUMMYFUNCTION("""COMPUTED_VALUE"""),"FY26")</f>
        <v>FY26</v>
      </c>
      <c r="AN694" s="4"/>
      <c r="AO694" s="4">
        <f>IFERROR(__xludf.DUMMYFUNCTION("""COMPUTED_VALUE"""),45553.0)</f>
        <v>45553</v>
      </c>
      <c r="AP694" s="4"/>
      <c r="AQ694" s="4"/>
      <c r="AR694" s="4"/>
      <c r="AS694" s="4">
        <f>IFERROR(__xludf.DUMMYFUNCTION("""COMPUTED_VALUE"""),0.0)</f>
        <v>0</v>
      </c>
      <c r="AT694" s="4">
        <f>IFERROR(__xludf.DUMMYFUNCTION("""COMPUTED_VALUE"""),0.0)</f>
        <v>0</v>
      </c>
      <c r="AU694" s="4" t="str">
        <f>IFERROR(__xludf.DUMMYFUNCTION("""COMPUTED_VALUE"""),"Lídia / Emerson")</f>
        <v>Lídia / Emerson</v>
      </c>
      <c r="AV694" s="4">
        <f>IFERROR(__xludf.DUMMYFUNCTION("""COMPUTED_VALUE"""),0.0)</f>
        <v>0</v>
      </c>
      <c r="AW694" s="4">
        <f>IFERROR(__xludf.DUMMYFUNCTION("""COMPUTED_VALUE"""),0.0)</f>
        <v>0</v>
      </c>
      <c r="AX694" s="4">
        <f>IFERROR(__xludf.DUMMYFUNCTION("""COMPUTED_VALUE"""),0.0)</f>
        <v>0</v>
      </c>
      <c r="AY694" s="4"/>
      <c r="AZ694" s="4" t="str">
        <f>IFERROR(__xludf.DUMMYFUNCTION("""COMPUTED_VALUE"""),"Açaí")</f>
        <v>Açaí</v>
      </c>
      <c r="BA694" s="4" t="str">
        <f>IFERROR(__xludf.DUMMYFUNCTION("""COMPUTED_VALUE"""),"")</f>
        <v/>
      </c>
      <c r="BB694" s="4" t="str">
        <f>IFERROR(__xludf.DUMMYFUNCTION("""COMPUTED_VALUE"""),"")</f>
        <v/>
      </c>
      <c r="BC694" s="4" t="str">
        <f>IFERROR(__xludf.DUMMYFUNCTION("""COMPUTED_VALUE"""),"")</f>
        <v/>
      </c>
      <c r="BD694" s="4" t="str">
        <f>IFERROR(__xludf.DUMMYFUNCTION("""COMPUTED_VALUE"""),"")</f>
        <v/>
      </c>
      <c r="BE694" s="4" t="str">
        <f>IFERROR(__xludf.DUMMYFUNCTION("""COMPUTED_VALUE"""),"")</f>
        <v/>
      </c>
      <c r="BF694" s="4" t="str">
        <f>IFERROR(__xludf.DUMMYFUNCTION("""COMPUTED_VALUE"""),"")</f>
        <v/>
      </c>
      <c r="BG694" s="4" t="str">
        <f>IFERROR(__xludf.DUMMYFUNCTION("""COMPUTED_VALUE"""),"")</f>
        <v/>
      </c>
      <c r="BH694" s="4" t="s">
        <v>63</v>
      </c>
      <c r="BI694" s="7" t="s">
        <v>63</v>
      </c>
    </row>
    <row r="695" hidden="1">
      <c r="A695" s="4" t="str">
        <f>IFERROR(__xludf.DUMMYFUNCTION("""COMPUTED_VALUE"""),"Taqueria Atzi")</f>
        <v>Taqueria Atzi</v>
      </c>
      <c r="B695" s="4" t="str">
        <f>IFERROR(__xludf.DUMMYFUNCTION("""COMPUTED_VALUE"""),"Diego Santos")</f>
        <v>Diego Santos</v>
      </c>
      <c r="C695" s="4" t="str">
        <f>IFERROR(__xludf.DUMMYFUNCTION("""COMPUTED_VALUE"""),"Diego Santos")</f>
        <v>Diego Santos</v>
      </c>
      <c r="D695" s="4" t="str">
        <f>IFERROR(__xludf.DUMMYFUNCTION("""COMPUTED_VALUE"""),"10. Perdido")</f>
        <v>10. Perdido</v>
      </c>
      <c r="E695" s="4" t="str">
        <f>IFERROR(__xludf.DUMMYFUNCTION("""COMPUTED_VALUE"""),"Parceiro - Aguardando retorno / Conciliação agenda")</f>
        <v>Parceiro - Aguardando retorno / Conciliação agenda</v>
      </c>
      <c r="F695" s="4" t="str">
        <f>IFERROR(__xludf.DUMMYFUNCTION("""COMPUTED_VALUE"""),"P")</f>
        <v>P</v>
      </c>
      <c r="G695" s="5">
        <f>IFERROR(__xludf.DUMMYFUNCTION("""COMPUTED_VALUE"""),46094.0)</f>
        <v>46094</v>
      </c>
      <c r="H695" s="4" t="str">
        <f>IFERROR(__xludf.DUMMYFUNCTION("""COMPUTED_VALUE"""),"Buscando agenda com decisor")</f>
        <v>Buscando agenda com decisor</v>
      </c>
      <c r="I695" s="4"/>
      <c r="J695" s="6">
        <f>IFERROR(__xludf.DUMMYFUNCTION("""COMPUTED_VALUE"""),46062.398428622684)</f>
        <v>46062.39843</v>
      </c>
      <c r="K695" s="4"/>
      <c r="L695" s="4"/>
      <c r="M695" s="4"/>
      <c r="N695" s="4"/>
      <c r="O695" s="4"/>
      <c r="P695" s="4"/>
      <c r="Q695" s="4"/>
      <c r="R695" s="6">
        <f>IFERROR(__xludf.DUMMYFUNCTION("""COMPUTED_VALUE"""),46094.764449282404)</f>
        <v>46094.76445</v>
      </c>
      <c r="S695" s="4"/>
      <c r="T695" s="4"/>
      <c r="U695" s="4"/>
      <c r="V695" s="4" t="str">
        <f>IFERROR(__xludf.DUMMYFUNCTION("""COMPUTED_VALUE"""),"Sem interesse em mudar de PDV")</f>
        <v>Sem interesse em mudar de PDV</v>
      </c>
      <c r="W695" s="4"/>
      <c r="X695" s="4"/>
      <c r="Y695" s="4"/>
      <c r="Z695" s="4"/>
      <c r="AA695" s="4">
        <f>IFERROR(__xludf.DUMMYFUNCTION("""COMPUTED_VALUE"""),1.0)</f>
        <v>1</v>
      </c>
      <c r="AB695" s="4" t="str">
        <f>IFERROR(__xludf.DUMMYFUNCTION("""COMPUTED_VALUE"""),"NÃO")</f>
        <v>NÃO</v>
      </c>
      <c r="AC695" s="4" t="str">
        <f>IFERROR(__xludf.DUMMYFUNCTION("""COMPUTED_VALUE"""),"BP")</f>
        <v>BP</v>
      </c>
      <c r="AD695" s="4"/>
      <c r="AE695" s="4"/>
      <c r="AF695" s="4"/>
      <c r="AG695" s="4"/>
      <c r="AH695" s="4"/>
      <c r="AI695" s="4"/>
      <c r="AJ695" s="4"/>
      <c r="AK695" s="4"/>
      <c r="AL695" s="4"/>
      <c r="AM695" s="4" t="str">
        <f>IFERROR(__xludf.DUMMYFUNCTION("""COMPUTED_VALUE"""),"FY26")</f>
        <v>FY26</v>
      </c>
      <c r="AN695" s="4"/>
      <c r="AO695" s="4">
        <f>IFERROR(__xludf.DUMMYFUNCTION("""COMPUTED_VALUE"""),120.0)</f>
        <v>120</v>
      </c>
      <c r="AP695" s="4"/>
      <c r="AQ695" s="4"/>
      <c r="AR695" s="4"/>
      <c r="AS695" s="4">
        <f>IFERROR(__xludf.DUMMYFUNCTION("""COMPUTED_VALUE"""),0.0)</f>
        <v>0</v>
      </c>
      <c r="AT695" s="4">
        <f>IFERROR(__xludf.DUMMYFUNCTION("""COMPUTED_VALUE"""),0.0)</f>
        <v>0</v>
      </c>
      <c r="AU695" s="4">
        <f>IFERROR(__xludf.DUMMYFUNCTION("""COMPUTED_VALUE"""),0.0)</f>
        <v>0</v>
      </c>
      <c r="AV695" s="4">
        <f>IFERROR(__xludf.DUMMYFUNCTION("""COMPUTED_VALUE"""),0.0)</f>
        <v>0</v>
      </c>
      <c r="AW695" s="4">
        <f>IFERROR(__xludf.DUMMYFUNCTION("""COMPUTED_VALUE"""),0.0)</f>
        <v>0</v>
      </c>
      <c r="AX695" s="4">
        <f>IFERROR(__xludf.DUMMYFUNCTION("""COMPUTED_VALUE"""),0.0)</f>
        <v>0</v>
      </c>
      <c r="AY695" s="4"/>
      <c r="AZ695" s="4" t="str">
        <f>IFERROR(__xludf.DUMMYFUNCTION("""COMPUTED_VALUE"""),"Mexicana")</f>
        <v>Mexicana</v>
      </c>
      <c r="BA695" s="4" t="str">
        <f>IFERROR(__xludf.DUMMYFUNCTION("""COMPUTED_VALUE"""),"")</f>
        <v/>
      </c>
      <c r="BB695" s="4" t="str">
        <f>IFERROR(__xludf.DUMMYFUNCTION("""COMPUTED_VALUE"""),"")</f>
        <v/>
      </c>
      <c r="BC695" s="4" t="str">
        <f>IFERROR(__xludf.DUMMYFUNCTION("""COMPUTED_VALUE"""),"")</f>
        <v/>
      </c>
      <c r="BD695" s="4" t="str">
        <f>IFERROR(__xludf.DUMMYFUNCTION("""COMPUTED_VALUE"""),"")</f>
        <v/>
      </c>
      <c r="BE695" s="4" t="str">
        <f>IFERROR(__xludf.DUMMYFUNCTION("""COMPUTED_VALUE"""),"")</f>
        <v/>
      </c>
      <c r="BF695" s="4" t="str">
        <f>IFERROR(__xludf.DUMMYFUNCTION("""COMPUTED_VALUE"""),"")</f>
        <v/>
      </c>
      <c r="BG695" s="4" t="str">
        <f>IFERROR(__xludf.DUMMYFUNCTION("""COMPUTED_VALUE"""),"")</f>
        <v/>
      </c>
      <c r="BH695" s="4" t="s">
        <v>63</v>
      </c>
      <c r="BI695" s="7" t="s">
        <v>63</v>
      </c>
    </row>
    <row r="696" hidden="1">
      <c r="A696" s="4" t="str">
        <f>IFERROR(__xludf.DUMMYFUNCTION("""COMPUTED_VALUE"""),"Tatá Sushi")</f>
        <v>Tatá Sushi</v>
      </c>
      <c r="B696" s="4" t="str">
        <f>IFERROR(__xludf.DUMMYFUNCTION("""COMPUTED_VALUE"""),"Ana")</f>
        <v>Ana</v>
      </c>
      <c r="C696" s="4" t="str">
        <f>IFERROR(__xludf.DUMMYFUNCTION("""COMPUTED_VALUE"""),"Ana")</f>
        <v>Ana</v>
      </c>
      <c r="D696" s="4" t="str">
        <f>IFERROR(__xludf.DUMMYFUNCTION("""COMPUTED_VALUE"""),"10. Perdido")</f>
        <v>10. Perdido</v>
      </c>
      <c r="E696" s="4" t="str">
        <f>IFERROR(__xludf.DUMMYFUNCTION("""COMPUTED_VALUE"""),"Perdido - Outro (detalhar ao lado)")</f>
        <v>Perdido - Outro (detalhar ao lado)</v>
      </c>
      <c r="F696" s="4" t="str">
        <f>IFERROR(__xludf.DUMMYFUNCTION("""COMPUTED_VALUE"""),"P")</f>
        <v>P</v>
      </c>
      <c r="G696" s="5">
        <f>IFERROR(__xludf.DUMMYFUNCTION("""COMPUTED_VALUE"""),46076.0)</f>
        <v>46076</v>
      </c>
      <c r="H696" s="4" t="str">
        <f>IFERROR(__xludf.DUMMYFUNCTION("""COMPUTED_VALUE"""),"Mudou para tecnisa no ano de 2025.")</f>
        <v>Mudou para tecnisa no ano de 2025.</v>
      </c>
      <c r="I696" s="4"/>
      <c r="J696" s="4"/>
      <c r="K696" s="6">
        <f>IFERROR(__xludf.DUMMYFUNCTION("""COMPUTED_VALUE"""),45930.0)</f>
        <v>45930</v>
      </c>
      <c r="L696" s="4"/>
      <c r="M696" s="4"/>
      <c r="N696" s="4"/>
      <c r="O696" s="4"/>
      <c r="P696" s="4"/>
      <c r="Q696" s="4"/>
      <c r="R696" s="4"/>
      <c r="S696" s="4"/>
      <c r="T696" s="4"/>
      <c r="U696" s="4"/>
      <c r="V696" s="4" t="str">
        <f>IFERROR(__xludf.DUMMYFUNCTION("""COMPUTED_VALUE"""),"Fechou com concorrente há pouco tempo")</f>
        <v>Fechou com concorrente há pouco tempo</v>
      </c>
      <c r="W696" s="4"/>
      <c r="X696" s="4"/>
      <c r="Y696" s="4"/>
      <c r="Z696" s="4"/>
      <c r="AA696" s="4">
        <f>IFERROR(__xludf.DUMMYFUNCTION("""COMPUTED_VALUE"""),3.0)</f>
        <v>3</v>
      </c>
      <c r="AB696" s="4" t="str">
        <f>IFERROR(__xludf.DUMMYFUNCTION("""COMPUTED_VALUE"""),"NÃO")</f>
        <v>NÃO</v>
      </c>
      <c r="AC696" s="4" t="str">
        <f>IFERROR(__xludf.DUMMYFUNCTION("""COMPUTED_VALUE"""),"BP")</f>
        <v>BP</v>
      </c>
      <c r="AD696" s="4"/>
      <c r="AE696" s="4"/>
      <c r="AF696" s="4"/>
      <c r="AG696" s="4"/>
      <c r="AH696" s="4"/>
      <c r="AI696" s="4"/>
      <c r="AJ696" s="4"/>
      <c r="AK696" s="4"/>
      <c r="AL696" s="4"/>
      <c r="AM696" s="4" t="str">
        <f>IFERROR(__xludf.DUMMYFUNCTION("""COMPUTED_VALUE"""),"FY26")</f>
        <v>FY26</v>
      </c>
      <c r="AN696" s="4"/>
      <c r="AO696" s="4">
        <f>IFERROR(__xludf.DUMMYFUNCTION("""COMPUTED_VALUE"""),140.0)</f>
        <v>140</v>
      </c>
      <c r="AP696" s="4"/>
      <c r="AQ696" s="4"/>
      <c r="AR696" s="4"/>
      <c r="AS696" s="4">
        <f>IFERROR(__xludf.DUMMYFUNCTION("""COMPUTED_VALUE"""),0.0)</f>
        <v>0</v>
      </c>
      <c r="AT696" s="4">
        <f>IFERROR(__xludf.DUMMYFUNCTION("""COMPUTED_VALUE"""),0.0)</f>
        <v>0</v>
      </c>
      <c r="AU696" s="4" t="str">
        <f>IFERROR(__xludf.DUMMYFUNCTION("""COMPUTED_VALUE"""),"Ana")</f>
        <v>Ana</v>
      </c>
      <c r="AV696" s="4">
        <f>IFERROR(__xludf.DUMMYFUNCTION("""COMPUTED_VALUE"""),0.0)</f>
        <v>0</v>
      </c>
      <c r="AW696" s="4">
        <f>IFERROR(__xludf.DUMMYFUNCTION("""COMPUTED_VALUE"""),0.0)</f>
        <v>0</v>
      </c>
      <c r="AX696" s="4">
        <f>IFERROR(__xludf.DUMMYFUNCTION("""COMPUTED_VALUE"""),0.0)</f>
        <v>0</v>
      </c>
      <c r="AY696" s="4"/>
      <c r="AZ696" s="4" t="str">
        <f>IFERROR(__xludf.DUMMYFUNCTION("""COMPUTED_VALUE"""),"#N/A")</f>
        <v>#N/A</v>
      </c>
      <c r="BA696" s="4" t="str">
        <f>IFERROR(__xludf.DUMMYFUNCTION("""COMPUTED_VALUE"""),"")</f>
        <v/>
      </c>
      <c r="BB696" s="4" t="str">
        <f>IFERROR(__xludf.DUMMYFUNCTION("""COMPUTED_VALUE"""),"")</f>
        <v/>
      </c>
      <c r="BC696" s="4" t="str">
        <f>IFERROR(__xludf.DUMMYFUNCTION("""COMPUTED_VALUE"""),"")</f>
        <v/>
      </c>
      <c r="BD696" s="4" t="str">
        <f>IFERROR(__xludf.DUMMYFUNCTION("""COMPUTED_VALUE"""),"")</f>
        <v/>
      </c>
      <c r="BE696" s="4" t="str">
        <f>IFERROR(__xludf.DUMMYFUNCTION("""COMPUTED_VALUE"""),"")</f>
        <v/>
      </c>
      <c r="BF696" s="4" t="str">
        <f>IFERROR(__xludf.DUMMYFUNCTION("""COMPUTED_VALUE"""),"")</f>
        <v/>
      </c>
      <c r="BG696" s="4" t="str">
        <f>IFERROR(__xludf.DUMMYFUNCTION("""COMPUTED_VALUE"""),"")</f>
        <v/>
      </c>
      <c r="BH696" s="4" t="s">
        <v>63</v>
      </c>
      <c r="BI696" s="7" t="s">
        <v>63</v>
      </c>
    </row>
    <row r="697" hidden="1">
      <c r="A697" s="4" t="str">
        <f>IFERROR(__xludf.DUMMYFUNCTION("""COMPUTED_VALUE"""),"Teus Restaurante Bar")</f>
        <v>Teus Restaurante Bar</v>
      </c>
      <c r="B697" s="4" t="str">
        <f>IFERROR(__xludf.DUMMYFUNCTION("""COMPUTED_VALUE"""),"Michel")</f>
        <v>Michel</v>
      </c>
      <c r="C697" s="4" t="str">
        <f>IFERROR(__xludf.DUMMYFUNCTION("""COMPUTED_VALUE"""),"Michel")</f>
        <v>Michel</v>
      </c>
      <c r="D697" s="4" t="str">
        <f>IFERROR(__xludf.DUMMYFUNCTION("""COMPUTED_VALUE"""),"12. Orgânico")</f>
        <v>12. Orgânico</v>
      </c>
      <c r="E697" s="4"/>
      <c r="F697" s="4" t="str">
        <f>IFERROR(__xludf.DUMMYFUNCTION("""COMPUTED_VALUE"""),"P")</f>
        <v>P</v>
      </c>
      <c r="G697" s="4"/>
      <c r="H697" s="4"/>
      <c r="I697" s="4"/>
      <c r="J697" s="4"/>
      <c r="K697" s="6">
        <f>IFERROR(__xludf.DUMMYFUNCTION("""COMPUTED_VALUE"""),45807.0)</f>
        <v>45807</v>
      </c>
      <c r="L697" s="4"/>
      <c r="M697" s="4"/>
      <c r="N697" s="4"/>
      <c r="O697" s="4"/>
      <c r="P697" s="4"/>
      <c r="Q697" s="4"/>
      <c r="R697" s="4"/>
      <c r="S697" s="4"/>
      <c r="T697" s="4"/>
      <c r="U697" s="4"/>
      <c r="V697" s="4"/>
      <c r="W697" s="4"/>
      <c r="X697" s="4"/>
      <c r="Y697" s="4"/>
      <c r="Z697" s="4"/>
      <c r="AA697" s="4">
        <f>IFERROR(__xludf.DUMMYFUNCTION("""COMPUTED_VALUE"""),1.0)</f>
        <v>1</v>
      </c>
      <c r="AB697" s="4"/>
      <c r="AC697" s="4"/>
      <c r="AD697" s="4"/>
      <c r="AE697" s="4"/>
      <c r="AF697" s="4"/>
      <c r="AG697" s="4"/>
      <c r="AH697" s="4"/>
      <c r="AI697" s="4"/>
      <c r="AJ697" s="4"/>
      <c r="AK697" s="4"/>
      <c r="AL697" s="4"/>
      <c r="AM697" s="4" t="str">
        <f>IFERROR(__xludf.DUMMYFUNCTION("""COMPUTED_VALUE"""),"Orgânico 3S")</f>
        <v>Orgânico 3S</v>
      </c>
      <c r="AN697" s="4"/>
      <c r="AO697" s="4">
        <f>IFERROR(__xludf.DUMMYFUNCTION("""COMPUTED_VALUE"""),45553.0)</f>
        <v>45553</v>
      </c>
      <c r="AP697" s="4"/>
      <c r="AQ697" s="4"/>
      <c r="AR697" s="4"/>
      <c r="AS697" s="4">
        <f>IFERROR(__xludf.DUMMYFUNCTION("""COMPUTED_VALUE"""),0.0)</f>
        <v>0</v>
      </c>
      <c r="AT697" s="4">
        <f>IFERROR(__xludf.DUMMYFUNCTION("""COMPUTED_VALUE"""),0.0)</f>
        <v>0</v>
      </c>
      <c r="AU697" s="4" t="str">
        <f>IFERROR(__xludf.DUMMYFUNCTION("""COMPUTED_VALUE"""),"Michel")</f>
        <v>Michel</v>
      </c>
      <c r="AV697" s="4">
        <f>IFERROR(__xludf.DUMMYFUNCTION("""COMPUTED_VALUE"""),0.0)</f>
        <v>0</v>
      </c>
      <c r="AW697" s="4">
        <f>IFERROR(__xludf.DUMMYFUNCTION("""COMPUTED_VALUE"""),0.0)</f>
        <v>0</v>
      </c>
      <c r="AX697" s="4">
        <f>IFERROR(__xludf.DUMMYFUNCTION("""COMPUTED_VALUE"""),0.0)</f>
        <v>0</v>
      </c>
      <c r="AY697" s="4"/>
      <c r="AZ697" s="4">
        <f>IFERROR(__xludf.DUMMYFUNCTION("""COMPUTED_VALUE"""),0.0)</f>
        <v>0</v>
      </c>
      <c r="BA697" s="4" t="str">
        <f>IFERROR(__xludf.DUMMYFUNCTION("""COMPUTED_VALUE"""),"")</f>
        <v/>
      </c>
      <c r="BB697" s="4" t="str">
        <f>IFERROR(__xludf.DUMMYFUNCTION("""COMPUTED_VALUE"""),"")</f>
        <v/>
      </c>
      <c r="BC697" s="4" t="str">
        <f>IFERROR(__xludf.DUMMYFUNCTION("""COMPUTED_VALUE"""),"")</f>
        <v/>
      </c>
      <c r="BD697" s="4" t="str">
        <f>IFERROR(__xludf.DUMMYFUNCTION("""COMPUTED_VALUE"""),"")</f>
        <v/>
      </c>
      <c r="BE697" s="4" t="str">
        <f>IFERROR(__xludf.DUMMYFUNCTION("""COMPUTED_VALUE"""),"")</f>
        <v/>
      </c>
      <c r="BF697" s="4" t="str">
        <f>IFERROR(__xludf.DUMMYFUNCTION("""COMPUTED_VALUE"""),"")</f>
        <v/>
      </c>
      <c r="BG697" s="4" t="str">
        <f>IFERROR(__xludf.DUMMYFUNCTION("""COMPUTED_VALUE"""),"")</f>
        <v/>
      </c>
      <c r="BH697" s="4" t="s">
        <v>63</v>
      </c>
      <c r="BI697" s="7" t="s">
        <v>63</v>
      </c>
    </row>
    <row r="698" hidden="1">
      <c r="A698" s="4" t="str">
        <f>IFERROR(__xludf.DUMMYFUNCTION("""COMPUTED_VALUE"""),"The B Burger")</f>
        <v>The B Burger</v>
      </c>
      <c r="B698" s="4" t="str">
        <f>IFERROR(__xludf.DUMMYFUNCTION("""COMPUTED_VALUE"""),"Diego Santos")</f>
        <v>Diego Santos</v>
      </c>
      <c r="C698" s="4" t="str">
        <f>IFERROR(__xludf.DUMMYFUNCTION("""COMPUTED_VALUE"""),"Diego Santos")</f>
        <v>Diego Santos</v>
      </c>
      <c r="D698" s="4" t="str">
        <f>IFERROR(__xludf.DUMMYFUNCTION("""COMPUTED_VALUE"""),"10. Perdido")</f>
        <v>10. Perdido</v>
      </c>
      <c r="E698" s="4" t="str">
        <f>IFERROR(__xludf.DUMMYFUNCTION("""COMPUTED_VALUE"""),"Perdido - Outro (detalhar ao lado)")</f>
        <v>Perdido - Outro (detalhar ao lado)</v>
      </c>
      <c r="F698" s="4" t="str">
        <f>IFERROR(__xludf.DUMMYFUNCTION("""COMPUTED_VALUE"""),"Sem Classificação")</f>
        <v>Sem Classificação</v>
      </c>
      <c r="G698" s="5">
        <f>IFERROR(__xludf.DUMMYFUNCTION("""COMPUTED_VALUE"""),46084.0)</f>
        <v>46084</v>
      </c>
      <c r="H698" s="4" t="str">
        <f>IFERROR(__xludf.DUMMYFUNCTION("""COMPUTED_VALUE"""),"Satisfeito com solução atual, sem interesse em trocar.")</f>
        <v>Satisfeito com solução atual, sem interesse em trocar.</v>
      </c>
      <c r="I698" s="4"/>
      <c r="J698" s="6">
        <f>IFERROR(__xludf.DUMMYFUNCTION("""COMPUTED_VALUE"""),45960.0)</f>
        <v>45960</v>
      </c>
      <c r="K698" s="6">
        <f>IFERROR(__xludf.DUMMYFUNCTION("""COMPUTED_VALUE"""),45961.0)</f>
        <v>45961</v>
      </c>
      <c r="L698" s="4"/>
      <c r="M698" s="4"/>
      <c r="N698" s="4"/>
      <c r="O698" s="4"/>
      <c r="P698" s="4"/>
      <c r="Q698" s="4"/>
      <c r="R698" s="6">
        <f>IFERROR(__xludf.DUMMYFUNCTION("""COMPUTED_VALUE"""),46084.7842284375)</f>
        <v>46084.78423</v>
      </c>
      <c r="S698" s="4"/>
      <c r="T698" s="4"/>
      <c r="U698" s="4"/>
      <c r="V698" s="4" t="str">
        <f>IFERROR(__xludf.DUMMYFUNCTION("""COMPUTED_VALUE"""),"Sem interesse em mudar de PDV")</f>
        <v>Sem interesse em mudar de PDV</v>
      </c>
      <c r="W698" s="4"/>
      <c r="X698" s="4"/>
      <c r="Y698" s="4"/>
      <c r="Z698" s="4"/>
      <c r="AA698" s="4"/>
      <c r="AB698" s="4" t="str">
        <f>IFERROR(__xludf.DUMMYFUNCTION("""COMPUTED_VALUE"""),"NÃO")</f>
        <v>NÃO</v>
      </c>
      <c r="AC698" s="4" t="str">
        <f>IFERROR(__xludf.DUMMYFUNCTION("""COMPUTED_VALUE"""),"BP")</f>
        <v>BP</v>
      </c>
      <c r="AD698" s="4"/>
      <c r="AE698" s="4"/>
      <c r="AF698" s="4"/>
      <c r="AG698" s="4"/>
      <c r="AH698" s="4"/>
      <c r="AI698" s="4"/>
      <c r="AJ698" s="4"/>
      <c r="AK698" s="4"/>
      <c r="AL698" s="4"/>
      <c r="AM698" s="4" t="str">
        <f>IFERROR(__xludf.DUMMYFUNCTION("""COMPUTED_VALUE"""),"FY26")</f>
        <v>FY26</v>
      </c>
      <c r="AN698" s="4"/>
      <c r="AO698" s="4">
        <f>IFERROR(__xludf.DUMMYFUNCTION("""COMPUTED_VALUE"""),130.0)</f>
        <v>130</v>
      </c>
      <c r="AP698" s="4"/>
      <c r="AQ698" s="4"/>
      <c r="AR698" s="4"/>
      <c r="AS698" s="4">
        <f>IFERROR(__xludf.DUMMYFUNCTION("""COMPUTED_VALUE"""),0.0)</f>
        <v>0</v>
      </c>
      <c r="AT698" s="4">
        <f>IFERROR(__xludf.DUMMYFUNCTION("""COMPUTED_VALUE"""),0.0)</f>
        <v>0</v>
      </c>
      <c r="AU698" s="4" t="str">
        <f>IFERROR(__xludf.DUMMYFUNCTION("""COMPUTED_VALUE"""),"Diego")</f>
        <v>Diego</v>
      </c>
      <c r="AV698" s="4">
        <f>IFERROR(__xludf.DUMMYFUNCTION("""COMPUTED_VALUE"""),0.0)</f>
        <v>0</v>
      </c>
      <c r="AW698" s="4">
        <f>IFERROR(__xludf.DUMMYFUNCTION("""COMPUTED_VALUE"""),0.0)</f>
        <v>0</v>
      </c>
      <c r="AX698" s="4">
        <f>IFERROR(__xludf.DUMMYFUNCTION("""COMPUTED_VALUE"""),0.0)</f>
        <v>0</v>
      </c>
      <c r="AY698" s="4"/>
      <c r="AZ698" s="4">
        <f>IFERROR(__xludf.DUMMYFUNCTION("""COMPUTED_VALUE"""),0.0)</f>
        <v>0</v>
      </c>
      <c r="BA698" s="4" t="str">
        <f>IFERROR(__xludf.DUMMYFUNCTION("""COMPUTED_VALUE"""),"")</f>
        <v/>
      </c>
      <c r="BB698" s="4" t="str">
        <f>IFERROR(__xludf.DUMMYFUNCTION("""COMPUTED_VALUE"""),"")</f>
        <v/>
      </c>
      <c r="BC698" s="4" t="str">
        <f>IFERROR(__xludf.DUMMYFUNCTION("""COMPUTED_VALUE"""),"")</f>
        <v/>
      </c>
      <c r="BD698" s="4" t="str">
        <f>IFERROR(__xludf.DUMMYFUNCTION("""COMPUTED_VALUE"""),"")</f>
        <v/>
      </c>
      <c r="BE698" s="4" t="str">
        <f>IFERROR(__xludf.DUMMYFUNCTION("""COMPUTED_VALUE"""),"")</f>
        <v/>
      </c>
      <c r="BF698" s="4" t="str">
        <f>IFERROR(__xludf.DUMMYFUNCTION("""COMPUTED_VALUE"""),"")</f>
        <v/>
      </c>
      <c r="BG698" s="4" t="str">
        <f>IFERROR(__xludf.DUMMYFUNCTION("""COMPUTED_VALUE"""),"")</f>
        <v/>
      </c>
      <c r="BH698" s="4" t="s">
        <v>63</v>
      </c>
      <c r="BI698" s="7" t="s">
        <v>63</v>
      </c>
    </row>
    <row r="699" hidden="1">
      <c r="A699" s="4" t="str">
        <f>IFERROR(__xludf.DUMMYFUNCTION("""COMPUTED_VALUE"""),"Torta No Quintal")</f>
        <v>Torta No Quintal</v>
      </c>
      <c r="B699" s="4" t="str">
        <f>IFERROR(__xludf.DUMMYFUNCTION("""COMPUTED_VALUE"""),"Ana")</f>
        <v>Ana</v>
      </c>
      <c r="C699" s="4" t="str">
        <f>IFERROR(__xludf.DUMMYFUNCTION("""COMPUTED_VALUE"""),"Ana")</f>
        <v>Ana</v>
      </c>
      <c r="D699" s="4" t="str">
        <f>IFERROR(__xludf.DUMMYFUNCTION("""COMPUTED_VALUE"""),"10. Perdido")</f>
        <v>10. Perdido</v>
      </c>
      <c r="E699" s="4" t="str">
        <f>IFERROR(__xludf.DUMMYFUNCTION("""COMPUTED_VALUE"""),"Perdido - Falta de aderência técnica")</f>
        <v>Perdido - Falta de aderência técnica</v>
      </c>
      <c r="F699" s="4" t="str">
        <f>IFERROR(__xludf.DUMMYFUNCTION("""COMPUTED_VALUE"""),"P")</f>
        <v>P</v>
      </c>
      <c r="G699" s="5">
        <f>IFERROR(__xludf.DUMMYFUNCTION("""COMPUTED_VALUE"""),46076.0)</f>
        <v>46076</v>
      </c>
      <c r="H699" s="4" t="str">
        <f>IFERROR(__xludf.DUMMYFUNCTION("""COMPUTED_VALUE"""),"Cliente não usa pdv e não tem interesse em ter. Não são usam NF..")</f>
        <v>Cliente não usa pdv e não tem interesse em ter. Não são usam NF..</v>
      </c>
      <c r="I699" s="4"/>
      <c r="J699" s="4"/>
      <c r="K699" s="6">
        <f>IFERROR(__xludf.DUMMYFUNCTION("""COMPUTED_VALUE"""),45992.0)</f>
        <v>45992</v>
      </c>
      <c r="L699" s="4"/>
      <c r="M699" s="4"/>
      <c r="N699" s="4"/>
      <c r="O699" s="4"/>
      <c r="P699" s="4"/>
      <c r="Q699" s="4"/>
      <c r="R699" s="4"/>
      <c r="S699" s="4"/>
      <c r="T699" s="4"/>
      <c r="U699" s="4"/>
      <c r="V699" s="4" t="str">
        <f>IFERROR(__xludf.DUMMYFUNCTION("""COMPUTED_VALUE"""),"Sem perfil LA")</f>
        <v>Sem perfil LA</v>
      </c>
      <c r="W699" s="4"/>
      <c r="X699" s="4"/>
      <c r="Y699" s="4"/>
      <c r="Z699" s="4"/>
      <c r="AA699" s="4">
        <f>IFERROR(__xludf.DUMMYFUNCTION("""COMPUTED_VALUE"""),1.0)</f>
        <v>1</v>
      </c>
      <c r="AB699" s="4" t="str">
        <f>IFERROR(__xludf.DUMMYFUNCTION("""COMPUTED_VALUE"""),"NÃO")</f>
        <v>NÃO</v>
      </c>
      <c r="AC699" s="4" t="str">
        <f>IFERROR(__xludf.DUMMYFUNCTION("""COMPUTED_VALUE"""),"BP")</f>
        <v>BP</v>
      </c>
      <c r="AD699" s="4"/>
      <c r="AE699" s="4"/>
      <c r="AF699" s="4"/>
      <c r="AG699" s="4"/>
      <c r="AH699" s="4"/>
      <c r="AI699" s="4"/>
      <c r="AJ699" s="4"/>
      <c r="AK699" s="4"/>
      <c r="AL699" s="4"/>
      <c r="AM699" s="4" t="str">
        <f>IFERROR(__xludf.DUMMYFUNCTION("""COMPUTED_VALUE"""),"FY26")</f>
        <v>FY26</v>
      </c>
      <c r="AN699" s="4" t="str">
        <f>IFERROR(__xludf.DUMMYFUNCTION("""COMPUTED_VALUE"""),"Comer Fora")</f>
        <v>Comer Fora</v>
      </c>
      <c r="AO699" s="4">
        <f>IFERROR(__xludf.DUMMYFUNCTION("""COMPUTED_VALUE"""),140.0)</f>
        <v>140</v>
      </c>
      <c r="AP699" s="4"/>
      <c r="AQ699" s="4"/>
      <c r="AR699" s="4"/>
      <c r="AS699" s="4" t="str">
        <f>IFERROR(__xludf.DUMMYFUNCTION("""COMPUTED_VALUE"""),"NATHALIE MERTENS")</f>
        <v>NATHALIE MERTENS</v>
      </c>
      <c r="AT699" s="4" t="str">
        <f>IFERROR(__xludf.DUMMYFUNCTION("""COMPUTED_VALUE"""),"MARIANA KATZ")</f>
        <v>MARIANA KATZ</v>
      </c>
      <c r="AU699" s="4" t="str">
        <f>IFERROR(__xludf.DUMMYFUNCTION("""COMPUTED_VALUE"""),"Ana")</f>
        <v>Ana</v>
      </c>
      <c r="AV699" s="4" t="str">
        <f>IFERROR(__xludf.DUMMYFUNCTION("""COMPUTED_VALUE"""),"Comer Fora-")</f>
        <v>Comer Fora-</v>
      </c>
      <c r="AW699" s="20" t="str">
        <f>IFERROR(__xludf.DUMMYFUNCTION("""COMPUTED_VALUE"""),"P e M - pipe")</f>
        <v>P e M - pipe</v>
      </c>
      <c r="AX699" s="4"/>
      <c r="AY699" s="4"/>
      <c r="AZ699" s="4" t="str">
        <f>IFERROR(__xludf.DUMMYFUNCTION("""COMPUTED_VALUE"""),"Padaria")</f>
        <v>Padaria</v>
      </c>
      <c r="BA699" s="4" t="str">
        <f>IFERROR(__xludf.DUMMYFUNCTION("""COMPUTED_VALUE"""),"")</f>
        <v/>
      </c>
      <c r="BB699" s="4" t="str">
        <f>IFERROR(__xludf.DUMMYFUNCTION("""COMPUTED_VALUE"""),"")</f>
        <v/>
      </c>
      <c r="BC699" s="4" t="str">
        <f>IFERROR(__xludf.DUMMYFUNCTION("""COMPUTED_VALUE"""),"")</f>
        <v/>
      </c>
      <c r="BD699" s="4" t="str">
        <f>IFERROR(__xludf.DUMMYFUNCTION("""COMPUTED_VALUE"""),"")</f>
        <v/>
      </c>
      <c r="BE699" s="4" t="str">
        <f>IFERROR(__xludf.DUMMYFUNCTION("""COMPUTED_VALUE"""),"")</f>
        <v/>
      </c>
      <c r="BF699" s="4" t="str">
        <f>IFERROR(__xludf.DUMMYFUNCTION("""COMPUTED_VALUE"""),"")</f>
        <v/>
      </c>
      <c r="BG699" s="4" t="str">
        <f>IFERROR(__xludf.DUMMYFUNCTION("""COMPUTED_VALUE"""),"")</f>
        <v/>
      </c>
      <c r="BH699" s="4" t="s">
        <v>63</v>
      </c>
      <c r="BI699" s="7" t="s">
        <v>63</v>
      </c>
    </row>
    <row r="700">
      <c r="A700" s="4" t="str">
        <f>IFERROR(__xludf.DUMMYFUNCTION("""COMPUTED_VALUE"""),"Tradicional Bolos E Tortas")</f>
        <v>Tradicional Bolos E Tortas</v>
      </c>
      <c r="B700" s="4" t="str">
        <f>IFERROR(__xludf.DUMMYFUNCTION("""COMPUTED_VALUE"""),"Leonardo Roso")</f>
        <v>Leonardo Roso</v>
      </c>
      <c r="C700" s="4" t="str">
        <f>IFERROR(__xludf.DUMMYFUNCTION("""COMPUTED_VALUE"""),"Leonardo Roso")</f>
        <v>Leonardo Roso</v>
      </c>
      <c r="D700" s="4" t="str">
        <f>IFERROR(__xludf.DUMMYFUNCTION("""COMPUTED_VALUE"""),"10. Perdido")</f>
        <v>10. Perdido</v>
      </c>
      <c r="E700" s="4" t="str">
        <f>IFERROR(__xludf.DUMMYFUNCTION("""COMPUTED_VALUE"""),"Perdido - Outro (detalhar ao lado)")</f>
        <v>Perdido - Outro (detalhar ao lado)</v>
      </c>
      <c r="F700" s="4" t="str">
        <f>IFERROR(__xludf.DUMMYFUNCTION("""COMPUTED_VALUE"""),"G")</f>
        <v>G</v>
      </c>
      <c r="G700" s="5">
        <f>IFERROR(__xludf.DUMMYFUNCTION("""COMPUTED_VALUE"""),46076.0)</f>
        <v>46076</v>
      </c>
      <c r="H700" s="4" t="str">
        <f>IFERROR(__xludf.DUMMYFUNCTION("""COMPUTED_VALUE"""),"No momento da conversa (Outubro 2025) parceiro informou que havia seguido a troca de PDV com a GCOM.")</f>
        <v>No momento da conversa (Outubro 2025) parceiro informou que havia seguido a troca de PDV com a GCOM.</v>
      </c>
      <c r="I700" s="4"/>
      <c r="J700" s="4"/>
      <c r="K700" s="6">
        <f>IFERROR(__xludf.DUMMYFUNCTION("""COMPUTED_VALUE"""),45909.0)</f>
        <v>45909</v>
      </c>
      <c r="L700" s="4"/>
      <c r="M700" s="4"/>
      <c r="N700" s="4"/>
      <c r="O700" s="4"/>
      <c r="P700" s="4"/>
      <c r="Q700" s="4"/>
      <c r="R700" s="4"/>
      <c r="S700" s="4"/>
      <c r="T700" s="4"/>
      <c r="U700" s="4"/>
      <c r="V700" s="4" t="str">
        <f>IFERROR(__xludf.DUMMYFUNCTION("""COMPUTED_VALUE"""),"Fechou com concorrente há pouco tempo")</f>
        <v>Fechou com concorrente há pouco tempo</v>
      </c>
      <c r="W700" s="4"/>
      <c r="X700" s="4"/>
      <c r="Y700" s="4"/>
      <c r="Z700" s="4"/>
      <c r="AA700" s="4">
        <f>IFERROR(__xludf.DUMMYFUNCTION("""COMPUTED_VALUE"""),320.0)</f>
        <v>320</v>
      </c>
      <c r="AB700" s="4" t="str">
        <f>IFERROR(__xludf.DUMMYFUNCTION("""COMPUTED_VALUE"""),"KA")</f>
        <v>KA</v>
      </c>
      <c r="AC700" s="4" t="str">
        <f>IFERROR(__xludf.DUMMYFUNCTION("""COMPUTED_VALUE"""),"BP")</f>
        <v>BP</v>
      </c>
      <c r="AD700" s="4"/>
      <c r="AE700" s="4"/>
      <c r="AF700" s="4"/>
      <c r="AG700" s="4"/>
      <c r="AH700" s="4"/>
      <c r="AI700" s="4"/>
      <c r="AJ700" s="4"/>
      <c r="AK700" s="4"/>
      <c r="AL700" s="4"/>
      <c r="AM700" s="4" t="str">
        <f>IFERROR(__xludf.DUMMYFUNCTION("""COMPUTED_VALUE"""),"FY26")</f>
        <v>FY26</v>
      </c>
      <c r="AN700" s="4"/>
      <c r="AO700" s="4">
        <f>IFERROR(__xludf.DUMMYFUNCTION("""COMPUTED_VALUE"""),140.0)</f>
        <v>140</v>
      </c>
      <c r="AP700" s="4"/>
      <c r="AQ700" s="4"/>
      <c r="AR700" s="4"/>
      <c r="AS700" s="4" t="str">
        <f>IFERROR(__xludf.DUMMYFUNCTION("""COMPUTED_VALUE"""),"ISABELA GOULART")</f>
        <v>ISABELA GOULART</v>
      </c>
      <c r="AT700" s="4" t="str">
        <f>IFERROR(__xludf.DUMMYFUNCTION("""COMPUTED_VALUE"""),"ANNA BALBINOT")</f>
        <v>ANNA BALBINOT</v>
      </c>
      <c r="AU700" s="4" t="str">
        <f>IFERROR(__xludf.DUMMYFUNCTION("""COMPUTED_VALUE"""),"Leonardo Roso")</f>
        <v>Leonardo Roso</v>
      </c>
      <c r="AV700" s="4">
        <f>IFERROR(__xludf.DUMMYFUNCTION("""COMPUTED_VALUE"""),0.0)</f>
        <v>0</v>
      </c>
      <c r="AW700" s="4">
        <f>IFERROR(__xludf.DUMMYFUNCTION("""COMPUTED_VALUE"""),0.0)</f>
        <v>0</v>
      </c>
      <c r="AX700" s="4">
        <f>IFERROR(__xludf.DUMMYFUNCTION("""COMPUTED_VALUE"""),0.0)</f>
        <v>0</v>
      </c>
      <c r="AY700" s="4"/>
      <c r="AZ700" s="4" t="str">
        <f>IFERROR(__xludf.DUMMYFUNCTION("""COMPUTED_VALUE"""),"Doces &amp; Bolos")</f>
        <v>Doces &amp; Bolos</v>
      </c>
      <c r="BA700" s="4" t="str">
        <f>IFERROR(__xludf.DUMMYFUNCTION("""COMPUTED_VALUE"""),"")</f>
        <v/>
      </c>
      <c r="BB700" s="4" t="str">
        <f>IFERROR(__xludf.DUMMYFUNCTION("""COMPUTED_VALUE"""),"")</f>
        <v/>
      </c>
      <c r="BC700" s="4" t="str">
        <f>IFERROR(__xludf.DUMMYFUNCTION("""COMPUTED_VALUE"""),"")</f>
        <v/>
      </c>
      <c r="BD700" s="4" t="str">
        <f>IFERROR(__xludf.DUMMYFUNCTION("""COMPUTED_VALUE"""),"")</f>
        <v/>
      </c>
      <c r="BE700" s="4" t="str">
        <f>IFERROR(__xludf.DUMMYFUNCTION("""COMPUTED_VALUE"""),"")</f>
        <v/>
      </c>
      <c r="BF700" s="4" t="str">
        <f>IFERROR(__xludf.DUMMYFUNCTION("""COMPUTED_VALUE"""),"")</f>
        <v/>
      </c>
      <c r="BG700" s="4" t="str">
        <f>IFERROR(__xludf.DUMMYFUNCTION("""COMPUTED_VALUE"""),"")</f>
        <v/>
      </c>
      <c r="BH700" s="4" t="s">
        <v>130</v>
      </c>
      <c r="BI700" s="7">
        <v>0.8461538461538461</v>
      </c>
    </row>
    <row r="701" hidden="1">
      <c r="A701" s="4" t="str">
        <f>IFERROR(__xludf.DUMMYFUNCTION("""COMPUTED_VALUE"""),"U.mami")</f>
        <v>U.mami</v>
      </c>
      <c r="B701" s="4" t="str">
        <f>IFERROR(__xludf.DUMMYFUNCTION("""COMPUTED_VALUE"""),"Michel")</f>
        <v>Michel</v>
      </c>
      <c r="C701" s="4" t="str">
        <f>IFERROR(__xludf.DUMMYFUNCTION("""COMPUTED_VALUE"""),"Michel")</f>
        <v>Michel</v>
      </c>
      <c r="D701" s="4" t="str">
        <f>IFERROR(__xludf.DUMMYFUNCTION("""COMPUTED_VALUE"""),"9. Contrato assinado")</f>
        <v>9. Contrato assinado</v>
      </c>
      <c r="E701" s="4" t="str">
        <f>IFERROR(__xludf.DUMMYFUNCTION("""COMPUTED_VALUE""")," Projetos - Contrato assinado &amp; Rollout")</f>
        <v> Projetos - Contrato assinado &amp; Rollout</v>
      </c>
      <c r="F701" s="4" t="str">
        <f>IFERROR(__xludf.DUMMYFUNCTION("""COMPUTED_VALUE"""),"P")</f>
        <v>P</v>
      </c>
      <c r="G701" s="4"/>
      <c r="H701" s="4" t="str">
        <f>IFERROR(__xludf.DUMMYFUNCTION("""COMPUTED_VALUE"""),"Cliente entra na primeira quinzena de Março")</f>
        <v>Cliente entra na primeira quinzena de Março</v>
      </c>
      <c r="I701" s="4"/>
      <c r="J701" s="4"/>
      <c r="K701" s="6">
        <f>IFERROR(__xludf.DUMMYFUNCTION("""COMPUTED_VALUE"""),45962.0)</f>
        <v>45962</v>
      </c>
      <c r="L701" s="4"/>
      <c r="M701" s="4"/>
      <c r="N701" s="6">
        <f>IFERROR(__xludf.DUMMYFUNCTION("""COMPUTED_VALUE"""),45991.0)</f>
        <v>45991</v>
      </c>
      <c r="O701" s="4"/>
      <c r="P701" s="4"/>
      <c r="Q701" s="6">
        <f>IFERROR(__xludf.DUMMYFUNCTION("""COMPUTED_VALUE"""),45991.0)</f>
        <v>45991</v>
      </c>
      <c r="R701" s="4"/>
      <c r="S701" s="4"/>
      <c r="T701" s="4"/>
      <c r="U701" s="4"/>
      <c r="V701" s="4"/>
      <c r="W701" s="4"/>
      <c r="X701" s="4"/>
      <c r="Y701" s="4"/>
      <c r="Z701" s="4"/>
      <c r="AA701" s="4">
        <f>IFERROR(__xludf.DUMMYFUNCTION("""COMPUTED_VALUE"""),1.0)</f>
        <v>1</v>
      </c>
      <c r="AB701" s="4"/>
      <c r="AC701" s="4"/>
      <c r="AD701" s="4"/>
      <c r="AE701" s="4"/>
      <c r="AF701" s="4"/>
      <c r="AG701" s="4"/>
      <c r="AH701" s="4"/>
      <c r="AI701" s="4"/>
      <c r="AJ701" s="4"/>
      <c r="AK701" s="4"/>
      <c r="AL701" s="4"/>
      <c r="AM701" s="4" t="str">
        <f>IFERROR(__xludf.DUMMYFUNCTION("""COMPUTED_VALUE"""),"FY26")</f>
        <v>FY26</v>
      </c>
      <c r="AN701" s="4"/>
      <c r="AO701" s="4">
        <f>IFERROR(__xludf.DUMMYFUNCTION("""COMPUTED_VALUE"""),45553.0)</f>
        <v>45553</v>
      </c>
      <c r="AP701" s="4"/>
      <c r="AQ701" s="4"/>
      <c r="AR701" s="4"/>
      <c r="AS701" s="4">
        <f>IFERROR(__xludf.DUMMYFUNCTION("""COMPUTED_VALUE"""),0.0)</f>
        <v>0</v>
      </c>
      <c r="AT701" s="4">
        <f>IFERROR(__xludf.DUMMYFUNCTION("""COMPUTED_VALUE"""),0.0)</f>
        <v>0</v>
      </c>
      <c r="AU701" s="4" t="str">
        <f>IFERROR(__xludf.DUMMYFUNCTION("""COMPUTED_VALUE"""),"Michel")</f>
        <v>Michel</v>
      </c>
      <c r="AV701" s="4">
        <f>IFERROR(__xludf.DUMMYFUNCTION("""COMPUTED_VALUE"""),0.0)</f>
        <v>0</v>
      </c>
      <c r="AW701" s="4">
        <f>IFERROR(__xludf.DUMMYFUNCTION("""COMPUTED_VALUE"""),0.0)</f>
        <v>0</v>
      </c>
      <c r="AX701" s="4">
        <f>IFERROR(__xludf.DUMMYFUNCTION("""COMPUTED_VALUE"""),0.0)</f>
        <v>0</v>
      </c>
      <c r="AY701" s="4"/>
      <c r="AZ701" s="4" t="str">
        <f>IFERROR(__xludf.DUMMYFUNCTION("""COMPUTED_VALUE"""),"#N/A")</f>
        <v>#N/A</v>
      </c>
      <c r="BA701" s="4" t="str">
        <f>IFERROR(__xludf.DUMMYFUNCTION("""COMPUTED_VALUE"""),"")</f>
        <v/>
      </c>
      <c r="BB701" s="4" t="str">
        <f>IFERROR(__xludf.DUMMYFUNCTION("""COMPUTED_VALUE"""),"")</f>
        <v/>
      </c>
      <c r="BC701" s="4" t="str">
        <f>IFERROR(__xludf.DUMMYFUNCTION("""COMPUTED_VALUE"""),"")</f>
        <v/>
      </c>
      <c r="BD701" s="4" t="str">
        <f>IFERROR(__xludf.DUMMYFUNCTION("""COMPUTED_VALUE"""),"")</f>
        <v/>
      </c>
      <c r="BE701" s="4" t="str">
        <f>IFERROR(__xludf.DUMMYFUNCTION("""COMPUTED_VALUE"""),"")</f>
        <v/>
      </c>
      <c r="BF701" s="4" t="str">
        <f>IFERROR(__xludf.DUMMYFUNCTION("""COMPUTED_VALUE"""),"")</f>
        <v/>
      </c>
      <c r="BG701" s="4" t="str">
        <f>IFERROR(__xludf.DUMMYFUNCTION("""COMPUTED_VALUE"""),"")</f>
        <v/>
      </c>
      <c r="BH701" s="4" t="s">
        <v>63</v>
      </c>
      <c r="BI701" s="7" t="s">
        <v>63</v>
      </c>
    </row>
    <row r="702" hidden="1">
      <c r="A702" s="4" t="str">
        <f>IFERROR(__xludf.DUMMYFUNCTION("""COMPUTED_VALUE"""),"Uncle Joes")</f>
        <v>Uncle Joes</v>
      </c>
      <c r="B702" s="4" t="str">
        <f>IFERROR(__xludf.DUMMYFUNCTION("""COMPUTED_VALUE"""),"Michel")</f>
        <v>Michel</v>
      </c>
      <c r="C702" s="4" t="str">
        <f>IFERROR(__xludf.DUMMYFUNCTION("""COMPUTED_VALUE"""),"Michel")</f>
        <v>Michel</v>
      </c>
      <c r="D702" s="4" t="str">
        <f>IFERROR(__xludf.DUMMYFUNCTION("""COMPUTED_VALUE"""),"12. Orgânico")</f>
        <v>12. Orgânico</v>
      </c>
      <c r="E702" s="4"/>
      <c r="F702" s="4" t="str">
        <f>IFERROR(__xludf.DUMMYFUNCTION("""COMPUTED_VALUE"""),"Sem Classificação")</f>
        <v>Sem Classificação</v>
      </c>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t="str">
        <f>IFERROR(__xludf.DUMMYFUNCTION("""COMPUTED_VALUE"""),"Orgânico 3S")</f>
        <v>Orgânico 3S</v>
      </c>
      <c r="AN702" s="4"/>
      <c r="AO702" s="4">
        <f>IFERROR(__xludf.DUMMYFUNCTION("""COMPUTED_VALUE"""),45553.0)</f>
        <v>45553</v>
      </c>
      <c r="AP702" s="4"/>
      <c r="AQ702" s="4"/>
      <c r="AR702" s="4"/>
      <c r="AS702" s="4">
        <f>IFERROR(__xludf.DUMMYFUNCTION("""COMPUTED_VALUE"""),0.0)</f>
        <v>0</v>
      </c>
      <c r="AT702" s="4">
        <f>IFERROR(__xludf.DUMMYFUNCTION("""COMPUTED_VALUE"""),0.0)</f>
        <v>0</v>
      </c>
      <c r="AU702" s="4" t="str">
        <f>IFERROR(__xludf.DUMMYFUNCTION("""COMPUTED_VALUE"""),"Michel")</f>
        <v>Michel</v>
      </c>
      <c r="AV702" s="4">
        <f>IFERROR(__xludf.DUMMYFUNCTION("""COMPUTED_VALUE"""),0.0)</f>
        <v>0</v>
      </c>
      <c r="AW702" s="4">
        <f>IFERROR(__xludf.DUMMYFUNCTION("""COMPUTED_VALUE"""),0.0)</f>
        <v>0</v>
      </c>
      <c r="AX702" s="4">
        <f>IFERROR(__xludf.DUMMYFUNCTION("""COMPUTED_VALUE"""),0.0)</f>
        <v>0</v>
      </c>
      <c r="AY702" s="4"/>
      <c r="AZ702" s="4">
        <f>IFERROR(__xludf.DUMMYFUNCTION("""COMPUTED_VALUE"""),0.0)</f>
        <v>0</v>
      </c>
      <c r="BA702" s="4" t="str">
        <f>IFERROR(__xludf.DUMMYFUNCTION("""COMPUTED_VALUE"""),"")</f>
        <v/>
      </c>
      <c r="BB702" s="4" t="str">
        <f>IFERROR(__xludf.DUMMYFUNCTION("""COMPUTED_VALUE"""),"")</f>
        <v/>
      </c>
      <c r="BC702" s="4" t="str">
        <f>IFERROR(__xludf.DUMMYFUNCTION("""COMPUTED_VALUE"""),"")</f>
        <v/>
      </c>
      <c r="BD702" s="4" t="str">
        <f>IFERROR(__xludf.DUMMYFUNCTION("""COMPUTED_VALUE"""),"")</f>
        <v/>
      </c>
      <c r="BE702" s="4" t="str">
        <f>IFERROR(__xludf.DUMMYFUNCTION("""COMPUTED_VALUE"""),"")</f>
        <v/>
      </c>
      <c r="BF702" s="4" t="str">
        <f>IFERROR(__xludf.DUMMYFUNCTION("""COMPUTED_VALUE"""),"")</f>
        <v/>
      </c>
      <c r="BG702" s="4" t="str">
        <f>IFERROR(__xludf.DUMMYFUNCTION("""COMPUTED_VALUE"""),"")</f>
        <v/>
      </c>
      <c r="BH702" s="4" t="s">
        <v>63</v>
      </c>
      <c r="BI702" s="7" t="s">
        <v>63</v>
      </c>
    </row>
    <row r="703" hidden="1">
      <c r="A703" s="4" t="str">
        <f>IFERROR(__xludf.DUMMYFUNCTION("""COMPUTED_VALUE"""),"Usina De Massas")</f>
        <v>Usina De Massas</v>
      </c>
      <c r="B703" s="4" t="str">
        <f>IFERROR(__xludf.DUMMYFUNCTION("""COMPUTED_VALUE"""),"Ana")</f>
        <v>Ana</v>
      </c>
      <c r="C703" s="4" t="str">
        <f>IFERROR(__xludf.DUMMYFUNCTION("""COMPUTED_VALUE"""),"Ana")</f>
        <v>Ana</v>
      </c>
      <c r="D703" s="4" t="str">
        <f>IFERROR(__xludf.DUMMYFUNCTION("""COMPUTED_VALUE"""),"9. Contrato assinado")</f>
        <v>9. Contrato assinado</v>
      </c>
      <c r="E703" s="4" t="str">
        <f>IFERROR(__xludf.DUMMYFUNCTION("""COMPUTED_VALUE""")," Projetos - Contrato assinado &amp; Rollout")</f>
        <v> Projetos - Contrato assinado &amp; Rollout</v>
      </c>
      <c r="F703" s="4" t="str">
        <f>IFERROR(__xludf.DUMMYFUNCTION("""COMPUTED_VALUE"""),"P")</f>
        <v>P</v>
      </c>
      <c r="G703" s="5">
        <f>IFERROR(__xludf.DUMMYFUNCTION("""COMPUTED_VALUE"""),46076.0)</f>
        <v>46076</v>
      </c>
      <c r="H703" s="4" t="str">
        <f>IFERROR(__xludf.DUMMYFUNCTION("""COMPUTED_VALUE"""),"Contrato Assinado, piloto e rollout iniciado")</f>
        <v>Contrato Assinado, piloto e rollout iniciado</v>
      </c>
      <c r="I703" s="4"/>
      <c r="J703" s="4"/>
      <c r="K703" s="6">
        <f>IFERROR(__xludf.DUMMYFUNCTION("""COMPUTED_VALUE"""),45980.0)</f>
        <v>45980</v>
      </c>
      <c r="L703" s="6">
        <f>IFERROR(__xludf.DUMMYFUNCTION("""COMPUTED_VALUE"""),46000.0)</f>
        <v>46000</v>
      </c>
      <c r="M703" s="6">
        <f>IFERROR(__xludf.DUMMYFUNCTION("""COMPUTED_VALUE"""),45994.0)</f>
        <v>45994</v>
      </c>
      <c r="N703" s="6">
        <f>IFERROR(__xludf.DUMMYFUNCTION("""COMPUTED_VALUE"""),46003.0)</f>
        <v>46003</v>
      </c>
      <c r="O703" s="6">
        <f>IFERROR(__xludf.DUMMYFUNCTION("""COMPUTED_VALUE"""),46054.0)</f>
        <v>46054</v>
      </c>
      <c r="P703" s="6">
        <f>IFERROR(__xludf.DUMMYFUNCTION("""COMPUTED_VALUE"""),46049.0)</f>
        <v>46049</v>
      </c>
      <c r="Q703" s="6">
        <f>IFERROR(__xludf.DUMMYFUNCTION("""COMPUTED_VALUE"""),46049.0)</f>
        <v>46049</v>
      </c>
      <c r="R703" s="4"/>
      <c r="S703" s="4"/>
      <c r="T703" s="4"/>
      <c r="U703" s="4"/>
      <c r="V703" s="4"/>
      <c r="W703" s="8">
        <f>IFERROR(__xludf.DUMMYFUNCTION("""COMPUTED_VALUE"""),785.64)</f>
        <v>785.64</v>
      </c>
      <c r="X703" s="4">
        <f>IFERROR(__xludf.DUMMYFUNCTION("""COMPUTED_VALUE"""),12.0)</f>
        <v>12</v>
      </c>
      <c r="Y703" s="8">
        <f>IFERROR(__xludf.DUMMYFUNCTION("""COMPUTED_VALUE"""),0.0)</f>
        <v>0</v>
      </c>
      <c r="Z703" s="8">
        <f>IFERROR(__xludf.DUMMYFUNCTION("""COMPUTED_VALUE"""),0.0)</f>
        <v>0</v>
      </c>
      <c r="AA703" s="4">
        <f>IFERROR(__xludf.DUMMYFUNCTION("""COMPUTED_VALUE"""),19.0)</f>
        <v>19</v>
      </c>
      <c r="AB703" s="4" t="str">
        <f>IFERROR(__xludf.DUMMYFUNCTION("""COMPUTED_VALUE"""),"NÃO")</f>
        <v>NÃO</v>
      </c>
      <c r="AC703" s="4" t="str">
        <f>IFERROR(__xludf.DUMMYFUNCTION("""COMPUTED_VALUE"""),"Não BP")</f>
        <v>Não BP</v>
      </c>
      <c r="AD703" s="4"/>
      <c r="AE703" s="4"/>
      <c r="AF703" s="4"/>
      <c r="AG703" s="4"/>
      <c r="AH703" s="4"/>
      <c r="AI703" s="4"/>
      <c r="AJ703" s="4"/>
      <c r="AK703" s="4"/>
      <c r="AL703" s="4"/>
      <c r="AM703" s="4" t="str">
        <f>IFERROR(__xludf.DUMMYFUNCTION("""COMPUTED_VALUE"""),"FY26")</f>
        <v>FY26</v>
      </c>
      <c r="AN703" s="4"/>
      <c r="AO703" s="4">
        <f>IFERROR(__xludf.DUMMYFUNCTION("""COMPUTED_VALUE"""),140.0)</f>
        <v>140</v>
      </c>
      <c r="AP703" s="4"/>
      <c r="AQ703" s="4"/>
      <c r="AR703" s="4"/>
      <c r="AS703" s="4">
        <f>IFERROR(__xludf.DUMMYFUNCTION("""COMPUTED_VALUE"""),0.0)</f>
        <v>0</v>
      </c>
      <c r="AT703" s="4">
        <f>IFERROR(__xludf.DUMMYFUNCTION("""COMPUTED_VALUE"""),0.0)</f>
        <v>0</v>
      </c>
      <c r="AU703" s="4" t="str">
        <f>IFERROR(__xludf.DUMMYFUNCTION("""COMPUTED_VALUE"""),"Ana")</f>
        <v>Ana</v>
      </c>
      <c r="AV703" s="4">
        <f>IFERROR(__xludf.DUMMYFUNCTION("""COMPUTED_VALUE"""),0.0)</f>
        <v>0</v>
      </c>
      <c r="AW703" s="4">
        <f>IFERROR(__xludf.DUMMYFUNCTION("""COMPUTED_VALUE"""),0.0)</f>
        <v>0</v>
      </c>
      <c r="AX703" s="4">
        <f>IFERROR(__xludf.DUMMYFUNCTION("""COMPUTED_VALUE"""),0.0)</f>
        <v>0</v>
      </c>
      <c r="AY703" s="4">
        <f>IFERROR(__xludf.DUMMYFUNCTION("""COMPUTED_VALUE"""),0.0)</f>
        <v>0</v>
      </c>
      <c r="AZ703" s="4" t="str">
        <f>IFERROR(__xludf.DUMMYFUNCTION("""COMPUTED_VALUE"""),"Chinesa")</f>
        <v>Chinesa</v>
      </c>
      <c r="BA703" s="4" t="str">
        <f>IFERROR(__xludf.DUMMYFUNCTION("""COMPUTED_VALUE"""),"")</f>
        <v/>
      </c>
      <c r="BB703" s="4" t="str">
        <f>IFERROR(__xludf.DUMMYFUNCTION("""COMPUTED_VALUE"""),"")</f>
        <v/>
      </c>
      <c r="BC703" s="4" t="str">
        <f>IFERROR(__xludf.DUMMYFUNCTION("""COMPUTED_VALUE"""),"")</f>
        <v/>
      </c>
      <c r="BD703" s="4" t="str">
        <f>IFERROR(__xludf.DUMMYFUNCTION("""COMPUTED_VALUE"""),"")</f>
        <v/>
      </c>
      <c r="BE703" s="4" t="str">
        <f>IFERROR(__xludf.DUMMYFUNCTION("""COMPUTED_VALUE"""),"")</f>
        <v/>
      </c>
      <c r="BF703" s="4" t="str">
        <f>IFERROR(__xludf.DUMMYFUNCTION("""COMPUTED_VALUE"""),"")</f>
        <v/>
      </c>
      <c r="BG703" s="4" t="str">
        <f>IFERROR(__xludf.DUMMYFUNCTION("""COMPUTED_VALUE"""),"")</f>
        <v/>
      </c>
      <c r="BH703" s="4" t="s">
        <v>63</v>
      </c>
      <c r="BI703" s="7" t="s">
        <v>63</v>
      </c>
    </row>
    <row r="704" hidden="1">
      <c r="A704" s="4" t="str">
        <f>IFERROR(__xludf.DUMMYFUNCTION("""COMPUTED_VALUE"""),"Usina do Hamburguer")</f>
        <v>Usina do Hamburguer</v>
      </c>
      <c r="B704" s="4" t="str">
        <f>IFERROR(__xludf.DUMMYFUNCTION("""COMPUTED_VALUE"""),"Emerson")</f>
        <v>Emerson</v>
      </c>
      <c r="C704" s="4" t="str">
        <f>IFERROR(__xludf.DUMMYFUNCTION("""COMPUTED_VALUE"""),"Emerson")</f>
        <v>Emerson</v>
      </c>
      <c r="D704" s="4" t="str">
        <f>IFERROR(__xludf.DUMMYFUNCTION("""COMPUTED_VALUE"""),"9. Contrato assinado")</f>
        <v>9. Contrato assinado</v>
      </c>
      <c r="E704" s="4"/>
      <c r="F704" s="4" t="str">
        <f>IFERROR(__xludf.DUMMYFUNCTION("""COMPUTED_VALUE"""),"P")</f>
        <v>P</v>
      </c>
      <c r="G704" s="4"/>
      <c r="H704" s="4"/>
      <c r="I704" s="4"/>
      <c r="J704" s="4"/>
      <c r="K704" s="6">
        <f>IFERROR(__xludf.DUMMYFUNCTION("""COMPUTED_VALUE"""),45901.0)</f>
        <v>45901</v>
      </c>
      <c r="L704" s="4"/>
      <c r="M704" s="4"/>
      <c r="N704" s="6">
        <f>IFERROR(__xludf.DUMMYFUNCTION("""COMPUTED_VALUE"""),45991.0)</f>
        <v>45991</v>
      </c>
      <c r="O704" s="4"/>
      <c r="P704" s="4"/>
      <c r="Q704" s="6">
        <f>IFERROR(__xludf.DUMMYFUNCTION("""COMPUTED_VALUE"""),45991.0)</f>
        <v>45991</v>
      </c>
      <c r="R704" s="4"/>
      <c r="S704" s="4"/>
      <c r="T704" s="4"/>
      <c r="U704" s="4"/>
      <c r="V704" s="4"/>
      <c r="W704" s="4"/>
      <c r="X704" s="4"/>
      <c r="Y704" s="4"/>
      <c r="Z704" s="4"/>
      <c r="AA704" s="4">
        <f>IFERROR(__xludf.DUMMYFUNCTION("""COMPUTED_VALUE"""),4.0)</f>
        <v>4</v>
      </c>
      <c r="AB704" s="4"/>
      <c r="AC704" s="4"/>
      <c r="AD704" s="4"/>
      <c r="AE704" s="4"/>
      <c r="AF704" s="4"/>
      <c r="AG704" s="4"/>
      <c r="AH704" s="4"/>
      <c r="AI704" s="4"/>
      <c r="AJ704" s="4"/>
      <c r="AK704" s="4"/>
      <c r="AL704" s="4"/>
      <c r="AM704" s="4" t="str">
        <f>IFERROR(__xludf.DUMMYFUNCTION("""COMPUTED_VALUE"""),"FY26")</f>
        <v>FY26</v>
      </c>
      <c r="AN704" s="4"/>
      <c r="AO704" s="4">
        <f>IFERROR(__xludf.DUMMYFUNCTION("""COMPUTED_VALUE"""),45553.0)</f>
        <v>45553</v>
      </c>
      <c r="AP704" s="4"/>
      <c r="AQ704" s="4"/>
      <c r="AR704" s="4"/>
      <c r="AS704" s="4">
        <f>IFERROR(__xludf.DUMMYFUNCTION("""COMPUTED_VALUE"""),0.0)</f>
        <v>0</v>
      </c>
      <c r="AT704" s="4">
        <f>IFERROR(__xludf.DUMMYFUNCTION("""COMPUTED_VALUE"""),0.0)</f>
        <v>0</v>
      </c>
      <c r="AU704" s="4" t="str">
        <f>IFERROR(__xludf.DUMMYFUNCTION("""COMPUTED_VALUE"""),"Emerson")</f>
        <v>Emerson</v>
      </c>
      <c r="AV704" s="4">
        <f>IFERROR(__xludf.DUMMYFUNCTION("""COMPUTED_VALUE"""),0.0)</f>
        <v>0</v>
      </c>
      <c r="AW704" s="4">
        <f>IFERROR(__xludf.DUMMYFUNCTION("""COMPUTED_VALUE"""),0.0)</f>
        <v>0</v>
      </c>
      <c r="AX704" s="4">
        <f>IFERROR(__xludf.DUMMYFUNCTION("""COMPUTED_VALUE"""),0.0)</f>
        <v>0</v>
      </c>
      <c r="AY704" s="4">
        <f>IFERROR(__xludf.DUMMYFUNCTION("""COMPUTED_VALUE"""),0.0)</f>
        <v>0</v>
      </c>
      <c r="AZ704" s="4" t="str">
        <f>IFERROR(__xludf.DUMMYFUNCTION("""COMPUTED_VALUE"""),"Lanches")</f>
        <v>Lanches</v>
      </c>
      <c r="BA704" s="4" t="str">
        <f>IFERROR(__xludf.DUMMYFUNCTION("""COMPUTED_VALUE"""),"")</f>
        <v/>
      </c>
      <c r="BB704" s="4" t="str">
        <f>IFERROR(__xludf.DUMMYFUNCTION("""COMPUTED_VALUE"""),"")</f>
        <v/>
      </c>
      <c r="BC704" s="4" t="str">
        <f>IFERROR(__xludf.DUMMYFUNCTION("""COMPUTED_VALUE"""),"")</f>
        <v/>
      </c>
      <c r="BD704" s="4" t="str">
        <f>IFERROR(__xludf.DUMMYFUNCTION("""COMPUTED_VALUE"""),"")</f>
        <v/>
      </c>
      <c r="BE704" s="4" t="str">
        <f>IFERROR(__xludf.DUMMYFUNCTION("""COMPUTED_VALUE"""),"")</f>
        <v/>
      </c>
      <c r="BF704" s="4" t="str">
        <f>IFERROR(__xludf.DUMMYFUNCTION("""COMPUTED_VALUE"""),"")</f>
        <v/>
      </c>
      <c r="BG704" s="4" t="str">
        <f>IFERROR(__xludf.DUMMYFUNCTION("""COMPUTED_VALUE"""),"")</f>
        <v/>
      </c>
      <c r="BH704" s="4" t="s">
        <v>63</v>
      </c>
      <c r="BI704" s="7" t="s">
        <v>63</v>
      </c>
    </row>
    <row r="705" hidden="1">
      <c r="A705" s="4" t="str">
        <f>IFERROR(__xludf.DUMMYFUNCTION("""COMPUTED_VALUE"""),"Vassoura Quebrada")</f>
        <v>Vassoura Quebrada</v>
      </c>
      <c r="B705" s="4" t="str">
        <f>IFERROR(__xludf.DUMMYFUNCTION("""COMPUTED_VALUE"""),"Michel")</f>
        <v>Michel</v>
      </c>
      <c r="C705" s="4" t="str">
        <f>IFERROR(__xludf.DUMMYFUNCTION("""COMPUTED_VALUE"""),"Michel")</f>
        <v>Michel</v>
      </c>
      <c r="D705" s="4" t="str">
        <f>IFERROR(__xludf.DUMMYFUNCTION("""COMPUTED_VALUE"""),"12. Orgânico")</f>
        <v>12. Orgânico</v>
      </c>
      <c r="E705" s="4"/>
      <c r="F705" s="4" t="str">
        <f>IFERROR(__xludf.DUMMYFUNCTION("""COMPUTED_VALUE"""),"Sem Classificação")</f>
        <v>Sem Classificação</v>
      </c>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t="str">
        <f>IFERROR(__xludf.DUMMYFUNCTION("""COMPUTED_VALUE"""),"Orgânico 3S")</f>
        <v>Orgânico 3S</v>
      </c>
      <c r="AN705" s="4"/>
      <c r="AO705" s="4">
        <f>IFERROR(__xludf.DUMMYFUNCTION("""COMPUTED_VALUE"""),45553.0)</f>
        <v>45553</v>
      </c>
      <c r="AP705" s="4"/>
      <c r="AQ705" s="4"/>
      <c r="AR705" s="4"/>
      <c r="AS705" s="4">
        <f>IFERROR(__xludf.DUMMYFUNCTION("""COMPUTED_VALUE"""),0.0)</f>
        <v>0</v>
      </c>
      <c r="AT705" s="4">
        <f>IFERROR(__xludf.DUMMYFUNCTION("""COMPUTED_VALUE"""),0.0)</f>
        <v>0</v>
      </c>
      <c r="AU705" s="4" t="str">
        <f>IFERROR(__xludf.DUMMYFUNCTION("""COMPUTED_VALUE"""),"MIchel")</f>
        <v>MIchel</v>
      </c>
      <c r="AV705" s="4">
        <f>IFERROR(__xludf.DUMMYFUNCTION("""COMPUTED_VALUE"""),0.0)</f>
        <v>0</v>
      </c>
      <c r="AW705" s="4">
        <f>IFERROR(__xludf.DUMMYFUNCTION("""COMPUTED_VALUE"""),0.0)</f>
        <v>0</v>
      </c>
      <c r="AX705" s="4">
        <f>IFERROR(__xludf.DUMMYFUNCTION("""COMPUTED_VALUE"""),0.0)</f>
        <v>0</v>
      </c>
      <c r="AY705" s="4"/>
      <c r="AZ705" s="4">
        <f>IFERROR(__xludf.DUMMYFUNCTION("""COMPUTED_VALUE"""),0.0)</f>
        <v>0</v>
      </c>
      <c r="BA705" s="4" t="str">
        <f>IFERROR(__xludf.DUMMYFUNCTION("""COMPUTED_VALUE"""),"")</f>
        <v/>
      </c>
      <c r="BB705" s="4" t="str">
        <f>IFERROR(__xludf.DUMMYFUNCTION("""COMPUTED_VALUE"""),"")</f>
        <v/>
      </c>
      <c r="BC705" s="4" t="str">
        <f>IFERROR(__xludf.DUMMYFUNCTION("""COMPUTED_VALUE"""),"")</f>
        <v/>
      </c>
      <c r="BD705" s="4" t="str">
        <f>IFERROR(__xludf.DUMMYFUNCTION("""COMPUTED_VALUE"""),"")</f>
        <v/>
      </c>
      <c r="BE705" s="4" t="str">
        <f>IFERROR(__xludf.DUMMYFUNCTION("""COMPUTED_VALUE"""),"")</f>
        <v/>
      </c>
      <c r="BF705" s="4" t="str">
        <f>IFERROR(__xludf.DUMMYFUNCTION("""COMPUTED_VALUE"""),"")</f>
        <v/>
      </c>
      <c r="BG705" s="4" t="str">
        <f>IFERROR(__xludf.DUMMYFUNCTION("""COMPUTED_VALUE"""),"")</f>
        <v/>
      </c>
      <c r="BH705" s="4" t="s">
        <v>63</v>
      </c>
      <c r="BI705" s="7" t="s">
        <v>63</v>
      </c>
    </row>
    <row r="706" hidden="1">
      <c r="A706" s="4" t="str">
        <f>IFERROR(__xludf.DUMMYFUNCTION("""COMPUTED_VALUE"""),"Veridiana Pizzaria")</f>
        <v>Veridiana Pizzaria</v>
      </c>
      <c r="B706" s="4" t="str">
        <f>IFERROR(__xludf.DUMMYFUNCTION("""COMPUTED_VALUE"""),"Ana")</f>
        <v>Ana</v>
      </c>
      <c r="C706" s="4" t="str">
        <f>IFERROR(__xludf.DUMMYFUNCTION("""COMPUTED_VALUE"""),"Ana")</f>
        <v>Ana</v>
      </c>
      <c r="D706" s="4" t="str">
        <f>IFERROR(__xludf.DUMMYFUNCTION("""COMPUTED_VALUE"""),"10. Perdido")</f>
        <v>10. Perdido</v>
      </c>
      <c r="E706" s="4" t="str">
        <f>IFERROR(__xludf.DUMMYFUNCTION("""COMPUTED_VALUE"""),"Perdido -  Momento do restaurante não favorável")</f>
        <v>Perdido -  Momento do restaurante não favorável</v>
      </c>
      <c r="F706" s="4" t="str">
        <f>IFERROR(__xludf.DUMMYFUNCTION("""COMPUTED_VALUE"""),"P")</f>
        <v>P</v>
      </c>
      <c r="G706" s="5">
        <f>IFERROR(__xludf.DUMMYFUNCTION("""COMPUTED_VALUE"""),46076.0)</f>
        <v>46076</v>
      </c>
      <c r="H706" s="4" t="str">
        <f>IFERROR(__xludf.DUMMYFUNCTION("""COMPUTED_VALUE"""),"Abordado porém não deu abertura para falar sobre iFood Salão.")</f>
        <v>Abordado porém não deu abertura para falar sobre iFood Salão.</v>
      </c>
      <c r="I706" s="4"/>
      <c r="J706" s="4"/>
      <c r="K706" s="6">
        <f>IFERROR(__xludf.DUMMYFUNCTION("""COMPUTED_VALUE"""),45901.0)</f>
        <v>45901</v>
      </c>
      <c r="L706" s="4"/>
      <c r="M706" s="4"/>
      <c r="N706" s="4"/>
      <c r="O706" s="4"/>
      <c r="P706" s="4"/>
      <c r="Q706" s="4"/>
      <c r="R706" s="6">
        <f>IFERROR(__xludf.DUMMYFUNCTION("""COMPUTED_VALUE"""),46077.57037690972)</f>
        <v>46077.57038</v>
      </c>
      <c r="S706" s="4"/>
      <c r="T706" s="4"/>
      <c r="U706" s="4"/>
      <c r="V706" s="4" t="str">
        <f>IFERROR(__xludf.DUMMYFUNCTION("""COMPUTED_VALUE"""),"Sem interesse em mudar de PDV")</f>
        <v>Sem interesse em mudar de PDV</v>
      </c>
      <c r="W706" s="4"/>
      <c r="X706" s="4"/>
      <c r="Y706" s="4"/>
      <c r="Z706" s="4"/>
      <c r="AA706" s="4">
        <f>IFERROR(__xludf.DUMMYFUNCTION("""COMPUTED_VALUE"""),3.0)</f>
        <v>3</v>
      </c>
      <c r="AB706" s="4"/>
      <c r="AC706" s="4"/>
      <c r="AD706" s="4"/>
      <c r="AE706" s="4"/>
      <c r="AF706" s="4"/>
      <c r="AG706" s="4"/>
      <c r="AH706" s="4"/>
      <c r="AI706" s="4"/>
      <c r="AJ706" s="4"/>
      <c r="AK706" s="4"/>
      <c r="AL706" s="4"/>
      <c r="AM706" s="4" t="str">
        <f>IFERROR(__xludf.DUMMYFUNCTION("""COMPUTED_VALUE"""),"FY26")</f>
        <v>FY26</v>
      </c>
      <c r="AN706" s="4" t="str">
        <f>IFERROR(__xludf.DUMMYFUNCTION("""COMPUTED_VALUE"""),"Comer Fora")</f>
        <v>Comer Fora</v>
      </c>
      <c r="AO706" s="4">
        <f>IFERROR(__xludf.DUMMYFUNCTION("""COMPUTED_VALUE"""),140.0)</f>
        <v>140</v>
      </c>
      <c r="AP706" s="4"/>
      <c r="AQ706" s="4"/>
      <c r="AR706" s="4"/>
      <c r="AS706" s="4" t="str">
        <f>IFERROR(__xludf.DUMMYFUNCTION("""COMPUTED_VALUE"""),"NATHALIE MERTENS")</f>
        <v>NATHALIE MERTENS</v>
      </c>
      <c r="AT706" s="4" t="str">
        <f>IFERROR(__xludf.DUMMYFUNCTION("""COMPUTED_VALUE"""),"MARIANA KATZ")</f>
        <v>MARIANA KATZ</v>
      </c>
      <c r="AU706" s="4" t="str">
        <f>IFERROR(__xludf.DUMMYFUNCTION("""COMPUTED_VALUE"""),"Ana")</f>
        <v>Ana</v>
      </c>
      <c r="AV706" s="4" t="str">
        <f>IFERROR(__xludf.DUMMYFUNCTION("""COMPUTED_VALUE"""),"Comer Fora-")</f>
        <v>Comer Fora-</v>
      </c>
      <c r="AW706" s="20" t="str">
        <f>IFERROR(__xludf.DUMMYFUNCTION("""COMPUTED_VALUE"""),"P e M - pipe")</f>
        <v>P e M - pipe</v>
      </c>
      <c r="AX706" s="4"/>
      <c r="AY706" s="4"/>
      <c r="AZ706" s="4" t="str">
        <f>IFERROR(__xludf.DUMMYFUNCTION("""COMPUTED_VALUE"""),"Pizza")</f>
        <v>Pizza</v>
      </c>
      <c r="BA706" s="4" t="str">
        <f>IFERROR(__xludf.DUMMYFUNCTION("""COMPUTED_VALUE"""),"")</f>
        <v/>
      </c>
      <c r="BB706" s="4" t="str">
        <f>IFERROR(__xludf.DUMMYFUNCTION("""COMPUTED_VALUE"""),"")</f>
        <v/>
      </c>
      <c r="BC706" s="4" t="str">
        <f>IFERROR(__xludf.DUMMYFUNCTION("""COMPUTED_VALUE"""),"")</f>
        <v/>
      </c>
      <c r="BD706" s="4" t="str">
        <f>IFERROR(__xludf.DUMMYFUNCTION("""COMPUTED_VALUE"""),"")</f>
        <v/>
      </c>
      <c r="BE706" s="4" t="str">
        <f>IFERROR(__xludf.DUMMYFUNCTION("""COMPUTED_VALUE"""),"")</f>
        <v/>
      </c>
      <c r="BF706" s="4" t="str">
        <f>IFERROR(__xludf.DUMMYFUNCTION("""COMPUTED_VALUE"""),"")</f>
        <v/>
      </c>
      <c r="BG706" s="4" t="str">
        <f>IFERROR(__xludf.DUMMYFUNCTION("""COMPUTED_VALUE"""),"")</f>
        <v/>
      </c>
      <c r="BH706" s="4" t="s">
        <v>64</v>
      </c>
      <c r="BI706" s="7">
        <v>1.0</v>
      </c>
    </row>
    <row r="707" hidden="1">
      <c r="A707" s="4" t="str">
        <f>IFERROR(__xludf.DUMMYFUNCTION("""COMPUTED_VALUE"""),"Vero Latte")</f>
        <v>Vero Latte</v>
      </c>
      <c r="B707" s="4" t="str">
        <f>IFERROR(__xludf.DUMMYFUNCTION("""COMPUTED_VALUE"""),"Diego Santos")</f>
        <v>Diego Santos</v>
      </c>
      <c r="C707" s="4" t="str">
        <f>IFERROR(__xludf.DUMMYFUNCTION("""COMPUTED_VALUE"""),"Diego Santos")</f>
        <v>Diego Santos</v>
      </c>
      <c r="D707" s="4" t="str">
        <f>IFERROR(__xludf.DUMMYFUNCTION("""COMPUTED_VALUE"""),"10. Perdido")</f>
        <v>10. Perdido</v>
      </c>
      <c r="E707" s="4" t="str">
        <f>IFERROR(__xludf.DUMMYFUNCTION("""COMPUTED_VALUE"""),"Perdido - Sem perfil LA / 3SCheckout / PDV próprio")</f>
        <v>Perdido - Sem perfil LA / 3SCheckout / PDV próprio</v>
      </c>
      <c r="F707" s="4" t="str">
        <f>IFERROR(__xludf.DUMMYFUNCTION("""COMPUTED_VALUE"""),"P")</f>
        <v>P</v>
      </c>
      <c r="G707" s="5">
        <f>IFERROR(__xludf.DUMMYFUNCTION("""COMPUTED_VALUE"""),46076.0)</f>
        <v>46076</v>
      </c>
      <c r="H707" s="4" t="str">
        <f>IFERROR(__xludf.DUMMYFUNCTION("""COMPUTED_VALUE"""),"Sem perfil LA.")</f>
        <v>Sem perfil LA.</v>
      </c>
      <c r="I707" s="4"/>
      <c r="J707" s="4"/>
      <c r="K707" s="4"/>
      <c r="L707" s="4"/>
      <c r="M707" s="4"/>
      <c r="N707" s="4"/>
      <c r="O707" s="4"/>
      <c r="P707" s="4"/>
      <c r="Q707" s="4"/>
      <c r="R707" s="6">
        <f>IFERROR(__xludf.DUMMYFUNCTION("""COMPUTED_VALUE"""),46126.38289252315)</f>
        <v>46126.38289</v>
      </c>
      <c r="S707" s="4"/>
      <c r="T707" s="4"/>
      <c r="U707" s="4"/>
      <c r="V707" s="4" t="str">
        <f>IFERROR(__xludf.DUMMYFUNCTION("""COMPUTED_VALUE"""),"Sem perfil LA")</f>
        <v>Sem perfil LA</v>
      </c>
      <c r="W707" s="4"/>
      <c r="X707" s="4"/>
      <c r="Y707" s="4"/>
      <c r="Z707" s="4"/>
      <c r="AA707" s="4">
        <f>IFERROR(__xludf.DUMMYFUNCTION("""COMPUTED_VALUE"""),2.0)</f>
        <v>2</v>
      </c>
      <c r="AB707" s="4" t="str">
        <f>IFERROR(__xludf.DUMMYFUNCTION("""COMPUTED_VALUE"""),"NÃO")</f>
        <v>NÃO</v>
      </c>
      <c r="AC707" s="4" t="str">
        <f>IFERROR(__xludf.DUMMYFUNCTION("""COMPUTED_VALUE"""),"Não BP")</f>
        <v>Não BP</v>
      </c>
      <c r="AD707" s="4"/>
      <c r="AE707" s="4"/>
      <c r="AF707" s="4"/>
      <c r="AG707" s="4"/>
      <c r="AH707" s="4"/>
      <c r="AI707" s="4"/>
      <c r="AJ707" s="4"/>
      <c r="AK707" s="4"/>
      <c r="AL707" s="4"/>
      <c r="AM707" s="4" t="str">
        <f>IFERROR(__xludf.DUMMYFUNCTION("""COMPUTED_VALUE"""),"FY26")</f>
        <v>FY26</v>
      </c>
      <c r="AN707" s="4"/>
      <c r="AO707" s="4">
        <f>IFERROR(__xludf.DUMMYFUNCTION("""COMPUTED_VALUE"""),140.0)</f>
        <v>140</v>
      </c>
      <c r="AP707" s="4"/>
      <c r="AQ707" s="4"/>
      <c r="AR707" s="4"/>
      <c r="AS707" s="4">
        <f>IFERROR(__xludf.DUMMYFUNCTION("""COMPUTED_VALUE"""),0.0)</f>
        <v>0</v>
      </c>
      <c r="AT707" s="4">
        <f>IFERROR(__xludf.DUMMYFUNCTION("""COMPUTED_VALUE"""),0.0)</f>
        <v>0</v>
      </c>
      <c r="AU707" s="4" t="str">
        <f>IFERROR(__xludf.DUMMYFUNCTION("""COMPUTED_VALUE"""),"Diego")</f>
        <v>Diego</v>
      </c>
      <c r="AV707" s="4">
        <f>IFERROR(__xludf.DUMMYFUNCTION("""COMPUTED_VALUE"""),0.0)</f>
        <v>0</v>
      </c>
      <c r="AW707" s="4">
        <f>IFERROR(__xludf.DUMMYFUNCTION("""COMPUTED_VALUE"""),0.0)</f>
        <v>0</v>
      </c>
      <c r="AX707" s="4">
        <f>IFERROR(__xludf.DUMMYFUNCTION("""COMPUTED_VALUE"""),0.0)</f>
        <v>0</v>
      </c>
      <c r="AY707" s="4"/>
      <c r="AZ707" s="4" t="str">
        <f>IFERROR(__xludf.DUMMYFUNCTION("""COMPUTED_VALUE"""),"#N/A")</f>
        <v>#N/A</v>
      </c>
      <c r="BA707" s="4" t="str">
        <f>IFERROR(__xludf.DUMMYFUNCTION("""COMPUTED_VALUE"""),"")</f>
        <v/>
      </c>
      <c r="BB707" s="4" t="str">
        <f>IFERROR(__xludf.DUMMYFUNCTION("""COMPUTED_VALUE"""),"")</f>
        <v/>
      </c>
      <c r="BC707" s="4" t="str">
        <f>IFERROR(__xludf.DUMMYFUNCTION("""COMPUTED_VALUE"""),"")</f>
        <v/>
      </c>
      <c r="BD707" s="4" t="str">
        <f>IFERROR(__xludf.DUMMYFUNCTION("""COMPUTED_VALUE"""),"")</f>
        <v/>
      </c>
      <c r="BE707" s="4" t="str">
        <f>IFERROR(__xludf.DUMMYFUNCTION("""COMPUTED_VALUE"""),"")</f>
        <v/>
      </c>
      <c r="BF707" s="4" t="str">
        <f>IFERROR(__xludf.DUMMYFUNCTION("""COMPUTED_VALUE"""),"")</f>
        <v/>
      </c>
      <c r="BG707" s="4" t="str">
        <f>IFERROR(__xludf.DUMMYFUNCTION("""COMPUTED_VALUE"""),"")</f>
        <v/>
      </c>
      <c r="BH707" s="4" t="s">
        <v>63</v>
      </c>
      <c r="BI707" s="7" t="s">
        <v>63</v>
      </c>
    </row>
    <row r="708" hidden="1">
      <c r="A708" s="4" t="str">
        <f>IFERROR(__xludf.DUMMYFUNCTION("""COMPUTED_VALUE"""),"Viena")</f>
        <v>Viena</v>
      </c>
      <c r="B708" s="4" t="str">
        <f>IFERROR(__xludf.DUMMYFUNCTION("""COMPUTED_VALUE"""),"Michel")</f>
        <v>Michel</v>
      </c>
      <c r="C708" s="4" t="str">
        <f>IFERROR(__xludf.DUMMYFUNCTION("""COMPUTED_VALUE"""),"Michel")</f>
        <v>Michel</v>
      </c>
      <c r="D708" s="4" t="str">
        <f>IFERROR(__xludf.DUMMYFUNCTION("""COMPUTED_VALUE"""),"12. Orgânico")</f>
        <v>12. Orgânico</v>
      </c>
      <c r="E708" s="4"/>
      <c r="F708" s="4" t="str">
        <f>IFERROR(__xludf.DUMMYFUNCTION("""COMPUTED_VALUE"""),"P")</f>
        <v>P</v>
      </c>
      <c r="G708" s="4"/>
      <c r="H708" s="4"/>
      <c r="I708" s="4"/>
      <c r="J708" s="4"/>
      <c r="K708" s="4"/>
      <c r="L708" s="4"/>
      <c r="M708" s="4"/>
      <c r="N708" s="4"/>
      <c r="O708" s="4"/>
      <c r="P708" s="4"/>
      <c r="Q708" s="4"/>
      <c r="R708" s="4"/>
      <c r="S708" s="4"/>
      <c r="T708" s="4"/>
      <c r="U708" s="4"/>
      <c r="V708" s="4"/>
      <c r="W708" s="4"/>
      <c r="X708" s="4"/>
      <c r="Y708" s="4"/>
      <c r="Z708" s="4"/>
      <c r="AA708" s="4">
        <f>IFERROR(__xludf.DUMMYFUNCTION("""COMPUTED_VALUE"""),14.0)</f>
        <v>14</v>
      </c>
      <c r="AB708" s="4"/>
      <c r="AC708" s="4"/>
      <c r="AD708" s="4"/>
      <c r="AE708" s="4"/>
      <c r="AF708" s="4"/>
      <c r="AG708" s="4"/>
      <c r="AH708" s="4"/>
      <c r="AI708" s="4"/>
      <c r="AJ708" s="4"/>
      <c r="AK708" s="4"/>
      <c r="AL708" s="4"/>
      <c r="AM708" s="4" t="str">
        <f>IFERROR(__xludf.DUMMYFUNCTION("""COMPUTED_VALUE"""),"Orgânico 3S")</f>
        <v>Orgânico 3S</v>
      </c>
      <c r="AN708" s="4"/>
      <c r="AO708" s="4">
        <f>IFERROR(__xludf.DUMMYFUNCTION("""COMPUTED_VALUE"""),45553.0)</f>
        <v>45553</v>
      </c>
      <c r="AP708" s="4"/>
      <c r="AQ708" s="4"/>
      <c r="AR708" s="4"/>
      <c r="AS708" s="4" t="str">
        <f>IFERROR(__xludf.DUMMYFUNCTION("""COMPUTED_VALUE"""),"ISIS MOSTAFA")</f>
        <v>ISIS MOSTAFA</v>
      </c>
      <c r="AT708" s="4" t="str">
        <f>IFERROR(__xludf.DUMMYFUNCTION("""COMPUTED_VALUE"""),"JOAO GRIMALDI")</f>
        <v>JOAO GRIMALDI</v>
      </c>
      <c r="AU708" s="4" t="str">
        <f>IFERROR(__xludf.DUMMYFUNCTION("""COMPUTED_VALUE"""),"Michel")</f>
        <v>Michel</v>
      </c>
      <c r="AV708" s="4">
        <f>IFERROR(__xludf.DUMMYFUNCTION("""COMPUTED_VALUE"""),0.0)</f>
        <v>0</v>
      </c>
      <c r="AW708" s="4">
        <f>IFERROR(__xludf.DUMMYFUNCTION("""COMPUTED_VALUE"""),0.0)</f>
        <v>0</v>
      </c>
      <c r="AX708" s="4">
        <f>IFERROR(__xludf.DUMMYFUNCTION("""COMPUTED_VALUE"""),0.0)</f>
        <v>0</v>
      </c>
      <c r="AY708" s="4"/>
      <c r="AZ708" s="4" t="str">
        <f>IFERROR(__xludf.DUMMYFUNCTION("""COMPUTED_VALUE"""),"Brasileira")</f>
        <v>Brasileira</v>
      </c>
      <c r="BA708" s="4" t="str">
        <f>IFERROR(__xludf.DUMMYFUNCTION("""COMPUTED_VALUE"""),"")</f>
        <v/>
      </c>
      <c r="BB708" s="4" t="str">
        <f>IFERROR(__xludf.DUMMYFUNCTION("""COMPUTED_VALUE"""),"")</f>
        <v/>
      </c>
      <c r="BC708" s="4" t="str">
        <f>IFERROR(__xludf.DUMMYFUNCTION("""COMPUTED_VALUE"""),"")</f>
        <v/>
      </c>
      <c r="BD708" s="4" t="str">
        <f>IFERROR(__xludf.DUMMYFUNCTION("""COMPUTED_VALUE"""),"")</f>
        <v/>
      </c>
      <c r="BE708" s="4" t="str">
        <f>IFERROR(__xludf.DUMMYFUNCTION("""COMPUTED_VALUE"""),"")</f>
        <v/>
      </c>
      <c r="BF708" s="4" t="str">
        <f>IFERROR(__xludf.DUMMYFUNCTION("""COMPUTED_VALUE"""),"")</f>
        <v/>
      </c>
      <c r="BG708" s="4" t="str">
        <f>IFERROR(__xludf.DUMMYFUNCTION("""COMPUTED_VALUE"""),"")</f>
        <v/>
      </c>
      <c r="BH708" s="4" t="s">
        <v>63</v>
      </c>
      <c r="BI708" s="7" t="s">
        <v>63</v>
      </c>
    </row>
    <row r="709" hidden="1">
      <c r="A709" s="4" t="str">
        <f>IFERROR(__xludf.DUMMYFUNCTION("""COMPUTED_VALUE"""),"Vilage Cesar (Arroz com Feijão)")</f>
        <v>Vilage Cesar (Arroz com Feijão)</v>
      </c>
      <c r="B709" s="4" t="str">
        <f>IFERROR(__xludf.DUMMYFUNCTION("""COMPUTED_VALUE"""),"Diego Santos")</f>
        <v>Diego Santos</v>
      </c>
      <c r="C709" s="4" t="str">
        <f>IFERROR(__xludf.DUMMYFUNCTION("""COMPUTED_VALUE"""),"Diego Santos")</f>
        <v>Diego Santos</v>
      </c>
      <c r="D709" s="4" t="str">
        <f>IFERROR(__xludf.DUMMYFUNCTION("""COMPUTED_VALUE"""),"9. Contrato assinado")</f>
        <v>9. Contrato assinado</v>
      </c>
      <c r="E709" s="4" t="str">
        <f>IFERROR(__xludf.DUMMYFUNCTION("""COMPUTED_VALUE""")," Projetos - Contrato assinado &amp; Rollout")</f>
        <v> Projetos - Contrato assinado &amp; Rollout</v>
      </c>
      <c r="F709" s="4" t="str">
        <f>IFERROR(__xludf.DUMMYFUNCTION("""COMPUTED_VALUE"""),"P")</f>
        <v>P</v>
      </c>
      <c r="G709" s="5">
        <f>IFERROR(__xludf.DUMMYFUNCTION("""COMPUTED_VALUE"""),46076.0)</f>
        <v>46076</v>
      </c>
      <c r="H709" s="4" t="str">
        <f>IFERROR(__xludf.DUMMYFUNCTION("""COMPUTED_VALUE"""),"Contrato assinado")</f>
        <v>Contrato assinado</v>
      </c>
      <c r="I709" s="4"/>
      <c r="J709" s="4"/>
      <c r="K709" s="6">
        <f>IFERROR(__xludf.DUMMYFUNCTION("""COMPUTED_VALUE"""),45931.0)</f>
        <v>45931</v>
      </c>
      <c r="L709" s="4"/>
      <c r="M709" s="4"/>
      <c r="N709" s="6">
        <f>IFERROR(__xludf.DUMMYFUNCTION("""COMPUTED_VALUE"""),45940.0)</f>
        <v>45940</v>
      </c>
      <c r="O709" s="4"/>
      <c r="P709" s="4"/>
      <c r="Q709" s="6">
        <f>IFERROR(__xludf.DUMMYFUNCTION("""COMPUTED_VALUE"""),45940.0)</f>
        <v>45940</v>
      </c>
      <c r="R709" s="4"/>
      <c r="S709" s="4"/>
      <c r="T709" s="4"/>
      <c r="U709" s="4"/>
      <c r="V709" s="4"/>
      <c r="W709" s="4"/>
      <c r="X709" s="4"/>
      <c r="Y709" s="4"/>
      <c r="Z709" s="4"/>
      <c r="AA709" s="4">
        <f>IFERROR(__xludf.DUMMYFUNCTION("""COMPUTED_VALUE"""),1.0)</f>
        <v>1</v>
      </c>
      <c r="AB709" s="4"/>
      <c r="AC709" s="4"/>
      <c r="AD709" s="4"/>
      <c r="AE709" s="4"/>
      <c r="AF709" s="4"/>
      <c r="AG709" s="4"/>
      <c r="AH709" s="4"/>
      <c r="AI709" s="4"/>
      <c r="AJ709" s="4"/>
      <c r="AK709" s="4"/>
      <c r="AL709" s="4"/>
      <c r="AM709" s="4" t="str">
        <f>IFERROR(__xludf.DUMMYFUNCTION("""COMPUTED_VALUE"""),"FY26")</f>
        <v>FY26</v>
      </c>
      <c r="AN709" s="4"/>
      <c r="AO709" s="4">
        <f>IFERROR(__xludf.DUMMYFUNCTION("""COMPUTED_VALUE"""),140.0)</f>
        <v>140</v>
      </c>
      <c r="AP709" s="4"/>
      <c r="AQ709" s="4"/>
      <c r="AR709" s="4"/>
      <c r="AS709" s="4">
        <f>IFERROR(__xludf.DUMMYFUNCTION("""COMPUTED_VALUE"""),0.0)</f>
        <v>0</v>
      </c>
      <c r="AT709" s="4">
        <f>IFERROR(__xludf.DUMMYFUNCTION("""COMPUTED_VALUE"""),0.0)</f>
        <v>0</v>
      </c>
      <c r="AU709" s="4" t="str">
        <f>IFERROR(__xludf.DUMMYFUNCTION("""COMPUTED_VALUE"""),"Diego")</f>
        <v>Diego</v>
      </c>
      <c r="AV709" s="4">
        <f>IFERROR(__xludf.DUMMYFUNCTION("""COMPUTED_VALUE"""),0.0)</f>
        <v>0</v>
      </c>
      <c r="AW709" s="4">
        <f>IFERROR(__xludf.DUMMYFUNCTION("""COMPUTED_VALUE"""),0.0)</f>
        <v>0</v>
      </c>
      <c r="AX709" s="4">
        <f>IFERROR(__xludf.DUMMYFUNCTION("""COMPUTED_VALUE"""),0.0)</f>
        <v>0</v>
      </c>
      <c r="AY709" s="4">
        <f>IFERROR(__xludf.DUMMYFUNCTION("""COMPUTED_VALUE"""),0.0)</f>
        <v>0</v>
      </c>
      <c r="AZ709" s="4" t="str">
        <f>IFERROR(__xludf.DUMMYFUNCTION("""COMPUTED_VALUE"""),"#N/A")</f>
        <v>#N/A</v>
      </c>
      <c r="BA709" s="4" t="str">
        <f>IFERROR(__xludf.DUMMYFUNCTION("""COMPUTED_VALUE"""),"")</f>
        <v/>
      </c>
      <c r="BB709" s="4" t="str">
        <f>IFERROR(__xludf.DUMMYFUNCTION("""COMPUTED_VALUE"""),"")</f>
        <v/>
      </c>
      <c r="BC709" s="4" t="str">
        <f>IFERROR(__xludf.DUMMYFUNCTION("""COMPUTED_VALUE"""),"")</f>
        <v/>
      </c>
      <c r="BD709" s="4" t="str">
        <f>IFERROR(__xludf.DUMMYFUNCTION("""COMPUTED_VALUE"""),"")</f>
        <v/>
      </c>
      <c r="BE709" s="4" t="str">
        <f>IFERROR(__xludf.DUMMYFUNCTION("""COMPUTED_VALUE"""),"")</f>
        <v/>
      </c>
      <c r="BF709" s="4" t="str">
        <f>IFERROR(__xludf.DUMMYFUNCTION("""COMPUTED_VALUE"""),"")</f>
        <v/>
      </c>
      <c r="BG709" s="4" t="str">
        <f>IFERROR(__xludf.DUMMYFUNCTION("""COMPUTED_VALUE"""),"")</f>
        <v/>
      </c>
      <c r="BH709" s="4" t="s">
        <v>63</v>
      </c>
      <c r="BI709" s="7" t="s">
        <v>63</v>
      </c>
    </row>
    <row r="710" hidden="1">
      <c r="A710" s="4" t="str">
        <f>IFERROR(__xludf.DUMMYFUNCTION("""COMPUTED_VALUE"""),"Villa Di Cesar")</f>
        <v>Villa Di Cesar</v>
      </c>
      <c r="B710" s="4" t="str">
        <f>IFERROR(__xludf.DUMMYFUNCTION("""COMPUTED_VALUE"""),"Michel")</f>
        <v>Michel</v>
      </c>
      <c r="C710" s="4" t="str">
        <f>IFERROR(__xludf.DUMMYFUNCTION("""COMPUTED_VALUE"""),"Michel")</f>
        <v>Michel</v>
      </c>
      <c r="D710" s="4" t="str">
        <f>IFERROR(__xludf.DUMMYFUNCTION("""COMPUTED_VALUE"""),"12. Orgânico")</f>
        <v>12. Orgânico</v>
      </c>
      <c r="E710" s="4"/>
      <c r="F710" s="4" t="str">
        <f>IFERROR(__xludf.DUMMYFUNCTION("""COMPUTED_VALUE"""),"P")</f>
        <v>P</v>
      </c>
      <c r="G710" s="4"/>
      <c r="H710" s="4"/>
      <c r="I710" s="4"/>
      <c r="J710" s="4"/>
      <c r="K710" s="6">
        <f>IFERROR(__xludf.DUMMYFUNCTION("""COMPUTED_VALUE"""),45962.0)</f>
        <v>45962</v>
      </c>
      <c r="L710" s="4"/>
      <c r="M710" s="4"/>
      <c r="N710" s="6">
        <f>IFERROR(__xludf.DUMMYFUNCTION("""COMPUTED_VALUE"""),45971.0)</f>
        <v>45971</v>
      </c>
      <c r="O710" s="4"/>
      <c r="P710" s="4"/>
      <c r="Q710" s="6">
        <f>IFERROR(__xludf.DUMMYFUNCTION("""COMPUTED_VALUE"""),45971.0)</f>
        <v>45971</v>
      </c>
      <c r="R710" s="4"/>
      <c r="S710" s="4"/>
      <c r="T710" s="6">
        <f>IFERROR(__xludf.DUMMYFUNCTION("""COMPUTED_VALUE"""),46076.60970519676)</f>
        <v>46076.60971</v>
      </c>
      <c r="U710" s="4"/>
      <c r="V710" s="4"/>
      <c r="W710" s="4"/>
      <c r="X710" s="4"/>
      <c r="Y710" s="4"/>
      <c r="Z710" s="4"/>
      <c r="AA710" s="4">
        <f>IFERROR(__xludf.DUMMYFUNCTION("""COMPUTED_VALUE"""),1.0)</f>
        <v>1</v>
      </c>
      <c r="AB710" s="4"/>
      <c r="AC710" s="4"/>
      <c r="AD710" s="4"/>
      <c r="AE710" s="4"/>
      <c r="AF710" s="4"/>
      <c r="AG710" s="4"/>
      <c r="AH710" s="4"/>
      <c r="AI710" s="4"/>
      <c r="AJ710" s="4"/>
      <c r="AK710" s="4"/>
      <c r="AL710" s="4"/>
      <c r="AM710" s="4" t="str">
        <f>IFERROR(__xludf.DUMMYFUNCTION("""COMPUTED_VALUE"""),"Orgânico 3S")</f>
        <v>Orgânico 3S</v>
      </c>
      <c r="AN710" s="4"/>
      <c r="AO710" s="4">
        <f>IFERROR(__xludf.DUMMYFUNCTION("""COMPUTED_VALUE"""),45553.0)</f>
        <v>45553</v>
      </c>
      <c r="AP710" s="4"/>
      <c r="AQ710" s="4"/>
      <c r="AR710" s="4"/>
      <c r="AS710" s="4">
        <f>IFERROR(__xludf.DUMMYFUNCTION("""COMPUTED_VALUE"""),0.0)</f>
        <v>0</v>
      </c>
      <c r="AT710" s="4">
        <f>IFERROR(__xludf.DUMMYFUNCTION("""COMPUTED_VALUE"""),0.0)</f>
        <v>0</v>
      </c>
      <c r="AU710" s="4" t="str">
        <f>IFERROR(__xludf.DUMMYFUNCTION("""COMPUTED_VALUE"""),"Michel")</f>
        <v>Michel</v>
      </c>
      <c r="AV710" s="4">
        <f>IFERROR(__xludf.DUMMYFUNCTION("""COMPUTED_VALUE"""),0.0)</f>
        <v>0</v>
      </c>
      <c r="AW710" s="4">
        <f>IFERROR(__xludf.DUMMYFUNCTION("""COMPUTED_VALUE"""),0.0)</f>
        <v>0</v>
      </c>
      <c r="AX710" s="4">
        <f>IFERROR(__xludf.DUMMYFUNCTION("""COMPUTED_VALUE"""),0.0)</f>
        <v>0</v>
      </c>
      <c r="AY710" s="4"/>
      <c r="AZ710" s="4" t="str">
        <f>IFERROR(__xludf.DUMMYFUNCTION("""COMPUTED_VALUE"""),"#N/A")</f>
        <v>#N/A</v>
      </c>
      <c r="BA710" s="4" t="str">
        <f>IFERROR(__xludf.DUMMYFUNCTION("""COMPUTED_VALUE"""),"")</f>
        <v/>
      </c>
      <c r="BB710" s="4" t="str">
        <f>IFERROR(__xludf.DUMMYFUNCTION("""COMPUTED_VALUE"""),"")</f>
        <v/>
      </c>
      <c r="BC710" s="4" t="str">
        <f>IFERROR(__xludf.DUMMYFUNCTION("""COMPUTED_VALUE"""),"")</f>
        <v/>
      </c>
      <c r="BD710" s="4" t="str">
        <f>IFERROR(__xludf.DUMMYFUNCTION("""COMPUTED_VALUE"""),"")</f>
        <v/>
      </c>
      <c r="BE710" s="4" t="str">
        <f>IFERROR(__xludf.DUMMYFUNCTION("""COMPUTED_VALUE"""),"")</f>
        <v/>
      </c>
      <c r="BF710" s="4" t="str">
        <f>IFERROR(__xludf.DUMMYFUNCTION("""COMPUTED_VALUE"""),"")</f>
        <v/>
      </c>
      <c r="BG710" s="4" t="str">
        <f>IFERROR(__xludf.DUMMYFUNCTION("""COMPUTED_VALUE"""),"")</f>
        <v/>
      </c>
      <c r="BH710" s="4" t="s">
        <v>63</v>
      </c>
      <c r="BI710" s="7" t="s">
        <v>63</v>
      </c>
    </row>
    <row r="711" hidden="1">
      <c r="A711" s="4" t="str">
        <f>IFERROR(__xludf.DUMMYFUNCTION("""COMPUTED_VALUE"""),"Votre Brasserie (Grupo Teus)")</f>
        <v>Votre Brasserie (Grupo Teus)</v>
      </c>
      <c r="B711" s="4" t="str">
        <f>IFERROR(__xludf.DUMMYFUNCTION("""COMPUTED_VALUE"""),"Michel")</f>
        <v>Michel</v>
      </c>
      <c r="C711" s="4" t="str">
        <f>IFERROR(__xludf.DUMMYFUNCTION("""COMPUTED_VALUE"""),"Michel")</f>
        <v>Michel</v>
      </c>
      <c r="D711" s="4" t="str">
        <f>IFERROR(__xludf.DUMMYFUNCTION("""COMPUTED_VALUE"""),"12. Orgânico")</f>
        <v>12. Orgânico</v>
      </c>
      <c r="E711" s="4"/>
      <c r="F711" s="4" t="str">
        <f>IFERROR(__xludf.DUMMYFUNCTION("""COMPUTED_VALUE"""),"P")</f>
        <v>P</v>
      </c>
      <c r="G711" s="4"/>
      <c r="H711" s="4"/>
      <c r="I711" s="4"/>
      <c r="J711" s="4"/>
      <c r="K711" s="6">
        <f>IFERROR(__xludf.DUMMYFUNCTION("""COMPUTED_VALUE"""),45807.0)</f>
        <v>45807</v>
      </c>
      <c r="L711" s="4"/>
      <c r="M711" s="4"/>
      <c r="N711" s="6">
        <f>IFERROR(__xludf.DUMMYFUNCTION("""COMPUTED_VALUE"""),45930.0)</f>
        <v>45930</v>
      </c>
      <c r="O711" s="4"/>
      <c r="P711" s="4"/>
      <c r="Q711" s="6">
        <f>IFERROR(__xludf.DUMMYFUNCTION("""COMPUTED_VALUE"""),45930.0)</f>
        <v>45930</v>
      </c>
      <c r="R711" s="4"/>
      <c r="S711" s="4"/>
      <c r="T711" s="4"/>
      <c r="U711" s="4"/>
      <c r="V711" s="4"/>
      <c r="W711" s="4"/>
      <c r="X711" s="4"/>
      <c r="Y711" s="4"/>
      <c r="Z711" s="4"/>
      <c r="AA711" s="4">
        <f>IFERROR(__xludf.DUMMYFUNCTION("""COMPUTED_VALUE"""),1.0)</f>
        <v>1</v>
      </c>
      <c r="AB711" s="4"/>
      <c r="AC711" s="4"/>
      <c r="AD711" s="4"/>
      <c r="AE711" s="4"/>
      <c r="AF711" s="4"/>
      <c r="AG711" s="4"/>
      <c r="AH711" s="4"/>
      <c r="AI711" s="4"/>
      <c r="AJ711" s="4"/>
      <c r="AK711" s="4"/>
      <c r="AL711" s="4"/>
      <c r="AM711" s="4" t="str">
        <f>IFERROR(__xludf.DUMMYFUNCTION("""COMPUTED_VALUE"""),"Orgânico 3S")</f>
        <v>Orgânico 3S</v>
      </c>
      <c r="AN711" s="4"/>
      <c r="AO711" s="4">
        <f>IFERROR(__xludf.DUMMYFUNCTION("""COMPUTED_VALUE"""),45553.0)</f>
        <v>45553</v>
      </c>
      <c r="AP711" s="4"/>
      <c r="AQ711" s="4"/>
      <c r="AR711" s="4"/>
      <c r="AS711" s="4">
        <f>IFERROR(__xludf.DUMMYFUNCTION("""COMPUTED_VALUE"""),0.0)</f>
        <v>0</v>
      </c>
      <c r="AT711" s="4">
        <f>IFERROR(__xludf.DUMMYFUNCTION("""COMPUTED_VALUE"""),0.0)</f>
        <v>0</v>
      </c>
      <c r="AU711" s="4" t="str">
        <f>IFERROR(__xludf.DUMMYFUNCTION("""COMPUTED_VALUE"""),"Michel")</f>
        <v>Michel</v>
      </c>
      <c r="AV711" s="4">
        <f>IFERROR(__xludf.DUMMYFUNCTION("""COMPUTED_VALUE"""),0.0)</f>
        <v>0</v>
      </c>
      <c r="AW711" s="4">
        <f>IFERROR(__xludf.DUMMYFUNCTION("""COMPUTED_VALUE"""),0.0)</f>
        <v>0</v>
      </c>
      <c r="AX711" s="4">
        <f>IFERROR(__xludf.DUMMYFUNCTION("""COMPUTED_VALUE"""),0.0)</f>
        <v>0</v>
      </c>
      <c r="AY711" s="4"/>
      <c r="AZ711" s="4">
        <f>IFERROR(__xludf.DUMMYFUNCTION("""COMPUTED_VALUE"""),0.0)</f>
        <v>0</v>
      </c>
      <c r="BA711" s="4" t="str">
        <f>IFERROR(__xludf.DUMMYFUNCTION("""COMPUTED_VALUE"""),"")</f>
        <v/>
      </c>
      <c r="BB711" s="4" t="str">
        <f>IFERROR(__xludf.DUMMYFUNCTION("""COMPUTED_VALUE"""),"")</f>
        <v/>
      </c>
      <c r="BC711" s="4" t="str">
        <f>IFERROR(__xludf.DUMMYFUNCTION("""COMPUTED_VALUE"""),"")</f>
        <v/>
      </c>
      <c r="BD711" s="4" t="str">
        <f>IFERROR(__xludf.DUMMYFUNCTION("""COMPUTED_VALUE"""),"")</f>
        <v/>
      </c>
      <c r="BE711" s="4" t="str">
        <f>IFERROR(__xludf.DUMMYFUNCTION("""COMPUTED_VALUE"""),"")</f>
        <v/>
      </c>
      <c r="BF711" s="4" t="str">
        <f>IFERROR(__xludf.DUMMYFUNCTION("""COMPUTED_VALUE"""),"")</f>
        <v/>
      </c>
      <c r="BG711" s="4" t="str">
        <f>IFERROR(__xludf.DUMMYFUNCTION("""COMPUTED_VALUE"""),"")</f>
        <v/>
      </c>
      <c r="BH711" s="4" t="s">
        <v>63</v>
      </c>
      <c r="BI711" s="7" t="s">
        <v>63</v>
      </c>
    </row>
    <row r="712" hidden="1">
      <c r="A712" s="4" t="str">
        <f>IFERROR(__xludf.DUMMYFUNCTION("""COMPUTED_VALUE"""),"We Coffee")</f>
        <v>We Coffee</v>
      </c>
      <c r="B712" s="4" t="str">
        <f>IFERROR(__xludf.DUMMYFUNCTION("""COMPUTED_VALUE"""),"Michel")</f>
        <v>Michel</v>
      </c>
      <c r="C712" s="4" t="str">
        <f>IFERROR(__xludf.DUMMYFUNCTION("""COMPUTED_VALUE"""),"Michel")</f>
        <v>Michel</v>
      </c>
      <c r="D712" s="4" t="str">
        <f>IFERROR(__xludf.DUMMYFUNCTION("""COMPUTED_VALUE"""),"12. Orgânico")</f>
        <v>12. Orgânico</v>
      </c>
      <c r="E712" s="4"/>
      <c r="F712" s="4" t="str">
        <f>IFERROR(__xludf.DUMMYFUNCTION("""COMPUTED_VALUE"""),"P")</f>
        <v>P</v>
      </c>
      <c r="G712" s="4"/>
      <c r="H712" s="4"/>
      <c r="I712" s="4"/>
      <c r="J712" s="4"/>
      <c r="K712" s="4"/>
      <c r="L712" s="4"/>
      <c r="M712" s="4"/>
      <c r="N712" s="4"/>
      <c r="O712" s="4"/>
      <c r="P712" s="4"/>
      <c r="Q712" s="4"/>
      <c r="R712" s="4"/>
      <c r="S712" s="4"/>
      <c r="T712" s="4"/>
      <c r="U712" s="4"/>
      <c r="V712" s="4"/>
      <c r="W712" s="4"/>
      <c r="X712" s="4"/>
      <c r="Y712" s="4"/>
      <c r="Z712" s="4"/>
      <c r="AA712" s="4">
        <f>IFERROR(__xludf.DUMMYFUNCTION("""COMPUTED_VALUE"""),2.0)</f>
        <v>2</v>
      </c>
      <c r="AB712" s="4"/>
      <c r="AC712" s="4"/>
      <c r="AD712" s="4"/>
      <c r="AE712" s="4"/>
      <c r="AF712" s="4"/>
      <c r="AG712" s="4"/>
      <c r="AH712" s="4"/>
      <c r="AI712" s="4"/>
      <c r="AJ712" s="4"/>
      <c r="AK712" s="4"/>
      <c r="AL712" s="4"/>
      <c r="AM712" s="4" t="str">
        <f>IFERROR(__xludf.DUMMYFUNCTION("""COMPUTED_VALUE"""),"Orgânico 3S")</f>
        <v>Orgânico 3S</v>
      </c>
      <c r="AN712" s="4"/>
      <c r="AO712" s="4">
        <f>IFERROR(__xludf.DUMMYFUNCTION("""COMPUTED_VALUE"""),45553.0)</f>
        <v>45553</v>
      </c>
      <c r="AP712" s="4"/>
      <c r="AQ712" s="4"/>
      <c r="AR712" s="4"/>
      <c r="AS712" s="4">
        <f>IFERROR(__xludf.DUMMYFUNCTION("""COMPUTED_VALUE"""),0.0)</f>
        <v>0</v>
      </c>
      <c r="AT712" s="4">
        <f>IFERROR(__xludf.DUMMYFUNCTION("""COMPUTED_VALUE"""),0.0)</f>
        <v>0</v>
      </c>
      <c r="AU712" s="4" t="str">
        <f>IFERROR(__xludf.DUMMYFUNCTION("""COMPUTED_VALUE"""),"Michel")</f>
        <v>Michel</v>
      </c>
      <c r="AV712" s="4">
        <f>IFERROR(__xludf.DUMMYFUNCTION("""COMPUTED_VALUE"""),0.0)</f>
        <v>0</v>
      </c>
      <c r="AW712" s="4">
        <f>IFERROR(__xludf.DUMMYFUNCTION("""COMPUTED_VALUE"""),0.0)</f>
        <v>0</v>
      </c>
      <c r="AX712" s="4">
        <f>IFERROR(__xludf.DUMMYFUNCTION("""COMPUTED_VALUE"""),0.0)</f>
        <v>0</v>
      </c>
      <c r="AY712" s="4"/>
      <c r="AZ712" s="4">
        <f>IFERROR(__xludf.DUMMYFUNCTION("""COMPUTED_VALUE"""),0.0)</f>
        <v>0</v>
      </c>
      <c r="BA712" s="4" t="str">
        <f>IFERROR(__xludf.DUMMYFUNCTION("""COMPUTED_VALUE"""),"R$ 20-40")</f>
        <v>R$ 20-40</v>
      </c>
      <c r="BB712" s="4" t="str">
        <f>IFERROR(__xludf.DUMMYFUNCTION("""COMPUTED_VALUE"""),"QSR - Cafeteria (Próprias)")</f>
        <v>QSR - Cafeteria (Próprias)</v>
      </c>
      <c r="BC712" s="4" t="str">
        <f>IFERROR(__xludf.DUMMYFUNCTION("""COMPUTED_VALUE"""),"São Paulo (15+ lojas próprias)")</f>
        <v>São Paulo (15+ lojas próprias)</v>
      </c>
      <c r="BD712" s="4" t="str">
        <f>IFERROR(__xludf.DUMMYFUNCTION("""COMPUTED_VALUE"""),"R$ 100 milhões meta (2024)")</f>
        <v>R$ 100 milhões meta (2024)</v>
      </c>
      <c r="BE712" s="4">
        <f>IFERROR(__xludf.DUMMYFUNCTION("""COMPUTED_VALUE"""),65.0)</f>
        <v>65</v>
      </c>
      <c r="BF712" s="4">
        <f>IFERROR(__xludf.DUMMYFUNCTION("""COMPUTED_VALUE"""),0.68)</f>
        <v>0.68</v>
      </c>
      <c r="BG712" s="4" t="str">
        <f>IFERROR(__xludf.DUMMYFUNCTION("""COMPUTED_VALUE"""),"PDV não identificado - 15+ lojas próprias SP (não franquia). Cafeteria fenômeno TikTok, meta R$ 100M. 3S: gestão multi-loja, delivery, totens autoatendimento")</f>
        <v>PDV não identificado - 15+ lojas próprias SP (não franquia). Cafeteria fenômeno TikTok, meta R$ 100M. 3S: gestão multi-loja, delivery, totens autoatendimento</v>
      </c>
      <c r="BH712" s="4" t="s">
        <v>64</v>
      </c>
      <c r="BI712" s="7">
        <v>0.6578947368421053</v>
      </c>
    </row>
    <row r="713" hidden="1">
      <c r="A713" s="4" t="str">
        <f>IFERROR(__xludf.DUMMYFUNCTION("""COMPUTED_VALUE"""),"We Protein")</f>
        <v>We Protein</v>
      </c>
      <c r="B713" s="4" t="str">
        <f>IFERROR(__xludf.DUMMYFUNCTION("""COMPUTED_VALUE"""),"Iza")</f>
        <v>Iza</v>
      </c>
      <c r="C713" s="4" t="str">
        <f>IFERROR(__xludf.DUMMYFUNCTION("""COMPUTED_VALUE"""),"Iza")</f>
        <v>Iza</v>
      </c>
      <c r="D713" s="4" t="str">
        <f>IFERROR(__xludf.DUMMYFUNCTION("""COMPUTED_VALUE"""),"9. Contrato assinado")</f>
        <v>9. Contrato assinado</v>
      </c>
      <c r="E713" s="4" t="str">
        <f>IFERROR(__xludf.DUMMYFUNCTION("""COMPUTED_VALUE""")," Projetos - Contrato assinado &amp; Rollout")</f>
        <v> Projetos - Contrato assinado &amp; Rollout</v>
      </c>
      <c r="F713" s="4" t="str">
        <f>IFERROR(__xludf.DUMMYFUNCTION("""COMPUTED_VALUE"""),"P")</f>
        <v>P</v>
      </c>
      <c r="G713" s="5">
        <f>IFERROR(__xludf.DUMMYFUNCTION("""COMPUTED_VALUE"""),46076.0)</f>
        <v>46076</v>
      </c>
      <c r="H713" s="4" t="str">
        <f>IFERROR(__xludf.DUMMYFUNCTION("""COMPUTED_VALUE"""),"Contrato assinado")</f>
        <v>Contrato assinado</v>
      </c>
      <c r="I713" s="4"/>
      <c r="J713" s="4"/>
      <c r="K713" s="6">
        <f>IFERROR(__xludf.DUMMYFUNCTION("""COMPUTED_VALUE"""),45901.0)</f>
        <v>45901</v>
      </c>
      <c r="L713" s="4"/>
      <c r="M713" s="4"/>
      <c r="N713" s="6">
        <f>IFERROR(__xludf.DUMMYFUNCTION("""COMPUTED_VALUE"""),45925.0)</f>
        <v>45925</v>
      </c>
      <c r="O713" s="4"/>
      <c r="P713" s="4"/>
      <c r="Q713" s="6">
        <f>IFERROR(__xludf.DUMMYFUNCTION("""COMPUTED_VALUE"""),45925.0)</f>
        <v>45925</v>
      </c>
      <c r="R713" s="4"/>
      <c r="S713" s="4"/>
      <c r="T713" s="4"/>
      <c r="U713" s="4"/>
      <c r="V713" s="4"/>
      <c r="W713" s="4"/>
      <c r="X713" s="4"/>
      <c r="Y713" s="4"/>
      <c r="Z713" s="4"/>
      <c r="AA713" s="4">
        <f>IFERROR(__xludf.DUMMYFUNCTION("""COMPUTED_VALUE"""),2.0)</f>
        <v>2</v>
      </c>
      <c r="AB713" s="4"/>
      <c r="AC713" s="4"/>
      <c r="AD713" s="4"/>
      <c r="AE713" s="4"/>
      <c r="AF713" s="4"/>
      <c r="AG713" s="4"/>
      <c r="AH713" s="4"/>
      <c r="AI713" s="4"/>
      <c r="AJ713" s="4"/>
      <c r="AK713" s="4"/>
      <c r="AL713" s="4"/>
      <c r="AM713" s="4" t="str">
        <f>IFERROR(__xludf.DUMMYFUNCTION("""COMPUTED_VALUE"""),"FY26")</f>
        <v>FY26</v>
      </c>
      <c r="AN713" s="4" t="str">
        <f>IFERROR(__xludf.DUMMYFUNCTION("""COMPUTED_VALUE"""),"Comer Fora")</f>
        <v>Comer Fora</v>
      </c>
      <c r="AO713" s="4">
        <f>IFERROR(__xludf.DUMMYFUNCTION("""COMPUTED_VALUE"""),140.0)</f>
        <v>140</v>
      </c>
      <c r="AP713" s="4"/>
      <c r="AQ713" s="4"/>
      <c r="AR713" s="4"/>
      <c r="AS713" s="4" t="str">
        <f>IFERROR(__xludf.DUMMYFUNCTION("""COMPUTED_VALUE"""),"NATHALIE MERTENS")</f>
        <v>NATHALIE MERTENS</v>
      </c>
      <c r="AT713" s="4" t="str">
        <f>IFERROR(__xludf.DUMMYFUNCTION("""COMPUTED_VALUE"""),"MARIANA KATZ")</f>
        <v>MARIANA KATZ</v>
      </c>
      <c r="AU713" s="4" t="str">
        <f>IFERROR(__xludf.DUMMYFUNCTION("""COMPUTED_VALUE"""),"Iza")</f>
        <v>Iza</v>
      </c>
      <c r="AV713" s="4">
        <f>IFERROR(__xludf.DUMMYFUNCTION("""COMPUTED_VALUE"""),0.0)</f>
        <v>0</v>
      </c>
      <c r="AW713" s="4">
        <f>IFERROR(__xludf.DUMMYFUNCTION("""COMPUTED_VALUE"""),0.0)</f>
        <v>0</v>
      </c>
      <c r="AX713" s="4">
        <f>IFERROR(__xludf.DUMMYFUNCTION("""COMPUTED_VALUE"""),0.0)</f>
        <v>0</v>
      </c>
      <c r="AY713" s="4">
        <f>IFERROR(__xludf.DUMMYFUNCTION("""COMPUTED_VALUE"""),0.0)</f>
        <v>0</v>
      </c>
      <c r="AZ713" s="4" t="str">
        <f>IFERROR(__xludf.DUMMYFUNCTION("""COMPUTED_VALUE"""),"#N/A")</f>
        <v>#N/A</v>
      </c>
      <c r="BA713" s="4" t="str">
        <f>IFERROR(__xludf.DUMMYFUNCTION("""COMPUTED_VALUE"""),"")</f>
        <v/>
      </c>
      <c r="BB713" s="4" t="str">
        <f>IFERROR(__xludf.DUMMYFUNCTION("""COMPUTED_VALUE"""),"")</f>
        <v/>
      </c>
      <c r="BC713" s="4" t="str">
        <f>IFERROR(__xludf.DUMMYFUNCTION("""COMPUTED_VALUE"""),"")</f>
        <v/>
      </c>
      <c r="BD713" s="4" t="str">
        <f>IFERROR(__xludf.DUMMYFUNCTION("""COMPUTED_VALUE"""),"")</f>
        <v/>
      </c>
      <c r="BE713" s="4" t="str">
        <f>IFERROR(__xludf.DUMMYFUNCTION("""COMPUTED_VALUE"""),"")</f>
        <v/>
      </c>
      <c r="BF713" s="4" t="str">
        <f>IFERROR(__xludf.DUMMYFUNCTION("""COMPUTED_VALUE"""),"")</f>
        <v/>
      </c>
      <c r="BG713" s="4" t="str">
        <f>IFERROR(__xludf.DUMMYFUNCTION("""COMPUTED_VALUE"""),"")</f>
        <v/>
      </c>
      <c r="BH713" s="4" t="s">
        <v>63</v>
      </c>
      <c r="BI713" s="7" t="s">
        <v>63</v>
      </c>
    </row>
    <row r="714" hidden="1">
      <c r="A714" s="4" t="str">
        <f>IFERROR(__xludf.DUMMYFUNCTION("""COMPUTED_VALUE"""),"Yococho")</f>
        <v>Yococho</v>
      </c>
      <c r="B714" s="4" t="str">
        <f>IFERROR(__xludf.DUMMYFUNCTION("""COMPUTED_VALUE"""),"Michel")</f>
        <v>Michel</v>
      </c>
      <c r="C714" s="4" t="str">
        <f>IFERROR(__xludf.DUMMYFUNCTION("""COMPUTED_VALUE"""),"Michel")</f>
        <v>Michel</v>
      </c>
      <c r="D714" s="4" t="str">
        <f>IFERROR(__xludf.DUMMYFUNCTION("""COMPUTED_VALUE"""),"9. Contrato assinado")</f>
        <v>9. Contrato assinado</v>
      </c>
      <c r="E714" s="4" t="str">
        <f>IFERROR(__xludf.DUMMYFUNCTION("""COMPUTED_VALUE"""),"Perdido - Falta de aderência técnica")</f>
        <v>Perdido - Falta de aderência técnica</v>
      </c>
      <c r="F714" s="4" t="str">
        <f>IFERROR(__xludf.DUMMYFUNCTION("""COMPUTED_VALUE"""),"P")</f>
        <v>P</v>
      </c>
      <c r="G714" s="4"/>
      <c r="H714" s="4" t="str">
        <f>IFERROR(__xludf.DUMMYFUNCTION("""COMPUTED_VALUE"""),"Cliente fechou contrato e depois desistiu de implementar pois acho o produto muito complexo")</f>
        <v>Cliente fechou contrato e depois desistiu de implementar pois acho o produto muito complexo</v>
      </c>
      <c r="I714" s="4"/>
      <c r="J714" s="4"/>
      <c r="K714" s="6">
        <f>IFERROR(__xludf.DUMMYFUNCTION("""COMPUTED_VALUE"""),45778.0)</f>
        <v>45778</v>
      </c>
      <c r="L714" s="4"/>
      <c r="M714" s="4"/>
      <c r="N714" s="6">
        <f>IFERROR(__xludf.DUMMYFUNCTION("""COMPUTED_VALUE"""),45822.0)</f>
        <v>45822</v>
      </c>
      <c r="O714" s="4"/>
      <c r="P714" s="4"/>
      <c r="Q714" s="6">
        <f>IFERROR(__xludf.DUMMYFUNCTION("""COMPUTED_VALUE"""),45822.0)</f>
        <v>45822</v>
      </c>
      <c r="R714" s="6">
        <f>IFERROR(__xludf.DUMMYFUNCTION("""COMPUTED_VALUE"""),46076.66329806713)</f>
        <v>46076.6633</v>
      </c>
      <c r="S714" s="4"/>
      <c r="T714" s="4"/>
      <c r="U714" s="4"/>
      <c r="V714" s="4"/>
      <c r="W714" s="4"/>
      <c r="X714" s="4"/>
      <c r="Y714" s="4"/>
      <c r="Z714" s="4"/>
      <c r="AA714" s="4">
        <f>IFERROR(__xludf.DUMMYFUNCTION("""COMPUTED_VALUE"""),1.0)</f>
        <v>1</v>
      </c>
      <c r="AB714" s="4"/>
      <c r="AC714" s="4"/>
      <c r="AD714" s="4"/>
      <c r="AE714" s="4"/>
      <c r="AF714" s="4"/>
      <c r="AG714" s="4"/>
      <c r="AH714" s="4"/>
      <c r="AI714" s="4"/>
      <c r="AJ714" s="4"/>
      <c r="AK714" s="4"/>
      <c r="AL714" s="4"/>
      <c r="AM714" s="4" t="str">
        <f>IFERROR(__xludf.DUMMYFUNCTION("""COMPUTED_VALUE"""),"FY26")</f>
        <v>FY26</v>
      </c>
      <c r="AN714" s="4"/>
      <c r="AO714" s="4">
        <f>IFERROR(__xludf.DUMMYFUNCTION("""COMPUTED_VALUE"""),45553.0)</f>
        <v>45553</v>
      </c>
      <c r="AP714" s="4"/>
      <c r="AQ714" s="4"/>
      <c r="AR714" s="4"/>
      <c r="AS714" s="4">
        <f>IFERROR(__xludf.DUMMYFUNCTION("""COMPUTED_VALUE"""),0.0)</f>
        <v>0</v>
      </c>
      <c r="AT714" s="4">
        <f>IFERROR(__xludf.DUMMYFUNCTION("""COMPUTED_VALUE"""),0.0)</f>
        <v>0</v>
      </c>
      <c r="AU714" s="4" t="str">
        <f>IFERROR(__xludf.DUMMYFUNCTION("""COMPUTED_VALUE"""),"Michel")</f>
        <v>Michel</v>
      </c>
      <c r="AV714" s="4">
        <f>IFERROR(__xludf.DUMMYFUNCTION("""COMPUTED_VALUE"""),0.0)</f>
        <v>0</v>
      </c>
      <c r="AW714" s="4">
        <f>IFERROR(__xludf.DUMMYFUNCTION("""COMPUTED_VALUE"""),0.0)</f>
        <v>0</v>
      </c>
      <c r="AX714" s="4">
        <f>IFERROR(__xludf.DUMMYFUNCTION("""COMPUTED_VALUE"""),0.0)</f>
        <v>0</v>
      </c>
      <c r="AY714" s="4"/>
      <c r="AZ714" s="4" t="str">
        <f>IFERROR(__xludf.DUMMYFUNCTION("""COMPUTED_VALUE"""),"#N/A")</f>
        <v>#N/A</v>
      </c>
      <c r="BA714" s="4" t="str">
        <f>IFERROR(__xludf.DUMMYFUNCTION("""COMPUTED_VALUE"""),"")</f>
        <v/>
      </c>
      <c r="BB714" s="4" t="str">
        <f>IFERROR(__xludf.DUMMYFUNCTION("""COMPUTED_VALUE"""),"")</f>
        <v/>
      </c>
      <c r="BC714" s="4" t="str">
        <f>IFERROR(__xludf.DUMMYFUNCTION("""COMPUTED_VALUE"""),"")</f>
        <v/>
      </c>
      <c r="BD714" s="4" t="str">
        <f>IFERROR(__xludf.DUMMYFUNCTION("""COMPUTED_VALUE"""),"")</f>
        <v/>
      </c>
      <c r="BE714" s="4" t="str">
        <f>IFERROR(__xludf.DUMMYFUNCTION("""COMPUTED_VALUE"""),"")</f>
        <v/>
      </c>
      <c r="BF714" s="4" t="str">
        <f>IFERROR(__xludf.DUMMYFUNCTION("""COMPUTED_VALUE"""),"")</f>
        <v/>
      </c>
      <c r="BG714" s="4" t="str">
        <f>IFERROR(__xludf.DUMMYFUNCTION("""COMPUTED_VALUE"""),"")</f>
        <v/>
      </c>
      <c r="BH714" s="4" t="s">
        <v>63</v>
      </c>
      <c r="BI714" s="7" t="s">
        <v>63</v>
      </c>
    </row>
    <row r="715" hidden="1">
      <c r="A715" s="4" t="str">
        <f>IFERROR(__xludf.DUMMYFUNCTION("""COMPUTED_VALUE"""),"Zdeli")</f>
        <v>Zdeli</v>
      </c>
      <c r="B715" s="4" t="str">
        <f>IFERROR(__xludf.DUMMYFUNCTION("""COMPUTED_VALUE"""),"Michel")</f>
        <v>Michel</v>
      </c>
      <c r="C715" s="4" t="str">
        <f>IFERROR(__xludf.DUMMYFUNCTION("""COMPUTED_VALUE"""),"Michel")</f>
        <v>Michel</v>
      </c>
      <c r="D715" s="4" t="str">
        <f>IFERROR(__xludf.DUMMYFUNCTION("""COMPUTED_VALUE"""),"12. Orgânico")</f>
        <v>12. Orgânico</v>
      </c>
      <c r="E715" s="4"/>
      <c r="F715" s="4" t="str">
        <f>IFERROR(__xludf.DUMMYFUNCTION("""COMPUTED_VALUE"""),"P")</f>
        <v>P</v>
      </c>
      <c r="G715" s="4"/>
      <c r="H715" s="4"/>
      <c r="I715" s="4"/>
      <c r="J715" s="4"/>
      <c r="K715" s="4"/>
      <c r="L715" s="4"/>
      <c r="M715" s="4"/>
      <c r="N715" s="4"/>
      <c r="O715" s="4"/>
      <c r="P715" s="4"/>
      <c r="Q715" s="4"/>
      <c r="R715" s="4"/>
      <c r="S715" s="4"/>
      <c r="T715" s="4"/>
      <c r="U715" s="4"/>
      <c r="V715" s="4"/>
      <c r="W715" s="4"/>
      <c r="X715" s="4"/>
      <c r="Y715" s="4"/>
      <c r="Z715" s="4"/>
      <c r="AA715" s="4">
        <f>IFERROR(__xludf.DUMMYFUNCTION("""COMPUTED_VALUE"""),1.0)</f>
        <v>1</v>
      </c>
      <c r="AB715" s="4"/>
      <c r="AC715" s="4"/>
      <c r="AD715" s="4"/>
      <c r="AE715" s="4"/>
      <c r="AF715" s="4"/>
      <c r="AG715" s="4"/>
      <c r="AH715" s="4"/>
      <c r="AI715" s="4"/>
      <c r="AJ715" s="4"/>
      <c r="AK715" s="4"/>
      <c r="AL715" s="4"/>
      <c r="AM715" s="4" t="str">
        <f>IFERROR(__xludf.DUMMYFUNCTION("""COMPUTED_VALUE"""),"Orgânico 3S")</f>
        <v>Orgânico 3S</v>
      </c>
      <c r="AN715" s="4"/>
      <c r="AO715" s="4">
        <f>IFERROR(__xludf.DUMMYFUNCTION("""COMPUTED_VALUE"""),45553.0)</f>
        <v>45553</v>
      </c>
      <c r="AP715" s="4"/>
      <c r="AQ715" s="4"/>
      <c r="AR715" s="4"/>
      <c r="AS715" s="4">
        <f>IFERROR(__xludf.DUMMYFUNCTION("""COMPUTED_VALUE"""),0.0)</f>
        <v>0</v>
      </c>
      <c r="AT715" s="4">
        <f>IFERROR(__xludf.DUMMYFUNCTION("""COMPUTED_VALUE"""),0.0)</f>
        <v>0</v>
      </c>
      <c r="AU715" s="4" t="str">
        <f>IFERROR(__xludf.DUMMYFUNCTION("""COMPUTED_VALUE"""),"Michel")</f>
        <v>Michel</v>
      </c>
      <c r="AV715" s="4">
        <f>IFERROR(__xludf.DUMMYFUNCTION("""COMPUTED_VALUE"""),0.0)</f>
        <v>0</v>
      </c>
      <c r="AW715" s="4">
        <f>IFERROR(__xludf.DUMMYFUNCTION("""COMPUTED_VALUE"""),0.0)</f>
        <v>0</v>
      </c>
      <c r="AX715" s="4">
        <f>IFERROR(__xludf.DUMMYFUNCTION("""COMPUTED_VALUE"""),0.0)</f>
        <v>0</v>
      </c>
      <c r="AY715" s="4"/>
      <c r="AZ715" s="4">
        <f>IFERROR(__xludf.DUMMYFUNCTION("""COMPUTED_VALUE"""),0.0)</f>
        <v>0</v>
      </c>
      <c r="BA715" s="4" t="str">
        <f>IFERROR(__xludf.DUMMYFUNCTION("""COMPUTED_VALUE"""),"")</f>
        <v/>
      </c>
      <c r="BB715" s="4" t="str">
        <f>IFERROR(__xludf.DUMMYFUNCTION("""COMPUTED_VALUE"""),"")</f>
        <v/>
      </c>
      <c r="BC715" s="4" t="str">
        <f>IFERROR(__xludf.DUMMYFUNCTION("""COMPUTED_VALUE"""),"")</f>
        <v/>
      </c>
      <c r="BD715" s="4" t="str">
        <f>IFERROR(__xludf.DUMMYFUNCTION("""COMPUTED_VALUE"""),"")</f>
        <v/>
      </c>
      <c r="BE715" s="4" t="str">
        <f>IFERROR(__xludf.DUMMYFUNCTION("""COMPUTED_VALUE"""),"")</f>
        <v/>
      </c>
      <c r="BF715" s="4" t="str">
        <f>IFERROR(__xludf.DUMMYFUNCTION("""COMPUTED_VALUE"""),"")</f>
        <v/>
      </c>
      <c r="BG715" s="4" t="str">
        <f>IFERROR(__xludf.DUMMYFUNCTION("""COMPUTED_VALUE"""),"")</f>
        <v/>
      </c>
      <c r="BH715" s="4" t="s">
        <v>63</v>
      </c>
      <c r="BI715" s="7" t="s">
        <v>63</v>
      </c>
    </row>
    <row r="716" hidden="1">
      <c r="A716" s="4" t="str">
        <f>IFERROR(__xludf.DUMMYFUNCTION("""COMPUTED_VALUE"""),"Zucco")</f>
        <v>Zucco</v>
      </c>
      <c r="B716" s="4" t="str">
        <f>IFERROR(__xludf.DUMMYFUNCTION("""COMPUTED_VALUE"""),"Iza")</f>
        <v>Iza</v>
      </c>
      <c r="C716" s="4" t="str">
        <f>IFERROR(__xludf.DUMMYFUNCTION("""COMPUTED_VALUE"""),"Iza")</f>
        <v>Iza</v>
      </c>
      <c r="D716" s="4" t="str">
        <f>IFERROR(__xludf.DUMMYFUNCTION("""COMPUTED_VALUE"""),"9. Contrato assinado")</f>
        <v>9. Contrato assinado</v>
      </c>
      <c r="E716" s="4" t="str">
        <f>IFERROR(__xludf.DUMMYFUNCTION("""COMPUTED_VALUE""")," Projetos - Contrato assinado &amp; Rollout")</f>
        <v> Projetos - Contrato assinado &amp; Rollout</v>
      </c>
      <c r="F716" s="4" t="str">
        <f>IFERROR(__xludf.DUMMYFUNCTION("""COMPUTED_VALUE"""),"P")</f>
        <v>P</v>
      </c>
      <c r="G716" s="5">
        <f>IFERROR(__xludf.DUMMYFUNCTION("""COMPUTED_VALUE"""),46076.0)</f>
        <v>46076</v>
      </c>
      <c r="H716" s="4" t="str">
        <f>IFERROR(__xludf.DUMMYFUNCTION("""COMPUTED_VALUE"""),"Aguardando devolutiva time Delivery para uma possível redução de taxas para seguirmos com o contrato 3S. FUP fev/26")</f>
        <v>Aguardando devolutiva time Delivery para uma possível redução de taxas para seguirmos com o contrato 3S. FUP fev/26</v>
      </c>
      <c r="I716" s="4"/>
      <c r="J716" s="4"/>
      <c r="K716" s="6">
        <f>IFERROR(__xludf.DUMMYFUNCTION("""COMPUTED_VALUE"""),45973.0)</f>
        <v>45973</v>
      </c>
      <c r="L716" s="4"/>
      <c r="M716" s="4"/>
      <c r="N716" s="6">
        <f>IFERROR(__xludf.DUMMYFUNCTION("""COMPUTED_VALUE"""),46080.0)</f>
        <v>46080</v>
      </c>
      <c r="O716" s="4"/>
      <c r="P716" s="6">
        <f>IFERROR(__xludf.DUMMYFUNCTION("""COMPUTED_VALUE"""),46080.0)</f>
        <v>46080</v>
      </c>
      <c r="Q716" s="6">
        <f>IFERROR(__xludf.DUMMYFUNCTION("""COMPUTED_VALUE"""),46080.0)</f>
        <v>46080</v>
      </c>
      <c r="R716" s="4"/>
      <c r="S716" s="4"/>
      <c r="T716" s="4"/>
      <c r="U716" s="4"/>
      <c r="V716" s="4"/>
      <c r="W716" s="8">
        <f>IFERROR(__xludf.DUMMYFUNCTION("""COMPUTED_VALUE"""),860.0)</f>
        <v>860</v>
      </c>
      <c r="X716" s="4">
        <f>IFERROR(__xludf.DUMMYFUNCTION("""COMPUTED_VALUE"""),36.0)</f>
        <v>36</v>
      </c>
      <c r="Y716" s="8">
        <f>IFERROR(__xludf.DUMMYFUNCTION("""COMPUTED_VALUE"""),2500.0)</f>
        <v>2500</v>
      </c>
      <c r="Z716" s="8">
        <f>IFERROR(__xludf.DUMMYFUNCTION("""COMPUTED_VALUE"""),500.0)</f>
        <v>500</v>
      </c>
      <c r="AA716" s="4">
        <f>IFERROR(__xludf.DUMMYFUNCTION("""COMPUTED_VALUE"""),6.0)</f>
        <v>6</v>
      </c>
      <c r="AB716" s="4" t="str">
        <f>IFERROR(__xludf.DUMMYFUNCTION("""COMPUTED_VALUE"""),"-")</f>
        <v>-</v>
      </c>
      <c r="AC716" s="4" t="str">
        <f>IFERROR(__xludf.DUMMYFUNCTION("""COMPUTED_VALUE"""),"-")</f>
        <v>-</v>
      </c>
      <c r="AD716" s="4"/>
      <c r="AE716" s="4"/>
      <c r="AF716" s="4"/>
      <c r="AG716" s="4"/>
      <c r="AH716" s="4"/>
      <c r="AI716" s="4"/>
      <c r="AJ716" s="4"/>
      <c r="AK716" s="4"/>
      <c r="AL716" s="4"/>
      <c r="AM716" s="4" t="str">
        <f>IFERROR(__xludf.DUMMYFUNCTION("""COMPUTED_VALUE"""),"FY26")</f>
        <v>FY26</v>
      </c>
      <c r="AN716" s="4"/>
      <c r="AO716" s="4">
        <f>IFERROR(__xludf.DUMMYFUNCTION("""COMPUTED_VALUE"""),140.0)</f>
        <v>140</v>
      </c>
      <c r="AP716" s="4"/>
      <c r="AQ716" s="4"/>
      <c r="AR716" s="4"/>
      <c r="AS716" s="4" t="str">
        <f>IFERROR(__xludf.DUMMYFUNCTION("""COMPUTED_VALUE"""),"NATHALIE MERTENS")</f>
        <v>NATHALIE MERTENS</v>
      </c>
      <c r="AT716" s="4" t="str">
        <f>IFERROR(__xludf.DUMMYFUNCTION("""COMPUTED_VALUE"""),"MATHEUS LESSA")</f>
        <v>MATHEUS LESSA</v>
      </c>
      <c r="AU716" s="4" t="str">
        <f>IFERROR(__xludf.DUMMYFUNCTION("""COMPUTED_VALUE"""),"Iza")</f>
        <v>Iza</v>
      </c>
      <c r="AV716" s="4">
        <f>IFERROR(__xludf.DUMMYFUNCTION("""COMPUTED_VALUE"""),0.0)</f>
        <v>0</v>
      </c>
      <c r="AW716" s="4">
        <f>IFERROR(__xludf.DUMMYFUNCTION("""COMPUTED_VALUE"""),0.0)</f>
        <v>0</v>
      </c>
      <c r="AX716" s="4">
        <f>IFERROR(__xludf.DUMMYFUNCTION("""COMPUTED_VALUE"""),0.0)</f>
        <v>0</v>
      </c>
      <c r="AY716" s="4"/>
      <c r="AZ716" s="4" t="str">
        <f>IFERROR(__xludf.DUMMYFUNCTION("""COMPUTED_VALUE"""),"#N/A")</f>
        <v>#N/A</v>
      </c>
      <c r="BA716" s="4" t="str">
        <f>IFERROR(__xludf.DUMMYFUNCTION("""COMPUTED_VALUE"""),"")</f>
        <v/>
      </c>
      <c r="BB716" s="4" t="str">
        <f>IFERROR(__xludf.DUMMYFUNCTION("""COMPUTED_VALUE"""),"")</f>
        <v/>
      </c>
      <c r="BC716" s="4" t="str">
        <f>IFERROR(__xludf.DUMMYFUNCTION("""COMPUTED_VALUE"""),"")</f>
        <v/>
      </c>
      <c r="BD716" s="4" t="str">
        <f>IFERROR(__xludf.DUMMYFUNCTION("""COMPUTED_VALUE"""),"")</f>
        <v/>
      </c>
      <c r="BE716" s="4" t="str">
        <f>IFERROR(__xludf.DUMMYFUNCTION("""COMPUTED_VALUE"""),"")</f>
        <v/>
      </c>
      <c r="BF716" s="4" t="str">
        <f>IFERROR(__xludf.DUMMYFUNCTION("""COMPUTED_VALUE"""),"")</f>
        <v/>
      </c>
      <c r="BG716" s="4" t="str">
        <f>IFERROR(__xludf.DUMMYFUNCTION("""COMPUTED_VALUE"""),"")</f>
        <v/>
      </c>
      <c r="BH716" s="4" t="s">
        <v>63</v>
      </c>
      <c r="BI716" s="7" t="s">
        <v>63</v>
      </c>
    </row>
    <row r="717" hidden="1">
      <c r="A717" s="4" t="str">
        <f>IFERROR(__xludf.DUMMYFUNCTION("""COMPUTED_VALUE"""),"Empadinha Barnabé")</f>
        <v>Empadinha Barnabé</v>
      </c>
      <c r="B717" s="4" t="str">
        <f>IFERROR(__xludf.DUMMYFUNCTION("""COMPUTED_VALUE"""),"Emerson")</f>
        <v>Emerson</v>
      </c>
      <c r="C717" s="4" t="str">
        <f>IFERROR(__xludf.DUMMYFUNCTION("""COMPUTED_VALUE"""),"Emerson")</f>
        <v>Emerson</v>
      </c>
      <c r="D717" s="4" t="str">
        <f>IFERROR(__xludf.DUMMYFUNCTION("""COMPUTED_VALUE"""),"3. Apresentação")</f>
        <v>3. Apresentação</v>
      </c>
      <c r="E717" s="4"/>
      <c r="F717" s="4" t="str">
        <f>IFERROR(__xludf.DUMMYFUNCTION("""COMPUTED_VALUE"""),"P")</f>
        <v>P</v>
      </c>
      <c r="G717" s="5">
        <f>IFERROR(__xludf.DUMMYFUNCTION("""COMPUTED_VALUE"""),46114.0)</f>
        <v>46114</v>
      </c>
      <c r="H717" s="4" t="str">
        <f>IFERROR(__xludf.DUMMYFUNCTION("""COMPUTED_VALUE"""),"Mari disponibilizou cortesia e vai encontrá-lo no Move+ 29/04")</f>
        <v>Mari disponibilizou cortesia e vai encontrá-lo no Move+ 29/04</v>
      </c>
      <c r="I717" s="4"/>
      <c r="J717" s="4"/>
      <c r="K717" s="6">
        <f>IFERROR(__xludf.DUMMYFUNCTION("""COMPUTED_VALUE"""),46114.358097916665)</f>
        <v>46114.3581</v>
      </c>
      <c r="L717" s="4"/>
      <c r="M717" s="4"/>
      <c r="N717" s="4"/>
      <c r="O717" s="4"/>
      <c r="P717" s="4"/>
      <c r="Q717" s="4"/>
      <c r="R717" s="4"/>
      <c r="S717" s="4"/>
      <c r="T717" s="4"/>
      <c r="U717" s="4"/>
      <c r="V717" s="4"/>
      <c r="W717" s="4"/>
      <c r="X717" s="4"/>
      <c r="Y717" s="4"/>
      <c r="Z717" s="4"/>
      <c r="AA717" s="4">
        <f>IFERROR(__xludf.DUMMYFUNCTION("""COMPUTED_VALUE"""),12.0)</f>
        <v>12</v>
      </c>
      <c r="AB717" s="4" t="str">
        <f>IFERROR(__xludf.DUMMYFUNCTION("""COMPUTED_VALUE"""),"Não")</f>
        <v>Não</v>
      </c>
      <c r="AC717" s="4" t="str">
        <f>IFERROR(__xludf.DUMMYFUNCTION("""COMPUTED_VALUE"""),"Não")</f>
        <v>Não</v>
      </c>
      <c r="AD717" s="4"/>
      <c r="AE717" s="4"/>
      <c r="AF717" s="4"/>
      <c r="AG717" s="4"/>
      <c r="AH717" s="4"/>
      <c r="AI717" s="4"/>
      <c r="AJ717" s="4"/>
      <c r="AK717" s="4"/>
      <c r="AL717" s="4"/>
      <c r="AM717" s="4" t="str">
        <f>IFERROR(__xludf.DUMMYFUNCTION("""COMPUTED_VALUE"""),"FY27")</f>
        <v>FY27</v>
      </c>
      <c r="AN717" s="4"/>
      <c r="AO717" s="4">
        <f>IFERROR(__xludf.DUMMYFUNCTION("""COMPUTED_VALUE"""),101.0)</f>
        <v>101</v>
      </c>
      <c r="AP717" s="4"/>
      <c r="AQ717" s="4"/>
      <c r="AR717" s="4"/>
      <c r="AS717" s="4">
        <f>IFERROR(__xludf.DUMMYFUNCTION("""COMPUTED_VALUE"""),0.0)</f>
        <v>0</v>
      </c>
      <c r="AT717" s="4">
        <f>IFERROR(__xludf.DUMMYFUNCTION("""COMPUTED_VALUE"""),0.0)</f>
        <v>0</v>
      </c>
      <c r="AU717" s="4">
        <f>IFERROR(__xludf.DUMMYFUNCTION("""COMPUTED_VALUE"""),0.0)</f>
        <v>0</v>
      </c>
      <c r="AV717" s="4">
        <f>IFERROR(__xludf.DUMMYFUNCTION("""COMPUTED_VALUE"""),0.0)</f>
        <v>0</v>
      </c>
      <c r="AW717" s="4">
        <f>IFERROR(__xludf.DUMMYFUNCTION("""COMPUTED_VALUE"""),0.0)</f>
        <v>0</v>
      </c>
      <c r="AX717" s="4">
        <f>IFERROR(__xludf.DUMMYFUNCTION("""COMPUTED_VALUE"""),0.0)</f>
        <v>0</v>
      </c>
      <c r="AY717" s="4"/>
      <c r="AZ717" s="4" t="str">
        <f>IFERROR(__xludf.DUMMYFUNCTION("""COMPUTED_VALUE"""),"NA")</f>
        <v>NA</v>
      </c>
      <c r="BA717" s="4" t="str">
        <f>IFERROR(__xludf.DUMMYFUNCTION("""COMPUTED_VALUE"""),"R$ 15-35")</f>
        <v>R$ 15-35</v>
      </c>
      <c r="BB717" s="4" t="str">
        <f>IFERROR(__xludf.DUMMYFUNCTION("""COMPUTED_VALUE"""),"QSR - Empadas/Salgados (Franquia)")</f>
        <v>QSR - Empadas/Salgados (Franquia)</v>
      </c>
      <c r="BC717" s="4" t="str">
        <f>IFERROR(__xludf.DUMMYFUNCTION("""COMPUTED_VALUE"""),"Paraíba (14 lojas: João Pessoa 9-12, Campina Grande, Recife, Natal)")</f>
        <v>Paraíba (14 lojas: João Pessoa 9-12, Campina Grande, Recife, Natal)</v>
      </c>
      <c r="BD717" s="4" t="str">
        <f>IFERROR(__xludf.DUMMYFUNCTION("""COMPUTED_VALUE"""),"Necessário Discovery")</f>
        <v>Necessário Discovery</v>
      </c>
      <c r="BE717" s="4">
        <f>IFERROR(__xludf.DUMMYFUNCTION("""COMPUTED_VALUE"""),58.0)</f>
        <v>58</v>
      </c>
      <c r="BF717" s="4">
        <f>IFERROR(__xludf.DUMMYFUNCTION("""COMPUTED_VALUE"""),0.6)</f>
        <v>0.6</v>
      </c>
      <c r="BG717" s="4" t="str">
        <f>IFERROR(__xludf.DUMMYFUNCTION("""COMPUTED_VALUE"""),"PDV não identificado - Franquia empadas 14 lojas (João Pessoa 9-12, nordeste). 30 anos mercado. 3S: padronização franquias, gestão multi-loja, delivery")</f>
        <v>PDV não identificado - Franquia empadas 14 lojas (João Pessoa 9-12, nordeste). 30 anos mercado. 3S: padronização franquias, gestão multi-loja, delivery</v>
      </c>
      <c r="BH717" s="4" t="s">
        <v>63</v>
      </c>
      <c r="BI717" s="7" t="s">
        <v>63</v>
      </c>
    </row>
    <row r="718" hidden="1">
      <c r="A718" s="4" t="str">
        <f>IFERROR(__xludf.DUMMYFUNCTION("""COMPUTED_VALUE"""),"Didio Pizza")</f>
        <v>Didio Pizza</v>
      </c>
      <c r="B718" s="4" t="str">
        <f>IFERROR(__xludf.DUMMYFUNCTION("""COMPUTED_VALUE"""),"Lídia Esteves")</f>
        <v>Lídia Esteves</v>
      </c>
      <c r="C718" s="4" t="str">
        <f>IFERROR(__xludf.DUMMYFUNCTION("""COMPUTED_VALUE"""),"Gabriela Roma")</f>
        <v>Gabriela Roma</v>
      </c>
      <c r="D718" s="4" t="str">
        <f>IFERROR(__xludf.DUMMYFUNCTION("""COMPUTED_VALUE"""),"6. Negociação")</f>
        <v>6. Negociação</v>
      </c>
      <c r="E718" s="4" t="str">
        <f>IFERROR(__xludf.DUMMYFUNCTION("""COMPUTED_VALUE"""),"Comercial - Em negociação de proposta")</f>
        <v>Comercial - Em negociação de proposta</v>
      </c>
      <c r="F718" s="4" t="str">
        <f>IFERROR(__xludf.DUMMYFUNCTION("""COMPUTED_VALUE"""),"P")</f>
        <v>P</v>
      </c>
      <c r="G718" s="5">
        <f>IFERROR(__xludf.DUMMYFUNCTION("""COMPUTED_VALUE"""),46154.0)</f>
        <v>46154</v>
      </c>
      <c r="H718" s="4" t="str">
        <f>IFERROR(__xludf.DUMMYFUNCTION("""COMPUTED_VALUE"""),"Parceiro nos pediu contraproposta, em validação.")</f>
        <v>Parceiro nos pediu contraproposta, em validação.</v>
      </c>
      <c r="I718" s="6">
        <f>IFERROR(__xludf.DUMMYFUNCTION("""COMPUTED_VALUE"""),46121.6338721412)</f>
        <v>46121.63387</v>
      </c>
      <c r="J718" s="6">
        <f>IFERROR(__xludf.DUMMYFUNCTION("""COMPUTED_VALUE"""),46121.63397112269)</f>
        <v>46121.63397</v>
      </c>
      <c r="K718" s="6">
        <f>IFERROR(__xludf.DUMMYFUNCTION("""COMPUTED_VALUE"""),46121.634060972225)</f>
        <v>46121.63406</v>
      </c>
      <c r="L718" s="6">
        <f>IFERROR(__xludf.DUMMYFUNCTION("""COMPUTED_VALUE"""),46121.63411488426)</f>
        <v>46121.63411</v>
      </c>
      <c r="M718" s="6">
        <f>IFERROR(__xludf.DUMMYFUNCTION("""COMPUTED_VALUE"""),46136.40651746528)</f>
        <v>46136.40652</v>
      </c>
      <c r="N718" s="6">
        <f>IFERROR(__xludf.DUMMYFUNCTION("""COMPUTED_VALUE"""),46140.52052128472)</f>
        <v>46140.52052</v>
      </c>
      <c r="O718" s="4"/>
      <c r="P718" s="4"/>
      <c r="Q718" s="4"/>
      <c r="R718" s="4"/>
      <c r="S718" s="4"/>
      <c r="T718" s="4"/>
      <c r="U718" s="4"/>
      <c r="V718" s="4"/>
      <c r="W718" s="4"/>
      <c r="X718" s="4"/>
      <c r="Y718" s="4"/>
      <c r="Z718" s="4"/>
      <c r="AA718" s="4">
        <f>IFERROR(__xludf.DUMMYFUNCTION("""COMPUTED_VALUE"""),18.0)</f>
        <v>18</v>
      </c>
      <c r="AB718" s="4" t="str">
        <f>IFERROR(__xludf.DUMMYFUNCTION("""COMPUTED_VALUE"""),"Não")</f>
        <v>Não</v>
      </c>
      <c r="AC718" s="4" t="str">
        <f>IFERROR(__xludf.DUMMYFUNCTION("""COMPUTED_VALUE"""),"Não")</f>
        <v>Não</v>
      </c>
      <c r="AD718" s="4" t="str">
        <f>IFERROR(__xludf.DUMMYFUNCTION("""COMPUTED_VALUE"""),"Linx")</f>
        <v>Linx</v>
      </c>
      <c r="AE718" s="4"/>
      <c r="AF718" s="4"/>
      <c r="AG718" s="4"/>
      <c r="AH718" s="4"/>
      <c r="AI718" s="4"/>
      <c r="AJ718" s="4"/>
      <c r="AK718" s="4"/>
      <c r="AL718" s="4"/>
      <c r="AM718" s="4" t="str">
        <f>IFERROR(__xludf.DUMMYFUNCTION("""COMPUTED_VALUE"""),"FY27")</f>
        <v>FY27</v>
      </c>
      <c r="AN718" s="4"/>
      <c r="AO718" s="4">
        <f>IFERROR(__xludf.DUMMYFUNCTION("""COMPUTED_VALUE"""),61.0)</f>
        <v>61</v>
      </c>
      <c r="AP718" s="4"/>
      <c r="AQ718" s="4"/>
      <c r="AR718" s="4"/>
      <c r="AS718" s="4" t="str">
        <f>IFERROR(__xludf.DUMMYFUNCTION("""COMPUTED_VALUE"""),"ISABELA GOULART")</f>
        <v>ISABELA GOULART</v>
      </c>
      <c r="AT718" s="4" t="str">
        <f>IFERROR(__xludf.DUMMYFUNCTION("""COMPUTED_VALUE"""),"THIAGO MORSELLI")</f>
        <v>THIAGO MORSELLI</v>
      </c>
      <c r="AU718" s="4">
        <f>IFERROR(__xludf.DUMMYFUNCTION("""COMPUTED_VALUE"""),0.0)</f>
        <v>0</v>
      </c>
      <c r="AV718" s="4" t="str">
        <f>IFERROR(__xludf.DUMMYFUNCTION("""COMPUTED_VALUE"""),"Comer Fora-")</f>
        <v>Comer Fora-</v>
      </c>
      <c r="AW718" s="20" t="str">
        <f>IFERROR(__xludf.DUMMYFUNCTION("""COMPUTED_VALUE"""),"BASE SAIPOS")</f>
        <v>BASE SAIPOS</v>
      </c>
      <c r="AX718" s="4" t="str">
        <f>IFERROR(__xludf.DUMMYFUNCTION("""COMPUTED_VALUE"""),"Base P1+P2")</f>
        <v>Base P1+P2</v>
      </c>
      <c r="AY718" s="4"/>
      <c r="AZ718" s="4" t="str">
        <f>IFERROR(__xludf.DUMMYFUNCTION("""COMPUTED_VALUE"""),"Lanches")</f>
        <v>Lanches</v>
      </c>
      <c r="BA718" s="4" t="str">
        <f>IFERROR(__xludf.DUMMYFUNCTION("""COMPUTED_VALUE"""),"")</f>
        <v/>
      </c>
      <c r="BB718" s="4" t="str">
        <f>IFERROR(__xludf.DUMMYFUNCTION("""COMPUTED_VALUE"""),"")</f>
        <v/>
      </c>
      <c r="BC718" s="4" t="str">
        <f>IFERROR(__xludf.DUMMYFUNCTION("""COMPUTED_VALUE"""),"")</f>
        <v/>
      </c>
      <c r="BD718" s="4" t="str">
        <f>IFERROR(__xludf.DUMMYFUNCTION("""COMPUTED_VALUE"""),"")</f>
        <v/>
      </c>
      <c r="BE718" s="4" t="str">
        <f>IFERROR(__xludf.DUMMYFUNCTION("""COMPUTED_VALUE"""),"")</f>
        <v/>
      </c>
      <c r="BF718" s="4" t="str">
        <f>IFERROR(__xludf.DUMMYFUNCTION("""COMPUTED_VALUE"""),"")</f>
        <v/>
      </c>
      <c r="BG718" s="4" t="str">
        <f>IFERROR(__xludf.DUMMYFUNCTION("""COMPUTED_VALUE"""),"")</f>
        <v/>
      </c>
      <c r="BH718" s="4" t="s">
        <v>72</v>
      </c>
      <c r="BI718" s="7">
        <v>0.6111111111111112</v>
      </c>
    </row>
    <row r="719" hidden="1">
      <c r="A719" s="4" t="str">
        <f>IFERROR(__xludf.DUMMYFUNCTION("""COMPUTED_VALUE"""),"Nippon")</f>
        <v>Nippon</v>
      </c>
      <c r="B719" s="4" t="str">
        <f>IFERROR(__xludf.DUMMYFUNCTION("""COMPUTED_VALUE"""),"João Biagiotti")</f>
        <v>João Biagiotti</v>
      </c>
      <c r="C719" s="4" t="str">
        <f>IFERROR(__xludf.DUMMYFUNCTION("""COMPUTED_VALUE"""),"Diego Santos")</f>
        <v>Diego Santos</v>
      </c>
      <c r="D719" s="4" t="str">
        <f>IFERROR(__xludf.DUMMYFUNCTION("""COMPUTED_VALUE"""),"13. Reativado")</f>
        <v>13. Reativado</v>
      </c>
      <c r="E719" s="4" t="str">
        <f>IFERROR(__xludf.DUMMYFUNCTION("""COMPUTED_VALUE"""),"Perdido - Fechou com concorrente")</f>
        <v>Perdido - Fechou com concorrente</v>
      </c>
      <c r="F719" s="4" t="str">
        <f>IFERROR(__xludf.DUMMYFUNCTION("""COMPUTED_VALUE"""),"P")</f>
        <v>P</v>
      </c>
      <c r="G719" s="5">
        <f>IFERROR(__xludf.DUMMYFUNCTION("""COMPUTED_VALUE"""),46129.0)</f>
        <v>46129</v>
      </c>
      <c r="H719" s="4" t="str">
        <f>IFERROR(__xludf.DUMMYFUNCTION("""COMPUTED_VALUE"""),"Marca fechou recentemente com a GCOM")</f>
        <v>Marca fechou recentemente com a GCOM</v>
      </c>
      <c r="I719" s="6">
        <f>IFERROR(__xludf.DUMMYFUNCTION("""COMPUTED_VALUE"""),46119.41130263889)</f>
        <v>46119.4113</v>
      </c>
      <c r="J719" s="4"/>
      <c r="K719" s="4"/>
      <c r="L719" s="4"/>
      <c r="M719" s="4"/>
      <c r="N719" s="4"/>
      <c r="O719" s="4"/>
      <c r="P719" s="4"/>
      <c r="Q719" s="4"/>
      <c r="R719" s="6">
        <f>IFERROR(__xludf.DUMMYFUNCTION("""COMPUTED_VALUE"""),46129.50631938658)</f>
        <v>46129.50632</v>
      </c>
      <c r="S719" s="6">
        <f>IFERROR(__xludf.DUMMYFUNCTION("""COMPUTED_VALUE"""),46119.416234027776)</f>
        <v>46119.41623</v>
      </c>
      <c r="T719" s="4"/>
      <c r="U719" s="6">
        <f>IFERROR(__xludf.DUMMYFUNCTION("""COMPUTED_VALUE"""),46154.482957569446)</f>
        <v>46154.48296</v>
      </c>
      <c r="V719" s="4" t="str">
        <f>IFERROR(__xludf.DUMMYFUNCTION("""COMPUTED_VALUE"""),"Fechou com concorrente há pouco tempo")</f>
        <v>Fechou com concorrente há pouco tempo</v>
      </c>
      <c r="W719" s="4"/>
      <c r="X719" s="4"/>
      <c r="Y719" s="4"/>
      <c r="Z719" s="4"/>
      <c r="AA719" s="4">
        <f>IFERROR(__xludf.DUMMYFUNCTION("""COMPUTED_VALUE"""),1.0)</f>
        <v>1</v>
      </c>
      <c r="AB719" s="4" t="str">
        <f>IFERROR(__xludf.DUMMYFUNCTION("""COMPUTED_VALUE"""),"Não")</f>
        <v>Não</v>
      </c>
      <c r="AC719" s="4" t="str">
        <f>IFERROR(__xludf.DUMMYFUNCTION("""COMPUTED_VALUE"""),"Não")</f>
        <v>Não</v>
      </c>
      <c r="AD719" s="4" t="str">
        <f>IFERROR(__xludf.DUMMYFUNCTION("""COMPUTED_VALUE"""),"GCOM")</f>
        <v>GCOM</v>
      </c>
      <c r="AE719" s="4"/>
      <c r="AF719" s="4"/>
      <c r="AG719" s="4"/>
      <c r="AH719" s="4">
        <f>IFERROR(__xludf.DUMMYFUNCTION("""COMPUTED_VALUE"""),17.0)</f>
        <v>17</v>
      </c>
      <c r="AI719" s="4" t="str">
        <f>IFERROR(__xludf.DUMMYFUNCTION("""COMPUTED_VALUE"""),"1,1 M")</f>
        <v>1,1 M</v>
      </c>
      <c r="AJ719" s="4" t="str">
        <f>IFERROR(__xludf.DUMMYFUNCTION("""COMPUTED_VALUE"""),"GCOM")</f>
        <v>GCOM</v>
      </c>
      <c r="AK719" s="4" t="str">
        <f>IFERROR(__xludf.DUMMYFUNCTION("""COMPUTED_VALUE"""),"Salão e delivery")</f>
        <v>Salão e delivery</v>
      </c>
      <c r="AL719" s="4"/>
      <c r="AM719" s="4" t="str">
        <f>IFERROR(__xludf.DUMMYFUNCTION("""COMPUTED_VALUE"""),"FY26, FY27")</f>
        <v>FY26, FY27</v>
      </c>
      <c r="AN719" s="4"/>
      <c r="AO719" s="4">
        <f>IFERROR(__xludf.DUMMYFUNCTION("""COMPUTED_VALUE"""),86.0)</f>
        <v>86</v>
      </c>
      <c r="AP719" s="4"/>
      <c r="AQ719" s="4"/>
      <c r="AR719" s="4"/>
      <c r="AS719" s="4">
        <f>IFERROR(__xludf.DUMMYFUNCTION("""COMPUTED_VALUE"""),0.0)</f>
        <v>0</v>
      </c>
      <c r="AT719" s="4">
        <f>IFERROR(__xludf.DUMMYFUNCTION("""COMPUTED_VALUE"""),0.0)</f>
        <v>0</v>
      </c>
      <c r="AU719" s="4" t="str">
        <f>IFERROR(__xludf.DUMMYFUNCTION("""COMPUTED_VALUE"""),"Michel")</f>
        <v>Michel</v>
      </c>
      <c r="AV719" s="4">
        <f>IFERROR(__xludf.DUMMYFUNCTION("""COMPUTED_VALUE"""),0.0)</f>
        <v>0</v>
      </c>
      <c r="AW719" s="4">
        <f>IFERROR(__xludf.DUMMYFUNCTION("""COMPUTED_VALUE"""),0.0)</f>
        <v>0</v>
      </c>
      <c r="AX719" s="4">
        <f>IFERROR(__xludf.DUMMYFUNCTION("""COMPUTED_VALUE"""),0.0)</f>
        <v>0</v>
      </c>
      <c r="AY719" s="4"/>
      <c r="AZ719" s="4" t="str">
        <f>IFERROR(__xludf.DUMMYFUNCTION("""COMPUTED_VALUE"""),"Japonesa")</f>
        <v>Japonesa</v>
      </c>
      <c r="BA719" s="4" t="str">
        <f>IFERROR(__xludf.DUMMYFUNCTION("""COMPUTED_VALUE"""),"")</f>
        <v/>
      </c>
      <c r="BB719" s="4" t="str">
        <f>IFERROR(__xludf.DUMMYFUNCTION("""COMPUTED_VALUE"""),"")</f>
        <v/>
      </c>
      <c r="BC719" s="4" t="str">
        <f>IFERROR(__xludf.DUMMYFUNCTION("""COMPUTED_VALUE"""),"")</f>
        <v/>
      </c>
      <c r="BD719" s="4" t="str">
        <f>IFERROR(__xludf.DUMMYFUNCTION("""COMPUTED_VALUE"""),"")</f>
        <v/>
      </c>
      <c r="BE719" s="4" t="str">
        <f>IFERROR(__xludf.DUMMYFUNCTION("""COMPUTED_VALUE"""),"")</f>
        <v/>
      </c>
      <c r="BF719" s="4" t="str">
        <f>IFERROR(__xludf.DUMMYFUNCTION("""COMPUTED_VALUE"""),"")</f>
        <v/>
      </c>
      <c r="BG719" s="4" t="str">
        <f>IFERROR(__xludf.DUMMYFUNCTION("""COMPUTED_VALUE"""),"")</f>
        <v/>
      </c>
      <c r="BH719" s="4" t="s">
        <v>130</v>
      </c>
      <c r="BI719" s="7">
        <v>1.0</v>
      </c>
    </row>
    <row r="720" hidden="1">
      <c r="A720" s="4" t="str">
        <f>IFERROR(__xludf.DUMMYFUNCTION("""COMPUTED_VALUE"""),"O Forneiro")</f>
        <v>O Forneiro</v>
      </c>
      <c r="B720" s="4" t="str">
        <f>IFERROR(__xludf.DUMMYFUNCTION("""COMPUTED_VALUE"""),"Lídia Esteves")</f>
        <v>Lídia Esteves</v>
      </c>
      <c r="C720" s="4" t="str">
        <f>IFERROR(__xludf.DUMMYFUNCTION("""COMPUTED_VALUE"""),"Gabriela Roma")</f>
        <v>Gabriela Roma</v>
      </c>
      <c r="D720" s="4" t="str">
        <f>IFERROR(__xludf.DUMMYFUNCTION("""COMPUTED_VALUE"""),"10. Perdido")</f>
        <v>10. Perdido</v>
      </c>
      <c r="E720" s="4" t="str">
        <f>IFERROR(__xludf.DUMMYFUNCTION("""COMPUTED_VALUE"""),"Perdido - Sem perfil LA / 3SCheckout / PDV próprio")</f>
        <v>Perdido - Sem perfil LA / 3SCheckout / PDV próprio</v>
      </c>
      <c r="F720" s="4" t="str">
        <f>IFERROR(__xludf.DUMMYFUNCTION("""COMPUTED_VALUE"""),"P")</f>
        <v>P</v>
      </c>
      <c r="G720" s="5">
        <f>IFERROR(__xludf.DUMMYFUNCTION("""COMPUTED_VALUE"""),46154.0)</f>
        <v>46154</v>
      </c>
      <c r="H720" s="4" t="str">
        <f>IFERROR(__xludf.DUMMYFUNCTION("""COMPUTED_VALUE"""),"sem perfil LA")</f>
        <v>sem perfil LA</v>
      </c>
      <c r="I720" s="4"/>
      <c r="J720" s="6">
        <f>IFERROR(__xludf.DUMMYFUNCTION("""COMPUTED_VALUE"""),46077.0)</f>
        <v>46077</v>
      </c>
      <c r="K720" s="6">
        <f>IFERROR(__xludf.DUMMYFUNCTION("""COMPUTED_VALUE"""),46077.0)</f>
        <v>46077</v>
      </c>
      <c r="L720" s="6">
        <f>IFERROR(__xludf.DUMMYFUNCTION("""COMPUTED_VALUE"""),46077.0)</f>
        <v>46077</v>
      </c>
      <c r="M720" s="6">
        <f>IFERROR(__xludf.DUMMYFUNCTION("""COMPUTED_VALUE"""),46092.0)</f>
        <v>46092</v>
      </c>
      <c r="N720" s="6">
        <f>IFERROR(__xludf.DUMMYFUNCTION("""COMPUTED_VALUE"""),46118.73657681713)</f>
        <v>46118.73658</v>
      </c>
      <c r="O720" s="4"/>
      <c r="P720" s="4"/>
      <c r="Q720" s="4"/>
      <c r="R720" s="6">
        <f>IFERROR(__xludf.DUMMYFUNCTION("""COMPUTED_VALUE"""),46154.4363246875)</f>
        <v>46154.43632</v>
      </c>
      <c r="S720" s="6">
        <f>IFERROR(__xludf.DUMMYFUNCTION("""COMPUTED_VALUE"""),46119.467155729166)</f>
        <v>46119.46716</v>
      </c>
      <c r="T720" s="4"/>
      <c r="U720" s="4"/>
      <c r="V720" s="4" t="str">
        <f>IFERROR(__xludf.DUMMYFUNCTION("""COMPUTED_VALUE"""),"Sem perfil LA")</f>
        <v>Sem perfil LA</v>
      </c>
      <c r="W720" s="4"/>
      <c r="X720" s="4"/>
      <c r="Y720" s="4"/>
      <c r="Z720" s="4"/>
      <c r="AA720" s="4">
        <f>IFERROR(__xludf.DUMMYFUNCTION("""COMPUTED_VALUE"""),1.0)</f>
        <v>1</v>
      </c>
      <c r="AB720" s="4" t="str">
        <f>IFERROR(__xludf.DUMMYFUNCTION("""COMPUTED_VALUE"""),"Não")</f>
        <v>Não</v>
      </c>
      <c r="AC720" s="4" t="str">
        <f>IFERROR(__xludf.DUMMYFUNCTION("""COMPUTED_VALUE"""),"Não")</f>
        <v>Não</v>
      </c>
      <c r="AD720" s="4"/>
      <c r="AE720" s="4"/>
      <c r="AF720" s="4"/>
      <c r="AG720" s="4"/>
      <c r="AH720" s="4"/>
      <c r="AI720" s="4"/>
      <c r="AJ720" s="4"/>
      <c r="AK720" s="4"/>
      <c r="AL720" s="4"/>
      <c r="AM720" s="4" t="str">
        <f>IFERROR(__xludf.DUMMYFUNCTION("""COMPUTED_VALUE"""),"FY27")</f>
        <v>FY27</v>
      </c>
      <c r="AN720" s="4"/>
      <c r="AO720" s="4">
        <f>IFERROR(__xludf.DUMMYFUNCTION("""COMPUTED_VALUE"""),61.0)</f>
        <v>61</v>
      </c>
      <c r="AP720" s="4"/>
      <c r="AQ720" s="4"/>
      <c r="AR720" s="4"/>
      <c r="AS720" s="4">
        <f>IFERROR(__xludf.DUMMYFUNCTION("""COMPUTED_VALUE"""),0.0)</f>
        <v>0</v>
      </c>
      <c r="AT720" s="4">
        <f>IFERROR(__xludf.DUMMYFUNCTION("""COMPUTED_VALUE"""),0.0)</f>
        <v>0</v>
      </c>
      <c r="AU720" s="4">
        <f>IFERROR(__xludf.DUMMYFUNCTION("""COMPUTED_VALUE"""),0.0)</f>
        <v>0</v>
      </c>
      <c r="AV720" s="4">
        <f>IFERROR(__xludf.DUMMYFUNCTION("""COMPUTED_VALUE"""),0.0)</f>
        <v>0</v>
      </c>
      <c r="AW720" s="4">
        <f>IFERROR(__xludf.DUMMYFUNCTION("""COMPUTED_VALUE"""),0.0)</f>
        <v>0</v>
      </c>
      <c r="AX720" s="4">
        <f>IFERROR(__xludf.DUMMYFUNCTION("""COMPUTED_VALUE"""),0.0)</f>
        <v>0</v>
      </c>
      <c r="AY720" s="4">
        <f>IFERROR(__xludf.DUMMYFUNCTION("""COMPUTED_VALUE"""),0.0)</f>
        <v>0</v>
      </c>
      <c r="AZ720" s="4" t="str">
        <f>IFERROR(__xludf.DUMMYFUNCTION("""COMPUTED_VALUE"""),"NA")</f>
        <v>NA</v>
      </c>
      <c r="BA720" s="4" t="str">
        <f>IFERROR(__xludf.DUMMYFUNCTION("""COMPUTED_VALUE"""),"R$ 40-70")</f>
        <v>R$ 40-70</v>
      </c>
      <c r="BB720" s="4" t="str">
        <f>IFERROR(__xludf.DUMMYFUNCTION("""COMPUTED_VALUE"""),"Casual Dining - Pizzaria")</f>
        <v>Casual Dining - Pizzaria</v>
      </c>
      <c r="BC720" s="4" t="str">
        <f>IFERROR(__xludf.DUMMYFUNCTION("""COMPUTED_VALUE"""),"São Paulo (Mairiporã - 2 lojas)")</f>
        <v>São Paulo (Mairiporã - 2 lojas)</v>
      </c>
      <c r="BD720" s="4" t="str">
        <f>IFERROR(__xludf.DUMMYFUNCTION("""COMPUTED_VALUE"""),"Necessário Discovery")</f>
        <v>Necessário Discovery</v>
      </c>
      <c r="BE720" s="4">
        <f>IFERROR(__xludf.DUMMYFUNCTION("""COMPUTED_VALUE"""),40.0)</f>
        <v>40</v>
      </c>
      <c r="BF720" s="4">
        <f>IFERROR(__xludf.DUMMYFUNCTION("""COMPUTED_VALUE"""),0.45)</f>
        <v>0.45</v>
      </c>
      <c r="BG720" s="4" t="str">
        <f>IFERROR(__xludf.DUMMYFUNCTION("""COMPUTED_VALUE"""),"PDV não identificado - Pizzaria local 2 lojas Mairiporã/SP. 3S: solução básica delivery/gestão")</f>
        <v>PDV não identificado - Pizzaria local 2 lojas Mairiporã/SP. 3S: solução básica delivery/gestão</v>
      </c>
      <c r="BH720" s="4" t="s">
        <v>63</v>
      </c>
      <c r="BI720" s="7" t="s">
        <v>63</v>
      </c>
    </row>
    <row r="721" hidden="1">
      <c r="A721" s="4" t="str">
        <f>IFERROR(__xludf.DUMMYFUNCTION("""COMPUTED_VALUE"""),"MAREMONTI")</f>
        <v>MAREMONTI</v>
      </c>
      <c r="B721" s="4" t="str">
        <f>IFERROR(__xludf.DUMMYFUNCTION("""COMPUTED_VALUE"""),"Lídia Esteves")</f>
        <v>Lídia Esteves</v>
      </c>
      <c r="C721" s="4" t="str">
        <f>IFERROR(__xludf.DUMMYFUNCTION("""COMPUTED_VALUE"""),"Gabriela Roma")</f>
        <v>Gabriela Roma</v>
      </c>
      <c r="D721" s="4" t="str">
        <f>IFERROR(__xludf.DUMMYFUNCTION("""COMPUTED_VALUE"""),"0. Não Iniciado")</f>
        <v>0. Não Iniciado</v>
      </c>
      <c r="E721" s="4"/>
      <c r="F721" s="4" t="str">
        <f>IFERROR(__xludf.DUMMYFUNCTION("""COMPUTED_VALUE"""),"P")</f>
        <v>P</v>
      </c>
      <c r="G721" s="4"/>
      <c r="H721" s="4"/>
      <c r="I721" s="4"/>
      <c r="J721" s="4"/>
      <c r="K721" s="4"/>
      <c r="L721" s="4"/>
      <c r="M721" s="4"/>
      <c r="N721" s="4"/>
      <c r="O721" s="4"/>
      <c r="P721" s="4"/>
      <c r="Q721" s="4"/>
      <c r="R721" s="4"/>
      <c r="S721" s="4"/>
      <c r="T721" s="4"/>
      <c r="U721" s="4"/>
      <c r="V721" s="4"/>
      <c r="W721" s="4"/>
      <c r="X721" s="4"/>
      <c r="Y721" s="4"/>
      <c r="Z721" s="4"/>
      <c r="AA721" s="4">
        <f>IFERROR(__xludf.DUMMYFUNCTION("""COMPUTED_VALUE"""),10.0)</f>
        <v>10</v>
      </c>
      <c r="AB721" s="4" t="str">
        <f>IFERROR(__xludf.DUMMYFUNCTION("""COMPUTED_VALUE"""),"Não")</f>
        <v>Não</v>
      </c>
      <c r="AC721" s="4" t="str">
        <f>IFERROR(__xludf.DUMMYFUNCTION("""COMPUTED_VALUE"""),"Não")</f>
        <v>Não</v>
      </c>
      <c r="AD721" s="4"/>
      <c r="AE721" s="4"/>
      <c r="AF721" s="4"/>
      <c r="AG721" s="4"/>
      <c r="AH721" s="4"/>
      <c r="AI721" s="4"/>
      <c r="AJ721" s="4"/>
      <c r="AK721" s="4"/>
      <c r="AL721" s="4"/>
      <c r="AM721" s="4" t="str">
        <f>IFERROR(__xludf.DUMMYFUNCTION("""COMPUTED_VALUE"""),"FY27")</f>
        <v>FY27</v>
      </c>
      <c r="AN721" s="4"/>
      <c r="AO721" s="4">
        <f>IFERROR(__xludf.DUMMYFUNCTION("""COMPUTED_VALUE"""),45553.0)</f>
        <v>45553</v>
      </c>
      <c r="AP721" s="4"/>
      <c r="AQ721" s="4"/>
      <c r="AR721" s="4"/>
      <c r="AS721" s="4" t="str">
        <f>IFERROR(__xludf.DUMMYFUNCTION("""COMPUTED_VALUE"""),"THIAGO ROMAGNOLE")</f>
        <v>THIAGO ROMAGNOLE</v>
      </c>
      <c r="AT721" s="4" t="str">
        <f>IFERROR(__xludf.DUMMYFUNCTION("""COMPUTED_VALUE"""),"BRUNA TASSINARI")</f>
        <v>BRUNA TASSINARI</v>
      </c>
      <c r="AU721" s="4">
        <f>IFERROR(__xludf.DUMMYFUNCTION("""COMPUTED_VALUE"""),0.0)</f>
        <v>0</v>
      </c>
      <c r="AV721" s="4">
        <f>IFERROR(__xludf.DUMMYFUNCTION("""COMPUTED_VALUE"""),0.0)</f>
        <v>0</v>
      </c>
      <c r="AW721" s="4">
        <f>IFERROR(__xludf.DUMMYFUNCTION("""COMPUTED_VALUE"""),0.0)</f>
        <v>0</v>
      </c>
      <c r="AX721" s="4">
        <f>IFERROR(__xludf.DUMMYFUNCTION("""COMPUTED_VALUE"""),0.0)</f>
        <v>0</v>
      </c>
      <c r="AY721" s="4" t="str">
        <f>IFERROR(__xludf.DUMMYFUNCTION("""COMPUTED_VALUE"""),"Venditx Ltda")</f>
        <v>Venditx Ltda</v>
      </c>
      <c r="AZ721" s="4" t="str">
        <f>IFERROR(__xludf.DUMMYFUNCTION("""COMPUTED_VALUE"""),"Italiana; Pizza")</f>
        <v>Italiana; Pizza</v>
      </c>
      <c r="BA721" s="4" t="str">
        <f>IFERROR(__xludf.DUMMYFUNCTION("""COMPUTED_VALUE"""),"")</f>
        <v/>
      </c>
      <c r="BB721" s="4" t="str">
        <f>IFERROR(__xludf.DUMMYFUNCTION("""COMPUTED_VALUE"""),"")</f>
        <v/>
      </c>
      <c r="BC721" s="4" t="str">
        <f>IFERROR(__xludf.DUMMYFUNCTION("""COMPUTED_VALUE"""),"")</f>
        <v/>
      </c>
      <c r="BD721" s="4" t="str">
        <f>IFERROR(__xludf.DUMMYFUNCTION("""COMPUTED_VALUE"""),"")</f>
        <v/>
      </c>
      <c r="BE721" s="4" t="str">
        <f>IFERROR(__xludf.DUMMYFUNCTION("""COMPUTED_VALUE"""),"")</f>
        <v/>
      </c>
      <c r="BF721" s="4" t="str">
        <f>IFERROR(__xludf.DUMMYFUNCTION("""COMPUTED_VALUE"""),"")</f>
        <v/>
      </c>
      <c r="BG721" s="4" t="str">
        <f>IFERROR(__xludf.DUMMYFUNCTION("""COMPUTED_VALUE"""),"")</f>
        <v/>
      </c>
      <c r="BH721" s="4" t="s">
        <v>63</v>
      </c>
      <c r="BI721" s="7" t="s">
        <v>63</v>
      </c>
    </row>
    <row r="722" hidden="1">
      <c r="A722" s="4" t="str">
        <f>IFERROR(__xludf.DUMMYFUNCTION("""COMPUTED_VALUE"""),"ENJOY MAIS QUE TEMAKI SUSHI")</f>
        <v>ENJOY MAIS QUE TEMAKI SUSHI</v>
      </c>
      <c r="B722" s="4" t="str">
        <f>IFERROR(__xludf.DUMMYFUNCTION("""COMPUTED_VALUE"""),"Lídia Esteves")</f>
        <v>Lídia Esteves</v>
      </c>
      <c r="C722" s="4" t="str">
        <f>IFERROR(__xludf.DUMMYFUNCTION("""COMPUTED_VALUE"""),"Gabriela Roma")</f>
        <v>Gabriela Roma</v>
      </c>
      <c r="D722" s="4" t="str">
        <f>IFERROR(__xludf.DUMMYFUNCTION("""COMPUTED_VALUE"""),"9. Contrato assinado")</f>
        <v>9. Contrato assinado</v>
      </c>
      <c r="E722" s="4" t="str">
        <f>IFERROR(__xludf.DUMMYFUNCTION("""COMPUTED_VALUE""")," Projetos - Contrato assinado &amp; Rollout")</f>
        <v> Projetos - Contrato assinado &amp; Rollout</v>
      </c>
      <c r="F722" s="4" t="str">
        <f>IFERROR(__xludf.DUMMYFUNCTION("""COMPUTED_VALUE"""),"P")</f>
        <v>P</v>
      </c>
      <c r="G722" s="5">
        <f>IFERROR(__xludf.DUMMYFUNCTION("""COMPUTED_VALUE"""),46136.0)</f>
        <v>46136</v>
      </c>
      <c r="H722" s="4" t="str">
        <f>IFERROR(__xludf.DUMMYFUNCTION("""COMPUTED_VALUE"""),"contrato assinado")</f>
        <v>contrato assinado</v>
      </c>
      <c r="I722" s="4"/>
      <c r="J722" s="6">
        <f>IFERROR(__xludf.DUMMYFUNCTION("""COMPUTED_VALUE"""),46099.0)</f>
        <v>46099</v>
      </c>
      <c r="K722" s="6">
        <f>IFERROR(__xludf.DUMMYFUNCTION("""COMPUTED_VALUE"""),46099.0)</f>
        <v>46099</v>
      </c>
      <c r="L722" s="6">
        <f>IFERROR(__xludf.DUMMYFUNCTION("""COMPUTED_VALUE"""),46099.0)</f>
        <v>46099</v>
      </c>
      <c r="M722" s="6">
        <f>IFERROR(__xludf.DUMMYFUNCTION("""COMPUTED_VALUE"""),46104.0)</f>
        <v>46104</v>
      </c>
      <c r="N722" s="6">
        <f>IFERROR(__xludf.DUMMYFUNCTION("""COMPUTED_VALUE"""),46120.50736578704)</f>
        <v>46120.50737</v>
      </c>
      <c r="O722" s="6">
        <f>IFERROR(__xludf.DUMMYFUNCTION("""COMPUTED_VALUE"""),46136.40676571759)</f>
        <v>46136.40677</v>
      </c>
      <c r="P722" s="6">
        <f>IFERROR(__xludf.DUMMYFUNCTION("""COMPUTED_VALUE"""),46136.406961863424)</f>
        <v>46136.40696</v>
      </c>
      <c r="Q722" s="6">
        <f>IFERROR(__xludf.DUMMYFUNCTION("""COMPUTED_VALUE"""),46136.40708309028)</f>
        <v>46136.40708</v>
      </c>
      <c r="R722" s="4"/>
      <c r="S722" s="4"/>
      <c r="T722" s="4"/>
      <c r="U722" s="4"/>
      <c r="V722" s="4"/>
      <c r="W722" s="8">
        <f>IFERROR(__xludf.DUMMYFUNCTION("""COMPUTED_VALUE"""),660.0)</f>
        <v>660</v>
      </c>
      <c r="X722" s="4">
        <f>IFERROR(__xludf.DUMMYFUNCTION("""COMPUTED_VALUE"""),48.0)</f>
        <v>48</v>
      </c>
      <c r="Y722" s="8">
        <f>IFERROR(__xludf.DUMMYFUNCTION("""COMPUTED_VALUE"""),1622.0)</f>
        <v>1622</v>
      </c>
      <c r="Z722" s="8">
        <f>IFERROR(__xludf.DUMMYFUNCTION("""COMPUTED_VALUE"""),3000.0)</f>
        <v>3000</v>
      </c>
      <c r="AA722" s="4">
        <f>IFERROR(__xludf.DUMMYFUNCTION("""COMPUTED_VALUE"""),1.0)</f>
        <v>1</v>
      </c>
      <c r="AB722" s="4" t="str">
        <f>IFERROR(__xludf.DUMMYFUNCTION("""COMPUTED_VALUE"""),"Não")</f>
        <v>Não</v>
      </c>
      <c r="AC722" s="4" t="str">
        <f>IFERROR(__xludf.DUMMYFUNCTION("""COMPUTED_VALUE"""),"Não")</f>
        <v>Não</v>
      </c>
      <c r="AD722" s="4"/>
      <c r="AE722" s="4">
        <f>IFERROR(__xludf.DUMMYFUNCTION("""COMPUTED_VALUE"""),1.0)</f>
        <v>1</v>
      </c>
      <c r="AF722" s="4">
        <f>IFERROR(__xludf.DUMMYFUNCTION("""COMPUTED_VALUE"""),4.0)</f>
        <v>4</v>
      </c>
      <c r="AG722" s="4"/>
      <c r="AH722" s="4"/>
      <c r="AI722" s="4"/>
      <c r="AJ722" s="4"/>
      <c r="AK722" s="4"/>
      <c r="AL722" s="4"/>
      <c r="AM722" s="4" t="str">
        <f>IFERROR(__xludf.DUMMYFUNCTION("""COMPUTED_VALUE"""),"FY27")</f>
        <v>FY27</v>
      </c>
      <c r="AN722" s="4"/>
      <c r="AO722" s="4">
        <f>IFERROR(__xludf.DUMMYFUNCTION("""COMPUTED_VALUE"""),79.0)</f>
        <v>79</v>
      </c>
      <c r="AP722" s="4"/>
      <c r="AQ722" s="4"/>
      <c r="AR722" s="4"/>
      <c r="AS722" s="4" t="str">
        <f>IFERROR(__xludf.DUMMYFUNCTION("""COMPUTED_VALUE"""),"THIAGO ROMAGNOLE")</f>
        <v>THIAGO ROMAGNOLE</v>
      </c>
      <c r="AT722" s="4" t="str">
        <f>IFERROR(__xludf.DUMMYFUNCTION("""COMPUTED_VALUE"""),"PAULO MODESTO")</f>
        <v>PAULO MODESTO</v>
      </c>
      <c r="AU722" s="4">
        <f>IFERROR(__xludf.DUMMYFUNCTION("""COMPUTED_VALUE"""),0.0)</f>
        <v>0</v>
      </c>
      <c r="AV722" s="4">
        <f>IFERROR(__xludf.DUMMYFUNCTION("""COMPUTED_VALUE"""),0.0)</f>
        <v>0</v>
      </c>
      <c r="AW722" s="4">
        <f>IFERROR(__xludf.DUMMYFUNCTION("""COMPUTED_VALUE"""),0.0)</f>
        <v>0</v>
      </c>
      <c r="AX722" s="4">
        <f>IFERROR(__xludf.DUMMYFUNCTION("""COMPUTED_VALUE"""),0.0)</f>
        <v>0</v>
      </c>
      <c r="AY722" s="4"/>
      <c r="AZ722" s="4" t="str">
        <f>IFERROR(__xludf.DUMMYFUNCTION("""COMPUTED_VALUE"""),"Japonesa")</f>
        <v>Japonesa</v>
      </c>
      <c r="BA722" s="4" t="str">
        <f>IFERROR(__xludf.DUMMYFUNCTION("""COMPUTED_VALUE"""),"")</f>
        <v/>
      </c>
      <c r="BB722" s="4" t="str">
        <f>IFERROR(__xludf.DUMMYFUNCTION("""COMPUTED_VALUE"""),"")</f>
        <v/>
      </c>
      <c r="BC722" s="4" t="str">
        <f>IFERROR(__xludf.DUMMYFUNCTION("""COMPUTED_VALUE"""),"")</f>
        <v/>
      </c>
      <c r="BD722" s="4" t="str">
        <f>IFERROR(__xludf.DUMMYFUNCTION("""COMPUTED_VALUE"""),"")</f>
        <v/>
      </c>
      <c r="BE722" s="4" t="str">
        <f>IFERROR(__xludf.DUMMYFUNCTION("""COMPUTED_VALUE"""),"")</f>
        <v/>
      </c>
      <c r="BF722" s="4" t="str">
        <f>IFERROR(__xludf.DUMMYFUNCTION("""COMPUTED_VALUE"""),"")</f>
        <v/>
      </c>
      <c r="BG722" s="4" t="str">
        <f>IFERROR(__xludf.DUMMYFUNCTION("""COMPUTED_VALUE"""),"")</f>
        <v/>
      </c>
      <c r="BH722" s="4" t="s">
        <v>63</v>
      </c>
      <c r="BI722" s="7" t="s">
        <v>63</v>
      </c>
    </row>
    <row r="723" hidden="1">
      <c r="A723" s="4" t="str">
        <f>IFERROR(__xludf.DUMMYFUNCTION("""COMPUTED_VALUE"""),"La Borratxeria")</f>
        <v>La Borratxeria</v>
      </c>
      <c r="B723" s="4" t="str">
        <f>IFERROR(__xludf.DUMMYFUNCTION("""COMPUTED_VALUE"""),"Lídia Esteves")</f>
        <v>Lídia Esteves</v>
      </c>
      <c r="C723" s="4" t="str">
        <f>IFERROR(__xludf.DUMMYFUNCTION("""COMPUTED_VALUE"""),"Gabriela Roma")</f>
        <v>Gabriela Roma</v>
      </c>
      <c r="D723" s="4" t="str">
        <f>IFERROR(__xludf.DUMMYFUNCTION("""COMPUTED_VALUE"""),"6. Negociação")</f>
        <v>6. Negociação</v>
      </c>
      <c r="E723" s="4" t="str">
        <f>IFERROR(__xludf.DUMMYFUNCTION("""COMPUTED_VALUE"""),"Parceiro - Aguardando retorno parceiro")</f>
        <v>Parceiro - Aguardando retorno parceiro</v>
      </c>
      <c r="F723" s="4" t="str">
        <f>IFERROR(__xludf.DUMMYFUNCTION("""COMPUTED_VALUE"""),"P")</f>
        <v>P</v>
      </c>
      <c r="G723" s="5">
        <f>IFERROR(__xludf.DUMMYFUNCTION("""COMPUTED_VALUE"""),46154.0)</f>
        <v>46154</v>
      </c>
      <c r="H723" s="4" t="str">
        <f>IFERROR(__xludf.DUMMYFUNCTION("""COMPUTED_VALUE"""),"Cliente procurando ERP como solução e nós como frente de caixa, está nesse processo e pediu para aguardarmos. ")</f>
        <v>Cliente procurando ERP como solução e nós como frente de caixa, está nesse processo e pediu para aguardarmos. </v>
      </c>
      <c r="I723" s="6">
        <f>IFERROR(__xludf.DUMMYFUNCTION("""COMPUTED_VALUE"""),46121.624449016206)</f>
        <v>46121.62445</v>
      </c>
      <c r="J723" s="6">
        <f>IFERROR(__xludf.DUMMYFUNCTION("""COMPUTED_VALUE"""),46121.624522708335)</f>
        <v>46121.62452</v>
      </c>
      <c r="K723" s="6">
        <f>IFERROR(__xludf.DUMMYFUNCTION("""COMPUTED_VALUE"""),46121.6245975)</f>
        <v>46121.6246</v>
      </c>
      <c r="L723" s="6">
        <f>IFERROR(__xludf.DUMMYFUNCTION("""COMPUTED_VALUE"""),46121.62467719907)</f>
        <v>46121.62468</v>
      </c>
      <c r="M723" s="6">
        <f>IFERROR(__xludf.DUMMYFUNCTION("""COMPUTED_VALUE"""),46121.62476017361)</f>
        <v>46121.62476</v>
      </c>
      <c r="N723" s="6">
        <f>IFERROR(__xludf.DUMMYFUNCTION("""COMPUTED_VALUE"""),46121.62485572917)</f>
        <v>46121.62486</v>
      </c>
      <c r="O723" s="4"/>
      <c r="P723" s="4"/>
      <c r="Q723" s="4"/>
      <c r="R723" s="4"/>
      <c r="S723" s="4"/>
      <c r="T723" s="4"/>
      <c r="U723" s="4"/>
      <c r="V723" s="4"/>
      <c r="W723" s="4"/>
      <c r="X723" s="4"/>
      <c r="Y723" s="4"/>
      <c r="Z723" s="4"/>
      <c r="AA723" s="4">
        <f>IFERROR(__xludf.DUMMYFUNCTION("""COMPUTED_VALUE"""),2.0)</f>
        <v>2</v>
      </c>
      <c r="AB723" s="4" t="str">
        <f>IFERROR(__xludf.DUMMYFUNCTION("""COMPUTED_VALUE"""),"NÃO")</f>
        <v>NÃO</v>
      </c>
      <c r="AC723" s="4" t="str">
        <f>IFERROR(__xludf.DUMMYFUNCTION("""COMPUTED_VALUE"""),"BP")</f>
        <v>BP</v>
      </c>
      <c r="AD723" s="4"/>
      <c r="AE723" s="4"/>
      <c r="AF723" s="4"/>
      <c r="AG723" s="4"/>
      <c r="AH723" s="4"/>
      <c r="AI723" s="4"/>
      <c r="AJ723" s="4"/>
      <c r="AK723" s="4"/>
      <c r="AL723" s="4"/>
      <c r="AM723" s="4" t="str">
        <f>IFERROR(__xludf.DUMMYFUNCTION("""COMPUTED_VALUE"""),"FY26, FY27")</f>
        <v>FY26, FY27</v>
      </c>
      <c r="AN723" s="4" t="str">
        <f>IFERROR(__xludf.DUMMYFUNCTION("""COMPUTED_VALUE"""),"Comer Fora")</f>
        <v>Comer Fora</v>
      </c>
      <c r="AO723" s="4">
        <f>IFERROR(__xludf.DUMMYFUNCTION("""COMPUTED_VALUE"""),61.0)</f>
        <v>61</v>
      </c>
      <c r="AP723" s="4"/>
      <c r="AQ723" s="4"/>
      <c r="AR723" s="4"/>
      <c r="AS723" s="4" t="str">
        <f>IFERROR(__xludf.DUMMYFUNCTION("""COMPUTED_VALUE"""),"NATHALIE MERTENS")</f>
        <v>NATHALIE MERTENS</v>
      </c>
      <c r="AT723" s="4" t="str">
        <f>IFERROR(__xludf.DUMMYFUNCTION("""COMPUTED_VALUE"""),"MARIANA KATZ")</f>
        <v>MARIANA KATZ</v>
      </c>
      <c r="AU723" s="4" t="str">
        <f>IFERROR(__xludf.DUMMYFUNCTION("""COMPUTED_VALUE"""),"Lídia")</f>
        <v>Lídia</v>
      </c>
      <c r="AV723" s="4">
        <f>IFERROR(__xludf.DUMMYFUNCTION("""COMPUTED_VALUE"""),0.0)</f>
        <v>0</v>
      </c>
      <c r="AW723" s="4">
        <f>IFERROR(__xludf.DUMMYFUNCTION("""COMPUTED_VALUE"""),0.0)</f>
        <v>0</v>
      </c>
      <c r="AX723" s="4">
        <f>IFERROR(__xludf.DUMMYFUNCTION("""COMPUTED_VALUE"""),0.0)</f>
        <v>0</v>
      </c>
      <c r="AY723" s="4"/>
      <c r="AZ723" s="4" t="str">
        <f>IFERROR(__xludf.DUMMYFUNCTION("""COMPUTED_VALUE"""),"Lanches")</f>
        <v>Lanches</v>
      </c>
      <c r="BA723" s="4" t="str">
        <f>IFERROR(__xludf.DUMMYFUNCTION("""COMPUTED_VALUE"""),"R$ 60-100")</f>
        <v>R$ 60-100</v>
      </c>
      <c r="BB723" s="4" t="str">
        <f>IFERROR(__xludf.DUMMYFUNCTION("""COMPUTED_VALUE"""),"Casual Dining - Espanhola")</f>
        <v>Casual Dining - Espanhola</v>
      </c>
      <c r="BC723" s="4" t="str">
        <f>IFERROR(__xludf.DUMMYFUNCTION("""COMPUTED_VALUE"""),"Curitiba/PR (6 unidades)")</f>
        <v>Curitiba/PR (6 unidades)</v>
      </c>
      <c r="BD723" s="4" t="str">
        <f>IFERROR(__xludf.DUMMYFUNCTION("""COMPUTED_VALUE"""),"R$ 9 milhões (2018, dado histórico)")</f>
        <v>R$ 9 milhões (2018, dado histórico)</v>
      </c>
      <c r="BE723" s="4">
        <f>IFERROR(__xludf.DUMMYFUNCTION("""COMPUTED_VALUE"""),48.0)</f>
        <v>48</v>
      </c>
      <c r="BF723" s="4">
        <f>IFERROR(__xludf.DUMMYFUNCTION("""COMPUTED_VALUE"""),0.52)</f>
        <v>0.52</v>
      </c>
      <c r="BG723" s="4" t="str">
        <f>IFERROR(__xludf.DUMMYFUNCTION("""COMPUTED_VALUE"""),"PDV não identificado (já no Lote 3) - 6 lojas Curitiba. Franquia mexicana crescimento limitado")</f>
        <v>PDV não identificado (já no Lote 3) - 6 lojas Curitiba. Franquia mexicana crescimento limitado</v>
      </c>
      <c r="BH723" s="4" t="s">
        <v>129</v>
      </c>
      <c r="BI723" s="7">
        <v>1.0</v>
      </c>
    </row>
    <row r="724" hidden="1">
      <c r="A724" s="4" t="str">
        <f>IFERROR(__xludf.DUMMYFUNCTION("""COMPUTED_VALUE"""),"Matsuya")</f>
        <v>Matsuya</v>
      </c>
      <c r="B724" s="4" t="str">
        <f>IFERROR(__xludf.DUMMYFUNCTION("""COMPUTED_VALUE"""),"João Biagiotti")</f>
        <v>João Biagiotti</v>
      </c>
      <c r="C724" s="4" t="str">
        <f>IFERROR(__xludf.DUMMYFUNCTION("""COMPUTED_VALUE"""),"Diego Santos")</f>
        <v>Diego Santos</v>
      </c>
      <c r="D724" s="4" t="str">
        <f>IFERROR(__xludf.DUMMYFUNCTION("""COMPUTED_VALUE"""),"1. Iniciado")</f>
        <v>1. Iniciado</v>
      </c>
      <c r="E724" s="4" t="str">
        <f>IFERROR(__xludf.DUMMYFUNCTION("""COMPUTED_VALUE"""),"Delivery - Conciliação agenda com parceiro")</f>
        <v>Delivery - Conciliação agenda com parceiro</v>
      </c>
      <c r="F724" s="4" t="str">
        <f>IFERROR(__xludf.DUMMYFUNCTION("""COMPUTED_VALUE"""),"P")</f>
        <v>P</v>
      </c>
      <c r="G724" s="4" t="str">
        <f>IFERROR(__xludf.DUMMYFUNCTION("""COMPUTED_VALUE"""),"46119.0")</f>
        <v>46119.0</v>
      </c>
      <c r="H724" s="4" t="str">
        <f>IFERROR(__xludf.DUMMYFUNCTION("""COMPUTED_VALUE"""),"Conversei com o Paulo, executivo da marca, esta alinhando uma reuniao para o dia 29/04")</f>
        <v>Conversei com o Paulo, executivo da marca, esta alinhando uma reuniao para o dia 29/04</v>
      </c>
      <c r="I724" s="6">
        <f>IFERROR(__xludf.DUMMYFUNCTION("""COMPUTED_VALUE"""),46120.45606744213)</f>
        <v>46120.45607</v>
      </c>
      <c r="J724" s="4"/>
      <c r="K724" s="4"/>
      <c r="L724" s="4"/>
      <c r="M724" s="4"/>
      <c r="N724" s="4"/>
      <c r="O724" s="4"/>
      <c r="P724" s="4"/>
      <c r="Q724" s="4"/>
      <c r="R724" s="4"/>
      <c r="S724" s="4"/>
      <c r="T724" s="4"/>
      <c r="U724" s="4"/>
      <c r="V724" s="4"/>
      <c r="W724" s="4"/>
      <c r="X724" s="4"/>
      <c r="Y724" s="4"/>
      <c r="Z724" s="4"/>
      <c r="AA724" s="4">
        <f>IFERROR(__xludf.DUMMYFUNCTION("""COMPUTED_VALUE"""),10.0)</f>
        <v>10</v>
      </c>
      <c r="AB724" s="4" t="str">
        <f>IFERROR(__xludf.DUMMYFUNCTION("""COMPUTED_VALUE"""),"NÃO")</f>
        <v>NÃO</v>
      </c>
      <c r="AC724" s="4" t="str">
        <f>IFERROR(__xludf.DUMMYFUNCTION("""COMPUTED_VALUE"""),"BP")</f>
        <v>BP</v>
      </c>
      <c r="AD724" s="4"/>
      <c r="AE724" s="4"/>
      <c r="AF724" s="4"/>
      <c r="AG724" s="4"/>
      <c r="AH724" s="4"/>
      <c r="AI724" s="4"/>
      <c r="AJ724" s="4"/>
      <c r="AK724" s="4"/>
      <c r="AL724" s="4"/>
      <c r="AM724" s="4" t="str">
        <f>IFERROR(__xludf.DUMMYFUNCTION("""COMPUTED_VALUE"""),"FY26, FY27")</f>
        <v>FY26, FY27</v>
      </c>
      <c r="AN724" s="4" t="str">
        <f>IFERROR(__xludf.DUMMYFUNCTION("""COMPUTED_VALUE"""),"Comer Fora")</f>
        <v>Comer Fora</v>
      </c>
      <c r="AO724" s="4" t="str">
        <f>IFERROR(__xludf.DUMMYFUNCTION("""COMPUTED_VALUE"""),"#VALUE!")</f>
        <v>#VALUE!</v>
      </c>
      <c r="AP724" s="4" t="str">
        <f>IFERROR(__xludf.DUMMYFUNCTION("""COMPUTED_VALUE"""),"SP")</f>
        <v>SP</v>
      </c>
      <c r="AQ724" s="4" t="str">
        <f>IFERROR(__xludf.DUMMYFUNCTION("""COMPUTED_VALUE"""),"MONICA BERTACHI")</f>
        <v>MONICA BERTACHI</v>
      </c>
      <c r="AR724" s="4" t="str">
        <f>IFERROR(__xludf.DUMMYFUNCTION("""COMPUTED_VALUE"""),"PAULO ESCUDERO")</f>
        <v>PAULO ESCUDERO</v>
      </c>
      <c r="AS724" s="4" t="str">
        <f>IFERROR(__xludf.DUMMYFUNCTION("""COMPUTED_VALUE"""),"NATHALIE MERTENS")</f>
        <v>NATHALIE MERTENS</v>
      </c>
      <c r="AT724" s="4" t="str">
        <f>IFERROR(__xludf.DUMMYFUNCTION("""COMPUTED_VALUE"""),"MATHEUS LESSA")</f>
        <v>MATHEUS LESSA</v>
      </c>
      <c r="AU724" s="4" t="str">
        <f>IFERROR(__xludf.DUMMYFUNCTION("""COMPUTED_VALUE"""),"Ana")</f>
        <v>Ana</v>
      </c>
      <c r="AV724" s="4" t="str">
        <f>IFERROR(__xludf.DUMMYFUNCTION("""COMPUTED_VALUE"""),"Comer Fora-")</f>
        <v>Comer Fora-</v>
      </c>
      <c r="AW724" s="20" t="str">
        <f>IFERROR(__xludf.DUMMYFUNCTION("""COMPUTED_VALUE"""),"P e M - pipe")</f>
        <v>P e M - pipe</v>
      </c>
      <c r="AX724" s="4"/>
      <c r="AY724" s="4"/>
      <c r="AZ724" s="4" t="str">
        <f>IFERROR(__xludf.DUMMYFUNCTION("""COMPUTED_VALUE"""),"Japonesa")</f>
        <v>Japonesa</v>
      </c>
      <c r="BA724" s="4" t="str">
        <f>IFERROR(__xludf.DUMMYFUNCTION("""COMPUTED_VALUE"""),"R$ 90-120 (rodízio)")</f>
        <v>R$ 90-120 (rodízio)</v>
      </c>
      <c r="BB724" s="4" t="str">
        <f>IFERROR(__xludf.DUMMYFUNCTION("""COMPUTED_VALUE"""),"Fast Casual - Restaurante Japonês rodízio pioneiro em SP")</f>
        <v>Fast Casual - Restaurante Japonês rodízio pioneiro em SP</v>
      </c>
      <c r="BC724" s="4" t="str">
        <f>IFERROR(__xludf.DUMMYFUNCTION("""COMPUTED_VALUE"""),"São Paulo/SP e região. 11 unidades (Aclimação, Morumbi, Perdizes, Vila Mariana, Moema, Mooca, Vila da Saúde, Panamby, Guarulhos, etc). Fundado 1998, pioneiro do rodízio")</f>
        <v>São Paulo/SP e região. 11 unidades (Aclimação, Morumbi, Perdizes, Vila Mariana, Moema, Mooca, Vila da Saúde, Panamby, Guarulhos, etc). Fundado 1998, pioneiro do rodízio</v>
      </c>
      <c r="BD724" s="4" t="str">
        <f>IFERROR(__xludf.DUMMYFUNCTION("""COMPUTED_VALUE"""),"Dado não disponível publicamente - Necessário Discovery. Instagram menciona 16 unidades (incluindo Sushi Blue e Sushi Oba marcas associadas)")</f>
        <v>Dado não disponível publicamente - Necessário Discovery. Instagram menciona 16 unidades (incluindo Sushi Blue e Sushi Oba marcas associadas)</v>
      </c>
      <c r="BE724" s="4">
        <f>IFERROR(__xludf.DUMMYFUNCTION("""COMPUTED_VALUE"""),62.0)</f>
        <v>62</v>
      </c>
      <c r="BF724" s="4">
        <f>IFERROR(__xludf.DUMMYFUNCTION("""COMPUTED_VALUE"""),0.66)</f>
        <v>0.66</v>
      </c>
      <c r="BG724" s="4" t="str">
        <f>IFERROR(__xludf.DUMMYFUNCTION("""COMPUTED_VALUE"""),"PDV atual não identificado. Pioneiro do rodízio japonês em SP (1998) com 11+ unidades. Modelo de franquia ativo. 3S pode padronizar PDV rodízio + delivery + gestão de cardápio extenso (60+ opções). Potencial médio-alto.")</f>
        <v>PDV atual não identificado. Pioneiro do rodízio japonês em SP (1998) com 11+ unidades. Modelo de franquia ativo. 3S pode padronizar PDV rodízio + delivery + gestão de cardápio extenso (60+ opções). Potencial médio-alto.</v>
      </c>
      <c r="BH724" s="4" t="s">
        <v>64</v>
      </c>
      <c r="BI724" s="7">
        <v>0.40625</v>
      </c>
    </row>
    <row r="725" hidden="1">
      <c r="A725" s="4" t="str">
        <f>IFERROR(__xludf.DUMMYFUNCTION("""COMPUTED_VALUE"""),"La Salada")</f>
        <v>La Salada</v>
      </c>
      <c r="B725" s="4" t="str">
        <f>IFERROR(__xludf.DUMMYFUNCTION("""COMPUTED_VALUE"""),"Lídia Esteves")</f>
        <v>Lídia Esteves</v>
      </c>
      <c r="C725" s="4" t="str">
        <f>IFERROR(__xludf.DUMMYFUNCTION("""COMPUTED_VALUE"""),"Gabriela Roma")</f>
        <v>Gabriela Roma</v>
      </c>
      <c r="D725" s="4" t="str">
        <f>IFERROR(__xludf.DUMMYFUNCTION("""COMPUTED_VALUE"""),"10. Perdido")</f>
        <v>10. Perdido</v>
      </c>
      <c r="E725" s="4" t="str">
        <f>IFERROR(__xludf.DUMMYFUNCTION("""COMPUTED_VALUE"""),"Perdido - Sem perfil LA / 3SCheckout / PDV próprio")</f>
        <v>Perdido - Sem perfil LA / 3SCheckout / PDV próprio</v>
      </c>
      <c r="F725" s="4" t="str">
        <f>IFERROR(__xludf.DUMMYFUNCTION("""COMPUTED_VALUE"""),"P")</f>
        <v>P</v>
      </c>
      <c r="G725" s="5">
        <f>IFERROR(__xludf.DUMMYFUNCTION("""COMPUTED_VALUE"""),46139.0)</f>
        <v>46139</v>
      </c>
      <c r="H725" s="4" t="str">
        <f>IFERROR(__xludf.DUMMYFUNCTION("""COMPUTED_VALUE"""),"parceiro sem perfil, sistema robusto + valor mensalidade alto")</f>
        <v>parceiro sem perfil, sistema robusto + valor mensalidade alto</v>
      </c>
      <c r="I725" s="6">
        <f>IFERROR(__xludf.DUMMYFUNCTION("""COMPUTED_VALUE"""),46100.0)</f>
        <v>46100</v>
      </c>
      <c r="J725" s="6">
        <f>IFERROR(__xludf.DUMMYFUNCTION("""COMPUTED_VALUE"""),46100.0)</f>
        <v>46100</v>
      </c>
      <c r="K725" s="6">
        <f>IFERROR(__xludf.DUMMYFUNCTION("""COMPUTED_VALUE"""),46100.0)</f>
        <v>46100</v>
      </c>
      <c r="L725" s="6">
        <f>IFERROR(__xludf.DUMMYFUNCTION("""COMPUTED_VALUE"""),46120.69128126158)</f>
        <v>46120.69128</v>
      </c>
      <c r="M725" s="6">
        <f>IFERROR(__xludf.DUMMYFUNCTION("""COMPUTED_VALUE"""),46120.69138916666)</f>
        <v>46120.69139</v>
      </c>
      <c r="N725" s="6">
        <f>IFERROR(__xludf.DUMMYFUNCTION("""COMPUTED_VALUE"""),46120.69149599537)</f>
        <v>46120.6915</v>
      </c>
      <c r="O725" s="4"/>
      <c r="P725" s="4"/>
      <c r="Q725" s="4"/>
      <c r="R725" s="6">
        <f>IFERROR(__xludf.DUMMYFUNCTION("""COMPUTED_VALUE"""),46139.68088185185)</f>
        <v>46139.68088</v>
      </c>
      <c r="S725" s="4"/>
      <c r="T725" s="4"/>
      <c r="U725" s="4"/>
      <c r="V725" s="4" t="str">
        <f>IFERROR(__xludf.DUMMYFUNCTION("""COMPUTED_VALUE"""),"Fechou com concorrente há pouco tempo")</f>
        <v>Fechou com concorrente há pouco tempo</v>
      </c>
      <c r="W725" s="4"/>
      <c r="X725" s="4"/>
      <c r="Y725" s="4"/>
      <c r="Z725" s="4"/>
      <c r="AA725" s="4">
        <f>IFERROR(__xludf.DUMMYFUNCTION("""COMPUTED_VALUE"""),4.0)</f>
        <v>4</v>
      </c>
      <c r="AB725" s="4" t="str">
        <f>IFERROR(__xludf.DUMMYFUNCTION("""COMPUTED_VALUE"""),"Não")</f>
        <v>Não</v>
      </c>
      <c r="AC725" s="4" t="str">
        <f>IFERROR(__xludf.DUMMYFUNCTION("""COMPUTED_VALUE"""),"Não")</f>
        <v>Não</v>
      </c>
      <c r="AD725" s="4"/>
      <c r="AE725" s="4"/>
      <c r="AF725" s="4"/>
      <c r="AG725" s="4"/>
      <c r="AH725" s="4">
        <f>IFERROR(__xludf.DUMMYFUNCTION("""COMPUTED_VALUE"""),4.0)</f>
        <v>4</v>
      </c>
      <c r="AI725" s="11">
        <f>IFERROR(__xludf.DUMMYFUNCTION("""COMPUTED_VALUE"""),600000.0)</f>
        <v>600000</v>
      </c>
      <c r="AJ725" s="4" t="str">
        <f>IFERROR(__xludf.DUMMYFUNCTION("""COMPUTED_VALUE"""),"n/a")</f>
        <v>n/a</v>
      </c>
      <c r="AK725" s="4" t="str">
        <f>IFERROR(__xludf.DUMMYFUNCTION("""COMPUTED_VALUE"""),"quick service e delivery")</f>
        <v>quick service e delivery</v>
      </c>
      <c r="AL725" s="4"/>
      <c r="AM725" s="4" t="str">
        <f>IFERROR(__xludf.DUMMYFUNCTION("""COMPUTED_VALUE"""),"FY27")</f>
        <v>FY27</v>
      </c>
      <c r="AN725" s="4"/>
      <c r="AO725" s="4">
        <f>IFERROR(__xludf.DUMMYFUNCTION("""COMPUTED_VALUE"""),76.0)</f>
        <v>76</v>
      </c>
      <c r="AP725" s="4"/>
      <c r="AQ725" s="4"/>
      <c r="AR725" s="4"/>
      <c r="AS725" s="4" t="str">
        <f>IFERROR(__xludf.DUMMYFUNCTION("""COMPUTED_VALUE"""),"FABIO DONATO")</f>
        <v>FABIO DONATO</v>
      </c>
      <c r="AT725" s="4" t="str">
        <f>IFERROR(__xludf.DUMMYFUNCTION("""COMPUTED_VALUE"""),"MURILO NAGASHIMA")</f>
        <v>MURILO NAGASHIMA</v>
      </c>
      <c r="AU725" s="4"/>
      <c r="AV725" s="4">
        <f>IFERROR(__xludf.DUMMYFUNCTION("""COMPUTED_VALUE"""),0.0)</f>
        <v>0</v>
      </c>
      <c r="AW725" s="4">
        <f>IFERROR(__xludf.DUMMYFUNCTION("""COMPUTED_VALUE"""),0.0)</f>
        <v>0</v>
      </c>
      <c r="AX725" s="4">
        <f>IFERROR(__xludf.DUMMYFUNCTION("""COMPUTED_VALUE"""),0.0)</f>
        <v>0</v>
      </c>
      <c r="AY725" s="4"/>
      <c r="AZ725" s="4" t="str">
        <f>IFERROR(__xludf.DUMMYFUNCTION("""COMPUTED_VALUE"""),"NA")</f>
        <v>NA</v>
      </c>
      <c r="BA725" s="4" t="str">
        <f>IFERROR(__xludf.DUMMYFUNCTION("""COMPUTED_VALUE"""),"")</f>
        <v/>
      </c>
      <c r="BB725" s="4" t="str">
        <f>IFERROR(__xludf.DUMMYFUNCTION("""COMPUTED_VALUE"""),"")</f>
        <v/>
      </c>
      <c r="BC725" s="4" t="str">
        <f>IFERROR(__xludf.DUMMYFUNCTION("""COMPUTED_VALUE"""),"")</f>
        <v/>
      </c>
      <c r="BD725" s="4" t="str">
        <f>IFERROR(__xludf.DUMMYFUNCTION("""COMPUTED_VALUE"""),"")</f>
        <v/>
      </c>
      <c r="BE725" s="4" t="str">
        <f>IFERROR(__xludf.DUMMYFUNCTION("""COMPUTED_VALUE"""),"")</f>
        <v/>
      </c>
      <c r="BF725" s="4" t="str">
        <f>IFERROR(__xludf.DUMMYFUNCTION("""COMPUTED_VALUE"""),"")</f>
        <v/>
      </c>
      <c r="BG725" s="4" t="str">
        <f>IFERROR(__xludf.DUMMYFUNCTION("""COMPUTED_VALUE"""),"")</f>
        <v/>
      </c>
      <c r="BH725" s="4" t="s">
        <v>63</v>
      </c>
      <c r="BI725" s="7" t="s">
        <v>63</v>
      </c>
    </row>
    <row r="726" hidden="1">
      <c r="A726" s="4" t="str">
        <f>IFERROR(__xludf.DUMMYFUNCTION("""COMPUTED_VALUE"""),"Sampa Burger")</f>
        <v>Sampa Burger</v>
      </c>
      <c r="B726" s="4" t="str">
        <f>IFERROR(__xludf.DUMMYFUNCTION("""COMPUTED_VALUE"""),"Emerson")</f>
        <v>Emerson</v>
      </c>
      <c r="C726" s="4" t="str">
        <f>IFERROR(__xludf.DUMMYFUNCTION("""COMPUTED_VALUE"""),"Emerson")</f>
        <v>Emerson</v>
      </c>
      <c r="D726" s="4" t="str">
        <f>IFERROR(__xludf.DUMMYFUNCTION("""COMPUTED_VALUE"""),"0. Não Iniciado")</f>
        <v>0. Não Iniciado</v>
      </c>
      <c r="E726" s="4"/>
      <c r="F726" s="4" t="str">
        <f>IFERROR(__xludf.DUMMYFUNCTION("""COMPUTED_VALUE"""),"P")</f>
        <v>P</v>
      </c>
      <c r="G726" s="4"/>
      <c r="H726" s="4"/>
      <c r="I726" s="4"/>
      <c r="J726" s="4"/>
      <c r="K726" s="4"/>
      <c r="L726" s="4"/>
      <c r="M726" s="4"/>
      <c r="N726" s="4"/>
      <c r="O726" s="4"/>
      <c r="P726" s="4"/>
      <c r="Q726" s="4"/>
      <c r="R726" s="4"/>
      <c r="S726" s="4"/>
      <c r="T726" s="4"/>
      <c r="U726" s="4"/>
      <c r="V726" s="4"/>
      <c r="W726" s="4"/>
      <c r="X726" s="4"/>
      <c r="Y726" s="4"/>
      <c r="Z726" s="4"/>
      <c r="AA726" s="4">
        <f>IFERROR(__xludf.DUMMYFUNCTION("""COMPUTED_VALUE"""),5.0)</f>
        <v>5</v>
      </c>
      <c r="AB726" s="4" t="str">
        <f>IFERROR(__xludf.DUMMYFUNCTION("""COMPUTED_VALUE"""),"Não")</f>
        <v>Não</v>
      </c>
      <c r="AC726" s="4" t="str">
        <f>IFERROR(__xludf.DUMMYFUNCTION("""COMPUTED_VALUE"""),"Não")</f>
        <v>Não</v>
      </c>
      <c r="AD726" s="4"/>
      <c r="AE726" s="4"/>
      <c r="AF726" s="4"/>
      <c r="AG726" s="4"/>
      <c r="AH726" s="4"/>
      <c r="AI726" s="4"/>
      <c r="AJ726" s="4"/>
      <c r="AK726" s="4"/>
      <c r="AL726" s="4"/>
      <c r="AM726" s="4" t="str">
        <f>IFERROR(__xludf.DUMMYFUNCTION("""COMPUTED_VALUE"""),"FY27")</f>
        <v>FY27</v>
      </c>
      <c r="AN726" s="4"/>
      <c r="AO726" s="4">
        <f>IFERROR(__xludf.DUMMYFUNCTION("""COMPUTED_VALUE"""),45553.0)</f>
        <v>45553</v>
      </c>
      <c r="AP726" s="4"/>
      <c r="AQ726" s="4"/>
      <c r="AR726" s="4"/>
      <c r="AS726" s="4">
        <f>IFERROR(__xludf.DUMMYFUNCTION("""COMPUTED_VALUE"""),0.0)</f>
        <v>0</v>
      </c>
      <c r="AT726" s="4">
        <f>IFERROR(__xludf.DUMMYFUNCTION("""COMPUTED_VALUE"""),0.0)</f>
        <v>0</v>
      </c>
      <c r="AU726" s="4"/>
      <c r="AV726" s="4">
        <f>IFERROR(__xludf.DUMMYFUNCTION("""COMPUTED_VALUE"""),0.0)</f>
        <v>0</v>
      </c>
      <c r="AW726" s="4">
        <f>IFERROR(__xludf.DUMMYFUNCTION("""COMPUTED_VALUE"""),0.0)</f>
        <v>0</v>
      </c>
      <c r="AX726" s="4">
        <f>IFERROR(__xludf.DUMMYFUNCTION("""COMPUTED_VALUE"""),0.0)</f>
        <v>0</v>
      </c>
      <c r="AY726" s="4"/>
      <c r="AZ726" s="4" t="str">
        <f>IFERROR(__xludf.DUMMYFUNCTION("""COMPUTED_VALUE"""),"NA")</f>
        <v>NA</v>
      </c>
      <c r="BA726" s="4" t="str">
        <f>IFERROR(__xludf.DUMMYFUNCTION("""COMPUTED_VALUE"""),"")</f>
        <v/>
      </c>
      <c r="BB726" s="4" t="str">
        <f>IFERROR(__xludf.DUMMYFUNCTION("""COMPUTED_VALUE"""),"")</f>
        <v/>
      </c>
      <c r="BC726" s="4" t="str">
        <f>IFERROR(__xludf.DUMMYFUNCTION("""COMPUTED_VALUE"""),"")</f>
        <v/>
      </c>
      <c r="BD726" s="4" t="str">
        <f>IFERROR(__xludf.DUMMYFUNCTION("""COMPUTED_VALUE"""),"")</f>
        <v/>
      </c>
      <c r="BE726" s="4" t="str">
        <f>IFERROR(__xludf.DUMMYFUNCTION("""COMPUTED_VALUE"""),"")</f>
        <v/>
      </c>
      <c r="BF726" s="4" t="str">
        <f>IFERROR(__xludf.DUMMYFUNCTION("""COMPUTED_VALUE"""),"")</f>
        <v/>
      </c>
      <c r="BG726" s="4" t="str">
        <f>IFERROR(__xludf.DUMMYFUNCTION("""COMPUTED_VALUE"""),"")</f>
        <v/>
      </c>
      <c r="BH726" s="4" t="s">
        <v>63</v>
      </c>
      <c r="BI726" s="7" t="s">
        <v>63</v>
      </c>
    </row>
    <row r="727" hidden="1">
      <c r="A727" s="4" t="str">
        <f>IFERROR(__xludf.DUMMYFUNCTION("""COMPUTED_VALUE"""),"GRUPO MANTINI")</f>
        <v>GRUPO MANTINI</v>
      </c>
      <c r="B727" s="4" t="str">
        <f>IFERROR(__xludf.DUMMYFUNCTION("""COMPUTED_VALUE"""),"João Biagiotti")</f>
        <v>João Biagiotti</v>
      </c>
      <c r="C727" s="4" t="str">
        <f>IFERROR(__xludf.DUMMYFUNCTION("""COMPUTED_VALUE"""),"Diego Santos")</f>
        <v>Diego Santos</v>
      </c>
      <c r="D727" s="4" t="str">
        <f>IFERROR(__xludf.DUMMYFUNCTION("""COMPUTED_VALUE"""),"10. Perdido")</f>
        <v>10. Perdido</v>
      </c>
      <c r="E727" s="4" t="str">
        <f>IFERROR(__xludf.DUMMYFUNCTION("""COMPUTED_VALUE"""),"Perdido - Outro (detalhar ao lado)")</f>
        <v>Perdido - Outro (detalhar ao lado)</v>
      </c>
      <c r="F727" s="4" t="str">
        <f>IFERROR(__xludf.DUMMYFUNCTION("""COMPUTED_VALUE"""),"P")</f>
        <v>P</v>
      </c>
      <c r="G727" s="5">
        <f>IFERROR(__xludf.DUMMYFUNCTION("""COMPUTED_VALUE"""),46134.0)</f>
        <v>46134</v>
      </c>
      <c r="H727" s="4" t="str">
        <f>IFERROR(__xludf.DUMMYFUNCTION("""COMPUTED_VALUE"""),"Reunião realizada, marca com perfil SAIPOS")</f>
        <v>Reunião realizada, marca com perfil SAIPOS</v>
      </c>
      <c r="I727" s="6">
        <f>IFERROR(__xludf.DUMMYFUNCTION("""COMPUTED_VALUE"""),46129.4985009838)</f>
        <v>46129.4985</v>
      </c>
      <c r="J727" s="6">
        <f>IFERROR(__xludf.DUMMYFUNCTION("""COMPUTED_VALUE"""),46132.578279953705)</f>
        <v>46132.57828</v>
      </c>
      <c r="K727" s="4"/>
      <c r="L727" s="4"/>
      <c r="M727" s="4"/>
      <c r="N727" s="4"/>
      <c r="O727" s="4"/>
      <c r="P727" s="4"/>
      <c r="Q727" s="4"/>
      <c r="R727" s="6">
        <f>IFERROR(__xludf.DUMMYFUNCTION("""COMPUTED_VALUE"""),46134.65076719907)</f>
        <v>46134.65077</v>
      </c>
      <c r="S727" s="4"/>
      <c r="T727" s="4"/>
      <c r="U727" s="4"/>
      <c r="V727" s="4" t="str">
        <f>IFERROR(__xludf.DUMMYFUNCTION("""COMPUTED_VALUE"""),"Sem perfil 3S - Perfil Saipos")</f>
        <v>Sem perfil 3S - Perfil Saipos</v>
      </c>
      <c r="W727" s="4"/>
      <c r="X727" s="4"/>
      <c r="Y727" s="4"/>
      <c r="Z727" s="4"/>
      <c r="AA727" s="4">
        <f>IFERROR(__xludf.DUMMYFUNCTION("""COMPUTED_VALUE"""),11.0)</f>
        <v>11</v>
      </c>
      <c r="AB727" s="4" t="str">
        <f>IFERROR(__xludf.DUMMYFUNCTION("""COMPUTED_VALUE"""),"Não")</f>
        <v>Não</v>
      </c>
      <c r="AC727" s="4" t="str">
        <f>IFERROR(__xludf.DUMMYFUNCTION("""COMPUTED_VALUE"""),"Não")</f>
        <v>Não</v>
      </c>
      <c r="AD727" s="4" t="str">
        <f>IFERROR(__xludf.DUMMYFUNCTION("""COMPUTED_VALUE"""),"Sem informação")</f>
        <v>Sem informação</v>
      </c>
      <c r="AE727" s="4"/>
      <c r="AF727" s="4"/>
      <c r="AG727" s="4"/>
      <c r="AH727" s="4"/>
      <c r="AI727" s="4"/>
      <c r="AJ727" s="4"/>
      <c r="AK727" s="4"/>
      <c r="AL727" s="4"/>
      <c r="AM727" s="4" t="str">
        <f>IFERROR(__xludf.DUMMYFUNCTION("""COMPUTED_VALUE"""),"FY27")</f>
        <v>FY27</v>
      </c>
      <c r="AN727" s="4"/>
      <c r="AO727" s="4">
        <f>IFERROR(__xludf.DUMMYFUNCTION("""COMPUTED_VALUE"""),81.0)</f>
        <v>81</v>
      </c>
      <c r="AP727" s="4" t="str">
        <f>IFERROR(__xludf.DUMMYFUNCTION("""COMPUTED_VALUE"""),"CE")</f>
        <v>CE</v>
      </c>
      <c r="AQ727" s="4"/>
      <c r="AR727" s="4" t="str">
        <f>IFERROR(__xludf.DUMMYFUNCTION("""COMPUTED_VALUE"""),"VINICIUS SOUSA")</f>
        <v>VINICIUS SOUSA</v>
      </c>
      <c r="AS727" s="4" t="str">
        <f>IFERROR(__xludf.DUMMYFUNCTION("""COMPUTED_VALUE"""),"THIAGO ROMAGNOLE")</f>
        <v>THIAGO ROMAGNOLE</v>
      </c>
      <c r="AT727" s="4" t="str">
        <f>IFERROR(__xludf.DUMMYFUNCTION("""COMPUTED_VALUE"""),"EDUARDO VAZ")</f>
        <v>EDUARDO VAZ</v>
      </c>
      <c r="AU727" s="4"/>
      <c r="AV727" s="4">
        <f>IFERROR(__xludf.DUMMYFUNCTION("""COMPUTED_VALUE"""),0.0)</f>
        <v>0</v>
      </c>
      <c r="AW727" s="4">
        <f>IFERROR(__xludf.DUMMYFUNCTION("""COMPUTED_VALUE"""),0.0)</f>
        <v>0</v>
      </c>
      <c r="AX727" s="4">
        <f>IFERROR(__xludf.DUMMYFUNCTION("""COMPUTED_VALUE"""),0.0)</f>
        <v>0</v>
      </c>
      <c r="AY727" s="4"/>
      <c r="AZ727" s="4" t="str">
        <f>IFERROR(__xludf.DUMMYFUNCTION("""COMPUTED_VALUE"""),"Brasileira")</f>
        <v>Brasileira</v>
      </c>
      <c r="BA727" s="4" t="str">
        <f>IFERROR(__xludf.DUMMYFUNCTION("""COMPUTED_VALUE"""),"")</f>
        <v/>
      </c>
      <c r="BB727" s="4" t="str">
        <f>IFERROR(__xludf.DUMMYFUNCTION("""COMPUTED_VALUE"""),"")</f>
        <v/>
      </c>
      <c r="BC727" s="4" t="str">
        <f>IFERROR(__xludf.DUMMYFUNCTION("""COMPUTED_VALUE"""),"")</f>
        <v/>
      </c>
      <c r="BD727" s="4" t="str">
        <f>IFERROR(__xludf.DUMMYFUNCTION("""COMPUTED_VALUE"""),"")</f>
        <v/>
      </c>
      <c r="BE727" s="4" t="str">
        <f>IFERROR(__xludf.DUMMYFUNCTION("""COMPUTED_VALUE"""),"")</f>
        <v/>
      </c>
      <c r="BF727" s="4" t="str">
        <f>IFERROR(__xludf.DUMMYFUNCTION("""COMPUTED_VALUE"""),"")</f>
        <v/>
      </c>
      <c r="BG727" s="4" t="str">
        <f>IFERROR(__xludf.DUMMYFUNCTION("""COMPUTED_VALUE"""),"")</f>
        <v/>
      </c>
      <c r="BH727" s="4" t="s">
        <v>141</v>
      </c>
      <c r="BI727" s="7">
        <v>0.7272727272727273</v>
      </c>
    </row>
    <row r="728" hidden="1">
      <c r="A728" s="4" t="str">
        <f>IFERROR(__xludf.DUMMYFUNCTION("""COMPUTED_VALUE"""),"Makoto Brasil")</f>
        <v>Makoto Brasil</v>
      </c>
      <c r="B728" s="4" t="str">
        <f>IFERROR(__xludf.DUMMYFUNCTION("""COMPUTED_VALUE"""),"João Biagiotti")</f>
        <v>João Biagiotti</v>
      </c>
      <c r="C728" s="4" t="str">
        <f>IFERROR(__xludf.DUMMYFUNCTION("""COMPUTED_VALUE"""),"Diego Santos")</f>
        <v>Diego Santos</v>
      </c>
      <c r="D728" s="4" t="str">
        <f>IFERROR(__xludf.DUMMYFUNCTION("""COMPUTED_VALUE"""),"6. Negociação")</f>
        <v>6. Negociação</v>
      </c>
      <c r="E728" s="4" t="str">
        <f>IFERROR(__xludf.DUMMYFUNCTION("""COMPUTED_VALUE"""),"Comercial - Contato realizado com parceiro")</f>
        <v>Comercial - Contato realizado com parceiro</v>
      </c>
      <c r="F728" s="4" t="str">
        <f>IFERROR(__xludf.DUMMYFUNCTION("""COMPUTED_VALUE"""),"P")</f>
        <v>P</v>
      </c>
      <c r="G728" s="5">
        <f>IFERROR(__xludf.DUMMYFUNCTION("""COMPUTED_VALUE"""),46146.0)</f>
        <v>46146</v>
      </c>
      <c r="H728" s="4" t="str">
        <f>IFERROR(__xludf.DUMMYFUNCTION("""COMPUTED_VALUE"""),"Enviado segunda proposta comercial (Reformulada conforme ajustes solicitados pelo cliente).")</f>
        <v>Enviado segunda proposta comercial (Reformulada conforme ajustes solicitados pelo cliente).</v>
      </c>
      <c r="I728" s="6">
        <f>IFERROR(__xludf.DUMMYFUNCTION("""COMPUTED_VALUE"""),46122.66101040509)</f>
        <v>46122.66101</v>
      </c>
      <c r="J728" s="6">
        <f>IFERROR(__xludf.DUMMYFUNCTION("""COMPUTED_VALUE"""),46122.66106225694)</f>
        <v>46122.66106</v>
      </c>
      <c r="K728" s="6">
        <f>IFERROR(__xludf.DUMMYFUNCTION("""COMPUTED_VALUE"""),46122.66109645834)</f>
        <v>46122.6611</v>
      </c>
      <c r="L728" s="6">
        <f>IFERROR(__xludf.DUMMYFUNCTION("""COMPUTED_VALUE"""),46122.66114337963)</f>
        <v>46122.66114</v>
      </c>
      <c r="M728" s="6">
        <f>IFERROR(__xludf.DUMMYFUNCTION("""COMPUTED_VALUE"""),46122.666497743056)</f>
        <v>46122.6665</v>
      </c>
      <c r="N728" s="6">
        <f>IFERROR(__xludf.DUMMYFUNCTION("""COMPUTED_VALUE"""),46122.666553229166)</f>
        <v>46122.66655</v>
      </c>
      <c r="O728" s="4"/>
      <c r="P728" s="4"/>
      <c r="Q728" s="4"/>
      <c r="R728" s="4"/>
      <c r="S728" s="4"/>
      <c r="T728" s="4"/>
      <c r="U728" s="4"/>
      <c r="V728" s="4"/>
      <c r="W728" s="4"/>
      <c r="X728" s="4"/>
      <c r="Y728" s="4"/>
      <c r="Z728" s="4"/>
      <c r="AA728" s="4">
        <f>IFERROR(__xludf.DUMMYFUNCTION("""COMPUTED_VALUE"""),5.0)</f>
        <v>5</v>
      </c>
      <c r="AB728" s="4"/>
      <c r="AC728" s="4"/>
      <c r="AD728" s="4"/>
      <c r="AE728" s="4"/>
      <c r="AF728" s="4"/>
      <c r="AG728" s="4"/>
      <c r="AH728" s="4"/>
      <c r="AI728" s="4"/>
      <c r="AJ728" s="4" t="str">
        <f>IFERROR(__xludf.DUMMYFUNCTION("""COMPUTED_VALUE"""),"colibri")</f>
        <v>colibri</v>
      </c>
      <c r="AK728" s="4" t="str">
        <f>IFERROR(__xludf.DUMMYFUNCTION("""COMPUTED_VALUE"""),"table service")</f>
        <v>table service</v>
      </c>
      <c r="AL728" s="4" t="str">
        <f>IFERROR(__xludf.DUMMYFUNCTION("""COMPUTED_VALUE"""),"NÃO")</f>
        <v>NÃO</v>
      </c>
      <c r="AM728" s="4" t="str">
        <f>IFERROR(__xludf.DUMMYFUNCTION("""COMPUTED_VALUE"""),"FY26, FY27")</f>
        <v>FY26, FY27</v>
      </c>
      <c r="AN728" s="4"/>
      <c r="AO728" s="4">
        <f>IFERROR(__xludf.DUMMYFUNCTION("""COMPUTED_VALUE"""),69.0)</f>
        <v>69</v>
      </c>
      <c r="AP728" s="4">
        <f>IFERROR(__xludf.DUMMYFUNCTION("""COMPUTED_VALUE"""),0.0)</f>
        <v>0</v>
      </c>
      <c r="AQ728" s="4">
        <f>IFERROR(__xludf.DUMMYFUNCTION("""COMPUTED_VALUE"""),0.0)</f>
        <v>0</v>
      </c>
      <c r="AR728" s="4">
        <f>IFERROR(__xludf.DUMMYFUNCTION("""COMPUTED_VALUE"""),0.0)</f>
        <v>0</v>
      </c>
      <c r="AS728" s="4">
        <f>IFERROR(__xludf.DUMMYFUNCTION("""COMPUTED_VALUE"""),0.0)</f>
        <v>0</v>
      </c>
      <c r="AT728" s="4">
        <f>IFERROR(__xludf.DUMMYFUNCTION("""COMPUTED_VALUE"""),0.0)</f>
        <v>0</v>
      </c>
      <c r="AU728" s="4" t="str">
        <f>IFERROR(__xludf.DUMMYFUNCTION("""COMPUTED_VALUE"""),"Diego")</f>
        <v>Diego</v>
      </c>
      <c r="AV728" s="4">
        <f>IFERROR(__xludf.DUMMYFUNCTION("""COMPUTED_VALUE"""),0.0)</f>
        <v>0</v>
      </c>
      <c r="AW728" s="4">
        <f>IFERROR(__xludf.DUMMYFUNCTION("""COMPUTED_VALUE"""),0.0)</f>
        <v>0</v>
      </c>
      <c r="AX728" s="4">
        <f>IFERROR(__xludf.DUMMYFUNCTION("""COMPUTED_VALUE"""),0.0)</f>
        <v>0</v>
      </c>
      <c r="AY728" s="4"/>
      <c r="AZ728" s="4" t="str">
        <f>IFERROR(__xludf.DUMMYFUNCTION("""COMPUTED_VALUE"""),"NA")</f>
        <v>NA</v>
      </c>
      <c r="BA728" s="4" t="str">
        <f>IFERROR(__xludf.DUMMYFUNCTION("""COMPUTED_VALUE"""),"R$ 250-350")</f>
        <v>R$ 250-350</v>
      </c>
      <c r="BB728" s="4" t="str">
        <f>IFERROR(__xludf.DUMMYFUNCTION("""COMPUTED_VALUE"""),"Fine Dining - Restaurante Japonês de alta gastronomia (Chef Makoto Okuwa)")</f>
        <v>Fine Dining - Restaurante Japonês de alta gastronomia (Chef Makoto Okuwa)</v>
      </c>
      <c r="BC728" s="4" t="str">
        <f>IFERROR(__xludf.DUMMYFUNCTION("""COMPUTED_VALUE"""),"São Paulo/SP. 2 unidades (Shopping Cidade Jardim, Shops Jardins). Extensão da marca de Miami (Chef japonês famoso)")</f>
        <v>São Paulo/SP. 2 unidades (Shopping Cidade Jardim, Shops Jardins). Extensão da marca de Miami (Chef japonês famoso)</v>
      </c>
      <c r="BD728" s="4" t="str">
        <f>IFERROR(__xludf.DUMMYFUNCTION("""COMPUTED_VALUE"""),"Dado não disponível publicamente - Necessário Discovery. Operação premium (80% do menu de Miami)")</f>
        <v>Dado não disponível publicamente - Necessário Discovery. Operação premium (80% do menu de Miami)</v>
      </c>
      <c r="BE728" s="4">
        <f>IFERROR(__xludf.DUMMYFUNCTION("""COMPUTED_VALUE"""),48.0)</f>
        <v>48</v>
      </c>
      <c r="BF728" s="4">
        <f>IFERROR(__xludf.DUMMYFUNCTION("""COMPUTED_VALUE"""),0.5)</f>
        <v>0.5</v>
      </c>
      <c r="BG728" s="4" t="str">
        <f>IFERROR(__xludf.DUMMYFUNCTION("""COMPUTED_VALUE"""),"PDV atual não identificado. Fine dining exige PDV discretíssimo. Escala muito reduzida (2 lojas) em SP. 3S teria baixa aderência - operação boutique sem ambição de rede.")</f>
        <v>PDV atual não identificado. Fine dining exige PDV discretíssimo. Escala muito reduzida (2 lojas) em SP. 3S teria baixa aderência - operação boutique sem ambição de rede.</v>
      </c>
      <c r="BH728" s="4" t="s">
        <v>63</v>
      </c>
      <c r="BI728" s="7" t="s">
        <v>63</v>
      </c>
    </row>
    <row r="729" hidden="1">
      <c r="A729" s="4" t="str">
        <f>IFERROR(__xludf.DUMMYFUNCTION("""COMPUTED_VALUE"""),"Sushi Sensei")</f>
        <v>Sushi Sensei</v>
      </c>
      <c r="B729" s="4" t="str">
        <f>IFERROR(__xludf.DUMMYFUNCTION("""COMPUTED_VALUE"""),"João Biagiotti")</f>
        <v>João Biagiotti</v>
      </c>
      <c r="C729" s="4" t="str">
        <f>IFERROR(__xludf.DUMMYFUNCTION("""COMPUTED_VALUE"""),"Diego Santos")</f>
        <v>Diego Santos</v>
      </c>
      <c r="D729" s="4" t="str">
        <f>IFERROR(__xludf.DUMMYFUNCTION("""COMPUTED_VALUE"""),"1. Iniciado")</f>
        <v>1. Iniciado</v>
      </c>
      <c r="E729" s="4" t="str">
        <f>IFERROR(__xludf.DUMMYFUNCTION("""COMPUTED_VALUE"""),"Parceiro - Aguardando retorno parceiro")</f>
        <v>Parceiro - Aguardando retorno parceiro</v>
      </c>
      <c r="F729" s="4" t="str">
        <f>IFERROR(__xludf.DUMMYFUNCTION("""COMPUTED_VALUE"""),"P")</f>
        <v>P</v>
      </c>
      <c r="G729" s="5">
        <f>IFERROR(__xludf.DUMMYFUNCTION("""COMPUTED_VALUE"""),46128.0)</f>
        <v>46128</v>
      </c>
      <c r="H729" s="4" t="str">
        <f>IFERROR(__xludf.DUMMYFUNCTION("""COMPUTED_VALUE"""),"Foi enviado mensagem para o parceiro, aguardando retorno ")</f>
        <v>Foi enviado mensagem para o parceiro, aguardando retorno </v>
      </c>
      <c r="I729" s="6">
        <f>IFERROR(__xludf.DUMMYFUNCTION("""COMPUTED_VALUE"""),46129.502359791666)</f>
        <v>46129.50236</v>
      </c>
      <c r="J729" s="4"/>
      <c r="K729" s="4"/>
      <c r="L729" s="4"/>
      <c r="M729" s="4"/>
      <c r="N729" s="4"/>
      <c r="O729" s="4"/>
      <c r="P729" s="4"/>
      <c r="Q729" s="4"/>
      <c r="R729" s="4"/>
      <c r="S729" s="4"/>
      <c r="T729" s="4"/>
      <c r="U729" s="4"/>
      <c r="V729" s="4"/>
      <c r="W729" s="4"/>
      <c r="X729" s="4"/>
      <c r="Y729" s="4"/>
      <c r="Z729" s="4"/>
      <c r="AA729" s="4">
        <f>IFERROR(__xludf.DUMMYFUNCTION("""COMPUTED_VALUE"""),5.0)</f>
        <v>5</v>
      </c>
      <c r="AB729" s="4" t="str">
        <f>IFERROR(__xludf.DUMMYFUNCTION("""COMPUTED_VALUE"""),"Não")</f>
        <v>Não</v>
      </c>
      <c r="AC729" s="4" t="str">
        <f>IFERROR(__xludf.DUMMYFUNCTION("""COMPUTED_VALUE"""),"Não")</f>
        <v>Não</v>
      </c>
      <c r="AD729" s="4" t="str">
        <f>IFERROR(__xludf.DUMMYFUNCTION("""COMPUTED_VALUE"""),"Sem informação")</f>
        <v>Sem informação</v>
      </c>
      <c r="AE729" s="4"/>
      <c r="AF729" s="4"/>
      <c r="AG729" s="4"/>
      <c r="AH729" s="4"/>
      <c r="AI729" s="4"/>
      <c r="AJ729" s="4"/>
      <c r="AK729" s="4"/>
      <c r="AL729" s="4"/>
      <c r="AM729" s="4" t="str">
        <f>IFERROR(__xludf.DUMMYFUNCTION("""COMPUTED_VALUE"""),"FY27")</f>
        <v>FY27</v>
      </c>
      <c r="AN729" s="4"/>
      <c r="AO729" s="4">
        <f>IFERROR(__xludf.DUMMYFUNCTION("""COMPUTED_VALUE"""),87.0)</f>
        <v>87</v>
      </c>
      <c r="AP729" s="4"/>
      <c r="AQ729" s="4"/>
      <c r="AR729" s="4"/>
      <c r="AS729" s="4">
        <f>IFERROR(__xludf.DUMMYFUNCTION("""COMPUTED_VALUE"""),0.0)</f>
        <v>0</v>
      </c>
      <c r="AT729" s="4">
        <f>IFERROR(__xludf.DUMMYFUNCTION("""COMPUTED_VALUE"""),0.0)</f>
        <v>0</v>
      </c>
      <c r="AU729" s="4"/>
      <c r="AV729" s="4">
        <f>IFERROR(__xludf.DUMMYFUNCTION("""COMPUTED_VALUE"""),0.0)</f>
        <v>0</v>
      </c>
      <c r="AW729" s="4">
        <f>IFERROR(__xludf.DUMMYFUNCTION("""COMPUTED_VALUE"""),0.0)</f>
        <v>0</v>
      </c>
      <c r="AX729" s="4">
        <f>IFERROR(__xludf.DUMMYFUNCTION("""COMPUTED_VALUE"""),0.0)</f>
        <v>0</v>
      </c>
      <c r="AY729" s="4"/>
      <c r="AZ729" s="4" t="str">
        <f>IFERROR(__xludf.DUMMYFUNCTION("""COMPUTED_VALUE"""),"NA")</f>
        <v>NA</v>
      </c>
      <c r="BA729" s="4" t="str">
        <f>IFERROR(__xludf.DUMMYFUNCTION("""COMPUTED_VALUE"""),"")</f>
        <v/>
      </c>
      <c r="BB729" s="4" t="str">
        <f>IFERROR(__xludf.DUMMYFUNCTION("""COMPUTED_VALUE"""),"")</f>
        <v/>
      </c>
      <c r="BC729" s="4" t="str">
        <f>IFERROR(__xludf.DUMMYFUNCTION("""COMPUTED_VALUE"""),"")</f>
        <v/>
      </c>
      <c r="BD729" s="4" t="str">
        <f>IFERROR(__xludf.DUMMYFUNCTION("""COMPUTED_VALUE"""),"")</f>
        <v/>
      </c>
      <c r="BE729" s="4" t="str">
        <f>IFERROR(__xludf.DUMMYFUNCTION("""COMPUTED_VALUE"""),"")</f>
        <v/>
      </c>
      <c r="BF729" s="4" t="str">
        <f>IFERROR(__xludf.DUMMYFUNCTION("""COMPUTED_VALUE"""),"")</f>
        <v/>
      </c>
      <c r="BG729" s="4" t="str">
        <f>IFERROR(__xludf.DUMMYFUNCTION("""COMPUTED_VALUE"""),"")</f>
        <v/>
      </c>
      <c r="BH729" s="4" t="s">
        <v>63</v>
      </c>
      <c r="BI729" s="7" t="s">
        <v>63</v>
      </c>
    </row>
    <row r="730" hidden="1">
      <c r="A730" s="4" t="str">
        <f>IFERROR(__xludf.DUMMYFUNCTION("""COMPUTED_VALUE"""),"Hungara Lanches")</f>
        <v>Hungara Lanches</v>
      </c>
      <c r="B730" s="4" t="str">
        <f>IFERROR(__xludf.DUMMYFUNCTION("""COMPUTED_VALUE"""),"Lídia Esteves")</f>
        <v>Lídia Esteves</v>
      </c>
      <c r="C730" s="4" t="str">
        <f>IFERROR(__xludf.DUMMYFUNCTION("""COMPUTED_VALUE"""),"Gabriela Roma")</f>
        <v>Gabriela Roma</v>
      </c>
      <c r="D730" s="4" t="str">
        <f>IFERROR(__xludf.DUMMYFUNCTION("""COMPUTED_VALUE"""),"3. Apresentação")</f>
        <v>3. Apresentação</v>
      </c>
      <c r="E730" s="4" t="str">
        <f>IFERROR(__xludf.DUMMYFUNCTION("""COMPUTED_VALUE"""),"Comercial - Primeira reunião / Visita presencial agendada")</f>
        <v>Comercial - Primeira reunião / Visita presencial agendada</v>
      </c>
      <c r="F730" s="4" t="str">
        <f>IFERROR(__xludf.DUMMYFUNCTION("""COMPUTED_VALUE"""),"M")</f>
        <v>M</v>
      </c>
      <c r="G730" s="5">
        <f>IFERROR(__xludf.DUMMYFUNCTION("""COMPUTED_VALUE"""),46153.0)</f>
        <v>46153</v>
      </c>
      <c r="H730" s="4" t="str">
        <f>IFERROR(__xludf.DUMMYFUNCTION("""COMPUTED_VALUE"""),"pedi agenda para falar exclusivamente de salão 3S , nao poderei estar na agenda do dia 13/5 devido a rota em CWB")</f>
        <v>pedi agenda para falar exclusivamente de salão 3S , nao poderei estar na agenda do dia 13/5 devido a rota em CWB</v>
      </c>
      <c r="I730" s="6">
        <f>IFERROR(__xludf.DUMMYFUNCTION("""COMPUTED_VALUE"""),46139.72095231482)</f>
        <v>46139.72095</v>
      </c>
      <c r="J730" s="6">
        <f>IFERROR(__xludf.DUMMYFUNCTION("""COMPUTED_VALUE"""),46139.764127372684)</f>
        <v>46139.76413</v>
      </c>
      <c r="K730" s="6">
        <f>IFERROR(__xludf.DUMMYFUNCTION("""COMPUTED_VALUE"""),46140.40397849537)</f>
        <v>46140.40398</v>
      </c>
      <c r="L730" s="4"/>
      <c r="M730" s="4"/>
      <c r="N730" s="4"/>
      <c r="O730" s="4"/>
      <c r="P730" s="4"/>
      <c r="Q730" s="4"/>
      <c r="R730" s="4"/>
      <c r="S730" s="4"/>
      <c r="T730" s="4"/>
      <c r="U730" s="4"/>
      <c r="V730" s="4"/>
      <c r="W730" s="4"/>
      <c r="X730" s="4"/>
      <c r="Y730" s="4"/>
      <c r="Z730" s="4"/>
      <c r="AA730" s="4">
        <f>IFERROR(__xludf.DUMMYFUNCTION("""COMPUTED_VALUE"""),39.0)</f>
        <v>39</v>
      </c>
      <c r="AB730" s="4" t="str">
        <f>IFERROR(__xludf.DUMMYFUNCTION("""COMPUTED_VALUE"""),"Não")</f>
        <v>Não</v>
      </c>
      <c r="AC730" s="4" t="str">
        <f>IFERROR(__xludf.DUMMYFUNCTION("""COMPUTED_VALUE"""),"Não")</f>
        <v>Não</v>
      </c>
      <c r="AD730" s="4"/>
      <c r="AE730" s="4"/>
      <c r="AF730" s="4"/>
      <c r="AG730" s="4"/>
      <c r="AH730" s="4"/>
      <c r="AI730" s="4"/>
      <c r="AJ730" s="4"/>
      <c r="AK730" s="4"/>
      <c r="AL730" s="4"/>
      <c r="AM730" s="4" t="str">
        <f>IFERROR(__xludf.DUMMYFUNCTION("""COMPUTED_VALUE"""),"FY27")</f>
        <v>FY27</v>
      </c>
      <c r="AN730" s="4"/>
      <c r="AO730" s="4">
        <f>IFERROR(__xludf.DUMMYFUNCTION("""COMPUTED_VALUE"""),62.0)</f>
        <v>62</v>
      </c>
      <c r="AP730" s="4"/>
      <c r="AQ730" s="4"/>
      <c r="AR730" s="4"/>
      <c r="AS730" s="4"/>
      <c r="AT730" s="4"/>
      <c r="AU730" s="4"/>
      <c r="AV730" s="4">
        <f>IFERROR(__xludf.DUMMYFUNCTION("""COMPUTED_VALUE"""),0.0)</f>
        <v>0</v>
      </c>
      <c r="AW730" s="4">
        <f>IFERROR(__xludf.DUMMYFUNCTION("""COMPUTED_VALUE"""),0.0)</f>
        <v>0</v>
      </c>
      <c r="AX730" s="4">
        <f>IFERROR(__xludf.DUMMYFUNCTION("""COMPUTED_VALUE"""),0.0)</f>
        <v>0</v>
      </c>
      <c r="AY730" s="4" t="str">
        <f>IFERROR(__xludf.DUMMYFUNCTION("""COMPUTED_VALUE"""),"Parseint Desenvolvimento De Sistemas Ltda")</f>
        <v>Parseint Desenvolvimento De Sistemas Ltda</v>
      </c>
      <c r="AZ730" s="4" t="str">
        <f>IFERROR(__xludf.DUMMYFUNCTION("""COMPUTED_VALUE"""),"Pizza")</f>
        <v>Pizza</v>
      </c>
      <c r="BA730" s="4" t="str">
        <f>IFERROR(__xludf.DUMMYFUNCTION("""COMPUTED_VALUE"""),"")</f>
        <v/>
      </c>
      <c r="BB730" s="4" t="str">
        <f>IFERROR(__xludf.DUMMYFUNCTION("""COMPUTED_VALUE"""),"")</f>
        <v/>
      </c>
      <c r="BC730" s="4" t="str">
        <f>IFERROR(__xludf.DUMMYFUNCTION("""COMPUTED_VALUE"""),"")</f>
        <v/>
      </c>
      <c r="BD730" s="4" t="str">
        <f>IFERROR(__xludf.DUMMYFUNCTION("""COMPUTED_VALUE"""),"")</f>
        <v/>
      </c>
      <c r="BE730" s="4" t="str">
        <f>IFERROR(__xludf.DUMMYFUNCTION("""COMPUTED_VALUE"""),"")</f>
        <v/>
      </c>
      <c r="BF730" s="4" t="str">
        <f>IFERROR(__xludf.DUMMYFUNCTION("""COMPUTED_VALUE"""),"")</f>
        <v/>
      </c>
      <c r="BG730" s="4" t="str">
        <f>IFERROR(__xludf.DUMMYFUNCTION("""COMPUTED_VALUE"""),"")</f>
        <v/>
      </c>
      <c r="BH730" s="4" t="s">
        <v>64</v>
      </c>
      <c r="BI730" s="7">
        <v>0.5</v>
      </c>
    </row>
    <row r="731" hidden="1">
      <c r="A731" s="4" t="str">
        <f>IFERROR(__xludf.DUMMYFUNCTION("""COMPUTED_VALUE"""),"Dona Baunilha")</f>
        <v>Dona Baunilha</v>
      </c>
      <c r="B731" s="4" t="str">
        <f>IFERROR(__xludf.DUMMYFUNCTION("""COMPUTED_VALUE"""),"João Biagiotti")</f>
        <v>João Biagiotti</v>
      </c>
      <c r="C731" s="4" t="str">
        <f>IFERROR(__xludf.DUMMYFUNCTION("""COMPUTED_VALUE"""),"Diego Santos")</f>
        <v>Diego Santos</v>
      </c>
      <c r="D731" s="4" t="str">
        <f>IFERROR(__xludf.DUMMYFUNCTION("""COMPUTED_VALUE"""),"2. Primeiro Contato com a marca")</f>
        <v>2. Primeiro Contato com a marca</v>
      </c>
      <c r="E731" s="4" t="str">
        <f>IFERROR(__xludf.DUMMYFUNCTION("""COMPUTED_VALUE"""),"Parceiro - Aguardando retorno parceiro")</f>
        <v>Parceiro - Aguardando retorno parceiro</v>
      </c>
      <c r="F731" s="4" t="str">
        <f>IFERROR(__xludf.DUMMYFUNCTION("""COMPUTED_VALUE"""),"P")</f>
        <v>P</v>
      </c>
      <c r="G731" s="5">
        <f>IFERROR(__xludf.DUMMYFUNCTION("""COMPUTED_VALUE"""),46135.0)</f>
        <v>46135</v>
      </c>
      <c r="H731" s="4" t="str">
        <f>IFERROR(__xludf.DUMMYFUNCTION("""COMPUTED_VALUE"""),"FUP - Aguardando retorno do parceiro")</f>
        <v>FUP - Aguardando retorno do parceiro</v>
      </c>
      <c r="I731" s="6">
        <f>IFERROR(__xludf.DUMMYFUNCTION("""COMPUTED_VALUE"""),46128.550274016205)</f>
        <v>46128.55027</v>
      </c>
      <c r="J731" s="6">
        <f>IFERROR(__xludf.DUMMYFUNCTION("""COMPUTED_VALUE"""),46128.55076778935)</f>
        <v>46128.55077</v>
      </c>
      <c r="K731" s="4"/>
      <c r="L731" s="4"/>
      <c r="M731" s="4"/>
      <c r="N731" s="4"/>
      <c r="O731" s="4"/>
      <c r="P731" s="4"/>
      <c r="Q731" s="4"/>
      <c r="R731" s="4"/>
      <c r="S731" s="4"/>
      <c r="T731" s="4"/>
      <c r="U731" s="4"/>
      <c r="V731" s="4" t="str">
        <f>IFERROR(__xludf.DUMMYFUNCTION("""COMPUTED_VALUE"""),"Sem interesse em mudar de PDV")</f>
        <v>Sem interesse em mudar de PDV</v>
      </c>
      <c r="W731" s="4"/>
      <c r="X731" s="4"/>
      <c r="Y731" s="4"/>
      <c r="Z731" s="4"/>
      <c r="AA731" s="4">
        <f>IFERROR(__xludf.DUMMYFUNCTION("""COMPUTED_VALUE"""),26.0)</f>
        <v>26</v>
      </c>
      <c r="AB731" s="4" t="str">
        <f>IFERROR(__xludf.DUMMYFUNCTION("""COMPUTED_VALUE"""),"NÃO")</f>
        <v>NÃO</v>
      </c>
      <c r="AC731" s="4" t="str">
        <f>IFERROR(__xludf.DUMMYFUNCTION("""COMPUTED_VALUE"""),"Não BP")</f>
        <v>Não BP</v>
      </c>
      <c r="AD731" s="4"/>
      <c r="AE731" s="4"/>
      <c r="AF731" s="4"/>
      <c r="AG731" s="4"/>
      <c r="AH731" s="4"/>
      <c r="AI731" s="4"/>
      <c r="AJ731" s="4"/>
      <c r="AK731" s="4"/>
      <c r="AL731" s="4"/>
      <c r="AM731" s="4" t="str">
        <f>IFERROR(__xludf.DUMMYFUNCTION("""COMPUTED_VALUE"""),"FY26, FY27")</f>
        <v>FY26, FY27</v>
      </c>
      <c r="AN731" s="4" t="str">
        <f>IFERROR(__xludf.DUMMYFUNCTION("""COMPUTED_VALUE"""),"Comer Fora")</f>
        <v>Comer Fora</v>
      </c>
      <c r="AO731" s="4">
        <f>IFERROR(__xludf.DUMMYFUNCTION("""COMPUTED_VALUE"""),53.0)</f>
        <v>53</v>
      </c>
      <c r="AP731" s="4"/>
      <c r="AQ731" s="4"/>
      <c r="AR731" s="4"/>
      <c r="AS731" s="4" t="str">
        <f>IFERROR(__xludf.DUMMYFUNCTION("""COMPUTED_VALUE"""),"THIAGO ROMAGNOLE")</f>
        <v>THIAGO ROMAGNOLE</v>
      </c>
      <c r="AT731" s="4" t="str">
        <f>IFERROR(__xludf.DUMMYFUNCTION("""COMPUTED_VALUE"""),"BRUNA TASSINARI")</f>
        <v>BRUNA TASSINARI</v>
      </c>
      <c r="AU731" s="4" t="str">
        <f>IFERROR(__xludf.DUMMYFUNCTION("""COMPUTED_VALUE"""),"Ana")</f>
        <v>Ana</v>
      </c>
      <c r="AV731" s="4" t="str">
        <f>IFERROR(__xludf.DUMMYFUNCTION("""COMPUTED_VALUE"""),"Comer Fora-")</f>
        <v>Comer Fora-</v>
      </c>
      <c r="AW731" s="20" t="str">
        <f>IFERROR(__xludf.DUMMYFUNCTION("""COMPUTED_VALUE"""),"P e M - pipe")</f>
        <v>P e M - pipe</v>
      </c>
      <c r="AX731" s="4"/>
      <c r="AY731" s="4"/>
      <c r="AZ731" s="4" t="str">
        <f>IFERROR(__xludf.DUMMYFUNCTION("""COMPUTED_VALUE"""),"Doces &amp; Bolos")</f>
        <v>Doces &amp; Bolos</v>
      </c>
      <c r="BA731" s="4" t="str">
        <f>IFERROR(__xludf.DUMMYFUNCTION("""COMPUTED_VALUE"""),"")</f>
        <v/>
      </c>
      <c r="BB731" s="4" t="str">
        <f>IFERROR(__xludf.DUMMYFUNCTION("""COMPUTED_VALUE"""),"")</f>
        <v/>
      </c>
      <c r="BC731" s="4" t="str">
        <f>IFERROR(__xludf.DUMMYFUNCTION("""COMPUTED_VALUE"""),"")</f>
        <v/>
      </c>
      <c r="BD731" s="4" t="str">
        <f>IFERROR(__xludf.DUMMYFUNCTION("""COMPUTED_VALUE"""),"")</f>
        <v/>
      </c>
      <c r="BE731" s="4" t="str">
        <f>IFERROR(__xludf.DUMMYFUNCTION("""COMPUTED_VALUE"""),"")</f>
        <v/>
      </c>
      <c r="BF731" s="4" t="str">
        <f>IFERROR(__xludf.DUMMYFUNCTION("""COMPUTED_VALUE"""),"")</f>
        <v/>
      </c>
      <c r="BG731" s="4" t="str">
        <f>IFERROR(__xludf.DUMMYFUNCTION("""COMPUTED_VALUE"""),"")</f>
        <v/>
      </c>
      <c r="BH731" s="4" t="s">
        <v>72</v>
      </c>
      <c r="BI731" s="7">
        <v>0.9473684210526315</v>
      </c>
    </row>
    <row r="732" hidden="1">
      <c r="A732" s="4" t="str">
        <f>IFERROR(__xludf.DUMMYFUNCTION("""COMPUTED_VALUE"""),"Temaki Fry")</f>
        <v>Temaki Fry</v>
      </c>
      <c r="B732" s="4" t="str">
        <f>IFERROR(__xludf.DUMMYFUNCTION("""COMPUTED_VALUE"""),"João Biagiotti")</f>
        <v>João Biagiotti</v>
      </c>
      <c r="C732" s="4" t="str">
        <f>IFERROR(__xludf.DUMMYFUNCTION("""COMPUTED_VALUE"""),"Diego Santos")</f>
        <v>Diego Santos</v>
      </c>
      <c r="D732" s="4" t="str">
        <f>IFERROR(__xludf.DUMMYFUNCTION("""COMPUTED_VALUE"""),"0. Não Iniciado")</f>
        <v>0. Não Iniciado</v>
      </c>
      <c r="E732" s="4"/>
      <c r="F732" s="4" t="str">
        <f>IFERROR(__xludf.DUMMYFUNCTION("""COMPUTED_VALUE"""),"P")</f>
        <v>P</v>
      </c>
      <c r="G732" s="4"/>
      <c r="H732" s="4"/>
      <c r="I732" s="4"/>
      <c r="J732" s="4"/>
      <c r="K732" s="4"/>
      <c r="L732" s="4"/>
      <c r="M732" s="4"/>
      <c r="N732" s="4"/>
      <c r="O732" s="4"/>
      <c r="P732" s="4"/>
      <c r="Q732" s="4"/>
      <c r="R732" s="4"/>
      <c r="S732" s="4"/>
      <c r="T732" s="4"/>
      <c r="U732" s="4"/>
      <c r="V732" s="4"/>
      <c r="W732" s="4"/>
      <c r="X732" s="4"/>
      <c r="Y732" s="4"/>
      <c r="Z732" s="4"/>
      <c r="AA732" s="4">
        <f>IFERROR(__xludf.DUMMYFUNCTION("""COMPUTED_VALUE"""),20.0)</f>
        <v>20</v>
      </c>
      <c r="AB732" s="4"/>
      <c r="AC732" s="4"/>
      <c r="AD732" s="4"/>
      <c r="AE732" s="4"/>
      <c r="AF732" s="4"/>
      <c r="AG732" s="4"/>
      <c r="AH732" s="4"/>
      <c r="AI732" s="4"/>
      <c r="AJ732" s="4"/>
      <c r="AK732" s="4"/>
      <c r="AL732" s="4"/>
      <c r="AM732" s="4" t="str">
        <f>IFERROR(__xludf.DUMMYFUNCTION("""COMPUTED_VALUE"""),"FY26, FY27")</f>
        <v>FY26, FY27</v>
      </c>
      <c r="AN732" s="4" t="str">
        <f>IFERROR(__xludf.DUMMYFUNCTION("""COMPUTED_VALUE"""),"Comer Fora")</f>
        <v>Comer Fora</v>
      </c>
      <c r="AO732" s="4">
        <f>IFERROR(__xludf.DUMMYFUNCTION("""COMPUTED_VALUE"""),53.0)</f>
        <v>53</v>
      </c>
      <c r="AP732" s="4" t="str">
        <f>IFERROR(__xludf.DUMMYFUNCTION("""COMPUTED_VALUE"""),"SP")</f>
        <v>SP</v>
      </c>
      <c r="AQ732" s="4" t="str">
        <f>IFERROR(__xludf.DUMMYFUNCTION("""COMPUTED_VALUE"""),"FABRYCIO MORI")</f>
        <v>FABRYCIO MORI</v>
      </c>
      <c r="AR732" s="4" t="str">
        <f>IFERROR(__xludf.DUMMYFUNCTION("""COMPUTED_VALUE"""),"LUCAS VALENTIM")</f>
        <v>LUCAS VALENTIM</v>
      </c>
      <c r="AS732" s="4" t="str">
        <f>IFERROR(__xludf.DUMMYFUNCTION("""COMPUTED_VALUE"""),"NATHALIE MERTENS")</f>
        <v>NATHALIE MERTENS</v>
      </c>
      <c r="AT732" s="4" t="str">
        <f>IFERROR(__xludf.DUMMYFUNCTION("""COMPUTED_VALUE"""),"MATHEUS LESSA")</f>
        <v>MATHEUS LESSA</v>
      </c>
      <c r="AU732" s="4" t="str">
        <f>IFERROR(__xludf.DUMMYFUNCTION("""COMPUTED_VALUE"""),"Ana")</f>
        <v>Ana</v>
      </c>
      <c r="AV732" s="4" t="str">
        <f>IFERROR(__xludf.DUMMYFUNCTION("""COMPUTED_VALUE"""),"Comer Fora-")</f>
        <v>Comer Fora-</v>
      </c>
      <c r="AW732" s="20" t="str">
        <f>IFERROR(__xludf.DUMMYFUNCTION("""COMPUTED_VALUE"""),"P e M - pipe")</f>
        <v>P e M - pipe</v>
      </c>
      <c r="AX732" s="4"/>
      <c r="AY732" s="4"/>
      <c r="AZ732" s="4" t="str">
        <f>IFERROR(__xludf.DUMMYFUNCTION("""COMPUTED_VALUE"""),"Asiática")</f>
        <v>Asiática</v>
      </c>
      <c r="BA732" s="4" t="str">
        <f>IFERROR(__xludf.DUMMYFUNCTION("""COMPUTED_VALUE"""),"Dado não disponível publicamente - Necessário Discovery")</f>
        <v>Dado não disponível publicamente - Necessário Discovery</v>
      </c>
      <c r="BB732" s="4" t="str">
        <f>IFERROR(__xludf.DUMMYFUNCTION("""COMPUTED_VALUE"""),"Fast Casual / Temakeria (SP, RJ, GO - Brasília em breve)")</f>
        <v>Fast Casual / Temakeria (SP, RJ, GO - Brasília em breve)</v>
      </c>
      <c r="BC732" s="4" t="str">
        <f>IFERROR(__xludf.DUMMYFUNCTION("""COMPUTED_VALUE"""),"Multi-regional (3 estados: São Paulo, Rio de Janeiro, Goiás + DF em breve)")</f>
        <v>Multi-regional (3 estados: São Paulo, Rio de Janeiro, Goiás + DF em breve)</v>
      </c>
      <c r="BD732" s="4" t="str">
        <f>IFERROR(__xludf.DUMMYFUNCTION("""COMPUTED_VALUE"""),"R$ 35-60")</f>
        <v>R$ 35-60</v>
      </c>
      <c r="BE732" s="4">
        <f>IFERROR(__xludf.DUMMYFUNCTION("""COMPUTED_VALUE"""),60.0)</f>
        <v>60</v>
      </c>
      <c r="BF732" s="4">
        <f>IFERROR(__xludf.DUMMYFUNCTION("""COMPUTED_VALUE"""),0.65)</f>
        <v>0.65</v>
      </c>
      <c r="BG732" s="4" t="str">
        <f>IFERROR(__xludf.DUMMYFUNCTION("""COMPUTED_VALUE"""),"Rede 19 lojas em 3 estados. Fast Casual temaki: Kiosk customização + E-DEPLOY nacional. Boa aderência.")</f>
        <v>Rede 19 lojas em 3 estados. Fast Casual temaki: Kiosk customização + E-DEPLOY nacional. Boa aderência.</v>
      </c>
      <c r="BH732" s="4" t="s">
        <v>71</v>
      </c>
      <c r="BI732" s="7">
        <v>0.6666666666666666</v>
      </c>
    </row>
    <row r="733" hidden="1">
      <c r="A733" s="4" t="str">
        <f>IFERROR(__xludf.DUMMYFUNCTION("""COMPUTED_VALUE"""),"Burdog")</f>
        <v>Burdog</v>
      </c>
      <c r="B733" s="4" t="str">
        <f>IFERROR(__xludf.DUMMYFUNCTION("""COMPUTED_VALUE"""),"João Biagiotti")</f>
        <v>João Biagiotti</v>
      </c>
      <c r="C733" s="4" t="str">
        <f>IFERROR(__xludf.DUMMYFUNCTION("""COMPUTED_VALUE"""),"Diego Santos")</f>
        <v>Diego Santos</v>
      </c>
      <c r="D733" s="4" t="str">
        <f>IFERROR(__xludf.DUMMYFUNCTION("""COMPUTED_VALUE"""),"0. Não Iniciado")</f>
        <v>0. Não Iniciado</v>
      </c>
      <c r="E733" s="4"/>
      <c r="F733" s="4" t="str">
        <f>IFERROR(__xludf.DUMMYFUNCTION("""COMPUTED_VALUE"""),"P")</f>
        <v>P</v>
      </c>
      <c r="G733" s="4"/>
      <c r="H733" s="4"/>
      <c r="I733" s="4"/>
      <c r="J733" s="4"/>
      <c r="K733" s="4"/>
      <c r="L733" s="4"/>
      <c r="M733" s="4"/>
      <c r="N733" s="4"/>
      <c r="O733" s="4"/>
      <c r="P733" s="4"/>
      <c r="Q733" s="4"/>
      <c r="R733" s="4"/>
      <c r="S733" s="4"/>
      <c r="T733" s="4"/>
      <c r="U733" s="4"/>
      <c r="V733" s="4"/>
      <c r="W733" s="4"/>
      <c r="X733" s="4"/>
      <c r="Y733" s="4"/>
      <c r="Z733" s="4"/>
      <c r="AA733" s="4">
        <f>IFERROR(__xludf.DUMMYFUNCTION("""COMPUTED_VALUE"""),4.0)</f>
        <v>4</v>
      </c>
      <c r="AB733" s="4" t="str">
        <f>IFERROR(__xludf.DUMMYFUNCTION("""COMPUTED_VALUE"""),"NÃO")</f>
        <v>NÃO</v>
      </c>
      <c r="AC733" s="4" t="str">
        <f>IFERROR(__xludf.DUMMYFUNCTION("""COMPUTED_VALUE"""),"BP")</f>
        <v>BP</v>
      </c>
      <c r="AD733" s="4"/>
      <c r="AE733" s="4"/>
      <c r="AF733" s="4"/>
      <c r="AG733" s="4"/>
      <c r="AH733" s="4"/>
      <c r="AI733" s="4"/>
      <c r="AJ733" s="4"/>
      <c r="AK733" s="4"/>
      <c r="AL733" s="4"/>
      <c r="AM733" s="4" t="str">
        <f>IFERROR(__xludf.DUMMYFUNCTION("""COMPUTED_VALUE"""),"FY26, FY27")</f>
        <v>FY26, FY27</v>
      </c>
      <c r="AN733" s="4" t="str">
        <f>IFERROR(__xludf.DUMMYFUNCTION("""COMPUTED_VALUE"""),"Comer Fora")</f>
        <v>Comer Fora</v>
      </c>
      <c r="AO733" s="4">
        <f>IFERROR(__xludf.DUMMYFUNCTION("""COMPUTED_VALUE"""),53.0)</f>
        <v>53</v>
      </c>
      <c r="AP733" s="4" t="str">
        <f>IFERROR(__xludf.DUMMYFUNCTION("""COMPUTED_VALUE"""),"SP")</f>
        <v>SP</v>
      </c>
      <c r="AQ733" s="4" t="str">
        <f>IFERROR(__xludf.DUMMYFUNCTION("""COMPUTED_VALUE"""),"GABRIEL BISPO")</f>
        <v>GABRIEL BISPO</v>
      </c>
      <c r="AR733" s="4" t="str">
        <f>IFERROR(__xludf.DUMMYFUNCTION("""COMPUTED_VALUE"""),"GABRYELLA ESTEVAO")</f>
        <v>GABRYELLA ESTEVAO</v>
      </c>
      <c r="AS733" s="4" t="str">
        <f>IFERROR(__xludf.DUMMYFUNCTION("""COMPUTED_VALUE"""),"NATHALIE MERTENS")</f>
        <v>NATHALIE MERTENS</v>
      </c>
      <c r="AT733" s="4" t="str">
        <f>IFERROR(__xludf.DUMMYFUNCTION("""COMPUTED_VALUE"""),"MARIANA KATZ")</f>
        <v>MARIANA KATZ</v>
      </c>
      <c r="AU733" s="4" t="str">
        <f>IFERROR(__xludf.DUMMYFUNCTION("""COMPUTED_VALUE"""),"Ana")</f>
        <v>Ana</v>
      </c>
      <c r="AV733" s="4" t="str">
        <f>IFERROR(__xludf.DUMMYFUNCTION("""COMPUTED_VALUE"""),"Comer Fora-")</f>
        <v>Comer Fora-</v>
      </c>
      <c r="AW733" s="20" t="str">
        <f>IFERROR(__xludf.DUMMYFUNCTION("""COMPUTED_VALUE"""),"P e M - pipe")</f>
        <v>P e M - pipe</v>
      </c>
      <c r="AX733" s="4"/>
      <c r="AY733" s="4"/>
      <c r="AZ733" s="4" t="str">
        <f>IFERROR(__xludf.DUMMYFUNCTION("""COMPUTED_VALUE"""),"Lanches")</f>
        <v>Lanches</v>
      </c>
      <c r="BA733" s="4">
        <f>IFERROR(__xludf.DUMMYFUNCTION("""COMPUTED_VALUE"""),26.0)</f>
        <v>26</v>
      </c>
      <c r="BB733" s="4" t="str">
        <f>IFERROR(__xludf.DUMMYFUNCTION("""COMPUTED_VALUE"""),"QSR - Hot Dog")</f>
        <v>QSR - Hot Dog</v>
      </c>
      <c r="BC733" s="4" t="str">
        <f>IFERROR(__xludf.DUMMYFUNCTION("""COMPUTED_VALUE"""),"Belo Horizonte/MG")</f>
        <v>Belo Horizonte/MG</v>
      </c>
      <c r="BD733" s="4" t="str">
        <f>IFERROR(__xludf.DUMMYFUNCTION("""COMPUTED_VALUE"""),"Dado não disponível publicamente - Necessário Discovery")</f>
        <v>Dado não disponível publicamente - Necessário Discovery</v>
      </c>
      <c r="BE733" s="4">
        <f>IFERROR(__xludf.DUMMYFUNCTION("""COMPUTED_VALUE"""),65.0)</f>
        <v>65</v>
      </c>
      <c r="BF733" s="4">
        <f>IFERROR(__xludf.DUMMYFUNCTION("""COMPUTED_VALUE"""),0.85)</f>
        <v>0.85</v>
      </c>
      <c r="BG733"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BH733" s="4" t="s">
        <v>71</v>
      </c>
      <c r="BI733" s="7">
        <v>0.6666666666666666</v>
      </c>
    </row>
    <row r="734" hidden="1">
      <c r="A734" s="4" t="str">
        <f>IFERROR(__xludf.DUMMYFUNCTION("""COMPUTED_VALUE"""),"Ofner")</f>
        <v>Ofner</v>
      </c>
      <c r="B734" s="4" t="str">
        <f>IFERROR(__xludf.DUMMYFUNCTION("""COMPUTED_VALUE"""),"João Biagiotti")</f>
        <v>João Biagiotti</v>
      </c>
      <c r="C734" s="4" t="str">
        <f>IFERROR(__xludf.DUMMYFUNCTION("""COMPUTED_VALUE"""),"Diego Santos")</f>
        <v>Diego Santos</v>
      </c>
      <c r="D734" s="4" t="str">
        <f>IFERROR(__xludf.DUMMYFUNCTION("""COMPUTED_VALUE"""),"11. Stand by")</f>
        <v>11. Stand by</v>
      </c>
      <c r="E734" s="4" t="str">
        <f>IFERROR(__xludf.DUMMYFUNCTION("""COMPUTED_VALUE"""),"Comercial - Contato realizado com parceiro")</f>
        <v>Comercial - Contato realizado com parceiro</v>
      </c>
      <c r="F734" s="4" t="str">
        <f>IFERROR(__xludf.DUMMYFUNCTION("""COMPUTED_VALUE"""),"P")</f>
        <v>P</v>
      </c>
      <c r="G734" s="5">
        <f>IFERROR(__xludf.DUMMYFUNCTION("""COMPUTED_VALUE"""),46076.0)</f>
        <v>46076</v>
      </c>
      <c r="H734" s="4" t="str">
        <f>IFERROR(__xludf.DUMMYFUNCTION("""COMPUTED_VALUE"""),"Parceirou assinou com CISS recentemente, começaram implantar sistema agora.")</f>
        <v>Parceirou assinou com CISS recentemente, começaram implantar sistema agora.</v>
      </c>
      <c r="I734" s="4"/>
      <c r="J734" s="6">
        <f>IFERROR(__xludf.DUMMYFUNCTION("""COMPUTED_VALUE"""),46052.426558796295)</f>
        <v>46052.42656</v>
      </c>
      <c r="K734" s="4"/>
      <c r="L734" s="4"/>
      <c r="M734" s="4"/>
      <c r="N734" s="4"/>
      <c r="O734" s="4"/>
      <c r="P734" s="4"/>
      <c r="Q734" s="4"/>
      <c r="R734" s="6">
        <f>IFERROR(__xludf.DUMMYFUNCTION("""COMPUTED_VALUE"""),46076.47963502315)</f>
        <v>46076.47964</v>
      </c>
      <c r="S734" s="6">
        <f>IFERROR(__xludf.DUMMYFUNCTION("""COMPUTED_VALUE"""),46077.4942015625)</f>
        <v>46077.4942</v>
      </c>
      <c r="T734" s="4"/>
      <c r="U734" s="4"/>
      <c r="V734" s="4" t="str">
        <f>IFERROR(__xludf.DUMMYFUNCTION("""COMPUTED_VALUE"""),"Fechou com concorrente há pouco tempo")</f>
        <v>Fechou com concorrente há pouco tempo</v>
      </c>
      <c r="W734" s="4"/>
      <c r="X734" s="4"/>
      <c r="Y734" s="4"/>
      <c r="Z734" s="4"/>
      <c r="AA734" s="4">
        <f>IFERROR(__xludf.DUMMYFUNCTION("""COMPUTED_VALUE"""),26.0)</f>
        <v>26</v>
      </c>
      <c r="AB734" s="4" t="str">
        <f>IFERROR(__xludf.DUMMYFUNCTION("""COMPUTED_VALUE"""),"NÃO")</f>
        <v>NÃO</v>
      </c>
      <c r="AC734" s="4" t="str">
        <f>IFERROR(__xludf.DUMMYFUNCTION("""COMPUTED_VALUE"""),"BP")</f>
        <v>BP</v>
      </c>
      <c r="AD734" s="4"/>
      <c r="AE734" s="4"/>
      <c r="AF734" s="4"/>
      <c r="AG734" s="4"/>
      <c r="AH734" s="4"/>
      <c r="AI734" s="4"/>
      <c r="AJ734" s="4"/>
      <c r="AK734" s="4"/>
      <c r="AL734" s="4"/>
      <c r="AM734" s="4" t="str">
        <f>IFERROR(__xludf.DUMMYFUNCTION("""COMPUTED_VALUE"""),"FY26, FY27")</f>
        <v>FY26, FY27</v>
      </c>
      <c r="AN734" s="4"/>
      <c r="AO734" s="4">
        <f>IFERROR(__xludf.DUMMYFUNCTION("""COMPUTED_VALUE"""),140.0)</f>
        <v>140</v>
      </c>
      <c r="AP734" s="4" t="str">
        <f>IFERROR(__xludf.DUMMYFUNCTION("""COMPUTED_VALUE"""),"SP")</f>
        <v>SP</v>
      </c>
      <c r="AQ734" s="4" t="str">
        <f>IFERROR(__xludf.DUMMYFUNCTION("""COMPUTED_VALUE"""),"FABRYCIO MORI")</f>
        <v>FABRYCIO MORI</v>
      </c>
      <c r="AR734" s="4">
        <f>IFERROR(__xludf.DUMMYFUNCTION("""COMPUTED_VALUE"""),0.0)</f>
        <v>0</v>
      </c>
      <c r="AS734" s="4">
        <f>IFERROR(__xludf.DUMMYFUNCTION("""COMPUTED_VALUE"""),0.0)</f>
        <v>0</v>
      </c>
      <c r="AT734" s="4">
        <f>IFERROR(__xludf.DUMMYFUNCTION("""COMPUTED_VALUE"""),0.0)</f>
        <v>0</v>
      </c>
      <c r="AU734" s="4" t="str">
        <f>IFERROR(__xludf.DUMMYFUNCTION("""COMPUTED_VALUE"""),"Ana")</f>
        <v>Ana</v>
      </c>
      <c r="AV734" s="4">
        <f>IFERROR(__xludf.DUMMYFUNCTION("""COMPUTED_VALUE"""),0.0)</f>
        <v>0</v>
      </c>
      <c r="AW734" s="4">
        <f>IFERROR(__xludf.DUMMYFUNCTION("""COMPUTED_VALUE"""),0.0)</f>
        <v>0</v>
      </c>
      <c r="AX734" s="4">
        <f>IFERROR(__xludf.DUMMYFUNCTION("""COMPUTED_VALUE"""),0.0)</f>
        <v>0</v>
      </c>
      <c r="AY734" s="4"/>
      <c r="AZ734" s="4" t="str">
        <f>IFERROR(__xludf.DUMMYFUNCTION("""COMPUTED_VALUE"""),"Doces &amp; Bolos")</f>
        <v>Doces &amp; Bolos</v>
      </c>
      <c r="BA734" s="4" t="str">
        <f>IFERROR(__xludf.DUMMYFUNCTION("""COMPUTED_VALUE"""),"R$ 35-65")</f>
        <v>R$ 35-65</v>
      </c>
      <c r="BB734" s="4" t="str">
        <f>IFERROR(__xludf.DUMMYFUNCTION("""COMPUTED_VALUE"""),"Retail - Confeitaria Premium")</f>
        <v>Retail - Confeitaria Premium</v>
      </c>
      <c r="BC734" s="4" t="str">
        <f>IFERROR(__xludf.DUMMYFUNCTION("""COMPUTED_VALUE"""),"São Paulo (26-30 lojas próprias)")</f>
        <v>São Paulo (26-30 lojas próprias)</v>
      </c>
      <c r="BD734" s="4" t="str">
        <f>IFERROR(__xludf.DUMMYFUNCTION("""COMPUTED_VALUE"""),"Necessário Discovery")</f>
        <v>Necessário Discovery</v>
      </c>
      <c r="BE734" s="4">
        <f>IFERROR(__xludf.DUMMYFUNCTION("""COMPUTED_VALUE"""),62.0)</f>
        <v>62</v>
      </c>
      <c r="BF734" s="4">
        <f>IFERROR(__xludf.DUMMYFUNCTION("""COMPUTED_VALUE"""),0.65)</f>
        <v>0.65</v>
      </c>
      <c r="BG734" s="4" t="str">
        <f>IFERROR(__xludf.DUMMYFUNCTION("""COMPUTED_VALUE"""),"PDV não identificado (já no Lote 2) - Confeitaria premium 26-30 lojas próprias SP. Expansão 2026")</f>
        <v>PDV não identificado (já no Lote 2) - Confeitaria premium 26-30 lojas próprias SP. Expansão 2026</v>
      </c>
      <c r="BH734" s="4" t="s">
        <v>63</v>
      </c>
      <c r="BI734" s="7" t="s">
        <v>63</v>
      </c>
    </row>
    <row r="735" hidden="1">
      <c r="A735" s="4" t="str">
        <f>IFERROR(__xludf.DUMMYFUNCTION("""COMPUTED_VALUE"""),"Jardim De Napoli")</f>
        <v>Jardim De Napoli</v>
      </c>
      <c r="B735" s="4" t="str">
        <f>IFERROR(__xludf.DUMMYFUNCTION("""COMPUTED_VALUE"""),"João Biagiotti")</f>
        <v>João Biagiotti</v>
      </c>
      <c r="C735" s="4" t="str">
        <f>IFERROR(__xludf.DUMMYFUNCTION("""COMPUTED_VALUE"""),"Diego Santos")</f>
        <v>Diego Santos</v>
      </c>
      <c r="D735" s="4" t="str">
        <f>IFERROR(__xludf.DUMMYFUNCTION("""COMPUTED_VALUE"""),"0. Não Iniciado")</f>
        <v>0. Não Iniciado</v>
      </c>
      <c r="E735" s="4"/>
      <c r="F735" s="4" t="str">
        <f>IFERROR(__xludf.DUMMYFUNCTION("""COMPUTED_VALUE"""),"P")</f>
        <v>P</v>
      </c>
      <c r="G735" s="4"/>
      <c r="H735" s="4"/>
      <c r="I735" s="4"/>
      <c r="J735" s="4"/>
      <c r="K735" s="4"/>
      <c r="L735" s="4"/>
      <c r="M735" s="4"/>
      <c r="N735" s="4"/>
      <c r="O735" s="4"/>
      <c r="P735" s="4"/>
      <c r="Q735" s="4"/>
      <c r="R735" s="4"/>
      <c r="S735" s="4"/>
      <c r="T735" s="4"/>
      <c r="U735" s="4"/>
      <c r="V735" s="4"/>
      <c r="W735" s="4"/>
      <c r="X735" s="4"/>
      <c r="Y735" s="4"/>
      <c r="Z735" s="4"/>
      <c r="AA735" s="4">
        <f>IFERROR(__xludf.DUMMYFUNCTION("""COMPUTED_VALUE"""),3.0)</f>
        <v>3</v>
      </c>
      <c r="AB735" s="4" t="str">
        <f>IFERROR(__xludf.DUMMYFUNCTION("""COMPUTED_VALUE"""),"NÃO")</f>
        <v>NÃO</v>
      </c>
      <c r="AC735" s="4" t="str">
        <f>IFERROR(__xludf.DUMMYFUNCTION("""COMPUTED_VALUE"""),"BP")</f>
        <v>BP</v>
      </c>
      <c r="AD735" s="4"/>
      <c r="AE735" s="4"/>
      <c r="AF735" s="4"/>
      <c r="AG735" s="4"/>
      <c r="AH735" s="4"/>
      <c r="AI735" s="4"/>
      <c r="AJ735" s="4"/>
      <c r="AK735" s="4"/>
      <c r="AL735" s="4"/>
      <c r="AM735" s="4" t="str">
        <f>IFERROR(__xludf.DUMMYFUNCTION("""COMPUTED_VALUE"""),"FY26, FY27")</f>
        <v>FY26, FY27</v>
      </c>
      <c r="AN735" s="4"/>
      <c r="AO735" s="4">
        <f>IFERROR(__xludf.DUMMYFUNCTION("""COMPUTED_VALUE"""),31.0)</f>
        <v>31</v>
      </c>
      <c r="AP735" s="4">
        <f>IFERROR(__xludf.DUMMYFUNCTION("""COMPUTED_VALUE"""),0.0)</f>
        <v>0</v>
      </c>
      <c r="AQ735" s="4">
        <f>IFERROR(__xludf.DUMMYFUNCTION("""COMPUTED_VALUE"""),0.0)</f>
        <v>0</v>
      </c>
      <c r="AR735" s="4">
        <f>IFERROR(__xludf.DUMMYFUNCTION("""COMPUTED_VALUE"""),0.0)</f>
        <v>0</v>
      </c>
      <c r="AS735" s="4">
        <f>IFERROR(__xludf.DUMMYFUNCTION("""COMPUTED_VALUE"""),0.0)</f>
        <v>0</v>
      </c>
      <c r="AT735" s="4">
        <f>IFERROR(__xludf.DUMMYFUNCTION("""COMPUTED_VALUE"""),0.0)</f>
        <v>0</v>
      </c>
      <c r="AU735" s="4" t="str">
        <f>IFERROR(__xludf.DUMMYFUNCTION("""COMPUTED_VALUE"""),"Ana")</f>
        <v>Ana</v>
      </c>
      <c r="AV735" s="4">
        <f>IFERROR(__xludf.DUMMYFUNCTION("""COMPUTED_VALUE"""),0.0)</f>
        <v>0</v>
      </c>
      <c r="AW735" s="4">
        <f>IFERROR(__xludf.DUMMYFUNCTION("""COMPUTED_VALUE"""),0.0)</f>
        <v>0</v>
      </c>
      <c r="AX735" s="4">
        <f>IFERROR(__xludf.DUMMYFUNCTION("""COMPUTED_VALUE"""),0.0)</f>
        <v>0</v>
      </c>
      <c r="AY735" s="4"/>
      <c r="AZ735" s="4" t="str">
        <f>IFERROR(__xludf.DUMMYFUNCTION("""COMPUTED_VALUE"""),"Italiana; Pizza; Lanche")</f>
        <v>Italiana; Pizza; Lanche</v>
      </c>
      <c r="BA735" s="4" t="str">
        <f>IFERROR(__xludf.DUMMYFUNCTION("""COMPUTED_VALUE"""),"R$ 70-110")</f>
        <v>R$ 70-110</v>
      </c>
      <c r="BB735" s="4" t="str">
        <f>IFERROR(__xludf.DUMMYFUNCTION("""COMPUTED_VALUE"""),"Table Service - Cantina Italiana tradicional")</f>
        <v>Table Service - Cantina Italiana tradicional</v>
      </c>
      <c r="BC735" s="4" t="str">
        <f>IFERROR(__xludf.DUMMYFUNCTION("""COMPUTED_VALUE"""),"São Paulo/SP. 2 unidades (Higienópolis, Vila Buarque). Operação familiar desde 1949, sem evidência de expansão")</f>
        <v>São Paulo/SP. 2 unidades (Higienópolis, Vila Buarque). Operação familiar desde 1949, sem evidência de expansão</v>
      </c>
      <c r="BD735" s="4" t="str">
        <f>IFERROR(__xludf.DUMMYFUNCTION("""COMPUTED_VALUE"""),"Dado não disponível publicamente - Necessário Discovery")</f>
        <v>Dado não disponível publicamente - Necessário Discovery</v>
      </c>
      <c r="BE735" s="4">
        <f>IFERROR(__xludf.DUMMYFUNCTION("""COMPUTED_VALUE"""),38.0)</f>
        <v>38</v>
      </c>
      <c r="BF735" s="4">
        <f>IFERROR(__xludf.DUMMYFUNCTION("""COMPUTED_VALUE"""),0.42)</f>
        <v>0.42</v>
      </c>
      <c r="BG735" s="4" t="str">
        <f>IFERROR(__xludf.DUMMYFUNCTION("""COMPUTED_VALUE"""),"PDV atual não identificado. Operação tradicional familiar sem ambição de crescimento. Baixa aderência à 3S por ser operação pequena e estável. Solução atual provavelmente atende necessidades.")</f>
        <v>PDV atual não identificado. Operação tradicional familiar sem ambição de crescimento. Baixa aderência à 3S por ser operação pequena e estável. Solução atual provavelmente atende necessidades.</v>
      </c>
      <c r="BH735" s="4" t="s">
        <v>118</v>
      </c>
      <c r="BI735" s="7">
        <v>1.0</v>
      </c>
    </row>
    <row r="736" hidden="1">
      <c r="A736" s="4" t="str">
        <f>IFERROR(__xludf.DUMMYFUNCTION("""COMPUTED_VALUE"""),"Futuro Refeitorio")</f>
        <v>Futuro Refeitorio</v>
      </c>
      <c r="B736" s="4" t="str">
        <f>IFERROR(__xludf.DUMMYFUNCTION("""COMPUTED_VALUE"""),"João Biagiotti")</f>
        <v>João Biagiotti</v>
      </c>
      <c r="C736" s="4" t="str">
        <f>IFERROR(__xludf.DUMMYFUNCTION("""COMPUTED_VALUE"""),"Diego Santos")</f>
        <v>Diego Santos</v>
      </c>
      <c r="D736" s="4" t="str">
        <f>IFERROR(__xludf.DUMMYFUNCTION("""COMPUTED_VALUE"""),"0. Não Iniciado")</f>
        <v>0. Não Iniciado</v>
      </c>
      <c r="E736" s="4"/>
      <c r="F736" s="4" t="str">
        <f>IFERROR(__xludf.DUMMYFUNCTION("""COMPUTED_VALUE"""),"P")</f>
        <v>P</v>
      </c>
      <c r="G736" s="4"/>
      <c r="H736" s="4"/>
      <c r="I736" s="4"/>
      <c r="J736" s="4"/>
      <c r="K736" s="4"/>
      <c r="L736" s="4"/>
      <c r="M736" s="4"/>
      <c r="N736" s="4"/>
      <c r="O736" s="4"/>
      <c r="P736" s="4"/>
      <c r="Q736" s="4"/>
      <c r="R736" s="4"/>
      <c r="S736" s="4"/>
      <c r="T736" s="4"/>
      <c r="U736" s="4"/>
      <c r="V736" s="4"/>
      <c r="W736" s="4"/>
      <c r="X736" s="4"/>
      <c r="Y736" s="4"/>
      <c r="Z736" s="4"/>
      <c r="AA736" s="4">
        <f>IFERROR(__xludf.DUMMYFUNCTION("""COMPUTED_VALUE"""),1.0)</f>
        <v>1</v>
      </c>
      <c r="AB736" s="4" t="str">
        <f>IFERROR(__xludf.DUMMYFUNCTION("""COMPUTED_VALUE"""),"NÃO")</f>
        <v>NÃO</v>
      </c>
      <c r="AC736" s="4" t="str">
        <f>IFERROR(__xludf.DUMMYFUNCTION("""COMPUTED_VALUE"""),"Não BP")</f>
        <v>Não BP</v>
      </c>
      <c r="AD736" s="4"/>
      <c r="AE736" s="4"/>
      <c r="AF736" s="4"/>
      <c r="AG736" s="4"/>
      <c r="AH736" s="4"/>
      <c r="AI736" s="4"/>
      <c r="AJ736" s="4"/>
      <c r="AK736" s="4"/>
      <c r="AL736" s="4"/>
      <c r="AM736" s="4" t="str">
        <f>IFERROR(__xludf.DUMMYFUNCTION("""COMPUTED_VALUE"""),"FY26, FY27")</f>
        <v>FY26, FY27</v>
      </c>
      <c r="AN736" s="4" t="str">
        <f>IFERROR(__xludf.DUMMYFUNCTION("""COMPUTED_VALUE"""),"Comer Fora")</f>
        <v>Comer Fora</v>
      </c>
      <c r="AO736" s="4">
        <f>IFERROR(__xludf.DUMMYFUNCTION("""COMPUTED_VALUE"""),53.0)</f>
        <v>53</v>
      </c>
      <c r="AP736" s="4" t="str">
        <f>IFERROR(__xludf.DUMMYFUNCTION("""COMPUTED_VALUE"""),"SP")</f>
        <v>SP</v>
      </c>
      <c r="AQ736" s="4" t="str">
        <f>IFERROR(__xludf.DUMMYFUNCTION("""COMPUTED_VALUE"""),"GABRIEL BISPO")</f>
        <v>GABRIEL BISPO</v>
      </c>
      <c r="AR736" s="4" t="str">
        <f>IFERROR(__xludf.DUMMYFUNCTION("""COMPUTED_VALUE"""),"RICARDO SILVEIRA")</f>
        <v>RICARDO SILVEIRA</v>
      </c>
      <c r="AS736" s="4" t="str">
        <f>IFERROR(__xludf.DUMMYFUNCTION("""COMPUTED_VALUE"""),"NATHALIE MERTENS")</f>
        <v>NATHALIE MERTENS</v>
      </c>
      <c r="AT736" s="4" t="str">
        <f>IFERROR(__xludf.DUMMYFUNCTION("""COMPUTED_VALUE"""),"MARIANA KATZ")</f>
        <v>MARIANA KATZ</v>
      </c>
      <c r="AU736" s="4" t="str">
        <f>IFERROR(__xludf.DUMMYFUNCTION("""COMPUTED_VALUE"""),"Ana")</f>
        <v>Ana</v>
      </c>
      <c r="AV736" s="4" t="str">
        <f>IFERROR(__xludf.DUMMYFUNCTION("""COMPUTED_VALUE"""),"Comer Fora-")</f>
        <v>Comer Fora-</v>
      </c>
      <c r="AW736" s="20" t="str">
        <f>IFERROR(__xludf.DUMMYFUNCTION("""COMPUTED_VALUE"""),"P e M - pipe")</f>
        <v>P e M - pipe</v>
      </c>
      <c r="AX736" s="4"/>
      <c r="AY736" s="4"/>
      <c r="AZ736" s="4" t="str">
        <f>IFERROR(__xludf.DUMMYFUNCTION("""COMPUTED_VALUE"""),"Padaria")</f>
        <v>Padaria</v>
      </c>
      <c r="BA736" s="4" t="str">
        <f>IFERROR(__xludf.DUMMYFUNCTION("""COMPUTED_VALUE"""),"")</f>
        <v/>
      </c>
      <c r="BB736" s="4" t="str">
        <f>IFERROR(__xludf.DUMMYFUNCTION("""COMPUTED_VALUE"""),"")</f>
        <v/>
      </c>
      <c r="BC736" s="4" t="str">
        <f>IFERROR(__xludf.DUMMYFUNCTION("""COMPUTED_VALUE"""),"")</f>
        <v/>
      </c>
      <c r="BD736" s="4" t="str">
        <f>IFERROR(__xludf.DUMMYFUNCTION("""COMPUTED_VALUE"""),"")</f>
        <v/>
      </c>
      <c r="BE736" s="4" t="str">
        <f>IFERROR(__xludf.DUMMYFUNCTION("""COMPUTED_VALUE"""),"")</f>
        <v/>
      </c>
      <c r="BF736" s="4" t="str">
        <f>IFERROR(__xludf.DUMMYFUNCTION("""COMPUTED_VALUE"""),"")</f>
        <v/>
      </c>
      <c r="BG736" s="4" t="str">
        <f>IFERROR(__xludf.DUMMYFUNCTION("""COMPUTED_VALUE"""),"")</f>
        <v/>
      </c>
      <c r="BH736" s="4" t="s">
        <v>74</v>
      </c>
      <c r="BI736" s="7">
        <v>1.0</v>
      </c>
    </row>
    <row r="737" hidden="1">
      <c r="A737" s="4" t="str">
        <f>IFERROR(__xludf.DUMMYFUNCTION("""COMPUTED_VALUE"""),"Companhia Do Churrasco")</f>
        <v>Companhia Do Churrasco</v>
      </c>
      <c r="B737" s="4" t="str">
        <f>IFERROR(__xludf.DUMMYFUNCTION("""COMPUTED_VALUE"""),"Emerson")</f>
        <v>Emerson</v>
      </c>
      <c r="C737" s="4" t="str">
        <f>IFERROR(__xludf.DUMMYFUNCTION("""COMPUTED_VALUE"""),"Emerson")</f>
        <v>Emerson</v>
      </c>
      <c r="D737" s="4" t="str">
        <f>IFERROR(__xludf.DUMMYFUNCTION("""COMPUTED_VALUE"""),"0. Não Iniciado")</f>
        <v>0. Não Iniciado</v>
      </c>
      <c r="E737" s="4"/>
      <c r="F737" s="4" t="str">
        <f>IFERROR(__xludf.DUMMYFUNCTION("""COMPUTED_VALUE"""),"M")</f>
        <v>M</v>
      </c>
      <c r="G737" s="4"/>
      <c r="H737" s="4"/>
      <c r="I737" s="4"/>
      <c r="J737" s="4"/>
      <c r="K737" s="4"/>
      <c r="L737" s="4"/>
      <c r="M737" s="4"/>
      <c r="N737" s="4"/>
      <c r="O737" s="4"/>
      <c r="P737" s="4"/>
      <c r="Q737" s="4"/>
      <c r="R737" s="4"/>
      <c r="S737" s="4"/>
      <c r="T737" s="4"/>
      <c r="U737" s="4"/>
      <c r="V737" s="4"/>
      <c r="W737" s="4"/>
      <c r="X737" s="4"/>
      <c r="Y737" s="4"/>
      <c r="Z737" s="4"/>
      <c r="AA737" s="4">
        <f>IFERROR(__xludf.DUMMYFUNCTION("""COMPUTED_VALUE"""),38.0)</f>
        <v>38</v>
      </c>
      <c r="AB737" s="4" t="str">
        <f>IFERROR(__xludf.DUMMYFUNCTION("""COMPUTED_VALUE"""),"NÃO")</f>
        <v>NÃO</v>
      </c>
      <c r="AC737" s="4" t="str">
        <f>IFERROR(__xludf.DUMMYFUNCTION("""COMPUTED_VALUE"""),"BP")</f>
        <v>BP</v>
      </c>
      <c r="AD737" s="4"/>
      <c r="AE737" s="4"/>
      <c r="AF737" s="4"/>
      <c r="AG737" s="4"/>
      <c r="AH737" s="4"/>
      <c r="AI737" s="4"/>
      <c r="AJ737" s="4"/>
      <c r="AK737" s="4"/>
      <c r="AL737" s="4"/>
      <c r="AM737" s="4" t="str">
        <f>IFERROR(__xludf.DUMMYFUNCTION("""COMPUTED_VALUE"""),"FY26, FY27")</f>
        <v>FY26, FY27</v>
      </c>
      <c r="AN737" s="4"/>
      <c r="AO737" s="4">
        <f>IFERROR(__xludf.DUMMYFUNCTION("""COMPUTED_VALUE"""),53.0)</f>
        <v>53</v>
      </c>
      <c r="AP737" s="4">
        <f>IFERROR(__xludf.DUMMYFUNCTION("""COMPUTED_VALUE"""),0.0)</f>
        <v>0</v>
      </c>
      <c r="AQ737" s="4">
        <f>IFERROR(__xludf.DUMMYFUNCTION("""COMPUTED_VALUE"""),0.0)</f>
        <v>0</v>
      </c>
      <c r="AR737" s="4">
        <f>IFERROR(__xludf.DUMMYFUNCTION("""COMPUTED_VALUE"""),0.0)</f>
        <v>0</v>
      </c>
      <c r="AS737" s="4">
        <f>IFERROR(__xludf.DUMMYFUNCTION("""COMPUTED_VALUE"""),0.0)</f>
        <v>0</v>
      </c>
      <c r="AT737" s="4">
        <f>IFERROR(__xludf.DUMMYFUNCTION("""COMPUTED_VALUE"""),0.0)</f>
        <v>0</v>
      </c>
      <c r="AU737" s="4" t="str">
        <f>IFERROR(__xludf.DUMMYFUNCTION("""COMPUTED_VALUE"""),"Ana")</f>
        <v>Ana</v>
      </c>
      <c r="AV737" s="4">
        <f>IFERROR(__xludf.DUMMYFUNCTION("""COMPUTED_VALUE"""),0.0)</f>
        <v>0</v>
      </c>
      <c r="AW737" s="4">
        <f>IFERROR(__xludf.DUMMYFUNCTION("""COMPUTED_VALUE"""),0.0)</f>
        <v>0</v>
      </c>
      <c r="AX737" s="4">
        <f>IFERROR(__xludf.DUMMYFUNCTION("""COMPUTED_VALUE"""),0.0)</f>
        <v>0</v>
      </c>
      <c r="AY737" s="4"/>
      <c r="AZ737" s="4" t="str">
        <f>IFERROR(__xludf.DUMMYFUNCTION("""COMPUTED_VALUE"""),"Brasileira")</f>
        <v>Brasileira</v>
      </c>
      <c r="BA737" s="4" t="str">
        <f>IFERROR(__xludf.DUMMYFUNCTION("""COMPUTED_VALUE"""),"R$ 35-60")</f>
        <v>R$ 35-60</v>
      </c>
      <c r="BB737" s="4" t="str">
        <f>IFERROR(__xludf.DUMMYFUNCTION("""COMPUTED_VALUE"""),"QSR - Churrascaria Shopping (Franquia)")</f>
        <v>QSR - Churrascaria Shopping (Franquia)</v>
      </c>
      <c r="BC737" s="4" t="str">
        <f>IFERROR(__xludf.DUMMYFUNCTION("""COMPUTED_VALUE"""),"Nacional (31-39 lojas: Nordeste, Norte, Centro-Oeste, SP)")</f>
        <v>Nacional (31-39 lojas: Nordeste, Norte, Centro-Oeste, SP)</v>
      </c>
      <c r="BD737" s="4" t="str">
        <f>IFERROR(__xludf.DUMMYFUNCTION("""COMPUTED_VALUE"""),"R$ 200k médio/loja/mês (total estimado R$ 6-8M ano)")</f>
        <v>R$ 200k médio/loja/mês (total estimado R$ 6-8M ano)</v>
      </c>
      <c r="BE737" s="4">
        <f>IFERROR(__xludf.DUMMYFUNCTION("""COMPUTED_VALUE"""),70.0)</f>
        <v>70</v>
      </c>
      <c r="BF737" s="4">
        <f>IFERROR(__xludf.DUMMYFUNCTION("""COMPUTED_VALUE"""),0.73)</f>
        <v>0.73</v>
      </c>
      <c r="BG737" s="4" t="str">
        <f>IFERROR(__xludf.DUMMYFUNCTION("""COMPUTED_VALUE"""),"PDV não identificado - ALTA ADERÊNCIA: 31-39 lojas franquia shoppings (Nordeste/Norte/CO/SP). R$ 6-8M ano estimado. Churrascaria fast-casual à quilo. 3S: padronização franquias, buffet, gestão multi-loja, fiscal")</f>
        <v>PDV não identificado - ALTA ADERÊNCIA: 31-39 lojas franquia shoppings (Nordeste/Norte/CO/SP). R$ 6-8M ano estimado. Churrascaria fast-casual à quilo. 3S: padronização franquias, buffet, gestão multi-loja, fiscal</v>
      </c>
      <c r="BH737" s="4" t="s">
        <v>63</v>
      </c>
      <c r="BI737" s="7" t="s">
        <v>63</v>
      </c>
    </row>
    <row r="738" hidden="1">
      <c r="A738" s="4" t="str">
        <f>IFERROR(__xludf.DUMMYFUNCTION("""COMPUTED_VALUE"""),"Big X Picanha")</f>
        <v>Big X Picanha</v>
      </c>
      <c r="B738" s="4" t="str">
        <f>IFERROR(__xludf.DUMMYFUNCTION("""COMPUTED_VALUE"""),"João Biagiotti")</f>
        <v>João Biagiotti</v>
      </c>
      <c r="C738" s="4" t="str">
        <f>IFERROR(__xludf.DUMMYFUNCTION("""COMPUTED_VALUE"""),"Diego Santos")</f>
        <v>Diego Santos</v>
      </c>
      <c r="D738" s="4" t="str">
        <f>IFERROR(__xludf.DUMMYFUNCTION("""COMPUTED_VALUE"""),"2. Primeiro Contato com a marca")</f>
        <v>2. Primeiro Contato com a marca</v>
      </c>
      <c r="E738" s="4" t="str">
        <f>IFERROR(__xludf.DUMMYFUNCTION("""COMPUTED_VALUE"""),"Comercial - Contato realizado com parceiro")</f>
        <v>Comercial - Contato realizado com parceiro</v>
      </c>
      <c r="F738" s="4" t="str">
        <f>IFERROR(__xludf.DUMMYFUNCTION("""COMPUTED_VALUE"""),"M")</f>
        <v>M</v>
      </c>
      <c r="G738" s="5">
        <f>IFERROR(__xludf.DUMMYFUNCTION("""COMPUTED_VALUE"""),46141.0)</f>
        <v>46141</v>
      </c>
      <c r="H738" s="4" t="str">
        <f>IFERROR(__xludf.DUMMYFUNCTION("""COMPUTED_VALUE"""),"Em conversa com a Lizandra responsavel pela marca")</f>
        <v>Em conversa com a Lizandra responsavel pela marca</v>
      </c>
      <c r="I738" s="6">
        <f>IFERROR(__xludf.DUMMYFUNCTION("""COMPUTED_VALUE"""),46141.720923726854)</f>
        <v>46141.72092</v>
      </c>
      <c r="J738" s="6">
        <f>IFERROR(__xludf.DUMMYFUNCTION("""COMPUTED_VALUE"""),46141.72105519676)</f>
        <v>46141.72106</v>
      </c>
      <c r="K738" s="4"/>
      <c r="L738" s="4"/>
      <c r="M738" s="4"/>
      <c r="N738" s="4"/>
      <c r="O738" s="4"/>
      <c r="P738" s="4"/>
      <c r="Q738" s="4"/>
      <c r="R738" s="4"/>
      <c r="S738" s="4"/>
      <c r="T738" s="4"/>
      <c r="U738" s="4"/>
      <c r="V738" s="4"/>
      <c r="W738" s="4"/>
      <c r="X738" s="4"/>
      <c r="Y738" s="4"/>
      <c r="Z738" s="4"/>
      <c r="AA738" s="4">
        <f>IFERROR(__xludf.DUMMYFUNCTION("""COMPUTED_VALUE"""),30.0)</f>
        <v>30</v>
      </c>
      <c r="AB738" s="4" t="str">
        <f>IFERROR(__xludf.DUMMYFUNCTION("""COMPUTED_VALUE"""),"NÃO")</f>
        <v>NÃO</v>
      </c>
      <c r="AC738" s="4" t="str">
        <f>IFERROR(__xludf.DUMMYFUNCTION("""COMPUTED_VALUE"""),"Não BP")</f>
        <v>Não BP</v>
      </c>
      <c r="AD738" s="4"/>
      <c r="AE738" s="4"/>
      <c r="AF738" s="4"/>
      <c r="AG738" s="4"/>
      <c r="AH738" s="4"/>
      <c r="AI738" s="4"/>
      <c r="AJ738" s="4"/>
      <c r="AK738" s="4"/>
      <c r="AL738" s="4"/>
      <c r="AM738" s="4" t="str">
        <f>IFERROR(__xludf.DUMMYFUNCTION("""COMPUTED_VALUE"""),"FY26, FY27")</f>
        <v>FY26, FY27</v>
      </c>
      <c r="AN738" s="4"/>
      <c r="AO738" s="4">
        <f>IFERROR(__xludf.DUMMYFUNCTION("""COMPUTED_VALUE"""),53.0)</f>
        <v>53</v>
      </c>
      <c r="AP738" s="4">
        <f>IFERROR(__xludf.DUMMYFUNCTION("""COMPUTED_VALUE"""),0.0)</f>
        <v>0</v>
      </c>
      <c r="AQ738" s="4">
        <f>IFERROR(__xludf.DUMMYFUNCTION("""COMPUTED_VALUE"""),0.0)</f>
        <v>0</v>
      </c>
      <c r="AR738" s="4">
        <f>IFERROR(__xludf.DUMMYFUNCTION("""COMPUTED_VALUE"""),0.0)</f>
        <v>0</v>
      </c>
      <c r="AS738" s="4">
        <f>IFERROR(__xludf.DUMMYFUNCTION("""COMPUTED_VALUE"""),0.0)</f>
        <v>0</v>
      </c>
      <c r="AT738" s="4">
        <f>IFERROR(__xludf.DUMMYFUNCTION("""COMPUTED_VALUE"""),0.0)</f>
        <v>0</v>
      </c>
      <c r="AU738" s="4" t="str">
        <f>IFERROR(__xludf.DUMMYFUNCTION("""COMPUTED_VALUE"""),"Ana")</f>
        <v>Ana</v>
      </c>
      <c r="AV738" s="4">
        <f>IFERROR(__xludf.DUMMYFUNCTION("""COMPUTED_VALUE"""),0.0)</f>
        <v>0</v>
      </c>
      <c r="AW738" s="4">
        <f>IFERROR(__xludf.DUMMYFUNCTION("""COMPUTED_VALUE"""),0.0)</f>
        <v>0</v>
      </c>
      <c r="AX738" s="4">
        <f>IFERROR(__xludf.DUMMYFUNCTION("""COMPUTED_VALUE"""),0.0)</f>
        <v>0</v>
      </c>
      <c r="AY738" s="4"/>
      <c r="AZ738" s="4" t="str">
        <f>IFERROR(__xludf.DUMMYFUNCTION("""COMPUTED_VALUE"""),"Brasileira")</f>
        <v>Brasileira</v>
      </c>
      <c r="BA738" s="4">
        <f>IFERROR(__xludf.DUMMYFUNCTION("""COMPUTED_VALUE"""),72.0)</f>
        <v>72</v>
      </c>
      <c r="BB738" s="4" t="str">
        <f>IFERROR(__xludf.DUMMYFUNCTION("""COMPUTED_VALUE"""),"Fast Casual - Multi-conceito")</f>
        <v>Fast Casual - Multi-conceito</v>
      </c>
      <c r="BC738" s="4" t="str">
        <f>IFERROR(__xludf.DUMMYFUNCTION("""COMPUTED_VALUE"""),"Belo Horizonte/MG")</f>
        <v>Belo Horizonte/MG</v>
      </c>
      <c r="BD738" s="4" t="str">
        <f>IFERROR(__xludf.DUMMYFUNCTION("""COMPUTED_VALUE"""),"Dado não disponível publicamente - Necessário Discovery")</f>
        <v>Dado não disponível publicamente - Necessário Discovery</v>
      </c>
      <c r="BE738" s="4">
        <f>IFERROR(__xludf.DUMMYFUNCTION("""COMPUTED_VALUE"""),70.0)</f>
        <v>70</v>
      </c>
      <c r="BF738" s="4">
        <f>IFERROR(__xludf.DUMMYFUNCTION("""COMPUTED_VALUE"""),0.75)</f>
        <v>0.75</v>
      </c>
      <c r="BG73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738" s="4" t="s">
        <v>63</v>
      </c>
      <c r="BI738" s="7" t="s">
        <v>63</v>
      </c>
    </row>
    <row r="739" hidden="1">
      <c r="A739" s="4" t="str">
        <f>IFERROR(__xludf.DUMMYFUNCTION("""COMPUTED_VALUE"""),"Sushi Papaia")</f>
        <v>Sushi Papaia</v>
      </c>
      <c r="B739" s="4" t="str">
        <f>IFERROR(__xludf.DUMMYFUNCTION("""COMPUTED_VALUE"""),"João Biagiotti")</f>
        <v>João Biagiotti</v>
      </c>
      <c r="C739" s="4" t="str">
        <f>IFERROR(__xludf.DUMMYFUNCTION("""COMPUTED_VALUE"""),"Diego Santos")</f>
        <v>Diego Santos</v>
      </c>
      <c r="D739" s="4" t="str">
        <f>IFERROR(__xludf.DUMMYFUNCTION("""COMPUTED_VALUE"""),"0. Não Iniciado")</f>
        <v>0. Não Iniciado</v>
      </c>
      <c r="E739" s="4"/>
      <c r="F739" s="4" t="str">
        <f>IFERROR(__xludf.DUMMYFUNCTION("""COMPUTED_VALUE"""),"P")</f>
        <v>P</v>
      </c>
      <c r="G739" s="4"/>
      <c r="H739" s="4"/>
      <c r="I739" s="4"/>
      <c r="J739" s="4"/>
      <c r="K739" s="4"/>
      <c r="L739" s="4"/>
      <c r="M739" s="4"/>
      <c r="N739" s="4"/>
      <c r="O739" s="4"/>
      <c r="P739" s="4"/>
      <c r="Q739" s="4"/>
      <c r="R739" s="4"/>
      <c r="S739" s="4"/>
      <c r="T739" s="4"/>
      <c r="U739" s="4"/>
      <c r="V739" s="4" t="str">
        <f>IFERROR(__xludf.DUMMYFUNCTION("""COMPUTED_VALUE"""),"Interesse apenas em Comer Fora")</f>
        <v>Interesse apenas em Comer Fora</v>
      </c>
      <c r="W739" s="4"/>
      <c r="X739" s="4"/>
      <c r="Y739" s="4"/>
      <c r="Z739" s="4"/>
      <c r="AA739" s="4">
        <f>IFERROR(__xludf.DUMMYFUNCTION("""COMPUTED_VALUE"""),3.0)</f>
        <v>3</v>
      </c>
      <c r="AB739" s="4" t="str">
        <f>IFERROR(__xludf.DUMMYFUNCTION("""COMPUTED_VALUE"""),"NÃO")</f>
        <v>NÃO</v>
      </c>
      <c r="AC739" s="4" t="str">
        <f>IFERROR(__xludf.DUMMYFUNCTION("""COMPUTED_VALUE"""),"BP")</f>
        <v>BP</v>
      </c>
      <c r="AD739" s="4"/>
      <c r="AE739" s="4"/>
      <c r="AF739" s="4"/>
      <c r="AG739" s="4"/>
      <c r="AH739" s="4"/>
      <c r="AI739" s="4"/>
      <c r="AJ739" s="4"/>
      <c r="AK739" s="4"/>
      <c r="AL739" s="4"/>
      <c r="AM739" s="4" t="str">
        <f>IFERROR(__xludf.DUMMYFUNCTION("""COMPUTED_VALUE"""),"FY26, FY27")</f>
        <v>FY26, FY27</v>
      </c>
      <c r="AN739" s="4" t="str">
        <f>IFERROR(__xludf.DUMMYFUNCTION("""COMPUTED_VALUE"""),"Comer Fora")</f>
        <v>Comer Fora</v>
      </c>
      <c r="AO739" s="4">
        <f>IFERROR(__xludf.DUMMYFUNCTION("""COMPUTED_VALUE"""),53.0)</f>
        <v>53</v>
      </c>
      <c r="AP739" s="4" t="str">
        <f>IFERROR(__xludf.DUMMYFUNCTION("""COMPUTED_VALUE"""),"SP")</f>
        <v>SP</v>
      </c>
      <c r="AQ739" s="4" t="str">
        <f>IFERROR(__xludf.DUMMYFUNCTION("""COMPUTED_VALUE"""),"RODRIGO BESSER")</f>
        <v>RODRIGO BESSER</v>
      </c>
      <c r="AR739" s="4" t="str">
        <f>IFERROR(__xludf.DUMMYFUNCTION("""COMPUTED_VALUE"""),"ISABEL MEDEIROS")</f>
        <v>ISABEL MEDEIROS</v>
      </c>
      <c r="AS739" s="4" t="str">
        <f>IFERROR(__xludf.DUMMYFUNCTION("""COMPUTED_VALUE"""),"NATHALIE MERTENS")</f>
        <v>NATHALIE MERTENS</v>
      </c>
      <c r="AT739" s="4" t="str">
        <f>IFERROR(__xludf.DUMMYFUNCTION("""COMPUTED_VALUE"""),"MARIANA KATZ")</f>
        <v>MARIANA KATZ</v>
      </c>
      <c r="AU739" s="4" t="str">
        <f>IFERROR(__xludf.DUMMYFUNCTION("""COMPUTED_VALUE"""),"Ana")</f>
        <v>Ana</v>
      </c>
      <c r="AV739" s="4" t="str">
        <f>IFERROR(__xludf.DUMMYFUNCTION("""COMPUTED_VALUE"""),"Comer Fora-")</f>
        <v>Comer Fora-</v>
      </c>
      <c r="AW739" s="20" t="str">
        <f>IFERROR(__xludf.DUMMYFUNCTION("""COMPUTED_VALUE"""),"P e M - pipe")</f>
        <v>P e M - pipe</v>
      </c>
      <c r="AX739" s="4"/>
      <c r="AY739" s="4"/>
      <c r="AZ739" s="4" t="str">
        <f>IFERROR(__xludf.DUMMYFUNCTION("""COMPUTED_VALUE"""),"Chinesa")</f>
        <v>Chinesa</v>
      </c>
      <c r="BA739" s="4" t="str">
        <f>IFERROR(__xludf.DUMMYFUNCTION("""COMPUTED_VALUE"""),"Dado não disponível publicamente - Necessário Discovery")</f>
        <v>Dado não disponível publicamente - Necessário Discovery</v>
      </c>
      <c r="BB739" s="4" t="str">
        <f>IFERROR(__xludf.DUMMYFUNCTION("""COMPUTED_VALUE"""),"Japonês / Delivery + Kosher (São Paulo Higienópolis)")</f>
        <v>Japonês / Delivery + Kosher (São Paulo Higienópolis)</v>
      </c>
      <c r="BC739" s="4" t="str">
        <f>IFERROR(__xludf.DUMMYFUNCTION("""COMPUTED_VALUE"""),"São Paulo (3 unidades Higienópolis - Vilaboim, Veiga Filho, Kosher)")</f>
        <v>São Paulo (3 unidades Higienópolis - Vilaboim, Veiga Filho, Kosher)</v>
      </c>
      <c r="BD739" s="4" t="str">
        <f>IFERROR(__xludf.DUMMYFUNCTION("""COMPUTED_VALUE"""),"R$ 60-90")</f>
        <v>R$ 60-90</v>
      </c>
      <c r="BE739" s="4">
        <f>IFERROR(__xludf.DUMMYFUNCTION("""COMPUTED_VALUE"""),30.0)</f>
        <v>30</v>
      </c>
      <c r="BF739" s="4">
        <f>IFERROR(__xludf.DUMMYFUNCTION("""COMPUTED_VALUE"""),0.35)</f>
        <v>0.35</v>
      </c>
      <c r="BG739" s="4" t="str">
        <f>IFERROR(__xludf.DUMMYFUNCTION("""COMPUTED_VALUE"""),"Operação micro 3 lojas bairro Higienópolis. Escala baixa para E-DEPLOY. Kosher é nicho específico.")</f>
        <v>Operação micro 3 lojas bairro Higienópolis. Escala baixa para E-DEPLOY. Kosher é nicho específico.</v>
      </c>
      <c r="BH739" s="4" t="s">
        <v>95</v>
      </c>
      <c r="BI739" s="7">
        <v>0.6666666666666666</v>
      </c>
    </row>
    <row r="740" hidden="1">
      <c r="A740" s="4" t="str">
        <f>IFERROR(__xludf.DUMMYFUNCTION("""COMPUTED_VALUE"""),"Pobre Juan")</f>
        <v>Pobre Juan</v>
      </c>
      <c r="B740" s="4" t="str">
        <f>IFERROR(__xludf.DUMMYFUNCTION("""COMPUTED_VALUE"""),"Lídia Esteves")</f>
        <v>Lídia Esteves</v>
      </c>
      <c r="C740" s="4" t="str">
        <f>IFERROR(__xludf.DUMMYFUNCTION("""COMPUTED_VALUE"""),"Gabriela Roma")</f>
        <v>Gabriela Roma</v>
      </c>
      <c r="D740" s="4" t="str">
        <f>IFERROR(__xludf.DUMMYFUNCTION("""COMPUTED_VALUE"""),"0. Não Iniciado")</f>
        <v>0. Não Iniciado</v>
      </c>
      <c r="E740" s="4"/>
      <c r="F740" s="4" t="str">
        <f>IFERROR(__xludf.DUMMYFUNCTION("""COMPUTED_VALUE"""),"P")</f>
        <v>P</v>
      </c>
      <c r="G740" s="4"/>
      <c r="H740" s="4"/>
      <c r="I740" s="4"/>
      <c r="J740" s="4"/>
      <c r="K740" s="4"/>
      <c r="L740" s="4"/>
      <c r="M740" s="4"/>
      <c r="N740" s="4"/>
      <c r="O740" s="4"/>
      <c r="P740" s="4"/>
      <c r="Q740" s="4"/>
      <c r="R740" s="4"/>
      <c r="S740" s="4"/>
      <c r="T740" s="4"/>
      <c r="U740" s="4"/>
      <c r="V740" s="4" t="str">
        <f>IFERROR(__xludf.DUMMYFUNCTION("""COMPUTED_VALUE"""),"Sem interesse em mudar de PDV")</f>
        <v>Sem interesse em mudar de PDV</v>
      </c>
      <c r="W740" s="4"/>
      <c r="X740" s="4"/>
      <c r="Y740" s="4"/>
      <c r="Z740" s="4"/>
      <c r="AA740" s="4">
        <f>IFERROR(__xludf.DUMMYFUNCTION("""COMPUTED_VALUE"""),19.0)</f>
        <v>19</v>
      </c>
      <c r="AB740" s="4" t="str">
        <f>IFERROR(__xludf.DUMMYFUNCTION("""COMPUTED_VALUE"""),"KA")</f>
        <v>KA</v>
      </c>
      <c r="AC740" s="4" t="str">
        <f>IFERROR(__xludf.DUMMYFUNCTION("""COMPUTED_VALUE"""),"BP")</f>
        <v>BP</v>
      </c>
      <c r="AD740" s="4"/>
      <c r="AE740" s="4"/>
      <c r="AF740" s="4"/>
      <c r="AG740" s="4"/>
      <c r="AH740" s="4"/>
      <c r="AI740" s="4"/>
      <c r="AJ740" s="4"/>
      <c r="AK740" s="4"/>
      <c r="AL740" s="4"/>
      <c r="AM740" s="4" t="str">
        <f>IFERROR(__xludf.DUMMYFUNCTION("""COMPUTED_VALUE"""),"FY26, FY27")</f>
        <v>FY26, FY27</v>
      </c>
      <c r="AN740" s="4"/>
      <c r="AO740" s="4">
        <f>IFERROR(__xludf.DUMMYFUNCTION("""COMPUTED_VALUE"""),53.0)</f>
        <v>53</v>
      </c>
      <c r="AP740" s="4">
        <f>IFERROR(__xludf.DUMMYFUNCTION("""COMPUTED_VALUE"""),0.0)</f>
        <v>0</v>
      </c>
      <c r="AQ740" s="4">
        <f>IFERROR(__xludf.DUMMYFUNCTION("""COMPUTED_VALUE"""),0.0)</f>
        <v>0</v>
      </c>
      <c r="AR740" s="4">
        <f>IFERROR(__xludf.DUMMYFUNCTION("""COMPUTED_VALUE"""),0.0)</f>
        <v>0</v>
      </c>
      <c r="AS740" s="4">
        <f>IFERROR(__xludf.DUMMYFUNCTION("""COMPUTED_VALUE"""),0.0)</f>
        <v>0</v>
      </c>
      <c r="AT740" s="4">
        <f>IFERROR(__xludf.DUMMYFUNCTION("""COMPUTED_VALUE"""),0.0)</f>
        <v>0</v>
      </c>
      <c r="AU740" s="4" t="str">
        <f>IFERROR(__xludf.DUMMYFUNCTION("""COMPUTED_VALUE"""),"Diego")</f>
        <v>Diego</v>
      </c>
      <c r="AV740" s="4">
        <f>IFERROR(__xludf.DUMMYFUNCTION("""COMPUTED_VALUE"""),0.0)</f>
        <v>0</v>
      </c>
      <c r="AW740" s="4">
        <f>IFERROR(__xludf.DUMMYFUNCTION("""COMPUTED_VALUE"""),0.0)</f>
        <v>0</v>
      </c>
      <c r="AX740" s="4">
        <f>IFERROR(__xludf.DUMMYFUNCTION("""COMPUTED_VALUE"""),0.0)</f>
        <v>0</v>
      </c>
      <c r="AY740" s="4"/>
      <c r="AZ740" s="4" t="str">
        <f>IFERROR(__xludf.DUMMYFUNCTION("""COMPUTED_VALUE"""),"Carnes")</f>
        <v>Carnes</v>
      </c>
      <c r="BA740" s="4" t="str">
        <f>IFERROR(__xludf.DUMMYFUNCTION("""COMPUTED_VALUE"""),"R$ 120-200")</f>
        <v>R$ 120-200</v>
      </c>
      <c r="BB740" s="4" t="str">
        <f>IFERROR(__xludf.DUMMYFUNCTION("""COMPUTED_VALUE"""),"Fine Dining - Churrascaria")</f>
        <v>Fine Dining - Churrascaria</v>
      </c>
      <c r="BC740" s="4" t="str">
        <f>IFERROR(__xludf.DUMMYFUNCTION("""COMPUTED_VALUE"""),"Nacional (19 unidades)")</f>
        <v>Nacional (19 unidades)</v>
      </c>
      <c r="BD740" s="4" t="str">
        <f>IFERROR(__xludf.DUMMYFUNCTION("""COMPUTED_VALUE"""),"Necessário Discovery")</f>
        <v>Necessário Discovery</v>
      </c>
      <c r="BE740" s="4">
        <f>IFERROR(__xludf.DUMMYFUNCTION("""COMPUTED_VALUE"""),75.0)</f>
        <v>75</v>
      </c>
      <c r="BF740" s="4">
        <f>IFERROR(__xludf.DUMMYFUNCTION("""COMPUTED_VALUE"""),0.78)</f>
        <v>0.78</v>
      </c>
      <c r="BG740" s="4" t="str">
        <f>IFERROR(__xludf.DUMMYFUNCTION("""COMPUTED_VALUE"""),"PDV não identificado - Churrascaria premium 19 lojas Guia Michelin 2026. Table service complexo. ALTA ADERÊNCIA 3S: PDV Mobile garçons, KDS, gestão salões, integração fiscal/delivery")</f>
        <v>PDV não identificado - Churrascaria premium 19 lojas Guia Michelin 2026. Table service complexo. ALTA ADERÊNCIA 3S: PDV Mobile garçons, KDS, gestão salões, integração fiscal/delivery</v>
      </c>
      <c r="BH740" s="4" t="s">
        <v>63</v>
      </c>
      <c r="BI740" s="7" t="s">
        <v>63</v>
      </c>
    </row>
    <row r="741" hidden="1">
      <c r="A741" s="4" t="str">
        <f>IFERROR(__xludf.DUMMYFUNCTION("""COMPUTED_VALUE"""),"AppleBee's")</f>
        <v>AppleBee's</v>
      </c>
      <c r="B741" s="4" t="str">
        <f>IFERROR(__xludf.DUMMYFUNCTION("""COMPUTED_VALUE"""),"João Biagiotti")</f>
        <v>João Biagiotti</v>
      </c>
      <c r="C741" s="4" t="str">
        <f>IFERROR(__xludf.DUMMYFUNCTION("""COMPUTED_VALUE"""),"Diego Santos")</f>
        <v>Diego Santos</v>
      </c>
      <c r="D741" s="4" t="str">
        <f>IFERROR(__xludf.DUMMYFUNCTION("""COMPUTED_VALUE"""),"5. Demo/Showroom")</f>
        <v>5. Demo/Showroom</v>
      </c>
      <c r="E741" s="4" t="str">
        <f>IFERROR(__xludf.DUMMYFUNCTION("""COMPUTED_VALUE"""),"Pré-vendas - Demonstração / Showroom")</f>
        <v>Pré-vendas - Demonstração / Showroom</v>
      </c>
      <c r="F741" s="4" t="str">
        <f>IFERROR(__xludf.DUMMYFUNCTION("""COMPUTED_VALUE"""),"M")</f>
        <v>M</v>
      </c>
      <c r="G741" s="5">
        <f>IFERROR(__xludf.DUMMYFUNCTION("""COMPUTED_VALUE"""),46129.0)</f>
        <v>46129</v>
      </c>
      <c r="H741" s="4" t="str">
        <f>IFERROR(__xludf.DUMMYFUNCTION("""COMPUTED_VALUE"""),"Grupo Si Senor - Mesmos sócios e mesma etapa")</f>
        <v>Grupo Si Senor - Mesmos sócios e mesma etapa</v>
      </c>
      <c r="I741" s="6">
        <f>IFERROR(__xludf.DUMMYFUNCTION("""COMPUTED_VALUE"""),46129.72504849537)</f>
        <v>46129.72505</v>
      </c>
      <c r="J741" s="6">
        <f>IFERROR(__xludf.DUMMYFUNCTION("""COMPUTED_VALUE"""),46129.72527116898)</f>
        <v>46129.72527</v>
      </c>
      <c r="K741" s="6">
        <f>IFERROR(__xludf.DUMMYFUNCTION("""COMPUTED_VALUE"""),46129.72534881944)</f>
        <v>46129.72535</v>
      </c>
      <c r="L741" s="6">
        <f>IFERROR(__xludf.DUMMYFUNCTION("""COMPUTED_VALUE"""),46129.72551626158)</f>
        <v>46129.72552</v>
      </c>
      <c r="M741" s="6">
        <f>IFERROR(__xludf.DUMMYFUNCTION("""COMPUTED_VALUE"""),46129.726139652776)</f>
        <v>46129.72614</v>
      </c>
      <c r="N741" s="4"/>
      <c r="O741" s="4"/>
      <c r="P741" s="4"/>
      <c r="Q741" s="4"/>
      <c r="R741" s="4"/>
      <c r="S741" s="4"/>
      <c r="T741" s="4"/>
      <c r="U741" s="4"/>
      <c r="V741" s="4"/>
      <c r="W741" s="4"/>
      <c r="X741" s="4"/>
      <c r="Y741" s="4"/>
      <c r="Z741" s="4"/>
      <c r="AA741" s="4">
        <f>IFERROR(__xludf.DUMMYFUNCTION("""COMPUTED_VALUE"""),27.0)</f>
        <v>27</v>
      </c>
      <c r="AB741" s="4" t="str">
        <f>IFERROR(__xludf.DUMMYFUNCTION("""COMPUTED_VALUE"""),"Não")</f>
        <v>Não</v>
      </c>
      <c r="AC741" s="4" t="str">
        <f>IFERROR(__xludf.DUMMYFUNCTION("""COMPUTED_VALUE"""),"Não")</f>
        <v>Não</v>
      </c>
      <c r="AD741" s="4" t="str">
        <f>IFERROR(__xludf.DUMMYFUNCTION("""COMPUTED_VALUE"""),"Colibri")</f>
        <v>Colibri</v>
      </c>
      <c r="AE741" s="4"/>
      <c r="AF741" s="4"/>
      <c r="AG741" s="4"/>
      <c r="AH741" s="4">
        <f>IFERROR(__xludf.DUMMYFUNCTION("""COMPUTED_VALUE"""),27.0)</f>
        <v>27</v>
      </c>
      <c r="AI741" s="4" t="str">
        <f>IFERROR(__xludf.DUMMYFUNCTION("""COMPUTED_VALUE"""),"180k")</f>
        <v>180k</v>
      </c>
      <c r="AJ741" s="4" t="str">
        <f>IFERROR(__xludf.DUMMYFUNCTION("""COMPUTED_VALUE"""),"Colibri")</f>
        <v>Colibri</v>
      </c>
      <c r="AK741" s="4" t="str">
        <f>IFERROR(__xludf.DUMMYFUNCTION("""COMPUTED_VALUE"""),"Salão / Delivery")</f>
        <v>Salão / Delivery</v>
      </c>
      <c r="AL741" s="4" t="str">
        <f>IFERROR(__xludf.DUMMYFUNCTION("""COMPUTED_VALUE"""),"SIM")</f>
        <v>SIM</v>
      </c>
      <c r="AM741" s="4" t="str">
        <f>IFERROR(__xludf.DUMMYFUNCTION("""COMPUTED_VALUE"""),"FY27")</f>
        <v>FY27</v>
      </c>
      <c r="AN741" s="4"/>
      <c r="AO741" s="4">
        <f>IFERROR(__xludf.DUMMYFUNCTION("""COMPUTED_VALUE"""),86.0)</f>
        <v>86</v>
      </c>
      <c r="AP741" s="4"/>
      <c r="AQ741" s="4"/>
      <c r="AR741" s="4"/>
      <c r="AS741" s="4"/>
      <c r="AT741" s="4"/>
      <c r="AU741" s="4"/>
      <c r="AV741" s="4">
        <f>IFERROR(__xludf.DUMMYFUNCTION("""COMPUTED_VALUE"""),0.0)</f>
        <v>0</v>
      </c>
      <c r="AW741" s="4">
        <f>IFERROR(__xludf.DUMMYFUNCTION("""COMPUTED_VALUE"""),0.0)</f>
        <v>0</v>
      </c>
      <c r="AX741" s="4">
        <f>IFERROR(__xludf.DUMMYFUNCTION("""COMPUTED_VALUE"""),0.0)</f>
        <v>0</v>
      </c>
      <c r="AY741" s="4">
        <f>IFERROR(__xludf.DUMMYFUNCTION("""COMPUTED_VALUE"""),0.0)</f>
        <v>0</v>
      </c>
      <c r="AZ741" s="4" t="str">
        <f>IFERROR(__xludf.DUMMYFUNCTION("""COMPUTED_VALUE"""),"NA")</f>
        <v>NA</v>
      </c>
      <c r="BA741" s="4" t="str">
        <f>IFERROR(__xludf.DUMMYFUNCTION("""COMPUTED_VALUE"""),"R$ 60-110")</f>
        <v>R$ 60-110</v>
      </c>
      <c r="BB741" s="4" t="str">
        <f>IFERROR(__xludf.DUMMYFUNCTION("""COMPUTED_VALUE"""),"Casual Dining - Americana")</f>
        <v>Casual Dining - Americana</v>
      </c>
      <c r="BC741" s="4" t="str">
        <f>IFERROR(__xludf.DUMMYFUNCTION("""COMPUTED_VALUE"""),"Nacional (5-7 lojas: SP, MG, RJ, RS)")</f>
        <v>Nacional (5-7 lojas: SP, MG, RJ, RS)</v>
      </c>
      <c r="BD741" s="4" t="str">
        <f>IFERROR(__xludf.DUMMYFUNCTION("""COMPUTED_VALUE"""),"R$ 45 milhões (2009, dado histórico)")</f>
        <v>R$ 45 milhões (2009, dado histórico)</v>
      </c>
      <c r="BE741" s="4">
        <f>IFERROR(__xludf.DUMMYFUNCTION("""COMPUTED_VALUE"""),55.0)</f>
        <v>55</v>
      </c>
      <c r="BF741" s="4">
        <f>IFERROR(__xludf.DUMMYFUNCTION("""COMPUTED_VALUE"""),0.58)</f>
        <v>0.58</v>
      </c>
      <c r="BG741" s="4" t="str">
        <f>IFERROR(__xludf.DUMMYFUNCTION("""COMPUTED_VALUE"""),"PDV não identificado - 5-7 lojas nacionais (SP, MG, RJ, RS). Casual dining americana. Histórico expansão 2004-2012. 3S: PDV Mobile, comandas, delivery. Aderência média por operação reduzida vs. pico")</f>
        <v>PDV não identificado - 5-7 lojas nacionais (SP, MG, RJ, RS). Casual dining americana. Histórico expansão 2004-2012. 3S: PDV Mobile, comandas, delivery. Aderência média por operação reduzida vs. pico</v>
      </c>
      <c r="BH741" s="4" t="s">
        <v>63</v>
      </c>
      <c r="BI741" s="7" t="s">
        <v>63</v>
      </c>
    </row>
    <row r="742" hidden="1">
      <c r="A742" s="4" t="str">
        <f>IFERROR(__xludf.DUMMYFUNCTION("""COMPUTED_VALUE"""),"Varanda 228")</f>
        <v>Varanda 228</v>
      </c>
      <c r="B742" s="4" t="str">
        <f>IFERROR(__xludf.DUMMYFUNCTION("""COMPUTED_VALUE"""),"João Biagiotti")</f>
        <v>João Biagiotti</v>
      </c>
      <c r="C742" s="4" t="str">
        <f>IFERROR(__xludf.DUMMYFUNCTION("""COMPUTED_VALUE"""),"Diego Santos")</f>
        <v>Diego Santos</v>
      </c>
      <c r="D742" s="4" t="str">
        <f>IFERROR(__xludf.DUMMYFUNCTION("""COMPUTED_VALUE"""),"9. Contrato assinado")</f>
        <v>9. Contrato assinado</v>
      </c>
      <c r="E742" s="4" t="str">
        <f>IFERROR(__xludf.DUMMYFUNCTION("""COMPUTED_VALUE"""),"Projetos - Em piloto")</f>
        <v>Projetos - Em piloto</v>
      </c>
      <c r="F742" s="4" t="str">
        <f>IFERROR(__xludf.DUMMYFUNCTION("""COMPUTED_VALUE"""),"P")</f>
        <v>P</v>
      </c>
      <c r="G742" s="5">
        <f>IFERROR(__xludf.DUMMYFUNCTION("""COMPUTED_VALUE"""),46129.0)</f>
        <v>46129</v>
      </c>
      <c r="H742" s="4" t="str">
        <f>IFERROR(__xludf.DUMMYFUNCTION("""COMPUTED_VALUE"""),"Grupo Si Senor - Mesmos sócios e mesma etapa")</f>
        <v>Grupo Si Senor - Mesmos sócios e mesma etapa</v>
      </c>
      <c r="I742" s="6">
        <f>IFERROR(__xludf.DUMMYFUNCTION("""COMPUTED_VALUE"""),46129.72508856481)</f>
        <v>46129.72509</v>
      </c>
      <c r="J742" s="6">
        <f>IFERROR(__xludf.DUMMYFUNCTION("""COMPUTED_VALUE"""),46129.725306712964)</f>
        <v>46129.72531</v>
      </c>
      <c r="K742" s="6">
        <f>IFERROR(__xludf.DUMMYFUNCTION("""COMPUTED_VALUE"""),46129.725374745365)</f>
        <v>46129.72537</v>
      </c>
      <c r="L742" s="6">
        <f>IFERROR(__xludf.DUMMYFUNCTION("""COMPUTED_VALUE"""),46129.72632267361)</f>
        <v>46129.72632</v>
      </c>
      <c r="M742" s="6">
        <f>IFERROR(__xludf.DUMMYFUNCTION("""COMPUTED_VALUE"""),46129.72692335648)</f>
        <v>46129.72692</v>
      </c>
      <c r="N742" s="6">
        <f>IFERROR(__xludf.DUMMYFUNCTION("""COMPUTED_VALUE"""),46161.68443541667)</f>
        <v>46161.68444</v>
      </c>
      <c r="O742" s="6">
        <f>IFERROR(__xludf.DUMMYFUNCTION("""COMPUTED_VALUE"""),46161.6845322338)</f>
        <v>46161.68453</v>
      </c>
      <c r="P742" s="6">
        <f>IFERROR(__xludf.DUMMYFUNCTION("""COMPUTED_VALUE"""),46161.684816180554)</f>
        <v>46161.68482</v>
      </c>
      <c r="Q742" s="6">
        <f>IFERROR(__xludf.DUMMYFUNCTION("""COMPUTED_VALUE"""),46161.68497084491)</f>
        <v>46161.68497</v>
      </c>
      <c r="R742" s="4"/>
      <c r="S742" s="4"/>
      <c r="T742" s="4"/>
      <c r="U742" s="4"/>
      <c r="V742" s="4"/>
      <c r="W742" s="8">
        <f>IFERROR(__xludf.DUMMYFUNCTION("""COMPUTED_VALUE"""),580.0)</f>
        <v>580</v>
      </c>
      <c r="X742" s="4">
        <f>IFERROR(__xludf.DUMMYFUNCTION("""COMPUTED_VALUE"""),12.0)</f>
        <v>12</v>
      </c>
      <c r="Y742" s="8">
        <f>IFERROR(__xludf.DUMMYFUNCTION("""COMPUTED_VALUE"""),0.0)</f>
        <v>0</v>
      </c>
      <c r="Z742" s="8">
        <f>IFERROR(__xludf.DUMMYFUNCTION("""COMPUTED_VALUE"""),2000.0)</f>
        <v>2000</v>
      </c>
      <c r="AA742" s="4">
        <f>IFERROR(__xludf.DUMMYFUNCTION("""COMPUTED_VALUE"""),1.0)</f>
        <v>1</v>
      </c>
      <c r="AB742" s="4" t="str">
        <f>IFERROR(__xludf.DUMMYFUNCTION("""COMPUTED_VALUE"""),"Não")</f>
        <v>Não</v>
      </c>
      <c r="AC742" s="4" t="str">
        <f>IFERROR(__xludf.DUMMYFUNCTION("""COMPUTED_VALUE"""),"Não")</f>
        <v>Não</v>
      </c>
      <c r="AD742" s="4" t="str">
        <f>IFERROR(__xludf.DUMMYFUNCTION("""COMPUTED_VALUE"""),"Colibri")</f>
        <v>Colibri</v>
      </c>
      <c r="AE742" s="4">
        <f>IFERROR(__xludf.DUMMYFUNCTION("""COMPUTED_VALUE"""),1.0)</f>
        <v>1</v>
      </c>
      <c r="AF742" s="4">
        <f>IFERROR(__xludf.DUMMYFUNCTION("""COMPUTED_VALUE"""),5.0)</f>
        <v>5</v>
      </c>
      <c r="AG742" s="4">
        <f>IFERROR(__xludf.DUMMYFUNCTION("""COMPUTED_VALUE"""),30.0)</f>
        <v>30</v>
      </c>
      <c r="AH742" s="4">
        <f>IFERROR(__xludf.DUMMYFUNCTION("""COMPUTED_VALUE"""),1.0)</f>
        <v>1</v>
      </c>
      <c r="AI742" s="4" t="str">
        <f>IFERROR(__xludf.DUMMYFUNCTION("""COMPUTED_VALUE"""),"Sem informação")</f>
        <v>Sem informação</v>
      </c>
      <c r="AJ742" s="4" t="str">
        <f>IFERROR(__xludf.DUMMYFUNCTION("""COMPUTED_VALUE"""),"Colibri")</f>
        <v>Colibri</v>
      </c>
      <c r="AK742" s="4" t="str">
        <f>IFERROR(__xludf.DUMMYFUNCTION("""COMPUTED_VALUE"""),"Salão / Delivery")</f>
        <v>Salão / Delivery</v>
      </c>
      <c r="AL742" s="4" t="str">
        <f>IFERROR(__xludf.DUMMYFUNCTION("""COMPUTED_VALUE"""),"SIM")</f>
        <v>SIM</v>
      </c>
      <c r="AM742" s="4" t="str">
        <f>IFERROR(__xludf.DUMMYFUNCTION("""COMPUTED_VALUE"""),"FY27")</f>
        <v>FY27</v>
      </c>
      <c r="AN742" s="4"/>
      <c r="AO742" s="4">
        <f>IFERROR(__xludf.DUMMYFUNCTION("""COMPUTED_VALUE"""),86.0)</f>
        <v>86</v>
      </c>
      <c r="AP742" s="4"/>
      <c r="AQ742" s="4"/>
      <c r="AR742" s="4"/>
      <c r="AS742" s="4"/>
      <c r="AT742" s="4"/>
      <c r="AU742" s="4"/>
      <c r="AV742" s="4">
        <f>IFERROR(__xludf.DUMMYFUNCTION("""COMPUTED_VALUE"""),0.0)</f>
        <v>0</v>
      </c>
      <c r="AW742" s="4">
        <f>IFERROR(__xludf.DUMMYFUNCTION("""COMPUTED_VALUE"""),0.0)</f>
        <v>0</v>
      </c>
      <c r="AX742" s="4">
        <f>IFERROR(__xludf.DUMMYFUNCTION("""COMPUTED_VALUE"""),0.0)</f>
        <v>0</v>
      </c>
      <c r="AY742" s="4"/>
      <c r="AZ742" s="4" t="str">
        <f>IFERROR(__xludf.DUMMYFUNCTION("""COMPUTED_VALUE"""),"NA")</f>
        <v>NA</v>
      </c>
      <c r="BA742" s="4" t="str">
        <f>IFERROR(__xludf.DUMMYFUNCTION("""COMPUTED_VALUE"""),"")</f>
        <v/>
      </c>
      <c r="BB742" s="4" t="str">
        <f>IFERROR(__xludf.DUMMYFUNCTION("""COMPUTED_VALUE"""),"")</f>
        <v/>
      </c>
      <c r="BC742" s="4" t="str">
        <f>IFERROR(__xludf.DUMMYFUNCTION("""COMPUTED_VALUE"""),"")</f>
        <v/>
      </c>
      <c r="BD742" s="4" t="str">
        <f>IFERROR(__xludf.DUMMYFUNCTION("""COMPUTED_VALUE"""),"")</f>
        <v/>
      </c>
      <c r="BE742" s="4" t="str">
        <f>IFERROR(__xludf.DUMMYFUNCTION("""COMPUTED_VALUE"""),"")</f>
        <v/>
      </c>
      <c r="BF742" s="4" t="str">
        <f>IFERROR(__xludf.DUMMYFUNCTION("""COMPUTED_VALUE"""),"")</f>
        <v/>
      </c>
      <c r="BG742" s="4" t="str">
        <f>IFERROR(__xludf.DUMMYFUNCTION("""COMPUTED_VALUE"""),"")</f>
        <v/>
      </c>
      <c r="BH742" s="4" t="s">
        <v>63</v>
      </c>
      <c r="BI742" s="7" t="s">
        <v>63</v>
      </c>
    </row>
    <row r="743" hidden="1">
      <c r="A743" s="4" t="str">
        <f>IFERROR(__xludf.DUMMYFUNCTION("""COMPUTED_VALUE"""),"Osnir")</f>
        <v>Osnir</v>
      </c>
      <c r="B743" s="4" t="str">
        <f>IFERROR(__xludf.DUMMYFUNCTION("""COMPUTED_VALUE"""),"João Biagiotti")</f>
        <v>João Biagiotti</v>
      </c>
      <c r="C743" s="4" t="str">
        <f>IFERROR(__xludf.DUMMYFUNCTION("""COMPUTED_VALUE"""),"Diego Santos")</f>
        <v>Diego Santos</v>
      </c>
      <c r="D743" s="4" t="str">
        <f>IFERROR(__xludf.DUMMYFUNCTION("""COMPUTED_VALUE"""),"8. Contrato enviado")</f>
        <v>8. Contrato enviado</v>
      </c>
      <c r="E743" s="4" t="str">
        <f>IFERROR(__xludf.DUMMYFUNCTION("""COMPUTED_VALUE"""),"Comercial - Em negociação de proposta")</f>
        <v>Comercial - Em negociação de proposta</v>
      </c>
      <c r="F743" s="4" t="str">
        <f>IFERROR(__xludf.DUMMYFUNCTION("""COMPUTED_VALUE"""),"P")</f>
        <v>P</v>
      </c>
      <c r="G743" s="5">
        <f>IFERROR(__xludf.DUMMYFUNCTION("""COMPUTED_VALUE"""),46157.0)</f>
        <v>46157</v>
      </c>
      <c r="H743" s="4" t="str">
        <f>IFERROR(__xludf.DUMMYFUNCTION("""COMPUTED_VALUE"""),"Contrato enviado")</f>
        <v>Contrato enviado</v>
      </c>
      <c r="I743" s="6">
        <f>IFERROR(__xludf.DUMMYFUNCTION("""COMPUTED_VALUE"""),46132.58529498843)</f>
        <v>46132.58529</v>
      </c>
      <c r="J743" s="6">
        <f>IFERROR(__xludf.DUMMYFUNCTION("""COMPUTED_VALUE"""),46132.585357511576)</f>
        <v>46132.58536</v>
      </c>
      <c r="K743" s="6">
        <f>IFERROR(__xludf.DUMMYFUNCTION("""COMPUTED_VALUE"""),46132.58538645833)</f>
        <v>46132.58539</v>
      </c>
      <c r="L743" s="6">
        <f>IFERROR(__xludf.DUMMYFUNCTION("""COMPUTED_VALUE"""),46136.41751990741)</f>
        <v>46136.41752</v>
      </c>
      <c r="M743" s="6">
        <f>IFERROR(__xludf.DUMMYFUNCTION("""COMPUTED_VALUE"""),46136.418184027774)</f>
        <v>46136.41818</v>
      </c>
      <c r="N743" s="6">
        <f>IFERROR(__xludf.DUMMYFUNCTION("""COMPUTED_VALUE"""),46153.68386050926)</f>
        <v>46153.68386</v>
      </c>
      <c r="O743" s="6">
        <f>IFERROR(__xludf.DUMMYFUNCTION("""COMPUTED_VALUE"""),46157.4675509375)</f>
        <v>46157.46755</v>
      </c>
      <c r="P743" s="6">
        <f>IFERROR(__xludf.DUMMYFUNCTION("""COMPUTED_VALUE"""),46157.46808960648)</f>
        <v>46157.46809</v>
      </c>
      <c r="Q743" s="4"/>
      <c r="R743" s="4"/>
      <c r="S743" s="4"/>
      <c r="T743" s="4"/>
      <c r="U743" s="4"/>
      <c r="V743" s="4" t="str">
        <f>IFERROR(__xludf.DUMMYFUNCTION("""COMPUTED_VALUE"""),"Proposta declinada")</f>
        <v>Proposta declinada</v>
      </c>
      <c r="W743" s="4"/>
      <c r="X743" s="4"/>
      <c r="Y743" s="4"/>
      <c r="Z743" s="4"/>
      <c r="AA743" s="4">
        <f>IFERROR(__xludf.DUMMYFUNCTION("""COMPUTED_VALUE"""),4.0)</f>
        <v>4</v>
      </c>
      <c r="AB743" s="4" t="str">
        <f>IFERROR(__xludf.DUMMYFUNCTION("""COMPUTED_VALUE"""),"NÃO")</f>
        <v>NÃO</v>
      </c>
      <c r="AC743" s="4" t="str">
        <f>IFERROR(__xludf.DUMMYFUNCTION("""COMPUTED_VALUE"""),"BP")</f>
        <v>BP</v>
      </c>
      <c r="AD743" s="4"/>
      <c r="AE743" s="4">
        <f>IFERROR(__xludf.DUMMYFUNCTION("""COMPUTED_VALUE"""),1.0)</f>
        <v>1</v>
      </c>
      <c r="AF743" s="4">
        <f>IFERROR(__xludf.DUMMYFUNCTION("""COMPUTED_VALUE"""),6.0)</f>
        <v>6</v>
      </c>
      <c r="AG743" s="4" t="str">
        <f>IFERROR(__xludf.DUMMYFUNCTION("""COMPUTED_VALUE"""),"30 dias")</f>
        <v>30 dias</v>
      </c>
      <c r="AH743" s="4">
        <f>IFERROR(__xludf.DUMMYFUNCTION("""COMPUTED_VALUE"""),5.0)</f>
        <v>5</v>
      </c>
      <c r="AI743" s="4" t="str">
        <f>IFERROR(__xludf.DUMMYFUNCTION("""COMPUTED_VALUE"""),"200k")</f>
        <v>200k</v>
      </c>
      <c r="AJ743" s="4" t="str">
        <f>IFERROR(__xludf.DUMMYFUNCTION("""COMPUTED_VALUE"""),"colibri")</f>
        <v>colibri</v>
      </c>
      <c r="AK743" s="4" t="str">
        <f>IFERROR(__xludf.DUMMYFUNCTION("""COMPUTED_VALUE"""),"hamburgueria")</f>
        <v>hamburgueria</v>
      </c>
      <c r="AL743" s="4" t="str">
        <f>IFERROR(__xludf.DUMMYFUNCTION("""COMPUTED_VALUE"""),"NÃO")</f>
        <v>NÃO</v>
      </c>
      <c r="AM743" s="4" t="str">
        <f>IFERROR(__xludf.DUMMYFUNCTION("""COMPUTED_VALUE"""),"FY26, FY27")</f>
        <v>FY26, FY27</v>
      </c>
      <c r="AN743" s="4"/>
      <c r="AO743" s="4">
        <f>IFERROR(__xludf.DUMMYFUNCTION("""COMPUTED_VALUE"""),57.0)</f>
        <v>57</v>
      </c>
      <c r="AP743" s="4" t="str">
        <f>IFERROR(__xludf.DUMMYFUNCTION("""COMPUTED_VALUE"""),"SP")</f>
        <v>SP</v>
      </c>
      <c r="AQ743" s="4" t="str">
        <f>IFERROR(__xludf.DUMMYFUNCTION("""COMPUTED_VALUE"""),"JULIA TAKEMOTO")</f>
        <v>JULIA TAKEMOTO</v>
      </c>
      <c r="AR743" s="4">
        <f>IFERROR(__xludf.DUMMYFUNCTION("""COMPUTED_VALUE"""),0.0)</f>
        <v>0</v>
      </c>
      <c r="AS743" s="4">
        <f>IFERROR(__xludf.DUMMYFUNCTION("""COMPUTED_VALUE"""),0.0)</f>
        <v>0</v>
      </c>
      <c r="AT743" s="4">
        <f>IFERROR(__xludf.DUMMYFUNCTION("""COMPUTED_VALUE"""),0.0)</f>
        <v>0</v>
      </c>
      <c r="AU743" s="4" t="str">
        <f>IFERROR(__xludf.DUMMYFUNCTION("""COMPUTED_VALUE"""),"Ana")</f>
        <v>Ana</v>
      </c>
      <c r="AV743" s="4">
        <f>IFERROR(__xludf.DUMMYFUNCTION("""COMPUTED_VALUE"""),0.0)</f>
        <v>0</v>
      </c>
      <c r="AW743" s="4">
        <f>IFERROR(__xludf.DUMMYFUNCTION("""COMPUTED_VALUE"""),0.0)</f>
        <v>0</v>
      </c>
      <c r="AX743" s="4">
        <f>IFERROR(__xludf.DUMMYFUNCTION("""COMPUTED_VALUE"""),0.0)</f>
        <v>0</v>
      </c>
      <c r="AY743" s="4"/>
      <c r="AZ743" s="4" t="str">
        <f>IFERROR(__xludf.DUMMYFUNCTION("""COMPUTED_VALUE"""),"Lanches")</f>
        <v>Lanches</v>
      </c>
      <c r="BA743" s="4" t="str">
        <f>IFERROR(__xludf.DUMMYFUNCTION("""COMPUTED_VALUE"""),"Dado não disponível publicamente")</f>
        <v>Dado não disponível publicamente</v>
      </c>
      <c r="BB743" s="12" t="str">
        <f>IFERROR(__xludf.DUMMYFUNCTION("""COMPUTED_VALUE"""),"QSR/Fast Casual - Hamburgueria (NÃO é pizzaria)")</f>
        <v>QSR/Fast Casual - Hamburgueria (NÃO é pizzaria)</v>
      </c>
      <c r="BC743" s="4" t="str">
        <f>IFERROR(__xludf.DUMMYFUNCTION("""COMPUTED_VALUE"""),"Brasil - São Paulo/SP (5 unidades próprias: Praça da Árvore, Vila Zelina, Paraíso, Pompeia, Campo Belo)")</f>
        <v>Brasil - São Paulo/SP (5 unidades próprias: Praça da Árvore, Vila Zelina, Paraíso, Pompeia, Campo Belo)</v>
      </c>
      <c r="BD743" s="4" t="str">
        <f>IFERROR(__xludf.DUMMYFUNCTION("""COMPUTED_VALUE"""),"R$ 45 - R$ 80")</f>
        <v>R$ 45 - R$ 80</v>
      </c>
      <c r="BE743" s="4">
        <f>IFERROR(__xludf.DUMMYFUNCTION("""COMPUTED_VALUE"""),65.0)</f>
        <v>65</v>
      </c>
      <c r="BF743" s="4">
        <f>IFERROR(__xludf.DUMMYFUNCTION("""COMPUTED_VALUE"""),85.0)</f>
        <v>85</v>
      </c>
      <c r="BG743" s="4" t="str">
        <f>IFERROR(__xludf.DUMMYFUNCTION("""COMPUTED_VALUE"""),"Dado não identificado publicamente - Necessário Discovery")</f>
        <v>Dado não identificado publicamente - Necessário Discovery</v>
      </c>
      <c r="BH743" s="4" t="s">
        <v>63</v>
      </c>
      <c r="BI743" s="7" t="s">
        <v>63</v>
      </c>
    </row>
    <row r="744" hidden="1">
      <c r="A744" s="4" t="str">
        <f>IFERROR(__xludf.DUMMYFUNCTION("""COMPUTED_VALUE"""),"1900 Pizzeria")</f>
        <v>1900 Pizzeria</v>
      </c>
      <c r="B744" s="4" t="str">
        <f>IFERROR(__xludf.DUMMYFUNCTION("""COMPUTED_VALUE"""),"João Biagiotti")</f>
        <v>João Biagiotti</v>
      </c>
      <c r="C744" s="4" t="str">
        <f>IFERROR(__xludf.DUMMYFUNCTION("""COMPUTED_VALUE"""),"Diego Santos")</f>
        <v>Diego Santos</v>
      </c>
      <c r="D744" s="4" t="str">
        <f>IFERROR(__xludf.DUMMYFUNCTION("""COMPUTED_VALUE"""),"11. Stand by")</f>
        <v>11. Stand by</v>
      </c>
      <c r="E744" s="4" t="str">
        <f>IFERROR(__xludf.DUMMYFUNCTION("""COMPUTED_VALUE"""),"Comercial - Primeira reunião / Visita presencial agendada")</f>
        <v>Comercial - Primeira reunião / Visita presencial agendada</v>
      </c>
      <c r="F744" s="4" t="str">
        <f>IFERROR(__xludf.DUMMYFUNCTION("""COMPUTED_VALUE"""),"P")</f>
        <v>P</v>
      </c>
      <c r="G744" s="5">
        <f>IFERROR(__xludf.DUMMYFUNCTION("""COMPUTED_VALUE"""),46139.0)</f>
        <v>46139</v>
      </c>
      <c r="H744" s="4" t="str">
        <f>IFERROR(__xludf.DUMMYFUNCTION("""COMPUTED_VALUE"""),"Durante a reunião parceiro informou que não tem interesse em mudar de PDV, possui App proprio e tem um potencial para Comer Fora")</f>
        <v>Durante a reunião parceiro informou que não tem interesse em mudar de PDV, possui App proprio e tem um potencial para Comer Fora</v>
      </c>
      <c r="I744" s="6">
        <f>IFERROR(__xludf.DUMMYFUNCTION("""COMPUTED_VALUE"""),46132.62320219907)</f>
        <v>46132.6232</v>
      </c>
      <c r="J744" s="6">
        <f>IFERROR(__xludf.DUMMYFUNCTION("""COMPUTED_VALUE"""),46132.62322332176)</f>
        <v>46132.62322</v>
      </c>
      <c r="K744" s="6">
        <f>IFERROR(__xludf.DUMMYFUNCTION("""COMPUTED_VALUE"""),46132.623259513886)</f>
        <v>46132.62326</v>
      </c>
      <c r="L744" s="4"/>
      <c r="M744" s="4"/>
      <c r="N744" s="4"/>
      <c r="O744" s="4"/>
      <c r="P744" s="4"/>
      <c r="Q744" s="4"/>
      <c r="R744" s="4"/>
      <c r="S744" s="6">
        <f>IFERROR(__xludf.DUMMYFUNCTION("""COMPUTED_VALUE"""),46139.717821238424)</f>
        <v>46139.71782</v>
      </c>
      <c r="T744" s="4"/>
      <c r="U744" s="4"/>
      <c r="V744" s="4" t="str">
        <f>IFERROR(__xludf.DUMMYFUNCTION("""COMPUTED_VALUE"""),"Sem interesse em mudar de PDV")</f>
        <v>Sem interesse em mudar de PDV</v>
      </c>
      <c r="W744" s="4"/>
      <c r="X744" s="4"/>
      <c r="Y744" s="4"/>
      <c r="Z744" s="4"/>
      <c r="AA744" s="4">
        <f>IFERROR(__xludf.DUMMYFUNCTION("""COMPUTED_VALUE"""),13.0)</f>
        <v>13</v>
      </c>
      <c r="AB744" s="4" t="str">
        <f>IFERROR(__xludf.DUMMYFUNCTION("""COMPUTED_VALUE"""),"NÃO")</f>
        <v>NÃO</v>
      </c>
      <c r="AC744" s="4" t="str">
        <f>IFERROR(__xludf.DUMMYFUNCTION("""COMPUTED_VALUE"""),"BP")</f>
        <v>BP</v>
      </c>
      <c r="AD744" s="4"/>
      <c r="AE744" s="4"/>
      <c r="AF744" s="4"/>
      <c r="AG744" s="4"/>
      <c r="AH744" s="4"/>
      <c r="AI744" s="4"/>
      <c r="AJ744" s="4"/>
      <c r="AK744" s="4"/>
      <c r="AL744" s="4"/>
      <c r="AM744" s="4" t="str">
        <f>IFERROR(__xludf.DUMMYFUNCTION("""COMPUTED_VALUE"""),"FY26, FY27")</f>
        <v>FY26, FY27</v>
      </c>
      <c r="AN744" s="4" t="str">
        <f>IFERROR(__xludf.DUMMYFUNCTION("""COMPUTED_VALUE"""),"Comer Fora")</f>
        <v>Comer Fora</v>
      </c>
      <c r="AO744" s="4">
        <f>IFERROR(__xludf.DUMMYFUNCTION("""COMPUTED_VALUE"""),57.0)</f>
        <v>57</v>
      </c>
      <c r="AP744" s="4"/>
      <c r="AQ744" s="4"/>
      <c r="AR744" s="4"/>
      <c r="AS744" s="4" t="str">
        <f>IFERROR(__xludf.DUMMYFUNCTION("""COMPUTED_VALUE"""),"NATHALIE MERTENS")</f>
        <v>NATHALIE MERTENS</v>
      </c>
      <c r="AT744" s="4" t="str">
        <f>IFERROR(__xludf.DUMMYFUNCTION("""COMPUTED_VALUE"""),"MARIANA KATZ")</f>
        <v>MARIANA KATZ</v>
      </c>
      <c r="AU744" s="4" t="str">
        <f>IFERROR(__xludf.DUMMYFUNCTION("""COMPUTED_VALUE"""),"Ana")</f>
        <v>Ana</v>
      </c>
      <c r="AV744" s="4" t="str">
        <f>IFERROR(__xludf.DUMMYFUNCTION("""COMPUTED_VALUE"""),"Comer Fora-")</f>
        <v>Comer Fora-</v>
      </c>
      <c r="AW744" s="20" t="str">
        <f>IFERROR(__xludf.DUMMYFUNCTION("""COMPUTED_VALUE"""),"P e M - pipe")</f>
        <v>P e M - pipe</v>
      </c>
      <c r="AX744" s="4"/>
      <c r="AY744" s="4"/>
      <c r="AZ744" s="4" t="str">
        <f>IFERROR(__xludf.DUMMYFUNCTION("""COMPUTED_VALUE"""),"Pizza")</f>
        <v>Pizza</v>
      </c>
      <c r="BA744" s="4" t="str">
        <f>IFERROR(__xludf.DUMMYFUNCTION("""COMPUTED_VALUE"""),"R$ 60-100")</f>
        <v>R$ 60-100</v>
      </c>
      <c r="BB744" s="4" t="str">
        <f>IFERROR(__xludf.DUMMYFUNCTION("""COMPUTED_VALUE"""),"Casual Dining - Pizzaria Premium")</f>
        <v>Casual Dining - Pizzaria Premium</v>
      </c>
      <c r="BC744" s="4" t="str">
        <f>IFERROR(__xludf.DUMMYFUNCTION("""COMPUTED_VALUE"""),"São Paulo/SP (13-14 unidades)")</f>
        <v>São Paulo/SP (13-14 unidades)</v>
      </c>
      <c r="BD744" s="4" t="str">
        <f>IFERROR(__xludf.DUMMYFUNCTION("""COMPUTED_VALUE"""),"Necessário Discovery")</f>
        <v>Necessário Discovery</v>
      </c>
      <c r="BE744" s="4">
        <f>IFERROR(__xludf.DUMMYFUNCTION("""COMPUTED_VALUE"""),65.0)</f>
        <v>65</v>
      </c>
      <c r="BF744" s="4">
        <f>IFERROR(__xludf.DUMMYFUNCTION("""COMPUTED_VALUE"""),0.68)</f>
        <v>0.68</v>
      </c>
      <c r="BG744" s="4" t="str">
        <f>IFERROR(__xludf.DUMMYFUNCTION("""COMPUTED_VALUE"""),"PDV não identificado - Pizzaria premium SP (13-14 unidades). Salão + delivery. 3S: PDV Mobile, KDS, gestão comandas, integração delivery")</f>
        <v>PDV não identificado - Pizzaria premium SP (13-14 unidades). Salão + delivery. 3S: PDV Mobile, KDS, gestão comandas, integração delivery</v>
      </c>
      <c r="BH744" s="4" t="s">
        <v>140</v>
      </c>
      <c r="BI744" s="7">
        <v>1.0</v>
      </c>
    </row>
    <row r="745" hidden="1">
      <c r="A745" s="4" t="str">
        <f>IFERROR(__xludf.DUMMYFUNCTION("""COMPUTED_VALUE"""),"SB Franquias")</f>
        <v>SB Franquias</v>
      </c>
      <c r="B745" s="4" t="str">
        <f>IFERROR(__xludf.DUMMYFUNCTION("""COMPUTED_VALUE"""),"João Biagiotti")</f>
        <v>João Biagiotti</v>
      </c>
      <c r="C745" s="4" t="str">
        <f>IFERROR(__xludf.DUMMYFUNCTION("""COMPUTED_VALUE"""),"Diego Santos")</f>
        <v>Diego Santos</v>
      </c>
      <c r="D745" s="4" t="str">
        <f>IFERROR(__xludf.DUMMYFUNCTION("""COMPUTED_VALUE"""),"2. Primeiro Contato com a marca")</f>
        <v>2. Primeiro Contato com a marca</v>
      </c>
      <c r="E745" s="4" t="str">
        <f>IFERROR(__xludf.DUMMYFUNCTION("""COMPUTED_VALUE"""),"Comercial - Contato realizado com parceiro")</f>
        <v>Comercial - Contato realizado com parceiro</v>
      </c>
      <c r="F745" s="4" t="str">
        <f>IFERROR(__xludf.DUMMYFUNCTION("""COMPUTED_VALUE"""),"P")</f>
        <v>P</v>
      </c>
      <c r="G745" s="5">
        <f>IFERROR(__xludf.DUMMYFUNCTION("""COMPUTED_VALUE"""),46134.0)</f>
        <v>46134</v>
      </c>
      <c r="H745" s="4" t="str">
        <f>IFERROR(__xludf.DUMMYFUNCTION("""COMPUTED_VALUE"""),"Conversei com o Alan, responsavel pela franquia, dei uma leve introdução na area de salão, ficou de conversar com a Mari no iFood Move+")</f>
        <v>Conversei com o Alan, responsavel pela franquia, dei uma leve introdução na area de salão, ficou de conversar com a Mari no iFood Move+</v>
      </c>
      <c r="I745" s="6">
        <f>IFERROR(__xludf.DUMMYFUNCTION("""COMPUTED_VALUE"""),46134.5011772338)</f>
        <v>46134.50118</v>
      </c>
      <c r="J745" s="6">
        <f>IFERROR(__xludf.DUMMYFUNCTION("""COMPUTED_VALUE"""),46134.501219259255)</f>
        <v>46134.50122</v>
      </c>
      <c r="K745" s="4"/>
      <c r="L745" s="4"/>
      <c r="M745" s="4"/>
      <c r="N745" s="4"/>
      <c r="O745" s="4"/>
      <c r="P745" s="4"/>
      <c r="Q745" s="4"/>
      <c r="R745" s="4"/>
      <c r="S745" s="4"/>
      <c r="T745" s="4"/>
      <c r="U745" s="4"/>
      <c r="V745" s="4"/>
      <c r="W745" s="4"/>
      <c r="X745" s="4"/>
      <c r="Y745" s="4"/>
      <c r="Z745" s="4"/>
      <c r="AA745" s="4">
        <f>IFERROR(__xludf.DUMMYFUNCTION("""COMPUTED_VALUE"""),12.0)</f>
        <v>12</v>
      </c>
      <c r="AB745" s="4" t="str">
        <f>IFERROR(__xludf.DUMMYFUNCTION("""COMPUTED_VALUE"""),"Não")</f>
        <v>Não</v>
      </c>
      <c r="AC745" s="4" t="str">
        <f>IFERROR(__xludf.DUMMYFUNCTION("""COMPUTED_VALUE"""),"Não")</f>
        <v>Não</v>
      </c>
      <c r="AD745" s="4" t="str">
        <f>IFERROR(__xludf.DUMMYFUNCTION("""COMPUTED_VALUE"""),"Jaxtech")</f>
        <v>Jaxtech</v>
      </c>
      <c r="AE745" s="4"/>
      <c r="AF745" s="4"/>
      <c r="AG745" s="4"/>
      <c r="AH745" s="4"/>
      <c r="AI745" s="4"/>
      <c r="AJ745" s="4"/>
      <c r="AK745" s="4"/>
      <c r="AL745" s="4"/>
      <c r="AM745" s="4" t="str">
        <f>IFERROR(__xludf.DUMMYFUNCTION("""COMPUTED_VALUE"""),"FY27")</f>
        <v>FY27</v>
      </c>
      <c r="AN745" s="4"/>
      <c r="AO745" s="4">
        <f>IFERROR(__xludf.DUMMYFUNCTION("""COMPUTED_VALUE"""),81.0)</f>
        <v>81</v>
      </c>
      <c r="AP745" s="4"/>
      <c r="AQ745" s="4"/>
      <c r="AR745" s="4"/>
      <c r="AS745" s="4"/>
      <c r="AT745" s="4"/>
      <c r="AU745" s="4"/>
      <c r="AV745" s="4">
        <f>IFERROR(__xludf.DUMMYFUNCTION("""COMPUTED_VALUE"""),0.0)</f>
        <v>0</v>
      </c>
      <c r="AW745" s="4">
        <f>IFERROR(__xludf.DUMMYFUNCTION("""COMPUTED_VALUE"""),0.0)</f>
        <v>0</v>
      </c>
      <c r="AX745" s="4">
        <f>IFERROR(__xludf.DUMMYFUNCTION("""COMPUTED_VALUE"""),0.0)</f>
        <v>0</v>
      </c>
      <c r="AY745" s="4"/>
      <c r="AZ745" s="4" t="str">
        <f>IFERROR(__xludf.DUMMYFUNCTION("""COMPUTED_VALUE"""),"Brasileira")</f>
        <v>Brasileira</v>
      </c>
      <c r="BA745" s="4" t="str">
        <f>IFERROR(__xludf.DUMMYFUNCTION("""COMPUTED_VALUE"""),"")</f>
        <v/>
      </c>
      <c r="BB745" s="4" t="str">
        <f>IFERROR(__xludf.DUMMYFUNCTION("""COMPUTED_VALUE"""),"")</f>
        <v/>
      </c>
      <c r="BC745" s="4" t="str">
        <f>IFERROR(__xludf.DUMMYFUNCTION("""COMPUTED_VALUE"""),"")</f>
        <v/>
      </c>
      <c r="BD745" s="4" t="str">
        <f>IFERROR(__xludf.DUMMYFUNCTION("""COMPUTED_VALUE"""),"")</f>
        <v/>
      </c>
      <c r="BE745" s="4" t="str">
        <f>IFERROR(__xludf.DUMMYFUNCTION("""COMPUTED_VALUE"""),"")</f>
        <v/>
      </c>
      <c r="BF745" s="4" t="str">
        <f>IFERROR(__xludf.DUMMYFUNCTION("""COMPUTED_VALUE"""),"")</f>
        <v/>
      </c>
      <c r="BG745" s="4" t="str">
        <f>IFERROR(__xludf.DUMMYFUNCTION("""COMPUTED_VALUE"""),"")</f>
        <v/>
      </c>
      <c r="BH745" s="4" t="s">
        <v>63</v>
      </c>
      <c r="BI745" s="7" t="s">
        <v>63</v>
      </c>
    </row>
    <row r="746" hidden="1">
      <c r="A746" s="4" t="str">
        <f>IFERROR(__xludf.DUMMYFUNCTION("""COMPUTED_VALUE"""),"LA PASTA GIALLA")</f>
        <v>LA PASTA GIALLA</v>
      </c>
      <c r="B746" s="4" t="str">
        <f>IFERROR(__xludf.DUMMYFUNCTION("""COMPUTED_VALUE"""),"João Biagiotti")</f>
        <v>João Biagiotti</v>
      </c>
      <c r="C746" s="4" t="str">
        <f>IFERROR(__xludf.DUMMYFUNCTION("""COMPUTED_VALUE"""),"Diego Santos")</f>
        <v>Diego Santos</v>
      </c>
      <c r="D746" s="4" t="str">
        <f>IFERROR(__xludf.DUMMYFUNCTION("""COMPUTED_VALUE"""),"2. Primeiro Contato com a marca")</f>
        <v>2. Primeiro Contato com a marca</v>
      </c>
      <c r="E746" s="4" t="str">
        <f>IFERROR(__xludf.DUMMYFUNCTION("""COMPUTED_VALUE"""),"Delivery - Conciliação agenda com parceiro")</f>
        <v>Delivery - Conciliação agenda com parceiro</v>
      </c>
      <c r="F746" s="4" t="str">
        <f>IFERROR(__xludf.DUMMYFUNCTION("""COMPUTED_VALUE"""),"M")</f>
        <v>M</v>
      </c>
      <c r="G746" s="5">
        <f>IFERROR(__xludf.DUMMYFUNCTION("""COMPUTED_VALUE"""),46139.0)</f>
        <v>46139</v>
      </c>
      <c r="H746" s="4" t="str">
        <f>IFERROR(__xludf.DUMMYFUNCTION("""COMPUTED_VALUE"""),"Time de delivery esta conciliando a agenda")</f>
        <v>Time de delivery esta conciliando a agenda</v>
      </c>
      <c r="I746" s="6">
        <f>IFERROR(__xludf.DUMMYFUNCTION("""COMPUTED_VALUE"""),46139.432909641204)</f>
        <v>46139.43291</v>
      </c>
      <c r="J746" s="6">
        <f>IFERROR(__xludf.DUMMYFUNCTION("""COMPUTED_VALUE"""),46139.43343300926)</f>
        <v>46139.43343</v>
      </c>
      <c r="K746" s="4"/>
      <c r="L746" s="4"/>
      <c r="M746" s="4"/>
      <c r="N746" s="4"/>
      <c r="O746" s="4"/>
      <c r="P746" s="4"/>
      <c r="Q746" s="4"/>
      <c r="R746" s="6">
        <f>IFERROR(__xludf.DUMMYFUNCTION("""COMPUTED_VALUE"""),46136.71948777778)</f>
        <v>46136.71949</v>
      </c>
      <c r="S746" s="4"/>
      <c r="T746" s="4"/>
      <c r="U746" s="4"/>
      <c r="V746" s="4"/>
      <c r="W746" s="4"/>
      <c r="X746" s="4"/>
      <c r="Y746" s="4"/>
      <c r="Z746" s="4"/>
      <c r="AA746" s="4">
        <f>IFERROR(__xludf.DUMMYFUNCTION("""COMPUTED_VALUE"""),24.0)</f>
        <v>24</v>
      </c>
      <c r="AB746" s="4" t="str">
        <f>IFERROR(__xludf.DUMMYFUNCTION("""COMPUTED_VALUE"""),"Não")</f>
        <v>Não</v>
      </c>
      <c r="AC746" s="4" t="str">
        <f>IFERROR(__xludf.DUMMYFUNCTION("""COMPUTED_VALUE"""),"Não")</f>
        <v>Não</v>
      </c>
      <c r="AD746" s="4" t="str">
        <f>IFERROR(__xludf.DUMMYFUNCTION("""COMPUTED_VALUE"""),"Sem informação")</f>
        <v>Sem informação</v>
      </c>
      <c r="AE746" s="4"/>
      <c r="AF746" s="4"/>
      <c r="AG746" s="4"/>
      <c r="AH746" s="4"/>
      <c r="AI746" s="4"/>
      <c r="AJ746" s="4"/>
      <c r="AK746" s="4"/>
      <c r="AL746" s="4"/>
      <c r="AM746" s="4" t="str">
        <f>IFERROR(__xludf.DUMMYFUNCTION("""COMPUTED_VALUE"""),"FY27")</f>
        <v>FY27</v>
      </c>
      <c r="AN746" s="4"/>
      <c r="AO746" s="4">
        <f>IFERROR(__xludf.DUMMYFUNCTION("""COMPUTED_VALUE"""),76.0)</f>
        <v>76</v>
      </c>
      <c r="AP746" s="4"/>
      <c r="AQ746" s="4"/>
      <c r="AR746" s="4"/>
      <c r="AS746" s="4"/>
      <c r="AT746" s="4"/>
      <c r="AU746" s="4"/>
      <c r="AV746" s="4">
        <f>IFERROR(__xludf.DUMMYFUNCTION("""COMPUTED_VALUE"""),0.0)</f>
        <v>0</v>
      </c>
      <c r="AW746" s="4">
        <f>IFERROR(__xludf.DUMMYFUNCTION("""COMPUTED_VALUE"""),0.0)</f>
        <v>0</v>
      </c>
      <c r="AX746" s="4">
        <f>IFERROR(__xludf.DUMMYFUNCTION("""COMPUTED_VALUE"""),0.0)</f>
        <v>0</v>
      </c>
      <c r="AY746" s="4" t="str">
        <f>IFERROR(__xludf.DUMMYFUNCTION("""COMPUTED_VALUE"""),"Dcs Automação Eireli")</f>
        <v>Dcs Automação Eireli</v>
      </c>
      <c r="AZ746" s="4" t="str">
        <f>IFERROR(__xludf.DUMMYFUNCTION("""COMPUTED_VALUE"""),"Italiana; Pizza")</f>
        <v>Italiana; Pizza</v>
      </c>
      <c r="BA746" s="4" t="str">
        <f>IFERROR(__xludf.DUMMYFUNCTION("""COMPUTED_VALUE"""),"")</f>
        <v/>
      </c>
      <c r="BB746" s="4" t="str">
        <f>IFERROR(__xludf.DUMMYFUNCTION("""COMPUTED_VALUE"""),"")</f>
        <v/>
      </c>
      <c r="BC746" s="4" t="str">
        <f>IFERROR(__xludf.DUMMYFUNCTION("""COMPUTED_VALUE"""),"")</f>
        <v/>
      </c>
      <c r="BD746" s="4" t="str">
        <f>IFERROR(__xludf.DUMMYFUNCTION("""COMPUTED_VALUE"""),"")</f>
        <v/>
      </c>
      <c r="BE746" s="4" t="str">
        <f>IFERROR(__xludf.DUMMYFUNCTION("""COMPUTED_VALUE"""),"")</f>
        <v/>
      </c>
      <c r="BF746" s="4" t="str">
        <f>IFERROR(__xludf.DUMMYFUNCTION("""COMPUTED_VALUE"""),"")</f>
        <v/>
      </c>
      <c r="BG746" s="4" t="str">
        <f>IFERROR(__xludf.DUMMYFUNCTION("""COMPUTED_VALUE"""),"")</f>
        <v/>
      </c>
      <c r="BH746" s="4" t="s">
        <v>64</v>
      </c>
      <c r="BI746" s="7">
        <v>0.4</v>
      </c>
    </row>
    <row r="747" hidden="1">
      <c r="A747" s="4" t="str">
        <f>IFERROR(__xludf.DUMMYFUNCTION("""COMPUTED_VALUE"""),"Noi")</f>
        <v>Noi</v>
      </c>
      <c r="B747" s="4" t="str">
        <f>IFERROR(__xludf.DUMMYFUNCTION("""COMPUTED_VALUE"""),"Lídia Esteves")</f>
        <v>Lídia Esteves</v>
      </c>
      <c r="C747" s="4" t="str">
        <f>IFERROR(__xludf.DUMMYFUNCTION("""COMPUTED_VALUE"""),"Gabriela Roma")</f>
        <v>Gabriela Roma</v>
      </c>
      <c r="D747" s="4" t="str">
        <f>IFERROR(__xludf.DUMMYFUNCTION("""COMPUTED_VALUE"""),"4. Diagnóstico")</f>
        <v>4. Diagnóstico</v>
      </c>
      <c r="E747" s="4" t="str">
        <f>IFERROR(__xludf.DUMMYFUNCTION("""COMPUTED_VALUE"""),"Parceiro - Conciliação agenda")</f>
        <v>Parceiro - Conciliação agenda</v>
      </c>
      <c r="F747" s="4" t="str">
        <f>IFERROR(__xludf.DUMMYFUNCTION("""COMPUTED_VALUE"""),"P")</f>
        <v>P</v>
      </c>
      <c r="G747" s="5">
        <f>IFERROR(__xludf.DUMMYFUNCTION("""COMPUTED_VALUE"""),46139.0)</f>
        <v>46139</v>
      </c>
      <c r="H747" s="4" t="str">
        <f>IFERROR(__xludf.DUMMYFUNCTION("""COMPUTED_VALUE"""),"apresentação pra um dos sócios , pediu para agendar demo com os demais")</f>
        <v>apresentação pra um dos sócios , pediu para agendar demo com os demais</v>
      </c>
      <c r="I747" s="6">
        <f>IFERROR(__xludf.DUMMYFUNCTION("""COMPUTED_VALUE"""),46135.708047314816)</f>
        <v>46135.70805</v>
      </c>
      <c r="J747" s="6">
        <f>IFERROR(__xludf.DUMMYFUNCTION("""COMPUTED_VALUE"""),46135.70815607639)</f>
        <v>46135.70816</v>
      </c>
      <c r="K747" s="6">
        <f>IFERROR(__xludf.DUMMYFUNCTION("""COMPUTED_VALUE"""),46140.404379432875)</f>
        <v>46140.40438</v>
      </c>
      <c r="L747" s="6">
        <f>IFERROR(__xludf.DUMMYFUNCTION("""COMPUTED_VALUE"""),46153.682456180555)</f>
        <v>46153.68246</v>
      </c>
      <c r="M747" s="4"/>
      <c r="N747" s="4"/>
      <c r="O747" s="4"/>
      <c r="P747" s="4"/>
      <c r="Q747" s="4"/>
      <c r="R747" s="4"/>
      <c r="S747" s="4"/>
      <c r="T747" s="4"/>
      <c r="U747" s="4"/>
      <c r="V747" s="4"/>
      <c r="W747" s="4"/>
      <c r="X747" s="4"/>
      <c r="Y747" s="4"/>
      <c r="Z747" s="4"/>
      <c r="AA747" s="4">
        <f>IFERROR(__xludf.DUMMYFUNCTION("""COMPUTED_VALUE"""),13.0)</f>
        <v>13</v>
      </c>
      <c r="AB747" s="4" t="str">
        <f>IFERROR(__xludf.DUMMYFUNCTION("""COMPUTED_VALUE"""),"Não")</f>
        <v>Não</v>
      </c>
      <c r="AC747" s="4" t="str">
        <f>IFERROR(__xludf.DUMMYFUNCTION("""COMPUTED_VALUE"""),"Sim")</f>
        <v>Sim</v>
      </c>
      <c r="AD747" s="4"/>
      <c r="AE747" s="4"/>
      <c r="AF747" s="4"/>
      <c r="AG747" s="4"/>
      <c r="AH747" s="4">
        <f>IFERROR(__xludf.DUMMYFUNCTION("""COMPUTED_VALUE"""),8.0)</f>
        <v>8</v>
      </c>
      <c r="AI747" s="11">
        <f>IFERROR(__xludf.DUMMYFUNCTION("""COMPUTED_VALUE"""),300000.0)</f>
        <v>300000</v>
      </c>
      <c r="AJ747" s="4" t="str">
        <f>IFERROR(__xludf.DUMMYFUNCTION("""COMPUTED_VALUE"""),"aloha")</f>
        <v>aloha</v>
      </c>
      <c r="AK747" s="4" t="str">
        <f>IFERROR(__xludf.DUMMYFUNCTION("""COMPUTED_VALUE"""),"salao e delivery")</f>
        <v>salao e delivery</v>
      </c>
      <c r="AL747" s="4" t="str">
        <f>IFERROR(__xludf.DUMMYFUNCTION("""COMPUTED_VALUE"""),"SIM")</f>
        <v>SIM</v>
      </c>
      <c r="AM747" s="4" t="str">
        <f>IFERROR(__xludf.DUMMYFUNCTION("""COMPUTED_VALUE"""),"FY27")</f>
        <v>FY27</v>
      </c>
      <c r="AN747" s="4"/>
      <c r="AO747" s="4">
        <f>IFERROR(__xludf.DUMMYFUNCTION("""COMPUTED_VALUE"""),76.0)</f>
        <v>76</v>
      </c>
      <c r="AP747" s="4"/>
      <c r="AQ747" s="4"/>
      <c r="AR747" s="4"/>
      <c r="AS747" s="4"/>
      <c r="AT747" s="4"/>
      <c r="AU747" s="4"/>
      <c r="AV747" s="4">
        <f>IFERROR(__xludf.DUMMYFUNCTION("""COMPUTED_VALUE"""),0.0)</f>
        <v>0</v>
      </c>
      <c r="AW747" s="4">
        <f>IFERROR(__xludf.DUMMYFUNCTION("""COMPUTED_VALUE"""),0.0)</f>
        <v>0</v>
      </c>
      <c r="AX747" s="4">
        <f>IFERROR(__xludf.DUMMYFUNCTION("""COMPUTED_VALUE"""),0.0)</f>
        <v>0</v>
      </c>
      <c r="AY747" s="4">
        <f>IFERROR(__xludf.DUMMYFUNCTION("""COMPUTED_VALUE"""),0.0)</f>
        <v>0</v>
      </c>
      <c r="AZ747" s="4" t="str">
        <f>IFERROR(__xludf.DUMMYFUNCTION("""COMPUTED_VALUE"""),"Pizza")</f>
        <v>Pizza</v>
      </c>
      <c r="BA747" s="4" t="str">
        <f>IFERROR(__xludf.DUMMYFUNCTION("""COMPUTED_VALUE"""),"")</f>
        <v/>
      </c>
      <c r="BB747" s="4" t="str">
        <f>IFERROR(__xludf.DUMMYFUNCTION("""COMPUTED_VALUE"""),"")</f>
        <v/>
      </c>
      <c r="BC747" s="4" t="str">
        <f>IFERROR(__xludf.DUMMYFUNCTION("""COMPUTED_VALUE"""),"")</f>
        <v/>
      </c>
      <c r="BD747" s="4" t="str">
        <f>IFERROR(__xludf.DUMMYFUNCTION("""COMPUTED_VALUE"""),"")</f>
        <v/>
      </c>
      <c r="BE747" s="4" t="str">
        <f>IFERROR(__xludf.DUMMYFUNCTION("""COMPUTED_VALUE"""),"")</f>
        <v/>
      </c>
      <c r="BF747" s="4" t="str">
        <f>IFERROR(__xludf.DUMMYFUNCTION("""COMPUTED_VALUE"""),"")</f>
        <v/>
      </c>
      <c r="BG747" s="4" t="str">
        <f>IFERROR(__xludf.DUMMYFUNCTION("""COMPUTED_VALUE"""),"")</f>
        <v/>
      </c>
      <c r="BH747" s="4" t="s">
        <v>63</v>
      </c>
      <c r="BI747" s="7" t="s">
        <v>63</v>
      </c>
    </row>
    <row r="748" hidden="1">
      <c r="A748" s="4" t="str">
        <f>IFERROR(__xludf.DUMMYFUNCTION("""COMPUTED_VALUE"""),"Dr Pizza")</f>
        <v>Dr Pizza</v>
      </c>
      <c r="B748" s="4" t="str">
        <f>IFERROR(__xludf.DUMMYFUNCTION("""COMPUTED_VALUE"""),"Lídia Esteves")</f>
        <v>Lídia Esteves</v>
      </c>
      <c r="C748" s="4" t="str">
        <f>IFERROR(__xludf.DUMMYFUNCTION("""COMPUTED_VALUE"""),"Gabriela Roma")</f>
        <v>Gabriela Roma</v>
      </c>
      <c r="D748" s="4" t="str">
        <f>IFERROR(__xludf.DUMMYFUNCTION("""COMPUTED_VALUE"""),"2. Primeiro Contato com a marca")</f>
        <v>2. Primeiro Contato com a marca</v>
      </c>
      <c r="E748" s="4" t="str">
        <f>IFERROR(__xludf.DUMMYFUNCTION("""COMPUTED_VALUE"""),"Parceiro - Aguardando retorno parceiro")</f>
        <v>Parceiro - Aguardando retorno parceiro</v>
      </c>
      <c r="F748" s="4" t="str">
        <f>IFERROR(__xludf.DUMMYFUNCTION("""COMPUTED_VALUE"""),"P")</f>
        <v>P</v>
      </c>
      <c r="G748" s="5">
        <f>IFERROR(__xludf.DUMMYFUNCTION("""COMPUTED_VALUE"""),46139.0)</f>
        <v>46139</v>
      </c>
      <c r="H748" s="4" t="str">
        <f>IFERROR(__xludf.DUMMYFUNCTION("""COMPUTED_VALUE"""),"cliente ainda nao conseguiu disponibilizar uma data pra apresentar, delivery apoiando")</f>
        <v>cliente ainda nao conseguiu disponibilizar uma data pra apresentar, delivery apoiando</v>
      </c>
      <c r="I748" s="6">
        <f>IFERROR(__xludf.DUMMYFUNCTION("""COMPUTED_VALUE"""),46139.724796932875)</f>
        <v>46139.7248</v>
      </c>
      <c r="J748" s="6">
        <f>IFERROR(__xludf.DUMMYFUNCTION("""COMPUTED_VALUE"""),46139.73748560185)</f>
        <v>46139.73749</v>
      </c>
      <c r="K748" s="4"/>
      <c r="L748" s="4"/>
      <c r="M748" s="4"/>
      <c r="N748" s="4"/>
      <c r="O748" s="4"/>
      <c r="P748" s="4"/>
      <c r="Q748" s="4"/>
      <c r="R748" s="4"/>
      <c r="S748" s="4"/>
      <c r="T748" s="4"/>
      <c r="U748" s="4"/>
      <c r="V748" s="4"/>
      <c r="W748" s="4"/>
      <c r="X748" s="4"/>
      <c r="Y748" s="4"/>
      <c r="Z748" s="4"/>
      <c r="AA748" s="4">
        <f>IFERROR(__xludf.DUMMYFUNCTION("""COMPUTED_VALUE"""),5.0)</f>
        <v>5</v>
      </c>
      <c r="AB748" s="4" t="str">
        <f>IFERROR(__xludf.DUMMYFUNCTION("""COMPUTED_VALUE"""),"Não")</f>
        <v>Não</v>
      </c>
      <c r="AC748" s="4" t="str">
        <f>IFERROR(__xludf.DUMMYFUNCTION("""COMPUTED_VALUE"""),"Sim")</f>
        <v>Sim</v>
      </c>
      <c r="AD748" s="4"/>
      <c r="AE748" s="4"/>
      <c r="AF748" s="4"/>
      <c r="AG748" s="4"/>
      <c r="AH748" s="4"/>
      <c r="AI748" s="4"/>
      <c r="AJ748" s="4"/>
      <c r="AK748" s="4"/>
      <c r="AL748" s="4"/>
      <c r="AM748" s="4" t="str">
        <f>IFERROR(__xludf.DUMMYFUNCTION("""COMPUTED_VALUE"""),"FY27")</f>
        <v>FY27</v>
      </c>
      <c r="AN748" s="4"/>
      <c r="AO748" s="4">
        <f>IFERROR(__xludf.DUMMYFUNCTION("""COMPUTED_VALUE"""),76.0)</f>
        <v>76</v>
      </c>
      <c r="AP748" s="4"/>
      <c r="AQ748" s="4"/>
      <c r="AR748" s="4"/>
      <c r="AS748" s="4"/>
      <c r="AT748" s="4"/>
      <c r="AU748" s="4"/>
      <c r="AV748" s="4">
        <f>IFERROR(__xludf.DUMMYFUNCTION("""COMPUTED_VALUE"""),0.0)</f>
        <v>0</v>
      </c>
      <c r="AW748" s="4">
        <f>IFERROR(__xludf.DUMMYFUNCTION("""COMPUTED_VALUE"""),0.0)</f>
        <v>0</v>
      </c>
      <c r="AX748" s="4">
        <f>IFERROR(__xludf.DUMMYFUNCTION("""COMPUTED_VALUE"""),0.0)</f>
        <v>0</v>
      </c>
      <c r="AY748" s="4">
        <f>IFERROR(__xludf.DUMMYFUNCTION("""COMPUTED_VALUE"""),0.0)</f>
        <v>0</v>
      </c>
      <c r="AZ748" s="4" t="str">
        <f>IFERROR(__xludf.DUMMYFUNCTION("""COMPUTED_VALUE"""),"NA")</f>
        <v>NA</v>
      </c>
      <c r="BA748" s="4" t="str">
        <f>IFERROR(__xludf.DUMMYFUNCTION("""COMPUTED_VALUE"""),"")</f>
        <v/>
      </c>
      <c r="BB748" s="4" t="str">
        <f>IFERROR(__xludf.DUMMYFUNCTION("""COMPUTED_VALUE"""),"")</f>
        <v/>
      </c>
      <c r="BC748" s="4" t="str">
        <f>IFERROR(__xludf.DUMMYFUNCTION("""COMPUTED_VALUE"""),"")</f>
        <v/>
      </c>
      <c r="BD748" s="4" t="str">
        <f>IFERROR(__xludf.DUMMYFUNCTION("""COMPUTED_VALUE"""),"")</f>
        <v/>
      </c>
      <c r="BE748" s="4" t="str">
        <f>IFERROR(__xludf.DUMMYFUNCTION("""COMPUTED_VALUE"""),"")</f>
        <v/>
      </c>
      <c r="BF748" s="4" t="str">
        <f>IFERROR(__xludf.DUMMYFUNCTION("""COMPUTED_VALUE"""),"")</f>
        <v/>
      </c>
      <c r="BG748" s="4" t="str">
        <f>IFERROR(__xludf.DUMMYFUNCTION("""COMPUTED_VALUE"""),"")</f>
        <v/>
      </c>
      <c r="BH748" s="4" t="s">
        <v>126</v>
      </c>
      <c r="BI748" s="7">
        <v>0.25</v>
      </c>
    </row>
    <row r="749" hidden="1">
      <c r="A749" s="4" t="str">
        <f>IFERROR(__xludf.DUMMYFUNCTION("""COMPUTED_VALUE"""),"Mariposa")</f>
        <v>Mariposa</v>
      </c>
      <c r="B749" s="4" t="str">
        <f>IFERROR(__xludf.DUMMYFUNCTION("""COMPUTED_VALUE"""),"João Biagiotti")</f>
        <v>João Biagiotti</v>
      </c>
      <c r="C749" s="4" t="str">
        <f>IFERROR(__xludf.DUMMYFUNCTION("""COMPUTED_VALUE"""),"Diego Santos")</f>
        <v>Diego Santos</v>
      </c>
      <c r="D749" s="4" t="str">
        <f>IFERROR(__xludf.DUMMYFUNCTION("""COMPUTED_VALUE"""),"2. Primeiro Contato com a marca")</f>
        <v>2. Primeiro Contato com a marca</v>
      </c>
      <c r="E749" s="4" t="str">
        <f>IFERROR(__xludf.DUMMYFUNCTION("""COMPUTED_VALUE"""),"Comercial - Contato realizado com parceiro")</f>
        <v>Comercial - Contato realizado com parceiro</v>
      </c>
      <c r="F749" s="4" t="str">
        <f>IFERROR(__xludf.DUMMYFUNCTION("""COMPUTED_VALUE"""),"P")</f>
        <v>P</v>
      </c>
      <c r="G749" s="5">
        <f>IFERROR(__xludf.DUMMYFUNCTION("""COMPUTED_VALUE"""),46153.0)</f>
        <v>46153</v>
      </c>
      <c r="H749" s="4" t="str">
        <f>IFERROR(__xludf.DUMMYFUNCTION("""COMPUTED_VALUE"""),"Estou em conversa com a Debora para agendarmos uma reuniao de apresentação, informou que ja passou as infos para a Mari ")</f>
        <v>Estou em conversa com a Debora para agendarmos uma reuniao de apresentação, informou que ja passou as infos para a Mari </v>
      </c>
      <c r="I749" s="6">
        <f>IFERROR(__xludf.DUMMYFUNCTION("""COMPUTED_VALUE"""),46136.42563061343)</f>
        <v>46136.42563</v>
      </c>
      <c r="J749" s="6">
        <f>IFERROR(__xludf.DUMMYFUNCTION("""COMPUTED_VALUE"""),46153.67299806713)</f>
        <v>46153.673</v>
      </c>
      <c r="K749" s="4"/>
      <c r="L749" s="4"/>
      <c r="M749" s="4"/>
      <c r="N749" s="4"/>
      <c r="O749" s="4"/>
      <c r="P749" s="4"/>
      <c r="Q749" s="4"/>
      <c r="R749" s="4"/>
      <c r="S749" s="4"/>
      <c r="T749" s="4"/>
      <c r="U749" s="4"/>
      <c r="V749" s="4"/>
      <c r="W749" s="4"/>
      <c r="X749" s="4"/>
      <c r="Y749" s="4"/>
      <c r="Z749" s="4"/>
      <c r="AA749" s="4">
        <f>IFERROR(__xludf.DUMMYFUNCTION("""COMPUTED_VALUE"""),11.0)</f>
        <v>11</v>
      </c>
      <c r="AB749" s="4" t="str">
        <f>IFERROR(__xludf.DUMMYFUNCTION("""COMPUTED_VALUE"""),"Não")</f>
        <v>Não</v>
      </c>
      <c r="AC749" s="4" t="str">
        <f>IFERROR(__xludf.DUMMYFUNCTION("""COMPUTED_VALUE"""),"Não")</f>
        <v>Não</v>
      </c>
      <c r="AD749" s="4" t="str">
        <f>IFERROR(__xludf.DUMMYFUNCTION("""COMPUTED_VALUE"""),"Sem informações")</f>
        <v>Sem informações</v>
      </c>
      <c r="AE749" s="4"/>
      <c r="AF749" s="4"/>
      <c r="AG749" s="4"/>
      <c r="AH749" s="4"/>
      <c r="AI749" s="4"/>
      <c r="AJ749" s="4"/>
      <c r="AK749" s="4"/>
      <c r="AL749" s="4"/>
      <c r="AM749" s="4" t="str">
        <f>IFERROR(__xludf.DUMMYFUNCTION("""COMPUTED_VALUE"""),"FY27")</f>
        <v>FY27</v>
      </c>
      <c r="AN749" s="4"/>
      <c r="AO749" s="4">
        <f>IFERROR(__xludf.DUMMYFUNCTION("""COMPUTED_VALUE"""),62.0)</f>
        <v>62</v>
      </c>
      <c r="AP749" s="4"/>
      <c r="AQ749" s="4"/>
      <c r="AR749" s="4"/>
      <c r="AS749" s="4"/>
      <c r="AT749" s="4"/>
      <c r="AU749" s="4"/>
      <c r="AV749" s="4">
        <f>IFERROR(__xludf.DUMMYFUNCTION("""COMPUTED_VALUE"""),0.0)</f>
        <v>0</v>
      </c>
      <c r="AW749" s="4">
        <f>IFERROR(__xludf.DUMMYFUNCTION("""COMPUTED_VALUE"""),0.0)</f>
        <v>0</v>
      </c>
      <c r="AX749" s="4">
        <f>IFERROR(__xludf.DUMMYFUNCTION("""COMPUTED_VALUE"""),0.0)</f>
        <v>0</v>
      </c>
      <c r="AY749" s="4">
        <f>IFERROR(__xludf.DUMMYFUNCTION("""COMPUTED_VALUE"""),0.0)</f>
        <v>0</v>
      </c>
      <c r="AZ749" s="4" t="str">
        <f>IFERROR(__xludf.DUMMYFUNCTION("""COMPUTED_VALUE"""),"Brasileira")</f>
        <v>Brasileira</v>
      </c>
      <c r="BA749" s="4" t="str">
        <f>IFERROR(__xludf.DUMMYFUNCTION("""COMPUTED_VALUE"""),"")</f>
        <v/>
      </c>
      <c r="BB749" s="4" t="str">
        <f>IFERROR(__xludf.DUMMYFUNCTION("""COMPUTED_VALUE"""),"")</f>
        <v/>
      </c>
      <c r="BC749" s="4" t="str">
        <f>IFERROR(__xludf.DUMMYFUNCTION("""COMPUTED_VALUE"""),"")</f>
        <v/>
      </c>
      <c r="BD749" s="4" t="str">
        <f>IFERROR(__xludf.DUMMYFUNCTION("""COMPUTED_VALUE"""),"")</f>
        <v/>
      </c>
      <c r="BE749" s="4" t="str">
        <f>IFERROR(__xludf.DUMMYFUNCTION("""COMPUTED_VALUE"""),"")</f>
        <v/>
      </c>
      <c r="BF749" s="4" t="str">
        <f>IFERROR(__xludf.DUMMYFUNCTION("""COMPUTED_VALUE"""),"")</f>
        <v/>
      </c>
      <c r="BG749" s="4" t="str">
        <f>IFERROR(__xludf.DUMMYFUNCTION("""COMPUTED_VALUE"""),"")</f>
        <v/>
      </c>
      <c r="BH749" s="4" t="s">
        <v>74</v>
      </c>
      <c r="BI749" s="7">
        <v>0.5</v>
      </c>
    </row>
    <row r="750" hidden="1">
      <c r="A750" s="4" t="str">
        <f>IFERROR(__xludf.DUMMYFUNCTION("""COMPUTED_VALUE"""),"Sala Vip")</f>
        <v>Sala Vip</v>
      </c>
      <c r="B750" s="4" t="str">
        <f>IFERROR(__xludf.DUMMYFUNCTION("""COMPUTED_VALUE"""),"João Biagiotti")</f>
        <v>João Biagiotti</v>
      </c>
      <c r="C750" s="4" t="str">
        <f>IFERROR(__xludf.DUMMYFUNCTION("""COMPUTED_VALUE"""),"Diego Santos")</f>
        <v>Diego Santos</v>
      </c>
      <c r="D750" s="4" t="str">
        <f>IFERROR(__xludf.DUMMYFUNCTION("""COMPUTED_VALUE"""),"2. Primeiro Contato com a marca")</f>
        <v>2. Primeiro Contato com a marca</v>
      </c>
      <c r="E750" s="4" t="str">
        <f>IFERROR(__xludf.DUMMYFUNCTION("""COMPUTED_VALUE"""),"Delivery - Conciliação agenda com parceiro")</f>
        <v>Delivery - Conciliação agenda com parceiro</v>
      </c>
      <c r="F750" s="4" t="str">
        <f>IFERROR(__xludf.DUMMYFUNCTION("""COMPUTED_VALUE"""),"P")</f>
        <v>P</v>
      </c>
      <c r="G750" s="5">
        <f>IFERROR(__xludf.DUMMYFUNCTION("""COMPUTED_VALUE"""),46136.0)</f>
        <v>46136</v>
      </c>
      <c r="H750" s="4" t="str">
        <f>IFERROR(__xludf.DUMMYFUNCTION("""COMPUTED_VALUE"""),"Em conversa com o delivery, ja foi abordado pela 3S, vamos agendar uma demo no escritorio para pode demonstrar o sistema")</f>
        <v>Em conversa com o delivery, ja foi abordado pela 3S, vamos agendar uma demo no escritorio para pode demonstrar o sistema</v>
      </c>
      <c r="I750" s="6">
        <f>IFERROR(__xludf.DUMMYFUNCTION("""COMPUTED_VALUE"""),46136.4249430787)</f>
        <v>46136.42494</v>
      </c>
      <c r="J750" s="6">
        <f>IFERROR(__xludf.DUMMYFUNCTION("""COMPUTED_VALUE"""),46136.42557295139)</f>
        <v>46136.42557</v>
      </c>
      <c r="K750" s="4"/>
      <c r="L750" s="4"/>
      <c r="M750" s="4"/>
      <c r="N750" s="4"/>
      <c r="O750" s="4"/>
      <c r="P750" s="4"/>
      <c r="Q750" s="4"/>
      <c r="R750" s="4"/>
      <c r="S750" s="4"/>
      <c r="T750" s="4"/>
      <c r="U750" s="4"/>
      <c r="V750" s="4" t="str">
        <f>IFERROR(__xludf.DUMMYFUNCTION("""COMPUTED_VALUE"""),"Sem interesse em mudar de PDV")</f>
        <v>Sem interesse em mudar de PDV</v>
      </c>
      <c r="W750" s="4"/>
      <c r="X750" s="4"/>
      <c r="Y750" s="4"/>
      <c r="Z750" s="4"/>
      <c r="AA750" s="4">
        <f>IFERROR(__xludf.DUMMYFUNCTION("""COMPUTED_VALUE"""),10.0)</f>
        <v>10</v>
      </c>
      <c r="AB750" s="4" t="str">
        <f>IFERROR(__xludf.DUMMYFUNCTION("""COMPUTED_VALUE"""),"NÃO")</f>
        <v>NÃO</v>
      </c>
      <c r="AC750" s="4" t="str">
        <f>IFERROR(__xludf.DUMMYFUNCTION("""COMPUTED_VALUE"""),"BP")</f>
        <v>BP</v>
      </c>
      <c r="AD750" s="4"/>
      <c r="AE750" s="4"/>
      <c r="AF750" s="4"/>
      <c r="AG750" s="4"/>
      <c r="AH750" s="4"/>
      <c r="AI750" s="4"/>
      <c r="AJ750" s="4"/>
      <c r="AK750" s="4"/>
      <c r="AL750" s="4"/>
      <c r="AM750" s="4" t="str">
        <f>IFERROR(__xludf.DUMMYFUNCTION("""COMPUTED_VALUE"""),"FY26, FY27")</f>
        <v>FY26, FY27</v>
      </c>
      <c r="AN750" s="4" t="str">
        <f>IFERROR(__xludf.DUMMYFUNCTION("""COMPUTED_VALUE"""),"Comer Fora")</f>
        <v>Comer Fora</v>
      </c>
      <c r="AO750" s="4">
        <f>IFERROR(__xludf.DUMMYFUNCTION("""COMPUTED_VALUE"""),61.0)</f>
        <v>61</v>
      </c>
      <c r="AP750" s="4" t="str">
        <f>IFERROR(__xludf.DUMMYFUNCTION("""COMPUTED_VALUE"""),"SP")</f>
        <v>SP</v>
      </c>
      <c r="AQ750" s="4" t="str">
        <f>IFERROR(__xludf.DUMMYFUNCTION("""COMPUTED_VALUE"""),"JULIA TAKEMOTO")</f>
        <v>JULIA TAKEMOTO</v>
      </c>
      <c r="AR750" s="4" t="str">
        <f>IFERROR(__xludf.DUMMYFUNCTION("""COMPUTED_VALUE"""),"ALINNE VALENTIM")</f>
        <v>ALINNE VALENTIM</v>
      </c>
      <c r="AS750" s="4" t="str">
        <f>IFERROR(__xludf.DUMMYFUNCTION("""COMPUTED_VALUE"""),"NATHALIE MERTENS")</f>
        <v>NATHALIE MERTENS</v>
      </c>
      <c r="AT750" s="4" t="str">
        <f>IFERROR(__xludf.DUMMYFUNCTION("""COMPUTED_VALUE"""),"MARIANA KATZ")</f>
        <v>MARIANA KATZ</v>
      </c>
      <c r="AU750" s="4" t="str">
        <f>IFERROR(__xludf.DUMMYFUNCTION("""COMPUTED_VALUE"""),"Ana")</f>
        <v>Ana</v>
      </c>
      <c r="AV750" s="4" t="str">
        <f>IFERROR(__xludf.DUMMYFUNCTION("""COMPUTED_VALUE"""),"Comer Fora-")</f>
        <v>Comer Fora-</v>
      </c>
      <c r="AW750" s="20" t="str">
        <f>IFERROR(__xludf.DUMMYFUNCTION("""COMPUTED_VALUE"""),"P e M - pipe")</f>
        <v>P e M - pipe</v>
      </c>
      <c r="AX750" s="4"/>
      <c r="AY750" s="4"/>
      <c r="AZ750" s="4" t="str">
        <f>IFERROR(__xludf.DUMMYFUNCTION("""COMPUTED_VALUE"""),"Italiana")</f>
        <v>Italiana</v>
      </c>
      <c r="BA750" s="4" t="str">
        <f>IFERROR(__xludf.DUMMYFUNCTION("""COMPUTED_VALUE"""),"Dado não disponível publicamente - Necessário Discovery")</f>
        <v>Dado não disponível publicamente - Necessário Discovery</v>
      </c>
      <c r="BB750" s="4" t="str">
        <f>IFERROR(__xludf.DUMMYFUNCTION("""COMPUTED_VALUE"""),"Pizzaria Multi-formato / Salão + Delivery (SP + Guarujá - 200 funcionários)")</f>
        <v>Pizzaria Multi-formato / Salão + Delivery (SP + Guarujá - 200 funcionários)</v>
      </c>
      <c r="BC750" s="4" t="str">
        <f>IFERROR(__xludf.DUMMYFUNCTION("""COMPUTED_VALUE"""),"São Paulo (Ipiranga, Moema, São Bernardo, São Caetano, Guarujá)")</f>
        <v>São Paulo (Ipiranga, Moema, São Bernardo, São Caetano, Guarujá)</v>
      </c>
      <c r="BD750" s="4" t="str">
        <f>IFERROR(__xludf.DUMMYFUNCTION("""COMPUTED_VALUE"""),"R$ 50-75")</f>
        <v>R$ 50-75</v>
      </c>
      <c r="BE750" s="4">
        <f>IFERROR(__xludf.DUMMYFUNCTION("""COMPUTED_VALUE"""),55.0)</f>
        <v>55</v>
      </c>
      <c r="BF750" s="4">
        <f>IFERROR(__xludf.DUMMYFUNCTION("""COMPUTED_VALUE"""),0.6)</f>
        <v>0.6</v>
      </c>
      <c r="BG750" s="4" t="str">
        <f>IFERROR(__xludf.DUMMYFUNCTION("""COMPUTED_VALUE"""),"Rede regional SP 13 unidades (salões + delivery). Multi-formato precisa E-DEPLOY padronização. Aderência média-alta.")</f>
        <v>Rede regional SP 13 unidades (salões + delivery). Multi-formato precisa E-DEPLOY padronização. Aderência média-alta.</v>
      </c>
      <c r="BH750" s="4" t="s">
        <v>74</v>
      </c>
      <c r="BI750" s="7">
        <v>1.0</v>
      </c>
    </row>
    <row r="751" hidden="1">
      <c r="A751" s="4" t="str">
        <f>IFERROR(__xludf.DUMMYFUNCTION("""COMPUTED_VALUE"""),"Greenjoy")</f>
        <v>Greenjoy</v>
      </c>
      <c r="B751" s="4" t="str">
        <f>IFERROR(__xludf.DUMMYFUNCTION("""COMPUTED_VALUE"""),"João Biagiotti")</f>
        <v>João Biagiotti</v>
      </c>
      <c r="C751" s="4" t="str">
        <f>IFERROR(__xludf.DUMMYFUNCTION("""COMPUTED_VALUE"""),"Diego Santos")</f>
        <v>Diego Santos</v>
      </c>
      <c r="D751" s="4" t="str">
        <f>IFERROR(__xludf.DUMMYFUNCTION("""COMPUTED_VALUE"""),"10. Perdido")</f>
        <v>10. Perdido</v>
      </c>
      <c r="E751" s="4" t="str">
        <f>IFERROR(__xludf.DUMMYFUNCTION("""COMPUTED_VALUE"""),"Delivery - Momento inadequado de abordagem (ex. 99)")</f>
        <v>Delivery - Momento inadequado de abordagem (ex. 99)</v>
      </c>
      <c r="F751" s="4" t="str">
        <f>IFERROR(__xludf.DUMMYFUNCTION("""COMPUTED_VALUE"""),"P")</f>
        <v>P</v>
      </c>
      <c r="G751" s="5">
        <f>IFERROR(__xludf.DUMMYFUNCTION("""COMPUTED_VALUE"""),46136.0)</f>
        <v>46136</v>
      </c>
      <c r="H751" s="4" t="str">
        <f>IFERROR(__xludf.DUMMYFUNCTION("""COMPUTED_VALUE"""),"Em contato com o time de delivery, informou que nao tem interesse em mudança de PDV e estão negociando Comer Fora")</f>
        <v>Em contato com o time de delivery, informou que nao tem interesse em mudança de PDV e estão negociando Comer Fora</v>
      </c>
      <c r="I751" s="6">
        <f>IFERROR(__xludf.DUMMYFUNCTION("""COMPUTED_VALUE"""),46136.42404534722)</f>
        <v>46136.42405</v>
      </c>
      <c r="J751" s="4"/>
      <c r="K751" s="4"/>
      <c r="L751" s="4"/>
      <c r="M751" s="4"/>
      <c r="N751" s="4"/>
      <c r="O751" s="4"/>
      <c r="P751" s="4"/>
      <c r="Q751" s="4"/>
      <c r="R751" s="6">
        <f>IFERROR(__xludf.DUMMYFUNCTION("""COMPUTED_VALUE"""),46136.42475277778)</f>
        <v>46136.42475</v>
      </c>
      <c r="S751" s="4"/>
      <c r="T751" s="4"/>
      <c r="U751" s="4"/>
      <c r="V751" s="4" t="str">
        <f>IFERROR(__xludf.DUMMYFUNCTION("""COMPUTED_VALUE"""),"Interesse apenas em Comer Fora")</f>
        <v>Interesse apenas em Comer Fora</v>
      </c>
      <c r="W751" s="4"/>
      <c r="X751" s="4"/>
      <c r="Y751" s="4"/>
      <c r="Z751" s="4"/>
      <c r="AA751" s="4">
        <f>IFERROR(__xludf.DUMMYFUNCTION("""COMPUTED_VALUE"""),10.0)</f>
        <v>10</v>
      </c>
      <c r="AB751" s="4" t="str">
        <f>IFERROR(__xludf.DUMMYFUNCTION("""COMPUTED_VALUE"""),"NÃO")</f>
        <v>NÃO</v>
      </c>
      <c r="AC751" s="4" t="str">
        <f>IFERROR(__xludf.DUMMYFUNCTION("""COMPUTED_VALUE"""),"BP")</f>
        <v>BP</v>
      </c>
      <c r="AD751" s="4"/>
      <c r="AE751" s="4"/>
      <c r="AF751" s="4"/>
      <c r="AG751" s="4"/>
      <c r="AH751" s="4"/>
      <c r="AI751" s="4"/>
      <c r="AJ751" s="4"/>
      <c r="AK751" s="4"/>
      <c r="AL751" s="4"/>
      <c r="AM751" s="4" t="str">
        <f>IFERROR(__xludf.DUMMYFUNCTION("""COMPUTED_VALUE"""),"FY26")</f>
        <v>FY26</v>
      </c>
      <c r="AN751" s="4" t="str">
        <f>IFERROR(__xludf.DUMMYFUNCTION("""COMPUTED_VALUE"""),"Comer Fora")</f>
        <v>Comer Fora</v>
      </c>
      <c r="AO751" s="4">
        <f>IFERROR(__xludf.DUMMYFUNCTION("""COMPUTED_VALUE"""),49.0)</f>
        <v>49</v>
      </c>
      <c r="AP751" s="4" t="str">
        <f>IFERROR(__xludf.DUMMYFUNCTION("""COMPUTED_VALUE"""),"SP")</f>
        <v>SP</v>
      </c>
      <c r="AQ751" s="4" t="str">
        <f>IFERROR(__xludf.DUMMYFUNCTION("""COMPUTED_VALUE"""),"JULIA TAKEMOTO")</f>
        <v>JULIA TAKEMOTO</v>
      </c>
      <c r="AR751" s="4" t="str">
        <f>IFERROR(__xludf.DUMMYFUNCTION("""COMPUTED_VALUE"""),"ALINNE VALENTIM")</f>
        <v>ALINNE VALENTIM</v>
      </c>
      <c r="AS751" s="4" t="str">
        <f>IFERROR(__xludf.DUMMYFUNCTION("""COMPUTED_VALUE"""),"NATHALIE MERTENS")</f>
        <v>NATHALIE MERTENS</v>
      </c>
      <c r="AT751" s="4" t="str">
        <f>IFERROR(__xludf.DUMMYFUNCTION("""COMPUTED_VALUE"""),"MARIANA KATZ")</f>
        <v>MARIANA KATZ</v>
      </c>
      <c r="AU751" s="4" t="str">
        <f>IFERROR(__xludf.DUMMYFUNCTION("""COMPUTED_VALUE"""),"Diego")</f>
        <v>Diego</v>
      </c>
      <c r="AV751" s="4" t="str">
        <f>IFERROR(__xludf.DUMMYFUNCTION("""COMPUTED_VALUE"""),"Comer Fora-Ativo na vitrine")</f>
        <v>Comer Fora-Ativo na vitrine</v>
      </c>
      <c r="AW751" s="20" t="str">
        <f>IFERROR(__xludf.DUMMYFUNCTION("""COMPUTED_VALUE"""),"P e M - pipe")</f>
        <v>P e M - pipe</v>
      </c>
      <c r="AX751" s="4"/>
      <c r="AY751" s="4"/>
      <c r="AZ751" s="4" t="str">
        <f>IFERROR(__xludf.DUMMYFUNCTION("""COMPUTED_VALUE"""),"Saudável")</f>
        <v>Saudável</v>
      </c>
      <c r="BA751" s="4">
        <f>IFERROR(__xludf.DUMMYFUNCTION("""COMPUTED_VALUE"""),65.0)</f>
        <v>65</v>
      </c>
      <c r="BB751" s="4" t="str">
        <f>IFERROR(__xludf.DUMMYFUNCTION("""COMPUTED_VALUE"""),"Fast Casual - Multi-conceito")</f>
        <v>Fast Casual - Multi-conceito</v>
      </c>
      <c r="BC751" s="4" t="str">
        <f>IFERROR(__xludf.DUMMYFUNCTION("""COMPUTED_VALUE"""),"Nacional")</f>
        <v>Nacional</v>
      </c>
      <c r="BD751" s="4" t="str">
        <f>IFERROR(__xludf.DUMMYFUNCTION("""COMPUTED_VALUE"""),"Dado não disponível publicamente - Necessário Discovery")</f>
        <v>Dado não disponível publicamente - Necessário Discovery</v>
      </c>
      <c r="BE751" s="4">
        <f>IFERROR(__xludf.DUMMYFUNCTION("""COMPUTED_VALUE"""),65.0)</f>
        <v>65</v>
      </c>
      <c r="BF751" s="4">
        <f>IFERROR(__xludf.DUMMYFUNCTION("""COMPUTED_VALUE"""),0.75)</f>
        <v>0.75</v>
      </c>
      <c r="BG75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BH751" s="4" t="s">
        <v>63</v>
      </c>
      <c r="BI751" s="7" t="s">
        <v>63</v>
      </c>
    </row>
    <row r="752" hidden="1">
      <c r="A752" s="4" t="str">
        <f>IFERROR(__xludf.DUMMYFUNCTION("""COMPUTED_VALUE"""),"Sherbi's ")</f>
        <v>Sherbi's </v>
      </c>
      <c r="B752" s="4" t="str">
        <f>IFERROR(__xludf.DUMMYFUNCTION("""COMPUTED_VALUE"""),"Lídia Esteves")</f>
        <v>Lídia Esteves</v>
      </c>
      <c r="C752" s="4" t="str">
        <f>IFERROR(__xludf.DUMMYFUNCTION("""COMPUTED_VALUE"""),"Gabriela Roma")</f>
        <v>Gabriela Roma</v>
      </c>
      <c r="D752" s="4" t="str">
        <f>IFERROR(__xludf.DUMMYFUNCTION("""COMPUTED_VALUE"""),"9. Contrato assinado")</f>
        <v>9. Contrato assinado</v>
      </c>
      <c r="E752" s="4" t="str">
        <f>IFERROR(__xludf.DUMMYFUNCTION("""COMPUTED_VALUE""")," Projetos - Contrato assinado &amp; Rollout")</f>
        <v> Projetos - Contrato assinado &amp; Rollout</v>
      </c>
      <c r="F752" s="4" t="str">
        <f>IFERROR(__xludf.DUMMYFUNCTION("""COMPUTED_VALUE"""),"P")</f>
        <v>P</v>
      </c>
      <c r="G752" s="4"/>
      <c r="H752" s="4"/>
      <c r="I752" s="6">
        <f>IFERROR(__xludf.DUMMYFUNCTION("""COMPUTED_VALUE"""),46111.0)</f>
        <v>46111</v>
      </c>
      <c r="J752" s="6">
        <f>IFERROR(__xludf.DUMMYFUNCTION("""COMPUTED_VALUE"""),46111.0)</f>
        <v>46111</v>
      </c>
      <c r="K752" s="6">
        <f>IFERROR(__xludf.DUMMYFUNCTION("""COMPUTED_VALUE"""),46111.0)</f>
        <v>46111</v>
      </c>
      <c r="L752" s="6">
        <f>IFERROR(__xludf.DUMMYFUNCTION("""COMPUTED_VALUE"""),46111.0)</f>
        <v>46111</v>
      </c>
      <c r="M752" s="6">
        <f>IFERROR(__xludf.DUMMYFUNCTION("""COMPUTED_VALUE"""),46111.0)</f>
        <v>46111</v>
      </c>
      <c r="N752" s="6">
        <f>IFERROR(__xludf.DUMMYFUNCTION("""COMPUTED_VALUE"""),46112.0)</f>
        <v>46112</v>
      </c>
      <c r="O752" s="4"/>
      <c r="P752" s="6">
        <f>IFERROR(__xludf.DUMMYFUNCTION("""COMPUTED_VALUE"""),46139.38786166666)</f>
        <v>46139.38786</v>
      </c>
      <c r="Q752" s="6">
        <f>IFERROR(__xludf.DUMMYFUNCTION("""COMPUTED_VALUE"""),46139.38792545139)</f>
        <v>46139.38793</v>
      </c>
      <c r="R752" s="4"/>
      <c r="S752" s="4"/>
      <c r="T752" s="4"/>
      <c r="U752" s="4"/>
      <c r="V752" s="4"/>
      <c r="W752" s="8">
        <f>IFERROR(__xludf.DUMMYFUNCTION("""COMPUTED_VALUE"""),560.0)</f>
        <v>560</v>
      </c>
      <c r="X752" s="4">
        <f>IFERROR(__xludf.DUMMYFUNCTION("""COMPUTED_VALUE"""),48.0)</f>
        <v>48</v>
      </c>
      <c r="Y752" s="8">
        <f>IFERROR(__xludf.DUMMYFUNCTION("""COMPUTED_VALUE"""),3000.0)</f>
        <v>3000</v>
      </c>
      <c r="Z752" s="8">
        <f>IFERROR(__xludf.DUMMYFUNCTION("""COMPUTED_VALUE"""),0.0)</f>
        <v>0</v>
      </c>
      <c r="AA752" s="4">
        <f>IFERROR(__xludf.DUMMYFUNCTION("""COMPUTED_VALUE"""),2.0)</f>
        <v>2</v>
      </c>
      <c r="AB752" s="4" t="str">
        <f>IFERROR(__xludf.DUMMYFUNCTION("""COMPUTED_VALUE"""),"Não")</f>
        <v>Não</v>
      </c>
      <c r="AC752" s="4" t="str">
        <f>IFERROR(__xludf.DUMMYFUNCTION("""COMPUTED_VALUE"""),"Não")</f>
        <v>Não</v>
      </c>
      <c r="AD752" s="4" t="str">
        <f>IFERROR(__xludf.DUMMYFUNCTION("""COMPUTED_VALUE"""),"ecletica")</f>
        <v>ecletica</v>
      </c>
      <c r="AE752" s="4"/>
      <c r="AF752" s="4"/>
      <c r="AG752" s="4"/>
      <c r="AH752" s="4"/>
      <c r="AI752" s="4">
        <f>IFERROR(__xludf.DUMMYFUNCTION("""COMPUTED_VALUE"""),0.0)</f>
        <v>0</v>
      </c>
      <c r="AJ752" s="4" t="str">
        <f>IFERROR(__xludf.DUMMYFUNCTION("""COMPUTED_VALUE"""),"ecletica")</f>
        <v>ecletica</v>
      </c>
      <c r="AK752" s="4" t="str">
        <f>IFERROR(__xludf.DUMMYFUNCTION("""COMPUTED_VALUE"""),"table service")</f>
        <v>table service</v>
      </c>
      <c r="AL752" s="4" t="str">
        <f>IFERROR(__xludf.DUMMYFUNCTION("""COMPUTED_VALUE"""),"SIM")</f>
        <v>SIM</v>
      </c>
      <c r="AM752" s="4" t="str">
        <f>IFERROR(__xludf.DUMMYFUNCTION("""COMPUTED_VALUE"""),"FY27")</f>
        <v>FY27</v>
      </c>
      <c r="AN752" s="4"/>
      <c r="AO752" s="4">
        <f>IFERROR(__xludf.DUMMYFUNCTION("""COMPUTED_VALUE"""),45553.0)</f>
        <v>45553</v>
      </c>
      <c r="AP752" s="4"/>
      <c r="AQ752" s="4"/>
      <c r="AR752" s="4"/>
      <c r="AS752" s="4"/>
      <c r="AT752" s="4"/>
      <c r="AU752" s="4"/>
      <c r="AV752" s="4">
        <f>IFERROR(__xludf.DUMMYFUNCTION("""COMPUTED_VALUE"""),0.0)</f>
        <v>0</v>
      </c>
      <c r="AW752" s="4">
        <f>IFERROR(__xludf.DUMMYFUNCTION("""COMPUTED_VALUE"""),0.0)</f>
        <v>0</v>
      </c>
      <c r="AX752" s="4">
        <f>IFERROR(__xludf.DUMMYFUNCTION("""COMPUTED_VALUE"""),0.0)</f>
        <v>0</v>
      </c>
      <c r="AY752" s="4">
        <f>IFERROR(__xludf.DUMMYFUNCTION("""COMPUTED_VALUE"""),0.0)</f>
        <v>0</v>
      </c>
      <c r="AZ752" s="4">
        <f>IFERROR(__xludf.DUMMYFUNCTION("""COMPUTED_VALUE"""),0.0)</f>
        <v>0</v>
      </c>
      <c r="BA752" s="4" t="str">
        <f>IFERROR(__xludf.DUMMYFUNCTION("""COMPUTED_VALUE"""),"")</f>
        <v/>
      </c>
      <c r="BB752" s="4" t="str">
        <f>IFERROR(__xludf.DUMMYFUNCTION("""COMPUTED_VALUE"""),"")</f>
        <v/>
      </c>
      <c r="BC752" s="4" t="str">
        <f>IFERROR(__xludf.DUMMYFUNCTION("""COMPUTED_VALUE"""),"")</f>
        <v/>
      </c>
      <c r="BD752" s="4" t="str">
        <f>IFERROR(__xludf.DUMMYFUNCTION("""COMPUTED_VALUE"""),"")</f>
        <v/>
      </c>
      <c r="BE752" s="4" t="str">
        <f>IFERROR(__xludf.DUMMYFUNCTION("""COMPUTED_VALUE"""),"")</f>
        <v/>
      </c>
      <c r="BF752" s="4" t="str">
        <f>IFERROR(__xludf.DUMMYFUNCTION("""COMPUTED_VALUE"""),"")</f>
        <v/>
      </c>
      <c r="BG752" s="4" t="str">
        <f>IFERROR(__xludf.DUMMYFUNCTION("""COMPUTED_VALUE"""),"")</f>
        <v/>
      </c>
      <c r="BH752" s="4" t="s">
        <v>63</v>
      </c>
      <c r="BI752" s="7" t="s">
        <v>63</v>
      </c>
    </row>
    <row r="753" hidden="1">
      <c r="A753" s="4" t="str">
        <f>IFERROR(__xludf.DUMMYFUNCTION("""COMPUTED_VALUE"""),"BLEM PADARIA PORTUGUESA")</f>
        <v>BLEM PADARIA PORTUGUESA</v>
      </c>
      <c r="B753" s="4" t="str">
        <f>IFERROR(__xludf.DUMMYFUNCTION("""COMPUTED_VALUE"""),"João Biagiotti")</f>
        <v>João Biagiotti</v>
      </c>
      <c r="C753" s="4" t="str">
        <f>IFERROR(__xludf.DUMMYFUNCTION("""COMPUTED_VALUE"""),"Diego Santos")</f>
        <v>Diego Santos</v>
      </c>
      <c r="D753" s="4" t="str">
        <f>IFERROR(__xludf.DUMMYFUNCTION("""COMPUTED_VALUE"""),"0. Não Iniciado")</f>
        <v>0. Não Iniciado</v>
      </c>
      <c r="E753" s="4"/>
      <c r="F753" s="4" t="str">
        <f>IFERROR(__xludf.DUMMYFUNCTION("""COMPUTED_VALUE"""),"M")</f>
        <v>M</v>
      </c>
      <c r="G753" s="4"/>
      <c r="H753" s="4"/>
      <c r="I753" s="4"/>
      <c r="J753" s="4"/>
      <c r="K753" s="4"/>
      <c r="L753" s="4"/>
      <c r="M753" s="4"/>
      <c r="N753" s="4"/>
      <c r="O753" s="4"/>
      <c r="P753" s="4"/>
      <c r="Q753" s="4"/>
      <c r="R753" s="4"/>
      <c r="S753" s="4"/>
      <c r="T753" s="4"/>
      <c r="U753" s="4"/>
      <c r="V753" s="4"/>
      <c r="W753" s="4"/>
      <c r="X753" s="4"/>
      <c r="Y753" s="4"/>
      <c r="Z753" s="4"/>
      <c r="AA753" s="4">
        <f>IFERROR(__xludf.DUMMYFUNCTION("""COMPUTED_VALUE"""),35.0)</f>
        <v>35</v>
      </c>
      <c r="AB753" s="4" t="str">
        <f>IFERROR(__xludf.DUMMYFUNCTION("""COMPUTED_VALUE"""),"Não")</f>
        <v>Não</v>
      </c>
      <c r="AC753" s="4" t="str">
        <f>IFERROR(__xludf.DUMMYFUNCTION("""COMPUTED_VALUE"""),"Não")</f>
        <v>Não</v>
      </c>
      <c r="AD753" s="4" t="str">
        <f>IFERROR(__xludf.DUMMYFUNCTION("""COMPUTED_VALUE"""),"GCOM")</f>
        <v>GCOM</v>
      </c>
      <c r="AE753" s="4"/>
      <c r="AF753" s="4"/>
      <c r="AG753" s="4"/>
      <c r="AH753" s="4"/>
      <c r="AI753" s="4"/>
      <c r="AJ753" s="4"/>
      <c r="AK753" s="4"/>
      <c r="AL753" s="4"/>
      <c r="AM753" s="4" t="str">
        <f>IFERROR(__xludf.DUMMYFUNCTION("""COMPUTED_VALUE"""),"FY27")</f>
        <v>FY27</v>
      </c>
      <c r="AN753" s="4" t="str">
        <f>IFERROR(__xludf.DUMMYFUNCTION("""COMPUTED_VALUE"""),"Comer Fora")</f>
        <v>Comer Fora</v>
      </c>
      <c r="AO753" s="4">
        <f>IFERROR(__xludf.DUMMYFUNCTION("""COMPUTED_VALUE"""),45553.0)</f>
        <v>45553</v>
      </c>
      <c r="AP753" s="4"/>
      <c r="AQ753" s="4"/>
      <c r="AR753" s="4"/>
      <c r="AS753" s="4"/>
      <c r="AT753" s="4"/>
      <c r="AU753" s="4"/>
      <c r="AV753" s="4" t="str">
        <f>IFERROR(__xludf.DUMMYFUNCTION("""COMPUTED_VALUE"""),"Comer Fora-")</f>
        <v>Comer Fora-</v>
      </c>
      <c r="AW753" s="4" t="str">
        <f>IFERROR(__xludf.DUMMYFUNCTION("""COMPUTED_VALUE"""),"G - pipe")</f>
        <v>G - pipe</v>
      </c>
      <c r="AX753" s="4" t="str">
        <f>IFERROR(__xludf.DUMMYFUNCTION("""COMPUTED_VALUE"""),"Base P1+P2")</f>
        <v>Base P1+P2</v>
      </c>
      <c r="AY753" s="4">
        <f>IFERROR(__xludf.DUMMYFUNCTION("""COMPUTED_VALUE"""),0.0)</f>
        <v>0</v>
      </c>
      <c r="AZ753" s="4" t="str">
        <f>IFERROR(__xludf.DUMMYFUNCTION("""COMPUTED_VALUE"""),"Portuguesa")</f>
        <v>Portuguesa</v>
      </c>
      <c r="BA753" s="4" t="str">
        <f>IFERROR(__xludf.DUMMYFUNCTION("""COMPUTED_VALUE"""),"")</f>
        <v/>
      </c>
      <c r="BB753" s="4" t="str">
        <f>IFERROR(__xludf.DUMMYFUNCTION("""COMPUTED_VALUE"""),"")</f>
        <v/>
      </c>
      <c r="BC753" s="4" t="str">
        <f>IFERROR(__xludf.DUMMYFUNCTION("""COMPUTED_VALUE"""),"")</f>
        <v/>
      </c>
      <c r="BD753" s="4" t="str">
        <f>IFERROR(__xludf.DUMMYFUNCTION("""COMPUTED_VALUE"""),"")</f>
        <v/>
      </c>
      <c r="BE753" s="4" t="str">
        <f>IFERROR(__xludf.DUMMYFUNCTION("""COMPUTED_VALUE"""),"")</f>
        <v/>
      </c>
      <c r="BF753" s="4" t="str">
        <f>IFERROR(__xludf.DUMMYFUNCTION("""COMPUTED_VALUE"""),"")</f>
        <v/>
      </c>
      <c r="BG753" s="4" t="str">
        <f>IFERROR(__xludf.DUMMYFUNCTION("""COMPUTED_VALUE"""),"")</f>
        <v/>
      </c>
      <c r="BH753" s="4" t="s">
        <v>64</v>
      </c>
      <c r="BI753" s="7">
        <v>0.7777777777777778</v>
      </c>
    </row>
    <row r="754" hidden="1">
      <c r="A754" s="4" t="str">
        <f>IFERROR(__xludf.DUMMYFUNCTION("""COMPUTED_VALUE"""),"DUCKBILL")</f>
        <v>DUCKBILL</v>
      </c>
      <c r="B754" s="4" t="str">
        <f>IFERROR(__xludf.DUMMYFUNCTION("""COMPUTED_VALUE"""),"Lídia Esteves")</f>
        <v>Lídia Esteves</v>
      </c>
      <c r="C754" s="4" t="str">
        <f>IFERROR(__xludf.DUMMYFUNCTION("""COMPUTED_VALUE"""),"Gabriela Roma")</f>
        <v>Gabriela Roma</v>
      </c>
      <c r="D754" s="4" t="str">
        <f>IFERROR(__xludf.DUMMYFUNCTION("""COMPUTED_VALUE"""),"0. Não Iniciado")</f>
        <v>0. Não Iniciado</v>
      </c>
      <c r="E754" s="4"/>
      <c r="F754" s="4" t="str">
        <f>IFERROR(__xludf.DUMMYFUNCTION("""COMPUTED_VALUE"""),"M")</f>
        <v>M</v>
      </c>
      <c r="G754" s="4"/>
      <c r="H754" s="4"/>
      <c r="I754" s="4"/>
      <c r="J754" s="4"/>
      <c r="K754" s="4"/>
      <c r="L754" s="4"/>
      <c r="M754" s="4"/>
      <c r="N754" s="4"/>
      <c r="O754" s="4"/>
      <c r="P754" s="4"/>
      <c r="Q754" s="4"/>
      <c r="R754" s="4"/>
      <c r="S754" s="4"/>
      <c r="T754" s="4"/>
      <c r="U754" s="4"/>
      <c r="V754" s="4"/>
      <c r="W754" s="4"/>
      <c r="X754" s="4"/>
      <c r="Y754" s="4"/>
      <c r="Z754" s="4"/>
      <c r="AA754" s="4">
        <f>IFERROR(__xludf.DUMMYFUNCTION("""COMPUTED_VALUE"""),30.0)</f>
        <v>30</v>
      </c>
      <c r="AB754" s="4" t="str">
        <f>IFERROR(__xludf.DUMMYFUNCTION("""COMPUTED_VALUE"""),"Não")</f>
        <v>Não</v>
      </c>
      <c r="AC754" s="4" t="str">
        <f>IFERROR(__xludf.DUMMYFUNCTION("""COMPUTED_VALUE"""),"Não")</f>
        <v>Não</v>
      </c>
      <c r="AD754" s="4" t="str">
        <f>IFERROR(__xludf.DUMMYFUNCTION("""COMPUTED_VALUE"""),"Stone Co.")</f>
        <v>Stone Co.</v>
      </c>
      <c r="AE754" s="4"/>
      <c r="AF754" s="4"/>
      <c r="AG754" s="4"/>
      <c r="AH754" s="4"/>
      <c r="AI754" s="4"/>
      <c r="AJ754" s="4"/>
      <c r="AK754" s="4"/>
      <c r="AL754" s="4"/>
      <c r="AM754" s="4" t="str">
        <f>IFERROR(__xludf.DUMMYFUNCTION("""COMPUTED_VALUE"""),"FY27")</f>
        <v>FY27</v>
      </c>
      <c r="AN754" s="4" t="str">
        <f>IFERROR(__xludf.DUMMYFUNCTION("""COMPUTED_VALUE"""),"Comer Fora")</f>
        <v>Comer Fora</v>
      </c>
      <c r="AO754" s="4">
        <f>IFERROR(__xludf.DUMMYFUNCTION("""COMPUTED_VALUE"""),45553.0)</f>
        <v>45553</v>
      </c>
      <c r="AP754" s="4"/>
      <c r="AQ754" s="4"/>
      <c r="AR754" s="4"/>
      <c r="AS754" s="4"/>
      <c r="AT754" s="4"/>
      <c r="AU754" s="4"/>
      <c r="AV754" s="4" t="str">
        <f>IFERROR(__xludf.DUMMYFUNCTION("""COMPUTED_VALUE"""),"Comer Fora-")</f>
        <v>Comer Fora-</v>
      </c>
      <c r="AW754" s="4" t="str">
        <f>IFERROR(__xludf.DUMMYFUNCTION("""COMPUTED_VALUE"""),"P e M - pipe")</f>
        <v>P e M - pipe</v>
      </c>
      <c r="AX754" s="4"/>
      <c r="AY754" s="4">
        <f>IFERROR(__xludf.DUMMYFUNCTION("""COMPUTED_VALUE"""),0.0)</f>
        <v>0</v>
      </c>
      <c r="AZ754" s="4" t="str">
        <f>IFERROR(__xludf.DUMMYFUNCTION("""COMPUTED_VALUE"""),"Doces &amp; Bolos")</f>
        <v>Doces &amp; Bolos</v>
      </c>
      <c r="BA754" s="4" t="str">
        <f>IFERROR(__xludf.DUMMYFUNCTION("""COMPUTED_VALUE"""),"")</f>
        <v/>
      </c>
      <c r="BB754" s="4" t="str">
        <f>IFERROR(__xludf.DUMMYFUNCTION("""COMPUTED_VALUE"""),"")</f>
        <v/>
      </c>
      <c r="BC754" s="4" t="str">
        <f>IFERROR(__xludf.DUMMYFUNCTION("""COMPUTED_VALUE"""),"")</f>
        <v/>
      </c>
      <c r="BD754" s="4" t="str">
        <f>IFERROR(__xludf.DUMMYFUNCTION("""COMPUTED_VALUE"""),"")</f>
        <v/>
      </c>
      <c r="BE754" s="4" t="str">
        <f>IFERROR(__xludf.DUMMYFUNCTION("""COMPUTED_VALUE"""),"")</f>
        <v/>
      </c>
      <c r="BF754" s="4" t="str">
        <f>IFERROR(__xludf.DUMMYFUNCTION("""COMPUTED_VALUE"""),"")</f>
        <v/>
      </c>
      <c r="BG754" s="4" t="str">
        <f>IFERROR(__xludf.DUMMYFUNCTION("""COMPUTED_VALUE"""),"")</f>
        <v/>
      </c>
      <c r="BH754" s="4" t="s">
        <v>72</v>
      </c>
      <c r="BI754" s="7">
        <v>0.6571428571428571</v>
      </c>
    </row>
    <row r="755" hidden="1">
      <c r="A755" s="4" t="str">
        <f>IFERROR(__xludf.DUMMYFUNCTION("""COMPUTED_VALUE"""),"Tammy Pastelaria")</f>
        <v>Tammy Pastelaria</v>
      </c>
      <c r="B755" s="4" t="str">
        <f>IFERROR(__xludf.DUMMYFUNCTION("""COMPUTED_VALUE"""),"João Biagiotti")</f>
        <v>João Biagiotti</v>
      </c>
      <c r="C755" s="4" t="str">
        <f>IFERROR(__xludf.DUMMYFUNCTION("""COMPUTED_VALUE"""),"Diego Santos")</f>
        <v>Diego Santos</v>
      </c>
      <c r="D755" s="4" t="str">
        <f>IFERROR(__xludf.DUMMYFUNCTION("""COMPUTED_VALUE"""),"5. Demo/Showroom")</f>
        <v>5. Demo/Showroom</v>
      </c>
      <c r="E755" s="4" t="str">
        <f>IFERROR(__xludf.DUMMYFUNCTION("""COMPUTED_VALUE"""),"Comercial - Primeira reunião / Visita presencial agendada")</f>
        <v>Comercial - Primeira reunião / Visita presencial agendada</v>
      </c>
      <c r="F755" s="4" t="str">
        <f>IFERROR(__xludf.DUMMYFUNCTION("""COMPUTED_VALUE"""),"P")</f>
        <v>P</v>
      </c>
      <c r="G755" s="10">
        <f>IFERROR(__xludf.DUMMYFUNCTION("""COMPUTED_VALUE"""),46156.0)</f>
        <v>46156</v>
      </c>
      <c r="H755" s="4" t="str">
        <f>IFERROR(__xludf.DUMMYFUNCTION("""COMPUTED_VALUE"""),"Foi realizada a apresentação de salão e 3S, parceiro demonstrou muito interesse e sanamos muitas dores, iremos realizar uma reunião para demonstrar o sistema")</f>
        <v>Foi realizada a apresentação de salão e 3S, parceiro demonstrou muito interesse e sanamos muitas dores, iremos realizar uma reunião para demonstrar o sistema</v>
      </c>
      <c r="I755" s="6">
        <f>IFERROR(__xludf.DUMMYFUNCTION("""COMPUTED_VALUE"""),46150.62715714121)</f>
        <v>46150.62716</v>
      </c>
      <c r="J755" s="6">
        <f>IFERROR(__xludf.DUMMYFUNCTION("""COMPUTED_VALUE"""),46150.62727001157)</f>
        <v>46150.62727</v>
      </c>
      <c r="K755" s="6">
        <f>IFERROR(__xludf.DUMMYFUNCTION("""COMPUTED_VALUE"""),46150.62728956019)</f>
        <v>46150.62729</v>
      </c>
      <c r="L755" s="6">
        <f>IFERROR(__xludf.DUMMYFUNCTION("""COMPUTED_VALUE"""),46156.39322744213)</f>
        <v>46156.39323</v>
      </c>
      <c r="M755" s="6">
        <f>IFERROR(__xludf.DUMMYFUNCTION("""COMPUTED_VALUE"""),46156.39409055556)</f>
        <v>46156.39409</v>
      </c>
      <c r="N755" s="4"/>
      <c r="O755" s="4"/>
      <c r="P755" s="4"/>
      <c r="Q755" s="4"/>
      <c r="R755" s="4"/>
      <c r="S755" s="4"/>
      <c r="T755" s="4"/>
      <c r="U755" s="4"/>
      <c r="V755" s="4"/>
      <c r="W755" s="4"/>
      <c r="X755" s="4"/>
      <c r="Y755" s="4"/>
      <c r="Z755" s="4"/>
      <c r="AA755" s="4">
        <f>IFERROR(__xludf.DUMMYFUNCTION("""COMPUTED_VALUE"""),5.0)</f>
        <v>5</v>
      </c>
      <c r="AB755" s="4" t="str">
        <f>IFERROR(__xludf.DUMMYFUNCTION("""COMPUTED_VALUE"""),"Não")</f>
        <v>Não</v>
      </c>
      <c r="AC755" s="4" t="str">
        <f>IFERROR(__xludf.DUMMYFUNCTION("""COMPUTED_VALUE"""),"Não")</f>
        <v>Não</v>
      </c>
      <c r="AD755" s="4" t="str">
        <f>IFERROR(__xludf.DUMMYFUNCTION("""COMPUTED_VALUE"""),"Tekinisa")</f>
        <v>Tekinisa</v>
      </c>
      <c r="AE755" s="4"/>
      <c r="AF755" s="4"/>
      <c r="AG755" s="4"/>
      <c r="AH755" s="4">
        <f>IFERROR(__xludf.DUMMYFUNCTION("""COMPUTED_VALUE"""),5.0)</f>
        <v>5</v>
      </c>
      <c r="AI755" s="25" t="str">
        <f>IFERROR(__xludf.DUMMYFUNCTION("""COMPUTED_VALUE"""),"800k")</f>
        <v>800k</v>
      </c>
      <c r="AJ755" s="4" t="str">
        <f>IFERROR(__xludf.DUMMYFUNCTION("""COMPUTED_VALUE"""),"Tecknisa / SWS")</f>
        <v>Tecknisa / SWS</v>
      </c>
      <c r="AK755" s="4" t="str">
        <f>IFERROR(__xludf.DUMMYFUNCTION("""COMPUTED_VALUE"""),"Salão / Delivery")</f>
        <v>Salão / Delivery</v>
      </c>
      <c r="AL755" s="4" t="str">
        <f>IFERROR(__xludf.DUMMYFUNCTION("""COMPUTED_VALUE"""),"SIM")</f>
        <v>SIM</v>
      </c>
      <c r="AM755" s="4" t="str">
        <f>IFERROR(__xludf.DUMMYFUNCTION("""COMPUTED_VALUE"""),"FY27")</f>
        <v>FY27</v>
      </c>
      <c r="AN755" s="4"/>
      <c r="AO755" s="4"/>
      <c r="AP755" s="4"/>
      <c r="AQ755" s="4"/>
      <c r="AR755" s="4"/>
      <c r="AS755" s="4"/>
      <c r="AT755" s="4"/>
      <c r="AU755" s="4"/>
      <c r="AV755" s="4"/>
      <c r="AW755" s="4"/>
      <c r="AX755" s="4"/>
      <c r="AY755" s="4"/>
      <c r="AZ755" s="4" t="str">
        <f>IFERROR(__xludf.DUMMYFUNCTION("""COMPUTED_VALUE"""),"NA")</f>
        <v>NA</v>
      </c>
      <c r="BA755" s="4" t="str">
        <f>IFERROR(__xludf.DUMMYFUNCTION("""COMPUTED_VALUE"""),"")</f>
        <v/>
      </c>
      <c r="BB755" s="4" t="str">
        <f>IFERROR(__xludf.DUMMYFUNCTION("""COMPUTED_VALUE"""),"")</f>
        <v/>
      </c>
      <c r="BC755" s="4" t="str">
        <f>IFERROR(__xludf.DUMMYFUNCTION("""COMPUTED_VALUE"""),"")</f>
        <v/>
      </c>
      <c r="BD755" s="4" t="str">
        <f>IFERROR(__xludf.DUMMYFUNCTION("""COMPUTED_VALUE"""),"")</f>
        <v/>
      </c>
      <c r="BE755" s="4" t="str">
        <f>IFERROR(__xludf.DUMMYFUNCTION("""COMPUTED_VALUE"""),"")</f>
        <v/>
      </c>
      <c r="BF755" s="4" t="str">
        <f>IFERROR(__xludf.DUMMYFUNCTION("""COMPUTED_VALUE"""),"")</f>
        <v/>
      </c>
      <c r="BG755" s="4" t="str">
        <f>IFERROR(__xludf.DUMMYFUNCTION("""COMPUTED_VALUE"""),"")</f>
        <v/>
      </c>
      <c r="BH755" s="4" t="s">
        <v>63</v>
      </c>
      <c r="BI755" s="7" t="s">
        <v>63</v>
      </c>
    </row>
    <row r="756" hidden="1">
      <c r="A756" s="4" t="str">
        <f>IFERROR(__xludf.DUMMYFUNCTION("""COMPUTED_VALUE"""),"Saj")</f>
        <v>Saj</v>
      </c>
      <c r="B756" s="4" t="str">
        <f>IFERROR(__xludf.DUMMYFUNCTION("""COMPUTED_VALUE"""),"João Biagiotti")</f>
        <v>João Biagiotti</v>
      </c>
      <c r="C756" s="4" t="str">
        <f>IFERROR(__xludf.DUMMYFUNCTION("""COMPUTED_VALUE"""),"Diego Santos")</f>
        <v>Diego Santos</v>
      </c>
      <c r="D756" s="4" t="str">
        <f>IFERROR(__xludf.DUMMYFUNCTION("""COMPUTED_VALUE"""),"2. Primeiro Contato com a marca")</f>
        <v>2. Primeiro Contato com a marca</v>
      </c>
      <c r="E756" s="4" t="str">
        <f>IFERROR(__xludf.DUMMYFUNCTION("""COMPUTED_VALUE"""),"Comercial - Contato realizado com parceiro")</f>
        <v>Comercial - Contato realizado com parceiro</v>
      </c>
      <c r="F756" s="4" t="str">
        <f>IFERROR(__xludf.DUMMYFUNCTION("""COMPUTED_VALUE"""),"P")</f>
        <v>P</v>
      </c>
      <c r="G756" s="5">
        <f>IFERROR(__xludf.DUMMYFUNCTION("""COMPUTED_VALUE"""),46154.0)</f>
        <v>46154</v>
      </c>
      <c r="H756" s="4" t="str">
        <f>IFERROR(__xludf.DUMMYFUNCTION("""COMPUTED_VALUE"""),"Estou em conversa com o Rodrigo para agendar uma reuniao ")</f>
        <v>Estou em conversa com o Rodrigo para agendar uma reuniao </v>
      </c>
      <c r="I756" s="6">
        <f>IFERROR(__xludf.DUMMYFUNCTION("""COMPUTED_VALUE"""),46154.595900925924)</f>
        <v>46154.5959</v>
      </c>
      <c r="J756" s="6">
        <f>IFERROR(__xludf.DUMMYFUNCTION("""COMPUTED_VALUE"""),46154.595935879624)</f>
        <v>46154.59594</v>
      </c>
      <c r="K756" s="4"/>
      <c r="L756" s="4"/>
      <c r="M756" s="4"/>
      <c r="N756" s="4"/>
      <c r="O756" s="4"/>
      <c r="P756" s="4"/>
      <c r="Q756" s="4"/>
      <c r="R756" s="4"/>
      <c r="S756" s="4"/>
      <c r="T756" s="4"/>
      <c r="U756" s="4"/>
      <c r="V756" s="4" t="str">
        <f>IFERROR(__xludf.DUMMYFUNCTION("""COMPUTED_VALUE"""),"Sem interesse em mudar de PDV")</f>
        <v>Sem interesse em mudar de PDV</v>
      </c>
      <c r="W756" s="4"/>
      <c r="X756" s="4"/>
      <c r="Y756" s="4"/>
      <c r="Z756" s="4"/>
      <c r="AA756" s="4">
        <f>IFERROR(__xludf.DUMMYFUNCTION("""COMPUTED_VALUE"""),6.0)</f>
        <v>6</v>
      </c>
      <c r="AB756" s="4" t="str">
        <f>IFERROR(__xludf.DUMMYFUNCTION("""COMPUTED_VALUE"""),"NÃO")</f>
        <v>NÃO</v>
      </c>
      <c r="AC756" s="4" t="str">
        <f>IFERROR(__xludf.DUMMYFUNCTION("""COMPUTED_VALUE"""),"BP")</f>
        <v>BP</v>
      </c>
      <c r="AD756" s="4"/>
      <c r="AE756" s="4"/>
      <c r="AF756" s="4"/>
      <c r="AG756" s="4"/>
      <c r="AH756" s="4"/>
      <c r="AI756" s="4"/>
      <c r="AJ756" s="4"/>
      <c r="AK756" s="4"/>
      <c r="AL756" s="4"/>
      <c r="AM756" s="4" t="str">
        <f>IFERROR(__xludf.DUMMYFUNCTION("""COMPUTED_VALUE"""),"FY26, FY27")</f>
        <v>FY26, FY27</v>
      </c>
      <c r="AN756" s="4" t="str">
        <f>IFERROR(__xludf.DUMMYFUNCTION("""COMPUTED_VALUE"""),"Comer Fora")</f>
        <v>Comer Fora</v>
      </c>
      <c r="AO756" s="4">
        <f>IFERROR(__xludf.DUMMYFUNCTION("""COMPUTED_VALUE"""),79.0)</f>
        <v>79</v>
      </c>
      <c r="AP756" s="4"/>
      <c r="AQ756" s="4"/>
      <c r="AR756" s="4"/>
      <c r="AS756" s="4" t="str">
        <f>IFERROR(__xludf.DUMMYFUNCTION("""COMPUTED_VALUE"""),"NATHALIE MERTENS")</f>
        <v>NATHALIE MERTENS</v>
      </c>
      <c r="AT756" s="4" t="str">
        <f>IFERROR(__xludf.DUMMYFUNCTION("""COMPUTED_VALUE"""),"MARIANA KATZ")</f>
        <v>MARIANA KATZ</v>
      </c>
      <c r="AU756" s="4" t="str">
        <f>IFERROR(__xludf.DUMMYFUNCTION("""COMPUTED_VALUE"""),"Ana")</f>
        <v>Ana</v>
      </c>
      <c r="AV756" s="4" t="str">
        <f>IFERROR(__xludf.DUMMYFUNCTION("""COMPUTED_VALUE"""),"Comer Fora-Hunter")</f>
        <v>Comer Fora-Hunter</v>
      </c>
      <c r="AW756" s="4"/>
      <c r="AX756" s="4"/>
      <c r="AY756" s="4"/>
      <c r="AZ756" s="4" t="str">
        <f>IFERROR(__xludf.DUMMYFUNCTION("""COMPUTED_VALUE"""),"Árabe")</f>
        <v>Árabe</v>
      </c>
      <c r="BA756" s="4" t="str">
        <f>IFERROR(__xludf.DUMMYFUNCTION("""COMPUTED_VALUE"""),"")</f>
        <v/>
      </c>
      <c r="BB756" s="4" t="str">
        <f>IFERROR(__xludf.DUMMYFUNCTION("""COMPUTED_VALUE"""),"")</f>
        <v/>
      </c>
      <c r="BC756" s="4" t="str">
        <f>IFERROR(__xludf.DUMMYFUNCTION("""COMPUTED_VALUE"""),"")</f>
        <v/>
      </c>
      <c r="BD756" s="4" t="str">
        <f>IFERROR(__xludf.DUMMYFUNCTION("""COMPUTED_VALUE"""),"")</f>
        <v/>
      </c>
      <c r="BE756" s="4" t="str">
        <f>IFERROR(__xludf.DUMMYFUNCTION("""COMPUTED_VALUE"""),"")</f>
        <v/>
      </c>
      <c r="BF756" s="4" t="str">
        <f>IFERROR(__xludf.DUMMYFUNCTION("""COMPUTED_VALUE"""),"")</f>
        <v/>
      </c>
      <c r="BG756" s="4" t="str">
        <f>IFERROR(__xludf.DUMMYFUNCTION("""COMPUTED_VALUE"""),"")</f>
        <v/>
      </c>
      <c r="BH756" s="4" t="s">
        <v>140</v>
      </c>
      <c r="BI756" s="7">
        <v>0.6153846153846154</v>
      </c>
    </row>
    <row r="757" hidden="1">
      <c r="A757" s="4" t="str">
        <f>IFERROR(__xludf.DUMMYFUNCTION("""COMPUTED_VALUE"""),"Nippon")</f>
        <v>Nippon</v>
      </c>
      <c r="B757" s="4" t="str">
        <f>IFERROR(__xludf.DUMMYFUNCTION("""COMPUTED_VALUE"""),"João Biagiotti")</f>
        <v>João Biagiotti</v>
      </c>
      <c r="C757" s="4" t="str">
        <f>IFERROR(__xludf.DUMMYFUNCTION("""COMPUTED_VALUE"""),"Diego Santos")</f>
        <v>Diego Santos</v>
      </c>
      <c r="D757" s="4" t="str">
        <f>IFERROR(__xludf.DUMMYFUNCTION("""COMPUTED_VALUE"""),"5. Demo/Showroom")</f>
        <v>5. Demo/Showroom</v>
      </c>
      <c r="E757" s="4" t="str">
        <f>IFERROR(__xludf.DUMMYFUNCTION("""COMPUTED_VALUE"""),"Comercial - Primeira reunião / Visita presencial agendada")</f>
        <v>Comercial - Primeira reunião / Visita presencial agendada</v>
      </c>
      <c r="F757" s="4" t="str">
        <f>IFERROR(__xludf.DUMMYFUNCTION("""COMPUTED_VALUE"""),"P")</f>
        <v>P</v>
      </c>
      <c r="G757" s="5">
        <f>IFERROR(__xludf.DUMMYFUNCTION("""COMPUTED_VALUE"""),46156.0)</f>
        <v>46156</v>
      </c>
      <c r="H757" s="4" t="str">
        <f>IFERROR(__xludf.DUMMYFUNCTION("""COMPUTED_VALUE"""),"Realizamos uma reunião de pré vendas, time está validando os dois principais pontos para darmos continuidade, BIP e Impressora de etiqueta")</f>
        <v>Realizamos uma reunião de pré vendas, time está validando os dois principais pontos para darmos continuidade, BIP e Impressora de etiqueta</v>
      </c>
      <c r="I757" s="6">
        <f>IFERROR(__xludf.DUMMYFUNCTION("""COMPUTED_VALUE"""),46154.48301329861)</f>
        <v>46154.48301</v>
      </c>
      <c r="J757" s="6">
        <f>IFERROR(__xludf.DUMMYFUNCTION("""COMPUTED_VALUE"""),46154.483063645836)</f>
        <v>46154.48306</v>
      </c>
      <c r="K757" s="6">
        <f>IFERROR(__xludf.DUMMYFUNCTION("""COMPUTED_VALUE"""),46154.48312259259)</f>
        <v>46154.48312</v>
      </c>
      <c r="L757" s="6">
        <f>IFERROR(__xludf.DUMMYFUNCTION("""COMPUTED_VALUE"""),46156.39476163195)</f>
        <v>46156.39476</v>
      </c>
      <c r="M757" s="6">
        <f>IFERROR(__xludf.DUMMYFUNCTION("""COMPUTED_VALUE"""),46160.608734699075)</f>
        <v>46160.60873</v>
      </c>
      <c r="N757" s="4"/>
      <c r="O757" s="4"/>
      <c r="P757" s="4"/>
      <c r="Q757" s="4"/>
      <c r="R757" s="4"/>
      <c r="S757" s="4"/>
      <c r="T757" s="4"/>
      <c r="U757" s="4"/>
      <c r="V757" s="4" t="str">
        <f>IFERROR(__xludf.DUMMYFUNCTION("""COMPUTED_VALUE"""),"Fechou com concorrente há pouco tempo")</f>
        <v>Fechou com concorrente há pouco tempo</v>
      </c>
      <c r="W757" s="4"/>
      <c r="X757" s="4"/>
      <c r="Y757" s="4"/>
      <c r="Z757" s="4"/>
      <c r="AA757" s="4">
        <f>IFERROR(__xludf.DUMMYFUNCTION("""COMPUTED_VALUE"""),2.0)</f>
        <v>2</v>
      </c>
      <c r="AB757" s="4" t="str">
        <f>IFERROR(__xludf.DUMMYFUNCTION("""COMPUTED_VALUE"""),"Não")</f>
        <v>Não</v>
      </c>
      <c r="AC757" s="4" t="str">
        <f>IFERROR(__xludf.DUMMYFUNCTION("""COMPUTED_VALUE"""),"Não")</f>
        <v>Não</v>
      </c>
      <c r="AD757" s="4" t="str">
        <f>IFERROR(__xludf.DUMMYFUNCTION("""COMPUTED_VALUE"""),"GCOM")</f>
        <v>GCOM</v>
      </c>
      <c r="AE757" s="4"/>
      <c r="AF757" s="4"/>
      <c r="AG757" s="4"/>
      <c r="AH757" s="4">
        <f>IFERROR(__xludf.DUMMYFUNCTION("""COMPUTED_VALUE"""),5.0)</f>
        <v>5</v>
      </c>
      <c r="AI757" s="4" t="str">
        <f>IFERROR(__xludf.DUMMYFUNCTION("""COMPUTED_VALUE"""),"Sem informação")</f>
        <v>Sem informação</v>
      </c>
      <c r="AJ757" s="4" t="str">
        <f>IFERROR(__xludf.DUMMYFUNCTION("""COMPUTED_VALUE"""),"Colibri")</f>
        <v>Colibri</v>
      </c>
      <c r="AK757" s="4" t="str">
        <f>IFERROR(__xludf.DUMMYFUNCTION("""COMPUTED_VALUE"""),"Salão / Delivery")</f>
        <v>Salão / Delivery</v>
      </c>
      <c r="AL757" s="4" t="str">
        <f>IFERROR(__xludf.DUMMYFUNCTION("""COMPUTED_VALUE"""),"SIM")</f>
        <v>SIM</v>
      </c>
      <c r="AM757" s="4" t="str">
        <f>IFERROR(__xludf.DUMMYFUNCTION("""COMPUTED_VALUE"""),"FY26, FY27")</f>
        <v>FY26, FY27</v>
      </c>
      <c r="AN757" s="4"/>
      <c r="AO757" s="4">
        <f>IFERROR(__xludf.DUMMYFUNCTION("""COMPUTED_VALUE"""),25.0)</f>
        <v>25</v>
      </c>
      <c r="AP757" s="4"/>
      <c r="AQ757" s="4"/>
      <c r="AR757" s="4"/>
      <c r="AS757" s="4">
        <f>IFERROR(__xludf.DUMMYFUNCTION("""COMPUTED_VALUE"""),0.0)</f>
        <v>0</v>
      </c>
      <c r="AT757" s="4">
        <f>IFERROR(__xludf.DUMMYFUNCTION("""COMPUTED_VALUE"""),0.0)</f>
        <v>0</v>
      </c>
      <c r="AU757" s="4" t="str">
        <f>IFERROR(__xludf.DUMMYFUNCTION("""COMPUTED_VALUE"""),"Michel")</f>
        <v>Michel</v>
      </c>
      <c r="AV757" s="4">
        <f>IFERROR(__xludf.DUMMYFUNCTION("""COMPUTED_VALUE"""),0.0)</f>
        <v>0</v>
      </c>
      <c r="AW757" s="4">
        <f>IFERROR(__xludf.DUMMYFUNCTION("""COMPUTED_VALUE"""),0.0)</f>
        <v>0</v>
      </c>
      <c r="AX757" s="4">
        <f>IFERROR(__xludf.DUMMYFUNCTION("""COMPUTED_VALUE"""),0.0)</f>
        <v>0</v>
      </c>
      <c r="AY757" s="4"/>
      <c r="AZ757" s="4" t="str">
        <f>IFERROR(__xludf.DUMMYFUNCTION("""COMPUTED_VALUE"""),"Japonesa")</f>
        <v>Japonesa</v>
      </c>
      <c r="BA757" s="4" t="str">
        <f>IFERROR(__xludf.DUMMYFUNCTION("""COMPUTED_VALUE"""),"")</f>
        <v/>
      </c>
      <c r="BB757" s="4" t="str">
        <f>IFERROR(__xludf.DUMMYFUNCTION("""COMPUTED_VALUE"""),"")</f>
        <v/>
      </c>
      <c r="BC757" s="4" t="str">
        <f>IFERROR(__xludf.DUMMYFUNCTION("""COMPUTED_VALUE"""),"")</f>
        <v/>
      </c>
      <c r="BD757" s="4" t="str">
        <f>IFERROR(__xludf.DUMMYFUNCTION("""COMPUTED_VALUE"""),"")</f>
        <v/>
      </c>
      <c r="BE757" s="4" t="str">
        <f>IFERROR(__xludf.DUMMYFUNCTION("""COMPUTED_VALUE"""),"")</f>
        <v/>
      </c>
      <c r="BF757" s="4" t="str">
        <f>IFERROR(__xludf.DUMMYFUNCTION("""COMPUTED_VALUE"""),"")</f>
        <v/>
      </c>
      <c r="BG757" s="4" t="str">
        <f>IFERROR(__xludf.DUMMYFUNCTION("""COMPUTED_VALUE"""),"")</f>
        <v/>
      </c>
      <c r="BH757" s="4" t="s">
        <v>130</v>
      </c>
      <c r="BI757" s="7">
        <v>1.0</v>
      </c>
    </row>
    <row r="758" hidden="1">
      <c r="A758" s="4" t="str">
        <f>IFERROR(__xludf.DUMMYFUNCTION("""COMPUTED_VALUE"""),"Bdc (Bar Do Cuscuz)")</f>
        <v>Bdc (Bar Do Cuscuz)</v>
      </c>
      <c r="B758" s="4" t="str">
        <f>IFERROR(__xludf.DUMMYFUNCTION("""COMPUTED_VALUE"""),"João Biagiotti")</f>
        <v>João Biagiotti</v>
      </c>
      <c r="C758" s="4" t="str">
        <f>IFERROR(__xludf.DUMMYFUNCTION("""COMPUTED_VALUE"""),"Diego Santos")</f>
        <v>Diego Santos</v>
      </c>
      <c r="D758" s="4" t="str">
        <f>IFERROR(__xludf.DUMMYFUNCTION("""COMPUTED_VALUE"""),"6. Negociação")</f>
        <v>6. Negociação</v>
      </c>
      <c r="E758" s="4" t="str">
        <f>IFERROR(__xludf.DUMMYFUNCTION("""COMPUTED_VALUE"""),"Comercial - Em negociação de proposta")</f>
        <v>Comercial - Em negociação de proposta</v>
      </c>
      <c r="F758" s="4" t="str">
        <f>IFERROR(__xludf.DUMMYFUNCTION("""COMPUTED_VALUE"""),"P")</f>
        <v>P</v>
      </c>
      <c r="G758" s="5">
        <f>IFERROR(__xludf.DUMMYFUNCTION("""COMPUTED_VALUE"""),46157.0)</f>
        <v>46157</v>
      </c>
      <c r="H758" s="4" t="str">
        <f>IFERROR(__xludf.DUMMYFUNCTION("""COMPUTED_VALUE"""),"Agenda em 19/05 - alinhamentos técnicos ")</f>
        <v>Agenda em 19/05 - alinhamentos técnicos </v>
      </c>
      <c r="I758" s="6">
        <f>IFERROR(__xludf.DUMMYFUNCTION("""COMPUTED_VALUE"""),46155.41616075231)</f>
        <v>46155.41616</v>
      </c>
      <c r="J758" s="6">
        <f>IFERROR(__xludf.DUMMYFUNCTION("""COMPUTED_VALUE"""),46155.41624885416)</f>
        <v>46155.41625</v>
      </c>
      <c r="K758" s="6">
        <f>IFERROR(__xludf.DUMMYFUNCTION("""COMPUTED_VALUE"""),46155.41632484954)</f>
        <v>46155.41632</v>
      </c>
      <c r="L758" s="6">
        <f>IFERROR(__xludf.DUMMYFUNCTION("""COMPUTED_VALUE"""),46155.41675762732)</f>
        <v>46155.41676</v>
      </c>
      <c r="M758" s="6">
        <f>IFERROR(__xludf.DUMMYFUNCTION("""COMPUTED_VALUE"""),46155.420782430556)</f>
        <v>46155.42078</v>
      </c>
      <c r="N758" s="6">
        <f>IFERROR(__xludf.DUMMYFUNCTION("""COMPUTED_VALUE"""),46155.42084027777)</f>
        <v>46155.42084</v>
      </c>
      <c r="O758" s="4"/>
      <c r="P758" s="4"/>
      <c r="Q758" s="4"/>
      <c r="R758" s="4"/>
      <c r="S758" s="4"/>
      <c r="T758" s="4"/>
      <c r="U758" s="4"/>
      <c r="V758" s="4" t="str">
        <f>IFERROR(__xludf.DUMMYFUNCTION("""COMPUTED_VALUE"""),"Desenvolvimento Solução")</f>
        <v>Desenvolvimento Solução</v>
      </c>
      <c r="W758" s="4"/>
      <c r="X758" s="4"/>
      <c r="Y758" s="4"/>
      <c r="Z758" s="4"/>
      <c r="AA758" s="4">
        <f>IFERROR(__xludf.DUMMYFUNCTION("""COMPUTED_VALUE"""),3.0)</f>
        <v>3</v>
      </c>
      <c r="AB758" s="4" t="str">
        <f>IFERROR(__xludf.DUMMYFUNCTION("""COMPUTED_VALUE"""),"NÃO")</f>
        <v>NÃO</v>
      </c>
      <c r="AC758" s="4" t="str">
        <f>IFERROR(__xludf.DUMMYFUNCTION("""COMPUTED_VALUE"""),"BP")</f>
        <v>BP</v>
      </c>
      <c r="AD758" s="4"/>
      <c r="AE758" s="4"/>
      <c r="AF758" s="4"/>
      <c r="AG758" s="4"/>
      <c r="AH758" s="4">
        <f>IFERROR(__xludf.DUMMYFUNCTION("""COMPUTED_VALUE"""),3.0)</f>
        <v>3</v>
      </c>
      <c r="AI758" s="4" t="str">
        <f>IFERROR(__xludf.DUMMYFUNCTION("""COMPUTED_VALUE"""),"5MM")</f>
        <v>5MM</v>
      </c>
      <c r="AJ758" s="4" t="str">
        <f>IFERROR(__xludf.DUMMYFUNCTION("""COMPUTED_VALUE"""),"Linx Menew")</f>
        <v>Linx Menew</v>
      </c>
      <c r="AK758" s="4" t="str">
        <f>IFERROR(__xludf.DUMMYFUNCTION("""COMPUTED_VALUE"""),"pdv")</f>
        <v>pdv</v>
      </c>
      <c r="AL758" s="4" t="str">
        <f>IFERROR(__xludf.DUMMYFUNCTION("""COMPUTED_VALUE"""),"SIM")</f>
        <v>SIM</v>
      </c>
      <c r="AM758" s="4" t="str">
        <f>IFERROR(__xludf.DUMMYFUNCTION("""COMPUTED_VALUE"""),"FY26, FY27")</f>
        <v>FY26, FY27</v>
      </c>
      <c r="AN758" s="4"/>
      <c r="AO758" s="4">
        <f>IFERROR(__xludf.DUMMYFUNCTION("""COMPUTED_VALUE"""),61.0)</f>
        <v>61</v>
      </c>
      <c r="AP758" s="4"/>
      <c r="AQ758" s="4"/>
      <c r="AR758" s="4"/>
      <c r="AS758" s="4">
        <f>IFERROR(__xludf.DUMMYFUNCTION("""COMPUTED_VALUE"""),0.0)</f>
        <v>0</v>
      </c>
      <c r="AT758" s="4">
        <f>IFERROR(__xludf.DUMMYFUNCTION("""COMPUTED_VALUE"""),0.0)</f>
        <v>0</v>
      </c>
      <c r="AU758" s="4" t="str">
        <f>IFERROR(__xludf.DUMMYFUNCTION("""COMPUTED_VALUE"""),"Diego")</f>
        <v>Diego</v>
      </c>
      <c r="AV758" s="4">
        <f>IFERROR(__xludf.DUMMYFUNCTION("""COMPUTED_VALUE"""),0.0)</f>
        <v>0</v>
      </c>
      <c r="AW758" s="4">
        <f>IFERROR(__xludf.DUMMYFUNCTION("""COMPUTED_VALUE"""),0.0)</f>
        <v>0</v>
      </c>
      <c r="AX758" s="4">
        <f>IFERROR(__xludf.DUMMYFUNCTION("""COMPUTED_VALUE"""),0.0)</f>
        <v>0</v>
      </c>
      <c r="AY758" s="4"/>
      <c r="AZ758" s="4" t="str">
        <f>IFERROR(__xludf.DUMMYFUNCTION("""COMPUTED_VALUE"""),"NA")</f>
        <v>NA</v>
      </c>
      <c r="BA758" s="4" t="str">
        <f>IFERROR(__xludf.DUMMYFUNCTION("""COMPUTED_VALUE"""),"")</f>
        <v/>
      </c>
      <c r="BB758" s="4" t="str">
        <f>IFERROR(__xludf.DUMMYFUNCTION("""COMPUTED_VALUE"""),"")</f>
        <v/>
      </c>
      <c r="BC758" s="4" t="str">
        <f>IFERROR(__xludf.DUMMYFUNCTION("""COMPUTED_VALUE"""),"")</f>
        <v/>
      </c>
      <c r="BD758" s="4" t="str">
        <f>IFERROR(__xludf.DUMMYFUNCTION("""COMPUTED_VALUE"""),"")</f>
        <v/>
      </c>
      <c r="BE758" s="4" t="str">
        <f>IFERROR(__xludf.DUMMYFUNCTION("""COMPUTED_VALUE"""),"")</f>
        <v/>
      </c>
      <c r="BF758" s="4" t="str">
        <f>IFERROR(__xludf.DUMMYFUNCTION("""COMPUTED_VALUE"""),"")</f>
        <v/>
      </c>
      <c r="BG758" s="4" t="str">
        <f>IFERROR(__xludf.DUMMYFUNCTION("""COMPUTED_VALUE"""),"")</f>
        <v/>
      </c>
      <c r="BH758" s="4" t="s">
        <v>63</v>
      </c>
      <c r="BI758" s="7" t="s">
        <v>63</v>
      </c>
    </row>
    <row r="759">
      <c r="A759" s="4" t="str">
        <f>IFERROR(__xludf.DUMMYFUNCTION("""COMPUTED_VALUE"""),"CARMEL (Gela Boca)")</f>
        <v>CARMEL (Gela Boca)</v>
      </c>
      <c r="B759" s="4" t="str">
        <f>IFERROR(__xludf.DUMMYFUNCTION("""COMPUTED_VALUE"""),"Leonardo Roso")</f>
        <v>Leonardo Roso</v>
      </c>
      <c r="C759" s="4" t="str">
        <f>IFERROR(__xludf.DUMMYFUNCTION("""COMPUTED_VALUE"""),"Leonardo Roso")</f>
        <v>Leonardo Roso</v>
      </c>
      <c r="D759" s="4" t="str">
        <f>IFERROR(__xludf.DUMMYFUNCTION("""COMPUTED_VALUE"""),"6. Negociação")</f>
        <v>6. Negociação</v>
      </c>
      <c r="E759" s="4" t="str">
        <f>IFERROR(__xludf.DUMMYFUNCTION("""COMPUTED_VALUE"""),"Comercial - Em negociação de proposta")</f>
        <v>Comercial - Em negociação de proposta</v>
      </c>
      <c r="F759" s="4" t="str">
        <f>IFERROR(__xludf.DUMMYFUNCTION("""COMPUTED_VALUE"""),"G")</f>
        <v>G</v>
      </c>
      <c r="G759" s="5">
        <f>IFERROR(__xludf.DUMMYFUNCTION("""COMPUTED_VALUE"""),46155.0)</f>
        <v>46155</v>
      </c>
      <c r="H759" s="4" t="str">
        <f>IFERROR(__xludf.DUMMYFUNCTION("""COMPUTED_VALUE"""),"Reunião quinta-feira 14/05 para definir plano de rollout e piloto da marca")</f>
        <v>Reunião quinta-feira 14/05 para definir plano de rollout e piloto da marca</v>
      </c>
      <c r="I759" s="4"/>
      <c r="J759" s="4"/>
      <c r="K759" s="4"/>
      <c r="L759" s="4"/>
      <c r="M759" s="4"/>
      <c r="N759" s="6">
        <f>IFERROR(__xludf.DUMMYFUNCTION("""COMPUTED_VALUE"""),46155.59396407407)</f>
        <v>46155.59396</v>
      </c>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f>IFERROR(__xludf.DUMMYFUNCTION("""COMPUTED_VALUE"""),0.0)</f>
        <v>0</v>
      </c>
      <c r="BA759" s="4" t="str">
        <f>IFERROR(__xludf.DUMMYFUNCTION("""COMPUTED_VALUE"""),"")</f>
        <v/>
      </c>
      <c r="BB759" s="4" t="str">
        <f>IFERROR(__xludf.DUMMYFUNCTION("""COMPUTED_VALUE"""),"")</f>
        <v/>
      </c>
      <c r="BC759" s="4" t="str">
        <f>IFERROR(__xludf.DUMMYFUNCTION("""COMPUTED_VALUE"""),"")</f>
        <v/>
      </c>
      <c r="BD759" s="4" t="str">
        <f>IFERROR(__xludf.DUMMYFUNCTION("""COMPUTED_VALUE"""),"")</f>
        <v/>
      </c>
      <c r="BE759" s="4" t="str">
        <f>IFERROR(__xludf.DUMMYFUNCTION("""COMPUTED_VALUE"""),"")</f>
        <v/>
      </c>
      <c r="BF759" s="4" t="str">
        <f>IFERROR(__xludf.DUMMYFUNCTION("""COMPUTED_VALUE"""),"")</f>
        <v/>
      </c>
      <c r="BG759" s="4" t="str">
        <f>IFERROR(__xludf.DUMMYFUNCTION("""COMPUTED_VALUE"""),"")</f>
        <v/>
      </c>
      <c r="BH759" s="4" t="s">
        <v>63</v>
      </c>
      <c r="BI759" s="7" t="s">
        <v>63</v>
      </c>
    </row>
    <row r="760" hidden="1">
      <c r="A760" s="4" t="str">
        <f>IFERROR(__xludf.DUMMYFUNCTION("""COMPUTED_VALUE"""),"Sorveteria Cairu")</f>
        <v>Sorveteria Cairu</v>
      </c>
      <c r="B760" s="4" t="str">
        <f>IFERROR(__xludf.DUMMYFUNCTION("""COMPUTED_VALUE"""),"João Biagiotti")</f>
        <v>João Biagiotti</v>
      </c>
      <c r="C760" s="4" t="str">
        <f>IFERROR(__xludf.DUMMYFUNCTION("""COMPUTED_VALUE"""),"Diego Santos")</f>
        <v>Diego Santos</v>
      </c>
      <c r="D760" s="4" t="str">
        <f>IFERROR(__xludf.DUMMYFUNCTION("""COMPUTED_VALUE"""),"0. Não Iniciado")</f>
        <v>0. Não Iniciado</v>
      </c>
      <c r="E760" s="4"/>
      <c r="F760" s="4" t="str">
        <f>IFERROR(__xludf.DUMMYFUNCTION("""COMPUTED_VALUE"""),"M")</f>
        <v>M</v>
      </c>
      <c r="G760" s="4"/>
      <c r="H760" s="4"/>
      <c r="I760" s="4"/>
      <c r="J760" s="4"/>
      <c r="K760" s="4"/>
      <c r="L760" s="4"/>
      <c r="M760" s="4"/>
      <c r="N760" s="4"/>
      <c r="O760" s="4"/>
      <c r="P760" s="4"/>
      <c r="Q760" s="4"/>
      <c r="R760" s="4"/>
      <c r="S760" s="4"/>
      <c r="T760" s="4"/>
      <c r="U760" s="4"/>
      <c r="V760" s="4"/>
      <c r="W760" s="4"/>
      <c r="X760" s="4"/>
      <c r="Y760" s="4"/>
      <c r="Z760" s="4"/>
      <c r="AA760" s="4">
        <f>IFERROR(__xludf.DUMMYFUNCTION("""COMPUTED_VALUE"""),29.0)</f>
        <v>29</v>
      </c>
      <c r="AB760" s="4" t="str">
        <f>IFERROR(__xludf.DUMMYFUNCTION("""COMPUTED_VALUE"""),"Não")</f>
        <v>Não</v>
      </c>
      <c r="AC760" s="4" t="str">
        <f>IFERROR(__xludf.DUMMYFUNCTION("""COMPUTED_VALUE"""),"Não")</f>
        <v>Não</v>
      </c>
      <c r="AD760" s="4" t="str">
        <f>IFERROR(__xludf.DUMMYFUNCTION("""COMPUTED_VALUE"""),"Sem informação")</f>
        <v>Sem informação</v>
      </c>
      <c r="AE760" s="4"/>
      <c r="AF760" s="4"/>
      <c r="AG760" s="4"/>
      <c r="AH760" s="4"/>
      <c r="AI760" s="4"/>
      <c r="AJ760" s="4"/>
      <c r="AK760" s="4"/>
      <c r="AL760" s="4"/>
      <c r="AM760" s="4" t="str">
        <f>IFERROR(__xludf.DUMMYFUNCTION("""COMPUTED_VALUE"""),"FY27")</f>
        <v>FY27</v>
      </c>
      <c r="AN760" s="4"/>
      <c r="AO760" s="4"/>
      <c r="AP760" s="4"/>
      <c r="AQ760" s="4"/>
      <c r="AR760" s="4"/>
      <c r="AS760" s="4"/>
      <c r="AT760" s="4"/>
      <c r="AU760" s="4"/>
      <c r="AV760" s="4"/>
      <c r="AW760" s="4"/>
      <c r="AX760" s="4"/>
      <c r="AY760" s="4"/>
      <c r="AZ760" s="4"/>
      <c r="BA760" s="4" t="str">
        <f>IFERROR(__xludf.DUMMYFUNCTION("""COMPUTED_VALUE"""),"")</f>
        <v/>
      </c>
      <c r="BB760" s="4" t="str">
        <f>IFERROR(__xludf.DUMMYFUNCTION("""COMPUTED_VALUE"""),"")</f>
        <v/>
      </c>
      <c r="BC760" s="4" t="str">
        <f>IFERROR(__xludf.DUMMYFUNCTION("""COMPUTED_VALUE"""),"")</f>
        <v/>
      </c>
      <c r="BD760" s="4" t="str">
        <f>IFERROR(__xludf.DUMMYFUNCTION("""COMPUTED_VALUE"""),"")</f>
        <v/>
      </c>
      <c r="BE760" s="4" t="str">
        <f>IFERROR(__xludf.DUMMYFUNCTION("""COMPUTED_VALUE"""),"")</f>
        <v/>
      </c>
      <c r="BF760" s="4" t="str">
        <f>IFERROR(__xludf.DUMMYFUNCTION("""COMPUTED_VALUE"""),"")</f>
        <v/>
      </c>
      <c r="BG760" s="4" t="str">
        <f>IFERROR(__xludf.DUMMYFUNCTION("""COMPUTED_VALUE"""),"")</f>
        <v/>
      </c>
      <c r="BH760" s="4" t="s">
        <v>63</v>
      </c>
      <c r="BI760" s="7" t="s">
        <v>63</v>
      </c>
    </row>
    <row r="761" hidden="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t="str">
        <f>IFERROR(__xludf.DUMMYFUNCTION("""COMPUTED_VALUE"""),"")</f>
        <v/>
      </c>
      <c r="BB761" s="4" t="str">
        <f>IFERROR(__xludf.DUMMYFUNCTION("""COMPUTED_VALUE"""),"")</f>
        <v/>
      </c>
      <c r="BC761" s="4" t="str">
        <f>IFERROR(__xludf.DUMMYFUNCTION("""COMPUTED_VALUE"""),"")</f>
        <v/>
      </c>
      <c r="BD761" s="4" t="str">
        <f>IFERROR(__xludf.DUMMYFUNCTION("""COMPUTED_VALUE"""),"")</f>
        <v/>
      </c>
      <c r="BE761" s="4" t="str">
        <f>IFERROR(__xludf.DUMMYFUNCTION("""COMPUTED_VALUE"""),"")</f>
        <v/>
      </c>
      <c r="BF761" s="4" t="str">
        <f>IFERROR(__xludf.DUMMYFUNCTION("""COMPUTED_VALUE"""),"")</f>
        <v/>
      </c>
      <c r="BG761" s="4" t="str">
        <f>IFERROR(__xludf.DUMMYFUNCTION("""COMPUTED_VALUE"""),"")</f>
        <v/>
      </c>
      <c r="BH761" s="4" t="s">
        <v>64</v>
      </c>
      <c r="BI761" s="7">
        <v>1.0</v>
      </c>
    </row>
    <row r="762" hidden="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t="str">
        <f>IFERROR(__xludf.DUMMYFUNCTION("""COMPUTED_VALUE"""),"")</f>
        <v/>
      </c>
      <c r="BB762" s="4" t="str">
        <f>IFERROR(__xludf.DUMMYFUNCTION("""COMPUTED_VALUE"""),"")</f>
        <v/>
      </c>
      <c r="BC762" s="4" t="str">
        <f>IFERROR(__xludf.DUMMYFUNCTION("""COMPUTED_VALUE"""),"")</f>
        <v/>
      </c>
      <c r="BD762" s="4" t="str">
        <f>IFERROR(__xludf.DUMMYFUNCTION("""COMPUTED_VALUE"""),"")</f>
        <v/>
      </c>
      <c r="BE762" s="4" t="str">
        <f>IFERROR(__xludf.DUMMYFUNCTION("""COMPUTED_VALUE"""),"")</f>
        <v/>
      </c>
      <c r="BF762" s="4" t="str">
        <f>IFERROR(__xludf.DUMMYFUNCTION("""COMPUTED_VALUE"""),"")</f>
        <v/>
      </c>
      <c r="BG762" s="4" t="str">
        <f>IFERROR(__xludf.DUMMYFUNCTION("""COMPUTED_VALUE"""),"")</f>
        <v/>
      </c>
      <c r="BH762" s="4" t="s">
        <v>64</v>
      </c>
      <c r="BI762" s="7">
        <v>1.0</v>
      </c>
    </row>
    <row r="763" hidden="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t="str">
        <f>IFERROR(__xludf.DUMMYFUNCTION("""COMPUTED_VALUE"""),"")</f>
        <v/>
      </c>
      <c r="BB763" s="4" t="str">
        <f>IFERROR(__xludf.DUMMYFUNCTION("""COMPUTED_VALUE"""),"")</f>
        <v/>
      </c>
      <c r="BC763" s="4" t="str">
        <f>IFERROR(__xludf.DUMMYFUNCTION("""COMPUTED_VALUE"""),"")</f>
        <v/>
      </c>
      <c r="BD763" s="4" t="str">
        <f>IFERROR(__xludf.DUMMYFUNCTION("""COMPUTED_VALUE"""),"")</f>
        <v/>
      </c>
      <c r="BE763" s="4" t="str">
        <f>IFERROR(__xludf.DUMMYFUNCTION("""COMPUTED_VALUE"""),"")</f>
        <v/>
      </c>
      <c r="BF763" s="4" t="str">
        <f>IFERROR(__xludf.DUMMYFUNCTION("""COMPUTED_VALUE"""),"")</f>
        <v/>
      </c>
      <c r="BG763" s="4" t="str">
        <f>IFERROR(__xludf.DUMMYFUNCTION("""COMPUTED_VALUE"""),"")</f>
        <v/>
      </c>
      <c r="BH763" s="4" t="s">
        <v>64</v>
      </c>
      <c r="BI763" s="7">
        <v>1.0</v>
      </c>
    </row>
    <row r="764" hidden="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t="str">
        <f>IFERROR(__xludf.DUMMYFUNCTION("""COMPUTED_VALUE"""),"")</f>
        <v/>
      </c>
      <c r="BB764" s="4" t="str">
        <f>IFERROR(__xludf.DUMMYFUNCTION("""COMPUTED_VALUE"""),"")</f>
        <v/>
      </c>
      <c r="BC764" s="4" t="str">
        <f>IFERROR(__xludf.DUMMYFUNCTION("""COMPUTED_VALUE"""),"")</f>
        <v/>
      </c>
      <c r="BD764" s="4" t="str">
        <f>IFERROR(__xludf.DUMMYFUNCTION("""COMPUTED_VALUE"""),"")</f>
        <v/>
      </c>
      <c r="BE764" s="4" t="str">
        <f>IFERROR(__xludf.DUMMYFUNCTION("""COMPUTED_VALUE"""),"")</f>
        <v/>
      </c>
      <c r="BF764" s="4" t="str">
        <f>IFERROR(__xludf.DUMMYFUNCTION("""COMPUTED_VALUE"""),"")</f>
        <v/>
      </c>
      <c r="BG764" s="4" t="str">
        <f>IFERROR(__xludf.DUMMYFUNCTION("""COMPUTED_VALUE"""),"")</f>
        <v/>
      </c>
      <c r="BH764" s="4" t="s">
        <v>64</v>
      </c>
      <c r="BI764" s="7">
        <v>1.0</v>
      </c>
    </row>
    <row r="765" hidden="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t="str">
        <f>IFERROR(__xludf.DUMMYFUNCTION("""COMPUTED_VALUE"""),"")</f>
        <v/>
      </c>
      <c r="BB765" s="4" t="str">
        <f>IFERROR(__xludf.DUMMYFUNCTION("""COMPUTED_VALUE"""),"")</f>
        <v/>
      </c>
      <c r="BC765" s="4" t="str">
        <f>IFERROR(__xludf.DUMMYFUNCTION("""COMPUTED_VALUE"""),"")</f>
        <v/>
      </c>
      <c r="BD765" s="4" t="str">
        <f>IFERROR(__xludf.DUMMYFUNCTION("""COMPUTED_VALUE"""),"")</f>
        <v/>
      </c>
      <c r="BE765" s="4" t="str">
        <f>IFERROR(__xludf.DUMMYFUNCTION("""COMPUTED_VALUE"""),"")</f>
        <v/>
      </c>
      <c r="BF765" s="4" t="str">
        <f>IFERROR(__xludf.DUMMYFUNCTION("""COMPUTED_VALUE"""),"")</f>
        <v/>
      </c>
      <c r="BG765" s="4" t="str">
        <f>IFERROR(__xludf.DUMMYFUNCTION("""COMPUTED_VALUE"""),"")</f>
        <v/>
      </c>
      <c r="BH765" s="4" t="s">
        <v>64</v>
      </c>
      <c r="BI765" s="7">
        <v>1.0</v>
      </c>
    </row>
    <row r="766" hidden="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t="str">
        <f>IFERROR(__xludf.DUMMYFUNCTION("""COMPUTED_VALUE"""),"")</f>
        <v/>
      </c>
      <c r="BB766" s="4" t="str">
        <f>IFERROR(__xludf.DUMMYFUNCTION("""COMPUTED_VALUE"""),"")</f>
        <v/>
      </c>
      <c r="BC766" s="4" t="str">
        <f>IFERROR(__xludf.DUMMYFUNCTION("""COMPUTED_VALUE"""),"")</f>
        <v/>
      </c>
      <c r="BD766" s="4" t="str">
        <f>IFERROR(__xludf.DUMMYFUNCTION("""COMPUTED_VALUE"""),"")</f>
        <v/>
      </c>
      <c r="BE766" s="4" t="str">
        <f>IFERROR(__xludf.DUMMYFUNCTION("""COMPUTED_VALUE"""),"")</f>
        <v/>
      </c>
      <c r="BF766" s="4" t="str">
        <f>IFERROR(__xludf.DUMMYFUNCTION("""COMPUTED_VALUE"""),"")</f>
        <v/>
      </c>
      <c r="BG766" s="4" t="str">
        <f>IFERROR(__xludf.DUMMYFUNCTION("""COMPUTED_VALUE"""),"")</f>
        <v/>
      </c>
      <c r="BH766" s="4" t="s">
        <v>64</v>
      </c>
      <c r="BI766" s="7">
        <v>1.0</v>
      </c>
    </row>
    <row r="767" hidden="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t="str">
        <f>IFERROR(__xludf.DUMMYFUNCTION("""COMPUTED_VALUE"""),"")</f>
        <v/>
      </c>
      <c r="BB767" s="4" t="str">
        <f>IFERROR(__xludf.DUMMYFUNCTION("""COMPUTED_VALUE"""),"")</f>
        <v/>
      </c>
      <c r="BC767" s="4" t="str">
        <f>IFERROR(__xludf.DUMMYFUNCTION("""COMPUTED_VALUE"""),"")</f>
        <v/>
      </c>
      <c r="BD767" s="4" t="str">
        <f>IFERROR(__xludf.DUMMYFUNCTION("""COMPUTED_VALUE"""),"")</f>
        <v/>
      </c>
      <c r="BE767" s="4" t="str">
        <f>IFERROR(__xludf.DUMMYFUNCTION("""COMPUTED_VALUE"""),"")</f>
        <v/>
      </c>
      <c r="BF767" s="4" t="str">
        <f>IFERROR(__xludf.DUMMYFUNCTION("""COMPUTED_VALUE"""),"")</f>
        <v/>
      </c>
      <c r="BG767" s="4" t="str">
        <f>IFERROR(__xludf.DUMMYFUNCTION("""COMPUTED_VALUE"""),"")</f>
        <v/>
      </c>
      <c r="BH767" s="4" t="s">
        <v>64</v>
      </c>
      <c r="BI767" s="7">
        <v>1.0</v>
      </c>
    </row>
    <row r="768" hidden="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t="str">
        <f>IFERROR(__xludf.DUMMYFUNCTION("""COMPUTED_VALUE"""),"")</f>
        <v/>
      </c>
      <c r="BB768" s="4" t="str">
        <f>IFERROR(__xludf.DUMMYFUNCTION("""COMPUTED_VALUE"""),"")</f>
        <v/>
      </c>
      <c r="BC768" s="4" t="str">
        <f>IFERROR(__xludf.DUMMYFUNCTION("""COMPUTED_VALUE"""),"")</f>
        <v/>
      </c>
      <c r="BD768" s="4" t="str">
        <f>IFERROR(__xludf.DUMMYFUNCTION("""COMPUTED_VALUE"""),"")</f>
        <v/>
      </c>
      <c r="BE768" s="4" t="str">
        <f>IFERROR(__xludf.DUMMYFUNCTION("""COMPUTED_VALUE"""),"")</f>
        <v/>
      </c>
      <c r="BF768" s="4" t="str">
        <f>IFERROR(__xludf.DUMMYFUNCTION("""COMPUTED_VALUE"""),"")</f>
        <v/>
      </c>
      <c r="BG768" s="4" t="str">
        <f>IFERROR(__xludf.DUMMYFUNCTION("""COMPUTED_VALUE"""),"")</f>
        <v/>
      </c>
      <c r="BH768" s="4" t="s">
        <v>64</v>
      </c>
      <c r="BI768" s="7">
        <v>1.0</v>
      </c>
    </row>
    <row r="769" hidden="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t="str">
        <f>IFERROR(__xludf.DUMMYFUNCTION("""COMPUTED_VALUE"""),"")</f>
        <v/>
      </c>
      <c r="BB769" s="4" t="str">
        <f>IFERROR(__xludf.DUMMYFUNCTION("""COMPUTED_VALUE"""),"")</f>
        <v/>
      </c>
      <c r="BC769" s="4" t="str">
        <f>IFERROR(__xludf.DUMMYFUNCTION("""COMPUTED_VALUE"""),"")</f>
        <v/>
      </c>
      <c r="BD769" s="4" t="str">
        <f>IFERROR(__xludf.DUMMYFUNCTION("""COMPUTED_VALUE"""),"")</f>
        <v/>
      </c>
      <c r="BE769" s="4" t="str">
        <f>IFERROR(__xludf.DUMMYFUNCTION("""COMPUTED_VALUE"""),"")</f>
        <v/>
      </c>
      <c r="BF769" s="4" t="str">
        <f>IFERROR(__xludf.DUMMYFUNCTION("""COMPUTED_VALUE"""),"")</f>
        <v/>
      </c>
      <c r="BG769" s="4" t="str">
        <f>IFERROR(__xludf.DUMMYFUNCTION("""COMPUTED_VALUE"""),"")</f>
        <v/>
      </c>
      <c r="BH769" s="4" t="s">
        <v>64</v>
      </c>
      <c r="BI769" s="7">
        <v>1.0</v>
      </c>
    </row>
    <row r="770" hidden="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t="str">
        <f>IFERROR(__xludf.DUMMYFUNCTION("""COMPUTED_VALUE"""),"")</f>
        <v/>
      </c>
      <c r="BB770" s="4" t="str">
        <f>IFERROR(__xludf.DUMMYFUNCTION("""COMPUTED_VALUE"""),"")</f>
        <v/>
      </c>
      <c r="BC770" s="4" t="str">
        <f>IFERROR(__xludf.DUMMYFUNCTION("""COMPUTED_VALUE"""),"")</f>
        <v/>
      </c>
      <c r="BD770" s="4" t="str">
        <f>IFERROR(__xludf.DUMMYFUNCTION("""COMPUTED_VALUE"""),"")</f>
        <v/>
      </c>
      <c r="BE770" s="4" t="str">
        <f>IFERROR(__xludf.DUMMYFUNCTION("""COMPUTED_VALUE"""),"")</f>
        <v/>
      </c>
      <c r="BF770" s="4" t="str">
        <f>IFERROR(__xludf.DUMMYFUNCTION("""COMPUTED_VALUE"""),"")</f>
        <v/>
      </c>
      <c r="BG770" s="4" t="str">
        <f>IFERROR(__xludf.DUMMYFUNCTION("""COMPUTED_VALUE"""),"")</f>
        <v/>
      </c>
      <c r="BH770" s="4" t="s">
        <v>64</v>
      </c>
      <c r="BI770" s="7">
        <v>1.0</v>
      </c>
    </row>
    <row r="771" hidden="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t="str">
        <f>IFERROR(__xludf.DUMMYFUNCTION("""COMPUTED_VALUE"""),"")</f>
        <v/>
      </c>
      <c r="BB771" s="4" t="str">
        <f>IFERROR(__xludf.DUMMYFUNCTION("""COMPUTED_VALUE"""),"")</f>
        <v/>
      </c>
      <c r="BC771" s="4" t="str">
        <f>IFERROR(__xludf.DUMMYFUNCTION("""COMPUTED_VALUE"""),"")</f>
        <v/>
      </c>
      <c r="BD771" s="4" t="str">
        <f>IFERROR(__xludf.DUMMYFUNCTION("""COMPUTED_VALUE"""),"")</f>
        <v/>
      </c>
      <c r="BE771" s="4" t="str">
        <f>IFERROR(__xludf.DUMMYFUNCTION("""COMPUTED_VALUE"""),"")</f>
        <v/>
      </c>
      <c r="BF771" s="4" t="str">
        <f>IFERROR(__xludf.DUMMYFUNCTION("""COMPUTED_VALUE"""),"")</f>
        <v/>
      </c>
      <c r="BG771" s="4" t="str">
        <f>IFERROR(__xludf.DUMMYFUNCTION("""COMPUTED_VALUE"""),"")</f>
        <v/>
      </c>
      <c r="BH771" s="4" t="s">
        <v>64</v>
      </c>
      <c r="BI771" s="7">
        <v>1.0</v>
      </c>
    </row>
    <row r="772" hidden="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t="str">
        <f>IFERROR(__xludf.DUMMYFUNCTION("""COMPUTED_VALUE"""),"")</f>
        <v/>
      </c>
      <c r="BB772" s="4" t="str">
        <f>IFERROR(__xludf.DUMMYFUNCTION("""COMPUTED_VALUE"""),"")</f>
        <v/>
      </c>
      <c r="BC772" s="4" t="str">
        <f>IFERROR(__xludf.DUMMYFUNCTION("""COMPUTED_VALUE"""),"")</f>
        <v/>
      </c>
      <c r="BD772" s="4" t="str">
        <f>IFERROR(__xludf.DUMMYFUNCTION("""COMPUTED_VALUE"""),"")</f>
        <v/>
      </c>
      <c r="BE772" s="4" t="str">
        <f>IFERROR(__xludf.DUMMYFUNCTION("""COMPUTED_VALUE"""),"")</f>
        <v/>
      </c>
      <c r="BF772" s="4" t="str">
        <f>IFERROR(__xludf.DUMMYFUNCTION("""COMPUTED_VALUE"""),"")</f>
        <v/>
      </c>
      <c r="BG772" s="4" t="str">
        <f>IFERROR(__xludf.DUMMYFUNCTION("""COMPUTED_VALUE"""),"")</f>
        <v/>
      </c>
      <c r="BH772" s="4" t="s">
        <v>64</v>
      </c>
      <c r="BI772" s="7">
        <v>1.0</v>
      </c>
    </row>
    <row r="773" hidden="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t="str">
        <f>IFERROR(__xludf.DUMMYFUNCTION("""COMPUTED_VALUE"""),"")</f>
        <v/>
      </c>
      <c r="BB773" s="4" t="str">
        <f>IFERROR(__xludf.DUMMYFUNCTION("""COMPUTED_VALUE"""),"")</f>
        <v/>
      </c>
      <c r="BC773" s="4" t="str">
        <f>IFERROR(__xludf.DUMMYFUNCTION("""COMPUTED_VALUE"""),"")</f>
        <v/>
      </c>
      <c r="BD773" s="4" t="str">
        <f>IFERROR(__xludf.DUMMYFUNCTION("""COMPUTED_VALUE"""),"")</f>
        <v/>
      </c>
      <c r="BE773" s="4" t="str">
        <f>IFERROR(__xludf.DUMMYFUNCTION("""COMPUTED_VALUE"""),"")</f>
        <v/>
      </c>
      <c r="BF773" s="4" t="str">
        <f>IFERROR(__xludf.DUMMYFUNCTION("""COMPUTED_VALUE"""),"")</f>
        <v/>
      </c>
      <c r="BG773" s="4" t="str">
        <f>IFERROR(__xludf.DUMMYFUNCTION("""COMPUTED_VALUE"""),"")</f>
        <v/>
      </c>
      <c r="BH773" s="4" t="s">
        <v>64</v>
      </c>
      <c r="BI773" s="7">
        <v>1.0</v>
      </c>
    </row>
    <row r="774" hidden="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t="str">
        <f>IFERROR(__xludf.DUMMYFUNCTION("""COMPUTED_VALUE"""),"")</f>
        <v/>
      </c>
      <c r="BB774" s="4" t="str">
        <f>IFERROR(__xludf.DUMMYFUNCTION("""COMPUTED_VALUE"""),"")</f>
        <v/>
      </c>
      <c r="BC774" s="4" t="str">
        <f>IFERROR(__xludf.DUMMYFUNCTION("""COMPUTED_VALUE"""),"")</f>
        <v/>
      </c>
      <c r="BD774" s="4" t="str">
        <f>IFERROR(__xludf.DUMMYFUNCTION("""COMPUTED_VALUE"""),"")</f>
        <v/>
      </c>
      <c r="BE774" s="4" t="str">
        <f>IFERROR(__xludf.DUMMYFUNCTION("""COMPUTED_VALUE"""),"")</f>
        <v/>
      </c>
      <c r="BF774" s="4" t="str">
        <f>IFERROR(__xludf.DUMMYFUNCTION("""COMPUTED_VALUE"""),"")</f>
        <v/>
      </c>
      <c r="BG774" s="4" t="str">
        <f>IFERROR(__xludf.DUMMYFUNCTION("""COMPUTED_VALUE"""),"")</f>
        <v/>
      </c>
      <c r="BH774" s="4" t="s">
        <v>64</v>
      </c>
      <c r="BI774" s="7">
        <v>1.0</v>
      </c>
    </row>
    <row r="775" hidden="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t="str">
        <f>IFERROR(__xludf.DUMMYFUNCTION("""COMPUTED_VALUE"""),"")</f>
        <v/>
      </c>
      <c r="BB775" s="4" t="str">
        <f>IFERROR(__xludf.DUMMYFUNCTION("""COMPUTED_VALUE"""),"")</f>
        <v/>
      </c>
      <c r="BC775" s="4" t="str">
        <f>IFERROR(__xludf.DUMMYFUNCTION("""COMPUTED_VALUE"""),"")</f>
        <v/>
      </c>
      <c r="BD775" s="4" t="str">
        <f>IFERROR(__xludf.DUMMYFUNCTION("""COMPUTED_VALUE"""),"")</f>
        <v/>
      </c>
      <c r="BE775" s="4" t="str">
        <f>IFERROR(__xludf.DUMMYFUNCTION("""COMPUTED_VALUE"""),"")</f>
        <v/>
      </c>
      <c r="BF775" s="4" t="str">
        <f>IFERROR(__xludf.DUMMYFUNCTION("""COMPUTED_VALUE"""),"")</f>
        <v/>
      </c>
      <c r="BG775" s="4" t="str">
        <f>IFERROR(__xludf.DUMMYFUNCTION("""COMPUTED_VALUE"""),"")</f>
        <v/>
      </c>
      <c r="BH775" s="4" t="s">
        <v>64</v>
      </c>
      <c r="BI775" s="7">
        <v>1.0</v>
      </c>
    </row>
    <row r="776" hidden="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t="str">
        <f>IFERROR(__xludf.DUMMYFUNCTION("""COMPUTED_VALUE"""),"")</f>
        <v/>
      </c>
      <c r="BB776" s="4" t="str">
        <f>IFERROR(__xludf.DUMMYFUNCTION("""COMPUTED_VALUE"""),"")</f>
        <v/>
      </c>
      <c r="BC776" s="4" t="str">
        <f>IFERROR(__xludf.DUMMYFUNCTION("""COMPUTED_VALUE"""),"")</f>
        <v/>
      </c>
      <c r="BD776" s="4" t="str">
        <f>IFERROR(__xludf.DUMMYFUNCTION("""COMPUTED_VALUE"""),"")</f>
        <v/>
      </c>
      <c r="BE776" s="4" t="str">
        <f>IFERROR(__xludf.DUMMYFUNCTION("""COMPUTED_VALUE"""),"")</f>
        <v/>
      </c>
      <c r="BF776" s="4" t="str">
        <f>IFERROR(__xludf.DUMMYFUNCTION("""COMPUTED_VALUE"""),"")</f>
        <v/>
      </c>
      <c r="BG776" s="4" t="str">
        <f>IFERROR(__xludf.DUMMYFUNCTION("""COMPUTED_VALUE"""),"")</f>
        <v/>
      </c>
      <c r="BH776" s="4" t="s">
        <v>64</v>
      </c>
      <c r="BI776" s="7">
        <v>1.0</v>
      </c>
    </row>
    <row r="777" hidden="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t="str">
        <f>IFERROR(__xludf.DUMMYFUNCTION("""COMPUTED_VALUE"""),"")</f>
        <v/>
      </c>
      <c r="BB777" s="4" t="str">
        <f>IFERROR(__xludf.DUMMYFUNCTION("""COMPUTED_VALUE"""),"")</f>
        <v/>
      </c>
      <c r="BC777" s="4" t="str">
        <f>IFERROR(__xludf.DUMMYFUNCTION("""COMPUTED_VALUE"""),"")</f>
        <v/>
      </c>
      <c r="BD777" s="4" t="str">
        <f>IFERROR(__xludf.DUMMYFUNCTION("""COMPUTED_VALUE"""),"")</f>
        <v/>
      </c>
      <c r="BE777" s="4" t="str">
        <f>IFERROR(__xludf.DUMMYFUNCTION("""COMPUTED_VALUE"""),"")</f>
        <v/>
      </c>
      <c r="BF777" s="4" t="str">
        <f>IFERROR(__xludf.DUMMYFUNCTION("""COMPUTED_VALUE"""),"")</f>
        <v/>
      </c>
      <c r="BG777" s="4" t="str">
        <f>IFERROR(__xludf.DUMMYFUNCTION("""COMPUTED_VALUE"""),"")</f>
        <v/>
      </c>
      <c r="BH777" s="4" t="s">
        <v>64</v>
      </c>
      <c r="BI777" s="7">
        <v>1.0</v>
      </c>
    </row>
    <row r="778" hidden="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t="str">
        <f>IFERROR(__xludf.DUMMYFUNCTION("""COMPUTED_VALUE"""),"")</f>
        <v/>
      </c>
      <c r="BB778" s="4" t="str">
        <f>IFERROR(__xludf.DUMMYFUNCTION("""COMPUTED_VALUE"""),"")</f>
        <v/>
      </c>
      <c r="BC778" s="4" t="str">
        <f>IFERROR(__xludf.DUMMYFUNCTION("""COMPUTED_VALUE"""),"")</f>
        <v/>
      </c>
      <c r="BD778" s="4" t="str">
        <f>IFERROR(__xludf.DUMMYFUNCTION("""COMPUTED_VALUE"""),"")</f>
        <v/>
      </c>
      <c r="BE778" s="4" t="str">
        <f>IFERROR(__xludf.DUMMYFUNCTION("""COMPUTED_VALUE"""),"")</f>
        <v/>
      </c>
      <c r="BF778" s="4" t="str">
        <f>IFERROR(__xludf.DUMMYFUNCTION("""COMPUTED_VALUE"""),"")</f>
        <v/>
      </c>
      <c r="BG778" s="4" t="str">
        <f>IFERROR(__xludf.DUMMYFUNCTION("""COMPUTED_VALUE"""),"")</f>
        <v/>
      </c>
      <c r="BH778" s="4" t="s">
        <v>64</v>
      </c>
      <c r="BI778" s="7">
        <v>1.0</v>
      </c>
    </row>
    <row r="779" hidden="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t="str">
        <f>IFERROR(__xludf.DUMMYFUNCTION("""COMPUTED_VALUE"""),"")</f>
        <v/>
      </c>
      <c r="BB779" s="4" t="str">
        <f>IFERROR(__xludf.DUMMYFUNCTION("""COMPUTED_VALUE"""),"")</f>
        <v/>
      </c>
      <c r="BC779" s="4" t="str">
        <f>IFERROR(__xludf.DUMMYFUNCTION("""COMPUTED_VALUE"""),"")</f>
        <v/>
      </c>
      <c r="BD779" s="4" t="str">
        <f>IFERROR(__xludf.DUMMYFUNCTION("""COMPUTED_VALUE"""),"")</f>
        <v/>
      </c>
      <c r="BE779" s="4" t="str">
        <f>IFERROR(__xludf.DUMMYFUNCTION("""COMPUTED_VALUE"""),"")</f>
        <v/>
      </c>
      <c r="BF779" s="4" t="str">
        <f>IFERROR(__xludf.DUMMYFUNCTION("""COMPUTED_VALUE"""),"")</f>
        <v/>
      </c>
      <c r="BG779" s="4" t="str">
        <f>IFERROR(__xludf.DUMMYFUNCTION("""COMPUTED_VALUE"""),"")</f>
        <v/>
      </c>
      <c r="BH779" s="4" t="s">
        <v>64</v>
      </c>
      <c r="BI779" s="7">
        <v>1.0</v>
      </c>
    </row>
    <row r="780" hidden="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t="str">
        <f>IFERROR(__xludf.DUMMYFUNCTION("""COMPUTED_VALUE"""),"")</f>
        <v/>
      </c>
      <c r="BB780" s="4" t="str">
        <f>IFERROR(__xludf.DUMMYFUNCTION("""COMPUTED_VALUE"""),"")</f>
        <v/>
      </c>
      <c r="BC780" s="4" t="str">
        <f>IFERROR(__xludf.DUMMYFUNCTION("""COMPUTED_VALUE"""),"")</f>
        <v/>
      </c>
      <c r="BD780" s="4" t="str">
        <f>IFERROR(__xludf.DUMMYFUNCTION("""COMPUTED_VALUE"""),"")</f>
        <v/>
      </c>
      <c r="BE780" s="4" t="str">
        <f>IFERROR(__xludf.DUMMYFUNCTION("""COMPUTED_VALUE"""),"")</f>
        <v/>
      </c>
      <c r="BF780" s="4" t="str">
        <f>IFERROR(__xludf.DUMMYFUNCTION("""COMPUTED_VALUE"""),"")</f>
        <v/>
      </c>
      <c r="BG780" s="4" t="str">
        <f>IFERROR(__xludf.DUMMYFUNCTION("""COMPUTED_VALUE"""),"")</f>
        <v/>
      </c>
      <c r="BH780" s="4" t="s">
        <v>64</v>
      </c>
      <c r="BI780" s="7">
        <v>1.0</v>
      </c>
    </row>
    <row r="781" hidden="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t="str">
        <f>IFERROR(__xludf.DUMMYFUNCTION("""COMPUTED_VALUE"""),"")</f>
        <v/>
      </c>
      <c r="BB781" s="4" t="str">
        <f>IFERROR(__xludf.DUMMYFUNCTION("""COMPUTED_VALUE"""),"")</f>
        <v/>
      </c>
      <c r="BC781" s="4" t="str">
        <f>IFERROR(__xludf.DUMMYFUNCTION("""COMPUTED_VALUE"""),"")</f>
        <v/>
      </c>
      <c r="BD781" s="4" t="str">
        <f>IFERROR(__xludf.DUMMYFUNCTION("""COMPUTED_VALUE"""),"")</f>
        <v/>
      </c>
      <c r="BE781" s="4" t="str">
        <f>IFERROR(__xludf.DUMMYFUNCTION("""COMPUTED_VALUE"""),"")</f>
        <v/>
      </c>
      <c r="BF781" s="4" t="str">
        <f>IFERROR(__xludf.DUMMYFUNCTION("""COMPUTED_VALUE"""),"")</f>
        <v/>
      </c>
      <c r="BG781" s="4" t="str">
        <f>IFERROR(__xludf.DUMMYFUNCTION("""COMPUTED_VALUE"""),"")</f>
        <v/>
      </c>
      <c r="BH781" s="4" t="s">
        <v>64</v>
      </c>
      <c r="BI781" s="7">
        <v>1.0</v>
      </c>
    </row>
    <row r="782" hidden="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t="str">
        <f>IFERROR(__xludf.DUMMYFUNCTION("""COMPUTED_VALUE"""),"")</f>
        <v/>
      </c>
      <c r="BB782" s="4" t="str">
        <f>IFERROR(__xludf.DUMMYFUNCTION("""COMPUTED_VALUE"""),"")</f>
        <v/>
      </c>
      <c r="BC782" s="4" t="str">
        <f>IFERROR(__xludf.DUMMYFUNCTION("""COMPUTED_VALUE"""),"")</f>
        <v/>
      </c>
      <c r="BD782" s="4" t="str">
        <f>IFERROR(__xludf.DUMMYFUNCTION("""COMPUTED_VALUE"""),"")</f>
        <v/>
      </c>
      <c r="BE782" s="4" t="str">
        <f>IFERROR(__xludf.DUMMYFUNCTION("""COMPUTED_VALUE"""),"")</f>
        <v/>
      </c>
      <c r="BF782" s="4" t="str">
        <f>IFERROR(__xludf.DUMMYFUNCTION("""COMPUTED_VALUE"""),"")</f>
        <v/>
      </c>
      <c r="BG782" s="4" t="str">
        <f>IFERROR(__xludf.DUMMYFUNCTION("""COMPUTED_VALUE"""),"")</f>
        <v/>
      </c>
      <c r="BH782" s="4" t="s">
        <v>64</v>
      </c>
      <c r="BI782" s="7">
        <v>1.0</v>
      </c>
    </row>
    <row r="783" hidden="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t="str">
        <f>IFERROR(__xludf.DUMMYFUNCTION("""COMPUTED_VALUE"""),"")</f>
        <v/>
      </c>
      <c r="BB783" s="4" t="str">
        <f>IFERROR(__xludf.DUMMYFUNCTION("""COMPUTED_VALUE"""),"")</f>
        <v/>
      </c>
      <c r="BC783" s="4" t="str">
        <f>IFERROR(__xludf.DUMMYFUNCTION("""COMPUTED_VALUE"""),"")</f>
        <v/>
      </c>
      <c r="BD783" s="4" t="str">
        <f>IFERROR(__xludf.DUMMYFUNCTION("""COMPUTED_VALUE"""),"")</f>
        <v/>
      </c>
      <c r="BE783" s="4" t="str">
        <f>IFERROR(__xludf.DUMMYFUNCTION("""COMPUTED_VALUE"""),"")</f>
        <v/>
      </c>
      <c r="BF783" s="4" t="str">
        <f>IFERROR(__xludf.DUMMYFUNCTION("""COMPUTED_VALUE"""),"")</f>
        <v/>
      </c>
      <c r="BG783" s="4" t="str">
        <f>IFERROR(__xludf.DUMMYFUNCTION("""COMPUTED_VALUE"""),"")</f>
        <v/>
      </c>
      <c r="BH783" s="4" t="s">
        <v>64</v>
      </c>
      <c r="BI783" s="7">
        <v>1.0</v>
      </c>
    </row>
    <row r="784" hidden="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t="str">
        <f>IFERROR(__xludf.DUMMYFUNCTION("""COMPUTED_VALUE"""),"")</f>
        <v/>
      </c>
      <c r="BB784" s="4" t="str">
        <f>IFERROR(__xludf.DUMMYFUNCTION("""COMPUTED_VALUE"""),"")</f>
        <v/>
      </c>
      <c r="BC784" s="4" t="str">
        <f>IFERROR(__xludf.DUMMYFUNCTION("""COMPUTED_VALUE"""),"")</f>
        <v/>
      </c>
      <c r="BD784" s="4" t="str">
        <f>IFERROR(__xludf.DUMMYFUNCTION("""COMPUTED_VALUE"""),"")</f>
        <v/>
      </c>
      <c r="BE784" s="4" t="str">
        <f>IFERROR(__xludf.DUMMYFUNCTION("""COMPUTED_VALUE"""),"")</f>
        <v/>
      </c>
      <c r="BF784" s="4" t="str">
        <f>IFERROR(__xludf.DUMMYFUNCTION("""COMPUTED_VALUE"""),"")</f>
        <v/>
      </c>
      <c r="BG784" s="4" t="str">
        <f>IFERROR(__xludf.DUMMYFUNCTION("""COMPUTED_VALUE"""),"")</f>
        <v/>
      </c>
      <c r="BH784" s="4" t="s">
        <v>64</v>
      </c>
      <c r="BI784" s="7">
        <v>1.0</v>
      </c>
    </row>
    <row r="785" hidden="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t="str">
        <f>IFERROR(__xludf.DUMMYFUNCTION("""COMPUTED_VALUE"""),"")</f>
        <v/>
      </c>
      <c r="BB785" s="4" t="str">
        <f>IFERROR(__xludf.DUMMYFUNCTION("""COMPUTED_VALUE"""),"")</f>
        <v/>
      </c>
      <c r="BC785" s="4" t="str">
        <f>IFERROR(__xludf.DUMMYFUNCTION("""COMPUTED_VALUE"""),"")</f>
        <v/>
      </c>
      <c r="BD785" s="4" t="str">
        <f>IFERROR(__xludf.DUMMYFUNCTION("""COMPUTED_VALUE"""),"")</f>
        <v/>
      </c>
      <c r="BE785" s="4" t="str">
        <f>IFERROR(__xludf.DUMMYFUNCTION("""COMPUTED_VALUE"""),"")</f>
        <v/>
      </c>
      <c r="BF785" s="4" t="str">
        <f>IFERROR(__xludf.DUMMYFUNCTION("""COMPUTED_VALUE"""),"")</f>
        <v/>
      </c>
      <c r="BG785" s="4" t="str">
        <f>IFERROR(__xludf.DUMMYFUNCTION("""COMPUTED_VALUE"""),"")</f>
        <v/>
      </c>
      <c r="BH785" s="4" t="s">
        <v>64</v>
      </c>
      <c r="BI785" s="7">
        <v>1.0</v>
      </c>
    </row>
    <row r="786" hidden="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t="str">
        <f>IFERROR(__xludf.DUMMYFUNCTION("""COMPUTED_VALUE"""),"")</f>
        <v/>
      </c>
      <c r="BB786" s="4" t="str">
        <f>IFERROR(__xludf.DUMMYFUNCTION("""COMPUTED_VALUE"""),"")</f>
        <v/>
      </c>
      <c r="BC786" s="4" t="str">
        <f>IFERROR(__xludf.DUMMYFUNCTION("""COMPUTED_VALUE"""),"")</f>
        <v/>
      </c>
      <c r="BD786" s="4" t="str">
        <f>IFERROR(__xludf.DUMMYFUNCTION("""COMPUTED_VALUE"""),"")</f>
        <v/>
      </c>
      <c r="BE786" s="4" t="str">
        <f>IFERROR(__xludf.DUMMYFUNCTION("""COMPUTED_VALUE"""),"")</f>
        <v/>
      </c>
      <c r="BF786" s="4" t="str">
        <f>IFERROR(__xludf.DUMMYFUNCTION("""COMPUTED_VALUE"""),"")</f>
        <v/>
      </c>
      <c r="BG786" s="4" t="str">
        <f>IFERROR(__xludf.DUMMYFUNCTION("""COMPUTED_VALUE"""),"")</f>
        <v/>
      </c>
      <c r="BH786" s="4" t="s">
        <v>64</v>
      </c>
      <c r="BI786" s="7">
        <v>1.0</v>
      </c>
    </row>
    <row r="787" hidden="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t="str">
        <f>IFERROR(__xludf.DUMMYFUNCTION("""COMPUTED_VALUE"""),"")</f>
        <v/>
      </c>
      <c r="BB787" s="4" t="str">
        <f>IFERROR(__xludf.DUMMYFUNCTION("""COMPUTED_VALUE"""),"")</f>
        <v/>
      </c>
      <c r="BC787" s="4" t="str">
        <f>IFERROR(__xludf.DUMMYFUNCTION("""COMPUTED_VALUE"""),"")</f>
        <v/>
      </c>
      <c r="BD787" s="4" t="str">
        <f>IFERROR(__xludf.DUMMYFUNCTION("""COMPUTED_VALUE"""),"")</f>
        <v/>
      </c>
      <c r="BE787" s="4" t="str">
        <f>IFERROR(__xludf.DUMMYFUNCTION("""COMPUTED_VALUE"""),"")</f>
        <v/>
      </c>
      <c r="BF787" s="4" t="str">
        <f>IFERROR(__xludf.DUMMYFUNCTION("""COMPUTED_VALUE"""),"")</f>
        <v/>
      </c>
      <c r="BG787" s="4" t="str">
        <f>IFERROR(__xludf.DUMMYFUNCTION("""COMPUTED_VALUE"""),"")</f>
        <v/>
      </c>
      <c r="BH787" s="4" t="s">
        <v>64</v>
      </c>
      <c r="BI787" s="7">
        <v>1.0</v>
      </c>
    </row>
    <row r="788" hidden="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t="str">
        <f>IFERROR(__xludf.DUMMYFUNCTION("""COMPUTED_VALUE"""),"")</f>
        <v/>
      </c>
      <c r="BB788" s="4" t="str">
        <f>IFERROR(__xludf.DUMMYFUNCTION("""COMPUTED_VALUE"""),"")</f>
        <v/>
      </c>
      <c r="BC788" s="4" t="str">
        <f>IFERROR(__xludf.DUMMYFUNCTION("""COMPUTED_VALUE"""),"")</f>
        <v/>
      </c>
      <c r="BD788" s="4" t="str">
        <f>IFERROR(__xludf.DUMMYFUNCTION("""COMPUTED_VALUE"""),"")</f>
        <v/>
      </c>
      <c r="BE788" s="4" t="str">
        <f>IFERROR(__xludf.DUMMYFUNCTION("""COMPUTED_VALUE"""),"")</f>
        <v/>
      </c>
      <c r="BF788" s="4" t="str">
        <f>IFERROR(__xludf.DUMMYFUNCTION("""COMPUTED_VALUE"""),"")</f>
        <v/>
      </c>
      <c r="BG788" s="4" t="str">
        <f>IFERROR(__xludf.DUMMYFUNCTION("""COMPUTED_VALUE"""),"")</f>
        <v/>
      </c>
      <c r="BH788" s="4" t="s">
        <v>64</v>
      </c>
      <c r="BI788" s="7">
        <v>1.0</v>
      </c>
    </row>
    <row r="789" hidden="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t="str">
        <f>IFERROR(__xludf.DUMMYFUNCTION("""COMPUTED_VALUE"""),"")</f>
        <v/>
      </c>
      <c r="BB789" s="4" t="str">
        <f>IFERROR(__xludf.DUMMYFUNCTION("""COMPUTED_VALUE"""),"")</f>
        <v/>
      </c>
      <c r="BC789" s="4" t="str">
        <f>IFERROR(__xludf.DUMMYFUNCTION("""COMPUTED_VALUE"""),"")</f>
        <v/>
      </c>
      <c r="BD789" s="4" t="str">
        <f>IFERROR(__xludf.DUMMYFUNCTION("""COMPUTED_VALUE"""),"")</f>
        <v/>
      </c>
      <c r="BE789" s="4" t="str">
        <f>IFERROR(__xludf.DUMMYFUNCTION("""COMPUTED_VALUE"""),"")</f>
        <v/>
      </c>
      <c r="BF789" s="4" t="str">
        <f>IFERROR(__xludf.DUMMYFUNCTION("""COMPUTED_VALUE"""),"")</f>
        <v/>
      </c>
      <c r="BG789" s="4" t="str">
        <f>IFERROR(__xludf.DUMMYFUNCTION("""COMPUTED_VALUE"""),"")</f>
        <v/>
      </c>
      <c r="BH789" s="4" t="s">
        <v>64</v>
      </c>
      <c r="BI789" s="7">
        <v>1.0</v>
      </c>
    </row>
    <row r="790" hidden="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t="str">
        <f>IFERROR(__xludf.DUMMYFUNCTION("""COMPUTED_VALUE"""),"")</f>
        <v/>
      </c>
      <c r="BB790" s="4" t="str">
        <f>IFERROR(__xludf.DUMMYFUNCTION("""COMPUTED_VALUE"""),"")</f>
        <v/>
      </c>
      <c r="BC790" s="4" t="str">
        <f>IFERROR(__xludf.DUMMYFUNCTION("""COMPUTED_VALUE"""),"")</f>
        <v/>
      </c>
      <c r="BD790" s="4" t="str">
        <f>IFERROR(__xludf.DUMMYFUNCTION("""COMPUTED_VALUE"""),"")</f>
        <v/>
      </c>
      <c r="BE790" s="4" t="str">
        <f>IFERROR(__xludf.DUMMYFUNCTION("""COMPUTED_VALUE"""),"")</f>
        <v/>
      </c>
      <c r="BF790" s="4" t="str">
        <f>IFERROR(__xludf.DUMMYFUNCTION("""COMPUTED_VALUE"""),"")</f>
        <v/>
      </c>
      <c r="BG790" s="4" t="str">
        <f>IFERROR(__xludf.DUMMYFUNCTION("""COMPUTED_VALUE"""),"")</f>
        <v/>
      </c>
      <c r="BH790" s="4" t="s">
        <v>64</v>
      </c>
      <c r="BI790" s="7">
        <v>1.0</v>
      </c>
    </row>
    <row r="791" hidden="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t="str">
        <f>IFERROR(__xludf.DUMMYFUNCTION("""COMPUTED_VALUE"""),"")</f>
        <v/>
      </c>
      <c r="BB791" s="4" t="str">
        <f>IFERROR(__xludf.DUMMYFUNCTION("""COMPUTED_VALUE"""),"")</f>
        <v/>
      </c>
      <c r="BC791" s="4" t="str">
        <f>IFERROR(__xludf.DUMMYFUNCTION("""COMPUTED_VALUE"""),"")</f>
        <v/>
      </c>
      <c r="BD791" s="4" t="str">
        <f>IFERROR(__xludf.DUMMYFUNCTION("""COMPUTED_VALUE"""),"")</f>
        <v/>
      </c>
      <c r="BE791" s="4" t="str">
        <f>IFERROR(__xludf.DUMMYFUNCTION("""COMPUTED_VALUE"""),"")</f>
        <v/>
      </c>
      <c r="BF791" s="4" t="str">
        <f>IFERROR(__xludf.DUMMYFUNCTION("""COMPUTED_VALUE"""),"")</f>
        <v/>
      </c>
      <c r="BG791" s="4" t="str">
        <f>IFERROR(__xludf.DUMMYFUNCTION("""COMPUTED_VALUE"""),"")</f>
        <v/>
      </c>
      <c r="BH791" s="4" t="s">
        <v>64</v>
      </c>
      <c r="BI791" s="7">
        <v>1.0</v>
      </c>
    </row>
    <row r="792" hidden="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t="str">
        <f>IFERROR(__xludf.DUMMYFUNCTION("""COMPUTED_VALUE"""),"")</f>
        <v/>
      </c>
      <c r="BB792" s="4" t="str">
        <f>IFERROR(__xludf.DUMMYFUNCTION("""COMPUTED_VALUE"""),"")</f>
        <v/>
      </c>
      <c r="BC792" s="4" t="str">
        <f>IFERROR(__xludf.DUMMYFUNCTION("""COMPUTED_VALUE"""),"")</f>
        <v/>
      </c>
      <c r="BD792" s="4" t="str">
        <f>IFERROR(__xludf.DUMMYFUNCTION("""COMPUTED_VALUE"""),"")</f>
        <v/>
      </c>
      <c r="BE792" s="4" t="str">
        <f>IFERROR(__xludf.DUMMYFUNCTION("""COMPUTED_VALUE"""),"")</f>
        <v/>
      </c>
      <c r="BF792" s="4" t="str">
        <f>IFERROR(__xludf.DUMMYFUNCTION("""COMPUTED_VALUE"""),"")</f>
        <v/>
      </c>
      <c r="BG792" s="4" t="str">
        <f>IFERROR(__xludf.DUMMYFUNCTION("""COMPUTED_VALUE"""),"")</f>
        <v/>
      </c>
      <c r="BH792" s="4" t="s">
        <v>64</v>
      </c>
      <c r="BI792" s="7">
        <v>1.0</v>
      </c>
    </row>
    <row r="793" hidden="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t="str">
        <f>IFERROR(__xludf.DUMMYFUNCTION("""COMPUTED_VALUE"""),"")</f>
        <v/>
      </c>
      <c r="BB793" s="4" t="str">
        <f>IFERROR(__xludf.DUMMYFUNCTION("""COMPUTED_VALUE"""),"")</f>
        <v/>
      </c>
      <c r="BC793" s="4" t="str">
        <f>IFERROR(__xludf.DUMMYFUNCTION("""COMPUTED_VALUE"""),"")</f>
        <v/>
      </c>
      <c r="BD793" s="4" t="str">
        <f>IFERROR(__xludf.DUMMYFUNCTION("""COMPUTED_VALUE"""),"")</f>
        <v/>
      </c>
      <c r="BE793" s="4" t="str">
        <f>IFERROR(__xludf.DUMMYFUNCTION("""COMPUTED_VALUE"""),"")</f>
        <v/>
      </c>
      <c r="BF793" s="4" t="str">
        <f>IFERROR(__xludf.DUMMYFUNCTION("""COMPUTED_VALUE"""),"")</f>
        <v/>
      </c>
      <c r="BG793" s="4" t="str">
        <f>IFERROR(__xludf.DUMMYFUNCTION("""COMPUTED_VALUE"""),"")</f>
        <v/>
      </c>
      <c r="BH793" s="4" t="s">
        <v>64</v>
      </c>
      <c r="BI793" s="7">
        <v>1.0</v>
      </c>
    </row>
    <row r="794" hidden="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t="str">
        <f>IFERROR(__xludf.DUMMYFUNCTION("""COMPUTED_VALUE"""),"")</f>
        <v/>
      </c>
      <c r="BB794" s="4" t="str">
        <f>IFERROR(__xludf.DUMMYFUNCTION("""COMPUTED_VALUE"""),"")</f>
        <v/>
      </c>
      <c r="BC794" s="4" t="str">
        <f>IFERROR(__xludf.DUMMYFUNCTION("""COMPUTED_VALUE"""),"")</f>
        <v/>
      </c>
      <c r="BD794" s="4" t="str">
        <f>IFERROR(__xludf.DUMMYFUNCTION("""COMPUTED_VALUE"""),"")</f>
        <v/>
      </c>
      <c r="BE794" s="4" t="str">
        <f>IFERROR(__xludf.DUMMYFUNCTION("""COMPUTED_VALUE"""),"")</f>
        <v/>
      </c>
      <c r="BF794" s="4" t="str">
        <f>IFERROR(__xludf.DUMMYFUNCTION("""COMPUTED_VALUE"""),"")</f>
        <v/>
      </c>
      <c r="BG794" s="4" t="str">
        <f>IFERROR(__xludf.DUMMYFUNCTION("""COMPUTED_VALUE"""),"")</f>
        <v/>
      </c>
      <c r="BH794" s="4" t="s">
        <v>64</v>
      </c>
      <c r="BI794" s="7">
        <v>1.0</v>
      </c>
    </row>
    <row r="795" hidden="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t="str">
        <f>IFERROR(__xludf.DUMMYFUNCTION("""COMPUTED_VALUE"""),"")</f>
        <v/>
      </c>
      <c r="BB795" s="4" t="str">
        <f>IFERROR(__xludf.DUMMYFUNCTION("""COMPUTED_VALUE"""),"")</f>
        <v/>
      </c>
      <c r="BC795" s="4" t="str">
        <f>IFERROR(__xludf.DUMMYFUNCTION("""COMPUTED_VALUE"""),"")</f>
        <v/>
      </c>
      <c r="BD795" s="4" t="str">
        <f>IFERROR(__xludf.DUMMYFUNCTION("""COMPUTED_VALUE"""),"")</f>
        <v/>
      </c>
      <c r="BE795" s="4" t="str">
        <f>IFERROR(__xludf.DUMMYFUNCTION("""COMPUTED_VALUE"""),"")</f>
        <v/>
      </c>
      <c r="BF795" s="4" t="str">
        <f>IFERROR(__xludf.DUMMYFUNCTION("""COMPUTED_VALUE"""),"")</f>
        <v/>
      </c>
      <c r="BG795" s="4" t="str">
        <f>IFERROR(__xludf.DUMMYFUNCTION("""COMPUTED_VALUE"""),"")</f>
        <v/>
      </c>
      <c r="BH795" s="4" t="s">
        <v>64</v>
      </c>
      <c r="BI795" s="7">
        <v>1.0</v>
      </c>
    </row>
    <row r="796" hidden="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t="str">
        <f>IFERROR(__xludf.DUMMYFUNCTION("""COMPUTED_VALUE"""),"")</f>
        <v/>
      </c>
      <c r="BB796" s="4" t="str">
        <f>IFERROR(__xludf.DUMMYFUNCTION("""COMPUTED_VALUE"""),"")</f>
        <v/>
      </c>
      <c r="BC796" s="4" t="str">
        <f>IFERROR(__xludf.DUMMYFUNCTION("""COMPUTED_VALUE"""),"")</f>
        <v/>
      </c>
      <c r="BD796" s="4" t="str">
        <f>IFERROR(__xludf.DUMMYFUNCTION("""COMPUTED_VALUE"""),"")</f>
        <v/>
      </c>
      <c r="BE796" s="4" t="str">
        <f>IFERROR(__xludf.DUMMYFUNCTION("""COMPUTED_VALUE"""),"")</f>
        <v/>
      </c>
      <c r="BF796" s="4" t="str">
        <f>IFERROR(__xludf.DUMMYFUNCTION("""COMPUTED_VALUE"""),"")</f>
        <v/>
      </c>
      <c r="BG796" s="4" t="str">
        <f>IFERROR(__xludf.DUMMYFUNCTION("""COMPUTED_VALUE"""),"")</f>
        <v/>
      </c>
      <c r="BH796" s="4" t="s">
        <v>64</v>
      </c>
      <c r="BI796" s="7">
        <v>1.0</v>
      </c>
    </row>
    <row r="797" hidden="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t="str">
        <f>IFERROR(__xludf.DUMMYFUNCTION("""COMPUTED_VALUE"""),"")</f>
        <v/>
      </c>
      <c r="BB797" s="4" t="str">
        <f>IFERROR(__xludf.DUMMYFUNCTION("""COMPUTED_VALUE"""),"")</f>
        <v/>
      </c>
      <c r="BC797" s="4" t="str">
        <f>IFERROR(__xludf.DUMMYFUNCTION("""COMPUTED_VALUE"""),"")</f>
        <v/>
      </c>
      <c r="BD797" s="4" t="str">
        <f>IFERROR(__xludf.DUMMYFUNCTION("""COMPUTED_VALUE"""),"")</f>
        <v/>
      </c>
      <c r="BE797" s="4" t="str">
        <f>IFERROR(__xludf.DUMMYFUNCTION("""COMPUTED_VALUE"""),"")</f>
        <v/>
      </c>
      <c r="BF797" s="4" t="str">
        <f>IFERROR(__xludf.DUMMYFUNCTION("""COMPUTED_VALUE"""),"")</f>
        <v/>
      </c>
      <c r="BG797" s="4" t="str">
        <f>IFERROR(__xludf.DUMMYFUNCTION("""COMPUTED_VALUE"""),"")</f>
        <v/>
      </c>
      <c r="BH797" s="4" t="s">
        <v>64</v>
      </c>
      <c r="BI797" s="7">
        <v>1.0</v>
      </c>
    </row>
    <row r="798" hidden="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t="str">
        <f>IFERROR(__xludf.DUMMYFUNCTION("""COMPUTED_VALUE"""),"")</f>
        <v/>
      </c>
      <c r="BB798" s="4" t="str">
        <f>IFERROR(__xludf.DUMMYFUNCTION("""COMPUTED_VALUE"""),"")</f>
        <v/>
      </c>
      <c r="BC798" s="4" t="str">
        <f>IFERROR(__xludf.DUMMYFUNCTION("""COMPUTED_VALUE"""),"")</f>
        <v/>
      </c>
      <c r="BD798" s="4" t="str">
        <f>IFERROR(__xludf.DUMMYFUNCTION("""COMPUTED_VALUE"""),"")</f>
        <v/>
      </c>
      <c r="BE798" s="4" t="str">
        <f>IFERROR(__xludf.DUMMYFUNCTION("""COMPUTED_VALUE"""),"")</f>
        <v/>
      </c>
      <c r="BF798" s="4" t="str">
        <f>IFERROR(__xludf.DUMMYFUNCTION("""COMPUTED_VALUE"""),"")</f>
        <v/>
      </c>
      <c r="BG798" s="4" t="str">
        <f>IFERROR(__xludf.DUMMYFUNCTION("""COMPUTED_VALUE"""),"")</f>
        <v/>
      </c>
      <c r="BH798" s="4" t="s">
        <v>64</v>
      </c>
      <c r="BI798" s="7">
        <v>1.0</v>
      </c>
    </row>
    <row r="799" hidden="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t="str">
        <f>IFERROR(__xludf.DUMMYFUNCTION("""COMPUTED_VALUE"""),"")</f>
        <v/>
      </c>
      <c r="BB799" s="4" t="str">
        <f>IFERROR(__xludf.DUMMYFUNCTION("""COMPUTED_VALUE"""),"")</f>
        <v/>
      </c>
      <c r="BC799" s="4" t="str">
        <f>IFERROR(__xludf.DUMMYFUNCTION("""COMPUTED_VALUE"""),"")</f>
        <v/>
      </c>
      <c r="BD799" s="4" t="str">
        <f>IFERROR(__xludf.DUMMYFUNCTION("""COMPUTED_VALUE"""),"")</f>
        <v/>
      </c>
      <c r="BE799" s="4" t="str">
        <f>IFERROR(__xludf.DUMMYFUNCTION("""COMPUTED_VALUE"""),"")</f>
        <v/>
      </c>
      <c r="BF799" s="4" t="str">
        <f>IFERROR(__xludf.DUMMYFUNCTION("""COMPUTED_VALUE"""),"")</f>
        <v/>
      </c>
      <c r="BG799" s="4" t="str">
        <f>IFERROR(__xludf.DUMMYFUNCTION("""COMPUTED_VALUE"""),"")</f>
        <v/>
      </c>
      <c r="BH799" s="4" t="s">
        <v>64</v>
      </c>
      <c r="BI799" s="7">
        <v>1.0</v>
      </c>
    </row>
    <row r="800" hidden="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t="str">
        <f>IFERROR(__xludf.DUMMYFUNCTION("""COMPUTED_VALUE"""),"")</f>
        <v/>
      </c>
      <c r="BB800" s="4" t="str">
        <f>IFERROR(__xludf.DUMMYFUNCTION("""COMPUTED_VALUE"""),"")</f>
        <v/>
      </c>
      <c r="BC800" s="4" t="str">
        <f>IFERROR(__xludf.DUMMYFUNCTION("""COMPUTED_VALUE"""),"")</f>
        <v/>
      </c>
      <c r="BD800" s="4" t="str">
        <f>IFERROR(__xludf.DUMMYFUNCTION("""COMPUTED_VALUE"""),"")</f>
        <v/>
      </c>
      <c r="BE800" s="4" t="str">
        <f>IFERROR(__xludf.DUMMYFUNCTION("""COMPUTED_VALUE"""),"")</f>
        <v/>
      </c>
      <c r="BF800" s="4" t="str">
        <f>IFERROR(__xludf.DUMMYFUNCTION("""COMPUTED_VALUE"""),"")</f>
        <v/>
      </c>
      <c r="BG800" s="4" t="str">
        <f>IFERROR(__xludf.DUMMYFUNCTION("""COMPUTED_VALUE"""),"")</f>
        <v/>
      </c>
      <c r="BH800" s="4" t="s">
        <v>64</v>
      </c>
      <c r="BI800" s="7">
        <v>1.0</v>
      </c>
    </row>
    <row r="801" hidden="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t="str">
        <f>IFERROR(__xludf.DUMMYFUNCTION("""COMPUTED_VALUE"""),"")</f>
        <v/>
      </c>
      <c r="BB801" s="4" t="str">
        <f>IFERROR(__xludf.DUMMYFUNCTION("""COMPUTED_VALUE"""),"")</f>
        <v/>
      </c>
      <c r="BC801" s="4" t="str">
        <f>IFERROR(__xludf.DUMMYFUNCTION("""COMPUTED_VALUE"""),"")</f>
        <v/>
      </c>
      <c r="BD801" s="4" t="str">
        <f>IFERROR(__xludf.DUMMYFUNCTION("""COMPUTED_VALUE"""),"")</f>
        <v/>
      </c>
      <c r="BE801" s="4" t="str">
        <f>IFERROR(__xludf.DUMMYFUNCTION("""COMPUTED_VALUE"""),"")</f>
        <v/>
      </c>
      <c r="BF801" s="4" t="str">
        <f>IFERROR(__xludf.DUMMYFUNCTION("""COMPUTED_VALUE"""),"")</f>
        <v/>
      </c>
      <c r="BG801" s="4" t="str">
        <f>IFERROR(__xludf.DUMMYFUNCTION("""COMPUTED_VALUE"""),"")</f>
        <v/>
      </c>
      <c r="BH801" s="4" t="s">
        <v>64</v>
      </c>
      <c r="BI801" s="7">
        <v>1.0</v>
      </c>
    </row>
    <row r="802" hidden="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t="str">
        <f>IFERROR(__xludf.DUMMYFUNCTION("""COMPUTED_VALUE"""),"")</f>
        <v/>
      </c>
      <c r="BB802" s="4" t="str">
        <f>IFERROR(__xludf.DUMMYFUNCTION("""COMPUTED_VALUE"""),"")</f>
        <v/>
      </c>
      <c r="BC802" s="4" t="str">
        <f>IFERROR(__xludf.DUMMYFUNCTION("""COMPUTED_VALUE"""),"")</f>
        <v/>
      </c>
      <c r="BD802" s="4" t="str">
        <f>IFERROR(__xludf.DUMMYFUNCTION("""COMPUTED_VALUE"""),"")</f>
        <v/>
      </c>
      <c r="BE802" s="4" t="str">
        <f>IFERROR(__xludf.DUMMYFUNCTION("""COMPUTED_VALUE"""),"")</f>
        <v/>
      </c>
      <c r="BF802" s="4" t="str">
        <f>IFERROR(__xludf.DUMMYFUNCTION("""COMPUTED_VALUE"""),"")</f>
        <v/>
      </c>
      <c r="BG802" s="4" t="str">
        <f>IFERROR(__xludf.DUMMYFUNCTION("""COMPUTED_VALUE"""),"")</f>
        <v/>
      </c>
      <c r="BH802" s="4" t="s">
        <v>64</v>
      </c>
      <c r="BI802" s="7">
        <v>1.0</v>
      </c>
    </row>
    <row r="803" hidden="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t="str">
        <f>IFERROR(__xludf.DUMMYFUNCTION("""COMPUTED_VALUE"""),"")</f>
        <v/>
      </c>
      <c r="BB803" s="4" t="str">
        <f>IFERROR(__xludf.DUMMYFUNCTION("""COMPUTED_VALUE"""),"")</f>
        <v/>
      </c>
      <c r="BC803" s="4" t="str">
        <f>IFERROR(__xludf.DUMMYFUNCTION("""COMPUTED_VALUE"""),"")</f>
        <v/>
      </c>
      <c r="BD803" s="4" t="str">
        <f>IFERROR(__xludf.DUMMYFUNCTION("""COMPUTED_VALUE"""),"")</f>
        <v/>
      </c>
      <c r="BE803" s="4" t="str">
        <f>IFERROR(__xludf.DUMMYFUNCTION("""COMPUTED_VALUE"""),"")</f>
        <v/>
      </c>
      <c r="BF803" s="4" t="str">
        <f>IFERROR(__xludf.DUMMYFUNCTION("""COMPUTED_VALUE"""),"")</f>
        <v/>
      </c>
      <c r="BG803" s="4" t="str">
        <f>IFERROR(__xludf.DUMMYFUNCTION("""COMPUTED_VALUE"""),"")</f>
        <v/>
      </c>
      <c r="BH803" s="4" t="s">
        <v>64</v>
      </c>
      <c r="BI803" s="7">
        <v>1.0</v>
      </c>
    </row>
    <row r="804" hidden="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t="str">
        <f>IFERROR(__xludf.DUMMYFUNCTION("""COMPUTED_VALUE"""),"")</f>
        <v/>
      </c>
      <c r="BB804" s="4" t="str">
        <f>IFERROR(__xludf.DUMMYFUNCTION("""COMPUTED_VALUE"""),"")</f>
        <v/>
      </c>
      <c r="BC804" s="4" t="str">
        <f>IFERROR(__xludf.DUMMYFUNCTION("""COMPUTED_VALUE"""),"")</f>
        <v/>
      </c>
      <c r="BD804" s="4" t="str">
        <f>IFERROR(__xludf.DUMMYFUNCTION("""COMPUTED_VALUE"""),"")</f>
        <v/>
      </c>
      <c r="BE804" s="4" t="str">
        <f>IFERROR(__xludf.DUMMYFUNCTION("""COMPUTED_VALUE"""),"")</f>
        <v/>
      </c>
      <c r="BF804" s="4" t="str">
        <f>IFERROR(__xludf.DUMMYFUNCTION("""COMPUTED_VALUE"""),"")</f>
        <v/>
      </c>
      <c r="BG804" s="4" t="str">
        <f>IFERROR(__xludf.DUMMYFUNCTION("""COMPUTED_VALUE"""),"")</f>
        <v/>
      </c>
      <c r="BH804" s="4" t="s">
        <v>64</v>
      </c>
      <c r="BI804" s="7">
        <v>1.0</v>
      </c>
    </row>
    <row r="805" hidden="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t="str">
        <f>IFERROR(__xludf.DUMMYFUNCTION("""COMPUTED_VALUE"""),"")</f>
        <v/>
      </c>
      <c r="BB805" s="4" t="str">
        <f>IFERROR(__xludf.DUMMYFUNCTION("""COMPUTED_VALUE"""),"")</f>
        <v/>
      </c>
      <c r="BC805" s="4" t="str">
        <f>IFERROR(__xludf.DUMMYFUNCTION("""COMPUTED_VALUE"""),"")</f>
        <v/>
      </c>
      <c r="BD805" s="4" t="str">
        <f>IFERROR(__xludf.DUMMYFUNCTION("""COMPUTED_VALUE"""),"")</f>
        <v/>
      </c>
      <c r="BE805" s="4" t="str">
        <f>IFERROR(__xludf.DUMMYFUNCTION("""COMPUTED_VALUE"""),"")</f>
        <v/>
      </c>
      <c r="BF805" s="4" t="str">
        <f>IFERROR(__xludf.DUMMYFUNCTION("""COMPUTED_VALUE"""),"")</f>
        <v/>
      </c>
      <c r="BG805" s="4" t="str">
        <f>IFERROR(__xludf.DUMMYFUNCTION("""COMPUTED_VALUE"""),"")</f>
        <v/>
      </c>
      <c r="BH805" s="4" t="s">
        <v>64</v>
      </c>
      <c r="BI805" s="7">
        <v>1.0</v>
      </c>
    </row>
    <row r="806" hidden="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t="str">
        <f>IFERROR(__xludf.DUMMYFUNCTION("""COMPUTED_VALUE"""),"")</f>
        <v/>
      </c>
      <c r="BB806" s="4" t="str">
        <f>IFERROR(__xludf.DUMMYFUNCTION("""COMPUTED_VALUE"""),"")</f>
        <v/>
      </c>
      <c r="BC806" s="4" t="str">
        <f>IFERROR(__xludf.DUMMYFUNCTION("""COMPUTED_VALUE"""),"")</f>
        <v/>
      </c>
      <c r="BD806" s="4" t="str">
        <f>IFERROR(__xludf.DUMMYFUNCTION("""COMPUTED_VALUE"""),"")</f>
        <v/>
      </c>
      <c r="BE806" s="4" t="str">
        <f>IFERROR(__xludf.DUMMYFUNCTION("""COMPUTED_VALUE"""),"")</f>
        <v/>
      </c>
      <c r="BF806" s="4" t="str">
        <f>IFERROR(__xludf.DUMMYFUNCTION("""COMPUTED_VALUE"""),"")</f>
        <v/>
      </c>
      <c r="BG806" s="4" t="str">
        <f>IFERROR(__xludf.DUMMYFUNCTION("""COMPUTED_VALUE"""),"")</f>
        <v/>
      </c>
      <c r="BH806" s="4" t="s">
        <v>64</v>
      </c>
      <c r="BI806" s="7">
        <v>1.0</v>
      </c>
    </row>
    <row r="807" hidden="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t="str">
        <f>IFERROR(__xludf.DUMMYFUNCTION("""COMPUTED_VALUE"""),"")</f>
        <v/>
      </c>
      <c r="BB807" s="4" t="str">
        <f>IFERROR(__xludf.DUMMYFUNCTION("""COMPUTED_VALUE"""),"")</f>
        <v/>
      </c>
      <c r="BC807" s="4" t="str">
        <f>IFERROR(__xludf.DUMMYFUNCTION("""COMPUTED_VALUE"""),"")</f>
        <v/>
      </c>
      <c r="BD807" s="4" t="str">
        <f>IFERROR(__xludf.DUMMYFUNCTION("""COMPUTED_VALUE"""),"")</f>
        <v/>
      </c>
      <c r="BE807" s="4" t="str">
        <f>IFERROR(__xludf.DUMMYFUNCTION("""COMPUTED_VALUE"""),"")</f>
        <v/>
      </c>
      <c r="BF807" s="4" t="str">
        <f>IFERROR(__xludf.DUMMYFUNCTION("""COMPUTED_VALUE"""),"")</f>
        <v/>
      </c>
      <c r="BG807" s="4" t="str">
        <f>IFERROR(__xludf.DUMMYFUNCTION("""COMPUTED_VALUE"""),"")</f>
        <v/>
      </c>
      <c r="BH807" s="4" t="s">
        <v>64</v>
      </c>
      <c r="BI807" s="7">
        <v>1.0</v>
      </c>
    </row>
    <row r="808" hidden="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t="str">
        <f>IFERROR(__xludf.DUMMYFUNCTION("""COMPUTED_VALUE"""),"")</f>
        <v/>
      </c>
      <c r="BB808" s="4" t="str">
        <f>IFERROR(__xludf.DUMMYFUNCTION("""COMPUTED_VALUE"""),"")</f>
        <v/>
      </c>
      <c r="BC808" s="4" t="str">
        <f>IFERROR(__xludf.DUMMYFUNCTION("""COMPUTED_VALUE"""),"")</f>
        <v/>
      </c>
      <c r="BD808" s="4" t="str">
        <f>IFERROR(__xludf.DUMMYFUNCTION("""COMPUTED_VALUE"""),"")</f>
        <v/>
      </c>
      <c r="BE808" s="4" t="str">
        <f>IFERROR(__xludf.DUMMYFUNCTION("""COMPUTED_VALUE"""),"")</f>
        <v/>
      </c>
      <c r="BF808" s="4" t="str">
        <f>IFERROR(__xludf.DUMMYFUNCTION("""COMPUTED_VALUE"""),"")</f>
        <v/>
      </c>
      <c r="BG808" s="4" t="str">
        <f>IFERROR(__xludf.DUMMYFUNCTION("""COMPUTED_VALUE"""),"")</f>
        <v/>
      </c>
      <c r="BH808" s="4" t="s">
        <v>64</v>
      </c>
      <c r="BI808" s="7">
        <v>1.0</v>
      </c>
    </row>
    <row r="809" hidden="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t="str">
        <f>IFERROR(__xludf.DUMMYFUNCTION("""COMPUTED_VALUE"""),"")</f>
        <v/>
      </c>
      <c r="BB809" s="4" t="str">
        <f>IFERROR(__xludf.DUMMYFUNCTION("""COMPUTED_VALUE"""),"")</f>
        <v/>
      </c>
      <c r="BC809" s="4" t="str">
        <f>IFERROR(__xludf.DUMMYFUNCTION("""COMPUTED_VALUE"""),"")</f>
        <v/>
      </c>
      <c r="BD809" s="4" t="str">
        <f>IFERROR(__xludf.DUMMYFUNCTION("""COMPUTED_VALUE"""),"")</f>
        <v/>
      </c>
      <c r="BE809" s="4" t="str">
        <f>IFERROR(__xludf.DUMMYFUNCTION("""COMPUTED_VALUE"""),"")</f>
        <v/>
      </c>
      <c r="BF809" s="4" t="str">
        <f>IFERROR(__xludf.DUMMYFUNCTION("""COMPUTED_VALUE"""),"")</f>
        <v/>
      </c>
      <c r="BG809" s="4" t="str">
        <f>IFERROR(__xludf.DUMMYFUNCTION("""COMPUTED_VALUE"""),"")</f>
        <v/>
      </c>
      <c r="BH809" s="4" t="s">
        <v>64</v>
      </c>
      <c r="BI809" s="7">
        <v>1.0</v>
      </c>
    </row>
    <row r="810" hidden="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t="str">
        <f>IFERROR(__xludf.DUMMYFUNCTION("""COMPUTED_VALUE"""),"")</f>
        <v/>
      </c>
      <c r="BB810" s="4" t="str">
        <f>IFERROR(__xludf.DUMMYFUNCTION("""COMPUTED_VALUE"""),"")</f>
        <v/>
      </c>
      <c r="BC810" s="4" t="str">
        <f>IFERROR(__xludf.DUMMYFUNCTION("""COMPUTED_VALUE"""),"")</f>
        <v/>
      </c>
      <c r="BD810" s="4" t="str">
        <f>IFERROR(__xludf.DUMMYFUNCTION("""COMPUTED_VALUE"""),"")</f>
        <v/>
      </c>
      <c r="BE810" s="4" t="str">
        <f>IFERROR(__xludf.DUMMYFUNCTION("""COMPUTED_VALUE"""),"")</f>
        <v/>
      </c>
      <c r="BF810" s="4" t="str">
        <f>IFERROR(__xludf.DUMMYFUNCTION("""COMPUTED_VALUE"""),"")</f>
        <v/>
      </c>
      <c r="BG810" s="4" t="str">
        <f>IFERROR(__xludf.DUMMYFUNCTION("""COMPUTED_VALUE"""),"")</f>
        <v/>
      </c>
      <c r="BH810" s="4" t="s">
        <v>64</v>
      </c>
      <c r="BI810" s="7">
        <v>1.0</v>
      </c>
    </row>
    <row r="811" hidden="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t="str">
        <f>IFERROR(__xludf.DUMMYFUNCTION("""COMPUTED_VALUE"""),"")</f>
        <v/>
      </c>
      <c r="BB811" s="4" t="str">
        <f>IFERROR(__xludf.DUMMYFUNCTION("""COMPUTED_VALUE"""),"")</f>
        <v/>
      </c>
      <c r="BC811" s="4" t="str">
        <f>IFERROR(__xludf.DUMMYFUNCTION("""COMPUTED_VALUE"""),"")</f>
        <v/>
      </c>
      <c r="BD811" s="4" t="str">
        <f>IFERROR(__xludf.DUMMYFUNCTION("""COMPUTED_VALUE"""),"")</f>
        <v/>
      </c>
      <c r="BE811" s="4" t="str">
        <f>IFERROR(__xludf.DUMMYFUNCTION("""COMPUTED_VALUE"""),"")</f>
        <v/>
      </c>
      <c r="BF811" s="4" t="str">
        <f>IFERROR(__xludf.DUMMYFUNCTION("""COMPUTED_VALUE"""),"")</f>
        <v/>
      </c>
      <c r="BG811" s="4" t="str">
        <f>IFERROR(__xludf.DUMMYFUNCTION("""COMPUTED_VALUE"""),"")</f>
        <v/>
      </c>
      <c r="BH811" s="4" t="s">
        <v>64</v>
      </c>
      <c r="BI811" s="7">
        <v>1.0</v>
      </c>
    </row>
    <row r="812" hidden="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t="str">
        <f>IFERROR(__xludf.DUMMYFUNCTION("""COMPUTED_VALUE"""),"")</f>
        <v/>
      </c>
      <c r="BB812" s="4" t="str">
        <f>IFERROR(__xludf.DUMMYFUNCTION("""COMPUTED_VALUE"""),"")</f>
        <v/>
      </c>
      <c r="BC812" s="4" t="str">
        <f>IFERROR(__xludf.DUMMYFUNCTION("""COMPUTED_VALUE"""),"")</f>
        <v/>
      </c>
      <c r="BD812" s="4" t="str">
        <f>IFERROR(__xludf.DUMMYFUNCTION("""COMPUTED_VALUE"""),"")</f>
        <v/>
      </c>
      <c r="BE812" s="4" t="str">
        <f>IFERROR(__xludf.DUMMYFUNCTION("""COMPUTED_VALUE"""),"")</f>
        <v/>
      </c>
      <c r="BF812" s="4" t="str">
        <f>IFERROR(__xludf.DUMMYFUNCTION("""COMPUTED_VALUE"""),"")</f>
        <v/>
      </c>
      <c r="BG812" s="4" t="str">
        <f>IFERROR(__xludf.DUMMYFUNCTION("""COMPUTED_VALUE"""),"")</f>
        <v/>
      </c>
      <c r="BH812" s="4" t="s">
        <v>64</v>
      </c>
      <c r="BI812" s="7">
        <v>1.0</v>
      </c>
    </row>
    <row r="813" hidden="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t="str">
        <f>IFERROR(__xludf.DUMMYFUNCTION("""COMPUTED_VALUE"""),"")</f>
        <v/>
      </c>
      <c r="BB813" s="4" t="str">
        <f>IFERROR(__xludf.DUMMYFUNCTION("""COMPUTED_VALUE"""),"")</f>
        <v/>
      </c>
      <c r="BC813" s="4" t="str">
        <f>IFERROR(__xludf.DUMMYFUNCTION("""COMPUTED_VALUE"""),"")</f>
        <v/>
      </c>
      <c r="BD813" s="4" t="str">
        <f>IFERROR(__xludf.DUMMYFUNCTION("""COMPUTED_VALUE"""),"")</f>
        <v/>
      </c>
      <c r="BE813" s="4" t="str">
        <f>IFERROR(__xludf.DUMMYFUNCTION("""COMPUTED_VALUE"""),"")</f>
        <v/>
      </c>
      <c r="BF813" s="4" t="str">
        <f>IFERROR(__xludf.DUMMYFUNCTION("""COMPUTED_VALUE"""),"")</f>
        <v/>
      </c>
      <c r="BG813" s="4" t="str">
        <f>IFERROR(__xludf.DUMMYFUNCTION("""COMPUTED_VALUE"""),"")</f>
        <v/>
      </c>
      <c r="BH813" s="4" t="s">
        <v>64</v>
      </c>
      <c r="BI813" s="7">
        <v>1.0</v>
      </c>
    </row>
    <row r="814" hidden="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t="str">
        <f>IFERROR(__xludf.DUMMYFUNCTION("""COMPUTED_VALUE"""),"")</f>
        <v/>
      </c>
      <c r="BB814" s="4" t="str">
        <f>IFERROR(__xludf.DUMMYFUNCTION("""COMPUTED_VALUE"""),"")</f>
        <v/>
      </c>
      <c r="BC814" s="4" t="str">
        <f>IFERROR(__xludf.DUMMYFUNCTION("""COMPUTED_VALUE"""),"")</f>
        <v/>
      </c>
      <c r="BD814" s="4" t="str">
        <f>IFERROR(__xludf.DUMMYFUNCTION("""COMPUTED_VALUE"""),"")</f>
        <v/>
      </c>
      <c r="BE814" s="4" t="str">
        <f>IFERROR(__xludf.DUMMYFUNCTION("""COMPUTED_VALUE"""),"")</f>
        <v/>
      </c>
      <c r="BF814" s="4" t="str">
        <f>IFERROR(__xludf.DUMMYFUNCTION("""COMPUTED_VALUE"""),"")</f>
        <v/>
      </c>
      <c r="BG814" s="4" t="str">
        <f>IFERROR(__xludf.DUMMYFUNCTION("""COMPUTED_VALUE"""),"")</f>
        <v/>
      </c>
      <c r="BH814" s="4" t="s">
        <v>64</v>
      </c>
      <c r="BI814" s="7">
        <v>1.0</v>
      </c>
    </row>
    <row r="815" hidden="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t="str">
        <f>IFERROR(__xludf.DUMMYFUNCTION("""COMPUTED_VALUE"""),"")</f>
        <v/>
      </c>
      <c r="BB815" s="4" t="str">
        <f>IFERROR(__xludf.DUMMYFUNCTION("""COMPUTED_VALUE"""),"")</f>
        <v/>
      </c>
      <c r="BC815" s="4" t="str">
        <f>IFERROR(__xludf.DUMMYFUNCTION("""COMPUTED_VALUE"""),"")</f>
        <v/>
      </c>
      <c r="BD815" s="4" t="str">
        <f>IFERROR(__xludf.DUMMYFUNCTION("""COMPUTED_VALUE"""),"")</f>
        <v/>
      </c>
      <c r="BE815" s="4" t="str">
        <f>IFERROR(__xludf.DUMMYFUNCTION("""COMPUTED_VALUE"""),"")</f>
        <v/>
      </c>
      <c r="BF815" s="4" t="str">
        <f>IFERROR(__xludf.DUMMYFUNCTION("""COMPUTED_VALUE"""),"")</f>
        <v/>
      </c>
      <c r="BG815" s="4" t="str">
        <f>IFERROR(__xludf.DUMMYFUNCTION("""COMPUTED_VALUE"""),"")</f>
        <v/>
      </c>
      <c r="BH815" s="4" t="s">
        <v>64</v>
      </c>
      <c r="BI815" s="7">
        <v>1.0</v>
      </c>
    </row>
    <row r="816" hidden="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t="str">
        <f>IFERROR(__xludf.DUMMYFUNCTION("""COMPUTED_VALUE"""),"")</f>
        <v/>
      </c>
      <c r="BB816" s="4" t="str">
        <f>IFERROR(__xludf.DUMMYFUNCTION("""COMPUTED_VALUE"""),"")</f>
        <v/>
      </c>
      <c r="BC816" s="4" t="str">
        <f>IFERROR(__xludf.DUMMYFUNCTION("""COMPUTED_VALUE"""),"")</f>
        <v/>
      </c>
      <c r="BD816" s="4" t="str">
        <f>IFERROR(__xludf.DUMMYFUNCTION("""COMPUTED_VALUE"""),"")</f>
        <v/>
      </c>
      <c r="BE816" s="4" t="str">
        <f>IFERROR(__xludf.DUMMYFUNCTION("""COMPUTED_VALUE"""),"")</f>
        <v/>
      </c>
      <c r="BF816" s="4" t="str">
        <f>IFERROR(__xludf.DUMMYFUNCTION("""COMPUTED_VALUE"""),"")</f>
        <v/>
      </c>
      <c r="BG816" s="4" t="str">
        <f>IFERROR(__xludf.DUMMYFUNCTION("""COMPUTED_VALUE"""),"")</f>
        <v/>
      </c>
      <c r="BH816" s="4" t="s">
        <v>64</v>
      </c>
      <c r="BI816" s="7">
        <v>1.0</v>
      </c>
    </row>
    <row r="817" hidden="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t="str">
        <f>IFERROR(__xludf.DUMMYFUNCTION("""COMPUTED_VALUE"""),"")</f>
        <v/>
      </c>
      <c r="BB817" s="4" t="str">
        <f>IFERROR(__xludf.DUMMYFUNCTION("""COMPUTED_VALUE"""),"")</f>
        <v/>
      </c>
      <c r="BC817" s="4" t="str">
        <f>IFERROR(__xludf.DUMMYFUNCTION("""COMPUTED_VALUE"""),"")</f>
        <v/>
      </c>
      <c r="BD817" s="4" t="str">
        <f>IFERROR(__xludf.DUMMYFUNCTION("""COMPUTED_VALUE"""),"")</f>
        <v/>
      </c>
      <c r="BE817" s="4" t="str">
        <f>IFERROR(__xludf.DUMMYFUNCTION("""COMPUTED_VALUE"""),"")</f>
        <v/>
      </c>
      <c r="BF817" s="4" t="str">
        <f>IFERROR(__xludf.DUMMYFUNCTION("""COMPUTED_VALUE"""),"")</f>
        <v/>
      </c>
      <c r="BG817" s="4" t="str">
        <f>IFERROR(__xludf.DUMMYFUNCTION("""COMPUTED_VALUE"""),"")</f>
        <v/>
      </c>
      <c r="BH817" s="4" t="s">
        <v>64</v>
      </c>
      <c r="BI817" s="7">
        <v>1.0</v>
      </c>
    </row>
    <row r="818" hidden="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t="str">
        <f>IFERROR(__xludf.DUMMYFUNCTION("""COMPUTED_VALUE"""),"")</f>
        <v/>
      </c>
      <c r="BB818" s="4" t="str">
        <f>IFERROR(__xludf.DUMMYFUNCTION("""COMPUTED_VALUE"""),"")</f>
        <v/>
      </c>
      <c r="BC818" s="4" t="str">
        <f>IFERROR(__xludf.DUMMYFUNCTION("""COMPUTED_VALUE"""),"")</f>
        <v/>
      </c>
      <c r="BD818" s="4" t="str">
        <f>IFERROR(__xludf.DUMMYFUNCTION("""COMPUTED_VALUE"""),"")</f>
        <v/>
      </c>
      <c r="BE818" s="4" t="str">
        <f>IFERROR(__xludf.DUMMYFUNCTION("""COMPUTED_VALUE"""),"")</f>
        <v/>
      </c>
      <c r="BF818" s="4" t="str">
        <f>IFERROR(__xludf.DUMMYFUNCTION("""COMPUTED_VALUE"""),"")</f>
        <v/>
      </c>
      <c r="BG818" s="4" t="str">
        <f>IFERROR(__xludf.DUMMYFUNCTION("""COMPUTED_VALUE"""),"")</f>
        <v/>
      </c>
      <c r="BH818" s="4" t="s">
        <v>64</v>
      </c>
      <c r="BI818" s="7">
        <v>1.0</v>
      </c>
    </row>
    <row r="819" hidden="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t="str">
        <f>IFERROR(__xludf.DUMMYFUNCTION("""COMPUTED_VALUE"""),"")</f>
        <v/>
      </c>
      <c r="BB819" s="4" t="str">
        <f>IFERROR(__xludf.DUMMYFUNCTION("""COMPUTED_VALUE"""),"")</f>
        <v/>
      </c>
      <c r="BC819" s="4" t="str">
        <f>IFERROR(__xludf.DUMMYFUNCTION("""COMPUTED_VALUE"""),"")</f>
        <v/>
      </c>
      <c r="BD819" s="4" t="str">
        <f>IFERROR(__xludf.DUMMYFUNCTION("""COMPUTED_VALUE"""),"")</f>
        <v/>
      </c>
      <c r="BE819" s="4" t="str">
        <f>IFERROR(__xludf.DUMMYFUNCTION("""COMPUTED_VALUE"""),"")</f>
        <v/>
      </c>
      <c r="BF819" s="4" t="str">
        <f>IFERROR(__xludf.DUMMYFUNCTION("""COMPUTED_VALUE"""),"")</f>
        <v/>
      </c>
      <c r="BG819" s="4" t="str">
        <f>IFERROR(__xludf.DUMMYFUNCTION("""COMPUTED_VALUE"""),"")</f>
        <v/>
      </c>
      <c r="BH819" s="4" t="s">
        <v>64</v>
      </c>
      <c r="BI819" s="7">
        <v>1.0</v>
      </c>
    </row>
    <row r="820" hidden="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t="str">
        <f>IFERROR(__xludf.DUMMYFUNCTION("""COMPUTED_VALUE"""),"")</f>
        <v/>
      </c>
      <c r="BB820" s="4" t="str">
        <f>IFERROR(__xludf.DUMMYFUNCTION("""COMPUTED_VALUE"""),"")</f>
        <v/>
      </c>
      <c r="BC820" s="4" t="str">
        <f>IFERROR(__xludf.DUMMYFUNCTION("""COMPUTED_VALUE"""),"")</f>
        <v/>
      </c>
      <c r="BD820" s="4" t="str">
        <f>IFERROR(__xludf.DUMMYFUNCTION("""COMPUTED_VALUE"""),"")</f>
        <v/>
      </c>
      <c r="BE820" s="4" t="str">
        <f>IFERROR(__xludf.DUMMYFUNCTION("""COMPUTED_VALUE"""),"")</f>
        <v/>
      </c>
      <c r="BF820" s="4" t="str">
        <f>IFERROR(__xludf.DUMMYFUNCTION("""COMPUTED_VALUE"""),"")</f>
        <v/>
      </c>
      <c r="BG820" s="4" t="str">
        <f>IFERROR(__xludf.DUMMYFUNCTION("""COMPUTED_VALUE"""),"")</f>
        <v/>
      </c>
      <c r="BH820" s="4" t="s">
        <v>64</v>
      </c>
      <c r="BI820" s="7">
        <v>1.0</v>
      </c>
    </row>
    <row r="821" hidden="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t="str">
        <f>IFERROR(__xludf.DUMMYFUNCTION("""COMPUTED_VALUE"""),"")</f>
        <v/>
      </c>
      <c r="BB821" s="4" t="str">
        <f>IFERROR(__xludf.DUMMYFUNCTION("""COMPUTED_VALUE"""),"")</f>
        <v/>
      </c>
      <c r="BC821" s="4" t="str">
        <f>IFERROR(__xludf.DUMMYFUNCTION("""COMPUTED_VALUE"""),"")</f>
        <v/>
      </c>
      <c r="BD821" s="4" t="str">
        <f>IFERROR(__xludf.DUMMYFUNCTION("""COMPUTED_VALUE"""),"")</f>
        <v/>
      </c>
      <c r="BE821" s="4" t="str">
        <f>IFERROR(__xludf.DUMMYFUNCTION("""COMPUTED_VALUE"""),"")</f>
        <v/>
      </c>
      <c r="BF821" s="4" t="str">
        <f>IFERROR(__xludf.DUMMYFUNCTION("""COMPUTED_VALUE"""),"")</f>
        <v/>
      </c>
      <c r="BG821" s="4" t="str">
        <f>IFERROR(__xludf.DUMMYFUNCTION("""COMPUTED_VALUE"""),"")</f>
        <v/>
      </c>
      <c r="BH821" s="4" t="s">
        <v>64</v>
      </c>
      <c r="BI821" s="7">
        <v>1.0</v>
      </c>
    </row>
    <row r="822" hidden="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t="str">
        <f>IFERROR(__xludf.DUMMYFUNCTION("""COMPUTED_VALUE"""),"")</f>
        <v/>
      </c>
      <c r="BB822" s="4" t="str">
        <f>IFERROR(__xludf.DUMMYFUNCTION("""COMPUTED_VALUE"""),"")</f>
        <v/>
      </c>
      <c r="BC822" s="4" t="str">
        <f>IFERROR(__xludf.DUMMYFUNCTION("""COMPUTED_VALUE"""),"")</f>
        <v/>
      </c>
      <c r="BD822" s="4" t="str">
        <f>IFERROR(__xludf.DUMMYFUNCTION("""COMPUTED_VALUE"""),"")</f>
        <v/>
      </c>
      <c r="BE822" s="4" t="str">
        <f>IFERROR(__xludf.DUMMYFUNCTION("""COMPUTED_VALUE"""),"")</f>
        <v/>
      </c>
      <c r="BF822" s="4" t="str">
        <f>IFERROR(__xludf.DUMMYFUNCTION("""COMPUTED_VALUE"""),"")</f>
        <v/>
      </c>
      <c r="BG822" s="4" t="str">
        <f>IFERROR(__xludf.DUMMYFUNCTION("""COMPUTED_VALUE"""),"")</f>
        <v/>
      </c>
      <c r="BH822" s="4" t="s">
        <v>64</v>
      </c>
      <c r="BI822" s="7">
        <v>1.0</v>
      </c>
    </row>
    <row r="823" hidden="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t="str">
        <f>IFERROR(__xludf.DUMMYFUNCTION("""COMPUTED_VALUE"""),"")</f>
        <v/>
      </c>
      <c r="BB823" s="4" t="str">
        <f>IFERROR(__xludf.DUMMYFUNCTION("""COMPUTED_VALUE"""),"")</f>
        <v/>
      </c>
      <c r="BC823" s="4" t="str">
        <f>IFERROR(__xludf.DUMMYFUNCTION("""COMPUTED_VALUE"""),"")</f>
        <v/>
      </c>
      <c r="BD823" s="4" t="str">
        <f>IFERROR(__xludf.DUMMYFUNCTION("""COMPUTED_VALUE"""),"")</f>
        <v/>
      </c>
      <c r="BE823" s="4" t="str">
        <f>IFERROR(__xludf.DUMMYFUNCTION("""COMPUTED_VALUE"""),"")</f>
        <v/>
      </c>
      <c r="BF823" s="4" t="str">
        <f>IFERROR(__xludf.DUMMYFUNCTION("""COMPUTED_VALUE"""),"")</f>
        <v/>
      </c>
      <c r="BG823" s="4" t="str">
        <f>IFERROR(__xludf.DUMMYFUNCTION("""COMPUTED_VALUE"""),"")</f>
        <v/>
      </c>
      <c r="BH823" s="4" t="s">
        <v>64</v>
      </c>
      <c r="BI823" s="7">
        <v>1.0</v>
      </c>
    </row>
    <row r="824" hidden="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t="str">
        <f>IFERROR(__xludf.DUMMYFUNCTION("""COMPUTED_VALUE"""),"")</f>
        <v/>
      </c>
      <c r="BB824" s="4" t="str">
        <f>IFERROR(__xludf.DUMMYFUNCTION("""COMPUTED_VALUE"""),"")</f>
        <v/>
      </c>
      <c r="BC824" s="4" t="str">
        <f>IFERROR(__xludf.DUMMYFUNCTION("""COMPUTED_VALUE"""),"")</f>
        <v/>
      </c>
      <c r="BD824" s="4" t="str">
        <f>IFERROR(__xludf.DUMMYFUNCTION("""COMPUTED_VALUE"""),"")</f>
        <v/>
      </c>
      <c r="BE824" s="4" t="str">
        <f>IFERROR(__xludf.DUMMYFUNCTION("""COMPUTED_VALUE"""),"")</f>
        <v/>
      </c>
      <c r="BF824" s="4" t="str">
        <f>IFERROR(__xludf.DUMMYFUNCTION("""COMPUTED_VALUE"""),"")</f>
        <v/>
      </c>
      <c r="BG824" s="4" t="str">
        <f>IFERROR(__xludf.DUMMYFUNCTION("""COMPUTED_VALUE"""),"")</f>
        <v/>
      </c>
      <c r="BH824" s="4" t="s">
        <v>64</v>
      </c>
      <c r="BI824" s="7">
        <v>1.0</v>
      </c>
    </row>
    <row r="825" hidden="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t="str">
        <f>IFERROR(__xludf.DUMMYFUNCTION("""COMPUTED_VALUE"""),"")</f>
        <v/>
      </c>
      <c r="BB825" s="4" t="str">
        <f>IFERROR(__xludf.DUMMYFUNCTION("""COMPUTED_VALUE"""),"")</f>
        <v/>
      </c>
      <c r="BC825" s="4" t="str">
        <f>IFERROR(__xludf.DUMMYFUNCTION("""COMPUTED_VALUE"""),"")</f>
        <v/>
      </c>
      <c r="BD825" s="4" t="str">
        <f>IFERROR(__xludf.DUMMYFUNCTION("""COMPUTED_VALUE"""),"")</f>
        <v/>
      </c>
      <c r="BE825" s="4" t="str">
        <f>IFERROR(__xludf.DUMMYFUNCTION("""COMPUTED_VALUE"""),"")</f>
        <v/>
      </c>
      <c r="BF825" s="4" t="str">
        <f>IFERROR(__xludf.DUMMYFUNCTION("""COMPUTED_VALUE"""),"")</f>
        <v/>
      </c>
      <c r="BG825" s="4" t="str">
        <f>IFERROR(__xludf.DUMMYFUNCTION("""COMPUTED_VALUE"""),"")</f>
        <v/>
      </c>
      <c r="BH825" s="4" t="s">
        <v>64</v>
      </c>
      <c r="BI825" s="7">
        <v>1.0</v>
      </c>
    </row>
    <row r="826" hidden="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t="str">
        <f>IFERROR(__xludf.DUMMYFUNCTION("""COMPUTED_VALUE"""),"")</f>
        <v/>
      </c>
      <c r="BB826" s="4" t="str">
        <f>IFERROR(__xludf.DUMMYFUNCTION("""COMPUTED_VALUE"""),"")</f>
        <v/>
      </c>
      <c r="BC826" s="4" t="str">
        <f>IFERROR(__xludf.DUMMYFUNCTION("""COMPUTED_VALUE"""),"")</f>
        <v/>
      </c>
      <c r="BD826" s="4" t="str">
        <f>IFERROR(__xludf.DUMMYFUNCTION("""COMPUTED_VALUE"""),"")</f>
        <v/>
      </c>
      <c r="BE826" s="4" t="str">
        <f>IFERROR(__xludf.DUMMYFUNCTION("""COMPUTED_VALUE"""),"")</f>
        <v/>
      </c>
      <c r="BF826" s="4" t="str">
        <f>IFERROR(__xludf.DUMMYFUNCTION("""COMPUTED_VALUE"""),"")</f>
        <v/>
      </c>
      <c r="BG826" s="4" t="str">
        <f>IFERROR(__xludf.DUMMYFUNCTION("""COMPUTED_VALUE"""),"")</f>
        <v/>
      </c>
      <c r="BH826" s="4" t="s">
        <v>64</v>
      </c>
      <c r="BI826" s="7">
        <v>1.0</v>
      </c>
    </row>
    <row r="827" hidden="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t="str">
        <f>IFERROR(__xludf.DUMMYFUNCTION("""COMPUTED_VALUE"""),"")</f>
        <v/>
      </c>
      <c r="BB827" s="4" t="str">
        <f>IFERROR(__xludf.DUMMYFUNCTION("""COMPUTED_VALUE"""),"")</f>
        <v/>
      </c>
      <c r="BC827" s="4" t="str">
        <f>IFERROR(__xludf.DUMMYFUNCTION("""COMPUTED_VALUE"""),"")</f>
        <v/>
      </c>
      <c r="BD827" s="4" t="str">
        <f>IFERROR(__xludf.DUMMYFUNCTION("""COMPUTED_VALUE"""),"")</f>
        <v/>
      </c>
      <c r="BE827" s="4" t="str">
        <f>IFERROR(__xludf.DUMMYFUNCTION("""COMPUTED_VALUE"""),"")</f>
        <v/>
      </c>
      <c r="BF827" s="4" t="str">
        <f>IFERROR(__xludf.DUMMYFUNCTION("""COMPUTED_VALUE"""),"")</f>
        <v/>
      </c>
      <c r="BG827" s="4" t="str">
        <f>IFERROR(__xludf.DUMMYFUNCTION("""COMPUTED_VALUE"""),"")</f>
        <v/>
      </c>
      <c r="BH827" s="4" t="s">
        <v>64</v>
      </c>
      <c r="BI827" s="7">
        <v>1.0</v>
      </c>
    </row>
    <row r="828" hidden="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t="str">
        <f>IFERROR(__xludf.DUMMYFUNCTION("""COMPUTED_VALUE"""),"")</f>
        <v/>
      </c>
      <c r="BB828" s="4" t="str">
        <f>IFERROR(__xludf.DUMMYFUNCTION("""COMPUTED_VALUE"""),"")</f>
        <v/>
      </c>
      <c r="BC828" s="4" t="str">
        <f>IFERROR(__xludf.DUMMYFUNCTION("""COMPUTED_VALUE"""),"")</f>
        <v/>
      </c>
      <c r="BD828" s="4" t="str">
        <f>IFERROR(__xludf.DUMMYFUNCTION("""COMPUTED_VALUE"""),"")</f>
        <v/>
      </c>
      <c r="BE828" s="4" t="str">
        <f>IFERROR(__xludf.DUMMYFUNCTION("""COMPUTED_VALUE"""),"")</f>
        <v/>
      </c>
      <c r="BF828" s="4" t="str">
        <f>IFERROR(__xludf.DUMMYFUNCTION("""COMPUTED_VALUE"""),"")</f>
        <v/>
      </c>
      <c r="BG828" s="4" t="str">
        <f>IFERROR(__xludf.DUMMYFUNCTION("""COMPUTED_VALUE"""),"")</f>
        <v/>
      </c>
      <c r="BH828" s="4" t="s">
        <v>64</v>
      </c>
      <c r="BI828" s="7">
        <v>1.0</v>
      </c>
    </row>
    <row r="829" hidden="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t="str">
        <f>IFERROR(__xludf.DUMMYFUNCTION("""COMPUTED_VALUE"""),"")</f>
        <v/>
      </c>
      <c r="BB829" s="4" t="str">
        <f>IFERROR(__xludf.DUMMYFUNCTION("""COMPUTED_VALUE"""),"")</f>
        <v/>
      </c>
      <c r="BC829" s="4" t="str">
        <f>IFERROR(__xludf.DUMMYFUNCTION("""COMPUTED_VALUE"""),"")</f>
        <v/>
      </c>
      <c r="BD829" s="4" t="str">
        <f>IFERROR(__xludf.DUMMYFUNCTION("""COMPUTED_VALUE"""),"")</f>
        <v/>
      </c>
      <c r="BE829" s="4" t="str">
        <f>IFERROR(__xludf.DUMMYFUNCTION("""COMPUTED_VALUE"""),"")</f>
        <v/>
      </c>
      <c r="BF829" s="4" t="str">
        <f>IFERROR(__xludf.DUMMYFUNCTION("""COMPUTED_VALUE"""),"")</f>
        <v/>
      </c>
      <c r="BG829" s="4" t="str">
        <f>IFERROR(__xludf.DUMMYFUNCTION("""COMPUTED_VALUE"""),"")</f>
        <v/>
      </c>
      <c r="BH829" s="4" t="s">
        <v>64</v>
      </c>
      <c r="BI829" s="7">
        <v>1.0</v>
      </c>
    </row>
    <row r="830" hidden="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t="str">
        <f>IFERROR(__xludf.DUMMYFUNCTION("""COMPUTED_VALUE"""),"")</f>
        <v/>
      </c>
      <c r="BB830" s="4" t="str">
        <f>IFERROR(__xludf.DUMMYFUNCTION("""COMPUTED_VALUE"""),"")</f>
        <v/>
      </c>
      <c r="BC830" s="4" t="str">
        <f>IFERROR(__xludf.DUMMYFUNCTION("""COMPUTED_VALUE"""),"")</f>
        <v/>
      </c>
      <c r="BD830" s="4" t="str">
        <f>IFERROR(__xludf.DUMMYFUNCTION("""COMPUTED_VALUE"""),"")</f>
        <v/>
      </c>
      <c r="BE830" s="4" t="str">
        <f>IFERROR(__xludf.DUMMYFUNCTION("""COMPUTED_VALUE"""),"")</f>
        <v/>
      </c>
      <c r="BF830" s="4" t="str">
        <f>IFERROR(__xludf.DUMMYFUNCTION("""COMPUTED_VALUE"""),"")</f>
        <v/>
      </c>
      <c r="BG830" s="4" t="str">
        <f>IFERROR(__xludf.DUMMYFUNCTION("""COMPUTED_VALUE"""),"")</f>
        <v/>
      </c>
      <c r="BH830" s="4" t="s">
        <v>64</v>
      </c>
      <c r="BI830" s="7">
        <v>1.0</v>
      </c>
    </row>
    <row r="831" hidden="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t="str">
        <f>IFERROR(__xludf.DUMMYFUNCTION("""COMPUTED_VALUE"""),"")</f>
        <v/>
      </c>
      <c r="BB831" s="4" t="str">
        <f>IFERROR(__xludf.DUMMYFUNCTION("""COMPUTED_VALUE"""),"")</f>
        <v/>
      </c>
      <c r="BC831" s="4" t="str">
        <f>IFERROR(__xludf.DUMMYFUNCTION("""COMPUTED_VALUE"""),"")</f>
        <v/>
      </c>
      <c r="BD831" s="4" t="str">
        <f>IFERROR(__xludf.DUMMYFUNCTION("""COMPUTED_VALUE"""),"")</f>
        <v/>
      </c>
      <c r="BE831" s="4" t="str">
        <f>IFERROR(__xludf.DUMMYFUNCTION("""COMPUTED_VALUE"""),"")</f>
        <v/>
      </c>
      <c r="BF831" s="4" t="str">
        <f>IFERROR(__xludf.DUMMYFUNCTION("""COMPUTED_VALUE"""),"")</f>
        <v/>
      </c>
      <c r="BG831" s="4" t="str">
        <f>IFERROR(__xludf.DUMMYFUNCTION("""COMPUTED_VALUE"""),"")</f>
        <v/>
      </c>
      <c r="BH831" s="4" t="s">
        <v>64</v>
      </c>
      <c r="BI831" s="7">
        <v>1.0</v>
      </c>
    </row>
    <row r="832" hidden="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t="str">
        <f>IFERROR(__xludf.DUMMYFUNCTION("""COMPUTED_VALUE"""),"")</f>
        <v/>
      </c>
      <c r="BB832" s="4" t="str">
        <f>IFERROR(__xludf.DUMMYFUNCTION("""COMPUTED_VALUE"""),"")</f>
        <v/>
      </c>
      <c r="BC832" s="4" t="str">
        <f>IFERROR(__xludf.DUMMYFUNCTION("""COMPUTED_VALUE"""),"")</f>
        <v/>
      </c>
      <c r="BD832" s="4" t="str">
        <f>IFERROR(__xludf.DUMMYFUNCTION("""COMPUTED_VALUE"""),"")</f>
        <v/>
      </c>
      <c r="BE832" s="4" t="str">
        <f>IFERROR(__xludf.DUMMYFUNCTION("""COMPUTED_VALUE"""),"")</f>
        <v/>
      </c>
      <c r="BF832" s="4" t="str">
        <f>IFERROR(__xludf.DUMMYFUNCTION("""COMPUTED_VALUE"""),"")</f>
        <v/>
      </c>
      <c r="BG832" s="4" t="str">
        <f>IFERROR(__xludf.DUMMYFUNCTION("""COMPUTED_VALUE"""),"")</f>
        <v/>
      </c>
      <c r="BH832" s="4" t="s">
        <v>64</v>
      </c>
      <c r="BI832" s="7">
        <v>1.0</v>
      </c>
    </row>
    <row r="833" hidden="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t="str">
        <f>IFERROR(__xludf.DUMMYFUNCTION("""COMPUTED_VALUE"""),"")</f>
        <v/>
      </c>
      <c r="BB833" s="4" t="str">
        <f>IFERROR(__xludf.DUMMYFUNCTION("""COMPUTED_VALUE"""),"")</f>
        <v/>
      </c>
      <c r="BC833" s="4" t="str">
        <f>IFERROR(__xludf.DUMMYFUNCTION("""COMPUTED_VALUE"""),"")</f>
        <v/>
      </c>
      <c r="BD833" s="4" t="str">
        <f>IFERROR(__xludf.DUMMYFUNCTION("""COMPUTED_VALUE"""),"")</f>
        <v/>
      </c>
      <c r="BE833" s="4" t="str">
        <f>IFERROR(__xludf.DUMMYFUNCTION("""COMPUTED_VALUE"""),"")</f>
        <v/>
      </c>
      <c r="BF833" s="4" t="str">
        <f>IFERROR(__xludf.DUMMYFUNCTION("""COMPUTED_VALUE"""),"")</f>
        <v/>
      </c>
      <c r="BG833" s="4" t="str">
        <f>IFERROR(__xludf.DUMMYFUNCTION("""COMPUTED_VALUE"""),"")</f>
        <v/>
      </c>
      <c r="BH833" s="4" t="s">
        <v>64</v>
      </c>
      <c r="BI833" s="7">
        <v>1.0</v>
      </c>
    </row>
    <row r="834" hidden="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t="str">
        <f>IFERROR(__xludf.DUMMYFUNCTION("""COMPUTED_VALUE"""),"")</f>
        <v/>
      </c>
      <c r="BB834" s="4" t="str">
        <f>IFERROR(__xludf.DUMMYFUNCTION("""COMPUTED_VALUE"""),"")</f>
        <v/>
      </c>
      <c r="BC834" s="4" t="str">
        <f>IFERROR(__xludf.DUMMYFUNCTION("""COMPUTED_VALUE"""),"")</f>
        <v/>
      </c>
      <c r="BD834" s="4" t="str">
        <f>IFERROR(__xludf.DUMMYFUNCTION("""COMPUTED_VALUE"""),"")</f>
        <v/>
      </c>
      <c r="BE834" s="4" t="str">
        <f>IFERROR(__xludf.DUMMYFUNCTION("""COMPUTED_VALUE"""),"")</f>
        <v/>
      </c>
      <c r="BF834" s="4" t="str">
        <f>IFERROR(__xludf.DUMMYFUNCTION("""COMPUTED_VALUE"""),"")</f>
        <v/>
      </c>
      <c r="BG834" s="4" t="str">
        <f>IFERROR(__xludf.DUMMYFUNCTION("""COMPUTED_VALUE"""),"")</f>
        <v/>
      </c>
      <c r="BH834" s="4" t="s">
        <v>64</v>
      </c>
      <c r="BI834" s="7">
        <v>1.0</v>
      </c>
    </row>
    <row r="835" hidden="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t="str">
        <f>IFERROR(__xludf.DUMMYFUNCTION("""COMPUTED_VALUE"""),"")</f>
        <v/>
      </c>
      <c r="BB835" s="4" t="str">
        <f>IFERROR(__xludf.DUMMYFUNCTION("""COMPUTED_VALUE"""),"")</f>
        <v/>
      </c>
      <c r="BC835" s="4" t="str">
        <f>IFERROR(__xludf.DUMMYFUNCTION("""COMPUTED_VALUE"""),"")</f>
        <v/>
      </c>
      <c r="BD835" s="4" t="str">
        <f>IFERROR(__xludf.DUMMYFUNCTION("""COMPUTED_VALUE"""),"")</f>
        <v/>
      </c>
      <c r="BE835" s="4" t="str">
        <f>IFERROR(__xludf.DUMMYFUNCTION("""COMPUTED_VALUE"""),"")</f>
        <v/>
      </c>
      <c r="BF835" s="4" t="str">
        <f>IFERROR(__xludf.DUMMYFUNCTION("""COMPUTED_VALUE"""),"")</f>
        <v/>
      </c>
      <c r="BG835" s="4" t="str">
        <f>IFERROR(__xludf.DUMMYFUNCTION("""COMPUTED_VALUE"""),"")</f>
        <v/>
      </c>
      <c r="BH835" s="4" t="s">
        <v>64</v>
      </c>
      <c r="BI835" s="7">
        <v>1.0</v>
      </c>
    </row>
    <row r="836" hidden="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t="str">
        <f>IFERROR(__xludf.DUMMYFUNCTION("""COMPUTED_VALUE"""),"")</f>
        <v/>
      </c>
      <c r="BB836" s="4" t="str">
        <f>IFERROR(__xludf.DUMMYFUNCTION("""COMPUTED_VALUE"""),"")</f>
        <v/>
      </c>
      <c r="BC836" s="4" t="str">
        <f>IFERROR(__xludf.DUMMYFUNCTION("""COMPUTED_VALUE"""),"")</f>
        <v/>
      </c>
      <c r="BD836" s="4" t="str">
        <f>IFERROR(__xludf.DUMMYFUNCTION("""COMPUTED_VALUE"""),"")</f>
        <v/>
      </c>
      <c r="BE836" s="4" t="str">
        <f>IFERROR(__xludf.DUMMYFUNCTION("""COMPUTED_VALUE"""),"")</f>
        <v/>
      </c>
      <c r="BF836" s="4" t="str">
        <f>IFERROR(__xludf.DUMMYFUNCTION("""COMPUTED_VALUE"""),"")</f>
        <v/>
      </c>
      <c r="BG836" s="4" t="str">
        <f>IFERROR(__xludf.DUMMYFUNCTION("""COMPUTED_VALUE"""),"")</f>
        <v/>
      </c>
      <c r="BH836" s="4" t="s">
        <v>64</v>
      </c>
      <c r="BI836" s="7">
        <v>1.0</v>
      </c>
    </row>
    <row r="837" hidden="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t="str">
        <f>IFERROR(__xludf.DUMMYFUNCTION("""COMPUTED_VALUE"""),"")</f>
        <v/>
      </c>
      <c r="BB837" s="4" t="str">
        <f>IFERROR(__xludf.DUMMYFUNCTION("""COMPUTED_VALUE"""),"")</f>
        <v/>
      </c>
      <c r="BC837" s="4" t="str">
        <f>IFERROR(__xludf.DUMMYFUNCTION("""COMPUTED_VALUE"""),"")</f>
        <v/>
      </c>
      <c r="BD837" s="4" t="str">
        <f>IFERROR(__xludf.DUMMYFUNCTION("""COMPUTED_VALUE"""),"")</f>
        <v/>
      </c>
      <c r="BE837" s="4" t="str">
        <f>IFERROR(__xludf.DUMMYFUNCTION("""COMPUTED_VALUE"""),"")</f>
        <v/>
      </c>
      <c r="BF837" s="4" t="str">
        <f>IFERROR(__xludf.DUMMYFUNCTION("""COMPUTED_VALUE"""),"")</f>
        <v/>
      </c>
      <c r="BG837" s="4" t="str">
        <f>IFERROR(__xludf.DUMMYFUNCTION("""COMPUTED_VALUE"""),"")</f>
        <v/>
      </c>
      <c r="BH837" s="4" t="s">
        <v>64</v>
      </c>
      <c r="BI837" s="7">
        <v>1.0</v>
      </c>
    </row>
    <row r="838" hidden="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t="str">
        <f>IFERROR(__xludf.DUMMYFUNCTION("""COMPUTED_VALUE"""),"")</f>
        <v/>
      </c>
      <c r="BB838" s="4" t="str">
        <f>IFERROR(__xludf.DUMMYFUNCTION("""COMPUTED_VALUE"""),"")</f>
        <v/>
      </c>
      <c r="BC838" s="4" t="str">
        <f>IFERROR(__xludf.DUMMYFUNCTION("""COMPUTED_VALUE"""),"")</f>
        <v/>
      </c>
      <c r="BD838" s="4" t="str">
        <f>IFERROR(__xludf.DUMMYFUNCTION("""COMPUTED_VALUE"""),"")</f>
        <v/>
      </c>
      <c r="BE838" s="4" t="str">
        <f>IFERROR(__xludf.DUMMYFUNCTION("""COMPUTED_VALUE"""),"")</f>
        <v/>
      </c>
      <c r="BF838" s="4" t="str">
        <f>IFERROR(__xludf.DUMMYFUNCTION("""COMPUTED_VALUE"""),"")</f>
        <v/>
      </c>
      <c r="BG838" s="4" t="str">
        <f>IFERROR(__xludf.DUMMYFUNCTION("""COMPUTED_VALUE"""),"")</f>
        <v/>
      </c>
      <c r="BH838" s="4" t="s">
        <v>64</v>
      </c>
      <c r="BI838" s="7">
        <v>1.0</v>
      </c>
    </row>
    <row r="839" hidden="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t="str">
        <f>IFERROR(__xludf.DUMMYFUNCTION("""COMPUTED_VALUE"""),"")</f>
        <v/>
      </c>
      <c r="BB839" s="4" t="str">
        <f>IFERROR(__xludf.DUMMYFUNCTION("""COMPUTED_VALUE"""),"")</f>
        <v/>
      </c>
      <c r="BC839" s="4" t="str">
        <f>IFERROR(__xludf.DUMMYFUNCTION("""COMPUTED_VALUE"""),"")</f>
        <v/>
      </c>
      <c r="BD839" s="4" t="str">
        <f>IFERROR(__xludf.DUMMYFUNCTION("""COMPUTED_VALUE"""),"")</f>
        <v/>
      </c>
      <c r="BE839" s="4" t="str">
        <f>IFERROR(__xludf.DUMMYFUNCTION("""COMPUTED_VALUE"""),"")</f>
        <v/>
      </c>
      <c r="BF839" s="4" t="str">
        <f>IFERROR(__xludf.DUMMYFUNCTION("""COMPUTED_VALUE"""),"")</f>
        <v/>
      </c>
      <c r="BG839" s="4" t="str">
        <f>IFERROR(__xludf.DUMMYFUNCTION("""COMPUTED_VALUE"""),"")</f>
        <v/>
      </c>
      <c r="BH839" s="4" t="s">
        <v>64</v>
      </c>
      <c r="BI839" s="7">
        <v>1.0</v>
      </c>
    </row>
    <row r="840" hidden="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t="str">
        <f>IFERROR(__xludf.DUMMYFUNCTION("""COMPUTED_VALUE"""),"")</f>
        <v/>
      </c>
      <c r="BB840" s="4" t="str">
        <f>IFERROR(__xludf.DUMMYFUNCTION("""COMPUTED_VALUE"""),"")</f>
        <v/>
      </c>
      <c r="BC840" s="4" t="str">
        <f>IFERROR(__xludf.DUMMYFUNCTION("""COMPUTED_VALUE"""),"")</f>
        <v/>
      </c>
      <c r="BD840" s="4" t="str">
        <f>IFERROR(__xludf.DUMMYFUNCTION("""COMPUTED_VALUE"""),"")</f>
        <v/>
      </c>
      <c r="BE840" s="4" t="str">
        <f>IFERROR(__xludf.DUMMYFUNCTION("""COMPUTED_VALUE"""),"")</f>
        <v/>
      </c>
      <c r="BF840" s="4" t="str">
        <f>IFERROR(__xludf.DUMMYFUNCTION("""COMPUTED_VALUE"""),"")</f>
        <v/>
      </c>
      <c r="BG840" s="4" t="str">
        <f>IFERROR(__xludf.DUMMYFUNCTION("""COMPUTED_VALUE"""),"")</f>
        <v/>
      </c>
      <c r="BH840" s="4" t="s">
        <v>64</v>
      </c>
      <c r="BI840" s="7">
        <v>1.0</v>
      </c>
    </row>
    <row r="841" hidden="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t="str">
        <f>IFERROR(__xludf.DUMMYFUNCTION("""COMPUTED_VALUE"""),"")</f>
        <v/>
      </c>
      <c r="BB841" s="4" t="str">
        <f>IFERROR(__xludf.DUMMYFUNCTION("""COMPUTED_VALUE"""),"")</f>
        <v/>
      </c>
      <c r="BC841" s="4" t="str">
        <f>IFERROR(__xludf.DUMMYFUNCTION("""COMPUTED_VALUE"""),"")</f>
        <v/>
      </c>
      <c r="BD841" s="4" t="str">
        <f>IFERROR(__xludf.DUMMYFUNCTION("""COMPUTED_VALUE"""),"")</f>
        <v/>
      </c>
      <c r="BE841" s="4" t="str">
        <f>IFERROR(__xludf.DUMMYFUNCTION("""COMPUTED_VALUE"""),"")</f>
        <v/>
      </c>
      <c r="BF841" s="4" t="str">
        <f>IFERROR(__xludf.DUMMYFUNCTION("""COMPUTED_VALUE"""),"")</f>
        <v/>
      </c>
      <c r="BG841" s="4" t="str">
        <f>IFERROR(__xludf.DUMMYFUNCTION("""COMPUTED_VALUE"""),"")</f>
        <v/>
      </c>
      <c r="BH841" s="4" t="s">
        <v>64</v>
      </c>
      <c r="BI841" s="7">
        <v>1.0</v>
      </c>
    </row>
    <row r="842" hidden="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t="str">
        <f>IFERROR(__xludf.DUMMYFUNCTION("""COMPUTED_VALUE"""),"")</f>
        <v/>
      </c>
      <c r="BB842" s="4" t="str">
        <f>IFERROR(__xludf.DUMMYFUNCTION("""COMPUTED_VALUE"""),"")</f>
        <v/>
      </c>
      <c r="BC842" s="4" t="str">
        <f>IFERROR(__xludf.DUMMYFUNCTION("""COMPUTED_VALUE"""),"")</f>
        <v/>
      </c>
      <c r="BD842" s="4" t="str">
        <f>IFERROR(__xludf.DUMMYFUNCTION("""COMPUTED_VALUE"""),"")</f>
        <v/>
      </c>
      <c r="BE842" s="4" t="str">
        <f>IFERROR(__xludf.DUMMYFUNCTION("""COMPUTED_VALUE"""),"")</f>
        <v/>
      </c>
      <c r="BF842" s="4" t="str">
        <f>IFERROR(__xludf.DUMMYFUNCTION("""COMPUTED_VALUE"""),"")</f>
        <v/>
      </c>
      <c r="BG842" s="4" t="str">
        <f>IFERROR(__xludf.DUMMYFUNCTION("""COMPUTED_VALUE"""),"")</f>
        <v/>
      </c>
      <c r="BH842" s="4" t="s">
        <v>64</v>
      </c>
      <c r="BI842" s="7">
        <v>1.0</v>
      </c>
    </row>
    <row r="843" hidden="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t="str">
        <f>IFERROR(__xludf.DUMMYFUNCTION("""COMPUTED_VALUE"""),"")</f>
        <v/>
      </c>
      <c r="BB843" s="4" t="str">
        <f>IFERROR(__xludf.DUMMYFUNCTION("""COMPUTED_VALUE"""),"")</f>
        <v/>
      </c>
      <c r="BC843" s="4" t="str">
        <f>IFERROR(__xludf.DUMMYFUNCTION("""COMPUTED_VALUE"""),"")</f>
        <v/>
      </c>
      <c r="BD843" s="4" t="str">
        <f>IFERROR(__xludf.DUMMYFUNCTION("""COMPUTED_VALUE"""),"")</f>
        <v/>
      </c>
      <c r="BE843" s="4" t="str">
        <f>IFERROR(__xludf.DUMMYFUNCTION("""COMPUTED_VALUE"""),"")</f>
        <v/>
      </c>
      <c r="BF843" s="4" t="str">
        <f>IFERROR(__xludf.DUMMYFUNCTION("""COMPUTED_VALUE"""),"")</f>
        <v/>
      </c>
      <c r="BG843" s="4" t="str">
        <f>IFERROR(__xludf.DUMMYFUNCTION("""COMPUTED_VALUE"""),"")</f>
        <v/>
      </c>
      <c r="BH843" s="4" t="s">
        <v>64</v>
      </c>
      <c r="BI843" s="7">
        <v>1.0</v>
      </c>
    </row>
    <row r="844" hidden="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t="str">
        <f>IFERROR(__xludf.DUMMYFUNCTION("""COMPUTED_VALUE"""),"")</f>
        <v/>
      </c>
      <c r="BB844" s="4" t="str">
        <f>IFERROR(__xludf.DUMMYFUNCTION("""COMPUTED_VALUE"""),"")</f>
        <v/>
      </c>
      <c r="BC844" s="4" t="str">
        <f>IFERROR(__xludf.DUMMYFUNCTION("""COMPUTED_VALUE"""),"")</f>
        <v/>
      </c>
      <c r="BD844" s="4" t="str">
        <f>IFERROR(__xludf.DUMMYFUNCTION("""COMPUTED_VALUE"""),"")</f>
        <v/>
      </c>
      <c r="BE844" s="4" t="str">
        <f>IFERROR(__xludf.DUMMYFUNCTION("""COMPUTED_VALUE"""),"")</f>
        <v/>
      </c>
      <c r="BF844" s="4" t="str">
        <f>IFERROR(__xludf.DUMMYFUNCTION("""COMPUTED_VALUE"""),"")</f>
        <v/>
      </c>
      <c r="BG844" s="4" t="str">
        <f>IFERROR(__xludf.DUMMYFUNCTION("""COMPUTED_VALUE"""),"")</f>
        <v/>
      </c>
      <c r="BH844" s="4" t="s">
        <v>64</v>
      </c>
      <c r="BI844" s="7">
        <v>1.0</v>
      </c>
    </row>
    <row r="845" hidden="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t="str">
        <f>IFERROR(__xludf.DUMMYFUNCTION("""COMPUTED_VALUE"""),"")</f>
        <v/>
      </c>
      <c r="BB845" s="4" t="str">
        <f>IFERROR(__xludf.DUMMYFUNCTION("""COMPUTED_VALUE"""),"")</f>
        <v/>
      </c>
      <c r="BC845" s="4" t="str">
        <f>IFERROR(__xludf.DUMMYFUNCTION("""COMPUTED_VALUE"""),"")</f>
        <v/>
      </c>
      <c r="BD845" s="4" t="str">
        <f>IFERROR(__xludf.DUMMYFUNCTION("""COMPUTED_VALUE"""),"")</f>
        <v/>
      </c>
      <c r="BE845" s="4" t="str">
        <f>IFERROR(__xludf.DUMMYFUNCTION("""COMPUTED_VALUE"""),"")</f>
        <v/>
      </c>
      <c r="BF845" s="4" t="str">
        <f>IFERROR(__xludf.DUMMYFUNCTION("""COMPUTED_VALUE"""),"")</f>
        <v/>
      </c>
      <c r="BG845" s="4" t="str">
        <f>IFERROR(__xludf.DUMMYFUNCTION("""COMPUTED_VALUE"""),"")</f>
        <v/>
      </c>
      <c r="BH845" s="4" t="s">
        <v>64</v>
      </c>
      <c r="BI845" s="7">
        <v>1.0</v>
      </c>
    </row>
    <row r="846" hidden="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t="str">
        <f>IFERROR(__xludf.DUMMYFUNCTION("""COMPUTED_VALUE"""),"")</f>
        <v/>
      </c>
      <c r="BB846" s="4" t="str">
        <f>IFERROR(__xludf.DUMMYFUNCTION("""COMPUTED_VALUE"""),"")</f>
        <v/>
      </c>
      <c r="BC846" s="4" t="str">
        <f>IFERROR(__xludf.DUMMYFUNCTION("""COMPUTED_VALUE"""),"")</f>
        <v/>
      </c>
      <c r="BD846" s="4" t="str">
        <f>IFERROR(__xludf.DUMMYFUNCTION("""COMPUTED_VALUE"""),"")</f>
        <v/>
      </c>
      <c r="BE846" s="4" t="str">
        <f>IFERROR(__xludf.DUMMYFUNCTION("""COMPUTED_VALUE"""),"")</f>
        <v/>
      </c>
      <c r="BF846" s="4" t="str">
        <f>IFERROR(__xludf.DUMMYFUNCTION("""COMPUTED_VALUE"""),"")</f>
        <v/>
      </c>
      <c r="BG846" s="4" t="str">
        <f>IFERROR(__xludf.DUMMYFUNCTION("""COMPUTED_VALUE"""),"")</f>
        <v/>
      </c>
      <c r="BH846" s="4" t="s">
        <v>64</v>
      </c>
      <c r="BI846" s="7">
        <v>1.0</v>
      </c>
    </row>
    <row r="847" hidden="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t="str">
        <f>IFERROR(__xludf.DUMMYFUNCTION("""COMPUTED_VALUE"""),"")</f>
        <v/>
      </c>
      <c r="BB847" s="4" t="str">
        <f>IFERROR(__xludf.DUMMYFUNCTION("""COMPUTED_VALUE"""),"")</f>
        <v/>
      </c>
      <c r="BC847" s="4" t="str">
        <f>IFERROR(__xludf.DUMMYFUNCTION("""COMPUTED_VALUE"""),"")</f>
        <v/>
      </c>
      <c r="BD847" s="4" t="str">
        <f>IFERROR(__xludf.DUMMYFUNCTION("""COMPUTED_VALUE"""),"")</f>
        <v/>
      </c>
      <c r="BE847" s="4" t="str">
        <f>IFERROR(__xludf.DUMMYFUNCTION("""COMPUTED_VALUE"""),"")</f>
        <v/>
      </c>
      <c r="BF847" s="4" t="str">
        <f>IFERROR(__xludf.DUMMYFUNCTION("""COMPUTED_VALUE"""),"")</f>
        <v/>
      </c>
      <c r="BG847" s="4" t="str">
        <f>IFERROR(__xludf.DUMMYFUNCTION("""COMPUTED_VALUE"""),"")</f>
        <v/>
      </c>
      <c r="BH847" s="4" t="s">
        <v>64</v>
      </c>
      <c r="BI847" s="7">
        <v>1.0</v>
      </c>
    </row>
    <row r="848" hidden="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t="str">
        <f>IFERROR(__xludf.DUMMYFUNCTION("""COMPUTED_VALUE"""),"")</f>
        <v/>
      </c>
      <c r="BB848" s="4" t="str">
        <f>IFERROR(__xludf.DUMMYFUNCTION("""COMPUTED_VALUE"""),"")</f>
        <v/>
      </c>
      <c r="BC848" s="4" t="str">
        <f>IFERROR(__xludf.DUMMYFUNCTION("""COMPUTED_VALUE"""),"")</f>
        <v/>
      </c>
      <c r="BD848" s="4" t="str">
        <f>IFERROR(__xludf.DUMMYFUNCTION("""COMPUTED_VALUE"""),"")</f>
        <v/>
      </c>
      <c r="BE848" s="4" t="str">
        <f>IFERROR(__xludf.DUMMYFUNCTION("""COMPUTED_VALUE"""),"")</f>
        <v/>
      </c>
      <c r="BF848" s="4" t="str">
        <f>IFERROR(__xludf.DUMMYFUNCTION("""COMPUTED_VALUE"""),"")</f>
        <v/>
      </c>
      <c r="BG848" s="4" t="str">
        <f>IFERROR(__xludf.DUMMYFUNCTION("""COMPUTED_VALUE"""),"")</f>
        <v/>
      </c>
      <c r="BH848" s="4" t="s">
        <v>64</v>
      </c>
      <c r="BI848" s="7">
        <v>1.0</v>
      </c>
    </row>
    <row r="849" hidden="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t="str">
        <f>IFERROR(__xludf.DUMMYFUNCTION("""COMPUTED_VALUE"""),"")</f>
        <v/>
      </c>
      <c r="BB849" s="4" t="str">
        <f>IFERROR(__xludf.DUMMYFUNCTION("""COMPUTED_VALUE"""),"")</f>
        <v/>
      </c>
      <c r="BC849" s="4" t="str">
        <f>IFERROR(__xludf.DUMMYFUNCTION("""COMPUTED_VALUE"""),"")</f>
        <v/>
      </c>
      <c r="BD849" s="4" t="str">
        <f>IFERROR(__xludf.DUMMYFUNCTION("""COMPUTED_VALUE"""),"")</f>
        <v/>
      </c>
      <c r="BE849" s="4" t="str">
        <f>IFERROR(__xludf.DUMMYFUNCTION("""COMPUTED_VALUE"""),"")</f>
        <v/>
      </c>
      <c r="BF849" s="4" t="str">
        <f>IFERROR(__xludf.DUMMYFUNCTION("""COMPUTED_VALUE"""),"")</f>
        <v/>
      </c>
      <c r="BG849" s="4" t="str">
        <f>IFERROR(__xludf.DUMMYFUNCTION("""COMPUTED_VALUE"""),"")</f>
        <v/>
      </c>
      <c r="BH849" s="4" t="s">
        <v>64</v>
      </c>
      <c r="BI849" s="7">
        <v>1.0</v>
      </c>
    </row>
    <row r="850" hidden="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t="str">
        <f>IFERROR(__xludf.DUMMYFUNCTION("""COMPUTED_VALUE"""),"")</f>
        <v/>
      </c>
      <c r="BB850" s="4" t="str">
        <f>IFERROR(__xludf.DUMMYFUNCTION("""COMPUTED_VALUE"""),"")</f>
        <v/>
      </c>
      <c r="BC850" s="4" t="str">
        <f>IFERROR(__xludf.DUMMYFUNCTION("""COMPUTED_VALUE"""),"")</f>
        <v/>
      </c>
      <c r="BD850" s="4" t="str">
        <f>IFERROR(__xludf.DUMMYFUNCTION("""COMPUTED_VALUE"""),"")</f>
        <v/>
      </c>
      <c r="BE850" s="4" t="str">
        <f>IFERROR(__xludf.DUMMYFUNCTION("""COMPUTED_VALUE"""),"")</f>
        <v/>
      </c>
      <c r="BF850" s="4" t="str">
        <f>IFERROR(__xludf.DUMMYFUNCTION("""COMPUTED_VALUE"""),"")</f>
        <v/>
      </c>
      <c r="BG850" s="4" t="str">
        <f>IFERROR(__xludf.DUMMYFUNCTION("""COMPUTED_VALUE"""),"")</f>
        <v/>
      </c>
      <c r="BH850" s="4" t="s">
        <v>64</v>
      </c>
      <c r="BI850" s="7">
        <v>1.0</v>
      </c>
    </row>
    <row r="851" hidden="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t="str">
        <f>IFERROR(__xludf.DUMMYFUNCTION("""COMPUTED_VALUE"""),"")</f>
        <v/>
      </c>
      <c r="BB851" s="4" t="str">
        <f>IFERROR(__xludf.DUMMYFUNCTION("""COMPUTED_VALUE"""),"")</f>
        <v/>
      </c>
      <c r="BC851" s="4" t="str">
        <f>IFERROR(__xludf.DUMMYFUNCTION("""COMPUTED_VALUE"""),"")</f>
        <v/>
      </c>
      <c r="BD851" s="4" t="str">
        <f>IFERROR(__xludf.DUMMYFUNCTION("""COMPUTED_VALUE"""),"")</f>
        <v/>
      </c>
      <c r="BE851" s="4" t="str">
        <f>IFERROR(__xludf.DUMMYFUNCTION("""COMPUTED_VALUE"""),"")</f>
        <v/>
      </c>
      <c r="BF851" s="4" t="str">
        <f>IFERROR(__xludf.DUMMYFUNCTION("""COMPUTED_VALUE"""),"")</f>
        <v/>
      </c>
      <c r="BG851" s="4" t="str">
        <f>IFERROR(__xludf.DUMMYFUNCTION("""COMPUTED_VALUE"""),"")</f>
        <v/>
      </c>
      <c r="BH851" s="4" t="s">
        <v>64</v>
      </c>
      <c r="BI851" s="7">
        <v>1.0</v>
      </c>
    </row>
    <row r="852" hidden="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t="str">
        <f>IFERROR(__xludf.DUMMYFUNCTION("""COMPUTED_VALUE"""),"")</f>
        <v/>
      </c>
      <c r="BB852" s="4" t="str">
        <f>IFERROR(__xludf.DUMMYFUNCTION("""COMPUTED_VALUE"""),"")</f>
        <v/>
      </c>
      <c r="BC852" s="4" t="str">
        <f>IFERROR(__xludf.DUMMYFUNCTION("""COMPUTED_VALUE"""),"")</f>
        <v/>
      </c>
      <c r="BD852" s="4" t="str">
        <f>IFERROR(__xludf.DUMMYFUNCTION("""COMPUTED_VALUE"""),"")</f>
        <v/>
      </c>
      <c r="BE852" s="4" t="str">
        <f>IFERROR(__xludf.DUMMYFUNCTION("""COMPUTED_VALUE"""),"")</f>
        <v/>
      </c>
      <c r="BF852" s="4" t="str">
        <f>IFERROR(__xludf.DUMMYFUNCTION("""COMPUTED_VALUE"""),"")</f>
        <v/>
      </c>
      <c r="BG852" s="4" t="str">
        <f>IFERROR(__xludf.DUMMYFUNCTION("""COMPUTED_VALUE"""),"")</f>
        <v/>
      </c>
      <c r="BH852" s="4" t="s">
        <v>64</v>
      </c>
      <c r="BI852" s="7">
        <v>1.0</v>
      </c>
    </row>
    <row r="853" hidden="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t="str">
        <f>IFERROR(__xludf.DUMMYFUNCTION("""COMPUTED_VALUE"""),"")</f>
        <v/>
      </c>
      <c r="BB853" s="4" t="str">
        <f>IFERROR(__xludf.DUMMYFUNCTION("""COMPUTED_VALUE"""),"")</f>
        <v/>
      </c>
      <c r="BC853" s="4" t="str">
        <f>IFERROR(__xludf.DUMMYFUNCTION("""COMPUTED_VALUE"""),"")</f>
        <v/>
      </c>
      <c r="BD853" s="4" t="str">
        <f>IFERROR(__xludf.DUMMYFUNCTION("""COMPUTED_VALUE"""),"")</f>
        <v/>
      </c>
      <c r="BE853" s="4" t="str">
        <f>IFERROR(__xludf.DUMMYFUNCTION("""COMPUTED_VALUE"""),"")</f>
        <v/>
      </c>
      <c r="BF853" s="4" t="str">
        <f>IFERROR(__xludf.DUMMYFUNCTION("""COMPUTED_VALUE"""),"")</f>
        <v/>
      </c>
      <c r="BG853" s="4" t="str">
        <f>IFERROR(__xludf.DUMMYFUNCTION("""COMPUTED_VALUE"""),"")</f>
        <v/>
      </c>
      <c r="BH853" s="4" t="s">
        <v>64</v>
      </c>
      <c r="BI853" s="7">
        <v>1.0</v>
      </c>
    </row>
    <row r="854" hidden="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t="str">
        <f>IFERROR(__xludf.DUMMYFUNCTION("""COMPUTED_VALUE"""),"")</f>
        <v/>
      </c>
      <c r="BB854" s="4" t="str">
        <f>IFERROR(__xludf.DUMMYFUNCTION("""COMPUTED_VALUE"""),"")</f>
        <v/>
      </c>
      <c r="BC854" s="4" t="str">
        <f>IFERROR(__xludf.DUMMYFUNCTION("""COMPUTED_VALUE"""),"")</f>
        <v/>
      </c>
      <c r="BD854" s="4" t="str">
        <f>IFERROR(__xludf.DUMMYFUNCTION("""COMPUTED_VALUE"""),"")</f>
        <v/>
      </c>
      <c r="BE854" s="4" t="str">
        <f>IFERROR(__xludf.DUMMYFUNCTION("""COMPUTED_VALUE"""),"")</f>
        <v/>
      </c>
      <c r="BF854" s="4" t="str">
        <f>IFERROR(__xludf.DUMMYFUNCTION("""COMPUTED_VALUE"""),"")</f>
        <v/>
      </c>
      <c r="BG854" s="4" t="str">
        <f>IFERROR(__xludf.DUMMYFUNCTION("""COMPUTED_VALUE"""),"")</f>
        <v/>
      </c>
      <c r="BH854" s="4" t="s">
        <v>64</v>
      </c>
      <c r="BI854" s="7">
        <v>1.0</v>
      </c>
    </row>
    <row r="855" hidden="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t="str">
        <f>IFERROR(__xludf.DUMMYFUNCTION("""COMPUTED_VALUE"""),"")</f>
        <v/>
      </c>
      <c r="BB855" s="4" t="str">
        <f>IFERROR(__xludf.DUMMYFUNCTION("""COMPUTED_VALUE"""),"")</f>
        <v/>
      </c>
      <c r="BC855" s="4" t="str">
        <f>IFERROR(__xludf.DUMMYFUNCTION("""COMPUTED_VALUE"""),"")</f>
        <v/>
      </c>
      <c r="BD855" s="4" t="str">
        <f>IFERROR(__xludf.DUMMYFUNCTION("""COMPUTED_VALUE"""),"")</f>
        <v/>
      </c>
      <c r="BE855" s="4" t="str">
        <f>IFERROR(__xludf.DUMMYFUNCTION("""COMPUTED_VALUE"""),"")</f>
        <v/>
      </c>
      <c r="BF855" s="4" t="str">
        <f>IFERROR(__xludf.DUMMYFUNCTION("""COMPUTED_VALUE"""),"")</f>
        <v/>
      </c>
      <c r="BG855" s="4" t="str">
        <f>IFERROR(__xludf.DUMMYFUNCTION("""COMPUTED_VALUE"""),"")</f>
        <v/>
      </c>
      <c r="BH855" s="4" t="s">
        <v>64</v>
      </c>
      <c r="BI855" s="7">
        <v>1.0</v>
      </c>
    </row>
    <row r="856" hidden="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t="str">
        <f>IFERROR(__xludf.DUMMYFUNCTION("""COMPUTED_VALUE"""),"")</f>
        <v/>
      </c>
      <c r="BB856" s="4" t="str">
        <f>IFERROR(__xludf.DUMMYFUNCTION("""COMPUTED_VALUE"""),"")</f>
        <v/>
      </c>
      <c r="BC856" s="4" t="str">
        <f>IFERROR(__xludf.DUMMYFUNCTION("""COMPUTED_VALUE"""),"")</f>
        <v/>
      </c>
      <c r="BD856" s="4" t="str">
        <f>IFERROR(__xludf.DUMMYFUNCTION("""COMPUTED_VALUE"""),"")</f>
        <v/>
      </c>
      <c r="BE856" s="4" t="str">
        <f>IFERROR(__xludf.DUMMYFUNCTION("""COMPUTED_VALUE"""),"")</f>
        <v/>
      </c>
      <c r="BF856" s="4" t="str">
        <f>IFERROR(__xludf.DUMMYFUNCTION("""COMPUTED_VALUE"""),"")</f>
        <v/>
      </c>
      <c r="BG856" s="4" t="str">
        <f>IFERROR(__xludf.DUMMYFUNCTION("""COMPUTED_VALUE"""),"")</f>
        <v/>
      </c>
      <c r="BH856" s="4" t="s">
        <v>64</v>
      </c>
      <c r="BI856" s="7">
        <v>1.0</v>
      </c>
    </row>
    <row r="857" hidden="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t="str">
        <f>IFERROR(__xludf.DUMMYFUNCTION("""COMPUTED_VALUE"""),"")</f>
        <v/>
      </c>
      <c r="BB857" s="4" t="str">
        <f>IFERROR(__xludf.DUMMYFUNCTION("""COMPUTED_VALUE"""),"")</f>
        <v/>
      </c>
      <c r="BC857" s="4" t="str">
        <f>IFERROR(__xludf.DUMMYFUNCTION("""COMPUTED_VALUE"""),"")</f>
        <v/>
      </c>
      <c r="BD857" s="4" t="str">
        <f>IFERROR(__xludf.DUMMYFUNCTION("""COMPUTED_VALUE"""),"")</f>
        <v/>
      </c>
      <c r="BE857" s="4" t="str">
        <f>IFERROR(__xludf.DUMMYFUNCTION("""COMPUTED_VALUE"""),"")</f>
        <v/>
      </c>
      <c r="BF857" s="4" t="str">
        <f>IFERROR(__xludf.DUMMYFUNCTION("""COMPUTED_VALUE"""),"")</f>
        <v/>
      </c>
      <c r="BG857" s="4" t="str">
        <f>IFERROR(__xludf.DUMMYFUNCTION("""COMPUTED_VALUE"""),"")</f>
        <v/>
      </c>
      <c r="BH857" s="4" t="s">
        <v>64</v>
      </c>
      <c r="BI857" s="7">
        <v>1.0</v>
      </c>
    </row>
    <row r="858" hidden="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t="str">
        <f>IFERROR(__xludf.DUMMYFUNCTION("""COMPUTED_VALUE"""),"")</f>
        <v/>
      </c>
      <c r="BB858" s="4" t="str">
        <f>IFERROR(__xludf.DUMMYFUNCTION("""COMPUTED_VALUE"""),"")</f>
        <v/>
      </c>
      <c r="BC858" s="4" t="str">
        <f>IFERROR(__xludf.DUMMYFUNCTION("""COMPUTED_VALUE"""),"")</f>
        <v/>
      </c>
      <c r="BD858" s="4" t="str">
        <f>IFERROR(__xludf.DUMMYFUNCTION("""COMPUTED_VALUE"""),"")</f>
        <v/>
      </c>
      <c r="BE858" s="4" t="str">
        <f>IFERROR(__xludf.DUMMYFUNCTION("""COMPUTED_VALUE"""),"")</f>
        <v/>
      </c>
      <c r="BF858" s="4" t="str">
        <f>IFERROR(__xludf.DUMMYFUNCTION("""COMPUTED_VALUE"""),"")</f>
        <v/>
      </c>
      <c r="BG858" s="4" t="str">
        <f>IFERROR(__xludf.DUMMYFUNCTION("""COMPUTED_VALUE"""),"")</f>
        <v/>
      </c>
      <c r="BH858" s="4" t="s">
        <v>64</v>
      </c>
      <c r="BI858" s="7">
        <v>1.0</v>
      </c>
    </row>
    <row r="859" hidden="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t="str">
        <f>IFERROR(__xludf.DUMMYFUNCTION("""COMPUTED_VALUE"""),"")</f>
        <v/>
      </c>
      <c r="BB859" s="4" t="str">
        <f>IFERROR(__xludf.DUMMYFUNCTION("""COMPUTED_VALUE"""),"")</f>
        <v/>
      </c>
      <c r="BC859" s="4" t="str">
        <f>IFERROR(__xludf.DUMMYFUNCTION("""COMPUTED_VALUE"""),"")</f>
        <v/>
      </c>
      <c r="BD859" s="4" t="str">
        <f>IFERROR(__xludf.DUMMYFUNCTION("""COMPUTED_VALUE"""),"")</f>
        <v/>
      </c>
      <c r="BE859" s="4" t="str">
        <f>IFERROR(__xludf.DUMMYFUNCTION("""COMPUTED_VALUE"""),"")</f>
        <v/>
      </c>
      <c r="BF859" s="4" t="str">
        <f>IFERROR(__xludf.DUMMYFUNCTION("""COMPUTED_VALUE"""),"")</f>
        <v/>
      </c>
      <c r="BG859" s="4" t="str">
        <f>IFERROR(__xludf.DUMMYFUNCTION("""COMPUTED_VALUE"""),"")</f>
        <v/>
      </c>
      <c r="BH859" s="4" t="s">
        <v>64</v>
      </c>
      <c r="BI859" s="7">
        <v>1.0</v>
      </c>
    </row>
    <row r="860" hidden="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t="str">
        <f>IFERROR(__xludf.DUMMYFUNCTION("""COMPUTED_VALUE"""),"")</f>
        <v/>
      </c>
      <c r="BB860" s="4" t="str">
        <f>IFERROR(__xludf.DUMMYFUNCTION("""COMPUTED_VALUE"""),"")</f>
        <v/>
      </c>
      <c r="BC860" s="4" t="str">
        <f>IFERROR(__xludf.DUMMYFUNCTION("""COMPUTED_VALUE"""),"")</f>
        <v/>
      </c>
      <c r="BD860" s="4" t="str">
        <f>IFERROR(__xludf.DUMMYFUNCTION("""COMPUTED_VALUE"""),"")</f>
        <v/>
      </c>
      <c r="BE860" s="4" t="str">
        <f>IFERROR(__xludf.DUMMYFUNCTION("""COMPUTED_VALUE"""),"")</f>
        <v/>
      </c>
      <c r="BF860" s="4" t="str">
        <f>IFERROR(__xludf.DUMMYFUNCTION("""COMPUTED_VALUE"""),"")</f>
        <v/>
      </c>
      <c r="BG860" s="4" t="str">
        <f>IFERROR(__xludf.DUMMYFUNCTION("""COMPUTED_VALUE"""),"")</f>
        <v/>
      </c>
      <c r="BH860" s="4" t="s">
        <v>64</v>
      </c>
      <c r="BI860" s="7">
        <v>1.0</v>
      </c>
    </row>
    <row r="861" hidden="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t="str">
        <f>IFERROR(__xludf.DUMMYFUNCTION("""COMPUTED_VALUE"""),"")</f>
        <v/>
      </c>
      <c r="BB861" s="4" t="str">
        <f>IFERROR(__xludf.DUMMYFUNCTION("""COMPUTED_VALUE"""),"")</f>
        <v/>
      </c>
      <c r="BC861" s="4" t="str">
        <f>IFERROR(__xludf.DUMMYFUNCTION("""COMPUTED_VALUE"""),"")</f>
        <v/>
      </c>
      <c r="BD861" s="4" t="str">
        <f>IFERROR(__xludf.DUMMYFUNCTION("""COMPUTED_VALUE"""),"")</f>
        <v/>
      </c>
      <c r="BE861" s="4" t="str">
        <f>IFERROR(__xludf.DUMMYFUNCTION("""COMPUTED_VALUE"""),"")</f>
        <v/>
      </c>
      <c r="BF861" s="4" t="str">
        <f>IFERROR(__xludf.DUMMYFUNCTION("""COMPUTED_VALUE"""),"")</f>
        <v/>
      </c>
      <c r="BG861" s="4" t="str">
        <f>IFERROR(__xludf.DUMMYFUNCTION("""COMPUTED_VALUE"""),"")</f>
        <v/>
      </c>
      <c r="BH861" s="4" t="s">
        <v>64</v>
      </c>
      <c r="BI861" s="7">
        <v>1.0</v>
      </c>
    </row>
    <row r="862" hidden="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t="str">
        <f>IFERROR(__xludf.DUMMYFUNCTION("""COMPUTED_VALUE"""),"")</f>
        <v/>
      </c>
      <c r="BB862" s="4" t="str">
        <f>IFERROR(__xludf.DUMMYFUNCTION("""COMPUTED_VALUE"""),"")</f>
        <v/>
      </c>
      <c r="BC862" s="4" t="str">
        <f>IFERROR(__xludf.DUMMYFUNCTION("""COMPUTED_VALUE"""),"")</f>
        <v/>
      </c>
      <c r="BD862" s="4" t="str">
        <f>IFERROR(__xludf.DUMMYFUNCTION("""COMPUTED_VALUE"""),"")</f>
        <v/>
      </c>
      <c r="BE862" s="4" t="str">
        <f>IFERROR(__xludf.DUMMYFUNCTION("""COMPUTED_VALUE"""),"")</f>
        <v/>
      </c>
      <c r="BF862" s="4" t="str">
        <f>IFERROR(__xludf.DUMMYFUNCTION("""COMPUTED_VALUE"""),"")</f>
        <v/>
      </c>
      <c r="BG862" s="4" t="str">
        <f>IFERROR(__xludf.DUMMYFUNCTION("""COMPUTED_VALUE"""),"")</f>
        <v/>
      </c>
      <c r="BH862" s="4" t="s">
        <v>64</v>
      </c>
      <c r="BI862" s="7">
        <v>1.0</v>
      </c>
    </row>
    <row r="863" hidden="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t="str">
        <f>IFERROR(__xludf.DUMMYFUNCTION("""COMPUTED_VALUE"""),"")</f>
        <v/>
      </c>
      <c r="BB863" s="4" t="str">
        <f>IFERROR(__xludf.DUMMYFUNCTION("""COMPUTED_VALUE"""),"")</f>
        <v/>
      </c>
      <c r="BC863" s="4" t="str">
        <f>IFERROR(__xludf.DUMMYFUNCTION("""COMPUTED_VALUE"""),"")</f>
        <v/>
      </c>
      <c r="BD863" s="4" t="str">
        <f>IFERROR(__xludf.DUMMYFUNCTION("""COMPUTED_VALUE"""),"")</f>
        <v/>
      </c>
      <c r="BE863" s="4" t="str">
        <f>IFERROR(__xludf.DUMMYFUNCTION("""COMPUTED_VALUE"""),"")</f>
        <v/>
      </c>
      <c r="BF863" s="4" t="str">
        <f>IFERROR(__xludf.DUMMYFUNCTION("""COMPUTED_VALUE"""),"")</f>
        <v/>
      </c>
      <c r="BG863" s="4" t="str">
        <f>IFERROR(__xludf.DUMMYFUNCTION("""COMPUTED_VALUE"""),"")</f>
        <v/>
      </c>
      <c r="BH863" s="4" t="s">
        <v>64</v>
      </c>
      <c r="BI863" s="7">
        <v>1.0</v>
      </c>
    </row>
    <row r="864" hidden="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t="str">
        <f>IFERROR(__xludf.DUMMYFUNCTION("""COMPUTED_VALUE"""),"")</f>
        <v/>
      </c>
      <c r="BB864" s="4" t="str">
        <f>IFERROR(__xludf.DUMMYFUNCTION("""COMPUTED_VALUE"""),"")</f>
        <v/>
      </c>
      <c r="BC864" s="4" t="str">
        <f>IFERROR(__xludf.DUMMYFUNCTION("""COMPUTED_VALUE"""),"")</f>
        <v/>
      </c>
      <c r="BD864" s="4" t="str">
        <f>IFERROR(__xludf.DUMMYFUNCTION("""COMPUTED_VALUE"""),"")</f>
        <v/>
      </c>
      <c r="BE864" s="4" t="str">
        <f>IFERROR(__xludf.DUMMYFUNCTION("""COMPUTED_VALUE"""),"")</f>
        <v/>
      </c>
      <c r="BF864" s="4" t="str">
        <f>IFERROR(__xludf.DUMMYFUNCTION("""COMPUTED_VALUE"""),"")</f>
        <v/>
      </c>
      <c r="BG864" s="4" t="str">
        <f>IFERROR(__xludf.DUMMYFUNCTION("""COMPUTED_VALUE"""),"")</f>
        <v/>
      </c>
      <c r="BH864" s="4" t="s">
        <v>64</v>
      </c>
      <c r="BI864" s="7">
        <v>1.0</v>
      </c>
    </row>
    <row r="865" hidden="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t="str">
        <f>IFERROR(__xludf.DUMMYFUNCTION("""COMPUTED_VALUE"""),"")</f>
        <v/>
      </c>
      <c r="BB865" s="4" t="str">
        <f>IFERROR(__xludf.DUMMYFUNCTION("""COMPUTED_VALUE"""),"")</f>
        <v/>
      </c>
      <c r="BC865" s="4" t="str">
        <f>IFERROR(__xludf.DUMMYFUNCTION("""COMPUTED_VALUE"""),"")</f>
        <v/>
      </c>
      <c r="BD865" s="4" t="str">
        <f>IFERROR(__xludf.DUMMYFUNCTION("""COMPUTED_VALUE"""),"")</f>
        <v/>
      </c>
      <c r="BE865" s="4" t="str">
        <f>IFERROR(__xludf.DUMMYFUNCTION("""COMPUTED_VALUE"""),"")</f>
        <v/>
      </c>
      <c r="BF865" s="4" t="str">
        <f>IFERROR(__xludf.DUMMYFUNCTION("""COMPUTED_VALUE"""),"")</f>
        <v/>
      </c>
      <c r="BG865" s="4" t="str">
        <f>IFERROR(__xludf.DUMMYFUNCTION("""COMPUTED_VALUE"""),"")</f>
        <v/>
      </c>
      <c r="BH865" s="4" t="s">
        <v>64</v>
      </c>
      <c r="BI865" s="7">
        <v>1.0</v>
      </c>
    </row>
    <row r="866" hidden="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t="str">
        <f>IFERROR(__xludf.DUMMYFUNCTION("""COMPUTED_VALUE"""),"")</f>
        <v/>
      </c>
      <c r="BB866" s="4" t="str">
        <f>IFERROR(__xludf.DUMMYFUNCTION("""COMPUTED_VALUE"""),"")</f>
        <v/>
      </c>
      <c r="BC866" s="4" t="str">
        <f>IFERROR(__xludf.DUMMYFUNCTION("""COMPUTED_VALUE"""),"")</f>
        <v/>
      </c>
      <c r="BD866" s="4" t="str">
        <f>IFERROR(__xludf.DUMMYFUNCTION("""COMPUTED_VALUE"""),"")</f>
        <v/>
      </c>
      <c r="BE866" s="4" t="str">
        <f>IFERROR(__xludf.DUMMYFUNCTION("""COMPUTED_VALUE"""),"")</f>
        <v/>
      </c>
      <c r="BF866" s="4" t="str">
        <f>IFERROR(__xludf.DUMMYFUNCTION("""COMPUTED_VALUE"""),"")</f>
        <v/>
      </c>
      <c r="BG866" s="4" t="str">
        <f>IFERROR(__xludf.DUMMYFUNCTION("""COMPUTED_VALUE"""),"")</f>
        <v/>
      </c>
      <c r="BH866" s="4" t="s">
        <v>64</v>
      </c>
      <c r="BI866" s="7">
        <v>1.0</v>
      </c>
    </row>
    <row r="867" hidden="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t="str">
        <f>IFERROR(__xludf.DUMMYFUNCTION("""COMPUTED_VALUE"""),"")</f>
        <v/>
      </c>
      <c r="BB867" s="4" t="str">
        <f>IFERROR(__xludf.DUMMYFUNCTION("""COMPUTED_VALUE"""),"")</f>
        <v/>
      </c>
      <c r="BC867" s="4" t="str">
        <f>IFERROR(__xludf.DUMMYFUNCTION("""COMPUTED_VALUE"""),"")</f>
        <v/>
      </c>
      <c r="BD867" s="4" t="str">
        <f>IFERROR(__xludf.DUMMYFUNCTION("""COMPUTED_VALUE"""),"")</f>
        <v/>
      </c>
      <c r="BE867" s="4" t="str">
        <f>IFERROR(__xludf.DUMMYFUNCTION("""COMPUTED_VALUE"""),"")</f>
        <v/>
      </c>
      <c r="BF867" s="4" t="str">
        <f>IFERROR(__xludf.DUMMYFUNCTION("""COMPUTED_VALUE"""),"")</f>
        <v/>
      </c>
      <c r="BG867" s="4" t="str">
        <f>IFERROR(__xludf.DUMMYFUNCTION("""COMPUTED_VALUE"""),"")</f>
        <v/>
      </c>
      <c r="BH867" s="4" t="s">
        <v>64</v>
      </c>
      <c r="BI867" s="7">
        <v>1.0</v>
      </c>
    </row>
    <row r="868" hidden="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t="str">
        <f>IFERROR(__xludf.DUMMYFUNCTION("""COMPUTED_VALUE"""),"")</f>
        <v/>
      </c>
      <c r="BB868" s="4" t="str">
        <f>IFERROR(__xludf.DUMMYFUNCTION("""COMPUTED_VALUE"""),"")</f>
        <v/>
      </c>
      <c r="BC868" s="4" t="str">
        <f>IFERROR(__xludf.DUMMYFUNCTION("""COMPUTED_VALUE"""),"")</f>
        <v/>
      </c>
      <c r="BD868" s="4" t="str">
        <f>IFERROR(__xludf.DUMMYFUNCTION("""COMPUTED_VALUE"""),"")</f>
        <v/>
      </c>
      <c r="BE868" s="4" t="str">
        <f>IFERROR(__xludf.DUMMYFUNCTION("""COMPUTED_VALUE"""),"")</f>
        <v/>
      </c>
      <c r="BF868" s="4" t="str">
        <f>IFERROR(__xludf.DUMMYFUNCTION("""COMPUTED_VALUE"""),"")</f>
        <v/>
      </c>
      <c r="BG868" s="4" t="str">
        <f>IFERROR(__xludf.DUMMYFUNCTION("""COMPUTED_VALUE"""),"")</f>
        <v/>
      </c>
      <c r="BH868" s="4" t="s">
        <v>64</v>
      </c>
      <c r="BI868" s="7">
        <v>1.0</v>
      </c>
    </row>
    <row r="869" hidden="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t="str">
        <f>IFERROR(__xludf.DUMMYFUNCTION("""COMPUTED_VALUE"""),"")</f>
        <v/>
      </c>
      <c r="BB869" s="4" t="str">
        <f>IFERROR(__xludf.DUMMYFUNCTION("""COMPUTED_VALUE"""),"")</f>
        <v/>
      </c>
      <c r="BC869" s="4" t="str">
        <f>IFERROR(__xludf.DUMMYFUNCTION("""COMPUTED_VALUE"""),"")</f>
        <v/>
      </c>
      <c r="BD869" s="4" t="str">
        <f>IFERROR(__xludf.DUMMYFUNCTION("""COMPUTED_VALUE"""),"")</f>
        <v/>
      </c>
      <c r="BE869" s="4" t="str">
        <f>IFERROR(__xludf.DUMMYFUNCTION("""COMPUTED_VALUE"""),"")</f>
        <v/>
      </c>
      <c r="BF869" s="4" t="str">
        <f>IFERROR(__xludf.DUMMYFUNCTION("""COMPUTED_VALUE"""),"")</f>
        <v/>
      </c>
      <c r="BG869" s="4" t="str">
        <f>IFERROR(__xludf.DUMMYFUNCTION("""COMPUTED_VALUE"""),"")</f>
        <v/>
      </c>
      <c r="BH869" s="4" t="s">
        <v>64</v>
      </c>
      <c r="BI869" s="7">
        <v>1.0</v>
      </c>
    </row>
    <row r="870" hidden="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t="str">
        <f>IFERROR(__xludf.DUMMYFUNCTION("""COMPUTED_VALUE"""),"")</f>
        <v/>
      </c>
      <c r="BB870" s="4" t="str">
        <f>IFERROR(__xludf.DUMMYFUNCTION("""COMPUTED_VALUE"""),"")</f>
        <v/>
      </c>
      <c r="BC870" s="4" t="str">
        <f>IFERROR(__xludf.DUMMYFUNCTION("""COMPUTED_VALUE"""),"")</f>
        <v/>
      </c>
      <c r="BD870" s="4" t="str">
        <f>IFERROR(__xludf.DUMMYFUNCTION("""COMPUTED_VALUE"""),"")</f>
        <v/>
      </c>
      <c r="BE870" s="4" t="str">
        <f>IFERROR(__xludf.DUMMYFUNCTION("""COMPUTED_VALUE"""),"")</f>
        <v/>
      </c>
      <c r="BF870" s="4" t="str">
        <f>IFERROR(__xludf.DUMMYFUNCTION("""COMPUTED_VALUE"""),"")</f>
        <v/>
      </c>
      <c r="BG870" s="4" t="str">
        <f>IFERROR(__xludf.DUMMYFUNCTION("""COMPUTED_VALUE"""),"")</f>
        <v/>
      </c>
      <c r="BH870" s="4" t="s">
        <v>64</v>
      </c>
      <c r="BI870" s="7">
        <v>1.0</v>
      </c>
    </row>
    <row r="871" hidden="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t="str">
        <f>IFERROR(__xludf.DUMMYFUNCTION("""COMPUTED_VALUE"""),"")</f>
        <v/>
      </c>
      <c r="BB871" s="4" t="str">
        <f>IFERROR(__xludf.DUMMYFUNCTION("""COMPUTED_VALUE"""),"")</f>
        <v/>
      </c>
      <c r="BC871" s="4" t="str">
        <f>IFERROR(__xludf.DUMMYFUNCTION("""COMPUTED_VALUE"""),"")</f>
        <v/>
      </c>
      <c r="BD871" s="4" t="str">
        <f>IFERROR(__xludf.DUMMYFUNCTION("""COMPUTED_VALUE"""),"")</f>
        <v/>
      </c>
      <c r="BE871" s="4" t="str">
        <f>IFERROR(__xludf.DUMMYFUNCTION("""COMPUTED_VALUE"""),"")</f>
        <v/>
      </c>
      <c r="BF871" s="4" t="str">
        <f>IFERROR(__xludf.DUMMYFUNCTION("""COMPUTED_VALUE"""),"")</f>
        <v/>
      </c>
      <c r="BG871" s="4" t="str">
        <f>IFERROR(__xludf.DUMMYFUNCTION("""COMPUTED_VALUE"""),"")</f>
        <v/>
      </c>
      <c r="BH871" s="4" t="s">
        <v>64</v>
      </c>
      <c r="BI871" s="7">
        <v>1.0</v>
      </c>
    </row>
    <row r="872" hidden="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t="str">
        <f>IFERROR(__xludf.DUMMYFUNCTION("""COMPUTED_VALUE"""),"")</f>
        <v/>
      </c>
      <c r="BB872" s="4" t="str">
        <f>IFERROR(__xludf.DUMMYFUNCTION("""COMPUTED_VALUE"""),"")</f>
        <v/>
      </c>
      <c r="BC872" s="4" t="str">
        <f>IFERROR(__xludf.DUMMYFUNCTION("""COMPUTED_VALUE"""),"")</f>
        <v/>
      </c>
      <c r="BD872" s="4" t="str">
        <f>IFERROR(__xludf.DUMMYFUNCTION("""COMPUTED_VALUE"""),"")</f>
        <v/>
      </c>
      <c r="BE872" s="4" t="str">
        <f>IFERROR(__xludf.DUMMYFUNCTION("""COMPUTED_VALUE"""),"")</f>
        <v/>
      </c>
      <c r="BF872" s="4" t="str">
        <f>IFERROR(__xludf.DUMMYFUNCTION("""COMPUTED_VALUE"""),"")</f>
        <v/>
      </c>
      <c r="BG872" s="4" t="str">
        <f>IFERROR(__xludf.DUMMYFUNCTION("""COMPUTED_VALUE"""),"")</f>
        <v/>
      </c>
      <c r="BH872" s="4" t="s">
        <v>64</v>
      </c>
      <c r="BI872" s="7">
        <v>1.0</v>
      </c>
    </row>
    <row r="873" hidden="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t="str">
        <f>IFERROR(__xludf.DUMMYFUNCTION("""COMPUTED_VALUE"""),"")</f>
        <v/>
      </c>
      <c r="BB873" s="4" t="str">
        <f>IFERROR(__xludf.DUMMYFUNCTION("""COMPUTED_VALUE"""),"")</f>
        <v/>
      </c>
      <c r="BC873" s="4" t="str">
        <f>IFERROR(__xludf.DUMMYFUNCTION("""COMPUTED_VALUE"""),"")</f>
        <v/>
      </c>
      <c r="BD873" s="4" t="str">
        <f>IFERROR(__xludf.DUMMYFUNCTION("""COMPUTED_VALUE"""),"")</f>
        <v/>
      </c>
      <c r="BE873" s="4" t="str">
        <f>IFERROR(__xludf.DUMMYFUNCTION("""COMPUTED_VALUE"""),"")</f>
        <v/>
      </c>
      <c r="BF873" s="4" t="str">
        <f>IFERROR(__xludf.DUMMYFUNCTION("""COMPUTED_VALUE"""),"")</f>
        <v/>
      </c>
      <c r="BG873" s="4" t="str">
        <f>IFERROR(__xludf.DUMMYFUNCTION("""COMPUTED_VALUE"""),"")</f>
        <v/>
      </c>
      <c r="BH873" s="4" t="s">
        <v>64</v>
      </c>
      <c r="BI873" s="7">
        <v>1.0</v>
      </c>
    </row>
    <row r="874" hidden="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t="str">
        <f>IFERROR(__xludf.DUMMYFUNCTION("""COMPUTED_VALUE"""),"")</f>
        <v/>
      </c>
      <c r="BB874" s="4" t="str">
        <f>IFERROR(__xludf.DUMMYFUNCTION("""COMPUTED_VALUE"""),"")</f>
        <v/>
      </c>
      <c r="BC874" s="4" t="str">
        <f>IFERROR(__xludf.DUMMYFUNCTION("""COMPUTED_VALUE"""),"")</f>
        <v/>
      </c>
      <c r="BD874" s="4" t="str">
        <f>IFERROR(__xludf.DUMMYFUNCTION("""COMPUTED_VALUE"""),"")</f>
        <v/>
      </c>
      <c r="BE874" s="4" t="str">
        <f>IFERROR(__xludf.DUMMYFUNCTION("""COMPUTED_VALUE"""),"")</f>
        <v/>
      </c>
      <c r="BF874" s="4" t="str">
        <f>IFERROR(__xludf.DUMMYFUNCTION("""COMPUTED_VALUE"""),"")</f>
        <v/>
      </c>
      <c r="BG874" s="4" t="str">
        <f>IFERROR(__xludf.DUMMYFUNCTION("""COMPUTED_VALUE"""),"")</f>
        <v/>
      </c>
      <c r="BH874" s="4" t="s">
        <v>64</v>
      </c>
      <c r="BI874" s="7">
        <v>1.0</v>
      </c>
    </row>
    <row r="875" hidden="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t="str">
        <f>IFERROR(__xludf.DUMMYFUNCTION("""COMPUTED_VALUE"""),"")</f>
        <v/>
      </c>
      <c r="BB875" s="4" t="str">
        <f>IFERROR(__xludf.DUMMYFUNCTION("""COMPUTED_VALUE"""),"")</f>
        <v/>
      </c>
      <c r="BC875" s="4" t="str">
        <f>IFERROR(__xludf.DUMMYFUNCTION("""COMPUTED_VALUE"""),"")</f>
        <v/>
      </c>
      <c r="BD875" s="4" t="str">
        <f>IFERROR(__xludf.DUMMYFUNCTION("""COMPUTED_VALUE"""),"")</f>
        <v/>
      </c>
      <c r="BE875" s="4" t="str">
        <f>IFERROR(__xludf.DUMMYFUNCTION("""COMPUTED_VALUE"""),"")</f>
        <v/>
      </c>
      <c r="BF875" s="4" t="str">
        <f>IFERROR(__xludf.DUMMYFUNCTION("""COMPUTED_VALUE"""),"")</f>
        <v/>
      </c>
      <c r="BG875" s="4" t="str">
        <f>IFERROR(__xludf.DUMMYFUNCTION("""COMPUTED_VALUE"""),"")</f>
        <v/>
      </c>
      <c r="BH875" s="4" t="s">
        <v>64</v>
      </c>
      <c r="BI875" s="7">
        <v>1.0</v>
      </c>
    </row>
    <row r="876" hidden="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t="str">
        <f>IFERROR(__xludf.DUMMYFUNCTION("""COMPUTED_VALUE"""),"")</f>
        <v/>
      </c>
      <c r="BB876" s="4" t="str">
        <f>IFERROR(__xludf.DUMMYFUNCTION("""COMPUTED_VALUE"""),"")</f>
        <v/>
      </c>
      <c r="BC876" s="4" t="str">
        <f>IFERROR(__xludf.DUMMYFUNCTION("""COMPUTED_VALUE"""),"")</f>
        <v/>
      </c>
      <c r="BD876" s="4" t="str">
        <f>IFERROR(__xludf.DUMMYFUNCTION("""COMPUTED_VALUE"""),"")</f>
        <v/>
      </c>
      <c r="BE876" s="4" t="str">
        <f>IFERROR(__xludf.DUMMYFUNCTION("""COMPUTED_VALUE"""),"")</f>
        <v/>
      </c>
      <c r="BF876" s="4" t="str">
        <f>IFERROR(__xludf.DUMMYFUNCTION("""COMPUTED_VALUE"""),"")</f>
        <v/>
      </c>
      <c r="BG876" s="4" t="str">
        <f>IFERROR(__xludf.DUMMYFUNCTION("""COMPUTED_VALUE"""),"")</f>
        <v/>
      </c>
      <c r="BH876" s="4" t="s">
        <v>64</v>
      </c>
      <c r="BI876" s="7">
        <v>1.0</v>
      </c>
    </row>
    <row r="877" hidden="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t="str">
        <f>IFERROR(__xludf.DUMMYFUNCTION("""COMPUTED_VALUE"""),"")</f>
        <v/>
      </c>
      <c r="BB877" s="4" t="str">
        <f>IFERROR(__xludf.DUMMYFUNCTION("""COMPUTED_VALUE"""),"")</f>
        <v/>
      </c>
      <c r="BC877" s="4" t="str">
        <f>IFERROR(__xludf.DUMMYFUNCTION("""COMPUTED_VALUE"""),"")</f>
        <v/>
      </c>
      <c r="BD877" s="4" t="str">
        <f>IFERROR(__xludf.DUMMYFUNCTION("""COMPUTED_VALUE"""),"")</f>
        <v/>
      </c>
      <c r="BE877" s="4" t="str">
        <f>IFERROR(__xludf.DUMMYFUNCTION("""COMPUTED_VALUE"""),"")</f>
        <v/>
      </c>
      <c r="BF877" s="4" t="str">
        <f>IFERROR(__xludf.DUMMYFUNCTION("""COMPUTED_VALUE"""),"")</f>
        <v/>
      </c>
      <c r="BG877" s="4" t="str">
        <f>IFERROR(__xludf.DUMMYFUNCTION("""COMPUTED_VALUE"""),"")</f>
        <v/>
      </c>
      <c r="BH877" s="4" t="s">
        <v>64</v>
      </c>
      <c r="BI877" s="7">
        <v>1.0</v>
      </c>
    </row>
    <row r="878" hidden="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t="str">
        <f>IFERROR(__xludf.DUMMYFUNCTION("""COMPUTED_VALUE"""),"")</f>
        <v/>
      </c>
      <c r="BB878" s="4" t="str">
        <f>IFERROR(__xludf.DUMMYFUNCTION("""COMPUTED_VALUE"""),"")</f>
        <v/>
      </c>
      <c r="BC878" s="4" t="str">
        <f>IFERROR(__xludf.DUMMYFUNCTION("""COMPUTED_VALUE"""),"")</f>
        <v/>
      </c>
      <c r="BD878" s="4" t="str">
        <f>IFERROR(__xludf.DUMMYFUNCTION("""COMPUTED_VALUE"""),"")</f>
        <v/>
      </c>
      <c r="BE878" s="4" t="str">
        <f>IFERROR(__xludf.DUMMYFUNCTION("""COMPUTED_VALUE"""),"")</f>
        <v/>
      </c>
      <c r="BF878" s="4" t="str">
        <f>IFERROR(__xludf.DUMMYFUNCTION("""COMPUTED_VALUE"""),"")</f>
        <v/>
      </c>
      <c r="BG878" s="4" t="str">
        <f>IFERROR(__xludf.DUMMYFUNCTION("""COMPUTED_VALUE"""),"")</f>
        <v/>
      </c>
      <c r="BH878" s="4" t="s">
        <v>64</v>
      </c>
      <c r="BI878" s="7">
        <v>1.0</v>
      </c>
    </row>
    <row r="879" hidden="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t="str">
        <f>IFERROR(__xludf.DUMMYFUNCTION("""COMPUTED_VALUE"""),"")</f>
        <v/>
      </c>
      <c r="BB879" s="4" t="str">
        <f>IFERROR(__xludf.DUMMYFUNCTION("""COMPUTED_VALUE"""),"")</f>
        <v/>
      </c>
      <c r="BC879" s="4" t="str">
        <f>IFERROR(__xludf.DUMMYFUNCTION("""COMPUTED_VALUE"""),"")</f>
        <v/>
      </c>
      <c r="BD879" s="4" t="str">
        <f>IFERROR(__xludf.DUMMYFUNCTION("""COMPUTED_VALUE"""),"")</f>
        <v/>
      </c>
      <c r="BE879" s="4" t="str">
        <f>IFERROR(__xludf.DUMMYFUNCTION("""COMPUTED_VALUE"""),"")</f>
        <v/>
      </c>
      <c r="BF879" s="4" t="str">
        <f>IFERROR(__xludf.DUMMYFUNCTION("""COMPUTED_VALUE"""),"")</f>
        <v/>
      </c>
      <c r="BG879" s="4" t="str">
        <f>IFERROR(__xludf.DUMMYFUNCTION("""COMPUTED_VALUE"""),"")</f>
        <v/>
      </c>
      <c r="BH879" s="4" t="s">
        <v>64</v>
      </c>
      <c r="BI879" s="7">
        <v>1.0</v>
      </c>
    </row>
    <row r="880" hidden="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t="str">
        <f>IFERROR(__xludf.DUMMYFUNCTION("""COMPUTED_VALUE"""),"")</f>
        <v/>
      </c>
      <c r="BB880" s="4" t="str">
        <f>IFERROR(__xludf.DUMMYFUNCTION("""COMPUTED_VALUE"""),"")</f>
        <v/>
      </c>
      <c r="BC880" s="4" t="str">
        <f>IFERROR(__xludf.DUMMYFUNCTION("""COMPUTED_VALUE"""),"")</f>
        <v/>
      </c>
      <c r="BD880" s="4" t="str">
        <f>IFERROR(__xludf.DUMMYFUNCTION("""COMPUTED_VALUE"""),"")</f>
        <v/>
      </c>
      <c r="BE880" s="4" t="str">
        <f>IFERROR(__xludf.DUMMYFUNCTION("""COMPUTED_VALUE"""),"")</f>
        <v/>
      </c>
      <c r="BF880" s="4" t="str">
        <f>IFERROR(__xludf.DUMMYFUNCTION("""COMPUTED_VALUE"""),"")</f>
        <v/>
      </c>
      <c r="BG880" s="4" t="str">
        <f>IFERROR(__xludf.DUMMYFUNCTION("""COMPUTED_VALUE"""),"")</f>
        <v/>
      </c>
      <c r="BH880" s="4" t="s">
        <v>64</v>
      </c>
      <c r="BI880" s="7">
        <v>1.0</v>
      </c>
    </row>
    <row r="881" hidden="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t="str">
        <f>IFERROR(__xludf.DUMMYFUNCTION("""COMPUTED_VALUE"""),"")</f>
        <v/>
      </c>
      <c r="BB881" s="4" t="str">
        <f>IFERROR(__xludf.DUMMYFUNCTION("""COMPUTED_VALUE"""),"")</f>
        <v/>
      </c>
      <c r="BC881" s="4" t="str">
        <f>IFERROR(__xludf.DUMMYFUNCTION("""COMPUTED_VALUE"""),"")</f>
        <v/>
      </c>
      <c r="BD881" s="4" t="str">
        <f>IFERROR(__xludf.DUMMYFUNCTION("""COMPUTED_VALUE"""),"")</f>
        <v/>
      </c>
      <c r="BE881" s="4" t="str">
        <f>IFERROR(__xludf.DUMMYFUNCTION("""COMPUTED_VALUE"""),"")</f>
        <v/>
      </c>
      <c r="BF881" s="4" t="str">
        <f>IFERROR(__xludf.DUMMYFUNCTION("""COMPUTED_VALUE"""),"")</f>
        <v/>
      </c>
      <c r="BG881" s="4" t="str">
        <f>IFERROR(__xludf.DUMMYFUNCTION("""COMPUTED_VALUE"""),"")</f>
        <v/>
      </c>
      <c r="BH881" s="4" t="s">
        <v>64</v>
      </c>
      <c r="BI881" s="7">
        <v>1.0</v>
      </c>
    </row>
    <row r="882" hidden="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t="str">
        <f>IFERROR(__xludf.DUMMYFUNCTION("""COMPUTED_VALUE"""),"")</f>
        <v/>
      </c>
      <c r="BB882" s="4" t="str">
        <f>IFERROR(__xludf.DUMMYFUNCTION("""COMPUTED_VALUE"""),"")</f>
        <v/>
      </c>
      <c r="BC882" s="4" t="str">
        <f>IFERROR(__xludf.DUMMYFUNCTION("""COMPUTED_VALUE"""),"")</f>
        <v/>
      </c>
      <c r="BD882" s="4" t="str">
        <f>IFERROR(__xludf.DUMMYFUNCTION("""COMPUTED_VALUE"""),"")</f>
        <v/>
      </c>
      <c r="BE882" s="4" t="str">
        <f>IFERROR(__xludf.DUMMYFUNCTION("""COMPUTED_VALUE"""),"")</f>
        <v/>
      </c>
      <c r="BF882" s="4" t="str">
        <f>IFERROR(__xludf.DUMMYFUNCTION("""COMPUTED_VALUE"""),"")</f>
        <v/>
      </c>
      <c r="BG882" s="4" t="str">
        <f>IFERROR(__xludf.DUMMYFUNCTION("""COMPUTED_VALUE"""),"")</f>
        <v/>
      </c>
      <c r="BH882" s="4" t="s">
        <v>64</v>
      </c>
      <c r="BI882" s="7">
        <v>1.0</v>
      </c>
    </row>
    <row r="883" hidden="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t="str">
        <f>IFERROR(__xludf.DUMMYFUNCTION("""COMPUTED_VALUE"""),"")</f>
        <v/>
      </c>
      <c r="BB883" s="4" t="str">
        <f>IFERROR(__xludf.DUMMYFUNCTION("""COMPUTED_VALUE"""),"")</f>
        <v/>
      </c>
      <c r="BC883" s="4" t="str">
        <f>IFERROR(__xludf.DUMMYFUNCTION("""COMPUTED_VALUE"""),"")</f>
        <v/>
      </c>
      <c r="BD883" s="4" t="str">
        <f>IFERROR(__xludf.DUMMYFUNCTION("""COMPUTED_VALUE"""),"")</f>
        <v/>
      </c>
      <c r="BE883" s="4" t="str">
        <f>IFERROR(__xludf.DUMMYFUNCTION("""COMPUTED_VALUE"""),"")</f>
        <v/>
      </c>
      <c r="BF883" s="4" t="str">
        <f>IFERROR(__xludf.DUMMYFUNCTION("""COMPUTED_VALUE"""),"")</f>
        <v/>
      </c>
      <c r="BG883" s="4" t="str">
        <f>IFERROR(__xludf.DUMMYFUNCTION("""COMPUTED_VALUE"""),"")</f>
        <v/>
      </c>
      <c r="BH883" s="4" t="s">
        <v>64</v>
      </c>
      <c r="BI883" s="7">
        <v>1.0</v>
      </c>
    </row>
    <row r="884" hidden="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t="str">
        <f>IFERROR(__xludf.DUMMYFUNCTION("""COMPUTED_VALUE"""),"")</f>
        <v/>
      </c>
      <c r="BB884" s="4" t="str">
        <f>IFERROR(__xludf.DUMMYFUNCTION("""COMPUTED_VALUE"""),"")</f>
        <v/>
      </c>
      <c r="BC884" s="4" t="str">
        <f>IFERROR(__xludf.DUMMYFUNCTION("""COMPUTED_VALUE"""),"")</f>
        <v/>
      </c>
      <c r="BD884" s="4" t="str">
        <f>IFERROR(__xludf.DUMMYFUNCTION("""COMPUTED_VALUE"""),"")</f>
        <v/>
      </c>
      <c r="BE884" s="4" t="str">
        <f>IFERROR(__xludf.DUMMYFUNCTION("""COMPUTED_VALUE"""),"")</f>
        <v/>
      </c>
      <c r="BF884" s="4" t="str">
        <f>IFERROR(__xludf.DUMMYFUNCTION("""COMPUTED_VALUE"""),"")</f>
        <v/>
      </c>
      <c r="BG884" s="4" t="str">
        <f>IFERROR(__xludf.DUMMYFUNCTION("""COMPUTED_VALUE"""),"")</f>
        <v/>
      </c>
      <c r="BH884" s="4" t="s">
        <v>64</v>
      </c>
      <c r="BI884" s="7">
        <v>1.0</v>
      </c>
    </row>
    <row r="885" hidden="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t="str">
        <f>IFERROR(__xludf.DUMMYFUNCTION("""COMPUTED_VALUE"""),"")</f>
        <v/>
      </c>
      <c r="BB885" s="4" t="str">
        <f>IFERROR(__xludf.DUMMYFUNCTION("""COMPUTED_VALUE"""),"")</f>
        <v/>
      </c>
      <c r="BC885" s="4" t="str">
        <f>IFERROR(__xludf.DUMMYFUNCTION("""COMPUTED_VALUE"""),"")</f>
        <v/>
      </c>
      <c r="BD885" s="4" t="str">
        <f>IFERROR(__xludf.DUMMYFUNCTION("""COMPUTED_VALUE"""),"")</f>
        <v/>
      </c>
      <c r="BE885" s="4" t="str">
        <f>IFERROR(__xludf.DUMMYFUNCTION("""COMPUTED_VALUE"""),"")</f>
        <v/>
      </c>
      <c r="BF885" s="4" t="str">
        <f>IFERROR(__xludf.DUMMYFUNCTION("""COMPUTED_VALUE"""),"")</f>
        <v/>
      </c>
      <c r="BG885" s="4" t="str">
        <f>IFERROR(__xludf.DUMMYFUNCTION("""COMPUTED_VALUE"""),"")</f>
        <v/>
      </c>
      <c r="BH885" s="4" t="s">
        <v>64</v>
      </c>
      <c r="BI885" s="7">
        <v>1.0</v>
      </c>
    </row>
    <row r="886" hidden="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t="str">
        <f>IFERROR(__xludf.DUMMYFUNCTION("""COMPUTED_VALUE"""),"")</f>
        <v/>
      </c>
      <c r="BB886" s="4" t="str">
        <f>IFERROR(__xludf.DUMMYFUNCTION("""COMPUTED_VALUE"""),"")</f>
        <v/>
      </c>
      <c r="BC886" s="4" t="str">
        <f>IFERROR(__xludf.DUMMYFUNCTION("""COMPUTED_VALUE"""),"")</f>
        <v/>
      </c>
      <c r="BD886" s="4" t="str">
        <f>IFERROR(__xludf.DUMMYFUNCTION("""COMPUTED_VALUE"""),"")</f>
        <v/>
      </c>
      <c r="BE886" s="4" t="str">
        <f>IFERROR(__xludf.DUMMYFUNCTION("""COMPUTED_VALUE"""),"")</f>
        <v/>
      </c>
      <c r="BF886" s="4" t="str">
        <f>IFERROR(__xludf.DUMMYFUNCTION("""COMPUTED_VALUE"""),"")</f>
        <v/>
      </c>
      <c r="BG886" s="4" t="str">
        <f>IFERROR(__xludf.DUMMYFUNCTION("""COMPUTED_VALUE"""),"")</f>
        <v/>
      </c>
      <c r="BH886" s="4" t="s">
        <v>64</v>
      </c>
      <c r="BI886" s="7">
        <v>1.0</v>
      </c>
    </row>
    <row r="887" hidden="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t="str">
        <f>IFERROR(__xludf.DUMMYFUNCTION("""COMPUTED_VALUE"""),"")</f>
        <v/>
      </c>
      <c r="BB887" s="4" t="str">
        <f>IFERROR(__xludf.DUMMYFUNCTION("""COMPUTED_VALUE"""),"")</f>
        <v/>
      </c>
      <c r="BC887" s="4" t="str">
        <f>IFERROR(__xludf.DUMMYFUNCTION("""COMPUTED_VALUE"""),"")</f>
        <v/>
      </c>
      <c r="BD887" s="4" t="str">
        <f>IFERROR(__xludf.DUMMYFUNCTION("""COMPUTED_VALUE"""),"")</f>
        <v/>
      </c>
      <c r="BE887" s="4" t="str">
        <f>IFERROR(__xludf.DUMMYFUNCTION("""COMPUTED_VALUE"""),"")</f>
        <v/>
      </c>
      <c r="BF887" s="4" t="str">
        <f>IFERROR(__xludf.DUMMYFUNCTION("""COMPUTED_VALUE"""),"")</f>
        <v/>
      </c>
      <c r="BG887" s="4" t="str">
        <f>IFERROR(__xludf.DUMMYFUNCTION("""COMPUTED_VALUE"""),"")</f>
        <v/>
      </c>
      <c r="BH887" s="4" t="s">
        <v>64</v>
      </c>
      <c r="BI887" s="7">
        <v>1.0</v>
      </c>
    </row>
    <row r="888" hidden="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t="str">
        <f>IFERROR(__xludf.DUMMYFUNCTION("""COMPUTED_VALUE"""),"")</f>
        <v/>
      </c>
      <c r="BB888" s="4" t="str">
        <f>IFERROR(__xludf.DUMMYFUNCTION("""COMPUTED_VALUE"""),"")</f>
        <v/>
      </c>
      <c r="BC888" s="4" t="str">
        <f>IFERROR(__xludf.DUMMYFUNCTION("""COMPUTED_VALUE"""),"")</f>
        <v/>
      </c>
      <c r="BD888" s="4" t="str">
        <f>IFERROR(__xludf.DUMMYFUNCTION("""COMPUTED_VALUE"""),"")</f>
        <v/>
      </c>
      <c r="BE888" s="4" t="str">
        <f>IFERROR(__xludf.DUMMYFUNCTION("""COMPUTED_VALUE"""),"")</f>
        <v/>
      </c>
      <c r="BF888" s="4" t="str">
        <f>IFERROR(__xludf.DUMMYFUNCTION("""COMPUTED_VALUE"""),"")</f>
        <v/>
      </c>
      <c r="BG888" s="4" t="str">
        <f>IFERROR(__xludf.DUMMYFUNCTION("""COMPUTED_VALUE"""),"")</f>
        <v/>
      </c>
      <c r="BH888" s="4" t="s">
        <v>64</v>
      </c>
      <c r="BI888" s="7">
        <v>1.0</v>
      </c>
    </row>
    <row r="889" hidden="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t="str">
        <f>IFERROR(__xludf.DUMMYFUNCTION("""COMPUTED_VALUE"""),"")</f>
        <v/>
      </c>
      <c r="BB889" s="4" t="str">
        <f>IFERROR(__xludf.DUMMYFUNCTION("""COMPUTED_VALUE"""),"")</f>
        <v/>
      </c>
      <c r="BC889" s="4" t="str">
        <f>IFERROR(__xludf.DUMMYFUNCTION("""COMPUTED_VALUE"""),"")</f>
        <v/>
      </c>
      <c r="BD889" s="4" t="str">
        <f>IFERROR(__xludf.DUMMYFUNCTION("""COMPUTED_VALUE"""),"")</f>
        <v/>
      </c>
      <c r="BE889" s="4" t="str">
        <f>IFERROR(__xludf.DUMMYFUNCTION("""COMPUTED_VALUE"""),"")</f>
        <v/>
      </c>
      <c r="BF889" s="4" t="str">
        <f>IFERROR(__xludf.DUMMYFUNCTION("""COMPUTED_VALUE"""),"")</f>
        <v/>
      </c>
      <c r="BG889" s="4" t="str">
        <f>IFERROR(__xludf.DUMMYFUNCTION("""COMPUTED_VALUE"""),"")</f>
        <v/>
      </c>
      <c r="BH889" s="4" t="s">
        <v>64</v>
      </c>
      <c r="BI889" s="7">
        <v>1.0</v>
      </c>
    </row>
    <row r="890" hidden="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t="str">
        <f>IFERROR(__xludf.DUMMYFUNCTION("""COMPUTED_VALUE"""),"")</f>
        <v/>
      </c>
      <c r="BB890" s="4" t="str">
        <f>IFERROR(__xludf.DUMMYFUNCTION("""COMPUTED_VALUE"""),"")</f>
        <v/>
      </c>
      <c r="BC890" s="4" t="str">
        <f>IFERROR(__xludf.DUMMYFUNCTION("""COMPUTED_VALUE"""),"")</f>
        <v/>
      </c>
      <c r="BD890" s="4" t="str">
        <f>IFERROR(__xludf.DUMMYFUNCTION("""COMPUTED_VALUE"""),"")</f>
        <v/>
      </c>
      <c r="BE890" s="4" t="str">
        <f>IFERROR(__xludf.DUMMYFUNCTION("""COMPUTED_VALUE"""),"")</f>
        <v/>
      </c>
      <c r="BF890" s="4" t="str">
        <f>IFERROR(__xludf.DUMMYFUNCTION("""COMPUTED_VALUE"""),"")</f>
        <v/>
      </c>
      <c r="BG890" s="4" t="str">
        <f>IFERROR(__xludf.DUMMYFUNCTION("""COMPUTED_VALUE"""),"")</f>
        <v/>
      </c>
      <c r="BH890" s="4" t="s">
        <v>64</v>
      </c>
      <c r="BI890" s="7">
        <v>1.0</v>
      </c>
    </row>
    <row r="891" hidden="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t="str">
        <f>IFERROR(__xludf.DUMMYFUNCTION("""COMPUTED_VALUE"""),"")</f>
        <v/>
      </c>
      <c r="BB891" s="4" t="str">
        <f>IFERROR(__xludf.DUMMYFUNCTION("""COMPUTED_VALUE"""),"")</f>
        <v/>
      </c>
      <c r="BC891" s="4" t="str">
        <f>IFERROR(__xludf.DUMMYFUNCTION("""COMPUTED_VALUE"""),"")</f>
        <v/>
      </c>
      <c r="BD891" s="4" t="str">
        <f>IFERROR(__xludf.DUMMYFUNCTION("""COMPUTED_VALUE"""),"")</f>
        <v/>
      </c>
      <c r="BE891" s="4" t="str">
        <f>IFERROR(__xludf.DUMMYFUNCTION("""COMPUTED_VALUE"""),"")</f>
        <v/>
      </c>
      <c r="BF891" s="4" t="str">
        <f>IFERROR(__xludf.DUMMYFUNCTION("""COMPUTED_VALUE"""),"")</f>
        <v/>
      </c>
      <c r="BG891" s="4" t="str">
        <f>IFERROR(__xludf.DUMMYFUNCTION("""COMPUTED_VALUE"""),"")</f>
        <v/>
      </c>
      <c r="BH891" s="4" t="s">
        <v>64</v>
      </c>
      <c r="BI891" s="7">
        <v>1.0</v>
      </c>
    </row>
    <row r="892" hidden="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t="str">
        <f>IFERROR(__xludf.DUMMYFUNCTION("""COMPUTED_VALUE"""),"")</f>
        <v/>
      </c>
      <c r="BB892" s="4" t="str">
        <f>IFERROR(__xludf.DUMMYFUNCTION("""COMPUTED_VALUE"""),"")</f>
        <v/>
      </c>
      <c r="BC892" s="4" t="str">
        <f>IFERROR(__xludf.DUMMYFUNCTION("""COMPUTED_VALUE"""),"")</f>
        <v/>
      </c>
      <c r="BD892" s="4" t="str">
        <f>IFERROR(__xludf.DUMMYFUNCTION("""COMPUTED_VALUE"""),"")</f>
        <v/>
      </c>
      <c r="BE892" s="4" t="str">
        <f>IFERROR(__xludf.DUMMYFUNCTION("""COMPUTED_VALUE"""),"")</f>
        <v/>
      </c>
      <c r="BF892" s="4" t="str">
        <f>IFERROR(__xludf.DUMMYFUNCTION("""COMPUTED_VALUE"""),"")</f>
        <v/>
      </c>
      <c r="BG892" s="4" t="str">
        <f>IFERROR(__xludf.DUMMYFUNCTION("""COMPUTED_VALUE"""),"")</f>
        <v/>
      </c>
      <c r="BH892" s="4" t="s">
        <v>64</v>
      </c>
      <c r="BI892" s="7">
        <v>1.0</v>
      </c>
    </row>
    <row r="893" hidden="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t="str">
        <f>IFERROR(__xludf.DUMMYFUNCTION("""COMPUTED_VALUE"""),"")</f>
        <v/>
      </c>
      <c r="BB893" s="4" t="str">
        <f>IFERROR(__xludf.DUMMYFUNCTION("""COMPUTED_VALUE"""),"")</f>
        <v/>
      </c>
      <c r="BC893" s="4" t="str">
        <f>IFERROR(__xludf.DUMMYFUNCTION("""COMPUTED_VALUE"""),"")</f>
        <v/>
      </c>
      <c r="BD893" s="4" t="str">
        <f>IFERROR(__xludf.DUMMYFUNCTION("""COMPUTED_VALUE"""),"")</f>
        <v/>
      </c>
      <c r="BE893" s="4" t="str">
        <f>IFERROR(__xludf.DUMMYFUNCTION("""COMPUTED_VALUE"""),"")</f>
        <v/>
      </c>
      <c r="BF893" s="4" t="str">
        <f>IFERROR(__xludf.DUMMYFUNCTION("""COMPUTED_VALUE"""),"")</f>
        <v/>
      </c>
      <c r="BG893" s="4" t="str">
        <f>IFERROR(__xludf.DUMMYFUNCTION("""COMPUTED_VALUE"""),"")</f>
        <v/>
      </c>
      <c r="BH893" s="4" t="s">
        <v>64</v>
      </c>
      <c r="BI893" s="7">
        <v>1.0</v>
      </c>
    </row>
    <row r="894" hidden="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t="str">
        <f>IFERROR(__xludf.DUMMYFUNCTION("""COMPUTED_VALUE"""),"")</f>
        <v/>
      </c>
      <c r="BB894" s="4" t="str">
        <f>IFERROR(__xludf.DUMMYFUNCTION("""COMPUTED_VALUE"""),"")</f>
        <v/>
      </c>
      <c r="BC894" s="4" t="str">
        <f>IFERROR(__xludf.DUMMYFUNCTION("""COMPUTED_VALUE"""),"")</f>
        <v/>
      </c>
      <c r="BD894" s="4" t="str">
        <f>IFERROR(__xludf.DUMMYFUNCTION("""COMPUTED_VALUE"""),"")</f>
        <v/>
      </c>
      <c r="BE894" s="4" t="str">
        <f>IFERROR(__xludf.DUMMYFUNCTION("""COMPUTED_VALUE"""),"")</f>
        <v/>
      </c>
      <c r="BF894" s="4" t="str">
        <f>IFERROR(__xludf.DUMMYFUNCTION("""COMPUTED_VALUE"""),"")</f>
        <v/>
      </c>
      <c r="BG894" s="4" t="str">
        <f>IFERROR(__xludf.DUMMYFUNCTION("""COMPUTED_VALUE"""),"")</f>
        <v/>
      </c>
      <c r="BH894" s="4" t="s">
        <v>64</v>
      </c>
      <c r="BI894" s="7">
        <v>1.0</v>
      </c>
    </row>
    <row r="895" hidden="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t="str">
        <f>IFERROR(__xludf.DUMMYFUNCTION("""COMPUTED_VALUE"""),"")</f>
        <v/>
      </c>
      <c r="BB895" s="4" t="str">
        <f>IFERROR(__xludf.DUMMYFUNCTION("""COMPUTED_VALUE"""),"")</f>
        <v/>
      </c>
      <c r="BC895" s="4" t="str">
        <f>IFERROR(__xludf.DUMMYFUNCTION("""COMPUTED_VALUE"""),"")</f>
        <v/>
      </c>
      <c r="BD895" s="4" t="str">
        <f>IFERROR(__xludf.DUMMYFUNCTION("""COMPUTED_VALUE"""),"")</f>
        <v/>
      </c>
      <c r="BE895" s="4" t="str">
        <f>IFERROR(__xludf.DUMMYFUNCTION("""COMPUTED_VALUE"""),"")</f>
        <v/>
      </c>
      <c r="BF895" s="4" t="str">
        <f>IFERROR(__xludf.DUMMYFUNCTION("""COMPUTED_VALUE"""),"")</f>
        <v/>
      </c>
      <c r="BG895" s="4" t="str">
        <f>IFERROR(__xludf.DUMMYFUNCTION("""COMPUTED_VALUE"""),"")</f>
        <v/>
      </c>
      <c r="BH895" s="4" t="s">
        <v>64</v>
      </c>
      <c r="BI895" s="7">
        <v>1.0</v>
      </c>
    </row>
    <row r="896" hidden="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t="str">
        <f>IFERROR(__xludf.DUMMYFUNCTION("""COMPUTED_VALUE"""),"")</f>
        <v/>
      </c>
      <c r="BB896" s="4" t="str">
        <f>IFERROR(__xludf.DUMMYFUNCTION("""COMPUTED_VALUE"""),"")</f>
        <v/>
      </c>
      <c r="BC896" s="4" t="str">
        <f>IFERROR(__xludf.DUMMYFUNCTION("""COMPUTED_VALUE"""),"")</f>
        <v/>
      </c>
      <c r="BD896" s="4" t="str">
        <f>IFERROR(__xludf.DUMMYFUNCTION("""COMPUTED_VALUE"""),"")</f>
        <v/>
      </c>
      <c r="BE896" s="4" t="str">
        <f>IFERROR(__xludf.DUMMYFUNCTION("""COMPUTED_VALUE"""),"")</f>
        <v/>
      </c>
      <c r="BF896" s="4" t="str">
        <f>IFERROR(__xludf.DUMMYFUNCTION("""COMPUTED_VALUE"""),"")</f>
        <v/>
      </c>
      <c r="BG896" s="4" t="str">
        <f>IFERROR(__xludf.DUMMYFUNCTION("""COMPUTED_VALUE"""),"")</f>
        <v/>
      </c>
      <c r="BH896" s="4" t="s">
        <v>64</v>
      </c>
      <c r="BI896" s="7">
        <v>1.0</v>
      </c>
    </row>
    <row r="897" hidden="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t="str">
        <f>IFERROR(__xludf.DUMMYFUNCTION("""COMPUTED_VALUE"""),"")</f>
        <v/>
      </c>
      <c r="BB897" s="4" t="str">
        <f>IFERROR(__xludf.DUMMYFUNCTION("""COMPUTED_VALUE"""),"")</f>
        <v/>
      </c>
      <c r="BC897" s="4" t="str">
        <f>IFERROR(__xludf.DUMMYFUNCTION("""COMPUTED_VALUE"""),"")</f>
        <v/>
      </c>
      <c r="BD897" s="4" t="str">
        <f>IFERROR(__xludf.DUMMYFUNCTION("""COMPUTED_VALUE"""),"")</f>
        <v/>
      </c>
      <c r="BE897" s="4" t="str">
        <f>IFERROR(__xludf.DUMMYFUNCTION("""COMPUTED_VALUE"""),"")</f>
        <v/>
      </c>
      <c r="BF897" s="4" t="str">
        <f>IFERROR(__xludf.DUMMYFUNCTION("""COMPUTED_VALUE"""),"")</f>
        <v/>
      </c>
      <c r="BG897" s="4" t="str">
        <f>IFERROR(__xludf.DUMMYFUNCTION("""COMPUTED_VALUE"""),"")</f>
        <v/>
      </c>
      <c r="BH897" s="4" t="s">
        <v>64</v>
      </c>
      <c r="BI897" s="7">
        <v>1.0</v>
      </c>
    </row>
    <row r="898" hidden="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t="str">
        <f>IFERROR(__xludf.DUMMYFUNCTION("""COMPUTED_VALUE"""),"")</f>
        <v/>
      </c>
      <c r="BB898" s="4" t="str">
        <f>IFERROR(__xludf.DUMMYFUNCTION("""COMPUTED_VALUE"""),"")</f>
        <v/>
      </c>
      <c r="BC898" s="4" t="str">
        <f>IFERROR(__xludf.DUMMYFUNCTION("""COMPUTED_VALUE"""),"")</f>
        <v/>
      </c>
      <c r="BD898" s="4" t="str">
        <f>IFERROR(__xludf.DUMMYFUNCTION("""COMPUTED_VALUE"""),"")</f>
        <v/>
      </c>
      <c r="BE898" s="4" t="str">
        <f>IFERROR(__xludf.DUMMYFUNCTION("""COMPUTED_VALUE"""),"")</f>
        <v/>
      </c>
      <c r="BF898" s="4" t="str">
        <f>IFERROR(__xludf.DUMMYFUNCTION("""COMPUTED_VALUE"""),"")</f>
        <v/>
      </c>
      <c r="BG898" s="4" t="str">
        <f>IFERROR(__xludf.DUMMYFUNCTION("""COMPUTED_VALUE"""),"")</f>
        <v/>
      </c>
      <c r="BH898" s="4" t="s">
        <v>64</v>
      </c>
      <c r="BI898" s="7">
        <v>1.0</v>
      </c>
    </row>
    <row r="899" hidden="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t="str">
        <f>IFERROR(__xludf.DUMMYFUNCTION("""COMPUTED_VALUE"""),"")</f>
        <v/>
      </c>
      <c r="BB899" s="4" t="str">
        <f>IFERROR(__xludf.DUMMYFUNCTION("""COMPUTED_VALUE"""),"")</f>
        <v/>
      </c>
      <c r="BC899" s="4" t="str">
        <f>IFERROR(__xludf.DUMMYFUNCTION("""COMPUTED_VALUE"""),"")</f>
        <v/>
      </c>
      <c r="BD899" s="4" t="str">
        <f>IFERROR(__xludf.DUMMYFUNCTION("""COMPUTED_VALUE"""),"")</f>
        <v/>
      </c>
      <c r="BE899" s="4" t="str">
        <f>IFERROR(__xludf.DUMMYFUNCTION("""COMPUTED_VALUE"""),"")</f>
        <v/>
      </c>
      <c r="BF899" s="4" t="str">
        <f>IFERROR(__xludf.DUMMYFUNCTION("""COMPUTED_VALUE"""),"")</f>
        <v/>
      </c>
      <c r="BG899" s="4" t="str">
        <f>IFERROR(__xludf.DUMMYFUNCTION("""COMPUTED_VALUE"""),"")</f>
        <v/>
      </c>
      <c r="BH899" s="4" t="s">
        <v>64</v>
      </c>
      <c r="BI899" s="7">
        <v>1.0</v>
      </c>
    </row>
    <row r="900" hidden="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t="str">
        <f>IFERROR(__xludf.DUMMYFUNCTION("""COMPUTED_VALUE"""),"")</f>
        <v/>
      </c>
      <c r="BB900" s="4" t="str">
        <f>IFERROR(__xludf.DUMMYFUNCTION("""COMPUTED_VALUE"""),"")</f>
        <v/>
      </c>
      <c r="BC900" s="4" t="str">
        <f>IFERROR(__xludf.DUMMYFUNCTION("""COMPUTED_VALUE"""),"")</f>
        <v/>
      </c>
      <c r="BD900" s="4" t="str">
        <f>IFERROR(__xludf.DUMMYFUNCTION("""COMPUTED_VALUE"""),"")</f>
        <v/>
      </c>
      <c r="BE900" s="4" t="str">
        <f>IFERROR(__xludf.DUMMYFUNCTION("""COMPUTED_VALUE"""),"")</f>
        <v/>
      </c>
      <c r="BF900" s="4" t="str">
        <f>IFERROR(__xludf.DUMMYFUNCTION("""COMPUTED_VALUE"""),"")</f>
        <v/>
      </c>
      <c r="BG900" s="4" t="str">
        <f>IFERROR(__xludf.DUMMYFUNCTION("""COMPUTED_VALUE"""),"")</f>
        <v/>
      </c>
      <c r="BH900" s="4" t="s">
        <v>64</v>
      </c>
      <c r="BI900" s="7">
        <v>1.0</v>
      </c>
    </row>
    <row r="901" hidden="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t="str">
        <f>IFERROR(__xludf.DUMMYFUNCTION("""COMPUTED_VALUE"""),"")</f>
        <v/>
      </c>
      <c r="BB901" s="4" t="str">
        <f>IFERROR(__xludf.DUMMYFUNCTION("""COMPUTED_VALUE"""),"")</f>
        <v/>
      </c>
      <c r="BC901" s="4" t="str">
        <f>IFERROR(__xludf.DUMMYFUNCTION("""COMPUTED_VALUE"""),"")</f>
        <v/>
      </c>
      <c r="BD901" s="4" t="str">
        <f>IFERROR(__xludf.DUMMYFUNCTION("""COMPUTED_VALUE"""),"")</f>
        <v/>
      </c>
      <c r="BE901" s="4" t="str">
        <f>IFERROR(__xludf.DUMMYFUNCTION("""COMPUTED_VALUE"""),"")</f>
        <v/>
      </c>
      <c r="BF901" s="4" t="str">
        <f>IFERROR(__xludf.DUMMYFUNCTION("""COMPUTED_VALUE"""),"")</f>
        <v/>
      </c>
      <c r="BG901" s="4" t="str">
        <f>IFERROR(__xludf.DUMMYFUNCTION("""COMPUTED_VALUE"""),"")</f>
        <v/>
      </c>
      <c r="BH901" s="4" t="s">
        <v>64</v>
      </c>
      <c r="BI901" s="7">
        <v>1.0</v>
      </c>
    </row>
    <row r="902" hidden="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t="str">
        <f>IFERROR(__xludf.DUMMYFUNCTION("""COMPUTED_VALUE"""),"")</f>
        <v/>
      </c>
      <c r="BB902" s="4" t="str">
        <f>IFERROR(__xludf.DUMMYFUNCTION("""COMPUTED_VALUE"""),"")</f>
        <v/>
      </c>
      <c r="BC902" s="4" t="str">
        <f>IFERROR(__xludf.DUMMYFUNCTION("""COMPUTED_VALUE"""),"")</f>
        <v/>
      </c>
      <c r="BD902" s="4" t="str">
        <f>IFERROR(__xludf.DUMMYFUNCTION("""COMPUTED_VALUE"""),"")</f>
        <v/>
      </c>
      <c r="BE902" s="4" t="str">
        <f>IFERROR(__xludf.DUMMYFUNCTION("""COMPUTED_VALUE"""),"")</f>
        <v/>
      </c>
      <c r="BF902" s="4" t="str">
        <f>IFERROR(__xludf.DUMMYFUNCTION("""COMPUTED_VALUE"""),"")</f>
        <v/>
      </c>
      <c r="BG902" s="4" t="str">
        <f>IFERROR(__xludf.DUMMYFUNCTION("""COMPUTED_VALUE"""),"")</f>
        <v/>
      </c>
      <c r="BH902" s="4" t="s">
        <v>64</v>
      </c>
      <c r="BI902" s="7">
        <v>1.0</v>
      </c>
    </row>
    <row r="903" hidden="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t="str">
        <f>IFERROR(__xludf.DUMMYFUNCTION("""COMPUTED_VALUE"""),"")</f>
        <v/>
      </c>
      <c r="BB903" s="4" t="str">
        <f>IFERROR(__xludf.DUMMYFUNCTION("""COMPUTED_VALUE"""),"")</f>
        <v/>
      </c>
      <c r="BC903" s="4" t="str">
        <f>IFERROR(__xludf.DUMMYFUNCTION("""COMPUTED_VALUE"""),"")</f>
        <v/>
      </c>
      <c r="BD903" s="4" t="str">
        <f>IFERROR(__xludf.DUMMYFUNCTION("""COMPUTED_VALUE"""),"")</f>
        <v/>
      </c>
      <c r="BE903" s="4" t="str">
        <f>IFERROR(__xludf.DUMMYFUNCTION("""COMPUTED_VALUE"""),"")</f>
        <v/>
      </c>
      <c r="BF903" s="4" t="str">
        <f>IFERROR(__xludf.DUMMYFUNCTION("""COMPUTED_VALUE"""),"")</f>
        <v/>
      </c>
      <c r="BG903" s="4" t="str">
        <f>IFERROR(__xludf.DUMMYFUNCTION("""COMPUTED_VALUE"""),"")</f>
        <v/>
      </c>
      <c r="BH903" s="4" t="s">
        <v>64</v>
      </c>
      <c r="BI903" s="7">
        <v>1.0</v>
      </c>
    </row>
    <row r="904" hidden="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t="str">
        <f>IFERROR(__xludf.DUMMYFUNCTION("""COMPUTED_VALUE"""),"")</f>
        <v/>
      </c>
      <c r="BB904" s="4" t="str">
        <f>IFERROR(__xludf.DUMMYFUNCTION("""COMPUTED_VALUE"""),"")</f>
        <v/>
      </c>
      <c r="BC904" s="4" t="str">
        <f>IFERROR(__xludf.DUMMYFUNCTION("""COMPUTED_VALUE"""),"")</f>
        <v/>
      </c>
      <c r="BD904" s="4" t="str">
        <f>IFERROR(__xludf.DUMMYFUNCTION("""COMPUTED_VALUE"""),"")</f>
        <v/>
      </c>
      <c r="BE904" s="4" t="str">
        <f>IFERROR(__xludf.DUMMYFUNCTION("""COMPUTED_VALUE"""),"")</f>
        <v/>
      </c>
      <c r="BF904" s="4" t="str">
        <f>IFERROR(__xludf.DUMMYFUNCTION("""COMPUTED_VALUE"""),"")</f>
        <v/>
      </c>
      <c r="BG904" s="4" t="str">
        <f>IFERROR(__xludf.DUMMYFUNCTION("""COMPUTED_VALUE"""),"")</f>
        <v/>
      </c>
      <c r="BH904" s="4" t="s">
        <v>64</v>
      </c>
      <c r="BI904" s="7">
        <v>1.0</v>
      </c>
    </row>
    <row r="905" hidden="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t="str">
        <f>IFERROR(__xludf.DUMMYFUNCTION("""COMPUTED_VALUE"""),"")</f>
        <v/>
      </c>
      <c r="BB905" s="4" t="str">
        <f>IFERROR(__xludf.DUMMYFUNCTION("""COMPUTED_VALUE"""),"")</f>
        <v/>
      </c>
      <c r="BC905" s="4" t="str">
        <f>IFERROR(__xludf.DUMMYFUNCTION("""COMPUTED_VALUE"""),"")</f>
        <v/>
      </c>
      <c r="BD905" s="4" t="str">
        <f>IFERROR(__xludf.DUMMYFUNCTION("""COMPUTED_VALUE"""),"")</f>
        <v/>
      </c>
      <c r="BE905" s="4" t="str">
        <f>IFERROR(__xludf.DUMMYFUNCTION("""COMPUTED_VALUE"""),"")</f>
        <v/>
      </c>
      <c r="BF905" s="4" t="str">
        <f>IFERROR(__xludf.DUMMYFUNCTION("""COMPUTED_VALUE"""),"")</f>
        <v/>
      </c>
      <c r="BG905" s="4" t="str">
        <f>IFERROR(__xludf.DUMMYFUNCTION("""COMPUTED_VALUE"""),"")</f>
        <v/>
      </c>
      <c r="BH905" s="4" t="s">
        <v>64</v>
      </c>
      <c r="BI905" s="7">
        <v>1.0</v>
      </c>
    </row>
    <row r="906" hidden="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t="str">
        <f>IFERROR(__xludf.DUMMYFUNCTION("""COMPUTED_VALUE"""),"")</f>
        <v/>
      </c>
      <c r="BB906" s="4" t="str">
        <f>IFERROR(__xludf.DUMMYFUNCTION("""COMPUTED_VALUE"""),"")</f>
        <v/>
      </c>
      <c r="BC906" s="4" t="str">
        <f>IFERROR(__xludf.DUMMYFUNCTION("""COMPUTED_VALUE"""),"")</f>
        <v/>
      </c>
      <c r="BD906" s="4" t="str">
        <f>IFERROR(__xludf.DUMMYFUNCTION("""COMPUTED_VALUE"""),"")</f>
        <v/>
      </c>
      <c r="BE906" s="4" t="str">
        <f>IFERROR(__xludf.DUMMYFUNCTION("""COMPUTED_VALUE"""),"")</f>
        <v/>
      </c>
      <c r="BF906" s="4" t="str">
        <f>IFERROR(__xludf.DUMMYFUNCTION("""COMPUTED_VALUE"""),"")</f>
        <v/>
      </c>
      <c r="BG906" s="4" t="str">
        <f>IFERROR(__xludf.DUMMYFUNCTION("""COMPUTED_VALUE"""),"")</f>
        <v/>
      </c>
      <c r="BH906" s="4" t="s">
        <v>64</v>
      </c>
      <c r="BI906" s="7">
        <v>1.0</v>
      </c>
    </row>
    <row r="907" hidden="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t="str">
        <f>IFERROR(__xludf.DUMMYFUNCTION("""COMPUTED_VALUE"""),"")</f>
        <v/>
      </c>
      <c r="BB907" s="4" t="str">
        <f>IFERROR(__xludf.DUMMYFUNCTION("""COMPUTED_VALUE"""),"")</f>
        <v/>
      </c>
      <c r="BC907" s="4" t="str">
        <f>IFERROR(__xludf.DUMMYFUNCTION("""COMPUTED_VALUE"""),"")</f>
        <v/>
      </c>
      <c r="BD907" s="4" t="str">
        <f>IFERROR(__xludf.DUMMYFUNCTION("""COMPUTED_VALUE"""),"")</f>
        <v/>
      </c>
      <c r="BE907" s="4" t="str">
        <f>IFERROR(__xludf.DUMMYFUNCTION("""COMPUTED_VALUE"""),"")</f>
        <v/>
      </c>
      <c r="BF907" s="4" t="str">
        <f>IFERROR(__xludf.DUMMYFUNCTION("""COMPUTED_VALUE"""),"")</f>
        <v/>
      </c>
      <c r="BG907" s="4" t="str">
        <f>IFERROR(__xludf.DUMMYFUNCTION("""COMPUTED_VALUE"""),"")</f>
        <v/>
      </c>
      <c r="BH907" s="4" t="s">
        <v>64</v>
      </c>
      <c r="BI907" s="7">
        <v>1.0</v>
      </c>
    </row>
    <row r="908" hidden="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t="str">
        <f>IFERROR(__xludf.DUMMYFUNCTION("""COMPUTED_VALUE"""),"")</f>
        <v/>
      </c>
      <c r="BB908" s="4" t="str">
        <f>IFERROR(__xludf.DUMMYFUNCTION("""COMPUTED_VALUE"""),"")</f>
        <v/>
      </c>
      <c r="BC908" s="4" t="str">
        <f>IFERROR(__xludf.DUMMYFUNCTION("""COMPUTED_VALUE"""),"")</f>
        <v/>
      </c>
      <c r="BD908" s="4" t="str">
        <f>IFERROR(__xludf.DUMMYFUNCTION("""COMPUTED_VALUE"""),"")</f>
        <v/>
      </c>
      <c r="BE908" s="4" t="str">
        <f>IFERROR(__xludf.DUMMYFUNCTION("""COMPUTED_VALUE"""),"")</f>
        <v/>
      </c>
      <c r="BF908" s="4" t="str">
        <f>IFERROR(__xludf.DUMMYFUNCTION("""COMPUTED_VALUE"""),"")</f>
        <v/>
      </c>
      <c r="BG908" s="4" t="str">
        <f>IFERROR(__xludf.DUMMYFUNCTION("""COMPUTED_VALUE"""),"")</f>
        <v/>
      </c>
      <c r="BH908" s="4" t="s">
        <v>64</v>
      </c>
      <c r="BI908" s="7">
        <v>1.0</v>
      </c>
    </row>
    <row r="909" hidden="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t="str">
        <f>IFERROR(__xludf.DUMMYFUNCTION("""COMPUTED_VALUE"""),"")</f>
        <v/>
      </c>
      <c r="BB909" s="4" t="str">
        <f>IFERROR(__xludf.DUMMYFUNCTION("""COMPUTED_VALUE"""),"")</f>
        <v/>
      </c>
      <c r="BC909" s="4" t="str">
        <f>IFERROR(__xludf.DUMMYFUNCTION("""COMPUTED_VALUE"""),"")</f>
        <v/>
      </c>
      <c r="BD909" s="4" t="str">
        <f>IFERROR(__xludf.DUMMYFUNCTION("""COMPUTED_VALUE"""),"")</f>
        <v/>
      </c>
      <c r="BE909" s="4" t="str">
        <f>IFERROR(__xludf.DUMMYFUNCTION("""COMPUTED_VALUE"""),"")</f>
        <v/>
      </c>
      <c r="BF909" s="4" t="str">
        <f>IFERROR(__xludf.DUMMYFUNCTION("""COMPUTED_VALUE"""),"")</f>
        <v/>
      </c>
      <c r="BG909" s="4" t="str">
        <f>IFERROR(__xludf.DUMMYFUNCTION("""COMPUTED_VALUE"""),"")</f>
        <v/>
      </c>
      <c r="BH909" s="4" t="s">
        <v>64</v>
      </c>
      <c r="BI909" s="7">
        <v>1.0</v>
      </c>
    </row>
    <row r="910" hidden="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t="str">
        <f>IFERROR(__xludf.DUMMYFUNCTION("""COMPUTED_VALUE"""),"")</f>
        <v/>
      </c>
      <c r="BB910" s="4" t="str">
        <f>IFERROR(__xludf.DUMMYFUNCTION("""COMPUTED_VALUE"""),"")</f>
        <v/>
      </c>
      <c r="BC910" s="4" t="str">
        <f>IFERROR(__xludf.DUMMYFUNCTION("""COMPUTED_VALUE"""),"")</f>
        <v/>
      </c>
      <c r="BD910" s="4" t="str">
        <f>IFERROR(__xludf.DUMMYFUNCTION("""COMPUTED_VALUE"""),"")</f>
        <v/>
      </c>
      <c r="BE910" s="4" t="str">
        <f>IFERROR(__xludf.DUMMYFUNCTION("""COMPUTED_VALUE"""),"")</f>
        <v/>
      </c>
      <c r="BF910" s="4" t="str">
        <f>IFERROR(__xludf.DUMMYFUNCTION("""COMPUTED_VALUE"""),"")</f>
        <v/>
      </c>
      <c r="BG910" s="4" t="str">
        <f>IFERROR(__xludf.DUMMYFUNCTION("""COMPUTED_VALUE"""),"")</f>
        <v/>
      </c>
      <c r="BH910" s="4" t="s">
        <v>64</v>
      </c>
      <c r="BI910" s="7">
        <v>1.0</v>
      </c>
    </row>
    <row r="911" hidden="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t="str">
        <f>IFERROR(__xludf.DUMMYFUNCTION("""COMPUTED_VALUE"""),"")</f>
        <v/>
      </c>
      <c r="BB911" s="4" t="str">
        <f>IFERROR(__xludf.DUMMYFUNCTION("""COMPUTED_VALUE"""),"")</f>
        <v/>
      </c>
      <c r="BC911" s="4" t="str">
        <f>IFERROR(__xludf.DUMMYFUNCTION("""COMPUTED_VALUE"""),"")</f>
        <v/>
      </c>
      <c r="BD911" s="4" t="str">
        <f>IFERROR(__xludf.DUMMYFUNCTION("""COMPUTED_VALUE"""),"")</f>
        <v/>
      </c>
      <c r="BE911" s="4" t="str">
        <f>IFERROR(__xludf.DUMMYFUNCTION("""COMPUTED_VALUE"""),"")</f>
        <v/>
      </c>
      <c r="BF911" s="4" t="str">
        <f>IFERROR(__xludf.DUMMYFUNCTION("""COMPUTED_VALUE"""),"")</f>
        <v/>
      </c>
      <c r="BG911" s="4" t="str">
        <f>IFERROR(__xludf.DUMMYFUNCTION("""COMPUTED_VALUE"""),"")</f>
        <v/>
      </c>
      <c r="BH911" s="4" t="s">
        <v>64</v>
      </c>
      <c r="BI911" s="7">
        <v>1.0</v>
      </c>
    </row>
    <row r="912" hidden="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t="str">
        <f>IFERROR(__xludf.DUMMYFUNCTION("""COMPUTED_VALUE"""),"")</f>
        <v/>
      </c>
      <c r="BB912" s="4" t="str">
        <f>IFERROR(__xludf.DUMMYFUNCTION("""COMPUTED_VALUE"""),"")</f>
        <v/>
      </c>
      <c r="BC912" s="4" t="str">
        <f>IFERROR(__xludf.DUMMYFUNCTION("""COMPUTED_VALUE"""),"")</f>
        <v/>
      </c>
      <c r="BD912" s="4" t="str">
        <f>IFERROR(__xludf.DUMMYFUNCTION("""COMPUTED_VALUE"""),"")</f>
        <v/>
      </c>
      <c r="BE912" s="4" t="str">
        <f>IFERROR(__xludf.DUMMYFUNCTION("""COMPUTED_VALUE"""),"")</f>
        <v/>
      </c>
      <c r="BF912" s="4" t="str">
        <f>IFERROR(__xludf.DUMMYFUNCTION("""COMPUTED_VALUE"""),"")</f>
        <v/>
      </c>
      <c r="BG912" s="4" t="str">
        <f>IFERROR(__xludf.DUMMYFUNCTION("""COMPUTED_VALUE"""),"")</f>
        <v/>
      </c>
      <c r="BH912" s="4" t="s">
        <v>64</v>
      </c>
      <c r="BI912" s="7">
        <v>1.0</v>
      </c>
    </row>
    <row r="913" hidden="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t="str">
        <f>IFERROR(__xludf.DUMMYFUNCTION("""COMPUTED_VALUE"""),"")</f>
        <v/>
      </c>
      <c r="BB913" s="4" t="str">
        <f>IFERROR(__xludf.DUMMYFUNCTION("""COMPUTED_VALUE"""),"")</f>
        <v/>
      </c>
      <c r="BC913" s="4" t="str">
        <f>IFERROR(__xludf.DUMMYFUNCTION("""COMPUTED_VALUE"""),"")</f>
        <v/>
      </c>
      <c r="BD913" s="4" t="str">
        <f>IFERROR(__xludf.DUMMYFUNCTION("""COMPUTED_VALUE"""),"")</f>
        <v/>
      </c>
      <c r="BE913" s="4" t="str">
        <f>IFERROR(__xludf.DUMMYFUNCTION("""COMPUTED_VALUE"""),"")</f>
        <v/>
      </c>
      <c r="BF913" s="4" t="str">
        <f>IFERROR(__xludf.DUMMYFUNCTION("""COMPUTED_VALUE"""),"")</f>
        <v/>
      </c>
      <c r="BG913" s="4" t="str">
        <f>IFERROR(__xludf.DUMMYFUNCTION("""COMPUTED_VALUE"""),"")</f>
        <v/>
      </c>
      <c r="BH913" s="4" t="s">
        <v>64</v>
      </c>
      <c r="BI913" s="7">
        <v>1.0</v>
      </c>
    </row>
    <row r="914" hidden="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t="str">
        <f>IFERROR(__xludf.DUMMYFUNCTION("""COMPUTED_VALUE"""),"")</f>
        <v/>
      </c>
      <c r="BB914" s="4" t="str">
        <f>IFERROR(__xludf.DUMMYFUNCTION("""COMPUTED_VALUE"""),"")</f>
        <v/>
      </c>
      <c r="BC914" s="4" t="str">
        <f>IFERROR(__xludf.DUMMYFUNCTION("""COMPUTED_VALUE"""),"")</f>
        <v/>
      </c>
      <c r="BD914" s="4" t="str">
        <f>IFERROR(__xludf.DUMMYFUNCTION("""COMPUTED_VALUE"""),"")</f>
        <v/>
      </c>
      <c r="BE914" s="4" t="str">
        <f>IFERROR(__xludf.DUMMYFUNCTION("""COMPUTED_VALUE"""),"")</f>
        <v/>
      </c>
      <c r="BF914" s="4" t="str">
        <f>IFERROR(__xludf.DUMMYFUNCTION("""COMPUTED_VALUE"""),"")</f>
        <v/>
      </c>
      <c r="BG914" s="4" t="str">
        <f>IFERROR(__xludf.DUMMYFUNCTION("""COMPUTED_VALUE"""),"")</f>
        <v/>
      </c>
      <c r="BH914" s="4" t="s">
        <v>64</v>
      </c>
      <c r="BI914" s="7">
        <v>1.0</v>
      </c>
    </row>
    <row r="915" hidden="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t="str">
        <f>IFERROR(__xludf.DUMMYFUNCTION("""COMPUTED_VALUE"""),"")</f>
        <v/>
      </c>
      <c r="BB915" s="4" t="str">
        <f>IFERROR(__xludf.DUMMYFUNCTION("""COMPUTED_VALUE"""),"")</f>
        <v/>
      </c>
      <c r="BC915" s="4" t="str">
        <f>IFERROR(__xludf.DUMMYFUNCTION("""COMPUTED_VALUE"""),"")</f>
        <v/>
      </c>
      <c r="BD915" s="4" t="str">
        <f>IFERROR(__xludf.DUMMYFUNCTION("""COMPUTED_VALUE"""),"")</f>
        <v/>
      </c>
      <c r="BE915" s="4" t="str">
        <f>IFERROR(__xludf.DUMMYFUNCTION("""COMPUTED_VALUE"""),"")</f>
        <v/>
      </c>
      <c r="BF915" s="4" t="str">
        <f>IFERROR(__xludf.DUMMYFUNCTION("""COMPUTED_VALUE"""),"")</f>
        <v/>
      </c>
      <c r="BG915" s="4" t="str">
        <f>IFERROR(__xludf.DUMMYFUNCTION("""COMPUTED_VALUE"""),"")</f>
        <v/>
      </c>
      <c r="BH915" s="4" t="s">
        <v>64</v>
      </c>
      <c r="BI915" s="7">
        <v>1.0</v>
      </c>
    </row>
    <row r="916" hidden="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t="str">
        <f>IFERROR(__xludf.DUMMYFUNCTION("""COMPUTED_VALUE"""),"")</f>
        <v/>
      </c>
      <c r="BB916" s="4" t="str">
        <f>IFERROR(__xludf.DUMMYFUNCTION("""COMPUTED_VALUE"""),"")</f>
        <v/>
      </c>
      <c r="BC916" s="4" t="str">
        <f>IFERROR(__xludf.DUMMYFUNCTION("""COMPUTED_VALUE"""),"")</f>
        <v/>
      </c>
      <c r="BD916" s="4" t="str">
        <f>IFERROR(__xludf.DUMMYFUNCTION("""COMPUTED_VALUE"""),"")</f>
        <v/>
      </c>
      <c r="BE916" s="4" t="str">
        <f>IFERROR(__xludf.DUMMYFUNCTION("""COMPUTED_VALUE"""),"")</f>
        <v/>
      </c>
      <c r="BF916" s="4" t="str">
        <f>IFERROR(__xludf.DUMMYFUNCTION("""COMPUTED_VALUE"""),"")</f>
        <v/>
      </c>
      <c r="BG916" s="4" t="str">
        <f>IFERROR(__xludf.DUMMYFUNCTION("""COMPUTED_VALUE"""),"")</f>
        <v/>
      </c>
      <c r="BH916" s="4" t="s">
        <v>64</v>
      </c>
      <c r="BI916" s="7">
        <v>1.0</v>
      </c>
    </row>
    <row r="917" hidden="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t="str">
        <f>IFERROR(__xludf.DUMMYFUNCTION("""COMPUTED_VALUE"""),"")</f>
        <v/>
      </c>
      <c r="BB917" s="4" t="str">
        <f>IFERROR(__xludf.DUMMYFUNCTION("""COMPUTED_VALUE"""),"")</f>
        <v/>
      </c>
      <c r="BC917" s="4" t="str">
        <f>IFERROR(__xludf.DUMMYFUNCTION("""COMPUTED_VALUE"""),"")</f>
        <v/>
      </c>
      <c r="BD917" s="4" t="str">
        <f>IFERROR(__xludf.DUMMYFUNCTION("""COMPUTED_VALUE"""),"")</f>
        <v/>
      </c>
      <c r="BE917" s="4" t="str">
        <f>IFERROR(__xludf.DUMMYFUNCTION("""COMPUTED_VALUE"""),"")</f>
        <v/>
      </c>
      <c r="BF917" s="4" t="str">
        <f>IFERROR(__xludf.DUMMYFUNCTION("""COMPUTED_VALUE"""),"")</f>
        <v/>
      </c>
      <c r="BG917" s="4" t="str">
        <f>IFERROR(__xludf.DUMMYFUNCTION("""COMPUTED_VALUE"""),"")</f>
        <v/>
      </c>
      <c r="BH917" s="4" t="s">
        <v>64</v>
      </c>
      <c r="BI917" s="7">
        <v>1.0</v>
      </c>
    </row>
    <row r="918" hidden="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t="str">
        <f>IFERROR(__xludf.DUMMYFUNCTION("""COMPUTED_VALUE"""),"")</f>
        <v/>
      </c>
      <c r="BB918" s="4" t="str">
        <f>IFERROR(__xludf.DUMMYFUNCTION("""COMPUTED_VALUE"""),"")</f>
        <v/>
      </c>
      <c r="BC918" s="4" t="str">
        <f>IFERROR(__xludf.DUMMYFUNCTION("""COMPUTED_VALUE"""),"")</f>
        <v/>
      </c>
      <c r="BD918" s="4" t="str">
        <f>IFERROR(__xludf.DUMMYFUNCTION("""COMPUTED_VALUE"""),"")</f>
        <v/>
      </c>
      <c r="BE918" s="4" t="str">
        <f>IFERROR(__xludf.DUMMYFUNCTION("""COMPUTED_VALUE"""),"")</f>
        <v/>
      </c>
      <c r="BF918" s="4" t="str">
        <f>IFERROR(__xludf.DUMMYFUNCTION("""COMPUTED_VALUE"""),"")</f>
        <v/>
      </c>
      <c r="BG918" s="4" t="str">
        <f>IFERROR(__xludf.DUMMYFUNCTION("""COMPUTED_VALUE"""),"")</f>
        <v/>
      </c>
      <c r="BH918" s="4" t="s">
        <v>64</v>
      </c>
      <c r="BI918" s="7">
        <v>1.0</v>
      </c>
    </row>
    <row r="919" hidden="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t="str">
        <f>IFERROR(__xludf.DUMMYFUNCTION("""COMPUTED_VALUE"""),"")</f>
        <v/>
      </c>
      <c r="BB919" s="4" t="str">
        <f>IFERROR(__xludf.DUMMYFUNCTION("""COMPUTED_VALUE"""),"")</f>
        <v/>
      </c>
      <c r="BC919" s="4" t="str">
        <f>IFERROR(__xludf.DUMMYFUNCTION("""COMPUTED_VALUE"""),"")</f>
        <v/>
      </c>
      <c r="BD919" s="4" t="str">
        <f>IFERROR(__xludf.DUMMYFUNCTION("""COMPUTED_VALUE"""),"")</f>
        <v/>
      </c>
      <c r="BE919" s="4" t="str">
        <f>IFERROR(__xludf.DUMMYFUNCTION("""COMPUTED_VALUE"""),"")</f>
        <v/>
      </c>
      <c r="BF919" s="4" t="str">
        <f>IFERROR(__xludf.DUMMYFUNCTION("""COMPUTED_VALUE"""),"")</f>
        <v/>
      </c>
      <c r="BG919" s="4" t="str">
        <f>IFERROR(__xludf.DUMMYFUNCTION("""COMPUTED_VALUE"""),"")</f>
        <v/>
      </c>
      <c r="BH919" s="4" t="s">
        <v>64</v>
      </c>
      <c r="BI919" s="7">
        <v>1.0</v>
      </c>
    </row>
    <row r="920" hidden="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t="str">
        <f>IFERROR(__xludf.DUMMYFUNCTION("""COMPUTED_VALUE"""),"")</f>
        <v/>
      </c>
      <c r="BB920" s="4" t="str">
        <f>IFERROR(__xludf.DUMMYFUNCTION("""COMPUTED_VALUE"""),"")</f>
        <v/>
      </c>
      <c r="BC920" s="4" t="str">
        <f>IFERROR(__xludf.DUMMYFUNCTION("""COMPUTED_VALUE"""),"")</f>
        <v/>
      </c>
      <c r="BD920" s="4" t="str">
        <f>IFERROR(__xludf.DUMMYFUNCTION("""COMPUTED_VALUE"""),"")</f>
        <v/>
      </c>
      <c r="BE920" s="4" t="str">
        <f>IFERROR(__xludf.DUMMYFUNCTION("""COMPUTED_VALUE"""),"")</f>
        <v/>
      </c>
      <c r="BF920" s="4" t="str">
        <f>IFERROR(__xludf.DUMMYFUNCTION("""COMPUTED_VALUE"""),"")</f>
        <v/>
      </c>
      <c r="BG920" s="4" t="str">
        <f>IFERROR(__xludf.DUMMYFUNCTION("""COMPUTED_VALUE"""),"")</f>
        <v/>
      </c>
      <c r="BH920" s="4" t="s">
        <v>64</v>
      </c>
      <c r="BI920" s="7">
        <v>1.0</v>
      </c>
    </row>
    <row r="921" hidden="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t="str">
        <f>IFERROR(__xludf.DUMMYFUNCTION("""COMPUTED_VALUE"""),"")</f>
        <v/>
      </c>
      <c r="BB921" s="4" t="str">
        <f>IFERROR(__xludf.DUMMYFUNCTION("""COMPUTED_VALUE"""),"")</f>
        <v/>
      </c>
      <c r="BC921" s="4" t="str">
        <f>IFERROR(__xludf.DUMMYFUNCTION("""COMPUTED_VALUE"""),"")</f>
        <v/>
      </c>
      <c r="BD921" s="4" t="str">
        <f>IFERROR(__xludf.DUMMYFUNCTION("""COMPUTED_VALUE"""),"")</f>
        <v/>
      </c>
      <c r="BE921" s="4" t="str">
        <f>IFERROR(__xludf.DUMMYFUNCTION("""COMPUTED_VALUE"""),"")</f>
        <v/>
      </c>
      <c r="BF921" s="4" t="str">
        <f>IFERROR(__xludf.DUMMYFUNCTION("""COMPUTED_VALUE"""),"")</f>
        <v/>
      </c>
      <c r="BG921" s="4" t="str">
        <f>IFERROR(__xludf.DUMMYFUNCTION("""COMPUTED_VALUE"""),"")</f>
        <v/>
      </c>
      <c r="BH921" s="4" t="s">
        <v>64</v>
      </c>
      <c r="BI921" s="7">
        <v>1.0</v>
      </c>
    </row>
    <row r="922" hidden="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t="str">
        <f>IFERROR(__xludf.DUMMYFUNCTION("""COMPUTED_VALUE"""),"")</f>
        <v/>
      </c>
      <c r="BB922" s="4" t="str">
        <f>IFERROR(__xludf.DUMMYFUNCTION("""COMPUTED_VALUE"""),"")</f>
        <v/>
      </c>
      <c r="BC922" s="4" t="str">
        <f>IFERROR(__xludf.DUMMYFUNCTION("""COMPUTED_VALUE"""),"")</f>
        <v/>
      </c>
      <c r="BD922" s="4" t="str">
        <f>IFERROR(__xludf.DUMMYFUNCTION("""COMPUTED_VALUE"""),"")</f>
        <v/>
      </c>
      <c r="BE922" s="4" t="str">
        <f>IFERROR(__xludf.DUMMYFUNCTION("""COMPUTED_VALUE"""),"")</f>
        <v/>
      </c>
      <c r="BF922" s="4" t="str">
        <f>IFERROR(__xludf.DUMMYFUNCTION("""COMPUTED_VALUE"""),"")</f>
        <v/>
      </c>
      <c r="BG922" s="4" t="str">
        <f>IFERROR(__xludf.DUMMYFUNCTION("""COMPUTED_VALUE"""),"")</f>
        <v/>
      </c>
      <c r="BH922" s="4" t="s">
        <v>64</v>
      </c>
      <c r="BI922" s="7">
        <v>1.0</v>
      </c>
    </row>
    <row r="923" hidden="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t="str">
        <f>IFERROR(__xludf.DUMMYFUNCTION("""COMPUTED_VALUE"""),"")</f>
        <v/>
      </c>
      <c r="BB923" s="4" t="str">
        <f>IFERROR(__xludf.DUMMYFUNCTION("""COMPUTED_VALUE"""),"")</f>
        <v/>
      </c>
      <c r="BC923" s="4" t="str">
        <f>IFERROR(__xludf.DUMMYFUNCTION("""COMPUTED_VALUE"""),"")</f>
        <v/>
      </c>
      <c r="BD923" s="4" t="str">
        <f>IFERROR(__xludf.DUMMYFUNCTION("""COMPUTED_VALUE"""),"")</f>
        <v/>
      </c>
      <c r="BE923" s="4" t="str">
        <f>IFERROR(__xludf.DUMMYFUNCTION("""COMPUTED_VALUE"""),"")</f>
        <v/>
      </c>
      <c r="BF923" s="4" t="str">
        <f>IFERROR(__xludf.DUMMYFUNCTION("""COMPUTED_VALUE"""),"")</f>
        <v/>
      </c>
      <c r="BG923" s="4" t="str">
        <f>IFERROR(__xludf.DUMMYFUNCTION("""COMPUTED_VALUE"""),"")</f>
        <v/>
      </c>
      <c r="BH923" s="4" t="s">
        <v>64</v>
      </c>
      <c r="BI923" s="7">
        <v>1.0</v>
      </c>
    </row>
    <row r="924" hidden="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t="str">
        <f>IFERROR(__xludf.DUMMYFUNCTION("""COMPUTED_VALUE"""),"")</f>
        <v/>
      </c>
      <c r="BB924" s="4" t="str">
        <f>IFERROR(__xludf.DUMMYFUNCTION("""COMPUTED_VALUE"""),"")</f>
        <v/>
      </c>
      <c r="BC924" s="4" t="str">
        <f>IFERROR(__xludf.DUMMYFUNCTION("""COMPUTED_VALUE"""),"")</f>
        <v/>
      </c>
      <c r="BD924" s="4" t="str">
        <f>IFERROR(__xludf.DUMMYFUNCTION("""COMPUTED_VALUE"""),"")</f>
        <v/>
      </c>
      <c r="BE924" s="4" t="str">
        <f>IFERROR(__xludf.DUMMYFUNCTION("""COMPUTED_VALUE"""),"")</f>
        <v/>
      </c>
      <c r="BF924" s="4" t="str">
        <f>IFERROR(__xludf.DUMMYFUNCTION("""COMPUTED_VALUE"""),"")</f>
        <v/>
      </c>
      <c r="BG924" s="4" t="str">
        <f>IFERROR(__xludf.DUMMYFUNCTION("""COMPUTED_VALUE"""),"")</f>
        <v/>
      </c>
      <c r="BH924" s="4" t="s">
        <v>64</v>
      </c>
      <c r="BI924" s="7">
        <v>1.0</v>
      </c>
    </row>
    <row r="925" hidden="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t="str">
        <f>IFERROR(__xludf.DUMMYFUNCTION("""COMPUTED_VALUE"""),"")</f>
        <v/>
      </c>
      <c r="BB925" s="4" t="str">
        <f>IFERROR(__xludf.DUMMYFUNCTION("""COMPUTED_VALUE"""),"")</f>
        <v/>
      </c>
      <c r="BC925" s="4" t="str">
        <f>IFERROR(__xludf.DUMMYFUNCTION("""COMPUTED_VALUE"""),"")</f>
        <v/>
      </c>
      <c r="BD925" s="4" t="str">
        <f>IFERROR(__xludf.DUMMYFUNCTION("""COMPUTED_VALUE"""),"")</f>
        <v/>
      </c>
      <c r="BE925" s="4" t="str">
        <f>IFERROR(__xludf.DUMMYFUNCTION("""COMPUTED_VALUE"""),"")</f>
        <v/>
      </c>
      <c r="BF925" s="4" t="str">
        <f>IFERROR(__xludf.DUMMYFUNCTION("""COMPUTED_VALUE"""),"")</f>
        <v/>
      </c>
      <c r="BG925" s="4" t="str">
        <f>IFERROR(__xludf.DUMMYFUNCTION("""COMPUTED_VALUE"""),"")</f>
        <v/>
      </c>
      <c r="BH925" s="4" t="s">
        <v>64</v>
      </c>
      <c r="BI925" s="7">
        <v>1.0</v>
      </c>
    </row>
    <row r="926" hidden="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t="str">
        <f>IFERROR(__xludf.DUMMYFUNCTION("""COMPUTED_VALUE"""),"")</f>
        <v/>
      </c>
      <c r="BB926" s="4" t="str">
        <f>IFERROR(__xludf.DUMMYFUNCTION("""COMPUTED_VALUE"""),"")</f>
        <v/>
      </c>
      <c r="BC926" s="4" t="str">
        <f>IFERROR(__xludf.DUMMYFUNCTION("""COMPUTED_VALUE"""),"")</f>
        <v/>
      </c>
      <c r="BD926" s="4" t="str">
        <f>IFERROR(__xludf.DUMMYFUNCTION("""COMPUTED_VALUE"""),"")</f>
        <v/>
      </c>
      <c r="BE926" s="4" t="str">
        <f>IFERROR(__xludf.DUMMYFUNCTION("""COMPUTED_VALUE"""),"")</f>
        <v/>
      </c>
      <c r="BF926" s="4" t="str">
        <f>IFERROR(__xludf.DUMMYFUNCTION("""COMPUTED_VALUE"""),"")</f>
        <v/>
      </c>
      <c r="BG926" s="4" t="str">
        <f>IFERROR(__xludf.DUMMYFUNCTION("""COMPUTED_VALUE"""),"")</f>
        <v/>
      </c>
      <c r="BH926" s="4" t="s">
        <v>64</v>
      </c>
      <c r="BI926" s="7">
        <v>1.0</v>
      </c>
    </row>
    <row r="927" hidden="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t="str">
        <f>IFERROR(__xludf.DUMMYFUNCTION("""COMPUTED_VALUE"""),"")</f>
        <v/>
      </c>
      <c r="BB927" s="4" t="str">
        <f>IFERROR(__xludf.DUMMYFUNCTION("""COMPUTED_VALUE"""),"")</f>
        <v/>
      </c>
      <c r="BC927" s="4" t="str">
        <f>IFERROR(__xludf.DUMMYFUNCTION("""COMPUTED_VALUE"""),"")</f>
        <v/>
      </c>
      <c r="BD927" s="4" t="str">
        <f>IFERROR(__xludf.DUMMYFUNCTION("""COMPUTED_VALUE"""),"")</f>
        <v/>
      </c>
      <c r="BE927" s="4" t="str">
        <f>IFERROR(__xludf.DUMMYFUNCTION("""COMPUTED_VALUE"""),"")</f>
        <v/>
      </c>
      <c r="BF927" s="4" t="str">
        <f>IFERROR(__xludf.DUMMYFUNCTION("""COMPUTED_VALUE"""),"")</f>
        <v/>
      </c>
      <c r="BG927" s="4" t="str">
        <f>IFERROR(__xludf.DUMMYFUNCTION("""COMPUTED_VALUE"""),"")</f>
        <v/>
      </c>
      <c r="BH927" s="4" t="s">
        <v>64</v>
      </c>
      <c r="BI927" s="7">
        <v>1.0</v>
      </c>
    </row>
    <row r="928" hidden="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t="str">
        <f>IFERROR(__xludf.DUMMYFUNCTION("""COMPUTED_VALUE"""),"")</f>
        <v/>
      </c>
      <c r="BB928" s="4" t="str">
        <f>IFERROR(__xludf.DUMMYFUNCTION("""COMPUTED_VALUE"""),"")</f>
        <v/>
      </c>
      <c r="BC928" s="4" t="str">
        <f>IFERROR(__xludf.DUMMYFUNCTION("""COMPUTED_VALUE"""),"")</f>
        <v/>
      </c>
      <c r="BD928" s="4" t="str">
        <f>IFERROR(__xludf.DUMMYFUNCTION("""COMPUTED_VALUE"""),"")</f>
        <v/>
      </c>
      <c r="BE928" s="4" t="str">
        <f>IFERROR(__xludf.DUMMYFUNCTION("""COMPUTED_VALUE"""),"")</f>
        <v/>
      </c>
      <c r="BF928" s="4" t="str">
        <f>IFERROR(__xludf.DUMMYFUNCTION("""COMPUTED_VALUE"""),"")</f>
        <v/>
      </c>
      <c r="BG928" s="4" t="str">
        <f>IFERROR(__xludf.DUMMYFUNCTION("""COMPUTED_VALUE"""),"")</f>
        <v/>
      </c>
      <c r="BH928" s="4" t="s">
        <v>64</v>
      </c>
      <c r="BI928" s="7">
        <v>1.0</v>
      </c>
    </row>
    <row r="929" hidden="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t="str">
        <f>IFERROR(__xludf.DUMMYFUNCTION("""COMPUTED_VALUE"""),"")</f>
        <v/>
      </c>
      <c r="BB929" s="4" t="str">
        <f>IFERROR(__xludf.DUMMYFUNCTION("""COMPUTED_VALUE"""),"")</f>
        <v/>
      </c>
      <c r="BC929" s="4" t="str">
        <f>IFERROR(__xludf.DUMMYFUNCTION("""COMPUTED_VALUE"""),"")</f>
        <v/>
      </c>
      <c r="BD929" s="4" t="str">
        <f>IFERROR(__xludf.DUMMYFUNCTION("""COMPUTED_VALUE"""),"")</f>
        <v/>
      </c>
      <c r="BE929" s="4" t="str">
        <f>IFERROR(__xludf.DUMMYFUNCTION("""COMPUTED_VALUE"""),"")</f>
        <v/>
      </c>
      <c r="BF929" s="4" t="str">
        <f>IFERROR(__xludf.DUMMYFUNCTION("""COMPUTED_VALUE"""),"")</f>
        <v/>
      </c>
      <c r="BG929" s="4" t="str">
        <f>IFERROR(__xludf.DUMMYFUNCTION("""COMPUTED_VALUE"""),"")</f>
        <v/>
      </c>
      <c r="BH929" s="4" t="s">
        <v>64</v>
      </c>
      <c r="BI929" s="7">
        <v>1.0</v>
      </c>
    </row>
    <row r="930" hidden="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t="str">
        <f>IFERROR(__xludf.DUMMYFUNCTION("""COMPUTED_VALUE"""),"")</f>
        <v/>
      </c>
      <c r="BB930" s="4" t="str">
        <f>IFERROR(__xludf.DUMMYFUNCTION("""COMPUTED_VALUE"""),"")</f>
        <v/>
      </c>
      <c r="BC930" s="4" t="str">
        <f>IFERROR(__xludf.DUMMYFUNCTION("""COMPUTED_VALUE"""),"")</f>
        <v/>
      </c>
      <c r="BD930" s="4" t="str">
        <f>IFERROR(__xludf.DUMMYFUNCTION("""COMPUTED_VALUE"""),"")</f>
        <v/>
      </c>
      <c r="BE930" s="4" t="str">
        <f>IFERROR(__xludf.DUMMYFUNCTION("""COMPUTED_VALUE"""),"")</f>
        <v/>
      </c>
      <c r="BF930" s="4" t="str">
        <f>IFERROR(__xludf.DUMMYFUNCTION("""COMPUTED_VALUE"""),"")</f>
        <v/>
      </c>
      <c r="BG930" s="4" t="str">
        <f>IFERROR(__xludf.DUMMYFUNCTION("""COMPUTED_VALUE"""),"")</f>
        <v/>
      </c>
      <c r="BH930" s="4" t="s">
        <v>64</v>
      </c>
      <c r="BI930" s="7">
        <v>1.0</v>
      </c>
    </row>
    <row r="931" hidden="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t="str">
        <f>IFERROR(__xludf.DUMMYFUNCTION("""COMPUTED_VALUE"""),"")</f>
        <v/>
      </c>
      <c r="BB931" s="4" t="str">
        <f>IFERROR(__xludf.DUMMYFUNCTION("""COMPUTED_VALUE"""),"")</f>
        <v/>
      </c>
      <c r="BC931" s="4" t="str">
        <f>IFERROR(__xludf.DUMMYFUNCTION("""COMPUTED_VALUE"""),"")</f>
        <v/>
      </c>
      <c r="BD931" s="4" t="str">
        <f>IFERROR(__xludf.DUMMYFUNCTION("""COMPUTED_VALUE"""),"")</f>
        <v/>
      </c>
      <c r="BE931" s="4" t="str">
        <f>IFERROR(__xludf.DUMMYFUNCTION("""COMPUTED_VALUE"""),"")</f>
        <v/>
      </c>
      <c r="BF931" s="4" t="str">
        <f>IFERROR(__xludf.DUMMYFUNCTION("""COMPUTED_VALUE"""),"")</f>
        <v/>
      </c>
      <c r="BG931" s="4" t="str">
        <f>IFERROR(__xludf.DUMMYFUNCTION("""COMPUTED_VALUE"""),"")</f>
        <v/>
      </c>
      <c r="BH931" s="4" t="s">
        <v>64</v>
      </c>
      <c r="BI931" s="7">
        <v>1.0</v>
      </c>
    </row>
    <row r="932" hidden="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t="str">
        <f>IFERROR(__xludf.DUMMYFUNCTION("""COMPUTED_VALUE"""),"")</f>
        <v/>
      </c>
      <c r="BB932" s="4" t="str">
        <f>IFERROR(__xludf.DUMMYFUNCTION("""COMPUTED_VALUE"""),"")</f>
        <v/>
      </c>
      <c r="BC932" s="4" t="str">
        <f>IFERROR(__xludf.DUMMYFUNCTION("""COMPUTED_VALUE"""),"")</f>
        <v/>
      </c>
      <c r="BD932" s="4" t="str">
        <f>IFERROR(__xludf.DUMMYFUNCTION("""COMPUTED_VALUE"""),"")</f>
        <v/>
      </c>
      <c r="BE932" s="4" t="str">
        <f>IFERROR(__xludf.DUMMYFUNCTION("""COMPUTED_VALUE"""),"")</f>
        <v/>
      </c>
      <c r="BF932" s="4" t="str">
        <f>IFERROR(__xludf.DUMMYFUNCTION("""COMPUTED_VALUE"""),"")</f>
        <v/>
      </c>
      <c r="BG932" s="4" t="str">
        <f>IFERROR(__xludf.DUMMYFUNCTION("""COMPUTED_VALUE"""),"")</f>
        <v/>
      </c>
      <c r="BH932" s="4" t="s">
        <v>64</v>
      </c>
      <c r="BI932" s="7">
        <v>1.0</v>
      </c>
    </row>
    <row r="933" hidden="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t="str">
        <f>IFERROR(__xludf.DUMMYFUNCTION("""COMPUTED_VALUE"""),"")</f>
        <v/>
      </c>
      <c r="BB933" s="4" t="str">
        <f>IFERROR(__xludf.DUMMYFUNCTION("""COMPUTED_VALUE"""),"")</f>
        <v/>
      </c>
      <c r="BC933" s="4" t="str">
        <f>IFERROR(__xludf.DUMMYFUNCTION("""COMPUTED_VALUE"""),"")</f>
        <v/>
      </c>
      <c r="BD933" s="4" t="str">
        <f>IFERROR(__xludf.DUMMYFUNCTION("""COMPUTED_VALUE"""),"")</f>
        <v/>
      </c>
      <c r="BE933" s="4" t="str">
        <f>IFERROR(__xludf.DUMMYFUNCTION("""COMPUTED_VALUE"""),"")</f>
        <v/>
      </c>
      <c r="BF933" s="4" t="str">
        <f>IFERROR(__xludf.DUMMYFUNCTION("""COMPUTED_VALUE"""),"")</f>
        <v/>
      </c>
      <c r="BG933" s="4" t="str">
        <f>IFERROR(__xludf.DUMMYFUNCTION("""COMPUTED_VALUE"""),"")</f>
        <v/>
      </c>
      <c r="BH933" s="4" t="s">
        <v>64</v>
      </c>
      <c r="BI933" s="7">
        <v>1.0</v>
      </c>
    </row>
    <row r="934" hidden="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t="str">
        <f>IFERROR(__xludf.DUMMYFUNCTION("""COMPUTED_VALUE"""),"")</f>
        <v/>
      </c>
      <c r="BB934" s="4" t="str">
        <f>IFERROR(__xludf.DUMMYFUNCTION("""COMPUTED_VALUE"""),"")</f>
        <v/>
      </c>
      <c r="BC934" s="4" t="str">
        <f>IFERROR(__xludf.DUMMYFUNCTION("""COMPUTED_VALUE"""),"")</f>
        <v/>
      </c>
      <c r="BD934" s="4" t="str">
        <f>IFERROR(__xludf.DUMMYFUNCTION("""COMPUTED_VALUE"""),"")</f>
        <v/>
      </c>
      <c r="BE934" s="4" t="str">
        <f>IFERROR(__xludf.DUMMYFUNCTION("""COMPUTED_VALUE"""),"")</f>
        <v/>
      </c>
      <c r="BF934" s="4" t="str">
        <f>IFERROR(__xludf.DUMMYFUNCTION("""COMPUTED_VALUE"""),"")</f>
        <v/>
      </c>
      <c r="BG934" s="4" t="str">
        <f>IFERROR(__xludf.DUMMYFUNCTION("""COMPUTED_VALUE"""),"")</f>
        <v/>
      </c>
      <c r="BH934" s="4" t="s">
        <v>64</v>
      </c>
      <c r="BI934" s="7">
        <v>1.0</v>
      </c>
    </row>
    <row r="935" hidden="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t="str">
        <f>IFERROR(__xludf.DUMMYFUNCTION("""COMPUTED_VALUE"""),"")</f>
        <v/>
      </c>
      <c r="BB935" s="4" t="str">
        <f>IFERROR(__xludf.DUMMYFUNCTION("""COMPUTED_VALUE"""),"")</f>
        <v/>
      </c>
      <c r="BC935" s="4" t="str">
        <f>IFERROR(__xludf.DUMMYFUNCTION("""COMPUTED_VALUE"""),"")</f>
        <v/>
      </c>
      <c r="BD935" s="4" t="str">
        <f>IFERROR(__xludf.DUMMYFUNCTION("""COMPUTED_VALUE"""),"")</f>
        <v/>
      </c>
      <c r="BE935" s="4" t="str">
        <f>IFERROR(__xludf.DUMMYFUNCTION("""COMPUTED_VALUE"""),"")</f>
        <v/>
      </c>
      <c r="BF935" s="4" t="str">
        <f>IFERROR(__xludf.DUMMYFUNCTION("""COMPUTED_VALUE"""),"")</f>
        <v/>
      </c>
      <c r="BG935" s="4" t="str">
        <f>IFERROR(__xludf.DUMMYFUNCTION("""COMPUTED_VALUE"""),"")</f>
        <v/>
      </c>
      <c r="BH935" s="4" t="s">
        <v>64</v>
      </c>
      <c r="BI935" s="7">
        <v>1.0</v>
      </c>
    </row>
    <row r="936" hidden="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t="str">
        <f>IFERROR(__xludf.DUMMYFUNCTION("""COMPUTED_VALUE"""),"")</f>
        <v/>
      </c>
      <c r="BB936" s="4" t="str">
        <f>IFERROR(__xludf.DUMMYFUNCTION("""COMPUTED_VALUE"""),"")</f>
        <v/>
      </c>
      <c r="BC936" s="4" t="str">
        <f>IFERROR(__xludf.DUMMYFUNCTION("""COMPUTED_VALUE"""),"")</f>
        <v/>
      </c>
      <c r="BD936" s="4" t="str">
        <f>IFERROR(__xludf.DUMMYFUNCTION("""COMPUTED_VALUE"""),"")</f>
        <v/>
      </c>
      <c r="BE936" s="4" t="str">
        <f>IFERROR(__xludf.DUMMYFUNCTION("""COMPUTED_VALUE"""),"")</f>
        <v/>
      </c>
      <c r="BF936" s="4" t="str">
        <f>IFERROR(__xludf.DUMMYFUNCTION("""COMPUTED_VALUE"""),"")</f>
        <v/>
      </c>
      <c r="BG936" s="4" t="str">
        <f>IFERROR(__xludf.DUMMYFUNCTION("""COMPUTED_VALUE"""),"")</f>
        <v/>
      </c>
      <c r="BH936" s="4" t="s">
        <v>64</v>
      </c>
      <c r="BI936" s="7">
        <v>1.0</v>
      </c>
    </row>
    <row r="937" hidden="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t="str">
        <f>IFERROR(__xludf.DUMMYFUNCTION("""COMPUTED_VALUE"""),"")</f>
        <v/>
      </c>
      <c r="BB937" s="4" t="str">
        <f>IFERROR(__xludf.DUMMYFUNCTION("""COMPUTED_VALUE"""),"")</f>
        <v/>
      </c>
      <c r="BC937" s="4" t="str">
        <f>IFERROR(__xludf.DUMMYFUNCTION("""COMPUTED_VALUE"""),"")</f>
        <v/>
      </c>
      <c r="BD937" s="4" t="str">
        <f>IFERROR(__xludf.DUMMYFUNCTION("""COMPUTED_VALUE"""),"")</f>
        <v/>
      </c>
      <c r="BE937" s="4" t="str">
        <f>IFERROR(__xludf.DUMMYFUNCTION("""COMPUTED_VALUE"""),"")</f>
        <v/>
      </c>
      <c r="BF937" s="4" t="str">
        <f>IFERROR(__xludf.DUMMYFUNCTION("""COMPUTED_VALUE"""),"")</f>
        <v/>
      </c>
      <c r="BG937" s="4" t="str">
        <f>IFERROR(__xludf.DUMMYFUNCTION("""COMPUTED_VALUE"""),"")</f>
        <v/>
      </c>
      <c r="BH937" s="4" t="s">
        <v>64</v>
      </c>
      <c r="BI937" s="7">
        <v>1.0</v>
      </c>
    </row>
    <row r="938" hidden="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t="str">
        <f>IFERROR(__xludf.DUMMYFUNCTION("""COMPUTED_VALUE"""),"")</f>
        <v/>
      </c>
      <c r="BB938" s="4" t="str">
        <f>IFERROR(__xludf.DUMMYFUNCTION("""COMPUTED_VALUE"""),"")</f>
        <v/>
      </c>
      <c r="BC938" s="4" t="str">
        <f>IFERROR(__xludf.DUMMYFUNCTION("""COMPUTED_VALUE"""),"")</f>
        <v/>
      </c>
      <c r="BD938" s="4" t="str">
        <f>IFERROR(__xludf.DUMMYFUNCTION("""COMPUTED_VALUE"""),"")</f>
        <v/>
      </c>
      <c r="BE938" s="4" t="str">
        <f>IFERROR(__xludf.DUMMYFUNCTION("""COMPUTED_VALUE"""),"")</f>
        <v/>
      </c>
      <c r="BF938" s="4" t="str">
        <f>IFERROR(__xludf.DUMMYFUNCTION("""COMPUTED_VALUE"""),"")</f>
        <v/>
      </c>
      <c r="BG938" s="4" t="str">
        <f>IFERROR(__xludf.DUMMYFUNCTION("""COMPUTED_VALUE"""),"")</f>
        <v/>
      </c>
      <c r="BH938" s="4" t="s">
        <v>64</v>
      </c>
      <c r="BI938" s="7">
        <v>1.0</v>
      </c>
    </row>
    <row r="939" hidden="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t="str">
        <f>IFERROR(__xludf.DUMMYFUNCTION("""COMPUTED_VALUE"""),"")</f>
        <v/>
      </c>
      <c r="BB939" s="4" t="str">
        <f>IFERROR(__xludf.DUMMYFUNCTION("""COMPUTED_VALUE"""),"")</f>
        <v/>
      </c>
      <c r="BC939" s="4" t="str">
        <f>IFERROR(__xludf.DUMMYFUNCTION("""COMPUTED_VALUE"""),"")</f>
        <v/>
      </c>
      <c r="BD939" s="4" t="str">
        <f>IFERROR(__xludf.DUMMYFUNCTION("""COMPUTED_VALUE"""),"")</f>
        <v/>
      </c>
      <c r="BE939" s="4" t="str">
        <f>IFERROR(__xludf.DUMMYFUNCTION("""COMPUTED_VALUE"""),"")</f>
        <v/>
      </c>
      <c r="BF939" s="4" t="str">
        <f>IFERROR(__xludf.DUMMYFUNCTION("""COMPUTED_VALUE"""),"")</f>
        <v/>
      </c>
      <c r="BG939" s="4" t="str">
        <f>IFERROR(__xludf.DUMMYFUNCTION("""COMPUTED_VALUE"""),"")</f>
        <v/>
      </c>
      <c r="BH939" s="4" t="s">
        <v>64</v>
      </c>
      <c r="BI939" s="7">
        <v>1.0</v>
      </c>
    </row>
    <row r="940" hidden="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t="str">
        <f>IFERROR(__xludf.DUMMYFUNCTION("""COMPUTED_VALUE"""),"")</f>
        <v/>
      </c>
      <c r="BB940" s="4" t="str">
        <f>IFERROR(__xludf.DUMMYFUNCTION("""COMPUTED_VALUE"""),"")</f>
        <v/>
      </c>
      <c r="BC940" s="4" t="str">
        <f>IFERROR(__xludf.DUMMYFUNCTION("""COMPUTED_VALUE"""),"")</f>
        <v/>
      </c>
      <c r="BD940" s="4" t="str">
        <f>IFERROR(__xludf.DUMMYFUNCTION("""COMPUTED_VALUE"""),"")</f>
        <v/>
      </c>
      <c r="BE940" s="4" t="str">
        <f>IFERROR(__xludf.DUMMYFUNCTION("""COMPUTED_VALUE"""),"")</f>
        <v/>
      </c>
      <c r="BF940" s="4" t="str">
        <f>IFERROR(__xludf.DUMMYFUNCTION("""COMPUTED_VALUE"""),"")</f>
        <v/>
      </c>
      <c r="BG940" s="4" t="str">
        <f>IFERROR(__xludf.DUMMYFUNCTION("""COMPUTED_VALUE"""),"")</f>
        <v/>
      </c>
      <c r="BH940" s="4" t="s">
        <v>64</v>
      </c>
      <c r="BI940" s="7">
        <v>1.0</v>
      </c>
    </row>
    <row r="941" hidden="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t="str">
        <f>IFERROR(__xludf.DUMMYFUNCTION("""COMPUTED_VALUE"""),"")</f>
        <v/>
      </c>
      <c r="BB941" s="4" t="str">
        <f>IFERROR(__xludf.DUMMYFUNCTION("""COMPUTED_VALUE"""),"")</f>
        <v/>
      </c>
      <c r="BC941" s="4" t="str">
        <f>IFERROR(__xludf.DUMMYFUNCTION("""COMPUTED_VALUE"""),"")</f>
        <v/>
      </c>
      <c r="BD941" s="4" t="str">
        <f>IFERROR(__xludf.DUMMYFUNCTION("""COMPUTED_VALUE"""),"")</f>
        <v/>
      </c>
      <c r="BE941" s="4" t="str">
        <f>IFERROR(__xludf.DUMMYFUNCTION("""COMPUTED_VALUE"""),"")</f>
        <v/>
      </c>
      <c r="BF941" s="4" t="str">
        <f>IFERROR(__xludf.DUMMYFUNCTION("""COMPUTED_VALUE"""),"")</f>
        <v/>
      </c>
      <c r="BG941" s="4" t="str">
        <f>IFERROR(__xludf.DUMMYFUNCTION("""COMPUTED_VALUE"""),"")</f>
        <v/>
      </c>
      <c r="BH941" s="4" t="s">
        <v>64</v>
      </c>
      <c r="BI941" s="7">
        <v>1.0</v>
      </c>
    </row>
    <row r="942" hidden="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t="str">
        <f>IFERROR(__xludf.DUMMYFUNCTION("""COMPUTED_VALUE"""),"")</f>
        <v/>
      </c>
      <c r="BB942" s="4" t="str">
        <f>IFERROR(__xludf.DUMMYFUNCTION("""COMPUTED_VALUE"""),"")</f>
        <v/>
      </c>
      <c r="BC942" s="4" t="str">
        <f>IFERROR(__xludf.DUMMYFUNCTION("""COMPUTED_VALUE"""),"")</f>
        <v/>
      </c>
      <c r="BD942" s="4" t="str">
        <f>IFERROR(__xludf.DUMMYFUNCTION("""COMPUTED_VALUE"""),"")</f>
        <v/>
      </c>
      <c r="BE942" s="4" t="str">
        <f>IFERROR(__xludf.DUMMYFUNCTION("""COMPUTED_VALUE"""),"")</f>
        <v/>
      </c>
      <c r="BF942" s="4" t="str">
        <f>IFERROR(__xludf.DUMMYFUNCTION("""COMPUTED_VALUE"""),"")</f>
        <v/>
      </c>
      <c r="BG942" s="4" t="str">
        <f>IFERROR(__xludf.DUMMYFUNCTION("""COMPUTED_VALUE"""),"")</f>
        <v/>
      </c>
      <c r="BH942" s="4" t="s">
        <v>64</v>
      </c>
      <c r="BI942" s="7">
        <v>1.0</v>
      </c>
    </row>
    <row r="943" hidden="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t="str">
        <f>IFERROR(__xludf.DUMMYFUNCTION("""COMPUTED_VALUE"""),"")</f>
        <v/>
      </c>
      <c r="BB943" s="4" t="str">
        <f>IFERROR(__xludf.DUMMYFUNCTION("""COMPUTED_VALUE"""),"")</f>
        <v/>
      </c>
      <c r="BC943" s="4" t="str">
        <f>IFERROR(__xludf.DUMMYFUNCTION("""COMPUTED_VALUE"""),"")</f>
        <v/>
      </c>
      <c r="BD943" s="4" t="str">
        <f>IFERROR(__xludf.DUMMYFUNCTION("""COMPUTED_VALUE"""),"")</f>
        <v/>
      </c>
      <c r="BE943" s="4" t="str">
        <f>IFERROR(__xludf.DUMMYFUNCTION("""COMPUTED_VALUE"""),"")</f>
        <v/>
      </c>
      <c r="BF943" s="4" t="str">
        <f>IFERROR(__xludf.DUMMYFUNCTION("""COMPUTED_VALUE"""),"")</f>
        <v/>
      </c>
      <c r="BG943" s="4" t="str">
        <f>IFERROR(__xludf.DUMMYFUNCTION("""COMPUTED_VALUE"""),"")</f>
        <v/>
      </c>
      <c r="BH943" s="4" t="s">
        <v>64</v>
      </c>
      <c r="BI943" s="7">
        <v>1.0</v>
      </c>
    </row>
    <row r="944" hidden="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t="str">
        <f>IFERROR(__xludf.DUMMYFUNCTION("""COMPUTED_VALUE"""),"")</f>
        <v/>
      </c>
      <c r="BB944" s="4" t="str">
        <f>IFERROR(__xludf.DUMMYFUNCTION("""COMPUTED_VALUE"""),"")</f>
        <v/>
      </c>
      <c r="BC944" s="4" t="str">
        <f>IFERROR(__xludf.DUMMYFUNCTION("""COMPUTED_VALUE"""),"")</f>
        <v/>
      </c>
      <c r="BD944" s="4" t="str">
        <f>IFERROR(__xludf.DUMMYFUNCTION("""COMPUTED_VALUE"""),"")</f>
        <v/>
      </c>
      <c r="BE944" s="4" t="str">
        <f>IFERROR(__xludf.DUMMYFUNCTION("""COMPUTED_VALUE"""),"")</f>
        <v/>
      </c>
      <c r="BF944" s="4" t="str">
        <f>IFERROR(__xludf.DUMMYFUNCTION("""COMPUTED_VALUE"""),"")</f>
        <v/>
      </c>
      <c r="BG944" s="4" t="str">
        <f>IFERROR(__xludf.DUMMYFUNCTION("""COMPUTED_VALUE"""),"")</f>
        <v/>
      </c>
      <c r="BH944" s="4" t="s">
        <v>64</v>
      </c>
      <c r="BI944" s="7">
        <v>1.0</v>
      </c>
    </row>
    <row r="945" hidden="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t="str">
        <f>IFERROR(__xludf.DUMMYFUNCTION("""COMPUTED_VALUE"""),"")</f>
        <v/>
      </c>
      <c r="BB945" s="4" t="str">
        <f>IFERROR(__xludf.DUMMYFUNCTION("""COMPUTED_VALUE"""),"")</f>
        <v/>
      </c>
      <c r="BC945" s="4" t="str">
        <f>IFERROR(__xludf.DUMMYFUNCTION("""COMPUTED_VALUE"""),"")</f>
        <v/>
      </c>
      <c r="BD945" s="4" t="str">
        <f>IFERROR(__xludf.DUMMYFUNCTION("""COMPUTED_VALUE"""),"")</f>
        <v/>
      </c>
      <c r="BE945" s="4" t="str">
        <f>IFERROR(__xludf.DUMMYFUNCTION("""COMPUTED_VALUE"""),"")</f>
        <v/>
      </c>
      <c r="BF945" s="4" t="str">
        <f>IFERROR(__xludf.DUMMYFUNCTION("""COMPUTED_VALUE"""),"")</f>
        <v/>
      </c>
      <c r="BG945" s="4" t="str">
        <f>IFERROR(__xludf.DUMMYFUNCTION("""COMPUTED_VALUE"""),"")</f>
        <v/>
      </c>
      <c r="BH945" s="4" t="s">
        <v>64</v>
      </c>
      <c r="BI945" s="7">
        <v>1.0</v>
      </c>
    </row>
    <row r="946" hidden="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t="str">
        <f>IFERROR(__xludf.DUMMYFUNCTION("""COMPUTED_VALUE"""),"")</f>
        <v/>
      </c>
      <c r="BB946" s="4" t="str">
        <f>IFERROR(__xludf.DUMMYFUNCTION("""COMPUTED_VALUE"""),"")</f>
        <v/>
      </c>
      <c r="BC946" s="4" t="str">
        <f>IFERROR(__xludf.DUMMYFUNCTION("""COMPUTED_VALUE"""),"")</f>
        <v/>
      </c>
      <c r="BD946" s="4" t="str">
        <f>IFERROR(__xludf.DUMMYFUNCTION("""COMPUTED_VALUE"""),"")</f>
        <v/>
      </c>
      <c r="BE946" s="4" t="str">
        <f>IFERROR(__xludf.DUMMYFUNCTION("""COMPUTED_VALUE"""),"")</f>
        <v/>
      </c>
      <c r="BF946" s="4" t="str">
        <f>IFERROR(__xludf.DUMMYFUNCTION("""COMPUTED_VALUE"""),"")</f>
        <v/>
      </c>
      <c r="BG946" s="4" t="str">
        <f>IFERROR(__xludf.DUMMYFUNCTION("""COMPUTED_VALUE"""),"")</f>
        <v/>
      </c>
      <c r="BH946" s="4" t="s">
        <v>64</v>
      </c>
      <c r="BI946" s="7">
        <v>1.0</v>
      </c>
    </row>
    <row r="947" hidden="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t="str">
        <f>IFERROR(__xludf.DUMMYFUNCTION("""COMPUTED_VALUE"""),"")</f>
        <v/>
      </c>
      <c r="BB947" s="4" t="str">
        <f>IFERROR(__xludf.DUMMYFUNCTION("""COMPUTED_VALUE"""),"")</f>
        <v/>
      </c>
      <c r="BC947" s="4" t="str">
        <f>IFERROR(__xludf.DUMMYFUNCTION("""COMPUTED_VALUE"""),"")</f>
        <v/>
      </c>
      <c r="BD947" s="4" t="str">
        <f>IFERROR(__xludf.DUMMYFUNCTION("""COMPUTED_VALUE"""),"")</f>
        <v/>
      </c>
      <c r="BE947" s="4" t="str">
        <f>IFERROR(__xludf.DUMMYFUNCTION("""COMPUTED_VALUE"""),"")</f>
        <v/>
      </c>
      <c r="BF947" s="4" t="str">
        <f>IFERROR(__xludf.DUMMYFUNCTION("""COMPUTED_VALUE"""),"")</f>
        <v/>
      </c>
      <c r="BG947" s="4" t="str">
        <f>IFERROR(__xludf.DUMMYFUNCTION("""COMPUTED_VALUE"""),"")</f>
        <v/>
      </c>
      <c r="BH947" s="4" t="s">
        <v>64</v>
      </c>
      <c r="BI947" s="7">
        <v>1.0</v>
      </c>
    </row>
    <row r="948" hidden="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t="str">
        <f>IFERROR(__xludf.DUMMYFUNCTION("""COMPUTED_VALUE"""),"")</f>
        <v/>
      </c>
      <c r="BB948" s="4" t="str">
        <f>IFERROR(__xludf.DUMMYFUNCTION("""COMPUTED_VALUE"""),"")</f>
        <v/>
      </c>
      <c r="BC948" s="4" t="str">
        <f>IFERROR(__xludf.DUMMYFUNCTION("""COMPUTED_VALUE"""),"")</f>
        <v/>
      </c>
      <c r="BD948" s="4" t="str">
        <f>IFERROR(__xludf.DUMMYFUNCTION("""COMPUTED_VALUE"""),"")</f>
        <v/>
      </c>
      <c r="BE948" s="4" t="str">
        <f>IFERROR(__xludf.DUMMYFUNCTION("""COMPUTED_VALUE"""),"")</f>
        <v/>
      </c>
      <c r="BF948" s="4" t="str">
        <f>IFERROR(__xludf.DUMMYFUNCTION("""COMPUTED_VALUE"""),"")</f>
        <v/>
      </c>
      <c r="BG948" s="4" t="str">
        <f>IFERROR(__xludf.DUMMYFUNCTION("""COMPUTED_VALUE"""),"")</f>
        <v/>
      </c>
      <c r="BH948" s="4" t="s">
        <v>64</v>
      </c>
      <c r="BI948" s="7">
        <v>1.0</v>
      </c>
    </row>
    <row r="949" hidden="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t="str">
        <f>IFERROR(__xludf.DUMMYFUNCTION("""COMPUTED_VALUE"""),"")</f>
        <v/>
      </c>
      <c r="BB949" s="4" t="str">
        <f>IFERROR(__xludf.DUMMYFUNCTION("""COMPUTED_VALUE"""),"")</f>
        <v/>
      </c>
      <c r="BC949" s="4" t="str">
        <f>IFERROR(__xludf.DUMMYFUNCTION("""COMPUTED_VALUE"""),"")</f>
        <v/>
      </c>
      <c r="BD949" s="4" t="str">
        <f>IFERROR(__xludf.DUMMYFUNCTION("""COMPUTED_VALUE"""),"")</f>
        <v/>
      </c>
      <c r="BE949" s="4" t="str">
        <f>IFERROR(__xludf.DUMMYFUNCTION("""COMPUTED_VALUE"""),"")</f>
        <v/>
      </c>
      <c r="BF949" s="4" t="str">
        <f>IFERROR(__xludf.DUMMYFUNCTION("""COMPUTED_VALUE"""),"")</f>
        <v/>
      </c>
      <c r="BG949" s="4" t="str">
        <f>IFERROR(__xludf.DUMMYFUNCTION("""COMPUTED_VALUE"""),"")</f>
        <v/>
      </c>
      <c r="BH949" s="4" t="s">
        <v>64</v>
      </c>
      <c r="BI949" s="7">
        <v>1.0</v>
      </c>
    </row>
    <row r="950" hidden="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t="str">
        <f>IFERROR(__xludf.DUMMYFUNCTION("""COMPUTED_VALUE"""),"")</f>
        <v/>
      </c>
      <c r="BB950" s="4" t="str">
        <f>IFERROR(__xludf.DUMMYFUNCTION("""COMPUTED_VALUE"""),"")</f>
        <v/>
      </c>
      <c r="BC950" s="4" t="str">
        <f>IFERROR(__xludf.DUMMYFUNCTION("""COMPUTED_VALUE"""),"")</f>
        <v/>
      </c>
      <c r="BD950" s="4" t="str">
        <f>IFERROR(__xludf.DUMMYFUNCTION("""COMPUTED_VALUE"""),"")</f>
        <v/>
      </c>
      <c r="BE950" s="4" t="str">
        <f>IFERROR(__xludf.DUMMYFUNCTION("""COMPUTED_VALUE"""),"")</f>
        <v/>
      </c>
      <c r="BF950" s="4" t="str">
        <f>IFERROR(__xludf.DUMMYFUNCTION("""COMPUTED_VALUE"""),"")</f>
        <v/>
      </c>
      <c r="BG950" s="4" t="str">
        <f>IFERROR(__xludf.DUMMYFUNCTION("""COMPUTED_VALUE"""),"")</f>
        <v/>
      </c>
      <c r="BH950" s="4" t="s">
        <v>64</v>
      </c>
      <c r="BI950" s="7">
        <v>1.0</v>
      </c>
    </row>
    <row r="951" hidden="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t="str">
        <f>IFERROR(__xludf.DUMMYFUNCTION("""COMPUTED_VALUE"""),"")</f>
        <v/>
      </c>
      <c r="BB951" s="4" t="str">
        <f>IFERROR(__xludf.DUMMYFUNCTION("""COMPUTED_VALUE"""),"")</f>
        <v/>
      </c>
      <c r="BC951" s="4" t="str">
        <f>IFERROR(__xludf.DUMMYFUNCTION("""COMPUTED_VALUE"""),"")</f>
        <v/>
      </c>
      <c r="BD951" s="4" t="str">
        <f>IFERROR(__xludf.DUMMYFUNCTION("""COMPUTED_VALUE"""),"")</f>
        <v/>
      </c>
      <c r="BE951" s="4" t="str">
        <f>IFERROR(__xludf.DUMMYFUNCTION("""COMPUTED_VALUE"""),"")</f>
        <v/>
      </c>
      <c r="BF951" s="4" t="str">
        <f>IFERROR(__xludf.DUMMYFUNCTION("""COMPUTED_VALUE"""),"")</f>
        <v/>
      </c>
      <c r="BG951" s="4" t="str">
        <f>IFERROR(__xludf.DUMMYFUNCTION("""COMPUTED_VALUE"""),"")</f>
        <v/>
      </c>
      <c r="BH951" s="4" t="s">
        <v>64</v>
      </c>
      <c r="BI951" s="7">
        <v>1.0</v>
      </c>
    </row>
    <row r="952" hidden="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t="str">
        <f>IFERROR(__xludf.DUMMYFUNCTION("""COMPUTED_VALUE"""),"")</f>
        <v/>
      </c>
      <c r="BB952" s="4" t="str">
        <f>IFERROR(__xludf.DUMMYFUNCTION("""COMPUTED_VALUE"""),"")</f>
        <v/>
      </c>
      <c r="BC952" s="4" t="str">
        <f>IFERROR(__xludf.DUMMYFUNCTION("""COMPUTED_VALUE"""),"")</f>
        <v/>
      </c>
      <c r="BD952" s="4" t="str">
        <f>IFERROR(__xludf.DUMMYFUNCTION("""COMPUTED_VALUE"""),"")</f>
        <v/>
      </c>
      <c r="BE952" s="4" t="str">
        <f>IFERROR(__xludf.DUMMYFUNCTION("""COMPUTED_VALUE"""),"")</f>
        <v/>
      </c>
      <c r="BF952" s="4" t="str">
        <f>IFERROR(__xludf.DUMMYFUNCTION("""COMPUTED_VALUE"""),"")</f>
        <v/>
      </c>
      <c r="BG952" s="4" t="str">
        <f>IFERROR(__xludf.DUMMYFUNCTION("""COMPUTED_VALUE"""),"")</f>
        <v/>
      </c>
      <c r="BH952" s="4" t="s">
        <v>64</v>
      </c>
      <c r="BI952" s="7">
        <v>1.0</v>
      </c>
    </row>
    <row r="953" hidden="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t="str">
        <f>IFERROR(__xludf.DUMMYFUNCTION("""COMPUTED_VALUE"""),"")</f>
        <v/>
      </c>
      <c r="BB953" s="4" t="str">
        <f>IFERROR(__xludf.DUMMYFUNCTION("""COMPUTED_VALUE"""),"")</f>
        <v/>
      </c>
      <c r="BC953" s="4" t="str">
        <f>IFERROR(__xludf.DUMMYFUNCTION("""COMPUTED_VALUE"""),"")</f>
        <v/>
      </c>
      <c r="BD953" s="4" t="str">
        <f>IFERROR(__xludf.DUMMYFUNCTION("""COMPUTED_VALUE"""),"")</f>
        <v/>
      </c>
      <c r="BE953" s="4" t="str">
        <f>IFERROR(__xludf.DUMMYFUNCTION("""COMPUTED_VALUE"""),"")</f>
        <v/>
      </c>
      <c r="BF953" s="4" t="str">
        <f>IFERROR(__xludf.DUMMYFUNCTION("""COMPUTED_VALUE"""),"")</f>
        <v/>
      </c>
      <c r="BG953" s="4" t="str">
        <f>IFERROR(__xludf.DUMMYFUNCTION("""COMPUTED_VALUE"""),"")</f>
        <v/>
      </c>
      <c r="BH953" s="4" t="s">
        <v>64</v>
      </c>
      <c r="BI953" s="7">
        <v>1.0</v>
      </c>
    </row>
    <row r="954" hidden="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t="str">
        <f>IFERROR(__xludf.DUMMYFUNCTION("""COMPUTED_VALUE"""),"")</f>
        <v/>
      </c>
      <c r="BB954" s="4" t="str">
        <f>IFERROR(__xludf.DUMMYFUNCTION("""COMPUTED_VALUE"""),"")</f>
        <v/>
      </c>
      <c r="BC954" s="4" t="str">
        <f>IFERROR(__xludf.DUMMYFUNCTION("""COMPUTED_VALUE"""),"")</f>
        <v/>
      </c>
      <c r="BD954" s="4" t="str">
        <f>IFERROR(__xludf.DUMMYFUNCTION("""COMPUTED_VALUE"""),"")</f>
        <v/>
      </c>
      <c r="BE954" s="4" t="str">
        <f>IFERROR(__xludf.DUMMYFUNCTION("""COMPUTED_VALUE"""),"")</f>
        <v/>
      </c>
      <c r="BF954" s="4" t="str">
        <f>IFERROR(__xludf.DUMMYFUNCTION("""COMPUTED_VALUE"""),"")</f>
        <v/>
      </c>
      <c r="BG954" s="4" t="str">
        <f>IFERROR(__xludf.DUMMYFUNCTION("""COMPUTED_VALUE"""),"")</f>
        <v/>
      </c>
      <c r="BH954" s="4" t="s">
        <v>64</v>
      </c>
      <c r="BI954" s="7">
        <v>1.0</v>
      </c>
    </row>
    <row r="955" hidden="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t="str">
        <f>IFERROR(__xludf.DUMMYFUNCTION("""COMPUTED_VALUE"""),"")</f>
        <v/>
      </c>
      <c r="BB955" s="4" t="str">
        <f>IFERROR(__xludf.DUMMYFUNCTION("""COMPUTED_VALUE"""),"")</f>
        <v/>
      </c>
      <c r="BC955" s="4" t="str">
        <f>IFERROR(__xludf.DUMMYFUNCTION("""COMPUTED_VALUE"""),"")</f>
        <v/>
      </c>
      <c r="BD955" s="4" t="str">
        <f>IFERROR(__xludf.DUMMYFUNCTION("""COMPUTED_VALUE"""),"")</f>
        <v/>
      </c>
      <c r="BE955" s="4" t="str">
        <f>IFERROR(__xludf.DUMMYFUNCTION("""COMPUTED_VALUE"""),"")</f>
        <v/>
      </c>
      <c r="BF955" s="4" t="str">
        <f>IFERROR(__xludf.DUMMYFUNCTION("""COMPUTED_VALUE"""),"")</f>
        <v/>
      </c>
      <c r="BG955" s="4" t="str">
        <f>IFERROR(__xludf.DUMMYFUNCTION("""COMPUTED_VALUE"""),"")</f>
        <v/>
      </c>
      <c r="BH955" s="4" t="s">
        <v>64</v>
      </c>
      <c r="BI955" s="7">
        <v>1.0</v>
      </c>
    </row>
    <row r="956" hidden="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t="str">
        <f>IFERROR(__xludf.DUMMYFUNCTION("""COMPUTED_VALUE"""),"")</f>
        <v/>
      </c>
      <c r="BB956" s="4" t="str">
        <f>IFERROR(__xludf.DUMMYFUNCTION("""COMPUTED_VALUE"""),"")</f>
        <v/>
      </c>
      <c r="BC956" s="4" t="str">
        <f>IFERROR(__xludf.DUMMYFUNCTION("""COMPUTED_VALUE"""),"")</f>
        <v/>
      </c>
      <c r="BD956" s="4" t="str">
        <f>IFERROR(__xludf.DUMMYFUNCTION("""COMPUTED_VALUE"""),"")</f>
        <v/>
      </c>
      <c r="BE956" s="4" t="str">
        <f>IFERROR(__xludf.DUMMYFUNCTION("""COMPUTED_VALUE"""),"")</f>
        <v/>
      </c>
      <c r="BF956" s="4" t="str">
        <f>IFERROR(__xludf.DUMMYFUNCTION("""COMPUTED_VALUE"""),"")</f>
        <v/>
      </c>
      <c r="BG956" s="4" t="str">
        <f>IFERROR(__xludf.DUMMYFUNCTION("""COMPUTED_VALUE"""),"")</f>
        <v/>
      </c>
      <c r="BH956" s="4" t="s">
        <v>64</v>
      </c>
      <c r="BI956" s="7">
        <v>1.0</v>
      </c>
    </row>
    <row r="957" hidden="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t="str">
        <f>IFERROR(__xludf.DUMMYFUNCTION("""COMPUTED_VALUE"""),"")</f>
        <v/>
      </c>
      <c r="BB957" s="4" t="str">
        <f>IFERROR(__xludf.DUMMYFUNCTION("""COMPUTED_VALUE"""),"")</f>
        <v/>
      </c>
      <c r="BC957" s="4" t="str">
        <f>IFERROR(__xludf.DUMMYFUNCTION("""COMPUTED_VALUE"""),"")</f>
        <v/>
      </c>
      <c r="BD957" s="4" t="str">
        <f>IFERROR(__xludf.DUMMYFUNCTION("""COMPUTED_VALUE"""),"")</f>
        <v/>
      </c>
      <c r="BE957" s="4" t="str">
        <f>IFERROR(__xludf.DUMMYFUNCTION("""COMPUTED_VALUE"""),"")</f>
        <v/>
      </c>
      <c r="BF957" s="4" t="str">
        <f>IFERROR(__xludf.DUMMYFUNCTION("""COMPUTED_VALUE"""),"")</f>
        <v/>
      </c>
      <c r="BG957" s="4" t="str">
        <f>IFERROR(__xludf.DUMMYFUNCTION("""COMPUTED_VALUE"""),"")</f>
        <v/>
      </c>
      <c r="BH957" s="4" t="s">
        <v>64</v>
      </c>
      <c r="BI957" s="7">
        <v>1.0</v>
      </c>
    </row>
    <row r="958" hidden="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t="str">
        <f>IFERROR(__xludf.DUMMYFUNCTION("""COMPUTED_VALUE"""),"")</f>
        <v/>
      </c>
      <c r="BB958" s="4" t="str">
        <f>IFERROR(__xludf.DUMMYFUNCTION("""COMPUTED_VALUE"""),"")</f>
        <v/>
      </c>
      <c r="BC958" s="4" t="str">
        <f>IFERROR(__xludf.DUMMYFUNCTION("""COMPUTED_VALUE"""),"")</f>
        <v/>
      </c>
      <c r="BD958" s="4" t="str">
        <f>IFERROR(__xludf.DUMMYFUNCTION("""COMPUTED_VALUE"""),"")</f>
        <v/>
      </c>
      <c r="BE958" s="4" t="str">
        <f>IFERROR(__xludf.DUMMYFUNCTION("""COMPUTED_VALUE"""),"")</f>
        <v/>
      </c>
      <c r="BF958" s="4" t="str">
        <f>IFERROR(__xludf.DUMMYFUNCTION("""COMPUTED_VALUE"""),"")</f>
        <v/>
      </c>
      <c r="BG958" s="4" t="str">
        <f>IFERROR(__xludf.DUMMYFUNCTION("""COMPUTED_VALUE"""),"")</f>
        <v/>
      </c>
      <c r="BH958" s="4" t="s">
        <v>64</v>
      </c>
      <c r="BI958" s="7">
        <v>1.0</v>
      </c>
    </row>
    <row r="959" hidden="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t="str">
        <f>IFERROR(__xludf.DUMMYFUNCTION("""COMPUTED_VALUE"""),"")</f>
        <v/>
      </c>
      <c r="BB959" s="4" t="str">
        <f>IFERROR(__xludf.DUMMYFUNCTION("""COMPUTED_VALUE"""),"")</f>
        <v/>
      </c>
      <c r="BC959" s="4" t="str">
        <f>IFERROR(__xludf.DUMMYFUNCTION("""COMPUTED_VALUE"""),"")</f>
        <v/>
      </c>
      <c r="BD959" s="4" t="str">
        <f>IFERROR(__xludf.DUMMYFUNCTION("""COMPUTED_VALUE"""),"")</f>
        <v/>
      </c>
      <c r="BE959" s="4" t="str">
        <f>IFERROR(__xludf.DUMMYFUNCTION("""COMPUTED_VALUE"""),"")</f>
        <v/>
      </c>
      <c r="BF959" s="4" t="str">
        <f>IFERROR(__xludf.DUMMYFUNCTION("""COMPUTED_VALUE"""),"")</f>
        <v/>
      </c>
      <c r="BG959" s="4" t="str">
        <f>IFERROR(__xludf.DUMMYFUNCTION("""COMPUTED_VALUE"""),"")</f>
        <v/>
      </c>
      <c r="BH959" s="4" t="s">
        <v>64</v>
      </c>
      <c r="BI959" s="7">
        <v>1.0</v>
      </c>
    </row>
    <row r="960" hidden="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t="str">
        <f>IFERROR(__xludf.DUMMYFUNCTION("""COMPUTED_VALUE"""),"")</f>
        <v/>
      </c>
      <c r="BB960" s="4" t="str">
        <f>IFERROR(__xludf.DUMMYFUNCTION("""COMPUTED_VALUE"""),"")</f>
        <v/>
      </c>
      <c r="BC960" s="4" t="str">
        <f>IFERROR(__xludf.DUMMYFUNCTION("""COMPUTED_VALUE"""),"")</f>
        <v/>
      </c>
      <c r="BD960" s="4" t="str">
        <f>IFERROR(__xludf.DUMMYFUNCTION("""COMPUTED_VALUE"""),"")</f>
        <v/>
      </c>
      <c r="BE960" s="4" t="str">
        <f>IFERROR(__xludf.DUMMYFUNCTION("""COMPUTED_VALUE"""),"")</f>
        <v/>
      </c>
      <c r="BF960" s="4" t="str">
        <f>IFERROR(__xludf.DUMMYFUNCTION("""COMPUTED_VALUE"""),"")</f>
        <v/>
      </c>
      <c r="BG960" s="4" t="str">
        <f>IFERROR(__xludf.DUMMYFUNCTION("""COMPUTED_VALUE"""),"")</f>
        <v/>
      </c>
      <c r="BH960" s="4" t="s">
        <v>64</v>
      </c>
      <c r="BI960" s="7">
        <v>1.0</v>
      </c>
    </row>
    <row r="961" hidden="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t="str">
        <f>IFERROR(__xludf.DUMMYFUNCTION("""COMPUTED_VALUE"""),"")</f>
        <v/>
      </c>
      <c r="BB961" s="4" t="str">
        <f>IFERROR(__xludf.DUMMYFUNCTION("""COMPUTED_VALUE"""),"")</f>
        <v/>
      </c>
      <c r="BC961" s="4" t="str">
        <f>IFERROR(__xludf.DUMMYFUNCTION("""COMPUTED_VALUE"""),"")</f>
        <v/>
      </c>
      <c r="BD961" s="4" t="str">
        <f>IFERROR(__xludf.DUMMYFUNCTION("""COMPUTED_VALUE"""),"")</f>
        <v/>
      </c>
      <c r="BE961" s="4" t="str">
        <f>IFERROR(__xludf.DUMMYFUNCTION("""COMPUTED_VALUE"""),"")</f>
        <v/>
      </c>
      <c r="BF961" s="4" t="str">
        <f>IFERROR(__xludf.DUMMYFUNCTION("""COMPUTED_VALUE"""),"")</f>
        <v/>
      </c>
      <c r="BG961" s="4" t="str">
        <f>IFERROR(__xludf.DUMMYFUNCTION("""COMPUTED_VALUE"""),"")</f>
        <v/>
      </c>
      <c r="BH961" s="4" t="s">
        <v>64</v>
      </c>
      <c r="BI961" s="7">
        <v>1.0</v>
      </c>
    </row>
    <row r="962" hidden="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t="str">
        <f>IFERROR(__xludf.DUMMYFUNCTION("""COMPUTED_VALUE"""),"")</f>
        <v/>
      </c>
      <c r="BB962" s="4" t="str">
        <f>IFERROR(__xludf.DUMMYFUNCTION("""COMPUTED_VALUE"""),"")</f>
        <v/>
      </c>
      <c r="BC962" s="4" t="str">
        <f>IFERROR(__xludf.DUMMYFUNCTION("""COMPUTED_VALUE"""),"")</f>
        <v/>
      </c>
      <c r="BD962" s="4" t="str">
        <f>IFERROR(__xludf.DUMMYFUNCTION("""COMPUTED_VALUE"""),"")</f>
        <v/>
      </c>
      <c r="BE962" s="4" t="str">
        <f>IFERROR(__xludf.DUMMYFUNCTION("""COMPUTED_VALUE"""),"")</f>
        <v/>
      </c>
      <c r="BF962" s="4" t="str">
        <f>IFERROR(__xludf.DUMMYFUNCTION("""COMPUTED_VALUE"""),"")</f>
        <v/>
      </c>
      <c r="BG962" s="4" t="str">
        <f>IFERROR(__xludf.DUMMYFUNCTION("""COMPUTED_VALUE"""),"")</f>
        <v/>
      </c>
      <c r="BH962" s="4" t="s">
        <v>64</v>
      </c>
      <c r="BI962" s="7">
        <v>1.0</v>
      </c>
    </row>
    <row r="963" hidden="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t="str">
        <f>IFERROR(__xludf.DUMMYFUNCTION("""COMPUTED_VALUE"""),"")</f>
        <v/>
      </c>
      <c r="BB963" s="4" t="str">
        <f>IFERROR(__xludf.DUMMYFUNCTION("""COMPUTED_VALUE"""),"")</f>
        <v/>
      </c>
      <c r="BC963" s="4" t="str">
        <f>IFERROR(__xludf.DUMMYFUNCTION("""COMPUTED_VALUE"""),"")</f>
        <v/>
      </c>
      <c r="BD963" s="4" t="str">
        <f>IFERROR(__xludf.DUMMYFUNCTION("""COMPUTED_VALUE"""),"")</f>
        <v/>
      </c>
      <c r="BE963" s="4" t="str">
        <f>IFERROR(__xludf.DUMMYFUNCTION("""COMPUTED_VALUE"""),"")</f>
        <v/>
      </c>
      <c r="BF963" s="4" t="str">
        <f>IFERROR(__xludf.DUMMYFUNCTION("""COMPUTED_VALUE"""),"")</f>
        <v/>
      </c>
      <c r="BG963" s="4" t="str">
        <f>IFERROR(__xludf.DUMMYFUNCTION("""COMPUTED_VALUE"""),"")</f>
        <v/>
      </c>
      <c r="BH963" s="4" t="s">
        <v>64</v>
      </c>
      <c r="BI963" s="7">
        <v>1.0</v>
      </c>
    </row>
    <row r="964" hidden="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t="str">
        <f>IFERROR(__xludf.DUMMYFUNCTION("""COMPUTED_VALUE"""),"")</f>
        <v/>
      </c>
      <c r="BB964" s="4" t="str">
        <f>IFERROR(__xludf.DUMMYFUNCTION("""COMPUTED_VALUE"""),"")</f>
        <v/>
      </c>
      <c r="BC964" s="4" t="str">
        <f>IFERROR(__xludf.DUMMYFUNCTION("""COMPUTED_VALUE"""),"")</f>
        <v/>
      </c>
      <c r="BD964" s="4" t="str">
        <f>IFERROR(__xludf.DUMMYFUNCTION("""COMPUTED_VALUE"""),"")</f>
        <v/>
      </c>
      <c r="BE964" s="4" t="str">
        <f>IFERROR(__xludf.DUMMYFUNCTION("""COMPUTED_VALUE"""),"")</f>
        <v/>
      </c>
      <c r="BF964" s="4" t="str">
        <f>IFERROR(__xludf.DUMMYFUNCTION("""COMPUTED_VALUE"""),"")</f>
        <v/>
      </c>
      <c r="BG964" s="4" t="str">
        <f>IFERROR(__xludf.DUMMYFUNCTION("""COMPUTED_VALUE"""),"")</f>
        <v/>
      </c>
      <c r="BH964" s="4" t="s">
        <v>64</v>
      </c>
      <c r="BI964" s="7">
        <v>1.0</v>
      </c>
    </row>
    <row r="965" hidden="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t="str">
        <f>IFERROR(__xludf.DUMMYFUNCTION("""COMPUTED_VALUE"""),"")</f>
        <v/>
      </c>
      <c r="BB965" s="4" t="str">
        <f>IFERROR(__xludf.DUMMYFUNCTION("""COMPUTED_VALUE"""),"")</f>
        <v/>
      </c>
      <c r="BC965" s="4" t="str">
        <f>IFERROR(__xludf.DUMMYFUNCTION("""COMPUTED_VALUE"""),"")</f>
        <v/>
      </c>
      <c r="BD965" s="4" t="str">
        <f>IFERROR(__xludf.DUMMYFUNCTION("""COMPUTED_VALUE"""),"")</f>
        <v/>
      </c>
      <c r="BE965" s="4" t="str">
        <f>IFERROR(__xludf.DUMMYFUNCTION("""COMPUTED_VALUE"""),"")</f>
        <v/>
      </c>
      <c r="BF965" s="4" t="str">
        <f>IFERROR(__xludf.DUMMYFUNCTION("""COMPUTED_VALUE"""),"")</f>
        <v/>
      </c>
      <c r="BG965" s="4" t="str">
        <f>IFERROR(__xludf.DUMMYFUNCTION("""COMPUTED_VALUE"""),"")</f>
        <v/>
      </c>
      <c r="BH965" s="4" t="s">
        <v>64</v>
      </c>
      <c r="BI965" s="7">
        <v>1.0</v>
      </c>
    </row>
    <row r="966" hidden="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t="str">
        <f>IFERROR(__xludf.DUMMYFUNCTION("""COMPUTED_VALUE"""),"")</f>
        <v/>
      </c>
      <c r="BB966" s="4" t="str">
        <f>IFERROR(__xludf.DUMMYFUNCTION("""COMPUTED_VALUE"""),"")</f>
        <v/>
      </c>
      <c r="BC966" s="4" t="str">
        <f>IFERROR(__xludf.DUMMYFUNCTION("""COMPUTED_VALUE"""),"")</f>
        <v/>
      </c>
      <c r="BD966" s="4" t="str">
        <f>IFERROR(__xludf.DUMMYFUNCTION("""COMPUTED_VALUE"""),"")</f>
        <v/>
      </c>
      <c r="BE966" s="4" t="str">
        <f>IFERROR(__xludf.DUMMYFUNCTION("""COMPUTED_VALUE"""),"")</f>
        <v/>
      </c>
      <c r="BF966" s="4" t="str">
        <f>IFERROR(__xludf.DUMMYFUNCTION("""COMPUTED_VALUE"""),"")</f>
        <v/>
      </c>
      <c r="BG966" s="4" t="str">
        <f>IFERROR(__xludf.DUMMYFUNCTION("""COMPUTED_VALUE"""),"")</f>
        <v/>
      </c>
      <c r="BH966" s="4" t="s">
        <v>64</v>
      </c>
      <c r="BI966" s="7">
        <v>1.0</v>
      </c>
    </row>
    <row r="967" hidden="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t="str">
        <f>IFERROR(__xludf.DUMMYFUNCTION("""COMPUTED_VALUE"""),"")</f>
        <v/>
      </c>
      <c r="BB967" s="4" t="str">
        <f>IFERROR(__xludf.DUMMYFUNCTION("""COMPUTED_VALUE"""),"")</f>
        <v/>
      </c>
      <c r="BC967" s="4" t="str">
        <f>IFERROR(__xludf.DUMMYFUNCTION("""COMPUTED_VALUE"""),"")</f>
        <v/>
      </c>
      <c r="BD967" s="4" t="str">
        <f>IFERROR(__xludf.DUMMYFUNCTION("""COMPUTED_VALUE"""),"")</f>
        <v/>
      </c>
      <c r="BE967" s="4" t="str">
        <f>IFERROR(__xludf.DUMMYFUNCTION("""COMPUTED_VALUE"""),"")</f>
        <v/>
      </c>
      <c r="BF967" s="4" t="str">
        <f>IFERROR(__xludf.DUMMYFUNCTION("""COMPUTED_VALUE"""),"")</f>
        <v/>
      </c>
      <c r="BG967" s="4" t="str">
        <f>IFERROR(__xludf.DUMMYFUNCTION("""COMPUTED_VALUE"""),"")</f>
        <v/>
      </c>
      <c r="BH967" s="4" t="s">
        <v>64</v>
      </c>
      <c r="BI967" s="7">
        <v>1.0</v>
      </c>
    </row>
    <row r="968" hidden="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t="str">
        <f>IFERROR(__xludf.DUMMYFUNCTION("""COMPUTED_VALUE"""),"")</f>
        <v/>
      </c>
      <c r="BB968" s="4" t="str">
        <f>IFERROR(__xludf.DUMMYFUNCTION("""COMPUTED_VALUE"""),"")</f>
        <v/>
      </c>
      <c r="BC968" s="4" t="str">
        <f>IFERROR(__xludf.DUMMYFUNCTION("""COMPUTED_VALUE"""),"")</f>
        <v/>
      </c>
      <c r="BD968" s="4" t="str">
        <f>IFERROR(__xludf.DUMMYFUNCTION("""COMPUTED_VALUE"""),"")</f>
        <v/>
      </c>
      <c r="BE968" s="4" t="str">
        <f>IFERROR(__xludf.DUMMYFUNCTION("""COMPUTED_VALUE"""),"")</f>
        <v/>
      </c>
      <c r="BF968" s="4" t="str">
        <f>IFERROR(__xludf.DUMMYFUNCTION("""COMPUTED_VALUE"""),"")</f>
        <v/>
      </c>
      <c r="BG968" s="4" t="str">
        <f>IFERROR(__xludf.DUMMYFUNCTION("""COMPUTED_VALUE"""),"")</f>
        <v/>
      </c>
      <c r="BH968" s="4" t="s">
        <v>64</v>
      </c>
      <c r="BI968" s="7">
        <v>1.0</v>
      </c>
    </row>
    <row r="969" hidden="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t="str">
        <f>IFERROR(__xludf.DUMMYFUNCTION("""COMPUTED_VALUE"""),"")</f>
        <v/>
      </c>
      <c r="BB969" s="4" t="str">
        <f>IFERROR(__xludf.DUMMYFUNCTION("""COMPUTED_VALUE"""),"")</f>
        <v/>
      </c>
      <c r="BC969" s="4" t="str">
        <f>IFERROR(__xludf.DUMMYFUNCTION("""COMPUTED_VALUE"""),"")</f>
        <v/>
      </c>
      <c r="BD969" s="4" t="str">
        <f>IFERROR(__xludf.DUMMYFUNCTION("""COMPUTED_VALUE"""),"")</f>
        <v/>
      </c>
      <c r="BE969" s="4" t="str">
        <f>IFERROR(__xludf.DUMMYFUNCTION("""COMPUTED_VALUE"""),"")</f>
        <v/>
      </c>
      <c r="BF969" s="4" t="str">
        <f>IFERROR(__xludf.DUMMYFUNCTION("""COMPUTED_VALUE"""),"")</f>
        <v/>
      </c>
      <c r="BG969" s="4" t="str">
        <f>IFERROR(__xludf.DUMMYFUNCTION("""COMPUTED_VALUE"""),"")</f>
        <v/>
      </c>
      <c r="BH969" s="4" t="s">
        <v>64</v>
      </c>
      <c r="BI969" s="7">
        <v>1.0</v>
      </c>
    </row>
    <row r="970" hidden="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t="str">
        <f>IFERROR(__xludf.DUMMYFUNCTION("""COMPUTED_VALUE"""),"")</f>
        <v/>
      </c>
      <c r="BB970" s="4" t="str">
        <f>IFERROR(__xludf.DUMMYFUNCTION("""COMPUTED_VALUE"""),"")</f>
        <v/>
      </c>
      <c r="BC970" s="4" t="str">
        <f>IFERROR(__xludf.DUMMYFUNCTION("""COMPUTED_VALUE"""),"")</f>
        <v/>
      </c>
      <c r="BD970" s="4" t="str">
        <f>IFERROR(__xludf.DUMMYFUNCTION("""COMPUTED_VALUE"""),"")</f>
        <v/>
      </c>
      <c r="BE970" s="4" t="str">
        <f>IFERROR(__xludf.DUMMYFUNCTION("""COMPUTED_VALUE"""),"")</f>
        <v/>
      </c>
      <c r="BF970" s="4" t="str">
        <f>IFERROR(__xludf.DUMMYFUNCTION("""COMPUTED_VALUE"""),"")</f>
        <v/>
      </c>
      <c r="BG970" s="4" t="str">
        <f>IFERROR(__xludf.DUMMYFUNCTION("""COMPUTED_VALUE"""),"")</f>
        <v/>
      </c>
      <c r="BH970" s="4" t="s">
        <v>64</v>
      </c>
      <c r="BI970" s="7">
        <v>1.0</v>
      </c>
    </row>
    <row r="971" hidden="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t="str">
        <f>IFERROR(__xludf.DUMMYFUNCTION("""COMPUTED_VALUE"""),"")</f>
        <v/>
      </c>
      <c r="BB971" s="4" t="str">
        <f>IFERROR(__xludf.DUMMYFUNCTION("""COMPUTED_VALUE"""),"")</f>
        <v/>
      </c>
      <c r="BC971" s="4" t="str">
        <f>IFERROR(__xludf.DUMMYFUNCTION("""COMPUTED_VALUE"""),"")</f>
        <v/>
      </c>
      <c r="BD971" s="4" t="str">
        <f>IFERROR(__xludf.DUMMYFUNCTION("""COMPUTED_VALUE"""),"")</f>
        <v/>
      </c>
      <c r="BE971" s="4" t="str">
        <f>IFERROR(__xludf.DUMMYFUNCTION("""COMPUTED_VALUE"""),"")</f>
        <v/>
      </c>
      <c r="BF971" s="4" t="str">
        <f>IFERROR(__xludf.DUMMYFUNCTION("""COMPUTED_VALUE"""),"")</f>
        <v/>
      </c>
      <c r="BG971" s="4" t="str">
        <f>IFERROR(__xludf.DUMMYFUNCTION("""COMPUTED_VALUE"""),"")</f>
        <v/>
      </c>
      <c r="BH971" s="4" t="s">
        <v>64</v>
      </c>
      <c r="BI971" s="7">
        <v>1.0</v>
      </c>
    </row>
    <row r="972" hidden="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t="str">
        <f>IFERROR(__xludf.DUMMYFUNCTION("""COMPUTED_VALUE"""),"")</f>
        <v/>
      </c>
      <c r="BB972" s="4" t="str">
        <f>IFERROR(__xludf.DUMMYFUNCTION("""COMPUTED_VALUE"""),"")</f>
        <v/>
      </c>
      <c r="BC972" s="4" t="str">
        <f>IFERROR(__xludf.DUMMYFUNCTION("""COMPUTED_VALUE"""),"")</f>
        <v/>
      </c>
      <c r="BD972" s="4" t="str">
        <f>IFERROR(__xludf.DUMMYFUNCTION("""COMPUTED_VALUE"""),"")</f>
        <v/>
      </c>
      <c r="BE972" s="4" t="str">
        <f>IFERROR(__xludf.DUMMYFUNCTION("""COMPUTED_VALUE"""),"")</f>
        <v/>
      </c>
      <c r="BF972" s="4" t="str">
        <f>IFERROR(__xludf.DUMMYFUNCTION("""COMPUTED_VALUE"""),"")</f>
        <v/>
      </c>
      <c r="BG972" s="4" t="str">
        <f>IFERROR(__xludf.DUMMYFUNCTION("""COMPUTED_VALUE"""),"")</f>
        <v/>
      </c>
      <c r="BH972" s="4" t="s">
        <v>64</v>
      </c>
      <c r="BI972" s="7">
        <v>1.0</v>
      </c>
    </row>
    <row r="973" hidden="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t="str">
        <f>IFERROR(__xludf.DUMMYFUNCTION("""COMPUTED_VALUE"""),"")</f>
        <v/>
      </c>
      <c r="BB973" s="4" t="str">
        <f>IFERROR(__xludf.DUMMYFUNCTION("""COMPUTED_VALUE"""),"")</f>
        <v/>
      </c>
      <c r="BC973" s="4" t="str">
        <f>IFERROR(__xludf.DUMMYFUNCTION("""COMPUTED_VALUE"""),"")</f>
        <v/>
      </c>
      <c r="BD973" s="4" t="str">
        <f>IFERROR(__xludf.DUMMYFUNCTION("""COMPUTED_VALUE"""),"")</f>
        <v/>
      </c>
      <c r="BE973" s="4" t="str">
        <f>IFERROR(__xludf.DUMMYFUNCTION("""COMPUTED_VALUE"""),"")</f>
        <v/>
      </c>
      <c r="BF973" s="4" t="str">
        <f>IFERROR(__xludf.DUMMYFUNCTION("""COMPUTED_VALUE"""),"")</f>
        <v/>
      </c>
      <c r="BG973" s="4" t="str">
        <f>IFERROR(__xludf.DUMMYFUNCTION("""COMPUTED_VALUE"""),"")</f>
        <v/>
      </c>
      <c r="BH973" s="4" t="s">
        <v>64</v>
      </c>
      <c r="BI973" s="7">
        <v>1.0</v>
      </c>
    </row>
    <row r="974" hidden="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t="str">
        <f>IFERROR(__xludf.DUMMYFUNCTION("""COMPUTED_VALUE"""),"")</f>
        <v/>
      </c>
      <c r="BB974" s="4" t="str">
        <f>IFERROR(__xludf.DUMMYFUNCTION("""COMPUTED_VALUE"""),"")</f>
        <v/>
      </c>
      <c r="BC974" s="4" t="str">
        <f>IFERROR(__xludf.DUMMYFUNCTION("""COMPUTED_VALUE"""),"")</f>
        <v/>
      </c>
      <c r="BD974" s="4" t="str">
        <f>IFERROR(__xludf.DUMMYFUNCTION("""COMPUTED_VALUE"""),"")</f>
        <v/>
      </c>
      <c r="BE974" s="4" t="str">
        <f>IFERROR(__xludf.DUMMYFUNCTION("""COMPUTED_VALUE"""),"")</f>
        <v/>
      </c>
      <c r="BF974" s="4" t="str">
        <f>IFERROR(__xludf.DUMMYFUNCTION("""COMPUTED_VALUE"""),"")</f>
        <v/>
      </c>
      <c r="BG974" s="4" t="str">
        <f>IFERROR(__xludf.DUMMYFUNCTION("""COMPUTED_VALUE"""),"")</f>
        <v/>
      </c>
      <c r="BH974" s="4" t="s">
        <v>64</v>
      </c>
      <c r="BI974" s="7">
        <v>1.0</v>
      </c>
    </row>
    <row r="975" hidden="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t="str">
        <f>IFERROR(__xludf.DUMMYFUNCTION("""COMPUTED_VALUE"""),"")</f>
        <v/>
      </c>
      <c r="BB975" s="4" t="str">
        <f>IFERROR(__xludf.DUMMYFUNCTION("""COMPUTED_VALUE"""),"")</f>
        <v/>
      </c>
      <c r="BC975" s="4" t="str">
        <f>IFERROR(__xludf.DUMMYFUNCTION("""COMPUTED_VALUE"""),"")</f>
        <v/>
      </c>
      <c r="BD975" s="4" t="str">
        <f>IFERROR(__xludf.DUMMYFUNCTION("""COMPUTED_VALUE"""),"")</f>
        <v/>
      </c>
      <c r="BE975" s="4" t="str">
        <f>IFERROR(__xludf.DUMMYFUNCTION("""COMPUTED_VALUE"""),"")</f>
        <v/>
      </c>
      <c r="BF975" s="4" t="str">
        <f>IFERROR(__xludf.DUMMYFUNCTION("""COMPUTED_VALUE"""),"")</f>
        <v/>
      </c>
      <c r="BG975" s="4" t="str">
        <f>IFERROR(__xludf.DUMMYFUNCTION("""COMPUTED_VALUE"""),"")</f>
        <v/>
      </c>
      <c r="BH975" s="4" t="s">
        <v>64</v>
      </c>
      <c r="BI975" s="7">
        <v>1.0</v>
      </c>
    </row>
    <row r="976" hidden="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t="str">
        <f>IFERROR(__xludf.DUMMYFUNCTION("""COMPUTED_VALUE"""),"")</f>
        <v/>
      </c>
      <c r="BB976" s="4" t="str">
        <f>IFERROR(__xludf.DUMMYFUNCTION("""COMPUTED_VALUE"""),"")</f>
        <v/>
      </c>
      <c r="BC976" s="4" t="str">
        <f>IFERROR(__xludf.DUMMYFUNCTION("""COMPUTED_VALUE"""),"")</f>
        <v/>
      </c>
      <c r="BD976" s="4" t="str">
        <f>IFERROR(__xludf.DUMMYFUNCTION("""COMPUTED_VALUE"""),"")</f>
        <v/>
      </c>
      <c r="BE976" s="4" t="str">
        <f>IFERROR(__xludf.DUMMYFUNCTION("""COMPUTED_VALUE"""),"")</f>
        <v/>
      </c>
      <c r="BF976" s="4" t="str">
        <f>IFERROR(__xludf.DUMMYFUNCTION("""COMPUTED_VALUE"""),"")</f>
        <v/>
      </c>
      <c r="BG976" s="4" t="str">
        <f>IFERROR(__xludf.DUMMYFUNCTION("""COMPUTED_VALUE"""),"")</f>
        <v/>
      </c>
      <c r="BH976" s="4" t="s">
        <v>64</v>
      </c>
      <c r="BI976" s="7">
        <v>1.0</v>
      </c>
    </row>
    <row r="977" hidden="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t="str">
        <f>IFERROR(__xludf.DUMMYFUNCTION("""COMPUTED_VALUE"""),"")</f>
        <v/>
      </c>
      <c r="BB977" s="4" t="str">
        <f>IFERROR(__xludf.DUMMYFUNCTION("""COMPUTED_VALUE"""),"")</f>
        <v/>
      </c>
      <c r="BC977" s="4" t="str">
        <f>IFERROR(__xludf.DUMMYFUNCTION("""COMPUTED_VALUE"""),"")</f>
        <v/>
      </c>
      <c r="BD977" s="4" t="str">
        <f>IFERROR(__xludf.DUMMYFUNCTION("""COMPUTED_VALUE"""),"")</f>
        <v/>
      </c>
      <c r="BE977" s="4" t="str">
        <f>IFERROR(__xludf.DUMMYFUNCTION("""COMPUTED_VALUE"""),"")</f>
        <v/>
      </c>
      <c r="BF977" s="4" t="str">
        <f>IFERROR(__xludf.DUMMYFUNCTION("""COMPUTED_VALUE"""),"")</f>
        <v/>
      </c>
      <c r="BG977" s="4" t="str">
        <f>IFERROR(__xludf.DUMMYFUNCTION("""COMPUTED_VALUE"""),"")</f>
        <v/>
      </c>
      <c r="BH977" s="4" t="s">
        <v>64</v>
      </c>
      <c r="BI977" s="7">
        <v>1.0</v>
      </c>
    </row>
    <row r="978" hidden="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t="str">
        <f>IFERROR(__xludf.DUMMYFUNCTION("""COMPUTED_VALUE"""),"")</f>
        <v/>
      </c>
      <c r="BB978" s="4" t="str">
        <f>IFERROR(__xludf.DUMMYFUNCTION("""COMPUTED_VALUE"""),"")</f>
        <v/>
      </c>
      <c r="BC978" s="4" t="str">
        <f>IFERROR(__xludf.DUMMYFUNCTION("""COMPUTED_VALUE"""),"")</f>
        <v/>
      </c>
      <c r="BD978" s="4" t="str">
        <f>IFERROR(__xludf.DUMMYFUNCTION("""COMPUTED_VALUE"""),"")</f>
        <v/>
      </c>
      <c r="BE978" s="4" t="str">
        <f>IFERROR(__xludf.DUMMYFUNCTION("""COMPUTED_VALUE"""),"")</f>
        <v/>
      </c>
      <c r="BF978" s="4" t="str">
        <f>IFERROR(__xludf.DUMMYFUNCTION("""COMPUTED_VALUE"""),"")</f>
        <v/>
      </c>
      <c r="BG978" s="4" t="str">
        <f>IFERROR(__xludf.DUMMYFUNCTION("""COMPUTED_VALUE"""),"")</f>
        <v/>
      </c>
      <c r="BH978" s="4" t="s">
        <v>64</v>
      </c>
      <c r="BI978" s="7">
        <v>1.0</v>
      </c>
    </row>
    <row r="979" hidden="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t="str">
        <f>IFERROR(__xludf.DUMMYFUNCTION("""COMPUTED_VALUE"""),"")</f>
        <v/>
      </c>
      <c r="BB979" s="4" t="str">
        <f>IFERROR(__xludf.DUMMYFUNCTION("""COMPUTED_VALUE"""),"")</f>
        <v/>
      </c>
      <c r="BC979" s="4" t="str">
        <f>IFERROR(__xludf.DUMMYFUNCTION("""COMPUTED_VALUE"""),"")</f>
        <v/>
      </c>
      <c r="BD979" s="4" t="str">
        <f>IFERROR(__xludf.DUMMYFUNCTION("""COMPUTED_VALUE"""),"")</f>
        <v/>
      </c>
      <c r="BE979" s="4" t="str">
        <f>IFERROR(__xludf.DUMMYFUNCTION("""COMPUTED_VALUE"""),"")</f>
        <v/>
      </c>
      <c r="BF979" s="4" t="str">
        <f>IFERROR(__xludf.DUMMYFUNCTION("""COMPUTED_VALUE"""),"")</f>
        <v/>
      </c>
      <c r="BG979" s="4" t="str">
        <f>IFERROR(__xludf.DUMMYFUNCTION("""COMPUTED_VALUE"""),"")</f>
        <v/>
      </c>
      <c r="BH979" s="4" t="s">
        <v>64</v>
      </c>
      <c r="BI979" s="7">
        <v>1.0</v>
      </c>
    </row>
    <row r="980" hidden="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t="str">
        <f>IFERROR(__xludf.DUMMYFUNCTION("""COMPUTED_VALUE"""),"")</f>
        <v/>
      </c>
      <c r="BB980" s="4" t="str">
        <f>IFERROR(__xludf.DUMMYFUNCTION("""COMPUTED_VALUE"""),"")</f>
        <v/>
      </c>
      <c r="BC980" s="4" t="str">
        <f>IFERROR(__xludf.DUMMYFUNCTION("""COMPUTED_VALUE"""),"")</f>
        <v/>
      </c>
      <c r="BD980" s="4" t="str">
        <f>IFERROR(__xludf.DUMMYFUNCTION("""COMPUTED_VALUE"""),"")</f>
        <v/>
      </c>
      <c r="BE980" s="4" t="str">
        <f>IFERROR(__xludf.DUMMYFUNCTION("""COMPUTED_VALUE"""),"")</f>
        <v/>
      </c>
      <c r="BF980" s="4" t="str">
        <f>IFERROR(__xludf.DUMMYFUNCTION("""COMPUTED_VALUE"""),"")</f>
        <v/>
      </c>
      <c r="BG980" s="4" t="str">
        <f>IFERROR(__xludf.DUMMYFUNCTION("""COMPUTED_VALUE"""),"")</f>
        <v/>
      </c>
      <c r="BH980" s="4" t="s">
        <v>64</v>
      </c>
      <c r="BI980" s="7">
        <v>1.0</v>
      </c>
    </row>
    <row r="981" hidden="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t="str">
        <f>IFERROR(__xludf.DUMMYFUNCTION("""COMPUTED_VALUE"""),"")</f>
        <v/>
      </c>
      <c r="BB981" s="4" t="str">
        <f>IFERROR(__xludf.DUMMYFUNCTION("""COMPUTED_VALUE"""),"")</f>
        <v/>
      </c>
      <c r="BC981" s="4" t="str">
        <f>IFERROR(__xludf.DUMMYFUNCTION("""COMPUTED_VALUE"""),"")</f>
        <v/>
      </c>
      <c r="BD981" s="4" t="str">
        <f>IFERROR(__xludf.DUMMYFUNCTION("""COMPUTED_VALUE"""),"")</f>
        <v/>
      </c>
      <c r="BE981" s="4" t="str">
        <f>IFERROR(__xludf.DUMMYFUNCTION("""COMPUTED_VALUE"""),"")</f>
        <v/>
      </c>
      <c r="BF981" s="4" t="str">
        <f>IFERROR(__xludf.DUMMYFUNCTION("""COMPUTED_VALUE"""),"")</f>
        <v/>
      </c>
      <c r="BG981" s="4" t="str">
        <f>IFERROR(__xludf.DUMMYFUNCTION("""COMPUTED_VALUE"""),"")</f>
        <v/>
      </c>
      <c r="BH981" s="4" t="s">
        <v>64</v>
      </c>
      <c r="BI981" s="7">
        <v>1.0</v>
      </c>
    </row>
    <row r="982" hidden="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t="str">
        <f>IFERROR(__xludf.DUMMYFUNCTION("""COMPUTED_VALUE"""),"")</f>
        <v/>
      </c>
      <c r="BB982" s="4" t="str">
        <f>IFERROR(__xludf.DUMMYFUNCTION("""COMPUTED_VALUE"""),"")</f>
        <v/>
      </c>
      <c r="BC982" s="4" t="str">
        <f>IFERROR(__xludf.DUMMYFUNCTION("""COMPUTED_VALUE"""),"")</f>
        <v/>
      </c>
      <c r="BD982" s="4" t="str">
        <f>IFERROR(__xludf.DUMMYFUNCTION("""COMPUTED_VALUE"""),"")</f>
        <v/>
      </c>
      <c r="BE982" s="4" t="str">
        <f>IFERROR(__xludf.DUMMYFUNCTION("""COMPUTED_VALUE"""),"")</f>
        <v/>
      </c>
      <c r="BF982" s="4" t="str">
        <f>IFERROR(__xludf.DUMMYFUNCTION("""COMPUTED_VALUE"""),"")</f>
        <v/>
      </c>
      <c r="BG982" s="4" t="str">
        <f>IFERROR(__xludf.DUMMYFUNCTION("""COMPUTED_VALUE"""),"")</f>
        <v/>
      </c>
      <c r="BH982" s="4" t="s">
        <v>64</v>
      </c>
      <c r="BI982" s="7">
        <v>1.0</v>
      </c>
    </row>
    <row r="983" hidden="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t="str">
        <f>IFERROR(__xludf.DUMMYFUNCTION("""COMPUTED_VALUE"""),"")</f>
        <v/>
      </c>
      <c r="BB983" s="4" t="str">
        <f>IFERROR(__xludf.DUMMYFUNCTION("""COMPUTED_VALUE"""),"")</f>
        <v/>
      </c>
      <c r="BC983" s="4" t="str">
        <f>IFERROR(__xludf.DUMMYFUNCTION("""COMPUTED_VALUE"""),"")</f>
        <v/>
      </c>
      <c r="BD983" s="4" t="str">
        <f>IFERROR(__xludf.DUMMYFUNCTION("""COMPUTED_VALUE"""),"")</f>
        <v/>
      </c>
      <c r="BE983" s="4" t="str">
        <f>IFERROR(__xludf.DUMMYFUNCTION("""COMPUTED_VALUE"""),"")</f>
        <v/>
      </c>
      <c r="BF983" s="4" t="str">
        <f>IFERROR(__xludf.DUMMYFUNCTION("""COMPUTED_VALUE"""),"")</f>
        <v/>
      </c>
      <c r="BG983" s="4" t="str">
        <f>IFERROR(__xludf.DUMMYFUNCTION("""COMPUTED_VALUE"""),"")</f>
        <v/>
      </c>
      <c r="BH983" s="4" t="s">
        <v>64</v>
      </c>
      <c r="BI983" s="7">
        <v>1.0</v>
      </c>
    </row>
    <row r="984" hidden="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t="str">
        <f>IFERROR(__xludf.DUMMYFUNCTION("""COMPUTED_VALUE"""),"")</f>
        <v/>
      </c>
      <c r="BB984" s="4" t="str">
        <f>IFERROR(__xludf.DUMMYFUNCTION("""COMPUTED_VALUE"""),"")</f>
        <v/>
      </c>
      <c r="BC984" s="4" t="str">
        <f>IFERROR(__xludf.DUMMYFUNCTION("""COMPUTED_VALUE"""),"")</f>
        <v/>
      </c>
      <c r="BD984" s="4" t="str">
        <f>IFERROR(__xludf.DUMMYFUNCTION("""COMPUTED_VALUE"""),"")</f>
        <v/>
      </c>
      <c r="BE984" s="4" t="str">
        <f>IFERROR(__xludf.DUMMYFUNCTION("""COMPUTED_VALUE"""),"")</f>
        <v/>
      </c>
      <c r="BF984" s="4" t="str">
        <f>IFERROR(__xludf.DUMMYFUNCTION("""COMPUTED_VALUE"""),"")</f>
        <v/>
      </c>
      <c r="BG984" s="4" t="str">
        <f>IFERROR(__xludf.DUMMYFUNCTION("""COMPUTED_VALUE"""),"")</f>
        <v/>
      </c>
      <c r="BH984" s="4" t="s">
        <v>64</v>
      </c>
      <c r="BI984" s="7">
        <v>1.0</v>
      </c>
    </row>
    <row r="985" hidden="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t="str">
        <f>IFERROR(__xludf.DUMMYFUNCTION("""COMPUTED_VALUE"""),"")</f>
        <v/>
      </c>
      <c r="BB985" s="4" t="str">
        <f>IFERROR(__xludf.DUMMYFUNCTION("""COMPUTED_VALUE"""),"")</f>
        <v/>
      </c>
      <c r="BC985" s="4" t="str">
        <f>IFERROR(__xludf.DUMMYFUNCTION("""COMPUTED_VALUE"""),"")</f>
        <v/>
      </c>
      <c r="BD985" s="4" t="str">
        <f>IFERROR(__xludf.DUMMYFUNCTION("""COMPUTED_VALUE"""),"")</f>
        <v/>
      </c>
      <c r="BE985" s="4" t="str">
        <f>IFERROR(__xludf.DUMMYFUNCTION("""COMPUTED_VALUE"""),"")</f>
        <v/>
      </c>
      <c r="BF985" s="4" t="str">
        <f>IFERROR(__xludf.DUMMYFUNCTION("""COMPUTED_VALUE"""),"")</f>
        <v/>
      </c>
      <c r="BG985" s="4" t="str">
        <f>IFERROR(__xludf.DUMMYFUNCTION("""COMPUTED_VALUE"""),"")</f>
        <v/>
      </c>
      <c r="BH985" s="4" t="s">
        <v>64</v>
      </c>
      <c r="BI985" s="7">
        <v>1.0</v>
      </c>
    </row>
    <row r="986" hidden="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t="str">
        <f>IFERROR(__xludf.DUMMYFUNCTION("""COMPUTED_VALUE"""),"")</f>
        <v/>
      </c>
      <c r="BB986" s="4" t="str">
        <f>IFERROR(__xludf.DUMMYFUNCTION("""COMPUTED_VALUE"""),"")</f>
        <v/>
      </c>
      <c r="BC986" s="4" t="str">
        <f>IFERROR(__xludf.DUMMYFUNCTION("""COMPUTED_VALUE"""),"")</f>
        <v/>
      </c>
      <c r="BD986" s="4" t="str">
        <f>IFERROR(__xludf.DUMMYFUNCTION("""COMPUTED_VALUE"""),"")</f>
        <v/>
      </c>
      <c r="BE986" s="4" t="str">
        <f>IFERROR(__xludf.DUMMYFUNCTION("""COMPUTED_VALUE"""),"")</f>
        <v/>
      </c>
      <c r="BF986" s="4" t="str">
        <f>IFERROR(__xludf.DUMMYFUNCTION("""COMPUTED_VALUE"""),"")</f>
        <v/>
      </c>
      <c r="BG986" s="4" t="str">
        <f>IFERROR(__xludf.DUMMYFUNCTION("""COMPUTED_VALUE"""),"")</f>
        <v/>
      </c>
      <c r="BH986" s="4" t="s">
        <v>64</v>
      </c>
      <c r="BI986" s="7">
        <v>1.0</v>
      </c>
    </row>
    <row r="987" hidden="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t="str">
        <f>IFERROR(__xludf.DUMMYFUNCTION("""COMPUTED_VALUE"""),"")</f>
        <v/>
      </c>
      <c r="BB987" s="4" t="str">
        <f>IFERROR(__xludf.DUMMYFUNCTION("""COMPUTED_VALUE"""),"")</f>
        <v/>
      </c>
      <c r="BC987" s="4" t="str">
        <f>IFERROR(__xludf.DUMMYFUNCTION("""COMPUTED_VALUE"""),"")</f>
        <v/>
      </c>
      <c r="BD987" s="4" t="str">
        <f>IFERROR(__xludf.DUMMYFUNCTION("""COMPUTED_VALUE"""),"")</f>
        <v/>
      </c>
      <c r="BE987" s="4" t="str">
        <f>IFERROR(__xludf.DUMMYFUNCTION("""COMPUTED_VALUE"""),"")</f>
        <v/>
      </c>
      <c r="BF987" s="4" t="str">
        <f>IFERROR(__xludf.DUMMYFUNCTION("""COMPUTED_VALUE"""),"")</f>
        <v/>
      </c>
      <c r="BG987" s="4" t="str">
        <f>IFERROR(__xludf.DUMMYFUNCTION("""COMPUTED_VALUE"""),"")</f>
        <v/>
      </c>
      <c r="BH987" s="4" t="s">
        <v>64</v>
      </c>
      <c r="BI987" s="7">
        <v>1.0</v>
      </c>
    </row>
    <row r="988" hidden="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t="str">
        <f>IFERROR(__xludf.DUMMYFUNCTION("""COMPUTED_VALUE"""),"")</f>
        <v/>
      </c>
      <c r="BB988" s="4" t="str">
        <f>IFERROR(__xludf.DUMMYFUNCTION("""COMPUTED_VALUE"""),"")</f>
        <v/>
      </c>
      <c r="BC988" s="4" t="str">
        <f>IFERROR(__xludf.DUMMYFUNCTION("""COMPUTED_VALUE"""),"")</f>
        <v/>
      </c>
      <c r="BD988" s="4" t="str">
        <f>IFERROR(__xludf.DUMMYFUNCTION("""COMPUTED_VALUE"""),"")</f>
        <v/>
      </c>
      <c r="BE988" s="4" t="str">
        <f>IFERROR(__xludf.DUMMYFUNCTION("""COMPUTED_VALUE"""),"")</f>
        <v/>
      </c>
      <c r="BF988" s="4" t="str">
        <f>IFERROR(__xludf.DUMMYFUNCTION("""COMPUTED_VALUE"""),"")</f>
        <v/>
      </c>
      <c r="BG988" s="4" t="str">
        <f>IFERROR(__xludf.DUMMYFUNCTION("""COMPUTED_VALUE"""),"")</f>
        <v/>
      </c>
      <c r="BH988" s="4" t="s">
        <v>64</v>
      </c>
      <c r="BI988" s="7">
        <v>1.0</v>
      </c>
    </row>
    <row r="989" hidden="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t="str">
        <f>IFERROR(__xludf.DUMMYFUNCTION("""COMPUTED_VALUE"""),"")</f>
        <v/>
      </c>
      <c r="BB989" s="4" t="str">
        <f>IFERROR(__xludf.DUMMYFUNCTION("""COMPUTED_VALUE"""),"")</f>
        <v/>
      </c>
      <c r="BC989" s="4" t="str">
        <f>IFERROR(__xludf.DUMMYFUNCTION("""COMPUTED_VALUE"""),"")</f>
        <v/>
      </c>
      <c r="BD989" s="4" t="str">
        <f>IFERROR(__xludf.DUMMYFUNCTION("""COMPUTED_VALUE"""),"")</f>
        <v/>
      </c>
      <c r="BE989" s="4" t="str">
        <f>IFERROR(__xludf.DUMMYFUNCTION("""COMPUTED_VALUE"""),"")</f>
        <v/>
      </c>
      <c r="BF989" s="4" t="str">
        <f>IFERROR(__xludf.DUMMYFUNCTION("""COMPUTED_VALUE"""),"")</f>
        <v/>
      </c>
      <c r="BG989" s="4" t="str">
        <f>IFERROR(__xludf.DUMMYFUNCTION("""COMPUTED_VALUE"""),"")</f>
        <v/>
      </c>
      <c r="BH989" s="4" t="s">
        <v>64</v>
      </c>
      <c r="BI989" s="7">
        <v>1.0</v>
      </c>
    </row>
    <row r="990" hidden="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t="str">
        <f>IFERROR(__xludf.DUMMYFUNCTION("""COMPUTED_VALUE"""),"")</f>
        <v/>
      </c>
      <c r="BB990" s="4" t="str">
        <f>IFERROR(__xludf.DUMMYFUNCTION("""COMPUTED_VALUE"""),"")</f>
        <v/>
      </c>
      <c r="BC990" s="4" t="str">
        <f>IFERROR(__xludf.DUMMYFUNCTION("""COMPUTED_VALUE"""),"")</f>
        <v/>
      </c>
      <c r="BD990" s="4" t="str">
        <f>IFERROR(__xludf.DUMMYFUNCTION("""COMPUTED_VALUE"""),"")</f>
        <v/>
      </c>
      <c r="BE990" s="4" t="str">
        <f>IFERROR(__xludf.DUMMYFUNCTION("""COMPUTED_VALUE"""),"")</f>
        <v/>
      </c>
      <c r="BF990" s="4" t="str">
        <f>IFERROR(__xludf.DUMMYFUNCTION("""COMPUTED_VALUE"""),"")</f>
        <v/>
      </c>
      <c r="BG990" s="4" t="str">
        <f>IFERROR(__xludf.DUMMYFUNCTION("""COMPUTED_VALUE"""),"")</f>
        <v/>
      </c>
      <c r="BH990" s="4" t="s">
        <v>64</v>
      </c>
      <c r="BI990" s="7">
        <v>1.0</v>
      </c>
    </row>
    <row r="991" hidden="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t="str">
        <f>IFERROR(__xludf.DUMMYFUNCTION("""COMPUTED_VALUE"""),"")</f>
        <v/>
      </c>
      <c r="BB991" s="4" t="str">
        <f>IFERROR(__xludf.DUMMYFUNCTION("""COMPUTED_VALUE"""),"")</f>
        <v/>
      </c>
      <c r="BC991" s="4" t="str">
        <f>IFERROR(__xludf.DUMMYFUNCTION("""COMPUTED_VALUE"""),"")</f>
        <v/>
      </c>
      <c r="BD991" s="4" t="str">
        <f>IFERROR(__xludf.DUMMYFUNCTION("""COMPUTED_VALUE"""),"")</f>
        <v/>
      </c>
      <c r="BE991" s="4" t="str">
        <f>IFERROR(__xludf.DUMMYFUNCTION("""COMPUTED_VALUE"""),"")</f>
        <v/>
      </c>
      <c r="BF991" s="4" t="str">
        <f>IFERROR(__xludf.DUMMYFUNCTION("""COMPUTED_VALUE"""),"")</f>
        <v/>
      </c>
      <c r="BG991" s="4" t="str">
        <f>IFERROR(__xludf.DUMMYFUNCTION("""COMPUTED_VALUE"""),"")</f>
        <v/>
      </c>
      <c r="BH991" s="4" t="s">
        <v>64</v>
      </c>
      <c r="BI991" s="7">
        <v>1.0</v>
      </c>
    </row>
    <row r="992" hidden="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t="str">
        <f>IFERROR(__xludf.DUMMYFUNCTION("""COMPUTED_VALUE"""),"")</f>
        <v/>
      </c>
      <c r="BB992" s="4" t="str">
        <f>IFERROR(__xludf.DUMMYFUNCTION("""COMPUTED_VALUE"""),"")</f>
        <v/>
      </c>
      <c r="BC992" s="4" t="str">
        <f>IFERROR(__xludf.DUMMYFUNCTION("""COMPUTED_VALUE"""),"")</f>
        <v/>
      </c>
      <c r="BD992" s="4" t="str">
        <f>IFERROR(__xludf.DUMMYFUNCTION("""COMPUTED_VALUE"""),"")</f>
        <v/>
      </c>
      <c r="BE992" s="4" t="str">
        <f>IFERROR(__xludf.DUMMYFUNCTION("""COMPUTED_VALUE"""),"")</f>
        <v/>
      </c>
      <c r="BF992" s="4" t="str">
        <f>IFERROR(__xludf.DUMMYFUNCTION("""COMPUTED_VALUE"""),"")</f>
        <v/>
      </c>
      <c r="BG992" s="4" t="str">
        <f>IFERROR(__xludf.DUMMYFUNCTION("""COMPUTED_VALUE"""),"")</f>
        <v/>
      </c>
      <c r="BH992" s="4" t="s">
        <v>64</v>
      </c>
      <c r="BI992" s="7">
        <v>1.0</v>
      </c>
    </row>
    <row r="993" hidden="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t="str">
        <f>IFERROR(__xludf.DUMMYFUNCTION("""COMPUTED_VALUE"""),"")</f>
        <v/>
      </c>
      <c r="BB993" s="4" t="str">
        <f>IFERROR(__xludf.DUMMYFUNCTION("""COMPUTED_VALUE"""),"")</f>
        <v/>
      </c>
      <c r="BC993" s="4" t="str">
        <f>IFERROR(__xludf.DUMMYFUNCTION("""COMPUTED_VALUE"""),"")</f>
        <v/>
      </c>
      <c r="BD993" s="4" t="str">
        <f>IFERROR(__xludf.DUMMYFUNCTION("""COMPUTED_VALUE"""),"")</f>
        <v/>
      </c>
      <c r="BE993" s="4" t="str">
        <f>IFERROR(__xludf.DUMMYFUNCTION("""COMPUTED_VALUE"""),"")</f>
        <v/>
      </c>
      <c r="BF993" s="4" t="str">
        <f>IFERROR(__xludf.DUMMYFUNCTION("""COMPUTED_VALUE"""),"")</f>
        <v/>
      </c>
      <c r="BG993" s="4" t="str">
        <f>IFERROR(__xludf.DUMMYFUNCTION("""COMPUTED_VALUE"""),"")</f>
        <v/>
      </c>
      <c r="BH993" s="4" t="s">
        <v>64</v>
      </c>
      <c r="BI993" s="7">
        <v>1.0</v>
      </c>
    </row>
    <row r="994" hidden="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t="str">
        <f>IFERROR(__xludf.DUMMYFUNCTION("""COMPUTED_VALUE"""),"")</f>
        <v/>
      </c>
      <c r="BB994" s="4" t="str">
        <f>IFERROR(__xludf.DUMMYFUNCTION("""COMPUTED_VALUE"""),"")</f>
        <v/>
      </c>
      <c r="BC994" s="4" t="str">
        <f>IFERROR(__xludf.DUMMYFUNCTION("""COMPUTED_VALUE"""),"")</f>
        <v/>
      </c>
      <c r="BD994" s="4" t="str">
        <f>IFERROR(__xludf.DUMMYFUNCTION("""COMPUTED_VALUE"""),"")</f>
        <v/>
      </c>
      <c r="BE994" s="4" t="str">
        <f>IFERROR(__xludf.DUMMYFUNCTION("""COMPUTED_VALUE"""),"")</f>
        <v/>
      </c>
      <c r="BF994" s="4" t="str">
        <f>IFERROR(__xludf.DUMMYFUNCTION("""COMPUTED_VALUE"""),"")</f>
        <v/>
      </c>
      <c r="BG994" s="4" t="str">
        <f>IFERROR(__xludf.DUMMYFUNCTION("""COMPUTED_VALUE"""),"")</f>
        <v/>
      </c>
      <c r="BH994" s="4" t="s">
        <v>64</v>
      </c>
      <c r="BI994" s="7">
        <v>1.0</v>
      </c>
    </row>
    <row r="995" hidden="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t="str">
        <f>IFERROR(__xludf.DUMMYFUNCTION("""COMPUTED_VALUE"""),"")</f>
        <v/>
      </c>
      <c r="BB995" s="4" t="str">
        <f>IFERROR(__xludf.DUMMYFUNCTION("""COMPUTED_VALUE"""),"")</f>
        <v/>
      </c>
      <c r="BC995" s="4" t="str">
        <f>IFERROR(__xludf.DUMMYFUNCTION("""COMPUTED_VALUE"""),"")</f>
        <v/>
      </c>
      <c r="BD995" s="4" t="str">
        <f>IFERROR(__xludf.DUMMYFUNCTION("""COMPUTED_VALUE"""),"")</f>
        <v/>
      </c>
      <c r="BE995" s="4" t="str">
        <f>IFERROR(__xludf.DUMMYFUNCTION("""COMPUTED_VALUE"""),"")</f>
        <v/>
      </c>
      <c r="BF995" s="4" t="str">
        <f>IFERROR(__xludf.DUMMYFUNCTION("""COMPUTED_VALUE"""),"")</f>
        <v/>
      </c>
      <c r="BG995" s="4" t="str">
        <f>IFERROR(__xludf.DUMMYFUNCTION("""COMPUTED_VALUE"""),"")</f>
        <v/>
      </c>
      <c r="BH995" s="4" t="s">
        <v>64</v>
      </c>
      <c r="BI995" s="7">
        <v>1.0</v>
      </c>
    </row>
    <row r="996" hidden="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t="str">
        <f>IFERROR(__xludf.DUMMYFUNCTION("""COMPUTED_VALUE"""),"")</f>
        <v/>
      </c>
      <c r="BB996" s="4" t="str">
        <f>IFERROR(__xludf.DUMMYFUNCTION("""COMPUTED_VALUE"""),"")</f>
        <v/>
      </c>
      <c r="BC996" s="4" t="str">
        <f>IFERROR(__xludf.DUMMYFUNCTION("""COMPUTED_VALUE"""),"")</f>
        <v/>
      </c>
      <c r="BD996" s="4" t="str">
        <f>IFERROR(__xludf.DUMMYFUNCTION("""COMPUTED_VALUE"""),"")</f>
        <v/>
      </c>
      <c r="BE996" s="4" t="str">
        <f>IFERROR(__xludf.DUMMYFUNCTION("""COMPUTED_VALUE"""),"")</f>
        <v/>
      </c>
      <c r="BF996" s="4" t="str">
        <f>IFERROR(__xludf.DUMMYFUNCTION("""COMPUTED_VALUE"""),"")</f>
        <v/>
      </c>
      <c r="BG996" s="4" t="str">
        <f>IFERROR(__xludf.DUMMYFUNCTION("""COMPUTED_VALUE"""),"")</f>
        <v/>
      </c>
      <c r="BH996" s="4" t="s">
        <v>64</v>
      </c>
      <c r="BI996" s="7">
        <v>1.0</v>
      </c>
    </row>
    <row r="997" hidden="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t="str">
        <f>IFERROR(__xludf.DUMMYFUNCTION("""COMPUTED_VALUE"""),"")</f>
        <v/>
      </c>
      <c r="BB997" s="4" t="str">
        <f>IFERROR(__xludf.DUMMYFUNCTION("""COMPUTED_VALUE"""),"")</f>
        <v/>
      </c>
      <c r="BC997" s="4" t="str">
        <f>IFERROR(__xludf.DUMMYFUNCTION("""COMPUTED_VALUE"""),"")</f>
        <v/>
      </c>
      <c r="BD997" s="4" t="str">
        <f>IFERROR(__xludf.DUMMYFUNCTION("""COMPUTED_VALUE"""),"")</f>
        <v/>
      </c>
      <c r="BE997" s="4" t="str">
        <f>IFERROR(__xludf.DUMMYFUNCTION("""COMPUTED_VALUE"""),"")</f>
        <v/>
      </c>
      <c r="BF997" s="4" t="str">
        <f>IFERROR(__xludf.DUMMYFUNCTION("""COMPUTED_VALUE"""),"")</f>
        <v/>
      </c>
      <c r="BG997" s="4" t="str">
        <f>IFERROR(__xludf.DUMMYFUNCTION("""COMPUTED_VALUE"""),"")</f>
        <v/>
      </c>
      <c r="BH997" s="4" t="s">
        <v>64</v>
      </c>
      <c r="BI997" s="7">
        <v>1.0</v>
      </c>
    </row>
    <row r="998" hidden="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t="str">
        <f>IFERROR(__xludf.DUMMYFUNCTION("""COMPUTED_VALUE"""),"")</f>
        <v/>
      </c>
      <c r="BB998" s="4" t="str">
        <f>IFERROR(__xludf.DUMMYFUNCTION("""COMPUTED_VALUE"""),"")</f>
        <v/>
      </c>
      <c r="BC998" s="4" t="str">
        <f>IFERROR(__xludf.DUMMYFUNCTION("""COMPUTED_VALUE"""),"")</f>
        <v/>
      </c>
      <c r="BD998" s="4" t="str">
        <f>IFERROR(__xludf.DUMMYFUNCTION("""COMPUTED_VALUE"""),"")</f>
        <v/>
      </c>
      <c r="BE998" s="4" t="str">
        <f>IFERROR(__xludf.DUMMYFUNCTION("""COMPUTED_VALUE"""),"")</f>
        <v/>
      </c>
      <c r="BF998" s="4" t="str">
        <f>IFERROR(__xludf.DUMMYFUNCTION("""COMPUTED_VALUE"""),"")</f>
        <v/>
      </c>
      <c r="BG998" s="4" t="str">
        <f>IFERROR(__xludf.DUMMYFUNCTION("""COMPUTED_VALUE"""),"")</f>
        <v/>
      </c>
      <c r="BH998" s="4" t="s">
        <v>64</v>
      </c>
      <c r="BI998" s="7">
        <v>1.0</v>
      </c>
    </row>
    <row r="999" hidden="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t="str">
        <f>IFERROR(__xludf.DUMMYFUNCTION("""COMPUTED_VALUE"""),"")</f>
        <v/>
      </c>
      <c r="BB999" s="4" t="str">
        <f>IFERROR(__xludf.DUMMYFUNCTION("""COMPUTED_VALUE"""),"")</f>
        <v/>
      </c>
      <c r="BC999" s="4" t="str">
        <f>IFERROR(__xludf.DUMMYFUNCTION("""COMPUTED_VALUE"""),"")</f>
        <v/>
      </c>
      <c r="BD999" s="4" t="str">
        <f>IFERROR(__xludf.DUMMYFUNCTION("""COMPUTED_VALUE"""),"")</f>
        <v/>
      </c>
      <c r="BE999" s="4" t="str">
        <f>IFERROR(__xludf.DUMMYFUNCTION("""COMPUTED_VALUE"""),"")</f>
        <v/>
      </c>
      <c r="BF999" s="4" t="str">
        <f>IFERROR(__xludf.DUMMYFUNCTION("""COMPUTED_VALUE"""),"")</f>
        <v/>
      </c>
      <c r="BG999" s="4" t="str">
        <f>IFERROR(__xludf.DUMMYFUNCTION("""COMPUTED_VALUE"""),"")</f>
        <v/>
      </c>
      <c r="BH999" s="4" t="s">
        <v>64</v>
      </c>
      <c r="BI999" s="7">
        <v>1.0</v>
      </c>
    </row>
    <row r="1000" hidden="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t="str">
        <f>IFERROR(__xludf.DUMMYFUNCTION("""COMPUTED_VALUE"""),"")</f>
        <v/>
      </c>
      <c r="BB1000" s="4" t="str">
        <f>IFERROR(__xludf.DUMMYFUNCTION("""COMPUTED_VALUE"""),"")</f>
        <v/>
      </c>
      <c r="BC1000" s="4" t="str">
        <f>IFERROR(__xludf.DUMMYFUNCTION("""COMPUTED_VALUE"""),"")</f>
        <v/>
      </c>
      <c r="BD1000" s="4" t="str">
        <f>IFERROR(__xludf.DUMMYFUNCTION("""COMPUTED_VALUE"""),"")</f>
        <v/>
      </c>
      <c r="BE1000" s="4" t="str">
        <f>IFERROR(__xludf.DUMMYFUNCTION("""COMPUTED_VALUE"""),"")</f>
        <v/>
      </c>
      <c r="BF1000" s="4" t="str">
        <f>IFERROR(__xludf.DUMMYFUNCTION("""COMPUTED_VALUE"""),"")</f>
        <v/>
      </c>
      <c r="BG1000" s="4" t="str">
        <f>IFERROR(__xludf.DUMMYFUNCTION("""COMPUTED_VALUE"""),"")</f>
        <v/>
      </c>
      <c r="BH1000" s="4" t="s">
        <v>64</v>
      </c>
      <c r="BI1000" s="7">
        <v>1.0</v>
      </c>
    </row>
  </sheetData>
  <autoFilter ref="$A$1:$BL$1000">
    <filterColumn colId="5">
      <filters>
        <filter val="G"/>
      </filters>
    </filterColumn>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2.0"/>
  </cols>
  <sheetData>
    <row r="1">
      <c r="A1" s="26" t="s">
        <v>0</v>
      </c>
      <c r="B1" s="26" t="s">
        <v>26</v>
      </c>
      <c r="C1" s="26" t="s">
        <v>53</v>
      </c>
      <c r="D1" s="3" t="s">
        <v>153</v>
      </c>
    </row>
    <row r="2">
      <c r="A2" s="26" t="str">
        <f t="array" ref="A2:A524">UNIQUE('_Fonte_A2'!A2:A1000)</f>
        <v>A PIZZA DA MOOCA</v>
      </c>
      <c r="B2" s="26">
        <f t="array" ref="B2">XLOOKUP($A2,'_Fonte_A2'!$A:$A,'_Fonte_A2'!B:B)</f>
        <v>3</v>
      </c>
      <c r="C2" s="26" t="str">
        <f t="array" ref="C2">XLOOKUP($A2,'_Fonte_A2'!$A:$A,'_Fonte_A2'!D:D)</f>
        <v>Fast Casual - Pizza Napoletana</v>
      </c>
      <c r="D2" s="26" t="str">
        <f t="array" ref="D2">XLOOKUP($A2,'_Fonte_A2'!$A:$A,'_Fonte_A2'!W:W)</f>
        <v>Fk Tech Solutions Factory</v>
      </c>
    </row>
    <row r="3">
      <c r="A3" s="26" t="s">
        <v>154</v>
      </c>
      <c r="B3" s="26">
        <f t="array" ref="B3">XLOOKUP($A3,'_Fonte_A2'!$A:$A,'_Fonte_A2'!B:B)</f>
        <v>20</v>
      </c>
      <c r="C3" s="26" t="str">
        <f t="array" ref="C3">XLOOKUP($A3,'_Fonte_A2'!$A:$A,'_Fonte_A2'!D:D)</f>
        <v>QSR - Açaí Bowl</v>
      </c>
      <c r="D3" s="26" t="str">
        <f t="array" ref="D3">XLOOKUP($A3,'_Fonte_A2'!$A:$A,'_Fonte_A2'!W:W)</f>
        <v>N/A (Not found)</v>
      </c>
    </row>
    <row r="4">
      <c r="A4" s="26" t="s">
        <v>155</v>
      </c>
      <c r="B4" s="26">
        <f t="array" ref="B4">XLOOKUP($A4,'_Fonte_A2'!$A:$A,'_Fonte_A2'!B:B)</f>
        <v>10</v>
      </c>
      <c r="C4" s="26" t="str">
        <f t="array" ref="C4">XLOOKUP($A4,'_Fonte_A2'!$A:$A,'_Fonte_A2'!D:D)</f>
        <v>QSR - Açaí</v>
      </c>
      <c r="D4" s="26" t="str">
        <f t="array" ref="D4">XLOOKUP($A4,'_Fonte_A2'!$A:$A,'_Fonte_A2'!W:W)</f>
        <v>Zamp S.a</v>
      </c>
    </row>
    <row r="5">
      <c r="A5" s="26" t="s">
        <v>156</v>
      </c>
      <c r="B5" s="26">
        <f t="array" ref="B5">XLOOKUP($A5,'_Fonte_A2'!$A:$A,'_Fonte_A2'!B:B)</f>
        <v>8</v>
      </c>
      <c r="C5" s="26" t="str">
        <f t="array" ref="C5">XLOOKUP($A5,'_Fonte_A2'!$A:$A,'_Fonte_A2'!D:D)</f>
        <v>QSR - Açaí</v>
      </c>
      <c r="D5" s="26" t="str">
        <f t="array" ref="D5">XLOOKUP($A5,'_Fonte_A2'!$A:$A,'_Fonte_A2'!W:W)</f>
        <v>N/A (Not found)</v>
      </c>
    </row>
    <row r="6">
      <c r="A6" s="26" t="s">
        <v>157</v>
      </c>
      <c r="B6" s="26">
        <f t="array" ref="B6">XLOOKUP($A6,'_Fonte_A2'!$A:$A,'_Fonte_A2'!B:B)</f>
        <v>5</v>
      </c>
      <c r="C6" s="26" t="str">
        <f t="array" ref="C6">XLOOKUP($A6,'_Fonte_A2'!$A:$A,'_Fonte_A2'!D:D)</f>
        <v>Fast Casual - Açaí Premium</v>
      </c>
      <c r="D6" s="26" t="str">
        <f t="array" ref="D6">XLOOKUP($A6,'_Fonte_A2'!$A:$A,'_Fonte_A2'!W:W)</f>
        <v>N/A (Not found)</v>
      </c>
    </row>
    <row r="7">
      <c r="A7" s="26" t="s">
        <v>158</v>
      </c>
      <c r="B7" s="26">
        <f t="array" ref="B7">XLOOKUP($A7,'_Fonte_A2'!$A:$A,'_Fonte_A2'!B:B)</f>
        <v>1</v>
      </c>
      <c r="C7" s="26" t="str">
        <f t="array" ref="C7">XLOOKUP($A7,'_Fonte_A2'!$A:$A,'_Fonte_A2'!D:D)</f>
        <v>Table Service - Churrascaria</v>
      </c>
      <c r="D7" s="26" t="str">
        <f t="array" ref="D7">XLOOKUP($A7,'_Fonte_A2'!$A:$A,'_Fonte_A2'!W:W)</f>
        <v>Rcky Informática Ltda</v>
      </c>
    </row>
    <row r="8">
      <c r="A8" s="26" t="s">
        <v>159</v>
      </c>
      <c r="B8" s="26">
        <f t="array" ref="B8">XLOOKUP($A8,'_Fonte_A2'!$A:$A,'_Fonte_A2'!B:B)</f>
        <v>3</v>
      </c>
      <c r="C8" s="26" t="str">
        <f t="array" ref="C8">XLOOKUP($A8,'_Fonte_A2'!$A:$A,'_Fonte_A2'!D:D)</f>
        <v>Table Service/Delivery - Rodízio Japonês</v>
      </c>
      <c r="D8" s="26" t="str">
        <f t="array" ref="D8">XLOOKUP($A8,'_Fonte_A2'!$A:$A,'_Fonte_A2'!W:W)</f>
        <v>Gcom - Gestao Em Tecnologia De Informacao Eireli</v>
      </c>
    </row>
    <row r="9">
      <c r="A9" s="26" t="s">
        <v>160</v>
      </c>
      <c r="B9" s="26">
        <f t="array" ref="B9">XLOOKUP($A9,'_Fonte_A2'!$A:$A,'_Fonte_A2'!B:B)</f>
        <v>3</v>
      </c>
      <c r="C9" s="26" t="str">
        <f t="array" ref="C9">XLOOKUP($A9,'_Fonte_A2'!$A:$A,'_Fonte_A2'!D:D)</f>
        <v>Table Service - Self-Service Gourmet</v>
      </c>
      <c r="D9" s="26" t="str">
        <f t="array" ref="D9">XLOOKUP($A9,'_Fonte_A2'!$A:$A,'_Fonte_A2'!W:W)</f>
        <v>Teknisa Service Ltda</v>
      </c>
    </row>
    <row r="10">
      <c r="A10" s="26" t="s">
        <v>161</v>
      </c>
      <c r="B10" s="26">
        <f t="array" ref="B10">XLOOKUP($A10,'_Fonte_A2'!$A:$A,'_Fonte_A2'!B:B)</f>
        <v>12</v>
      </c>
      <c r="C10" s="26" t="str">
        <f t="array" ref="C10">XLOOKUP($A10,'_Fonte_A2'!$A:$A,'_Fonte_A2'!D:D)</f>
        <v>Fast Casual - Hamburgueria</v>
      </c>
      <c r="D10" s="26" t="str">
        <f t="array" ref="D10">XLOOKUP($A10,'_Fonte_A2'!$A:$A,'_Fonte_A2'!W:W)</f>
        <v>N/A (Not found)</v>
      </c>
    </row>
    <row r="11">
      <c r="A11" s="26" t="s">
        <v>162</v>
      </c>
      <c r="B11" s="26">
        <f t="array" ref="B11">XLOOKUP($A11,'_Fonte_A2'!$A:$A,'_Fonte_A2'!B:B)</f>
        <v>6</v>
      </c>
      <c r="C11" s="26" t="str">
        <f t="array" ref="C11">XLOOKUP($A11,'_Fonte_A2'!$A:$A,'_Fonte_A2'!D:D)</f>
        <v>Fast Casual - Burgers Premium</v>
      </c>
      <c r="D11" s="26" t="str">
        <f t="array" ref="D11">XLOOKUP($A11,'_Fonte_A2'!$A:$A,'_Fonte_A2'!W:W)</f>
        <v>Ciss S.a Gestao Para O Varejo</v>
      </c>
    </row>
    <row r="12">
      <c r="A12" s="26" t="s">
        <v>163</v>
      </c>
      <c r="B12" s="26">
        <f t="array" ref="B12">XLOOKUP($A12,'_Fonte_A2'!$A:$A,'_Fonte_A2'!B:B)</f>
        <v>4</v>
      </c>
      <c r="C12" s="26" t="str">
        <f t="array" ref="C12">XLOOKUP($A12,'_Fonte_A2'!$A:$A,'_Fonte_A2'!D:D)</f>
        <v>QSR - Lanches</v>
      </c>
      <c r="D12" s="26" t="str">
        <f t="array" ref="D12">XLOOKUP($A12,'_Fonte_A2'!$A:$A,'_Fonte_A2'!W:W)</f>
        <v>Gcom - Gestao Em Tecnologia De Informacao Eireli</v>
      </c>
    </row>
    <row r="13">
      <c r="A13" s="26" t="s">
        <v>164</v>
      </c>
      <c r="B13" s="26">
        <f t="array" ref="B13">XLOOKUP($A13,'_Fonte_A2'!$A:$A,'_Fonte_A2'!B:B)</f>
        <v>2</v>
      </c>
      <c r="C13" s="26" t="str">
        <f t="array" ref="C13">XLOOKUP($A13,'_Fonte_A2'!$A:$A,'_Fonte_A2'!D:D)</f>
        <v>Delivery First - Temakeria</v>
      </c>
      <c r="D13" s="26" t="str">
        <f t="array" ref="D13">XLOOKUP($A13,'_Fonte_A2'!$A:$A,'_Fonte_A2'!W:W)</f>
        <v>null</v>
      </c>
    </row>
    <row r="14">
      <c r="A14" s="26" t="s">
        <v>165</v>
      </c>
      <c r="B14" s="26">
        <f t="array" ref="B14">XLOOKUP($A14,'_Fonte_A2'!$A:$A,'_Fonte_A2'!B:B)</f>
        <v>3</v>
      </c>
      <c r="C14" s="26" t="str">
        <f t="array" ref="C14">XLOOKUP($A14,'_Fonte_A2'!$A:$A,'_Fonte_A2'!D:D)</f>
        <v>Fast Casual - Grelhados</v>
      </c>
      <c r="D14" s="26" t="str">
        <f t="array" ref="D14">XLOOKUP($A14,'_Fonte_A2'!$A:$A,'_Fonte_A2'!W:W)</f>
        <v>N/A (Not found)</v>
      </c>
    </row>
    <row r="15">
      <c r="A15" s="26" t="s">
        <v>166</v>
      </c>
      <c r="B15" s="26">
        <f t="array" ref="B15">XLOOKUP($A15,'_Fonte_A2'!$A:$A,'_Fonte_A2'!B:B)</f>
        <v>5</v>
      </c>
      <c r="C15" s="26" t="str">
        <f t="array" ref="C15">XLOOKUP($A15,'_Fonte_A2'!$A:$A,'_Fonte_A2'!D:D)</f>
        <v>Fast Casual - Comida Japonesa</v>
      </c>
      <c r="D15" s="26" t="str">
        <f t="array" ref="D15">XLOOKUP($A15,'_Fonte_A2'!$A:$A,'_Fonte_A2'!W:W)</f>
        <v>Voxline</v>
      </c>
    </row>
    <row r="16">
      <c r="A16" s="26" t="s">
        <v>167</v>
      </c>
      <c r="B16" s="26">
        <f t="array" ref="B16">XLOOKUP($A16,'_Fonte_A2'!$A:$A,'_Fonte_A2'!B:B)</f>
        <v>2</v>
      </c>
      <c r="C16" s="26" t="str">
        <f t="array" ref="C16">XLOOKUP($A16,'_Fonte_A2'!$A:$A,'_Fonte_A2'!D:D)</f>
        <v>Table Service - Boteco</v>
      </c>
      <c r="D16" s="26" t="str">
        <f t="array" ref="D16">XLOOKUP($A16,'_Fonte_A2'!$A:$A,'_Fonte_A2'!W:W)</f>
        <v>Yooga</v>
      </c>
    </row>
    <row r="17">
      <c r="A17" s="26" t="s">
        <v>168</v>
      </c>
      <c r="B17" s="26">
        <f t="array" ref="B17">XLOOKUP($A17,'_Fonte_A2'!$A:$A,'_Fonte_A2'!B:B)</f>
        <v>8</v>
      </c>
      <c r="C17" s="26" t="str">
        <f t="array" ref="C17">XLOOKUP($A17,'_Fonte_A2'!$A:$A,'_Fonte_A2'!D:D)</f>
        <v>QSR - Hot Dog</v>
      </c>
      <c r="D17" s="26" t="str">
        <f t="array" ref="D17">XLOOKUP($A17,'_Fonte_A2'!$A:$A,'_Fonte_A2'!W:W)</f>
        <v>N/A (Not found)</v>
      </c>
    </row>
    <row r="18">
      <c r="A18" s="26" t="s">
        <v>169</v>
      </c>
      <c r="B18" s="26">
        <f t="array" ref="B18">XLOOKUP($A18,'_Fonte_A2'!$A:$A,'_Fonte_A2'!B:B)</f>
        <v>4</v>
      </c>
      <c r="C18" s="26" t="str">
        <f t="array" ref="C18">XLOOKUP($A18,'_Fonte_A2'!$A:$A,'_Fonte_A2'!D:D)</f>
        <v>Fast Casual - Pizzaria</v>
      </c>
      <c r="D18" s="26" t="str">
        <f t="array" ref="D18">XLOOKUP($A18,'_Fonte_A2'!$A:$A,'_Fonte_A2'!W:W)</f>
        <v>N/A (Not found)</v>
      </c>
    </row>
    <row r="19">
      <c r="A19" s="26" t="s">
        <v>170</v>
      </c>
      <c r="B19" s="26">
        <f t="array" ref="B19">XLOOKUP($A19,'_Fonte_A2'!$A:$A,'_Fonte_A2'!B:B)</f>
        <v>3</v>
      </c>
      <c r="C19" s="26" t="str">
        <f t="array" ref="C19">XLOOKUP($A19,'_Fonte_A2'!$A:$A,'_Fonte_A2'!D:D)</f>
        <v>Fast Casual - Sushi</v>
      </c>
      <c r="D19" s="26" t="str">
        <f t="array" ref="D19">XLOOKUP($A19,'_Fonte_A2'!$A:$A,'_Fonte_A2'!W:W)</f>
        <v>N/A (Not found)</v>
      </c>
    </row>
    <row r="20">
      <c r="A20" s="26" t="s">
        <v>171</v>
      </c>
      <c r="B20" s="26">
        <f t="array" ref="B20">XLOOKUP($A20,'_Fonte_A2'!$A:$A,'_Fonte_A2'!B:B)</f>
        <v>1</v>
      </c>
      <c r="C20" s="26" t="str">
        <f t="array" ref="C20">XLOOKUP($A20,'_Fonte_A2'!$A:$A,'_Fonte_A2'!D:D)</f>
        <v>Fast Casual - Esfiharia</v>
      </c>
      <c r="D20" s="26" t="str">
        <f t="array" ref="D20">XLOOKUP($A20,'_Fonte_A2'!$A:$A,'_Fonte_A2'!W:W)</f>
        <v>Itf Inteligencia E Tecnologia Para O Franchising</v>
      </c>
    </row>
    <row r="21">
      <c r="A21" s="26" t="s">
        <v>172</v>
      </c>
      <c r="B21" s="26">
        <f t="array" ref="B21">XLOOKUP($A21,'_Fonte_A2'!$A:$A,'_Fonte_A2'!B:B)</f>
        <v>6</v>
      </c>
      <c r="C21" s="26" t="str">
        <f t="array" ref="C21">XLOOKUP($A21,'_Fonte_A2'!$A:$A,'_Fonte_A2'!D:D)</f>
        <v>QSR - Açaí</v>
      </c>
      <c r="D21" s="26" t="str">
        <f t="array" ref="D21">XLOOKUP($A21,'_Fonte_A2'!$A:$A,'_Fonte_A2'!W:W)</f>
        <v>E-deploy Retail</v>
      </c>
    </row>
    <row r="22">
      <c r="A22" s="26" t="s">
        <v>173</v>
      </c>
      <c r="B22" s="26">
        <f t="array" ref="B22">XLOOKUP($A22,'_Fonte_A2'!$A:$A,'_Fonte_A2'!B:B)</f>
        <v>15</v>
      </c>
      <c r="C22" s="26" t="str">
        <f t="array" ref="C22">XLOOKUP($A22,'_Fonte_A2'!$A:$A,'_Fonte_A2'!D:D)</f>
        <v>Fast Casual - Açaí e Sorvetes</v>
      </c>
      <c r="D22" s="26" t="str">
        <f t="array" ref="D22">XLOOKUP($A22,'_Fonte_A2'!$A:$A,'_Fonte_A2'!W:W)</f>
        <v>Connectplug</v>
      </c>
    </row>
    <row r="23">
      <c r="A23" s="26" t="s">
        <v>174</v>
      </c>
      <c r="B23" s="26">
        <f t="array" ref="B23">XLOOKUP($A23,'_Fonte_A2'!$A:$A,'_Fonte_A2'!B:B)</f>
        <v>3</v>
      </c>
      <c r="C23" s="26" t="str">
        <f t="array" ref="C23">XLOOKUP($A23,'_Fonte_A2'!$A:$A,'_Fonte_A2'!D:D)</f>
        <v>Fast Casual - Multi-conceito</v>
      </c>
      <c r="D23" s="26" t="str">
        <f t="array" ref="D23">XLOOKUP($A23,'_Fonte_A2'!$A:$A,'_Fonte_A2'!W:W)</f>
        <v>N/A (Not found)</v>
      </c>
    </row>
    <row r="24">
      <c r="A24" s="26" t="s">
        <v>175</v>
      </c>
      <c r="B24" s="26">
        <f t="array" ref="B24">XLOOKUP($A24,'_Fonte_A2'!$A:$A,'_Fonte_A2'!B:B)</f>
        <v>2</v>
      </c>
      <c r="C24" s="26" t="str">
        <f t="array" ref="C24">XLOOKUP($A24,'_Fonte_A2'!$A:$A,'_Fonte_A2'!D:D)</f>
        <v>Table Service - Italiano</v>
      </c>
      <c r="D24" s="26" t="str">
        <f t="array" ref="D24">XLOOKUP($A24,'_Fonte_A2'!$A:$A,'_Fonte_A2'!W:W)</f>
        <v>N/A (Not found)</v>
      </c>
    </row>
    <row r="25">
      <c r="A25" s="26" t="s">
        <v>176</v>
      </c>
      <c r="B25" s="26">
        <f t="array" ref="B25">XLOOKUP($A25,'_Fonte_A2'!$A:$A,'_Fonte_A2'!B:B)</f>
        <v>7</v>
      </c>
      <c r="C25" s="26" t="str">
        <f t="array" ref="C25">XLOOKUP($A25,'_Fonte_A2'!$A:$A,'_Fonte_A2'!D:D)</f>
        <v>QSR - Pizza Delivery</v>
      </c>
      <c r="D25" s="26" t="str">
        <f t="array" ref="D25">XLOOKUP($A25,'_Fonte_A2'!$A:$A,'_Fonte_A2'!W:W)</f>
        <v>N/A (Not found)</v>
      </c>
    </row>
    <row r="26">
      <c r="A26" s="26" t="s">
        <v>177</v>
      </c>
      <c r="B26" s="26">
        <f t="array" ref="B26">XLOOKUP($A26,'_Fonte_A2'!$A:$A,'_Fonte_A2'!B:B)</f>
        <v>3</v>
      </c>
      <c r="C26" s="26" t="str">
        <f t="array" ref="C26">XLOOKUP($A26,'_Fonte_A2'!$A:$A,'_Fonte_A2'!D:D)</f>
        <v>Fast Casual - Strogonoff</v>
      </c>
      <c r="D26" s="26" t="str">
        <f t="array" ref="D26">XLOOKUP($A26,'_Fonte_A2'!$A:$A,'_Fonte_A2'!W:W)</f>
        <v>Stone Co.</v>
      </c>
    </row>
    <row r="27">
      <c r="A27" s="26" t="s">
        <v>178</v>
      </c>
      <c r="B27" s="26">
        <f t="array" ref="B27">XLOOKUP($A27,'_Fonte_A2'!$A:$A,'_Fonte_A2'!B:B)</f>
        <v>10</v>
      </c>
      <c r="C27" s="26" t="str">
        <f t="array" ref="C27">XLOOKUP($A27,'_Fonte_A2'!$A:$A,'_Fonte_A2'!D:D)</f>
        <v>QSR - Fast Food</v>
      </c>
      <c r="D27" s="26" t="str">
        <f t="array" ref="D27">XLOOKUP($A27,'_Fonte_A2'!$A:$A,'_Fonte_A2'!W:W)</f>
        <v>Jgracia Informática Ltda</v>
      </c>
    </row>
    <row r="28">
      <c r="A28" s="26" t="s">
        <v>179</v>
      </c>
      <c r="B28" s="26">
        <f t="array" ref="B28">XLOOKUP($A28,'_Fonte_A2'!$A:$A,'_Fonte_A2'!B:B)</f>
        <v>5</v>
      </c>
      <c r="C28" s="26" t="str">
        <f t="array" ref="C28">XLOOKUP($A28,'_Fonte_A2'!$A:$A,'_Fonte_A2'!D:D)</f>
        <v>Varejo - Confeitaria</v>
      </c>
      <c r="D28" s="26" t="str">
        <f t="array" ref="D28">XLOOKUP($A28,'_Fonte_A2'!$A:$A,'_Fonte_A2'!W:W)</f>
        <v>N/A (Not found)</v>
      </c>
    </row>
    <row r="29">
      <c r="A29" s="26" t="s">
        <v>180</v>
      </c>
      <c r="B29" s="26">
        <f t="array" ref="B29">XLOOKUP($A29,'_Fonte_A2'!$A:$A,'_Fonte_A2'!B:B)</f>
        <v>8</v>
      </c>
      <c r="C29" s="26" t="str">
        <f t="array" ref="C29">XLOOKUP($A29,'_Fonte_A2'!$A:$A,'_Fonte_A2'!D:D)</f>
        <v>Varejo - Confeitaria</v>
      </c>
      <c r="D29" s="26" t="str">
        <f t="array" ref="D29">XLOOKUP($A29,'_Fonte_A2'!$A:$A,'_Fonte_A2'!W:W)</f>
        <v>N/A (Not found)</v>
      </c>
    </row>
    <row r="30">
      <c r="A30" s="26" t="s">
        <v>181</v>
      </c>
      <c r="B30" s="26">
        <f t="array" ref="B30">XLOOKUP($A30,'_Fonte_A2'!$A:$A,'_Fonte_A2'!B:B)</f>
        <v>4</v>
      </c>
      <c r="C30" s="26" t="str">
        <f t="array" ref="C30">XLOOKUP($A30,'_Fonte_A2'!$A:$A,'_Fonte_A2'!D:D)</f>
        <v>Fast Casual - Pizzaria Forno Lenha</v>
      </c>
      <c r="D30" s="26" t="str">
        <f t="array" ref="D30">XLOOKUP($A30,'_Fonte_A2'!$A:$A,'_Fonte_A2'!W:W)</f>
        <v>E-deploy Retail</v>
      </c>
    </row>
    <row r="31">
      <c r="A31" s="26" t="s">
        <v>182</v>
      </c>
      <c r="B31" s="26">
        <f t="array" ref="B31">XLOOKUP($A31,'_Fonte_A2'!$A:$A,'_Fonte_A2'!B:B)</f>
        <v>2</v>
      </c>
      <c r="C31" s="26" t="str">
        <f t="array" ref="C31">XLOOKUP($A31,'_Fonte_A2'!$A:$A,'_Fonte_A2'!D:D)</f>
        <v>Table Service - Boteco</v>
      </c>
      <c r="D31" s="26" t="str">
        <f t="array" ref="D31">XLOOKUP($A31,'_Fonte_A2'!$A:$A,'_Fonte_A2'!W:W)</f>
        <v>N/A (Not found)</v>
      </c>
    </row>
    <row r="32">
      <c r="A32" s="26" t="s">
        <v>183</v>
      </c>
      <c r="B32" s="26">
        <f t="array" ref="B32">XLOOKUP($A32,'_Fonte_A2'!$A:$A,'_Fonte_A2'!B:B)</f>
        <v>3</v>
      </c>
      <c r="C32" s="26" t="str">
        <f t="array" ref="C32">XLOOKUP($A32,'_Fonte_A2'!$A:$A,'_Fonte_A2'!D:D)</f>
        <v>Table Service - Boteco</v>
      </c>
      <c r="D32" s="26" t="str">
        <f t="array" ref="D32">XLOOKUP($A32,'_Fonte_A2'!$A:$A,'_Fonte_A2'!W:W)</f>
        <v>N/A (Not found)</v>
      </c>
    </row>
    <row r="33">
      <c r="A33" s="26" t="s">
        <v>184</v>
      </c>
      <c r="B33" s="26">
        <f t="array" ref="B33">XLOOKUP($A33,'_Fonte_A2'!$A:$A,'_Fonte_A2'!B:B)</f>
        <v>12</v>
      </c>
      <c r="C33" s="26" t="str">
        <f t="array" ref="C33">XLOOKUP($A33,'_Fonte_A2'!$A:$A,'_Fonte_A2'!D:D)</f>
        <v>Fast Casual/Delivery - Comida Japonesa</v>
      </c>
      <c r="D33" s="26" t="str">
        <f t="array" ref="D33">XLOOKUP($A33,'_Fonte_A2'!$A:$A,'_Fonte_A2'!W:W)</f>
        <v>Stone Co.</v>
      </c>
    </row>
    <row r="34">
      <c r="A34" s="26" t="s">
        <v>185</v>
      </c>
      <c r="B34" s="26">
        <f t="array" ref="B34">XLOOKUP($A34,'_Fonte_A2'!$A:$A,'_Fonte_A2'!B:B)</f>
        <v>6</v>
      </c>
      <c r="C34" s="26" t="str">
        <f t="array" ref="C34">XLOOKUP($A34,'_Fonte_A2'!$A:$A,'_Fonte_A2'!D:D)</f>
        <v>Fast Casual - Pizzaria</v>
      </c>
      <c r="D34" s="26" t="str">
        <f t="array" ref="D34">XLOOKUP($A34,'_Fonte_A2'!$A:$A,'_Fonte_A2'!W:W)</f>
        <v>N/A (Not found)</v>
      </c>
    </row>
    <row r="35">
      <c r="A35" s="26" t="s">
        <v>186</v>
      </c>
      <c r="B35" s="26">
        <f t="array" ref="B35">XLOOKUP($A35,'_Fonte_A2'!$A:$A,'_Fonte_A2'!B:B)</f>
        <v>5</v>
      </c>
      <c r="C35" s="26" t="str">
        <f t="array" ref="C35">XLOOKUP($A35,'_Fonte_A2'!$A:$A,'_Fonte_A2'!D:D)</f>
        <v>Fast Casual - Hamburgueria</v>
      </c>
      <c r="D35" s="26" t="str">
        <f t="array" ref="D35">XLOOKUP($A35,'_Fonte_A2'!$A:$A,'_Fonte_A2'!W:W)</f>
        <v>Stone Co.</v>
      </c>
    </row>
    <row r="36">
      <c r="A36" s="26" t="s">
        <v>187</v>
      </c>
      <c r="B36" s="26">
        <f t="array" ref="B36">XLOOKUP($A36,'_Fonte_A2'!$A:$A,'_Fonte_A2'!B:B)</f>
        <v>6</v>
      </c>
      <c r="C36" s="26" t="str">
        <f t="array" ref="C36">XLOOKUP($A36,'_Fonte_A2'!$A:$A,'_Fonte_A2'!D:D)</f>
        <v>Fast Casual - Hamburgueria Artesanal</v>
      </c>
      <c r="D36" s="26" t="str">
        <f t="array" ref="D36">XLOOKUP($A36,'_Fonte_A2'!$A:$A,'_Fonte_A2'!W:W)</f>
        <v>N/A (Not found)</v>
      </c>
    </row>
    <row r="37">
      <c r="A37" s="26" t="s">
        <v>188</v>
      </c>
      <c r="B37" s="26">
        <f t="array" ref="B37">XLOOKUP($A37,'_Fonte_A2'!$A:$A,'_Fonte_A2'!B:B)</f>
        <v>4</v>
      </c>
      <c r="C37" s="26" t="str">
        <f t="array" ref="C37">XLOOKUP($A37,'_Fonte_A2'!$A:$A,'_Fonte_A2'!D:D)</f>
        <v>Fast Casual - Hamburgueria</v>
      </c>
      <c r="D37" s="26" t="str">
        <f t="array" ref="D37">XLOOKUP($A37,'_Fonte_A2'!$A:$A,'_Fonte_A2'!W:W)</f>
        <v>Ciss S.a Gestao Para O Varejo</v>
      </c>
    </row>
    <row r="38">
      <c r="A38" s="26" t="s">
        <v>189</v>
      </c>
      <c r="B38" s="26">
        <f t="array" ref="B38">XLOOKUP($A38,'_Fonte_A2'!$A:$A,'_Fonte_A2'!B:B)</f>
        <v>7</v>
      </c>
      <c r="C38" s="26" t="str">
        <f t="array" ref="C38">XLOOKUP($A38,'_Fonte_A2'!$A:$A,'_Fonte_A2'!D:D)</f>
        <v>Fast Casual - Hamburgueria</v>
      </c>
      <c r="D38" s="26" t="str">
        <f t="array" ref="D38">XLOOKUP($A38,'_Fonte_A2'!$A:$A,'_Fonte_A2'!W:W)</f>
        <v>Jaxtech</v>
      </c>
    </row>
    <row r="39">
      <c r="A39" s="26" t="s">
        <v>190</v>
      </c>
      <c r="B39" s="26">
        <f t="array" ref="B39">XLOOKUP($A39,'_Fonte_A2'!$A:$A,'_Fonte_A2'!B:B)</f>
        <v>3</v>
      </c>
      <c r="C39" s="26" t="str">
        <f t="array" ref="C39">XLOOKUP($A39,'_Fonte_A2'!$A:$A,'_Fonte_A2'!D:D)</f>
        <v>QSR - Hot Dog</v>
      </c>
      <c r="D39" s="26" t="str">
        <f t="array" ref="D39">XLOOKUP($A39,'_Fonte_A2'!$A:$A,'_Fonte_A2'!W:W)</f>
        <v>Saipos Serviços De Software</v>
      </c>
    </row>
    <row r="40">
      <c r="A40" s="26" t="s">
        <v>191</v>
      </c>
      <c r="B40" s="26">
        <f t="array" ref="B40">XLOOKUP($A40,'_Fonte_A2'!$A:$A,'_Fonte_A2'!B:B)</f>
        <v>8</v>
      </c>
      <c r="C40" s="26" t="str">
        <f t="array" ref="C40">XLOOKUP($A40,'_Fonte_A2'!$A:$A,'_Fonte_A2'!D:D)</f>
        <v>Fast Casual - Cafeteria</v>
      </c>
      <c r="D40" s="26" t="str">
        <f t="array" ref="D40">XLOOKUP($A40,'_Fonte_A2'!$A:$A,'_Fonte_A2'!W:W)</f>
        <v>N/A (Not found)</v>
      </c>
    </row>
    <row r="41">
      <c r="A41" s="26" t="s">
        <v>192</v>
      </c>
      <c r="B41" s="26">
        <f t="array" ref="B41">XLOOKUP($A41,'_Fonte_A2'!$A:$A,'_Fonte_A2'!B:B)</f>
        <v>4</v>
      </c>
      <c r="C41" s="26" t="str">
        <f t="array" ref="C41">XLOOKUP($A41,'_Fonte_A2'!$A:$A,'_Fonte_A2'!D:D)</f>
        <v>Fast Casual - Frutos do Mar</v>
      </c>
      <c r="D41" s="26" t="str">
        <f t="array" ref="D41">XLOOKUP($A41,'_Fonte_A2'!$A:$A,'_Fonte_A2'!W:W)</f>
        <v>N/A (Not found)</v>
      </c>
    </row>
    <row r="42">
      <c r="A42" s="26" t="s">
        <v>193</v>
      </c>
      <c r="B42" s="26">
        <f t="array" ref="B42">XLOOKUP($A42,'_Fonte_A2'!$A:$A,'_Fonte_A2'!B:B)</f>
        <v>5</v>
      </c>
      <c r="C42" s="26" t="str">
        <f t="array" ref="C42">XLOOKUP($A42,'_Fonte_A2'!$A:$A,'_Fonte_A2'!D:D)</f>
        <v>Fast Casual - Frutos do Mar</v>
      </c>
      <c r="D42" s="26" t="str">
        <f t="array" ref="D42">XLOOKUP($A42,'_Fonte_A2'!$A:$A,'_Fonte_A2'!W:W)</f>
        <v>N/A (Not found)</v>
      </c>
    </row>
    <row r="43">
      <c r="A43" s="26" t="s">
        <v>194</v>
      </c>
      <c r="B43" s="26">
        <f t="array" ref="B43">XLOOKUP($A43,'_Fonte_A2'!$A:$A,'_Fonte_A2'!B:B)</f>
        <v>6</v>
      </c>
      <c r="C43" s="26" t="str">
        <f t="array" ref="C43">XLOOKUP($A43,'_Fonte_A2'!$A:$A,'_Fonte_A2'!D:D)</f>
        <v>QSR - Pastelaria</v>
      </c>
      <c r="D43" s="26" t="str">
        <f t="array" ref="D43">XLOOKUP($A43,'_Fonte_A2'!$A:$A,'_Fonte_A2'!W:W)</f>
        <v>Stone Co.</v>
      </c>
    </row>
    <row r="44">
      <c r="A44" s="26" t="s">
        <v>195</v>
      </c>
      <c r="B44" s="26">
        <f t="array" ref="B44">XLOOKUP($A44,'_Fonte_A2'!$A:$A,'_Fonte_A2'!B:B)</f>
        <v>3</v>
      </c>
      <c r="C44" s="26" t="str">
        <f t="array" ref="C44">XLOOKUP($A44,'_Fonte_A2'!$A:$A,'_Fonte_A2'!D:D)</f>
        <v>QSR - Comida Caseira</v>
      </c>
      <c r="D44" s="26" t="str">
        <f t="array" ref="D44">XLOOKUP($A44,'_Fonte_A2'!$A:$A,'_Fonte_A2'!W:W)</f>
        <v>Saipos Serviços De Software</v>
      </c>
    </row>
    <row r="45">
      <c r="A45" s="26" t="s">
        <v>196</v>
      </c>
      <c r="B45" s="26">
        <f t="array" ref="B45">XLOOKUP($A45,'_Fonte_A2'!$A:$A,'_Fonte_A2'!B:B)</f>
        <v>2</v>
      </c>
      <c r="C45" s="26" t="str">
        <f t="array" ref="C45">XLOOKUP($A45,'_Fonte_A2'!$A:$A,'_Fonte_A2'!D:D)</f>
        <v>Table Service - Italiano</v>
      </c>
      <c r="D45" s="26" t="str">
        <f t="array" ref="D45">XLOOKUP($A45,'_Fonte_A2'!$A:$A,'_Fonte_A2'!W:W)</f>
        <v>N/A (Not found)</v>
      </c>
    </row>
    <row r="46">
      <c r="A46" s="26" t="s">
        <v>197</v>
      </c>
      <c r="B46" s="26">
        <f t="array" ref="B46">XLOOKUP($A46,'_Fonte_A2'!$A:$A,'_Fonte_A2'!B:B)</f>
        <v>4</v>
      </c>
      <c r="C46" s="26" t="str">
        <f t="array" ref="C46">XLOOKUP($A46,'_Fonte_A2'!$A:$A,'_Fonte_A2'!D:D)</f>
        <v>Fast Casual - Multi-conceito</v>
      </c>
      <c r="D46" s="26" t="str">
        <f t="array" ref="D46">XLOOKUP($A46,'_Fonte_A2'!$A:$A,'_Fonte_A2'!W:W)</f>
        <v>Saipos Serviços De Software</v>
      </c>
    </row>
    <row r="47">
      <c r="A47" s="26" t="s">
        <v>198</v>
      </c>
      <c r="B47" s="26">
        <f t="array" ref="B47">XLOOKUP($A47,'_Fonte_A2'!$A:$A,'_Fonte_A2'!B:B)</f>
        <v>6</v>
      </c>
      <c r="C47" s="26" t="str">
        <f t="array" ref="C47">XLOOKUP($A47,'_Fonte_A2'!$A:$A,'_Fonte_A2'!D:D)</f>
        <v>Fast Casual - Carneiro/Grelhados</v>
      </c>
      <c r="D47" s="26" t="str">
        <f t="array" ref="D47">XLOOKUP($A47,'_Fonte_A2'!$A:$A,'_Fonte_A2'!W:W)</f>
        <v>N/A (Not found)</v>
      </c>
    </row>
    <row r="48">
      <c r="A48" s="26" t="s">
        <v>199</v>
      </c>
      <c r="B48" s="26">
        <f t="array" ref="B48">XLOOKUP($A48,'_Fonte_A2'!$A:$A,'_Fonte_A2'!B:B)</f>
        <v>5</v>
      </c>
      <c r="C48" s="26" t="str">
        <f t="array" ref="C48">XLOOKUP($A48,'_Fonte_A2'!$A:$A,'_Fonte_A2'!D:D)</f>
        <v>Fast Casual - Comida Paraense</v>
      </c>
      <c r="D48" s="26" t="str">
        <f t="array" ref="D48">XLOOKUP($A48,'_Fonte_A2'!$A:$A,'_Fonte_A2'!W:W)</f>
        <v>Alpha Logo</v>
      </c>
    </row>
    <row r="49">
      <c r="A49" s="26" t="s">
        <v>200</v>
      </c>
      <c r="B49" s="26">
        <f t="array" ref="B49">XLOOKUP($A49,'_Fonte_A2'!$A:$A,'_Fonte_A2'!B:B)</f>
        <v>3</v>
      </c>
      <c r="C49" s="26" t="str">
        <f t="array" ref="C49">XLOOKUP($A49,'_Fonte_A2'!$A:$A,'_Fonte_A2'!D:D)</f>
        <v>Fast Casual - Cafeteria</v>
      </c>
      <c r="D49" s="26" t="str">
        <f t="array" ref="D49">XLOOKUP($A49,'_Fonte_A2'!$A:$A,'_Fonte_A2'!W:W)</f>
        <v>Saipos Serviços De Software</v>
      </c>
    </row>
    <row r="50">
      <c r="A50" s="26" t="s">
        <v>201</v>
      </c>
      <c r="B50" s="26">
        <f t="array" ref="B50">XLOOKUP($A50,'_Fonte_A2'!$A:$A,'_Fonte_A2'!B:B)</f>
        <v>2</v>
      </c>
      <c r="C50" s="26" t="str">
        <f t="array" ref="C50">XLOOKUP($A50,'_Fonte_A2'!$A:$A,'_Fonte_A2'!D:D)</f>
        <v>Fast Casual - Hamburgueria Artesanal</v>
      </c>
      <c r="D50" s="26" t="str">
        <f t="array" ref="D50">XLOOKUP($A50,'_Fonte_A2'!$A:$A,'_Fonte_A2'!W:W)</f>
        <v>N/A (Not found)</v>
      </c>
    </row>
    <row r="51">
      <c r="A51" s="26" t="s">
        <v>202</v>
      </c>
      <c r="B51" s="26">
        <f t="array" ref="B51">XLOOKUP($A51,'_Fonte_A2'!$A:$A,'_Fonte_A2'!B:B)</f>
        <v>8</v>
      </c>
      <c r="C51" s="26" t="str">
        <f t="array" ref="C51">XLOOKUP($A51,'_Fonte_A2'!$A:$A,'_Fonte_A2'!D:D)</f>
        <v>QSR - Frango Frito</v>
      </c>
      <c r="D51" s="26" t="str">
        <f t="array" ref="D51">XLOOKUP($A51,'_Fonte_A2'!$A:$A,'_Fonte_A2'!W:W)</f>
        <v>Dynaset Software</v>
      </c>
    </row>
    <row r="52">
      <c r="A52" s="26" t="s">
        <v>203</v>
      </c>
      <c r="B52" s="26">
        <f t="array" ref="B52">XLOOKUP($A52,'_Fonte_A2'!$A:$A,'_Fonte_A2'!B:B)</f>
        <v>8</v>
      </c>
      <c r="C52" s="26" t="str">
        <f t="array" ref="C52">XLOOKUP($A52,'_Fonte_A2'!$A:$A,'_Fonte_A2'!D:D)</f>
        <v>Fast Casual - Hamburgueria</v>
      </c>
      <c r="D52" s="26" t="str">
        <f t="array" ref="D52">XLOOKUP($A52,'_Fonte_A2'!$A:$A,'_Fonte_A2'!W:W)</f>
        <v>Saipos Serviços De Software</v>
      </c>
    </row>
    <row r="53">
      <c r="A53" s="26" t="s">
        <v>204</v>
      </c>
      <c r="B53" s="26">
        <f t="array" ref="B53">XLOOKUP($A53,'_Fonte_A2'!$A:$A,'_Fonte_A2'!B:B)</f>
        <v>4</v>
      </c>
      <c r="C53" s="26" t="str">
        <f t="array" ref="C53">XLOOKUP($A53,'_Fonte_A2'!$A:$A,'_Fonte_A2'!D:D)</f>
        <v>Table Service - Boteco</v>
      </c>
      <c r="D53" s="26" t="str">
        <f t="array" ref="D53">XLOOKUP($A53,'_Fonte_A2'!$A:$A,'_Fonte_A2'!W:W)</f>
        <v>Hubster</v>
      </c>
    </row>
    <row r="54">
      <c r="A54" s="26" t="s">
        <v>205</v>
      </c>
      <c r="B54" s="26">
        <f t="array" ref="B54">XLOOKUP($A54,'_Fonte_A2'!$A:$A,'_Fonte_A2'!B:B)</f>
        <v>18</v>
      </c>
      <c r="C54" s="26" t="str">
        <f t="array" ref="C54">XLOOKUP($A54,'_Fonte_A2'!$A:$A,'_Fonte_A2'!D:D)</f>
        <v>Fast Casual - Hamburgueria</v>
      </c>
      <c r="D54" s="26" t="str">
        <f t="array" ref="D54">XLOOKUP($A54,'_Fonte_A2'!$A:$A,'_Fonte_A2'!W:W)</f>
        <v>Opdv</v>
      </c>
    </row>
    <row r="55">
      <c r="A55" s="26" t="s">
        <v>206</v>
      </c>
      <c r="B55" s="26">
        <f t="array" ref="B55">XLOOKUP($A55,'_Fonte_A2'!$A:$A,'_Fonte_A2'!B:B)</f>
        <v>3</v>
      </c>
      <c r="C55" s="26" t="str">
        <f t="array" ref="C55">XLOOKUP($A55,'_Fonte_A2'!$A:$A,'_Fonte_A2'!D:D)</f>
        <v>Fast Casual - Multi-conceito</v>
      </c>
      <c r="D55" s="26" t="str">
        <f t="array" ref="D55">XLOOKUP($A55,'_Fonte_A2'!$A:$A,'_Fonte_A2'!W:W)</f>
        <v>Tech Rao</v>
      </c>
    </row>
    <row r="56">
      <c r="A56" s="26" t="s">
        <v>207</v>
      </c>
      <c r="B56" s="26">
        <f t="array" ref="B56">XLOOKUP($A56,'_Fonte_A2'!$A:$A,'_Fonte_A2'!B:B)</f>
        <v>4</v>
      </c>
      <c r="C56" s="26" t="str">
        <f t="array" ref="C56">XLOOKUP($A56,'_Fonte_A2'!$A:$A,'_Fonte_A2'!D:D)</f>
        <v>Varejo - Confeitaria</v>
      </c>
      <c r="D56" s="26" t="str">
        <f t="array" ref="D56">XLOOKUP($A56,'_Fonte_A2'!$A:$A,'_Fonte_A2'!W:W)</f>
        <v>null</v>
      </c>
    </row>
    <row r="57">
      <c r="A57" s="26" t="s">
        <v>208</v>
      </c>
      <c r="B57" s="26">
        <f t="array" ref="B57">XLOOKUP($A57,'_Fonte_A2'!$A:$A,'_Fonte_A2'!B:B)</f>
        <v>14</v>
      </c>
      <c r="C57" s="26" t="str">
        <f t="array" ref="C57">XLOOKUP($A57,'_Fonte_A2'!$A:$A,'_Fonte_A2'!D:D)</f>
        <v>Varejo - Cookies Artesanais</v>
      </c>
      <c r="D57" s="26" t="str">
        <f t="array" ref="D57">XLOOKUP($A57,'_Fonte_A2'!$A:$A,'_Fonte_A2'!W:W)</f>
        <v>Saipos Serviços De Software</v>
      </c>
    </row>
    <row r="58">
      <c r="A58" s="26" t="s">
        <v>209</v>
      </c>
      <c r="B58" s="26">
        <f t="array" ref="B58">XLOOKUP($A58,'_Fonte_A2'!$A:$A,'_Fonte_A2'!B:B)</f>
        <v>5</v>
      </c>
      <c r="C58" s="26" t="str">
        <f t="array" ref="C58">XLOOKUP($A58,'_Fonte_A2'!$A:$A,'_Fonte_A2'!D:D)</f>
        <v>QSR - Salgados</v>
      </c>
      <c r="D58" s="26" t="str">
        <f t="array" ref="D58">XLOOKUP($A58,'_Fonte_A2'!$A:$A,'_Fonte_A2'!W:W)</f>
        <v>Gelato Borelli Tecnologia Ltda</v>
      </c>
    </row>
    <row r="59">
      <c r="A59" s="26" t="s">
        <v>210</v>
      </c>
      <c r="B59" s="26">
        <f t="array" ref="B59">XLOOKUP($A59,'_Fonte_A2'!$A:$A,'_Fonte_A2'!B:B)</f>
        <v>7</v>
      </c>
      <c r="C59" s="26" t="str">
        <f t="array" ref="C59">XLOOKUP($A59,'_Fonte_A2'!$A:$A,'_Fonte_A2'!D:D)</f>
        <v>QSR - Salgados</v>
      </c>
      <c r="D59" s="26" t="str">
        <f t="array" ref="D59">XLOOKUP($A59,'_Fonte_A2'!$A:$A,'_Fonte_A2'!W:W)</f>
        <v>Pro Franchising</v>
      </c>
    </row>
    <row r="60">
      <c r="A60" s="26" t="s">
        <v>211</v>
      </c>
      <c r="B60" s="26">
        <f t="array" ref="B60">XLOOKUP($A60,'_Fonte_A2'!$A:$A,'_Fonte_A2'!B:B)</f>
        <v>8</v>
      </c>
      <c r="C60" s="26" t="str">
        <f t="array" ref="C60">XLOOKUP($A60,'_Fonte_A2'!$A:$A,'_Fonte_A2'!D:D)</f>
        <v>Fast Casual - Multi-conceito</v>
      </c>
      <c r="D60" s="26" t="str">
        <f t="array" ref="D60">XLOOKUP($A60,'_Fonte_A2'!$A:$A,'_Fonte_A2'!W:W)</f>
        <v>N/A (Not found)</v>
      </c>
    </row>
    <row r="61">
      <c r="A61" s="26" t="s">
        <v>212</v>
      </c>
      <c r="B61" s="26">
        <f t="array" ref="B61">XLOOKUP($A61,'_Fonte_A2'!$A:$A,'_Fonte_A2'!B:B)</f>
        <v>6</v>
      </c>
      <c r="C61" s="26" t="str">
        <f t="array" ref="C61">XLOOKUP($A61,'_Fonte_A2'!$A:$A,'_Fonte_A2'!D:D)</f>
        <v>Fast Casual - Multi-conceito</v>
      </c>
      <c r="D61" s="26" t="str">
        <f t="array" ref="D61">XLOOKUP($A61,'_Fonte_A2'!$A:$A,'_Fonte_A2'!W:W)</f>
        <v>Gcom - Gestao Em Tecnologia De Informacao Eireli</v>
      </c>
    </row>
    <row r="62">
      <c r="A62" s="26" t="s">
        <v>213</v>
      </c>
      <c r="B62" s="26">
        <f t="array" ref="B62">XLOOKUP($A62,'_Fonte_A2'!$A:$A,'_Fonte_A2'!B:B)</f>
        <v>9</v>
      </c>
      <c r="C62" s="26" t="str">
        <f t="array" ref="C62">XLOOKUP($A62,'_Fonte_A2'!$A:$A,'_Fonte_A2'!D:D)</f>
        <v>QSR - Comida Caseira</v>
      </c>
      <c r="D62" s="26" t="str">
        <f t="array" ref="D62">XLOOKUP($A62,'_Fonte_A2'!$A:$A,'_Fonte_A2'!W:W)</f>
        <v>null</v>
      </c>
    </row>
    <row r="63">
      <c r="A63" s="26" t="s">
        <v>214</v>
      </c>
      <c r="B63" s="26">
        <f t="array" ref="B63">XLOOKUP($A63,'_Fonte_A2'!$A:$A,'_Fonte_A2'!B:B)</f>
        <v>6</v>
      </c>
      <c r="C63" s="26" t="str">
        <f t="array" ref="C63">XLOOKUP($A63,'_Fonte_A2'!$A:$A,'_Fonte_A2'!D:D)</f>
        <v>Fast Casual - Multi-conceito</v>
      </c>
      <c r="D63" s="26" t="str">
        <f t="array" ref="D63">XLOOKUP($A63,'_Fonte_A2'!$A:$A,'_Fonte_A2'!W:W)</f>
        <v>Gcom - Gestao Em Tecnologia De Informacao Eireli</v>
      </c>
    </row>
    <row r="64">
      <c r="A64" s="26" t="s">
        <v>215</v>
      </c>
      <c r="B64" s="26">
        <f t="array" ref="B64">XLOOKUP($A64,'_Fonte_A2'!$A:$A,'_Fonte_A2'!B:B)</f>
        <v>6</v>
      </c>
      <c r="C64" s="26" t="str">
        <f t="array" ref="C64">XLOOKUP($A64,'_Fonte_A2'!$A:$A,'_Fonte_A2'!D:D)</f>
        <v>Fast Casual - Pizzaria</v>
      </c>
      <c r="D64" s="26" t="str">
        <f t="array" ref="D64">XLOOKUP($A64,'_Fonte_A2'!$A:$A,'_Fonte_A2'!W:W)</f>
        <v>Cbinfo</v>
      </c>
    </row>
    <row r="65">
      <c r="A65" s="26" t="s">
        <v>216</v>
      </c>
      <c r="B65" s="26">
        <f t="array" ref="B65">XLOOKUP($A65,'_Fonte_A2'!$A:$A,'_Fonte_A2'!B:B)</f>
        <v>6</v>
      </c>
      <c r="C65" s="26" t="str">
        <f t="array" ref="C65">XLOOKUP($A65,'_Fonte_A2'!$A:$A,'_Fonte_A2'!D:D)</f>
        <v>Fast Casual - Multi-conceito</v>
      </c>
      <c r="D65" s="26" t="str">
        <f t="array" ref="D65">XLOOKUP($A65,'_Fonte_A2'!$A:$A,'_Fonte_A2'!W:W)</f>
        <v>N/A (Not found)</v>
      </c>
    </row>
    <row r="66">
      <c r="A66" s="26" t="s">
        <v>217</v>
      </c>
      <c r="B66" s="26">
        <f t="array" ref="B66">XLOOKUP($A66,'_Fonte_A2'!$A:$A,'_Fonte_A2'!B:B)</f>
        <v>6</v>
      </c>
      <c r="C66" s="26" t="str">
        <f t="array" ref="C66">XLOOKUP($A66,'_Fonte_A2'!$A:$A,'_Fonte_A2'!D:D)</f>
        <v>Fast Casual - Multi-conceito</v>
      </c>
      <c r="D66" s="26" t="str">
        <f t="array" ref="D66">XLOOKUP($A66,'_Fonte_A2'!$A:$A,'_Fonte_A2'!W:W)</f>
        <v>Thr Soluções</v>
      </c>
    </row>
    <row r="67">
      <c r="A67" s="26" t="s">
        <v>218</v>
      </c>
      <c r="B67" s="26">
        <f t="array" ref="B67">XLOOKUP($A67,'_Fonte_A2'!$A:$A,'_Fonte_A2'!B:B)</f>
        <v>1</v>
      </c>
      <c r="C67" s="26" t="str">
        <f t="array" ref="C67">XLOOKUP($A67,'_Fonte_A2'!$A:$A,'_Fonte_A2'!D:D)</f>
        <v>Table Service - Italiano</v>
      </c>
      <c r="D67" s="26" t="str">
        <f t="array" ref="D67">XLOOKUP($A67,'_Fonte_A2'!$A:$A,'_Fonte_A2'!W:W)</f>
        <v>Eclética Tecnologia</v>
      </c>
    </row>
    <row r="68">
      <c r="A68" s="26" t="s">
        <v>219</v>
      </c>
      <c r="B68" s="26">
        <f t="array" ref="B68">XLOOKUP($A68,'_Fonte_A2'!$A:$A,'_Fonte_A2'!B:B)</f>
        <v>11</v>
      </c>
      <c r="C68" s="26" t="str">
        <f t="array" ref="C68">XLOOKUP($A68,'_Fonte_A2'!$A:$A,'_Fonte_A2'!D:D)</f>
        <v>Fast Casual - Pizzaria</v>
      </c>
      <c r="D68" s="26" t="str">
        <f t="array" ref="D68">XLOOKUP($A68,'_Fonte_A2'!$A:$A,'_Fonte_A2'!W:W)</f>
        <v>Saipos Serviços De Software</v>
      </c>
    </row>
    <row r="69">
      <c r="A69" s="26" t="s">
        <v>220</v>
      </c>
      <c r="B69" s="26">
        <f t="array" ref="B69">XLOOKUP($A69,'_Fonte_A2'!$A:$A,'_Fonte_A2'!B:B)</f>
        <v>6</v>
      </c>
      <c r="C69" s="26" t="str">
        <f t="array" ref="C69">XLOOKUP($A69,'_Fonte_A2'!$A:$A,'_Fonte_A2'!D:D)</f>
        <v>QSR - Lanches</v>
      </c>
      <c r="D69" s="26" t="str">
        <f t="array" ref="D69">XLOOKUP($A69,'_Fonte_A2'!$A:$A,'_Fonte_A2'!W:W)</f>
        <v>Teknisa Service Ltda</v>
      </c>
    </row>
    <row r="70">
      <c r="A70" s="26" t="s">
        <v>221</v>
      </c>
      <c r="B70" s="26">
        <f t="array" ref="B70">XLOOKUP($A70,'_Fonte_A2'!$A:$A,'_Fonte_A2'!B:B)</f>
        <v>6</v>
      </c>
      <c r="C70" s="26" t="str">
        <f t="array" ref="C70">XLOOKUP($A70,'_Fonte_A2'!$A:$A,'_Fonte_A2'!D:D)</f>
        <v>Fast Casual - Massas Frescas</v>
      </c>
      <c r="D70" s="26" t="str">
        <f t="array" ref="D70">XLOOKUP($A70,'_Fonte_A2'!$A:$A,'_Fonte_A2'!W:W)</f>
        <v>Teknisa Service Ltda</v>
      </c>
    </row>
    <row r="71">
      <c r="A71" s="26" t="s">
        <v>222</v>
      </c>
      <c r="B71" s="26">
        <f t="array" ref="B71">XLOOKUP($A71,'_Fonte_A2'!$A:$A,'_Fonte_A2'!B:B)</f>
        <v>2</v>
      </c>
      <c r="C71" s="26" t="str">
        <f t="array" ref="C71">XLOOKUP($A71,'_Fonte_A2'!$A:$A,'_Fonte_A2'!D:D)</f>
        <v>Fast Casual - Pizzaria</v>
      </c>
      <c r="D71" s="26" t="str">
        <f t="array" ref="D71">XLOOKUP($A71,'_Fonte_A2'!$A:$A,'_Fonte_A2'!W:W)</f>
        <v>Eclética Tecnologia</v>
      </c>
    </row>
    <row r="72">
      <c r="A72" s="26" t="s">
        <v>223</v>
      </c>
      <c r="B72" s="26">
        <f t="array" ref="B72">XLOOKUP($A72,'_Fonte_A2'!$A:$A,'_Fonte_A2'!B:B)</f>
        <v>3</v>
      </c>
      <c r="C72" s="26" t="str">
        <f t="array" ref="C72">XLOOKUP($A72,'_Fonte_A2'!$A:$A,'_Fonte_A2'!D:D)</f>
        <v>Fast Casual - Multi-conceito</v>
      </c>
      <c r="D72" s="26" t="str">
        <f t="array" ref="D72">XLOOKUP($A72,'_Fonte_A2'!$A:$A,'_Fonte_A2'!W:W)</f>
        <v>N/A (Not found)</v>
      </c>
    </row>
    <row r="73">
      <c r="A73" s="26" t="s">
        <v>224</v>
      </c>
      <c r="B73" s="26">
        <f t="array" ref="B73">XLOOKUP($A73,'_Fonte_A2'!$A:$A,'_Fonte_A2'!B:B)</f>
        <v>3</v>
      </c>
      <c r="C73" s="26" t="str">
        <f t="array" ref="C73">XLOOKUP($A73,'_Fonte_A2'!$A:$A,'_Fonte_A2'!D:D)</f>
        <v>Varejo - Confeitaria</v>
      </c>
      <c r="D73" s="26" t="str">
        <f t="array" ref="D73">XLOOKUP($A73,'_Fonte_A2'!$A:$A,'_Fonte_A2'!W:W)</f>
        <v>N/A (Not found)</v>
      </c>
    </row>
    <row r="74">
      <c r="A74" s="26" t="s">
        <v>225</v>
      </c>
      <c r="B74" s="26">
        <f t="array" ref="B74">XLOOKUP($A74,'_Fonte_A2'!$A:$A,'_Fonte_A2'!B:B)</f>
        <v>7</v>
      </c>
      <c r="C74" s="26" t="str">
        <f t="array" ref="C74">XLOOKUP($A74,'_Fonte_A2'!$A:$A,'_Fonte_A2'!D:D)</f>
        <v>Fast Casual - Cafeteria</v>
      </c>
      <c r="D74" s="26" t="str">
        <f t="array" ref="D74">XLOOKUP($A74,'_Fonte_A2'!$A:$A,'_Fonte_A2'!W:W)</f>
        <v>null</v>
      </c>
    </row>
    <row r="75">
      <c r="A75" s="26" t="s">
        <v>226</v>
      </c>
      <c r="B75" s="26">
        <f t="array" ref="B75">XLOOKUP($A75,'_Fonte_A2'!$A:$A,'_Fonte_A2'!B:B)</f>
        <v>4</v>
      </c>
      <c r="C75" s="26" t="str">
        <f t="array" ref="C75">XLOOKUP($A75,'_Fonte_A2'!$A:$A,'_Fonte_A2'!D:D)</f>
        <v>Table Service - Galeto/Churrasco</v>
      </c>
      <c r="D75" s="26" t="str">
        <f t="array" ref="D75">XLOOKUP($A75,'_Fonte_A2'!$A:$A,'_Fonte_A2'!W:W)</f>
        <v>N/A (Not found)</v>
      </c>
    </row>
    <row r="76">
      <c r="A76" s="26" t="s">
        <v>227</v>
      </c>
      <c r="B76" s="26">
        <f t="array" ref="B76">XLOOKUP($A76,'_Fonte_A2'!$A:$A,'_Fonte_A2'!B:B)</f>
        <v>1</v>
      </c>
      <c r="C76" s="26" t="str">
        <f t="array" ref="C76">XLOOKUP($A76,'_Fonte_A2'!$A:$A,'_Fonte_A2'!D:D)</f>
        <v>Table Service - Italiano</v>
      </c>
      <c r="D76" s="26" t="str">
        <f t="array" ref="D76">XLOOKUP($A76,'_Fonte_A2'!$A:$A,'_Fonte_A2'!W:W)</f>
        <v>Swfast Sistemas</v>
      </c>
    </row>
    <row r="77">
      <c r="A77" s="26" t="s">
        <v>228</v>
      </c>
      <c r="B77" s="26">
        <f t="array" ref="B77">XLOOKUP($A77,'_Fonte_A2'!$A:$A,'_Fonte_A2'!B:B)</f>
        <v>4</v>
      </c>
      <c r="C77" s="26" t="str">
        <f t="array" ref="C77">XLOOKUP($A77,'_Fonte_A2'!$A:$A,'_Fonte_A2'!D:D)</f>
        <v>Fast Casual - Multi-conceito</v>
      </c>
      <c r="D77" s="26" t="str">
        <f t="array" ref="D77">XLOOKUP($A77,'_Fonte_A2'!$A:$A,'_Fonte_A2'!W:W)</f>
        <v>N/A (Not found)</v>
      </c>
    </row>
    <row r="78">
      <c r="A78" s="26" t="s">
        <v>229</v>
      </c>
      <c r="B78" s="26">
        <f t="array" ref="B78">XLOOKUP($A78,'_Fonte_A2'!$A:$A,'_Fonte_A2'!B:B)</f>
        <v>11</v>
      </c>
      <c r="C78" s="26" t="str">
        <f t="array" ref="C78">XLOOKUP($A78,'_Fonte_A2'!$A:$A,'_Fonte_A2'!D:D)</f>
        <v>Fast Casual - Hamburgueria</v>
      </c>
      <c r="D78" s="26" t="str">
        <f t="array" ref="D78">XLOOKUP($A78,'_Fonte_A2'!$A:$A,'_Fonte_A2'!W:W)</f>
        <v>N/A (Not found)</v>
      </c>
    </row>
    <row r="79">
      <c r="A79" s="26" t="s">
        <v>230</v>
      </c>
      <c r="B79" s="26">
        <f t="array" ref="B79">XLOOKUP($A79,'_Fonte_A2'!$A:$A,'_Fonte_A2'!B:B)</f>
        <v>2</v>
      </c>
      <c r="C79" s="26" t="str">
        <f t="array" ref="C79">XLOOKUP($A79,'_Fonte_A2'!$A:$A,'_Fonte_A2'!D:D)</f>
        <v>Fast Casual - Multi-conceito</v>
      </c>
      <c r="D79" s="26" t="str">
        <f t="array" ref="D79">XLOOKUP($A79,'_Fonte_A2'!$A:$A,'_Fonte_A2'!W:W)</f>
        <v>N/A (Not found)</v>
      </c>
    </row>
    <row r="80">
      <c r="A80" s="26" t="s">
        <v>231</v>
      </c>
      <c r="B80" s="26">
        <f t="array" ref="B80">XLOOKUP($A80,'_Fonte_A2'!$A:$A,'_Fonte_A2'!B:B)</f>
        <v>2</v>
      </c>
      <c r="C80" s="26" t="str">
        <f t="array" ref="C80">XLOOKUP($A80,'_Fonte_A2'!$A:$A,'_Fonte_A2'!D:D)</f>
        <v>Fast Casual - Multi-conceito</v>
      </c>
      <c r="D80" s="26" t="str">
        <f t="array" ref="D80">XLOOKUP($A80,'_Fonte_A2'!$A:$A,'_Fonte_A2'!W:W)</f>
        <v>Cbinfo</v>
      </c>
    </row>
    <row r="81">
      <c r="A81" s="26" t="s">
        <v>232</v>
      </c>
      <c r="B81" s="26">
        <f t="array" ref="B81">XLOOKUP($A81,'_Fonte_A2'!$A:$A,'_Fonte_A2'!B:B)</f>
        <v>4</v>
      </c>
      <c r="C81" s="26" t="str">
        <f t="array" ref="C81">XLOOKUP($A81,'_Fonte_A2'!$A:$A,'_Fonte_A2'!D:D)</f>
        <v>Fast Casual - Esfiharia</v>
      </c>
      <c r="D81" s="26" t="str">
        <f t="array" ref="D81">XLOOKUP($A81,'_Fonte_A2'!$A:$A,'_Fonte_A2'!W:W)</f>
        <v>N/A (Not found)</v>
      </c>
    </row>
    <row r="82">
      <c r="A82" s="26" t="s">
        <v>233</v>
      </c>
      <c r="B82" s="26">
        <f t="array" ref="B82">XLOOKUP($A82,'_Fonte_A2'!$A:$A,'_Fonte_A2'!B:B)</f>
        <v>7</v>
      </c>
      <c r="C82" s="26" t="str">
        <f t="array" ref="C82">XLOOKUP($A82,'_Fonte_A2'!$A:$A,'_Fonte_A2'!D:D)</f>
        <v>Fast Casual - Esfiharia</v>
      </c>
      <c r="D82" s="26" t="str">
        <f t="array" ref="D82">XLOOKUP($A82,'_Fonte_A2'!$A:$A,'_Fonte_A2'!W:W)</f>
        <v>Amabest Tech</v>
      </c>
    </row>
    <row r="83">
      <c r="A83" s="26" t="s">
        <v>234</v>
      </c>
      <c r="B83" s="26">
        <f t="array" ref="B83">XLOOKUP($A83,'_Fonte_A2'!$A:$A,'_Fonte_A2'!B:B)</f>
        <v>9</v>
      </c>
      <c r="C83" s="26" t="str">
        <f t="array" ref="C83">XLOOKUP($A83,'_Fonte_A2'!$A:$A,'_Fonte_A2'!D:D)</f>
        <v>Fast Casual - Pizzaria</v>
      </c>
      <c r="D83" s="26" t="str">
        <f t="array" ref="D83">XLOOKUP($A83,'_Fonte_A2'!$A:$A,'_Fonte_A2'!W:W)</f>
        <v>N/A (Not found)</v>
      </c>
    </row>
    <row r="84">
      <c r="A84" s="26" t="s">
        <v>235</v>
      </c>
      <c r="B84" s="26">
        <f t="array" ref="B84">XLOOKUP($A84,'_Fonte_A2'!$A:$A,'_Fonte_A2'!B:B)</f>
        <v>2</v>
      </c>
      <c r="C84" s="26" t="str">
        <f t="array" ref="C84">XLOOKUP($A84,'_Fonte_A2'!$A:$A,'_Fonte_A2'!D:D)</f>
        <v>Fast Casual - Multi-conceito</v>
      </c>
      <c r="D84" s="26" t="str">
        <f t="array" ref="D84">XLOOKUP($A84,'_Fonte_A2'!$A:$A,'_Fonte_A2'!W:W)</f>
        <v>Saipos Serviços De Software</v>
      </c>
    </row>
    <row r="85">
      <c r="A85" s="26" t="s">
        <v>236</v>
      </c>
      <c r="B85" s="26">
        <f t="array" ref="B85">XLOOKUP($A85,'_Fonte_A2'!$A:$A,'_Fonte_A2'!B:B)</f>
        <v>3</v>
      </c>
      <c r="C85" s="26" t="str">
        <f t="array" ref="C85">XLOOKUP($A85,'_Fonte_A2'!$A:$A,'_Fonte_A2'!D:D)</f>
        <v>Fast Casual - Multi-conceito</v>
      </c>
      <c r="D85" s="26" t="str">
        <f t="array" ref="D85">XLOOKUP($A85,'_Fonte_A2'!$A:$A,'_Fonte_A2'!W:W)</f>
        <v>E-deploy Retail</v>
      </c>
    </row>
    <row r="86">
      <c r="A86" s="26" t="s">
        <v>237</v>
      </c>
      <c r="B86" s="26">
        <f t="array" ref="B86">XLOOKUP($A86,'_Fonte_A2'!$A:$A,'_Fonte_A2'!B:B)</f>
        <v>6</v>
      </c>
      <c r="C86" s="26" t="str">
        <f t="array" ref="C86">XLOOKUP($A86,'_Fonte_A2'!$A:$A,'_Fonte_A2'!D:D)</f>
        <v>Fast Casual - Pizzaria</v>
      </c>
      <c r="D86" s="26" t="str">
        <f t="array" ref="D86">XLOOKUP($A86,'_Fonte_A2'!$A:$A,'_Fonte_A2'!W:W)</f>
        <v>Inlive Consultoria</v>
      </c>
    </row>
    <row r="87">
      <c r="A87" s="26" t="s">
        <v>238</v>
      </c>
      <c r="B87" s="26">
        <f t="array" ref="B87">XLOOKUP($A87,'_Fonte_A2'!$A:$A,'_Fonte_A2'!B:B)</f>
        <v>5</v>
      </c>
      <c r="C87" s="26" t="str">
        <f t="array" ref="C87">XLOOKUP($A87,'_Fonte_A2'!$A:$A,'_Fonte_A2'!D:D)</f>
        <v>Fast Casual - Frango Assado</v>
      </c>
      <c r="D87" s="26" t="str">
        <f t="array" ref="D87">XLOOKUP($A87,'_Fonte_A2'!$A:$A,'_Fonte_A2'!W:W)</f>
        <v>N/A (Not found)</v>
      </c>
    </row>
    <row r="88">
      <c r="A88" s="26" t="s">
        <v>239</v>
      </c>
      <c r="B88" s="26">
        <f t="array" ref="B88">XLOOKUP($A88,'_Fonte_A2'!$A:$A,'_Fonte_A2'!B:B)</f>
        <v>2</v>
      </c>
      <c r="C88" s="26" t="str">
        <f t="array" ref="C88">XLOOKUP($A88,'_Fonte_A2'!$A:$A,'_Fonte_A2'!D:D)</f>
        <v>Table Service - Churrascaria</v>
      </c>
      <c r="D88" s="26" t="str">
        <f t="array" ref="D88">XLOOKUP($A88,'_Fonte_A2'!$A:$A,'_Fonte_A2'!W:W)</f>
        <v>N/A (Not found)</v>
      </c>
    </row>
    <row r="89">
      <c r="A89" s="26" t="s">
        <v>240</v>
      </c>
      <c r="B89" s="26">
        <f t="array" ref="B89">XLOOKUP($A89,'_Fonte_A2'!$A:$A,'_Fonte_A2'!B:B)</f>
        <v>8</v>
      </c>
      <c r="C89" s="26" t="str">
        <f t="array" ref="C89">XLOOKUP($A89,'_Fonte_A2'!$A:$A,'_Fonte_A2'!D:D)</f>
        <v>Fast Casual - Frango</v>
      </c>
      <c r="D89" s="26" t="str">
        <f t="array" ref="D89">XLOOKUP($A89,'_Fonte_A2'!$A:$A,'_Fonte_A2'!W:W)</f>
        <v>Saipos Serviços De Software</v>
      </c>
    </row>
    <row r="90">
      <c r="A90" s="26" t="s">
        <v>241</v>
      </c>
      <c r="B90" s="26">
        <f t="array" ref="B90">XLOOKUP($A90,'_Fonte_A2'!$A:$A,'_Fonte_A2'!B:B)</f>
        <v>5</v>
      </c>
      <c r="C90" s="26" t="str">
        <f t="array" ref="C90">XLOOKUP($A90,'_Fonte_A2'!$A:$A,'_Fonte_A2'!D:D)</f>
        <v>Fast Casual - Galeto/Frango</v>
      </c>
      <c r="D90" s="26" t="str">
        <f t="array" ref="D90">XLOOKUP($A90,'_Fonte_A2'!$A:$A,'_Fonte_A2'!W:W)</f>
        <v>Saipos Serviços De Software</v>
      </c>
    </row>
    <row r="91">
      <c r="A91" s="26" t="s">
        <v>242</v>
      </c>
      <c r="B91" s="26">
        <f t="array" ref="B91">XLOOKUP($A91,'_Fonte_A2'!$A:$A,'_Fonte_A2'!B:B)</f>
        <v>6</v>
      </c>
      <c r="C91" s="26" t="str">
        <f t="array" ref="C91">XLOOKUP($A91,'_Fonte_A2'!$A:$A,'_Fonte_A2'!D:D)</f>
        <v>Fast Casual - Multi-conceito</v>
      </c>
      <c r="D91" s="26" t="str">
        <f t="array" ref="D91">XLOOKUP($A91,'_Fonte_A2'!$A:$A,'_Fonte_A2'!W:W)</f>
        <v>N/A (Not found)</v>
      </c>
    </row>
    <row r="92">
      <c r="A92" s="26" t="s">
        <v>243</v>
      </c>
      <c r="B92" s="26">
        <f t="array" ref="B92">XLOOKUP($A92,'_Fonte_A2'!$A:$A,'_Fonte_A2'!B:B)</f>
        <v>7</v>
      </c>
      <c r="C92" s="26" t="str">
        <f t="array" ref="C92">XLOOKUP($A92,'_Fonte_A2'!$A:$A,'_Fonte_A2'!D:D)</f>
        <v>Fast Casual - Sorveteria</v>
      </c>
      <c r="D92" s="26" t="str">
        <f t="array" ref="D92">XLOOKUP($A92,'_Fonte_A2'!$A:$A,'_Fonte_A2'!W:W)</f>
        <v>N/A (Not found)</v>
      </c>
    </row>
    <row r="93">
      <c r="A93" s="26" t="s">
        <v>244</v>
      </c>
      <c r="B93" s="26">
        <f t="array" ref="B93">XLOOKUP($A93,'_Fonte_A2'!$A:$A,'_Fonte_A2'!B:B)</f>
        <v>8</v>
      </c>
      <c r="C93" s="26" t="str">
        <f t="array" ref="C93">XLOOKUP($A93,'_Fonte_A2'!$A:$A,'_Fonte_A2'!D:D)</f>
        <v>Fast Casual - Oriental</v>
      </c>
      <c r="D93" s="26" t="str">
        <f t="array" ref="D93">XLOOKUP($A93,'_Fonte_A2'!$A:$A,'_Fonte_A2'!W:W)</f>
        <v>N/A (Not found)</v>
      </c>
    </row>
    <row r="94">
      <c r="A94" s="26" t="s">
        <v>245</v>
      </c>
      <c r="B94" s="26">
        <f t="array" ref="B94">XLOOKUP($A94,'_Fonte_A2'!$A:$A,'_Fonte_A2'!B:B)</f>
        <v>18</v>
      </c>
      <c r="C94" s="26" t="str">
        <f t="array" ref="C94">XLOOKUP($A94,'_Fonte_A2'!$A:$A,'_Fonte_A2'!D:D)</f>
        <v>Fast Casual - Hamburgueria</v>
      </c>
      <c r="D94" s="26" t="str">
        <f t="array" ref="D94">XLOOKUP($A94,'_Fonte_A2'!$A:$A,'_Fonte_A2'!W:W)</f>
        <v>null</v>
      </c>
    </row>
    <row r="95">
      <c r="A95" s="26" t="s">
        <v>246</v>
      </c>
      <c r="B95" s="26">
        <f t="array" ref="B95">XLOOKUP($A95,'_Fonte_A2'!$A:$A,'_Fonte_A2'!B:B)</f>
        <v>5</v>
      </c>
      <c r="C95" s="26" t="str">
        <f t="array" ref="C95">XLOOKUP($A95,'_Fonte_A2'!$A:$A,'_Fonte_A2'!D:D)</f>
        <v>Grupo Multi-marca</v>
      </c>
      <c r="D95" s="26" t="str">
        <f t="array" ref="D95">XLOOKUP($A95,'_Fonte_A2'!$A:$A,'_Fonte_A2'!W:W)</f>
        <v>N/A (Not found)</v>
      </c>
    </row>
    <row r="96">
      <c r="A96" s="26" t="s">
        <v>247</v>
      </c>
      <c r="B96" s="26">
        <f t="array" ref="B96">XLOOKUP($A96,'_Fonte_A2'!$A:$A,'_Fonte_A2'!B:B)</f>
        <v>20</v>
      </c>
      <c r="C96" s="26" t="str">
        <f t="array" ref="C96">XLOOKUP($A96,'_Fonte_A2'!$A:$A,'_Fonte_A2'!D:D)</f>
        <v>Grupo Multi-marca</v>
      </c>
      <c r="D96" s="26" t="str">
        <f t="array" ref="D96">XLOOKUP($A96,'_Fonte_A2'!$A:$A,'_Fonte_A2'!W:W)</f>
        <v>Ncr</v>
      </c>
    </row>
    <row r="97">
      <c r="A97" s="26" t="s">
        <v>248</v>
      </c>
      <c r="B97" s="26">
        <f t="array" ref="B97">XLOOKUP($A97,'_Fonte_A2'!$A:$A,'_Fonte_A2'!B:B)</f>
        <v>18</v>
      </c>
      <c r="C97" s="26" t="str">
        <f t="array" ref="C97">XLOOKUP($A97,'_Fonte_A2'!$A:$A,'_Fonte_A2'!D:D)</f>
        <v>Fast Casual - Hamburgueria</v>
      </c>
      <c r="D97" s="26" t="str">
        <f t="array" ref="D97">XLOOKUP($A97,'_Fonte_A2'!$A:$A,'_Fonte_A2'!W:W)</f>
        <v>Stone Co.</v>
      </c>
    </row>
    <row r="98">
      <c r="A98" s="26" t="s">
        <v>249</v>
      </c>
      <c r="B98" s="26">
        <f t="array" ref="B98">XLOOKUP($A98,'_Fonte_A2'!$A:$A,'_Fonte_A2'!B:B)</f>
        <v>17</v>
      </c>
      <c r="C98" s="26" t="str">
        <f t="array" ref="C98">XLOOKUP($A98,'_Fonte_A2'!$A:$A,'_Fonte_A2'!D:D)</f>
        <v>Grupo Multi-marca</v>
      </c>
      <c r="D98" s="26" t="str">
        <f t="array" ref="D98">XLOOKUP($A98,'_Fonte_A2'!$A:$A,'_Fonte_A2'!W:W)</f>
        <v>N/A (Not found)</v>
      </c>
    </row>
    <row r="99">
      <c r="A99" s="26" t="s">
        <v>250</v>
      </c>
      <c r="B99" s="26">
        <f t="array" ref="B99">XLOOKUP($A99,'_Fonte_A2'!$A:$A,'_Fonte_A2'!B:B)</f>
        <v>14</v>
      </c>
      <c r="C99" s="26" t="str">
        <f t="array" ref="C99">XLOOKUP($A99,'_Fonte_A2'!$A:$A,'_Fonte_A2'!D:D)</f>
        <v>Fast Casual - Cafeteria</v>
      </c>
      <c r="D99" s="26" t="str">
        <f t="array" ref="D99">XLOOKUP($A99,'_Fonte_A2'!$A:$A,'_Fonte_A2'!W:W)</f>
        <v>N/A (Not found)</v>
      </c>
    </row>
    <row r="100">
      <c r="A100" s="26" t="s">
        <v>251</v>
      </c>
      <c r="B100" s="26">
        <f t="array" ref="B100">XLOOKUP($A100,'_Fonte_A2'!$A:$A,'_Fonte_A2'!B:B)</f>
        <v>11</v>
      </c>
      <c r="C100" s="26" t="str">
        <f t="array" ref="C100">XLOOKUP($A100,'_Fonte_A2'!$A:$A,'_Fonte_A2'!D:D)</f>
        <v>Grupo Multi-marca</v>
      </c>
      <c r="D100" s="26" t="str">
        <f t="array" ref="D100">XLOOKUP($A100,'_Fonte_A2'!$A:$A,'_Fonte_A2'!W:W)</f>
        <v>N/A (Not found)</v>
      </c>
    </row>
    <row r="101">
      <c r="A101" s="26" t="s">
        <v>252</v>
      </c>
      <c r="B101" s="26">
        <f t="array" ref="B101">XLOOKUP($A101,'_Fonte_A2'!$A:$A,'_Fonte_A2'!B:B)</f>
        <v>4</v>
      </c>
      <c r="C101" s="26" t="str">
        <f t="array" ref="C101">XLOOKUP($A101,'_Fonte_A2'!$A:$A,'_Fonte_A2'!D:D)</f>
        <v>Grupo Multi-marca (Sake Temaki + outros)</v>
      </c>
      <c r="D101" s="26" t="str">
        <f t="array" ref="D101">XLOOKUP($A101,'_Fonte_A2'!$A:$A,'_Fonte_A2'!W:W)</f>
        <v>Eclética Tecnologia</v>
      </c>
    </row>
    <row r="102">
      <c r="A102" s="26" t="s">
        <v>253</v>
      </c>
      <c r="B102" s="26">
        <f t="array" ref="B102">XLOOKUP($A102,'_Fonte_A2'!$A:$A,'_Fonte_A2'!B:B)</f>
        <v>12</v>
      </c>
      <c r="C102" s="26" t="str">
        <f t="array" ref="C102">XLOOKUP($A102,'_Fonte_A2'!$A:$A,'_Fonte_A2'!D:D)</f>
        <v>Grupo Multi-marca</v>
      </c>
      <c r="D102" s="26" t="str">
        <f t="array" ref="D102">XLOOKUP($A102,'_Fonte_A2'!$A:$A,'_Fonte_A2'!W:W)</f>
        <v>Hubster</v>
      </c>
    </row>
    <row r="103">
      <c r="A103" s="26" t="s">
        <v>254</v>
      </c>
      <c r="B103" s="26">
        <f t="array" ref="B103">XLOOKUP($A103,'_Fonte_A2'!$A:$A,'_Fonte_A2'!B:B)</f>
        <v>5</v>
      </c>
      <c r="C103" s="26" t="str">
        <f t="array" ref="C103">XLOOKUP($A103,'_Fonte_A2'!$A:$A,'_Fonte_A2'!D:D)</f>
        <v>Grupo Multi-marca</v>
      </c>
      <c r="D103" s="26" t="str">
        <f t="array" ref="D103">XLOOKUP($A103,'_Fonte_A2'!$A:$A,'_Fonte_A2'!W:W)</f>
        <v>L&amp;f Tecnologia Sistemas E Comercio Ltda</v>
      </c>
    </row>
    <row r="104">
      <c r="A104" s="26" t="s">
        <v>255</v>
      </c>
      <c r="B104" s="26">
        <f t="array" ref="B104">XLOOKUP($A104,'_Fonte_A2'!$A:$A,'_Fonte_A2'!B:B)</f>
        <v>15</v>
      </c>
      <c r="C104" s="26" t="str">
        <f t="array" ref="C104">XLOOKUP($A104,'_Fonte_A2'!$A:$A,'_Fonte_A2'!D:D)</f>
        <v>Grupo Multi-marca</v>
      </c>
      <c r="D104" s="26" t="str">
        <f t="array" ref="D104">XLOOKUP($A104,'_Fonte_A2'!$A:$A,'_Fonte_A2'!W:W)</f>
        <v>Stone Co.</v>
      </c>
    </row>
    <row r="105">
      <c r="A105" s="26" t="s">
        <v>256</v>
      </c>
      <c r="B105" s="26">
        <f t="array" ref="B105">XLOOKUP($A105,'_Fonte_A2'!$A:$A,'_Fonte_A2'!B:B)</f>
        <v>6</v>
      </c>
      <c r="C105" s="26" t="str">
        <f t="array" ref="C105">XLOOKUP($A105,'_Fonte_A2'!$A:$A,'_Fonte_A2'!D:D)</f>
        <v>Grupo Multi-marca</v>
      </c>
      <c r="D105" s="26" t="str">
        <f t="array" ref="D105">XLOOKUP($A105,'_Fonte_A2'!$A:$A,'_Fonte_A2'!W:W)</f>
        <v>Stone Co.</v>
      </c>
    </row>
    <row r="106">
      <c r="A106" s="26" t="s">
        <v>257</v>
      </c>
      <c r="B106" s="26">
        <f t="array" ref="B106">XLOOKUP($A106,'_Fonte_A2'!$A:$A,'_Fonte_A2'!B:B)</f>
        <v>8</v>
      </c>
      <c r="C106" s="26" t="str">
        <f t="array" ref="C106">XLOOKUP($A106,'_Fonte_A2'!$A:$A,'_Fonte_A2'!D:D)</f>
        <v>Fast Casual - Hamburgueria</v>
      </c>
      <c r="D106" s="26" t="str">
        <f t="array" ref="D106">XLOOKUP($A106,'_Fonte_A2'!$A:$A,'_Fonte_A2'!W:W)</f>
        <v>N/A (Not found)</v>
      </c>
    </row>
    <row r="107">
      <c r="A107" s="26" t="s">
        <v>258</v>
      </c>
      <c r="B107" s="26">
        <f t="array" ref="B107">XLOOKUP($A107,'_Fonte_A2'!$A:$A,'_Fonte_A2'!B:B)</f>
        <v>14</v>
      </c>
      <c r="C107" s="26" t="str">
        <f t="array" ref="C107">XLOOKUP($A107,'_Fonte_A2'!$A:$A,'_Fonte_A2'!D:D)</f>
        <v>Full Service - Nordestina + Frutos do Mar</v>
      </c>
      <c r="D107" s="26" t="str">
        <f t="array" ref="D107">XLOOKUP($A107,'_Fonte_A2'!$A:$A,'_Fonte_A2'!W:W)</f>
        <v>N/A (Not found)</v>
      </c>
    </row>
    <row r="108">
      <c r="A108" s="26" t="s">
        <v>259</v>
      </c>
      <c r="B108" s="26">
        <f t="array" ref="B108">XLOOKUP($A108,'_Fonte_A2'!$A:$A,'_Fonte_A2'!B:B)</f>
        <v>5</v>
      </c>
      <c r="C108" s="26" t="str">
        <f t="array" ref="C108">XLOOKUP($A108,'_Fonte_A2'!$A:$A,'_Fonte_A2'!D:D)</f>
        <v>Fast Casual - Hamburgueria</v>
      </c>
      <c r="D108" s="26" t="str">
        <f t="array" ref="D108">XLOOKUP($A108,'_Fonte_A2'!$A:$A,'_Fonte_A2'!W:W)</f>
        <v>null</v>
      </c>
    </row>
    <row r="109">
      <c r="A109" s="26" t="s">
        <v>260</v>
      </c>
      <c r="B109" s="26">
        <f t="array" ref="B109">XLOOKUP($A109,'_Fonte_A2'!$A:$A,'_Fonte_A2'!B:B)</f>
        <v>51</v>
      </c>
      <c r="C109" s="26" t="str">
        <f t="array" ref="C109">XLOOKUP($A109,'_Fonte_A2'!$A:$A,'_Fonte_A2'!D:D)</f>
        <v>QSR - Marmitex Delivery</v>
      </c>
      <c r="D109" s="26" t="str">
        <f t="array" ref="D109">XLOOKUP($A109,'_Fonte_A2'!$A:$A,'_Fonte_A2'!W:W)</f>
        <v>N/A (Not found)</v>
      </c>
    </row>
    <row r="110">
      <c r="A110" s="26" t="s">
        <v>261</v>
      </c>
      <c r="B110" s="26">
        <f t="array" ref="B110">XLOOKUP($A110,'_Fonte_A2'!$A:$A,'_Fonte_A2'!B:B)</f>
        <v>6</v>
      </c>
      <c r="C110" s="26" t="str">
        <f t="array" ref="C110">XLOOKUP($A110,'_Fonte_A2'!$A:$A,'_Fonte_A2'!D:D)</f>
        <v>Grupo Multi-marca</v>
      </c>
      <c r="D110" s="26" t="str">
        <f t="array" ref="D110">XLOOKUP($A110,'_Fonte_A2'!$A:$A,'_Fonte_A2'!W:W)</f>
        <v>E-deploy Retail</v>
      </c>
    </row>
    <row r="111">
      <c r="A111" s="26" t="s">
        <v>262</v>
      </c>
      <c r="B111" s="26">
        <f t="array" ref="B111">XLOOKUP($A111,'_Fonte_A2'!$A:$A,'_Fonte_A2'!B:B)</f>
        <v>17</v>
      </c>
      <c r="C111" s="26" t="str">
        <f t="array" ref="C111">XLOOKUP($A111,'_Fonte_A2'!$A:$A,'_Fonte_A2'!D:D)</f>
        <v>Grupo Multi-marca</v>
      </c>
      <c r="D111" s="26" t="str">
        <f t="array" ref="D111">XLOOKUP($A111,'_Fonte_A2'!$A:$A,'_Fonte_A2'!W:W)</f>
        <v>Amabest Tech</v>
      </c>
    </row>
    <row r="112">
      <c r="A112" s="26" t="s">
        <v>263</v>
      </c>
      <c r="B112" s="26">
        <f t="array" ref="B112">XLOOKUP($A112,'_Fonte_A2'!$A:$A,'_Fonte_A2'!B:B)</f>
        <v>5</v>
      </c>
      <c r="C112" s="26" t="str">
        <f t="array" ref="C112">XLOOKUP($A112,'_Fonte_A2'!$A:$A,'_Fonte_A2'!D:D)</f>
        <v>Fast Casual - Saladas e Poke</v>
      </c>
      <c r="D112" s="26" t="str">
        <f t="array" ref="D112">XLOOKUP($A112,'_Fonte_A2'!$A:$A,'_Fonte_A2'!W:W)</f>
        <v>N/A (Not found)</v>
      </c>
    </row>
    <row r="113">
      <c r="A113" s="26" t="s">
        <v>264</v>
      </c>
      <c r="B113" s="26">
        <f t="array" ref="B113">XLOOKUP($A113,'_Fonte_A2'!$A:$A,'_Fonte_A2'!B:B)</f>
        <v>10</v>
      </c>
      <c r="C113" s="26" t="str">
        <f t="array" ref="C113">XLOOKUP($A113,'_Fonte_A2'!$A:$A,'_Fonte_A2'!D:D)</f>
        <v>Grupo Multi-marca</v>
      </c>
      <c r="D113" s="26" t="str">
        <f t="array" ref="D113">XLOOKUP($A113,'_Fonte_A2'!$A:$A,'_Fonte_A2'!W:W)</f>
        <v>Swfast Sistemas</v>
      </c>
    </row>
    <row r="114">
      <c r="A114" s="26" t="s">
        <v>265</v>
      </c>
      <c r="B114" s="26">
        <f t="array" ref="B114">XLOOKUP($A114,'_Fonte_A2'!$A:$A,'_Fonte_A2'!B:B)</f>
        <v>20</v>
      </c>
      <c r="C114" s="26" t="str">
        <f t="array" ref="C114">XLOOKUP($A114,'_Fonte_A2'!$A:$A,'_Fonte_A2'!D:D)</f>
        <v>Grupo Multi-marca</v>
      </c>
      <c r="D114" s="26" t="str">
        <f t="array" ref="D114">XLOOKUP($A114,'_Fonte_A2'!$A:$A,'_Fonte_A2'!W:W)</f>
        <v>N/A (Not found)</v>
      </c>
    </row>
    <row r="115">
      <c r="A115" s="26" t="s">
        <v>266</v>
      </c>
      <c r="B115" s="26">
        <f t="array" ref="B115">XLOOKUP($A115,'_Fonte_A2'!$A:$A,'_Fonte_A2'!B:B)</f>
        <v>12</v>
      </c>
      <c r="C115" s="26" t="str">
        <f t="array" ref="C115">XLOOKUP($A115,'_Fonte_A2'!$A:$A,'_Fonte_A2'!D:D)</f>
        <v>Fast Casual - Japonesa</v>
      </c>
      <c r="D115" s="26" t="str">
        <f t="array" ref="D115">XLOOKUP($A115,'_Fonte_A2'!$A:$A,'_Fonte_A2'!W:W)</f>
        <v>N/A (Not found)</v>
      </c>
    </row>
    <row r="116">
      <c r="A116" s="26" t="s">
        <v>267</v>
      </c>
      <c r="B116" s="26">
        <f t="array" ref="B116">XLOOKUP($A116,'_Fonte_A2'!$A:$A,'_Fonte_A2'!B:B)</f>
        <v>6</v>
      </c>
      <c r="C116" s="26" t="str">
        <f t="array" ref="C116">XLOOKUP($A116,'_Fonte_A2'!$A:$A,'_Fonte_A2'!D:D)</f>
        <v>Fast Casual - Japonesa</v>
      </c>
      <c r="D116" s="26" t="str">
        <f t="array" ref="D116">XLOOKUP($A116,'_Fonte_A2'!$A:$A,'_Fonte_A2'!W:W)</f>
        <v>Totvs Large Enterprise Tecnologia S.a.</v>
      </c>
    </row>
    <row r="117">
      <c r="A117" s="26" t="s">
        <v>268</v>
      </c>
      <c r="B117" s="26">
        <f t="array" ref="B117">XLOOKUP($A117,'_Fonte_A2'!$A:$A,'_Fonte_A2'!B:B)</f>
        <v>7</v>
      </c>
      <c r="C117" s="26" t="str">
        <f t="array" ref="C117">XLOOKUP($A117,'_Fonte_A2'!$A:$A,'_Fonte_A2'!D:D)</f>
        <v>Fast Casual - Pizzaria</v>
      </c>
      <c r="D117" s="26" t="str">
        <f t="array" ref="D117">XLOOKUP($A117,'_Fonte_A2'!$A:$A,'_Fonte_A2'!W:W)</f>
        <v>Gcom - Gestao Em Tecnologia De Informacao Eireli</v>
      </c>
    </row>
    <row r="118">
      <c r="A118" s="26" t="s">
        <v>269</v>
      </c>
      <c r="B118" s="26">
        <f t="array" ref="B118">XLOOKUP($A118,'_Fonte_A2'!$A:$A,'_Fonte_A2'!B:B)</f>
        <v>4</v>
      </c>
      <c r="C118" s="26" t="str">
        <f t="array" ref="C118">XLOOKUP($A118,'_Fonte_A2'!$A:$A,'_Fonte_A2'!D:D)</f>
        <v>QSR - Pastelaria</v>
      </c>
      <c r="D118" s="26" t="str">
        <f t="array" ref="D118">XLOOKUP($A118,'_Fonte_A2'!$A:$A,'_Fonte_A2'!W:W)</f>
        <v>Oz Technology</v>
      </c>
    </row>
    <row r="119">
      <c r="A119" s="26" t="s">
        <v>270</v>
      </c>
      <c r="B119" s="26">
        <f t="array" ref="B119">XLOOKUP($A119,'_Fonte_A2'!$A:$A,'_Fonte_A2'!B:B)</f>
        <v>10</v>
      </c>
      <c r="C119" s="26" t="str">
        <f t="array" ref="C119">XLOOKUP($A119,'_Fonte_A2'!$A:$A,'_Fonte_A2'!D:D)</f>
        <v>QSR - Lanches</v>
      </c>
      <c r="D119" s="26" t="str">
        <f t="array" ref="D119">XLOOKUP($A119,'_Fonte_A2'!$A:$A,'_Fonte_A2'!W:W)</f>
        <v>Saipos Serviços De Software</v>
      </c>
    </row>
    <row r="120">
      <c r="A120" s="26" t="s">
        <v>271</v>
      </c>
      <c r="B120" s="26">
        <f t="array" ref="B120">XLOOKUP($A120,'_Fonte_A2'!$A:$A,'_Fonte_A2'!B:B)</f>
        <v>7</v>
      </c>
      <c r="C120" s="26" t="str">
        <f t="array" ref="C120">XLOOKUP($A120,'_Fonte_A2'!$A:$A,'_Fonte_A2'!D:D)</f>
        <v>QSR - Lanches</v>
      </c>
      <c r="D120" s="26" t="str">
        <f t="array" ref="D120">XLOOKUP($A120,'_Fonte_A2'!$A:$A,'_Fonte_A2'!W:W)</f>
        <v>N/A (Not found)</v>
      </c>
    </row>
    <row r="121">
      <c r="A121" s="26" t="s">
        <v>272</v>
      </c>
      <c r="B121" s="26">
        <f t="array" ref="B121">XLOOKUP($A121,'_Fonte_A2'!$A:$A,'_Fonte_A2'!B:B)</f>
        <v>10</v>
      </c>
      <c r="C121" s="26" t="str">
        <f t="array" ref="C121">XLOOKUP($A121,'_Fonte_A2'!$A:$A,'_Fonte_A2'!D:D)</f>
        <v>QSR - Açaí/Poke</v>
      </c>
      <c r="D121" s="26" t="str">
        <f t="array" ref="D121">XLOOKUP($A121,'_Fonte_A2'!$A:$A,'_Fonte_A2'!W:W)</f>
        <v>Saipos Serviços De Software</v>
      </c>
    </row>
    <row r="122">
      <c r="A122" s="26" t="s">
        <v>273</v>
      </c>
      <c r="B122" s="26">
        <f t="array" ref="B122">XLOOKUP($A122,'_Fonte_A2'!$A:$A,'_Fonte_A2'!B:B)</f>
        <v>8</v>
      </c>
      <c r="C122" s="26" t="str">
        <f t="array" ref="C122">XLOOKUP($A122,'_Fonte_A2'!$A:$A,'_Fonte_A2'!D:D)</f>
        <v>Fast Casual - Hamburgueria</v>
      </c>
      <c r="D122" s="26" t="str">
        <f t="array" ref="D122">XLOOKUP($A122,'_Fonte_A2'!$A:$A,'_Fonte_A2'!W:W)</f>
        <v>N/A (Not found)</v>
      </c>
    </row>
    <row r="123">
      <c r="A123" s="26" t="s">
        <v>274</v>
      </c>
      <c r="B123" s="26">
        <f t="array" ref="B123">XLOOKUP($A123,'_Fonte_A2'!$A:$A,'_Fonte_A2'!B:B)</f>
        <v>10</v>
      </c>
      <c r="C123" s="26" t="str">
        <f t="array" ref="C123">XLOOKUP($A123,'_Fonte_A2'!$A:$A,'_Fonte_A2'!D:D)</f>
        <v>Fast Casual - Fresh Food Saudável</v>
      </c>
      <c r="D123" s="26" t="str">
        <f t="array" ref="D123">XLOOKUP($A123,'_Fonte_A2'!$A:$A,'_Fonte_A2'!W:W)</f>
        <v>Ciss S.a Gestao Para O Varejo</v>
      </c>
    </row>
    <row r="124">
      <c r="A124" s="26" t="s">
        <v>275</v>
      </c>
      <c r="B124" s="26">
        <f t="array" ref="B124">XLOOKUP($A124,'_Fonte_A2'!$A:$A,'_Fonte_A2'!B:B)</f>
        <v>15</v>
      </c>
      <c r="C124" s="26" t="str">
        <f t="array" ref="C124">XLOOKUP($A124,'_Fonte_A2'!$A:$A,'_Fonte_A2'!D:D)</f>
        <v>Fast Casual - Japonesa</v>
      </c>
      <c r="D124" s="26" t="str">
        <f t="array" ref="D124">XLOOKUP($A124,'_Fonte_A2'!$A:$A,'_Fonte_A2'!W:W)</f>
        <v>N/A (Not found)</v>
      </c>
    </row>
    <row r="125">
      <c r="A125" s="26" t="s">
        <v>276</v>
      </c>
      <c r="B125" s="26">
        <f t="array" ref="B125">XLOOKUP($A125,'_Fonte_A2'!$A:$A,'_Fonte_A2'!B:B)</f>
        <v>10</v>
      </c>
      <c r="C125" s="26" t="str">
        <f t="array" ref="C125">XLOOKUP($A125,'_Fonte_A2'!$A:$A,'_Fonte_A2'!D:D)</f>
        <v>Fast Casual - Japonesa</v>
      </c>
      <c r="D125" s="26" t="str">
        <f t="array" ref="D125">XLOOKUP($A125,'_Fonte_A2'!$A:$A,'_Fonte_A2'!W:W)</f>
        <v>Anove Tecnologia</v>
      </c>
    </row>
    <row r="126">
      <c r="A126" s="26" t="s">
        <v>277</v>
      </c>
      <c r="B126" s="26">
        <f t="array" ref="B126">XLOOKUP($A126,'_Fonte_A2'!$A:$A,'_Fonte_A2'!B:B)</f>
        <v>3</v>
      </c>
      <c r="C126" s="26" t="str">
        <f t="array" ref="C126">XLOOKUP($A126,'_Fonte_A2'!$A:$A,'_Fonte_A2'!D:D)</f>
        <v>Fast Casual - Pizzaria</v>
      </c>
      <c r="D126" s="26" t="str">
        <f t="array" ref="D126">XLOOKUP($A126,'_Fonte_A2'!$A:$A,'_Fonte_A2'!W:W)</f>
        <v>Saipos Serviços De Software</v>
      </c>
    </row>
    <row r="127">
      <c r="A127" s="26" t="s">
        <v>278</v>
      </c>
      <c r="B127" s="26">
        <f t="array" ref="B127">XLOOKUP($A127,'_Fonte_A2'!$A:$A,'_Fonte_A2'!B:B)</f>
        <v>3</v>
      </c>
      <c r="C127" s="26" t="str">
        <f t="array" ref="C127">XLOOKUP($A127,'_Fonte_A2'!$A:$A,'_Fonte_A2'!D:D)</f>
        <v>Fast Casual - Pizzaria</v>
      </c>
      <c r="D127" s="26" t="str">
        <f t="array" ref="D127">XLOOKUP($A127,'_Fonte_A2'!$A:$A,'_Fonte_A2'!W:W)</f>
        <v>Stone Co.</v>
      </c>
    </row>
    <row r="128">
      <c r="A128" s="26" t="s">
        <v>279</v>
      </c>
      <c r="B128" s="26">
        <f t="array" ref="B128">XLOOKUP($A128,'_Fonte_A2'!$A:$A,'_Fonte_A2'!B:B)</f>
        <v>6</v>
      </c>
      <c r="C128" s="26" t="str">
        <f t="array" ref="C128">XLOOKUP($A128,'_Fonte_A2'!$A:$A,'_Fonte_A2'!D:D)</f>
        <v>Fast Casual - Multi-conceito</v>
      </c>
      <c r="D128" s="26" t="str">
        <f t="array" ref="D128">XLOOKUP($A128,'_Fonte_A2'!$A:$A,'_Fonte_A2'!W:W)</f>
        <v>N/A (Not found)</v>
      </c>
    </row>
    <row r="129">
      <c r="A129" s="26" t="s">
        <v>280</v>
      </c>
      <c r="B129" s="26">
        <f t="array" ref="B129">XLOOKUP($A129,'_Fonte_A2'!$A:$A,'_Fonte_A2'!B:B)</f>
        <v>3</v>
      </c>
      <c r="C129" s="26" t="str">
        <f t="array" ref="C129">XLOOKUP($A129,'_Fonte_A2'!$A:$A,'_Fonte_A2'!D:D)</f>
        <v>Fast Casual - Multi-conceito</v>
      </c>
      <c r="D129" s="26" t="str">
        <f t="array" ref="D129">XLOOKUP($A129,'_Fonte_A2'!$A:$A,'_Fonte_A2'!W:W)</f>
        <v>Teknisa Service Ltda</v>
      </c>
    </row>
    <row r="130">
      <c r="A130" s="26" t="s">
        <v>281</v>
      </c>
      <c r="B130" s="26">
        <f t="array" ref="B130">XLOOKUP($A130,'_Fonte_A2'!$A:$A,'_Fonte_A2'!B:B)</f>
        <v>4</v>
      </c>
      <c r="C130" s="26" t="str">
        <f t="array" ref="C130">XLOOKUP($A130,'_Fonte_A2'!$A:$A,'_Fonte_A2'!D:D)</f>
        <v>Fast Casual - Multi-conceito</v>
      </c>
      <c r="D130" s="26" t="str">
        <f t="array" ref="D130">XLOOKUP($A130,'_Fonte_A2'!$A:$A,'_Fonte_A2'!W:W)</f>
        <v>Grsoft</v>
      </c>
    </row>
    <row r="131">
      <c r="A131" s="26" t="s">
        <v>282</v>
      </c>
      <c r="B131" s="26">
        <f t="array" ref="B131">XLOOKUP($A131,'_Fonte_A2'!$A:$A,'_Fonte_A2'!B:B)</f>
        <v>4</v>
      </c>
      <c r="C131" s="26" t="str">
        <f t="array" ref="C131">XLOOKUP($A131,'_Fonte_A2'!$A:$A,'_Fonte_A2'!D:D)</f>
        <v>QSR - Lanches</v>
      </c>
      <c r="D131" s="26" t="str">
        <f t="array" ref="D131">XLOOKUP($A131,'_Fonte_A2'!$A:$A,'_Fonte_A2'!W:W)</f>
        <v>N/A (Not found)</v>
      </c>
    </row>
    <row r="132">
      <c r="A132" s="26" t="s">
        <v>283</v>
      </c>
      <c r="B132" s="26">
        <f t="array" ref="B132">XLOOKUP($A132,'_Fonte_A2'!$A:$A,'_Fonte_A2'!B:B)</f>
        <v>2</v>
      </c>
      <c r="C132" s="26" t="str">
        <f t="array" ref="C132">XLOOKUP($A132,'_Fonte_A2'!$A:$A,'_Fonte_A2'!D:D)</f>
        <v>Fast Casual - Multi-conceito</v>
      </c>
      <c r="D132" s="26" t="str">
        <f t="array" ref="D132">XLOOKUP($A132,'_Fonte_A2'!$A:$A,'_Fonte_A2'!W:W)</f>
        <v>Ciss S.a Gestao Para O Varejo</v>
      </c>
    </row>
    <row r="133">
      <c r="A133" s="26" t="s">
        <v>284</v>
      </c>
      <c r="B133" s="26">
        <f t="array" ref="B133">XLOOKUP($A133,'_Fonte_A2'!$A:$A,'_Fonte_A2'!B:B)</f>
        <v>5</v>
      </c>
      <c r="C133" s="26" t="str">
        <f t="array" ref="C133">XLOOKUP($A133,'_Fonte_A2'!$A:$A,'_Fonte_A2'!D:D)</f>
        <v>Fast Casual - Multi-conceito</v>
      </c>
      <c r="D133" s="26" t="str">
        <f t="array" ref="D133">XLOOKUP($A133,'_Fonte_A2'!$A:$A,'_Fonte_A2'!W:W)</f>
        <v>Totvs Large Enterprise Tecnologia S.a.</v>
      </c>
    </row>
    <row r="134">
      <c r="A134" s="26" t="s">
        <v>285</v>
      </c>
      <c r="B134" s="26">
        <f t="array" ref="B134">XLOOKUP($A134,'_Fonte_A2'!$A:$A,'_Fonte_A2'!B:B)</f>
        <v>3</v>
      </c>
      <c r="C134" s="26" t="str">
        <f t="array" ref="C134">XLOOKUP($A134,'_Fonte_A2'!$A:$A,'_Fonte_A2'!D:D)</f>
        <v>Fast Casual - Multi-conceito</v>
      </c>
      <c r="D134" s="26" t="str">
        <f t="array" ref="D134">XLOOKUP($A134,'_Fonte_A2'!$A:$A,'_Fonte_A2'!W:W)</f>
        <v>Cloudfy</v>
      </c>
    </row>
    <row r="135">
      <c r="A135" s="26" t="s">
        <v>286</v>
      </c>
      <c r="B135" s="26">
        <f t="array" ref="B135">XLOOKUP($A135,'_Fonte_A2'!$A:$A,'_Fonte_A2'!B:B)</f>
        <v>6</v>
      </c>
      <c r="C135" s="26" t="str">
        <f t="array" ref="C135">XLOOKUP($A135,'_Fonte_A2'!$A:$A,'_Fonte_A2'!D:D)</f>
        <v>Fast Casual - Multi-conceito</v>
      </c>
      <c r="D135" s="26" t="str">
        <f t="array" ref="D135">XLOOKUP($A135,'_Fonte_A2'!$A:$A,'_Fonte_A2'!W:W)</f>
        <v>N/A (Not found)</v>
      </c>
    </row>
    <row r="136">
      <c r="A136" s="26" t="s">
        <v>287</v>
      </c>
      <c r="B136" s="26">
        <f t="array" ref="B136">XLOOKUP($A136,'_Fonte_A2'!$A:$A,'_Fonte_A2'!B:B)</f>
        <v>5</v>
      </c>
      <c r="C136" s="26" t="str">
        <f t="array" ref="C136">XLOOKUP($A136,'_Fonte_A2'!$A:$A,'_Fonte_A2'!D:D)</f>
        <v>Fast Casual - Multi-conceito</v>
      </c>
      <c r="D136" s="26" t="str">
        <f t="array" ref="D136">XLOOKUP($A136,'_Fonte_A2'!$A:$A,'_Fonte_A2'!W:W)</f>
        <v>N/A (Not found)</v>
      </c>
    </row>
    <row r="137">
      <c r="A137" s="26" t="s">
        <v>288</v>
      </c>
      <c r="B137" s="26">
        <f t="array" ref="B137">XLOOKUP($A137,'_Fonte_A2'!$A:$A,'_Fonte_A2'!B:B)</f>
        <v>10</v>
      </c>
      <c r="C137" s="26" t="str">
        <f t="array" ref="C137">XLOOKUP($A137,'_Fonte_A2'!$A:$A,'_Fonte_A2'!D:D)</f>
        <v>QSR - Lanches</v>
      </c>
      <c r="D137" s="26" t="str">
        <f t="array" ref="D137">XLOOKUP($A137,'_Fonte_A2'!$A:$A,'_Fonte_A2'!W:W)</f>
        <v>Saipos Serviços De Software</v>
      </c>
    </row>
    <row r="138">
      <c r="A138" s="26" t="s">
        <v>289</v>
      </c>
      <c r="B138" s="26">
        <f t="array" ref="B138">XLOOKUP($A138,'_Fonte_A2'!$A:$A,'_Fonte_A2'!B:B)</f>
        <v>4</v>
      </c>
      <c r="C138" s="26" t="str">
        <f t="array" ref="C138">XLOOKUP($A138,'_Fonte_A2'!$A:$A,'_Fonte_A2'!D:D)</f>
        <v>Fast Casual - Multi-conceito</v>
      </c>
      <c r="D138" s="26" t="str">
        <f t="array" ref="D138">XLOOKUP($A138,'_Fonte_A2'!$A:$A,'_Fonte_A2'!W:W)</f>
        <v>Swfast Sistemas</v>
      </c>
    </row>
    <row r="139">
      <c r="A139" s="26" t="s">
        <v>290</v>
      </c>
      <c r="B139" s="26">
        <f t="array" ref="B139">XLOOKUP($A139,'_Fonte_A2'!$A:$A,'_Fonte_A2'!B:B)</f>
        <v>5</v>
      </c>
      <c r="C139" s="26" t="str">
        <f t="array" ref="C139">XLOOKUP($A139,'_Fonte_A2'!$A:$A,'_Fonte_A2'!D:D)</f>
        <v>Fast Casual - Multi-conceito</v>
      </c>
      <c r="D139" s="26" t="str">
        <f t="array" ref="D139">XLOOKUP($A139,'_Fonte_A2'!$A:$A,'_Fonte_A2'!W:W)</f>
        <v>null</v>
      </c>
    </row>
    <row r="140">
      <c r="A140" s="26" t="s">
        <v>291</v>
      </c>
      <c r="B140" s="26">
        <f t="array" ref="B140">XLOOKUP($A140,'_Fonte_A2'!$A:$A,'_Fonte_A2'!B:B)</f>
        <v>12</v>
      </c>
      <c r="C140" s="26" t="str">
        <f t="array" ref="C140">XLOOKUP($A140,'_Fonte_A2'!$A:$A,'_Fonte_A2'!D:D)</f>
        <v>Fast Casual - Hamburgueria</v>
      </c>
      <c r="D140" s="26" t="str">
        <f t="array" ref="D140">XLOOKUP($A140,'_Fonte_A2'!$A:$A,'_Fonte_A2'!W:W)</f>
        <v>N/A (Not found)</v>
      </c>
    </row>
    <row r="141">
      <c r="A141" s="26" t="s">
        <v>292</v>
      </c>
      <c r="B141" s="26">
        <f t="array" ref="B141">XLOOKUP($A141,'_Fonte_A2'!$A:$A,'_Fonte_A2'!B:B)</f>
        <v>8</v>
      </c>
      <c r="C141" s="26" t="str">
        <f t="array" ref="C141">XLOOKUP($A141,'_Fonte_A2'!$A:$A,'_Fonte_A2'!D:D)</f>
        <v>QSR - Marmitex</v>
      </c>
      <c r="D141" s="26" t="str">
        <f t="array" ref="D141">XLOOKUP($A141,'_Fonte_A2'!$A:$A,'_Fonte_A2'!W:W)</f>
        <v>Saipos Serviços De Software</v>
      </c>
    </row>
    <row r="142">
      <c r="A142" s="26" t="s">
        <v>293</v>
      </c>
      <c r="B142" s="26">
        <f t="array" ref="B142">XLOOKUP($A142,'_Fonte_A2'!$A:$A,'_Fonte_A2'!B:B)</f>
        <v>4</v>
      </c>
      <c r="C142" s="26" t="str">
        <f t="array" ref="C142">XLOOKUP($A142,'_Fonte_A2'!$A:$A,'_Fonte_A2'!D:D)</f>
        <v>Fast Casual - Poke Bowl</v>
      </c>
      <c r="D142" s="26" t="str">
        <f t="array" ref="D142">XLOOKUP($A142,'_Fonte_A2'!$A:$A,'_Fonte_A2'!W:W)</f>
        <v>N/A (Not found)</v>
      </c>
    </row>
    <row r="143">
      <c r="A143" s="26" t="s">
        <v>294</v>
      </c>
      <c r="B143" s="26">
        <f t="array" ref="B143">XLOOKUP($A143,'_Fonte_A2'!$A:$A,'_Fonte_A2'!B:B)</f>
        <v>10</v>
      </c>
      <c r="C143" s="26" t="str">
        <f t="array" ref="C143">XLOOKUP($A143,'_Fonte_A2'!$A:$A,'_Fonte_A2'!D:D)</f>
        <v>QSR - Açaí/Poke</v>
      </c>
      <c r="D143" s="26" t="str">
        <f t="array" ref="D143">XLOOKUP($A143,'_Fonte_A2'!$A:$A,'_Fonte_A2'!W:W)</f>
        <v>N/A (Not found)</v>
      </c>
    </row>
    <row r="144">
      <c r="A144" s="26" t="s">
        <v>295</v>
      </c>
      <c r="B144" s="26">
        <f t="array" ref="B144">XLOOKUP($A144,'_Fonte_A2'!$A:$A,'_Fonte_A2'!B:B)</f>
        <v>8</v>
      </c>
      <c r="C144" s="26" t="str">
        <f t="array" ref="C144">XLOOKUP($A144,'_Fonte_A2'!$A:$A,'_Fonte_A2'!D:D)</f>
        <v>QSR - Lanches</v>
      </c>
      <c r="D144" s="26" t="str">
        <f t="array" ref="D144">XLOOKUP($A144,'_Fonte_A2'!$A:$A,'_Fonte_A2'!W:W)</f>
        <v>null</v>
      </c>
    </row>
    <row r="145">
      <c r="A145" s="26" t="s">
        <v>296</v>
      </c>
      <c r="B145" s="26">
        <f t="array" ref="B145">XLOOKUP($A145,'_Fonte_A2'!$A:$A,'_Fonte_A2'!B:B)</f>
        <v>3</v>
      </c>
      <c r="C145" s="26" t="str">
        <f t="array" ref="C145">XLOOKUP($A145,'_Fonte_A2'!$A:$A,'_Fonte_A2'!D:D)</f>
        <v>Fast Casual - Poke Bowl</v>
      </c>
      <c r="D145" s="26" t="str">
        <f t="array" ref="D145">XLOOKUP($A145,'_Fonte_A2'!$A:$A,'_Fonte_A2'!W:W)</f>
        <v>null</v>
      </c>
    </row>
    <row r="146">
      <c r="A146" s="26" t="s">
        <v>297</v>
      </c>
      <c r="B146" s="26">
        <f t="array" ref="B146">XLOOKUP($A146,'_Fonte_A2'!$A:$A,'_Fonte_A2'!B:B)</f>
        <v>6</v>
      </c>
      <c r="C146" s="26" t="str">
        <f t="array" ref="C146">XLOOKUP($A146,'_Fonte_A2'!$A:$A,'_Fonte_A2'!D:D)</f>
        <v>Fast Casual - Multi-conceito</v>
      </c>
      <c r="D146" s="26" t="str">
        <f t="array" ref="D146">XLOOKUP($A146,'_Fonte_A2'!$A:$A,'_Fonte_A2'!W:W)</f>
        <v>null</v>
      </c>
    </row>
    <row r="147">
      <c r="A147" s="26" t="s">
        <v>298</v>
      </c>
      <c r="B147" s="26">
        <f t="array" ref="B147">XLOOKUP($A147,'_Fonte_A2'!$A:$A,'_Fonte_A2'!B:B)</f>
        <v>8</v>
      </c>
      <c r="C147" s="26" t="str">
        <f t="array" ref="C147">XLOOKUP($A147,'_Fonte_A2'!$A:$A,'_Fonte_A2'!D:D)</f>
        <v>Fast Casual - Multi-conceito</v>
      </c>
      <c r="D147" s="26" t="str">
        <f t="array" ref="D147">XLOOKUP($A147,'_Fonte_A2'!$A:$A,'_Fonte_A2'!W:W)</f>
        <v>Saipos Serviços De Software</v>
      </c>
    </row>
    <row r="148">
      <c r="A148" s="26" t="s">
        <v>299</v>
      </c>
      <c r="B148" s="26">
        <f t="array" ref="B148">XLOOKUP($A148,'_Fonte_A2'!$A:$A,'_Fonte_A2'!B:B)</f>
        <v>6</v>
      </c>
      <c r="C148" s="26" t="str">
        <f t="array" ref="C148">XLOOKUP($A148,'_Fonte_A2'!$A:$A,'_Fonte_A2'!D:D)</f>
        <v>Fast Casual - Pizzaria</v>
      </c>
      <c r="D148" s="26" t="str">
        <f t="array" ref="D148">XLOOKUP($A148,'_Fonte_A2'!$A:$A,'_Fonte_A2'!W:W)</f>
        <v>Saipos Serviços De Software</v>
      </c>
    </row>
    <row r="149">
      <c r="A149" s="26" t="s">
        <v>300</v>
      </c>
      <c r="B149" s="26">
        <f t="array" ref="B149">XLOOKUP($A149,'_Fonte_A2'!$A:$A,'_Fonte_A2'!B:B)</f>
        <v>4</v>
      </c>
      <c r="C149" s="26" t="str">
        <f t="array" ref="C149">XLOOKUP($A149,'_Fonte_A2'!$A:$A,'_Fonte_A2'!D:D)</f>
        <v>Fast Casual - Multi-conceito</v>
      </c>
      <c r="D149" s="26" t="str">
        <f t="array" ref="D149">XLOOKUP($A149,'_Fonte_A2'!$A:$A,'_Fonte_A2'!W:W)</f>
        <v>Ncr</v>
      </c>
    </row>
    <row r="150">
      <c r="A150" s="26" t="s">
        <v>301</v>
      </c>
      <c r="B150" s="26">
        <f t="array" ref="B150">XLOOKUP($A150,'_Fonte_A2'!$A:$A,'_Fonte_A2'!B:B)</f>
        <v>3</v>
      </c>
      <c r="C150" s="26" t="str">
        <f t="array" ref="C150">XLOOKUP($A150,'_Fonte_A2'!$A:$A,'_Fonte_A2'!D:D)</f>
        <v>Fast Casual - Multi-conceito</v>
      </c>
      <c r="D150" s="26" t="str">
        <f t="array" ref="D150">XLOOKUP($A150,'_Fonte_A2'!$A:$A,'_Fonte_A2'!W:W)</f>
        <v>N/A (Not found)</v>
      </c>
    </row>
    <row r="151">
      <c r="A151" s="26" t="s">
        <v>302</v>
      </c>
      <c r="B151" s="26">
        <f t="array" ref="B151">XLOOKUP($A151,'_Fonte_A2'!$A:$A,'_Fonte_A2'!B:B)</f>
        <v>8</v>
      </c>
      <c r="C151" s="26" t="str">
        <f t="array" ref="C151">XLOOKUP($A151,'_Fonte_A2'!$A:$A,'_Fonte_A2'!D:D)</f>
        <v>Fast Casual - Multi-conceito</v>
      </c>
      <c r="D151" s="26" t="str">
        <f t="array" ref="D151">XLOOKUP($A151,'_Fonte_A2'!$A:$A,'_Fonte_A2'!W:W)</f>
        <v>Parseint Desenvolvimento De Sistemas Ltda</v>
      </c>
    </row>
    <row r="152">
      <c r="A152" s="26" t="s">
        <v>303</v>
      </c>
      <c r="B152" s="26">
        <f t="array" ref="B152">XLOOKUP($A152,'_Fonte_A2'!$A:$A,'_Fonte_A2'!B:B)</f>
        <v>8</v>
      </c>
      <c r="C152" s="26" t="str">
        <f t="array" ref="C152">XLOOKUP($A152,'_Fonte_A2'!$A:$A,'_Fonte_A2'!D:D)</f>
        <v>Fast Casual - Multi-conceito</v>
      </c>
      <c r="D152" s="26" t="str">
        <f t="array" ref="D152">XLOOKUP($A152,'_Fonte_A2'!$A:$A,'_Fonte_A2'!W:W)</f>
        <v>N/A (Not found)</v>
      </c>
    </row>
    <row r="153">
      <c r="A153" s="26" t="s">
        <v>304</v>
      </c>
      <c r="B153" s="26">
        <f t="array" ref="B153">XLOOKUP($A153,'_Fonte_A2'!$A:$A,'_Fonte_A2'!B:B)</f>
        <v>7</v>
      </c>
      <c r="C153" s="26" t="str">
        <f t="array" ref="C153">XLOOKUP($A153,'_Fonte_A2'!$A:$A,'_Fonte_A2'!D:D)</f>
        <v>Fast Casual - Multi-conceito</v>
      </c>
      <c r="D153" s="26" t="str">
        <f t="array" ref="D153">XLOOKUP($A153,'_Fonte_A2'!$A:$A,'_Fonte_A2'!W:W)</f>
        <v>N/A (Not found)</v>
      </c>
    </row>
    <row r="154">
      <c r="A154" s="26" t="s">
        <v>305</v>
      </c>
      <c r="B154" s="26">
        <f t="array" ref="B154">XLOOKUP($A154,'_Fonte_A2'!$A:$A,'_Fonte_A2'!B:B)</f>
        <v>6</v>
      </c>
      <c r="C154" s="26" t="str">
        <f t="array" ref="C154">XLOOKUP($A154,'_Fonte_A2'!$A:$A,'_Fonte_A2'!D:D)</f>
        <v>Fast Casual - Multi-conceito</v>
      </c>
      <c r="D154" s="26" t="str">
        <f t="array" ref="D154">XLOOKUP($A154,'_Fonte_A2'!$A:$A,'_Fonte_A2'!W:W)</f>
        <v>Connectplug</v>
      </c>
    </row>
    <row r="155">
      <c r="A155" s="26" t="s">
        <v>306</v>
      </c>
      <c r="B155" s="26">
        <f t="array" ref="B155">XLOOKUP($A155,'_Fonte_A2'!$A:$A,'_Fonte_A2'!B:B)</f>
        <v>8</v>
      </c>
      <c r="C155" s="26" t="str">
        <f t="array" ref="C155">XLOOKUP($A155,'_Fonte_A2'!$A:$A,'_Fonte_A2'!D:D)</f>
        <v>Fast Casual - Multi-conceito</v>
      </c>
      <c r="D155" s="26" t="str">
        <f t="array" ref="D155">XLOOKUP($A155,'_Fonte_A2'!$A:$A,'_Fonte_A2'!W:W)</f>
        <v>null</v>
      </c>
    </row>
    <row r="156">
      <c r="A156" s="26" t="s">
        <v>307</v>
      </c>
      <c r="B156" s="26">
        <f t="array" ref="B156">XLOOKUP($A156,'_Fonte_A2'!$A:$A,'_Fonte_A2'!B:B)</f>
        <v>8</v>
      </c>
      <c r="C156" s="26" t="str">
        <f t="array" ref="C156">XLOOKUP($A156,'_Fonte_A2'!$A:$A,'_Fonte_A2'!D:D)</f>
        <v>Fast Casual - Multi-conceito</v>
      </c>
      <c r="D156" s="26" t="str">
        <f t="array" ref="D156">XLOOKUP($A156,'_Fonte_A2'!$A:$A,'_Fonte_A2'!W:W)</f>
        <v>Berp Sistemas</v>
      </c>
    </row>
    <row r="157">
      <c r="A157" s="26" t="s">
        <v>308</v>
      </c>
      <c r="B157" s="26">
        <f t="array" ref="B157">XLOOKUP($A157,'_Fonte_A2'!$A:$A,'_Fonte_A2'!B:B)</f>
        <v>8</v>
      </c>
      <c r="C157" s="26" t="str">
        <f t="array" ref="C157">XLOOKUP($A157,'_Fonte_A2'!$A:$A,'_Fonte_A2'!D:D)</f>
        <v>Fast Casual - Pizzaria</v>
      </c>
      <c r="D157" s="26" t="str">
        <f t="array" ref="D157">XLOOKUP($A157,'_Fonte_A2'!$A:$A,'_Fonte_A2'!W:W)</f>
        <v>null</v>
      </c>
    </row>
    <row r="158">
      <c r="A158" s="26" t="s">
        <v>309</v>
      </c>
      <c r="B158" s="26">
        <f t="array" ref="B158">XLOOKUP($A158,'_Fonte_A2'!$A:$A,'_Fonte_A2'!B:B)</f>
        <v>6</v>
      </c>
      <c r="C158" s="26" t="str">
        <f t="array" ref="C158">XLOOKUP($A158,'_Fonte_A2'!$A:$A,'_Fonte_A2'!D:D)</f>
        <v>Fast Casual - Japonesa</v>
      </c>
      <c r="D158" s="26" t="str">
        <f t="array" ref="D158">XLOOKUP($A158,'_Fonte_A2'!$A:$A,'_Fonte_A2'!W:W)</f>
        <v>L&amp;f Tecnologia Sistemas E Comercio Ltda</v>
      </c>
    </row>
    <row r="159">
      <c r="A159" s="26" t="s">
        <v>310</v>
      </c>
      <c r="B159" s="26">
        <f t="array" ref="B159">XLOOKUP($A159,'_Fonte_A2'!$A:$A,'_Fonte_A2'!B:B)</f>
        <v>6</v>
      </c>
      <c r="C159" s="26" t="str">
        <f t="array" ref="C159">XLOOKUP($A159,'_Fonte_A2'!$A:$A,'_Fonte_A2'!D:D)</f>
        <v>Fast Casual - Hamburgueria</v>
      </c>
      <c r="D159" s="26" t="str">
        <f t="array" ref="D159">XLOOKUP($A159,'_Fonte_A2'!$A:$A,'_Fonte_A2'!W:W)</f>
        <v>Goncales E Fernandez Informatica Ltda</v>
      </c>
    </row>
    <row r="160">
      <c r="A160" s="26" t="s">
        <v>311</v>
      </c>
      <c r="B160" s="26">
        <f t="array" ref="B160">XLOOKUP($A160,'_Fonte_A2'!$A:$A,'_Fonte_A2'!B:B)</f>
        <v>9</v>
      </c>
      <c r="C160" s="26" t="str">
        <f t="array" ref="C160">XLOOKUP($A160,'_Fonte_A2'!$A:$A,'_Fonte_A2'!D:D)</f>
        <v>Varejo - Padaria</v>
      </c>
      <c r="D160" s="26" t="str">
        <f t="array" ref="D160">XLOOKUP($A160,'_Fonte_A2'!$A:$A,'_Fonte_A2'!W:W)</f>
        <v>L&amp;f Tecnologia Sistemas E Comercio Ltda</v>
      </c>
    </row>
    <row r="161">
      <c r="A161" s="26" t="s">
        <v>312</v>
      </c>
      <c r="B161" s="26">
        <f t="array" ref="B161">XLOOKUP($A161,'_Fonte_A2'!$A:$A,'_Fonte_A2'!B:B)</f>
        <v>3</v>
      </c>
      <c r="C161" s="26" t="str">
        <f t="array" ref="C161">XLOOKUP($A161,'_Fonte_A2'!$A:$A,'_Fonte_A2'!D:D)</f>
        <v>Fast Casual - Pizzaria</v>
      </c>
      <c r="D161" s="26" t="str">
        <f t="array" ref="D161">XLOOKUP($A161,'_Fonte_A2'!$A:$A,'_Fonte_A2'!W:W)</f>
        <v>Stone Co.</v>
      </c>
    </row>
    <row r="162">
      <c r="A162" s="26" t="s">
        <v>313</v>
      </c>
      <c r="B162" s="26">
        <f t="array" ref="B162">XLOOKUP($A162,'_Fonte_A2'!$A:$A,'_Fonte_A2'!B:B)</f>
        <v>5</v>
      </c>
      <c r="C162" s="26" t="str">
        <f t="array" ref="C162">XLOOKUP($A162,'_Fonte_A2'!$A:$A,'_Fonte_A2'!D:D)</f>
        <v>Fast Casual - Multi-conceito</v>
      </c>
      <c r="D162" s="26" t="str">
        <f t="array" ref="D162">XLOOKUP($A162,'_Fonte_A2'!$A:$A,'_Fonte_A2'!W:W)</f>
        <v>Algoritma Sistemas De Software Ltda</v>
      </c>
    </row>
    <row r="163">
      <c r="A163" s="26" t="s">
        <v>314</v>
      </c>
      <c r="B163" s="26">
        <f t="array" ref="B163">XLOOKUP($A163,'_Fonte_A2'!$A:$A,'_Fonte_A2'!B:B)</f>
        <v>2</v>
      </c>
      <c r="C163" s="26" t="str">
        <f t="array" ref="C163">XLOOKUP($A163,'_Fonte_A2'!$A:$A,'_Fonte_A2'!D:D)</f>
        <v>Fast Casual - Multi-conceito</v>
      </c>
      <c r="D163" s="26" t="str">
        <f t="array" ref="D163">XLOOKUP($A163,'_Fonte_A2'!$A:$A,'_Fonte_A2'!W:W)</f>
        <v>Saipos Serviços De Software</v>
      </c>
    </row>
    <row r="164">
      <c r="A164" s="26" t="s">
        <v>315</v>
      </c>
      <c r="B164" s="26">
        <f t="array" ref="B164">XLOOKUP($A164,'_Fonte_A2'!$A:$A,'_Fonte_A2'!B:B)</f>
        <v>3</v>
      </c>
      <c r="C164" s="26" t="str">
        <f t="array" ref="C164">XLOOKUP($A164,'_Fonte_A2'!$A:$A,'_Fonte_A2'!D:D)</f>
        <v>QSR - Pastelaria</v>
      </c>
      <c r="D164" s="26" t="str">
        <f t="array" ref="D164">XLOOKUP($A164,'_Fonte_A2'!$A:$A,'_Fonte_A2'!W:W)</f>
        <v>Ciss S.a Gestao Para O Varejo</v>
      </c>
    </row>
    <row r="165">
      <c r="A165" s="26" t="s">
        <v>316</v>
      </c>
      <c r="B165" s="26">
        <f t="array" ref="B165">XLOOKUP($A165,'_Fonte_A2'!$A:$A,'_Fonte_A2'!B:B)</f>
        <v>8</v>
      </c>
      <c r="C165" s="26" t="str">
        <f t="array" ref="C165">XLOOKUP($A165,'_Fonte_A2'!$A:$A,'_Fonte_A2'!D:D)</f>
        <v>QSR - Pastelaria</v>
      </c>
      <c r="D165" s="26" t="str">
        <f t="array" ref="D165">XLOOKUP($A165,'_Fonte_A2'!$A:$A,'_Fonte_A2'!W:W)</f>
        <v>Stone Co.</v>
      </c>
    </row>
    <row r="166">
      <c r="A166" s="26" t="s">
        <v>317</v>
      </c>
      <c r="B166" s="26">
        <f t="array" ref="B166">XLOOKUP($A166,'_Fonte_A2'!$A:$A,'_Fonte_A2'!B:B)</f>
        <v>3</v>
      </c>
      <c r="C166" s="26" t="str">
        <f t="array" ref="C166">XLOOKUP($A166,'_Fonte_A2'!$A:$A,'_Fonte_A2'!D:D)</f>
        <v>QSR - Açaí/Poke</v>
      </c>
      <c r="D166" s="26" t="str">
        <f t="array" ref="D166">XLOOKUP($A166,'_Fonte_A2'!$A:$A,'_Fonte_A2'!W:W)</f>
        <v>Saipos Serviços De Software</v>
      </c>
    </row>
    <row r="167">
      <c r="A167" s="26" t="s">
        <v>318</v>
      </c>
      <c r="B167" s="26">
        <f t="array" ref="B167">XLOOKUP($A167,'_Fonte_A2'!$A:$A,'_Fonte_A2'!B:B)</f>
        <v>6</v>
      </c>
      <c r="C167" s="26" t="str">
        <f t="array" ref="C167">XLOOKUP($A167,'_Fonte_A2'!$A:$A,'_Fonte_A2'!D:D)</f>
        <v>Grupo Multi-marca</v>
      </c>
      <c r="D167" s="26" t="str">
        <f t="array" ref="D167">XLOOKUP($A167,'_Fonte_A2'!$A:$A,'_Fonte_A2'!W:W)</f>
        <v>N/A (Not found)</v>
      </c>
    </row>
    <row r="168">
      <c r="A168" s="26" t="s">
        <v>319</v>
      </c>
      <c r="B168" s="26">
        <f t="array" ref="B168">XLOOKUP($A168,'_Fonte_A2'!$A:$A,'_Fonte_A2'!B:B)</f>
        <v>2</v>
      </c>
      <c r="C168" s="26" t="str">
        <f t="array" ref="C168">XLOOKUP($A168,'_Fonte_A2'!$A:$A,'_Fonte_A2'!D:D)</f>
        <v>Fast Casual - Frutos do Mar</v>
      </c>
      <c r="D168" s="26" t="str">
        <f t="array" ref="D168">XLOOKUP($A168,'_Fonte_A2'!$A:$A,'_Fonte_A2'!W:W)</f>
        <v>Saipos Serviços De Software</v>
      </c>
    </row>
    <row r="169">
      <c r="A169" s="26" t="s">
        <v>320</v>
      </c>
      <c r="B169" s="26">
        <f t="array" ref="B169">XLOOKUP($A169,'_Fonte_A2'!$A:$A,'_Fonte_A2'!B:B)</f>
        <v>5</v>
      </c>
      <c r="C169" s="26" t="str">
        <f t="array" ref="C169">XLOOKUP($A169,'_Fonte_A2'!$A:$A,'_Fonte_A2'!D:D)</f>
        <v>Fast Casual - Multi-conceito</v>
      </c>
      <c r="D169" s="26" t="str">
        <f t="array" ref="D169">XLOOKUP($A169,'_Fonte_A2'!$A:$A,'_Fonte_A2'!W:W)</f>
        <v>Stone Co.</v>
      </c>
    </row>
    <row r="170">
      <c r="A170" s="26" t="s">
        <v>321</v>
      </c>
      <c r="B170" s="26">
        <f t="array" ref="B170">XLOOKUP($A170,'_Fonte_A2'!$A:$A,'_Fonte_A2'!B:B)</f>
        <v>6</v>
      </c>
      <c r="C170" s="26" t="str">
        <f t="array" ref="C170">XLOOKUP($A170,'_Fonte_A2'!$A:$A,'_Fonte_A2'!D:D)</f>
        <v>Fast Casual - Multi-conceito</v>
      </c>
      <c r="D170" s="26" t="str">
        <f t="array" ref="D170">XLOOKUP($A170,'_Fonte_A2'!$A:$A,'_Fonte_A2'!W:W)</f>
        <v>Hubster</v>
      </c>
    </row>
    <row r="171">
      <c r="A171" s="26" t="s">
        <v>322</v>
      </c>
      <c r="B171" s="26">
        <f t="array" ref="B171">XLOOKUP($A171,'_Fonte_A2'!$A:$A,'_Fonte_A2'!B:B)</f>
        <v>3</v>
      </c>
      <c r="C171" s="26" t="str">
        <f t="array" ref="C171">XLOOKUP($A171,'_Fonte_A2'!$A:$A,'_Fonte_A2'!D:D)</f>
        <v>Fast Casual - Pizzaria</v>
      </c>
      <c r="D171" s="26" t="str">
        <f t="array" ref="D171">XLOOKUP($A171,'_Fonte_A2'!$A:$A,'_Fonte_A2'!W:W)</f>
        <v>N/A (Not found)</v>
      </c>
    </row>
    <row r="172">
      <c r="A172" s="26" t="s">
        <v>323</v>
      </c>
      <c r="B172" s="26">
        <f t="array" ref="B172">XLOOKUP($A172,'_Fonte_A2'!$A:$A,'_Fonte_A2'!B:B)</f>
        <v>5</v>
      </c>
      <c r="C172" s="26" t="str">
        <f t="array" ref="C172">XLOOKUP($A172,'_Fonte_A2'!$A:$A,'_Fonte_A2'!D:D)</f>
        <v>Fast Casual - Pizzaria</v>
      </c>
      <c r="D172" s="26" t="str">
        <f t="array" ref="D172">XLOOKUP($A172,'_Fonte_A2'!$A:$A,'_Fonte_A2'!W:W)</f>
        <v>Cityfoods Ltda</v>
      </c>
    </row>
    <row r="173">
      <c r="A173" s="26" t="s">
        <v>324</v>
      </c>
      <c r="B173" s="26">
        <f t="array" ref="B173">XLOOKUP($A173,'_Fonte_A2'!$A:$A,'_Fonte_A2'!B:B)</f>
        <v>12</v>
      </c>
      <c r="C173" s="26" t="str">
        <f t="array" ref="C173">XLOOKUP($A173,'_Fonte_A2'!$A:$A,'_Fonte_A2'!D:D)</f>
        <v>Fast Casual - Pizzaria</v>
      </c>
      <c r="D173" s="26" t="str">
        <f t="array" ref="D173">XLOOKUP($A173,'_Fonte_A2'!$A:$A,'_Fonte_A2'!W:W)</f>
        <v>N/A (Not found)</v>
      </c>
    </row>
    <row r="174">
      <c r="A174" s="26" t="s">
        <v>325</v>
      </c>
      <c r="B174" s="26">
        <f t="array" ref="B174">XLOOKUP($A174,'_Fonte_A2'!$A:$A,'_Fonte_A2'!B:B)</f>
        <v>8</v>
      </c>
      <c r="C174" s="26" t="str">
        <f t="array" ref="C174">XLOOKUP($A174,'_Fonte_A2'!$A:$A,'_Fonte_A2'!D:D)</f>
        <v>Fast Casual - Multi-conceito</v>
      </c>
      <c r="D174" s="26" t="str">
        <f t="array" ref="D174">XLOOKUP($A174,'_Fonte_A2'!$A:$A,'_Fonte_A2'!W:W)</f>
        <v>Stone Co.</v>
      </c>
    </row>
    <row r="175">
      <c r="A175" s="26" t="s">
        <v>326</v>
      </c>
      <c r="B175" s="26">
        <f t="array" ref="B175">XLOOKUP($A175,'_Fonte_A2'!$A:$A,'_Fonte_A2'!B:B)</f>
        <v>13</v>
      </c>
      <c r="C175" s="26" t="str">
        <f t="array" ref="C175">XLOOKUP($A175,'_Fonte_A2'!$A:$A,'_Fonte_A2'!D:D)</f>
        <v>QSR - Açaí/Poke</v>
      </c>
      <c r="D175" s="26" t="str">
        <f t="array" ref="D175">XLOOKUP($A175,'_Fonte_A2'!$A:$A,'_Fonte_A2'!W:W)</f>
        <v>Dynaset Software</v>
      </c>
    </row>
    <row r="176">
      <c r="A176" s="26" t="s">
        <v>327</v>
      </c>
      <c r="B176" s="26">
        <f t="array" ref="B176">XLOOKUP($A176,'_Fonte_A2'!$A:$A,'_Fonte_A2'!B:B)</f>
        <v>8</v>
      </c>
      <c r="C176" s="26" t="str">
        <f t="array" ref="C176">XLOOKUP($A176,'_Fonte_A2'!$A:$A,'_Fonte_A2'!D:D)</f>
        <v>Grupo Multi-marca</v>
      </c>
      <c r="D176" s="26" t="str">
        <f t="array" ref="D176">XLOOKUP($A176,'_Fonte_A2'!$A:$A,'_Fonte_A2'!W:W)</f>
        <v>N/A (Not found)</v>
      </c>
    </row>
    <row r="177">
      <c r="A177" s="26" t="s">
        <v>328</v>
      </c>
      <c r="B177" s="26">
        <f t="array" ref="B177">XLOOKUP($A177,'_Fonte_A2'!$A:$A,'_Fonte_A2'!B:B)</f>
        <v>6</v>
      </c>
      <c r="C177" s="26" t="str">
        <f t="array" ref="C177">XLOOKUP($A177,'_Fonte_A2'!$A:$A,'_Fonte_A2'!D:D)</f>
        <v>Fast Casual - Multi-conceito</v>
      </c>
      <c r="D177" s="26" t="str">
        <f t="array" ref="D177">XLOOKUP($A177,'_Fonte_A2'!$A:$A,'_Fonte_A2'!W:W)</f>
        <v>Swfast Sistemas</v>
      </c>
    </row>
    <row r="178">
      <c r="A178" s="26" t="s">
        <v>329</v>
      </c>
      <c r="B178" s="26">
        <f t="array" ref="B178">XLOOKUP($A178,'_Fonte_A2'!$A:$A,'_Fonte_A2'!B:B)</f>
        <v>9</v>
      </c>
      <c r="C178" s="26" t="str">
        <f t="array" ref="C178">XLOOKUP($A178,'_Fonte_A2'!$A:$A,'_Fonte_A2'!D:D)</f>
        <v>Fast Casual - Hamburgueria</v>
      </c>
      <c r="D178" s="26" t="str">
        <f t="array" ref="D178">XLOOKUP($A178,'_Fonte_A2'!$A:$A,'_Fonte_A2'!W:W)</f>
        <v>N/A (Not found)</v>
      </c>
    </row>
    <row r="179">
      <c r="A179" s="26" t="s">
        <v>330</v>
      </c>
      <c r="B179" s="26">
        <f t="array" ref="B179">XLOOKUP($A179,'_Fonte_A2'!$A:$A,'_Fonte_A2'!B:B)</f>
        <v>3</v>
      </c>
      <c r="C179" s="26" t="str">
        <f t="array" ref="C179">XLOOKUP($A179,'_Fonte_A2'!$A:$A,'_Fonte_A2'!D:D)</f>
        <v>Fast Casual - Multi-conceito</v>
      </c>
      <c r="D179" s="26" t="str">
        <f t="array" ref="D179">XLOOKUP($A179,'_Fonte_A2'!$A:$A,'_Fonte_A2'!W:W)</f>
        <v>Sagres Automação Comercial</v>
      </c>
    </row>
    <row r="180">
      <c r="A180" s="26" t="s">
        <v>331</v>
      </c>
      <c r="B180" s="26">
        <f t="array" ref="B180">XLOOKUP($A180,'_Fonte_A2'!$A:$A,'_Fonte_A2'!B:B)</f>
        <v>2</v>
      </c>
      <c r="C180" s="26" t="str">
        <f t="array" ref="C180">XLOOKUP($A180,'_Fonte_A2'!$A:$A,'_Fonte_A2'!D:D)</f>
        <v>Fast Casual - Multi-conceito</v>
      </c>
      <c r="D180" s="26" t="str">
        <f t="array" ref="D180">XLOOKUP($A180,'_Fonte_A2'!$A:$A,'_Fonte_A2'!W:W)</f>
        <v>E-deploy Retail</v>
      </c>
    </row>
    <row r="181">
      <c r="A181" s="26" t="s">
        <v>332</v>
      </c>
      <c r="B181" s="26">
        <f t="array" ref="B181">XLOOKUP($A181,'_Fonte_A2'!$A:$A,'_Fonte_A2'!B:B)</f>
        <v>7</v>
      </c>
      <c r="C181" s="26" t="str">
        <f t="array" ref="C181">XLOOKUP($A181,'_Fonte_A2'!$A:$A,'_Fonte_A2'!D:D)</f>
        <v>Fast Casual - Pizzaria</v>
      </c>
      <c r="D181" s="26" t="str">
        <f t="array" ref="D181">XLOOKUP($A181,'_Fonte_A2'!$A:$A,'_Fonte_A2'!W:W)</f>
        <v>N/A (Not found)</v>
      </c>
    </row>
    <row r="182">
      <c r="A182" s="26" t="s">
        <v>333</v>
      </c>
      <c r="B182" s="26">
        <f t="array" ref="B182">XLOOKUP($A182,'_Fonte_A2'!$A:$A,'_Fonte_A2'!B:B)</f>
        <v>11</v>
      </c>
      <c r="C182" s="26" t="str">
        <f t="array" ref="C182">XLOOKUP($A182,'_Fonte_A2'!$A:$A,'_Fonte_A2'!D:D)</f>
        <v>QSR - Açaí/Poke</v>
      </c>
      <c r="D182" s="26" t="str">
        <f t="array" ref="D182">XLOOKUP($A182,'_Fonte_A2'!$A:$A,'_Fonte_A2'!W:W)</f>
        <v>E-deploy Retail</v>
      </c>
    </row>
    <row r="183">
      <c r="A183" s="26" t="s">
        <v>334</v>
      </c>
      <c r="B183" s="26">
        <f t="array" ref="B183">XLOOKUP($A183,'_Fonte_A2'!$A:$A,'_Fonte_A2'!B:B)</f>
        <v>8</v>
      </c>
      <c r="C183" s="26" t="str">
        <f t="array" ref="C183">XLOOKUP($A183,'_Fonte_A2'!$A:$A,'_Fonte_A2'!D:D)</f>
        <v>Fast Casual - Japonesa</v>
      </c>
      <c r="D183" s="26" t="str">
        <f t="array" ref="D183">XLOOKUP($A183,'_Fonte_A2'!$A:$A,'_Fonte_A2'!W:W)</f>
        <v>N/A (Not found)</v>
      </c>
    </row>
    <row r="184">
      <c r="A184" s="26" t="s">
        <v>335</v>
      </c>
      <c r="B184" s="26">
        <f t="array" ref="B184">XLOOKUP($A184,'_Fonte_A2'!$A:$A,'_Fonte_A2'!B:B)</f>
        <v>7</v>
      </c>
      <c r="C184" s="26" t="str">
        <f t="array" ref="C184">XLOOKUP($A184,'_Fonte_A2'!$A:$A,'_Fonte_A2'!D:D)</f>
        <v>Fast Casual - Multi-conceito</v>
      </c>
      <c r="D184" s="26" t="str">
        <f t="array" ref="D184">XLOOKUP($A184,'_Fonte_A2'!$A:$A,'_Fonte_A2'!W:W)</f>
        <v>Saipos Serviços De Software</v>
      </c>
    </row>
    <row r="185">
      <c r="A185" s="26" t="s">
        <v>336</v>
      </c>
      <c r="B185" s="26">
        <f t="array" ref="B185">XLOOKUP($A185,'_Fonte_A2'!$A:$A,'_Fonte_A2'!B:B)</f>
        <v>9</v>
      </c>
      <c r="C185" s="26" t="str">
        <f t="array" ref="C185">XLOOKUP($A185,'_Fonte_A2'!$A:$A,'_Fonte_A2'!D:D)</f>
        <v>QSR - Hot Dog</v>
      </c>
      <c r="D185" s="26" t="str">
        <f t="array" ref="D185">XLOOKUP($A185,'_Fonte_A2'!$A:$A,'_Fonte_A2'!W:W)</f>
        <v>N/A (Not found)</v>
      </c>
    </row>
    <row r="186">
      <c r="A186" s="26" t="s">
        <v>337</v>
      </c>
      <c r="B186" s="26">
        <f t="array" ref="B186">XLOOKUP($A186,'_Fonte_A2'!$A:$A,'_Fonte_A2'!B:B)</f>
        <v>7</v>
      </c>
      <c r="C186" s="26" t="str">
        <f t="array" ref="C186">XLOOKUP($A186,'_Fonte_A2'!$A:$A,'_Fonte_A2'!D:D)</f>
        <v>Fast Casual - Multi-conceito</v>
      </c>
      <c r="D186" s="26" t="str">
        <f t="array" ref="D186">XLOOKUP($A186,'_Fonte_A2'!$A:$A,'_Fonte_A2'!W:W)</f>
        <v>Swfast Sistemas</v>
      </c>
    </row>
    <row r="187">
      <c r="A187" s="26" t="s">
        <v>338</v>
      </c>
      <c r="B187" s="26">
        <f t="array" ref="B187">XLOOKUP($A187,'_Fonte_A2'!$A:$A,'_Fonte_A2'!B:B)</f>
        <v>10</v>
      </c>
      <c r="C187" s="26" t="str">
        <f t="array" ref="C187">XLOOKUP($A187,'_Fonte_A2'!$A:$A,'_Fonte_A2'!D:D)</f>
        <v>Fast Casual - Hamburgueria</v>
      </c>
      <c r="D187" s="26" t="str">
        <f t="array" ref="D187">XLOOKUP($A187,'_Fonte_A2'!$A:$A,'_Fonte_A2'!W:W)</f>
        <v>N/A (Not found)</v>
      </c>
    </row>
    <row r="188">
      <c r="A188" s="26" t="s">
        <v>339</v>
      </c>
      <c r="B188" s="26">
        <f t="array" ref="B188">XLOOKUP($A188,'_Fonte_A2'!$A:$A,'_Fonte_A2'!B:B)</f>
        <v>7</v>
      </c>
      <c r="C188" s="26" t="str">
        <f t="array" ref="C188">XLOOKUP($A188,'_Fonte_A2'!$A:$A,'_Fonte_A2'!D:D)</f>
        <v>Fast Casual - Multi-conceito</v>
      </c>
      <c r="D188" s="26" t="str">
        <f t="array" ref="D188">XLOOKUP($A188,'_Fonte_A2'!$A:$A,'_Fonte_A2'!W:W)</f>
        <v>N/A (Not found)</v>
      </c>
    </row>
    <row r="189">
      <c r="A189" s="26" t="s">
        <v>340</v>
      </c>
      <c r="B189" s="26">
        <f t="array" ref="B189">XLOOKUP($A189,'_Fonte_A2'!$A:$A,'_Fonte_A2'!B:B)</f>
        <v>3</v>
      </c>
      <c r="C189" s="26" t="str">
        <f t="array" ref="C189">XLOOKUP($A189,'_Fonte_A2'!$A:$A,'_Fonte_A2'!D:D)</f>
        <v>Fast Casual - Multi-conceito</v>
      </c>
      <c r="D189" s="26" t="str">
        <f t="array" ref="D189">XLOOKUP($A189,'_Fonte_A2'!$A:$A,'_Fonte_A2'!W:W)</f>
        <v>Opdv</v>
      </c>
    </row>
    <row r="190">
      <c r="A190" s="26" t="s">
        <v>341</v>
      </c>
      <c r="B190" s="26">
        <f t="array" ref="B190">XLOOKUP($A190,'_Fonte_A2'!$A:$A,'_Fonte_A2'!B:B)</f>
        <v>11</v>
      </c>
      <c r="C190" s="26" t="str">
        <f t="array" ref="C190">XLOOKUP($A190,'_Fonte_A2'!$A:$A,'_Fonte_A2'!D:D)</f>
        <v>Fast Casual - Japonesa</v>
      </c>
      <c r="D190" s="26" t="str">
        <f t="array" ref="D190">XLOOKUP($A190,'_Fonte_A2'!$A:$A,'_Fonte_A2'!W:W)</f>
        <v>null</v>
      </c>
    </row>
    <row r="191">
      <c r="A191" s="26" t="s">
        <v>342</v>
      </c>
      <c r="B191" s="26">
        <f t="array" ref="B191">XLOOKUP($A191,'_Fonte_A2'!$A:$A,'_Fonte_A2'!B:B)</f>
        <v>8</v>
      </c>
      <c r="C191" s="26" t="str">
        <f t="array" ref="C191">XLOOKUP($A191,'_Fonte_A2'!$A:$A,'_Fonte_A2'!D:D)</f>
        <v>Fast Casual - Multi-conceito</v>
      </c>
      <c r="D191" s="26" t="str">
        <f t="array" ref="D191">XLOOKUP($A191,'_Fonte_A2'!$A:$A,'_Fonte_A2'!W:W)</f>
        <v>Cloudfy</v>
      </c>
    </row>
    <row r="192">
      <c r="A192" s="26" t="s">
        <v>343</v>
      </c>
      <c r="B192" s="26">
        <f t="array" ref="B192">XLOOKUP($A192,'_Fonte_A2'!$A:$A,'_Fonte_A2'!B:B)</f>
        <v>5</v>
      </c>
      <c r="C192" s="26" t="str">
        <f t="array" ref="C192">XLOOKUP($A192,'_Fonte_A2'!$A:$A,'_Fonte_A2'!D:D)</f>
        <v>Fast Casual - Multi-conceito</v>
      </c>
      <c r="D192" s="26" t="str">
        <f t="array" ref="D192">XLOOKUP($A192,'_Fonte_A2'!$A:$A,'_Fonte_A2'!W:W)</f>
        <v>Solução Sistemas</v>
      </c>
    </row>
    <row r="193">
      <c r="A193" s="26" t="s">
        <v>344</v>
      </c>
      <c r="B193" s="26">
        <f t="array" ref="B193">XLOOKUP($A193,'_Fonte_A2'!$A:$A,'_Fonte_A2'!B:B)</f>
        <v>3</v>
      </c>
      <c r="C193" s="26" t="str">
        <f t="array" ref="C193">XLOOKUP($A193,'_Fonte_A2'!$A:$A,'_Fonte_A2'!D:D)</f>
        <v>Fast Casual - Multi-conceito</v>
      </c>
      <c r="D193" s="26" t="str">
        <f t="array" ref="D193">XLOOKUP($A193,'_Fonte_A2'!$A:$A,'_Fonte_A2'!W:W)</f>
        <v>Opdv</v>
      </c>
    </row>
    <row r="194">
      <c r="A194" s="26" t="s">
        <v>345</v>
      </c>
      <c r="B194" s="26">
        <f t="array" ref="B194">XLOOKUP($A194,'_Fonte_A2'!$A:$A,'_Fonte_A2'!B:B)</f>
        <v>6</v>
      </c>
      <c r="C194" s="26" t="str">
        <f t="array" ref="C194">XLOOKUP($A194,'_Fonte_A2'!$A:$A,'_Fonte_A2'!D:D)</f>
        <v>Fast Casual - Frutos do Mar</v>
      </c>
      <c r="D194" s="26" t="str">
        <f t="array" ref="D194">XLOOKUP($A194,'_Fonte_A2'!$A:$A,'_Fonte_A2'!W:W)</f>
        <v>N/A (Not found)</v>
      </c>
    </row>
    <row r="195">
      <c r="A195" s="26" t="s">
        <v>346</v>
      </c>
      <c r="B195" s="26">
        <f t="array" ref="B195">XLOOKUP($A195,'_Fonte_A2'!$A:$A,'_Fonte_A2'!B:B)</f>
        <v>2</v>
      </c>
      <c r="C195" s="26" t="str">
        <f t="array" ref="C195">XLOOKUP($A195,'_Fonte_A2'!$A:$A,'_Fonte_A2'!D:D)</f>
        <v>Fast Casual - Multi-conceito</v>
      </c>
      <c r="D195" s="26" t="str">
        <f t="array" ref="D195">XLOOKUP($A195,'_Fonte_A2'!$A:$A,'_Fonte_A2'!W:W)</f>
        <v>N/A (Not found)</v>
      </c>
    </row>
    <row r="196">
      <c r="A196" s="26" t="s">
        <v>347</v>
      </c>
      <c r="B196" s="26">
        <f t="array" ref="B196">XLOOKUP($A196,'_Fonte_A2'!$A:$A,'_Fonte_A2'!B:B)</f>
        <v>3</v>
      </c>
      <c r="C196" s="26" t="str">
        <f t="array" ref="C196">XLOOKUP($A196,'_Fonte_A2'!$A:$A,'_Fonte_A2'!D:D)</f>
        <v>Fast Casual - Multi-conceito</v>
      </c>
      <c r="D196" s="26" t="str">
        <f t="array" ref="D196">XLOOKUP($A196,'_Fonte_A2'!$A:$A,'_Fonte_A2'!W:W)</f>
        <v>N/A (Not found)</v>
      </c>
    </row>
    <row r="197">
      <c r="A197" s="26" t="s">
        <v>348</v>
      </c>
      <c r="B197" s="26">
        <f t="array" ref="B197">XLOOKUP($A197,'_Fonte_A2'!$A:$A,'_Fonte_A2'!B:B)</f>
        <v>12</v>
      </c>
      <c r="C197" s="26" t="str">
        <f t="array" ref="C197">XLOOKUP($A197,'_Fonte_A2'!$A:$A,'_Fonte_A2'!D:D)</f>
        <v>Fast Casual - Japonesa</v>
      </c>
      <c r="D197" s="26" t="str">
        <f t="array" ref="D197">XLOOKUP($A197,'_Fonte_A2'!$A:$A,'_Fonte_A2'!W:W)</f>
        <v>Stone Co.</v>
      </c>
    </row>
    <row r="198">
      <c r="A198" s="26" t="s">
        <v>349</v>
      </c>
      <c r="B198" s="26">
        <f t="array" ref="B198">XLOOKUP($A198,'_Fonte_A2'!$A:$A,'_Fonte_A2'!B:B)</f>
        <v>4</v>
      </c>
      <c r="C198" s="26" t="str">
        <f t="array" ref="C198">XLOOKUP($A198,'_Fonte_A2'!$A:$A,'_Fonte_A2'!D:D)</f>
        <v>Fast Casual - Multi-conceito</v>
      </c>
      <c r="D198" s="26" t="str">
        <f t="array" ref="D198">XLOOKUP($A198,'_Fonte_A2'!$A:$A,'_Fonte_A2'!W:W)</f>
        <v>N/A (Not found)</v>
      </c>
    </row>
    <row r="199">
      <c r="A199" s="26" t="s">
        <v>350</v>
      </c>
      <c r="B199" s="26">
        <f t="array" ref="B199">XLOOKUP($A199,'_Fonte_A2'!$A:$A,'_Fonte_A2'!B:B)</f>
        <v>6</v>
      </c>
      <c r="C199" s="26" t="str">
        <f t="array" ref="C199">XLOOKUP($A199,'_Fonte_A2'!$A:$A,'_Fonte_A2'!D:D)</f>
        <v>Fast Casual - Multi-conceito</v>
      </c>
      <c r="D199" s="26" t="str">
        <f t="array" ref="D199">XLOOKUP($A199,'_Fonte_A2'!$A:$A,'_Fonte_A2'!W:W)</f>
        <v>N/A (Not found)</v>
      </c>
    </row>
    <row r="200">
      <c r="A200" s="26" t="s">
        <v>351</v>
      </c>
      <c r="B200" s="26">
        <f t="array" ref="B200">XLOOKUP($A200,'_Fonte_A2'!$A:$A,'_Fonte_A2'!B:B)</f>
        <v>9</v>
      </c>
      <c r="C200" s="26" t="str">
        <f t="array" ref="C200">XLOOKUP($A200,'_Fonte_A2'!$A:$A,'_Fonte_A2'!D:D)</f>
        <v>QSR - Açaí/Poke</v>
      </c>
      <c r="D200" s="26" t="str">
        <f t="array" ref="D200">XLOOKUP($A200,'_Fonte_A2'!$A:$A,'_Fonte_A2'!W:W)</f>
        <v>Saipos Serviços De Software</v>
      </c>
    </row>
    <row r="201">
      <c r="A201" s="26" t="s">
        <v>352</v>
      </c>
      <c r="B201" s="26">
        <f t="array" ref="B201">XLOOKUP($A201,'_Fonte_A2'!$A:$A,'_Fonte_A2'!B:B)</f>
        <v>5</v>
      </c>
      <c r="C201" s="26" t="str">
        <f t="array" ref="C201">XLOOKUP($A201,'_Fonte_A2'!$A:$A,'_Fonte_A2'!D:D)</f>
        <v>Fast Casual - Multi-conceito</v>
      </c>
      <c r="D201" s="26" t="str">
        <f t="array" ref="D201">XLOOKUP($A201,'_Fonte_A2'!$A:$A,'_Fonte_A2'!W:W)</f>
        <v>Saipos Serviços De Software</v>
      </c>
    </row>
    <row r="202">
      <c r="A202" s="26" t="s">
        <v>353</v>
      </c>
      <c r="B202" s="26">
        <f t="array" ref="B202">XLOOKUP($A202,'_Fonte_A2'!$A:$A,'_Fonte_A2'!B:B)</f>
        <v>2</v>
      </c>
      <c r="C202" s="26" t="str">
        <f t="array" ref="C202">XLOOKUP($A202,'_Fonte_A2'!$A:$A,'_Fonte_A2'!D:D)</f>
        <v>Table Service - Churrascaria</v>
      </c>
      <c r="D202" s="26" t="str">
        <f t="array" ref="D202">XLOOKUP($A202,'_Fonte_A2'!$A:$A,'_Fonte_A2'!W:W)</f>
        <v>Algoritma Sistemas De Software Ltda</v>
      </c>
    </row>
    <row r="203">
      <c r="A203" s="26" t="s">
        <v>354</v>
      </c>
      <c r="B203" s="26">
        <f t="array" ref="B203">XLOOKUP($A203,'_Fonte_A2'!$A:$A,'_Fonte_A2'!B:B)</f>
        <v>7</v>
      </c>
      <c r="C203" s="26" t="str">
        <f t="array" ref="C203">XLOOKUP($A203,'_Fonte_A2'!$A:$A,'_Fonte_A2'!D:D)</f>
        <v>Fast Casual - Pizzaria</v>
      </c>
      <c r="D203" s="26" t="str">
        <f t="array" ref="D203">XLOOKUP($A203,'_Fonte_A2'!$A:$A,'_Fonte_A2'!W:W)</f>
        <v>E-deploy Retail</v>
      </c>
    </row>
    <row r="204">
      <c r="A204" s="26" t="s">
        <v>355</v>
      </c>
      <c r="B204" s="26">
        <f t="array" ref="B204">XLOOKUP($A204,'_Fonte_A2'!$A:$A,'_Fonte_A2'!B:B)</f>
        <v>6</v>
      </c>
      <c r="C204" s="26" t="str">
        <f t="array" ref="C204">XLOOKUP($A204,'_Fonte_A2'!$A:$A,'_Fonte_A2'!D:D)</f>
        <v>Fast Casual - Japonesa</v>
      </c>
      <c r="D204" s="26" t="str">
        <f t="array" ref="D204">XLOOKUP($A204,'_Fonte_A2'!$A:$A,'_Fonte_A2'!W:W)</f>
        <v>E-deploy Retail</v>
      </c>
    </row>
    <row r="205">
      <c r="A205" s="26" t="s">
        <v>356</v>
      </c>
      <c r="B205" s="26">
        <f t="array" ref="B205">XLOOKUP($A205,'_Fonte_A2'!$A:$A,'_Fonte_A2'!B:B)</f>
        <v>9</v>
      </c>
      <c r="C205" s="26" t="str">
        <f t="array" ref="C205">XLOOKUP($A205,'_Fonte_A2'!$A:$A,'_Fonte_A2'!D:D)</f>
        <v>Fast Casual - Esfiharia</v>
      </c>
      <c r="D205" s="26" t="str">
        <f t="array" ref="D205">XLOOKUP($A205,'_Fonte_A2'!$A:$A,'_Fonte_A2'!W:W)</f>
        <v>Saipos Serviços De Software</v>
      </c>
    </row>
    <row r="206">
      <c r="A206" s="26" t="s">
        <v>357</v>
      </c>
      <c r="B206" s="26">
        <f t="array" ref="B206">XLOOKUP($A206,'_Fonte_A2'!$A:$A,'_Fonte_A2'!B:B)</f>
        <v>5</v>
      </c>
      <c r="C206" s="26" t="str">
        <f t="array" ref="C206">XLOOKUP($A206,'_Fonte_A2'!$A:$A,'_Fonte_A2'!D:D)</f>
        <v>Fast Casual - Pizzaria</v>
      </c>
      <c r="D206" s="26" t="str">
        <f t="array" ref="D206">XLOOKUP($A206,'_Fonte_A2'!$A:$A,'_Fonte_A2'!W:W)</f>
        <v>N/A (Not found)</v>
      </c>
    </row>
    <row r="207">
      <c r="A207" s="26" t="s">
        <v>358</v>
      </c>
      <c r="B207" s="26">
        <f t="array" ref="B207">XLOOKUP($A207,'_Fonte_A2'!$A:$A,'_Fonte_A2'!B:B)</f>
        <v>10</v>
      </c>
      <c r="C207" s="26" t="str">
        <f t="array" ref="C207">XLOOKUP($A207,'_Fonte_A2'!$A:$A,'_Fonte_A2'!D:D)</f>
        <v>Fast Casual - Pizzaria</v>
      </c>
      <c r="D207" s="26" t="str">
        <f t="array" ref="D207">XLOOKUP($A207,'_Fonte_A2'!$A:$A,'_Fonte_A2'!W:W)</f>
        <v>N/A (Not found)</v>
      </c>
    </row>
    <row r="208">
      <c r="A208" s="26" t="s">
        <v>359</v>
      </c>
      <c r="B208" s="26">
        <f t="array" ref="B208">XLOOKUP($A208,'_Fonte_A2'!$A:$A,'_Fonte_A2'!B:B)</f>
        <v>6</v>
      </c>
      <c r="C208" s="26" t="str">
        <f t="array" ref="C208">XLOOKUP($A208,'_Fonte_A2'!$A:$A,'_Fonte_A2'!D:D)</f>
        <v>Fast Casual - Multi-conceito</v>
      </c>
      <c r="D208" s="26" t="str">
        <f t="array" ref="D208">XLOOKUP($A208,'_Fonte_A2'!$A:$A,'_Fonte_A2'!W:W)</f>
        <v>Gcom - Gestao Em Tecnologia De Informacao Eireli</v>
      </c>
    </row>
    <row r="209">
      <c r="A209" s="26" t="s">
        <v>360</v>
      </c>
      <c r="B209" s="26">
        <f t="array" ref="B209">XLOOKUP($A209,'_Fonte_A2'!$A:$A,'_Fonte_A2'!B:B)</f>
        <v>3</v>
      </c>
      <c r="C209" s="26" t="str">
        <f t="array" ref="C209">XLOOKUP($A209,'_Fonte_A2'!$A:$A,'_Fonte_A2'!D:D)</f>
        <v>Fast Casual - Multi-conceito</v>
      </c>
      <c r="D209" s="26" t="str">
        <f t="array" ref="D209">XLOOKUP($A209,'_Fonte_A2'!$A:$A,'_Fonte_A2'!W:W)</f>
        <v>N/A (Not found)</v>
      </c>
    </row>
    <row r="210">
      <c r="A210" s="26" t="s">
        <v>361</v>
      </c>
      <c r="B210" s="26">
        <f t="array" ref="B210">XLOOKUP($A210,'_Fonte_A2'!$A:$A,'_Fonte_A2'!B:B)</f>
        <v>2</v>
      </c>
      <c r="C210" s="26" t="str">
        <f t="array" ref="C210">XLOOKUP($A210,'_Fonte_A2'!$A:$A,'_Fonte_A2'!D:D)</f>
        <v>Varejo - Confeitaria</v>
      </c>
      <c r="D210" s="26" t="str">
        <f t="array" ref="D210">XLOOKUP($A210,'_Fonte_A2'!$A:$A,'_Fonte_A2'!W:W)</f>
        <v>N/A (Not found)</v>
      </c>
    </row>
    <row r="211">
      <c r="A211" s="26" t="s">
        <v>362</v>
      </c>
      <c r="B211" s="26">
        <f t="array" ref="B211">XLOOKUP($A211,'_Fonte_A2'!$A:$A,'_Fonte_A2'!B:B)</f>
        <v>6</v>
      </c>
      <c r="C211" s="26" t="str">
        <f t="array" ref="C211">XLOOKUP($A211,'_Fonte_A2'!$A:$A,'_Fonte_A2'!D:D)</f>
        <v>Fast Casual - Multi-conceito</v>
      </c>
      <c r="D211" s="26" t="str">
        <f t="array" ref="D211">XLOOKUP($A211,'_Fonte_A2'!$A:$A,'_Fonte_A2'!W:W)</f>
        <v>null</v>
      </c>
    </row>
    <row r="212">
      <c r="A212" s="26" t="s">
        <v>363</v>
      </c>
      <c r="B212" s="26">
        <f t="array" ref="B212">XLOOKUP($A212,'_Fonte_A2'!$A:$A,'_Fonte_A2'!B:B)</f>
        <v>8</v>
      </c>
      <c r="C212" s="26" t="str">
        <f t="array" ref="C212">XLOOKUP($A212,'_Fonte_A2'!$A:$A,'_Fonte_A2'!D:D)</f>
        <v>Fast Casual - Multi-conceito</v>
      </c>
      <c r="D212" s="26" t="str">
        <f t="array" ref="D212">XLOOKUP($A212,'_Fonte_A2'!$A:$A,'_Fonte_A2'!W:W)</f>
        <v>N/A (Not found)</v>
      </c>
    </row>
    <row r="213">
      <c r="A213" s="26" t="s">
        <v>364</v>
      </c>
      <c r="B213" s="26">
        <f t="array" ref="B213">XLOOKUP($A213,'_Fonte_A2'!$A:$A,'_Fonte_A2'!B:B)</f>
        <v>4</v>
      </c>
      <c r="C213" s="26" t="str">
        <f t="array" ref="C213">XLOOKUP($A213,'_Fonte_A2'!$A:$A,'_Fonte_A2'!D:D)</f>
        <v>Fast Casual - Pizzaria</v>
      </c>
      <c r="D213" s="26" t="str">
        <f t="array" ref="D213">XLOOKUP($A213,'_Fonte_A2'!$A:$A,'_Fonte_A2'!W:W)</f>
        <v>Jclan Sistemas</v>
      </c>
    </row>
    <row r="214">
      <c r="A214" s="26" t="s">
        <v>365</v>
      </c>
      <c r="B214" s="26">
        <f t="array" ref="B214">XLOOKUP($A214,'_Fonte_A2'!$A:$A,'_Fonte_A2'!B:B)</f>
        <v>5</v>
      </c>
      <c r="C214" s="26" t="str">
        <f t="array" ref="C214">XLOOKUP($A214,'_Fonte_A2'!$A:$A,'_Fonte_A2'!D:D)</f>
        <v>Fast Casual - Multi-conceito</v>
      </c>
      <c r="D214" s="26" t="str">
        <f t="array" ref="D214">XLOOKUP($A214,'_Fonte_A2'!$A:$A,'_Fonte_A2'!W:W)</f>
        <v>Gcom - Gestao Em Tecnologia De Informacao Eireli</v>
      </c>
    </row>
    <row r="215">
      <c r="A215" s="26" t="s">
        <v>366</v>
      </c>
      <c r="B215" s="26">
        <f t="array" ref="B215">XLOOKUP($A215,'_Fonte_A2'!$A:$A,'_Fonte_A2'!B:B)</f>
        <v>7</v>
      </c>
      <c r="C215" s="26" t="str">
        <f t="array" ref="C215">XLOOKUP($A215,'_Fonte_A2'!$A:$A,'_Fonte_A2'!D:D)</f>
        <v>Fast Casual - Multi-conceito</v>
      </c>
      <c r="D215" s="26" t="str">
        <f t="array" ref="D215">XLOOKUP($A215,'_Fonte_A2'!$A:$A,'_Fonte_A2'!W:W)</f>
        <v>Berp Sistemas</v>
      </c>
    </row>
    <row r="216">
      <c r="A216" s="26" t="s">
        <v>367</v>
      </c>
      <c r="B216" s="26">
        <f t="array" ref="B216">XLOOKUP($A216,'_Fonte_A2'!$A:$A,'_Fonte_A2'!B:B)</f>
        <v>4</v>
      </c>
      <c r="C216" s="26" t="str">
        <f t="array" ref="C216">XLOOKUP($A216,'_Fonte_A2'!$A:$A,'_Fonte_A2'!D:D)</f>
        <v>Fast Casual - Pizzaria</v>
      </c>
      <c r="D216" s="26" t="str">
        <f t="array" ref="D216">XLOOKUP($A216,'_Fonte_A2'!$A:$A,'_Fonte_A2'!W:W)</f>
        <v>Stone Co.</v>
      </c>
    </row>
    <row r="217">
      <c r="A217" s="26" t="s">
        <v>368</v>
      </c>
      <c r="B217" s="26">
        <f t="array" ref="B217">XLOOKUP($A217,'_Fonte_A2'!$A:$A,'_Fonte_A2'!B:B)</f>
        <v>7</v>
      </c>
      <c r="C217" s="26" t="str">
        <f t="array" ref="C217">XLOOKUP($A217,'_Fonte_A2'!$A:$A,'_Fonte_A2'!D:D)</f>
        <v>Fast Casual - Pizzaria</v>
      </c>
      <c r="D217" s="26" t="str">
        <f t="array" ref="D217">XLOOKUP($A217,'_Fonte_A2'!$A:$A,'_Fonte_A2'!W:W)</f>
        <v>N/A (Not found)</v>
      </c>
    </row>
    <row r="218">
      <c r="A218" s="26" t="s">
        <v>369</v>
      </c>
      <c r="B218" s="26">
        <f t="array" ref="B218">XLOOKUP($A218,'_Fonte_A2'!$A:$A,'_Fonte_A2'!B:B)</f>
        <v>8</v>
      </c>
      <c r="C218" s="26" t="str">
        <f t="array" ref="C218">XLOOKUP($A218,'_Fonte_A2'!$A:$A,'_Fonte_A2'!D:D)</f>
        <v>Fast Casual - Multi-conceito</v>
      </c>
      <c r="D218" s="26" t="str">
        <f t="array" ref="D218">XLOOKUP($A218,'_Fonte_A2'!$A:$A,'_Fonte_A2'!W:W)</f>
        <v>Saipos Serviços De Software</v>
      </c>
    </row>
    <row r="219">
      <c r="A219" s="26" t="s">
        <v>370</v>
      </c>
      <c r="B219" s="26">
        <f t="array" ref="B219">XLOOKUP($A219,'_Fonte_A2'!$A:$A,'_Fonte_A2'!B:B)</f>
        <v>2</v>
      </c>
      <c r="C219" s="26" t="str">
        <f t="array" ref="C219">XLOOKUP($A219,'_Fonte_A2'!$A:$A,'_Fonte_A2'!D:D)</f>
        <v>Fast Casual - Multi-conceito</v>
      </c>
      <c r="D219" s="26" t="str">
        <f t="array" ref="D219">XLOOKUP($A219,'_Fonte_A2'!$A:$A,'_Fonte_A2'!W:W)</f>
        <v>null</v>
      </c>
    </row>
    <row r="220">
      <c r="A220" s="26" t="s">
        <v>371</v>
      </c>
      <c r="B220" s="26">
        <f t="array" ref="B220">XLOOKUP($A220,'_Fonte_A2'!$A:$A,'_Fonte_A2'!B:B)</f>
        <v>22</v>
      </c>
      <c r="C220" s="26" t="str">
        <f t="array" ref="C220">XLOOKUP($A220,'_Fonte_A2'!$A:$A,'_Fonte_A2'!D:D)</f>
        <v>Grupo Multi-marca</v>
      </c>
      <c r="D220" s="26" t="str">
        <f t="array" ref="D220">XLOOKUP($A220,'_Fonte_A2'!$A:$A,'_Fonte_A2'!W:W)</f>
        <v>Opdv</v>
      </c>
    </row>
    <row r="221">
      <c r="A221" s="26" t="s">
        <v>372</v>
      </c>
      <c r="B221" s="26">
        <f t="array" ref="B221">XLOOKUP($A221,'_Fonte_A2'!$A:$A,'_Fonte_A2'!B:B)</f>
        <v>8</v>
      </c>
      <c r="C221" s="26" t="str">
        <f t="array" ref="C221">XLOOKUP($A221,'_Fonte_A2'!$A:$A,'_Fonte_A2'!D:D)</f>
        <v>Fast Casual - Multi-conceito</v>
      </c>
      <c r="D221" s="26" t="str">
        <f t="array" ref="D221">XLOOKUP($A221,'_Fonte_A2'!$A:$A,'_Fonte_A2'!W:W)</f>
        <v>Cloudfy</v>
      </c>
    </row>
    <row r="222">
      <c r="A222" s="26" t="s">
        <v>373</v>
      </c>
      <c r="B222" s="26">
        <f t="array" ref="B222">XLOOKUP($A222,'_Fonte_A2'!$A:$A,'_Fonte_A2'!B:B)</f>
        <v>5</v>
      </c>
      <c r="C222" s="26" t="str">
        <f t="array" ref="C222">XLOOKUP($A222,'_Fonte_A2'!$A:$A,'_Fonte_A2'!D:D)</f>
        <v>Varejo - Confeitaria</v>
      </c>
      <c r="D222" s="26" t="str">
        <f t="array" ref="D222">XLOOKUP($A222,'_Fonte_A2'!$A:$A,'_Fonte_A2'!W:W)</f>
        <v>Stone Co.</v>
      </c>
    </row>
    <row r="223">
      <c r="A223" s="26" t="s">
        <v>374</v>
      </c>
      <c r="B223" s="26">
        <f t="array" ref="B223">XLOOKUP($A223,'_Fonte_A2'!$A:$A,'_Fonte_A2'!B:B)</f>
        <v>6</v>
      </c>
      <c r="C223" s="26" t="str">
        <f t="array" ref="C223">XLOOKUP($A223,'_Fonte_A2'!$A:$A,'_Fonte_A2'!D:D)</f>
        <v>Fast Casual - Multi-conceito</v>
      </c>
      <c r="D223" s="26" t="str">
        <f t="array" ref="D223">XLOOKUP($A223,'_Fonte_A2'!$A:$A,'_Fonte_A2'!W:W)</f>
        <v>Saipos Serviços De Software</v>
      </c>
    </row>
    <row r="224">
      <c r="A224" s="26" t="s">
        <v>375</v>
      </c>
      <c r="B224" s="26">
        <f t="array" ref="B224">XLOOKUP($A224,'_Fonte_A2'!$A:$A,'_Fonte_A2'!B:B)</f>
        <v>5</v>
      </c>
      <c r="C224" s="26" t="str">
        <f t="array" ref="C224">XLOOKUP($A224,'_Fonte_A2'!$A:$A,'_Fonte_A2'!D:D)</f>
        <v>Fast Casual - Multi-conceito</v>
      </c>
      <c r="D224" s="26" t="str">
        <f t="array" ref="D224">XLOOKUP($A224,'_Fonte_A2'!$A:$A,'_Fonte_A2'!W:W)</f>
        <v>Opdv</v>
      </c>
    </row>
    <row r="225">
      <c r="A225" s="26" t="s">
        <v>376</v>
      </c>
      <c r="B225" s="26">
        <f t="array" ref="B225">XLOOKUP($A225,'_Fonte_A2'!$A:$A,'_Fonte_A2'!B:B)</f>
        <v>12</v>
      </c>
      <c r="C225" s="26" t="str">
        <f t="array" ref="C225">XLOOKUP($A225,'_Fonte_A2'!$A:$A,'_Fonte_A2'!D:D)</f>
        <v>Fast Casual - Esfiharia</v>
      </c>
      <c r="D225" s="26" t="str">
        <f t="array" ref="D225">XLOOKUP($A225,'_Fonte_A2'!$A:$A,'_Fonte_A2'!W:W)</f>
        <v>N/A (Not found)</v>
      </c>
    </row>
    <row r="226">
      <c r="A226" s="26" t="s">
        <v>377</v>
      </c>
      <c r="B226" s="26">
        <f t="array" ref="B226">XLOOKUP($A226,'_Fonte_A2'!$A:$A,'_Fonte_A2'!B:B)</f>
        <v>12</v>
      </c>
      <c r="C226" s="26" t="str">
        <f t="array" ref="C226">XLOOKUP($A226,'_Fonte_A2'!$A:$A,'_Fonte_A2'!D:D)</f>
        <v>Fast Casual - Hamburgueria</v>
      </c>
      <c r="D226" s="26" t="str">
        <f t="array" ref="D226">XLOOKUP($A226,'_Fonte_A2'!$A:$A,'_Fonte_A2'!W:W)</f>
        <v>Cloudfy</v>
      </c>
    </row>
    <row r="227">
      <c r="A227" s="26" t="s">
        <v>378</v>
      </c>
      <c r="B227" s="26">
        <f t="array" ref="B227">XLOOKUP($A227,'_Fonte_A2'!$A:$A,'_Fonte_A2'!B:B)</f>
        <v>220</v>
      </c>
      <c r="C227" s="26" t="str">
        <f t="array" ref="C227">XLOOKUP($A227,'_Fonte_A2'!$A:$A,'_Fonte_A2'!D:D)</f>
        <v>Fast Casual - Gelato</v>
      </c>
      <c r="D227" s="26" t="str">
        <f t="array" ref="D227">XLOOKUP($A227,'_Fonte_A2'!$A:$A,'_Fonte_A2'!W:W)</f>
        <v>N/A (Not found)</v>
      </c>
    </row>
    <row r="228">
      <c r="A228" s="26" t="s">
        <v>379</v>
      </c>
      <c r="B228" s="26">
        <f t="array" ref="B228">XLOOKUP($A228,'_Fonte_A2'!$A:$A,'_Fonte_A2'!B:B)</f>
        <v>8</v>
      </c>
      <c r="C228" s="26" t="str">
        <f t="array" ref="C228">XLOOKUP($A228,'_Fonte_A2'!$A:$A,'_Fonte_A2'!D:D)</f>
        <v>Fast Casual - Multi-conceito</v>
      </c>
      <c r="D228" s="26" t="str">
        <f t="array" ref="D228">XLOOKUP($A228,'_Fonte_A2'!$A:$A,'_Fonte_A2'!W:W)</f>
        <v>Opdv</v>
      </c>
    </row>
    <row r="229">
      <c r="A229" s="26" t="s">
        <v>380</v>
      </c>
      <c r="B229" s="26">
        <f t="array" ref="B229">XLOOKUP($A229,'_Fonte_A2'!$A:$A,'_Fonte_A2'!B:B)</f>
        <v>7</v>
      </c>
      <c r="C229" s="26" t="str">
        <f t="array" ref="C229">XLOOKUP($A229,'_Fonte_A2'!$A:$A,'_Fonte_A2'!D:D)</f>
        <v>Fast Casual - Multi-conceito</v>
      </c>
      <c r="D229" s="26" t="str">
        <f t="array" ref="D229">XLOOKUP($A229,'_Fonte_A2'!$A:$A,'_Fonte_A2'!W:W)</f>
        <v>Yooga</v>
      </c>
    </row>
    <row r="230">
      <c r="A230" s="26" t="s">
        <v>381</v>
      </c>
      <c r="B230" s="26">
        <f t="array" ref="B230">XLOOKUP($A230,'_Fonte_A2'!$A:$A,'_Fonte_A2'!B:B)</f>
        <v>6</v>
      </c>
      <c r="C230" s="26" t="str">
        <f t="array" ref="C230">XLOOKUP($A230,'_Fonte_A2'!$A:$A,'_Fonte_A2'!D:D)</f>
        <v>Fast Casual - Multi-conceito</v>
      </c>
      <c r="D230" s="26" t="str">
        <f t="array" ref="D230">XLOOKUP($A230,'_Fonte_A2'!$A:$A,'_Fonte_A2'!W:W)</f>
        <v>Saipos Serviços De Software</v>
      </c>
    </row>
    <row r="231">
      <c r="A231" s="26" t="s">
        <v>382</v>
      </c>
      <c r="B231" s="26">
        <f t="array" ref="B231">XLOOKUP($A231,'_Fonte_A2'!$A:$A,'_Fonte_A2'!B:B)</f>
        <v>3</v>
      </c>
      <c r="C231" s="26" t="str">
        <f t="array" ref="C231">XLOOKUP($A231,'_Fonte_A2'!$A:$A,'_Fonte_A2'!D:D)</f>
        <v>Fast Casual - Multi-conceito</v>
      </c>
      <c r="D231" s="26" t="str">
        <f t="array" ref="D231">XLOOKUP($A231,'_Fonte_A2'!$A:$A,'_Fonte_A2'!W:W)</f>
        <v>Eclética Tecnologia</v>
      </c>
    </row>
    <row r="232">
      <c r="A232" s="26" t="s">
        <v>383</v>
      </c>
      <c r="B232" s="26">
        <f t="array" ref="B232">XLOOKUP($A232,'_Fonte_A2'!$A:$A,'_Fonte_A2'!B:B)</f>
        <v>11</v>
      </c>
      <c r="C232" s="26" t="str">
        <f t="array" ref="C232">XLOOKUP($A232,'_Fonte_A2'!$A:$A,'_Fonte_A2'!D:D)</f>
        <v>Fast Casual - Esfiharia</v>
      </c>
      <c r="D232" s="26" t="str">
        <f t="array" ref="D232">XLOOKUP($A232,'_Fonte_A2'!$A:$A,'_Fonte_A2'!W:W)</f>
        <v>N/A (Not found)</v>
      </c>
    </row>
    <row r="233">
      <c r="A233" s="26" t="s">
        <v>384</v>
      </c>
      <c r="B233" s="26">
        <f t="array" ref="B233">XLOOKUP($A233,'_Fonte_A2'!$A:$A,'_Fonte_A2'!B:B)</f>
        <v>6</v>
      </c>
      <c r="C233" s="26" t="str">
        <f t="array" ref="C233">XLOOKUP($A233,'_Fonte_A2'!$A:$A,'_Fonte_A2'!D:D)</f>
        <v>Fast Casual - Multi-conceito</v>
      </c>
      <c r="D233" s="26" t="str">
        <f t="array" ref="D233">XLOOKUP($A233,'_Fonte_A2'!$A:$A,'_Fonte_A2'!W:W)</f>
        <v>N/A (Not found)</v>
      </c>
    </row>
    <row r="234">
      <c r="A234" s="26" t="s">
        <v>385</v>
      </c>
      <c r="B234" s="26">
        <f t="array" ref="B234">XLOOKUP($A234,'_Fonte_A2'!$A:$A,'_Fonte_A2'!B:B)</f>
        <v>7</v>
      </c>
      <c r="C234" s="26" t="str">
        <f t="array" ref="C234">XLOOKUP($A234,'_Fonte_A2'!$A:$A,'_Fonte_A2'!D:D)</f>
        <v>Fast Casual - Multi-conceito</v>
      </c>
      <c r="D234" s="26" t="str">
        <f t="array" ref="D234">XLOOKUP($A234,'_Fonte_A2'!$A:$A,'_Fonte_A2'!W:W)</f>
        <v>Saipos Serviços De Software</v>
      </c>
    </row>
    <row r="235">
      <c r="A235" s="26" t="s">
        <v>386</v>
      </c>
      <c r="B235" s="26">
        <f t="array" ref="B235">XLOOKUP($A235,'_Fonte_A2'!$A:$A,'_Fonte_A2'!B:B)</f>
        <v>6</v>
      </c>
      <c r="C235" s="26" t="str">
        <f t="array" ref="C235">XLOOKUP($A235,'_Fonte_A2'!$A:$A,'_Fonte_A2'!D:D)</f>
        <v>Fast Casual - Multi-conceito</v>
      </c>
      <c r="D235" s="26" t="str">
        <f t="array" ref="D235">XLOOKUP($A235,'_Fonte_A2'!$A:$A,'_Fonte_A2'!W:W)</f>
        <v>E-deploy Retail</v>
      </c>
    </row>
    <row r="236">
      <c r="A236" s="26" t="s">
        <v>387</v>
      </c>
      <c r="B236" s="26">
        <f t="array" ref="B236">XLOOKUP($A236,'_Fonte_A2'!$A:$A,'_Fonte_A2'!B:B)</f>
        <v>3</v>
      </c>
      <c r="C236" s="26" t="str">
        <f t="array" ref="C236">XLOOKUP($A236,'_Fonte_A2'!$A:$A,'_Fonte_A2'!D:D)</f>
        <v>QSR - Hot Dog</v>
      </c>
      <c r="D236" s="26" t="str">
        <f t="array" ref="D236">XLOOKUP($A236,'_Fonte_A2'!$A:$A,'_Fonte_A2'!W:W)</f>
        <v>N/A (Not found)</v>
      </c>
    </row>
    <row r="237">
      <c r="A237" s="26" t="s">
        <v>388</v>
      </c>
      <c r="B237" s="26">
        <f t="array" ref="B237">XLOOKUP($A237,'_Fonte_A2'!$A:$A,'_Fonte_A2'!B:B)</f>
        <v>7</v>
      </c>
      <c r="C237" s="26" t="str">
        <f t="array" ref="C237">XLOOKUP($A237,'_Fonte_A2'!$A:$A,'_Fonte_A2'!D:D)</f>
        <v>Grupo Multi-marca</v>
      </c>
      <c r="D237" s="26" t="str">
        <f t="array" ref="D237">XLOOKUP($A237,'_Fonte_A2'!$A:$A,'_Fonte_A2'!W:W)</f>
        <v>Smartfull Sistemas Ltda</v>
      </c>
    </row>
    <row r="238">
      <c r="A238" s="26" t="s">
        <v>389</v>
      </c>
      <c r="B238" s="26">
        <f t="array" ref="B238">XLOOKUP($A238,'_Fonte_A2'!$A:$A,'_Fonte_A2'!B:B)</f>
        <v>7</v>
      </c>
      <c r="C238" s="26" t="str">
        <f t="array" ref="C238">XLOOKUP($A238,'_Fonte_A2'!$A:$A,'_Fonte_A2'!D:D)</f>
        <v>Fast Casual - Multi-conceito</v>
      </c>
      <c r="D238" s="26" t="str">
        <f t="array" ref="D238">XLOOKUP($A238,'_Fonte_A2'!$A:$A,'_Fonte_A2'!W:W)</f>
        <v>N/A (Not found)</v>
      </c>
    </row>
    <row r="239">
      <c r="A239" s="26" t="s">
        <v>390</v>
      </c>
      <c r="B239" s="26">
        <f t="array" ref="B239">XLOOKUP($A239,'_Fonte_A2'!$A:$A,'_Fonte_A2'!B:B)</f>
        <v>650</v>
      </c>
      <c r="C239" s="26" t="str">
        <f t="array" ref="C239">XLOOKUP($A239,'_Fonte_A2'!$A:$A,'_Fonte_A2'!D:D)</f>
        <v>QSR - Fast Food</v>
      </c>
      <c r="D239" s="26" t="str">
        <f t="array" ref="D239">XLOOKUP($A239,'_Fonte_A2'!$A:$A,'_Fonte_A2'!W:W)</f>
        <v>null</v>
      </c>
    </row>
    <row r="240">
      <c r="A240" s="26" t="s">
        <v>391</v>
      </c>
      <c r="B240" s="26">
        <f t="array" ref="B240">XLOOKUP($A240,'_Fonte_A2'!$A:$A,'_Fonte_A2'!B:B)</f>
        <v>6</v>
      </c>
      <c r="C240" s="26" t="str">
        <f t="array" ref="C240">XLOOKUP($A240,'_Fonte_A2'!$A:$A,'_Fonte_A2'!D:D)</f>
        <v>Fast Casual - Multi-conceito</v>
      </c>
      <c r="D240" s="26" t="str">
        <f t="array" ref="D240">XLOOKUP($A240,'_Fonte_A2'!$A:$A,'_Fonte_A2'!W:W)</f>
        <v>Totvs Large Enterprise Tecnologia S.a.</v>
      </c>
    </row>
    <row r="241">
      <c r="A241" s="26" t="s">
        <v>392</v>
      </c>
      <c r="B241" s="26">
        <f t="array" ref="B241">XLOOKUP($A241,'_Fonte_A2'!$A:$A,'_Fonte_A2'!B:B)</f>
        <v>4</v>
      </c>
      <c r="C241" s="26" t="str">
        <f t="array" ref="C241">XLOOKUP($A241,'_Fonte_A2'!$A:$A,'_Fonte_A2'!D:D)</f>
        <v>Fast Casual - Brunch</v>
      </c>
      <c r="D241" s="26" t="str">
        <f t="array" ref="D241">XLOOKUP($A241,'_Fonte_A2'!$A:$A,'_Fonte_A2'!W:W)</f>
        <v>E-deploy Retail</v>
      </c>
    </row>
    <row r="242">
      <c r="A242" s="26" t="s">
        <v>393</v>
      </c>
      <c r="B242" s="26">
        <f t="array" ref="B242">XLOOKUP($A242,'_Fonte_A2'!$A:$A,'_Fonte_A2'!B:B)</f>
        <v>8</v>
      </c>
      <c r="C242" s="26" t="str">
        <f t="array" ref="C242">XLOOKUP($A242,'_Fonte_A2'!$A:$A,'_Fonte_A2'!D:D)</f>
        <v>Fast Casual - Multi-conceito</v>
      </c>
      <c r="D242" s="26" t="str">
        <f t="array" ref="D242">XLOOKUP($A242,'_Fonte_A2'!$A:$A,'_Fonte_A2'!W:W)</f>
        <v>E-deploy Retail</v>
      </c>
    </row>
    <row r="243">
      <c r="A243" s="26" t="s">
        <v>394</v>
      </c>
      <c r="B243" s="26">
        <f t="array" ref="B243">XLOOKUP($A243,'_Fonte_A2'!$A:$A,'_Fonte_A2'!B:B)</f>
        <v>2</v>
      </c>
      <c r="C243" s="26" t="str">
        <f t="array" ref="C243">XLOOKUP($A243,'_Fonte_A2'!$A:$A,'_Fonte_A2'!D:D)</f>
        <v>Fast Casual - Multi-conceito</v>
      </c>
      <c r="D243" s="26" t="str">
        <f t="array" ref="D243">XLOOKUP($A243,'_Fonte_A2'!$A:$A,'_Fonte_A2'!W:W)</f>
        <v>Cabana Burger Developer</v>
      </c>
    </row>
    <row r="244">
      <c r="A244" s="26" t="s">
        <v>395</v>
      </c>
      <c r="B244" s="26">
        <f t="array" ref="B244">XLOOKUP($A244,'_Fonte_A2'!$A:$A,'_Fonte_A2'!B:B)</f>
        <v>6</v>
      </c>
      <c r="C244" s="26" t="str">
        <f t="array" ref="C244">XLOOKUP($A244,'_Fonte_A2'!$A:$A,'_Fonte_A2'!D:D)</f>
        <v>Fast Casual - Multi-conceito</v>
      </c>
      <c r="D244" s="26" t="str">
        <f t="array" ref="D244">XLOOKUP($A244,'_Fonte_A2'!$A:$A,'_Fonte_A2'!W:W)</f>
        <v>Ncr</v>
      </c>
    </row>
    <row r="245">
      <c r="A245" s="26" t="s">
        <v>396</v>
      </c>
      <c r="B245" s="26">
        <f t="array" ref="B245">XLOOKUP($A245,'_Fonte_A2'!$A:$A,'_Fonte_A2'!B:B)</f>
        <v>8</v>
      </c>
      <c r="C245" s="26" t="str">
        <f t="array" ref="C245">XLOOKUP($A245,'_Fonte_A2'!$A:$A,'_Fonte_A2'!D:D)</f>
        <v>Fast Casual - Multi-conceito</v>
      </c>
      <c r="D245" s="26" t="str">
        <f t="array" ref="D245">XLOOKUP($A245,'_Fonte_A2'!$A:$A,'_Fonte_A2'!W:W)</f>
        <v>Menew - Linx</v>
      </c>
    </row>
    <row r="246">
      <c r="A246" s="26" t="s">
        <v>397</v>
      </c>
      <c r="B246" s="26">
        <f t="array" ref="B246">XLOOKUP($A246,'_Fonte_A2'!$A:$A,'_Fonte_A2'!B:B)</f>
        <v>6</v>
      </c>
      <c r="C246" s="26" t="str">
        <f t="array" ref="C246">XLOOKUP($A246,'_Fonte_A2'!$A:$A,'_Fonte_A2'!D:D)</f>
        <v>Fast Casual - Multi-conceito</v>
      </c>
      <c r="D246" s="26" t="str">
        <f t="array" ref="D246">XLOOKUP($A246,'_Fonte_A2'!$A:$A,'_Fonte_A2'!W:W)</f>
        <v>Saipos Serviços De Software</v>
      </c>
    </row>
    <row r="247">
      <c r="A247" s="26" t="s">
        <v>398</v>
      </c>
      <c r="B247" s="26">
        <f t="array" ref="B247">XLOOKUP($A247,'_Fonte_A2'!$A:$A,'_Fonte_A2'!B:B)</f>
        <v>5</v>
      </c>
      <c r="C247" s="26" t="str">
        <f t="array" ref="C247">XLOOKUP($A247,'_Fonte_A2'!$A:$A,'_Fonte_A2'!D:D)</f>
        <v>Fast Casual - Multi-conceito</v>
      </c>
      <c r="D247" s="26" t="str">
        <f t="array" ref="D247">XLOOKUP($A247,'_Fonte_A2'!$A:$A,'_Fonte_A2'!W:W)</f>
        <v>Saipos Serviços De Software</v>
      </c>
    </row>
    <row r="248">
      <c r="A248" s="26" t="s">
        <v>399</v>
      </c>
      <c r="B248" s="26">
        <f t="array" ref="B248">XLOOKUP($A248,'_Fonte_A2'!$A:$A,'_Fonte_A2'!B:B)</f>
        <v>6</v>
      </c>
      <c r="C248" s="26" t="str">
        <f t="array" ref="C248">XLOOKUP($A248,'_Fonte_A2'!$A:$A,'_Fonte_A2'!D:D)</f>
        <v>Fast Casual - Multi-conceito</v>
      </c>
      <c r="D248" s="26" t="str">
        <f t="array" ref="D248">XLOOKUP($A248,'_Fonte_A2'!$A:$A,'_Fonte_A2'!W:W)</f>
        <v>null</v>
      </c>
    </row>
    <row r="249">
      <c r="A249" s="26" t="s">
        <v>400</v>
      </c>
      <c r="B249" s="26">
        <f t="array" ref="B249">XLOOKUP($A249,'_Fonte_A2'!$A:$A,'_Fonte_A2'!B:B)</f>
        <v>5</v>
      </c>
      <c r="C249" s="26" t="str">
        <f t="array" ref="C249">XLOOKUP($A249,'_Fonte_A2'!$A:$A,'_Fonte_A2'!D:D)</f>
        <v>Table Service - Churrascaria</v>
      </c>
      <c r="D249" s="26" t="str">
        <f t="array" ref="D249">XLOOKUP($A249,'_Fonte_A2'!$A:$A,'_Fonte_A2'!W:W)</f>
        <v>Saipos Serviços De Software</v>
      </c>
    </row>
    <row r="250">
      <c r="A250" s="26" t="s">
        <v>401</v>
      </c>
      <c r="B250" s="26">
        <f t="array" ref="B250">XLOOKUP($A250,'_Fonte_A2'!$A:$A,'_Fonte_A2'!B:B)</f>
        <v>4</v>
      </c>
      <c r="C250" s="26" t="str">
        <f t="array" ref="C250">XLOOKUP($A250,'_Fonte_A2'!$A:$A,'_Fonte_A2'!D:D)</f>
        <v>QSR - Hot Dog</v>
      </c>
      <c r="D250" s="26" t="str">
        <f t="array" ref="D250">XLOOKUP($A250,'_Fonte_A2'!$A:$A,'_Fonte_A2'!W:W)</f>
        <v>Stone Co.</v>
      </c>
    </row>
    <row r="251">
      <c r="A251" s="26" t="s">
        <v>402</v>
      </c>
      <c r="B251" s="26">
        <f t="array" ref="B251">XLOOKUP($A251,'_Fonte_A2'!$A:$A,'_Fonte_A2'!B:B)</f>
        <v>4713</v>
      </c>
      <c r="C251" s="26" t="str">
        <f t="array" ref="C251">XLOOKUP($A251,'_Fonte_A2'!$A:$A,'_Fonte_A2'!D:D)</f>
        <v>Varejo - Chocolates</v>
      </c>
      <c r="D251" s="26" t="str">
        <f t="array" ref="D251">XLOOKUP($A251,'_Fonte_A2'!$A:$A,'_Fonte_A2'!W:W)</f>
        <v>Saipos Serviços De Software</v>
      </c>
    </row>
    <row r="252">
      <c r="A252" s="26" t="s">
        <v>403</v>
      </c>
      <c r="B252" s="26">
        <f t="array" ref="B252">XLOOKUP($A252,'_Fonte_A2'!$A:$A,'_Fonte_A2'!B:B)</f>
        <v>7</v>
      </c>
      <c r="C252" s="26" t="str">
        <f t="array" ref="C252">XLOOKUP($A252,'_Fonte_A2'!$A:$A,'_Fonte_A2'!D:D)</f>
        <v>Fast Casual - Cafeteria</v>
      </c>
      <c r="D252" s="26" t="str">
        <f t="array" ref="D252">XLOOKUP($A252,'_Fonte_A2'!$A:$A,'_Fonte_A2'!W:W)</f>
        <v>Saipos Serviços De Software</v>
      </c>
    </row>
    <row r="253">
      <c r="A253" s="26" t="s">
        <v>404</v>
      </c>
      <c r="B253" s="26">
        <f t="array" ref="B253">XLOOKUP($A253,'_Fonte_A2'!$A:$A,'_Fonte_A2'!B:B)</f>
        <v>5</v>
      </c>
      <c r="C253" s="26" t="str">
        <f t="array" ref="C253">XLOOKUP($A253,'_Fonte_A2'!$A:$A,'_Fonte_A2'!D:D)</f>
        <v>Grupo Multi-marca</v>
      </c>
      <c r="D253" s="26" t="str">
        <f t="array" ref="D253">XLOOKUP($A253,'_Fonte_A2'!$A:$A,'_Fonte_A2'!W:W)</f>
        <v>Parseint Desenvolvimento De Sistemas Ltda</v>
      </c>
    </row>
    <row r="254">
      <c r="A254" s="26" t="s">
        <v>405</v>
      </c>
      <c r="B254" s="26">
        <f t="array" ref="B254">XLOOKUP($A254,'_Fonte_A2'!$A:$A,'_Fonte_A2'!B:B)</f>
        <v>5</v>
      </c>
      <c r="C254" s="26" t="str">
        <f t="array" ref="C254">XLOOKUP($A254,'_Fonte_A2'!$A:$A,'_Fonte_A2'!D:D)</f>
        <v>Fast Casual - Multi-conceito</v>
      </c>
      <c r="D254" s="26" t="str">
        <f t="array" ref="D254">XLOOKUP($A254,'_Fonte_A2'!$A:$A,'_Fonte_A2'!W:W)</f>
        <v>N/A (Not found)</v>
      </c>
    </row>
    <row r="255">
      <c r="A255" s="26" t="s">
        <v>406</v>
      </c>
      <c r="B255" s="26">
        <f t="array" ref="B255">XLOOKUP($A255,'_Fonte_A2'!$A:$A,'_Fonte_A2'!B:B)</f>
        <v>2</v>
      </c>
      <c r="C255" s="26" t="str">
        <f t="array" ref="C255">XLOOKUP($A255,'_Fonte_A2'!$A:$A,'_Fonte_A2'!D:D)</f>
        <v>Fast Casual - Multi-conceito</v>
      </c>
      <c r="D255" s="26" t="str">
        <f t="array" ref="D255">XLOOKUP($A255,'_Fonte_A2'!$A:$A,'_Fonte_A2'!W:W)</f>
        <v>Ncr</v>
      </c>
    </row>
    <row r="256">
      <c r="A256" s="26" t="s">
        <v>407</v>
      </c>
      <c r="B256" s="26">
        <f t="array" ref="B256">XLOOKUP($A256,'_Fonte_A2'!$A:$A,'_Fonte_A2'!B:B)</f>
        <v>6</v>
      </c>
      <c r="C256" s="26" t="str">
        <f t="array" ref="C256">XLOOKUP($A256,'_Fonte_A2'!$A:$A,'_Fonte_A2'!D:D)</f>
        <v>Fast Casual - Multi-conceito</v>
      </c>
      <c r="D256" s="26" t="str">
        <f t="array" ref="D256">XLOOKUP($A256,'_Fonte_A2'!$A:$A,'_Fonte_A2'!W:W)</f>
        <v>N/A (Not found)</v>
      </c>
    </row>
    <row r="257">
      <c r="A257" s="26" t="s">
        <v>408</v>
      </c>
      <c r="B257" s="26">
        <f t="array" ref="B257">XLOOKUP($A257,'_Fonte_A2'!$A:$A,'_Fonte_A2'!B:B)</f>
        <v>4</v>
      </c>
      <c r="C257" s="26" t="str">
        <f t="array" ref="C257">XLOOKUP($A257,'_Fonte_A2'!$A:$A,'_Fonte_A2'!D:D)</f>
        <v>Fast Casual - Multi-conceito</v>
      </c>
      <c r="D257" s="26" t="str">
        <f t="array" ref="D257">XLOOKUP($A257,'_Fonte_A2'!$A:$A,'_Fonte_A2'!W:W)</f>
        <v>Agilizup Solucoes Ltda</v>
      </c>
    </row>
    <row r="258">
      <c r="A258" s="26" t="s">
        <v>409</v>
      </c>
      <c r="B258" s="26">
        <f t="array" ref="B258">XLOOKUP($A258,'_Fonte_A2'!$A:$A,'_Fonte_A2'!B:B)</f>
        <v>16</v>
      </c>
      <c r="C258" s="26" t="str">
        <f t="array" ref="C258">XLOOKUP($A258,'_Fonte_A2'!$A:$A,'_Fonte_A2'!D:D)</f>
        <v>Fast Casual - Hamburgueria</v>
      </c>
      <c r="D258" s="26" t="str">
        <f t="array" ref="D258">XLOOKUP($A258,'_Fonte_A2'!$A:$A,'_Fonte_A2'!W:W)</f>
        <v>N/A (Not found)</v>
      </c>
    </row>
    <row r="259">
      <c r="A259" s="26" t="s">
        <v>410</v>
      </c>
      <c r="B259" s="26">
        <f t="array" ref="B259">XLOOKUP($A259,'_Fonte_A2'!$A:$A,'_Fonte_A2'!B:B)</f>
        <v>2</v>
      </c>
      <c r="C259" s="26" t="str">
        <f t="array" ref="C259">XLOOKUP($A259,'_Fonte_A2'!$A:$A,'_Fonte_A2'!D:D)</f>
        <v>Fast Casual - Multi-conceito</v>
      </c>
      <c r="D259" s="26" t="str">
        <f t="array" ref="D259">XLOOKUP($A259,'_Fonte_A2'!$A:$A,'_Fonte_A2'!W:W)</f>
        <v>Cloudfy</v>
      </c>
    </row>
    <row r="260">
      <c r="A260" s="26" t="s">
        <v>411</v>
      </c>
      <c r="B260" s="26">
        <f t="array" ref="B260">XLOOKUP($A260,'_Fonte_A2'!$A:$A,'_Fonte_A2'!B:B)</f>
        <v>8</v>
      </c>
      <c r="C260" s="26" t="str">
        <f t="array" ref="C260">XLOOKUP($A260,'_Fonte_A2'!$A:$A,'_Fonte_A2'!D:D)</f>
        <v>Fast Casual - Multi-conceito</v>
      </c>
      <c r="D260" s="26" t="str">
        <f t="array" ref="D260">XLOOKUP($A260,'_Fonte_A2'!$A:$A,'_Fonte_A2'!W:W)</f>
        <v>Saipos Serviços De Software</v>
      </c>
    </row>
    <row r="261">
      <c r="A261" s="26" t="s">
        <v>412</v>
      </c>
      <c r="B261" s="26">
        <f t="array" ref="B261">XLOOKUP($A261,'_Fonte_A2'!$A:$A,'_Fonte_A2'!B:B)</f>
        <v>7</v>
      </c>
      <c r="C261" s="26" t="str">
        <f t="array" ref="C261">XLOOKUP($A261,'_Fonte_A2'!$A:$A,'_Fonte_A2'!D:D)</f>
        <v>Fast Casual - Multi-conceito</v>
      </c>
      <c r="D261" s="26" t="str">
        <f t="array" ref="D261">XLOOKUP($A261,'_Fonte_A2'!$A:$A,'_Fonte_A2'!W:W)</f>
        <v>Ncr</v>
      </c>
    </row>
    <row r="262">
      <c r="A262" s="26" t="s">
        <v>413</v>
      </c>
      <c r="B262" s="26">
        <f t="array" ref="B262">XLOOKUP($A262,'_Fonte_A2'!$A:$A,'_Fonte_A2'!B:B)</f>
        <v>4</v>
      </c>
      <c r="C262" s="26" t="str">
        <f t="array" ref="C262">XLOOKUP($A262,'_Fonte_A2'!$A:$A,'_Fonte_A2'!D:D)</f>
        <v>Fast Casual - Multi-conceito</v>
      </c>
      <c r="D262" s="26" t="str">
        <f t="array" ref="D262">XLOOKUP($A262,'_Fonte_A2'!$A:$A,'_Fonte_A2'!W:W)</f>
        <v>Saipos Serviços De Software</v>
      </c>
    </row>
    <row r="263">
      <c r="A263" s="26" t="s">
        <v>414</v>
      </c>
      <c r="B263" s="26">
        <f t="array" ref="B263">XLOOKUP($A263,'_Fonte_A2'!$A:$A,'_Fonte_A2'!B:B)</f>
        <v>5</v>
      </c>
      <c r="C263" s="26" t="str">
        <f t="array" ref="C263">XLOOKUP($A263,'_Fonte_A2'!$A:$A,'_Fonte_A2'!D:D)</f>
        <v>Fast Casual - Multi-conceito</v>
      </c>
      <c r="D263" s="26" t="str">
        <f t="array" ref="D263">XLOOKUP($A263,'_Fonte_A2'!$A:$A,'_Fonte_A2'!W:W)</f>
        <v>E-deploy Retail</v>
      </c>
    </row>
    <row r="264">
      <c r="A264" s="26" t="s">
        <v>415</v>
      </c>
      <c r="B264" s="26">
        <f t="array" ref="B264">XLOOKUP($A264,'_Fonte_A2'!$A:$A,'_Fonte_A2'!B:B)</f>
        <v>6</v>
      </c>
      <c r="C264" s="26" t="str">
        <f t="array" ref="C264">XLOOKUP($A264,'_Fonte_A2'!$A:$A,'_Fonte_A2'!D:D)</f>
        <v>Table Service - Churrascaria</v>
      </c>
      <c r="D264" s="26" t="str">
        <f t="array" ref="D264">XLOOKUP($A264,'_Fonte_A2'!$A:$A,'_Fonte_A2'!W:W)</f>
        <v>N/A (Not found)</v>
      </c>
    </row>
    <row r="265">
      <c r="A265" s="26" t="s">
        <v>416</v>
      </c>
      <c r="B265" s="26">
        <f t="array" ref="B265">XLOOKUP($A265,'_Fonte_A2'!$A:$A,'_Fonte_A2'!B:B)</f>
        <v>8</v>
      </c>
      <c r="C265" s="26" t="str">
        <f t="array" ref="C265">XLOOKUP($A265,'_Fonte_A2'!$A:$A,'_Fonte_A2'!D:D)</f>
        <v>Fast Casual - Japonesa</v>
      </c>
      <c r="D265" s="26" t="str">
        <f t="array" ref="D265">XLOOKUP($A265,'_Fonte_A2'!$A:$A,'_Fonte_A2'!W:W)</f>
        <v>Eclética Tecnologia</v>
      </c>
    </row>
    <row r="266">
      <c r="A266" s="26" t="s">
        <v>417</v>
      </c>
      <c r="B266" s="26">
        <f t="array" ref="B266">XLOOKUP($A266,'_Fonte_A2'!$A:$A,'_Fonte_A2'!B:B)</f>
        <v>6</v>
      </c>
      <c r="C266" s="26" t="str">
        <f t="array" ref="C266">XLOOKUP($A266,'_Fonte_A2'!$A:$A,'_Fonte_A2'!D:D)</f>
        <v>Fast Casual - Multi-conceito</v>
      </c>
      <c r="D266" s="26" t="str">
        <f t="array" ref="D266">XLOOKUP($A266,'_Fonte_A2'!$A:$A,'_Fonte_A2'!W:W)</f>
        <v>N/A (Not found)</v>
      </c>
    </row>
    <row r="267">
      <c r="A267" s="26" t="s">
        <v>418</v>
      </c>
      <c r="B267" s="26">
        <f t="array" ref="B267">XLOOKUP($A267,'_Fonte_A2'!$A:$A,'_Fonte_A2'!B:B)</f>
        <v>5</v>
      </c>
      <c r="C267" s="26" t="str">
        <f t="array" ref="C267">XLOOKUP($A267,'_Fonte_A2'!$A:$A,'_Fonte_A2'!D:D)</f>
        <v>Fast Casual - Multi-conceito</v>
      </c>
      <c r="D267" s="26" t="str">
        <f t="array" ref="D267">XLOOKUP($A267,'_Fonte_A2'!$A:$A,'_Fonte_A2'!W:W)</f>
        <v>N/A (Not found)</v>
      </c>
    </row>
    <row r="268">
      <c r="A268" s="26" t="s">
        <v>419</v>
      </c>
      <c r="B268" s="26">
        <f t="array" ref="B268">XLOOKUP($A268,'_Fonte_A2'!$A:$A,'_Fonte_A2'!B:B)</f>
        <v>7</v>
      </c>
      <c r="C268" s="26" t="str">
        <f t="array" ref="C268">XLOOKUP($A268,'_Fonte_A2'!$A:$A,'_Fonte_A2'!D:D)</f>
        <v>Table Service - Churrascaria</v>
      </c>
      <c r="D268" s="26" t="str">
        <f t="array" ref="D268">XLOOKUP($A268,'_Fonte_A2'!$A:$A,'_Fonte_A2'!W:W)</f>
        <v>Agilizup Solucoes Ltda</v>
      </c>
    </row>
    <row r="269">
      <c r="A269" s="26" t="s">
        <v>420</v>
      </c>
      <c r="B269" s="26">
        <f t="array" ref="B269">XLOOKUP($A269,'_Fonte_A2'!$A:$A,'_Fonte_A2'!B:B)</f>
        <v>99</v>
      </c>
      <c r="C269" s="26" t="str">
        <f t="array" ref="C269">XLOOKUP($A269,'_Fonte_A2'!$A:$A,'_Fonte_A2'!D:D)</f>
        <v>Full Service - Frutos do Mar</v>
      </c>
      <c r="D269" s="26" t="str">
        <f t="array" ref="D269">XLOOKUP($A269,'_Fonte_A2'!$A:$A,'_Fonte_A2'!W:W)</f>
        <v>N/A (Not found)</v>
      </c>
    </row>
    <row r="270">
      <c r="A270" s="26" t="s">
        <v>421</v>
      </c>
      <c r="B270" s="26">
        <f t="array" ref="B270">XLOOKUP($A270,'_Fonte_A2'!$A:$A,'_Fonte_A2'!B:B)</f>
        <v>6</v>
      </c>
      <c r="C270" s="26" t="str">
        <f t="array" ref="C270">XLOOKUP($A270,'_Fonte_A2'!$A:$A,'_Fonte_A2'!D:D)</f>
        <v>Fast Casual - Multi-conceito</v>
      </c>
      <c r="D270" s="26" t="str">
        <f t="array" ref="D270">XLOOKUP($A270,'_Fonte_A2'!$A:$A,'_Fonte_A2'!W:W)</f>
        <v>Saipos Serviços De Software</v>
      </c>
    </row>
    <row r="271">
      <c r="A271" s="26" t="s">
        <v>422</v>
      </c>
      <c r="B271" s="26">
        <f t="array" ref="B271">XLOOKUP($A271,'_Fonte_A2'!$A:$A,'_Fonte_A2'!B:B)</f>
        <v>3</v>
      </c>
      <c r="C271" s="26" t="str">
        <f t="array" ref="C271">XLOOKUP($A271,'_Fonte_A2'!$A:$A,'_Fonte_A2'!D:D)</f>
        <v>Fast Casual - Multi-conceito</v>
      </c>
      <c r="D271" s="26" t="str">
        <f t="array" ref="D271">XLOOKUP($A271,'_Fonte_A2'!$A:$A,'_Fonte_A2'!W:W)</f>
        <v>Saipos Serviços De Software</v>
      </c>
    </row>
    <row r="272">
      <c r="A272" s="26" t="s">
        <v>423</v>
      </c>
      <c r="B272" s="26">
        <f t="array" ref="B272">XLOOKUP($A272,'_Fonte_A2'!$A:$A,'_Fonte_A2'!B:B)</f>
        <v>5</v>
      </c>
      <c r="C272" s="26" t="str">
        <f t="array" ref="C272">XLOOKUP($A272,'_Fonte_A2'!$A:$A,'_Fonte_A2'!D:D)</f>
        <v>Table Service - Churrascaria</v>
      </c>
      <c r="D272" s="26" t="str">
        <f t="array" ref="D272">XLOOKUP($A272,'_Fonte_A2'!$A:$A,'_Fonte_A2'!W:W)</f>
        <v>null</v>
      </c>
    </row>
    <row r="273">
      <c r="A273" s="26" t="s">
        <v>424</v>
      </c>
      <c r="B273" s="26">
        <f t="array" ref="B273">XLOOKUP($A273,'_Fonte_A2'!$A:$A,'_Fonte_A2'!B:B)</f>
        <v>6</v>
      </c>
      <c r="C273" s="26" t="str">
        <f t="array" ref="C273">XLOOKUP($A273,'_Fonte_A2'!$A:$A,'_Fonte_A2'!D:D)</f>
        <v>Fast Casual - Multi-conceito</v>
      </c>
      <c r="D273" s="26" t="str">
        <f t="array" ref="D273">XLOOKUP($A273,'_Fonte_A2'!$A:$A,'_Fonte_A2'!W:W)</f>
        <v>null</v>
      </c>
    </row>
    <row r="274">
      <c r="A274" s="26" t="s">
        <v>425</v>
      </c>
      <c r="B274" s="26">
        <f t="array" ref="B274">XLOOKUP($A274,'_Fonte_A2'!$A:$A,'_Fonte_A2'!B:B)</f>
        <v>9</v>
      </c>
      <c r="C274" s="26" t="str">
        <f t="array" ref="C274">XLOOKUP($A274,'_Fonte_A2'!$A:$A,'_Fonte_A2'!D:D)</f>
        <v>Fast Casual - Pizzaria</v>
      </c>
      <c r="D274" s="26" t="str">
        <f t="array" ref="D274">XLOOKUP($A274,'_Fonte_A2'!$A:$A,'_Fonte_A2'!W:W)</f>
        <v>N/A (Not found)</v>
      </c>
    </row>
    <row r="275">
      <c r="A275" s="26" t="s">
        <v>426</v>
      </c>
      <c r="B275" s="26">
        <f t="array" ref="B275">XLOOKUP($A275,'_Fonte_A2'!$A:$A,'_Fonte_A2'!B:B)</f>
        <v>12</v>
      </c>
      <c r="C275" s="26" t="str">
        <f t="array" ref="C275">XLOOKUP($A275,'_Fonte_A2'!$A:$A,'_Fonte_A2'!D:D)</f>
        <v>Fast Casual - Japonesa</v>
      </c>
      <c r="D275" s="26" t="str">
        <f t="array" ref="D275">XLOOKUP($A275,'_Fonte_A2'!$A:$A,'_Fonte_A2'!W:W)</f>
        <v>N/A (Not found)</v>
      </c>
    </row>
    <row r="276">
      <c r="A276" s="26" t="s">
        <v>427</v>
      </c>
      <c r="B276" s="26">
        <f t="array" ref="B276">XLOOKUP($A276,'_Fonte_A2'!$A:$A,'_Fonte_A2'!B:B)</f>
        <v>7</v>
      </c>
      <c r="C276" s="26" t="str">
        <f t="array" ref="C276">XLOOKUP($A276,'_Fonte_A2'!$A:$A,'_Fonte_A2'!D:D)</f>
        <v>Fast Casual - Multi-conceito</v>
      </c>
      <c r="D276" s="26" t="str">
        <f t="array" ref="D276">XLOOKUP($A276,'_Fonte_A2'!$A:$A,'_Fonte_A2'!W:W)</f>
        <v>E-deploy Retail</v>
      </c>
    </row>
    <row r="277">
      <c r="A277" s="26" t="s">
        <v>428</v>
      </c>
      <c r="B277" s="26">
        <f t="array" ref="B277">XLOOKUP($A277,'_Fonte_A2'!$A:$A,'_Fonte_A2'!B:B)</f>
        <v>8</v>
      </c>
      <c r="C277" s="26" t="str">
        <f t="array" ref="C277">XLOOKUP($A277,'_Fonte_A2'!$A:$A,'_Fonte_A2'!D:D)</f>
        <v>Fast Casual - Pizzaria</v>
      </c>
      <c r="D277" s="26" t="str">
        <f t="array" ref="D277">XLOOKUP($A277,'_Fonte_A2'!$A:$A,'_Fonte_A2'!W:W)</f>
        <v>N/A (Not found)</v>
      </c>
    </row>
    <row r="278">
      <c r="A278" s="26" t="s">
        <v>429</v>
      </c>
      <c r="B278" s="26">
        <f t="array" ref="B278">XLOOKUP($A278,'_Fonte_A2'!$A:$A,'_Fonte_A2'!B:B)</f>
        <v>3</v>
      </c>
      <c r="C278" s="26" t="str">
        <f t="array" ref="C278">XLOOKUP($A278,'_Fonte_A2'!$A:$A,'_Fonte_A2'!D:D)</f>
        <v>Fast Casual - Multi-conceito</v>
      </c>
      <c r="D278" s="26" t="str">
        <f t="array" ref="D278">XLOOKUP($A278,'_Fonte_A2'!$A:$A,'_Fonte_A2'!W:W)</f>
        <v>Cardápio Web</v>
      </c>
    </row>
    <row r="279">
      <c r="A279" s="26" t="s">
        <v>430</v>
      </c>
      <c r="B279" s="26">
        <f t="array" ref="B279">XLOOKUP($A279,'_Fonte_A2'!$A:$A,'_Fonte_A2'!B:B)</f>
        <v>4</v>
      </c>
      <c r="C279" s="26" t="str">
        <f t="array" ref="C279">XLOOKUP($A279,'_Fonte_A2'!$A:$A,'_Fonte_A2'!D:D)</f>
        <v>Fast Casual - Multi-conceito</v>
      </c>
      <c r="D279" s="26" t="str">
        <f t="array" ref="D279">XLOOKUP($A279,'_Fonte_A2'!$A:$A,'_Fonte_A2'!W:W)</f>
        <v>Menew - Linx</v>
      </c>
    </row>
    <row r="280">
      <c r="A280" s="26" t="s">
        <v>431</v>
      </c>
      <c r="B280" s="26">
        <f t="array" ref="B280">XLOOKUP($A280,'_Fonte_A2'!$A:$A,'_Fonte_A2'!B:B)</f>
        <v>7</v>
      </c>
      <c r="C280" s="26" t="str">
        <f t="array" ref="C280">XLOOKUP($A280,'_Fonte_A2'!$A:$A,'_Fonte_A2'!D:D)</f>
        <v>Fast Casual - Multi-conceito</v>
      </c>
      <c r="D280" s="26" t="str">
        <f t="array" ref="D280">XLOOKUP($A280,'_Fonte_A2'!$A:$A,'_Fonte_A2'!W:W)</f>
        <v>Stone Co.</v>
      </c>
    </row>
    <row r="281">
      <c r="A281" s="26" t="s">
        <v>432</v>
      </c>
      <c r="B281" s="26">
        <f t="array" ref="B281">XLOOKUP($A281,'_Fonte_A2'!$A:$A,'_Fonte_A2'!B:B)</f>
        <v>6</v>
      </c>
      <c r="C281" s="26" t="str">
        <f t="array" ref="C281">XLOOKUP($A281,'_Fonte_A2'!$A:$A,'_Fonte_A2'!D:D)</f>
        <v>Fast Casual - Pizzaria</v>
      </c>
      <c r="D281" s="26" t="str">
        <f t="array" ref="D281">XLOOKUP($A281,'_Fonte_A2'!$A:$A,'_Fonte_A2'!W:W)</f>
        <v>Sti3 Soluções Em Ti</v>
      </c>
    </row>
    <row r="282">
      <c r="A282" s="26" t="s">
        <v>433</v>
      </c>
      <c r="B282" s="26">
        <f t="array" ref="B282">XLOOKUP($A282,'_Fonte_A2'!$A:$A,'_Fonte_A2'!B:B)</f>
        <v>2</v>
      </c>
      <c r="C282" s="26" t="str">
        <f t="array" ref="C282">XLOOKUP($A282,'_Fonte_A2'!$A:$A,'_Fonte_A2'!D:D)</f>
        <v>QSR - Hot Dog</v>
      </c>
      <c r="D282" s="26" t="str">
        <f t="array" ref="D282">XLOOKUP($A282,'_Fonte_A2'!$A:$A,'_Fonte_A2'!W:W)</f>
        <v>Eclética Tecnologia</v>
      </c>
    </row>
    <row r="283">
      <c r="A283" s="26" t="s">
        <v>434</v>
      </c>
      <c r="B283" s="26">
        <f t="array" ref="B283">XLOOKUP($A283,'_Fonte_A2'!$A:$A,'_Fonte_A2'!B:B)</f>
        <v>3</v>
      </c>
      <c r="C283" s="26" t="str">
        <f t="array" ref="C283">XLOOKUP($A283,'_Fonte_A2'!$A:$A,'_Fonte_A2'!D:D)</f>
        <v>Fast Casual - Multi-conceito</v>
      </c>
      <c r="D283" s="26" t="str">
        <f t="array" ref="D283">XLOOKUP($A283,'_Fonte_A2'!$A:$A,'_Fonte_A2'!W:W)</f>
        <v>null</v>
      </c>
    </row>
    <row r="284">
      <c r="A284" s="26" t="s">
        <v>435</v>
      </c>
      <c r="B284" s="26">
        <f t="array" ref="B284">XLOOKUP($A284,'_Fonte_A2'!$A:$A,'_Fonte_A2'!B:B)</f>
        <v>220</v>
      </c>
      <c r="C284" s="26" t="str">
        <f t="array" ref="C284">XLOOKUP($A284,'_Fonte_A2'!$A:$A,'_Fonte_A2'!D:D)</f>
        <v>QSR - Pizza Delivery</v>
      </c>
      <c r="D284" s="26" t="str">
        <f t="array" ref="D284">XLOOKUP($A284,'_Fonte_A2'!$A:$A,'_Fonte_A2'!W:W)</f>
        <v>Grk Soluções Informatica Eireli</v>
      </c>
    </row>
    <row r="285">
      <c r="A285" s="26" t="s">
        <v>436</v>
      </c>
      <c r="B285" s="26">
        <f t="array" ref="B285">XLOOKUP($A285,'_Fonte_A2'!$A:$A,'_Fonte_A2'!B:B)</f>
        <v>5</v>
      </c>
      <c r="C285" s="26" t="str">
        <f t="array" ref="C285">XLOOKUP($A285,'_Fonte_A2'!$A:$A,'_Fonte_A2'!D:D)</f>
        <v>Fast Casual - Multi-conceito</v>
      </c>
      <c r="D285" s="26" t="str">
        <f t="array" ref="D285">XLOOKUP($A285,'_Fonte_A2'!$A:$A,'_Fonte_A2'!W:W)</f>
        <v>Waybe Soluções Em Tecnologia Da Informação Ltda</v>
      </c>
    </row>
    <row r="286">
      <c r="A286" s="26" t="s">
        <v>437</v>
      </c>
      <c r="B286" s="26">
        <f t="array" ref="B286">XLOOKUP($A286,'_Fonte_A2'!$A:$A,'_Fonte_A2'!B:B)</f>
        <v>4</v>
      </c>
      <c r="C286" s="26" t="str">
        <f t="array" ref="C286">XLOOKUP($A286,'_Fonte_A2'!$A:$A,'_Fonte_A2'!D:D)</f>
        <v>Fast Casual - Multi-conceito</v>
      </c>
      <c r="D286" s="26" t="str">
        <f t="array" ref="D286">XLOOKUP($A286,'_Fonte_A2'!$A:$A,'_Fonte_A2'!W:W)</f>
        <v>Saipos Serviços De Software</v>
      </c>
    </row>
    <row r="287">
      <c r="A287" s="26" t="s">
        <v>438</v>
      </c>
      <c r="B287" s="26">
        <f t="array" ref="B287">XLOOKUP($A287,'_Fonte_A2'!$A:$A,'_Fonte_A2'!B:B)</f>
        <v>2</v>
      </c>
      <c r="C287" s="26" t="str">
        <f t="array" ref="C287">XLOOKUP($A287,'_Fonte_A2'!$A:$A,'_Fonte_A2'!D:D)</f>
        <v>Fast Casual - Pizzaria</v>
      </c>
      <c r="D287" s="26" t="str">
        <f t="array" ref="D287">XLOOKUP($A287,'_Fonte_A2'!$A:$A,'_Fonte_A2'!W:W)</f>
        <v>N/A (Not found)</v>
      </c>
    </row>
    <row r="288">
      <c r="A288" s="26" t="s">
        <v>439</v>
      </c>
      <c r="B288" s="26">
        <f t="array" ref="B288">XLOOKUP($A288,'_Fonte_A2'!$A:$A,'_Fonte_A2'!B:B)</f>
        <v>4</v>
      </c>
      <c r="C288" s="26" t="str">
        <f t="array" ref="C288">XLOOKUP($A288,'_Fonte_A2'!$A:$A,'_Fonte_A2'!D:D)</f>
        <v>Table Service - Churrascaria</v>
      </c>
      <c r="D288" s="26" t="str">
        <f t="array" ref="D288">XLOOKUP($A288,'_Fonte_A2'!$A:$A,'_Fonte_A2'!W:W)</f>
        <v>N/A (Not found)</v>
      </c>
    </row>
    <row r="289">
      <c r="A289" s="26" t="s">
        <v>440</v>
      </c>
      <c r="B289" s="26">
        <f t="array" ref="B289">XLOOKUP($A289,'_Fonte_A2'!$A:$A,'_Fonte_A2'!B:B)</f>
        <v>6</v>
      </c>
      <c r="C289" s="26" t="str">
        <f t="array" ref="C289">XLOOKUP($A289,'_Fonte_A2'!$A:$A,'_Fonte_A2'!D:D)</f>
        <v>Fast Casual - Hamburgueria</v>
      </c>
      <c r="D289" s="26" t="str">
        <f t="array" ref="D289">XLOOKUP($A289,'_Fonte_A2'!$A:$A,'_Fonte_A2'!W:W)</f>
        <v>N/A (Not found)</v>
      </c>
    </row>
    <row r="290">
      <c r="A290" s="26" t="s">
        <v>441</v>
      </c>
      <c r="B290" s="26">
        <f t="array" ref="B290">XLOOKUP($A290,'_Fonte_A2'!$A:$A,'_Fonte_A2'!B:B)</f>
        <v>4</v>
      </c>
      <c r="C290" s="26" t="str">
        <f t="array" ref="C290">XLOOKUP($A290,'_Fonte_A2'!$A:$A,'_Fonte_A2'!D:D)</f>
        <v>Fast Casual - Multi-conceito</v>
      </c>
      <c r="D290" s="26" t="str">
        <f t="array" ref="D290">XLOOKUP($A290,'_Fonte_A2'!$A:$A,'_Fonte_A2'!W:W)</f>
        <v>null</v>
      </c>
    </row>
    <row r="291">
      <c r="A291" s="26" t="s">
        <v>442</v>
      </c>
      <c r="B291" s="26">
        <f t="array" ref="B291">XLOOKUP($A291,'_Fonte_A2'!$A:$A,'_Fonte_A2'!B:B)</f>
        <v>8</v>
      </c>
      <c r="C291" s="26" t="str">
        <f t="array" ref="C291">XLOOKUP($A291,'_Fonte_A2'!$A:$A,'_Fonte_A2'!D:D)</f>
        <v>Fast Casual - Multi-conceito</v>
      </c>
      <c r="D291" s="26" t="str">
        <f t="array" ref="D291">XLOOKUP($A291,'_Fonte_A2'!$A:$A,'_Fonte_A2'!W:W)</f>
        <v>L&amp;f Tecnologia Sistemas E Comercio Ltda</v>
      </c>
    </row>
    <row r="292">
      <c r="A292" s="26" t="s">
        <v>443</v>
      </c>
      <c r="B292" s="26">
        <f t="array" ref="B292">XLOOKUP($A292,'_Fonte_A2'!$A:$A,'_Fonte_A2'!B:B)</f>
        <v>2</v>
      </c>
      <c r="C292" s="26" t="str">
        <f t="array" ref="C292">XLOOKUP($A292,'_Fonte_A2'!$A:$A,'_Fonte_A2'!D:D)</f>
        <v>Fast Casual - Multi-conceito</v>
      </c>
      <c r="D292" s="26" t="str">
        <f t="array" ref="D292">XLOOKUP($A292,'_Fonte_A2'!$A:$A,'_Fonte_A2'!W:W)</f>
        <v>L&amp;f Tecnologia Sistemas E Comercio Ltda</v>
      </c>
    </row>
    <row r="293">
      <c r="A293" s="26" t="s">
        <v>444</v>
      </c>
      <c r="B293" s="26">
        <f t="array" ref="B293">XLOOKUP($A293,'_Fonte_A2'!$A:$A,'_Fonte_A2'!B:B)</f>
        <v>4</v>
      </c>
      <c r="C293" s="26" t="str">
        <f t="array" ref="C293">XLOOKUP($A293,'_Fonte_A2'!$A:$A,'_Fonte_A2'!D:D)</f>
        <v>Fast Casual - Multi-conceito</v>
      </c>
      <c r="D293" s="26" t="str">
        <f t="array" ref="D293">XLOOKUP($A293,'_Fonte_A2'!$A:$A,'_Fonte_A2'!W:W)</f>
        <v>null</v>
      </c>
    </row>
    <row r="294">
      <c r="A294" s="26" t="s">
        <v>445</v>
      </c>
      <c r="B294" s="26">
        <f t="array" ref="B294">XLOOKUP($A294,'_Fonte_A2'!$A:$A,'_Fonte_A2'!B:B)</f>
        <v>3</v>
      </c>
      <c r="C294" s="26" t="str">
        <f t="array" ref="C294">XLOOKUP($A294,'_Fonte_A2'!$A:$A,'_Fonte_A2'!D:D)</f>
        <v>Fast Casual - Multi-conceito</v>
      </c>
      <c r="D294" s="26" t="str">
        <f t="array" ref="D294">XLOOKUP($A294,'_Fonte_A2'!$A:$A,'_Fonte_A2'!W:W)</f>
        <v>N/A (Not found)</v>
      </c>
    </row>
    <row r="295">
      <c r="A295" s="26" t="s">
        <v>446</v>
      </c>
      <c r="B295" s="26">
        <f t="array" ref="B295">XLOOKUP($A295,'_Fonte_A2'!$A:$A,'_Fonte_A2'!B:B)</f>
        <v>6</v>
      </c>
      <c r="C295" s="26" t="str">
        <f t="array" ref="C295">XLOOKUP($A295,'_Fonte_A2'!$A:$A,'_Fonte_A2'!D:D)</f>
        <v>Fast Casual - Multi-conceito</v>
      </c>
      <c r="D295" s="26" t="str">
        <f t="array" ref="D295">XLOOKUP($A295,'_Fonte_A2'!$A:$A,'_Fonte_A2'!W:W)</f>
        <v>Saipos Serviços De Software</v>
      </c>
    </row>
    <row r="296">
      <c r="A296" s="26" t="s">
        <v>447</v>
      </c>
      <c r="B296" s="26">
        <f t="array" ref="B296">XLOOKUP($A296,'_Fonte_A2'!$A:$A,'_Fonte_A2'!B:B)</f>
        <v>7</v>
      </c>
      <c r="C296" s="26" t="str">
        <f t="array" ref="C296">XLOOKUP($A296,'_Fonte_A2'!$A:$A,'_Fonte_A2'!D:D)</f>
        <v>Fast Casual - Multi-conceito</v>
      </c>
      <c r="D296" s="26" t="str">
        <f t="array" ref="D296">XLOOKUP($A296,'_Fonte_A2'!$A:$A,'_Fonte_A2'!W:W)</f>
        <v>Hubster</v>
      </c>
    </row>
    <row r="297">
      <c r="A297" s="26" t="s">
        <v>448</v>
      </c>
      <c r="B297" s="26">
        <f t="array" ref="B297">XLOOKUP($A297,'_Fonte_A2'!$A:$A,'_Fonte_A2'!B:B)</f>
        <v>7</v>
      </c>
      <c r="C297" s="26" t="str">
        <f t="array" ref="C297">XLOOKUP($A297,'_Fonte_A2'!$A:$A,'_Fonte_A2'!D:D)</f>
        <v>Fast Casual - Multi-conceito</v>
      </c>
      <c r="D297" s="26" t="str">
        <f t="array" ref="D297">XLOOKUP($A297,'_Fonte_A2'!$A:$A,'_Fonte_A2'!W:W)</f>
        <v>Stone Co.</v>
      </c>
    </row>
    <row r="298">
      <c r="A298" s="26" t="s">
        <v>449</v>
      </c>
      <c r="B298" s="26">
        <f t="array" ref="B298">XLOOKUP($A298,'_Fonte_A2'!$A:$A,'_Fonte_A2'!B:B)</f>
        <v>4</v>
      </c>
      <c r="C298" s="26" t="str">
        <f t="array" ref="C298">XLOOKUP($A298,'_Fonte_A2'!$A:$A,'_Fonte_A2'!D:D)</f>
        <v>Fast Casual - Multi-conceito</v>
      </c>
      <c r="D298" s="26" t="str">
        <f t="array" ref="D298">XLOOKUP($A298,'_Fonte_A2'!$A:$A,'_Fonte_A2'!W:W)</f>
        <v>Ciss S.a Gestao Para O Varejo</v>
      </c>
    </row>
    <row r="299">
      <c r="A299" s="26" t="s">
        <v>450</v>
      </c>
      <c r="B299" s="26">
        <f t="array" ref="B299">XLOOKUP($A299,'_Fonte_A2'!$A:$A,'_Fonte_A2'!B:B)</f>
        <v>400</v>
      </c>
      <c r="C299" s="26" t="str">
        <f t="array" ref="C299">XLOOKUP($A299,'_Fonte_A2'!$A:$A,'_Fonte_A2'!D:D)</f>
        <v>QSR - Prato Feito</v>
      </c>
      <c r="D299" s="26" t="str">
        <f t="array" ref="D299">XLOOKUP($A299,'_Fonte_A2'!$A:$A,'_Fonte_A2'!W:W)</f>
        <v>null</v>
      </c>
    </row>
    <row r="300">
      <c r="A300" s="26" t="s">
        <v>451</v>
      </c>
      <c r="B300" s="26">
        <f t="array" ref="B300">XLOOKUP($A300,'_Fonte_A2'!$A:$A,'_Fonte_A2'!B:B)</f>
        <v>3</v>
      </c>
      <c r="C300" s="26" t="str">
        <f t="array" ref="C300">XLOOKUP($A300,'_Fonte_A2'!$A:$A,'_Fonte_A2'!D:D)</f>
        <v>Fast Casual - Multi-conceito</v>
      </c>
      <c r="D300" s="26" t="str">
        <f t="array" ref="D300">XLOOKUP($A300,'_Fonte_A2'!$A:$A,'_Fonte_A2'!W:W)</f>
        <v>N/A (Not found)</v>
      </c>
    </row>
    <row r="301">
      <c r="A301" s="26" t="s">
        <v>452</v>
      </c>
      <c r="B301" s="26">
        <f t="array" ref="B301">XLOOKUP($A301,'_Fonte_A2'!$A:$A,'_Fonte_A2'!B:B)</f>
        <v>8</v>
      </c>
      <c r="C301" s="26" t="str">
        <f t="array" ref="C301">XLOOKUP($A301,'_Fonte_A2'!$A:$A,'_Fonte_A2'!D:D)</f>
        <v>Fast Casual - Multi-conceito</v>
      </c>
      <c r="D301" s="26" t="str">
        <f t="array" ref="D301">XLOOKUP($A301,'_Fonte_A2'!$A:$A,'_Fonte_A2'!W:W)</f>
        <v>N/A (Not found)</v>
      </c>
    </row>
    <row r="302">
      <c r="A302" s="26" t="s">
        <v>453</v>
      </c>
      <c r="B302" s="26">
        <f t="array" ref="B302">XLOOKUP($A302,'_Fonte_A2'!$A:$A,'_Fonte_A2'!B:B)</f>
        <v>5</v>
      </c>
      <c r="C302" s="26" t="str">
        <f t="array" ref="C302">XLOOKUP($A302,'_Fonte_A2'!$A:$A,'_Fonte_A2'!D:D)</f>
        <v>Fast Casual - Multi-conceito</v>
      </c>
      <c r="D302" s="26" t="str">
        <f t="array" ref="D302">XLOOKUP($A302,'_Fonte_A2'!$A:$A,'_Fonte_A2'!W:W)</f>
        <v>N/A (Not found)</v>
      </c>
    </row>
    <row r="303">
      <c r="A303" s="26" t="s">
        <v>454</v>
      </c>
      <c r="B303" s="26">
        <f t="array" ref="B303">XLOOKUP($A303,'_Fonte_A2'!$A:$A,'_Fonte_A2'!B:B)</f>
        <v>3</v>
      </c>
      <c r="C303" s="26" t="str">
        <f t="array" ref="C303">XLOOKUP($A303,'_Fonte_A2'!$A:$A,'_Fonte_A2'!D:D)</f>
        <v>Fast Casual - Multi-conceito</v>
      </c>
      <c r="D303" s="26" t="str">
        <f t="array" ref="D303">XLOOKUP($A303,'_Fonte_A2'!$A:$A,'_Fonte_A2'!W:W)</f>
        <v>Totvs Large Enterprise Tecnologia S.a.</v>
      </c>
    </row>
    <row r="304">
      <c r="A304" s="26" t="s">
        <v>455</v>
      </c>
      <c r="B304" s="26">
        <f t="array" ref="B304">XLOOKUP($A304,'_Fonte_A2'!$A:$A,'_Fonte_A2'!B:B)</f>
        <v>10</v>
      </c>
      <c r="C304" s="26" t="str">
        <f t="array" ref="C304">XLOOKUP($A304,'_Fonte_A2'!$A:$A,'_Fonte_A2'!D:D)</f>
        <v>Varejo - Confeitaria</v>
      </c>
      <c r="D304" s="26" t="str">
        <f t="array" ref="D304">XLOOKUP($A304,'_Fonte_A2'!$A:$A,'_Fonte_A2'!W:W)</f>
        <v>N/A (Not found)</v>
      </c>
    </row>
    <row r="305">
      <c r="A305" s="26" t="s">
        <v>456</v>
      </c>
      <c r="B305" s="26">
        <f t="array" ref="B305">XLOOKUP($A305,'_Fonte_A2'!$A:$A,'_Fonte_A2'!B:B)</f>
        <v>23</v>
      </c>
      <c r="C305" s="26" t="str">
        <f t="array" ref="C305">XLOOKUP($A305,'_Fonte_A2'!$A:$A,'_Fonte_A2'!D:D)</f>
        <v>Grupo Multi-marca</v>
      </c>
      <c r="D305" s="26" t="str">
        <f t="array" ref="D305">XLOOKUP($A305,'_Fonte_A2'!$A:$A,'_Fonte_A2'!W:W)</f>
        <v>N/A (Not found)</v>
      </c>
    </row>
    <row r="306">
      <c r="A306" s="26" t="s">
        <v>457</v>
      </c>
      <c r="B306" s="26">
        <f t="array" ref="B306">XLOOKUP($A306,'_Fonte_A2'!$A:$A,'_Fonte_A2'!B:B)</f>
        <v>5</v>
      </c>
      <c r="C306" s="26" t="str">
        <f t="array" ref="C306">XLOOKUP($A306,'_Fonte_A2'!$A:$A,'_Fonte_A2'!D:D)</f>
        <v>Grupo Multi-marca</v>
      </c>
      <c r="D306" s="26" t="str">
        <f t="array" ref="D306">XLOOKUP($A306,'_Fonte_A2'!$A:$A,'_Fonte_A2'!W:W)</f>
        <v>N/A (Not found)</v>
      </c>
    </row>
    <row r="307">
      <c r="A307" s="26" t="s">
        <v>458</v>
      </c>
      <c r="B307" s="26">
        <f t="array" ref="B307">XLOOKUP($A307,'_Fonte_A2'!$A:$A,'_Fonte_A2'!B:B)</f>
        <v>23</v>
      </c>
      <c r="C307" s="26" t="str">
        <f t="array" ref="C307">XLOOKUP($A307,'_Fonte_A2'!$A:$A,'_Fonte_A2'!D:D)</f>
        <v>Grupo Multi-marca</v>
      </c>
      <c r="D307" s="26" t="str">
        <f t="array" ref="D307">XLOOKUP($A307,'_Fonte_A2'!$A:$A,'_Fonte_A2'!W:W)</f>
        <v>Saipos Serviços De Software</v>
      </c>
    </row>
    <row r="308">
      <c r="A308" s="26" t="s">
        <v>459</v>
      </c>
      <c r="B308" s="26">
        <f t="array" ref="B308">XLOOKUP($A308,'_Fonte_A2'!$A:$A,'_Fonte_A2'!B:B)</f>
        <v>9</v>
      </c>
      <c r="C308" s="26" t="str">
        <f t="array" ref="C308">XLOOKUP($A308,'_Fonte_A2'!$A:$A,'_Fonte_A2'!D:D)</f>
        <v>Grupo Multi-marca</v>
      </c>
      <c r="D308" s="26" t="str">
        <f t="array" ref="D308">XLOOKUP($A308,'_Fonte_A2'!$A:$A,'_Fonte_A2'!W:W)</f>
        <v>Fernando Oliveira Nascimento Me</v>
      </c>
    </row>
    <row r="309">
      <c r="A309" s="26" t="s">
        <v>460</v>
      </c>
      <c r="B309" s="26">
        <f t="array" ref="B309">XLOOKUP($A309,'_Fonte_A2'!$A:$A,'_Fonte_A2'!B:B)</f>
        <v>9</v>
      </c>
      <c r="C309" s="26" t="str">
        <f t="array" ref="C309">XLOOKUP($A309,'_Fonte_A2'!$A:$A,'_Fonte_A2'!D:D)</f>
        <v>Grupo Multi-marca</v>
      </c>
      <c r="D309" s="26" t="str">
        <f t="array" ref="D309">XLOOKUP($A309,'_Fonte_A2'!$A:$A,'_Fonte_A2'!W:W)</f>
        <v>Saipos Serviços De Software</v>
      </c>
    </row>
    <row r="310">
      <c r="A310" s="26" t="s">
        <v>461</v>
      </c>
      <c r="B310" s="26">
        <f t="array" ref="B310">XLOOKUP($A310,'_Fonte_A2'!$A:$A,'_Fonte_A2'!B:B)</f>
        <v>15</v>
      </c>
      <c r="C310" s="26" t="str">
        <f t="array" ref="C310">XLOOKUP($A310,'_Fonte_A2'!$A:$A,'_Fonte_A2'!D:D)</f>
        <v>Grupo Multi-marca</v>
      </c>
      <c r="D310" s="26" t="str">
        <f t="array" ref="D310">XLOOKUP($A310,'_Fonte_A2'!$A:$A,'_Fonte_A2'!W:W)</f>
        <v>Licenciadora E Franchising Abare Ltda</v>
      </c>
    </row>
    <row r="311">
      <c r="A311" s="26" t="s">
        <v>462</v>
      </c>
      <c r="B311" s="26">
        <f t="array" ref="B311">XLOOKUP($A311,'_Fonte_A2'!$A:$A,'_Fonte_A2'!B:B)</f>
        <v>23</v>
      </c>
      <c r="C311" s="26" t="str">
        <f t="array" ref="C311">XLOOKUP($A311,'_Fonte_A2'!$A:$A,'_Fonte_A2'!D:D)</f>
        <v>Grupo Multi-marca</v>
      </c>
      <c r="D311" s="26" t="str">
        <f t="array" ref="D311">XLOOKUP($A311,'_Fonte_A2'!$A:$A,'_Fonte_A2'!W:W)</f>
        <v>N/A (Not found)</v>
      </c>
    </row>
    <row r="312">
      <c r="A312" s="26" t="s">
        <v>463</v>
      </c>
      <c r="B312" s="26">
        <f t="array" ref="B312">XLOOKUP($A312,'_Fonte_A2'!$A:$A,'_Fonte_A2'!B:B)</f>
        <v>25</v>
      </c>
      <c r="C312" s="26" t="str">
        <f t="array" ref="C312">XLOOKUP($A312,'_Fonte_A2'!$A:$A,'_Fonte_A2'!D:D)</f>
        <v>Grupo Multi-marca</v>
      </c>
      <c r="D312" s="26" t="str">
        <f t="array" ref="D312">XLOOKUP($A312,'_Fonte_A2'!$A:$A,'_Fonte_A2'!W:W)</f>
        <v>N/A (Not found)</v>
      </c>
    </row>
    <row r="313">
      <c r="A313" s="26" t="s">
        <v>464</v>
      </c>
      <c r="B313" s="26">
        <f t="array" ref="B313">XLOOKUP($A313,'_Fonte_A2'!$A:$A,'_Fonte_A2'!B:B)</f>
        <v>14</v>
      </c>
      <c r="C313" s="26" t="str">
        <f t="array" ref="C313">XLOOKUP($A313,'_Fonte_A2'!$A:$A,'_Fonte_A2'!D:D)</f>
        <v>Fast Casual - Hamburgueria</v>
      </c>
      <c r="D313" s="26" t="str">
        <f t="array" ref="D313">XLOOKUP($A313,'_Fonte_A2'!$A:$A,'_Fonte_A2'!W:W)</f>
        <v>Izzy Way Tecnologia</v>
      </c>
    </row>
    <row r="314">
      <c r="A314" s="26" t="s">
        <v>465</v>
      </c>
      <c r="B314" s="26">
        <f t="array" ref="B314">XLOOKUP($A314,'_Fonte_A2'!$A:$A,'_Fonte_A2'!B:B)</f>
        <v>22</v>
      </c>
      <c r="C314" s="26" t="str">
        <f t="array" ref="C314">XLOOKUP($A314,'_Fonte_A2'!$A:$A,'_Fonte_A2'!D:D)</f>
        <v>Grupo Multi-marca</v>
      </c>
      <c r="D314" s="26" t="str">
        <f t="array" ref="D314">XLOOKUP($A314,'_Fonte_A2'!$A:$A,'_Fonte_A2'!W:W)</f>
        <v>N/A (Not found)</v>
      </c>
    </row>
    <row r="315">
      <c r="A315" s="26" t="s">
        <v>466</v>
      </c>
      <c r="B315" s="26">
        <f t="array" ref="B315">XLOOKUP($A315,'_Fonte_A2'!$A:$A,'_Fonte_A2'!B:B)</f>
        <v>30</v>
      </c>
      <c r="C315" s="26" t="str">
        <f t="array" ref="C315">XLOOKUP($A315,'_Fonte_A2'!$A:$A,'_Fonte_A2'!D:D)</f>
        <v>Fine Dining - Luxury</v>
      </c>
      <c r="D315" s="26" t="str">
        <f t="array" ref="D315">XLOOKUP($A315,'_Fonte_A2'!$A:$A,'_Fonte_A2'!W:W)</f>
        <v>Saipos Serviços De Software</v>
      </c>
    </row>
    <row r="316">
      <c r="A316" s="26" t="s">
        <v>467</v>
      </c>
      <c r="B316" s="26">
        <f t="array" ref="B316">XLOOKUP($A316,'_Fonte_A2'!$A:$A,'_Fonte_A2'!B:B)</f>
        <v>13</v>
      </c>
      <c r="C316" s="26" t="str">
        <f t="array" ref="C316">XLOOKUP($A316,'_Fonte_A2'!$A:$A,'_Fonte_A2'!D:D)</f>
        <v>Grupo Multi-marca</v>
      </c>
      <c r="D316" s="26" t="str">
        <f t="array" ref="D316">XLOOKUP($A316,'_Fonte_A2'!$A:$A,'_Fonte_A2'!W:W)</f>
        <v>Cardápio Web</v>
      </c>
    </row>
    <row r="317">
      <c r="A317" s="26" t="s">
        <v>468</v>
      </c>
      <c r="B317" s="26">
        <f t="array" ref="B317">XLOOKUP($A317,'_Fonte_A2'!$A:$A,'_Fonte_A2'!B:B)</f>
        <v>21</v>
      </c>
      <c r="C317" s="26" t="str">
        <f t="array" ref="C317">XLOOKUP($A317,'_Fonte_A2'!$A:$A,'_Fonte_A2'!D:D)</f>
        <v>Grupo Multi-marca</v>
      </c>
      <c r="D317" s="26" t="str">
        <f t="array" ref="D317">XLOOKUP($A317,'_Fonte_A2'!$A:$A,'_Fonte_A2'!W:W)</f>
        <v>Saipos Serviços De Software</v>
      </c>
    </row>
    <row r="318">
      <c r="A318" s="26" t="s">
        <v>469</v>
      </c>
      <c r="B318" s="26">
        <f t="array" ref="B318">XLOOKUP($A318,'_Fonte_A2'!$A:$A,'_Fonte_A2'!B:B)</f>
        <v>14</v>
      </c>
      <c r="C318" s="26" t="str">
        <f t="array" ref="C318">XLOOKUP($A318,'_Fonte_A2'!$A:$A,'_Fonte_A2'!D:D)</f>
        <v>Grupo Multi-marca</v>
      </c>
      <c r="D318" s="26" t="str">
        <f t="array" ref="D318">XLOOKUP($A318,'_Fonte_A2'!$A:$A,'_Fonte_A2'!W:W)</f>
        <v>N/A (Not found)</v>
      </c>
    </row>
    <row r="319">
      <c r="A319" s="26" t="s">
        <v>470</v>
      </c>
      <c r="B319" s="26">
        <f t="array" ref="B319">XLOOKUP($A319,'_Fonte_A2'!$A:$A,'_Fonte_A2'!B:B)</f>
        <v>25</v>
      </c>
      <c r="C319" s="26" t="str">
        <f t="array" ref="C319">XLOOKUP($A319,'_Fonte_A2'!$A:$A,'_Fonte_A2'!D:D)</f>
        <v>Grupo Multi-marca</v>
      </c>
      <c r="D319" s="26" t="str">
        <f t="array" ref="D319">XLOOKUP($A319,'_Fonte_A2'!$A:$A,'_Fonte_A2'!W:W)</f>
        <v>Izzy Way Tecnologia</v>
      </c>
    </row>
    <row r="320">
      <c r="A320" s="26" t="s">
        <v>471</v>
      </c>
      <c r="B320" s="26">
        <f t="array" ref="B320">XLOOKUP($A320,'_Fonte_A2'!$A:$A,'_Fonte_A2'!B:B)</f>
        <v>10</v>
      </c>
      <c r="C320" s="26" t="str">
        <f t="array" ref="C320">XLOOKUP($A320,'_Fonte_A2'!$A:$A,'_Fonte_A2'!D:D)</f>
        <v>Grupo Multi-marca</v>
      </c>
      <c r="D320" s="26" t="str">
        <f t="array" ref="D320">XLOOKUP($A320,'_Fonte_A2'!$A:$A,'_Fonte_A2'!W:W)</f>
        <v>Liv Up Comercio De Alimentos Ltda</v>
      </c>
    </row>
    <row r="321">
      <c r="A321" s="26" t="s">
        <v>472</v>
      </c>
      <c r="B321" s="26">
        <f t="array" ref="B321">XLOOKUP($A321,'_Fonte_A2'!$A:$A,'_Fonte_A2'!B:B)</f>
        <v>15</v>
      </c>
      <c r="C321" s="26" t="str">
        <f t="array" ref="C321">XLOOKUP($A321,'_Fonte_A2'!$A:$A,'_Fonte_A2'!D:D)</f>
        <v>Grupo Multi-marca</v>
      </c>
      <c r="D321" s="26" t="str">
        <f t="array" ref="D321">XLOOKUP($A321,'_Fonte_A2'!$A:$A,'_Fonte_A2'!W:W)</f>
        <v>Saipos Serviços De Software</v>
      </c>
    </row>
    <row r="322">
      <c r="A322" s="26" t="s">
        <v>473</v>
      </c>
      <c r="B322" s="26">
        <f t="array" ref="B322">XLOOKUP($A322,'_Fonte_A2'!$A:$A,'_Fonte_A2'!B:B)</f>
        <v>18</v>
      </c>
      <c r="C322" s="26" t="str">
        <f t="array" ref="C322">XLOOKUP($A322,'_Fonte_A2'!$A:$A,'_Fonte_A2'!D:D)</f>
        <v>Grupo Multi-marca</v>
      </c>
      <c r="D322" s="26" t="str">
        <f t="array" ref="D322">XLOOKUP($A322,'_Fonte_A2'!$A:$A,'_Fonte_A2'!W:W)</f>
        <v>null</v>
      </c>
    </row>
    <row r="323">
      <c r="A323" s="26" t="s">
        <v>474</v>
      </c>
      <c r="B323" s="26">
        <f t="array" ref="B323">XLOOKUP($A323,'_Fonte_A2'!$A:$A,'_Fonte_A2'!B:B)</f>
        <v>24</v>
      </c>
      <c r="C323" s="26" t="str">
        <f t="array" ref="C323">XLOOKUP($A323,'_Fonte_A2'!$A:$A,'_Fonte_A2'!D:D)</f>
        <v>Grupo Multi-marca</v>
      </c>
      <c r="D323" s="26" t="str">
        <f t="array" ref="D323">XLOOKUP($A323,'_Fonte_A2'!$A:$A,'_Fonte_A2'!W:W)</f>
        <v>Saipos Serviços De Software</v>
      </c>
    </row>
    <row r="324">
      <c r="A324" s="26" t="s">
        <v>475</v>
      </c>
      <c r="B324" s="26">
        <f t="array" ref="B324">XLOOKUP($A324,'_Fonte_A2'!$A:$A,'_Fonte_A2'!B:B)</f>
        <v>18</v>
      </c>
      <c r="C324" s="26" t="str">
        <f t="array" ref="C324">XLOOKUP($A324,'_Fonte_A2'!$A:$A,'_Fonte_A2'!D:D)</f>
        <v>Grupo Multi-marca</v>
      </c>
      <c r="D324" s="26" t="str">
        <f t="array" ref="D324">XLOOKUP($A324,'_Fonte_A2'!$A:$A,'_Fonte_A2'!W:W)</f>
        <v>N/A (Not found)</v>
      </c>
    </row>
    <row r="325">
      <c r="A325" s="26" t="s">
        <v>476</v>
      </c>
      <c r="B325" s="26">
        <f t="array" ref="B325">XLOOKUP($A325,'_Fonte_A2'!$A:$A,'_Fonte_A2'!B:B)</f>
        <v>16</v>
      </c>
      <c r="C325" s="26" t="str">
        <f t="array" ref="C325">XLOOKUP($A325,'_Fonte_A2'!$A:$A,'_Fonte_A2'!D:D)</f>
        <v>Grupo Multi-marca</v>
      </c>
      <c r="D325" s="26" t="str">
        <f t="array" ref="D325">XLOOKUP($A325,'_Fonte_A2'!$A:$A,'_Fonte_A2'!W:W)</f>
        <v>N/A (Not found)</v>
      </c>
    </row>
    <row r="326">
      <c r="A326" s="26" t="s">
        <v>477</v>
      </c>
      <c r="B326" s="26">
        <f t="array" ref="B326">XLOOKUP($A326,'_Fonte_A2'!$A:$A,'_Fonte_A2'!B:B)</f>
        <v>25</v>
      </c>
      <c r="C326" s="26" t="str">
        <f t="array" ref="C326">XLOOKUP($A326,'_Fonte_A2'!$A:$A,'_Fonte_A2'!D:D)</f>
        <v>Grupo Multi-marca</v>
      </c>
      <c r="D326" s="26" t="str">
        <f t="array" ref="D326">XLOOKUP($A326,'_Fonte_A2'!$A:$A,'_Fonte_A2'!W:W)</f>
        <v>Filialdigital</v>
      </c>
    </row>
    <row r="327">
      <c r="A327" s="26" t="s">
        <v>478</v>
      </c>
      <c r="B327" s="26">
        <f t="array" ref="B327">XLOOKUP($A327,'_Fonte_A2'!$A:$A,'_Fonte_A2'!B:B)</f>
        <v>2</v>
      </c>
      <c r="C327" s="26" t="str">
        <f t="array" ref="C327">XLOOKUP($A327,'_Fonte_A2'!$A:$A,'_Fonte_A2'!D:D)</f>
        <v>Fast Casual - Pizzaria</v>
      </c>
      <c r="D327" s="26" t="str">
        <f t="array" ref="D327">XLOOKUP($A327,'_Fonte_A2'!$A:$A,'_Fonte_A2'!W:W)</f>
        <v>N/A (Not found)</v>
      </c>
    </row>
    <row r="328">
      <c r="A328" s="26" t="s">
        <v>479</v>
      </c>
      <c r="B328" s="26">
        <f t="array" ref="B328">XLOOKUP($A328,'_Fonte_A2'!$A:$A,'_Fonte_A2'!B:B)</f>
        <v>24</v>
      </c>
      <c r="C328" s="26" t="str">
        <f t="array" ref="C328">XLOOKUP($A328,'_Fonte_A2'!$A:$A,'_Fonte_A2'!D:D)</f>
        <v>Grupo Multi-marca</v>
      </c>
      <c r="D328" s="26" t="str">
        <f t="array" ref="D328">XLOOKUP($A328,'_Fonte_A2'!$A:$A,'_Fonte_A2'!W:W)</f>
        <v>N/A (Not found)</v>
      </c>
    </row>
    <row r="329">
      <c r="A329" s="26" t="s">
        <v>480</v>
      </c>
      <c r="B329" s="26">
        <f t="array" ref="B329">XLOOKUP($A329,'_Fonte_A2'!$A:$A,'_Fonte_A2'!B:B)</f>
        <v>24</v>
      </c>
      <c r="C329" s="26" t="str">
        <f t="array" ref="C329">XLOOKUP($A329,'_Fonte_A2'!$A:$A,'_Fonte_A2'!D:D)</f>
        <v>Grupo Multi-marca</v>
      </c>
      <c r="D329" s="26" t="str">
        <f t="array" ref="D329">XLOOKUP($A329,'_Fonte_A2'!$A:$A,'_Fonte_A2'!W:W)</f>
        <v>Saipos Serviços De Software</v>
      </c>
    </row>
    <row r="330">
      <c r="A330" s="26" t="s">
        <v>481</v>
      </c>
      <c r="B330" s="26">
        <f t="array" ref="B330">XLOOKUP($A330,'_Fonte_A2'!$A:$A,'_Fonte_A2'!B:B)</f>
        <v>6</v>
      </c>
      <c r="C330" s="26" t="str">
        <f t="array" ref="C330">XLOOKUP($A330,'_Fonte_A2'!$A:$A,'_Fonte_A2'!D:D)</f>
        <v>Grupo Multi-marca</v>
      </c>
      <c r="D330" s="26" t="str">
        <f t="array" ref="D330">XLOOKUP($A330,'_Fonte_A2'!$A:$A,'_Fonte_A2'!W:W)</f>
        <v>N/A (Not found)</v>
      </c>
    </row>
    <row r="331">
      <c r="A331" s="26" t="s">
        <v>482</v>
      </c>
      <c r="B331" s="26">
        <f t="array" ref="B331">XLOOKUP($A331,'_Fonte_A2'!$A:$A,'_Fonte_A2'!B:B)</f>
        <v>24</v>
      </c>
      <c r="C331" s="26" t="str">
        <f t="array" ref="C331">XLOOKUP($A331,'_Fonte_A2'!$A:$A,'_Fonte_A2'!D:D)</f>
        <v>Grupo Multi-marca</v>
      </c>
      <c r="D331" s="26" t="str">
        <f t="array" ref="D331">XLOOKUP($A331,'_Fonte_A2'!$A:$A,'_Fonte_A2'!W:W)</f>
        <v>null</v>
      </c>
    </row>
    <row r="332">
      <c r="A332" s="26" t="s">
        <v>483</v>
      </c>
      <c r="B332" s="26">
        <f t="array" ref="B332">XLOOKUP($A332,'_Fonte_A2'!$A:$A,'_Fonte_A2'!B:B)</f>
        <v>7</v>
      </c>
      <c r="C332" s="26" t="str">
        <f t="array" ref="C332">XLOOKUP($A332,'_Fonte_A2'!$A:$A,'_Fonte_A2'!D:D)</f>
        <v>Fast Casual - Japonesa</v>
      </c>
      <c r="D332" s="26" t="str">
        <f t="array" ref="D332">XLOOKUP($A332,'_Fonte_A2'!$A:$A,'_Fonte_A2'!W:W)</f>
        <v>null</v>
      </c>
    </row>
    <row r="333">
      <c r="A333" s="26" t="s">
        <v>484</v>
      </c>
      <c r="B333" s="26">
        <f t="array" ref="B333">XLOOKUP($A333,'_Fonte_A2'!$A:$A,'_Fonte_A2'!B:B)</f>
        <v>5</v>
      </c>
      <c r="C333" s="26" t="str">
        <f t="array" ref="C333">XLOOKUP($A333,'_Fonte_A2'!$A:$A,'_Fonte_A2'!D:D)</f>
        <v>Grupo Multi-marca</v>
      </c>
      <c r="D333" s="26" t="str">
        <f t="array" ref="D333">XLOOKUP($A333,'_Fonte_A2'!$A:$A,'_Fonte_A2'!W:W)</f>
        <v>N/A (Not found)</v>
      </c>
    </row>
    <row r="334">
      <c r="A334" s="26" t="s">
        <v>485</v>
      </c>
      <c r="B334" s="26">
        <f t="array" ref="B334">XLOOKUP($A334,'_Fonte_A2'!$A:$A,'_Fonte_A2'!B:B)</f>
        <v>10</v>
      </c>
      <c r="C334" s="26" t="str">
        <f t="array" ref="C334">XLOOKUP($A334,'_Fonte_A2'!$A:$A,'_Fonte_A2'!D:D)</f>
        <v>Grupo Multi-marca</v>
      </c>
      <c r="D334" s="26" t="str">
        <f t="array" ref="D334">XLOOKUP($A334,'_Fonte_A2'!$A:$A,'_Fonte_A2'!W:W)</f>
        <v>Algoritma Sistemas De Software Ltda</v>
      </c>
    </row>
    <row r="335">
      <c r="A335" s="26" t="s">
        <v>486</v>
      </c>
      <c r="B335" s="26">
        <f t="array" ref="B335">XLOOKUP($A335,'_Fonte_A2'!$A:$A,'_Fonte_A2'!B:B)</f>
        <v>20</v>
      </c>
      <c r="C335" s="26" t="str">
        <f t="array" ref="C335">XLOOKUP($A335,'_Fonte_A2'!$A:$A,'_Fonte_A2'!D:D)</f>
        <v>Grupo Multi-marca</v>
      </c>
      <c r="D335" s="26" t="str">
        <f t="array" ref="D335">XLOOKUP($A335,'_Fonte_A2'!$A:$A,'_Fonte_A2'!W:W)</f>
        <v>Izzy Way Tecnologia</v>
      </c>
    </row>
    <row r="336">
      <c r="A336" s="26" t="s">
        <v>487</v>
      </c>
      <c r="B336" s="26">
        <f t="array" ref="B336">XLOOKUP($A336,'_Fonte_A2'!$A:$A,'_Fonte_A2'!B:B)</f>
        <v>18</v>
      </c>
      <c r="C336" s="26" t="str">
        <f t="array" ref="C336">XLOOKUP($A336,'_Fonte_A2'!$A:$A,'_Fonte_A2'!D:D)</f>
        <v>Grupo Multi-marca</v>
      </c>
      <c r="D336" s="26" t="str">
        <f t="array" ref="D336">XLOOKUP($A336,'_Fonte_A2'!$A:$A,'_Fonte_A2'!W:W)</f>
        <v>Saipos Serviços De Software</v>
      </c>
    </row>
    <row r="337">
      <c r="A337" s="26" t="s">
        <v>488</v>
      </c>
      <c r="B337" s="26">
        <f t="array" ref="B337">XLOOKUP($A337,'_Fonte_A2'!$A:$A,'_Fonte_A2'!B:B)</f>
        <v>14</v>
      </c>
      <c r="C337" s="26" t="str">
        <f t="array" ref="C337">XLOOKUP($A337,'_Fonte_A2'!$A:$A,'_Fonte_A2'!D:D)</f>
        <v>Grupo Multi-marca</v>
      </c>
      <c r="D337" s="26" t="str">
        <f t="array" ref="D337">XLOOKUP($A337,'_Fonte_A2'!$A:$A,'_Fonte_A2'!W:W)</f>
        <v>Saipos Serviços De Software</v>
      </c>
    </row>
    <row r="338">
      <c r="A338" s="26" t="s">
        <v>489</v>
      </c>
      <c r="B338" s="26">
        <f t="array" ref="B338">XLOOKUP($A338,'_Fonte_A2'!$A:$A,'_Fonte_A2'!B:B)</f>
        <v>21</v>
      </c>
      <c r="C338" s="26" t="str">
        <f t="array" ref="C338">XLOOKUP($A338,'_Fonte_A2'!$A:$A,'_Fonte_A2'!D:D)</f>
        <v>Grupo Multi-marca</v>
      </c>
      <c r="D338" s="26" t="str">
        <f t="array" ref="D338">XLOOKUP($A338,'_Fonte_A2'!$A:$A,'_Fonte_A2'!W:W)</f>
        <v>Cloudfy</v>
      </c>
    </row>
    <row r="339">
      <c r="A339" s="26" t="s">
        <v>490</v>
      </c>
      <c r="B339" s="26">
        <f t="array" ref="B339">XLOOKUP($A339,'_Fonte_A2'!$A:$A,'_Fonte_A2'!B:B)</f>
        <v>20</v>
      </c>
      <c r="C339" s="26" t="str">
        <f t="array" ref="C339">XLOOKUP($A339,'_Fonte_A2'!$A:$A,'_Fonte_A2'!D:D)</f>
        <v>Grupo Multi-marca</v>
      </c>
      <c r="D339" s="26" t="str">
        <f t="array" ref="D339">XLOOKUP($A339,'_Fonte_A2'!$A:$A,'_Fonte_A2'!W:W)</f>
        <v>Saipos Serviços De Software</v>
      </c>
    </row>
    <row r="340">
      <c r="A340" s="26" t="s">
        <v>491</v>
      </c>
      <c r="B340" s="26">
        <f t="array" ref="B340">XLOOKUP($A340,'_Fonte_A2'!$A:$A,'_Fonte_A2'!B:B)</f>
        <v>7</v>
      </c>
      <c r="C340" s="26" t="str">
        <f t="array" ref="C340">XLOOKUP($A340,'_Fonte_A2'!$A:$A,'_Fonte_A2'!D:D)</f>
        <v>Fast Casual - Multi-conceito</v>
      </c>
      <c r="D340" s="26" t="str">
        <f t="array" ref="D340">XLOOKUP($A340,'_Fonte_A2'!$A:$A,'_Fonte_A2'!W:W)</f>
        <v>N/A (Not found)</v>
      </c>
    </row>
    <row r="341">
      <c r="A341" s="26" t="s">
        <v>492</v>
      </c>
      <c r="B341" s="26">
        <f t="array" ref="B341">XLOOKUP($A341,'_Fonte_A2'!$A:$A,'_Fonte_A2'!B:B)</f>
        <v>15</v>
      </c>
      <c r="C341" s="26" t="str">
        <f t="array" ref="C341">XLOOKUP($A341,'_Fonte_A2'!$A:$A,'_Fonte_A2'!D:D)</f>
        <v>Fast Casual - Self-Service</v>
      </c>
      <c r="D341" s="26" t="str">
        <f t="array" ref="D341">XLOOKUP($A341,'_Fonte_A2'!$A:$A,'_Fonte_A2'!W:W)</f>
        <v>N/A (Not found)</v>
      </c>
    </row>
    <row r="342">
      <c r="A342" s="26" t="s">
        <v>493</v>
      </c>
      <c r="B342" s="26">
        <f t="array" ref="B342">XLOOKUP($A342,'_Fonte_A2'!$A:$A,'_Fonte_A2'!B:B)</f>
        <v>4</v>
      </c>
      <c r="C342" s="26" t="str">
        <f t="array" ref="C342">XLOOKUP($A342,'_Fonte_A2'!$A:$A,'_Fonte_A2'!D:D)</f>
        <v>Fast Casual - Café/Brunch All Day</v>
      </c>
      <c r="D342" s="26" t="str">
        <f t="array" ref="D342">XLOOKUP($A342,'_Fonte_A2'!$A:$A,'_Fonte_A2'!W:W)</f>
        <v>null</v>
      </c>
    </row>
    <row r="343">
      <c r="A343" s="26" t="s">
        <v>494</v>
      </c>
      <c r="B343" s="26">
        <f t="array" ref="B343">XLOOKUP($A343,'_Fonte_A2'!$A:$A,'_Fonte_A2'!B:B)</f>
        <v>10</v>
      </c>
      <c r="C343" s="26" t="str">
        <f t="array" ref="C343">XLOOKUP($A343,'_Fonte_A2'!$A:$A,'_Fonte_A2'!D:D)</f>
        <v>Fast Casual Premium - Restaurante Japonês Contemporâneo (Japa Fusion)</v>
      </c>
      <c r="D343" s="26" t="str">
        <f t="array" ref="D343">XLOOKUP($A343,'_Fonte_A2'!$A:$A,'_Fonte_A2'!W:W)</f>
        <v>F-rest Sistema Para Food Service Ltda</v>
      </c>
    </row>
    <row r="344">
      <c r="A344" s="26" t="s">
        <v>495</v>
      </c>
      <c r="B344" s="26">
        <f t="array" ref="B344">XLOOKUP($A344,'_Fonte_A2'!$A:$A,'_Fonte_A2'!B:B)</f>
        <v>600</v>
      </c>
      <c r="C344" s="26" t="str">
        <f t="array" ref="C344">XLOOKUP($A344,'_Fonte_A2'!$A:$A,'_Fonte_A2'!D:D)</f>
        <v>QSR - Quick Service Restaurant (Fast-Food Árabe)</v>
      </c>
      <c r="D344" s="26" t="str">
        <f t="array" ref="D344">XLOOKUP($A344,'_Fonte_A2'!$A:$A,'_Fonte_A2'!W:W)</f>
        <v>Totvs Large Enterprise Tecnologia S.a.</v>
      </c>
    </row>
    <row r="345">
      <c r="A345" s="26" t="s">
        <v>496</v>
      </c>
      <c r="B345" s="26">
        <f t="array" ref="B345">XLOOKUP($A345,'_Fonte_A2'!$A:$A,'_Fonte_A2'!B:B)</f>
        <v>70</v>
      </c>
      <c r="C345" s="26" t="str">
        <f t="array" ref="C345">XLOOKUP($A345,'_Fonte_A2'!$A:$A,'_Fonte_A2'!D:D)</f>
        <v>QSR - Quick Service (Croissants recheados em shoppings/quiosques)</v>
      </c>
      <c r="D345" s="26" t="str">
        <f t="array" ref="D345">XLOOKUP($A345,'_Fonte_A2'!$A:$A,'_Fonte_A2'!W:W)</f>
        <v>Saipos Serviços De Software</v>
      </c>
    </row>
    <row r="346">
      <c r="A346" s="26" t="s">
        <v>497</v>
      </c>
      <c r="B346" s="26">
        <f t="array" ref="B346">XLOOKUP($A346,'_Fonte_A2'!$A:$A,'_Fonte_A2'!B:B)</f>
        <v>150</v>
      </c>
      <c r="C346" s="26" t="str">
        <f t="array" ref="C346">XLOOKUP($A346,'_Fonte_A2'!$A:$A,'_Fonte_A2'!D:D)</f>
        <v>Fast Casual - Grelhados e Parmegianas</v>
      </c>
      <c r="D346" s="26" t="str">
        <f t="array" ref="D346">XLOOKUP($A346,'_Fonte_A2'!$A:$A,'_Fonte_A2'!W:W)</f>
        <v>Unika Sistemas Ltda</v>
      </c>
    </row>
    <row r="347">
      <c r="A347" s="26" t="s">
        <v>498</v>
      </c>
      <c r="B347" s="26">
        <f t="array" ref="B347">XLOOKUP($A347,'_Fonte_A2'!$A:$A,'_Fonte_A2'!B:B)</f>
        <v>73</v>
      </c>
      <c r="C347" s="26" t="str">
        <f t="array" ref="C347">XLOOKUP($A347,'_Fonte_A2'!$A:$A,'_Fonte_A2'!D:D)</f>
        <v>QSR - Quick Service (Culinária Asiática em shoppings)</v>
      </c>
      <c r="D347" s="26" t="str">
        <f t="array" ref="D347">XLOOKUP($A347,'_Fonte_A2'!$A:$A,'_Fonte_A2'!W:W)</f>
        <v>Noah Sistemas Ltda</v>
      </c>
    </row>
    <row r="348">
      <c r="A348" s="26" t="s">
        <v>499</v>
      </c>
      <c r="B348" s="26">
        <f t="array" ref="B348">XLOOKUP($A348,'_Fonte_A2'!$A:$A,'_Fonte_A2'!B:B)</f>
        <v>130</v>
      </c>
      <c r="C348" s="26" t="str">
        <f t="array" ref="C348">XLOOKUP($A348,'_Fonte_A2'!$A:$A,'_Fonte_A2'!D:D)</f>
        <v>Fast Casual - Churrascaria/Grill em shoppings</v>
      </c>
      <c r="D348" s="26" t="str">
        <f t="array" ref="D348">XLOOKUP($A348,'_Fonte_A2'!$A:$A,'_Fonte_A2'!W:W)</f>
        <v>Saipos Serviços De Software</v>
      </c>
    </row>
    <row r="349">
      <c r="A349" s="26" t="s">
        <v>500</v>
      </c>
      <c r="B349" s="26">
        <f t="array" ref="B349">XLOOKUP($A349,'_Fonte_A2'!$A:$A,'_Fonte_A2'!B:B)</f>
        <v>4</v>
      </c>
      <c r="C349" s="26" t="str">
        <f t="array" ref="C349">XLOOKUP($A349,'_Fonte_A2'!$A:$A,'_Fonte_A2'!D:D)</f>
        <v>Fast Casual - Restaurante Japonês Kaiten Sushi (esteira rolante)</v>
      </c>
      <c r="D349" s="26" t="str">
        <f t="array" ref="D349">XLOOKUP($A349,'_Fonte_A2'!$A:$A,'_Fonte_A2'!W:W)</f>
        <v>N/A (Not found)</v>
      </c>
    </row>
    <row r="350">
      <c r="A350" s="26" t="s">
        <v>501</v>
      </c>
      <c r="B350" s="26">
        <f t="array" ref="B350">XLOOKUP($A350,'_Fonte_A2'!$A:$A,'_Fonte_A2'!B:B)</f>
        <v>870</v>
      </c>
      <c r="C350" s="26" t="str">
        <f t="array" ref="C350">XLOOKUP($A350,'_Fonte_A2'!$A:$A,'_Fonte_A2'!D:D)</f>
        <v>Varejo Especializado - Chocolates finos e Café (Kop Koffee integrado)</v>
      </c>
      <c r="D350" s="26" t="str">
        <f t="array" ref="D350">XLOOKUP($A350,'_Fonte_A2'!$A:$A,'_Fonte_A2'!W:W)</f>
        <v>N/A (Not found)</v>
      </c>
    </row>
    <row r="351">
      <c r="A351" s="26" t="s">
        <v>502</v>
      </c>
      <c r="B351" s="26" t="str">
        <f t="array" ref="B351">XLOOKUP($A351,'_Fonte_A2'!$A:$A,'_Fonte_A2'!B:B)</f>
        <v>8-12 (estimado)</v>
      </c>
      <c r="C351" s="26" t="str">
        <f t="array" ref="C351">XLOOKUP($A351,'_Fonte_A2'!$A:$A,'_Fonte_A2'!D:D)</f>
        <v>QSR - Quick Service Restaurant (Burger gourmet rápido)</v>
      </c>
      <c r="D351" s="26" t="str">
        <f t="array" ref="D351">XLOOKUP($A351,'_Fonte_A2'!$A:$A,'_Fonte_A2'!W:W)</f>
        <v>N/A (Not found)</v>
      </c>
    </row>
    <row r="352">
      <c r="A352" s="26" t="s">
        <v>503</v>
      </c>
      <c r="B352" s="26">
        <f t="array" ref="B352">XLOOKUP($A352,'_Fonte_A2'!$A:$A,'_Fonte_A2'!B:B)</f>
        <v>20</v>
      </c>
      <c r="C352" s="26" t="str">
        <f t="array" ref="C352">XLOOKUP($A352,'_Fonte_A2'!$A:$A,'_Fonte_A2'!D:D)</f>
        <v>QSR - Quick Service (Donuts, Café, Snacks)</v>
      </c>
      <c r="D352" s="26" t="str">
        <f t="array" ref="D352">XLOOKUP($A352,'_Fonte_A2'!$A:$A,'_Fonte_A2'!W:W)</f>
        <v>N/A (Not found)</v>
      </c>
    </row>
    <row r="353">
      <c r="A353" s="26" t="s">
        <v>504</v>
      </c>
      <c r="B353" s="26">
        <f t="array" ref="B353">XLOOKUP($A353,'_Fonte_A2'!$A:$A,'_Fonte_A2'!B:B)</f>
        <v>12</v>
      </c>
      <c r="C353" s="26" t="str">
        <f t="array" ref="C353">XLOOKUP($A353,'_Fonte_A2'!$A:$A,'_Fonte_A2'!D:D)</f>
        <v>Fast Casual Premium - Confeitaria Saudável (sem glúten/lactose)</v>
      </c>
      <c r="D353" s="26" t="str">
        <f t="array" ref="D353">XLOOKUP($A353,'_Fonte_A2'!$A:$A,'_Fonte_A2'!W:W)</f>
        <v>N/A (Not found)</v>
      </c>
    </row>
    <row r="354">
      <c r="A354" s="26" t="s">
        <v>505</v>
      </c>
      <c r="B354" s="26">
        <f t="array" ref="B354">XLOOKUP($A354,'_Fonte_A2'!$A:$A,'_Fonte_A2'!B:B)</f>
        <v>4</v>
      </c>
      <c r="C354" s="26" t="str">
        <f t="array" ref="C354">XLOOKUP($A354,'_Fonte_A2'!$A:$A,'_Fonte_A2'!D:D)</f>
        <v>Fast Casual - Pizzaria saudável (low carb, sem glúten)</v>
      </c>
      <c r="D354" s="26" t="str">
        <f t="array" ref="D354">XLOOKUP($A354,'_Fonte_A2'!$A:$A,'_Fonte_A2'!W:W)</f>
        <v>N/A (Not found)</v>
      </c>
    </row>
    <row r="355">
      <c r="A355" s="26" t="s">
        <v>506</v>
      </c>
      <c r="B355" s="26">
        <f t="array" ref="B355">XLOOKUP($A355,'_Fonte_A2'!$A:$A,'_Fonte_A2'!B:B)</f>
        <v>28</v>
      </c>
      <c r="C355" s="26" t="str">
        <f t="array" ref="C355">XLOOKUP($A355,'_Fonte_A2'!$A:$A,'_Fonte_A2'!D:D)</f>
        <v>Full Service Bar - Coquetelaria + Burgers + Entretenimento</v>
      </c>
      <c r="D355" s="26" t="str">
        <f t="array" ref="D355">XLOOKUP($A355,'_Fonte_A2'!$A:$A,'_Fonte_A2'!W:W)</f>
        <v>Anota Ai Solucoes Digitais S/a</v>
      </c>
    </row>
    <row r="356">
      <c r="A356" s="26" t="s">
        <v>507</v>
      </c>
      <c r="B356" s="26">
        <f t="array" ref="B356">XLOOKUP($A356,'_Fonte_A2'!$A:$A,'_Fonte_A2'!B:B)</f>
        <v>7</v>
      </c>
      <c r="C356" s="26" t="str">
        <f t="array" ref="C356">XLOOKUP($A356,'_Fonte_A2'!$A:$A,'_Fonte_A2'!D:D)</f>
        <v>Fast Casual - Restaurante Japonês com rodízio</v>
      </c>
      <c r="D356" s="26" t="str">
        <f t="array" ref="D356">XLOOKUP($A356,'_Fonte_A2'!$A:$A,'_Fonte_A2'!W:W)</f>
        <v>Swfast Sistemas</v>
      </c>
    </row>
    <row r="357">
      <c r="A357" s="26" t="s">
        <v>508</v>
      </c>
      <c r="B357" s="26">
        <f t="array" ref="B357">XLOOKUP($A357,'_Fonte_A2'!$A:$A,'_Fonte_A2'!B:B)</f>
        <v>2</v>
      </c>
      <c r="C357" s="26" t="str">
        <f t="array" ref="C357">XLOOKUP($A357,'_Fonte_A2'!$A:$A,'_Fonte_A2'!D:D)</f>
        <v>Table Service - Cantina Italiana tradicional</v>
      </c>
      <c r="D357" s="26" t="str">
        <f t="array" ref="D357">XLOOKUP($A357,'_Fonte_A2'!$A:$A,'_Fonte_A2'!W:W)</f>
        <v>Saipos Serviços De Software</v>
      </c>
    </row>
    <row r="358">
      <c r="A358" s="26" t="s">
        <v>509</v>
      </c>
      <c r="B358" s="26" t="str">
        <f t="array" ref="B358">XLOOKUP($A358,'_Fonte_A2'!$A:$A,'_Fonte_A2'!B:B)</f>
        <v>3-4 (independentes)</v>
      </c>
      <c r="C358" s="26" t="str">
        <f t="array" ref="C358">XLOOKUP($A358,'_Fonte_A2'!$A:$A,'_Fonte_A2'!D:D)</f>
        <v>Table Service - Pizzaria local</v>
      </c>
      <c r="D358" s="26" t="str">
        <f t="array" ref="D358">XLOOKUP($A358,'_Fonte_A2'!$A:$A,'_Fonte_A2'!W:W)</f>
        <v>N/A (Not found)</v>
      </c>
    </row>
    <row r="359">
      <c r="A359" s="26" t="s">
        <v>510</v>
      </c>
      <c r="B359" s="26">
        <f t="array" ref="B359">XLOOKUP($A359,'_Fonte_A2'!$A:$A,'_Fonte_A2'!B:B)</f>
        <v>50</v>
      </c>
      <c r="C359" s="26" t="str">
        <f t="array" ref="C359">XLOOKUP($A359,'_Fonte_A2'!$A:$A,'_Fonte_A2'!D:D)</f>
        <v>QSR - Quick Service (Milkshakes gourmet em quiosques/shoppings)</v>
      </c>
      <c r="D359" s="26" t="str">
        <f t="array" ref="D359">XLOOKUP($A359,'_Fonte_A2'!$A:$A,'_Fonte_A2'!W:W)</f>
        <v>Saipos Serviços De Software</v>
      </c>
    </row>
    <row r="360">
      <c r="A360" s="26" t="s">
        <v>511</v>
      </c>
      <c r="B360" s="26">
        <f t="array" ref="B360">XLOOKUP($A360,'_Fonte_A2'!$A:$A,'_Fonte_A2'!B:B)</f>
        <v>2</v>
      </c>
      <c r="C360" s="26" t="str">
        <f t="array" ref="C360">XLOOKUP($A360,'_Fonte_A2'!$A:$A,'_Fonte_A2'!D:D)</f>
        <v>Fast Casual - Hamburgueria artesanal com dark kitchen</v>
      </c>
      <c r="D360" s="26" t="str">
        <f t="array" ref="D360">XLOOKUP($A360,'_Fonte_A2'!$A:$A,'_Fonte_A2'!W:W)</f>
        <v>Instadelivery</v>
      </c>
    </row>
    <row r="361">
      <c r="A361" s="26" t="s">
        <v>512</v>
      </c>
      <c r="B361" s="26">
        <f t="array" ref="B361">XLOOKUP($A361,'_Fonte_A2'!$A:$A,'_Fonte_A2'!B:B)</f>
        <v>4</v>
      </c>
      <c r="C361" s="26" t="str">
        <f t="array" ref="C361">XLOOKUP($A361,'_Fonte_A2'!$A:$A,'_Fonte_A2'!D:D)</f>
        <v>Fast Casual Premium - Restaurante Japonês especializado em Ramen</v>
      </c>
      <c r="D361" s="26" t="str">
        <f t="array" ref="D361">XLOOKUP($A361,'_Fonte_A2'!$A:$A,'_Fonte_A2'!W:W)</f>
        <v>Connectplug</v>
      </c>
    </row>
    <row r="362">
      <c r="A362" s="26" t="s">
        <v>513</v>
      </c>
      <c r="B362" s="26">
        <f t="array" ref="B362">XLOOKUP($A362,'_Fonte_A2'!$A:$A,'_Fonte_A2'!B:B)</f>
        <v>11</v>
      </c>
      <c r="C362" s="26" t="str">
        <f t="array" ref="C362">XLOOKUP($A362,'_Fonte_A2'!$A:$A,'_Fonte_A2'!D:D)</f>
        <v>QSR - Quick Service Restaurant (Hamburgueria artesanal regional)</v>
      </c>
      <c r="D362" s="26" t="str">
        <f t="array" ref="D362">XLOOKUP($A362,'_Fonte_A2'!$A:$A,'_Fonte_A2'!W:W)</f>
        <v>Saipos Serviços De Software</v>
      </c>
    </row>
    <row r="363">
      <c r="A363" s="26" t="s">
        <v>514</v>
      </c>
      <c r="B363" s="26">
        <f t="array" ref="B363">XLOOKUP($A363,'_Fonte_A2'!$A:$A,'_Fonte_A2'!B:B)</f>
        <v>4</v>
      </c>
      <c r="C363" s="26" t="str">
        <f t="array" ref="C363">XLOOKUP($A363,'_Fonte_A2'!$A:$A,'_Fonte_A2'!D:D)</f>
        <v>Fast Casual - Restaurante Japonês com rodízio kaiten (esteira)</v>
      </c>
      <c r="D363" s="26" t="str">
        <f t="array" ref="D363">XLOOKUP($A363,'_Fonte_A2'!$A:$A,'_Fonte_A2'!W:W)</f>
        <v>Saipos Serviços De Software</v>
      </c>
    </row>
    <row r="364">
      <c r="A364" s="26" t="s">
        <v>515</v>
      </c>
      <c r="B364" s="26" t="str">
        <f t="array" ref="B364">XLOOKUP($A364,'_Fonte_A2'!$A:$A,'_Fonte_A2'!B:B)</f>
        <v>6-8 (estimado)</v>
      </c>
      <c r="C364" s="26" t="str">
        <f t="array" ref="C364">XLOOKUP($A364,'_Fonte_A2'!$A:$A,'_Fonte_A2'!D:D)</f>
        <v>Table Service Local - Lanchonete/Pizzaria independente</v>
      </c>
      <c r="D364" s="26" t="str">
        <f t="array" ref="D364">XLOOKUP($A364,'_Fonte_A2'!$A:$A,'_Fonte_A2'!W:W)</f>
        <v>Teknisa Service Ltda</v>
      </c>
    </row>
    <row r="365">
      <c r="A365" s="26" t="s">
        <v>516</v>
      </c>
      <c r="B365" s="27">
        <f t="array" ref="B365">XLOOKUP($A365,'_Fonte_A2'!$A:$A,'_Fonte_A2'!B:B)</f>
        <v>46083</v>
      </c>
      <c r="C365" s="26" t="str">
        <f t="array" ref="C365">XLOOKUP($A365,'_Fonte_A2'!$A:$A,'_Fonte_A2'!D:D)</f>
        <v>Fast Casual - Restaurante Japonês com rodízio</v>
      </c>
      <c r="D365" s="26" t="str">
        <f t="array" ref="D365">XLOOKUP($A365,'_Fonte_A2'!$A:$A,'_Fonte_A2'!W:W)</f>
        <v>Saipos Serviços De Software</v>
      </c>
    </row>
    <row r="366">
      <c r="A366" s="26" t="s">
        <v>517</v>
      </c>
      <c r="B366" s="26">
        <f t="array" ref="B366">XLOOKUP($A366,'_Fonte_A2'!$A:$A,'_Fonte_A2'!B:B)</f>
        <v>5</v>
      </c>
      <c r="C366" s="26" t="str">
        <f t="array" ref="C366">XLOOKUP($A366,'_Fonte_A2'!$A:$A,'_Fonte_A2'!D:D)</f>
        <v>Fine Dining - Restaurante Japonês estrelado Michelin</v>
      </c>
      <c r="D366" s="26" t="str">
        <f t="array" ref="D366">XLOOKUP($A366,'_Fonte_A2'!$A:$A,'_Fonte_A2'!W:W)</f>
        <v>Ncr</v>
      </c>
    </row>
    <row r="367">
      <c r="A367" s="26" t="s">
        <v>518</v>
      </c>
      <c r="B367" s="26">
        <f t="array" ref="B367">XLOOKUP($A367,'_Fonte_A2'!$A:$A,'_Fonte_A2'!B:B)</f>
        <v>3</v>
      </c>
      <c r="C367" s="26" t="str">
        <f t="array" ref="C367">XLOOKUP($A367,'_Fonte_A2'!$A:$A,'_Fonte_A2'!D:D)</f>
        <v>Fast Casual - Restaurante Japonês</v>
      </c>
      <c r="D367" s="26" t="str">
        <f t="array" ref="D367">XLOOKUP($A367,'_Fonte_A2'!$A:$A,'_Fonte_A2'!W:W)</f>
        <v>Ncr</v>
      </c>
    </row>
    <row r="368">
      <c r="A368" s="26" t="s">
        <v>519</v>
      </c>
      <c r="B368" s="26">
        <f t="array" ref="B368">XLOOKUP($A368,'_Fonte_A2'!$A:$A,'_Fonte_A2'!B:B)</f>
        <v>2</v>
      </c>
      <c r="C368" s="26" t="str">
        <f t="array" ref="C368">XLOOKUP($A368,'_Fonte_A2'!$A:$A,'_Fonte_A2'!D:D)</f>
        <v>Fast Casual Premium - Restaurante Grego-Mediterrâneo</v>
      </c>
      <c r="D368" s="26" t="str">
        <f t="array" ref="D368">XLOOKUP($A368,'_Fonte_A2'!$A:$A,'_Fonte_A2'!W:W)</f>
        <v>N/A (Not found)</v>
      </c>
    </row>
    <row r="369">
      <c r="A369" s="26" t="s">
        <v>520</v>
      </c>
      <c r="B369" s="26">
        <f t="array" ref="B369">XLOOKUP($A369,'_Fonte_A2'!$A:$A,'_Fonte_A2'!B:B)</f>
        <v>7</v>
      </c>
      <c r="C369" s="26" t="str">
        <f t="array" ref="C369">XLOOKUP($A369,'_Fonte_A2'!$A:$A,'_Fonte_A2'!D:D)</f>
        <v>Fast Casual Premium - Pizzaria Napolitana</v>
      </c>
      <c r="D369" s="26" t="str">
        <f t="array" ref="D369">XLOOKUP($A369,'_Fonte_A2'!$A:$A,'_Fonte_A2'!W:W)</f>
        <v>Netcontroll Xmenu</v>
      </c>
    </row>
    <row r="370">
      <c r="A370" s="26" t="s">
        <v>521</v>
      </c>
      <c r="B370" s="26">
        <f t="array" ref="B370">XLOOKUP($A370,'_Fonte_A2'!$A:$A,'_Fonte_A2'!B:B)</f>
        <v>36</v>
      </c>
      <c r="C370" s="26" t="str">
        <f t="array" ref="C370">XLOOKUP($A370,'_Fonte_A2'!$A:$A,'_Fonte_A2'!D:D)</f>
        <v>QSR - Quick Service (Empanadas artesanais)</v>
      </c>
      <c r="D370" s="26" t="str">
        <f t="array" ref="D370">XLOOKUP($A370,'_Fonte_A2'!$A:$A,'_Fonte_A2'!W:W)</f>
        <v>null</v>
      </c>
    </row>
    <row r="371">
      <c r="A371" s="26" t="s">
        <v>522</v>
      </c>
      <c r="B371" s="26" t="str">
        <f t="array" ref="B371">XLOOKUP($A371,'_Fonte_A2'!$A:$A,'_Fonte_A2'!B:B)</f>
        <v>3-4 (independentes)</v>
      </c>
      <c r="C371" s="26" t="str">
        <f t="array" ref="C371">XLOOKUP($A371,'_Fonte_A2'!$A:$A,'_Fonte_A2'!D:D)</f>
        <v>Table Service Local - Lanchonete independente</v>
      </c>
      <c r="D371" s="26" t="str">
        <f t="array" ref="D371">XLOOKUP($A371,'_Fonte_A2'!$A:$A,'_Fonte_A2'!W:W)</f>
        <v>Stone Co.</v>
      </c>
    </row>
    <row r="372">
      <c r="A372" s="26" t="s">
        <v>523</v>
      </c>
      <c r="B372" s="26">
        <f t="array" ref="B372">XLOOKUP($A372,'_Fonte_A2'!$A:$A,'_Fonte_A2'!B:B)</f>
        <v>1</v>
      </c>
      <c r="C372" s="26" t="str">
        <f t="array" ref="C372">XLOOKUP($A372,'_Fonte_A2'!$A:$A,'_Fonte_A2'!D:D)</f>
        <v>Fine Dining - Bistrô Franco-Brasileiro</v>
      </c>
      <c r="D372" s="26" t="str">
        <f t="array" ref="D372">XLOOKUP($A372,'_Fonte_A2'!$A:$A,'_Fonte_A2'!W:W)</f>
        <v>Mp Multipedidos</v>
      </c>
    </row>
    <row r="373">
      <c r="A373" s="26" t="s">
        <v>524</v>
      </c>
      <c r="B373" s="26">
        <f t="array" ref="B373">XLOOKUP($A373,'_Fonte_A2'!$A:$A,'_Fonte_A2'!B:B)</f>
        <v>35</v>
      </c>
      <c r="C373" s="26" t="str">
        <f t="array" ref="C373">XLOOKUP($A373,'_Fonte_A2'!$A:$A,'_Fonte_A2'!D:D)</f>
        <v>QSR - Quick Service (Doceria/Confeitaria + Salgados)</v>
      </c>
      <c r="D373" s="26" t="str">
        <f t="array" ref="D373">XLOOKUP($A373,'_Fonte_A2'!$A:$A,'_Fonte_A2'!W:W)</f>
        <v>N/A (Not found)</v>
      </c>
    </row>
    <row r="374">
      <c r="A374" s="26" t="s">
        <v>525</v>
      </c>
      <c r="B374" s="26">
        <f t="array" ref="B374">XLOOKUP($A374,'_Fonte_A2'!$A:$A,'_Fonte_A2'!B:B)</f>
        <v>12</v>
      </c>
      <c r="C374" s="26" t="str">
        <f t="array" ref="C374">XLOOKUP($A374,'_Fonte_A2'!$A:$A,'_Fonte_A2'!D:D)</f>
        <v>Fast Casual - Hamburgueria premium</v>
      </c>
      <c r="D374" s="26" t="str">
        <f t="array" ref="D374">XLOOKUP($A374,'_Fonte_A2'!$A:$A,'_Fonte_A2'!W:W)</f>
        <v>Cloudfy</v>
      </c>
    </row>
    <row r="375">
      <c r="A375" s="26" t="s">
        <v>526</v>
      </c>
      <c r="B375" s="26">
        <f t="array" ref="B375">XLOOKUP($A375,'_Fonte_A2'!$A:$A,'_Fonte_A2'!B:B)</f>
        <v>1</v>
      </c>
      <c r="C375" s="26" t="str">
        <f t="array" ref="C375">XLOOKUP($A375,'_Fonte_A2'!$A:$A,'_Fonte_A2'!D:D)</f>
        <v>Fast Casual - Restaurante Japonês delivery</v>
      </c>
      <c r="D375" s="26" t="str">
        <f t="array" ref="D375">XLOOKUP($A375,'_Fonte_A2'!$A:$A,'_Fonte_A2'!W:W)</f>
        <v>Stone Co.</v>
      </c>
    </row>
    <row r="376">
      <c r="A376" s="26" t="s">
        <v>527</v>
      </c>
      <c r="B376" s="26" t="str">
        <f t="array" ref="B376">XLOOKUP($A376,'_Fonte_A2'!$A:$A,'_Fonte_A2'!B:B)</f>
        <v>90+</v>
      </c>
      <c r="C376" s="26" t="str">
        <f t="array" ref="C376">XLOOKUP($A376,'_Fonte_A2'!$A:$A,'_Fonte_A2'!D:D)</f>
        <v>Varejo Especializado - Chocolates premium suíços</v>
      </c>
      <c r="D376" s="26" t="str">
        <f t="array" ref="D376">XLOOKUP($A376,'_Fonte_A2'!$A:$A,'_Fonte_A2'!W:W)</f>
        <v>null</v>
      </c>
    </row>
    <row r="377">
      <c r="A377" s="26" t="s">
        <v>528</v>
      </c>
      <c r="B377" s="26" t="str">
        <f t="array" ref="B377">XLOOKUP($A377,'_Fonte_A2'!$A:$A,'_Fonte_A2'!B:B)</f>
        <v>355+</v>
      </c>
      <c r="C377" s="26" t="str">
        <f t="array" ref="C377">XLOOKUP($A377,'_Fonte_A2'!$A:$A,'_Fonte_A2'!D:D)</f>
        <v>Fast Casual Premium - Hamburgueria + Steakhouse (Madero, Jeronimo, híbridos)</v>
      </c>
      <c r="D377" s="26" t="str">
        <f t="array" ref="D377">XLOOKUP($A377,'_Fonte_A2'!$A:$A,'_Fonte_A2'!W:W)</f>
        <v>N/A (Not found)</v>
      </c>
    </row>
    <row r="378">
      <c r="A378" s="26" t="s">
        <v>529</v>
      </c>
      <c r="B378" s="27">
        <f t="array" ref="B378">XLOOKUP($A378,'_Fonte_A2'!$A:$A,'_Fonte_A2'!B:B)</f>
        <v>46146</v>
      </c>
      <c r="C378" s="26" t="str">
        <f t="array" ref="C378">XLOOKUP($A378,'_Fonte_A2'!$A:$A,'_Fonte_A2'!D:D)</f>
        <v>Fast Casual - Esfiharia libanesa/árabe</v>
      </c>
      <c r="D378" s="26" t="str">
        <f t="array" ref="D378">XLOOKUP($A378,'_Fonte_A2'!$A:$A,'_Fonte_A2'!W:W)</f>
        <v>null</v>
      </c>
    </row>
    <row r="379">
      <c r="A379" s="26" t="s">
        <v>530</v>
      </c>
      <c r="B379" s="26">
        <f t="array" ref="B379">XLOOKUP($A379,'_Fonte_A2'!$A:$A,'_Fonte_A2'!B:B)</f>
        <v>2</v>
      </c>
      <c r="C379" s="26" t="str">
        <f t="array" ref="C379">XLOOKUP($A379,'_Fonte_A2'!$A:$A,'_Fonte_A2'!D:D)</f>
        <v>Fine Dining - Restaurante Japonês de alta gastronomia (Chef Makoto Okuwa)</v>
      </c>
      <c r="D379" s="26" t="str">
        <f t="array" ref="D379">XLOOKUP($A379,'_Fonte_A2'!$A:$A,'_Fonte_A2'!W:W)</f>
        <v>Saipos Serviços De Software</v>
      </c>
    </row>
    <row r="380">
      <c r="A380" s="26" t="s">
        <v>531</v>
      </c>
      <c r="B380" s="26">
        <f t="array" ref="B380">XLOOKUP($A380,'_Fonte_A2'!$A:$A,'_Fonte_A2'!B:B)</f>
        <v>70</v>
      </c>
      <c r="C380" s="26" t="str">
        <f t="array" ref="C380">XLOOKUP($A380,'_Fonte_A2'!$A:$A,'_Fonte_A2'!D:D)</f>
        <v>Fast Casual Saudável - Poke havaiano</v>
      </c>
      <c r="D380" s="26" t="str">
        <f t="array" ref="D380">XLOOKUP($A380,'_Fonte_A2'!$A:$A,'_Fonte_A2'!W:W)</f>
        <v>Ncr</v>
      </c>
    </row>
    <row r="381">
      <c r="A381" s="26" t="s">
        <v>532</v>
      </c>
      <c r="B381" s="26">
        <f t="array" ref="B381">XLOOKUP($A381,'_Fonte_A2'!$A:$A,'_Fonte_A2'!B:B)</f>
        <v>5</v>
      </c>
      <c r="C381" s="26" t="str">
        <f t="array" ref="C381">XLOOKUP($A381,'_Fonte_A2'!$A:$A,'_Fonte_A2'!D:D)</f>
        <v>Fast Casual - Restaurante Japonês com rodízio</v>
      </c>
      <c r="D381" s="26" t="str">
        <f t="array" ref="D381">XLOOKUP($A381,'_Fonte_A2'!$A:$A,'_Fonte_A2'!W:W)</f>
        <v>Totvs Large Enterprise Tecnologia S.a.</v>
      </c>
    </row>
    <row r="382">
      <c r="A382" s="26" t="s">
        <v>533</v>
      </c>
      <c r="B382" s="26">
        <f t="array" ref="B382">XLOOKUP($A382,'_Fonte_A2'!$A:$A,'_Fonte_A2'!B:B)</f>
        <v>115</v>
      </c>
      <c r="C382" s="26" t="str">
        <f t="array" ref="C382">XLOOKUP($A382,'_Fonte_A2'!$A:$A,'_Fonte_A2'!D:D)</f>
        <v>Fast Casual - Churrascaria em shoppings/aeroportos (Prime Steak, Buffet)</v>
      </c>
      <c r="D382" s="26" t="str">
        <f t="array" ref="D382">XLOOKUP($A382,'_Fonte_A2'!$A:$A,'_Fonte_A2'!W:W)</f>
        <v>Teknisa Service Ltda</v>
      </c>
    </row>
    <row r="383">
      <c r="A383" s="26" t="s">
        <v>534</v>
      </c>
      <c r="B383" s="26">
        <f t="array" ref="B383">XLOOKUP($A383,'_Fonte_A2'!$A:$A,'_Fonte_A2'!B:B)</f>
        <v>2</v>
      </c>
      <c r="C383" s="26" t="str">
        <f t="array" ref="C383">XLOOKUP($A383,'_Fonte_A2'!$A:$A,'_Fonte_A2'!D:D)</f>
        <v>Fast Casual - Padaria gourmet</v>
      </c>
      <c r="D383" s="26" t="str">
        <f t="array" ref="D383">XLOOKUP($A383,'_Fonte_A2'!$A:$A,'_Fonte_A2'!W:W)</f>
        <v>Saipos Serviços De Software</v>
      </c>
    </row>
    <row r="384">
      <c r="A384" s="26" t="s">
        <v>535</v>
      </c>
      <c r="B384" s="26">
        <f t="array" ref="B384">XLOOKUP($A384,'_Fonte_A2'!$A:$A,'_Fonte_A2'!B:B)</f>
        <v>11</v>
      </c>
      <c r="C384" s="26" t="str">
        <f t="array" ref="C384">XLOOKUP($A384,'_Fonte_A2'!$A:$A,'_Fonte_A2'!D:D)</f>
        <v>Fast Casual - Restaurante Japonês rodízio pioneiro em SP</v>
      </c>
      <c r="D384" s="26" t="str">
        <f t="array" ref="D384">XLOOKUP($A384,'_Fonte_A2'!$A:$A,'_Fonte_A2'!W:W)</f>
        <v>Teknisa Service Ltda</v>
      </c>
    </row>
    <row r="385">
      <c r="A385" s="26" t="s">
        <v>536</v>
      </c>
      <c r="B385" s="26">
        <f t="array" ref="B385">XLOOKUP($A385,'_Fonte_A2'!$A:$A,'_Fonte_A2'!B:B)</f>
        <v>150</v>
      </c>
      <c r="C385" s="26" t="str">
        <f t="array" ref="C385">XLOOKUP($A385,'_Fonte_A2'!$A:$A,'_Fonte_A2'!D:D)</f>
        <v>QSR - Quick Service (Mate orgânico + Comida saudável em quiosques/lojas)</v>
      </c>
      <c r="D385" s="26" t="str">
        <f t="array" ref="D385">XLOOKUP($A385,'_Fonte_A2'!$A:$A,'_Fonte_A2'!W:W)</f>
        <v>Gcom - Gestao Em Tecnologia De Informacao Eireli</v>
      </c>
    </row>
    <row r="386">
      <c r="A386" s="26" t="s">
        <v>537</v>
      </c>
      <c r="B386" s="26">
        <f t="array" ref="B386">XLOOKUP($A386,'_Fonte_A2'!$A:$A,'_Fonte_A2'!B:B)</f>
        <v>40</v>
      </c>
      <c r="C386" s="26" t="str">
        <f t="array" ref="C386">XLOOKUP($A386,'_Fonte_A2'!$A:$A,'_Fonte_A2'!D:D)</f>
        <v>Fast Casual - Culinária Asiática (buffet self-service japonês/chinês/coreano)</v>
      </c>
      <c r="D386" s="26" t="str">
        <f t="array" ref="D386">XLOOKUP($A386,'_Fonte_A2'!$A:$A,'_Fonte_A2'!W:W)</f>
        <v>N/A (Not found)</v>
      </c>
    </row>
    <row r="387">
      <c r="A387" s="26" t="s">
        <v>538</v>
      </c>
      <c r="B387" s="26">
        <f t="array" ref="B387">XLOOKUP($A387,'_Fonte_A2'!$A:$A,'_Fonte_A2'!B:B)</f>
        <v>6</v>
      </c>
      <c r="C387" s="26" t="str">
        <f t="array" ref="C387">XLOOKUP($A387,'_Fonte_A2'!$A:$A,'_Fonte_A2'!D:D)</f>
        <v>QSR - Quick Service (Lanches 24h em Maringá)</v>
      </c>
      <c r="D387" s="26" t="str">
        <f t="array" ref="D387">XLOOKUP($A387,'_Fonte_A2'!$A:$A,'_Fonte_A2'!W:W)</f>
        <v>Saipos Serviços De Software</v>
      </c>
    </row>
    <row r="388">
      <c r="A388" s="26" t="s">
        <v>539</v>
      </c>
      <c r="B388" s="26" t="str">
        <f t="array" ref="B388">XLOOKUP($A388,'_Fonte_A2'!$A:$A,'_Fonte_A2'!B:B)</f>
        <v>20+</v>
      </c>
      <c r="C388" s="26" t="str">
        <f t="array" ref="C388">XLOOKUP($A388,'_Fonte_A2'!$A:$A,'_Fonte_A2'!D:D)</f>
        <v>QSR - Donuts/Café</v>
      </c>
      <c r="D388" s="26" t="str">
        <f t="array" ref="D388">XLOOKUP($A388,'_Fonte_A2'!$A:$A,'_Fonte_A2'!W:W)</f>
        <v>Cf Sistemas</v>
      </c>
    </row>
    <row r="389">
      <c r="A389" s="26" t="s">
        <v>540</v>
      </c>
      <c r="B389" s="26">
        <f t="array" ref="B389">XLOOKUP($A389,'_Fonte_A2'!$A:$A,'_Fonte_A2'!B:B)</f>
        <v>560</v>
      </c>
      <c r="C389" s="26" t="str">
        <f t="array" ref="C389">XLOOKUP($A389,'_Fonte_A2'!$A:$A,'_Fonte_A2'!D:D)</f>
        <v>QSR - Açaí Bowl</v>
      </c>
      <c r="D389" s="26" t="str">
        <f t="array" ref="D389">XLOOKUP($A389,'_Fonte_A2'!$A:$A,'_Fonte_A2'!W:W)</f>
        <v>N/A (Not found)</v>
      </c>
    </row>
    <row r="390">
      <c r="A390" s="26" t="s">
        <v>541</v>
      </c>
      <c r="B390" s="26">
        <f t="array" ref="B390">XLOOKUP($A390,'_Fonte_A2'!$A:$A,'_Fonte_A2'!B:B)</f>
        <v>6</v>
      </c>
      <c r="C390" s="26" t="str">
        <f t="array" ref="C390">XLOOKUP($A390,'_Fonte_A2'!$A:$A,'_Fonte_A2'!D:D)</f>
        <v>Retail - Confeitaria Premium</v>
      </c>
      <c r="D390" s="26" t="str">
        <f t="array" ref="D390">XLOOKUP($A390,'_Fonte_A2'!$A:$A,'_Fonte_A2'!W:W)</f>
        <v>null</v>
      </c>
    </row>
    <row r="391">
      <c r="A391" s="26" t="s">
        <v>542</v>
      </c>
      <c r="B391" s="27">
        <f t="array" ref="B391">XLOOKUP($A391,'_Fonte_A2'!$A:$A,'_Fonte_A2'!B:B)</f>
        <v>46146</v>
      </c>
      <c r="C391" s="26" t="str">
        <f t="array" ref="C391">XLOOKUP($A391,'_Fonte_A2'!$A:$A,'_Fonte_A2'!D:D)</f>
        <v>Casual Dining - Pizza</v>
      </c>
      <c r="D391" s="26" t="str">
        <f t="array" ref="D391">XLOOKUP($A391,'_Fonte_A2'!$A:$A,'_Fonte_A2'!W:W)</f>
        <v>Saipos Serviços De Software</v>
      </c>
    </row>
    <row r="392">
      <c r="A392" s="26" t="s">
        <v>543</v>
      </c>
      <c r="B392" s="26">
        <f t="array" ref="B392">XLOOKUP($A392,'_Fonte_A2'!$A:$A,'_Fonte_A2'!B:B)</f>
        <v>19</v>
      </c>
      <c r="C392" s="26" t="str">
        <f t="array" ref="C392">XLOOKUP($A392,'_Fonte_A2'!$A:$A,'_Fonte_A2'!D:D)</f>
        <v>Fine Dining - Churrascaria</v>
      </c>
      <c r="D392" s="26" t="str">
        <f t="array" ref="D392">XLOOKUP($A392,'_Fonte_A2'!$A:$A,'_Fonte_A2'!W:W)</f>
        <v>N/A (Not found)</v>
      </c>
    </row>
    <row r="393">
      <c r="A393" s="26" t="s">
        <v>544</v>
      </c>
      <c r="B393" s="27">
        <f t="array" ref="B393">XLOOKUP($A393,'_Fonte_A2'!$A:$A,'_Fonte_A2'!B:B)</f>
        <v>46241</v>
      </c>
      <c r="C393" s="26" t="str">
        <f t="array" ref="C393">XLOOKUP($A393,'_Fonte_A2'!$A:$A,'_Fonte_A2'!D:D)</f>
        <v>Fast Casual - Parmegiana Delivery</v>
      </c>
      <c r="D393" s="26" t="str">
        <f t="array" ref="D393">XLOOKUP($A393,'_Fonte_A2'!$A:$A,'_Fonte_A2'!W:W)</f>
        <v>Stone Co.</v>
      </c>
    </row>
    <row r="394">
      <c r="A394" s="26" t="s">
        <v>545</v>
      </c>
      <c r="B394" s="28">
        <f t="array" ref="B394">XLOOKUP($A394,'_Fonte_A2'!$A:$A,'_Fonte_A2'!B:B)</f>
        <v>1559</v>
      </c>
      <c r="C394" s="26" t="str">
        <f t="array" ref="C394">XLOOKUP($A394,'_Fonte_A2'!$A:$A,'_Fonte_A2'!D:D)</f>
        <v>QSR - Fast Food (Sanduíches)</v>
      </c>
      <c r="D394" s="26" t="str">
        <f t="array" ref="D394">XLOOKUP($A394,'_Fonte_A2'!$A:$A,'_Fonte_A2'!W:W)</f>
        <v>Saipos Serviços De Software</v>
      </c>
    </row>
    <row r="395">
      <c r="A395" s="26" t="s">
        <v>546</v>
      </c>
      <c r="B395" s="26">
        <f t="array" ref="B395">XLOOKUP($A395,'_Fonte_A2'!$A:$A,'_Fonte_A2'!B:B)</f>
        <v>1</v>
      </c>
      <c r="C395" s="26" t="str">
        <f t="array" ref="C395">XLOOKUP($A395,'_Fonte_A2'!$A:$A,'_Fonte_A2'!D:D)</f>
        <v>Fine Dining - Japonesa Premium</v>
      </c>
      <c r="D395" s="26" t="str">
        <f t="array" ref="D395">XLOOKUP($A395,'_Fonte_A2'!$A:$A,'_Fonte_A2'!W:W)</f>
        <v>Izzy Way Tecnologia</v>
      </c>
    </row>
    <row r="396">
      <c r="A396" s="26" t="s">
        <v>547</v>
      </c>
      <c r="B396" s="26">
        <f t="array" ref="B396">XLOOKUP($A396,'_Fonte_A2'!$A:$A,'_Fonte_A2'!B:B)</f>
        <v>1</v>
      </c>
      <c r="C396" s="26" t="str">
        <f t="array" ref="C396">XLOOKUP($A396,'_Fonte_A2'!$A:$A,'_Fonte_A2'!D:D)</f>
        <v>Fine Dining - Churrascaria Premium</v>
      </c>
      <c r="D396" s="26" t="str">
        <f t="array" ref="D396">XLOOKUP($A396,'_Fonte_A2'!$A:$A,'_Fonte_A2'!W:W)</f>
        <v>N/A (Not found)</v>
      </c>
    </row>
    <row r="397">
      <c r="A397" s="26" t="s">
        <v>548</v>
      </c>
      <c r="B397" s="26" t="str">
        <f t="array" ref="B397">XLOOKUP($A397,'_Fonte_A2'!$A:$A,'_Fonte_A2'!B:B)</f>
        <v>150+</v>
      </c>
      <c r="C397" s="26" t="str">
        <f t="array" ref="C397">XLOOKUP($A397,'_Fonte_A2'!$A:$A,'_Fonte_A2'!D:D)</f>
        <v>Casual Dining - Frutos do Mar (Shopping)</v>
      </c>
      <c r="D397" s="26" t="str">
        <f t="array" ref="D397">XLOOKUP($A397,'_Fonte_A2'!$A:$A,'_Fonte_A2'!W:W)</f>
        <v>Saipos Serviços De Software</v>
      </c>
    </row>
    <row r="398">
      <c r="A398" s="26" t="s">
        <v>549</v>
      </c>
      <c r="B398" s="27">
        <f t="array" ref="B398">XLOOKUP($A398,'_Fonte_A2'!$A:$A,'_Fonte_A2'!B:B)</f>
        <v>46146</v>
      </c>
      <c r="C398" s="26" t="str">
        <f t="array" ref="C398">XLOOKUP($A398,'_Fonte_A2'!$A:$A,'_Fonte_A2'!D:D)</f>
        <v>QSR - Donuts</v>
      </c>
      <c r="D398" s="26" t="str">
        <f t="array" ref="D398">XLOOKUP($A398,'_Fonte_A2'!$A:$A,'_Fonte_A2'!W:W)</f>
        <v>N/A (Not found)</v>
      </c>
    </row>
    <row r="399">
      <c r="A399" s="26" t="s">
        <v>550</v>
      </c>
      <c r="B399" s="26">
        <f t="array" ref="B399">XLOOKUP($A399,'_Fonte_A2'!$A:$A,'_Fonte_A2'!B:B)</f>
        <v>6</v>
      </c>
      <c r="C399" s="26" t="str">
        <f t="array" ref="C399">XLOOKUP($A399,'_Fonte_A2'!$A:$A,'_Fonte_A2'!D:D)</f>
        <v>Casual Dining - Mexicano</v>
      </c>
      <c r="D399" s="26" t="str">
        <f t="array" ref="D399">XLOOKUP($A399,'_Fonte_A2'!$A:$A,'_Fonte_A2'!W:W)</f>
        <v>N/A (Not found)</v>
      </c>
    </row>
    <row r="400">
      <c r="A400" s="26" t="s">
        <v>551</v>
      </c>
      <c r="B400" s="26" t="str">
        <f t="array" ref="B400">XLOOKUP($A400,'_Fonte_A2'!$A:$A,'_Fonte_A2'!B:B)</f>
        <v>13-14</v>
      </c>
      <c r="C400" s="26" t="str">
        <f t="array" ref="C400">XLOOKUP($A400,'_Fonte_A2'!$A:$A,'_Fonte_A2'!D:D)</f>
        <v>Casual Dining - Pizzaria Premium</v>
      </c>
      <c r="D400" s="26" t="str">
        <f t="array" ref="D400">XLOOKUP($A400,'_Fonte_A2'!$A:$A,'_Fonte_A2'!W:W)</f>
        <v>N/A (Not found)</v>
      </c>
    </row>
    <row r="401">
      <c r="A401" s="26" t="s">
        <v>552</v>
      </c>
      <c r="B401" s="26" t="str">
        <f t="array" ref="B401">XLOOKUP($A401,'_Fonte_A2'!$A:$A,'_Fonte_A2'!B:B)</f>
        <v>50+</v>
      </c>
      <c r="C401" s="26" t="str">
        <f t="array" ref="C401">XLOOKUP($A401,'_Fonte_A2'!$A:$A,'_Fonte_A2'!D:D)</f>
        <v>QSR - Fast Food (Burgers)</v>
      </c>
      <c r="D401" s="26" t="str">
        <f t="array" ref="D401">XLOOKUP($A401,'_Fonte_A2'!$A:$A,'_Fonte_A2'!W:W)</f>
        <v>Saipos Serviços De Software</v>
      </c>
    </row>
    <row r="402">
      <c r="A402" s="26" t="s">
        <v>553</v>
      </c>
      <c r="B402" s="26" t="str">
        <f t="array" ref="B402">XLOOKUP($A402,'_Fonte_A2'!$A:$A,'_Fonte_A2'!B:B)</f>
        <v>44+ (IMC)</v>
      </c>
      <c r="C402" s="26" t="str">
        <f t="array" ref="C402">XLOOKUP($A402,'_Fonte_A2'!$A:$A,'_Fonte_A2'!D:D)</f>
        <v>QSR - Fast Food (Shopping)</v>
      </c>
      <c r="D402" s="26" t="str">
        <f t="array" ref="D402">XLOOKUP($A402,'_Fonte_A2'!$A:$A,'_Fonte_A2'!W:W)</f>
        <v>N/A (Not found)</v>
      </c>
    </row>
    <row r="403">
      <c r="A403" s="26" t="s">
        <v>554</v>
      </c>
      <c r="B403" s="26">
        <f t="array" ref="B403">XLOOKUP($A403,'_Fonte_A2'!$A:$A,'_Fonte_A2'!B:B)</f>
        <v>49</v>
      </c>
      <c r="C403" s="26" t="str">
        <f t="array" ref="C403">XLOOKUP($A403,'_Fonte_A2'!$A:$A,'_Fonte_A2'!D:D)</f>
        <v>Retail - Açougue Premium (Franquia)</v>
      </c>
      <c r="D403" s="26" t="str">
        <f t="array" ref="D403">XLOOKUP($A403,'_Fonte_A2'!$A:$A,'_Fonte_A2'!W:W)</f>
        <v>Saipos Serviços De Software</v>
      </c>
    </row>
    <row r="404">
      <c r="A404" s="26" t="s">
        <v>555</v>
      </c>
      <c r="B404" s="26">
        <f t="array" ref="B404">XLOOKUP($A404,'_Fonte_A2'!$A:$A,'_Fonte_A2'!B:B)</f>
        <v>9</v>
      </c>
      <c r="C404" s="26" t="str">
        <f t="array" ref="C404">XLOOKUP($A404,'_Fonte_A2'!$A:$A,'_Fonte_A2'!D:D)</f>
        <v>Retail - Pâtisserie Francesa (Franquia)</v>
      </c>
      <c r="D404" s="26" t="str">
        <f t="array" ref="D404">XLOOKUP($A404,'_Fonte_A2'!$A:$A,'_Fonte_A2'!W:W)</f>
        <v>Saipos Serviços De Software</v>
      </c>
    </row>
    <row r="405">
      <c r="A405" s="26" t="s">
        <v>556</v>
      </c>
      <c r="B405" s="28">
        <f t="array" ref="B405">XLOOKUP($A405,'_Fonte_A2'!$A:$A,'_Fonte_A2'!B:B)</f>
        <v>1225</v>
      </c>
      <c r="C405" s="26" t="str">
        <f t="array" ref="C405">XLOOKUP($A405,'_Fonte_A2'!$A:$A,'_Fonte_A2'!D:D)</f>
        <v>QSR - Fast Food (Burgers)</v>
      </c>
      <c r="D405" s="26" t="str">
        <f t="array" ref="D405">XLOOKUP($A405,'_Fonte_A2'!$A:$A,'_Fonte_A2'!W:W)</f>
        <v>Saipos Serviços De Software</v>
      </c>
    </row>
    <row r="406">
      <c r="A406" s="26" t="s">
        <v>557</v>
      </c>
      <c r="B406" s="26" t="str">
        <f t="array" ref="B406">XLOOKUP($A406,'_Fonte_A2'!$A:$A,'_Fonte_A2'!B:B)</f>
        <v>4 (Naturale &amp; Cia)</v>
      </c>
      <c r="C406" s="26" t="str">
        <f t="array" ref="C406">XLOOKUP($A406,'_Fonte_A2'!$A:$A,'_Fonte_A2'!D:D)</f>
        <v>QSR - Pastelaria</v>
      </c>
      <c r="D406" s="26" t="str">
        <f t="array" ref="D406">XLOOKUP($A406,'_Fonte_A2'!$A:$A,'_Fonte_A2'!W:W)</f>
        <v>Saipos Serviços De Software</v>
      </c>
    </row>
    <row r="407">
      <c r="A407" s="26" t="s">
        <v>558</v>
      </c>
      <c r="B407" s="26" t="str">
        <f t="array" ref="B407">XLOOKUP($A407,'_Fonte_A2'!$A:$A,'_Fonte_A2'!B:B)</f>
        <v>100+</v>
      </c>
      <c r="C407" s="26" t="str">
        <f t="array" ref="C407">XLOOKUP($A407,'_Fonte_A2'!$A:$A,'_Fonte_A2'!D:D)</f>
        <v>QSR - Frango Frito (Franquia)</v>
      </c>
      <c r="D407" s="26" t="str">
        <f t="array" ref="D407">XLOOKUP($A407,'_Fonte_A2'!$A:$A,'_Fonte_A2'!W:W)</f>
        <v>Agilizup Solucoes Ltda</v>
      </c>
    </row>
    <row r="408">
      <c r="A408" s="26" t="s">
        <v>559</v>
      </c>
      <c r="B408" s="26" t="str">
        <f t="array" ref="B408">XLOOKUP($A408,'_Fonte_A2'!$A:$A,'_Fonte_A2'!B:B)</f>
        <v>50+</v>
      </c>
      <c r="C408" s="26" t="str">
        <f t="array" ref="C408">XLOOKUP($A408,'_Fonte_A2'!$A:$A,'_Fonte_A2'!D:D)</f>
        <v>QSR - Fast Food (Burgers retro)</v>
      </c>
      <c r="D408" s="26" t="str">
        <f t="array" ref="D408">XLOOKUP($A408,'_Fonte_A2'!$A:$A,'_Fonte_A2'!W:W)</f>
        <v>Hubster</v>
      </c>
    </row>
    <row r="409">
      <c r="A409" s="26" t="s">
        <v>560</v>
      </c>
      <c r="B409" s="26">
        <f t="array" ref="B409">XLOOKUP($A409,'_Fonte_A2'!$A:$A,'_Fonte_A2'!B:B)</f>
        <v>260</v>
      </c>
      <c r="C409" s="26" t="str">
        <f t="array" ref="C409">XLOOKUP($A409,'_Fonte_A2'!$A:$A,'_Fonte_A2'!D:D)</f>
        <v>QSR - Fast Food (Frango)</v>
      </c>
      <c r="D409" s="26" t="str">
        <f t="array" ref="D409">XLOOKUP($A409,'_Fonte_A2'!$A:$A,'_Fonte_A2'!W:W)</f>
        <v>N/A (Not found)</v>
      </c>
    </row>
    <row r="410">
      <c r="A410" s="26" t="s">
        <v>561</v>
      </c>
      <c r="B410" s="26" t="str">
        <f t="array" ref="B410">XLOOKUP($A410,'_Fonte_A2'!$A:$A,'_Fonte_A2'!B:B)</f>
        <v>3-5 (expansão 2026)</v>
      </c>
      <c r="C410" s="26" t="str">
        <f t="array" ref="C410">XLOOKUP($A410,'_Fonte_A2'!$A:$A,'_Fonte_A2'!D:D)</f>
        <v>QSR - Donuts</v>
      </c>
      <c r="D410" s="26" t="str">
        <f t="array" ref="D410">XLOOKUP($A410,'_Fonte_A2'!$A:$A,'_Fonte_A2'!W:W)</f>
        <v>Jaxtech</v>
      </c>
    </row>
    <row r="411">
      <c r="A411" s="26" t="s">
        <v>562</v>
      </c>
      <c r="B411" s="26" t="str">
        <f t="array" ref="B411">XLOOKUP($A411,'_Fonte_A2'!$A:$A,'_Fonte_A2'!B:B)</f>
        <v>32 (meta 8 novas em 2026)</v>
      </c>
      <c r="C411" s="26" t="str">
        <f t="array" ref="C411">XLOOKUP($A411,'_Fonte_A2'!$A:$A,'_Fonte_A2'!D:D)</f>
        <v>Fine Dining - Francesa (Carnes)</v>
      </c>
      <c r="D411" s="26" t="str">
        <f t="array" ref="D411">XLOOKUP($A411,'_Fonte_A2'!$A:$A,'_Fonte_A2'!W:W)</f>
        <v>N/A (Not found)</v>
      </c>
    </row>
    <row r="412">
      <c r="A412" s="26" t="s">
        <v>563</v>
      </c>
      <c r="B412" s="26" t="str">
        <f t="array" ref="B412">XLOOKUP($A412,'_Fonte_A2'!$A:$A,'_Fonte_A2'!B:B)</f>
        <v>11 pontos retirada</v>
      </c>
      <c r="C412" s="26" t="str">
        <f t="array" ref="C412">XLOOKUP($A412,'_Fonte_A2'!$A:$A,'_Fonte_A2'!D:D)</f>
        <v>Delivery - Refeições Saudáveis</v>
      </c>
      <c r="D412" s="26" t="str">
        <f t="array" ref="D412">XLOOKUP($A412,'_Fonte_A2'!$A:$A,'_Fonte_A2'!W:W)</f>
        <v>Saipos Serviços De Software</v>
      </c>
    </row>
    <row r="413">
      <c r="A413" s="26" t="s">
        <v>564</v>
      </c>
      <c r="B413" s="26">
        <f t="array" ref="B413">XLOOKUP($A413,'_Fonte_A2'!$A:$A,'_Fonte_A2'!B:B)</f>
        <v>4</v>
      </c>
      <c r="C413" s="26" t="str">
        <f t="array" ref="C413">XLOOKUP($A413,'_Fonte_A2'!$A:$A,'_Fonte_A2'!D:D)</f>
        <v>Retail - Produtos Naturais</v>
      </c>
      <c r="D413" s="26" t="str">
        <f t="array" ref="D413">XLOOKUP($A413,'_Fonte_A2'!$A:$A,'_Fonte_A2'!W:W)</f>
        <v>N/A (Not found)</v>
      </c>
    </row>
    <row r="414">
      <c r="A414" s="26" t="s">
        <v>565</v>
      </c>
      <c r="B414" s="26">
        <f t="array" ref="B414">XLOOKUP($A414,'_Fonte_A2'!$A:$A,'_Fonte_A2'!B:B)</f>
        <v>188</v>
      </c>
      <c r="C414" s="26" t="str">
        <f t="array" ref="C414">XLOOKUP($A414,'_Fonte_A2'!$A:$A,'_Fonte_A2'!D:D)</f>
        <v>Casual Dining - Churrascaria Americana</v>
      </c>
      <c r="D414" s="26" t="str">
        <f t="array" ref="D414">XLOOKUP($A414,'_Fonte_A2'!$A:$A,'_Fonte_A2'!W:W)</f>
        <v>null</v>
      </c>
    </row>
    <row r="415">
      <c r="A415" s="26" t="s">
        <v>566</v>
      </c>
      <c r="B415" s="26" t="str">
        <f t="array" ref="B415">XLOOKUP($A415,'_Fonte_A2'!$A:$A,'_Fonte_A2'!B:B)</f>
        <v>267 (IMC)</v>
      </c>
      <c r="C415" s="26" t="str">
        <f t="array" ref="C415">XLOOKUP($A415,'_Fonte_A2'!$A:$A,'_Fonte_A2'!D:D)</f>
        <v>QSR - Pizza (IMC)</v>
      </c>
      <c r="D415" s="26" t="str">
        <f t="array" ref="D415">XLOOKUP($A415,'_Fonte_A2'!$A:$A,'_Fonte_A2'!W:W)</f>
        <v>Saipos Serviços De Software</v>
      </c>
    </row>
    <row r="416">
      <c r="A416" s="26" t="s">
        <v>567</v>
      </c>
      <c r="B416" s="26">
        <f t="array" ref="B416">XLOOKUP($A416,'_Fonte_A2'!$A:$A,'_Fonte_A2'!B:B)</f>
        <v>93</v>
      </c>
      <c r="C416" s="26" t="str">
        <f t="array" ref="C416">XLOOKUP($A416,'_Fonte_A2'!$A:$A,'_Fonte_A2'!D:D)</f>
        <v>QSR - Frango Frito (Zamp)</v>
      </c>
      <c r="D416" s="26" t="str">
        <f t="array" ref="D416">XLOOKUP($A416,'_Fonte_A2'!$A:$A,'_Fonte_A2'!W:W)</f>
        <v>Ncr</v>
      </c>
    </row>
    <row r="417">
      <c r="A417" s="26" t="s">
        <v>568</v>
      </c>
      <c r="B417" s="26">
        <f t="array" ref="B417">XLOOKUP($A417,'_Fonte_A2'!$A:$A,'_Fonte_A2'!B:B)</f>
        <v>29</v>
      </c>
      <c r="C417" s="26" t="str">
        <f t="array" ref="C417">XLOOKUP($A417,'_Fonte_A2'!$A:$A,'_Fonte_A2'!D:D)</f>
        <v>QSR - Gyudon (Japonês)</v>
      </c>
      <c r="D417" s="26" t="str">
        <f t="array" ref="D417">XLOOKUP($A417,'_Fonte_A2'!$A:$A,'_Fonte_A2'!W:W)</f>
        <v>null</v>
      </c>
    </row>
    <row r="418">
      <c r="A418" s="26" t="s">
        <v>569</v>
      </c>
      <c r="B418" s="26" t="str">
        <f t="array" ref="B418">XLOOKUP($A418,'_Fonte_A2'!$A:$A,'_Fonte_A2'!B:B)</f>
        <v>34 (meta 200 até 2030)</v>
      </c>
      <c r="C418" s="26" t="str">
        <f t="array" ref="C418">XLOOKUP($A418,'_Fonte_A2'!$A:$A,'_Fonte_A2'!D:D)</f>
        <v>QSR - Mexicano (Yum!)</v>
      </c>
      <c r="D418" s="26" t="str">
        <f t="array" ref="D418">XLOOKUP($A418,'_Fonte_A2'!$A:$A,'_Fonte_A2'!W:W)</f>
        <v>Saipos Serviços De Software</v>
      </c>
    </row>
    <row r="419">
      <c r="A419" s="26" t="s">
        <v>570</v>
      </c>
      <c r="B419" s="26" t="str">
        <f t="array" ref="B419">XLOOKUP($A419,'_Fonte_A2'!$A:$A,'_Fonte_A2'!B:B)</f>
        <v>15+ (próprias, não franquia)</v>
      </c>
      <c r="C419" s="26" t="str">
        <f t="array" ref="C419">XLOOKUP($A419,'_Fonte_A2'!$A:$A,'_Fonte_A2'!D:D)</f>
        <v>QSR - Cafeteria (Próprias)</v>
      </c>
      <c r="D419" s="26" t="str">
        <f t="array" ref="D419">XLOOKUP($A419,'_Fonte_A2'!$A:$A,'_Fonte_A2'!W:W)</f>
        <v>Saipos Serviços De Software</v>
      </c>
    </row>
    <row r="420">
      <c r="A420" s="26" t="s">
        <v>571</v>
      </c>
      <c r="B420" s="26">
        <f t="array" ref="B420">XLOOKUP($A420,'_Fonte_A2'!$A:$A,'_Fonte_A2'!B:B)</f>
        <v>14</v>
      </c>
      <c r="C420" s="26" t="str">
        <f t="array" ref="C420">XLOOKUP($A420,'_Fonte_A2'!$A:$A,'_Fonte_A2'!D:D)</f>
        <v>QSR - Empadas/Salgados (Franquia)</v>
      </c>
      <c r="D420" s="26" t="str">
        <f t="array" ref="D420">XLOOKUP($A420,'_Fonte_A2'!$A:$A,'_Fonte_A2'!W:W)</f>
        <v>Saipos Serviços De Software</v>
      </c>
    </row>
    <row r="421">
      <c r="A421" s="26" t="s">
        <v>572</v>
      </c>
      <c r="B421" s="26">
        <f t="array" ref="B421">XLOOKUP($A421,'_Fonte_A2'!$A:$A,'_Fonte_A2'!B:B)</f>
        <v>2</v>
      </c>
      <c r="C421" s="26" t="str">
        <f t="array" ref="C421">XLOOKUP($A421,'_Fonte_A2'!$A:$A,'_Fonte_A2'!D:D)</f>
        <v>Casual Dining - Pizzaria</v>
      </c>
      <c r="D421" s="26" t="str">
        <f t="array" ref="D421">XLOOKUP($A421,'_Fonte_A2'!$A:$A,'_Fonte_A2'!W:W)</f>
        <v>null</v>
      </c>
    </row>
    <row r="422">
      <c r="A422" s="26" t="s">
        <v>573</v>
      </c>
      <c r="B422" s="26">
        <f t="array" ref="B422">XLOOKUP($A422,'_Fonte_A2'!$A:$A,'_Fonte_A2'!B:B)</f>
        <v>6</v>
      </c>
      <c r="C422" s="26" t="str">
        <f t="array" ref="C422">XLOOKUP($A422,'_Fonte_A2'!$A:$A,'_Fonte_A2'!D:D)</f>
        <v>Casual Dining - Espanhola</v>
      </c>
      <c r="D422" s="26" t="str">
        <f t="array" ref="D422">XLOOKUP($A422,'_Fonte_A2'!$A:$A,'_Fonte_A2'!W:W)</f>
        <v>Eclética Tecnologia</v>
      </c>
    </row>
    <row r="423">
      <c r="A423" s="26" t="s">
        <v>574</v>
      </c>
      <c r="B423" s="26" t="str">
        <f t="array" ref="B423">XLOOKUP($A423,'_Fonte_A2'!$A:$A,'_Fonte_A2'!B:B)</f>
        <v>26-30</v>
      </c>
      <c r="C423" s="26" t="str">
        <f t="array" ref="C423">XLOOKUP($A423,'_Fonte_A2'!$A:$A,'_Fonte_A2'!D:D)</f>
        <v>Retail - Confeitaria Premium</v>
      </c>
      <c r="D423" s="26" t="str">
        <f t="array" ref="D423">XLOOKUP($A423,'_Fonte_A2'!$A:$A,'_Fonte_A2'!W:W)</f>
        <v>Stone Co.</v>
      </c>
    </row>
    <row r="424">
      <c r="A424" s="26" t="s">
        <v>575</v>
      </c>
      <c r="B424" s="26" t="str">
        <f t="array" ref="B424">XLOOKUP($A424,'_Fonte_A2'!$A:$A,'_Fonte_A2'!B:B)</f>
        <v>31-39</v>
      </c>
      <c r="C424" s="26" t="str">
        <f t="array" ref="C424">XLOOKUP($A424,'_Fonte_A2'!$A:$A,'_Fonte_A2'!D:D)</f>
        <v>QSR - Churrascaria Shopping (Franquia)</v>
      </c>
      <c r="D424" s="26" t="str">
        <f t="array" ref="D424">XLOOKUP($A424,'_Fonte_A2'!$A:$A,'_Fonte_A2'!W:W)</f>
        <v>null</v>
      </c>
    </row>
    <row r="425">
      <c r="A425" s="26" t="s">
        <v>576</v>
      </c>
      <c r="B425" s="27">
        <f t="array" ref="B425">XLOOKUP($A425,'_Fonte_A2'!$A:$A,'_Fonte_A2'!B:B)</f>
        <v>46208</v>
      </c>
      <c r="C425" s="26" t="str">
        <f t="array" ref="C425">XLOOKUP($A425,'_Fonte_A2'!$A:$A,'_Fonte_A2'!D:D)</f>
        <v>Casual Dining - Americana</v>
      </c>
      <c r="D425" s="26" t="str">
        <f t="array" ref="D425">XLOOKUP($A425,'_Fonte_A2'!$A:$A,'_Fonte_A2'!W:W)</f>
        <v>N/A (Not found)</v>
      </c>
    </row>
    <row r="426">
      <c r="A426" s="26" t="s">
        <v>577</v>
      </c>
      <c r="B426" s="26">
        <f t="array" ref="B426">XLOOKUP($A426,'_Fonte_A2'!$A:$A,'_Fonte_A2'!B:B)</f>
        <v>44</v>
      </c>
      <c r="C426" s="26" t="str">
        <f t="array" ref="C426">XLOOKUP($A426,'_Fonte_A2'!$A:$A,'_Fonte_A2'!D:D)</f>
        <v>QSR - Churrasco Fast Casual (Franquia)</v>
      </c>
      <c r="D426" s="26" t="str">
        <f t="array" ref="D426">XLOOKUP($A426,'_Fonte_A2'!$A:$A,'_Fonte_A2'!W:W)</f>
        <v>null</v>
      </c>
    </row>
    <row r="427">
      <c r="A427" s="26" t="s">
        <v>578</v>
      </c>
      <c r="B427" s="26">
        <f t="array" ref="B427">XLOOKUP($A427,'_Fonte_A2'!$A:$A,'_Fonte_A2'!B:B)</f>
        <v>225</v>
      </c>
      <c r="C427" s="26" t="str">
        <f t="array" ref="C427">XLOOKUP($A427,'_Fonte_A2'!$A:$A,'_Fonte_A2'!D:D)</f>
        <v>QSR/Table Service - Pizzaria com franquias</v>
      </c>
      <c r="D427" s="26" t="str">
        <f t="array" ref="D427">XLOOKUP($A427,'_Fonte_A2'!$A:$A,'_Fonte_A2'!W:W)</f>
        <v>Saipos Serviços De Software</v>
      </c>
    </row>
    <row r="428">
      <c r="A428" s="26" t="s">
        <v>579</v>
      </c>
      <c r="B428" s="26">
        <f t="array" ref="B428">XLOOKUP($A428,'_Fonte_A2'!$A:$A,'_Fonte_A2'!B:B)</f>
        <v>125</v>
      </c>
      <c r="C428" s="26" t="str">
        <f t="array" ref="C428">XLOOKUP($A428,'_Fonte_A2'!$A:$A,'_Fonte_A2'!D:D)</f>
        <v>Fast Casual - Açaí com delivery e lojas físicas</v>
      </c>
      <c r="D428" s="26" t="str">
        <f t="array" ref="D428">XLOOKUP($A428,'_Fonte_A2'!$A:$A,'_Fonte_A2'!W:W)</f>
        <v>Eclética Tecnologia</v>
      </c>
    </row>
    <row r="429">
      <c r="A429" s="26" t="s">
        <v>580</v>
      </c>
      <c r="B429" s="28">
        <f t="array" ref="B429">XLOOKUP($A429,'_Fonte_A2'!$A:$A,'_Fonte_A2'!B:B)</f>
        <v>1312</v>
      </c>
      <c r="C429" s="26" t="str">
        <f t="array" ref="C429">XLOOKUP($A429,'_Fonte_A2'!$A:$A,'_Fonte_A2'!D:D)</f>
        <v>QSR - Sorvetes factory stores (franquias)</v>
      </c>
      <c r="D429" s="26" t="str">
        <f t="array" ref="D429">XLOOKUP($A429,'_Fonte_A2'!$A:$A,'_Fonte_A2'!W:W)</f>
        <v>Eclética Tecnologia</v>
      </c>
    </row>
    <row r="430">
      <c r="A430" s="26" t="s">
        <v>581</v>
      </c>
      <c r="B430" s="26" t="str">
        <f t="array" ref="B430">XLOOKUP($A430,'_Fonte_A2'!$A:$A,'_Fonte_A2'!B:B)</f>
        <v>50+</v>
      </c>
      <c r="C430" s="26" t="str">
        <f t="array" ref="C430">XLOOKUP($A430,'_Fonte_A2'!$A:$A,'_Fonte_A2'!D:D)</f>
        <v>QSR/Fast Casual - Hot dog americano (lojas próprias + store-in-store AmPm + franquias)</v>
      </c>
      <c r="D430" s="26" t="str">
        <f t="array" ref="D430">XLOOKUP($A430,'_Fonte_A2'!$A:$A,'_Fonte_A2'!W:W)</f>
        <v>Saipos Serviços De Software</v>
      </c>
    </row>
    <row r="431">
      <c r="A431" s="26" t="s">
        <v>582</v>
      </c>
      <c r="B431" s="26" t="str">
        <f t="array" ref="B431">XLOOKUP($A431,'_Fonte_A2'!$A:$A,'_Fonte_A2'!B:B)</f>
        <v>60+</v>
      </c>
      <c r="C431" s="26" t="str">
        <f t="array" ref="C431">XLOOKUP($A431,'_Fonte_A2'!$A:$A,'_Fonte_A2'!D:D)</f>
        <v>Table Service/Delivery - Pizzaria tradicional carioca</v>
      </c>
      <c r="D431" s="26" t="str">
        <f t="array" ref="D431">XLOOKUP($A431,'_Fonte_A2'!$A:$A,'_Fonte_A2'!W:W)</f>
        <v>Saipos Serviços De Software</v>
      </c>
    </row>
    <row r="432">
      <c r="A432" s="26" t="s">
        <v>583</v>
      </c>
      <c r="B432" s="26" t="str">
        <f t="array" ref="B432">XLOOKUP($A432,'_Fonte_A2'!$A:$A,'_Fonte_A2'!B:B)</f>
        <v>48-60</v>
      </c>
      <c r="C432" s="26" t="str">
        <f t="array" ref="C432">XLOOKUP($A432,'_Fonte_A2'!$A:$A,'_Fonte_A2'!D:D)</f>
        <v>QSR - Hot Dog em terminais de transporte e metrô</v>
      </c>
      <c r="D432" s="26" t="str">
        <f t="array" ref="D432">XLOOKUP($A432,'_Fonte_A2'!$A:$A,'_Fonte_A2'!W:W)</f>
        <v>null</v>
      </c>
    </row>
    <row r="433">
      <c r="A433" s="26" t="s">
        <v>584</v>
      </c>
      <c r="B433" s="26">
        <f t="array" ref="B433">XLOOKUP($A433,'_Fonte_A2'!$A:$A,'_Fonte_A2'!B:B)</f>
        <v>13</v>
      </c>
      <c r="C433" s="26" t="str">
        <f t="array" ref="C433">XLOOKUP($A433,'_Fonte_A2'!$A:$A,'_Fonte_A2'!D:D)</f>
        <v>Fast Casual - Churrasco nordestino em shoppings</v>
      </c>
      <c r="D433" s="26" t="str">
        <f t="array" ref="D433">XLOOKUP($A433,'_Fonte_A2'!$A:$A,'_Fonte_A2'!W:W)</f>
        <v>Saipos Serviços De Software</v>
      </c>
    </row>
    <row r="434">
      <c r="A434" s="26" t="s">
        <v>585</v>
      </c>
      <c r="B434" s="26" t="str">
        <f t="array" ref="B434">XLOOKUP($A434,'_Fonte_A2'!$A:$A,'_Fonte_A2'!B:B)</f>
        <v>10 operacionais + 6 planejadas</v>
      </c>
      <c r="C434" s="26" t="str">
        <f t="array" ref="C434">XLOOKUP($A434,'_Fonte_A2'!$A:$A,'_Fonte_A2'!D:D)</f>
        <v>Fast Casual - Frutos do mar em praças de alimentação</v>
      </c>
      <c r="D434" s="26" t="str">
        <f t="array" ref="D434">XLOOKUP($A434,'_Fonte_A2'!$A:$A,'_Fonte_A2'!W:W)</f>
        <v>null</v>
      </c>
    </row>
    <row r="435">
      <c r="A435" s="26" t="s">
        <v>586</v>
      </c>
      <c r="B435" s="26" t="str">
        <f t="array" ref="B435">XLOOKUP($A435,'_Fonte_A2'!$A:$A,'_Fonte_A2'!B:B)</f>
        <v>5 (Osnir Hamburger)</v>
      </c>
      <c r="C435" s="26" t="str">
        <f t="array" ref="C435">XLOOKUP($A435,'_Fonte_A2'!$A:$A,'_Fonte_A2'!D:D)</f>
        <v>QSR/Fast Casual - Hamburgueria (NÃO é pizzaria)</v>
      </c>
      <c r="D435" s="26" t="str">
        <f t="array" ref="D435">XLOOKUP($A435,'_Fonte_A2'!$A:$A,'_Fonte_A2'!W:W)</f>
        <v>Saipos Serviços De Software</v>
      </c>
    </row>
    <row r="436">
      <c r="A436" s="26" t="s">
        <v>587</v>
      </c>
      <c r="B436" s="26" t="str">
        <f t="array" ref="B436">XLOOKUP($A436,'_Fonte_A2'!$A:$A,'_Fonte_A2'!B:B)</f>
        <v>1 principal (SP)</v>
      </c>
      <c r="C436" s="26" t="str">
        <f t="array" ref="C436">XLOOKUP($A436,'_Fonte_A2'!$A:$A,'_Fonte_A2'!D:D)</f>
        <v>Fast Casual - Hamburgueria artesanal (SP)</v>
      </c>
      <c r="D436" s="26" t="str">
        <f t="array" ref="D436">XLOOKUP($A436,'_Fonte_A2'!$A:$A,'_Fonte_A2'!W:W)</f>
        <v>Saipos Serviços De Software</v>
      </c>
    </row>
    <row r="437">
      <c r="A437" s="26" t="s">
        <v>588</v>
      </c>
      <c r="B437" s="27">
        <f t="array" ref="B437">XLOOKUP($A437,'_Fonte_A2'!$A:$A,'_Fonte_A2'!B:B)</f>
        <v>46272</v>
      </c>
      <c r="C437" s="26" t="str">
        <f t="array" ref="C437">XLOOKUP($A437,'_Fonte_A2'!$A:$A,'_Fonte_A2'!D:D)</f>
        <v>Fast Casual/Retail - Doceria artesanal (tortas no pote, gelados)</v>
      </c>
      <c r="D437" s="26" t="str">
        <f t="array" ref="D437">XLOOKUP($A437,'_Fonte_A2'!$A:$A,'_Fonte_A2'!W:W)</f>
        <v>null</v>
      </c>
    </row>
    <row r="438">
      <c r="A438" s="26" t="s">
        <v>589</v>
      </c>
      <c r="B438" s="27">
        <f t="array" ref="B438">XLOOKUP($A438,'_Fonte_A2'!$A:$A,'_Fonte_A2'!B:B)</f>
        <v>46304</v>
      </c>
      <c r="C438" s="26" t="str">
        <f t="array" ref="C438">XLOOKUP($A438,'_Fonte_A2'!$A:$A,'_Fonte_A2'!D:D)</f>
        <v>Fast Food/Fast Casual - Pratos executivos, sanduíches, batata recheada em shoppings</v>
      </c>
      <c r="D438" s="26" t="str">
        <f t="array" ref="D438">XLOOKUP($A438,'_Fonte_A2'!$A:$A,'_Fonte_A2'!W:W)</f>
        <v>Unika Sistemas Ltda</v>
      </c>
    </row>
    <row r="439">
      <c r="A439" s="26" t="s">
        <v>590</v>
      </c>
      <c r="B439" s="27">
        <f t="array" ref="B439">XLOOKUP($A439,'_Fonte_A2'!$A:$A,'_Fonte_A2'!B:B)</f>
        <v>46304</v>
      </c>
      <c r="C439" s="26" t="str">
        <f t="array" ref="C439">XLOOKUP($A439,'_Fonte_A2'!$A:$A,'_Fonte_A2'!D:D)</f>
        <v>Fast Casual - Pamonhas e pratos executivos</v>
      </c>
      <c r="D439" s="26" t="str">
        <f t="array" ref="D439">XLOOKUP($A439,'_Fonte_A2'!$A:$A,'_Fonte_A2'!W:W)</f>
        <v>Saipos Serviços De Software</v>
      </c>
    </row>
    <row r="440">
      <c r="A440" s="26" t="s">
        <v>591</v>
      </c>
      <c r="B440" s="26">
        <f t="array" ref="B440">XLOOKUP($A440,'_Fonte_A2'!$A:$A,'_Fonte_A2'!B:B)</f>
        <v>17</v>
      </c>
      <c r="C440" s="26" t="str">
        <f t="array" ref="C440">XLOOKUP($A440,'_Fonte_A2'!$A:$A,'_Fonte_A2'!D:D)</f>
        <v>Table Service - Restaurantes tradicionais portugueses (francesinhas, mariscos, grelhados)</v>
      </c>
      <c r="D440" s="26" t="str">
        <f t="array" ref="D440">XLOOKUP($A440,'_Fonte_A2'!$A:$A,'_Fonte_A2'!W:W)</f>
        <v>null</v>
      </c>
    </row>
    <row r="441">
      <c r="A441" s="26" t="s">
        <v>592</v>
      </c>
      <c r="B441" s="26">
        <f t="array" ref="B441">XLOOKUP($A441,'_Fonte_A2'!$A:$A,'_Fonte_A2'!B:B)</f>
        <v>12</v>
      </c>
      <c r="C441" s="26" t="str">
        <f t="array" ref="C441">XLOOKUP($A441,'_Fonte_A2'!$A:$A,'_Fonte_A2'!D:D)</f>
        <v>Full Service - Bar &amp; Trattoria italiano</v>
      </c>
      <c r="D441" s="26" t="str">
        <f t="array" ref="D441">XLOOKUP($A441,'_Fonte_A2'!$A:$A,'_Fonte_A2'!W:W)</f>
        <v>Yooga</v>
      </c>
    </row>
    <row r="442">
      <c r="A442" s="26" t="s">
        <v>593</v>
      </c>
      <c r="B442" s="27">
        <f t="array" ref="B442">XLOOKUP($A442,'_Fonte_A2'!$A:$A,'_Fonte_A2'!B:B)</f>
        <v>46303</v>
      </c>
      <c r="C442" s="26" t="str">
        <f t="array" ref="C442">XLOOKUP($A442,'_Fonte_A2'!$A:$A,'_Fonte_A2'!D:D)</f>
        <v>Gelato Artesanal Premium Ítalo-Carioca</v>
      </c>
      <c r="D442" s="26" t="str">
        <f t="array" ref="D442">XLOOKUP($A442,'_Fonte_A2'!$A:$A,'_Fonte_A2'!W:W)</f>
        <v>Saipos Serviços De Software</v>
      </c>
    </row>
    <row r="443">
      <c r="A443" s="26" t="s">
        <v>594</v>
      </c>
      <c r="B443" s="26">
        <f t="array" ref="B443">XLOOKUP($A443,'_Fonte_A2'!$A:$A,'_Fonte_A2'!B:B)</f>
        <v>1</v>
      </c>
      <c r="C443" s="26" t="str">
        <f t="array" ref="C443">XLOOKUP($A443,'_Fonte_A2'!$A:$A,'_Fonte_A2'!D:D)</f>
        <v>Diner/Hamburgueria 24h</v>
      </c>
      <c r="D443" s="26" t="str">
        <f t="array" ref="D443">XLOOKUP($A443,'_Fonte_A2'!$A:$A,'_Fonte_A2'!W:W)</f>
        <v>N/A (Not found)</v>
      </c>
    </row>
    <row r="444">
      <c r="A444" s="26" t="s">
        <v>595</v>
      </c>
      <c r="B444" s="26">
        <f t="array" ref="B444">XLOOKUP($A444,'_Fonte_A2'!$A:$A,'_Fonte_A2'!B:B)</f>
        <v>2</v>
      </c>
      <c r="C444" s="26" t="str">
        <f t="array" ref="C444">XLOOKUP($A444,'_Fonte_A2'!$A:$A,'_Fonte_A2'!D:D)</f>
        <v>Diner/Hamburgueria + Gelato Artesanal Italiano</v>
      </c>
      <c r="D444" s="26" t="str">
        <f t="array" ref="D444">XLOOKUP($A444,'_Fonte_A2'!$A:$A,'_Fonte_A2'!W:W)</f>
        <v>N/A (Not found)</v>
      </c>
    </row>
    <row r="445">
      <c r="A445" s="26" t="s">
        <v>596</v>
      </c>
      <c r="B445" s="27">
        <f t="array" ref="B445">XLOOKUP($A445,'_Fonte_A2'!$A:$A,'_Fonte_A2'!B:B)</f>
        <v>46178</v>
      </c>
      <c r="C445" s="26" t="str">
        <f t="array" ref="C445">XLOOKUP($A445,'_Fonte_A2'!$A:$A,'_Fonte_A2'!D:D)</f>
        <v>Full Service - Gastrobar com culinária mundial</v>
      </c>
      <c r="D445" s="26" t="str">
        <f t="array" ref="D445">XLOOKUP($A445,'_Fonte_A2'!$A:$A,'_Fonte_A2'!W:W)</f>
        <v>Saipos Serviços De Software</v>
      </c>
    </row>
    <row r="446">
      <c r="A446" s="26" t="s">
        <v>597</v>
      </c>
      <c r="B446" s="26">
        <f t="array" ref="B446">XLOOKUP($A446,'_Fonte_A2'!$A:$A,'_Fonte_A2'!B:B)</f>
        <v>1</v>
      </c>
      <c r="C446" s="26" t="str">
        <f t="array" ref="C446">XLOOKUP($A446,'_Fonte_A2'!$A:$A,'_Fonte_A2'!D:D)</f>
        <v>Table Service - Izakaya japonês (bar tradicional)</v>
      </c>
      <c r="D446" s="26" t="str">
        <f t="array" ref="D446">XLOOKUP($A446,'_Fonte_A2'!$A:$A,'_Fonte_A2'!W:W)</f>
        <v>Ncr</v>
      </c>
    </row>
    <row r="447">
      <c r="A447" s="26" t="s">
        <v>598</v>
      </c>
      <c r="B447" s="26">
        <f t="array" ref="B447">XLOOKUP($A447,'_Fonte_A2'!$A:$A,'_Fonte_A2'!B:B)</f>
        <v>1</v>
      </c>
      <c r="C447" s="26" t="str">
        <f t="array" ref="C447">XLOOKUP($A447,'_Fonte_A2'!$A:$A,'_Fonte_A2'!D:D)</f>
        <v>Table Service - Restaurante japonês tradicional (sushis, sashimis, peixes frescos)</v>
      </c>
      <c r="D447" s="26" t="str">
        <f t="array" ref="D447">XLOOKUP($A447,'_Fonte_A2'!$A:$A,'_Fonte_A2'!W:W)</f>
        <v>Eclética Tecnologia</v>
      </c>
    </row>
    <row r="448">
      <c r="A448" s="26" t="s">
        <v>599</v>
      </c>
      <c r="B448" s="26">
        <f t="array" ref="B448">XLOOKUP($A448,'_Fonte_A2'!$A:$A,'_Fonte_A2'!B:B)</f>
        <v>1</v>
      </c>
      <c r="C448" s="26" t="str">
        <f t="array" ref="C448">XLOOKUP($A448,'_Fonte_A2'!$A:$A,'_Fonte_A2'!D:D)</f>
        <v>Lanchonete local sem rede</v>
      </c>
      <c r="D448" s="26" t="str">
        <f t="array" ref="D448">XLOOKUP($A448,'_Fonte_A2'!$A:$A,'_Fonte_A2'!W:W)</f>
        <v>Saipos Serviços De Software</v>
      </c>
    </row>
    <row r="449">
      <c r="A449" s="26" t="s">
        <v>600</v>
      </c>
      <c r="B449" s="26">
        <f t="array" ref="B449">XLOOKUP($A449,'_Fonte_A2'!$A:$A,'_Fonte_A2'!B:B)</f>
        <v>1</v>
      </c>
      <c r="C449" s="26" t="str">
        <f t="array" ref="C449">XLOOKUP($A449,'_Fonte_A2'!$A:$A,'_Fonte_A2'!D:D)</f>
        <v>Table Service - Paella espanhola autêntica</v>
      </c>
      <c r="D449" s="26" t="str">
        <f t="array" ref="D449">XLOOKUP($A449,'_Fonte_A2'!$A:$A,'_Fonte_A2'!W:W)</f>
        <v>E-deploy Retail</v>
      </c>
    </row>
    <row r="450">
      <c r="A450" s="26" t="s">
        <v>601</v>
      </c>
      <c r="B450" s="26">
        <f t="array" ref="B450">XLOOKUP($A450,'_Fonte_A2'!$A:$A,'_Fonte_A2'!B:B)</f>
        <v>1</v>
      </c>
      <c r="C450" s="26" t="str">
        <f t="array" ref="C450">XLOOKUP($A450,'_Fonte_A2'!$A:$A,'_Fonte_A2'!D:D)</f>
        <v>Bar/Restaurante Libanês (Contêineres Pinheiros SP)</v>
      </c>
      <c r="D450" s="26" t="str">
        <f t="array" ref="D450">XLOOKUP($A450,'_Fonte_A2'!$A:$A,'_Fonte_A2'!W:W)</f>
        <v>Saipos Serviços De Software</v>
      </c>
    </row>
    <row r="451">
      <c r="A451" s="26" t="s">
        <v>602</v>
      </c>
      <c r="B451" s="27">
        <f t="array" ref="B451">XLOOKUP($A451,'_Fonte_A2'!$A:$A,'_Fonte_A2'!B:B)</f>
        <v>46083</v>
      </c>
      <c r="C451" s="26" t="str">
        <f t="array" ref="C451">XLOOKUP($A451,'_Fonte_A2'!$A:$A,'_Fonte_A2'!D:D)</f>
        <v>Pizzaria Delivery 24h (Fortaleza - Aldeota e Messejana)</v>
      </c>
      <c r="D451" s="26" t="str">
        <f t="array" ref="D451">XLOOKUP($A451,'_Fonte_A2'!$A:$A,'_Fonte_A2'!W:W)</f>
        <v>Grk Soluções Informatica Eireli</v>
      </c>
    </row>
    <row r="452">
      <c r="A452" s="26" t="s">
        <v>603</v>
      </c>
      <c r="B452" s="26">
        <f t="array" ref="B452">XLOOKUP($A452,'_Fonte_A2'!$A:$A,'_Fonte_A2'!B:B)</f>
        <v>1</v>
      </c>
      <c r="C452" s="26" t="str">
        <f t="array" ref="C452">XLOOKUP($A452,'_Fonte_A2'!$A:$A,'_Fonte_A2'!D:D)</f>
        <v>Pizzaria Local (Santa Maria da Vitória-BA)</v>
      </c>
      <c r="D452" s="26" t="str">
        <f t="array" ref="D452">XLOOKUP($A452,'_Fonte_A2'!$A:$A,'_Fonte_A2'!W:W)</f>
        <v>Vuca Solution</v>
      </c>
    </row>
    <row r="453">
      <c r="A453" s="26" t="s">
        <v>604</v>
      </c>
      <c r="B453" s="26">
        <f t="array" ref="B453">XLOOKUP($A453,'_Fonte_A2'!$A:$A,'_Fonte_A2'!B:B)</f>
        <v>16</v>
      </c>
      <c r="C453" s="26" t="str">
        <f t="array" ref="C453">XLOOKUP($A453,'_Fonte_A2'!$A:$A,'_Fonte_A2'!D:D)</f>
        <v>Pizzaria Shopping / Fast Casual (Foco Belo Horizonte região metropolitana)</v>
      </c>
      <c r="D453" s="26" t="str">
        <f t="array" ref="D453">XLOOKUP($A453,'_Fonte_A2'!$A:$A,'_Fonte_A2'!W:W)</f>
        <v>Yooga</v>
      </c>
    </row>
    <row r="454">
      <c r="A454" s="26" t="s">
        <v>605</v>
      </c>
      <c r="B454" s="26">
        <f t="array" ref="B454">XLOOKUP($A454,'_Fonte_A2'!$A:$A,'_Fonte_A2'!B:B)</f>
        <v>8</v>
      </c>
      <c r="C454" s="26" t="str">
        <f t="array" ref="C454">XLOOKUP($A454,'_Fonte_A2'!$A:$A,'_Fonte_A2'!D:D)</f>
        <v>Pizzaria Regional (PR SC ES RO PE - dispersão geográfica)</v>
      </c>
      <c r="D454" s="26" t="str">
        <f t="array" ref="D454">XLOOKUP($A454,'_Fonte_A2'!$A:$A,'_Fonte_A2'!W:W)</f>
        <v>null</v>
      </c>
    </row>
    <row r="455">
      <c r="A455" s="26" t="s">
        <v>606</v>
      </c>
      <c r="B455" s="26">
        <f t="array" ref="B455">XLOOKUP($A455,'_Fonte_A2'!$A:$A,'_Fonte_A2'!B:B)</f>
        <v>16</v>
      </c>
      <c r="C455" s="26" t="str">
        <f t="array" ref="C455">XLOOKUP($A455,'_Fonte_A2'!$A:$A,'_Fonte_A2'!D:D)</f>
        <v>Pizzaria Regional / Multi-formato (3 restaurantes + 12 express Curitiba)</v>
      </c>
      <c r="D455" s="26" t="str">
        <f t="array" ref="D455">XLOOKUP($A455,'_Fonte_A2'!$A:$A,'_Fonte_A2'!W:W)</f>
        <v>Swfast Sistemas</v>
      </c>
    </row>
    <row r="456">
      <c r="A456" s="26" t="s">
        <v>607</v>
      </c>
      <c r="B456" s="26">
        <f t="array" ref="B456">XLOOKUP($A456,'_Fonte_A2'!$A:$A,'_Fonte_A2'!B:B)</f>
        <v>9</v>
      </c>
      <c r="C456" s="26" t="str">
        <f t="array" ref="C456">XLOOKUP($A456,'_Fonte_A2'!$A:$A,'_Fonte_A2'!D:D)</f>
        <v>Pizzaria Premium / Table Service (Desde 1957 - 8 SP + 1 RJ)</v>
      </c>
      <c r="D456" s="26" t="str">
        <f t="array" ref="D456">XLOOKUP($A456,'_Fonte_A2'!$A:$A,'_Fonte_A2'!W:W)</f>
        <v>Ncr</v>
      </c>
    </row>
    <row r="457">
      <c r="A457" s="26" t="s">
        <v>608</v>
      </c>
      <c r="B457" s="27">
        <f t="array" ref="B457">XLOOKUP($A457,'_Fonte_A2'!$A:$A,'_Fonte_A2'!B:B)</f>
        <v>46054</v>
      </c>
      <c r="C457" s="26" t="str">
        <f t="array" ref="C457">XLOOKUP($A457,'_Fonte_A2'!$A:$A,'_Fonte_A2'!D:D)</f>
        <v>Pizzaria Local (Ourinhos-SP e/ou Maringá-PR - operações independentes)</v>
      </c>
      <c r="D457" s="26" t="str">
        <f t="array" ref="D457">XLOOKUP($A457,'_Fonte_A2'!$A:$A,'_Fonte_A2'!W:W)</f>
        <v>Saipos Serviços De Software</v>
      </c>
    </row>
    <row r="458">
      <c r="A458" s="26" t="s">
        <v>609</v>
      </c>
      <c r="B458" s="26">
        <f t="array" ref="B458">XLOOKUP($A458,'_Fonte_A2'!$A:$A,'_Fonte_A2'!B:B)</f>
        <v>13</v>
      </c>
      <c r="C458" s="26" t="str">
        <f t="array" ref="C458">XLOOKUP($A458,'_Fonte_A2'!$A:$A,'_Fonte_A2'!D:D)</f>
        <v>Pizzaria Delivery + Rodízio (13 lojas Rio de Janeiro + Rio das Ostras + Nova Iguaçu)</v>
      </c>
      <c r="D458" s="26" t="str">
        <f t="array" ref="D458">XLOOKUP($A458,'_Fonte_A2'!$A:$A,'_Fonte_A2'!W:W)</f>
        <v>Saipos Serviços De Software</v>
      </c>
    </row>
    <row r="459">
      <c r="A459" s="26" t="s">
        <v>610</v>
      </c>
      <c r="B459" s="26">
        <f t="array" ref="B459">XLOOKUP($A459,'_Fonte_A2'!$A:$A,'_Fonte_A2'!B:B)</f>
        <v>4</v>
      </c>
      <c r="C459" s="26" t="str">
        <f t="array" ref="C459">XLOOKUP($A459,'_Fonte_A2'!$A:$A,'_Fonte_A2'!D:D)</f>
        <v>Fast Casual / Poke Havaiano e Asiático (Curitiba)</v>
      </c>
      <c r="D459" s="26" t="str">
        <f t="array" ref="D459">XLOOKUP($A459,'_Fonte_A2'!$A:$A,'_Fonte_A2'!W:W)</f>
        <v>Cardápio Web</v>
      </c>
    </row>
    <row r="460">
      <c r="A460" s="26" t="s">
        <v>611</v>
      </c>
      <c r="B460" s="26">
        <f t="array" ref="B460">XLOOKUP($A460,'_Fonte_A2'!$A:$A,'_Fonte_A2'!B:B)</f>
        <v>3</v>
      </c>
      <c r="C460" s="26" t="str">
        <f t="array" ref="C460">XLOOKUP($A460,'_Fonte_A2'!$A:$A,'_Fonte_A2'!D:D)</f>
        <v>Fast Casual / Poke Havaiano (Belo Horizonte e Nova Lima)</v>
      </c>
      <c r="D460" s="26" t="str">
        <f t="array" ref="D460">XLOOKUP($A460,'_Fonte_A2'!$A:$A,'_Fonte_A2'!W:W)</f>
        <v>N/A (Not found)</v>
      </c>
    </row>
    <row r="461">
      <c r="A461" s="26" t="s">
        <v>612</v>
      </c>
      <c r="B461" s="27">
        <f t="array" ref="B461">XLOOKUP($A461,'_Fonte_A2'!$A:$A,'_Fonte_A2'!B:B)</f>
        <v>46054</v>
      </c>
      <c r="C461" s="26" t="str">
        <f t="array" ref="C461">XLOOKUP($A461,'_Fonte_A2'!$A:$A,'_Fonte_A2'!D:D)</f>
        <v>Restaurante Local (Múltiplas operações independentes mesmo nome)</v>
      </c>
      <c r="D461" s="26" t="str">
        <f t="array" ref="D461">XLOOKUP($A461,'_Fonte_A2'!$A:$A,'_Fonte_A2'!W:W)</f>
        <v>N/A (Not found)</v>
      </c>
    </row>
    <row r="462">
      <c r="A462" s="26" t="s">
        <v>613</v>
      </c>
      <c r="B462" s="26">
        <f t="array" ref="B462">XLOOKUP($A462,'_Fonte_A2'!$A:$A,'_Fonte_A2'!B:B)</f>
        <v>7</v>
      </c>
      <c r="C462" s="26" t="str">
        <f t="array" ref="C462">XLOOKUP($A462,'_Fonte_A2'!$A:$A,'_Fonte_A2'!D:D)</f>
        <v>Grupo Restaurantes (7 casas - não especificado formato)</v>
      </c>
      <c r="D462" s="26" t="str">
        <f t="array" ref="D462">XLOOKUP($A462,'_Fonte_A2'!$A:$A,'_Fonte_A2'!W:W)</f>
        <v>Gfr Tec</v>
      </c>
    </row>
    <row r="463">
      <c r="A463" s="26" t="s">
        <v>614</v>
      </c>
      <c r="B463" s="26">
        <f t="array" ref="B463">XLOOKUP($A463,'_Fonte_A2'!$A:$A,'_Fonte_A2'!B:B)</f>
        <v>3</v>
      </c>
      <c r="C463" s="26" t="str">
        <f t="array" ref="C463">XLOOKUP($A463,'_Fonte_A2'!$A:$A,'_Fonte_A2'!D:D)</f>
        <v>Fast Casual / Temaki Express (BH e Curitiba)</v>
      </c>
      <c r="D463" s="26" t="str">
        <f t="array" ref="D463">XLOOKUP($A463,'_Fonte_A2'!$A:$A,'_Fonte_A2'!W:W)</f>
        <v>Saipos Serviços De Software</v>
      </c>
    </row>
    <row r="464">
      <c r="A464" s="26" t="s">
        <v>615</v>
      </c>
      <c r="B464" s="26">
        <f t="array" ref="B464">XLOOKUP($A464,'_Fonte_A2'!$A:$A,'_Fonte_A2'!B:B)</f>
        <v>80</v>
      </c>
      <c r="C464" s="26" t="str">
        <f t="array" ref="C464">XLOOKUP($A464,'_Fonte_A2'!$A:$A,'_Fonte_A2'!D:D)</f>
        <v>QSR / Cafeteria Express (Franquia nacional em expansão)</v>
      </c>
      <c r="D464" s="26" t="str">
        <f t="array" ref="D464">XLOOKUP($A464,'_Fonte_A2'!$A:$A,'_Fonte_A2'!W:W)</f>
        <v>N/A (Not found)</v>
      </c>
    </row>
    <row r="465">
      <c r="A465" s="26" t="s">
        <v>616</v>
      </c>
      <c r="B465" s="26">
        <f t="array" ref="B465">XLOOKUP($A465,'_Fonte_A2'!$A:$A,'_Fonte_A2'!B:B)</f>
        <v>2</v>
      </c>
      <c r="C465" s="26" t="str">
        <f t="array" ref="C465">XLOOKUP($A465,'_Fonte_A2'!$A:$A,'_Fonte_A2'!D:D)</f>
        <v>Table Service / Restaurante Italiano (Cascavel e Foz do Iguaçu PR)</v>
      </c>
      <c r="D465" s="26" t="str">
        <f t="array" ref="D465">XLOOKUP($A465,'_Fonte_A2'!$A:$A,'_Fonte_A2'!W:W)</f>
        <v>Saipos Serviços De Software</v>
      </c>
    </row>
    <row r="466">
      <c r="A466" s="26" t="s">
        <v>617</v>
      </c>
      <c r="B466" s="26">
        <f t="array" ref="B466">XLOOKUP($A466,'_Fonte_A2'!$A:$A,'_Fonte_A2'!B:B)</f>
        <v>340</v>
      </c>
      <c r="C466" s="26" t="str">
        <f t="array" ref="C466">XLOOKUP($A466,'_Fonte_A2'!$A:$A,'_Fonte_A2'!D:D)</f>
        <v>QSR / Sucos e Lanches Naturais (Franquia nacional - 12 novas lojas 1º sem 2026)</v>
      </c>
      <c r="D466" s="26" t="str">
        <f t="array" ref="D466">XLOOKUP($A466,'_Fonte_A2'!$A:$A,'_Fonte_A2'!W:W)</f>
        <v>null</v>
      </c>
    </row>
    <row r="467">
      <c r="A467" s="26" t="s">
        <v>618</v>
      </c>
      <c r="B467" s="26">
        <f t="array" ref="B467">XLOOKUP($A467,'_Fonte_A2'!$A:$A,'_Fonte_A2'!B:B)</f>
        <v>1</v>
      </c>
      <c r="C467" s="26" t="str">
        <f t="array" ref="C467">XLOOKUP($A467,'_Fonte_A2'!$A:$A,'_Fonte_A2'!D:D)</f>
        <v>Table Service / Restaurante Italiano (Vila Romana SP)</v>
      </c>
      <c r="D467" s="26" t="str">
        <f t="array" ref="D467">XLOOKUP($A467,'_Fonte_A2'!$A:$A,'_Fonte_A2'!W:W)</f>
        <v>Lab Jota Marketing Digital Eirele</v>
      </c>
    </row>
    <row r="468">
      <c r="A468" s="26" t="s">
        <v>619</v>
      </c>
      <c r="B468" s="26">
        <f t="array" ref="B468">XLOOKUP($A468,'_Fonte_A2'!$A:$A,'_Fonte_A2'!B:B)</f>
        <v>11</v>
      </c>
      <c r="C468" s="26" t="str">
        <f t="array" ref="C468">XLOOKUP($A468,'_Fonte_A2'!$A:$A,'_Fonte_A2'!D:D)</f>
        <v>Hamburgueria Fast Casual / Brasília (10 DF + 1 SP - West Plaza)</v>
      </c>
      <c r="D468" s="26" t="str">
        <f t="array" ref="D468">XLOOKUP($A468,'_Fonte_A2'!$A:$A,'_Fonte_A2'!W:W)</f>
        <v>null</v>
      </c>
    </row>
    <row r="469">
      <c r="A469" s="26" t="s">
        <v>620</v>
      </c>
      <c r="B469" s="26">
        <f t="array" ref="B469">XLOOKUP($A469,'_Fonte_A2'!$A:$A,'_Fonte_A2'!B:B)</f>
        <v>3</v>
      </c>
      <c r="C469" s="26" t="str">
        <f t="array" ref="C469">XLOOKUP($A469,'_Fonte_A2'!$A:$A,'_Fonte_A2'!D:D)</f>
        <v>Table Service Premium / Restaurante Tradicional SP (Jardins, Itaim, Iguatemi)</v>
      </c>
      <c r="D469" s="26" t="str">
        <f t="array" ref="D469">XLOOKUP($A469,'_Fonte_A2'!$A:$A,'_Fonte_A2'!W:W)</f>
        <v>Stone Co.</v>
      </c>
    </row>
    <row r="470">
      <c r="A470" s="26" t="s">
        <v>621</v>
      </c>
      <c r="B470" s="26">
        <f t="array" ref="B470">XLOOKUP($A470,'_Fonte_A2'!$A:$A,'_Fonte_A2'!B:B)</f>
        <v>32</v>
      </c>
      <c r="C470" s="26" t="str">
        <f t="array" ref="C470">XLOOKUP($A470,'_Fonte_A2'!$A:$A,'_Fonte_A2'!D:D)</f>
        <v>QSR / Batata Assada Recheada (Franquia nacional)</v>
      </c>
      <c r="D470" s="26" t="str">
        <f t="array" ref="D470">XLOOKUP($A470,'_Fonte_A2'!$A:$A,'_Fonte_A2'!W:W)</f>
        <v>Garcom Web</v>
      </c>
    </row>
    <row r="471">
      <c r="A471" s="26" t="s">
        <v>622</v>
      </c>
      <c r="B471" s="26">
        <f t="array" ref="B471">XLOOKUP($A471,'_Fonte_A2'!$A:$A,'_Fonte_A2'!B:B)</f>
        <v>8</v>
      </c>
      <c r="C471" s="26" t="str">
        <f t="array" ref="C471">XLOOKUP($A471,'_Fonte_A2'!$A:$A,'_Fonte_A2'!D:D)</f>
        <v>Fast Casual / Grelhados Shopping (Curitiba shoppings)</v>
      </c>
      <c r="D471" s="26" t="str">
        <f t="array" ref="D471">XLOOKUP($A471,'_Fonte_A2'!$A:$A,'_Fonte_A2'!W:W)</f>
        <v>null</v>
      </c>
    </row>
    <row r="472">
      <c r="A472" s="26" t="s">
        <v>623</v>
      </c>
      <c r="B472" s="26">
        <f t="array" ref="B472">XLOOKUP($A472,'_Fonte_A2'!$A:$A,'_Fonte_A2'!B:B)</f>
        <v>7</v>
      </c>
      <c r="C472" s="26" t="str">
        <f t="array" ref="C472">XLOOKUP($A472,'_Fonte_A2'!$A:$A,'_Fonte_A2'!D:D)</f>
        <v>Fast Casual / Costelas e Ribs (SP 4 lojas + PB + PE + resort SP)</v>
      </c>
      <c r="D472" s="26" t="str">
        <f t="array" ref="D472">XLOOKUP($A472,'_Fonte_A2'!$A:$A,'_Fonte_A2'!W:W)</f>
        <v>null</v>
      </c>
    </row>
    <row r="473">
      <c r="A473" s="26" t="s">
        <v>624</v>
      </c>
      <c r="B473" s="26" t="str">
        <f t="array" ref="B473">XLOOKUP($A473,'_Fonte_A2'!$A:$A,'_Fonte_A2'!B:B)</f>
        <v>30+</v>
      </c>
      <c r="C473" s="26" t="str">
        <f t="array" ref="C473">XLOOKUP($A473,'_Fonte_A2'!$A:$A,'_Fonte_A2'!D:D)</f>
        <v>Fast Casual / Rodízio Burgers (Franquia inovadora rodízio hamburgueria)</v>
      </c>
      <c r="D473" s="26" t="str">
        <f t="array" ref="D473">XLOOKUP($A473,'_Fonte_A2'!$A:$A,'_Fonte_A2'!W:W)</f>
        <v>null</v>
      </c>
    </row>
    <row r="474">
      <c r="A474" s="26" t="s">
        <v>625</v>
      </c>
      <c r="B474" s="26">
        <f t="array" ref="B474">XLOOKUP($A474,'_Fonte_A2'!$A:$A,'_Fonte_A2'!B:B)</f>
        <v>13</v>
      </c>
      <c r="C474" s="26" t="str">
        <f t="array" ref="C474">XLOOKUP($A474,'_Fonte_A2'!$A:$A,'_Fonte_A2'!D:D)</f>
        <v>Pizzaria Multi-formato / Salão + Delivery (SP + Guarujá - 200 funcionários)</v>
      </c>
      <c r="D474" s="26" t="str">
        <f t="array" ref="D474">XLOOKUP($A474,'_Fonte_A2'!$A:$A,'_Fonte_A2'!W:W)</f>
        <v>Saipos Serviços De Software</v>
      </c>
    </row>
    <row r="475">
      <c r="A475" s="26" t="s">
        <v>626</v>
      </c>
      <c r="B475" s="26">
        <f t="array" ref="B475">XLOOKUP($A475,'_Fonte_A2'!$A:$A,'_Fonte_A2'!B:B)</f>
        <v>5</v>
      </c>
      <c r="C475" s="26" t="str">
        <f t="array" ref="C475">XLOOKUP($A475,'_Fonte_A2'!$A:$A,'_Fonte_A2'!D:D)</f>
        <v>Japonês Premium / Table Service + Delivery (São Paulo)</v>
      </c>
      <c r="D475" s="26" t="str">
        <f t="array" ref="D475">XLOOKUP($A475,'_Fonte_A2'!$A:$A,'_Fonte_A2'!W:W)</f>
        <v>Beefood - Sistema Para Restaurantes</v>
      </c>
    </row>
    <row r="476">
      <c r="A476" s="26" t="s">
        <v>627</v>
      </c>
      <c r="B476" s="27">
        <f t="array" ref="B476">XLOOKUP($A476,'_Fonte_A2'!$A:$A,'_Fonte_A2'!B:B)</f>
        <v>46054</v>
      </c>
      <c r="C476" s="26" t="str">
        <f t="array" ref="C476">XLOOKUP($A476,'_Fonte_A2'!$A:$A,'_Fonte_A2'!D:D)</f>
        <v>Culinária Oriental / Local (Maringá-PR)</v>
      </c>
      <c r="D476" s="26" t="str">
        <f t="array" ref="D476">XLOOKUP($A476,'_Fonte_A2'!$A:$A,'_Fonte_A2'!W:W)</f>
        <v>null</v>
      </c>
    </row>
    <row r="477">
      <c r="A477" s="26" t="s">
        <v>628</v>
      </c>
      <c r="B477" s="26">
        <f t="array" ref="B477">XLOOKUP($A477,'_Fonte_A2'!$A:$A,'_Fonte_A2'!B:B)</f>
        <v>20</v>
      </c>
      <c r="C477" s="26" t="str">
        <f t="array" ref="C477">XLOOKUP($A477,'_Fonte_A2'!$A:$A,'_Fonte_A2'!D:D)</f>
        <v>Mexicano Fast Casual / Shopping (São Paulo e Minas Gerais)</v>
      </c>
      <c r="D477" s="26" t="str">
        <f t="array" ref="D477">XLOOKUP($A477,'_Fonte_A2'!$A:$A,'_Fonte_A2'!W:W)</f>
        <v>Saipos Serviços De Software</v>
      </c>
    </row>
    <row r="478">
      <c r="A478" s="26" t="s">
        <v>629</v>
      </c>
      <c r="B478" s="26" t="str">
        <f t="array" ref="B478">XLOOKUP($A478,'_Fonte_A2'!$A:$A,'_Fonte_A2'!B:B)</f>
        <v>140+</v>
      </c>
      <c r="C478" s="26" t="str">
        <f t="array" ref="C478">XLOOKUP($A478,'_Fonte_A2'!$A:$A,'_Fonte_A2'!D:D)</f>
        <v>QSR / Sorvetes Domésticos (Líder Nordeste - 7 estados Norte/Nordeste)</v>
      </c>
      <c r="D478" s="26" t="str">
        <f t="array" ref="D478">XLOOKUP($A478,'_Fonte_A2'!$A:$A,'_Fonte_A2'!W:W)</f>
        <v>Stone Co.</v>
      </c>
    </row>
    <row r="479">
      <c r="A479" s="26" t="s">
        <v>630</v>
      </c>
      <c r="B479" s="26">
        <f t="array" ref="B479">XLOOKUP($A479,'_Fonte_A2'!$A:$A,'_Fonte_A2'!B:B)</f>
        <v>18</v>
      </c>
      <c r="C479" s="26" t="str">
        <f t="array" ref="C479">XLOOKUP($A479,'_Fonte_A2'!$A:$A,'_Fonte_A2'!D:D)</f>
        <v>Fast Casual / Italiana Express Shopping (Spedini 18 lojas Sul/Sudeste)</v>
      </c>
      <c r="D479" s="26" t="str">
        <f t="array" ref="D479">XLOOKUP($A479,'_Fonte_A2'!$A:$A,'_Fonte_A2'!W:W)</f>
        <v>Saipos Serviços De Software</v>
      </c>
    </row>
    <row r="480">
      <c r="A480" s="26" t="s">
        <v>631</v>
      </c>
      <c r="B480" s="26">
        <f t="array" ref="B480">XLOOKUP($A480,'_Fonte_A2'!$A:$A,'_Fonte_A2'!B:B)</f>
        <v>2</v>
      </c>
      <c r="C480" s="26" t="str">
        <f t="array" ref="C480">XLOOKUP($A480,'_Fonte_A2'!$A:$A,'_Fonte_A2'!D:D)</f>
        <v>Confeitaria Premium / Flagship + Ateliê (São Paulo)</v>
      </c>
      <c r="D480" s="26" t="str">
        <f t="array" ref="D480">XLOOKUP($A480,'_Fonte_A2'!$A:$A,'_Fonte_A2'!W:W)</f>
        <v>Saipos Serviços De Software</v>
      </c>
    </row>
    <row r="481">
      <c r="A481" s="26" t="s">
        <v>632</v>
      </c>
      <c r="B481" s="26">
        <f t="array" ref="B481">XLOOKUP($A481,'_Fonte_A2'!$A:$A,'_Fonte_A2'!B:B)</f>
        <v>90</v>
      </c>
      <c r="C481" s="26" t="str">
        <f t="array" ref="C481">XLOOKUP($A481,'_Fonte_A2'!$A:$A,'_Fonte_A2'!D:D)</f>
        <v>QSR / Cafeteria Express (Franquia nacional em expansão - 29 inaugurações em 2025)</v>
      </c>
      <c r="D481" s="26" t="str">
        <f t="array" ref="D481">XLOOKUP($A481,'_Fonte_A2'!$A:$A,'_Fonte_A2'!W:W)</f>
        <v>Saipos Serviços De Software</v>
      </c>
    </row>
    <row r="482">
      <c r="A482" s="26" t="s">
        <v>633</v>
      </c>
      <c r="B482" s="26" t="str">
        <f t="array" ref="B482">XLOOKUP($A482,'_Fonte_A2'!$A:$A,'_Fonte_A2'!B:B)</f>
        <v>3+</v>
      </c>
      <c r="C482" s="26" t="str">
        <f t="array" ref="C482">XLOOKUP($A482,'_Fonte_A2'!$A:$A,'_Fonte_A2'!D:D)</f>
        <v>Grupo Restaurantes / Multi-marcas (Churrascaria, Hamburgueria, Cafeteria, Fast Burger)</v>
      </c>
      <c r="D482" s="26" t="str">
        <f t="array" ref="D482">XLOOKUP($A482,'_Fonte_A2'!$A:$A,'_Fonte_A2'!W:W)</f>
        <v>Saipos Serviços De Software</v>
      </c>
    </row>
    <row r="483">
      <c r="A483" s="26" t="s">
        <v>634</v>
      </c>
      <c r="B483" s="26" t="str">
        <f t="array" ref="B483">XLOOKUP($A483,'_Fonte_A2'!$A:$A,'_Fonte_A2'!B:B)</f>
        <v>Não disponível publicamente</v>
      </c>
      <c r="C483" s="26" t="str">
        <f t="array" ref="C483">XLOOKUP($A483,'_Fonte_A2'!$A:$A,'_Fonte_A2'!D:D)</f>
        <v>Hamburgueria / Multi-unidades (São José dos Campos confirmado)</v>
      </c>
      <c r="D483" s="26" t="str">
        <f t="array" ref="D483">XLOOKUP($A483,'_Fonte_A2'!$A:$A,'_Fonte_A2'!W:W)</f>
        <v>Saipos Serviços De Software</v>
      </c>
    </row>
    <row r="484">
      <c r="A484" s="26" t="s">
        <v>635</v>
      </c>
      <c r="B484" s="26">
        <f t="array" ref="B484">XLOOKUP($A484,'_Fonte_A2'!$A:$A,'_Fonte_A2'!B:B)</f>
        <v>18</v>
      </c>
      <c r="C484" s="26" t="str">
        <f t="array" ref="C484">XLOOKUP($A484,'_Fonte_A2'!$A:$A,'_Fonte_A2'!D:D)</f>
        <v>Japonês Delivery / Fast Casual (Foco Rio de Janeiro)</v>
      </c>
      <c r="D484" s="26" t="str">
        <f t="array" ref="D484">XLOOKUP($A484,'_Fonte_A2'!$A:$A,'_Fonte_A2'!W:W)</f>
        <v>Totvs Large Enterprise Tecnologia S.a.</v>
      </c>
    </row>
    <row r="485">
      <c r="A485" s="26" t="s">
        <v>636</v>
      </c>
      <c r="B485" s="26">
        <f t="array" ref="B485">XLOOKUP($A485,'_Fonte_A2'!$A:$A,'_Fonte_A2'!B:B)</f>
        <v>3</v>
      </c>
      <c r="C485" s="26" t="str">
        <f t="array" ref="C485">XLOOKUP($A485,'_Fonte_A2'!$A:$A,'_Fonte_A2'!D:D)</f>
        <v>Japonês / Delivery + Kosher (São Paulo Higienópolis)</v>
      </c>
      <c r="D485" s="26" t="str">
        <f t="array" ref="D485">XLOOKUP($A485,'_Fonte_A2'!$A:$A,'_Fonte_A2'!W:W)</f>
        <v>Grk Soluções Informatica Eireli</v>
      </c>
    </row>
    <row r="486">
      <c r="A486" s="26" t="s">
        <v>637</v>
      </c>
      <c r="B486" s="26">
        <f t="array" ref="B486">XLOOKUP($A486,'_Fonte_A2'!$A:$A,'_Fonte_A2'!B:B)</f>
        <v>22</v>
      </c>
      <c r="C486" s="26" t="str">
        <f t="array" ref="C486">XLOOKUP($A486,'_Fonte_A2'!$A:$A,'_Fonte_A2'!D:D)</f>
        <v>Japonês Fast Casual / Temakeria (SP 15 lojas + RJ 7 lojas)</v>
      </c>
      <c r="D486" s="26" t="str">
        <f t="array" ref="D486">XLOOKUP($A486,'_Fonte_A2'!$A:$A,'_Fonte_A2'!W:W)</f>
        <v>Saipos Serviços De Software</v>
      </c>
    </row>
    <row r="487">
      <c r="A487" s="26" t="s">
        <v>638</v>
      </c>
      <c r="B487" s="26">
        <f t="array" ref="B487">XLOOKUP($A487,'_Fonte_A2'!$A:$A,'_Fonte_A2'!B:B)</f>
        <v>19</v>
      </c>
      <c r="C487" s="26" t="str">
        <f t="array" ref="C487">XLOOKUP($A487,'_Fonte_A2'!$A:$A,'_Fonte_A2'!D:D)</f>
        <v>Fast Casual / Temakeria (SP, RJ, GO - Brasília em breve)</v>
      </c>
      <c r="D487" s="26" t="str">
        <f t="array" ref="D487">XLOOKUP($A487,'_Fonte_A2'!$A:$A,'_Fonte_A2'!W:W)</f>
        <v>Stone Co.</v>
      </c>
    </row>
    <row r="488">
      <c r="A488" s="26" t="s">
        <v>639</v>
      </c>
      <c r="B488" s="26">
        <f t="array" ref="B488">XLOOKUP($A488,'_Fonte_A2'!$A:$A,'_Fonte_A2'!B:B)</f>
        <v>3</v>
      </c>
      <c r="C488" s="26" t="str">
        <f t="array" ref="C488">XLOOKUP($A488,'_Fonte_A2'!$A:$A,'_Fonte_A2'!D:D)</f>
        <v>Pizzaria Local / Delivery + Salão (Maringá-PR)</v>
      </c>
      <c r="D488" s="26" t="str">
        <f t="array" ref="D488">XLOOKUP($A488,'_Fonte_A2'!$A:$A,'_Fonte_A2'!W:W)</f>
        <v>Stone Co.</v>
      </c>
    </row>
    <row r="489">
      <c r="A489" s="26" t="s">
        <v>640</v>
      </c>
      <c r="B489" s="26" t="str">
        <f t="array" ref="B489">XLOOKUP($A489,'_Fonte_A2'!$A:$A,'_Fonte_A2'!B:B)</f>
        <v>50+</v>
      </c>
      <c r="C489" s="26" t="str">
        <f t="array" ref="C489">XLOOKUP($A489,'_Fonte_A2'!$A:$A,'_Fonte_A2'!D:D)</f>
        <v>Hamburgueria / Fast Casual (Nacional - mais de 50 unidades)</v>
      </c>
      <c r="D489" s="26" t="str">
        <f t="array" ref="D489">XLOOKUP($A489,'_Fonte_A2'!$A:$A,'_Fonte_A2'!W:W)</f>
        <v>Saipos Serviços De Software</v>
      </c>
    </row>
    <row r="490">
      <c r="A490" s="26" t="s">
        <v>641</v>
      </c>
      <c r="B490" s="26">
        <f t="array" ref="B490">XLOOKUP($A490,'_Fonte_A2'!$A:$A,'_Fonte_A2'!B:B)</f>
        <v>16</v>
      </c>
      <c r="C490" s="26" t="str">
        <f t="array" ref="C490">XLOOKUP($A490,'_Fonte_A2'!$A:$A,'_Fonte_A2'!D:D)</f>
        <v>QSR / Sanduíches e Lanches (Franquia regional Goiás)</v>
      </c>
      <c r="D490" s="26" t="str">
        <f t="array" ref="D490">XLOOKUP($A490,'_Fonte_A2'!$A:$A,'_Fonte_A2'!W:W)</f>
        <v>Saipos Serviços De Software</v>
      </c>
    </row>
    <row r="491">
      <c r="A491" s="26" t="s">
        <v>642</v>
      </c>
      <c r="B491" s="26">
        <f t="array" ref="B491">XLOOKUP($A491,'_Fonte_A2'!$A:$A,'_Fonte_A2'!B:B)</f>
        <v>3</v>
      </c>
      <c r="C491" s="26" t="str">
        <f t="array" ref="C491">XLOOKUP($A491,'_Fonte_A2'!$A:$A,'_Fonte_A2'!D:D)</f>
        <v>Pizzaria / Delivery (Curitiba e Colombo PR)</v>
      </c>
      <c r="D491" s="26" t="str">
        <f t="array" ref="D491">XLOOKUP($A491,'_Fonte_A2'!$A:$A,'_Fonte_A2'!W:W)</f>
        <v>Noah Sistemas Ltda</v>
      </c>
    </row>
    <row r="492">
      <c r="A492" s="26" t="s">
        <v>643</v>
      </c>
      <c r="B492" s="26">
        <f t="array" ref="B492">XLOOKUP($A492,'_Fonte_A2'!$A:$A,'_Fonte_A2'!B:B)</f>
        <v>4</v>
      </c>
      <c r="C492" s="26" t="str">
        <f t="array" ref="C492">XLOOKUP($A492,'_Fonte_A2'!$A:$A,'_Fonte_A2'!D:D)</f>
        <v>Confeitaria / Tortas Quiches Sobremesas (São Paulo - Pinheiros, Higienópolis, Morumbi, Itaim)</v>
      </c>
      <c r="D492" s="26" t="str">
        <f t="array" ref="D492">XLOOKUP($A492,'_Fonte_A2'!$A:$A,'_Fonte_A2'!W:W)</f>
        <v>N/A (Not found)</v>
      </c>
    </row>
    <row r="493">
      <c r="A493" s="26" t="s">
        <v>644</v>
      </c>
      <c r="B493" s="26">
        <f t="array" ref="B493">XLOOKUP($A493,'_Fonte_A2'!$A:$A,'_Fonte_A2'!B:B)</f>
        <v>3</v>
      </c>
      <c r="C493" s="26" t="str">
        <f t="array" ref="C493">XLOOKUP($A493,'_Fonte_A2'!$A:$A,'_Fonte_A2'!D:D)</f>
        <v>Table Service Premium / Grelhados (Rio de Janeiro - Humaitá, Barra, 3ª unidade)</v>
      </c>
      <c r="D493" s="26" t="str">
        <f t="array" ref="D493">XLOOKUP($A493,'_Fonte_A2'!$A:$A,'_Fonte_A2'!W:W)</f>
        <v>Ncr</v>
      </c>
    </row>
    <row r="494">
      <c r="A494" s="26" t="s">
        <v>645</v>
      </c>
      <c r="B494" s="26">
        <f t="array" ref="B494">XLOOKUP($A494,'_Fonte_A2'!$A:$A,'_Fonte_A2'!B:B)</f>
        <v>2</v>
      </c>
      <c r="C494" s="26" t="str">
        <f t="array" ref="C494">XLOOKUP($A494,'_Fonte_A2'!$A:$A,'_Fonte_A2'!D:D)</f>
        <v>Table Service / Italiana (Paraíba - João Pessoa e Campina Grande)</v>
      </c>
      <c r="D494" s="26" t="str">
        <f t="array" ref="D494">XLOOKUP($A494,'_Fonte_A2'!$A:$A,'_Fonte_A2'!W:W)</f>
        <v>null</v>
      </c>
    </row>
    <row r="495">
      <c r="A495" s="26" t="s">
        <v>646</v>
      </c>
      <c r="B495" s="26">
        <f t="array" ref="B495">XLOOKUP($A495,'_Fonte_A2'!$A:$A,'_Fonte_A2'!B:B)</f>
        <v>13</v>
      </c>
      <c r="C495" s="26" t="str">
        <f t="array" ref="C495">XLOOKUP($A495,'_Fonte_A2'!$A:$A,'_Fonte_A2'!D:D)</f>
        <v>QSR / Açaí e Sucos (13 lojas em operação)</v>
      </c>
      <c r="D495" s="26" t="str">
        <f t="array" ref="D495">XLOOKUP($A495,'_Fonte_A2'!$A:$A,'_Fonte_A2'!W:W)</f>
        <v>Saipos Serviços De Software</v>
      </c>
    </row>
    <row r="496">
      <c r="A496" s="26" t="s">
        <v>647</v>
      </c>
      <c r="B496" s="26">
        <f t="array" ref="B496">XLOOKUP($A496,'_Fonte_A2'!$A:$A,'_Fonte_A2'!B:B)</f>
        <v>18</v>
      </c>
      <c r="C496" s="26" t="str">
        <f t="array" ref="C496">XLOOKUP($A496,'_Fonte_A2'!$A:$A,'_Fonte_A2'!D:D)</f>
        <v>Hamburgueria Premium / Fast Casual (RJ + SP + BH + outras)</v>
      </c>
      <c r="D496" s="26" t="str">
        <f t="array" ref="D496">XLOOKUP($A496,'_Fonte_A2'!$A:$A,'_Fonte_A2'!W:W)</f>
        <v>N/A (Not found)</v>
      </c>
    </row>
    <row r="497">
      <c r="A497" s="26" t="s">
        <v>648</v>
      </c>
      <c r="B497" s="26" t="str">
        <f t="array" ref="B497">XLOOKUP($A497,'_Fonte_A2'!$A:$A,'_Fonte_A2'!B:B)</f>
        <v>Não identificado</v>
      </c>
      <c r="C497" s="26" t="str">
        <f t="array" ref="C497">XLOOKUP($A497,'_Fonte_A2'!$A:$A,'_Fonte_A2'!D:D)</f>
        <v>Não identificado em fontes públicas</v>
      </c>
      <c r="D497" s="26" t="str">
        <f t="array" ref="D497">XLOOKUP($A497,'_Fonte_A2'!$A:$A,'_Fonte_A2'!W:W)</f>
        <v>N/A (Not found)</v>
      </c>
    </row>
    <row r="498">
      <c r="A498" s="26" t="s">
        <v>649</v>
      </c>
      <c r="B498" s="26">
        <f t="array" ref="B498">XLOOKUP($A498,'_Fonte_A2'!$A:$A,'_Fonte_A2'!B:B)</f>
        <v>2</v>
      </c>
      <c r="C498" s="26" t="str">
        <f t="array" ref="C498">XLOOKUP($A498,'_Fonte_A2'!$A:$A,'_Fonte_A2'!D:D)</f>
        <v>Table Service / Restaurante Contemporâneo (Belo Horizonte)</v>
      </c>
      <c r="D498" s="26" t="str">
        <f t="array" ref="D498">XLOOKUP($A498,'_Fonte_A2'!$A:$A,'_Fonte_A2'!W:W)</f>
        <v>Stone Co.</v>
      </c>
    </row>
    <row r="499">
      <c r="A499" s="26" t="s">
        <v>650</v>
      </c>
      <c r="B499" s="26">
        <f t="array" ref="B499">XLOOKUP($A499,'_Fonte_A2'!$A:$A,'_Fonte_A2'!B:B)</f>
        <v>220</v>
      </c>
      <c r="C499" s="26" t="str">
        <f t="array" ref="C499">XLOOKUP($A499,'_Fonte_A2'!$A:$A,'_Fonte_A2'!D:D)</f>
        <v>Fast Casual - Gelato</v>
      </c>
      <c r="D499" s="26" t="str">
        <f t="array" ref="D499">XLOOKUP($A499,'_Fonte_A2'!$A:$A,'_Fonte_A2'!W:W)</f>
        <v>N/A (Not found)</v>
      </c>
    </row>
    <row r="500">
      <c r="A500" s="26" t="s">
        <v>651</v>
      </c>
      <c r="B500" s="26" t="str">
        <f t="array" ref="B500">XLOOKUP($A500,'_Fonte_A2'!$A:$A,'_Fonte_A2'!B:B)</f>
        <v>19 unidades em Belo Horizonte/MG</v>
      </c>
      <c r="C500" s="26" t="str">
        <f t="array" ref="C500">XLOOKUP($A500,'_Fonte_A2'!$A:$A,'_Fonte_A2'!D:D)</f>
        <v>Fast Casual + Empórios - Culinária árabe-libanesa com modelo híbrido restaurante/varejo</v>
      </c>
      <c r="D500" s="26" t="str">
        <f t="array" ref="D500">XLOOKUP($A500,'_Fonte_A2'!$A:$A,'_Fonte_A2'!W:W)</f>
        <v>3a Solution</v>
      </c>
    </row>
    <row r="501">
      <c r="A501" s="26" t="s">
        <v>652</v>
      </c>
      <c r="B501" s="26" t="str">
        <f t="array" ref="B501">XLOOKUP($A501,'_Fonte_A2'!$A:$A,'_Fonte_A2'!B:B)</f>
        <v>18 unidades (SP, Itu, Vinhedo, Santo André)</v>
      </c>
      <c r="C501" s="26" t="str">
        <f t="array" ref="C501">XLOOKUP($A501,'_Fonte_A2'!$A:$A,'_Fonte_A2'!D:D)</f>
        <v>Table Service / Delivery - Pizzaria tradicional italiana com forno a lenha e franquias</v>
      </c>
      <c r="D501" s="26" t="str">
        <f t="array" ref="D501">XLOOKUP($A501,'_Fonte_A2'!$A:$A,'_Fonte_A2'!W:W)</f>
        <v>Atena Tecnologia Da Informacao Ltda</v>
      </c>
    </row>
    <row r="502">
      <c r="A502" s="26" t="s">
        <v>653</v>
      </c>
      <c r="B502" s="26" t="str">
        <f t="array" ref="B502">XLOOKUP($A502,'_Fonte_A2'!$A:$A,'_Fonte_A2'!B:B)</f>
        <v>4 lojas (Perdizes, Pompéia, Alphaville, Sorocaba)</v>
      </c>
      <c r="C502" s="26" t="str">
        <f t="array" ref="C502">XLOOKUP($A502,'_Fonte_A2'!$A:$A,'_Fonte_A2'!D:D)</f>
        <v>Fast Casual - Hamburgueria temática anos 50 com foco artesanal</v>
      </c>
      <c r="D502" s="26" t="str">
        <f t="array" ref="D502">XLOOKUP($A502,'_Fonte_A2'!$A:$A,'_Fonte_A2'!W:W)</f>
        <v>E-deploy Retail</v>
      </c>
    </row>
    <row r="503">
      <c r="A503" s="26" t="s">
        <v>654</v>
      </c>
      <c r="B503" s="26" t="str">
        <f t="array" ref="B503">XLOOKUP($A503,'_Fonte_A2'!$A:$A,'_Fonte_A2'!B:B)</f>
        <v>3 lojas físicas confirmadas em SP (Oscar Freire, MorumbiShopping, Pinheiros)</v>
      </c>
      <c r="C503" s="26" t="str">
        <f t="array" ref="C503">XLOOKUP($A503,'_Fonte_A2'!$A:$A,'_Fonte_A2'!D:D)</f>
        <v>Fast Casual Premium - Sorvete premium americano com lojas flagship e varejo</v>
      </c>
      <c r="D503" s="26" t="str">
        <f t="array" ref="D503">XLOOKUP($A503,'_Fonte_A2'!$A:$A,'_Fonte_A2'!W:W)</f>
        <v>Menew - Linx</v>
      </c>
    </row>
    <row r="504">
      <c r="A504" s="26" t="s">
        <v>655</v>
      </c>
      <c r="B504" s="26" t="str">
        <f t="array" ref="B504">XLOOKUP($A504,'_Fonte_A2'!$A:$A,'_Fonte_A2'!B:B)</f>
        <v>60+ unidades (Cuor di Crema e Boulangerie Carioca em 14+ estados)</v>
      </c>
      <c r="C504" s="26" t="str">
        <f t="array" ref="C504">XLOOKUP($A504,'_Fonte_A2'!$A:$A,'_Fonte_A2'!D:D)</f>
        <v>Holding Multi-marca - Cafeterias, gelaterias e bakeries em shoppings e pontos estratégicos</v>
      </c>
      <c r="D504" s="26" t="str">
        <f t="array" ref="D504">XLOOKUP($A504,'_Fonte_A2'!$A:$A,'_Fonte_A2'!W:W)</f>
        <v>N/A (Not found)</v>
      </c>
    </row>
    <row r="505">
      <c r="A505" s="26" t="s">
        <v>656</v>
      </c>
      <c r="B505" s="26" t="str">
        <f t="array" ref="B505">XLOOKUP($A505,'_Fonte_A2'!$A:$A,'_Fonte_A2'!B:B)</f>
        <v>1 unidade (Barra da Tijuca, Rio de Janeiro)</v>
      </c>
      <c r="C505" s="26" t="str">
        <f t="array" ref="C505">XLOOKUP($A505,'_Fonte_A2'!$A:$A,'_Fonte_A2'!D:D)</f>
        <v>Table Service - Churrascaria tradicional única há 30+ anos</v>
      </c>
      <c r="D505" s="26" t="str">
        <f t="array" ref="D505">XLOOKUP($A505,'_Fonte_A2'!$A:$A,'_Fonte_A2'!W:W)</f>
        <v>N/A (Not found)</v>
      </c>
    </row>
    <row r="506">
      <c r="A506" s="26" t="s">
        <v>657</v>
      </c>
      <c r="B506" s="26" t="str">
        <f t="array" ref="B506">XLOOKUP($A506,'_Fonte_A2'!$A:$A,'_Fonte_A2'!B:B)</f>
        <v>1 unidade (Pinheiros, São Paulo)</v>
      </c>
      <c r="C506" s="26" t="str">
        <f t="array" ref="C506">XLOOKUP($A506,'_Fonte_A2'!$A:$A,'_Fonte_A2'!D:D)</f>
        <v>Table Service / Self-Service - Restaurante japonês-brasileiro buffet por peso</v>
      </c>
      <c r="D506" s="26" t="str">
        <f t="array" ref="D506">XLOOKUP($A506,'_Fonte_A2'!$A:$A,'_Fonte_A2'!W:W)</f>
        <v>Teknisa Service Ltda</v>
      </c>
    </row>
    <row r="507">
      <c r="A507" s="26" t="s">
        <v>658</v>
      </c>
      <c r="B507" s="26" t="str">
        <f t="array" ref="B507">XLOOKUP($A507,'_Fonte_A2'!$A:$A,'_Fonte_A2'!B:B)</f>
        <v>4-5 unidades em São Paulo (Vila Olímpia, Itaim, Consolação, Oscar Freire)</v>
      </c>
      <c r="C507" s="26" t="str">
        <f t="array" ref="C507">XLOOKUP($A507,'_Fonte_A2'!$A:$A,'_Fonte_A2'!D:D)</f>
        <v>Table Service - Restaurante contemporâneo em hotéis premium</v>
      </c>
      <c r="D507" s="26" t="str">
        <f t="array" ref="D507">XLOOKUP($A507,'_Fonte_A2'!$A:$A,'_Fonte_A2'!W:W)</f>
        <v>Saipos Serviços De Software</v>
      </c>
    </row>
    <row r="508">
      <c r="A508" s="26" t="s">
        <v>659</v>
      </c>
      <c r="B508" s="26" t="str">
        <f t="array" ref="B508">XLOOKUP($A508,'_Fonte_A2'!$A:$A,'_Fonte_A2'!B:B)</f>
        <v>2 lojas (Canoas/RS e Porto Alegre/RS)</v>
      </c>
      <c r="C508" s="26" t="str">
        <f t="array" ref="C508">XLOOKUP($A508,'_Fonte_A2'!$A:$A,'_Fonte_A2'!D:D)</f>
        <v>Fast Casual - Buffet à quilo com grelhados em formato tradicional</v>
      </c>
      <c r="D508" s="26" t="str">
        <f t="array" ref="D508">XLOOKUP($A508,'_Fonte_A2'!$A:$A,'_Fonte_A2'!W:W)</f>
        <v>N/A (Not found)</v>
      </c>
    </row>
    <row r="509">
      <c r="A509" s="26" t="s">
        <v>660</v>
      </c>
      <c r="B509" s="26" t="str">
        <f t="array" ref="B509">XLOOKUP($A509,'_Fonte_A2'!$A:$A,'_Fonte_A2'!B:B)</f>
        <v>1 unidade principal (Campinas/SP)</v>
      </c>
      <c r="C509" s="26" t="str">
        <f t="array" ref="C509">XLOOKUP($A509,'_Fonte_A2'!$A:$A,'_Fonte_A2'!D:D)</f>
        <v>Table Service - Restaurante contemporâneo chef-driven</v>
      </c>
      <c r="D509" s="26" t="str">
        <f t="array" ref="D509">XLOOKUP($A509,'_Fonte_A2'!$A:$A,'_Fonte_A2'!W:W)</f>
        <v>null</v>
      </c>
    </row>
    <row r="510">
      <c r="A510" s="26" t="s">
        <v>661</v>
      </c>
      <c r="B510" s="26" t="str">
        <f t="array" ref="B510">XLOOKUP($A510,'_Fonte_A2'!$A:$A,'_Fonte_A2'!B:B)</f>
        <v>5 unidades (2 em Campinas, 3 no Rio de Janeiro)</v>
      </c>
      <c r="C510" s="26" t="str">
        <f t="array" ref="C510">XLOOKUP($A510,'_Fonte_A2'!$A:$A,'_Fonte_A2'!D:D)</f>
        <v>Fast Casual - Restaurantes naturais/veganos com buffet saudável</v>
      </c>
      <c r="D510" s="26" t="str">
        <f t="array" ref="D510">XLOOKUP($A510,'_Fonte_A2'!$A:$A,'_Fonte_A2'!W:W)</f>
        <v>N/A (Not found)</v>
      </c>
    </row>
    <row r="511">
      <c r="A511" s="26" t="s">
        <v>662</v>
      </c>
      <c r="B511" s="26" t="str">
        <f t="array" ref="B511">XLOOKUP($A511,'_Fonte_A2'!$A:$A,'_Fonte_A2'!B:B)</f>
        <v>5 lojas (Osasco e São Vicente)</v>
      </c>
      <c r="C511" s="26" t="str">
        <f t="array" ref="C511">XLOOKUP($A511,'_Fonte_A2'!$A:$A,'_Fonte_A2'!D:D)</f>
        <v>QSR / Delivery - Pizzaria com foco delivery e retirada</v>
      </c>
      <c r="D511" s="26" t="str">
        <f t="array" ref="D511">XLOOKUP($A511,'_Fonte_A2'!$A:$A,'_Fonte_A2'!W:W)</f>
        <v>Eclética Tecnologia</v>
      </c>
    </row>
    <row r="512">
      <c r="A512" s="26" t="s">
        <v>663</v>
      </c>
      <c r="B512" s="26" t="str">
        <f t="array" ref="B512">XLOOKUP($A512,'_Fonte_A2'!$A:$A,'_Fonte_A2'!B:B)</f>
        <v>14-16 lojas na Grande São Paulo</v>
      </c>
      <c r="C512" s="26" t="str">
        <f t="array" ref="C512">XLOOKUP($A512,'_Fonte_A2'!$A:$A,'_Fonte_A2'!D:D)</f>
        <v>QSR - Self-service popular com múltiplas unidades regionais</v>
      </c>
      <c r="D512" s="26" t="str">
        <f t="array" ref="D512">XLOOKUP($A512,'_Fonte_A2'!$A:$A,'_Fonte_A2'!W:W)</f>
        <v>Saipos Serviços De Software</v>
      </c>
    </row>
    <row r="513">
      <c r="A513" s="26" t="s">
        <v>664</v>
      </c>
      <c r="B513" s="26" t="str">
        <f t="array" ref="B513">XLOOKUP($A513,'_Fonte_A2'!$A:$A,'_Fonte_A2'!B:B)</f>
        <v>Dado não disponível publicamente - Marca EUA sem operação BR confirmada</v>
      </c>
      <c r="C513" s="26" t="str">
        <f t="array" ref="C513">XLOOKUP($A513,'_Fonte_A2'!$A:$A,'_Fonte_A2'!D:D)</f>
        <v>Operação não confirmada no Brasil</v>
      </c>
      <c r="D513" s="26" t="str">
        <f t="array" ref="D513">XLOOKUP($A513,'_Fonte_A2'!$A:$A,'_Fonte_A2'!W:W)</f>
        <v>Ncr</v>
      </c>
    </row>
    <row r="514">
      <c r="A514" s="26" t="s">
        <v>665</v>
      </c>
      <c r="B514" s="26" t="str">
        <f t="array" ref="B514">XLOOKUP($A514,'_Fonte_A2'!$A:$A,'_Fonte_A2'!B:B)</f>
        <v>Dado não disponível publicamente - Marca não identificada como rede</v>
      </c>
      <c r="C514" s="26" t="str">
        <f t="array" ref="C514">XLOOKUP($A514,'_Fonte_A2'!$A:$A,'_Fonte_A2'!D:D)</f>
        <v>Marca não confirmada como rede de restaurantes</v>
      </c>
      <c r="D514" s="26" t="str">
        <f t="array" ref="D514">XLOOKUP($A514,'_Fonte_A2'!$A:$A,'_Fonte_A2'!W:W)</f>
        <v>Saipos Serviços De Software</v>
      </c>
    </row>
    <row r="515">
      <c r="A515" s="26" t="s">
        <v>666</v>
      </c>
      <c r="B515" s="26" t="str">
        <f t="array" ref="B515">XLOOKUP($A515,'_Fonte_A2'!$A:$A,'_Fonte_A2'!B:B)</f>
        <v>1 unidade delivery (Vila Nova Conceição, São Paulo)</v>
      </c>
      <c r="C515" s="26" t="str">
        <f t="array" ref="C515">XLOOKUP($A515,'_Fonte_A2'!$A:$A,'_Fonte_A2'!D:D)</f>
        <v>Dark Kitchen / Delivery - Fast-casual Middle East 100% delivery/take away</v>
      </c>
      <c r="D515" s="26" t="str">
        <f t="array" ref="D515">XLOOKUP($A515,'_Fonte_A2'!$A:$A,'_Fonte_A2'!W:W)</f>
        <v>Mohatron Ti Web Ltda</v>
      </c>
    </row>
    <row r="516">
      <c r="A516" s="26" t="s">
        <v>667</v>
      </c>
      <c r="B516" s="26" t="str">
        <f t="array" ref="B516">XLOOKUP($A516,'_Fonte_A2'!$A:$A,'_Fonte_A2'!B:B)</f>
        <v>1 loja (São João da Boa Vista/SP) com intenção de franquia</v>
      </c>
      <c r="C516" s="26" t="str">
        <f t="array" ref="C516">XLOOKUP($A516,'_Fonte_A2'!$A:$A,'_Fonte_A2'!D:D)</f>
        <v>Fast Casual - Hamburgueria local em fase inicial</v>
      </c>
      <c r="D516" s="26" t="str">
        <f t="array" ref="D516">XLOOKUP($A516,'_Fonte_A2'!$A:$A,'_Fonte_A2'!W:W)</f>
        <v>Hubster</v>
      </c>
    </row>
    <row r="517">
      <c r="A517" s="26" t="s">
        <v>668</v>
      </c>
      <c r="B517" s="26" t="str">
        <f t="array" ref="B517">XLOOKUP($A517,'_Fonte_A2'!$A:$A,'_Fonte_A2'!B:B)</f>
        <v>1 complexo gastronômico (São Paulo/SP, Limão)</v>
      </c>
      <c r="C517" s="26" t="str">
        <f t="array" ref="C517">XLOOKUP($A517,'_Fonte_A2'!$A:$A,'_Fonte_A2'!D:D)</f>
        <v>Food Court - Complexo gastronômico em containers comerciais</v>
      </c>
      <c r="D517" s="26" t="str">
        <f t="array" ref="D517">XLOOKUP($A517,'_Fonte_A2'!$A:$A,'_Fonte_A2'!W:W)</f>
        <v>T4l Tecnologia Ltda Me</v>
      </c>
    </row>
    <row r="518">
      <c r="A518" s="26" t="s">
        <v>669</v>
      </c>
      <c r="B518" s="26" t="str">
        <f t="array" ref="B518">XLOOKUP($A518,'_Fonte_A2'!$A:$A,'_Fonte_A2'!B:B)</f>
        <v>1 operação local (Cerqueira César/SP)</v>
      </c>
      <c r="C518" s="26" t="str">
        <f t="array" ref="C518">XLOOKUP($A518,'_Fonte_A2'!$A:$A,'_Fonte_A2'!D:D)</f>
        <v>QSR - Operação local batata recheada</v>
      </c>
      <c r="D518" s="26" t="str">
        <f t="array" ref="D518">XLOOKUP($A518,'_Fonte_A2'!$A:$A,'_Fonte_A2'!W:W)</f>
        <v>Vuca Solution</v>
      </c>
    </row>
    <row r="519">
      <c r="A519" s="26" t="s">
        <v>670</v>
      </c>
      <c r="B519" s="26" t="str">
        <f t="array" ref="B519">XLOOKUP($A519,'_Fonte_A2'!$A:$A,'_Fonte_A2'!B:B)</f>
        <v>Dado não disponível publicamente - Marca não identificada</v>
      </c>
      <c r="C519" s="26" t="str">
        <f t="array" ref="C519">XLOOKUP($A519,'_Fonte_A2'!$A:$A,'_Fonte_A2'!D:D)</f>
        <v>Marca não identificada</v>
      </c>
      <c r="D519" s="26" t="str">
        <f t="array" ref="D519">XLOOKUP($A519,'_Fonte_A2'!$A:$A,'_Fonte_A2'!W:W)</f>
        <v>Saipos Serviços De Software</v>
      </c>
    </row>
    <row r="520">
      <c r="A520" s="26" t="s">
        <v>671</v>
      </c>
      <c r="B520" s="26" t="str">
        <f t="array" ref="B520">XLOOKUP($A520,'_Fonte_A2'!$A:$A,'_Fonte_A2'!B:B)</f>
        <v>Dado não disponível publicamente - Operações locais independentes</v>
      </c>
      <c r="C520" s="26" t="str">
        <f t="array" ref="C520">XLOOKUP($A520,'_Fonte_A2'!$A:$A,'_Fonte_A2'!D:D)</f>
        <v>Fast Casual - Operações locais frango frito</v>
      </c>
      <c r="D520" s="26" t="str">
        <f t="array" ref="D520">XLOOKUP($A520,'_Fonte_A2'!$A:$A,'_Fonte_A2'!W:W)</f>
        <v>Saipos Serviços De Software</v>
      </c>
    </row>
    <row r="521">
      <c r="A521" s="26" t="s">
        <v>672</v>
      </c>
      <c r="B521" s="26" t="str">
        <f t="array" ref="B521">XLOOKUP($A521,'_Fonte_A2'!$A:$A,'_Fonte_A2'!B:B)</f>
        <v>1 unidade local (Muriaé/MG)</v>
      </c>
      <c r="C521" s="26" t="str">
        <f t="array" ref="C521">XLOOKUP($A521,'_Fonte_A2'!$A:$A,'_Fonte_A2'!D:D)</f>
        <v>Casual Dining - Brewpub/cervejaria local</v>
      </c>
      <c r="D521" s="26" t="str">
        <f t="array" ref="D521">XLOOKUP($A521,'_Fonte_A2'!$A:$A,'_Fonte_A2'!W:W)</f>
        <v>N/A (Not found)</v>
      </c>
    </row>
    <row r="522">
      <c r="A522" s="26" t="s">
        <v>673</v>
      </c>
      <c r="B522" s="26" t="str">
        <f t="array" ref="B522">XLOOKUP($A522,'_Fonte_A2'!$A:$A,'_Fonte_A2'!B:B)</f>
        <v>Dado não disponível publicamente - Catering sem rede</v>
      </c>
      <c r="C522" s="26" t="str">
        <f t="array" ref="C522">XLOOKUP($A522,'_Fonte_A2'!$A:$A,'_Fonte_A2'!D:D)</f>
        <v>Catering - Banqueteria para eventos</v>
      </c>
      <c r="D522" s="26" t="str">
        <f t="array" ref="D522">XLOOKUP($A522,'_Fonte_A2'!$A:$A,'_Fonte_A2'!W:W)</f>
        <v>Stone Co.</v>
      </c>
    </row>
    <row r="523">
      <c r="A523" s="26" t="s">
        <v>674</v>
      </c>
      <c r="B523" s="26" t="str">
        <f t="array" ref="B523">XLOOKUP($A523,'_Fonte_A2'!$A:$A,'_Fonte_A2'!B:B)</f>
        <v>Dado não disponível publicamente - Necessário Discovery</v>
      </c>
      <c r="C523" s="26" t="str">
        <f t="array" ref="C523">XLOOKUP($A523,'_Fonte_A2'!$A:$A,'_Fonte_A2'!D:D)</f>
        <v>Marca não identificada</v>
      </c>
      <c r="D523" s="26" t="str">
        <f t="array" ref="D523">XLOOKUP($A523,'_Fonte_A2'!$A:$A,'_Fonte_A2'!W:W)</f>
        <v>Totvs Large Enterprise Tecnologia S.a.</v>
      </c>
    </row>
    <row r="524">
      <c r="A524" s="26"/>
      <c r="B524" s="26"/>
      <c r="C524" s="26"/>
    </row>
    <row r="525">
      <c r="A525" s="26"/>
      <c r="B525" s="26"/>
      <c r="C525" s="26"/>
    </row>
    <row r="526">
      <c r="A526" s="26"/>
      <c r="B526" s="26"/>
      <c r="C526" s="26"/>
    </row>
    <row r="527">
      <c r="A527" s="26"/>
      <c r="B527" s="26"/>
      <c r="C527" s="26"/>
    </row>
    <row r="528">
      <c r="A528" s="26"/>
      <c r="B528" s="26"/>
      <c r="C528" s="26"/>
    </row>
    <row r="529">
      <c r="A529" s="26"/>
      <c r="B529" s="26"/>
      <c r="C529" s="26"/>
    </row>
    <row r="530">
      <c r="A530" s="26"/>
      <c r="B530" s="26"/>
      <c r="C530" s="26"/>
    </row>
    <row r="531">
      <c r="A531" s="26"/>
      <c r="B531" s="26"/>
      <c r="C531" s="26"/>
    </row>
    <row r="532">
      <c r="A532" s="26"/>
      <c r="B532" s="26"/>
      <c r="C532" s="26"/>
    </row>
    <row r="533">
      <c r="A533" s="26"/>
      <c r="B533" s="26"/>
      <c r="C533" s="26"/>
    </row>
    <row r="534">
      <c r="A534" s="26"/>
      <c r="B534" s="26"/>
      <c r="C534" s="26"/>
    </row>
    <row r="535">
      <c r="A535" s="26"/>
      <c r="B535" s="26"/>
      <c r="C535" s="26"/>
    </row>
    <row r="536">
      <c r="A536" s="26"/>
      <c r="B536" s="26"/>
      <c r="C536" s="26"/>
    </row>
    <row r="537">
      <c r="A537" s="26"/>
      <c r="B537" s="26"/>
      <c r="C537" s="26"/>
    </row>
    <row r="538">
      <c r="A538" s="26"/>
      <c r="B538" s="26"/>
      <c r="C538" s="26"/>
    </row>
    <row r="539">
      <c r="A539" s="26"/>
      <c r="B539" s="26"/>
      <c r="C539" s="26"/>
    </row>
    <row r="540">
      <c r="A540" s="26"/>
      <c r="B540" s="26"/>
      <c r="C540" s="26"/>
    </row>
    <row r="541">
      <c r="A541" s="26"/>
      <c r="B541" s="26"/>
      <c r="C541" s="26"/>
    </row>
    <row r="542">
      <c r="A542" s="26"/>
      <c r="B542" s="26"/>
      <c r="C542" s="26"/>
    </row>
    <row r="543">
      <c r="A543" s="26"/>
      <c r="B543" s="26"/>
      <c r="C543" s="26"/>
    </row>
    <row r="544">
      <c r="A544" s="26"/>
      <c r="B544" s="26"/>
      <c r="C544" s="26"/>
    </row>
    <row r="545">
      <c r="A545" s="26"/>
      <c r="B545" s="26"/>
      <c r="C545" s="26"/>
    </row>
    <row r="546">
      <c r="A546" s="26"/>
      <c r="B546" s="26"/>
      <c r="C546" s="26"/>
    </row>
    <row r="547">
      <c r="A547" s="26"/>
      <c r="B547" s="26"/>
      <c r="C547" s="26"/>
    </row>
    <row r="548">
      <c r="A548" s="26"/>
      <c r="B548" s="26"/>
      <c r="C548" s="26"/>
    </row>
    <row r="549">
      <c r="A549" s="26"/>
      <c r="B549" s="26"/>
      <c r="C549" s="26"/>
    </row>
    <row r="550">
      <c r="A550" s="26"/>
      <c r="B550" s="26"/>
      <c r="C550" s="26"/>
    </row>
    <row r="551">
      <c r="A551" s="26"/>
      <c r="B551" s="26"/>
      <c r="C551" s="26"/>
    </row>
    <row r="552">
      <c r="A552" s="26"/>
      <c r="B552" s="26"/>
      <c r="C552" s="26"/>
    </row>
    <row r="553">
      <c r="A553" s="26"/>
      <c r="B553" s="26"/>
      <c r="C553" s="26"/>
    </row>
    <row r="554">
      <c r="A554" s="26"/>
      <c r="B554" s="26"/>
      <c r="C554" s="26"/>
    </row>
    <row r="555">
      <c r="A555" s="26"/>
      <c r="B555" s="26"/>
      <c r="C555" s="26"/>
    </row>
    <row r="556">
      <c r="A556" s="26"/>
      <c r="B556" s="26"/>
      <c r="C556" s="26"/>
    </row>
    <row r="557">
      <c r="A557" s="26"/>
      <c r="B557" s="26"/>
      <c r="C557" s="26"/>
    </row>
    <row r="558">
      <c r="A558" s="26"/>
      <c r="B558" s="26"/>
      <c r="C558" s="26"/>
    </row>
    <row r="559">
      <c r="A559" s="26"/>
      <c r="B559" s="26"/>
      <c r="C559" s="26"/>
    </row>
    <row r="560">
      <c r="A560" s="26"/>
      <c r="B560" s="26"/>
      <c r="C560" s="26"/>
    </row>
    <row r="561">
      <c r="A561" s="26"/>
      <c r="B561" s="26"/>
      <c r="C561" s="26"/>
    </row>
    <row r="562">
      <c r="A562" s="26"/>
      <c r="B562" s="26"/>
      <c r="C562" s="26"/>
    </row>
    <row r="563">
      <c r="A563" s="26"/>
      <c r="B563" s="26"/>
      <c r="C563" s="26"/>
    </row>
    <row r="564">
      <c r="A564" s="26"/>
      <c r="B564" s="26"/>
      <c r="C564" s="26"/>
    </row>
    <row r="565">
      <c r="A565" s="26"/>
      <c r="B565" s="26"/>
      <c r="C565" s="26"/>
    </row>
    <row r="566">
      <c r="A566" s="26"/>
      <c r="B566" s="26"/>
      <c r="C566" s="26"/>
    </row>
    <row r="567">
      <c r="A567" s="26"/>
      <c r="B567" s="26"/>
      <c r="C567" s="26"/>
    </row>
    <row r="568">
      <c r="A568" s="26"/>
      <c r="B568" s="26"/>
      <c r="C568" s="26"/>
    </row>
    <row r="569">
      <c r="A569" s="26"/>
      <c r="B569" s="26"/>
      <c r="C569" s="26"/>
    </row>
    <row r="570">
      <c r="A570" s="26"/>
      <c r="B570" s="26"/>
      <c r="C570" s="26"/>
    </row>
    <row r="571">
      <c r="A571" s="26"/>
      <c r="B571" s="26"/>
      <c r="C571" s="26"/>
    </row>
    <row r="572">
      <c r="A572" s="26"/>
      <c r="B572" s="26"/>
      <c r="C572" s="26"/>
    </row>
    <row r="573">
      <c r="A573" s="26"/>
      <c r="B573" s="26"/>
      <c r="C573" s="26"/>
    </row>
    <row r="574">
      <c r="A574" s="26"/>
      <c r="B574" s="26"/>
      <c r="C574" s="26"/>
    </row>
    <row r="575">
      <c r="A575" s="26"/>
      <c r="B575" s="26"/>
      <c r="C575" s="26"/>
    </row>
    <row r="576">
      <c r="A576" s="26"/>
      <c r="B576" s="26"/>
      <c r="C576" s="26"/>
    </row>
    <row r="577">
      <c r="A577" s="26"/>
      <c r="B577" s="26"/>
      <c r="C577" s="26"/>
    </row>
    <row r="578">
      <c r="A578" s="26"/>
      <c r="B578" s="26"/>
      <c r="C578" s="26"/>
    </row>
    <row r="579">
      <c r="A579" s="26"/>
      <c r="B579" s="26"/>
      <c r="C579" s="26"/>
    </row>
    <row r="580">
      <c r="A580" s="26"/>
      <c r="B580" s="26"/>
      <c r="C580" s="26"/>
    </row>
    <row r="581">
      <c r="A581" s="26"/>
      <c r="B581" s="26"/>
      <c r="C581" s="26"/>
    </row>
    <row r="582">
      <c r="A582" s="26"/>
      <c r="B582" s="26"/>
      <c r="C582" s="26"/>
    </row>
    <row r="583">
      <c r="A583" s="26"/>
      <c r="B583" s="26"/>
      <c r="C583" s="26"/>
    </row>
    <row r="584">
      <c r="A584" s="26"/>
      <c r="B584" s="26"/>
      <c r="C584" s="26"/>
    </row>
    <row r="585">
      <c r="A585" s="26"/>
      <c r="B585" s="26"/>
      <c r="C585" s="26"/>
    </row>
    <row r="586">
      <c r="A586" s="26"/>
      <c r="B586" s="26"/>
      <c r="C586" s="26"/>
    </row>
    <row r="587">
      <c r="A587" s="26"/>
      <c r="B587" s="26"/>
      <c r="C587" s="26"/>
    </row>
    <row r="588">
      <c r="A588" s="26"/>
      <c r="B588" s="26"/>
      <c r="C588" s="26"/>
    </row>
    <row r="589">
      <c r="A589" s="26"/>
      <c r="B589" s="26"/>
      <c r="C589" s="26"/>
    </row>
    <row r="590">
      <c r="A590" s="26"/>
      <c r="B590" s="26"/>
      <c r="C590" s="26"/>
    </row>
    <row r="591">
      <c r="A591" s="26"/>
      <c r="B591" s="26"/>
      <c r="C591" s="26"/>
    </row>
    <row r="592">
      <c r="A592" s="26"/>
      <c r="B592" s="26"/>
      <c r="C592" s="26"/>
    </row>
    <row r="593">
      <c r="A593" s="26"/>
      <c r="B593" s="26"/>
      <c r="C593" s="26"/>
    </row>
    <row r="594">
      <c r="A594" s="26"/>
      <c r="B594" s="26"/>
      <c r="C594" s="26"/>
    </row>
    <row r="595">
      <c r="A595" s="26"/>
      <c r="B595" s="26"/>
      <c r="C595" s="26"/>
    </row>
    <row r="596">
      <c r="A596" s="26"/>
      <c r="B596" s="26"/>
      <c r="C596" s="26"/>
    </row>
    <row r="597">
      <c r="A597" s="26"/>
      <c r="B597" s="26"/>
      <c r="C597" s="26"/>
    </row>
    <row r="598">
      <c r="A598" s="26"/>
      <c r="B598" s="26"/>
      <c r="C598" s="26"/>
    </row>
    <row r="599">
      <c r="A599" s="26"/>
      <c r="B599" s="26"/>
      <c r="C599" s="26"/>
    </row>
    <row r="600">
      <c r="A600" s="26"/>
      <c r="B600" s="26"/>
      <c r="C600" s="26"/>
    </row>
    <row r="601">
      <c r="A601" s="26"/>
      <c r="B601" s="26"/>
      <c r="C601" s="26"/>
    </row>
    <row r="602">
      <c r="A602" s="26"/>
      <c r="B602" s="26"/>
      <c r="C602" s="26"/>
    </row>
    <row r="603">
      <c r="A603" s="26"/>
      <c r="B603" s="26"/>
      <c r="C603" s="26"/>
    </row>
    <row r="604">
      <c r="A604" s="26"/>
      <c r="B604" s="26"/>
      <c r="C604" s="26"/>
    </row>
    <row r="605">
      <c r="A605" s="26"/>
      <c r="B605" s="26"/>
      <c r="C605" s="26"/>
    </row>
    <row r="606">
      <c r="A606" s="26"/>
      <c r="B606" s="26"/>
      <c r="C606" s="26"/>
    </row>
    <row r="607">
      <c r="A607" s="26"/>
      <c r="B607" s="26"/>
      <c r="C607" s="26"/>
    </row>
    <row r="608">
      <c r="A608" s="26"/>
      <c r="B608" s="26"/>
      <c r="C608" s="26"/>
    </row>
    <row r="609">
      <c r="A609" s="26"/>
      <c r="B609" s="26"/>
      <c r="C609" s="26"/>
    </row>
    <row r="610">
      <c r="A610" s="26"/>
      <c r="B610" s="26"/>
      <c r="C610" s="26"/>
    </row>
    <row r="611">
      <c r="A611" s="26"/>
      <c r="B611" s="26"/>
      <c r="C611" s="26"/>
    </row>
    <row r="612">
      <c r="A612" s="26"/>
      <c r="B612" s="26"/>
      <c r="C612" s="26"/>
    </row>
    <row r="613">
      <c r="A613" s="26"/>
      <c r="B613" s="26"/>
      <c r="C613" s="26"/>
    </row>
    <row r="614">
      <c r="A614" s="26"/>
      <c r="B614" s="26"/>
      <c r="C614" s="26"/>
    </row>
    <row r="615">
      <c r="A615" s="26"/>
      <c r="B615" s="26"/>
      <c r="C615" s="26"/>
    </row>
    <row r="616">
      <c r="A616" s="26"/>
      <c r="B616" s="26"/>
      <c r="C616" s="26"/>
    </row>
    <row r="617">
      <c r="A617" s="26"/>
      <c r="B617" s="26"/>
      <c r="C617" s="26"/>
    </row>
    <row r="618">
      <c r="A618" s="26"/>
      <c r="B618" s="26"/>
      <c r="C618" s="26"/>
    </row>
    <row r="619">
      <c r="A619" s="26"/>
      <c r="B619" s="26"/>
      <c r="C619" s="26"/>
    </row>
    <row r="620">
      <c r="A620" s="26"/>
      <c r="B620" s="26"/>
      <c r="C620" s="26"/>
    </row>
    <row r="621">
      <c r="A621" s="26"/>
      <c r="B621" s="26"/>
      <c r="C621" s="26"/>
    </row>
    <row r="622">
      <c r="A622" s="26"/>
      <c r="B622" s="26"/>
      <c r="C622" s="26"/>
    </row>
    <row r="623">
      <c r="A623" s="26"/>
      <c r="B623" s="26"/>
      <c r="C623" s="26"/>
    </row>
    <row r="624">
      <c r="A624" s="26"/>
      <c r="B624" s="26"/>
      <c r="C624" s="26"/>
    </row>
    <row r="625">
      <c r="A625" s="26"/>
      <c r="B625" s="26"/>
      <c r="C625" s="26"/>
    </row>
    <row r="626">
      <c r="A626" s="26"/>
      <c r="B626" s="26"/>
      <c r="C626" s="26"/>
    </row>
    <row r="627">
      <c r="A627" s="26"/>
      <c r="B627" s="26"/>
      <c r="C627" s="26"/>
    </row>
    <row r="628">
      <c r="A628" s="26"/>
      <c r="B628" s="26"/>
      <c r="C628" s="26"/>
    </row>
    <row r="629">
      <c r="A629" s="26"/>
      <c r="B629" s="26"/>
      <c r="C629" s="26"/>
    </row>
    <row r="630">
      <c r="A630" s="26"/>
      <c r="B630" s="26"/>
      <c r="C630" s="26"/>
    </row>
    <row r="631">
      <c r="A631" s="26"/>
      <c r="B631" s="26"/>
      <c r="C631" s="26"/>
    </row>
    <row r="632">
      <c r="A632" s="26"/>
      <c r="B632" s="26"/>
      <c r="C632" s="26"/>
    </row>
    <row r="633">
      <c r="A633" s="26"/>
      <c r="B633" s="26"/>
      <c r="C633" s="26"/>
    </row>
    <row r="634">
      <c r="A634" s="26"/>
      <c r="B634" s="26"/>
      <c r="C634" s="26"/>
    </row>
    <row r="635">
      <c r="A635" s="26"/>
      <c r="B635" s="26"/>
      <c r="C635" s="26"/>
    </row>
    <row r="636">
      <c r="A636" s="26"/>
      <c r="B636" s="26"/>
      <c r="C636" s="26"/>
    </row>
    <row r="637">
      <c r="A637" s="26"/>
      <c r="B637" s="26"/>
      <c r="C637" s="26"/>
    </row>
    <row r="638">
      <c r="A638" s="26"/>
      <c r="B638" s="26"/>
      <c r="C638" s="26"/>
    </row>
    <row r="639">
      <c r="A639" s="26"/>
      <c r="B639" s="26"/>
      <c r="C639" s="26"/>
    </row>
    <row r="640">
      <c r="A640" s="26"/>
      <c r="B640" s="26"/>
      <c r="C640" s="26"/>
    </row>
    <row r="641">
      <c r="A641" s="26"/>
      <c r="B641" s="26"/>
      <c r="C641" s="26"/>
    </row>
    <row r="642">
      <c r="A642" s="26"/>
      <c r="B642" s="26"/>
      <c r="C642" s="26"/>
    </row>
    <row r="643">
      <c r="A643" s="26"/>
      <c r="B643" s="26"/>
      <c r="C643" s="26"/>
    </row>
    <row r="644">
      <c r="A644" s="26"/>
      <c r="B644" s="26"/>
      <c r="C644" s="26"/>
    </row>
    <row r="645">
      <c r="A645" s="26"/>
      <c r="B645" s="26"/>
      <c r="C645" s="26"/>
    </row>
    <row r="646">
      <c r="A646" s="26"/>
      <c r="B646" s="26"/>
      <c r="C646" s="26"/>
    </row>
    <row r="647">
      <c r="A647" s="26"/>
      <c r="B647" s="26"/>
      <c r="C647" s="26"/>
    </row>
    <row r="648">
      <c r="A648" s="26"/>
      <c r="B648" s="26"/>
      <c r="C648" s="26"/>
    </row>
    <row r="649">
      <c r="A649" s="26"/>
      <c r="B649" s="26"/>
      <c r="C649" s="26"/>
    </row>
    <row r="650">
      <c r="A650" s="26"/>
      <c r="B650" s="26"/>
      <c r="C650" s="26"/>
    </row>
    <row r="651">
      <c r="A651" s="26"/>
      <c r="B651" s="26"/>
      <c r="C651" s="26"/>
    </row>
    <row r="652">
      <c r="A652" s="26"/>
      <c r="B652" s="26"/>
      <c r="C652" s="26"/>
    </row>
    <row r="653">
      <c r="A653" s="26"/>
      <c r="B653" s="26"/>
      <c r="C653" s="26"/>
    </row>
    <row r="654">
      <c r="A654" s="26"/>
      <c r="B654" s="26"/>
      <c r="C654" s="26"/>
    </row>
    <row r="655">
      <c r="A655" s="26"/>
      <c r="B655" s="26"/>
      <c r="C655" s="26"/>
    </row>
    <row r="656">
      <c r="A656" s="26"/>
      <c r="B656" s="26"/>
      <c r="C656" s="26"/>
    </row>
    <row r="657">
      <c r="A657" s="26"/>
      <c r="B657" s="26"/>
      <c r="C657" s="26"/>
    </row>
    <row r="658">
      <c r="A658" s="26"/>
      <c r="B658" s="26"/>
      <c r="C658" s="26"/>
    </row>
    <row r="659">
      <c r="A659" s="26"/>
      <c r="B659" s="26"/>
      <c r="C659" s="26"/>
    </row>
    <row r="660">
      <c r="A660" s="26"/>
      <c r="B660" s="26"/>
      <c r="C660" s="26"/>
    </row>
    <row r="661">
      <c r="A661" s="26"/>
      <c r="B661" s="26"/>
      <c r="C661" s="26"/>
    </row>
    <row r="662">
      <c r="A662" s="26"/>
      <c r="B662" s="26"/>
      <c r="C662" s="26"/>
    </row>
    <row r="663">
      <c r="A663" s="26"/>
      <c r="B663" s="26"/>
      <c r="C663" s="26"/>
    </row>
    <row r="664">
      <c r="A664" s="26"/>
      <c r="B664" s="26"/>
      <c r="C664" s="26"/>
    </row>
    <row r="665">
      <c r="A665" s="26"/>
      <c r="B665" s="26"/>
      <c r="C665" s="26"/>
    </row>
    <row r="666">
      <c r="A666" s="26"/>
      <c r="B666" s="26"/>
      <c r="C666" s="26"/>
    </row>
    <row r="667">
      <c r="A667" s="26"/>
      <c r="B667" s="26"/>
      <c r="C667" s="26"/>
    </row>
    <row r="668">
      <c r="A668" s="26"/>
      <c r="B668" s="26"/>
      <c r="C668" s="26"/>
    </row>
    <row r="669">
      <c r="A669" s="26"/>
      <c r="B669" s="26"/>
      <c r="C669" s="26"/>
    </row>
    <row r="670">
      <c r="A670" s="26"/>
      <c r="B670" s="26"/>
      <c r="C670" s="26"/>
    </row>
    <row r="671">
      <c r="A671" s="26"/>
      <c r="B671" s="26"/>
      <c r="C671" s="26"/>
    </row>
    <row r="672">
      <c r="A672" s="26"/>
      <c r="B672" s="26"/>
      <c r="C672" s="26"/>
    </row>
    <row r="673">
      <c r="A673" s="26"/>
      <c r="B673" s="26"/>
      <c r="C673" s="26"/>
    </row>
    <row r="674">
      <c r="A674" s="26"/>
      <c r="B674" s="26"/>
      <c r="C674" s="26"/>
    </row>
    <row r="675">
      <c r="A675" s="26"/>
      <c r="B675" s="26"/>
      <c r="C675" s="26"/>
    </row>
    <row r="676">
      <c r="A676" s="26"/>
      <c r="B676" s="26"/>
      <c r="C676" s="26"/>
    </row>
    <row r="677">
      <c r="A677" s="26"/>
      <c r="B677" s="26"/>
      <c r="C677" s="26"/>
    </row>
    <row r="678">
      <c r="A678" s="26"/>
      <c r="B678" s="26"/>
      <c r="C678" s="26"/>
    </row>
    <row r="679">
      <c r="A679" s="26"/>
      <c r="B679" s="26"/>
      <c r="C679" s="26"/>
    </row>
    <row r="680">
      <c r="A680" s="26"/>
      <c r="B680" s="26"/>
      <c r="C680" s="26"/>
    </row>
    <row r="681">
      <c r="A681" s="26"/>
      <c r="B681" s="26"/>
      <c r="C681" s="26"/>
    </row>
    <row r="682">
      <c r="A682" s="26"/>
      <c r="B682" s="26"/>
      <c r="C682" s="26"/>
    </row>
    <row r="683">
      <c r="A683" s="26"/>
      <c r="B683" s="26"/>
      <c r="C683" s="26"/>
    </row>
    <row r="684">
      <c r="A684" s="26"/>
      <c r="B684" s="26"/>
      <c r="C684" s="26"/>
    </row>
    <row r="685">
      <c r="A685" s="26"/>
      <c r="B685" s="26"/>
      <c r="C685" s="26"/>
    </row>
    <row r="686">
      <c r="A686" s="26"/>
      <c r="B686" s="26"/>
      <c r="C686" s="26"/>
    </row>
    <row r="687">
      <c r="A687" s="26"/>
      <c r="B687" s="26"/>
      <c r="C687" s="26"/>
    </row>
    <row r="688">
      <c r="A688" s="26"/>
      <c r="B688" s="26"/>
      <c r="C688" s="26"/>
    </row>
    <row r="689">
      <c r="A689" s="26"/>
      <c r="B689" s="26"/>
      <c r="C689" s="26"/>
    </row>
    <row r="690">
      <c r="A690" s="26"/>
      <c r="B690" s="26"/>
      <c r="C690" s="26"/>
    </row>
    <row r="691">
      <c r="A691" s="26"/>
      <c r="B691" s="26"/>
      <c r="C691" s="26"/>
    </row>
    <row r="692">
      <c r="A692" s="26"/>
      <c r="B692" s="26"/>
      <c r="C692" s="26"/>
    </row>
    <row r="693">
      <c r="A693" s="26"/>
      <c r="B693" s="26"/>
      <c r="C693" s="26"/>
    </row>
    <row r="694">
      <c r="A694" s="26"/>
      <c r="B694" s="26"/>
      <c r="C694" s="26"/>
    </row>
    <row r="695">
      <c r="A695" s="26"/>
      <c r="B695" s="26"/>
      <c r="C695" s="26"/>
    </row>
    <row r="696">
      <c r="A696" s="26"/>
      <c r="B696" s="26"/>
      <c r="C696" s="26"/>
    </row>
    <row r="697">
      <c r="A697" s="26"/>
      <c r="B697" s="26"/>
      <c r="C697" s="26"/>
    </row>
    <row r="698">
      <c r="A698" s="26"/>
      <c r="B698" s="26"/>
      <c r="C698" s="26"/>
    </row>
    <row r="699">
      <c r="A699" s="26"/>
      <c r="B699" s="26"/>
      <c r="C699" s="26"/>
    </row>
    <row r="700">
      <c r="A700" s="26"/>
      <c r="B700" s="26"/>
      <c r="C700" s="26"/>
    </row>
    <row r="701">
      <c r="A701" s="26"/>
      <c r="B701" s="26"/>
      <c r="C701" s="26"/>
    </row>
    <row r="702">
      <c r="A702" s="26"/>
      <c r="B702" s="26"/>
      <c r="C702" s="26"/>
    </row>
    <row r="703">
      <c r="A703" s="26"/>
      <c r="B703" s="26"/>
      <c r="C703" s="26"/>
    </row>
    <row r="704">
      <c r="A704" s="26"/>
      <c r="B704" s="26"/>
      <c r="C704" s="26"/>
    </row>
    <row r="705">
      <c r="A705" s="26"/>
      <c r="B705" s="26"/>
      <c r="C705" s="26"/>
    </row>
    <row r="706">
      <c r="A706" s="26"/>
      <c r="B706" s="26"/>
      <c r="C706" s="26"/>
    </row>
    <row r="707">
      <c r="A707" s="26"/>
      <c r="B707" s="26"/>
      <c r="C707" s="26"/>
    </row>
    <row r="708">
      <c r="A708" s="26"/>
      <c r="B708" s="26"/>
      <c r="C708" s="26"/>
    </row>
    <row r="709">
      <c r="A709" s="26"/>
      <c r="B709" s="26"/>
      <c r="C709" s="26"/>
    </row>
    <row r="710">
      <c r="A710" s="26"/>
      <c r="B710" s="26"/>
      <c r="C710" s="26"/>
    </row>
    <row r="711">
      <c r="A711" s="26"/>
      <c r="B711" s="26"/>
      <c r="C711" s="26"/>
    </row>
    <row r="712">
      <c r="A712" s="26"/>
      <c r="B712" s="26"/>
      <c r="C712" s="26"/>
    </row>
    <row r="713">
      <c r="A713" s="26"/>
      <c r="B713" s="26"/>
      <c r="C713" s="26"/>
    </row>
    <row r="714">
      <c r="A714" s="26"/>
      <c r="B714" s="26"/>
      <c r="C714" s="26"/>
    </row>
    <row r="715">
      <c r="A715" s="26"/>
      <c r="B715" s="26"/>
      <c r="C715" s="26"/>
    </row>
    <row r="716">
      <c r="A716" s="26"/>
      <c r="B716" s="26"/>
      <c r="C716" s="26"/>
    </row>
    <row r="717">
      <c r="A717" s="26"/>
      <c r="B717" s="26"/>
      <c r="C717" s="26"/>
    </row>
    <row r="718">
      <c r="A718" s="26"/>
      <c r="B718" s="26"/>
      <c r="C718" s="26"/>
    </row>
    <row r="719">
      <c r="A719" s="26"/>
      <c r="B719" s="26"/>
      <c r="C719" s="26"/>
    </row>
    <row r="720">
      <c r="A720" s="26"/>
      <c r="B720" s="26"/>
      <c r="C720" s="26"/>
    </row>
    <row r="721">
      <c r="A721" s="26"/>
      <c r="B721" s="26"/>
      <c r="C721" s="26"/>
    </row>
    <row r="722">
      <c r="A722" s="26"/>
      <c r="B722" s="26"/>
      <c r="C722" s="26"/>
    </row>
    <row r="723">
      <c r="A723" s="26"/>
      <c r="B723" s="26"/>
      <c r="C723" s="26"/>
    </row>
    <row r="724">
      <c r="A724" s="26"/>
      <c r="B724" s="26"/>
      <c r="C724" s="26"/>
    </row>
    <row r="725">
      <c r="A725" s="26"/>
      <c r="B725" s="26"/>
      <c r="C725" s="26"/>
    </row>
    <row r="726">
      <c r="A726" s="26"/>
      <c r="B726" s="26"/>
      <c r="C726" s="26"/>
    </row>
    <row r="727">
      <c r="A727" s="26"/>
      <c r="B727" s="26"/>
      <c r="C727" s="26"/>
    </row>
    <row r="728">
      <c r="A728" s="26"/>
      <c r="B728" s="26"/>
      <c r="C728" s="26"/>
    </row>
    <row r="729">
      <c r="A729" s="26"/>
      <c r="B729" s="26"/>
      <c r="C729" s="26"/>
    </row>
    <row r="730">
      <c r="A730" s="26"/>
      <c r="B730" s="26"/>
      <c r="C730" s="26"/>
    </row>
    <row r="731">
      <c r="A731" s="26"/>
      <c r="B731" s="26"/>
      <c r="C731" s="26"/>
    </row>
    <row r="732">
      <c r="A732" s="26"/>
      <c r="B732" s="26"/>
      <c r="C732" s="26"/>
    </row>
    <row r="733">
      <c r="A733" s="26"/>
      <c r="B733" s="26"/>
      <c r="C733" s="26"/>
    </row>
    <row r="734">
      <c r="A734" s="26"/>
      <c r="B734" s="26"/>
      <c r="C734" s="26"/>
    </row>
    <row r="735">
      <c r="A735" s="26"/>
      <c r="B735" s="26"/>
      <c r="C735" s="26"/>
    </row>
    <row r="736">
      <c r="A736" s="26"/>
      <c r="B736" s="26"/>
      <c r="C736" s="26"/>
    </row>
    <row r="737">
      <c r="A737" s="26"/>
      <c r="B737" s="26"/>
      <c r="C737" s="26"/>
    </row>
    <row r="738">
      <c r="A738" s="26"/>
      <c r="B738" s="26"/>
      <c r="C738" s="26"/>
    </row>
    <row r="739">
      <c r="A739" s="26"/>
      <c r="B739" s="26"/>
      <c r="C739" s="26"/>
    </row>
    <row r="740">
      <c r="A740" s="26"/>
      <c r="B740" s="26"/>
      <c r="C740" s="26"/>
    </row>
    <row r="741">
      <c r="A741" s="26"/>
      <c r="B741" s="26"/>
      <c r="C741" s="26"/>
    </row>
    <row r="742">
      <c r="A742" s="26"/>
      <c r="B742" s="26"/>
      <c r="C742" s="26"/>
    </row>
    <row r="743">
      <c r="A743" s="26"/>
      <c r="B743" s="26"/>
      <c r="C743" s="26"/>
    </row>
    <row r="744">
      <c r="A744" s="26"/>
      <c r="B744" s="26"/>
      <c r="C744" s="26"/>
    </row>
    <row r="745">
      <c r="A745" s="26"/>
      <c r="B745" s="26"/>
      <c r="C745" s="26"/>
    </row>
    <row r="746">
      <c r="A746" s="26"/>
      <c r="B746" s="26"/>
      <c r="C746" s="26"/>
    </row>
    <row r="747">
      <c r="A747" s="26"/>
      <c r="B747" s="26"/>
      <c r="C747" s="26"/>
    </row>
    <row r="748">
      <c r="A748" s="26"/>
      <c r="B748" s="26"/>
      <c r="C748" s="26"/>
    </row>
    <row r="749">
      <c r="A749" s="26"/>
      <c r="B749" s="26"/>
      <c r="C749" s="26"/>
    </row>
    <row r="750">
      <c r="A750" s="26"/>
      <c r="B750" s="26"/>
      <c r="C750" s="26"/>
    </row>
    <row r="751">
      <c r="A751" s="26"/>
      <c r="B751" s="26"/>
      <c r="C751" s="26"/>
    </row>
    <row r="752">
      <c r="A752" s="26"/>
      <c r="B752" s="26"/>
      <c r="C752" s="26"/>
    </row>
    <row r="753">
      <c r="A753" s="26"/>
      <c r="B753" s="26"/>
      <c r="C753" s="26"/>
    </row>
    <row r="754">
      <c r="A754" s="26"/>
      <c r="B754" s="26"/>
      <c r="C754" s="26"/>
    </row>
    <row r="755">
      <c r="A755" s="26"/>
      <c r="B755" s="26"/>
      <c r="C755" s="26"/>
    </row>
    <row r="756">
      <c r="A756" s="26"/>
      <c r="B756" s="26"/>
      <c r="C756" s="26"/>
    </row>
    <row r="757">
      <c r="A757" s="26"/>
      <c r="B757" s="26"/>
      <c r="C757" s="26"/>
    </row>
    <row r="758">
      <c r="A758" s="26"/>
      <c r="B758" s="26"/>
      <c r="C758" s="26"/>
    </row>
    <row r="759">
      <c r="A759" s="26"/>
      <c r="B759" s="26"/>
      <c r="C759" s="26"/>
    </row>
    <row r="760">
      <c r="A760" s="26"/>
      <c r="B760" s="26"/>
      <c r="C760" s="26"/>
    </row>
    <row r="761">
      <c r="A761" s="26"/>
      <c r="B761" s="26"/>
      <c r="C761" s="26"/>
    </row>
    <row r="762">
      <c r="A762" s="26"/>
      <c r="B762" s="26"/>
      <c r="C762" s="26"/>
    </row>
    <row r="763">
      <c r="A763" s="26"/>
      <c r="B763" s="26"/>
      <c r="C763" s="26"/>
    </row>
    <row r="764">
      <c r="A764" s="26"/>
      <c r="B764" s="26"/>
      <c r="C764" s="26"/>
    </row>
    <row r="765">
      <c r="A765" s="26"/>
      <c r="B765" s="26"/>
      <c r="C765" s="26"/>
    </row>
    <row r="766">
      <c r="A766" s="26"/>
      <c r="B766" s="26"/>
      <c r="C766" s="26"/>
    </row>
    <row r="767">
      <c r="A767" s="26"/>
      <c r="B767" s="26"/>
      <c r="C767" s="26"/>
    </row>
    <row r="768">
      <c r="A768" s="26"/>
      <c r="B768" s="26"/>
      <c r="C768" s="26"/>
    </row>
    <row r="769">
      <c r="A769" s="26"/>
      <c r="B769" s="26"/>
      <c r="C769" s="26"/>
    </row>
    <row r="770">
      <c r="A770" s="26"/>
      <c r="B770" s="26"/>
      <c r="C770" s="26"/>
    </row>
    <row r="771">
      <c r="A771" s="26"/>
      <c r="B771" s="26"/>
      <c r="C771" s="26"/>
    </row>
    <row r="772">
      <c r="A772" s="26"/>
      <c r="B772" s="26"/>
      <c r="C772" s="26"/>
    </row>
    <row r="773">
      <c r="A773" s="26"/>
      <c r="B773" s="26"/>
      <c r="C773" s="26"/>
    </row>
    <row r="774">
      <c r="A774" s="26"/>
      <c r="B774" s="26"/>
      <c r="C774" s="26"/>
    </row>
    <row r="775">
      <c r="A775" s="26"/>
      <c r="B775" s="26"/>
      <c r="C775" s="26"/>
    </row>
    <row r="776">
      <c r="A776" s="26"/>
      <c r="B776" s="26"/>
      <c r="C776" s="26"/>
    </row>
    <row r="777">
      <c r="A777" s="26"/>
      <c r="B777" s="26"/>
      <c r="C777" s="26"/>
    </row>
    <row r="778">
      <c r="A778" s="26"/>
      <c r="B778" s="26"/>
      <c r="C778" s="26"/>
    </row>
    <row r="779">
      <c r="A779" s="26"/>
      <c r="B779" s="26"/>
      <c r="C779" s="26"/>
    </row>
    <row r="780">
      <c r="A780" s="26"/>
      <c r="B780" s="26"/>
      <c r="C780" s="26"/>
    </row>
    <row r="781">
      <c r="A781" s="26"/>
      <c r="B781" s="26"/>
      <c r="C781" s="26"/>
    </row>
    <row r="782">
      <c r="A782" s="26"/>
      <c r="B782" s="26"/>
      <c r="C782" s="26"/>
    </row>
    <row r="783">
      <c r="A783" s="26"/>
      <c r="B783" s="26"/>
      <c r="C783" s="26"/>
    </row>
    <row r="784">
      <c r="A784" s="26"/>
      <c r="B784" s="26"/>
      <c r="C784" s="26"/>
    </row>
    <row r="785">
      <c r="A785" s="26"/>
      <c r="B785" s="26"/>
      <c r="C785" s="26"/>
    </row>
    <row r="786">
      <c r="A786" s="26"/>
      <c r="B786" s="26"/>
      <c r="C786" s="26"/>
    </row>
    <row r="787">
      <c r="A787" s="26"/>
      <c r="B787" s="26"/>
      <c r="C787" s="26"/>
    </row>
    <row r="788">
      <c r="A788" s="26"/>
      <c r="B788" s="26"/>
      <c r="C788" s="26"/>
    </row>
    <row r="789">
      <c r="A789" s="26"/>
      <c r="B789" s="26"/>
      <c r="C789" s="26"/>
    </row>
    <row r="790">
      <c r="A790" s="26"/>
      <c r="B790" s="26"/>
      <c r="C790" s="26"/>
    </row>
    <row r="791">
      <c r="A791" s="26"/>
      <c r="B791" s="26"/>
      <c r="C791" s="26"/>
    </row>
    <row r="792">
      <c r="A792" s="26"/>
      <c r="B792" s="26"/>
      <c r="C792" s="26"/>
    </row>
    <row r="793">
      <c r="A793" s="26"/>
      <c r="B793" s="26"/>
      <c r="C793" s="26"/>
    </row>
    <row r="794">
      <c r="A794" s="26"/>
      <c r="B794" s="26"/>
      <c r="C794" s="26"/>
    </row>
    <row r="795">
      <c r="A795" s="26"/>
      <c r="B795" s="26"/>
      <c r="C795" s="26"/>
    </row>
    <row r="796">
      <c r="A796" s="26"/>
      <c r="B796" s="26"/>
      <c r="C796" s="26"/>
    </row>
    <row r="797">
      <c r="A797" s="26"/>
      <c r="B797" s="26"/>
      <c r="C797" s="26"/>
    </row>
    <row r="798">
      <c r="A798" s="26"/>
      <c r="B798" s="26"/>
      <c r="C798" s="26"/>
    </row>
    <row r="799">
      <c r="A799" s="26"/>
      <c r="B799" s="26"/>
      <c r="C799" s="26"/>
    </row>
    <row r="800">
      <c r="A800" s="26"/>
      <c r="B800" s="26"/>
      <c r="C800" s="26"/>
    </row>
    <row r="801">
      <c r="A801" s="26"/>
      <c r="B801" s="26"/>
      <c r="C801" s="26"/>
    </row>
    <row r="802">
      <c r="A802" s="26"/>
      <c r="B802" s="26"/>
      <c r="C802" s="26"/>
    </row>
    <row r="803">
      <c r="A803" s="26"/>
      <c r="B803" s="26"/>
      <c r="C803" s="26"/>
    </row>
    <row r="804">
      <c r="A804" s="26"/>
      <c r="B804" s="26"/>
      <c r="C804" s="26"/>
    </row>
    <row r="805">
      <c r="A805" s="26"/>
      <c r="B805" s="26"/>
      <c r="C805" s="26"/>
    </row>
    <row r="806">
      <c r="A806" s="26"/>
      <c r="B806" s="26"/>
      <c r="C806" s="26"/>
    </row>
    <row r="807">
      <c r="A807" s="26"/>
      <c r="B807" s="26"/>
      <c r="C807" s="26"/>
    </row>
    <row r="808">
      <c r="A808" s="26"/>
      <c r="B808" s="26"/>
      <c r="C808" s="26"/>
    </row>
    <row r="809">
      <c r="A809" s="26"/>
      <c r="B809" s="26"/>
      <c r="C809" s="26"/>
    </row>
    <row r="810">
      <c r="A810" s="26"/>
      <c r="B810" s="26"/>
      <c r="C810" s="26"/>
    </row>
    <row r="811">
      <c r="A811" s="26"/>
      <c r="B811" s="26"/>
      <c r="C811" s="26"/>
    </row>
    <row r="812">
      <c r="A812" s="26"/>
      <c r="B812" s="26"/>
      <c r="C812" s="26"/>
    </row>
    <row r="813">
      <c r="A813" s="26"/>
      <c r="B813" s="26"/>
      <c r="C813" s="26"/>
    </row>
    <row r="814">
      <c r="A814" s="26"/>
      <c r="B814" s="26"/>
      <c r="C814" s="26"/>
    </row>
    <row r="815">
      <c r="A815" s="26"/>
      <c r="B815" s="26"/>
      <c r="C815" s="26"/>
    </row>
    <row r="816">
      <c r="A816" s="26"/>
      <c r="B816" s="26"/>
      <c r="C816" s="26"/>
    </row>
    <row r="817">
      <c r="A817" s="26"/>
      <c r="B817" s="26"/>
      <c r="C817" s="26"/>
    </row>
    <row r="818">
      <c r="A818" s="26"/>
      <c r="B818" s="26"/>
      <c r="C818" s="26"/>
    </row>
    <row r="819">
      <c r="A819" s="26"/>
      <c r="B819" s="26"/>
      <c r="C819" s="26"/>
    </row>
    <row r="820">
      <c r="A820" s="26"/>
      <c r="B820" s="26"/>
      <c r="C820" s="26"/>
    </row>
    <row r="821">
      <c r="A821" s="26"/>
      <c r="B821" s="26"/>
      <c r="C821" s="26"/>
    </row>
    <row r="822">
      <c r="A822" s="26"/>
      <c r="B822" s="26"/>
      <c r="C822" s="26"/>
    </row>
    <row r="823">
      <c r="A823" s="26"/>
      <c r="B823" s="26"/>
      <c r="C823" s="26"/>
    </row>
    <row r="824">
      <c r="A824" s="26"/>
      <c r="B824" s="26"/>
      <c r="C824" s="26"/>
    </row>
    <row r="825">
      <c r="A825" s="26"/>
      <c r="B825" s="26"/>
      <c r="C825" s="26"/>
    </row>
    <row r="826">
      <c r="A826" s="26"/>
      <c r="B826" s="26"/>
      <c r="C826" s="26"/>
    </row>
    <row r="827">
      <c r="A827" s="26"/>
      <c r="B827" s="26"/>
      <c r="C827" s="26"/>
    </row>
    <row r="828">
      <c r="A828" s="26"/>
      <c r="B828" s="26"/>
      <c r="C828" s="26"/>
    </row>
    <row r="829">
      <c r="A829" s="26"/>
      <c r="B829" s="26"/>
      <c r="C829" s="26"/>
    </row>
    <row r="830">
      <c r="A830" s="26"/>
      <c r="B830" s="26"/>
      <c r="C830" s="26"/>
    </row>
    <row r="831">
      <c r="A831" s="26"/>
      <c r="B831" s="26"/>
      <c r="C831" s="26"/>
    </row>
    <row r="832">
      <c r="A832" s="26"/>
      <c r="B832" s="26"/>
      <c r="C832" s="26"/>
    </row>
    <row r="833">
      <c r="A833" s="26"/>
      <c r="B833" s="26"/>
      <c r="C833" s="26"/>
    </row>
    <row r="834">
      <c r="A834" s="26"/>
      <c r="B834" s="26"/>
      <c r="C834" s="26"/>
    </row>
    <row r="835">
      <c r="A835" s="26"/>
      <c r="B835" s="26"/>
      <c r="C835" s="26"/>
    </row>
    <row r="836">
      <c r="A836" s="26"/>
      <c r="B836" s="26"/>
      <c r="C836" s="26"/>
    </row>
    <row r="837">
      <c r="A837" s="26"/>
      <c r="B837" s="26"/>
      <c r="C837" s="26"/>
    </row>
    <row r="838">
      <c r="A838" s="26"/>
      <c r="B838" s="26"/>
      <c r="C838" s="26"/>
    </row>
    <row r="839">
      <c r="A839" s="26"/>
      <c r="B839" s="26"/>
      <c r="C839" s="26"/>
    </row>
    <row r="840">
      <c r="A840" s="26"/>
      <c r="B840" s="26"/>
      <c r="C840" s="26"/>
    </row>
    <row r="841">
      <c r="A841" s="26"/>
      <c r="B841" s="26"/>
      <c r="C841" s="26"/>
    </row>
    <row r="842">
      <c r="A842" s="26"/>
      <c r="B842" s="26"/>
      <c r="C842" s="26"/>
    </row>
    <row r="843">
      <c r="A843" s="26"/>
      <c r="B843" s="26"/>
      <c r="C843" s="26"/>
    </row>
    <row r="844">
      <c r="A844" s="26"/>
      <c r="B844" s="26"/>
      <c r="C844" s="26"/>
    </row>
    <row r="845">
      <c r="A845" s="26"/>
      <c r="B845" s="26"/>
      <c r="C845" s="26"/>
    </row>
    <row r="846">
      <c r="A846" s="26"/>
      <c r="B846" s="26"/>
      <c r="C846" s="26"/>
    </row>
    <row r="847">
      <c r="A847" s="26"/>
      <c r="B847" s="26"/>
      <c r="C847" s="26"/>
    </row>
    <row r="848">
      <c r="A848" s="26"/>
      <c r="B848" s="26"/>
      <c r="C848" s="26"/>
    </row>
    <row r="849">
      <c r="A849" s="26"/>
      <c r="B849" s="26"/>
      <c r="C849" s="26"/>
    </row>
    <row r="850">
      <c r="A850" s="26"/>
      <c r="B850" s="26"/>
      <c r="C850" s="26"/>
    </row>
    <row r="851">
      <c r="A851" s="26"/>
      <c r="B851" s="26"/>
      <c r="C851" s="26"/>
    </row>
    <row r="852">
      <c r="A852" s="26"/>
      <c r="B852" s="26"/>
      <c r="C852" s="26"/>
    </row>
    <row r="853">
      <c r="A853" s="26"/>
      <c r="B853" s="26"/>
      <c r="C853" s="26"/>
    </row>
    <row r="854">
      <c r="A854" s="26"/>
      <c r="B854" s="26"/>
      <c r="C854" s="26"/>
    </row>
    <row r="855">
      <c r="A855" s="26"/>
      <c r="B855" s="26"/>
      <c r="C855" s="26"/>
    </row>
    <row r="856">
      <c r="A856" s="26"/>
      <c r="B856" s="26"/>
      <c r="C856" s="26"/>
    </row>
    <row r="857">
      <c r="A857" s="26"/>
      <c r="B857" s="26"/>
      <c r="C857" s="26"/>
    </row>
    <row r="858">
      <c r="A858" s="26"/>
      <c r="B858" s="26"/>
      <c r="C858" s="26"/>
    </row>
    <row r="859">
      <c r="A859" s="26"/>
      <c r="B859" s="26"/>
      <c r="C859" s="26"/>
    </row>
    <row r="860">
      <c r="A860" s="26"/>
      <c r="B860" s="26"/>
      <c r="C860" s="26"/>
    </row>
    <row r="861">
      <c r="A861" s="26"/>
      <c r="B861" s="26"/>
      <c r="C861" s="26"/>
    </row>
    <row r="862">
      <c r="A862" s="26"/>
      <c r="B862" s="26"/>
      <c r="C862" s="26"/>
    </row>
    <row r="863">
      <c r="A863" s="26"/>
      <c r="B863" s="26"/>
      <c r="C863" s="26"/>
    </row>
    <row r="864">
      <c r="A864" s="26"/>
      <c r="B864" s="26"/>
      <c r="C864" s="26"/>
    </row>
    <row r="865">
      <c r="A865" s="26"/>
      <c r="B865" s="26"/>
      <c r="C865" s="26"/>
    </row>
    <row r="866">
      <c r="A866" s="26"/>
      <c r="B866" s="26"/>
      <c r="C866" s="26"/>
    </row>
    <row r="867">
      <c r="A867" s="26"/>
      <c r="B867" s="26"/>
      <c r="C867" s="26"/>
    </row>
    <row r="868">
      <c r="A868" s="26"/>
      <c r="B868" s="26"/>
      <c r="C868" s="26"/>
    </row>
    <row r="869">
      <c r="A869" s="26"/>
      <c r="B869" s="26"/>
      <c r="C869" s="26"/>
    </row>
    <row r="870">
      <c r="A870" s="26"/>
      <c r="B870" s="26"/>
      <c r="C870" s="26"/>
    </row>
    <row r="871">
      <c r="A871" s="26"/>
      <c r="B871" s="26"/>
      <c r="C871" s="26"/>
    </row>
    <row r="872">
      <c r="A872" s="26"/>
      <c r="B872" s="26"/>
      <c r="C872" s="26"/>
    </row>
    <row r="873">
      <c r="A873" s="26"/>
      <c r="B873" s="26"/>
      <c r="C873" s="26"/>
    </row>
    <row r="874">
      <c r="A874" s="26"/>
      <c r="B874" s="26"/>
      <c r="C874" s="26"/>
    </row>
    <row r="875">
      <c r="A875" s="26"/>
      <c r="B875" s="26"/>
      <c r="C875" s="26"/>
    </row>
    <row r="876">
      <c r="A876" s="26"/>
      <c r="B876" s="26"/>
      <c r="C876" s="26"/>
    </row>
    <row r="877">
      <c r="A877" s="26"/>
      <c r="B877" s="26"/>
      <c r="C877" s="26"/>
    </row>
    <row r="878">
      <c r="A878" s="26"/>
      <c r="B878" s="26"/>
      <c r="C878" s="26"/>
    </row>
    <row r="879">
      <c r="A879" s="26"/>
      <c r="B879" s="26"/>
      <c r="C879" s="26"/>
    </row>
    <row r="880">
      <c r="A880" s="26"/>
      <c r="B880" s="26"/>
      <c r="C880" s="26"/>
    </row>
    <row r="881">
      <c r="A881" s="26"/>
      <c r="B881" s="26"/>
      <c r="C881" s="26"/>
    </row>
    <row r="882">
      <c r="A882" s="26"/>
      <c r="B882" s="26"/>
      <c r="C882" s="26"/>
    </row>
    <row r="883">
      <c r="A883" s="26"/>
      <c r="B883" s="26"/>
      <c r="C883" s="26"/>
    </row>
    <row r="884">
      <c r="A884" s="26"/>
      <c r="B884" s="26"/>
      <c r="C884" s="26"/>
    </row>
    <row r="885">
      <c r="A885" s="26"/>
      <c r="B885" s="26"/>
      <c r="C885" s="26"/>
    </row>
    <row r="886">
      <c r="A886" s="26"/>
      <c r="B886" s="26"/>
      <c r="C886" s="26"/>
    </row>
    <row r="887">
      <c r="A887" s="26"/>
      <c r="B887" s="26"/>
      <c r="C887" s="26"/>
    </row>
    <row r="888">
      <c r="A888" s="26"/>
      <c r="B888" s="26"/>
      <c r="C888" s="26"/>
    </row>
    <row r="889">
      <c r="A889" s="26"/>
      <c r="B889" s="26"/>
      <c r="C889" s="26"/>
    </row>
    <row r="890">
      <c r="A890" s="26"/>
      <c r="B890" s="26"/>
      <c r="C890" s="26"/>
    </row>
    <row r="891">
      <c r="A891" s="26"/>
      <c r="B891" s="26"/>
      <c r="C891" s="26"/>
    </row>
    <row r="892">
      <c r="A892" s="26"/>
      <c r="B892" s="26"/>
      <c r="C892" s="26"/>
    </row>
    <row r="893">
      <c r="A893" s="26"/>
      <c r="B893" s="26"/>
      <c r="C893" s="26"/>
    </row>
    <row r="894">
      <c r="A894" s="26"/>
      <c r="B894" s="26"/>
      <c r="C894" s="26"/>
    </row>
    <row r="895">
      <c r="A895" s="26"/>
      <c r="B895" s="26"/>
      <c r="C895" s="26"/>
    </row>
    <row r="896">
      <c r="A896" s="26"/>
      <c r="B896" s="26"/>
      <c r="C896" s="26"/>
    </row>
    <row r="897">
      <c r="A897" s="26"/>
      <c r="B897" s="26"/>
      <c r="C897" s="26"/>
    </row>
    <row r="898">
      <c r="A898" s="26"/>
      <c r="B898" s="26"/>
      <c r="C898" s="26"/>
    </row>
    <row r="899">
      <c r="A899" s="26"/>
      <c r="B899" s="26"/>
      <c r="C899" s="26"/>
    </row>
    <row r="900">
      <c r="A900" s="26"/>
      <c r="B900" s="26"/>
      <c r="C900" s="26"/>
    </row>
    <row r="901">
      <c r="A901" s="26"/>
      <c r="B901" s="26"/>
      <c r="C901" s="26"/>
    </row>
    <row r="902">
      <c r="A902" s="26"/>
      <c r="B902" s="26"/>
      <c r="C902" s="26"/>
    </row>
    <row r="903">
      <c r="A903" s="26"/>
      <c r="B903" s="26"/>
      <c r="C903" s="26"/>
    </row>
    <row r="904">
      <c r="A904" s="26"/>
      <c r="B904" s="26"/>
      <c r="C904" s="26"/>
    </row>
    <row r="905">
      <c r="A905" s="26"/>
      <c r="B905" s="26"/>
      <c r="C905" s="26"/>
    </row>
    <row r="906">
      <c r="A906" s="26"/>
      <c r="B906" s="26"/>
      <c r="C906" s="26"/>
    </row>
    <row r="907">
      <c r="A907" s="26"/>
      <c r="B907" s="26"/>
      <c r="C907" s="26"/>
    </row>
    <row r="908">
      <c r="A908" s="26"/>
      <c r="B908" s="26"/>
      <c r="C908" s="26"/>
    </row>
    <row r="909">
      <c r="A909" s="26"/>
      <c r="B909" s="26"/>
      <c r="C909" s="26"/>
    </row>
    <row r="910">
      <c r="A910" s="26"/>
      <c r="B910" s="26"/>
      <c r="C910" s="26"/>
    </row>
    <row r="911">
      <c r="A911" s="26"/>
      <c r="B911" s="26"/>
      <c r="C911" s="26"/>
    </row>
    <row r="912">
      <c r="A912" s="26"/>
      <c r="B912" s="26"/>
      <c r="C912" s="26"/>
    </row>
    <row r="913">
      <c r="A913" s="26"/>
      <c r="B913" s="26"/>
      <c r="C913" s="26"/>
    </row>
    <row r="914">
      <c r="A914" s="26"/>
      <c r="B914" s="26"/>
      <c r="C914" s="26"/>
    </row>
    <row r="915">
      <c r="A915" s="26"/>
      <c r="B915" s="26"/>
      <c r="C915" s="26"/>
    </row>
    <row r="916">
      <c r="A916" s="26"/>
      <c r="B916" s="26"/>
      <c r="C916" s="26"/>
    </row>
    <row r="917">
      <c r="A917" s="26"/>
      <c r="B917" s="26"/>
      <c r="C917" s="26"/>
    </row>
    <row r="918">
      <c r="A918" s="26"/>
      <c r="B918" s="26"/>
      <c r="C918" s="26"/>
    </row>
    <row r="919">
      <c r="A919" s="26"/>
      <c r="B919" s="26"/>
      <c r="C919" s="26"/>
    </row>
    <row r="920">
      <c r="A920" s="26"/>
      <c r="B920" s="26"/>
      <c r="C920" s="26"/>
    </row>
    <row r="921">
      <c r="A921" s="26"/>
      <c r="B921" s="26"/>
      <c r="C921" s="26"/>
    </row>
    <row r="922">
      <c r="A922" s="26"/>
      <c r="B922" s="26"/>
      <c r="C922" s="26"/>
    </row>
    <row r="923">
      <c r="A923" s="26"/>
      <c r="B923" s="26"/>
      <c r="C923" s="26"/>
    </row>
    <row r="924">
      <c r="A924" s="26"/>
      <c r="B924" s="26"/>
      <c r="C924" s="26"/>
    </row>
    <row r="925">
      <c r="A925" s="26"/>
      <c r="B925" s="26"/>
      <c r="C925" s="26"/>
    </row>
    <row r="926">
      <c r="A926" s="26"/>
      <c r="B926" s="26"/>
      <c r="C926" s="26"/>
    </row>
    <row r="927">
      <c r="A927" s="26"/>
      <c r="B927" s="26"/>
      <c r="C927" s="26"/>
    </row>
    <row r="928">
      <c r="A928" s="26"/>
      <c r="B928" s="26"/>
      <c r="C928" s="26"/>
    </row>
    <row r="929">
      <c r="A929" s="26"/>
      <c r="B929" s="26"/>
      <c r="C929" s="26"/>
    </row>
    <row r="930">
      <c r="A930" s="26"/>
      <c r="B930" s="26"/>
      <c r="C930" s="26"/>
    </row>
    <row r="931">
      <c r="A931" s="26"/>
      <c r="B931" s="26"/>
      <c r="C931" s="26"/>
    </row>
    <row r="932">
      <c r="A932" s="26"/>
      <c r="B932" s="26"/>
      <c r="C932" s="26"/>
    </row>
    <row r="933">
      <c r="A933" s="26"/>
      <c r="B933" s="26"/>
      <c r="C933" s="26"/>
    </row>
    <row r="934">
      <c r="A934" s="26"/>
      <c r="B934" s="26"/>
      <c r="C934" s="26"/>
    </row>
    <row r="935">
      <c r="A935" s="26"/>
      <c r="B935" s="26"/>
      <c r="C935" s="26"/>
    </row>
    <row r="936">
      <c r="A936" s="26"/>
      <c r="B936" s="26"/>
      <c r="C936" s="26"/>
    </row>
    <row r="937">
      <c r="A937" s="26"/>
      <c r="B937" s="26"/>
      <c r="C937" s="26"/>
    </row>
    <row r="938">
      <c r="A938" s="26"/>
      <c r="B938" s="26"/>
      <c r="C938" s="26"/>
    </row>
    <row r="939">
      <c r="A939" s="26"/>
      <c r="B939" s="26"/>
      <c r="C939" s="26"/>
    </row>
    <row r="940">
      <c r="A940" s="26"/>
      <c r="B940" s="26"/>
      <c r="C940" s="26"/>
    </row>
    <row r="941">
      <c r="A941" s="26"/>
      <c r="B941" s="26"/>
      <c r="C941" s="26"/>
    </row>
    <row r="942">
      <c r="A942" s="26"/>
      <c r="B942" s="26"/>
      <c r="C942" s="26"/>
    </row>
    <row r="943">
      <c r="A943" s="26"/>
      <c r="B943" s="26"/>
      <c r="C943" s="26"/>
    </row>
    <row r="944">
      <c r="A944" s="26"/>
      <c r="B944" s="26"/>
      <c r="C944" s="26"/>
    </row>
    <row r="945">
      <c r="A945" s="26"/>
      <c r="B945" s="26"/>
      <c r="C945" s="26"/>
    </row>
    <row r="946">
      <c r="A946" s="26"/>
      <c r="B946" s="26"/>
      <c r="C946" s="26"/>
    </row>
    <row r="947">
      <c r="A947" s="26"/>
      <c r="B947" s="26"/>
      <c r="C947" s="26"/>
    </row>
    <row r="948">
      <c r="A948" s="26"/>
      <c r="B948" s="26"/>
      <c r="C948" s="26"/>
    </row>
    <row r="949">
      <c r="A949" s="26"/>
      <c r="B949" s="26"/>
      <c r="C949" s="26"/>
    </row>
    <row r="950">
      <c r="A950" s="26"/>
      <c r="B950" s="26"/>
      <c r="C950" s="26"/>
    </row>
    <row r="951">
      <c r="A951" s="26"/>
      <c r="B951" s="26"/>
      <c r="C951" s="26"/>
    </row>
    <row r="952">
      <c r="A952" s="26"/>
      <c r="B952" s="26"/>
      <c r="C952" s="26"/>
    </row>
    <row r="953">
      <c r="A953" s="26"/>
      <c r="B953" s="26"/>
      <c r="C953" s="26"/>
    </row>
    <row r="954">
      <c r="A954" s="26"/>
      <c r="B954" s="26"/>
      <c r="C954" s="26"/>
    </row>
    <row r="955">
      <c r="A955" s="26"/>
      <c r="B955" s="26"/>
      <c r="C955" s="26"/>
    </row>
    <row r="956">
      <c r="A956" s="26"/>
      <c r="B956" s="26"/>
      <c r="C956" s="26"/>
    </row>
    <row r="957">
      <c r="A957" s="26"/>
      <c r="B957" s="26"/>
      <c r="C957" s="26"/>
    </row>
    <row r="958">
      <c r="A958" s="26"/>
      <c r="B958" s="26"/>
      <c r="C958" s="26"/>
    </row>
    <row r="959">
      <c r="A959" s="26"/>
      <c r="B959" s="26"/>
      <c r="C959" s="26"/>
    </row>
    <row r="960">
      <c r="A960" s="26"/>
      <c r="B960" s="26"/>
      <c r="C960" s="26"/>
    </row>
    <row r="961">
      <c r="A961" s="26"/>
      <c r="B961" s="26"/>
      <c r="C961" s="26"/>
    </row>
    <row r="962">
      <c r="A962" s="26"/>
      <c r="B962" s="26"/>
      <c r="C962" s="26"/>
    </row>
    <row r="963">
      <c r="A963" s="26"/>
      <c r="B963" s="26"/>
      <c r="C963" s="26"/>
    </row>
    <row r="964">
      <c r="A964" s="26"/>
      <c r="B964" s="26"/>
      <c r="C964" s="26"/>
    </row>
    <row r="965">
      <c r="A965" s="26"/>
      <c r="B965" s="26"/>
      <c r="C965" s="26"/>
    </row>
    <row r="966">
      <c r="A966" s="26"/>
      <c r="B966" s="26"/>
      <c r="C966" s="26"/>
    </row>
    <row r="967">
      <c r="A967" s="26"/>
      <c r="B967" s="26"/>
      <c r="C967" s="26"/>
    </row>
    <row r="968">
      <c r="A968" s="26"/>
      <c r="B968" s="26"/>
      <c r="C968" s="26"/>
    </row>
    <row r="969">
      <c r="A969" s="26"/>
      <c r="B969" s="26"/>
      <c r="C969" s="26"/>
    </row>
    <row r="970">
      <c r="A970" s="26"/>
      <c r="B970" s="26"/>
      <c r="C970" s="26"/>
    </row>
    <row r="971">
      <c r="A971" s="26"/>
      <c r="B971" s="26"/>
      <c r="C971" s="26"/>
    </row>
    <row r="972">
      <c r="A972" s="26"/>
      <c r="B972" s="26"/>
      <c r="C972" s="26"/>
    </row>
    <row r="973">
      <c r="A973" s="26"/>
      <c r="B973" s="26"/>
      <c r="C973" s="26"/>
    </row>
    <row r="974">
      <c r="A974" s="26"/>
      <c r="B974" s="26"/>
      <c r="C974" s="26"/>
    </row>
    <row r="975">
      <c r="A975" s="26"/>
      <c r="B975" s="26"/>
      <c r="C975" s="26"/>
    </row>
    <row r="976">
      <c r="A976" s="26"/>
      <c r="B976" s="26"/>
      <c r="C976" s="26"/>
    </row>
    <row r="977">
      <c r="A977" s="26"/>
      <c r="B977" s="26"/>
      <c r="C977" s="26"/>
    </row>
    <row r="978">
      <c r="A978" s="26"/>
      <c r="B978" s="26"/>
      <c r="C978" s="26"/>
    </row>
    <row r="979">
      <c r="A979" s="26"/>
      <c r="B979" s="26"/>
      <c r="C979" s="26"/>
    </row>
    <row r="980">
      <c r="A980" s="26"/>
      <c r="B980" s="26"/>
      <c r="C980" s="26"/>
    </row>
    <row r="981">
      <c r="A981" s="26"/>
      <c r="B981" s="26"/>
      <c r="C981" s="26"/>
    </row>
    <row r="982">
      <c r="A982" s="26"/>
      <c r="B982" s="26"/>
      <c r="C982" s="26"/>
    </row>
    <row r="983">
      <c r="A983" s="26"/>
      <c r="B983" s="26"/>
      <c r="C983" s="26"/>
    </row>
    <row r="984">
      <c r="A984" s="26"/>
      <c r="B984" s="26"/>
      <c r="C984" s="26"/>
    </row>
    <row r="985">
      <c r="A985" s="26"/>
      <c r="B985" s="26"/>
      <c r="C985" s="26"/>
    </row>
    <row r="986">
      <c r="A986" s="26"/>
      <c r="B986" s="26"/>
      <c r="C986" s="26"/>
    </row>
    <row r="987">
      <c r="A987" s="26"/>
      <c r="B987" s="26"/>
      <c r="C987" s="26"/>
    </row>
    <row r="988">
      <c r="A988" s="26"/>
      <c r="B988" s="26"/>
      <c r="C988" s="26"/>
    </row>
    <row r="989">
      <c r="A989" s="26"/>
      <c r="B989" s="26"/>
      <c r="C989" s="26"/>
    </row>
    <row r="990">
      <c r="A990" s="26"/>
      <c r="B990" s="26"/>
      <c r="C990" s="26"/>
    </row>
    <row r="991">
      <c r="A991" s="26"/>
      <c r="B991" s="26"/>
      <c r="C991" s="26"/>
    </row>
    <row r="992">
      <c r="A992" s="26"/>
      <c r="B992" s="26"/>
      <c r="C992" s="26"/>
    </row>
    <row r="993">
      <c r="A993" s="26"/>
      <c r="B993" s="26"/>
      <c r="C993" s="26"/>
    </row>
    <row r="994">
      <c r="A994" s="26"/>
      <c r="B994" s="26"/>
      <c r="C994" s="26"/>
    </row>
    <row r="995">
      <c r="A995" s="26"/>
      <c r="B995" s="26"/>
      <c r="C995" s="26"/>
    </row>
    <row r="996">
      <c r="A996" s="26"/>
      <c r="B996" s="26"/>
      <c r="C996" s="26"/>
    </row>
    <row r="997">
      <c r="A997" s="26"/>
      <c r="B997" s="26"/>
      <c r="C997" s="26"/>
    </row>
    <row r="998">
      <c r="A998" s="26"/>
      <c r="B998" s="26"/>
      <c r="C998" s="26"/>
    </row>
    <row r="999">
      <c r="A999" s="26"/>
      <c r="B999" s="26"/>
      <c r="C999" s="26"/>
    </row>
    <row r="1000">
      <c r="A1000" s="26"/>
      <c r="B1000" s="26"/>
      <c r="C1000" s="2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675</v>
      </c>
      <c r="B1" s="3" t="s">
        <v>676</v>
      </c>
    </row>
    <row r="2">
      <c r="A2" s="3" t="s">
        <v>677</v>
      </c>
      <c r="B2" s="29">
        <f>NOW()</f>
        <v>46216.91582</v>
      </c>
    </row>
    <row r="3">
      <c r="A3" s="3" t="s">
        <v>678</v>
      </c>
      <c r="B3" s="3" t="s">
        <v>679</v>
      </c>
    </row>
    <row r="4">
      <c r="A4" s="3" t="s">
        <v>680</v>
      </c>
      <c r="B4" s="3" t="s">
        <v>681</v>
      </c>
    </row>
    <row r="5">
      <c r="A5" s="3" t="s">
        <v>682</v>
      </c>
      <c r="B5" s="3" t="s">
        <v>683</v>
      </c>
    </row>
    <row r="6">
      <c r="A6" s="3" t="s">
        <v>684</v>
      </c>
      <c r="B6" s="3" t="s">
        <v>685</v>
      </c>
    </row>
    <row r="7">
      <c r="A7" s="3" t="s">
        <v>686</v>
      </c>
      <c r="B7" s="3" t="s">
        <v>687</v>
      </c>
    </row>
    <row r="8">
      <c r="A8" s="3" t="s">
        <v>688</v>
      </c>
      <c r="B8" s="3" t="s">
        <v>689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 hidden="1" min="15" max="26" width="12.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c r="A2" s="4" t="s">
        <v>186</v>
      </c>
      <c r="B2" s="4" t="s">
        <v>690</v>
      </c>
      <c r="C2" s="4" t="s">
        <v>691</v>
      </c>
      <c r="D2" s="4" t="s">
        <v>692</v>
      </c>
      <c r="F2" s="4" t="s">
        <v>693</v>
      </c>
      <c r="AA2" s="4">
        <v>5.0</v>
      </c>
      <c r="AB2" s="14" t="s">
        <v>694</v>
      </c>
    </row>
    <row r="3">
      <c r="A3" s="4" t="s">
        <v>187</v>
      </c>
      <c r="B3" s="4" t="s">
        <v>695</v>
      </c>
      <c r="C3" s="4" t="s">
        <v>696</v>
      </c>
      <c r="D3" s="4" t="s">
        <v>692</v>
      </c>
      <c r="F3" s="4" t="s">
        <v>693</v>
      </c>
      <c r="AA3" s="4">
        <v>7.0</v>
      </c>
      <c r="AB3" s="14" t="s">
        <v>694</v>
      </c>
    </row>
    <row r="4">
      <c r="A4" s="4" t="s">
        <v>189</v>
      </c>
      <c r="B4" s="4" t="s">
        <v>690</v>
      </c>
      <c r="C4" s="4" t="s">
        <v>691</v>
      </c>
      <c r="D4" s="4" t="s">
        <v>8</v>
      </c>
      <c r="E4" s="4" t="s">
        <v>697</v>
      </c>
      <c r="F4" s="4" t="s">
        <v>693</v>
      </c>
      <c r="G4" s="5">
        <v>46120.0</v>
      </c>
      <c r="H4" s="4" t="s">
        <v>698</v>
      </c>
      <c r="I4" s="6">
        <v>46120.72112502315</v>
      </c>
      <c r="AA4" s="4">
        <v>5.0</v>
      </c>
      <c r="AB4" s="14" t="s">
        <v>694</v>
      </c>
    </row>
    <row r="5">
      <c r="A5" s="4" t="s">
        <v>201</v>
      </c>
      <c r="B5" s="4" t="s">
        <v>690</v>
      </c>
      <c r="C5" s="4" t="s">
        <v>691</v>
      </c>
      <c r="D5" s="4" t="s">
        <v>8</v>
      </c>
      <c r="E5" s="4" t="s">
        <v>699</v>
      </c>
      <c r="F5" s="4" t="s">
        <v>693</v>
      </c>
      <c r="I5" s="6">
        <v>46121.67421900463</v>
      </c>
      <c r="AA5" s="4">
        <v>6.0</v>
      </c>
      <c r="AB5" s="14" t="s">
        <v>694</v>
      </c>
    </row>
    <row r="6">
      <c r="A6" s="4" t="s">
        <v>203</v>
      </c>
      <c r="B6" s="4" t="s">
        <v>695</v>
      </c>
      <c r="C6" s="4" t="s">
        <v>696</v>
      </c>
      <c r="D6" s="4" t="s">
        <v>692</v>
      </c>
      <c r="F6" s="4" t="s">
        <v>693</v>
      </c>
      <c r="AA6" s="4">
        <v>10.0</v>
      </c>
      <c r="AB6" s="14" t="s">
        <v>694</v>
      </c>
    </row>
    <row r="7">
      <c r="A7" s="4" t="s">
        <v>205</v>
      </c>
      <c r="B7" s="4" t="s">
        <v>690</v>
      </c>
      <c r="C7" s="4" t="s">
        <v>691</v>
      </c>
      <c r="D7" s="4" t="s">
        <v>692</v>
      </c>
      <c r="F7" s="4" t="s">
        <v>693</v>
      </c>
      <c r="AA7" s="4">
        <v>5.0</v>
      </c>
      <c r="AB7" s="14" t="s">
        <v>694</v>
      </c>
    </row>
    <row r="8">
      <c r="A8" s="4" t="s">
        <v>229</v>
      </c>
      <c r="B8" s="4" t="s">
        <v>695</v>
      </c>
      <c r="C8" s="4" t="s">
        <v>696</v>
      </c>
      <c r="D8" s="4" t="s">
        <v>8</v>
      </c>
      <c r="E8" s="4" t="s">
        <v>700</v>
      </c>
      <c r="F8" s="4" t="s">
        <v>693</v>
      </c>
      <c r="G8" s="5">
        <v>46119.0</v>
      </c>
      <c r="H8" s="4" t="s">
        <v>701</v>
      </c>
      <c r="I8" s="6">
        <v>46120.4608359375</v>
      </c>
      <c r="AA8" s="4">
        <v>10.0</v>
      </c>
      <c r="AB8" s="14" t="s">
        <v>694</v>
      </c>
    </row>
    <row r="9">
      <c r="A9" s="4" t="s">
        <v>245</v>
      </c>
      <c r="B9" s="4" t="s">
        <v>690</v>
      </c>
      <c r="C9" s="4" t="s">
        <v>691</v>
      </c>
      <c r="D9" s="4" t="s">
        <v>692</v>
      </c>
      <c r="F9" s="4" t="s">
        <v>693</v>
      </c>
      <c r="AA9" s="4">
        <v>7.0</v>
      </c>
      <c r="AB9" s="14" t="s">
        <v>694</v>
      </c>
    </row>
    <row r="10">
      <c r="A10" s="4" t="s">
        <v>257</v>
      </c>
      <c r="B10" s="4" t="s">
        <v>690</v>
      </c>
      <c r="C10" s="4" t="s">
        <v>691</v>
      </c>
      <c r="D10" s="4" t="s">
        <v>692</v>
      </c>
      <c r="F10" s="4" t="s">
        <v>693</v>
      </c>
      <c r="AA10" s="4">
        <v>8.0</v>
      </c>
      <c r="AB10" s="14" t="s">
        <v>694</v>
      </c>
    </row>
    <row r="11">
      <c r="A11" s="4" t="s">
        <v>270</v>
      </c>
      <c r="B11" s="4" t="s">
        <v>690</v>
      </c>
      <c r="C11" s="4" t="s">
        <v>691</v>
      </c>
      <c r="D11" s="4" t="s">
        <v>692</v>
      </c>
      <c r="F11" s="4" t="s">
        <v>693</v>
      </c>
      <c r="AA11" s="4">
        <v>7.0</v>
      </c>
      <c r="AB11" s="14" t="s">
        <v>694</v>
      </c>
    </row>
    <row r="12">
      <c r="A12" s="4" t="s">
        <v>271</v>
      </c>
      <c r="B12" s="4" t="s">
        <v>690</v>
      </c>
      <c r="C12" s="4" t="s">
        <v>691</v>
      </c>
      <c r="D12" s="4" t="s">
        <v>8</v>
      </c>
      <c r="E12" s="4" t="s">
        <v>699</v>
      </c>
      <c r="F12" s="4" t="s">
        <v>693</v>
      </c>
      <c r="I12" s="6">
        <v>46121.6759710301</v>
      </c>
      <c r="AA12" s="4">
        <v>6.0</v>
      </c>
      <c r="AB12" s="14" t="s">
        <v>694</v>
      </c>
    </row>
    <row r="13">
      <c r="A13" s="4" t="s">
        <v>288</v>
      </c>
      <c r="B13" s="4" t="s">
        <v>690</v>
      </c>
      <c r="C13" s="4" t="s">
        <v>691</v>
      </c>
      <c r="D13" s="4" t="s">
        <v>692</v>
      </c>
      <c r="F13" s="4" t="s">
        <v>693</v>
      </c>
      <c r="AA13" s="4">
        <v>7.0</v>
      </c>
      <c r="AB13" s="14" t="s">
        <v>694</v>
      </c>
    </row>
    <row r="14">
      <c r="A14" s="4" t="s">
        <v>291</v>
      </c>
      <c r="B14" s="4" t="s">
        <v>690</v>
      </c>
      <c r="C14" s="4" t="s">
        <v>691</v>
      </c>
      <c r="D14" s="4" t="s">
        <v>692</v>
      </c>
      <c r="F14" s="4" t="s">
        <v>693</v>
      </c>
      <c r="AA14" s="4">
        <v>5.0</v>
      </c>
      <c r="AB14" s="14" t="s">
        <v>694</v>
      </c>
    </row>
    <row r="15">
      <c r="A15" s="4" t="s">
        <v>329</v>
      </c>
      <c r="B15" s="4" t="s">
        <v>695</v>
      </c>
      <c r="C15" s="4" t="s">
        <v>696</v>
      </c>
      <c r="D15" s="4" t="s">
        <v>8</v>
      </c>
      <c r="E15" s="4" t="s">
        <v>700</v>
      </c>
      <c r="F15" s="4" t="s">
        <v>693</v>
      </c>
      <c r="G15" s="5">
        <v>46134.0</v>
      </c>
      <c r="H15" s="4" t="s">
        <v>702</v>
      </c>
      <c r="I15" s="6">
        <v>46128.642131678236</v>
      </c>
      <c r="AA15" s="4">
        <v>6.0</v>
      </c>
      <c r="AB15" s="14" t="s">
        <v>694</v>
      </c>
    </row>
    <row r="16">
      <c r="A16" s="4" t="s">
        <v>338</v>
      </c>
      <c r="B16" s="4" t="s">
        <v>690</v>
      </c>
      <c r="C16" s="4" t="s">
        <v>691</v>
      </c>
      <c r="D16" s="4" t="s">
        <v>692</v>
      </c>
      <c r="F16" s="4" t="s">
        <v>693</v>
      </c>
      <c r="AA16" s="4">
        <v>6.0</v>
      </c>
      <c r="AB16" s="14" t="s">
        <v>694</v>
      </c>
    </row>
    <row r="17">
      <c r="A17" s="4" t="s">
        <v>377</v>
      </c>
      <c r="B17" s="4" t="s">
        <v>690</v>
      </c>
      <c r="C17" s="4" t="s">
        <v>691</v>
      </c>
      <c r="D17" s="4" t="s">
        <v>692</v>
      </c>
      <c r="F17" s="4" t="s">
        <v>693</v>
      </c>
      <c r="AA17" s="4">
        <v>6.0</v>
      </c>
      <c r="AB17" s="4" t="s">
        <v>703</v>
      </c>
    </row>
    <row r="18">
      <c r="A18" s="4" t="s">
        <v>409</v>
      </c>
      <c r="B18" s="4" t="s">
        <v>690</v>
      </c>
      <c r="C18" s="4" t="s">
        <v>691</v>
      </c>
      <c r="D18" s="4" t="s">
        <v>18</v>
      </c>
      <c r="E18" s="4" t="s">
        <v>704</v>
      </c>
      <c r="F18" s="4" t="s">
        <v>693</v>
      </c>
      <c r="G18" s="5">
        <v>46120.0</v>
      </c>
      <c r="H18" s="4" t="s">
        <v>705</v>
      </c>
      <c r="K18" s="6">
        <v>46058.0</v>
      </c>
      <c r="L18" s="6">
        <v>46062.46386065972</v>
      </c>
      <c r="M18" s="6">
        <v>46085.0</v>
      </c>
      <c r="N18" s="6">
        <v>46090.58435388889</v>
      </c>
      <c r="S18" s="6">
        <v>46120.511188379634</v>
      </c>
      <c r="V18" s="4" t="s">
        <v>706</v>
      </c>
      <c r="AA18" s="4">
        <v>1.0</v>
      </c>
      <c r="AB18" s="4" t="s">
        <v>707</v>
      </c>
    </row>
    <row r="19">
      <c r="A19" s="4" t="s">
        <v>440</v>
      </c>
      <c r="B19" s="4" t="s">
        <v>690</v>
      </c>
      <c r="C19" s="4" t="s">
        <v>691</v>
      </c>
      <c r="D19" s="4" t="s">
        <v>18</v>
      </c>
      <c r="E19" s="4" t="s">
        <v>708</v>
      </c>
      <c r="F19" s="4" t="s">
        <v>693</v>
      </c>
      <c r="G19" s="5">
        <v>46154.0</v>
      </c>
      <c r="H19" s="4" t="s">
        <v>709</v>
      </c>
      <c r="J19" s="6">
        <v>46058.62408958333</v>
      </c>
      <c r="K19" s="6">
        <v>46062.640660081015</v>
      </c>
      <c r="L19" s="6">
        <v>46098.50899047454</v>
      </c>
      <c r="M19" s="6">
        <v>46098.50897434028</v>
      </c>
      <c r="S19" s="6">
        <v>46154.43900677083</v>
      </c>
      <c r="V19" s="4" t="s">
        <v>710</v>
      </c>
      <c r="AA19" s="4">
        <v>2.0</v>
      </c>
      <c r="AB19" s="4" t="s">
        <v>703</v>
      </c>
    </row>
    <row r="20">
      <c r="A20" s="4" t="s">
        <v>464</v>
      </c>
      <c r="B20" s="4" t="s">
        <v>690</v>
      </c>
      <c r="C20" s="4" t="s">
        <v>691</v>
      </c>
      <c r="D20" s="4" t="s">
        <v>692</v>
      </c>
      <c r="F20" s="4" t="s">
        <v>693</v>
      </c>
      <c r="AA20" s="4">
        <v>9.0</v>
      </c>
      <c r="AB20" s="4" t="s">
        <v>707</v>
      </c>
    </row>
    <row r="21">
      <c r="A21" s="4" t="s">
        <v>513</v>
      </c>
      <c r="B21" s="4" t="s">
        <v>695</v>
      </c>
      <c r="C21" s="4" t="s">
        <v>696</v>
      </c>
      <c r="D21" s="4" t="s">
        <v>692</v>
      </c>
      <c r="E21" s="4" t="s">
        <v>700</v>
      </c>
      <c r="F21" s="4" t="s">
        <v>693</v>
      </c>
      <c r="G21" s="5">
        <v>46076.0</v>
      </c>
      <c r="H21" s="4" t="s">
        <v>711</v>
      </c>
      <c r="AA21" s="4">
        <v>8.0</v>
      </c>
      <c r="AB21" s="4" t="s">
        <v>703</v>
      </c>
    </row>
    <row r="22">
      <c r="A22" s="4" t="s">
        <v>538</v>
      </c>
      <c r="B22" s="4" t="s">
        <v>690</v>
      </c>
      <c r="C22" s="4" t="s">
        <v>691</v>
      </c>
      <c r="D22" s="4" t="s">
        <v>692</v>
      </c>
      <c r="F22" s="4" t="s">
        <v>693</v>
      </c>
      <c r="J22" s="6">
        <v>46104.42481153936</v>
      </c>
      <c r="K22" s="6">
        <v>46104.424834074074</v>
      </c>
      <c r="L22" s="6">
        <v>46107.624129814816</v>
      </c>
      <c r="AA22" s="4">
        <v>6.0</v>
      </c>
      <c r="AB22" s="4" t="s">
        <v>707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3.25"/>
  </cols>
  <sheetData>
    <row r="1">
      <c r="A1" s="4" t="str">
        <f>IFERROR(__xludf.DUMMYFUNCTION("IMPORTRANGE(""https://docs.google.com/spreadsheets/d/15k1NdSDPraw4VxeDarc9u5amYqhWqDW8MjQ0Lzs-lQc"",""LOTE_1_ENRIQUECIDO.csv!A1:I535"")"),"Marca")</f>
        <v>Marca</v>
      </c>
      <c r="B1" s="4" t="str">
        <f>IFERROR(__xludf.DUMMYFUNCTION("""COMPUTED_VALUE"""),"Qtd lojas físicas")</f>
        <v>Qtd lojas físicas</v>
      </c>
      <c r="C1" s="4" t="str">
        <f>IFERROR(__xludf.DUMMYFUNCTION("""COMPUTED_VALUE"""),"Ticket Médio")</f>
        <v>Ticket Médio</v>
      </c>
      <c r="D1" s="4" t="str">
        <f>IFERROR(__xludf.DUMMYFUNCTION("""COMPUTED_VALUE"""),"Perfil operacional")</f>
        <v>Perfil operacional</v>
      </c>
      <c r="E1" s="4" t="str">
        <f>IFERROR(__xludf.DUMMYFUNCTION("""COMPUTED_VALUE"""),"Localização Geográfica")</f>
        <v>Localização Geográfica</v>
      </c>
      <c r="F1" s="4" t="str">
        <f>IFERROR(__xludf.DUMMYFUNCTION("""COMPUTED_VALUE"""),"Faturamento da rede")</f>
        <v>Faturamento da rede</v>
      </c>
      <c r="G1" s="4" t="str">
        <f>IFERROR(__xludf.DUMMYFUNCTION("""COMPUTED_VALUE"""),"Lead Scoring")</f>
        <v>Lead Scoring</v>
      </c>
      <c r="H1" s="4" t="str">
        <f>IFERROR(__xludf.DUMMYFUNCTION("""COMPUTED_VALUE"""),"Percentual de Aderencia")</f>
        <v>Percentual de Aderencia</v>
      </c>
      <c r="I1" s="4" t="str">
        <f>IFERROR(__xludf.DUMMYFUNCTION("""COMPUTED_VALUE"""),"Comparativo (Integradora atual x 3S)")</f>
        <v>Comparativo (Integradora atual x 3S)</v>
      </c>
      <c r="K1" s="4" t="str">
        <f>IFERROR(__xludf.DUMMYFUNCTION("IMPORTRANGE(""https://docs.google.com/spreadsheets/d/1EG2K_yAuym-LFQOMNuoMbCbc8Jd7wMTuFYR5cxHK0Bw"",""Análise Software!A1:N10000"")"),"Chave Agrupamento")</f>
        <v>Chave Agrupamento</v>
      </c>
      <c r="L1" s="4" t="str">
        <f>IFERROR(__xludf.DUMMYFUNCTION("""COMPUTED_VALUE"""),"Qtd Merchant ID")</f>
        <v>Qtd Merchant ID</v>
      </c>
      <c r="M1" s="4" t="str">
        <f>IFERROR(__xludf.DUMMYFUNCTION("""COMPUTED_VALUE"""),"Nov - Software")</f>
        <v>Nov - Software</v>
      </c>
      <c r="N1" s="4" t="str">
        <f>IFERROR(__xludf.DUMMYFUNCTION("""COMPUTED_VALUE"""),"Nov - Share (%)")</f>
        <v>Nov - Share (%)</v>
      </c>
      <c r="O1" s="4" t="str">
        <f>IFERROR(__xludf.DUMMYFUNCTION("""COMPUTED_VALUE"""),"Dez - Software")</f>
        <v>Dez - Software</v>
      </c>
      <c r="P1" s="4" t="str">
        <f>IFERROR(__xludf.DUMMYFUNCTION("""COMPUTED_VALUE"""),"Dez - Share (%)")</f>
        <v>Dez - Share (%)</v>
      </c>
      <c r="Q1" s="4" t="str">
        <f>IFERROR(__xludf.DUMMYFUNCTION("""COMPUTED_VALUE"""),"Jan - Software")</f>
        <v>Jan - Software</v>
      </c>
      <c r="R1" s="4" t="str">
        <f>IFERROR(__xludf.DUMMYFUNCTION("""COMPUTED_VALUE"""),"Jan - Share (%)")</f>
        <v>Jan - Share (%)</v>
      </c>
      <c r="S1" s="4" t="str">
        <f>IFERROR(__xludf.DUMMYFUNCTION("""COMPUTED_VALUE"""),"Fev - Software")</f>
        <v>Fev - Software</v>
      </c>
      <c r="T1" s="4" t="str">
        <f>IFERROR(__xludf.DUMMYFUNCTION("""COMPUTED_VALUE"""),"Fev - Share (%)")</f>
        <v>Fev - Share (%)</v>
      </c>
      <c r="U1" s="4" t="str">
        <f>IFERROR(__xludf.DUMMYFUNCTION("""COMPUTED_VALUE"""),"Mar - Software")</f>
        <v>Mar - Software</v>
      </c>
      <c r="V1" s="4" t="str">
        <f>IFERROR(__xludf.DUMMYFUNCTION("""COMPUTED_VALUE"""),"Mar - Share (%)")</f>
        <v>Mar - Share (%)</v>
      </c>
      <c r="W1" s="4" t="str">
        <f>IFERROR(__xludf.DUMMYFUNCTION("""COMPUTED_VALUE"""),"Abr - Software")</f>
        <v>Abr - Software</v>
      </c>
      <c r="X1" s="4" t="str">
        <f>IFERROR(__xludf.DUMMYFUNCTION("""COMPUTED_VALUE"""),"Abr - Share (%)")</f>
        <v>Abr - Share (%)</v>
      </c>
    </row>
    <row r="2">
      <c r="A2" s="4" t="str">
        <f>IFERROR(__xludf.DUMMYFUNCTION("""COMPUTED_VALUE"""),"A PIZZA DA MOOCA")</f>
        <v>A PIZZA DA MOOCA</v>
      </c>
      <c r="B2" s="4">
        <f>IFERROR(__xludf.DUMMYFUNCTION("""COMPUTED_VALUE"""),3.0)</f>
        <v>3</v>
      </c>
      <c r="C2" s="30">
        <f>IFERROR(__xludf.DUMMYFUNCTION("""COMPUTED_VALUE"""),95.0)</f>
        <v>95</v>
      </c>
      <c r="D2" s="4" t="str">
        <f>IFERROR(__xludf.DUMMYFUNCTION("""COMPUTED_VALUE"""),"Fast Casual - Pizza Napoletana")</f>
        <v>Fast Casual - Pizza Napoletana</v>
      </c>
      <c r="E2" s="4" t="str">
        <f>IFERROR(__xludf.DUMMYFUNCTION("""COMPUTED_VALUE"""),"São Paulo/SP (3 unidades)")</f>
        <v>São Paulo/SP (3 unidades)</v>
      </c>
      <c r="F2" s="4"/>
      <c r="G2" s="4">
        <f>IFERROR(__xludf.DUMMYFUNCTION("""COMPUTED_VALUE"""),65.0)</f>
        <v>65</v>
      </c>
      <c r="H2" s="31">
        <f>IFERROR(__xludf.DUMMYFUNCTION("""COMPUTED_VALUE"""),0.75)</f>
        <v>0.75</v>
      </c>
      <c r="I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 s="4" t="str">
        <f>IFERROR(__xludf.DUMMYFUNCTION("""COMPUTED_VALUE"""),"MCDONALDS")</f>
        <v>MCDONALDS</v>
      </c>
      <c r="L2" s="32">
        <f>IFERROR(__xludf.DUMMYFUNCTION("""COMPUTED_VALUE"""),3920.0)</f>
        <v>3920</v>
      </c>
      <c r="M2" s="4" t="str">
        <f>IFERROR(__xludf.DUMMYFUNCTION("""COMPUTED_VALUE"""),"Fk Tech Solutions Factory")</f>
        <v>Fk Tech Solutions Factory</v>
      </c>
      <c r="N2" s="33">
        <f>IFERROR(__xludf.DUMMYFUNCTION("""COMPUTED_VALUE"""),0.7241203467618562)</f>
        <v>0.7241203468</v>
      </c>
      <c r="O2" s="4" t="str">
        <f>IFERROR(__xludf.DUMMYFUNCTION("""COMPUTED_VALUE"""),"Fk Tech Solutions Factory")</f>
        <v>Fk Tech Solutions Factory</v>
      </c>
      <c r="P2" s="33">
        <f>IFERROR(__xludf.DUMMYFUNCTION("""COMPUTED_VALUE"""),0.7241203467618562)</f>
        <v>0.7241203468</v>
      </c>
      <c r="Q2" s="4" t="str">
        <f>IFERROR(__xludf.DUMMYFUNCTION("""COMPUTED_VALUE"""),"Fk Tech Solutions Factory")</f>
        <v>Fk Tech Solutions Factory</v>
      </c>
      <c r="R2" s="33">
        <f>IFERROR(__xludf.DUMMYFUNCTION("""COMPUTED_VALUE"""),0.7363590005099439)</f>
        <v>0.7363590005</v>
      </c>
      <c r="S2" s="4" t="str">
        <f>IFERROR(__xludf.DUMMYFUNCTION("""COMPUTED_VALUE"""),"Fk Tech Solutions Factory")</f>
        <v>Fk Tech Solutions Factory</v>
      </c>
      <c r="T2" s="33">
        <f>IFERROR(__xludf.DUMMYFUNCTION("""COMPUTED_VALUE"""),0.7373788883222846)</f>
        <v>0.7373788883</v>
      </c>
      <c r="U2" s="4" t="str">
        <f>IFERROR(__xludf.DUMMYFUNCTION("""COMPUTED_VALUE"""),"Fk Tech Solutions Factory")</f>
        <v>Fk Tech Solutions Factory</v>
      </c>
      <c r="V2" s="33">
        <f>IFERROR(__xludf.DUMMYFUNCTION("""COMPUTED_VALUE"""),0.7386537480877103)</f>
        <v>0.7386537481</v>
      </c>
      <c r="W2" s="4" t="str">
        <f>IFERROR(__xludf.DUMMYFUNCTION("""COMPUTED_VALUE"""),"Fk Tech Solutions Factory")</f>
        <v>Fk Tech Solutions Factory</v>
      </c>
      <c r="X2" s="33">
        <f>IFERROR(__xludf.DUMMYFUNCTION("""COMPUTED_VALUE"""),0.7366139724630291)</f>
        <v>0.7366139725</v>
      </c>
    </row>
    <row r="3">
      <c r="A3" s="4" t="str">
        <f>IFERROR(__xludf.DUMMYFUNCTION("""COMPUTED_VALUE"""),"ACAI BEAT")</f>
        <v>ACAI BEAT</v>
      </c>
      <c r="B3" s="4">
        <f>IFERROR(__xludf.DUMMYFUNCTION("""COMPUTED_VALUE"""),20.0)</f>
        <v>20</v>
      </c>
      <c r="C3" s="30">
        <f>IFERROR(__xludf.DUMMYFUNCTION("""COMPUTED_VALUE"""),30.0)</f>
        <v>30</v>
      </c>
      <c r="D3" s="4" t="str">
        <f>IFERROR(__xludf.DUMMYFUNCTION("""COMPUTED_VALUE"""),"QSR - Açaí Bowl")</f>
        <v>QSR - Açaí Bowl</v>
      </c>
      <c r="E3" s="4" t="str">
        <f>IFERROR(__xludf.DUMMYFUNCTION("""COMPUTED_VALUE"""),"MT, SP (interior), MG, RJ")</f>
        <v>MT, SP (interior), MG, RJ</v>
      </c>
      <c r="F3" s="4"/>
      <c r="G3" s="4">
        <f>IFERROR(__xludf.DUMMYFUNCTION("""COMPUTED_VALUE"""),75.0)</f>
        <v>75</v>
      </c>
      <c r="H3" s="31">
        <f>IFERROR(__xludf.DUMMYFUNCTION("""COMPUTED_VALUE"""),0.9)</f>
        <v>0.9</v>
      </c>
      <c r="I3"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3" s="4" t="str">
        <f>IFERROR(__xludf.DUMMYFUNCTION("""COMPUTED_VALUE"""),"RAIA DROGASIL - CONTA GRUPO")</f>
        <v>RAIA DROGASIL - CONTA GRUPO</v>
      </c>
      <c r="L3" s="32">
        <f>IFERROR(__xludf.DUMMYFUNCTION("""COMPUTED_VALUE"""),3350.0)</f>
        <v>3350</v>
      </c>
      <c r="M3" s="4" t="str">
        <f>IFERROR(__xludf.DUMMYFUNCTION("""COMPUTED_VALUE"""),"N/A (Not found)")</f>
        <v>N/A (Not found)</v>
      </c>
      <c r="N3" s="33">
        <f>IFERROR(__xludf.DUMMYFUNCTION("""COMPUTED_VALUE"""),0.9337511190689346)</f>
        <v>0.9337511191</v>
      </c>
      <c r="O3" s="4" t="str">
        <f>IFERROR(__xludf.DUMMYFUNCTION("""COMPUTED_VALUE"""),"N/A (Not found)")</f>
        <v>N/A (Not found)</v>
      </c>
      <c r="P3" s="33">
        <f>IFERROR(__xludf.DUMMYFUNCTION("""COMPUTED_VALUE"""),0.9427036705461056)</f>
        <v>0.9427036705</v>
      </c>
      <c r="Q3" s="4" t="str">
        <f>IFERROR(__xludf.DUMMYFUNCTION("""COMPUTED_VALUE"""),"N/A (Not found)")</f>
        <v>N/A (Not found)</v>
      </c>
      <c r="R3" s="33">
        <f>IFERROR(__xludf.DUMMYFUNCTION("""COMPUTED_VALUE"""),0.957624589674724)</f>
        <v>0.9576245897</v>
      </c>
      <c r="S3" s="4" t="str">
        <f>IFERROR(__xludf.DUMMYFUNCTION("""COMPUTED_VALUE"""),"N/A (Not found)")</f>
        <v>N/A (Not found)</v>
      </c>
      <c r="T3" s="33">
        <f>IFERROR(__xludf.DUMMYFUNCTION("""COMPUTED_VALUE"""),0.966577141151895)</f>
        <v>0.9665771412</v>
      </c>
      <c r="U3" s="4" t="str">
        <f>IFERROR(__xludf.DUMMYFUNCTION("""COMPUTED_VALUE"""),"N/A (Not found)")</f>
        <v>N/A (Not found)</v>
      </c>
      <c r="V3" s="33">
        <f>IFERROR(__xludf.DUMMYFUNCTION("""COMPUTED_VALUE"""),0.9868695911668158)</f>
        <v>0.9868695912</v>
      </c>
      <c r="W3" s="4" t="str">
        <f>IFERROR(__xludf.DUMMYFUNCTION("""COMPUTED_VALUE"""),"N/A (Not found)")</f>
        <v>N/A (Not found)</v>
      </c>
      <c r="X3" s="33">
        <f>IFERROR(__xludf.DUMMYFUNCTION("""COMPUTED_VALUE"""),0.9949268874962698)</f>
        <v>0.9949268875</v>
      </c>
    </row>
    <row r="4">
      <c r="A4" s="4" t="str">
        <f>IFERROR(__xludf.DUMMYFUNCTION("""COMPUTED_VALUE"""),"ACAI DA CIDADE")</f>
        <v>ACAI DA CIDADE</v>
      </c>
      <c r="B4" s="4">
        <f>IFERROR(__xludf.DUMMYFUNCTION("""COMPUTED_VALUE"""),10.0)</f>
        <v>10</v>
      </c>
      <c r="C4" s="30">
        <f>IFERROR(__xludf.DUMMYFUNCTION("""COMPUTED_VALUE"""),25.0)</f>
        <v>25</v>
      </c>
      <c r="D4" s="4" t="str">
        <f>IFERROR(__xludf.DUMMYFUNCTION("""COMPUTED_VALUE"""),"QSR - Açaí")</f>
        <v>QSR - Açaí</v>
      </c>
      <c r="E4" s="4" t="str">
        <f>IFERROR(__xludf.DUMMYFUNCTION("""COMPUTED_VALUE"""),"Interior SP (Jundiaí, Campinas, Piracicaba)")</f>
        <v>Interior SP (Jundiaí, Campinas, Piracicaba)</v>
      </c>
      <c r="F4" s="4"/>
      <c r="G4" s="4">
        <f>IFERROR(__xludf.DUMMYFUNCTION("""COMPUTED_VALUE"""),70.0)</f>
        <v>70</v>
      </c>
      <c r="H4" s="31">
        <f>IFERROR(__xludf.DUMMYFUNCTION("""COMPUTED_VALUE"""),0.9)</f>
        <v>0.9</v>
      </c>
      <c r="I4"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4" s="4" t="str">
        <f>IFERROR(__xludf.DUMMYFUNCTION("""COMPUTED_VALUE"""),"GRUPO ZAMP")</f>
        <v>GRUPO ZAMP</v>
      </c>
      <c r="L4" s="32">
        <f>IFERROR(__xludf.DUMMYFUNCTION("""COMPUTED_VALUE"""),2928.0)</f>
        <v>2928</v>
      </c>
      <c r="M4" s="4" t="str">
        <f>IFERROR(__xludf.DUMMYFUNCTION("""COMPUTED_VALUE"""),"E-deploy Retail")</f>
        <v>E-deploy Retail</v>
      </c>
      <c r="N4" s="33">
        <f>IFERROR(__xludf.DUMMYFUNCTION("""COMPUTED_VALUE"""),0.4798497267759563)</f>
        <v>0.4798497268</v>
      </c>
      <c r="O4" s="4" t="str">
        <f>IFERROR(__xludf.DUMMYFUNCTION("""COMPUTED_VALUE"""),"E-deploy Retail")</f>
        <v>E-deploy Retail</v>
      </c>
      <c r="P4" s="33">
        <f>IFERROR(__xludf.DUMMYFUNCTION("""COMPUTED_VALUE"""),0.4890710382513661)</f>
        <v>0.4890710383</v>
      </c>
      <c r="Q4" s="4" t="str">
        <f>IFERROR(__xludf.DUMMYFUNCTION("""COMPUTED_VALUE"""),"Zamp S.a")</f>
        <v>Zamp S.a</v>
      </c>
      <c r="R4" s="33">
        <f>IFERROR(__xludf.DUMMYFUNCTION("""COMPUTED_VALUE"""),0.4334016393442623)</f>
        <v>0.4334016393</v>
      </c>
      <c r="S4" s="4" t="str">
        <f>IFERROR(__xludf.DUMMYFUNCTION("""COMPUTED_VALUE"""),"Zamp S.a")</f>
        <v>Zamp S.a</v>
      </c>
      <c r="T4" s="33">
        <f>IFERROR(__xludf.DUMMYFUNCTION("""COMPUTED_VALUE"""),0.43510928961748635)</f>
        <v>0.4351092896</v>
      </c>
      <c r="U4" s="4" t="str">
        <f>IFERROR(__xludf.DUMMYFUNCTION("""COMPUTED_VALUE"""),"Zamp S.a")</f>
        <v>Zamp S.a</v>
      </c>
      <c r="V4" s="33">
        <f>IFERROR(__xludf.DUMMYFUNCTION("""COMPUTED_VALUE"""),0.4344262295081967)</f>
        <v>0.4344262295</v>
      </c>
      <c r="W4" s="4" t="str">
        <f>IFERROR(__xludf.DUMMYFUNCTION("""COMPUTED_VALUE"""),"Zamp S.a")</f>
        <v>Zamp S.a</v>
      </c>
      <c r="X4" s="33">
        <f>IFERROR(__xludf.DUMMYFUNCTION("""COMPUTED_VALUE"""),0.44091530054644806)</f>
        <v>0.4409153005</v>
      </c>
    </row>
    <row r="5">
      <c r="A5" s="4" t="str">
        <f>IFERROR(__xludf.DUMMYFUNCTION("""COMPUTED_VALUE"""),"AÇAI DO FORTE - CONTA PAI")</f>
        <v>AÇAI DO FORTE - CONTA PAI</v>
      </c>
      <c r="B5" s="4">
        <f>IFERROR(__xludf.DUMMYFUNCTION("""COMPUTED_VALUE"""),8.0)</f>
        <v>8</v>
      </c>
      <c r="C5" s="30">
        <f>IFERROR(__xludf.DUMMYFUNCTION("""COMPUTED_VALUE"""),28.0)</f>
        <v>28</v>
      </c>
      <c r="D5" s="4" t="str">
        <f>IFERROR(__xludf.DUMMYFUNCTION("""COMPUTED_VALUE"""),"QSR - Açaí")</f>
        <v>QSR - Açaí</v>
      </c>
      <c r="E5" s="4" t="str">
        <f>IFERROR(__xludf.DUMMYFUNCTION("""COMPUTED_VALUE"""),"Regional Brasil")</f>
        <v>Regional Brasil</v>
      </c>
      <c r="F5" s="4"/>
      <c r="G5" s="4">
        <f>IFERROR(__xludf.DUMMYFUNCTION("""COMPUTED_VALUE"""),70.0)</f>
        <v>70</v>
      </c>
      <c r="H5" s="31">
        <f>IFERROR(__xludf.DUMMYFUNCTION("""COMPUTED_VALUE"""),0.85)</f>
        <v>0.85</v>
      </c>
      <c r="I5"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5" s="4" t="str">
        <f>IFERROR(__xludf.DUMMYFUNCTION("""COMPUTED_VALUE"""),"DPSP - CONTA GRUPO")</f>
        <v>DPSP - CONTA GRUPO</v>
      </c>
      <c r="L5" s="32">
        <f>IFERROR(__xludf.DUMMYFUNCTION("""COMPUTED_VALUE"""),1626.0)</f>
        <v>1626</v>
      </c>
      <c r="M5" s="4" t="str">
        <f>IFERROR(__xludf.DUMMYFUNCTION("""COMPUTED_VALUE"""),"N/A (Not found)")</f>
        <v>N/A (Not found)</v>
      </c>
      <c r="N5" s="33">
        <f>IFERROR(__xludf.DUMMYFUNCTION("""COMPUTED_VALUE"""),0.9942096120440069)</f>
        <v>0.994209612</v>
      </c>
      <c r="O5" s="4" t="str">
        <f>IFERROR(__xludf.DUMMYFUNCTION("""COMPUTED_VALUE"""),"N/A (Not found)")</f>
        <v>N/A (Not found)</v>
      </c>
      <c r="P5" s="33">
        <f>IFERROR(__xludf.DUMMYFUNCTION("""COMPUTED_VALUE"""),0.9965257672264042)</f>
        <v>0.9965257672</v>
      </c>
      <c r="Q5" s="4" t="str">
        <f>IFERROR(__xludf.DUMMYFUNCTION("""COMPUTED_VALUE"""),"N/A (Not found)")</f>
        <v>N/A (Not found)</v>
      </c>
      <c r="R5" s="33">
        <f>IFERROR(__xludf.DUMMYFUNCTION("""COMPUTED_VALUE"""),0.9959467284308049)</f>
        <v>0.9959467284</v>
      </c>
      <c r="S5" s="4" t="str">
        <f>IFERROR(__xludf.DUMMYFUNCTION("""COMPUTED_VALUE"""),"N/A (Not found)")</f>
        <v>N/A (Not found)</v>
      </c>
      <c r="T5" s="33">
        <f>IFERROR(__xludf.DUMMYFUNCTION("""COMPUTED_VALUE"""),0.9942096120440069)</f>
        <v>0.994209612</v>
      </c>
      <c r="U5" s="4" t="str">
        <f>IFERROR(__xludf.DUMMYFUNCTION("""COMPUTED_VALUE"""),"N/A (Not found)")</f>
        <v>N/A (Not found)</v>
      </c>
      <c r="V5" s="33">
        <f>IFERROR(__xludf.DUMMYFUNCTION("""COMPUTED_VALUE"""),0.9930515344528084)</f>
        <v>0.9930515345</v>
      </c>
      <c r="W5" s="4" t="str">
        <f>IFERROR(__xludf.DUMMYFUNCTION("""COMPUTED_VALUE"""),"N/A (Not found)")</f>
        <v>N/A (Not found)</v>
      </c>
      <c r="X5" s="33">
        <f>IFERROR(__xludf.DUMMYFUNCTION("""COMPUTED_VALUE"""),0.9889982628836133)</f>
        <v>0.9889982629</v>
      </c>
    </row>
    <row r="6">
      <c r="A6" s="4" t="str">
        <f>IFERROR(__xludf.DUMMYFUNCTION("""COMPUTED_VALUE"""),"ACAI LA FRESCO")</f>
        <v>ACAI LA FRESCO</v>
      </c>
      <c r="B6" s="4">
        <f>IFERROR(__xludf.DUMMYFUNCTION("""COMPUTED_VALUE"""),5.0)</f>
        <v>5</v>
      </c>
      <c r="C6" s="30">
        <f>IFERROR(__xludf.DUMMYFUNCTION("""COMPUTED_VALUE"""),35.0)</f>
        <v>35</v>
      </c>
      <c r="D6" s="4" t="str">
        <f>IFERROR(__xludf.DUMMYFUNCTION("""COMPUTED_VALUE"""),"Fast Casual - Açaí Premium")</f>
        <v>Fast Casual - Açaí Premium</v>
      </c>
      <c r="E6" s="4" t="str">
        <f>IFERROR(__xludf.DUMMYFUNCTION("""COMPUTED_VALUE"""),"Regional")</f>
        <v>Regional</v>
      </c>
      <c r="F6" s="4"/>
      <c r="G6" s="4">
        <f>IFERROR(__xludf.DUMMYFUNCTION("""COMPUTED_VALUE"""),70.0)</f>
        <v>70</v>
      </c>
      <c r="H6" s="31">
        <f>IFERROR(__xludf.DUMMYFUNCTION("""COMPUTED_VALUE"""),0.75)</f>
        <v>0.75</v>
      </c>
      <c r="I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6" s="4" t="str">
        <f>IFERROR(__xludf.DUMMYFUNCTION("""COMPUTED_VALUE"""),"PAGUE MENOS - CONTA GRUPO")</f>
        <v>PAGUE MENOS - CONTA GRUPO</v>
      </c>
      <c r="L6" s="32">
        <f>IFERROR(__xludf.DUMMYFUNCTION("""COMPUTED_VALUE"""),1538.0)</f>
        <v>1538</v>
      </c>
      <c r="M6" s="4" t="str">
        <f>IFERROR(__xludf.DUMMYFUNCTION("""COMPUTED_VALUE"""),"N/A (Not found)")</f>
        <v>N/A (Not found)</v>
      </c>
      <c r="N6" s="33">
        <f>IFERROR(__xludf.DUMMYFUNCTION("""COMPUTED_VALUE"""),0.9811565951916829)</f>
        <v>0.9811565952</v>
      </c>
      <c r="O6" s="4" t="str">
        <f>IFERROR(__xludf.DUMMYFUNCTION("""COMPUTED_VALUE"""),"N/A (Not found)")</f>
        <v>N/A (Not found)</v>
      </c>
      <c r="P6" s="33">
        <f>IFERROR(__xludf.DUMMYFUNCTION("""COMPUTED_VALUE"""),0.9837556855100714)</f>
        <v>0.9837556855</v>
      </c>
      <c r="Q6" s="4" t="str">
        <f>IFERROR(__xludf.DUMMYFUNCTION("""COMPUTED_VALUE"""),"N/A (Not found)")</f>
        <v>N/A (Not found)</v>
      </c>
      <c r="R6" s="33">
        <f>IFERROR(__xludf.DUMMYFUNCTION("""COMPUTED_VALUE"""),0.9876543209876543)</f>
        <v>0.987654321</v>
      </c>
      <c r="S6" s="4" t="str">
        <f>IFERROR(__xludf.DUMMYFUNCTION("""COMPUTED_VALUE"""),"N/A (Not found)")</f>
        <v>N/A (Not found)</v>
      </c>
      <c r="T6" s="33">
        <f>IFERROR(__xludf.DUMMYFUNCTION("""COMPUTED_VALUE"""),0.9889538661468485)</f>
        <v>0.9889538661</v>
      </c>
      <c r="U6" s="4" t="str">
        <f>IFERROR(__xludf.DUMMYFUNCTION("""COMPUTED_VALUE"""),"N/A (Not found)")</f>
        <v>N/A (Not found)</v>
      </c>
      <c r="V6" s="33">
        <f>IFERROR(__xludf.DUMMYFUNCTION("""COMPUTED_VALUE"""),0.9928525016244314)</f>
        <v>0.9928525016</v>
      </c>
      <c r="W6" s="4" t="str">
        <f>IFERROR(__xludf.DUMMYFUNCTION("""COMPUTED_VALUE"""),"N/A (Not found)")</f>
        <v>N/A (Not found)</v>
      </c>
      <c r="X6" s="33">
        <f>IFERROR(__xludf.DUMMYFUNCTION("""COMPUTED_VALUE"""),0.9915529564652371)</f>
        <v>0.9915529565</v>
      </c>
    </row>
    <row r="7">
      <c r="A7" s="4" t="str">
        <f>IFERROR(__xludf.DUMMYFUNCTION("""COMPUTED_VALUE"""),"ADEGA DO BOI TERESINA")</f>
        <v>ADEGA DO BOI TERESINA</v>
      </c>
      <c r="B7" s="4">
        <f>IFERROR(__xludf.DUMMYFUNCTION("""COMPUTED_VALUE"""),1.0)</f>
        <v>1</v>
      </c>
      <c r="C7" s="30">
        <f>IFERROR(__xludf.DUMMYFUNCTION("""COMPUTED_VALUE"""),120.0)</f>
        <v>120</v>
      </c>
      <c r="D7" s="4" t="str">
        <f>IFERROR(__xludf.DUMMYFUNCTION("""COMPUTED_VALUE"""),"Table Service - Churrascaria")</f>
        <v>Table Service - Churrascaria</v>
      </c>
      <c r="E7" s="4" t="str">
        <f>IFERROR(__xludf.DUMMYFUNCTION("""COMPUTED_VALUE"""),"Teresina/PI")</f>
        <v>Teresina/PI</v>
      </c>
      <c r="F7" s="4"/>
      <c r="G7" s="4">
        <f>IFERROR(__xludf.DUMMYFUNCTION("""COMPUTED_VALUE"""),55.0)</f>
        <v>55</v>
      </c>
      <c r="H7" s="31">
        <f>IFERROR(__xludf.DUMMYFUNCTION("""COMPUTED_VALUE"""),0.65)</f>
        <v>0.65</v>
      </c>
      <c r="I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7" s="4" t="str">
        <f>IFERROR(__xludf.DUMMYFUNCTION("""COMPUTED_VALUE"""),"GRUPO CACAU SHOW")</f>
        <v>GRUPO CACAU SHOW</v>
      </c>
      <c r="L7" s="32">
        <f>IFERROR(__xludf.DUMMYFUNCTION("""COMPUTED_VALUE"""),1504.0)</f>
        <v>1504</v>
      </c>
      <c r="M7" s="4" t="str">
        <f>IFERROR(__xludf.DUMMYFUNCTION("""COMPUTED_VALUE"""),"null")</f>
        <v>null</v>
      </c>
      <c r="N7" s="33">
        <f>IFERROR(__xludf.DUMMYFUNCTION("""COMPUTED_VALUE"""),0.605718085106383)</f>
        <v>0.6057180851</v>
      </c>
      <c r="O7" s="4" t="str">
        <f>IFERROR(__xludf.DUMMYFUNCTION("""COMPUTED_VALUE"""),"Rcky Informática Ltda")</f>
        <v>Rcky Informática Ltda</v>
      </c>
      <c r="P7" s="33">
        <f>IFERROR(__xludf.DUMMYFUNCTION("""COMPUTED_VALUE"""),0.5478723404255319)</f>
        <v>0.5478723404</v>
      </c>
      <c r="Q7" s="4" t="str">
        <f>IFERROR(__xludf.DUMMYFUNCTION("""COMPUTED_VALUE"""),"null")</f>
        <v>null</v>
      </c>
      <c r="R7" s="33">
        <f>IFERROR(__xludf.DUMMYFUNCTION("""COMPUTED_VALUE"""),0.6456117021276596)</f>
        <v>0.6456117021</v>
      </c>
      <c r="S7" s="4" t="str">
        <f>IFERROR(__xludf.DUMMYFUNCTION("""COMPUTED_VALUE"""),"null")</f>
        <v>null</v>
      </c>
      <c r="T7" s="33">
        <f>IFERROR(__xludf.DUMMYFUNCTION("""COMPUTED_VALUE"""),0.644281914893617)</f>
        <v>0.6442819149</v>
      </c>
      <c r="U7" s="4" t="str">
        <f>IFERROR(__xludf.DUMMYFUNCTION("""COMPUTED_VALUE"""),"null")</f>
        <v>null</v>
      </c>
      <c r="V7" s="33">
        <f>IFERROR(__xludf.DUMMYFUNCTION("""COMPUTED_VALUE"""),0.5066489361702128)</f>
        <v>0.5066489362</v>
      </c>
      <c r="W7" s="4" t="str">
        <f>IFERROR(__xludf.DUMMYFUNCTION("""COMPUTED_VALUE"""),"Rcky Informática Ltda")</f>
        <v>Rcky Informática Ltda</v>
      </c>
      <c r="X7" s="33">
        <f>IFERROR(__xludf.DUMMYFUNCTION("""COMPUTED_VALUE"""),0.535904255319149)</f>
        <v>0.5359042553</v>
      </c>
    </row>
    <row r="8">
      <c r="A8" s="4" t="str">
        <f>IFERROR(__xludf.DUMMYFUNCTION("""COMPUTED_VALUE"""),"AKIRO SUSHI")</f>
        <v>AKIRO SUSHI</v>
      </c>
      <c r="B8" s="4">
        <f>IFERROR(__xludf.DUMMYFUNCTION("""COMPUTED_VALUE"""),3.0)</f>
        <v>3</v>
      </c>
      <c r="C8" s="30">
        <f>IFERROR(__xludf.DUMMYFUNCTION("""COMPUTED_VALUE"""),95.0)</f>
        <v>95</v>
      </c>
      <c r="D8" s="4" t="str">
        <f>IFERROR(__xludf.DUMMYFUNCTION("""COMPUTED_VALUE"""),"Table Service/Delivery - Rodízio Japonês")</f>
        <v>Table Service/Delivery - Rodízio Japonês</v>
      </c>
      <c r="E8" s="4" t="str">
        <f>IFERROR(__xludf.DUMMYFUNCTION("""COMPUTED_VALUE"""),"Grande Rio/RJ")</f>
        <v>Grande Rio/RJ</v>
      </c>
      <c r="F8" s="4"/>
      <c r="G8" s="4">
        <f>IFERROR(__xludf.DUMMYFUNCTION("""COMPUTED_VALUE"""),60.0)</f>
        <v>60</v>
      </c>
      <c r="H8" s="31">
        <f>IFERROR(__xludf.DUMMYFUNCTION("""COMPUTED_VALUE"""),0.65)</f>
        <v>0.65</v>
      </c>
      <c r="I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8" s="4" t="str">
        <f>IFERROR(__xludf.DUMMYFUNCTION("""COMPUTED_VALUE"""),"GRUPO TRIGO")</f>
        <v>GRUPO TRIGO</v>
      </c>
      <c r="L8" s="32">
        <f>IFERROR(__xludf.DUMMYFUNCTION("""COMPUTED_VALUE"""),1269.0)</f>
        <v>1269</v>
      </c>
      <c r="M8" s="4" t="str">
        <f>IFERROR(__xludf.DUMMYFUNCTION("""COMPUTED_VALUE"""),"Gcom - Gestao Em Tecnologia De Informacao Eireli")</f>
        <v>Gcom - Gestao Em Tecnologia De Informacao Eireli</v>
      </c>
      <c r="N8" s="33">
        <f>IFERROR(__xludf.DUMMYFUNCTION("""COMPUTED_VALUE"""),0.8354330708661417)</f>
        <v>0.8354330709</v>
      </c>
      <c r="O8" s="4" t="str">
        <f>IFERROR(__xludf.DUMMYFUNCTION("""COMPUTED_VALUE"""),"Gcom - Gestao Em Tecnologia De Informacao Eireli")</f>
        <v>Gcom - Gestao Em Tecnologia De Informacao Eireli</v>
      </c>
      <c r="P8" s="33">
        <f>IFERROR(__xludf.DUMMYFUNCTION("""COMPUTED_VALUE"""),0.637007874015748)</f>
        <v>0.637007874</v>
      </c>
      <c r="Q8" s="4" t="str">
        <f>IFERROR(__xludf.DUMMYFUNCTION("""COMPUTED_VALUE"""),"Gcom - Gestao Em Tecnologia De Informacao Eireli")</f>
        <v>Gcom - Gestao Em Tecnologia De Informacao Eireli</v>
      </c>
      <c r="R8" s="33">
        <f>IFERROR(__xludf.DUMMYFUNCTION("""COMPUTED_VALUE"""),0.6527559055118111)</f>
        <v>0.6527559055</v>
      </c>
      <c r="S8" s="4" t="str">
        <f>IFERROR(__xludf.DUMMYFUNCTION("""COMPUTED_VALUE"""),"Gcom - Gestao Em Tecnologia De Informacao Eireli")</f>
        <v>Gcom - Gestao Em Tecnologia De Informacao Eireli</v>
      </c>
      <c r="T8" s="33">
        <f>IFERROR(__xludf.DUMMYFUNCTION("""COMPUTED_VALUE"""),0.6267716535433071)</f>
        <v>0.6267716535</v>
      </c>
      <c r="U8" s="4" t="str">
        <f>IFERROR(__xludf.DUMMYFUNCTION("""COMPUTED_VALUE"""),"Gcom - Gestao Em Tecnologia De Informacao Eireli")</f>
        <v>Gcom - Gestao Em Tecnologia De Informacao Eireli</v>
      </c>
      <c r="V8" s="33">
        <f>IFERROR(__xludf.DUMMYFUNCTION("""COMPUTED_VALUE"""),0.6204724409448819)</f>
        <v>0.6204724409</v>
      </c>
      <c r="W8" s="4" t="str">
        <f>IFERROR(__xludf.DUMMYFUNCTION("""COMPUTED_VALUE"""),"Gcom - Gestao Em Tecnologia De Informacao Eireli")</f>
        <v>Gcom - Gestao Em Tecnologia De Informacao Eireli</v>
      </c>
      <c r="X8" s="33">
        <f>IFERROR(__xludf.DUMMYFUNCTION("""COMPUTED_VALUE"""),0.637007874015748)</f>
        <v>0.637007874</v>
      </c>
    </row>
    <row r="9">
      <c r="A9" s="4" t="str">
        <f>IFERROR(__xludf.DUMMYFUNCTION("""COMPUTED_VALUE"""),"AMBROZINI")</f>
        <v>AMBROZINI</v>
      </c>
      <c r="B9" s="4">
        <f>IFERROR(__xludf.DUMMYFUNCTION("""COMPUTED_VALUE"""),3.0)</f>
        <v>3</v>
      </c>
      <c r="C9" s="30">
        <f>IFERROR(__xludf.DUMMYFUNCTION("""COMPUTED_VALUE"""),65.0)</f>
        <v>65</v>
      </c>
      <c r="D9" s="4" t="str">
        <f>IFERROR(__xludf.DUMMYFUNCTION("""COMPUTED_VALUE"""),"Table Service - Self-Service Gourmet")</f>
        <v>Table Service - Self-Service Gourmet</v>
      </c>
      <c r="E9" s="4" t="str">
        <f>IFERROR(__xludf.DUMMYFUNCTION("""COMPUTED_VALUE"""),"Belo Horizonte/MG")</f>
        <v>Belo Horizonte/MG</v>
      </c>
      <c r="F9" s="4"/>
      <c r="G9" s="4">
        <f>IFERROR(__xludf.DUMMYFUNCTION("""COMPUTED_VALUE"""),55.0)</f>
        <v>55</v>
      </c>
      <c r="H9" s="31">
        <f>IFERROR(__xludf.DUMMYFUNCTION("""COMPUTED_VALUE"""),0.65)</f>
        <v>0.65</v>
      </c>
      <c r="I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9" s="4" t="str">
        <f>IFERROR(__xludf.DUMMYFUNCTION("""COMPUTED_VALUE"""),"GRUPO MADERO")</f>
        <v>GRUPO MADERO</v>
      </c>
      <c r="L9" s="32">
        <f>IFERROR(__xludf.DUMMYFUNCTION("""COMPUTED_VALUE"""),1193.0)</f>
        <v>1193</v>
      </c>
      <c r="M9" s="4" t="str">
        <f>IFERROR(__xludf.DUMMYFUNCTION("""COMPUTED_VALUE"""),"Teknisa Service Ltda")</f>
        <v>Teknisa Service Ltda</v>
      </c>
      <c r="N9" s="33">
        <f>IFERROR(__xludf.DUMMYFUNCTION("""COMPUTED_VALUE"""),0.6398659966499163)</f>
        <v>0.6398659966</v>
      </c>
      <c r="O9" s="4" t="str">
        <f>IFERROR(__xludf.DUMMYFUNCTION("""COMPUTED_VALUE"""),"Teknisa Service Ltda")</f>
        <v>Teknisa Service Ltda</v>
      </c>
      <c r="P9" s="33">
        <f>IFERROR(__xludf.DUMMYFUNCTION("""COMPUTED_VALUE"""),0.6608040201005025)</f>
        <v>0.6608040201</v>
      </c>
      <c r="Q9" s="4" t="str">
        <f>IFERROR(__xludf.DUMMYFUNCTION("""COMPUTED_VALUE"""),"Teknisa Service Ltda")</f>
        <v>Teknisa Service Ltda</v>
      </c>
      <c r="R9" s="33">
        <f>IFERROR(__xludf.DUMMYFUNCTION("""COMPUTED_VALUE"""),0.7018425460636516)</f>
        <v>0.7018425461</v>
      </c>
      <c r="S9" s="4" t="str">
        <f>IFERROR(__xludf.DUMMYFUNCTION("""COMPUTED_VALUE"""),"Teknisa Service Ltda")</f>
        <v>Teknisa Service Ltda</v>
      </c>
      <c r="T9" s="33">
        <f>IFERROR(__xludf.DUMMYFUNCTION("""COMPUTED_VALUE"""),0.7772194304857621)</f>
        <v>0.7772194305</v>
      </c>
      <c r="U9" s="4" t="str">
        <f>IFERROR(__xludf.DUMMYFUNCTION("""COMPUTED_VALUE"""),"Teknisa Service Ltda")</f>
        <v>Teknisa Service Ltda</v>
      </c>
      <c r="V9" s="33">
        <f>IFERROR(__xludf.DUMMYFUNCTION("""COMPUTED_VALUE"""),0.8927973199329984)</f>
        <v>0.8927973199</v>
      </c>
      <c r="W9" s="4" t="str">
        <f>IFERROR(__xludf.DUMMYFUNCTION("""COMPUTED_VALUE"""),"Teknisa Service Ltda")</f>
        <v>Teknisa Service Ltda</v>
      </c>
      <c r="X9" s="33">
        <f>IFERROR(__xludf.DUMMYFUNCTION("""COMPUTED_VALUE"""),0.9530988274706867)</f>
        <v>0.9530988275</v>
      </c>
    </row>
    <row r="10">
      <c r="A10" s="4" t="str">
        <f>IFERROR(__xludf.DUMMYFUNCTION("""COMPUTED_VALUE"""),"AMERICAN ORIGINAL - CONTA MARCA")</f>
        <v>AMERICAN ORIGINAL - CONTA MARCA</v>
      </c>
      <c r="B10" s="4">
        <f>IFERROR(__xludf.DUMMYFUNCTION("""COMPUTED_VALUE"""),12.0)</f>
        <v>12</v>
      </c>
      <c r="C10" s="30">
        <f>IFERROR(__xludf.DUMMYFUNCTION("""COMPUTED_VALUE"""),55.0)</f>
        <v>55</v>
      </c>
      <c r="D10" s="4" t="str">
        <f>IFERROR(__xludf.DUMMYFUNCTION("""COMPUTED_VALUE"""),"Fast Casual - Hamburgueria")</f>
        <v>Fast Casual - Hamburgueria</v>
      </c>
      <c r="E10" s="4" t="str">
        <f>IFERROR(__xludf.DUMMYFUNCTION("""COMPUTED_VALUE"""),"Regional")</f>
        <v>Regional</v>
      </c>
      <c r="F10" s="4"/>
      <c r="G10" s="4">
        <f>IFERROR(__xludf.DUMMYFUNCTION("""COMPUTED_VALUE"""),70.0)</f>
        <v>70</v>
      </c>
      <c r="H10" s="31">
        <f>IFERROR(__xludf.DUMMYFUNCTION("""COMPUTED_VALUE"""),0.8)</f>
        <v>0.8</v>
      </c>
      <c r="I10"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10" s="4" t="str">
        <f>IFERROR(__xludf.DUMMYFUNCTION("""COMPUTED_VALUE"""),"AMERICANAS - CONTA PAI")</f>
        <v>AMERICANAS - CONTA PAI</v>
      </c>
      <c r="L10" s="32">
        <f>IFERROR(__xludf.DUMMYFUNCTION("""COMPUTED_VALUE"""),1125.0)</f>
        <v>1125</v>
      </c>
      <c r="M10" s="4" t="str">
        <f>IFERROR(__xludf.DUMMYFUNCTION("""COMPUTED_VALUE"""),"null")</f>
        <v>null</v>
      </c>
      <c r="N10" s="33">
        <f>IFERROR(__xludf.DUMMYFUNCTION("""COMPUTED_VALUE"""),0.9244444444444444)</f>
        <v>0.9244444444</v>
      </c>
      <c r="O10" s="4" t="str">
        <f>IFERROR(__xludf.DUMMYFUNCTION("""COMPUTED_VALUE"""),"N/A (Not found)")</f>
        <v>N/A (Not found)</v>
      </c>
      <c r="P10" s="33">
        <f>IFERROR(__xludf.DUMMYFUNCTION("""COMPUTED_VALUE"""),0.9351111111111111)</f>
        <v>0.9351111111</v>
      </c>
      <c r="Q10" s="4" t="str">
        <f>IFERROR(__xludf.DUMMYFUNCTION("""COMPUTED_VALUE"""),"N/A (Not found)")</f>
        <v>N/A (Not found)</v>
      </c>
      <c r="R10" s="33">
        <f>IFERROR(__xludf.DUMMYFUNCTION("""COMPUTED_VALUE"""),0.9431111111111111)</f>
        <v>0.9431111111</v>
      </c>
      <c r="S10" s="4" t="str">
        <f>IFERROR(__xludf.DUMMYFUNCTION("""COMPUTED_VALUE"""),"N/A (Not found)")</f>
        <v>N/A (Not found)</v>
      </c>
      <c r="T10" s="33">
        <f>IFERROR(__xludf.DUMMYFUNCTION("""COMPUTED_VALUE"""),0.9573333333333334)</f>
        <v>0.9573333333</v>
      </c>
      <c r="U10" s="4" t="str">
        <f>IFERROR(__xludf.DUMMYFUNCTION("""COMPUTED_VALUE"""),"N/A (Not found)")</f>
        <v>N/A (Not found)</v>
      </c>
      <c r="V10" s="33">
        <f>IFERROR(__xludf.DUMMYFUNCTION("""COMPUTED_VALUE"""),0.9608888888888889)</f>
        <v>0.9608888889</v>
      </c>
      <c r="W10" s="4" t="str">
        <f>IFERROR(__xludf.DUMMYFUNCTION("""COMPUTED_VALUE"""),"N/A (Not found)")</f>
        <v>N/A (Not found)</v>
      </c>
      <c r="X10" s="33">
        <f>IFERROR(__xludf.DUMMYFUNCTION("""COMPUTED_VALUE"""),0.9626666666666667)</f>
        <v>0.9626666667</v>
      </c>
    </row>
    <row r="11">
      <c r="A11" s="4" t="str">
        <f>IFERROR(__xludf.DUMMYFUNCTION("""COMPUTED_VALUE"""),"ANGUS - CARNES E HAMBURGUERIA")</f>
        <v>ANGUS - CARNES E HAMBURGUERIA</v>
      </c>
      <c r="B11" s="4">
        <f>IFERROR(__xludf.DUMMYFUNCTION("""COMPUTED_VALUE"""),6.0)</f>
        <v>6</v>
      </c>
      <c r="C11" s="30">
        <f>IFERROR(__xludf.DUMMYFUNCTION("""COMPUTED_VALUE"""),70.0)</f>
        <v>70</v>
      </c>
      <c r="D11" s="4" t="str">
        <f>IFERROR(__xludf.DUMMYFUNCTION("""COMPUTED_VALUE"""),"Fast Casual - Burgers Premium")</f>
        <v>Fast Casual - Burgers Premium</v>
      </c>
      <c r="E11" s="4" t="str">
        <f>IFERROR(__xludf.DUMMYFUNCTION("""COMPUTED_VALUE"""),"Regional")</f>
        <v>Regional</v>
      </c>
      <c r="F11" s="4"/>
      <c r="G11" s="4">
        <f>IFERROR(__xludf.DUMMYFUNCTION("""COMPUTED_VALUE"""),70.0)</f>
        <v>70</v>
      </c>
      <c r="H11" s="31">
        <f>IFERROR(__xludf.DUMMYFUNCTION("""COMPUTED_VALUE"""),0.75)</f>
        <v>0.75</v>
      </c>
      <c r="I1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1" s="4" t="str">
        <f>IFERROR(__xludf.DUMMYFUNCTION("""COMPUTED_VALUE"""),"GRUPO CRM")</f>
        <v>GRUPO CRM</v>
      </c>
      <c r="L11" s="32">
        <f>IFERROR(__xludf.DUMMYFUNCTION("""COMPUTED_VALUE"""),1071.0)</f>
        <v>1071</v>
      </c>
      <c r="M11" s="4" t="str">
        <f>IFERROR(__xludf.DUMMYFUNCTION("""COMPUTED_VALUE"""),"Ciss S.a Gestao Para O Varejo")</f>
        <v>Ciss S.a Gestao Para O Varejo</v>
      </c>
      <c r="N11" s="33">
        <f>IFERROR(__xludf.DUMMYFUNCTION("""COMPUTED_VALUE"""),0.9197012138188608)</f>
        <v>0.9197012138</v>
      </c>
      <c r="O11" s="4" t="str">
        <f>IFERROR(__xludf.DUMMYFUNCTION("""COMPUTED_VALUE"""),"Ciss S.a Gestao Para O Varejo")</f>
        <v>Ciss S.a Gestao Para O Varejo</v>
      </c>
      <c r="P11" s="33">
        <f>IFERROR(__xludf.DUMMYFUNCTION("""COMPUTED_VALUE"""),0.9197012138188608)</f>
        <v>0.9197012138</v>
      </c>
      <c r="Q11" s="4" t="str">
        <f>IFERROR(__xludf.DUMMYFUNCTION("""COMPUTED_VALUE"""),"Ciss S.a Gestao Para O Varejo")</f>
        <v>Ciss S.a Gestao Para O Varejo</v>
      </c>
      <c r="R11" s="33">
        <f>IFERROR(__xludf.DUMMYFUNCTION("""COMPUTED_VALUE"""),0.8907563025210085)</f>
        <v>0.8907563025</v>
      </c>
      <c r="S11" s="4" t="str">
        <f>IFERROR(__xludf.DUMMYFUNCTION("""COMPUTED_VALUE"""),"Ciss S.a Gestao Para O Varejo")</f>
        <v>Ciss S.a Gestao Para O Varejo</v>
      </c>
      <c r="T11" s="33">
        <f>IFERROR(__xludf.DUMMYFUNCTION("""COMPUTED_VALUE"""),0.869281045751634)</f>
        <v>0.8692810458</v>
      </c>
      <c r="U11" s="4" t="str">
        <f>IFERROR(__xludf.DUMMYFUNCTION("""COMPUTED_VALUE"""),"Ciss S.a Gestao Para O Varejo")</f>
        <v>Ciss S.a Gestao Para O Varejo</v>
      </c>
      <c r="V11" s="33">
        <f>IFERROR(__xludf.DUMMYFUNCTION("""COMPUTED_VALUE"""),0.8776844070961718)</f>
        <v>0.8776844071</v>
      </c>
      <c r="W11" s="4" t="str">
        <f>IFERROR(__xludf.DUMMYFUNCTION("""COMPUTED_VALUE"""),"Ciss S.a Gestao Para O Varejo")</f>
        <v>Ciss S.a Gestao Para O Varejo</v>
      </c>
      <c r="X11" s="33">
        <f>IFERROR(__xludf.DUMMYFUNCTION("""COMPUTED_VALUE"""),0.8795518207282913)</f>
        <v>0.8795518207</v>
      </c>
    </row>
    <row r="12">
      <c r="A12" s="4" t="str">
        <f>IFERROR(__xludf.DUMMYFUNCTION("""COMPUTED_VALUE"""),"ARNALDO'S LANCHES - NÍVEL MARCA")</f>
        <v>ARNALDO'S LANCHES - NÍVEL MARCA</v>
      </c>
      <c r="B12" s="4">
        <f>IFERROR(__xludf.DUMMYFUNCTION("""COMPUTED_VALUE"""),4.0)</f>
        <v>4</v>
      </c>
      <c r="C12" s="30">
        <f>IFERROR(__xludf.DUMMYFUNCTION("""COMPUTED_VALUE"""),35.0)</f>
        <v>35</v>
      </c>
      <c r="D12" s="4" t="str">
        <f>IFERROR(__xludf.DUMMYFUNCTION("""COMPUTED_VALUE"""),"QSR - Lanches")</f>
        <v>QSR - Lanches</v>
      </c>
      <c r="E12" s="4" t="str">
        <f>IFERROR(__xludf.DUMMYFUNCTION("""COMPUTED_VALUE"""),"Regional")</f>
        <v>Regional</v>
      </c>
      <c r="F12" s="4"/>
      <c r="G12" s="4">
        <f>IFERROR(__xludf.DUMMYFUNCTION("""COMPUTED_VALUE"""),65.0)</f>
        <v>65</v>
      </c>
      <c r="H12" s="31">
        <f>IFERROR(__xludf.DUMMYFUNCTION("""COMPUTED_VALUE"""),0.85)</f>
        <v>0.85</v>
      </c>
      <c r="I12"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12" s="4" t="str">
        <f>IFERROR(__xludf.DUMMYFUNCTION("""COMPUTED_VALUE"""),"TRENDFOODS")</f>
        <v>TRENDFOODS</v>
      </c>
      <c r="L12" s="32">
        <f>IFERROR(__xludf.DUMMYFUNCTION("""COMPUTED_VALUE"""),1053.0)</f>
        <v>1053</v>
      </c>
      <c r="M12" s="4" t="str">
        <f>IFERROR(__xludf.DUMMYFUNCTION("""COMPUTED_VALUE"""),"Gcom - Gestao Em Tecnologia De Informacao Eireli")</f>
        <v>Gcom - Gestao Em Tecnologia De Informacao Eireli</v>
      </c>
      <c r="N12" s="33">
        <f>IFERROR(__xludf.DUMMYFUNCTION("""COMPUTED_VALUE"""),0.8396584440227703)</f>
        <v>0.839658444</v>
      </c>
      <c r="O12" s="4" t="str">
        <f>IFERROR(__xludf.DUMMYFUNCTION("""COMPUTED_VALUE"""),"Gcom - Gestao Em Tecnologia De Informacao Eireli")</f>
        <v>Gcom - Gestao Em Tecnologia De Informacao Eireli</v>
      </c>
      <c r="P12" s="33">
        <f>IFERROR(__xludf.DUMMYFUNCTION("""COMPUTED_VALUE"""),0.6774193548387096)</f>
        <v>0.6774193548</v>
      </c>
      <c r="Q12" s="4" t="str">
        <f>IFERROR(__xludf.DUMMYFUNCTION("""COMPUTED_VALUE"""),"Gcom - Gestao Em Tecnologia De Informacao Eireli")</f>
        <v>Gcom - Gestao Em Tecnologia De Informacao Eireli</v>
      </c>
      <c r="R12" s="33">
        <f>IFERROR(__xludf.DUMMYFUNCTION("""COMPUTED_VALUE"""),0.6859582542694497)</f>
        <v>0.6859582543</v>
      </c>
      <c r="S12" s="4" t="str">
        <f>IFERROR(__xludf.DUMMYFUNCTION("""COMPUTED_VALUE"""),"Gcom - Gestao Em Tecnologia De Informacao Eireli")</f>
        <v>Gcom - Gestao Em Tecnologia De Informacao Eireli</v>
      </c>
      <c r="T12" s="33">
        <f>IFERROR(__xludf.DUMMYFUNCTION("""COMPUTED_VALUE"""),0.6888045540796964)</f>
        <v>0.6888045541</v>
      </c>
      <c r="U12" s="4" t="str">
        <f>IFERROR(__xludf.DUMMYFUNCTION("""COMPUTED_VALUE"""),"Gcom - Gestao Em Tecnologia De Informacao Eireli")</f>
        <v>Gcom - Gestao Em Tecnologia De Informacao Eireli</v>
      </c>
      <c r="V12" s="33">
        <f>IFERROR(__xludf.DUMMYFUNCTION("""COMPUTED_VALUE"""),0.6755218216318786)</f>
        <v>0.6755218216</v>
      </c>
      <c r="W12" s="4" t="str">
        <f>IFERROR(__xludf.DUMMYFUNCTION("""COMPUTED_VALUE"""),"Gcom - Gestao Em Tecnologia De Informacao Eireli")</f>
        <v>Gcom - Gestao Em Tecnologia De Informacao Eireli</v>
      </c>
      <c r="X12" s="33">
        <f>IFERROR(__xludf.DUMMYFUNCTION("""COMPUTED_VALUE"""),0.6641366223908919)</f>
        <v>0.6641366224</v>
      </c>
    </row>
    <row r="13">
      <c r="A13" s="4" t="str">
        <f>IFERROR(__xludf.DUMMYFUNCTION("""COMPUTED_VALUE"""),"ARO TEMAKERIA DELIVERY")</f>
        <v>ARO TEMAKERIA DELIVERY</v>
      </c>
      <c r="B13" s="4">
        <f>IFERROR(__xludf.DUMMYFUNCTION("""COMPUTED_VALUE"""),2.0)</f>
        <v>2</v>
      </c>
      <c r="C13" s="30">
        <f>IFERROR(__xludf.DUMMYFUNCTION("""COMPUTED_VALUE"""),60.0)</f>
        <v>60</v>
      </c>
      <c r="D13" s="4" t="str">
        <f>IFERROR(__xludf.DUMMYFUNCTION("""COMPUTED_VALUE"""),"Delivery First - Temakeria")</f>
        <v>Delivery First - Temakeria</v>
      </c>
      <c r="E13" s="4" t="str">
        <f>IFERROR(__xludf.DUMMYFUNCTION("""COMPUTED_VALUE"""),"Regional")</f>
        <v>Regional</v>
      </c>
      <c r="F13" s="4"/>
      <c r="G13" s="4">
        <f>IFERROR(__xludf.DUMMYFUNCTION("""COMPUTED_VALUE"""),45.0)</f>
        <v>45</v>
      </c>
      <c r="H13" s="31">
        <f>IFERROR(__xludf.DUMMYFUNCTION("""COMPUTED_VALUE"""),0.5)</f>
        <v>0.5</v>
      </c>
      <c r="I13"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13" s="4" t="str">
        <f>IFERROR(__xludf.DUMMYFUNCTION("""COMPUTED_VALUE"""),"VIVENDA DO CAMARAO")</f>
        <v>VIVENDA DO CAMARAO</v>
      </c>
      <c r="L13" s="32">
        <f>IFERROR(__xludf.DUMMYFUNCTION("""COMPUTED_VALUE"""),1027.0)</f>
        <v>1027</v>
      </c>
      <c r="M13" s="4" t="str">
        <f>IFERROR(__xludf.DUMMYFUNCTION("""COMPUTED_VALUE"""),"Gcom - Gestao Em Tecnologia De Informacao Eireli")</f>
        <v>Gcom - Gestao Em Tecnologia De Informacao Eireli</v>
      </c>
      <c r="N13" s="33">
        <f>IFERROR(__xludf.DUMMYFUNCTION("""COMPUTED_VALUE"""),0.8938656280428432)</f>
        <v>0.893865628</v>
      </c>
      <c r="O13" s="4" t="str">
        <f>IFERROR(__xludf.DUMMYFUNCTION("""COMPUTED_VALUE"""),"Gcom - Gestao Em Tecnologia De Informacao Eireli")</f>
        <v>Gcom - Gestao Em Tecnologia De Informacao Eireli</v>
      </c>
      <c r="P13" s="33">
        <f>IFERROR(__xludf.DUMMYFUNCTION("""COMPUTED_VALUE"""),0.5939629990262901)</f>
        <v>0.593962999</v>
      </c>
      <c r="Q13" s="4" t="str">
        <f>IFERROR(__xludf.DUMMYFUNCTION("""COMPUTED_VALUE"""),"Gcom - Gestao Em Tecnologia De Informacao Eireli")</f>
        <v>Gcom - Gestao Em Tecnologia De Informacao Eireli</v>
      </c>
      <c r="R13" s="33">
        <f>IFERROR(__xludf.DUMMYFUNCTION("""COMPUTED_VALUE"""),0.6134371957156767)</f>
        <v>0.6134371957</v>
      </c>
      <c r="S13" s="4" t="str">
        <f>IFERROR(__xludf.DUMMYFUNCTION("""COMPUTED_VALUE"""),"Gcom - Gestao Em Tecnologia De Informacao Eireli")</f>
        <v>Gcom - Gestao Em Tecnologia De Informacao Eireli</v>
      </c>
      <c r="T13" s="33">
        <f>IFERROR(__xludf.DUMMYFUNCTION("""COMPUTED_VALUE"""),0.5384615384615384)</f>
        <v>0.5384615385</v>
      </c>
      <c r="U13" s="4" t="str">
        <f>IFERROR(__xludf.DUMMYFUNCTION("""COMPUTED_VALUE"""),"Gcom - Gestao Em Tecnologia De Informacao Eireli")</f>
        <v>Gcom - Gestao Em Tecnologia De Informacao Eireli</v>
      </c>
      <c r="V13" s="33">
        <f>IFERROR(__xludf.DUMMYFUNCTION("""COMPUTED_VALUE"""),0.5705939629990263)</f>
        <v>0.570593963</v>
      </c>
      <c r="W13" s="4" t="str">
        <f>IFERROR(__xludf.DUMMYFUNCTION("""COMPUTED_VALUE"""),"null")</f>
        <v>null</v>
      </c>
      <c r="X13" s="33">
        <f>IFERROR(__xludf.DUMMYFUNCTION("""COMPUTED_VALUE"""),0.5092502434274586)</f>
        <v>0.5092502434</v>
      </c>
    </row>
    <row r="14">
      <c r="A14" s="4" t="str">
        <f>IFERROR(__xludf.DUMMYFUNCTION("""COMPUTED_VALUE"""),"BABY BEEF EXPRESS")</f>
        <v>BABY BEEF EXPRESS</v>
      </c>
      <c r="B14" s="4">
        <f>IFERROR(__xludf.DUMMYFUNCTION("""COMPUTED_VALUE"""),3.0)</f>
        <v>3</v>
      </c>
      <c r="C14" s="30">
        <f>IFERROR(__xludf.DUMMYFUNCTION("""COMPUTED_VALUE"""),60.0)</f>
        <v>60</v>
      </c>
      <c r="D14" s="4" t="str">
        <f>IFERROR(__xludf.DUMMYFUNCTION("""COMPUTED_VALUE"""),"Fast Casual - Grelhados")</f>
        <v>Fast Casual - Grelhados</v>
      </c>
      <c r="E14" s="4" t="str">
        <f>IFERROR(__xludf.DUMMYFUNCTION("""COMPUTED_VALUE"""),"Salvador/BA (shoppings)")</f>
        <v>Salvador/BA (shoppings)</v>
      </c>
      <c r="F14" s="4"/>
      <c r="G14" s="4">
        <f>IFERROR(__xludf.DUMMYFUNCTION("""COMPUTED_VALUE"""),65.0)</f>
        <v>65</v>
      </c>
      <c r="H14" s="31">
        <f>IFERROR(__xludf.DUMMYFUNCTION("""COMPUTED_VALUE"""),0.75)</f>
        <v>0.75</v>
      </c>
      <c r="I1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4" s="4" t="str">
        <f>IFERROR(__xludf.DUMMYFUNCTION("""COMPUTED_VALUE"""),"GPA - CONTA GRUPO")</f>
        <v>GPA - CONTA GRUPO</v>
      </c>
      <c r="L14" s="32">
        <f>IFERROR(__xludf.DUMMYFUNCTION("""COMPUTED_VALUE"""),967.0)</f>
        <v>967</v>
      </c>
      <c r="M14" s="4" t="str">
        <f>IFERROR(__xludf.DUMMYFUNCTION("""COMPUTED_VALUE"""),"N/A (Not found)")</f>
        <v>N/A (Not found)</v>
      </c>
      <c r="N14" s="33">
        <f>IFERROR(__xludf.DUMMYFUNCTION("""COMPUTED_VALUE"""),0.9886480908152735)</f>
        <v>0.9886480908</v>
      </c>
      <c r="O14" s="4" t="str">
        <f>IFERROR(__xludf.DUMMYFUNCTION("""COMPUTED_VALUE"""),"N/A (Not found)")</f>
        <v>N/A (Not found)</v>
      </c>
      <c r="P14" s="33">
        <f>IFERROR(__xludf.DUMMYFUNCTION("""COMPUTED_VALUE"""),0.9504643962848297)</f>
        <v>0.9504643963</v>
      </c>
      <c r="Q14" s="4" t="str">
        <f>IFERROR(__xludf.DUMMYFUNCTION("""COMPUTED_VALUE"""),"N/A (Not found)")</f>
        <v>N/A (Not found)</v>
      </c>
      <c r="R14" s="33">
        <f>IFERROR(__xludf.DUMMYFUNCTION("""COMPUTED_VALUE"""),0.9226006191950464)</f>
        <v>0.9226006192</v>
      </c>
      <c r="S14" s="4" t="str">
        <f>IFERROR(__xludf.DUMMYFUNCTION("""COMPUTED_VALUE"""),"N/A (Not found)")</f>
        <v>N/A (Not found)</v>
      </c>
      <c r="T14" s="33">
        <f>IFERROR(__xludf.DUMMYFUNCTION("""COMPUTED_VALUE"""),0.9060887512899897)</f>
        <v>0.9060887513</v>
      </c>
      <c r="U14" s="4" t="str">
        <f>IFERROR(__xludf.DUMMYFUNCTION("""COMPUTED_VALUE"""),"N/A (Not found)")</f>
        <v>N/A (Not found)</v>
      </c>
      <c r="V14" s="33">
        <f>IFERROR(__xludf.DUMMYFUNCTION("""COMPUTED_VALUE"""),0.9081527347781218)</f>
        <v>0.9081527348</v>
      </c>
      <c r="W14" s="4" t="str">
        <f>IFERROR(__xludf.DUMMYFUNCTION("""COMPUTED_VALUE"""),"N/A (Not found)")</f>
        <v>N/A (Not found)</v>
      </c>
      <c r="X14" s="33">
        <f>IFERROR(__xludf.DUMMYFUNCTION("""COMPUTED_VALUE"""),0.9009287925696594)</f>
        <v>0.9009287926</v>
      </c>
    </row>
    <row r="15">
      <c r="A15" s="4" t="str">
        <f>IFERROR(__xludf.DUMMYFUNCTION("""COMPUTED_VALUE"""),"BANZAI ES")</f>
        <v>BANZAI ES</v>
      </c>
      <c r="B15" s="4">
        <f>IFERROR(__xludf.DUMMYFUNCTION("""COMPUTED_VALUE"""),5.0)</f>
        <v>5</v>
      </c>
      <c r="C15" s="30">
        <f>IFERROR(__xludf.DUMMYFUNCTION("""COMPUTED_VALUE"""),65.0)</f>
        <v>65</v>
      </c>
      <c r="D15" s="4" t="str">
        <f>IFERROR(__xludf.DUMMYFUNCTION("""COMPUTED_VALUE"""),"Fast Casual - Comida Japonesa")</f>
        <v>Fast Casual - Comida Japonesa</v>
      </c>
      <c r="E15" s="4" t="str">
        <f>IFERROR(__xludf.DUMMYFUNCTION("""COMPUTED_VALUE"""),"Espírito Santo")</f>
        <v>Espírito Santo</v>
      </c>
      <c r="F15" s="4"/>
      <c r="G15" s="4">
        <f>IFERROR(__xludf.DUMMYFUNCTION("""COMPUTED_VALUE"""),70.0)</f>
        <v>70</v>
      </c>
      <c r="H15" s="31">
        <f>IFERROR(__xludf.DUMMYFUNCTION("""COMPUTED_VALUE"""),0.75)</f>
        <v>0.75</v>
      </c>
      <c r="I1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5" s="4" t="str">
        <f>IFERROR(__xludf.DUMMYFUNCTION("""COMPUTED_VALUE"""),"GRUPO HABIBS")</f>
        <v>GRUPO HABIBS</v>
      </c>
      <c r="L15" s="32">
        <f>IFERROR(__xludf.DUMMYFUNCTION("""COMPUTED_VALUE"""),958.0)</f>
        <v>958</v>
      </c>
      <c r="M15" s="4" t="str">
        <f>IFERROR(__xludf.DUMMYFUNCTION("""COMPUTED_VALUE"""),"Voxline")</f>
        <v>Voxline</v>
      </c>
      <c r="N15" s="33">
        <f>IFERROR(__xludf.DUMMYFUNCTION("""COMPUTED_VALUE"""),0.8768115942028986)</f>
        <v>0.8768115942</v>
      </c>
      <c r="O15" s="4" t="str">
        <f>IFERROR(__xludf.DUMMYFUNCTION("""COMPUTED_VALUE"""),"Voxline")</f>
        <v>Voxline</v>
      </c>
      <c r="P15" s="33">
        <f>IFERROR(__xludf.DUMMYFUNCTION("""COMPUTED_VALUE"""),0.8892339544513458)</f>
        <v>0.8892339545</v>
      </c>
      <c r="Q15" s="4" t="str">
        <f>IFERROR(__xludf.DUMMYFUNCTION("""COMPUTED_VALUE"""),"Voxline")</f>
        <v>Voxline</v>
      </c>
      <c r="R15" s="33">
        <f>IFERROR(__xludf.DUMMYFUNCTION("""COMPUTED_VALUE"""),0.8850931677018633)</f>
        <v>0.8850931677</v>
      </c>
      <c r="S15" s="4" t="str">
        <f>IFERROR(__xludf.DUMMYFUNCTION("""COMPUTED_VALUE"""),"Voxline")</f>
        <v>Voxline</v>
      </c>
      <c r="T15" s="33">
        <f>IFERROR(__xludf.DUMMYFUNCTION("""COMPUTED_VALUE"""),0.8964803312629399)</f>
        <v>0.8964803313</v>
      </c>
      <c r="U15" s="4" t="str">
        <f>IFERROR(__xludf.DUMMYFUNCTION("""COMPUTED_VALUE"""),"Voxline")</f>
        <v>Voxline</v>
      </c>
      <c r="V15" s="33">
        <f>IFERROR(__xludf.DUMMYFUNCTION("""COMPUTED_VALUE"""),0.9130434782608695)</f>
        <v>0.9130434783</v>
      </c>
      <c r="W15" s="4" t="str">
        <f>IFERROR(__xludf.DUMMYFUNCTION("""COMPUTED_VALUE"""),"Voxline")</f>
        <v>Voxline</v>
      </c>
      <c r="X15" s="33">
        <f>IFERROR(__xludf.DUMMYFUNCTION("""COMPUTED_VALUE"""),0.9420289855072463)</f>
        <v>0.9420289855</v>
      </c>
    </row>
    <row r="16">
      <c r="A16" s="4" t="str">
        <f>IFERROR(__xludf.DUMMYFUNCTION("""COMPUTED_VALUE"""),"BAR DO ELIAS")</f>
        <v>BAR DO ELIAS</v>
      </c>
      <c r="B16" s="4">
        <f>IFERROR(__xludf.DUMMYFUNCTION("""COMPUTED_VALUE"""),2.0)</f>
        <v>2</v>
      </c>
      <c r="C16" s="30">
        <f>IFERROR(__xludf.DUMMYFUNCTION("""COMPUTED_VALUE"""),75.0)</f>
        <v>75</v>
      </c>
      <c r="D16" s="4" t="str">
        <f>IFERROR(__xludf.DUMMYFUNCTION("""COMPUTED_VALUE"""),"Table Service - Boteco")</f>
        <v>Table Service - Boteco</v>
      </c>
      <c r="E16" s="4" t="str">
        <f>IFERROR(__xludf.DUMMYFUNCTION("""COMPUTED_VALUE"""),"Regional")</f>
        <v>Regional</v>
      </c>
      <c r="F16" s="4"/>
      <c r="G16" s="4">
        <f>IFERROR(__xludf.DUMMYFUNCTION("""COMPUTED_VALUE"""),55.0)</f>
        <v>55</v>
      </c>
      <c r="H16" s="31">
        <f>IFERROR(__xludf.DUMMYFUNCTION("""COMPUTED_VALUE"""),0.65)</f>
        <v>0.65</v>
      </c>
      <c r="I1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6" s="4" t="str">
        <f>IFERROR(__xludf.DUMMYFUNCTION("""COMPUTED_VALUE"""),"GRUPO TASTEFY")</f>
        <v>GRUPO TASTEFY</v>
      </c>
      <c r="L16" s="32">
        <f>IFERROR(__xludf.DUMMYFUNCTION("""COMPUTED_VALUE"""),914.0)</f>
        <v>914</v>
      </c>
      <c r="M16" s="4" t="str">
        <f>IFERROR(__xludf.DUMMYFUNCTION("""COMPUTED_VALUE"""),"Yooga")</f>
        <v>Yooga</v>
      </c>
      <c r="N16" s="33">
        <f>IFERROR(__xludf.DUMMYFUNCTION("""COMPUTED_VALUE"""),0.7363238512035011)</f>
        <v>0.7363238512</v>
      </c>
      <c r="O16" s="4" t="str">
        <f>IFERROR(__xludf.DUMMYFUNCTION("""COMPUTED_VALUE"""),"Yooga")</f>
        <v>Yooga</v>
      </c>
      <c r="P16" s="33">
        <f>IFERROR(__xludf.DUMMYFUNCTION("""COMPUTED_VALUE"""),0.6269146608315098)</f>
        <v>0.6269146608</v>
      </c>
      <c r="Q16" s="4" t="str">
        <f>IFERROR(__xludf.DUMMYFUNCTION("""COMPUTED_VALUE"""),"Yooga")</f>
        <v>Yooga</v>
      </c>
      <c r="R16" s="33">
        <f>IFERROR(__xludf.DUMMYFUNCTION("""COMPUTED_VALUE"""),0.6050328227571116)</f>
        <v>0.6050328228</v>
      </c>
      <c r="S16" s="4" t="str">
        <f>IFERROR(__xludf.DUMMYFUNCTION("""COMPUTED_VALUE"""),"Yooga")</f>
        <v>Yooga</v>
      </c>
      <c r="T16" s="33">
        <f>IFERROR(__xludf.DUMMYFUNCTION("""COMPUTED_VALUE"""),0.5831509846827133)</f>
        <v>0.5831509847</v>
      </c>
      <c r="U16" s="4" t="str">
        <f>IFERROR(__xludf.DUMMYFUNCTION("""COMPUTED_VALUE"""),"Yooga")</f>
        <v>Yooga</v>
      </c>
      <c r="V16" s="33">
        <f>IFERROR(__xludf.DUMMYFUNCTION("""COMPUTED_VALUE"""),0.574398249452954)</f>
        <v>0.5743982495</v>
      </c>
      <c r="W16" s="4" t="str">
        <f>IFERROR(__xludf.DUMMYFUNCTION("""COMPUTED_VALUE"""),"Yooga")</f>
        <v>Yooga</v>
      </c>
      <c r="X16" s="33">
        <f>IFERROR(__xludf.DUMMYFUNCTION("""COMPUTED_VALUE"""),0.550328227571116)</f>
        <v>0.5503282276</v>
      </c>
    </row>
    <row r="17">
      <c r="A17" s="4" t="str">
        <f>IFERROR(__xludf.DUMMYFUNCTION("""COMPUTED_VALUE"""),"BB DOG")</f>
        <v>BB DOG</v>
      </c>
      <c r="B17" s="4">
        <f>IFERROR(__xludf.DUMMYFUNCTION("""COMPUTED_VALUE"""),8.0)</f>
        <v>8</v>
      </c>
      <c r="C17" s="30">
        <f>IFERROR(__xludf.DUMMYFUNCTION("""COMPUTED_VALUE"""),25.0)</f>
        <v>25</v>
      </c>
      <c r="D17" s="4" t="str">
        <f>IFERROR(__xludf.DUMMYFUNCTION("""COMPUTED_VALUE"""),"QSR - Hot Dog")</f>
        <v>QSR - Hot Dog</v>
      </c>
      <c r="E17" s="4" t="str">
        <f>IFERROR(__xludf.DUMMYFUNCTION("""COMPUTED_VALUE"""),"Regional")</f>
        <v>Regional</v>
      </c>
      <c r="F17" s="4"/>
      <c r="G17" s="4">
        <f>IFERROR(__xludf.DUMMYFUNCTION("""COMPUTED_VALUE"""),70.0)</f>
        <v>70</v>
      </c>
      <c r="H17" s="31">
        <f>IFERROR(__xludf.DUMMYFUNCTION("""COMPUTED_VALUE"""),0.85)</f>
        <v>0.85</v>
      </c>
      <c r="I17"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17" s="4" t="str">
        <f>IFERROR(__xludf.DUMMYFUNCTION("""COMPUTED_VALUE"""),"ARAUJO - CONTA GRUPO")</f>
        <v>ARAUJO - CONTA GRUPO</v>
      </c>
      <c r="L17" s="32">
        <f>IFERROR(__xludf.DUMMYFUNCTION("""COMPUTED_VALUE"""),821.0)</f>
        <v>821</v>
      </c>
      <c r="M17" s="4" t="str">
        <f>IFERROR(__xludf.DUMMYFUNCTION("""COMPUTED_VALUE"""),"N/A (Not found)")</f>
        <v>N/A (Not found)</v>
      </c>
      <c r="N17" s="33">
        <f>IFERROR(__xludf.DUMMYFUNCTION("""COMPUTED_VALUE"""),0.8550548112058465)</f>
        <v>0.8550548112</v>
      </c>
      <c r="O17" s="4" t="str">
        <f>IFERROR(__xludf.DUMMYFUNCTION("""COMPUTED_VALUE"""),"N/A (Not found)")</f>
        <v>N/A (Not found)</v>
      </c>
      <c r="P17" s="33">
        <f>IFERROR(__xludf.DUMMYFUNCTION("""COMPUTED_VALUE"""),0.8721071863580999)</f>
        <v>0.8721071864</v>
      </c>
      <c r="Q17" s="4" t="str">
        <f>IFERROR(__xludf.DUMMYFUNCTION("""COMPUTED_VALUE"""),"N/A (Not found)")</f>
        <v>N/A (Not found)</v>
      </c>
      <c r="R17" s="33">
        <f>IFERROR(__xludf.DUMMYFUNCTION("""COMPUTED_VALUE"""),0.8489646772228989)</f>
        <v>0.8489646772</v>
      </c>
      <c r="S17" s="4" t="str">
        <f>IFERROR(__xludf.DUMMYFUNCTION("""COMPUTED_VALUE"""),"N/A (Not found)")</f>
        <v>N/A (Not found)</v>
      </c>
      <c r="T17" s="33">
        <f>IFERROR(__xludf.DUMMYFUNCTION("""COMPUTED_VALUE"""),0.8928136419001218)</f>
        <v>0.8928136419</v>
      </c>
      <c r="U17" s="4" t="str">
        <f>IFERROR(__xludf.DUMMYFUNCTION("""COMPUTED_VALUE"""),"N/A (Not found)")</f>
        <v>N/A (Not found)</v>
      </c>
      <c r="V17" s="33">
        <f>IFERROR(__xludf.DUMMYFUNCTION("""COMPUTED_VALUE"""),0.951278928136419)</f>
        <v>0.9512789281</v>
      </c>
      <c r="W17" s="4" t="str">
        <f>IFERROR(__xludf.DUMMYFUNCTION("""COMPUTED_VALUE"""),"N/A (Not found)")</f>
        <v>N/A (Not found)</v>
      </c>
      <c r="X17" s="33">
        <f>IFERROR(__xludf.DUMMYFUNCTION("""COMPUTED_VALUE"""),0.9878197320341048)</f>
        <v>0.987819732</v>
      </c>
    </row>
    <row r="18">
      <c r="A18" s="4" t="str">
        <f>IFERROR(__xludf.DUMMYFUNCTION("""COMPUTED_VALUE"""),"BELLA PIZZA")</f>
        <v>BELLA PIZZA</v>
      </c>
      <c r="B18" s="4">
        <f>IFERROR(__xludf.DUMMYFUNCTION("""COMPUTED_VALUE"""),4.0)</f>
        <v>4</v>
      </c>
      <c r="C18" s="30">
        <f>IFERROR(__xludf.DUMMYFUNCTION("""COMPUTED_VALUE"""),70.0)</f>
        <v>70</v>
      </c>
      <c r="D18" s="4" t="str">
        <f>IFERROR(__xludf.DUMMYFUNCTION("""COMPUTED_VALUE"""),"Fast Casual - Pizzaria")</f>
        <v>Fast Casual - Pizzaria</v>
      </c>
      <c r="E18" s="4" t="str">
        <f>IFERROR(__xludf.DUMMYFUNCTION("""COMPUTED_VALUE"""),"Regional")</f>
        <v>Regional</v>
      </c>
      <c r="F18" s="4"/>
      <c r="G18" s="4">
        <f>IFERROR(__xludf.DUMMYFUNCTION("""COMPUTED_VALUE"""),65.0)</f>
        <v>65</v>
      </c>
      <c r="H18" s="31">
        <f>IFERROR(__xludf.DUMMYFUNCTION("""COMPUTED_VALUE"""),0.75)</f>
        <v>0.75</v>
      </c>
      <c r="I1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8" s="4" t="str">
        <f>IFERROR(__xludf.DUMMYFUNCTION("""COMPUTED_VALUE"""),"CARREFOUR - CONTA GRUPO")</f>
        <v>CARREFOUR - CONTA GRUPO</v>
      </c>
      <c r="L18" s="32">
        <f>IFERROR(__xludf.DUMMYFUNCTION("""COMPUTED_VALUE"""),821.0)</f>
        <v>821</v>
      </c>
      <c r="M18" s="4" t="str">
        <f>IFERROR(__xludf.DUMMYFUNCTION("""COMPUTED_VALUE"""),"N/A (Not found)")</f>
        <v>N/A (Not found)</v>
      </c>
      <c r="N18" s="33">
        <f>IFERROR(__xludf.DUMMYFUNCTION("""COMPUTED_VALUE"""),0.9749702026221693)</f>
        <v>0.9749702026</v>
      </c>
      <c r="O18" s="4" t="str">
        <f>IFERROR(__xludf.DUMMYFUNCTION("""COMPUTED_VALUE"""),"N/A (Not found)")</f>
        <v>N/A (Not found)</v>
      </c>
      <c r="P18" s="33">
        <f>IFERROR(__xludf.DUMMYFUNCTION("""COMPUTED_VALUE"""),0.9523241954707986)</f>
        <v>0.9523241955</v>
      </c>
      <c r="Q18" s="4" t="str">
        <f>IFERROR(__xludf.DUMMYFUNCTION("""COMPUTED_VALUE"""),"N/A (Not found)")</f>
        <v>N/A (Not found)</v>
      </c>
      <c r="R18" s="33">
        <f>IFERROR(__xludf.DUMMYFUNCTION("""COMPUTED_VALUE"""),0.901072705601907)</f>
        <v>0.9010727056</v>
      </c>
      <c r="S18" s="4" t="str">
        <f>IFERROR(__xludf.DUMMYFUNCTION("""COMPUTED_VALUE"""),"N/A (Not found)")</f>
        <v>N/A (Not found)</v>
      </c>
      <c r="T18" s="33">
        <f>IFERROR(__xludf.DUMMYFUNCTION("""COMPUTED_VALUE"""),0.8951132300357568)</f>
        <v>0.89511323</v>
      </c>
      <c r="U18" s="4" t="str">
        <f>IFERROR(__xludf.DUMMYFUNCTION("""COMPUTED_VALUE"""),"N/A (Not found)")</f>
        <v>N/A (Not found)</v>
      </c>
      <c r="V18" s="33">
        <f>IFERROR(__xludf.DUMMYFUNCTION("""COMPUTED_VALUE"""),0.9046483909415971)</f>
        <v>0.9046483909</v>
      </c>
      <c r="W18" s="4" t="str">
        <f>IFERROR(__xludf.DUMMYFUNCTION("""COMPUTED_VALUE"""),"N/A (Not found)")</f>
        <v>N/A (Not found)</v>
      </c>
      <c r="X18" s="33">
        <f>IFERROR(__xludf.DUMMYFUNCTION("""COMPUTED_VALUE"""),0.9034564958283671)</f>
        <v>0.9034564958</v>
      </c>
    </row>
    <row r="19">
      <c r="A19" s="4" t="str">
        <f>IFERROR(__xludf.DUMMYFUNCTION("""COMPUTED_VALUE"""),"BELLA SUSHI")</f>
        <v>BELLA SUSHI</v>
      </c>
      <c r="B19" s="4">
        <f>IFERROR(__xludf.DUMMYFUNCTION("""COMPUTED_VALUE"""),3.0)</f>
        <v>3</v>
      </c>
      <c r="C19" s="30">
        <f>IFERROR(__xludf.DUMMYFUNCTION("""COMPUTED_VALUE"""),80.0)</f>
        <v>80</v>
      </c>
      <c r="D19" s="4" t="str">
        <f>IFERROR(__xludf.DUMMYFUNCTION("""COMPUTED_VALUE"""),"Fast Casual - Sushi")</f>
        <v>Fast Casual - Sushi</v>
      </c>
      <c r="E19" s="4" t="str">
        <f>IFERROR(__xludf.DUMMYFUNCTION("""COMPUTED_VALUE"""),"Regional")</f>
        <v>Regional</v>
      </c>
      <c r="F19" s="4"/>
      <c r="G19" s="4">
        <f>IFERROR(__xludf.DUMMYFUNCTION("""COMPUTED_VALUE"""),65.0)</f>
        <v>65</v>
      </c>
      <c r="H19" s="31">
        <f>IFERROR(__xludf.DUMMYFUNCTION("""COMPUTED_VALUE"""),0.75)</f>
        <v>0.75</v>
      </c>
      <c r="I1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9" s="4" t="str">
        <f>IFERROR(__xludf.DUMMYFUNCTION("""COMPUTED_VALUE"""),"REDE SAO JOAO - CONTA PAI")</f>
        <v>REDE SAO JOAO - CONTA PAI</v>
      </c>
      <c r="L19" s="32">
        <f>IFERROR(__xludf.DUMMYFUNCTION("""COMPUTED_VALUE"""),812.0)</f>
        <v>812</v>
      </c>
      <c r="M19" s="4" t="str">
        <f>IFERROR(__xludf.DUMMYFUNCTION("""COMPUTED_VALUE"""),"N/A (Not found)")</f>
        <v>N/A (Not found)</v>
      </c>
      <c r="N19" s="33">
        <f>IFERROR(__xludf.DUMMYFUNCTION("""COMPUTED_VALUE"""),0.9199507389162561)</f>
        <v>0.9199507389</v>
      </c>
      <c r="O19" s="4" t="str">
        <f>IFERROR(__xludf.DUMMYFUNCTION("""COMPUTED_VALUE"""),"N/A (Not found)")</f>
        <v>N/A (Not found)</v>
      </c>
      <c r="P19" s="33">
        <f>IFERROR(__xludf.DUMMYFUNCTION("""COMPUTED_VALUE"""),0.9470443349753694)</f>
        <v>0.947044335</v>
      </c>
      <c r="Q19" s="4" t="str">
        <f>IFERROR(__xludf.DUMMYFUNCTION("""COMPUTED_VALUE"""),"N/A (Not found)")</f>
        <v>N/A (Not found)</v>
      </c>
      <c r="R19" s="33">
        <f>IFERROR(__xludf.DUMMYFUNCTION("""COMPUTED_VALUE"""),0.9532019704433498)</f>
        <v>0.9532019704</v>
      </c>
      <c r="S19" s="4" t="str">
        <f>IFERROR(__xludf.DUMMYFUNCTION("""COMPUTED_VALUE"""),"N/A (Not found)")</f>
        <v>N/A (Not found)</v>
      </c>
      <c r="T19" s="33">
        <f>IFERROR(__xludf.DUMMYFUNCTION("""COMPUTED_VALUE"""),0.9692118226600985)</f>
        <v>0.9692118227</v>
      </c>
      <c r="U19" s="4" t="str">
        <f>IFERROR(__xludf.DUMMYFUNCTION("""COMPUTED_VALUE"""),"N/A (Not found)")</f>
        <v>N/A (Not found)</v>
      </c>
      <c r="V19" s="33">
        <f>IFERROR(__xludf.DUMMYFUNCTION("""COMPUTED_VALUE"""),0.9839901477832512)</f>
        <v>0.9839901478</v>
      </c>
      <c r="W19" s="4" t="str">
        <f>IFERROR(__xludf.DUMMYFUNCTION("""COMPUTED_VALUE"""),"N/A (Not found)")</f>
        <v>N/A (Not found)</v>
      </c>
      <c r="X19" s="33">
        <f>IFERROR(__xludf.DUMMYFUNCTION("""COMPUTED_VALUE"""),0.9802955665024631)</f>
        <v>0.9802955665</v>
      </c>
    </row>
    <row r="20">
      <c r="A20" s="4" t="str">
        <f>IFERROR(__xludf.DUMMYFUNCTION("""COMPUTED_VALUE"""),"BENDITA ESFIHA")</f>
        <v>BENDITA ESFIHA</v>
      </c>
      <c r="B20" s="4">
        <f>IFERROR(__xludf.DUMMYFUNCTION("""COMPUTED_VALUE"""),1.0)</f>
        <v>1</v>
      </c>
      <c r="C20" s="30">
        <f>IFERROR(__xludf.DUMMYFUNCTION("""COMPUTED_VALUE"""),45.0)</f>
        <v>45</v>
      </c>
      <c r="D20" s="4" t="str">
        <f>IFERROR(__xludf.DUMMYFUNCTION("""COMPUTED_VALUE"""),"Fast Casual - Esfiharia")</f>
        <v>Fast Casual - Esfiharia</v>
      </c>
      <c r="E20" s="4" t="str">
        <f>IFERROR(__xludf.DUMMYFUNCTION("""COMPUTED_VALUE"""),"São Bernardo do Campo/SP")</f>
        <v>São Bernardo do Campo/SP</v>
      </c>
      <c r="F20" s="4"/>
      <c r="G20" s="4">
        <f>IFERROR(__xludf.DUMMYFUNCTION("""COMPUTED_VALUE"""),65.0)</f>
        <v>65</v>
      </c>
      <c r="H20" s="31">
        <f>IFERROR(__xludf.DUMMYFUNCTION("""COMPUTED_VALUE"""),0.75)</f>
        <v>0.75</v>
      </c>
      <c r="I2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0" s="4" t="str">
        <f>IFERROR(__xludf.DUMMYFUNCTION("""COMPUTED_VALUE"""),"CHIQUINHO SORVETES")</f>
        <v>CHIQUINHO SORVETES</v>
      </c>
      <c r="L20" s="32">
        <f>IFERROR(__xludf.DUMMYFUNCTION("""COMPUTED_VALUE"""),712.0)</f>
        <v>712</v>
      </c>
      <c r="M20" s="4" t="str">
        <f>IFERROR(__xludf.DUMMYFUNCTION("""COMPUTED_VALUE"""),"Itf Inteligencia E Tecnologia Para O Franchising")</f>
        <v>Itf Inteligencia E Tecnologia Para O Franchising</v>
      </c>
      <c r="N20" s="33">
        <f>IFERROR(__xludf.DUMMYFUNCTION("""COMPUTED_VALUE"""),0.8441011235955056)</f>
        <v>0.8441011236</v>
      </c>
      <c r="O20" s="4" t="str">
        <f>IFERROR(__xludf.DUMMYFUNCTION("""COMPUTED_VALUE"""),"Itf Inteligencia E Tecnologia Para O Franchising")</f>
        <v>Itf Inteligencia E Tecnologia Para O Franchising</v>
      </c>
      <c r="P20" s="33">
        <f>IFERROR(__xludf.DUMMYFUNCTION("""COMPUTED_VALUE"""),0.8117977528089888)</f>
        <v>0.8117977528</v>
      </c>
      <c r="Q20" s="4" t="str">
        <f>IFERROR(__xludf.DUMMYFUNCTION("""COMPUTED_VALUE"""),"Itf Inteligencia E Tecnologia Para O Franchising")</f>
        <v>Itf Inteligencia E Tecnologia Para O Franchising</v>
      </c>
      <c r="R20" s="33">
        <f>IFERROR(__xludf.DUMMYFUNCTION("""COMPUTED_VALUE"""),0.8230337078651685)</f>
        <v>0.8230337079</v>
      </c>
      <c r="S20" s="4" t="str">
        <f>IFERROR(__xludf.DUMMYFUNCTION("""COMPUTED_VALUE"""),"Itf Inteligencia E Tecnologia Para O Franchising")</f>
        <v>Itf Inteligencia E Tecnologia Para O Franchising</v>
      </c>
      <c r="T20" s="33">
        <f>IFERROR(__xludf.DUMMYFUNCTION("""COMPUTED_VALUE"""),0.7991573033707865)</f>
        <v>0.7991573034</v>
      </c>
      <c r="U20" s="4" t="str">
        <f>IFERROR(__xludf.DUMMYFUNCTION("""COMPUTED_VALUE"""),"Itf Inteligencia E Tecnologia Para O Franchising")</f>
        <v>Itf Inteligencia E Tecnologia Para O Franchising</v>
      </c>
      <c r="V20" s="33">
        <f>IFERROR(__xludf.DUMMYFUNCTION("""COMPUTED_VALUE"""),0.8230337078651685)</f>
        <v>0.8230337079</v>
      </c>
      <c r="W20" s="4" t="str">
        <f>IFERROR(__xludf.DUMMYFUNCTION("""COMPUTED_VALUE"""),"Itf Inteligencia E Tecnologia Para O Franchising")</f>
        <v>Itf Inteligencia E Tecnologia Para O Franchising</v>
      </c>
      <c r="X20" s="33">
        <f>IFERROR(__xludf.DUMMYFUNCTION("""COMPUTED_VALUE"""),0.8455056179775281)</f>
        <v>0.845505618</v>
      </c>
    </row>
    <row r="21">
      <c r="A21" s="4" t="str">
        <f>IFERROR(__xludf.DUMMYFUNCTION("""COMPUTED_VALUE"""),"BENTO AÇAITERIA")</f>
        <v>BENTO AÇAITERIA</v>
      </c>
      <c r="B21" s="4">
        <f>IFERROR(__xludf.DUMMYFUNCTION("""COMPUTED_VALUE"""),6.0)</f>
        <v>6</v>
      </c>
      <c r="C21" s="30">
        <f>IFERROR(__xludf.DUMMYFUNCTION("""COMPUTED_VALUE"""),28.0)</f>
        <v>28</v>
      </c>
      <c r="D21" s="4" t="str">
        <f>IFERROR(__xludf.DUMMYFUNCTION("""COMPUTED_VALUE"""),"QSR - Açaí")</f>
        <v>QSR - Açaí</v>
      </c>
      <c r="E21" s="4" t="str">
        <f>IFERROR(__xludf.DUMMYFUNCTION("""COMPUTED_VALUE"""),"Regional")</f>
        <v>Regional</v>
      </c>
      <c r="F21" s="4"/>
      <c r="G21" s="4">
        <f>IFERROR(__xludf.DUMMYFUNCTION("""COMPUTED_VALUE"""),70.0)</f>
        <v>70</v>
      </c>
      <c r="H21" s="31">
        <f>IFERROR(__xludf.DUMMYFUNCTION("""COMPUTED_VALUE"""),0.85)</f>
        <v>0.85</v>
      </c>
      <c r="I21"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21" s="4" t="str">
        <f>IFERROR(__xludf.DUMMYFUNCTION("""COMPUTED_VALUE"""),"BLOOMIN BRANDS")</f>
        <v>BLOOMIN BRANDS</v>
      </c>
      <c r="L21" s="32">
        <f>IFERROR(__xludf.DUMMYFUNCTION("""COMPUTED_VALUE"""),693.0)</f>
        <v>693</v>
      </c>
      <c r="M21" s="4" t="str">
        <f>IFERROR(__xludf.DUMMYFUNCTION("""COMPUTED_VALUE"""),"E-deploy Retail")</f>
        <v>E-deploy Retail</v>
      </c>
      <c r="N21" s="33">
        <f>IFERROR(__xludf.DUMMYFUNCTION("""COMPUTED_VALUE"""),0.9624819624819625)</f>
        <v>0.9624819625</v>
      </c>
      <c r="O21" s="4" t="str">
        <f>IFERROR(__xludf.DUMMYFUNCTION("""COMPUTED_VALUE"""),"E-deploy Retail")</f>
        <v>E-deploy Retail</v>
      </c>
      <c r="P21" s="33">
        <f>IFERROR(__xludf.DUMMYFUNCTION("""COMPUTED_VALUE"""),0.8556998556998557)</f>
        <v>0.8556998557</v>
      </c>
      <c r="Q21" s="4" t="str">
        <f>IFERROR(__xludf.DUMMYFUNCTION("""COMPUTED_VALUE"""),"E-deploy Retail")</f>
        <v>E-deploy Retail</v>
      </c>
      <c r="R21" s="33">
        <f>IFERROR(__xludf.DUMMYFUNCTION("""COMPUTED_VALUE"""),0.8253968253968254)</f>
        <v>0.8253968254</v>
      </c>
      <c r="S21" s="4" t="str">
        <f>IFERROR(__xludf.DUMMYFUNCTION("""COMPUTED_VALUE"""),"E-deploy Retail")</f>
        <v>E-deploy Retail</v>
      </c>
      <c r="T21" s="33">
        <f>IFERROR(__xludf.DUMMYFUNCTION("""COMPUTED_VALUE"""),0.8023088023088023)</f>
        <v>0.8023088023</v>
      </c>
      <c r="U21" s="4" t="str">
        <f>IFERROR(__xludf.DUMMYFUNCTION("""COMPUTED_VALUE"""),"E-deploy Retail")</f>
        <v>E-deploy Retail</v>
      </c>
      <c r="V21" s="33">
        <f>IFERROR(__xludf.DUMMYFUNCTION("""COMPUTED_VALUE"""),0.823953823953824)</f>
        <v>0.823953824</v>
      </c>
      <c r="W21" s="4" t="str">
        <f>IFERROR(__xludf.DUMMYFUNCTION("""COMPUTED_VALUE"""),"E-deploy Retail")</f>
        <v>E-deploy Retail</v>
      </c>
      <c r="X21" s="33">
        <f>IFERROR(__xludf.DUMMYFUNCTION("""COMPUTED_VALUE"""),0.8614718614718615)</f>
        <v>0.8614718615</v>
      </c>
    </row>
    <row r="22">
      <c r="A22" s="4" t="str">
        <f>IFERROR(__xludf.DUMMYFUNCTION("""COMPUTED_VALUE"""),"BERRIES - CONTA PAI")</f>
        <v>BERRIES - CONTA PAI</v>
      </c>
      <c r="B22" s="4">
        <f>IFERROR(__xludf.DUMMYFUNCTION("""COMPUTED_VALUE"""),15.0)</f>
        <v>15</v>
      </c>
      <c r="C22" s="30">
        <f>IFERROR(__xludf.DUMMYFUNCTION("""COMPUTED_VALUE"""),32.0)</f>
        <v>32</v>
      </c>
      <c r="D22" s="4" t="str">
        <f>IFERROR(__xludf.DUMMYFUNCTION("""COMPUTED_VALUE"""),"Fast Casual - Açaí e Sorvetes")</f>
        <v>Fast Casual - Açaí e Sorvetes</v>
      </c>
      <c r="E22" s="4" t="str">
        <f>IFERROR(__xludf.DUMMYFUNCTION("""COMPUTED_VALUE"""),"Regional/Nacional")</f>
        <v>Regional/Nacional</v>
      </c>
      <c r="F22" s="4"/>
      <c r="G22" s="4">
        <f>IFERROR(__xludf.DUMMYFUNCTION("""COMPUTED_VALUE"""),70.0)</f>
        <v>70</v>
      </c>
      <c r="H22" s="31">
        <f>IFERROR(__xludf.DUMMYFUNCTION("""COMPUTED_VALUE"""),0.8)</f>
        <v>0.8</v>
      </c>
      <c r="I22"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22" s="4" t="str">
        <f>IFERROR(__xludf.DUMMYFUNCTION("""COMPUTED_VALUE"""),"OGGI SORVETES")</f>
        <v>OGGI SORVETES</v>
      </c>
      <c r="L22" s="32">
        <f>IFERROR(__xludf.DUMMYFUNCTION("""COMPUTED_VALUE"""),679.0)</f>
        <v>679</v>
      </c>
      <c r="M22" s="4" t="str">
        <f>IFERROR(__xludf.DUMMYFUNCTION("""COMPUTED_VALUE"""),"Connectplug")</f>
        <v>Connectplug</v>
      </c>
      <c r="N22" s="33">
        <f>IFERROR(__xludf.DUMMYFUNCTION("""COMPUTED_VALUE"""),0.7687776141384389)</f>
        <v>0.7687776141</v>
      </c>
      <c r="O22" s="4" t="str">
        <f>IFERROR(__xludf.DUMMYFUNCTION("""COMPUTED_VALUE"""),"Connectplug")</f>
        <v>Connectplug</v>
      </c>
      <c r="P22" s="33">
        <f>IFERROR(__xludf.DUMMYFUNCTION("""COMPUTED_VALUE"""),0.7378497790868925)</f>
        <v>0.7378497791</v>
      </c>
      <c r="Q22" s="4" t="str">
        <f>IFERROR(__xludf.DUMMYFUNCTION("""COMPUTED_VALUE"""),"Connectplug")</f>
        <v>Connectplug</v>
      </c>
      <c r="R22" s="33">
        <f>IFERROR(__xludf.DUMMYFUNCTION("""COMPUTED_VALUE"""),0.6539027982326951)</f>
        <v>0.6539027982</v>
      </c>
      <c r="S22" s="4" t="str">
        <f>IFERROR(__xludf.DUMMYFUNCTION("""COMPUTED_VALUE"""),"Connectplug")</f>
        <v>Connectplug</v>
      </c>
      <c r="T22" s="33">
        <f>IFERROR(__xludf.DUMMYFUNCTION("""COMPUTED_VALUE"""),0.6730486008836525)</f>
        <v>0.6730486009</v>
      </c>
      <c r="U22" s="4" t="str">
        <f>IFERROR(__xludf.DUMMYFUNCTION("""COMPUTED_VALUE"""),"Connectplug")</f>
        <v>Connectplug</v>
      </c>
      <c r="V22" s="33">
        <f>IFERROR(__xludf.DUMMYFUNCTION("""COMPUTED_VALUE"""),0.6642120765832106)</f>
        <v>0.6642120766</v>
      </c>
      <c r="W22" s="4" t="str">
        <f>IFERROR(__xludf.DUMMYFUNCTION("""COMPUTED_VALUE"""),"Connectplug")</f>
        <v>Connectplug</v>
      </c>
      <c r="X22" s="33">
        <f>IFERROR(__xludf.DUMMYFUNCTION("""COMPUTED_VALUE"""),0.6450662739322534)</f>
        <v>0.6450662739</v>
      </c>
    </row>
    <row r="23">
      <c r="A23" s="4" t="str">
        <f>IFERROR(__xludf.DUMMYFUNCTION("""COMPUTED_VALUE"""),"BEST - UBERLÂNDIA")</f>
        <v>BEST - UBERLÂNDIA</v>
      </c>
      <c r="B23" s="4">
        <f>IFERROR(__xludf.DUMMYFUNCTION("""COMPUTED_VALUE"""),3.0)</f>
        <v>3</v>
      </c>
      <c r="C23" s="30">
        <f>IFERROR(__xludf.DUMMYFUNCTION("""COMPUTED_VALUE"""),55.0)</f>
        <v>55</v>
      </c>
      <c r="D23" s="4" t="str">
        <f>IFERROR(__xludf.DUMMYFUNCTION("""COMPUTED_VALUE"""),"Fast Casual - Multi-conceito")</f>
        <v>Fast Casual - Multi-conceito</v>
      </c>
      <c r="E23" s="4" t="str">
        <f>IFERROR(__xludf.DUMMYFUNCTION("""COMPUTED_VALUE"""),"Uberlândia/MG")</f>
        <v>Uberlândia/MG</v>
      </c>
      <c r="F23" s="4"/>
      <c r="G23" s="4">
        <f>IFERROR(__xludf.DUMMYFUNCTION("""COMPUTED_VALUE"""),65.0)</f>
        <v>65</v>
      </c>
      <c r="H23" s="31">
        <f>IFERROR(__xludf.DUMMYFUNCTION("""COMPUTED_VALUE"""),0.75)</f>
        <v>0.75</v>
      </c>
      <c r="I2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3" s="4" t="str">
        <f>IFERROR(__xludf.DUMMYFUNCTION("""COMPUTED_VALUE"""),"GRUPO NOS - CONTA GRUPO")</f>
        <v>GRUPO NOS - CONTA GRUPO</v>
      </c>
      <c r="L23" s="32">
        <f>IFERROR(__xludf.DUMMYFUNCTION("""COMPUTED_VALUE"""),646.0)</f>
        <v>646</v>
      </c>
      <c r="M23" s="4" t="str">
        <f>IFERROR(__xludf.DUMMYFUNCTION("""COMPUTED_VALUE"""),"N/A (Not found)")</f>
        <v>N/A (Not found)</v>
      </c>
      <c r="N23" s="33">
        <f>IFERROR(__xludf.DUMMYFUNCTION("""COMPUTED_VALUE"""),0.9365325077399381)</f>
        <v>0.9365325077</v>
      </c>
      <c r="O23" s="4" t="str">
        <f>IFERROR(__xludf.DUMMYFUNCTION("""COMPUTED_VALUE"""),"N/A (Not found)")</f>
        <v>N/A (Not found)</v>
      </c>
      <c r="P23" s="33">
        <f>IFERROR(__xludf.DUMMYFUNCTION("""COMPUTED_VALUE"""),0.9241486068111455)</f>
        <v>0.9241486068</v>
      </c>
      <c r="Q23" s="4" t="str">
        <f>IFERROR(__xludf.DUMMYFUNCTION("""COMPUTED_VALUE"""),"N/A (Not found)")</f>
        <v>N/A (Not found)</v>
      </c>
      <c r="R23" s="33">
        <f>IFERROR(__xludf.DUMMYFUNCTION("""COMPUTED_VALUE"""),0.9256965944272446)</f>
        <v>0.9256965944</v>
      </c>
      <c r="S23" s="4" t="str">
        <f>IFERROR(__xludf.DUMMYFUNCTION("""COMPUTED_VALUE"""),"N/A (Not found)")</f>
        <v>N/A (Not found)</v>
      </c>
      <c r="T23" s="33">
        <f>IFERROR(__xludf.DUMMYFUNCTION("""COMPUTED_VALUE"""),0.9272445820433437)</f>
        <v>0.927244582</v>
      </c>
      <c r="U23" s="4" t="str">
        <f>IFERROR(__xludf.DUMMYFUNCTION("""COMPUTED_VALUE"""),"N/A (Not found)")</f>
        <v>N/A (Not found)</v>
      </c>
      <c r="V23" s="33">
        <f>IFERROR(__xludf.DUMMYFUNCTION("""COMPUTED_VALUE"""),0.9458204334365325)</f>
        <v>0.9458204334</v>
      </c>
      <c r="W23" s="4" t="str">
        <f>IFERROR(__xludf.DUMMYFUNCTION("""COMPUTED_VALUE"""),"N/A (Not found)")</f>
        <v>N/A (Not found)</v>
      </c>
      <c r="X23" s="33">
        <f>IFERROR(__xludf.DUMMYFUNCTION("""COMPUTED_VALUE"""),0.9736842105263158)</f>
        <v>0.9736842105</v>
      </c>
    </row>
    <row r="24">
      <c r="A24" s="4" t="str">
        <f>IFERROR(__xludf.DUMMYFUNCTION("""COMPUTED_VALUE"""),"BIBI RISTORANTE")</f>
        <v>BIBI RISTORANTE</v>
      </c>
      <c r="B24" s="4">
        <f>IFERROR(__xludf.DUMMYFUNCTION("""COMPUTED_VALUE"""),2.0)</f>
        <v>2</v>
      </c>
      <c r="C24" s="30">
        <f>IFERROR(__xludf.DUMMYFUNCTION("""COMPUTED_VALUE"""),110.0)</f>
        <v>110</v>
      </c>
      <c r="D24" s="4" t="str">
        <f>IFERROR(__xludf.DUMMYFUNCTION("""COMPUTED_VALUE"""),"Table Service - Italiano")</f>
        <v>Table Service - Italiano</v>
      </c>
      <c r="E24" s="4" t="str">
        <f>IFERROR(__xludf.DUMMYFUNCTION("""COMPUTED_VALUE"""),"Regional")</f>
        <v>Regional</v>
      </c>
      <c r="F24" s="4"/>
      <c r="G24" s="4">
        <f>IFERROR(__xludf.DUMMYFUNCTION("""COMPUTED_VALUE"""),55.0)</f>
        <v>55</v>
      </c>
      <c r="H24" s="31">
        <f>IFERROR(__xludf.DUMMYFUNCTION("""COMPUTED_VALUE"""),0.65)</f>
        <v>0.65</v>
      </c>
      <c r="I2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4" s="4" t="str">
        <f>IFERROR(__xludf.DUMMYFUNCTION("""COMPUTED_VALUE"""),"FARMACIA PANVEL - CONTA PAI")</f>
        <v>FARMACIA PANVEL - CONTA PAI</v>
      </c>
      <c r="L24" s="32">
        <f>IFERROR(__xludf.DUMMYFUNCTION("""COMPUTED_VALUE"""),611.0)</f>
        <v>611</v>
      </c>
      <c r="M24" s="4" t="str">
        <f>IFERROR(__xludf.DUMMYFUNCTION("""COMPUTED_VALUE"""),"N/A (Not found)")</f>
        <v>N/A (Not found)</v>
      </c>
      <c r="N24" s="33">
        <f>IFERROR(__xludf.DUMMYFUNCTION("""COMPUTED_VALUE"""),0.967266775777414)</f>
        <v>0.9672667758</v>
      </c>
      <c r="O24" s="4" t="str">
        <f>IFERROR(__xludf.DUMMYFUNCTION("""COMPUTED_VALUE"""),"N/A (Not found)")</f>
        <v>N/A (Not found)</v>
      </c>
      <c r="P24" s="33">
        <f>IFERROR(__xludf.DUMMYFUNCTION("""COMPUTED_VALUE"""),0.9754500818330606)</f>
        <v>0.9754500818</v>
      </c>
      <c r="Q24" s="4" t="str">
        <f>IFERROR(__xludf.DUMMYFUNCTION("""COMPUTED_VALUE"""),"N/A (Not found)")</f>
        <v>N/A (Not found)</v>
      </c>
      <c r="R24" s="33">
        <f>IFERROR(__xludf.DUMMYFUNCTION("""COMPUTED_VALUE"""),0.9705400981996727)</f>
        <v>0.9705400982</v>
      </c>
      <c r="S24" s="4" t="str">
        <f>IFERROR(__xludf.DUMMYFUNCTION("""COMPUTED_VALUE"""),"N/A (Not found)")</f>
        <v>N/A (Not found)</v>
      </c>
      <c r="T24" s="33">
        <f>IFERROR(__xludf.DUMMYFUNCTION("""COMPUTED_VALUE"""),0.9770867430441899)</f>
        <v>0.977086743</v>
      </c>
      <c r="U24" s="4" t="str">
        <f>IFERROR(__xludf.DUMMYFUNCTION("""COMPUTED_VALUE"""),"N/A (Not found)")</f>
        <v>N/A (Not found)</v>
      </c>
      <c r="V24" s="33">
        <f>IFERROR(__xludf.DUMMYFUNCTION("""COMPUTED_VALUE"""),0.9901800327332242)</f>
        <v>0.9901800327</v>
      </c>
      <c r="W24" s="4" t="str">
        <f>IFERROR(__xludf.DUMMYFUNCTION("""COMPUTED_VALUE"""),"N/A (Not found)")</f>
        <v>N/A (Not found)</v>
      </c>
      <c r="X24" s="33">
        <f>IFERROR(__xludf.DUMMYFUNCTION("""COMPUTED_VALUE"""),0.9918166939443536)</f>
        <v>0.9918166939</v>
      </c>
    </row>
    <row r="25">
      <c r="A25" s="4" t="str">
        <f>IFERROR(__xludf.DUMMYFUNCTION("""COMPUTED_VALUE"""),"BIG PIZZA")</f>
        <v>BIG PIZZA</v>
      </c>
      <c r="B25" s="4">
        <f>IFERROR(__xludf.DUMMYFUNCTION("""COMPUTED_VALUE"""),7.0)</f>
        <v>7</v>
      </c>
      <c r="C25" s="30">
        <f>IFERROR(__xludf.DUMMYFUNCTION("""COMPUTED_VALUE"""),55.0)</f>
        <v>55</v>
      </c>
      <c r="D25" s="4" t="str">
        <f>IFERROR(__xludf.DUMMYFUNCTION("""COMPUTED_VALUE"""),"QSR - Pizza Delivery")</f>
        <v>QSR - Pizza Delivery</v>
      </c>
      <c r="E25" s="4" t="str">
        <f>IFERROR(__xludf.DUMMYFUNCTION("""COMPUTED_VALUE"""),"Regional")</f>
        <v>Regional</v>
      </c>
      <c r="F25" s="4"/>
      <c r="G25" s="4">
        <f>IFERROR(__xludf.DUMMYFUNCTION("""COMPUTED_VALUE"""),70.0)</f>
        <v>70</v>
      </c>
      <c r="H25" s="31">
        <f>IFERROR(__xludf.DUMMYFUNCTION("""COMPUTED_VALUE"""),0.85)</f>
        <v>0.85</v>
      </c>
      <c r="I25"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25" s="4" t="str">
        <f>IFERROR(__xludf.DUMMYFUNCTION("""COMPUTED_VALUE"""),"GRUPO CLAMED")</f>
        <v>GRUPO CLAMED</v>
      </c>
      <c r="L25" s="32">
        <f>IFERROR(__xludf.DUMMYFUNCTION("""COMPUTED_VALUE"""),589.0)</f>
        <v>589</v>
      </c>
      <c r="M25" s="4" t="str">
        <f>IFERROR(__xludf.DUMMYFUNCTION("""COMPUTED_VALUE"""),"N/A (Not found)")</f>
        <v>N/A (Not found)</v>
      </c>
      <c r="N25" s="33">
        <f>IFERROR(__xludf.DUMMYFUNCTION("""COMPUTED_VALUE"""),0.9830220713073005)</f>
        <v>0.9830220713</v>
      </c>
      <c r="O25" s="4" t="str">
        <f>IFERROR(__xludf.DUMMYFUNCTION("""COMPUTED_VALUE"""),"N/A (Not found)")</f>
        <v>N/A (Not found)</v>
      </c>
      <c r="P25" s="33">
        <f>IFERROR(__xludf.DUMMYFUNCTION("""COMPUTED_VALUE"""),0.9881154499151104)</f>
        <v>0.9881154499</v>
      </c>
      <c r="Q25" s="4" t="str">
        <f>IFERROR(__xludf.DUMMYFUNCTION("""COMPUTED_VALUE"""),"N/A (Not found)")</f>
        <v>N/A (Not found)</v>
      </c>
      <c r="R25" s="33">
        <f>IFERROR(__xludf.DUMMYFUNCTION("""COMPUTED_VALUE"""),0.9881154499151104)</f>
        <v>0.9881154499</v>
      </c>
      <c r="S25" s="4" t="str">
        <f>IFERROR(__xludf.DUMMYFUNCTION("""COMPUTED_VALUE"""),"N/A (Not found)")</f>
        <v>N/A (Not found)</v>
      </c>
      <c r="T25" s="33">
        <f>IFERROR(__xludf.DUMMYFUNCTION("""COMPUTED_VALUE"""),0.9881154499151104)</f>
        <v>0.9881154499</v>
      </c>
      <c r="U25" s="4" t="str">
        <f>IFERROR(__xludf.DUMMYFUNCTION("""COMPUTED_VALUE"""),"N/A (Not found)")</f>
        <v>N/A (Not found)</v>
      </c>
      <c r="V25" s="33">
        <f>IFERROR(__xludf.DUMMYFUNCTION("""COMPUTED_VALUE"""),0.9898132427843803)</f>
        <v>0.9898132428</v>
      </c>
      <c r="W25" s="4" t="str">
        <f>IFERROR(__xludf.DUMMYFUNCTION("""COMPUTED_VALUE"""),"N/A (Not found)")</f>
        <v>N/A (Not found)</v>
      </c>
      <c r="X25" s="33">
        <f>IFERROR(__xludf.DUMMYFUNCTION("""COMPUTED_VALUE"""),0.9864176570458404)</f>
        <v>0.986417657</v>
      </c>
    </row>
    <row r="26">
      <c r="A26" s="4" t="str">
        <f>IFERROR(__xludf.DUMMYFUNCTION("""COMPUTED_VALUE"""),"BISTROGONOFF")</f>
        <v>BISTROGONOFF</v>
      </c>
      <c r="B26" s="4">
        <f>IFERROR(__xludf.DUMMYFUNCTION("""COMPUTED_VALUE"""),3.0)</f>
        <v>3</v>
      </c>
      <c r="C26" s="30">
        <f>IFERROR(__xludf.DUMMYFUNCTION("""COMPUTED_VALUE"""),45.0)</f>
        <v>45</v>
      </c>
      <c r="D26" s="4" t="str">
        <f>IFERROR(__xludf.DUMMYFUNCTION("""COMPUTED_VALUE"""),"Fast Casual - Strogonoff")</f>
        <v>Fast Casual - Strogonoff</v>
      </c>
      <c r="E26" s="4" t="str">
        <f>IFERROR(__xludf.DUMMYFUNCTION("""COMPUTED_VALUE"""),"Regional")</f>
        <v>Regional</v>
      </c>
      <c r="F26" s="4"/>
      <c r="G26" s="4">
        <f>IFERROR(__xludf.DUMMYFUNCTION("""COMPUTED_VALUE"""),65.0)</f>
        <v>65</v>
      </c>
      <c r="H26" s="31">
        <f>IFERROR(__xludf.DUMMYFUNCTION("""COMPUTED_VALUE"""),0.75)</f>
        <v>0.75</v>
      </c>
      <c r="I2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6" s="4" t="str">
        <f>IFERROR(__xludf.DUMMYFUNCTION("""COMPUTED_VALUE"""),"GRUPO BFFC")</f>
        <v>GRUPO BFFC</v>
      </c>
      <c r="L26" s="32">
        <f>IFERROR(__xludf.DUMMYFUNCTION("""COMPUTED_VALUE"""),579.0)</f>
        <v>579</v>
      </c>
      <c r="M26" s="4" t="str">
        <f>IFERROR(__xludf.DUMMYFUNCTION("""COMPUTED_VALUE"""),"Stone Co.")</f>
        <v>Stone Co.</v>
      </c>
      <c r="N26" s="33">
        <f>IFERROR(__xludf.DUMMYFUNCTION("""COMPUTED_VALUE"""),0.8657487091222031)</f>
        <v>0.8657487091</v>
      </c>
      <c r="O26" s="4" t="str">
        <f>IFERROR(__xludf.DUMMYFUNCTION("""COMPUTED_VALUE"""),"Stone Co.")</f>
        <v>Stone Co.</v>
      </c>
      <c r="P26" s="33">
        <f>IFERROR(__xludf.DUMMYFUNCTION("""COMPUTED_VALUE"""),0.8657487091222031)</f>
        <v>0.8657487091</v>
      </c>
      <c r="Q26" s="4" t="str">
        <f>IFERROR(__xludf.DUMMYFUNCTION("""COMPUTED_VALUE"""),"Stone Co.")</f>
        <v>Stone Co.</v>
      </c>
      <c r="R26" s="33">
        <f>IFERROR(__xludf.DUMMYFUNCTION("""COMPUTED_VALUE"""),0.8588640275387264)</f>
        <v>0.8588640275</v>
      </c>
      <c r="S26" s="4" t="str">
        <f>IFERROR(__xludf.DUMMYFUNCTION("""COMPUTED_VALUE"""),"Stone Co.")</f>
        <v>Stone Co.</v>
      </c>
      <c r="T26" s="33">
        <f>IFERROR(__xludf.DUMMYFUNCTION("""COMPUTED_VALUE"""),0.8605851979345955)</f>
        <v>0.8605851979</v>
      </c>
      <c r="U26" s="4" t="str">
        <f>IFERROR(__xludf.DUMMYFUNCTION("""COMPUTED_VALUE"""),"Stone Co.")</f>
        <v>Stone Co.</v>
      </c>
      <c r="V26" s="33">
        <f>IFERROR(__xludf.DUMMYFUNCTION("""COMPUTED_VALUE"""),0.8588640275387264)</f>
        <v>0.8588640275</v>
      </c>
      <c r="W26" s="4" t="str">
        <f>IFERROR(__xludf.DUMMYFUNCTION("""COMPUTED_VALUE"""),"Stone Co.")</f>
        <v>Stone Co.</v>
      </c>
      <c r="X26" s="33">
        <f>IFERROR(__xludf.DUMMYFUNCTION("""COMPUTED_VALUE"""),0.8485370051635112)</f>
        <v>0.8485370052</v>
      </c>
    </row>
    <row r="27">
      <c r="A27" s="4" t="str">
        <f>IFERROR(__xludf.DUMMYFUNCTION("""COMPUTED_VALUE"""),"BKO - CONTA MARCA")</f>
        <v>BKO - CONTA MARCA</v>
      </c>
      <c r="B27" s="4">
        <f>IFERROR(__xludf.DUMMYFUNCTION("""COMPUTED_VALUE"""),10.0)</f>
        <v>10</v>
      </c>
      <c r="C27" s="30">
        <f>IFERROR(__xludf.DUMMYFUNCTION("""COMPUTED_VALUE"""),40.0)</f>
        <v>40</v>
      </c>
      <c r="D27" s="4" t="str">
        <f>IFERROR(__xludf.DUMMYFUNCTION("""COMPUTED_VALUE"""),"QSR - Fast Food")</f>
        <v>QSR - Fast Food</v>
      </c>
      <c r="E27" s="4" t="str">
        <f>IFERROR(__xludf.DUMMYFUNCTION("""COMPUTED_VALUE"""),"Regional/Nacional")</f>
        <v>Regional/Nacional</v>
      </c>
      <c r="F27" s="4"/>
      <c r="G27" s="4">
        <f>IFERROR(__xludf.DUMMYFUNCTION("""COMPUTED_VALUE"""),70.0)</f>
        <v>70</v>
      </c>
      <c r="H27" s="31">
        <f>IFERROR(__xludf.DUMMYFUNCTION("""COMPUTED_VALUE"""),0.9)</f>
        <v>0.9</v>
      </c>
      <c r="I27"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27" s="4" t="str">
        <f>IFERROR(__xludf.DUMMYFUNCTION("""COMPUTED_VALUE"""),"GRUPO GIRAFFAS")</f>
        <v>GRUPO GIRAFFAS</v>
      </c>
      <c r="L27" s="32">
        <f>IFERROR(__xludf.DUMMYFUNCTION("""COMPUTED_VALUE"""),530.0)</f>
        <v>530</v>
      </c>
      <c r="M27" s="4" t="str">
        <f>IFERROR(__xludf.DUMMYFUNCTION("""COMPUTED_VALUE"""),"Jgracia Informática Ltda")</f>
        <v>Jgracia Informática Ltda</v>
      </c>
      <c r="N27" s="33">
        <f>IFERROR(__xludf.DUMMYFUNCTION("""COMPUTED_VALUE"""),0.9545454545454546)</f>
        <v>0.9545454545</v>
      </c>
      <c r="O27" s="4" t="str">
        <f>IFERROR(__xludf.DUMMYFUNCTION("""COMPUTED_VALUE"""),"Jgracia Informática Ltda")</f>
        <v>Jgracia Informática Ltda</v>
      </c>
      <c r="P27" s="33">
        <f>IFERROR(__xludf.DUMMYFUNCTION("""COMPUTED_VALUE"""),0.9476584022038568)</f>
        <v>0.9476584022</v>
      </c>
      <c r="Q27" s="4" t="str">
        <f>IFERROR(__xludf.DUMMYFUNCTION("""COMPUTED_VALUE"""),"Jgracia Informática Ltda")</f>
        <v>Jgracia Informática Ltda</v>
      </c>
      <c r="R27" s="33">
        <f>IFERROR(__xludf.DUMMYFUNCTION("""COMPUTED_VALUE"""),0.9573002754820936)</f>
        <v>0.9573002755</v>
      </c>
      <c r="S27" s="4" t="str">
        <f>IFERROR(__xludf.DUMMYFUNCTION("""COMPUTED_VALUE"""),"Jgracia Informática Ltda")</f>
        <v>Jgracia Informática Ltda</v>
      </c>
      <c r="T27" s="33">
        <f>IFERROR(__xludf.DUMMYFUNCTION("""COMPUTED_VALUE"""),0.9586776859504132)</f>
        <v>0.958677686</v>
      </c>
      <c r="U27" s="4" t="str">
        <f>IFERROR(__xludf.DUMMYFUNCTION("""COMPUTED_VALUE"""),"Jgracia Informática Ltda")</f>
        <v>Jgracia Informática Ltda</v>
      </c>
      <c r="V27" s="33">
        <f>IFERROR(__xludf.DUMMYFUNCTION("""COMPUTED_VALUE"""),0.9573002754820936)</f>
        <v>0.9573002755</v>
      </c>
      <c r="W27" s="4" t="str">
        <f>IFERROR(__xludf.DUMMYFUNCTION("""COMPUTED_VALUE"""),"Jgracia Informática Ltda")</f>
        <v>Jgracia Informática Ltda</v>
      </c>
      <c r="X27" s="33">
        <f>IFERROR(__xludf.DUMMYFUNCTION("""COMPUTED_VALUE"""),0.9517906336088154)</f>
        <v>0.9517906336</v>
      </c>
    </row>
    <row r="28">
      <c r="A28" s="4" t="str">
        <f>IFERROR(__xludf.DUMMYFUNCTION("""COMPUTED_VALUE"""),"BOLOS DO SÍTIO")</f>
        <v>BOLOS DO SÍTIO</v>
      </c>
      <c r="B28" s="4">
        <f>IFERROR(__xludf.DUMMYFUNCTION("""COMPUTED_VALUE"""),5.0)</f>
        <v>5</v>
      </c>
      <c r="C28" s="30">
        <f>IFERROR(__xludf.DUMMYFUNCTION("""COMPUTED_VALUE"""),45.0)</f>
        <v>45</v>
      </c>
      <c r="D28" s="4" t="str">
        <f>IFERROR(__xludf.DUMMYFUNCTION("""COMPUTED_VALUE"""),"Varejo - Confeitaria")</f>
        <v>Varejo - Confeitaria</v>
      </c>
      <c r="E28" s="4" t="str">
        <f>IFERROR(__xludf.DUMMYFUNCTION("""COMPUTED_VALUE"""),"Regional")</f>
        <v>Regional</v>
      </c>
      <c r="F28" s="4"/>
      <c r="G28" s="4">
        <f>IFERROR(__xludf.DUMMYFUNCTION("""COMPUTED_VALUE"""),40.0)</f>
        <v>40</v>
      </c>
      <c r="H28" s="31">
        <f>IFERROR(__xludf.DUMMYFUNCTION("""COMPUTED_VALUE"""),0.5)</f>
        <v>0.5</v>
      </c>
      <c r="I28"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28" s="4" t="str">
        <f>IFERROR(__xludf.DUMMYFUNCTION("""COMPUTED_VALUE"""),"GRUPO PETZ")</f>
        <v>GRUPO PETZ</v>
      </c>
      <c r="L28" s="32">
        <f>IFERROR(__xludf.DUMMYFUNCTION("""COMPUTED_VALUE"""),530.0)</f>
        <v>530</v>
      </c>
      <c r="M28" s="4" t="str">
        <f>IFERROR(__xludf.DUMMYFUNCTION("""COMPUTED_VALUE"""),"N/A (Not found)")</f>
        <v>N/A (Not found)</v>
      </c>
      <c r="N28" s="33">
        <f>IFERROR(__xludf.DUMMYFUNCTION("""COMPUTED_VALUE"""),0.9924528301886792)</f>
        <v>0.9924528302</v>
      </c>
      <c r="O28" s="4" t="str">
        <f>IFERROR(__xludf.DUMMYFUNCTION("""COMPUTED_VALUE"""),"N/A (Not found)")</f>
        <v>N/A (Not found)</v>
      </c>
      <c r="P28" s="33">
        <f>IFERROR(__xludf.DUMMYFUNCTION("""COMPUTED_VALUE"""),1.0)</f>
        <v>1</v>
      </c>
      <c r="Q28" s="4" t="str">
        <f>IFERROR(__xludf.DUMMYFUNCTION("""COMPUTED_VALUE"""),"N/A (Not found)")</f>
        <v>N/A (Not found)</v>
      </c>
      <c r="R28" s="33">
        <f>IFERROR(__xludf.DUMMYFUNCTION("""COMPUTED_VALUE"""),0.9660377358490566)</f>
        <v>0.9660377358</v>
      </c>
      <c r="S28" s="4" t="str">
        <f>IFERROR(__xludf.DUMMYFUNCTION("""COMPUTED_VALUE"""),"N/A (Not found)")</f>
        <v>N/A (Not found)</v>
      </c>
      <c r="T28" s="33">
        <f>IFERROR(__xludf.DUMMYFUNCTION("""COMPUTED_VALUE"""),1.0)</f>
        <v>1</v>
      </c>
      <c r="U28" s="4" t="str">
        <f>IFERROR(__xludf.DUMMYFUNCTION("""COMPUTED_VALUE"""),"N/A (Not found)")</f>
        <v>N/A (Not found)</v>
      </c>
      <c r="V28" s="33">
        <f>IFERROR(__xludf.DUMMYFUNCTION("""COMPUTED_VALUE"""),1.0)</f>
        <v>1</v>
      </c>
      <c r="W28" s="4" t="str">
        <f>IFERROR(__xludf.DUMMYFUNCTION("""COMPUTED_VALUE"""),"N/A (Not found)")</f>
        <v>N/A (Not found)</v>
      </c>
      <c r="X28" s="33">
        <f>IFERROR(__xludf.DUMMYFUNCTION("""COMPUTED_VALUE"""),0.9849056603773585)</f>
        <v>0.9849056604</v>
      </c>
    </row>
    <row r="29">
      <c r="A29" s="4" t="str">
        <f>IFERROR(__xludf.DUMMYFUNCTION("""COMPUTED_VALUE"""),"BOLOS ROSA")</f>
        <v>BOLOS ROSA</v>
      </c>
      <c r="B29" s="4">
        <f>IFERROR(__xludf.DUMMYFUNCTION("""COMPUTED_VALUE"""),8.0)</f>
        <v>8</v>
      </c>
      <c r="C29" s="30">
        <f>IFERROR(__xludf.DUMMYFUNCTION("""COMPUTED_VALUE"""),50.0)</f>
        <v>50</v>
      </c>
      <c r="D29" s="4" t="str">
        <f>IFERROR(__xludf.DUMMYFUNCTION("""COMPUTED_VALUE"""),"Varejo - Confeitaria")</f>
        <v>Varejo - Confeitaria</v>
      </c>
      <c r="E29" s="4" t="str">
        <f>IFERROR(__xludf.DUMMYFUNCTION("""COMPUTED_VALUE"""),"Regional")</f>
        <v>Regional</v>
      </c>
      <c r="F29" s="4"/>
      <c r="G29" s="4">
        <f>IFERROR(__xludf.DUMMYFUNCTION("""COMPUTED_VALUE"""),40.0)</f>
        <v>40</v>
      </c>
      <c r="H29" s="31">
        <f>IFERROR(__xludf.DUMMYFUNCTION("""COMPUTED_VALUE"""),0.5)</f>
        <v>0.5</v>
      </c>
      <c r="I29"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29" s="4" t="str">
        <f>IFERROR(__xludf.DUMMYFUNCTION("""COMPUTED_VALUE"""),"GRUPO O BOTICARIO")</f>
        <v>GRUPO O BOTICARIO</v>
      </c>
      <c r="L29" s="32">
        <f>IFERROR(__xludf.DUMMYFUNCTION("""COMPUTED_VALUE"""),490.0)</f>
        <v>490</v>
      </c>
      <c r="M29" s="4" t="str">
        <f>IFERROR(__xludf.DUMMYFUNCTION("""COMPUTED_VALUE"""),"N/A (Not found)")</f>
        <v>N/A (Not found)</v>
      </c>
      <c r="N29" s="33">
        <f>IFERROR(__xludf.DUMMYFUNCTION("""COMPUTED_VALUE"""),0.9591836734693877)</f>
        <v>0.9591836735</v>
      </c>
      <c r="O29" s="4" t="str">
        <f>IFERROR(__xludf.DUMMYFUNCTION("""COMPUTED_VALUE"""),"N/A (Not found)")</f>
        <v>N/A (Not found)</v>
      </c>
      <c r="P29" s="33">
        <f>IFERROR(__xludf.DUMMYFUNCTION("""COMPUTED_VALUE"""),0.9612244897959183)</f>
        <v>0.9612244898</v>
      </c>
      <c r="Q29" s="4" t="str">
        <f>IFERROR(__xludf.DUMMYFUNCTION("""COMPUTED_VALUE"""),"N/A (Not found)")</f>
        <v>N/A (Not found)</v>
      </c>
      <c r="R29" s="33">
        <f>IFERROR(__xludf.DUMMYFUNCTION("""COMPUTED_VALUE"""),0.9469387755102041)</f>
        <v>0.9469387755</v>
      </c>
      <c r="S29" s="4" t="str">
        <f>IFERROR(__xludf.DUMMYFUNCTION("""COMPUTED_VALUE"""),"N/A (Not found)")</f>
        <v>N/A (Not found)</v>
      </c>
      <c r="T29" s="33">
        <f>IFERROR(__xludf.DUMMYFUNCTION("""COMPUTED_VALUE"""),0.9448979591836735)</f>
        <v>0.9448979592</v>
      </c>
      <c r="U29" s="4" t="str">
        <f>IFERROR(__xludf.DUMMYFUNCTION("""COMPUTED_VALUE"""),"N/A (Not found)")</f>
        <v>N/A (Not found)</v>
      </c>
      <c r="V29" s="33">
        <f>IFERROR(__xludf.DUMMYFUNCTION("""COMPUTED_VALUE"""),0.9612244897959183)</f>
        <v>0.9612244898</v>
      </c>
      <c r="W29" s="4" t="str">
        <f>IFERROR(__xludf.DUMMYFUNCTION("""COMPUTED_VALUE"""),"N/A (Not found)")</f>
        <v>N/A (Not found)</v>
      </c>
      <c r="X29" s="33">
        <f>IFERROR(__xludf.DUMMYFUNCTION("""COMPUTED_VALUE"""),0.9326530612244898)</f>
        <v>0.9326530612</v>
      </c>
    </row>
    <row r="30">
      <c r="A30" s="4" t="str">
        <f>IFERROR(__xludf.DUMMYFUNCTION("""COMPUTED_VALUE"""),"BORDA E LENHA")</f>
        <v>BORDA E LENHA</v>
      </c>
      <c r="B30" s="4">
        <f>IFERROR(__xludf.DUMMYFUNCTION("""COMPUTED_VALUE"""),4.0)</f>
        <v>4</v>
      </c>
      <c r="C30" s="30">
        <f>IFERROR(__xludf.DUMMYFUNCTION("""COMPUTED_VALUE"""),75.0)</f>
        <v>75</v>
      </c>
      <c r="D30" s="4" t="str">
        <f>IFERROR(__xludf.DUMMYFUNCTION("""COMPUTED_VALUE"""),"Fast Casual - Pizzaria Forno Lenha")</f>
        <v>Fast Casual - Pizzaria Forno Lenha</v>
      </c>
      <c r="E30" s="4" t="str">
        <f>IFERROR(__xludf.DUMMYFUNCTION("""COMPUTED_VALUE"""),"Regional")</f>
        <v>Regional</v>
      </c>
      <c r="F30" s="4"/>
      <c r="G30" s="4">
        <f>IFERROR(__xludf.DUMMYFUNCTION("""COMPUTED_VALUE"""),65.0)</f>
        <v>65</v>
      </c>
      <c r="H30" s="31">
        <f>IFERROR(__xludf.DUMMYFUNCTION("""COMPUTED_VALUE"""),0.75)</f>
        <v>0.75</v>
      </c>
      <c r="I3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30" s="4" t="str">
        <f>IFERROR(__xludf.DUMMYFUNCTION("""COMPUTED_VALUE"""),"IMC")</f>
        <v>IMC</v>
      </c>
      <c r="L30" s="32">
        <f>IFERROR(__xludf.DUMMYFUNCTION("""COMPUTED_VALUE"""),482.0)</f>
        <v>482</v>
      </c>
      <c r="M30" s="4" t="str">
        <f>IFERROR(__xludf.DUMMYFUNCTION("""COMPUTED_VALUE"""),"E-deploy Retail")</f>
        <v>E-deploy Retail</v>
      </c>
      <c r="N30" s="33">
        <f>IFERROR(__xludf.DUMMYFUNCTION("""COMPUTED_VALUE"""),0.8547717842323651)</f>
        <v>0.8547717842</v>
      </c>
      <c r="O30" s="4" t="str">
        <f>IFERROR(__xludf.DUMMYFUNCTION("""COMPUTED_VALUE"""),"E-deploy Retail")</f>
        <v>E-deploy Retail</v>
      </c>
      <c r="P30" s="33">
        <f>IFERROR(__xludf.DUMMYFUNCTION("""COMPUTED_VALUE"""),0.8423236514522822)</f>
        <v>0.8423236515</v>
      </c>
      <c r="Q30" s="4" t="str">
        <f>IFERROR(__xludf.DUMMYFUNCTION("""COMPUTED_VALUE"""),"E-deploy Retail")</f>
        <v>E-deploy Retail</v>
      </c>
      <c r="R30" s="33">
        <f>IFERROR(__xludf.DUMMYFUNCTION("""COMPUTED_VALUE"""),0.8298755186721992)</f>
        <v>0.8298755187</v>
      </c>
      <c r="S30" s="4" t="str">
        <f>IFERROR(__xludf.DUMMYFUNCTION("""COMPUTED_VALUE"""),"E-deploy Retail")</f>
        <v>E-deploy Retail</v>
      </c>
      <c r="T30" s="33">
        <f>IFERROR(__xludf.DUMMYFUNCTION("""COMPUTED_VALUE"""),0.8236514522821576)</f>
        <v>0.8236514523</v>
      </c>
      <c r="U30" s="4" t="str">
        <f>IFERROR(__xludf.DUMMYFUNCTION("""COMPUTED_VALUE"""),"E-deploy Retail")</f>
        <v>E-deploy Retail</v>
      </c>
      <c r="V30" s="33">
        <f>IFERROR(__xludf.DUMMYFUNCTION("""COMPUTED_VALUE"""),0.8008298755186722)</f>
        <v>0.8008298755</v>
      </c>
      <c r="W30" s="4" t="str">
        <f>IFERROR(__xludf.DUMMYFUNCTION("""COMPUTED_VALUE"""),"E-deploy Retail")</f>
        <v>E-deploy Retail</v>
      </c>
      <c r="X30" s="33">
        <f>IFERROR(__xludf.DUMMYFUNCTION("""COMPUTED_VALUE"""),0.8049792531120332)</f>
        <v>0.8049792531</v>
      </c>
    </row>
    <row r="31">
      <c r="A31" s="4" t="str">
        <f>IFERROR(__xludf.DUMMYFUNCTION("""COMPUTED_VALUE"""),"BOTECO COLARINHO")</f>
        <v>BOTECO COLARINHO</v>
      </c>
      <c r="B31" s="4">
        <f>IFERROR(__xludf.DUMMYFUNCTION("""COMPUTED_VALUE"""),2.0)</f>
        <v>2</v>
      </c>
      <c r="C31" s="30">
        <f>IFERROR(__xludf.DUMMYFUNCTION("""COMPUTED_VALUE"""),70.0)</f>
        <v>70</v>
      </c>
      <c r="D31" s="4" t="str">
        <f>IFERROR(__xludf.DUMMYFUNCTION("""COMPUTED_VALUE"""),"Table Service - Boteco")</f>
        <v>Table Service - Boteco</v>
      </c>
      <c r="E31" s="4" t="str">
        <f>IFERROR(__xludf.DUMMYFUNCTION("""COMPUTED_VALUE"""),"Regional")</f>
        <v>Regional</v>
      </c>
      <c r="F31" s="4"/>
      <c r="G31" s="4">
        <f>IFERROR(__xludf.DUMMYFUNCTION("""COMPUTED_VALUE"""),55.0)</f>
        <v>55</v>
      </c>
      <c r="H31" s="31">
        <f>IFERROR(__xludf.DUMMYFUNCTION("""COMPUTED_VALUE"""),0.65)</f>
        <v>0.65</v>
      </c>
      <c r="I3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31" s="4" t="str">
        <f>IFERROR(__xludf.DUMMYFUNCTION("""COMPUTED_VALUE"""),"NISSEI - CONTA GRUPO")</f>
        <v>NISSEI - CONTA GRUPO</v>
      </c>
      <c r="L31" s="32">
        <f>IFERROR(__xludf.DUMMYFUNCTION("""COMPUTED_VALUE"""),455.0)</f>
        <v>455</v>
      </c>
      <c r="M31" s="4" t="str">
        <f>IFERROR(__xludf.DUMMYFUNCTION("""COMPUTED_VALUE"""),"N/A (Not found)")</f>
        <v>N/A (Not found)</v>
      </c>
      <c r="N31" s="33">
        <f>IFERROR(__xludf.DUMMYFUNCTION("""COMPUTED_VALUE"""),0.9978021978021978)</f>
        <v>0.9978021978</v>
      </c>
      <c r="O31" s="4" t="str">
        <f>IFERROR(__xludf.DUMMYFUNCTION("""COMPUTED_VALUE"""),"N/A (Not found)")</f>
        <v>N/A (Not found)</v>
      </c>
      <c r="P31" s="33">
        <f>IFERROR(__xludf.DUMMYFUNCTION("""COMPUTED_VALUE"""),0.9978021978021978)</f>
        <v>0.9978021978</v>
      </c>
      <c r="Q31" s="4" t="str">
        <f>IFERROR(__xludf.DUMMYFUNCTION("""COMPUTED_VALUE"""),"N/A (Not found)")</f>
        <v>N/A (Not found)</v>
      </c>
      <c r="R31" s="33">
        <f>IFERROR(__xludf.DUMMYFUNCTION("""COMPUTED_VALUE"""),0.9978021978021978)</f>
        <v>0.9978021978</v>
      </c>
      <c r="S31" s="4" t="str">
        <f>IFERROR(__xludf.DUMMYFUNCTION("""COMPUTED_VALUE"""),"N/A (Not found)")</f>
        <v>N/A (Not found)</v>
      </c>
      <c r="T31" s="33">
        <f>IFERROR(__xludf.DUMMYFUNCTION("""COMPUTED_VALUE"""),0.9978021978021978)</f>
        <v>0.9978021978</v>
      </c>
      <c r="U31" s="4" t="str">
        <f>IFERROR(__xludf.DUMMYFUNCTION("""COMPUTED_VALUE"""),"N/A (Not found)")</f>
        <v>N/A (Not found)</v>
      </c>
      <c r="V31" s="33">
        <f>IFERROR(__xludf.DUMMYFUNCTION("""COMPUTED_VALUE"""),1.0)</f>
        <v>1</v>
      </c>
      <c r="W31" s="4" t="str">
        <f>IFERROR(__xludf.DUMMYFUNCTION("""COMPUTED_VALUE"""),"N/A (Not found)")</f>
        <v>N/A (Not found)</v>
      </c>
      <c r="X31" s="33">
        <f>IFERROR(__xludf.DUMMYFUNCTION("""COMPUTED_VALUE"""),1.0)</f>
        <v>1</v>
      </c>
    </row>
    <row r="32">
      <c r="A32" s="4" t="str">
        <f>IFERROR(__xludf.DUMMYFUNCTION("""COMPUTED_VALUE"""),"BOTECO CONFRARIA")</f>
        <v>BOTECO CONFRARIA</v>
      </c>
      <c r="B32" s="4">
        <f>IFERROR(__xludf.DUMMYFUNCTION("""COMPUTED_VALUE"""),3.0)</f>
        <v>3</v>
      </c>
      <c r="C32" s="30">
        <f>IFERROR(__xludf.DUMMYFUNCTION("""COMPUTED_VALUE"""),65.0)</f>
        <v>65</v>
      </c>
      <c r="D32" s="4" t="str">
        <f>IFERROR(__xludf.DUMMYFUNCTION("""COMPUTED_VALUE"""),"Table Service - Boteco")</f>
        <v>Table Service - Boteco</v>
      </c>
      <c r="E32" s="4" t="str">
        <f>IFERROR(__xludf.DUMMYFUNCTION("""COMPUTED_VALUE"""),"Regional")</f>
        <v>Regional</v>
      </c>
      <c r="F32" s="4"/>
      <c r="G32" s="4">
        <f>IFERROR(__xludf.DUMMYFUNCTION("""COMPUTED_VALUE"""),55.0)</f>
        <v>55</v>
      </c>
      <c r="H32" s="31">
        <f>IFERROR(__xludf.DUMMYFUNCTION("""COMPUTED_VALUE"""),0.65)</f>
        <v>0.65</v>
      </c>
      <c r="I3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32" s="4" t="str">
        <f>IFERROR(__xludf.DUMMYFUNCTION("""COMPUTED_VALUE"""),"COBASI - CONTA GRUPO")</f>
        <v>COBASI - CONTA GRUPO</v>
      </c>
      <c r="L32" s="32">
        <f>IFERROR(__xludf.DUMMYFUNCTION("""COMPUTED_VALUE"""),409.0)</f>
        <v>409</v>
      </c>
      <c r="M32" s="4" t="str">
        <f>IFERROR(__xludf.DUMMYFUNCTION("""COMPUTED_VALUE"""),"N/A (Not found)")</f>
        <v>N/A (Not found)</v>
      </c>
      <c r="N32" s="33">
        <f>IFERROR(__xludf.DUMMYFUNCTION("""COMPUTED_VALUE"""),0.9242053789731052)</f>
        <v>0.924205379</v>
      </c>
      <c r="O32" s="4" t="str">
        <f>IFERROR(__xludf.DUMMYFUNCTION("""COMPUTED_VALUE"""),"N/A (Not found)")</f>
        <v>N/A (Not found)</v>
      </c>
      <c r="P32" s="33">
        <f>IFERROR(__xludf.DUMMYFUNCTION("""COMPUTED_VALUE"""),0.9462102689486552)</f>
        <v>0.9462102689</v>
      </c>
      <c r="Q32" s="4" t="str">
        <f>IFERROR(__xludf.DUMMYFUNCTION("""COMPUTED_VALUE"""),"N/A (Not found)")</f>
        <v>N/A (Not found)</v>
      </c>
      <c r="R32" s="33">
        <f>IFERROR(__xludf.DUMMYFUNCTION("""COMPUTED_VALUE"""),0.9559902200488998)</f>
        <v>0.95599022</v>
      </c>
      <c r="S32" s="4" t="str">
        <f>IFERROR(__xludf.DUMMYFUNCTION("""COMPUTED_VALUE"""),"N/A (Not found)")</f>
        <v>N/A (Not found)</v>
      </c>
      <c r="T32" s="33">
        <f>IFERROR(__xludf.DUMMYFUNCTION("""COMPUTED_VALUE"""),0.9437652811735942)</f>
        <v>0.9437652812</v>
      </c>
      <c r="U32" s="4" t="str">
        <f>IFERROR(__xludf.DUMMYFUNCTION("""COMPUTED_VALUE"""),"N/A (Not found)")</f>
        <v>N/A (Not found)</v>
      </c>
      <c r="V32" s="33">
        <f>IFERROR(__xludf.DUMMYFUNCTION("""COMPUTED_VALUE"""),0.9828850855745721)</f>
        <v>0.9828850856</v>
      </c>
      <c r="W32" s="4" t="str">
        <f>IFERROR(__xludf.DUMMYFUNCTION("""COMPUTED_VALUE"""),"N/A (Not found)")</f>
        <v>N/A (Not found)</v>
      </c>
      <c r="X32" s="33">
        <f>IFERROR(__xludf.DUMMYFUNCTION("""COMPUTED_VALUE"""),0.9193154034229829)</f>
        <v>0.9193154034</v>
      </c>
    </row>
    <row r="33">
      <c r="A33" s="4" t="str">
        <f>IFERROR(__xludf.DUMMYFUNCTION("""COMPUTED_VALUE"""),"BRAVA SUSHI - CONTA MARCA")</f>
        <v>BRAVA SUSHI - CONTA MARCA</v>
      </c>
      <c r="B33" s="4">
        <f>IFERROR(__xludf.DUMMYFUNCTION("""COMPUTED_VALUE"""),12.0)</f>
        <v>12</v>
      </c>
      <c r="C33" s="30">
        <f>IFERROR(__xludf.DUMMYFUNCTION("""COMPUTED_VALUE"""),70.0)</f>
        <v>70</v>
      </c>
      <c r="D33" s="4" t="str">
        <f>IFERROR(__xludf.DUMMYFUNCTION("""COMPUTED_VALUE"""),"Fast Casual/Delivery - Comida Japonesa")</f>
        <v>Fast Casual/Delivery - Comida Japonesa</v>
      </c>
      <c r="E33" s="4" t="str">
        <f>IFERROR(__xludf.DUMMYFUNCTION("""COMPUTED_VALUE"""),"Regional/Nacional")</f>
        <v>Regional/Nacional</v>
      </c>
      <c r="F33" s="4" t="str">
        <f>IFERROR(__xludf.DUMMYFUNCTION("""COMPUTED_VALUE"""),"Dado não disponível - Necessário Discovery")</f>
        <v>Dado não disponível - Necessário Discovery</v>
      </c>
      <c r="G33" s="4">
        <f>IFERROR(__xludf.DUMMYFUNCTION("""COMPUTED_VALUE"""),70.0)</f>
        <v>70</v>
      </c>
      <c r="H33" s="31">
        <f>IFERROR(__xludf.DUMMYFUNCTION("""COMPUTED_VALUE"""),0.8)</f>
        <v>0.8</v>
      </c>
      <c r="I33"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33" s="4" t="str">
        <f>IFERROR(__xludf.DUMMYFUNCTION("""COMPUTED_VALUE"""),"GRUPO HALIPAR")</f>
        <v>GRUPO HALIPAR</v>
      </c>
      <c r="L33" s="32">
        <f>IFERROR(__xludf.DUMMYFUNCTION("""COMPUTED_VALUE"""),391.0)</f>
        <v>391</v>
      </c>
      <c r="M33" s="4" t="str">
        <f>IFERROR(__xludf.DUMMYFUNCTION("""COMPUTED_VALUE"""),"Stone Co.")</f>
        <v>Stone Co.</v>
      </c>
      <c r="N33" s="33">
        <f>IFERROR(__xludf.DUMMYFUNCTION("""COMPUTED_VALUE"""),0.8516624040920716)</f>
        <v>0.8516624041</v>
      </c>
      <c r="O33" s="4" t="str">
        <f>IFERROR(__xludf.DUMMYFUNCTION("""COMPUTED_VALUE"""),"Stone Co.")</f>
        <v>Stone Co.</v>
      </c>
      <c r="P33" s="33">
        <f>IFERROR(__xludf.DUMMYFUNCTION("""COMPUTED_VALUE"""),0.8286445012787724)</f>
        <v>0.8286445013</v>
      </c>
      <c r="Q33" s="4" t="str">
        <f>IFERROR(__xludf.DUMMYFUNCTION("""COMPUTED_VALUE"""),"Stone Co.")</f>
        <v>Stone Co.</v>
      </c>
      <c r="R33" s="33">
        <f>IFERROR(__xludf.DUMMYFUNCTION("""COMPUTED_VALUE"""),0.8567774936061381)</f>
        <v>0.8567774936</v>
      </c>
      <c r="S33" s="4" t="str">
        <f>IFERROR(__xludf.DUMMYFUNCTION("""COMPUTED_VALUE"""),"Stone Co.")</f>
        <v>Stone Co.</v>
      </c>
      <c r="T33" s="33">
        <f>IFERROR(__xludf.DUMMYFUNCTION("""COMPUTED_VALUE"""),0.8951406649616368)</f>
        <v>0.895140665</v>
      </c>
      <c r="U33" s="4" t="str">
        <f>IFERROR(__xludf.DUMMYFUNCTION("""COMPUTED_VALUE"""),"Stone Co.")</f>
        <v>Stone Co.</v>
      </c>
      <c r="V33" s="33">
        <f>IFERROR(__xludf.DUMMYFUNCTION("""COMPUTED_VALUE"""),0.8976982097186701)</f>
        <v>0.8976982097</v>
      </c>
      <c r="W33" s="4" t="str">
        <f>IFERROR(__xludf.DUMMYFUNCTION("""COMPUTED_VALUE"""),"Stone Co.")</f>
        <v>Stone Co.</v>
      </c>
      <c r="X33" s="33">
        <f>IFERROR(__xludf.DUMMYFUNCTION("""COMPUTED_VALUE"""),0.8491048593350383)</f>
        <v>0.8491048593</v>
      </c>
    </row>
    <row r="34">
      <c r="A34" s="4" t="str">
        <f>IFERROR(__xludf.DUMMYFUNCTION("""COMPUTED_VALUE"""),"BRAZZATTO PIZZA")</f>
        <v>BRAZZATTO PIZZA</v>
      </c>
      <c r="B34" s="4">
        <f>IFERROR(__xludf.DUMMYFUNCTION("""COMPUTED_VALUE"""),6.0)</f>
        <v>6</v>
      </c>
      <c r="C34" s="30">
        <f>IFERROR(__xludf.DUMMYFUNCTION("""COMPUTED_VALUE"""),68.0)</f>
        <v>68</v>
      </c>
      <c r="D34" s="4" t="str">
        <f>IFERROR(__xludf.DUMMYFUNCTION("""COMPUTED_VALUE"""),"Fast Casual - Pizzaria")</f>
        <v>Fast Casual - Pizzaria</v>
      </c>
      <c r="E34" s="4" t="str">
        <f>IFERROR(__xludf.DUMMYFUNCTION("""COMPUTED_VALUE"""),"Regional")</f>
        <v>Regional</v>
      </c>
      <c r="F34" s="4" t="str">
        <f>IFERROR(__xludf.DUMMYFUNCTION("""COMPUTED_VALUE"""),"Dado não disponível - Necessário Discovery")</f>
        <v>Dado não disponível - Necessário Discovery</v>
      </c>
      <c r="G34" s="4">
        <f>IFERROR(__xludf.DUMMYFUNCTION("""COMPUTED_VALUE"""),70.0)</f>
        <v>70</v>
      </c>
      <c r="H34" s="31">
        <f>IFERROR(__xludf.DUMMYFUNCTION("""COMPUTED_VALUE"""),0.75)</f>
        <v>0.75</v>
      </c>
      <c r="I3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34" s="4" t="str">
        <f>IFERROR(__xludf.DUMMYFUNCTION("""COMPUTED_VALUE"""),"FARMACIA DROGAL - CONTA PAI")</f>
        <v>FARMACIA DROGAL - CONTA PAI</v>
      </c>
      <c r="L34" s="32">
        <f>IFERROR(__xludf.DUMMYFUNCTION("""COMPUTED_VALUE"""),391.0)</f>
        <v>391</v>
      </c>
      <c r="M34" s="4" t="str">
        <f>IFERROR(__xludf.DUMMYFUNCTION("""COMPUTED_VALUE"""),"N/A (Not found)")</f>
        <v>N/A (Not found)</v>
      </c>
      <c r="N34" s="33">
        <f>IFERROR(__xludf.DUMMYFUNCTION("""COMPUTED_VALUE"""),0.928388746803069)</f>
        <v>0.9283887468</v>
      </c>
      <c r="O34" s="4" t="str">
        <f>IFERROR(__xludf.DUMMYFUNCTION("""COMPUTED_VALUE"""),"N/A (Not found)")</f>
        <v>N/A (Not found)</v>
      </c>
      <c r="P34" s="33">
        <f>IFERROR(__xludf.DUMMYFUNCTION("""COMPUTED_VALUE"""),0.969309462915601)</f>
        <v>0.9693094629</v>
      </c>
      <c r="Q34" s="4" t="str">
        <f>IFERROR(__xludf.DUMMYFUNCTION("""COMPUTED_VALUE"""),"N/A (Not found)")</f>
        <v>N/A (Not found)</v>
      </c>
      <c r="R34" s="33">
        <f>IFERROR(__xludf.DUMMYFUNCTION("""COMPUTED_VALUE"""),0.9744245524296675)</f>
        <v>0.9744245524</v>
      </c>
      <c r="S34" s="4" t="str">
        <f>IFERROR(__xludf.DUMMYFUNCTION("""COMPUTED_VALUE"""),"N/A (Not found)")</f>
        <v>N/A (Not found)</v>
      </c>
      <c r="T34" s="33">
        <f>IFERROR(__xludf.DUMMYFUNCTION("""COMPUTED_VALUE"""),0.9718670076726342)</f>
        <v>0.9718670077</v>
      </c>
      <c r="U34" s="4" t="str">
        <f>IFERROR(__xludf.DUMMYFUNCTION("""COMPUTED_VALUE"""),"N/A (Not found)")</f>
        <v>N/A (Not found)</v>
      </c>
      <c r="V34" s="33">
        <f>IFERROR(__xludf.DUMMYFUNCTION("""COMPUTED_VALUE"""),0.9923273657289002)</f>
        <v>0.9923273657</v>
      </c>
      <c r="W34" s="4" t="str">
        <f>IFERROR(__xludf.DUMMYFUNCTION("""COMPUTED_VALUE"""),"N/A (Not found)")</f>
        <v>N/A (Not found)</v>
      </c>
      <c r="X34" s="33">
        <f>IFERROR(__xludf.DUMMYFUNCTION("""COMPUTED_VALUE"""),0.9923273657289002)</f>
        <v>0.9923273657</v>
      </c>
    </row>
    <row r="35">
      <c r="A35" s="4" t="str">
        <f>IFERROR(__xludf.DUMMYFUNCTION("""COMPUTED_VALUE"""),"BRONCO BURGER")</f>
        <v>BRONCO BURGER</v>
      </c>
      <c r="B35" s="4">
        <f>IFERROR(__xludf.DUMMYFUNCTION("""COMPUTED_VALUE"""),5.0)</f>
        <v>5</v>
      </c>
      <c r="C35" s="30">
        <f>IFERROR(__xludf.DUMMYFUNCTION("""COMPUTED_VALUE"""),60.0)</f>
        <v>60</v>
      </c>
      <c r="D35" s="4" t="str">
        <f>IFERROR(__xludf.DUMMYFUNCTION("""COMPUTED_VALUE"""),"Fast Casual - Hamburgueria")</f>
        <v>Fast Casual - Hamburgueria</v>
      </c>
      <c r="E35" s="4" t="str">
        <f>IFERROR(__xludf.DUMMYFUNCTION("""COMPUTED_VALUE"""),"Regional")</f>
        <v>Regional</v>
      </c>
      <c r="F35" s="4" t="str">
        <f>IFERROR(__xludf.DUMMYFUNCTION("""COMPUTED_VALUE"""),"Dado não disponível - Necessário Discovery")</f>
        <v>Dado não disponível - Necessário Discovery</v>
      </c>
      <c r="G35" s="4">
        <f>IFERROR(__xludf.DUMMYFUNCTION("""COMPUTED_VALUE"""),70.0)</f>
        <v>70</v>
      </c>
      <c r="H35" s="31">
        <f>IFERROR(__xludf.DUMMYFUNCTION("""COMPUTED_VALUE"""),0.75)</f>
        <v>0.75</v>
      </c>
      <c r="I3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35" s="4" t="str">
        <f>IFERROR(__xludf.DUMMYFUNCTION("""COMPUTED_VALUE"""),"GRUPO MILKY MOO")</f>
        <v>GRUPO MILKY MOO</v>
      </c>
      <c r="L35" s="32">
        <f>IFERROR(__xludf.DUMMYFUNCTION("""COMPUTED_VALUE"""),375.0)</f>
        <v>375</v>
      </c>
      <c r="M35" s="4" t="str">
        <f>IFERROR(__xludf.DUMMYFUNCTION("""COMPUTED_VALUE"""),"Stone Co.")</f>
        <v>Stone Co.</v>
      </c>
      <c r="N35" s="33">
        <f>IFERROR(__xludf.DUMMYFUNCTION("""COMPUTED_VALUE"""),0.8906666666666667)</f>
        <v>0.8906666667</v>
      </c>
      <c r="O35" s="4" t="str">
        <f>IFERROR(__xludf.DUMMYFUNCTION("""COMPUTED_VALUE"""),"Stone Co.")</f>
        <v>Stone Co.</v>
      </c>
      <c r="P35" s="33">
        <f>IFERROR(__xludf.DUMMYFUNCTION("""COMPUTED_VALUE"""),0.9173333333333333)</f>
        <v>0.9173333333</v>
      </c>
      <c r="Q35" s="4" t="str">
        <f>IFERROR(__xludf.DUMMYFUNCTION("""COMPUTED_VALUE"""),"Stone Co.")</f>
        <v>Stone Co.</v>
      </c>
      <c r="R35" s="33">
        <f>IFERROR(__xludf.DUMMYFUNCTION("""COMPUTED_VALUE"""),0.928)</f>
        <v>0.928</v>
      </c>
      <c r="S35" s="4" t="str">
        <f>IFERROR(__xludf.DUMMYFUNCTION("""COMPUTED_VALUE"""),"Stone Co.")</f>
        <v>Stone Co.</v>
      </c>
      <c r="T35" s="33">
        <f>IFERROR(__xludf.DUMMYFUNCTION("""COMPUTED_VALUE"""),0.944)</f>
        <v>0.944</v>
      </c>
      <c r="U35" s="4" t="str">
        <f>IFERROR(__xludf.DUMMYFUNCTION("""COMPUTED_VALUE"""),"Stone Co.")</f>
        <v>Stone Co.</v>
      </c>
      <c r="V35" s="33">
        <f>IFERROR(__xludf.DUMMYFUNCTION("""COMPUTED_VALUE"""),0.9546666666666667)</f>
        <v>0.9546666667</v>
      </c>
      <c r="W35" s="4" t="str">
        <f>IFERROR(__xludf.DUMMYFUNCTION("""COMPUTED_VALUE"""),"Stone Co.")</f>
        <v>Stone Co.</v>
      </c>
      <c r="X35" s="33">
        <f>IFERROR(__xludf.DUMMYFUNCTION("""COMPUTED_VALUE"""),0.9573333333333334)</f>
        <v>0.9573333333</v>
      </c>
    </row>
    <row r="36">
      <c r="A36" s="4" t="str">
        <f>IFERROR(__xludf.DUMMYFUNCTION("""COMPUTED_VALUE"""),"BRUTUS BURGER")</f>
        <v>BRUTUS BURGER</v>
      </c>
      <c r="B36" s="4">
        <f>IFERROR(__xludf.DUMMYFUNCTION("""COMPUTED_VALUE"""),6.0)</f>
        <v>6</v>
      </c>
      <c r="C36" s="30">
        <f>IFERROR(__xludf.DUMMYFUNCTION("""COMPUTED_VALUE"""),68.0)</f>
        <v>68</v>
      </c>
      <c r="D36" s="4" t="str">
        <f>IFERROR(__xludf.DUMMYFUNCTION("""COMPUTED_VALUE"""),"Fast Casual - Hamburgueria Artesanal")</f>
        <v>Fast Casual - Hamburgueria Artesanal</v>
      </c>
      <c r="E36" s="4" t="str">
        <f>IFERROR(__xludf.DUMMYFUNCTION("""COMPUTED_VALUE"""),"Salvador e RMS/BA")</f>
        <v>Salvador e RMS/BA</v>
      </c>
      <c r="F36" s="4" t="str">
        <f>IFERROR(__xludf.DUMMYFUNCTION("""COMPUTED_VALUE"""),"Dado não disponível - Necessário Discovery")</f>
        <v>Dado não disponível - Necessário Discovery</v>
      </c>
      <c r="G36" s="4">
        <f>IFERROR(__xludf.DUMMYFUNCTION("""COMPUTED_VALUE"""),70.0)</f>
        <v>70</v>
      </c>
      <c r="H36" s="31">
        <f>IFERROR(__xludf.DUMMYFUNCTION("""COMPUTED_VALUE"""),0.75)</f>
        <v>0.75</v>
      </c>
      <c r="I3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36" s="4" t="str">
        <f>IFERROR(__xludf.DUMMYFUNCTION("""COMPUTED_VALUE"""),"ABRAFAD - CONTA GRUPO")</f>
        <v>ABRAFAD - CONTA GRUPO</v>
      </c>
      <c r="L36" s="32">
        <f>IFERROR(__xludf.DUMMYFUNCTION("""COMPUTED_VALUE"""),366.0)</f>
        <v>366</v>
      </c>
      <c r="M36" s="4" t="str">
        <f>IFERROR(__xludf.DUMMYFUNCTION("""COMPUTED_VALUE"""),"N/A (Not found)")</f>
        <v>N/A (Not found)</v>
      </c>
      <c r="N36" s="33">
        <f>IFERROR(__xludf.DUMMYFUNCTION("""COMPUTED_VALUE"""),0.9234972677595629)</f>
        <v>0.9234972678</v>
      </c>
      <c r="O36" s="4" t="str">
        <f>IFERROR(__xludf.DUMMYFUNCTION("""COMPUTED_VALUE"""),"N/A (Not found)")</f>
        <v>N/A (Not found)</v>
      </c>
      <c r="P36" s="33">
        <f>IFERROR(__xludf.DUMMYFUNCTION("""COMPUTED_VALUE"""),0.825136612021858)</f>
        <v>0.825136612</v>
      </c>
      <c r="Q36" s="4" t="str">
        <f>IFERROR(__xludf.DUMMYFUNCTION("""COMPUTED_VALUE"""),"N/A (Not found)")</f>
        <v>N/A (Not found)</v>
      </c>
      <c r="R36" s="33">
        <f>IFERROR(__xludf.DUMMYFUNCTION("""COMPUTED_VALUE"""),0.819672131147541)</f>
        <v>0.8196721311</v>
      </c>
      <c r="S36" s="4" t="str">
        <f>IFERROR(__xludf.DUMMYFUNCTION("""COMPUTED_VALUE"""),"N/A (Not found)")</f>
        <v>N/A (Not found)</v>
      </c>
      <c r="T36" s="33">
        <f>IFERROR(__xludf.DUMMYFUNCTION("""COMPUTED_VALUE"""),0.8142076502732241)</f>
        <v>0.8142076503</v>
      </c>
      <c r="U36" s="4" t="str">
        <f>IFERROR(__xludf.DUMMYFUNCTION("""COMPUTED_VALUE"""),"N/A (Not found)")</f>
        <v>N/A (Not found)</v>
      </c>
      <c r="V36" s="33">
        <f>IFERROR(__xludf.DUMMYFUNCTION("""COMPUTED_VALUE"""),0.7868852459016393)</f>
        <v>0.7868852459</v>
      </c>
      <c r="W36" s="4" t="str">
        <f>IFERROR(__xludf.DUMMYFUNCTION("""COMPUTED_VALUE"""),"N/A (Not found)")</f>
        <v>N/A (Not found)</v>
      </c>
      <c r="X36" s="33">
        <f>IFERROR(__xludf.DUMMYFUNCTION("""COMPUTED_VALUE"""),0.7759562841530054)</f>
        <v>0.7759562842</v>
      </c>
    </row>
    <row r="37">
      <c r="A37" s="4" t="str">
        <f>IFERROR(__xludf.DUMMYFUNCTION("""COMPUTED_VALUE"""),"BURGER X")</f>
        <v>BURGER X</v>
      </c>
      <c r="B37" s="4">
        <f>IFERROR(__xludf.DUMMYFUNCTION("""COMPUTED_VALUE"""),4.0)</f>
        <v>4</v>
      </c>
      <c r="C37" s="30">
        <f>IFERROR(__xludf.DUMMYFUNCTION("""COMPUTED_VALUE"""),55.0)</f>
        <v>55</v>
      </c>
      <c r="D37" s="4" t="str">
        <f>IFERROR(__xludf.DUMMYFUNCTION("""COMPUTED_VALUE"""),"Fast Casual - Hamburgueria")</f>
        <v>Fast Casual - Hamburgueria</v>
      </c>
      <c r="E37" s="4" t="str">
        <f>IFERROR(__xludf.DUMMYFUNCTION("""COMPUTED_VALUE"""),"Regional")</f>
        <v>Regional</v>
      </c>
      <c r="F37" s="4" t="str">
        <f>IFERROR(__xludf.DUMMYFUNCTION("""COMPUTED_VALUE"""),"Dado não disponível - Necessário Discovery")</f>
        <v>Dado não disponível - Necessário Discovery</v>
      </c>
      <c r="G37" s="4">
        <f>IFERROR(__xludf.DUMMYFUNCTION("""COMPUTED_VALUE"""),65.0)</f>
        <v>65</v>
      </c>
      <c r="H37" s="31">
        <f>IFERROR(__xludf.DUMMYFUNCTION("""COMPUTED_VALUE"""),0.75)</f>
        <v>0.75</v>
      </c>
      <c r="I3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37" s="4" t="str">
        <f>IFERROR(__xludf.DUMMYFUNCTION("""COMPUTED_VALUE"""),"OAKBERRY")</f>
        <v>OAKBERRY</v>
      </c>
      <c r="L37" s="32">
        <f>IFERROR(__xludf.DUMMYFUNCTION("""COMPUTED_VALUE"""),358.0)</f>
        <v>358</v>
      </c>
      <c r="M37" s="4" t="str">
        <f>IFERROR(__xludf.DUMMYFUNCTION("""COMPUTED_VALUE"""),"Ciss S.a Gestao Para O Varejo")</f>
        <v>Ciss S.a Gestao Para O Varejo</v>
      </c>
      <c r="N37" s="33">
        <f>IFERROR(__xludf.DUMMYFUNCTION("""COMPUTED_VALUE"""),0.5782122905027933)</f>
        <v>0.5782122905</v>
      </c>
      <c r="O37" s="4" t="str">
        <f>IFERROR(__xludf.DUMMYFUNCTION("""COMPUTED_VALUE"""),"Ciss S.a Gestao Para O Varejo")</f>
        <v>Ciss S.a Gestao Para O Varejo</v>
      </c>
      <c r="P37" s="33">
        <f>IFERROR(__xludf.DUMMYFUNCTION("""COMPUTED_VALUE"""),0.6424581005586593)</f>
        <v>0.6424581006</v>
      </c>
      <c r="Q37" s="4" t="str">
        <f>IFERROR(__xludf.DUMMYFUNCTION("""COMPUTED_VALUE"""),"Ciss S.a Gestao Para O Varejo")</f>
        <v>Ciss S.a Gestao Para O Varejo</v>
      </c>
      <c r="R37" s="33">
        <f>IFERROR(__xludf.DUMMYFUNCTION("""COMPUTED_VALUE"""),0.6955307262569832)</f>
        <v>0.6955307263</v>
      </c>
      <c r="S37" s="4" t="str">
        <f>IFERROR(__xludf.DUMMYFUNCTION("""COMPUTED_VALUE"""),"Ciss S.a Gestao Para O Varejo")</f>
        <v>Ciss S.a Gestao Para O Varejo</v>
      </c>
      <c r="T37" s="33">
        <f>IFERROR(__xludf.DUMMYFUNCTION("""COMPUTED_VALUE"""),0.7178770949720671)</f>
        <v>0.717877095</v>
      </c>
      <c r="U37" s="4" t="str">
        <f>IFERROR(__xludf.DUMMYFUNCTION("""COMPUTED_VALUE"""),"Ciss S.a Gestao Para O Varejo")</f>
        <v>Ciss S.a Gestao Para O Varejo</v>
      </c>
      <c r="V37" s="33">
        <f>IFERROR(__xludf.DUMMYFUNCTION("""COMPUTED_VALUE"""),0.7541899441340782)</f>
        <v>0.7541899441</v>
      </c>
      <c r="W37" s="4" t="str">
        <f>IFERROR(__xludf.DUMMYFUNCTION("""COMPUTED_VALUE"""),"Ciss S.a Gestao Para O Varejo")</f>
        <v>Ciss S.a Gestao Para O Varejo</v>
      </c>
      <c r="X37" s="33">
        <f>IFERROR(__xludf.DUMMYFUNCTION("""COMPUTED_VALUE"""),0.7905027932960894)</f>
        <v>0.7905027933</v>
      </c>
    </row>
    <row r="38">
      <c r="A38" s="4" t="str">
        <f>IFERROR(__xludf.DUMMYFUNCTION("""COMPUTED_VALUE"""),"BURGERS RIO")</f>
        <v>BURGERS RIO</v>
      </c>
      <c r="B38" s="4">
        <f>IFERROR(__xludf.DUMMYFUNCTION("""COMPUTED_VALUE"""),7.0)</f>
        <v>7</v>
      </c>
      <c r="C38" s="30">
        <f>IFERROR(__xludf.DUMMYFUNCTION("""COMPUTED_VALUE"""),62.0)</f>
        <v>62</v>
      </c>
      <c r="D38" s="4" t="str">
        <f>IFERROR(__xludf.DUMMYFUNCTION("""COMPUTED_VALUE"""),"Fast Casual - Hamburgueria")</f>
        <v>Fast Casual - Hamburgueria</v>
      </c>
      <c r="E38" s="4" t="str">
        <f>IFERROR(__xludf.DUMMYFUNCTION("""COMPUTED_VALUE"""),"Rio de Janeiro/RJ")</f>
        <v>Rio de Janeiro/RJ</v>
      </c>
      <c r="F38" s="4" t="str">
        <f>IFERROR(__xludf.DUMMYFUNCTION("""COMPUTED_VALUE"""),"Dado não disponível - Necessário Discovery")</f>
        <v>Dado não disponível - Necessário Discovery</v>
      </c>
      <c r="G38" s="4">
        <f>IFERROR(__xludf.DUMMYFUNCTION("""COMPUTED_VALUE"""),70.0)</f>
        <v>70</v>
      </c>
      <c r="H38" s="31">
        <f>IFERROR(__xludf.DUMMYFUNCTION("""COMPUTED_VALUE"""),0.75)</f>
        <v>0.75</v>
      </c>
      <c r="I3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38" s="4" t="str">
        <f>IFERROR(__xludf.DUMMYFUNCTION("""COMPUTED_VALUE"""),"DOMINOS")</f>
        <v>DOMINOS</v>
      </c>
      <c r="L38" s="32">
        <f>IFERROR(__xludf.DUMMYFUNCTION("""COMPUTED_VALUE"""),339.0)</f>
        <v>339</v>
      </c>
      <c r="M38" s="4" t="str">
        <f>IFERROR(__xludf.DUMMYFUNCTION("""COMPUTED_VALUE"""),"Jaxtech")</f>
        <v>Jaxtech</v>
      </c>
      <c r="N38" s="33">
        <f>IFERROR(__xludf.DUMMYFUNCTION("""COMPUTED_VALUE"""),0.9032258064516129)</f>
        <v>0.9032258065</v>
      </c>
      <c r="O38" s="4" t="str">
        <f>IFERROR(__xludf.DUMMYFUNCTION("""COMPUTED_VALUE"""),"Jaxtech")</f>
        <v>Jaxtech</v>
      </c>
      <c r="P38" s="33">
        <f>IFERROR(__xludf.DUMMYFUNCTION("""COMPUTED_VALUE"""),0.8387096774193549)</f>
        <v>0.8387096774</v>
      </c>
      <c r="Q38" s="4" t="str">
        <f>IFERROR(__xludf.DUMMYFUNCTION("""COMPUTED_VALUE"""),"Jaxtech")</f>
        <v>Jaxtech</v>
      </c>
      <c r="R38" s="33">
        <f>IFERROR(__xludf.DUMMYFUNCTION("""COMPUTED_VALUE"""),0.8366935483870968)</f>
        <v>0.8366935484</v>
      </c>
      <c r="S38" s="4" t="str">
        <f>IFERROR(__xludf.DUMMYFUNCTION("""COMPUTED_VALUE"""),"Jaxtech")</f>
        <v>Jaxtech</v>
      </c>
      <c r="T38" s="33">
        <f>IFERROR(__xludf.DUMMYFUNCTION("""COMPUTED_VALUE"""),0.7862903225806451)</f>
        <v>0.7862903226</v>
      </c>
      <c r="U38" s="4" t="str">
        <f>IFERROR(__xludf.DUMMYFUNCTION("""COMPUTED_VALUE"""),"Jaxtech")</f>
        <v>Jaxtech</v>
      </c>
      <c r="V38" s="33">
        <f>IFERROR(__xludf.DUMMYFUNCTION("""COMPUTED_VALUE"""),0.6673387096774194)</f>
        <v>0.6673387097</v>
      </c>
      <c r="W38" s="4" t="str">
        <f>IFERROR(__xludf.DUMMYFUNCTION("""COMPUTED_VALUE"""),"Jaxtech")</f>
        <v>Jaxtech</v>
      </c>
      <c r="X38" s="33">
        <f>IFERROR(__xludf.DUMMYFUNCTION("""COMPUTED_VALUE"""),0.625)</f>
        <v>0.625</v>
      </c>
    </row>
    <row r="39">
      <c r="A39" s="4" t="str">
        <f>IFERROR(__xludf.DUMMYFUNCTION("""COMPUTED_VALUE"""),"CACHORRÃO DO CLAUDIÃO OFICIAL")</f>
        <v>CACHORRÃO DO CLAUDIÃO OFICIAL</v>
      </c>
      <c r="B39" s="4">
        <f>IFERROR(__xludf.DUMMYFUNCTION("""COMPUTED_VALUE"""),3.0)</f>
        <v>3</v>
      </c>
      <c r="C39" s="30">
        <f>IFERROR(__xludf.DUMMYFUNCTION("""COMPUTED_VALUE"""),28.0)</f>
        <v>28</v>
      </c>
      <c r="D39" s="4" t="str">
        <f>IFERROR(__xludf.DUMMYFUNCTION("""COMPUTED_VALUE"""),"QSR - Hot Dog")</f>
        <v>QSR - Hot Dog</v>
      </c>
      <c r="E39" s="4" t="str">
        <f>IFERROR(__xludf.DUMMYFUNCTION("""COMPUTED_VALUE"""),"Regional")</f>
        <v>Regional</v>
      </c>
      <c r="F39" s="4" t="str">
        <f>IFERROR(__xludf.DUMMYFUNCTION("""COMPUTED_VALUE"""),"Dado não disponível - Necessário Discovery")</f>
        <v>Dado não disponível - Necessário Discovery</v>
      </c>
      <c r="G39" s="4">
        <f>IFERROR(__xludf.DUMMYFUNCTION("""COMPUTED_VALUE"""),65.0)</f>
        <v>65</v>
      </c>
      <c r="H39" s="31">
        <f>IFERROR(__xludf.DUMMYFUNCTION("""COMPUTED_VALUE"""),0.85)</f>
        <v>0.85</v>
      </c>
      <c r="I39"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39" s="4" t="str">
        <f>IFERROR(__xludf.DUMMYFUNCTION("""COMPUTED_VALUE"""),"GRUPO WAY")</f>
        <v>GRUPO WAY</v>
      </c>
      <c r="L39" s="32">
        <f>IFERROR(__xludf.DUMMYFUNCTION("""COMPUTED_VALUE"""),331.0)</f>
        <v>331</v>
      </c>
      <c r="M39" s="4" t="str">
        <f>IFERROR(__xludf.DUMMYFUNCTION("""COMPUTED_VALUE"""),"Saipos Serviços De Software")</f>
        <v>Saipos Serviços De Software</v>
      </c>
      <c r="N39" s="33">
        <f>IFERROR(__xludf.DUMMYFUNCTION("""COMPUTED_VALUE"""),0.6465256797583081)</f>
        <v>0.6465256798</v>
      </c>
      <c r="O39" s="4" t="str">
        <f>IFERROR(__xludf.DUMMYFUNCTION("""COMPUTED_VALUE"""),"Saipos Serviços De Software")</f>
        <v>Saipos Serviços De Software</v>
      </c>
      <c r="P39" s="33">
        <f>IFERROR(__xludf.DUMMYFUNCTION("""COMPUTED_VALUE"""),0.6404833836858006)</f>
        <v>0.6404833837</v>
      </c>
      <c r="Q39" s="4" t="str">
        <f>IFERROR(__xludf.DUMMYFUNCTION("""COMPUTED_VALUE"""),"Saipos Serviços De Software")</f>
        <v>Saipos Serviços De Software</v>
      </c>
      <c r="R39" s="33">
        <f>IFERROR(__xludf.DUMMYFUNCTION("""COMPUTED_VALUE"""),0.622356495468278)</f>
        <v>0.6223564955</v>
      </c>
      <c r="S39" s="4" t="str">
        <f>IFERROR(__xludf.DUMMYFUNCTION("""COMPUTED_VALUE"""),"Saipos Serviços De Software")</f>
        <v>Saipos Serviços De Software</v>
      </c>
      <c r="T39" s="33">
        <f>IFERROR(__xludf.DUMMYFUNCTION("""COMPUTED_VALUE"""),0.6193353474320241)</f>
        <v>0.6193353474</v>
      </c>
      <c r="U39" s="4" t="str">
        <f>IFERROR(__xludf.DUMMYFUNCTION("""COMPUTED_VALUE"""),"Saipos Serviços De Software")</f>
        <v>Saipos Serviços De Software</v>
      </c>
      <c r="V39" s="33">
        <f>IFERROR(__xludf.DUMMYFUNCTION("""COMPUTED_VALUE"""),0.6314199395770392)</f>
        <v>0.6314199396</v>
      </c>
      <c r="W39" s="4" t="str">
        <f>IFERROR(__xludf.DUMMYFUNCTION("""COMPUTED_VALUE"""),"Saipos Serviços De Software")</f>
        <v>Saipos Serviços De Software</v>
      </c>
      <c r="X39" s="33">
        <f>IFERROR(__xludf.DUMMYFUNCTION("""COMPUTED_VALUE"""),0.6012084592145015)</f>
        <v>0.6012084592</v>
      </c>
    </row>
    <row r="40">
      <c r="A40" s="4" t="str">
        <f>IFERROR(__xludf.DUMMYFUNCTION("""COMPUTED_VALUE"""),"CAFE CULTURA SC - CONTA MARCA")</f>
        <v>CAFE CULTURA SC - CONTA MARCA</v>
      </c>
      <c r="B40" s="4">
        <f>IFERROR(__xludf.DUMMYFUNCTION("""COMPUTED_VALUE"""),8.0)</f>
        <v>8</v>
      </c>
      <c r="C40" s="30">
        <f>IFERROR(__xludf.DUMMYFUNCTION("""COMPUTED_VALUE"""),38.0)</f>
        <v>38</v>
      </c>
      <c r="D40" s="4" t="str">
        <f>IFERROR(__xludf.DUMMYFUNCTION("""COMPUTED_VALUE"""),"Fast Casual - Cafeteria")</f>
        <v>Fast Casual - Cafeteria</v>
      </c>
      <c r="E40" s="4" t="str">
        <f>IFERROR(__xludf.DUMMYFUNCTION("""COMPUTED_VALUE"""),"Santa Catarina")</f>
        <v>Santa Catarina</v>
      </c>
      <c r="F40" s="4" t="str">
        <f>IFERROR(__xludf.DUMMYFUNCTION("""COMPUTED_VALUE"""),"Dado não disponível - Necessário Discovery")</f>
        <v>Dado não disponível - Necessário Discovery</v>
      </c>
      <c r="G40" s="4">
        <f>IFERROR(__xludf.DUMMYFUNCTION("""COMPUTED_VALUE"""),70.0)</f>
        <v>70</v>
      </c>
      <c r="H40" s="31">
        <f>IFERROR(__xludf.DUMMYFUNCTION("""COMPUTED_VALUE"""),0.75)</f>
        <v>0.75</v>
      </c>
      <c r="I4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40" s="4" t="str">
        <f>IFERROR(__xludf.DUMMYFUNCTION("""COMPUTED_VALUE"""),"FARMACIA FARMA CONDE - CONTA PAI")</f>
        <v>FARMACIA FARMA CONDE - CONTA PAI</v>
      </c>
      <c r="L40" s="32">
        <f>IFERROR(__xludf.DUMMYFUNCTION("""COMPUTED_VALUE"""),315.0)</f>
        <v>315</v>
      </c>
      <c r="M40" s="4" t="str">
        <f>IFERROR(__xludf.DUMMYFUNCTION("""COMPUTED_VALUE"""),"N/A (Not found)")</f>
        <v>N/A (Not found)</v>
      </c>
      <c r="N40" s="33">
        <f>IFERROR(__xludf.DUMMYFUNCTION("""COMPUTED_VALUE"""),0.9841269841269841)</f>
        <v>0.9841269841</v>
      </c>
      <c r="O40" s="4" t="str">
        <f>IFERROR(__xludf.DUMMYFUNCTION("""COMPUTED_VALUE"""),"N/A (Not found)")</f>
        <v>N/A (Not found)</v>
      </c>
      <c r="P40" s="33">
        <f>IFERROR(__xludf.DUMMYFUNCTION("""COMPUTED_VALUE"""),0.9396825396825397)</f>
        <v>0.9396825397</v>
      </c>
      <c r="Q40" s="4" t="str">
        <f>IFERROR(__xludf.DUMMYFUNCTION("""COMPUTED_VALUE"""),"N/A (Not found)")</f>
        <v>N/A (Not found)</v>
      </c>
      <c r="R40" s="33">
        <f>IFERROR(__xludf.DUMMYFUNCTION("""COMPUTED_VALUE"""),0.9428571428571428)</f>
        <v>0.9428571429</v>
      </c>
      <c r="S40" s="4" t="str">
        <f>IFERROR(__xludf.DUMMYFUNCTION("""COMPUTED_VALUE"""),"N/A (Not found)")</f>
        <v>N/A (Not found)</v>
      </c>
      <c r="T40" s="33">
        <f>IFERROR(__xludf.DUMMYFUNCTION("""COMPUTED_VALUE"""),0.9492063492063492)</f>
        <v>0.9492063492</v>
      </c>
      <c r="U40" s="4" t="str">
        <f>IFERROR(__xludf.DUMMYFUNCTION("""COMPUTED_VALUE"""),"N/A (Not found)")</f>
        <v>N/A (Not found)</v>
      </c>
      <c r="V40" s="33">
        <f>IFERROR(__xludf.DUMMYFUNCTION("""COMPUTED_VALUE"""),0.9523809523809523)</f>
        <v>0.9523809524</v>
      </c>
      <c r="W40" s="4" t="str">
        <f>IFERROR(__xludf.DUMMYFUNCTION("""COMPUTED_VALUE"""),"N/A (Not found)")</f>
        <v>N/A (Not found)</v>
      </c>
      <c r="X40" s="33">
        <f>IFERROR(__xludf.DUMMYFUNCTION("""COMPUTED_VALUE"""),0.9555555555555556)</f>
        <v>0.9555555556</v>
      </c>
    </row>
    <row r="41">
      <c r="A41" s="4" t="str">
        <f>IFERROR(__xludf.DUMMYFUNCTION("""COMPUTED_VALUE"""),"CAMARÃO TO GO")</f>
        <v>CAMARÃO TO GO</v>
      </c>
      <c r="B41" s="4">
        <f>IFERROR(__xludf.DUMMYFUNCTION("""COMPUTED_VALUE"""),4.0)</f>
        <v>4</v>
      </c>
      <c r="C41" s="30">
        <f>IFERROR(__xludf.DUMMYFUNCTION("""COMPUTED_VALUE"""),85.0)</f>
        <v>85</v>
      </c>
      <c r="D41" s="4" t="str">
        <f>IFERROR(__xludf.DUMMYFUNCTION("""COMPUTED_VALUE"""),"Fast Casual - Frutos do Mar")</f>
        <v>Fast Casual - Frutos do Mar</v>
      </c>
      <c r="E41" s="4" t="str">
        <f>IFERROR(__xludf.DUMMYFUNCTION("""COMPUTED_VALUE"""),"Regional")</f>
        <v>Regional</v>
      </c>
      <c r="F41" s="4" t="str">
        <f>IFERROR(__xludf.DUMMYFUNCTION("""COMPUTED_VALUE"""),"Dado não disponível - Necessário Discovery")</f>
        <v>Dado não disponível - Necessário Discovery</v>
      </c>
      <c r="G41" s="4">
        <f>IFERROR(__xludf.DUMMYFUNCTION("""COMPUTED_VALUE"""),65.0)</f>
        <v>65</v>
      </c>
      <c r="H41" s="31">
        <f>IFERROR(__xludf.DUMMYFUNCTION("""COMPUTED_VALUE"""),0.75)</f>
        <v>0.75</v>
      </c>
      <c r="I4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41" s="4" t="str">
        <f>IFERROR(__xludf.DUMMYFUNCTION("""COMPUTED_VALUE"""),"GRUPO D1000")</f>
        <v>GRUPO D1000</v>
      </c>
      <c r="L41" s="32">
        <f>IFERROR(__xludf.DUMMYFUNCTION("""COMPUTED_VALUE"""),300.0)</f>
        <v>300</v>
      </c>
      <c r="M41" s="4" t="str">
        <f>IFERROR(__xludf.DUMMYFUNCTION("""COMPUTED_VALUE"""),"N/A (Not found)")</f>
        <v>N/A (Not found)</v>
      </c>
      <c r="N41" s="33">
        <f>IFERROR(__xludf.DUMMYFUNCTION("""COMPUTED_VALUE"""),0.95)</f>
        <v>0.95</v>
      </c>
      <c r="O41" s="4" t="str">
        <f>IFERROR(__xludf.DUMMYFUNCTION("""COMPUTED_VALUE"""),"N/A (Not found)")</f>
        <v>N/A (Not found)</v>
      </c>
      <c r="P41" s="33">
        <f>IFERROR(__xludf.DUMMYFUNCTION("""COMPUTED_VALUE"""),0.9866666666666667)</f>
        <v>0.9866666667</v>
      </c>
      <c r="Q41" s="4" t="str">
        <f>IFERROR(__xludf.DUMMYFUNCTION("""COMPUTED_VALUE"""),"N/A (Not found)")</f>
        <v>N/A (Not found)</v>
      </c>
      <c r="R41" s="33">
        <f>IFERROR(__xludf.DUMMYFUNCTION("""COMPUTED_VALUE"""),0.9866666666666667)</f>
        <v>0.9866666667</v>
      </c>
      <c r="S41" s="4" t="str">
        <f>IFERROR(__xludf.DUMMYFUNCTION("""COMPUTED_VALUE"""),"N/A (Not found)")</f>
        <v>N/A (Not found)</v>
      </c>
      <c r="T41" s="33">
        <f>IFERROR(__xludf.DUMMYFUNCTION("""COMPUTED_VALUE"""),0.9866666666666667)</f>
        <v>0.9866666667</v>
      </c>
      <c r="U41" s="4" t="str">
        <f>IFERROR(__xludf.DUMMYFUNCTION("""COMPUTED_VALUE"""),"N/A (Not found)")</f>
        <v>N/A (Not found)</v>
      </c>
      <c r="V41" s="33">
        <f>IFERROR(__xludf.DUMMYFUNCTION("""COMPUTED_VALUE"""),0.9933333333333333)</f>
        <v>0.9933333333</v>
      </c>
      <c r="W41" s="4" t="str">
        <f>IFERROR(__xludf.DUMMYFUNCTION("""COMPUTED_VALUE"""),"N/A (Not found)")</f>
        <v>N/A (Not found)</v>
      </c>
      <c r="X41" s="33">
        <f>IFERROR(__xludf.DUMMYFUNCTION("""COMPUTED_VALUE"""),0.9966666666666667)</f>
        <v>0.9966666667</v>
      </c>
    </row>
    <row r="42">
      <c r="A42" s="4" t="str">
        <f>IFERROR(__xludf.DUMMYFUNCTION("""COMPUTED_VALUE"""),"CAMARÕES")</f>
        <v>CAMARÕES</v>
      </c>
      <c r="B42" s="4">
        <f>IFERROR(__xludf.DUMMYFUNCTION("""COMPUTED_VALUE"""),5.0)</f>
        <v>5</v>
      </c>
      <c r="C42" s="30">
        <f>IFERROR(__xludf.DUMMYFUNCTION("""COMPUTED_VALUE"""),90.0)</f>
        <v>90</v>
      </c>
      <c r="D42" s="4" t="str">
        <f>IFERROR(__xludf.DUMMYFUNCTION("""COMPUTED_VALUE"""),"Fast Casual - Frutos do Mar")</f>
        <v>Fast Casual - Frutos do Mar</v>
      </c>
      <c r="E42" s="4" t="str">
        <f>IFERROR(__xludf.DUMMYFUNCTION("""COMPUTED_VALUE"""),"Regional")</f>
        <v>Regional</v>
      </c>
      <c r="F42" s="4" t="str">
        <f>IFERROR(__xludf.DUMMYFUNCTION("""COMPUTED_VALUE"""),"Dado não disponível - Necessário Discovery")</f>
        <v>Dado não disponível - Necessário Discovery</v>
      </c>
      <c r="G42" s="4">
        <f>IFERROR(__xludf.DUMMYFUNCTION("""COMPUTED_VALUE"""),70.0)</f>
        <v>70</v>
      </c>
      <c r="H42" s="31">
        <f>IFERROR(__xludf.DUMMYFUNCTION("""COMPUTED_VALUE"""),0.75)</f>
        <v>0.75</v>
      </c>
      <c r="I4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42" s="4" t="str">
        <f>IFERROR(__xludf.DUMMYFUNCTION("""COMPUTED_VALUE"""),"INDIANA - CONTA PAI")</f>
        <v>INDIANA - CONTA PAI</v>
      </c>
      <c r="L42" s="32">
        <f>IFERROR(__xludf.DUMMYFUNCTION("""COMPUTED_VALUE"""),295.0)</f>
        <v>295</v>
      </c>
      <c r="M42" s="4" t="str">
        <f>IFERROR(__xludf.DUMMYFUNCTION("""COMPUTED_VALUE"""),"N/A (Not found)")</f>
        <v>N/A (Not found)</v>
      </c>
      <c r="N42" s="33">
        <f>IFERROR(__xludf.DUMMYFUNCTION("""COMPUTED_VALUE"""),0.8677966101694915)</f>
        <v>0.8677966102</v>
      </c>
      <c r="O42" s="4" t="str">
        <f>IFERROR(__xludf.DUMMYFUNCTION("""COMPUTED_VALUE"""),"N/A (Not found)")</f>
        <v>N/A (Not found)</v>
      </c>
      <c r="P42" s="33">
        <f>IFERROR(__xludf.DUMMYFUNCTION("""COMPUTED_VALUE"""),0.8949152542372881)</f>
        <v>0.8949152542</v>
      </c>
      <c r="Q42" s="4" t="str">
        <f>IFERROR(__xludf.DUMMYFUNCTION("""COMPUTED_VALUE"""),"N/A (Not found)")</f>
        <v>N/A (Not found)</v>
      </c>
      <c r="R42" s="33">
        <f>IFERROR(__xludf.DUMMYFUNCTION("""COMPUTED_VALUE"""),0.9525423728813559)</f>
        <v>0.9525423729</v>
      </c>
      <c r="S42" s="4" t="str">
        <f>IFERROR(__xludf.DUMMYFUNCTION("""COMPUTED_VALUE"""),"N/A (Not found)")</f>
        <v>N/A (Not found)</v>
      </c>
      <c r="T42" s="33">
        <f>IFERROR(__xludf.DUMMYFUNCTION("""COMPUTED_VALUE"""),0.9559322033898305)</f>
        <v>0.9559322034</v>
      </c>
      <c r="U42" s="4" t="str">
        <f>IFERROR(__xludf.DUMMYFUNCTION("""COMPUTED_VALUE"""),"N/A (Not found)")</f>
        <v>N/A (Not found)</v>
      </c>
      <c r="V42" s="33">
        <f>IFERROR(__xludf.DUMMYFUNCTION("""COMPUTED_VALUE"""),0.9728813559322034)</f>
        <v>0.9728813559</v>
      </c>
      <c r="W42" s="4" t="str">
        <f>IFERROR(__xludf.DUMMYFUNCTION("""COMPUTED_VALUE"""),"N/A (Not found)")</f>
        <v>N/A (Not found)</v>
      </c>
      <c r="X42" s="33">
        <f>IFERROR(__xludf.DUMMYFUNCTION("""COMPUTED_VALUE"""),0.9728813559322034)</f>
        <v>0.9728813559</v>
      </c>
    </row>
    <row r="43">
      <c r="A43" s="4" t="str">
        <f>IFERROR(__xludf.DUMMYFUNCTION("""COMPUTED_VALUE"""),"CANTINHO DO PASTEL")</f>
        <v>CANTINHO DO PASTEL</v>
      </c>
      <c r="B43" s="4">
        <f>IFERROR(__xludf.DUMMYFUNCTION("""COMPUTED_VALUE"""),6.0)</f>
        <v>6</v>
      </c>
      <c r="C43" s="30">
        <f>IFERROR(__xludf.DUMMYFUNCTION("""COMPUTED_VALUE"""),25.0)</f>
        <v>25</v>
      </c>
      <c r="D43" s="4" t="str">
        <f>IFERROR(__xludf.DUMMYFUNCTION("""COMPUTED_VALUE"""),"QSR - Pastelaria")</f>
        <v>QSR - Pastelaria</v>
      </c>
      <c r="E43" s="4" t="str">
        <f>IFERROR(__xludf.DUMMYFUNCTION("""COMPUTED_VALUE"""),"Regional")</f>
        <v>Regional</v>
      </c>
      <c r="F43" s="4" t="str">
        <f>IFERROR(__xludf.DUMMYFUNCTION("""COMPUTED_VALUE"""),"Dado não disponível - Necessário Discovery")</f>
        <v>Dado não disponível - Necessário Discovery</v>
      </c>
      <c r="G43" s="4">
        <f>IFERROR(__xludf.DUMMYFUNCTION("""COMPUTED_VALUE"""),70.0)</f>
        <v>70</v>
      </c>
      <c r="H43" s="31">
        <f>IFERROR(__xludf.DUMMYFUNCTION("""COMPUTED_VALUE"""),0.85)</f>
        <v>0.85</v>
      </c>
      <c r="I43"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43" s="4" t="str">
        <f>IFERROR(__xludf.DUMMYFUNCTION("""COMPUTED_VALUE"""),"BOALI")</f>
        <v>BOALI</v>
      </c>
      <c r="L43" s="32">
        <f>IFERROR(__xludf.DUMMYFUNCTION("""COMPUTED_VALUE"""),263.0)</f>
        <v>263</v>
      </c>
      <c r="M43" s="4" t="str">
        <f>IFERROR(__xludf.DUMMYFUNCTION("""COMPUTED_VALUE"""),"Stone Co.")</f>
        <v>Stone Co.</v>
      </c>
      <c r="N43" s="33">
        <f>IFERROR(__xludf.DUMMYFUNCTION("""COMPUTED_VALUE"""),0.7689393939393939)</f>
        <v>0.7689393939</v>
      </c>
      <c r="O43" s="4" t="str">
        <f>IFERROR(__xludf.DUMMYFUNCTION("""COMPUTED_VALUE"""),"Stone Co.")</f>
        <v>Stone Co.</v>
      </c>
      <c r="P43" s="33">
        <f>IFERROR(__xludf.DUMMYFUNCTION("""COMPUTED_VALUE"""),0.7840909090909091)</f>
        <v>0.7840909091</v>
      </c>
      <c r="Q43" s="4" t="str">
        <f>IFERROR(__xludf.DUMMYFUNCTION("""COMPUTED_VALUE"""),"Stone Co.")</f>
        <v>Stone Co.</v>
      </c>
      <c r="R43" s="33">
        <f>IFERROR(__xludf.DUMMYFUNCTION("""COMPUTED_VALUE"""),0.8257575757575758)</f>
        <v>0.8257575758</v>
      </c>
      <c r="S43" s="4" t="str">
        <f>IFERROR(__xludf.DUMMYFUNCTION("""COMPUTED_VALUE"""),"Stone Co.")</f>
        <v>Stone Co.</v>
      </c>
      <c r="T43" s="33">
        <f>IFERROR(__xludf.DUMMYFUNCTION("""COMPUTED_VALUE"""),0.8522727272727273)</f>
        <v>0.8522727273</v>
      </c>
      <c r="U43" s="4" t="str">
        <f>IFERROR(__xludf.DUMMYFUNCTION("""COMPUTED_VALUE"""),"Stone Co.")</f>
        <v>Stone Co.</v>
      </c>
      <c r="V43" s="33">
        <f>IFERROR(__xludf.DUMMYFUNCTION("""COMPUTED_VALUE"""),0.8598484848484849)</f>
        <v>0.8598484848</v>
      </c>
      <c r="W43" s="4" t="str">
        <f>IFERROR(__xludf.DUMMYFUNCTION("""COMPUTED_VALUE"""),"Stone Co.")</f>
        <v>Stone Co.</v>
      </c>
      <c r="X43" s="33">
        <f>IFERROR(__xludf.DUMMYFUNCTION("""COMPUTED_VALUE"""),0.8333333333333334)</f>
        <v>0.8333333333</v>
      </c>
    </row>
    <row r="44">
      <c r="A44" s="4" t="str">
        <f>IFERROR(__xludf.DUMMYFUNCTION("""COMPUTED_VALUE"""),"CANTINHO DO SABOR")</f>
        <v>CANTINHO DO SABOR</v>
      </c>
      <c r="B44" s="4">
        <f>IFERROR(__xludf.DUMMYFUNCTION("""COMPUTED_VALUE"""),3.0)</f>
        <v>3</v>
      </c>
      <c r="C44" s="30">
        <f>IFERROR(__xludf.DUMMYFUNCTION("""COMPUTED_VALUE"""),30.0)</f>
        <v>30</v>
      </c>
      <c r="D44" s="4" t="str">
        <f>IFERROR(__xludf.DUMMYFUNCTION("""COMPUTED_VALUE"""),"QSR - Comida Caseira")</f>
        <v>QSR - Comida Caseira</v>
      </c>
      <c r="E44" s="4" t="str">
        <f>IFERROR(__xludf.DUMMYFUNCTION("""COMPUTED_VALUE"""),"Regional")</f>
        <v>Regional</v>
      </c>
      <c r="F44" s="4" t="str">
        <f>IFERROR(__xludf.DUMMYFUNCTION("""COMPUTED_VALUE"""),"Dado não disponível - Necessário Discovery")</f>
        <v>Dado não disponível - Necessário Discovery</v>
      </c>
      <c r="G44" s="4">
        <f>IFERROR(__xludf.DUMMYFUNCTION("""COMPUTED_VALUE"""),65.0)</f>
        <v>65</v>
      </c>
      <c r="H44" s="31">
        <f>IFERROR(__xludf.DUMMYFUNCTION("""COMPUTED_VALUE"""),0.85)</f>
        <v>0.85</v>
      </c>
      <c r="I44"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44" s="4" t="str">
        <f>IFERROR(__xludf.DUMMYFUNCTION("""COMPUTED_VALUE"""),"GRUPO HARO ACAI CONCEPT")</f>
        <v>GRUPO HARO ACAI CONCEPT</v>
      </c>
      <c r="L44" s="32">
        <f>IFERROR(__xludf.DUMMYFUNCTION("""COMPUTED_VALUE"""),250.0)</f>
        <v>250</v>
      </c>
      <c r="M44" s="4" t="str">
        <f>IFERROR(__xludf.DUMMYFUNCTION("""COMPUTED_VALUE"""),"Saipos Serviços De Software")</f>
        <v>Saipos Serviços De Software</v>
      </c>
      <c r="N44" s="33">
        <f>IFERROR(__xludf.DUMMYFUNCTION("""COMPUTED_VALUE"""),0.8603773584905661)</f>
        <v>0.8603773585</v>
      </c>
      <c r="O44" s="4" t="str">
        <f>IFERROR(__xludf.DUMMYFUNCTION("""COMPUTED_VALUE"""),"Saipos Serviços De Software")</f>
        <v>Saipos Serviços De Software</v>
      </c>
      <c r="P44" s="33">
        <f>IFERROR(__xludf.DUMMYFUNCTION("""COMPUTED_VALUE"""),0.8264150943396227)</f>
        <v>0.8264150943</v>
      </c>
      <c r="Q44" s="4" t="str">
        <f>IFERROR(__xludf.DUMMYFUNCTION("""COMPUTED_VALUE"""),"Saipos Serviços De Software")</f>
        <v>Saipos Serviços De Software</v>
      </c>
      <c r="R44" s="33">
        <f>IFERROR(__xludf.DUMMYFUNCTION("""COMPUTED_VALUE"""),0.7773584905660378)</f>
        <v>0.7773584906</v>
      </c>
      <c r="S44" s="4" t="str">
        <f>IFERROR(__xludf.DUMMYFUNCTION("""COMPUTED_VALUE"""),"Saipos Serviços De Software")</f>
        <v>Saipos Serviços De Software</v>
      </c>
      <c r="T44" s="33">
        <f>IFERROR(__xludf.DUMMYFUNCTION("""COMPUTED_VALUE"""),0.7584905660377359)</f>
        <v>0.758490566</v>
      </c>
      <c r="U44" s="4" t="str">
        <f>IFERROR(__xludf.DUMMYFUNCTION("""COMPUTED_VALUE"""),"Saipos Serviços De Software")</f>
        <v>Saipos Serviços De Software</v>
      </c>
      <c r="V44" s="33">
        <f>IFERROR(__xludf.DUMMYFUNCTION("""COMPUTED_VALUE"""),0.7547169811320755)</f>
        <v>0.7547169811</v>
      </c>
      <c r="W44" s="4" t="str">
        <f>IFERROR(__xludf.DUMMYFUNCTION("""COMPUTED_VALUE"""),"Saipos Serviços De Software")</f>
        <v>Saipos Serviços De Software</v>
      </c>
      <c r="X44" s="33">
        <f>IFERROR(__xludf.DUMMYFUNCTION("""COMPUTED_VALUE"""),0.7773584905660378)</f>
        <v>0.7773584906</v>
      </c>
    </row>
    <row r="45">
      <c r="A45" s="4" t="str">
        <f>IFERROR(__xludf.DUMMYFUNCTION("""COMPUTED_VALUE"""),"CANTUCCI OSTERIA")</f>
        <v>CANTUCCI OSTERIA</v>
      </c>
      <c r="B45" s="4">
        <f>IFERROR(__xludf.DUMMYFUNCTION("""COMPUTED_VALUE"""),2.0)</f>
        <v>2</v>
      </c>
      <c r="C45" s="30">
        <f>IFERROR(__xludf.DUMMYFUNCTION("""COMPUTED_VALUE"""),95.0)</f>
        <v>95</v>
      </c>
      <c r="D45" s="4" t="str">
        <f>IFERROR(__xludf.DUMMYFUNCTION("""COMPUTED_VALUE"""),"Table Service - Italiano")</f>
        <v>Table Service - Italiano</v>
      </c>
      <c r="E45" s="4" t="str">
        <f>IFERROR(__xludf.DUMMYFUNCTION("""COMPUTED_VALUE"""),"Regional")</f>
        <v>Regional</v>
      </c>
      <c r="F45" s="4" t="str">
        <f>IFERROR(__xludf.DUMMYFUNCTION("""COMPUTED_VALUE"""),"Dado não disponível - Necessário Discovery")</f>
        <v>Dado não disponível - Necessário Discovery</v>
      </c>
      <c r="G45" s="4">
        <f>IFERROR(__xludf.DUMMYFUNCTION("""COMPUTED_VALUE"""),55.0)</f>
        <v>55</v>
      </c>
      <c r="H45" s="31">
        <f>IFERROR(__xludf.DUMMYFUNCTION("""COMPUTED_VALUE"""),0.65)</f>
        <v>0.65</v>
      </c>
      <c r="I4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45" s="4" t="str">
        <f>IFERROR(__xludf.DUMMYFUNCTION("""COMPUTED_VALUE"""),"ULTRAFARMA POPULAR - CONTA PAI")</f>
        <v>ULTRAFARMA POPULAR - CONTA PAI</v>
      </c>
      <c r="L45" s="32">
        <f>IFERROR(__xludf.DUMMYFUNCTION("""COMPUTED_VALUE"""),249.0)</f>
        <v>249</v>
      </c>
      <c r="M45" s="4" t="str">
        <f>IFERROR(__xludf.DUMMYFUNCTION("""COMPUTED_VALUE"""),"N/A (Not found)")</f>
        <v>N/A (Not found)</v>
      </c>
      <c r="N45" s="33">
        <f>IFERROR(__xludf.DUMMYFUNCTION("""COMPUTED_VALUE"""),0.9558232931726908)</f>
        <v>0.9558232932</v>
      </c>
      <c r="O45" s="4" t="str">
        <f>IFERROR(__xludf.DUMMYFUNCTION("""COMPUTED_VALUE"""),"N/A (Not found)")</f>
        <v>N/A (Not found)</v>
      </c>
      <c r="P45" s="33">
        <f>IFERROR(__xludf.DUMMYFUNCTION("""COMPUTED_VALUE"""),0.963855421686747)</f>
        <v>0.9638554217</v>
      </c>
      <c r="Q45" s="4" t="str">
        <f>IFERROR(__xludf.DUMMYFUNCTION("""COMPUTED_VALUE"""),"N/A (Not found)")</f>
        <v>N/A (Not found)</v>
      </c>
      <c r="R45" s="33">
        <f>IFERROR(__xludf.DUMMYFUNCTION("""COMPUTED_VALUE"""),0.9678714859437751)</f>
        <v>0.9678714859</v>
      </c>
      <c r="S45" s="4" t="str">
        <f>IFERROR(__xludf.DUMMYFUNCTION("""COMPUTED_VALUE"""),"N/A (Not found)")</f>
        <v>N/A (Not found)</v>
      </c>
      <c r="T45" s="33">
        <f>IFERROR(__xludf.DUMMYFUNCTION("""COMPUTED_VALUE"""),0.9437751004016064)</f>
        <v>0.9437751004</v>
      </c>
      <c r="U45" s="4" t="str">
        <f>IFERROR(__xludf.DUMMYFUNCTION("""COMPUTED_VALUE"""),"N/A (Not found)")</f>
        <v>N/A (Not found)</v>
      </c>
      <c r="V45" s="33">
        <f>IFERROR(__xludf.DUMMYFUNCTION("""COMPUTED_VALUE"""),0.9317269076305221)</f>
        <v>0.9317269076</v>
      </c>
      <c r="W45" s="4" t="str">
        <f>IFERROR(__xludf.DUMMYFUNCTION("""COMPUTED_VALUE"""),"N/A (Not found)")</f>
        <v>N/A (Not found)</v>
      </c>
      <c r="X45" s="33">
        <f>IFERROR(__xludf.DUMMYFUNCTION("""COMPUTED_VALUE"""),0.9116465863453815)</f>
        <v>0.9116465863</v>
      </c>
    </row>
    <row r="46">
      <c r="A46" s="4" t="str">
        <f>IFERROR(__xludf.DUMMYFUNCTION("""COMPUTED_VALUE"""),"CARECA")</f>
        <v>CARECA</v>
      </c>
      <c r="B46" s="4">
        <f>IFERROR(__xludf.DUMMYFUNCTION("""COMPUTED_VALUE"""),4.0)</f>
        <v>4</v>
      </c>
      <c r="C46" s="30">
        <f>IFERROR(__xludf.DUMMYFUNCTION("""COMPUTED_VALUE"""),50.0)</f>
        <v>50</v>
      </c>
      <c r="D46" s="4" t="str">
        <f>IFERROR(__xludf.DUMMYFUNCTION("""COMPUTED_VALUE"""),"Fast Casual - Multi-conceito")</f>
        <v>Fast Casual - Multi-conceito</v>
      </c>
      <c r="E46" s="4" t="str">
        <f>IFERROR(__xludf.DUMMYFUNCTION("""COMPUTED_VALUE"""),"Regional")</f>
        <v>Regional</v>
      </c>
      <c r="F46" s="4" t="str">
        <f>IFERROR(__xludf.DUMMYFUNCTION("""COMPUTED_VALUE"""),"Dado não disponível - Necessário Discovery")</f>
        <v>Dado não disponível - Necessário Discovery</v>
      </c>
      <c r="G46" s="4">
        <f>IFERROR(__xludf.DUMMYFUNCTION("""COMPUTED_VALUE"""),65.0)</f>
        <v>65</v>
      </c>
      <c r="H46" s="31">
        <f>IFERROR(__xludf.DUMMYFUNCTION("""COMPUTED_VALUE"""),0.75)</f>
        <v>0.75</v>
      </c>
      <c r="I4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46" s="4" t="str">
        <f>IFERROR(__xludf.DUMMYFUNCTION("""COMPUTED_VALUE"""),"FORNERIA ORIGINAL")</f>
        <v>FORNERIA ORIGINAL</v>
      </c>
      <c r="L46" s="32">
        <f>IFERROR(__xludf.DUMMYFUNCTION("""COMPUTED_VALUE"""),232.0)</f>
        <v>232</v>
      </c>
      <c r="M46" s="4" t="str">
        <f>IFERROR(__xludf.DUMMYFUNCTION("""COMPUTED_VALUE"""),"Saipos Serviços De Software")</f>
        <v>Saipos Serviços De Software</v>
      </c>
      <c r="N46" s="33">
        <f>IFERROR(__xludf.DUMMYFUNCTION("""COMPUTED_VALUE"""),0.9396551724137931)</f>
        <v>0.9396551724</v>
      </c>
      <c r="O46" s="4" t="str">
        <f>IFERROR(__xludf.DUMMYFUNCTION("""COMPUTED_VALUE"""),"Saipos Serviços De Software")</f>
        <v>Saipos Serviços De Software</v>
      </c>
      <c r="P46" s="33">
        <f>IFERROR(__xludf.DUMMYFUNCTION("""COMPUTED_VALUE"""),0.8922413793103449)</f>
        <v>0.8922413793</v>
      </c>
      <c r="Q46" s="4" t="str">
        <f>IFERROR(__xludf.DUMMYFUNCTION("""COMPUTED_VALUE"""),"Saipos Serviços De Software")</f>
        <v>Saipos Serviços De Software</v>
      </c>
      <c r="R46" s="33">
        <f>IFERROR(__xludf.DUMMYFUNCTION("""COMPUTED_VALUE"""),0.8706896551724138)</f>
        <v>0.8706896552</v>
      </c>
      <c r="S46" s="4" t="str">
        <f>IFERROR(__xludf.DUMMYFUNCTION("""COMPUTED_VALUE"""),"Saipos Serviços De Software")</f>
        <v>Saipos Serviços De Software</v>
      </c>
      <c r="T46" s="33">
        <f>IFERROR(__xludf.DUMMYFUNCTION("""COMPUTED_VALUE"""),0.8405172413793104)</f>
        <v>0.8405172414</v>
      </c>
      <c r="U46" s="4" t="str">
        <f>IFERROR(__xludf.DUMMYFUNCTION("""COMPUTED_VALUE"""),"Saipos Serviços De Software")</f>
        <v>Saipos Serviços De Software</v>
      </c>
      <c r="V46" s="33">
        <f>IFERROR(__xludf.DUMMYFUNCTION("""COMPUTED_VALUE"""),0.8620689655172413)</f>
        <v>0.8620689655</v>
      </c>
      <c r="W46" s="4" t="str">
        <f>IFERROR(__xludf.DUMMYFUNCTION("""COMPUTED_VALUE"""),"Saipos Serviços De Software")</f>
        <v>Saipos Serviços De Software</v>
      </c>
      <c r="X46" s="33">
        <f>IFERROR(__xludf.DUMMYFUNCTION("""COMPUTED_VALUE"""),0.8620689655172413)</f>
        <v>0.8620689655</v>
      </c>
    </row>
    <row r="47">
      <c r="A47" s="4" t="str">
        <f>IFERROR(__xludf.DUMMYFUNCTION("""COMPUTED_VALUE"""),"CARNEIRO DO ORDONES - CONTA MARCA")</f>
        <v>CARNEIRO DO ORDONES - CONTA MARCA</v>
      </c>
      <c r="B47" s="4">
        <f>IFERROR(__xludf.DUMMYFUNCTION("""COMPUTED_VALUE"""),6.0)</f>
        <v>6</v>
      </c>
      <c r="C47" s="30">
        <f>IFERROR(__xludf.DUMMYFUNCTION("""COMPUTED_VALUE"""),75.0)</f>
        <v>75</v>
      </c>
      <c r="D47" s="4" t="str">
        <f>IFERROR(__xludf.DUMMYFUNCTION("""COMPUTED_VALUE"""),"Fast Casual - Carneiro/Grelhados")</f>
        <v>Fast Casual - Carneiro/Grelhados</v>
      </c>
      <c r="E47" s="4" t="str">
        <f>IFERROR(__xludf.DUMMYFUNCTION("""COMPUTED_VALUE"""),"Regional")</f>
        <v>Regional</v>
      </c>
      <c r="F47" s="4" t="str">
        <f>IFERROR(__xludf.DUMMYFUNCTION("""COMPUTED_VALUE"""),"Dado não disponível - Necessário Discovery")</f>
        <v>Dado não disponível - Necessário Discovery</v>
      </c>
      <c r="G47" s="4">
        <f>IFERROR(__xludf.DUMMYFUNCTION("""COMPUTED_VALUE"""),70.0)</f>
        <v>70</v>
      </c>
      <c r="H47" s="31">
        <f>IFERROR(__xludf.DUMMYFUNCTION("""COMPUTED_VALUE"""),0.75)</f>
        <v>0.75</v>
      </c>
      <c r="I4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47" s="4" t="str">
        <f>IFERROR(__xludf.DUMMYFUNCTION("""COMPUTED_VALUE"""),"GRUPO SWIFT")</f>
        <v>GRUPO SWIFT</v>
      </c>
      <c r="L47" s="32">
        <f>IFERROR(__xludf.DUMMYFUNCTION("""COMPUTED_VALUE"""),225.0)</f>
        <v>225</v>
      </c>
      <c r="M47" s="4" t="str">
        <f>IFERROR(__xludf.DUMMYFUNCTION("""COMPUTED_VALUE"""),"N/A (Not found)")</f>
        <v>N/A (Not found)</v>
      </c>
      <c r="N47" s="33">
        <f>IFERROR(__xludf.DUMMYFUNCTION("""COMPUTED_VALUE"""),0.9822222222222222)</f>
        <v>0.9822222222</v>
      </c>
      <c r="O47" s="4" t="str">
        <f>IFERROR(__xludf.DUMMYFUNCTION("""COMPUTED_VALUE"""),"N/A (Not found)")</f>
        <v>N/A (Not found)</v>
      </c>
      <c r="P47" s="33">
        <f>IFERROR(__xludf.DUMMYFUNCTION("""COMPUTED_VALUE"""),0.9822222222222222)</f>
        <v>0.9822222222</v>
      </c>
      <c r="Q47" s="4" t="str">
        <f>IFERROR(__xludf.DUMMYFUNCTION("""COMPUTED_VALUE"""),"N/A (Not found)")</f>
        <v>N/A (Not found)</v>
      </c>
      <c r="R47" s="33">
        <f>IFERROR(__xludf.DUMMYFUNCTION("""COMPUTED_VALUE"""),0.9822222222222222)</f>
        <v>0.9822222222</v>
      </c>
      <c r="S47" s="4" t="str">
        <f>IFERROR(__xludf.DUMMYFUNCTION("""COMPUTED_VALUE"""),"N/A (Not found)")</f>
        <v>N/A (Not found)</v>
      </c>
      <c r="T47" s="33">
        <f>IFERROR(__xludf.DUMMYFUNCTION("""COMPUTED_VALUE"""),0.9822222222222222)</f>
        <v>0.9822222222</v>
      </c>
      <c r="U47" s="4" t="str">
        <f>IFERROR(__xludf.DUMMYFUNCTION("""COMPUTED_VALUE"""),"N/A (Not found)")</f>
        <v>N/A (Not found)</v>
      </c>
      <c r="V47" s="33">
        <f>IFERROR(__xludf.DUMMYFUNCTION("""COMPUTED_VALUE"""),0.9866666666666667)</f>
        <v>0.9866666667</v>
      </c>
      <c r="W47" s="4" t="str">
        <f>IFERROR(__xludf.DUMMYFUNCTION("""COMPUTED_VALUE"""),"N/A (Not found)")</f>
        <v>N/A (Not found)</v>
      </c>
      <c r="X47" s="33">
        <f>IFERROR(__xludf.DUMMYFUNCTION("""COMPUTED_VALUE"""),0.9866666666666667)</f>
        <v>0.9866666667</v>
      </c>
    </row>
    <row r="48">
      <c r="A48" s="4" t="str">
        <f>IFERROR(__xludf.DUMMYFUNCTION("""COMPUTED_VALUE"""),"CASA DO PARÁ")</f>
        <v>CASA DO PARÁ</v>
      </c>
      <c r="B48" s="4">
        <f>IFERROR(__xludf.DUMMYFUNCTION("""COMPUTED_VALUE"""),5.0)</f>
        <v>5</v>
      </c>
      <c r="C48" s="30">
        <f>IFERROR(__xludf.DUMMYFUNCTION("""COMPUTED_VALUE"""),55.0)</f>
        <v>55</v>
      </c>
      <c r="D48" s="4" t="str">
        <f>IFERROR(__xludf.DUMMYFUNCTION("""COMPUTED_VALUE"""),"Fast Casual - Comida Paraense")</f>
        <v>Fast Casual - Comida Paraense</v>
      </c>
      <c r="E48" s="4" t="str">
        <f>IFERROR(__xludf.DUMMYFUNCTION("""COMPUTED_VALUE"""),"Regional")</f>
        <v>Regional</v>
      </c>
      <c r="F48" s="4" t="str">
        <f>IFERROR(__xludf.DUMMYFUNCTION("""COMPUTED_VALUE"""),"Dado não disponível - Necessário Discovery")</f>
        <v>Dado não disponível - Necessário Discovery</v>
      </c>
      <c r="G48" s="4">
        <f>IFERROR(__xludf.DUMMYFUNCTION("""COMPUTED_VALUE"""),70.0)</f>
        <v>70</v>
      </c>
      <c r="H48" s="31">
        <f>IFERROR(__xludf.DUMMYFUNCTION("""COMPUTED_VALUE"""),0.75)</f>
        <v>0.75</v>
      </c>
      <c r="I4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48" s="4" t="str">
        <f>IFERROR(__xludf.DUMMYFUNCTION("""COMPUTED_VALUE"""),"CAFETERIA CHEIRIN BAO")</f>
        <v>CAFETERIA CHEIRIN BAO</v>
      </c>
      <c r="L48" s="32">
        <f>IFERROR(__xludf.DUMMYFUNCTION("""COMPUTED_VALUE"""),221.0)</f>
        <v>221</v>
      </c>
      <c r="M48" s="4" t="str">
        <f>IFERROR(__xludf.DUMMYFUNCTION("""COMPUTED_VALUE"""),"Alpha Logo")</f>
        <v>Alpha Logo</v>
      </c>
      <c r="N48" s="33">
        <f>IFERROR(__xludf.DUMMYFUNCTION("""COMPUTED_VALUE"""),0.8506787330316742)</f>
        <v>0.850678733</v>
      </c>
      <c r="O48" s="4" t="str">
        <f>IFERROR(__xludf.DUMMYFUNCTION("""COMPUTED_VALUE"""),"Alpha Logo")</f>
        <v>Alpha Logo</v>
      </c>
      <c r="P48" s="33">
        <f>IFERROR(__xludf.DUMMYFUNCTION("""COMPUTED_VALUE"""),0.8506787330316742)</f>
        <v>0.850678733</v>
      </c>
      <c r="Q48" s="4" t="str">
        <f>IFERROR(__xludf.DUMMYFUNCTION("""COMPUTED_VALUE"""),"Alpha Logo")</f>
        <v>Alpha Logo</v>
      </c>
      <c r="R48" s="33">
        <f>IFERROR(__xludf.DUMMYFUNCTION("""COMPUTED_VALUE"""),0.7963800904977375)</f>
        <v>0.7963800905</v>
      </c>
      <c r="S48" s="4" t="str">
        <f>IFERROR(__xludf.DUMMYFUNCTION("""COMPUTED_VALUE"""),"Alpha Logo")</f>
        <v>Alpha Logo</v>
      </c>
      <c r="T48" s="33">
        <f>IFERROR(__xludf.DUMMYFUNCTION("""COMPUTED_VALUE"""),0.7918552036199095)</f>
        <v>0.7918552036</v>
      </c>
      <c r="U48" s="4" t="str">
        <f>IFERROR(__xludf.DUMMYFUNCTION("""COMPUTED_VALUE"""),"Alpha Logo")</f>
        <v>Alpha Logo</v>
      </c>
      <c r="V48" s="33">
        <f>IFERROR(__xludf.DUMMYFUNCTION("""COMPUTED_VALUE"""),0.8280542986425339)</f>
        <v>0.8280542986</v>
      </c>
      <c r="W48" s="4" t="str">
        <f>IFERROR(__xludf.DUMMYFUNCTION("""COMPUTED_VALUE"""),"Alpha Logo")</f>
        <v>Alpha Logo</v>
      </c>
      <c r="X48" s="33">
        <f>IFERROR(__xludf.DUMMYFUNCTION("""COMPUTED_VALUE"""),0.8009049773755657)</f>
        <v>0.8009049774</v>
      </c>
    </row>
    <row r="49">
      <c r="A49" s="4" t="str">
        <f>IFERROR(__xludf.DUMMYFUNCTION("""COMPUTED_VALUE"""),"CAVENDISH")</f>
        <v>CAVENDISH</v>
      </c>
      <c r="B49" s="4">
        <f>IFERROR(__xludf.DUMMYFUNCTION("""COMPUTED_VALUE"""),3.0)</f>
        <v>3</v>
      </c>
      <c r="C49" s="30">
        <f>IFERROR(__xludf.DUMMYFUNCTION("""COMPUTED_VALUE"""),42.0)</f>
        <v>42</v>
      </c>
      <c r="D49" s="4" t="str">
        <f>IFERROR(__xludf.DUMMYFUNCTION("""COMPUTED_VALUE"""),"Fast Casual - Cafeteria")</f>
        <v>Fast Casual - Cafeteria</v>
      </c>
      <c r="E49" s="4" t="str">
        <f>IFERROR(__xludf.DUMMYFUNCTION("""COMPUTED_VALUE"""),"Regional")</f>
        <v>Regional</v>
      </c>
      <c r="F49" s="4" t="str">
        <f>IFERROR(__xludf.DUMMYFUNCTION("""COMPUTED_VALUE"""),"Dado não disponível - Necessário Discovery")</f>
        <v>Dado não disponível - Necessário Discovery</v>
      </c>
      <c r="G49" s="4">
        <f>IFERROR(__xludf.DUMMYFUNCTION("""COMPUTED_VALUE"""),65.0)</f>
        <v>65</v>
      </c>
      <c r="H49" s="31">
        <f>IFERROR(__xludf.DUMMYFUNCTION("""COMPUTED_VALUE"""),0.75)</f>
        <v>0.75</v>
      </c>
      <c r="I4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49" s="4" t="str">
        <f>IFERROR(__xludf.DUMMYFUNCTION("""COMPUTED_VALUE"""),"ITALIN HOUSE MACARRAO GOURMET - GRUPO")</f>
        <v>ITALIN HOUSE MACARRAO GOURMET - GRUPO</v>
      </c>
      <c r="L49" s="32">
        <f>IFERROR(__xludf.DUMMYFUNCTION("""COMPUTED_VALUE"""),219.0)</f>
        <v>219</v>
      </c>
      <c r="M49" s="4" t="str">
        <f>IFERROR(__xludf.DUMMYFUNCTION("""COMPUTED_VALUE"""),"Saipos Serviços De Software")</f>
        <v>Saipos Serviços De Software</v>
      </c>
      <c r="N49" s="33">
        <f>IFERROR(__xludf.DUMMYFUNCTION("""COMPUTED_VALUE"""),0.9452054794520548)</f>
        <v>0.9452054795</v>
      </c>
      <c r="O49" s="4" t="str">
        <f>IFERROR(__xludf.DUMMYFUNCTION("""COMPUTED_VALUE"""),"Saipos Serviços De Software")</f>
        <v>Saipos Serviços De Software</v>
      </c>
      <c r="P49" s="33">
        <f>IFERROR(__xludf.DUMMYFUNCTION("""COMPUTED_VALUE"""),0.954337899543379)</f>
        <v>0.9543378995</v>
      </c>
      <c r="Q49" s="4" t="str">
        <f>IFERROR(__xludf.DUMMYFUNCTION("""COMPUTED_VALUE"""),"Saipos Serviços De Software")</f>
        <v>Saipos Serviços De Software</v>
      </c>
      <c r="R49" s="33">
        <f>IFERROR(__xludf.DUMMYFUNCTION("""COMPUTED_VALUE"""),0.9680365296803652)</f>
        <v>0.9680365297</v>
      </c>
      <c r="S49" s="4" t="str">
        <f>IFERROR(__xludf.DUMMYFUNCTION("""COMPUTED_VALUE"""),"Saipos Serviços De Software")</f>
        <v>Saipos Serviços De Software</v>
      </c>
      <c r="T49" s="33">
        <f>IFERROR(__xludf.DUMMYFUNCTION("""COMPUTED_VALUE"""),0.954337899543379)</f>
        <v>0.9543378995</v>
      </c>
      <c r="U49" s="4" t="str">
        <f>IFERROR(__xludf.DUMMYFUNCTION("""COMPUTED_VALUE"""),"Saipos Serviços De Software")</f>
        <v>Saipos Serviços De Software</v>
      </c>
      <c r="V49" s="33">
        <f>IFERROR(__xludf.DUMMYFUNCTION("""COMPUTED_VALUE"""),0.9360730593607306)</f>
        <v>0.9360730594</v>
      </c>
      <c r="W49" s="4" t="str">
        <f>IFERROR(__xludf.DUMMYFUNCTION("""COMPUTED_VALUE"""),"Saipos Serviços De Software")</f>
        <v>Saipos Serviços De Software</v>
      </c>
      <c r="X49" s="33">
        <f>IFERROR(__xludf.DUMMYFUNCTION("""COMPUTED_VALUE"""),0.9360730593607306)</f>
        <v>0.9360730594</v>
      </c>
    </row>
    <row r="50">
      <c r="A50" s="4" t="str">
        <f>IFERROR(__xludf.DUMMYFUNCTION("""COMPUTED_VALUE"""),"CHAVITOS HAMBURGUERIA ARTESANAL")</f>
        <v>CHAVITOS HAMBURGUERIA ARTESANAL</v>
      </c>
      <c r="B50" s="4">
        <f>IFERROR(__xludf.DUMMYFUNCTION("""COMPUTED_VALUE"""),2.0)</f>
        <v>2</v>
      </c>
      <c r="C50" s="30">
        <f>IFERROR(__xludf.DUMMYFUNCTION("""COMPUTED_VALUE"""),65.0)</f>
        <v>65</v>
      </c>
      <c r="D50" s="4" t="str">
        <f>IFERROR(__xludf.DUMMYFUNCTION("""COMPUTED_VALUE"""),"Fast Casual - Hamburgueria Artesanal")</f>
        <v>Fast Casual - Hamburgueria Artesanal</v>
      </c>
      <c r="E50" s="4" t="str">
        <f>IFERROR(__xludf.DUMMYFUNCTION("""COMPUTED_VALUE"""),"Regional")</f>
        <v>Regional</v>
      </c>
      <c r="F50" s="4" t="str">
        <f>IFERROR(__xludf.DUMMYFUNCTION("""COMPUTED_VALUE"""),"Dado não disponível - Necessário Discovery")</f>
        <v>Dado não disponível - Necessário Discovery</v>
      </c>
      <c r="G50" s="4">
        <f>IFERROR(__xludf.DUMMYFUNCTION("""COMPUTED_VALUE"""),65.0)</f>
        <v>65</v>
      </c>
      <c r="H50" s="31">
        <f>IFERROR(__xludf.DUMMYFUNCTION("""COMPUTED_VALUE"""),0.75)</f>
        <v>0.75</v>
      </c>
      <c r="I5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50" s="4" t="str">
        <f>IFERROR(__xludf.DUMMYFUNCTION("""COMPUTED_VALUE"""),"GRUPO RI HAPPY")</f>
        <v>GRUPO RI HAPPY</v>
      </c>
      <c r="L50" s="32">
        <f>IFERROR(__xludf.DUMMYFUNCTION("""COMPUTED_VALUE"""),217.0)</f>
        <v>217</v>
      </c>
      <c r="M50" s="4" t="str">
        <f>IFERROR(__xludf.DUMMYFUNCTION("""COMPUTED_VALUE"""),"N/A (Not found)")</f>
        <v>N/A (Not found)</v>
      </c>
      <c r="N50" s="33">
        <f>IFERROR(__xludf.DUMMYFUNCTION("""COMPUTED_VALUE"""),0.9354838709677419)</f>
        <v>0.935483871</v>
      </c>
      <c r="O50" s="4" t="str">
        <f>IFERROR(__xludf.DUMMYFUNCTION("""COMPUTED_VALUE"""),"N/A (Not found)")</f>
        <v>N/A (Not found)</v>
      </c>
      <c r="P50" s="33">
        <f>IFERROR(__xludf.DUMMYFUNCTION("""COMPUTED_VALUE"""),0.9723502304147466)</f>
        <v>0.9723502304</v>
      </c>
      <c r="Q50" s="4" t="str">
        <f>IFERROR(__xludf.DUMMYFUNCTION("""COMPUTED_VALUE"""),"N/A (Not found)")</f>
        <v>N/A (Not found)</v>
      </c>
      <c r="R50" s="33">
        <f>IFERROR(__xludf.DUMMYFUNCTION("""COMPUTED_VALUE"""),0.9493087557603687)</f>
        <v>0.9493087558</v>
      </c>
      <c r="S50" s="4" t="str">
        <f>IFERROR(__xludf.DUMMYFUNCTION("""COMPUTED_VALUE"""),"N/A (Not found)")</f>
        <v>N/A (Not found)</v>
      </c>
      <c r="T50" s="33">
        <f>IFERROR(__xludf.DUMMYFUNCTION("""COMPUTED_VALUE"""),0.9447004608294931)</f>
        <v>0.9447004608</v>
      </c>
      <c r="U50" s="4" t="str">
        <f>IFERROR(__xludf.DUMMYFUNCTION("""COMPUTED_VALUE"""),"N/A (Not found)")</f>
        <v>N/A (Not found)</v>
      </c>
      <c r="V50" s="33">
        <f>IFERROR(__xludf.DUMMYFUNCTION("""COMPUTED_VALUE"""),0.9585253456221198)</f>
        <v>0.9585253456</v>
      </c>
      <c r="W50" s="4" t="str">
        <f>IFERROR(__xludf.DUMMYFUNCTION("""COMPUTED_VALUE"""),"N/A (Not found)")</f>
        <v>N/A (Not found)</v>
      </c>
      <c r="X50" s="33">
        <f>IFERROR(__xludf.DUMMYFUNCTION("""COMPUTED_VALUE"""),0.9585253456221198)</f>
        <v>0.9585253456</v>
      </c>
    </row>
    <row r="51">
      <c r="A51" s="4" t="str">
        <f>IFERROR(__xludf.DUMMYFUNCTION("""COMPUTED_VALUE"""),"CHICKEN TOWN")</f>
        <v>CHICKEN TOWN</v>
      </c>
      <c r="B51" s="4">
        <f>IFERROR(__xludf.DUMMYFUNCTION("""COMPUTED_VALUE"""),8.0)</f>
        <v>8</v>
      </c>
      <c r="C51" s="30">
        <f>IFERROR(__xludf.DUMMYFUNCTION("""COMPUTED_VALUE"""),45.0)</f>
        <v>45</v>
      </c>
      <c r="D51" s="4" t="str">
        <f>IFERROR(__xludf.DUMMYFUNCTION("""COMPUTED_VALUE"""),"QSR - Frango Frito")</f>
        <v>QSR - Frango Frito</v>
      </c>
      <c r="E51" s="4" t="str">
        <f>IFERROR(__xludf.DUMMYFUNCTION("""COMPUTED_VALUE"""),"Regional")</f>
        <v>Regional</v>
      </c>
      <c r="F51" s="4" t="str">
        <f>IFERROR(__xludf.DUMMYFUNCTION("""COMPUTED_VALUE"""),"Dado não disponível - Necessário Discovery")</f>
        <v>Dado não disponível - Necessário Discovery</v>
      </c>
      <c r="G51" s="4">
        <f>IFERROR(__xludf.DUMMYFUNCTION("""COMPUTED_VALUE"""),70.0)</f>
        <v>70</v>
      </c>
      <c r="H51" s="31">
        <f>IFERROR(__xludf.DUMMYFUNCTION("""COMPUTED_VALUE"""),0.85)</f>
        <v>0.85</v>
      </c>
      <c r="I51"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51" s="4" t="str">
        <f>IFERROR(__xludf.DUMMYFUNCTION("""COMPUTED_VALUE"""),"CARMEL")</f>
        <v>CARMEL</v>
      </c>
      <c r="L51" s="32">
        <f>IFERROR(__xludf.DUMMYFUNCTION("""COMPUTED_VALUE"""),204.0)</f>
        <v>204</v>
      </c>
      <c r="M51" s="4" t="str">
        <f>IFERROR(__xludf.DUMMYFUNCTION("""COMPUTED_VALUE"""),"null")</f>
        <v>null</v>
      </c>
      <c r="N51" s="33">
        <f>IFERROR(__xludf.DUMMYFUNCTION("""COMPUTED_VALUE"""),0.6029411764705882)</f>
        <v>0.6029411765</v>
      </c>
      <c r="O51" s="4" t="str">
        <f>IFERROR(__xludf.DUMMYFUNCTION("""COMPUTED_VALUE"""),"Dynaset Software")</f>
        <v>Dynaset Software</v>
      </c>
      <c r="P51" s="33">
        <f>IFERROR(__xludf.DUMMYFUNCTION("""COMPUTED_VALUE"""),0.6078431372549019)</f>
        <v>0.6078431373</v>
      </c>
      <c r="Q51" s="4" t="str">
        <f>IFERROR(__xludf.DUMMYFUNCTION("""COMPUTED_VALUE"""),"Dynaset Software")</f>
        <v>Dynaset Software</v>
      </c>
      <c r="R51" s="33">
        <f>IFERROR(__xludf.DUMMYFUNCTION("""COMPUTED_VALUE"""),0.553921568627451)</f>
        <v>0.5539215686</v>
      </c>
      <c r="S51" s="4" t="str">
        <f>IFERROR(__xludf.DUMMYFUNCTION("""COMPUTED_VALUE"""),"Dynaset Software")</f>
        <v>Dynaset Software</v>
      </c>
      <c r="T51" s="33">
        <f>IFERROR(__xludf.DUMMYFUNCTION("""COMPUTED_VALUE"""),0.5588235294117647)</f>
        <v>0.5588235294</v>
      </c>
      <c r="U51" s="4" t="str">
        <f>IFERROR(__xludf.DUMMYFUNCTION("""COMPUTED_VALUE"""),"Dynaset Software")</f>
        <v>Dynaset Software</v>
      </c>
      <c r="V51" s="33">
        <f>IFERROR(__xludf.DUMMYFUNCTION("""COMPUTED_VALUE"""),0.5490196078431373)</f>
        <v>0.5490196078</v>
      </c>
      <c r="W51" s="4" t="str">
        <f>IFERROR(__xludf.DUMMYFUNCTION("""COMPUTED_VALUE"""),"Dynaset Software")</f>
        <v>Dynaset Software</v>
      </c>
      <c r="X51" s="33">
        <f>IFERROR(__xludf.DUMMYFUNCTION("""COMPUTED_VALUE"""),0.6372549019607843)</f>
        <v>0.637254902</v>
      </c>
    </row>
    <row r="52">
      <c r="A52" s="4" t="str">
        <f>IFERROR(__xludf.DUMMYFUNCTION("""COMPUTED_VALUE"""),"CHILI BURGER HAMBURGUERIA ARTESANAL")</f>
        <v>CHILI BURGER HAMBURGUERIA ARTESANAL</v>
      </c>
      <c r="B52" s="4">
        <f>IFERROR(__xludf.DUMMYFUNCTION("""COMPUTED_VALUE"""),8.0)</f>
        <v>8</v>
      </c>
      <c r="C52" s="30">
        <f>IFERROR(__xludf.DUMMYFUNCTION("""COMPUTED_VALUE"""),74.0)</f>
        <v>74</v>
      </c>
      <c r="D52" s="4" t="str">
        <f>IFERROR(__xludf.DUMMYFUNCTION("""COMPUTED_VALUE"""),"Fast Casual - Hamburgueria")</f>
        <v>Fast Casual - Hamburgueria</v>
      </c>
      <c r="E52" s="4" t="str">
        <f>IFERROR(__xludf.DUMMYFUNCTION("""COMPUTED_VALUE"""),"Sul")</f>
        <v>Sul</v>
      </c>
      <c r="F52" s="4" t="str">
        <f>IFERROR(__xludf.DUMMYFUNCTION("""COMPUTED_VALUE"""),"Dado não disponível publicamente - Necessário Discovery")</f>
        <v>Dado não disponível publicamente - Necessário Discovery</v>
      </c>
      <c r="G52" s="4">
        <f>IFERROR(__xludf.DUMMYFUNCTION("""COMPUTED_VALUE"""),70.0)</f>
        <v>70</v>
      </c>
      <c r="H52" s="31">
        <f>IFERROR(__xludf.DUMMYFUNCTION("""COMPUTED_VALUE"""),0.75)</f>
        <v>0.75</v>
      </c>
      <c r="I5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52" s="4" t="str">
        <f>IFERROR(__xludf.DUMMYFUNCTION("""COMPUTED_VALUE"""),"GRUPO CESAR")</f>
        <v>GRUPO CESAR</v>
      </c>
      <c r="L52" s="32">
        <f>IFERROR(__xludf.DUMMYFUNCTION("""COMPUTED_VALUE"""),202.0)</f>
        <v>202</v>
      </c>
      <c r="M52" s="4" t="str">
        <f>IFERROR(__xludf.DUMMYFUNCTION("""COMPUTED_VALUE"""),"Saipos Serviços De Software")</f>
        <v>Saipos Serviços De Software</v>
      </c>
      <c r="N52" s="33">
        <f>IFERROR(__xludf.DUMMYFUNCTION("""COMPUTED_VALUE"""),0.8514851485148515)</f>
        <v>0.8514851485</v>
      </c>
      <c r="O52" s="4" t="str">
        <f>IFERROR(__xludf.DUMMYFUNCTION("""COMPUTED_VALUE"""),"Saipos Serviços De Software")</f>
        <v>Saipos Serviços De Software</v>
      </c>
      <c r="P52" s="33">
        <f>IFERROR(__xludf.DUMMYFUNCTION("""COMPUTED_VALUE"""),0.8465346534653465)</f>
        <v>0.8465346535</v>
      </c>
      <c r="Q52" s="4" t="str">
        <f>IFERROR(__xludf.DUMMYFUNCTION("""COMPUTED_VALUE"""),"Saipos Serviços De Software")</f>
        <v>Saipos Serviços De Software</v>
      </c>
      <c r="R52" s="33">
        <f>IFERROR(__xludf.DUMMYFUNCTION("""COMPUTED_VALUE"""),0.8514851485148515)</f>
        <v>0.8514851485</v>
      </c>
      <c r="S52" s="4" t="str">
        <f>IFERROR(__xludf.DUMMYFUNCTION("""COMPUTED_VALUE"""),"Saipos Serviços De Software")</f>
        <v>Saipos Serviços De Software</v>
      </c>
      <c r="T52" s="33">
        <f>IFERROR(__xludf.DUMMYFUNCTION("""COMPUTED_VALUE"""),0.8465346534653465)</f>
        <v>0.8465346535</v>
      </c>
      <c r="U52" s="4" t="str">
        <f>IFERROR(__xludf.DUMMYFUNCTION("""COMPUTED_VALUE"""),"Saipos Serviços De Software")</f>
        <v>Saipos Serviços De Software</v>
      </c>
      <c r="V52" s="33">
        <f>IFERROR(__xludf.DUMMYFUNCTION("""COMPUTED_VALUE"""),0.8613861386138614)</f>
        <v>0.8613861386</v>
      </c>
      <c r="W52" s="4" t="str">
        <f>IFERROR(__xludf.DUMMYFUNCTION("""COMPUTED_VALUE"""),"Saipos Serviços De Software")</f>
        <v>Saipos Serviços De Software</v>
      </c>
      <c r="X52" s="33">
        <f>IFERROR(__xludf.DUMMYFUNCTION("""COMPUTED_VALUE"""),0.8415841584158416)</f>
        <v>0.8415841584</v>
      </c>
    </row>
    <row r="53">
      <c r="A53" s="4" t="str">
        <f>IFERROR(__xludf.DUMMYFUNCTION("""COMPUTED_VALUE"""),"CHOPP DA FÁBRICA")</f>
        <v>CHOPP DA FÁBRICA</v>
      </c>
      <c r="B53" s="4">
        <f>IFERROR(__xludf.DUMMYFUNCTION("""COMPUTED_VALUE"""),4.0)</f>
        <v>4</v>
      </c>
      <c r="C53" s="30">
        <f>IFERROR(__xludf.DUMMYFUNCTION("""COMPUTED_VALUE"""),79.0)</f>
        <v>79</v>
      </c>
      <c r="D53" s="4" t="str">
        <f>IFERROR(__xludf.DUMMYFUNCTION("""COMPUTED_VALUE"""),"Table Service - Boteco")</f>
        <v>Table Service - Boteco</v>
      </c>
      <c r="E53" s="4" t="str">
        <f>IFERROR(__xludf.DUMMYFUNCTION("""COMPUTED_VALUE"""),"São Paulo/SP")</f>
        <v>São Paulo/SP</v>
      </c>
      <c r="F53" s="4" t="str">
        <f>IFERROR(__xludf.DUMMYFUNCTION("""COMPUTED_VALUE"""),"Dado não disponível publicamente - Necessário Discovery")</f>
        <v>Dado não disponível publicamente - Necessário Discovery</v>
      </c>
      <c r="G53" s="4">
        <f>IFERROR(__xludf.DUMMYFUNCTION("""COMPUTED_VALUE"""),55.0)</f>
        <v>55</v>
      </c>
      <c r="H53" s="31">
        <f>IFERROR(__xludf.DUMMYFUNCTION("""COMPUTED_VALUE"""),0.65)</f>
        <v>0.65</v>
      </c>
      <c r="I5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53" s="4" t="str">
        <f>IFERROR(__xludf.DUMMYFUNCTION("""COMPUTED_VALUE"""),"GRUPO BACIO DI LATTE")</f>
        <v>GRUPO BACIO DI LATTE</v>
      </c>
      <c r="L53" s="32">
        <f>IFERROR(__xludf.DUMMYFUNCTION("""COMPUTED_VALUE"""),194.0)</f>
        <v>194</v>
      </c>
      <c r="M53" s="4" t="str">
        <f>IFERROR(__xludf.DUMMYFUNCTION("""COMPUTED_VALUE"""),"Hubster")</f>
        <v>Hubster</v>
      </c>
      <c r="N53" s="33">
        <f>IFERROR(__xludf.DUMMYFUNCTION("""COMPUTED_VALUE"""),0.8350515463917526)</f>
        <v>0.8350515464</v>
      </c>
      <c r="O53" s="4" t="str">
        <f>IFERROR(__xludf.DUMMYFUNCTION("""COMPUTED_VALUE"""),"Hubster")</f>
        <v>Hubster</v>
      </c>
      <c r="P53" s="33">
        <f>IFERROR(__xludf.DUMMYFUNCTION("""COMPUTED_VALUE"""),0.845360824742268)</f>
        <v>0.8453608247</v>
      </c>
      <c r="Q53" s="4" t="str">
        <f>IFERROR(__xludf.DUMMYFUNCTION("""COMPUTED_VALUE"""),"Hubster")</f>
        <v>Hubster</v>
      </c>
      <c r="R53" s="33">
        <f>IFERROR(__xludf.DUMMYFUNCTION("""COMPUTED_VALUE"""),0.8402061855670103)</f>
        <v>0.8402061856</v>
      </c>
      <c r="S53" s="4" t="str">
        <f>IFERROR(__xludf.DUMMYFUNCTION("""COMPUTED_VALUE"""),"Hubster")</f>
        <v>Hubster</v>
      </c>
      <c r="T53" s="33">
        <f>IFERROR(__xludf.DUMMYFUNCTION("""COMPUTED_VALUE"""),0.9484536082474226)</f>
        <v>0.9484536082</v>
      </c>
      <c r="U53" s="4" t="str">
        <f>IFERROR(__xludf.DUMMYFUNCTION("""COMPUTED_VALUE"""),"Hubster")</f>
        <v>Hubster</v>
      </c>
      <c r="V53" s="33">
        <f>IFERROR(__xludf.DUMMYFUNCTION("""COMPUTED_VALUE"""),0.9742268041237113)</f>
        <v>0.9742268041</v>
      </c>
      <c r="W53" s="4" t="str">
        <f>IFERROR(__xludf.DUMMYFUNCTION("""COMPUTED_VALUE"""),"Hubster")</f>
        <v>Hubster</v>
      </c>
      <c r="X53" s="33">
        <f>IFERROR(__xludf.DUMMYFUNCTION("""COMPUTED_VALUE"""),0.9845360824742269)</f>
        <v>0.9845360825</v>
      </c>
    </row>
    <row r="54">
      <c r="A54" s="4" t="str">
        <f>IFERROR(__xludf.DUMMYFUNCTION("""COMPUTED_VALUE"""),"COME ON BURGER")</f>
        <v>COME ON BURGER</v>
      </c>
      <c r="B54" s="4">
        <f>IFERROR(__xludf.DUMMYFUNCTION("""COMPUTED_VALUE"""),18.0)</f>
        <v>18</v>
      </c>
      <c r="C54" s="30">
        <f>IFERROR(__xludf.DUMMYFUNCTION("""COMPUTED_VALUE"""),66.0)</f>
        <v>66</v>
      </c>
      <c r="D54" s="4" t="str">
        <f>IFERROR(__xludf.DUMMYFUNCTION("""COMPUTED_VALUE"""),"Fast Casual - Hamburgueria")</f>
        <v>Fast Casual - Hamburgueria</v>
      </c>
      <c r="E54" s="4" t="str">
        <f>IFERROR(__xludf.DUMMYFUNCTION("""COMPUTED_VALUE"""),"Regional")</f>
        <v>Regional</v>
      </c>
      <c r="F54" s="4" t="str">
        <f>IFERROR(__xludf.DUMMYFUNCTION("""COMPUTED_VALUE"""),"Dado não disponível publicamente - Necessário Discovery")</f>
        <v>Dado não disponível publicamente - Necessário Discovery</v>
      </c>
      <c r="G54" s="4">
        <f>IFERROR(__xludf.DUMMYFUNCTION("""COMPUTED_VALUE"""),70.0)</f>
        <v>70</v>
      </c>
      <c r="H54" s="31">
        <f>IFERROR(__xludf.DUMMYFUNCTION("""COMPUTED_VALUE"""),0.8)</f>
        <v>0.8</v>
      </c>
      <c r="I54"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54" s="4" t="str">
        <f>IFERROR(__xludf.DUMMYFUNCTION("""COMPUTED_VALUE"""),"GRUPO O BURGUES")</f>
        <v>GRUPO O BURGUES</v>
      </c>
      <c r="L54" s="32">
        <f>IFERROR(__xludf.DUMMYFUNCTION("""COMPUTED_VALUE"""),184.0)</f>
        <v>184</v>
      </c>
      <c r="M54" s="4" t="str">
        <f>IFERROR(__xludf.DUMMYFUNCTION("""COMPUTED_VALUE"""),"Opdv")</f>
        <v>Opdv</v>
      </c>
      <c r="N54" s="33">
        <f>IFERROR(__xludf.DUMMYFUNCTION("""COMPUTED_VALUE"""),0.8702702702702703)</f>
        <v>0.8702702703</v>
      </c>
      <c r="O54" s="4" t="str">
        <f>IFERROR(__xludf.DUMMYFUNCTION("""COMPUTED_VALUE"""),"Opdv")</f>
        <v>Opdv</v>
      </c>
      <c r="P54" s="33">
        <f>IFERROR(__xludf.DUMMYFUNCTION("""COMPUTED_VALUE"""),0.8810810810810811)</f>
        <v>0.8810810811</v>
      </c>
      <c r="Q54" s="4" t="str">
        <f>IFERROR(__xludf.DUMMYFUNCTION("""COMPUTED_VALUE"""),"Opdv")</f>
        <v>Opdv</v>
      </c>
      <c r="R54" s="33">
        <f>IFERROR(__xludf.DUMMYFUNCTION("""COMPUTED_VALUE"""),0.8972972972972973)</f>
        <v>0.8972972973</v>
      </c>
      <c r="S54" s="4" t="str">
        <f>IFERROR(__xludf.DUMMYFUNCTION("""COMPUTED_VALUE"""),"Opdv")</f>
        <v>Opdv</v>
      </c>
      <c r="T54" s="33">
        <f>IFERROR(__xludf.DUMMYFUNCTION("""COMPUTED_VALUE"""),0.8216216216216217)</f>
        <v>0.8216216216</v>
      </c>
      <c r="U54" s="4" t="str">
        <f>IFERROR(__xludf.DUMMYFUNCTION("""COMPUTED_VALUE"""),"Opdv")</f>
        <v>Opdv</v>
      </c>
      <c r="V54" s="33">
        <f>IFERROR(__xludf.DUMMYFUNCTION("""COMPUTED_VALUE"""),0.8216216216216217)</f>
        <v>0.8216216216</v>
      </c>
      <c r="W54" s="4" t="str">
        <f>IFERROR(__xludf.DUMMYFUNCTION("""COMPUTED_VALUE"""),"Opdv")</f>
        <v>Opdv</v>
      </c>
      <c r="X54" s="33">
        <f>IFERROR(__xludf.DUMMYFUNCTION("""COMPUTED_VALUE"""),0.7621621621621621)</f>
        <v>0.7621621622</v>
      </c>
    </row>
    <row r="55">
      <c r="A55" s="4" t="str">
        <f>IFERROR(__xludf.DUMMYFUNCTION("""COMPUTED_VALUE"""),"CONECTA KITCHEN")</f>
        <v>CONECTA KITCHEN</v>
      </c>
      <c r="B55" s="4">
        <f>IFERROR(__xludf.DUMMYFUNCTION("""COMPUTED_VALUE"""),3.0)</f>
        <v>3</v>
      </c>
      <c r="C55" s="30">
        <f>IFERROR(__xludf.DUMMYFUNCTION("""COMPUTED_VALUE"""),66.0)</f>
        <v>66</v>
      </c>
      <c r="D55" s="4" t="str">
        <f>IFERROR(__xludf.DUMMYFUNCTION("""COMPUTED_VALUE"""),"Fast Casual - Multi-conceito")</f>
        <v>Fast Casual - Multi-conceito</v>
      </c>
      <c r="E55" s="4" t="str">
        <f>IFERROR(__xludf.DUMMYFUNCTION("""COMPUTED_VALUE"""),"Brasília/DF")</f>
        <v>Brasília/DF</v>
      </c>
      <c r="F55" s="4" t="str">
        <f>IFERROR(__xludf.DUMMYFUNCTION("""COMPUTED_VALUE"""),"Dado não disponível publicamente - Necessário Discovery")</f>
        <v>Dado não disponível publicamente - Necessário Discovery</v>
      </c>
      <c r="G55" s="4">
        <f>IFERROR(__xludf.DUMMYFUNCTION("""COMPUTED_VALUE"""),65.0)</f>
        <v>65</v>
      </c>
      <c r="H55" s="31">
        <f>IFERROR(__xludf.DUMMYFUNCTION("""COMPUTED_VALUE"""),0.75)</f>
        <v>0.75</v>
      </c>
      <c r="I5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55" s="4" t="str">
        <f>IFERROR(__xludf.DUMMYFUNCTION("""COMPUTED_VALUE"""),"GRUPO RAO")</f>
        <v>GRUPO RAO</v>
      </c>
      <c r="L55" s="32">
        <f>IFERROR(__xludf.DUMMYFUNCTION("""COMPUTED_VALUE"""),175.0)</f>
        <v>175</v>
      </c>
      <c r="M55" s="4" t="str">
        <f>IFERROR(__xludf.DUMMYFUNCTION("""COMPUTED_VALUE"""),"Tech Rao")</f>
        <v>Tech Rao</v>
      </c>
      <c r="N55" s="33">
        <f>IFERROR(__xludf.DUMMYFUNCTION("""COMPUTED_VALUE"""),0.8360655737704918)</f>
        <v>0.8360655738</v>
      </c>
      <c r="O55" s="4" t="str">
        <f>IFERROR(__xludf.DUMMYFUNCTION("""COMPUTED_VALUE"""),"Tech Rao")</f>
        <v>Tech Rao</v>
      </c>
      <c r="P55" s="33">
        <f>IFERROR(__xludf.DUMMYFUNCTION("""COMPUTED_VALUE"""),0.7595628415300546)</f>
        <v>0.7595628415</v>
      </c>
      <c r="Q55" s="4" t="str">
        <f>IFERROR(__xludf.DUMMYFUNCTION("""COMPUTED_VALUE"""),"Tech Rao")</f>
        <v>Tech Rao</v>
      </c>
      <c r="R55" s="33">
        <f>IFERROR(__xludf.DUMMYFUNCTION("""COMPUTED_VALUE"""),0.7540983606557377)</f>
        <v>0.7540983607</v>
      </c>
      <c r="S55" s="4" t="str">
        <f>IFERROR(__xludf.DUMMYFUNCTION("""COMPUTED_VALUE"""),"Tech Rao")</f>
        <v>Tech Rao</v>
      </c>
      <c r="T55" s="33">
        <f>IFERROR(__xludf.DUMMYFUNCTION("""COMPUTED_VALUE"""),0.7431693989071039)</f>
        <v>0.7431693989</v>
      </c>
      <c r="U55" s="4" t="str">
        <f>IFERROR(__xludf.DUMMYFUNCTION("""COMPUTED_VALUE"""),"Tech Rao")</f>
        <v>Tech Rao</v>
      </c>
      <c r="V55" s="33">
        <f>IFERROR(__xludf.DUMMYFUNCTION("""COMPUTED_VALUE"""),0.7103825136612022)</f>
        <v>0.7103825137</v>
      </c>
      <c r="W55" s="4" t="str">
        <f>IFERROR(__xludf.DUMMYFUNCTION("""COMPUTED_VALUE"""),"Tech Rao")</f>
        <v>Tech Rao</v>
      </c>
      <c r="X55" s="33">
        <f>IFERROR(__xludf.DUMMYFUNCTION("""COMPUTED_VALUE"""),0.73224043715847)</f>
        <v>0.7322404372</v>
      </c>
    </row>
    <row r="56">
      <c r="A56" s="4" t="str">
        <f>IFERROR(__xludf.DUMMYFUNCTION("""COMPUTED_VALUE"""),"COOKIE DELIVERY OFICIAL")</f>
        <v>COOKIE DELIVERY OFICIAL</v>
      </c>
      <c r="B56" s="4">
        <f>IFERROR(__xludf.DUMMYFUNCTION("""COMPUTED_VALUE"""),4.0)</f>
        <v>4</v>
      </c>
      <c r="C56" s="30">
        <f>IFERROR(__xludf.DUMMYFUNCTION("""COMPUTED_VALUE"""),44.0)</f>
        <v>44</v>
      </c>
      <c r="D56" s="4" t="str">
        <f>IFERROR(__xludf.DUMMYFUNCTION("""COMPUTED_VALUE"""),"Varejo - Confeitaria")</f>
        <v>Varejo - Confeitaria</v>
      </c>
      <c r="E56" s="4" t="str">
        <f>IFERROR(__xludf.DUMMYFUNCTION("""COMPUTED_VALUE"""),"Regional")</f>
        <v>Regional</v>
      </c>
      <c r="F56" s="4" t="str">
        <f>IFERROR(__xludf.DUMMYFUNCTION("""COMPUTED_VALUE"""),"Dado não disponível publicamente - Necessário Discovery")</f>
        <v>Dado não disponível publicamente - Necessário Discovery</v>
      </c>
      <c r="G56" s="4">
        <f>IFERROR(__xludf.DUMMYFUNCTION("""COMPUTED_VALUE"""),35.0)</f>
        <v>35</v>
      </c>
      <c r="H56" s="31">
        <f>IFERROR(__xludf.DUMMYFUNCTION("""COMPUTED_VALUE"""),0.5)</f>
        <v>0.5</v>
      </c>
      <c r="I56"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56" s="4" t="str">
        <f>IFERROR(__xludf.DUMMYFUNCTION("""COMPUTED_VALUE"""),"DON CORLEONE - CONTA GRUPO")</f>
        <v>DON CORLEONE - CONTA GRUPO</v>
      </c>
      <c r="L56" s="32">
        <f>IFERROR(__xludf.DUMMYFUNCTION("""COMPUTED_VALUE"""),170.0)</f>
        <v>170</v>
      </c>
      <c r="M56" s="4" t="str">
        <f>IFERROR(__xludf.DUMMYFUNCTION("""COMPUTED_VALUE"""),"Eclética Tecnologia")</f>
        <v>Eclética Tecnologia</v>
      </c>
      <c r="N56" s="33">
        <f>IFERROR(__xludf.DUMMYFUNCTION("""COMPUTED_VALUE"""),0.7058823529411765)</f>
        <v>0.7058823529</v>
      </c>
      <c r="O56" s="4" t="str">
        <f>IFERROR(__xludf.DUMMYFUNCTION("""COMPUTED_VALUE"""),"null")</f>
        <v>null</v>
      </c>
      <c r="P56" s="33">
        <f>IFERROR(__xludf.DUMMYFUNCTION("""COMPUTED_VALUE"""),0.7823529411764706)</f>
        <v>0.7823529412</v>
      </c>
      <c r="Q56" s="4" t="str">
        <f>IFERROR(__xludf.DUMMYFUNCTION("""COMPUTED_VALUE"""),"null")</f>
        <v>null</v>
      </c>
      <c r="R56" s="33">
        <f>IFERROR(__xludf.DUMMYFUNCTION("""COMPUTED_VALUE"""),0.9529411764705882)</f>
        <v>0.9529411765</v>
      </c>
      <c r="S56" s="4" t="str">
        <f>IFERROR(__xludf.DUMMYFUNCTION("""COMPUTED_VALUE"""),"null")</f>
        <v>null</v>
      </c>
      <c r="T56" s="33">
        <f>IFERROR(__xludf.DUMMYFUNCTION("""COMPUTED_VALUE"""),0.9647058823529412)</f>
        <v>0.9647058824</v>
      </c>
      <c r="U56" s="4" t="str">
        <f>IFERROR(__xludf.DUMMYFUNCTION("""COMPUTED_VALUE"""),"null")</f>
        <v>null</v>
      </c>
      <c r="V56" s="33">
        <f>IFERROR(__xludf.DUMMYFUNCTION("""COMPUTED_VALUE"""),0.9411764705882353)</f>
        <v>0.9411764706</v>
      </c>
      <c r="W56" s="4" t="str">
        <f>IFERROR(__xludf.DUMMYFUNCTION("""COMPUTED_VALUE"""),"null")</f>
        <v>null</v>
      </c>
      <c r="X56" s="33">
        <f>IFERROR(__xludf.DUMMYFUNCTION("""COMPUTED_VALUE"""),1.0)</f>
        <v>1</v>
      </c>
    </row>
    <row r="57">
      <c r="A57" s="4" t="str">
        <f>IFERROR(__xludf.DUMMYFUNCTION("""COMPUTED_VALUE"""),"COOKIE MANIA")</f>
        <v>COOKIE MANIA</v>
      </c>
      <c r="B57" s="4">
        <f>IFERROR(__xludf.DUMMYFUNCTION("""COMPUTED_VALUE"""),14.0)</f>
        <v>14</v>
      </c>
      <c r="C57" s="30">
        <f>IFERROR(__xludf.DUMMYFUNCTION("""COMPUTED_VALUE"""),28.0)</f>
        <v>28</v>
      </c>
      <c r="D57" s="4" t="str">
        <f>IFERROR(__xludf.DUMMYFUNCTION("""COMPUTED_VALUE"""),"Varejo - Cookies Artesanais")</f>
        <v>Varejo - Cookies Artesanais</v>
      </c>
      <c r="E57" s="4" t="str">
        <f>IFERROR(__xludf.DUMMYFUNCTION("""COMPUTED_VALUE"""),"Nacional (CE, PE, SP, PA, MA, PI)")</f>
        <v>Nacional (CE, PE, SP, PA, MA, PI)</v>
      </c>
      <c r="F57" s="4" t="str">
        <f>IFERROR(__xludf.DUMMYFUNCTION("""COMPUTED_VALUE"""),"Dado não disponível publicamente - Necessário Discovery")</f>
        <v>Dado não disponível publicamente - Necessário Discovery</v>
      </c>
      <c r="G57" s="4">
        <f>IFERROR(__xludf.DUMMYFUNCTION("""COMPUTED_VALUE"""),40.0)</f>
        <v>40</v>
      </c>
      <c r="H57" s="31">
        <f>IFERROR(__xludf.DUMMYFUNCTION("""COMPUTED_VALUE"""),0.55)</f>
        <v>0.55</v>
      </c>
      <c r="I57"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57" s="4" t="str">
        <f>IFERROR(__xludf.DUMMYFUNCTION("""COMPUTED_VALUE"""),"LFB FRANCHINSING")</f>
        <v>LFB FRANCHINSING</v>
      </c>
      <c r="L57" s="32">
        <f>IFERROR(__xludf.DUMMYFUNCTION("""COMPUTED_VALUE"""),166.0)</f>
        <v>166</v>
      </c>
      <c r="M57" s="4" t="str">
        <f>IFERROR(__xludf.DUMMYFUNCTION("""COMPUTED_VALUE"""),"Saipos Serviços De Software")</f>
        <v>Saipos Serviços De Software</v>
      </c>
      <c r="N57" s="33">
        <f>IFERROR(__xludf.DUMMYFUNCTION("""COMPUTED_VALUE"""),0.8253012048192772)</f>
        <v>0.8253012048</v>
      </c>
      <c r="O57" s="4" t="str">
        <f>IFERROR(__xludf.DUMMYFUNCTION("""COMPUTED_VALUE"""),"Saipos Serviços De Software")</f>
        <v>Saipos Serviços De Software</v>
      </c>
      <c r="P57" s="33">
        <f>IFERROR(__xludf.DUMMYFUNCTION("""COMPUTED_VALUE"""),0.8012048192771084)</f>
        <v>0.8012048193</v>
      </c>
      <c r="Q57" s="4" t="str">
        <f>IFERROR(__xludf.DUMMYFUNCTION("""COMPUTED_VALUE"""),"Saipos Serviços De Software")</f>
        <v>Saipos Serviços De Software</v>
      </c>
      <c r="R57" s="33">
        <f>IFERROR(__xludf.DUMMYFUNCTION("""COMPUTED_VALUE"""),0.7891566265060241)</f>
        <v>0.7891566265</v>
      </c>
      <c r="S57" s="4" t="str">
        <f>IFERROR(__xludf.DUMMYFUNCTION("""COMPUTED_VALUE"""),"Saipos Serviços De Software")</f>
        <v>Saipos Serviços De Software</v>
      </c>
      <c r="T57" s="33">
        <f>IFERROR(__xludf.DUMMYFUNCTION("""COMPUTED_VALUE"""),0.7951807228915663)</f>
        <v>0.7951807229</v>
      </c>
      <c r="U57" s="4" t="str">
        <f>IFERROR(__xludf.DUMMYFUNCTION("""COMPUTED_VALUE"""),"Saipos Serviços De Software")</f>
        <v>Saipos Serviços De Software</v>
      </c>
      <c r="V57" s="33">
        <f>IFERROR(__xludf.DUMMYFUNCTION("""COMPUTED_VALUE"""),0.7951807228915663)</f>
        <v>0.7951807229</v>
      </c>
      <c r="W57" s="4" t="str">
        <f>IFERROR(__xludf.DUMMYFUNCTION("""COMPUTED_VALUE"""),"Saipos Serviços De Software")</f>
        <v>Saipos Serviços De Software</v>
      </c>
      <c r="X57" s="33">
        <f>IFERROR(__xludf.DUMMYFUNCTION("""COMPUTED_VALUE"""),0.7831325301204819)</f>
        <v>0.7831325301</v>
      </c>
    </row>
    <row r="58">
      <c r="A58" s="4" t="str">
        <f>IFERROR(__xludf.DUMMYFUNCTION("""COMPUTED_VALUE"""),"COXA COXINHA")</f>
        <v>COXA COXINHA</v>
      </c>
      <c r="B58" s="4">
        <f>IFERROR(__xludf.DUMMYFUNCTION("""COMPUTED_VALUE"""),5.0)</f>
        <v>5</v>
      </c>
      <c r="C58" s="30">
        <f>IFERROR(__xludf.DUMMYFUNCTION("""COMPUTED_VALUE"""),27.0)</f>
        <v>27</v>
      </c>
      <c r="D58" s="4" t="str">
        <f>IFERROR(__xludf.DUMMYFUNCTION("""COMPUTED_VALUE"""),"QSR - Salgados")</f>
        <v>QSR - Salgados</v>
      </c>
      <c r="E58" s="4" t="str">
        <f>IFERROR(__xludf.DUMMYFUNCTION("""COMPUTED_VALUE"""),"Sudeste")</f>
        <v>Sudeste</v>
      </c>
      <c r="F58" s="4" t="str">
        <f>IFERROR(__xludf.DUMMYFUNCTION("""COMPUTED_VALUE"""),"Dado não disponível publicamente - Necessário Discovery")</f>
        <v>Dado não disponível publicamente - Necessário Discovery</v>
      </c>
      <c r="G58" s="4">
        <f>IFERROR(__xludf.DUMMYFUNCTION("""COMPUTED_VALUE"""),70.0)</f>
        <v>70</v>
      </c>
      <c r="H58" s="31">
        <f>IFERROR(__xludf.DUMMYFUNCTION("""COMPUTED_VALUE"""),0.85)</f>
        <v>0.85</v>
      </c>
      <c r="I58"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58" s="4" t="str">
        <f>IFERROR(__xludf.DUMMYFUNCTION("""COMPUTED_VALUE"""),"GELATO BORELLI")</f>
        <v>GELATO BORELLI</v>
      </c>
      <c r="L58" s="32">
        <f>IFERROR(__xludf.DUMMYFUNCTION("""COMPUTED_VALUE"""),164.0)</f>
        <v>164</v>
      </c>
      <c r="M58" s="4" t="str">
        <f>IFERROR(__xludf.DUMMYFUNCTION("""COMPUTED_VALUE"""),"null")</f>
        <v>null</v>
      </c>
      <c r="N58" s="33">
        <f>IFERROR(__xludf.DUMMYFUNCTION("""COMPUTED_VALUE"""),0.5575757575757576)</f>
        <v>0.5575757576</v>
      </c>
      <c r="O58" s="4" t="str">
        <f>IFERROR(__xludf.DUMMYFUNCTION("""COMPUTED_VALUE"""),"Gelato Borelli Tecnologia Ltda")</f>
        <v>Gelato Borelli Tecnologia Ltda</v>
      </c>
      <c r="P58" s="33">
        <f>IFERROR(__xludf.DUMMYFUNCTION("""COMPUTED_VALUE"""),0.5515151515151515)</f>
        <v>0.5515151515</v>
      </c>
      <c r="Q58" s="4" t="str">
        <f>IFERROR(__xludf.DUMMYFUNCTION("""COMPUTED_VALUE"""),"Gelato Borelli Tecnologia Ltda")</f>
        <v>Gelato Borelli Tecnologia Ltda</v>
      </c>
      <c r="R58" s="33">
        <f>IFERROR(__xludf.DUMMYFUNCTION("""COMPUTED_VALUE"""),0.6484848484848484)</f>
        <v>0.6484848485</v>
      </c>
      <c r="S58" s="4" t="str">
        <f>IFERROR(__xludf.DUMMYFUNCTION("""COMPUTED_VALUE"""),"Gelato Borelli Tecnologia Ltda")</f>
        <v>Gelato Borelli Tecnologia Ltda</v>
      </c>
      <c r="T58" s="33">
        <f>IFERROR(__xludf.DUMMYFUNCTION("""COMPUTED_VALUE"""),0.5757575757575758)</f>
        <v>0.5757575758</v>
      </c>
      <c r="U58" s="4" t="str">
        <f>IFERROR(__xludf.DUMMYFUNCTION("""COMPUTED_VALUE"""),"Gelato Borelli Tecnologia Ltda")</f>
        <v>Gelato Borelli Tecnologia Ltda</v>
      </c>
      <c r="V58" s="33">
        <f>IFERROR(__xludf.DUMMYFUNCTION("""COMPUTED_VALUE"""),0.6242424242424243)</f>
        <v>0.6242424242</v>
      </c>
      <c r="W58" s="4" t="str">
        <f>IFERROR(__xludf.DUMMYFUNCTION("""COMPUTED_VALUE"""),"Gelato Borelli Tecnologia Ltda")</f>
        <v>Gelato Borelli Tecnologia Ltda</v>
      </c>
      <c r="X58" s="33">
        <f>IFERROR(__xludf.DUMMYFUNCTION("""COMPUTED_VALUE"""),0.6363636363636364)</f>
        <v>0.6363636364</v>
      </c>
    </row>
    <row r="59">
      <c r="A59" s="4" t="str">
        <f>IFERROR(__xludf.DUMMYFUNCTION("""COMPUTED_VALUE"""),"COXINHA DO GAGO")</f>
        <v>COXINHA DO GAGO</v>
      </c>
      <c r="B59" s="4">
        <f>IFERROR(__xludf.DUMMYFUNCTION("""COMPUTED_VALUE"""),7.0)</f>
        <v>7</v>
      </c>
      <c r="C59" s="30">
        <f>IFERROR(__xludf.DUMMYFUNCTION("""COMPUTED_VALUE"""),19.0)</f>
        <v>19</v>
      </c>
      <c r="D59" s="4" t="str">
        <f>IFERROR(__xludf.DUMMYFUNCTION("""COMPUTED_VALUE"""),"QSR - Salgados")</f>
        <v>QSR - Salgados</v>
      </c>
      <c r="E59" s="4" t="str">
        <f>IFERROR(__xludf.DUMMYFUNCTION("""COMPUTED_VALUE"""),"Sul")</f>
        <v>Sul</v>
      </c>
      <c r="F59" s="4" t="str">
        <f>IFERROR(__xludf.DUMMYFUNCTION("""COMPUTED_VALUE"""),"Dado não disponível publicamente - Necessário Discovery")</f>
        <v>Dado não disponível publicamente - Necessário Discovery</v>
      </c>
      <c r="G59" s="4">
        <f>IFERROR(__xludf.DUMMYFUNCTION("""COMPUTED_VALUE"""),70.0)</f>
        <v>70</v>
      </c>
      <c r="H59" s="31">
        <f>IFERROR(__xludf.DUMMYFUNCTION("""COMPUTED_VALUE"""),0.85)</f>
        <v>0.85</v>
      </c>
      <c r="I59"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59" s="4" t="str">
        <f>IFERROR(__xludf.DUMMYFUNCTION("""COMPUTED_VALUE"""),"MAIS1 CAFE")</f>
        <v>MAIS1 CAFE</v>
      </c>
      <c r="L59" s="32">
        <f>IFERROR(__xludf.DUMMYFUNCTION("""COMPUTED_VALUE"""),164.0)</f>
        <v>164</v>
      </c>
      <c r="M59" s="4" t="str">
        <f>IFERROR(__xludf.DUMMYFUNCTION("""COMPUTED_VALUE"""),"Pro Franchising")</f>
        <v>Pro Franchising</v>
      </c>
      <c r="N59" s="33">
        <f>IFERROR(__xludf.DUMMYFUNCTION("""COMPUTED_VALUE"""),0.926829268292683)</f>
        <v>0.9268292683</v>
      </c>
      <c r="O59" s="4" t="str">
        <f>IFERROR(__xludf.DUMMYFUNCTION("""COMPUTED_VALUE"""),"Pro Franchising")</f>
        <v>Pro Franchising</v>
      </c>
      <c r="P59" s="33">
        <f>IFERROR(__xludf.DUMMYFUNCTION("""COMPUTED_VALUE"""),0.9085365853658537)</f>
        <v>0.9085365854</v>
      </c>
      <c r="Q59" s="4" t="str">
        <f>IFERROR(__xludf.DUMMYFUNCTION("""COMPUTED_VALUE"""),"Pro Franchising")</f>
        <v>Pro Franchising</v>
      </c>
      <c r="R59" s="33">
        <f>IFERROR(__xludf.DUMMYFUNCTION("""COMPUTED_VALUE"""),0.8841463414634146)</f>
        <v>0.8841463415</v>
      </c>
      <c r="S59" s="4" t="str">
        <f>IFERROR(__xludf.DUMMYFUNCTION("""COMPUTED_VALUE"""),"Pro Franchising")</f>
        <v>Pro Franchising</v>
      </c>
      <c r="T59" s="33">
        <f>IFERROR(__xludf.DUMMYFUNCTION("""COMPUTED_VALUE"""),0.8414634146341463)</f>
        <v>0.8414634146</v>
      </c>
      <c r="U59" s="4" t="str">
        <f>IFERROR(__xludf.DUMMYFUNCTION("""COMPUTED_VALUE"""),"Pro Franchising")</f>
        <v>Pro Franchising</v>
      </c>
      <c r="V59" s="33">
        <f>IFERROR(__xludf.DUMMYFUNCTION("""COMPUTED_VALUE"""),0.7804878048780488)</f>
        <v>0.7804878049</v>
      </c>
      <c r="W59" s="4" t="str">
        <f>IFERROR(__xludf.DUMMYFUNCTION("""COMPUTED_VALUE"""),"Pro Franchising")</f>
        <v>Pro Franchising</v>
      </c>
      <c r="X59" s="33">
        <f>IFERROR(__xludf.DUMMYFUNCTION("""COMPUTED_VALUE"""),0.7621951219512195)</f>
        <v>0.762195122</v>
      </c>
    </row>
    <row r="60">
      <c r="A60" s="4" t="str">
        <f>IFERROR(__xludf.DUMMYFUNCTION("""COMPUTED_VALUE"""),"CRUZEIROS")</f>
        <v>CRUZEIROS</v>
      </c>
      <c r="B60" s="4">
        <f>IFERROR(__xludf.DUMMYFUNCTION("""COMPUTED_VALUE"""),8.0)</f>
        <v>8</v>
      </c>
      <c r="C60" s="30">
        <f>IFERROR(__xludf.DUMMYFUNCTION("""COMPUTED_VALUE"""),61.0)</f>
        <v>61</v>
      </c>
      <c r="D60" s="4" t="str">
        <f>IFERROR(__xludf.DUMMYFUNCTION("""COMPUTED_VALUE"""),"Fast Casual - Multi-conceito")</f>
        <v>Fast Casual - Multi-conceito</v>
      </c>
      <c r="E60" s="4" t="str">
        <f>IFERROR(__xludf.DUMMYFUNCTION("""COMPUTED_VALUE"""),"Nordeste")</f>
        <v>Nordeste</v>
      </c>
      <c r="F60" s="4" t="str">
        <f>IFERROR(__xludf.DUMMYFUNCTION("""COMPUTED_VALUE"""),"Dado não disponível publicamente - Necessário Discovery")</f>
        <v>Dado não disponível publicamente - Necessário Discovery</v>
      </c>
      <c r="G60" s="4">
        <f>IFERROR(__xludf.DUMMYFUNCTION("""COMPUTED_VALUE"""),70.0)</f>
        <v>70</v>
      </c>
      <c r="H60" s="31">
        <f>IFERROR(__xludf.DUMMYFUNCTION("""COMPUTED_VALUE"""),0.75)</f>
        <v>0.75</v>
      </c>
      <c r="I6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60" s="4" t="str">
        <f>IFERROR(__xludf.DUMMYFUNCTION("""COMPUTED_VALUE"""),"SHOPPER - GRUPO")</f>
        <v>SHOPPER - GRUPO</v>
      </c>
      <c r="L60" s="32">
        <f>IFERROR(__xludf.DUMMYFUNCTION("""COMPUTED_VALUE"""),162.0)</f>
        <v>162</v>
      </c>
      <c r="M60" s="4" t="str">
        <f>IFERROR(__xludf.DUMMYFUNCTION("""COMPUTED_VALUE"""),"N/A (Not found)")</f>
        <v>N/A (Not found)</v>
      </c>
      <c r="N60" s="33">
        <f>IFERROR(__xludf.DUMMYFUNCTION("""COMPUTED_VALUE"""),0.5123456790123457)</f>
        <v>0.512345679</v>
      </c>
      <c r="O60" s="4" t="str">
        <f>IFERROR(__xludf.DUMMYFUNCTION("""COMPUTED_VALUE"""),"N/A (Not found)")</f>
        <v>N/A (Not found)</v>
      </c>
      <c r="P60" s="33">
        <f>IFERROR(__xludf.DUMMYFUNCTION("""COMPUTED_VALUE"""),0.7962962962962963)</f>
        <v>0.7962962963</v>
      </c>
      <c r="Q60" s="4" t="str">
        <f>IFERROR(__xludf.DUMMYFUNCTION("""COMPUTED_VALUE"""),"N/A (Not found)")</f>
        <v>N/A (Not found)</v>
      </c>
      <c r="R60" s="33">
        <f>IFERROR(__xludf.DUMMYFUNCTION("""COMPUTED_VALUE"""),0.8209876543209876)</f>
        <v>0.8209876543</v>
      </c>
      <c r="S60" s="4" t="str">
        <f>IFERROR(__xludf.DUMMYFUNCTION("""COMPUTED_VALUE"""),"N/A (Not found)")</f>
        <v>N/A (Not found)</v>
      </c>
      <c r="T60" s="33">
        <f>IFERROR(__xludf.DUMMYFUNCTION("""COMPUTED_VALUE"""),0.8024691358024691)</f>
        <v>0.8024691358</v>
      </c>
      <c r="U60" s="4" t="str">
        <f>IFERROR(__xludf.DUMMYFUNCTION("""COMPUTED_VALUE"""),"N/A (Not found)")</f>
        <v>N/A (Not found)</v>
      </c>
      <c r="V60" s="33">
        <f>IFERROR(__xludf.DUMMYFUNCTION("""COMPUTED_VALUE"""),0.8271604938271605)</f>
        <v>0.8271604938</v>
      </c>
      <c r="W60" s="4" t="str">
        <f>IFERROR(__xludf.DUMMYFUNCTION("""COMPUTED_VALUE"""),"N/A (Not found)")</f>
        <v>N/A (Not found)</v>
      </c>
      <c r="X60" s="33">
        <f>IFERROR(__xludf.DUMMYFUNCTION("""COMPUTED_VALUE"""),0.9320987654320988)</f>
        <v>0.9320987654</v>
      </c>
    </row>
    <row r="61">
      <c r="A61" s="4" t="str">
        <f>IFERROR(__xludf.DUMMYFUNCTION("""COMPUTED_VALUE"""),"CULINÁRIA MINEIRA")</f>
        <v>CULINÁRIA MINEIRA</v>
      </c>
      <c r="B61" s="4">
        <f>IFERROR(__xludf.DUMMYFUNCTION("""COMPUTED_VALUE"""),6.0)</f>
        <v>6</v>
      </c>
      <c r="C61" s="30">
        <f>IFERROR(__xludf.DUMMYFUNCTION("""COMPUTED_VALUE"""),53.0)</f>
        <v>53</v>
      </c>
      <c r="D61" s="4" t="str">
        <f>IFERROR(__xludf.DUMMYFUNCTION("""COMPUTED_VALUE"""),"Fast Casual - Multi-conceito")</f>
        <v>Fast Casual - Multi-conceito</v>
      </c>
      <c r="E61" s="4" t="str">
        <f>IFERROR(__xludf.DUMMYFUNCTION("""COMPUTED_VALUE"""),"Sudeste")</f>
        <v>Sudeste</v>
      </c>
      <c r="F61" s="4" t="str">
        <f>IFERROR(__xludf.DUMMYFUNCTION("""COMPUTED_VALUE"""),"Dado não disponível publicamente - Necessário Discovery")</f>
        <v>Dado não disponível publicamente - Necessário Discovery</v>
      </c>
      <c r="G61" s="4">
        <f>IFERROR(__xludf.DUMMYFUNCTION("""COMPUTED_VALUE"""),70.0)</f>
        <v>70</v>
      </c>
      <c r="H61" s="31">
        <f>IFERROR(__xludf.DUMMYFUNCTION("""COMPUTED_VALUE"""),0.75)</f>
        <v>0.75</v>
      </c>
      <c r="I6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61" s="4" t="str">
        <f>IFERROR(__xludf.DUMMYFUNCTION("""COMPUTED_VALUE"""),"REI DO MATE")</f>
        <v>REI DO MATE</v>
      </c>
      <c r="L61" s="32">
        <f>IFERROR(__xludf.DUMMYFUNCTION("""COMPUTED_VALUE"""),162.0)</f>
        <v>162</v>
      </c>
      <c r="M61" s="4" t="str">
        <f>IFERROR(__xludf.DUMMYFUNCTION("""COMPUTED_VALUE"""),"Gcom - Gestao Em Tecnologia De Informacao Eireli")</f>
        <v>Gcom - Gestao Em Tecnologia De Informacao Eireli</v>
      </c>
      <c r="N61" s="33">
        <f>IFERROR(__xludf.DUMMYFUNCTION("""COMPUTED_VALUE"""),0.8827160493827161)</f>
        <v>0.8827160494</v>
      </c>
      <c r="O61" s="4" t="str">
        <f>IFERROR(__xludf.DUMMYFUNCTION("""COMPUTED_VALUE"""),"Gcom - Gestao Em Tecnologia De Informacao Eireli")</f>
        <v>Gcom - Gestao Em Tecnologia De Informacao Eireli</v>
      </c>
      <c r="P61" s="33">
        <f>IFERROR(__xludf.DUMMYFUNCTION("""COMPUTED_VALUE"""),0.845679012345679)</f>
        <v>0.8456790123</v>
      </c>
      <c r="Q61" s="4" t="str">
        <f>IFERROR(__xludf.DUMMYFUNCTION("""COMPUTED_VALUE"""),"Gcom - Gestao Em Tecnologia De Informacao Eireli")</f>
        <v>Gcom - Gestao Em Tecnologia De Informacao Eireli</v>
      </c>
      <c r="R61" s="33">
        <f>IFERROR(__xludf.DUMMYFUNCTION("""COMPUTED_VALUE"""),0.8395061728395061)</f>
        <v>0.8395061728</v>
      </c>
      <c r="S61" s="4" t="str">
        <f>IFERROR(__xludf.DUMMYFUNCTION("""COMPUTED_VALUE"""),"Gcom - Gestao Em Tecnologia De Informacao Eireli")</f>
        <v>Gcom - Gestao Em Tecnologia De Informacao Eireli</v>
      </c>
      <c r="T61" s="33">
        <f>IFERROR(__xludf.DUMMYFUNCTION("""COMPUTED_VALUE"""),0.8024691358024691)</f>
        <v>0.8024691358</v>
      </c>
      <c r="U61" s="4" t="str">
        <f>IFERROR(__xludf.DUMMYFUNCTION("""COMPUTED_VALUE"""),"Gcom - Gestao Em Tecnologia De Informacao Eireli")</f>
        <v>Gcom - Gestao Em Tecnologia De Informacao Eireli</v>
      </c>
      <c r="V61" s="33">
        <f>IFERROR(__xludf.DUMMYFUNCTION("""COMPUTED_VALUE"""),0.8271604938271605)</f>
        <v>0.8271604938</v>
      </c>
      <c r="W61" s="4" t="str">
        <f>IFERROR(__xludf.DUMMYFUNCTION("""COMPUTED_VALUE"""),"Gcom - Gestao Em Tecnologia De Informacao Eireli")</f>
        <v>Gcom - Gestao Em Tecnologia De Informacao Eireli</v>
      </c>
      <c r="X61" s="33">
        <f>IFERROR(__xludf.DUMMYFUNCTION("""COMPUTED_VALUE"""),0.8703703703703703)</f>
        <v>0.8703703704</v>
      </c>
    </row>
    <row r="62">
      <c r="A62" s="4" t="str">
        <f>IFERROR(__xludf.DUMMYFUNCTION("""COMPUTED_VALUE"""),"D QUENTINHAS")</f>
        <v>D QUENTINHAS</v>
      </c>
      <c r="B62" s="4">
        <f>IFERROR(__xludf.DUMMYFUNCTION("""COMPUTED_VALUE"""),9.0)</f>
        <v>9</v>
      </c>
      <c r="C62" s="30">
        <f>IFERROR(__xludf.DUMMYFUNCTION("""COMPUTED_VALUE"""),32.0)</f>
        <v>32</v>
      </c>
      <c r="D62" s="4" t="str">
        <f>IFERROR(__xludf.DUMMYFUNCTION("""COMPUTED_VALUE"""),"QSR - Comida Caseira")</f>
        <v>QSR - Comida Caseira</v>
      </c>
      <c r="E62" s="4" t="str">
        <f>IFERROR(__xludf.DUMMYFUNCTION("""COMPUTED_VALUE"""),"Rio de Janeiro/RJ")</f>
        <v>Rio de Janeiro/RJ</v>
      </c>
      <c r="F62" s="4" t="str">
        <f>IFERROR(__xludf.DUMMYFUNCTION("""COMPUTED_VALUE"""),"Dado não disponível publicamente - Necessário Discovery")</f>
        <v>Dado não disponível publicamente - Necessário Discovery</v>
      </c>
      <c r="G62" s="4">
        <f>IFERROR(__xludf.DUMMYFUNCTION("""COMPUTED_VALUE"""),70.0)</f>
        <v>70</v>
      </c>
      <c r="H62" s="31">
        <f>IFERROR(__xludf.DUMMYFUNCTION("""COMPUTED_VALUE"""),0.85)</f>
        <v>0.85</v>
      </c>
      <c r="I62"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62" s="4" t="str">
        <f>IFERROR(__xludf.DUMMYFUNCTION("""COMPUTED_VALUE"""),"PECORINO")</f>
        <v>PECORINO</v>
      </c>
      <c r="L62" s="32">
        <f>IFERROR(__xludf.DUMMYFUNCTION("""COMPUTED_VALUE"""),159.0)</f>
        <v>159</v>
      </c>
      <c r="M62" s="4" t="str">
        <f>IFERROR(__xludf.DUMMYFUNCTION("""COMPUTED_VALUE"""),"Hsm Soluções")</f>
        <v>Hsm Soluções</v>
      </c>
      <c r="N62" s="33">
        <f>IFERROR(__xludf.DUMMYFUNCTION("""COMPUTED_VALUE"""),0.8805031446540881)</f>
        <v>0.8805031447</v>
      </c>
      <c r="O62" s="4" t="str">
        <f>IFERROR(__xludf.DUMMYFUNCTION("""COMPUTED_VALUE"""),"null")</f>
        <v>null</v>
      </c>
      <c r="P62" s="33">
        <f>IFERROR(__xludf.DUMMYFUNCTION("""COMPUTED_VALUE"""),0.5094339622641509)</f>
        <v>0.5094339623</v>
      </c>
      <c r="Q62" s="4" t="str">
        <f>IFERROR(__xludf.DUMMYFUNCTION("""COMPUTED_VALUE"""),"null")</f>
        <v>null</v>
      </c>
      <c r="R62" s="33">
        <f>IFERROR(__xludf.DUMMYFUNCTION("""COMPUTED_VALUE"""),0.559748427672956)</f>
        <v>0.5597484277</v>
      </c>
      <c r="S62" s="4" t="str">
        <f>IFERROR(__xludf.DUMMYFUNCTION("""COMPUTED_VALUE"""),"null")</f>
        <v>null</v>
      </c>
      <c r="T62" s="33">
        <f>IFERROR(__xludf.DUMMYFUNCTION("""COMPUTED_VALUE"""),0.5911949685534591)</f>
        <v>0.5911949686</v>
      </c>
      <c r="U62" s="4" t="str">
        <f>IFERROR(__xludf.DUMMYFUNCTION("""COMPUTED_VALUE"""),"null")</f>
        <v>null</v>
      </c>
      <c r="V62" s="33">
        <f>IFERROR(__xludf.DUMMYFUNCTION("""COMPUTED_VALUE"""),0.5660377358490566)</f>
        <v>0.5660377358</v>
      </c>
      <c r="W62" s="4" t="str">
        <f>IFERROR(__xludf.DUMMYFUNCTION("""COMPUTED_VALUE"""),"null")</f>
        <v>null</v>
      </c>
      <c r="X62" s="33">
        <f>IFERROR(__xludf.DUMMYFUNCTION("""COMPUTED_VALUE"""),0.4968553459119497)</f>
        <v>0.4968553459</v>
      </c>
    </row>
    <row r="63">
      <c r="A63" s="4" t="str">
        <f>IFERROR(__xludf.DUMMYFUNCTION("""COMPUTED_VALUE"""),"DA PRI")</f>
        <v>DA PRI</v>
      </c>
      <c r="B63" s="4">
        <f>IFERROR(__xludf.DUMMYFUNCTION("""COMPUTED_VALUE"""),6.0)</f>
        <v>6</v>
      </c>
      <c r="C63" s="30">
        <f>IFERROR(__xludf.DUMMYFUNCTION("""COMPUTED_VALUE"""),62.0)</f>
        <v>62</v>
      </c>
      <c r="D63" s="4" t="str">
        <f>IFERROR(__xludf.DUMMYFUNCTION("""COMPUTED_VALUE"""),"Fast Casual - Multi-conceito")</f>
        <v>Fast Casual - Multi-conceito</v>
      </c>
      <c r="E63" s="4" t="str">
        <f>IFERROR(__xludf.DUMMYFUNCTION("""COMPUTED_VALUE"""),"Rio de Janeiro/RJ")</f>
        <v>Rio de Janeiro/RJ</v>
      </c>
      <c r="F63" s="4" t="str">
        <f>IFERROR(__xludf.DUMMYFUNCTION("""COMPUTED_VALUE"""),"Dado não disponível publicamente - Necessário Discovery")</f>
        <v>Dado não disponível publicamente - Necessário Discovery</v>
      </c>
      <c r="G63" s="4">
        <f>IFERROR(__xludf.DUMMYFUNCTION("""COMPUTED_VALUE"""),70.0)</f>
        <v>70</v>
      </c>
      <c r="H63" s="31">
        <f>IFERROR(__xludf.DUMMYFUNCTION("""COMPUTED_VALUE"""),0.75)</f>
        <v>0.75</v>
      </c>
      <c r="I6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63" s="4" t="str">
        <f>IFERROR(__xludf.DUMMYFUNCTION("""COMPUTED_VALUE"""),"FRANGO NO POTE")</f>
        <v>FRANGO NO POTE</v>
      </c>
      <c r="L63" s="32">
        <f>IFERROR(__xludf.DUMMYFUNCTION("""COMPUTED_VALUE"""),152.0)</f>
        <v>152</v>
      </c>
      <c r="M63" s="4" t="str">
        <f>IFERROR(__xludf.DUMMYFUNCTION("""COMPUTED_VALUE"""),"Gcom - Gestao Em Tecnologia De Informacao Eireli")</f>
        <v>Gcom - Gestao Em Tecnologia De Informacao Eireli</v>
      </c>
      <c r="N63" s="33">
        <f>IFERROR(__xludf.DUMMYFUNCTION("""COMPUTED_VALUE"""),0.6118421052631579)</f>
        <v>0.6118421053</v>
      </c>
      <c r="O63" s="4" t="str">
        <f>IFERROR(__xludf.DUMMYFUNCTION("""COMPUTED_VALUE"""),"Gcom - Gestao Em Tecnologia De Informacao Eireli")</f>
        <v>Gcom - Gestao Em Tecnologia De Informacao Eireli</v>
      </c>
      <c r="P63" s="33">
        <f>IFERROR(__xludf.DUMMYFUNCTION("""COMPUTED_VALUE"""),0.506578947368421)</f>
        <v>0.5065789474</v>
      </c>
      <c r="Q63" s="4" t="str">
        <f>IFERROR(__xludf.DUMMYFUNCTION("""COMPUTED_VALUE"""),"Gcom - Gestao Em Tecnologia De Informacao Eireli")</f>
        <v>Gcom - Gestao Em Tecnologia De Informacao Eireli</v>
      </c>
      <c r="R63" s="33">
        <f>IFERROR(__xludf.DUMMYFUNCTION("""COMPUTED_VALUE"""),0.5197368421052632)</f>
        <v>0.5197368421</v>
      </c>
      <c r="S63" s="4" t="str">
        <f>IFERROR(__xludf.DUMMYFUNCTION("""COMPUTED_VALUE"""),"Gcom - Gestao Em Tecnologia De Informacao Eireli")</f>
        <v>Gcom - Gestao Em Tecnologia De Informacao Eireli</v>
      </c>
      <c r="T63" s="33">
        <f>IFERROR(__xludf.DUMMYFUNCTION("""COMPUTED_VALUE"""),0.4934210526315789)</f>
        <v>0.4934210526</v>
      </c>
      <c r="U63" s="4" t="str">
        <f>IFERROR(__xludf.DUMMYFUNCTION("""COMPUTED_VALUE"""),"Gcom - Gestao Em Tecnologia De Informacao Eireli")</f>
        <v>Gcom - Gestao Em Tecnologia De Informacao Eireli</v>
      </c>
      <c r="V63" s="33">
        <f>IFERROR(__xludf.DUMMYFUNCTION("""COMPUTED_VALUE"""),0.5263157894736842)</f>
        <v>0.5263157895</v>
      </c>
      <c r="W63" s="4" t="str">
        <f>IFERROR(__xludf.DUMMYFUNCTION("""COMPUTED_VALUE"""),"Gcom - Gestao Em Tecnologia De Informacao Eireli")</f>
        <v>Gcom - Gestao Em Tecnologia De Informacao Eireli</v>
      </c>
      <c r="X63" s="33">
        <f>IFERROR(__xludf.DUMMYFUNCTION("""COMPUTED_VALUE"""),0.4934210526315789)</f>
        <v>0.4934210526</v>
      </c>
    </row>
    <row r="64">
      <c r="A64" s="4" t="str">
        <f>IFERROR(__xludf.DUMMYFUNCTION("""COMPUTED_VALUE"""),"DALLE PIZZA")</f>
        <v>DALLE PIZZA</v>
      </c>
      <c r="B64" s="4">
        <f>IFERROR(__xludf.DUMMYFUNCTION("""COMPUTED_VALUE"""),6.0)</f>
        <v>6</v>
      </c>
      <c r="C64" s="30">
        <f>IFERROR(__xludf.DUMMYFUNCTION("""COMPUTED_VALUE"""),85.0)</f>
        <v>85</v>
      </c>
      <c r="D64" s="4" t="str">
        <f>IFERROR(__xludf.DUMMYFUNCTION("""COMPUTED_VALUE"""),"Fast Casual - Pizzaria")</f>
        <v>Fast Casual - Pizzaria</v>
      </c>
      <c r="E64" s="4" t="str">
        <f>IFERROR(__xludf.DUMMYFUNCTION("""COMPUTED_VALUE"""),"Sudeste")</f>
        <v>Sudeste</v>
      </c>
      <c r="F64" s="4" t="str">
        <f>IFERROR(__xludf.DUMMYFUNCTION("""COMPUTED_VALUE"""),"Dado não disponível publicamente - Necessário Discovery")</f>
        <v>Dado não disponível publicamente - Necessário Discovery</v>
      </c>
      <c r="G64" s="4">
        <f>IFERROR(__xludf.DUMMYFUNCTION("""COMPUTED_VALUE"""),70.0)</f>
        <v>70</v>
      </c>
      <c r="H64" s="31">
        <f>IFERROR(__xludf.DUMMYFUNCTION("""COMPUTED_VALUE"""),0.75)</f>
        <v>0.75</v>
      </c>
      <c r="I6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64" s="4" t="str">
        <f>IFERROR(__xludf.DUMMYFUNCTION("""COMPUTED_VALUE"""),"GRUPO COCO BAMBU")</f>
        <v>GRUPO COCO BAMBU</v>
      </c>
      <c r="L64" s="32">
        <f>IFERROR(__xludf.DUMMYFUNCTION("""COMPUTED_VALUE"""),151.0)</f>
        <v>151</v>
      </c>
      <c r="M64" s="4" t="str">
        <f>IFERROR(__xludf.DUMMYFUNCTION("""COMPUTED_VALUE"""),"Cbinfo")</f>
        <v>Cbinfo</v>
      </c>
      <c r="N64" s="33">
        <f>IFERROR(__xludf.DUMMYFUNCTION("""COMPUTED_VALUE"""),0.7814569536423841)</f>
        <v>0.7814569536</v>
      </c>
      <c r="O64" s="4" t="str">
        <f>IFERROR(__xludf.DUMMYFUNCTION("""COMPUTED_VALUE"""),"Cbinfo")</f>
        <v>Cbinfo</v>
      </c>
      <c r="P64" s="33">
        <f>IFERROR(__xludf.DUMMYFUNCTION("""COMPUTED_VALUE"""),0.7615894039735099)</f>
        <v>0.761589404</v>
      </c>
      <c r="Q64" s="4" t="str">
        <f>IFERROR(__xludf.DUMMYFUNCTION("""COMPUTED_VALUE"""),"Cbinfo")</f>
        <v>Cbinfo</v>
      </c>
      <c r="R64" s="33">
        <f>IFERROR(__xludf.DUMMYFUNCTION("""COMPUTED_VALUE"""),0.7615894039735099)</f>
        <v>0.761589404</v>
      </c>
      <c r="S64" s="4" t="str">
        <f>IFERROR(__xludf.DUMMYFUNCTION("""COMPUTED_VALUE"""),"Cbinfo")</f>
        <v>Cbinfo</v>
      </c>
      <c r="T64" s="33">
        <f>IFERROR(__xludf.DUMMYFUNCTION("""COMPUTED_VALUE"""),0.7549668874172185)</f>
        <v>0.7549668874</v>
      </c>
      <c r="U64" s="4" t="str">
        <f>IFERROR(__xludf.DUMMYFUNCTION("""COMPUTED_VALUE"""),"Cbinfo")</f>
        <v>Cbinfo</v>
      </c>
      <c r="V64" s="33">
        <f>IFERROR(__xludf.DUMMYFUNCTION("""COMPUTED_VALUE"""),0.8211920529801324)</f>
        <v>0.821192053</v>
      </c>
      <c r="W64" s="4" t="str">
        <f>IFERROR(__xludf.DUMMYFUNCTION("""COMPUTED_VALUE"""),"Cbinfo")</f>
        <v>Cbinfo</v>
      </c>
      <c r="X64" s="33">
        <f>IFERROR(__xludf.DUMMYFUNCTION("""COMPUTED_VALUE"""),0.8211920529801324)</f>
        <v>0.821192053</v>
      </c>
    </row>
    <row r="65">
      <c r="A65" s="4" t="str">
        <f>IFERROR(__xludf.DUMMYFUNCTION("""COMPUTED_VALUE"""),"DAUNS")</f>
        <v>DAUNS</v>
      </c>
      <c r="B65" s="4">
        <f>IFERROR(__xludf.DUMMYFUNCTION("""COMPUTED_VALUE"""),6.0)</f>
        <v>6</v>
      </c>
      <c r="C65" s="30">
        <f>IFERROR(__xludf.DUMMYFUNCTION("""COMPUTED_VALUE"""),66.0)</f>
        <v>66</v>
      </c>
      <c r="D65" s="4" t="str">
        <f>IFERROR(__xludf.DUMMYFUNCTION("""COMPUTED_VALUE"""),"Fast Casual - Multi-conceito")</f>
        <v>Fast Casual - Multi-conceito</v>
      </c>
      <c r="E65" s="4" t="str">
        <f>IFERROR(__xludf.DUMMYFUNCTION("""COMPUTED_VALUE"""),"Interior SP")</f>
        <v>Interior SP</v>
      </c>
      <c r="F65" s="4" t="str">
        <f>IFERROR(__xludf.DUMMYFUNCTION("""COMPUTED_VALUE"""),"Dado não disponível publicamente - Necessário Discovery")</f>
        <v>Dado não disponível publicamente - Necessário Discovery</v>
      </c>
      <c r="G65" s="4">
        <f>IFERROR(__xludf.DUMMYFUNCTION("""COMPUTED_VALUE"""),70.0)</f>
        <v>70</v>
      </c>
      <c r="H65" s="31">
        <f>IFERROR(__xludf.DUMMYFUNCTION("""COMPUTED_VALUE"""),0.75)</f>
        <v>0.75</v>
      </c>
      <c r="I6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65" s="4" t="str">
        <f>IFERROR(__xludf.DUMMYFUNCTION("""COMPUTED_VALUE"""),"DROGARIA VENANCIO - CONTA PAI")</f>
        <v>DROGARIA VENANCIO - CONTA PAI</v>
      </c>
      <c r="L65" s="32">
        <f>IFERROR(__xludf.DUMMYFUNCTION("""COMPUTED_VALUE"""),149.0)</f>
        <v>149</v>
      </c>
      <c r="M65" s="4" t="str">
        <f>IFERROR(__xludf.DUMMYFUNCTION("""COMPUTED_VALUE"""),"N/A (Not found)")</f>
        <v>N/A (Not found)</v>
      </c>
      <c r="N65" s="33">
        <f>IFERROR(__xludf.DUMMYFUNCTION("""COMPUTED_VALUE"""),0.9664429530201343)</f>
        <v>0.966442953</v>
      </c>
      <c r="O65" s="4" t="str">
        <f>IFERROR(__xludf.DUMMYFUNCTION("""COMPUTED_VALUE"""),"N/A (Not found)")</f>
        <v>N/A (Not found)</v>
      </c>
      <c r="P65" s="33">
        <f>IFERROR(__xludf.DUMMYFUNCTION("""COMPUTED_VALUE"""),0.9731543624161074)</f>
        <v>0.9731543624</v>
      </c>
      <c r="Q65" s="4" t="str">
        <f>IFERROR(__xludf.DUMMYFUNCTION("""COMPUTED_VALUE"""),"N/A (Not found)")</f>
        <v>N/A (Not found)</v>
      </c>
      <c r="R65" s="33">
        <f>IFERROR(__xludf.DUMMYFUNCTION("""COMPUTED_VALUE"""),0.9798657718120806)</f>
        <v>0.9798657718</v>
      </c>
      <c r="S65" s="4" t="str">
        <f>IFERROR(__xludf.DUMMYFUNCTION("""COMPUTED_VALUE"""),"N/A (Not found)")</f>
        <v>N/A (Not found)</v>
      </c>
      <c r="T65" s="33">
        <f>IFERROR(__xludf.DUMMYFUNCTION("""COMPUTED_VALUE"""),0.9798657718120806)</f>
        <v>0.9798657718</v>
      </c>
      <c r="U65" s="4" t="str">
        <f>IFERROR(__xludf.DUMMYFUNCTION("""COMPUTED_VALUE"""),"N/A (Not found)")</f>
        <v>N/A (Not found)</v>
      </c>
      <c r="V65" s="33">
        <f>IFERROR(__xludf.DUMMYFUNCTION("""COMPUTED_VALUE"""),0.9932885906040269)</f>
        <v>0.9932885906</v>
      </c>
      <c r="W65" s="4" t="str">
        <f>IFERROR(__xludf.DUMMYFUNCTION("""COMPUTED_VALUE"""),"N/A (Not found)")</f>
        <v>N/A (Not found)</v>
      </c>
      <c r="X65" s="33">
        <f>IFERROR(__xludf.DUMMYFUNCTION("""COMPUTED_VALUE"""),0.9865771812080537)</f>
        <v>0.9865771812</v>
      </c>
    </row>
    <row r="66">
      <c r="A66" s="4" t="str">
        <f>IFERROR(__xludf.DUMMYFUNCTION("""COMPUTED_VALUE"""),"DELIKATA")</f>
        <v>DELIKATA</v>
      </c>
      <c r="B66" s="4">
        <f>IFERROR(__xludf.DUMMYFUNCTION("""COMPUTED_VALUE"""),6.0)</f>
        <v>6</v>
      </c>
      <c r="C66" s="30">
        <f>IFERROR(__xludf.DUMMYFUNCTION("""COMPUTED_VALUE"""),56.0)</f>
        <v>56</v>
      </c>
      <c r="D66" s="4" t="str">
        <f>IFERROR(__xludf.DUMMYFUNCTION("""COMPUTED_VALUE"""),"Fast Casual - Multi-conceito")</f>
        <v>Fast Casual - Multi-conceito</v>
      </c>
      <c r="E66" s="4" t="str">
        <f>IFERROR(__xludf.DUMMYFUNCTION("""COMPUTED_VALUE"""),"Brasília/DF")</f>
        <v>Brasília/DF</v>
      </c>
      <c r="F66" s="4" t="str">
        <f>IFERROR(__xludf.DUMMYFUNCTION("""COMPUTED_VALUE"""),"Dado não disponível publicamente - Necessário Discovery")</f>
        <v>Dado não disponível publicamente - Necessário Discovery</v>
      </c>
      <c r="G66" s="4">
        <f>IFERROR(__xludf.DUMMYFUNCTION("""COMPUTED_VALUE"""),70.0)</f>
        <v>70</v>
      </c>
      <c r="H66" s="31">
        <f>IFERROR(__xludf.DUMMYFUNCTION("""COMPUTED_VALUE"""),0.75)</f>
        <v>0.75</v>
      </c>
      <c r="I6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66" s="4" t="str">
        <f>IFERROR(__xludf.DUMMYFUNCTION("""COMPUTED_VALUE"""),"GRUPO SODIE")</f>
        <v>GRUPO SODIE</v>
      </c>
      <c r="L66" s="32">
        <f>IFERROR(__xludf.DUMMYFUNCTION("""COMPUTED_VALUE"""),149.0)</f>
        <v>149</v>
      </c>
      <c r="M66" s="4" t="str">
        <f>IFERROR(__xludf.DUMMYFUNCTION("""COMPUTED_VALUE"""),"Thr Soluções")</f>
        <v>Thr Soluções</v>
      </c>
      <c r="N66" s="33">
        <f>IFERROR(__xludf.DUMMYFUNCTION("""COMPUTED_VALUE"""),0.5570469798657718)</f>
        <v>0.5570469799</v>
      </c>
      <c r="O66" s="4" t="str">
        <f>IFERROR(__xludf.DUMMYFUNCTION("""COMPUTED_VALUE"""),"Thr Soluções")</f>
        <v>Thr Soluções</v>
      </c>
      <c r="P66" s="33">
        <f>IFERROR(__xludf.DUMMYFUNCTION("""COMPUTED_VALUE"""),0.5302013422818792)</f>
        <v>0.5302013423</v>
      </c>
      <c r="Q66" s="4" t="str">
        <f>IFERROR(__xludf.DUMMYFUNCTION("""COMPUTED_VALUE"""),"Thr Soluções")</f>
        <v>Thr Soluções</v>
      </c>
      <c r="R66" s="33">
        <f>IFERROR(__xludf.DUMMYFUNCTION("""COMPUTED_VALUE"""),0.6174496644295302)</f>
        <v>0.6174496644</v>
      </c>
      <c r="S66" s="4" t="str">
        <f>IFERROR(__xludf.DUMMYFUNCTION("""COMPUTED_VALUE"""),"Thr Soluções")</f>
        <v>Thr Soluções</v>
      </c>
      <c r="T66" s="33">
        <f>IFERROR(__xludf.DUMMYFUNCTION("""COMPUTED_VALUE"""),0.6174496644295302)</f>
        <v>0.6174496644</v>
      </c>
      <c r="U66" s="4" t="str">
        <f>IFERROR(__xludf.DUMMYFUNCTION("""COMPUTED_VALUE"""),"Thr Soluções")</f>
        <v>Thr Soluções</v>
      </c>
      <c r="V66" s="33">
        <f>IFERROR(__xludf.DUMMYFUNCTION("""COMPUTED_VALUE"""),0.6375838926174496)</f>
        <v>0.6375838926</v>
      </c>
      <c r="W66" s="4" t="str">
        <f>IFERROR(__xludf.DUMMYFUNCTION("""COMPUTED_VALUE"""),"Thr Soluções")</f>
        <v>Thr Soluções</v>
      </c>
      <c r="X66" s="33">
        <f>IFERROR(__xludf.DUMMYFUNCTION("""COMPUTED_VALUE"""),0.5637583892617449)</f>
        <v>0.5637583893</v>
      </c>
    </row>
    <row r="67">
      <c r="A67" s="4" t="str">
        <f>IFERROR(__xludf.DUMMYFUNCTION("""COMPUTED_VALUE"""),"DI LIANA RISTORANTE")</f>
        <v>DI LIANA RISTORANTE</v>
      </c>
      <c r="B67" s="4">
        <f>IFERROR(__xludf.DUMMYFUNCTION("""COMPUTED_VALUE"""),1.0)</f>
        <v>1</v>
      </c>
      <c r="C67" s="30">
        <f>IFERROR(__xludf.DUMMYFUNCTION("""COMPUTED_VALUE"""),85.0)</f>
        <v>85</v>
      </c>
      <c r="D67" s="4" t="str">
        <f>IFERROR(__xludf.DUMMYFUNCTION("""COMPUTED_VALUE"""),"Table Service - Italiano")</f>
        <v>Table Service - Italiano</v>
      </c>
      <c r="E67" s="4" t="str">
        <f>IFERROR(__xludf.DUMMYFUNCTION("""COMPUTED_VALUE"""),"Interior SP")</f>
        <v>Interior SP</v>
      </c>
      <c r="F67" s="4" t="str">
        <f>IFERROR(__xludf.DUMMYFUNCTION("""COMPUTED_VALUE"""),"Dado não disponível publicamente - Necessário Discovery")</f>
        <v>Dado não disponível publicamente - Necessário Discovery</v>
      </c>
      <c r="G67" s="4">
        <f>IFERROR(__xludf.DUMMYFUNCTION("""COMPUTED_VALUE"""),55.0)</f>
        <v>55</v>
      </c>
      <c r="H67" s="31">
        <f>IFERROR(__xludf.DUMMYFUNCTION("""COMPUTED_VALUE"""),0.65)</f>
        <v>0.65</v>
      </c>
      <c r="I6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67" s="4" t="str">
        <f>IFERROR(__xludf.DUMMYFUNCTION("""COMPUTED_VALUE"""),"GRUPO LAGO")</f>
        <v>GRUPO LAGO</v>
      </c>
      <c r="L67" s="32">
        <f>IFERROR(__xludf.DUMMYFUNCTION("""COMPUTED_VALUE"""),146.0)</f>
        <v>146</v>
      </c>
      <c r="M67" s="4" t="str">
        <f>IFERROR(__xludf.DUMMYFUNCTION("""COMPUTED_VALUE"""),"Eclética Tecnologia")</f>
        <v>Eclética Tecnologia</v>
      </c>
      <c r="N67" s="33">
        <f>IFERROR(__xludf.DUMMYFUNCTION("""COMPUTED_VALUE"""),0.8972602739726028)</f>
        <v>0.897260274</v>
      </c>
      <c r="O67" s="4" t="str">
        <f>IFERROR(__xludf.DUMMYFUNCTION("""COMPUTED_VALUE"""),"Eclética Tecnologia")</f>
        <v>Eclética Tecnologia</v>
      </c>
      <c r="P67" s="33">
        <f>IFERROR(__xludf.DUMMYFUNCTION("""COMPUTED_VALUE"""),0.726027397260274)</f>
        <v>0.7260273973</v>
      </c>
      <c r="Q67" s="4" t="str">
        <f>IFERROR(__xludf.DUMMYFUNCTION("""COMPUTED_VALUE"""),"Eclética Tecnologia")</f>
        <v>Eclética Tecnologia</v>
      </c>
      <c r="R67" s="33">
        <f>IFERROR(__xludf.DUMMYFUNCTION("""COMPUTED_VALUE"""),0.7123287671232876)</f>
        <v>0.7123287671</v>
      </c>
      <c r="S67" s="4" t="str">
        <f>IFERROR(__xludf.DUMMYFUNCTION("""COMPUTED_VALUE"""),"Eclética Tecnologia")</f>
        <v>Eclética Tecnologia</v>
      </c>
      <c r="T67" s="33">
        <f>IFERROR(__xludf.DUMMYFUNCTION("""COMPUTED_VALUE"""),0.678082191780822)</f>
        <v>0.6780821918</v>
      </c>
      <c r="U67" s="4" t="str">
        <f>IFERROR(__xludf.DUMMYFUNCTION("""COMPUTED_VALUE"""),"Eclética Tecnologia")</f>
        <v>Eclética Tecnologia</v>
      </c>
      <c r="V67" s="33">
        <f>IFERROR(__xludf.DUMMYFUNCTION("""COMPUTED_VALUE"""),0.7397260273972602)</f>
        <v>0.7397260274</v>
      </c>
      <c r="W67" s="4" t="str">
        <f>IFERROR(__xludf.DUMMYFUNCTION("""COMPUTED_VALUE"""),"Eclética Tecnologia")</f>
        <v>Eclética Tecnologia</v>
      </c>
      <c r="X67" s="33">
        <f>IFERROR(__xludf.DUMMYFUNCTION("""COMPUTED_VALUE"""),0.7328767123287672)</f>
        <v>0.7328767123</v>
      </c>
    </row>
    <row r="68">
      <c r="A68" s="4" t="str">
        <f>IFERROR(__xludf.DUMMYFUNCTION("""COMPUTED_VALUE"""),"DI NAPOLI PIZZARIA RS")</f>
        <v>DI NAPOLI PIZZARIA RS</v>
      </c>
      <c r="B68" s="4">
        <f>IFERROR(__xludf.DUMMYFUNCTION("""COMPUTED_VALUE"""),11.0)</f>
        <v>11</v>
      </c>
      <c r="C68" s="30">
        <f>IFERROR(__xludf.DUMMYFUNCTION("""COMPUTED_VALUE"""),79.0)</f>
        <v>79</v>
      </c>
      <c r="D68" s="4" t="str">
        <f>IFERROR(__xludf.DUMMYFUNCTION("""COMPUTED_VALUE"""),"Fast Casual - Pizzaria")</f>
        <v>Fast Casual - Pizzaria</v>
      </c>
      <c r="E68" s="4" t="str">
        <f>IFERROR(__xludf.DUMMYFUNCTION("""COMPUTED_VALUE"""),"Sul")</f>
        <v>Sul</v>
      </c>
      <c r="F68" s="4" t="str">
        <f>IFERROR(__xludf.DUMMYFUNCTION("""COMPUTED_VALUE"""),"Dado não disponível publicamente - Necessário Discovery")</f>
        <v>Dado não disponível publicamente - Necessário Discovery</v>
      </c>
      <c r="G68" s="4">
        <f>IFERROR(__xludf.DUMMYFUNCTION("""COMPUTED_VALUE"""),70.0)</f>
        <v>70</v>
      </c>
      <c r="H68" s="31">
        <f>IFERROR(__xludf.DUMMYFUNCTION("""COMPUTED_VALUE"""),0.8)</f>
        <v>0.8</v>
      </c>
      <c r="I68"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68" s="4" t="str">
        <f>IFERROR(__xludf.DUMMYFUNCTION("""COMPUTED_VALUE"""),"PIZZA PRIME")</f>
        <v>PIZZA PRIME</v>
      </c>
      <c r="L68" s="32">
        <f>IFERROR(__xludf.DUMMYFUNCTION("""COMPUTED_VALUE"""),141.0)</f>
        <v>141</v>
      </c>
      <c r="M68" s="4" t="str">
        <f>IFERROR(__xludf.DUMMYFUNCTION("""COMPUTED_VALUE"""),"Saipos Serviços De Software")</f>
        <v>Saipos Serviços De Software</v>
      </c>
      <c r="N68" s="33">
        <f>IFERROR(__xludf.DUMMYFUNCTION("""COMPUTED_VALUE"""),0.9716312056737588)</f>
        <v>0.9716312057</v>
      </c>
      <c r="O68" s="4" t="str">
        <f>IFERROR(__xludf.DUMMYFUNCTION("""COMPUTED_VALUE"""),"Saipos Serviços De Software")</f>
        <v>Saipos Serviços De Software</v>
      </c>
      <c r="P68" s="33">
        <f>IFERROR(__xludf.DUMMYFUNCTION("""COMPUTED_VALUE"""),0.9574468085106383)</f>
        <v>0.9574468085</v>
      </c>
      <c r="Q68" s="4" t="str">
        <f>IFERROR(__xludf.DUMMYFUNCTION("""COMPUTED_VALUE"""),"Saipos Serviços De Software")</f>
        <v>Saipos Serviços De Software</v>
      </c>
      <c r="R68" s="33">
        <f>IFERROR(__xludf.DUMMYFUNCTION("""COMPUTED_VALUE"""),0.9361702127659575)</f>
        <v>0.9361702128</v>
      </c>
      <c r="S68" s="4" t="str">
        <f>IFERROR(__xludf.DUMMYFUNCTION("""COMPUTED_VALUE"""),"Saipos Serviços De Software")</f>
        <v>Saipos Serviços De Software</v>
      </c>
      <c r="T68" s="33">
        <f>IFERROR(__xludf.DUMMYFUNCTION("""COMPUTED_VALUE"""),0.9148936170212766)</f>
        <v>0.914893617</v>
      </c>
      <c r="U68" s="4" t="str">
        <f>IFERROR(__xludf.DUMMYFUNCTION("""COMPUTED_VALUE"""),"Saipos Serviços De Software")</f>
        <v>Saipos Serviços De Software</v>
      </c>
      <c r="V68" s="33">
        <f>IFERROR(__xludf.DUMMYFUNCTION("""COMPUTED_VALUE"""),0.9078014184397163)</f>
        <v>0.9078014184</v>
      </c>
      <c r="W68" s="4" t="str">
        <f>IFERROR(__xludf.DUMMYFUNCTION("""COMPUTED_VALUE"""),"Saipos Serviços De Software")</f>
        <v>Saipos Serviços De Software</v>
      </c>
      <c r="X68" s="33">
        <f>IFERROR(__xludf.DUMMYFUNCTION("""COMPUTED_VALUE"""),0.8936170212765957)</f>
        <v>0.8936170213</v>
      </c>
    </row>
    <row r="69">
      <c r="A69" s="4" t="str">
        <f>IFERROR(__xludf.DUMMYFUNCTION("""COMPUTED_VALUE"""),"DIGÃO LANCHES")</f>
        <v>DIGÃO LANCHES</v>
      </c>
      <c r="B69" s="4">
        <f>IFERROR(__xludf.DUMMYFUNCTION("""COMPUTED_VALUE"""),6.0)</f>
        <v>6</v>
      </c>
      <c r="C69" s="30">
        <f>IFERROR(__xludf.DUMMYFUNCTION("""COMPUTED_VALUE"""),32.0)</f>
        <v>32</v>
      </c>
      <c r="D69" s="4" t="str">
        <f>IFERROR(__xludf.DUMMYFUNCTION("""COMPUTED_VALUE"""),"QSR - Lanches")</f>
        <v>QSR - Lanches</v>
      </c>
      <c r="E69" s="4" t="str">
        <f>IFERROR(__xludf.DUMMYFUNCTION("""COMPUTED_VALUE"""),"Brasília/DF")</f>
        <v>Brasília/DF</v>
      </c>
      <c r="F69" s="4" t="str">
        <f>IFERROR(__xludf.DUMMYFUNCTION("""COMPUTED_VALUE"""),"Dado não disponível publicamente - Necessário Discovery")</f>
        <v>Dado não disponível publicamente - Necessário Discovery</v>
      </c>
      <c r="G69" s="4">
        <f>IFERROR(__xludf.DUMMYFUNCTION("""COMPUTED_VALUE"""),70.0)</f>
        <v>70</v>
      </c>
      <c r="H69" s="31">
        <f>IFERROR(__xludf.DUMMYFUNCTION("""COMPUTED_VALUE"""),0.85)</f>
        <v>0.85</v>
      </c>
      <c r="I69"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69" s="4" t="str">
        <f>IFERROR(__xludf.DUMMYFUNCTION("""COMPUTED_VALUE"""),"MUNDO ANIMAL LANCHONETE TEMATICA")</f>
        <v>MUNDO ANIMAL LANCHONETE TEMATICA</v>
      </c>
      <c r="L69" s="32">
        <f>IFERROR(__xludf.DUMMYFUNCTION("""COMPUTED_VALUE"""),140.0)</f>
        <v>140</v>
      </c>
      <c r="M69" s="4" t="str">
        <f>IFERROR(__xludf.DUMMYFUNCTION("""COMPUTED_VALUE"""),"null")</f>
        <v>null</v>
      </c>
      <c r="N69" s="33">
        <f>IFERROR(__xludf.DUMMYFUNCTION("""COMPUTED_VALUE"""),0.5)</f>
        <v>0.5</v>
      </c>
      <c r="O69" s="4" t="str">
        <f>IFERROR(__xludf.DUMMYFUNCTION("""COMPUTED_VALUE"""),"Teknisa Service Ltda")</f>
        <v>Teknisa Service Ltda</v>
      </c>
      <c r="P69" s="33">
        <f>IFERROR(__xludf.DUMMYFUNCTION("""COMPUTED_VALUE"""),0.5)</f>
        <v>0.5</v>
      </c>
      <c r="Q69" s="4" t="str">
        <f>IFERROR(__xludf.DUMMYFUNCTION("""COMPUTED_VALUE"""),"null")</f>
        <v>null</v>
      </c>
      <c r="R69" s="33">
        <f>IFERROR(__xludf.DUMMYFUNCTION("""COMPUTED_VALUE"""),0.5214285714285715)</f>
        <v>0.5214285714</v>
      </c>
      <c r="S69" s="4" t="str">
        <f>IFERROR(__xludf.DUMMYFUNCTION("""COMPUTED_VALUE"""),"null")</f>
        <v>null</v>
      </c>
      <c r="T69" s="33">
        <f>IFERROR(__xludf.DUMMYFUNCTION("""COMPUTED_VALUE"""),0.5071428571428571)</f>
        <v>0.5071428571</v>
      </c>
      <c r="U69" s="4" t="str">
        <f>IFERROR(__xludf.DUMMYFUNCTION("""COMPUTED_VALUE"""),"null")</f>
        <v>null</v>
      </c>
      <c r="V69" s="33">
        <f>IFERROR(__xludf.DUMMYFUNCTION("""COMPUTED_VALUE"""),0.5785714285714286)</f>
        <v>0.5785714286</v>
      </c>
      <c r="W69" s="4" t="str">
        <f>IFERROR(__xludf.DUMMYFUNCTION("""COMPUTED_VALUE"""),"Teknisa Service Ltda")</f>
        <v>Teknisa Service Ltda</v>
      </c>
      <c r="X69" s="33">
        <f>IFERROR(__xludf.DUMMYFUNCTION("""COMPUTED_VALUE"""),0.5428571428571428)</f>
        <v>0.5428571429</v>
      </c>
    </row>
    <row r="70">
      <c r="A70" s="4" t="str">
        <f>IFERROR(__xludf.DUMMYFUNCTION("""COMPUTED_VALUE"""),"DILETTO MASSAS")</f>
        <v>DILETTO MASSAS</v>
      </c>
      <c r="B70" s="4">
        <f>IFERROR(__xludf.DUMMYFUNCTION("""COMPUTED_VALUE"""),6.0)</f>
        <v>6</v>
      </c>
      <c r="C70" s="30">
        <f>IFERROR(__xludf.DUMMYFUNCTION("""COMPUTED_VALUE"""),45.0)</f>
        <v>45</v>
      </c>
      <c r="D70" s="4" t="str">
        <f>IFERROR(__xludf.DUMMYFUNCTION("""COMPUTED_VALUE"""),"Fast Casual - Massas Frescas")</f>
        <v>Fast Casual - Massas Frescas</v>
      </c>
      <c r="E70" s="4" t="str">
        <f>IFERROR(__xludf.DUMMYFUNCTION("""COMPUTED_VALUE"""),"Cuiabá/MT e Várzea Grande/MT")</f>
        <v>Cuiabá/MT e Várzea Grande/MT</v>
      </c>
      <c r="F70" s="4" t="str">
        <f>IFERROR(__xludf.DUMMYFUNCTION("""COMPUTED_VALUE"""),"Dado não disponível publicamente - Necessário Discovery")</f>
        <v>Dado não disponível publicamente - Necessário Discovery</v>
      </c>
      <c r="G70" s="4">
        <f>IFERROR(__xludf.DUMMYFUNCTION("""COMPUTED_VALUE"""),70.0)</f>
        <v>70</v>
      </c>
      <c r="H70" s="31">
        <f>IFERROR(__xludf.DUMMYFUNCTION("""COMPUTED_VALUE"""),0.75)</f>
        <v>0.75</v>
      </c>
      <c r="I7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70" s="4" t="str">
        <f>IFERROR(__xludf.DUMMYFUNCTION("""COMPUTED_VALUE"""),"MINI KALZONE GRUPO")</f>
        <v>MINI KALZONE GRUPO</v>
      </c>
      <c r="L70" s="32">
        <f>IFERROR(__xludf.DUMMYFUNCTION("""COMPUTED_VALUE"""),136.0)</f>
        <v>136</v>
      </c>
      <c r="M70" s="4" t="str">
        <f>IFERROR(__xludf.DUMMYFUNCTION("""COMPUTED_VALUE"""),"Teknisa Service Ltda")</f>
        <v>Teknisa Service Ltda</v>
      </c>
      <c r="N70" s="33">
        <f>IFERROR(__xludf.DUMMYFUNCTION("""COMPUTED_VALUE"""),0.7867647058823529)</f>
        <v>0.7867647059</v>
      </c>
      <c r="O70" s="4" t="str">
        <f>IFERROR(__xludf.DUMMYFUNCTION("""COMPUTED_VALUE"""),"Teknisa Service Ltda")</f>
        <v>Teknisa Service Ltda</v>
      </c>
      <c r="P70" s="33">
        <f>IFERROR(__xludf.DUMMYFUNCTION("""COMPUTED_VALUE"""),0.7647058823529411)</f>
        <v>0.7647058824</v>
      </c>
      <c r="Q70" s="4" t="str">
        <f>IFERROR(__xludf.DUMMYFUNCTION("""COMPUTED_VALUE"""),"Teknisa Service Ltda")</f>
        <v>Teknisa Service Ltda</v>
      </c>
      <c r="R70" s="33">
        <f>IFERROR(__xludf.DUMMYFUNCTION("""COMPUTED_VALUE"""),0.7867647058823529)</f>
        <v>0.7867647059</v>
      </c>
      <c r="S70" s="4" t="str">
        <f>IFERROR(__xludf.DUMMYFUNCTION("""COMPUTED_VALUE"""),"Teknisa Service Ltda")</f>
        <v>Teknisa Service Ltda</v>
      </c>
      <c r="T70" s="33">
        <f>IFERROR(__xludf.DUMMYFUNCTION("""COMPUTED_VALUE"""),0.8529411764705882)</f>
        <v>0.8529411765</v>
      </c>
      <c r="U70" s="4" t="str">
        <f>IFERROR(__xludf.DUMMYFUNCTION("""COMPUTED_VALUE"""),"Teknisa Service Ltda")</f>
        <v>Teknisa Service Ltda</v>
      </c>
      <c r="V70" s="33">
        <f>IFERROR(__xludf.DUMMYFUNCTION("""COMPUTED_VALUE"""),0.7941176470588235)</f>
        <v>0.7941176471</v>
      </c>
      <c r="W70" s="4" t="str">
        <f>IFERROR(__xludf.DUMMYFUNCTION("""COMPUTED_VALUE"""),"Teknisa Service Ltda")</f>
        <v>Teknisa Service Ltda</v>
      </c>
      <c r="X70" s="33">
        <f>IFERROR(__xludf.DUMMYFUNCTION("""COMPUTED_VALUE"""),0.7647058823529411)</f>
        <v>0.7647058824</v>
      </c>
    </row>
    <row r="71">
      <c r="A71" s="4" t="str">
        <f>IFERROR(__xludf.DUMMYFUNCTION("""COMPUTED_VALUE"""),"DINA PIZZA")</f>
        <v>DINA PIZZA</v>
      </c>
      <c r="B71" s="4">
        <f>IFERROR(__xludf.DUMMYFUNCTION("""COMPUTED_VALUE"""),2.0)</f>
        <v>2</v>
      </c>
      <c r="C71" s="30">
        <f>IFERROR(__xludf.DUMMYFUNCTION("""COMPUTED_VALUE"""),69.0)</f>
        <v>69</v>
      </c>
      <c r="D71" s="4" t="str">
        <f>IFERROR(__xludf.DUMMYFUNCTION("""COMPUTED_VALUE"""),"Fast Casual - Pizzaria")</f>
        <v>Fast Casual - Pizzaria</v>
      </c>
      <c r="E71" s="4" t="str">
        <f>IFERROR(__xludf.DUMMYFUNCTION("""COMPUTED_VALUE"""),"Sudeste")</f>
        <v>Sudeste</v>
      </c>
      <c r="F71" s="4" t="str">
        <f>IFERROR(__xludf.DUMMYFUNCTION("""COMPUTED_VALUE"""),"Dado não disponível publicamente - Necessário Discovery")</f>
        <v>Dado não disponível publicamente - Necessário Discovery</v>
      </c>
      <c r="G71" s="4">
        <f>IFERROR(__xludf.DUMMYFUNCTION("""COMPUTED_VALUE"""),65.0)</f>
        <v>65</v>
      </c>
      <c r="H71" s="31">
        <f>IFERROR(__xludf.DUMMYFUNCTION("""COMPUTED_VALUE"""),0.75)</f>
        <v>0.75</v>
      </c>
      <c r="I7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71" s="4" t="str">
        <f>IFERROR(__xludf.DUMMYFUNCTION("""COMPUTED_VALUE"""),"MANIA DE CHURRASCO")</f>
        <v>MANIA DE CHURRASCO</v>
      </c>
      <c r="L71" s="32">
        <f>IFERROR(__xludf.DUMMYFUNCTION("""COMPUTED_VALUE"""),135.0)</f>
        <v>135</v>
      </c>
      <c r="M71" s="4" t="str">
        <f>IFERROR(__xludf.DUMMYFUNCTION("""COMPUTED_VALUE"""),"Eclética Tecnologia")</f>
        <v>Eclética Tecnologia</v>
      </c>
      <c r="N71" s="33">
        <f>IFERROR(__xludf.DUMMYFUNCTION("""COMPUTED_VALUE"""),0.9555555555555556)</f>
        <v>0.9555555556</v>
      </c>
      <c r="O71" s="4" t="str">
        <f>IFERROR(__xludf.DUMMYFUNCTION("""COMPUTED_VALUE"""),"Eclética Tecnologia")</f>
        <v>Eclética Tecnologia</v>
      </c>
      <c r="P71" s="33">
        <f>IFERROR(__xludf.DUMMYFUNCTION("""COMPUTED_VALUE"""),0.8518518518518519)</f>
        <v>0.8518518519</v>
      </c>
      <c r="Q71" s="4" t="str">
        <f>IFERROR(__xludf.DUMMYFUNCTION("""COMPUTED_VALUE"""),"Eclética Tecnologia")</f>
        <v>Eclética Tecnologia</v>
      </c>
      <c r="R71" s="33">
        <f>IFERROR(__xludf.DUMMYFUNCTION("""COMPUTED_VALUE"""),0.8222222222222222)</f>
        <v>0.8222222222</v>
      </c>
      <c r="S71" s="4" t="str">
        <f>IFERROR(__xludf.DUMMYFUNCTION("""COMPUTED_VALUE"""),"Eclética Tecnologia")</f>
        <v>Eclética Tecnologia</v>
      </c>
      <c r="T71" s="33">
        <f>IFERROR(__xludf.DUMMYFUNCTION("""COMPUTED_VALUE"""),0.8444444444444444)</f>
        <v>0.8444444444</v>
      </c>
      <c r="U71" s="4" t="str">
        <f>IFERROR(__xludf.DUMMYFUNCTION("""COMPUTED_VALUE"""),"Eclética Tecnologia")</f>
        <v>Eclética Tecnologia</v>
      </c>
      <c r="V71" s="33">
        <f>IFERROR(__xludf.DUMMYFUNCTION("""COMPUTED_VALUE"""),0.8666666666666667)</f>
        <v>0.8666666667</v>
      </c>
      <c r="W71" s="4" t="str">
        <f>IFERROR(__xludf.DUMMYFUNCTION("""COMPUTED_VALUE"""),"Eclética Tecnologia")</f>
        <v>Eclética Tecnologia</v>
      </c>
      <c r="X71" s="33">
        <f>IFERROR(__xludf.DUMMYFUNCTION("""COMPUTED_VALUE"""),0.837037037037037)</f>
        <v>0.837037037</v>
      </c>
    </row>
    <row r="72">
      <c r="A72" s="4" t="str">
        <f>IFERROR(__xludf.DUMMYFUNCTION("""COMPUTED_VALUE"""),"DIZZY")</f>
        <v>DIZZY</v>
      </c>
      <c r="B72" s="4">
        <f>IFERROR(__xludf.DUMMYFUNCTION("""COMPUTED_VALUE"""),3.0)</f>
        <v>3</v>
      </c>
      <c r="C72" s="30">
        <f>IFERROR(__xludf.DUMMYFUNCTION("""COMPUTED_VALUE"""),69.0)</f>
        <v>69</v>
      </c>
      <c r="D72" s="4" t="str">
        <f>IFERROR(__xludf.DUMMYFUNCTION("""COMPUTED_VALUE"""),"Fast Casual - Multi-conceito")</f>
        <v>Fast Casual - Multi-conceito</v>
      </c>
      <c r="E72" s="4" t="str">
        <f>IFERROR(__xludf.DUMMYFUNCTION("""COMPUTED_VALUE"""),"Sudeste")</f>
        <v>Sudeste</v>
      </c>
      <c r="F72" s="4" t="str">
        <f>IFERROR(__xludf.DUMMYFUNCTION("""COMPUTED_VALUE"""),"Dado não disponível publicamente - Necessário Discovery")</f>
        <v>Dado não disponível publicamente - Necessário Discovery</v>
      </c>
      <c r="G72" s="4">
        <f>IFERROR(__xludf.DUMMYFUNCTION("""COMPUTED_VALUE"""),65.0)</f>
        <v>65</v>
      </c>
      <c r="H72" s="31">
        <f>IFERROR(__xludf.DUMMYFUNCTION("""COMPUTED_VALUE"""),0.75)</f>
        <v>0.75</v>
      </c>
      <c r="I7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72" s="4" t="str">
        <f>IFERROR(__xludf.DUMMYFUNCTION("""COMPUTED_VALUE"""),"DROGARIAS VENANCIO - CONTA PAI")</f>
        <v>DROGARIAS VENANCIO - CONTA PAI</v>
      </c>
      <c r="L72" s="32">
        <f>IFERROR(__xludf.DUMMYFUNCTION("""COMPUTED_VALUE"""),135.0)</f>
        <v>135</v>
      </c>
      <c r="M72" s="4" t="str">
        <f>IFERROR(__xludf.DUMMYFUNCTION("""COMPUTED_VALUE"""),"N/A (Not found)")</f>
        <v>N/A (Not found)</v>
      </c>
      <c r="N72" s="33">
        <f>IFERROR(__xludf.DUMMYFUNCTION("""COMPUTED_VALUE"""),0.9851851851851852)</f>
        <v>0.9851851852</v>
      </c>
      <c r="O72" s="4" t="str">
        <f>IFERROR(__xludf.DUMMYFUNCTION("""COMPUTED_VALUE"""),"N/A (Not found)")</f>
        <v>N/A (Not found)</v>
      </c>
      <c r="P72" s="33">
        <f>IFERROR(__xludf.DUMMYFUNCTION("""COMPUTED_VALUE"""),0.9925925925925926)</f>
        <v>0.9925925926</v>
      </c>
      <c r="Q72" s="4" t="str">
        <f>IFERROR(__xludf.DUMMYFUNCTION("""COMPUTED_VALUE"""),"N/A (Not found)")</f>
        <v>N/A (Not found)</v>
      </c>
      <c r="R72" s="33">
        <f>IFERROR(__xludf.DUMMYFUNCTION("""COMPUTED_VALUE"""),0.9925925925925926)</f>
        <v>0.9925925926</v>
      </c>
      <c r="S72" s="4" t="str">
        <f>IFERROR(__xludf.DUMMYFUNCTION("""COMPUTED_VALUE"""),"N/A (Not found)")</f>
        <v>N/A (Not found)</v>
      </c>
      <c r="T72" s="33">
        <f>IFERROR(__xludf.DUMMYFUNCTION("""COMPUTED_VALUE"""),0.9925925925925926)</f>
        <v>0.9925925926</v>
      </c>
      <c r="U72" s="4" t="str">
        <f>IFERROR(__xludf.DUMMYFUNCTION("""COMPUTED_VALUE"""),"N/A (Not found)")</f>
        <v>N/A (Not found)</v>
      </c>
      <c r="V72" s="33">
        <f>IFERROR(__xludf.DUMMYFUNCTION("""COMPUTED_VALUE"""),1.0)</f>
        <v>1</v>
      </c>
      <c r="W72" s="4" t="str">
        <f>IFERROR(__xludf.DUMMYFUNCTION("""COMPUTED_VALUE"""),"N/A (Not found)")</f>
        <v>N/A (Not found)</v>
      </c>
      <c r="X72" s="33">
        <f>IFERROR(__xludf.DUMMYFUNCTION("""COMPUTED_VALUE"""),0.9925925925925926)</f>
        <v>0.9925925926</v>
      </c>
    </row>
    <row r="73">
      <c r="A73" s="4" t="str">
        <f>IFERROR(__xludf.DUMMYFUNCTION("""COMPUTED_VALUE"""),"DOCE MAGIA")</f>
        <v>DOCE MAGIA</v>
      </c>
      <c r="B73" s="4">
        <f>IFERROR(__xludf.DUMMYFUNCTION("""COMPUTED_VALUE"""),3.0)</f>
        <v>3</v>
      </c>
      <c r="C73" s="30">
        <f>IFERROR(__xludf.DUMMYFUNCTION("""COMPUTED_VALUE"""),42.0)</f>
        <v>42</v>
      </c>
      <c r="D73" s="4" t="str">
        <f>IFERROR(__xludf.DUMMYFUNCTION("""COMPUTED_VALUE"""),"Varejo - Confeitaria")</f>
        <v>Varejo - Confeitaria</v>
      </c>
      <c r="E73" s="4" t="str">
        <f>IFERROR(__xludf.DUMMYFUNCTION("""COMPUTED_VALUE"""),"Interior SP")</f>
        <v>Interior SP</v>
      </c>
      <c r="F73" s="4" t="str">
        <f>IFERROR(__xludf.DUMMYFUNCTION("""COMPUTED_VALUE"""),"Dado não disponível publicamente - Necessário Discovery")</f>
        <v>Dado não disponível publicamente - Necessário Discovery</v>
      </c>
      <c r="G73" s="4">
        <f>IFERROR(__xludf.DUMMYFUNCTION("""COMPUTED_VALUE"""),35.0)</f>
        <v>35</v>
      </c>
      <c r="H73" s="31">
        <f>IFERROR(__xludf.DUMMYFUNCTION("""COMPUTED_VALUE"""),0.5)</f>
        <v>0.5</v>
      </c>
      <c r="I73"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73" s="4" t="str">
        <f>IFERROR(__xludf.DUMMYFUNCTION("""COMPUTED_VALUE"""),"FARMACIAS GLOBO - CONTA PAI")</f>
        <v>FARMACIAS GLOBO - CONTA PAI</v>
      </c>
      <c r="L73" s="32">
        <f>IFERROR(__xludf.DUMMYFUNCTION("""COMPUTED_VALUE"""),133.0)</f>
        <v>133</v>
      </c>
      <c r="M73" s="4" t="str">
        <f>IFERROR(__xludf.DUMMYFUNCTION("""COMPUTED_VALUE"""),"N/A (Not found)")</f>
        <v>N/A (Not found)</v>
      </c>
      <c r="N73" s="33">
        <f>IFERROR(__xludf.DUMMYFUNCTION("""COMPUTED_VALUE"""),1.0)</f>
        <v>1</v>
      </c>
      <c r="O73" s="4" t="str">
        <f>IFERROR(__xludf.DUMMYFUNCTION("""COMPUTED_VALUE"""),"N/A (Not found)")</f>
        <v>N/A (Not found)</v>
      </c>
      <c r="P73" s="33">
        <f>IFERROR(__xludf.DUMMYFUNCTION("""COMPUTED_VALUE"""),1.0)</f>
        <v>1</v>
      </c>
      <c r="Q73" s="4" t="str">
        <f>IFERROR(__xludf.DUMMYFUNCTION("""COMPUTED_VALUE"""),"N/A (Not found)")</f>
        <v>N/A (Not found)</v>
      </c>
      <c r="R73" s="33">
        <f>IFERROR(__xludf.DUMMYFUNCTION("""COMPUTED_VALUE"""),0.9849624060150376)</f>
        <v>0.984962406</v>
      </c>
      <c r="S73" s="4" t="str">
        <f>IFERROR(__xludf.DUMMYFUNCTION("""COMPUTED_VALUE"""),"N/A (Not found)")</f>
        <v>N/A (Not found)</v>
      </c>
      <c r="T73" s="33">
        <f>IFERROR(__xludf.DUMMYFUNCTION("""COMPUTED_VALUE"""),0.9849624060150376)</f>
        <v>0.984962406</v>
      </c>
      <c r="U73" s="4" t="str">
        <f>IFERROR(__xludf.DUMMYFUNCTION("""COMPUTED_VALUE"""),"N/A (Not found)")</f>
        <v>N/A (Not found)</v>
      </c>
      <c r="V73" s="33">
        <f>IFERROR(__xludf.DUMMYFUNCTION("""COMPUTED_VALUE"""),0.9849624060150376)</f>
        <v>0.984962406</v>
      </c>
      <c r="W73" s="4" t="str">
        <f>IFERROR(__xludf.DUMMYFUNCTION("""COMPUTED_VALUE"""),"N/A (Not found)")</f>
        <v>N/A (Not found)</v>
      </c>
      <c r="X73" s="33">
        <f>IFERROR(__xludf.DUMMYFUNCTION("""COMPUTED_VALUE"""),0.9849624060150376)</f>
        <v>0.984962406</v>
      </c>
    </row>
    <row r="74">
      <c r="A74" s="4" t="str">
        <f>IFERROR(__xludf.DUMMYFUNCTION("""COMPUTED_VALUE"""),"COFFEE DONUTS COFFEE - CONTA MARCA")</f>
        <v>COFFEE DONUTS COFFEE - CONTA MARCA</v>
      </c>
      <c r="B74" s="4">
        <f>IFERROR(__xludf.DUMMYFUNCTION("""COMPUTED_VALUE"""),7.0)</f>
        <v>7</v>
      </c>
      <c r="C74" s="30">
        <f>IFERROR(__xludf.DUMMYFUNCTION("""COMPUTED_VALUE"""),35.0)</f>
        <v>35</v>
      </c>
      <c r="D74" s="4" t="str">
        <f>IFERROR(__xludf.DUMMYFUNCTION("""COMPUTED_VALUE"""),"Fast Casual - Cafeteria")</f>
        <v>Fast Casual - Cafeteria</v>
      </c>
      <c r="E74" s="4" t="str">
        <f>IFERROR(__xludf.DUMMYFUNCTION("""COMPUTED_VALUE"""),"Belo Horizonte/MG")</f>
        <v>Belo Horizonte/MG</v>
      </c>
      <c r="F74" s="4" t="str">
        <f>IFERROR(__xludf.DUMMYFUNCTION("""COMPUTED_VALUE"""),"Dado não disponível publicamente - Necessário Discovery")</f>
        <v>Dado não disponível publicamente - Necessário Discovery</v>
      </c>
      <c r="G74" s="4">
        <f>IFERROR(__xludf.DUMMYFUNCTION("""COMPUTED_VALUE"""),70.0)</f>
        <v>70</v>
      </c>
      <c r="H74" s="31">
        <f>IFERROR(__xludf.DUMMYFUNCTION("""COMPUTED_VALUE"""),0.75)</f>
        <v>0.75</v>
      </c>
      <c r="I7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74" s="4" t="str">
        <f>IFERROR(__xludf.DUMMYFUNCTION("""COMPUTED_VALUE"""),"GRUPO HAVANNA CAFE")</f>
        <v>GRUPO HAVANNA CAFE</v>
      </c>
      <c r="L74" s="32">
        <f>IFERROR(__xludf.DUMMYFUNCTION("""COMPUTED_VALUE"""),129.0)</f>
        <v>129</v>
      </c>
      <c r="M74" s="4" t="str">
        <f>IFERROR(__xludf.DUMMYFUNCTION("""COMPUTED_VALUE"""),"Stone Co.")</f>
        <v>Stone Co.</v>
      </c>
      <c r="N74" s="33">
        <f>IFERROR(__xludf.DUMMYFUNCTION("""COMPUTED_VALUE"""),0.813953488372093)</f>
        <v>0.8139534884</v>
      </c>
      <c r="O74" s="4" t="str">
        <f>IFERROR(__xludf.DUMMYFUNCTION("""COMPUTED_VALUE"""),"Stone Co.")</f>
        <v>Stone Co.</v>
      </c>
      <c r="P74" s="33">
        <f>IFERROR(__xludf.DUMMYFUNCTION("""COMPUTED_VALUE"""),0.8217054263565892)</f>
        <v>0.8217054264</v>
      </c>
      <c r="Q74" s="4" t="str">
        <f>IFERROR(__xludf.DUMMYFUNCTION("""COMPUTED_VALUE"""),"Stone Co.")</f>
        <v>Stone Co.</v>
      </c>
      <c r="R74" s="33">
        <f>IFERROR(__xludf.DUMMYFUNCTION("""COMPUTED_VALUE"""),0.7364341085271318)</f>
        <v>0.7364341085</v>
      </c>
      <c r="S74" s="4" t="str">
        <f>IFERROR(__xludf.DUMMYFUNCTION("""COMPUTED_VALUE"""),"Stone Co.")</f>
        <v>Stone Co.</v>
      </c>
      <c r="T74" s="33">
        <f>IFERROR(__xludf.DUMMYFUNCTION("""COMPUTED_VALUE"""),0.5503875968992248)</f>
        <v>0.5503875969</v>
      </c>
      <c r="U74" s="4" t="str">
        <f>IFERROR(__xludf.DUMMYFUNCTION("""COMPUTED_VALUE"""),"null")</f>
        <v>null</v>
      </c>
      <c r="V74" s="33">
        <f>IFERROR(__xludf.DUMMYFUNCTION("""COMPUTED_VALUE"""),0.4728682170542636)</f>
        <v>0.4728682171</v>
      </c>
      <c r="W74" s="4" t="str">
        <f>IFERROR(__xludf.DUMMYFUNCTION("""COMPUTED_VALUE"""),"null")</f>
        <v>null</v>
      </c>
      <c r="X74" s="33">
        <f>IFERROR(__xludf.DUMMYFUNCTION("""COMPUTED_VALUE"""),0.5736434108527132)</f>
        <v>0.5736434109</v>
      </c>
    </row>
    <row r="75">
      <c r="A75" s="4" t="str">
        <f>IFERROR(__xludf.DUMMYFUNCTION("""COMPUTED_VALUE"""),"DOM GALETO")</f>
        <v>DOM GALETO</v>
      </c>
      <c r="B75" s="4">
        <f>IFERROR(__xludf.DUMMYFUNCTION("""COMPUTED_VALUE"""),4.0)</f>
        <v>4</v>
      </c>
      <c r="C75" s="30">
        <f>IFERROR(__xludf.DUMMYFUNCTION("""COMPUTED_VALUE"""),65.0)</f>
        <v>65</v>
      </c>
      <c r="D75" s="4" t="str">
        <f>IFERROR(__xludf.DUMMYFUNCTION("""COMPUTED_VALUE"""),"Table Service - Galeto/Churrasco")</f>
        <v>Table Service - Galeto/Churrasco</v>
      </c>
      <c r="E75" s="4" t="str">
        <f>IFERROR(__xludf.DUMMYFUNCTION("""COMPUTED_VALUE"""),"Regional (RJ, SP, CE)")</f>
        <v>Regional (RJ, SP, CE)</v>
      </c>
      <c r="F75" s="4" t="str">
        <f>IFERROR(__xludf.DUMMYFUNCTION("""COMPUTED_VALUE"""),"Dado não disponível publicamente - Necessário Discovery")</f>
        <v>Dado não disponível publicamente - Necessário Discovery</v>
      </c>
      <c r="G75" s="4">
        <f>IFERROR(__xludf.DUMMYFUNCTION("""COMPUTED_VALUE"""),55.0)</f>
        <v>55</v>
      </c>
      <c r="H75" s="31">
        <f>IFERROR(__xludf.DUMMYFUNCTION("""COMPUTED_VALUE"""),0.65)</f>
        <v>0.65</v>
      </c>
      <c r="I7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75" s="4" t="str">
        <f>IFERROR(__xludf.DUMMYFUNCTION("""COMPUTED_VALUE"""),"MULTICOISAS MATRIZ - GRUPO")</f>
        <v>MULTICOISAS MATRIZ - GRUPO</v>
      </c>
      <c r="L75" s="32">
        <f>IFERROR(__xludf.DUMMYFUNCTION("""COMPUTED_VALUE"""),121.0)</f>
        <v>121</v>
      </c>
      <c r="M75" s="4" t="str">
        <f>IFERROR(__xludf.DUMMYFUNCTION("""COMPUTED_VALUE"""),"N/A (Not found)")</f>
        <v>N/A (Not found)</v>
      </c>
      <c r="N75" s="33">
        <f>IFERROR(__xludf.DUMMYFUNCTION("""COMPUTED_VALUE"""),0.9504132231404959)</f>
        <v>0.9504132231</v>
      </c>
      <c r="O75" s="4" t="str">
        <f>IFERROR(__xludf.DUMMYFUNCTION("""COMPUTED_VALUE"""),"N/A (Not found)")</f>
        <v>N/A (Not found)</v>
      </c>
      <c r="P75" s="33">
        <f>IFERROR(__xludf.DUMMYFUNCTION("""COMPUTED_VALUE"""),0.9504132231404959)</f>
        <v>0.9504132231</v>
      </c>
      <c r="Q75" s="4" t="str">
        <f>IFERROR(__xludf.DUMMYFUNCTION("""COMPUTED_VALUE"""),"N/A (Not found)")</f>
        <v>N/A (Not found)</v>
      </c>
      <c r="R75" s="33">
        <f>IFERROR(__xludf.DUMMYFUNCTION("""COMPUTED_VALUE"""),0.9504132231404959)</f>
        <v>0.9504132231</v>
      </c>
      <c r="S75" s="4" t="str">
        <f>IFERROR(__xludf.DUMMYFUNCTION("""COMPUTED_VALUE"""),"N/A (Not found)")</f>
        <v>N/A (Not found)</v>
      </c>
      <c r="T75" s="33">
        <f>IFERROR(__xludf.DUMMYFUNCTION("""COMPUTED_VALUE"""),0.9421487603305785)</f>
        <v>0.9421487603</v>
      </c>
      <c r="U75" s="4" t="str">
        <f>IFERROR(__xludf.DUMMYFUNCTION("""COMPUTED_VALUE"""),"N/A (Not found)")</f>
        <v>N/A (Not found)</v>
      </c>
      <c r="V75" s="33">
        <f>IFERROR(__xludf.DUMMYFUNCTION("""COMPUTED_VALUE"""),0.9504132231404959)</f>
        <v>0.9504132231</v>
      </c>
      <c r="W75" s="4" t="str">
        <f>IFERROR(__xludf.DUMMYFUNCTION("""COMPUTED_VALUE"""),"N/A (Not found)")</f>
        <v>N/A (Not found)</v>
      </c>
      <c r="X75" s="33">
        <f>IFERROR(__xludf.DUMMYFUNCTION("""COMPUTED_VALUE"""),0.9421487603305785)</f>
        <v>0.9421487603</v>
      </c>
    </row>
    <row r="76">
      <c r="A76" s="4" t="str">
        <f>IFERROR(__xludf.DUMMYFUNCTION("""COMPUTED_VALUE"""),"DONA CARMELA")</f>
        <v>DONA CARMELA</v>
      </c>
      <c r="B76" s="4">
        <f>IFERROR(__xludf.DUMMYFUNCTION("""COMPUTED_VALUE"""),1.0)</f>
        <v>1</v>
      </c>
      <c r="C76" s="30">
        <f>IFERROR(__xludf.DUMMYFUNCTION("""COMPUTED_VALUE"""),95.0)</f>
        <v>95</v>
      </c>
      <c r="D76" s="4" t="str">
        <f>IFERROR(__xludf.DUMMYFUNCTION("""COMPUTED_VALUE"""),"Table Service - Italiano")</f>
        <v>Table Service - Italiano</v>
      </c>
      <c r="E76" s="4" t="str">
        <f>IFERROR(__xludf.DUMMYFUNCTION("""COMPUTED_VALUE"""),"São Paulo/SP (Santana)")</f>
        <v>São Paulo/SP (Santana)</v>
      </c>
      <c r="F76" s="4" t="str">
        <f>IFERROR(__xludf.DUMMYFUNCTION("""COMPUTED_VALUE"""),"Dado não disponível publicamente - Necessário Discovery")</f>
        <v>Dado não disponível publicamente - Necessário Discovery</v>
      </c>
      <c r="G76" s="4">
        <f>IFERROR(__xludf.DUMMYFUNCTION("""COMPUTED_VALUE"""),55.0)</f>
        <v>55</v>
      </c>
      <c r="H76" s="31">
        <f>IFERROR(__xludf.DUMMYFUNCTION("""COMPUTED_VALUE"""),0.65)</f>
        <v>0.65</v>
      </c>
      <c r="I7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76" s="4" t="str">
        <f>IFERROR(__xludf.DUMMYFUNCTION("""COMPUTED_VALUE"""),"DIVINO FOGAO")</f>
        <v>DIVINO FOGAO</v>
      </c>
      <c r="L76" s="32">
        <f>IFERROR(__xludf.DUMMYFUNCTION("""COMPUTED_VALUE"""),121.0)</f>
        <v>121</v>
      </c>
      <c r="M76" s="4" t="str">
        <f>IFERROR(__xludf.DUMMYFUNCTION("""COMPUTED_VALUE"""),"Totvs Large Enterprise Tecnologia S.a.")</f>
        <v>Totvs Large Enterprise Tecnologia S.a.</v>
      </c>
      <c r="N76" s="33">
        <f>IFERROR(__xludf.DUMMYFUNCTION("""COMPUTED_VALUE"""),0.34710743801652894)</f>
        <v>0.347107438</v>
      </c>
      <c r="O76" s="4" t="str">
        <f>IFERROR(__xludf.DUMMYFUNCTION("""COMPUTED_VALUE"""),"null")</f>
        <v>null</v>
      </c>
      <c r="P76" s="33">
        <f>IFERROR(__xludf.DUMMYFUNCTION("""COMPUTED_VALUE"""),0.35537190082644626)</f>
        <v>0.3553719008</v>
      </c>
      <c r="Q76" s="4" t="str">
        <f>IFERROR(__xludf.DUMMYFUNCTION("""COMPUTED_VALUE"""),"null")</f>
        <v>null</v>
      </c>
      <c r="R76" s="33">
        <f>IFERROR(__xludf.DUMMYFUNCTION("""COMPUTED_VALUE"""),0.3884297520661157)</f>
        <v>0.3884297521</v>
      </c>
      <c r="S76" s="4" t="str">
        <f>IFERROR(__xludf.DUMMYFUNCTION("""COMPUTED_VALUE"""),"null")</f>
        <v>null</v>
      </c>
      <c r="T76" s="33">
        <f>IFERROR(__xludf.DUMMYFUNCTION("""COMPUTED_VALUE"""),0.4049586776859504)</f>
        <v>0.4049586777</v>
      </c>
      <c r="U76" s="4" t="str">
        <f>IFERROR(__xludf.DUMMYFUNCTION("""COMPUTED_VALUE"""),"null")</f>
        <v>null</v>
      </c>
      <c r="V76" s="33">
        <f>IFERROR(__xludf.DUMMYFUNCTION("""COMPUTED_VALUE"""),0.35537190082644626)</f>
        <v>0.3553719008</v>
      </c>
      <c r="W76" s="4" t="str">
        <f>IFERROR(__xludf.DUMMYFUNCTION("""COMPUTED_VALUE"""),"Swfast Sistemas")</f>
        <v>Swfast Sistemas</v>
      </c>
      <c r="X76" s="33">
        <f>IFERROR(__xludf.DUMMYFUNCTION("""COMPUTED_VALUE"""),0.4132231404958678)</f>
        <v>0.4132231405</v>
      </c>
    </row>
    <row r="77">
      <c r="A77" s="4" t="str">
        <f>IFERROR(__xludf.DUMMYFUNCTION("""COMPUTED_VALUE"""),"EAI BURGUER - MARCA")</f>
        <v>EAI BURGUER - MARCA</v>
      </c>
      <c r="B77" s="4">
        <f>IFERROR(__xludf.DUMMYFUNCTION("""COMPUTED_VALUE"""),4.0)</f>
        <v>4</v>
      </c>
      <c r="C77" s="30">
        <f>IFERROR(__xludf.DUMMYFUNCTION("""COMPUTED_VALUE"""),60.0)</f>
        <v>60</v>
      </c>
      <c r="D77" s="4" t="str">
        <f>IFERROR(__xludf.DUMMYFUNCTION("""COMPUTED_VALUE"""),"Fast Casual - Multi-conceito")</f>
        <v>Fast Casual - Multi-conceito</v>
      </c>
      <c r="E77" s="4" t="str">
        <f>IFERROR(__xludf.DUMMYFUNCTION("""COMPUTED_VALUE"""),"Nacional")</f>
        <v>Nacional</v>
      </c>
      <c r="F77" s="4" t="str">
        <f>IFERROR(__xludf.DUMMYFUNCTION("""COMPUTED_VALUE"""),"Dado não disponível publicamente - Necessário Discovery")</f>
        <v>Dado não disponível publicamente - Necessário Discovery</v>
      </c>
      <c r="G77" s="4">
        <f>IFERROR(__xludf.DUMMYFUNCTION("""COMPUTED_VALUE"""),65.0)</f>
        <v>65</v>
      </c>
      <c r="H77" s="31">
        <f>IFERROR(__xludf.DUMMYFUNCTION("""COMPUTED_VALUE"""),0.75)</f>
        <v>0.75</v>
      </c>
      <c r="I7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77" s="4" t="str">
        <f>IFERROR(__xludf.DUMMYFUNCTION("""COMPUTED_VALUE"""),"FARMA PONTE - CONTA PAI")</f>
        <v>FARMA PONTE - CONTA PAI</v>
      </c>
      <c r="L77" s="32">
        <f>IFERROR(__xludf.DUMMYFUNCTION("""COMPUTED_VALUE"""),120.0)</f>
        <v>120</v>
      </c>
      <c r="M77" s="4" t="str">
        <f>IFERROR(__xludf.DUMMYFUNCTION("""COMPUTED_VALUE"""),"N/A (Not found)")</f>
        <v>N/A (Not found)</v>
      </c>
      <c r="N77" s="33">
        <f>IFERROR(__xludf.DUMMYFUNCTION("""COMPUTED_VALUE"""),0.9833333333333333)</f>
        <v>0.9833333333</v>
      </c>
      <c r="O77" s="4" t="str">
        <f>IFERROR(__xludf.DUMMYFUNCTION("""COMPUTED_VALUE"""),"N/A (Not found)")</f>
        <v>N/A (Not found)</v>
      </c>
      <c r="P77" s="33">
        <f>IFERROR(__xludf.DUMMYFUNCTION("""COMPUTED_VALUE"""),0.9666666666666667)</f>
        <v>0.9666666667</v>
      </c>
      <c r="Q77" s="4" t="str">
        <f>IFERROR(__xludf.DUMMYFUNCTION("""COMPUTED_VALUE"""),"N/A (Not found)")</f>
        <v>N/A (Not found)</v>
      </c>
      <c r="R77" s="33">
        <f>IFERROR(__xludf.DUMMYFUNCTION("""COMPUTED_VALUE"""),0.9666666666666667)</f>
        <v>0.9666666667</v>
      </c>
      <c r="S77" s="4" t="str">
        <f>IFERROR(__xludf.DUMMYFUNCTION("""COMPUTED_VALUE"""),"N/A (Not found)")</f>
        <v>N/A (Not found)</v>
      </c>
      <c r="T77" s="33">
        <f>IFERROR(__xludf.DUMMYFUNCTION("""COMPUTED_VALUE"""),0.95)</f>
        <v>0.95</v>
      </c>
      <c r="U77" s="4" t="str">
        <f>IFERROR(__xludf.DUMMYFUNCTION("""COMPUTED_VALUE"""),"N/A (Not found)")</f>
        <v>N/A (Not found)</v>
      </c>
      <c r="V77" s="33">
        <f>IFERROR(__xludf.DUMMYFUNCTION("""COMPUTED_VALUE"""),0.95)</f>
        <v>0.95</v>
      </c>
      <c r="W77" s="4" t="str">
        <f>IFERROR(__xludf.DUMMYFUNCTION("""COMPUTED_VALUE"""),"N/A (Not found)")</f>
        <v>N/A (Not found)</v>
      </c>
      <c r="X77" s="33">
        <f>IFERROR(__xludf.DUMMYFUNCTION("""COMPUTED_VALUE"""),0.9333333333333333)</f>
        <v>0.9333333333</v>
      </c>
    </row>
    <row r="78">
      <c r="A78" s="4" t="str">
        <f>IFERROR(__xludf.DUMMYFUNCTION("""COMPUTED_VALUE"""),"EDDIE FINE BURGER")</f>
        <v>EDDIE FINE BURGER</v>
      </c>
      <c r="B78" s="4">
        <f>IFERROR(__xludf.DUMMYFUNCTION("""COMPUTED_VALUE"""),11.0)</f>
        <v>11</v>
      </c>
      <c r="C78" s="30">
        <f>IFERROR(__xludf.DUMMYFUNCTION("""COMPUTED_VALUE"""),79.0)</f>
        <v>79</v>
      </c>
      <c r="D78" s="4" t="str">
        <f>IFERROR(__xludf.DUMMYFUNCTION("""COMPUTED_VALUE"""),"Fast Casual - Hamburgueria")</f>
        <v>Fast Casual - Hamburgueria</v>
      </c>
      <c r="E78" s="4" t="str">
        <f>IFERROR(__xludf.DUMMYFUNCTION("""COMPUTED_VALUE"""),"Sul")</f>
        <v>Sul</v>
      </c>
      <c r="F78" s="4" t="str">
        <f>IFERROR(__xludf.DUMMYFUNCTION("""COMPUTED_VALUE"""),"Dado não disponível publicamente - Necessário Discovery")</f>
        <v>Dado não disponível publicamente - Necessário Discovery</v>
      </c>
      <c r="G78" s="4">
        <f>IFERROR(__xludf.DUMMYFUNCTION("""COMPUTED_VALUE"""),70.0)</f>
        <v>70</v>
      </c>
      <c r="H78" s="31">
        <f>IFERROR(__xludf.DUMMYFUNCTION("""COMPUTED_VALUE"""),0.8)</f>
        <v>0.8</v>
      </c>
      <c r="I78"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78" s="4" t="str">
        <f>IFERROR(__xludf.DUMMYFUNCTION("""COMPUTED_VALUE"""),"HAVAIANAS - CONTA MARCA")</f>
        <v>HAVAIANAS - CONTA MARCA</v>
      </c>
      <c r="L78" s="32">
        <f>IFERROR(__xludf.DUMMYFUNCTION("""COMPUTED_VALUE"""),115.0)</f>
        <v>115</v>
      </c>
      <c r="M78" s="4" t="str">
        <f>IFERROR(__xludf.DUMMYFUNCTION("""COMPUTED_VALUE"""),"N/A (Not found)")</f>
        <v>N/A (Not found)</v>
      </c>
      <c r="N78" s="33">
        <f>IFERROR(__xludf.DUMMYFUNCTION("""COMPUTED_VALUE"""),0.8260869565217391)</f>
        <v>0.8260869565</v>
      </c>
      <c r="O78" s="4" t="str">
        <f>IFERROR(__xludf.DUMMYFUNCTION("""COMPUTED_VALUE"""),"N/A (Not found)")</f>
        <v>N/A (Not found)</v>
      </c>
      <c r="P78" s="33">
        <f>IFERROR(__xludf.DUMMYFUNCTION("""COMPUTED_VALUE"""),0.8956521739130435)</f>
        <v>0.8956521739</v>
      </c>
      <c r="Q78" s="4" t="str">
        <f>IFERROR(__xludf.DUMMYFUNCTION("""COMPUTED_VALUE"""),"null")</f>
        <v>null</v>
      </c>
      <c r="R78" s="33">
        <f>IFERROR(__xludf.DUMMYFUNCTION("""COMPUTED_VALUE"""),0.5130434782608696)</f>
        <v>0.5130434783</v>
      </c>
      <c r="S78" s="4" t="str">
        <f>IFERROR(__xludf.DUMMYFUNCTION("""COMPUTED_VALUE"""),"N/A (Not found)")</f>
        <v>N/A (Not found)</v>
      </c>
      <c r="T78" s="33">
        <f>IFERROR(__xludf.DUMMYFUNCTION("""COMPUTED_VALUE"""),0.6695652173913044)</f>
        <v>0.6695652174</v>
      </c>
      <c r="U78" s="4" t="str">
        <f>IFERROR(__xludf.DUMMYFUNCTION("""COMPUTED_VALUE"""),"N/A (Not found)")</f>
        <v>N/A (Not found)</v>
      </c>
      <c r="V78" s="33">
        <f>IFERROR(__xludf.DUMMYFUNCTION("""COMPUTED_VALUE"""),0.6521739130434783)</f>
        <v>0.652173913</v>
      </c>
      <c r="W78" s="4" t="str">
        <f>IFERROR(__xludf.DUMMYFUNCTION("""COMPUTED_VALUE"""),"N/A (Not found)")</f>
        <v>N/A (Not found)</v>
      </c>
      <c r="X78" s="33">
        <f>IFERROR(__xludf.DUMMYFUNCTION("""COMPUTED_VALUE"""),0.6173913043478261)</f>
        <v>0.6173913043</v>
      </c>
    </row>
    <row r="79">
      <c r="A79" s="4" t="str">
        <f>IFERROR(__xludf.DUMMYFUNCTION("""COMPUTED_VALUE"""),"EKY ESPETARIA CONSELHEIRO")</f>
        <v>EKY ESPETARIA CONSELHEIRO</v>
      </c>
      <c r="B79" s="4">
        <f>IFERROR(__xludf.DUMMYFUNCTION("""COMPUTED_VALUE"""),2.0)</f>
        <v>2</v>
      </c>
      <c r="C79" s="30">
        <f>IFERROR(__xludf.DUMMYFUNCTION("""COMPUTED_VALUE"""),56.0)</f>
        <v>56</v>
      </c>
      <c r="D79" s="4" t="str">
        <f>IFERROR(__xludf.DUMMYFUNCTION("""COMPUTED_VALUE"""),"Fast Casual - Multi-conceito")</f>
        <v>Fast Casual - Multi-conceito</v>
      </c>
      <c r="E79" s="4" t="str">
        <f>IFERROR(__xludf.DUMMYFUNCTION("""COMPUTED_VALUE"""),"Belo Horizonte/MG")</f>
        <v>Belo Horizonte/MG</v>
      </c>
      <c r="F79" s="4" t="str">
        <f>IFERROR(__xludf.DUMMYFUNCTION("""COMPUTED_VALUE"""),"Dado não disponível publicamente - Necessário Discovery")</f>
        <v>Dado não disponível publicamente - Necessário Discovery</v>
      </c>
      <c r="G79" s="4">
        <f>IFERROR(__xludf.DUMMYFUNCTION("""COMPUTED_VALUE"""),65.0)</f>
        <v>65</v>
      </c>
      <c r="H79" s="31">
        <f>IFERROR(__xludf.DUMMYFUNCTION("""COMPUTED_VALUE"""),0.75)</f>
        <v>0.75</v>
      </c>
      <c r="I7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79" s="4" t="str">
        <f>IFERROR(__xludf.DUMMYFUNCTION("""COMPUTED_VALUE"""),"FARMAIS - CONTA GRUPO")</f>
        <v>FARMAIS - CONTA GRUPO</v>
      </c>
      <c r="L79" s="32">
        <f>IFERROR(__xludf.DUMMYFUNCTION("""COMPUTED_VALUE"""),114.0)</f>
        <v>114</v>
      </c>
      <c r="M79" s="4" t="str">
        <f>IFERROR(__xludf.DUMMYFUNCTION("""COMPUTED_VALUE"""),"N/A (Not found)")</f>
        <v>N/A (Not found)</v>
      </c>
      <c r="N79" s="33">
        <f>IFERROR(__xludf.DUMMYFUNCTION("""COMPUTED_VALUE"""),0.8947368421052632)</f>
        <v>0.8947368421</v>
      </c>
      <c r="O79" s="4" t="str">
        <f>IFERROR(__xludf.DUMMYFUNCTION("""COMPUTED_VALUE"""),"N/A (Not found)")</f>
        <v>N/A (Not found)</v>
      </c>
      <c r="P79" s="33">
        <f>IFERROR(__xludf.DUMMYFUNCTION("""COMPUTED_VALUE"""),0.8859649122807017)</f>
        <v>0.8859649123</v>
      </c>
      <c r="Q79" s="4" t="str">
        <f>IFERROR(__xludf.DUMMYFUNCTION("""COMPUTED_VALUE"""),"N/A (Not found)")</f>
        <v>N/A (Not found)</v>
      </c>
      <c r="R79" s="33">
        <f>IFERROR(__xludf.DUMMYFUNCTION("""COMPUTED_VALUE"""),0.9385964912280702)</f>
        <v>0.9385964912</v>
      </c>
      <c r="S79" s="4" t="str">
        <f>IFERROR(__xludf.DUMMYFUNCTION("""COMPUTED_VALUE"""),"N/A (Not found)")</f>
        <v>N/A (Not found)</v>
      </c>
      <c r="T79" s="33">
        <f>IFERROR(__xludf.DUMMYFUNCTION("""COMPUTED_VALUE"""),0.9473684210526315)</f>
        <v>0.9473684211</v>
      </c>
      <c r="U79" s="4" t="str">
        <f>IFERROR(__xludf.DUMMYFUNCTION("""COMPUTED_VALUE"""),"N/A (Not found)")</f>
        <v>N/A (Not found)</v>
      </c>
      <c r="V79" s="33">
        <f>IFERROR(__xludf.DUMMYFUNCTION("""COMPUTED_VALUE"""),0.9649122807017544)</f>
        <v>0.9649122807</v>
      </c>
      <c r="W79" s="4" t="str">
        <f>IFERROR(__xludf.DUMMYFUNCTION("""COMPUTED_VALUE"""),"N/A (Not found)")</f>
        <v>N/A (Not found)</v>
      </c>
      <c r="X79" s="33">
        <f>IFERROR(__xludf.DUMMYFUNCTION("""COMPUTED_VALUE"""),0.9210526315789473)</f>
        <v>0.9210526316</v>
      </c>
    </row>
    <row r="80">
      <c r="A80" s="4" t="str">
        <f>IFERROR(__xludf.DUMMYFUNCTION("""COMPUTED_VALUE"""),"EL PATRON")</f>
        <v>EL PATRON</v>
      </c>
      <c r="B80" s="4">
        <f>IFERROR(__xludf.DUMMYFUNCTION("""COMPUTED_VALUE"""),2.0)</f>
        <v>2</v>
      </c>
      <c r="C80" s="30">
        <f>IFERROR(__xludf.DUMMYFUNCTION("""COMPUTED_VALUE"""),51.0)</f>
        <v>51</v>
      </c>
      <c r="D80" s="4" t="str">
        <f>IFERROR(__xludf.DUMMYFUNCTION("""COMPUTED_VALUE"""),"Fast Casual - Multi-conceito")</f>
        <v>Fast Casual - Multi-conceito</v>
      </c>
      <c r="E80" s="4" t="str">
        <f>IFERROR(__xludf.DUMMYFUNCTION("""COMPUTED_VALUE"""),"Nordeste")</f>
        <v>Nordeste</v>
      </c>
      <c r="F80" s="4" t="str">
        <f>IFERROR(__xludf.DUMMYFUNCTION("""COMPUTED_VALUE"""),"Dado não disponível publicamente - Necessário Discovery")</f>
        <v>Dado não disponível publicamente - Necessário Discovery</v>
      </c>
      <c r="G80" s="4">
        <f>IFERROR(__xludf.DUMMYFUNCTION("""COMPUTED_VALUE"""),65.0)</f>
        <v>65</v>
      </c>
      <c r="H80" s="31">
        <f>IFERROR(__xludf.DUMMYFUNCTION("""COMPUTED_VALUE"""),0.75)</f>
        <v>0.75</v>
      </c>
      <c r="I8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80" s="4" t="str">
        <f>IFERROR(__xludf.DUMMYFUNCTION("""COMPUTED_VALUE"""),"COCO BAMBU")</f>
        <v>COCO BAMBU</v>
      </c>
      <c r="L80" s="32">
        <f>IFERROR(__xludf.DUMMYFUNCTION("""COMPUTED_VALUE"""),113.0)</f>
        <v>113</v>
      </c>
      <c r="M80" s="4" t="str">
        <f>IFERROR(__xludf.DUMMYFUNCTION("""COMPUTED_VALUE"""),"Cbinfo")</f>
        <v>Cbinfo</v>
      </c>
      <c r="N80" s="33">
        <f>IFERROR(__xludf.DUMMYFUNCTION("""COMPUTED_VALUE"""),0.9380530973451328)</f>
        <v>0.9380530973</v>
      </c>
      <c r="O80" s="4" t="str">
        <f>IFERROR(__xludf.DUMMYFUNCTION("""COMPUTED_VALUE"""),"Cbinfo")</f>
        <v>Cbinfo</v>
      </c>
      <c r="P80" s="33">
        <f>IFERROR(__xludf.DUMMYFUNCTION("""COMPUTED_VALUE"""),0.8761061946902655)</f>
        <v>0.8761061947</v>
      </c>
      <c r="Q80" s="4" t="str">
        <f>IFERROR(__xludf.DUMMYFUNCTION("""COMPUTED_VALUE"""),"Cbinfo")</f>
        <v>Cbinfo</v>
      </c>
      <c r="R80" s="33">
        <f>IFERROR(__xludf.DUMMYFUNCTION("""COMPUTED_VALUE"""),0.8584070796460177)</f>
        <v>0.8584070796</v>
      </c>
      <c r="S80" s="4" t="str">
        <f>IFERROR(__xludf.DUMMYFUNCTION("""COMPUTED_VALUE"""),"Cbinfo")</f>
        <v>Cbinfo</v>
      </c>
      <c r="T80" s="33">
        <f>IFERROR(__xludf.DUMMYFUNCTION("""COMPUTED_VALUE"""),0.831858407079646)</f>
        <v>0.8318584071</v>
      </c>
      <c r="U80" s="4" t="str">
        <f>IFERROR(__xludf.DUMMYFUNCTION("""COMPUTED_VALUE"""),"Cbinfo")</f>
        <v>Cbinfo</v>
      </c>
      <c r="V80" s="33">
        <f>IFERROR(__xludf.DUMMYFUNCTION("""COMPUTED_VALUE"""),0.8584070796460177)</f>
        <v>0.8584070796</v>
      </c>
      <c r="W80" s="4" t="str">
        <f>IFERROR(__xludf.DUMMYFUNCTION("""COMPUTED_VALUE"""),"Cbinfo")</f>
        <v>Cbinfo</v>
      </c>
      <c r="X80" s="33">
        <f>IFERROR(__xludf.DUMMYFUNCTION("""COMPUTED_VALUE"""),0.8141592920353983)</f>
        <v>0.814159292</v>
      </c>
    </row>
    <row r="81">
      <c r="A81" s="4" t="str">
        <f>IFERROR(__xludf.DUMMYFUNCTION("""COMPUTED_VALUE"""),"ESFIHARIA MAKTUBS")</f>
        <v>ESFIHARIA MAKTUBS</v>
      </c>
      <c r="B81" s="4">
        <f>IFERROR(__xludf.DUMMYFUNCTION("""COMPUTED_VALUE"""),4.0)</f>
        <v>4</v>
      </c>
      <c r="C81" s="30">
        <f>IFERROR(__xludf.DUMMYFUNCTION("""COMPUTED_VALUE"""),47.0)</f>
        <v>47</v>
      </c>
      <c r="D81" s="4" t="str">
        <f>IFERROR(__xludf.DUMMYFUNCTION("""COMPUTED_VALUE"""),"Fast Casual - Esfiharia")</f>
        <v>Fast Casual - Esfiharia</v>
      </c>
      <c r="E81" s="4" t="str">
        <f>IFERROR(__xludf.DUMMYFUNCTION("""COMPUTED_VALUE"""),"Regional")</f>
        <v>Regional</v>
      </c>
      <c r="F81" s="4" t="str">
        <f>IFERROR(__xludf.DUMMYFUNCTION("""COMPUTED_VALUE"""),"Dado não disponível publicamente - Necessário Discovery")</f>
        <v>Dado não disponível publicamente - Necessário Discovery</v>
      </c>
      <c r="G81" s="4">
        <f>IFERROR(__xludf.DUMMYFUNCTION("""COMPUTED_VALUE"""),65.0)</f>
        <v>65</v>
      </c>
      <c r="H81" s="31">
        <f>IFERROR(__xludf.DUMMYFUNCTION("""COMPUTED_VALUE"""),0.75)</f>
        <v>0.75</v>
      </c>
      <c r="I8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81" s="4" t="str">
        <f>IFERROR(__xludf.DUMMYFUNCTION("""COMPUTED_VALUE"""),"PET CAMP - CONTA PAI")</f>
        <v>PET CAMP - CONTA PAI</v>
      </c>
      <c r="L81" s="32">
        <f>IFERROR(__xludf.DUMMYFUNCTION("""COMPUTED_VALUE"""),113.0)</f>
        <v>113</v>
      </c>
      <c r="M81" s="4" t="str">
        <f>IFERROR(__xludf.DUMMYFUNCTION("""COMPUTED_VALUE"""),"N/A (Not found)")</f>
        <v>N/A (Not found)</v>
      </c>
      <c r="N81" s="33">
        <f>IFERROR(__xludf.DUMMYFUNCTION("""COMPUTED_VALUE"""),0.9557522123893806)</f>
        <v>0.9557522124</v>
      </c>
      <c r="O81" s="4" t="str">
        <f>IFERROR(__xludf.DUMMYFUNCTION("""COMPUTED_VALUE"""),"N/A (Not found)")</f>
        <v>N/A (Not found)</v>
      </c>
      <c r="P81" s="33">
        <f>IFERROR(__xludf.DUMMYFUNCTION("""COMPUTED_VALUE"""),0.9646017699115044)</f>
        <v>0.9646017699</v>
      </c>
      <c r="Q81" s="4" t="str">
        <f>IFERROR(__xludf.DUMMYFUNCTION("""COMPUTED_VALUE"""),"N/A (Not found)")</f>
        <v>N/A (Not found)</v>
      </c>
      <c r="R81" s="33">
        <f>IFERROR(__xludf.DUMMYFUNCTION("""COMPUTED_VALUE"""),0.9734513274336283)</f>
        <v>0.9734513274</v>
      </c>
      <c r="S81" s="4" t="str">
        <f>IFERROR(__xludf.DUMMYFUNCTION("""COMPUTED_VALUE"""),"N/A (Not found)")</f>
        <v>N/A (Not found)</v>
      </c>
      <c r="T81" s="33">
        <f>IFERROR(__xludf.DUMMYFUNCTION("""COMPUTED_VALUE"""),0.9823008849557522)</f>
        <v>0.982300885</v>
      </c>
      <c r="U81" s="4" t="str">
        <f>IFERROR(__xludf.DUMMYFUNCTION("""COMPUTED_VALUE"""),"N/A (Not found)")</f>
        <v>N/A (Not found)</v>
      </c>
      <c r="V81" s="33">
        <f>IFERROR(__xludf.DUMMYFUNCTION("""COMPUTED_VALUE"""),1.0)</f>
        <v>1</v>
      </c>
      <c r="W81" s="4" t="str">
        <f>IFERROR(__xludf.DUMMYFUNCTION("""COMPUTED_VALUE"""),"N/A (Not found)")</f>
        <v>N/A (Not found)</v>
      </c>
      <c r="X81" s="33">
        <f>IFERROR(__xludf.DUMMYFUNCTION("""COMPUTED_VALUE"""),1.0)</f>
        <v>1</v>
      </c>
    </row>
    <row r="82">
      <c r="A82" s="4" t="str">
        <f>IFERROR(__xludf.DUMMYFUNCTION("""COMPUTED_VALUE"""),"ESFIHAS DOZZA")</f>
        <v>ESFIHAS DOZZA</v>
      </c>
      <c r="B82" s="4">
        <f>IFERROR(__xludf.DUMMYFUNCTION("""COMPUTED_VALUE"""),7.0)</f>
        <v>7</v>
      </c>
      <c r="C82" s="30">
        <f>IFERROR(__xludf.DUMMYFUNCTION("""COMPUTED_VALUE"""),42.0)</f>
        <v>42</v>
      </c>
      <c r="D82" s="4" t="str">
        <f>IFERROR(__xludf.DUMMYFUNCTION("""COMPUTED_VALUE"""),"Fast Casual - Esfiharia")</f>
        <v>Fast Casual - Esfiharia</v>
      </c>
      <c r="E82" s="4" t="str">
        <f>IFERROR(__xludf.DUMMYFUNCTION("""COMPUTED_VALUE"""),"Sul")</f>
        <v>Sul</v>
      </c>
      <c r="F82" s="4" t="str">
        <f>IFERROR(__xludf.DUMMYFUNCTION("""COMPUTED_VALUE"""),"Dado não disponível publicamente - Necessário Discovery")</f>
        <v>Dado não disponível publicamente - Necessário Discovery</v>
      </c>
      <c r="G82" s="4">
        <f>IFERROR(__xludf.DUMMYFUNCTION("""COMPUTED_VALUE"""),70.0)</f>
        <v>70</v>
      </c>
      <c r="H82" s="31">
        <f>IFERROR(__xludf.DUMMYFUNCTION("""COMPUTED_VALUE"""),0.75)</f>
        <v>0.75</v>
      </c>
      <c r="I8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82" s="4" t="str">
        <f>IFERROR(__xludf.DUMMYFUNCTION("""COMPUTED_VALUE"""),"THE BEST ACAI")</f>
        <v>THE BEST ACAI</v>
      </c>
      <c r="L82" s="32">
        <f>IFERROR(__xludf.DUMMYFUNCTION("""COMPUTED_VALUE"""),112.0)</f>
        <v>112</v>
      </c>
      <c r="M82" s="4" t="str">
        <f>IFERROR(__xludf.DUMMYFUNCTION("""COMPUTED_VALUE"""),"null")</f>
        <v>null</v>
      </c>
      <c r="N82" s="33">
        <f>IFERROR(__xludf.DUMMYFUNCTION("""COMPUTED_VALUE"""),0.6696428571428571)</f>
        <v>0.6696428571</v>
      </c>
      <c r="O82" s="4" t="str">
        <f>IFERROR(__xludf.DUMMYFUNCTION("""COMPUTED_VALUE"""),"null")</f>
        <v>null</v>
      </c>
      <c r="P82" s="33">
        <f>IFERROR(__xludf.DUMMYFUNCTION("""COMPUTED_VALUE"""),0.6964285714285714)</f>
        <v>0.6964285714</v>
      </c>
      <c r="Q82" s="4" t="str">
        <f>IFERROR(__xludf.DUMMYFUNCTION("""COMPUTED_VALUE"""),"null")</f>
        <v>null</v>
      </c>
      <c r="R82" s="33">
        <f>IFERROR(__xludf.DUMMYFUNCTION("""COMPUTED_VALUE"""),0.5446428571428571)</f>
        <v>0.5446428571</v>
      </c>
      <c r="S82" s="4" t="str">
        <f>IFERROR(__xludf.DUMMYFUNCTION("""COMPUTED_VALUE"""),"Amabest Tech")</f>
        <v>Amabest Tech</v>
      </c>
      <c r="T82" s="33">
        <f>IFERROR(__xludf.DUMMYFUNCTION("""COMPUTED_VALUE"""),0.4375)</f>
        <v>0.4375</v>
      </c>
      <c r="U82" s="4" t="str">
        <f>IFERROR(__xludf.DUMMYFUNCTION("""COMPUTED_VALUE"""),"Amabest Tech")</f>
        <v>Amabest Tech</v>
      </c>
      <c r="V82" s="33">
        <f>IFERROR(__xludf.DUMMYFUNCTION("""COMPUTED_VALUE"""),0.5714285714285714)</f>
        <v>0.5714285714</v>
      </c>
      <c r="W82" s="4" t="str">
        <f>IFERROR(__xludf.DUMMYFUNCTION("""COMPUTED_VALUE"""),"Amabest Tech")</f>
        <v>Amabest Tech</v>
      </c>
      <c r="X82" s="33">
        <f>IFERROR(__xludf.DUMMYFUNCTION("""COMPUTED_VALUE"""),0.7142857142857143)</f>
        <v>0.7142857143</v>
      </c>
    </row>
    <row r="83">
      <c r="A83" s="4" t="str">
        <f>IFERROR(__xludf.DUMMYFUNCTION("""COMPUTED_VALUE"""),"FAMIGLIA DA PIZZA")</f>
        <v>FAMIGLIA DA PIZZA</v>
      </c>
      <c r="B83" s="4">
        <f>IFERROR(__xludf.DUMMYFUNCTION("""COMPUTED_VALUE"""),9.0)</f>
        <v>9</v>
      </c>
      <c r="C83" s="30">
        <f>IFERROR(__xludf.DUMMYFUNCTION("""COMPUTED_VALUE"""),75.0)</f>
        <v>75</v>
      </c>
      <c r="D83" s="4" t="str">
        <f>IFERROR(__xludf.DUMMYFUNCTION("""COMPUTED_VALUE"""),"Fast Casual - Pizzaria")</f>
        <v>Fast Casual - Pizzaria</v>
      </c>
      <c r="E83" s="4" t="str">
        <f>IFERROR(__xludf.DUMMYFUNCTION("""COMPUTED_VALUE"""),"Nordeste")</f>
        <v>Nordeste</v>
      </c>
      <c r="F83" s="4" t="str">
        <f>IFERROR(__xludf.DUMMYFUNCTION("""COMPUTED_VALUE"""),"Dado não disponível publicamente - Necessário Discovery")</f>
        <v>Dado não disponível publicamente - Necessário Discovery</v>
      </c>
      <c r="G83" s="4">
        <f>IFERROR(__xludf.DUMMYFUNCTION("""COMPUTED_VALUE"""),70.0)</f>
        <v>70</v>
      </c>
      <c r="H83" s="31">
        <f>IFERROR(__xludf.DUMMYFUNCTION("""COMPUTED_VALUE"""),0.75)</f>
        <v>0.75</v>
      </c>
      <c r="I8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83" s="4" t="str">
        <f>IFERROR(__xludf.DUMMYFUNCTION("""COMPUTED_VALUE"""),"FARMACIAS PERMANENTE - CONTA PAI")</f>
        <v>FARMACIAS PERMANENTE - CONTA PAI</v>
      </c>
      <c r="L83" s="32">
        <f>IFERROR(__xludf.DUMMYFUNCTION("""COMPUTED_VALUE"""),111.0)</f>
        <v>111</v>
      </c>
      <c r="M83" s="4" t="str">
        <f>IFERROR(__xludf.DUMMYFUNCTION("""COMPUTED_VALUE"""),"N/A (Not found)")</f>
        <v>N/A (Not found)</v>
      </c>
      <c r="N83" s="33">
        <f>IFERROR(__xludf.DUMMYFUNCTION("""COMPUTED_VALUE"""),0.9099099099099099)</f>
        <v>0.9099099099</v>
      </c>
      <c r="O83" s="4" t="str">
        <f>IFERROR(__xludf.DUMMYFUNCTION("""COMPUTED_VALUE"""),"N/A (Not found)")</f>
        <v>N/A (Not found)</v>
      </c>
      <c r="P83" s="33">
        <f>IFERROR(__xludf.DUMMYFUNCTION("""COMPUTED_VALUE"""),0.9279279279279279)</f>
        <v>0.9279279279</v>
      </c>
      <c r="Q83" s="4" t="str">
        <f>IFERROR(__xludf.DUMMYFUNCTION("""COMPUTED_VALUE"""),"N/A (Not found)")</f>
        <v>N/A (Not found)</v>
      </c>
      <c r="R83" s="33">
        <f>IFERROR(__xludf.DUMMYFUNCTION("""COMPUTED_VALUE"""),0.9279279279279279)</f>
        <v>0.9279279279</v>
      </c>
      <c r="S83" s="4" t="str">
        <f>IFERROR(__xludf.DUMMYFUNCTION("""COMPUTED_VALUE"""),"N/A (Not found)")</f>
        <v>N/A (Not found)</v>
      </c>
      <c r="T83" s="33">
        <f>IFERROR(__xludf.DUMMYFUNCTION("""COMPUTED_VALUE"""),0.9009009009009009)</f>
        <v>0.9009009009</v>
      </c>
      <c r="U83" s="4" t="str">
        <f>IFERROR(__xludf.DUMMYFUNCTION("""COMPUTED_VALUE"""),"N/A (Not found)")</f>
        <v>N/A (Not found)</v>
      </c>
      <c r="V83" s="33">
        <f>IFERROR(__xludf.DUMMYFUNCTION("""COMPUTED_VALUE"""),0.9279279279279279)</f>
        <v>0.9279279279</v>
      </c>
      <c r="W83" s="4" t="str">
        <f>IFERROR(__xludf.DUMMYFUNCTION("""COMPUTED_VALUE"""),"N/A (Not found)")</f>
        <v>N/A (Not found)</v>
      </c>
      <c r="X83" s="33">
        <f>IFERROR(__xludf.DUMMYFUNCTION("""COMPUTED_VALUE"""),0.918918918918919)</f>
        <v>0.9189189189</v>
      </c>
    </row>
    <row r="84">
      <c r="A84" s="4" t="str">
        <f>IFERROR(__xludf.DUMMYFUNCTION("""COMPUTED_VALUE"""),"FAMIGLIA REIS MAGOS")</f>
        <v>FAMIGLIA REIS MAGOS</v>
      </c>
      <c r="B84" s="4">
        <f>IFERROR(__xludf.DUMMYFUNCTION("""COMPUTED_VALUE"""),2.0)</f>
        <v>2</v>
      </c>
      <c r="C84" s="30">
        <f>IFERROR(__xludf.DUMMYFUNCTION("""COMPUTED_VALUE"""),75.0)</f>
        <v>75</v>
      </c>
      <c r="D84" s="4" t="str">
        <f>IFERROR(__xludf.DUMMYFUNCTION("""COMPUTED_VALUE"""),"Fast Casual - Multi-conceito")</f>
        <v>Fast Casual - Multi-conceito</v>
      </c>
      <c r="E84" s="4" t="str">
        <f>IFERROR(__xludf.DUMMYFUNCTION("""COMPUTED_VALUE"""),"Interior SP")</f>
        <v>Interior SP</v>
      </c>
      <c r="F84" s="4" t="str">
        <f>IFERROR(__xludf.DUMMYFUNCTION("""COMPUTED_VALUE"""),"Dado não disponível publicamente - Necessário Discovery")</f>
        <v>Dado não disponível publicamente - Necessário Discovery</v>
      </c>
      <c r="G84" s="4">
        <f>IFERROR(__xludf.DUMMYFUNCTION("""COMPUTED_VALUE"""),65.0)</f>
        <v>65</v>
      </c>
      <c r="H84" s="31">
        <f>IFERROR(__xludf.DUMMYFUNCTION("""COMPUTED_VALUE"""),0.75)</f>
        <v>0.75</v>
      </c>
      <c r="I8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84" s="4" t="str">
        <f>IFERROR(__xludf.DUMMYFUNCTION("""COMPUTED_VALUE"""),"SUBURBANOS PIZZA RUSTICA")</f>
        <v>SUBURBANOS PIZZA RUSTICA</v>
      </c>
      <c r="L84" s="32">
        <f>IFERROR(__xludf.DUMMYFUNCTION("""COMPUTED_VALUE"""),108.0)</f>
        <v>108</v>
      </c>
      <c r="M84" s="4" t="str">
        <f>IFERROR(__xludf.DUMMYFUNCTION("""COMPUTED_VALUE"""),"Saipos Serviços De Software")</f>
        <v>Saipos Serviços De Software</v>
      </c>
      <c r="N84" s="33">
        <f>IFERROR(__xludf.DUMMYFUNCTION("""COMPUTED_VALUE"""),0.8148148148148148)</f>
        <v>0.8148148148</v>
      </c>
      <c r="O84" s="4" t="str">
        <f>IFERROR(__xludf.DUMMYFUNCTION("""COMPUTED_VALUE"""),"Saipos Serviços De Software")</f>
        <v>Saipos Serviços De Software</v>
      </c>
      <c r="P84" s="33">
        <f>IFERROR(__xludf.DUMMYFUNCTION("""COMPUTED_VALUE"""),0.8333333333333334)</f>
        <v>0.8333333333</v>
      </c>
      <c r="Q84" s="4" t="str">
        <f>IFERROR(__xludf.DUMMYFUNCTION("""COMPUTED_VALUE"""),"Saipos Serviços De Software")</f>
        <v>Saipos Serviços De Software</v>
      </c>
      <c r="R84" s="33">
        <f>IFERROR(__xludf.DUMMYFUNCTION("""COMPUTED_VALUE"""),0.8796296296296297)</f>
        <v>0.8796296296</v>
      </c>
      <c r="S84" s="4" t="str">
        <f>IFERROR(__xludf.DUMMYFUNCTION("""COMPUTED_VALUE"""),"Saipos Serviços De Software")</f>
        <v>Saipos Serviços De Software</v>
      </c>
      <c r="T84" s="33">
        <f>IFERROR(__xludf.DUMMYFUNCTION("""COMPUTED_VALUE"""),0.8981481481481481)</f>
        <v>0.8981481481</v>
      </c>
      <c r="U84" s="4" t="str">
        <f>IFERROR(__xludf.DUMMYFUNCTION("""COMPUTED_VALUE"""),"Saipos Serviços De Software")</f>
        <v>Saipos Serviços De Software</v>
      </c>
      <c r="V84" s="33">
        <f>IFERROR(__xludf.DUMMYFUNCTION("""COMPUTED_VALUE"""),0.9351851851851852)</f>
        <v>0.9351851852</v>
      </c>
      <c r="W84" s="4" t="str">
        <f>IFERROR(__xludf.DUMMYFUNCTION("""COMPUTED_VALUE"""),"Saipos Serviços De Software")</f>
        <v>Saipos Serviços De Software</v>
      </c>
      <c r="X84" s="33">
        <f>IFERROR(__xludf.DUMMYFUNCTION("""COMPUTED_VALUE"""),0.9351851851851852)</f>
        <v>0.9351851852</v>
      </c>
    </row>
    <row r="85">
      <c r="A85" s="4" t="str">
        <f>IFERROR(__xludf.DUMMYFUNCTION("""COMPUTED_VALUE"""),"FEIJOADA DO ABÍLIO")</f>
        <v>FEIJOADA DO ABÍLIO</v>
      </c>
      <c r="B85" s="4">
        <f>IFERROR(__xludf.DUMMYFUNCTION("""COMPUTED_VALUE"""),3.0)</f>
        <v>3</v>
      </c>
      <c r="C85" s="30">
        <f>IFERROR(__xludf.DUMMYFUNCTION("""COMPUTED_VALUE"""),57.0)</f>
        <v>57</v>
      </c>
      <c r="D85" s="4" t="str">
        <f>IFERROR(__xludf.DUMMYFUNCTION("""COMPUTED_VALUE"""),"Fast Casual - Multi-conceito")</f>
        <v>Fast Casual - Multi-conceito</v>
      </c>
      <c r="E85" s="4" t="str">
        <f>IFERROR(__xludf.DUMMYFUNCTION("""COMPUTED_VALUE"""),"Interior SP")</f>
        <v>Interior SP</v>
      </c>
      <c r="F85" s="4" t="str">
        <f>IFERROR(__xludf.DUMMYFUNCTION("""COMPUTED_VALUE"""),"Dado não disponível publicamente - Necessário Discovery")</f>
        <v>Dado não disponível publicamente - Necessário Discovery</v>
      </c>
      <c r="G85" s="4">
        <f>IFERROR(__xludf.DUMMYFUNCTION("""COMPUTED_VALUE"""),65.0)</f>
        <v>65</v>
      </c>
      <c r="H85" s="31">
        <f>IFERROR(__xludf.DUMMYFUNCTION("""COMPUTED_VALUE"""),0.75)</f>
        <v>0.75</v>
      </c>
      <c r="I8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85" s="4" t="str">
        <f>IFERROR(__xludf.DUMMYFUNCTION("""COMPUTED_VALUE"""),"SUCAO")</f>
        <v>SUCAO</v>
      </c>
      <c r="L85" s="32">
        <f>IFERROR(__xludf.DUMMYFUNCTION("""COMPUTED_VALUE"""),108.0)</f>
        <v>108</v>
      </c>
      <c r="M85" s="4" t="str">
        <f>IFERROR(__xludf.DUMMYFUNCTION("""COMPUTED_VALUE"""),"E-deploy Retail")</f>
        <v>E-deploy Retail</v>
      </c>
      <c r="N85" s="33">
        <f>IFERROR(__xludf.DUMMYFUNCTION("""COMPUTED_VALUE"""),0.5648148148148148)</f>
        <v>0.5648148148</v>
      </c>
      <c r="O85" s="4" t="str">
        <f>IFERROR(__xludf.DUMMYFUNCTION("""COMPUTED_VALUE"""),"E-deploy Retail")</f>
        <v>E-deploy Retail</v>
      </c>
      <c r="P85" s="33">
        <f>IFERROR(__xludf.DUMMYFUNCTION("""COMPUTED_VALUE"""),0.5092592592592593)</f>
        <v>0.5092592593</v>
      </c>
      <c r="Q85" s="4" t="str">
        <f>IFERROR(__xludf.DUMMYFUNCTION("""COMPUTED_VALUE"""),"E-deploy Retail")</f>
        <v>E-deploy Retail</v>
      </c>
      <c r="R85" s="33">
        <f>IFERROR(__xludf.DUMMYFUNCTION("""COMPUTED_VALUE"""),0.46296296296296297)</f>
        <v>0.462962963</v>
      </c>
      <c r="S85" s="4" t="str">
        <f>IFERROR(__xludf.DUMMYFUNCTION("""COMPUTED_VALUE"""),"E-deploy Retail")</f>
        <v>E-deploy Retail</v>
      </c>
      <c r="T85" s="33">
        <f>IFERROR(__xludf.DUMMYFUNCTION("""COMPUTED_VALUE"""),0.48148148148148145)</f>
        <v>0.4814814815</v>
      </c>
      <c r="U85" s="4" t="str">
        <f>IFERROR(__xludf.DUMMYFUNCTION("""COMPUTED_VALUE"""),"E-deploy Retail")</f>
        <v>E-deploy Retail</v>
      </c>
      <c r="V85" s="33">
        <f>IFERROR(__xludf.DUMMYFUNCTION("""COMPUTED_VALUE"""),0.5370370370370371)</f>
        <v>0.537037037</v>
      </c>
      <c r="W85" s="4" t="str">
        <f>IFERROR(__xludf.DUMMYFUNCTION("""COMPUTED_VALUE"""),"E-deploy Retail")</f>
        <v>E-deploy Retail</v>
      </c>
      <c r="X85" s="33">
        <f>IFERROR(__xludf.DUMMYFUNCTION("""COMPUTED_VALUE"""),0.5740740740740741)</f>
        <v>0.5740740741</v>
      </c>
    </row>
    <row r="86">
      <c r="A86" s="4" t="str">
        <f>IFERROR(__xludf.DUMMYFUNCTION("""COMPUTED_VALUE"""),"FIORENTINA RISTORANTE E PIZZARIA")</f>
        <v>FIORENTINA RISTORANTE E PIZZARIA</v>
      </c>
      <c r="B86" s="4">
        <f>IFERROR(__xludf.DUMMYFUNCTION("""COMPUTED_VALUE"""),6.0)</f>
        <v>6</v>
      </c>
      <c r="C86" s="30">
        <f>IFERROR(__xludf.DUMMYFUNCTION("""COMPUTED_VALUE"""),58.0)</f>
        <v>58</v>
      </c>
      <c r="D86" s="4" t="str">
        <f>IFERROR(__xludf.DUMMYFUNCTION("""COMPUTED_VALUE"""),"Fast Casual - Pizzaria")</f>
        <v>Fast Casual - Pizzaria</v>
      </c>
      <c r="E86" s="4" t="str">
        <f>IFERROR(__xludf.DUMMYFUNCTION("""COMPUTED_VALUE"""),"Sul")</f>
        <v>Sul</v>
      </c>
      <c r="F86" s="4" t="str">
        <f>IFERROR(__xludf.DUMMYFUNCTION("""COMPUTED_VALUE"""),"Dado não disponível publicamente - Necessário Discovery")</f>
        <v>Dado não disponível publicamente - Necessário Discovery</v>
      </c>
      <c r="G86" s="4">
        <f>IFERROR(__xludf.DUMMYFUNCTION("""COMPUTED_VALUE"""),70.0)</f>
        <v>70</v>
      </c>
      <c r="H86" s="31">
        <f>IFERROR(__xludf.DUMMYFUNCTION("""COMPUTED_VALUE"""),0.75)</f>
        <v>0.75</v>
      </c>
      <c r="I8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86" s="4" t="str">
        <f>IFERROR(__xludf.DUMMYFUNCTION("""COMPUTED_VALUE"""),"ACAI DA BARRA")</f>
        <v>ACAI DA BARRA</v>
      </c>
      <c r="L86" s="32">
        <f>IFERROR(__xludf.DUMMYFUNCTION("""COMPUTED_VALUE"""),107.0)</f>
        <v>107</v>
      </c>
      <c r="M86" s="4" t="str">
        <f>IFERROR(__xludf.DUMMYFUNCTION("""COMPUTED_VALUE"""),"null")</f>
        <v>null</v>
      </c>
      <c r="N86" s="33">
        <f>IFERROR(__xludf.DUMMYFUNCTION("""COMPUTED_VALUE"""),0.4953271028037383)</f>
        <v>0.4953271028</v>
      </c>
      <c r="O86" s="4" t="str">
        <f>IFERROR(__xludf.DUMMYFUNCTION("""COMPUTED_VALUE"""),"null")</f>
        <v>null</v>
      </c>
      <c r="P86" s="33">
        <f>IFERROR(__xludf.DUMMYFUNCTION("""COMPUTED_VALUE"""),0.5420560747663551)</f>
        <v>0.5420560748</v>
      </c>
      <c r="Q86" s="4" t="str">
        <f>IFERROR(__xludf.DUMMYFUNCTION("""COMPUTED_VALUE"""),"null")</f>
        <v>null</v>
      </c>
      <c r="R86" s="33">
        <f>IFERROR(__xludf.DUMMYFUNCTION("""COMPUTED_VALUE"""),0.5420560747663551)</f>
        <v>0.5420560748</v>
      </c>
      <c r="S86" s="4" t="str">
        <f>IFERROR(__xludf.DUMMYFUNCTION("""COMPUTED_VALUE"""),"null")</f>
        <v>null</v>
      </c>
      <c r="T86" s="33">
        <f>IFERROR(__xludf.DUMMYFUNCTION("""COMPUTED_VALUE"""),0.5700934579439252)</f>
        <v>0.5700934579</v>
      </c>
      <c r="U86" s="4" t="str">
        <f>IFERROR(__xludf.DUMMYFUNCTION("""COMPUTED_VALUE"""),"null")</f>
        <v>null</v>
      </c>
      <c r="V86" s="33">
        <f>IFERROR(__xludf.DUMMYFUNCTION("""COMPUTED_VALUE"""),0.4953271028037383)</f>
        <v>0.4953271028</v>
      </c>
      <c r="W86" s="4" t="str">
        <f>IFERROR(__xludf.DUMMYFUNCTION("""COMPUTED_VALUE"""),"Inlive Consultoria")</f>
        <v>Inlive Consultoria</v>
      </c>
      <c r="X86" s="33">
        <f>IFERROR(__xludf.DUMMYFUNCTION("""COMPUTED_VALUE"""),0.5700934579439252)</f>
        <v>0.5700934579</v>
      </c>
    </row>
    <row r="87">
      <c r="A87" s="4" t="str">
        <f>IFERROR(__xludf.DUMMYFUNCTION("""COMPUTED_VALUE"""),"FRANGO PREDILETO")</f>
        <v>FRANGO PREDILETO</v>
      </c>
      <c r="B87" s="4">
        <f>IFERROR(__xludf.DUMMYFUNCTION("""COMPUTED_VALUE"""),5.0)</f>
        <v>5</v>
      </c>
      <c r="C87" s="30">
        <f>IFERROR(__xludf.DUMMYFUNCTION("""COMPUTED_VALUE"""),42.0)</f>
        <v>42</v>
      </c>
      <c r="D87" s="4" t="str">
        <f>IFERROR(__xludf.DUMMYFUNCTION("""COMPUTED_VALUE"""),"Fast Casual - Frango Assado")</f>
        <v>Fast Casual - Frango Assado</v>
      </c>
      <c r="E87" s="4" t="str">
        <f>IFERROR(__xludf.DUMMYFUNCTION("""COMPUTED_VALUE"""),"Fortaleza/CE")</f>
        <v>Fortaleza/CE</v>
      </c>
      <c r="F87" s="4" t="str">
        <f>IFERROR(__xludf.DUMMYFUNCTION("""COMPUTED_VALUE"""),"Dado não disponível publicamente - Necessário Discovery")</f>
        <v>Dado não disponível publicamente - Necessário Discovery</v>
      </c>
      <c r="G87" s="4">
        <f>IFERROR(__xludf.DUMMYFUNCTION("""COMPUTED_VALUE"""),70.0)</f>
        <v>70</v>
      </c>
      <c r="H87" s="31">
        <f>IFERROR(__xludf.DUMMYFUNCTION("""COMPUTED_VALUE"""),0.75)</f>
        <v>0.75</v>
      </c>
      <c r="I8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87" s="4" t="str">
        <f>IFERROR(__xludf.DUMMYFUNCTION("""COMPUTED_VALUE"""),"GRUPO PLURIX")</f>
        <v>GRUPO PLURIX</v>
      </c>
      <c r="L87" s="32">
        <f>IFERROR(__xludf.DUMMYFUNCTION("""COMPUTED_VALUE"""),105.0)</f>
        <v>105</v>
      </c>
      <c r="M87" s="4" t="str">
        <f>IFERROR(__xludf.DUMMYFUNCTION("""COMPUTED_VALUE"""),"N/A (Not found)")</f>
        <v>N/A (Not found)</v>
      </c>
      <c r="N87" s="33">
        <f>IFERROR(__xludf.DUMMYFUNCTION("""COMPUTED_VALUE"""),0.9714285714285714)</f>
        <v>0.9714285714</v>
      </c>
      <c r="O87" s="4" t="str">
        <f>IFERROR(__xludf.DUMMYFUNCTION("""COMPUTED_VALUE"""),"N/A (Not found)")</f>
        <v>N/A (Not found)</v>
      </c>
      <c r="P87" s="33">
        <f>IFERROR(__xludf.DUMMYFUNCTION("""COMPUTED_VALUE"""),0.9714285714285714)</f>
        <v>0.9714285714</v>
      </c>
      <c r="Q87" s="4" t="str">
        <f>IFERROR(__xludf.DUMMYFUNCTION("""COMPUTED_VALUE"""),"N/A (Not found)")</f>
        <v>N/A (Not found)</v>
      </c>
      <c r="R87" s="33">
        <f>IFERROR(__xludf.DUMMYFUNCTION("""COMPUTED_VALUE"""),0.9714285714285714)</f>
        <v>0.9714285714</v>
      </c>
      <c r="S87" s="4" t="str">
        <f>IFERROR(__xludf.DUMMYFUNCTION("""COMPUTED_VALUE"""),"N/A (Not found)")</f>
        <v>N/A (Not found)</v>
      </c>
      <c r="T87" s="33">
        <f>IFERROR(__xludf.DUMMYFUNCTION("""COMPUTED_VALUE"""),0.9523809523809523)</f>
        <v>0.9523809524</v>
      </c>
      <c r="U87" s="4" t="str">
        <f>IFERROR(__xludf.DUMMYFUNCTION("""COMPUTED_VALUE"""),"N/A (Not found)")</f>
        <v>N/A (Not found)</v>
      </c>
      <c r="V87" s="33">
        <f>IFERROR(__xludf.DUMMYFUNCTION("""COMPUTED_VALUE"""),0.9619047619047619)</f>
        <v>0.9619047619</v>
      </c>
      <c r="W87" s="4" t="str">
        <f>IFERROR(__xludf.DUMMYFUNCTION("""COMPUTED_VALUE"""),"N/A (Not found)")</f>
        <v>N/A (Not found)</v>
      </c>
      <c r="X87" s="33">
        <f>IFERROR(__xludf.DUMMYFUNCTION("""COMPUTED_VALUE"""),0.9523809523809523)</f>
        <v>0.9523809524</v>
      </c>
    </row>
    <row r="88">
      <c r="A88" s="4" t="str">
        <f>IFERROR(__xludf.DUMMYFUNCTION("""COMPUTED_VALUE"""),"FRIGIDEIRA GRILL")</f>
        <v>FRIGIDEIRA GRILL</v>
      </c>
      <c r="B88" s="4">
        <f>IFERROR(__xludf.DUMMYFUNCTION("""COMPUTED_VALUE"""),2.0)</f>
        <v>2</v>
      </c>
      <c r="C88" s="30">
        <f>IFERROR(__xludf.DUMMYFUNCTION("""COMPUTED_VALUE"""),127.0)</f>
        <v>127</v>
      </c>
      <c r="D88" s="4" t="str">
        <f>IFERROR(__xludf.DUMMYFUNCTION("""COMPUTED_VALUE"""),"Table Service - Churrascaria")</f>
        <v>Table Service - Churrascaria</v>
      </c>
      <c r="E88" s="4" t="str">
        <f>IFERROR(__xludf.DUMMYFUNCTION("""COMPUTED_VALUE"""),"Regional")</f>
        <v>Regional</v>
      </c>
      <c r="F88" s="4" t="str">
        <f>IFERROR(__xludf.DUMMYFUNCTION("""COMPUTED_VALUE"""),"Dado não disponível publicamente - Necessário Discovery")</f>
        <v>Dado não disponível publicamente - Necessário Discovery</v>
      </c>
      <c r="G88" s="4">
        <f>IFERROR(__xludf.DUMMYFUNCTION("""COMPUTED_VALUE"""),55.0)</f>
        <v>55</v>
      </c>
      <c r="H88" s="31">
        <f>IFERROR(__xludf.DUMMYFUNCTION("""COMPUTED_VALUE"""),0.65)</f>
        <v>0.65</v>
      </c>
      <c r="I8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88" s="4" t="str">
        <f>IFERROR(__xludf.DUMMYFUNCTION("""COMPUTED_VALUE"""),"ASSAI ATACADISTA - CONTA PAI GRUPO")</f>
        <v>ASSAI ATACADISTA - CONTA PAI GRUPO</v>
      </c>
      <c r="L88" s="32">
        <f>IFERROR(__xludf.DUMMYFUNCTION("""COMPUTED_VALUE"""),105.0)</f>
        <v>105</v>
      </c>
      <c r="M88" s="4" t="str">
        <f>IFERROR(__xludf.DUMMYFUNCTION("""COMPUTED_VALUE"""),"N/A (Not found)")</f>
        <v>N/A (Not found)</v>
      </c>
      <c r="N88" s="33">
        <f>IFERROR(__xludf.DUMMYFUNCTION("""COMPUTED_VALUE"""),0.5333333333333333)</f>
        <v>0.5333333333</v>
      </c>
      <c r="O88" s="4" t="str">
        <f>IFERROR(__xludf.DUMMYFUNCTION("""COMPUTED_VALUE"""),"N/A (Not found)")</f>
        <v>N/A (Not found)</v>
      </c>
      <c r="P88" s="33">
        <f>IFERROR(__xludf.DUMMYFUNCTION("""COMPUTED_VALUE"""),0.5333333333333333)</f>
        <v>0.5333333333</v>
      </c>
      <c r="Q88" s="4" t="str">
        <f>IFERROR(__xludf.DUMMYFUNCTION("""COMPUTED_VALUE"""),"N/A (Not found)")</f>
        <v>N/A (Not found)</v>
      </c>
      <c r="R88" s="33">
        <f>IFERROR(__xludf.DUMMYFUNCTION("""COMPUTED_VALUE"""),0.7904761904761904)</f>
        <v>0.7904761905</v>
      </c>
      <c r="S88" s="4" t="str">
        <f>IFERROR(__xludf.DUMMYFUNCTION("""COMPUTED_VALUE"""),"N/A (Not found)")</f>
        <v>N/A (Not found)</v>
      </c>
      <c r="T88" s="33">
        <f>IFERROR(__xludf.DUMMYFUNCTION("""COMPUTED_VALUE"""),0.9904761904761905)</f>
        <v>0.9904761905</v>
      </c>
      <c r="U88" s="4" t="str">
        <f>IFERROR(__xludf.DUMMYFUNCTION("""COMPUTED_VALUE"""),"N/A (Not found)")</f>
        <v>N/A (Not found)</v>
      </c>
      <c r="V88" s="33">
        <f>IFERROR(__xludf.DUMMYFUNCTION("""COMPUTED_VALUE"""),0.9904761904761905)</f>
        <v>0.9904761905</v>
      </c>
      <c r="W88" s="4" t="str">
        <f>IFERROR(__xludf.DUMMYFUNCTION("""COMPUTED_VALUE"""),"N/A (Not found)")</f>
        <v>N/A (Not found)</v>
      </c>
      <c r="X88" s="33">
        <f>IFERROR(__xludf.DUMMYFUNCTION("""COMPUTED_VALUE"""),0.9904761904761905)</f>
        <v>0.9904761905</v>
      </c>
    </row>
    <row r="89">
      <c r="A89" s="4" t="str">
        <f>IFERROR(__xludf.DUMMYFUNCTION("""COMPUTED_VALUE"""),"GALETO SÃO LUIZ")</f>
        <v>GALETO SÃO LUIZ</v>
      </c>
      <c r="B89" s="4">
        <f>IFERROR(__xludf.DUMMYFUNCTION("""COMPUTED_VALUE"""),8.0)</f>
        <v>8</v>
      </c>
      <c r="C89" s="30">
        <f>IFERROR(__xludf.DUMMYFUNCTION("""COMPUTED_VALUE"""),60.0)</f>
        <v>60</v>
      </c>
      <c r="D89" s="4" t="str">
        <f>IFERROR(__xludf.DUMMYFUNCTION("""COMPUTED_VALUE"""),"Fast Casual - Frango")</f>
        <v>Fast Casual - Frango</v>
      </c>
      <c r="E89" s="4" t="str">
        <f>IFERROR(__xludf.DUMMYFUNCTION("""COMPUTED_VALUE"""),"Nacional")</f>
        <v>Nacional</v>
      </c>
      <c r="F89" s="4" t="str">
        <f>IFERROR(__xludf.DUMMYFUNCTION("""COMPUTED_VALUE"""),"Dado não disponível publicamente - Necessário Discovery")</f>
        <v>Dado não disponível publicamente - Necessário Discovery</v>
      </c>
      <c r="G89" s="4">
        <f>IFERROR(__xludf.DUMMYFUNCTION("""COMPUTED_VALUE"""),70.0)</f>
        <v>70</v>
      </c>
      <c r="H89" s="31">
        <f>IFERROR(__xludf.DUMMYFUNCTION("""COMPUTED_VALUE"""),0.75)</f>
        <v>0.75</v>
      </c>
      <c r="I8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89" s="4" t="str">
        <f>IFERROR(__xludf.DUMMYFUNCTION("""COMPUTED_VALUE"""),"GRUPO MINEIRO DELIVERY")</f>
        <v>GRUPO MINEIRO DELIVERY</v>
      </c>
      <c r="L89" s="32">
        <f>IFERROR(__xludf.DUMMYFUNCTION("""COMPUTED_VALUE"""),104.0)</f>
        <v>104</v>
      </c>
      <c r="M89" s="4" t="str">
        <f>IFERROR(__xludf.DUMMYFUNCTION("""COMPUTED_VALUE"""),"Saipos Serviços De Software")</f>
        <v>Saipos Serviços De Software</v>
      </c>
      <c r="N89" s="33">
        <f>IFERROR(__xludf.DUMMYFUNCTION("""COMPUTED_VALUE"""),0.8257575757575758)</f>
        <v>0.8257575758</v>
      </c>
      <c r="O89" s="4" t="str">
        <f>IFERROR(__xludf.DUMMYFUNCTION("""COMPUTED_VALUE"""),"Saipos Serviços De Software")</f>
        <v>Saipos Serviços De Software</v>
      </c>
      <c r="P89" s="33">
        <f>IFERROR(__xludf.DUMMYFUNCTION("""COMPUTED_VALUE"""),0.8106060606060606)</f>
        <v>0.8106060606</v>
      </c>
      <c r="Q89" s="4" t="str">
        <f>IFERROR(__xludf.DUMMYFUNCTION("""COMPUTED_VALUE"""),"Saipos Serviços De Software")</f>
        <v>Saipos Serviços De Software</v>
      </c>
      <c r="R89" s="33">
        <f>IFERROR(__xludf.DUMMYFUNCTION("""COMPUTED_VALUE"""),0.8484848484848485)</f>
        <v>0.8484848485</v>
      </c>
      <c r="S89" s="4" t="str">
        <f>IFERROR(__xludf.DUMMYFUNCTION("""COMPUTED_VALUE"""),"Saipos Serviços De Software")</f>
        <v>Saipos Serviços De Software</v>
      </c>
      <c r="T89" s="33">
        <f>IFERROR(__xludf.DUMMYFUNCTION("""COMPUTED_VALUE"""),0.8409090909090909)</f>
        <v>0.8409090909</v>
      </c>
      <c r="U89" s="4" t="str">
        <f>IFERROR(__xludf.DUMMYFUNCTION("""COMPUTED_VALUE"""),"Saipos Serviços De Software")</f>
        <v>Saipos Serviços De Software</v>
      </c>
      <c r="V89" s="33">
        <f>IFERROR(__xludf.DUMMYFUNCTION("""COMPUTED_VALUE"""),0.8484848484848485)</f>
        <v>0.8484848485</v>
      </c>
      <c r="W89" s="4" t="str">
        <f>IFERROR(__xludf.DUMMYFUNCTION("""COMPUTED_VALUE"""),"Saipos Serviços De Software")</f>
        <v>Saipos Serviços De Software</v>
      </c>
      <c r="X89" s="33">
        <f>IFERROR(__xludf.DUMMYFUNCTION("""COMPUTED_VALUE"""),0.8333333333333334)</f>
        <v>0.8333333333</v>
      </c>
    </row>
    <row r="90">
      <c r="A90" s="4" t="str">
        <f>IFERROR(__xludf.DUMMYFUNCTION("""COMPUTED_VALUE"""),"GALETUS - MARCA")</f>
        <v>GALETUS - MARCA</v>
      </c>
      <c r="B90" s="4">
        <f>IFERROR(__xludf.DUMMYFUNCTION("""COMPUTED_VALUE"""),5.0)</f>
        <v>5</v>
      </c>
      <c r="C90" s="30">
        <f>IFERROR(__xludf.DUMMYFUNCTION("""COMPUTED_VALUE"""),48.0)</f>
        <v>48</v>
      </c>
      <c r="D90" s="4" t="str">
        <f>IFERROR(__xludf.DUMMYFUNCTION("""COMPUTED_VALUE"""),"Fast Casual - Galeto/Frango")</f>
        <v>Fast Casual - Galeto/Frango</v>
      </c>
      <c r="E90" s="4" t="str">
        <f>IFERROR(__xludf.DUMMYFUNCTION("""COMPUTED_VALUE"""),"São Paulo/SP e Recife/PE (regional)")</f>
        <v>São Paulo/SP e Recife/PE (regional)</v>
      </c>
      <c r="F90" s="4" t="str">
        <f>IFERROR(__xludf.DUMMYFUNCTION("""COMPUTED_VALUE"""),"Dado não disponível publicamente - Necessário Discovery")</f>
        <v>Dado não disponível publicamente - Necessário Discovery</v>
      </c>
      <c r="G90" s="4">
        <f>IFERROR(__xludf.DUMMYFUNCTION("""COMPUTED_VALUE"""),70.0)</f>
        <v>70</v>
      </c>
      <c r="H90" s="31">
        <f>IFERROR(__xludf.DUMMYFUNCTION("""COMPUTED_VALUE"""),0.75)</f>
        <v>0.75</v>
      </c>
      <c r="I9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90" s="4" t="str">
        <f>IFERROR(__xludf.DUMMYFUNCTION("""COMPUTED_VALUE"""),"GRUPO MATSURI")</f>
        <v>GRUPO MATSURI</v>
      </c>
      <c r="L90" s="32">
        <f>IFERROR(__xludf.DUMMYFUNCTION("""COMPUTED_VALUE"""),104.0)</f>
        <v>104</v>
      </c>
      <c r="M90" s="4" t="str">
        <f>IFERROR(__xludf.DUMMYFUNCTION("""COMPUTED_VALUE"""),"Saipos Serviços De Software")</f>
        <v>Saipos Serviços De Software</v>
      </c>
      <c r="N90" s="33">
        <f>IFERROR(__xludf.DUMMYFUNCTION("""COMPUTED_VALUE"""),0.8173076923076923)</f>
        <v>0.8173076923</v>
      </c>
      <c r="O90" s="4" t="str">
        <f>IFERROR(__xludf.DUMMYFUNCTION("""COMPUTED_VALUE"""),"Saipos Serviços De Software")</f>
        <v>Saipos Serviços De Software</v>
      </c>
      <c r="P90" s="33">
        <f>IFERROR(__xludf.DUMMYFUNCTION("""COMPUTED_VALUE"""),0.8076923076923077)</f>
        <v>0.8076923077</v>
      </c>
      <c r="Q90" s="4" t="str">
        <f>IFERROR(__xludf.DUMMYFUNCTION("""COMPUTED_VALUE"""),"Saipos Serviços De Software")</f>
        <v>Saipos Serviços De Software</v>
      </c>
      <c r="R90" s="33">
        <f>IFERROR(__xludf.DUMMYFUNCTION("""COMPUTED_VALUE"""),0.8365384615384616)</f>
        <v>0.8365384615</v>
      </c>
      <c r="S90" s="4" t="str">
        <f>IFERROR(__xludf.DUMMYFUNCTION("""COMPUTED_VALUE"""),"Saipos Serviços De Software")</f>
        <v>Saipos Serviços De Software</v>
      </c>
      <c r="T90" s="33">
        <f>IFERROR(__xludf.DUMMYFUNCTION("""COMPUTED_VALUE"""),0.8653846153846154)</f>
        <v>0.8653846154</v>
      </c>
      <c r="U90" s="4" t="str">
        <f>IFERROR(__xludf.DUMMYFUNCTION("""COMPUTED_VALUE"""),"Saipos Serviços De Software")</f>
        <v>Saipos Serviços De Software</v>
      </c>
      <c r="V90" s="33">
        <f>IFERROR(__xludf.DUMMYFUNCTION("""COMPUTED_VALUE"""),0.8653846153846154)</f>
        <v>0.8653846154</v>
      </c>
      <c r="W90" s="4" t="str">
        <f>IFERROR(__xludf.DUMMYFUNCTION("""COMPUTED_VALUE"""),"Saipos Serviços De Software")</f>
        <v>Saipos Serviços De Software</v>
      </c>
      <c r="X90" s="33">
        <f>IFERROR(__xludf.DUMMYFUNCTION("""COMPUTED_VALUE"""),0.8653846153846154)</f>
        <v>0.8653846154</v>
      </c>
    </row>
    <row r="91">
      <c r="A91" s="4" t="str">
        <f>IFERROR(__xludf.DUMMYFUNCTION("""COMPUTED_VALUE"""),"GELATI ARTIGIANALE")</f>
        <v>GELATI ARTIGIANALE</v>
      </c>
      <c r="B91" s="4">
        <f>IFERROR(__xludf.DUMMYFUNCTION("""COMPUTED_VALUE"""),6.0)</f>
        <v>6</v>
      </c>
      <c r="C91" s="30">
        <f>IFERROR(__xludf.DUMMYFUNCTION("""COMPUTED_VALUE"""),58.0)</f>
        <v>58</v>
      </c>
      <c r="D91" s="4" t="str">
        <f>IFERROR(__xludf.DUMMYFUNCTION("""COMPUTED_VALUE"""),"Fast Casual - Multi-conceito")</f>
        <v>Fast Casual - Multi-conceito</v>
      </c>
      <c r="E91" s="4" t="str">
        <f>IFERROR(__xludf.DUMMYFUNCTION("""COMPUTED_VALUE"""),"Brasília/DF")</f>
        <v>Brasília/DF</v>
      </c>
      <c r="F91" s="4" t="str">
        <f>IFERROR(__xludf.DUMMYFUNCTION("""COMPUTED_VALUE"""),"Dado não disponível publicamente - Necessário Discovery")</f>
        <v>Dado não disponível publicamente - Necessário Discovery</v>
      </c>
      <c r="G91" s="4">
        <f>IFERROR(__xludf.DUMMYFUNCTION("""COMPUTED_VALUE"""),70.0)</f>
        <v>70</v>
      </c>
      <c r="H91" s="31">
        <f>IFERROR(__xludf.DUMMYFUNCTION("""COMPUTED_VALUE"""),0.75)</f>
        <v>0.75</v>
      </c>
      <c r="I9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91" s="4" t="str">
        <f>IFERROR(__xludf.DUMMYFUNCTION("""COMPUTED_VALUE"""),"MUFFATO - CONTA GRUPO")</f>
        <v>MUFFATO - CONTA GRUPO</v>
      </c>
      <c r="L91" s="32">
        <f>IFERROR(__xludf.DUMMYFUNCTION("""COMPUTED_VALUE"""),104.0)</f>
        <v>104</v>
      </c>
      <c r="M91" s="4" t="str">
        <f>IFERROR(__xludf.DUMMYFUNCTION("""COMPUTED_VALUE"""),"N/A (Not found)")</f>
        <v>N/A (Not found)</v>
      </c>
      <c r="N91" s="33">
        <f>IFERROR(__xludf.DUMMYFUNCTION("""COMPUTED_VALUE"""),0.6666666666666666)</f>
        <v>0.6666666667</v>
      </c>
      <c r="O91" s="4" t="str">
        <f>IFERROR(__xludf.DUMMYFUNCTION("""COMPUTED_VALUE"""),"N/A (Not found)")</f>
        <v>N/A (Not found)</v>
      </c>
      <c r="P91" s="33">
        <f>IFERROR(__xludf.DUMMYFUNCTION("""COMPUTED_VALUE"""),0.6666666666666666)</f>
        <v>0.6666666667</v>
      </c>
      <c r="Q91" s="4" t="str">
        <f>IFERROR(__xludf.DUMMYFUNCTION("""COMPUTED_VALUE"""),"N/A (Not found)")</f>
        <v>N/A (Not found)</v>
      </c>
      <c r="R91" s="33">
        <f>IFERROR(__xludf.DUMMYFUNCTION("""COMPUTED_VALUE"""),0.7142857142857143)</f>
        <v>0.7142857143</v>
      </c>
      <c r="S91" s="4" t="str">
        <f>IFERROR(__xludf.DUMMYFUNCTION("""COMPUTED_VALUE"""),"N/A (Not found)")</f>
        <v>N/A (Not found)</v>
      </c>
      <c r="T91" s="33">
        <f>IFERROR(__xludf.DUMMYFUNCTION("""COMPUTED_VALUE"""),0.9809523809523809)</f>
        <v>0.980952381</v>
      </c>
      <c r="U91" s="4" t="str">
        <f>IFERROR(__xludf.DUMMYFUNCTION("""COMPUTED_VALUE"""),"N/A (Not found)")</f>
        <v>N/A (Not found)</v>
      </c>
      <c r="V91" s="33">
        <f>IFERROR(__xludf.DUMMYFUNCTION("""COMPUTED_VALUE"""),0.9904761904761905)</f>
        <v>0.9904761905</v>
      </c>
      <c r="W91" s="4" t="str">
        <f>IFERROR(__xludf.DUMMYFUNCTION("""COMPUTED_VALUE"""),"N/A (Not found)")</f>
        <v>N/A (Not found)</v>
      </c>
      <c r="X91" s="33">
        <f>IFERROR(__xludf.DUMMYFUNCTION("""COMPUTED_VALUE"""),1.0)</f>
        <v>1</v>
      </c>
    </row>
    <row r="92">
      <c r="A92" s="4" t="str">
        <f>IFERROR(__xludf.DUMMYFUNCTION("""COMPUTED_VALUE"""),"GELATO BORELLI")</f>
        <v>GELATO BORELLI</v>
      </c>
      <c r="B92" s="4">
        <f>IFERROR(__xludf.DUMMYFUNCTION("""COMPUTED_VALUE"""),7.0)</f>
        <v>7</v>
      </c>
      <c r="C92" s="30">
        <f>IFERROR(__xludf.DUMMYFUNCTION("""COMPUTED_VALUE"""),37.0)</f>
        <v>37</v>
      </c>
      <c r="D92" s="4" t="str">
        <f>IFERROR(__xludf.DUMMYFUNCTION("""COMPUTED_VALUE"""),"Fast Casual - Sorveteria")</f>
        <v>Fast Casual - Sorveteria</v>
      </c>
      <c r="E92" s="4" t="str">
        <f>IFERROR(__xludf.DUMMYFUNCTION("""COMPUTED_VALUE"""),"Regional")</f>
        <v>Regional</v>
      </c>
      <c r="F92" s="4" t="str">
        <f>IFERROR(__xludf.DUMMYFUNCTION("""COMPUTED_VALUE"""),"Dado não disponível publicamente - Necessário Discovery")</f>
        <v>Dado não disponível publicamente - Necessário Discovery</v>
      </c>
      <c r="G92" s="4">
        <f>IFERROR(__xludf.DUMMYFUNCTION("""COMPUTED_VALUE"""),70.0)</f>
        <v>70</v>
      </c>
      <c r="H92" s="31">
        <f>IFERROR(__xludf.DUMMYFUNCTION("""COMPUTED_VALUE"""),0.75)</f>
        <v>0.75</v>
      </c>
      <c r="I9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92" s="4" t="str">
        <f>IFERROR(__xludf.DUMMYFUNCTION("""COMPUTED_VALUE"""),"GRUPO TAPAJOS")</f>
        <v>GRUPO TAPAJOS</v>
      </c>
      <c r="L92" s="32">
        <f>IFERROR(__xludf.DUMMYFUNCTION("""COMPUTED_VALUE"""),102.0)</f>
        <v>102</v>
      </c>
      <c r="M92" s="4" t="str">
        <f>IFERROR(__xludf.DUMMYFUNCTION("""COMPUTED_VALUE"""),"N/A (Not found)")</f>
        <v>N/A (Not found)</v>
      </c>
      <c r="N92" s="33">
        <f>IFERROR(__xludf.DUMMYFUNCTION("""COMPUTED_VALUE"""),0.9803921568627451)</f>
        <v>0.9803921569</v>
      </c>
      <c r="O92" s="4" t="str">
        <f>IFERROR(__xludf.DUMMYFUNCTION("""COMPUTED_VALUE"""),"N/A (Not found)")</f>
        <v>N/A (Not found)</v>
      </c>
      <c r="P92" s="33">
        <f>IFERROR(__xludf.DUMMYFUNCTION("""COMPUTED_VALUE"""),0.9803921568627451)</f>
        <v>0.9803921569</v>
      </c>
      <c r="Q92" s="4" t="str">
        <f>IFERROR(__xludf.DUMMYFUNCTION("""COMPUTED_VALUE"""),"N/A (Not found)")</f>
        <v>N/A (Not found)</v>
      </c>
      <c r="R92" s="33">
        <f>IFERROR(__xludf.DUMMYFUNCTION("""COMPUTED_VALUE"""),0.9705882352941176)</f>
        <v>0.9705882353</v>
      </c>
      <c r="S92" s="4" t="str">
        <f>IFERROR(__xludf.DUMMYFUNCTION("""COMPUTED_VALUE"""),"N/A (Not found)")</f>
        <v>N/A (Not found)</v>
      </c>
      <c r="T92" s="33">
        <f>IFERROR(__xludf.DUMMYFUNCTION("""COMPUTED_VALUE"""),0.9705882352941176)</f>
        <v>0.9705882353</v>
      </c>
      <c r="U92" s="4" t="str">
        <f>IFERROR(__xludf.DUMMYFUNCTION("""COMPUTED_VALUE"""),"N/A (Not found)")</f>
        <v>N/A (Not found)</v>
      </c>
      <c r="V92" s="33">
        <f>IFERROR(__xludf.DUMMYFUNCTION("""COMPUTED_VALUE"""),0.9705882352941176)</f>
        <v>0.9705882353</v>
      </c>
      <c r="W92" s="4" t="str">
        <f>IFERROR(__xludf.DUMMYFUNCTION("""COMPUTED_VALUE"""),"N/A (Not found)")</f>
        <v>N/A (Not found)</v>
      </c>
      <c r="X92" s="33">
        <f>IFERROR(__xludf.DUMMYFUNCTION("""COMPUTED_VALUE"""),0.9509803921568627)</f>
        <v>0.9509803922</v>
      </c>
    </row>
    <row r="93">
      <c r="A93" s="4" t="str">
        <f>IFERROR(__xludf.DUMMYFUNCTION("""COMPUTED_VALUE"""),"GO YAKISOBA")</f>
        <v>GO YAKISOBA</v>
      </c>
      <c r="B93" s="4">
        <f>IFERROR(__xludf.DUMMYFUNCTION("""COMPUTED_VALUE"""),8.0)</f>
        <v>8</v>
      </c>
      <c r="C93" s="30">
        <f>IFERROR(__xludf.DUMMYFUNCTION("""COMPUTED_VALUE"""),51.0)</f>
        <v>51</v>
      </c>
      <c r="D93" s="4" t="str">
        <f>IFERROR(__xludf.DUMMYFUNCTION("""COMPUTED_VALUE"""),"Fast Casual - Oriental")</f>
        <v>Fast Casual - Oriental</v>
      </c>
      <c r="E93" s="4" t="str">
        <f>IFERROR(__xludf.DUMMYFUNCTION("""COMPUTED_VALUE"""),"Nacional")</f>
        <v>Nacional</v>
      </c>
      <c r="F93" s="4" t="str">
        <f>IFERROR(__xludf.DUMMYFUNCTION("""COMPUTED_VALUE"""),"Dado não disponível publicamente - Necessário Discovery")</f>
        <v>Dado não disponível publicamente - Necessário Discovery</v>
      </c>
      <c r="G93" s="4">
        <f>IFERROR(__xludf.DUMMYFUNCTION("""COMPUTED_VALUE"""),70.0)</f>
        <v>70</v>
      </c>
      <c r="H93" s="31">
        <f>IFERROR(__xludf.DUMMYFUNCTION("""COMPUTED_VALUE"""),0.75)</f>
        <v>0.75</v>
      </c>
      <c r="I9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93" s="4" t="str">
        <f>IFERROR(__xludf.DUMMYFUNCTION("""COMPUTED_VALUE"""),"GRUPO GRANADO")</f>
        <v>GRUPO GRANADO</v>
      </c>
      <c r="L93" s="32">
        <f>IFERROR(__xludf.DUMMYFUNCTION("""COMPUTED_VALUE"""),101.0)</f>
        <v>101</v>
      </c>
      <c r="M93" s="4" t="str">
        <f>IFERROR(__xludf.DUMMYFUNCTION("""COMPUTED_VALUE"""),"N/A (Not found)")</f>
        <v>N/A (Not found)</v>
      </c>
      <c r="N93" s="33">
        <f>IFERROR(__xludf.DUMMYFUNCTION("""COMPUTED_VALUE"""),0.9702970297029703)</f>
        <v>0.9702970297</v>
      </c>
      <c r="O93" s="4" t="str">
        <f>IFERROR(__xludf.DUMMYFUNCTION("""COMPUTED_VALUE"""),"N/A (Not found)")</f>
        <v>N/A (Not found)</v>
      </c>
      <c r="P93" s="33">
        <f>IFERROR(__xludf.DUMMYFUNCTION("""COMPUTED_VALUE"""),0.9504950495049505)</f>
        <v>0.9504950495</v>
      </c>
      <c r="Q93" s="4" t="str">
        <f>IFERROR(__xludf.DUMMYFUNCTION("""COMPUTED_VALUE"""),"N/A (Not found)")</f>
        <v>N/A (Not found)</v>
      </c>
      <c r="R93" s="33">
        <f>IFERROR(__xludf.DUMMYFUNCTION("""COMPUTED_VALUE"""),0.9306930693069307)</f>
        <v>0.9306930693</v>
      </c>
      <c r="S93" s="4" t="str">
        <f>IFERROR(__xludf.DUMMYFUNCTION("""COMPUTED_VALUE"""),"N/A (Not found)")</f>
        <v>N/A (Not found)</v>
      </c>
      <c r="T93" s="33">
        <f>IFERROR(__xludf.DUMMYFUNCTION("""COMPUTED_VALUE"""),0.9504950495049505)</f>
        <v>0.9504950495</v>
      </c>
      <c r="U93" s="4" t="str">
        <f>IFERROR(__xludf.DUMMYFUNCTION("""COMPUTED_VALUE"""),"N/A (Not found)")</f>
        <v>N/A (Not found)</v>
      </c>
      <c r="V93" s="33">
        <f>IFERROR(__xludf.DUMMYFUNCTION("""COMPUTED_VALUE"""),0.9702970297029703)</f>
        <v>0.9702970297</v>
      </c>
      <c r="W93" s="4" t="str">
        <f>IFERROR(__xludf.DUMMYFUNCTION("""COMPUTED_VALUE"""),"N/A (Not found)")</f>
        <v>N/A (Not found)</v>
      </c>
      <c r="X93" s="33">
        <f>IFERROR(__xludf.DUMMYFUNCTION("""COMPUTED_VALUE"""),0.9702970297029703)</f>
        <v>0.9702970297</v>
      </c>
    </row>
    <row r="94">
      <c r="A94" s="4" t="str">
        <f>IFERROR(__xludf.DUMMYFUNCTION("""COMPUTED_VALUE"""),"GRACCO BURGER")</f>
        <v>GRACCO BURGER</v>
      </c>
      <c r="B94" s="4">
        <f>IFERROR(__xludf.DUMMYFUNCTION("""COMPUTED_VALUE"""),18.0)</f>
        <v>18</v>
      </c>
      <c r="C94" s="30">
        <f>IFERROR(__xludf.DUMMYFUNCTION("""COMPUTED_VALUE"""),78.0)</f>
        <v>78</v>
      </c>
      <c r="D94" s="4" t="str">
        <f>IFERROR(__xludf.DUMMYFUNCTION("""COMPUTED_VALUE"""),"Fast Casual - Hamburgueria")</f>
        <v>Fast Casual - Hamburgueria</v>
      </c>
      <c r="E94" s="4" t="str">
        <f>IFERROR(__xludf.DUMMYFUNCTION("""COMPUTED_VALUE"""),"Brasília/DF")</f>
        <v>Brasília/DF</v>
      </c>
      <c r="F94" s="4" t="str">
        <f>IFERROR(__xludf.DUMMYFUNCTION("""COMPUTED_VALUE"""),"Dado não disponível publicamente - Necessário Discovery")</f>
        <v>Dado não disponível publicamente - Necessário Discovery</v>
      </c>
      <c r="G94" s="4">
        <f>IFERROR(__xludf.DUMMYFUNCTION("""COMPUTED_VALUE"""),70.0)</f>
        <v>70</v>
      </c>
      <c r="H94" s="31">
        <f>IFERROR(__xludf.DUMMYFUNCTION("""COMPUTED_VALUE"""),0.8)</f>
        <v>0.8</v>
      </c>
      <c r="I94"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94" s="4" t="str">
        <f>IFERROR(__xludf.DUMMYFUNCTION("""COMPUTED_VALUE"""),"GRUPO HYPPER")</f>
        <v>GRUPO HYPPER</v>
      </c>
      <c r="L94" s="32">
        <f>IFERROR(__xludf.DUMMYFUNCTION("""COMPUTED_VALUE"""),99.0)</f>
        <v>99</v>
      </c>
      <c r="M94" s="4" t="str">
        <f>IFERROR(__xludf.DUMMYFUNCTION("""COMPUTED_VALUE"""),"Alfa Labs")</f>
        <v>Alfa Labs</v>
      </c>
      <c r="N94" s="33">
        <f>IFERROR(__xludf.DUMMYFUNCTION("""COMPUTED_VALUE"""),0.48484848484848486)</f>
        <v>0.4848484848</v>
      </c>
      <c r="O94" s="4" t="str">
        <f>IFERROR(__xludf.DUMMYFUNCTION("""COMPUTED_VALUE"""),"Alfa Labs")</f>
        <v>Alfa Labs</v>
      </c>
      <c r="P94" s="33">
        <f>IFERROR(__xludf.DUMMYFUNCTION("""COMPUTED_VALUE"""),0.42424242424242425)</f>
        <v>0.4242424242</v>
      </c>
      <c r="Q94" s="4" t="str">
        <f>IFERROR(__xludf.DUMMYFUNCTION("""COMPUTED_VALUE"""),"null")</f>
        <v>null</v>
      </c>
      <c r="R94" s="33">
        <f>IFERROR(__xludf.DUMMYFUNCTION("""COMPUTED_VALUE"""),0.41414141414141414)</f>
        <v>0.4141414141</v>
      </c>
      <c r="S94" s="4" t="str">
        <f>IFERROR(__xludf.DUMMYFUNCTION("""COMPUTED_VALUE"""),"null")</f>
        <v>null</v>
      </c>
      <c r="T94" s="33">
        <f>IFERROR(__xludf.DUMMYFUNCTION("""COMPUTED_VALUE"""),0.5252525252525253)</f>
        <v>0.5252525253</v>
      </c>
      <c r="U94" s="4" t="str">
        <f>IFERROR(__xludf.DUMMYFUNCTION("""COMPUTED_VALUE"""),"null")</f>
        <v>null</v>
      </c>
      <c r="V94" s="33">
        <f>IFERROR(__xludf.DUMMYFUNCTION("""COMPUTED_VALUE"""),0.6060606060606061)</f>
        <v>0.6060606061</v>
      </c>
      <c r="W94" s="4" t="str">
        <f>IFERROR(__xludf.DUMMYFUNCTION("""COMPUTED_VALUE"""),"null")</f>
        <v>null</v>
      </c>
      <c r="X94" s="33">
        <f>IFERROR(__xludf.DUMMYFUNCTION("""COMPUTED_VALUE"""),0.6161616161616161)</f>
        <v>0.6161616162</v>
      </c>
    </row>
    <row r="95">
      <c r="A95" s="4" t="str">
        <f>IFERROR(__xludf.DUMMYFUNCTION("""COMPUTED_VALUE"""),"GRUPO - DI LORENZA")</f>
        <v>GRUPO - DI LORENZA</v>
      </c>
      <c r="B95" s="4">
        <f>IFERROR(__xludf.DUMMYFUNCTION("""COMPUTED_VALUE"""),5.0)</f>
        <v>5</v>
      </c>
      <c r="C95" s="30">
        <f>IFERROR(__xludf.DUMMYFUNCTION("""COMPUTED_VALUE"""),92.0)</f>
        <v>92</v>
      </c>
      <c r="D95" s="4" t="str">
        <f>IFERROR(__xludf.DUMMYFUNCTION("""COMPUTED_VALUE"""),"Grupo Multi-marca")</f>
        <v>Grupo Multi-marca</v>
      </c>
      <c r="E95" s="4" t="str">
        <f>IFERROR(__xludf.DUMMYFUNCTION("""COMPUTED_VALUE"""),"Belo Horizonte/MG")</f>
        <v>Belo Horizonte/MG</v>
      </c>
      <c r="F95" s="4" t="str">
        <f>IFERROR(__xludf.DUMMYFUNCTION("""COMPUTED_VALUE"""),"Dado não disponível publicamente - Necessário Discovery")</f>
        <v>Dado não disponível publicamente - Necessário Discovery</v>
      </c>
      <c r="G95" s="4">
        <f>IFERROR(__xludf.DUMMYFUNCTION("""COMPUTED_VALUE"""),40.0)</f>
        <v>40</v>
      </c>
      <c r="H95" s="31">
        <f>IFERROR(__xludf.DUMMYFUNCTION("""COMPUTED_VALUE"""),0.5)</f>
        <v>0.5</v>
      </c>
      <c r="I95"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95" s="4" t="str">
        <f>IFERROR(__xludf.DUMMYFUNCTION("""COMPUTED_VALUE"""),"CONTA COOP - GRUPO")</f>
        <v>CONTA COOP - GRUPO</v>
      </c>
      <c r="L95" s="32">
        <f>IFERROR(__xludf.DUMMYFUNCTION("""COMPUTED_VALUE"""),99.0)</f>
        <v>99</v>
      </c>
      <c r="M95" s="4" t="str">
        <f>IFERROR(__xludf.DUMMYFUNCTION("""COMPUTED_VALUE"""),"N/A (Not found)")</f>
        <v>N/A (Not found)</v>
      </c>
      <c r="N95" s="33">
        <f>IFERROR(__xludf.DUMMYFUNCTION("""COMPUTED_VALUE"""),0.98989898989899)</f>
        <v>0.9898989899</v>
      </c>
      <c r="O95" s="4" t="str">
        <f>IFERROR(__xludf.DUMMYFUNCTION("""COMPUTED_VALUE"""),"N/A (Not found)")</f>
        <v>N/A (Not found)</v>
      </c>
      <c r="P95" s="33">
        <f>IFERROR(__xludf.DUMMYFUNCTION("""COMPUTED_VALUE"""),0.9797979797979798)</f>
        <v>0.9797979798</v>
      </c>
      <c r="Q95" s="4" t="str">
        <f>IFERROR(__xludf.DUMMYFUNCTION("""COMPUTED_VALUE"""),"N/A (Not found)")</f>
        <v>N/A (Not found)</v>
      </c>
      <c r="R95" s="33">
        <f>IFERROR(__xludf.DUMMYFUNCTION("""COMPUTED_VALUE"""),0.9595959595959596)</f>
        <v>0.9595959596</v>
      </c>
      <c r="S95" s="4" t="str">
        <f>IFERROR(__xludf.DUMMYFUNCTION("""COMPUTED_VALUE"""),"N/A (Not found)")</f>
        <v>N/A (Not found)</v>
      </c>
      <c r="T95" s="33">
        <f>IFERROR(__xludf.DUMMYFUNCTION("""COMPUTED_VALUE"""),0.9696969696969697)</f>
        <v>0.9696969697</v>
      </c>
      <c r="U95" s="4" t="str">
        <f>IFERROR(__xludf.DUMMYFUNCTION("""COMPUTED_VALUE"""),"N/A (Not found)")</f>
        <v>N/A (Not found)</v>
      </c>
      <c r="V95" s="33">
        <f>IFERROR(__xludf.DUMMYFUNCTION("""COMPUTED_VALUE"""),0.9696969696969697)</f>
        <v>0.9696969697</v>
      </c>
      <c r="W95" s="4" t="str">
        <f>IFERROR(__xludf.DUMMYFUNCTION("""COMPUTED_VALUE"""),"N/A (Not found)")</f>
        <v>N/A (Not found)</v>
      </c>
      <c r="X95" s="33">
        <f>IFERROR(__xludf.DUMMYFUNCTION("""COMPUTED_VALUE"""),0.9696969696969697)</f>
        <v>0.9696969697</v>
      </c>
    </row>
    <row r="96">
      <c r="A96" s="4" t="str">
        <f>IFERROR(__xludf.DUMMYFUNCTION("""COMPUTED_VALUE"""),"GRUPO ALYSSON MULLER")</f>
        <v>GRUPO ALYSSON MULLER</v>
      </c>
      <c r="B96" s="4">
        <f>IFERROR(__xludf.DUMMYFUNCTION("""COMPUTED_VALUE"""),20.0)</f>
        <v>20</v>
      </c>
      <c r="C96" s="30">
        <f>IFERROR(__xludf.DUMMYFUNCTION("""COMPUTED_VALUE"""),123.0)</f>
        <v>123</v>
      </c>
      <c r="D96" s="4" t="str">
        <f>IFERROR(__xludf.DUMMYFUNCTION("""COMPUTED_VALUE"""),"Grupo Multi-marca")</f>
        <v>Grupo Multi-marca</v>
      </c>
      <c r="E96" s="4" t="str">
        <f>IFERROR(__xludf.DUMMYFUNCTION("""COMPUTED_VALUE"""),"São Paulo/SP")</f>
        <v>São Paulo/SP</v>
      </c>
      <c r="F96" s="4" t="str">
        <f>IFERROR(__xludf.DUMMYFUNCTION("""COMPUTED_VALUE"""),"Dado não disponível publicamente - Necessário Discovery")</f>
        <v>Dado não disponível publicamente - Necessário Discovery</v>
      </c>
      <c r="G96" s="4">
        <f>IFERROR(__xludf.DUMMYFUNCTION("""COMPUTED_VALUE"""),45.0)</f>
        <v>45</v>
      </c>
      <c r="H96" s="31">
        <f>IFERROR(__xludf.DUMMYFUNCTION("""COMPUTED_VALUE"""),0.55)</f>
        <v>0.55</v>
      </c>
      <c r="I96"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96" s="4" t="str">
        <f>IFERROR(__xludf.DUMMYFUNCTION("""COMPUTED_VALUE"""),"GRUPO PARME")</f>
        <v>GRUPO PARME</v>
      </c>
      <c r="L96" s="32">
        <f>IFERROR(__xludf.DUMMYFUNCTION("""COMPUTED_VALUE"""),98.0)</f>
        <v>98</v>
      </c>
      <c r="M96" s="4" t="str">
        <f>IFERROR(__xludf.DUMMYFUNCTION("""COMPUTED_VALUE"""),"Ncr")</f>
        <v>Ncr</v>
      </c>
      <c r="N96" s="33">
        <f>IFERROR(__xludf.DUMMYFUNCTION("""COMPUTED_VALUE"""),0.7450980392156863)</f>
        <v>0.7450980392</v>
      </c>
      <c r="O96" s="4" t="str">
        <f>IFERROR(__xludf.DUMMYFUNCTION("""COMPUTED_VALUE"""),"Ncr")</f>
        <v>Ncr</v>
      </c>
      <c r="P96" s="33">
        <f>IFERROR(__xludf.DUMMYFUNCTION("""COMPUTED_VALUE"""),0.7647058823529411)</f>
        <v>0.7647058824</v>
      </c>
      <c r="Q96" s="4" t="str">
        <f>IFERROR(__xludf.DUMMYFUNCTION("""COMPUTED_VALUE"""),"Ncr")</f>
        <v>Ncr</v>
      </c>
      <c r="R96" s="33">
        <f>IFERROR(__xludf.DUMMYFUNCTION("""COMPUTED_VALUE"""),0.7745098039215687)</f>
        <v>0.7745098039</v>
      </c>
      <c r="S96" s="4" t="str">
        <f>IFERROR(__xludf.DUMMYFUNCTION("""COMPUTED_VALUE"""),"Ncr")</f>
        <v>Ncr</v>
      </c>
      <c r="T96" s="33">
        <f>IFERROR(__xludf.DUMMYFUNCTION("""COMPUTED_VALUE"""),0.7254901960784313)</f>
        <v>0.7254901961</v>
      </c>
      <c r="U96" s="4" t="str">
        <f>IFERROR(__xludf.DUMMYFUNCTION("""COMPUTED_VALUE"""),"Ncr")</f>
        <v>Ncr</v>
      </c>
      <c r="V96" s="33">
        <f>IFERROR(__xludf.DUMMYFUNCTION("""COMPUTED_VALUE"""),0.7745098039215687)</f>
        <v>0.7745098039</v>
      </c>
      <c r="W96" s="4" t="str">
        <f>IFERROR(__xludf.DUMMYFUNCTION("""COMPUTED_VALUE"""),"Ncr")</f>
        <v>Ncr</v>
      </c>
      <c r="X96" s="33">
        <f>IFERROR(__xludf.DUMMYFUNCTION("""COMPUTED_VALUE"""),0.7058823529411765)</f>
        <v>0.7058823529</v>
      </c>
    </row>
    <row r="97">
      <c r="A97" s="4" t="str">
        <f>IFERROR(__xludf.DUMMYFUNCTION("""COMPUTED_VALUE"""),"GRUPO AMERICAN BURGER BH")</f>
        <v>GRUPO AMERICAN BURGER BH</v>
      </c>
      <c r="B97" s="4">
        <f>IFERROR(__xludf.DUMMYFUNCTION("""COMPUTED_VALUE"""),18.0)</f>
        <v>18</v>
      </c>
      <c r="C97" s="30">
        <f>IFERROR(__xludf.DUMMYFUNCTION("""COMPUTED_VALUE"""),62.0)</f>
        <v>62</v>
      </c>
      <c r="D97" s="4" t="str">
        <f>IFERROR(__xludf.DUMMYFUNCTION("""COMPUTED_VALUE"""),"Fast Casual - Hamburgueria")</f>
        <v>Fast Casual - Hamburgueria</v>
      </c>
      <c r="E97" s="4" t="str">
        <f>IFERROR(__xludf.DUMMYFUNCTION("""COMPUTED_VALUE"""),"Região Metropolitana BH/MG (12 lojas) + Fortaleza/CE")</f>
        <v>Região Metropolitana BH/MG (12 lojas) + Fortaleza/CE</v>
      </c>
      <c r="F97" s="4" t="str">
        <f>IFERROR(__xludf.DUMMYFUNCTION("""COMPUTED_VALUE"""),"Dado não disponível publicamente - Necessário Discovery")</f>
        <v>Dado não disponível publicamente - Necessário Discovery</v>
      </c>
      <c r="G97" s="4">
        <f>IFERROR(__xludf.DUMMYFUNCTION("""COMPUTED_VALUE"""),70.0)</f>
        <v>70</v>
      </c>
      <c r="H97" s="31">
        <f>IFERROR(__xludf.DUMMYFUNCTION("""COMPUTED_VALUE"""),0.8)</f>
        <v>0.8</v>
      </c>
      <c r="I97"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97" s="4" t="str">
        <f>IFERROR(__xludf.DUMMYFUNCTION("""COMPUTED_VALUE"""),"PIZZA CREK")</f>
        <v>PIZZA CREK</v>
      </c>
      <c r="L97" s="32">
        <f>IFERROR(__xludf.DUMMYFUNCTION("""COMPUTED_VALUE"""),97.0)</f>
        <v>97</v>
      </c>
      <c r="M97" s="4" t="str">
        <f>IFERROR(__xludf.DUMMYFUNCTION("""COMPUTED_VALUE"""),"Stone Co.")</f>
        <v>Stone Co.</v>
      </c>
      <c r="N97" s="33">
        <f>IFERROR(__xludf.DUMMYFUNCTION("""COMPUTED_VALUE"""),0.9072164948453608)</f>
        <v>0.9072164948</v>
      </c>
      <c r="O97" s="4" t="str">
        <f>IFERROR(__xludf.DUMMYFUNCTION("""COMPUTED_VALUE"""),"Stone Co.")</f>
        <v>Stone Co.</v>
      </c>
      <c r="P97" s="33">
        <f>IFERROR(__xludf.DUMMYFUNCTION("""COMPUTED_VALUE"""),0.8865979381443299)</f>
        <v>0.8865979381</v>
      </c>
      <c r="Q97" s="4" t="str">
        <f>IFERROR(__xludf.DUMMYFUNCTION("""COMPUTED_VALUE"""),"Stone Co.")</f>
        <v>Stone Co.</v>
      </c>
      <c r="R97" s="33">
        <f>IFERROR(__xludf.DUMMYFUNCTION("""COMPUTED_VALUE"""),0.8762886597938144)</f>
        <v>0.8762886598</v>
      </c>
      <c r="S97" s="4" t="str">
        <f>IFERROR(__xludf.DUMMYFUNCTION("""COMPUTED_VALUE"""),"Stone Co.")</f>
        <v>Stone Co.</v>
      </c>
      <c r="T97" s="33">
        <f>IFERROR(__xludf.DUMMYFUNCTION("""COMPUTED_VALUE"""),0.8350515463917526)</f>
        <v>0.8350515464</v>
      </c>
      <c r="U97" s="4" t="str">
        <f>IFERROR(__xludf.DUMMYFUNCTION("""COMPUTED_VALUE"""),"Stone Co.")</f>
        <v>Stone Co.</v>
      </c>
      <c r="V97" s="33">
        <f>IFERROR(__xludf.DUMMYFUNCTION("""COMPUTED_VALUE"""),0.8144329896907216)</f>
        <v>0.8144329897</v>
      </c>
      <c r="W97" s="4" t="str">
        <f>IFERROR(__xludf.DUMMYFUNCTION("""COMPUTED_VALUE"""),"Stone Co.")</f>
        <v>Stone Co.</v>
      </c>
      <c r="X97" s="33">
        <f>IFERROR(__xludf.DUMMYFUNCTION("""COMPUTED_VALUE"""),0.7731958762886598)</f>
        <v>0.7731958763</v>
      </c>
    </row>
    <row r="98">
      <c r="A98" s="4" t="str">
        <f>IFERROR(__xludf.DUMMYFUNCTION("""COMPUTED_VALUE"""),"GRUPO BURGUINHO BAURU")</f>
        <v>GRUPO BURGUINHO BAURU</v>
      </c>
      <c r="B98" s="4">
        <f>IFERROR(__xludf.DUMMYFUNCTION("""COMPUTED_VALUE"""),17.0)</f>
        <v>17</v>
      </c>
      <c r="C98" s="30">
        <f>IFERROR(__xludf.DUMMYFUNCTION("""COMPUTED_VALUE"""),114.0)</f>
        <v>114</v>
      </c>
      <c r="D98" s="4" t="str">
        <f>IFERROR(__xludf.DUMMYFUNCTION("""COMPUTED_VALUE"""),"Grupo Multi-marca")</f>
        <v>Grupo Multi-marca</v>
      </c>
      <c r="E98" s="4" t="str">
        <f>IFERROR(__xludf.DUMMYFUNCTION("""COMPUTED_VALUE"""),"Nacional")</f>
        <v>Nacional</v>
      </c>
      <c r="F98" s="4" t="str">
        <f>IFERROR(__xludf.DUMMYFUNCTION("""COMPUTED_VALUE"""),"Dado não disponível publicamente - Necessário Discovery")</f>
        <v>Dado não disponível publicamente - Necessário Discovery</v>
      </c>
      <c r="G98" s="4">
        <f>IFERROR(__xludf.DUMMYFUNCTION("""COMPUTED_VALUE"""),40.0)</f>
        <v>40</v>
      </c>
      <c r="H98" s="31">
        <f>IFERROR(__xludf.DUMMYFUNCTION("""COMPUTED_VALUE"""),0.55)</f>
        <v>0.55</v>
      </c>
      <c r="I98"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98" s="4" t="str">
        <f>IFERROR(__xludf.DUMMYFUNCTION("""COMPUTED_VALUE"""),"DROGA LESTE - CONTA PAI")</f>
        <v>DROGA LESTE - CONTA PAI</v>
      </c>
      <c r="L98" s="32">
        <f>IFERROR(__xludf.DUMMYFUNCTION("""COMPUTED_VALUE"""),96.0)</f>
        <v>96</v>
      </c>
      <c r="M98" s="4" t="str">
        <f>IFERROR(__xludf.DUMMYFUNCTION("""COMPUTED_VALUE"""),"N/A (Not found)")</f>
        <v>N/A (Not found)</v>
      </c>
      <c r="N98" s="33">
        <f>IFERROR(__xludf.DUMMYFUNCTION("""COMPUTED_VALUE"""),0.9895833333333334)</f>
        <v>0.9895833333</v>
      </c>
      <c r="O98" s="4" t="str">
        <f>IFERROR(__xludf.DUMMYFUNCTION("""COMPUTED_VALUE"""),"N/A (Not found)")</f>
        <v>N/A (Not found)</v>
      </c>
      <c r="P98" s="33">
        <f>IFERROR(__xludf.DUMMYFUNCTION("""COMPUTED_VALUE"""),1.0)</f>
        <v>1</v>
      </c>
      <c r="Q98" s="4" t="str">
        <f>IFERROR(__xludf.DUMMYFUNCTION("""COMPUTED_VALUE"""),"N/A (Not found)")</f>
        <v>N/A (Not found)</v>
      </c>
      <c r="R98" s="33">
        <f>IFERROR(__xludf.DUMMYFUNCTION("""COMPUTED_VALUE"""),1.0)</f>
        <v>1</v>
      </c>
      <c r="S98" s="4" t="str">
        <f>IFERROR(__xludf.DUMMYFUNCTION("""COMPUTED_VALUE"""),"N/A (Not found)")</f>
        <v>N/A (Not found)</v>
      </c>
      <c r="T98" s="33">
        <f>IFERROR(__xludf.DUMMYFUNCTION("""COMPUTED_VALUE"""),1.0)</f>
        <v>1</v>
      </c>
      <c r="U98" s="4" t="str">
        <f>IFERROR(__xludf.DUMMYFUNCTION("""COMPUTED_VALUE"""),"N/A (Not found)")</f>
        <v>N/A (Not found)</v>
      </c>
      <c r="V98" s="33">
        <f>IFERROR(__xludf.DUMMYFUNCTION("""COMPUTED_VALUE"""),1.0)</f>
        <v>1</v>
      </c>
      <c r="W98" s="4" t="str">
        <f>IFERROR(__xludf.DUMMYFUNCTION("""COMPUTED_VALUE"""),"N/A (Not found)")</f>
        <v>N/A (Not found)</v>
      </c>
      <c r="X98" s="33">
        <f>IFERROR(__xludf.DUMMYFUNCTION("""COMPUTED_VALUE"""),1.0)</f>
        <v>1</v>
      </c>
    </row>
    <row r="99">
      <c r="A99" s="4" t="str">
        <f>IFERROR(__xludf.DUMMYFUNCTION("""COMPUTED_VALUE"""),"GRUPO CAFÉ E UM CHÊRO")</f>
        <v>GRUPO CAFÉ E UM CHÊRO</v>
      </c>
      <c r="B99" s="4">
        <f>IFERROR(__xludf.DUMMYFUNCTION("""COMPUTED_VALUE"""),14.0)</f>
        <v>14</v>
      </c>
      <c r="C99" s="30">
        <f>IFERROR(__xludf.DUMMYFUNCTION("""COMPUTED_VALUE"""),49.0)</f>
        <v>49</v>
      </c>
      <c r="D99" s="4" t="str">
        <f>IFERROR(__xludf.DUMMYFUNCTION("""COMPUTED_VALUE"""),"Fast Casual - Cafeteria")</f>
        <v>Fast Casual - Cafeteria</v>
      </c>
      <c r="E99" s="4" t="str">
        <f>IFERROR(__xludf.DUMMYFUNCTION("""COMPUTED_VALUE"""),"São Paulo/SP")</f>
        <v>São Paulo/SP</v>
      </c>
      <c r="F99" s="4" t="str">
        <f>IFERROR(__xludf.DUMMYFUNCTION("""COMPUTED_VALUE"""),"Dado não disponível publicamente - Necessário Discovery")</f>
        <v>Dado não disponível publicamente - Necessário Discovery</v>
      </c>
      <c r="G99" s="4">
        <f>IFERROR(__xludf.DUMMYFUNCTION("""COMPUTED_VALUE"""),70.0)</f>
        <v>70</v>
      </c>
      <c r="H99" s="31">
        <f>IFERROR(__xludf.DUMMYFUNCTION("""COMPUTED_VALUE"""),0.8)</f>
        <v>0.8</v>
      </c>
      <c r="I99"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99" s="4" t="str">
        <f>IFERROR(__xludf.DUMMYFUNCTION("""COMPUTED_VALUE"""),"DAKI - CONTA GRUPO")</f>
        <v>DAKI - CONTA GRUPO</v>
      </c>
      <c r="L99" s="32">
        <f>IFERROR(__xludf.DUMMYFUNCTION("""COMPUTED_VALUE"""),96.0)</f>
        <v>96</v>
      </c>
      <c r="M99" s="4" t="str">
        <f>IFERROR(__xludf.DUMMYFUNCTION("""COMPUTED_VALUE"""),"N/A (Not found)")</f>
        <v>N/A (Not found)</v>
      </c>
      <c r="N99" s="33">
        <f>IFERROR(__xludf.DUMMYFUNCTION("""COMPUTED_VALUE"""),0.5833333333333334)</f>
        <v>0.5833333333</v>
      </c>
      <c r="O99" s="4" t="str">
        <f>IFERROR(__xludf.DUMMYFUNCTION("""COMPUTED_VALUE"""),"N/A (Not found)")</f>
        <v>N/A (Not found)</v>
      </c>
      <c r="P99" s="33">
        <f>IFERROR(__xludf.DUMMYFUNCTION("""COMPUTED_VALUE"""),0.5833333333333334)</f>
        <v>0.5833333333</v>
      </c>
      <c r="Q99" s="4" t="str">
        <f>IFERROR(__xludf.DUMMYFUNCTION("""COMPUTED_VALUE"""),"N/A (Not found)")</f>
        <v>N/A (Not found)</v>
      </c>
      <c r="R99" s="33">
        <f>IFERROR(__xludf.DUMMYFUNCTION("""COMPUTED_VALUE"""),0.6041666666666666)</f>
        <v>0.6041666667</v>
      </c>
      <c r="S99" s="4" t="str">
        <f>IFERROR(__xludf.DUMMYFUNCTION("""COMPUTED_VALUE"""),"null")</f>
        <v>null</v>
      </c>
      <c r="T99" s="33">
        <f>IFERROR(__xludf.DUMMYFUNCTION("""COMPUTED_VALUE"""),0.53125)</f>
        <v>0.53125</v>
      </c>
      <c r="U99" s="4" t="str">
        <f>IFERROR(__xludf.DUMMYFUNCTION("""COMPUTED_VALUE"""),"N/A (Not found)")</f>
        <v>N/A (Not found)</v>
      </c>
      <c r="V99" s="33">
        <f>IFERROR(__xludf.DUMMYFUNCTION("""COMPUTED_VALUE"""),0.8020833333333334)</f>
        <v>0.8020833333</v>
      </c>
      <c r="W99" s="4" t="str">
        <f>IFERROR(__xludf.DUMMYFUNCTION("""COMPUTED_VALUE"""),"N/A (Not found)")</f>
        <v>N/A (Not found)</v>
      </c>
      <c r="X99" s="33">
        <f>IFERROR(__xludf.DUMMYFUNCTION("""COMPUTED_VALUE"""),0.7916666666666666)</f>
        <v>0.7916666667</v>
      </c>
    </row>
    <row r="100">
      <c r="A100" s="4" t="str">
        <f>IFERROR(__xludf.DUMMYFUNCTION("""COMPUTED_VALUE"""),"GRUPO CALEBITO")</f>
        <v>GRUPO CALEBITO</v>
      </c>
      <c r="B100" s="4">
        <f>IFERROR(__xludf.DUMMYFUNCTION("""COMPUTED_VALUE"""),11.0)</f>
        <v>11</v>
      </c>
      <c r="C100" s="30">
        <f>IFERROR(__xludf.DUMMYFUNCTION("""COMPUTED_VALUE"""),122.0)</f>
        <v>122</v>
      </c>
      <c r="D100" s="4" t="str">
        <f>IFERROR(__xludf.DUMMYFUNCTION("""COMPUTED_VALUE"""),"Grupo Multi-marca")</f>
        <v>Grupo Multi-marca</v>
      </c>
      <c r="E100" s="4" t="str">
        <f>IFERROR(__xludf.DUMMYFUNCTION("""COMPUTED_VALUE"""),"São Paulo/SP")</f>
        <v>São Paulo/SP</v>
      </c>
      <c r="F100" s="4" t="str">
        <f>IFERROR(__xludf.DUMMYFUNCTION("""COMPUTED_VALUE"""),"Dado não disponível publicamente - Necessário Discovery")</f>
        <v>Dado não disponível publicamente - Necessário Discovery</v>
      </c>
      <c r="G100" s="4">
        <f>IFERROR(__xludf.DUMMYFUNCTION("""COMPUTED_VALUE"""),40.0)</f>
        <v>40</v>
      </c>
      <c r="H100" s="31">
        <f>IFERROR(__xludf.DUMMYFUNCTION("""COMPUTED_VALUE"""),0.55)</f>
        <v>0.55</v>
      </c>
      <c r="I100"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100" s="4" t="str">
        <f>IFERROR(__xludf.DUMMYFUNCTION("""COMPUTED_VALUE"""),"GRUPO CENCOSUD - CONTA PAI - CONTA GRUPO")</f>
        <v>GRUPO CENCOSUD - CONTA PAI - CONTA GRUPO</v>
      </c>
      <c r="L100" s="32">
        <f>IFERROR(__xludf.DUMMYFUNCTION("""COMPUTED_VALUE"""),93.0)</f>
        <v>93</v>
      </c>
      <c r="M100" s="4" t="str">
        <f>IFERROR(__xludf.DUMMYFUNCTION("""COMPUTED_VALUE"""),"N/A (Not found)")</f>
        <v>N/A (Not found)</v>
      </c>
      <c r="N100" s="33">
        <f>IFERROR(__xludf.DUMMYFUNCTION("""COMPUTED_VALUE"""),0.8979591836734694)</f>
        <v>0.8979591837</v>
      </c>
      <c r="O100" s="4" t="str">
        <f>IFERROR(__xludf.DUMMYFUNCTION("""COMPUTED_VALUE"""),"N/A (Not found)")</f>
        <v>N/A (Not found)</v>
      </c>
      <c r="P100" s="33">
        <f>IFERROR(__xludf.DUMMYFUNCTION("""COMPUTED_VALUE"""),0.8979591836734694)</f>
        <v>0.8979591837</v>
      </c>
      <c r="Q100" s="4" t="str">
        <f>IFERROR(__xludf.DUMMYFUNCTION("""COMPUTED_VALUE"""),"N/A (Not found)")</f>
        <v>N/A (Not found)</v>
      </c>
      <c r="R100" s="33">
        <f>IFERROR(__xludf.DUMMYFUNCTION("""COMPUTED_VALUE"""),0.8775510204081632)</f>
        <v>0.8775510204</v>
      </c>
      <c r="S100" s="4" t="str">
        <f>IFERROR(__xludf.DUMMYFUNCTION("""COMPUTED_VALUE"""),"N/A (Not found)")</f>
        <v>N/A (Not found)</v>
      </c>
      <c r="T100" s="33">
        <f>IFERROR(__xludf.DUMMYFUNCTION("""COMPUTED_VALUE"""),0.8877551020408163)</f>
        <v>0.887755102</v>
      </c>
      <c r="U100" s="4" t="str">
        <f>IFERROR(__xludf.DUMMYFUNCTION("""COMPUTED_VALUE"""),"N/A (Not found)")</f>
        <v>N/A (Not found)</v>
      </c>
      <c r="V100" s="33">
        <f>IFERROR(__xludf.DUMMYFUNCTION("""COMPUTED_VALUE"""),0.8775510204081632)</f>
        <v>0.8775510204</v>
      </c>
      <c r="W100" s="4" t="str">
        <f>IFERROR(__xludf.DUMMYFUNCTION("""COMPUTED_VALUE"""),"N/A (Not found)")</f>
        <v>N/A (Not found)</v>
      </c>
      <c r="X100" s="33">
        <f>IFERROR(__xludf.DUMMYFUNCTION("""COMPUTED_VALUE"""),0.8979591836734694)</f>
        <v>0.8979591837</v>
      </c>
    </row>
    <row r="101">
      <c r="A101" s="4" t="str">
        <f>IFERROR(__xludf.DUMMYFUNCTION("""COMPUTED_VALUE"""),"GRUPO CHANG")</f>
        <v>GRUPO CHANG</v>
      </c>
      <c r="B101" s="4">
        <f>IFERROR(__xludf.DUMMYFUNCTION("""COMPUTED_VALUE"""),4.0)</f>
        <v>4</v>
      </c>
      <c r="C101" s="30">
        <f>IFERROR(__xludf.DUMMYFUNCTION("""COMPUTED_VALUE"""),75.0)</f>
        <v>75</v>
      </c>
      <c r="D101" s="4" t="str">
        <f>IFERROR(__xludf.DUMMYFUNCTION("""COMPUTED_VALUE"""),"Grupo Multi-marca (Sake Temaki + outros)")</f>
        <v>Grupo Multi-marca (Sake Temaki + outros)</v>
      </c>
      <c r="E101" s="4" t="str">
        <f>IFERROR(__xludf.DUMMYFUNCTION("""COMPUTED_VALUE"""),"João Pessoa e Cabedelo/PB")</f>
        <v>João Pessoa e Cabedelo/PB</v>
      </c>
      <c r="F101" s="4" t="str">
        <f>IFERROR(__xludf.DUMMYFUNCTION("""COMPUTED_VALUE"""),"Dado não disponível publicamente - Necessário Discovery")</f>
        <v>Dado não disponível publicamente - Necessário Discovery</v>
      </c>
      <c r="G101" s="4">
        <f>IFERROR(__xludf.DUMMYFUNCTION("""COMPUTED_VALUE"""),35.0)</f>
        <v>35</v>
      </c>
      <c r="H101" s="31">
        <f>IFERROR(__xludf.DUMMYFUNCTION("""COMPUTED_VALUE"""),0.5)</f>
        <v>0.5</v>
      </c>
      <c r="I101"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101" s="4" t="str">
        <f>IFERROR(__xludf.DUMMYFUNCTION("""COMPUTED_VALUE"""),"GRUPO CAROL COXINHAS")</f>
        <v>GRUPO CAROL COXINHAS</v>
      </c>
      <c r="L101" s="32">
        <f>IFERROR(__xludf.DUMMYFUNCTION("""COMPUTED_VALUE"""),93.0)</f>
        <v>93</v>
      </c>
      <c r="M101" s="4" t="str">
        <f>IFERROR(__xludf.DUMMYFUNCTION("""COMPUTED_VALUE"""),"Eclética Tecnologia")</f>
        <v>Eclética Tecnologia</v>
      </c>
      <c r="N101" s="33">
        <f>IFERROR(__xludf.DUMMYFUNCTION("""COMPUTED_VALUE"""),0.7311827956989247)</f>
        <v>0.7311827957</v>
      </c>
      <c r="O101" s="4" t="str">
        <f>IFERROR(__xludf.DUMMYFUNCTION("""COMPUTED_VALUE"""),"Eclética Tecnologia")</f>
        <v>Eclética Tecnologia</v>
      </c>
      <c r="P101" s="33">
        <f>IFERROR(__xludf.DUMMYFUNCTION("""COMPUTED_VALUE"""),0.6236559139784946)</f>
        <v>0.623655914</v>
      </c>
      <c r="Q101" s="4" t="str">
        <f>IFERROR(__xludf.DUMMYFUNCTION("""COMPUTED_VALUE"""),"Eclética Tecnologia")</f>
        <v>Eclética Tecnologia</v>
      </c>
      <c r="R101" s="33">
        <f>IFERROR(__xludf.DUMMYFUNCTION("""COMPUTED_VALUE"""),0.6021505376344086)</f>
        <v>0.6021505376</v>
      </c>
      <c r="S101" s="4" t="str">
        <f>IFERROR(__xludf.DUMMYFUNCTION("""COMPUTED_VALUE"""),"Eclética Tecnologia")</f>
        <v>Eclética Tecnologia</v>
      </c>
      <c r="T101" s="33">
        <f>IFERROR(__xludf.DUMMYFUNCTION("""COMPUTED_VALUE"""),0.5913978494623656)</f>
        <v>0.5913978495</v>
      </c>
      <c r="U101" s="4" t="str">
        <f>IFERROR(__xludf.DUMMYFUNCTION("""COMPUTED_VALUE"""),"Eclética Tecnologia")</f>
        <v>Eclética Tecnologia</v>
      </c>
      <c r="V101" s="33">
        <f>IFERROR(__xludf.DUMMYFUNCTION("""COMPUTED_VALUE"""),0.5806451612903226)</f>
        <v>0.5806451613</v>
      </c>
      <c r="W101" s="4" t="str">
        <f>IFERROR(__xludf.DUMMYFUNCTION("""COMPUTED_VALUE"""),"Eclética Tecnologia")</f>
        <v>Eclética Tecnologia</v>
      </c>
      <c r="X101" s="33">
        <f>IFERROR(__xludf.DUMMYFUNCTION("""COMPUTED_VALUE"""),0.5376344086021505)</f>
        <v>0.5376344086</v>
      </c>
    </row>
    <row r="102">
      <c r="A102" s="4" t="str">
        <f>IFERROR(__xludf.DUMMYFUNCTION("""COMPUTED_VALUE"""),"GRUPO DECK")</f>
        <v>GRUPO DECK</v>
      </c>
      <c r="B102" s="4">
        <f>IFERROR(__xludf.DUMMYFUNCTION("""COMPUTED_VALUE"""),12.0)</f>
        <v>12</v>
      </c>
      <c r="C102" s="30">
        <f>IFERROR(__xludf.DUMMYFUNCTION("""COMPUTED_VALUE"""),77.0)</f>
        <v>77</v>
      </c>
      <c r="D102" s="4" t="str">
        <f>IFERROR(__xludf.DUMMYFUNCTION("""COMPUTED_VALUE"""),"Grupo Multi-marca")</f>
        <v>Grupo Multi-marca</v>
      </c>
      <c r="E102" s="4" t="str">
        <f>IFERROR(__xludf.DUMMYFUNCTION("""COMPUTED_VALUE"""),"Belo Horizonte/MG")</f>
        <v>Belo Horizonte/MG</v>
      </c>
      <c r="F102" s="4" t="str">
        <f>IFERROR(__xludf.DUMMYFUNCTION("""COMPUTED_VALUE"""),"Dado não disponível publicamente - Necessário Discovery")</f>
        <v>Dado não disponível publicamente - Necessário Discovery</v>
      </c>
      <c r="G102" s="4">
        <f>IFERROR(__xludf.DUMMYFUNCTION("""COMPUTED_VALUE"""),40.0)</f>
        <v>40</v>
      </c>
      <c r="H102" s="31">
        <f>IFERROR(__xludf.DUMMYFUNCTION("""COMPUTED_VALUE"""),0.55)</f>
        <v>0.55</v>
      </c>
      <c r="I102"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102" s="4" t="str">
        <f>IFERROR(__xludf.DUMMYFUNCTION("""COMPUTED_VALUE"""),"BURGER X")</f>
        <v>BURGER X</v>
      </c>
      <c r="L102" s="32">
        <f>IFERROR(__xludf.DUMMYFUNCTION("""COMPUTED_VALUE"""),92.0)</f>
        <v>92</v>
      </c>
      <c r="M102" s="4" t="str">
        <f>IFERROR(__xludf.DUMMYFUNCTION("""COMPUTED_VALUE"""),"Hubster")</f>
        <v>Hubster</v>
      </c>
      <c r="N102" s="33">
        <f>IFERROR(__xludf.DUMMYFUNCTION("""COMPUTED_VALUE"""),0.9565217391304348)</f>
        <v>0.9565217391</v>
      </c>
      <c r="O102" s="4" t="str">
        <f>IFERROR(__xludf.DUMMYFUNCTION("""COMPUTED_VALUE"""),"Hubster")</f>
        <v>Hubster</v>
      </c>
      <c r="P102" s="33">
        <f>IFERROR(__xludf.DUMMYFUNCTION("""COMPUTED_VALUE"""),0.9782608695652174)</f>
        <v>0.9782608696</v>
      </c>
      <c r="Q102" s="4" t="str">
        <f>IFERROR(__xludf.DUMMYFUNCTION("""COMPUTED_VALUE"""),"Hubster")</f>
        <v>Hubster</v>
      </c>
      <c r="R102" s="33">
        <f>IFERROR(__xludf.DUMMYFUNCTION("""COMPUTED_VALUE"""),0.9782608695652174)</f>
        <v>0.9782608696</v>
      </c>
      <c r="S102" s="4" t="str">
        <f>IFERROR(__xludf.DUMMYFUNCTION("""COMPUTED_VALUE"""),"Hubster")</f>
        <v>Hubster</v>
      </c>
      <c r="T102" s="33">
        <f>IFERROR(__xludf.DUMMYFUNCTION("""COMPUTED_VALUE"""),0.9782608695652174)</f>
        <v>0.9782608696</v>
      </c>
      <c r="U102" s="4" t="str">
        <f>IFERROR(__xludf.DUMMYFUNCTION("""COMPUTED_VALUE"""),"Hubster")</f>
        <v>Hubster</v>
      </c>
      <c r="V102" s="33">
        <f>IFERROR(__xludf.DUMMYFUNCTION("""COMPUTED_VALUE"""),0.9782608695652174)</f>
        <v>0.9782608696</v>
      </c>
      <c r="W102" s="4" t="str">
        <f>IFERROR(__xludf.DUMMYFUNCTION("""COMPUTED_VALUE"""),"Hubster")</f>
        <v>Hubster</v>
      </c>
      <c r="X102" s="33">
        <f>IFERROR(__xludf.DUMMYFUNCTION("""COMPUTED_VALUE"""),0.9565217391304348)</f>
        <v>0.9565217391</v>
      </c>
    </row>
    <row r="103">
      <c r="A103" s="4" t="str">
        <f>IFERROR(__xludf.DUMMYFUNCTION("""COMPUTED_VALUE"""),"GRUPO ILHA DA KOSTA")</f>
        <v>GRUPO ILHA DA KOSTA</v>
      </c>
      <c r="B103" s="4">
        <f>IFERROR(__xludf.DUMMYFUNCTION("""COMPUTED_VALUE"""),5.0)</f>
        <v>5</v>
      </c>
      <c r="C103" s="30">
        <f>IFERROR(__xludf.DUMMYFUNCTION("""COMPUTED_VALUE"""),87.0)</f>
        <v>87</v>
      </c>
      <c r="D103" s="4" t="str">
        <f>IFERROR(__xludf.DUMMYFUNCTION("""COMPUTED_VALUE"""),"Grupo Multi-marca")</f>
        <v>Grupo Multi-marca</v>
      </c>
      <c r="E103" s="4" t="str">
        <f>IFERROR(__xludf.DUMMYFUNCTION("""COMPUTED_VALUE"""),"Interior SP")</f>
        <v>Interior SP</v>
      </c>
      <c r="F103" s="4" t="str">
        <f>IFERROR(__xludf.DUMMYFUNCTION("""COMPUTED_VALUE"""),"Dado não disponível publicamente - Necessário Discovery")</f>
        <v>Dado não disponível publicamente - Necessário Discovery</v>
      </c>
      <c r="G103" s="4">
        <f>IFERROR(__xludf.DUMMYFUNCTION("""COMPUTED_VALUE"""),40.0)</f>
        <v>40</v>
      </c>
      <c r="H103" s="31">
        <f>IFERROR(__xludf.DUMMYFUNCTION("""COMPUTED_VALUE"""),0.5)</f>
        <v>0.5</v>
      </c>
      <c r="I103"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103" s="4" t="str">
        <f>IFERROR(__xludf.DUMMYFUNCTION("""COMPUTED_VALUE"""),"GRUPO DRUMATTOS")</f>
        <v>GRUPO DRUMATTOS</v>
      </c>
      <c r="L103" s="32">
        <f>IFERROR(__xludf.DUMMYFUNCTION("""COMPUTED_VALUE"""),91.0)</f>
        <v>91</v>
      </c>
      <c r="M103" s="4" t="str">
        <f>IFERROR(__xludf.DUMMYFUNCTION("""COMPUTED_VALUE"""),"L&amp;f Tecnologia Sistemas E Comercio Ltda")</f>
        <v>L&amp;f Tecnologia Sistemas E Comercio Ltda</v>
      </c>
      <c r="N103" s="33">
        <f>IFERROR(__xludf.DUMMYFUNCTION("""COMPUTED_VALUE"""),0.6373626373626373)</f>
        <v>0.6373626374</v>
      </c>
      <c r="O103" s="4" t="str">
        <f>IFERROR(__xludf.DUMMYFUNCTION("""COMPUTED_VALUE"""),"L&amp;f Tecnologia Sistemas E Comercio Ltda")</f>
        <v>L&amp;f Tecnologia Sistemas E Comercio Ltda</v>
      </c>
      <c r="P103" s="33">
        <f>IFERROR(__xludf.DUMMYFUNCTION("""COMPUTED_VALUE"""),0.6923076923076923)</f>
        <v>0.6923076923</v>
      </c>
      <c r="Q103" s="4" t="str">
        <f>IFERROR(__xludf.DUMMYFUNCTION("""COMPUTED_VALUE"""),"L&amp;f Tecnologia Sistemas E Comercio Ltda")</f>
        <v>L&amp;f Tecnologia Sistemas E Comercio Ltda</v>
      </c>
      <c r="R103" s="33">
        <f>IFERROR(__xludf.DUMMYFUNCTION("""COMPUTED_VALUE"""),0.5494505494505495)</f>
        <v>0.5494505495</v>
      </c>
      <c r="S103" s="4" t="str">
        <f>IFERROR(__xludf.DUMMYFUNCTION("""COMPUTED_VALUE"""),"L&amp;f Tecnologia Sistemas E Comercio Ltda")</f>
        <v>L&amp;f Tecnologia Sistemas E Comercio Ltda</v>
      </c>
      <c r="T103" s="33">
        <f>IFERROR(__xludf.DUMMYFUNCTION("""COMPUTED_VALUE"""),0.5384615384615384)</f>
        <v>0.5384615385</v>
      </c>
      <c r="U103" s="4" t="str">
        <f>IFERROR(__xludf.DUMMYFUNCTION("""COMPUTED_VALUE"""),"null")</f>
        <v>null</v>
      </c>
      <c r="V103" s="33">
        <f>IFERROR(__xludf.DUMMYFUNCTION("""COMPUTED_VALUE"""),0.5274725274725275)</f>
        <v>0.5274725275</v>
      </c>
      <c r="W103" s="4" t="str">
        <f>IFERROR(__xludf.DUMMYFUNCTION("""COMPUTED_VALUE"""),"L&amp;f Tecnologia Sistemas E Comercio Ltda")</f>
        <v>L&amp;f Tecnologia Sistemas E Comercio Ltda</v>
      </c>
      <c r="X103" s="33">
        <f>IFERROR(__xludf.DUMMYFUNCTION("""COMPUTED_VALUE"""),0.7142857142857143)</f>
        <v>0.7142857143</v>
      </c>
    </row>
    <row r="104">
      <c r="A104" s="4" t="str">
        <f>IFERROR(__xludf.DUMMYFUNCTION("""COMPUTED_VALUE"""),"GRUPO IRAJÁ")</f>
        <v>GRUPO IRAJÁ</v>
      </c>
      <c r="B104" s="4">
        <f>IFERROR(__xludf.DUMMYFUNCTION("""COMPUTED_VALUE"""),15.0)</f>
        <v>15</v>
      </c>
      <c r="C104" s="30">
        <f>IFERROR(__xludf.DUMMYFUNCTION("""COMPUTED_VALUE"""),70.0)</f>
        <v>70</v>
      </c>
      <c r="D104" s="4" t="str">
        <f>IFERROR(__xludf.DUMMYFUNCTION("""COMPUTED_VALUE"""),"Grupo Multi-marca")</f>
        <v>Grupo Multi-marca</v>
      </c>
      <c r="E104" s="4" t="str">
        <f>IFERROR(__xludf.DUMMYFUNCTION("""COMPUTED_VALUE"""),"Regional")</f>
        <v>Regional</v>
      </c>
      <c r="F104" s="4" t="str">
        <f>IFERROR(__xludf.DUMMYFUNCTION("""COMPUTED_VALUE"""),"Dado não disponível publicamente - Necessário Discovery")</f>
        <v>Dado não disponível publicamente - Necessário Discovery</v>
      </c>
      <c r="G104" s="4">
        <f>IFERROR(__xludf.DUMMYFUNCTION("""COMPUTED_VALUE"""),40.0)</f>
        <v>40</v>
      </c>
      <c r="H104" s="31">
        <f>IFERROR(__xludf.DUMMYFUNCTION("""COMPUTED_VALUE"""),0.55)</f>
        <v>0.55</v>
      </c>
      <c r="I104"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104" s="4" t="str">
        <f>IFERROR(__xludf.DUMMYFUNCTION("""COMPUTED_VALUE"""),"HAVANNA CAFE - GRUPO")</f>
        <v>HAVANNA CAFE - GRUPO</v>
      </c>
      <c r="L104" s="32">
        <f>IFERROR(__xludf.DUMMYFUNCTION("""COMPUTED_VALUE"""),89.0)</f>
        <v>89</v>
      </c>
      <c r="M104" s="4" t="str">
        <f>IFERROR(__xludf.DUMMYFUNCTION("""COMPUTED_VALUE"""),"Stone Co.")</f>
        <v>Stone Co.</v>
      </c>
      <c r="N104" s="33">
        <f>IFERROR(__xludf.DUMMYFUNCTION("""COMPUTED_VALUE"""),0.9662921348314607)</f>
        <v>0.9662921348</v>
      </c>
      <c r="O104" s="4" t="str">
        <f>IFERROR(__xludf.DUMMYFUNCTION("""COMPUTED_VALUE"""),"Stone Co.")</f>
        <v>Stone Co.</v>
      </c>
      <c r="P104" s="33">
        <f>IFERROR(__xludf.DUMMYFUNCTION("""COMPUTED_VALUE"""),0.8202247191011236)</f>
        <v>0.8202247191</v>
      </c>
      <c r="Q104" s="4" t="str">
        <f>IFERROR(__xludf.DUMMYFUNCTION("""COMPUTED_VALUE"""),"Stone Co.")</f>
        <v>Stone Co.</v>
      </c>
      <c r="R104" s="33">
        <f>IFERROR(__xludf.DUMMYFUNCTION("""COMPUTED_VALUE"""),0.8089887640449438)</f>
        <v>0.808988764</v>
      </c>
      <c r="S104" s="4" t="str">
        <f>IFERROR(__xludf.DUMMYFUNCTION("""COMPUTED_VALUE"""),"Stone Co.")</f>
        <v>Stone Co.</v>
      </c>
      <c r="T104" s="33">
        <f>IFERROR(__xludf.DUMMYFUNCTION("""COMPUTED_VALUE"""),0.6741573033707865)</f>
        <v>0.6741573034</v>
      </c>
      <c r="U104" s="4" t="str">
        <f>IFERROR(__xludf.DUMMYFUNCTION("""COMPUTED_VALUE"""),"Stone Co.")</f>
        <v>Stone Co.</v>
      </c>
      <c r="V104" s="33">
        <f>IFERROR(__xludf.DUMMYFUNCTION("""COMPUTED_VALUE"""),0.6067415730337079)</f>
        <v>0.606741573</v>
      </c>
      <c r="W104" s="4" t="str">
        <f>IFERROR(__xludf.DUMMYFUNCTION("""COMPUTED_VALUE"""),"Stone Co.")</f>
        <v>Stone Co.</v>
      </c>
      <c r="X104" s="33">
        <f>IFERROR(__xludf.DUMMYFUNCTION("""COMPUTED_VALUE"""),0.4606741573033708)</f>
        <v>0.4606741573</v>
      </c>
    </row>
    <row r="105">
      <c r="A105" s="4" t="str">
        <f>IFERROR(__xludf.DUMMYFUNCTION("""COMPUTED_VALUE"""),"GRUPO KANPEK TOASTED")</f>
        <v>GRUPO KANPEK TOASTED</v>
      </c>
      <c r="B105" s="4">
        <f>IFERROR(__xludf.DUMMYFUNCTION("""COMPUTED_VALUE"""),6.0)</f>
        <v>6</v>
      </c>
      <c r="C105" s="30">
        <f>IFERROR(__xludf.DUMMYFUNCTION("""COMPUTED_VALUE"""),122.0)</f>
        <v>122</v>
      </c>
      <c r="D105" s="4" t="str">
        <f>IFERROR(__xludf.DUMMYFUNCTION("""COMPUTED_VALUE"""),"Grupo Multi-marca")</f>
        <v>Grupo Multi-marca</v>
      </c>
      <c r="E105" s="4" t="str">
        <f>IFERROR(__xludf.DUMMYFUNCTION("""COMPUTED_VALUE"""),"Brasília/DF")</f>
        <v>Brasília/DF</v>
      </c>
      <c r="F105" s="4" t="str">
        <f>IFERROR(__xludf.DUMMYFUNCTION("""COMPUTED_VALUE"""),"Dado não disponível publicamente - Necessário Discovery")</f>
        <v>Dado não disponível publicamente - Necessário Discovery</v>
      </c>
      <c r="G105" s="4">
        <f>IFERROR(__xludf.DUMMYFUNCTION("""COMPUTED_VALUE"""),40.0)</f>
        <v>40</v>
      </c>
      <c r="H105" s="31">
        <f>IFERROR(__xludf.DUMMYFUNCTION("""COMPUTED_VALUE"""),0.5)</f>
        <v>0.5</v>
      </c>
      <c r="I105"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105" s="4" t="str">
        <f>IFERROR(__xludf.DUMMYFUNCTION("""COMPUTED_VALUE"""),"SAN PAOLO GELATO")</f>
        <v>SAN PAOLO GELATO</v>
      </c>
      <c r="L105" s="32">
        <f>IFERROR(__xludf.DUMMYFUNCTION("""COMPUTED_VALUE"""),87.0)</f>
        <v>87</v>
      </c>
      <c r="M105" s="4" t="str">
        <f>IFERROR(__xludf.DUMMYFUNCTION("""COMPUTED_VALUE"""),"Stone Co.")</f>
        <v>Stone Co.</v>
      </c>
      <c r="N105" s="33">
        <f>IFERROR(__xludf.DUMMYFUNCTION("""COMPUTED_VALUE"""),0.9425287356321839)</f>
        <v>0.9425287356</v>
      </c>
      <c r="O105" s="4" t="str">
        <f>IFERROR(__xludf.DUMMYFUNCTION("""COMPUTED_VALUE"""),"Stone Co.")</f>
        <v>Stone Co.</v>
      </c>
      <c r="P105" s="33">
        <f>IFERROR(__xludf.DUMMYFUNCTION("""COMPUTED_VALUE"""),0.9540229885057471)</f>
        <v>0.9540229885</v>
      </c>
      <c r="Q105" s="4" t="str">
        <f>IFERROR(__xludf.DUMMYFUNCTION("""COMPUTED_VALUE"""),"Stone Co.")</f>
        <v>Stone Co.</v>
      </c>
      <c r="R105" s="33">
        <f>IFERROR(__xludf.DUMMYFUNCTION("""COMPUTED_VALUE"""),0.9885057471264368)</f>
        <v>0.9885057471</v>
      </c>
      <c r="S105" s="4" t="str">
        <f>IFERROR(__xludf.DUMMYFUNCTION("""COMPUTED_VALUE"""),"Stone Co.")</f>
        <v>Stone Co.</v>
      </c>
      <c r="T105" s="33">
        <f>IFERROR(__xludf.DUMMYFUNCTION("""COMPUTED_VALUE"""),0.9885057471264368)</f>
        <v>0.9885057471</v>
      </c>
      <c r="U105" s="4" t="str">
        <f>IFERROR(__xludf.DUMMYFUNCTION("""COMPUTED_VALUE"""),"Stone Co.")</f>
        <v>Stone Co.</v>
      </c>
      <c r="V105" s="33">
        <f>IFERROR(__xludf.DUMMYFUNCTION("""COMPUTED_VALUE"""),0.9885057471264368)</f>
        <v>0.9885057471</v>
      </c>
      <c r="W105" s="4" t="str">
        <f>IFERROR(__xludf.DUMMYFUNCTION("""COMPUTED_VALUE"""),"Stone Co.")</f>
        <v>Stone Co.</v>
      </c>
      <c r="X105" s="33">
        <f>IFERROR(__xludf.DUMMYFUNCTION("""COMPUTED_VALUE"""),0.9540229885057471)</f>
        <v>0.9540229885</v>
      </c>
    </row>
    <row r="106">
      <c r="A106" s="4" t="str">
        <f>IFERROR(__xludf.DUMMYFUNCTION("""COMPUTED_VALUE"""),"GRUPO LORD BURGER")</f>
        <v>GRUPO LORD BURGER</v>
      </c>
      <c r="B106" s="4">
        <f>IFERROR(__xludf.DUMMYFUNCTION("""COMPUTED_VALUE"""),8.0)</f>
        <v>8</v>
      </c>
      <c r="C106" s="30">
        <f>IFERROR(__xludf.DUMMYFUNCTION("""COMPUTED_VALUE"""),85.0)</f>
        <v>85</v>
      </c>
      <c r="D106" s="4" t="str">
        <f>IFERROR(__xludf.DUMMYFUNCTION("""COMPUTED_VALUE"""),"Fast Casual - Hamburgueria")</f>
        <v>Fast Casual - Hamburgueria</v>
      </c>
      <c r="E106" s="4" t="str">
        <f>IFERROR(__xludf.DUMMYFUNCTION("""COMPUTED_VALUE"""),"Rio de Janeiro/RJ")</f>
        <v>Rio de Janeiro/RJ</v>
      </c>
      <c r="F106" s="4" t="str">
        <f>IFERROR(__xludf.DUMMYFUNCTION("""COMPUTED_VALUE"""),"Dado não disponível publicamente - Necessário Discovery")</f>
        <v>Dado não disponível publicamente - Necessário Discovery</v>
      </c>
      <c r="G106" s="4">
        <f>IFERROR(__xludf.DUMMYFUNCTION("""COMPUTED_VALUE"""),70.0)</f>
        <v>70</v>
      </c>
      <c r="H106" s="31">
        <f>IFERROR(__xludf.DUMMYFUNCTION("""COMPUTED_VALUE"""),0.75)</f>
        <v>0.75</v>
      </c>
      <c r="I10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06" s="4" t="str">
        <f>IFERROR(__xludf.DUMMYFUNCTION("""COMPUTED_VALUE"""),"LOJAS REDE HIPER CARIJOS - CONTA PAI")</f>
        <v>LOJAS REDE HIPER CARIJOS - CONTA PAI</v>
      </c>
      <c r="L106" s="32">
        <f>IFERROR(__xludf.DUMMYFUNCTION("""COMPUTED_VALUE"""),86.0)</f>
        <v>86</v>
      </c>
      <c r="M106" s="4" t="str">
        <f>IFERROR(__xludf.DUMMYFUNCTION("""COMPUTED_VALUE"""),"N/A (Not found)")</f>
        <v>N/A (Not found)</v>
      </c>
      <c r="N106" s="33">
        <f>IFERROR(__xludf.DUMMYFUNCTION("""COMPUTED_VALUE"""),0.9767441860465116)</f>
        <v>0.976744186</v>
      </c>
      <c r="O106" s="4" t="str">
        <f>IFERROR(__xludf.DUMMYFUNCTION("""COMPUTED_VALUE"""),"N/A (Not found)")</f>
        <v>N/A (Not found)</v>
      </c>
      <c r="P106" s="33">
        <f>IFERROR(__xludf.DUMMYFUNCTION("""COMPUTED_VALUE"""),0.9767441860465116)</f>
        <v>0.976744186</v>
      </c>
      <c r="Q106" s="4" t="str">
        <f>IFERROR(__xludf.DUMMYFUNCTION("""COMPUTED_VALUE"""),"N/A (Not found)")</f>
        <v>N/A (Not found)</v>
      </c>
      <c r="R106" s="33">
        <f>IFERROR(__xludf.DUMMYFUNCTION("""COMPUTED_VALUE"""),0.9767441860465116)</f>
        <v>0.976744186</v>
      </c>
      <c r="S106" s="4" t="str">
        <f>IFERROR(__xludf.DUMMYFUNCTION("""COMPUTED_VALUE"""),"N/A (Not found)")</f>
        <v>N/A (Not found)</v>
      </c>
      <c r="T106" s="33">
        <f>IFERROR(__xludf.DUMMYFUNCTION("""COMPUTED_VALUE"""),0.9883720930232558)</f>
        <v>0.988372093</v>
      </c>
      <c r="U106" s="4" t="str">
        <f>IFERROR(__xludf.DUMMYFUNCTION("""COMPUTED_VALUE"""),"N/A (Not found)")</f>
        <v>N/A (Not found)</v>
      </c>
      <c r="V106" s="33">
        <f>IFERROR(__xludf.DUMMYFUNCTION("""COMPUTED_VALUE"""),0.9883720930232558)</f>
        <v>0.988372093</v>
      </c>
      <c r="W106" s="4" t="str">
        <f>IFERROR(__xludf.DUMMYFUNCTION("""COMPUTED_VALUE"""),"N/A (Not found)")</f>
        <v>N/A (Not found)</v>
      </c>
      <c r="X106" s="33">
        <f>IFERROR(__xludf.DUMMYFUNCTION("""COMPUTED_VALUE"""),0.9767441860465116)</f>
        <v>0.976744186</v>
      </c>
    </row>
    <row r="107">
      <c r="A107" s="4" t="str">
        <f>IFERROR(__xludf.DUMMYFUNCTION("""COMPUTED_VALUE"""),"GRUPO NAU E MANGAI")</f>
        <v>GRUPO NAU E MANGAI</v>
      </c>
      <c r="B107" s="4">
        <f>IFERROR(__xludf.DUMMYFUNCTION("""COMPUTED_VALUE"""),14.0)</f>
        <v>14</v>
      </c>
      <c r="C107" s="30">
        <f>IFERROR(__xludf.DUMMYFUNCTION("""COMPUTED_VALUE"""),85.0)</f>
        <v>85</v>
      </c>
      <c r="D107" s="4" t="str">
        <f>IFERROR(__xludf.DUMMYFUNCTION("""COMPUTED_VALUE"""),"Full Service - Nordestina + Frutos do Mar")</f>
        <v>Full Service - Nordestina + Frutos do Mar</v>
      </c>
      <c r="E107" s="4" t="str">
        <f>IFERROR(__xludf.DUMMYFUNCTION("""COMPUTED_VALUE"""),"Nacional (PB, RN, PE, CE, DF)")</f>
        <v>Nacional (PB, RN, PE, CE, DF)</v>
      </c>
      <c r="F107" s="4" t="str">
        <f>IFERROR(__xludf.DUMMYFUNCTION("""COMPUTED_VALUE"""),"Dado não disponível publicamente - Necessário Discovery")</f>
        <v>Dado não disponível publicamente - Necessário Discovery</v>
      </c>
      <c r="G107" s="4">
        <f>IFERROR(__xludf.DUMMYFUNCTION("""COMPUTED_VALUE"""),55.0)</f>
        <v>55</v>
      </c>
      <c r="H107" s="31">
        <f>IFERROR(__xludf.DUMMYFUNCTION("""COMPUTED_VALUE"""),0.7)</f>
        <v>0.7</v>
      </c>
      <c r="I10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07" s="4" t="str">
        <f>IFERROR(__xludf.DUMMYFUNCTION("""COMPUTED_VALUE"""),"MERCADO MUNDO VERDE - CONTA MARCA")</f>
        <v>MERCADO MUNDO VERDE - CONTA MARCA</v>
      </c>
      <c r="L107" s="32">
        <f>IFERROR(__xludf.DUMMYFUNCTION("""COMPUTED_VALUE"""),86.0)</f>
        <v>86</v>
      </c>
      <c r="M107" s="4" t="str">
        <f>IFERROR(__xludf.DUMMYFUNCTION("""COMPUTED_VALUE"""),"N/A (Not found)")</f>
        <v>N/A (Not found)</v>
      </c>
      <c r="N107" s="33">
        <f>IFERROR(__xludf.DUMMYFUNCTION("""COMPUTED_VALUE"""),0.9302325581395349)</f>
        <v>0.9302325581</v>
      </c>
      <c r="O107" s="4" t="str">
        <f>IFERROR(__xludf.DUMMYFUNCTION("""COMPUTED_VALUE"""),"N/A (Not found)")</f>
        <v>N/A (Not found)</v>
      </c>
      <c r="P107" s="33">
        <f>IFERROR(__xludf.DUMMYFUNCTION("""COMPUTED_VALUE"""),0.9302325581395349)</f>
        <v>0.9302325581</v>
      </c>
      <c r="Q107" s="4" t="str">
        <f>IFERROR(__xludf.DUMMYFUNCTION("""COMPUTED_VALUE"""),"N/A (Not found)")</f>
        <v>N/A (Not found)</v>
      </c>
      <c r="R107" s="33">
        <f>IFERROR(__xludf.DUMMYFUNCTION("""COMPUTED_VALUE"""),0.872093023255814)</f>
        <v>0.8720930233</v>
      </c>
      <c r="S107" s="4" t="str">
        <f>IFERROR(__xludf.DUMMYFUNCTION("""COMPUTED_VALUE"""),"N/A (Not found)")</f>
        <v>N/A (Not found)</v>
      </c>
      <c r="T107" s="33">
        <f>IFERROR(__xludf.DUMMYFUNCTION("""COMPUTED_VALUE"""),0.8255813953488372)</f>
        <v>0.8255813953</v>
      </c>
      <c r="U107" s="4" t="str">
        <f>IFERROR(__xludf.DUMMYFUNCTION("""COMPUTED_VALUE"""),"N/A (Not found)")</f>
        <v>N/A (Not found)</v>
      </c>
      <c r="V107" s="33">
        <f>IFERROR(__xludf.DUMMYFUNCTION("""COMPUTED_VALUE"""),0.8837209302325582)</f>
        <v>0.8837209302</v>
      </c>
      <c r="W107" s="4" t="str">
        <f>IFERROR(__xludf.DUMMYFUNCTION("""COMPUTED_VALUE"""),"N/A (Not found)")</f>
        <v>N/A (Not found)</v>
      </c>
      <c r="X107" s="33">
        <f>IFERROR(__xludf.DUMMYFUNCTION("""COMPUTED_VALUE"""),0.8255813953488372)</f>
        <v>0.8255813953</v>
      </c>
    </row>
    <row r="108">
      <c r="A108" s="4" t="str">
        <f>IFERROR(__xludf.DUMMYFUNCTION("""COMPUTED_VALUE"""),"GRUPO PÁPRICA")</f>
        <v>GRUPO PÁPRICA</v>
      </c>
      <c r="B108" s="4">
        <f>IFERROR(__xludf.DUMMYFUNCTION("""COMPUTED_VALUE"""),5.0)</f>
        <v>5</v>
      </c>
      <c r="C108" s="30">
        <f>IFERROR(__xludf.DUMMYFUNCTION("""COMPUTED_VALUE"""),58.0)</f>
        <v>58</v>
      </c>
      <c r="D108" s="4" t="str">
        <f>IFERROR(__xludf.DUMMYFUNCTION("""COMPUTED_VALUE"""),"Fast Casual - Hamburgueria")</f>
        <v>Fast Casual - Hamburgueria</v>
      </c>
      <c r="E108" s="4" t="str">
        <f>IFERROR(__xludf.DUMMYFUNCTION("""COMPUTED_VALUE"""),"Brasília/DF (5 unidades)")</f>
        <v>Brasília/DF (5 unidades)</v>
      </c>
      <c r="F108" s="4" t="str">
        <f>IFERROR(__xludf.DUMMYFUNCTION("""COMPUTED_VALUE"""),"Dado não disponível publicamente - Necessário Discovery")</f>
        <v>Dado não disponível publicamente - Necessário Discovery</v>
      </c>
      <c r="G108" s="4">
        <f>IFERROR(__xludf.DUMMYFUNCTION("""COMPUTED_VALUE"""),70.0)</f>
        <v>70</v>
      </c>
      <c r="H108" s="31">
        <f>IFERROR(__xludf.DUMMYFUNCTION("""COMPUTED_VALUE"""),0.75)</f>
        <v>0.75</v>
      </c>
      <c r="I10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08" s="4" t="str">
        <f>IFERROR(__xludf.DUMMYFUNCTION("""COMPUTED_VALUE"""),"GRUPO MEI MEI")</f>
        <v>GRUPO MEI MEI</v>
      </c>
      <c r="L108" s="32">
        <f>IFERROR(__xludf.DUMMYFUNCTION("""COMPUTED_VALUE"""),85.0)</f>
        <v>85</v>
      </c>
      <c r="M108" s="4" t="str">
        <f>IFERROR(__xludf.DUMMYFUNCTION("""COMPUTED_VALUE"""),"Praeter Software De Gestao Ltda")</f>
        <v>Praeter Software De Gestao Ltda</v>
      </c>
      <c r="N108" s="33">
        <f>IFERROR(__xludf.DUMMYFUNCTION("""COMPUTED_VALUE"""),0.8705882352941177)</f>
        <v>0.8705882353</v>
      </c>
      <c r="O108" s="4" t="str">
        <f>IFERROR(__xludf.DUMMYFUNCTION("""COMPUTED_VALUE"""),"null")</f>
        <v>null</v>
      </c>
      <c r="P108" s="33">
        <f>IFERROR(__xludf.DUMMYFUNCTION("""COMPUTED_VALUE"""),0.5411764705882353)</f>
        <v>0.5411764706</v>
      </c>
      <c r="Q108" s="4" t="str">
        <f>IFERROR(__xludf.DUMMYFUNCTION("""COMPUTED_VALUE"""),"null")</f>
        <v>null</v>
      </c>
      <c r="R108" s="33">
        <f>IFERROR(__xludf.DUMMYFUNCTION("""COMPUTED_VALUE"""),0.5764705882352941)</f>
        <v>0.5764705882</v>
      </c>
      <c r="S108" s="4" t="str">
        <f>IFERROR(__xludf.DUMMYFUNCTION("""COMPUTED_VALUE"""),"null")</f>
        <v>null</v>
      </c>
      <c r="T108" s="33">
        <f>IFERROR(__xludf.DUMMYFUNCTION("""COMPUTED_VALUE"""),0.5647058823529412)</f>
        <v>0.5647058824</v>
      </c>
      <c r="U108" s="4" t="str">
        <f>IFERROR(__xludf.DUMMYFUNCTION("""COMPUTED_VALUE"""),"null")</f>
        <v>null</v>
      </c>
      <c r="V108" s="33">
        <f>IFERROR(__xludf.DUMMYFUNCTION("""COMPUTED_VALUE"""),0.6)</f>
        <v>0.6</v>
      </c>
      <c r="W108" s="4" t="str">
        <f>IFERROR(__xludf.DUMMYFUNCTION("""COMPUTED_VALUE"""),"null")</f>
        <v>null</v>
      </c>
      <c r="X108" s="33">
        <f>IFERROR(__xludf.DUMMYFUNCTION("""COMPUTED_VALUE"""),0.5647058823529412)</f>
        <v>0.5647058824</v>
      </c>
    </row>
    <row r="109">
      <c r="A109" s="4" t="str">
        <f>IFERROR(__xludf.DUMMYFUNCTION("""COMPUTED_VALUE"""),"GRUPO RAINHA DAS MARMITAS")</f>
        <v>GRUPO RAINHA DAS MARMITAS</v>
      </c>
      <c r="B109" s="4">
        <f>IFERROR(__xludf.DUMMYFUNCTION("""COMPUTED_VALUE"""),51.0)</f>
        <v>51</v>
      </c>
      <c r="C109" s="30">
        <f>IFERROR(__xludf.DUMMYFUNCTION("""COMPUTED_VALUE"""),37.0)</f>
        <v>37</v>
      </c>
      <c r="D109" s="4" t="str">
        <f>IFERROR(__xludf.DUMMYFUNCTION("""COMPUTED_VALUE"""),"QSR - Marmitex Delivery")</f>
        <v>QSR - Marmitex Delivery</v>
      </c>
      <c r="E109" s="4" t="str">
        <f>IFERROR(__xludf.DUMMYFUNCTION("""COMPUTED_VALUE"""),"Nacional (presente em 12+ estados)")</f>
        <v>Nacional (presente em 12+ estados)</v>
      </c>
      <c r="F109" s="4" t="str">
        <f>IFERROR(__xludf.DUMMYFUNCTION("""COMPUTED_VALUE"""),"Dado não disponível publicamente - Necessário Discovery")</f>
        <v>Dado não disponível publicamente - Necessário Discovery</v>
      </c>
      <c r="G109" s="4">
        <f>IFERROR(__xludf.DUMMYFUNCTION("""COMPUTED_VALUE"""),75.0)</f>
        <v>75</v>
      </c>
      <c r="H109" s="31">
        <f>IFERROR(__xludf.DUMMYFUNCTION("""COMPUTED_VALUE"""),0.95)</f>
        <v>0.95</v>
      </c>
      <c r="I109"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109" s="4" t="str">
        <f>IFERROR(__xludf.DUMMYFUNCTION("""COMPUTED_VALUE"""),"PROMOFARMA - CONTA PAI")</f>
        <v>PROMOFARMA - CONTA PAI</v>
      </c>
      <c r="L109" s="32">
        <f>IFERROR(__xludf.DUMMYFUNCTION("""COMPUTED_VALUE"""),85.0)</f>
        <v>85</v>
      </c>
      <c r="M109" s="4" t="str">
        <f>IFERROR(__xludf.DUMMYFUNCTION("""COMPUTED_VALUE"""),"N/A (Not found)")</f>
        <v>N/A (Not found)</v>
      </c>
      <c r="N109" s="33">
        <f>IFERROR(__xludf.DUMMYFUNCTION("""COMPUTED_VALUE"""),0.9882352941176471)</f>
        <v>0.9882352941</v>
      </c>
      <c r="O109" s="4" t="str">
        <f>IFERROR(__xludf.DUMMYFUNCTION("""COMPUTED_VALUE"""),"N/A (Not found)")</f>
        <v>N/A (Not found)</v>
      </c>
      <c r="P109" s="33">
        <f>IFERROR(__xludf.DUMMYFUNCTION("""COMPUTED_VALUE"""),0.9882352941176471)</f>
        <v>0.9882352941</v>
      </c>
      <c r="Q109" s="4" t="str">
        <f>IFERROR(__xludf.DUMMYFUNCTION("""COMPUTED_VALUE"""),"N/A (Not found)")</f>
        <v>N/A (Not found)</v>
      </c>
      <c r="R109" s="33">
        <f>IFERROR(__xludf.DUMMYFUNCTION("""COMPUTED_VALUE"""),1.0)</f>
        <v>1</v>
      </c>
      <c r="S109" s="4" t="str">
        <f>IFERROR(__xludf.DUMMYFUNCTION("""COMPUTED_VALUE"""),"N/A (Not found)")</f>
        <v>N/A (Not found)</v>
      </c>
      <c r="T109" s="33">
        <f>IFERROR(__xludf.DUMMYFUNCTION("""COMPUTED_VALUE"""),1.0)</f>
        <v>1</v>
      </c>
      <c r="U109" s="4" t="str">
        <f>IFERROR(__xludf.DUMMYFUNCTION("""COMPUTED_VALUE"""),"N/A (Not found)")</f>
        <v>N/A (Not found)</v>
      </c>
      <c r="V109" s="33">
        <f>IFERROR(__xludf.DUMMYFUNCTION("""COMPUTED_VALUE"""),0.9882352941176471)</f>
        <v>0.9882352941</v>
      </c>
      <c r="W109" s="4" t="str">
        <f>IFERROR(__xludf.DUMMYFUNCTION("""COMPUTED_VALUE"""),"N/A (Not found)")</f>
        <v>N/A (Not found)</v>
      </c>
      <c r="X109" s="33">
        <f>IFERROR(__xludf.DUMMYFUNCTION("""COMPUTED_VALUE"""),0.9882352941176471)</f>
        <v>0.9882352941</v>
      </c>
    </row>
    <row r="110">
      <c r="A110" s="4" t="str">
        <f>IFERROR(__xludf.DUMMYFUNCTION("""COMPUTED_VALUE"""),"GRUPO REGALO PIZZERIA")</f>
        <v>GRUPO REGALO PIZZERIA</v>
      </c>
      <c r="B110" s="4">
        <f>IFERROR(__xludf.DUMMYFUNCTION("""COMPUTED_VALUE"""),6.0)</f>
        <v>6</v>
      </c>
      <c r="C110" s="30">
        <f>IFERROR(__xludf.DUMMYFUNCTION("""COMPUTED_VALUE"""),109.0)</f>
        <v>109</v>
      </c>
      <c r="D110" s="4" t="str">
        <f>IFERROR(__xludf.DUMMYFUNCTION("""COMPUTED_VALUE"""),"Grupo Multi-marca")</f>
        <v>Grupo Multi-marca</v>
      </c>
      <c r="E110" s="4" t="str">
        <f>IFERROR(__xludf.DUMMYFUNCTION("""COMPUTED_VALUE"""),"Centro-Oeste")</f>
        <v>Centro-Oeste</v>
      </c>
      <c r="F110" s="4" t="str">
        <f>IFERROR(__xludf.DUMMYFUNCTION("""COMPUTED_VALUE"""),"Dado não disponível publicamente - Necessário Discovery")</f>
        <v>Dado não disponível publicamente - Necessário Discovery</v>
      </c>
      <c r="G110" s="4">
        <f>IFERROR(__xludf.DUMMYFUNCTION("""COMPUTED_VALUE"""),40.0)</f>
        <v>40</v>
      </c>
      <c r="H110" s="31">
        <f>IFERROR(__xludf.DUMMYFUNCTION("""COMPUTED_VALUE"""),0.5)</f>
        <v>0.5</v>
      </c>
      <c r="I110"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110" s="4" t="str">
        <f>IFERROR(__xludf.DUMMYFUNCTION("""COMPUTED_VALUE"""),"GRUPO PAPILA")</f>
        <v>GRUPO PAPILA</v>
      </c>
      <c r="L110" s="32">
        <f>IFERROR(__xludf.DUMMYFUNCTION("""COMPUTED_VALUE"""),82.0)</f>
        <v>82</v>
      </c>
      <c r="M110" s="4" t="str">
        <f>IFERROR(__xludf.DUMMYFUNCTION("""COMPUTED_VALUE"""),"E-deploy Retail")</f>
        <v>E-deploy Retail</v>
      </c>
      <c r="N110" s="33">
        <f>IFERROR(__xludf.DUMMYFUNCTION("""COMPUTED_VALUE"""),0.9925925925925926)</f>
        <v>0.9925925926</v>
      </c>
      <c r="O110" s="4" t="str">
        <f>IFERROR(__xludf.DUMMYFUNCTION("""COMPUTED_VALUE"""),"E-deploy Retail")</f>
        <v>E-deploy Retail</v>
      </c>
      <c r="P110" s="33">
        <f>IFERROR(__xludf.DUMMYFUNCTION("""COMPUTED_VALUE"""),0.7851851851851852)</f>
        <v>0.7851851852</v>
      </c>
      <c r="Q110" s="4" t="str">
        <f>IFERROR(__xludf.DUMMYFUNCTION("""COMPUTED_VALUE"""),"E-deploy Retail")</f>
        <v>E-deploy Retail</v>
      </c>
      <c r="R110" s="33">
        <f>IFERROR(__xludf.DUMMYFUNCTION("""COMPUTED_VALUE"""),0.7185185185185186)</f>
        <v>0.7185185185</v>
      </c>
      <c r="S110" s="4" t="str">
        <f>IFERROR(__xludf.DUMMYFUNCTION("""COMPUTED_VALUE"""),"E-deploy Retail")</f>
        <v>E-deploy Retail</v>
      </c>
      <c r="T110" s="33">
        <f>IFERROR(__xludf.DUMMYFUNCTION("""COMPUTED_VALUE"""),0.6444444444444445)</f>
        <v>0.6444444444</v>
      </c>
      <c r="U110" s="4" t="str">
        <f>IFERROR(__xludf.DUMMYFUNCTION("""COMPUTED_VALUE"""),"E-deploy Retail")</f>
        <v>E-deploy Retail</v>
      </c>
      <c r="V110" s="33">
        <f>IFERROR(__xludf.DUMMYFUNCTION("""COMPUTED_VALUE"""),0.7407407407407407)</f>
        <v>0.7407407407</v>
      </c>
      <c r="W110" s="4" t="str">
        <f>IFERROR(__xludf.DUMMYFUNCTION("""COMPUTED_VALUE"""),"E-deploy Retail")</f>
        <v>E-deploy Retail</v>
      </c>
      <c r="X110" s="33">
        <f>IFERROR(__xludf.DUMMYFUNCTION("""COMPUTED_VALUE"""),0.7185185185185186)</f>
        <v>0.7185185185</v>
      </c>
    </row>
    <row r="111">
      <c r="A111" s="4" t="str">
        <f>IFERROR(__xludf.DUMMYFUNCTION("""COMPUTED_VALUE"""),"GRUPO ROKKON")</f>
        <v>GRUPO ROKKON</v>
      </c>
      <c r="B111" s="4">
        <f>IFERROR(__xludf.DUMMYFUNCTION("""COMPUTED_VALUE"""),17.0)</f>
        <v>17</v>
      </c>
      <c r="C111" s="30">
        <f>IFERROR(__xludf.DUMMYFUNCTION("""COMPUTED_VALUE"""),119.0)</f>
        <v>119</v>
      </c>
      <c r="D111" s="4" t="str">
        <f>IFERROR(__xludf.DUMMYFUNCTION("""COMPUTED_VALUE"""),"Grupo Multi-marca")</f>
        <v>Grupo Multi-marca</v>
      </c>
      <c r="E111" s="4" t="str">
        <f>IFERROR(__xludf.DUMMYFUNCTION("""COMPUTED_VALUE"""),"Centro-Oeste")</f>
        <v>Centro-Oeste</v>
      </c>
      <c r="F111" s="4" t="str">
        <f>IFERROR(__xludf.DUMMYFUNCTION("""COMPUTED_VALUE"""),"Dado não disponível publicamente - Necessário Discovery")</f>
        <v>Dado não disponível publicamente - Necessário Discovery</v>
      </c>
      <c r="G111" s="4">
        <f>IFERROR(__xludf.DUMMYFUNCTION("""COMPUTED_VALUE"""),40.0)</f>
        <v>40</v>
      </c>
      <c r="H111" s="31">
        <f>IFERROR(__xludf.DUMMYFUNCTION("""COMPUTED_VALUE"""),0.55)</f>
        <v>0.55</v>
      </c>
      <c r="I111"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111" s="4" t="str">
        <f>IFERROR(__xludf.DUMMYFUNCTION("""COMPUTED_VALUE"""),"THE BEST ACAI LONDRINA")</f>
        <v>THE BEST ACAI LONDRINA</v>
      </c>
      <c r="L111" s="32">
        <f>IFERROR(__xludf.DUMMYFUNCTION("""COMPUTED_VALUE"""),82.0)</f>
        <v>82</v>
      </c>
      <c r="M111" s="4" t="str">
        <f>IFERROR(__xludf.DUMMYFUNCTION("""COMPUTED_VALUE"""),"null")</f>
        <v>null</v>
      </c>
      <c r="N111" s="33">
        <f>IFERROR(__xludf.DUMMYFUNCTION("""COMPUTED_VALUE"""),0.6463414634146342)</f>
        <v>0.6463414634</v>
      </c>
      <c r="O111" s="4" t="str">
        <f>IFERROR(__xludf.DUMMYFUNCTION("""COMPUTED_VALUE"""),"null")</f>
        <v>null</v>
      </c>
      <c r="P111" s="33">
        <f>IFERROR(__xludf.DUMMYFUNCTION("""COMPUTED_VALUE"""),0.6341463414634146)</f>
        <v>0.6341463415</v>
      </c>
      <c r="Q111" s="4" t="str">
        <f>IFERROR(__xludf.DUMMYFUNCTION("""COMPUTED_VALUE"""),"null")</f>
        <v>null</v>
      </c>
      <c r="R111" s="33">
        <f>IFERROR(__xludf.DUMMYFUNCTION("""COMPUTED_VALUE"""),0.4878048780487805)</f>
        <v>0.487804878</v>
      </c>
      <c r="S111" s="4" t="str">
        <f>IFERROR(__xludf.DUMMYFUNCTION("""COMPUTED_VALUE"""),"Amabest Tech")</f>
        <v>Amabest Tech</v>
      </c>
      <c r="T111" s="33">
        <f>IFERROR(__xludf.DUMMYFUNCTION("""COMPUTED_VALUE"""),0.47560975609756095)</f>
        <v>0.4756097561</v>
      </c>
      <c r="U111" s="4" t="str">
        <f>IFERROR(__xludf.DUMMYFUNCTION("""COMPUTED_VALUE"""),"Amabest Tech")</f>
        <v>Amabest Tech</v>
      </c>
      <c r="V111" s="33">
        <f>IFERROR(__xludf.DUMMYFUNCTION("""COMPUTED_VALUE"""),0.5975609756097561)</f>
        <v>0.5975609756</v>
      </c>
      <c r="W111" s="4" t="str">
        <f>IFERROR(__xludf.DUMMYFUNCTION("""COMPUTED_VALUE"""),"Amabest Tech")</f>
        <v>Amabest Tech</v>
      </c>
      <c r="X111" s="33">
        <f>IFERROR(__xludf.DUMMYFUNCTION("""COMPUTED_VALUE"""),0.7439024390243902)</f>
        <v>0.743902439</v>
      </c>
    </row>
    <row r="112">
      <c r="A112" s="4" t="str">
        <f>IFERROR(__xludf.DUMMYFUNCTION("""COMPUTED_VALUE"""),"GRUPO SALAD BOWL")</f>
        <v>GRUPO SALAD BOWL</v>
      </c>
      <c r="B112" s="4">
        <f>IFERROR(__xludf.DUMMYFUNCTION("""COMPUTED_VALUE"""),5.0)</f>
        <v>5</v>
      </c>
      <c r="C112" s="30">
        <f>IFERROR(__xludf.DUMMYFUNCTION("""COMPUTED_VALUE"""),38.0)</f>
        <v>38</v>
      </c>
      <c r="D112" s="4" t="str">
        <f>IFERROR(__xludf.DUMMYFUNCTION("""COMPUTED_VALUE"""),"Fast Casual - Saladas e Poke")</f>
        <v>Fast Casual - Saladas e Poke</v>
      </c>
      <c r="E112" s="4" t="str">
        <f>IFERROR(__xludf.DUMMYFUNCTION("""COMPUTED_VALUE"""),"São Paulo/SP e Brasília/DF")</f>
        <v>São Paulo/SP e Brasília/DF</v>
      </c>
      <c r="F112" s="4" t="str">
        <f>IFERROR(__xludf.DUMMYFUNCTION("""COMPUTED_VALUE"""),"Dado não disponível publicamente - Necessário Discovery")</f>
        <v>Dado não disponível publicamente - Necessário Discovery</v>
      </c>
      <c r="G112" s="4">
        <f>IFERROR(__xludf.DUMMYFUNCTION("""COMPUTED_VALUE"""),70.0)</f>
        <v>70</v>
      </c>
      <c r="H112" s="31">
        <f>IFERROR(__xludf.DUMMYFUNCTION("""COMPUTED_VALUE"""),0.75)</f>
        <v>0.75</v>
      </c>
      <c r="I11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12" s="4" t="str">
        <f>IFERROR(__xludf.DUMMYFUNCTION("""COMPUTED_VALUE"""),"NATUS FARMA - CONTA PAI")</f>
        <v>NATUS FARMA - CONTA PAI</v>
      </c>
      <c r="L112" s="32">
        <f>IFERROR(__xludf.DUMMYFUNCTION("""COMPUTED_VALUE"""),80.0)</f>
        <v>80</v>
      </c>
      <c r="M112" s="4" t="str">
        <f>IFERROR(__xludf.DUMMYFUNCTION("""COMPUTED_VALUE"""),"null")</f>
        <v>null</v>
      </c>
      <c r="N112" s="33">
        <f>IFERROR(__xludf.DUMMYFUNCTION("""COMPUTED_VALUE"""),0.8125)</f>
        <v>0.8125</v>
      </c>
      <c r="O112" s="4" t="str">
        <f>IFERROR(__xludf.DUMMYFUNCTION("""COMPUTED_VALUE"""),"null")</f>
        <v>null</v>
      </c>
      <c r="P112" s="33">
        <f>IFERROR(__xludf.DUMMYFUNCTION("""COMPUTED_VALUE"""),0.7875)</f>
        <v>0.7875</v>
      </c>
      <c r="Q112" s="4" t="str">
        <f>IFERROR(__xludf.DUMMYFUNCTION("""COMPUTED_VALUE"""),"N/A (Not found)")</f>
        <v>N/A (Not found)</v>
      </c>
      <c r="R112" s="33">
        <f>IFERROR(__xludf.DUMMYFUNCTION("""COMPUTED_VALUE"""),0.55)</f>
        <v>0.55</v>
      </c>
      <c r="S112" s="4" t="str">
        <f>IFERROR(__xludf.DUMMYFUNCTION("""COMPUTED_VALUE"""),"N/A (Not found)")</f>
        <v>N/A (Not found)</v>
      </c>
      <c r="T112" s="33">
        <f>IFERROR(__xludf.DUMMYFUNCTION("""COMPUTED_VALUE"""),0.85)</f>
        <v>0.85</v>
      </c>
      <c r="U112" s="4" t="str">
        <f>IFERROR(__xludf.DUMMYFUNCTION("""COMPUTED_VALUE"""),"N/A (Not found)")</f>
        <v>N/A (Not found)</v>
      </c>
      <c r="V112" s="33">
        <f>IFERROR(__xludf.DUMMYFUNCTION("""COMPUTED_VALUE"""),0.9125)</f>
        <v>0.9125</v>
      </c>
      <c r="W112" s="4" t="str">
        <f>IFERROR(__xludf.DUMMYFUNCTION("""COMPUTED_VALUE"""),"N/A (Not found)")</f>
        <v>N/A (Not found)</v>
      </c>
      <c r="X112" s="33">
        <f>IFERROR(__xludf.DUMMYFUNCTION("""COMPUTED_VALUE"""),0.825)</f>
        <v>0.825</v>
      </c>
    </row>
    <row r="113">
      <c r="A113" s="4" t="str">
        <f>IFERROR(__xludf.DUMMYFUNCTION("""COMPUTED_VALUE"""),"GRUPO SOHO AM - CONTA PAI")</f>
        <v>GRUPO SOHO AM - CONTA PAI</v>
      </c>
      <c r="B113" s="4">
        <f>IFERROR(__xludf.DUMMYFUNCTION("""COMPUTED_VALUE"""),10.0)</f>
        <v>10</v>
      </c>
      <c r="C113" s="30">
        <f>IFERROR(__xludf.DUMMYFUNCTION("""COMPUTED_VALUE"""),110.0)</f>
        <v>110</v>
      </c>
      <c r="D113" s="4" t="str">
        <f>IFERROR(__xludf.DUMMYFUNCTION("""COMPUTED_VALUE"""),"Grupo Multi-marca")</f>
        <v>Grupo Multi-marca</v>
      </c>
      <c r="E113" s="4" t="str">
        <f>IFERROR(__xludf.DUMMYFUNCTION("""COMPUTED_VALUE"""),"Brasília/DF")</f>
        <v>Brasília/DF</v>
      </c>
      <c r="F113" s="4" t="str">
        <f>IFERROR(__xludf.DUMMYFUNCTION("""COMPUTED_VALUE"""),"Dado não disponível publicamente - Necessário Discovery")</f>
        <v>Dado não disponível publicamente - Necessário Discovery</v>
      </c>
      <c r="G113" s="4">
        <f>IFERROR(__xludf.DUMMYFUNCTION("""COMPUTED_VALUE"""),40.0)</f>
        <v>40</v>
      </c>
      <c r="H113" s="31">
        <f>IFERROR(__xludf.DUMMYFUNCTION("""COMPUTED_VALUE"""),0.55)</f>
        <v>0.55</v>
      </c>
      <c r="I113"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113" s="4" t="str">
        <f>IFERROR(__xludf.DUMMYFUNCTION("""COMPUTED_VALUE"""),"GRUPO MANA POKE")</f>
        <v>GRUPO MANA POKE</v>
      </c>
      <c r="L113" s="32">
        <f>IFERROR(__xludf.DUMMYFUNCTION("""COMPUTED_VALUE"""),76.0)</f>
        <v>76</v>
      </c>
      <c r="M113" s="4" t="str">
        <f>IFERROR(__xludf.DUMMYFUNCTION("""COMPUTED_VALUE"""),"Swfast Sistemas")</f>
        <v>Swfast Sistemas</v>
      </c>
      <c r="N113" s="33">
        <f>IFERROR(__xludf.DUMMYFUNCTION("""COMPUTED_VALUE"""),0.8289473684210527)</f>
        <v>0.8289473684</v>
      </c>
      <c r="O113" s="4" t="str">
        <f>IFERROR(__xludf.DUMMYFUNCTION("""COMPUTED_VALUE"""),"Swfast Sistemas")</f>
        <v>Swfast Sistemas</v>
      </c>
      <c r="P113" s="33">
        <f>IFERROR(__xludf.DUMMYFUNCTION("""COMPUTED_VALUE"""),0.868421052631579)</f>
        <v>0.8684210526</v>
      </c>
      <c r="Q113" s="4" t="str">
        <f>IFERROR(__xludf.DUMMYFUNCTION("""COMPUTED_VALUE"""),"Swfast Sistemas")</f>
        <v>Swfast Sistemas</v>
      </c>
      <c r="R113" s="33">
        <f>IFERROR(__xludf.DUMMYFUNCTION("""COMPUTED_VALUE"""),0.8421052631578947)</f>
        <v>0.8421052632</v>
      </c>
      <c r="S113" s="4" t="str">
        <f>IFERROR(__xludf.DUMMYFUNCTION("""COMPUTED_VALUE"""),"Swfast Sistemas")</f>
        <v>Swfast Sistemas</v>
      </c>
      <c r="T113" s="33">
        <f>IFERROR(__xludf.DUMMYFUNCTION("""COMPUTED_VALUE"""),0.7763157894736842)</f>
        <v>0.7763157895</v>
      </c>
      <c r="U113" s="4" t="str">
        <f>IFERROR(__xludf.DUMMYFUNCTION("""COMPUTED_VALUE"""),"Swfast Sistemas")</f>
        <v>Swfast Sistemas</v>
      </c>
      <c r="V113" s="33">
        <f>IFERROR(__xludf.DUMMYFUNCTION("""COMPUTED_VALUE"""),0.8552631578947368)</f>
        <v>0.8552631579</v>
      </c>
      <c r="W113" s="4" t="str">
        <f>IFERROR(__xludf.DUMMYFUNCTION("""COMPUTED_VALUE"""),"Swfast Sistemas")</f>
        <v>Swfast Sistemas</v>
      </c>
      <c r="X113" s="33">
        <f>IFERROR(__xludf.DUMMYFUNCTION("""COMPUTED_VALUE"""),0.9605263157894737)</f>
        <v>0.9605263158</v>
      </c>
    </row>
    <row r="114">
      <c r="A114" s="4" t="str">
        <f>IFERROR(__xludf.DUMMYFUNCTION("""COMPUTED_VALUE"""),"GRUPO TUNA")</f>
        <v>GRUPO TUNA</v>
      </c>
      <c r="B114" s="4">
        <f>IFERROR(__xludf.DUMMYFUNCTION("""COMPUTED_VALUE"""),20.0)</f>
        <v>20</v>
      </c>
      <c r="C114" s="30">
        <f>IFERROR(__xludf.DUMMYFUNCTION("""COMPUTED_VALUE"""),98.0)</f>
        <v>98</v>
      </c>
      <c r="D114" s="4" t="str">
        <f>IFERROR(__xludf.DUMMYFUNCTION("""COMPUTED_VALUE"""),"Grupo Multi-marca")</f>
        <v>Grupo Multi-marca</v>
      </c>
      <c r="E114" s="4" t="str">
        <f>IFERROR(__xludf.DUMMYFUNCTION("""COMPUTED_VALUE"""),"Rio de Janeiro/RJ")</f>
        <v>Rio de Janeiro/RJ</v>
      </c>
      <c r="F114" s="4" t="str">
        <f>IFERROR(__xludf.DUMMYFUNCTION("""COMPUTED_VALUE"""),"Dado não disponível publicamente - Necessário Discovery")</f>
        <v>Dado não disponível publicamente - Necessário Discovery</v>
      </c>
      <c r="G114" s="4">
        <f>IFERROR(__xludf.DUMMYFUNCTION("""COMPUTED_VALUE"""),45.0)</f>
        <v>45</v>
      </c>
      <c r="H114" s="31">
        <f>IFERROR(__xludf.DUMMYFUNCTION("""COMPUTED_VALUE"""),0.55)</f>
        <v>0.55</v>
      </c>
      <c r="I114"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114" s="4" t="str">
        <f>IFERROR(__xludf.DUMMYFUNCTION("""COMPUTED_VALUE"""),"PES PATAS - MARCA")</f>
        <v>PES PATAS - MARCA</v>
      </c>
      <c r="L114" s="32">
        <f>IFERROR(__xludf.DUMMYFUNCTION("""COMPUTED_VALUE"""),75.0)</f>
        <v>75</v>
      </c>
      <c r="M114" s="4" t="str">
        <f>IFERROR(__xludf.DUMMYFUNCTION("""COMPUTED_VALUE"""),"N/A (Not found)")</f>
        <v>N/A (Not found)</v>
      </c>
      <c r="N114" s="33">
        <f>IFERROR(__xludf.DUMMYFUNCTION("""COMPUTED_VALUE"""),0.96)</f>
        <v>0.96</v>
      </c>
      <c r="O114" s="4" t="str">
        <f>IFERROR(__xludf.DUMMYFUNCTION("""COMPUTED_VALUE"""),"N/A (Not found)")</f>
        <v>N/A (Not found)</v>
      </c>
      <c r="P114" s="33">
        <f>IFERROR(__xludf.DUMMYFUNCTION("""COMPUTED_VALUE"""),1.0)</f>
        <v>1</v>
      </c>
      <c r="Q114" s="4" t="str">
        <f>IFERROR(__xludf.DUMMYFUNCTION("""COMPUTED_VALUE"""),"N/A (Not found)")</f>
        <v>N/A (Not found)</v>
      </c>
      <c r="R114" s="33">
        <f>IFERROR(__xludf.DUMMYFUNCTION("""COMPUTED_VALUE"""),1.0)</f>
        <v>1</v>
      </c>
      <c r="S114" s="4" t="str">
        <f>IFERROR(__xludf.DUMMYFUNCTION("""COMPUTED_VALUE"""),"N/A (Not found)")</f>
        <v>N/A (Not found)</v>
      </c>
      <c r="T114" s="33">
        <f>IFERROR(__xludf.DUMMYFUNCTION("""COMPUTED_VALUE"""),1.0)</f>
        <v>1</v>
      </c>
      <c r="U114" s="4" t="str">
        <f>IFERROR(__xludf.DUMMYFUNCTION("""COMPUTED_VALUE"""),"N/A (Not found)")</f>
        <v>N/A (Not found)</v>
      </c>
      <c r="V114" s="33">
        <f>IFERROR(__xludf.DUMMYFUNCTION("""COMPUTED_VALUE"""),1.0)</f>
        <v>1</v>
      </c>
      <c r="W114" s="4" t="str">
        <f>IFERROR(__xludf.DUMMYFUNCTION("""COMPUTED_VALUE"""),"N/A (Not found)")</f>
        <v>N/A (Not found)</v>
      </c>
      <c r="X114" s="33">
        <f>IFERROR(__xludf.DUMMYFUNCTION("""COMPUTED_VALUE"""),1.0)</f>
        <v>1</v>
      </c>
    </row>
    <row r="115">
      <c r="A115" s="4" t="str">
        <f>IFERROR(__xludf.DUMMYFUNCTION("""COMPUTED_VALUE"""),"HAJIME SUSHI")</f>
        <v>HAJIME SUSHI</v>
      </c>
      <c r="B115" s="4">
        <f>IFERROR(__xludf.DUMMYFUNCTION("""COMPUTED_VALUE"""),12.0)</f>
        <v>12</v>
      </c>
      <c r="C115" s="30">
        <f>IFERROR(__xludf.DUMMYFUNCTION("""COMPUTED_VALUE"""),88.0)</f>
        <v>88</v>
      </c>
      <c r="D115" s="4" t="str">
        <f>IFERROR(__xludf.DUMMYFUNCTION("""COMPUTED_VALUE"""),"Fast Casual - Japonesa")</f>
        <v>Fast Casual - Japonesa</v>
      </c>
      <c r="E115" s="4" t="str">
        <f>IFERROR(__xludf.DUMMYFUNCTION("""COMPUTED_VALUE"""),"Brasília/DF")</f>
        <v>Brasília/DF</v>
      </c>
      <c r="F115" s="4" t="str">
        <f>IFERROR(__xludf.DUMMYFUNCTION("""COMPUTED_VALUE"""),"Dado não disponível publicamente - Necessário Discovery")</f>
        <v>Dado não disponível publicamente - Necessário Discovery</v>
      </c>
      <c r="G115" s="4">
        <f>IFERROR(__xludf.DUMMYFUNCTION("""COMPUTED_VALUE"""),70.0)</f>
        <v>70</v>
      </c>
      <c r="H115" s="31">
        <f>IFERROR(__xludf.DUMMYFUNCTION("""COMPUTED_VALUE"""),0.8)</f>
        <v>0.8</v>
      </c>
      <c r="I115"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115" s="4" t="str">
        <f>IFERROR(__xludf.DUMMYFUNCTION("""COMPUTED_VALUE"""),"GRUPO OBA HORTIFRUTI")</f>
        <v>GRUPO OBA HORTIFRUTI</v>
      </c>
      <c r="L115" s="32">
        <f>IFERROR(__xludf.DUMMYFUNCTION("""COMPUTED_VALUE"""),74.0)</f>
        <v>74</v>
      </c>
      <c r="M115" s="4" t="str">
        <f>IFERROR(__xludf.DUMMYFUNCTION("""COMPUTED_VALUE"""),"N/A (Not found)")</f>
        <v>N/A (Not found)</v>
      </c>
      <c r="N115" s="33">
        <f>IFERROR(__xludf.DUMMYFUNCTION("""COMPUTED_VALUE"""),1.0)</f>
        <v>1</v>
      </c>
      <c r="O115" s="4" t="str">
        <f>IFERROR(__xludf.DUMMYFUNCTION("""COMPUTED_VALUE"""),"N/A (Not found)")</f>
        <v>N/A (Not found)</v>
      </c>
      <c r="P115" s="33">
        <f>IFERROR(__xludf.DUMMYFUNCTION("""COMPUTED_VALUE"""),1.0)</f>
        <v>1</v>
      </c>
      <c r="Q115" s="4" t="str">
        <f>IFERROR(__xludf.DUMMYFUNCTION("""COMPUTED_VALUE"""),"N/A (Not found)")</f>
        <v>N/A (Not found)</v>
      </c>
      <c r="R115" s="33">
        <f>IFERROR(__xludf.DUMMYFUNCTION("""COMPUTED_VALUE"""),1.0)</f>
        <v>1</v>
      </c>
      <c r="S115" s="4" t="str">
        <f>IFERROR(__xludf.DUMMYFUNCTION("""COMPUTED_VALUE"""),"N/A (Not found)")</f>
        <v>N/A (Not found)</v>
      </c>
      <c r="T115" s="33">
        <f>IFERROR(__xludf.DUMMYFUNCTION("""COMPUTED_VALUE"""),1.0)</f>
        <v>1</v>
      </c>
      <c r="U115" s="4" t="str">
        <f>IFERROR(__xludf.DUMMYFUNCTION("""COMPUTED_VALUE"""),"N/A (Not found)")</f>
        <v>N/A (Not found)</v>
      </c>
      <c r="V115" s="33">
        <f>IFERROR(__xludf.DUMMYFUNCTION("""COMPUTED_VALUE"""),1.0)</f>
        <v>1</v>
      </c>
      <c r="W115" s="4" t="str">
        <f>IFERROR(__xludf.DUMMYFUNCTION("""COMPUTED_VALUE"""),"N/A (Not found)")</f>
        <v>N/A (Not found)</v>
      </c>
      <c r="X115" s="33">
        <f>IFERROR(__xludf.DUMMYFUNCTION("""COMPUTED_VALUE"""),1.0)</f>
        <v>1</v>
      </c>
    </row>
    <row r="116">
      <c r="A116" s="4" t="str">
        <f>IFERROR(__xludf.DUMMYFUNCTION("""COMPUTED_VALUE"""),"HASHI EXPRESS")</f>
        <v>HASHI EXPRESS</v>
      </c>
      <c r="B116" s="4">
        <f>IFERROR(__xludf.DUMMYFUNCTION("""COMPUTED_VALUE"""),6.0)</f>
        <v>6</v>
      </c>
      <c r="C116" s="30">
        <f>IFERROR(__xludf.DUMMYFUNCTION("""COMPUTED_VALUE"""),90.0)</f>
        <v>90</v>
      </c>
      <c r="D116" s="4" t="str">
        <f>IFERROR(__xludf.DUMMYFUNCTION("""COMPUTED_VALUE"""),"Fast Casual - Japonesa")</f>
        <v>Fast Casual - Japonesa</v>
      </c>
      <c r="E116" s="4" t="str">
        <f>IFERROR(__xludf.DUMMYFUNCTION("""COMPUTED_VALUE"""),"Rio de Janeiro/RJ")</f>
        <v>Rio de Janeiro/RJ</v>
      </c>
      <c r="F116" s="4" t="str">
        <f>IFERROR(__xludf.DUMMYFUNCTION("""COMPUTED_VALUE"""),"Dado não disponível publicamente - Necessário Discovery")</f>
        <v>Dado não disponível publicamente - Necessário Discovery</v>
      </c>
      <c r="G116" s="4">
        <f>IFERROR(__xludf.DUMMYFUNCTION("""COMPUTED_VALUE"""),70.0)</f>
        <v>70</v>
      </c>
      <c r="H116" s="31">
        <f>IFERROR(__xludf.DUMMYFUNCTION("""COMPUTED_VALUE"""),0.75)</f>
        <v>0.75</v>
      </c>
      <c r="I11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16" s="4" t="str">
        <f>IFERROR(__xludf.DUMMYFUNCTION("""COMPUTED_VALUE"""),"QUIERO CAFE")</f>
        <v>QUIERO CAFE</v>
      </c>
      <c r="L116" s="32">
        <f>IFERROR(__xludf.DUMMYFUNCTION("""COMPUTED_VALUE"""),74.0)</f>
        <v>74</v>
      </c>
      <c r="M116" s="4" t="str">
        <f>IFERROR(__xludf.DUMMYFUNCTION("""COMPUTED_VALUE"""),"Totvs Large Enterprise Tecnologia S.a.")</f>
        <v>Totvs Large Enterprise Tecnologia S.a.</v>
      </c>
      <c r="N116" s="33">
        <f>IFERROR(__xludf.DUMMYFUNCTION("""COMPUTED_VALUE"""),0.8648648648648649)</f>
        <v>0.8648648649</v>
      </c>
      <c r="O116" s="4" t="str">
        <f>IFERROR(__xludf.DUMMYFUNCTION("""COMPUTED_VALUE"""),"Totvs Large Enterprise Tecnologia S.a.")</f>
        <v>Totvs Large Enterprise Tecnologia S.a.</v>
      </c>
      <c r="P116" s="33">
        <f>IFERROR(__xludf.DUMMYFUNCTION("""COMPUTED_VALUE"""),0.7972972972972973)</f>
        <v>0.7972972973</v>
      </c>
      <c r="Q116" s="4" t="str">
        <f>IFERROR(__xludf.DUMMYFUNCTION("""COMPUTED_VALUE"""),"Totvs Large Enterprise Tecnologia S.a.")</f>
        <v>Totvs Large Enterprise Tecnologia S.a.</v>
      </c>
      <c r="R116" s="33">
        <f>IFERROR(__xludf.DUMMYFUNCTION("""COMPUTED_VALUE"""),0.7837837837837838)</f>
        <v>0.7837837838</v>
      </c>
      <c r="S116" s="4" t="str">
        <f>IFERROR(__xludf.DUMMYFUNCTION("""COMPUTED_VALUE"""),"Totvs Large Enterprise Tecnologia S.a.")</f>
        <v>Totvs Large Enterprise Tecnologia S.a.</v>
      </c>
      <c r="T116" s="33">
        <f>IFERROR(__xludf.DUMMYFUNCTION("""COMPUTED_VALUE"""),0.7972972972972973)</f>
        <v>0.7972972973</v>
      </c>
      <c r="U116" s="4" t="str">
        <f>IFERROR(__xludf.DUMMYFUNCTION("""COMPUTED_VALUE"""),"Totvs Large Enterprise Tecnologia S.a.")</f>
        <v>Totvs Large Enterprise Tecnologia S.a.</v>
      </c>
      <c r="V116" s="33">
        <f>IFERROR(__xludf.DUMMYFUNCTION("""COMPUTED_VALUE"""),0.7972972972972973)</f>
        <v>0.7972972973</v>
      </c>
      <c r="W116" s="4" t="str">
        <f>IFERROR(__xludf.DUMMYFUNCTION("""COMPUTED_VALUE"""),"Totvs Large Enterprise Tecnologia S.a.")</f>
        <v>Totvs Large Enterprise Tecnologia S.a.</v>
      </c>
      <c r="X116" s="33">
        <f>IFERROR(__xludf.DUMMYFUNCTION("""COMPUTED_VALUE"""),0.918918918918919)</f>
        <v>0.9189189189</v>
      </c>
    </row>
    <row r="117">
      <c r="A117" s="4" t="str">
        <f>IFERROR(__xludf.DUMMYFUNCTION("""COMPUTED_VALUE"""),"HOLY PIZZA FORTALEZA")</f>
        <v>HOLY PIZZA FORTALEZA</v>
      </c>
      <c r="B117" s="4">
        <f>IFERROR(__xludf.DUMMYFUNCTION("""COMPUTED_VALUE"""),7.0)</f>
        <v>7</v>
      </c>
      <c r="C117" s="30">
        <f>IFERROR(__xludf.DUMMYFUNCTION("""COMPUTED_VALUE"""),72.0)</f>
        <v>72</v>
      </c>
      <c r="D117" s="4" t="str">
        <f>IFERROR(__xludf.DUMMYFUNCTION("""COMPUTED_VALUE"""),"Fast Casual - Pizzaria")</f>
        <v>Fast Casual - Pizzaria</v>
      </c>
      <c r="E117" s="4" t="str">
        <f>IFERROR(__xludf.DUMMYFUNCTION("""COMPUTED_VALUE"""),"Regional")</f>
        <v>Regional</v>
      </c>
      <c r="F117" s="4" t="str">
        <f>IFERROR(__xludf.DUMMYFUNCTION("""COMPUTED_VALUE"""),"Dado não disponível publicamente - Necessário Discovery")</f>
        <v>Dado não disponível publicamente - Necessário Discovery</v>
      </c>
      <c r="G117" s="4">
        <f>IFERROR(__xludf.DUMMYFUNCTION("""COMPUTED_VALUE"""),70.0)</f>
        <v>70</v>
      </c>
      <c r="H117" s="31">
        <f>IFERROR(__xludf.DUMMYFUNCTION("""COMPUTED_VALUE"""),0.75)</f>
        <v>0.75</v>
      </c>
      <c r="I11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17" s="4" t="str">
        <f>IFERROR(__xludf.DUMMYFUNCTION("""COMPUTED_VALUE"""),"CASA BAUDUCCO")</f>
        <v>CASA BAUDUCCO</v>
      </c>
      <c r="L117" s="32">
        <f>IFERROR(__xludf.DUMMYFUNCTION("""COMPUTED_VALUE"""),73.0)</f>
        <v>73</v>
      </c>
      <c r="M117" s="4" t="str">
        <f>IFERROR(__xludf.DUMMYFUNCTION("""COMPUTED_VALUE"""),"Gcom - Gestao Em Tecnologia De Informacao Eireli")</f>
        <v>Gcom - Gestao Em Tecnologia De Informacao Eireli</v>
      </c>
      <c r="N117" s="33">
        <f>IFERROR(__xludf.DUMMYFUNCTION("""COMPUTED_VALUE"""),0.7945205479452054)</f>
        <v>0.7945205479</v>
      </c>
      <c r="O117" s="4" t="str">
        <f>IFERROR(__xludf.DUMMYFUNCTION("""COMPUTED_VALUE"""),"Gcom - Gestao Em Tecnologia De Informacao Eireli")</f>
        <v>Gcom - Gestao Em Tecnologia De Informacao Eireli</v>
      </c>
      <c r="P117" s="33">
        <f>IFERROR(__xludf.DUMMYFUNCTION("""COMPUTED_VALUE"""),0.726027397260274)</f>
        <v>0.7260273973</v>
      </c>
      <c r="Q117" s="4" t="str">
        <f>IFERROR(__xludf.DUMMYFUNCTION("""COMPUTED_VALUE"""),"Gcom - Gestao Em Tecnologia De Informacao Eireli")</f>
        <v>Gcom - Gestao Em Tecnologia De Informacao Eireli</v>
      </c>
      <c r="R117" s="33">
        <f>IFERROR(__xludf.DUMMYFUNCTION("""COMPUTED_VALUE"""),0.6986301369863014)</f>
        <v>0.698630137</v>
      </c>
      <c r="S117" s="4" t="str">
        <f>IFERROR(__xludf.DUMMYFUNCTION("""COMPUTED_VALUE"""),"Gcom - Gestao Em Tecnologia De Informacao Eireli")</f>
        <v>Gcom - Gestao Em Tecnologia De Informacao Eireli</v>
      </c>
      <c r="T117" s="33">
        <f>IFERROR(__xludf.DUMMYFUNCTION("""COMPUTED_VALUE"""),0.6027397260273972)</f>
        <v>0.602739726</v>
      </c>
      <c r="U117" s="4" t="str">
        <f>IFERROR(__xludf.DUMMYFUNCTION("""COMPUTED_VALUE"""),"Gcom - Gestao Em Tecnologia De Informacao Eireli")</f>
        <v>Gcom - Gestao Em Tecnologia De Informacao Eireli</v>
      </c>
      <c r="V117" s="33">
        <f>IFERROR(__xludf.DUMMYFUNCTION("""COMPUTED_VALUE"""),0.7534246575342466)</f>
        <v>0.7534246575</v>
      </c>
      <c r="W117" s="4" t="str">
        <f>IFERROR(__xludf.DUMMYFUNCTION("""COMPUTED_VALUE"""),"Gcom - Gestao Em Tecnologia De Informacao Eireli")</f>
        <v>Gcom - Gestao Em Tecnologia De Informacao Eireli</v>
      </c>
      <c r="X117" s="33">
        <f>IFERROR(__xludf.DUMMYFUNCTION("""COMPUTED_VALUE"""),0.726027397260274)</f>
        <v>0.7260273973</v>
      </c>
    </row>
    <row r="118">
      <c r="A118" s="4" t="str">
        <f>IFERROR(__xludf.DUMMYFUNCTION("""COMPUTED_VALUE"""),"HORA DO PASTEL - CONTA MARCA")</f>
        <v>HORA DO PASTEL - CONTA MARCA</v>
      </c>
      <c r="B118" s="4">
        <f>IFERROR(__xludf.DUMMYFUNCTION("""COMPUTED_VALUE"""),4.0)</f>
        <v>4</v>
      </c>
      <c r="C118" s="30">
        <f>IFERROR(__xludf.DUMMYFUNCTION("""COMPUTED_VALUE"""),20.0)</f>
        <v>20</v>
      </c>
      <c r="D118" s="4" t="str">
        <f>IFERROR(__xludf.DUMMYFUNCTION("""COMPUTED_VALUE"""),"QSR - Pastelaria")</f>
        <v>QSR - Pastelaria</v>
      </c>
      <c r="E118" s="4" t="str">
        <f>IFERROR(__xludf.DUMMYFUNCTION("""COMPUTED_VALUE"""),"Sudeste")</f>
        <v>Sudeste</v>
      </c>
      <c r="F118" s="4" t="str">
        <f>IFERROR(__xludf.DUMMYFUNCTION("""COMPUTED_VALUE"""),"Dado não disponível publicamente - Necessário Discovery")</f>
        <v>Dado não disponível publicamente - Necessário Discovery</v>
      </c>
      <c r="G118" s="4">
        <f>IFERROR(__xludf.DUMMYFUNCTION("""COMPUTED_VALUE"""),65.0)</f>
        <v>65</v>
      </c>
      <c r="H118" s="31">
        <f>IFERROR(__xludf.DUMMYFUNCTION("""COMPUTED_VALUE"""),0.85)</f>
        <v>0.85</v>
      </c>
      <c r="I118"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118" s="4" t="str">
        <f>IFERROR(__xludf.DUMMYFUNCTION("""COMPUTED_VALUE"""),"GRUPO ALIFE")</f>
        <v>GRUPO ALIFE</v>
      </c>
      <c r="L118" s="32">
        <f>IFERROR(__xludf.DUMMYFUNCTION("""COMPUTED_VALUE"""),72.0)</f>
        <v>72</v>
      </c>
      <c r="M118" s="4" t="str">
        <f>IFERROR(__xludf.DUMMYFUNCTION("""COMPUTED_VALUE"""),"Oz Technology")</f>
        <v>Oz Technology</v>
      </c>
      <c r="N118" s="33">
        <f>IFERROR(__xludf.DUMMYFUNCTION("""COMPUTED_VALUE"""),0.6805555555555556)</f>
        <v>0.6805555556</v>
      </c>
      <c r="O118" s="4" t="str">
        <f>IFERROR(__xludf.DUMMYFUNCTION("""COMPUTED_VALUE"""),"Oz Technology")</f>
        <v>Oz Technology</v>
      </c>
      <c r="P118" s="33">
        <f>IFERROR(__xludf.DUMMYFUNCTION("""COMPUTED_VALUE"""),0.75)</f>
        <v>0.75</v>
      </c>
      <c r="Q118" s="4" t="str">
        <f>IFERROR(__xludf.DUMMYFUNCTION("""COMPUTED_VALUE"""),"Oz Technology")</f>
        <v>Oz Technology</v>
      </c>
      <c r="R118" s="33">
        <f>IFERROR(__xludf.DUMMYFUNCTION("""COMPUTED_VALUE"""),0.7361111111111112)</f>
        <v>0.7361111111</v>
      </c>
      <c r="S118" s="4" t="str">
        <f>IFERROR(__xludf.DUMMYFUNCTION("""COMPUTED_VALUE"""),"Oz Technology")</f>
        <v>Oz Technology</v>
      </c>
      <c r="T118" s="33">
        <f>IFERROR(__xludf.DUMMYFUNCTION("""COMPUTED_VALUE"""),0.6666666666666666)</f>
        <v>0.6666666667</v>
      </c>
      <c r="U118" s="4" t="str">
        <f>IFERROR(__xludf.DUMMYFUNCTION("""COMPUTED_VALUE"""),"Oz Technology")</f>
        <v>Oz Technology</v>
      </c>
      <c r="V118" s="33">
        <f>IFERROR(__xludf.DUMMYFUNCTION("""COMPUTED_VALUE"""),0.6805555555555556)</f>
        <v>0.6805555556</v>
      </c>
      <c r="W118" s="4" t="str">
        <f>IFERROR(__xludf.DUMMYFUNCTION("""COMPUTED_VALUE"""),"Oz Technology")</f>
        <v>Oz Technology</v>
      </c>
      <c r="X118" s="33">
        <f>IFERROR(__xludf.DUMMYFUNCTION("""COMPUTED_VALUE"""),0.7083333333333334)</f>
        <v>0.7083333333</v>
      </c>
    </row>
    <row r="119">
      <c r="A119" s="4" t="str">
        <f>IFERROR(__xludf.DUMMYFUNCTION("""COMPUTED_VALUE"""),"HOT DOG DU PIRU - SC")</f>
        <v>HOT DOG DU PIRU - SC</v>
      </c>
      <c r="B119" s="4">
        <f>IFERROR(__xludf.DUMMYFUNCTION("""COMPUTED_VALUE"""),10.0)</f>
        <v>10</v>
      </c>
      <c r="C119" s="30">
        <f>IFERROR(__xludf.DUMMYFUNCTION("""COMPUTED_VALUE"""),44.0)</f>
        <v>44</v>
      </c>
      <c r="D119" s="4" t="str">
        <f>IFERROR(__xludf.DUMMYFUNCTION("""COMPUTED_VALUE"""),"QSR - Lanches")</f>
        <v>QSR - Lanches</v>
      </c>
      <c r="E119" s="4" t="str">
        <f>IFERROR(__xludf.DUMMYFUNCTION("""COMPUTED_VALUE"""),"Rio de Janeiro/RJ")</f>
        <v>Rio de Janeiro/RJ</v>
      </c>
      <c r="F119" s="4" t="str">
        <f>IFERROR(__xludf.DUMMYFUNCTION("""COMPUTED_VALUE"""),"Dado não disponível publicamente - Necessário Discovery")</f>
        <v>Dado não disponível publicamente - Necessário Discovery</v>
      </c>
      <c r="G119" s="4">
        <f>IFERROR(__xludf.DUMMYFUNCTION("""COMPUTED_VALUE"""),70.0)</f>
        <v>70</v>
      </c>
      <c r="H119" s="31">
        <f>IFERROR(__xludf.DUMMYFUNCTION("""COMPUTED_VALUE"""),0.9)</f>
        <v>0.9</v>
      </c>
      <c r="I119"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119" s="4" t="str">
        <f>IFERROR(__xludf.DUMMYFUNCTION("""COMPUTED_VALUE"""),"HAKUNA BATATA- CONTA PAI")</f>
        <v>HAKUNA BATATA- CONTA PAI</v>
      </c>
      <c r="L119" s="32">
        <f>IFERROR(__xludf.DUMMYFUNCTION("""COMPUTED_VALUE"""),72.0)</f>
        <v>72</v>
      </c>
      <c r="M119" s="4" t="str">
        <f>IFERROR(__xludf.DUMMYFUNCTION("""COMPUTED_VALUE"""),"Saipos Serviços De Software")</f>
        <v>Saipos Serviços De Software</v>
      </c>
      <c r="N119" s="33">
        <f>IFERROR(__xludf.DUMMYFUNCTION("""COMPUTED_VALUE"""),0.9722222222222222)</f>
        <v>0.9722222222</v>
      </c>
      <c r="O119" s="4" t="str">
        <f>IFERROR(__xludf.DUMMYFUNCTION("""COMPUTED_VALUE"""),"Saipos Serviços De Software")</f>
        <v>Saipos Serviços De Software</v>
      </c>
      <c r="P119" s="33">
        <f>IFERROR(__xludf.DUMMYFUNCTION("""COMPUTED_VALUE"""),0.9861111111111112)</f>
        <v>0.9861111111</v>
      </c>
      <c r="Q119" s="4" t="str">
        <f>IFERROR(__xludf.DUMMYFUNCTION("""COMPUTED_VALUE"""),"Saipos Serviços De Software")</f>
        <v>Saipos Serviços De Software</v>
      </c>
      <c r="R119" s="33">
        <f>IFERROR(__xludf.DUMMYFUNCTION("""COMPUTED_VALUE"""),0.9861111111111112)</f>
        <v>0.9861111111</v>
      </c>
      <c r="S119" s="4" t="str">
        <f>IFERROR(__xludf.DUMMYFUNCTION("""COMPUTED_VALUE"""),"Saipos Serviços De Software")</f>
        <v>Saipos Serviços De Software</v>
      </c>
      <c r="T119" s="33">
        <f>IFERROR(__xludf.DUMMYFUNCTION("""COMPUTED_VALUE"""),0.9722222222222222)</f>
        <v>0.9722222222</v>
      </c>
      <c r="U119" s="4" t="str">
        <f>IFERROR(__xludf.DUMMYFUNCTION("""COMPUTED_VALUE"""),"Saipos Serviços De Software")</f>
        <v>Saipos Serviços De Software</v>
      </c>
      <c r="V119" s="33">
        <f>IFERROR(__xludf.DUMMYFUNCTION("""COMPUTED_VALUE"""),0.9722222222222222)</f>
        <v>0.9722222222</v>
      </c>
      <c r="W119" s="4" t="str">
        <f>IFERROR(__xludf.DUMMYFUNCTION("""COMPUTED_VALUE"""),"Saipos Serviços De Software")</f>
        <v>Saipos Serviços De Software</v>
      </c>
      <c r="X119" s="33">
        <f>IFERROR(__xludf.DUMMYFUNCTION("""COMPUTED_VALUE"""),0.9861111111111112)</f>
        <v>0.9861111111</v>
      </c>
    </row>
    <row r="120">
      <c r="A120" s="4" t="str">
        <f>IFERROR(__xludf.DUMMYFUNCTION("""COMPUTED_VALUE"""),"HOT DOG YRACEMA")</f>
        <v>HOT DOG YRACEMA</v>
      </c>
      <c r="B120" s="4">
        <f>IFERROR(__xludf.DUMMYFUNCTION("""COMPUTED_VALUE"""),7.0)</f>
        <v>7</v>
      </c>
      <c r="C120" s="30">
        <f>IFERROR(__xludf.DUMMYFUNCTION("""COMPUTED_VALUE"""),29.0)</f>
        <v>29</v>
      </c>
      <c r="D120" s="4" t="str">
        <f>IFERROR(__xludf.DUMMYFUNCTION("""COMPUTED_VALUE"""),"QSR - Lanches")</f>
        <v>QSR - Lanches</v>
      </c>
      <c r="E120" s="4" t="str">
        <f>IFERROR(__xludf.DUMMYFUNCTION("""COMPUTED_VALUE"""),"Rio de Janeiro/RJ")</f>
        <v>Rio de Janeiro/RJ</v>
      </c>
      <c r="F120" s="4" t="str">
        <f>IFERROR(__xludf.DUMMYFUNCTION("""COMPUTED_VALUE"""),"Dado não disponível publicamente - Necessário Discovery")</f>
        <v>Dado não disponível publicamente - Necessário Discovery</v>
      </c>
      <c r="G120" s="4">
        <f>IFERROR(__xludf.DUMMYFUNCTION("""COMPUTED_VALUE"""),70.0)</f>
        <v>70</v>
      </c>
      <c r="H120" s="31">
        <f>IFERROR(__xludf.DUMMYFUNCTION("""COMPUTED_VALUE"""),0.85)</f>
        <v>0.85</v>
      </c>
      <c r="I120"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120" s="4" t="str">
        <f>IFERROR(__xludf.DUMMYFUNCTION("""COMPUTED_VALUE"""),"ULTRAPOPULAR GRUPO MODENA - CONTA MARCA")</f>
        <v>ULTRAPOPULAR GRUPO MODENA - CONTA MARCA</v>
      </c>
      <c r="L120" s="32">
        <f>IFERROR(__xludf.DUMMYFUNCTION("""COMPUTED_VALUE"""),72.0)</f>
        <v>72</v>
      </c>
      <c r="M120" s="4" t="str">
        <f>IFERROR(__xludf.DUMMYFUNCTION("""COMPUTED_VALUE"""),"N/A (Not found)")</f>
        <v>N/A (Not found)</v>
      </c>
      <c r="N120" s="33">
        <f>IFERROR(__xludf.DUMMYFUNCTION("""COMPUTED_VALUE"""),0.9861111111111112)</f>
        <v>0.9861111111</v>
      </c>
      <c r="O120" s="4" t="str">
        <f>IFERROR(__xludf.DUMMYFUNCTION("""COMPUTED_VALUE"""),"N/A (Not found)")</f>
        <v>N/A (Not found)</v>
      </c>
      <c r="P120" s="33">
        <f>IFERROR(__xludf.DUMMYFUNCTION("""COMPUTED_VALUE"""),0.9861111111111112)</f>
        <v>0.9861111111</v>
      </c>
      <c r="Q120" s="4" t="str">
        <f>IFERROR(__xludf.DUMMYFUNCTION("""COMPUTED_VALUE"""),"N/A (Not found)")</f>
        <v>N/A (Not found)</v>
      </c>
      <c r="R120" s="33">
        <f>IFERROR(__xludf.DUMMYFUNCTION("""COMPUTED_VALUE"""),1.0)</f>
        <v>1</v>
      </c>
      <c r="S120" s="4" t="str">
        <f>IFERROR(__xludf.DUMMYFUNCTION("""COMPUTED_VALUE"""),"N/A (Not found)")</f>
        <v>N/A (Not found)</v>
      </c>
      <c r="T120" s="33">
        <f>IFERROR(__xludf.DUMMYFUNCTION("""COMPUTED_VALUE"""),0.9861111111111112)</f>
        <v>0.9861111111</v>
      </c>
      <c r="U120" s="4" t="str">
        <f>IFERROR(__xludf.DUMMYFUNCTION("""COMPUTED_VALUE"""),"N/A (Not found)")</f>
        <v>N/A (Not found)</v>
      </c>
      <c r="V120" s="33">
        <f>IFERROR(__xludf.DUMMYFUNCTION("""COMPUTED_VALUE"""),1.0)</f>
        <v>1</v>
      </c>
      <c r="W120" s="4" t="str">
        <f>IFERROR(__xludf.DUMMYFUNCTION("""COMPUTED_VALUE"""),"N/A (Not found)")</f>
        <v>N/A (Not found)</v>
      </c>
      <c r="X120" s="33">
        <f>IFERROR(__xludf.DUMMYFUNCTION("""COMPUTED_VALUE"""),1.0)</f>
        <v>1</v>
      </c>
    </row>
    <row r="121">
      <c r="A121" s="4" t="str">
        <f>IFERROR(__xludf.DUMMYFUNCTION("""COMPUTED_VALUE"""),"IMPERIO DO ACAI")</f>
        <v>IMPERIO DO ACAI</v>
      </c>
      <c r="B121" s="4">
        <f>IFERROR(__xludf.DUMMYFUNCTION("""COMPUTED_VALUE"""),10.0)</f>
        <v>10</v>
      </c>
      <c r="C121" s="30">
        <f>IFERROR(__xludf.DUMMYFUNCTION("""COMPUTED_VALUE"""),29.0)</f>
        <v>29</v>
      </c>
      <c r="D121" s="4" t="str">
        <f>IFERROR(__xludf.DUMMYFUNCTION("""COMPUTED_VALUE"""),"QSR - Açaí/Poke")</f>
        <v>QSR - Açaí/Poke</v>
      </c>
      <c r="E121" s="4" t="str">
        <f>IFERROR(__xludf.DUMMYFUNCTION("""COMPUTED_VALUE"""),"Sul")</f>
        <v>Sul</v>
      </c>
      <c r="F121" s="4" t="str">
        <f>IFERROR(__xludf.DUMMYFUNCTION("""COMPUTED_VALUE"""),"Dado não disponível publicamente - Necessário Discovery")</f>
        <v>Dado não disponível publicamente - Necessário Discovery</v>
      </c>
      <c r="G121" s="4">
        <f>IFERROR(__xludf.DUMMYFUNCTION("""COMPUTED_VALUE"""),70.0)</f>
        <v>70</v>
      </c>
      <c r="H121" s="31">
        <f>IFERROR(__xludf.DUMMYFUNCTION("""COMPUTED_VALUE"""),0.9)</f>
        <v>0.9</v>
      </c>
      <c r="I121"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121" s="4" t="str">
        <f>IFERROR(__xludf.DUMMYFUNCTION("""COMPUTED_VALUE"""),"MARKT BBQ")</f>
        <v>MARKT BBQ</v>
      </c>
      <c r="L121" s="32">
        <f>IFERROR(__xludf.DUMMYFUNCTION("""COMPUTED_VALUE"""),71.0)</f>
        <v>71</v>
      </c>
      <c r="M121" s="4" t="str">
        <f>IFERROR(__xludf.DUMMYFUNCTION("""COMPUTED_VALUE"""),"Saipos Serviços De Software")</f>
        <v>Saipos Serviços De Software</v>
      </c>
      <c r="N121" s="33">
        <f>IFERROR(__xludf.DUMMYFUNCTION("""COMPUTED_VALUE"""),0.676056338028169)</f>
        <v>0.676056338</v>
      </c>
      <c r="O121" s="4" t="str">
        <f>IFERROR(__xludf.DUMMYFUNCTION("""COMPUTED_VALUE"""),"Saipos Serviços De Software")</f>
        <v>Saipos Serviços De Software</v>
      </c>
      <c r="P121" s="33">
        <f>IFERROR(__xludf.DUMMYFUNCTION("""COMPUTED_VALUE"""),0.6338028169014085)</f>
        <v>0.6338028169</v>
      </c>
      <c r="Q121" s="4" t="str">
        <f>IFERROR(__xludf.DUMMYFUNCTION("""COMPUTED_VALUE"""),"Saipos Serviços De Software")</f>
        <v>Saipos Serviços De Software</v>
      </c>
      <c r="R121" s="33">
        <f>IFERROR(__xludf.DUMMYFUNCTION("""COMPUTED_VALUE"""),0.7183098591549296)</f>
        <v>0.7183098592</v>
      </c>
      <c r="S121" s="4" t="str">
        <f>IFERROR(__xludf.DUMMYFUNCTION("""COMPUTED_VALUE"""),"Saipos Serviços De Software")</f>
        <v>Saipos Serviços De Software</v>
      </c>
      <c r="T121" s="33">
        <f>IFERROR(__xludf.DUMMYFUNCTION("""COMPUTED_VALUE"""),0.7323943661971831)</f>
        <v>0.7323943662</v>
      </c>
      <c r="U121" s="4" t="str">
        <f>IFERROR(__xludf.DUMMYFUNCTION("""COMPUTED_VALUE"""),"Saipos Serviços De Software")</f>
        <v>Saipos Serviços De Software</v>
      </c>
      <c r="V121" s="33">
        <f>IFERROR(__xludf.DUMMYFUNCTION("""COMPUTED_VALUE"""),0.6901408450704225)</f>
        <v>0.6901408451</v>
      </c>
      <c r="W121" s="4" t="str">
        <f>IFERROR(__xludf.DUMMYFUNCTION("""COMPUTED_VALUE"""),"Saipos Serviços De Software")</f>
        <v>Saipos Serviços De Software</v>
      </c>
      <c r="X121" s="33">
        <f>IFERROR(__xludf.DUMMYFUNCTION("""COMPUTED_VALUE"""),0.5915492957746479)</f>
        <v>0.5915492958</v>
      </c>
    </row>
    <row r="122">
      <c r="A122" s="4" t="str">
        <f>IFERROR(__xludf.DUMMYFUNCTION("""COMPUTED_VALUE"""),"IMPÉRIO HAMBURGUERIA")</f>
        <v>IMPÉRIO HAMBURGUERIA</v>
      </c>
      <c r="B122" s="4">
        <f>IFERROR(__xludf.DUMMYFUNCTION("""COMPUTED_VALUE"""),8.0)</f>
        <v>8</v>
      </c>
      <c r="C122" s="30">
        <f>IFERROR(__xludf.DUMMYFUNCTION("""COMPUTED_VALUE"""),56.0)</f>
        <v>56</v>
      </c>
      <c r="D122" s="4" t="str">
        <f>IFERROR(__xludf.DUMMYFUNCTION("""COMPUTED_VALUE"""),"Fast Casual - Hamburgueria")</f>
        <v>Fast Casual - Hamburgueria</v>
      </c>
      <c r="E122" s="4" t="str">
        <f>IFERROR(__xludf.DUMMYFUNCTION("""COMPUTED_VALUE"""),"Nacional")</f>
        <v>Nacional</v>
      </c>
      <c r="F122" s="4" t="str">
        <f>IFERROR(__xludf.DUMMYFUNCTION("""COMPUTED_VALUE"""),"Dado não disponível publicamente - Necessário Discovery")</f>
        <v>Dado não disponível publicamente - Necessário Discovery</v>
      </c>
      <c r="G122" s="4">
        <f>IFERROR(__xludf.DUMMYFUNCTION("""COMPUTED_VALUE"""),70.0)</f>
        <v>70</v>
      </c>
      <c r="H122" s="31">
        <f>IFERROR(__xludf.DUMMYFUNCTION("""COMPUTED_VALUE"""),0.75)</f>
        <v>0.75</v>
      </c>
      <c r="I12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22" s="4" t="str">
        <f>IFERROR(__xludf.DUMMYFUNCTION("""COMPUTED_VALUE"""),"HNT - CONTA GRUPO")</f>
        <v>HNT - CONTA GRUPO</v>
      </c>
      <c r="L122" s="32">
        <f>IFERROR(__xludf.DUMMYFUNCTION("""COMPUTED_VALUE"""),70.0)</f>
        <v>70</v>
      </c>
      <c r="M122" s="4" t="str">
        <f>IFERROR(__xludf.DUMMYFUNCTION("""COMPUTED_VALUE"""),"N/A (Not found)")</f>
        <v>N/A (Not found)</v>
      </c>
      <c r="N122" s="33">
        <f>IFERROR(__xludf.DUMMYFUNCTION("""COMPUTED_VALUE"""),1.0)</f>
        <v>1</v>
      </c>
      <c r="O122" s="4" t="str">
        <f>IFERROR(__xludf.DUMMYFUNCTION("""COMPUTED_VALUE"""),"N/A (Not found)")</f>
        <v>N/A (Not found)</v>
      </c>
      <c r="P122" s="33">
        <f>IFERROR(__xludf.DUMMYFUNCTION("""COMPUTED_VALUE"""),0.9857142857142858)</f>
        <v>0.9857142857</v>
      </c>
      <c r="Q122" s="4" t="str">
        <f>IFERROR(__xludf.DUMMYFUNCTION("""COMPUTED_VALUE"""),"N/A (Not found)")</f>
        <v>N/A (Not found)</v>
      </c>
      <c r="R122" s="33">
        <f>IFERROR(__xludf.DUMMYFUNCTION("""COMPUTED_VALUE"""),0.9857142857142858)</f>
        <v>0.9857142857</v>
      </c>
      <c r="S122" s="4" t="str">
        <f>IFERROR(__xludf.DUMMYFUNCTION("""COMPUTED_VALUE"""),"N/A (Not found)")</f>
        <v>N/A (Not found)</v>
      </c>
      <c r="T122" s="33">
        <f>IFERROR(__xludf.DUMMYFUNCTION("""COMPUTED_VALUE"""),0.9285714285714286)</f>
        <v>0.9285714286</v>
      </c>
      <c r="U122" s="4" t="str">
        <f>IFERROR(__xludf.DUMMYFUNCTION("""COMPUTED_VALUE"""),"N/A (Not found)")</f>
        <v>N/A (Not found)</v>
      </c>
      <c r="V122" s="33">
        <f>IFERROR(__xludf.DUMMYFUNCTION("""COMPUTED_VALUE"""),0.9142857142857143)</f>
        <v>0.9142857143</v>
      </c>
      <c r="W122" s="4" t="str">
        <f>IFERROR(__xludf.DUMMYFUNCTION("""COMPUTED_VALUE"""),"N/A (Not found)")</f>
        <v>N/A (Not found)</v>
      </c>
      <c r="X122" s="33">
        <f>IFERROR(__xludf.DUMMYFUNCTION("""COMPUTED_VALUE"""),0.9142857142857143)</f>
        <v>0.9142857143</v>
      </c>
    </row>
    <row r="123">
      <c r="A123" s="4" t="str">
        <f>IFERROR(__xludf.DUMMYFUNCTION("""COMPUTED_VALUE"""),"INPOT - CONTA PAI")</f>
        <v>INPOT - CONTA PAI</v>
      </c>
      <c r="B123" s="4">
        <f>IFERROR(__xludf.DUMMYFUNCTION("""COMPUTED_VALUE"""),10.0)</f>
        <v>10</v>
      </c>
      <c r="C123" s="30">
        <f>IFERROR(__xludf.DUMMYFUNCTION("""COMPUTED_VALUE"""),42.0)</f>
        <v>42</v>
      </c>
      <c r="D123" s="4" t="str">
        <f>IFERROR(__xludf.DUMMYFUNCTION("""COMPUTED_VALUE"""),"Fast Casual - Fresh Food Saudável")</f>
        <v>Fast Casual - Fresh Food Saudável</v>
      </c>
      <c r="E123" s="4" t="str">
        <f>IFERROR(__xludf.DUMMYFUNCTION("""COMPUTED_VALUE"""),"Sul (SC, PR, RS) + SP")</f>
        <v>Sul (SC, PR, RS) + SP</v>
      </c>
      <c r="F123" s="4" t="str">
        <f>IFERROR(__xludf.DUMMYFUNCTION("""COMPUTED_VALUE"""),"Dado não disponível publicamente - Necessário Discovery")</f>
        <v>Dado não disponível publicamente - Necessário Discovery</v>
      </c>
      <c r="G123" s="4">
        <f>IFERROR(__xludf.DUMMYFUNCTION("""COMPUTED_VALUE"""),70.0)</f>
        <v>70</v>
      </c>
      <c r="H123" s="31">
        <f>IFERROR(__xludf.DUMMYFUNCTION("""COMPUTED_VALUE"""),0.8)</f>
        <v>0.8</v>
      </c>
      <c r="I123"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123" s="4" t="str">
        <f>IFERROR(__xludf.DUMMYFUNCTION("""COMPUTED_VALUE"""),"NESPRESSO")</f>
        <v>NESPRESSO</v>
      </c>
      <c r="L123" s="32">
        <f>IFERROR(__xludf.DUMMYFUNCTION("""COMPUTED_VALUE"""),70.0)</f>
        <v>70</v>
      </c>
      <c r="M123" s="4" t="str">
        <f>IFERROR(__xludf.DUMMYFUNCTION("""COMPUTED_VALUE"""),"Ciss S.a Gestao Para O Varejo")</f>
        <v>Ciss S.a Gestao Para O Varejo</v>
      </c>
      <c r="N123" s="33">
        <f>IFERROR(__xludf.DUMMYFUNCTION("""COMPUTED_VALUE"""),0.9285714285714286)</f>
        <v>0.9285714286</v>
      </c>
      <c r="O123" s="4" t="str">
        <f>IFERROR(__xludf.DUMMYFUNCTION("""COMPUTED_VALUE"""),"Ciss S.a Gestao Para O Varejo")</f>
        <v>Ciss S.a Gestao Para O Varejo</v>
      </c>
      <c r="P123" s="33">
        <f>IFERROR(__xludf.DUMMYFUNCTION("""COMPUTED_VALUE"""),0.9)</f>
        <v>0.9</v>
      </c>
      <c r="Q123" s="4" t="str">
        <f>IFERROR(__xludf.DUMMYFUNCTION("""COMPUTED_VALUE"""),"Ciss S.a Gestao Para O Varejo")</f>
        <v>Ciss S.a Gestao Para O Varejo</v>
      </c>
      <c r="R123" s="33">
        <f>IFERROR(__xludf.DUMMYFUNCTION("""COMPUTED_VALUE"""),0.8857142857142857)</f>
        <v>0.8857142857</v>
      </c>
      <c r="S123" s="4" t="str">
        <f>IFERROR(__xludf.DUMMYFUNCTION("""COMPUTED_VALUE"""),"Ciss S.a Gestao Para O Varejo")</f>
        <v>Ciss S.a Gestao Para O Varejo</v>
      </c>
      <c r="T123" s="33">
        <f>IFERROR(__xludf.DUMMYFUNCTION("""COMPUTED_VALUE"""),0.9)</f>
        <v>0.9</v>
      </c>
      <c r="U123" s="4" t="str">
        <f>IFERROR(__xludf.DUMMYFUNCTION("""COMPUTED_VALUE"""),"Ciss S.a Gestao Para O Varejo")</f>
        <v>Ciss S.a Gestao Para O Varejo</v>
      </c>
      <c r="V123" s="33">
        <f>IFERROR(__xludf.DUMMYFUNCTION("""COMPUTED_VALUE"""),0.9)</f>
        <v>0.9</v>
      </c>
      <c r="W123" s="4" t="str">
        <f>IFERROR(__xludf.DUMMYFUNCTION("""COMPUTED_VALUE"""),"Ciss S.a Gestao Para O Varejo")</f>
        <v>Ciss S.a Gestao Para O Varejo</v>
      </c>
      <c r="X123" s="33">
        <f>IFERROR(__xludf.DUMMYFUNCTION("""COMPUTED_VALUE"""),0.9857142857142858)</f>
        <v>0.9857142857</v>
      </c>
    </row>
    <row r="124">
      <c r="A124" s="4" t="str">
        <f>IFERROR(__xludf.DUMMYFUNCTION("""COMPUTED_VALUE"""),"JAPESCA SUSHI")</f>
        <v>JAPESCA SUSHI</v>
      </c>
      <c r="B124" s="4">
        <f>IFERROR(__xludf.DUMMYFUNCTION("""COMPUTED_VALUE"""),15.0)</f>
        <v>15</v>
      </c>
      <c r="C124" s="30">
        <f>IFERROR(__xludf.DUMMYFUNCTION("""COMPUTED_VALUE"""),66.0)</f>
        <v>66</v>
      </c>
      <c r="D124" s="4" t="str">
        <f>IFERROR(__xludf.DUMMYFUNCTION("""COMPUTED_VALUE"""),"Fast Casual - Japonesa")</f>
        <v>Fast Casual - Japonesa</v>
      </c>
      <c r="E124" s="4" t="str">
        <f>IFERROR(__xludf.DUMMYFUNCTION("""COMPUTED_VALUE"""),"Brasília/DF")</f>
        <v>Brasília/DF</v>
      </c>
      <c r="F124" s="4" t="str">
        <f>IFERROR(__xludf.DUMMYFUNCTION("""COMPUTED_VALUE"""),"Dado não disponível publicamente - Necessário Discovery")</f>
        <v>Dado não disponível publicamente - Necessário Discovery</v>
      </c>
      <c r="G124" s="4">
        <f>IFERROR(__xludf.DUMMYFUNCTION("""COMPUTED_VALUE"""),70.0)</f>
        <v>70</v>
      </c>
      <c r="H124" s="31">
        <f>IFERROR(__xludf.DUMMYFUNCTION("""COMPUTED_VALUE"""),0.8)</f>
        <v>0.8</v>
      </c>
      <c r="I124"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124" s="4" t="str">
        <f>IFERROR(__xludf.DUMMYFUNCTION("""COMPUTED_VALUE"""),"FARMACIA DROGA LIDER - CONTA PAI")</f>
        <v>FARMACIA DROGA LIDER - CONTA PAI</v>
      </c>
      <c r="L124" s="32">
        <f>IFERROR(__xludf.DUMMYFUNCTION("""COMPUTED_VALUE"""),68.0)</f>
        <v>68</v>
      </c>
      <c r="M124" s="4" t="str">
        <f>IFERROR(__xludf.DUMMYFUNCTION("""COMPUTED_VALUE"""),"null")</f>
        <v>null</v>
      </c>
      <c r="N124" s="33">
        <f>IFERROR(__xludf.DUMMYFUNCTION("""COMPUTED_VALUE"""),0.6029411764705882)</f>
        <v>0.6029411765</v>
      </c>
      <c r="O124" s="4" t="str">
        <f>IFERROR(__xludf.DUMMYFUNCTION("""COMPUTED_VALUE"""),"N/A (Not found)")</f>
        <v>N/A (Not found)</v>
      </c>
      <c r="P124" s="33">
        <f>IFERROR(__xludf.DUMMYFUNCTION("""COMPUTED_VALUE"""),0.7941176470588235)</f>
        <v>0.7941176471</v>
      </c>
      <c r="Q124" s="4" t="str">
        <f>IFERROR(__xludf.DUMMYFUNCTION("""COMPUTED_VALUE"""),"N/A (Not found)")</f>
        <v>N/A (Not found)</v>
      </c>
      <c r="R124" s="33">
        <f>IFERROR(__xludf.DUMMYFUNCTION("""COMPUTED_VALUE"""),0.9558823529411765)</f>
        <v>0.9558823529</v>
      </c>
      <c r="S124" s="4" t="str">
        <f>IFERROR(__xludf.DUMMYFUNCTION("""COMPUTED_VALUE"""),"N/A (Not found)")</f>
        <v>N/A (Not found)</v>
      </c>
      <c r="T124" s="33">
        <f>IFERROR(__xludf.DUMMYFUNCTION("""COMPUTED_VALUE"""),0.9705882352941176)</f>
        <v>0.9705882353</v>
      </c>
      <c r="U124" s="4" t="str">
        <f>IFERROR(__xludf.DUMMYFUNCTION("""COMPUTED_VALUE"""),"N/A (Not found)")</f>
        <v>N/A (Not found)</v>
      </c>
      <c r="V124" s="33">
        <f>IFERROR(__xludf.DUMMYFUNCTION("""COMPUTED_VALUE"""),0.9558823529411765)</f>
        <v>0.9558823529</v>
      </c>
      <c r="W124" s="4" t="str">
        <f>IFERROR(__xludf.DUMMYFUNCTION("""COMPUTED_VALUE"""),"N/A (Not found)")</f>
        <v>N/A (Not found)</v>
      </c>
      <c r="X124" s="33">
        <f>IFERROR(__xludf.DUMMYFUNCTION("""COMPUTED_VALUE"""),0.9852941176470589)</f>
        <v>0.9852941176</v>
      </c>
    </row>
    <row r="125">
      <c r="A125" s="4" t="str">
        <f>IFERROR(__xludf.DUMMYFUNCTION("""COMPUTED_VALUE"""),"JAPIDINHO")</f>
        <v>JAPIDINHO</v>
      </c>
      <c r="B125" s="4">
        <f>IFERROR(__xludf.DUMMYFUNCTION("""COMPUTED_VALUE"""),10.0)</f>
        <v>10</v>
      </c>
      <c r="C125" s="30">
        <f>IFERROR(__xludf.DUMMYFUNCTION("""COMPUTED_VALUE"""),107.0)</f>
        <v>107</v>
      </c>
      <c r="D125" s="4" t="str">
        <f>IFERROR(__xludf.DUMMYFUNCTION("""COMPUTED_VALUE"""),"Fast Casual - Japonesa")</f>
        <v>Fast Casual - Japonesa</v>
      </c>
      <c r="E125" s="4" t="str">
        <f>IFERROR(__xludf.DUMMYFUNCTION("""COMPUTED_VALUE"""),"São Paulo/SP")</f>
        <v>São Paulo/SP</v>
      </c>
      <c r="F125" s="4" t="str">
        <f>IFERROR(__xludf.DUMMYFUNCTION("""COMPUTED_VALUE"""),"Dado não disponível publicamente - Necessário Discovery")</f>
        <v>Dado não disponível publicamente - Necessário Discovery</v>
      </c>
      <c r="G125" s="4">
        <f>IFERROR(__xludf.DUMMYFUNCTION("""COMPUTED_VALUE"""),70.0)</f>
        <v>70</v>
      </c>
      <c r="H125" s="31">
        <f>IFERROR(__xludf.DUMMYFUNCTION("""COMPUTED_VALUE"""),0.8)</f>
        <v>0.8</v>
      </c>
      <c r="I125"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125" s="4" t="str">
        <f>IFERROR(__xludf.DUMMYFUNCTION("""COMPUTED_VALUE"""),"REDE FNP")</f>
        <v>REDE FNP</v>
      </c>
      <c r="L125" s="32">
        <f>IFERROR(__xludf.DUMMYFUNCTION("""COMPUTED_VALUE"""),68.0)</f>
        <v>68</v>
      </c>
      <c r="M125" s="4" t="str">
        <f>IFERROR(__xludf.DUMMYFUNCTION("""COMPUTED_VALUE"""),"Anove Tecnologia")</f>
        <v>Anove Tecnologia</v>
      </c>
      <c r="N125" s="33">
        <f>IFERROR(__xludf.DUMMYFUNCTION("""COMPUTED_VALUE"""),0.5441176470588235)</f>
        <v>0.5441176471</v>
      </c>
      <c r="O125" s="4" t="str">
        <f>IFERROR(__xludf.DUMMYFUNCTION("""COMPUTED_VALUE"""),"Anove Tecnologia")</f>
        <v>Anove Tecnologia</v>
      </c>
      <c r="P125" s="33">
        <f>IFERROR(__xludf.DUMMYFUNCTION("""COMPUTED_VALUE"""),0.5147058823529411)</f>
        <v>0.5147058824</v>
      </c>
      <c r="Q125" s="4" t="str">
        <f>IFERROR(__xludf.DUMMYFUNCTION("""COMPUTED_VALUE"""),"Anove Tecnologia")</f>
        <v>Anove Tecnologia</v>
      </c>
      <c r="R125" s="33">
        <f>IFERROR(__xludf.DUMMYFUNCTION("""COMPUTED_VALUE"""),0.5294117647058824)</f>
        <v>0.5294117647</v>
      </c>
      <c r="S125" s="4" t="str">
        <f>IFERROR(__xludf.DUMMYFUNCTION("""COMPUTED_VALUE"""),"Anove Tecnologia")</f>
        <v>Anove Tecnologia</v>
      </c>
      <c r="T125" s="33">
        <f>IFERROR(__xludf.DUMMYFUNCTION("""COMPUTED_VALUE"""),0.5147058823529411)</f>
        <v>0.5147058824</v>
      </c>
      <c r="U125" s="4" t="str">
        <f>IFERROR(__xludf.DUMMYFUNCTION("""COMPUTED_VALUE"""),"Anove Tecnologia")</f>
        <v>Anove Tecnologia</v>
      </c>
      <c r="V125" s="33">
        <f>IFERROR(__xludf.DUMMYFUNCTION("""COMPUTED_VALUE"""),0.5147058823529411)</f>
        <v>0.5147058824</v>
      </c>
      <c r="W125" s="4" t="str">
        <f>IFERROR(__xludf.DUMMYFUNCTION("""COMPUTED_VALUE"""),"Anove Tecnologia")</f>
        <v>Anove Tecnologia</v>
      </c>
      <c r="X125" s="33">
        <f>IFERROR(__xludf.DUMMYFUNCTION("""COMPUTED_VALUE"""),0.5588235294117647)</f>
        <v>0.5588235294</v>
      </c>
    </row>
    <row r="126">
      <c r="A126" s="4" t="str">
        <f>IFERROR(__xludf.DUMMYFUNCTION("""COMPUTED_VALUE"""),"JET PIZZAS")</f>
        <v>JET PIZZAS</v>
      </c>
      <c r="B126" s="4">
        <f>IFERROR(__xludf.DUMMYFUNCTION("""COMPUTED_VALUE"""),3.0)</f>
        <v>3</v>
      </c>
      <c r="C126" s="30">
        <f>IFERROR(__xludf.DUMMYFUNCTION("""COMPUTED_VALUE"""),82.0)</f>
        <v>82</v>
      </c>
      <c r="D126" s="4" t="str">
        <f>IFERROR(__xludf.DUMMYFUNCTION("""COMPUTED_VALUE"""),"Fast Casual - Pizzaria")</f>
        <v>Fast Casual - Pizzaria</v>
      </c>
      <c r="E126" s="4" t="str">
        <f>IFERROR(__xludf.DUMMYFUNCTION("""COMPUTED_VALUE"""),"São Paulo/SP")</f>
        <v>São Paulo/SP</v>
      </c>
      <c r="F126" s="4" t="str">
        <f>IFERROR(__xludf.DUMMYFUNCTION("""COMPUTED_VALUE"""),"Dado não disponível publicamente - Necessário Discovery")</f>
        <v>Dado não disponível publicamente - Necessário Discovery</v>
      </c>
      <c r="G126" s="4">
        <f>IFERROR(__xludf.DUMMYFUNCTION("""COMPUTED_VALUE"""),65.0)</f>
        <v>65</v>
      </c>
      <c r="H126" s="31">
        <f>IFERROR(__xludf.DUMMYFUNCTION("""COMPUTED_VALUE"""),0.75)</f>
        <v>0.75</v>
      </c>
      <c r="I12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26" s="4" t="str">
        <f>IFERROR(__xludf.DUMMYFUNCTION("""COMPUTED_VALUE"""),"GRUPO FLOW")</f>
        <v>GRUPO FLOW</v>
      </c>
      <c r="L126" s="32">
        <f>IFERROR(__xludf.DUMMYFUNCTION("""COMPUTED_VALUE"""),67.0)</f>
        <v>67</v>
      </c>
      <c r="M126" s="4" t="str">
        <f>IFERROR(__xludf.DUMMYFUNCTION("""COMPUTED_VALUE"""),"Saipos Serviços De Software")</f>
        <v>Saipos Serviços De Software</v>
      </c>
      <c r="N126" s="33">
        <f>IFERROR(__xludf.DUMMYFUNCTION("""COMPUTED_VALUE"""),0.3582089552238806)</f>
        <v>0.3582089552</v>
      </c>
      <c r="O126" s="4" t="str">
        <f>IFERROR(__xludf.DUMMYFUNCTION("""COMPUTED_VALUE"""),"Saipos Serviços De Software")</f>
        <v>Saipos Serviços De Software</v>
      </c>
      <c r="P126" s="33">
        <f>IFERROR(__xludf.DUMMYFUNCTION("""COMPUTED_VALUE"""),0.5223880597014925)</f>
        <v>0.5223880597</v>
      </c>
      <c r="Q126" s="4" t="str">
        <f>IFERROR(__xludf.DUMMYFUNCTION("""COMPUTED_VALUE"""),"Saipos Serviços De Software")</f>
        <v>Saipos Serviços De Software</v>
      </c>
      <c r="R126" s="33">
        <f>IFERROR(__xludf.DUMMYFUNCTION("""COMPUTED_VALUE"""),0.5970149253731343)</f>
        <v>0.5970149254</v>
      </c>
      <c r="S126" s="4" t="str">
        <f>IFERROR(__xludf.DUMMYFUNCTION("""COMPUTED_VALUE"""),"Saipos Serviços De Software")</f>
        <v>Saipos Serviços De Software</v>
      </c>
      <c r="T126" s="33">
        <f>IFERROR(__xludf.DUMMYFUNCTION("""COMPUTED_VALUE"""),0.6268656716417911)</f>
        <v>0.6268656716</v>
      </c>
      <c r="U126" s="4" t="str">
        <f>IFERROR(__xludf.DUMMYFUNCTION("""COMPUTED_VALUE"""),"Saipos Serviços De Software")</f>
        <v>Saipos Serviços De Software</v>
      </c>
      <c r="V126" s="33">
        <f>IFERROR(__xludf.DUMMYFUNCTION("""COMPUTED_VALUE"""),0.6119402985074627)</f>
        <v>0.6119402985</v>
      </c>
      <c r="W126" s="4" t="str">
        <f>IFERROR(__xludf.DUMMYFUNCTION("""COMPUTED_VALUE"""),"Saipos Serviços De Software")</f>
        <v>Saipos Serviços De Software</v>
      </c>
      <c r="X126" s="33">
        <f>IFERROR(__xludf.DUMMYFUNCTION("""COMPUTED_VALUE"""),0.6417910447761194)</f>
        <v>0.6417910448</v>
      </c>
    </row>
    <row r="127">
      <c r="A127" s="4" t="str">
        <f>IFERROR(__xludf.DUMMYFUNCTION("""COMPUTED_VALUE"""),"JON PIZZA CO - MARCA")</f>
        <v>JON PIZZA CO - MARCA</v>
      </c>
      <c r="B127" s="4">
        <f>IFERROR(__xludf.DUMMYFUNCTION("""COMPUTED_VALUE"""),3.0)</f>
        <v>3</v>
      </c>
      <c r="C127" s="30">
        <f>IFERROR(__xludf.DUMMYFUNCTION("""COMPUTED_VALUE"""),77.0)</f>
        <v>77</v>
      </c>
      <c r="D127" s="4" t="str">
        <f>IFERROR(__xludf.DUMMYFUNCTION("""COMPUTED_VALUE"""),"Fast Casual - Pizzaria")</f>
        <v>Fast Casual - Pizzaria</v>
      </c>
      <c r="E127" s="4" t="str">
        <f>IFERROR(__xludf.DUMMYFUNCTION("""COMPUTED_VALUE"""),"Centro-Oeste")</f>
        <v>Centro-Oeste</v>
      </c>
      <c r="F127" s="4" t="str">
        <f>IFERROR(__xludf.DUMMYFUNCTION("""COMPUTED_VALUE"""),"Dado não disponível publicamente - Necessário Discovery")</f>
        <v>Dado não disponível publicamente - Necessário Discovery</v>
      </c>
      <c r="G127" s="4">
        <f>IFERROR(__xludf.DUMMYFUNCTION("""COMPUTED_VALUE"""),65.0)</f>
        <v>65</v>
      </c>
      <c r="H127" s="31">
        <f>IFERROR(__xludf.DUMMYFUNCTION("""COMPUTED_VALUE"""),0.75)</f>
        <v>0.75</v>
      </c>
      <c r="I12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27" s="4" t="str">
        <f>IFERROR(__xludf.DUMMYFUNCTION("""COMPUTED_VALUE"""),"GRUPO TT BURGER")</f>
        <v>GRUPO TT BURGER</v>
      </c>
      <c r="L127" s="32">
        <f>IFERROR(__xludf.DUMMYFUNCTION("""COMPUTED_VALUE"""),67.0)</f>
        <v>67</v>
      </c>
      <c r="M127" s="4" t="str">
        <f>IFERROR(__xludf.DUMMYFUNCTION("""COMPUTED_VALUE"""),"Stone Co.")</f>
        <v>Stone Co.</v>
      </c>
      <c r="N127" s="33">
        <f>IFERROR(__xludf.DUMMYFUNCTION("""COMPUTED_VALUE"""),0.8405797101449275)</f>
        <v>0.8405797101</v>
      </c>
      <c r="O127" s="4" t="str">
        <f>IFERROR(__xludf.DUMMYFUNCTION("""COMPUTED_VALUE"""),"Stone Co.")</f>
        <v>Stone Co.</v>
      </c>
      <c r="P127" s="33">
        <f>IFERROR(__xludf.DUMMYFUNCTION("""COMPUTED_VALUE"""),0.8840579710144928)</f>
        <v>0.884057971</v>
      </c>
      <c r="Q127" s="4" t="str">
        <f>IFERROR(__xludf.DUMMYFUNCTION("""COMPUTED_VALUE"""),"Stone Co.")</f>
        <v>Stone Co.</v>
      </c>
      <c r="R127" s="33">
        <f>IFERROR(__xludf.DUMMYFUNCTION("""COMPUTED_VALUE"""),0.855072463768116)</f>
        <v>0.8550724638</v>
      </c>
      <c r="S127" s="4" t="str">
        <f>IFERROR(__xludf.DUMMYFUNCTION("""COMPUTED_VALUE"""),"Stone Co.")</f>
        <v>Stone Co.</v>
      </c>
      <c r="T127" s="33">
        <f>IFERROR(__xludf.DUMMYFUNCTION("""COMPUTED_VALUE"""),0.8695652173913043)</f>
        <v>0.8695652174</v>
      </c>
      <c r="U127" s="4" t="str">
        <f>IFERROR(__xludf.DUMMYFUNCTION("""COMPUTED_VALUE"""),"Stone Co.")</f>
        <v>Stone Co.</v>
      </c>
      <c r="V127" s="33">
        <f>IFERROR(__xludf.DUMMYFUNCTION("""COMPUTED_VALUE"""),0.8985507246376812)</f>
        <v>0.8985507246</v>
      </c>
      <c r="W127" s="4" t="str">
        <f>IFERROR(__xludf.DUMMYFUNCTION("""COMPUTED_VALUE"""),"Stone Co.")</f>
        <v>Stone Co.</v>
      </c>
      <c r="X127" s="33">
        <f>IFERROR(__xludf.DUMMYFUNCTION("""COMPUTED_VALUE"""),0.8985507246376812)</f>
        <v>0.8985507246</v>
      </c>
    </row>
    <row r="128">
      <c r="A128" s="4" t="str">
        <f>IFERROR(__xludf.DUMMYFUNCTION("""COMPUTED_VALUE"""),"KADALORA")</f>
        <v>KADALORA</v>
      </c>
      <c r="B128" s="4">
        <f>IFERROR(__xludf.DUMMYFUNCTION("""COMPUTED_VALUE"""),6.0)</f>
        <v>6</v>
      </c>
      <c r="C128" s="30">
        <f>IFERROR(__xludf.DUMMYFUNCTION("""COMPUTED_VALUE"""),72.0)</f>
        <v>72</v>
      </c>
      <c r="D128" s="4" t="str">
        <f>IFERROR(__xludf.DUMMYFUNCTION("""COMPUTED_VALUE"""),"Fast Casual - Multi-conceito")</f>
        <v>Fast Casual - Multi-conceito</v>
      </c>
      <c r="E128" s="4" t="str">
        <f>IFERROR(__xludf.DUMMYFUNCTION("""COMPUTED_VALUE"""),"Sul")</f>
        <v>Sul</v>
      </c>
      <c r="F128" s="4" t="str">
        <f>IFERROR(__xludf.DUMMYFUNCTION("""COMPUTED_VALUE"""),"Dado não disponível publicamente - Necessário Discovery")</f>
        <v>Dado não disponível publicamente - Necessário Discovery</v>
      </c>
      <c r="G128" s="4">
        <f>IFERROR(__xludf.DUMMYFUNCTION("""COMPUTED_VALUE"""),70.0)</f>
        <v>70</v>
      </c>
      <c r="H128" s="31">
        <f>IFERROR(__xludf.DUMMYFUNCTION("""COMPUTED_VALUE"""),0.75)</f>
        <v>0.75</v>
      </c>
      <c r="I12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28" s="4" t="str">
        <f>IFERROR(__xludf.DUMMYFUNCTION("""COMPUTED_VALUE"""),"PETLAND BRASIL CONTA PAI")</f>
        <v>PETLAND BRASIL CONTA PAI</v>
      </c>
      <c r="L128" s="32">
        <f>IFERROR(__xludf.DUMMYFUNCTION("""COMPUTED_VALUE"""),67.0)</f>
        <v>67</v>
      </c>
      <c r="M128" s="4" t="str">
        <f>IFERROR(__xludf.DUMMYFUNCTION("""COMPUTED_VALUE"""),"N/A (Not found)")</f>
        <v>N/A (Not found)</v>
      </c>
      <c r="N128" s="33">
        <f>IFERROR(__xludf.DUMMYFUNCTION("""COMPUTED_VALUE"""),0.9253731343283582)</f>
        <v>0.9253731343</v>
      </c>
      <c r="O128" s="4" t="str">
        <f>IFERROR(__xludf.DUMMYFUNCTION("""COMPUTED_VALUE"""),"N/A (Not found)")</f>
        <v>N/A (Not found)</v>
      </c>
      <c r="P128" s="33">
        <f>IFERROR(__xludf.DUMMYFUNCTION("""COMPUTED_VALUE"""),0.8507462686567164)</f>
        <v>0.8507462687</v>
      </c>
      <c r="Q128" s="4" t="str">
        <f>IFERROR(__xludf.DUMMYFUNCTION("""COMPUTED_VALUE"""),"N/A (Not found)")</f>
        <v>N/A (Not found)</v>
      </c>
      <c r="R128" s="33">
        <f>IFERROR(__xludf.DUMMYFUNCTION("""COMPUTED_VALUE"""),0.8805970149253731)</f>
        <v>0.8805970149</v>
      </c>
      <c r="S128" s="4" t="str">
        <f>IFERROR(__xludf.DUMMYFUNCTION("""COMPUTED_VALUE"""),"N/A (Not found)")</f>
        <v>N/A (Not found)</v>
      </c>
      <c r="T128" s="33">
        <f>IFERROR(__xludf.DUMMYFUNCTION("""COMPUTED_VALUE"""),0.8656716417910447)</f>
        <v>0.8656716418</v>
      </c>
      <c r="U128" s="4" t="str">
        <f>IFERROR(__xludf.DUMMYFUNCTION("""COMPUTED_VALUE"""),"N/A (Not found)")</f>
        <v>N/A (Not found)</v>
      </c>
      <c r="V128" s="33">
        <f>IFERROR(__xludf.DUMMYFUNCTION("""COMPUTED_VALUE"""),0.8208955223880597)</f>
        <v>0.8208955224</v>
      </c>
      <c r="W128" s="4" t="str">
        <f>IFERROR(__xludf.DUMMYFUNCTION("""COMPUTED_VALUE"""),"N/A (Not found)")</f>
        <v>N/A (Not found)</v>
      </c>
      <c r="X128" s="33">
        <f>IFERROR(__xludf.DUMMYFUNCTION("""COMPUTED_VALUE"""),0.746268656716418)</f>
        <v>0.7462686567</v>
      </c>
    </row>
    <row r="129">
      <c r="A129" s="4" t="str">
        <f>IFERROR(__xludf.DUMMYFUNCTION("""COMPUTED_VALUE"""),"KINA DO FEIJAO VERDE")</f>
        <v>KINA DO FEIJAO VERDE</v>
      </c>
      <c r="B129" s="4">
        <f>IFERROR(__xludf.DUMMYFUNCTION("""COMPUTED_VALUE"""),3.0)</f>
        <v>3</v>
      </c>
      <c r="C129" s="30">
        <f>IFERROR(__xludf.DUMMYFUNCTION("""COMPUTED_VALUE"""),72.0)</f>
        <v>72</v>
      </c>
      <c r="D129" s="4" t="str">
        <f>IFERROR(__xludf.DUMMYFUNCTION("""COMPUTED_VALUE"""),"Fast Casual - Multi-conceito")</f>
        <v>Fast Casual - Multi-conceito</v>
      </c>
      <c r="E129" s="4" t="str">
        <f>IFERROR(__xludf.DUMMYFUNCTION("""COMPUTED_VALUE"""),"Centro-Oeste")</f>
        <v>Centro-Oeste</v>
      </c>
      <c r="F129" s="4" t="str">
        <f>IFERROR(__xludf.DUMMYFUNCTION("""COMPUTED_VALUE"""),"Dado não disponível publicamente - Necessário Discovery")</f>
        <v>Dado não disponível publicamente - Necessário Discovery</v>
      </c>
      <c r="G129" s="4">
        <f>IFERROR(__xludf.DUMMYFUNCTION("""COMPUTED_VALUE"""),65.0)</f>
        <v>65</v>
      </c>
      <c r="H129" s="31">
        <f>IFERROR(__xludf.DUMMYFUNCTION("""COMPUTED_VALUE"""),0.75)</f>
        <v>0.75</v>
      </c>
      <c r="I12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29" s="4" t="str">
        <f>IFERROR(__xludf.DUMMYFUNCTION("""COMPUTED_VALUE"""),"BAKED POTATO")</f>
        <v>BAKED POTATO</v>
      </c>
      <c r="L129" s="32">
        <f>IFERROR(__xludf.DUMMYFUNCTION("""COMPUTED_VALUE"""),66.0)</f>
        <v>66</v>
      </c>
      <c r="M129" s="4" t="str">
        <f>IFERROR(__xludf.DUMMYFUNCTION("""COMPUTED_VALUE"""),"Teknisa Service Ltda")</f>
        <v>Teknisa Service Ltda</v>
      </c>
      <c r="N129" s="33">
        <f>IFERROR(__xludf.DUMMYFUNCTION("""COMPUTED_VALUE"""),0.8333333333333334)</f>
        <v>0.8333333333</v>
      </c>
      <c r="O129" s="4" t="str">
        <f>IFERROR(__xludf.DUMMYFUNCTION("""COMPUTED_VALUE"""),"Teknisa Service Ltda")</f>
        <v>Teknisa Service Ltda</v>
      </c>
      <c r="P129" s="33">
        <f>IFERROR(__xludf.DUMMYFUNCTION("""COMPUTED_VALUE"""),0.7424242424242424)</f>
        <v>0.7424242424</v>
      </c>
      <c r="Q129" s="4" t="str">
        <f>IFERROR(__xludf.DUMMYFUNCTION("""COMPUTED_VALUE"""),"Teknisa Service Ltda")</f>
        <v>Teknisa Service Ltda</v>
      </c>
      <c r="R129" s="33">
        <f>IFERROR(__xludf.DUMMYFUNCTION("""COMPUTED_VALUE"""),0.6666666666666666)</f>
        <v>0.6666666667</v>
      </c>
      <c r="S129" s="4" t="str">
        <f>IFERROR(__xludf.DUMMYFUNCTION("""COMPUTED_VALUE"""),"Teknisa Service Ltda")</f>
        <v>Teknisa Service Ltda</v>
      </c>
      <c r="T129" s="33">
        <f>IFERROR(__xludf.DUMMYFUNCTION("""COMPUTED_VALUE"""),0.6212121212121212)</f>
        <v>0.6212121212</v>
      </c>
      <c r="U129" s="4" t="str">
        <f>IFERROR(__xludf.DUMMYFUNCTION("""COMPUTED_VALUE"""),"Teknisa Service Ltda")</f>
        <v>Teknisa Service Ltda</v>
      </c>
      <c r="V129" s="33">
        <f>IFERROR(__xludf.DUMMYFUNCTION("""COMPUTED_VALUE"""),0.696969696969697)</f>
        <v>0.696969697</v>
      </c>
      <c r="W129" s="4" t="str">
        <f>IFERROR(__xludf.DUMMYFUNCTION("""COMPUTED_VALUE"""),"Teknisa Service Ltda")</f>
        <v>Teknisa Service Ltda</v>
      </c>
      <c r="X129" s="33">
        <f>IFERROR(__xludf.DUMMYFUNCTION("""COMPUTED_VALUE"""),0.8333333333333334)</f>
        <v>0.8333333333</v>
      </c>
    </row>
    <row r="130">
      <c r="A130" s="4" t="str">
        <f>IFERROR(__xludf.DUMMYFUNCTION("""COMPUTED_VALUE"""),"KK")</f>
        <v>KK</v>
      </c>
      <c r="B130" s="4">
        <f>IFERROR(__xludf.DUMMYFUNCTION("""COMPUTED_VALUE"""),4.0)</f>
        <v>4</v>
      </c>
      <c r="C130" s="30">
        <f>IFERROR(__xludf.DUMMYFUNCTION("""COMPUTED_VALUE"""),54.0)</f>
        <v>54</v>
      </c>
      <c r="D130" s="4" t="str">
        <f>IFERROR(__xludf.DUMMYFUNCTION("""COMPUTED_VALUE"""),"Fast Casual - Multi-conceito")</f>
        <v>Fast Casual - Multi-conceito</v>
      </c>
      <c r="E130" s="4" t="str">
        <f>IFERROR(__xludf.DUMMYFUNCTION("""COMPUTED_VALUE"""),"Regional")</f>
        <v>Regional</v>
      </c>
      <c r="F130" s="4" t="str">
        <f>IFERROR(__xludf.DUMMYFUNCTION("""COMPUTED_VALUE"""),"Dado não disponível publicamente - Necessário Discovery")</f>
        <v>Dado não disponível publicamente - Necessário Discovery</v>
      </c>
      <c r="G130" s="4">
        <f>IFERROR(__xludf.DUMMYFUNCTION("""COMPUTED_VALUE"""),65.0)</f>
        <v>65</v>
      </c>
      <c r="H130" s="31">
        <f>IFERROR(__xludf.DUMMYFUNCTION("""COMPUTED_VALUE"""),0.75)</f>
        <v>0.75</v>
      </c>
      <c r="I13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30" s="4" t="str">
        <f>IFERROR(__xludf.DUMMYFUNCTION("""COMPUTED_VALUE"""),"MESTRE DO FRANGO")</f>
        <v>MESTRE DO FRANGO</v>
      </c>
      <c r="L130" s="32">
        <f>IFERROR(__xludf.DUMMYFUNCTION("""COMPUTED_VALUE"""),66.0)</f>
        <v>66</v>
      </c>
      <c r="M130" s="4" t="str">
        <f>IFERROR(__xludf.DUMMYFUNCTION("""COMPUTED_VALUE"""),"Grsoft")</f>
        <v>Grsoft</v>
      </c>
      <c r="N130" s="33">
        <f>IFERROR(__xludf.DUMMYFUNCTION("""COMPUTED_VALUE"""),0.9696969696969697)</f>
        <v>0.9696969697</v>
      </c>
      <c r="O130" s="4" t="str">
        <f>IFERROR(__xludf.DUMMYFUNCTION("""COMPUTED_VALUE"""),"Grsoft")</f>
        <v>Grsoft</v>
      </c>
      <c r="P130" s="33">
        <f>IFERROR(__xludf.DUMMYFUNCTION("""COMPUTED_VALUE"""),0.9545454545454546)</f>
        <v>0.9545454545</v>
      </c>
      <c r="Q130" s="4" t="str">
        <f>IFERROR(__xludf.DUMMYFUNCTION("""COMPUTED_VALUE"""),"Grsoft")</f>
        <v>Grsoft</v>
      </c>
      <c r="R130" s="33">
        <f>IFERROR(__xludf.DUMMYFUNCTION("""COMPUTED_VALUE"""),0.9696969696969697)</f>
        <v>0.9696969697</v>
      </c>
      <c r="S130" s="4" t="str">
        <f>IFERROR(__xludf.DUMMYFUNCTION("""COMPUTED_VALUE"""),"Grsoft")</f>
        <v>Grsoft</v>
      </c>
      <c r="T130" s="33">
        <f>IFERROR(__xludf.DUMMYFUNCTION("""COMPUTED_VALUE"""),0.9696969696969697)</f>
        <v>0.9696969697</v>
      </c>
      <c r="U130" s="4" t="str">
        <f>IFERROR(__xludf.DUMMYFUNCTION("""COMPUTED_VALUE"""),"Grsoft")</f>
        <v>Grsoft</v>
      </c>
      <c r="V130" s="33">
        <f>IFERROR(__xludf.DUMMYFUNCTION("""COMPUTED_VALUE"""),0.9848484848484849)</f>
        <v>0.9848484848</v>
      </c>
      <c r="W130" s="4" t="str">
        <f>IFERROR(__xludf.DUMMYFUNCTION("""COMPUTED_VALUE"""),"Grsoft")</f>
        <v>Grsoft</v>
      </c>
      <c r="X130" s="33">
        <f>IFERROR(__xludf.DUMMYFUNCTION("""COMPUTED_VALUE"""),0.9848484848484849)</f>
        <v>0.9848484848</v>
      </c>
    </row>
    <row r="131">
      <c r="A131" s="4" t="str">
        <f>IFERROR(__xludf.DUMMYFUNCTION("""COMPUTED_VALUE"""),"KOMBIS HOT DOG")</f>
        <v>KOMBIS HOT DOG</v>
      </c>
      <c r="B131" s="4">
        <f>IFERROR(__xludf.DUMMYFUNCTION("""COMPUTED_VALUE"""),4.0)</f>
        <v>4</v>
      </c>
      <c r="C131" s="30">
        <f>IFERROR(__xludf.DUMMYFUNCTION("""COMPUTED_VALUE"""),30.0)</f>
        <v>30</v>
      </c>
      <c r="D131" s="4" t="str">
        <f>IFERROR(__xludf.DUMMYFUNCTION("""COMPUTED_VALUE"""),"QSR - Lanches")</f>
        <v>QSR - Lanches</v>
      </c>
      <c r="E131" s="4" t="str">
        <f>IFERROR(__xludf.DUMMYFUNCTION("""COMPUTED_VALUE"""),"Belo Horizonte/MG")</f>
        <v>Belo Horizonte/MG</v>
      </c>
      <c r="F131" s="4" t="str">
        <f>IFERROR(__xludf.DUMMYFUNCTION("""COMPUTED_VALUE"""),"Dado não disponível publicamente - Necessário Discovery")</f>
        <v>Dado não disponível publicamente - Necessário Discovery</v>
      </c>
      <c r="G131" s="4">
        <f>IFERROR(__xludf.DUMMYFUNCTION("""COMPUTED_VALUE"""),65.0)</f>
        <v>65</v>
      </c>
      <c r="H131" s="31">
        <f>IFERROR(__xludf.DUMMYFUNCTION("""COMPUTED_VALUE"""),0.85)</f>
        <v>0.85</v>
      </c>
      <c r="I131"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131" s="4" t="str">
        <f>IFERROR(__xludf.DUMMYFUNCTION("""COMPUTED_VALUE"""),"GRUPO UNIPRECO")</f>
        <v>GRUPO UNIPRECO</v>
      </c>
      <c r="L131" s="32">
        <f>IFERROR(__xludf.DUMMYFUNCTION("""COMPUTED_VALUE"""),64.0)</f>
        <v>64</v>
      </c>
      <c r="M131" s="4" t="str">
        <f>IFERROR(__xludf.DUMMYFUNCTION("""COMPUTED_VALUE"""),"N/A (Not found)")</f>
        <v>N/A (Not found)</v>
      </c>
      <c r="N131" s="33">
        <f>IFERROR(__xludf.DUMMYFUNCTION("""COMPUTED_VALUE"""),0.96875)</f>
        <v>0.96875</v>
      </c>
      <c r="O131" s="4" t="str">
        <f>IFERROR(__xludf.DUMMYFUNCTION("""COMPUTED_VALUE"""),"N/A (Not found)")</f>
        <v>N/A (Not found)</v>
      </c>
      <c r="P131" s="33">
        <f>IFERROR(__xludf.DUMMYFUNCTION("""COMPUTED_VALUE"""),0.96875)</f>
        <v>0.96875</v>
      </c>
      <c r="Q131" s="4" t="str">
        <f>IFERROR(__xludf.DUMMYFUNCTION("""COMPUTED_VALUE"""),"N/A (Not found)")</f>
        <v>N/A (Not found)</v>
      </c>
      <c r="R131" s="33">
        <f>IFERROR(__xludf.DUMMYFUNCTION("""COMPUTED_VALUE"""),0.984375)</f>
        <v>0.984375</v>
      </c>
      <c r="S131" s="4" t="str">
        <f>IFERROR(__xludf.DUMMYFUNCTION("""COMPUTED_VALUE"""),"N/A (Not found)")</f>
        <v>N/A (Not found)</v>
      </c>
      <c r="T131" s="33">
        <f>IFERROR(__xludf.DUMMYFUNCTION("""COMPUTED_VALUE"""),1.0)</f>
        <v>1</v>
      </c>
      <c r="U131" s="4" t="str">
        <f>IFERROR(__xludf.DUMMYFUNCTION("""COMPUTED_VALUE"""),"N/A (Not found)")</f>
        <v>N/A (Not found)</v>
      </c>
      <c r="V131" s="33">
        <f>IFERROR(__xludf.DUMMYFUNCTION("""COMPUTED_VALUE"""),1.0)</f>
        <v>1</v>
      </c>
      <c r="W131" s="4" t="str">
        <f>IFERROR(__xludf.DUMMYFUNCTION("""COMPUTED_VALUE"""),"N/A (Not found)")</f>
        <v>N/A (Not found)</v>
      </c>
      <c r="X131" s="33">
        <f>IFERROR(__xludf.DUMMYFUNCTION("""COMPUTED_VALUE"""),0.984375)</f>
        <v>0.984375</v>
      </c>
    </row>
    <row r="132">
      <c r="A132" s="4" t="str">
        <f>IFERROR(__xludf.DUMMYFUNCTION("""COMPUTED_VALUE"""),"LA MOLE")</f>
        <v>LA MOLE</v>
      </c>
      <c r="B132" s="4">
        <f>IFERROR(__xludf.DUMMYFUNCTION("""COMPUTED_VALUE"""),2.0)</f>
        <v>2</v>
      </c>
      <c r="C132" s="30">
        <f>IFERROR(__xludf.DUMMYFUNCTION("""COMPUTED_VALUE"""),54.0)</f>
        <v>54</v>
      </c>
      <c r="D132" s="4" t="str">
        <f>IFERROR(__xludf.DUMMYFUNCTION("""COMPUTED_VALUE"""),"Fast Casual - Multi-conceito")</f>
        <v>Fast Casual - Multi-conceito</v>
      </c>
      <c r="E132" s="4" t="str">
        <f>IFERROR(__xludf.DUMMYFUNCTION("""COMPUTED_VALUE"""),"Brasília/DF")</f>
        <v>Brasília/DF</v>
      </c>
      <c r="F132" s="4" t="str">
        <f>IFERROR(__xludf.DUMMYFUNCTION("""COMPUTED_VALUE"""),"Dado não disponível publicamente - Necessário Discovery")</f>
        <v>Dado não disponível publicamente - Necessário Discovery</v>
      </c>
      <c r="G132" s="4">
        <f>IFERROR(__xludf.DUMMYFUNCTION("""COMPUTED_VALUE"""),65.0)</f>
        <v>65</v>
      </c>
      <c r="H132" s="31">
        <f>IFERROR(__xludf.DUMMYFUNCTION("""COMPUTED_VALUE"""),0.75)</f>
        <v>0.75</v>
      </c>
      <c r="I13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32" s="4" t="str">
        <f>IFERROR(__xludf.DUMMYFUNCTION("""COMPUTED_VALUE"""),"LINDT")</f>
        <v>LINDT</v>
      </c>
      <c r="L132" s="32">
        <f>IFERROR(__xludf.DUMMYFUNCTION("""COMPUTED_VALUE"""),64.0)</f>
        <v>64</v>
      </c>
      <c r="M132" s="4" t="str">
        <f>IFERROR(__xludf.DUMMYFUNCTION("""COMPUTED_VALUE"""),"Ciss S.a Gestao Para O Varejo")</f>
        <v>Ciss S.a Gestao Para O Varejo</v>
      </c>
      <c r="N132" s="33">
        <f>IFERROR(__xludf.DUMMYFUNCTION("""COMPUTED_VALUE"""),0.984375)</f>
        <v>0.984375</v>
      </c>
      <c r="O132" s="4" t="str">
        <f>IFERROR(__xludf.DUMMYFUNCTION("""COMPUTED_VALUE"""),"Ciss S.a Gestao Para O Varejo")</f>
        <v>Ciss S.a Gestao Para O Varejo</v>
      </c>
      <c r="P132" s="33">
        <f>IFERROR(__xludf.DUMMYFUNCTION("""COMPUTED_VALUE"""),0.9375)</f>
        <v>0.9375</v>
      </c>
      <c r="Q132" s="4" t="str">
        <f>IFERROR(__xludf.DUMMYFUNCTION("""COMPUTED_VALUE"""),"Ciss S.a Gestao Para O Varejo")</f>
        <v>Ciss S.a Gestao Para O Varejo</v>
      </c>
      <c r="R132" s="33">
        <f>IFERROR(__xludf.DUMMYFUNCTION("""COMPUTED_VALUE"""),0.90625)</f>
        <v>0.90625</v>
      </c>
      <c r="S132" s="4" t="str">
        <f>IFERROR(__xludf.DUMMYFUNCTION("""COMPUTED_VALUE"""),"Ciss S.a Gestao Para O Varejo")</f>
        <v>Ciss S.a Gestao Para O Varejo</v>
      </c>
      <c r="T132" s="33">
        <f>IFERROR(__xludf.DUMMYFUNCTION("""COMPUTED_VALUE"""),0.90625)</f>
        <v>0.90625</v>
      </c>
      <c r="U132" s="4" t="str">
        <f>IFERROR(__xludf.DUMMYFUNCTION("""COMPUTED_VALUE"""),"Ciss S.a Gestao Para O Varejo")</f>
        <v>Ciss S.a Gestao Para O Varejo</v>
      </c>
      <c r="V132" s="33">
        <f>IFERROR(__xludf.DUMMYFUNCTION("""COMPUTED_VALUE"""),0.953125)</f>
        <v>0.953125</v>
      </c>
      <c r="W132" s="4" t="str">
        <f>IFERROR(__xludf.DUMMYFUNCTION("""COMPUTED_VALUE"""),"Ciss S.a Gestao Para O Varejo")</f>
        <v>Ciss S.a Gestao Para O Varejo</v>
      </c>
      <c r="X132" s="33">
        <f>IFERROR(__xludf.DUMMYFUNCTION("""COMPUTED_VALUE"""),0.9375)</f>
        <v>0.9375</v>
      </c>
    </row>
    <row r="133">
      <c r="A133" s="4" t="str">
        <f>IFERROR(__xludf.DUMMYFUNCTION("""COMPUTED_VALUE"""),"LACA BURGUER")</f>
        <v>LACA BURGUER</v>
      </c>
      <c r="B133" s="4">
        <f>IFERROR(__xludf.DUMMYFUNCTION("""COMPUTED_VALUE"""),5.0)</f>
        <v>5</v>
      </c>
      <c r="C133" s="30">
        <f>IFERROR(__xludf.DUMMYFUNCTION("""COMPUTED_VALUE"""),75.0)</f>
        <v>75</v>
      </c>
      <c r="D133" s="4" t="str">
        <f>IFERROR(__xludf.DUMMYFUNCTION("""COMPUTED_VALUE"""),"Fast Casual - Multi-conceito")</f>
        <v>Fast Casual - Multi-conceito</v>
      </c>
      <c r="E133" s="4" t="str">
        <f>IFERROR(__xludf.DUMMYFUNCTION("""COMPUTED_VALUE"""),"Sul")</f>
        <v>Sul</v>
      </c>
      <c r="F133" s="4" t="str">
        <f>IFERROR(__xludf.DUMMYFUNCTION("""COMPUTED_VALUE"""),"Dado não disponível publicamente - Necessário Discovery")</f>
        <v>Dado não disponível publicamente - Necessário Discovery</v>
      </c>
      <c r="G133" s="4">
        <f>IFERROR(__xludf.DUMMYFUNCTION("""COMPUTED_VALUE"""),70.0)</f>
        <v>70</v>
      </c>
      <c r="H133" s="31">
        <f>IFERROR(__xludf.DUMMYFUNCTION("""COMPUTED_VALUE"""),0.75)</f>
        <v>0.75</v>
      </c>
      <c r="I13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33" s="4" t="str">
        <f>IFERROR(__xludf.DUMMYFUNCTION("""COMPUTED_VALUE"""),"SMOOV")</f>
        <v>SMOOV</v>
      </c>
      <c r="L133" s="32">
        <f>IFERROR(__xludf.DUMMYFUNCTION("""COMPUTED_VALUE"""),64.0)</f>
        <v>64</v>
      </c>
      <c r="M133" s="4" t="str">
        <f>IFERROR(__xludf.DUMMYFUNCTION("""COMPUTED_VALUE"""),"Totvs Large Enterprise Tecnologia S.a.")</f>
        <v>Totvs Large Enterprise Tecnologia S.a.</v>
      </c>
      <c r="N133" s="33">
        <f>IFERROR(__xludf.DUMMYFUNCTION("""COMPUTED_VALUE"""),0.71875)</f>
        <v>0.71875</v>
      </c>
      <c r="O133" s="4" t="str">
        <f>IFERROR(__xludf.DUMMYFUNCTION("""COMPUTED_VALUE"""),"Totvs Large Enterprise Tecnologia S.a.")</f>
        <v>Totvs Large Enterprise Tecnologia S.a.</v>
      </c>
      <c r="P133" s="33">
        <f>IFERROR(__xludf.DUMMYFUNCTION("""COMPUTED_VALUE"""),0.6875)</f>
        <v>0.6875</v>
      </c>
      <c r="Q133" s="4" t="str">
        <f>IFERROR(__xludf.DUMMYFUNCTION("""COMPUTED_VALUE"""),"Totvs Large Enterprise Tecnologia S.a.")</f>
        <v>Totvs Large Enterprise Tecnologia S.a.</v>
      </c>
      <c r="R133" s="33">
        <f>IFERROR(__xludf.DUMMYFUNCTION("""COMPUTED_VALUE"""),0.671875)</f>
        <v>0.671875</v>
      </c>
      <c r="S133" s="4" t="str">
        <f>IFERROR(__xludf.DUMMYFUNCTION("""COMPUTED_VALUE"""),"Totvs Large Enterprise Tecnologia S.a.")</f>
        <v>Totvs Large Enterprise Tecnologia S.a.</v>
      </c>
      <c r="T133" s="33">
        <f>IFERROR(__xludf.DUMMYFUNCTION("""COMPUTED_VALUE"""),0.75)</f>
        <v>0.75</v>
      </c>
      <c r="U133" s="4" t="str">
        <f>IFERROR(__xludf.DUMMYFUNCTION("""COMPUTED_VALUE"""),"Totvs Large Enterprise Tecnologia S.a.")</f>
        <v>Totvs Large Enterprise Tecnologia S.a.</v>
      </c>
      <c r="V133" s="33">
        <f>IFERROR(__xludf.DUMMYFUNCTION("""COMPUTED_VALUE"""),0.765625)</f>
        <v>0.765625</v>
      </c>
      <c r="W133" s="4" t="str">
        <f>IFERROR(__xludf.DUMMYFUNCTION("""COMPUTED_VALUE"""),"Totvs Large Enterprise Tecnologia S.a.")</f>
        <v>Totvs Large Enterprise Tecnologia S.a.</v>
      </c>
      <c r="X133" s="33">
        <f>IFERROR(__xludf.DUMMYFUNCTION("""COMPUTED_VALUE"""),0.859375)</f>
        <v>0.859375</v>
      </c>
    </row>
    <row r="134">
      <c r="A134" s="4" t="str">
        <f>IFERROR(__xludf.DUMMYFUNCTION("""COMPUTED_VALUE"""),"LAHMAJUN")</f>
        <v>LAHMAJUN</v>
      </c>
      <c r="B134" s="4">
        <f>IFERROR(__xludf.DUMMYFUNCTION("""COMPUTED_VALUE"""),3.0)</f>
        <v>3</v>
      </c>
      <c r="C134" s="30">
        <f>IFERROR(__xludf.DUMMYFUNCTION("""COMPUTED_VALUE"""),59.0)</f>
        <v>59</v>
      </c>
      <c r="D134" s="4" t="str">
        <f>IFERROR(__xludf.DUMMYFUNCTION("""COMPUTED_VALUE"""),"Fast Casual - Multi-conceito")</f>
        <v>Fast Casual - Multi-conceito</v>
      </c>
      <c r="E134" s="4" t="str">
        <f>IFERROR(__xludf.DUMMYFUNCTION("""COMPUTED_VALUE"""),"Belo Horizonte/MG")</f>
        <v>Belo Horizonte/MG</v>
      </c>
      <c r="F134" s="4" t="str">
        <f>IFERROR(__xludf.DUMMYFUNCTION("""COMPUTED_VALUE"""),"Dado não disponível publicamente - Necessário Discovery")</f>
        <v>Dado não disponível publicamente - Necessário Discovery</v>
      </c>
      <c r="G134" s="4">
        <f>IFERROR(__xludf.DUMMYFUNCTION("""COMPUTED_VALUE"""),65.0)</f>
        <v>65</v>
      </c>
      <c r="H134" s="31">
        <f>IFERROR(__xludf.DUMMYFUNCTION("""COMPUTED_VALUE"""),0.75)</f>
        <v>0.75</v>
      </c>
      <c r="I13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34" s="4" t="str">
        <f>IFERROR(__xludf.DUMMYFUNCTION("""COMPUTED_VALUE"""),"BIGGS - CONTA PAI")</f>
        <v>BIGGS - CONTA PAI</v>
      </c>
      <c r="L134" s="32">
        <f>IFERROR(__xludf.DUMMYFUNCTION("""COMPUTED_VALUE"""),63.0)</f>
        <v>63</v>
      </c>
      <c r="M134" s="4" t="str">
        <f>IFERROR(__xludf.DUMMYFUNCTION("""COMPUTED_VALUE"""),"Cloudfy")</f>
        <v>Cloudfy</v>
      </c>
      <c r="N134" s="33">
        <f>IFERROR(__xludf.DUMMYFUNCTION("""COMPUTED_VALUE"""),1.0)</f>
        <v>1</v>
      </c>
      <c r="O134" s="4" t="str">
        <f>IFERROR(__xludf.DUMMYFUNCTION("""COMPUTED_VALUE"""),"Cloudfy")</f>
        <v>Cloudfy</v>
      </c>
      <c r="P134" s="33">
        <f>IFERROR(__xludf.DUMMYFUNCTION("""COMPUTED_VALUE"""),0.9841269841269841)</f>
        <v>0.9841269841</v>
      </c>
      <c r="Q134" s="4" t="str">
        <f>IFERROR(__xludf.DUMMYFUNCTION("""COMPUTED_VALUE"""),"Cloudfy")</f>
        <v>Cloudfy</v>
      </c>
      <c r="R134" s="33">
        <f>IFERROR(__xludf.DUMMYFUNCTION("""COMPUTED_VALUE"""),0.9682539682539683)</f>
        <v>0.9682539683</v>
      </c>
      <c r="S134" s="4" t="str">
        <f>IFERROR(__xludf.DUMMYFUNCTION("""COMPUTED_VALUE"""),"Cloudfy")</f>
        <v>Cloudfy</v>
      </c>
      <c r="T134" s="33">
        <f>IFERROR(__xludf.DUMMYFUNCTION("""COMPUTED_VALUE"""),0.9523809523809523)</f>
        <v>0.9523809524</v>
      </c>
      <c r="U134" s="4" t="str">
        <f>IFERROR(__xludf.DUMMYFUNCTION("""COMPUTED_VALUE"""),"Cloudfy")</f>
        <v>Cloudfy</v>
      </c>
      <c r="V134" s="33">
        <f>IFERROR(__xludf.DUMMYFUNCTION("""COMPUTED_VALUE"""),0.9682539682539683)</f>
        <v>0.9682539683</v>
      </c>
      <c r="W134" s="4" t="str">
        <f>IFERROR(__xludf.DUMMYFUNCTION("""COMPUTED_VALUE"""),"Cloudfy")</f>
        <v>Cloudfy</v>
      </c>
      <c r="X134" s="33">
        <f>IFERROR(__xludf.DUMMYFUNCTION("""COMPUTED_VALUE"""),0.9523809523809523)</f>
        <v>0.9523809524</v>
      </c>
    </row>
    <row r="135">
      <c r="A135" s="4" t="str">
        <f>IFERROR(__xludf.DUMMYFUNCTION("""COMPUTED_VALUE"""),"LET'S EAT")</f>
        <v>LET'S EAT</v>
      </c>
      <c r="B135" s="4">
        <f>IFERROR(__xludf.DUMMYFUNCTION("""COMPUTED_VALUE"""),6.0)</f>
        <v>6</v>
      </c>
      <c r="C135" s="30">
        <f>IFERROR(__xludf.DUMMYFUNCTION("""COMPUTED_VALUE"""),50.0)</f>
        <v>50</v>
      </c>
      <c r="D135" s="4" t="str">
        <f>IFERROR(__xludf.DUMMYFUNCTION("""COMPUTED_VALUE"""),"Fast Casual - Multi-conceito")</f>
        <v>Fast Casual - Multi-conceito</v>
      </c>
      <c r="E135" s="4" t="str">
        <f>IFERROR(__xludf.DUMMYFUNCTION("""COMPUTED_VALUE"""),"Belo Horizonte/MG")</f>
        <v>Belo Horizonte/MG</v>
      </c>
      <c r="F135" s="4" t="str">
        <f>IFERROR(__xludf.DUMMYFUNCTION("""COMPUTED_VALUE"""),"Dado não disponível publicamente - Necessário Discovery")</f>
        <v>Dado não disponível publicamente - Necessário Discovery</v>
      </c>
      <c r="G135" s="4">
        <f>IFERROR(__xludf.DUMMYFUNCTION("""COMPUTED_VALUE"""),70.0)</f>
        <v>70</v>
      </c>
      <c r="H135" s="31">
        <f>IFERROR(__xludf.DUMMYFUNCTION("""COMPUTED_VALUE"""),0.75)</f>
        <v>0.75</v>
      </c>
      <c r="I13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35" s="4" t="str">
        <f>IFERROR(__xludf.DUMMYFUNCTION("""COMPUTED_VALUE"""),"MUNDO DO CABELEIREIRO- CONTA PAI")</f>
        <v>MUNDO DO CABELEIREIRO- CONTA PAI</v>
      </c>
      <c r="L135" s="32">
        <f>IFERROR(__xludf.DUMMYFUNCTION("""COMPUTED_VALUE"""),63.0)</f>
        <v>63</v>
      </c>
      <c r="M135" s="4" t="str">
        <f>IFERROR(__xludf.DUMMYFUNCTION("""COMPUTED_VALUE"""),"N/A (Not found)")</f>
        <v>N/A (Not found)</v>
      </c>
      <c r="N135" s="33">
        <f>IFERROR(__xludf.DUMMYFUNCTION("""COMPUTED_VALUE"""),0.9682539682539683)</f>
        <v>0.9682539683</v>
      </c>
      <c r="O135" s="4" t="str">
        <f>IFERROR(__xludf.DUMMYFUNCTION("""COMPUTED_VALUE"""),"N/A (Not found)")</f>
        <v>N/A (Not found)</v>
      </c>
      <c r="P135" s="33">
        <f>IFERROR(__xludf.DUMMYFUNCTION("""COMPUTED_VALUE"""),0.9841269841269841)</f>
        <v>0.9841269841</v>
      </c>
      <c r="Q135" s="4" t="str">
        <f>IFERROR(__xludf.DUMMYFUNCTION("""COMPUTED_VALUE"""),"N/A (Not found)")</f>
        <v>N/A (Not found)</v>
      </c>
      <c r="R135" s="33">
        <f>IFERROR(__xludf.DUMMYFUNCTION("""COMPUTED_VALUE"""),0.9841269841269841)</f>
        <v>0.9841269841</v>
      </c>
      <c r="S135" s="4" t="str">
        <f>IFERROR(__xludf.DUMMYFUNCTION("""COMPUTED_VALUE"""),"N/A (Not found)")</f>
        <v>N/A (Not found)</v>
      </c>
      <c r="T135" s="33">
        <f>IFERROR(__xludf.DUMMYFUNCTION("""COMPUTED_VALUE"""),0.9682539682539683)</f>
        <v>0.9682539683</v>
      </c>
      <c r="U135" s="4" t="str">
        <f>IFERROR(__xludf.DUMMYFUNCTION("""COMPUTED_VALUE"""),"N/A (Not found)")</f>
        <v>N/A (Not found)</v>
      </c>
      <c r="V135" s="33">
        <f>IFERROR(__xludf.DUMMYFUNCTION("""COMPUTED_VALUE"""),0.9841269841269841)</f>
        <v>0.9841269841</v>
      </c>
      <c r="W135" s="4" t="str">
        <f>IFERROR(__xludf.DUMMYFUNCTION("""COMPUTED_VALUE"""),"N/A (Not found)")</f>
        <v>N/A (Not found)</v>
      </c>
      <c r="X135" s="33">
        <f>IFERROR(__xludf.DUMMYFUNCTION("""COMPUTED_VALUE"""),0.9841269841269841)</f>
        <v>0.9841269841</v>
      </c>
    </row>
    <row r="136">
      <c r="A136" s="4" t="str">
        <f>IFERROR(__xludf.DUMMYFUNCTION("""COMPUTED_VALUE"""),"LIFEBOX")</f>
        <v>LIFEBOX</v>
      </c>
      <c r="B136" s="4">
        <f>IFERROR(__xludf.DUMMYFUNCTION("""COMPUTED_VALUE"""),5.0)</f>
        <v>5</v>
      </c>
      <c r="C136" s="30">
        <f>IFERROR(__xludf.DUMMYFUNCTION("""COMPUTED_VALUE"""),64.0)</f>
        <v>64</v>
      </c>
      <c r="D136" s="4" t="str">
        <f>IFERROR(__xludf.DUMMYFUNCTION("""COMPUTED_VALUE"""),"Fast Casual - Multi-conceito")</f>
        <v>Fast Casual - Multi-conceito</v>
      </c>
      <c r="E136" s="4" t="str">
        <f>IFERROR(__xludf.DUMMYFUNCTION("""COMPUTED_VALUE"""),"Sudeste")</f>
        <v>Sudeste</v>
      </c>
      <c r="F136" s="4" t="str">
        <f>IFERROR(__xludf.DUMMYFUNCTION("""COMPUTED_VALUE"""),"Dado não disponível publicamente - Necessário Discovery")</f>
        <v>Dado não disponível publicamente - Necessário Discovery</v>
      </c>
      <c r="G136" s="4">
        <f>IFERROR(__xludf.DUMMYFUNCTION("""COMPUTED_VALUE"""),70.0)</f>
        <v>70</v>
      </c>
      <c r="H136" s="31">
        <f>IFERROR(__xludf.DUMMYFUNCTION("""COMPUTED_VALUE"""),0.75)</f>
        <v>0.75</v>
      </c>
      <c r="I13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36" s="4" t="str">
        <f>IFERROR(__xludf.DUMMYFUNCTION("""COMPUTED_VALUE"""),"SAVEGNAGO - CONTA PAI - GRUPO")</f>
        <v>SAVEGNAGO - CONTA PAI - GRUPO</v>
      </c>
      <c r="L136" s="32">
        <f>IFERROR(__xludf.DUMMYFUNCTION("""COMPUTED_VALUE"""),63.0)</f>
        <v>63</v>
      </c>
      <c r="M136" s="4" t="str">
        <f>IFERROR(__xludf.DUMMYFUNCTION("""COMPUTED_VALUE"""),"N/A (Not found)")</f>
        <v>N/A (Not found)</v>
      </c>
      <c r="N136" s="33">
        <f>IFERROR(__xludf.DUMMYFUNCTION("""COMPUTED_VALUE"""),0.8450704225352113)</f>
        <v>0.8450704225</v>
      </c>
      <c r="O136" s="4" t="str">
        <f>IFERROR(__xludf.DUMMYFUNCTION("""COMPUTED_VALUE"""),"N/A (Not found)")</f>
        <v>N/A (Not found)</v>
      </c>
      <c r="P136" s="33">
        <f>IFERROR(__xludf.DUMMYFUNCTION("""COMPUTED_VALUE"""),0.8450704225352113)</f>
        <v>0.8450704225</v>
      </c>
      <c r="Q136" s="4" t="str">
        <f>IFERROR(__xludf.DUMMYFUNCTION("""COMPUTED_VALUE"""),"N/A (Not found)")</f>
        <v>N/A (Not found)</v>
      </c>
      <c r="R136" s="33">
        <f>IFERROR(__xludf.DUMMYFUNCTION("""COMPUTED_VALUE"""),0.9295774647887324)</f>
        <v>0.9295774648</v>
      </c>
      <c r="S136" s="4" t="str">
        <f>IFERROR(__xludf.DUMMYFUNCTION("""COMPUTED_VALUE"""),"N/A (Not found)")</f>
        <v>N/A (Not found)</v>
      </c>
      <c r="T136" s="33">
        <f>IFERROR(__xludf.DUMMYFUNCTION("""COMPUTED_VALUE"""),1.0)</f>
        <v>1</v>
      </c>
      <c r="U136" s="4" t="str">
        <f>IFERROR(__xludf.DUMMYFUNCTION("""COMPUTED_VALUE"""),"N/A (Not found)")</f>
        <v>N/A (Not found)</v>
      </c>
      <c r="V136" s="33">
        <f>IFERROR(__xludf.DUMMYFUNCTION("""COMPUTED_VALUE"""),1.0)</f>
        <v>1</v>
      </c>
      <c r="W136" s="4" t="str">
        <f>IFERROR(__xludf.DUMMYFUNCTION("""COMPUTED_VALUE"""),"N/A (Not found)")</f>
        <v>N/A (Not found)</v>
      </c>
      <c r="X136" s="33">
        <f>IFERROR(__xludf.DUMMYFUNCTION("""COMPUTED_VALUE"""),0.9859154929577465)</f>
        <v>0.985915493</v>
      </c>
    </row>
    <row r="137">
      <c r="A137" s="4" t="str">
        <f>IFERROR(__xludf.DUMMYFUNCTION("""COMPUTED_VALUE"""),"MAGRELO LANCHES")</f>
        <v>MAGRELO LANCHES</v>
      </c>
      <c r="B137" s="4">
        <f>IFERROR(__xludf.DUMMYFUNCTION("""COMPUTED_VALUE"""),10.0)</f>
        <v>10</v>
      </c>
      <c r="C137" s="30">
        <f>IFERROR(__xludf.DUMMYFUNCTION("""COMPUTED_VALUE"""),42.0)</f>
        <v>42</v>
      </c>
      <c r="D137" s="4" t="str">
        <f>IFERROR(__xludf.DUMMYFUNCTION("""COMPUTED_VALUE"""),"QSR - Lanches")</f>
        <v>QSR - Lanches</v>
      </c>
      <c r="E137" s="4" t="str">
        <f>IFERROR(__xludf.DUMMYFUNCTION("""COMPUTED_VALUE"""),"Sudeste")</f>
        <v>Sudeste</v>
      </c>
      <c r="F137" s="4" t="str">
        <f>IFERROR(__xludf.DUMMYFUNCTION("""COMPUTED_VALUE"""),"Dado não disponível publicamente - Necessário Discovery")</f>
        <v>Dado não disponível publicamente - Necessário Discovery</v>
      </c>
      <c r="G137" s="4">
        <f>IFERROR(__xludf.DUMMYFUNCTION("""COMPUTED_VALUE"""),70.0)</f>
        <v>70</v>
      </c>
      <c r="H137" s="31">
        <f>IFERROR(__xludf.DUMMYFUNCTION("""COMPUTED_VALUE"""),0.9)</f>
        <v>0.9</v>
      </c>
      <c r="I137"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137" s="4" t="str">
        <f>IFERROR(__xludf.DUMMYFUNCTION("""COMPUTED_VALUE"""),"SUSHIFAN CONTA PAI")</f>
        <v>SUSHIFAN CONTA PAI</v>
      </c>
      <c r="L137" s="32">
        <f>IFERROR(__xludf.DUMMYFUNCTION("""COMPUTED_VALUE"""),63.0)</f>
        <v>63</v>
      </c>
      <c r="M137" s="4" t="str">
        <f>IFERROR(__xludf.DUMMYFUNCTION("""COMPUTED_VALUE"""),"Saipos Serviços De Software")</f>
        <v>Saipos Serviços De Software</v>
      </c>
      <c r="N137" s="33">
        <f>IFERROR(__xludf.DUMMYFUNCTION("""COMPUTED_VALUE"""),0.9682539682539683)</f>
        <v>0.9682539683</v>
      </c>
      <c r="O137" s="4" t="str">
        <f>IFERROR(__xludf.DUMMYFUNCTION("""COMPUTED_VALUE"""),"Saipos Serviços De Software")</f>
        <v>Saipos Serviços De Software</v>
      </c>
      <c r="P137" s="33">
        <f>IFERROR(__xludf.DUMMYFUNCTION("""COMPUTED_VALUE"""),0.9841269841269841)</f>
        <v>0.9841269841</v>
      </c>
      <c r="Q137" s="4" t="str">
        <f>IFERROR(__xludf.DUMMYFUNCTION("""COMPUTED_VALUE"""),"Saipos Serviços De Software")</f>
        <v>Saipos Serviços De Software</v>
      </c>
      <c r="R137" s="33">
        <f>IFERROR(__xludf.DUMMYFUNCTION("""COMPUTED_VALUE"""),0.9841269841269841)</f>
        <v>0.9841269841</v>
      </c>
      <c r="S137" s="4" t="str">
        <f>IFERROR(__xludf.DUMMYFUNCTION("""COMPUTED_VALUE"""),"Saipos Serviços De Software")</f>
        <v>Saipos Serviços De Software</v>
      </c>
      <c r="T137" s="33">
        <f>IFERROR(__xludf.DUMMYFUNCTION("""COMPUTED_VALUE"""),0.9523809523809523)</f>
        <v>0.9523809524</v>
      </c>
      <c r="U137" s="4" t="str">
        <f>IFERROR(__xludf.DUMMYFUNCTION("""COMPUTED_VALUE"""),"Saipos Serviços De Software")</f>
        <v>Saipos Serviços De Software</v>
      </c>
      <c r="V137" s="33">
        <f>IFERROR(__xludf.DUMMYFUNCTION("""COMPUTED_VALUE"""),0.9365079365079365)</f>
        <v>0.9365079365</v>
      </c>
      <c r="W137" s="4" t="str">
        <f>IFERROR(__xludf.DUMMYFUNCTION("""COMPUTED_VALUE"""),"Saipos Serviços De Software")</f>
        <v>Saipos Serviços De Software</v>
      </c>
      <c r="X137" s="33">
        <f>IFERROR(__xludf.DUMMYFUNCTION("""COMPUTED_VALUE"""),0.9047619047619048)</f>
        <v>0.9047619048</v>
      </c>
    </row>
    <row r="138">
      <c r="A138" s="4" t="str">
        <f>IFERROR(__xludf.DUMMYFUNCTION("""COMPUTED_VALUE"""),"MAMMA MIA RS")</f>
        <v>MAMMA MIA RS</v>
      </c>
      <c r="B138" s="4">
        <f>IFERROR(__xludf.DUMMYFUNCTION("""COMPUTED_VALUE"""),4.0)</f>
        <v>4</v>
      </c>
      <c r="C138" s="30">
        <f>IFERROR(__xludf.DUMMYFUNCTION("""COMPUTED_VALUE"""),72.0)</f>
        <v>72</v>
      </c>
      <c r="D138" s="4" t="str">
        <f>IFERROR(__xludf.DUMMYFUNCTION("""COMPUTED_VALUE"""),"Fast Casual - Multi-conceito")</f>
        <v>Fast Casual - Multi-conceito</v>
      </c>
      <c r="E138" s="4" t="str">
        <f>IFERROR(__xludf.DUMMYFUNCTION("""COMPUTED_VALUE"""),"Centro-Oeste")</f>
        <v>Centro-Oeste</v>
      </c>
      <c r="F138" s="4" t="str">
        <f>IFERROR(__xludf.DUMMYFUNCTION("""COMPUTED_VALUE"""),"Dado não disponível publicamente - Necessário Discovery")</f>
        <v>Dado não disponível publicamente - Necessário Discovery</v>
      </c>
      <c r="G138" s="4">
        <f>IFERROR(__xludf.DUMMYFUNCTION("""COMPUTED_VALUE"""),65.0)</f>
        <v>65</v>
      </c>
      <c r="H138" s="31">
        <f>IFERROR(__xludf.DUMMYFUNCTION("""COMPUTED_VALUE"""),0.75)</f>
        <v>0.75</v>
      </c>
      <c r="I13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38" s="4" t="str">
        <f>IFERROR(__xludf.DUMMYFUNCTION("""COMPUTED_VALUE"""),"GRUPO AMERICAN COOKIES")</f>
        <v>GRUPO AMERICAN COOKIES</v>
      </c>
      <c r="L138" s="32">
        <f>IFERROR(__xludf.DUMMYFUNCTION("""COMPUTED_VALUE"""),62.0)</f>
        <v>62</v>
      </c>
      <c r="M138" s="4" t="str">
        <f>IFERROR(__xludf.DUMMYFUNCTION("""COMPUTED_VALUE"""),"Swfast Sistemas")</f>
        <v>Swfast Sistemas</v>
      </c>
      <c r="N138" s="33">
        <f>IFERROR(__xludf.DUMMYFUNCTION("""COMPUTED_VALUE"""),0.7903225806451613)</f>
        <v>0.7903225806</v>
      </c>
      <c r="O138" s="4" t="str">
        <f>IFERROR(__xludf.DUMMYFUNCTION("""COMPUTED_VALUE"""),"Swfast Sistemas")</f>
        <v>Swfast Sistemas</v>
      </c>
      <c r="P138" s="33">
        <f>IFERROR(__xludf.DUMMYFUNCTION("""COMPUTED_VALUE"""),0.7258064516129032)</f>
        <v>0.7258064516</v>
      </c>
      <c r="Q138" s="4" t="str">
        <f>IFERROR(__xludf.DUMMYFUNCTION("""COMPUTED_VALUE"""),"Swfast Sistemas")</f>
        <v>Swfast Sistemas</v>
      </c>
      <c r="R138" s="33">
        <f>IFERROR(__xludf.DUMMYFUNCTION("""COMPUTED_VALUE"""),0.6935483870967742)</f>
        <v>0.6935483871</v>
      </c>
      <c r="S138" s="4" t="str">
        <f>IFERROR(__xludf.DUMMYFUNCTION("""COMPUTED_VALUE"""),"Swfast Sistemas")</f>
        <v>Swfast Sistemas</v>
      </c>
      <c r="T138" s="33">
        <f>IFERROR(__xludf.DUMMYFUNCTION("""COMPUTED_VALUE"""),0.7580645161290323)</f>
        <v>0.7580645161</v>
      </c>
      <c r="U138" s="4" t="str">
        <f>IFERROR(__xludf.DUMMYFUNCTION("""COMPUTED_VALUE"""),"Swfast Sistemas")</f>
        <v>Swfast Sistemas</v>
      </c>
      <c r="V138" s="33">
        <f>IFERROR(__xludf.DUMMYFUNCTION("""COMPUTED_VALUE"""),0.7096774193548387)</f>
        <v>0.7096774194</v>
      </c>
      <c r="W138" s="4" t="str">
        <f>IFERROR(__xludf.DUMMYFUNCTION("""COMPUTED_VALUE"""),"Swfast Sistemas")</f>
        <v>Swfast Sistemas</v>
      </c>
      <c r="X138" s="33">
        <f>IFERROR(__xludf.DUMMYFUNCTION("""COMPUTED_VALUE"""),0.8064516129032258)</f>
        <v>0.8064516129</v>
      </c>
    </row>
    <row r="139">
      <c r="A139" s="4" t="str">
        <f>IFERROR(__xludf.DUMMYFUNCTION("""COMPUTED_VALUE"""),"MARCA CAMARGO FOOD")</f>
        <v>MARCA CAMARGO FOOD</v>
      </c>
      <c r="B139" s="4">
        <f>IFERROR(__xludf.DUMMYFUNCTION("""COMPUTED_VALUE"""),5.0)</f>
        <v>5</v>
      </c>
      <c r="C139" s="30">
        <f>IFERROR(__xludf.DUMMYFUNCTION("""COMPUTED_VALUE"""),69.0)</f>
        <v>69</v>
      </c>
      <c r="D139" s="4" t="str">
        <f>IFERROR(__xludf.DUMMYFUNCTION("""COMPUTED_VALUE"""),"Fast Casual - Multi-conceito")</f>
        <v>Fast Casual - Multi-conceito</v>
      </c>
      <c r="E139" s="4" t="str">
        <f>IFERROR(__xludf.DUMMYFUNCTION("""COMPUTED_VALUE"""),"Rio de Janeiro/RJ")</f>
        <v>Rio de Janeiro/RJ</v>
      </c>
      <c r="F139" s="4" t="str">
        <f>IFERROR(__xludf.DUMMYFUNCTION("""COMPUTED_VALUE"""),"Dado não disponível publicamente - Necessário Discovery")</f>
        <v>Dado não disponível publicamente - Necessário Discovery</v>
      </c>
      <c r="G139" s="4">
        <f>IFERROR(__xludf.DUMMYFUNCTION("""COMPUTED_VALUE"""),70.0)</f>
        <v>70</v>
      </c>
      <c r="H139" s="31">
        <f>IFERROR(__xludf.DUMMYFUNCTION("""COMPUTED_VALUE"""),0.75)</f>
        <v>0.75</v>
      </c>
      <c r="I13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39" s="4" t="str">
        <f>IFERROR(__xludf.DUMMYFUNCTION("""COMPUTED_VALUE"""),"THE MAGNUM ICE CREAM COMPANY")</f>
        <v>THE MAGNUM ICE CREAM COMPANY</v>
      </c>
      <c r="L139" s="32">
        <f>IFERROR(__xludf.DUMMYFUNCTION("""COMPUTED_VALUE"""),62.0)</f>
        <v>62</v>
      </c>
      <c r="M139" s="4" t="str">
        <f>IFERROR(__xludf.DUMMYFUNCTION("""COMPUTED_VALUE"""),"Hubster")</f>
        <v>Hubster</v>
      </c>
      <c r="N139" s="33">
        <f>IFERROR(__xludf.DUMMYFUNCTION("""COMPUTED_VALUE"""),0.3870967741935484)</f>
        <v>0.3870967742</v>
      </c>
      <c r="O139" s="4" t="str">
        <f>IFERROR(__xludf.DUMMYFUNCTION("""COMPUTED_VALUE"""),"null")</f>
        <v>null</v>
      </c>
      <c r="P139" s="33">
        <f>IFERROR(__xludf.DUMMYFUNCTION("""COMPUTED_VALUE"""),0.3709677419354839)</f>
        <v>0.3709677419</v>
      </c>
      <c r="Q139" s="4" t="str">
        <f>IFERROR(__xludf.DUMMYFUNCTION("""COMPUTED_VALUE"""),"Hubster")</f>
        <v>Hubster</v>
      </c>
      <c r="R139" s="33">
        <f>IFERROR(__xludf.DUMMYFUNCTION("""COMPUTED_VALUE"""),0.41935483870967744)</f>
        <v>0.4193548387</v>
      </c>
      <c r="S139" s="4" t="str">
        <f>IFERROR(__xludf.DUMMYFUNCTION("""COMPUTED_VALUE"""),"Hubster")</f>
        <v>Hubster</v>
      </c>
      <c r="T139" s="33">
        <f>IFERROR(__xludf.DUMMYFUNCTION("""COMPUTED_VALUE"""),0.3870967741935484)</f>
        <v>0.3870967742</v>
      </c>
      <c r="U139" s="4" t="str">
        <f>IFERROR(__xludf.DUMMYFUNCTION("""COMPUTED_VALUE"""),"Hubster")</f>
        <v>Hubster</v>
      </c>
      <c r="V139" s="33">
        <f>IFERROR(__xludf.DUMMYFUNCTION("""COMPUTED_VALUE"""),0.3387096774193548)</f>
        <v>0.3387096774</v>
      </c>
      <c r="W139" s="4" t="str">
        <f>IFERROR(__xludf.DUMMYFUNCTION("""COMPUTED_VALUE"""),"null")</f>
        <v>null</v>
      </c>
      <c r="X139" s="33">
        <f>IFERROR(__xludf.DUMMYFUNCTION("""COMPUTED_VALUE"""),0.3709677419354839)</f>
        <v>0.3709677419</v>
      </c>
    </row>
    <row r="140">
      <c r="A140" s="4" t="str">
        <f>IFERROR(__xludf.DUMMYFUNCTION("""COMPUTED_VALUE"""),"MARK HAMBURGUERIA")</f>
        <v>MARK HAMBURGUERIA</v>
      </c>
      <c r="B140" s="4">
        <f>IFERROR(__xludf.DUMMYFUNCTION("""COMPUTED_VALUE"""),12.0)</f>
        <v>12</v>
      </c>
      <c r="C140" s="30">
        <f>IFERROR(__xludf.DUMMYFUNCTION("""COMPUTED_VALUE"""),55.0)</f>
        <v>55</v>
      </c>
      <c r="D140" s="4" t="str">
        <f>IFERROR(__xludf.DUMMYFUNCTION("""COMPUTED_VALUE"""),"Fast Casual - Hamburgueria")</f>
        <v>Fast Casual - Hamburgueria</v>
      </c>
      <c r="E140" s="4" t="str">
        <f>IFERROR(__xludf.DUMMYFUNCTION("""COMPUTED_VALUE"""),"São Paulo/SP")</f>
        <v>São Paulo/SP</v>
      </c>
      <c r="F140" s="4" t="str">
        <f>IFERROR(__xludf.DUMMYFUNCTION("""COMPUTED_VALUE"""),"Dado não disponível publicamente - Necessário Discovery")</f>
        <v>Dado não disponível publicamente - Necessário Discovery</v>
      </c>
      <c r="G140" s="4">
        <f>IFERROR(__xludf.DUMMYFUNCTION("""COMPUTED_VALUE"""),70.0)</f>
        <v>70</v>
      </c>
      <c r="H140" s="31">
        <f>IFERROR(__xludf.DUMMYFUNCTION("""COMPUTED_VALUE"""),0.8)</f>
        <v>0.8</v>
      </c>
      <c r="I140"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140" s="4" t="str">
        <f>IFERROR(__xludf.DUMMYFUNCTION("""COMPUTED_VALUE"""),"CASAS PEDRO - CONTA PAI")</f>
        <v>CASAS PEDRO - CONTA PAI</v>
      </c>
      <c r="L140" s="32">
        <f>IFERROR(__xludf.DUMMYFUNCTION("""COMPUTED_VALUE"""),62.0)</f>
        <v>62</v>
      </c>
      <c r="M140" s="4" t="str">
        <f>IFERROR(__xludf.DUMMYFUNCTION("""COMPUTED_VALUE"""),"N/A (Not found)")</f>
        <v>N/A (Not found)</v>
      </c>
      <c r="N140" s="33">
        <f>IFERROR(__xludf.DUMMYFUNCTION("""COMPUTED_VALUE"""),0.9838709677419355)</f>
        <v>0.9838709677</v>
      </c>
      <c r="O140" s="4" t="str">
        <f>IFERROR(__xludf.DUMMYFUNCTION("""COMPUTED_VALUE"""),"N/A (Not found)")</f>
        <v>N/A (Not found)</v>
      </c>
      <c r="P140" s="33">
        <f>IFERROR(__xludf.DUMMYFUNCTION("""COMPUTED_VALUE"""),1.0)</f>
        <v>1</v>
      </c>
      <c r="Q140" s="4" t="str">
        <f>IFERROR(__xludf.DUMMYFUNCTION("""COMPUTED_VALUE"""),"N/A (Not found)")</f>
        <v>N/A (Not found)</v>
      </c>
      <c r="R140" s="33">
        <f>IFERROR(__xludf.DUMMYFUNCTION("""COMPUTED_VALUE"""),1.0)</f>
        <v>1</v>
      </c>
      <c r="S140" s="4" t="str">
        <f>IFERROR(__xludf.DUMMYFUNCTION("""COMPUTED_VALUE"""),"N/A (Not found)")</f>
        <v>N/A (Not found)</v>
      </c>
      <c r="T140" s="33">
        <f>IFERROR(__xludf.DUMMYFUNCTION("""COMPUTED_VALUE"""),1.0)</f>
        <v>1</v>
      </c>
      <c r="U140" s="4" t="str">
        <f>IFERROR(__xludf.DUMMYFUNCTION("""COMPUTED_VALUE"""),"N/A (Not found)")</f>
        <v>N/A (Not found)</v>
      </c>
      <c r="V140" s="33">
        <f>IFERROR(__xludf.DUMMYFUNCTION("""COMPUTED_VALUE"""),1.0)</f>
        <v>1</v>
      </c>
      <c r="W140" s="4" t="str">
        <f>IFERROR(__xludf.DUMMYFUNCTION("""COMPUTED_VALUE"""),"N/A (Not found)")</f>
        <v>N/A (Not found)</v>
      </c>
      <c r="X140" s="33">
        <f>IFERROR(__xludf.DUMMYFUNCTION("""COMPUTED_VALUE"""),1.0)</f>
        <v>1</v>
      </c>
    </row>
    <row r="141">
      <c r="A141" s="4" t="str">
        <f>IFERROR(__xludf.DUMMYFUNCTION("""COMPUTED_VALUE"""),"MARMITARIA BH")</f>
        <v>MARMITARIA BH</v>
      </c>
      <c r="B141" s="4">
        <f>IFERROR(__xludf.DUMMYFUNCTION("""COMPUTED_VALUE"""),8.0)</f>
        <v>8</v>
      </c>
      <c r="C141" s="30">
        <f>IFERROR(__xludf.DUMMYFUNCTION("""COMPUTED_VALUE"""),34.0)</f>
        <v>34</v>
      </c>
      <c r="D141" s="4" t="str">
        <f>IFERROR(__xludf.DUMMYFUNCTION("""COMPUTED_VALUE"""),"QSR - Marmitex")</f>
        <v>QSR - Marmitex</v>
      </c>
      <c r="E141" s="4" t="str">
        <f>IFERROR(__xludf.DUMMYFUNCTION("""COMPUTED_VALUE"""),"Sul")</f>
        <v>Sul</v>
      </c>
      <c r="F141" s="4" t="str">
        <f>IFERROR(__xludf.DUMMYFUNCTION("""COMPUTED_VALUE"""),"Dado não disponível publicamente - Necessário Discovery")</f>
        <v>Dado não disponível publicamente - Necessário Discovery</v>
      </c>
      <c r="G141" s="4">
        <f>IFERROR(__xludf.DUMMYFUNCTION("""COMPUTED_VALUE"""),70.0)</f>
        <v>70</v>
      </c>
      <c r="H141" s="31">
        <f>IFERROR(__xludf.DUMMYFUNCTION("""COMPUTED_VALUE"""),0.85)</f>
        <v>0.85</v>
      </c>
      <c r="I141"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141" s="4" t="str">
        <f>IFERROR(__xludf.DUMMYFUNCTION("""COMPUTED_VALUE"""),"GRUPO HOME SUSHI HOME")</f>
        <v>GRUPO HOME SUSHI HOME</v>
      </c>
      <c r="L141" s="32">
        <f>IFERROR(__xludf.DUMMYFUNCTION("""COMPUTED_VALUE"""),61.0)</f>
        <v>61</v>
      </c>
      <c r="M141" s="4" t="str">
        <f>IFERROR(__xludf.DUMMYFUNCTION("""COMPUTED_VALUE"""),"Saipos Serviços De Software")</f>
        <v>Saipos Serviços De Software</v>
      </c>
      <c r="N141" s="33">
        <f>IFERROR(__xludf.DUMMYFUNCTION("""COMPUTED_VALUE"""),1.0)</f>
        <v>1</v>
      </c>
      <c r="O141" s="4" t="str">
        <f>IFERROR(__xludf.DUMMYFUNCTION("""COMPUTED_VALUE"""),"Saipos Serviços De Software")</f>
        <v>Saipos Serviços De Software</v>
      </c>
      <c r="P141" s="33">
        <f>IFERROR(__xludf.DUMMYFUNCTION("""COMPUTED_VALUE"""),1.0)</f>
        <v>1</v>
      </c>
      <c r="Q141" s="4" t="str">
        <f>IFERROR(__xludf.DUMMYFUNCTION("""COMPUTED_VALUE"""),"Saipos Serviços De Software")</f>
        <v>Saipos Serviços De Software</v>
      </c>
      <c r="R141" s="33">
        <f>IFERROR(__xludf.DUMMYFUNCTION("""COMPUTED_VALUE"""),0.9672131147540983)</f>
        <v>0.9672131148</v>
      </c>
      <c r="S141" s="4" t="str">
        <f>IFERROR(__xludf.DUMMYFUNCTION("""COMPUTED_VALUE"""),"Saipos Serviços De Software")</f>
        <v>Saipos Serviços De Software</v>
      </c>
      <c r="T141" s="33">
        <f>IFERROR(__xludf.DUMMYFUNCTION("""COMPUTED_VALUE"""),0.9508196721311475)</f>
        <v>0.9508196721</v>
      </c>
      <c r="U141" s="4" t="str">
        <f>IFERROR(__xludf.DUMMYFUNCTION("""COMPUTED_VALUE"""),"Saipos Serviços De Software")</f>
        <v>Saipos Serviços De Software</v>
      </c>
      <c r="V141" s="33">
        <f>IFERROR(__xludf.DUMMYFUNCTION("""COMPUTED_VALUE"""),0.9836065573770492)</f>
        <v>0.9836065574</v>
      </c>
      <c r="W141" s="4" t="str">
        <f>IFERROR(__xludf.DUMMYFUNCTION("""COMPUTED_VALUE"""),"Saipos Serviços De Software")</f>
        <v>Saipos Serviços De Software</v>
      </c>
      <c r="X141" s="33">
        <f>IFERROR(__xludf.DUMMYFUNCTION("""COMPUTED_VALUE"""),0.9836065573770492)</f>
        <v>0.9836065574</v>
      </c>
    </row>
    <row r="142">
      <c r="A142" s="4" t="str">
        <f>IFERROR(__xludf.DUMMYFUNCTION("""COMPUTED_VALUE"""),"MAUI POKE HOUSE")</f>
        <v>MAUI POKE HOUSE</v>
      </c>
      <c r="B142" s="4">
        <f>IFERROR(__xludf.DUMMYFUNCTION("""COMPUTED_VALUE"""),4.0)</f>
        <v>4</v>
      </c>
      <c r="C142" s="30">
        <f>IFERROR(__xludf.DUMMYFUNCTION("""COMPUTED_VALUE"""),67.0)</f>
        <v>67</v>
      </c>
      <c r="D142" s="4" t="str">
        <f>IFERROR(__xludf.DUMMYFUNCTION("""COMPUTED_VALUE"""),"Fast Casual - Poke Bowl")</f>
        <v>Fast Casual - Poke Bowl</v>
      </c>
      <c r="E142" s="4" t="str">
        <f>IFERROR(__xludf.DUMMYFUNCTION("""COMPUTED_VALUE"""),"Belo Horizonte/MG")</f>
        <v>Belo Horizonte/MG</v>
      </c>
      <c r="F142" s="4" t="str">
        <f>IFERROR(__xludf.DUMMYFUNCTION("""COMPUTED_VALUE"""),"Dado não disponível publicamente - Necessário Discovery")</f>
        <v>Dado não disponível publicamente - Necessário Discovery</v>
      </c>
      <c r="G142" s="4">
        <f>IFERROR(__xludf.DUMMYFUNCTION("""COMPUTED_VALUE"""),65.0)</f>
        <v>65</v>
      </c>
      <c r="H142" s="31">
        <f>IFERROR(__xludf.DUMMYFUNCTION("""COMPUTED_VALUE"""),0.75)</f>
        <v>0.75</v>
      </c>
      <c r="I14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42" s="4" t="str">
        <f>IFERROR(__xludf.DUMMYFUNCTION("""COMPUTED_VALUE"""),"HUBII - CONTA GRUPO")</f>
        <v>HUBII - CONTA GRUPO</v>
      </c>
      <c r="L142" s="32">
        <f>IFERROR(__xludf.DUMMYFUNCTION("""COMPUTED_VALUE"""),59.0)</f>
        <v>59</v>
      </c>
      <c r="M142" s="4" t="str">
        <f>IFERROR(__xludf.DUMMYFUNCTION("""COMPUTED_VALUE"""),"N/A (Not found)")</f>
        <v>N/A (Not found)</v>
      </c>
      <c r="N142" s="33">
        <f>IFERROR(__xludf.DUMMYFUNCTION("""COMPUTED_VALUE"""),0.6333333333333333)</f>
        <v>0.6333333333</v>
      </c>
      <c r="O142" s="4" t="str">
        <f>IFERROR(__xludf.DUMMYFUNCTION("""COMPUTED_VALUE"""),"N/A (Not found)")</f>
        <v>N/A (Not found)</v>
      </c>
      <c r="P142" s="33">
        <f>IFERROR(__xludf.DUMMYFUNCTION("""COMPUTED_VALUE"""),0.8)</f>
        <v>0.8</v>
      </c>
      <c r="Q142" s="4" t="str">
        <f>IFERROR(__xludf.DUMMYFUNCTION("""COMPUTED_VALUE"""),"N/A (Not found)")</f>
        <v>N/A (Not found)</v>
      </c>
      <c r="R142" s="33">
        <f>IFERROR(__xludf.DUMMYFUNCTION("""COMPUTED_VALUE"""),0.8166666666666667)</f>
        <v>0.8166666667</v>
      </c>
      <c r="S142" s="4" t="str">
        <f>IFERROR(__xludf.DUMMYFUNCTION("""COMPUTED_VALUE"""),"N/A (Not found)")</f>
        <v>N/A (Not found)</v>
      </c>
      <c r="T142" s="33">
        <f>IFERROR(__xludf.DUMMYFUNCTION("""COMPUTED_VALUE"""),0.8166666666666667)</f>
        <v>0.8166666667</v>
      </c>
      <c r="U142" s="4" t="str">
        <f>IFERROR(__xludf.DUMMYFUNCTION("""COMPUTED_VALUE"""),"N/A (Not found)")</f>
        <v>N/A (Not found)</v>
      </c>
      <c r="V142" s="33">
        <f>IFERROR(__xludf.DUMMYFUNCTION("""COMPUTED_VALUE"""),0.9166666666666666)</f>
        <v>0.9166666667</v>
      </c>
      <c r="W142" s="4" t="str">
        <f>IFERROR(__xludf.DUMMYFUNCTION("""COMPUTED_VALUE"""),"N/A (Not found)")</f>
        <v>N/A (Not found)</v>
      </c>
      <c r="X142" s="33">
        <f>IFERROR(__xludf.DUMMYFUNCTION("""COMPUTED_VALUE"""),0.9166666666666666)</f>
        <v>0.9166666667</v>
      </c>
    </row>
    <row r="143">
      <c r="A143" s="4" t="str">
        <f>IFERROR(__xludf.DUMMYFUNCTION("""COMPUTED_VALUE"""),"MEGA ACAI")</f>
        <v>MEGA ACAI</v>
      </c>
      <c r="B143" s="4">
        <f>IFERROR(__xludf.DUMMYFUNCTION("""COMPUTED_VALUE"""),10.0)</f>
        <v>10</v>
      </c>
      <c r="C143" s="30">
        <f>IFERROR(__xludf.DUMMYFUNCTION("""COMPUTED_VALUE"""),26.0)</f>
        <v>26</v>
      </c>
      <c r="D143" s="4" t="str">
        <f>IFERROR(__xludf.DUMMYFUNCTION("""COMPUTED_VALUE"""),"QSR - Açaí/Poke")</f>
        <v>QSR - Açaí/Poke</v>
      </c>
      <c r="E143" s="4" t="str">
        <f>IFERROR(__xludf.DUMMYFUNCTION("""COMPUTED_VALUE"""),"Regional")</f>
        <v>Regional</v>
      </c>
      <c r="F143" s="4" t="str">
        <f>IFERROR(__xludf.DUMMYFUNCTION("""COMPUTED_VALUE"""),"Dado não disponível publicamente - Necessário Discovery")</f>
        <v>Dado não disponível publicamente - Necessário Discovery</v>
      </c>
      <c r="G143" s="4">
        <f>IFERROR(__xludf.DUMMYFUNCTION("""COMPUTED_VALUE"""),70.0)</f>
        <v>70</v>
      </c>
      <c r="H143" s="31">
        <f>IFERROR(__xludf.DUMMYFUNCTION("""COMPUTED_VALUE"""),0.9)</f>
        <v>0.9</v>
      </c>
      <c r="I143"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143" s="4" t="str">
        <f>IFERROR(__xludf.DUMMYFUNCTION("""COMPUTED_VALUE"""),"DROGARIA CRISTAL")</f>
        <v>DROGARIA CRISTAL</v>
      </c>
      <c r="L143" s="32">
        <f>IFERROR(__xludf.DUMMYFUNCTION("""COMPUTED_VALUE"""),58.0)</f>
        <v>58</v>
      </c>
      <c r="M143" s="4" t="str">
        <f>IFERROR(__xludf.DUMMYFUNCTION("""COMPUTED_VALUE"""),"N/A (Not found)")</f>
        <v>N/A (Not found)</v>
      </c>
      <c r="N143" s="33">
        <f>IFERROR(__xludf.DUMMYFUNCTION("""COMPUTED_VALUE"""),0.9666666666666667)</f>
        <v>0.9666666667</v>
      </c>
      <c r="O143" s="4" t="str">
        <f>IFERROR(__xludf.DUMMYFUNCTION("""COMPUTED_VALUE"""),"N/A (Not found)")</f>
        <v>N/A (Not found)</v>
      </c>
      <c r="P143" s="33">
        <f>IFERROR(__xludf.DUMMYFUNCTION("""COMPUTED_VALUE"""),0.9833333333333333)</f>
        <v>0.9833333333</v>
      </c>
      <c r="Q143" s="4" t="str">
        <f>IFERROR(__xludf.DUMMYFUNCTION("""COMPUTED_VALUE"""),"N/A (Not found)")</f>
        <v>N/A (Not found)</v>
      </c>
      <c r="R143" s="33">
        <f>IFERROR(__xludf.DUMMYFUNCTION("""COMPUTED_VALUE"""),0.9833333333333333)</f>
        <v>0.9833333333</v>
      </c>
      <c r="S143" s="4" t="str">
        <f>IFERROR(__xludf.DUMMYFUNCTION("""COMPUTED_VALUE"""),"N/A (Not found)")</f>
        <v>N/A (Not found)</v>
      </c>
      <c r="T143" s="33">
        <f>IFERROR(__xludf.DUMMYFUNCTION("""COMPUTED_VALUE"""),0.9833333333333333)</f>
        <v>0.9833333333</v>
      </c>
      <c r="U143" s="4" t="str">
        <f>IFERROR(__xludf.DUMMYFUNCTION("""COMPUTED_VALUE"""),"N/A (Not found)")</f>
        <v>N/A (Not found)</v>
      </c>
      <c r="V143" s="33">
        <f>IFERROR(__xludf.DUMMYFUNCTION("""COMPUTED_VALUE"""),0.9833333333333333)</f>
        <v>0.9833333333</v>
      </c>
      <c r="W143" s="4" t="str">
        <f>IFERROR(__xludf.DUMMYFUNCTION("""COMPUTED_VALUE"""),"N/A (Not found)")</f>
        <v>N/A (Not found)</v>
      </c>
      <c r="X143" s="33">
        <f>IFERROR(__xludf.DUMMYFUNCTION("""COMPUTED_VALUE"""),0.9833333333333333)</f>
        <v>0.9833333333</v>
      </c>
    </row>
    <row r="144">
      <c r="A144" s="4" t="str">
        <f>IFERROR(__xludf.DUMMYFUNCTION("""COMPUTED_VALUE"""),"MEGA LANCHES")</f>
        <v>MEGA LANCHES</v>
      </c>
      <c r="B144" s="4">
        <f>IFERROR(__xludf.DUMMYFUNCTION("""COMPUTED_VALUE"""),8.0)</f>
        <v>8</v>
      </c>
      <c r="C144" s="30">
        <f>IFERROR(__xludf.DUMMYFUNCTION("""COMPUTED_VALUE"""),38.0)</f>
        <v>38</v>
      </c>
      <c r="D144" s="4" t="str">
        <f>IFERROR(__xludf.DUMMYFUNCTION("""COMPUTED_VALUE"""),"QSR - Lanches")</f>
        <v>QSR - Lanches</v>
      </c>
      <c r="E144" s="4" t="str">
        <f>IFERROR(__xludf.DUMMYFUNCTION("""COMPUTED_VALUE"""),"Belo Horizonte/MG")</f>
        <v>Belo Horizonte/MG</v>
      </c>
      <c r="F144" s="4" t="str">
        <f>IFERROR(__xludf.DUMMYFUNCTION("""COMPUTED_VALUE"""),"Dado não disponível publicamente - Necessário Discovery")</f>
        <v>Dado não disponível publicamente - Necessário Discovery</v>
      </c>
      <c r="G144" s="4">
        <f>IFERROR(__xludf.DUMMYFUNCTION("""COMPUTED_VALUE"""),70.0)</f>
        <v>70</v>
      </c>
      <c r="H144" s="31">
        <f>IFERROR(__xludf.DUMMYFUNCTION("""COMPUTED_VALUE"""),0.85)</f>
        <v>0.85</v>
      </c>
      <c r="I144"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144" s="4" t="str">
        <f>IFERROR(__xludf.DUMMYFUNCTION("""COMPUTED_VALUE"""),"UNILEVER")</f>
        <v>UNILEVER</v>
      </c>
      <c r="L144" s="32">
        <f>IFERROR(__xludf.DUMMYFUNCTION("""COMPUTED_VALUE"""),58.0)</f>
        <v>58</v>
      </c>
      <c r="M144" s="4" t="str">
        <f>IFERROR(__xludf.DUMMYFUNCTION("""COMPUTED_VALUE"""),"Hubster")</f>
        <v>Hubster</v>
      </c>
      <c r="N144" s="33">
        <f>IFERROR(__xludf.DUMMYFUNCTION("""COMPUTED_VALUE"""),0.43103448275862066)</f>
        <v>0.4310344828</v>
      </c>
      <c r="O144" s="4" t="str">
        <f>IFERROR(__xludf.DUMMYFUNCTION("""COMPUTED_VALUE"""),"Hubster")</f>
        <v>Hubster</v>
      </c>
      <c r="P144" s="33">
        <f>IFERROR(__xludf.DUMMYFUNCTION("""COMPUTED_VALUE"""),0.41379310344827586)</f>
        <v>0.4137931034</v>
      </c>
      <c r="Q144" s="4" t="str">
        <f>IFERROR(__xludf.DUMMYFUNCTION("""COMPUTED_VALUE"""),"Hubster")</f>
        <v>Hubster</v>
      </c>
      <c r="R144" s="33">
        <f>IFERROR(__xludf.DUMMYFUNCTION("""COMPUTED_VALUE"""),0.46551724137931033)</f>
        <v>0.4655172414</v>
      </c>
      <c r="S144" s="4" t="str">
        <f>IFERROR(__xludf.DUMMYFUNCTION("""COMPUTED_VALUE"""),"Hubster")</f>
        <v>Hubster</v>
      </c>
      <c r="T144" s="33">
        <f>IFERROR(__xludf.DUMMYFUNCTION("""COMPUTED_VALUE"""),0.43103448275862066)</f>
        <v>0.4310344828</v>
      </c>
      <c r="U144" s="4" t="str">
        <f>IFERROR(__xludf.DUMMYFUNCTION("""COMPUTED_VALUE"""),"Hubster")</f>
        <v>Hubster</v>
      </c>
      <c r="V144" s="33">
        <f>IFERROR(__xludf.DUMMYFUNCTION("""COMPUTED_VALUE"""),0.3793103448275862)</f>
        <v>0.3793103448</v>
      </c>
      <c r="W144" s="4" t="str">
        <f>IFERROR(__xludf.DUMMYFUNCTION("""COMPUTED_VALUE"""),"null")</f>
        <v>null</v>
      </c>
      <c r="X144" s="33">
        <f>IFERROR(__xludf.DUMMYFUNCTION("""COMPUTED_VALUE"""),0.3793103448275862)</f>
        <v>0.3793103448</v>
      </c>
    </row>
    <row r="145">
      <c r="A145" s="4" t="str">
        <f>IFERROR(__xludf.DUMMYFUNCTION("""COMPUTED_VALUE"""),"MENU POKE")</f>
        <v>MENU POKE</v>
      </c>
      <c r="B145" s="4">
        <f>IFERROR(__xludf.DUMMYFUNCTION("""COMPUTED_VALUE"""),3.0)</f>
        <v>3</v>
      </c>
      <c r="C145" s="30">
        <f>IFERROR(__xludf.DUMMYFUNCTION("""COMPUTED_VALUE"""),55.0)</f>
        <v>55</v>
      </c>
      <c r="D145" s="4" t="str">
        <f>IFERROR(__xludf.DUMMYFUNCTION("""COMPUTED_VALUE"""),"Fast Casual - Poke Bowl")</f>
        <v>Fast Casual - Poke Bowl</v>
      </c>
      <c r="E145" s="4" t="str">
        <f>IFERROR(__xludf.DUMMYFUNCTION("""COMPUTED_VALUE"""),"Nacional")</f>
        <v>Nacional</v>
      </c>
      <c r="F145" s="4" t="str">
        <f>IFERROR(__xludf.DUMMYFUNCTION("""COMPUTED_VALUE"""),"Dado não disponível publicamente - Necessário Discovery")</f>
        <v>Dado não disponível publicamente - Necessário Discovery</v>
      </c>
      <c r="G145" s="4">
        <f>IFERROR(__xludf.DUMMYFUNCTION("""COMPUTED_VALUE"""),65.0)</f>
        <v>65</v>
      </c>
      <c r="H145" s="31">
        <f>IFERROR(__xludf.DUMMYFUNCTION("""COMPUTED_VALUE"""),0.75)</f>
        <v>0.75</v>
      </c>
      <c r="I14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45" s="4" t="str">
        <f>IFERROR(__xludf.DUMMYFUNCTION("""COMPUTED_VALUE"""),"FOOD BRANDS GRUPO")</f>
        <v>FOOD BRANDS GRUPO</v>
      </c>
      <c r="L145" s="32">
        <f>IFERROR(__xludf.DUMMYFUNCTION("""COMPUTED_VALUE"""),58.0)</f>
        <v>58</v>
      </c>
      <c r="M145" s="4" t="str">
        <f>IFERROR(__xludf.DUMMYFUNCTION("""COMPUTED_VALUE"""),"E-deploy Retail")</f>
        <v>E-deploy Retail</v>
      </c>
      <c r="N145" s="33">
        <f>IFERROR(__xludf.DUMMYFUNCTION("""COMPUTED_VALUE"""),0.3728813559322034)</f>
        <v>0.3728813559</v>
      </c>
      <c r="O145" s="4" t="str">
        <f>IFERROR(__xludf.DUMMYFUNCTION("""COMPUTED_VALUE"""),"null")</f>
        <v>null</v>
      </c>
      <c r="P145" s="33">
        <f>IFERROR(__xludf.DUMMYFUNCTION("""COMPUTED_VALUE"""),0.3220338983050847)</f>
        <v>0.3220338983</v>
      </c>
      <c r="Q145" s="4" t="str">
        <f>IFERROR(__xludf.DUMMYFUNCTION("""COMPUTED_VALUE"""),"null")</f>
        <v>null</v>
      </c>
      <c r="R145" s="33">
        <f>IFERROR(__xludf.DUMMYFUNCTION("""COMPUTED_VALUE"""),0.4745762711864407)</f>
        <v>0.4745762712</v>
      </c>
      <c r="S145" s="4" t="str">
        <f>IFERROR(__xludf.DUMMYFUNCTION("""COMPUTED_VALUE"""),"null")</f>
        <v>null</v>
      </c>
      <c r="T145" s="33">
        <f>IFERROR(__xludf.DUMMYFUNCTION("""COMPUTED_VALUE"""),0.423728813559322)</f>
        <v>0.4237288136</v>
      </c>
      <c r="U145" s="4" t="str">
        <f>IFERROR(__xludf.DUMMYFUNCTION("""COMPUTED_VALUE"""),"null")</f>
        <v>null</v>
      </c>
      <c r="V145" s="33">
        <f>IFERROR(__xludf.DUMMYFUNCTION("""COMPUTED_VALUE"""),0.3389830508474576)</f>
        <v>0.3389830508</v>
      </c>
      <c r="W145" s="4" t="str">
        <f>IFERROR(__xludf.DUMMYFUNCTION("""COMPUTED_VALUE"""),"null")</f>
        <v>null</v>
      </c>
      <c r="X145" s="33">
        <f>IFERROR(__xludf.DUMMYFUNCTION("""COMPUTED_VALUE"""),0.3559322033898305)</f>
        <v>0.3559322034</v>
      </c>
    </row>
    <row r="146">
      <c r="A146" s="4" t="str">
        <f>IFERROR(__xludf.DUMMYFUNCTION("""COMPUTED_VALUE"""),"MEXICANÍSSIMO RISTORANTE")</f>
        <v>MEXICANÍSSIMO RISTORANTE</v>
      </c>
      <c r="B146" s="4">
        <f>IFERROR(__xludf.DUMMYFUNCTION("""COMPUTED_VALUE"""),6.0)</f>
        <v>6</v>
      </c>
      <c r="C146" s="30">
        <f>IFERROR(__xludf.DUMMYFUNCTION("""COMPUTED_VALUE"""),61.0)</f>
        <v>61</v>
      </c>
      <c r="D146" s="4" t="str">
        <f>IFERROR(__xludf.DUMMYFUNCTION("""COMPUTED_VALUE"""),"Fast Casual - Multi-conceito")</f>
        <v>Fast Casual - Multi-conceito</v>
      </c>
      <c r="E146" s="4" t="str">
        <f>IFERROR(__xludf.DUMMYFUNCTION("""COMPUTED_VALUE"""),"Brasília/DF")</f>
        <v>Brasília/DF</v>
      </c>
      <c r="F146" s="4" t="str">
        <f>IFERROR(__xludf.DUMMYFUNCTION("""COMPUTED_VALUE"""),"Dado não disponível publicamente - Necessário Discovery")</f>
        <v>Dado não disponível publicamente - Necessário Discovery</v>
      </c>
      <c r="G146" s="4">
        <f>IFERROR(__xludf.DUMMYFUNCTION("""COMPUTED_VALUE"""),70.0)</f>
        <v>70</v>
      </c>
      <c r="H146" s="31">
        <f>IFERROR(__xludf.DUMMYFUNCTION("""COMPUTED_VALUE"""),0.75)</f>
        <v>0.75</v>
      </c>
      <c r="I14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46" s="4" t="str">
        <f>IFERROR(__xludf.DUMMYFUNCTION("""COMPUTED_VALUE"""),"GRUPO ROKKON")</f>
        <v>GRUPO ROKKON</v>
      </c>
      <c r="L146" s="32">
        <f>IFERROR(__xludf.DUMMYFUNCTION("""COMPUTED_VALUE"""),58.0)</f>
        <v>58</v>
      </c>
      <c r="M146" s="4" t="str">
        <f>IFERROR(__xludf.DUMMYFUNCTION("""COMPUTED_VALUE"""),"Vuca Solution")</f>
        <v>Vuca Solution</v>
      </c>
      <c r="N146" s="33">
        <f>IFERROR(__xludf.DUMMYFUNCTION("""COMPUTED_VALUE"""),0.8275862068965517)</f>
        <v>0.8275862069</v>
      </c>
      <c r="O146" s="4" t="str">
        <f>IFERROR(__xludf.DUMMYFUNCTION("""COMPUTED_VALUE"""),"Vuca Solution")</f>
        <v>Vuca Solution</v>
      </c>
      <c r="P146" s="33">
        <f>IFERROR(__xludf.DUMMYFUNCTION("""COMPUTED_VALUE"""),0.8275862068965517)</f>
        <v>0.8275862069</v>
      </c>
      <c r="Q146" s="4" t="str">
        <f>IFERROR(__xludf.DUMMYFUNCTION("""COMPUTED_VALUE"""),"Vuca Solution")</f>
        <v>Vuca Solution</v>
      </c>
      <c r="R146" s="33">
        <f>IFERROR(__xludf.DUMMYFUNCTION("""COMPUTED_VALUE"""),0.8275862068965517)</f>
        <v>0.8275862069</v>
      </c>
      <c r="S146" s="4" t="str">
        <f>IFERROR(__xludf.DUMMYFUNCTION("""COMPUTED_VALUE"""),"Vuca Solution")</f>
        <v>Vuca Solution</v>
      </c>
      <c r="T146" s="33">
        <f>IFERROR(__xludf.DUMMYFUNCTION("""COMPUTED_VALUE"""),0.7586206896551724)</f>
        <v>0.7586206897</v>
      </c>
      <c r="U146" s="4" t="str">
        <f>IFERROR(__xludf.DUMMYFUNCTION("""COMPUTED_VALUE"""),"Vuca Solution")</f>
        <v>Vuca Solution</v>
      </c>
      <c r="V146" s="33">
        <f>IFERROR(__xludf.DUMMYFUNCTION("""COMPUTED_VALUE"""),0.7241379310344828)</f>
        <v>0.724137931</v>
      </c>
      <c r="W146" s="4" t="str">
        <f>IFERROR(__xludf.DUMMYFUNCTION("""COMPUTED_VALUE"""),"null")</f>
        <v>null</v>
      </c>
      <c r="X146" s="33">
        <f>IFERROR(__xludf.DUMMYFUNCTION("""COMPUTED_VALUE"""),0.603448275862069)</f>
        <v>0.6034482759</v>
      </c>
    </row>
    <row r="147">
      <c r="A147" s="4" t="str">
        <f>IFERROR(__xludf.DUMMYFUNCTION("""COMPUTED_VALUE"""),"MR MAKI")</f>
        <v>MR MAKI</v>
      </c>
      <c r="B147" s="4">
        <f>IFERROR(__xludf.DUMMYFUNCTION("""COMPUTED_VALUE"""),8.0)</f>
        <v>8</v>
      </c>
      <c r="C147" s="30">
        <f>IFERROR(__xludf.DUMMYFUNCTION("""COMPUTED_VALUE"""),73.0)</f>
        <v>73</v>
      </c>
      <c r="D147" s="4" t="str">
        <f>IFERROR(__xludf.DUMMYFUNCTION("""COMPUTED_VALUE"""),"Fast Casual - Multi-conceito")</f>
        <v>Fast Casual - Multi-conceito</v>
      </c>
      <c r="E147" s="4" t="str">
        <f>IFERROR(__xludf.DUMMYFUNCTION("""COMPUTED_VALUE"""),"Sudeste")</f>
        <v>Sudeste</v>
      </c>
      <c r="F147" s="4" t="str">
        <f>IFERROR(__xludf.DUMMYFUNCTION("""COMPUTED_VALUE"""),"Dado não disponível publicamente - Necessário Discovery")</f>
        <v>Dado não disponível publicamente - Necessário Discovery</v>
      </c>
      <c r="G147" s="4">
        <f>IFERROR(__xludf.DUMMYFUNCTION("""COMPUTED_VALUE"""),70.0)</f>
        <v>70</v>
      </c>
      <c r="H147" s="31">
        <f>IFERROR(__xludf.DUMMYFUNCTION("""COMPUTED_VALUE"""),0.75)</f>
        <v>0.75</v>
      </c>
      <c r="I14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47" s="4" t="str">
        <f>IFERROR(__xludf.DUMMYFUNCTION("""COMPUTED_VALUE"""),"MEATZ")</f>
        <v>MEATZ</v>
      </c>
      <c r="L147" s="32">
        <f>IFERROR(__xludf.DUMMYFUNCTION("""COMPUTED_VALUE"""),58.0)</f>
        <v>58</v>
      </c>
      <c r="M147" s="4" t="str">
        <f>IFERROR(__xludf.DUMMYFUNCTION("""COMPUTED_VALUE"""),"Saipos Serviços De Software")</f>
        <v>Saipos Serviços De Software</v>
      </c>
      <c r="N147" s="33">
        <f>IFERROR(__xludf.DUMMYFUNCTION("""COMPUTED_VALUE"""),1.0)</f>
        <v>1</v>
      </c>
      <c r="O147" s="4" t="str">
        <f>IFERROR(__xludf.DUMMYFUNCTION("""COMPUTED_VALUE"""),"Saipos Serviços De Software")</f>
        <v>Saipos Serviços De Software</v>
      </c>
      <c r="P147" s="33">
        <f>IFERROR(__xludf.DUMMYFUNCTION("""COMPUTED_VALUE"""),0.9827586206896551)</f>
        <v>0.9827586207</v>
      </c>
      <c r="Q147" s="4" t="str">
        <f>IFERROR(__xludf.DUMMYFUNCTION("""COMPUTED_VALUE"""),"Saipos Serviços De Software")</f>
        <v>Saipos Serviços De Software</v>
      </c>
      <c r="R147" s="33">
        <f>IFERROR(__xludf.DUMMYFUNCTION("""COMPUTED_VALUE"""),0.9482758620689655)</f>
        <v>0.9482758621</v>
      </c>
      <c r="S147" s="4" t="str">
        <f>IFERROR(__xludf.DUMMYFUNCTION("""COMPUTED_VALUE"""),"Saipos Serviços De Software")</f>
        <v>Saipos Serviços De Software</v>
      </c>
      <c r="T147" s="33">
        <f>IFERROR(__xludf.DUMMYFUNCTION("""COMPUTED_VALUE"""),0.9827586206896551)</f>
        <v>0.9827586207</v>
      </c>
      <c r="U147" s="4" t="str">
        <f>IFERROR(__xludf.DUMMYFUNCTION("""COMPUTED_VALUE"""),"Saipos Serviços De Software")</f>
        <v>Saipos Serviços De Software</v>
      </c>
      <c r="V147" s="33">
        <f>IFERROR(__xludf.DUMMYFUNCTION("""COMPUTED_VALUE"""),0.9310344827586207)</f>
        <v>0.9310344828</v>
      </c>
      <c r="W147" s="4" t="str">
        <f>IFERROR(__xludf.DUMMYFUNCTION("""COMPUTED_VALUE"""),"Saipos Serviços De Software")</f>
        <v>Saipos Serviços De Software</v>
      </c>
      <c r="X147" s="33">
        <f>IFERROR(__xludf.DUMMYFUNCTION("""COMPUTED_VALUE"""),0.9310344827586207)</f>
        <v>0.9310344828</v>
      </c>
    </row>
    <row r="148">
      <c r="A148" s="4" t="str">
        <f>IFERROR(__xludf.DUMMYFUNCTION("""COMPUTED_VALUE"""),"MR TEXAS PIZZA PAN")</f>
        <v>MR TEXAS PIZZA PAN</v>
      </c>
      <c r="B148" s="4">
        <f>IFERROR(__xludf.DUMMYFUNCTION("""COMPUTED_VALUE"""),6.0)</f>
        <v>6</v>
      </c>
      <c r="C148" s="30">
        <f>IFERROR(__xludf.DUMMYFUNCTION("""COMPUTED_VALUE"""),59.0)</f>
        <v>59</v>
      </c>
      <c r="D148" s="4" t="str">
        <f>IFERROR(__xludf.DUMMYFUNCTION("""COMPUTED_VALUE"""),"Fast Casual - Pizzaria")</f>
        <v>Fast Casual - Pizzaria</v>
      </c>
      <c r="E148" s="4" t="str">
        <f>IFERROR(__xludf.DUMMYFUNCTION("""COMPUTED_VALUE"""),"Sul")</f>
        <v>Sul</v>
      </c>
      <c r="F148" s="4" t="str">
        <f>IFERROR(__xludf.DUMMYFUNCTION("""COMPUTED_VALUE"""),"Dado não disponível publicamente - Necessário Discovery")</f>
        <v>Dado não disponível publicamente - Necessário Discovery</v>
      </c>
      <c r="G148" s="4">
        <f>IFERROR(__xludf.DUMMYFUNCTION("""COMPUTED_VALUE"""),70.0)</f>
        <v>70</v>
      </c>
      <c r="H148" s="31">
        <f>IFERROR(__xludf.DUMMYFUNCTION("""COMPUTED_VALUE"""),0.75)</f>
        <v>0.75</v>
      </c>
      <c r="I14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48" s="4" t="str">
        <f>IFERROR(__xludf.DUMMYFUNCTION("""COMPUTED_VALUE"""),"GRUPO MONO")</f>
        <v>GRUPO MONO</v>
      </c>
      <c r="L148" s="32">
        <f>IFERROR(__xludf.DUMMYFUNCTION("""COMPUTED_VALUE"""),58.0)</f>
        <v>58</v>
      </c>
      <c r="M148" s="4" t="str">
        <f>IFERROR(__xludf.DUMMYFUNCTION("""COMPUTED_VALUE"""),"Saipos Serviços De Software")</f>
        <v>Saipos Serviços De Software</v>
      </c>
      <c r="N148" s="33">
        <f>IFERROR(__xludf.DUMMYFUNCTION("""COMPUTED_VALUE"""),0.9310344827586207)</f>
        <v>0.9310344828</v>
      </c>
      <c r="O148" s="4" t="str">
        <f>IFERROR(__xludf.DUMMYFUNCTION("""COMPUTED_VALUE"""),"Saipos Serviços De Software")</f>
        <v>Saipos Serviços De Software</v>
      </c>
      <c r="P148" s="33">
        <f>IFERROR(__xludf.DUMMYFUNCTION("""COMPUTED_VALUE"""),0.9482758620689655)</f>
        <v>0.9482758621</v>
      </c>
      <c r="Q148" s="4" t="str">
        <f>IFERROR(__xludf.DUMMYFUNCTION("""COMPUTED_VALUE"""),"Saipos Serviços De Software")</f>
        <v>Saipos Serviços De Software</v>
      </c>
      <c r="R148" s="33">
        <f>IFERROR(__xludf.DUMMYFUNCTION("""COMPUTED_VALUE"""),0.9655172413793104)</f>
        <v>0.9655172414</v>
      </c>
      <c r="S148" s="4" t="str">
        <f>IFERROR(__xludf.DUMMYFUNCTION("""COMPUTED_VALUE"""),"Saipos Serviços De Software")</f>
        <v>Saipos Serviços De Software</v>
      </c>
      <c r="T148" s="33">
        <f>IFERROR(__xludf.DUMMYFUNCTION("""COMPUTED_VALUE"""),0.9827586206896551)</f>
        <v>0.9827586207</v>
      </c>
      <c r="U148" s="4" t="str">
        <f>IFERROR(__xludf.DUMMYFUNCTION("""COMPUTED_VALUE"""),"Saipos Serviços De Software")</f>
        <v>Saipos Serviços De Software</v>
      </c>
      <c r="V148" s="33">
        <f>IFERROR(__xludf.DUMMYFUNCTION("""COMPUTED_VALUE"""),0.9655172413793104)</f>
        <v>0.9655172414</v>
      </c>
      <c r="W148" s="4" t="str">
        <f>IFERROR(__xludf.DUMMYFUNCTION("""COMPUTED_VALUE"""),"Saipos Serviços De Software")</f>
        <v>Saipos Serviços De Software</v>
      </c>
      <c r="X148" s="33">
        <f>IFERROR(__xludf.DUMMYFUNCTION("""COMPUTED_VALUE"""),0.9655172413793104)</f>
        <v>0.9655172414</v>
      </c>
    </row>
    <row r="149">
      <c r="A149" s="4" t="str">
        <f>IFERROR(__xludf.DUMMYFUNCTION("""COMPUTED_VALUE"""),"NA BRASA COLUMBIA")</f>
        <v>NA BRASA COLUMBIA</v>
      </c>
      <c r="B149" s="4">
        <f>IFERROR(__xludf.DUMMYFUNCTION("""COMPUTED_VALUE"""),4.0)</f>
        <v>4</v>
      </c>
      <c r="C149" s="30">
        <f>IFERROR(__xludf.DUMMYFUNCTION("""COMPUTED_VALUE"""),51.0)</f>
        <v>51</v>
      </c>
      <c r="D149" s="4" t="str">
        <f>IFERROR(__xludf.DUMMYFUNCTION("""COMPUTED_VALUE"""),"Fast Casual - Multi-conceito")</f>
        <v>Fast Casual - Multi-conceito</v>
      </c>
      <c r="E149" s="4" t="str">
        <f>IFERROR(__xludf.DUMMYFUNCTION("""COMPUTED_VALUE"""),"Rio de Janeiro/RJ")</f>
        <v>Rio de Janeiro/RJ</v>
      </c>
      <c r="F149" s="4" t="str">
        <f>IFERROR(__xludf.DUMMYFUNCTION("""COMPUTED_VALUE"""),"Dado não disponível publicamente - Necessário Discovery")</f>
        <v>Dado não disponível publicamente - Necessário Discovery</v>
      </c>
      <c r="G149" s="4">
        <f>IFERROR(__xludf.DUMMYFUNCTION("""COMPUTED_VALUE"""),65.0)</f>
        <v>65</v>
      </c>
      <c r="H149" s="31">
        <f>IFERROR(__xludf.DUMMYFUNCTION("""COMPUTED_VALUE"""),0.75)</f>
        <v>0.75</v>
      </c>
      <c r="I14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49" s="4" t="str">
        <f>IFERROR(__xludf.DUMMYFUNCTION("""COMPUTED_VALUE"""),"GRUPO BIBI")</f>
        <v>GRUPO BIBI</v>
      </c>
      <c r="L149" s="32">
        <f>IFERROR(__xludf.DUMMYFUNCTION("""COMPUTED_VALUE"""),57.0)</f>
        <v>57</v>
      </c>
      <c r="M149" s="4" t="str">
        <f>IFERROR(__xludf.DUMMYFUNCTION("""COMPUTED_VALUE"""),"Ncr")</f>
        <v>Ncr</v>
      </c>
      <c r="N149" s="33">
        <f>IFERROR(__xludf.DUMMYFUNCTION("""COMPUTED_VALUE"""),1.0)</f>
        <v>1</v>
      </c>
      <c r="O149" s="4" t="str">
        <f>IFERROR(__xludf.DUMMYFUNCTION("""COMPUTED_VALUE"""),"Ncr")</f>
        <v>Ncr</v>
      </c>
      <c r="P149" s="33">
        <f>IFERROR(__xludf.DUMMYFUNCTION("""COMPUTED_VALUE"""),0.9649122807017544)</f>
        <v>0.9649122807</v>
      </c>
      <c r="Q149" s="4" t="str">
        <f>IFERROR(__xludf.DUMMYFUNCTION("""COMPUTED_VALUE"""),"Ncr")</f>
        <v>Ncr</v>
      </c>
      <c r="R149" s="33">
        <f>IFERROR(__xludf.DUMMYFUNCTION("""COMPUTED_VALUE"""),0.9824561403508771)</f>
        <v>0.9824561404</v>
      </c>
      <c r="S149" s="4" t="str">
        <f>IFERROR(__xludf.DUMMYFUNCTION("""COMPUTED_VALUE"""),"Ncr")</f>
        <v>Ncr</v>
      </c>
      <c r="T149" s="33">
        <f>IFERROR(__xludf.DUMMYFUNCTION("""COMPUTED_VALUE"""),0.9649122807017544)</f>
        <v>0.9649122807</v>
      </c>
      <c r="U149" s="4" t="str">
        <f>IFERROR(__xludf.DUMMYFUNCTION("""COMPUTED_VALUE"""),"Ncr")</f>
        <v>Ncr</v>
      </c>
      <c r="V149" s="33">
        <f>IFERROR(__xludf.DUMMYFUNCTION("""COMPUTED_VALUE"""),0.9298245614035088)</f>
        <v>0.9298245614</v>
      </c>
      <c r="W149" s="4" t="str">
        <f>IFERROR(__xludf.DUMMYFUNCTION("""COMPUTED_VALUE"""),"Ncr")</f>
        <v>Ncr</v>
      </c>
      <c r="X149" s="33">
        <f>IFERROR(__xludf.DUMMYFUNCTION("""COMPUTED_VALUE"""),0.9122807017543859)</f>
        <v>0.9122807018</v>
      </c>
    </row>
    <row r="150">
      <c r="A150" s="4" t="str">
        <f>IFERROR(__xludf.DUMMYFUNCTION("""COMPUTED_VALUE"""),"NAKASA DELIVERY")</f>
        <v>NAKASA DELIVERY</v>
      </c>
      <c r="B150" s="4">
        <f>IFERROR(__xludf.DUMMYFUNCTION("""COMPUTED_VALUE"""),3.0)</f>
        <v>3</v>
      </c>
      <c r="C150" s="30">
        <f>IFERROR(__xludf.DUMMYFUNCTION("""COMPUTED_VALUE"""),54.0)</f>
        <v>54</v>
      </c>
      <c r="D150" s="4" t="str">
        <f>IFERROR(__xludf.DUMMYFUNCTION("""COMPUTED_VALUE"""),"Fast Casual - Multi-conceito")</f>
        <v>Fast Casual - Multi-conceito</v>
      </c>
      <c r="E150" s="4" t="str">
        <f>IFERROR(__xludf.DUMMYFUNCTION("""COMPUTED_VALUE"""),"Sul")</f>
        <v>Sul</v>
      </c>
      <c r="F150" s="4" t="str">
        <f>IFERROR(__xludf.DUMMYFUNCTION("""COMPUTED_VALUE"""),"Dado não disponível publicamente - Necessário Discovery")</f>
        <v>Dado não disponível publicamente - Necessário Discovery</v>
      </c>
      <c r="G150" s="4">
        <f>IFERROR(__xludf.DUMMYFUNCTION("""COMPUTED_VALUE"""),65.0)</f>
        <v>65</v>
      </c>
      <c r="H150" s="31">
        <f>IFERROR(__xludf.DUMMYFUNCTION("""COMPUTED_VALUE"""),0.75)</f>
        <v>0.75</v>
      </c>
      <c r="I15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50" s="4" t="str">
        <f>IFERROR(__xludf.DUMMYFUNCTION("""COMPUTED_VALUE"""),"LOJAS MEL - CONTA MARCA")</f>
        <v>LOJAS MEL - CONTA MARCA</v>
      </c>
      <c r="L150" s="32">
        <f>IFERROR(__xludf.DUMMYFUNCTION("""COMPUTED_VALUE"""),57.0)</f>
        <v>57</v>
      </c>
      <c r="M150" s="4" t="str">
        <f>IFERROR(__xludf.DUMMYFUNCTION("""COMPUTED_VALUE"""),"N/A (Not found)")</f>
        <v>N/A (Not found)</v>
      </c>
      <c r="N150" s="33">
        <f>IFERROR(__xludf.DUMMYFUNCTION("""COMPUTED_VALUE"""),0.9473684210526315)</f>
        <v>0.9473684211</v>
      </c>
      <c r="O150" s="4" t="str">
        <f>IFERROR(__xludf.DUMMYFUNCTION("""COMPUTED_VALUE"""),"N/A (Not found)")</f>
        <v>N/A (Not found)</v>
      </c>
      <c r="P150" s="33">
        <f>IFERROR(__xludf.DUMMYFUNCTION("""COMPUTED_VALUE"""),0.9824561403508771)</f>
        <v>0.9824561404</v>
      </c>
      <c r="Q150" s="4" t="str">
        <f>IFERROR(__xludf.DUMMYFUNCTION("""COMPUTED_VALUE"""),"N/A (Not found)")</f>
        <v>N/A (Not found)</v>
      </c>
      <c r="R150" s="33">
        <f>IFERROR(__xludf.DUMMYFUNCTION("""COMPUTED_VALUE"""),0.9824561403508771)</f>
        <v>0.9824561404</v>
      </c>
      <c r="S150" s="4" t="str">
        <f>IFERROR(__xludf.DUMMYFUNCTION("""COMPUTED_VALUE"""),"N/A (Not found)")</f>
        <v>N/A (Not found)</v>
      </c>
      <c r="T150" s="33">
        <f>IFERROR(__xludf.DUMMYFUNCTION("""COMPUTED_VALUE"""),0.9824561403508771)</f>
        <v>0.9824561404</v>
      </c>
      <c r="U150" s="4" t="str">
        <f>IFERROR(__xludf.DUMMYFUNCTION("""COMPUTED_VALUE"""),"N/A (Not found)")</f>
        <v>N/A (Not found)</v>
      </c>
      <c r="V150" s="33">
        <f>IFERROR(__xludf.DUMMYFUNCTION("""COMPUTED_VALUE"""),0.9824561403508771)</f>
        <v>0.9824561404</v>
      </c>
      <c r="W150" s="4" t="str">
        <f>IFERROR(__xludf.DUMMYFUNCTION("""COMPUTED_VALUE"""),"N/A (Not found)")</f>
        <v>N/A (Not found)</v>
      </c>
      <c r="X150" s="33">
        <f>IFERROR(__xludf.DUMMYFUNCTION("""COMPUTED_VALUE"""),1.0)</f>
        <v>1</v>
      </c>
    </row>
    <row r="151">
      <c r="A151" s="4" t="str">
        <f>IFERROR(__xludf.DUMMYFUNCTION("""COMPUTED_VALUE"""),"NAKAYOSHI RIBEIRÃO PRETO")</f>
        <v>NAKAYOSHI RIBEIRÃO PRETO</v>
      </c>
      <c r="B151" s="4">
        <f>IFERROR(__xludf.DUMMYFUNCTION("""COMPUTED_VALUE"""),8.0)</f>
        <v>8</v>
      </c>
      <c r="C151" s="30">
        <f>IFERROR(__xludf.DUMMYFUNCTION("""COMPUTED_VALUE"""),62.0)</f>
        <v>62</v>
      </c>
      <c r="D151" s="4" t="str">
        <f>IFERROR(__xludf.DUMMYFUNCTION("""COMPUTED_VALUE"""),"Fast Casual - Multi-conceito")</f>
        <v>Fast Casual - Multi-conceito</v>
      </c>
      <c r="E151" s="4" t="str">
        <f>IFERROR(__xludf.DUMMYFUNCTION("""COMPUTED_VALUE"""),"Centro-Oeste")</f>
        <v>Centro-Oeste</v>
      </c>
      <c r="F151" s="4" t="str">
        <f>IFERROR(__xludf.DUMMYFUNCTION("""COMPUTED_VALUE"""),"Dado não disponível publicamente - Necessário Discovery")</f>
        <v>Dado não disponível publicamente - Necessário Discovery</v>
      </c>
      <c r="G151" s="4">
        <f>IFERROR(__xludf.DUMMYFUNCTION("""COMPUTED_VALUE"""),70.0)</f>
        <v>70</v>
      </c>
      <c r="H151" s="31">
        <f>IFERROR(__xludf.DUMMYFUNCTION("""COMPUTED_VALUE"""),0.75)</f>
        <v>0.75</v>
      </c>
      <c r="I15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51" s="4" t="str">
        <f>IFERROR(__xludf.DUMMYFUNCTION("""COMPUTED_VALUE"""),"ROYAL PARMA DELIVERY")</f>
        <v>ROYAL PARMA DELIVERY</v>
      </c>
      <c r="L151" s="32">
        <f>IFERROR(__xludf.DUMMYFUNCTION("""COMPUTED_VALUE"""),57.0)</f>
        <v>57</v>
      </c>
      <c r="M151" s="4" t="str">
        <f>IFERROR(__xludf.DUMMYFUNCTION("""COMPUTED_VALUE"""),"Parseint Desenvolvimento De Sistemas Ltda")</f>
        <v>Parseint Desenvolvimento De Sistemas Ltda</v>
      </c>
      <c r="N151" s="33">
        <f>IFERROR(__xludf.DUMMYFUNCTION("""COMPUTED_VALUE"""),0.8596491228070176)</f>
        <v>0.8596491228</v>
      </c>
      <c r="O151" s="4" t="str">
        <f>IFERROR(__xludf.DUMMYFUNCTION("""COMPUTED_VALUE"""),"Parseint Desenvolvimento De Sistemas Ltda")</f>
        <v>Parseint Desenvolvimento De Sistemas Ltda</v>
      </c>
      <c r="P151" s="33">
        <f>IFERROR(__xludf.DUMMYFUNCTION("""COMPUTED_VALUE"""),0.8596491228070176)</f>
        <v>0.8596491228</v>
      </c>
      <c r="Q151" s="4" t="str">
        <f>IFERROR(__xludf.DUMMYFUNCTION("""COMPUTED_VALUE"""),"Parseint Desenvolvimento De Sistemas Ltda")</f>
        <v>Parseint Desenvolvimento De Sistemas Ltda</v>
      </c>
      <c r="R151" s="33">
        <f>IFERROR(__xludf.DUMMYFUNCTION("""COMPUTED_VALUE"""),0.8070175438596491)</f>
        <v>0.8070175439</v>
      </c>
      <c r="S151" s="4" t="str">
        <f>IFERROR(__xludf.DUMMYFUNCTION("""COMPUTED_VALUE"""),"Parseint Desenvolvimento De Sistemas Ltda")</f>
        <v>Parseint Desenvolvimento De Sistemas Ltda</v>
      </c>
      <c r="T151" s="33">
        <f>IFERROR(__xludf.DUMMYFUNCTION("""COMPUTED_VALUE"""),0.8596491228070176)</f>
        <v>0.8596491228</v>
      </c>
      <c r="U151" s="4" t="str">
        <f>IFERROR(__xludf.DUMMYFUNCTION("""COMPUTED_VALUE"""),"Parseint Desenvolvimento De Sistemas Ltda")</f>
        <v>Parseint Desenvolvimento De Sistemas Ltda</v>
      </c>
      <c r="V151" s="33">
        <f>IFERROR(__xludf.DUMMYFUNCTION("""COMPUTED_VALUE"""),0.9122807017543859)</f>
        <v>0.9122807018</v>
      </c>
      <c r="W151" s="4" t="str">
        <f>IFERROR(__xludf.DUMMYFUNCTION("""COMPUTED_VALUE"""),"Parseint Desenvolvimento De Sistemas Ltda")</f>
        <v>Parseint Desenvolvimento De Sistemas Ltda</v>
      </c>
      <c r="X151" s="33">
        <f>IFERROR(__xludf.DUMMYFUNCTION("""COMPUTED_VALUE"""),0.9298245614035088)</f>
        <v>0.9298245614</v>
      </c>
    </row>
    <row r="152">
      <c r="A152" s="4" t="str">
        <f>IFERROR(__xludf.DUMMYFUNCTION("""COMPUTED_VALUE"""),"NARA LAMEN")</f>
        <v>NARA LAMEN</v>
      </c>
      <c r="B152" s="4">
        <f>IFERROR(__xludf.DUMMYFUNCTION("""COMPUTED_VALUE"""),8.0)</f>
        <v>8</v>
      </c>
      <c r="C152" s="30">
        <f>IFERROR(__xludf.DUMMYFUNCTION("""COMPUTED_VALUE"""),73.0)</f>
        <v>73</v>
      </c>
      <c r="D152" s="4" t="str">
        <f>IFERROR(__xludf.DUMMYFUNCTION("""COMPUTED_VALUE"""),"Fast Casual - Multi-conceito")</f>
        <v>Fast Casual - Multi-conceito</v>
      </c>
      <c r="E152" s="4" t="str">
        <f>IFERROR(__xludf.DUMMYFUNCTION("""COMPUTED_VALUE"""),"Belo Horizonte/MG")</f>
        <v>Belo Horizonte/MG</v>
      </c>
      <c r="F152" s="4" t="str">
        <f>IFERROR(__xludf.DUMMYFUNCTION("""COMPUTED_VALUE"""),"Dado não disponível publicamente - Necessário Discovery")</f>
        <v>Dado não disponível publicamente - Necessário Discovery</v>
      </c>
      <c r="G152" s="4">
        <f>IFERROR(__xludf.DUMMYFUNCTION("""COMPUTED_VALUE"""),70.0)</f>
        <v>70</v>
      </c>
      <c r="H152" s="31">
        <f>IFERROR(__xludf.DUMMYFUNCTION("""COMPUTED_VALUE"""),0.75)</f>
        <v>0.75</v>
      </c>
      <c r="I15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52" s="4" t="str">
        <f>IFERROR(__xludf.DUMMYFUNCTION("""COMPUTED_VALUE"""),"AMERICAN PET - CONTA MARCA")</f>
        <v>AMERICAN PET - CONTA MARCA</v>
      </c>
      <c r="L152" s="32">
        <f>IFERROR(__xludf.DUMMYFUNCTION("""COMPUTED_VALUE"""),56.0)</f>
        <v>56</v>
      </c>
      <c r="M152" s="4" t="str">
        <f>IFERROR(__xludf.DUMMYFUNCTION("""COMPUTED_VALUE"""),"null")</f>
        <v>null</v>
      </c>
      <c r="N152" s="33">
        <f>IFERROR(__xludf.DUMMYFUNCTION("""COMPUTED_VALUE"""),1.0)</f>
        <v>1</v>
      </c>
      <c r="O152" s="4" t="str">
        <f>IFERROR(__xludf.DUMMYFUNCTION("""COMPUTED_VALUE"""),"null")</f>
        <v>null</v>
      </c>
      <c r="P152" s="33">
        <f>IFERROR(__xludf.DUMMYFUNCTION("""COMPUTED_VALUE"""),0.9285714285714286)</f>
        <v>0.9285714286</v>
      </c>
      <c r="Q152" s="4" t="str">
        <f>IFERROR(__xludf.DUMMYFUNCTION("""COMPUTED_VALUE"""),"N/A (Not found)")</f>
        <v>N/A (Not found)</v>
      </c>
      <c r="R152" s="33">
        <f>IFERROR(__xludf.DUMMYFUNCTION("""COMPUTED_VALUE"""),0.9821428571428571)</f>
        <v>0.9821428571</v>
      </c>
      <c r="S152" s="4" t="str">
        <f>IFERROR(__xludf.DUMMYFUNCTION("""COMPUTED_VALUE"""),"N/A (Not found)")</f>
        <v>N/A (Not found)</v>
      </c>
      <c r="T152" s="33">
        <f>IFERROR(__xludf.DUMMYFUNCTION("""COMPUTED_VALUE"""),0.9821428571428571)</f>
        <v>0.9821428571</v>
      </c>
      <c r="U152" s="4" t="str">
        <f>IFERROR(__xludf.DUMMYFUNCTION("""COMPUTED_VALUE"""),"N/A (Not found)")</f>
        <v>N/A (Not found)</v>
      </c>
      <c r="V152" s="33">
        <f>IFERROR(__xludf.DUMMYFUNCTION("""COMPUTED_VALUE"""),1.0)</f>
        <v>1</v>
      </c>
      <c r="W152" s="4" t="str">
        <f>IFERROR(__xludf.DUMMYFUNCTION("""COMPUTED_VALUE"""),"N/A (Not found)")</f>
        <v>N/A (Not found)</v>
      </c>
      <c r="X152" s="33">
        <f>IFERROR(__xludf.DUMMYFUNCTION("""COMPUTED_VALUE"""),1.0)</f>
        <v>1</v>
      </c>
    </row>
    <row r="153">
      <c r="A153" s="4" t="str">
        <f>IFERROR(__xludf.DUMMYFUNCTION("""COMPUTED_VALUE"""),"NARA LAMEN")</f>
        <v>NARA LAMEN</v>
      </c>
      <c r="B153" s="4">
        <f>IFERROR(__xludf.DUMMYFUNCTION("""COMPUTED_VALUE"""),13.0)</f>
        <v>13</v>
      </c>
      <c r="C153" s="30">
        <f>IFERROR(__xludf.DUMMYFUNCTION("""COMPUTED_VALUE"""),103.0)</f>
        <v>103</v>
      </c>
      <c r="D153" s="4" t="str">
        <f>IFERROR(__xludf.DUMMYFUNCTION("""COMPUTED_VALUE"""),"Fast Casual - Japonesa")</f>
        <v>Fast Casual - Japonesa</v>
      </c>
      <c r="E153" s="4" t="str">
        <f>IFERROR(__xludf.DUMMYFUNCTION("""COMPUTED_VALUE"""),"Regional")</f>
        <v>Regional</v>
      </c>
      <c r="F153" s="4" t="str">
        <f>IFERROR(__xludf.DUMMYFUNCTION("""COMPUTED_VALUE"""),"Dado não disponível publicamente - Necessário Discovery")</f>
        <v>Dado não disponível publicamente - Necessário Discovery</v>
      </c>
      <c r="G153" s="4">
        <f>IFERROR(__xludf.DUMMYFUNCTION("""COMPUTED_VALUE"""),70.0)</f>
        <v>70</v>
      </c>
      <c r="H153" s="31">
        <f>IFERROR(__xludf.DUMMYFUNCTION("""COMPUTED_VALUE"""),0.8)</f>
        <v>0.8</v>
      </c>
      <c r="I153"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153" s="4" t="str">
        <f>IFERROR(__xludf.DUMMYFUNCTION("""COMPUTED_VALUE"""),"DROGAFUJI - CONTA PAI")</f>
        <v>DROGAFUJI - CONTA PAI</v>
      </c>
      <c r="L153" s="32">
        <f>IFERROR(__xludf.DUMMYFUNCTION("""COMPUTED_VALUE"""),56.0)</f>
        <v>56</v>
      </c>
      <c r="M153" s="4" t="str">
        <f>IFERROR(__xludf.DUMMYFUNCTION("""COMPUTED_VALUE"""),"N/A (Not found)")</f>
        <v>N/A (Not found)</v>
      </c>
      <c r="N153" s="33">
        <f>IFERROR(__xludf.DUMMYFUNCTION("""COMPUTED_VALUE"""),0.9642857142857143)</f>
        <v>0.9642857143</v>
      </c>
      <c r="O153" s="4" t="str">
        <f>IFERROR(__xludf.DUMMYFUNCTION("""COMPUTED_VALUE"""),"N/A (Not found)")</f>
        <v>N/A (Not found)</v>
      </c>
      <c r="P153" s="33">
        <f>IFERROR(__xludf.DUMMYFUNCTION("""COMPUTED_VALUE"""),0.6607142857142857)</f>
        <v>0.6607142857</v>
      </c>
      <c r="Q153" s="4" t="str">
        <f>IFERROR(__xludf.DUMMYFUNCTION("""COMPUTED_VALUE"""),"N/A (Not found)")</f>
        <v>N/A (Not found)</v>
      </c>
      <c r="R153" s="33">
        <f>IFERROR(__xludf.DUMMYFUNCTION("""COMPUTED_VALUE"""),0.6607142857142857)</f>
        <v>0.6607142857</v>
      </c>
      <c r="S153" s="4" t="str">
        <f>IFERROR(__xludf.DUMMYFUNCTION("""COMPUTED_VALUE"""),"N/A (Not found)")</f>
        <v>N/A (Not found)</v>
      </c>
      <c r="T153" s="33">
        <f>IFERROR(__xludf.DUMMYFUNCTION("""COMPUTED_VALUE"""),0.6785714285714286)</f>
        <v>0.6785714286</v>
      </c>
      <c r="U153" s="4" t="str">
        <f>IFERROR(__xludf.DUMMYFUNCTION("""COMPUTED_VALUE"""),"N/A (Not found)")</f>
        <v>N/A (Not found)</v>
      </c>
      <c r="V153" s="33">
        <f>IFERROR(__xludf.DUMMYFUNCTION("""COMPUTED_VALUE"""),0.7142857142857143)</f>
        <v>0.7142857143</v>
      </c>
      <c r="W153" s="4" t="str">
        <f>IFERROR(__xludf.DUMMYFUNCTION("""COMPUTED_VALUE"""),"N/A (Not found)")</f>
        <v>N/A (Not found)</v>
      </c>
      <c r="X153" s="33">
        <f>IFERROR(__xludf.DUMMYFUNCTION("""COMPUTED_VALUE"""),0.6964285714285714)</f>
        <v>0.6964285714</v>
      </c>
    </row>
    <row r="154">
      <c r="A154" s="4" t="str">
        <f>IFERROR(__xludf.DUMMYFUNCTION("""COMPUTED_VALUE"""),"NEW HAKATA")</f>
        <v>NEW HAKATA</v>
      </c>
      <c r="B154" s="4">
        <f>IFERROR(__xludf.DUMMYFUNCTION("""COMPUTED_VALUE"""),7.0)</f>
        <v>7</v>
      </c>
      <c r="C154" s="30">
        <f>IFERROR(__xludf.DUMMYFUNCTION("""COMPUTED_VALUE"""),67.0)</f>
        <v>67</v>
      </c>
      <c r="D154" s="4" t="str">
        <f>IFERROR(__xludf.DUMMYFUNCTION("""COMPUTED_VALUE"""),"Fast Casual - Multi-conceito")</f>
        <v>Fast Casual - Multi-conceito</v>
      </c>
      <c r="E154" s="4" t="str">
        <f>IFERROR(__xludf.DUMMYFUNCTION("""COMPUTED_VALUE"""),"Sul")</f>
        <v>Sul</v>
      </c>
      <c r="F154" s="4" t="str">
        <f>IFERROR(__xludf.DUMMYFUNCTION("""COMPUTED_VALUE"""),"Dado não disponível publicamente - Necessário Discovery")</f>
        <v>Dado não disponível publicamente - Necessário Discovery</v>
      </c>
      <c r="G154" s="4">
        <f>IFERROR(__xludf.DUMMYFUNCTION("""COMPUTED_VALUE"""),70.0)</f>
        <v>70</v>
      </c>
      <c r="H154" s="31">
        <f>IFERROR(__xludf.DUMMYFUNCTION("""COMPUTED_VALUE"""),0.75)</f>
        <v>0.75</v>
      </c>
      <c r="I15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54" s="4" t="str">
        <f>IFERROR(__xludf.DUMMYFUNCTION("""COMPUTED_VALUE"""),"FELIZ FARMA - CONTA MARCA")</f>
        <v>FELIZ FARMA - CONTA MARCA</v>
      </c>
      <c r="L154" s="32">
        <f>IFERROR(__xludf.DUMMYFUNCTION("""COMPUTED_VALUE"""),56.0)</f>
        <v>56</v>
      </c>
      <c r="M154" s="4" t="str">
        <f>IFERROR(__xludf.DUMMYFUNCTION("""COMPUTED_VALUE"""),"N/A (Not found)")</f>
        <v>N/A (Not found)</v>
      </c>
      <c r="N154" s="33">
        <f>IFERROR(__xludf.DUMMYFUNCTION("""COMPUTED_VALUE"""),1.0)</f>
        <v>1</v>
      </c>
      <c r="O154" s="4" t="str">
        <f>IFERROR(__xludf.DUMMYFUNCTION("""COMPUTED_VALUE"""),"N/A (Not found)")</f>
        <v>N/A (Not found)</v>
      </c>
      <c r="P154" s="33">
        <f>IFERROR(__xludf.DUMMYFUNCTION("""COMPUTED_VALUE"""),1.0)</f>
        <v>1</v>
      </c>
      <c r="Q154" s="4" t="str">
        <f>IFERROR(__xludf.DUMMYFUNCTION("""COMPUTED_VALUE"""),"N/A (Not found)")</f>
        <v>N/A (Not found)</v>
      </c>
      <c r="R154" s="33">
        <f>IFERROR(__xludf.DUMMYFUNCTION("""COMPUTED_VALUE"""),1.0)</f>
        <v>1</v>
      </c>
      <c r="S154" s="4" t="str">
        <f>IFERROR(__xludf.DUMMYFUNCTION("""COMPUTED_VALUE"""),"N/A (Not found)")</f>
        <v>N/A (Not found)</v>
      </c>
      <c r="T154" s="33">
        <f>IFERROR(__xludf.DUMMYFUNCTION("""COMPUTED_VALUE"""),1.0)</f>
        <v>1</v>
      </c>
      <c r="U154" s="4" t="str">
        <f>IFERROR(__xludf.DUMMYFUNCTION("""COMPUTED_VALUE"""),"N/A (Not found)")</f>
        <v>N/A (Not found)</v>
      </c>
      <c r="V154" s="33">
        <f>IFERROR(__xludf.DUMMYFUNCTION("""COMPUTED_VALUE"""),0.9642857142857143)</f>
        <v>0.9642857143</v>
      </c>
      <c r="W154" s="4" t="str">
        <f>IFERROR(__xludf.DUMMYFUNCTION("""COMPUTED_VALUE"""),"N/A (Not found)")</f>
        <v>N/A (Not found)</v>
      </c>
      <c r="X154" s="33">
        <f>IFERROR(__xludf.DUMMYFUNCTION("""COMPUTED_VALUE"""),0.9642857142857143)</f>
        <v>0.9642857143</v>
      </c>
    </row>
    <row r="155">
      <c r="A155" s="4" t="str">
        <f>IFERROR(__xludf.DUMMYFUNCTION("""COMPUTED_VALUE"""),"NIPOPESCA")</f>
        <v>NIPOPESCA</v>
      </c>
      <c r="B155" s="4">
        <f>IFERROR(__xludf.DUMMYFUNCTION("""COMPUTED_VALUE"""),6.0)</f>
        <v>6</v>
      </c>
      <c r="C155" s="30">
        <f>IFERROR(__xludf.DUMMYFUNCTION("""COMPUTED_VALUE"""),62.0)</f>
        <v>62</v>
      </c>
      <c r="D155" s="4" t="str">
        <f>IFERROR(__xludf.DUMMYFUNCTION("""COMPUTED_VALUE"""),"Fast Casual - Multi-conceito")</f>
        <v>Fast Casual - Multi-conceito</v>
      </c>
      <c r="E155" s="4" t="str">
        <f>IFERROR(__xludf.DUMMYFUNCTION("""COMPUTED_VALUE"""),"São Paulo/SP")</f>
        <v>São Paulo/SP</v>
      </c>
      <c r="F155" s="4" t="str">
        <f>IFERROR(__xludf.DUMMYFUNCTION("""COMPUTED_VALUE"""),"Dado não disponível publicamente - Necessário Discovery")</f>
        <v>Dado não disponível publicamente - Necessário Discovery</v>
      </c>
      <c r="G155" s="4">
        <f>IFERROR(__xludf.DUMMYFUNCTION("""COMPUTED_VALUE"""),70.0)</f>
        <v>70</v>
      </c>
      <c r="H155" s="31">
        <f>IFERROR(__xludf.DUMMYFUNCTION("""COMPUTED_VALUE"""),0.75)</f>
        <v>0.75</v>
      </c>
      <c r="I15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55" s="4" t="str">
        <f>IFERROR(__xludf.DUMMYFUNCTION("""COMPUTED_VALUE"""),"SUSHIAKI - GRUPO MASTER")</f>
        <v>SUSHIAKI - GRUPO MASTER</v>
      </c>
      <c r="L155" s="32">
        <f>IFERROR(__xludf.DUMMYFUNCTION("""COMPUTED_VALUE"""),55.0)</f>
        <v>55</v>
      </c>
      <c r="M155" s="4" t="str">
        <f>IFERROR(__xludf.DUMMYFUNCTION("""COMPUTED_VALUE"""),"Connectplug")</f>
        <v>Connectplug</v>
      </c>
      <c r="N155" s="33">
        <f>IFERROR(__xludf.DUMMYFUNCTION("""COMPUTED_VALUE"""),0.5818181818181818)</f>
        <v>0.5818181818</v>
      </c>
      <c r="O155" s="4" t="str">
        <f>IFERROR(__xludf.DUMMYFUNCTION("""COMPUTED_VALUE"""),"Connectplug")</f>
        <v>Connectplug</v>
      </c>
      <c r="P155" s="33">
        <f>IFERROR(__xludf.DUMMYFUNCTION("""COMPUTED_VALUE"""),0.43636363636363634)</f>
        <v>0.4363636364</v>
      </c>
      <c r="Q155" s="4" t="str">
        <f>IFERROR(__xludf.DUMMYFUNCTION("""COMPUTED_VALUE"""),"Connectplug")</f>
        <v>Connectplug</v>
      </c>
      <c r="R155" s="33">
        <f>IFERROR(__xludf.DUMMYFUNCTION("""COMPUTED_VALUE"""),0.43636363636363634)</f>
        <v>0.4363636364</v>
      </c>
      <c r="S155" s="4" t="str">
        <f>IFERROR(__xludf.DUMMYFUNCTION("""COMPUTED_VALUE"""),"Connectplug")</f>
        <v>Connectplug</v>
      </c>
      <c r="T155" s="33">
        <f>IFERROR(__xludf.DUMMYFUNCTION("""COMPUTED_VALUE"""),0.36363636363636365)</f>
        <v>0.3636363636</v>
      </c>
      <c r="U155" s="4" t="str">
        <f>IFERROR(__xludf.DUMMYFUNCTION("""COMPUTED_VALUE"""),"Connectplug")</f>
        <v>Connectplug</v>
      </c>
      <c r="V155" s="33">
        <f>IFERROR(__xludf.DUMMYFUNCTION("""COMPUTED_VALUE"""),0.43636363636363634)</f>
        <v>0.4363636364</v>
      </c>
      <c r="W155" s="4" t="str">
        <f>IFERROR(__xludf.DUMMYFUNCTION("""COMPUTED_VALUE"""),"Connectplug")</f>
        <v>Connectplug</v>
      </c>
      <c r="X155" s="33">
        <f>IFERROR(__xludf.DUMMYFUNCTION("""COMPUTED_VALUE"""),0.45454545454545453)</f>
        <v>0.4545454545</v>
      </c>
    </row>
    <row r="156">
      <c r="A156" s="4" t="str">
        <f>IFERROR(__xludf.DUMMYFUNCTION("""COMPUTED_VALUE"""),"O FARAÓ AM")</f>
        <v>O FARAÓ AM</v>
      </c>
      <c r="B156" s="4">
        <f>IFERROR(__xludf.DUMMYFUNCTION("""COMPUTED_VALUE"""),8.0)</f>
        <v>8</v>
      </c>
      <c r="C156" s="30">
        <f>IFERROR(__xludf.DUMMYFUNCTION("""COMPUTED_VALUE"""),53.0)</f>
        <v>53</v>
      </c>
      <c r="D156" s="4" t="str">
        <f>IFERROR(__xludf.DUMMYFUNCTION("""COMPUTED_VALUE"""),"Fast Casual - Multi-conceito")</f>
        <v>Fast Casual - Multi-conceito</v>
      </c>
      <c r="E156" s="4" t="str">
        <f>IFERROR(__xludf.DUMMYFUNCTION("""COMPUTED_VALUE"""),"Rio de Janeiro/RJ")</f>
        <v>Rio de Janeiro/RJ</v>
      </c>
      <c r="F156" s="4" t="str">
        <f>IFERROR(__xludf.DUMMYFUNCTION("""COMPUTED_VALUE"""),"Dado não disponível publicamente - Necessário Discovery")</f>
        <v>Dado não disponível publicamente - Necessário Discovery</v>
      </c>
      <c r="G156" s="4">
        <f>IFERROR(__xludf.DUMMYFUNCTION("""COMPUTED_VALUE"""),70.0)</f>
        <v>70</v>
      </c>
      <c r="H156" s="31">
        <f>IFERROR(__xludf.DUMMYFUNCTION("""COMPUTED_VALUE"""),0.75)</f>
        <v>0.75</v>
      </c>
      <c r="I15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56" s="4" t="str">
        <f>IFERROR(__xludf.DUMMYFUNCTION("""COMPUTED_VALUE"""),"GRUPO LANCHAO CIA")</f>
        <v>GRUPO LANCHAO CIA</v>
      </c>
      <c r="L156" s="32">
        <f>IFERROR(__xludf.DUMMYFUNCTION("""COMPUTED_VALUE"""),54.0)</f>
        <v>54</v>
      </c>
      <c r="M156" s="4" t="str">
        <f>IFERROR(__xludf.DUMMYFUNCTION("""COMPUTED_VALUE"""),"Ncr")</f>
        <v>Ncr</v>
      </c>
      <c r="N156" s="33">
        <f>IFERROR(__xludf.DUMMYFUNCTION("""COMPUTED_VALUE"""),0.3333333333333333)</f>
        <v>0.3333333333</v>
      </c>
      <c r="O156" s="4" t="str">
        <f>IFERROR(__xludf.DUMMYFUNCTION("""COMPUTED_VALUE"""),"null")</f>
        <v>null</v>
      </c>
      <c r="P156" s="33">
        <f>IFERROR(__xludf.DUMMYFUNCTION("""COMPUTED_VALUE"""),0.35185185185185186)</f>
        <v>0.3518518519</v>
      </c>
      <c r="Q156" s="4" t="str">
        <f>IFERROR(__xludf.DUMMYFUNCTION("""COMPUTED_VALUE"""),"null")</f>
        <v>null</v>
      </c>
      <c r="R156" s="33">
        <f>IFERROR(__xludf.DUMMYFUNCTION("""COMPUTED_VALUE"""),0.37037037037037035)</f>
        <v>0.3703703704</v>
      </c>
      <c r="S156" s="4" t="str">
        <f>IFERROR(__xludf.DUMMYFUNCTION("""COMPUTED_VALUE"""),"null")</f>
        <v>null</v>
      </c>
      <c r="T156" s="33">
        <f>IFERROR(__xludf.DUMMYFUNCTION("""COMPUTED_VALUE"""),0.42592592592592593)</f>
        <v>0.4259259259</v>
      </c>
      <c r="U156" s="4" t="str">
        <f>IFERROR(__xludf.DUMMYFUNCTION("""COMPUTED_VALUE"""),"null")</f>
        <v>null</v>
      </c>
      <c r="V156" s="33">
        <f>IFERROR(__xludf.DUMMYFUNCTION("""COMPUTED_VALUE"""),0.42592592592592593)</f>
        <v>0.4259259259</v>
      </c>
      <c r="W156" s="4" t="str">
        <f>IFERROR(__xludf.DUMMYFUNCTION("""COMPUTED_VALUE"""),"null")</f>
        <v>null</v>
      </c>
      <c r="X156" s="33">
        <f>IFERROR(__xludf.DUMMYFUNCTION("""COMPUTED_VALUE"""),0.46296296296296297)</f>
        <v>0.462962963</v>
      </c>
    </row>
    <row r="157">
      <c r="A157" s="4" t="str">
        <f>IFERROR(__xludf.DUMMYFUNCTION("""COMPUTED_VALUE"""),"O NOSSO CHURRASQUETO")</f>
        <v>O NOSSO CHURRASQUETO</v>
      </c>
      <c r="B157" s="4">
        <f>IFERROR(__xludf.DUMMYFUNCTION("""COMPUTED_VALUE"""),8.0)</f>
        <v>8</v>
      </c>
      <c r="C157" s="30">
        <f>IFERROR(__xludf.DUMMYFUNCTION("""COMPUTED_VALUE"""),74.0)</f>
        <v>74</v>
      </c>
      <c r="D157" s="4" t="str">
        <f>IFERROR(__xludf.DUMMYFUNCTION("""COMPUTED_VALUE"""),"Fast Casual - Multi-conceito")</f>
        <v>Fast Casual - Multi-conceito</v>
      </c>
      <c r="E157" s="4" t="str">
        <f>IFERROR(__xludf.DUMMYFUNCTION("""COMPUTED_VALUE"""),"São Paulo/SP")</f>
        <v>São Paulo/SP</v>
      </c>
      <c r="F157" s="4" t="str">
        <f>IFERROR(__xludf.DUMMYFUNCTION("""COMPUTED_VALUE"""),"Dado não disponível publicamente - Necessário Discovery")</f>
        <v>Dado não disponível publicamente - Necessário Discovery</v>
      </c>
      <c r="G157" s="4">
        <f>IFERROR(__xludf.DUMMYFUNCTION("""COMPUTED_VALUE"""),70.0)</f>
        <v>70</v>
      </c>
      <c r="H157" s="31">
        <f>IFERROR(__xludf.DUMMYFUNCTION("""COMPUTED_VALUE"""),0.75)</f>
        <v>0.75</v>
      </c>
      <c r="I15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57" s="4" t="str">
        <f>IFERROR(__xludf.DUMMYFUNCTION("""COMPUTED_VALUE"""),"DELIVERY MENU - CONTA MARCA")</f>
        <v>DELIVERY MENU - CONTA MARCA</v>
      </c>
      <c r="L157" s="32">
        <f>IFERROR(__xludf.DUMMYFUNCTION("""COMPUTED_VALUE"""),54.0)</f>
        <v>54</v>
      </c>
      <c r="M157" s="4" t="str">
        <f>IFERROR(__xludf.DUMMYFUNCTION("""COMPUTED_VALUE"""),"Berp Sistemas")</f>
        <v>Berp Sistemas</v>
      </c>
      <c r="N157" s="33">
        <f>IFERROR(__xludf.DUMMYFUNCTION("""COMPUTED_VALUE"""),0.9814814814814815)</f>
        <v>0.9814814815</v>
      </c>
      <c r="O157" s="4" t="str">
        <f>IFERROR(__xludf.DUMMYFUNCTION("""COMPUTED_VALUE"""),"Berp Sistemas")</f>
        <v>Berp Sistemas</v>
      </c>
      <c r="P157" s="33">
        <f>IFERROR(__xludf.DUMMYFUNCTION("""COMPUTED_VALUE"""),0.9629629629629629)</f>
        <v>0.962962963</v>
      </c>
      <c r="Q157" s="4" t="str">
        <f>IFERROR(__xludf.DUMMYFUNCTION("""COMPUTED_VALUE"""),"Berp Sistemas")</f>
        <v>Berp Sistemas</v>
      </c>
      <c r="R157" s="33">
        <f>IFERROR(__xludf.DUMMYFUNCTION("""COMPUTED_VALUE"""),0.9629629629629629)</f>
        <v>0.962962963</v>
      </c>
      <c r="S157" s="4" t="str">
        <f>IFERROR(__xludf.DUMMYFUNCTION("""COMPUTED_VALUE"""),"Berp Sistemas")</f>
        <v>Berp Sistemas</v>
      </c>
      <c r="T157" s="33">
        <f>IFERROR(__xludf.DUMMYFUNCTION("""COMPUTED_VALUE"""),0.9259259259259259)</f>
        <v>0.9259259259</v>
      </c>
      <c r="U157" s="4" t="str">
        <f>IFERROR(__xludf.DUMMYFUNCTION("""COMPUTED_VALUE"""),"Berp Sistemas")</f>
        <v>Berp Sistemas</v>
      </c>
      <c r="V157" s="33">
        <f>IFERROR(__xludf.DUMMYFUNCTION("""COMPUTED_VALUE"""),0.9444444444444444)</f>
        <v>0.9444444444</v>
      </c>
      <c r="W157" s="4" t="str">
        <f>IFERROR(__xludf.DUMMYFUNCTION("""COMPUTED_VALUE"""),"Berp Sistemas")</f>
        <v>Berp Sistemas</v>
      </c>
      <c r="X157" s="33">
        <f>IFERROR(__xludf.DUMMYFUNCTION("""COMPUTED_VALUE"""),0.9074074074074074)</f>
        <v>0.9074074074</v>
      </c>
    </row>
    <row r="158">
      <c r="A158" s="4" t="str">
        <f>IFERROR(__xludf.DUMMYFUNCTION("""COMPUTED_VALUE"""),"OFICINA DAS PIZZAS")</f>
        <v>OFICINA DAS PIZZAS</v>
      </c>
      <c r="B158" s="4">
        <f>IFERROR(__xludf.DUMMYFUNCTION("""COMPUTED_VALUE"""),8.0)</f>
        <v>8</v>
      </c>
      <c r="C158" s="30">
        <f>IFERROR(__xludf.DUMMYFUNCTION("""COMPUTED_VALUE"""),73.0)</f>
        <v>73</v>
      </c>
      <c r="D158" s="4" t="str">
        <f>IFERROR(__xludf.DUMMYFUNCTION("""COMPUTED_VALUE"""),"Fast Casual - Pizzaria")</f>
        <v>Fast Casual - Pizzaria</v>
      </c>
      <c r="E158" s="4" t="str">
        <f>IFERROR(__xludf.DUMMYFUNCTION("""COMPUTED_VALUE"""),"Brasília/DF")</f>
        <v>Brasília/DF</v>
      </c>
      <c r="F158" s="4" t="str">
        <f>IFERROR(__xludf.DUMMYFUNCTION("""COMPUTED_VALUE"""),"Dado não disponível publicamente - Necessário Discovery")</f>
        <v>Dado não disponível publicamente - Necessário Discovery</v>
      </c>
      <c r="G158" s="4">
        <f>IFERROR(__xludf.DUMMYFUNCTION("""COMPUTED_VALUE"""),70.0)</f>
        <v>70</v>
      </c>
      <c r="H158" s="31">
        <f>IFERROR(__xludf.DUMMYFUNCTION("""COMPUTED_VALUE"""),0.75)</f>
        <v>0.75</v>
      </c>
      <c r="I15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58" s="4" t="str">
        <f>IFERROR(__xludf.DUMMYFUNCTION("""COMPUTED_VALUE"""),"GRUPO NOW")</f>
        <v>GRUPO NOW</v>
      </c>
      <c r="L158" s="32">
        <f>IFERROR(__xludf.DUMMYFUNCTION("""COMPUTED_VALUE"""),54.0)</f>
        <v>54</v>
      </c>
      <c r="M158" s="4" t="str">
        <f>IFERROR(__xludf.DUMMYFUNCTION("""COMPUTED_VALUE"""),"Saipos Serviços De Software")</f>
        <v>Saipos Serviços De Software</v>
      </c>
      <c r="N158" s="33">
        <f>IFERROR(__xludf.DUMMYFUNCTION("""COMPUTED_VALUE"""),0.4074074074074074)</f>
        <v>0.4074074074</v>
      </c>
      <c r="O158" s="4" t="str">
        <f>IFERROR(__xludf.DUMMYFUNCTION("""COMPUTED_VALUE"""),"Saipos Serviços De Software")</f>
        <v>Saipos Serviços De Software</v>
      </c>
      <c r="P158" s="33">
        <f>IFERROR(__xludf.DUMMYFUNCTION("""COMPUTED_VALUE"""),0.37037037037037035)</f>
        <v>0.3703703704</v>
      </c>
      <c r="Q158" s="4" t="str">
        <f>IFERROR(__xludf.DUMMYFUNCTION("""COMPUTED_VALUE"""),"Saipos Serviços De Software")</f>
        <v>Saipos Serviços De Software</v>
      </c>
      <c r="R158" s="33">
        <f>IFERROR(__xludf.DUMMYFUNCTION("""COMPUTED_VALUE"""),0.3333333333333333)</f>
        <v>0.3333333333</v>
      </c>
      <c r="S158" s="4" t="str">
        <f>IFERROR(__xludf.DUMMYFUNCTION("""COMPUTED_VALUE"""),"Saipos Serviços De Software")</f>
        <v>Saipos Serviços De Software</v>
      </c>
      <c r="T158" s="33">
        <f>IFERROR(__xludf.DUMMYFUNCTION("""COMPUTED_VALUE"""),0.35185185185185186)</f>
        <v>0.3518518519</v>
      </c>
      <c r="U158" s="4" t="str">
        <f>IFERROR(__xludf.DUMMYFUNCTION("""COMPUTED_VALUE"""),"null")</f>
        <v>null</v>
      </c>
      <c r="V158" s="33">
        <f>IFERROR(__xludf.DUMMYFUNCTION("""COMPUTED_VALUE"""),0.35185185185185186)</f>
        <v>0.3518518519</v>
      </c>
      <c r="W158" s="4" t="str">
        <f>IFERROR(__xludf.DUMMYFUNCTION("""COMPUTED_VALUE"""),"null")</f>
        <v>null</v>
      </c>
      <c r="X158" s="33">
        <f>IFERROR(__xludf.DUMMYFUNCTION("""COMPUTED_VALUE"""),0.3333333333333333)</f>
        <v>0.3333333333</v>
      </c>
    </row>
    <row r="159">
      <c r="A159" s="4" t="str">
        <f>IFERROR(__xludf.DUMMYFUNCTION("""COMPUTED_VALUE"""),"OHANA SUSHI - GRUPO")</f>
        <v>OHANA SUSHI - GRUPO</v>
      </c>
      <c r="B159" s="4">
        <f>IFERROR(__xludf.DUMMYFUNCTION("""COMPUTED_VALUE"""),6.0)</f>
        <v>6</v>
      </c>
      <c r="C159" s="30">
        <f>IFERROR(__xludf.DUMMYFUNCTION("""COMPUTED_VALUE"""),74.0)</f>
        <v>74</v>
      </c>
      <c r="D159" s="4" t="str">
        <f>IFERROR(__xludf.DUMMYFUNCTION("""COMPUTED_VALUE"""),"Fast Casual - Japonesa")</f>
        <v>Fast Casual - Japonesa</v>
      </c>
      <c r="E159" s="4" t="str">
        <f>IFERROR(__xludf.DUMMYFUNCTION("""COMPUTED_VALUE"""),"Interior SP")</f>
        <v>Interior SP</v>
      </c>
      <c r="F159" s="4" t="str">
        <f>IFERROR(__xludf.DUMMYFUNCTION("""COMPUTED_VALUE"""),"Dado não disponível publicamente - Necessário Discovery")</f>
        <v>Dado não disponível publicamente - Necessário Discovery</v>
      </c>
      <c r="G159" s="4">
        <f>IFERROR(__xludf.DUMMYFUNCTION("""COMPUTED_VALUE"""),70.0)</f>
        <v>70</v>
      </c>
      <c r="H159" s="31">
        <f>IFERROR(__xludf.DUMMYFUNCTION("""COMPUTED_VALUE"""),0.75)</f>
        <v>0.75</v>
      </c>
      <c r="I15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59" s="4" t="str">
        <f>IFERROR(__xludf.DUMMYFUNCTION("""COMPUTED_VALUE"""),"GRUPO ATLANTICO")</f>
        <v>GRUPO ATLANTICO</v>
      </c>
      <c r="L159" s="32">
        <f>IFERROR(__xludf.DUMMYFUNCTION("""COMPUTED_VALUE"""),53.0)</f>
        <v>53</v>
      </c>
      <c r="M159" s="4" t="str">
        <f>IFERROR(__xludf.DUMMYFUNCTION("""COMPUTED_VALUE"""),"null")</f>
        <v>null</v>
      </c>
      <c r="N159" s="33">
        <f>IFERROR(__xludf.DUMMYFUNCTION("""COMPUTED_VALUE"""),0.5471698113207547)</f>
        <v>0.5471698113</v>
      </c>
      <c r="O159" s="4" t="str">
        <f>IFERROR(__xludf.DUMMYFUNCTION("""COMPUTED_VALUE"""),"null")</f>
        <v>null</v>
      </c>
      <c r="P159" s="33">
        <f>IFERROR(__xludf.DUMMYFUNCTION("""COMPUTED_VALUE"""),0.5094339622641509)</f>
        <v>0.5094339623</v>
      </c>
      <c r="Q159" s="4" t="str">
        <f>IFERROR(__xludf.DUMMYFUNCTION("""COMPUTED_VALUE"""),"L&amp;f Tecnologia Sistemas E Comercio Ltda")</f>
        <v>L&amp;f Tecnologia Sistemas E Comercio Ltda</v>
      </c>
      <c r="R159" s="33">
        <f>IFERROR(__xludf.DUMMYFUNCTION("""COMPUTED_VALUE"""),0.5283018867924528)</f>
        <v>0.5283018868</v>
      </c>
      <c r="S159" s="4" t="str">
        <f>IFERROR(__xludf.DUMMYFUNCTION("""COMPUTED_VALUE"""),"L&amp;f Tecnologia Sistemas E Comercio Ltda")</f>
        <v>L&amp;f Tecnologia Sistemas E Comercio Ltda</v>
      </c>
      <c r="T159" s="33">
        <f>IFERROR(__xludf.DUMMYFUNCTION("""COMPUTED_VALUE"""),0.6792452830188679)</f>
        <v>0.679245283</v>
      </c>
      <c r="U159" s="4" t="str">
        <f>IFERROR(__xludf.DUMMYFUNCTION("""COMPUTED_VALUE"""),"L&amp;f Tecnologia Sistemas E Comercio Ltda")</f>
        <v>L&amp;f Tecnologia Sistemas E Comercio Ltda</v>
      </c>
      <c r="V159" s="33">
        <f>IFERROR(__xludf.DUMMYFUNCTION("""COMPUTED_VALUE"""),0.5849056603773585)</f>
        <v>0.5849056604</v>
      </c>
      <c r="W159" s="4" t="str">
        <f>IFERROR(__xludf.DUMMYFUNCTION("""COMPUTED_VALUE"""),"L&amp;f Tecnologia Sistemas E Comercio Ltda")</f>
        <v>L&amp;f Tecnologia Sistemas E Comercio Ltda</v>
      </c>
      <c r="X159" s="33">
        <f>IFERROR(__xludf.DUMMYFUNCTION("""COMPUTED_VALUE"""),0.7169811320754716)</f>
        <v>0.7169811321</v>
      </c>
    </row>
    <row r="160">
      <c r="A160" s="4" t="str">
        <f>IFERROR(__xludf.DUMMYFUNCTION("""COMPUTED_VALUE"""),"ORC BURGER JAÚ")</f>
        <v>ORC BURGER JAÚ</v>
      </c>
      <c r="B160" s="4">
        <f>IFERROR(__xludf.DUMMYFUNCTION("""COMPUTED_VALUE"""),6.0)</f>
        <v>6</v>
      </c>
      <c r="C160" s="30">
        <f>IFERROR(__xludf.DUMMYFUNCTION("""COMPUTED_VALUE"""),71.0)</f>
        <v>71</v>
      </c>
      <c r="D160" s="4" t="str">
        <f>IFERROR(__xludf.DUMMYFUNCTION("""COMPUTED_VALUE"""),"Fast Casual - Hamburgueria")</f>
        <v>Fast Casual - Hamburgueria</v>
      </c>
      <c r="E160" s="4" t="str">
        <f>IFERROR(__xludf.DUMMYFUNCTION("""COMPUTED_VALUE"""),"Brasília/DF")</f>
        <v>Brasília/DF</v>
      </c>
      <c r="F160" s="4" t="str">
        <f>IFERROR(__xludf.DUMMYFUNCTION("""COMPUTED_VALUE"""),"Dado não disponível publicamente - Necessário Discovery")</f>
        <v>Dado não disponível publicamente - Necessário Discovery</v>
      </c>
      <c r="G160" s="4">
        <f>IFERROR(__xludf.DUMMYFUNCTION("""COMPUTED_VALUE"""),70.0)</f>
        <v>70</v>
      </c>
      <c r="H160" s="31">
        <f>IFERROR(__xludf.DUMMYFUNCTION("""COMPUTED_VALUE"""),0.75)</f>
        <v>0.75</v>
      </c>
      <c r="I16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60" s="4" t="str">
        <f>IFERROR(__xludf.DUMMYFUNCTION("""COMPUTED_VALUE"""),"GRUPO BELLA CAPRI")</f>
        <v>GRUPO BELLA CAPRI</v>
      </c>
      <c r="L160" s="32">
        <f>IFERROR(__xludf.DUMMYFUNCTION("""COMPUTED_VALUE"""),53.0)</f>
        <v>53</v>
      </c>
      <c r="M160" s="4" t="str">
        <f>IFERROR(__xludf.DUMMYFUNCTION("""COMPUTED_VALUE"""),"Goncales E Fernandez Informatica Ltda")</f>
        <v>Goncales E Fernandez Informatica Ltda</v>
      </c>
      <c r="N160" s="33">
        <f>IFERROR(__xludf.DUMMYFUNCTION("""COMPUTED_VALUE"""),0.9245283018867925)</f>
        <v>0.9245283019</v>
      </c>
      <c r="O160" s="4" t="str">
        <f>IFERROR(__xludf.DUMMYFUNCTION("""COMPUTED_VALUE"""),"Goncales E Fernandez Informatica Ltda")</f>
        <v>Goncales E Fernandez Informatica Ltda</v>
      </c>
      <c r="P160" s="33">
        <f>IFERROR(__xludf.DUMMYFUNCTION("""COMPUTED_VALUE"""),0.9433962264150944)</f>
        <v>0.9433962264</v>
      </c>
      <c r="Q160" s="4" t="str">
        <f>IFERROR(__xludf.DUMMYFUNCTION("""COMPUTED_VALUE"""),"Goncales E Fernandez Informatica Ltda")</f>
        <v>Goncales E Fernandez Informatica Ltda</v>
      </c>
      <c r="R160" s="33">
        <f>IFERROR(__xludf.DUMMYFUNCTION("""COMPUTED_VALUE"""),0.9245283018867925)</f>
        <v>0.9245283019</v>
      </c>
      <c r="S160" s="4" t="str">
        <f>IFERROR(__xludf.DUMMYFUNCTION("""COMPUTED_VALUE"""),"Goncales E Fernandez Informatica Ltda")</f>
        <v>Goncales E Fernandez Informatica Ltda</v>
      </c>
      <c r="T160" s="33">
        <f>IFERROR(__xludf.DUMMYFUNCTION("""COMPUTED_VALUE"""),0.9622641509433962)</f>
        <v>0.9622641509</v>
      </c>
      <c r="U160" s="4" t="str">
        <f>IFERROR(__xludf.DUMMYFUNCTION("""COMPUTED_VALUE"""),"Goncales E Fernandez Informatica Ltda")</f>
        <v>Goncales E Fernandez Informatica Ltda</v>
      </c>
      <c r="V160" s="33">
        <f>IFERROR(__xludf.DUMMYFUNCTION("""COMPUTED_VALUE"""),0.8679245283018868)</f>
        <v>0.8679245283</v>
      </c>
      <c r="W160" s="4" t="str">
        <f>IFERROR(__xludf.DUMMYFUNCTION("""COMPUTED_VALUE"""),"Goncales E Fernandez Informatica Ltda")</f>
        <v>Goncales E Fernandez Informatica Ltda</v>
      </c>
      <c r="X160" s="33">
        <f>IFERROR(__xludf.DUMMYFUNCTION("""COMPUTED_VALUE"""),0.7924528301886793)</f>
        <v>0.7924528302</v>
      </c>
    </row>
    <row r="161">
      <c r="A161" s="4" t="str">
        <f>IFERROR(__xludf.DUMMYFUNCTION("""COMPUTED_VALUE"""),"PADARIA MONZA")</f>
        <v>PADARIA MONZA</v>
      </c>
      <c r="B161" s="4">
        <f>IFERROR(__xludf.DUMMYFUNCTION("""COMPUTED_VALUE"""),9.0)</f>
        <v>9</v>
      </c>
      <c r="C161" s="30">
        <f>IFERROR(__xludf.DUMMYFUNCTION("""COMPUTED_VALUE"""),48.0)</f>
        <v>48</v>
      </c>
      <c r="D161" s="4" t="str">
        <f>IFERROR(__xludf.DUMMYFUNCTION("""COMPUTED_VALUE"""),"Varejo - Padaria")</f>
        <v>Varejo - Padaria</v>
      </c>
      <c r="E161" s="4" t="str">
        <f>IFERROR(__xludf.DUMMYFUNCTION("""COMPUTED_VALUE"""),"Sul")</f>
        <v>Sul</v>
      </c>
      <c r="F161" s="4" t="str">
        <f>IFERROR(__xludf.DUMMYFUNCTION("""COMPUTED_VALUE"""),"Dado não disponível publicamente - Necessário Discovery")</f>
        <v>Dado não disponível publicamente - Necessário Discovery</v>
      </c>
      <c r="G161" s="4">
        <f>IFERROR(__xludf.DUMMYFUNCTION("""COMPUTED_VALUE"""),40.0)</f>
        <v>40</v>
      </c>
      <c r="H161" s="31">
        <f>IFERROR(__xludf.DUMMYFUNCTION("""COMPUTED_VALUE"""),0.5)</f>
        <v>0.5</v>
      </c>
      <c r="I161"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161" s="4" t="str">
        <f>IFERROR(__xludf.DUMMYFUNCTION("""COMPUTED_VALUE"""),"GRUPO PIZZARIA ATLANTICO")</f>
        <v>GRUPO PIZZARIA ATLANTICO</v>
      </c>
      <c r="L161" s="32">
        <f>IFERROR(__xludf.DUMMYFUNCTION("""COMPUTED_VALUE"""),53.0)</f>
        <v>53</v>
      </c>
      <c r="M161" s="4" t="str">
        <f>IFERROR(__xludf.DUMMYFUNCTION("""COMPUTED_VALUE"""),"null")</f>
        <v>null</v>
      </c>
      <c r="N161" s="33">
        <f>IFERROR(__xludf.DUMMYFUNCTION("""COMPUTED_VALUE"""),0.5094339622641509)</f>
        <v>0.5094339623</v>
      </c>
      <c r="O161" s="4" t="str">
        <f>IFERROR(__xludf.DUMMYFUNCTION("""COMPUTED_VALUE"""),"L&amp;f Tecnologia Sistemas E Comercio Ltda")</f>
        <v>L&amp;f Tecnologia Sistemas E Comercio Ltda</v>
      </c>
      <c r="P161" s="33">
        <f>IFERROR(__xludf.DUMMYFUNCTION("""COMPUTED_VALUE"""),0.5283018867924528)</f>
        <v>0.5283018868</v>
      </c>
      <c r="Q161" s="4" t="str">
        <f>IFERROR(__xludf.DUMMYFUNCTION("""COMPUTED_VALUE"""),"L&amp;f Tecnologia Sistemas E Comercio Ltda")</f>
        <v>L&amp;f Tecnologia Sistemas E Comercio Ltda</v>
      </c>
      <c r="R161" s="33">
        <f>IFERROR(__xludf.DUMMYFUNCTION("""COMPUTED_VALUE"""),0.5660377358490566)</f>
        <v>0.5660377358</v>
      </c>
      <c r="S161" s="4" t="str">
        <f>IFERROR(__xludf.DUMMYFUNCTION("""COMPUTED_VALUE"""),"L&amp;f Tecnologia Sistemas E Comercio Ltda")</f>
        <v>L&amp;f Tecnologia Sistemas E Comercio Ltda</v>
      </c>
      <c r="T161" s="33">
        <f>IFERROR(__xludf.DUMMYFUNCTION("""COMPUTED_VALUE"""),0.660377358490566)</f>
        <v>0.6603773585</v>
      </c>
      <c r="U161" s="4" t="str">
        <f>IFERROR(__xludf.DUMMYFUNCTION("""COMPUTED_VALUE"""),"L&amp;f Tecnologia Sistemas E Comercio Ltda")</f>
        <v>L&amp;f Tecnologia Sistemas E Comercio Ltda</v>
      </c>
      <c r="V161" s="33">
        <f>IFERROR(__xludf.DUMMYFUNCTION("""COMPUTED_VALUE"""),0.5849056603773585)</f>
        <v>0.5849056604</v>
      </c>
      <c r="W161" s="4" t="str">
        <f>IFERROR(__xludf.DUMMYFUNCTION("""COMPUTED_VALUE"""),"L&amp;f Tecnologia Sistemas E Comercio Ltda")</f>
        <v>L&amp;f Tecnologia Sistemas E Comercio Ltda</v>
      </c>
      <c r="X161" s="33">
        <f>IFERROR(__xludf.DUMMYFUNCTION("""COMPUTED_VALUE"""),0.6792452830188679)</f>
        <v>0.679245283</v>
      </c>
    </row>
    <row r="162">
      <c r="A162" s="4" t="str">
        <f>IFERROR(__xludf.DUMMYFUNCTION("""COMPUTED_VALUE"""),"PAPPARELLA PIZZARIA")</f>
        <v>PAPPARELLA PIZZARIA</v>
      </c>
      <c r="B162" s="4">
        <f>IFERROR(__xludf.DUMMYFUNCTION("""COMPUTED_VALUE"""),3.0)</f>
        <v>3</v>
      </c>
      <c r="C162" s="30">
        <f>IFERROR(__xludf.DUMMYFUNCTION("""COMPUTED_VALUE"""),64.0)</f>
        <v>64</v>
      </c>
      <c r="D162" s="4" t="str">
        <f>IFERROR(__xludf.DUMMYFUNCTION("""COMPUTED_VALUE"""),"Fast Casual - Pizzaria")</f>
        <v>Fast Casual - Pizzaria</v>
      </c>
      <c r="E162" s="4" t="str">
        <f>IFERROR(__xludf.DUMMYFUNCTION("""COMPUTED_VALUE"""),"Interior SP")</f>
        <v>Interior SP</v>
      </c>
      <c r="F162" s="4" t="str">
        <f>IFERROR(__xludf.DUMMYFUNCTION("""COMPUTED_VALUE"""),"Dado não disponível publicamente - Necessário Discovery")</f>
        <v>Dado não disponível publicamente - Necessário Discovery</v>
      </c>
      <c r="G162" s="4">
        <f>IFERROR(__xludf.DUMMYFUNCTION("""COMPUTED_VALUE"""),65.0)</f>
        <v>65</v>
      </c>
      <c r="H162" s="31">
        <f>IFERROR(__xludf.DUMMYFUNCTION("""COMPUTED_VALUE"""),0.75)</f>
        <v>0.75</v>
      </c>
      <c r="I16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62" s="4" t="str">
        <f>IFERROR(__xludf.DUMMYFUNCTION("""COMPUTED_VALUE"""),"TT BURGER")</f>
        <v>TT BURGER</v>
      </c>
      <c r="L162" s="32">
        <f>IFERROR(__xludf.DUMMYFUNCTION("""COMPUTED_VALUE"""),53.0)</f>
        <v>53</v>
      </c>
      <c r="M162" s="4" t="str">
        <f>IFERROR(__xludf.DUMMYFUNCTION("""COMPUTED_VALUE"""),"Stone Co.")</f>
        <v>Stone Co.</v>
      </c>
      <c r="N162" s="33">
        <f>IFERROR(__xludf.DUMMYFUNCTION("""COMPUTED_VALUE"""),0.9811320754716981)</f>
        <v>0.9811320755</v>
      </c>
      <c r="O162" s="4" t="str">
        <f>IFERROR(__xludf.DUMMYFUNCTION("""COMPUTED_VALUE"""),"Stone Co.")</f>
        <v>Stone Co.</v>
      </c>
      <c r="P162" s="33">
        <f>IFERROR(__xludf.DUMMYFUNCTION("""COMPUTED_VALUE"""),0.9622641509433962)</f>
        <v>0.9622641509</v>
      </c>
      <c r="Q162" s="4" t="str">
        <f>IFERROR(__xludf.DUMMYFUNCTION("""COMPUTED_VALUE"""),"Stone Co.")</f>
        <v>Stone Co.</v>
      </c>
      <c r="R162" s="33">
        <f>IFERROR(__xludf.DUMMYFUNCTION("""COMPUTED_VALUE"""),0.9056603773584906)</f>
        <v>0.9056603774</v>
      </c>
      <c r="S162" s="4" t="str">
        <f>IFERROR(__xludf.DUMMYFUNCTION("""COMPUTED_VALUE"""),"Stone Co.")</f>
        <v>Stone Co.</v>
      </c>
      <c r="T162" s="33">
        <f>IFERROR(__xludf.DUMMYFUNCTION("""COMPUTED_VALUE"""),0.9245283018867925)</f>
        <v>0.9245283019</v>
      </c>
      <c r="U162" s="4" t="str">
        <f>IFERROR(__xludf.DUMMYFUNCTION("""COMPUTED_VALUE"""),"Stone Co.")</f>
        <v>Stone Co.</v>
      </c>
      <c r="V162" s="33">
        <f>IFERROR(__xludf.DUMMYFUNCTION("""COMPUTED_VALUE"""),0.8867924528301887)</f>
        <v>0.8867924528</v>
      </c>
      <c r="W162" s="4" t="str">
        <f>IFERROR(__xludf.DUMMYFUNCTION("""COMPUTED_VALUE"""),"Stone Co.")</f>
        <v>Stone Co.</v>
      </c>
      <c r="X162" s="33">
        <f>IFERROR(__xludf.DUMMYFUNCTION("""COMPUTED_VALUE"""),0.8679245283018868)</f>
        <v>0.8679245283</v>
      </c>
    </row>
    <row r="163">
      <c r="A163" s="4" t="str">
        <f>IFERROR(__xludf.DUMMYFUNCTION("""COMPUTED_VALUE"""),"PARMEGIANNO")</f>
        <v>PARMEGIANNO</v>
      </c>
      <c r="B163" s="4">
        <f>IFERROR(__xludf.DUMMYFUNCTION("""COMPUTED_VALUE"""),5.0)</f>
        <v>5</v>
      </c>
      <c r="C163" s="30">
        <f>IFERROR(__xludf.DUMMYFUNCTION("""COMPUTED_VALUE"""),56.0)</f>
        <v>56</v>
      </c>
      <c r="D163" s="4" t="str">
        <f>IFERROR(__xludf.DUMMYFUNCTION("""COMPUTED_VALUE"""),"Fast Casual - Multi-conceito")</f>
        <v>Fast Casual - Multi-conceito</v>
      </c>
      <c r="E163" s="4" t="str">
        <f>IFERROR(__xludf.DUMMYFUNCTION("""COMPUTED_VALUE"""),"Nordeste")</f>
        <v>Nordeste</v>
      </c>
      <c r="F163" s="4" t="str">
        <f>IFERROR(__xludf.DUMMYFUNCTION("""COMPUTED_VALUE"""),"Dado não disponível publicamente - Necessário Discovery")</f>
        <v>Dado não disponível publicamente - Necessário Discovery</v>
      </c>
      <c r="G163" s="4">
        <f>IFERROR(__xludf.DUMMYFUNCTION("""COMPUTED_VALUE"""),70.0)</f>
        <v>70</v>
      </c>
      <c r="H163" s="31">
        <f>IFERROR(__xludf.DUMMYFUNCTION("""COMPUTED_VALUE"""),0.75)</f>
        <v>0.75</v>
      </c>
      <c r="I16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63" s="4" t="str">
        <f>IFERROR(__xludf.DUMMYFUNCTION("""COMPUTED_VALUE"""),"SA ALEXANDRIA")</f>
        <v>SA ALEXANDRIA</v>
      </c>
      <c r="L163" s="32">
        <f>IFERROR(__xludf.DUMMYFUNCTION("""COMPUTED_VALUE"""),52.0)</f>
        <v>52</v>
      </c>
      <c r="M163" s="4" t="str">
        <f>IFERROR(__xludf.DUMMYFUNCTION("""COMPUTED_VALUE"""),"Algoritma Sistemas De Software Ltda")</f>
        <v>Algoritma Sistemas De Software Ltda</v>
      </c>
      <c r="N163" s="33">
        <f>IFERROR(__xludf.DUMMYFUNCTION("""COMPUTED_VALUE"""),0.5384615384615384)</f>
        <v>0.5384615385</v>
      </c>
      <c r="O163" s="4" t="str">
        <f>IFERROR(__xludf.DUMMYFUNCTION("""COMPUTED_VALUE"""),"Algoritma Sistemas De Software Ltda")</f>
        <v>Algoritma Sistemas De Software Ltda</v>
      </c>
      <c r="P163" s="33">
        <f>IFERROR(__xludf.DUMMYFUNCTION("""COMPUTED_VALUE"""),0.4423076923076923)</f>
        <v>0.4423076923</v>
      </c>
      <c r="Q163" s="4" t="str">
        <f>IFERROR(__xludf.DUMMYFUNCTION("""COMPUTED_VALUE"""),"Algoritma Sistemas De Software Ltda")</f>
        <v>Algoritma Sistemas De Software Ltda</v>
      </c>
      <c r="R163" s="33">
        <f>IFERROR(__xludf.DUMMYFUNCTION("""COMPUTED_VALUE"""),0.5384615384615384)</f>
        <v>0.5384615385</v>
      </c>
      <c r="S163" s="4" t="str">
        <f>IFERROR(__xludf.DUMMYFUNCTION("""COMPUTED_VALUE"""),"Algoritma Sistemas De Software Ltda")</f>
        <v>Algoritma Sistemas De Software Ltda</v>
      </c>
      <c r="T163" s="33">
        <f>IFERROR(__xludf.DUMMYFUNCTION("""COMPUTED_VALUE"""),0.5)</f>
        <v>0.5</v>
      </c>
      <c r="U163" s="4" t="str">
        <f>IFERROR(__xludf.DUMMYFUNCTION("""COMPUTED_VALUE"""),"Algoritma Sistemas De Software Ltda")</f>
        <v>Algoritma Sistemas De Software Ltda</v>
      </c>
      <c r="V163" s="33">
        <f>IFERROR(__xludf.DUMMYFUNCTION("""COMPUTED_VALUE"""),0.5576923076923077)</f>
        <v>0.5576923077</v>
      </c>
      <c r="W163" s="4" t="str">
        <f>IFERROR(__xludf.DUMMYFUNCTION("""COMPUTED_VALUE"""),"Algoritma Sistemas De Software Ltda")</f>
        <v>Algoritma Sistemas De Software Ltda</v>
      </c>
      <c r="X163" s="33">
        <f>IFERROR(__xludf.DUMMYFUNCTION("""COMPUTED_VALUE"""),0.6538461538461539)</f>
        <v>0.6538461538</v>
      </c>
    </row>
    <row r="164">
      <c r="A164" s="4" t="str">
        <f>IFERROR(__xludf.DUMMYFUNCTION("""COMPUTED_VALUE"""),"PASTÉIS DE VENTO CIA")</f>
        <v>PASTÉIS DE VENTO CIA</v>
      </c>
      <c r="B164" s="4">
        <f>IFERROR(__xludf.DUMMYFUNCTION("""COMPUTED_VALUE"""),2.0)</f>
        <v>2</v>
      </c>
      <c r="C164" s="30">
        <f>IFERROR(__xludf.DUMMYFUNCTION("""COMPUTED_VALUE"""),50.0)</f>
        <v>50</v>
      </c>
      <c r="D164" s="4" t="str">
        <f>IFERROR(__xludf.DUMMYFUNCTION("""COMPUTED_VALUE"""),"Fast Casual - Multi-conceito")</f>
        <v>Fast Casual - Multi-conceito</v>
      </c>
      <c r="E164" s="4" t="str">
        <f>IFERROR(__xludf.DUMMYFUNCTION("""COMPUTED_VALUE"""),"Nordeste")</f>
        <v>Nordeste</v>
      </c>
      <c r="F164" s="4" t="str">
        <f>IFERROR(__xludf.DUMMYFUNCTION("""COMPUTED_VALUE"""),"Dado não disponível publicamente - Necessário Discovery")</f>
        <v>Dado não disponível publicamente - Necessário Discovery</v>
      </c>
      <c r="G164" s="4">
        <f>IFERROR(__xludf.DUMMYFUNCTION("""COMPUTED_VALUE"""),65.0)</f>
        <v>65</v>
      </c>
      <c r="H164" s="31">
        <f>IFERROR(__xludf.DUMMYFUNCTION("""COMPUTED_VALUE"""),0.75)</f>
        <v>0.75</v>
      </c>
      <c r="I16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64" s="4" t="str">
        <f>IFERROR(__xludf.DUMMYFUNCTION("""COMPUTED_VALUE"""),"ROBINFOOD")</f>
        <v>ROBINFOOD</v>
      </c>
      <c r="L164" s="32">
        <f>IFERROR(__xludf.DUMMYFUNCTION("""COMPUTED_VALUE"""),52.0)</f>
        <v>52</v>
      </c>
      <c r="M164" s="4" t="str">
        <f>IFERROR(__xludf.DUMMYFUNCTION("""COMPUTED_VALUE"""),"Robinfood Brasil Holding Ltda")</f>
        <v>Robinfood Brasil Holding Ltda</v>
      </c>
      <c r="N164" s="33">
        <f>IFERROR(__xludf.DUMMYFUNCTION("""COMPUTED_VALUE"""),0.9807692307692307)</f>
        <v>0.9807692308</v>
      </c>
      <c r="O164" s="4" t="str">
        <f>IFERROR(__xludf.DUMMYFUNCTION("""COMPUTED_VALUE"""),"Robinfood Brasil Holding Ltda")</f>
        <v>Robinfood Brasil Holding Ltda</v>
      </c>
      <c r="P164" s="33">
        <f>IFERROR(__xludf.DUMMYFUNCTION("""COMPUTED_VALUE"""),1.0)</f>
        <v>1</v>
      </c>
      <c r="Q164" s="4" t="str">
        <f>IFERROR(__xludf.DUMMYFUNCTION("""COMPUTED_VALUE"""),"Robinfood Brasil Holding Ltda")</f>
        <v>Robinfood Brasil Holding Ltda</v>
      </c>
      <c r="R164" s="33">
        <f>IFERROR(__xludf.DUMMYFUNCTION("""COMPUTED_VALUE"""),0.9615384615384616)</f>
        <v>0.9615384615</v>
      </c>
      <c r="S164" s="4" t="str">
        <f>IFERROR(__xludf.DUMMYFUNCTION("""COMPUTED_VALUE"""),"Robinfood Brasil Holding Ltda")</f>
        <v>Robinfood Brasil Holding Ltda</v>
      </c>
      <c r="T164" s="33">
        <f>IFERROR(__xludf.DUMMYFUNCTION("""COMPUTED_VALUE"""),0.9807692307692307)</f>
        <v>0.9807692308</v>
      </c>
      <c r="U164" s="4" t="str">
        <f>IFERROR(__xludf.DUMMYFUNCTION("""COMPUTED_VALUE"""),"Robinfood Brasil Holding Ltda")</f>
        <v>Robinfood Brasil Holding Ltda</v>
      </c>
      <c r="V164" s="33">
        <f>IFERROR(__xludf.DUMMYFUNCTION("""COMPUTED_VALUE"""),0.7884615384615384)</f>
        <v>0.7884615385</v>
      </c>
      <c r="W164" s="4" t="str">
        <f>IFERROR(__xludf.DUMMYFUNCTION("""COMPUTED_VALUE"""),"Saipos Serviços De Software")</f>
        <v>Saipos Serviços De Software</v>
      </c>
      <c r="X164" s="33">
        <f>IFERROR(__xludf.DUMMYFUNCTION("""COMPUTED_VALUE"""),0.9615384615384616)</f>
        <v>0.9615384615</v>
      </c>
    </row>
    <row r="165">
      <c r="A165" s="4" t="str">
        <f>IFERROR(__xludf.DUMMYFUNCTION("""COMPUTED_VALUE"""),"PASTEL CHEFINHOS")</f>
        <v>PASTEL CHEFINHOS</v>
      </c>
      <c r="B165" s="4">
        <f>IFERROR(__xludf.DUMMYFUNCTION("""COMPUTED_VALUE"""),3.0)</f>
        <v>3</v>
      </c>
      <c r="C165" s="30">
        <f>IFERROR(__xludf.DUMMYFUNCTION("""COMPUTED_VALUE"""),24.0)</f>
        <v>24</v>
      </c>
      <c r="D165" s="4" t="str">
        <f>IFERROR(__xludf.DUMMYFUNCTION("""COMPUTED_VALUE"""),"QSR - Pastelaria")</f>
        <v>QSR - Pastelaria</v>
      </c>
      <c r="E165" s="4" t="str">
        <f>IFERROR(__xludf.DUMMYFUNCTION("""COMPUTED_VALUE"""),"Interior SP")</f>
        <v>Interior SP</v>
      </c>
      <c r="F165" s="4" t="str">
        <f>IFERROR(__xludf.DUMMYFUNCTION("""COMPUTED_VALUE"""),"Dado não disponível publicamente - Necessário Discovery")</f>
        <v>Dado não disponível publicamente - Necessário Discovery</v>
      </c>
      <c r="G165" s="4">
        <f>IFERROR(__xludf.DUMMYFUNCTION("""COMPUTED_VALUE"""),65.0)</f>
        <v>65</v>
      </c>
      <c r="H165" s="31">
        <f>IFERROR(__xludf.DUMMYFUNCTION("""COMPUTED_VALUE"""),0.85)</f>
        <v>0.85</v>
      </c>
      <c r="I165"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165" s="4" t="str">
        <f>IFERROR(__xludf.DUMMYFUNCTION("""COMPUTED_VALUE"""),"DENGO CHOCOLATES")</f>
        <v>DENGO CHOCOLATES</v>
      </c>
      <c r="L165" s="32">
        <f>IFERROR(__xludf.DUMMYFUNCTION("""COMPUTED_VALUE"""),52.0)</f>
        <v>52</v>
      </c>
      <c r="M165" s="4" t="str">
        <f>IFERROR(__xludf.DUMMYFUNCTION("""COMPUTED_VALUE"""),"Ciss S.a Gestao Para O Varejo")</f>
        <v>Ciss S.a Gestao Para O Varejo</v>
      </c>
      <c r="N165" s="33">
        <f>IFERROR(__xludf.DUMMYFUNCTION("""COMPUTED_VALUE"""),0.9423076923076923)</f>
        <v>0.9423076923</v>
      </c>
      <c r="O165" s="4" t="str">
        <f>IFERROR(__xludf.DUMMYFUNCTION("""COMPUTED_VALUE"""),"Ciss S.a Gestao Para O Varejo")</f>
        <v>Ciss S.a Gestao Para O Varejo</v>
      </c>
      <c r="P165" s="33">
        <f>IFERROR(__xludf.DUMMYFUNCTION("""COMPUTED_VALUE"""),0.9615384615384616)</f>
        <v>0.9615384615</v>
      </c>
      <c r="Q165" s="4" t="str">
        <f>IFERROR(__xludf.DUMMYFUNCTION("""COMPUTED_VALUE"""),"Ciss S.a Gestao Para O Varejo")</f>
        <v>Ciss S.a Gestao Para O Varejo</v>
      </c>
      <c r="R165" s="33">
        <f>IFERROR(__xludf.DUMMYFUNCTION("""COMPUTED_VALUE"""),0.8461538461538461)</f>
        <v>0.8461538462</v>
      </c>
      <c r="S165" s="4" t="str">
        <f>IFERROR(__xludf.DUMMYFUNCTION("""COMPUTED_VALUE"""),"Ciss S.a Gestao Para O Varejo")</f>
        <v>Ciss S.a Gestao Para O Varejo</v>
      </c>
      <c r="T165" s="33">
        <f>IFERROR(__xludf.DUMMYFUNCTION("""COMPUTED_VALUE"""),0.8653846153846154)</f>
        <v>0.8653846154</v>
      </c>
      <c r="U165" s="4" t="str">
        <f>IFERROR(__xludf.DUMMYFUNCTION("""COMPUTED_VALUE"""),"Ciss S.a Gestao Para O Varejo")</f>
        <v>Ciss S.a Gestao Para O Varejo</v>
      </c>
      <c r="V165" s="33">
        <f>IFERROR(__xludf.DUMMYFUNCTION("""COMPUTED_VALUE"""),0.9230769230769231)</f>
        <v>0.9230769231</v>
      </c>
      <c r="W165" s="4" t="str">
        <f>IFERROR(__xludf.DUMMYFUNCTION("""COMPUTED_VALUE"""),"Ciss S.a Gestao Para O Varejo")</f>
        <v>Ciss S.a Gestao Para O Varejo</v>
      </c>
      <c r="X165" s="33">
        <f>IFERROR(__xludf.DUMMYFUNCTION("""COMPUTED_VALUE"""),0.9230769230769231)</f>
        <v>0.9230769231</v>
      </c>
    </row>
    <row r="166">
      <c r="A166" s="4" t="str">
        <f>IFERROR(__xludf.DUMMYFUNCTION("""COMPUTED_VALUE"""),"PASTEL E YAKISSOBA DA MI")</f>
        <v>PASTEL E YAKISSOBA DA MI</v>
      </c>
      <c r="B166" s="4">
        <f>IFERROR(__xludf.DUMMYFUNCTION("""COMPUTED_VALUE"""),8.0)</f>
        <v>8</v>
      </c>
      <c r="C166" s="30">
        <f>IFERROR(__xludf.DUMMYFUNCTION("""COMPUTED_VALUE"""),26.0)</f>
        <v>26</v>
      </c>
      <c r="D166" s="4" t="str">
        <f>IFERROR(__xludf.DUMMYFUNCTION("""COMPUTED_VALUE"""),"QSR - Pastelaria")</f>
        <v>QSR - Pastelaria</v>
      </c>
      <c r="E166" s="4" t="str">
        <f>IFERROR(__xludf.DUMMYFUNCTION("""COMPUTED_VALUE"""),"Brasília/DF")</f>
        <v>Brasília/DF</v>
      </c>
      <c r="F166" s="4" t="str">
        <f>IFERROR(__xludf.DUMMYFUNCTION("""COMPUTED_VALUE"""),"Dado não disponível publicamente - Necessário Discovery")</f>
        <v>Dado não disponível publicamente - Necessário Discovery</v>
      </c>
      <c r="G166" s="4">
        <f>IFERROR(__xludf.DUMMYFUNCTION("""COMPUTED_VALUE"""),70.0)</f>
        <v>70</v>
      </c>
      <c r="H166" s="31">
        <f>IFERROR(__xludf.DUMMYFUNCTION("""COMPUTED_VALUE"""),0.85)</f>
        <v>0.85</v>
      </c>
      <c r="I166"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166" s="4" t="str">
        <f>IFERROR(__xludf.DUMMYFUNCTION("""COMPUTED_VALUE"""),"GRUPO IMPETTUS")</f>
        <v>GRUPO IMPETTUS</v>
      </c>
      <c r="L166" s="32">
        <f>IFERROR(__xludf.DUMMYFUNCTION("""COMPUTED_VALUE"""),51.0)</f>
        <v>51</v>
      </c>
      <c r="M166" s="4" t="str">
        <f>IFERROR(__xludf.DUMMYFUNCTION("""COMPUTED_VALUE"""),"Stone Co.")</f>
        <v>Stone Co.</v>
      </c>
      <c r="N166" s="33">
        <f>IFERROR(__xludf.DUMMYFUNCTION("""COMPUTED_VALUE"""),0.5882352941176471)</f>
        <v>0.5882352941</v>
      </c>
      <c r="O166" s="4" t="str">
        <f>IFERROR(__xludf.DUMMYFUNCTION("""COMPUTED_VALUE"""),"Stone Co.")</f>
        <v>Stone Co.</v>
      </c>
      <c r="P166" s="33">
        <f>IFERROR(__xludf.DUMMYFUNCTION("""COMPUTED_VALUE"""),0.6078431372549019)</f>
        <v>0.6078431373</v>
      </c>
      <c r="Q166" s="4" t="str">
        <f>IFERROR(__xludf.DUMMYFUNCTION("""COMPUTED_VALUE"""),"Stone Co.")</f>
        <v>Stone Co.</v>
      </c>
      <c r="R166" s="33">
        <f>IFERROR(__xludf.DUMMYFUNCTION("""COMPUTED_VALUE"""),0.5490196078431373)</f>
        <v>0.5490196078</v>
      </c>
      <c r="S166" s="4" t="str">
        <f>IFERROR(__xludf.DUMMYFUNCTION("""COMPUTED_VALUE"""),"Stone Co.")</f>
        <v>Stone Co.</v>
      </c>
      <c r="T166" s="33">
        <f>IFERROR(__xludf.DUMMYFUNCTION("""COMPUTED_VALUE"""),0.5098039215686274)</f>
        <v>0.5098039216</v>
      </c>
      <c r="U166" s="4" t="str">
        <f>IFERROR(__xludf.DUMMYFUNCTION("""COMPUTED_VALUE"""),"Stone Co.")</f>
        <v>Stone Co.</v>
      </c>
      <c r="V166" s="33">
        <f>IFERROR(__xludf.DUMMYFUNCTION("""COMPUTED_VALUE"""),0.6274509803921569)</f>
        <v>0.6274509804</v>
      </c>
      <c r="W166" s="4" t="str">
        <f>IFERROR(__xludf.DUMMYFUNCTION("""COMPUTED_VALUE"""),"Stone Co.")</f>
        <v>Stone Co.</v>
      </c>
      <c r="X166" s="33">
        <f>IFERROR(__xludf.DUMMYFUNCTION("""COMPUTED_VALUE"""),0.6666666666666666)</f>
        <v>0.6666666667</v>
      </c>
    </row>
    <row r="167">
      <c r="A167" s="4" t="str">
        <f>IFERROR(__xludf.DUMMYFUNCTION("""COMPUTED_VALUE"""),"PATI POKE POKE")</f>
        <v>PATI POKE POKE</v>
      </c>
      <c r="B167" s="4">
        <f>IFERROR(__xludf.DUMMYFUNCTION("""COMPUTED_VALUE"""),3.0)</f>
        <v>3</v>
      </c>
      <c r="C167" s="30">
        <f>IFERROR(__xludf.DUMMYFUNCTION("""COMPUTED_VALUE"""),32.0)</f>
        <v>32</v>
      </c>
      <c r="D167" s="4" t="str">
        <f>IFERROR(__xludf.DUMMYFUNCTION("""COMPUTED_VALUE"""),"QSR - Açaí/Poke")</f>
        <v>QSR - Açaí/Poke</v>
      </c>
      <c r="E167" s="4" t="str">
        <f>IFERROR(__xludf.DUMMYFUNCTION("""COMPUTED_VALUE"""),"Nacional")</f>
        <v>Nacional</v>
      </c>
      <c r="F167" s="4" t="str">
        <f>IFERROR(__xludf.DUMMYFUNCTION("""COMPUTED_VALUE"""),"Dado não disponível publicamente - Necessário Discovery")</f>
        <v>Dado não disponível publicamente - Necessário Discovery</v>
      </c>
      <c r="G167" s="4">
        <f>IFERROR(__xludf.DUMMYFUNCTION("""COMPUTED_VALUE"""),65.0)</f>
        <v>65</v>
      </c>
      <c r="H167" s="31">
        <f>IFERROR(__xludf.DUMMYFUNCTION("""COMPUTED_VALUE"""),0.85)</f>
        <v>0.85</v>
      </c>
      <c r="I167"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167" s="4" t="str">
        <f>IFERROR(__xludf.DUMMYFUNCTION("""COMPUTED_VALUE"""),"SUSHI JAPA CHAN LOURDES")</f>
        <v>SUSHI JAPA CHAN LOURDES</v>
      </c>
      <c r="L167" s="32">
        <f>IFERROR(__xludf.DUMMYFUNCTION("""COMPUTED_VALUE"""),51.0)</f>
        <v>51</v>
      </c>
      <c r="M167" s="4" t="str">
        <f>IFERROR(__xludf.DUMMYFUNCTION("""COMPUTED_VALUE"""),"Saipos Serviços De Software")</f>
        <v>Saipos Serviços De Software</v>
      </c>
      <c r="N167" s="33">
        <f>IFERROR(__xludf.DUMMYFUNCTION("""COMPUTED_VALUE"""),0.9607843137254902)</f>
        <v>0.9607843137</v>
      </c>
      <c r="O167" s="4" t="str">
        <f>IFERROR(__xludf.DUMMYFUNCTION("""COMPUTED_VALUE"""),"Saipos Serviços De Software")</f>
        <v>Saipos Serviços De Software</v>
      </c>
      <c r="P167" s="33">
        <f>IFERROR(__xludf.DUMMYFUNCTION("""COMPUTED_VALUE"""),0.9607843137254902)</f>
        <v>0.9607843137</v>
      </c>
      <c r="Q167" s="4" t="str">
        <f>IFERROR(__xludf.DUMMYFUNCTION("""COMPUTED_VALUE"""),"Saipos Serviços De Software")</f>
        <v>Saipos Serviços De Software</v>
      </c>
      <c r="R167" s="33">
        <f>IFERROR(__xludf.DUMMYFUNCTION("""COMPUTED_VALUE"""),0.9607843137254902)</f>
        <v>0.9607843137</v>
      </c>
      <c r="S167" s="4" t="str">
        <f>IFERROR(__xludf.DUMMYFUNCTION("""COMPUTED_VALUE"""),"Saipos Serviços De Software")</f>
        <v>Saipos Serviços De Software</v>
      </c>
      <c r="T167" s="33">
        <f>IFERROR(__xludf.DUMMYFUNCTION("""COMPUTED_VALUE"""),0.9411764705882353)</f>
        <v>0.9411764706</v>
      </c>
      <c r="U167" s="4" t="str">
        <f>IFERROR(__xludf.DUMMYFUNCTION("""COMPUTED_VALUE"""),"Saipos Serviços De Software")</f>
        <v>Saipos Serviços De Software</v>
      </c>
      <c r="V167" s="33">
        <f>IFERROR(__xludf.DUMMYFUNCTION("""COMPUTED_VALUE"""),0.6078431372549019)</f>
        <v>0.6078431373</v>
      </c>
      <c r="W167" s="4" t="str">
        <f>IFERROR(__xludf.DUMMYFUNCTION("""COMPUTED_VALUE"""),"Saipos Serviços De Software")</f>
        <v>Saipos Serviços De Software</v>
      </c>
      <c r="X167" s="33">
        <f>IFERROR(__xludf.DUMMYFUNCTION("""COMPUTED_VALUE"""),0.6078431372549019)</f>
        <v>0.6078431373</v>
      </c>
    </row>
    <row r="168">
      <c r="A168" s="4" t="str">
        <f>IFERROR(__xludf.DUMMYFUNCTION("""COMPUTED_VALUE"""),"Grupo Pecora")</f>
        <v>Grupo Pecora</v>
      </c>
      <c r="B168" s="4">
        <f>IFERROR(__xludf.DUMMYFUNCTION("""COMPUTED_VALUE"""),6.0)</f>
        <v>6</v>
      </c>
      <c r="C168" s="30">
        <f>IFERROR(__xludf.DUMMYFUNCTION("""COMPUTED_VALUE"""),120.0)</f>
        <v>120</v>
      </c>
      <c r="D168" s="4" t="str">
        <f>IFERROR(__xludf.DUMMYFUNCTION("""COMPUTED_VALUE"""),"Grupo Multi-marca")</f>
        <v>Grupo Multi-marca</v>
      </c>
      <c r="E168" s="4" t="str">
        <f>IFERROR(__xludf.DUMMYFUNCTION("""COMPUTED_VALUE"""),"São Paulo/SP")</f>
        <v>São Paulo/SP</v>
      </c>
      <c r="F168" s="4" t="str">
        <f>IFERROR(__xludf.DUMMYFUNCTION("""COMPUTED_VALUE"""),"Dado não disponível publicamente - Necessário Discovery")</f>
        <v>Dado não disponível publicamente - Necessário Discovery</v>
      </c>
      <c r="G168" s="4">
        <f>IFERROR(__xludf.DUMMYFUNCTION("""COMPUTED_VALUE"""),40.0)</f>
        <v>40</v>
      </c>
      <c r="H168" s="31">
        <f>IFERROR(__xludf.DUMMYFUNCTION("""COMPUTED_VALUE"""),0.5)</f>
        <v>0.5</v>
      </c>
      <c r="I168"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168" s="4" t="str">
        <f>IFERROR(__xludf.DUMMYFUNCTION("""COMPUTED_VALUE"""),"DROGAO SUPER - CONTA PAI")</f>
        <v>DROGAO SUPER - CONTA PAI</v>
      </c>
      <c r="L168" s="32">
        <f>IFERROR(__xludf.DUMMYFUNCTION("""COMPUTED_VALUE"""),50.0)</f>
        <v>50</v>
      </c>
      <c r="M168" s="4" t="str">
        <f>IFERROR(__xludf.DUMMYFUNCTION("""COMPUTED_VALUE"""),"N/A (Not found)")</f>
        <v>N/A (Not found)</v>
      </c>
      <c r="N168" s="33">
        <f>IFERROR(__xludf.DUMMYFUNCTION("""COMPUTED_VALUE"""),0.98)</f>
        <v>0.98</v>
      </c>
      <c r="O168" s="4" t="str">
        <f>IFERROR(__xludf.DUMMYFUNCTION("""COMPUTED_VALUE"""),"N/A (Not found)")</f>
        <v>N/A (Not found)</v>
      </c>
      <c r="P168" s="33">
        <f>IFERROR(__xludf.DUMMYFUNCTION("""COMPUTED_VALUE"""),1.0)</f>
        <v>1</v>
      </c>
      <c r="Q168" s="4" t="str">
        <f>IFERROR(__xludf.DUMMYFUNCTION("""COMPUTED_VALUE"""),"N/A (Not found)")</f>
        <v>N/A (Not found)</v>
      </c>
      <c r="R168" s="33">
        <f>IFERROR(__xludf.DUMMYFUNCTION("""COMPUTED_VALUE"""),1.0)</f>
        <v>1</v>
      </c>
      <c r="S168" s="4" t="str">
        <f>IFERROR(__xludf.DUMMYFUNCTION("""COMPUTED_VALUE"""),"N/A (Not found)")</f>
        <v>N/A (Not found)</v>
      </c>
      <c r="T168" s="33">
        <f>IFERROR(__xludf.DUMMYFUNCTION("""COMPUTED_VALUE"""),1.0)</f>
        <v>1</v>
      </c>
      <c r="U168" s="4" t="str">
        <f>IFERROR(__xludf.DUMMYFUNCTION("""COMPUTED_VALUE"""),"N/A (Not found)")</f>
        <v>N/A (Not found)</v>
      </c>
      <c r="V168" s="33">
        <f>IFERROR(__xludf.DUMMYFUNCTION("""COMPUTED_VALUE"""),1.0)</f>
        <v>1</v>
      </c>
      <c r="W168" s="4" t="str">
        <f>IFERROR(__xludf.DUMMYFUNCTION("""COMPUTED_VALUE"""),"N/A (Not found)")</f>
        <v>N/A (Not found)</v>
      </c>
      <c r="X168" s="33">
        <f>IFERROR(__xludf.DUMMYFUNCTION("""COMPUTED_VALUE"""),1.0)</f>
        <v>1</v>
      </c>
    </row>
    <row r="169">
      <c r="A169" s="4" t="str">
        <f>IFERROR(__xludf.DUMMYFUNCTION("""COMPUTED_VALUE"""),"PEIXE NA REDE")</f>
        <v>PEIXE NA REDE</v>
      </c>
      <c r="B169" s="4">
        <f>IFERROR(__xludf.DUMMYFUNCTION("""COMPUTED_VALUE"""),2.0)</f>
        <v>2</v>
      </c>
      <c r="C169" s="30">
        <f>IFERROR(__xludf.DUMMYFUNCTION("""COMPUTED_VALUE"""),84.0)</f>
        <v>84</v>
      </c>
      <c r="D169" s="4" t="str">
        <f>IFERROR(__xludf.DUMMYFUNCTION("""COMPUTED_VALUE"""),"Fast Casual - Frutos do Mar")</f>
        <v>Fast Casual - Frutos do Mar</v>
      </c>
      <c r="E169" s="4" t="str">
        <f>IFERROR(__xludf.DUMMYFUNCTION("""COMPUTED_VALUE"""),"Regional")</f>
        <v>Regional</v>
      </c>
      <c r="F169" s="4" t="str">
        <f>IFERROR(__xludf.DUMMYFUNCTION("""COMPUTED_VALUE"""),"Dado não disponível publicamente - Necessário Discovery")</f>
        <v>Dado não disponível publicamente - Necessário Discovery</v>
      </c>
      <c r="G169" s="4">
        <f>IFERROR(__xludf.DUMMYFUNCTION("""COMPUTED_VALUE"""),65.0)</f>
        <v>65</v>
      </c>
      <c r="H169" s="31">
        <f>IFERROR(__xludf.DUMMYFUNCTION("""COMPUTED_VALUE"""),0.75)</f>
        <v>0.75</v>
      </c>
      <c r="I16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69" s="4" t="str">
        <f>IFERROR(__xludf.DUMMYFUNCTION("""COMPUTED_VALUE"""),"ROTA88")</f>
        <v>ROTA88</v>
      </c>
      <c r="L169" s="32">
        <f>IFERROR(__xludf.DUMMYFUNCTION("""COMPUTED_VALUE"""),49.0)</f>
        <v>49</v>
      </c>
      <c r="M169" s="4" t="str">
        <f>IFERROR(__xludf.DUMMYFUNCTION("""COMPUTED_VALUE"""),"Saipos Serviços De Software")</f>
        <v>Saipos Serviços De Software</v>
      </c>
      <c r="N169" s="33">
        <f>IFERROR(__xludf.DUMMYFUNCTION("""COMPUTED_VALUE"""),0.9387755102040817)</f>
        <v>0.9387755102</v>
      </c>
      <c r="O169" s="4" t="str">
        <f>IFERROR(__xludf.DUMMYFUNCTION("""COMPUTED_VALUE"""),"Saipos Serviços De Software")</f>
        <v>Saipos Serviços De Software</v>
      </c>
      <c r="P169" s="33">
        <f>IFERROR(__xludf.DUMMYFUNCTION("""COMPUTED_VALUE"""),0.9591836734693877)</f>
        <v>0.9591836735</v>
      </c>
      <c r="Q169" s="4" t="str">
        <f>IFERROR(__xludf.DUMMYFUNCTION("""COMPUTED_VALUE"""),"Saipos Serviços De Software")</f>
        <v>Saipos Serviços De Software</v>
      </c>
      <c r="R169" s="33">
        <f>IFERROR(__xludf.DUMMYFUNCTION("""COMPUTED_VALUE"""),0.9591836734693877)</f>
        <v>0.9591836735</v>
      </c>
      <c r="S169" s="4" t="str">
        <f>IFERROR(__xludf.DUMMYFUNCTION("""COMPUTED_VALUE"""),"Saipos Serviços De Software")</f>
        <v>Saipos Serviços De Software</v>
      </c>
      <c r="T169" s="33">
        <f>IFERROR(__xludf.DUMMYFUNCTION("""COMPUTED_VALUE"""),0.9591836734693877)</f>
        <v>0.9591836735</v>
      </c>
      <c r="U169" s="4" t="str">
        <f>IFERROR(__xludf.DUMMYFUNCTION("""COMPUTED_VALUE"""),"Saipos Serviços De Software")</f>
        <v>Saipos Serviços De Software</v>
      </c>
      <c r="V169" s="33">
        <f>IFERROR(__xludf.DUMMYFUNCTION("""COMPUTED_VALUE"""),0.9591836734693877)</f>
        <v>0.9591836735</v>
      </c>
      <c r="W169" s="4" t="str">
        <f>IFERROR(__xludf.DUMMYFUNCTION("""COMPUTED_VALUE"""),"Saipos Serviços De Software")</f>
        <v>Saipos Serviços De Software</v>
      </c>
      <c r="X169" s="33">
        <f>IFERROR(__xludf.DUMMYFUNCTION("""COMPUTED_VALUE"""),0.8979591836734694)</f>
        <v>0.8979591837</v>
      </c>
    </row>
    <row r="170">
      <c r="A170" s="4" t="str">
        <f>IFERROR(__xludf.DUMMYFUNCTION("""COMPUTED_VALUE"""),"PETISKOZ")</f>
        <v>PETISKOZ</v>
      </c>
      <c r="B170" s="4">
        <f>IFERROR(__xludf.DUMMYFUNCTION("""COMPUTED_VALUE"""),5.0)</f>
        <v>5</v>
      </c>
      <c r="C170" s="30">
        <f>IFERROR(__xludf.DUMMYFUNCTION("""COMPUTED_VALUE"""),64.0)</f>
        <v>64</v>
      </c>
      <c r="D170" s="4" t="str">
        <f>IFERROR(__xludf.DUMMYFUNCTION("""COMPUTED_VALUE"""),"Fast Casual - Multi-conceito")</f>
        <v>Fast Casual - Multi-conceito</v>
      </c>
      <c r="E170" s="4" t="str">
        <f>IFERROR(__xludf.DUMMYFUNCTION("""COMPUTED_VALUE"""),"Regional")</f>
        <v>Regional</v>
      </c>
      <c r="F170" s="4" t="str">
        <f>IFERROR(__xludf.DUMMYFUNCTION("""COMPUTED_VALUE"""),"Dado não disponível publicamente - Necessário Discovery")</f>
        <v>Dado não disponível publicamente - Necessário Discovery</v>
      </c>
      <c r="G170" s="4">
        <f>IFERROR(__xludf.DUMMYFUNCTION("""COMPUTED_VALUE"""),70.0)</f>
        <v>70</v>
      </c>
      <c r="H170" s="31">
        <f>IFERROR(__xludf.DUMMYFUNCTION("""COMPUTED_VALUE"""),0.75)</f>
        <v>0.75</v>
      </c>
      <c r="I17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70" s="4" t="str">
        <f>IFERROR(__xludf.DUMMYFUNCTION("""COMPUTED_VALUE"""),"10 PASTEIS OFICIAL - CONTA MARCA")</f>
        <v>10 PASTEIS OFICIAL - CONTA MARCA</v>
      </c>
      <c r="L170" s="32">
        <f>IFERROR(__xludf.DUMMYFUNCTION("""COMPUTED_VALUE"""),49.0)</f>
        <v>49</v>
      </c>
      <c r="M170" s="4" t="str">
        <f>IFERROR(__xludf.DUMMYFUNCTION("""COMPUTED_VALUE"""),"Stone Co.")</f>
        <v>Stone Co.</v>
      </c>
      <c r="N170" s="33">
        <f>IFERROR(__xludf.DUMMYFUNCTION("""COMPUTED_VALUE"""),0.46938775510204084)</f>
        <v>0.4693877551</v>
      </c>
      <c r="O170" s="4" t="str">
        <f>IFERROR(__xludf.DUMMYFUNCTION("""COMPUTED_VALUE"""),"Stone Co.")</f>
        <v>Stone Co.</v>
      </c>
      <c r="P170" s="33">
        <f>IFERROR(__xludf.DUMMYFUNCTION("""COMPUTED_VALUE"""),0.4489795918367347)</f>
        <v>0.4489795918</v>
      </c>
      <c r="Q170" s="4" t="str">
        <f>IFERROR(__xludf.DUMMYFUNCTION("""COMPUTED_VALUE"""),"Stone Co.")</f>
        <v>Stone Co.</v>
      </c>
      <c r="R170" s="33">
        <f>IFERROR(__xludf.DUMMYFUNCTION("""COMPUTED_VALUE"""),0.4489795918367347)</f>
        <v>0.4489795918</v>
      </c>
      <c r="S170" s="4" t="str">
        <f>IFERROR(__xludf.DUMMYFUNCTION("""COMPUTED_VALUE"""),"Stone Co.")</f>
        <v>Stone Co.</v>
      </c>
      <c r="T170" s="33">
        <f>IFERROR(__xludf.DUMMYFUNCTION("""COMPUTED_VALUE"""),0.40816326530612246)</f>
        <v>0.4081632653</v>
      </c>
      <c r="U170" s="4" t="str">
        <f>IFERROR(__xludf.DUMMYFUNCTION("""COMPUTED_VALUE"""),"Stone Co.")</f>
        <v>Stone Co.</v>
      </c>
      <c r="V170" s="33">
        <f>IFERROR(__xludf.DUMMYFUNCTION("""COMPUTED_VALUE"""),0.40816326530612246)</f>
        <v>0.4081632653</v>
      </c>
      <c r="W170" s="4" t="str">
        <f>IFERROR(__xludf.DUMMYFUNCTION("""COMPUTED_VALUE"""),"Stone Co.")</f>
        <v>Stone Co.</v>
      </c>
      <c r="X170" s="33">
        <f>IFERROR(__xludf.DUMMYFUNCTION("""COMPUTED_VALUE"""),0.3877551020408163)</f>
        <v>0.387755102</v>
      </c>
    </row>
    <row r="171">
      <c r="A171" s="4" t="str">
        <f>IFERROR(__xludf.DUMMYFUNCTION("""COMPUTED_VALUE"""),"PITTSBURG")</f>
        <v>PITTSBURG</v>
      </c>
      <c r="B171" s="4">
        <f>IFERROR(__xludf.DUMMYFUNCTION("""COMPUTED_VALUE"""),6.0)</f>
        <v>6</v>
      </c>
      <c r="C171" s="30">
        <f>IFERROR(__xludf.DUMMYFUNCTION("""COMPUTED_VALUE"""),67.0)</f>
        <v>67</v>
      </c>
      <c r="D171" s="4" t="str">
        <f>IFERROR(__xludf.DUMMYFUNCTION("""COMPUTED_VALUE"""),"Fast Casual - Multi-conceito")</f>
        <v>Fast Casual - Multi-conceito</v>
      </c>
      <c r="E171" s="4" t="str">
        <f>IFERROR(__xludf.DUMMYFUNCTION("""COMPUTED_VALUE"""),"Interior SP")</f>
        <v>Interior SP</v>
      </c>
      <c r="F171" s="4" t="str">
        <f>IFERROR(__xludf.DUMMYFUNCTION("""COMPUTED_VALUE"""),"Dado não disponível publicamente - Necessário Discovery")</f>
        <v>Dado não disponível publicamente - Necessário Discovery</v>
      </c>
      <c r="G171" s="4">
        <f>IFERROR(__xludf.DUMMYFUNCTION("""COMPUTED_VALUE"""),70.0)</f>
        <v>70</v>
      </c>
      <c r="H171" s="31">
        <f>IFERROR(__xludf.DUMMYFUNCTION("""COMPUTED_VALUE"""),0.75)</f>
        <v>0.75</v>
      </c>
      <c r="I17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71" s="4" t="str">
        <f>IFERROR(__xludf.DUMMYFUNCTION("""COMPUTED_VALUE"""),"I LOVE FOODS - CONTA GRUPO")</f>
        <v>I LOVE FOODS - CONTA GRUPO</v>
      </c>
      <c r="L171" s="32">
        <f>IFERROR(__xludf.DUMMYFUNCTION("""COMPUTED_VALUE"""),49.0)</f>
        <v>49</v>
      </c>
      <c r="M171" s="4" t="str">
        <f>IFERROR(__xludf.DUMMYFUNCTION("""COMPUTED_VALUE"""),"Hubster")</f>
        <v>Hubster</v>
      </c>
      <c r="N171" s="33">
        <f>IFERROR(__xludf.DUMMYFUNCTION("""COMPUTED_VALUE"""),0.5686274509803921)</f>
        <v>0.568627451</v>
      </c>
      <c r="O171" s="4" t="str">
        <f>IFERROR(__xludf.DUMMYFUNCTION("""COMPUTED_VALUE"""),"Hubster")</f>
        <v>Hubster</v>
      </c>
      <c r="P171" s="33">
        <f>IFERROR(__xludf.DUMMYFUNCTION("""COMPUTED_VALUE"""),0.5490196078431373)</f>
        <v>0.5490196078</v>
      </c>
      <c r="Q171" s="4" t="str">
        <f>IFERROR(__xludf.DUMMYFUNCTION("""COMPUTED_VALUE"""),"Hubster")</f>
        <v>Hubster</v>
      </c>
      <c r="R171" s="33">
        <f>IFERROR(__xludf.DUMMYFUNCTION("""COMPUTED_VALUE"""),0.5490196078431373)</f>
        <v>0.5490196078</v>
      </c>
      <c r="S171" s="4" t="str">
        <f>IFERROR(__xludf.DUMMYFUNCTION("""COMPUTED_VALUE"""),"Hubster")</f>
        <v>Hubster</v>
      </c>
      <c r="T171" s="33">
        <f>IFERROR(__xludf.DUMMYFUNCTION("""COMPUTED_VALUE"""),0.4117647058823529)</f>
        <v>0.4117647059</v>
      </c>
      <c r="U171" s="4" t="str">
        <f>IFERROR(__xludf.DUMMYFUNCTION("""COMPUTED_VALUE"""),"Hubster")</f>
        <v>Hubster</v>
      </c>
      <c r="V171" s="33">
        <f>IFERROR(__xludf.DUMMYFUNCTION("""COMPUTED_VALUE"""),0.47058823529411764)</f>
        <v>0.4705882353</v>
      </c>
      <c r="W171" s="4" t="str">
        <f>IFERROR(__xludf.DUMMYFUNCTION("""COMPUTED_VALUE"""),"Hubster")</f>
        <v>Hubster</v>
      </c>
      <c r="X171" s="33">
        <f>IFERROR(__xludf.DUMMYFUNCTION("""COMPUTED_VALUE"""),0.5098039215686274)</f>
        <v>0.5098039216</v>
      </c>
    </row>
    <row r="172">
      <c r="A172" s="4" t="str">
        <f>IFERROR(__xludf.DUMMYFUNCTION("""COMPUTED_VALUE"""),"PIZZA SCUOLA")</f>
        <v>PIZZA SCUOLA</v>
      </c>
      <c r="B172" s="4">
        <f>IFERROR(__xludf.DUMMYFUNCTION("""COMPUTED_VALUE"""),3.0)</f>
        <v>3</v>
      </c>
      <c r="C172" s="30">
        <f>IFERROR(__xludf.DUMMYFUNCTION("""COMPUTED_VALUE"""),64.0)</f>
        <v>64</v>
      </c>
      <c r="D172" s="4" t="str">
        <f>IFERROR(__xludf.DUMMYFUNCTION("""COMPUTED_VALUE"""),"Fast Casual - Pizzaria")</f>
        <v>Fast Casual - Pizzaria</v>
      </c>
      <c r="E172" s="4" t="str">
        <f>IFERROR(__xludf.DUMMYFUNCTION("""COMPUTED_VALUE"""),"Interior SP")</f>
        <v>Interior SP</v>
      </c>
      <c r="F172" s="4" t="str">
        <f>IFERROR(__xludf.DUMMYFUNCTION("""COMPUTED_VALUE"""),"Dado não disponível publicamente - Necessário Discovery")</f>
        <v>Dado não disponível publicamente - Necessário Discovery</v>
      </c>
      <c r="G172" s="4">
        <f>IFERROR(__xludf.DUMMYFUNCTION("""COMPUTED_VALUE"""),65.0)</f>
        <v>65</v>
      </c>
      <c r="H172" s="31">
        <f>IFERROR(__xludf.DUMMYFUNCTION("""COMPUTED_VALUE"""),0.75)</f>
        <v>0.75</v>
      </c>
      <c r="I17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72" s="4" t="str">
        <f>IFERROR(__xludf.DUMMYFUNCTION("""COMPUTED_VALUE"""),"ATACADAO DROGACENTER - CONTA PAI")</f>
        <v>ATACADAO DROGACENTER - CONTA PAI</v>
      </c>
      <c r="L172" s="32">
        <f>IFERROR(__xludf.DUMMYFUNCTION("""COMPUTED_VALUE"""),49.0)</f>
        <v>49</v>
      </c>
      <c r="M172" s="4" t="str">
        <f>IFERROR(__xludf.DUMMYFUNCTION("""COMPUTED_VALUE"""),"N/A (Not found)")</f>
        <v>N/A (Not found)</v>
      </c>
      <c r="N172" s="33">
        <f>IFERROR(__xludf.DUMMYFUNCTION("""COMPUTED_VALUE"""),0.9183673469387755)</f>
        <v>0.9183673469</v>
      </c>
      <c r="O172" s="4" t="str">
        <f>IFERROR(__xludf.DUMMYFUNCTION("""COMPUTED_VALUE"""),"N/A (Not found)")</f>
        <v>N/A (Not found)</v>
      </c>
      <c r="P172" s="33">
        <f>IFERROR(__xludf.DUMMYFUNCTION("""COMPUTED_VALUE"""),0.9591836734693877)</f>
        <v>0.9591836735</v>
      </c>
      <c r="Q172" s="4" t="str">
        <f>IFERROR(__xludf.DUMMYFUNCTION("""COMPUTED_VALUE"""),"N/A (Not found)")</f>
        <v>N/A (Not found)</v>
      </c>
      <c r="R172" s="33">
        <f>IFERROR(__xludf.DUMMYFUNCTION("""COMPUTED_VALUE"""),0.9795918367346939)</f>
        <v>0.9795918367</v>
      </c>
      <c r="S172" s="4" t="str">
        <f>IFERROR(__xludf.DUMMYFUNCTION("""COMPUTED_VALUE"""),"N/A (Not found)")</f>
        <v>N/A (Not found)</v>
      </c>
      <c r="T172" s="33">
        <f>IFERROR(__xludf.DUMMYFUNCTION("""COMPUTED_VALUE"""),1.0)</f>
        <v>1</v>
      </c>
      <c r="U172" s="4" t="str">
        <f>IFERROR(__xludf.DUMMYFUNCTION("""COMPUTED_VALUE"""),"N/A (Not found)")</f>
        <v>N/A (Not found)</v>
      </c>
      <c r="V172" s="33">
        <f>IFERROR(__xludf.DUMMYFUNCTION("""COMPUTED_VALUE"""),1.0)</f>
        <v>1</v>
      </c>
      <c r="W172" s="4" t="str">
        <f>IFERROR(__xludf.DUMMYFUNCTION("""COMPUTED_VALUE"""),"N/A (Not found)")</f>
        <v>N/A (Not found)</v>
      </c>
      <c r="X172" s="33">
        <f>IFERROR(__xludf.DUMMYFUNCTION("""COMPUTED_VALUE"""),1.0)</f>
        <v>1</v>
      </c>
    </row>
    <row r="173">
      <c r="A173" s="4" t="str">
        <f>IFERROR(__xludf.DUMMYFUNCTION("""COMPUTED_VALUE"""),"PIZZARIA E ESFIHARIA VILA VELHA")</f>
        <v>PIZZARIA E ESFIHARIA VILA VELHA</v>
      </c>
      <c r="B173" s="4">
        <f>IFERROR(__xludf.DUMMYFUNCTION("""COMPUTED_VALUE"""),5.0)</f>
        <v>5</v>
      </c>
      <c r="C173" s="30">
        <f>IFERROR(__xludf.DUMMYFUNCTION("""COMPUTED_VALUE"""),60.0)</f>
        <v>60</v>
      </c>
      <c r="D173" s="4" t="str">
        <f>IFERROR(__xludf.DUMMYFUNCTION("""COMPUTED_VALUE"""),"Fast Casual - Pizzaria")</f>
        <v>Fast Casual - Pizzaria</v>
      </c>
      <c r="E173" s="4" t="str">
        <f>IFERROR(__xludf.DUMMYFUNCTION("""COMPUTED_VALUE"""),"Regional")</f>
        <v>Regional</v>
      </c>
      <c r="F173" s="4" t="str">
        <f>IFERROR(__xludf.DUMMYFUNCTION("""COMPUTED_VALUE"""),"Dado não disponível publicamente - Necessário Discovery")</f>
        <v>Dado não disponível publicamente - Necessário Discovery</v>
      </c>
      <c r="G173" s="4">
        <f>IFERROR(__xludf.DUMMYFUNCTION("""COMPUTED_VALUE"""),70.0)</f>
        <v>70</v>
      </c>
      <c r="H173" s="31">
        <f>IFERROR(__xludf.DUMMYFUNCTION("""COMPUTED_VALUE"""),0.75)</f>
        <v>0.75</v>
      </c>
      <c r="I17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73" s="4" t="str">
        <f>IFERROR(__xludf.DUMMYFUNCTION("""COMPUTED_VALUE"""),"GRUPO DI ROMA FLORIANOPOLIS")</f>
        <v>GRUPO DI ROMA FLORIANOPOLIS</v>
      </c>
      <c r="L173" s="32">
        <f>IFERROR(__xludf.DUMMYFUNCTION("""COMPUTED_VALUE"""),49.0)</f>
        <v>49</v>
      </c>
      <c r="M173" s="4" t="str">
        <f>IFERROR(__xludf.DUMMYFUNCTION("""COMPUTED_VALUE"""),"Cityfoods Ltda")</f>
        <v>Cityfoods Ltda</v>
      </c>
      <c r="N173" s="33">
        <f>IFERROR(__xludf.DUMMYFUNCTION("""COMPUTED_VALUE"""),0.9387755102040817)</f>
        <v>0.9387755102</v>
      </c>
      <c r="O173" s="4" t="str">
        <f>IFERROR(__xludf.DUMMYFUNCTION("""COMPUTED_VALUE"""),"Cityfoods Ltda")</f>
        <v>Cityfoods Ltda</v>
      </c>
      <c r="P173" s="33">
        <f>IFERROR(__xludf.DUMMYFUNCTION("""COMPUTED_VALUE"""),0.7755102040816326)</f>
        <v>0.7755102041</v>
      </c>
      <c r="Q173" s="4" t="str">
        <f>IFERROR(__xludf.DUMMYFUNCTION("""COMPUTED_VALUE"""),"Cityfoods Ltda")</f>
        <v>Cityfoods Ltda</v>
      </c>
      <c r="R173" s="33">
        <f>IFERROR(__xludf.DUMMYFUNCTION("""COMPUTED_VALUE"""),0.7142857142857143)</f>
        <v>0.7142857143</v>
      </c>
      <c r="S173" s="4" t="str">
        <f>IFERROR(__xludf.DUMMYFUNCTION("""COMPUTED_VALUE"""),"Cityfoods Ltda")</f>
        <v>Cityfoods Ltda</v>
      </c>
      <c r="T173" s="33">
        <f>IFERROR(__xludf.DUMMYFUNCTION("""COMPUTED_VALUE"""),0.6530612244897959)</f>
        <v>0.6530612245</v>
      </c>
      <c r="U173" s="4" t="str">
        <f>IFERROR(__xludf.DUMMYFUNCTION("""COMPUTED_VALUE"""),"Cityfoods Ltda")</f>
        <v>Cityfoods Ltda</v>
      </c>
      <c r="V173" s="33">
        <f>IFERROR(__xludf.DUMMYFUNCTION("""COMPUTED_VALUE"""),0.5102040816326531)</f>
        <v>0.5102040816</v>
      </c>
      <c r="W173" s="4" t="str">
        <f>IFERROR(__xludf.DUMMYFUNCTION("""COMPUTED_VALUE"""),"Cityfoods Ltda")</f>
        <v>Cityfoods Ltda</v>
      </c>
      <c r="X173" s="33">
        <f>IFERROR(__xludf.DUMMYFUNCTION("""COMPUTED_VALUE"""),0.5714285714285714)</f>
        <v>0.5714285714</v>
      </c>
    </row>
    <row r="174">
      <c r="A174" s="4" t="str">
        <f>IFERROR(__xludf.DUMMYFUNCTION("""COMPUTED_VALUE"""),"PIZZARIA PERONI")</f>
        <v>PIZZARIA PERONI</v>
      </c>
      <c r="B174" s="4">
        <f>IFERROR(__xludf.DUMMYFUNCTION("""COMPUTED_VALUE"""),12.0)</f>
        <v>12</v>
      </c>
      <c r="C174" s="30">
        <f>IFERROR(__xludf.DUMMYFUNCTION("""COMPUTED_VALUE"""),72.0)</f>
        <v>72</v>
      </c>
      <c r="D174" s="4" t="str">
        <f>IFERROR(__xludf.DUMMYFUNCTION("""COMPUTED_VALUE"""),"Fast Casual - Pizzaria")</f>
        <v>Fast Casual - Pizzaria</v>
      </c>
      <c r="E174" s="4" t="str">
        <f>IFERROR(__xludf.DUMMYFUNCTION("""COMPUTED_VALUE"""),"Interior SP")</f>
        <v>Interior SP</v>
      </c>
      <c r="F174" s="4" t="str">
        <f>IFERROR(__xludf.DUMMYFUNCTION("""COMPUTED_VALUE"""),"Dado não disponível publicamente - Necessário Discovery")</f>
        <v>Dado não disponível publicamente - Necessário Discovery</v>
      </c>
      <c r="G174" s="4">
        <f>IFERROR(__xludf.DUMMYFUNCTION("""COMPUTED_VALUE"""),70.0)</f>
        <v>70</v>
      </c>
      <c r="H174" s="31">
        <f>IFERROR(__xludf.DUMMYFUNCTION("""COMPUTED_VALUE"""),0.8)</f>
        <v>0.8</v>
      </c>
      <c r="I174"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174" s="4" t="str">
        <f>IFERROR(__xludf.DUMMYFUNCTION("""COMPUTED_VALUE"""),"DROGARIA MODERNA - CONTA PAI")</f>
        <v>DROGARIA MODERNA - CONTA PAI</v>
      </c>
      <c r="L174" s="32">
        <f>IFERROR(__xludf.DUMMYFUNCTION("""COMPUTED_VALUE"""),49.0)</f>
        <v>49</v>
      </c>
      <c r="M174" s="4" t="str">
        <f>IFERROR(__xludf.DUMMYFUNCTION("""COMPUTED_VALUE"""),"N/A (Not found)")</f>
        <v>N/A (Not found)</v>
      </c>
      <c r="N174" s="33">
        <f>IFERROR(__xludf.DUMMYFUNCTION("""COMPUTED_VALUE"""),0.7142857142857143)</f>
        <v>0.7142857143</v>
      </c>
      <c r="O174" s="4" t="str">
        <f>IFERROR(__xludf.DUMMYFUNCTION("""COMPUTED_VALUE"""),"N/A (Not found)")</f>
        <v>N/A (Not found)</v>
      </c>
      <c r="P174" s="33">
        <f>IFERROR(__xludf.DUMMYFUNCTION("""COMPUTED_VALUE"""),0.7755102040816326)</f>
        <v>0.7755102041</v>
      </c>
      <c r="Q174" s="4" t="str">
        <f>IFERROR(__xludf.DUMMYFUNCTION("""COMPUTED_VALUE"""),"N/A (Not found)")</f>
        <v>N/A (Not found)</v>
      </c>
      <c r="R174" s="33">
        <f>IFERROR(__xludf.DUMMYFUNCTION("""COMPUTED_VALUE"""),0.8367346938775511)</f>
        <v>0.8367346939</v>
      </c>
      <c r="S174" s="4" t="str">
        <f>IFERROR(__xludf.DUMMYFUNCTION("""COMPUTED_VALUE"""),"N/A (Not found)")</f>
        <v>N/A (Not found)</v>
      </c>
      <c r="T174" s="33">
        <f>IFERROR(__xludf.DUMMYFUNCTION("""COMPUTED_VALUE"""),0.8571428571428571)</f>
        <v>0.8571428571</v>
      </c>
      <c r="U174" s="4" t="str">
        <f>IFERROR(__xludf.DUMMYFUNCTION("""COMPUTED_VALUE"""),"N/A (Not found)")</f>
        <v>N/A (Not found)</v>
      </c>
      <c r="V174" s="33">
        <f>IFERROR(__xludf.DUMMYFUNCTION("""COMPUTED_VALUE"""),0.9591836734693877)</f>
        <v>0.9591836735</v>
      </c>
      <c r="W174" s="4" t="str">
        <f>IFERROR(__xludf.DUMMYFUNCTION("""COMPUTED_VALUE"""),"N/A (Not found)")</f>
        <v>N/A (Not found)</v>
      </c>
      <c r="X174" s="33">
        <f>IFERROR(__xludf.DUMMYFUNCTION("""COMPUTED_VALUE"""),0.9591836734693877)</f>
        <v>0.9591836735</v>
      </c>
    </row>
    <row r="175">
      <c r="A175" s="4" t="str">
        <f>IFERROR(__xludf.DUMMYFUNCTION("""COMPUTED_VALUE"""),"PLANALTO DO CHOPP")</f>
        <v>PLANALTO DO CHOPP</v>
      </c>
      <c r="B175" s="4">
        <f>IFERROR(__xludf.DUMMYFUNCTION("""COMPUTED_VALUE"""),8.0)</f>
        <v>8</v>
      </c>
      <c r="C175" s="30">
        <f>IFERROR(__xludf.DUMMYFUNCTION("""COMPUTED_VALUE"""),65.0)</f>
        <v>65</v>
      </c>
      <c r="D175" s="4" t="str">
        <f>IFERROR(__xludf.DUMMYFUNCTION("""COMPUTED_VALUE"""),"Fast Casual - Multi-conceito")</f>
        <v>Fast Casual - Multi-conceito</v>
      </c>
      <c r="E175" s="4" t="str">
        <f>IFERROR(__xludf.DUMMYFUNCTION("""COMPUTED_VALUE"""),"Sudeste")</f>
        <v>Sudeste</v>
      </c>
      <c r="F175" s="4" t="str">
        <f>IFERROR(__xludf.DUMMYFUNCTION("""COMPUTED_VALUE"""),"Dado não disponível publicamente - Necessário Discovery")</f>
        <v>Dado não disponível publicamente - Necessário Discovery</v>
      </c>
      <c r="G175" s="4">
        <f>IFERROR(__xludf.DUMMYFUNCTION("""COMPUTED_VALUE"""),70.0)</f>
        <v>70</v>
      </c>
      <c r="H175" s="31">
        <f>IFERROR(__xludf.DUMMYFUNCTION("""COMPUTED_VALUE"""),0.75)</f>
        <v>0.75</v>
      </c>
      <c r="I17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75" s="4" t="str">
        <f>IFERROR(__xludf.DUMMYFUNCTION("""COMPUTED_VALUE"""),"JOHNNY JOY")</f>
        <v>JOHNNY JOY</v>
      </c>
      <c r="L175" s="32">
        <f>IFERROR(__xludf.DUMMYFUNCTION("""COMPUTED_VALUE"""),49.0)</f>
        <v>49</v>
      </c>
      <c r="M175" s="4" t="str">
        <f>IFERROR(__xludf.DUMMYFUNCTION("""COMPUTED_VALUE"""),"Stone Co.")</f>
        <v>Stone Co.</v>
      </c>
      <c r="N175" s="33">
        <f>IFERROR(__xludf.DUMMYFUNCTION("""COMPUTED_VALUE"""),0.9591836734693877)</f>
        <v>0.9591836735</v>
      </c>
      <c r="O175" s="4" t="str">
        <f>IFERROR(__xludf.DUMMYFUNCTION("""COMPUTED_VALUE"""),"Stone Co.")</f>
        <v>Stone Co.</v>
      </c>
      <c r="P175" s="33">
        <f>IFERROR(__xludf.DUMMYFUNCTION("""COMPUTED_VALUE"""),0.9591836734693877)</f>
        <v>0.9591836735</v>
      </c>
      <c r="Q175" s="4" t="str">
        <f>IFERROR(__xludf.DUMMYFUNCTION("""COMPUTED_VALUE"""),"Stone Co.")</f>
        <v>Stone Co.</v>
      </c>
      <c r="R175" s="33">
        <f>IFERROR(__xludf.DUMMYFUNCTION("""COMPUTED_VALUE"""),0.9591836734693877)</f>
        <v>0.9591836735</v>
      </c>
      <c r="S175" s="4" t="str">
        <f>IFERROR(__xludf.DUMMYFUNCTION("""COMPUTED_VALUE"""),"Stone Co.")</f>
        <v>Stone Co.</v>
      </c>
      <c r="T175" s="33">
        <f>IFERROR(__xludf.DUMMYFUNCTION("""COMPUTED_VALUE"""),0.9795918367346939)</f>
        <v>0.9795918367</v>
      </c>
      <c r="U175" s="4" t="str">
        <f>IFERROR(__xludf.DUMMYFUNCTION("""COMPUTED_VALUE"""),"Stone Co.")</f>
        <v>Stone Co.</v>
      </c>
      <c r="V175" s="33">
        <f>IFERROR(__xludf.DUMMYFUNCTION("""COMPUTED_VALUE"""),0.9795918367346939)</f>
        <v>0.9795918367</v>
      </c>
      <c r="W175" s="4" t="str">
        <f>IFERROR(__xludf.DUMMYFUNCTION("""COMPUTED_VALUE"""),"Stone Co.")</f>
        <v>Stone Co.</v>
      </c>
      <c r="X175" s="33">
        <f>IFERROR(__xludf.DUMMYFUNCTION("""COMPUTED_VALUE"""),0.9591836734693877)</f>
        <v>0.9591836735</v>
      </c>
    </row>
    <row r="176">
      <c r="A176" s="4" t="str">
        <f>IFERROR(__xludf.DUMMYFUNCTION("""COMPUTED_VALUE"""),"POINT DO ACAI")</f>
        <v>POINT DO ACAI</v>
      </c>
      <c r="B176" s="4">
        <f>IFERROR(__xludf.DUMMYFUNCTION("""COMPUTED_VALUE"""),13.0)</f>
        <v>13</v>
      </c>
      <c r="C176" s="30">
        <f>IFERROR(__xludf.DUMMYFUNCTION("""COMPUTED_VALUE"""),38.0)</f>
        <v>38</v>
      </c>
      <c r="D176" s="4" t="str">
        <f>IFERROR(__xludf.DUMMYFUNCTION("""COMPUTED_VALUE"""),"QSR - Açaí/Poke")</f>
        <v>QSR - Açaí/Poke</v>
      </c>
      <c r="E176" s="4" t="str">
        <f>IFERROR(__xludf.DUMMYFUNCTION("""COMPUTED_VALUE"""),"Nordeste")</f>
        <v>Nordeste</v>
      </c>
      <c r="F176" s="4" t="str">
        <f>IFERROR(__xludf.DUMMYFUNCTION("""COMPUTED_VALUE"""),"Dado não disponível publicamente - Necessário Discovery")</f>
        <v>Dado não disponível publicamente - Necessário Discovery</v>
      </c>
      <c r="G176" s="4">
        <f>IFERROR(__xludf.DUMMYFUNCTION("""COMPUTED_VALUE"""),70.0)</f>
        <v>70</v>
      </c>
      <c r="H176" s="31">
        <f>IFERROR(__xludf.DUMMYFUNCTION("""COMPUTED_VALUE"""),0.9)</f>
        <v>0.9</v>
      </c>
      <c r="I176"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176" s="4" t="str">
        <f>IFERROR(__xludf.DUMMYFUNCTION("""COMPUTED_VALUE"""),"MARCA - CIA DAS SOPAS")</f>
        <v>MARCA - CIA DAS SOPAS</v>
      </c>
      <c r="L176" s="32">
        <f>IFERROR(__xludf.DUMMYFUNCTION("""COMPUTED_VALUE"""),49.0)</f>
        <v>49</v>
      </c>
      <c r="M176" s="4" t="str">
        <f>IFERROR(__xludf.DUMMYFUNCTION("""COMPUTED_VALUE"""),"null")</f>
        <v>null</v>
      </c>
      <c r="N176" s="33">
        <f>IFERROR(__xludf.DUMMYFUNCTION("""COMPUTED_VALUE"""),0.7959183673469388)</f>
        <v>0.7959183673</v>
      </c>
      <c r="O176" s="4" t="str">
        <f>IFERROR(__xludf.DUMMYFUNCTION("""COMPUTED_VALUE"""),"Dynaset Software")</f>
        <v>Dynaset Software</v>
      </c>
      <c r="P176" s="33">
        <f>IFERROR(__xludf.DUMMYFUNCTION("""COMPUTED_VALUE"""),0.5102040816326531)</f>
        <v>0.5102040816</v>
      </c>
      <c r="Q176" s="4" t="str">
        <f>IFERROR(__xludf.DUMMYFUNCTION("""COMPUTED_VALUE"""),"null")</f>
        <v>null</v>
      </c>
      <c r="R176" s="33">
        <f>IFERROR(__xludf.DUMMYFUNCTION("""COMPUTED_VALUE"""),0.5714285714285714)</f>
        <v>0.5714285714</v>
      </c>
      <c r="S176" s="4" t="str">
        <f>IFERROR(__xludf.DUMMYFUNCTION("""COMPUTED_VALUE"""),"null")</f>
        <v>null</v>
      </c>
      <c r="T176" s="33">
        <f>IFERROR(__xludf.DUMMYFUNCTION("""COMPUTED_VALUE"""),0.5510204081632653)</f>
        <v>0.5510204082</v>
      </c>
      <c r="U176" s="4" t="str">
        <f>IFERROR(__xludf.DUMMYFUNCTION("""COMPUTED_VALUE"""),"null")</f>
        <v>null</v>
      </c>
      <c r="V176" s="33">
        <f>IFERROR(__xludf.DUMMYFUNCTION("""COMPUTED_VALUE"""),0.4897959183673469)</f>
        <v>0.4897959184</v>
      </c>
      <c r="W176" s="4" t="str">
        <f>IFERROR(__xludf.DUMMYFUNCTION("""COMPUTED_VALUE"""),"Dynaset Software")</f>
        <v>Dynaset Software</v>
      </c>
      <c r="X176" s="33">
        <f>IFERROR(__xludf.DUMMYFUNCTION("""COMPUTED_VALUE"""),0.5306122448979592)</f>
        <v>0.5306122449</v>
      </c>
    </row>
    <row r="177">
      <c r="A177" s="4" t="str">
        <f>IFERROR(__xludf.DUMMYFUNCTION("""COMPUTED_VALUE"""),"PRESS - CONTA GRUPO")</f>
        <v>PRESS - CONTA GRUPO</v>
      </c>
      <c r="B177" s="4">
        <f>IFERROR(__xludf.DUMMYFUNCTION("""COMPUTED_VALUE"""),8.0)</f>
        <v>8</v>
      </c>
      <c r="C177" s="30">
        <f>IFERROR(__xludf.DUMMYFUNCTION("""COMPUTED_VALUE"""),78.0)</f>
        <v>78</v>
      </c>
      <c r="D177" s="4" t="str">
        <f>IFERROR(__xludf.DUMMYFUNCTION("""COMPUTED_VALUE"""),"Grupo Multi-marca")</f>
        <v>Grupo Multi-marca</v>
      </c>
      <c r="E177" s="4" t="str">
        <f>IFERROR(__xludf.DUMMYFUNCTION("""COMPUTED_VALUE"""),"Nordeste")</f>
        <v>Nordeste</v>
      </c>
      <c r="F177" s="4" t="str">
        <f>IFERROR(__xludf.DUMMYFUNCTION("""COMPUTED_VALUE"""),"Dado não disponível publicamente - Necessário Discovery")</f>
        <v>Dado não disponível publicamente - Necessário Discovery</v>
      </c>
      <c r="G177" s="4">
        <f>IFERROR(__xludf.DUMMYFUNCTION("""COMPUTED_VALUE"""),40.0)</f>
        <v>40</v>
      </c>
      <c r="H177" s="31">
        <f>IFERROR(__xludf.DUMMYFUNCTION("""COMPUTED_VALUE"""),0.5)</f>
        <v>0.5</v>
      </c>
      <c r="I177"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177" s="4" t="str">
        <f>IFERROR(__xludf.DUMMYFUNCTION("""COMPUTED_VALUE"""),"REDEPHARMA - CONTA PAI")</f>
        <v>REDEPHARMA - CONTA PAI</v>
      </c>
      <c r="L177" s="32">
        <f>IFERROR(__xludf.DUMMYFUNCTION("""COMPUTED_VALUE"""),49.0)</f>
        <v>49</v>
      </c>
      <c r="M177" s="4" t="str">
        <f>IFERROR(__xludf.DUMMYFUNCTION("""COMPUTED_VALUE"""),"N/A (Not found)")</f>
        <v>N/A (Not found)</v>
      </c>
      <c r="N177" s="33">
        <f>IFERROR(__xludf.DUMMYFUNCTION("""COMPUTED_VALUE"""),0.8775510204081632)</f>
        <v>0.8775510204</v>
      </c>
      <c r="O177" s="4" t="str">
        <f>IFERROR(__xludf.DUMMYFUNCTION("""COMPUTED_VALUE"""),"N/A (Not found)")</f>
        <v>N/A (Not found)</v>
      </c>
      <c r="P177" s="33">
        <f>IFERROR(__xludf.DUMMYFUNCTION("""COMPUTED_VALUE"""),0.9183673469387755)</f>
        <v>0.9183673469</v>
      </c>
      <c r="Q177" s="4" t="str">
        <f>IFERROR(__xludf.DUMMYFUNCTION("""COMPUTED_VALUE"""),"N/A (Not found)")</f>
        <v>N/A (Not found)</v>
      </c>
      <c r="R177" s="33">
        <f>IFERROR(__xludf.DUMMYFUNCTION("""COMPUTED_VALUE"""),0.9387755102040817)</f>
        <v>0.9387755102</v>
      </c>
      <c r="S177" s="4" t="str">
        <f>IFERROR(__xludf.DUMMYFUNCTION("""COMPUTED_VALUE"""),"N/A (Not found)")</f>
        <v>N/A (Not found)</v>
      </c>
      <c r="T177" s="33">
        <f>IFERROR(__xludf.DUMMYFUNCTION("""COMPUTED_VALUE"""),0.9591836734693877)</f>
        <v>0.9591836735</v>
      </c>
      <c r="U177" s="4" t="str">
        <f>IFERROR(__xludf.DUMMYFUNCTION("""COMPUTED_VALUE"""),"N/A (Not found)")</f>
        <v>N/A (Not found)</v>
      </c>
      <c r="V177" s="33">
        <f>IFERROR(__xludf.DUMMYFUNCTION("""COMPUTED_VALUE"""),0.9795918367346939)</f>
        <v>0.9795918367</v>
      </c>
      <c r="W177" s="4" t="str">
        <f>IFERROR(__xludf.DUMMYFUNCTION("""COMPUTED_VALUE"""),"N/A (Not found)")</f>
        <v>N/A (Not found)</v>
      </c>
      <c r="X177" s="33">
        <f>IFERROR(__xludf.DUMMYFUNCTION("""COMPUTED_VALUE"""),1.0)</f>
        <v>1</v>
      </c>
    </row>
    <row r="178">
      <c r="A178" s="4" t="str">
        <f>IFERROR(__xludf.DUMMYFUNCTION("""COMPUTED_VALUE"""),"QUINA DO FUTURO")</f>
        <v>QUINA DO FUTURO</v>
      </c>
      <c r="B178" s="4">
        <f>IFERROR(__xludf.DUMMYFUNCTION("""COMPUTED_VALUE"""),6.0)</f>
        <v>6</v>
      </c>
      <c r="C178" s="30">
        <f>IFERROR(__xludf.DUMMYFUNCTION("""COMPUTED_VALUE"""),73.0)</f>
        <v>73</v>
      </c>
      <c r="D178" s="4" t="str">
        <f>IFERROR(__xludf.DUMMYFUNCTION("""COMPUTED_VALUE"""),"Fast Casual - Multi-conceito")</f>
        <v>Fast Casual - Multi-conceito</v>
      </c>
      <c r="E178" s="4" t="str">
        <f>IFERROR(__xludf.DUMMYFUNCTION("""COMPUTED_VALUE"""),"Belo Horizonte/MG")</f>
        <v>Belo Horizonte/MG</v>
      </c>
      <c r="F178" s="4" t="str">
        <f>IFERROR(__xludf.DUMMYFUNCTION("""COMPUTED_VALUE"""),"Dado não disponível publicamente - Necessário Discovery")</f>
        <v>Dado não disponível publicamente - Necessário Discovery</v>
      </c>
      <c r="G178" s="4">
        <f>IFERROR(__xludf.DUMMYFUNCTION("""COMPUTED_VALUE"""),70.0)</f>
        <v>70</v>
      </c>
      <c r="H178" s="31">
        <f>IFERROR(__xludf.DUMMYFUNCTION("""COMPUTED_VALUE"""),0.75)</f>
        <v>0.75</v>
      </c>
      <c r="I17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78" s="4" t="str">
        <f>IFERROR(__xludf.DUMMYFUNCTION("""COMPUTED_VALUE"""),"MARCA LOUCOS POR COXINHA _ NOVA FOODS")</f>
        <v>MARCA LOUCOS POR COXINHA _ NOVA FOODS</v>
      </c>
      <c r="L178" s="32">
        <f>IFERROR(__xludf.DUMMYFUNCTION("""COMPUTED_VALUE"""),48.0)</f>
        <v>48</v>
      </c>
      <c r="M178" s="4" t="str">
        <f>IFERROR(__xludf.DUMMYFUNCTION("""COMPUTED_VALUE"""),"null")</f>
        <v>null</v>
      </c>
      <c r="N178" s="33">
        <f>IFERROR(__xludf.DUMMYFUNCTION("""COMPUTED_VALUE"""),0.8125)</f>
        <v>0.8125</v>
      </c>
      <c r="O178" s="4" t="str">
        <f>IFERROR(__xludf.DUMMYFUNCTION("""COMPUTED_VALUE"""),"null")</f>
        <v>null</v>
      </c>
      <c r="P178" s="33">
        <f>IFERROR(__xludf.DUMMYFUNCTION("""COMPUTED_VALUE"""),0.7291666666666666)</f>
        <v>0.7291666667</v>
      </c>
      <c r="Q178" s="4" t="str">
        <f>IFERROR(__xludf.DUMMYFUNCTION("""COMPUTED_VALUE"""),"null")</f>
        <v>null</v>
      </c>
      <c r="R178" s="33">
        <f>IFERROR(__xludf.DUMMYFUNCTION("""COMPUTED_VALUE"""),0.6666666666666666)</f>
        <v>0.6666666667</v>
      </c>
      <c r="S178" s="4" t="str">
        <f>IFERROR(__xludf.DUMMYFUNCTION("""COMPUTED_VALUE"""),"null")</f>
        <v>null</v>
      </c>
      <c r="T178" s="33">
        <f>IFERROR(__xludf.DUMMYFUNCTION("""COMPUTED_VALUE"""),0.5208333333333334)</f>
        <v>0.5208333333</v>
      </c>
      <c r="U178" s="4" t="str">
        <f>IFERROR(__xludf.DUMMYFUNCTION("""COMPUTED_VALUE"""),"null")</f>
        <v>null</v>
      </c>
      <c r="V178" s="33">
        <f>IFERROR(__xludf.DUMMYFUNCTION("""COMPUTED_VALUE"""),0.5416666666666666)</f>
        <v>0.5416666667</v>
      </c>
      <c r="W178" s="4" t="str">
        <f>IFERROR(__xludf.DUMMYFUNCTION("""COMPUTED_VALUE"""),"Swfast Sistemas")</f>
        <v>Swfast Sistemas</v>
      </c>
      <c r="X178" s="33">
        <f>IFERROR(__xludf.DUMMYFUNCTION("""COMPUTED_VALUE"""),0.8333333333333334)</f>
        <v>0.8333333333</v>
      </c>
    </row>
    <row r="179">
      <c r="A179" s="4" t="str">
        <f>IFERROR(__xludf.DUMMYFUNCTION("""COMPUTED_VALUE"""),"RED BURGER")</f>
        <v>RED BURGER</v>
      </c>
      <c r="B179" s="4">
        <f>IFERROR(__xludf.DUMMYFUNCTION("""COMPUTED_VALUE"""),9.0)</f>
        <v>9</v>
      </c>
      <c r="C179" s="30">
        <f>IFERROR(__xludf.DUMMYFUNCTION("""COMPUTED_VALUE"""),73.0)</f>
        <v>73</v>
      </c>
      <c r="D179" s="4" t="str">
        <f>IFERROR(__xludf.DUMMYFUNCTION("""COMPUTED_VALUE"""),"Fast Casual - Hamburgueria")</f>
        <v>Fast Casual - Hamburgueria</v>
      </c>
      <c r="E179" s="4" t="str">
        <f>IFERROR(__xludf.DUMMYFUNCTION("""COMPUTED_VALUE"""),"Brasília/DF")</f>
        <v>Brasília/DF</v>
      </c>
      <c r="F179" s="4" t="str">
        <f>IFERROR(__xludf.DUMMYFUNCTION("""COMPUTED_VALUE"""),"Dado não disponível publicamente - Necessário Discovery")</f>
        <v>Dado não disponível publicamente - Necessário Discovery</v>
      </c>
      <c r="G179" s="4">
        <f>IFERROR(__xludf.DUMMYFUNCTION("""COMPUTED_VALUE"""),70.0)</f>
        <v>70</v>
      </c>
      <c r="H179" s="31">
        <f>IFERROR(__xludf.DUMMYFUNCTION("""COMPUTED_VALUE"""),0.75)</f>
        <v>0.75</v>
      </c>
      <c r="I17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79" s="4" t="str">
        <f>IFERROR(__xludf.DUMMYFUNCTION("""COMPUTED_VALUE"""),"SONEDA - CONTA MARCA")</f>
        <v>SONEDA - CONTA MARCA</v>
      </c>
      <c r="L179" s="32">
        <f>IFERROR(__xludf.DUMMYFUNCTION("""COMPUTED_VALUE"""),48.0)</f>
        <v>48</v>
      </c>
      <c r="M179" s="4" t="str">
        <f>IFERROR(__xludf.DUMMYFUNCTION("""COMPUTED_VALUE"""),"N/A (Not found)")</f>
        <v>N/A (Not found)</v>
      </c>
      <c r="N179" s="33">
        <f>IFERROR(__xludf.DUMMYFUNCTION("""COMPUTED_VALUE"""),0.9583333333333334)</f>
        <v>0.9583333333</v>
      </c>
      <c r="O179" s="4" t="str">
        <f>IFERROR(__xludf.DUMMYFUNCTION("""COMPUTED_VALUE"""),"N/A (Not found)")</f>
        <v>N/A (Not found)</v>
      </c>
      <c r="P179" s="33">
        <f>IFERROR(__xludf.DUMMYFUNCTION("""COMPUTED_VALUE"""),0.9583333333333334)</f>
        <v>0.9583333333</v>
      </c>
      <c r="Q179" s="4" t="str">
        <f>IFERROR(__xludf.DUMMYFUNCTION("""COMPUTED_VALUE"""),"N/A (Not found)")</f>
        <v>N/A (Not found)</v>
      </c>
      <c r="R179" s="33">
        <f>IFERROR(__xludf.DUMMYFUNCTION("""COMPUTED_VALUE"""),1.0)</f>
        <v>1</v>
      </c>
      <c r="S179" s="4" t="str">
        <f>IFERROR(__xludf.DUMMYFUNCTION("""COMPUTED_VALUE"""),"N/A (Not found)")</f>
        <v>N/A (Not found)</v>
      </c>
      <c r="T179" s="33">
        <f>IFERROR(__xludf.DUMMYFUNCTION("""COMPUTED_VALUE"""),1.0)</f>
        <v>1</v>
      </c>
      <c r="U179" s="4" t="str">
        <f>IFERROR(__xludf.DUMMYFUNCTION("""COMPUTED_VALUE"""),"N/A (Not found)")</f>
        <v>N/A (Not found)</v>
      </c>
      <c r="V179" s="33">
        <f>IFERROR(__xludf.DUMMYFUNCTION("""COMPUTED_VALUE"""),1.0)</f>
        <v>1</v>
      </c>
      <c r="W179" s="4" t="str">
        <f>IFERROR(__xludf.DUMMYFUNCTION("""COMPUTED_VALUE"""),"N/A (Not found)")</f>
        <v>N/A (Not found)</v>
      </c>
      <c r="X179" s="33">
        <f>IFERROR(__xludf.DUMMYFUNCTION("""COMPUTED_VALUE"""),1.0)</f>
        <v>1</v>
      </c>
    </row>
    <row r="180">
      <c r="A180" s="4" t="str">
        <f>IFERROR(__xludf.DUMMYFUNCTION("""COMPUTED_VALUE"""),"REDE EJC ORIGINAL - CONTA MARCA")</f>
        <v>REDE EJC ORIGINAL - CONTA MARCA</v>
      </c>
      <c r="B180" s="4">
        <f>IFERROR(__xludf.DUMMYFUNCTION("""COMPUTED_VALUE"""),3.0)</f>
        <v>3</v>
      </c>
      <c r="C180" s="30">
        <f>IFERROR(__xludf.DUMMYFUNCTION("""COMPUTED_VALUE"""),57.0)</f>
        <v>57</v>
      </c>
      <c r="D180" s="4" t="str">
        <f>IFERROR(__xludf.DUMMYFUNCTION("""COMPUTED_VALUE"""),"Fast Casual - Multi-conceito")</f>
        <v>Fast Casual - Multi-conceito</v>
      </c>
      <c r="E180" s="4" t="str">
        <f>IFERROR(__xludf.DUMMYFUNCTION("""COMPUTED_VALUE"""),"Sudeste")</f>
        <v>Sudeste</v>
      </c>
      <c r="F180" s="4" t="str">
        <f>IFERROR(__xludf.DUMMYFUNCTION("""COMPUTED_VALUE"""),"Dado não disponível publicamente - Necessário Discovery")</f>
        <v>Dado não disponível publicamente - Necessário Discovery</v>
      </c>
      <c r="G180" s="4">
        <f>IFERROR(__xludf.DUMMYFUNCTION("""COMPUTED_VALUE"""),65.0)</f>
        <v>65</v>
      </c>
      <c r="H180" s="31">
        <f>IFERROR(__xludf.DUMMYFUNCTION("""COMPUTED_VALUE"""),0.75)</f>
        <v>0.75</v>
      </c>
      <c r="I18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80" s="4" t="str">
        <f>IFERROR(__xludf.DUMMYFUNCTION("""COMPUTED_VALUE"""),"DOG KING")</f>
        <v>DOG KING</v>
      </c>
      <c r="L180" s="32">
        <f>IFERROR(__xludf.DUMMYFUNCTION("""COMPUTED_VALUE"""),47.0)</f>
        <v>47</v>
      </c>
      <c r="M180" s="4" t="str">
        <f>IFERROR(__xludf.DUMMYFUNCTION("""COMPUTED_VALUE"""),"Sagres Automação Comercial")</f>
        <v>Sagres Automação Comercial</v>
      </c>
      <c r="N180" s="33">
        <f>IFERROR(__xludf.DUMMYFUNCTION("""COMPUTED_VALUE"""),0.851063829787234)</f>
        <v>0.8510638298</v>
      </c>
      <c r="O180" s="4" t="str">
        <f>IFERROR(__xludf.DUMMYFUNCTION("""COMPUTED_VALUE"""),"Sagres Automação Comercial")</f>
        <v>Sagres Automação Comercial</v>
      </c>
      <c r="P180" s="33">
        <f>IFERROR(__xludf.DUMMYFUNCTION("""COMPUTED_VALUE"""),0.851063829787234)</f>
        <v>0.8510638298</v>
      </c>
      <c r="Q180" s="4" t="str">
        <f>IFERROR(__xludf.DUMMYFUNCTION("""COMPUTED_VALUE"""),"Sagres Automação Comercial")</f>
        <v>Sagres Automação Comercial</v>
      </c>
      <c r="R180" s="33">
        <f>IFERROR(__xludf.DUMMYFUNCTION("""COMPUTED_VALUE"""),0.6808510638297872)</f>
        <v>0.6808510638</v>
      </c>
      <c r="S180" s="4" t="str">
        <f>IFERROR(__xludf.DUMMYFUNCTION("""COMPUTED_VALUE"""),"Sagres Automação Comercial")</f>
        <v>Sagres Automação Comercial</v>
      </c>
      <c r="T180" s="33">
        <f>IFERROR(__xludf.DUMMYFUNCTION("""COMPUTED_VALUE"""),0.723404255319149)</f>
        <v>0.7234042553</v>
      </c>
      <c r="U180" s="4" t="str">
        <f>IFERROR(__xludf.DUMMYFUNCTION("""COMPUTED_VALUE"""),"Sagres Automação Comercial")</f>
        <v>Sagres Automação Comercial</v>
      </c>
      <c r="V180" s="33">
        <f>IFERROR(__xludf.DUMMYFUNCTION("""COMPUTED_VALUE"""),0.6808510638297872)</f>
        <v>0.6808510638</v>
      </c>
      <c r="W180" s="4" t="str">
        <f>IFERROR(__xludf.DUMMYFUNCTION("""COMPUTED_VALUE"""),"Sagres Automação Comercial")</f>
        <v>Sagres Automação Comercial</v>
      </c>
      <c r="X180" s="33">
        <f>IFERROR(__xludf.DUMMYFUNCTION("""COMPUTED_VALUE"""),0.7872340425531915)</f>
        <v>0.7872340426</v>
      </c>
    </row>
    <row r="181">
      <c r="A181" s="4" t="str">
        <f>IFERROR(__xludf.DUMMYFUNCTION("""COMPUTED_VALUE"""),"REDE GOURMET")</f>
        <v>REDE GOURMET</v>
      </c>
      <c r="B181" s="4">
        <f>IFERROR(__xludf.DUMMYFUNCTION("""COMPUTED_VALUE"""),2.0)</f>
        <v>2</v>
      </c>
      <c r="C181" s="30">
        <f>IFERROR(__xludf.DUMMYFUNCTION("""COMPUTED_VALUE"""),64.0)</f>
        <v>64</v>
      </c>
      <c r="D181" s="4" t="str">
        <f>IFERROR(__xludf.DUMMYFUNCTION("""COMPUTED_VALUE"""),"Fast Casual - Multi-conceito")</f>
        <v>Fast Casual - Multi-conceito</v>
      </c>
      <c r="E181" s="4" t="str">
        <f>IFERROR(__xludf.DUMMYFUNCTION("""COMPUTED_VALUE"""),"Regional")</f>
        <v>Regional</v>
      </c>
      <c r="F181" s="4" t="str">
        <f>IFERROR(__xludf.DUMMYFUNCTION("""COMPUTED_VALUE"""),"Dado não disponível publicamente - Necessário Discovery")</f>
        <v>Dado não disponível publicamente - Necessário Discovery</v>
      </c>
      <c r="G181" s="4">
        <f>IFERROR(__xludf.DUMMYFUNCTION("""COMPUTED_VALUE"""),65.0)</f>
        <v>65</v>
      </c>
      <c r="H181" s="31">
        <f>IFERROR(__xludf.DUMMYFUNCTION("""COMPUTED_VALUE"""),0.75)</f>
        <v>0.75</v>
      </c>
      <c r="I18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81" s="4" t="str">
        <f>IFERROR(__xludf.DUMMYFUNCTION("""COMPUTED_VALUE"""),"NANICA")</f>
        <v>NANICA</v>
      </c>
      <c r="L181" s="32">
        <f>IFERROR(__xludf.DUMMYFUNCTION("""COMPUTED_VALUE"""),47.0)</f>
        <v>47</v>
      </c>
      <c r="M181" s="4" t="str">
        <f>IFERROR(__xludf.DUMMYFUNCTION("""COMPUTED_VALUE"""),"E-deploy Retail")</f>
        <v>E-deploy Retail</v>
      </c>
      <c r="N181" s="33">
        <f>IFERROR(__xludf.DUMMYFUNCTION("""COMPUTED_VALUE"""),0.9148936170212766)</f>
        <v>0.914893617</v>
      </c>
      <c r="O181" s="4" t="str">
        <f>IFERROR(__xludf.DUMMYFUNCTION("""COMPUTED_VALUE"""),"E-deploy Retail")</f>
        <v>E-deploy Retail</v>
      </c>
      <c r="P181" s="33">
        <f>IFERROR(__xludf.DUMMYFUNCTION("""COMPUTED_VALUE"""),0.8936170212765957)</f>
        <v>0.8936170213</v>
      </c>
      <c r="Q181" s="4" t="str">
        <f>IFERROR(__xludf.DUMMYFUNCTION("""COMPUTED_VALUE"""),"E-deploy Retail")</f>
        <v>E-deploy Retail</v>
      </c>
      <c r="R181" s="33">
        <f>IFERROR(__xludf.DUMMYFUNCTION("""COMPUTED_VALUE"""),0.8723404255319149)</f>
        <v>0.8723404255</v>
      </c>
      <c r="S181" s="4" t="str">
        <f>IFERROR(__xludf.DUMMYFUNCTION("""COMPUTED_VALUE"""),"E-deploy Retail")</f>
        <v>E-deploy Retail</v>
      </c>
      <c r="T181" s="33">
        <f>IFERROR(__xludf.DUMMYFUNCTION("""COMPUTED_VALUE"""),0.8723404255319149)</f>
        <v>0.8723404255</v>
      </c>
      <c r="U181" s="4" t="str">
        <f>IFERROR(__xludf.DUMMYFUNCTION("""COMPUTED_VALUE"""),"E-deploy Retail")</f>
        <v>E-deploy Retail</v>
      </c>
      <c r="V181" s="33">
        <f>IFERROR(__xludf.DUMMYFUNCTION("""COMPUTED_VALUE"""),0.851063829787234)</f>
        <v>0.8510638298</v>
      </c>
      <c r="W181" s="4" t="str">
        <f>IFERROR(__xludf.DUMMYFUNCTION("""COMPUTED_VALUE"""),"E-deploy Retail")</f>
        <v>E-deploy Retail</v>
      </c>
      <c r="X181" s="33">
        <f>IFERROR(__xludf.DUMMYFUNCTION("""COMPUTED_VALUE"""),0.8936170212765957)</f>
        <v>0.8936170213</v>
      </c>
    </row>
    <row r="182">
      <c r="A182" s="4" t="str">
        <f>IFERROR(__xludf.DUMMYFUNCTION("""COMPUTED_VALUE"""),"REI DA PIZZA - CONTA MARCA")</f>
        <v>REI DA PIZZA - CONTA MARCA</v>
      </c>
      <c r="B182" s="4">
        <f>IFERROR(__xludf.DUMMYFUNCTION("""COMPUTED_VALUE"""),7.0)</f>
        <v>7</v>
      </c>
      <c r="C182" s="30">
        <f>IFERROR(__xludf.DUMMYFUNCTION("""COMPUTED_VALUE"""),74.0)</f>
        <v>74</v>
      </c>
      <c r="D182" s="4" t="str">
        <f>IFERROR(__xludf.DUMMYFUNCTION("""COMPUTED_VALUE"""),"Fast Casual - Pizzaria")</f>
        <v>Fast Casual - Pizzaria</v>
      </c>
      <c r="E182" s="4" t="str">
        <f>IFERROR(__xludf.DUMMYFUNCTION("""COMPUTED_VALUE"""),"Sul")</f>
        <v>Sul</v>
      </c>
      <c r="F182" s="4" t="str">
        <f>IFERROR(__xludf.DUMMYFUNCTION("""COMPUTED_VALUE"""),"Dado não disponível publicamente - Necessário Discovery")</f>
        <v>Dado não disponível publicamente - Necessário Discovery</v>
      </c>
      <c r="G182" s="4">
        <f>IFERROR(__xludf.DUMMYFUNCTION("""COMPUTED_VALUE"""),70.0)</f>
        <v>70</v>
      </c>
      <c r="H182" s="31">
        <f>IFERROR(__xludf.DUMMYFUNCTION("""COMPUTED_VALUE"""),0.75)</f>
        <v>0.75</v>
      </c>
      <c r="I18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82" s="4" t="str">
        <f>IFERROR(__xludf.DUMMYFUNCTION("""COMPUTED_VALUE"""),"ULTRA POPULAR - CONTA PAI")</f>
        <v>ULTRA POPULAR - CONTA PAI</v>
      </c>
      <c r="L182" s="32">
        <f>IFERROR(__xludf.DUMMYFUNCTION("""COMPUTED_VALUE"""),47.0)</f>
        <v>47</v>
      </c>
      <c r="M182" s="4" t="str">
        <f>IFERROR(__xludf.DUMMYFUNCTION("""COMPUTED_VALUE"""),"N/A (Not found)")</f>
        <v>N/A (Not found)</v>
      </c>
      <c r="N182" s="33">
        <f>IFERROR(__xludf.DUMMYFUNCTION("""COMPUTED_VALUE"""),0.9574468085106383)</f>
        <v>0.9574468085</v>
      </c>
      <c r="O182" s="4" t="str">
        <f>IFERROR(__xludf.DUMMYFUNCTION("""COMPUTED_VALUE"""),"N/A (Not found)")</f>
        <v>N/A (Not found)</v>
      </c>
      <c r="P182" s="33">
        <f>IFERROR(__xludf.DUMMYFUNCTION("""COMPUTED_VALUE"""),0.9787234042553191)</f>
        <v>0.9787234043</v>
      </c>
      <c r="Q182" s="4" t="str">
        <f>IFERROR(__xludf.DUMMYFUNCTION("""COMPUTED_VALUE"""),"N/A (Not found)")</f>
        <v>N/A (Not found)</v>
      </c>
      <c r="R182" s="33">
        <f>IFERROR(__xludf.DUMMYFUNCTION("""COMPUTED_VALUE"""),0.9787234042553191)</f>
        <v>0.9787234043</v>
      </c>
      <c r="S182" s="4" t="str">
        <f>IFERROR(__xludf.DUMMYFUNCTION("""COMPUTED_VALUE"""),"N/A (Not found)")</f>
        <v>N/A (Not found)</v>
      </c>
      <c r="T182" s="33">
        <f>IFERROR(__xludf.DUMMYFUNCTION("""COMPUTED_VALUE"""),1.0)</f>
        <v>1</v>
      </c>
      <c r="U182" s="4" t="str">
        <f>IFERROR(__xludf.DUMMYFUNCTION("""COMPUTED_VALUE"""),"N/A (Not found)")</f>
        <v>N/A (Not found)</v>
      </c>
      <c r="V182" s="33">
        <f>IFERROR(__xludf.DUMMYFUNCTION("""COMPUTED_VALUE"""),1.0)</f>
        <v>1</v>
      </c>
      <c r="W182" s="4" t="str">
        <f>IFERROR(__xludf.DUMMYFUNCTION("""COMPUTED_VALUE"""),"N/A (Not found)")</f>
        <v>N/A (Not found)</v>
      </c>
      <c r="X182" s="33">
        <f>IFERROR(__xludf.DUMMYFUNCTION("""COMPUTED_VALUE"""),1.0)</f>
        <v>1</v>
      </c>
    </row>
    <row r="183">
      <c r="A183" s="4" t="str">
        <f>IFERROR(__xludf.DUMMYFUNCTION("""COMPUTED_VALUE"""),"REI DO ACAI")</f>
        <v>REI DO ACAI</v>
      </c>
      <c r="B183" s="4">
        <f>IFERROR(__xludf.DUMMYFUNCTION("""COMPUTED_VALUE"""),11.0)</f>
        <v>11</v>
      </c>
      <c r="C183" s="30">
        <f>IFERROR(__xludf.DUMMYFUNCTION("""COMPUTED_VALUE"""),25.0)</f>
        <v>25</v>
      </c>
      <c r="D183" s="4" t="str">
        <f>IFERROR(__xludf.DUMMYFUNCTION("""COMPUTED_VALUE"""),"QSR - Açaí/Poke")</f>
        <v>QSR - Açaí/Poke</v>
      </c>
      <c r="E183" s="4" t="str">
        <f>IFERROR(__xludf.DUMMYFUNCTION("""COMPUTED_VALUE"""),"Nacional")</f>
        <v>Nacional</v>
      </c>
      <c r="F183" s="4" t="str">
        <f>IFERROR(__xludf.DUMMYFUNCTION("""COMPUTED_VALUE"""),"Dado não disponível publicamente - Necessário Discovery")</f>
        <v>Dado não disponível publicamente - Necessário Discovery</v>
      </c>
      <c r="G183" s="4">
        <f>IFERROR(__xludf.DUMMYFUNCTION("""COMPUTED_VALUE"""),70.0)</f>
        <v>70</v>
      </c>
      <c r="H183" s="31">
        <f>IFERROR(__xludf.DUMMYFUNCTION("""COMPUTED_VALUE"""),0.9)</f>
        <v>0.9</v>
      </c>
      <c r="I183"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183" s="4" t="str">
        <f>IFERROR(__xludf.DUMMYFUNCTION("""COMPUTED_VALUE"""),"GRUPO ANTARIS")</f>
        <v>GRUPO ANTARIS</v>
      </c>
      <c r="L183" s="32">
        <f>IFERROR(__xludf.DUMMYFUNCTION("""COMPUTED_VALUE"""),46.0)</f>
        <v>46</v>
      </c>
      <c r="M183" s="4" t="str">
        <f>IFERROR(__xludf.DUMMYFUNCTION("""COMPUTED_VALUE"""),"E-deploy Retail")</f>
        <v>E-deploy Retail</v>
      </c>
      <c r="N183" s="33">
        <f>IFERROR(__xludf.DUMMYFUNCTION("""COMPUTED_VALUE"""),0.7659574468085106)</f>
        <v>0.7659574468</v>
      </c>
      <c r="O183" s="4" t="str">
        <f>IFERROR(__xludf.DUMMYFUNCTION("""COMPUTED_VALUE"""),"E-deploy Retail")</f>
        <v>E-deploy Retail</v>
      </c>
      <c r="P183" s="33">
        <f>IFERROR(__xludf.DUMMYFUNCTION("""COMPUTED_VALUE"""),0.7659574468085106)</f>
        <v>0.7659574468</v>
      </c>
      <c r="Q183" s="4" t="str">
        <f>IFERROR(__xludf.DUMMYFUNCTION("""COMPUTED_VALUE"""),"E-deploy Retail")</f>
        <v>E-deploy Retail</v>
      </c>
      <c r="R183" s="33">
        <f>IFERROR(__xludf.DUMMYFUNCTION("""COMPUTED_VALUE"""),0.723404255319149)</f>
        <v>0.7234042553</v>
      </c>
      <c r="S183" s="4" t="str">
        <f>IFERROR(__xludf.DUMMYFUNCTION("""COMPUTED_VALUE"""),"E-deploy Retail")</f>
        <v>E-deploy Retail</v>
      </c>
      <c r="T183" s="33">
        <f>IFERROR(__xludf.DUMMYFUNCTION("""COMPUTED_VALUE"""),0.723404255319149)</f>
        <v>0.7234042553</v>
      </c>
      <c r="U183" s="4" t="str">
        <f>IFERROR(__xludf.DUMMYFUNCTION("""COMPUTED_VALUE"""),"E-deploy Retail")</f>
        <v>E-deploy Retail</v>
      </c>
      <c r="V183" s="33">
        <f>IFERROR(__xludf.DUMMYFUNCTION("""COMPUTED_VALUE"""),0.5531914893617021)</f>
        <v>0.5531914894</v>
      </c>
      <c r="W183" s="4" t="str">
        <f>IFERROR(__xludf.DUMMYFUNCTION("""COMPUTED_VALUE"""),"E-deploy Retail")</f>
        <v>E-deploy Retail</v>
      </c>
      <c r="X183" s="33">
        <f>IFERROR(__xludf.DUMMYFUNCTION("""COMPUTED_VALUE"""),0.5957446808510638)</f>
        <v>0.5957446809</v>
      </c>
    </row>
    <row r="184">
      <c r="A184" s="4" t="str">
        <f>IFERROR(__xludf.DUMMYFUNCTION("""COMPUTED_VALUE"""),"REI DO SUSHI")</f>
        <v>REI DO SUSHI</v>
      </c>
      <c r="B184" s="4">
        <f>IFERROR(__xludf.DUMMYFUNCTION("""COMPUTED_VALUE"""),8.0)</f>
        <v>8</v>
      </c>
      <c r="C184" s="30">
        <f>IFERROR(__xludf.DUMMYFUNCTION("""COMPUTED_VALUE"""),105.0)</f>
        <v>105</v>
      </c>
      <c r="D184" s="4" t="str">
        <f>IFERROR(__xludf.DUMMYFUNCTION("""COMPUTED_VALUE"""),"Fast Casual - Japonesa")</f>
        <v>Fast Casual - Japonesa</v>
      </c>
      <c r="E184" s="4" t="str">
        <f>IFERROR(__xludf.DUMMYFUNCTION("""COMPUTED_VALUE"""),"Rio de Janeiro/RJ")</f>
        <v>Rio de Janeiro/RJ</v>
      </c>
      <c r="F184" s="4" t="str">
        <f>IFERROR(__xludf.DUMMYFUNCTION("""COMPUTED_VALUE"""),"Dado não disponível publicamente - Necessário Discovery")</f>
        <v>Dado não disponível publicamente - Necessário Discovery</v>
      </c>
      <c r="G184" s="4">
        <f>IFERROR(__xludf.DUMMYFUNCTION("""COMPUTED_VALUE"""),70.0)</f>
        <v>70</v>
      </c>
      <c r="H184" s="31">
        <f>IFERROR(__xludf.DUMMYFUNCTION("""COMPUTED_VALUE"""),0.75)</f>
        <v>0.75</v>
      </c>
      <c r="I18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84" s="4" t="str">
        <f>IFERROR(__xludf.DUMMYFUNCTION("""COMPUTED_VALUE"""),"DROGARIA SANTA LUCIA - CONTA PAI")</f>
        <v>DROGARIA SANTA LUCIA - CONTA PAI</v>
      </c>
      <c r="L184" s="32">
        <f>IFERROR(__xludf.DUMMYFUNCTION("""COMPUTED_VALUE"""),46.0)</f>
        <v>46</v>
      </c>
      <c r="M184" s="4" t="str">
        <f>IFERROR(__xludf.DUMMYFUNCTION("""COMPUTED_VALUE"""),"N/A (Not found)")</f>
        <v>N/A (Not found)</v>
      </c>
      <c r="N184" s="33">
        <f>IFERROR(__xludf.DUMMYFUNCTION("""COMPUTED_VALUE"""),1.0)</f>
        <v>1</v>
      </c>
      <c r="O184" s="4" t="str">
        <f>IFERROR(__xludf.DUMMYFUNCTION("""COMPUTED_VALUE"""),"N/A (Not found)")</f>
        <v>N/A (Not found)</v>
      </c>
      <c r="P184" s="33">
        <f>IFERROR(__xludf.DUMMYFUNCTION("""COMPUTED_VALUE"""),1.0)</f>
        <v>1</v>
      </c>
      <c r="Q184" s="4" t="str">
        <f>IFERROR(__xludf.DUMMYFUNCTION("""COMPUTED_VALUE"""),"N/A (Not found)")</f>
        <v>N/A (Not found)</v>
      </c>
      <c r="R184" s="33">
        <f>IFERROR(__xludf.DUMMYFUNCTION("""COMPUTED_VALUE"""),1.0)</f>
        <v>1</v>
      </c>
      <c r="S184" s="4" t="str">
        <f>IFERROR(__xludf.DUMMYFUNCTION("""COMPUTED_VALUE"""),"N/A (Not found)")</f>
        <v>N/A (Not found)</v>
      </c>
      <c r="T184" s="33">
        <f>IFERROR(__xludf.DUMMYFUNCTION("""COMPUTED_VALUE"""),1.0)</f>
        <v>1</v>
      </c>
      <c r="U184" s="4" t="str">
        <f>IFERROR(__xludf.DUMMYFUNCTION("""COMPUTED_VALUE"""),"N/A (Not found)")</f>
        <v>N/A (Not found)</v>
      </c>
      <c r="V184" s="33">
        <f>IFERROR(__xludf.DUMMYFUNCTION("""COMPUTED_VALUE"""),0.9782608695652174)</f>
        <v>0.9782608696</v>
      </c>
      <c r="W184" s="4" t="str">
        <f>IFERROR(__xludf.DUMMYFUNCTION("""COMPUTED_VALUE"""),"N/A (Not found)")</f>
        <v>N/A (Not found)</v>
      </c>
      <c r="X184" s="33">
        <f>IFERROR(__xludf.DUMMYFUNCTION("""COMPUTED_VALUE"""),0.9782608695652174)</f>
        <v>0.9782608696</v>
      </c>
    </row>
    <row r="185">
      <c r="A185" s="4" t="str">
        <f>IFERROR(__xludf.DUMMYFUNCTION("""COMPUTED_VALUE"""),"RISTORANTE MARIA ANTONIETA")</f>
        <v>RISTORANTE MARIA ANTONIETA</v>
      </c>
      <c r="B185" s="4">
        <f>IFERROR(__xludf.DUMMYFUNCTION("""COMPUTED_VALUE"""),7.0)</f>
        <v>7</v>
      </c>
      <c r="C185" s="30">
        <f>IFERROR(__xludf.DUMMYFUNCTION("""COMPUTED_VALUE"""),63.0)</f>
        <v>63</v>
      </c>
      <c r="D185" s="4" t="str">
        <f>IFERROR(__xludf.DUMMYFUNCTION("""COMPUTED_VALUE"""),"Fast Casual - Multi-conceito")</f>
        <v>Fast Casual - Multi-conceito</v>
      </c>
      <c r="E185" s="4" t="str">
        <f>IFERROR(__xludf.DUMMYFUNCTION("""COMPUTED_VALUE"""),"Belo Horizonte/MG")</f>
        <v>Belo Horizonte/MG</v>
      </c>
      <c r="F185" s="4" t="str">
        <f>IFERROR(__xludf.DUMMYFUNCTION("""COMPUTED_VALUE"""),"Dado não disponível publicamente - Necessário Discovery")</f>
        <v>Dado não disponível publicamente - Necessário Discovery</v>
      </c>
      <c r="G185" s="4">
        <f>IFERROR(__xludf.DUMMYFUNCTION("""COMPUTED_VALUE"""),70.0)</f>
        <v>70</v>
      </c>
      <c r="H185" s="31">
        <f>IFERROR(__xludf.DUMMYFUNCTION("""COMPUTED_VALUE"""),0.75)</f>
        <v>0.75</v>
      </c>
      <c r="I18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85" s="4" t="str">
        <f>IFERROR(__xludf.DUMMYFUNCTION("""COMPUTED_VALUE"""),"GRUPO KERO")</f>
        <v>GRUPO KERO</v>
      </c>
      <c r="L185" s="32">
        <f>IFERROR(__xludf.DUMMYFUNCTION("""COMPUTED_VALUE"""),46.0)</f>
        <v>46</v>
      </c>
      <c r="M185" s="4" t="str">
        <f>IFERROR(__xludf.DUMMYFUNCTION("""COMPUTED_VALUE"""),"Saipos Serviços De Software")</f>
        <v>Saipos Serviços De Software</v>
      </c>
      <c r="N185" s="33">
        <f>IFERROR(__xludf.DUMMYFUNCTION("""COMPUTED_VALUE"""),0.8695652173913043)</f>
        <v>0.8695652174</v>
      </c>
      <c r="O185" s="4" t="str">
        <f>IFERROR(__xludf.DUMMYFUNCTION("""COMPUTED_VALUE"""),"Saipos Serviços De Software")</f>
        <v>Saipos Serviços De Software</v>
      </c>
      <c r="P185" s="33">
        <f>IFERROR(__xludf.DUMMYFUNCTION("""COMPUTED_VALUE"""),0.8913043478260869)</f>
        <v>0.8913043478</v>
      </c>
      <c r="Q185" s="4" t="str">
        <f>IFERROR(__xludf.DUMMYFUNCTION("""COMPUTED_VALUE"""),"Saipos Serviços De Software")</f>
        <v>Saipos Serviços De Software</v>
      </c>
      <c r="R185" s="33">
        <f>IFERROR(__xludf.DUMMYFUNCTION("""COMPUTED_VALUE"""),0.8913043478260869)</f>
        <v>0.8913043478</v>
      </c>
      <c r="S185" s="4" t="str">
        <f>IFERROR(__xludf.DUMMYFUNCTION("""COMPUTED_VALUE"""),"Saipos Serviços De Software")</f>
        <v>Saipos Serviços De Software</v>
      </c>
      <c r="T185" s="33">
        <f>IFERROR(__xludf.DUMMYFUNCTION("""COMPUTED_VALUE"""),0.8913043478260869)</f>
        <v>0.8913043478</v>
      </c>
      <c r="U185" s="4" t="str">
        <f>IFERROR(__xludf.DUMMYFUNCTION("""COMPUTED_VALUE"""),"Saipos Serviços De Software")</f>
        <v>Saipos Serviços De Software</v>
      </c>
      <c r="V185" s="33">
        <f>IFERROR(__xludf.DUMMYFUNCTION("""COMPUTED_VALUE"""),0.8913043478260869)</f>
        <v>0.8913043478</v>
      </c>
      <c r="W185" s="4" t="str">
        <f>IFERROR(__xludf.DUMMYFUNCTION("""COMPUTED_VALUE"""),"Saipos Serviços De Software")</f>
        <v>Saipos Serviços De Software</v>
      </c>
      <c r="X185" s="33">
        <f>IFERROR(__xludf.DUMMYFUNCTION("""COMPUTED_VALUE"""),0.8913043478260869)</f>
        <v>0.8913043478</v>
      </c>
    </row>
    <row r="186">
      <c r="A186" s="4" t="str">
        <f>IFERROR(__xludf.DUMMYFUNCTION("""COMPUTED_VALUE"""),"REZENDOG FAST FOOD")</f>
        <v>REZENDOG FAST FOOD</v>
      </c>
      <c r="B186" s="4">
        <f>IFERROR(__xludf.DUMMYFUNCTION("""COMPUTED_VALUE"""),9.0)</f>
        <v>9</v>
      </c>
      <c r="C186" s="30">
        <f>IFERROR(__xludf.DUMMYFUNCTION("""COMPUTED_VALUE"""),44.0)</f>
        <v>44</v>
      </c>
      <c r="D186" s="4" t="str">
        <f>IFERROR(__xludf.DUMMYFUNCTION("""COMPUTED_VALUE"""),"QSR - Hot Dog")</f>
        <v>QSR - Hot Dog</v>
      </c>
      <c r="E186" s="4" t="str">
        <f>IFERROR(__xludf.DUMMYFUNCTION("""COMPUTED_VALUE"""),"São Paulo/SP")</f>
        <v>São Paulo/SP</v>
      </c>
      <c r="F186" s="4" t="str">
        <f>IFERROR(__xludf.DUMMYFUNCTION("""COMPUTED_VALUE"""),"Dado não disponível publicamente - Necessário Discovery")</f>
        <v>Dado não disponível publicamente - Necessário Discovery</v>
      </c>
      <c r="G186" s="4">
        <f>IFERROR(__xludf.DUMMYFUNCTION("""COMPUTED_VALUE"""),70.0)</f>
        <v>70</v>
      </c>
      <c r="H186" s="31">
        <f>IFERROR(__xludf.DUMMYFUNCTION("""COMPUTED_VALUE"""),0.85)</f>
        <v>0.85</v>
      </c>
      <c r="I186"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186" s="4" t="str">
        <f>IFERROR(__xludf.DUMMYFUNCTION("""COMPUTED_VALUE"""),"PRECOLANDIA - CONTA MARCA")</f>
        <v>PRECOLANDIA - CONTA MARCA</v>
      </c>
      <c r="L186" s="32">
        <f>IFERROR(__xludf.DUMMYFUNCTION("""COMPUTED_VALUE"""),46.0)</f>
        <v>46</v>
      </c>
      <c r="M186" s="4" t="str">
        <f>IFERROR(__xludf.DUMMYFUNCTION("""COMPUTED_VALUE"""),"N/A (Not found)")</f>
        <v>N/A (Not found)</v>
      </c>
      <c r="N186" s="33">
        <f>IFERROR(__xludf.DUMMYFUNCTION("""COMPUTED_VALUE"""),0.9347826086956522)</f>
        <v>0.9347826087</v>
      </c>
      <c r="O186" s="4" t="str">
        <f>IFERROR(__xludf.DUMMYFUNCTION("""COMPUTED_VALUE"""),"N/A (Not found)")</f>
        <v>N/A (Not found)</v>
      </c>
      <c r="P186" s="33">
        <f>IFERROR(__xludf.DUMMYFUNCTION("""COMPUTED_VALUE"""),0.9782608695652174)</f>
        <v>0.9782608696</v>
      </c>
      <c r="Q186" s="4" t="str">
        <f>IFERROR(__xludf.DUMMYFUNCTION("""COMPUTED_VALUE"""),"N/A (Not found)")</f>
        <v>N/A (Not found)</v>
      </c>
      <c r="R186" s="33">
        <f>IFERROR(__xludf.DUMMYFUNCTION("""COMPUTED_VALUE"""),0.9782608695652174)</f>
        <v>0.9782608696</v>
      </c>
      <c r="S186" s="4" t="str">
        <f>IFERROR(__xludf.DUMMYFUNCTION("""COMPUTED_VALUE"""),"N/A (Not found)")</f>
        <v>N/A (Not found)</v>
      </c>
      <c r="T186" s="33">
        <f>IFERROR(__xludf.DUMMYFUNCTION("""COMPUTED_VALUE"""),0.9565217391304348)</f>
        <v>0.9565217391</v>
      </c>
      <c r="U186" s="4" t="str">
        <f>IFERROR(__xludf.DUMMYFUNCTION("""COMPUTED_VALUE"""),"N/A (Not found)")</f>
        <v>N/A (Not found)</v>
      </c>
      <c r="V186" s="33">
        <f>IFERROR(__xludf.DUMMYFUNCTION("""COMPUTED_VALUE"""),0.9565217391304348)</f>
        <v>0.9565217391</v>
      </c>
      <c r="W186" s="4" t="str">
        <f>IFERROR(__xludf.DUMMYFUNCTION("""COMPUTED_VALUE"""),"N/A (Not found)")</f>
        <v>N/A (Not found)</v>
      </c>
      <c r="X186" s="33">
        <f>IFERROR(__xludf.DUMMYFUNCTION("""COMPUTED_VALUE"""),0.9565217391304348)</f>
        <v>0.9565217391</v>
      </c>
    </row>
    <row r="187">
      <c r="A187" s="4" t="str">
        <f>IFERROR(__xludf.DUMMYFUNCTION("""COMPUTED_VALUE"""),"RINCONCITO PERUANO")</f>
        <v>RINCONCITO PERUANO</v>
      </c>
      <c r="B187" s="4">
        <f>IFERROR(__xludf.DUMMYFUNCTION("""COMPUTED_VALUE"""),7.0)</f>
        <v>7</v>
      </c>
      <c r="C187" s="30">
        <f>IFERROR(__xludf.DUMMYFUNCTION("""COMPUTED_VALUE"""),69.0)</f>
        <v>69</v>
      </c>
      <c r="D187" s="4" t="str">
        <f>IFERROR(__xludf.DUMMYFUNCTION("""COMPUTED_VALUE"""),"Fast Casual - Multi-conceito")</f>
        <v>Fast Casual - Multi-conceito</v>
      </c>
      <c r="E187" s="4" t="str">
        <f>IFERROR(__xludf.DUMMYFUNCTION("""COMPUTED_VALUE"""),"São Paulo/SP")</f>
        <v>São Paulo/SP</v>
      </c>
      <c r="F187" s="4" t="str">
        <f>IFERROR(__xludf.DUMMYFUNCTION("""COMPUTED_VALUE"""),"Dado não disponível publicamente - Necessário Discovery")</f>
        <v>Dado não disponível publicamente - Necessário Discovery</v>
      </c>
      <c r="G187" s="4">
        <f>IFERROR(__xludf.DUMMYFUNCTION("""COMPUTED_VALUE"""),70.0)</f>
        <v>70</v>
      </c>
      <c r="H187" s="31">
        <f>IFERROR(__xludf.DUMMYFUNCTION("""COMPUTED_VALUE"""),0.75)</f>
        <v>0.75</v>
      </c>
      <c r="I18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87" s="4" t="str">
        <f>IFERROR(__xludf.DUMMYFUNCTION("""COMPUTED_VALUE"""),"AMERICAN COOKIES")</f>
        <v>AMERICAN COOKIES</v>
      </c>
      <c r="L187" s="32">
        <f>IFERROR(__xludf.DUMMYFUNCTION("""COMPUTED_VALUE"""),45.0)</f>
        <v>45</v>
      </c>
      <c r="M187" s="4" t="str">
        <f>IFERROR(__xludf.DUMMYFUNCTION("""COMPUTED_VALUE"""),"Swfast Sistemas")</f>
        <v>Swfast Sistemas</v>
      </c>
      <c r="N187" s="33">
        <f>IFERROR(__xludf.DUMMYFUNCTION("""COMPUTED_VALUE"""),0.8444444444444444)</f>
        <v>0.8444444444</v>
      </c>
      <c r="O187" s="4" t="str">
        <f>IFERROR(__xludf.DUMMYFUNCTION("""COMPUTED_VALUE"""),"Swfast Sistemas")</f>
        <v>Swfast Sistemas</v>
      </c>
      <c r="P187" s="33">
        <f>IFERROR(__xludf.DUMMYFUNCTION("""COMPUTED_VALUE"""),0.7555555555555555)</f>
        <v>0.7555555556</v>
      </c>
      <c r="Q187" s="4" t="str">
        <f>IFERROR(__xludf.DUMMYFUNCTION("""COMPUTED_VALUE"""),"Swfast Sistemas")</f>
        <v>Swfast Sistemas</v>
      </c>
      <c r="R187" s="33">
        <f>IFERROR(__xludf.DUMMYFUNCTION("""COMPUTED_VALUE"""),0.7555555555555555)</f>
        <v>0.7555555556</v>
      </c>
      <c r="S187" s="4" t="str">
        <f>IFERROR(__xludf.DUMMYFUNCTION("""COMPUTED_VALUE"""),"Swfast Sistemas")</f>
        <v>Swfast Sistemas</v>
      </c>
      <c r="T187" s="33">
        <f>IFERROR(__xludf.DUMMYFUNCTION("""COMPUTED_VALUE"""),0.8444444444444444)</f>
        <v>0.8444444444</v>
      </c>
      <c r="U187" s="4" t="str">
        <f>IFERROR(__xludf.DUMMYFUNCTION("""COMPUTED_VALUE"""),"Swfast Sistemas")</f>
        <v>Swfast Sistemas</v>
      </c>
      <c r="V187" s="33">
        <f>IFERROR(__xludf.DUMMYFUNCTION("""COMPUTED_VALUE"""),0.7777777777777778)</f>
        <v>0.7777777778</v>
      </c>
      <c r="W187" s="4" t="str">
        <f>IFERROR(__xludf.DUMMYFUNCTION("""COMPUTED_VALUE"""),"Swfast Sistemas")</f>
        <v>Swfast Sistemas</v>
      </c>
      <c r="X187" s="33">
        <f>IFERROR(__xludf.DUMMYFUNCTION("""COMPUTED_VALUE"""),0.8888888888888888)</f>
        <v>0.8888888889</v>
      </c>
    </row>
    <row r="188">
      <c r="A188" s="4" t="str">
        <f>IFERROR(__xludf.DUMMYFUNCTION("""COMPUTED_VALUE"""),"ROCK BURGER - CONTA MARCA")</f>
        <v>ROCK BURGER - CONTA MARCA</v>
      </c>
      <c r="B188" s="4">
        <f>IFERROR(__xludf.DUMMYFUNCTION("""COMPUTED_VALUE"""),10.0)</f>
        <v>10</v>
      </c>
      <c r="C188" s="30">
        <f>IFERROR(__xludf.DUMMYFUNCTION("""COMPUTED_VALUE"""),56.0)</f>
        <v>56</v>
      </c>
      <c r="D188" s="4" t="str">
        <f>IFERROR(__xludf.DUMMYFUNCTION("""COMPUTED_VALUE"""),"Fast Casual - Hamburgueria")</f>
        <v>Fast Casual - Hamburgueria</v>
      </c>
      <c r="E188" s="4" t="str">
        <f>IFERROR(__xludf.DUMMYFUNCTION("""COMPUTED_VALUE"""),"São Paulo/SP")</f>
        <v>São Paulo/SP</v>
      </c>
      <c r="F188" s="4" t="str">
        <f>IFERROR(__xludf.DUMMYFUNCTION("""COMPUTED_VALUE"""),"Dado não disponível publicamente - Necessário Discovery")</f>
        <v>Dado não disponível publicamente - Necessário Discovery</v>
      </c>
      <c r="G188" s="4">
        <f>IFERROR(__xludf.DUMMYFUNCTION("""COMPUTED_VALUE"""),70.0)</f>
        <v>70</v>
      </c>
      <c r="H188" s="31">
        <f>IFERROR(__xludf.DUMMYFUNCTION("""COMPUTED_VALUE"""),0.8)</f>
        <v>0.8</v>
      </c>
      <c r="I188"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188" s="4" t="str">
        <f>IFERROR(__xludf.DUMMYFUNCTION("""COMPUTED_VALUE"""),"DROGARIA MINAS BRASIL - CONTA PAI")</f>
        <v>DROGARIA MINAS BRASIL - CONTA PAI</v>
      </c>
      <c r="L188" s="32">
        <f>IFERROR(__xludf.DUMMYFUNCTION("""COMPUTED_VALUE"""),45.0)</f>
        <v>45</v>
      </c>
      <c r="M188" s="4" t="str">
        <f>IFERROR(__xludf.DUMMYFUNCTION("""COMPUTED_VALUE"""),"null")</f>
        <v>null</v>
      </c>
      <c r="N188" s="33">
        <f>IFERROR(__xludf.DUMMYFUNCTION("""COMPUTED_VALUE"""),0.9777777777777777)</f>
        <v>0.9777777778</v>
      </c>
      <c r="O188" s="4" t="str">
        <f>IFERROR(__xludf.DUMMYFUNCTION("""COMPUTED_VALUE"""),"null")</f>
        <v>null</v>
      </c>
      <c r="P188" s="33">
        <f>IFERROR(__xludf.DUMMYFUNCTION("""COMPUTED_VALUE"""),0.9777777777777777)</f>
        <v>0.9777777778</v>
      </c>
      <c r="Q188" s="4" t="str">
        <f>IFERROR(__xludf.DUMMYFUNCTION("""COMPUTED_VALUE"""),"null")</f>
        <v>null</v>
      </c>
      <c r="R188" s="33">
        <f>IFERROR(__xludf.DUMMYFUNCTION("""COMPUTED_VALUE"""),0.9777777777777777)</f>
        <v>0.9777777778</v>
      </c>
      <c r="S188" s="4" t="str">
        <f>IFERROR(__xludf.DUMMYFUNCTION("""COMPUTED_VALUE"""),"null")</f>
        <v>null</v>
      </c>
      <c r="T188" s="33">
        <f>IFERROR(__xludf.DUMMYFUNCTION("""COMPUTED_VALUE"""),0.7111111111111111)</f>
        <v>0.7111111111</v>
      </c>
      <c r="U188" s="4" t="str">
        <f>IFERROR(__xludf.DUMMYFUNCTION("""COMPUTED_VALUE"""),"N/A (Not found)")</f>
        <v>N/A (Not found)</v>
      </c>
      <c r="V188" s="33">
        <f>IFERROR(__xludf.DUMMYFUNCTION("""COMPUTED_VALUE"""),0.9777777777777777)</f>
        <v>0.9777777778</v>
      </c>
      <c r="W188" s="4" t="str">
        <f>IFERROR(__xludf.DUMMYFUNCTION("""COMPUTED_VALUE"""),"N/A (Not found)")</f>
        <v>N/A (Not found)</v>
      </c>
      <c r="X188" s="33">
        <f>IFERROR(__xludf.DUMMYFUNCTION("""COMPUTED_VALUE"""),0.9777777777777777)</f>
        <v>0.9777777778</v>
      </c>
    </row>
    <row r="189">
      <c r="A189" s="4" t="str">
        <f>IFERROR(__xludf.DUMMYFUNCTION("""COMPUTED_VALUE"""),"SABOR CASEIRO")</f>
        <v>SABOR CASEIRO</v>
      </c>
      <c r="B189" s="4">
        <f>IFERROR(__xludf.DUMMYFUNCTION("""COMPUTED_VALUE"""),7.0)</f>
        <v>7</v>
      </c>
      <c r="C189" s="30">
        <f>IFERROR(__xludf.DUMMYFUNCTION("""COMPUTED_VALUE"""),62.0)</f>
        <v>62</v>
      </c>
      <c r="D189" s="4" t="str">
        <f>IFERROR(__xludf.DUMMYFUNCTION("""COMPUTED_VALUE"""),"Fast Casual - Multi-conceito")</f>
        <v>Fast Casual - Multi-conceito</v>
      </c>
      <c r="E189" s="4" t="str">
        <f>IFERROR(__xludf.DUMMYFUNCTION("""COMPUTED_VALUE"""),"Brasília/DF")</f>
        <v>Brasília/DF</v>
      </c>
      <c r="F189" s="4" t="str">
        <f>IFERROR(__xludf.DUMMYFUNCTION("""COMPUTED_VALUE"""),"Dado não disponível publicamente - Necessário Discovery")</f>
        <v>Dado não disponível publicamente - Necessário Discovery</v>
      </c>
      <c r="G189" s="4">
        <f>IFERROR(__xludf.DUMMYFUNCTION("""COMPUTED_VALUE"""),70.0)</f>
        <v>70</v>
      </c>
      <c r="H189" s="31">
        <f>IFERROR(__xludf.DUMMYFUNCTION("""COMPUTED_VALUE"""),0.75)</f>
        <v>0.75</v>
      </c>
      <c r="I18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89" s="4" t="str">
        <f>IFERROR(__xludf.DUMMYFUNCTION("""COMPUTED_VALUE"""),"DROGARIAS MINAS MAIS - CONTA PAI")</f>
        <v>DROGARIAS MINAS MAIS - CONTA PAI</v>
      </c>
      <c r="L189" s="32">
        <f>IFERROR(__xludf.DUMMYFUNCTION("""COMPUTED_VALUE"""),45.0)</f>
        <v>45</v>
      </c>
      <c r="M189" s="4" t="str">
        <f>IFERROR(__xludf.DUMMYFUNCTION("""COMPUTED_VALUE"""),"N/A (Not found)")</f>
        <v>N/A (Not found)</v>
      </c>
      <c r="N189" s="33">
        <f>IFERROR(__xludf.DUMMYFUNCTION("""COMPUTED_VALUE"""),0.9555555555555556)</f>
        <v>0.9555555556</v>
      </c>
      <c r="O189" s="4" t="str">
        <f>IFERROR(__xludf.DUMMYFUNCTION("""COMPUTED_VALUE"""),"N/A (Not found)")</f>
        <v>N/A (Not found)</v>
      </c>
      <c r="P189" s="33">
        <f>IFERROR(__xludf.DUMMYFUNCTION("""COMPUTED_VALUE"""),0.8888888888888888)</f>
        <v>0.8888888889</v>
      </c>
      <c r="Q189" s="4" t="str">
        <f>IFERROR(__xludf.DUMMYFUNCTION("""COMPUTED_VALUE"""),"N/A (Not found)")</f>
        <v>N/A (Not found)</v>
      </c>
      <c r="R189" s="33">
        <f>IFERROR(__xludf.DUMMYFUNCTION("""COMPUTED_VALUE"""),0.8666666666666667)</f>
        <v>0.8666666667</v>
      </c>
      <c r="S189" s="4" t="str">
        <f>IFERROR(__xludf.DUMMYFUNCTION("""COMPUTED_VALUE"""),"N/A (Not found)")</f>
        <v>N/A (Not found)</v>
      </c>
      <c r="T189" s="33">
        <f>IFERROR(__xludf.DUMMYFUNCTION("""COMPUTED_VALUE"""),0.9111111111111111)</f>
        <v>0.9111111111</v>
      </c>
      <c r="U189" s="4" t="str">
        <f>IFERROR(__xludf.DUMMYFUNCTION("""COMPUTED_VALUE"""),"N/A (Not found)")</f>
        <v>N/A (Not found)</v>
      </c>
      <c r="V189" s="33">
        <f>IFERROR(__xludf.DUMMYFUNCTION("""COMPUTED_VALUE"""),0.9111111111111111)</f>
        <v>0.9111111111</v>
      </c>
      <c r="W189" s="4" t="str">
        <f>IFERROR(__xludf.DUMMYFUNCTION("""COMPUTED_VALUE"""),"N/A (Not found)")</f>
        <v>N/A (Not found)</v>
      </c>
      <c r="X189" s="33">
        <f>IFERROR(__xludf.DUMMYFUNCTION("""COMPUTED_VALUE"""),0.8888888888888888)</f>
        <v>0.8888888889</v>
      </c>
    </row>
    <row r="190">
      <c r="A190" s="4" t="str">
        <f>IFERROR(__xludf.DUMMYFUNCTION("""COMPUTED_VALUE"""),"SAGRADO BOULANGERIE")</f>
        <v>SAGRADO BOULANGERIE</v>
      </c>
      <c r="B190" s="4">
        <f>IFERROR(__xludf.DUMMYFUNCTION("""COMPUTED_VALUE"""),3.0)</f>
        <v>3</v>
      </c>
      <c r="C190" s="30">
        <f>IFERROR(__xludf.DUMMYFUNCTION("""COMPUTED_VALUE"""),72.0)</f>
        <v>72</v>
      </c>
      <c r="D190" s="4" t="str">
        <f>IFERROR(__xludf.DUMMYFUNCTION("""COMPUTED_VALUE"""),"Fast Casual - Multi-conceito")</f>
        <v>Fast Casual - Multi-conceito</v>
      </c>
      <c r="E190" s="4" t="str">
        <f>IFERROR(__xludf.DUMMYFUNCTION("""COMPUTED_VALUE"""),"Nacional")</f>
        <v>Nacional</v>
      </c>
      <c r="F190" s="4" t="str">
        <f>IFERROR(__xludf.DUMMYFUNCTION("""COMPUTED_VALUE"""),"Dado não disponível publicamente - Necessário Discovery")</f>
        <v>Dado não disponível publicamente - Necessário Discovery</v>
      </c>
      <c r="G190" s="4">
        <f>IFERROR(__xludf.DUMMYFUNCTION("""COMPUTED_VALUE"""),65.0)</f>
        <v>65</v>
      </c>
      <c r="H190" s="31">
        <f>IFERROR(__xludf.DUMMYFUNCTION("""COMPUTED_VALUE"""),0.75)</f>
        <v>0.75</v>
      </c>
      <c r="I19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90" s="4" t="str">
        <f>IFERROR(__xludf.DUMMYFUNCTION("""COMPUTED_VALUE"""),"USINA DE MASSAS - CONTA MARCA")</f>
        <v>USINA DE MASSAS - CONTA MARCA</v>
      </c>
      <c r="L190" s="32">
        <f>IFERROR(__xludf.DUMMYFUNCTION("""COMPUTED_VALUE"""),45.0)</f>
        <v>45</v>
      </c>
      <c r="M190" s="4" t="str">
        <f>IFERROR(__xludf.DUMMYFUNCTION("""COMPUTED_VALUE"""),"Opdv")</f>
        <v>Opdv</v>
      </c>
      <c r="N190" s="33">
        <f>IFERROR(__xludf.DUMMYFUNCTION("""COMPUTED_VALUE"""),0.8444444444444444)</f>
        <v>0.8444444444</v>
      </c>
      <c r="O190" s="4" t="str">
        <f>IFERROR(__xludf.DUMMYFUNCTION("""COMPUTED_VALUE"""),"Opdv")</f>
        <v>Opdv</v>
      </c>
      <c r="P190" s="33">
        <f>IFERROR(__xludf.DUMMYFUNCTION("""COMPUTED_VALUE"""),0.8444444444444444)</f>
        <v>0.8444444444</v>
      </c>
      <c r="Q190" s="4" t="str">
        <f>IFERROR(__xludf.DUMMYFUNCTION("""COMPUTED_VALUE"""),"Opdv")</f>
        <v>Opdv</v>
      </c>
      <c r="R190" s="33">
        <f>IFERROR(__xludf.DUMMYFUNCTION("""COMPUTED_VALUE"""),0.8444444444444444)</f>
        <v>0.8444444444</v>
      </c>
      <c r="S190" s="4" t="str">
        <f>IFERROR(__xludf.DUMMYFUNCTION("""COMPUTED_VALUE"""),"Opdv")</f>
        <v>Opdv</v>
      </c>
      <c r="T190" s="33">
        <f>IFERROR(__xludf.DUMMYFUNCTION("""COMPUTED_VALUE"""),0.8666666666666667)</f>
        <v>0.8666666667</v>
      </c>
      <c r="U190" s="4" t="str">
        <f>IFERROR(__xludf.DUMMYFUNCTION("""COMPUTED_VALUE"""),"Opdv")</f>
        <v>Opdv</v>
      </c>
      <c r="V190" s="33">
        <f>IFERROR(__xludf.DUMMYFUNCTION("""COMPUTED_VALUE"""),0.8666666666666667)</f>
        <v>0.8666666667</v>
      </c>
      <c r="W190" s="4" t="str">
        <f>IFERROR(__xludf.DUMMYFUNCTION("""COMPUTED_VALUE"""),"Opdv")</f>
        <v>Opdv</v>
      </c>
      <c r="X190" s="33">
        <f>IFERROR(__xludf.DUMMYFUNCTION("""COMPUTED_VALUE"""),0.8444444444444444)</f>
        <v>0.8444444444</v>
      </c>
    </row>
    <row r="191">
      <c r="A191" s="4" t="str">
        <f>IFERROR(__xludf.DUMMYFUNCTION("""COMPUTED_VALUE"""),"SAIKOU SUSHI EXPRESS")</f>
        <v>SAIKOU SUSHI EXPRESS</v>
      </c>
      <c r="B191" s="4">
        <f>IFERROR(__xludf.DUMMYFUNCTION("""COMPUTED_VALUE"""),11.0)</f>
        <v>11</v>
      </c>
      <c r="C191" s="30">
        <f>IFERROR(__xludf.DUMMYFUNCTION("""COMPUTED_VALUE"""),103.0)</f>
        <v>103</v>
      </c>
      <c r="D191" s="4" t="str">
        <f>IFERROR(__xludf.DUMMYFUNCTION("""COMPUTED_VALUE"""),"Fast Casual - Japonesa")</f>
        <v>Fast Casual - Japonesa</v>
      </c>
      <c r="E191" s="4" t="str">
        <f>IFERROR(__xludf.DUMMYFUNCTION("""COMPUTED_VALUE"""),"São Paulo/SP")</f>
        <v>São Paulo/SP</v>
      </c>
      <c r="F191" s="4" t="str">
        <f>IFERROR(__xludf.DUMMYFUNCTION("""COMPUTED_VALUE"""),"Dado não disponível publicamente - Necessário Discovery")</f>
        <v>Dado não disponível publicamente - Necessário Discovery</v>
      </c>
      <c r="G191" s="4">
        <f>IFERROR(__xludf.DUMMYFUNCTION("""COMPUTED_VALUE"""),70.0)</f>
        <v>70</v>
      </c>
      <c r="H191" s="31">
        <f>IFERROR(__xludf.DUMMYFUNCTION("""COMPUTED_VALUE"""),0.8)</f>
        <v>0.8</v>
      </c>
      <c r="I191"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191" s="4" t="str">
        <f>IFERROR(__xludf.DUMMYFUNCTION("""COMPUTED_VALUE"""),"JAPARTIU")</f>
        <v>JAPARTIU</v>
      </c>
      <c r="L191" s="32">
        <f>IFERROR(__xludf.DUMMYFUNCTION("""COMPUTED_VALUE"""),44.0)</f>
        <v>44</v>
      </c>
      <c r="M191" s="4" t="str">
        <f>IFERROR(__xludf.DUMMYFUNCTION("""COMPUTED_VALUE"""),"Saipos Serviços De Software")</f>
        <v>Saipos Serviços De Software</v>
      </c>
      <c r="N191" s="33">
        <f>IFERROR(__xludf.DUMMYFUNCTION("""COMPUTED_VALUE"""),1.0)</f>
        <v>1</v>
      </c>
      <c r="O191" s="4" t="str">
        <f>IFERROR(__xludf.DUMMYFUNCTION("""COMPUTED_VALUE"""),"Saipos Serviços De Software")</f>
        <v>Saipos Serviços De Software</v>
      </c>
      <c r="P191" s="33">
        <f>IFERROR(__xludf.DUMMYFUNCTION("""COMPUTED_VALUE"""),0.9318181818181818)</f>
        <v>0.9318181818</v>
      </c>
      <c r="Q191" s="4" t="str">
        <f>IFERROR(__xludf.DUMMYFUNCTION("""COMPUTED_VALUE"""),"Saipos Serviços De Software")</f>
        <v>Saipos Serviços De Software</v>
      </c>
      <c r="R191" s="33">
        <f>IFERROR(__xludf.DUMMYFUNCTION("""COMPUTED_VALUE"""),0.9318181818181818)</f>
        <v>0.9318181818</v>
      </c>
      <c r="S191" s="4" t="str">
        <f>IFERROR(__xludf.DUMMYFUNCTION("""COMPUTED_VALUE"""),"Saipos Serviços De Software")</f>
        <v>Saipos Serviços De Software</v>
      </c>
      <c r="T191" s="33">
        <f>IFERROR(__xludf.DUMMYFUNCTION("""COMPUTED_VALUE"""),0.9090909090909091)</f>
        <v>0.9090909091</v>
      </c>
      <c r="U191" s="4" t="str">
        <f>IFERROR(__xludf.DUMMYFUNCTION("""COMPUTED_VALUE"""),"Saipos Serviços De Software")</f>
        <v>Saipos Serviços De Software</v>
      </c>
      <c r="V191" s="33">
        <f>IFERROR(__xludf.DUMMYFUNCTION("""COMPUTED_VALUE"""),0.8409090909090909)</f>
        <v>0.8409090909</v>
      </c>
      <c r="W191" s="4" t="str">
        <f>IFERROR(__xludf.DUMMYFUNCTION("""COMPUTED_VALUE"""),"null")</f>
        <v>null</v>
      </c>
      <c r="X191" s="33">
        <f>IFERROR(__xludf.DUMMYFUNCTION("""COMPUTED_VALUE"""),0.7727272727272727)</f>
        <v>0.7727272727</v>
      </c>
    </row>
    <row r="192">
      <c r="A192" s="4" t="str">
        <f>IFERROR(__xludf.DUMMYFUNCTION("""COMPUTED_VALUE"""),"SAL E BRASA NATAL")</f>
        <v>SAL E BRASA NATAL</v>
      </c>
      <c r="B192" s="4">
        <f>IFERROR(__xludf.DUMMYFUNCTION("""COMPUTED_VALUE"""),8.0)</f>
        <v>8</v>
      </c>
      <c r="C192" s="30">
        <f>IFERROR(__xludf.DUMMYFUNCTION("""COMPUTED_VALUE"""),67.0)</f>
        <v>67</v>
      </c>
      <c r="D192" s="4" t="str">
        <f>IFERROR(__xludf.DUMMYFUNCTION("""COMPUTED_VALUE"""),"Fast Casual - Multi-conceito")</f>
        <v>Fast Casual - Multi-conceito</v>
      </c>
      <c r="E192" s="4" t="str">
        <f>IFERROR(__xludf.DUMMYFUNCTION("""COMPUTED_VALUE"""),"Interior SP")</f>
        <v>Interior SP</v>
      </c>
      <c r="F192" s="4" t="str">
        <f>IFERROR(__xludf.DUMMYFUNCTION("""COMPUTED_VALUE"""),"Dado não disponível publicamente - Necessário Discovery")</f>
        <v>Dado não disponível publicamente - Necessário Discovery</v>
      </c>
      <c r="G192" s="4">
        <f>IFERROR(__xludf.DUMMYFUNCTION("""COMPUTED_VALUE"""),70.0)</f>
        <v>70</v>
      </c>
      <c r="H192" s="31">
        <f>IFERROR(__xludf.DUMMYFUNCTION("""COMPUTED_VALUE"""),0.75)</f>
        <v>0.75</v>
      </c>
      <c r="I19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92" s="4" t="str">
        <f>IFERROR(__xludf.DUMMYFUNCTION("""COMPUTED_VALUE"""),"BAGGIO")</f>
        <v>BAGGIO</v>
      </c>
      <c r="L192" s="32">
        <f>IFERROR(__xludf.DUMMYFUNCTION("""COMPUTED_VALUE"""),43.0)</f>
        <v>43</v>
      </c>
      <c r="M192" s="4" t="str">
        <f>IFERROR(__xludf.DUMMYFUNCTION("""COMPUTED_VALUE"""),"Cloudfy")</f>
        <v>Cloudfy</v>
      </c>
      <c r="N192" s="33">
        <f>IFERROR(__xludf.DUMMYFUNCTION("""COMPUTED_VALUE"""),0.9767441860465116)</f>
        <v>0.976744186</v>
      </c>
      <c r="O192" s="4" t="str">
        <f>IFERROR(__xludf.DUMMYFUNCTION("""COMPUTED_VALUE"""),"Cloudfy")</f>
        <v>Cloudfy</v>
      </c>
      <c r="P192" s="33">
        <f>IFERROR(__xludf.DUMMYFUNCTION("""COMPUTED_VALUE"""),0.9302325581395349)</f>
        <v>0.9302325581</v>
      </c>
      <c r="Q192" s="4" t="str">
        <f>IFERROR(__xludf.DUMMYFUNCTION("""COMPUTED_VALUE"""),"Cloudfy")</f>
        <v>Cloudfy</v>
      </c>
      <c r="R192" s="33">
        <f>IFERROR(__xludf.DUMMYFUNCTION("""COMPUTED_VALUE"""),0.9534883720930233)</f>
        <v>0.9534883721</v>
      </c>
      <c r="S192" s="4" t="str">
        <f>IFERROR(__xludf.DUMMYFUNCTION("""COMPUTED_VALUE"""),"Cloudfy")</f>
        <v>Cloudfy</v>
      </c>
      <c r="T192" s="33">
        <f>IFERROR(__xludf.DUMMYFUNCTION("""COMPUTED_VALUE"""),0.9767441860465116)</f>
        <v>0.976744186</v>
      </c>
      <c r="U192" s="4" t="str">
        <f>IFERROR(__xludf.DUMMYFUNCTION("""COMPUTED_VALUE"""),"Cloudfy")</f>
        <v>Cloudfy</v>
      </c>
      <c r="V192" s="33">
        <f>IFERROR(__xludf.DUMMYFUNCTION("""COMPUTED_VALUE"""),0.9767441860465116)</f>
        <v>0.976744186</v>
      </c>
      <c r="W192" s="4" t="str">
        <f>IFERROR(__xludf.DUMMYFUNCTION("""COMPUTED_VALUE"""),"Cloudfy")</f>
        <v>Cloudfy</v>
      </c>
      <c r="X192" s="33">
        <f>IFERROR(__xludf.DUMMYFUNCTION("""COMPUTED_VALUE"""),0.9767441860465116)</f>
        <v>0.976744186</v>
      </c>
    </row>
    <row r="193">
      <c r="A193" s="4" t="str">
        <f>IFERROR(__xludf.DUMMYFUNCTION("""COMPUTED_VALUE"""),"SAMCROS BURGUER - CONTA MARCA")</f>
        <v>SAMCROS BURGUER - CONTA MARCA</v>
      </c>
      <c r="B193" s="4">
        <f>IFERROR(__xludf.DUMMYFUNCTION("""COMPUTED_VALUE"""),5.0)</f>
        <v>5</v>
      </c>
      <c r="C193" s="30">
        <f>IFERROR(__xludf.DUMMYFUNCTION("""COMPUTED_VALUE"""),71.0)</f>
        <v>71</v>
      </c>
      <c r="D193" s="4" t="str">
        <f>IFERROR(__xludf.DUMMYFUNCTION("""COMPUTED_VALUE"""),"Fast Casual - Multi-conceito")</f>
        <v>Fast Casual - Multi-conceito</v>
      </c>
      <c r="E193" s="4" t="str">
        <f>IFERROR(__xludf.DUMMYFUNCTION("""COMPUTED_VALUE"""),"Sudeste")</f>
        <v>Sudeste</v>
      </c>
      <c r="F193" s="4" t="str">
        <f>IFERROR(__xludf.DUMMYFUNCTION("""COMPUTED_VALUE"""),"Dado não disponível publicamente - Necessário Discovery")</f>
        <v>Dado não disponível publicamente - Necessário Discovery</v>
      </c>
      <c r="G193" s="4">
        <f>IFERROR(__xludf.DUMMYFUNCTION("""COMPUTED_VALUE"""),70.0)</f>
        <v>70</v>
      </c>
      <c r="H193" s="31">
        <f>IFERROR(__xludf.DUMMYFUNCTION("""COMPUTED_VALUE"""),0.75)</f>
        <v>0.75</v>
      </c>
      <c r="I19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93" s="4" t="str">
        <f>IFERROR(__xludf.DUMMYFUNCTION("""COMPUTED_VALUE"""),"CHEPPITOS")</f>
        <v>CHEPPITOS</v>
      </c>
      <c r="L193" s="32">
        <f>IFERROR(__xludf.DUMMYFUNCTION("""COMPUTED_VALUE"""),43.0)</f>
        <v>43</v>
      </c>
      <c r="M193" s="4" t="str">
        <f>IFERROR(__xludf.DUMMYFUNCTION("""COMPUTED_VALUE"""),"Solução Sistemas")</f>
        <v>Solução Sistemas</v>
      </c>
      <c r="N193" s="33">
        <f>IFERROR(__xludf.DUMMYFUNCTION("""COMPUTED_VALUE"""),0.8372093023255814)</f>
        <v>0.8372093023</v>
      </c>
      <c r="O193" s="4" t="str">
        <f>IFERROR(__xludf.DUMMYFUNCTION("""COMPUTED_VALUE"""),"Solução Sistemas")</f>
        <v>Solução Sistemas</v>
      </c>
      <c r="P193" s="33">
        <f>IFERROR(__xludf.DUMMYFUNCTION("""COMPUTED_VALUE"""),0.6976744186046512)</f>
        <v>0.6976744186</v>
      </c>
      <c r="Q193" s="4" t="str">
        <f>IFERROR(__xludf.DUMMYFUNCTION("""COMPUTED_VALUE"""),"Solução Sistemas")</f>
        <v>Solução Sistemas</v>
      </c>
      <c r="R193" s="33">
        <f>IFERROR(__xludf.DUMMYFUNCTION("""COMPUTED_VALUE"""),0.7209302325581395)</f>
        <v>0.7209302326</v>
      </c>
      <c r="S193" s="4" t="str">
        <f>IFERROR(__xludf.DUMMYFUNCTION("""COMPUTED_VALUE"""),"Solução Sistemas")</f>
        <v>Solução Sistemas</v>
      </c>
      <c r="T193" s="33">
        <f>IFERROR(__xludf.DUMMYFUNCTION("""COMPUTED_VALUE"""),0.5116279069767442)</f>
        <v>0.511627907</v>
      </c>
      <c r="U193" s="4" t="str">
        <f>IFERROR(__xludf.DUMMYFUNCTION("""COMPUTED_VALUE"""),"Solução Sistemas")</f>
        <v>Solução Sistemas</v>
      </c>
      <c r="V193" s="33">
        <f>IFERROR(__xludf.DUMMYFUNCTION("""COMPUTED_VALUE"""),0.5116279069767442)</f>
        <v>0.511627907</v>
      </c>
      <c r="W193" s="4" t="str">
        <f>IFERROR(__xludf.DUMMYFUNCTION("""COMPUTED_VALUE"""),"Solução Sistemas")</f>
        <v>Solução Sistemas</v>
      </c>
      <c r="X193" s="33">
        <f>IFERROR(__xludf.DUMMYFUNCTION("""COMPUTED_VALUE"""),0.5116279069767442)</f>
        <v>0.511627907</v>
      </c>
    </row>
    <row r="194">
      <c r="A194" s="4" t="str">
        <f>IFERROR(__xludf.DUMMYFUNCTION("""COMPUTED_VALUE"""),"SEVERO GARAGE - CONTA MARCA")</f>
        <v>SEVERO GARAGE - CONTA MARCA</v>
      </c>
      <c r="B194" s="4">
        <f>IFERROR(__xludf.DUMMYFUNCTION("""COMPUTED_VALUE"""),3.0)</f>
        <v>3</v>
      </c>
      <c r="C194" s="30">
        <f>IFERROR(__xludf.DUMMYFUNCTION("""COMPUTED_VALUE"""),73.0)</f>
        <v>73</v>
      </c>
      <c r="D194" s="4" t="str">
        <f>IFERROR(__xludf.DUMMYFUNCTION("""COMPUTED_VALUE"""),"Fast Casual - Multi-conceito")</f>
        <v>Fast Casual - Multi-conceito</v>
      </c>
      <c r="E194" s="4" t="str">
        <f>IFERROR(__xludf.DUMMYFUNCTION("""COMPUTED_VALUE"""),"Rio de Janeiro/RJ")</f>
        <v>Rio de Janeiro/RJ</v>
      </c>
      <c r="F194" s="4" t="str">
        <f>IFERROR(__xludf.DUMMYFUNCTION("""COMPUTED_VALUE"""),"Dado não disponível publicamente - Necessário Discovery")</f>
        <v>Dado não disponível publicamente - Necessário Discovery</v>
      </c>
      <c r="G194" s="4">
        <f>IFERROR(__xludf.DUMMYFUNCTION("""COMPUTED_VALUE"""),65.0)</f>
        <v>65</v>
      </c>
      <c r="H194" s="31">
        <f>IFERROR(__xludf.DUMMYFUNCTION("""COMPUTED_VALUE"""),0.75)</f>
        <v>0.75</v>
      </c>
      <c r="I19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94" s="4" t="str">
        <f>IFERROR(__xludf.DUMMYFUNCTION("""COMPUTED_VALUE"""),"COSECHAS CONTA PAI RJ")</f>
        <v>COSECHAS CONTA PAI RJ</v>
      </c>
      <c r="L194" s="32">
        <f>IFERROR(__xludf.DUMMYFUNCTION("""COMPUTED_VALUE"""),43.0)</f>
        <v>43</v>
      </c>
      <c r="M194" s="4" t="str">
        <f>IFERROR(__xludf.DUMMYFUNCTION("""COMPUTED_VALUE"""),"Opdv")</f>
        <v>Opdv</v>
      </c>
      <c r="N194" s="33">
        <f>IFERROR(__xludf.DUMMYFUNCTION("""COMPUTED_VALUE"""),0.9767441860465116)</f>
        <v>0.976744186</v>
      </c>
      <c r="O194" s="4" t="str">
        <f>IFERROR(__xludf.DUMMYFUNCTION("""COMPUTED_VALUE"""),"Opdv")</f>
        <v>Opdv</v>
      </c>
      <c r="P194" s="33">
        <f>IFERROR(__xludf.DUMMYFUNCTION("""COMPUTED_VALUE"""),0.9534883720930233)</f>
        <v>0.9534883721</v>
      </c>
      <c r="Q194" s="4" t="str">
        <f>IFERROR(__xludf.DUMMYFUNCTION("""COMPUTED_VALUE"""),"Opdv")</f>
        <v>Opdv</v>
      </c>
      <c r="R194" s="33">
        <f>IFERROR(__xludf.DUMMYFUNCTION("""COMPUTED_VALUE"""),0.9302325581395349)</f>
        <v>0.9302325581</v>
      </c>
      <c r="S194" s="4" t="str">
        <f>IFERROR(__xludf.DUMMYFUNCTION("""COMPUTED_VALUE"""),"Opdv")</f>
        <v>Opdv</v>
      </c>
      <c r="T194" s="33">
        <f>IFERROR(__xludf.DUMMYFUNCTION("""COMPUTED_VALUE"""),0.9534883720930233)</f>
        <v>0.9534883721</v>
      </c>
      <c r="U194" s="4" t="str">
        <f>IFERROR(__xludf.DUMMYFUNCTION("""COMPUTED_VALUE"""),"Opdv")</f>
        <v>Opdv</v>
      </c>
      <c r="V194" s="33">
        <f>IFERROR(__xludf.DUMMYFUNCTION("""COMPUTED_VALUE"""),0.9302325581395349)</f>
        <v>0.9302325581</v>
      </c>
      <c r="W194" s="4" t="str">
        <f>IFERROR(__xludf.DUMMYFUNCTION("""COMPUTED_VALUE"""),"Opdv")</f>
        <v>Opdv</v>
      </c>
      <c r="X194" s="33">
        <f>IFERROR(__xludf.DUMMYFUNCTION("""COMPUTED_VALUE"""),0.8604651162790697)</f>
        <v>0.8604651163</v>
      </c>
    </row>
    <row r="195">
      <c r="A195" s="4" t="str">
        <f>IFERROR(__xludf.DUMMYFUNCTION("""COMPUTED_VALUE"""),"SIRENE FISH CHIPS")</f>
        <v>SIRENE FISH CHIPS</v>
      </c>
      <c r="B195" s="4">
        <f>IFERROR(__xludf.DUMMYFUNCTION("""COMPUTED_VALUE"""),6.0)</f>
        <v>6</v>
      </c>
      <c r="C195" s="30">
        <f>IFERROR(__xludf.DUMMYFUNCTION("""COMPUTED_VALUE"""),106.0)</f>
        <v>106</v>
      </c>
      <c r="D195" s="4" t="str">
        <f>IFERROR(__xludf.DUMMYFUNCTION("""COMPUTED_VALUE"""),"Fast Casual - Frutos do Mar")</f>
        <v>Fast Casual - Frutos do Mar</v>
      </c>
      <c r="E195" s="4" t="str">
        <f>IFERROR(__xludf.DUMMYFUNCTION("""COMPUTED_VALUE"""),"Interior SP")</f>
        <v>Interior SP</v>
      </c>
      <c r="F195" s="4" t="str">
        <f>IFERROR(__xludf.DUMMYFUNCTION("""COMPUTED_VALUE"""),"Dado não disponível publicamente - Necessário Discovery")</f>
        <v>Dado não disponível publicamente - Necessário Discovery</v>
      </c>
      <c r="G195" s="4">
        <f>IFERROR(__xludf.DUMMYFUNCTION("""COMPUTED_VALUE"""),70.0)</f>
        <v>70</v>
      </c>
      <c r="H195" s="31">
        <f>IFERROR(__xludf.DUMMYFUNCTION("""COMPUTED_VALUE"""),0.75)</f>
        <v>0.75</v>
      </c>
      <c r="I19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95" s="4" t="str">
        <f>IFERROR(__xludf.DUMMYFUNCTION("""COMPUTED_VALUE"""),"FARMACIA FARMAPAULO - CONTA PAI")</f>
        <v>FARMACIA FARMAPAULO - CONTA PAI</v>
      </c>
      <c r="L195" s="32">
        <f>IFERROR(__xludf.DUMMYFUNCTION("""COMPUTED_VALUE"""),43.0)</f>
        <v>43</v>
      </c>
      <c r="M195" s="4" t="str">
        <f>IFERROR(__xludf.DUMMYFUNCTION("""COMPUTED_VALUE"""),"N/A (Not found)")</f>
        <v>N/A (Not found)</v>
      </c>
      <c r="N195" s="33">
        <f>IFERROR(__xludf.DUMMYFUNCTION("""COMPUTED_VALUE"""),0.9767441860465116)</f>
        <v>0.976744186</v>
      </c>
      <c r="O195" s="4" t="str">
        <f>IFERROR(__xludf.DUMMYFUNCTION("""COMPUTED_VALUE"""),"N/A (Not found)")</f>
        <v>N/A (Not found)</v>
      </c>
      <c r="P195" s="33">
        <f>IFERROR(__xludf.DUMMYFUNCTION("""COMPUTED_VALUE"""),0.9767441860465116)</f>
        <v>0.976744186</v>
      </c>
      <c r="Q195" s="4" t="str">
        <f>IFERROR(__xludf.DUMMYFUNCTION("""COMPUTED_VALUE"""),"N/A (Not found)")</f>
        <v>N/A (Not found)</v>
      </c>
      <c r="R195" s="33">
        <f>IFERROR(__xludf.DUMMYFUNCTION("""COMPUTED_VALUE"""),0.9534883720930233)</f>
        <v>0.9534883721</v>
      </c>
      <c r="S195" s="4" t="str">
        <f>IFERROR(__xludf.DUMMYFUNCTION("""COMPUTED_VALUE"""),"N/A (Not found)")</f>
        <v>N/A (Not found)</v>
      </c>
      <c r="T195" s="33">
        <f>IFERROR(__xludf.DUMMYFUNCTION("""COMPUTED_VALUE"""),0.9767441860465116)</f>
        <v>0.976744186</v>
      </c>
      <c r="U195" s="4" t="str">
        <f>IFERROR(__xludf.DUMMYFUNCTION("""COMPUTED_VALUE"""),"N/A (Not found)")</f>
        <v>N/A (Not found)</v>
      </c>
      <c r="V195" s="33">
        <f>IFERROR(__xludf.DUMMYFUNCTION("""COMPUTED_VALUE"""),0.9767441860465116)</f>
        <v>0.976744186</v>
      </c>
      <c r="W195" s="4" t="str">
        <f>IFERROR(__xludf.DUMMYFUNCTION("""COMPUTED_VALUE"""),"N/A (Not found)")</f>
        <v>N/A (Not found)</v>
      </c>
      <c r="X195" s="33">
        <f>IFERROR(__xludf.DUMMYFUNCTION("""COMPUTED_VALUE"""),0.9767441860465116)</f>
        <v>0.976744186</v>
      </c>
    </row>
    <row r="196">
      <c r="A196" s="4" t="str">
        <f>IFERROR(__xludf.DUMMYFUNCTION("""COMPUTED_VALUE"""),"SOCIAL CLUBE")</f>
        <v>SOCIAL CLUBE</v>
      </c>
      <c r="B196" s="4">
        <f>IFERROR(__xludf.DUMMYFUNCTION("""COMPUTED_VALUE"""),2.0)</f>
        <v>2</v>
      </c>
      <c r="C196" s="30">
        <f>IFERROR(__xludf.DUMMYFUNCTION("""COMPUTED_VALUE"""),63.0)</f>
        <v>63</v>
      </c>
      <c r="D196" s="4" t="str">
        <f>IFERROR(__xludf.DUMMYFUNCTION("""COMPUTED_VALUE"""),"Fast Casual - Multi-conceito")</f>
        <v>Fast Casual - Multi-conceito</v>
      </c>
      <c r="E196" s="4" t="str">
        <f>IFERROR(__xludf.DUMMYFUNCTION("""COMPUTED_VALUE"""),"Interior SP")</f>
        <v>Interior SP</v>
      </c>
      <c r="F196" s="4" t="str">
        <f>IFERROR(__xludf.DUMMYFUNCTION("""COMPUTED_VALUE"""),"Dado não disponível publicamente - Necessário Discovery")</f>
        <v>Dado não disponível publicamente - Necessário Discovery</v>
      </c>
      <c r="G196" s="4">
        <f>IFERROR(__xludf.DUMMYFUNCTION("""COMPUTED_VALUE"""),65.0)</f>
        <v>65</v>
      </c>
      <c r="H196" s="31">
        <f>IFERROR(__xludf.DUMMYFUNCTION("""COMPUTED_VALUE"""),0.75)</f>
        <v>0.75</v>
      </c>
      <c r="I19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96" s="4" t="str">
        <f>IFERROR(__xludf.DUMMYFUNCTION("""COMPUTED_VALUE"""),"PENSE FARMA - CONTA GRUPO")</f>
        <v>PENSE FARMA - CONTA GRUPO</v>
      </c>
      <c r="L196" s="32">
        <f>IFERROR(__xludf.DUMMYFUNCTION("""COMPUTED_VALUE"""),42.0)</f>
        <v>42</v>
      </c>
      <c r="M196" s="4" t="str">
        <f>IFERROR(__xludf.DUMMYFUNCTION("""COMPUTED_VALUE"""),"N/A (Not found)")</f>
        <v>N/A (Not found)</v>
      </c>
      <c r="N196" s="33">
        <f>IFERROR(__xludf.DUMMYFUNCTION("""COMPUTED_VALUE"""),0.9523809523809523)</f>
        <v>0.9523809524</v>
      </c>
      <c r="O196" s="4" t="str">
        <f>IFERROR(__xludf.DUMMYFUNCTION("""COMPUTED_VALUE"""),"N/A (Not found)")</f>
        <v>N/A (Not found)</v>
      </c>
      <c r="P196" s="33">
        <f>IFERROR(__xludf.DUMMYFUNCTION("""COMPUTED_VALUE"""),0.9523809523809523)</f>
        <v>0.9523809524</v>
      </c>
      <c r="Q196" s="4" t="str">
        <f>IFERROR(__xludf.DUMMYFUNCTION("""COMPUTED_VALUE"""),"N/A (Not found)")</f>
        <v>N/A (Not found)</v>
      </c>
      <c r="R196" s="33">
        <f>IFERROR(__xludf.DUMMYFUNCTION("""COMPUTED_VALUE"""),0.9761904761904762)</f>
        <v>0.9761904762</v>
      </c>
      <c r="S196" s="4" t="str">
        <f>IFERROR(__xludf.DUMMYFUNCTION("""COMPUTED_VALUE"""),"N/A (Not found)")</f>
        <v>N/A (Not found)</v>
      </c>
      <c r="T196" s="33">
        <f>IFERROR(__xludf.DUMMYFUNCTION("""COMPUTED_VALUE"""),0.9761904761904762)</f>
        <v>0.9761904762</v>
      </c>
      <c r="U196" s="4" t="str">
        <f>IFERROR(__xludf.DUMMYFUNCTION("""COMPUTED_VALUE"""),"N/A (Not found)")</f>
        <v>N/A (Not found)</v>
      </c>
      <c r="V196" s="33">
        <f>IFERROR(__xludf.DUMMYFUNCTION("""COMPUTED_VALUE"""),1.0)</f>
        <v>1</v>
      </c>
      <c r="W196" s="4" t="str">
        <f>IFERROR(__xludf.DUMMYFUNCTION("""COMPUTED_VALUE"""),"N/A (Not found)")</f>
        <v>N/A (Not found)</v>
      </c>
      <c r="X196" s="33">
        <f>IFERROR(__xludf.DUMMYFUNCTION("""COMPUTED_VALUE"""),1.0)</f>
        <v>1</v>
      </c>
    </row>
    <row r="197">
      <c r="A197" s="4" t="str">
        <f>IFERROR(__xludf.DUMMYFUNCTION("""COMPUTED_VALUE"""),"Sodiê")</f>
        <v>Sodiê</v>
      </c>
      <c r="B197" s="4">
        <f>IFERROR(__xludf.DUMMYFUNCTION("""COMPUTED_VALUE"""),3.0)</f>
        <v>3</v>
      </c>
      <c r="C197" s="30">
        <f>IFERROR(__xludf.DUMMYFUNCTION("""COMPUTED_VALUE"""),59.0)</f>
        <v>59</v>
      </c>
      <c r="D197" s="4" t="str">
        <f>IFERROR(__xludf.DUMMYFUNCTION("""COMPUTED_VALUE"""),"Fast Casual - Multi-conceito")</f>
        <v>Fast Casual - Multi-conceito</v>
      </c>
      <c r="E197" s="4" t="str">
        <f>IFERROR(__xludf.DUMMYFUNCTION("""COMPUTED_VALUE"""),"São Paulo/SP")</f>
        <v>São Paulo/SP</v>
      </c>
      <c r="F197" s="4" t="str">
        <f>IFERROR(__xludf.DUMMYFUNCTION("""COMPUTED_VALUE"""),"Dado não disponível publicamente - Necessário Discovery")</f>
        <v>Dado não disponível publicamente - Necessário Discovery</v>
      </c>
      <c r="G197" s="4">
        <f>IFERROR(__xludf.DUMMYFUNCTION("""COMPUTED_VALUE"""),65.0)</f>
        <v>65</v>
      </c>
      <c r="H197" s="31">
        <f>IFERROR(__xludf.DUMMYFUNCTION("""COMPUTED_VALUE"""),0.75)</f>
        <v>0.75</v>
      </c>
      <c r="I19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97" s="4" t="str">
        <f>IFERROR(__xludf.DUMMYFUNCTION("""COMPUTED_VALUE"""),"BIO MUNDO - CONTA PAI - FRANQUEADORA")</f>
        <v>BIO MUNDO - CONTA PAI - FRANQUEADORA</v>
      </c>
      <c r="L197" s="32">
        <f>IFERROR(__xludf.DUMMYFUNCTION("""COMPUTED_VALUE"""),41.0)</f>
        <v>41</v>
      </c>
      <c r="M197" s="4" t="str">
        <f>IFERROR(__xludf.DUMMYFUNCTION("""COMPUTED_VALUE"""),"N/A (Not found)")</f>
        <v>N/A (Not found)</v>
      </c>
      <c r="N197" s="33">
        <f>IFERROR(__xludf.DUMMYFUNCTION("""COMPUTED_VALUE"""),0.6585365853658537)</f>
        <v>0.6585365854</v>
      </c>
      <c r="O197" s="4" t="str">
        <f>IFERROR(__xludf.DUMMYFUNCTION("""COMPUTED_VALUE"""),"N/A (Not found)")</f>
        <v>N/A (Not found)</v>
      </c>
      <c r="P197" s="33">
        <f>IFERROR(__xludf.DUMMYFUNCTION("""COMPUTED_VALUE"""),0.7317073170731707)</f>
        <v>0.7317073171</v>
      </c>
      <c r="Q197" s="4" t="str">
        <f>IFERROR(__xludf.DUMMYFUNCTION("""COMPUTED_VALUE"""),"N/A (Not found)")</f>
        <v>N/A (Not found)</v>
      </c>
      <c r="R197" s="33">
        <f>IFERROR(__xludf.DUMMYFUNCTION("""COMPUTED_VALUE"""),0.7317073170731707)</f>
        <v>0.7317073171</v>
      </c>
      <c r="S197" s="4" t="str">
        <f>IFERROR(__xludf.DUMMYFUNCTION("""COMPUTED_VALUE"""),"N/A (Not found)")</f>
        <v>N/A (Not found)</v>
      </c>
      <c r="T197" s="33">
        <f>IFERROR(__xludf.DUMMYFUNCTION("""COMPUTED_VALUE"""),0.8292682926829268)</f>
        <v>0.8292682927</v>
      </c>
      <c r="U197" s="4" t="str">
        <f>IFERROR(__xludf.DUMMYFUNCTION("""COMPUTED_VALUE"""),"N/A (Not found)")</f>
        <v>N/A (Not found)</v>
      </c>
      <c r="V197" s="33">
        <f>IFERROR(__xludf.DUMMYFUNCTION("""COMPUTED_VALUE"""),0.8292682926829268)</f>
        <v>0.8292682927</v>
      </c>
      <c r="W197" s="4" t="str">
        <f>IFERROR(__xludf.DUMMYFUNCTION("""COMPUTED_VALUE"""),"N/A (Not found)")</f>
        <v>N/A (Not found)</v>
      </c>
      <c r="X197" s="33">
        <f>IFERROR(__xludf.DUMMYFUNCTION("""COMPUTED_VALUE"""),0.8292682926829268)</f>
        <v>0.8292682927</v>
      </c>
    </row>
    <row r="198">
      <c r="A198" s="4" t="str">
        <f>IFERROR(__xludf.DUMMYFUNCTION("""COMPUTED_VALUE"""),"SUSHI DA PRAÇA")</f>
        <v>SUSHI DA PRAÇA</v>
      </c>
      <c r="B198" s="4">
        <f>IFERROR(__xludf.DUMMYFUNCTION("""COMPUTED_VALUE"""),12.0)</f>
        <v>12</v>
      </c>
      <c r="C198" s="30">
        <f>IFERROR(__xludf.DUMMYFUNCTION("""COMPUTED_VALUE"""),109.0)</f>
        <v>109</v>
      </c>
      <c r="D198" s="4" t="str">
        <f>IFERROR(__xludf.DUMMYFUNCTION("""COMPUTED_VALUE"""),"Fast Casual - Japonesa")</f>
        <v>Fast Casual - Japonesa</v>
      </c>
      <c r="E198" s="4" t="str">
        <f>IFERROR(__xludf.DUMMYFUNCTION("""COMPUTED_VALUE"""),"São Paulo/SP")</f>
        <v>São Paulo/SP</v>
      </c>
      <c r="F198" s="4" t="str">
        <f>IFERROR(__xludf.DUMMYFUNCTION("""COMPUTED_VALUE"""),"Dado não disponível publicamente - Necessário Discovery")</f>
        <v>Dado não disponível publicamente - Necessário Discovery</v>
      </c>
      <c r="G198" s="4">
        <f>IFERROR(__xludf.DUMMYFUNCTION("""COMPUTED_VALUE"""),70.0)</f>
        <v>70</v>
      </c>
      <c r="H198" s="31">
        <f>IFERROR(__xludf.DUMMYFUNCTION("""COMPUTED_VALUE"""),0.8)</f>
        <v>0.8</v>
      </c>
      <c r="I198"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198" s="4" t="str">
        <f>IFERROR(__xludf.DUMMYFUNCTION("""COMPUTED_VALUE"""),"BULLGUER")</f>
        <v>BULLGUER</v>
      </c>
      <c r="L198" s="32">
        <f>IFERROR(__xludf.DUMMYFUNCTION("""COMPUTED_VALUE"""),41.0)</f>
        <v>41</v>
      </c>
      <c r="M198" s="4" t="str">
        <f>IFERROR(__xludf.DUMMYFUNCTION("""COMPUTED_VALUE"""),"Stone Co.")</f>
        <v>Stone Co.</v>
      </c>
      <c r="N198" s="33">
        <f>IFERROR(__xludf.DUMMYFUNCTION("""COMPUTED_VALUE"""),0.8048780487804879)</f>
        <v>0.8048780488</v>
      </c>
      <c r="O198" s="4" t="str">
        <f>IFERROR(__xludf.DUMMYFUNCTION("""COMPUTED_VALUE"""),"Stone Co.")</f>
        <v>Stone Co.</v>
      </c>
      <c r="P198" s="33">
        <f>IFERROR(__xludf.DUMMYFUNCTION("""COMPUTED_VALUE"""),0.8048780487804879)</f>
        <v>0.8048780488</v>
      </c>
      <c r="Q198" s="4" t="str">
        <f>IFERROR(__xludf.DUMMYFUNCTION("""COMPUTED_VALUE"""),"Stone Co.")</f>
        <v>Stone Co.</v>
      </c>
      <c r="R198" s="33">
        <f>IFERROR(__xludf.DUMMYFUNCTION("""COMPUTED_VALUE"""),0.6341463414634146)</f>
        <v>0.6341463415</v>
      </c>
      <c r="S198" s="4" t="str">
        <f>IFERROR(__xludf.DUMMYFUNCTION("""COMPUTED_VALUE"""),"Stone Co.")</f>
        <v>Stone Co.</v>
      </c>
      <c r="T198" s="33">
        <f>IFERROR(__xludf.DUMMYFUNCTION("""COMPUTED_VALUE"""),0.6097560975609756)</f>
        <v>0.6097560976</v>
      </c>
      <c r="U198" s="4" t="str">
        <f>IFERROR(__xludf.DUMMYFUNCTION("""COMPUTED_VALUE"""),"Stone Co.")</f>
        <v>Stone Co.</v>
      </c>
      <c r="V198" s="33">
        <f>IFERROR(__xludf.DUMMYFUNCTION("""COMPUTED_VALUE"""),0.6097560975609756)</f>
        <v>0.6097560976</v>
      </c>
      <c r="W198" s="4" t="str">
        <f>IFERROR(__xludf.DUMMYFUNCTION("""COMPUTED_VALUE"""),"Stone Co.")</f>
        <v>Stone Co.</v>
      </c>
      <c r="X198" s="33">
        <f>IFERROR(__xludf.DUMMYFUNCTION("""COMPUTED_VALUE"""),0.5853658536585366)</f>
        <v>0.5853658537</v>
      </c>
    </row>
    <row r="199">
      <c r="A199" s="4" t="str">
        <f>IFERROR(__xludf.DUMMYFUNCTION("""COMPUTED_VALUE"""),"TABUA DE CARNE")</f>
        <v>TABUA DE CARNE</v>
      </c>
      <c r="B199" s="4">
        <f>IFERROR(__xludf.DUMMYFUNCTION("""COMPUTED_VALUE"""),4.0)</f>
        <v>4</v>
      </c>
      <c r="C199" s="30">
        <f>IFERROR(__xludf.DUMMYFUNCTION("""COMPUTED_VALUE"""),75.0)</f>
        <v>75</v>
      </c>
      <c r="D199" s="4" t="str">
        <f>IFERROR(__xludf.DUMMYFUNCTION("""COMPUTED_VALUE"""),"Fast Casual - Multi-conceito")</f>
        <v>Fast Casual - Multi-conceito</v>
      </c>
      <c r="E199" s="4" t="str">
        <f>IFERROR(__xludf.DUMMYFUNCTION("""COMPUTED_VALUE"""),"Rio de Janeiro/RJ")</f>
        <v>Rio de Janeiro/RJ</v>
      </c>
      <c r="F199" s="4" t="str">
        <f>IFERROR(__xludf.DUMMYFUNCTION("""COMPUTED_VALUE"""),"Dado não disponível publicamente - Necessário Discovery")</f>
        <v>Dado não disponível publicamente - Necessário Discovery</v>
      </c>
      <c r="G199" s="4">
        <f>IFERROR(__xludf.DUMMYFUNCTION("""COMPUTED_VALUE"""),65.0)</f>
        <v>65</v>
      </c>
      <c r="H199" s="31">
        <f>IFERROR(__xludf.DUMMYFUNCTION("""COMPUTED_VALUE"""),0.75)</f>
        <v>0.75</v>
      </c>
      <c r="I19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199" s="4" t="str">
        <f>IFERROR(__xludf.DUMMYFUNCTION("""COMPUTED_VALUE"""),"DROGA CLARA - CONTA PAI")</f>
        <v>DROGA CLARA - CONTA PAI</v>
      </c>
      <c r="L199" s="32">
        <f>IFERROR(__xludf.DUMMYFUNCTION("""COMPUTED_VALUE"""),41.0)</f>
        <v>41</v>
      </c>
      <c r="M199" s="4" t="str">
        <f>IFERROR(__xludf.DUMMYFUNCTION("""COMPUTED_VALUE"""),"N/A (Not found)")</f>
        <v>N/A (Not found)</v>
      </c>
      <c r="N199" s="33">
        <f>IFERROR(__xludf.DUMMYFUNCTION("""COMPUTED_VALUE"""),1.0)</f>
        <v>1</v>
      </c>
      <c r="O199" s="4" t="str">
        <f>IFERROR(__xludf.DUMMYFUNCTION("""COMPUTED_VALUE"""),"N/A (Not found)")</f>
        <v>N/A (Not found)</v>
      </c>
      <c r="P199" s="33">
        <f>IFERROR(__xludf.DUMMYFUNCTION("""COMPUTED_VALUE"""),1.0)</f>
        <v>1</v>
      </c>
      <c r="Q199" s="4" t="str">
        <f>IFERROR(__xludf.DUMMYFUNCTION("""COMPUTED_VALUE"""),"N/A (Not found)")</f>
        <v>N/A (Not found)</v>
      </c>
      <c r="R199" s="33">
        <f>IFERROR(__xludf.DUMMYFUNCTION("""COMPUTED_VALUE"""),1.0)</f>
        <v>1</v>
      </c>
      <c r="S199" s="4" t="str">
        <f>IFERROR(__xludf.DUMMYFUNCTION("""COMPUTED_VALUE"""),"N/A (Not found)")</f>
        <v>N/A (Not found)</v>
      </c>
      <c r="T199" s="33">
        <f>IFERROR(__xludf.DUMMYFUNCTION("""COMPUTED_VALUE"""),1.0)</f>
        <v>1</v>
      </c>
      <c r="U199" s="4" t="str">
        <f>IFERROR(__xludf.DUMMYFUNCTION("""COMPUTED_VALUE"""),"N/A (Not found)")</f>
        <v>N/A (Not found)</v>
      </c>
      <c r="V199" s="33">
        <f>IFERROR(__xludf.DUMMYFUNCTION("""COMPUTED_VALUE"""),1.0)</f>
        <v>1</v>
      </c>
      <c r="W199" s="4" t="str">
        <f>IFERROR(__xludf.DUMMYFUNCTION("""COMPUTED_VALUE"""),"N/A (Not found)")</f>
        <v>N/A (Not found)</v>
      </c>
      <c r="X199" s="33">
        <f>IFERROR(__xludf.DUMMYFUNCTION("""COMPUTED_VALUE"""),1.0)</f>
        <v>1</v>
      </c>
    </row>
    <row r="200">
      <c r="A200" s="4" t="str">
        <f>IFERROR(__xludf.DUMMYFUNCTION("""COMPUTED_VALUE"""),"TAKE A JUICE CONTA MARCA")</f>
        <v>TAKE A JUICE CONTA MARCA</v>
      </c>
      <c r="B200" s="4">
        <f>IFERROR(__xludf.DUMMYFUNCTION("""COMPUTED_VALUE"""),6.0)</f>
        <v>6</v>
      </c>
      <c r="C200" s="30">
        <f>IFERROR(__xludf.DUMMYFUNCTION("""COMPUTED_VALUE"""),54.0)</f>
        <v>54</v>
      </c>
      <c r="D200" s="4" t="str">
        <f>IFERROR(__xludf.DUMMYFUNCTION("""COMPUTED_VALUE"""),"Fast Casual - Multi-conceito")</f>
        <v>Fast Casual - Multi-conceito</v>
      </c>
      <c r="E200" s="4" t="str">
        <f>IFERROR(__xludf.DUMMYFUNCTION("""COMPUTED_VALUE"""),"Belo Horizonte/MG")</f>
        <v>Belo Horizonte/MG</v>
      </c>
      <c r="F200" s="4" t="str">
        <f>IFERROR(__xludf.DUMMYFUNCTION("""COMPUTED_VALUE"""),"Dado não disponível publicamente - Necessário Discovery")</f>
        <v>Dado não disponível publicamente - Necessário Discovery</v>
      </c>
      <c r="G200" s="4">
        <f>IFERROR(__xludf.DUMMYFUNCTION("""COMPUTED_VALUE"""),70.0)</f>
        <v>70</v>
      </c>
      <c r="H200" s="31">
        <f>IFERROR(__xludf.DUMMYFUNCTION("""COMPUTED_VALUE"""),0.75)</f>
        <v>0.75</v>
      </c>
      <c r="I20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00" s="4" t="str">
        <f>IFERROR(__xludf.DUMMYFUNCTION("""COMPUTED_VALUE"""),"PET FUN - CONTA GRUPO")</f>
        <v>PET FUN - CONTA GRUPO</v>
      </c>
      <c r="L200" s="32">
        <f>IFERROR(__xludf.DUMMYFUNCTION("""COMPUTED_VALUE"""),41.0)</f>
        <v>41</v>
      </c>
      <c r="M200" s="4" t="str">
        <f>IFERROR(__xludf.DUMMYFUNCTION("""COMPUTED_VALUE"""),"N/A (Not found)")</f>
        <v>N/A (Not found)</v>
      </c>
      <c r="N200" s="33">
        <f>IFERROR(__xludf.DUMMYFUNCTION("""COMPUTED_VALUE"""),0.9512195121951219)</f>
        <v>0.9512195122</v>
      </c>
      <c r="O200" s="4" t="str">
        <f>IFERROR(__xludf.DUMMYFUNCTION("""COMPUTED_VALUE"""),"N/A (Not found)")</f>
        <v>N/A (Not found)</v>
      </c>
      <c r="P200" s="33">
        <f>IFERROR(__xludf.DUMMYFUNCTION("""COMPUTED_VALUE"""),0.9512195121951219)</f>
        <v>0.9512195122</v>
      </c>
      <c r="Q200" s="4" t="str">
        <f>IFERROR(__xludf.DUMMYFUNCTION("""COMPUTED_VALUE"""),"N/A (Not found)")</f>
        <v>N/A (Not found)</v>
      </c>
      <c r="R200" s="33">
        <f>IFERROR(__xludf.DUMMYFUNCTION("""COMPUTED_VALUE"""),0.9512195121951219)</f>
        <v>0.9512195122</v>
      </c>
      <c r="S200" s="4" t="str">
        <f>IFERROR(__xludf.DUMMYFUNCTION("""COMPUTED_VALUE"""),"N/A (Not found)")</f>
        <v>N/A (Not found)</v>
      </c>
      <c r="T200" s="33">
        <f>IFERROR(__xludf.DUMMYFUNCTION("""COMPUTED_VALUE"""),1.0)</f>
        <v>1</v>
      </c>
      <c r="U200" s="4" t="str">
        <f>IFERROR(__xludf.DUMMYFUNCTION("""COMPUTED_VALUE"""),"N/A (Not found)")</f>
        <v>N/A (Not found)</v>
      </c>
      <c r="V200" s="33">
        <f>IFERROR(__xludf.DUMMYFUNCTION("""COMPUTED_VALUE"""),1.0)</f>
        <v>1</v>
      </c>
      <c r="W200" s="4" t="str">
        <f>IFERROR(__xludf.DUMMYFUNCTION("""COMPUTED_VALUE"""),"N/A (Not found)")</f>
        <v>N/A (Not found)</v>
      </c>
      <c r="X200" s="33">
        <f>IFERROR(__xludf.DUMMYFUNCTION("""COMPUTED_VALUE"""),1.0)</f>
        <v>1</v>
      </c>
    </row>
    <row r="201">
      <c r="A201" s="4" t="str">
        <f>IFERROR(__xludf.DUMMYFUNCTION("""COMPUTED_VALUE"""),"THE POKE - CONTA MARCA")</f>
        <v>THE POKE - CONTA MARCA</v>
      </c>
      <c r="B201" s="4">
        <f>IFERROR(__xludf.DUMMYFUNCTION("""COMPUTED_VALUE"""),9.0)</f>
        <v>9</v>
      </c>
      <c r="C201" s="30">
        <f>IFERROR(__xludf.DUMMYFUNCTION("""COMPUTED_VALUE"""),26.0)</f>
        <v>26</v>
      </c>
      <c r="D201" s="4" t="str">
        <f>IFERROR(__xludf.DUMMYFUNCTION("""COMPUTED_VALUE"""),"QSR - Açaí/Poke")</f>
        <v>QSR - Açaí/Poke</v>
      </c>
      <c r="E201" s="4" t="str">
        <f>IFERROR(__xludf.DUMMYFUNCTION("""COMPUTED_VALUE"""),"Brasília/DF")</f>
        <v>Brasília/DF</v>
      </c>
      <c r="F201" s="4" t="str">
        <f>IFERROR(__xludf.DUMMYFUNCTION("""COMPUTED_VALUE"""),"Dado não disponível publicamente - Necessário Discovery")</f>
        <v>Dado não disponível publicamente - Necessário Discovery</v>
      </c>
      <c r="G201" s="4">
        <f>IFERROR(__xludf.DUMMYFUNCTION("""COMPUTED_VALUE"""),70.0)</f>
        <v>70</v>
      </c>
      <c r="H201" s="31">
        <f>IFERROR(__xludf.DUMMYFUNCTION("""COMPUTED_VALUE"""),0.85)</f>
        <v>0.85</v>
      </c>
      <c r="I201"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201" s="4" t="str">
        <f>IFERROR(__xludf.DUMMYFUNCTION("""COMPUTED_VALUE"""),"DI BLASI PIZZAS ARTESANAIS")</f>
        <v>DI BLASI PIZZAS ARTESANAIS</v>
      </c>
      <c r="L201" s="32">
        <f>IFERROR(__xludf.DUMMYFUNCTION("""COMPUTED_VALUE"""),40.0)</f>
        <v>40</v>
      </c>
      <c r="M201" s="4" t="str">
        <f>IFERROR(__xludf.DUMMYFUNCTION("""COMPUTED_VALUE"""),"Saipos Serviços De Software")</f>
        <v>Saipos Serviços De Software</v>
      </c>
      <c r="N201" s="33">
        <f>IFERROR(__xludf.DUMMYFUNCTION("""COMPUTED_VALUE"""),0.9)</f>
        <v>0.9</v>
      </c>
      <c r="O201" s="4" t="str">
        <f>IFERROR(__xludf.DUMMYFUNCTION("""COMPUTED_VALUE"""),"Saipos Serviços De Software")</f>
        <v>Saipos Serviços De Software</v>
      </c>
      <c r="P201" s="33">
        <f>IFERROR(__xludf.DUMMYFUNCTION("""COMPUTED_VALUE"""),0.95)</f>
        <v>0.95</v>
      </c>
      <c r="Q201" s="4" t="str">
        <f>IFERROR(__xludf.DUMMYFUNCTION("""COMPUTED_VALUE"""),"Saipos Serviços De Software")</f>
        <v>Saipos Serviços De Software</v>
      </c>
      <c r="R201" s="33">
        <f>IFERROR(__xludf.DUMMYFUNCTION("""COMPUTED_VALUE"""),0.975)</f>
        <v>0.975</v>
      </c>
      <c r="S201" s="4" t="str">
        <f>IFERROR(__xludf.DUMMYFUNCTION("""COMPUTED_VALUE"""),"Saipos Serviços De Software")</f>
        <v>Saipos Serviços De Software</v>
      </c>
      <c r="T201" s="33">
        <f>IFERROR(__xludf.DUMMYFUNCTION("""COMPUTED_VALUE"""),0.95)</f>
        <v>0.95</v>
      </c>
      <c r="U201" s="4" t="str">
        <f>IFERROR(__xludf.DUMMYFUNCTION("""COMPUTED_VALUE"""),"Saipos Serviços De Software")</f>
        <v>Saipos Serviços De Software</v>
      </c>
      <c r="V201" s="33">
        <f>IFERROR(__xludf.DUMMYFUNCTION("""COMPUTED_VALUE"""),0.95)</f>
        <v>0.95</v>
      </c>
      <c r="W201" s="4" t="str">
        <f>IFERROR(__xludf.DUMMYFUNCTION("""COMPUTED_VALUE"""),"Saipos Serviços De Software")</f>
        <v>Saipos Serviços De Software</v>
      </c>
      <c r="X201" s="33">
        <f>IFERROR(__xludf.DUMMYFUNCTION("""COMPUTED_VALUE"""),0.95)</f>
        <v>0.95</v>
      </c>
    </row>
    <row r="202">
      <c r="A202" s="4" t="str">
        <f>IFERROR(__xludf.DUMMYFUNCTION("""COMPUTED_VALUE"""),"TIO ARMENIO")</f>
        <v>TIO ARMENIO</v>
      </c>
      <c r="B202" s="4">
        <f>IFERROR(__xludf.DUMMYFUNCTION("""COMPUTED_VALUE"""),5.0)</f>
        <v>5</v>
      </c>
      <c r="C202" s="30">
        <f>IFERROR(__xludf.DUMMYFUNCTION("""COMPUTED_VALUE"""),63.0)</f>
        <v>63</v>
      </c>
      <c r="D202" s="4" t="str">
        <f>IFERROR(__xludf.DUMMYFUNCTION("""COMPUTED_VALUE"""),"Fast Casual - Multi-conceito")</f>
        <v>Fast Casual - Multi-conceito</v>
      </c>
      <c r="E202" s="4" t="str">
        <f>IFERROR(__xludf.DUMMYFUNCTION("""COMPUTED_VALUE"""),"Nacional")</f>
        <v>Nacional</v>
      </c>
      <c r="F202" s="4" t="str">
        <f>IFERROR(__xludf.DUMMYFUNCTION("""COMPUTED_VALUE"""),"Dado não disponível publicamente - Necessário Discovery")</f>
        <v>Dado não disponível publicamente - Necessário Discovery</v>
      </c>
      <c r="G202" s="4">
        <f>IFERROR(__xludf.DUMMYFUNCTION("""COMPUTED_VALUE"""),70.0)</f>
        <v>70</v>
      </c>
      <c r="H202" s="31">
        <f>IFERROR(__xludf.DUMMYFUNCTION("""COMPUTED_VALUE"""),0.75)</f>
        <v>0.75</v>
      </c>
      <c r="I20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02" s="4" t="str">
        <f>IFERROR(__xludf.DUMMYFUNCTION("""COMPUTED_VALUE"""),"GRUPO VIENA RESTAURANTE E PIZZARIA - CONTA GRUPO")</f>
        <v>GRUPO VIENA RESTAURANTE E PIZZARIA - CONTA GRUPO</v>
      </c>
      <c r="L202" s="32">
        <f>IFERROR(__xludf.DUMMYFUNCTION("""COMPUTED_VALUE"""),40.0)</f>
        <v>40</v>
      </c>
      <c r="M202" s="4" t="str">
        <f>IFERROR(__xludf.DUMMYFUNCTION("""COMPUTED_VALUE"""),"Beefood - Sistema Para Restaurantes")</f>
        <v>Beefood - Sistema Para Restaurantes</v>
      </c>
      <c r="N202" s="33">
        <f>IFERROR(__xludf.DUMMYFUNCTION("""COMPUTED_VALUE"""),0.8918918918918919)</f>
        <v>0.8918918919</v>
      </c>
      <c r="O202" s="4" t="str">
        <f>IFERROR(__xludf.DUMMYFUNCTION("""COMPUTED_VALUE"""),"Beefood - Sistema Para Restaurantes")</f>
        <v>Beefood - Sistema Para Restaurantes</v>
      </c>
      <c r="P202" s="33">
        <f>IFERROR(__xludf.DUMMYFUNCTION("""COMPUTED_VALUE"""),0.8108108108108109)</f>
        <v>0.8108108108</v>
      </c>
      <c r="Q202" s="4" t="str">
        <f>IFERROR(__xludf.DUMMYFUNCTION("""COMPUTED_VALUE"""),"Beefood - Sistema Para Restaurantes")</f>
        <v>Beefood - Sistema Para Restaurantes</v>
      </c>
      <c r="R202" s="33">
        <f>IFERROR(__xludf.DUMMYFUNCTION("""COMPUTED_VALUE"""),0.7297297297297297)</f>
        <v>0.7297297297</v>
      </c>
      <c r="S202" s="4" t="str">
        <f>IFERROR(__xludf.DUMMYFUNCTION("""COMPUTED_VALUE"""),"Beefood - Sistema Para Restaurantes")</f>
        <v>Beefood - Sistema Para Restaurantes</v>
      </c>
      <c r="T202" s="33">
        <f>IFERROR(__xludf.DUMMYFUNCTION("""COMPUTED_VALUE"""),0.4864864864864865)</f>
        <v>0.4864864865</v>
      </c>
      <c r="U202" s="4" t="str">
        <f>IFERROR(__xludf.DUMMYFUNCTION("""COMPUTED_VALUE"""),"Saipos Serviços De Software")</f>
        <v>Saipos Serviços De Software</v>
      </c>
      <c r="V202" s="33">
        <f>IFERROR(__xludf.DUMMYFUNCTION("""COMPUTED_VALUE"""),0.7567567567567568)</f>
        <v>0.7567567568</v>
      </c>
      <c r="W202" s="4" t="str">
        <f>IFERROR(__xludf.DUMMYFUNCTION("""COMPUTED_VALUE"""),"Saipos Serviços De Software")</f>
        <v>Saipos Serviços De Software</v>
      </c>
      <c r="X202" s="33">
        <f>IFERROR(__xludf.DUMMYFUNCTION("""COMPUTED_VALUE"""),0.9459459459459459)</f>
        <v>0.9459459459</v>
      </c>
    </row>
    <row r="203">
      <c r="A203" s="4" t="str">
        <f>IFERROR(__xludf.DUMMYFUNCTION("""COMPUTED_VALUE"""),"TONYS GRILL")</f>
        <v>TONYS GRILL</v>
      </c>
      <c r="B203" s="4">
        <f>IFERROR(__xludf.DUMMYFUNCTION("""COMPUTED_VALUE"""),2.0)</f>
        <v>2</v>
      </c>
      <c r="C203" s="30">
        <f>IFERROR(__xludf.DUMMYFUNCTION("""COMPUTED_VALUE"""),160.0)</f>
        <v>160</v>
      </c>
      <c r="D203" s="4" t="str">
        <f>IFERROR(__xludf.DUMMYFUNCTION("""COMPUTED_VALUE"""),"Table Service - Churrascaria")</f>
        <v>Table Service - Churrascaria</v>
      </c>
      <c r="E203" s="4" t="str">
        <f>IFERROR(__xludf.DUMMYFUNCTION("""COMPUTED_VALUE"""),"Sul")</f>
        <v>Sul</v>
      </c>
      <c r="F203" s="4" t="str">
        <f>IFERROR(__xludf.DUMMYFUNCTION("""COMPUTED_VALUE"""),"Dado não disponível publicamente - Necessário Discovery")</f>
        <v>Dado não disponível publicamente - Necessário Discovery</v>
      </c>
      <c r="G203" s="4">
        <f>IFERROR(__xludf.DUMMYFUNCTION("""COMPUTED_VALUE"""),55.0)</f>
        <v>55</v>
      </c>
      <c r="H203" s="31">
        <f>IFERROR(__xludf.DUMMYFUNCTION("""COMPUTED_VALUE"""),0.65)</f>
        <v>0.65</v>
      </c>
      <c r="I20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03" s="4" t="str">
        <f>IFERROR(__xludf.DUMMYFUNCTION("""COMPUTED_VALUE"""),"SA CASA DO SUSHI - CONTA MARCA")</f>
        <v>SA CASA DO SUSHI - CONTA MARCA</v>
      </c>
      <c r="L203" s="32">
        <f>IFERROR(__xludf.DUMMYFUNCTION("""COMPUTED_VALUE"""),40.0)</f>
        <v>40</v>
      </c>
      <c r="M203" s="4" t="str">
        <f>IFERROR(__xludf.DUMMYFUNCTION("""COMPUTED_VALUE"""),"Você Pede")</f>
        <v>Você Pede</v>
      </c>
      <c r="N203" s="33">
        <f>IFERROR(__xludf.DUMMYFUNCTION("""COMPUTED_VALUE"""),0.55)</f>
        <v>0.55</v>
      </c>
      <c r="O203" s="4" t="str">
        <f>IFERROR(__xludf.DUMMYFUNCTION("""COMPUTED_VALUE"""),"Você Pede")</f>
        <v>Você Pede</v>
      </c>
      <c r="P203" s="33">
        <f>IFERROR(__xludf.DUMMYFUNCTION("""COMPUTED_VALUE"""),0.475)</f>
        <v>0.475</v>
      </c>
      <c r="Q203" s="4" t="str">
        <f>IFERROR(__xludf.DUMMYFUNCTION("""COMPUTED_VALUE"""),"Algoritma Sistemas De Software Ltda")</f>
        <v>Algoritma Sistemas De Software Ltda</v>
      </c>
      <c r="R203" s="33">
        <f>IFERROR(__xludf.DUMMYFUNCTION("""COMPUTED_VALUE"""),0.525)</f>
        <v>0.525</v>
      </c>
      <c r="S203" s="4" t="str">
        <f>IFERROR(__xludf.DUMMYFUNCTION("""COMPUTED_VALUE"""),"Algoritma Sistemas De Software Ltda")</f>
        <v>Algoritma Sistemas De Software Ltda</v>
      </c>
      <c r="T203" s="33">
        <f>IFERROR(__xludf.DUMMYFUNCTION("""COMPUTED_VALUE"""),0.55)</f>
        <v>0.55</v>
      </c>
      <c r="U203" s="4" t="str">
        <f>IFERROR(__xludf.DUMMYFUNCTION("""COMPUTED_VALUE"""),"Algoritma Sistemas De Software Ltda")</f>
        <v>Algoritma Sistemas De Software Ltda</v>
      </c>
      <c r="V203" s="33">
        <f>IFERROR(__xludf.DUMMYFUNCTION("""COMPUTED_VALUE"""),0.6)</f>
        <v>0.6</v>
      </c>
      <c r="W203" s="4" t="str">
        <f>IFERROR(__xludf.DUMMYFUNCTION("""COMPUTED_VALUE"""),"Algoritma Sistemas De Software Ltda")</f>
        <v>Algoritma Sistemas De Software Ltda</v>
      </c>
      <c r="X203" s="33">
        <f>IFERROR(__xludf.DUMMYFUNCTION("""COMPUTED_VALUE"""),0.725)</f>
        <v>0.725</v>
      </c>
    </row>
    <row r="204">
      <c r="A204" s="4" t="str">
        <f>IFERROR(__xludf.DUMMYFUNCTION("""COMPUTED_VALUE"""),"TOP PIZZA")</f>
        <v>TOP PIZZA</v>
      </c>
      <c r="B204" s="4">
        <f>IFERROR(__xludf.DUMMYFUNCTION("""COMPUTED_VALUE"""),7.0)</f>
        <v>7</v>
      </c>
      <c r="C204" s="30">
        <f>IFERROR(__xludf.DUMMYFUNCTION("""COMPUTED_VALUE"""),82.0)</f>
        <v>82</v>
      </c>
      <c r="D204" s="4" t="str">
        <f>IFERROR(__xludf.DUMMYFUNCTION("""COMPUTED_VALUE"""),"Fast Casual - Pizzaria")</f>
        <v>Fast Casual - Pizzaria</v>
      </c>
      <c r="E204" s="4" t="str">
        <f>IFERROR(__xludf.DUMMYFUNCTION("""COMPUTED_VALUE"""),"Rio de Janeiro/RJ")</f>
        <v>Rio de Janeiro/RJ</v>
      </c>
      <c r="F204" s="4" t="str">
        <f>IFERROR(__xludf.DUMMYFUNCTION("""COMPUTED_VALUE"""),"Dado não disponível publicamente - Necessário Discovery")</f>
        <v>Dado não disponível publicamente - Necessário Discovery</v>
      </c>
      <c r="G204" s="4">
        <f>IFERROR(__xludf.DUMMYFUNCTION("""COMPUTED_VALUE"""),70.0)</f>
        <v>70</v>
      </c>
      <c r="H204" s="31">
        <f>IFERROR(__xludf.DUMMYFUNCTION("""COMPUTED_VALUE"""),0.75)</f>
        <v>0.75</v>
      </c>
      <c r="I20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04" s="4" t="str">
        <f>IFERROR(__xludf.DUMMYFUNCTION("""COMPUTED_VALUE"""),"TACO BELL")</f>
        <v>TACO BELL</v>
      </c>
      <c r="L204" s="32">
        <f>IFERROR(__xludf.DUMMYFUNCTION("""COMPUTED_VALUE"""),39.0)</f>
        <v>39</v>
      </c>
      <c r="M204" s="4" t="str">
        <f>IFERROR(__xludf.DUMMYFUNCTION("""COMPUTED_VALUE"""),"E-deploy Retail")</f>
        <v>E-deploy Retail</v>
      </c>
      <c r="N204" s="33">
        <f>IFERROR(__xludf.DUMMYFUNCTION("""COMPUTED_VALUE"""),0.7948717948717948)</f>
        <v>0.7948717949</v>
      </c>
      <c r="O204" s="4" t="str">
        <f>IFERROR(__xludf.DUMMYFUNCTION("""COMPUTED_VALUE"""),"E-deploy Retail")</f>
        <v>E-deploy Retail</v>
      </c>
      <c r="P204" s="33">
        <f>IFERROR(__xludf.DUMMYFUNCTION("""COMPUTED_VALUE"""),0.7692307692307693)</f>
        <v>0.7692307692</v>
      </c>
      <c r="Q204" s="4" t="str">
        <f>IFERROR(__xludf.DUMMYFUNCTION("""COMPUTED_VALUE"""),"E-deploy Retail")</f>
        <v>E-deploy Retail</v>
      </c>
      <c r="R204" s="33">
        <f>IFERROR(__xludf.DUMMYFUNCTION("""COMPUTED_VALUE"""),0.8974358974358975)</f>
        <v>0.8974358974</v>
      </c>
      <c r="S204" s="4" t="str">
        <f>IFERROR(__xludf.DUMMYFUNCTION("""COMPUTED_VALUE"""),"E-deploy Retail")</f>
        <v>E-deploy Retail</v>
      </c>
      <c r="T204" s="33">
        <f>IFERROR(__xludf.DUMMYFUNCTION("""COMPUTED_VALUE"""),0.8205128205128205)</f>
        <v>0.8205128205</v>
      </c>
      <c r="U204" s="4" t="str">
        <f>IFERROR(__xludf.DUMMYFUNCTION("""COMPUTED_VALUE"""),"E-deploy Retail")</f>
        <v>E-deploy Retail</v>
      </c>
      <c r="V204" s="33">
        <f>IFERROR(__xludf.DUMMYFUNCTION("""COMPUTED_VALUE"""),0.9230769230769231)</f>
        <v>0.9230769231</v>
      </c>
      <c r="W204" s="4" t="str">
        <f>IFERROR(__xludf.DUMMYFUNCTION("""COMPUTED_VALUE"""),"E-deploy Retail")</f>
        <v>E-deploy Retail</v>
      </c>
      <c r="X204" s="33">
        <f>IFERROR(__xludf.DUMMYFUNCTION("""COMPUTED_VALUE"""),0.9487179487179487)</f>
        <v>0.9487179487</v>
      </c>
    </row>
    <row r="205">
      <c r="A205" s="4" t="str">
        <f>IFERROR(__xludf.DUMMYFUNCTION("""COMPUTED_VALUE"""),"TOPPU SUSHI")</f>
        <v>TOPPU SUSHI</v>
      </c>
      <c r="B205" s="4">
        <f>IFERROR(__xludf.DUMMYFUNCTION("""COMPUTED_VALUE"""),6.0)</f>
        <v>6</v>
      </c>
      <c r="C205" s="30">
        <f>IFERROR(__xludf.DUMMYFUNCTION("""COMPUTED_VALUE"""),69.0)</f>
        <v>69</v>
      </c>
      <c r="D205" s="4" t="str">
        <f>IFERROR(__xludf.DUMMYFUNCTION("""COMPUTED_VALUE"""),"Fast Casual - Japonesa")</f>
        <v>Fast Casual - Japonesa</v>
      </c>
      <c r="E205" s="4" t="str">
        <f>IFERROR(__xludf.DUMMYFUNCTION("""COMPUTED_VALUE"""),"Interior SP")</f>
        <v>Interior SP</v>
      </c>
      <c r="F205" s="4" t="str">
        <f>IFERROR(__xludf.DUMMYFUNCTION("""COMPUTED_VALUE"""),"Dado não disponível publicamente - Necessário Discovery")</f>
        <v>Dado não disponível publicamente - Necessário Discovery</v>
      </c>
      <c r="G205" s="4">
        <f>IFERROR(__xludf.DUMMYFUNCTION("""COMPUTED_VALUE"""),70.0)</f>
        <v>70</v>
      </c>
      <c r="H205" s="31">
        <f>IFERROR(__xludf.DUMMYFUNCTION("""COMPUTED_VALUE"""),0.75)</f>
        <v>0.75</v>
      </c>
      <c r="I20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05" s="4" t="str">
        <f>IFERROR(__xludf.DUMMYFUNCTION("""COMPUTED_VALUE"""),"CIA TRADICIONAL DO COMERCIO")</f>
        <v>CIA TRADICIONAL DO COMERCIO</v>
      </c>
      <c r="L205" s="32">
        <f>IFERROR(__xludf.DUMMYFUNCTION("""COMPUTED_VALUE"""),39.0)</f>
        <v>39</v>
      </c>
      <c r="M205" s="4" t="str">
        <f>IFERROR(__xludf.DUMMYFUNCTION("""COMPUTED_VALUE"""),"E-deploy Retail")</f>
        <v>E-deploy Retail</v>
      </c>
      <c r="N205" s="33">
        <f>IFERROR(__xludf.DUMMYFUNCTION("""COMPUTED_VALUE"""),0.9743589743589743)</f>
        <v>0.9743589744</v>
      </c>
      <c r="O205" s="4" t="str">
        <f>IFERROR(__xludf.DUMMYFUNCTION("""COMPUTED_VALUE"""),"E-deploy Retail")</f>
        <v>E-deploy Retail</v>
      </c>
      <c r="P205" s="33">
        <f>IFERROR(__xludf.DUMMYFUNCTION("""COMPUTED_VALUE"""),0.9487179487179487)</f>
        <v>0.9487179487</v>
      </c>
      <c r="Q205" s="4" t="str">
        <f>IFERROR(__xludf.DUMMYFUNCTION("""COMPUTED_VALUE"""),"E-deploy Retail")</f>
        <v>E-deploy Retail</v>
      </c>
      <c r="R205" s="33">
        <f>IFERROR(__xludf.DUMMYFUNCTION("""COMPUTED_VALUE"""),0.8974358974358975)</f>
        <v>0.8974358974</v>
      </c>
      <c r="S205" s="4" t="str">
        <f>IFERROR(__xludf.DUMMYFUNCTION("""COMPUTED_VALUE"""),"E-deploy Retail")</f>
        <v>E-deploy Retail</v>
      </c>
      <c r="T205" s="33">
        <f>IFERROR(__xludf.DUMMYFUNCTION("""COMPUTED_VALUE"""),0.8974358974358975)</f>
        <v>0.8974358974</v>
      </c>
      <c r="U205" s="4" t="str">
        <f>IFERROR(__xludf.DUMMYFUNCTION("""COMPUTED_VALUE"""),"E-deploy Retail")</f>
        <v>E-deploy Retail</v>
      </c>
      <c r="V205" s="33">
        <f>IFERROR(__xludf.DUMMYFUNCTION("""COMPUTED_VALUE"""),0.8974358974358975)</f>
        <v>0.8974358974</v>
      </c>
      <c r="W205" s="4" t="str">
        <f>IFERROR(__xludf.DUMMYFUNCTION("""COMPUTED_VALUE"""),"E-deploy Retail")</f>
        <v>E-deploy Retail</v>
      </c>
      <c r="X205" s="33">
        <f>IFERROR(__xludf.DUMMYFUNCTION("""COMPUTED_VALUE"""),0.9230769230769231)</f>
        <v>0.9230769231</v>
      </c>
    </row>
    <row r="206">
      <c r="A206" s="4" t="str">
        <f>IFERROR(__xludf.DUMMYFUNCTION("""COMPUTED_VALUE"""),"TORTELLE ESFIHARIA")</f>
        <v>TORTELLE ESFIHARIA</v>
      </c>
      <c r="B206" s="4">
        <f>IFERROR(__xludf.DUMMYFUNCTION("""COMPUTED_VALUE"""),9.0)</f>
        <v>9</v>
      </c>
      <c r="C206" s="30">
        <f>IFERROR(__xludf.DUMMYFUNCTION("""COMPUTED_VALUE"""),40.0)</f>
        <v>40</v>
      </c>
      <c r="D206" s="4" t="str">
        <f>IFERROR(__xludf.DUMMYFUNCTION("""COMPUTED_VALUE"""),"Fast Casual - Esfiharia")</f>
        <v>Fast Casual - Esfiharia</v>
      </c>
      <c r="E206" s="4" t="str">
        <f>IFERROR(__xludf.DUMMYFUNCTION("""COMPUTED_VALUE"""),"Brasília/DF")</f>
        <v>Brasília/DF</v>
      </c>
      <c r="F206" s="4" t="str">
        <f>IFERROR(__xludf.DUMMYFUNCTION("""COMPUTED_VALUE"""),"Dado não disponível publicamente - Necessário Discovery")</f>
        <v>Dado não disponível publicamente - Necessário Discovery</v>
      </c>
      <c r="G206" s="4">
        <f>IFERROR(__xludf.DUMMYFUNCTION("""COMPUTED_VALUE"""),70.0)</f>
        <v>70</v>
      </c>
      <c r="H206" s="31">
        <f>IFERROR(__xludf.DUMMYFUNCTION("""COMPUTED_VALUE"""),0.75)</f>
        <v>0.75</v>
      </c>
      <c r="I20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06" s="4" t="str">
        <f>IFERROR(__xludf.DUMMYFUNCTION("""COMPUTED_VALUE"""),"NEMA - PADARIA E PIZZARIA")</f>
        <v>NEMA - PADARIA E PIZZARIA</v>
      </c>
      <c r="L206" s="32">
        <f>IFERROR(__xludf.DUMMYFUNCTION("""COMPUTED_VALUE"""),39.0)</f>
        <v>39</v>
      </c>
      <c r="M206" s="4" t="str">
        <f>IFERROR(__xludf.DUMMYFUNCTION("""COMPUTED_VALUE"""),"Saipos Serviços De Software")</f>
        <v>Saipos Serviços De Software</v>
      </c>
      <c r="N206" s="33">
        <f>IFERROR(__xludf.DUMMYFUNCTION("""COMPUTED_VALUE"""),0.8717948717948718)</f>
        <v>0.8717948718</v>
      </c>
      <c r="O206" s="4" t="str">
        <f>IFERROR(__xludf.DUMMYFUNCTION("""COMPUTED_VALUE"""),"Saipos Serviços De Software")</f>
        <v>Saipos Serviços De Software</v>
      </c>
      <c r="P206" s="33">
        <f>IFERROR(__xludf.DUMMYFUNCTION("""COMPUTED_VALUE"""),0.8717948717948718)</f>
        <v>0.8717948718</v>
      </c>
      <c r="Q206" s="4" t="str">
        <f>IFERROR(__xludf.DUMMYFUNCTION("""COMPUTED_VALUE"""),"Saipos Serviços De Software")</f>
        <v>Saipos Serviços De Software</v>
      </c>
      <c r="R206" s="33">
        <f>IFERROR(__xludf.DUMMYFUNCTION("""COMPUTED_VALUE"""),0.8717948717948718)</f>
        <v>0.8717948718</v>
      </c>
      <c r="S206" s="4" t="str">
        <f>IFERROR(__xludf.DUMMYFUNCTION("""COMPUTED_VALUE"""),"Saipos Serviços De Software")</f>
        <v>Saipos Serviços De Software</v>
      </c>
      <c r="T206" s="33">
        <f>IFERROR(__xludf.DUMMYFUNCTION("""COMPUTED_VALUE"""),0.8717948717948718)</f>
        <v>0.8717948718</v>
      </c>
      <c r="U206" s="4" t="str">
        <f>IFERROR(__xludf.DUMMYFUNCTION("""COMPUTED_VALUE"""),"Saipos Serviços De Software")</f>
        <v>Saipos Serviços De Software</v>
      </c>
      <c r="V206" s="33">
        <f>IFERROR(__xludf.DUMMYFUNCTION("""COMPUTED_VALUE"""),0.8974358974358975)</f>
        <v>0.8974358974</v>
      </c>
      <c r="W206" s="4" t="str">
        <f>IFERROR(__xludf.DUMMYFUNCTION("""COMPUTED_VALUE"""),"Saipos Serviços De Software")</f>
        <v>Saipos Serviços De Software</v>
      </c>
      <c r="X206" s="33">
        <f>IFERROR(__xludf.DUMMYFUNCTION("""COMPUTED_VALUE"""),0.8205128205128205)</f>
        <v>0.8205128205</v>
      </c>
    </row>
    <row r="207">
      <c r="A207" s="4" t="str">
        <f>IFERROR(__xludf.DUMMYFUNCTION("""COMPUTED_VALUE"""),"TRUDYSSSS PIZZARIA E RISTORANTE - CONTA PAI")</f>
        <v>TRUDYSSSS PIZZARIA E RISTORANTE - CONTA PAI</v>
      </c>
      <c r="B207" s="4">
        <f>IFERROR(__xludf.DUMMYFUNCTION("""COMPUTED_VALUE"""),5.0)</f>
        <v>5</v>
      </c>
      <c r="C207" s="30">
        <f>IFERROR(__xludf.DUMMYFUNCTION("""COMPUTED_VALUE"""),69.0)</f>
        <v>69</v>
      </c>
      <c r="D207" s="4" t="str">
        <f>IFERROR(__xludf.DUMMYFUNCTION("""COMPUTED_VALUE"""),"Fast Casual - Pizzaria")</f>
        <v>Fast Casual - Pizzaria</v>
      </c>
      <c r="E207" s="4" t="str">
        <f>IFERROR(__xludf.DUMMYFUNCTION("""COMPUTED_VALUE"""),"Sul")</f>
        <v>Sul</v>
      </c>
      <c r="F207" s="4" t="str">
        <f>IFERROR(__xludf.DUMMYFUNCTION("""COMPUTED_VALUE"""),"Dado não disponível publicamente - Necessário Discovery")</f>
        <v>Dado não disponível publicamente - Necessário Discovery</v>
      </c>
      <c r="G207" s="4">
        <f>IFERROR(__xludf.DUMMYFUNCTION("""COMPUTED_VALUE"""),70.0)</f>
        <v>70</v>
      </c>
      <c r="H207" s="31">
        <f>IFERROR(__xludf.DUMMYFUNCTION("""COMPUTED_VALUE"""),0.75)</f>
        <v>0.75</v>
      </c>
      <c r="I20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07" s="4" t="str">
        <f>IFERROR(__xludf.DUMMYFUNCTION("""COMPUTED_VALUE"""),"PENSE FARMA - CONTA PAI")</f>
        <v>PENSE FARMA - CONTA PAI</v>
      </c>
      <c r="L207" s="32">
        <f>IFERROR(__xludf.DUMMYFUNCTION("""COMPUTED_VALUE"""),39.0)</f>
        <v>39</v>
      </c>
      <c r="M207" s="4" t="str">
        <f>IFERROR(__xludf.DUMMYFUNCTION("""COMPUTED_VALUE"""),"N/A (Not found)")</f>
        <v>N/A (Not found)</v>
      </c>
      <c r="N207" s="33">
        <f>IFERROR(__xludf.DUMMYFUNCTION("""COMPUTED_VALUE"""),1.0)</f>
        <v>1</v>
      </c>
      <c r="O207" s="4" t="str">
        <f>IFERROR(__xludf.DUMMYFUNCTION("""COMPUTED_VALUE"""),"N/A (Not found)")</f>
        <v>N/A (Not found)</v>
      </c>
      <c r="P207" s="33">
        <f>IFERROR(__xludf.DUMMYFUNCTION("""COMPUTED_VALUE"""),0.9743589743589743)</f>
        <v>0.9743589744</v>
      </c>
      <c r="Q207" s="4" t="str">
        <f>IFERROR(__xludf.DUMMYFUNCTION("""COMPUTED_VALUE"""),"N/A (Not found)")</f>
        <v>N/A (Not found)</v>
      </c>
      <c r="R207" s="33">
        <f>IFERROR(__xludf.DUMMYFUNCTION("""COMPUTED_VALUE"""),1.0)</f>
        <v>1</v>
      </c>
      <c r="S207" s="4" t="str">
        <f>IFERROR(__xludf.DUMMYFUNCTION("""COMPUTED_VALUE"""),"N/A (Not found)")</f>
        <v>N/A (Not found)</v>
      </c>
      <c r="T207" s="33">
        <f>IFERROR(__xludf.DUMMYFUNCTION("""COMPUTED_VALUE"""),1.0)</f>
        <v>1</v>
      </c>
      <c r="U207" s="4" t="str">
        <f>IFERROR(__xludf.DUMMYFUNCTION("""COMPUTED_VALUE"""),"N/A (Not found)")</f>
        <v>N/A (Not found)</v>
      </c>
      <c r="V207" s="33">
        <f>IFERROR(__xludf.DUMMYFUNCTION("""COMPUTED_VALUE"""),1.0)</f>
        <v>1</v>
      </c>
      <c r="W207" s="4" t="str">
        <f>IFERROR(__xludf.DUMMYFUNCTION("""COMPUTED_VALUE"""),"N/A (Not found)")</f>
        <v>N/A (Not found)</v>
      </c>
      <c r="X207" s="33">
        <f>IFERROR(__xludf.DUMMYFUNCTION("""COMPUTED_VALUE"""),1.0)</f>
        <v>1</v>
      </c>
    </row>
    <row r="208">
      <c r="A208" s="4" t="str">
        <f>IFERROR(__xludf.DUMMYFUNCTION("""COMPUTED_VALUE"""),"VEGAS PIZZARIA E ESFIHARIA")</f>
        <v>VEGAS PIZZARIA E ESFIHARIA</v>
      </c>
      <c r="B208" s="4">
        <f>IFERROR(__xludf.DUMMYFUNCTION("""COMPUTED_VALUE"""),10.0)</f>
        <v>10</v>
      </c>
      <c r="C208" s="30">
        <f>IFERROR(__xludf.DUMMYFUNCTION("""COMPUTED_VALUE"""),82.0)</f>
        <v>82</v>
      </c>
      <c r="D208" s="4" t="str">
        <f>IFERROR(__xludf.DUMMYFUNCTION("""COMPUTED_VALUE"""),"Fast Casual - Pizzaria")</f>
        <v>Fast Casual - Pizzaria</v>
      </c>
      <c r="E208" s="4" t="str">
        <f>IFERROR(__xludf.DUMMYFUNCTION("""COMPUTED_VALUE"""),"Belo Horizonte/MG")</f>
        <v>Belo Horizonte/MG</v>
      </c>
      <c r="F208" s="4" t="str">
        <f>IFERROR(__xludf.DUMMYFUNCTION("""COMPUTED_VALUE"""),"Dado não disponível publicamente - Necessário Discovery")</f>
        <v>Dado não disponível publicamente - Necessário Discovery</v>
      </c>
      <c r="G208" s="4">
        <f>IFERROR(__xludf.DUMMYFUNCTION("""COMPUTED_VALUE"""),70.0)</f>
        <v>70</v>
      </c>
      <c r="H208" s="31">
        <f>IFERROR(__xludf.DUMMYFUNCTION("""COMPUTED_VALUE"""),0.8)</f>
        <v>0.8</v>
      </c>
      <c r="I208"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208" s="4" t="str">
        <f>IFERROR(__xludf.DUMMYFUNCTION("""COMPUTED_VALUE"""),"ROLDAO - CONTA GRUPO")</f>
        <v>ROLDAO - CONTA GRUPO</v>
      </c>
      <c r="L208" s="32">
        <f>IFERROR(__xludf.DUMMYFUNCTION("""COMPUTED_VALUE"""),39.0)</f>
        <v>39</v>
      </c>
      <c r="M208" s="4" t="str">
        <f>IFERROR(__xludf.DUMMYFUNCTION("""COMPUTED_VALUE"""),"N/A (Not found)")</f>
        <v>N/A (Not found)</v>
      </c>
      <c r="N208" s="33">
        <f>IFERROR(__xludf.DUMMYFUNCTION("""COMPUTED_VALUE"""),0.9743589743589743)</f>
        <v>0.9743589744</v>
      </c>
      <c r="O208" s="4" t="str">
        <f>IFERROR(__xludf.DUMMYFUNCTION("""COMPUTED_VALUE"""),"N/A (Not found)")</f>
        <v>N/A (Not found)</v>
      </c>
      <c r="P208" s="33">
        <f>IFERROR(__xludf.DUMMYFUNCTION("""COMPUTED_VALUE"""),0.9743589743589743)</f>
        <v>0.9743589744</v>
      </c>
      <c r="Q208" s="4" t="str">
        <f>IFERROR(__xludf.DUMMYFUNCTION("""COMPUTED_VALUE"""),"N/A (Not found)")</f>
        <v>N/A (Not found)</v>
      </c>
      <c r="R208" s="33">
        <f>IFERROR(__xludf.DUMMYFUNCTION("""COMPUTED_VALUE"""),0.9743589743589743)</f>
        <v>0.9743589744</v>
      </c>
      <c r="S208" s="4" t="str">
        <f>IFERROR(__xludf.DUMMYFUNCTION("""COMPUTED_VALUE"""),"N/A (Not found)")</f>
        <v>N/A (Not found)</v>
      </c>
      <c r="T208" s="33">
        <f>IFERROR(__xludf.DUMMYFUNCTION("""COMPUTED_VALUE"""),0.9743589743589743)</f>
        <v>0.9743589744</v>
      </c>
      <c r="U208" s="4" t="str">
        <f>IFERROR(__xludf.DUMMYFUNCTION("""COMPUTED_VALUE"""),"N/A (Not found)")</f>
        <v>N/A (Not found)</v>
      </c>
      <c r="V208" s="33">
        <f>IFERROR(__xludf.DUMMYFUNCTION("""COMPUTED_VALUE"""),1.0)</f>
        <v>1</v>
      </c>
      <c r="W208" s="4" t="str">
        <f>IFERROR(__xludf.DUMMYFUNCTION("""COMPUTED_VALUE"""),"N/A (Not found)")</f>
        <v>N/A (Not found)</v>
      </c>
      <c r="X208" s="33">
        <f>IFERROR(__xludf.DUMMYFUNCTION("""COMPUTED_VALUE"""),1.0)</f>
        <v>1</v>
      </c>
    </row>
    <row r="209">
      <c r="A209" s="4" t="str">
        <f>IFERROR(__xludf.DUMMYFUNCTION("""COMPUTED_VALUE"""),"VIGNOLI")</f>
        <v>VIGNOLI</v>
      </c>
      <c r="B209" s="4">
        <f>IFERROR(__xludf.DUMMYFUNCTION("""COMPUTED_VALUE"""),6.0)</f>
        <v>6</v>
      </c>
      <c r="C209" s="30">
        <f>IFERROR(__xludf.DUMMYFUNCTION("""COMPUTED_VALUE"""),75.0)</f>
        <v>75</v>
      </c>
      <c r="D209" s="4" t="str">
        <f>IFERROR(__xludf.DUMMYFUNCTION("""COMPUTED_VALUE"""),"Fast Casual - Multi-conceito")</f>
        <v>Fast Casual - Multi-conceito</v>
      </c>
      <c r="E209" s="4" t="str">
        <f>IFERROR(__xludf.DUMMYFUNCTION("""COMPUTED_VALUE"""),"Regional")</f>
        <v>Regional</v>
      </c>
      <c r="F209" s="4" t="str">
        <f>IFERROR(__xludf.DUMMYFUNCTION("""COMPUTED_VALUE"""),"Dado não disponível publicamente - Necessário Discovery")</f>
        <v>Dado não disponível publicamente - Necessário Discovery</v>
      </c>
      <c r="G209" s="4">
        <f>IFERROR(__xludf.DUMMYFUNCTION("""COMPUTED_VALUE"""),70.0)</f>
        <v>70</v>
      </c>
      <c r="H209" s="31">
        <f>IFERROR(__xludf.DUMMYFUNCTION("""COMPUTED_VALUE"""),0.75)</f>
        <v>0.75</v>
      </c>
      <c r="I20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09" s="4" t="str">
        <f>IFERROR(__xludf.DUMMYFUNCTION("""COMPUTED_VALUE"""),"TRADICIONAL BOLOS E TORTAS")</f>
        <v>TRADICIONAL BOLOS E TORTAS</v>
      </c>
      <c r="L209" s="32">
        <f>IFERROR(__xludf.DUMMYFUNCTION("""COMPUTED_VALUE"""),39.0)</f>
        <v>39</v>
      </c>
      <c r="M209" s="4" t="str">
        <f>IFERROR(__xludf.DUMMYFUNCTION("""COMPUTED_VALUE"""),"null")</f>
        <v>null</v>
      </c>
      <c r="N209" s="33">
        <f>IFERROR(__xludf.DUMMYFUNCTION("""COMPUTED_VALUE"""),0.8205128205128205)</f>
        <v>0.8205128205</v>
      </c>
      <c r="O209" s="4" t="str">
        <f>IFERROR(__xludf.DUMMYFUNCTION("""COMPUTED_VALUE"""),"Gcom - Gestao Em Tecnologia De Informacao Eireli")</f>
        <v>Gcom - Gestao Em Tecnologia De Informacao Eireli</v>
      </c>
      <c r="P209" s="33">
        <f>IFERROR(__xludf.DUMMYFUNCTION("""COMPUTED_VALUE"""),0.7692307692307693)</f>
        <v>0.7692307692</v>
      </c>
      <c r="Q209" s="4" t="str">
        <f>IFERROR(__xludf.DUMMYFUNCTION("""COMPUTED_VALUE"""),"Gcom - Gestao Em Tecnologia De Informacao Eireli")</f>
        <v>Gcom - Gestao Em Tecnologia De Informacao Eireli</v>
      </c>
      <c r="R209" s="33">
        <f>IFERROR(__xludf.DUMMYFUNCTION("""COMPUTED_VALUE"""),0.7692307692307693)</f>
        <v>0.7692307692</v>
      </c>
      <c r="S209" s="4" t="str">
        <f>IFERROR(__xludf.DUMMYFUNCTION("""COMPUTED_VALUE"""),"Gcom - Gestao Em Tecnologia De Informacao Eireli")</f>
        <v>Gcom - Gestao Em Tecnologia De Informacao Eireli</v>
      </c>
      <c r="T209" s="33">
        <f>IFERROR(__xludf.DUMMYFUNCTION("""COMPUTED_VALUE"""),0.7948717948717948)</f>
        <v>0.7948717949</v>
      </c>
      <c r="U209" s="4" t="str">
        <f>IFERROR(__xludf.DUMMYFUNCTION("""COMPUTED_VALUE"""),"Gcom - Gestao Em Tecnologia De Informacao Eireli")</f>
        <v>Gcom - Gestao Em Tecnologia De Informacao Eireli</v>
      </c>
      <c r="V209" s="33">
        <f>IFERROR(__xludf.DUMMYFUNCTION("""COMPUTED_VALUE"""),0.8461538461538461)</f>
        <v>0.8461538462</v>
      </c>
      <c r="W209" s="4" t="str">
        <f>IFERROR(__xludf.DUMMYFUNCTION("""COMPUTED_VALUE"""),"Gcom - Gestao Em Tecnologia De Informacao Eireli")</f>
        <v>Gcom - Gestao Em Tecnologia De Informacao Eireli</v>
      </c>
      <c r="X209" s="33">
        <f>IFERROR(__xludf.DUMMYFUNCTION("""COMPUTED_VALUE"""),0.8461538461538461)</f>
        <v>0.8461538462</v>
      </c>
    </row>
    <row r="210">
      <c r="A210" s="4" t="str">
        <f>IFERROR(__xludf.DUMMYFUNCTION("""COMPUTED_VALUE"""),"VIVA GULA")</f>
        <v>VIVA GULA</v>
      </c>
      <c r="B210" s="4">
        <f>IFERROR(__xludf.DUMMYFUNCTION("""COMPUTED_VALUE"""),3.0)</f>
        <v>3</v>
      </c>
      <c r="C210" s="30">
        <f>IFERROR(__xludf.DUMMYFUNCTION("""COMPUTED_VALUE"""),51.0)</f>
        <v>51</v>
      </c>
      <c r="D210" s="4" t="str">
        <f>IFERROR(__xludf.DUMMYFUNCTION("""COMPUTED_VALUE"""),"Fast Casual - Multi-conceito")</f>
        <v>Fast Casual - Multi-conceito</v>
      </c>
      <c r="E210" s="4" t="str">
        <f>IFERROR(__xludf.DUMMYFUNCTION("""COMPUTED_VALUE"""),"Belo Horizonte/MG")</f>
        <v>Belo Horizonte/MG</v>
      </c>
      <c r="F210" s="4" t="str">
        <f>IFERROR(__xludf.DUMMYFUNCTION("""COMPUTED_VALUE"""),"Dado não disponível publicamente - Necessário Discovery")</f>
        <v>Dado não disponível publicamente - Necessário Discovery</v>
      </c>
      <c r="G210" s="4">
        <f>IFERROR(__xludf.DUMMYFUNCTION("""COMPUTED_VALUE"""),65.0)</f>
        <v>65</v>
      </c>
      <c r="H210" s="31">
        <f>IFERROR(__xludf.DUMMYFUNCTION("""COMPUTED_VALUE"""),0.75)</f>
        <v>0.75</v>
      </c>
      <c r="I21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10" s="4" t="str">
        <f>IFERROR(__xludf.DUMMYFUNCTION("""COMPUTED_VALUE"""),"FARMACIA NACIONAL - CONTA PAI")</f>
        <v>FARMACIA NACIONAL - CONTA PAI</v>
      </c>
      <c r="L210" s="32">
        <f>IFERROR(__xludf.DUMMYFUNCTION("""COMPUTED_VALUE"""),38.0)</f>
        <v>38</v>
      </c>
      <c r="M210" s="4" t="str">
        <f>IFERROR(__xludf.DUMMYFUNCTION("""COMPUTED_VALUE"""),"N/A (Not found)")</f>
        <v>N/A (Not found)</v>
      </c>
      <c r="N210" s="33">
        <f>IFERROR(__xludf.DUMMYFUNCTION("""COMPUTED_VALUE"""),0.9473684210526315)</f>
        <v>0.9473684211</v>
      </c>
      <c r="O210" s="4" t="str">
        <f>IFERROR(__xludf.DUMMYFUNCTION("""COMPUTED_VALUE"""),"N/A (Not found)")</f>
        <v>N/A (Not found)</v>
      </c>
      <c r="P210" s="33">
        <f>IFERROR(__xludf.DUMMYFUNCTION("""COMPUTED_VALUE"""),0.9473684210526315)</f>
        <v>0.9473684211</v>
      </c>
      <c r="Q210" s="4" t="str">
        <f>IFERROR(__xludf.DUMMYFUNCTION("""COMPUTED_VALUE"""),"N/A (Not found)")</f>
        <v>N/A (Not found)</v>
      </c>
      <c r="R210" s="33">
        <f>IFERROR(__xludf.DUMMYFUNCTION("""COMPUTED_VALUE"""),0.9473684210526315)</f>
        <v>0.9473684211</v>
      </c>
      <c r="S210" s="4" t="str">
        <f>IFERROR(__xludf.DUMMYFUNCTION("""COMPUTED_VALUE"""),"N/A (Not found)")</f>
        <v>N/A (Not found)</v>
      </c>
      <c r="T210" s="33">
        <f>IFERROR(__xludf.DUMMYFUNCTION("""COMPUTED_VALUE"""),0.9473684210526315)</f>
        <v>0.9473684211</v>
      </c>
      <c r="U210" s="4" t="str">
        <f>IFERROR(__xludf.DUMMYFUNCTION("""COMPUTED_VALUE"""),"N/A (Not found)")</f>
        <v>N/A (Not found)</v>
      </c>
      <c r="V210" s="33">
        <f>IFERROR(__xludf.DUMMYFUNCTION("""COMPUTED_VALUE"""),0.9473684210526315)</f>
        <v>0.9473684211</v>
      </c>
      <c r="W210" s="4" t="str">
        <f>IFERROR(__xludf.DUMMYFUNCTION("""COMPUTED_VALUE"""),"N/A (Not found)")</f>
        <v>N/A (Not found)</v>
      </c>
      <c r="X210" s="33">
        <f>IFERROR(__xludf.DUMMYFUNCTION("""COMPUTED_VALUE"""),1.0)</f>
        <v>1</v>
      </c>
    </row>
    <row r="211">
      <c r="A211" s="4" t="str">
        <f>IFERROR(__xludf.DUMMYFUNCTION("""COMPUTED_VALUE"""),"WORLD COOKIES - CONTA MARCA")</f>
        <v>WORLD COOKIES - CONTA MARCA</v>
      </c>
      <c r="B211" s="4">
        <f>IFERROR(__xludf.DUMMYFUNCTION("""COMPUTED_VALUE"""),2.0)</f>
        <v>2</v>
      </c>
      <c r="C211" s="30">
        <f>IFERROR(__xludf.DUMMYFUNCTION("""COMPUTED_VALUE"""),45.0)</f>
        <v>45</v>
      </c>
      <c r="D211" s="4" t="str">
        <f>IFERROR(__xludf.DUMMYFUNCTION("""COMPUTED_VALUE"""),"Varejo - Confeitaria")</f>
        <v>Varejo - Confeitaria</v>
      </c>
      <c r="E211" s="4" t="str">
        <f>IFERROR(__xludf.DUMMYFUNCTION("""COMPUTED_VALUE"""),"Sudeste")</f>
        <v>Sudeste</v>
      </c>
      <c r="F211" s="4" t="str">
        <f>IFERROR(__xludf.DUMMYFUNCTION("""COMPUTED_VALUE"""),"Dado não disponível publicamente - Necessário Discovery")</f>
        <v>Dado não disponível publicamente - Necessário Discovery</v>
      </c>
      <c r="G211" s="4">
        <f>IFERROR(__xludf.DUMMYFUNCTION("""COMPUTED_VALUE"""),35.0)</f>
        <v>35</v>
      </c>
      <c r="H211" s="31">
        <f>IFERROR(__xludf.DUMMYFUNCTION("""COMPUTED_VALUE"""),0.5)</f>
        <v>0.5</v>
      </c>
      <c r="I211"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211" s="4" t="str">
        <f>IFERROR(__xludf.DUMMYFUNCTION("""COMPUTED_VALUE"""),"FARMELHOR - CONTA PAI")</f>
        <v>FARMELHOR - CONTA PAI</v>
      </c>
      <c r="L211" s="32">
        <f>IFERROR(__xludf.DUMMYFUNCTION("""COMPUTED_VALUE"""),38.0)</f>
        <v>38</v>
      </c>
      <c r="M211" s="4" t="str">
        <f>IFERROR(__xludf.DUMMYFUNCTION("""COMPUTED_VALUE"""),"N/A (Not found)")</f>
        <v>N/A (Not found)</v>
      </c>
      <c r="N211" s="33">
        <f>IFERROR(__xludf.DUMMYFUNCTION("""COMPUTED_VALUE"""),1.0)</f>
        <v>1</v>
      </c>
      <c r="O211" s="4" t="str">
        <f>IFERROR(__xludf.DUMMYFUNCTION("""COMPUTED_VALUE"""),"N/A (Not found)")</f>
        <v>N/A (Not found)</v>
      </c>
      <c r="P211" s="33">
        <f>IFERROR(__xludf.DUMMYFUNCTION("""COMPUTED_VALUE"""),0.9736842105263158)</f>
        <v>0.9736842105</v>
      </c>
      <c r="Q211" s="4" t="str">
        <f>IFERROR(__xludf.DUMMYFUNCTION("""COMPUTED_VALUE"""),"N/A (Not found)")</f>
        <v>N/A (Not found)</v>
      </c>
      <c r="R211" s="33">
        <f>IFERROR(__xludf.DUMMYFUNCTION("""COMPUTED_VALUE"""),0.8947368421052632)</f>
        <v>0.8947368421</v>
      </c>
      <c r="S211" s="4" t="str">
        <f>IFERROR(__xludf.DUMMYFUNCTION("""COMPUTED_VALUE"""),"N/A (Not found)")</f>
        <v>N/A (Not found)</v>
      </c>
      <c r="T211" s="33">
        <f>IFERROR(__xludf.DUMMYFUNCTION("""COMPUTED_VALUE"""),0.9210526315789473)</f>
        <v>0.9210526316</v>
      </c>
      <c r="U211" s="4" t="str">
        <f>IFERROR(__xludf.DUMMYFUNCTION("""COMPUTED_VALUE"""),"N/A (Not found)")</f>
        <v>N/A (Not found)</v>
      </c>
      <c r="V211" s="33">
        <f>IFERROR(__xludf.DUMMYFUNCTION("""COMPUTED_VALUE"""),0.8157894736842105)</f>
        <v>0.8157894737</v>
      </c>
      <c r="W211" s="4" t="str">
        <f>IFERROR(__xludf.DUMMYFUNCTION("""COMPUTED_VALUE"""),"N/A (Not found)")</f>
        <v>N/A (Not found)</v>
      </c>
      <c r="X211" s="33">
        <f>IFERROR(__xludf.DUMMYFUNCTION("""COMPUTED_VALUE"""),0.8157894736842105)</f>
        <v>0.8157894737</v>
      </c>
    </row>
    <row r="212">
      <c r="A212" s="4" t="str">
        <f>IFERROR(__xludf.DUMMYFUNCTION("""COMPUTED_VALUE"""),"YOSUGIRU")</f>
        <v>YOSUGIRU</v>
      </c>
      <c r="B212" s="4">
        <f>IFERROR(__xludf.DUMMYFUNCTION("""COMPUTED_VALUE"""),6.0)</f>
        <v>6</v>
      </c>
      <c r="C212" s="30">
        <f>IFERROR(__xludf.DUMMYFUNCTION("""COMPUTED_VALUE"""),73.0)</f>
        <v>73</v>
      </c>
      <c r="D212" s="4" t="str">
        <f>IFERROR(__xludf.DUMMYFUNCTION("""COMPUTED_VALUE"""),"Fast Casual - Multi-conceito")</f>
        <v>Fast Casual - Multi-conceito</v>
      </c>
      <c r="E212" s="4" t="str">
        <f>IFERROR(__xludf.DUMMYFUNCTION("""COMPUTED_VALUE"""),"Sul")</f>
        <v>Sul</v>
      </c>
      <c r="F212" s="4" t="str">
        <f>IFERROR(__xludf.DUMMYFUNCTION("""COMPUTED_VALUE"""),"Dado não disponível publicamente - Necessário Discovery")</f>
        <v>Dado não disponível publicamente - Necessário Discovery</v>
      </c>
      <c r="G212" s="4">
        <f>IFERROR(__xludf.DUMMYFUNCTION("""COMPUTED_VALUE"""),70.0)</f>
        <v>70</v>
      </c>
      <c r="H212" s="31">
        <f>IFERROR(__xludf.DUMMYFUNCTION("""COMPUTED_VALUE"""),0.75)</f>
        <v>0.75</v>
      </c>
      <c r="I21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12" s="4" t="str">
        <f>IFERROR(__xludf.DUMMYFUNCTION("""COMPUTED_VALUE"""),"WE COFFEE")</f>
        <v>WE COFFEE</v>
      </c>
      <c r="L212" s="32">
        <f>IFERROR(__xludf.DUMMYFUNCTION("""COMPUTED_VALUE"""),38.0)</f>
        <v>38</v>
      </c>
      <c r="M212" s="4" t="str">
        <f>IFERROR(__xludf.DUMMYFUNCTION("""COMPUTED_VALUE"""),"E-deploy Retail")</f>
        <v>E-deploy Retail</v>
      </c>
      <c r="N212" s="33">
        <f>IFERROR(__xludf.DUMMYFUNCTION("""COMPUTED_VALUE"""),0.9736842105263158)</f>
        <v>0.9736842105</v>
      </c>
      <c r="O212" s="4" t="str">
        <f>IFERROR(__xludf.DUMMYFUNCTION("""COMPUTED_VALUE"""),"E-deploy Retail")</f>
        <v>E-deploy Retail</v>
      </c>
      <c r="P212" s="33">
        <f>IFERROR(__xludf.DUMMYFUNCTION("""COMPUTED_VALUE"""),0.9473684210526315)</f>
        <v>0.9473684211</v>
      </c>
      <c r="Q212" s="4" t="str">
        <f>IFERROR(__xludf.DUMMYFUNCTION("""COMPUTED_VALUE"""),"E-deploy Retail")</f>
        <v>E-deploy Retail</v>
      </c>
      <c r="R212" s="33">
        <f>IFERROR(__xludf.DUMMYFUNCTION("""COMPUTED_VALUE"""),0.8947368421052632)</f>
        <v>0.8947368421</v>
      </c>
      <c r="S212" s="4" t="str">
        <f>IFERROR(__xludf.DUMMYFUNCTION("""COMPUTED_VALUE"""),"null")</f>
        <v>null</v>
      </c>
      <c r="T212" s="33">
        <f>IFERROR(__xludf.DUMMYFUNCTION("""COMPUTED_VALUE"""),0.6842105263157895)</f>
        <v>0.6842105263</v>
      </c>
      <c r="U212" s="4" t="str">
        <f>IFERROR(__xludf.DUMMYFUNCTION("""COMPUTED_VALUE"""),"null")</f>
        <v>null</v>
      </c>
      <c r="V212" s="33">
        <f>IFERROR(__xludf.DUMMYFUNCTION("""COMPUTED_VALUE"""),0.631578947368421)</f>
        <v>0.6315789474</v>
      </c>
      <c r="W212" s="4" t="str">
        <f>IFERROR(__xludf.DUMMYFUNCTION("""COMPUTED_VALUE"""),"null")</f>
        <v>null</v>
      </c>
      <c r="X212" s="33">
        <f>IFERROR(__xludf.DUMMYFUNCTION("""COMPUTED_VALUE"""),0.6578947368421053)</f>
        <v>0.6578947368</v>
      </c>
    </row>
    <row r="213">
      <c r="A213" s="4" t="str">
        <f>IFERROR(__xludf.DUMMYFUNCTION("""COMPUTED_VALUE"""),"ZI TEREZA")</f>
        <v>ZI TEREZA</v>
      </c>
      <c r="B213" s="4">
        <f>IFERROR(__xludf.DUMMYFUNCTION("""COMPUTED_VALUE"""),8.0)</f>
        <v>8</v>
      </c>
      <c r="C213" s="30">
        <f>IFERROR(__xludf.DUMMYFUNCTION("""COMPUTED_VALUE"""),50.0)</f>
        <v>50</v>
      </c>
      <c r="D213" s="4" t="str">
        <f>IFERROR(__xludf.DUMMYFUNCTION("""COMPUTED_VALUE"""),"Fast Casual - Multi-conceito")</f>
        <v>Fast Casual - Multi-conceito</v>
      </c>
      <c r="E213" s="4" t="str">
        <f>IFERROR(__xludf.DUMMYFUNCTION("""COMPUTED_VALUE"""),"Rio de Janeiro/RJ")</f>
        <v>Rio de Janeiro/RJ</v>
      </c>
      <c r="F213" s="4" t="str">
        <f>IFERROR(__xludf.DUMMYFUNCTION("""COMPUTED_VALUE"""),"Dado não disponível publicamente - Necessário Discovery")</f>
        <v>Dado não disponível publicamente - Necessário Discovery</v>
      </c>
      <c r="G213" s="4">
        <f>IFERROR(__xludf.DUMMYFUNCTION("""COMPUTED_VALUE"""),70.0)</f>
        <v>70</v>
      </c>
      <c r="H213" s="31">
        <f>IFERROR(__xludf.DUMMYFUNCTION("""COMPUTED_VALUE"""),0.75)</f>
        <v>0.75</v>
      </c>
      <c r="I21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13" s="4" t="str">
        <f>IFERROR(__xludf.DUMMYFUNCTION("""COMPUTED_VALUE"""),"PUKET - CONTA PAI")</f>
        <v>PUKET - CONTA PAI</v>
      </c>
      <c r="L213" s="32">
        <f>IFERROR(__xludf.DUMMYFUNCTION("""COMPUTED_VALUE"""),38.0)</f>
        <v>38</v>
      </c>
      <c r="M213" s="4" t="str">
        <f>IFERROR(__xludf.DUMMYFUNCTION("""COMPUTED_VALUE"""),"N/A (Not found)")</f>
        <v>N/A (Not found)</v>
      </c>
      <c r="N213" s="33">
        <f>IFERROR(__xludf.DUMMYFUNCTION("""COMPUTED_VALUE"""),0.868421052631579)</f>
        <v>0.8684210526</v>
      </c>
      <c r="O213" s="4" t="str">
        <f>IFERROR(__xludf.DUMMYFUNCTION("""COMPUTED_VALUE"""),"N/A (Not found)")</f>
        <v>N/A (Not found)</v>
      </c>
      <c r="P213" s="33">
        <f>IFERROR(__xludf.DUMMYFUNCTION("""COMPUTED_VALUE"""),0.8947368421052632)</f>
        <v>0.8947368421</v>
      </c>
      <c r="Q213" s="4" t="str">
        <f>IFERROR(__xludf.DUMMYFUNCTION("""COMPUTED_VALUE"""),"N/A (Not found)")</f>
        <v>N/A (Not found)</v>
      </c>
      <c r="R213" s="33">
        <f>IFERROR(__xludf.DUMMYFUNCTION("""COMPUTED_VALUE"""),0.8157894736842105)</f>
        <v>0.8157894737</v>
      </c>
      <c r="S213" s="4" t="str">
        <f>IFERROR(__xludf.DUMMYFUNCTION("""COMPUTED_VALUE"""),"N/A (Not found)")</f>
        <v>N/A (Not found)</v>
      </c>
      <c r="T213" s="33">
        <f>IFERROR(__xludf.DUMMYFUNCTION("""COMPUTED_VALUE"""),0.7105263157894737)</f>
        <v>0.7105263158</v>
      </c>
      <c r="U213" s="4" t="str">
        <f>IFERROR(__xludf.DUMMYFUNCTION("""COMPUTED_VALUE"""),"N/A (Not found)")</f>
        <v>N/A (Not found)</v>
      </c>
      <c r="V213" s="33">
        <f>IFERROR(__xludf.DUMMYFUNCTION("""COMPUTED_VALUE"""),0.7368421052631579)</f>
        <v>0.7368421053</v>
      </c>
      <c r="W213" s="4" t="str">
        <f>IFERROR(__xludf.DUMMYFUNCTION("""COMPUTED_VALUE"""),"N/A (Not found)")</f>
        <v>N/A (Not found)</v>
      </c>
      <c r="X213" s="33">
        <f>IFERROR(__xludf.DUMMYFUNCTION("""COMPUTED_VALUE"""),0.6052631578947368)</f>
        <v>0.6052631579</v>
      </c>
    </row>
    <row r="214">
      <c r="A214" s="4" t="str">
        <f>IFERROR(__xludf.DUMMYFUNCTION("""COMPUTED_VALUE"""),"A Esperança Pizzaria")</f>
        <v>A Esperança Pizzaria</v>
      </c>
      <c r="B214" s="4">
        <f>IFERROR(__xludf.DUMMYFUNCTION("""COMPUTED_VALUE"""),4.0)</f>
        <v>4</v>
      </c>
      <c r="C214" s="30">
        <f>IFERROR(__xludf.DUMMYFUNCTION("""COMPUTED_VALUE"""),57.0)</f>
        <v>57</v>
      </c>
      <c r="D214" s="4" t="str">
        <f>IFERROR(__xludf.DUMMYFUNCTION("""COMPUTED_VALUE"""),"Fast Casual - Pizzaria")</f>
        <v>Fast Casual - Pizzaria</v>
      </c>
      <c r="E214" s="4" t="str">
        <f>IFERROR(__xludf.DUMMYFUNCTION("""COMPUTED_VALUE"""),"Belo Horizonte/MG")</f>
        <v>Belo Horizonte/MG</v>
      </c>
      <c r="F214" s="4" t="str">
        <f>IFERROR(__xludf.DUMMYFUNCTION("""COMPUTED_VALUE"""),"Dado não disponível publicamente - Necessário Discovery")</f>
        <v>Dado não disponível publicamente - Necessário Discovery</v>
      </c>
      <c r="G214" s="4">
        <f>IFERROR(__xludf.DUMMYFUNCTION("""COMPUTED_VALUE"""),65.0)</f>
        <v>65</v>
      </c>
      <c r="H214" s="31">
        <f>IFERROR(__xludf.DUMMYFUNCTION("""COMPUTED_VALUE"""),0.75)</f>
        <v>0.75</v>
      </c>
      <c r="I21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14" s="4" t="str">
        <f>IFERROR(__xludf.DUMMYFUNCTION("""COMPUTED_VALUE"""),"COMODORO BURGUER")</f>
        <v>COMODORO BURGUER</v>
      </c>
      <c r="L214" s="32">
        <f>IFERROR(__xludf.DUMMYFUNCTION("""COMPUTED_VALUE"""),37.0)</f>
        <v>37</v>
      </c>
      <c r="M214" s="4" t="str">
        <f>IFERROR(__xludf.DUMMYFUNCTION("""COMPUTED_VALUE"""),"Jclan Sistemas")</f>
        <v>Jclan Sistemas</v>
      </c>
      <c r="N214" s="33">
        <f>IFERROR(__xludf.DUMMYFUNCTION("""COMPUTED_VALUE"""),0.6756756756756757)</f>
        <v>0.6756756757</v>
      </c>
      <c r="O214" s="4" t="str">
        <f>IFERROR(__xludf.DUMMYFUNCTION("""COMPUTED_VALUE"""),"Jclan Sistemas")</f>
        <v>Jclan Sistemas</v>
      </c>
      <c r="P214" s="33">
        <f>IFERROR(__xludf.DUMMYFUNCTION("""COMPUTED_VALUE"""),0.5945945945945946)</f>
        <v>0.5945945946</v>
      </c>
      <c r="Q214" s="4" t="str">
        <f>IFERROR(__xludf.DUMMYFUNCTION("""COMPUTED_VALUE"""),"null")</f>
        <v>null</v>
      </c>
      <c r="R214" s="33">
        <f>IFERROR(__xludf.DUMMYFUNCTION("""COMPUTED_VALUE"""),0.5405405405405406)</f>
        <v>0.5405405405</v>
      </c>
      <c r="S214" s="4" t="str">
        <f>IFERROR(__xludf.DUMMYFUNCTION("""COMPUTED_VALUE"""),"Jclan Sistemas")</f>
        <v>Jclan Sistemas</v>
      </c>
      <c r="T214" s="33">
        <f>IFERROR(__xludf.DUMMYFUNCTION("""COMPUTED_VALUE"""),0.5135135135135135)</f>
        <v>0.5135135135</v>
      </c>
      <c r="U214" s="4" t="str">
        <f>IFERROR(__xludf.DUMMYFUNCTION("""COMPUTED_VALUE"""),"Jclan Sistemas")</f>
        <v>Jclan Sistemas</v>
      </c>
      <c r="V214" s="33">
        <f>IFERROR(__xludf.DUMMYFUNCTION("""COMPUTED_VALUE"""),0.5675675675675675)</f>
        <v>0.5675675676</v>
      </c>
      <c r="W214" s="4" t="str">
        <f>IFERROR(__xludf.DUMMYFUNCTION("""COMPUTED_VALUE"""),"Jclan Sistemas")</f>
        <v>Jclan Sistemas</v>
      </c>
      <c r="X214" s="33">
        <f>IFERROR(__xludf.DUMMYFUNCTION("""COMPUTED_VALUE"""),0.7027027027027027)</f>
        <v>0.7027027027</v>
      </c>
    </row>
    <row r="215">
      <c r="A215" s="4" t="str">
        <f>IFERROR(__xludf.DUMMYFUNCTION("""COMPUTED_VALUE"""),"Açaí Puríssimo")</f>
        <v>Açaí Puríssimo</v>
      </c>
      <c r="B215" s="4">
        <f>IFERROR(__xludf.DUMMYFUNCTION("""COMPUTED_VALUE"""),5.0)</f>
        <v>5</v>
      </c>
      <c r="C215" s="30">
        <f>IFERROR(__xludf.DUMMYFUNCTION("""COMPUTED_VALUE"""),51.0)</f>
        <v>51</v>
      </c>
      <c r="D215" s="4" t="str">
        <f>IFERROR(__xludf.DUMMYFUNCTION("""COMPUTED_VALUE"""),"Fast Casual - Multi-conceito")</f>
        <v>Fast Casual - Multi-conceito</v>
      </c>
      <c r="E215" s="4" t="str">
        <f>IFERROR(__xludf.DUMMYFUNCTION("""COMPUTED_VALUE"""),"Nacional")</f>
        <v>Nacional</v>
      </c>
      <c r="F215" s="4" t="str">
        <f>IFERROR(__xludf.DUMMYFUNCTION("""COMPUTED_VALUE"""),"Dado não disponível publicamente - Necessário Discovery")</f>
        <v>Dado não disponível publicamente - Necessário Discovery</v>
      </c>
      <c r="G215" s="4">
        <f>IFERROR(__xludf.DUMMYFUNCTION("""COMPUTED_VALUE"""),70.0)</f>
        <v>70</v>
      </c>
      <c r="H215" s="31">
        <f>IFERROR(__xludf.DUMMYFUNCTION("""COMPUTED_VALUE"""),0.75)</f>
        <v>0.75</v>
      </c>
      <c r="I21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15" s="4" t="str">
        <f>IFERROR(__xludf.DUMMYFUNCTION("""COMPUTED_VALUE"""),"PORTO DO SABOR")</f>
        <v>PORTO DO SABOR</v>
      </c>
      <c r="L215" s="32">
        <f>IFERROR(__xludf.DUMMYFUNCTION("""COMPUTED_VALUE"""),37.0)</f>
        <v>37</v>
      </c>
      <c r="M215" s="4" t="str">
        <f>IFERROR(__xludf.DUMMYFUNCTION("""COMPUTED_VALUE"""),"Gcom - Gestao Em Tecnologia De Informacao Eireli")</f>
        <v>Gcom - Gestao Em Tecnologia De Informacao Eireli</v>
      </c>
      <c r="N215" s="33">
        <f>IFERROR(__xludf.DUMMYFUNCTION("""COMPUTED_VALUE"""),0.8918918918918919)</f>
        <v>0.8918918919</v>
      </c>
      <c r="O215" s="4" t="str">
        <f>IFERROR(__xludf.DUMMYFUNCTION("""COMPUTED_VALUE"""),"Gcom - Gestao Em Tecnologia De Informacao Eireli")</f>
        <v>Gcom - Gestao Em Tecnologia De Informacao Eireli</v>
      </c>
      <c r="P215" s="33">
        <f>IFERROR(__xludf.DUMMYFUNCTION("""COMPUTED_VALUE"""),0.7567567567567568)</f>
        <v>0.7567567568</v>
      </c>
      <c r="Q215" s="4" t="str">
        <f>IFERROR(__xludf.DUMMYFUNCTION("""COMPUTED_VALUE"""),"Gcom - Gestao Em Tecnologia De Informacao Eireli")</f>
        <v>Gcom - Gestao Em Tecnologia De Informacao Eireli</v>
      </c>
      <c r="R215" s="33">
        <f>IFERROR(__xludf.DUMMYFUNCTION("""COMPUTED_VALUE"""),0.7567567567567568)</f>
        <v>0.7567567568</v>
      </c>
      <c r="S215" s="4" t="str">
        <f>IFERROR(__xludf.DUMMYFUNCTION("""COMPUTED_VALUE"""),"Gcom - Gestao Em Tecnologia De Informacao Eireli")</f>
        <v>Gcom - Gestao Em Tecnologia De Informacao Eireli</v>
      </c>
      <c r="T215" s="33">
        <f>IFERROR(__xludf.DUMMYFUNCTION("""COMPUTED_VALUE"""),0.7027027027027027)</f>
        <v>0.7027027027</v>
      </c>
      <c r="U215" s="4" t="str">
        <f>IFERROR(__xludf.DUMMYFUNCTION("""COMPUTED_VALUE"""),"Gcom - Gestao Em Tecnologia De Informacao Eireli")</f>
        <v>Gcom - Gestao Em Tecnologia De Informacao Eireli</v>
      </c>
      <c r="V215" s="33">
        <f>IFERROR(__xludf.DUMMYFUNCTION("""COMPUTED_VALUE"""),0.7567567567567568)</f>
        <v>0.7567567568</v>
      </c>
      <c r="W215" s="4" t="str">
        <f>IFERROR(__xludf.DUMMYFUNCTION("""COMPUTED_VALUE"""),"Gcom - Gestao Em Tecnologia De Informacao Eireli")</f>
        <v>Gcom - Gestao Em Tecnologia De Informacao Eireli</v>
      </c>
      <c r="X215" s="33">
        <f>IFERROR(__xludf.DUMMYFUNCTION("""COMPUTED_VALUE"""),0.8378378378378378)</f>
        <v>0.8378378378</v>
      </c>
    </row>
    <row r="216">
      <c r="A216" s="4" t="str">
        <f>IFERROR(__xludf.DUMMYFUNCTION("""COMPUTED_VALUE"""),"Adore Brigaderia Gourmet")</f>
        <v>Adore Brigaderia Gourmet</v>
      </c>
      <c r="B216" s="4">
        <f>IFERROR(__xludf.DUMMYFUNCTION("""COMPUTED_VALUE"""),7.0)</f>
        <v>7</v>
      </c>
      <c r="C216" s="30">
        <f>IFERROR(__xludf.DUMMYFUNCTION("""COMPUTED_VALUE"""),73.0)</f>
        <v>73</v>
      </c>
      <c r="D216" s="4" t="str">
        <f>IFERROR(__xludf.DUMMYFUNCTION("""COMPUTED_VALUE"""),"Fast Casual - Multi-conceito")</f>
        <v>Fast Casual - Multi-conceito</v>
      </c>
      <c r="E216" s="4" t="str">
        <f>IFERROR(__xludf.DUMMYFUNCTION("""COMPUTED_VALUE"""),"Rio de Janeiro/RJ")</f>
        <v>Rio de Janeiro/RJ</v>
      </c>
      <c r="F216" s="4" t="str">
        <f>IFERROR(__xludf.DUMMYFUNCTION("""COMPUTED_VALUE"""),"Dado não disponível publicamente - Necessário Discovery")</f>
        <v>Dado não disponível publicamente - Necessário Discovery</v>
      </c>
      <c r="G216" s="4">
        <f>IFERROR(__xludf.DUMMYFUNCTION("""COMPUTED_VALUE"""),70.0)</f>
        <v>70</v>
      </c>
      <c r="H216" s="31">
        <f>IFERROR(__xludf.DUMMYFUNCTION("""COMPUTED_VALUE"""),0.75)</f>
        <v>0.75</v>
      </c>
      <c r="I21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16" s="4" t="str">
        <f>IFERROR(__xludf.DUMMYFUNCTION("""COMPUTED_VALUE"""),"BEBELU SANDUICHES")</f>
        <v>BEBELU SANDUICHES</v>
      </c>
      <c r="L216" s="32">
        <f>IFERROR(__xludf.DUMMYFUNCTION("""COMPUTED_VALUE"""),36.0)</f>
        <v>36</v>
      </c>
      <c r="M216" s="4" t="str">
        <f>IFERROR(__xludf.DUMMYFUNCTION("""COMPUTED_VALUE"""),"Berp Sistemas")</f>
        <v>Berp Sistemas</v>
      </c>
      <c r="N216" s="33">
        <f>IFERROR(__xludf.DUMMYFUNCTION("""COMPUTED_VALUE"""),1.0)</f>
        <v>1</v>
      </c>
      <c r="O216" s="4" t="str">
        <f>IFERROR(__xludf.DUMMYFUNCTION("""COMPUTED_VALUE"""),"Berp Sistemas")</f>
        <v>Berp Sistemas</v>
      </c>
      <c r="P216" s="33">
        <f>IFERROR(__xludf.DUMMYFUNCTION("""COMPUTED_VALUE"""),0.9444444444444444)</f>
        <v>0.9444444444</v>
      </c>
      <c r="Q216" s="4" t="str">
        <f>IFERROR(__xludf.DUMMYFUNCTION("""COMPUTED_VALUE"""),"Berp Sistemas")</f>
        <v>Berp Sistemas</v>
      </c>
      <c r="R216" s="33">
        <f>IFERROR(__xludf.DUMMYFUNCTION("""COMPUTED_VALUE"""),0.9722222222222222)</f>
        <v>0.9722222222</v>
      </c>
      <c r="S216" s="4" t="str">
        <f>IFERROR(__xludf.DUMMYFUNCTION("""COMPUTED_VALUE"""),"Berp Sistemas")</f>
        <v>Berp Sistemas</v>
      </c>
      <c r="T216" s="33">
        <f>IFERROR(__xludf.DUMMYFUNCTION("""COMPUTED_VALUE"""),0.7777777777777778)</f>
        <v>0.7777777778</v>
      </c>
      <c r="U216" s="4" t="str">
        <f>IFERROR(__xludf.DUMMYFUNCTION("""COMPUTED_VALUE"""),"Berp Sistemas")</f>
        <v>Berp Sistemas</v>
      </c>
      <c r="V216" s="33">
        <f>IFERROR(__xludf.DUMMYFUNCTION("""COMPUTED_VALUE"""),0.75)</f>
        <v>0.75</v>
      </c>
      <c r="W216" s="4" t="str">
        <f>IFERROR(__xludf.DUMMYFUNCTION("""COMPUTED_VALUE"""),"Berp Sistemas")</f>
        <v>Berp Sistemas</v>
      </c>
      <c r="X216" s="33">
        <f>IFERROR(__xludf.DUMMYFUNCTION("""COMPUTED_VALUE"""),0.7222222222222222)</f>
        <v>0.7222222222</v>
      </c>
    </row>
    <row r="217">
      <c r="A217" s="4" t="str">
        <f>IFERROR(__xludf.DUMMYFUNCTION("""COMPUTED_VALUE"""),"Al Capizza 24H")</f>
        <v>Al Capizza 24H</v>
      </c>
      <c r="B217" s="4">
        <f>IFERROR(__xludf.DUMMYFUNCTION("""COMPUTED_VALUE"""),4.0)</f>
        <v>4</v>
      </c>
      <c r="C217" s="30">
        <f>IFERROR(__xludf.DUMMYFUNCTION("""COMPUTED_VALUE"""),56.0)</f>
        <v>56</v>
      </c>
      <c r="D217" s="4" t="str">
        <f>IFERROR(__xludf.DUMMYFUNCTION("""COMPUTED_VALUE"""),"Fast Casual - Pizzaria")</f>
        <v>Fast Casual - Pizzaria</v>
      </c>
      <c r="E217" s="4" t="str">
        <f>IFERROR(__xludf.DUMMYFUNCTION("""COMPUTED_VALUE"""),"Regional")</f>
        <v>Regional</v>
      </c>
      <c r="F217" s="4" t="str">
        <f>IFERROR(__xludf.DUMMYFUNCTION("""COMPUTED_VALUE"""),"Dado não disponível publicamente - Necessário Discovery")</f>
        <v>Dado não disponível publicamente - Necessário Discovery</v>
      </c>
      <c r="G217" s="4">
        <f>IFERROR(__xludf.DUMMYFUNCTION("""COMPUTED_VALUE"""),65.0)</f>
        <v>65</v>
      </c>
      <c r="H217" s="31">
        <f>IFERROR(__xludf.DUMMYFUNCTION("""COMPUTED_VALUE"""),0.75)</f>
        <v>0.75</v>
      </c>
      <c r="I21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17" s="4" t="str">
        <f>IFERROR(__xludf.DUMMYFUNCTION("""COMPUTED_VALUE"""),"10 PASTEIS OFICIAL")</f>
        <v>10 PASTEIS OFICIAL</v>
      </c>
      <c r="L217" s="32">
        <f>IFERROR(__xludf.DUMMYFUNCTION("""COMPUTED_VALUE"""),36.0)</f>
        <v>36</v>
      </c>
      <c r="M217" s="4" t="str">
        <f>IFERROR(__xludf.DUMMYFUNCTION("""COMPUTED_VALUE"""),"Stone Co.")</f>
        <v>Stone Co.</v>
      </c>
      <c r="N217" s="33">
        <f>IFERROR(__xludf.DUMMYFUNCTION("""COMPUTED_VALUE"""),0.6388888888888888)</f>
        <v>0.6388888889</v>
      </c>
      <c r="O217" s="4" t="str">
        <f>IFERROR(__xludf.DUMMYFUNCTION("""COMPUTED_VALUE"""),"Stone Co.")</f>
        <v>Stone Co.</v>
      </c>
      <c r="P217" s="33">
        <f>IFERROR(__xludf.DUMMYFUNCTION("""COMPUTED_VALUE"""),0.6111111111111112)</f>
        <v>0.6111111111</v>
      </c>
      <c r="Q217" s="4" t="str">
        <f>IFERROR(__xludf.DUMMYFUNCTION("""COMPUTED_VALUE"""),"Stone Co.")</f>
        <v>Stone Co.</v>
      </c>
      <c r="R217" s="33">
        <f>IFERROR(__xludf.DUMMYFUNCTION("""COMPUTED_VALUE"""),0.6111111111111112)</f>
        <v>0.6111111111</v>
      </c>
      <c r="S217" s="4" t="str">
        <f>IFERROR(__xludf.DUMMYFUNCTION("""COMPUTED_VALUE"""),"Stone Co.")</f>
        <v>Stone Co.</v>
      </c>
      <c r="T217" s="33">
        <f>IFERROR(__xludf.DUMMYFUNCTION("""COMPUTED_VALUE"""),0.5555555555555556)</f>
        <v>0.5555555556</v>
      </c>
      <c r="U217" s="4" t="str">
        <f>IFERROR(__xludf.DUMMYFUNCTION("""COMPUTED_VALUE"""),"Stone Co.")</f>
        <v>Stone Co.</v>
      </c>
      <c r="V217" s="33">
        <f>IFERROR(__xludf.DUMMYFUNCTION("""COMPUTED_VALUE"""),0.5555555555555556)</f>
        <v>0.5555555556</v>
      </c>
      <c r="W217" s="4" t="str">
        <f>IFERROR(__xludf.DUMMYFUNCTION("""COMPUTED_VALUE"""),"Stone Co.")</f>
        <v>Stone Co.</v>
      </c>
      <c r="X217" s="33">
        <f>IFERROR(__xludf.DUMMYFUNCTION("""COMPUTED_VALUE"""),0.5277777777777778)</f>
        <v>0.5277777778</v>
      </c>
    </row>
    <row r="218">
      <c r="A218" s="4" t="str">
        <f>IFERROR(__xludf.DUMMYFUNCTION("""COMPUTED_VALUE"""),"Aleixo Pizzaria")</f>
        <v>Aleixo Pizzaria</v>
      </c>
      <c r="B218" s="4">
        <f>IFERROR(__xludf.DUMMYFUNCTION("""COMPUTED_VALUE"""),7.0)</f>
        <v>7</v>
      </c>
      <c r="C218" s="30">
        <f>IFERROR(__xludf.DUMMYFUNCTION("""COMPUTED_VALUE"""),58.0)</f>
        <v>58</v>
      </c>
      <c r="D218" s="4" t="str">
        <f>IFERROR(__xludf.DUMMYFUNCTION("""COMPUTED_VALUE"""),"Fast Casual - Pizzaria")</f>
        <v>Fast Casual - Pizzaria</v>
      </c>
      <c r="E218" s="4" t="str">
        <f>IFERROR(__xludf.DUMMYFUNCTION("""COMPUTED_VALUE"""),"Belo Horizonte/MG")</f>
        <v>Belo Horizonte/MG</v>
      </c>
      <c r="F218" s="4" t="str">
        <f>IFERROR(__xludf.DUMMYFUNCTION("""COMPUTED_VALUE"""),"Dado não disponível publicamente - Necessário Discovery")</f>
        <v>Dado não disponível publicamente - Necessário Discovery</v>
      </c>
      <c r="G218" s="4">
        <f>IFERROR(__xludf.DUMMYFUNCTION("""COMPUTED_VALUE"""),70.0)</f>
        <v>70</v>
      </c>
      <c r="H218" s="31">
        <f>IFERROR(__xludf.DUMMYFUNCTION("""COMPUTED_VALUE"""),0.75)</f>
        <v>0.75</v>
      </c>
      <c r="I21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18" s="4" t="str">
        <f>IFERROR(__xludf.DUMMYFUNCTION("""COMPUTED_VALUE"""),"GRUPO SUPER NOSSO")</f>
        <v>GRUPO SUPER NOSSO</v>
      </c>
      <c r="L218" s="32">
        <f>IFERROR(__xludf.DUMMYFUNCTION("""COMPUTED_VALUE"""),36.0)</f>
        <v>36</v>
      </c>
      <c r="M218" s="4" t="str">
        <f>IFERROR(__xludf.DUMMYFUNCTION("""COMPUTED_VALUE"""),"N/A (Not found)")</f>
        <v>N/A (Not found)</v>
      </c>
      <c r="N218" s="33">
        <f>IFERROR(__xludf.DUMMYFUNCTION("""COMPUTED_VALUE"""),0.9444444444444444)</f>
        <v>0.9444444444</v>
      </c>
      <c r="O218" s="4" t="str">
        <f>IFERROR(__xludf.DUMMYFUNCTION("""COMPUTED_VALUE"""),"N/A (Not found)")</f>
        <v>N/A (Not found)</v>
      </c>
      <c r="P218" s="33">
        <f>IFERROR(__xludf.DUMMYFUNCTION("""COMPUTED_VALUE"""),0.9166666666666666)</f>
        <v>0.9166666667</v>
      </c>
      <c r="Q218" s="4" t="str">
        <f>IFERROR(__xludf.DUMMYFUNCTION("""COMPUTED_VALUE"""),"N/A (Not found)")</f>
        <v>N/A (Not found)</v>
      </c>
      <c r="R218" s="33">
        <f>IFERROR(__xludf.DUMMYFUNCTION("""COMPUTED_VALUE"""),0.6944444444444444)</f>
        <v>0.6944444444</v>
      </c>
      <c r="S218" s="4" t="str">
        <f>IFERROR(__xludf.DUMMYFUNCTION("""COMPUTED_VALUE"""),"N/A (Not found)")</f>
        <v>N/A (Not found)</v>
      </c>
      <c r="T218" s="33">
        <f>IFERROR(__xludf.DUMMYFUNCTION("""COMPUTED_VALUE"""),0.6944444444444444)</f>
        <v>0.6944444444</v>
      </c>
      <c r="U218" s="4" t="str">
        <f>IFERROR(__xludf.DUMMYFUNCTION("""COMPUTED_VALUE"""),"N/A (Not found)")</f>
        <v>N/A (Not found)</v>
      </c>
      <c r="V218" s="33">
        <f>IFERROR(__xludf.DUMMYFUNCTION("""COMPUTED_VALUE"""),0.7222222222222222)</f>
        <v>0.7222222222</v>
      </c>
      <c r="W218" s="4" t="str">
        <f>IFERROR(__xludf.DUMMYFUNCTION("""COMPUTED_VALUE"""),"N/A (Not found)")</f>
        <v>N/A (Not found)</v>
      </c>
      <c r="X218" s="33">
        <f>IFERROR(__xludf.DUMMYFUNCTION("""COMPUTED_VALUE"""),0.6944444444444444)</f>
        <v>0.6944444444</v>
      </c>
    </row>
    <row r="219">
      <c r="A219" s="4" t="str">
        <f>IFERROR(__xludf.DUMMYFUNCTION("""COMPUTED_VALUE"""),"Alemao Sp")</f>
        <v>Alemao Sp</v>
      </c>
      <c r="B219" s="4">
        <f>IFERROR(__xludf.DUMMYFUNCTION("""COMPUTED_VALUE"""),8.0)</f>
        <v>8</v>
      </c>
      <c r="C219" s="30">
        <f>IFERROR(__xludf.DUMMYFUNCTION("""COMPUTED_VALUE"""),67.0)</f>
        <v>67</v>
      </c>
      <c r="D219" s="4" t="str">
        <f>IFERROR(__xludf.DUMMYFUNCTION("""COMPUTED_VALUE"""),"Fast Casual - Multi-conceito")</f>
        <v>Fast Casual - Multi-conceito</v>
      </c>
      <c r="E219" s="4" t="str">
        <f>IFERROR(__xludf.DUMMYFUNCTION("""COMPUTED_VALUE"""),"Regional")</f>
        <v>Regional</v>
      </c>
      <c r="F219" s="4" t="str">
        <f>IFERROR(__xludf.DUMMYFUNCTION("""COMPUTED_VALUE"""),"Dado não disponível publicamente - Necessário Discovery")</f>
        <v>Dado não disponível publicamente - Necessário Discovery</v>
      </c>
      <c r="G219" s="4">
        <f>IFERROR(__xludf.DUMMYFUNCTION("""COMPUTED_VALUE"""),70.0)</f>
        <v>70</v>
      </c>
      <c r="H219" s="31">
        <f>IFERROR(__xludf.DUMMYFUNCTION("""COMPUTED_VALUE"""),0.75)</f>
        <v>0.75</v>
      </c>
      <c r="I21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19" s="4" t="str">
        <f>IFERROR(__xludf.DUMMYFUNCTION("""COMPUTED_VALUE"""),"HUMMM PIZZAS CONTA PAI")</f>
        <v>HUMMM PIZZAS CONTA PAI</v>
      </c>
      <c r="L219" s="32">
        <f>IFERROR(__xludf.DUMMYFUNCTION("""COMPUTED_VALUE"""),36.0)</f>
        <v>36</v>
      </c>
      <c r="M219" s="4" t="str">
        <f>IFERROR(__xludf.DUMMYFUNCTION("""COMPUTED_VALUE"""),"Saipos Serviços De Software")</f>
        <v>Saipos Serviços De Software</v>
      </c>
      <c r="N219" s="33">
        <f>IFERROR(__xludf.DUMMYFUNCTION("""COMPUTED_VALUE"""),0.75)</f>
        <v>0.75</v>
      </c>
      <c r="O219" s="4" t="str">
        <f>IFERROR(__xludf.DUMMYFUNCTION("""COMPUTED_VALUE"""),"Saipos Serviços De Software")</f>
        <v>Saipos Serviços De Software</v>
      </c>
      <c r="P219" s="33">
        <f>IFERROR(__xludf.DUMMYFUNCTION("""COMPUTED_VALUE"""),0.7222222222222222)</f>
        <v>0.7222222222</v>
      </c>
      <c r="Q219" s="4" t="str">
        <f>IFERROR(__xludf.DUMMYFUNCTION("""COMPUTED_VALUE"""),"Saipos Serviços De Software")</f>
        <v>Saipos Serviços De Software</v>
      </c>
      <c r="R219" s="33">
        <f>IFERROR(__xludf.DUMMYFUNCTION("""COMPUTED_VALUE"""),0.7777777777777778)</f>
        <v>0.7777777778</v>
      </c>
      <c r="S219" s="4" t="str">
        <f>IFERROR(__xludf.DUMMYFUNCTION("""COMPUTED_VALUE"""),"Saipos Serviços De Software")</f>
        <v>Saipos Serviços De Software</v>
      </c>
      <c r="T219" s="33">
        <f>IFERROR(__xludf.DUMMYFUNCTION("""COMPUTED_VALUE"""),0.8055555555555556)</f>
        <v>0.8055555556</v>
      </c>
      <c r="U219" s="4" t="str">
        <f>IFERROR(__xludf.DUMMYFUNCTION("""COMPUTED_VALUE"""),"Saipos Serviços De Software")</f>
        <v>Saipos Serviços De Software</v>
      </c>
      <c r="V219" s="33">
        <f>IFERROR(__xludf.DUMMYFUNCTION("""COMPUTED_VALUE"""),0.8333333333333334)</f>
        <v>0.8333333333</v>
      </c>
      <c r="W219" s="4" t="str">
        <f>IFERROR(__xludf.DUMMYFUNCTION("""COMPUTED_VALUE"""),"Saipos Serviços De Software")</f>
        <v>Saipos Serviços De Software</v>
      </c>
      <c r="X219" s="33">
        <f>IFERROR(__xludf.DUMMYFUNCTION("""COMPUTED_VALUE"""),0.8611111111111112)</f>
        <v>0.8611111111</v>
      </c>
    </row>
    <row r="220">
      <c r="A220" s="4" t="str">
        <f>IFERROR(__xludf.DUMMYFUNCTION("""COMPUTED_VALUE"""),"Alento")</f>
        <v>Alento</v>
      </c>
      <c r="B220" s="4">
        <f>IFERROR(__xludf.DUMMYFUNCTION("""COMPUTED_VALUE"""),2.0)</f>
        <v>2</v>
      </c>
      <c r="C220" s="30">
        <f>IFERROR(__xludf.DUMMYFUNCTION("""COMPUTED_VALUE"""),73.0)</f>
        <v>73</v>
      </c>
      <c r="D220" s="4" t="str">
        <f>IFERROR(__xludf.DUMMYFUNCTION("""COMPUTED_VALUE"""),"Fast Casual - Multi-conceito")</f>
        <v>Fast Casual - Multi-conceito</v>
      </c>
      <c r="E220" s="4" t="str">
        <f>IFERROR(__xludf.DUMMYFUNCTION("""COMPUTED_VALUE"""),"Regional")</f>
        <v>Regional</v>
      </c>
      <c r="F220" s="4" t="str">
        <f>IFERROR(__xludf.DUMMYFUNCTION("""COMPUTED_VALUE"""),"Dado não disponível publicamente - Necessário Discovery")</f>
        <v>Dado não disponível publicamente - Necessário Discovery</v>
      </c>
      <c r="G220" s="4">
        <f>IFERROR(__xludf.DUMMYFUNCTION("""COMPUTED_VALUE"""),65.0)</f>
        <v>65</v>
      </c>
      <c r="H220" s="31">
        <f>IFERROR(__xludf.DUMMYFUNCTION("""COMPUTED_VALUE"""),0.75)</f>
        <v>0.75</v>
      </c>
      <c r="I22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20" s="4" t="str">
        <f>IFERROR(__xludf.DUMMYFUNCTION("""COMPUTED_VALUE"""),"GRUPO LOTUS PRESENTES")</f>
        <v>GRUPO LOTUS PRESENTES</v>
      </c>
      <c r="L220" s="32">
        <f>IFERROR(__xludf.DUMMYFUNCTION("""COMPUTED_VALUE"""),35.0)</f>
        <v>35</v>
      </c>
      <c r="M220" s="4" t="str">
        <f>IFERROR(__xludf.DUMMYFUNCTION("""COMPUTED_VALUE"""),"Ld Consultoria Em Gestão Empresarial")</f>
        <v>Ld Consultoria Em Gestão Empresarial</v>
      </c>
      <c r="N220" s="33">
        <f>IFERROR(__xludf.DUMMYFUNCTION("""COMPUTED_VALUE"""),0.8285714285714286)</f>
        <v>0.8285714286</v>
      </c>
      <c r="O220" s="4" t="str">
        <f>IFERROR(__xludf.DUMMYFUNCTION("""COMPUTED_VALUE"""),"Ld Consultoria Em Gestão Empresarial")</f>
        <v>Ld Consultoria Em Gestão Empresarial</v>
      </c>
      <c r="P220" s="33">
        <f>IFERROR(__xludf.DUMMYFUNCTION("""COMPUTED_VALUE"""),0.8857142857142857)</f>
        <v>0.8857142857</v>
      </c>
      <c r="Q220" s="4" t="str">
        <f>IFERROR(__xludf.DUMMYFUNCTION("""COMPUTED_VALUE"""),"Ld Consultoria Em Gestão Empresarial")</f>
        <v>Ld Consultoria Em Gestão Empresarial</v>
      </c>
      <c r="R220" s="33">
        <f>IFERROR(__xludf.DUMMYFUNCTION("""COMPUTED_VALUE"""),0.9428571428571428)</f>
        <v>0.9428571429</v>
      </c>
      <c r="S220" s="4" t="str">
        <f>IFERROR(__xludf.DUMMYFUNCTION("""COMPUTED_VALUE"""),"Ld Consultoria Em Gestão Empresarial")</f>
        <v>Ld Consultoria Em Gestão Empresarial</v>
      </c>
      <c r="T220" s="33">
        <f>IFERROR(__xludf.DUMMYFUNCTION("""COMPUTED_VALUE"""),1.0)</f>
        <v>1</v>
      </c>
      <c r="U220" s="4" t="str">
        <f>IFERROR(__xludf.DUMMYFUNCTION("""COMPUTED_VALUE"""),"Ld Consultoria Em Gestão Empresarial")</f>
        <v>Ld Consultoria Em Gestão Empresarial</v>
      </c>
      <c r="V220" s="33">
        <f>IFERROR(__xludf.DUMMYFUNCTION("""COMPUTED_VALUE"""),0.9714285714285714)</f>
        <v>0.9714285714</v>
      </c>
      <c r="W220" s="4" t="str">
        <f>IFERROR(__xludf.DUMMYFUNCTION("""COMPUTED_VALUE"""),"null")</f>
        <v>null</v>
      </c>
      <c r="X220" s="33">
        <f>IFERROR(__xludf.DUMMYFUNCTION("""COMPUTED_VALUE"""),0.5428571428571428)</f>
        <v>0.5428571429</v>
      </c>
    </row>
    <row r="221">
      <c r="A221" s="4" t="str">
        <f>IFERROR(__xludf.DUMMYFUNCTION("""COMPUTED_VALUE"""),"Alife Nino (Grupo Drumattos)")</f>
        <v>Alife Nino (Grupo Drumattos)</v>
      </c>
      <c r="B221" s="4">
        <f>IFERROR(__xludf.DUMMYFUNCTION("""COMPUTED_VALUE"""),22.0)</f>
        <v>22</v>
      </c>
      <c r="C221" s="30">
        <f>IFERROR(__xludf.DUMMYFUNCTION("""COMPUTED_VALUE"""),93.0)</f>
        <v>93</v>
      </c>
      <c r="D221" s="4" t="str">
        <f>IFERROR(__xludf.DUMMYFUNCTION("""COMPUTED_VALUE"""),"Grupo Multi-marca")</f>
        <v>Grupo Multi-marca</v>
      </c>
      <c r="E221" s="4" t="str">
        <f>IFERROR(__xludf.DUMMYFUNCTION("""COMPUTED_VALUE"""),"Rio de Janeiro/RJ")</f>
        <v>Rio de Janeiro/RJ</v>
      </c>
      <c r="F221" s="4" t="str">
        <f>IFERROR(__xludf.DUMMYFUNCTION("""COMPUTED_VALUE"""),"Dado não disponível publicamente - Necessário Discovery")</f>
        <v>Dado não disponível publicamente - Necessário Discovery</v>
      </c>
      <c r="G221" s="4">
        <f>IFERROR(__xludf.DUMMYFUNCTION("""COMPUTED_VALUE"""),45.0)</f>
        <v>45</v>
      </c>
      <c r="H221" s="31">
        <f>IFERROR(__xludf.DUMMYFUNCTION("""COMPUTED_VALUE"""),0.55)</f>
        <v>0.55</v>
      </c>
      <c r="I221"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221" s="4" t="str">
        <f>IFERROR(__xludf.DUMMYFUNCTION("""COMPUTED_VALUE"""),"BRAZIL SUSHI")</f>
        <v>BRAZIL SUSHI</v>
      </c>
      <c r="L221" s="32">
        <f>IFERROR(__xludf.DUMMYFUNCTION("""COMPUTED_VALUE"""),35.0)</f>
        <v>35</v>
      </c>
      <c r="M221" s="4" t="str">
        <f>IFERROR(__xludf.DUMMYFUNCTION("""COMPUTED_VALUE"""),"Opdv")</f>
        <v>Opdv</v>
      </c>
      <c r="N221" s="33">
        <f>IFERROR(__xludf.DUMMYFUNCTION("""COMPUTED_VALUE"""),0.9142857142857143)</f>
        <v>0.9142857143</v>
      </c>
      <c r="O221" s="4" t="str">
        <f>IFERROR(__xludf.DUMMYFUNCTION("""COMPUTED_VALUE"""),"Opdv")</f>
        <v>Opdv</v>
      </c>
      <c r="P221" s="33">
        <f>IFERROR(__xludf.DUMMYFUNCTION("""COMPUTED_VALUE"""),0.9142857142857143)</f>
        <v>0.9142857143</v>
      </c>
      <c r="Q221" s="4" t="str">
        <f>IFERROR(__xludf.DUMMYFUNCTION("""COMPUTED_VALUE"""),"Opdv")</f>
        <v>Opdv</v>
      </c>
      <c r="R221" s="33">
        <f>IFERROR(__xludf.DUMMYFUNCTION("""COMPUTED_VALUE"""),0.9142857142857143)</f>
        <v>0.9142857143</v>
      </c>
      <c r="S221" s="4" t="str">
        <f>IFERROR(__xludf.DUMMYFUNCTION("""COMPUTED_VALUE"""),"Opdv")</f>
        <v>Opdv</v>
      </c>
      <c r="T221" s="33">
        <f>IFERROR(__xludf.DUMMYFUNCTION("""COMPUTED_VALUE"""),0.6571428571428571)</f>
        <v>0.6571428571</v>
      </c>
      <c r="U221" s="4" t="str">
        <f>IFERROR(__xludf.DUMMYFUNCTION("""COMPUTED_VALUE"""),"Saipos Serviços De Software")</f>
        <v>Saipos Serviços De Software</v>
      </c>
      <c r="V221" s="33">
        <f>IFERROR(__xludf.DUMMYFUNCTION("""COMPUTED_VALUE"""),0.6)</f>
        <v>0.6</v>
      </c>
      <c r="W221" s="4" t="str">
        <f>IFERROR(__xludf.DUMMYFUNCTION("""COMPUTED_VALUE"""),"Opdv")</f>
        <v>Opdv</v>
      </c>
      <c r="X221" s="33">
        <f>IFERROR(__xludf.DUMMYFUNCTION("""COMPUTED_VALUE"""),0.6)</f>
        <v>0.6</v>
      </c>
    </row>
    <row r="222">
      <c r="A222" s="4" t="str">
        <f>IFERROR(__xludf.DUMMYFUNCTION("""COMPUTED_VALUE"""),"All Natural")</f>
        <v>All Natural</v>
      </c>
      <c r="B222" s="4">
        <f>IFERROR(__xludf.DUMMYFUNCTION("""COMPUTED_VALUE"""),8.0)</f>
        <v>8</v>
      </c>
      <c r="C222" s="30">
        <f>IFERROR(__xludf.DUMMYFUNCTION("""COMPUTED_VALUE"""),52.0)</f>
        <v>52</v>
      </c>
      <c r="D222" s="4" t="str">
        <f>IFERROR(__xludf.DUMMYFUNCTION("""COMPUTED_VALUE"""),"Fast Casual - Multi-conceito")</f>
        <v>Fast Casual - Multi-conceito</v>
      </c>
      <c r="E222" s="4" t="str">
        <f>IFERROR(__xludf.DUMMYFUNCTION("""COMPUTED_VALUE"""),"Regional")</f>
        <v>Regional</v>
      </c>
      <c r="F222" s="4" t="str">
        <f>IFERROR(__xludf.DUMMYFUNCTION("""COMPUTED_VALUE"""),"Dado não disponível publicamente - Necessário Discovery")</f>
        <v>Dado não disponível publicamente - Necessário Discovery</v>
      </c>
      <c r="G222" s="4">
        <f>IFERROR(__xludf.DUMMYFUNCTION("""COMPUTED_VALUE"""),70.0)</f>
        <v>70</v>
      </c>
      <c r="H222" s="31">
        <f>IFERROR(__xludf.DUMMYFUNCTION("""COMPUTED_VALUE"""),0.75)</f>
        <v>0.75</v>
      </c>
      <c r="I22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22" s="4" t="str">
        <f>IFERROR(__xludf.DUMMYFUNCTION("""COMPUTED_VALUE"""),"CONTA GRUPO QA GRUPO")</f>
        <v>CONTA GRUPO QA GRUPO</v>
      </c>
      <c r="L222" s="32">
        <f>IFERROR(__xludf.DUMMYFUNCTION("""COMPUTED_VALUE"""),35.0)</f>
        <v>35</v>
      </c>
      <c r="M222" s="4" t="str">
        <f>IFERROR(__xludf.DUMMYFUNCTION("""COMPUTED_VALUE"""),"Cloudfy")</f>
        <v>Cloudfy</v>
      </c>
      <c r="N222" s="33">
        <f>IFERROR(__xludf.DUMMYFUNCTION("""COMPUTED_VALUE"""),0.9714285714285714)</f>
        <v>0.9714285714</v>
      </c>
      <c r="O222" s="4" t="str">
        <f>IFERROR(__xludf.DUMMYFUNCTION("""COMPUTED_VALUE"""),"Cloudfy")</f>
        <v>Cloudfy</v>
      </c>
      <c r="P222" s="33">
        <f>IFERROR(__xludf.DUMMYFUNCTION("""COMPUTED_VALUE"""),0.9714285714285714)</f>
        <v>0.9714285714</v>
      </c>
      <c r="Q222" s="4" t="str">
        <f>IFERROR(__xludf.DUMMYFUNCTION("""COMPUTED_VALUE"""),"Cloudfy")</f>
        <v>Cloudfy</v>
      </c>
      <c r="R222" s="33">
        <f>IFERROR(__xludf.DUMMYFUNCTION("""COMPUTED_VALUE"""),1.0)</f>
        <v>1</v>
      </c>
      <c r="S222" s="4" t="str">
        <f>IFERROR(__xludf.DUMMYFUNCTION("""COMPUTED_VALUE"""),"Cloudfy")</f>
        <v>Cloudfy</v>
      </c>
      <c r="T222" s="33">
        <f>IFERROR(__xludf.DUMMYFUNCTION("""COMPUTED_VALUE"""),0.8857142857142857)</f>
        <v>0.8857142857</v>
      </c>
      <c r="U222" s="4" t="str">
        <f>IFERROR(__xludf.DUMMYFUNCTION("""COMPUTED_VALUE"""),"Cloudfy")</f>
        <v>Cloudfy</v>
      </c>
      <c r="V222" s="33">
        <f>IFERROR(__xludf.DUMMYFUNCTION("""COMPUTED_VALUE"""),0.8857142857142857)</f>
        <v>0.8857142857</v>
      </c>
      <c r="W222" s="4" t="str">
        <f>IFERROR(__xludf.DUMMYFUNCTION("""COMPUTED_VALUE"""),"Cloudfy")</f>
        <v>Cloudfy</v>
      </c>
      <c r="X222" s="33">
        <f>IFERROR(__xludf.DUMMYFUNCTION("""COMPUTED_VALUE"""),0.8857142857142857)</f>
        <v>0.8857142857</v>
      </c>
    </row>
    <row r="223">
      <c r="A223" s="4" t="str">
        <f>IFERROR(__xludf.DUMMYFUNCTION("""COMPUTED_VALUE"""),"American Cookies")</f>
        <v>American Cookies</v>
      </c>
      <c r="B223" s="4">
        <f>IFERROR(__xludf.DUMMYFUNCTION("""COMPUTED_VALUE"""),5.0)</f>
        <v>5</v>
      </c>
      <c r="C223" s="30">
        <f>IFERROR(__xludf.DUMMYFUNCTION("""COMPUTED_VALUE"""),52.0)</f>
        <v>52</v>
      </c>
      <c r="D223" s="4" t="str">
        <f>IFERROR(__xludf.DUMMYFUNCTION("""COMPUTED_VALUE"""),"Varejo - Confeitaria")</f>
        <v>Varejo - Confeitaria</v>
      </c>
      <c r="E223" s="4" t="str">
        <f>IFERROR(__xludf.DUMMYFUNCTION("""COMPUTED_VALUE"""),"Brasília/DF")</f>
        <v>Brasília/DF</v>
      </c>
      <c r="F223" s="4" t="str">
        <f>IFERROR(__xludf.DUMMYFUNCTION("""COMPUTED_VALUE"""),"Dado não disponível publicamente - Necessário Discovery")</f>
        <v>Dado não disponível publicamente - Necessário Discovery</v>
      </c>
      <c r="G223" s="4">
        <f>IFERROR(__xludf.DUMMYFUNCTION("""COMPUTED_VALUE"""),40.0)</f>
        <v>40</v>
      </c>
      <c r="H223" s="31">
        <f>IFERROR(__xludf.DUMMYFUNCTION("""COMPUTED_VALUE"""),0.5)</f>
        <v>0.5</v>
      </c>
      <c r="I223"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223" s="4" t="str">
        <f>IFERROR(__xludf.DUMMYFUNCTION("""COMPUTED_VALUE"""),"DUCKBILL")</f>
        <v>DUCKBILL</v>
      </c>
      <c r="L223" s="32">
        <f>IFERROR(__xludf.DUMMYFUNCTION("""COMPUTED_VALUE"""),35.0)</f>
        <v>35</v>
      </c>
      <c r="M223" s="4" t="str">
        <f>IFERROR(__xludf.DUMMYFUNCTION("""COMPUTED_VALUE"""),"Stone Co.")</f>
        <v>Stone Co.</v>
      </c>
      <c r="N223" s="33">
        <f>IFERROR(__xludf.DUMMYFUNCTION("""COMPUTED_VALUE"""),0.9428571428571428)</f>
        <v>0.9428571429</v>
      </c>
      <c r="O223" s="4" t="str">
        <f>IFERROR(__xludf.DUMMYFUNCTION("""COMPUTED_VALUE"""),"Stone Co.")</f>
        <v>Stone Co.</v>
      </c>
      <c r="P223" s="33">
        <f>IFERROR(__xludf.DUMMYFUNCTION("""COMPUTED_VALUE"""),0.8571428571428571)</f>
        <v>0.8571428571</v>
      </c>
      <c r="Q223" s="4" t="str">
        <f>IFERROR(__xludf.DUMMYFUNCTION("""COMPUTED_VALUE"""),"Stone Co.")</f>
        <v>Stone Co.</v>
      </c>
      <c r="R223" s="33">
        <f>IFERROR(__xludf.DUMMYFUNCTION("""COMPUTED_VALUE"""),0.8285714285714286)</f>
        <v>0.8285714286</v>
      </c>
      <c r="S223" s="4" t="str">
        <f>IFERROR(__xludf.DUMMYFUNCTION("""COMPUTED_VALUE"""),"Stone Co.")</f>
        <v>Stone Co.</v>
      </c>
      <c r="T223" s="33">
        <f>IFERROR(__xludf.DUMMYFUNCTION("""COMPUTED_VALUE"""),0.7142857142857143)</f>
        <v>0.7142857143</v>
      </c>
      <c r="U223" s="4" t="str">
        <f>IFERROR(__xludf.DUMMYFUNCTION("""COMPUTED_VALUE"""),"Stone Co.")</f>
        <v>Stone Co.</v>
      </c>
      <c r="V223" s="33">
        <f>IFERROR(__xludf.DUMMYFUNCTION("""COMPUTED_VALUE"""),0.7142857142857143)</f>
        <v>0.7142857143</v>
      </c>
      <c r="W223" s="4" t="str">
        <f>IFERROR(__xludf.DUMMYFUNCTION("""COMPUTED_VALUE"""),"Stone Co.")</f>
        <v>Stone Co.</v>
      </c>
      <c r="X223" s="33">
        <f>IFERROR(__xludf.DUMMYFUNCTION("""COMPUTED_VALUE"""),0.6571428571428571)</f>
        <v>0.6571428571</v>
      </c>
    </row>
    <row r="224">
      <c r="A224" s="4" t="str">
        <f>IFERROR(__xludf.DUMMYFUNCTION("""COMPUTED_VALUE"""),"Amir")</f>
        <v>Amir</v>
      </c>
      <c r="B224" s="4">
        <f>IFERROR(__xludf.DUMMYFUNCTION("""COMPUTED_VALUE"""),6.0)</f>
        <v>6</v>
      </c>
      <c r="C224" s="30">
        <f>IFERROR(__xludf.DUMMYFUNCTION("""COMPUTED_VALUE"""),69.0)</f>
        <v>69</v>
      </c>
      <c r="D224" s="4" t="str">
        <f>IFERROR(__xludf.DUMMYFUNCTION("""COMPUTED_VALUE"""),"Fast Casual - Multi-conceito")</f>
        <v>Fast Casual - Multi-conceito</v>
      </c>
      <c r="E224" s="4" t="str">
        <f>IFERROR(__xludf.DUMMYFUNCTION("""COMPUTED_VALUE"""),"Sul")</f>
        <v>Sul</v>
      </c>
      <c r="F224" s="4" t="str">
        <f>IFERROR(__xludf.DUMMYFUNCTION("""COMPUTED_VALUE"""),"Dado não disponível publicamente - Necessário Discovery")</f>
        <v>Dado não disponível publicamente - Necessário Discovery</v>
      </c>
      <c r="G224" s="4">
        <f>IFERROR(__xludf.DUMMYFUNCTION("""COMPUTED_VALUE"""),70.0)</f>
        <v>70</v>
      </c>
      <c r="H224" s="31">
        <f>IFERROR(__xludf.DUMMYFUNCTION("""COMPUTED_VALUE"""),0.75)</f>
        <v>0.75</v>
      </c>
      <c r="I22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24" s="4" t="str">
        <f>IFERROR(__xludf.DUMMYFUNCTION("""COMPUTED_VALUE"""),"NACHO MAN - BRASIL")</f>
        <v>NACHO MAN - BRASIL</v>
      </c>
      <c r="L224" s="32">
        <f>IFERROR(__xludf.DUMMYFUNCTION("""COMPUTED_VALUE"""),35.0)</f>
        <v>35</v>
      </c>
      <c r="M224" s="4" t="str">
        <f>IFERROR(__xludf.DUMMYFUNCTION("""COMPUTED_VALUE"""),"Eclética Tecnologia")</f>
        <v>Eclética Tecnologia</v>
      </c>
      <c r="N224" s="33">
        <f>IFERROR(__xludf.DUMMYFUNCTION("""COMPUTED_VALUE"""),0.6857142857142857)</f>
        <v>0.6857142857</v>
      </c>
      <c r="O224" s="4" t="str">
        <f>IFERROR(__xludf.DUMMYFUNCTION("""COMPUTED_VALUE"""),"Eclética Tecnologia")</f>
        <v>Eclética Tecnologia</v>
      </c>
      <c r="P224" s="33">
        <f>IFERROR(__xludf.DUMMYFUNCTION("""COMPUTED_VALUE"""),0.5142857142857142)</f>
        <v>0.5142857143</v>
      </c>
      <c r="Q224" s="4" t="str">
        <f>IFERROR(__xludf.DUMMYFUNCTION("""COMPUTED_VALUE"""),"Saipos Serviços De Software")</f>
        <v>Saipos Serviços De Software</v>
      </c>
      <c r="R224" s="33">
        <f>IFERROR(__xludf.DUMMYFUNCTION("""COMPUTED_VALUE"""),0.6571428571428571)</f>
        <v>0.6571428571</v>
      </c>
      <c r="S224" s="4" t="str">
        <f>IFERROR(__xludf.DUMMYFUNCTION("""COMPUTED_VALUE"""),"Saipos Serviços De Software")</f>
        <v>Saipos Serviços De Software</v>
      </c>
      <c r="T224" s="33">
        <f>IFERROR(__xludf.DUMMYFUNCTION("""COMPUTED_VALUE"""),0.7142857142857143)</f>
        <v>0.7142857143</v>
      </c>
      <c r="U224" s="4" t="str">
        <f>IFERROR(__xludf.DUMMYFUNCTION("""COMPUTED_VALUE"""),"Saipos Serviços De Software")</f>
        <v>Saipos Serviços De Software</v>
      </c>
      <c r="V224" s="33">
        <f>IFERROR(__xludf.DUMMYFUNCTION("""COMPUTED_VALUE"""),0.7714285714285715)</f>
        <v>0.7714285714</v>
      </c>
      <c r="W224" s="4" t="str">
        <f>IFERROR(__xludf.DUMMYFUNCTION("""COMPUTED_VALUE"""),"Saipos Serviços De Software")</f>
        <v>Saipos Serviços De Software</v>
      </c>
      <c r="X224" s="33">
        <f>IFERROR(__xludf.DUMMYFUNCTION("""COMPUTED_VALUE"""),0.8285714285714286)</f>
        <v>0.8285714286</v>
      </c>
    </row>
    <row r="225">
      <c r="A225" s="4" t="str">
        <f>IFERROR(__xludf.DUMMYFUNCTION("""COMPUTED_VALUE"""),"Andiamo")</f>
        <v>Andiamo</v>
      </c>
      <c r="B225" s="4">
        <f>IFERROR(__xludf.DUMMYFUNCTION("""COMPUTED_VALUE"""),5.0)</f>
        <v>5</v>
      </c>
      <c r="C225" s="30">
        <f>IFERROR(__xludf.DUMMYFUNCTION("""COMPUTED_VALUE"""),68.0)</f>
        <v>68</v>
      </c>
      <c r="D225" s="4" t="str">
        <f>IFERROR(__xludf.DUMMYFUNCTION("""COMPUTED_VALUE"""),"Fast Casual - Multi-conceito")</f>
        <v>Fast Casual - Multi-conceito</v>
      </c>
      <c r="E225" s="4" t="str">
        <f>IFERROR(__xludf.DUMMYFUNCTION("""COMPUTED_VALUE"""),"Interior SP")</f>
        <v>Interior SP</v>
      </c>
      <c r="F225" s="4" t="str">
        <f>IFERROR(__xludf.DUMMYFUNCTION("""COMPUTED_VALUE"""),"Dado não disponível publicamente - Necessário Discovery")</f>
        <v>Dado não disponível publicamente - Necessário Discovery</v>
      </c>
      <c r="G225" s="4">
        <f>IFERROR(__xludf.DUMMYFUNCTION("""COMPUTED_VALUE"""),70.0)</f>
        <v>70</v>
      </c>
      <c r="H225" s="31">
        <f>IFERROR(__xludf.DUMMYFUNCTION("""COMPUTED_VALUE"""),0.75)</f>
        <v>0.75</v>
      </c>
      <c r="I22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25" s="4" t="str">
        <f>IFERROR(__xludf.DUMMYFUNCTION("""COMPUTED_VALUE"""),"AFFECTIVE BRANDS FRANCHISING GROUP - GRUPO")</f>
        <v>AFFECTIVE BRANDS FRANCHISING GROUP - GRUPO</v>
      </c>
      <c r="L225" s="32">
        <f>IFERROR(__xludf.DUMMYFUNCTION("""COMPUTED_VALUE"""),34.0)</f>
        <v>34</v>
      </c>
      <c r="M225" s="4" t="str">
        <f>IFERROR(__xludf.DUMMYFUNCTION("""COMPUTED_VALUE"""),"Opdv")</f>
        <v>Opdv</v>
      </c>
      <c r="N225" s="33">
        <f>IFERROR(__xludf.DUMMYFUNCTION("""COMPUTED_VALUE"""),0.8529411764705882)</f>
        <v>0.8529411765</v>
      </c>
      <c r="O225" s="4" t="str">
        <f>IFERROR(__xludf.DUMMYFUNCTION("""COMPUTED_VALUE"""),"Opdv")</f>
        <v>Opdv</v>
      </c>
      <c r="P225" s="33">
        <f>IFERROR(__xludf.DUMMYFUNCTION("""COMPUTED_VALUE"""),0.8529411764705882)</f>
        <v>0.8529411765</v>
      </c>
      <c r="Q225" s="4" t="str">
        <f>IFERROR(__xludf.DUMMYFUNCTION("""COMPUTED_VALUE"""),"Opdv")</f>
        <v>Opdv</v>
      </c>
      <c r="R225" s="33">
        <f>IFERROR(__xludf.DUMMYFUNCTION("""COMPUTED_VALUE"""),0.8235294117647058)</f>
        <v>0.8235294118</v>
      </c>
      <c r="S225" s="4" t="str">
        <f>IFERROR(__xludf.DUMMYFUNCTION("""COMPUTED_VALUE"""),"Opdv")</f>
        <v>Opdv</v>
      </c>
      <c r="T225" s="33">
        <f>IFERROR(__xludf.DUMMYFUNCTION("""COMPUTED_VALUE"""),0.8235294117647058)</f>
        <v>0.8235294118</v>
      </c>
      <c r="U225" s="4" t="str">
        <f>IFERROR(__xludf.DUMMYFUNCTION("""COMPUTED_VALUE"""),"Opdv")</f>
        <v>Opdv</v>
      </c>
      <c r="V225" s="33">
        <f>IFERROR(__xludf.DUMMYFUNCTION("""COMPUTED_VALUE"""),0.7941176470588235)</f>
        <v>0.7941176471</v>
      </c>
      <c r="W225" s="4" t="str">
        <f>IFERROR(__xludf.DUMMYFUNCTION("""COMPUTED_VALUE"""),"Opdv")</f>
        <v>Opdv</v>
      </c>
      <c r="X225" s="33">
        <f>IFERROR(__xludf.DUMMYFUNCTION("""COMPUTED_VALUE"""),0.7941176470588235)</f>
        <v>0.7941176471</v>
      </c>
    </row>
    <row r="226">
      <c r="A226" s="4" t="str">
        <f>IFERROR(__xludf.DUMMYFUNCTION("""COMPUTED_VALUE"""),"Árabis Esfiharia")</f>
        <v>Árabis Esfiharia</v>
      </c>
      <c r="B226" s="4">
        <f>IFERROR(__xludf.DUMMYFUNCTION("""COMPUTED_VALUE"""),12.0)</f>
        <v>12</v>
      </c>
      <c r="C226" s="30">
        <f>IFERROR(__xludf.DUMMYFUNCTION("""COMPUTED_VALUE"""),40.0)</f>
        <v>40</v>
      </c>
      <c r="D226" s="4" t="str">
        <f>IFERROR(__xludf.DUMMYFUNCTION("""COMPUTED_VALUE"""),"Fast Casual - Esfiharia")</f>
        <v>Fast Casual - Esfiharia</v>
      </c>
      <c r="E226" s="4" t="str">
        <f>IFERROR(__xludf.DUMMYFUNCTION("""COMPUTED_VALUE"""),"São Paulo/SP")</f>
        <v>São Paulo/SP</v>
      </c>
      <c r="F226" s="4" t="str">
        <f>IFERROR(__xludf.DUMMYFUNCTION("""COMPUTED_VALUE"""),"Dado não disponível publicamente - Necessário Discovery")</f>
        <v>Dado não disponível publicamente - Necessário Discovery</v>
      </c>
      <c r="G226" s="4">
        <f>IFERROR(__xludf.DUMMYFUNCTION("""COMPUTED_VALUE"""),70.0)</f>
        <v>70</v>
      </c>
      <c r="H226" s="31">
        <f>IFERROR(__xludf.DUMMYFUNCTION("""COMPUTED_VALUE"""),0.8)</f>
        <v>0.8</v>
      </c>
      <c r="I226"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226" s="4" t="str">
        <f>IFERROR(__xludf.DUMMYFUNCTION("""COMPUTED_VALUE"""),"GRUPO PEREIRA - CONTA GRUPO")</f>
        <v>GRUPO PEREIRA - CONTA GRUPO</v>
      </c>
      <c r="L226" s="32">
        <f>IFERROR(__xludf.DUMMYFUNCTION("""COMPUTED_VALUE"""),34.0)</f>
        <v>34</v>
      </c>
      <c r="M226" s="4" t="str">
        <f>IFERROR(__xludf.DUMMYFUNCTION("""COMPUTED_VALUE"""),"N/A (Not found)")</f>
        <v>N/A (Not found)</v>
      </c>
      <c r="N226" s="33">
        <f>IFERROR(__xludf.DUMMYFUNCTION("""COMPUTED_VALUE"""),0.8823529411764706)</f>
        <v>0.8823529412</v>
      </c>
      <c r="O226" s="4" t="str">
        <f>IFERROR(__xludf.DUMMYFUNCTION("""COMPUTED_VALUE"""),"N/A (Not found)")</f>
        <v>N/A (Not found)</v>
      </c>
      <c r="P226" s="33">
        <f>IFERROR(__xludf.DUMMYFUNCTION("""COMPUTED_VALUE"""),0.9705882352941176)</f>
        <v>0.9705882353</v>
      </c>
      <c r="Q226" s="4" t="str">
        <f>IFERROR(__xludf.DUMMYFUNCTION("""COMPUTED_VALUE"""),"N/A (Not found)")</f>
        <v>N/A (Not found)</v>
      </c>
      <c r="R226" s="33">
        <f>IFERROR(__xludf.DUMMYFUNCTION("""COMPUTED_VALUE"""),0.9705882352941176)</f>
        <v>0.9705882353</v>
      </c>
      <c r="S226" s="4" t="str">
        <f>IFERROR(__xludf.DUMMYFUNCTION("""COMPUTED_VALUE"""),"N/A (Not found)")</f>
        <v>N/A (Not found)</v>
      </c>
      <c r="T226" s="33">
        <f>IFERROR(__xludf.DUMMYFUNCTION("""COMPUTED_VALUE"""),0.9705882352941176)</f>
        <v>0.9705882353</v>
      </c>
      <c r="U226" s="4" t="str">
        <f>IFERROR(__xludf.DUMMYFUNCTION("""COMPUTED_VALUE"""),"N/A (Not found)")</f>
        <v>N/A (Not found)</v>
      </c>
      <c r="V226" s="33">
        <f>IFERROR(__xludf.DUMMYFUNCTION("""COMPUTED_VALUE"""),0.9705882352941176)</f>
        <v>0.9705882353</v>
      </c>
      <c r="W226" s="4" t="str">
        <f>IFERROR(__xludf.DUMMYFUNCTION("""COMPUTED_VALUE"""),"N/A (Not found)")</f>
        <v>N/A (Not found)</v>
      </c>
      <c r="X226" s="33">
        <f>IFERROR(__xludf.DUMMYFUNCTION("""COMPUTED_VALUE"""),0.9705882352941176)</f>
        <v>0.9705882353</v>
      </c>
    </row>
    <row r="227">
      <c r="A227" s="4" t="str">
        <f>IFERROR(__xludf.DUMMYFUNCTION("""COMPUTED_VALUE"""),"Augustinho Burger")</f>
        <v>Augustinho Burger</v>
      </c>
      <c r="B227" s="4">
        <f>IFERROR(__xludf.DUMMYFUNCTION("""COMPUTED_VALUE"""),12.0)</f>
        <v>12</v>
      </c>
      <c r="C227" s="30">
        <f>IFERROR(__xludf.DUMMYFUNCTION("""COMPUTED_VALUE"""),77.0)</f>
        <v>77</v>
      </c>
      <c r="D227" s="4" t="str">
        <f>IFERROR(__xludf.DUMMYFUNCTION("""COMPUTED_VALUE"""),"Fast Casual - Hamburgueria")</f>
        <v>Fast Casual - Hamburgueria</v>
      </c>
      <c r="E227" s="4" t="str">
        <f>IFERROR(__xludf.DUMMYFUNCTION("""COMPUTED_VALUE"""),"Belo Horizonte/MG")</f>
        <v>Belo Horizonte/MG</v>
      </c>
      <c r="F227" s="4" t="str">
        <f>IFERROR(__xludf.DUMMYFUNCTION("""COMPUTED_VALUE"""),"Dado não disponível publicamente - Necessário Discovery")</f>
        <v>Dado não disponível publicamente - Necessário Discovery</v>
      </c>
      <c r="G227" s="4">
        <f>IFERROR(__xludf.DUMMYFUNCTION("""COMPUTED_VALUE"""),70.0)</f>
        <v>70</v>
      </c>
      <c r="H227" s="31">
        <f>IFERROR(__xludf.DUMMYFUNCTION("""COMPUTED_VALUE"""),0.8)</f>
        <v>0.8</v>
      </c>
      <c r="I227"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227" s="4" t="str">
        <f>IFERROR(__xludf.DUMMYFUNCTION("""COMPUTED_VALUE"""),"QA GRUPO")</f>
        <v>QA GRUPO</v>
      </c>
      <c r="L227" s="32">
        <f>IFERROR(__xludf.DUMMYFUNCTION("""COMPUTED_VALUE"""),34.0)</f>
        <v>34</v>
      </c>
      <c r="M227" s="4" t="str">
        <f>IFERROR(__xludf.DUMMYFUNCTION("""COMPUTED_VALUE"""),"Cloudfy")</f>
        <v>Cloudfy</v>
      </c>
      <c r="N227" s="33">
        <f>IFERROR(__xludf.DUMMYFUNCTION("""COMPUTED_VALUE"""),0.9705882352941176)</f>
        <v>0.9705882353</v>
      </c>
      <c r="O227" s="4" t="str">
        <f>IFERROR(__xludf.DUMMYFUNCTION("""COMPUTED_VALUE"""),"Cloudfy")</f>
        <v>Cloudfy</v>
      </c>
      <c r="P227" s="33">
        <f>IFERROR(__xludf.DUMMYFUNCTION("""COMPUTED_VALUE"""),0.9705882352941176)</f>
        <v>0.9705882353</v>
      </c>
      <c r="Q227" s="4" t="str">
        <f>IFERROR(__xludf.DUMMYFUNCTION("""COMPUTED_VALUE"""),"Cloudfy")</f>
        <v>Cloudfy</v>
      </c>
      <c r="R227" s="33">
        <f>IFERROR(__xludf.DUMMYFUNCTION("""COMPUTED_VALUE"""),1.0)</f>
        <v>1</v>
      </c>
      <c r="S227" s="4" t="str">
        <f>IFERROR(__xludf.DUMMYFUNCTION("""COMPUTED_VALUE"""),"Cloudfy")</f>
        <v>Cloudfy</v>
      </c>
      <c r="T227" s="33">
        <f>IFERROR(__xludf.DUMMYFUNCTION("""COMPUTED_VALUE"""),0.9117647058823529)</f>
        <v>0.9117647059</v>
      </c>
      <c r="U227" s="4" t="str">
        <f>IFERROR(__xludf.DUMMYFUNCTION("""COMPUTED_VALUE"""),"Cloudfy")</f>
        <v>Cloudfy</v>
      </c>
      <c r="V227" s="33">
        <f>IFERROR(__xludf.DUMMYFUNCTION("""COMPUTED_VALUE"""),0.8823529411764706)</f>
        <v>0.8823529412</v>
      </c>
      <c r="W227" s="4" t="str">
        <f>IFERROR(__xludf.DUMMYFUNCTION("""COMPUTED_VALUE"""),"Cloudfy")</f>
        <v>Cloudfy</v>
      </c>
      <c r="X227" s="33">
        <f>IFERROR(__xludf.DUMMYFUNCTION("""COMPUTED_VALUE"""),0.9117647058823529)</f>
        <v>0.9117647059</v>
      </c>
    </row>
    <row r="228">
      <c r="A228" s="4" t="str">
        <f>IFERROR(__xludf.DUMMYFUNCTION("""COMPUTED_VALUE"""),"Bacio Di Latte")</f>
        <v>Bacio Di Latte</v>
      </c>
      <c r="B228" s="4">
        <f>IFERROR(__xludf.DUMMYFUNCTION("""COMPUTED_VALUE"""),220.0)</f>
        <v>220</v>
      </c>
      <c r="C228" s="30">
        <f>IFERROR(__xludf.DUMMYFUNCTION("""COMPUTED_VALUE"""),38.0)</f>
        <v>38</v>
      </c>
      <c r="D228" s="4" t="str">
        <f>IFERROR(__xludf.DUMMYFUNCTION("""COMPUTED_VALUE"""),"Fast Casual - Gelato")</f>
        <v>Fast Casual - Gelato</v>
      </c>
      <c r="E228" s="4" t="str">
        <f>IFERROR(__xludf.DUMMYFUNCTION("""COMPUTED_VALUE"""),"Nacional")</f>
        <v>Nacional</v>
      </c>
      <c r="F228" s="4" t="str">
        <f>IFERROR(__xludf.DUMMYFUNCTION("""COMPUTED_VALUE"""),"Dado não disponível")</f>
        <v>Dado não disponível</v>
      </c>
      <c r="G228" s="4">
        <f>IFERROR(__xludf.DUMMYFUNCTION("""COMPUTED_VALUE"""),80.0)</f>
        <v>80</v>
      </c>
      <c r="H228" s="31">
        <f>IFERROR(__xludf.DUMMYFUNCTION("""COMPUTED_VALUE"""),0.9)</f>
        <v>0.9</v>
      </c>
      <c r="I228" s="4" t="str">
        <f>IFERROR(__xludf.DUMMYFUNCTION("""COMPUTED_VALUE"""),"Alta aderência ao 3S: PDV não identificado. 3S oferece Kiosk nativo, Hub Delivery integrado e gestão centralizada multi-loja - diferenciais competitivos para expansão e redução de filas.")</f>
        <v>Alta aderência ao 3S: PDV não identificado. 3S oferece Kiosk nativo, Hub Delivery integrado e gestão centralizada multi-loja - diferenciais competitivos para expansão e redução de filas.</v>
      </c>
      <c r="K228" s="4" t="str">
        <f>IFERROR(__xludf.DUMMYFUNCTION("""COMPUTED_VALUE"""),"DROGARIA SUPER POPULAR - CONTA MARCA")</f>
        <v>DROGARIA SUPER POPULAR - CONTA MARCA</v>
      </c>
      <c r="L228" s="32">
        <f>IFERROR(__xludf.DUMMYFUNCTION("""COMPUTED_VALUE"""),34.0)</f>
        <v>34</v>
      </c>
      <c r="M228" s="4" t="str">
        <f>IFERROR(__xludf.DUMMYFUNCTION("""COMPUTED_VALUE"""),"N/A (Not found)")</f>
        <v>N/A (Not found)</v>
      </c>
      <c r="N228" s="33">
        <f>IFERROR(__xludf.DUMMYFUNCTION("""COMPUTED_VALUE"""),1.0)</f>
        <v>1</v>
      </c>
      <c r="O228" s="4" t="str">
        <f>IFERROR(__xludf.DUMMYFUNCTION("""COMPUTED_VALUE"""),"N/A (Not found)")</f>
        <v>N/A (Not found)</v>
      </c>
      <c r="P228" s="33">
        <f>IFERROR(__xludf.DUMMYFUNCTION("""COMPUTED_VALUE"""),1.0)</f>
        <v>1</v>
      </c>
      <c r="Q228" s="4" t="str">
        <f>IFERROR(__xludf.DUMMYFUNCTION("""COMPUTED_VALUE"""),"N/A (Not found)")</f>
        <v>N/A (Not found)</v>
      </c>
      <c r="R228" s="33">
        <f>IFERROR(__xludf.DUMMYFUNCTION("""COMPUTED_VALUE"""),1.0)</f>
        <v>1</v>
      </c>
      <c r="S228" s="4" t="str">
        <f>IFERROR(__xludf.DUMMYFUNCTION("""COMPUTED_VALUE"""),"N/A (Not found)")</f>
        <v>N/A (Not found)</v>
      </c>
      <c r="T228" s="33">
        <f>IFERROR(__xludf.DUMMYFUNCTION("""COMPUTED_VALUE"""),1.0)</f>
        <v>1</v>
      </c>
      <c r="U228" s="4" t="str">
        <f>IFERROR(__xludf.DUMMYFUNCTION("""COMPUTED_VALUE"""),"N/A (Not found)")</f>
        <v>N/A (Not found)</v>
      </c>
      <c r="V228" s="33">
        <f>IFERROR(__xludf.DUMMYFUNCTION("""COMPUTED_VALUE"""),1.0)</f>
        <v>1</v>
      </c>
      <c r="W228" s="4" t="str">
        <f>IFERROR(__xludf.DUMMYFUNCTION("""COMPUTED_VALUE"""),"N/A (Not found)")</f>
        <v>N/A (Not found)</v>
      </c>
      <c r="X228" s="33">
        <f>IFERROR(__xludf.DUMMYFUNCTION("""COMPUTED_VALUE"""),1.0)</f>
        <v>1</v>
      </c>
    </row>
    <row r="229">
      <c r="A229" s="4" t="str">
        <f>IFERROR(__xludf.DUMMYFUNCTION("""COMPUTED_VALUE"""),"Baked Potato")</f>
        <v>Baked Potato</v>
      </c>
      <c r="B229" s="4">
        <f>IFERROR(__xludf.DUMMYFUNCTION("""COMPUTED_VALUE"""),8.0)</f>
        <v>8</v>
      </c>
      <c r="C229" s="30">
        <f>IFERROR(__xludf.DUMMYFUNCTION("""COMPUTED_VALUE"""),74.0)</f>
        <v>74</v>
      </c>
      <c r="D229" s="4" t="str">
        <f>IFERROR(__xludf.DUMMYFUNCTION("""COMPUTED_VALUE"""),"Fast Casual - Multi-conceito")</f>
        <v>Fast Casual - Multi-conceito</v>
      </c>
      <c r="E229" s="4" t="str">
        <f>IFERROR(__xludf.DUMMYFUNCTION("""COMPUTED_VALUE"""),"Nordeste")</f>
        <v>Nordeste</v>
      </c>
      <c r="F229" s="4" t="str">
        <f>IFERROR(__xludf.DUMMYFUNCTION("""COMPUTED_VALUE"""),"Dado não disponível publicamente - Necessário Discovery")</f>
        <v>Dado não disponível publicamente - Necessário Discovery</v>
      </c>
      <c r="G229" s="4">
        <f>IFERROR(__xludf.DUMMYFUNCTION("""COMPUTED_VALUE"""),70.0)</f>
        <v>70</v>
      </c>
      <c r="H229" s="31">
        <f>IFERROR(__xludf.DUMMYFUNCTION("""COMPUTED_VALUE"""),0.75)</f>
        <v>0.75</v>
      </c>
      <c r="I22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29" s="4" t="str">
        <f>IFERROR(__xludf.DUMMYFUNCTION("""COMPUTED_VALUE"""),"OAKS BURRITOS")</f>
        <v>OAKS BURRITOS</v>
      </c>
      <c r="L229" s="32">
        <f>IFERROR(__xludf.DUMMYFUNCTION("""COMPUTED_VALUE"""),34.0)</f>
        <v>34</v>
      </c>
      <c r="M229" s="4" t="str">
        <f>IFERROR(__xludf.DUMMYFUNCTION("""COMPUTED_VALUE"""),"null")</f>
        <v>null</v>
      </c>
      <c r="N229" s="33">
        <f>IFERROR(__xludf.DUMMYFUNCTION("""COMPUTED_VALUE"""),0.5882352941176471)</f>
        <v>0.5882352941</v>
      </c>
      <c r="O229" s="4" t="str">
        <f>IFERROR(__xludf.DUMMYFUNCTION("""COMPUTED_VALUE"""),"Opdv")</f>
        <v>Opdv</v>
      </c>
      <c r="P229" s="33">
        <f>IFERROR(__xludf.DUMMYFUNCTION("""COMPUTED_VALUE"""),0.5)</f>
        <v>0.5</v>
      </c>
      <c r="Q229" s="4" t="str">
        <f>IFERROR(__xludf.DUMMYFUNCTION("""COMPUTED_VALUE"""),"Opdv")</f>
        <v>Opdv</v>
      </c>
      <c r="R229" s="33">
        <f>IFERROR(__xludf.DUMMYFUNCTION("""COMPUTED_VALUE"""),0.7647058823529411)</f>
        <v>0.7647058824</v>
      </c>
      <c r="S229" s="4" t="str">
        <f>IFERROR(__xludf.DUMMYFUNCTION("""COMPUTED_VALUE"""),"Opdv")</f>
        <v>Opdv</v>
      </c>
      <c r="T229" s="33">
        <f>IFERROR(__xludf.DUMMYFUNCTION("""COMPUTED_VALUE"""),0.9411764705882353)</f>
        <v>0.9411764706</v>
      </c>
      <c r="U229" s="4" t="str">
        <f>IFERROR(__xludf.DUMMYFUNCTION("""COMPUTED_VALUE"""),"Opdv")</f>
        <v>Opdv</v>
      </c>
      <c r="V229" s="33">
        <f>IFERROR(__xludf.DUMMYFUNCTION("""COMPUTED_VALUE"""),0.9705882352941176)</f>
        <v>0.9705882353</v>
      </c>
      <c r="W229" s="4" t="str">
        <f>IFERROR(__xludf.DUMMYFUNCTION("""COMPUTED_VALUE"""),"Opdv")</f>
        <v>Opdv</v>
      </c>
      <c r="X229" s="33">
        <f>IFERROR(__xludf.DUMMYFUNCTION("""COMPUTED_VALUE"""),0.9705882352941176)</f>
        <v>0.9705882353</v>
      </c>
    </row>
    <row r="230">
      <c r="A230" s="4" t="str">
        <f>IFERROR(__xludf.DUMMYFUNCTION("""COMPUTED_VALUE"""),"Bala No Alvo - Marca")</f>
        <v>Bala No Alvo - Marca</v>
      </c>
      <c r="B230" s="4">
        <f>IFERROR(__xludf.DUMMYFUNCTION("""COMPUTED_VALUE"""),7.0)</f>
        <v>7</v>
      </c>
      <c r="C230" s="30">
        <f>IFERROR(__xludf.DUMMYFUNCTION("""COMPUTED_VALUE"""),51.0)</f>
        <v>51</v>
      </c>
      <c r="D230" s="4" t="str">
        <f>IFERROR(__xludf.DUMMYFUNCTION("""COMPUTED_VALUE"""),"Fast Casual - Multi-conceito")</f>
        <v>Fast Casual - Multi-conceito</v>
      </c>
      <c r="E230" s="4" t="str">
        <f>IFERROR(__xludf.DUMMYFUNCTION("""COMPUTED_VALUE"""),"Nordeste")</f>
        <v>Nordeste</v>
      </c>
      <c r="F230" s="4" t="str">
        <f>IFERROR(__xludf.DUMMYFUNCTION("""COMPUTED_VALUE"""),"Dado não disponível publicamente - Necessário Discovery")</f>
        <v>Dado não disponível publicamente - Necessário Discovery</v>
      </c>
      <c r="G230" s="4">
        <f>IFERROR(__xludf.DUMMYFUNCTION("""COMPUTED_VALUE"""),70.0)</f>
        <v>70</v>
      </c>
      <c r="H230" s="31">
        <f>IFERROR(__xludf.DUMMYFUNCTION("""COMPUTED_VALUE"""),0.75)</f>
        <v>0.75</v>
      </c>
      <c r="I23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30" s="4" t="str">
        <f>IFERROR(__xludf.DUMMYFUNCTION("""COMPUTED_VALUE"""),"THE B-BURGERS GRUPO")</f>
        <v>THE B-BURGERS GRUPO</v>
      </c>
      <c r="L230" s="32">
        <f>IFERROR(__xludf.DUMMYFUNCTION("""COMPUTED_VALUE"""),33.0)</f>
        <v>33</v>
      </c>
      <c r="M230" s="4" t="str">
        <f>IFERROR(__xludf.DUMMYFUNCTION("""COMPUTED_VALUE"""),"Yooga")</f>
        <v>Yooga</v>
      </c>
      <c r="N230" s="33">
        <f>IFERROR(__xludf.DUMMYFUNCTION("""COMPUTED_VALUE"""),0.7575757575757576)</f>
        <v>0.7575757576</v>
      </c>
      <c r="O230" s="4" t="str">
        <f>IFERROR(__xludf.DUMMYFUNCTION("""COMPUTED_VALUE"""),"Yooga")</f>
        <v>Yooga</v>
      </c>
      <c r="P230" s="33">
        <f>IFERROR(__xludf.DUMMYFUNCTION("""COMPUTED_VALUE"""),0.7575757575757576)</f>
        <v>0.7575757576</v>
      </c>
      <c r="Q230" s="4" t="str">
        <f>IFERROR(__xludf.DUMMYFUNCTION("""COMPUTED_VALUE"""),"Yooga")</f>
        <v>Yooga</v>
      </c>
      <c r="R230" s="33">
        <f>IFERROR(__xludf.DUMMYFUNCTION("""COMPUTED_VALUE"""),0.696969696969697)</f>
        <v>0.696969697</v>
      </c>
      <c r="S230" s="4" t="str">
        <f>IFERROR(__xludf.DUMMYFUNCTION("""COMPUTED_VALUE"""),"Yooga")</f>
        <v>Yooga</v>
      </c>
      <c r="T230" s="33">
        <f>IFERROR(__xludf.DUMMYFUNCTION("""COMPUTED_VALUE"""),0.6060606060606061)</f>
        <v>0.6060606061</v>
      </c>
      <c r="U230" s="4" t="str">
        <f>IFERROR(__xludf.DUMMYFUNCTION("""COMPUTED_VALUE"""),"Yooga")</f>
        <v>Yooga</v>
      </c>
      <c r="V230" s="33">
        <f>IFERROR(__xludf.DUMMYFUNCTION("""COMPUTED_VALUE"""),0.5757575757575758)</f>
        <v>0.5757575758</v>
      </c>
      <c r="W230" s="4" t="str">
        <f>IFERROR(__xludf.DUMMYFUNCTION("""COMPUTED_VALUE"""),"Yooga")</f>
        <v>Yooga</v>
      </c>
      <c r="X230" s="33">
        <f>IFERROR(__xludf.DUMMYFUNCTION("""COMPUTED_VALUE"""),0.6060606060606061)</f>
        <v>0.6060606061</v>
      </c>
    </row>
    <row r="231">
      <c r="A231" s="4" t="str">
        <f>IFERROR(__xludf.DUMMYFUNCTION("""COMPUTED_VALUE"""),"Banana Food")</f>
        <v>Banana Food</v>
      </c>
      <c r="B231" s="4">
        <f>IFERROR(__xludf.DUMMYFUNCTION("""COMPUTED_VALUE"""),6.0)</f>
        <v>6</v>
      </c>
      <c r="C231" s="30">
        <f>IFERROR(__xludf.DUMMYFUNCTION("""COMPUTED_VALUE"""),71.0)</f>
        <v>71</v>
      </c>
      <c r="D231" s="4" t="str">
        <f>IFERROR(__xludf.DUMMYFUNCTION("""COMPUTED_VALUE"""),"Fast Casual - Multi-conceito")</f>
        <v>Fast Casual - Multi-conceito</v>
      </c>
      <c r="E231" s="4" t="str">
        <f>IFERROR(__xludf.DUMMYFUNCTION("""COMPUTED_VALUE"""),"Nacional")</f>
        <v>Nacional</v>
      </c>
      <c r="F231" s="4" t="str">
        <f>IFERROR(__xludf.DUMMYFUNCTION("""COMPUTED_VALUE"""),"Dado não disponível publicamente - Necessário Discovery")</f>
        <v>Dado não disponível publicamente - Necessário Discovery</v>
      </c>
      <c r="G231" s="4">
        <f>IFERROR(__xludf.DUMMYFUNCTION("""COMPUTED_VALUE"""),70.0)</f>
        <v>70</v>
      </c>
      <c r="H231" s="31">
        <f>IFERROR(__xludf.DUMMYFUNCTION("""COMPUTED_VALUE"""),0.75)</f>
        <v>0.75</v>
      </c>
      <c r="I23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31" s="4" t="str">
        <f>IFERROR(__xludf.DUMMYFUNCTION("""COMPUTED_VALUE"""),"GELATI ARTIGIANALE")</f>
        <v>GELATI ARTIGIANALE</v>
      </c>
      <c r="L231" s="32">
        <f>IFERROR(__xludf.DUMMYFUNCTION("""COMPUTED_VALUE"""),33.0)</f>
        <v>33</v>
      </c>
      <c r="M231" s="4" t="str">
        <f>IFERROR(__xludf.DUMMYFUNCTION("""COMPUTED_VALUE"""),"Saipos Serviços De Software")</f>
        <v>Saipos Serviços De Software</v>
      </c>
      <c r="N231" s="33">
        <f>IFERROR(__xludf.DUMMYFUNCTION("""COMPUTED_VALUE"""),0.48484848484848486)</f>
        <v>0.4848484848</v>
      </c>
      <c r="O231" s="4" t="str">
        <f>IFERROR(__xludf.DUMMYFUNCTION("""COMPUTED_VALUE"""),"Saipos Serviços De Software")</f>
        <v>Saipos Serviços De Software</v>
      </c>
      <c r="P231" s="33">
        <f>IFERROR(__xludf.DUMMYFUNCTION("""COMPUTED_VALUE"""),0.6060606060606061)</f>
        <v>0.6060606061</v>
      </c>
      <c r="Q231" s="4" t="str">
        <f>IFERROR(__xludf.DUMMYFUNCTION("""COMPUTED_VALUE"""),"Saipos Serviços De Software")</f>
        <v>Saipos Serviços De Software</v>
      </c>
      <c r="R231" s="33">
        <f>IFERROR(__xludf.DUMMYFUNCTION("""COMPUTED_VALUE"""),0.6363636363636364)</f>
        <v>0.6363636364</v>
      </c>
      <c r="S231" s="4" t="str">
        <f>IFERROR(__xludf.DUMMYFUNCTION("""COMPUTED_VALUE"""),"Saipos Serviços De Software")</f>
        <v>Saipos Serviços De Software</v>
      </c>
      <c r="T231" s="33">
        <f>IFERROR(__xludf.DUMMYFUNCTION("""COMPUTED_VALUE"""),0.6363636363636364)</f>
        <v>0.6363636364</v>
      </c>
      <c r="U231" s="4" t="str">
        <f>IFERROR(__xludf.DUMMYFUNCTION("""COMPUTED_VALUE"""),"Saipos Serviços De Software")</f>
        <v>Saipos Serviços De Software</v>
      </c>
      <c r="V231" s="33">
        <f>IFERROR(__xludf.DUMMYFUNCTION("""COMPUTED_VALUE"""),0.696969696969697)</f>
        <v>0.696969697</v>
      </c>
      <c r="W231" s="4" t="str">
        <f>IFERROR(__xludf.DUMMYFUNCTION("""COMPUTED_VALUE"""),"Saipos Serviços De Software")</f>
        <v>Saipos Serviços De Software</v>
      </c>
      <c r="X231" s="33">
        <f>IFERROR(__xludf.DUMMYFUNCTION("""COMPUTED_VALUE"""),0.6666666666666666)</f>
        <v>0.6666666667</v>
      </c>
    </row>
    <row r="232">
      <c r="A232" s="4" t="str">
        <f>IFERROR(__xludf.DUMMYFUNCTION("""COMPUTED_VALUE"""),"Barolo Trattoria Curitiba")</f>
        <v>Barolo Trattoria Curitiba</v>
      </c>
      <c r="B232" s="4">
        <f>IFERROR(__xludf.DUMMYFUNCTION("""COMPUTED_VALUE"""),3.0)</f>
        <v>3</v>
      </c>
      <c r="C232" s="30">
        <f>IFERROR(__xludf.DUMMYFUNCTION("""COMPUTED_VALUE"""),51.0)</f>
        <v>51</v>
      </c>
      <c r="D232" s="4" t="str">
        <f>IFERROR(__xludf.DUMMYFUNCTION("""COMPUTED_VALUE"""),"Fast Casual - Multi-conceito")</f>
        <v>Fast Casual - Multi-conceito</v>
      </c>
      <c r="E232" s="4" t="str">
        <f>IFERROR(__xludf.DUMMYFUNCTION("""COMPUTED_VALUE"""),"Sul")</f>
        <v>Sul</v>
      </c>
      <c r="F232" s="4" t="str">
        <f>IFERROR(__xludf.DUMMYFUNCTION("""COMPUTED_VALUE"""),"Dado não disponível publicamente - Necessário Discovery")</f>
        <v>Dado não disponível publicamente - Necessário Discovery</v>
      </c>
      <c r="G232" s="4">
        <f>IFERROR(__xludf.DUMMYFUNCTION("""COMPUTED_VALUE"""),65.0)</f>
        <v>65</v>
      </c>
      <c r="H232" s="31">
        <f>IFERROR(__xludf.DUMMYFUNCTION("""COMPUTED_VALUE"""),0.75)</f>
        <v>0.75</v>
      </c>
      <c r="I23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32" s="4" t="str">
        <f>IFERROR(__xludf.DUMMYFUNCTION("""COMPUTED_VALUE"""),"LIG-LIG")</f>
        <v>LIG-LIG</v>
      </c>
      <c r="L232" s="32">
        <f>IFERROR(__xludf.DUMMYFUNCTION("""COMPUTED_VALUE"""),33.0)</f>
        <v>33</v>
      </c>
      <c r="M232" s="4" t="str">
        <f>IFERROR(__xludf.DUMMYFUNCTION("""COMPUTED_VALUE"""),"Eclética Tecnologia")</f>
        <v>Eclética Tecnologia</v>
      </c>
      <c r="N232" s="33">
        <f>IFERROR(__xludf.DUMMYFUNCTION("""COMPUTED_VALUE"""),1.0)</f>
        <v>1</v>
      </c>
      <c r="O232" s="4" t="str">
        <f>IFERROR(__xludf.DUMMYFUNCTION("""COMPUTED_VALUE"""),"Eclética Tecnologia")</f>
        <v>Eclética Tecnologia</v>
      </c>
      <c r="P232" s="33">
        <f>IFERROR(__xludf.DUMMYFUNCTION("""COMPUTED_VALUE"""),0.8787878787878788)</f>
        <v>0.8787878788</v>
      </c>
      <c r="Q232" s="4" t="str">
        <f>IFERROR(__xludf.DUMMYFUNCTION("""COMPUTED_VALUE"""),"Eclética Tecnologia")</f>
        <v>Eclética Tecnologia</v>
      </c>
      <c r="R232" s="33">
        <f>IFERROR(__xludf.DUMMYFUNCTION("""COMPUTED_VALUE"""),0.7575757575757576)</f>
        <v>0.7575757576</v>
      </c>
      <c r="S232" s="4" t="str">
        <f>IFERROR(__xludf.DUMMYFUNCTION("""COMPUTED_VALUE"""),"Eclética Tecnologia")</f>
        <v>Eclética Tecnologia</v>
      </c>
      <c r="T232" s="33">
        <f>IFERROR(__xludf.DUMMYFUNCTION("""COMPUTED_VALUE"""),0.8181818181818182)</f>
        <v>0.8181818182</v>
      </c>
      <c r="U232" s="4" t="str">
        <f>IFERROR(__xludf.DUMMYFUNCTION("""COMPUTED_VALUE"""),"Eclética Tecnologia")</f>
        <v>Eclética Tecnologia</v>
      </c>
      <c r="V232" s="33">
        <f>IFERROR(__xludf.DUMMYFUNCTION("""COMPUTED_VALUE"""),0.8787878787878788)</f>
        <v>0.8787878788</v>
      </c>
      <c r="W232" s="4" t="str">
        <f>IFERROR(__xludf.DUMMYFUNCTION("""COMPUTED_VALUE"""),"Eclética Tecnologia")</f>
        <v>Eclética Tecnologia</v>
      </c>
      <c r="X232" s="33">
        <f>IFERROR(__xludf.DUMMYFUNCTION("""COMPUTED_VALUE"""),0.8787878787878788)</f>
        <v>0.8787878788</v>
      </c>
    </row>
    <row r="233">
      <c r="A233" s="4" t="str">
        <f>IFERROR(__xludf.DUMMYFUNCTION("""COMPUTED_VALUE"""),"Baruk Esfiha E Shawarmas")</f>
        <v>Baruk Esfiha E Shawarmas</v>
      </c>
      <c r="B233" s="4">
        <f>IFERROR(__xludf.DUMMYFUNCTION("""COMPUTED_VALUE"""),11.0)</f>
        <v>11</v>
      </c>
      <c r="C233" s="30">
        <f>IFERROR(__xludf.DUMMYFUNCTION("""COMPUTED_VALUE"""),53.0)</f>
        <v>53</v>
      </c>
      <c r="D233" s="4" t="str">
        <f>IFERROR(__xludf.DUMMYFUNCTION("""COMPUTED_VALUE"""),"Fast Casual - Esfiharia")</f>
        <v>Fast Casual - Esfiharia</v>
      </c>
      <c r="E233" s="4" t="str">
        <f>IFERROR(__xludf.DUMMYFUNCTION("""COMPUTED_VALUE"""),"Belo Horizonte/MG")</f>
        <v>Belo Horizonte/MG</v>
      </c>
      <c r="F233" s="4" t="str">
        <f>IFERROR(__xludf.DUMMYFUNCTION("""COMPUTED_VALUE"""),"Dado não disponível publicamente - Necessário Discovery")</f>
        <v>Dado não disponível publicamente - Necessário Discovery</v>
      </c>
      <c r="G233" s="4">
        <f>IFERROR(__xludf.DUMMYFUNCTION("""COMPUTED_VALUE"""),70.0)</f>
        <v>70</v>
      </c>
      <c r="H233" s="31">
        <f>IFERROR(__xludf.DUMMYFUNCTION("""COMPUTED_VALUE"""),0.8)</f>
        <v>0.8</v>
      </c>
      <c r="I233"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233" s="4" t="str">
        <f>IFERROR(__xludf.DUMMYFUNCTION("""COMPUTED_VALUE"""),"REDE ECONOMIA - CONTA GRUPO")</f>
        <v>REDE ECONOMIA - CONTA GRUPO</v>
      </c>
      <c r="L233" s="32">
        <f>IFERROR(__xludf.DUMMYFUNCTION("""COMPUTED_VALUE"""),33.0)</f>
        <v>33</v>
      </c>
      <c r="M233" s="4" t="str">
        <f>IFERROR(__xludf.DUMMYFUNCTION("""COMPUTED_VALUE"""),"N/A (Not found)")</f>
        <v>N/A (Not found)</v>
      </c>
      <c r="N233" s="33">
        <f>IFERROR(__xludf.DUMMYFUNCTION("""COMPUTED_VALUE"""),0.9696969696969697)</f>
        <v>0.9696969697</v>
      </c>
      <c r="O233" s="4" t="str">
        <f>IFERROR(__xludf.DUMMYFUNCTION("""COMPUTED_VALUE"""),"N/A (Not found)")</f>
        <v>N/A (Not found)</v>
      </c>
      <c r="P233" s="33">
        <f>IFERROR(__xludf.DUMMYFUNCTION("""COMPUTED_VALUE"""),0.9696969696969697)</f>
        <v>0.9696969697</v>
      </c>
      <c r="Q233" s="4" t="str">
        <f>IFERROR(__xludf.DUMMYFUNCTION("""COMPUTED_VALUE"""),"N/A (Not found)")</f>
        <v>N/A (Not found)</v>
      </c>
      <c r="R233" s="33">
        <f>IFERROR(__xludf.DUMMYFUNCTION("""COMPUTED_VALUE"""),0.9393939393939394)</f>
        <v>0.9393939394</v>
      </c>
      <c r="S233" s="4" t="str">
        <f>IFERROR(__xludf.DUMMYFUNCTION("""COMPUTED_VALUE"""),"N/A (Not found)")</f>
        <v>N/A (Not found)</v>
      </c>
      <c r="T233" s="33">
        <f>IFERROR(__xludf.DUMMYFUNCTION("""COMPUTED_VALUE"""),0.9696969696969697)</f>
        <v>0.9696969697</v>
      </c>
      <c r="U233" s="4" t="str">
        <f>IFERROR(__xludf.DUMMYFUNCTION("""COMPUTED_VALUE"""),"N/A (Not found)")</f>
        <v>N/A (Not found)</v>
      </c>
      <c r="V233" s="33">
        <f>IFERROR(__xludf.DUMMYFUNCTION("""COMPUTED_VALUE"""),0.9696969696969697)</f>
        <v>0.9696969697</v>
      </c>
      <c r="W233" s="4" t="str">
        <f>IFERROR(__xludf.DUMMYFUNCTION("""COMPUTED_VALUE"""),"N/A (Not found)")</f>
        <v>N/A (Not found)</v>
      </c>
      <c r="X233" s="33">
        <f>IFERROR(__xludf.DUMMYFUNCTION("""COMPUTED_VALUE"""),0.9090909090909091)</f>
        <v>0.9090909091</v>
      </c>
    </row>
    <row r="234">
      <c r="A234" s="4" t="str">
        <f>IFERROR(__xludf.DUMMYFUNCTION("""COMPUTED_VALUE"""),"Bengo Açaí")</f>
        <v>Bengo Açaí</v>
      </c>
      <c r="B234" s="4">
        <f>IFERROR(__xludf.DUMMYFUNCTION("""COMPUTED_VALUE"""),6.0)</f>
        <v>6</v>
      </c>
      <c r="C234" s="30">
        <f>IFERROR(__xludf.DUMMYFUNCTION("""COMPUTED_VALUE"""),66.0)</f>
        <v>66</v>
      </c>
      <c r="D234" s="4" t="str">
        <f>IFERROR(__xludf.DUMMYFUNCTION("""COMPUTED_VALUE"""),"Fast Casual - Multi-conceito")</f>
        <v>Fast Casual - Multi-conceito</v>
      </c>
      <c r="E234" s="4" t="str">
        <f>IFERROR(__xludf.DUMMYFUNCTION("""COMPUTED_VALUE"""),"Sudeste")</f>
        <v>Sudeste</v>
      </c>
      <c r="F234" s="4" t="str">
        <f>IFERROR(__xludf.DUMMYFUNCTION("""COMPUTED_VALUE"""),"Dado não disponível publicamente - Necessário Discovery")</f>
        <v>Dado não disponível publicamente - Necessário Discovery</v>
      </c>
      <c r="G234" s="4">
        <f>IFERROR(__xludf.DUMMYFUNCTION("""COMPUTED_VALUE"""),70.0)</f>
        <v>70</v>
      </c>
      <c r="H234" s="31">
        <f>IFERROR(__xludf.DUMMYFUNCTION("""COMPUTED_VALUE"""),0.75)</f>
        <v>0.75</v>
      </c>
      <c r="I23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34" s="4" t="str">
        <f>IFERROR(__xludf.DUMMYFUNCTION("""COMPUTED_VALUE"""),"NAGUMO SUPERMERCADO - CONTA GRUPO")</f>
        <v>NAGUMO SUPERMERCADO - CONTA GRUPO</v>
      </c>
      <c r="L234" s="32">
        <f>IFERROR(__xludf.DUMMYFUNCTION("""COMPUTED_VALUE"""),33.0)</f>
        <v>33</v>
      </c>
      <c r="M234" s="4" t="str">
        <f>IFERROR(__xludf.DUMMYFUNCTION("""COMPUTED_VALUE"""),"N/A (Not found)")</f>
        <v>N/A (Not found)</v>
      </c>
      <c r="N234" s="33">
        <f>IFERROR(__xludf.DUMMYFUNCTION("""COMPUTED_VALUE"""),0.9696969696969697)</f>
        <v>0.9696969697</v>
      </c>
      <c r="O234" s="4" t="str">
        <f>IFERROR(__xludf.DUMMYFUNCTION("""COMPUTED_VALUE"""),"N/A (Not found)")</f>
        <v>N/A (Not found)</v>
      </c>
      <c r="P234" s="33">
        <f>IFERROR(__xludf.DUMMYFUNCTION("""COMPUTED_VALUE"""),0.9696969696969697)</f>
        <v>0.9696969697</v>
      </c>
      <c r="Q234" s="4" t="str">
        <f>IFERROR(__xludf.DUMMYFUNCTION("""COMPUTED_VALUE"""),"N/A (Not found)")</f>
        <v>N/A (Not found)</v>
      </c>
      <c r="R234" s="33">
        <f>IFERROR(__xludf.DUMMYFUNCTION("""COMPUTED_VALUE"""),0.9696969696969697)</f>
        <v>0.9696969697</v>
      </c>
      <c r="S234" s="4" t="str">
        <f>IFERROR(__xludf.DUMMYFUNCTION("""COMPUTED_VALUE"""),"N/A (Not found)")</f>
        <v>N/A (Not found)</v>
      </c>
      <c r="T234" s="33">
        <f>IFERROR(__xludf.DUMMYFUNCTION("""COMPUTED_VALUE"""),0.9696969696969697)</f>
        <v>0.9696969697</v>
      </c>
      <c r="U234" s="4" t="str">
        <f>IFERROR(__xludf.DUMMYFUNCTION("""COMPUTED_VALUE"""),"N/A (Not found)")</f>
        <v>N/A (Not found)</v>
      </c>
      <c r="V234" s="33">
        <f>IFERROR(__xludf.DUMMYFUNCTION("""COMPUTED_VALUE"""),0.9696969696969697)</f>
        <v>0.9696969697</v>
      </c>
      <c r="W234" s="4" t="str">
        <f>IFERROR(__xludf.DUMMYFUNCTION("""COMPUTED_VALUE"""),"N/A (Not found)")</f>
        <v>N/A (Not found)</v>
      </c>
      <c r="X234" s="33">
        <f>IFERROR(__xludf.DUMMYFUNCTION("""COMPUTED_VALUE"""),1.0)</f>
        <v>1</v>
      </c>
    </row>
    <row r="235">
      <c r="A235" s="4" t="str">
        <f>IFERROR(__xludf.DUMMYFUNCTION("""COMPUTED_VALUE"""),"Bibi Sucos")</f>
        <v>Bibi Sucos</v>
      </c>
      <c r="B235" s="4">
        <f>IFERROR(__xludf.DUMMYFUNCTION("""COMPUTED_VALUE"""),7.0)</f>
        <v>7</v>
      </c>
      <c r="C235" s="30">
        <f>IFERROR(__xludf.DUMMYFUNCTION("""COMPUTED_VALUE"""),65.0)</f>
        <v>65</v>
      </c>
      <c r="D235" s="4" t="str">
        <f>IFERROR(__xludf.DUMMYFUNCTION("""COMPUTED_VALUE"""),"Fast Casual - Multi-conceito")</f>
        <v>Fast Casual - Multi-conceito</v>
      </c>
      <c r="E235" s="4" t="str">
        <f>IFERROR(__xludf.DUMMYFUNCTION("""COMPUTED_VALUE"""),"Belo Horizonte/MG")</f>
        <v>Belo Horizonte/MG</v>
      </c>
      <c r="F235" s="4" t="str">
        <f>IFERROR(__xludf.DUMMYFUNCTION("""COMPUTED_VALUE"""),"Dado não disponível publicamente - Necessário Discovery")</f>
        <v>Dado não disponível publicamente - Necessário Discovery</v>
      </c>
      <c r="G235" s="4">
        <f>IFERROR(__xludf.DUMMYFUNCTION("""COMPUTED_VALUE"""),70.0)</f>
        <v>70</v>
      </c>
      <c r="H235" s="31">
        <f>IFERROR(__xludf.DUMMYFUNCTION("""COMPUTED_VALUE"""),0.75)</f>
        <v>0.75</v>
      </c>
      <c r="I23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35" s="4" t="str">
        <f>IFERROR(__xludf.DUMMYFUNCTION("""COMPUTED_VALUE"""),"BRAVA SUSHI - CONTA MARCA")</f>
        <v>BRAVA SUSHI - CONTA MARCA</v>
      </c>
      <c r="L235" s="32">
        <f>IFERROR(__xludf.DUMMYFUNCTION("""COMPUTED_VALUE"""),32.0)</f>
        <v>32</v>
      </c>
      <c r="M235" s="4" t="str">
        <f>IFERROR(__xludf.DUMMYFUNCTION("""COMPUTED_VALUE"""),"Saipos Serviços De Software")</f>
        <v>Saipos Serviços De Software</v>
      </c>
      <c r="N235" s="33">
        <f>IFERROR(__xludf.DUMMYFUNCTION("""COMPUTED_VALUE"""),0.75)</f>
        <v>0.75</v>
      </c>
      <c r="O235" s="4" t="str">
        <f>IFERROR(__xludf.DUMMYFUNCTION("""COMPUTED_VALUE"""),"Saipos Serviços De Software")</f>
        <v>Saipos Serviços De Software</v>
      </c>
      <c r="P235" s="33">
        <f>IFERROR(__xludf.DUMMYFUNCTION("""COMPUTED_VALUE"""),0.75)</f>
        <v>0.75</v>
      </c>
      <c r="Q235" s="4" t="str">
        <f>IFERROR(__xludf.DUMMYFUNCTION("""COMPUTED_VALUE"""),"Saipos Serviços De Software")</f>
        <v>Saipos Serviços De Software</v>
      </c>
      <c r="R235" s="33">
        <f>IFERROR(__xludf.DUMMYFUNCTION("""COMPUTED_VALUE"""),0.75)</f>
        <v>0.75</v>
      </c>
      <c r="S235" s="4" t="str">
        <f>IFERROR(__xludf.DUMMYFUNCTION("""COMPUTED_VALUE"""),"Saipos Serviços De Software")</f>
        <v>Saipos Serviços De Software</v>
      </c>
      <c r="T235" s="33">
        <f>IFERROR(__xludf.DUMMYFUNCTION("""COMPUTED_VALUE"""),0.75)</f>
        <v>0.75</v>
      </c>
      <c r="U235" s="4" t="str">
        <f>IFERROR(__xludf.DUMMYFUNCTION("""COMPUTED_VALUE"""),"Saipos Serviços De Software")</f>
        <v>Saipos Serviços De Software</v>
      </c>
      <c r="V235" s="33">
        <f>IFERROR(__xludf.DUMMYFUNCTION("""COMPUTED_VALUE"""),0.75)</f>
        <v>0.75</v>
      </c>
      <c r="W235" s="4" t="str">
        <f>IFERROR(__xludf.DUMMYFUNCTION("""COMPUTED_VALUE"""),"Saipos Serviços De Software")</f>
        <v>Saipos Serviços De Software</v>
      </c>
      <c r="X235" s="33">
        <f>IFERROR(__xludf.DUMMYFUNCTION("""COMPUTED_VALUE"""),0.75)</f>
        <v>0.75</v>
      </c>
    </row>
    <row r="236">
      <c r="A236" s="4" t="str">
        <f>IFERROR(__xludf.DUMMYFUNCTION("""COMPUTED_VALUE"""),"Big X Picanha")</f>
        <v>Big X Picanha</v>
      </c>
      <c r="B236" s="4">
        <f>IFERROR(__xludf.DUMMYFUNCTION("""COMPUTED_VALUE"""),6.0)</f>
        <v>6</v>
      </c>
      <c r="C236" s="30">
        <f>IFERROR(__xludf.DUMMYFUNCTION("""COMPUTED_VALUE"""),72.0)</f>
        <v>72</v>
      </c>
      <c r="D236" s="4" t="str">
        <f>IFERROR(__xludf.DUMMYFUNCTION("""COMPUTED_VALUE"""),"Fast Casual - Multi-conceito")</f>
        <v>Fast Casual - Multi-conceito</v>
      </c>
      <c r="E236" s="4" t="str">
        <f>IFERROR(__xludf.DUMMYFUNCTION("""COMPUTED_VALUE"""),"Belo Horizonte/MG")</f>
        <v>Belo Horizonte/MG</v>
      </c>
      <c r="F236" s="4" t="str">
        <f>IFERROR(__xludf.DUMMYFUNCTION("""COMPUTED_VALUE"""),"Dado não disponível publicamente - Necessário Discovery")</f>
        <v>Dado não disponível publicamente - Necessário Discovery</v>
      </c>
      <c r="G236" s="4">
        <f>IFERROR(__xludf.DUMMYFUNCTION("""COMPUTED_VALUE"""),70.0)</f>
        <v>70</v>
      </c>
      <c r="H236" s="31">
        <f>IFERROR(__xludf.DUMMYFUNCTION("""COMPUTED_VALUE"""),0.75)</f>
        <v>0.75</v>
      </c>
      <c r="I23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36" s="4" t="str">
        <f>IFERROR(__xludf.DUMMYFUNCTION("""COMPUTED_VALUE"""),"GRUPO EATOPIA")</f>
        <v>GRUPO EATOPIA</v>
      </c>
      <c r="L236" s="32">
        <f>IFERROR(__xludf.DUMMYFUNCTION("""COMPUTED_VALUE"""),32.0)</f>
        <v>32</v>
      </c>
      <c r="M236" s="4" t="str">
        <f>IFERROR(__xludf.DUMMYFUNCTION("""COMPUTED_VALUE"""),"E-deploy Retail")</f>
        <v>E-deploy Retail</v>
      </c>
      <c r="N236" s="33">
        <f>IFERROR(__xludf.DUMMYFUNCTION("""COMPUTED_VALUE"""),0.84375)</f>
        <v>0.84375</v>
      </c>
      <c r="O236" s="4" t="str">
        <f>IFERROR(__xludf.DUMMYFUNCTION("""COMPUTED_VALUE"""),"E-deploy Retail")</f>
        <v>E-deploy Retail</v>
      </c>
      <c r="P236" s="33">
        <f>IFERROR(__xludf.DUMMYFUNCTION("""COMPUTED_VALUE"""),0.8125)</f>
        <v>0.8125</v>
      </c>
      <c r="Q236" s="4" t="str">
        <f>IFERROR(__xludf.DUMMYFUNCTION("""COMPUTED_VALUE"""),"E-deploy Retail")</f>
        <v>E-deploy Retail</v>
      </c>
      <c r="R236" s="33">
        <f>IFERROR(__xludf.DUMMYFUNCTION("""COMPUTED_VALUE"""),0.84375)</f>
        <v>0.84375</v>
      </c>
      <c r="S236" s="4" t="str">
        <f>IFERROR(__xludf.DUMMYFUNCTION("""COMPUTED_VALUE"""),"E-deploy Retail")</f>
        <v>E-deploy Retail</v>
      </c>
      <c r="T236" s="33">
        <f>IFERROR(__xludf.DUMMYFUNCTION("""COMPUTED_VALUE"""),0.71875)</f>
        <v>0.71875</v>
      </c>
      <c r="U236" s="4" t="str">
        <f>IFERROR(__xludf.DUMMYFUNCTION("""COMPUTED_VALUE"""),"E-deploy Retail")</f>
        <v>E-deploy Retail</v>
      </c>
      <c r="V236" s="33">
        <f>IFERROR(__xludf.DUMMYFUNCTION("""COMPUTED_VALUE"""),0.625)</f>
        <v>0.625</v>
      </c>
      <c r="W236" s="4" t="str">
        <f>IFERROR(__xludf.DUMMYFUNCTION("""COMPUTED_VALUE"""),"E-deploy Retail")</f>
        <v>E-deploy Retail</v>
      </c>
      <c r="X236" s="33">
        <f>IFERROR(__xludf.DUMMYFUNCTION("""COMPUTED_VALUE"""),0.9375)</f>
        <v>0.9375</v>
      </c>
    </row>
    <row r="237">
      <c r="A237" s="4" t="str">
        <f>IFERROR(__xludf.DUMMYFUNCTION("""COMPUTED_VALUE"""),"Black Dog")</f>
        <v>Black Dog</v>
      </c>
      <c r="B237" s="4">
        <f>IFERROR(__xludf.DUMMYFUNCTION("""COMPUTED_VALUE"""),3.0)</f>
        <v>3</v>
      </c>
      <c r="C237" s="30">
        <f>IFERROR(__xludf.DUMMYFUNCTION("""COMPUTED_VALUE"""),31.0)</f>
        <v>31</v>
      </c>
      <c r="D237" s="4" t="str">
        <f>IFERROR(__xludf.DUMMYFUNCTION("""COMPUTED_VALUE"""),"QSR - Hot Dog")</f>
        <v>QSR - Hot Dog</v>
      </c>
      <c r="E237" s="4" t="str">
        <f>IFERROR(__xludf.DUMMYFUNCTION("""COMPUTED_VALUE"""),"Interior SP")</f>
        <v>Interior SP</v>
      </c>
      <c r="F237" s="4" t="str">
        <f>IFERROR(__xludf.DUMMYFUNCTION("""COMPUTED_VALUE"""),"Dado não disponível publicamente - Necessário Discovery")</f>
        <v>Dado não disponível publicamente - Necessário Discovery</v>
      </c>
      <c r="G237" s="4">
        <f>IFERROR(__xludf.DUMMYFUNCTION("""COMPUTED_VALUE"""),65.0)</f>
        <v>65</v>
      </c>
      <c r="H237" s="31">
        <f>IFERROR(__xludf.DUMMYFUNCTION("""COMPUTED_VALUE"""),0.85)</f>
        <v>0.85</v>
      </c>
      <c r="I237"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237" s="4" t="str">
        <f>IFERROR(__xludf.DUMMYFUNCTION("""COMPUTED_VALUE"""),"FARMACIAS INDEPENDENTE - CONTA PAI")</f>
        <v>FARMACIAS INDEPENDENTE - CONTA PAI</v>
      </c>
      <c r="L237" s="32">
        <f>IFERROR(__xludf.DUMMYFUNCTION("""COMPUTED_VALUE"""),32.0)</f>
        <v>32</v>
      </c>
      <c r="M237" s="4" t="str">
        <f>IFERROR(__xludf.DUMMYFUNCTION("""COMPUTED_VALUE"""),"N/A (Not found)")</f>
        <v>N/A (Not found)</v>
      </c>
      <c r="N237" s="33">
        <f>IFERROR(__xludf.DUMMYFUNCTION("""COMPUTED_VALUE"""),1.0)</f>
        <v>1</v>
      </c>
      <c r="O237" s="4" t="str">
        <f>IFERROR(__xludf.DUMMYFUNCTION("""COMPUTED_VALUE"""),"N/A (Not found)")</f>
        <v>N/A (Not found)</v>
      </c>
      <c r="P237" s="33">
        <f>IFERROR(__xludf.DUMMYFUNCTION("""COMPUTED_VALUE"""),1.0)</f>
        <v>1</v>
      </c>
      <c r="Q237" s="4" t="str">
        <f>IFERROR(__xludf.DUMMYFUNCTION("""COMPUTED_VALUE"""),"N/A (Not found)")</f>
        <v>N/A (Not found)</v>
      </c>
      <c r="R237" s="33">
        <f>IFERROR(__xludf.DUMMYFUNCTION("""COMPUTED_VALUE"""),0.9375)</f>
        <v>0.9375</v>
      </c>
      <c r="S237" s="4" t="str">
        <f>IFERROR(__xludf.DUMMYFUNCTION("""COMPUTED_VALUE"""),"N/A (Not found)")</f>
        <v>N/A (Not found)</v>
      </c>
      <c r="T237" s="33">
        <f>IFERROR(__xludf.DUMMYFUNCTION("""COMPUTED_VALUE"""),0.90625)</f>
        <v>0.90625</v>
      </c>
      <c r="U237" s="4" t="str">
        <f>IFERROR(__xludf.DUMMYFUNCTION("""COMPUTED_VALUE"""),"N/A (Not found)")</f>
        <v>N/A (Not found)</v>
      </c>
      <c r="V237" s="33">
        <f>IFERROR(__xludf.DUMMYFUNCTION("""COMPUTED_VALUE"""),0.9375)</f>
        <v>0.9375</v>
      </c>
      <c r="W237" s="4" t="str">
        <f>IFERROR(__xludf.DUMMYFUNCTION("""COMPUTED_VALUE"""),"N/A (Not found)")</f>
        <v>N/A (Not found)</v>
      </c>
      <c r="X237" s="33">
        <f>IFERROR(__xludf.DUMMYFUNCTION("""COMPUTED_VALUE"""),0.9375)</f>
        <v>0.9375</v>
      </c>
    </row>
    <row r="238">
      <c r="A238" s="4" t="str">
        <f>IFERROR(__xludf.DUMMYFUNCTION("""COMPUTED_VALUE"""),"Boali (Grupo Boali)")</f>
        <v>Boali (Grupo Boali)</v>
      </c>
      <c r="B238" s="4">
        <f>IFERROR(__xludf.DUMMYFUNCTION("""COMPUTED_VALUE"""),7.0)</f>
        <v>7</v>
      </c>
      <c r="C238" s="30">
        <f>IFERROR(__xludf.DUMMYFUNCTION("""COMPUTED_VALUE"""),77.0)</f>
        <v>77</v>
      </c>
      <c r="D238" s="4" t="str">
        <f>IFERROR(__xludf.DUMMYFUNCTION("""COMPUTED_VALUE"""),"Grupo Multi-marca")</f>
        <v>Grupo Multi-marca</v>
      </c>
      <c r="E238" s="4" t="str">
        <f>IFERROR(__xludf.DUMMYFUNCTION("""COMPUTED_VALUE"""),"Nacional")</f>
        <v>Nacional</v>
      </c>
      <c r="F238" s="4" t="str">
        <f>IFERROR(__xludf.DUMMYFUNCTION("""COMPUTED_VALUE"""),"Dado não disponível publicamente - Necessário Discovery")</f>
        <v>Dado não disponível publicamente - Necessário Discovery</v>
      </c>
      <c r="G238" s="4">
        <f>IFERROR(__xludf.DUMMYFUNCTION("""COMPUTED_VALUE"""),40.0)</f>
        <v>40</v>
      </c>
      <c r="H238" s="31">
        <f>IFERROR(__xludf.DUMMYFUNCTION("""COMPUTED_VALUE"""),0.5)</f>
        <v>0.5</v>
      </c>
      <c r="I238"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238" s="4" t="str">
        <f>IFERROR(__xludf.DUMMYFUNCTION("""COMPUTED_VALUE"""),"LECADO")</f>
        <v>LECADO</v>
      </c>
      <c r="L238" s="32">
        <f>IFERROR(__xludf.DUMMYFUNCTION("""COMPUTED_VALUE"""),32.0)</f>
        <v>32</v>
      </c>
      <c r="M238" s="4" t="str">
        <f>IFERROR(__xludf.DUMMYFUNCTION("""COMPUTED_VALUE"""),"Smartfull Sistemas Ltda")</f>
        <v>Smartfull Sistemas Ltda</v>
      </c>
      <c r="N238" s="33">
        <f>IFERROR(__xludf.DUMMYFUNCTION("""COMPUTED_VALUE"""),0.875)</f>
        <v>0.875</v>
      </c>
      <c r="O238" s="4" t="str">
        <f>IFERROR(__xludf.DUMMYFUNCTION("""COMPUTED_VALUE"""),"Smartfull Sistemas Ltda")</f>
        <v>Smartfull Sistemas Ltda</v>
      </c>
      <c r="P238" s="33">
        <f>IFERROR(__xludf.DUMMYFUNCTION("""COMPUTED_VALUE"""),0.875)</f>
        <v>0.875</v>
      </c>
      <c r="Q238" s="4" t="str">
        <f>IFERROR(__xludf.DUMMYFUNCTION("""COMPUTED_VALUE"""),"Smartfull Sistemas Ltda")</f>
        <v>Smartfull Sistemas Ltda</v>
      </c>
      <c r="R238" s="33">
        <f>IFERROR(__xludf.DUMMYFUNCTION("""COMPUTED_VALUE"""),0.84375)</f>
        <v>0.84375</v>
      </c>
      <c r="S238" s="4" t="str">
        <f>IFERROR(__xludf.DUMMYFUNCTION("""COMPUTED_VALUE"""),"Smartfull Sistemas Ltda")</f>
        <v>Smartfull Sistemas Ltda</v>
      </c>
      <c r="T238" s="33">
        <f>IFERROR(__xludf.DUMMYFUNCTION("""COMPUTED_VALUE"""),0.90625)</f>
        <v>0.90625</v>
      </c>
      <c r="U238" s="4" t="str">
        <f>IFERROR(__xludf.DUMMYFUNCTION("""COMPUTED_VALUE"""),"Smartfull Sistemas Ltda")</f>
        <v>Smartfull Sistemas Ltda</v>
      </c>
      <c r="V238" s="33">
        <f>IFERROR(__xludf.DUMMYFUNCTION("""COMPUTED_VALUE"""),0.90625)</f>
        <v>0.90625</v>
      </c>
      <c r="W238" s="4" t="str">
        <f>IFERROR(__xludf.DUMMYFUNCTION("""COMPUTED_VALUE"""),"Smartfull Sistemas Ltda")</f>
        <v>Smartfull Sistemas Ltda</v>
      </c>
      <c r="X238" s="33">
        <f>IFERROR(__xludf.DUMMYFUNCTION("""COMPUTED_VALUE"""),0.90625)</f>
        <v>0.90625</v>
      </c>
    </row>
    <row r="239">
      <c r="A239" s="4" t="str">
        <f>IFERROR(__xludf.DUMMYFUNCTION("""COMPUTED_VALUE"""),"Bob Esponja (Nickelodeon)")</f>
        <v>Bob Esponja (Nickelodeon)</v>
      </c>
      <c r="B239" s="4">
        <f>IFERROR(__xludf.DUMMYFUNCTION("""COMPUTED_VALUE"""),7.0)</f>
        <v>7</v>
      </c>
      <c r="C239" s="30">
        <f>IFERROR(__xludf.DUMMYFUNCTION("""COMPUTED_VALUE"""),56.0)</f>
        <v>56</v>
      </c>
      <c r="D239" s="4" t="str">
        <f>IFERROR(__xludf.DUMMYFUNCTION("""COMPUTED_VALUE"""),"Fast Casual - Multi-conceito")</f>
        <v>Fast Casual - Multi-conceito</v>
      </c>
      <c r="E239" s="4" t="str">
        <f>IFERROR(__xludf.DUMMYFUNCTION("""COMPUTED_VALUE"""),"Interior SP")</f>
        <v>Interior SP</v>
      </c>
      <c r="F239" s="4" t="str">
        <f>IFERROR(__xludf.DUMMYFUNCTION("""COMPUTED_VALUE"""),"Dado não disponível publicamente - Necessário Discovery")</f>
        <v>Dado não disponível publicamente - Necessário Discovery</v>
      </c>
      <c r="G239" s="4">
        <f>IFERROR(__xludf.DUMMYFUNCTION("""COMPUTED_VALUE"""),70.0)</f>
        <v>70</v>
      </c>
      <c r="H239" s="31">
        <f>IFERROR(__xludf.DUMMYFUNCTION("""COMPUTED_VALUE"""),0.75)</f>
        <v>0.75</v>
      </c>
      <c r="I23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39" s="4" t="str">
        <f>IFERROR(__xludf.DUMMYFUNCTION("""COMPUTED_VALUE"""),"LOPES SUPERMERCADOS - CONTA GRUPO")</f>
        <v>LOPES SUPERMERCADOS - CONTA GRUPO</v>
      </c>
      <c r="L239" s="32">
        <f>IFERROR(__xludf.DUMMYFUNCTION("""COMPUTED_VALUE"""),32.0)</f>
        <v>32</v>
      </c>
      <c r="M239" s="4" t="str">
        <f>IFERROR(__xludf.DUMMYFUNCTION("""COMPUTED_VALUE"""),"N/A (Not found)")</f>
        <v>N/A (Not found)</v>
      </c>
      <c r="N239" s="33">
        <f>IFERROR(__xludf.DUMMYFUNCTION("""COMPUTED_VALUE"""),1.0)</f>
        <v>1</v>
      </c>
      <c r="O239" s="4" t="str">
        <f>IFERROR(__xludf.DUMMYFUNCTION("""COMPUTED_VALUE"""),"N/A (Not found)")</f>
        <v>N/A (Not found)</v>
      </c>
      <c r="P239" s="33">
        <f>IFERROR(__xludf.DUMMYFUNCTION("""COMPUTED_VALUE"""),1.0)</f>
        <v>1</v>
      </c>
      <c r="Q239" s="4" t="str">
        <f>IFERROR(__xludf.DUMMYFUNCTION("""COMPUTED_VALUE"""),"N/A (Not found)")</f>
        <v>N/A (Not found)</v>
      </c>
      <c r="R239" s="33">
        <f>IFERROR(__xludf.DUMMYFUNCTION("""COMPUTED_VALUE"""),1.0)</f>
        <v>1</v>
      </c>
      <c r="S239" s="4" t="str">
        <f>IFERROR(__xludf.DUMMYFUNCTION("""COMPUTED_VALUE"""),"N/A (Not found)")</f>
        <v>N/A (Not found)</v>
      </c>
      <c r="T239" s="33">
        <f>IFERROR(__xludf.DUMMYFUNCTION("""COMPUTED_VALUE"""),1.0)</f>
        <v>1</v>
      </c>
      <c r="U239" s="4" t="str">
        <f>IFERROR(__xludf.DUMMYFUNCTION("""COMPUTED_VALUE"""),"N/A (Not found)")</f>
        <v>N/A (Not found)</v>
      </c>
      <c r="V239" s="33">
        <f>IFERROR(__xludf.DUMMYFUNCTION("""COMPUTED_VALUE"""),1.0)</f>
        <v>1</v>
      </c>
      <c r="W239" s="4" t="str">
        <f>IFERROR(__xludf.DUMMYFUNCTION("""COMPUTED_VALUE"""),"N/A (Not found)")</f>
        <v>N/A (Not found)</v>
      </c>
      <c r="X239" s="33">
        <f>IFERROR(__xludf.DUMMYFUNCTION("""COMPUTED_VALUE"""),1.0)</f>
        <v>1</v>
      </c>
    </row>
    <row r="240">
      <c r="A240" s="4" t="str">
        <f>IFERROR(__xludf.DUMMYFUNCTION("""COMPUTED_VALUE"""),"Bob'S (Bffc)")</f>
        <v>Bob'S (Bffc)</v>
      </c>
      <c r="B240" s="4">
        <f>IFERROR(__xludf.DUMMYFUNCTION("""COMPUTED_VALUE"""),650.0)</f>
        <v>650</v>
      </c>
      <c r="C240" s="30">
        <f>IFERROR(__xludf.DUMMYFUNCTION("""COMPUTED_VALUE"""),38.0)</f>
        <v>38</v>
      </c>
      <c r="D240" s="4" t="str">
        <f>IFERROR(__xludf.DUMMYFUNCTION("""COMPUTED_VALUE"""),"QSR - Fast Food")</f>
        <v>QSR - Fast Food</v>
      </c>
      <c r="E240" s="4" t="str">
        <f>IFERROR(__xludf.DUMMYFUNCTION("""COMPUTED_VALUE"""),"Nacional")</f>
        <v>Nacional</v>
      </c>
      <c r="F240" s="4" t="str">
        <f>IFERROR(__xludf.DUMMYFUNCTION("""COMPUTED_VALUE"""),"R$ 1,5 bilhão (2024)")</f>
        <v>R$ 1,5 bilhão (2024)</v>
      </c>
      <c r="G240" s="4">
        <f>IFERROR(__xludf.DUMMYFUNCTION("""COMPUTED_VALUE"""),100.0)</f>
        <v>100</v>
      </c>
      <c r="H240" s="31">
        <f>IFERROR(__xludf.DUMMYFUNCTION("""COMPUTED_VALUE"""),0.98)</f>
        <v>0.98</v>
      </c>
      <c r="I240" s="4" t="str">
        <f>IFERROR(__xludf.DUMMYFUNCTION("""COMPUTED_VALUE"""),"Alta aderência ao 3S: Sistema Bob's. 3S oferece Kiosk nativo, Hub Delivery integrado e gestão centralizada multi-loja - diferenciais competitivos para expansão e redução de filas.")</f>
        <v>Alta aderência ao 3S: Sistema Bob's. 3S oferece Kiosk nativo, Hub Delivery integrado e gestão centralizada multi-loja - diferenciais competitivos para expansão e redução de filas.</v>
      </c>
      <c r="K240" s="4" t="str">
        <f>IFERROR(__xludf.DUMMYFUNCTION("""COMPUTED_VALUE"""),"MATSUYA")</f>
        <v>MATSUYA</v>
      </c>
      <c r="L240" s="32">
        <f>IFERROR(__xludf.DUMMYFUNCTION("""COMPUTED_VALUE"""),32.0)</f>
        <v>32</v>
      </c>
      <c r="M240" s="4" t="str">
        <f>IFERROR(__xludf.DUMMYFUNCTION("""COMPUTED_VALUE"""),"Eclética Tecnologia")</f>
        <v>Eclética Tecnologia</v>
      </c>
      <c r="N240" s="33">
        <f>IFERROR(__xludf.DUMMYFUNCTION("""COMPUTED_VALUE"""),0.625)</f>
        <v>0.625</v>
      </c>
      <c r="O240" s="4" t="str">
        <f>IFERROR(__xludf.DUMMYFUNCTION("""COMPUTED_VALUE"""),"null")</f>
        <v>null</v>
      </c>
      <c r="P240" s="33">
        <f>IFERROR(__xludf.DUMMYFUNCTION("""COMPUTED_VALUE"""),0.46875)</f>
        <v>0.46875</v>
      </c>
      <c r="Q240" s="4" t="str">
        <f>IFERROR(__xludf.DUMMYFUNCTION("""COMPUTED_VALUE"""),"null")</f>
        <v>null</v>
      </c>
      <c r="R240" s="33">
        <f>IFERROR(__xludf.DUMMYFUNCTION("""COMPUTED_VALUE"""),0.34375)</f>
        <v>0.34375</v>
      </c>
      <c r="S240" s="4" t="str">
        <f>IFERROR(__xludf.DUMMYFUNCTION("""COMPUTED_VALUE"""),"Eclética Tecnologia")</f>
        <v>Eclética Tecnologia</v>
      </c>
      <c r="T240" s="33">
        <f>IFERROR(__xludf.DUMMYFUNCTION("""COMPUTED_VALUE"""),0.34375)</f>
        <v>0.34375</v>
      </c>
      <c r="U240" s="4" t="str">
        <f>IFERROR(__xludf.DUMMYFUNCTION("""COMPUTED_VALUE"""),"null")</f>
        <v>null</v>
      </c>
      <c r="V240" s="33">
        <f>IFERROR(__xludf.DUMMYFUNCTION("""COMPUTED_VALUE"""),0.4375)</f>
        <v>0.4375</v>
      </c>
      <c r="W240" s="4" t="str">
        <f>IFERROR(__xludf.DUMMYFUNCTION("""COMPUTED_VALUE"""),"null")</f>
        <v>null</v>
      </c>
      <c r="X240" s="33">
        <f>IFERROR(__xludf.DUMMYFUNCTION("""COMPUTED_VALUE"""),0.40625)</f>
        <v>0.40625</v>
      </c>
    </row>
    <row r="241">
      <c r="A241" s="4" t="str">
        <f>IFERROR(__xludf.DUMMYFUNCTION("""COMPUTED_VALUE"""),"Bocattino Box")</f>
        <v>Bocattino Box</v>
      </c>
      <c r="B241" s="4">
        <f>IFERROR(__xludf.DUMMYFUNCTION("""COMPUTED_VALUE"""),6.0)</f>
        <v>6</v>
      </c>
      <c r="C241" s="30">
        <f>IFERROR(__xludf.DUMMYFUNCTION("""COMPUTED_VALUE"""),62.0)</f>
        <v>62</v>
      </c>
      <c r="D241" s="4" t="str">
        <f>IFERROR(__xludf.DUMMYFUNCTION("""COMPUTED_VALUE"""),"Fast Casual - Multi-conceito")</f>
        <v>Fast Casual - Multi-conceito</v>
      </c>
      <c r="E241" s="4" t="str">
        <f>IFERROR(__xludf.DUMMYFUNCTION("""COMPUTED_VALUE"""),"Rio de Janeiro/RJ")</f>
        <v>Rio de Janeiro/RJ</v>
      </c>
      <c r="F241" s="4" t="str">
        <f>IFERROR(__xludf.DUMMYFUNCTION("""COMPUTED_VALUE"""),"Dado não disponível publicamente - Necessário Discovery")</f>
        <v>Dado não disponível publicamente - Necessário Discovery</v>
      </c>
      <c r="G241" s="4">
        <f>IFERROR(__xludf.DUMMYFUNCTION("""COMPUTED_VALUE"""),70.0)</f>
        <v>70</v>
      </c>
      <c r="H241" s="31">
        <f>IFERROR(__xludf.DUMMYFUNCTION("""COMPUTED_VALUE"""),0.75)</f>
        <v>0.75</v>
      </c>
      <c r="I24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41" s="4" t="str">
        <f>IFERROR(__xludf.DUMMYFUNCTION("""COMPUTED_VALUE"""),"GRUPO PAZZA")</f>
        <v>GRUPO PAZZA</v>
      </c>
      <c r="L241" s="32">
        <f>IFERROR(__xludf.DUMMYFUNCTION("""COMPUTED_VALUE"""),32.0)</f>
        <v>32</v>
      </c>
      <c r="M241" s="4" t="str">
        <f>IFERROR(__xludf.DUMMYFUNCTION("""COMPUTED_VALUE"""),"Totvs Large Enterprise Tecnologia S.a.")</f>
        <v>Totvs Large Enterprise Tecnologia S.a.</v>
      </c>
      <c r="N241" s="33">
        <f>IFERROR(__xludf.DUMMYFUNCTION("""COMPUTED_VALUE"""),0.71875)</f>
        <v>0.71875</v>
      </c>
      <c r="O241" s="4" t="str">
        <f>IFERROR(__xludf.DUMMYFUNCTION("""COMPUTED_VALUE"""),"Totvs Large Enterprise Tecnologia S.a.")</f>
        <v>Totvs Large Enterprise Tecnologia S.a.</v>
      </c>
      <c r="P241" s="33">
        <f>IFERROR(__xludf.DUMMYFUNCTION("""COMPUTED_VALUE"""),1.0)</f>
        <v>1</v>
      </c>
      <c r="Q241" s="4" t="str">
        <f>IFERROR(__xludf.DUMMYFUNCTION("""COMPUTED_VALUE"""),"Totvs Large Enterprise Tecnologia S.a.")</f>
        <v>Totvs Large Enterprise Tecnologia S.a.</v>
      </c>
      <c r="R241" s="33">
        <f>IFERROR(__xludf.DUMMYFUNCTION("""COMPUTED_VALUE"""),0.875)</f>
        <v>0.875</v>
      </c>
      <c r="S241" s="4" t="str">
        <f>IFERROR(__xludf.DUMMYFUNCTION("""COMPUTED_VALUE"""),"Totvs Large Enterprise Tecnologia S.a.")</f>
        <v>Totvs Large Enterprise Tecnologia S.a.</v>
      </c>
      <c r="T241" s="33">
        <f>IFERROR(__xludf.DUMMYFUNCTION("""COMPUTED_VALUE"""),0.78125)</f>
        <v>0.78125</v>
      </c>
      <c r="U241" s="4" t="str">
        <f>IFERROR(__xludf.DUMMYFUNCTION("""COMPUTED_VALUE"""),"Totvs Large Enterprise Tecnologia S.a.")</f>
        <v>Totvs Large Enterprise Tecnologia S.a.</v>
      </c>
      <c r="V241" s="33">
        <f>IFERROR(__xludf.DUMMYFUNCTION("""COMPUTED_VALUE"""),0.8125)</f>
        <v>0.8125</v>
      </c>
      <c r="W241" s="4" t="str">
        <f>IFERROR(__xludf.DUMMYFUNCTION("""COMPUTED_VALUE"""),"Totvs Large Enterprise Tecnologia S.a.")</f>
        <v>Totvs Large Enterprise Tecnologia S.a.</v>
      </c>
      <c r="X241" s="33">
        <f>IFERROR(__xludf.DUMMYFUNCTION("""COMPUTED_VALUE"""),0.90625)</f>
        <v>0.90625</v>
      </c>
    </row>
    <row r="242">
      <c r="A242" s="4" t="str">
        <f>IFERROR(__xludf.DUMMYFUNCTION("""COMPUTED_VALUE"""),"Botanikafe (Grupo Botanikafe)")</f>
        <v>Botanikafe (Grupo Botanikafe)</v>
      </c>
      <c r="B242" s="4">
        <f>IFERROR(__xludf.DUMMYFUNCTION("""COMPUTED_VALUE"""),4.0)</f>
        <v>4</v>
      </c>
      <c r="C242" s="30">
        <f>IFERROR(__xludf.DUMMYFUNCTION("""COMPUTED_VALUE"""),65.0)</f>
        <v>65</v>
      </c>
      <c r="D242" s="4" t="str">
        <f>IFERROR(__xludf.DUMMYFUNCTION("""COMPUTED_VALUE"""),"Fast Casual - Brunch")</f>
        <v>Fast Casual - Brunch</v>
      </c>
      <c r="E242" s="4" t="str">
        <f>IFERROR(__xludf.DUMMYFUNCTION("""COMPUTED_VALUE"""),"São Paulo/SP")</f>
        <v>São Paulo/SP</v>
      </c>
      <c r="F242" s="4" t="str">
        <f>IFERROR(__xludf.DUMMYFUNCTION("""COMPUTED_VALUE"""),"Dado não disponível")</f>
        <v>Dado não disponível</v>
      </c>
      <c r="G242" s="4">
        <f>IFERROR(__xludf.DUMMYFUNCTION("""COMPUTED_VALUE"""),65.0)</f>
        <v>65</v>
      </c>
      <c r="H242" s="31">
        <f>IFERROR(__xludf.DUMMYFUNCTION("""COMPUTED_VALUE"""),0.75)</f>
        <v>0.75</v>
      </c>
      <c r="I242" s="4" t="str">
        <f>IFERROR(__xludf.DUMMYFUNCTION("""COMPUTED_VALUE"""),"Aderência forte ao 3S: PDV não identificado. 3S oferece PDV robusto, KDS integrado e mobilidade (3SGO) para gestão em tempo real - ideal para operações multi-canal.")</f>
        <v>Aderência forte ao 3S: PDV não identificado. 3S oferece PDV robusto, KDS integrado e mobilidade (3SGO) para gestão em tempo real - ideal para operações multi-canal.</v>
      </c>
      <c r="K242" s="4" t="str">
        <f>IFERROR(__xludf.DUMMYFUNCTION("""COMPUTED_VALUE"""),"SUKIYA")</f>
        <v>SUKIYA</v>
      </c>
      <c r="L242" s="32">
        <f>IFERROR(__xludf.DUMMYFUNCTION("""COMPUTED_VALUE"""),31.0)</f>
        <v>31</v>
      </c>
      <c r="M242" s="4" t="str">
        <f>IFERROR(__xludf.DUMMYFUNCTION("""COMPUTED_VALUE"""),"E-deploy Retail")</f>
        <v>E-deploy Retail</v>
      </c>
      <c r="N242" s="33">
        <f>IFERROR(__xludf.DUMMYFUNCTION("""COMPUTED_VALUE"""),1.0)</f>
        <v>1</v>
      </c>
      <c r="O242" s="4" t="str">
        <f>IFERROR(__xludf.DUMMYFUNCTION("""COMPUTED_VALUE"""),"E-deploy Retail")</f>
        <v>E-deploy Retail</v>
      </c>
      <c r="P242" s="33">
        <f>IFERROR(__xludf.DUMMYFUNCTION("""COMPUTED_VALUE"""),1.0)</f>
        <v>1</v>
      </c>
      <c r="Q242" s="4" t="str">
        <f>IFERROR(__xludf.DUMMYFUNCTION("""COMPUTED_VALUE"""),"E-deploy Retail")</f>
        <v>E-deploy Retail</v>
      </c>
      <c r="R242" s="33">
        <f>IFERROR(__xludf.DUMMYFUNCTION("""COMPUTED_VALUE"""),1.0)</f>
        <v>1</v>
      </c>
      <c r="S242" s="4" t="str">
        <f>IFERROR(__xludf.DUMMYFUNCTION("""COMPUTED_VALUE"""),"E-deploy Retail")</f>
        <v>E-deploy Retail</v>
      </c>
      <c r="T242" s="33">
        <f>IFERROR(__xludf.DUMMYFUNCTION("""COMPUTED_VALUE"""),1.0)</f>
        <v>1</v>
      </c>
      <c r="U242" s="4" t="str">
        <f>IFERROR(__xludf.DUMMYFUNCTION("""COMPUTED_VALUE"""),"E-deploy Retail")</f>
        <v>E-deploy Retail</v>
      </c>
      <c r="V242" s="33">
        <f>IFERROR(__xludf.DUMMYFUNCTION("""COMPUTED_VALUE"""),1.0)</f>
        <v>1</v>
      </c>
      <c r="W242" s="4" t="str">
        <f>IFERROR(__xludf.DUMMYFUNCTION("""COMPUTED_VALUE"""),"E-deploy Retail")</f>
        <v>E-deploy Retail</v>
      </c>
      <c r="X242" s="33">
        <f>IFERROR(__xludf.DUMMYFUNCTION("""COMPUTED_VALUE"""),1.0)</f>
        <v>1</v>
      </c>
    </row>
    <row r="243">
      <c r="A243" s="4" t="str">
        <f>IFERROR(__xludf.DUMMYFUNCTION("""COMPUTED_VALUE"""),"Boteco Curitiba")</f>
        <v>Boteco Curitiba</v>
      </c>
      <c r="B243" s="4">
        <f>IFERROR(__xludf.DUMMYFUNCTION("""COMPUTED_VALUE"""),8.0)</f>
        <v>8</v>
      </c>
      <c r="C243" s="30">
        <f>IFERROR(__xludf.DUMMYFUNCTION("""COMPUTED_VALUE"""),63.0)</f>
        <v>63</v>
      </c>
      <c r="D243" s="4" t="str">
        <f>IFERROR(__xludf.DUMMYFUNCTION("""COMPUTED_VALUE"""),"Fast Casual - Multi-conceito")</f>
        <v>Fast Casual - Multi-conceito</v>
      </c>
      <c r="E243" s="4" t="str">
        <f>IFERROR(__xludf.DUMMYFUNCTION("""COMPUTED_VALUE"""),"Regional")</f>
        <v>Regional</v>
      </c>
      <c r="F243" s="4" t="str">
        <f>IFERROR(__xludf.DUMMYFUNCTION("""COMPUTED_VALUE"""),"Dado não disponível publicamente - Necessário Discovery")</f>
        <v>Dado não disponível publicamente - Necessário Discovery</v>
      </c>
      <c r="G243" s="4">
        <f>IFERROR(__xludf.DUMMYFUNCTION("""COMPUTED_VALUE"""),70.0)</f>
        <v>70</v>
      </c>
      <c r="H243" s="31">
        <f>IFERROR(__xludf.DUMMYFUNCTION("""COMPUTED_VALUE"""),0.75)</f>
        <v>0.75</v>
      </c>
      <c r="I24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43" s="4" t="str">
        <f>IFERROR(__xludf.DUMMYFUNCTION("""COMPUTED_VALUE"""),"BOM BEEF BURGERS")</f>
        <v>BOM BEEF BURGERS</v>
      </c>
      <c r="L243" s="32">
        <f>IFERROR(__xludf.DUMMYFUNCTION("""COMPUTED_VALUE"""),31.0)</f>
        <v>31</v>
      </c>
      <c r="M243" s="4" t="str">
        <f>IFERROR(__xludf.DUMMYFUNCTION("""COMPUTED_VALUE"""),"E-deploy Retail")</f>
        <v>E-deploy Retail</v>
      </c>
      <c r="N243" s="33">
        <f>IFERROR(__xludf.DUMMYFUNCTION("""COMPUTED_VALUE"""),0.9354838709677419)</f>
        <v>0.935483871</v>
      </c>
      <c r="O243" s="4" t="str">
        <f>IFERROR(__xludf.DUMMYFUNCTION("""COMPUTED_VALUE"""),"E-deploy Retail")</f>
        <v>E-deploy Retail</v>
      </c>
      <c r="P243" s="33">
        <f>IFERROR(__xludf.DUMMYFUNCTION("""COMPUTED_VALUE"""),0.9032258064516129)</f>
        <v>0.9032258065</v>
      </c>
      <c r="Q243" s="4" t="str">
        <f>IFERROR(__xludf.DUMMYFUNCTION("""COMPUTED_VALUE"""),"E-deploy Retail")</f>
        <v>E-deploy Retail</v>
      </c>
      <c r="R243" s="33">
        <f>IFERROR(__xludf.DUMMYFUNCTION("""COMPUTED_VALUE"""),0.8709677419354839)</f>
        <v>0.8709677419</v>
      </c>
      <c r="S243" s="4" t="str">
        <f>IFERROR(__xludf.DUMMYFUNCTION("""COMPUTED_VALUE"""),"E-deploy Retail")</f>
        <v>E-deploy Retail</v>
      </c>
      <c r="T243" s="33">
        <f>IFERROR(__xludf.DUMMYFUNCTION("""COMPUTED_VALUE"""),0.967741935483871)</f>
        <v>0.9677419355</v>
      </c>
      <c r="U243" s="4" t="str">
        <f>IFERROR(__xludf.DUMMYFUNCTION("""COMPUTED_VALUE"""),"E-deploy Retail")</f>
        <v>E-deploy Retail</v>
      </c>
      <c r="V243" s="33">
        <f>IFERROR(__xludf.DUMMYFUNCTION("""COMPUTED_VALUE"""),0.9354838709677419)</f>
        <v>0.935483871</v>
      </c>
      <c r="W243" s="4" t="str">
        <f>IFERROR(__xludf.DUMMYFUNCTION("""COMPUTED_VALUE"""),"E-deploy Retail")</f>
        <v>E-deploy Retail</v>
      </c>
      <c r="X243" s="33">
        <f>IFERROR(__xludf.DUMMYFUNCTION("""COMPUTED_VALUE"""),0.9032258064516129)</f>
        <v>0.9032258065</v>
      </c>
    </row>
    <row r="244">
      <c r="A244" s="4" t="str">
        <f>IFERROR(__xludf.DUMMYFUNCTION("""COMPUTED_VALUE"""),"Bottega Bernacca")</f>
        <v>Bottega Bernacca</v>
      </c>
      <c r="B244" s="4">
        <f>IFERROR(__xludf.DUMMYFUNCTION("""COMPUTED_VALUE"""),2.0)</f>
        <v>2</v>
      </c>
      <c r="C244" s="30">
        <f>IFERROR(__xludf.DUMMYFUNCTION("""COMPUTED_VALUE"""),58.0)</f>
        <v>58</v>
      </c>
      <c r="D244" s="4" t="str">
        <f>IFERROR(__xludf.DUMMYFUNCTION("""COMPUTED_VALUE"""),"Fast Casual - Multi-conceito")</f>
        <v>Fast Casual - Multi-conceito</v>
      </c>
      <c r="E244" s="4" t="str">
        <f>IFERROR(__xludf.DUMMYFUNCTION("""COMPUTED_VALUE"""),"Regional")</f>
        <v>Regional</v>
      </c>
      <c r="F244" s="4" t="str">
        <f>IFERROR(__xludf.DUMMYFUNCTION("""COMPUTED_VALUE"""),"Dado não disponível publicamente - Necessário Discovery")</f>
        <v>Dado não disponível publicamente - Necessário Discovery</v>
      </c>
      <c r="G244" s="4">
        <f>IFERROR(__xludf.DUMMYFUNCTION("""COMPUTED_VALUE"""),65.0)</f>
        <v>65</v>
      </c>
      <c r="H244" s="31">
        <f>IFERROR(__xludf.DUMMYFUNCTION("""COMPUTED_VALUE"""),0.75)</f>
        <v>0.75</v>
      </c>
      <c r="I24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44" s="4" t="str">
        <f>IFERROR(__xludf.DUMMYFUNCTION("""COMPUTED_VALUE"""),"CABANA")</f>
        <v>CABANA</v>
      </c>
      <c r="L244" s="32">
        <f>IFERROR(__xludf.DUMMYFUNCTION("""COMPUTED_VALUE"""),31.0)</f>
        <v>31</v>
      </c>
      <c r="M244" s="4" t="str">
        <f>IFERROR(__xludf.DUMMYFUNCTION("""COMPUTED_VALUE"""),"Cabana Burger Developer")</f>
        <v>Cabana Burger Developer</v>
      </c>
      <c r="N244" s="33">
        <f>IFERROR(__xludf.DUMMYFUNCTION("""COMPUTED_VALUE"""),0.7419354838709677)</f>
        <v>0.7419354839</v>
      </c>
      <c r="O244" s="4" t="str">
        <f>IFERROR(__xludf.DUMMYFUNCTION("""COMPUTED_VALUE"""),"Cabana Burger Developer")</f>
        <v>Cabana Burger Developer</v>
      </c>
      <c r="P244" s="33">
        <f>IFERROR(__xludf.DUMMYFUNCTION("""COMPUTED_VALUE"""),0.7741935483870968)</f>
        <v>0.7741935484</v>
      </c>
      <c r="Q244" s="4" t="str">
        <f>IFERROR(__xludf.DUMMYFUNCTION("""COMPUTED_VALUE"""),"Cabana Burger Developer")</f>
        <v>Cabana Burger Developer</v>
      </c>
      <c r="R244" s="33">
        <f>IFERROR(__xludf.DUMMYFUNCTION("""COMPUTED_VALUE"""),0.7741935483870968)</f>
        <v>0.7741935484</v>
      </c>
      <c r="S244" s="4" t="str">
        <f>IFERROR(__xludf.DUMMYFUNCTION("""COMPUTED_VALUE"""),"Cabana Burger Developer")</f>
        <v>Cabana Burger Developer</v>
      </c>
      <c r="T244" s="33">
        <f>IFERROR(__xludf.DUMMYFUNCTION("""COMPUTED_VALUE"""),0.8064516129032258)</f>
        <v>0.8064516129</v>
      </c>
      <c r="U244" s="4" t="str">
        <f>IFERROR(__xludf.DUMMYFUNCTION("""COMPUTED_VALUE"""),"Cabana Burger Developer")</f>
        <v>Cabana Burger Developer</v>
      </c>
      <c r="V244" s="33">
        <f>IFERROR(__xludf.DUMMYFUNCTION("""COMPUTED_VALUE"""),0.7096774193548387)</f>
        <v>0.7096774194</v>
      </c>
      <c r="W244" s="4" t="str">
        <f>IFERROR(__xludf.DUMMYFUNCTION("""COMPUTED_VALUE"""),"Cabana Burger Developer")</f>
        <v>Cabana Burger Developer</v>
      </c>
      <c r="X244" s="33">
        <f>IFERROR(__xludf.DUMMYFUNCTION("""COMPUTED_VALUE"""),0.967741935483871)</f>
        <v>0.9677419355</v>
      </c>
    </row>
    <row r="245">
      <c r="A245" s="4" t="str">
        <f>IFERROR(__xludf.DUMMYFUNCTION("""COMPUTED_VALUE"""),"Brasileirinho Delivery Comida Típica")</f>
        <v>Brasileirinho Delivery Comida Típica</v>
      </c>
      <c r="B245" s="4">
        <f>IFERROR(__xludf.DUMMYFUNCTION("""COMPUTED_VALUE"""),6.0)</f>
        <v>6</v>
      </c>
      <c r="C245" s="30">
        <f>IFERROR(__xludf.DUMMYFUNCTION("""COMPUTED_VALUE"""),69.0)</f>
        <v>69</v>
      </c>
      <c r="D245" s="4" t="str">
        <f>IFERROR(__xludf.DUMMYFUNCTION("""COMPUTED_VALUE"""),"Fast Casual - Multi-conceito")</f>
        <v>Fast Casual - Multi-conceito</v>
      </c>
      <c r="E245" s="4" t="str">
        <f>IFERROR(__xludf.DUMMYFUNCTION("""COMPUTED_VALUE"""),"Brasília/DF")</f>
        <v>Brasília/DF</v>
      </c>
      <c r="F245" s="4" t="str">
        <f>IFERROR(__xludf.DUMMYFUNCTION("""COMPUTED_VALUE"""),"Dado não disponível publicamente - Necessário Discovery")</f>
        <v>Dado não disponível publicamente - Necessário Discovery</v>
      </c>
      <c r="G245" s="4">
        <f>IFERROR(__xludf.DUMMYFUNCTION("""COMPUTED_VALUE"""),70.0)</f>
        <v>70</v>
      </c>
      <c r="H245" s="31">
        <f>IFERROR(__xludf.DUMMYFUNCTION("""COMPUTED_VALUE"""),0.75)</f>
        <v>0.75</v>
      </c>
      <c r="I24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45" s="4" t="str">
        <f>IFERROR(__xludf.DUMMYFUNCTION("""COMPUTED_VALUE"""),"GRUPO MULT")</f>
        <v>GRUPO MULT</v>
      </c>
      <c r="L245" s="32">
        <f>IFERROR(__xludf.DUMMYFUNCTION("""COMPUTED_VALUE"""),31.0)</f>
        <v>31</v>
      </c>
      <c r="M245" s="4" t="str">
        <f>IFERROR(__xludf.DUMMYFUNCTION("""COMPUTED_VALUE"""),"Ncr")</f>
        <v>Ncr</v>
      </c>
      <c r="N245" s="33">
        <f>IFERROR(__xludf.DUMMYFUNCTION("""COMPUTED_VALUE"""),0.8709677419354839)</f>
        <v>0.8709677419</v>
      </c>
      <c r="O245" s="4" t="str">
        <f>IFERROR(__xludf.DUMMYFUNCTION("""COMPUTED_VALUE"""),"Ncr")</f>
        <v>Ncr</v>
      </c>
      <c r="P245" s="33">
        <f>IFERROR(__xludf.DUMMYFUNCTION("""COMPUTED_VALUE"""),0.8709677419354839)</f>
        <v>0.8709677419</v>
      </c>
      <c r="Q245" s="4" t="str">
        <f>IFERROR(__xludf.DUMMYFUNCTION("""COMPUTED_VALUE"""),"Ncr")</f>
        <v>Ncr</v>
      </c>
      <c r="R245" s="33">
        <f>IFERROR(__xludf.DUMMYFUNCTION("""COMPUTED_VALUE"""),1.0)</f>
        <v>1</v>
      </c>
      <c r="S245" s="4" t="str">
        <f>IFERROR(__xludf.DUMMYFUNCTION("""COMPUTED_VALUE"""),"Ncr")</f>
        <v>Ncr</v>
      </c>
      <c r="T245" s="33">
        <f>IFERROR(__xludf.DUMMYFUNCTION("""COMPUTED_VALUE"""),1.0)</f>
        <v>1</v>
      </c>
      <c r="U245" s="4" t="str">
        <f>IFERROR(__xludf.DUMMYFUNCTION("""COMPUTED_VALUE"""),"Ncr")</f>
        <v>Ncr</v>
      </c>
      <c r="V245" s="33">
        <f>IFERROR(__xludf.DUMMYFUNCTION("""COMPUTED_VALUE"""),1.0)</f>
        <v>1</v>
      </c>
      <c r="W245" s="4" t="str">
        <f>IFERROR(__xludf.DUMMYFUNCTION("""COMPUTED_VALUE"""),"Ncr")</f>
        <v>Ncr</v>
      </c>
      <c r="X245" s="33">
        <f>IFERROR(__xludf.DUMMYFUNCTION("""COMPUTED_VALUE"""),1.0)</f>
        <v>1</v>
      </c>
    </row>
    <row r="246">
      <c r="A246" s="4" t="str">
        <f>IFERROR(__xludf.DUMMYFUNCTION("""COMPUTED_VALUE"""),"Brasserie Victória")</f>
        <v>Brasserie Victória</v>
      </c>
      <c r="B246" s="4">
        <f>IFERROR(__xludf.DUMMYFUNCTION("""COMPUTED_VALUE"""),8.0)</f>
        <v>8</v>
      </c>
      <c r="C246" s="30">
        <f>IFERROR(__xludf.DUMMYFUNCTION("""COMPUTED_VALUE"""),69.0)</f>
        <v>69</v>
      </c>
      <c r="D246" s="4" t="str">
        <f>IFERROR(__xludf.DUMMYFUNCTION("""COMPUTED_VALUE"""),"Fast Casual - Multi-conceito")</f>
        <v>Fast Casual - Multi-conceito</v>
      </c>
      <c r="E246" s="4" t="str">
        <f>IFERROR(__xludf.DUMMYFUNCTION("""COMPUTED_VALUE"""),"Rio de Janeiro/RJ")</f>
        <v>Rio de Janeiro/RJ</v>
      </c>
      <c r="F246" s="4" t="str">
        <f>IFERROR(__xludf.DUMMYFUNCTION("""COMPUTED_VALUE"""),"Dado não disponível publicamente - Necessário Discovery")</f>
        <v>Dado não disponível publicamente - Necessário Discovery</v>
      </c>
      <c r="G246" s="4">
        <f>IFERROR(__xludf.DUMMYFUNCTION("""COMPUTED_VALUE"""),70.0)</f>
        <v>70</v>
      </c>
      <c r="H246" s="31">
        <f>IFERROR(__xludf.DUMMYFUNCTION("""COMPUTED_VALUE"""),0.75)</f>
        <v>0.75</v>
      </c>
      <c r="I24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46" s="4" t="str">
        <f>IFERROR(__xludf.DUMMYFUNCTION("""COMPUTED_VALUE"""),"LA GUAPA EMPANADAS")</f>
        <v>LA GUAPA EMPANADAS</v>
      </c>
      <c r="L246" s="32">
        <f>IFERROR(__xludf.DUMMYFUNCTION("""COMPUTED_VALUE"""),31.0)</f>
        <v>31</v>
      </c>
      <c r="M246" s="4" t="str">
        <f>IFERROR(__xludf.DUMMYFUNCTION("""COMPUTED_VALUE"""),"Menew - Linx")</f>
        <v>Menew - Linx</v>
      </c>
      <c r="N246" s="33">
        <f>IFERROR(__xludf.DUMMYFUNCTION("""COMPUTED_VALUE"""),0.8387096774193549)</f>
        <v>0.8387096774</v>
      </c>
      <c r="O246" s="4" t="str">
        <f>IFERROR(__xludf.DUMMYFUNCTION("""COMPUTED_VALUE"""),"Menew - Linx")</f>
        <v>Menew - Linx</v>
      </c>
      <c r="P246" s="33">
        <f>IFERROR(__xludf.DUMMYFUNCTION("""COMPUTED_VALUE"""),0.9032258064516129)</f>
        <v>0.9032258065</v>
      </c>
      <c r="Q246" s="4" t="str">
        <f>IFERROR(__xludf.DUMMYFUNCTION("""COMPUTED_VALUE"""),"Menew - Linx")</f>
        <v>Menew - Linx</v>
      </c>
      <c r="R246" s="33">
        <f>IFERROR(__xludf.DUMMYFUNCTION("""COMPUTED_VALUE"""),0.9032258064516129)</f>
        <v>0.9032258065</v>
      </c>
      <c r="S246" s="4" t="str">
        <f>IFERROR(__xludf.DUMMYFUNCTION("""COMPUTED_VALUE"""),"Menew - Linx")</f>
        <v>Menew - Linx</v>
      </c>
      <c r="T246" s="33">
        <f>IFERROR(__xludf.DUMMYFUNCTION("""COMPUTED_VALUE"""),1.0)</f>
        <v>1</v>
      </c>
      <c r="U246" s="4" t="str">
        <f>IFERROR(__xludf.DUMMYFUNCTION("""COMPUTED_VALUE"""),"Menew - Linx")</f>
        <v>Menew - Linx</v>
      </c>
      <c r="V246" s="33">
        <f>IFERROR(__xludf.DUMMYFUNCTION("""COMPUTED_VALUE"""),1.0)</f>
        <v>1</v>
      </c>
      <c r="W246" s="4" t="str">
        <f>IFERROR(__xludf.DUMMYFUNCTION("""COMPUTED_VALUE"""),"Menew - Linx")</f>
        <v>Menew - Linx</v>
      </c>
      <c r="X246" s="33">
        <f>IFERROR(__xludf.DUMMYFUNCTION("""COMPUTED_VALUE"""),0.9354838709677419)</f>
        <v>0.935483871</v>
      </c>
    </row>
    <row r="247">
      <c r="A247" s="4" t="str">
        <f>IFERROR(__xludf.DUMMYFUNCTION("""COMPUTED_VALUE"""),"Bravo Gastronomia")</f>
        <v>Bravo Gastronomia</v>
      </c>
      <c r="B247" s="4">
        <f>IFERROR(__xludf.DUMMYFUNCTION("""COMPUTED_VALUE"""),6.0)</f>
        <v>6</v>
      </c>
      <c r="C247" s="30">
        <f>IFERROR(__xludf.DUMMYFUNCTION("""COMPUTED_VALUE"""),70.0)</f>
        <v>70</v>
      </c>
      <c r="D247" s="4" t="str">
        <f>IFERROR(__xludf.DUMMYFUNCTION("""COMPUTED_VALUE"""),"Fast Casual - Multi-conceito")</f>
        <v>Fast Casual - Multi-conceito</v>
      </c>
      <c r="E247" s="4" t="str">
        <f>IFERROR(__xludf.DUMMYFUNCTION("""COMPUTED_VALUE"""),"Brasília/DF")</f>
        <v>Brasília/DF</v>
      </c>
      <c r="F247" s="4" t="str">
        <f>IFERROR(__xludf.DUMMYFUNCTION("""COMPUTED_VALUE"""),"Dado não disponível publicamente - Necessário Discovery")</f>
        <v>Dado não disponível publicamente - Necessário Discovery</v>
      </c>
      <c r="G247" s="4">
        <f>IFERROR(__xludf.DUMMYFUNCTION("""COMPUTED_VALUE"""),70.0)</f>
        <v>70</v>
      </c>
      <c r="H247" s="31">
        <f>IFERROR(__xludf.DUMMYFUNCTION("""COMPUTED_VALUE"""),0.75)</f>
        <v>0.75</v>
      </c>
      <c r="I24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47" s="4" t="str">
        <f>IFERROR(__xludf.DUMMYFUNCTION("""COMPUTED_VALUE"""),"NAKATO SUSHI - CONTA GRUPO")</f>
        <v>NAKATO SUSHI - CONTA GRUPO</v>
      </c>
      <c r="L247" s="32">
        <f>IFERROR(__xludf.DUMMYFUNCTION("""COMPUTED_VALUE"""),31.0)</f>
        <v>31</v>
      </c>
      <c r="M247" s="4" t="str">
        <f>IFERROR(__xludf.DUMMYFUNCTION("""COMPUTED_VALUE"""),"Saipos Serviços De Software")</f>
        <v>Saipos Serviços De Software</v>
      </c>
      <c r="N247" s="33">
        <f>IFERROR(__xludf.DUMMYFUNCTION("""COMPUTED_VALUE"""),0.8387096774193549)</f>
        <v>0.8387096774</v>
      </c>
      <c r="O247" s="4" t="str">
        <f>IFERROR(__xludf.DUMMYFUNCTION("""COMPUTED_VALUE"""),"Saipos Serviços De Software")</f>
        <v>Saipos Serviços De Software</v>
      </c>
      <c r="P247" s="33">
        <f>IFERROR(__xludf.DUMMYFUNCTION("""COMPUTED_VALUE"""),0.8387096774193549)</f>
        <v>0.8387096774</v>
      </c>
      <c r="Q247" s="4" t="str">
        <f>IFERROR(__xludf.DUMMYFUNCTION("""COMPUTED_VALUE"""),"Saipos Serviços De Software")</f>
        <v>Saipos Serviços De Software</v>
      </c>
      <c r="R247" s="33">
        <f>IFERROR(__xludf.DUMMYFUNCTION("""COMPUTED_VALUE"""),0.6774193548387096)</f>
        <v>0.6774193548</v>
      </c>
      <c r="S247" s="4" t="str">
        <f>IFERROR(__xludf.DUMMYFUNCTION("""COMPUTED_VALUE"""),"Saipos Serviços De Software")</f>
        <v>Saipos Serviços De Software</v>
      </c>
      <c r="T247" s="33">
        <f>IFERROR(__xludf.DUMMYFUNCTION("""COMPUTED_VALUE"""),0.7096774193548387)</f>
        <v>0.7096774194</v>
      </c>
      <c r="U247" s="4" t="str">
        <f>IFERROR(__xludf.DUMMYFUNCTION("""COMPUTED_VALUE"""),"Saipos Serviços De Software")</f>
        <v>Saipos Serviços De Software</v>
      </c>
      <c r="V247" s="33">
        <f>IFERROR(__xludf.DUMMYFUNCTION("""COMPUTED_VALUE"""),0.8709677419354839)</f>
        <v>0.8709677419</v>
      </c>
      <c r="W247" s="4" t="str">
        <f>IFERROR(__xludf.DUMMYFUNCTION("""COMPUTED_VALUE"""),"Saipos Serviços De Software")</f>
        <v>Saipos Serviços De Software</v>
      </c>
      <c r="X247" s="33">
        <f>IFERROR(__xludf.DUMMYFUNCTION("""COMPUTED_VALUE"""),0.7741935483870968)</f>
        <v>0.7741935484</v>
      </c>
    </row>
    <row r="248">
      <c r="A248" s="4" t="str">
        <f>IFERROR(__xludf.DUMMYFUNCTION("""COMPUTED_VALUE"""),"Brutus- Cp")</f>
        <v>Brutus- Cp</v>
      </c>
      <c r="B248" s="4">
        <f>IFERROR(__xludf.DUMMYFUNCTION("""COMPUTED_VALUE"""),5.0)</f>
        <v>5</v>
      </c>
      <c r="C248" s="30">
        <f>IFERROR(__xludf.DUMMYFUNCTION("""COMPUTED_VALUE"""),69.0)</f>
        <v>69</v>
      </c>
      <c r="D248" s="4" t="str">
        <f>IFERROR(__xludf.DUMMYFUNCTION("""COMPUTED_VALUE"""),"Fast Casual - Multi-conceito")</f>
        <v>Fast Casual - Multi-conceito</v>
      </c>
      <c r="E248" s="4" t="str">
        <f>IFERROR(__xludf.DUMMYFUNCTION("""COMPUTED_VALUE"""),"Nacional")</f>
        <v>Nacional</v>
      </c>
      <c r="F248" s="4" t="str">
        <f>IFERROR(__xludf.DUMMYFUNCTION("""COMPUTED_VALUE"""),"Dado não disponível publicamente - Necessário Discovery")</f>
        <v>Dado não disponível publicamente - Necessário Discovery</v>
      </c>
      <c r="G248" s="4">
        <f>IFERROR(__xludf.DUMMYFUNCTION("""COMPUTED_VALUE"""),70.0)</f>
        <v>70</v>
      </c>
      <c r="H248" s="31">
        <f>IFERROR(__xludf.DUMMYFUNCTION("""COMPUTED_VALUE"""),0.75)</f>
        <v>0.75</v>
      </c>
      <c r="I24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48" s="4" t="str">
        <f>IFERROR(__xludf.DUMMYFUNCTION("""COMPUTED_VALUE"""),"NBS CONTA MARCA")</f>
        <v>NBS CONTA MARCA</v>
      </c>
      <c r="L248" s="32">
        <f>IFERROR(__xludf.DUMMYFUNCTION("""COMPUTED_VALUE"""),31.0)</f>
        <v>31</v>
      </c>
      <c r="M248" s="4" t="str">
        <f>IFERROR(__xludf.DUMMYFUNCTION("""COMPUTED_VALUE"""),"Saipos Serviços De Software")</f>
        <v>Saipos Serviços De Software</v>
      </c>
      <c r="N248" s="33">
        <f>IFERROR(__xludf.DUMMYFUNCTION("""COMPUTED_VALUE"""),0.6774193548387096)</f>
        <v>0.6774193548</v>
      </c>
      <c r="O248" s="4" t="str">
        <f>IFERROR(__xludf.DUMMYFUNCTION("""COMPUTED_VALUE"""),"Saipos Serviços De Software")</f>
        <v>Saipos Serviços De Software</v>
      </c>
      <c r="P248" s="33">
        <f>IFERROR(__xludf.DUMMYFUNCTION("""COMPUTED_VALUE"""),0.7741935483870968)</f>
        <v>0.7741935484</v>
      </c>
      <c r="Q248" s="4" t="str">
        <f>IFERROR(__xludf.DUMMYFUNCTION("""COMPUTED_VALUE"""),"Saipos Serviços De Software")</f>
        <v>Saipos Serviços De Software</v>
      </c>
      <c r="R248" s="33">
        <f>IFERROR(__xludf.DUMMYFUNCTION("""COMPUTED_VALUE"""),0.7741935483870968)</f>
        <v>0.7741935484</v>
      </c>
      <c r="S248" s="4" t="str">
        <f>IFERROR(__xludf.DUMMYFUNCTION("""COMPUTED_VALUE"""),"Saipos Serviços De Software")</f>
        <v>Saipos Serviços De Software</v>
      </c>
      <c r="T248" s="33">
        <f>IFERROR(__xludf.DUMMYFUNCTION("""COMPUTED_VALUE"""),0.7096774193548387)</f>
        <v>0.7096774194</v>
      </c>
      <c r="U248" s="4" t="str">
        <f>IFERROR(__xludf.DUMMYFUNCTION("""COMPUTED_VALUE"""),"Saipos Serviços De Software")</f>
        <v>Saipos Serviços De Software</v>
      </c>
      <c r="V248" s="33">
        <f>IFERROR(__xludf.DUMMYFUNCTION("""COMPUTED_VALUE"""),0.7419354838709677)</f>
        <v>0.7419354839</v>
      </c>
      <c r="W248" s="4" t="str">
        <f>IFERROR(__xludf.DUMMYFUNCTION("""COMPUTED_VALUE"""),"Saipos Serviços De Software")</f>
        <v>Saipos Serviços De Software</v>
      </c>
      <c r="X248" s="33">
        <f>IFERROR(__xludf.DUMMYFUNCTION("""COMPUTED_VALUE"""),0.7419354838709677)</f>
        <v>0.7419354839</v>
      </c>
    </row>
    <row r="249">
      <c r="A249" s="4" t="str">
        <f>IFERROR(__xludf.DUMMYFUNCTION("""COMPUTED_VALUE"""),"Bubble Mix")</f>
        <v>Bubble Mix</v>
      </c>
      <c r="B249" s="4">
        <f>IFERROR(__xludf.DUMMYFUNCTION("""COMPUTED_VALUE"""),6.0)</f>
        <v>6</v>
      </c>
      <c r="C249" s="30">
        <f>IFERROR(__xludf.DUMMYFUNCTION("""COMPUTED_VALUE"""),50.0)</f>
        <v>50</v>
      </c>
      <c r="D249" s="4" t="str">
        <f>IFERROR(__xludf.DUMMYFUNCTION("""COMPUTED_VALUE"""),"Fast Casual - Multi-conceito")</f>
        <v>Fast Casual - Multi-conceito</v>
      </c>
      <c r="E249" s="4" t="str">
        <f>IFERROR(__xludf.DUMMYFUNCTION("""COMPUTED_VALUE"""),"Regional")</f>
        <v>Regional</v>
      </c>
      <c r="F249" s="4" t="str">
        <f>IFERROR(__xludf.DUMMYFUNCTION("""COMPUTED_VALUE"""),"Dado não disponível publicamente - Necessário Discovery")</f>
        <v>Dado não disponível publicamente - Necessário Discovery</v>
      </c>
      <c r="G249" s="4">
        <f>IFERROR(__xludf.DUMMYFUNCTION("""COMPUTED_VALUE"""),70.0)</f>
        <v>70</v>
      </c>
      <c r="H249" s="31">
        <f>IFERROR(__xludf.DUMMYFUNCTION("""COMPUTED_VALUE"""),0.75)</f>
        <v>0.75</v>
      </c>
      <c r="I24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49" s="4" t="str">
        <f>IFERROR(__xludf.DUMMYFUNCTION("""COMPUTED_VALUE"""),"Q DONUTS")</f>
        <v>Q DONUTS</v>
      </c>
      <c r="L249" s="32">
        <f>IFERROR(__xludf.DUMMYFUNCTION("""COMPUTED_VALUE"""),31.0)</f>
        <v>31</v>
      </c>
      <c r="M249" s="4" t="str">
        <f>IFERROR(__xludf.DUMMYFUNCTION("""COMPUTED_VALUE"""),"Totvs Large Enterprise Tecnologia S.a.")</f>
        <v>Totvs Large Enterprise Tecnologia S.a.</v>
      </c>
      <c r="N249" s="33">
        <f>IFERROR(__xludf.DUMMYFUNCTION("""COMPUTED_VALUE"""),0.7096774193548387)</f>
        <v>0.7096774194</v>
      </c>
      <c r="O249" s="4" t="str">
        <f>IFERROR(__xludf.DUMMYFUNCTION("""COMPUTED_VALUE"""),"Totvs Large Enterprise Tecnologia S.a.")</f>
        <v>Totvs Large Enterprise Tecnologia S.a.</v>
      </c>
      <c r="P249" s="33">
        <f>IFERROR(__xludf.DUMMYFUNCTION("""COMPUTED_VALUE"""),0.5161290322580645)</f>
        <v>0.5161290323</v>
      </c>
      <c r="Q249" s="4" t="str">
        <f>IFERROR(__xludf.DUMMYFUNCTION("""COMPUTED_VALUE"""),"null")</f>
        <v>null</v>
      </c>
      <c r="R249" s="33">
        <f>IFERROR(__xludf.DUMMYFUNCTION("""COMPUTED_VALUE"""),0.5161290322580645)</f>
        <v>0.5161290323</v>
      </c>
      <c r="S249" s="4" t="str">
        <f>IFERROR(__xludf.DUMMYFUNCTION("""COMPUTED_VALUE"""),"null")</f>
        <v>null</v>
      </c>
      <c r="T249" s="33">
        <f>IFERROR(__xludf.DUMMYFUNCTION("""COMPUTED_VALUE"""),0.5483870967741935)</f>
        <v>0.5483870968</v>
      </c>
      <c r="U249" s="4" t="str">
        <f>IFERROR(__xludf.DUMMYFUNCTION("""COMPUTED_VALUE"""),"null")</f>
        <v>null</v>
      </c>
      <c r="V249" s="33">
        <f>IFERROR(__xludf.DUMMYFUNCTION("""COMPUTED_VALUE"""),0.5806451612903226)</f>
        <v>0.5806451613</v>
      </c>
      <c r="W249" s="4" t="str">
        <f>IFERROR(__xludf.DUMMYFUNCTION("""COMPUTED_VALUE"""),"null")</f>
        <v>null</v>
      </c>
      <c r="X249" s="33">
        <f>IFERROR(__xludf.DUMMYFUNCTION("""COMPUTED_VALUE"""),0.5483870967741935)</f>
        <v>0.5483870968</v>
      </c>
    </row>
    <row r="250">
      <c r="A250" s="4" t="str">
        <f>IFERROR(__xludf.DUMMYFUNCTION("""COMPUTED_VALUE"""),"Buffalos Grill")</f>
        <v>Buffalos Grill</v>
      </c>
      <c r="B250" s="4">
        <f>IFERROR(__xludf.DUMMYFUNCTION("""COMPUTED_VALUE"""),5.0)</f>
        <v>5</v>
      </c>
      <c r="C250" s="30">
        <f>IFERROR(__xludf.DUMMYFUNCTION("""COMPUTED_VALUE"""),139.0)</f>
        <v>139</v>
      </c>
      <c r="D250" s="4" t="str">
        <f>IFERROR(__xludf.DUMMYFUNCTION("""COMPUTED_VALUE"""),"Table Service - Churrascaria")</f>
        <v>Table Service - Churrascaria</v>
      </c>
      <c r="E250" s="4" t="str">
        <f>IFERROR(__xludf.DUMMYFUNCTION("""COMPUTED_VALUE"""),"Nordeste")</f>
        <v>Nordeste</v>
      </c>
      <c r="F250" s="4" t="str">
        <f>IFERROR(__xludf.DUMMYFUNCTION("""COMPUTED_VALUE"""),"Dado não disponível publicamente - Necessário Discovery")</f>
        <v>Dado não disponível publicamente - Necessário Discovery</v>
      </c>
      <c r="G250" s="4">
        <f>IFERROR(__xludf.DUMMYFUNCTION("""COMPUTED_VALUE"""),60.0)</f>
        <v>60</v>
      </c>
      <c r="H250" s="31">
        <f>IFERROR(__xludf.DUMMYFUNCTION("""COMPUTED_VALUE"""),0.65)</f>
        <v>0.65</v>
      </c>
      <c r="I25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50" s="4" t="str">
        <f>IFERROR(__xludf.DUMMYFUNCTION("""COMPUTED_VALUE"""),"AHAM BRASIL")</f>
        <v>AHAM BRASIL</v>
      </c>
      <c r="L250" s="32">
        <f>IFERROR(__xludf.DUMMYFUNCTION("""COMPUTED_VALUE"""),30.0)</f>
        <v>30</v>
      </c>
      <c r="M250" s="4" t="str">
        <f>IFERROR(__xludf.DUMMYFUNCTION("""COMPUTED_VALUE"""),"Saipos Serviços De Software")</f>
        <v>Saipos Serviços De Software</v>
      </c>
      <c r="N250" s="33">
        <f>IFERROR(__xludf.DUMMYFUNCTION("""COMPUTED_VALUE"""),0.9666666666666667)</f>
        <v>0.9666666667</v>
      </c>
      <c r="O250" s="4" t="str">
        <f>IFERROR(__xludf.DUMMYFUNCTION("""COMPUTED_VALUE"""),"Saipos Serviços De Software")</f>
        <v>Saipos Serviços De Software</v>
      </c>
      <c r="P250" s="33">
        <f>IFERROR(__xludf.DUMMYFUNCTION("""COMPUTED_VALUE"""),0.9333333333333333)</f>
        <v>0.9333333333</v>
      </c>
      <c r="Q250" s="4" t="str">
        <f>IFERROR(__xludf.DUMMYFUNCTION("""COMPUTED_VALUE"""),"Saipos Serviços De Software")</f>
        <v>Saipos Serviços De Software</v>
      </c>
      <c r="R250" s="33">
        <f>IFERROR(__xludf.DUMMYFUNCTION("""COMPUTED_VALUE"""),0.9333333333333333)</f>
        <v>0.9333333333</v>
      </c>
      <c r="S250" s="4" t="str">
        <f>IFERROR(__xludf.DUMMYFUNCTION("""COMPUTED_VALUE"""),"Saipos Serviços De Software")</f>
        <v>Saipos Serviços De Software</v>
      </c>
      <c r="T250" s="33">
        <f>IFERROR(__xludf.DUMMYFUNCTION("""COMPUTED_VALUE"""),0.9333333333333333)</f>
        <v>0.9333333333</v>
      </c>
      <c r="U250" s="4" t="str">
        <f>IFERROR(__xludf.DUMMYFUNCTION("""COMPUTED_VALUE"""),"Saipos Serviços De Software")</f>
        <v>Saipos Serviços De Software</v>
      </c>
      <c r="V250" s="33">
        <f>IFERROR(__xludf.DUMMYFUNCTION("""COMPUTED_VALUE"""),0.9333333333333333)</f>
        <v>0.9333333333</v>
      </c>
      <c r="W250" s="4" t="str">
        <f>IFERROR(__xludf.DUMMYFUNCTION("""COMPUTED_VALUE"""),"Saipos Serviços De Software")</f>
        <v>Saipos Serviços De Software</v>
      </c>
      <c r="X250" s="33">
        <f>IFERROR(__xludf.DUMMYFUNCTION("""COMPUTED_VALUE"""),0.8666666666666667)</f>
        <v>0.8666666667</v>
      </c>
    </row>
    <row r="251">
      <c r="A251" s="4" t="str">
        <f>IFERROR(__xludf.DUMMYFUNCTION("""COMPUTED_VALUE"""),"Burdog")</f>
        <v>Burdog</v>
      </c>
      <c r="B251" s="4">
        <f>IFERROR(__xludf.DUMMYFUNCTION("""COMPUTED_VALUE"""),4.0)</f>
        <v>4</v>
      </c>
      <c r="C251" s="30">
        <f>IFERROR(__xludf.DUMMYFUNCTION("""COMPUTED_VALUE"""),26.0)</f>
        <v>26</v>
      </c>
      <c r="D251" s="4" t="str">
        <f>IFERROR(__xludf.DUMMYFUNCTION("""COMPUTED_VALUE"""),"QSR - Hot Dog")</f>
        <v>QSR - Hot Dog</v>
      </c>
      <c r="E251" s="4" t="str">
        <f>IFERROR(__xludf.DUMMYFUNCTION("""COMPUTED_VALUE"""),"Belo Horizonte/MG")</f>
        <v>Belo Horizonte/MG</v>
      </c>
      <c r="F251" s="4" t="str">
        <f>IFERROR(__xludf.DUMMYFUNCTION("""COMPUTED_VALUE"""),"Dado não disponível publicamente - Necessário Discovery")</f>
        <v>Dado não disponível publicamente - Necessário Discovery</v>
      </c>
      <c r="G251" s="4">
        <f>IFERROR(__xludf.DUMMYFUNCTION("""COMPUTED_VALUE"""),65.0)</f>
        <v>65</v>
      </c>
      <c r="H251" s="31">
        <f>IFERROR(__xludf.DUMMYFUNCTION("""COMPUTED_VALUE"""),0.85)</f>
        <v>0.85</v>
      </c>
      <c r="I251"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251" s="4" t="str">
        <f>IFERROR(__xludf.DUMMYFUNCTION("""COMPUTED_VALUE"""),"DAVVERO")</f>
        <v>DAVVERO</v>
      </c>
      <c r="L251" s="32">
        <f>IFERROR(__xludf.DUMMYFUNCTION("""COMPUTED_VALUE"""),30.0)</f>
        <v>30</v>
      </c>
      <c r="M251" s="4" t="str">
        <f>IFERROR(__xludf.DUMMYFUNCTION("""COMPUTED_VALUE"""),"Ncr")</f>
        <v>Ncr</v>
      </c>
      <c r="N251" s="33">
        <f>IFERROR(__xludf.DUMMYFUNCTION("""COMPUTED_VALUE"""),0.5333333333333333)</f>
        <v>0.5333333333</v>
      </c>
      <c r="O251" s="4" t="str">
        <f>IFERROR(__xludf.DUMMYFUNCTION("""COMPUTED_VALUE"""),"null")</f>
        <v>null</v>
      </c>
      <c r="P251" s="33">
        <f>IFERROR(__xludf.DUMMYFUNCTION("""COMPUTED_VALUE"""),0.5333333333333333)</f>
        <v>0.5333333333</v>
      </c>
      <c r="Q251" s="4" t="str">
        <f>IFERROR(__xludf.DUMMYFUNCTION("""COMPUTED_VALUE"""),"null")</f>
        <v>null</v>
      </c>
      <c r="R251" s="33">
        <f>IFERROR(__xludf.DUMMYFUNCTION("""COMPUTED_VALUE"""),0.5333333333333333)</f>
        <v>0.5333333333</v>
      </c>
      <c r="S251" s="4" t="str">
        <f>IFERROR(__xludf.DUMMYFUNCTION("""COMPUTED_VALUE"""),"null")</f>
        <v>null</v>
      </c>
      <c r="T251" s="33">
        <f>IFERROR(__xludf.DUMMYFUNCTION("""COMPUTED_VALUE"""),0.6)</f>
        <v>0.6</v>
      </c>
      <c r="U251" s="4" t="str">
        <f>IFERROR(__xludf.DUMMYFUNCTION("""COMPUTED_VALUE"""),"Stone Co.")</f>
        <v>Stone Co.</v>
      </c>
      <c r="V251" s="33">
        <f>IFERROR(__xludf.DUMMYFUNCTION("""COMPUTED_VALUE"""),0.5)</f>
        <v>0.5</v>
      </c>
      <c r="W251" s="4" t="str">
        <f>IFERROR(__xludf.DUMMYFUNCTION("""COMPUTED_VALUE"""),"Stone Co.")</f>
        <v>Stone Co.</v>
      </c>
      <c r="X251" s="33">
        <f>IFERROR(__xludf.DUMMYFUNCTION("""COMPUTED_VALUE"""),0.7333333333333333)</f>
        <v>0.7333333333</v>
      </c>
    </row>
    <row r="252">
      <c r="A252" s="4" t="str">
        <f>IFERROR(__xludf.DUMMYFUNCTION("""COMPUTED_VALUE"""),"Cacau Show")</f>
        <v>Cacau Show</v>
      </c>
      <c r="B252" s="4">
        <f>IFERROR(__xludf.DUMMYFUNCTION("""COMPUTED_VALUE"""),4713.0)</f>
        <v>4713</v>
      </c>
      <c r="C252" s="30">
        <f>IFERROR(__xludf.DUMMYFUNCTION("""COMPUTED_VALUE"""),62.0)</f>
        <v>62</v>
      </c>
      <c r="D252" s="4" t="str">
        <f>IFERROR(__xludf.DUMMYFUNCTION("""COMPUTED_VALUE"""),"Varejo - Chocolates")</f>
        <v>Varejo - Chocolates</v>
      </c>
      <c r="E252" s="4" t="str">
        <f>IFERROR(__xludf.DUMMYFUNCTION("""COMPUTED_VALUE"""),"Nacional")</f>
        <v>Nacional</v>
      </c>
      <c r="F252" s="4" t="str">
        <f>IFERROR(__xludf.DUMMYFUNCTION("""COMPUTED_VALUE"""),"R$ 2 bilhões (2025)")</f>
        <v>R$ 2 bilhões (2025)</v>
      </c>
      <c r="G252" s="4">
        <f>IFERROR(__xludf.DUMMYFUNCTION("""COMPUTED_VALUE"""),70.0)</f>
        <v>70</v>
      </c>
      <c r="H252" s="31">
        <f>IFERROR(__xludf.DUMMYFUNCTION("""COMPUTED_VALUE"""),0.65)</f>
        <v>0.65</v>
      </c>
      <c r="I252" s="4" t="str">
        <f>IFERROR(__xludf.DUMMYFUNCTION("""COMPUTED_VALUE"""),"Aderência forte ao 3S: Sistema CRM. 3S oferece PDV robusto, KDS integrado e mobilidade (3SGO) para gestão em tempo real - ideal para operações multi-canal.")</f>
        <v>Aderência forte ao 3S: Sistema CRM. 3S oferece PDV robusto, KDS integrado e mobilidade (3SGO) para gestão em tempo real - ideal para operações multi-canal.</v>
      </c>
      <c r="K252" s="4" t="str">
        <f>IFERROR(__xludf.DUMMYFUNCTION("""COMPUTED_VALUE"""),"FORMULA PIZZARIA DELIVERY")</f>
        <v>FORMULA PIZZARIA DELIVERY</v>
      </c>
      <c r="L252" s="32">
        <f>IFERROR(__xludf.DUMMYFUNCTION("""COMPUTED_VALUE"""),30.0)</f>
        <v>30</v>
      </c>
      <c r="M252" s="4" t="str">
        <f>IFERROR(__xludf.DUMMYFUNCTION("""COMPUTED_VALUE"""),"Saipos Serviços De Software")</f>
        <v>Saipos Serviços De Software</v>
      </c>
      <c r="N252" s="33">
        <f>IFERROR(__xludf.DUMMYFUNCTION("""COMPUTED_VALUE"""),1.0)</f>
        <v>1</v>
      </c>
      <c r="O252" s="4" t="str">
        <f>IFERROR(__xludf.DUMMYFUNCTION("""COMPUTED_VALUE"""),"Saipos Serviços De Software")</f>
        <v>Saipos Serviços De Software</v>
      </c>
      <c r="P252" s="33">
        <f>IFERROR(__xludf.DUMMYFUNCTION("""COMPUTED_VALUE"""),1.0)</f>
        <v>1</v>
      </c>
      <c r="Q252" s="4" t="str">
        <f>IFERROR(__xludf.DUMMYFUNCTION("""COMPUTED_VALUE"""),"Saipos Serviços De Software")</f>
        <v>Saipos Serviços De Software</v>
      </c>
      <c r="R252" s="33">
        <f>IFERROR(__xludf.DUMMYFUNCTION("""COMPUTED_VALUE"""),1.0)</f>
        <v>1</v>
      </c>
      <c r="S252" s="4" t="str">
        <f>IFERROR(__xludf.DUMMYFUNCTION("""COMPUTED_VALUE"""),"Saipos Serviços De Software")</f>
        <v>Saipos Serviços De Software</v>
      </c>
      <c r="T252" s="33">
        <f>IFERROR(__xludf.DUMMYFUNCTION("""COMPUTED_VALUE"""),1.0)</f>
        <v>1</v>
      </c>
      <c r="U252" s="4" t="str">
        <f>IFERROR(__xludf.DUMMYFUNCTION("""COMPUTED_VALUE"""),"Saipos Serviços De Software")</f>
        <v>Saipos Serviços De Software</v>
      </c>
      <c r="V252" s="33">
        <f>IFERROR(__xludf.DUMMYFUNCTION("""COMPUTED_VALUE"""),1.0)</f>
        <v>1</v>
      </c>
      <c r="W252" s="4" t="str">
        <f>IFERROR(__xludf.DUMMYFUNCTION("""COMPUTED_VALUE"""),"Saipos Serviços De Software")</f>
        <v>Saipos Serviços De Software</v>
      </c>
      <c r="X252" s="33">
        <f>IFERROR(__xludf.DUMMYFUNCTION("""COMPUTED_VALUE"""),1.0)</f>
        <v>1</v>
      </c>
    </row>
    <row r="253">
      <c r="A253" s="4" t="str">
        <f>IFERROR(__xludf.DUMMYFUNCTION("""COMPUTED_VALUE"""),"Café Cultura")</f>
        <v>Café Cultura</v>
      </c>
      <c r="B253" s="4">
        <f>IFERROR(__xludf.DUMMYFUNCTION("""COMPUTED_VALUE"""),7.0)</f>
        <v>7</v>
      </c>
      <c r="C253" s="30">
        <f>IFERROR(__xludf.DUMMYFUNCTION("""COMPUTED_VALUE"""),37.0)</f>
        <v>37</v>
      </c>
      <c r="D253" s="4" t="str">
        <f>IFERROR(__xludf.DUMMYFUNCTION("""COMPUTED_VALUE"""),"Fast Casual - Cafeteria")</f>
        <v>Fast Casual - Cafeteria</v>
      </c>
      <c r="E253" s="4" t="str">
        <f>IFERROR(__xludf.DUMMYFUNCTION("""COMPUTED_VALUE"""),"Regional")</f>
        <v>Regional</v>
      </c>
      <c r="F253" s="4" t="str">
        <f>IFERROR(__xludf.DUMMYFUNCTION("""COMPUTED_VALUE"""),"Dado não disponível publicamente - Necessário Discovery")</f>
        <v>Dado não disponível publicamente - Necessário Discovery</v>
      </c>
      <c r="G253" s="4">
        <f>IFERROR(__xludf.DUMMYFUNCTION("""COMPUTED_VALUE"""),70.0)</f>
        <v>70</v>
      </c>
      <c r="H253" s="31">
        <f>IFERROR(__xludf.DUMMYFUNCTION("""COMPUTED_VALUE"""),0.75)</f>
        <v>0.75</v>
      </c>
      <c r="I25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53" s="4" t="str">
        <f>IFERROR(__xludf.DUMMYFUNCTION("""COMPUTED_VALUE"""),"FRIGIDEIRA MARMITAS")</f>
        <v>FRIGIDEIRA MARMITAS</v>
      </c>
      <c r="L253" s="32">
        <f>IFERROR(__xludf.DUMMYFUNCTION("""COMPUTED_VALUE"""),30.0)</f>
        <v>30</v>
      </c>
      <c r="M253" s="4" t="str">
        <f>IFERROR(__xludf.DUMMYFUNCTION("""COMPUTED_VALUE"""),"Saipos Serviços De Software")</f>
        <v>Saipos Serviços De Software</v>
      </c>
      <c r="N253" s="33">
        <f>IFERROR(__xludf.DUMMYFUNCTION("""COMPUTED_VALUE"""),0.7333333333333333)</f>
        <v>0.7333333333</v>
      </c>
      <c r="O253" s="4" t="str">
        <f>IFERROR(__xludf.DUMMYFUNCTION("""COMPUTED_VALUE"""),"Saipos Serviços De Software")</f>
        <v>Saipos Serviços De Software</v>
      </c>
      <c r="P253" s="33">
        <f>IFERROR(__xludf.DUMMYFUNCTION("""COMPUTED_VALUE"""),0.7666666666666667)</f>
        <v>0.7666666667</v>
      </c>
      <c r="Q253" s="4" t="str">
        <f>IFERROR(__xludf.DUMMYFUNCTION("""COMPUTED_VALUE"""),"Saipos Serviços De Software")</f>
        <v>Saipos Serviços De Software</v>
      </c>
      <c r="R253" s="33">
        <f>IFERROR(__xludf.DUMMYFUNCTION("""COMPUTED_VALUE"""),0.7666666666666667)</f>
        <v>0.7666666667</v>
      </c>
      <c r="S253" s="4" t="str">
        <f>IFERROR(__xludf.DUMMYFUNCTION("""COMPUTED_VALUE"""),"Saipos Serviços De Software")</f>
        <v>Saipos Serviços De Software</v>
      </c>
      <c r="T253" s="33">
        <f>IFERROR(__xludf.DUMMYFUNCTION("""COMPUTED_VALUE"""),0.9)</f>
        <v>0.9</v>
      </c>
      <c r="U253" s="4" t="str">
        <f>IFERROR(__xludf.DUMMYFUNCTION("""COMPUTED_VALUE"""),"Saipos Serviços De Software")</f>
        <v>Saipos Serviços De Software</v>
      </c>
      <c r="V253" s="33">
        <f>IFERROR(__xludf.DUMMYFUNCTION("""COMPUTED_VALUE"""),1.0)</f>
        <v>1</v>
      </c>
      <c r="W253" s="4" t="str">
        <f>IFERROR(__xludf.DUMMYFUNCTION("""COMPUTED_VALUE"""),"Saipos Serviços De Software")</f>
        <v>Saipos Serviços De Software</v>
      </c>
      <c r="X253" s="33">
        <f>IFERROR(__xludf.DUMMYFUNCTION("""COMPUTED_VALUE"""),1.0)</f>
        <v>1</v>
      </c>
    </row>
    <row r="254">
      <c r="A254" s="4" t="str">
        <f>IFERROR(__xludf.DUMMYFUNCTION("""COMPUTED_VALUE"""),"Camarada Camarão (Grupo Drumattos)")</f>
        <v>Camarada Camarão (Grupo Drumattos)</v>
      </c>
      <c r="B254" s="4">
        <f>IFERROR(__xludf.DUMMYFUNCTION("""COMPUTED_VALUE"""),5.0)</f>
        <v>5</v>
      </c>
      <c r="C254" s="30">
        <f>IFERROR(__xludf.DUMMYFUNCTION("""COMPUTED_VALUE"""),73.0)</f>
        <v>73</v>
      </c>
      <c r="D254" s="4" t="str">
        <f>IFERROR(__xludf.DUMMYFUNCTION("""COMPUTED_VALUE"""),"Grupo Multi-marca")</f>
        <v>Grupo Multi-marca</v>
      </c>
      <c r="E254" s="4" t="str">
        <f>IFERROR(__xludf.DUMMYFUNCTION("""COMPUTED_VALUE"""),"São Paulo/SP")</f>
        <v>São Paulo/SP</v>
      </c>
      <c r="F254" s="4" t="str">
        <f>IFERROR(__xludf.DUMMYFUNCTION("""COMPUTED_VALUE"""),"Dado não disponível publicamente - Necessário Discovery")</f>
        <v>Dado não disponível publicamente - Necessário Discovery</v>
      </c>
      <c r="G254" s="4">
        <f>IFERROR(__xludf.DUMMYFUNCTION("""COMPUTED_VALUE"""),40.0)</f>
        <v>40</v>
      </c>
      <c r="H254" s="31">
        <f>IFERROR(__xludf.DUMMYFUNCTION("""COMPUTED_VALUE"""),0.5)</f>
        <v>0.5</v>
      </c>
      <c r="I254"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254" s="4" t="str">
        <f>IFERROR(__xludf.DUMMYFUNCTION("""COMPUTED_VALUE"""),"HUNGARA")</f>
        <v>HUNGARA</v>
      </c>
      <c r="L254" s="32">
        <f>IFERROR(__xludf.DUMMYFUNCTION("""COMPUTED_VALUE"""),30.0)</f>
        <v>30</v>
      </c>
      <c r="M254" s="4" t="str">
        <f>IFERROR(__xludf.DUMMYFUNCTION("""COMPUTED_VALUE"""),"Parseint Desenvolvimento De Sistemas Ltda")</f>
        <v>Parseint Desenvolvimento De Sistemas Ltda</v>
      </c>
      <c r="N254" s="33">
        <f>IFERROR(__xludf.DUMMYFUNCTION("""COMPUTED_VALUE"""),0.8666666666666667)</f>
        <v>0.8666666667</v>
      </c>
      <c r="O254" s="4" t="str">
        <f>IFERROR(__xludf.DUMMYFUNCTION("""COMPUTED_VALUE"""),"Parseint Desenvolvimento De Sistemas Ltda")</f>
        <v>Parseint Desenvolvimento De Sistemas Ltda</v>
      </c>
      <c r="P254" s="33">
        <f>IFERROR(__xludf.DUMMYFUNCTION("""COMPUTED_VALUE"""),0.7666666666666667)</f>
        <v>0.7666666667</v>
      </c>
      <c r="Q254" s="4" t="str">
        <f>IFERROR(__xludf.DUMMYFUNCTION("""COMPUTED_VALUE"""),"Parseint Desenvolvimento De Sistemas Ltda")</f>
        <v>Parseint Desenvolvimento De Sistemas Ltda</v>
      </c>
      <c r="R254" s="33">
        <f>IFERROR(__xludf.DUMMYFUNCTION("""COMPUTED_VALUE"""),0.7333333333333333)</f>
        <v>0.7333333333</v>
      </c>
      <c r="S254" s="4" t="str">
        <f>IFERROR(__xludf.DUMMYFUNCTION("""COMPUTED_VALUE"""),"Parseint Desenvolvimento De Sistemas Ltda")</f>
        <v>Parseint Desenvolvimento De Sistemas Ltda</v>
      </c>
      <c r="T254" s="33">
        <f>IFERROR(__xludf.DUMMYFUNCTION("""COMPUTED_VALUE"""),0.7333333333333333)</f>
        <v>0.7333333333</v>
      </c>
      <c r="U254" s="4" t="str">
        <f>IFERROR(__xludf.DUMMYFUNCTION("""COMPUTED_VALUE"""),"Parseint Desenvolvimento De Sistemas Ltda")</f>
        <v>Parseint Desenvolvimento De Sistemas Ltda</v>
      </c>
      <c r="V254" s="33">
        <f>IFERROR(__xludf.DUMMYFUNCTION("""COMPUTED_VALUE"""),0.7333333333333333)</f>
        <v>0.7333333333</v>
      </c>
      <c r="W254" s="4" t="str">
        <f>IFERROR(__xludf.DUMMYFUNCTION("""COMPUTED_VALUE"""),"Parseint Desenvolvimento De Sistemas Ltda")</f>
        <v>Parseint Desenvolvimento De Sistemas Ltda</v>
      </c>
      <c r="X254" s="33">
        <f>IFERROR(__xludf.DUMMYFUNCTION("""COMPUTED_VALUE"""),0.6333333333333333)</f>
        <v>0.6333333333</v>
      </c>
    </row>
    <row r="255">
      <c r="A255" s="4" t="str">
        <f>IFERROR(__xludf.DUMMYFUNCTION("""COMPUTED_VALUE"""),"Candreva Bar")</f>
        <v>Candreva Bar</v>
      </c>
      <c r="B255" s="4">
        <f>IFERROR(__xludf.DUMMYFUNCTION("""COMPUTED_VALUE"""),5.0)</f>
        <v>5</v>
      </c>
      <c r="C255" s="30">
        <f>IFERROR(__xludf.DUMMYFUNCTION("""COMPUTED_VALUE"""),68.0)</f>
        <v>68</v>
      </c>
      <c r="D255" s="4" t="str">
        <f>IFERROR(__xludf.DUMMYFUNCTION("""COMPUTED_VALUE"""),"Fast Casual - Multi-conceito")</f>
        <v>Fast Casual - Multi-conceito</v>
      </c>
      <c r="E255" s="4" t="str">
        <f>IFERROR(__xludf.DUMMYFUNCTION("""COMPUTED_VALUE"""),"Interior SP")</f>
        <v>Interior SP</v>
      </c>
      <c r="F255" s="4" t="str">
        <f>IFERROR(__xludf.DUMMYFUNCTION("""COMPUTED_VALUE"""),"Dado não disponível publicamente - Necessário Discovery")</f>
        <v>Dado não disponível publicamente - Necessário Discovery</v>
      </c>
      <c r="G255" s="4">
        <f>IFERROR(__xludf.DUMMYFUNCTION("""COMPUTED_VALUE"""),70.0)</f>
        <v>70</v>
      </c>
      <c r="H255" s="31">
        <f>IFERROR(__xludf.DUMMYFUNCTION("""COMPUTED_VALUE"""),0.75)</f>
        <v>0.75</v>
      </c>
      <c r="I25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55" s="4" t="str">
        <f>IFERROR(__xludf.DUMMYFUNCTION("""COMPUTED_VALUE"""),"LE POSTICHE - CONTA PAI OFICIAL")</f>
        <v>LE POSTICHE - CONTA PAI OFICIAL</v>
      </c>
      <c r="L255" s="32">
        <f>IFERROR(__xludf.DUMMYFUNCTION("""COMPUTED_VALUE"""),30.0)</f>
        <v>30</v>
      </c>
      <c r="M255" s="4" t="str">
        <f>IFERROR(__xludf.DUMMYFUNCTION("""COMPUTED_VALUE"""),"N/A (Not found)")</f>
        <v>N/A (Not found)</v>
      </c>
      <c r="N255" s="33">
        <f>IFERROR(__xludf.DUMMYFUNCTION("""COMPUTED_VALUE"""),0.5666666666666667)</f>
        <v>0.5666666667</v>
      </c>
      <c r="O255" s="4" t="str">
        <f>IFERROR(__xludf.DUMMYFUNCTION("""COMPUTED_VALUE"""),"N/A (Not found)")</f>
        <v>N/A (Not found)</v>
      </c>
      <c r="P255" s="33">
        <f>IFERROR(__xludf.DUMMYFUNCTION("""COMPUTED_VALUE"""),0.7666666666666667)</f>
        <v>0.7666666667</v>
      </c>
      <c r="Q255" s="4" t="str">
        <f>IFERROR(__xludf.DUMMYFUNCTION("""COMPUTED_VALUE"""),"null")</f>
        <v>null</v>
      </c>
      <c r="R255" s="33">
        <f>IFERROR(__xludf.DUMMYFUNCTION("""COMPUTED_VALUE"""),0.5333333333333333)</f>
        <v>0.5333333333</v>
      </c>
      <c r="S255" s="4" t="str">
        <f>IFERROR(__xludf.DUMMYFUNCTION("""COMPUTED_VALUE"""),"N/A (Not found)")</f>
        <v>N/A (Not found)</v>
      </c>
      <c r="T255" s="33">
        <f>IFERROR(__xludf.DUMMYFUNCTION("""COMPUTED_VALUE"""),0.7333333333333333)</f>
        <v>0.7333333333</v>
      </c>
      <c r="U255" s="4" t="str">
        <f>IFERROR(__xludf.DUMMYFUNCTION("""COMPUTED_VALUE"""),"N/A (Not found)")</f>
        <v>N/A (Not found)</v>
      </c>
      <c r="V255" s="33">
        <f>IFERROR(__xludf.DUMMYFUNCTION("""COMPUTED_VALUE"""),0.5666666666666667)</f>
        <v>0.5666666667</v>
      </c>
      <c r="W255" s="4" t="str">
        <f>IFERROR(__xludf.DUMMYFUNCTION("""COMPUTED_VALUE"""),"N/A (Not found)")</f>
        <v>N/A (Not found)</v>
      </c>
      <c r="X255" s="33">
        <f>IFERROR(__xludf.DUMMYFUNCTION("""COMPUTED_VALUE"""),0.5)</f>
        <v>0.5</v>
      </c>
    </row>
    <row r="256">
      <c r="A256" s="4" t="str">
        <f>IFERROR(__xludf.DUMMYFUNCTION("""COMPUTED_VALUE"""),"Cantina Do Délio - Curitiba")</f>
        <v>Cantina Do Délio - Curitiba</v>
      </c>
      <c r="B256" s="4">
        <f>IFERROR(__xludf.DUMMYFUNCTION("""COMPUTED_VALUE"""),2.0)</f>
        <v>2</v>
      </c>
      <c r="C256" s="30">
        <f>IFERROR(__xludf.DUMMYFUNCTION("""COMPUTED_VALUE"""),70.0)</f>
        <v>70</v>
      </c>
      <c r="D256" s="4" t="str">
        <f>IFERROR(__xludf.DUMMYFUNCTION("""COMPUTED_VALUE"""),"Fast Casual - Multi-conceito")</f>
        <v>Fast Casual - Multi-conceito</v>
      </c>
      <c r="E256" s="4" t="str">
        <f>IFERROR(__xludf.DUMMYFUNCTION("""COMPUTED_VALUE"""),"São Paulo/SP")</f>
        <v>São Paulo/SP</v>
      </c>
      <c r="F256" s="4" t="str">
        <f>IFERROR(__xludf.DUMMYFUNCTION("""COMPUTED_VALUE"""),"Dado não disponível publicamente - Necessário Discovery")</f>
        <v>Dado não disponível publicamente - Necessário Discovery</v>
      </c>
      <c r="G256" s="4">
        <f>IFERROR(__xludf.DUMMYFUNCTION("""COMPUTED_VALUE"""),65.0)</f>
        <v>65</v>
      </c>
      <c r="H256" s="31">
        <f>IFERROR(__xludf.DUMMYFUNCTION("""COMPUTED_VALUE"""),0.75)</f>
        <v>0.75</v>
      </c>
      <c r="I25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56" s="4" t="str">
        <f>IFERROR(__xludf.DUMMYFUNCTION("""COMPUTED_VALUE"""),"LENTRECOTE DE PARIS")</f>
        <v>LENTRECOTE DE PARIS</v>
      </c>
      <c r="L256" s="32">
        <f>IFERROR(__xludf.DUMMYFUNCTION("""COMPUTED_VALUE"""),30.0)</f>
        <v>30</v>
      </c>
      <c r="M256" s="4" t="str">
        <f>IFERROR(__xludf.DUMMYFUNCTION("""COMPUTED_VALUE"""),"Ncr")</f>
        <v>Ncr</v>
      </c>
      <c r="N256" s="33">
        <f>IFERROR(__xludf.DUMMYFUNCTION("""COMPUTED_VALUE"""),0.3)</f>
        <v>0.3</v>
      </c>
      <c r="O256" s="4" t="str">
        <f>IFERROR(__xludf.DUMMYFUNCTION("""COMPUTED_VALUE"""),"null")</f>
        <v>null</v>
      </c>
      <c r="P256" s="33">
        <f>IFERROR(__xludf.DUMMYFUNCTION("""COMPUTED_VALUE"""),0.3333333333333333)</f>
        <v>0.3333333333</v>
      </c>
      <c r="Q256" s="4" t="str">
        <f>IFERROR(__xludf.DUMMYFUNCTION("""COMPUTED_VALUE"""),"null")</f>
        <v>null</v>
      </c>
      <c r="R256" s="33">
        <f>IFERROR(__xludf.DUMMYFUNCTION("""COMPUTED_VALUE"""),0.3)</f>
        <v>0.3</v>
      </c>
      <c r="S256" s="4" t="str">
        <f>IFERROR(__xludf.DUMMYFUNCTION("""COMPUTED_VALUE"""),"Ncr")</f>
        <v>Ncr</v>
      </c>
      <c r="T256" s="33">
        <f>IFERROR(__xludf.DUMMYFUNCTION("""COMPUTED_VALUE"""),0.26666666666666666)</f>
        <v>0.2666666667</v>
      </c>
      <c r="U256" s="4" t="str">
        <f>IFERROR(__xludf.DUMMYFUNCTION("""COMPUTED_VALUE"""),"null")</f>
        <v>null</v>
      </c>
      <c r="V256" s="33">
        <f>IFERROR(__xludf.DUMMYFUNCTION("""COMPUTED_VALUE"""),0.4)</f>
        <v>0.4</v>
      </c>
      <c r="W256" s="4" t="str">
        <f>IFERROR(__xludf.DUMMYFUNCTION("""COMPUTED_VALUE"""),"Ncr")</f>
        <v>Ncr</v>
      </c>
      <c r="X256" s="33">
        <f>IFERROR(__xludf.DUMMYFUNCTION("""COMPUTED_VALUE"""),0.23333333333333334)</f>
        <v>0.2333333333</v>
      </c>
    </row>
    <row r="257">
      <c r="A257" s="4" t="str">
        <f>IFERROR(__xludf.DUMMYFUNCTION("""COMPUTED_VALUE"""),"Cantina Gigio Pinheiros")</f>
        <v>Cantina Gigio Pinheiros</v>
      </c>
      <c r="B257" s="4">
        <f>IFERROR(__xludf.DUMMYFUNCTION("""COMPUTED_VALUE"""),6.0)</f>
        <v>6</v>
      </c>
      <c r="C257" s="30">
        <f>IFERROR(__xludf.DUMMYFUNCTION("""COMPUTED_VALUE"""),51.0)</f>
        <v>51</v>
      </c>
      <c r="D257" s="4" t="str">
        <f>IFERROR(__xludf.DUMMYFUNCTION("""COMPUTED_VALUE"""),"Fast Casual - Multi-conceito")</f>
        <v>Fast Casual - Multi-conceito</v>
      </c>
      <c r="E257" s="4" t="str">
        <f>IFERROR(__xludf.DUMMYFUNCTION("""COMPUTED_VALUE"""),"Regional")</f>
        <v>Regional</v>
      </c>
      <c r="F257" s="4" t="str">
        <f>IFERROR(__xludf.DUMMYFUNCTION("""COMPUTED_VALUE"""),"Dado não disponível publicamente - Necessário Discovery")</f>
        <v>Dado não disponível publicamente - Necessário Discovery</v>
      </c>
      <c r="G257" s="4">
        <f>IFERROR(__xludf.DUMMYFUNCTION("""COMPUTED_VALUE"""),70.0)</f>
        <v>70</v>
      </c>
      <c r="H257" s="31">
        <f>IFERROR(__xludf.DUMMYFUNCTION("""COMPUTED_VALUE"""),0.75)</f>
        <v>0.75</v>
      </c>
      <c r="I25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57" s="4" t="str">
        <f>IFERROR(__xludf.DUMMYFUNCTION("""COMPUTED_VALUE"""),"NUTRAFIT - CONTA MARCA")</f>
        <v>NUTRAFIT - CONTA MARCA</v>
      </c>
      <c r="L257" s="32">
        <f>IFERROR(__xludf.DUMMYFUNCTION("""COMPUTED_VALUE"""),30.0)</f>
        <v>30</v>
      </c>
      <c r="M257" s="4" t="str">
        <f>IFERROR(__xludf.DUMMYFUNCTION("""COMPUTED_VALUE"""),"N/A (Not found)")</f>
        <v>N/A (Not found)</v>
      </c>
      <c r="N257" s="33">
        <f>IFERROR(__xludf.DUMMYFUNCTION("""COMPUTED_VALUE"""),0.8)</f>
        <v>0.8</v>
      </c>
      <c r="O257" s="4" t="str">
        <f>IFERROR(__xludf.DUMMYFUNCTION("""COMPUTED_VALUE"""),"N/A (Not found)")</f>
        <v>N/A (Not found)</v>
      </c>
      <c r="P257" s="33">
        <f>IFERROR(__xludf.DUMMYFUNCTION("""COMPUTED_VALUE"""),0.8333333333333334)</f>
        <v>0.8333333333</v>
      </c>
      <c r="Q257" s="4" t="str">
        <f>IFERROR(__xludf.DUMMYFUNCTION("""COMPUTED_VALUE"""),"N/A (Not found)")</f>
        <v>N/A (Not found)</v>
      </c>
      <c r="R257" s="33">
        <f>IFERROR(__xludf.DUMMYFUNCTION("""COMPUTED_VALUE"""),0.7)</f>
        <v>0.7</v>
      </c>
      <c r="S257" s="4" t="str">
        <f>IFERROR(__xludf.DUMMYFUNCTION("""COMPUTED_VALUE"""),"N/A (Not found)")</f>
        <v>N/A (Not found)</v>
      </c>
      <c r="T257" s="33">
        <f>IFERROR(__xludf.DUMMYFUNCTION("""COMPUTED_VALUE"""),0.5333333333333333)</f>
        <v>0.5333333333</v>
      </c>
      <c r="U257" s="4" t="str">
        <f>IFERROR(__xludf.DUMMYFUNCTION("""COMPUTED_VALUE"""),"N/A (Not found)")</f>
        <v>N/A (Not found)</v>
      </c>
      <c r="V257" s="33">
        <f>IFERROR(__xludf.DUMMYFUNCTION("""COMPUTED_VALUE"""),0.6333333333333333)</f>
        <v>0.6333333333</v>
      </c>
      <c r="W257" s="4" t="str">
        <f>IFERROR(__xludf.DUMMYFUNCTION("""COMPUTED_VALUE"""),"N/A (Not found)")</f>
        <v>N/A (Not found)</v>
      </c>
      <c r="X257" s="33">
        <f>IFERROR(__xludf.DUMMYFUNCTION("""COMPUTED_VALUE"""),0.6)</f>
        <v>0.6</v>
      </c>
    </row>
    <row r="258">
      <c r="A258" s="4" t="str">
        <f>IFERROR(__xludf.DUMMYFUNCTION("""COMPUTED_VALUE"""),"Canton")</f>
        <v>Canton</v>
      </c>
      <c r="B258" s="4">
        <f>IFERROR(__xludf.DUMMYFUNCTION("""COMPUTED_VALUE"""),4.0)</f>
        <v>4</v>
      </c>
      <c r="C258" s="30">
        <f>IFERROR(__xludf.DUMMYFUNCTION("""COMPUTED_VALUE"""),66.0)</f>
        <v>66</v>
      </c>
      <c r="D258" s="4" t="str">
        <f>IFERROR(__xludf.DUMMYFUNCTION("""COMPUTED_VALUE"""),"Fast Casual - Multi-conceito")</f>
        <v>Fast Casual - Multi-conceito</v>
      </c>
      <c r="E258" s="4" t="str">
        <f>IFERROR(__xludf.DUMMYFUNCTION("""COMPUTED_VALUE"""),"Sudeste")</f>
        <v>Sudeste</v>
      </c>
      <c r="F258" s="4" t="str">
        <f>IFERROR(__xludf.DUMMYFUNCTION("""COMPUTED_VALUE"""),"Dado não disponível publicamente - Necessário Discovery")</f>
        <v>Dado não disponível publicamente - Necessário Discovery</v>
      </c>
      <c r="G258" s="4">
        <f>IFERROR(__xludf.DUMMYFUNCTION("""COMPUTED_VALUE"""),65.0)</f>
        <v>65</v>
      </c>
      <c r="H258" s="31">
        <f>IFERROR(__xludf.DUMMYFUNCTION("""COMPUTED_VALUE"""),0.75)</f>
        <v>0.75</v>
      </c>
      <c r="I25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58" s="4" t="str">
        <f>IFERROR(__xludf.DUMMYFUNCTION("""COMPUTED_VALUE"""),"PIZZA DO FREI")</f>
        <v>PIZZA DO FREI</v>
      </c>
      <c r="L258" s="32">
        <f>IFERROR(__xludf.DUMMYFUNCTION("""COMPUTED_VALUE"""),30.0)</f>
        <v>30</v>
      </c>
      <c r="M258" s="4" t="str">
        <f>IFERROR(__xludf.DUMMYFUNCTION("""COMPUTED_VALUE"""),"Agilizup Solucoes Ltda")</f>
        <v>Agilizup Solucoes Ltda</v>
      </c>
      <c r="N258" s="33">
        <f>IFERROR(__xludf.DUMMYFUNCTION("""COMPUTED_VALUE"""),1.0)</f>
        <v>1</v>
      </c>
      <c r="O258" s="4" t="str">
        <f>IFERROR(__xludf.DUMMYFUNCTION("""COMPUTED_VALUE"""),"Agilizup Solucoes Ltda")</f>
        <v>Agilizup Solucoes Ltda</v>
      </c>
      <c r="P258" s="33">
        <f>IFERROR(__xludf.DUMMYFUNCTION("""COMPUTED_VALUE"""),1.0)</f>
        <v>1</v>
      </c>
      <c r="Q258" s="4" t="str">
        <f>IFERROR(__xludf.DUMMYFUNCTION("""COMPUTED_VALUE"""),"Agilizup Solucoes Ltda")</f>
        <v>Agilizup Solucoes Ltda</v>
      </c>
      <c r="R258" s="33">
        <f>IFERROR(__xludf.DUMMYFUNCTION("""COMPUTED_VALUE"""),1.0)</f>
        <v>1</v>
      </c>
      <c r="S258" s="4" t="str">
        <f>IFERROR(__xludf.DUMMYFUNCTION("""COMPUTED_VALUE"""),"Agilizup Solucoes Ltda")</f>
        <v>Agilizup Solucoes Ltda</v>
      </c>
      <c r="T258" s="33">
        <f>IFERROR(__xludf.DUMMYFUNCTION("""COMPUTED_VALUE"""),1.0)</f>
        <v>1</v>
      </c>
      <c r="U258" s="4" t="str">
        <f>IFERROR(__xludf.DUMMYFUNCTION("""COMPUTED_VALUE"""),"Agilizup Solucoes Ltda")</f>
        <v>Agilizup Solucoes Ltda</v>
      </c>
      <c r="V258" s="33">
        <f>IFERROR(__xludf.DUMMYFUNCTION("""COMPUTED_VALUE"""),1.0)</f>
        <v>1</v>
      </c>
      <c r="W258" s="4" t="str">
        <f>IFERROR(__xludf.DUMMYFUNCTION("""COMPUTED_VALUE"""),"Agilizup Solucoes Ltda")</f>
        <v>Agilizup Solucoes Ltda</v>
      </c>
      <c r="X258" s="33">
        <f>IFERROR(__xludf.DUMMYFUNCTION("""COMPUTED_VALUE"""),1.0)</f>
        <v>1</v>
      </c>
    </row>
    <row r="259">
      <c r="A259" s="4" t="str">
        <f>IFERROR(__xludf.DUMMYFUNCTION("""COMPUTED_VALUE"""),"Caramelo Hamburgueria E Lanches")</f>
        <v>Caramelo Hamburgueria E Lanches</v>
      </c>
      <c r="B259" s="4">
        <f>IFERROR(__xludf.DUMMYFUNCTION("""COMPUTED_VALUE"""),16.0)</f>
        <v>16</v>
      </c>
      <c r="C259" s="30">
        <f>IFERROR(__xludf.DUMMYFUNCTION("""COMPUTED_VALUE"""),80.0)</f>
        <v>80</v>
      </c>
      <c r="D259" s="4" t="str">
        <f>IFERROR(__xludf.DUMMYFUNCTION("""COMPUTED_VALUE"""),"Fast Casual - Hamburgueria")</f>
        <v>Fast Casual - Hamburgueria</v>
      </c>
      <c r="E259" s="4" t="str">
        <f>IFERROR(__xludf.DUMMYFUNCTION("""COMPUTED_VALUE"""),"Nordeste")</f>
        <v>Nordeste</v>
      </c>
      <c r="F259" s="4" t="str">
        <f>IFERROR(__xludf.DUMMYFUNCTION("""COMPUTED_VALUE"""),"Dado não disponível publicamente - Necessário Discovery")</f>
        <v>Dado não disponível publicamente - Necessário Discovery</v>
      </c>
      <c r="G259" s="4">
        <f>IFERROR(__xludf.DUMMYFUNCTION("""COMPUTED_VALUE"""),70.0)</f>
        <v>70</v>
      </c>
      <c r="H259" s="31">
        <f>IFERROR(__xludf.DUMMYFUNCTION("""COMPUTED_VALUE"""),0.8)</f>
        <v>0.8</v>
      </c>
      <c r="I259"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259" s="4" t="str">
        <f>IFERROR(__xludf.DUMMYFUNCTION("""COMPUTED_VALUE"""),"REDEPHARMA NELFARMA - CONTA PAI")</f>
        <v>REDEPHARMA NELFARMA - CONTA PAI</v>
      </c>
      <c r="L259" s="32">
        <f>IFERROR(__xludf.DUMMYFUNCTION("""COMPUTED_VALUE"""),30.0)</f>
        <v>30</v>
      </c>
      <c r="M259" s="4" t="str">
        <f>IFERROR(__xludf.DUMMYFUNCTION("""COMPUTED_VALUE"""),"N/A (Not found)")</f>
        <v>N/A (Not found)</v>
      </c>
      <c r="N259" s="33">
        <f>IFERROR(__xludf.DUMMYFUNCTION("""COMPUTED_VALUE"""),1.0)</f>
        <v>1</v>
      </c>
      <c r="O259" s="4" t="str">
        <f>IFERROR(__xludf.DUMMYFUNCTION("""COMPUTED_VALUE"""),"N/A (Not found)")</f>
        <v>N/A (Not found)</v>
      </c>
      <c r="P259" s="33">
        <f>IFERROR(__xludf.DUMMYFUNCTION("""COMPUTED_VALUE"""),0.9666666666666667)</f>
        <v>0.9666666667</v>
      </c>
      <c r="Q259" s="4" t="str">
        <f>IFERROR(__xludf.DUMMYFUNCTION("""COMPUTED_VALUE"""),"N/A (Not found)")</f>
        <v>N/A (Not found)</v>
      </c>
      <c r="R259" s="33">
        <f>IFERROR(__xludf.DUMMYFUNCTION("""COMPUTED_VALUE"""),0.9666666666666667)</f>
        <v>0.9666666667</v>
      </c>
      <c r="S259" s="4" t="str">
        <f>IFERROR(__xludf.DUMMYFUNCTION("""COMPUTED_VALUE"""),"N/A (Not found)")</f>
        <v>N/A (Not found)</v>
      </c>
      <c r="T259" s="33">
        <f>IFERROR(__xludf.DUMMYFUNCTION("""COMPUTED_VALUE"""),1.0)</f>
        <v>1</v>
      </c>
      <c r="U259" s="4" t="str">
        <f>IFERROR(__xludf.DUMMYFUNCTION("""COMPUTED_VALUE"""),"N/A (Not found)")</f>
        <v>N/A (Not found)</v>
      </c>
      <c r="V259" s="33">
        <f>IFERROR(__xludf.DUMMYFUNCTION("""COMPUTED_VALUE"""),1.0)</f>
        <v>1</v>
      </c>
      <c r="W259" s="4" t="str">
        <f>IFERROR(__xludf.DUMMYFUNCTION("""COMPUTED_VALUE"""),"N/A (Not found)")</f>
        <v>N/A (Not found)</v>
      </c>
      <c r="X259" s="33">
        <f>IFERROR(__xludf.DUMMYFUNCTION("""COMPUTED_VALUE"""),1.0)</f>
        <v>1</v>
      </c>
    </row>
    <row r="260">
      <c r="A260" s="4" t="str">
        <f>IFERROR(__xludf.DUMMYFUNCTION("""COMPUTED_VALUE"""),"Carol Coxinhas")</f>
        <v>Carol Coxinhas</v>
      </c>
      <c r="B260" s="4">
        <f>IFERROR(__xludf.DUMMYFUNCTION("""COMPUTED_VALUE"""),2.0)</f>
        <v>2</v>
      </c>
      <c r="C260" s="30">
        <f>IFERROR(__xludf.DUMMYFUNCTION("""COMPUTED_VALUE"""),52.0)</f>
        <v>52</v>
      </c>
      <c r="D260" s="4" t="str">
        <f>IFERROR(__xludf.DUMMYFUNCTION("""COMPUTED_VALUE"""),"Fast Casual - Multi-conceito")</f>
        <v>Fast Casual - Multi-conceito</v>
      </c>
      <c r="E260" s="4" t="str">
        <f>IFERROR(__xludf.DUMMYFUNCTION("""COMPUTED_VALUE"""),"Sudeste")</f>
        <v>Sudeste</v>
      </c>
      <c r="F260" s="4" t="str">
        <f>IFERROR(__xludf.DUMMYFUNCTION("""COMPUTED_VALUE"""),"Dado não disponível publicamente - Necessário Discovery")</f>
        <v>Dado não disponível publicamente - Necessário Discovery</v>
      </c>
      <c r="G260" s="4">
        <f>IFERROR(__xludf.DUMMYFUNCTION("""COMPUTED_VALUE"""),65.0)</f>
        <v>65</v>
      </c>
      <c r="H260" s="31">
        <f>IFERROR(__xludf.DUMMYFUNCTION("""COMPUTED_VALUE"""),0.75)</f>
        <v>0.75</v>
      </c>
      <c r="I26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60" s="4" t="str">
        <f>IFERROR(__xludf.DUMMYFUNCTION("""COMPUTED_VALUE"""),"SPEDINI")</f>
        <v>SPEDINI</v>
      </c>
      <c r="L260" s="32">
        <f>IFERROR(__xludf.DUMMYFUNCTION("""COMPUTED_VALUE"""),30.0)</f>
        <v>30</v>
      </c>
      <c r="M260" s="4" t="str">
        <f>IFERROR(__xludf.DUMMYFUNCTION("""COMPUTED_VALUE"""),"Cloudfy")</f>
        <v>Cloudfy</v>
      </c>
      <c r="N260" s="33">
        <f>IFERROR(__xludf.DUMMYFUNCTION("""COMPUTED_VALUE"""),0.9333333333333333)</f>
        <v>0.9333333333</v>
      </c>
      <c r="O260" s="4" t="str">
        <f>IFERROR(__xludf.DUMMYFUNCTION("""COMPUTED_VALUE"""),"Cloudfy")</f>
        <v>Cloudfy</v>
      </c>
      <c r="P260" s="33">
        <f>IFERROR(__xludf.DUMMYFUNCTION("""COMPUTED_VALUE"""),1.0)</f>
        <v>1</v>
      </c>
      <c r="Q260" s="4" t="str">
        <f>IFERROR(__xludf.DUMMYFUNCTION("""COMPUTED_VALUE"""),"Cloudfy")</f>
        <v>Cloudfy</v>
      </c>
      <c r="R260" s="33">
        <f>IFERROR(__xludf.DUMMYFUNCTION("""COMPUTED_VALUE"""),0.9333333333333333)</f>
        <v>0.9333333333</v>
      </c>
      <c r="S260" s="4" t="str">
        <f>IFERROR(__xludf.DUMMYFUNCTION("""COMPUTED_VALUE"""),"Cloudfy")</f>
        <v>Cloudfy</v>
      </c>
      <c r="T260" s="33">
        <f>IFERROR(__xludf.DUMMYFUNCTION("""COMPUTED_VALUE"""),0.8666666666666667)</f>
        <v>0.8666666667</v>
      </c>
      <c r="U260" s="4" t="str">
        <f>IFERROR(__xludf.DUMMYFUNCTION("""COMPUTED_VALUE"""),"Cloudfy")</f>
        <v>Cloudfy</v>
      </c>
      <c r="V260" s="33">
        <f>IFERROR(__xludf.DUMMYFUNCTION("""COMPUTED_VALUE"""),0.9666666666666667)</f>
        <v>0.9666666667</v>
      </c>
      <c r="W260" s="4" t="str">
        <f>IFERROR(__xludf.DUMMYFUNCTION("""COMPUTED_VALUE"""),"Cloudfy")</f>
        <v>Cloudfy</v>
      </c>
      <c r="X260" s="33">
        <f>IFERROR(__xludf.DUMMYFUNCTION("""COMPUTED_VALUE"""),1.0)</f>
        <v>1</v>
      </c>
    </row>
    <row r="261">
      <c r="A261" s="4" t="str">
        <f>IFERROR(__xludf.DUMMYFUNCTION("""COMPUTED_VALUE"""),"Casa Da Feijoada Do Paulinho")</f>
        <v>Casa Da Feijoada Do Paulinho</v>
      </c>
      <c r="B261" s="4">
        <f>IFERROR(__xludf.DUMMYFUNCTION("""COMPUTED_VALUE"""),8.0)</f>
        <v>8</v>
      </c>
      <c r="C261" s="30">
        <f>IFERROR(__xludf.DUMMYFUNCTION("""COMPUTED_VALUE"""),73.0)</f>
        <v>73</v>
      </c>
      <c r="D261" s="4" t="str">
        <f>IFERROR(__xludf.DUMMYFUNCTION("""COMPUTED_VALUE"""),"Fast Casual - Multi-conceito")</f>
        <v>Fast Casual - Multi-conceito</v>
      </c>
      <c r="E261" s="4" t="str">
        <f>IFERROR(__xludf.DUMMYFUNCTION("""COMPUTED_VALUE"""),"São Paulo/SP")</f>
        <v>São Paulo/SP</v>
      </c>
      <c r="F261" s="4" t="str">
        <f>IFERROR(__xludf.DUMMYFUNCTION("""COMPUTED_VALUE"""),"Dado não disponível publicamente - Necessário Discovery")</f>
        <v>Dado não disponível publicamente - Necessário Discovery</v>
      </c>
      <c r="G261" s="4">
        <f>IFERROR(__xludf.DUMMYFUNCTION("""COMPUTED_VALUE"""),70.0)</f>
        <v>70</v>
      </c>
      <c r="H261" s="31">
        <f>IFERROR(__xludf.DUMMYFUNCTION("""COMPUTED_VALUE"""),0.75)</f>
        <v>0.75</v>
      </c>
      <c r="I26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61" s="4" t="str">
        <f>IFERROR(__xludf.DUMMYFUNCTION("""COMPUTED_VALUE"""),"JAPESCA SUSHI")</f>
        <v>JAPESCA SUSHI</v>
      </c>
      <c r="L261" s="32">
        <f>IFERROR(__xludf.DUMMYFUNCTION("""COMPUTED_VALUE"""),29.0)</f>
        <v>29</v>
      </c>
      <c r="M261" s="4" t="str">
        <f>IFERROR(__xludf.DUMMYFUNCTION("""COMPUTED_VALUE"""),"Bitbar")</f>
        <v>Bitbar</v>
      </c>
      <c r="N261" s="33">
        <f>IFERROR(__xludf.DUMMYFUNCTION("""COMPUTED_VALUE"""),0.4827586206896552)</f>
        <v>0.4827586207</v>
      </c>
      <c r="O261" s="4" t="str">
        <f>IFERROR(__xludf.DUMMYFUNCTION("""COMPUTED_VALUE"""),"Saipos Serviços De Software")</f>
        <v>Saipos Serviços De Software</v>
      </c>
      <c r="P261" s="33">
        <f>IFERROR(__xludf.DUMMYFUNCTION("""COMPUTED_VALUE"""),0.4482758620689655)</f>
        <v>0.4482758621</v>
      </c>
      <c r="Q261" s="4" t="str">
        <f>IFERROR(__xludf.DUMMYFUNCTION("""COMPUTED_VALUE"""),"Saipos Serviços De Software")</f>
        <v>Saipos Serviços De Software</v>
      </c>
      <c r="R261" s="33">
        <f>IFERROR(__xludf.DUMMYFUNCTION("""COMPUTED_VALUE"""),0.4482758620689655)</f>
        <v>0.4482758621</v>
      </c>
      <c r="S261" s="4" t="str">
        <f>IFERROR(__xludf.DUMMYFUNCTION("""COMPUTED_VALUE"""),"Saipos Serviços De Software")</f>
        <v>Saipos Serviços De Software</v>
      </c>
      <c r="T261" s="33">
        <f>IFERROR(__xludf.DUMMYFUNCTION("""COMPUTED_VALUE"""),0.41379310344827586)</f>
        <v>0.4137931034</v>
      </c>
      <c r="U261" s="4" t="str">
        <f>IFERROR(__xludf.DUMMYFUNCTION("""COMPUTED_VALUE"""),"Saipos Serviços De Software")</f>
        <v>Saipos Serviços De Software</v>
      </c>
      <c r="V261" s="33">
        <f>IFERROR(__xludf.DUMMYFUNCTION("""COMPUTED_VALUE"""),0.41379310344827586)</f>
        <v>0.4137931034</v>
      </c>
      <c r="W261" s="4" t="str">
        <f>IFERROR(__xludf.DUMMYFUNCTION("""COMPUTED_VALUE"""),"Saipos Serviços De Software")</f>
        <v>Saipos Serviços De Software</v>
      </c>
      <c r="X261" s="33">
        <f>IFERROR(__xludf.DUMMYFUNCTION("""COMPUTED_VALUE"""),0.4482758620689655)</f>
        <v>0.4482758621</v>
      </c>
    </row>
    <row r="262">
      <c r="A262" s="4" t="str">
        <f>IFERROR(__xludf.DUMMYFUNCTION("""COMPUTED_VALUE"""),"Casa Da Sobremesa Norte-Sul")</f>
        <v>Casa Da Sobremesa Norte-Sul</v>
      </c>
      <c r="B262" s="4">
        <f>IFERROR(__xludf.DUMMYFUNCTION("""COMPUTED_VALUE"""),7.0)</f>
        <v>7</v>
      </c>
      <c r="C262" s="30">
        <f>IFERROR(__xludf.DUMMYFUNCTION("""COMPUTED_VALUE"""),59.0)</f>
        <v>59</v>
      </c>
      <c r="D262" s="4" t="str">
        <f>IFERROR(__xludf.DUMMYFUNCTION("""COMPUTED_VALUE"""),"Fast Casual - Multi-conceito")</f>
        <v>Fast Casual - Multi-conceito</v>
      </c>
      <c r="E262" s="4" t="str">
        <f>IFERROR(__xludf.DUMMYFUNCTION("""COMPUTED_VALUE"""),"Nacional")</f>
        <v>Nacional</v>
      </c>
      <c r="F262" s="4" t="str">
        <f>IFERROR(__xludf.DUMMYFUNCTION("""COMPUTED_VALUE"""),"Dado não disponível publicamente - Necessário Discovery")</f>
        <v>Dado não disponível publicamente - Necessário Discovery</v>
      </c>
      <c r="G262" s="4">
        <f>IFERROR(__xludf.DUMMYFUNCTION("""COMPUTED_VALUE"""),70.0)</f>
        <v>70</v>
      </c>
      <c r="H262" s="31">
        <f>IFERROR(__xludf.DUMMYFUNCTION("""COMPUTED_VALUE"""),0.75)</f>
        <v>0.75</v>
      </c>
      <c r="I26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62" s="4" t="str">
        <f>IFERROR(__xludf.DUMMYFUNCTION("""COMPUTED_VALUE"""),"MAMMA JAMMA")</f>
        <v>MAMMA JAMMA</v>
      </c>
      <c r="L262" s="32">
        <f>IFERROR(__xludf.DUMMYFUNCTION("""COMPUTED_VALUE"""),29.0)</f>
        <v>29</v>
      </c>
      <c r="M262" s="4" t="str">
        <f>IFERROR(__xludf.DUMMYFUNCTION("""COMPUTED_VALUE"""),"Ncr")</f>
        <v>Ncr</v>
      </c>
      <c r="N262" s="33">
        <f>IFERROR(__xludf.DUMMYFUNCTION("""COMPUTED_VALUE"""),1.0)</f>
        <v>1</v>
      </c>
      <c r="O262" s="4" t="str">
        <f>IFERROR(__xludf.DUMMYFUNCTION("""COMPUTED_VALUE"""),"Ncr")</f>
        <v>Ncr</v>
      </c>
      <c r="P262" s="33">
        <f>IFERROR(__xludf.DUMMYFUNCTION("""COMPUTED_VALUE"""),0.5862068965517241)</f>
        <v>0.5862068966</v>
      </c>
      <c r="Q262" s="4" t="str">
        <f>IFERROR(__xludf.DUMMYFUNCTION("""COMPUTED_VALUE"""),"Ncr")</f>
        <v>Ncr</v>
      </c>
      <c r="R262" s="33">
        <f>IFERROR(__xludf.DUMMYFUNCTION("""COMPUTED_VALUE"""),0.5862068965517241)</f>
        <v>0.5862068966</v>
      </c>
      <c r="S262" s="4" t="str">
        <f>IFERROR(__xludf.DUMMYFUNCTION("""COMPUTED_VALUE"""),"Ncr")</f>
        <v>Ncr</v>
      </c>
      <c r="T262" s="33">
        <f>IFERROR(__xludf.DUMMYFUNCTION("""COMPUTED_VALUE"""),0.5862068965517241)</f>
        <v>0.5862068966</v>
      </c>
      <c r="U262" s="4" t="str">
        <f>IFERROR(__xludf.DUMMYFUNCTION("""COMPUTED_VALUE"""),"Ncr")</f>
        <v>Ncr</v>
      </c>
      <c r="V262" s="33">
        <f>IFERROR(__xludf.DUMMYFUNCTION("""COMPUTED_VALUE"""),0.5862068965517241)</f>
        <v>0.5862068966</v>
      </c>
      <c r="W262" s="4" t="str">
        <f>IFERROR(__xludf.DUMMYFUNCTION("""COMPUTED_VALUE"""),"Ncr")</f>
        <v>Ncr</v>
      </c>
      <c r="X262" s="33">
        <f>IFERROR(__xludf.DUMMYFUNCTION("""COMPUTED_VALUE"""),0.4827586206896552)</f>
        <v>0.4827586207</v>
      </c>
    </row>
    <row r="263">
      <c r="A263" s="4" t="str">
        <f>IFERROR(__xludf.DUMMYFUNCTION("""COMPUTED_VALUE"""),"Caseratto Food")</f>
        <v>Caseratto Food</v>
      </c>
      <c r="B263" s="4">
        <f>IFERROR(__xludf.DUMMYFUNCTION("""COMPUTED_VALUE"""),4.0)</f>
        <v>4</v>
      </c>
      <c r="C263" s="30">
        <f>IFERROR(__xludf.DUMMYFUNCTION("""COMPUTED_VALUE"""),57.0)</f>
        <v>57</v>
      </c>
      <c r="D263" s="4" t="str">
        <f>IFERROR(__xludf.DUMMYFUNCTION("""COMPUTED_VALUE"""),"Fast Casual - Multi-conceito")</f>
        <v>Fast Casual - Multi-conceito</v>
      </c>
      <c r="E263" s="4" t="str">
        <f>IFERROR(__xludf.DUMMYFUNCTION("""COMPUTED_VALUE"""),"Regional")</f>
        <v>Regional</v>
      </c>
      <c r="F263" s="4" t="str">
        <f>IFERROR(__xludf.DUMMYFUNCTION("""COMPUTED_VALUE"""),"Dado não disponível publicamente - Necessário Discovery")</f>
        <v>Dado não disponível publicamente - Necessário Discovery</v>
      </c>
      <c r="G263" s="4">
        <f>IFERROR(__xludf.DUMMYFUNCTION("""COMPUTED_VALUE"""),65.0)</f>
        <v>65</v>
      </c>
      <c r="H263" s="31">
        <f>IFERROR(__xludf.DUMMYFUNCTION("""COMPUTED_VALUE"""),0.75)</f>
        <v>0.75</v>
      </c>
      <c r="I26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63" s="4" t="str">
        <f>IFERROR(__xludf.DUMMYFUNCTION("""COMPUTED_VALUE"""),"OBA OBA PIZZAS")</f>
        <v>OBA OBA PIZZAS</v>
      </c>
      <c r="L263" s="32">
        <f>IFERROR(__xludf.DUMMYFUNCTION("""COMPUTED_VALUE"""),29.0)</f>
        <v>29</v>
      </c>
      <c r="M263" s="4" t="str">
        <f>IFERROR(__xludf.DUMMYFUNCTION("""COMPUTED_VALUE"""),"Saipos Serviços De Software")</f>
        <v>Saipos Serviços De Software</v>
      </c>
      <c r="N263" s="33">
        <f>IFERROR(__xludf.DUMMYFUNCTION("""COMPUTED_VALUE"""),0.9310344827586207)</f>
        <v>0.9310344828</v>
      </c>
      <c r="O263" s="4" t="str">
        <f>IFERROR(__xludf.DUMMYFUNCTION("""COMPUTED_VALUE"""),"Saipos Serviços De Software")</f>
        <v>Saipos Serviços De Software</v>
      </c>
      <c r="P263" s="33">
        <f>IFERROR(__xludf.DUMMYFUNCTION("""COMPUTED_VALUE"""),0.896551724137931)</f>
        <v>0.8965517241</v>
      </c>
      <c r="Q263" s="4" t="str">
        <f>IFERROR(__xludf.DUMMYFUNCTION("""COMPUTED_VALUE"""),"Saipos Serviços De Software")</f>
        <v>Saipos Serviços De Software</v>
      </c>
      <c r="R263" s="33">
        <f>IFERROR(__xludf.DUMMYFUNCTION("""COMPUTED_VALUE"""),0.9310344827586207)</f>
        <v>0.9310344828</v>
      </c>
      <c r="S263" s="4" t="str">
        <f>IFERROR(__xludf.DUMMYFUNCTION("""COMPUTED_VALUE"""),"Saipos Serviços De Software")</f>
        <v>Saipos Serviços De Software</v>
      </c>
      <c r="T263" s="33">
        <f>IFERROR(__xludf.DUMMYFUNCTION("""COMPUTED_VALUE"""),0.9310344827586207)</f>
        <v>0.9310344828</v>
      </c>
      <c r="U263" s="4" t="str">
        <f>IFERROR(__xludf.DUMMYFUNCTION("""COMPUTED_VALUE"""),"Saipos Serviços De Software")</f>
        <v>Saipos Serviços De Software</v>
      </c>
      <c r="V263" s="33">
        <f>IFERROR(__xludf.DUMMYFUNCTION("""COMPUTED_VALUE"""),0.9310344827586207)</f>
        <v>0.9310344828</v>
      </c>
      <c r="W263" s="4" t="str">
        <f>IFERROR(__xludf.DUMMYFUNCTION("""COMPUTED_VALUE"""),"Saipos Serviços De Software")</f>
        <v>Saipos Serviços De Software</v>
      </c>
      <c r="X263" s="33">
        <f>IFERROR(__xludf.DUMMYFUNCTION("""COMPUTED_VALUE"""),0.896551724137931)</f>
        <v>0.8965517241</v>
      </c>
    </row>
    <row r="264">
      <c r="A264" s="4" t="str">
        <f>IFERROR(__xludf.DUMMYFUNCTION("""COMPUTED_VALUE"""),"Castelo Alemão - Marca")</f>
        <v>Castelo Alemão - Marca</v>
      </c>
      <c r="B264" s="4">
        <f>IFERROR(__xludf.DUMMYFUNCTION("""COMPUTED_VALUE"""),5.0)</f>
        <v>5</v>
      </c>
      <c r="C264" s="30">
        <f>IFERROR(__xludf.DUMMYFUNCTION("""COMPUTED_VALUE"""),55.0)</f>
        <v>55</v>
      </c>
      <c r="D264" s="4" t="str">
        <f>IFERROR(__xludf.DUMMYFUNCTION("""COMPUTED_VALUE"""),"Fast Casual - Multi-conceito")</f>
        <v>Fast Casual - Multi-conceito</v>
      </c>
      <c r="E264" s="4" t="str">
        <f>IFERROR(__xludf.DUMMYFUNCTION("""COMPUTED_VALUE"""),"Brasília/DF")</f>
        <v>Brasília/DF</v>
      </c>
      <c r="F264" s="4" t="str">
        <f>IFERROR(__xludf.DUMMYFUNCTION("""COMPUTED_VALUE"""),"Dado não disponível publicamente - Necessário Discovery")</f>
        <v>Dado não disponível publicamente - Necessário Discovery</v>
      </c>
      <c r="G264" s="4">
        <f>IFERROR(__xludf.DUMMYFUNCTION("""COMPUTED_VALUE"""),70.0)</f>
        <v>70</v>
      </c>
      <c r="H264" s="31">
        <f>IFERROR(__xludf.DUMMYFUNCTION("""COMPUTED_VALUE"""),0.75)</f>
        <v>0.75</v>
      </c>
      <c r="I26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64" s="4" t="str">
        <f>IFERROR(__xludf.DUMMYFUNCTION("""COMPUTED_VALUE"""),"PIADINA ROMAGNOLA")</f>
        <v>PIADINA ROMAGNOLA</v>
      </c>
      <c r="L264" s="32">
        <f>IFERROR(__xludf.DUMMYFUNCTION("""COMPUTED_VALUE"""),29.0)</f>
        <v>29</v>
      </c>
      <c r="M264" s="4" t="str">
        <f>IFERROR(__xludf.DUMMYFUNCTION("""COMPUTED_VALUE"""),"E-deploy Retail")</f>
        <v>E-deploy Retail</v>
      </c>
      <c r="N264" s="33">
        <f>IFERROR(__xludf.DUMMYFUNCTION("""COMPUTED_VALUE"""),0.5172413793103449)</f>
        <v>0.5172413793</v>
      </c>
      <c r="O264" s="4" t="str">
        <f>IFERROR(__xludf.DUMMYFUNCTION("""COMPUTED_VALUE"""),"E-deploy Retail")</f>
        <v>E-deploy Retail</v>
      </c>
      <c r="P264" s="33">
        <f>IFERROR(__xludf.DUMMYFUNCTION("""COMPUTED_VALUE"""),0.896551724137931)</f>
        <v>0.8965517241</v>
      </c>
      <c r="Q264" s="4" t="str">
        <f>IFERROR(__xludf.DUMMYFUNCTION("""COMPUTED_VALUE"""),"E-deploy Retail")</f>
        <v>E-deploy Retail</v>
      </c>
      <c r="R264" s="33">
        <f>IFERROR(__xludf.DUMMYFUNCTION("""COMPUTED_VALUE"""),0.8620689655172413)</f>
        <v>0.8620689655</v>
      </c>
      <c r="S264" s="4" t="str">
        <f>IFERROR(__xludf.DUMMYFUNCTION("""COMPUTED_VALUE"""),"E-deploy Retail")</f>
        <v>E-deploy Retail</v>
      </c>
      <c r="T264" s="33">
        <f>IFERROR(__xludf.DUMMYFUNCTION("""COMPUTED_VALUE"""),0.9310344827586207)</f>
        <v>0.9310344828</v>
      </c>
      <c r="U264" s="4" t="str">
        <f>IFERROR(__xludf.DUMMYFUNCTION("""COMPUTED_VALUE"""),"E-deploy Retail")</f>
        <v>E-deploy Retail</v>
      </c>
      <c r="V264" s="33">
        <f>IFERROR(__xludf.DUMMYFUNCTION("""COMPUTED_VALUE"""),0.9655172413793104)</f>
        <v>0.9655172414</v>
      </c>
      <c r="W264" s="4" t="str">
        <f>IFERROR(__xludf.DUMMYFUNCTION("""COMPUTED_VALUE"""),"E-deploy Retail")</f>
        <v>E-deploy Retail</v>
      </c>
      <c r="X264" s="33">
        <f>IFERROR(__xludf.DUMMYFUNCTION("""COMPUTED_VALUE"""),0.8620689655172413)</f>
        <v>0.8620689655</v>
      </c>
    </row>
    <row r="265">
      <c r="A265" s="4" t="str">
        <f>IFERROR(__xludf.DUMMYFUNCTION("""COMPUTED_VALUE"""),"Cereja Grill")</f>
        <v>Cereja Grill</v>
      </c>
      <c r="B265" s="4">
        <f>IFERROR(__xludf.DUMMYFUNCTION("""COMPUTED_VALUE"""),6.0)</f>
        <v>6</v>
      </c>
      <c r="C265" s="30">
        <f>IFERROR(__xludf.DUMMYFUNCTION("""COMPUTED_VALUE"""),121.0)</f>
        <v>121</v>
      </c>
      <c r="D265" s="4" t="str">
        <f>IFERROR(__xludf.DUMMYFUNCTION("""COMPUTED_VALUE"""),"Table Service - Churrascaria")</f>
        <v>Table Service - Churrascaria</v>
      </c>
      <c r="E265" s="4" t="str">
        <f>IFERROR(__xludf.DUMMYFUNCTION("""COMPUTED_VALUE"""),"Brasília/DF")</f>
        <v>Brasília/DF</v>
      </c>
      <c r="F265" s="4" t="str">
        <f>IFERROR(__xludf.DUMMYFUNCTION("""COMPUTED_VALUE"""),"Dado não disponível publicamente - Necessário Discovery")</f>
        <v>Dado não disponível publicamente - Necessário Discovery</v>
      </c>
      <c r="G265" s="4">
        <f>IFERROR(__xludf.DUMMYFUNCTION("""COMPUTED_VALUE"""),60.0)</f>
        <v>60</v>
      </c>
      <c r="H265" s="31">
        <f>IFERROR(__xludf.DUMMYFUNCTION("""COMPUTED_VALUE"""),0.65)</f>
        <v>0.65</v>
      </c>
      <c r="I26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65" s="4" t="str">
        <f>IFERROR(__xludf.DUMMYFUNCTION("""COMPUTED_VALUE"""),"SHOPPING DOS COSMETICOS - CONTA MARCA")</f>
        <v>SHOPPING DOS COSMETICOS - CONTA MARCA</v>
      </c>
      <c r="L265" s="32">
        <f>IFERROR(__xludf.DUMMYFUNCTION("""COMPUTED_VALUE"""),29.0)</f>
        <v>29</v>
      </c>
      <c r="M265" s="4" t="str">
        <f>IFERROR(__xludf.DUMMYFUNCTION("""COMPUTED_VALUE"""),"N/A (Not found)")</f>
        <v>N/A (Not found)</v>
      </c>
      <c r="N265" s="33">
        <f>IFERROR(__xludf.DUMMYFUNCTION("""COMPUTED_VALUE"""),1.0)</f>
        <v>1</v>
      </c>
      <c r="O265" s="4" t="str">
        <f>IFERROR(__xludf.DUMMYFUNCTION("""COMPUTED_VALUE"""),"N/A (Not found)")</f>
        <v>N/A (Not found)</v>
      </c>
      <c r="P265" s="33">
        <f>IFERROR(__xludf.DUMMYFUNCTION("""COMPUTED_VALUE"""),1.0)</f>
        <v>1</v>
      </c>
      <c r="Q265" s="4" t="str">
        <f>IFERROR(__xludf.DUMMYFUNCTION("""COMPUTED_VALUE"""),"N/A (Not found)")</f>
        <v>N/A (Not found)</v>
      </c>
      <c r="R265" s="33">
        <f>IFERROR(__xludf.DUMMYFUNCTION("""COMPUTED_VALUE"""),1.0)</f>
        <v>1</v>
      </c>
      <c r="S265" s="4" t="str">
        <f>IFERROR(__xludf.DUMMYFUNCTION("""COMPUTED_VALUE"""),"N/A (Not found)")</f>
        <v>N/A (Not found)</v>
      </c>
      <c r="T265" s="33">
        <f>IFERROR(__xludf.DUMMYFUNCTION("""COMPUTED_VALUE"""),1.0)</f>
        <v>1</v>
      </c>
      <c r="U265" s="4" t="str">
        <f>IFERROR(__xludf.DUMMYFUNCTION("""COMPUTED_VALUE"""),"N/A (Not found)")</f>
        <v>N/A (Not found)</v>
      </c>
      <c r="V265" s="33">
        <f>IFERROR(__xludf.DUMMYFUNCTION("""COMPUTED_VALUE"""),1.0)</f>
        <v>1</v>
      </c>
      <c r="W265" s="4" t="str">
        <f>IFERROR(__xludf.DUMMYFUNCTION("""COMPUTED_VALUE"""),"N/A (Not found)")</f>
        <v>N/A (Not found)</v>
      </c>
      <c r="X265" s="33">
        <f>IFERROR(__xludf.DUMMYFUNCTION("""COMPUTED_VALUE"""),1.0)</f>
        <v>1</v>
      </c>
    </row>
    <row r="266">
      <c r="A266" s="4" t="str">
        <f>IFERROR(__xludf.DUMMYFUNCTION("""COMPUTED_VALUE"""),"Chef Sushi - Conta Marca")</f>
        <v>Chef Sushi - Conta Marca</v>
      </c>
      <c r="B266" s="4">
        <f>IFERROR(__xludf.DUMMYFUNCTION("""COMPUTED_VALUE"""),8.0)</f>
        <v>8</v>
      </c>
      <c r="C266" s="30">
        <f>IFERROR(__xludf.DUMMYFUNCTION("""COMPUTED_VALUE"""),78.0)</f>
        <v>78</v>
      </c>
      <c r="D266" s="4" t="str">
        <f>IFERROR(__xludf.DUMMYFUNCTION("""COMPUTED_VALUE"""),"Fast Casual - Japonesa")</f>
        <v>Fast Casual - Japonesa</v>
      </c>
      <c r="E266" s="4" t="str">
        <f>IFERROR(__xludf.DUMMYFUNCTION("""COMPUTED_VALUE"""),"Sul")</f>
        <v>Sul</v>
      </c>
      <c r="F266" s="4" t="str">
        <f>IFERROR(__xludf.DUMMYFUNCTION("""COMPUTED_VALUE"""),"Dado não disponível publicamente - Necessário Discovery")</f>
        <v>Dado não disponível publicamente - Necessário Discovery</v>
      </c>
      <c r="G266" s="4">
        <f>IFERROR(__xludf.DUMMYFUNCTION("""COMPUTED_VALUE"""),70.0)</f>
        <v>70</v>
      </c>
      <c r="H266" s="31">
        <f>IFERROR(__xludf.DUMMYFUNCTION("""COMPUTED_VALUE"""),0.75)</f>
        <v>0.75</v>
      </c>
      <c r="I26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66" s="4" t="str">
        <f>IFERROR(__xludf.DUMMYFUNCTION("""COMPUTED_VALUE"""),"AMOR AOS PEDACOS")</f>
        <v>AMOR AOS PEDACOS</v>
      </c>
      <c r="L266" s="32">
        <f>IFERROR(__xludf.DUMMYFUNCTION("""COMPUTED_VALUE"""),28.0)</f>
        <v>28</v>
      </c>
      <c r="M266" s="4" t="str">
        <f>IFERROR(__xludf.DUMMYFUNCTION("""COMPUTED_VALUE"""),"Eclética Tecnologia")</f>
        <v>Eclética Tecnologia</v>
      </c>
      <c r="N266" s="33">
        <f>IFERROR(__xludf.DUMMYFUNCTION("""COMPUTED_VALUE"""),0.8928571428571429)</f>
        <v>0.8928571429</v>
      </c>
      <c r="O266" s="4" t="str">
        <f>IFERROR(__xludf.DUMMYFUNCTION("""COMPUTED_VALUE"""),"Eclética Tecnologia")</f>
        <v>Eclética Tecnologia</v>
      </c>
      <c r="P266" s="33">
        <f>IFERROR(__xludf.DUMMYFUNCTION("""COMPUTED_VALUE"""),0.8571428571428571)</f>
        <v>0.8571428571</v>
      </c>
      <c r="Q266" s="4" t="str">
        <f>IFERROR(__xludf.DUMMYFUNCTION("""COMPUTED_VALUE"""),"Eclética Tecnologia")</f>
        <v>Eclética Tecnologia</v>
      </c>
      <c r="R266" s="33">
        <f>IFERROR(__xludf.DUMMYFUNCTION("""COMPUTED_VALUE"""),0.8571428571428571)</f>
        <v>0.8571428571</v>
      </c>
      <c r="S266" s="4" t="str">
        <f>IFERROR(__xludf.DUMMYFUNCTION("""COMPUTED_VALUE"""),"Eclética Tecnologia")</f>
        <v>Eclética Tecnologia</v>
      </c>
      <c r="T266" s="33">
        <f>IFERROR(__xludf.DUMMYFUNCTION("""COMPUTED_VALUE"""),0.9285714285714286)</f>
        <v>0.9285714286</v>
      </c>
      <c r="U266" s="4" t="str">
        <f>IFERROR(__xludf.DUMMYFUNCTION("""COMPUTED_VALUE"""),"Eclética Tecnologia")</f>
        <v>Eclética Tecnologia</v>
      </c>
      <c r="V266" s="33">
        <f>IFERROR(__xludf.DUMMYFUNCTION("""COMPUTED_VALUE"""),0.8571428571428571)</f>
        <v>0.8571428571</v>
      </c>
      <c r="W266" s="4" t="str">
        <f>IFERROR(__xludf.DUMMYFUNCTION("""COMPUTED_VALUE"""),"Eclética Tecnologia")</f>
        <v>Eclética Tecnologia</v>
      </c>
      <c r="X266" s="33">
        <f>IFERROR(__xludf.DUMMYFUNCTION("""COMPUTED_VALUE"""),0.8928571428571429)</f>
        <v>0.8928571429</v>
      </c>
    </row>
    <row r="267">
      <c r="A267" s="4" t="str">
        <f>IFERROR(__xludf.DUMMYFUNCTION("""COMPUTED_VALUE"""),"Cheppitos")</f>
        <v>Cheppitos</v>
      </c>
      <c r="B267" s="4">
        <f>IFERROR(__xludf.DUMMYFUNCTION("""COMPUTED_VALUE"""),6.0)</f>
        <v>6</v>
      </c>
      <c r="C267" s="30">
        <f>IFERROR(__xludf.DUMMYFUNCTION("""COMPUTED_VALUE"""),74.0)</f>
        <v>74</v>
      </c>
      <c r="D267" s="4" t="str">
        <f>IFERROR(__xludf.DUMMYFUNCTION("""COMPUTED_VALUE"""),"Fast Casual - Multi-conceito")</f>
        <v>Fast Casual - Multi-conceito</v>
      </c>
      <c r="E267" s="4" t="str">
        <f>IFERROR(__xludf.DUMMYFUNCTION("""COMPUTED_VALUE"""),"Nacional")</f>
        <v>Nacional</v>
      </c>
      <c r="F267" s="4" t="str">
        <f>IFERROR(__xludf.DUMMYFUNCTION("""COMPUTED_VALUE"""),"Dado não disponível publicamente - Necessário Discovery")</f>
        <v>Dado não disponível publicamente - Necessário Discovery</v>
      </c>
      <c r="G267" s="4">
        <f>IFERROR(__xludf.DUMMYFUNCTION("""COMPUTED_VALUE"""),70.0)</f>
        <v>70</v>
      </c>
      <c r="H267" s="31">
        <f>IFERROR(__xludf.DUMMYFUNCTION("""COMPUTED_VALUE"""),0.75)</f>
        <v>0.75</v>
      </c>
      <c r="I26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67" s="4" t="str">
        <f>IFERROR(__xludf.DUMMYFUNCTION("""COMPUTED_VALUE"""),"COMERCIAL ESPERANCA - CONTA GRUPO")</f>
        <v>COMERCIAL ESPERANCA - CONTA GRUPO</v>
      </c>
      <c r="L267" s="32">
        <f>IFERROR(__xludf.DUMMYFUNCTION("""COMPUTED_VALUE"""),28.0)</f>
        <v>28</v>
      </c>
      <c r="M267" s="4" t="str">
        <f>IFERROR(__xludf.DUMMYFUNCTION("""COMPUTED_VALUE"""),"N/A (Not found)")</f>
        <v>N/A (Not found)</v>
      </c>
      <c r="N267" s="33">
        <f>IFERROR(__xludf.DUMMYFUNCTION("""COMPUTED_VALUE"""),0.75)</f>
        <v>0.75</v>
      </c>
      <c r="O267" s="4" t="str">
        <f>IFERROR(__xludf.DUMMYFUNCTION("""COMPUTED_VALUE"""),"N/A (Not found)")</f>
        <v>N/A (Not found)</v>
      </c>
      <c r="P267" s="33">
        <f>IFERROR(__xludf.DUMMYFUNCTION("""COMPUTED_VALUE"""),0.75)</f>
        <v>0.75</v>
      </c>
      <c r="Q267" s="4" t="str">
        <f>IFERROR(__xludf.DUMMYFUNCTION("""COMPUTED_VALUE"""),"N/A (Not found)")</f>
        <v>N/A (Not found)</v>
      </c>
      <c r="R267" s="33">
        <f>IFERROR(__xludf.DUMMYFUNCTION("""COMPUTED_VALUE"""),0.8571428571428571)</f>
        <v>0.8571428571</v>
      </c>
      <c r="S267" s="4" t="str">
        <f>IFERROR(__xludf.DUMMYFUNCTION("""COMPUTED_VALUE"""),"N/A (Not found)")</f>
        <v>N/A (Not found)</v>
      </c>
      <c r="T267" s="33">
        <f>IFERROR(__xludf.DUMMYFUNCTION("""COMPUTED_VALUE"""),0.9285714285714286)</f>
        <v>0.9285714286</v>
      </c>
      <c r="U267" s="4" t="str">
        <f>IFERROR(__xludf.DUMMYFUNCTION("""COMPUTED_VALUE"""),"N/A (Not found)")</f>
        <v>N/A (Not found)</v>
      </c>
      <c r="V267" s="33">
        <f>IFERROR(__xludf.DUMMYFUNCTION("""COMPUTED_VALUE"""),1.0)</f>
        <v>1</v>
      </c>
      <c r="W267" s="4" t="str">
        <f>IFERROR(__xludf.DUMMYFUNCTION("""COMPUTED_VALUE"""),"N/A (Not found)")</f>
        <v>N/A (Not found)</v>
      </c>
      <c r="X267" s="33">
        <f>IFERROR(__xludf.DUMMYFUNCTION("""COMPUTED_VALUE"""),1.0)</f>
        <v>1</v>
      </c>
    </row>
    <row r="268">
      <c r="A268" s="4" t="str">
        <f>IFERROR(__xludf.DUMMYFUNCTION("""COMPUTED_VALUE"""),"Chocomia Sweet Atelier - Marca Oficial")</f>
        <v>Chocomia Sweet Atelier - Marca Oficial</v>
      </c>
      <c r="B268" s="4">
        <f>IFERROR(__xludf.DUMMYFUNCTION("""COMPUTED_VALUE"""),5.0)</f>
        <v>5</v>
      </c>
      <c r="C268" s="30">
        <f>IFERROR(__xludf.DUMMYFUNCTION("""COMPUTED_VALUE"""),59.0)</f>
        <v>59</v>
      </c>
      <c r="D268" s="4" t="str">
        <f>IFERROR(__xludf.DUMMYFUNCTION("""COMPUTED_VALUE"""),"Fast Casual - Multi-conceito")</f>
        <v>Fast Casual - Multi-conceito</v>
      </c>
      <c r="E268" s="4" t="str">
        <f>IFERROR(__xludf.DUMMYFUNCTION("""COMPUTED_VALUE"""),"Belo Horizonte/MG")</f>
        <v>Belo Horizonte/MG</v>
      </c>
      <c r="F268" s="4" t="str">
        <f>IFERROR(__xludf.DUMMYFUNCTION("""COMPUTED_VALUE"""),"Dado não disponível publicamente - Necessário Discovery")</f>
        <v>Dado não disponível publicamente - Necessário Discovery</v>
      </c>
      <c r="G268" s="4">
        <f>IFERROR(__xludf.DUMMYFUNCTION("""COMPUTED_VALUE"""),70.0)</f>
        <v>70</v>
      </c>
      <c r="H268" s="31">
        <f>IFERROR(__xludf.DUMMYFUNCTION("""COMPUTED_VALUE"""),0.75)</f>
        <v>0.75</v>
      </c>
      <c r="I26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68" s="4" t="str">
        <f>IFERROR(__xludf.DUMMYFUNCTION("""COMPUTED_VALUE"""),"FARMACIA DESCONTAO BEAUTY FARMA - CONTA MARCA")</f>
        <v>FARMACIA DESCONTAO BEAUTY FARMA - CONTA MARCA</v>
      </c>
      <c r="L268" s="32">
        <f>IFERROR(__xludf.DUMMYFUNCTION("""COMPUTED_VALUE"""),28.0)</f>
        <v>28</v>
      </c>
      <c r="M268" s="4" t="str">
        <f>IFERROR(__xludf.DUMMYFUNCTION("""COMPUTED_VALUE"""),"N/A (Not found)")</f>
        <v>N/A (Not found)</v>
      </c>
      <c r="N268" s="33">
        <f>IFERROR(__xludf.DUMMYFUNCTION("""COMPUTED_VALUE"""),0.9285714285714286)</f>
        <v>0.9285714286</v>
      </c>
      <c r="O268" s="4" t="str">
        <f>IFERROR(__xludf.DUMMYFUNCTION("""COMPUTED_VALUE"""),"N/A (Not found)")</f>
        <v>N/A (Not found)</v>
      </c>
      <c r="P268" s="33">
        <f>IFERROR(__xludf.DUMMYFUNCTION("""COMPUTED_VALUE"""),0.9642857142857143)</f>
        <v>0.9642857143</v>
      </c>
      <c r="Q268" s="4" t="str">
        <f>IFERROR(__xludf.DUMMYFUNCTION("""COMPUTED_VALUE"""),"N/A (Not found)")</f>
        <v>N/A (Not found)</v>
      </c>
      <c r="R268" s="33">
        <f>IFERROR(__xludf.DUMMYFUNCTION("""COMPUTED_VALUE"""),1.0)</f>
        <v>1</v>
      </c>
      <c r="S268" s="4" t="str">
        <f>IFERROR(__xludf.DUMMYFUNCTION("""COMPUTED_VALUE"""),"N/A (Not found)")</f>
        <v>N/A (Not found)</v>
      </c>
      <c r="T268" s="33">
        <f>IFERROR(__xludf.DUMMYFUNCTION("""COMPUTED_VALUE"""),1.0)</f>
        <v>1</v>
      </c>
      <c r="U268" s="4" t="str">
        <f>IFERROR(__xludf.DUMMYFUNCTION("""COMPUTED_VALUE"""),"N/A (Not found)")</f>
        <v>N/A (Not found)</v>
      </c>
      <c r="V268" s="33">
        <f>IFERROR(__xludf.DUMMYFUNCTION("""COMPUTED_VALUE"""),1.0)</f>
        <v>1</v>
      </c>
      <c r="W268" s="4" t="str">
        <f>IFERROR(__xludf.DUMMYFUNCTION("""COMPUTED_VALUE"""),"N/A (Not found)")</f>
        <v>N/A (Not found)</v>
      </c>
      <c r="X268" s="33">
        <f>IFERROR(__xludf.DUMMYFUNCTION("""COMPUTED_VALUE"""),1.0)</f>
        <v>1</v>
      </c>
    </row>
    <row r="269">
      <c r="A269" s="4" t="str">
        <f>IFERROR(__xludf.DUMMYFUNCTION("""COMPUTED_VALUE"""),"Churrascaria América Grill")</f>
        <v>Churrascaria América Grill</v>
      </c>
      <c r="B269" s="4">
        <f>IFERROR(__xludf.DUMMYFUNCTION("""COMPUTED_VALUE"""),7.0)</f>
        <v>7</v>
      </c>
      <c r="C269" s="30">
        <f>IFERROR(__xludf.DUMMYFUNCTION("""COMPUTED_VALUE"""),100.0)</f>
        <v>100</v>
      </c>
      <c r="D269" s="4" t="str">
        <f>IFERROR(__xludf.DUMMYFUNCTION("""COMPUTED_VALUE"""),"Table Service - Churrascaria")</f>
        <v>Table Service - Churrascaria</v>
      </c>
      <c r="E269" s="4" t="str">
        <f>IFERROR(__xludf.DUMMYFUNCTION("""COMPUTED_VALUE"""),"Nordeste")</f>
        <v>Nordeste</v>
      </c>
      <c r="F269" s="4" t="str">
        <f>IFERROR(__xludf.DUMMYFUNCTION("""COMPUTED_VALUE"""),"Dado não disponível publicamente - Necessário Discovery")</f>
        <v>Dado não disponível publicamente - Necessário Discovery</v>
      </c>
      <c r="G269" s="4">
        <f>IFERROR(__xludf.DUMMYFUNCTION("""COMPUTED_VALUE"""),60.0)</f>
        <v>60</v>
      </c>
      <c r="H269" s="31">
        <f>IFERROR(__xludf.DUMMYFUNCTION("""COMPUTED_VALUE"""),0.65)</f>
        <v>0.65</v>
      </c>
      <c r="I26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69" s="4" t="str">
        <f>IFERROR(__xludf.DUMMYFUNCTION("""COMPUTED_VALUE"""),"GOSTO LEVE - CONTA MARCA")</f>
        <v>GOSTO LEVE - CONTA MARCA</v>
      </c>
      <c r="L269" s="32">
        <f>IFERROR(__xludf.DUMMYFUNCTION("""COMPUTED_VALUE"""),28.0)</f>
        <v>28</v>
      </c>
      <c r="M269" s="4" t="str">
        <f>IFERROR(__xludf.DUMMYFUNCTION("""COMPUTED_VALUE"""),"Agilizup Solucoes Ltda")</f>
        <v>Agilizup Solucoes Ltda</v>
      </c>
      <c r="N269" s="33">
        <f>IFERROR(__xludf.DUMMYFUNCTION("""COMPUTED_VALUE"""),0.6428571428571429)</f>
        <v>0.6428571429</v>
      </c>
      <c r="O269" s="4" t="str">
        <f>IFERROR(__xludf.DUMMYFUNCTION("""COMPUTED_VALUE"""),"Agilizup Solucoes Ltda")</f>
        <v>Agilizup Solucoes Ltda</v>
      </c>
      <c r="P269" s="33">
        <f>IFERROR(__xludf.DUMMYFUNCTION("""COMPUTED_VALUE"""),0.6071428571428571)</f>
        <v>0.6071428571</v>
      </c>
      <c r="Q269" s="4" t="str">
        <f>IFERROR(__xludf.DUMMYFUNCTION("""COMPUTED_VALUE"""),"Agilizup Solucoes Ltda")</f>
        <v>Agilizup Solucoes Ltda</v>
      </c>
      <c r="R269" s="33">
        <f>IFERROR(__xludf.DUMMYFUNCTION("""COMPUTED_VALUE"""),0.6071428571428571)</f>
        <v>0.6071428571</v>
      </c>
      <c r="S269" s="4" t="str">
        <f>IFERROR(__xludf.DUMMYFUNCTION("""COMPUTED_VALUE"""),"Agilizup Solucoes Ltda")</f>
        <v>Agilizup Solucoes Ltda</v>
      </c>
      <c r="T269" s="33">
        <f>IFERROR(__xludf.DUMMYFUNCTION("""COMPUTED_VALUE"""),0.5357142857142857)</f>
        <v>0.5357142857</v>
      </c>
      <c r="U269" s="4" t="str">
        <f>IFERROR(__xludf.DUMMYFUNCTION("""COMPUTED_VALUE"""),"Agilizup Solucoes Ltda")</f>
        <v>Agilizup Solucoes Ltda</v>
      </c>
      <c r="V269" s="33">
        <f>IFERROR(__xludf.DUMMYFUNCTION("""COMPUTED_VALUE"""),0.4642857142857143)</f>
        <v>0.4642857143</v>
      </c>
      <c r="W269" s="4" t="str">
        <f>IFERROR(__xludf.DUMMYFUNCTION("""COMPUTED_VALUE"""),"Agilizup Solucoes Ltda")</f>
        <v>Agilizup Solucoes Ltda</v>
      </c>
      <c r="X269" s="33">
        <f>IFERROR(__xludf.DUMMYFUNCTION("""COMPUTED_VALUE"""),0.5)</f>
        <v>0.5</v>
      </c>
    </row>
    <row r="270">
      <c r="A270" s="4" t="str">
        <f>IFERROR(__xludf.DUMMYFUNCTION("""COMPUTED_VALUE"""),"Coco Bambu")</f>
        <v>Coco Bambu</v>
      </c>
      <c r="B270" s="4">
        <f>IFERROR(__xludf.DUMMYFUNCTION("""COMPUTED_VALUE"""),99.0)</f>
        <v>99</v>
      </c>
      <c r="C270" s="30">
        <f>IFERROR(__xludf.DUMMYFUNCTION("""COMPUTED_VALUE"""),190.0)</f>
        <v>190</v>
      </c>
      <c r="D270" s="4" t="str">
        <f>IFERROR(__xludf.DUMMYFUNCTION("""COMPUTED_VALUE"""),"Full Service - Frutos do Mar")</f>
        <v>Full Service - Frutos do Mar</v>
      </c>
      <c r="E270" s="4" t="str">
        <f>IFERROR(__xludf.DUMMYFUNCTION("""COMPUTED_VALUE"""),"Nacional")</f>
        <v>Nacional</v>
      </c>
      <c r="F270" s="4" t="str">
        <f>IFERROR(__xludf.DUMMYFUNCTION("""COMPUTED_VALUE"""),"R$ 2,2-2,5 bilhões (2025)")</f>
        <v>R$ 2,2-2,5 bilhões (2025)</v>
      </c>
      <c r="G270" s="4">
        <f>IFERROR(__xludf.DUMMYFUNCTION("""COMPUTED_VALUE"""),75.0)</f>
        <v>75</v>
      </c>
      <c r="H270" s="31">
        <f>IFERROR(__xludf.DUMMYFUNCTION("""COMPUTED_VALUE"""),0.75)</f>
        <v>0.75</v>
      </c>
      <c r="I270" s="4" t="str">
        <f>IFERROR(__xludf.DUMMYFUNCTION("""COMPUTED_VALUE"""),"Aderência forte ao 3S: PDV não identificado. 3S oferece PDV robusto, KDS integrado e mobilidade (3SGO) para gestão em tempo real - ideal para operações multi-canal.")</f>
        <v>Aderência forte ao 3S: PDV não identificado. 3S oferece PDV robusto, KDS integrado e mobilidade (3SGO) para gestão em tempo real - ideal para operações multi-canal.</v>
      </c>
      <c r="K270" s="4" t="str">
        <f>IFERROR(__xludf.DUMMYFUNCTION("""COMPUTED_VALUE"""),"GRUPO SAO LUIZ - CONTA GRUPO")</f>
        <v>GRUPO SAO LUIZ - CONTA GRUPO</v>
      </c>
      <c r="L270" s="32">
        <f>IFERROR(__xludf.DUMMYFUNCTION("""COMPUTED_VALUE"""),28.0)</f>
        <v>28</v>
      </c>
      <c r="M270" s="4" t="str">
        <f>IFERROR(__xludf.DUMMYFUNCTION("""COMPUTED_VALUE"""),"N/A (Not found)")</f>
        <v>N/A (Not found)</v>
      </c>
      <c r="N270" s="33">
        <f>IFERROR(__xludf.DUMMYFUNCTION("""COMPUTED_VALUE"""),0.8571428571428571)</f>
        <v>0.8571428571</v>
      </c>
      <c r="O270" s="4" t="str">
        <f>IFERROR(__xludf.DUMMYFUNCTION("""COMPUTED_VALUE"""),"N/A (Not found)")</f>
        <v>N/A (Not found)</v>
      </c>
      <c r="P270" s="33">
        <f>IFERROR(__xludf.DUMMYFUNCTION("""COMPUTED_VALUE"""),0.8928571428571429)</f>
        <v>0.8928571429</v>
      </c>
      <c r="Q270" s="4" t="str">
        <f>IFERROR(__xludf.DUMMYFUNCTION("""COMPUTED_VALUE"""),"N/A (Not found)")</f>
        <v>N/A (Not found)</v>
      </c>
      <c r="R270" s="33">
        <f>IFERROR(__xludf.DUMMYFUNCTION("""COMPUTED_VALUE"""),0.8571428571428571)</f>
        <v>0.8571428571</v>
      </c>
      <c r="S270" s="4" t="str">
        <f>IFERROR(__xludf.DUMMYFUNCTION("""COMPUTED_VALUE"""),"N/A (Not found)")</f>
        <v>N/A (Not found)</v>
      </c>
      <c r="T270" s="33">
        <f>IFERROR(__xludf.DUMMYFUNCTION("""COMPUTED_VALUE"""),0.8928571428571429)</f>
        <v>0.8928571429</v>
      </c>
      <c r="U270" s="4" t="str">
        <f>IFERROR(__xludf.DUMMYFUNCTION("""COMPUTED_VALUE"""),"N/A (Not found)")</f>
        <v>N/A (Not found)</v>
      </c>
      <c r="V270" s="33">
        <f>IFERROR(__xludf.DUMMYFUNCTION("""COMPUTED_VALUE"""),0.9642857142857143)</f>
        <v>0.9642857143</v>
      </c>
      <c r="W270" s="4" t="str">
        <f>IFERROR(__xludf.DUMMYFUNCTION("""COMPUTED_VALUE"""),"N/A (Not found)")</f>
        <v>N/A (Not found)</v>
      </c>
      <c r="X270" s="33">
        <f>IFERROR(__xludf.DUMMYFUNCTION("""COMPUTED_VALUE"""),0.9285714285714286)</f>
        <v>0.9285714286</v>
      </c>
    </row>
    <row r="271">
      <c r="A271" s="4" t="str">
        <f>IFERROR(__xludf.DUMMYFUNCTION("""COMPUTED_VALUE"""),"Comendador Burguer")</f>
        <v>Comendador Burguer</v>
      </c>
      <c r="B271" s="4">
        <f>IFERROR(__xludf.DUMMYFUNCTION("""COMPUTED_VALUE"""),6.0)</f>
        <v>6</v>
      </c>
      <c r="C271" s="30">
        <f>IFERROR(__xludf.DUMMYFUNCTION("""COMPUTED_VALUE"""),50.0)</f>
        <v>50</v>
      </c>
      <c r="D271" s="4" t="str">
        <f>IFERROR(__xludf.DUMMYFUNCTION("""COMPUTED_VALUE"""),"Fast Casual - Multi-conceito")</f>
        <v>Fast Casual - Multi-conceito</v>
      </c>
      <c r="E271" s="4" t="str">
        <f>IFERROR(__xludf.DUMMYFUNCTION("""COMPUTED_VALUE"""),"Interior SP")</f>
        <v>Interior SP</v>
      </c>
      <c r="F271" s="4" t="str">
        <f>IFERROR(__xludf.DUMMYFUNCTION("""COMPUTED_VALUE"""),"Dado não disponível publicamente - Necessário Discovery")</f>
        <v>Dado não disponível publicamente - Necessário Discovery</v>
      </c>
      <c r="G271" s="4">
        <f>IFERROR(__xludf.DUMMYFUNCTION("""COMPUTED_VALUE"""),70.0)</f>
        <v>70</v>
      </c>
      <c r="H271" s="31">
        <f>IFERROR(__xludf.DUMMYFUNCTION("""COMPUTED_VALUE"""),0.75)</f>
        <v>0.75</v>
      </c>
      <c r="I27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71" s="4" t="str">
        <f>IFERROR(__xludf.DUMMYFUNCTION("""COMPUTED_VALUE"""),"MR SAPO SUSHI")</f>
        <v>MR SAPO SUSHI</v>
      </c>
      <c r="L271" s="32">
        <f>IFERROR(__xludf.DUMMYFUNCTION("""COMPUTED_VALUE"""),28.0)</f>
        <v>28</v>
      </c>
      <c r="M271" s="4" t="str">
        <f>IFERROR(__xludf.DUMMYFUNCTION("""COMPUTED_VALUE"""),"Saipos Serviços De Software")</f>
        <v>Saipos Serviços De Software</v>
      </c>
      <c r="N271" s="33">
        <f>IFERROR(__xludf.DUMMYFUNCTION("""COMPUTED_VALUE"""),1.0)</f>
        <v>1</v>
      </c>
      <c r="O271" s="4" t="str">
        <f>IFERROR(__xludf.DUMMYFUNCTION("""COMPUTED_VALUE"""),"Saipos Serviços De Software")</f>
        <v>Saipos Serviços De Software</v>
      </c>
      <c r="P271" s="33">
        <f>IFERROR(__xludf.DUMMYFUNCTION("""COMPUTED_VALUE"""),1.0)</f>
        <v>1</v>
      </c>
      <c r="Q271" s="4" t="str">
        <f>IFERROR(__xludf.DUMMYFUNCTION("""COMPUTED_VALUE"""),"Saipos Serviços De Software")</f>
        <v>Saipos Serviços De Software</v>
      </c>
      <c r="R271" s="33">
        <f>IFERROR(__xludf.DUMMYFUNCTION("""COMPUTED_VALUE"""),1.0)</f>
        <v>1</v>
      </c>
      <c r="S271" s="4" t="str">
        <f>IFERROR(__xludf.DUMMYFUNCTION("""COMPUTED_VALUE"""),"Saipos Serviços De Software")</f>
        <v>Saipos Serviços De Software</v>
      </c>
      <c r="T271" s="33">
        <f>IFERROR(__xludf.DUMMYFUNCTION("""COMPUTED_VALUE"""),1.0)</f>
        <v>1</v>
      </c>
      <c r="U271" s="4" t="str">
        <f>IFERROR(__xludf.DUMMYFUNCTION("""COMPUTED_VALUE"""),"Saipos Serviços De Software")</f>
        <v>Saipos Serviços De Software</v>
      </c>
      <c r="V271" s="33">
        <f>IFERROR(__xludf.DUMMYFUNCTION("""COMPUTED_VALUE"""),1.0)</f>
        <v>1</v>
      </c>
      <c r="W271" s="4" t="str">
        <f>IFERROR(__xludf.DUMMYFUNCTION("""COMPUTED_VALUE"""),"Saipos Serviços De Software")</f>
        <v>Saipos Serviços De Software</v>
      </c>
      <c r="X271" s="33">
        <f>IFERROR(__xludf.DUMMYFUNCTION("""COMPUTED_VALUE"""),1.0)</f>
        <v>1</v>
      </c>
    </row>
    <row r="272">
      <c r="A272" s="4" t="str">
        <f>IFERROR(__xludf.DUMMYFUNCTION("""COMPUTED_VALUE"""),"Comodoro Burguer")</f>
        <v>Comodoro Burguer</v>
      </c>
      <c r="B272" s="4">
        <f>IFERROR(__xludf.DUMMYFUNCTION("""COMPUTED_VALUE"""),3.0)</f>
        <v>3</v>
      </c>
      <c r="C272" s="30">
        <f>IFERROR(__xludf.DUMMYFUNCTION("""COMPUTED_VALUE"""),61.0)</f>
        <v>61</v>
      </c>
      <c r="D272" s="4" t="str">
        <f>IFERROR(__xludf.DUMMYFUNCTION("""COMPUTED_VALUE"""),"Fast Casual - Multi-conceito")</f>
        <v>Fast Casual - Multi-conceito</v>
      </c>
      <c r="E272" s="4" t="str">
        <f>IFERROR(__xludf.DUMMYFUNCTION("""COMPUTED_VALUE"""),"Belo Horizonte/MG")</f>
        <v>Belo Horizonte/MG</v>
      </c>
      <c r="F272" s="4" t="str">
        <f>IFERROR(__xludf.DUMMYFUNCTION("""COMPUTED_VALUE"""),"Dado não disponível publicamente - Necessário Discovery")</f>
        <v>Dado não disponível publicamente - Necessário Discovery</v>
      </c>
      <c r="G272" s="4">
        <f>IFERROR(__xludf.DUMMYFUNCTION("""COMPUTED_VALUE"""),65.0)</f>
        <v>65</v>
      </c>
      <c r="H272" s="31">
        <f>IFERROR(__xludf.DUMMYFUNCTION("""COMPUTED_VALUE"""),0.75)</f>
        <v>0.75</v>
      </c>
      <c r="I27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72" s="4" t="str">
        <f>IFERROR(__xludf.DUMMYFUNCTION("""COMPUTED_VALUE"""),"MR SAPO SUSHI PE")</f>
        <v>MR SAPO SUSHI PE</v>
      </c>
      <c r="L272" s="32">
        <f>IFERROR(__xludf.DUMMYFUNCTION("""COMPUTED_VALUE"""),28.0)</f>
        <v>28</v>
      </c>
      <c r="M272" s="4" t="str">
        <f>IFERROR(__xludf.DUMMYFUNCTION("""COMPUTED_VALUE"""),"Saipos Serviços De Software")</f>
        <v>Saipos Serviços De Software</v>
      </c>
      <c r="N272" s="33">
        <f>IFERROR(__xludf.DUMMYFUNCTION("""COMPUTED_VALUE"""),1.0)</f>
        <v>1</v>
      </c>
      <c r="O272" s="4" t="str">
        <f>IFERROR(__xludf.DUMMYFUNCTION("""COMPUTED_VALUE"""),"Saipos Serviços De Software")</f>
        <v>Saipos Serviços De Software</v>
      </c>
      <c r="P272" s="33">
        <f>IFERROR(__xludf.DUMMYFUNCTION("""COMPUTED_VALUE"""),1.0)</f>
        <v>1</v>
      </c>
      <c r="Q272" s="4" t="str">
        <f>IFERROR(__xludf.DUMMYFUNCTION("""COMPUTED_VALUE"""),"Saipos Serviços De Software")</f>
        <v>Saipos Serviços De Software</v>
      </c>
      <c r="R272" s="33">
        <f>IFERROR(__xludf.DUMMYFUNCTION("""COMPUTED_VALUE"""),1.0)</f>
        <v>1</v>
      </c>
      <c r="S272" s="4" t="str">
        <f>IFERROR(__xludf.DUMMYFUNCTION("""COMPUTED_VALUE"""),"Saipos Serviços De Software")</f>
        <v>Saipos Serviços De Software</v>
      </c>
      <c r="T272" s="33">
        <f>IFERROR(__xludf.DUMMYFUNCTION("""COMPUTED_VALUE"""),1.0)</f>
        <v>1</v>
      </c>
      <c r="U272" s="4" t="str">
        <f>IFERROR(__xludf.DUMMYFUNCTION("""COMPUTED_VALUE"""),"Saipos Serviços De Software")</f>
        <v>Saipos Serviços De Software</v>
      </c>
      <c r="V272" s="33">
        <f>IFERROR(__xludf.DUMMYFUNCTION("""COMPUTED_VALUE"""),1.0)</f>
        <v>1</v>
      </c>
      <c r="W272" s="4" t="str">
        <f>IFERROR(__xludf.DUMMYFUNCTION("""COMPUTED_VALUE"""),"Saipos Serviços De Software")</f>
        <v>Saipos Serviços De Software</v>
      </c>
      <c r="X272" s="33">
        <f>IFERROR(__xludf.DUMMYFUNCTION("""COMPUTED_VALUE"""),1.0)</f>
        <v>1</v>
      </c>
    </row>
    <row r="273">
      <c r="A273" s="4" t="str">
        <f>IFERROR(__xludf.DUMMYFUNCTION("""COMPUTED_VALUE"""),"CHURRASCARIA SÃO JUDAS TADEU")</f>
        <v>CHURRASCARIA SÃO JUDAS TADEU</v>
      </c>
      <c r="B273" s="4">
        <f>IFERROR(__xludf.DUMMYFUNCTION("""COMPUTED_VALUE"""),5.0)</f>
        <v>5</v>
      </c>
      <c r="C273" s="30">
        <f>IFERROR(__xludf.DUMMYFUNCTION("""COMPUTED_VALUE"""),99.0)</f>
        <v>99</v>
      </c>
      <c r="D273" s="4" t="str">
        <f>IFERROR(__xludf.DUMMYFUNCTION("""COMPUTED_VALUE"""),"Table Service - Churrascaria")</f>
        <v>Table Service - Churrascaria</v>
      </c>
      <c r="E273" s="4" t="str">
        <f>IFERROR(__xludf.DUMMYFUNCTION("""COMPUTED_VALUE"""),"Sul")</f>
        <v>Sul</v>
      </c>
      <c r="F273" s="4" t="str">
        <f>IFERROR(__xludf.DUMMYFUNCTION("""COMPUTED_VALUE"""),"Dado não disponível publicamente - Necessário Discovery")</f>
        <v>Dado não disponível publicamente - Necessário Discovery</v>
      </c>
      <c r="G273" s="4">
        <f>IFERROR(__xludf.DUMMYFUNCTION("""COMPUTED_VALUE"""),60.0)</f>
        <v>60</v>
      </c>
      <c r="H273" s="31">
        <f>IFERROR(__xludf.DUMMYFUNCTION("""COMPUTED_VALUE"""),0.65)</f>
        <v>0.65</v>
      </c>
      <c r="I27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73" s="4" t="str">
        <f>IFERROR(__xludf.DUMMYFUNCTION("""COMPUTED_VALUE"""),"PONTO DO ACAI")</f>
        <v>PONTO DO ACAI</v>
      </c>
      <c r="L273" s="32">
        <f>IFERROR(__xludf.DUMMYFUNCTION("""COMPUTED_VALUE"""),27.0)</f>
        <v>27</v>
      </c>
      <c r="M273" s="4" t="str">
        <f>IFERROR(__xludf.DUMMYFUNCTION("""COMPUTED_VALUE"""),"Totvs Large Enterprise Tecnologia S.a.")</f>
        <v>Totvs Large Enterprise Tecnologia S.a.</v>
      </c>
      <c r="N273" s="33">
        <f>IFERROR(__xludf.DUMMYFUNCTION("""COMPUTED_VALUE"""),0.25925925925925924)</f>
        <v>0.2592592593</v>
      </c>
      <c r="O273" s="4" t="str">
        <f>IFERROR(__xludf.DUMMYFUNCTION("""COMPUTED_VALUE"""),"Totvs Large Enterprise Tecnologia S.a.")</f>
        <v>Totvs Large Enterprise Tecnologia S.a.</v>
      </c>
      <c r="P273" s="33">
        <f>IFERROR(__xludf.DUMMYFUNCTION("""COMPUTED_VALUE"""),0.25925925925925924)</f>
        <v>0.2592592593</v>
      </c>
      <c r="Q273" s="4" t="str">
        <f>IFERROR(__xludf.DUMMYFUNCTION("""COMPUTED_VALUE"""),"null")</f>
        <v>null</v>
      </c>
      <c r="R273" s="33">
        <f>IFERROR(__xludf.DUMMYFUNCTION("""COMPUTED_VALUE"""),0.25925925925925924)</f>
        <v>0.2592592593</v>
      </c>
      <c r="S273" s="4" t="str">
        <f>IFERROR(__xludf.DUMMYFUNCTION("""COMPUTED_VALUE"""),"null")</f>
        <v>null</v>
      </c>
      <c r="T273" s="33">
        <f>IFERROR(__xludf.DUMMYFUNCTION("""COMPUTED_VALUE"""),0.2222222222222222)</f>
        <v>0.2222222222</v>
      </c>
      <c r="U273" s="4" t="str">
        <f>IFERROR(__xludf.DUMMYFUNCTION("""COMPUTED_VALUE"""),"null")</f>
        <v>null</v>
      </c>
      <c r="V273" s="33">
        <f>IFERROR(__xludf.DUMMYFUNCTION("""COMPUTED_VALUE"""),0.3333333333333333)</f>
        <v>0.3333333333</v>
      </c>
      <c r="W273" s="4" t="str">
        <f>IFERROR(__xludf.DUMMYFUNCTION("""COMPUTED_VALUE"""),"null")</f>
        <v>null</v>
      </c>
      <c r="X273" s="33">
        <f>IFERROR(__xludf.DUMMYFUNCTION("""COMPUTED_VALUE"""),0.4074074074074074)</f>
        <v>0.4074074074</v>
      </c>
    </row>
    <row r="274">
      <c r="A274" s="4" t="str">
        <f>IFERROR(__xludf.DUMMYFUNCTION("""COMPUTED_VALUE"""),"Cremolatto")</f>
        <v>Cremolatto</v>
      </c>
      <c r="B274" s="4">
        <f>IFERROR(__xludf.DUMMYFUNCTION("""COMPUTED_VALUE"""),6.0)</f>
        <v>6</v>
      </c>
      <c r="C274" s="30">
        <f>IFERROR(__xludf.DUMMYFUNCTION("""COMPUTED_VALUE"""),70.0)</f>
        <v>70</v>
      </c>
      <c r="D274" s="4" t="str">
        <f>IFERROR(__xludf.DUMMYFUNCTION("""COMPUTED_VALUE"""),"Fast Casual - Multi-conceito")</f>
        <v>Fast Casual - Multi-conceito</v>
      </c>
      <c r="E274" s="4" t="str">
        <f>IFERROR(__xludf.DUMMYFUNCTION("""COMPUTED_VALUE"""),"São Paulo/SP")</f>
        <v>São Paulo/SP</v>
      </c>
      <c r="F274" s="4" t="str">
        <f>IFERROR(__xludf.DUMMYFUNCTION("""COMPUTED_VALUE"""),"Dado não disponível publicamente - Necessário Discovery")</f>
        <v>Dado não disponível publicamente - Necessário Discovery</v>
      </c>
      <c r="G274" s="4">
        <f>IFERROR(__xludf.DUMMYFUNCTION("""COMPUTED_VALUE"""),70.0)</f>
        <v>70</v>
      </c>
      <c r="H274" s="31">
        <f>IFERROR(__xludf.DUMMYFUNCTION("""COMPUTED_VALUE"""),0.75)</f>
        <v>0.75</v>
      </c>
      <c r="I27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74" s="4" t="str">
        <f>IFERROR(__xludf.DUMMYFUNCTION("""COMPUTED_VALUE"""),"CALIFORNIA BURGER CP")</f>
        <v>CALIFORNIA BURGER CP</v>
      </c>
      <c r="L274" s="32">
        <f>IFERROR(__xludf.DUMMYFUNCTION("""COMPUTED_VALUE"""),27.0)</f>
        <v>27</v>
      </c>
      <c r="M274" s="4" t="str">
        <f>IFERROR(__xludf.DUMMYFUNCTION("""COMPUTED_VALUE"""),"Saipos Serviços De Software")</f>
        <v>Saipos Serviços De Software</v>
      </c>
      <c r="N274" s="33">
        <f>IFERROR(__xludf.DUMMYFUNCTION("""COMPUTED_VALUE"""),1.0)</f>
        <v>1</v>
      </c>
      <c r="O274" s="4" t="str">
        <f>IFERROR(__xludf.DUMMYFUNCTION("""COMPUTED_VALUE"""),"Saipos Serviços De Software")</f>
        <v>Saipos Serviços De Software</v>
      </c>
      <c r="P274" s="33">
        <f>IFERROR(__xludf.DUMMYFUNCTION("""COMPUTED_VALUE"""),1.0)</f>
        <v>1</v>
      </c>
      <c r="Q274" s="4" t="str">
        <f>IFERROR(__xludf.DUMMYFUNCTION("""COMPUTED_VALUE"""),"Saipos Serviços De Software")</f>
        <v>Saipos Serviços De Software</v>
      </c>
      <c r="R274" s="33">
        <f>IFERROR(__xludf.DUMMYFUNCTION("""COMPUTED_VALUE"""),1.0)</f>
        <v>1</v>
      </c>
      <c r="S274" s="4" t="str">
        <f>IFERROR(__xludf.DUMMYFUNCTION("""COMPUTED_VALUE"""),"Saipos Serviços De Software")</f>
        <v>Saipos Serviços De Software</v>
      </c>
      <c r="T274" s="33">
        <f>IFERROR(__xludf.DUMMYFUNCTION("""COMPUTED_VALUE"""),0.9259259259259259)</f>
        <v>0.9259259259</v>
      </c>
      <c r="U274" s="4" t="str">
        <f>IFERROR(__xludf.DUMMYFUNCTION("""COMPUTED_VALUE"""),"null")</f>
        <v>null</v>
      </c>
      <c r="V274" s="33">
        <f>IFERROR(__xludf.DUMMYFUNCTION("""COMPUTED_VALUE"""),0.5555555555555556)</f>
        <v>0.5555555556</v>
      </c>
      <c r="W274" s="4" t="str">
        <f>IFERROR(__xludf.DUMMYFUNCTION("""COMPUTED_VALUE"""),"null")</f>
        <v>null</v>
      </c>
      <c r="X274" s="33">
        <f>IFERROR(__xludf.DUMMYFUNCTION("""COMPUTED_VALUE"""),0.5925925925925926)</f>
        <v>0.5925925926</v>
      </c>
    </row>
    <row r="275">
      <c r="A275" s="4" t="str">
        <f>IFERROR(__xludf.DUMMYFUNCTION("""COMPUTED_VALUE"""),"Cristal Pizza")</f>
        <v>Cristal Pizza</v>
      </c>
      <c r="B275" s="4">
        <f>IFERROR(__xludf.DUMMYFUNCTION("""COMPUTED_VALUE"""),9.0)</f>
        <v>9</v>
      </c>
      <c r="C275" s="30">
        <f>IFERROR(__xludf.DUMMYFUNCTION("""COMPUTED_VALUE"""),62.0)</f>
        <v>62</v>
      </c>
      <c r="D275" s="4" t="str">
        <f>IFERROR(__xludf.DUMMYFUNCTION("""COMPUTED_VALUE"""),"Fast Casual - Pizzaria")</f>
        <v>Fast Casual - Pizzaria</v>
      </c>
      <c r="E275" s="4" t="str">
        <f>IFERROR(__xludf.DUMMYFUNCTION("""COMPUTED_VALUE"""),"Belo Horizonte/MG")</f>
        <v>Belo Horizonte/MG</v>
      </c>
      <c r="F275" s="4" t="str">
        <f>IFERROR(__xludf.DUMMYFUNCTION("""COMPUTED_VALUE"""),"Dado não disponível publicamente - Necessário Discovery")</f>
        <v>Dado não disponível publicamente - Necessário Discovery</v>
      </c>
      <c r="G275" s="4">
        <f>IFERROR(__xludf.DUMMYFUNCTION("""COMPUTED_VALUE"""),70.0)</f>
        <v>70</v>
      </c>
      <c r="H275" s="31">
        <f>IFERROR(__xludf.DUMMYFUNCTION("""COMPUTED_VALUE"""),0.75)</f>
        <v>0.75</v>
      </c>
      <c r="I27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75" s="4" t="str">
        <f>IFERROR(__xludf.DUMMYFUNCTION("""COMPUTED_VALUE"""),"DROGAFARMA - CONTA PAI")</f>
        <v>DROGAFARMA - CONTA PAI</v>
      </c>
      <c r="L275" s="32">
        <f>IFERROR(__xludf.DUMMYFUNCTION("""COMPUTED_VALUE"""),27.0)</f>
        <v>27</v>
      </c>
      <c r="M275" s="4" t="str">
        <f>IFERROR(__xludf.DUMMYFUNCTION("""COMPUTED_VALUE"""),"N/A (Not found)")</f>
        <v>N/A (Not found)</v>
      </c>
      <c r="N275" s="33">
        <f>IFERROR(__xludf.DUMMYFUNCTION("""COMPUTED_VALUE"""),1.0)</f>
        <v>1</v>
      </c>
      <c r="O275" s="4" t="str">
        <f>IFERROR(__xludf.DUMMYFUNCTION("""COMPUTED_VALUE"""),"N/A (Not found)")</f>
        <v>N/A (Not found)</v>
      </c>
      <c r="P275" s="33">
        <f>IFERROR(__xludf.DUMMYFUNCTION("""COMPUTED_VALUE"""),1.0)</f>
        <v>1</v>
      </c>
      <c r="Q275" s="4" t="str">
        <f>IFERROR(__xludf.DUMMYFUNCTION("""COMPUTED_VALUE"""),"N/A (Not found)")</f>
        <v>N/A (Not found)</v>
      </c>
      <c r="R275" s="33">
        <f>IFERROR(__xludf.DUMMYFUNCTION("""COMPUTED_VALUE"""),1.0)</f>
        <v>1</v>
      </c>
      <c r="S275" s="4" t="str">
        <f>IFERROR(__xludf.DUMMYFUNCTION("""COMPUTED_VALUE"""),"N/A (Not found)")</f>
        <v>N/A (Not found)</v>
      </c>
      <c r="T275" s="33">
        <f>IFERROR(__xludf.DUMMYFUNCTION("""COMPUTED_VALUE"""),1.0)</f>
        <v>1</v>
      </c>
      <c r="U275" s="4" t="str">
        <f>IFERROR(__xludf.DUMMYFUNCTION("""COMPUTED_VALUE"""),"N/A (Not found)")</f>
        <v>N/A (Not found)</v>
      </c>
      <c r="V275" s="33">
        <f>IFERROR(__xludf.DUMMYFUNCTION("""COMPUTED_VALUE"""),1.0)</f>
        <v>1</v>
      </c>
      <c r="W275" s="4" t="str">
        <f>IFERROR(__xludf.DUMMYFUNCTION("""COMPUTED_VALUE"""),"N/A (Not found)")</f>
        <v>N/A (Not found)</v>
      </c>
      <c r="X275" s="33">
        <f>IFERROR(__xludf.DUMMYFUNCTION("""COMPUTED_VALUE"""),1.0)</f>
        <v>1</v>
      </c>
    </row>
    <row r="276">
      <c r="A276" s="4" t="str">
        <f>IFERROR(__xludf.DUMMYFUNCTION("""COMPUTED_VALUE"""),"Daásu Sushi")</f>
        <v>Daásu Sushi</v>
      </c>
      <c r="B276" s="4">
        <f>IFERROR(__xludf.DUMMYFUNCTION("""COMPUTED_VALUE"""),12.0)</f>
        <v>12</v>
      </c>
      <c r="C276" s="30">
        <f>IFERROR(__xludf.DUMMYFUNCTION("""COMPUTED_VALUE"""),90.0)</f>
        <v>90</v>
      </c>
      <c r="D276" s="4" t="str">
        <f>IFERROR(__xludf.DUMMYFUNCTION("""COMPUTED_VALUE"""),"Fast Casual - Japonesa")</f>
        <v>Fast Casual - Japonesa</v>
      </c>
      <c r="E276" s="4" t="str">
        <f>IFERROR(__xludf.DUMMYFUNCTION("""COMPUTED_VALUE"""),"Interior SP")</f>
        <v>Interior SP</v>
      </c>
      <c r="F276" s="4" t="str">
        <f>IFERROR(__xludf.DUMMYFUNCTION("""COMPUTED_VALUE"""),"Dado não disponível publicamente - Necessário Discovery")</f>
        <v>Dado não disponível publicamente - Necessário Discovery</v>
      </c>
      <c r="G276" s="4">
        <f>IFERROR(__xludf.DUMMYFUNCTION("""COMPUTED_VALUE"""),70.0)</f>
        <v>70</v>
      </c>
      <c r="H276" s="31">
        <f>IFERROR(__xludf.DUMMYFUNCTION("""COMPUTED_VALUE"""),0.8)</f>
        <v>0.8</v>
      </c>
      <c r="I276"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276" s="4" t="str">
        <f>IFERROR(__xludf.DUMMYFUNCTION("""COMPUTED_VALUE"""),"JOANIN - CONTA GRUPO")</f>
        <v>JOANIN - CONTA GRUPO</v>
      </c>
      <c r="L276" s="32">
        <f>IFERROR(__xludf.DUMMYFUNCTION("""COMPUTED_VALUE"""),27.0)</f>
        <v>27</v>
      </c>
      <c r="M276" s="4" t="str">
        <f>IFERROR(__xludf.DUMMYFUNCTION("""COMPUTED_VALUE"""),"N/A (Not found)")</f>
        <v>N/A (Not found)</v>
      </c>
      <c r="N276" s="33">
        <f>IFERROR(__xludf.DUMMYFUNCTION("""COMPUTED_VALUE"""),1.0)</f>
        <v>1</v>
      </c>
      <c r="O276" s="4" t="str">
        <f>IFERROR(__xludf.DUMMYFUNCTION("""COMPUTED_VALUE"""),"N/A (Not found)")</f>
        <v>N/A (Not found)</v>
      </c>
      <c r="P276" s="33">
        <f>IFERROR(__xludf.DUMMYFUNCTION("""COMPUTED_VALUE"""),1.0)</f>
        <v>1</v>
      </c>
      <c r="Q276" s="4" t="str">
        <f>IFERROR(__xludf.DUMMYFUNCTION("""COMPUTED_VALUE"""),"N/A (Not found)")</f>
        <v>N/A (Not found)</v>
      </c>
      <c r="R276" s="33">
        <f>IFERROR(__xludf.DUMMYFUNCTION("""COMPUTED_VALUE"""),0.9629629629629629)</f>
        <v>0.962962963</v>
      </c>
      <c r="S276" s="4" t="str">
        <f>IFERROR(__xludf.DUMMYFUNCTION("""COMPUTED_VALUE"""),"N/A (Not found)")</f>
        <v>N/A (Not found)</v>
      </c>
      <c r="T276" s="33">
        <f>IFERROR(__xludf.DUMMYFUNCTION("""COMPUTED_VALUE"""),0.9629629629629629)</f>
        <v>0.962962963</v>
      </c>
      <c r="U276" s="4" t="str">
        <f>IFERROR(__xludf.DUMMYFUNCTION("""COMPUTED_VALUE"""),"N/A (Not found)")</f>
        <v>N/A (Not found)</v>
      </c>
      <c r="V276" s="33">
        <f>IFERROR(__xludf.DUMMYFUNCTION("""COMPUTED_VALUE"""),0.9629629629629629)</f>
        <v>0.962962963</v>
      </c>
      <c r="W276" s="4" t="str">
        <f>IFERROR(__xludf.DUMMYFUNCTION("""COMPUTED_VALUE"""),"N/A (Not found)")</f>
        <v>N/A (Not found)</v>
      </c>
      <c r="X276" s="33">
        <f>IFERROR(__xludf.DUMMYFUNCTION("""COMPUTED_VALUE"""),0.9629629629629629)</f>
        <v>0.962962963</v>
      </c>
    </row>
    <row r="277">
      <c r="A277" s="4" t="str">
        <f>IFERROR(__xludf.DUMMYFUNCTION("""COMPUTED_VALUE"""),"Delírio Tropical")</f>
        <v>Delírio Tropical</v>
      </c>
      <c r="B277" s="4">
        <f>IFERROR(__xludf.DUMMYFUNCTION("""COMPUTED_VALUE"""),7.0)</f>
        <v>7</v>
      </c>
      <c r="C277" s="30">
        <f>IFERROR(__xludf.DUMMYFUNCTION("""COMPUTED_VALUE"""),70.0)</f>
        <v>70</v>
      </c>
      <c r="D277" s="4" t="str">
        <f>IFERROR(__xludf.DUMMYFUNCTION("""COMPUTED_VALUE"""),"Fast Casual - Multi-conceito")</f>
        <v>Fast Casual - Multi-conceito</v>
      </c>
      <c r="E277" s="4" t="str">
        <f>IFERROR(__xludf.DUMMYFUNCTION("""COMPUTED_VALUE"""),"Nacional")</f>
        <v>Nacional</v>
      </c>
      <c r="F277" s="4" t="str">
        <f>IFERROR(__xludf.DUMMYFUNCTION("""COMPUTED_VALUE"""),"Dado não disponível publicamente - Necessário Discovery")</f>
        <v>Dado não disponível publicamente - Necessário Discovery</v>
      </c>
      <c r="G277" s="4">
        <f>IFERROR(__xludf.DUMMYFUNCTION("""COMPUTED_VALUE"""),70.0)</f>
        <v>70</v>
      </c>
      <c r="H277" s="31">
        <f>IFERROR(__xludf.DUMMYFUNCTION("""COMPUTED_VALUE"""),0.75)</f>
        <v>0.75</v>
      </c>
      <c r="I27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77" s="4" t="str">
        <f>IFERROR(__xludf.DUMMYFUNCTION("""COMPUTED_VALUE"""),"GRUPO FRUTARIA ORIGINAL")</f>
        <v>GRUPO FRUTARIA ORIGINAL</v>
      </c>
      <c r="L277" s="32">
        <f>IFERROR(__xludf.DUMMYFUNCTION("""COMPUTED_VALUE"""),27.0)</f>
        <v>27</v>
      </c>
      <c r="M277" s="4" t="str">
        <f>IFERROR(__xludf.DUMMYFUNCTION("""COMPUTED_VALUE"""),"Altec Sistemas")</f>
        <v>Altec Sistemas</v>
      </c>
      <c r="N277" s="33">
        <f>IFERROR(__xludf.DUMMYFUNCTION("""COMPUTED_VALUE"""),0.4)</f>
        <v>0.4</v>
      </c>
      <c r="O277" s="4" t="str">
        <f>IFERROR(__xludf.DUMMYFUNCTION("""COMPUTED_VALUE"""),"Altec Sistemas")</f>
        <v>Altec Sistemas</v>
      </c>
      <c r="P277" s="33">
        <f>IFERROR(__xludf.DUMMYFUNCTION("""COMPUTED_VALUE"""),0.4)</f>
        <v>0.4</v>
      </c>
      <c r="Q277" s="4" t="str">
        <f>IFERROR(__xludf.DUMMYFUNCTION("""COMPUTED_VALUE"""),"Altec Sistemas")</f>
        <v>Altec Sistemas</v>
      </c>
      <c r="R277" s="33">
        <f>IFERROR(__xludf.DUMMYFUNCTION("""COMPUTED_VALUE"""),0.36666666666666664)</f>
        <v>0.3666666667</v>
      </c>
      <c r="S277" s="4" t="str">
        <f>IFERROR(__xludf.DUMMYFUNCTION("""COMPUTED_VALUE"""),"Altec Sistemas")</f>
        <v>Altec Sistemas</v>
      </c>
      <c r="T277" s="33">
        <f>IFERROR(__xludf.DUMMYFUNCTION("""COMPUTED_VALUE"""),0.4)</f>
        <v>0.4</v>
      </c>
      <c r="U277" s="4" t="str">
        <f>IFERROR(__xludf.DUMMYFUNCTION("""COMPUTED_VALUE"""),"Altec Sistemas")</f>
        <v>Altec Sistemas</v>
      </c>
      <c r="V277" s="33">
        <f>IFERROR(__xludf.DUMMYFUNCTION("""COMPUTED_VALUE"""),0.43333333333333335)</f>
        <v>0.4333333333</v>
      </c>
      <c r="W277" s="4" t="str">
        <f>IFERROR(__xludf.DUMMYFUNCTION("""COMPUTED_VALUE"""),"E-deploy Retail")</f>
        <v>E-deploy Retail</v>
      </c>
      <c r="X277" s="33">
        <f>IFERROR(__xludf.DUMMYFUNCTION("""COMPUTED_VALUE"""),0.4666666666666667)</f>
        <v>0.4666666667</v>
      </c>
    </row>
    <row r="278">
      <c r="A278" s="4" t="str">
        <f>IFERROR(__xludf.DUMMYFUNCTION("""COMPUTED_VALUE"""),"Detroit Pizzaria Cp")</f>
        <v>Detroit Pizzaria Cp</v>
      </c>
      <c r="B278" s="4">
        <f>IFERROR(__xludf.DUMMYFUNCTION("""COMPUTED_VALUE"""),8.0)</f>
        <v>8</v>
      </c>
      <c r="C278" s="30">
        <f>IFERROR(__xludf.DUMMYFUNCTION("""COMPUTED_VALUE"""),64.0)</f>
        <v>64</v>
      </c>
      <c r="D278" s="4" t="str">
        <f>IFERROR(__xludf.DUMMYFUNCTION("""COMPUTED_VALUE"""),"Fast Casual - Pizzaria")</f>
        <v>Fast Casual - Pizzaria</v>
      </c>
      <c r="E278" s="4" t="str">
        <f>IFERROR(__xludf.DUMMYFUNCTION("""COMPUTED_VALUE"""),"Belo Horizonte/MG")</f>
        <v>Belo Horizonte/MG</v>
      </c>
      <c r="F278" s="4" t="str">
        <f>IFERROR(__xludf.DUMMYFUNCTION("""COMPUTED_VALUE"""),"Dado não disponível publicamente - Necessário Discovery")</f>
        <v>Dado não disponível publicamente - Necessário Discovery</v>
      </c>
      <c r="G278" s="4">
        <f>IFERROR(__xludf.DUMMYFUNCTION("""COMPUTED_VALUE"""),70.0)</f>
        <v>70</v>
      </c>
      <c r="H278" s="31">
        <f>IFERROR(__xludf.DUMMYFUNCTION("""COMPUTED_VALUE"""),0.75)</f>
        <v>0.75</v>
      </c>
      <c r="I27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78" s="4" t="str">
        <f>IFERROR(__xludf.DUMMYFUNCTION("""COMPUTED_VALUE"""),"FARMACIA VALE VERDE - CONTA PAI")</f>
        <v>FARMACIA VALE VERDE - CONTA PAI</v>
      </c>
      <c r="L278" s="32">
        <f>IFERROR(__xludf.DUMMYFUNCTION("""COMPUTED_VALUE"""),27.0)</f>
        <v>27</v>
      </c>
      <c r="M278" s="4" t="str">
        <f>IFERROR(__xludf.DUMMYFUNCTION("""COMPUTED_VALUE"""),"N/A (Not found)")</f>
        <v>N/A (Not found)</v>
      </c>
      <c r="N278" s="33">
        <f>IFERROR(__xludf.DUMMYFUNCTION("""COMPUTED_VALUE"""),0.9629629629629629)</f>
        <v>0.962962963</v>
      </c>
      <c r="O278" s="4" t="str">
        <f>IFERROR(__xludf.DUMMYFUNCTION("""COMPUTED_VALUE"""),"N/A (Not found)")</f>
        <v>N/A (Not found)</v>
      </c>
      <c r="P278" s="33">
        <f>IFERROR(__xludf.DUMMYFUNCTION("""COMPUTED_VALUE"""),1.0)</f>
        <v>1</v>
      </c>
      <c r="Q278" s="4" t="str">
        <f>IFERROR(__xludf.DUMMYFUNCTION("""COMPUTED_VALUE"""),"N/A (Not found)")</f>
        <v>N/A (Not found)</v>
      </c>
      <c r="R278" s="33">
        <f>IFERROR(__xludf.DUMMYFUNCTION("""COMPUTED_VALUE"""),1.0)</f>
        <v>1</v>
      </c>
      <c r="S278" s="4" t="str">
        <f>IFERROR(__xludf.DUMMYFUNCTION("""COMPUTED_VALUE"""),"N/A (Not found)")</f>
        <v>N/A (Not found)</v>
      </c>
      <c r="T278" s="33">
        <f>IFERROR(__xludf.DUMMYFUNCTION("""COMPUTED_VALUE"""),1.0)</f>
        <v>1</v>
      </c>
      <c r="U278" s="4" t="str">
        <f>IFERROR(__xludf.DUMMYFUNCTION("""COMPUTED_VALUE"""),"N/A (Not found)")</f>
        <v>N/A (Not found)</v>
      </c>
      <c r="V278" s="33">
        <f>IFERROR(__xludf.DUMMYFUNCTION("""COMPUTED_VALUE"""),1.0)</f>
        <v>1</v>
      </c>
      <c r="W278" s="4" t="str">
        <f>IFERROR(__xludf.DUMMYFUNCTION("""COMPUTED_VALUE"""),"N/A (Not found)")</f>
        <v>N/A (Not found)</v>
      </c>
      <c r="X278" s="33">
        <f>IFERROR(__xludf.DUMMYFUNCTION("""COMPUTED_VALUE"""),1.0)</f>
        <v>1</v>
      </c>
    </row>
    <row r="279">
      <c r="A279" s="4" t="str">
        <f>IFERROR(__xludf.DUMMYFUNCTION("""COMPUTED_VALUE"""),"Di Frango")</f>
        <v>Di Frango</v>
      </c>
      <c r="B279" s="4">
        <f>IFERROR(__xludf.DUMMYFUNCTION("""COMPUTED_VALUE"""),3.0)</f>
        <v>3</v>
      </c>
      <c r="C279" s="30">
        <f>IFERROR(__xludf.DUMMYFUNCTION("""COMPUTED_VALUE"""),72.0)</f>
        <v>72</v>
      </c>
      <c r="D279" s="4" t="str">
        <f>IFERROR(__xludf.DUMMYFUNCTION("""COMPUTED_VALUE"""),"Fast Casual - Multi-conceito")</f>
        <v>Fast Casual - Multi-conceito</v>
      </c>
      <c r="E279" s="4" t="str">
        <f>IFERROR(__xludf.DUMMYFUNCTION("""COMPUTED_VALUE"""),"Belo Horizonte/MG")</f>
        <v>Belo Horizonte/MG</v>
      </c>
      <c r="F279" s="4" t="str">
        <f>IFERROR(__xludf.DUMMYFUNCTION("""COMPUTED_VALUE"""),"Dado não disponível publicamente - Necessário Discovery")</f>
        <v>Dado não disponível publicamente - Necessário Discovery</v>
      </c>
      <c r="G279" s="4">
        <f>IFERROR(__xludf.DUMMYFUNCTION("""COMPUTED_VALUE"""),65.0)</f>
        <v>65</v>
      </c>
      <c r="H279" s="31">
        <f>IFERROR(__xludf.DUMMYFUNCTION("""COMPUTED_VALUE"""),0.75)</f>
        <v>0.75</v>
      </c>
      <c r="I27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79" s="4" t="str">
        <f>IFERROR(__xludf.DUMMYFUNCTION("""COMPUTED_VALUE"""),"GRUPO RAINHA DAS MARMITAS")</f>
        <v>GRUPO RAINHA DAS MARMITAS</v>
      </c>
      <c r="L279" s="32">
        <f>IFERROR(__xludf.DUMMYFUNCTION("""COMPUTED_VALUE"""),27.0)</f>
        <v>27</v>
      </c>
      <c r="M279" s="4" t="str">
        <f>IFERROR(__xludf.DUMMYFUNCTION("""COMPUTED_VALUE"""),"Cardápio Web")</f>
        <v>Cardápio Web</v>
      </c>
      <c r="N279" s="33">
        <f>IFERROR(__xludf.DUMMYFUNCTION("""COMPUTED_VALUE"""),0.4074074074074074)</f>
        <v>0.4074074074</v>
      </c>
      <c r="O279" s="4" t="str">
        <f>IFERROR(__xludf.DUMMYFUNCTION("""COMPUTED_VALUE"""),"null")</f>
        <v>null</v>
      </c>
      <c r="P279" s="33">
        <f>IFERROR(__xludf.DUMMYFUNCTION("""COMPUTED_VALUE"""),0.4074074074074074)</f>
        <v>0.4074074074</v>
      </c>
      <c r="Q279" s="4" t="str">
        <f>IFERROR(__xludf.DUMMYFUNCTION("""COMPUTED_VALUE"""),"null")</f>
        <v>null</v>
      </c>
      <c r="R279" s="33">
        <f>IFERROR(__xludf.DUMMYFUNCTION("""COMPUTED_VALUE"""),0.4444444444444444)</f>
        <v>0.4444444444</v>
      </c>
      <c r="S279" s="4" t="str">
        <f>IFERROR(__xludf.DUMMYFUNCTION("""COMPUTED_VALUE"""),"Cardápio Web")</f>
        <v>Cardápio Web</v>
      </c>
      <c r="T279" s="33">
        <f>IFERROR(__xludf.DUMMYFUNCTION("""COMPUTED_VALUE"""),0.48148148148148145)</f>
        <v>0.4814814815</v>
      </c>
      <c r="U279" s="4" t="str">
        <f>IFERROR(__xludf.DUMMYFUNCTION("""COMPUTED_VALUE"""),"null")</f>
        <v>null</v>
      </c>
      <c r="V279" s="33">
        <f>IFERROR(__xludf.DUMMYFUNCTION("""COMPUTED_VALUE"""),0.37037037037037035)</f>
        <v>0.3703703704</v>
      </c>
      <c r="W279" s="4" t="str">
        <f>IFERROR(__xludf.DUMMYFUNCTION("""COMPUTED_VALUE"""),"Cardápio Web")</f>
        <v>Cardápio Web</v>
      </c>
      <c r="X279" s="33">
        <f>IFERROR(__xludf.DUMMYFUNCTION("""COMPUTED_VALUE"""),0.4074074074074074)</f>
        <v>0.4074074074</v>
      </c>
    </row>
    <row r="280">
      <c r="A280" s="4" t="str">
        <f>IFERROR(__xludf.DUMMYFUNCTION("""COMPUTED_VALUE"""),"Di Napoli")</f>
        <v>Di Napoli</v>
      </c>
      <c r="B280" s="4">
        <f>IFERROR(__xludf.DUMMYFUNCTION("""COMPUTED_VALUE"""),4.0)</f>
        <v>4</v>
      </c>
      <c r="C280" s="30">
        <f>IFERROR(__xludf.DUMMYFUNCTION("""COMPUTED_VALUE"""),68.0)</f>
        <v>68</v>
      </c>
      <c r="D280" s="4" t="str">
        <f>IFERROR(__xludf.DUMMYFUNCTION("""COMPUTED_VALUE"""),"Fast Casual - Multi-conceito")</f>
        <v>Fast Casual - Multi-conceito</v>
      </c>
      <c r="E280" s="4" t="str">
        <f>IFERROR(__xludf.DUMMYFUNCTION("""COMPUTED_VALUE"""),"Brasília/DF")</f>
        <v>Brasília/DF</v>
      </c>
      <c r="F280" s="4" t="str">
        <f>IFERROR(__xludf.DUMMYFUNCTION("""COMPUTED_VALUE"""),"Dado não disponível publicamente - Necessário Discovery")</f>
        <v>Dado não disponível publicamente - Necessário Discovery</v>
      </c>
      <c r="G280" s="4">
        <f>IFERROR(__xludf.DUMMYFUNCTION("""COMPUTED_VALUE"""),65.0)</f>
        <v>65</v>
      </c>
      <c r="H280" s="31">
        <f>IFERROR(__xludf.DUMMYFUNCTION("""COMPUTED_VALUE"""),0.75)</f>
        <v>0.75</v>
      </c>
      <c r="I28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80" s="4" t="str">
        <f>IFERROR(__xludf.DUMMYFUNCTION("""COMPUTED_VALUE"""),"GRUPO REGALO PIZZERIA")</f>
        <v>GRUPO REGALO PIZZERIA</v>
      </c>
      <c r="L280" s="32">
        <f>IFERROR(__xludf.DUMMYFUNCTION("""COMPUTED_VALUE"""),27.0)</f>
        <v>27</v>
      </c>
      <c r="M280" s="4" t="str">
        <f>IFERROR(__xludf.DUMMYFUNCTION("""COMPUTED_VALUE"""),"Menew - Linx")</f>
        <v>Menew - Linx</v>
      </c>
      <c r="N280" s="33">
        <f>IFERROR(__xludf.DUMMYFUNCTION("""COMPUTED_VALUE"""),0.8518518518518519)</f>
        <v>0.8518518519</v>
      </c>
      <c r="O280" s="4" t="str">
        <f>IFERROR(__xludf.DUMMYFUNCTION("""COMPUTED_VALUE"""),"Menew - Linx")</f>
        <v>Menew - Linx</v>
      </c>
      <c r="P280" s="33">
        <f>IFERROR(__xludf.DUMMYFUNCTION("""COMPUTED_VALUE"""),0.9629629629629629)</f>
        <v>0.962962963</v>
      </c>
      <c r="Q280" s="4" t="str">
        <f>IFERROR(__xludf.DUMMYFUNCTION("""COMPUTED_VALUE"""),"Menew - Linx")</f>
        <v>Menew - Linx</v>
      </c>
      <c r="R280" s="33">
        <f>IFERROR(__xludf.DUMMYFUNCTION("""COMPUTED_VALUE"""),1.0)</f>
        <v>1</v>
      </c>
      <c r="S280" s="4" t="str">
        <f>IFERROR(__xludf.DUMMYFUNCTION("""COMPUTED_VALUE"""),"Menew - Linx")</f>
        <v>Menew - Linx</v>
      </c>
      <c r="T280" s="33">
        <f>IFERROR(__xludf.DUMMYFUNCTION("""COMPUTED_VALUE"""),1.0)</f>
        <v>1</v>
      </c>
      <c r="U280" s="4" t="str">
        <f>IFERROR(__xludf.DUMMYFUNCTION("""COMPUTED_VALUE"""),"Menew - Linx")</f>
        <v>Menew - Linx</v>
      </c>
      <c r="V280" s="33">
        <f>IFERROR(__xludf.DUMMYFUNCTION("""COMPUTED_VALUE"""),1.0)</f>
        <v>1</v>
      </c>
      <c r="W280" s="4" t="str">
        <f>IFERROR(__xludf.DUMMYFUNCTION("""COMPUTED_VALUE"""),"Menew - Linx")</f>
        <v>Menew - Linx</v>
      </c>
      <c r="X280" s="33">
        <f>IFERROR(__xludf.DUMMYFUNCTION("""COMPUTED_VALUE"""),0.8148148148148148)</f>
        <v>0.8148148148</v>
      </c>
    </row>
    <row r="281">
      <c r="A281" s="4" t="str">
        <f>IFERROR(__xludf.DUMMYFUNCTION("""COMPUTED_VALUE"""),"Divino Fogão")</f>
        <v>Divino Fogão</v>
      </c>
      <c r="B281" s="4">
        <f>IFERROR(__xludf.DUMMYFUNCTION("""COMPUTED_VALUE"""),7.0)</f>
        <v>7</v>
      </c>
      <c r="C281" s="30">
        <f>IFERROR(__xludf.DUMMYFUNCTION("""COMPUTED_VALUE"""),55.0)</f>
        <v>55</v>
      </c>
      <c r="D281" s="4" t="str">
        <f>IFERROR(__xludf.DUMMYFUNCTION("""COMPUTED_VALUE"""),"Fast Casual - Multi-conceito")</f>
        <v>Fast Casual - Multi-conceito</v>
      </c>
      <c r="E281" s="4" t="str">
        <f>IFERROR(__xludf.DUMMYFUNCTION("""COMPUTED_VALUE"""),"Regional")</f>
        <v>Regional</v>
      </c>
      <c r="F281" s="4" t="str">
        <f>IFERROR(__xludf.DUMMYFUNCTION("""COMPUTED_VALUE"""),"Dado não disponível publicamente - Necessário Discovery")</f>
        <v>Dado não disponível publicamente - Necessário Discovery</v>
      </c>
      <c r="G281" s="4">
        <f>IFERROR(__xludf.DUMMYFUNCTION("""COMPUTED_VALUE"""),70.0)</f>
        <v>70</v>
      </c>
      <c r="H281" s="31">
        <f>IFERROR(__xludf.DUMMYFUNCTION("""COMPUTED_VALUE"""),0.75)</f>
        <v>0.75</v>
      </c>
      <c r="I28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81" s="4" t="str">
        <f>IFERROR(__xludf.DUMMYFUNCTION("""COMPUTED_VALUE"""),"MAMMA MIA RS")</f>
        <v>MAMMA MIA RS</v>
      </c>
      <c r="L281" s="32">
        <f>IFERROR(__xludf.DUMMYFUNCTION("""COMPUTED_VALUE"""),27.0)</f>
        <v>27</v>
      </c>
      <c r="M281" s="4" t="str">
        <f>IFERROR(__xludf.DUMMYFUNCTION("""COMPUTED_VALUE"""),"Stone Co.")</f>
        <v>Stone Co.</v>
      </c>
      <c r="N281" s="33">
        <f>IFERROR(__xludf.DUMMYFUNCTION("""COMPUTED_VALUE"""),0.7777777777777778)</f>
        <v>0.7777777778</v>
      </c>
      <c r="O281" s="4" t="str">
        <f>IFERROR(__xludf.DUMMYFUNCTION("""COMPUTED_VALUE"""),"Stone Co.")</f>
        <v>Stone Co.</v>
      </c>
      <c r="P281" s="33">
        <f>IFERROR(__xludf.DUMMYFUNCTION("""COMPUTED_VALUE"""),0.8148148148148148)</f>
        <v>0.8148148148</v>
      </c>
      <c r="Q281" s="4" t="str">
        <f>IFERROR(__xludf.DUMMYFUNCTION("""COMPUTED_VALUE"""),"Stone Co.")</f>
        <v>Stone Co.</v>
      </c>
      <c r="R281" s="33">
        <f>IFERROR(__xludf.DUMMYFUNCTION("""COMPUTED_VALUE"""),0.8148148148148148)</f>
        <v>0.8148148148</v>
      </c>
      <c r="S281" s="4" t="str">
        <f>IFERROR(__xludf.DUMMYFUNCTION("""COMPUTED_VALUE"""),"Stone Co.")</f>
        <v>Stone Co.</v>
      </c>
      <c r="T281" s="33">
        <f>IFERROR(__xludf.DUMMYFUNCTION("""COMPUTED_VALUE"""),0.8518518518518519)</f>
        <v>0.8518518519</v>
      </c>
      <c r="U281" s="4" t="str">
        <f>IFERROR(__xludf.DUMMYFUNCTION("""COMPUTED_VALUE"""),"Stone Co.")</f>
        <v>Stone Co.</v>
      </c>
      <c r="V281" s="33">
        <f>IFERROR(__xludf.DUMMYFUNCTION("""COMPUTED_VALUE"""),1.0)</f>
        <v>1</v>
      </c>
      <c r="W281" s="4" t="str">
        <f>IFERROR(__xludf.DUMMYFUNCTION("""COMPUTED_VALUE"""),"Stone Co.")</f>
        <v>Stone Co.</v>
      </c>
      <c r="X281" s="33">
        <f>IFERROR(__xludf.DUMMYFUNCTION("""COMPUTED_VALUE"""),0.9259259259259259)</f>
        <v>0.9259259259</v>
      </c>
    </row>
    <row r="282">
      <c r="A282" s="4" t="str">
        <f>IFERROR(__xludf.DUMMYFUNCTION("""COMPUTED_VALUE"""),"Dna Da Pizza")</f>
        <v>Dna Da Pizza</v>
      </c>
      <c r="B282" s="4">
        <f>IFERROR(__xludf.DUMMYFUNCTION("""COMPUTED_VALUE"""),6.0)</f>
        <v>6</v>
      </c>
      <c r="C282" s="30">
        <f>IFERROR(__xludf.DUMMYFUNCTION("""COMPUTED_VALUE"""),61.0)</f>
        <v>61</v>
      </c>
      <c r="D282" s="4" t="str">
        <f>IFERROR(__xludf.DUMMYFUNCTION("""COMPUTED_VALUE"""),"Fast Casual - Pizzaria")</f>
        <v>Fast Casual - Pizzaria</v>
      </c>
      <c r="E282" s="4" t="str">
        <f>IFERROR(__xludf.DUMMYFUNCTION("""COMPUTED_VALUE"""),"Belo Horizonte/MG")</f>
        <v>Belo Horizonte/MG</v>
      </c>
      <c r="F282" s="4" t="str">
        <f>IFERROR(__xludf.DUMMYFUNCTION("""COMPUTED_VALUE"""),"Dado não disponível publicamente - Necessário Discovery")</f>
        <v>Dado não disponível publicamente - Necessário Discovery</v>
      </c>
      <c r="G282" s="4">
        <f>IFERROR(__xludf.DUMMYFUNCTION("""COMPUTED_VALUE"""),70.0)</f>
        <v>70</v>
      </c>
      <c r="H282" s="31">
        <f>IFERROR(__xludf.DUMMYFUNCTION("""COMPUTED_VALUE"""),0.75)</f>
        <v>0.75</v>
      </c>
      <c r="I28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82" s="4" t="str">
        <f>IFERROR(__xludf.DUMMYFUNCTION("""COMPUTED_VALUE"""),"MR PRETZELS")</f>
        <v>MR PRETZELS</v>
      </c>
      <c r="L282" s="32">
        <f>IFERROR(__xludf.DUMMYFUNCTION("""COMPUTED_VALUE"""),27.0)</f>
        <v>27</v>
      </c>
      <c r="M282" s="4" t="str">
        <f>IFERROR(__xludf.DUMMYFUNCTION("""COMPUTED_VALUE"""),"Sti3 Soluções Em Ti")</f>
        <v>Sti3 Soluções Em Ti</v>
      </c>
      <c r="N282" s="33">
        <f>IFERROR(__xludf.DUMMYFUNCTION("""COMPUTED_VALUE"""),0.7037037037037037)</f>
        <v>0.7037037037</v>
      </c>
      <c r="O282" s="4" t="str">
        <f>IFERROR(__xludf.DUMMYFUNCTION("""COMPUTED_VALUE"""),"Sti3 Soluções Em Ti")</f>
        <v>Sti3 Soluções Em Ti</v>
      </c>
      <c r="P282" s="33">
        <f>IFERROR(__xludf.DUMMYFUNCTION("""COMPUTED_VALUE"""),0.7777777777777778)</f>
        <v>0.7777777778</v>
      </c>
      <c r="Q282" s="4" t="str">
        <f>IFERROR(__xludf.DUMMYFUNCTION("""COMPUTED_VALUE"""),"Sti3 Soluções Em Ti")</f>
        <v>Sti3 Soluções Em Ti</v>
      </c>
      <c r="R282" s="33">
        <f>IFERROR(__xludf.DUMMYFUNCTION("""COMPUTED_VALUE"""),0.7777777777777778)</f>
        <v>0.7777777778</v>
      </c>
      <c r="S282" s="4" t="str">
        <f>IFERROR(__xludf.DUMMYFUNCTION("""COMPUTED_VALUE"""),"Sti3 Soluções Em Ti")</f>
        <v>Sti3 Soluções Em Ti</v>
      </c>
      <c r="T282" s="33">
        <f>IFERROR(__xludf.DUMMYFUNCTION("""COMPUTED_VALUE"""),0.7407407407407407)</f>
        <v>0.7407407407</v>
      </c>
      <c r="U282" s="4" t="str">
        <f>IFERROR(__xludf.DUMMYFUNCTION("""COMPUTED_VALUE"""),"Sti3 Soluções Em Ti")</f>
        <v>Sti3 Soluções Em Ti</v>
      </c>
      <c r="V282" s="33">
        <f>IFERROR(__xludf.DUMMYFUNCTION("""COMPUTED_VALUE"""),0.6666666666666666)</f>
        <v>0.6666666667</v>
      </c>
      <c r="W282" s="4" t="str">
        <f>IFERROR(__xludf.DUMMYFUNCTION("""COMPUTED_VALUE"""),"Sti3 Soluções Em Ti")</f>
        <v>Sti3 Soluções Em Ti</v>
      </c>
      <c r="X282" s="33">
        <f>IFERROR(__xludf.DUMMYFUNCTION("""COMPUTED_VALUE"""),0.6666666666666666)</f>
        <v>0.6666666667</v>
      </c>
    </row>
    <row r="283">
      <c r="A283" s="4" t="str">
        <f>IFERROR(__xludf.DUMMYFUNCTION("""COMPUTED_VALUE"""),"Dog King")</f>
        <v>Dog King</v>
      </c>
      <c r="B283" s="4">
        <f>IFERROR(__xludf.DUMMYFUNCTION("""COMPUTED_VALUE"""),2.0)</f>
        <v>2</v>
      </c>
      <c r="C283" s="30">
        <f>IFERROR(__xludf.DUMMYFUNCTION("""COMPUTED_VALUE"""),36.0)</f>
        <v>36</v>
      </c>
      <c r="D283" s="4" t="str">
        <f>IFERROR(__xludf.DUMMYFUNCTION("""COMPUTED_VALUE"""),"QSR - Hot Dog")</f>
        <v>QSR - Hot Dog</v>
      </c>
      <c r="E283" s="4" t="str">
        <f>IFERROR(__xludf.DUMMYFUNCTION("""COMPUTED_VALUE"""),"Sudeste")</f>
        <v>Sudeste</v>
      </c>
      <c r="F283" s="4" t="str">
        <f>IFERROR(__xludf.DUMMYFUNCTION("""COMPUTED_VALUE"""),"Dado não disponível publicamente - Necessário Discovery")</f>
        <v>Dado não disponível publicamente - Necessário Discovery</v>
      </c>
      <c r="G283" s="4">
        <f>IFERROR(__xludf.DUMMYFUNCTION("""COMPUTED_VALUE"""),65.0)</f>
        <v>65</v>
      </c>
      <c r="H283" s="31">
        <f>IFERROR(__xludf.DUMMYFUNCTION("""COMPUTED_VALUE"""),0.85)</f>
        <v>0.85</v>
      </c>
      <c r="I283"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283" s="4" t="str">
        <f>IFERROR(__xludf.DUMMYFUNCTION("""COMPUTED_VALUE"""),"PASTEL CHEFINHOS")</f>
        <v>PASTEL CHEFINHOS</v>
      </c>
      <c r="L283" s="32">
        <f>IFERROR(__xludf.DUMMYFUNCTION("""COMPUTED_VALUE"""),27.0)</f>
        <v>27</v>
      </c>
      <c r="M283" s="4" t="str">
        <f>IFERROR(__xludf.DUMMYFUNCTION("""COMPUTED_VALUE"""),"Eclética Tecnologia")</f>
        <v>Eclética Tecnologia</v>
      </c>
      <c r="N283" s="33">
        <f>IFERROR(__xludf.DUMMYFUNCTION("""COMPUTED_VALUE"""),0.9259259259259259)</f>
        <v>0.9259259259</v>
      </c>
      <c r="O283" s="4" t="str">
        <f>IFERROR(__xludf.DUMMYFUNCTION("""COMPUTED_VALUE"""),"Eclética Tecnologia")</f>
        <v>Eclética Tecnologia</v>
      </c>
      <c r="P283" s="33">
        <f>IFERROR(__xludf.DUMMYFUNCTION("""COMPUTED_VALUE"""),0.8888888888888888)</f>
        <v>0.8888888889</v>
      </c>
      <c r="Q283" s="4" t="str">
        <f>IFERROR(__xludf.DUMMYFUNCTION("""COMPUTED_VALUE"""),"Eclética Tecnologia")</f>
        <v>Eclética Tecnologia</v>
      </c>
      <c r="R283" s="33">
        <f>IFERROR(__xludf.DUMMYFUNCTION("""COMPUTED_VALUE"""),0.8518518518518519)</f>
        <v>0.8518518519</v>
      </c>
      <c r="S283" s="4" t="str">
        <f>IFERROR(__xludf.DUMMYFUNCTION("""COMPUTED_VALUE"""),"Eclética Tecnologia")</f>
        <v>Eclética Tecnologia</v>
      </c>
      <c r="T283" s="33">
        <f>IFERROR(__xludf.DUMMYFUNCTION("""COMPUTED_VALUE"""),0.7037037037037037)</f>
        <v>0.7037037037</v>
      </c>
      <c r="U283" s="4" t="str">
        <f>IFERROR(__xludf.DUMMYFUNCTION("""COMPUTED_VALUE"""),"Eclética Tecnologia")</f>
        <v>Eclética Tecnologia</v>
      </c>
      <c r="V283" s="33">
        <f>IFERROR(__xludf.DUMMYFUNCTION("""COMPUTED_VALUE"""),0.5555555555555556)</f>
        <v>0.5555555556</v>
      </c>
      <c r="W283" s="4" t="str">
        <f>IFERROR(__xludf.DUMMYFUNCTION("""COMPUTED_VALUE"""),"Eclética Tecnologia")</f>
        <v>Eclética Tecnologia</v>
      </c>
      <c r="X283" s="33">
        <f>IFERROR(__xludf.DUMMYFUNCTION("""COMPUTED_VALUE"""),0.5185185185185185)</f>
        <v>0.5185185185</v>
      </c>
    </row>
    <row r="284">
      <c r="A284" s="4" t="str">
        <f>IFERROR(__xludf.DUMMYFUNCTION("""COMPUTED_VALUE"""),"Dolcissimo")</f>
        <v>Dolcissimo</v>
      </c>
      <c r="B284" s="4">
        <f>IFERROR(__xludf.DUMMYFUNCTION("""COMPUTED_VALUE"""),3.0)</f>
        <v>3</v>
      </c>
      <c r="C284" s="30">
        <f>IFERROR(__xludf.DUMMYFUNCTION("""COMPUTED_VALUE"""),51.0)</f>
        <v>51</v>
      </c>
      <c r="D284" s="4" t="str">
        <f>IFERROR(__xludf.DUMMYFUNCTION("""COMPUTED_VALUE"""),"Fast Casual - Multi-conceito")</f>
        <v>Fast Casual - Multi-conceito</v>
      </c>
      <c r="E284" s="4" t="str">
        <f>IFERROR(__xludf.DUMMYFUNCTION("""COMPUTED_VALUE"""),"Brasília/DF")</f>
        <v>Brasília/DF</v>
      </c>
      <c r="F284" s="4" t="str">
        <f>IFERROR(__xludf.DUMMYFUNCTION("""COMPUTED_VALUE"""),"Dado não disponível publicamente - Necessário Discovery")</f>
        <v>Dado não disponível publicamente - Necessário Discovery</v>
      </c>
      <c r="G284" s="4">
        <f>IFERROR(__xludf.DUMMYFUNCTION("""COMPUTED_VALUE"""),65.0)</f>
        <v>65</v>
      </c>
      <c r="H284" s="31">
        <f>IFERROR(__xludf.DUMMYFUNCTION("""COMPUTED_VALUE"""),0.75)</f>
        <v>0.75</v>
      </c>
      <c r="I28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84" s="4" t="str">
        <f>IFERROR(__xludf.DUMMYFUNCTION("""COMPUTED_VALUE"""),"POKE UP")</f>
        <v>POKE UP</v>
      </c>
      <c r="L284" s="32">
        <f>IFERROR(__xludf.DUMMYFUNCTION("""COMPUTED_VALUE"""),27.0)</f>
        <v>27</v>
      </c>
      <c r="M284" s="4" t="str">
        <f>IFERROR(__xludf.DUMMYFUNCTION("""COMPUTED_VALUE"""),"Nimbus Erp")</f>
        <v>Nimbus Erp</v>
      </c>
      <c r="N284" s="33">
        <f>IFERROR(__xludf.DUMMYFUNCTION("""COMPUTED_VALUE"""),0.4444444444444444)</f>
        <v>0.4444444444</v>
      </c>
      <c r="O284" s="4" t="str">
        <f>IFERROR(__xludf.DUMMYFUNCTION("""COMPUTED_VALUE"""),"Hubster")</f>
        <v>Hubster</v>
      </c>
      <c r="P284" s="33">
        <f>IFERROR(__xludf.DUMMYFUNCTION("""COMPUTED_VALUE"""),0.5185185185185185)</f>
        <v>0.5185185185</v>
      </c>
      <c r="Q284" s="4" t="str">
        <f>IFERROR(__xludf.DUMMYFUNCTION("""COMPUTED_VALUE"""),"Hubster")</f>
        <v>Hubster</v>
      </c>
      <c r="R284" s="33">
        <f>IFERROR(__xludf.DUMMYFUNCTION("""COMPUTED_VALUE"""),0.48148148148148145)</f>
        <v>0.4814814815</v>
      </c>
      <c r="S284" s="4" t="str">
        <f>IFERROR(__xludf.DUMMYFUNCTION("""COMPUTED_VALUE"""),"null")</f>
        <v>null</v>
      </c>
      <c r="T284" s="33">
        <f>IFERROR(__xludf.DUMMYFUNCTION("""COMPUTED_VALUE"""),0.4074074074074074)</f>
        <v>0.4074074074</v>
      </c>
      <c r="U284" s="4" t="str">
        <f>IFERROR(__xludf.DUMMYFUNCTION("""COMPUTED_VALUE"""),"Hubster")</f>
        <v>Hubster</v>
      </c>
      <c r="V284" s="33">
        <f>IFERROR(__xludf.DUMMYFUNCTION("""COMPUTED_VALUE"""),0.4444444444444444)</f>
        <v>0.4444444444</v>
      </c>
      <c r="W284" s="4" t="str">
        <f>IFERROR(__xludf.DUMMYFUNCTION("""COMPUTED_VALUE"""),"null")</f>
        <v>null</v>
      </c>
      <c r="X284" s="33">
        <f>IFERROR(__xludf.DUMMYFUNCTION("""COMPUTED_VALUE"""),0.48148148148148145)</f>
        <v>0.4814814815</v>
      </c>
    </row>
    <row r="285">
      <c r="A285" s="4" t="str">
        <f>IFERROR(__xludf.DUMMYFUNCTION("""COMPUTED_VALUE"""),"Dominos")</f>
        <v>Dominos</v>
      </c>
      <c r="B285" s="4">
        <f>IFERROR(__xludf.DUMMYFUNCTION("""COMPUTED_VALUE"""),220.0)</f>
        <v>220</v>
      </c>
      <c r="C285" s="30">
        <f>IFERROR(__xludf.DUMMYFUNCTION("""COMPUTED_VALUE"""),65.0)</f>
        <v>65</v>
      </c>
      <c r="D285" s="4" t="str">
        <f>IFERROR(__xludf.DUMMYFUNCTION("""COMPUTED_VALUE"""),"QSR - Pizza Delivery")</f>
        <v>QSR - Pizza Delivery</v>
      </c>
      <c r="E285" s="4" t="str">
        <f>IFERROR(__xludf.DUMMYFUNCTION("""COMPUTED_VALUE"""),"Nacional")</f>
        <v>Nacional</v>
      </c>
      <c r="F285" s="4" t="str">
        <f>IFERROR(__xludf.DUMMYFUNCTION("""COMPUTED_VALUE"""),"&gt;7 milhões pizzas (2025)")</f>
        <v>&gt;7 milhões pizzas (2025)</v>
      </c>
      <c r="G285" s="4">
        <f>IFERROR(__xludf.DUMMYFUNCTION("""COMPUTED_VALUE"""),85.0)</f>
        <v>85</v>
      </c>
      <c r="H285" s="31">
        <f>IFERROR(__xludf.DUMMYFUNCTION("""COMPUTED_VALUE"""),0.98)</f>
        <v>0.98</v>
      </c>
      <c r="I285" s="4" t="str">
        <f>IFERROR(__xludf.DUMMYFUNCTION("""COMPUTED_VALUE"""),"Alta aderência ao 3S: Sistema Domino's. 3S oferece Kiosk nativo, Hub Delivery integrado e gestão centralizada multi-loja - diferenciais competitivos para expansão e redução de filas.")</f>
        <v>Alta aderência ao 3S: Sistema Domino's. 3S oferece Kiosk nativo, Hub Delivery integrado e gestão centralizada multi-loja - diferenciais competitivos para expansão e redução de filas.</v>
      </c>
      <c r="K285" s="4" t="str">
        <f>IFERROR(__xludf.DUMMYFUNCTION("""COMPUTED_VALUE"""),"TUTTI PIZZA")</f>
        <v>TUTTI PIZZA</v>
      </c>
      <c r="L285" s="32">
        <f>IFERROR(__xludf.DUMMYFUNCTION("""COMPUTED_VALUE"""),27.0)</f>
        <v>27</v>
      </c>
      <c r="M285" s="4" t="str">
        <f>IFERROR(__xludf.DUMMYFUNCTION("""COMPUTED_VALUE"""),"Grk Soluções Informatica Eireli")</f>
        <v>Grk Soluções Informatica Eireli</v>
      </c>
      <c r="N285" s="33">
        <f>IFERROR(__xludf.DUMMYFUNCTION("""COMPUTED_VALUE"""),0.9259259259259259)</f>
        <v>0.9259259259</v>
      </c>
      <c r="O285" s="4" t="str">
        <f>IFERROR(__xludf.DUMMYFUNCTION("""COMPUTED_VALUE"""),"Grk Soluções Informatica Eireli")</f>
        <v>Grk Soluções Informatica Eireli</v>
      </c>
      <c r="P285" s="33">
        <f>IFERROR(__xludf.DUMMYFUNCTION("""COMPUTED_VALUE"""),0.9259259259259259)</f>
        <v>0.9259259259</v>
      </c>
      <c r="Q285" s="4" t="str">
        <f>IFERROR(__xludf.DUMMYFUNCTION("""COMPUTED_VALUE"""),"Grk Soluções Informatica Eireli")</f>
        <v>Grk Soluções Informatica Eireli</v>
      </c>
      <c r="R285" s="33">
        <f>IFERROR(__xludf.DUMMYFUNCTION("""COMPUTED_VALUE"""),1.0)</f>
        <v>1</v>
      </c>
      <c r="S285" s="4" t="str">
        <f>IFERROR(__xludf.DUMMYFUNCTION("""COMPUTED_VALUE"""),"Grk Soluções Informatica Eireli")</f>
        <v>Grk Soluções Informatica Eireli</v>
      </c>
      <c r="T285" s="33">
        <f>IFERROR(__xludf.DUMMYFUNCTION("""COMPUTED_VALUE"""),1.0)</f>
        <v>1</v>
      </c>
      <c r="U285" s="4" t="str">
        <f>IFERROR(__xludf.DUMMYFUNCTION("""COMPUTED_VALUE"""),"Grk Soluções Informatica Eireli")</f>
        <v>Grk Soluções Informatica Eireli</v>
      </c>
      <c r="V285" s="33">
        <f>IFERROR(__xludf.DUMMYFUNCTION("""COMPUTED_VALUE"""),1.0)</f>
        <v>1</v>
      </c>
      <c r="W285" s="4" t="str">
        <f>IFERROR(__xludf.DUMMYFUNCTION("""COMPUTED_VALUE"""),"Grk Soluções Informatica Eireli")</f>
        <v>Grk Soluções Informatica Eireli</v>
      </c>
      <c r="X285" s="33">
        <f>IFERROR(__xludf.DUMMYFUNCTION("""COMPUTED_VALUE"""),1.0)</f>
        <v>1</v>
      </c>
    </row>
    <row r="286">
      <c r="A286" s="4" t="str">
        <f>IFERROR(__xludf.DUMMYFUNCTION("""COMPUTED_VALUE"""),"Don Corleone")</f>
        <v>Don Corleone</v>
      </c>
      <c r="B286" s="4">
        <f>IFERROR(__xludf.DUMMYFUNCTION("""COMPUTED_VALUE"""),5.0)</f>
        <v>5</v>
      </c>
      <c r="C286" s="30">
        <f>IFERROR(__xludf.DUMMYFUNCTION("""COMPUTED_VALUE"""),61.0)</f>
        <v>61</v>
      </c>
      <c r="D286" s="4" t="str">
        <f>IFERROR(__xludf.DUMMYFUNCTION("""COMPUTED_VALUE"""),"Fast Casual - Multi-conceito")</f>
        <v>Fast Casual - Multi-conceito</v>
      </c>
      <c r="E286" s="4" t="str">
        <f>IFERROR(__xludf.DUMMYFUNCTION("""COMPUTED_VALUE"""),"Interior SP")</f>
        <v>Interior SP</v>
      </c>
      <c r="F286" s="4" t="str">
        <f>IFERROR(__xludf.DUMMYFUNCTION("""COMPUTED_VALUE"""),"Dado não disponível publicamente - Necessário Discovery")</f>
        <v>Dado não disponível publicamente - Necessário Discovery</v>
      </c>
      <c r="G286" s="4">
        <f>IFERROR(__xludf.DUMMYFUNCTION("""COMPUTED_VALUE"""),70.0)</f>
        <v>70</v>
      </c>
      <c r="H286" s="31">
        <f>IFERROR(__xludf.DUMMYFUNCTION("""COMPUTED_VALUE"""),0.75)</f>
        <v>0.75</v>
      </c>
      <c r="I28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86" s="4" t="str">
        <f>IFERROR(__xludf.DUMMYFUNCTION("""COMPUTED_VALUE"""),"MILK SHAKE MIX")</f>
        <v>MILK SHAKE MIX</v>
      </c>
      <c r="L286" s="32">
        <f>IFERROR(__xludf.DUMMYFUNCTION("""COMPUTED_VALUE"""),26.0)</f>
        <v>26</v>
      </c>
      <c r="M286" s="4" t="str">
        <f>IFERROR(__xludf.DUMMYFUNCTION("""COMPUTED_VALUE"""),"Waybe Soluções Em Tecnologia Da Informação Ltda")</f>
        <v>Waybe Soluções Em Tecnologia Da Informação Ltda</v>
      </c>
      <c r="N286" s="33">
        <f>IFERROR(__xludf.DUMMYFUNCTION("""COMPUTED_VALUE"""),0.4230769230769231)</f>
        <v>0.4230769231</v>
      </c>
      <c r="O286" s="4" t="str">
        <f>IFERROR(__xludf.DUMMYFUNCTION("""COMPUTED_VALUE"""),"Waybe Soluções Em Tecnologia Da Informação Ltda")</f>
        <v>Waybe Soluções Em Tecnologia Da Informação Ltda</v>
      </c>
      <c r="P286" s="33">
        <f>IFERROR(__xludf.DUMMYFUNCTION("""COMPUTED_VALUE"""),0.38461538461538464)</f>
        <v>0.3846153846</v>
      </c>
      <c r="Q286" s="4" t="str">
        <f>IFERROR(__xludf.DUMMYFUNCTION("""COMPUTED_VALUE"""),"Waybe Soluções Em Tecnologia Da Informação Ltda")</f>
        <v>Waybe Soluções Em Tecnologia Da Informação Ltda</v>
      </c>
      <c r="R286" s="33">
        <f>IFERROR(__xludf.DUMMYFUNCTION("""COMPUTED_VALUE"""),0.34615384615384615)</f>
        <v>0.3461538462</v>
      </c>
      <c r="S286" s="4" t="str">
        <f>IFERROR(__xludf.DUMMYFUNCTION("""COMPUTED_VALUE"""),"Waybe Soluções Em Tecnologia Da Informação Ltda")</f>
        <v>Waybe Soluções Em Tecnologia Da Informação Ltda</v>
      </c>
      <c r="T286" s="33">
        <f>IFERROR(__xludf.DUMMYFUNCTION("""COMPUTED_VALUE"""),0.34615384615384615)</f>
        <v>0.3461538462</v>
      </c>
      <c r="U286" s="4" t="str">
        <f>IFERROR(__xludf.DUMMYFUNCTION("""COMPUTED_VALUE"""),"Waybe Soluções Em Tecnologia Da Informação Ltda")</f>
        <v>Waybe Soluções Em Tecnologia Da Informação Ltda</v>
      </c>
      <c r="V286" s="33">
        <f>IFERROR(__xludf.DUMMYFUNCTION("""COMPUTED_VALUE"""),0.38461538461538464)</f>
        <v>0.3846153846</v>
      </c>
      <c r="W286" s="4" t="str">
        <f>IFERROR(__xludf.DUMMYFUNCTION("""COMPUTED_VALUE"""),"Waybe Soluções Em Tecnologia Da Informação Ltda")</f>
        <v>Waybe Soluções Em Tecnologia Da Informação Ltda</v>
      </c>
      <c r="X286" s="33">
        <f>IFERROR(__xludf.DUMMYFUNCTION("""COMPUTED_VALUE"""),0.38461538461538464)</f>
        <v>0.3846153846</v>
      </c>
    </row>
    <row r="287">
      <c r="A287" s="4" t="str">
        <f>IFERROR(__xludf.DUMMYFUNCTION("""COMPUTED_VALUE"""),"Don Pepe Di Napoli")</f>
        <v>Don Pepe Di Napoli</v>
      </c>
      <c r="B287" s="4">
        <f>IFERROR(__xludf.DUMMYFUNCTION("""COMPUTED_VALUE"""),4.0)</f>
        <v>4</v>
      </c>
      <c r="C287" s="30">
        <f>IFERROR(__xludf.DUMMYFUNCTION("""COMPUTED_VALUE"""),63.0)</f>
        <v>63</v>
      </c>
      <c r="D287" s="4" t="str">
        <f>IFERROR(__xludf.DUMMYFUNCTION("""COMPUTED_VALUE"""),"Fast Casual - Multi-conceito")</f>
        <v>Fast Casual - Multi-conceito</v>
      </c>
      <c r="E287" s="4" t="str">
        <f>IFERROR(__xludf.DUMMYFUNCTION("""COMPUTED_VALUE"""),"Nordeste")</f>
        <v>Nordeste</v>
      </c>
      <c r="F287" s="4" t="str">
        <f>IFERROR(__xludf.DUMMYFUNCTION("""COMPUTED_VALUE"""),"Dado não disponível publicamente - Necessário Discovery")</f>
        <v>Dado não disponível publicamente - Necessário Discovery</v>
      </c>
      <c r="G287" s="4">
        <f>IFERROR(__xludf.DUMMYFUNCTION("""COMPUTED_VALUE"""),65.0)</f>
        <v>65</v>
      </c>
      <c r="H287" s="31">
        <f>IFERROR(__xludf.DUMMYFUNCTION("""COMPUTED_VALUE"""),0.75)</f>
        <v>0.75</v>
      </c>
      <c r="I28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87" s="4" t="str">
        <f>IFERROR(__xludf.DUMMYFUNCTION("""COMPUTED_VALUE"""),"KK")</f>
        <v>KK</v>
      </c>
      <c r="L287" s="32">
        <f>IFERROR(__xludf.DUMMYFUNCTION("""COMPUTED_VALUE"""),26.0)</f>
        <v>26</v>
      </c>
      <c r="M287" s="4" t="str">
        <f>IFERROR(__xludf.DUMMYFUNCTION("""COMPUTED_VALUE"""),"Saipos Serviços De Software")</f>
        <v>Saipos Serviços De Software</v>
      </c>
      <c r="N287" s="33">
        <f>IFERROR(__xludf.DUMMYFUNCTION("""COMPUTED_VALUE"""),0.6538461538461539)</f>
        <v>0.6538461538</v>
      </c>
      <c r="O287" s="4" t="str">
        <f>IFERROR(__xludf.DUMMYFUNCTION("""COMPUTED_VALUE"""),"Saipos Serviços De Software")</f>
        <v>Saipos Serviços De Software</v>
      </c>
      <c r="P287" s="33">
        <f>IFERROR(__xludf.DUMMYFUNCTION("""COMPUTED_VALUE"""),0.6538461538461539)</f>
        <v>0.6538461538</v>
      </c>
      <c r="Q287" s="4" t="str">
        <f>IFERROR(__xludf.DUMMYFUNCTION("""COMPUTED_VALUE"""),"Saipos Serviços De Software")</f>
        <v>Saipos Serviços De Software</v>
      </c>
      <c r="R287" s="33">
        <f>IFERROR(__xludf.DUMMYFUNCTION("""COMPUTED_VALUE"""),0.6538461538461539)</f>
        <v>0.6538461538</v>
      </c>
      <c r="S287" s="4" t="str">
        <f>IFERROR(__xludf.DUMMYFUNCTION("""COMPUTED_VALUE"""),"Saipos Serviços De Software")</f>
        <v>Saipos Serviços De Software</v>
      </c>
      <c r="T287" s="33">
        <f>IFERROR(__xludf.DUMMYFUNCTION("""COMPUTED_VALUE"""),0.6923076923076923)</f>
        <v>0.6923076923</v>
      </c>
      <c r="U287" s="4" t="str">
        <f>IFERROR(__xludf.DUMMYFUNCTION("""COMPUTED_VALUE"""),"Saipos Serviços De Software")</f>
        <v>Saipos Serviços De Software</v>
      </c>
      <c r="V287" s="33">
        <f>IFERROR(__xludf.DUMMYFUNCTION("""COMPUTED_VALUE"""),0.7307692307692307)</f>
        <v>0.7307692308</v>
      </c>
      <c r="W287" s="4" t="str">
        <f>IFERROR(__xludf.DUMMYFUNCTION("""COMPUTED_VALUE"""),"Saipos Serviços De Software")</f>
        <v>Saipos Serviços De Software</v>
      </c>
      <c r="X287" s="33">
        <f>IFERROR(__xludf.DUMMYFUNCTION("""COMPUTED_VALUE"""),0.7307692307692307)</f>
        <v>0.7307692308</v>
      </c>
    </row>
    <row r="288">
      <c r="A288" s="4" t="str">
        <f>IFERROR(__xludf.DUMMYFUNCTION("""COMPUTED_VALUE"""),"Estação Das Pizzas")</f>
        <v>Estação Das Pizzas</v>
      </c>
      <c r="B288" s="4">
        <f>IFERROR(__xludf.DUMMYFUNCTION("""COMPUTED_VALUE"""),2.0)</f>
        <v>2</v>
      </c>
      <c r="C288" s="30">
        <f>IFERROR(__xludf.DUMMYFUNCTION("""COMPUTED_VALUE"""),71.0)</f>
        <v>71</v>
      </c>
      <c r="D288" s="4" t="str">
        <f>IFERROR(__xludf.DUMMYFUNCTION("""COMPUTED_VALUE"""),"Fast Casual - Pizzaria")</f>
        <v>Fast Casual - Pizzaria</v>
      </c>
      <c r="E288" s="4" t="str">
        <f>IFERROR(__xludf.DUMMYFUNCTION("""COMPUTED_VALUE"""),"Brasília/DF")</f>
        <v>Brasília/DF</v>
      </c>
      <c r="F288" s="4" t="str">
        <f>IFERROR(__xludf.DUMMYFUNCTION("""COMPUTED_VALUE"""),"Dado não disponível publicamente - Necessário Discovery")</f>
        <v>Dado não disponível publicamente - Necessário Discovery</v>
      </c>
      <c r="G288" s="4">
        <f>IFERROR(__xludf.DUMMYFUNCTION("""COMPUTED_VALUE"""),65.0)</f>
        <v>65</v>
      </c>
      <c r="H288" s="31">
        <f>IFERROR(__xludf.DUMMYFUNCTION("""COMPUTED_VALUE"""),0.75)</f>
        <v>0.75</v>
      </c>
      <c r="I28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88" s="4" t="str">
        <f>IFERROR(__xludf.DUMMYFUNCTION("""COMPUTED_VALUE"""),"SALLVE CONTEM 1G - CONTA GRUPO")</f>
        <v>SALLVE CONTEM 1G - CONTA GRUPO</v>
      </c>
      <c r="L288" s="32">
        <f>IFERROR(__xludf.DUMMYFUNCTION("""COMPUTED_VALUE"""),26.0)</f>
        <v>26</v>
      </c>
      <c r="M288" s="4" t="str">
        <f>IFERROR(__xludf.DUMMYFUNCTION("""COMPUTED_VALUE"""),"null")</f>
        <v>null</v>
      </c>
      <c r="N288" s="33">
        <f>IFERROR(__xludf.DUMMYFUNCTION("""COMPUTED_VALUE"""),0.9230769230769231)</f>
        <v>0.9230769231</v>
      </c>
      <c r="O288" s="4" t="str">
        <f>IFERROR(__xludf.DUMMYFUNCTION("""COMPUTED_VALUE"""),"null")</f>
        <v>null</v>
      </c>
      <c r="P288" s="33">
        <f>IFERROR(__xludf.DUMMYFUNCTION("""COMPUTED_VALUE"""),0.9615384615384616)</f>
        <v>0.9615384615</v>
      </c>
      <c r="Q288" s="4" t="str">
        <f>IFERROR(__xludf.DUMMYFUNCTION("""COMPUTED_VALUE"""),"N/A (Not found)")</f>
        <v>N/A (Not found)</v>
      </c>
      <c r="R288" s="33">
        <f>IFERROR(__xludf.DUMMYFUNCTION("""COMPUTED_VALUE"""),0.6538461538461539)</f>
        <v>0.6538461538</v>
      </c>
      <c r="S288" s="4" t="str">
        <f>IFERROR(__xludf.DUMMYFUNCTION("""COMPUTED_VALUE"""),"N/A (Not found)")</f>
        <v>N/A (Not found)</v>
      </c>
      <c r="T288" s="33">
        <f>IFERROR(__xludf.DUMMYFUNCTION("""COMPUTED_VALUE"""),0.7692307692307693)</f>
        <v>0.7692307692</v>
      </c>
      <c r="U288" s="4" t="str">
        <f>IFERROR(__xludf.DUMMYFUNCTION("""COMPUTED_VALUE"""),"N/A (Not found)")</f>
        <v>N/A (Not found)</v>
      </c>
      <c r="V288" s="33">
        <f>IFERROR(__xludf.DUMMYFUNCTION("""COMPUTED_VALUE"""),0.8846153846153846)</f>
        <v>0.8846153846</v>
      </c>
      <c r="W288" s="4" t="str">
        <f>IFERROR(__xludf.DUMMYFUNCTION("""COMPUTED_VALUE"""),"N/A (Not found)")</f>
        <v>N/A (Not found)</v>
      </c>
      <c r="X288" s="33">
        <f>IFERROR(__xludf.DUMMYFUNCTION("""COMPUTED_VALUE"""),0.8076923076923077)</f>
        <v>0.8076923077</v>
      </c>
    </row>
    <row r="289">
      <c r="A289" s="4" t="str">
        <f>IFERROR(__xludf.DUMMYFUNCTION("""COMPUTED_VALUE"""),"Estação Grill")</f>
        <v>Estação Grill</v>
      </c>
      <c r="B289" s="4">
        <f>IFERROR(__xludf.DUMMYFUNCTION("""COMPUTED_VALUE"""),4.0)</f>
        <v>4</v>
      </c>
      <c r="C289" s="30">
        <f>IFERROR(__xludf.DUMMYFUNCTION("""COMPUTED_VALUE"""),156.0)</f>
        <v>156</v>
      </c>
      <c r="D289" s="4" t="str">
        <f>IFERROR(__xludf.DUMMYFUNCTION("""COMPUTED_VALUE"""),"Table Service - Churrascaria")</f>
        <v>Table Service - Churrascaria</v>
      </c>
      <c r="E289" s="4" t="str">
        <f>IFERROR(__xludf.DUMMYFUNCTION("""COMPUTED_VALUE"""),"São Paulo/SP")</f>
        <v>São Paulo/SP</v>
      </c>
      <c r="F289" s="4" t="str">
        <f>IFERROR(__xludf.DUMMYFUNCTION("""COMPUTED_VALUE"""),"Dado não disponível publicamente - Necessário Discovery")</f>
        <v>Dado não disponível publicamente - Necessário Discovery</v>
      </c>
      <c r="G289" s="4">
        <f>IFERROR(__xludf.DUMMYFUNCTION("""COMPUTED_VALUE"""),55.0)</f>
        <v>55</v>
      </c>
      <c r="H289" s="31">
        <f>IFERROR(__xludf.DUMMYFUNCTION("""COMPUTED_VALUE"""),0.65)</f>
        <v>0.65</v>
      </c>
      <c r="I28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89" s="4" t="str">
        <f>IFERROR(__xludf.DUMMYFUNCTION("""COMPUTED_VALUE"""),"MART MINAS DOM ATACADISTA - CONTA GRUPO")</f>
        <v>MART MINAS DOM ATACADISTA - CONTA GRUPO</v>
      </c>
      <c r="L289" s="32">
        <f>IFERROR(__xludf.DUMMYFUNCTION("""COMPUTED_VALUE"""),26.0)</f>
        <v>26</v>
      </c>
      <c r="M289" s="4" t="str">
        <f>IFERROR(__xludf.DUMMYFUNCTION("""COMPUTED_VALUE"""),"null")</f>
        <v>null</v>
      </c>
      <c r="N289" s="33">
        <f>IFERROR(__xludf.DUMMYFUNCTION("""COMPUTED_VALUE"""),0.8846153846153846)</f>
        <v>0.8846153846</v>
      </c>
      <c r="O289" s="4" t="str">
        <f>IFERROR(__xludf.DUMMYFUNCTION("""COMPUTED_VALUE"""),"null")</f>
        <v>null</v>
      </c>
      <c r="P289" s="33">
        <f>IFERROR(__xludf.DUMMYFUNCTION("""COMPUTED_VALUE"""),0.8076923076923077)</f>
        <v>0.8076923077</v>
      </c>
      <c r="Q289" s="4" t="str">
        <f>IFERROR(__xludf.DUMMYFUNCTION("""COMPUTED_VALUE"""),"N/A (Not found)")</f>
        <v>N/A (Not found)</v>
      </c>
      <c r="R289" s="33">
        <f>IFERROR(__xludf.DUMMYFUNCTION("""COMPUTED_VALUE"""),0.6538461538461539)</f>
        <v>0.6538461538</v>
      </c>
      <c r="S289" s="4" t="str">
        <f>IFERROR(__xludf.DUMMYFUNCTION("""COMPUTED_VALUE"""),"N/A (Not found)")</f>
        <v>N/A (Not found)</v>
      </c>
      <c r="T289" s="33">
        <f>IFERROR(__xludf.DUMMYFUNCTION("""COMPUTED_VALUE"""),1.0)</f>
        <v>1</v>
      </c>
      <c r="U289" s="4" t="str">
        <f>IFERROR(__xludf.DUMMYFUNCTION("""COMPUTED_VALUE"""),"N/A (Not found)")</f>
        <v>N/A (Not found)</v>
      </c>
      <c r="V289" s="33">
        <f>IFERROR(__xludf.DUMMYFUNCTION("""COMPUTED_VALUE"""),1.0)</f>
        <v>1</v>
      </c>
      <c r="W289" s="4" t="str">
        <f>IFERROR(__xludf.DUMMYFUNCTION("""COMPUTED_VALUE"""),"N/A (Not found)")</f>
        <v>N/A (Not found)</v>
      </c>
      <c r="X289" s="33">
        <f>IFERROR(__xludf.DUMMYFUNCTION("""COMPUTED_VALUE"""),1.0)</f>
        <v>1</v>
      </c>
    </row>
    <row r="290">
      <c r="A290" s="4" t="str">
        <f>IFERROR(__xludf.DUMMYFUNCTION("""COMPUTED_VALUE"""),"Estella Burger")</f>
        <v>Estella Burger</v>
      </c>
      <c r="B290" s="4">
        <f>IFERROR(__xludf.DUMMYFUNCTION("""COMPUTED_VALUE"""),6.0)</f>
        <v>6</v>
      </c>
      <c r="C290" s="30">
        <f>IFERROR(__xludf.DUMMYFUNCTION("""COMPUTED_VALUE"""),75.0)</f>
        <v>75</v>
      </c>
      <c r="D290" s="4" t="str">
        <f>IFERROR(__xludf.DUMMYFUNCTION("""COMPUTED_VALUE"""),"Fast Casual - Hamburgueria")</f>
        <v>Fast Casual - Hamburgueria</v>
      </c>
      <c r="E290" s="4" t="str">
        <f>IFERROR(__xludf.DUMMYFUNCTION("""COMPUTED_VALUE"""),"Interior SP")</f>
        <v>Interior SP</v>
      </c>
      <c r="F290" s="4" t="str">
        <f>IFERROR(__xludf.DUMMYFUNCTION("""COMPUTED_VALUE"""),"Dado não disponível publicamente - Necessário Discovery")</f>
        <v>Dado não disponível publicamente - Necessário Discovery</v>
      </c>
      <c r="G290" s="4">
        <f>IFERROR(__xludf.DUMMYFUNCTION("""COMPUTED_VALUE"""),70.0)</f>
        <v>70</v>
      </c>
      <c r="H290" s="31">
        <f>IFERROR(__xludf.DUMMYFUNCTION("""COMPUTED_VALUE"""),0.75)</f>
        <v>0.75</v>
      </c>
      <c r="I290"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90" s="4" t="str">
        <f>IFERROR(__xludf.DUMMYFUNCTION("""COMPUTED_VALUE"""),"DROGARIA BOM PRECO - CONTA MARCA")</f>
        <v>DROGARIA BOM PRECO - CONTA MARCA</v>
      </c>
      <c r="L290" s="32">
        <f>IFERROR(__xludf.DUMMYFUNCTION("""COMPUTED_VALUE"""),26.0)</f>
        <v>26</v>
      </c>
      <c r="M290" s="4" t="str">
        <f>IFERROR(__xludf.DUMMYFUNCTION("""COMPUTED_VALUE"""),"N/A (Not found)")</f>
        <v>N/A (Not found)</v>
      </c>
      <c r="N290" s="33">
        <f>IFERROR(__xludf.DUMMYFUNCTION("""COMPUTED_VALUE"""),0.9615384615384616)</f>
        <v>0.9615384615</v>
      </c>
      <c r="O290" s="4" t="str">
        <f>IFERROR(__xludf.DUMMYFUNCTION("""COMPUTED_VALUE"""),"N/A (Not found)")</f>
        <v>N/A (Not found)</v>
      </c>
      <c r="P290" s="33">
        <f>IFERROR(__xludf.DUMMYFUNCTION("""COMPUTED_VALUE"""),0.9615384615384616)</f>
        <v>0.9615384615</v>
      </c>
      <c r="Q290" s="4" t="str">
        <f>IFERROR(__xludf.DUMMYFUNCTION("""COMPUTED_VALUE"""),"N/A (Not found)")</f>
        <v>N/A (Not found)</v>
      </c>
      <c r="R290" s="33">
        <f>IFERROR(__xludf.DUMMYFUNCTION("""COMPUTED_VALUE"""),0.9615384615384616)</f>
        <v>0.9615384615</v>
      </c>
      <c r="S290" s="4" t="str">
        <f>IFERROR(__xludf.DUMMYFUNCTION("""COMPUTED_VALUE"""),"N/A (Not found)")</f>
        <v>N/A (Not found)</v>
      </c>
      <c r="T290" s="33">
        <f>IFERROR(__xludf.DUMMYFUNCTION("""COMPUTED_VALUE"""),0.9615384615384616)</f>
        <v>0.9615384615</v>
      </c>
      <c r="U290" s="4" t="str">
        <f>IFERROR(__xludf.DUMMYFUNCTION("""COMPUTED_VALUE"""),"N/A (Not found)")</f>
        <v>N/A (Not found)</v>
      </c>
      <c r="V290" s="33">
        <f>IFERROR(__xludf.DUMMYFUNCTION("""COMPUTED_VALUE"""),0.9615384615384616)</f>
        <v>0.9615384615</v>
      </c>
      <c r="W290" s="4" t="str">
        <f>IFERROR(__xludf.DUMMYFUNCTION("""COMPUTED_VALUE"""),"N/A (Not found)")</f>
        <v>N/A (Not found)</v>
      </c>
      <c r="X290" s="33">
        <f>IFERROR(__xludf.DUMMYFUNCTION("""COMPUTED_VALUE"""),1.0)</f>
        <v>1</v>
      </c>
    </row>
    <row r="291">
      <c r="A291" s="4" t="str">
        <f>IFERROR(__xludf.DUMMYFUNCTION("""COMPUTED_VALUE"""),"Excelencia Do Pao")</f>
        <v>Excelencia Do Pao</v>
      </c>
      <c r="B291" s="4">
        <f>IFERROR(__xludf.DUMMYFUNCTION("""COMPUTED_VALUE"""),4.0)</f>
        <v>4</v>
      </c>
      <c r="C291" s="30">
        <f>IFERROR(__xludf.DUMMYFUNCTION("""COMPUTED_VALUE"""),72.0)</f>
        <v>72</v>
      </c>
      <c r="D291" s="4" t="str">
        <f>IFERROR(__xludf.DUMMYFUNCTION("""COMPUTED_VALUE"""),"Fast Casual - Multi-conceito")</f>
        <v>Fast Casual - Multi-conceito</v>
      </c>
      <c r="E291" s="4" t="str">
        <f>IFERROR(__xludf.DUMMYFUNCTION("""COMPUTED_VALUE"""),"Sul")</f>
        <v>Sul</v>
      </c>
      <c r="F291" s="4" t="str">
        <f>IFERROR(__xludf.DUMMYFUNCTION("""COMPUTED_VALUE"""),"Dado não disponível publicamente - Necessário Discovery")</f>
        <v>Dado não disponível publicamente - Necessário Discovery</v>
      </c>
      <c r="G291" s="4">
        <f>IFERROR(__xludf.DUMMYFUNCTION("""COMPUTED_VALUE"""),65.0)</f>
        <v>65</v>
      </c>
      <c r="H291" s="31">
        <f>IFERROR(__xludf.DUMMYFUNCTION("""COMPUTED_VALUE"""),0.75)</f>
        <v>0.75</v>
      </c>
      <c r="I29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91" s="4" t="str">
        <f>IFERROR(__xludf.DUMMYFUNCTION("""COMPUTED_VALUE"""),"ENGENHEIROS BH")</f>
        <v>ENGENHEIROS BH</v>
      </c>
      <c r="L291" s="32">
        <f>IFERROR(__xludf.DUMMYFUNCTION("""COMPUTED_VALUE"""),26.0)</f>
        <v>26</v>
      </c>
      <c r="M291" s="4" t="str">
        <f>IFERROR(__xludf.DUMMYFUNCTION("""COMPUTED_VALUE"""),"Ncr")</f>
        <v>Ncr</v>
      </c>
      <c r="N291" s="33">
        <f>IFERROR(__xludf.DUMMYFUNCTION("""COMPUTED_VALUE"""),0.8846153846153846)</f>
        <v>0.8846153846</v>
      </c>
      <c r="O291" s="4" t="str">
        <f>IFERROR(__xludf.DUMMYFUNCTION("""COMPUTED_VALUE"""),"Ncr")</f>
        <v>Ncr</v>
      </c>
      <c r="P291" s="33">
        <f>IFERROR(__xludf.DUMMYFUNCTION("""COMPUTED_VALUE"""),0.8076923076923077)</f>
        <v>0.8076923077</v>
      </c>
      <c r="Q291" s="4" t="str">
        <f>IFERROR(__xludf.DUMMYFUNCTION("""COMPUTED_VALUE"""),"Ncr")</f>
        <v>Ncr</v>
      </c>
      <c r="R291" s="33">
        <f>IFERROR(__xludf.DUMMYFUNCTION("""COMPUTED_VALUE"""),0.8076923076923077)</f>
        <v>0.8076923077</v>
      </c>
      <c r="S291" s="4" t="str">
        <f>IFERROR(__xludf.DUMMYFUNCTION("""COMPUTED_VALUE"""),"Ncr")</f>
        <v>Ncr</v>
      </c>
      <c r="T291" s="33">
        <f>IFERROR(__xludf.DUMMYFUNCTION("""COMPUTED_VALUE"""),0.8846153846153846)</f>
        <v>0.8846153846</v>
      </c>
      <c r="U291" s="4" t="str">
        <f>IFERROR(__xludf.DUMMYFUNCTION("""COMPUTED_VALUE"""),"Ncr")</f>
        <v>Ncr</v>
      </c>
      <c r="V291" s="33">
        <f>IFERROR(__xludf.DUMMYFUNCTION("""COMPUTED_VALUE"""),0.5384615384615384)</f>
        <v>0.5384615385</v>
      </c>
      <c r="W291" s="4" t="str">
        <f>IFERROR(__xludf.DUMMYFUNCTION("""COMPUTED_VALUE"""),"null")</f>
        <v>null</v>
      </c>
      <c r="X291" s="33">
        <f>IFERROR(__xludf.DUMMYFUNCTION("""COMPUTED_VALUE"""),0.5)</f>
        <v>0.5</v>
      </c>
    </row>
    <row r="292">
      <c r="A292" s="4" t="str">
        <f>IFERROR(__xludf.DUMMYFUNCTION("""COMPUTED_VALUE"""),"Ferro E Farinha")</f>
        <v>Ferro E Farinha</v>
      </c>
      <c r="B292" s="4">
        <f>IFERROR(__xludf.DUMMYFUNCTION("""COMPUTED_VALUE"""),8.0)</f>
        <v>8</v>
      </c>
      <c r="C292" s="30">
        <f>IFERROR(__xludf.DUMMYFUNCTION("""COMPUTED_VALUE"""),56.0)</f>
        <v>56</v>
      </c>
      <c r="D292" s="4" t="str">
        <f>IFERROR(__xludf.DUMMYFUNCTION("""COMPUTED_VALUE"""),"Fast Casual - Multi-conceito")</f>
        <v>Fast Casual - Multi-conceito</v>
      </c>
      <c r="E292" s="4" t="str">
        <f>IFERROR(__xludf.DUMMYFUNCTION("""COMPUTED_VALUE"""),"Nordeste")</f>
        <v>Nordeste</v>
      </c>
      <c r="F292" s="4" t="str">
        <f>IFERROR(__xludf.DUMMYFUNCTION("""COMPUTED_VALUE"""),"Dado não disponível publicamente - Necessário Discovery")</f>
        <v>Dado não disponível publicamente - Necessário Discovery</v>
      </c>
      <c r="G292" s="4">
        <f>IFERROR(__xludf.DUMMYFUNCTION("""COMPUTED_VALUE"""),70.0)</f>
        <v>70</v>
      </c>
      <c r="H292" s="31">
        <f>IFERROR(__xludf.DUMMYFUNCTION("""COMPUTED_VALUE"""),0.75)</f>
        <v>0.75</v>
      </c>
      <c r="I29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92" s="4" t="str">
        <f>IFERROR(__xludf.DUMMYFUNCTION("""COMPUTED_VALUE"""),"GRUPO BONAPARTE")</f>
        <v>GRUPO BONAPARTE</v>
      </c>
      <c r="L292" s="32">
        <f>IFERROR(__xludf.DUMMYFUNCTION("""COMPUTED_VALUE"""),26.0)</f>
        <v>26</v>
      </c>
      <c r="M292" s="4" t="str">
        <f>IFERROR(__xludf.DUMMYFUNCTION("""COMPUTED_VALUE"""),"null")</f>
        <v>null</v>
      </c>
      <c r="N292" s="33">
        <f>IFERROR(__xludf.DUMMYFUNCTION("""COMPUTED_VALUE"""),0.5769230769230769)</f>
        <v>0.5769230769</v>
      </c>
      <c r="O292" s="4" t="str">
        <f>IFERROR(__xludf.DUMMYFUNCTION("""COMPUTED_VALUE"""),"L&amp;f Tecnologia Sistemas E Comercio Ltda")</f>
        <v>L&amp;f Tecnologia Sistemas E Comercio Ltda</v>
      </c>
      <c r="P292" s="33">
        <f>IFERROR(__xludf.DUMMYFUNCTION("""COMPUTED_VALUE"""),0.5)</f>
        <v>0.5</v>
      </c>
      <c r="Q292" s="4" t="str">
        <f>IFERROR(__xludf.DUMMYFUNCTION("""COMPUTED_VALUE"""),"L&amp;f Tecnologia Sistemas E Comercio Ltda")</f>
        <v>L&amp;f Tecnologia Sistemas E Comercio Ltda</v>
      </c>
      <c r="R292" s="33">
        <f>IFERROR(__xludf.DUMMYFUNCTION("""COMPUTED_VALUE"""),0.6153846153846154)</f>
        <v>0.6153846154</v>
      </c>
      <c r="S292" s="4" t="str">
        <f>IFERROR(__xludf.DUMMYFUNCTION("""COMPUTED_VALUE"""),"L&amp;f Tecnologia Sistemas E Comercio Ltda")</f>
        <v>L&amp;f Tecnologia Sistemas E Comercio Ltda</v>
      </c>
      <c r="T292" s="33">
        <f>IFERROR(__xludf.DUMMYFUNCTION("""COMPUTED_VALUE"""),0.5769230769230769)</f>
        <v>0.5769230769</v>
      </c>
      <c r="U292" s="4" t="str">
        <f>IFERROR(__xludf.DUMMYFUNCTION("""COMPUTED_VALUE"""),"L&amp;f Tecnologia Sistemas E Comercio Ltda")</f>
        <v>L&amp;f Tecnologia Sistemas E Comercio Ltda</v>
      </c>
      <c r="V292" s="33">
        <f>IFERROR(__xludf.DUMMYFUNCTION("""COMPUTED_VALUE"""),0.5769230769230769)</f>
        <v>0.5769230769</v>
      </c>
      <c r="W292" s="4" t="str">
        <f>IFERROR(__xludf.DUMMYFUNCTION("""COMPUTED_VALUE"""),"L&amp;f Tecnologia Sistemas E Comercio Ltda")</f>
        <v>L&amp;f Tecnologia Sistemas E Comercio Ltda</v>
      </c>
      <c r="X292" s="33">
        <f>IFERROR(__xludf.DUMMYFUNCTION("""COMPUTED_VALUE"""),0.7692307692307693)</f>
        <v>0.7692307692</v>
      </c>
    </row>
    <row r="293">
      <c r="A293" s="4" t="str">
        <f>IFERROR(__xludf.DUMMYFUNCTION("""COMPUTED_VALUE"""),"Fichips Food")</f>
        <v>Fichips Food</v>
      </c>
      <c r="B293" s="4">
        <f>IFERROR(__xludf.DUMMYFUNCTION("""COMPUTED_VALUE"""),2.0)</f>
        <v>2</v>
      </c>
      <c r="C293" s="30">
        <f>IFERROR(__xludf.DUMMYFUNCTION("""COMPUTED_VALUE"""),71.0)</f>
        <v>71</v>
      </c>
      <c r="D293" s="4" t="str">
        <f>IFERROR(__xludf.DUMMYFUNCTION("""COMPUTED_VALUE"""),"Fast Casual - Multi-conceito")</f>
        <v>Fast Casual - Multi-conceito</v>
      </c>
      <c r="E293" s="4" t="str">
        <f>IFERROR(__xludf.DUMMYFUNCTION("""COMPUTED_VALUE"""),"São Paulo/SP")</f>
        <v>São Paulo/SP</v>
      </c>
      <c r="F293" s="4" t="str">
        <f>IFERROR(__xludf.DUMMYFUNCTION("""COMPUTED_VALUE"""),"Dado não disponível publicamente - Necessário Discovery")</f>
        <v>Dado não disponível publicamente - Necessário Discovery</v>
      </c>
      <c r="G293" s="4">
        <f>IFERROR(__xludf.DUMMYFUNCTION("""COMPUTED_VALUE"""),65.0)</f>
        <v>65</v>
      </c>
      <c r="H293" s="31">
        <f>IFERROR(__xludf.DUMMYFUNCTION("""COMPUTED_VALUE"""),0.75)</f>
        <v>0.75</v>
      </c>
      <c r="I29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93" s="4" t="str">
        <f>IFERROR(__xludf.DUMMYFUNCTION("""COMPUTED_VALUE"""),"GRUPO BONAPARTE PE")</f>
        <v>GRUPO BONAPARTE PE</v>
      </c>
      <c r="L293" s="32">
        <f>IFERROR(__xludf.DUMMYFUNCTION("""COMPUTED_VALUE"""),26.0)</f>
        <v>26</v>
      </c>
      <c r="M293" s="4" t="str">
        <f>IFERROR(__xludf.DUMMYFUNCTION("""COMPUTED_VALUE"""),"null")</f>
        <v>null</v>
      </c>
      <c r="N293" s="33">
        <f>IFERROR(__xludf.DUMMYFUNCTION("""COMPUTED_VALUE"""),0.5769230769230769)</f>
        <v>0.5769230769</v>
      </c>
      <c r="O293" s="4" t="str">
        <f>IFERROR(__xludf.DUMMYFUNCTION("""COMPUTED_VALUE"""),"null")</f>
        <v>null</v>
      </c>
      <c r="P293" s="33">
        <f>IFERROR(__xludf.DUMMYFUNCTION("""COMPUTED_VALUE"""),0.5)</f>
        <v>0.5</v>
      </c>
      <c r="Q293" s="4" t="str">
        <f>IFERROR(__xludf.DUMMYFUNCTION("""COMPUTED_VALUE"""),"L&amp;f Tecnologia Sistemas E Comercio Ltda")</f>
        <v>L&amp;f Tecnologia Sistemas E Comercio Ltda</v>
      </c>
      <c r="R293" s="33">
        <f>IFERROR(__xludf.DUMMYFUNCTION("""COMPUTED_VALUE"""),0.6153846153846154)</f>
        <v>0.6153846154</v>
      </c>
      <c r="S293" s="4" t="str">
        <f>IFERROR(__xludf.DUMMYFUNCTION("""COMPUTED_VALUE"""),"L&amp;f Tecnologia Sistemas E Comercio Ltda")</f>
        <v>L&amp;f Tecnologia Sistemas E Comercio Ltda</v>
      </c>
      <c r="T293" s="33">
        <f>IFERROR(__xludf.DUMMYFUNCTION("""COMPUTED_VALUE"""),0.5769230769230769)</f>
        <v>0.5769230769</v>
      </c>
      <c r="U293" s="4" t="str">
        <f>IFERROR(__xludf.DUMMYFUNCTION("""COMPUTED_VALUE"""),"L&amp;f Tecnologia Sistemas E Comercio Ltda")</f>
        <v>L&amp;f Tecnologia Sistemas E Comercio Ltda</v>
      </c>
      <c r="V293" s="33">
        <f>IFERROR(__xludf.DUMMYFUNCTION("""COMPUTED_VALUE"""),0.5769230769230769)</f>
        <v>0.5769230769</v>
      </c>
      <c r="W293" s="4" t="str">
        <f>IFERROR(__xludf.DUMMYFUNCTION("""COMPUTED_VALUE"""),"L&amp;f Tecnologia Sistemas E Comercio Ltda")</f>
        <v>L&amp;f Tecnologia Sistemas E Comercio Ltda</v>
      </c>
      <c r="X293" s="33">
        <f>IFERROR(__xludf.DUMMYFUNCTION("""COMPUTED_VALUE"""),0.7692307692307693)</f>
        <v>0.7692307692</v>
      </c>
    </row>
    <row r="294">
      <c r="A294" s="4" t="str">
        <f>IFERROR(__xludf.DUMMYFUNCTION("""COMPUTED_VALUE"""),"Frank &amp; Charles")</f>
        <v>Frank &amp; Charles</v>
      </c>
      <c r="B294" s="4">
        <f>IFERROR(__xludf.DUMMYFUNCTION("""COMPUTED_VALUE"""),4.0)</f>
        <v>4</v>
      </c>
      <c r="C294" s="30">
        <f>IFERROR(__xludf.DUMMYFUNCTION("""COMPUTED_VALUE"""),67.0)</f>
        <v>67</v>
      </c>
      <c r="D294" s="4" t="str">
        <f>IFERROR(__xludf.DUMMYFUNCTION("""COMPUTED_VALUE"""),"Fast Casual - Multi-conceito")</f>
        <v>Fast Casual - Multi-conceito</v>
      </c>
      <c r="E294" s="4" t="str">
        <f>IFERROR(__xludf.DUMMYFUNCTION("""COMPUTED_VALUE"""),"São Paulo/SP")</f>
        <v>São Paulo/SP</v>
      </c>
      <c r="F294" s="4" t="str">
        <f>IFERROR(__xludf.DUMMYFUNCTION("""COMPUTED_VALUE"""),"Dado não disponível publicamente - Necessário Discovery")</f>
        <v>Dado não disponível publicamente - Necessário Discovery</v>
      </c>
      <c r="G294" s="4">
        <f>IFERROR(__xludf.DUMMYFUNCTION("""COMPUTED_VALUE"""),65.0)</f>
        <v>65</v>
      </c>
      <c r="H294" s="31">
        <f>IFERROR(__xludf.DUMMYFUNCTION("""COMPUTED_VALUE"""),0.75)</f>
        <v>0.75</v>
      </c>
      <c r="I29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94" s="4" t="str">
        <f>IFERROR(__xludf.DUMMYFUNCTION("""COMPUTED_VALUE"""),"HERMANITO MEXICAN FOOD")</f>
        <v>HERMANITO MEXICAN FOOD</v>
      </c>
      <c r="L294" s="32">
        <f>IFERROR(__xludf.DUMMYFUNCTION("""COMPUTED_VALUE"""),26.0)</f>
        <v>26</v>
      </c>
      <c r="M294" s="4" t="str">
        <f>IFERROR(__xludf.DUMMYFUNCTION("""COMPUTED_VALUE"""),"Yooga")</f>
        <v>Yooga</v>
      </c>
      <c r="N294" s="33">
        <f>IFERROR(__xludf.DUMMYFUNCTION("""COMPUTED_VALUE"""),0.8076923076923077)</f>
        <v>0.8076923077</v>
      </c>
      <c r="O294" s="4" t="str">
        <f>IFERROR(__xludf.DUMMYFUNCTION("""COMPUTED_VALUE"""),"Yooga")</f>
        <v>Yooga</v>
      </c>
      <c r="P294" s="33">
        <f>IFERROR(__xludf.DUMMYFUNCTION("""COMPUTED_VALUE"""),0.7692307692307693)</f>
        <v>0.7692307692</v>
      </c>
      <c r="Q294" s="4" t="str">
        <f>IFERROR(__xludf.DUMMYFUNCTION("""COMPUTED_VALUE"""),"Yooga")</f>
        <v>Yooga</v>
      </c>
      <c r="R294" s="33">
        <f>IFERROR(__xludf.DUMMYFUNCTION("""COMPUTED_VALUE"""),0.6538461538461539)</f>
        <v>0.6538461538</v>
      </c>
      <c r="S294" s="4" t="str">
        <f>IFERROR(__xludf.DUMMYFUNCTION("""COMPUTED_VALUE"""),"Yooga")</f>
        <v>Yooga</v>
      </c>
      <c r="T294" s="33">
        <f>IFERROR(__xludf.DUMMYFUNCTION("""COMPUTED_VALUE"""),0.5)</f>
        <v>0.5</v>
      </c>
      <c r="U294" s="4" t="str">
        <f>IFERROR(__xludf.DUMMYFUNCTION("""COMPUTED_VALUE"""),"null")</f>
        <v>null</v>
      </c>
      <c r="V294" s="33">
        <f>IFERROR(__xludf.DUMMYFUNCTION("""COMPUTED_VALUE"""),0.5769230769230769)</f>
        <v>0.5769230769</v>
      </c>
      <c r="W294" s="4" t="str">
        <f>IFERROR(__xludf.DUMMYFUNCTION("""COMPUTED_VALUE"""),"null")</f>
        <v>null</v>
      </c>
      <c r="X294" s="33">
        <f>IFERROR(__xludf.DUMMYFUNCTION("""COMPUTED_VALUE"""),0.6153846153846154)</f>
        <v>0.6153846154</v>
      </c>
    </row>
    <row r="295">
      <c r="A295" s="4" t="str">
        <f>IFERROR(__xludf.DUMMYFUNCTION("""COMPUTED_VALUE"""),"Frutaria São Paulo")</f>
        <v>Frutaria São Paulo</v>
      </c>
      <c r="B295" s="4">
        <f>IFERROR(__xludf.DUMMYFUNCTION("""COMPUTED_VALUE"""),3.0)</f>
        <v>3</v>
      </c>
      <c r="C295" s="30">
        <f>IFERROR(__xludf.DUMMYFUNCTION("""COMPUTED_VALUE"""),51.0)</f>
        <v>51</v>
      </c>
      <c r="D295" s="4" t="str">
        <f>IFERROR(__xludf.DUMMYFUNCTION("""COMPUTED_VALUE"""),"Fast Casual - Multi-conceito")</f>
        <v>Fast Casual - Multi-conceito</v>
      </c>
      <c r="E295" s="4" t="str">
        <f>IFERROR(__xludf.DUMMYFUNCTION("""COMPUTED_VALUE"""),"Nacional")</f>
        <v>Nacional</v>
      </c>
      <c r="F295" s="4" t="str">
        <f>IFERROR(__xludf.DUMMYFUNCTION("""COMPUTED_VALUE"""),"Dado não disponível publicamente - Necessário Discovery")</f>
        <v>Dado não disponível publicamente - Necessário Discovery</v>
      </c>
      <c r="G295" s="4">
        <f>IFERROR(__xludf.DUMMYFUNCTION("""COMPUTED_VALUE"""),65.0)</f>
        <v>65</v>
      </c>
      <c r="H295" s="31">
        <f>IFERROR(__xludf.DUMMYFUNCTION("""COMPUTED_VALUE"""),0.75)</f>
        <v>0.75</v>
      </c>
      <c r="I295"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95" s="4" t="str">
        <f>IFERROR(__xludf.DUMMYFUNCTION("""COMPUTED_VALUE"""),"HIPER ABC - CONTA GRUPO")</f>
        <v>HIPER ABC - CONTA GRUPO</v>
      </c>
      <c r="L295" s="32">
        <f>IFERROR(__xludf.DUMMYFUNCTION("""COMPUTED_VALUE"""),26.0)</f>
        <v>26</v>
      </c>
      <c r="M295" s="4" t="str">
        <f>IFERROR(__xludf.DUMMYFUNCTION("""COMPUTED_VALUE"""),"N/A (Not found)")</f>
        <v>N/A (Not found)</v>
      </c>
      <c r="N295" s="33">
        <f>IFERROR(__xludf.DUMMYFUNCTION("""COMPUTED_VALUE"""),1.0)</f>
        <v>1</v>
      </c>
      <c r="O295" s="4" t="str">
        <f>IFERROR(__xludf.DUMMYFUNCTION("""COMPUTED_VALUE"""),"N/A (Not found)")</f>
        <v>N/A (Not found)</v>
      </c>
      <c r="P295" s="33">
        <f>IFERROR(__xludf.DUMMYFUNCTION("""COMPUTED_VALUE"""),1.0)</f>
        <v>1</v>
      </c>
      <c r="Q295" s="4" t="str">
        <f>IFERROR(__xludf.DUMMYFUNCTION("""COMPUTED_VALUE"""),"N/A (Not found)")</f>
        <v>N/A (Not found)</v>
      </c>
      <c r="R295" s="33">
        <f>IFERROR(__xludf.DUMMYFUNCTION("""COMPUTED_VALUE"""),0.9230769230769231)</f>
        <v>0.9230769231</v>
      </c>
      <c r="S295" s="4" t="str">
        <f>IFERROR(__xludf.DUMMYFUNCTION("""COMPUTED_VALUE"""),"N/A (Not found)")</f>
        <v>N/A (Not found)</v>
      </c>
      <c r="T295" s="33">
        <f>IFERROR(__xludf.DUMMYFUNCTION("""COMPUTED_VALUE"""),0.9230769230769231)</f>
        <v>0.9230769231</v>
      </c>
      <c r="U295" s="4" t="str">
        <f>IFERROR(__xludf.DUMMYFUNCTION("""COMPUTED_VALUE"""),"N/A (Not found)")</f>
        <v>N/A (Not found)</v>
      </c>
      <c r="V295" s="33">
        <f>IFERROR(__xludf.DUMMYFUNCTION("""COMPUTED_VALUE"""),0.9230769230769231)</f>
        <v>0.9230769231</v>
      </c>
      <c r="W295" s="4" t="str">
        <f>IFERROR(__xludf.DUMMYFUNCTION("""COMPUTED_VALUE"""),"N/A (Not found)")</f>
        <v>N/A (Not found)</v>
      </c>
      <c r="X295" s="33">
        <f>IFERROR(__xludf.DUMMYFUNCTION("""COMPUTED_VALUE"""),0.9230769230769231)</f>
        <v>0.9230769231</v>
      </c>
    </row>
    <row r="296">
      <c r="A296" s="4" t="str">
        <f>IFERROR(__xludf.DUMMYFUNCTION("""COMPUTED_VALUE"""),"Futuro Refeitório")</f>
        <v>Futuro Refeitório</v>
      </c>
      <c r="B296" s="4">
        <f>IFERROR(__xludf.DUMMYFUNCTION("""COMPUTED_VALUE"""),6.0)</f>
        <v>6</v>
      </c>
      <c r="C296" s="30">
        <f>IFERROR(__xludf.DUMMYFUNCTION("""COMPUTED_VALUE"""),56.0)</f>
        <v>56</v>
      </c>
      <c r="D296" s="4" t="str">
        <f>IFERROR(__xludf.DUMMYFUNCTION("""COMPUTED_VALUE"""),"Fast Casual - Multi-conceito")</f>
        <v>Fast Casual - Multi-conceito</v>
      </c>
      <c r="E296" s="4" t="str">
        <f>IFERROR(__xludf.DUMMYFUNCTION("""COMPUTED_VALUE"""),"Brasília/DF")</f>
        <v>Brasília/DF</v>
      </c>
      <c r="F296" s="4" t="str">
        <f>IFERROR(__xludf.DUMMYFUNCTION("""COMPUTED_VALUE"""),"Dado não disponível publicamente - Necessário Discovery")</f>
        <v>Dado não disponível publicamente - Necessário Discovery</v>
      </c>
      <c r="G296" s="4">
        <f>IFERROR(__xludf.DUMMYFUNCTION("""COMPUTED_VALUE"""),70.0)</f>
        <v>70</v>
      </c>
      <c r="H296" s="31">
        <f>IFERROR(__xludf.DUMMYFUNCTION("""COMPUTED_VALUE"""),0.75)</f>
        <v>0.75</v>
      </c>
      <c r="I296"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96" s="4" t="str">
        <f>IFERROR(__xludf.DUMMYFUNCTION("""COMPUTED_VALUE"""),"MALIBU PARK")</f>
        <v>MALIBU PARK</v>
      </c>
      <c r="L296" s="32">
        <f>IFERROR(__xludf.DUMMYFUNCTION("""COMPUTED_VALUE"""),26.0)</f>
        <v>26</v>
      </c>
      <c r="M296" s="4" t="str">
        <f>IFERROR(__xludf.DUMMYFUNCTION("""COMPUTED_VALUE"""),"Saipos Serviços De Software")</f>
        <v>Saipos Serviços De Software</v>
      </c>
      <c r="N296" s="33">
        <f>IFERROR(__xludf.DUMMYFUNCTION("""COMPUTED_VALUE"""),1.0)</f>
        <v>1</v>
      </c>
      <c r="O296" s="4" t="str">
        <f>IFERROR(__xludf.DUMMYFUNCTION("""COMPUTED_VALUE"""),"Saipos Serviços De Software")</f>
        <v>Saipos Serviços De Software</v>
      </c>
      <c r="P296" s="33">
        <f>IFERROR(__xludf.DUMMYFUNCTION("""COMPUTED_VALUE"""),0.9615384615384616)</f>
        <v>0.9615384615</v>
      </c>
      <c r="Q296" s="4" t="str">
        <f>IFERROR(__xludf.DUMMYFUNCTION("""COMPUTED_VALUE"""),"Saipos Serviços De Software")</f>
        <v>Saipos Serviços De Software</v>
      </c>
      <c r="R296" s="33">
        <f>IFERROR(__xludf.DUMMYFUNCTION("""COMPUTED_VALUE"""),0.9230769230769231)</f>
        <v>0.9230769231</v>
      </c>
      <c r="S296" s="4" t="str">
        <f>IFERROR(__xludf.DUMMYFUNCTION("""COMPUTED_VALUE"""),"Saipos Serviços De Software")</f>
        <v>Saipos Serviços De Software</v>
      </c>
      <c r="T296" s="33">
        <f>IFERROR(__xludf.DUMMYFUNCTION("""COMPUTED_VALUE"""),0.9230769230769231)</f>
        <v>0.9230769231</v>
      </c>
      <c r="U296" s="4" t="str">
        <f>IFERROR(__xludf.DUMMYFUNCTION("""COMPUTED_VALUE"""),"Saipos Serviços De Software")</f>
        <v>Saipos Serviços De Software</v>
      </c>
      <c r="V296" s="33">
        <f>IFERROR(__xludf.DUMMYFUNCTION("""COMPUTED_VALUE"""),0.9230769230769231)</f>
        <v>0.9230769231</v>
      </c>
      <c r="W296" s="4" t="str">
        <f>IFERROR(__xludf.DUMMYFUNCTION("""COMPUTED_VALUE"""),"Saipos Serviços De Software")</f>
        <v>Saipos Serviços De Software</v>
      </c>
      <c r="X296" s="33">
        <f>IFERROR(__xludf.DUMMYFUNCTION("""COMPUTED_VALUE"""),0.8846153846153846)</f>
        <v>0.8846153846</v>
      </c>
    </row>
    <row r="297">
      <c r="A297" s="4" t="str">
        <f>IFERROR(__xludf.DUMMYFUNCTION("""COMPUTED_VALUE"""),"Galeto Mamma Mia")</f>
        <v>Galeto Mamma Mia</v>
      </c>
      <c r="B297" s="4">
        <f>IFERROR(__xludf.DUMMYFUNCTION("""COMPUTED_VALUE"""),7.0)</f>
        <v>7</v>
      </c>
      <c r="C297" s="30">
        <f>IFERROR(__xludf.DUMMYFUNCTION("""COMPUTED_VALUE"""),52.0)</f>
        <v>52</v>
      </c>
      <c r="D297" s="4" t="str">
        <f>IFERROR(__xludf.DUMMYFUNCTION("""COMPUTED_VALUE"""),"Fast Casual - Multi-conceito")</f>
        <v>Fast Casual - Multi-conceito</v>
      </c>
      <c r="E297" s="4" t="str">
        <f>IFERROR(__xludf.DUMMYFUNCTION("""COMPUTED_VALUE"""),"Brasília/DF")</f>
        <v>Brasília/DF</v>
      </c>
      <c r="F297" s="4" t="str">
        <f>IFERROR(__xludf.DUMMYFUNCTION("""COMPUTED_VALUE"""),"Dado não disponível publicamente - Necessário Discovery")</f>
        <v>Dado não disponível publicamente - Necessário Discovery</v>
      </c>
      <c r="G297" s="4">
        <f>IFERROR(__xludf.DUMMYFUNCTION("""COMPUTED_VALUE"""),70.0)</f>
        <v>70</v>
      </c>
      <c r="H297" s="31">
        <f>IFERROR(__xludf.DUMMYFUNCTION("""COMPUTED_VALUE"""),0.75)</f>
        <v>0.75</v>
      </c>
      <c r="I297"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97" s="4" t="str">
        <f>IFERROR(__xludf.DUMMYFUNCTION("""COMPUTED_VALUE"""),"SAJI SUSHI DONO ALVELANGE")</f>
        <v>SAJI SUSHI DONO ALVELANGE</v>
      </c>
      <c r="L297" s="32">
        <f>IFERROR(__xludf.DUMMYFUNCTION("""COMPUTED_VALUE"""),26.0)</f>
        <v>26</v>
      </c>
      <c r="M297" s="4" t="str">
        <f>IFERROR(__xludf.DUMMYFUNCTION("""COMPUTED_VALUE"""),"Hubster")</f>
        <v>Hubster</v>
      </c>
      <c r="N297" s="33">
        <f>IFERROR(__xludf.DUMMYFUNCTION("""COMPUTED_VALUE"""),0.8846153846153846)</f>
        <v>0.8846153846</v>
      </c>
      <c r="O297" s="4" t="str">
        <f>IFERROR(__xludf.DUMMYFUNCTION("""COMPUTED_VALUE"""),"Hubster")</f>
        <v>Hubster</v>
      </c>
      <c r="P297" s="33">
        <f>IFERROR(__xludf.DUMMYFUNCTION("""COMPUTED_VALUE"""),0.8076923076923077)</f>
        <v>0.8076923077</v>
      </c>
      <c r="Q297" s="4" t="str">
        <f>IFERROR(__xludf.DUMMYFUNCTION("""COMPUTED_VALUE"""),"null")</f>
        <v>null</v>
      </c>
      <c r="R297" s="33">
        <f>IFERROR(__xludf.DUMMYFUNCTION("""COMPUTED_VALUE"""),0.5384615384615384)</f>
        <v>0.5384615385</v>
      </c>
      <c r="S297" s="4" t="str">
        <f>IFERROR(__xludf.DUMMYFUNCTION("""COMPUTED_VALUE"""),"Hubster")</f>
        <v>Hubster</v>
      </c>
      <c r="T297" s="33">
        <f>IFERROR(__xludf.DUMMYFUNCTION("""COMPUTED_VALUE"""),0.5384615384615384)</f>
        <v>0.5384615385</v>
      </c>
      <c r="U297" s="4" t="str">
        <f>IFERROR(__xludf.DUMMYFUNCTION("""COMPUTED_VALUE"""),"null")</f>
        <v>null</v>
      </c>
      <c r="V297" s="33">
        <f>IFERROR(__xludf.DUMMYFUNCTION("""COMPUTED_VALUE"""),0.6153846153846154)</f>
        <v>0.6153846154</v>
      </c>
      <c r="W297" s="4" t="str">
        <f>IFERROR(__xludf.DUMMYFUNCTION("""COMPUTED_VALUE"""),"Hubster")</f>
        <v>Hubster</v>
      </c>
      <c r="X297" s="33">
        <f>IFERROR(__xludf.DUMMYFUNCTION("""COMPUTED_VALUE"""),0.5384615384615384)</f>
        <v>0.5384615385</v>
      </c>
    </row>
    <row r="298">
      <c r="A298" s="4" t="str">
        <f>IFERROR(__xludf.DUMMYFUNCTION("""COMPUTED_VALUE"""),"Galetos")</f>
        <v>Galetos</v>
      </c>
      <c r="B298" s="4">
        <f>IFERROR(__xludf.DUMMYFUNCTION("""COMPUTED_VALUE"""),7.0)</f>
        <v>7</v>
      </c>
      <c r="C298" s="30">
        <f>IFERROR(__xludf.DUMMYFUNCTION("""COMPUTED_VALUE"""),63.0)</f>
        <v>63</v>
      </c>
      <c r="D298" s="4" t="str">
        <f>IFERROR(__xludf.DUMMYFUNCTION("""COMPUTED_VALUE"""),"Fast Casual - Multi-conceito")</f>
        <v>Fast Casual - Multi-conceito</v>
      </c>
      <c r="E298" s="4" t="str">
        <f>IFERROR(__xludf.DUMMYFUNCTION("""COMPUTED_VALUE"""),"Nordeste")</f>
        <v>Nordeste</v>
      </c>
      <c r="F298" s="4" t="str">
        <f>IFERROR(__xludf.DUMMYFUNCTION("""COMPUTED_VALUE"""),"Dado não disponível publicamente - Necessário Discovery")</f>
        <v>Dado não disponível publicamente - Necessário Discovery</v>
      </c>
      <c r="G298" s="4">
        <f>IFERROR(__xludf.DUMMYFUNCTION("""COMPUTED_VALUE"""),70.0)</f>
        <v>70</v>
      </c>
      <c r="H298" s="31">
        <f>IFERROR(__xludf.DUMMYFUNCTION("""COMPUTED_VALUE"""),0.75)</f>
        <v>0.75</v>
      </c>
      <c r="I29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98" s="4" t="str">
        <f>IFERROR(__xludf.DUMMYFUNCTION("""COMPUTED_VALUE"""),"GRUPO AGUA DOCE CACHACARIA")</f>
        <v>GRUPO AGUA DOCE CACHACARIA</v>
      </c>
      <c r="L298" s="32">
        <f>IFERROR(__xludf.DUMMYFUNCTION("""COMPUTED_VALUE"""),25.0)</f>
        <v>25</v>
      </c>
      <c r="M298" s="4" t="str">
        <f>IFERROR(__xludf.DUMMYFUNCTION("""COMPUTED_VALUE"""),"Stone Co.")</f>
        <v>Stone Co.</v>
      </c>
      <c r="N298" s="33">
        <f>IFERROR(__xludf.DUMMYFUNCTION("""COMPUTED_VALUE"""),0.76)</f>
        <v>0.76</v>
      </c>
      <c r="O298" s="4" t="str">
        <f>IFERROR(__xludf.DUMMYFUNCTION("""COMPUTED_VALUE"""),"Stone Co.")</f>
        <v>Stone Co.</v>
      </c>
      <c r="P298" s="33">
        <f>IFERROR(__xludf.DUMMYFUNCTION("""COMPUTED_VALUE"""),0.8)</f>
        <v>0.8</v>
      </c>
      <c r="Q298" s="4" t="str">
        <f>IFERROR(__xludf.DUMMYFUNCTION("""COMPUTED_VALUE"""),"Stone Co.")</f>
        <v>Stone Co.</v>
      </c>
      <c r="R298" s="33">
        <f>IFERROR(__xludf.DUMMYFUNCTION("""COMPUTED_VALUE"""),0.8)</f>
        <v>0.8</v>
      </c>
      <c r="S298" s="4" t="str">
        <f>IFERROR(__xludf.DUMMYFUNCTION("""COMPUTED_VALUE"""),"Stone Co.")</f>
        <v>Stone Co.</v>
      </c>
      <c r="T298" s="33">
        <f>IFERROR(__xludf.DUMMYFUNCTION("""COMPUTED_VALUE"""),0.8)</f>
        <v>0.8</v>
      </c>
      <c r="U298" s="4" t="str">
        <f>IFERROR(__xludf.DUMMYFUNCTION("""COMPUTED_VALUE"""),"Stone Co.")</f>
        <v>Stone Co.</v>
      </c>
      <c r="V298" s="33">
        <f>IFERROR(__xludf.DUMMYFUNCTION("""COMPUTED_VALUE"""),0.84)</f>
        <v>0.84</v>
      </c>
      <c r="W298" s="4" t="str">
        <f>IFERROR(__xludf.DUMMYFUNCTION("""COMPUTED_VALUE"""),"Stone Co.")</f>
        <v>Stone Co.</v>
      </c>
      <c r="X298" s="33">
        <f>IFERROR(__xludf.DUMMYFUNCTION("""COMPUTED_VALUE"""),0.88)</f>
        <v>0.88</v>
      </c>
    </row>
    <row r="299">
      <c r="A299" s="4" t="str">
        <f>IFERROR(__xludf.DUMMYFUNCTION("""COMPUTED_VALUE"""),"Gigante Nordestino")</f>
        <v>Gigante Nordestino</v>
      </c>
      <c r="B299" s="4">
        <f>IFERROR(__xludf.DUMMYFUNCTION("""COMPUTED_VALUE"""),4.0)</f>
        <v>4</v>
      </c>
      <c r="C299" s="30">
        <f>IFERROR(__xludf.DUMMYFUNCTION("""COMPUTED_VALUE"""),56.0)</f>
        <v>56</v>
      </c>
      <c r="D299" s="4" t="str">
        <f>IFERROR(__xludf.DUMMYFUNCTION("""COMPUTED_VALUE"""),"Fast Casual - Multi-conceito")</f>
        <v>Fast Casual - Multi-conceito</v>
      </c>
      <c r="E299" s="4" t="str">
        <f>IFERROR(__xludf.DUMMYFUNCTION("""COMPUTED_VALUE"""),"Regional")</f>
        <v>Regional</v>
      </c>
      <c r="F299" s="4" t="str">
        <f>IFERROR(__xludf.DUMMYFUNCTION("""COMPUTED_VALUE"""),"Dado não disponível publicamente - Necessário Discovery")</f>
        <v>Dado não disponível publicamente - Necessário Discovery</v>
      </c>
      <c r="G299" s="4">
        <f>IFERROR(__xludf.DUMMYFUNCTION("""COMPUTED_VALUE"""),65.0)</f>
        <v>65</v>
      </c>
      <c r="H299" s="31">
        <f>IFERROR(__xludf.DUMMYFUNCTION("""COMPUTED_VALUE"""),0.75)</f>
        <v>0.75</v>
      </c>
      <c r="I299"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299" s="4" t="str">
        <f>IFERROR(__xludf.DUMMYFUNCTION("""COMPUTED_VALUE"""),"CASA DO PAO DE QUEIJO")</f>
        <v>CASA DO PAO DE QUEIJO</v>
      </c>
      <c r="L299" s="32">
        <f>IFERROR(__xludf.DUMMYFUNCTION("""COMPUTED_VALUE"""),25.0)</f>
        <v>25</v>
      </c>
      <c r="M299" s="4" t="str">
        <f>IFERROR(__xludf.DUMMYFUNCTION("""COMPUTED_VALUE"""),"Ciss S.a Gestao Para O Varejo")</f>
        <v>Ciss S.a Gestao Para O Varejo</v>
      </c>
      <c r="N299" s="33">
        <f>IFERROR(__xludf.DUMMYFUNCTION("""COMPUTED_VALUE"""),0.6)</f>
        <v>0.6</v>
      </c>
      <c r="O299" s="4" t="str">
        <f>IFERROR(__xludf.DUMMYFUNCTION("""COMPUTED_VALUE"""),"Ciss S.a Gestao Para O Varejo")</f>
        <v>Ciss S.a Gestao Para O Varejo</v>
      </c>
      <c r="P299" s="33">
        <f>IFERROR(__xludf.DUMMYFUNCTION("""COMPUTED_VALUE"""),0.68)</f>
        <v>0.68</v>
      </c>
      <c r="Q299" s="4" t="str">
        <f>IFERROR(__xludf.DUMMYFUNCTION("""COMPUTED_VALUE"""),"Ciss S.a Gestao Para O Varejo")</f>
        <v>Ciss S.a Gestao Para O Varejo</v>
      </c>
      <c r="R299" s="33">
        <f>IFERROR(__xludf.DUMMYFUNCTION("""COMPUTED_VALUE"""),0.52)</f>
        <v>0.52</v>
      </c>
      <c r="S299" s="4" t="str">
        <f>IFERROR(__xludf.DUMMYFUNCTION("""COMPUTED_VALUE"""),"Ciss S.a Gestao Para O Varejo")</f>
        <v>Ciss S.a Gestao Para O Varejo</v>
      </c>
      <c r="T299" s="33">
        <f>IFERROR(__xludf.DUMMYFUNCTION("""COMPUTED_VALUE"""),0.64)</f>
        <v>0.64</v>
      </c>
      <c r="U299" s="4" t="str">
        <f>IFERROR(__xludf.DUMMYFUNCTION("""COMPUTED_VALUE"""),"Ciss S.a Gestao Para O Varejo")</f>
        <v>Ciss S.a Gestao Para O Varejo</v>
      </c>
      <c r="V299" s="33">
        <f>IFERROR(__xludf.DUMMYFUNCTION("""COMPUTED_VALUE"""),0.8)</f>
        <v>0.8</v>
      </c>
      <c r="W299" s="4" t="str">
        <f>IFERROR(__xludf.DUMMYFUNCTION("""COMPUTED_VALUE"""),"Ciss S.a Gestao Para O Varejo")</f>
        <v>Ciss S.a Gestao Para O Varejo</v>
      </c>
      <c r="X299" s="33">
        <f>IFERROR(__xludf.DUMMYFUNCTION("""COMPUTED_VALUE"""),0.6)</f>
        <v>0.6</v>
      </c>
    </row>
    <row r="300">
      <c r="A300" s="4" t="str">
        <f>IFERROR(__xludf.DUMMYFUNCTION("""COMPUTED_VALUE"""),"Giraffas")</f>
        <v>Giraffas</v>
      </c>
      <c r="B300" s="4">
        <f>IFERROR(__xludf.DUMMYFUNCTION("""COMPUTED_VALUE"""),400.0)</f>
        <v>400</v>
      </c>
      <c r="C300" s="30">
        <f>IFERROR(__xludf.DUMMYFUNCTION("""COMPUTED_VALUE"""),45.0)</f>
        <v>45</v>
      </c>
      <c r="D300" s="4" t="str">
        <f>IFERROR(__xludf.DUMMYFUNCTION("""COMPUTED_VALUE"""),"QSR - Prato Feito")</f>
        <v>QSR - Prato Feito</v>
      </c>
      <c r="E300" s="4" t="str">
        <f>IFERROR(__xludf.DUMMYFUNCTION("""COMPUTED_VALUE"""),"Nacional")</f>
        <v>Nacional</v>
      </c>
      <c r="F300" s="4" t="str">
        <f>IFERROR(__xludf.DUMMYFUNCTION("""COMPUTED_VALUE"""),"R$ 1,07 bilhão (2025)")</f>
        <v>R$ 1,07 bilhão (2025)</v>
      </c>
      <c r="G300" s="4">
        <f>IFERROR(__xludf.DUMMYFUNCTION("""COMPUTED_VALUE"""),95.0)</f>
        <v>95</v>
      </c>
      <c r="H300" s="31">
        <f>IFERROR(__xludf.DUMMYFUNCTION("""COMPUTED_VALUE"""),0.98)</f>
        <v>0.98</v>
      </c>
      <c r="I300" s="4" t="str">
        <f>IFERROR(__xludf.DUMMYFUNCTION("""COMPUTED_VALUE"""),"Alta aderência ao 3S: PDV não identificado. 3S oferece Kiosk nativo, Hub Delivery integrado e gestão centralizada multi-loja - diferenciais competitivos para expansão e redução de filas.")</f>
        <v>Alta aderência ao 3S: PDV não identificado. 3S oferece Kiosk nativo, Hub Delivery integrado e gestão centralizada multi-loja - diferenciais competitivos para expansão e redução de filas.</v>
      </c>
      <c r="K300" s="4" t="str">
        <f>IFERROR(__xludf.DUMMYFUNCTION("""COMPUTED_VALUE"""),"CIA DAS SOPAS - CONTA MARCA")</f>
        <v>CIA DAS SOPAS - CONTA MARCA</v>
      </c>
      <c r="L300" s="32">
        <f>IFERROR(__xludf.DUMMYFUNCTION("""COMPUTED_VALUE"""),25.0)</f>
        <v>25</v>
      </c>
      <c r="M300" s="4" t="str">
        <f>IFERROR(__xludf.DUMMYFUNCTION("""COMPUTED_VALUE"""),"E-deploy Retail")</f>
        <v>E-deploy Retail</v>
      </c>
      <c r="N300" s="33">
        <f>IFERROR(__xludf.DUMMYFUNCTION("""COMPUTED_VALUE"""),0.8)</f>
        <v>0.8</v>
      </c>
      <c r="O300" s="4" t="str">
        <f>IFERROR(__xludf.DUMMYFUNCTION("""COMPUTED_VALUE"""),"null")</f>
        <v>null</v>
      </c>
      <c r="P300" s="33">
        <f>IFERROR(__xludf.DUMMYFUNCTION("""COMPUTED_VALUE"""),0.72)</f>
        <v>0.72</v>
      </c>
      <c r="Q300" s="4" t="str">
        <f>IFERROR(__xludf.DUMMYFUNCTION("""COMPUTED_VALUE"""),"null")</f>
        <v>null</v>
      </c>
      <c r="R300" s="33">
        <f>IFERROR(__xludf.DUMMYFUNCTION("""COMPUTED_VALUE"""),0.76)</f>
        <v>0.76</v>
      </c>
      <c r="S300" s="4" t="str">
        <f>IFERROR(__xludf.DUMMYFUNCTION("""COMPUTED_VALUE"""),"null")</f>
        <v>null</v>
      </c>
      <c r="T300" s="33">
        <f>IFERROR(__xludf.DUMMYFUNCTION("""COMPUTED_VALUE"""),0.84)</f>
        <v>0.84</v>
      </c>
      <c r="U300" s="4" t="str">
        <f>IFERROR(__xludf.DUMMYFUNCTION("""COMPUTED_VALUE"""),"null")</f>
        <v>null</v>
      </c>
      <c r="V300" s="33">
        <f>IFERROR(__xludf.DUMMYFUNCTION("""COMPUTED_VALUE"""),0.8)</f>
        <v>0.8</v>
      </c>
      <c r="W300" s="4" t="str">
        <f>IFERROR(__xludf.DUMMYFUNCTION("""COMPUTED_VALUE"""),"null")</f>
        <v>null</v>
      </c>
      <c r="X300" s="33">
        <f>IFERROR(__xludf.DUMMYFUNCTION("""COMPUTED_VALUE"""),0.76)</f>
        <v>0.76</v>
      </c>
    </row>
    <row r="301">
      <c r="A301" s="4" t="str">
        <f>IFERROR(__xludf.DUMMYFUNCTION("""COMPUTED_VALUE"""),"Gordão Lanches - Norte Sul")</f>
        <v>Gordão Lanches - Norte Sul</v>
      </c>
      <c r="B301" s="4">
        <f>IFERROR(__xludf.DUMMYFUNCTION("""COMPUTED_VALUE"""),3.0)</f>
        <v>3</v>
      </c>
      <c r="C301" s="30">
        <f>IFERROR(__xludf.DUMMYFUNCTION("""COMPUTED_VALUE"""),70.0)</f>
        <v>70</v>
      </c>
      <c r="D301" s="4" t="str">
        <f>IFERROR(__xludf.DUMMYFUNCTION("""COMPUTED_VALUE"""),"Fast Casual - Multi-conceito")</f>
        <v>Fast Casual - Multi-conceito</v>
      </c>
      <c r="E301" s="4" t="str">
        <f>IFERROR(__xludf.DUMMYFUNCTION("""COMPUTED_VALUE"""),"Brasília/DF")</f>
        <v>Brasília/DF</v>
      </c>
      <c r="F301" s="4" t="str">
        <f>IFERROR(__xludf.DUMMYFUNCTION("""COMPUTED_VALUE"""),"Dado não disponível publicamente - Necessário Discovery")</f>
        <v>Dado não disponível publicamente - Necessário Discovery</v>
      </c>
      <c r="G301" s="4">
        <f>IFERROR(__xludf.DUMMYFUNCTION("""COMPUTED_VALUE"""),65.0)</f>
        <v>65</v>
      </c>
      <c r="H301" s="31">
        <f>IFERROR(__xludf.DUMMYFUNCTION("""COMPUTED_VALUE"""),0.75)</f>
        <v>0.75</v>
      </c>
      <c r="I30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301" s="4" t="str">
        <f>IFERROR(__xludf.DUMMYFUNCTION("""COMPUTED_VALUE"""),"ECONOMIA FARMA - CONTA MARCA")</f>
        <v>ECONOMIA FARMA - CONTA MARCA</v>
      </c>
      <c r="L301" s="32">
        <f>IFERROR(__xludf.DUMMYFUNCTION("""COMPUTED_VALUE"""),25.0)</f>
        <v>25</v>
      </c>
      <c r="M301" s="4" t="str">
        <f>IFERROR(__xludf.DUMMYFUNCTION("""COMPUTED_VALUE"""),"N/A (Not found)")</f>
        <v>N/A (Not found)</v>
      </c>
      <c r="N301" s="33">
        <f>IFERROR(__xludf.DUMMYFUNCTION("""COMPUTED_VALUE"""),0.96)</f>
        <v>0.96</v>
      </c>
      <c r="O301" s="4" t="str">
        <f>IFERROR(__xludf.DUMMYFUNCTION("""COMPUTED_VALUE"""),"N/A (Not found)")</f>
        <v>N/A (Not found)</v>
      </c>
      <c r="P301" s="33">
        <f>IFERROR(__xludf.DUMMYFUNCTION("""COMPUTED_VALUE"""),0.96)</f>
        <v>0.96</v>
      </c>
      <c r="Q301" s="4" t="str">
        <f>IFERROR(__xludf.DUMMYFUNCTION("""COMPUTED_VALUE"""),"N/A (Not found)")</f>
        <v>N/A (Not found)</v>
      </c>
      <c r="R301" s="33">
        <f>IFERROR(__xludf.DUMMYFUNCTION("""COMPUTED_VALUE"""),0.92)</f>
        <v>0.92</v>
      </c>
      <c r="S301" s="4" t="str">
        <f>IFERROR(__xludf.DUMMYFUNCTION("""COMPUTED_VALUE"""),"N/A (Not found)")</f>
        <v>N/A (Not found)</v>
      </c>
      <c r="T301" s="33">
        <f>IFERROR(__xludf.DUMMYFUNCTION("""COMPUTED_VALUE"""),0.92)</f>
        <v>0.92</v>
      </c>
      <c r="U301" s="4" t="str">
        <f>IFERROR(__xludf.DUMMYFUNCTION("""COMPUTED_VALUE"""),"N/A (Not found)")</f>
        <v>N/A (Not found)</v>
      </c>
      <c r="V301" s="33">
        <f>IFERROR(__xludf.DUMMYFUNCTION("""COMPUTED_VALUE"""),0.92)</f>
        <v>0.92</v>
      </c>
      <c r="W301" s="4" t="str">
        <f>IFERROR(__xludf.DUMMYFUNCTION("""COMPUTED_VALUE"""),"N/A (Not found)")</f>
        <v>N/A (Not found)</v>
      </c>
      <c r="X301" s="33">
        <f>IFERROR(__xludf.DUMMYFUNCTION("""COMPUTED_VALUE"""),0.92)</f>
        <v>0.92</v>
      </c>
    </row>
    <row r="302">
      <c r="A302" s="4" t="str">
        <f>IFERROR(__xludf.DUMMYFUNCTION("""COMPUTED_VALUE"""),"Gourmet Avenida - Cp")</f>
        <v>Gourmet Avenida - Cp</v>
      </c>
      <c r="B302" s="4">
        <f>IFERROR(__xludf.DUMMYFUNCTION("""COMPUTED_VALUE"""),8.0)</f>
        <v>8</v>
      </c>
      <c r="C302" s="30">
        <f>IFERROR(__xludf.DUMMYFUNCTION("""COMPUTED_VALUE"""),56.0)</f>
        <v>56</v>
      </c>
      <c r="D302" s="4" t="str">
        <f>IFERROR(__xludf.DUMMYFUNCTION("""COMPUTED_VALUE"""),"Fast Casual - Multi-conceito")</f>
        <v>Fast Casual - Multi-conceito</v>
      </c>
      <c r="E302" s="4" t="str">
        <f>IFERROR(__xludf.DUMMYFUNCTION("""COMPUTED_VALUE"""),"Nordeste")</f>
        <v>Nordeste</v>
      </c>
      <c r="F302" s="4" t="str">
        <f>IFERROR(__xludf.DUMMYFUNCTION("""COMPUTED_VALUE"""),"Dado não disponível publicamente - Necessário Discovery")</f>
        <v>Dado não disponível publicamente - Necessário Discovery</v>
      </c>
      <c r="G302" s="4">
        <f>IFERROR(__xludf.DUMMYFUNCTION("""COMPUTED_VALUE"""),70.0)</f>
        <v>70</v>
      </c>
      <c r="H302" s="31">
        <f>IFERROR(__xludf.DUMMYFUNCTION("""COMPUTED_VALUE"""),0.75)</f>
        <v>0.75</v>
      </c>
      <c r="I302"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302" s="4" t="str">
        <f>IFERROR(__xludf.DUMMYFUNCTION("""COMPUTED_VALUE"""),"FARMA JARAGUA - CONTA PAI")</f>
        <v>FARMA JARAGUA - CONTA PAI</v>
      </c>
      <c r="L302" s="32">
        <f>IFERROR(__xludf.DUMMYFUNCTION("""COMPUTED_VALUE"""),25.0)</f>
        <v>25</v>
      </c>
      <c r="M302" s="4" t="str">
        <f>IFERROR(__xludf.DUMMYFUNCTION("""COMPUTED_VALUE"""),"N/A (Not found)")</f>
        <v>N/A (Not found)</v>
      </c>
      <c r="N302" s="33">
        <f>IFERROR(__xludf.DUMMYFUNCTION("""COMPUTED_VALUE"""),0.96)</f>
        <v>0.96</v>
      </c>
      <c r="O302" s="4" t="str">
        <f>IFERROR(__xludf.DUMMYFUNCTION("""COMPUTED_VALUE"""),"N/A (Not found)")</f>
        <v>N/A (Not found)</v>
      </c>
      <c r="P302" s="33">
        <f>IFERROR(__xludf.DUMMYFUNCTION("""COMPUTED_VALUE"""),0.88)</f>
        <v>0.88</v>
      </c>
      <c r="Q302" s="4" t="str">
        <f>IFERROR(__xludf.DUMMYFUNCTION("""COMPUTED_VALUE"""),"N/A (Not found)")</f>
        <v>N/A (Not found)</v>
      </c>
      <c r="R302" s="33">
        <f>IFERROR(__xludf.DUMMYFUNCTION("""COMPUTED_VALUE"""),0.96)</f>
        <v>0.96</v>
      </c>
      <c r="S302" s="4" t="str">
        <f>IFERROR(__xludf.DUMMYFUNCTION("""COMPUTED_VALUE"""),"N/A (Not found)")</f>
        <v>N/A (Not found)</v>
      </c>
      <c r="T302" s="33">
        <f>IFERROR(__xludf.DUMMYFUNCTION("""COMPUTED_VALUE"""),0.96)</f>
        <v>0.96</v>
      </c>
      <c r="U302" s="4" t="str">
        <f>IFERROR(__xludf.DUMMYFUNCTION("""COMPUTED_VALUE"""),"N/A (Not found)")</f>
        <v>N/A (Not found)</v>
      </c>
      <c r="V302" s="33">
        <f>IFERROR(__xludf.DUMMYFUNCTION("""COMPUTED_VALUE"""),0.96)</f>
        <v>0.96</v>
      </c>
      <c r="W302" s="4" t="str">
        <f>IFERROR(__xludf.DUMMYFUNCTION("""COMPUTED_VALUE"""),"N/A (Not found)")</f>
        <v>N/A (Not found)</v>
      </c>
      <c r="X302" s="33">
        <f>IFERROR(__xludf.DUMMYFUNCTION("""COMPUTED_VALUE"""),0.96)</f>
        <v>0.96</v>
      </c>
    </row>
    <row r="303">
      <c r="A303" s="4" t="str">
        <f>IFERROR(__xludf.DUMMYFUNCTION("""COMPUTED_VALUE"""),"Grão Espresso")</f>
        <v>Grão Espresso</v>
      </c>
      <c r="B303" s="4">
        <f>IFERROR(__xludf.DUMMYFUNCTION("""COMPUTED_VALUE"""),5.0)</f>
        <v>5</v>
      </c>
      <c r="C303" s="30">
        <f>IFERROR(__xludf.DUMMYFUNCTION("""COMPUTED_VALUE"""),50.0)</f>
        <v>50</v>
      </c>
      <c r="D303" s="4" t="str">
        <f>IFERROR(__xludf.DUMMYFUNCTION("""COMPUTED_VALUE"""),"Fast Casual - Multi-conceito")</f>
        <v>Fast Casual - Multi-conceito</v>
      </c>
      <c r="E303" s="4" t="str">
        <f>IFERROR(__xludf.DUMMYFUNCTION("""COMPUTED_VALUE"""),"Sul")</f>
        <v>Sul</v>
      </c>
      <c r="F303" s="4" t="str">
        <f>IFERROR(__xludf.DUMMYFUNCTION("""COMPUTED_VALUE"""),"Dado não disponível publicamente - Necessário Discovery")</f>
        <v>Dado não disponível publicamente - Necessário Discovery</v>
      </c>
      <c r="G303" s="4">
        <f>IFERROR(__xludf.DUMMYFUNCTION("""COMPUTED_VALUE"""),70.0)</f>
        <v>70</v>
      </c>
      <c r="H303" s="31">
        <f>IFERROR(__xludf.DUMMYFUNCTION("""COMPUTED_VALUE"""),0.75)</f>
        <v>0.75</v>
      </c>
      <c r="I30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303" s="4" t="str">
        <f>IFERROR(__xludf.DUMMYFUNCTION("""COMPUTED_VALUE"""),"GRUPO HIPER FARMA - CONTA MARCA")</f>
        <v>GRUPO HIPER FARMA - CONTA MARCA</v>
      </c>
      <c r="L303" s="32">
        <f>IFERROR(__xludf.DUMMYFUNCTION("""COMPUTED_VALUE"""),25.0)</f>
        <v>25</v>
      </c>
      <c r="M303" s="4" t="str">
        <f>IFERROR(__xludf.DUMMYFUNCTION("""COMPUTED_VALUE"""),"N/A (Not found)")</f>
        <v>N/A (Not found)</v>
      </c>
      <c r="N303" s="33">
        <f>IFERROR(__xludf.DUMMYFUNCTION("""COMPUTED_VALUE"""),1.0)</f>
        <v>1</v>
      </c>
      <c r="O303" s="4" t="str">
        <f>IFERROR(__xludf.DUMMYFUNCTION("""COMPUTED_VALUE"""),"N/A (Not found)")</f>
        <v>N/A (Not found)</v>
      </c>
      <c r="P303" s="33">
        <f>IFERROR(__xludf.DUMMYFUNCTION("""COMPUTED_VALUE"""),1.0)</f>
        <v>1</v>
      </c>
      <c r="Q303" s="4" t="str">
        <f>IFERROR(__xludf.DUMMYFUNCTION("""COMPUTED_VALUE"""),"N/A (Not found)")</f>
        <v>N/A (Not found)</v>
      </c>
      <c r="R303" s="33">
        <f>IFERROR(__xludf.DUMMYFUNCTION("""COMPUTED_VALUE"""),1.0)</f>
        <v>1</v>
      </c>
      <c r="S303" s="4" t="str">
        <f>IFERROR(__xludf.DUMMYFUNCTION("""COMPUTED_VALUE"""),"N/A (Not found)")</f>
        <v>N/A (Not found)</v>
      </c>
      <c r="T303" s="33">
        <f>IFERROR(__xludf.DUMMYFUNCTION("""COMPUTED_VALUE"""),1.0)</f>
        <v>1</v>
      </c>
      <c r="U303" s="4" t="str">
        <f>IFERROR(__xludf.DUMMYFUNCTION("""COMPUTED_VALUE"""),"N/A (Not found)")</f>
        <v>N/A (Not found)</v>
      </c>
      <c r="V303" s="33">
        <f>IFERROR(__xludf.DUMMYFUNCTION("""COMPUTED_VALUE"""),1.0)</f>
        <v>1</v>
      </c>
      <c r="W303" s="4" t="str">
        <f>IFERROR(__xludf.DUMMYFUNCTION("""COMPUTED_VALUE"""),"N/A (Not found)")</f>
        <v>N/A (Not found)</v>
      </c>
      <c r="X303" s="33">
        <f>IFERROR(__xludf.DUMMYFUNCTION("""COMPUTED_VALUE"""),1.0)</f>
        <v>1</v>
      </c>
    </row>
    <row r="304">
      <c r="A304" s="4" t="str">
        <f>IFERROR(__xludf.DUMMYFUNCTION("""COMPUTED_VALUE"""),"Greenjoy")</f>
        <v>Greenjoy</v>
      </c>
      <c r="B304" s="4">
        <f>IFERROR(__xludf.DUMMYFUNCTION("""COMPUTED_VALUE"""),3.0)</f>
        <v>3</v>
      </c>
      <c r="C304" s="30">
        <f>IFERROR(__xludf.DUMMYFUNCTION("""COMPUTED_VALUE"""),65.0)</f>
        <v>65</v>
      </c>
      <c r="D304" s="4" t="str">
        <f>IFERROR(__xludf.DUMMYFUNCTION("""COMPUTED_VALUE"""),"Fast Casual - Multi-conceito")</f>
        <v>Fast Casual - Multi-conceito</v>
      </c>
      <c r="E304" s="4" t="str">
        <f>IFERROR(__xludf.DUMMYFUNCTION("""COMPUTED_VALUE"""),"Nacional")</f>
        <v>Nacional</v>
      </c>
      <c r="F304" s="4" t="str">
        <f>IFERROR(__xludf.DUMMYFUNCTION("""COMPUTED_VALUE"""),"Dado não disponível publicamente - Necessário Discovery")</f>
        <v>Dado não disponível publicamente - Necessário Discovery</v>
      </c>
      <c r="G304" s="4">
        <f>IFERROR(__xludf.DUMMYFUNCTION("""COMPUTED_VALUE"""),65.0)</f>
        <v>65</v>
      </c>
      <c r="H304" s="31">
        <f>IFERROR(__xludf.DUMMYFUNCTION("""COMPUTED_VALUE"""),0.75)</f>
        <v>0.75</v>
      </c>
      <c r="I304"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304" s="4" t="str">
        <f>IFERROR(__xludf.DUMMYFUNCTION("""COMPUTED_VALUE"""),"GRUPO MARIETTA")</f>
        <v>GRUPO MARIETTA</v>
      </c>
      <c r="L304" s="32">
        <f>IFERROR(__xludf.DUMMYFUNCTION("""COMPUTED_VALUE"""),25.0)</f>
        <v>25</v>
      </c>
      <c r="M304" s="4" t="str">
        <f>IFERROR(__xludf.DUMMYFUNCTION("""COMPUTED_VALUE"""),"Totvs Large Enterprise Tecnologia S.a.")</f>
        <v>Totvs Large Enterprise Tecnologia S.a.</v>
      </c>
      <c r="N304" s="33">
        <f>IFERROR(__xludf.DUMMYFUNCTION("""COMPUTED_VALUE"""),0.84)</f>
        <v>0.84</v>
      </c>
      <c r="O304" s="4" t="str">
        <f>IFERROR(__xludf.DUMMYFUNCTION("""COMPUTED_VALUE"""),"Totvs Large Enterprise Tecnologia S.a.")</f>
        <v>Totvs Large Enterprise Tecnologia S.a.</v>
      </c>
      <c r="P304" s="33">
        <f>IFERROR(__xludf.DUMMYFUNCTION("""COMPUTED_VALUE"""),0.56)</f>
        <v>0.56</v>
      </c>
      <c r="Q304" s="4" t="str">
        <f>IFERROR(__xludf.DUMMYFUNCTION("""COMPUTED_VALUE"""),"Totvs Large Enterprise Tecnologia S.a.")</f>
        <v>Totvs Large Enterprise Tecnologia S.a.</v>
      </c>
      <c r="R304" s="33">
        <f>IFERROR(__xludf.DUMMYFUNCTION("""COMPUTED_VALUE"""),0.64)</f>
        <v>0.64</v>
      </c>
      <c r="S304" s="4" t="str">
        <f>IFERROR(__xludf.DUMMYFUNCTION("""COMPUTED_VALUE"""),"Totvs Large Enterprise Tecnologia S.a.")</f>
        <v>Totvs Large Enterprise Tecnologia S.a.</v>
      </c>
      <c r="T304" s="33">
        <f>IFERROR(__xludf.DUMMYFUNCTION("""COMPUTED_VALUE"""),0.52)</f>
        <v>0.52</v>
      </c>
      <c r="U304" s="4" t="str">
        <f>IFERROR(__xludf.DUMMYFUNCTION("""COMPUTED_VALUE"""),"Totvs Large Enterprise Tecnologia S.a.")</f>
        <v>Totvs Large Enterprise Tecnologia S.a.</v>
      </c>
      <c r="V304" s="33">
        <f>IFERROR(__xludf.DUMMYFUNCTION("""COMPUTED_VALUE"""),0.48)</f>
        <v>0.48</v>
      </c>
      <c r="W304" s="4" t="str">
        <f>IFERROR(__xludf.DUMMYFUNCTION("""COMPUTED_VALUE"""),"Totvs Large Enterprise Tecnologia S.a.")</f>
        <v>Totvs Large Enterprise Tecnologia S.a.</v>
      </c>
      <c r="X304" s="33">
        <f>IFERROR(__xludf.DUMMYFUNCTION("""COMPUTED_VALUE"""),0.6)</f>
        <v>0.6</v>
      </c>
    </row>
    <row r="305">
      <c r="A305" s="4" t="str">
        <f>IFERROR(__xludf.DUMMYFUNCTION("""COMPUTED_VALUE"""),"Grupo Agua Doce Cachacaria")</f>
        <v>Grupo Agua Doce Cachacaria</v>
      </c>
      <c r="B305" s="4">
        <f>IFERROR(__xludf.DUMMYFUNCTION("""COMPUTED_VALUE"""),10.0)</f>
        <v>10</v>
      </c>
      <c r="C305" s="30">
        <f>IFERROR(__xludf.DUMMYFUNCTION("""COMPUTED_VALUE"""),46.0)</f>
        <v>46</v>
      </c>
      <c r="D305" s="4" t="str">
        <f>IFERROR(__xludf.DUMMYFUNCTION("""COMPUTED_VALUE"""),"Varejo - Confeitaria")</f>
        <v>Varejo - Confeitaria</v>
      </c>
      <c r="E305" s="4" t="str">
        <f>IFERROR(__xludf.DUMMYFUNCTION("""COMPUTED_VALUE"""),"Regional")</f>
        <v>Regional</v>
      </c>
      <c r="F305" s="4" t="str">
        <f>IFERROR(__xludf.DUMMYFUNCTION("""COMPUTED_VALUE"""),"Dado não disponível publicamente - Necessário Discovery")</f>
        <v>Dado não disponível publicamente - Necessário Discovery</v>
      </c>
      <c r="G305" s="4">
        <f>IFERROR(__xludf.DUMMYFUNCTION("""COMPUTED_VALUE"""),40.0)</f>
        <v>40</v>
      </c>
      <c r="H305" s="31">
        <f>IFERROR(__xludf.DUMMYFUNCTION("""COMPUTED_VALUE"""),0.55)</f>
        <v>0.55</v>
      </c>
      <c r="I305"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05" s="4" t="str">
        <f>IFERROR(__xludf.DUMMYFUNCTION("""COMPUTED_VALUE"""),"HIROTA - CONTA GRUPO")</f>
        <v>HIROTA - CONTA GRUPO</v>
      </c>
      <c r="L305" s="32">
        <f>IFERROR(__xludf.DUMMYFUNCTION("""COMPUTED_VALUE"""),25.0)</f>
        <v>25</v>
      </c>
      <c r="M305" s="4" t="str">
        <f>IFERROR(__xludf.DUMMYFUNCTION("""COMPUTED_VALUE"""),"N/A (Not found)")</f>
        <v>N/A (Not found)</v>
      </c>
      <c r="N305" s="33">
        <f>IFERROR(__xludf.DUMMYFUNCTION("""COMPUTED_VALUE"""),1.0)</f>
        <v>1</v>
      </c>
      <c r="O305" s="4" t="str">
        <f>IFERROR(__xludf.DUMMYFUNCTION("""COMPUTED_VALUE"""),"N/A (Not found)")</f>
        <v>N/A (Not found)</v>
      </c>
      <c r="P305" s="33">
        <f>IFERROR(__xludf.DUMMYFUNCTION("""COMPUTED_VALUE"""),0.96)</f>
        <v>0.96</v>
      </c>
      <c r="Q305" s="4" t="str">
        <f>IFERROR(__xludf.DUMMYFUNCTION("""COMPUTED_VALUE"""),"N/A (Not found)")</f>
        <v>N/A (Not found)</v>
      </c>
      <c r="R305" s="33">
        <f>IFERROR(__xludf.DUMMYFUNCTION("""COMPUTED_VALUE"""),0.92)</f>
        <v>0.92</v>
      </c>
      <c r="S305" s="4" t="str">
        <f>IFERROR(__xludf.DUMMYFUNCTION("""COMPUTED_VALUE"""),"N/A (Not found)")</f>
        <v>N/A (Not found)</v>
      </c>
      <c r="T305" s="33">
        <f>IFERROR(__xludf.DUMMYFUNCTION("""COMPUTED_VALUE"""),0.92)</f>
        <v>0.92</v>
      </c>
      <c r="U305" s="4" t="str">
        <f>IFERROR(__xludf.DUMMYFUNCTION("""COMPUTED_VALUE"""),"N/A (Not found)")</f>
        <v>N/A (Not found)</v>
      </c>
      <c r="V305" s="33">
        <f>IFERROR(__xludf.DUMMYFUNCTION("""COMPUTED_VALUE"""),0.92)</f>
        <v>0.92</v>
      </c>
      <c r="W305" s="4" t="str">
        <f>IFERROR(__xludf.DUMMYFUNCTION("""COMPUTED_VALUE"""),"N/A (Not found)")</f>
        <v>N/A (Not found)</v>
      </c>
      <c r="X305" s="33">
        <f>IFERROR(__xludf.DUMMYFUNCTION("""COMPUTED_VALUE"""),0.92)</f>
        <v>0.92</v>
      </c>
    </row>
    <row r="306">
      <c r="A306" s="4" t="str">
        <f>IFERROR(__xludf.DUMMYFUNCTION("""COMPUTED_VALUE"""),"Grupo Alices")</f>
        <v>Grupo Alices</v>
      </c>
      <c r="B306" s="4">
        <f>IFERROR(__xludf.DUMMYFUNCTION("""COMPUTED_VALUE"""),23.0)</f>
        <v>23</v>
      </c>
      <c r="C306" s="30">
        <f>IFERROR(__xludf.DUMMYFUNCTION("""COMPUTED_VALUE"""),87.0)</f>
        <v>87</v>
      </c>
      <c r="D306" s="4" t="str">
        <f>IFERROR(__xludf.DUMMYFUNCTION("""COMPUTED_VALUE"""),"Grupo Multi-marca")</f>
        <v>Grupo Multi-marca</v>
      </c>
      <c r="E306" s="4" t="str">
        <f>IFERROR(__xludf.DUMMYFUNCTION("""COMPUTED_VALUE"""),"Nordeste")</f>
        <v>Nordeste</v>
      </c>
      <c r="F306" s="4" t="str">
        <f>IFERROR(__xludf.DUMMYFUNCTION("""COMPUTED_VALUE"""),"Dado não disponível publicamente - Necessário Discovery")</f>
        <v>Dado não disponível publicamente - Necessário Discovery</v>
      </c>
      <c r="G306" s="4">
        <f>IFERROR(__xludf.DUMMYFUNCTION("""COMPUTED_VALUE"""),45.0)</f>
        <v>45</v>
      </c>
      <c r="H306" s="31">
        <f>IFERROR(__xludf.DUMMYFUNCTION("""COMPUTED_VALUE"""),0.55)</f>
        <v>0.55</v>
      </c>
      <c r="I306"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06" s="4" t="str">
        <f>IFERROR(__xludf.DUMMYFUNCTION("""COMPUTED_VALUE"""),"INDIANA MERCADO - CONTA PAI")</f>
        <v>INDIANA MERCADO - CONTA PAI</v>
      </c>
      <c r="L306" s="32">
        <f>IFERROR(__xludf.DUMMYFUNCTION("""COMPUTED_VALUE"""),25.0)</f>
        <v>25</v>
      </c>
      <c r="M306" s="4" t="str">
        <f>IFERROR(__xludf.DUMMYFUNCTION("""COMPUTED_VALUE"""),"null")</f>
        <v>null</v>
      </c>
      <c r="N306" s="33">
        <f>IFERROR(__xludf.DUMMYFUNCTION("""COMPUTED_VALUE"""),0.68)</f>
        <v>0.68</v>
      </c>
      <c r="O306" s="4" t="str">
        <f>IFERROR(__xludf.DUMMYFUNCTION("""COMPUTED_VALUE"""),"null")</f>
        <v>null</v>
      </c>
      <c r="P306" s="33">
        <f>IFERROR(__xludf.DUMMYFUNCTION("""COMPUTED_VALUE"""),0.72)</f>
        <v>0.72</v>
      </c>
      <c r="Q306" s="4" t="str">
        <f>IFERROR(__xludf.DUMMYFUNCTION("""COMPUTED_VALUE"""),"null")</f>
        <v>null</v>
      </c>
      <c r="R306" s="33">
        <f>IFERROR(__xludf.DUMMYFUNCTION("""COMPUTED_VALUE"""),0.64)</f>
        <v>0.64</v>
      </c>
      <c r="S306" s="4" t="str">
        <f>IFERROR(__xludf.DUMMYFUNCTION("""COMPUTED_VALUE"""),"N/A (Not found)")</f>
        <v>N/A (Not found)</v>
      </c>
      <c r="T306" s="33">
        <f>IFERROR(__xludf.DUMMYFUNCTION("""COMPUTED_VALUE"""),1.0)</f>
        <v>1</v>
      </c>
      <c r="U306" s="4" t="str">
        <f>IFERROR(__xludf.DUMMYFUNCTION("""COMPUTED_VALUE"""),"N/A (Not found)")</f>
        <v>N/A (Not found)</v>
      </c>
      <c r="V306" s="33">
        <f>IFERROR(__xludf.DUMMYFUNCTION("""COMPUTED_VALUE"""),1.0)</f>
        <v>1</v>
      </c>
      <c r="W306" s="4" t="str">
        <f>IFERROR(__xludf.DUMMYFUNCTION("""COMPUTED_VALUE"""),"N/A (Not found)")</f>
        <v>N/A (Not found)</v>
      </c>
      <c r="X306" s="33">
        <f>IFERROR(__xludf.DUMMYFUNCTION("""COMPUTED_VALUE"""),1.0)</f>
        <v>1</v>
      </c>
    </row>
    <row r="307">
      <c r="A307" s="4" t="str">
        <f>IFERROR(__xludf.DUMMYFUNCTION("""COMPUTED_VALUE"""),"Grupo Atlântico")</f>
        <v>Grupo Atlântico</v>
      </c>
      <c r="B307" s="4">
        <f>IFERROR(__xludf.DUMMYFUNCTION("""COMPUTED_VALUE"""),5.0)</f>
        <v>5</v>
      </c>
      <c r="C307" s="30">
        <f>IFERROR(__xludf.DUMMYFUNCTION("""COMPUTED_VALUE"""),76.0)</f>
        <v>76</v>
      </c>
      <c r="D307" s="4" t="str">
        <f>IFERROR(__xludf.DUMMYFUNCTION("""COMPUTED_VALUE"""),"Grupo Multi-marca")</f>
        <v>Grupo Multi-marca</v>
      </c>
      <c r="E307" s="4" t="str">
        <f>IFERROR(__xludf.DUMMYFUNCTION("""COMPUTED_VALUE"""),"São Paulo/SP")</f>
        <v>São Paulo/SP</v>
      </c>
      <c r="F307" s="4" t="str">
        <f>IFERROR(__xludf.DUMMYFUNCTION("""COMPUTED_VALUE"""),"Dado não disponível publicamente - Necessário Discovery")</f>
        <v>Dado não disponível publicamente - Necessário Discovery</v>
      </c>
      <c r="G307" s="4">
        <f>IFERROR(__xludf.DUMMYFUNCTION("""COMPUTED_VALUE"""),40.0)</f>
        <v>40</v>
      </c>
      <c r="H307" s="31">
        <f>IFERROR(__xludf.DUMMYFUNCTION("""COMPUTED_VALUE"""),0.5)</f>
        <v>0.5</v>
      </c>
      <c r="I307"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07" s="4" t="str">
        <f>IFERROR(__xludf.DUMMYFUNCTION("""COMPUTED_VALUE"""),"MAXXI ECONOMICA FARMACIAS - CONTA MARCA")</f>
        <v>MAXXI ECONOMICA FARMACIAS - CONTA MARCA</v>
      </c>
      <c r="L307" s="32">
        <f>IFERROR(__xludf.DUMMYFUNCTION("""COMPUTED_VALUE"""),25.0)</f>
        <v>25</v>
      </c>
      <c r="M307" s="4" t="str">
        <f>IFERROR(__xludf.DUMMYFUNCTION("""COMPUTED_VALUE"""),"N/A (Not found)")</f>
        <v>N/A (Not found)</v>
      </c>
      <c r="N307" s="33">
        <f>IFERROR(__xludf.DUMMYFUNCTION("""COMPUTED_VALUE"""),0.64)</f>
        <v>0.64</v>
      </c>
      <c r="O307" s="4" t="str">
        <f>IFERROR(__xludf.DUMMYFUNCTION("""COMPUTED_VALUE"""),"N/A (Not found)")</f>
        <v>N/A (Not found)</v>
      </c>
      <c r="P307" s="33">
        <f>IFERROR(__xludf.DUMMYFUNCTION("""COMPUTED_VALUE"""),0.76)</f>
        <v>0.76</v>
      </c>
      <c r="Q307" s="4" t="str">
        <f>IFERROR(__xludf.DUMMYFUNCTION("""COMPUTED_VALUE"""),"N/A (Not found)")</f>
        <v>N/A (Not found)</v>
      </c>
      <c r="R307" s="33">
        <f>IFERROR(__xludf.DUMMYFUNCTION("""COMPUTED_VALUE"""),0.84)</f>
        <v>0.84</v>
      </c>
      <c r="S307" s="4" t="str">
        <f>IFERROR(__xludf.DUMMYFUNCTION("""COMPUTED_VALUE"""),"N/A (Not found)")</f>
        <v>N/A (Not found)</v>
      </c>
      <c r="T307" s="33">
        <f>IFERROR(__xludf.DUMMYFUNCTION("""COMPUTED_VALUE"""),0.84)</f>
        <v>0.84</v>
      </c>
      <c r="U307" s="4" t="str">
        <f>IFERROR(__xludf.DUMMYFUNCTION("""COMPUTED_VALUE"""),"N/A (Not found)")</f>
        <v>N/A (Not found)</v>
      </c>
      <c r="V307" s="33">
        <f>IFERROR(__xludf.DUMMYFUNCTION("""COMPUTED_VALUE"""),0.92)</f>
        <v>0.92</v>
      </c>
      <c r="W307" s="4" t="str">
        <f>IFERROR(__xludf.DUMMYFUNCTION("""COMPUTED_VALUE"""),"N/A (Not found)")</f>
        <v>N/A (Not found)</v>
      </c>
      <c r="X307" s="33">
        <f>IFERROR(__xludf.DUMMYFUNCTION("""COMPUTED_VALUE"""),0.88)</f>
        <v>0.88</v>
      </c>
    </row>
    <row r="308">
      <c r="A308" s="4" t="str">
        <f>IFERROR(__xludf.DUMMYFUNCTION("""COMPUTED_VALUE"""),"Grupo Atrio")</f>
        <v>Grupo Atrio</v>
      </c>
      <c r="B308" s="4">
        <f>IFERROR(__xludf.DUMMYFUNCTION("""COMPUTED_VALUE"""),23.0)</f>
        <v>23</v>
      </c>
      <c r="C308" s="30">
        <f>IFERROR(__xludf.DUMMYFUNCTION("""COMPUTED_VALUE"""),116.0)</f>
        <v>116</v>
      </c>
      <c r="D308" s="4" t="str">
        <f>IFERROR(__xludf.DUMMYFUNCTION("""COMPUTED_VALUE"""),"Grupo Multi-marca")</f>
        <v>Grupo Multi-marca</v>
      </c>
      <c r="E308" s="4" t="str">
        <f>IFERROR(__xludf.DUMMYFUNCTION("""COMPUTED_VALUE"""),"Nordeste")</f>
        <v>Nordeste</v>
      </c>
      <c r="F308" s="4" t="str">
        <f>IFERROR(__xludf.DUMMYFUNCTION("""COMPUTED_VALUE"""),"Dado não disponível publicamente - Necessário Discovery")</f>
        <v>Dado não disponível publicamente - Necessário Discovery</v>
      </c>
      <c r="G308" s="4">
        <f>IFERROR(__xludf.DUMMYFUNCTION("""COMPUTED_VALUE"""),45.0)</f>
        <v>45</v>
      </c>
      <c r="H308" s="31">
        <f>IFERROR(__xludf.DUMMYFUNCTION("""COMPUTED_VALUE"""),0.55)</f>
        <v>0.55</v>
      </c>
      <c r="I308"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08" s="4" t="str">
        <f>IFERROR(__xludf.DUMMYFUNCTION("""COMPUTED_VALUE"""),"GRUPO PERFEITO")</f>
        <v>GRUPO PERFEITO</v>
      </c>
      <c r="L308" s="32">
        <f>IFERROR(__xludf.DUMMYFUNCTION("""COMPUTED_VALUE"""),25.0)</f>
        <v>25</v>
      </c>
      <c r="M308" s="4" t="str">
        <f>IFERROR(__xludf.DUMMYFUNCTION("""COMPUTED_VALUE"""),"Saipos Serviços De Software")</f>
        <v>Saipos Serviços De Software</v>
      </c>
      <c r="N308" s="33">
        <f>IFERROR(__xludf.DUMMYFUNCTION("""COMPUTED_VALUE"""),0.96)</f>
        <v>0.96</v>
      </c>
      <c r="O308" s="4" t="str">
        <f>IFERROR(__xludf.DUMMYFUNCTION("""COMPUTED_VALUE"""),"Saipos Serviços De Software")</f>
        <v>Saipos Serviços De Software</v>
      </c>
      <c r="P308" s="33">
        <f>IFERROR(__xludf.DUMMYFUNCTION("""COMPUTED_VALUE"""),1.0)</f>
        <v>1</v>
      </c>
      <c r="Q308" s="4" t="str">
        <f>IFERROR(__xludf.DUMMYFUNCTION("""COMPUTED_VALUE"""),"Saipos Serviços De Software")</f>
        <v>Saipos Serviços De Software</v>
      </c>
      <c r="R308" s="33">
        <f>IFERROR(__xludf.DUMMYFUNCTION("""COMPUTED_VALUE"""),1.0)</f>
        <v>1</v>
      </c>
      <c r="S308" s="4" t="str">
        <f>IFERROR(__xludf.DUMMYFUNCTION("""COMPUTED_VALUE"""),"Saipos Serviços De Software")</f>
        <v>Saipos Serviços De Software</v>
      </c>
      <c r="T308" s="33">
        <f>IFERROR(__xludf.DUMMYFUNCTION("""COMPUTED_VALUE"""),1.0)</f>
        <v>1</v>
      </c>
      <c r="U308" s="4" t="str">
        <f>IFERROR(__xludf.DUMMYFUNCTION("""COMPUTED_VALUE"""),"Saipos Serviços De Software")</f>
        <v>Saipos Serviços De Software</v>
      </c>
      <c r="V308" s="33">
        <f>IFERROR(__xludf.DUMMYFUNCTION("""COMPUTED_VALUE"""),1.0)</f>
        <v>1</v>
      </c>
      <c r="W308" s="4" t="str">
        <f>IFERROR(__xludf.DUMMYFUNCTION("""COMPUTED_VALUE"""),"Saipos Serviços De Software")</f>
        <v>Saipos Serviços De Software</v>
      </c>
      <c r="X308" s="33">
        <f>IFERROR(__xludf.DUMMYFUNCTION("""COMPUTED_VALUE"""),1.0)</f>
        <v>1</v>
      </c>
    </row>
    <row r="309">
      <c r="A309" s="4" t="str">
        <f>IFERROR(__xludf.DUMMYFUNCTION("""COMPUTED_VALUE"""),"Grupo Attimo")</f>
        <v>Grupo Attimo</v>
      </c>
      <c r="B309" s="4">
        <f>IFERROR(__xludf.DUMMYFUNCTION("""COMPUTED_VALUE"""),9.0)</f>
        <v>9</v>
      </c>
      <c r="C309" s="30">
        <f>IFERROR(__xludf.DUMMYFUNCTION("""COMPUTED_VALUE"""),103.0)</f>
        <v>103</v>
      </c>
      <c r="D309" s="4" t="str">
        <f>IFERROR(__xludf.DUMMYFUNCTION("""COMPUTED_VALUE"""),"Grupo Multi-marca")</f>
        <v>Grupo Multi-marca</v>
      </c>
      <c r="E309" s="4" t="str">
        <f>IFERROR(__xludf.DUMMYFUNCTION("""COMPUTED_VALUE"""),"Rio de Janeiro/RJ")</f>
        <v>Rio de Janeiro/RJ</v>
      </c>
      <c r="F309" s="4" t="str">
        <f>IFERROR(__xludf.DUMMYFUNCTION("""COMPUTED_VALUE"""),"Dado não disponível publicamente - Necessário Discovery")</f>
        <v>Dado não disponível publicamente - Necessário Discovery</v>
      </c>
      <c r="G309" s="4">
        <f>IFERROR(__xludf.DUMMYFUNCTION("""COMPUTED_VALUE"""),40.0)</f>
        <v>40</v>
      </c>
      <c r="H309" s="31">
        <f>IFERROR(__xludf.DUMMYFUNCTION("""COMPUTED_VALUE"""),0.5)</f>
        <v>0.5</v>
      </c>
      <c r="I309"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09" s="4" t="str">
        <f>IFERROR(__xludf.DUMMYFUNCTION("""COMPUTED_VALUE"""),"PADARIA BELAS ARTES M")</f>
        <v>PADARIA BELAS ARTES M</v>
      </c>
      <c r="L309" s="32">
        <f>IFERROR(__xludf.DUMMYFUNCTION("""COMPUTED_VALUE"""),25.0)</f>
        <v>25</v>
      </c>
      <c r="M309" s="4" t="str">
        <f>IFERROR(__xludf.DUMMYFUNCTION("""COMPUTED_VALUE"""),"Fernando Oliveira Nascimento Me")</f>
        <v>Fernando Oliveira Nascimento Me</v>
      </c>
      <c r="N309" s="33">
        <f>IFERROR(__xludf.DUMMYFUNCTION("""COMPUTED_VALUE"""),0.56)</f>
        <v>0.56</v>
      </c>
      <c r="O309" s="4" t="str">
        <f>IFERROR(__xludf.DUMMYFUNCTION("""COMPUTED_VALUE"""),"Fernando Oliveira Nascimento Me")</f>
        <v>Fernando Oliveira Nascimento Me</v>
      </c>
      <c r="P309" s="33">
        <f>IFERROR(__xludf.DUMMYFUNCTION("""COMPUTED_VALUE"""),0.64)</f>
        <v>0.64</v>
      </c>
      <c r="Q309" s="4" t="str">
        <f>IFERROR(__xludf.DUMMYFUNCTION("""COMPUTED_VALUE"""),"Fernando Oliveira Nascimento Me")</f>
        <v>Fernando Oliveira Nascimento Me</v>
      </c>
      <c r="R309" s="33">
        <f>IFERROR(__xludf.DUMMYFUNCTION("""COMPUTED_VALUE"""),0.56)</f>
        <v>0.56</v>
      </c>
      <c r="S309" s="4" t="str">
        <f>IFERROR(__xludf.DUMMYFUNCTION("""COMPUTED_VALUE"""),"Fernando Oliveira Nascimento Me")</f>
        <v>Fernando Oliveira Nascimento Me</v>
      </c>
      <c r="T309" s="33">
        <f>IFERROR(__xludf.DUMMYFUNCTION("""COMPUTED_VALUE"""),0.56)</f>
        <v>0.56</v>
      </c>
      <c r="U309" s="4" t="str">
        <f>IFERROR(__xludf.DUMMYFUNCTION("""COMPUTED_VALUE"""),"Fernando Oliveira Nascimento Me")</f>
        <v>Fernando Oliveira Nascimento Me</v>
      </c>
      <c r="V309" s="33">
        <f>IFERROR(__xludf.DUMMYFUNCTION("""COMPUTED_VALUE"""),0.6)</f>
        <v>0.6</v>
      </c>
      <c r="W309" s="4" t="str">
        <f>IFERROR(__xludf.DUMMYFUNCTION("""COMPUTED_VALUE"""),"Fernando Oliveira Nascimento Me")</f>
        <v>Fernando Oliveira Nascimento Me</v>
      </c>
      <c r="X309" s="33">
        <f>IFERROR(__xludf.DUMMYFUNCTION("""COMPUTED_VALUE"""),0.68)</f>
        <v>0.68</v>
      </c>
    </row>
    <row r="310">
      <c r="A310" s="4" t="str">
        <f>IFERROR(__xludf.DUMMYFUNCTION("""COMPUTED_VALUE"""),"Grupo Belas Artes")</f>
        <v>Grupo Belas Artes</v>
      </c>
      <c r="B310" s="4">
        <f>IFERROR(__xludf.DUMMYFUNCTION("""COMPUTED_VALUE"""),9.0)</f>
        <v>9</v>
      </c>
      <c r="C310" s="30">
        <f>IFERROR(__xludf.DUMMYFUNCTION("""COMPUTED_VALUE"""),128.0)</f>
        <v>128</v>
      </c>
      <c r="D310" s="4" t="str">
        <f>IFERROR(__xludf.DUMMYFUNCTION("""COMPUTED_VALUE"""),"Grupo Multi-marca")</f>
        <v>Grupo Multi-marca</v>
      </c>
      <c r="E310" s="4" t="str">
        <f>IFERROR(__xludf.DUMMYFUNCTION("""COMPUTED_VALUE"""),"Nordeste")</f>
        <v>Nordeste</v>
      </c>
      <c r="F310" s="4" t="str">
        <f>IFERROR(__xludf.DUMMYFUNCTION("""COMPUTED_VALUE"""),"Dado não disponível publicamente - Necessário Discovery")</f>
        <v>Dado não disponível publicamente - Necessário Discovery</v>
      </c>
      <c r="G310" s="4">
        <f>IFERROR(__xludf.DUMMYFUNCTION("""COMPUTED_VALUE"""),40.0)</f>
        <v>40</v>
      </c>
      <c r="H310" s="31">
        <f>IFERROR(__xludf.DUMMYFUNCTION("""COMPUTED_VALUE"""),0.5)</f>
        <v>0.5</v>
      </c>
      <c r="I310"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10" s="4" t="str">
        <f>IFERROR(__xludf.DUMMYFUNCTION("""COMPUTED_VALUE"""),"GRUPO WE LOVE")</f>
        <v>GRUPO WE LOVE</v>
      </c>
      <c r="L310" s="32">
        <f>IFERROR(__xludf.DUMMYFUNCTION("""COMPUTED_VALUE"""),25.0)</f>
        <v>25</v>
      </c>
      <c r="M310" s="4" t="str">
        <f>IFERROR(__xludf.DUMMYFUNCTION("""COMPUTED_VALUE"""),"Saipos Serviços De Software")</f>
        <v>Saipos Serviços De Software</v>
      </c>
      <c r="N310" s="33">
        <f>IFERROR(__xludf.DUMMYFUNCTION("""COMPUTED_VALUE"""),1.0)</f>
        <v>1</v>
      </c>
      <c r="O310" s="4" t="str">
        <f>IFERROR(__xludf.DUMMYFUNCTION("""COMPUTED_VALUE"""),"Saipos Serviços De Software")</f>
        <v>Saipos Serviços De Software</v>
      </c>
      <c r="P310" s="33">
        <f>IFERROR(__xludf.DUMMYFUNCTION("""COMPUTED_VALUE"""),1.0)</f>
        <v>1</v>
      </c>
      <c r="Q310" s="4" t="str">
        <f>IFERROR(__xludf.DUMMYFUNCTION("""COMPUTED_VALUE"""),"Saipos Serviços De Software")</f>
        <v>Saipos Serviços De Software</v>
      </c>
      <c r="R310" s="33">
        <f>IFERROR(__xludf.DUMMYFUNCTION("""COMPUTED_VALUE"""),1.0)</f>
        <v>1</v>
      </c>
      <c r="S310" s="4" t="str">
        <f>IFERROR(__xludf.DUMMYFUNCTION("""COMPUTED_VALUE"""),"Saipos Serviços De Software")</f>
        <v>Saipos Serviços De Software</v>
      </c>
      <c r="T310" s="33">
        <f>IFERROR(__xludf.DUMMYFUNCTION("""COMPUTED_VALUE"""),1.0)</f>
        <v>1</v>
      </c>
      <c r="U310" s="4" t="str">
        <f>IFERROR(__xludf.DUMMYFUNCTION("""COMPUTED_VALUE"""),"Saipos Serviços De Software")</f>
        <v>Saipos Serviços De Software</v>
      </c>
      <c r="V310" s="33">
        <f>IFERROR(__xludf.DUMMYFUNCTION("""COMPUTED_VALUE"""),1.0)</f>
        <v>1</v>
      </c>
      <c r="W310" s="4" t="str">
        <f>IFERROR(__xludf.DUMMYFUNCTION("""COMPUTED_VALUE"""),"Saipos Serviços De Software")</f>
        <v>Saipos Serviços De Software</v>
      </c>
      <c r="X310" s="33">
        <f>IFERROR(__xludf.DUMMYFUNCTION("""COMPUTED_VALUE"""),1.0)</f>
        <v>1</v>
      </c>
    </row>
    <row r="311">
      <c r="A311" s="4" t="str">
        <f>IFERROR(__xludf.DUMMYFUNCTION("""COMPUTED_VALUE"""),"Grupo BHF")</f>
        <v>Grupo BHF</v>
      </c>
      <c r="B311" s="4">
        <f>IFERROR(__xludf.DUMMYFUNCTION("""COMPUTED_VALUE"""),15.0)</f>
        <v>15</v>
      </c>
      <c r="C311" s="30">
        <f>IFERROR(__xludf.DUMMYFUNCTION("""COMPUTED_VALUE"""),97.0)</f>
        <v>97</v>
      </c>
      <c r="D311" s="4" t="str">
        <f>IFERROR(__xludf.DUMMYFUNCTION("""COMPUTED_VALUE"""),"Grupo Multi-marca")</f>
        <v>Grupo Multi-marca</v>
      </c>
      <c r="E311" s="4" t="str">
        <f>IFERROR(__xludf.DUMMYFUNCTION("""COMPUTED_VALUE"""),"Belo Horizonte/MG")</f>
        <v>Belo Horizonte/MG</v>
      </c>
      <c r="F311" s="4" t="str">
        <f>IFERROR(__xludf.DUMMYFUNCTION("""COMPUTED_VALUE"""),"Dado não disponível publicamente - Necessário Discovery")</f>
        <v>Dado não disponível publicamente - Necessário Discovery</v>
      </c>
      <c r="G311" s="4">
        <f>IFERROR(__xludf.DUMMYFUNCTION("""COMPUTED_VALUE"""),40.0)</f>
        <v>40</v>
      </c>
      <c r="H311" s="31">
        <f>IFERROR(__xludf.DUMMYFUNCTION("""COMPUTED_VALUE"""),0.55)</f>
        <v>0.55</v>
      </c>
      <c r="I311"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11" s="4" t="str">
        <f>IFERROR(__xludf.DUMMYFUNCTION("""COMPUTED_VALUE"""),"PIZZARIA ABARE - MATRIZ")</f>
        <v>PIZZARIA ABARE - MATRIZ</v>
      </c>
      <c r="L311" s="32">
        <f>IFERROR(__xludf.DUMMYFUNCTION("""COMPUTED_VALUE"""),25.0)</f>
        <v>25</v>
      </c>
      <c r="M311" s="4" t="str">
        <f>IFERROR(__xludf.DUMMYFUNCTION("""COMPUTED_VALUE"""),"Licenciadora E Franchising Abare Ltda")</f>
        <v>Licenciadora E Franchising Abare Ltda</v>
      </c>
      <c r="N311" s="33">
        <f>IFERROR(__xludf.DUMMYFUNCTION("""COMPUTED_VALUE"""),1.0)</f>
        <v>1</v>
      </c>
      <c r="O311" s="4" t="str">
        <f>IFERROR(__xludf.DUMMYFUNCTION("""COMPUTED_VALUE"""),"Licenciadora E Franchising Abare Ltda")</f>
        <v>Licenciadora E Franchising Abare Ltda</v>
      </c>
      <c r="P311" s="33">
        <f>IFERROR(__xludf.DUMMYFUNCTION("""COMPUTED_VALUE"""),0.92)</f>
        <v>0.92</v>
      </c>
      <c r="Q311" s="4" t="str">
        <f>IFERROR(__xludf.DUMMYFUNCTION("""COMPUTED_VALUE"""),"Licenciadora E Franchising Abare Ltda")</f>
        <v>Licenciadora E Franchising Abare Ltda</v>
      </c>
      <c r="R311" s="33">
        <f>IFERROR(__xludf.DUMMYFUNCTION("""COMPUTED_VALUE"""),0.8)</f>
        <v>0.8</v>
      </c>
      <c r="S311" s="4" t="str">
        <f>IFERROR(__xludf.DUMMYFUNCTION("""COMPUTED_VALUE"""),"Licenciadora E Franchising Abare Ltda")</f>
        <v>Licenciadora E Franchising Abare Ltda</v>
      </c>
      <c r="T311" s="33">
        <f>IFERROR(__xludf.DUMMYFUNCTION("""COMPUTED_VALUE"""),0.92)</f>
        <v>0.92</v>
      </c>
      <c r="U311" s="4" t="str">
        <f>IFERROR(__xludf.DUMMYFUNCTION("""COMPUTED_VALUE"""),"Licenciadora E Franchising Abare Ltda")</f>
        <v>Licenciadora E Franchising Abare Ltda</v>
      </c>
      <c r="V311" s="33">
        <f>IFERROR(__xludf.DUMMYFUNCTION("""COMPUTED_VALUE"""),0.92)</f>
        <v>0.92</v>
      </c>
      <c r="W311" s="4" t="str">
        <f>IFERROR(__xludf.DUMMYFUNCTION("""COMPUTED_VALUE"""),"Licenciadora E Franchising Abare Ltda")</f>
        <v>Licenciadora E Franchising Abare Ltda</v>
      </c>
      <c r="X311" s="33">
        <f>IFERROR(__xludf.DUMMYFUNCTION("""COMPUTED_VALUE"""),0.88)</f>
        <v>0.88</v>
      </c>
    </row>
    <row r="312">
      <c r="A312" s="4" t="str">
        <f>IFERROR(__xludf.DUMMYFUNCTION("""COMPUTED_VALUE"""),"Grupo Crm (Kopenhagen)")</f>
        <v>Grupo Crm (Kopenhagen)</v>
      </c>
      <c r="B312" s="4">
        <f>IFERROR(__xludf.DUMMYFUNCTION("""COMPUTED_VALUE"""),23.0)</f>
        <v>23</v>
      </c>
      <c r="C312" s="30">
        <f>IFERROR(__xludf.DUMMYFUNCTION("""COMPUTED_VALUE"""),74.0)</f>
        <v>74</v>
      </c>
      <c r="D312" s="4" t="str">
        <f>IFERROR(__xludf.DUMMYFUNCTION("""COMPUTED_VALUE"""),"Grupo Multi-marca")</f>
        <v>Grupo Multi-marca</v>
      </c>
      <c r="E312" s="4" t="str">
        <f>IFERROR(__xludf.DUMMYFUNCTION("""COMPUTED_VALUE"""),"Brasília/DF")</f>
        <v>Brasília/DF</v>
      </c>
      <c r="F312" s="4" t="str">
        <f>IFERROR(__xludf.DUMMYFUNCTION("""COMPUTED_VALUE"""),"Dado não disponível publicamente - Necessário Discovery")</f>
        <v>Dado não disponível publicamente - Necessário Discovery</v>
      </c>
      <c r="G312" s="4">
        <f>IFERROR(__xludf.DUMMYFUNCTION("""COMPUTED_VALUE"""),45.0)</f>
        <v>45</v>
      </c>
      <c r="H312" s="31">
        <f>IFERROR(__xludf.DUMMYFUNCTION("""COMPUTED_VALUE"""),0.55)</f>
        <v>0.55</v>
      </c>
      <c r="I312"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12" s="4" t="str">
        <f>IFERROR(__xludf.DUMMYFUNCTION("""COMPUTED_VALUE"""),"RICOY SUPERMERCADOS - CONTA GRUPO")</f>
        <v>RICOY SUPERMERCADOS - CONTA GRUPO</v>
      </c>
      <c r="L312" s="32">
        <f>IFERROR(__xludf.DUMMYFUNCTION("""COMPUTED_VALUE"""),25.0)</f>
        <v>25</v>
      </c>
      <c r="M312" s="4" t="str">
        <f>IFERROR(__xludf.DUMMYFUNCTION("""COMPUTED_VALUE"""),"N/A (Not found)")</f>
        <v>N/A (Not found)</v>
      </c>
      <c r="N312" s="33">
        <f>IFERROR(__xludf.DUMMYFUNCTION("""COMPUTED_VALUE"""),1.0)</f>
        <v>1</v>
      </c>
      <c r="O312" s="4" t="str">
        <f>IFERROR(__xludf.DUMMYFUNCTION("""COMPUTED_VALUE"""),"N/A (Not found)")</f>
        <v>N/A (Not found)</v>
      </c>
      <c r="P312" s="33">
        <f>IFERROR(__xludf.DUMMYFUNCTION("""COMPUTED_VALUE"""),1.0)</f>
        <v>1</v>
      </c>
      <c r="Q312" s="4" t="str">
        <f>IFERROR(__xludf.DUMMYFUNCTION("""COMPUTED_VALUE"""),"N/A (Not found)")</f>
        <v>N/A (Not found)</v>
      </c>
      <c r="R312" s="33">
        <f>IFERROR(__xludf.DUMMYFUNCTION("""COMPUTED_VALUE"""),1.0)</f>
        <v>1</v>
      </c>
      <c r="S312" s="4" t="str">
        <f>IFERROR(__xludf.DUMMYFUNCTION("""COMPUTED_VALUE"""),"N/A (Not found)")</f>
        <v>N/A (Not found)</v>
      </c>
      <c r="T312" s="33">
        <f>IFERROR(__xludf.DUMMYFUNCTION("""COMPUTED_VALUE"""),1.0)</f>
        <v>1</v>
      </c>
      <c r="U312" s="4" t="str">
        <f>IFERROR(__xludf.DUMMYFUNCTION("""COMPUTED_VALUE"""),"N/A (Not found)")</f>
        <v>N/A (Not found)</v>
      </c>
      <c r="V312" s="33">
        <f>IFERROR(__xludf.DUMMYFUNCTION("""COMPUTED_VALUE"""),1.0)</f>
        <v>1</v>
      </c>
      <c r="W312" s="4" t="str">
        <f>IFERROR(__xludf.DUMMYFUNCTION("""COMPUTED_VALUE"""),"N/A (Not found)")</f>
        <v>N/A (Not found)</v>
      </c>
      <c r="X312" s="33">
        <f>IFERROR(__xludf.DUMMYFUNCTION("""COMPUTED_VALUE"""),1.0)</f>
        <v>1</v>
      </c>
    </row>
    <row r="313">
      <c r="A313" s="4" t="str">
        <f>IFERROR(__xludf.DUMMYFUNCTION("""COMPUTED_VALUE"""),"Grupo Di Roma Florianópolis")</f>
        <v>Grupo Di Roma Florianópolis</v>
      </c>
      <c r="B313" s="4">
        <f>IFERROR(__xludf.DUMMYFUNCTION("""COMPUTED_VALUE"""),25.0)</f>
        <v>25</v>
      </c>
      <c r="C313" s="30">
        <f>IFERROR(__xludf.DUMMYFUNCTION("""COMPUTED_VALUE"""),84.0)</f>
        <v>84</v>
      </c>
      <c r="D313" s="4" t="str">
        <f>IFERROR(__xludf.DUMMYFUNCTION("""COMPUTED_VALUE"""),"Grupo Multi-marca")</f>
        <v>Grupo Multi-marca</v>
      </c>
      <c r="E313" s="4" t="str">
        <f>IFERROR(__xludf.DUMMYFUNCTION("""COMPUTED_VALUE"""),"Nordeste")</f>
        <v>Nordeste</v>
      </c>
      <c r="F313" s="4" t="str">
        <f>IFERROR(__xludf.DUMMYFUNCTION("""COMPUTED_VALUE"""),"Dado não disponível publicamente - Necessário Discovery")</f>
        <v>Dado não disponível publicamente - Necessário Discovery</v>
      </c>
      <c r="G313" s="4">
        <f>IFERROR(__xludf.DUMMYFUNCTION("""COMPUTED_VALUE"""),45.0)</f>
        <v>45</v>
      </c>
      <c r="H313" s="31">
        <f>IFERROR(__xludf.DUMMYFUNCTION("""COMPUTED_VALUE"""),0.55)</f>
        <v>0.55</v>
      </c>
      <c r="I313"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13" s="4" t="str">
        <f>IFERROR(__xludf.DUMMYFUNCTION("""COMPUTED_VALUE"""),"SUPERMARKET - CONTA GRUPO")</f>
        <v>SUPERMARKET - CONTA GRUPO</v>
      </c>
      <c r="L313" s="32">
        <f>IFERROR(__xludf.DUMMYFUNCTION("""COMPUTED_VALUE"""),25.0)</f>
        <v>25</v>
      </c>
      <c r="M313" s="4" t="str">
        <f>IFERROR(__xludf.DUMMYFUNCTION("""COMPUTED_VALUE"""),"N/A (Not found)")</f>
        <v>N/A (Not found)</v>
      </c>
      <c r="N313" s="33">
        <f>IFERROR(__xludf.DUMMYFUNCTION("""COMPUTED_VALUE"""),0.88)</f>
        <v>0.88</v>
      </c>
      <c r="O313" s="4" t="str">
        <f>IFERROR(__xludf.DUMMYFUNCTION("""COMPUTED_VALUE"""),"N/A (Not found)")</f>
        <v>N/A (Not found)</v>
      </c>
      <c r="P313" s="33">
        <f>IFERROR(__xludf.DUMMYFUNCTION("""COMPUTED_VALUE"""),0.92)</f>
        <v>0.92</v>
      </c>
      <c r="Q313" s="4" t="str">
        <f>IFERROR(__xludf.DUMMYFUNCTION("""COMPUTED_VALUE"""),"N/A (Not found)")</f>
        <v>N/A (Not found)</v>
      </c>
      <c r="R313" s="33">
        <f>IFERROR(__xludf.DUMMYFUNCTION("""COMPUTED_VALUE"""),0.92)</f>
        <v>0.92</v>
      </c>
      <c r="S313" s="4" t="str">
        <f>IFERROR(__xludf.DUMMYFUNCTION("""COMPUTED_VALUE"""),"N/A (Not found)")</f>
        <v>N/A (Not found)</v>
      </c>
      <c r="T313" s="33">
        <f>IFERROR(__xludf.DUMMYFUNCTION("""COMPUTED_VALUE"""),1.0)</f>
        <v>1</v>
      </c>
      <c r="U313" s="4" t="str">
        <f>IFERROR(__xludf.DUMMYFUNCTION("""COMPUTED_VALUE"""),"N/A (Not found)")</f>
        <v>N/A (Not found)</v>
      </c>
      <c r="V313" s="33">
        <f>IFERROR(__xludf.DUMMYFUNCTION("""COMPUTED_VALUE"""),1.0)</f>
        <v>1</v>
      </c>
      <c r="W313" s="4" t="str">
        <f>IFERROR(__xludf.DUMMYFUNCTION("""COMPUTED_VALUE"""),"N/A (Not found)")</f>
        <v>N/A (Not found)</v>
      </c>
      <c r="X313" s="33">
        <f>IFERROR(__xludf.DUMMYFUNCTION("""COMPUTED_VALUE"""),1.0)</f>
        <v>1</v>
      </c>
    </row>
    <row r="314">
      <c r="A314" s="4" t="str">
        <f>IFERROR(__xludf.DUMMYFUNCTION("""COMPUTED_VALUE"""),"Grupo Django Hamburgueria")</f>
        <v>Grupo Django Hamburgueria</v>
      </c>
      <c r="B314" s="4">
        <f>IFERROR(__xludf.DUMMYFUNCTION("""COMPUTED_VALUE"""),14.0)</f>
        <v>14</v>
      </c>
      <c r="C314" s="30">
        <f>IFERROR(__xludf.DUMMYFUNCTION("""COMPUTED_VALUE"""),67.0)</f>
        <v>67</v>
      </c>
      <c r="D314" s="4" t="str">
        <f>IFERROR(__xludf.DUMMYFUNCTION("""COMPUTED_VALUE"""),"Fast Casual - Hamburgueria")</f>
        <v>Fast Casual - Hamburgueria</v>
      </c>
      <c r="E314" s="4" t="str">
        <f>IFERROR(__xludf.DUMMYFUNCTION("""COMPUTED_VALUE"""),"Belo Horizonte/MG")</f>
        <v>Belo Horizonte/MG</v>
      </c>
      <c r="F314" s="4" t="str">
        <f>IFERROR(__xludf.DUMMYFUNCTION("""COMPUTED_VALUE"""),"Dado não disponível publicamente - Necessário Discovery")</f>
        <v>Dado não disponível publicamente - Necessário Discovery</v>
      </c>
      <c r="G314" s="4">
        <f>IFERROR(__xludf.DUMMYFUNCTION("""COMPUTED_VALUE"""),70.0)</f>
        <v>70</v>
      </c>
      <c r="H314" s="31">
        <f>IFERROR(__xludf.DUMMYFUNCTION("""COMPUTED_VALUE"""),0.8)</f>
        <v>0.8</v>
      </c>
      <c r="I314" s="4" t="str">
        <f>IFERROR(__xludf.DUMMYFUNCTION("""COMPUTED_VALUE"""),"Alta aderência ao 3S: PDV atual não identificado. 3S oferece Kiosk nativo, Hub Delivery integrado e gestão centralizada multi-loja - diferenciais competitivos para expansão e redução de filas.")</f>
        <v>Alta aderência ao 3S: PDV atual não identificado. 3S oferece Kiosk nativo, Hub Delivery integrado e gestão centralizada multi-loja - diferenciais competitivos para expansão e redução de filas.</v>
      </c>
      <c r="K314" s="4" t="str">
        <f>IFERROR(__xludf.DUMMYFUNCTION("""COMPUTED_VALUE"""),"TREVO ACAI CONTA PAI")</f>
        <v>TREVO ACAI CONTA PAI</v>
      </c>
      <c r="L314" s="32">
        <f>IFERROR(__xludf.DUMMYFUNCTION("""COMPUTED_VALUE"""),25.0)</f>
        <v>25</v>
      </c>
      <c r="M314" s="4" t="str">
        <f>IFERROR(__xludf.DUMMYFUNCTION("""COMPUTED_VALUE"""),"Izzy Way Tecnologia")</f>
        <v>Izzy Way Tecnologia</v>
      </c>
      <c r="N314" s="33">
        <f>IFERROR(__xludf.DUMMYFUNCTION("""COMPUTED_VALUE"""),0.76)</f>
        <v>0.76</v>
      </c>
      <c r="O314" s="4" t="str">
        <f>IFERROR(__xludf.DUMMYFUNCTION("""COMPUTED_VALUE"""),"Izzy Way Tecnologia")</f>
        <v>Izzy Way Tecnologia</v>
      </c>
      <c r="P314" s="33">
        <f>IFERROR(__xludf.DUMMYFUNCTION("""COMPUTED_VALUE"""),0.84)</f>
        <v>0.84</v>
      </c>
      <c r="Q314" s="4" t="str">
        <f>IFERROR(__xludf.DUMMYFUNCTION("""COMPUTED_VALUE"""),"Izzy Way Tecnologia")</f>
        <v>Izzy Way Tecnologia</v>
      </c>
      <c r="R314" s="33">
        <f>IFERROR(__xludf.DUMMYFUNCTION("""COMPUTED_VALUE"""),0.88)</f>
        <v>0.88</v>
      </c>
      <c r="S314" s="4" t="str">
        <f>IFERROR(__xludf.DUMMYFUNCTION("""COMPUTED_VALUE"""),"Izzy Way Tecnologia")</f>
        <v>Izzy Way Tecnologia</v>
      </c>
      <c r="T314" s="33">
        <f>IFERROR(__xludf.DUMMYFUNCTION("""COMPUTED_VALUE"""),0.88)</f>
        <v>0.88</v>
      </c>
      <c r="U314" s="4" t="str">
        <f>IFERROR(__xludf.DUMMYFUNCTION("""COMPUTED_VALUE"""),"Izzy Way Tecnologia")</f>
        <v>Izzy Way Tecnologia</v>
      </c>
      <c r="V314" s="33">
        <f>IFERROR(__xludf.DUMMYFUNCTION("""COMPUTED_VALUE"""),0.84)</f>
        <v>0.84</v>
      </c>
      <c r="W314" s="4" t="str">
        <f>IFERROR(__xludf.DUMMYFUNCTION("""COMPUTED_VALUE"""),"Izzy Way Tecnologia")</f>
        <v>Izzy Way Tecnologia</v>
      </c>
      <c r="X314" s="33">
        <f>IFERROR(__xludf.DUMMYFUNCTION("""COMPUTED_VALUE"""),0.92)</f>
        <v>0.92</v>
      </c>
    </row>
    <row r="315">
      <c r="A315" s="4" t="str">
        <f>IFERROR(__xludf.DUMMYFUNCTION("""COMPUTED_VALUE"""),"Grupo Dock")</f>
        <v>Grupo Dock</v>
      </c>
      <c r="B315" s="4">
        <f>IFERROR(__xludf.DUMMYFUNCTION("""COMPUTED_VALUE"""),22.0)</f>
        <v>22</v>
      </c>
      <c r="C315" s="30">
        <f>IFERROR(__xludf.DUMMYFUNCTION("""COMPUTED_VALUE"""),93.0)</f>
        <v>93</v>
      </c>
      <c r="D315" s="4" t="str">
        <f>IFERROR(__xludf.DUMMYFUNCTION("""COMPUTED_VALUE"""),"Grupo Multi-marca")</f>
        <v>Grupo Multi-marca</v>
      </c>
      <c r="E315" s="4" t="str">
        <f>IFERROR(__xludf.DUMMYFUNCTION("""COMPUTED_VALUE"""),"Interior SP")</f>
        <v>Interior SP</v>
      </c>
      <c r="F315" s="4" t="str">
        <f>IFERROR(__xludf.DUMMYFUNCTION("""COMPUTED_VALUE"""),"Dado não disponível publicamente - Necessário Discovery")</f>
        <v>Dado não disponível publicamente - Necessário Discovery</v>
      </c>
      <c r="G315" s="4">
        <f>IFERROR(__xludf.DUMMYFUNCTION("""COMPUTED_VALUE"""),45.0)</f>
        <v>45</v>
      </c>
      <c r="H315" s="31">
        <f>IFERROR(__xludf.DUMMYFUNCTION("""COMPUTED_VALUE"""),0.55)</f>
        <v>0.55</v>
      </c>
      <c r="I315"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15" s="4" t="str">
        <f>IFERROR(__xludf.DUMMYFUNCTION("""COMPUTED_VALUE"""),"SUPERMERCADO BARBOSA - CONTA GRUPO")</f>
        <v>SUPERMERCADO BARBOSA - CONTA GRUPO</v>
      </c>
      <c r="L315" s="32">
        <f>IFERROR(__xludf.DUMMYFUNCTION("""COMPUTED_VALUE"""),24.0)</f>
        <v>24</v>
      </c>
      <c r="M315" s="4" t="str">
        <f>IFERROR(__xludf.DUMMYFUNCTION("""COMPUTED_VALUE"""),"N/A (Not found)")</f>
        <v>N/A (Not found)</v>
      </c>
      <c r="N315" s="33">
        <f>IFERROR(__xludf.DUMMYFUNCTION("""COMPUTED_VALUE"""),1.0)</f>
        <v>1</v>
      </c>
      <c r="O315" s="4" t="str">
        <f>IFERROR(__xludf.DUMMYFUNCTION("""COMPUTED_VALUE"""),"N/A (Not found)")</f>
        <v>N/A (Not found)</v>
      </c>
      <c r="P315" s="33">
        <f>IFERROR(__xludf.DUMMYFUNCTION("""COMPUTED_VALUE"""),1.0)</f>
        <v>1</v>
      </c>
      <c r="Q315" s="4" t="str">
        <f>IFERROR(__xludf.DUMMYFUNCTION("""COMPUTED_VALUE"""),"N/A (Not found)")</f>
        <v>N/A (Not found)</v>
      </c>
      <c r="R315" s="33">
        <f>IFERROR(__xludf.DUMMYFUNCTION("""COMPUTED_VALUE"""),1.0)</f>
        <v>1</v>
      </c>
      <c r="S315" s="4" t="str">
        <f>IFERROR(__xludf.DUMMYFUNCTION("""COMPUTED_VALUE"""),"N/A (Not found)")</f>
        <v>N/A (Not found)</v>
      </c>
      <c r="T315" s="33">
        <f>IFERROR(__xludf.DUMMYFUNCTION("""COMPUTED_VALUE"""),1.0)</f>
        <v>1</v>
      </c>
      <c r="U315" s="4" t="str">
        <f>IFERROR(__xludf.DUMMYFUNCTION("""COMPUTED_VALUE"""),"N/A (Not found)")</f>
        <v>N/A (Not found)</v>
      </c>
      <c r="V315" s="33">
        <f>IFERROR(__xludf.DUMMYFUNCTION("""COMPUTED_VALUE"""),1.0)</f>
        <v>1</v>
      </c>
      <c r="W315" s="4" t="str">
        <f>IFERROR(__xludf.DUMMYFUNCTION("""COMPUTED_VALUE"""),"N/A (Not found)")</f>
        <v>N/A (Not found)</v>
      </c>
      <c r="X315" s="33">
        <f>IFERROR(__xludf.DUMMYFUNCTION("""COMPUTED_VALUE"""),1.0)</f>
        <v>1</v>
      </c>
    </row>
    <row r="316">
      <c r="A316" s="4" t="str">
        <f>IFERROR(__xludf.DUMMYFUNCTION("""COMPUTED_VALUE"""),"Grupo Fasano")</f>
        <v>Grupo Fasano</v>
      </c>
      <c r="B316" s="4">
        <f>IFERROR(__xludf.DUMMYFUNCTION("""COMPUTED_VALUE"""),30.0)</f>
        <v>30</v>
      </c>
      <c r="C316" s="30">
        <f>IFERROR(__xludf.DUMMYFUNCTION("""COMPUTED_VALUE"""),285.0)</f>
        <v>285</v>
      </c>
      <c r="D316" s="4" t="str">
        <f>IFERROR(__xludf.DUMMYFUNCTION("""COMPUTED_VALUE"""),"Fine Dining - Luxury")</f>
        <v>Fine Dining - Luxury</v>
      </c>
      <c r="E316" s="4" t="str">
        <f>IFERROR(__xludf.DUMMYFUNCTION("""COMPUTED_VALUE"""),"Nacional")</f>
        <v>Nacional</v>
      </c>
      <c r="F316" s="4" t="str">
        <f>IFERROR(__xludf.DUMMYFUNCTION("""COMPUTED_VALUE"""),"R$ 408 milhões (2024)")</f>
        <v>R$ 408 milhões (2024)</v>
      </c>
      <c r="G316" s="4">
        <f>IFERROR(__xludf.DUMMYFUNCTION("""COMPUTED_VALUE"""),55.0)</f>
        <v>55</v>
      </c>
      <c r="H316" s="31">
        <f>IFERROR(__xludf.DUMMYFUNCTION("""COMPUTED_VALUE"""),0.5)</f>
        <v>0.5</v>
      </c>
      <c r="I316" s="4" t="str">
        <f>IFERROR(__xludf.DUMMYFUNCTION("""COMPUTED_VALUE"""),"Aderência moderada ao 3S: PDV não identificado. 3S pode agregar valor com padronização multi-loja e integração delivery, mas necessário Discovery para validar fit completo.")</f>
        <v>Aderência moderada ao 3S: PDV não identificado. 3S pode agregar valor com padronização multi-loja e integração delivery, mas necessário Discovery para validar fit completo.</v>
      </c>
      <c r="K316" s="4" t="str">
        <f>IFERROR(__xludf.DUMMYFUNCTION("""COMPUTED_VALUE"""),"BKO - CONTA MARCA")</f>
        <v>BKO - CONTA MARCA</v>
      </c>
      <c r="L316" s="32">
        <f>IFERROR(__xludf.DUMMYFUNCTION("""COMPUTED_VALUE"""),24.0)</f>
        <v>24</v>
      </c>
      <c r="M316" s="4" t="str">
        <f>IFERROR(__xludf.DUMMYFUNCTION("""COMPUTED_VALUE"""),"Saipos Serviços De Software")</f>
        <v>Saipos Serviços De Software</v>
      </c>
      <c r="N316" s="33">
        <f>IFERROR(__xludf.DUMMYFUNCTION("""COMPUTED_VALUE"""),1.0)</f>
        <v>1</v>
      </c>
      <c r="O316" s="4" t="str">
        <f>IFERROR(__xludf.DUMMYFUNCTION("""COMPUTED_VALUE"""),"Saipos Serviços De Software")</f>
        <v>Saipos Serviços De Software</v>
      </c>
      <c r="P316" s="33">
        <f>IFERROR(__xludf.DUMMYFUNCTION("""COMPUTED_VALUE"""),1.0)</f>
        <v>1</v>
      </c>
      <c r="Q316" s="4" t="str">
        <f>IFERROR(__xludf.DUMMYFUNCTION("""COMPUTED_VALUE"""),"Saipos Serviços De Software")</f>
        <v>Saipos Serviços De Software</v>
      </c>
      <c r="R316" s="33">
        <f>IFERROR(__xludf.DUMMYFUNCTION("""COMPUTED_VALUE"""),0.9583333333333334)</f>
        <v>0.9583333333</v>
      </c>
      <c r="S316" s="4" t="str">
        <f>IFERROR(__xludf.DUMMYFUNCTION("""COMPUTED_VALUE"""),"Saipos Serviços De Software")</f>
        <v>Saipos Serviços De Software</v>
      </c>
      <c r="T316" s="33">
        <f>IFERROR(__xludf.DUMMYFUNCTION("""COMPUTED_VALUE"""),0.9583333333333334)</f>
        <v>0.9583333333</v>
      </c>
      <c r="U316" s="4" t="str">
        <f>IFERROR(__xludf.DUMMYFUNCTION("""COMPUTED_VALUE"""),"Saipos Serviços De Software")</f>
        <v>Saipos Serviços De Software</v>
      </c>
      <c r="V316" s="33">
        <f>IFERROR(__xludf.DUMMYFUNCTION("""COMPUTED_VALUE"""),0.9583333333333334)</f>
        <v>0.9583333333</v>
      </c>
      <c r="W316" s="4" t="str">
        <f>IFERROR(__xludf.DUMMYFUNCTION("""COMPUTED_VALUE"""),"Saipos Serviços De Software")</f>
        <v>Saipos Serviços De Software</v>
      </c>
      <c r="X316" s="33">
        <f>IFERROR(__xludf.DUMMYFUNCTION("""COMPUTED_VALUE"""),0.9583333333333334)</f>
        <v>0.9583333333</v>
      </c>
    </row>
    <row r="317">
      <c r="A317" s="4" t="str">
        <f>IFERROR(__xludf.DUMMYFUNCTION("""COMPUTED_VALUE"""),"Grupo Impettus")</f>
        <v>Grupo Impettus</v>
      </c>
      <c r="B317" s="4">
        <f>IFERROR(__xludf.DUMMYFUNCTION("""COMPUTED_VALUE"""),13.0)</f>
        <v>13</v>
      </c>
      <c r="C317" s="30">
        <f>IFERROR(__xludf.DUMMYFUNCTION("""COMPUTED_VALUE"""),109.0)</f>
        <v>109</v>
      </c>
      <c r="D317" s="4" t="str">
        <f>IFERROR(__xludf.DUMMYFUNCTION("""COMPUTED_VALUE"""),"Grupo Multi-marca")</f>
        <v>Grupo Multi-marca</v>
      </c>
      <c r="E317" s="4" t="str">
        <f>IFERROR(__xludf.DUMMYFUNCTION("""COMPUTED_VALUE"""),"Nacional")</f>
        <v>Nacional</v>
      </c>
      <c r="F317" s="4" t="str">
        <f>IFERROR(__xludf.DUMMYFUNCTION("""COMPUTED_VALUE"""),"Dado não disponível publicamente - Necessário Discovery")</f>
        <v>Dado não disponível publicamente - Necessário Discovery</v>
      </c>
      <c r="G317" s="4">
        <f>IFERROR(__xludf.DUMMYFUNCTION("""COMPUTED_VALUE"""),40.0)</f>
        <v>40</v>
      </c>
      <c r="H317" s="31">
        <f>IFERROR(__xludf.DUMMYFUNCTION("""COMPUTED_VALUE"""),0.55)</f>
        <v>0.55</v>
      </c>
      <c r="I317"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17" s="4" t="str">
        <f>IFERROR(__xludf.DUMMYFUNCTION("""COMPUTED_VALUE"""),"COMENDADOR BURGUER")</f>
        <v>COMENDADOR BURGUER</v>
      </c>
      <c r="L317" s="32">
        <f>IFERROR(__xludf.DUMMYFUNCTION("""COMPUTED_VALUE"""),24.0)</f>
        <v>24</v>
      </c>
      <c r="M317" s="4" t="str">
        <f>IFERROR(__xludf.DUMMYFUNCTION("""COMPUTED_VALUE"""),"Cloudfy")</f>
        <v>Cloudfy</v>
      </c>
      <c r="N317" s="33">
        <f>IFERROR(__xludf.DUMMYFUNCTION("""COMPUTED_VALUE"""),0.2916666666666667)</f>
        <v>0.2916666667</v>
      </c>
      <c r="O317" s="4" t="str">
        <f>IFERROR(__xludf.DUMMYFUNCTION("""COMPUTED_VALUE"""),"Cloudfy")</f>
        <v>Cloudfy</v>
      </c>
      <c r="P317" s="33">
        <f>IFERROR(__xludf.DUMMYFUNCTION("""COMPUTED_VALUE"""),0.2916666666666667)</f>
        <v>0.2916666667</v>
      </c>
      <c r="Q317" s="4" t="str">
        <f>IFERROR(__xludf.DUMMYFUNCTION("""COMPUTED_VALUE"""),"null")</f>
        <v>null</v>
      </c>
      <c r="R317" s="33">
        <f>IFERROR(__xludf.DUMMYFUNCTION("""COMPUTED_VALUE"""),0.375)</f>
        <v>0.375</v>
      </c>
      <c r="S317" s="4" t="str">
        <f>IFERROR(__xludf.DUMMYFUNCTION("""COMPUTED_VALUE"""),"null")</f>
        <v>null</v>
      </c>
      <c r="T317" s="33">
        <f>IFERROR(__xludf.DUMMYFUNCTION("""COMPUTED_VALUE"""),0.4166666666666667)</f>
        <v>0.4166666667</v>
      </c>
      <c r="U317" s="4" t="str">
        <f>IFERROR(__xludf.DUMMYFUNCTION("""COMPUTED_VALUE"""),"Cardápio Web")</f>
        <v>Cardápio Web</v>
      </c>
      <c r="V317" s="33">
        <f>IFERROR(__xludf.DUMMYFUNCTION("""COMPUTED_VALUE"""),0.3333333333333333)</f>
        <v>0.3333333333</v>
      </c>
      <c r="W317" s="4" t="str">
        <f>IFERROR(__xludf.DUMMYFUNCTION("""COMPUTED_VALUE"""),"Cardápio Web")</f>
        <v>Cardápio Web</v>
      </c>
      <c r="X317" s="33">
        <f>IFERROR(__xludf.DUMMYFUNCTION("""COMPUTED_VALUE"""),0.3333333333333333)</f>
        <v>0.3333333333</v>
      </c>
    </row>
    <row r="318">
      <c r="A318" s="4" t="str">
        <f>IFERROR(__xludf.DUMMYFUNCTION("""COMPUTED_VALUE"""),"Grupo Ito")</f>
        <v>Grupo Ito</v>
      </c>
      <c r="B318" s="4">
        <f>IFERROR(__xludf.DUMMYFUNCTION("""COMPUTED_VALUE"""),21.0)</f>
        <v>21</v>
      </c>
      <c r="C318" s="30">
        <f>IFERROR(__xludf.DUMMYFUNCTION("""COMPUTED_VALUE"""),79.0)</f>
        <v>79</v>
      </c>
      <c r="D318" s="4" t="str">
        <f>IFERROR(__xludf.DUMMYFUNCTION("""COMPUTED_VALUE"""),"Grupo Multi-marca")</f>
        <v>Grupo Multi-marca</v>
      </c>
      <c r="E318" s="4" t="str">
        <f>IFERROR(__xludf.DUMMYFUNCTION("""COMPUTED_VALUE"""),"Rio de Janeiro/RJ")</f>
        <v>Rio de Janeiro/RJ</v>
      </c>
      <c r="F318" s="4" t="str">
        <f>IFERROR(__xludf.DUMMYFUNCTION("""COMPUTED_VALUE"""),"Dado não disponível publicamente - Necessário Discovery")</f>
        <v>Dado não disponível publicamente - Necessário Discovery</v>
      </c>
      <c r="G318" s="4">
        <f>IFERROR(__xludf.DUMMYFUNCTION("""COMPUTED_VALUE"""),45.0)</f>
        <v>45</v>
      </c>
      <c r="H318" s="31">
        <f>IFERROR(__xludf.DUMMYFUNCTION("""COMPUTED_VALUE"""),0.55)</f>
        <v>0.55</v>
      </c>
      <c r="I318"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18" s="4" t="str">
        <f>IFERROR(__xludf.DUMMYFUNCTION("""COMPUTED_VALUE"""),"DOM LUCCA")</f>
        <v>DOM LUCCA</v>
      </c>
      <c r="L318" s="32">
        <f>IFERROR(__xludf.DUMMYFUNCTION("""COMPUTED_VALUE"""),24.0)</f>
        <v>24</v>
      </c>
      <c r="M318" s="4" t="str">
        <f>IFERROR(__xludf.DUMMYFUNCTION("""COMPUTED_VALUE"""),"Saipos Serviços De Software")</f>
        <v>Saipos Serviços De Software</v>
      </c>
      <c r="N318" s="33">
        <f>IFERROR(__xludf.DUMMYFUNCTION("""COMPUTED_VALUE"""),1.0)</f>
        <v>1</v>
      </c>
      <c r="O318" s="4" t="str">
        <f>IFERROR(__xludf.DUMMYFUNCTION("""COMPUTED_VALUE"""),"Saipos Serviços De Software")</f>
        <v>Saipos Serviços De Software</v>
      </c>
      <c r="P318" s="33">
        <f>IFERROR(__xludf.DUMMYFUNCTION("""COMPUTED_VALUE"""),1.0)</f>
        <v>1</v>
      </c>
      <c r="Q318" s="4" t="str">
        <f>IFERROR(__xludf.DUMMYFUNCTION("""COMPUTED_VALUE"""),"Saipos Serviços De Software")</f>
        <v>Saipos Serviços De Software</v>
      </c>
      <c r="R318" s="33">
        <f>IFERROR(__xludf.DUMMYFUNCTION("""COMPUTED_VALUE"""),0.9583333333333334)</f>
        <v>0.9583333333</v>
      </c>
      <c r="S318" s="4" t="str">
        <f>IFERROR(__xludf.DUMMYFUNCTION("""COMPUTED_VALUE"""),"Saipos Serviços De Software")</f>
        <v>Saipos Serviços De Software</v>
      </c>
      <c r="T318" s="33">
        <f>IFERROR(__xludf.DUMMYFUNCTION("""COMPUTED_VALUE"""),0.9583333333333334)</f>
        <v>0.9583333333</v>
      </c>
      <c r="U318" s="4" t="str">
        <f>IFERROR(__xludf.DUMMYFUNCTION("""COMPUTED_VALUE"""),"Saipos Serviços De Software")</f>
        <v>Saipos Serviços De Software</v>
      </c>
      <c r="V318" s="33">
        <f>IFERROR(__xludf.DUMMYFUNCTION("""COMPUTED_VALUE"""),0.9583333333333334)</f>
        <v>0.9583333333</v>
      </c>
      <c r="W318" s="4" t="str">
        <f>IFERROR(__xludf.DUMMYFUNCTION("""COMPUTED_VALUE"""),"Saipos Serviços De Software")</f>
        <v>Saipos Serviços De Software</v>
      </c>
      <c r="X318" s="33">
        <f>IFERROR(__xludf.DUMMYFUNCTION("""COMPUTED_VALUE"""),0.9583333333333334)</f>
        <v>0.9583333333</v>
      </c>
    </row>
    <row r="319">
      <c r="A319" s="4" t="str">
        <f>IFERROR(__xludf.DUMMYFUNCTION("""COMPUTED_VALUE"""),"Grupo Iz")</f>
        <v>Grupo Iz</v>
      </c>
      <c r="B319" s="4">
        <f>IFERROR(__xludf.DUMMYFUNCTION("""COMPUTED_VALUE"""),14.0)</f>
        <v>14</v>
      </c>
      <c r="C319" s="30">
        <f>IFERROR(__xludf.DUMMYFUNCTION("""COMPUTED_VALUE"""),102.0)</f>
        <v>102</v>
      </c>
      <c r="D319" s="4" t="str">
        <f>IFERROR(__xludf.DUMMYFUNCTION("""COMPUTED_VALUE"""),"Grupo Multi-marca")</f>
        <v>Grupo Multi-marca</v>
      </c>
      <c r="E319" s="4" t="str">
        <f>IFERROR(__xludf.DUMMYFUNCTION("""COMPUTED_VALUE"""),"Regional")</f>
        <v>Regional</v>
      </c>
      <c r="F319" s="4" t="str">
        <f>IFERROR(__xludf.DUMMYFUNCTION("""COMPUTED_VALUE"""),"Dado não disponível publicamente - Necessário Discovery")</f>
        <v>Dado não disponível publicamente - Necessário Discovery</v>
      </c>
      <c r="G319" s="4">
        <f>IFERROR(__xludf.DUMMYFUNCTION("""COMPUTED_VALUE"""),40.0)</f>
        <v>40</v>
      </c>
      <c r="H319" s="31">
        <f>IFERROR(__xludf.DUMMYFUNCTION("""COMPUTED_VALUE"""),0.55)</f>
        <v>0.55</v>
      </c>
      <c r="I319"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19" s="4" t="str">
        <f>IFERROR(__xludf.DUMMYFUNCTION("""COMPUTED_VALUE"""),"DROGARIA E FARMACIA MONICA- CONTA PAI")</f>
        <v>DROGARIA E FARMACIA MONICA- CONTA PAI</v>
      </c>
      <c r="L319" s="32">
        <f>IFERROR(__xludf.DUMMYFUNCTION("""COMPUTED_VALUE"""),24.0)</f>
        <v>24</v>
      </c>
      <c r="M319" s="4" t="str">
        <f>IFERROR(__xludf.DUMMYFUNCTION("""COMPUTED_VALUE"""),"N/A (Not found)")</f>
        <v>N/A (Not found)</v>
      </c>
      <c r="N319" s="33">
        <f>IFERROR(__xludf.DUMMYFUNCTION("""COMPUTED_VALUE"""),0.9583333333333334)</f>
        <v>0.9583333333</v>
      </c>
      <c r="O319" s="4" t="str">
        <f>IFERROR(__xludf.DUMMYFUNCTION("""COMPUTED_VALUE"""),"N/A (Not found)")</f>
        <v>N/A (Not found)</v>
      </c>
      <c r="P319" s="33">
        <f>IFERROR(__xludf.DUMMYFUNCTION("""COMPUTED_VALUE"""),0.9583333333333334)</f>
        <v>0.9583333333</v>
      </c>
      <c r="Q319" s="4" t="str">
        <f>IFERROR(__xludf.DUMMYFUNCTION("""COMPUTED_VALUE"""),"N/A (Not found)")</f>
        <v>N/A (Not found)</v>
      </c>
      <c r="R319" s="33">
        <f>IFERROR(__xludf.DUMMYFUNCTION("""COMPUTED_VALUE"""),0.9583333333333334)</f>
        <v>0.9583333333</v>
      </c>
      <c r="S319" s="4" t="str">
        <f>IFERROR(__xludf.DUMMYFUNCTION("""COMPUTED_VALUE"""),"N/A (Not found)")</f>
        <v>N/A (Not found)</v>
      </c>
      <c r="T319" s="33">
        <f>IFERROR(__xludf.DUMMYFUNCTION("""COMPUTED_VALUE"""),0.9583333333333334)</f>
        <v>0.9583333333</v>
      </c>
      <c r="U319" s="4" t="str">
        <f>IFERROR(__xludf.DUMMYFUNCTION("""COMPUTED_VALUE"""),"N/A (Not found)")</f>
        <v>N/A (Not found)</v>
      </c>
      <c r="V319" s="33">
        <f>IFERROR(__xludf.DUMMYFUNCTION("""COMPUTED_VALUE"""),1.0)</f>
        <v>1</v>
      </c>
      <c r="W319" s="4" t="str">
        <f>IFERROR(__xludf.DUMMYFUNCTION("""COMPUTED_VALUE"""),"N/A (Not found)")</f>
        <v>N/A (Not found)</v>
      </c>
      <c r="X319" s="33">
        <f>IFERROR(__xludf.DUMMYFUNCTION("""COMPUTED_VALUE"""),0.9583333333333334)</f>
        <v>0.9583333333</v>
      </c>
    </row>
    <row r="320">
      <c r="A320" s="4" t="str">
        <f>IFERROR(__xludf.DUMMYFUNCTION("""COMPUTED_VALUE"""),"Grupo Lago")</f>
        <v>Grupo Lago</v>
      </c>
      <c r="B320" s="4">
        <f>IFERROR(__xludf.DUMMYFUNCTION("""COMPUTED_VALUE"""),25.0)</f>
        <v>25</v>
      </c>
      <c r="C320" s="30">
        <f>IFERROR(__xludf.DUMMYFUNCTION("""COMPUTED_VALUE"""),106.0)</f>
        <v>106</v>
      </c>
      <c r="D320" s="4" t="str">
        <f>IFERROR(__xludf.DUMMYFUNCTION("""COMPUTED_VALUE"""),"Grupo Multi-marca")</f>
        <v>Grupo Multi-marca</v>
      </c>
      <c r="E320" s="4" t="str">
        <f>IFERROR(__xludf.DUMMYFUNCTION("""COMPUTED_VALUE"""),"Brasília/DF")</f>
        <v>Brasília/DF</v>
      </c>
      <c r="F320" s="4" t="str">
        <f>IFERROR(__xludf.DUMMYFUNCTION("""COMPUTED_VALUE"""),"Dado não disponível publicamente - Necessário Discovery")</f>
        <v>Dado não disponível publicamente - Necessário Discovery</v>
      </c>
      <c r="G320" s="4">
        <f>IFERROR(__xludf.DUMMYFUNCTION("""COMPUTED_VALUE"""),45.0)</f>
        <v>45</v>
      </c>
      <c r="H320" s="31">
        <f>IFERROR(__xludf.DUMMYFUNCTION("""COMPUTED_VALUE"""),0.55)</f>
        <v>0.55</v>
      </c>
      <c r="I320"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20" s="4" t="str">
        <f>IFERROR(__xludf.DUMMYFUNCTION("""COMPUTED_VALUE"""),"LANLAN - CONTA MARCA")</f>
        <v>LANLAN - CONTA MARCA</v>
      </c>
      <c r="L320" s="32">
        <f>IFERROR(__xludf.DUMMYFUNCTION("""COMPUTED_VALUE"""),24.0)</f>
        <v>24</v>
      </c>
      <c r="M320" s="4" t="str">
        <f>IFERROR(__xludf.DUMMYFUNCTION("""COMPUTED_VALUE"""),"Izzy Way Tecnologia")</f>
        <v>Izzy Way Tecnologia</v>
      </c>
      <c r="N320" s="33">
        <f>IFERROR(__xludf.DUMMYFUNCTION("""COMPUTED_VALUE"""),0.9583333333333334)</f>
        <v>0.9583333333</v>
      </c>
      <c r="O320" s="4" t="str">
        <f>IFERROR(__xludf.DUMMYFUNCTION("""COMPUTED_VALUE"""),"Izzy Way Tecnologia")</f>
        <v>Izzy Way Tecnologia</v>
      </c>
      <c r="P320" s="33">
        <f>IFERROR(__xludf.DUMMYFUNCTION("""COMPUTED_VALUE"""),1.0)</f>
        <v>1</v>
      </c>
      <c r="Q320" s="4" t="str">
        <f>IFERROR(__xludf.DUMMYFUNCTION("""COMPUTED_VALUE"""),"Izzy Way Tecnologia")</f>
        <v>Izzy Way Tecnologia</v>
      </c>
      <c r="R320" s="33">
        <f>IFERROR(__xludf.DUMMYFUNCTION("""COMPUTED_VALUE"""),0.875)</f>
        <v>0.875</v>
      </c>
      <c r="S320" s="4" t="str">
        <f>IFERROR(__xludf.DUMMYFUNCTION("""COMPUTED_VALUE"""),"Izzy Way Tecnologia")</f>
        <v>Izzy Way Tecnologia</v>
      </c>
      <c r="T320" s="33">
        <f>IFERROR(__xludf.DUMMYFUNCTION("""COMPUTED_VALUE"""),0.9583333333333334)</f>
        <v>0.9583333333</v>
      </c>
      <c r="U320" s="4" t="str">
        <f>IFERROR(__xludf.DUMMYFUNCTION("""COMPUTED_VALUE"""),"Izzy Way Tecnologia")</f>
        <v>Izzy Way Tecnologia</v>
      </c>
      <c r="V320" s="33">
        <f>IFERROR(__xludf.DUMMYFUNCTION("""COMPUTED_VALUE"""),0.9583333333333334)</f>
        <v>0.9583333333</v>
      </c>
      <c r="W320" s="4" t="str">
        <f>IFERROR(__xludf.DUMMYFUNCTION("""COMPUTED_VALUE"""),"Izzy Way Tecnologia")</f>
        <v>Izzy Way Tecnologia</v>
      </c>
      <c r="X320" s="33">
        <f>IFERROR(__xludf.DUMMYFUNCTION("""COMPUTED_VALUE"""),0.9583333333333334)</f>
        <v>0.9583333333</v>
      </c>
    </row>
    <row r="321">
      <c r="A321" s="4" t="str">
        <f>IFERROR(__xludf.DUMMYFUNCTION("""COMPUTED_VALUE"""),"Grupo Lanchão Cia")</f>
        <v>Grupo Lanchão Cia</v>
      </c>
      <c r="B321" s="4">
        <f>IFERROR(__xludf.DUMMYFUNCTION("""COMPUTED_VALUE"""),10.0)</f>
        <v>10</v>
      </c>
      <c r="C321" s="30">
        <f>IFERROR(__xludf.DUMMYFUNCTION("""COMPUTED_VALUE"""),81.0)</f>
        <v>81</v>
      </c>
      <c r="D321" s="4" t="str">
        <f>IFERROR(__xludf.DUMMYFUNCTION("""COMPUTED_VALUE"""),"Grupo Multi-marca")</f>
        <v>Grupo Multi-marca</v>
      </c>
      <c r="E321" s="4" t="str">
        <f>IFERROR(__xludf.DUMMYFUNCTION("""COMPUTED_VALUE"""),"Rio de Janeiro/RJ")</f>
        <v>Rio de Janeiro/RJ</v>
      </c>
      <c r="F321" s="4" t="str">
        <f>IFERROR(__xludf.DUMMYFUNCTION("""COMPUTED_VALUE"""),"Dado não disponível publicamente - Necessário Discovery")</f>
        <v>Dado não disponível publicamente - Necessário Discovery</v>
      </c>
      <c r="G321" s="4">
        <f>IFERROR(__xludf.DUMMYFUNCTION("""COMPUTED_VALUE"""),40.0)</f>
        <v>40</v>
      </c>
      <c r="H321" s="31">
        <f>IFERROR(__xludf.DUMMYFUNCTION("""COMPUTED_VALUE"""),0.55)</f>
        <v>0.55</v>
      </c>
      <c r="I321"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21" s="4" t="str">
        <f>IFERROR(__xludf.DUMMYFUNCTION("""COMPUTED_VALUE"""),"LIVUP")</f>
        <v>LIVUP</v>
      </c>
      <c r="L321" s="32">
        <f>IFERROR(__xludf.DUMMYFUNCTION("""COMPUTED_VALUE"""),24.0)</f>
        <v>24</v>
      </c>
      <c r="M321" s="4" t="str">
        <f>IFERROR(__xludf.DUMMYFUNCTION("""COMPUTED_VALUE"""),"Liv Up Comercio De Alimentos Ltda")</f>
        <v>Liv Up Comercio De Alimentos Ltda</v>
      </c>
      <c r="N321" s="33">
        <f>IFERROR(__xludf.DUMMYFUNCTION("""COMPUTED_VALUE"""),0.8333333333333334)</f>
        <v>0.8333333333</v>
      </c>
      <c r="O321" s="4" t="str">
        <f>IFERROR(__xludf.DUMMYFUNCTION("""COMPUTED_VALUE"""),"Liv Up Comercio De Alimentos Ltda")</f>
        <v>Liv Up Comercio De Alimentos Ltda</v>
      </c>
      <c r="P321" s="33">
        <f>IFERROR(__xludf.DUMMYFUNCTION("""COMPUTED_VALUE"""),0.8333333333333334)</f>
        <v>0.8333333333</v>
      </c>
      <c r="Q321" s="4" t="str">
        <f>IFERROR(__xludf.DUMMYFUNCTION("""COMPUTED_VALUE"""),"Liv Up Comercio De Alimentos Ltda")</f>
        <v>Liv Up Comercio De Alimentos Ltda</v>
      </c>
      <c r="R321" s="33">
        <f>IFERROR(__xludf.DUMMYFUNCTION("""COMPUTED_VALUE"""),0.9583333333333334)</f>
        <v>0.9583333333</v>
      </c>
      <c r="S321" s="4" t="str">
        <f>IFERROR(__xludf.DUMMYFUNCTION("""COMPUTED_VALUE"""),"Liv Up Comercio De Alimentos Ltda")</f>
        <v>Liv Up Comercio De Alimentos Ltda</v>
      </c>
      <c r="T321" s="33">
        <f>IFERROR(__xludf.DUMMYFUNCTION("""COMPUTED_VALUE"""),0.9583333333333334)</f>
        <v>0.9583333333</v>
      </c>
      <c r="U321" s="4" t="str">
        <f>IFERROR(__xludf.DUMMYFUNCTION("""COMPUTED_VALUE"""),"Liv Up Comercio De Alimentos Ltda")</f>
        <v>Liv Up Comercio De Alimentos Ltda</v>
      </c>
      <c r="V321" s="33">
        <f>IFERROR(__xludf.DUMMYFUNCTION("""COMPUTED_VALUE"""),0.9583333333333334)</f>
        <v>0.9583333333</v>
      </c>
      <c r="W321" s="4" t="str">
        <f>IFERROR(__xludf.DUMMYFUNCTION("""COMPUTED_VALUE"""),"Liv Up Comercio De Alimentos Ltda")</f>
        <v>Liv Up Comercio De Alimentos Ltda</v>
      </c>
      <c r="X321" s="33">
        <f>IFERROR(__xludf.DUMMYFUNCTION("""COMPUTED_VALUE"""),0.9583333333333334)</f>
        <v>0.9583333333</v>
      </c>
    </row>
    <row r="322">
      <c r="A322" s="4" t="str">
        <f>IFERROR(__xludf.DUMMYFUNCTION("""COMPUTED_VALUE"""),"Grupo Matilda")</f>
        <v>Grupo Matilda</v>
      </c>
      <c r="B322" s="4">
        <f>IFERROR(__xludf.DUMMYFUNCTION("""COMPUTED_VALUE"""),15.0)</f>
        <v>15</v>
      </c>
      <c r="C322" s="30">
        <f>IFERROR(__xludf.DUMMYFUNCTION("""COMPUTED_VALUE"""),125.0)</f>
        <v>125</v>
      </c>
      <c r="D322" s="4" t="str">
        <f>IFERROR(__xludf.DUMMYFUNCTION("""COMPUTED_VALUE"""),"Grupo Multi-marca")</f>
        <v>Grupo Multi-marca</v>
      </c>
      <c r="E322" s="4" t="str">
        <f>IFERROR(__xludf.DUMMYFUNCTION("""COMPUTED_VALUE"""),"Nordeste")</f>
        <v>Nordeste</v>
      </c>
      <c r="F322" s="4" t="str">
        <f>IFERROR(__xludf.DUMMYFUNCTION("""COMPUTED_VALUE"""),"Dado não disponível publicamente - Necessário Discovery")</f>
        <v>Dado não disponível publicamente - Necessário Discovery</v>
      </c>
      <c r="G322" s="4">
        <f>IFERROR(__xludf.DUMMYFUNCTION("""COMPUTED_VALUE"""),40.0)</f>
        <v>40</v>
      </c>
      <c r="H322" s="31">
        <f>IFERROR(__xludf.DUMMYFUNCTION("""COMPUTED_VALUE"""),0.55)</f>
        <v>0.55</v>
      </c>
      <c r="I322"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22" s="4" t="str">
        <f>IFERROR(__xludf.DUMMYFUNCTION("""COMPUTED_VALUE"""),"OLIVERS - CP")</f>
        <v>OLIVERS - CP</v>
      </c>
      <c r="L322" s="32">
        <f>IFERROR(__xludf.DUMMYFUNCTION("""COMPUTED_VALUE"""),24.0)</f>
        <v>24</v>
      </c>
      <c r="M322" s="4" t="str">
        <f>IFERROR(__xludf.DUMMYFUNCTION("""COMPUTED_VALUE"""),"Saipos Serviços De Software")</f>
        <v>Saipos Serviços De Software</v>
      </c>
      <c r="N322" s="33">
        <f>IFERROR(__xludf.DUMMYFUNCTION("""COMPUTED_VALUE"""),0.9583333333333334)</f>
        <v>0.9583333333</v>
      </c>
      <c r="O322" s="4" t="str">
        <f>IFERROR(__xludf.DUMMYFUNCTION("""COMPUTED_VALUE"""),"Saipos Serviços De Software")</f>
        <v>Saipos Serviços De Software</v>
      </c>
      <c r="P322" s="33">
        <f>IFERROR(__xludf.DUMMYFUNCTION("""COMPUTED_VALUE"""),0.9583333333333334)</f>
        <v>0.9583333333</v>
      </c>
      <c r="Q322" s="4" t="str">
        <f>IFERROR(__xludf.DUMMYFUNCTION("""COMPUTED_VALUE"""),"Saipos Serviços De Software")</f>
        <v>Saipos Serviços De Software</v>
      </c>
      <c r="R322" s="33">
        <f>IFERROR(__xludf.DUMMYFUNCTION("""COMPUTED_VALUE"""),0.9583333333333334)</f>
        <v>0.9583333333</v>
      </c>
      <c r="S322" s="4" t="str">
        <f>IFERROR(__xludf.DUMMYFUNCTION("""COMPUTED_VALUE"""),"Saipos Serviços De Software")</f>
        <v>Saipos Serviços De Software</v>
      </c>
      <c r="T322" s="33">
        <f>IFERROR(__xludf.DUMMYFUNCTION("""COMPUTED_VALUE"""),0.9166666666666666)</f>
        <v>0.9166666667</v>
      </c>
      <c r="U322" s="4" t="str">
        <f>IFERROR(__xludf.DUMMYFUNCTION("""COMPUTED_VALUE"""),"Saipos Serviços De Software")</f>
        <v>Saipos Serviços De Software</v>
      </c>
      <c r="V322" s="33">
        <f>IFERROR(__xludf.DUMMYFUNCTION("""COMPUTED_VALUE"""),0.9166666666666666)</f>
        <v>0.9166666667</v>
      </c>
      <c r="W322" s="4" t="str">
        <f>IFERROR(__xludf.DUMMYFUNCTION("""COMPUTED_VALUE"""),"Saipos Serviços De Software")</f>
        <v>Saipos Serviços De Software</v>
      </c>
      <c r="X322" s="33">
        <f>IFERROR(__xludf.DUMMYFUNCTION("""COMPUTED_VALUE"""),0.9166666666666666)</f>
        <v>0.9166666667</v>
      </c>
    </row>
    <row r="323">
      <c r="A323" s="4" t="str">
        <f>IFERROR(__xludf.DUMMYFUNCTION("""COMPUTED_VALUE"""),"Grupo Mono (Sunomono)")</f>
        <v>Grupo Mono (Sunomono)</v>
      </c>
      <c r="B323" s="4">
        <f>IFERROR(__xludf.DUMMYFUNCTION("""COMPUTED_VALUE"""),18.0)</f>
        <v>18</v>
      </c>
      <c r="C323" s="30">
        <f>IFERROR(__xludf.DUMMYFUNCTION("""COMPUTED_VALUE"""),124.0)</f>
        <v>124</v>
      </c>
      <c r="D323" s="4" t="str">
        <f>IFERROR(__xludf.DUMMYFUNCTION("""COMPUTED_VALUE"""),"Grupo Multi-marca")</f>
        <v>Grupo Multi-marca</v>
      </c>
      <c r="E323" s="4" t="str">
        <f>IFERROR(__xludf.DUMMYFUNCTION("""COMPUTED_VALUE"""),"Regional")</f>
        <v>Regional</v>
      </c>
      <c r="F323" s="4" t="str">
        <f>IFERROR(__xludf.DUMMYFUNCTION("""COMPUTED_VALUE"""),"Dado não disponível publicamente - Necessário Discovery")</f>
        <v>Dado não disponível publicamente - Necessário Discovery</v>
      </c>
      <c r="G323" s="4">
        <f>IFERROR(__xludf.DUMMYFUNCTION("""COMPUTED_VALUE"""),40.0)</f>
        <v>40</v>
      </c>
      <c r="H323" s="31">
        <f>IFERROR(__xludf.DUMMYFUNCTION("""COMPUTED_VALUE"""),0.55)</f>
        <v>0.55</v>
      </c>
      <c r="I323"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23" s="4" t="str">
        <f>IFERROR(__xludf.DUMMYFUNCTION("""COMPUTED_VALUE"""),"PIBUS HAMBURGER")</f>
        <v>PIBUS HAMBURGER</v>
      </c>
      <c r="L323" s="32">
        <f>IFERROR(__xludf.DUMMYFUNCTION("""COMPUTED_VALUE"""),24.0)</f>
        <v>24</v>
      </c>
      <c r="M323" s="4" t="str">
        <f>IFERROR(__xludf.DUMMYFUNCTION("""COMPUTED_VALUE"""),"Garcom Web")</f>
        <v>Garcom Web</v>
      </c>
      <c r="N323" s="33">
        <f>IFERROR(__xludf.DUMMYFUNCTION("""COMPUTED_VALUE"""),0.375)</f>
        <v>0.375</v>
      </c>
      <c r="O323" s="4" t="str">
        <f>IFERROR(__xludf.DUMMYFUNCTION("""COMPUTED_VALUE"""),"null")</f>
        <v>null</v>
      </c>
      <c r="P323" s="33">
        <f>IFERROR(__xludf.DUMMYFUNCTION("""COMPUTED_VALUE"""),0.375)</f>
        <v>0.375</v>
      </c>
      <c r="Q323" s="4" t="str">
        <f>IFERROR(__xludf.DUMMYFUNCTION("""COMPUTED_VALUE"""),"Grk Soluções Informatica Eireli")</f>
        <v>Grk Soluções Informatica Eireli</v>
      </c>
      <c r="R323" s="33">
        <f>IFERROR(__xludf.DUMMYFUNCTION("""COMPUTED_VALUE"""),0.25)</f>
        <v>0.25</v>
      </c>
      <c r="S323" s="4" t="str">
        <f>IFERROR(__xludf.DUMMYFUNCTION("""COMPUTED_VALUE"""),"null")</f>
        <v>null</v>
      </c>
      <c r="T323" s="33">
        <f>IFERROR(__xludf.DUMMYFUNCTION("""COMPUTED_VALUE"""),0.2916666666666667)</f>
        <v>0.2916666667</v>
      </c>
      <c r="U323" s="4" t="str">
        <f>IFERROR(__xludf.DUMMYFUNCTION("""COMPUTED_VALUE"""),"null")</f>
        <v>null</v>
      </c>
      <c r="V323" s="33">
        <f>IFERROR(__xludf.DUMMYFUNCTION("""COMPUTED_VALUE"""),0.2916666666666667)</f>
        <v>0.2916666667</v>
      </c>
      <c r="W323" s="4" t="str">
        <f>IFERROR(__xludf.DUMMYFUNCTION("""COMPUTED_VALUE"""),"null")</f>
        <v>null</v>
      </c>
      <c r="X323" s="33">
        <f>IFERROR(__xludf.DUMMYFUNCTION("""COMPUTED_VALUE"""),0.2916666666666667)</f>
        <v>0.2916666667</v>
      </c>
    </row>
    <row r="324">
      <c r="A324" s="4" t="str">
        <f>IFERROR(__xludf.DUMMYFUNCTION("""COMPUTED_VALUE"""),"Grupo Mori")</f>
        <v>Grupo Mori</v>
      </c>
      <c r="B324" s="4">
        <f>IFERROR(__xludf.DUMMYFUNCTION("""COMPUTED_VALUE"""),24.0)</f>
        <v>24</v>
      </c>
      <c r="C324" s="30">
        <f>IFERROR(__xludf.DUMMYFUNCTION("""COMPUTED_VALUE"""),110.0)</f>
        <v>110</v>
      </c>
      <c r="D324" s="4" t="str">
        <f>IFERROR(__xludf.DUMMYFUNCTION("""COMPUTED_VALUE"""),"Grupo Multi-marca")</f>
        <v>Grupo Multi-marca</v>
      </c>
      <c r="E324" s="4" t="str">
        <f>IFERROR(__xludf.DUMMYFUNCTION("""COMPUTED_VALUE"""),"São Paulo/SP")</f>
        <v>São Paulo/SP</v>
      </c>
      <c r="F324" s="4" t="str">
        <f>IFERROR(__xludf.DUMMYFUNCTION("""COMPUTED_VALUE"""),"Dado não disponível publicamente - Necessário Discovery")</f>
        <v>Dado não disponível publicamente - Necessário Discovery</v>
      </c>
      <c r="G324" s="4">
        <f>IFERROR(__xludf.DUMMYFUNCTION("""COMPUTED_VALUE"""),45.0)</f>
        <v>45</v>
      </c>
      <c r="H324" s="31">
        <f>IFERROR(__xludf.DUMMYFUNCTION("""COMPUTED_VALUE"""),0.55)</f>
        <v>0.55</v>
      </c>
      <c r="I324"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24" s="4" t="str">
        <f>IFERROR(__xludf.DUMMYFUNCTION("""COMPUTED_VALUE"""),"CASA DA PIZZA")</f>
        <v>CASA DA PIZZA</v>
      </c>
      <c r="L324" s="32">
        <f>IFERROR(__xludf.DUMMYFUNCTION("""COMPUTED_VALUE"""),23.0)</f>
        <v>23</v>
      </c>
      <c r="M324" s="4" t="str">
        <f>IFERROR(__xludf.DUMMYFUNCTION("""COMPUTED_VALUE"""),"Saipos Serviços De Software")</f>
        <v>Saipos Serviços De Software</v>
      </c>
      <c r="N324" s="33">
        <f>IFERROR(__xludf.DUMMYFUNCTION("""COMPUTED_VALUE"""),0.21739130434782608)</f>
        <v>0.2173913043</v>
      </c>
      <c r="O324" s="4" t="str">
        <f>IFERROR(__xludf.DUMMYFUNCTION("""COMPUTED_VALUE"""),"Saipos Serviços De Software")</f>
        <v>Saipos Serviços De Software</v>
      </c>
      <c r="P324" s="33">
        <f>IFERROR(__xludf.DUMMYFUNCTION("""COMPUTED_VALUE"""),0.21739130434782608)</f>
        <v>0.2173913043</v>
      </c>
      <c r="Q324" s="4" t="str">
        <f>IFERROR(__xludf.DUMMYFUNCTION("""COMPUTED_VALUE"""),"Saipos Serviços De Software")</f>
        <v>Saipos Serviços De Software</v>
      </c>
      <c r="R324" s="33">
        <f>IFERROR(__xludf.DUMMYFUNCTION("""COMPUTED_VALUE"""),0.2608695652173913)</f>
        <v>0.2608695652</v>
      </c>
      <c r="S324" s="4" t="str">
        <f>IFERROR(__xludf.DUMMYFUNCTION("""COMPUTED_VALUE"""),"Saipos Serviços De Software")</f>
        <v>Saipos Serviços De Software</v>
      </c>
      <c r="T324" s="33">
        <f>IFERROR(__xludf.DUMMYFUNCTION("""COMPUTED_VALUE"""),0.30434782608695654)</f>
        <v>0.3043478261</v>
      </c>
      <c r="U324" s="4" t="str">
        <f>IFERROR(__xludf.DUMMYFUNCTION("""COMPUTED_VALUE"""),"Saipos Serviços De Software")</f>
        <v>Saipos Serviços De Software</v>
      </c>
      <c r="V324" s="33">
        <f>IFERROR(__xludf.DUMMYFUNCTION("""COMPUTED_VALUE"""),0.30434782608695654)</f>
        <v>0.3043478261</v>
      </c>
      <c r="W324" s="4" t="str">
        <f>IFERROR(__xludf.DUMMYFUNCTION("""COMPUTED_VALUE"""),"Saipos Serviços De Software")</f>
        <v>Saipos Serviços De Software</v>
      </c>
      <c r="X324" s="33">
        <f>IFERROR(__xludf.DUMMYFUNCTION("""COMPUTED_VALUE"""),0.30434782608695654)</f>
        <v>0.3043478261</v>
      </c>
    </row>
    <row r="325">
      <c r="A325" s="4" t="str">
        <f>IFERROR(__xludf.DUMMYFUNCTION("""COMPUTED_VALUE"""),"Grupo Mult")</f>
        <v>Grupo Mult</v>
      </c>
      <c r="B325" s="4">
        <f>IFERROR(__xludf.DUMMYFUNCTION("""COMPUTED_VALUE"""),18.0)</f>
        <v>18</v>
      </c>
      <c r="C325" s="30">
        <f>IFERROR(__xludf.DUMMYFUNCTION("""COMPUTED_VALUE"""),110.0)</f>
        <v>110</v>
      </c>
      <c r="D325" s="4" t="str">
        <f>IFERROR(__xludf.DUMMYFUNCTION("""COMPUTED_VALUE"""),"Grupo Multi-marca")</f>
        <v>Grupo Multi-marca</v>
      </c>
      <c r="E325" s="4" t="str">
        <f>IFERROR(__xludf.DUMMYFUNCTION("""COMPUTED_VALUE"""),"Sudeste")</f>
        <v>Sudeste</v>
      </c>
      <c r="F325" s="4" t="str">
        <f>IFERROR(__xludf.DUMMYFUNCTION("""COMPUTED_VALUE"""),"Dado não disponível publicamente - Necessário Discovery")</f>
        <v>Dado não disponível publicamente - Necessário Discovery</v>
      </c>
      <c r="G325" s="4">
        <f>IFERROR(__xludf.DUMMYFUNCTION("""COMPUTED_VALUE"""),40.0)</f>
        <v>40</v>
      </c>
      <c r="H325" s="31">
        <f>IFERROR(__xludf.DUMMYFUNCTION("""COMPUTED_VALUE"""),0.55)</f>
        <v>0.55</v>
      </c>
      <c r="I325"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25" s="4" t="str">
        <f>IFERROR(__xludf.DUMMYFUNCTION("""COMPUTED_VALUE"""),"CONTA GRUPO SAO VICENTE E ARENA")</f>
        <v>CONTA GRUPO SAO VICENTE E ARENA</v>
      </c>
      <c r="L325" s="32">
        <f>IFERROR(__xludf.DUMMYFUNCTION("""COMPUTED_VALUE"""),23.0)</f>
        <v>23</v>
      </c>
      <c r="M325" s="4" t="str">
        <f>IFERROR(__xludf.DUMMYFUNCTION("""COMPUTED_VALUE"""),"N/A (Not found)")</f>
        <v>N/A (Not found)</v>
      </c>
      <c r="N325" s="33">
        <f>IFERROR(__xludf.DUMMYFUNCTION("""COMPUTED_VALUE"""),0.9565217391304348)</f>
        <v>0.9565217391</v>
      </c>
      <c r="O325" s="4" t="str">
        <f>IFERROR(__xludf.DUMMYFUNCTION("""COMPUTED_VALUE"""),"N/A (Not found)")</f>
        <v>N/A (Not found)</v>
      </c>
      <c r="P325" s="33">
        <f>IFERROR(__xludf.DUMMYFUNCTION("""COMPUTED_VALUE"""),0.9565217391304348)</f>
        <v>0.9565217391</v>
      </c>
      <c r="Q325" s="4" t="str">
        <f>IFERROR(__xludf.DUMMYFUNCTION("""COMPUTED_VALUE"""),"N/A (Not found)")</f>
        <v>N/A (Not found)</v>
      </c>
      <c r="R325" s="33">
        <f>IFERROR(__xludf.DUMMYFUNCTION("""COMPUTED_VALUE"""),0.9565217391304348)</f>
        <v>0.9565217391</v>
      </c>
      <c r="S325" s="4" t="str">
        <f>IFERROR(__xludf.DUMMYFUNCTION("""COMPUTED_VALUE"""),"N/A (Not found)")</f>
        <v>N/A (Not found)</v>
      </c>
      <c r="T325" s="33">
        <f>IFERROR(__xludf.DUMMYFUNCTION("""COMPUTED_VALUE"""),1.0)</f>
        <v>1</v>
      </c>
      <c r="U325" s="4" t="str">
        <f>IFERROR(__xludf.DUMMYFUNCTION("""COMPUTED_VALUE"""),"N/A (Not found)")</f>
        <v>N/A (Not found)</v>
      </c>
      <c r="V325" s="33">
        <f>IFERROR(__xludf.DUMMYFUNCTION("""COMPUTED_VALUE"""),1.0)</f>
        <v>1</v>
      </c>
      <c r="W325" s="4" t="str">
        <f>IFERROR(__xludf.DUMMYFUNCTION("""COMPUTED_VALUE"""),"N/A (Not found)")</f>
        <v>N/A (Not found)</v>
      </c>
      <c r="X325" s="33">
        <f>IFERROR(__xludf.DUMMYFUNCTION("""COMPUTED_VALUE"""),1.0)</f>
        <v>1</v>
      </c>
    </row>
    <row r="326">
      <c r="A326" s="4" t="str">
        <f>IFERROR(__xludf.DUMMYFUNCTION("""COMPUTED_VALUE"""),"Grupo Nori (Es)")</f>
        <v>Grupo Nori (Es)</v>
      </c>
      <c r="B326" s="4">
        <f>IFERROR(__xludf.DUMMYFUNCTION("""COMPUTED_VALUE"""),16.0)</f>
        <v>16</v>
      </c>
      <c r="C326" s="30">
        <f>IFERROR(__xludf.DUMMYFUNCTION("""COMPUTED_VALUE"""),87.0)</f>
        <v>87</v>
      </c>
      <c r="D326" s="4" t="str">
        <f>IFERROR(__xludf.DUMMYFUNCTION("""COMPUTED_VALUE"""),"Grupo Multi-marca")</f>
        <v>Grupo Multi-marca</v>
      </c>
      <c r="E326" s="4" t="str">
        <f>IFERROR(__xludf.DUMMYFUNCTION("""COMPUTED_VALUE"""),"Nacional")</f>
        <v>Nacional</v>
      </c>
      <c r="F326" s="4" t="str">
        <f>IFERROR(__xludf.DUMMYFUNCTION("""COMPUTED_VALUE"""),"Dado não disponível publicamente - Necessário Discovery")</f>
        <v>Dado não disponível publicamente - Necessário Discovery</v>
      </c>
      <c r="G326" s="4">
        <f>IFERROR(__xludf.DUMMYFUNCTION("""COMPUTED_VALUE"""),40.0)</f>
        <v>40</v>
      </c>
      <c r="H326" s="31">
        <f>IFERROR(__xludf.DUMMYFUNCTION("""COMPUTED_VALUE"""),0.55)</f>
        <v>0.55</v>
      </c>
      <c r="I326"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26" s="4" t="str">
        <f>IFERROR(__xludf.DUMMYFUNCTION("""COMPUTED_VALUE"""),"DANNY COSMETICOS - CONTA MARCA")</f>
        <v>DANNY COSMETICOS - CONTA MARCA</v>
      </c>
      <c r="L326" s="32">
        <f>IFERROR(__xludf.DUMMYFUNCTION("""COMPUTED_VALUE"""),23.0)</f>
        <v>23</v>
      </c>
      <c r="M326" s="4" t="str">
        <f>IFERROR(__xludf.DUMMYFUNCTION("""COMPUTED_VALUE"""),"N/A (Not found)")</f>
        <v>N/A (Not found)</v>
      </c>
      <c r="N326" s="33">
        <f>IFERROR(__xludf.DUMMYFUNCTION("""COMPUTED_VALUE"""),0.8695652173913043)</f>
        <v>0.8695652174</v>
      </c>
      <c r="O326" s="4" t="str">
        <f>IFERROR(__xludf.DUMMYFUNCTION("""COMPUTED_VALUE"""),"N/A (Not found)")</f>
        <v>N/A (Not found)</v>
      </c>
      <c r="P326" s="33">
        <f>IFERROR(__xludf.DUMMYFUNCTION("""COMPUTED_VALUE"""),0.8695652173913043)</f>
        <v>0.8695652174</v>
      </c>
      <c r="Q326" s="4" t="str">
        <f>IFERROR(__xludf.DUMMYFUNCTION("""COMPUTED_VALUE"""),"N/A (Not found)")</f>
        <v>N/A (Not found)</v>
      </c>
      <c r="R326" s="33">
        <f>IFERROR(__xludf.DUMMYFUNCTION("""COMPUTED_VALUE"""),0.8695652173913043)</f>
        <v>0.8695652174</v>
      </c>
      <c r="S326" s="4" t="str">
        <f>IFERROR(__xludf.DUMMYFUNCTION("""COMPUTED_VALUE"""),"N/A (Not found)")</f>
        <v>N/A (Not found)</v>
      </c>
      <c r="T326" s="33">
        <f>IFERROR(__xludf.DUMMYFUNCTION("""COMPUTED_VALUE"""),0.9565217391304348)</f>
        <v>0.9565217391</v>
      </c>
      <c r="U326" s="4" t="str">
        <f>IFERROR(__xludf.DUMMYFUNCTION("""COMPUTED_VALUE"""),"N/A (Not found)")</f>
        <v>N/A (Not found)</v>
      </c>
      <c r="V326" s="33">
        <f>IFERROR(__xludf.DUMMYFUNCTION("""COMPUTED_VALUE"""),0.9565217391304348)</f>
        <v>0.9565217391</v>
      </c>
      <c r="W326" s="4" t="str">
        <f>IFERROR(__xludf.DUMMYFUNCTION("""COMPUTED_VALUE"""),"N/A (Not found)")</f>
        <v>N/A (Not found)</v>
      </c>
      <c r="X326" s="33">
        <f>IFERROR(__xludf.DUMMYFUNCTION("""COMPUTED_VALUE"""),0.9565217391304348)</f>
        <v>0.9565217391</v>
      </c>
    </row>
    <row r="327">
      <c r="A327" s="4" t="str">
        <f>IFERROR(__xludf.DUMMYFUNCTION("""COMPUTED_VALUE"""),"Grupo O Brazeiro")</f>
        <v>Grupo O Brazeiro</v>
      </c>
      <c r="B327" s="4">
        <f>IFERROR(__xludf.DUMMYFUNCTION("""COMPUTED_VALUE"""),25.0)</f>
        <v>25</v>
      </c>
      <c r="C327" s="30">
        <f>IFERROR(__xludf.DUMMYFUNCTION("""COMPUTED_VALUE"""),99.0)</f>
        <v>99</v>
      </c>
      <c r="D327" s="4" t="str">
        <f>IFERROR(__xludf.DUMMYFUNCTION("""COMPUTED_VALUE"""),"Grupo Multi-marca")</f>
        <v>Grupo Multi-marca</v>
      </c>
      <c r="E327" s="4" t="str">
        <f>IFERROR(__xludf.DUMMYFUNCTION("""COMPUTED_VALUE"""),"Interior SP")</f>
        <v>Interior SP</v>
      </c>
      <c r="F327" s="4" t="str">
        <f>IFERROR(__xludf.DUMMYFUNCTION("""COMPUTED_VALUE"""),"Dado não disponível publicamente - Necessário Discovery")</f>
        <v>Dado não disponível publicamente - Necessário Discovery</v>
      </c>
      <c r="G327" s="4">
        <f>IFERROR(__xludf.DUMMYFUNCTION("""COMPUTED_VALUE"""),45.0)</f>
        <v>45</v>
      </c>
      <c r="H327" s="31">
        <f>IFERROR(__xludf.DUMMYFUNCTION("""COMPUTED_VALUE"""),0.55)</f>
        <v>0.55</v>
      </c>
      <c r="I327"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27" s="4" t="str">
        <f>IFERROR(__xludf.DUMMYFUNCTION("""COMPUTED_VALUE"""),"DI NAPOLI PIZZARIA RS")</f>
        <v>DI NAPOLI PIZZARIA RS</v>
      </c>
      <c r="L327" s="32">
        <f>IFERROR(__xludf.DUMMYFUNCTION("""COMPUTED_VALUE"""),23.0)</f>
        <v>23</v>
      </c>
      <c r="M327" s="4" t="str">
        <f>IFERROR(__xludf.DUMMYFUNCTION("""COMPUTED_VALUE"""),"Filialdigital")</f>
        <v>Filialdigital</v>
      </c>
      <c r="N327" s="33">
        <f>IFERROR(__xludf.DUMMYFUNCTION("""COMPUTED_VALUE"""),0.8260869565217391)</f>
        <v>0.8260869565</v>
      </c>
      <c r="O327" s="4" t="str">
        <f>IFERROR(__xludf.DUMMYFUNCTION("""COMPUTED_VALUE"""),"Filialdigital")</f>
        <v>Filialdigital</v>
      </c>
      <c r="P327" s="33">
        <f>IFERROR(__xludf.DUMMYFUNCTION("""COMPUTED_VALUE"""),0.8260869565217391)</f>
        <v>0.8260869565</v>
      </c>
      <c r="Q327" s="4" t="str">
        <f>IFERROR(__xludf.DUMMYFUNCTION("""COMPUTED_VALUE"""),"Filialdigital")</f>
        <v>Filialdigital</v>
      </c>
      <c r="R327" s="33">
        <f>IFERROR(__xludf.DUMMYFUNCTION("""COMPUTED_VALUE"""),0.9565217391304348)</f>
        <v>0.9565217391</v>
      </c>
      <c r="S327" s="4" t="str">
        <f>IFERROR(__xludf.DUMMYFUNCTION("""COMPUTED_VALUE"""),"Filialdigital")</f>
        <v>Filialdigital</v>
      </c>
      <c r="T327" s="33">
        <f>IFERROR(__xludf.DUMMYFUNCTION("""COMPUTED_VALUE"""),0.9130434782608695)</f>
        <v>0.9130434783</v>
      </c>
      <c r="U327" s="4" t="str">
        <f>IFERROR(__xludf.DUMMYFUNCTION("""COMPUTED_VALUE"""),"Filialdigital")</f>
        <v>Filialdigital</v>
      </c>
      <c r="V327" s="33">
        <f>IFERROR(__xludf.DUMMYFUNCTION("""COMPUTED_VALUE"""),0.9130434782608695)</f>
        <v>0.9130434783</v>
      </c>
      <c r="W327" s="4" t="str">
        <f>IFERROR(__xludf.DUMMYFUNCTION("""COMPUTED_VALUE"""),"Filialdigital")</f>
        <v>Filialdigital</v>
      </c>
      <c r="X327" s="33">
        <f>IFERROR(__xludf.DUMMYFUNCTION("""COMPUTED_VALUE"""),0.6956521739130435)</f>
        <v>0.6956521739</v>
      </c>
    </row>
    <row r="328">
      <c r="A328" s="4" t="str">
        <f>IFERROR(__xludf.DUMMYFUNCTION("""COMPUTED_VALUE"""),"Grupo Pizza E Cia")</f>
        <v>Grupo Pizza E Cia</v>
      </c>
      <c r="B328" s="4">
        <f>IFERROR(__xludf.DUMMYFUNCTION("""COMPUTED_VALUE"""),2.0)</f>
        <v>2</v>
      </c>
      <c r="C328" s="30">
        <f>IFERROR(__xludf.DUMMYFUNCTION("""COMPUTED_VALUE"""),85.0)</f>
        <v>85</v>
      </c>
      <c r="D328" s="4" t="str">
        <f>IFERROR(__xludf.DUMMYFUNCTION("""COMPUTED_VALUE"""),"Fast Casual - Pizzaria")</f>
        <v>Fast Casual - Pizzaria</v>
      </c>
      <c r="E328" s="4" t="str">
        <f>IFERROR(__xludf.DUMMYFUNCTION("""COMPUTED_VALUE"""),"Sul")</f>
        <v>Sul</v>
      </c>
      <c r="F328" s="4" t="str">
        <f>IFERROR(__xludf.DUMMYFUNCTION("""COMPUTED_VALUE"""),"Dado não disponível publicamente - Necessário Discovery")</f>
        <v>Dado não disponível publicamente - Necessário Discovery</v>
      </c>
      <c r="G328" s="4">
        <f>IFERROR(__xludf.DUMMYFUNCTION("""COMPUTED_VALUE"""),65.0)</f>
        <v>65</v>
      </c>
      <c r="H328" s="31">
        <f>IFERROR(__xludf.DUMMYFUNCTION("""COMPUTED_VALUE"""),0.75)</f>
        <v>0.75</v>
      </c>
      <c r="I328"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328" s="4" t="str">
        <f>IFERROR(__xludf.DUMMYFUNCTION("""COMPUTED_VALUE"""),"DROGARIA BONGI - CONTA MARCA")</f>
        <v>DROGARIA BONGI - CONTA MARCA</v>
      </c>
      <c r="L328" s="32">
        <f>IFERROR(__xludf.DUMMYFUNCTION("""COMPUTED_VALUE"""),23.0)</f>
        <v>23</v>
      </c>
      <c r="M328" s="4" t="str">
        <f>IFERROR(__xludf.DUMMYFUNCTION("""COMPUTED_VALUE"""),"N/A (Not found)")</f>
        <v>N/A (Not found)</v>
      </c>
      <c r="N328" s="33">
        <f>IFERROR(__xludf.DUMMYFUNCTION("""COMPUTED_VALUE"""),0.9130434782608695)</f>
        <v>0.9130434783</v>
      </c>
      <c r="O328" s="4" t="str">
        <f>IFERROR(__xludf.DUMMYFUNCTION("""COMPUTED_VALUE"""),"N/A (Not found)")</f>
        <v>N/A (Not found)</v>
      </c>
      <c r="P328" s="33">
        <f>IFERROR(__xludf.DUMMYFUNCTION("""COMPUTED_VALUE"""),0.8695652173913043)</f>
        <v>0.8695652174</v>
      </c>
      <c r="Q328" s="4" t="str">
        <f>IFERROR(__xludf.DUMMYFUNCTION("""COMPUTED_VALUE"""),"N/A (Not found)")</f>
        <v>N/A (Not found)</v>
      </c>
      <c r="R328" s="33">
        <f>IFERROR(__xludf.DUMMYFUNCTION("""COMPUTED_VALUE"""),0.9130434782608695)</f>
        <v>0.9130434783</v>
      </c>
      <c r="S328" s="4" t="str">
        <f>IFERROR(__xludf.DUMMYFUNCTION("""COMPUTED_VALUE"""),"N/A (Not found)")</f>
        <v>N/A (Not found)</v>
      </c>
      <c r="T328" s="33">
        <f>IFERROR(__xludf.DUMMYFUNCTION("""COMPUTED_VALUE"""),0.9130434782608695)</f>
        <v>0.9130434783</v>
      </c>
      <c r="U328" s="4" t="str">
        <f>IFERROR(__xludf.DUMMYFUNCTION("""COMPUTED_VALUE"""),"N/A (Not found)")</f>
        <v>N/A (Not found)</v>
      </c>
      <c r="V328" s="33">
        <f>IFERROR(__xludf.DUMMYFUNCTION("""COMPUTED_VALUE"""),0.8695652173913043)</f>
        <v>0.8695652174</v>
      </c>
      <c r="W328" s="4" t="str">
        <f>IFERROR(__xludf.DUMMYFUNCTION("""COMPUTED_VALUE"""),"N/A (Not found)")</f>
        <v>N/A (Not found)</v>
      </c>
      <c r="X328" s="33">
        <f>IFERROR(__xludf.DUMMYFUNCTION("""COMPUTED_VALUE"""),0.8695652173913043)</f>
        <v>0.8695652174</v>
      </c>
    </row>
    <row r="329">
      <c r="A329" s="4" t="str">
        <f>IFERROR(__xludf.DUMMYFUNCTION("""COMPUTED_VALUE"""),"Grupo Qg")</f>
        <v>Grupo Qg</v>
      </c>
      <c r="B329" s="4">
        <f>IFERROR(__xludf.DUMMYFUNCTION("""COMPUTED_VALUE"""),24.0)</f>
        <v>24</v>
      </c>
      <c r="C329" s="30">
        <f>IFERROR(__xludf.DUMMYFUNCTION("""COMPUTED_VALUE"""),114.0)</f>
        <v>114</v>
      </c>
      <c r="D329" s="4" t="str">
        <f>IFERROR(__xludf.DUMMYFUNCTION("""COMPUTED_VALUE"""),"Grupo Multi-marca")</f>
        <v>Grupo Multi-marca</v>
      </c>
      <c r="E329" s="4" t="str">
        <f>IFERROR(__xludf.DUMMYFUNCTION("""COMPUTED_VALUE"""),"Rio de Janeiro/RJ")</f>
        <v>Rio de Janeiro/RJ</v>
      </c>
      <c r="F329" s="4" t="str">
        <f>IFERROR(__xludf.DUMMYFUNCTION("""COMPUTED_VALUE"""),"Dado não disponível publicamente - Necessário Discovery")</f>
        <v>Dado não disponível publicamente - Necessário Discovery</v>
      </c>
      <c r="G329" s="4">
        <f>IFERROR(__xludf.DUMMYFUNCTION("""COMPUTED_VALUE"""),45.0)</f>
        <v>45</v>
      </c>
      <c r="H329" s="31">
        <f>IFERROR(__xludf.DUMMYFUNCTION("""COMPUTED_VALUE"""),0.55)</f>
        <v>0.55</v>
      </c>
      <c r="I329"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29" s="4" t="str">
        <f>IFERROR(__xludf.DUMMYFUNCTION("""COMPUTED_VALUE"""),"DROGARIA BRASIL - CONTA PAI")</f>
        <v>DROGARIA BRASIL - CONTA PAI</v>
      </c>
      <c r="L329" s="32">
        <f>IFERROR(__xludf.DUMMYFUNCTION("""COMPUTED_VALUE"""),23.0)</f>
        <v>23</v>
      </c>
      <c r="M329" s="4" t="str">
        <f>IFERROR(__xludf.DUMMYFUNCTION("""COMPUTED_VALUE"""),"N/A (Not found)")</f>
        <v>N/A (Not found)</v>
      </c>
      <c r="N329" s="33">
        <f>IFERROR(__xludf.DUMMYFUNCTION("""COMPUTED_VALUE"""),0.9565217391304348)</f>
        <v>0.9565217391</v>
      </c>
      <c r="O329" s="4" t="str">
        <f>IFERROR(__xludf.DUMMYFUNCTION("""COMPUTED_VALUE"""),"N/A (Not found)")</f>
        <v>N/A (Not found)</v>
      </c>
      <c r="P329" s="33">
        <f>IFERROR(__xludf.DUMMYFUNCTION("""COMPUTED_VALUE"""),0.9565217391304348)</f>
        <v>0.9565217391</v>
      </c>
      <c r="Q329" s="4" t="str">
        <f>IFERROR(__xludf.DUMMYFUNCTION("""COMPUTED_VALUE"""),"N/A (Not found)")</f>
        <v>N/A (Not found)</v>
      </c>
      <c r="R329" s="33">
        <f>IFERROR(__xludf.DUMMYFUNCTION("""COMPUTED_VALUE"""),0.9565217391304348)</f>
        <v>0.9565217391</v>
      </c>
      <c r="S329" s="4" t="str">
        <f>IFERROR(__xludf.DUMMYFUNCTION("""COMPUTED_VALUE"""),"N/A (Not found)")</f>
        <v>N/A (Not found)</v>
      </c>
      <c r="T329" s="33">
        <f>IFERROR(__xludf.DUMMYFUNCTION("""COMPUTED_VALUE"""),0.9565217391304348)</f>
        <v>0.9565217391</v>
      </c>
      <c r="U329" s="4" t="str">
        <f>IFERROR(__xludf.DUMMYFUNCTION("""COMPUTED_VALUE"""),"N/A (Not found)")</f>
        <v>N/A (Not found)</v>
      </c>
      <c r="V329" s="33">
        <f>IFERROR(__xludf.DUMMYFUNCTION("""COMPUTED_VALUE"""),1.0)</f>
        <v>1</v>
      </c>
      <c r="W329" s="4" t="str">
        <f>IFERROR(__xludf.DUMMYFUNCTION("""COMPUTED_VALUE"""),"N/A (Not found)")</f>
        <v>N/A (Not found)</v>
      </c>
      <c r="X329" s="33">
        <f>IFERROR(__xludf.DUMMYFUNCTION("""COMPUTED_VALUE"""),0.9565217391304348)</f>
        <v>0.9565217391</v>
      </c>
    </row>
    <row r="330">
      <c r="A330" s="4" t="str">
        <f>IFERROR(__xludf.DUMMYFUNCTION("""COMPUTED_VALUE"""),"Grupo Romana")</f>
        <v>Grupo Romana</v>
      </c>
      <c r="B330" s="4">
        <f>IFERROR(__xludf.DUMMYFUNCTION("""COMPUTED_VALUE"""),24.0)</f>
        <v>24</v>
      </c>
      <c r="C330" s="30">
        <f>IFERROR(__xludf.DUMMYFUNCTION("""COMPUTED_VALUE"""),123.0)</f>
        <v>123</v>
      </c>
      <c r="D330" s="4" t="str">
        <f>IFERROR(__xludf.DUMMYFUNCTION("""COMPUTED_VALUE"""),"Grupo Multi-marca")</f>
        <v>Grupo Multi-marca</v>
      </c>
      <c r="E330" s="4" t="str">
        <f>IFERROR(__xludf.DUMMYFUNCTION("""COMPUTED_VALUE"""),"Sudeste")</f>
        <v>Sudeste</v>
      </c>
      <c r="F330" s="4" t="str">
        <f>IFERROR(__xludf.DUMMYFUNCTION("""COMPUTED_VALUE"""),"Dado não disponível publicamente - Necessário Discovery")</f>
        <v>Dado não disponível publicamente - Necessário Discovery</v>
      </c>
      <c r="G330" s="4">
        <f>IFERROR(__xludf.DUMMYFUNCTION("""COMPUTED_VALUE"""),45.0)</f>
        <v>45</v>
      </c>
      <c r="H330" s="31">
        <f>IFERROR(__xludf.DUMMYFUNCTION("""COMPUTED_VALUE"""),0.55)</f>
        <v>0.55</v>
      </c>
      <c r="I330"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30" s="4" t="str">
        <f>IFERROR(__xludf.DUMMYFUNCTION("""COMPUTED_VALUE"""),"EKI")</f>
        <v>EKI</v>
      </c>
      <c r="L330" s="32">
        <f>IFERROR(__xludf.DUMMYFUNCTION("""COMPUTED_VALUE"""),23.0)</f>
        <v>23</v>
      </c>
      <c r="M330" s="4" t="str">
        <f>IFERROR(__xludf.DUMMYFUNCTION("""COMPUTED_VALUE"""),"Saipos Serviços De Software")</f>
        <v>Saipos Serviços De Software</v>
      </c>
      <c r="N330" s="33">
        <f>IFERROR(__xludf.DUMMYFUNCTION("""COMPUTED_VALUE"""),0.6521739130434783)</f>
        <v>0.652173913</v>
      </c>
      <c r="O330" s="4" t="str">
        <f>IFERROR(__xludf.DUMMYFUNCTION("""COMPUTED_VALUE"""),"Saipos Serviços De Software")</f>
        <v>Saipos Serviços De Software</v>
      </c>
      <c r="P330" s="33">
        <f>IFERROR(__xludf.DUMMYFUNCTION("""COMPUTED_VALUE"""),0.6521739130434783)</f>
        <v>0.652173913</v>
      </c>
      <c r="Q330" s="4" t="str">
        <f>IFERROR(__xludf.DUMMYFUNCTION("""COMPUTED_VALUE"""),"Saipos Serviços De Software")</f>
        <v>Saipos Serviços De Software</v>
      </c>
      <c r="R330" s="33">
        <f>IFERROR(__xludf.DUMMYFUNCTION("""COMPUTED_VALUE"""),0.6521739130434783)</f>
        <v>0.652173913</v>
      </c>
      <c r="S330" s="4" t="str">
        <f>IFERROR(__xludf.DUMMYFUNCTION("""COMPUTED_VALUE"""),"Saipos Serviços De Software")</f>
        <v>Saipos Serviços De Software</v>
      </c>
      <c r="T330" s="33">
        <f>IFERROR(__xludf.DUMMYFUNCTION("""COMPUTED_VALUE"""),0.6521739130434783)</f>
        <v>0.652173913</v>
      </c>
      <c r="U330" s="4" t="str">
        <f>IFERROR(__xludf.DUMMYFUNCTION("""COMPUTED_VALUE"""),"Saipos Serviços De Software")</f>
        <v>Saipos Serviços De Software</v>
      </c>
      <c r="V330" s="33">
        <f>IFERROR(__xludf.DUMMYFUNCTION("""COMPUTED_VALUE"""),0.6086956521739131)</f>
        <v>0.6086956522</v>
      </c>
      <c r="W330" s="4" t="str">
        <f>IFERROR(__xludf.DUMMYFUNCTION("""COMPUTED_VALUE"""),"Saipos Serviços De Software")</f>
        <v>Saipos Serviços De Software</v>
      </c>
      <c r="X330" s="33">
        <f>IFERROR(__xludf.DUMMYFUNCTION("""COMPUTED_VALUE"""),0.6086956521739131)</f>
        <v>0.6086956522</v>
      </c>
    </row>
    <row r="331">
      <c r="A331" s="4" t="str">
        <f>IFERROR(__xludf.DUMMYFUNCTION("""COMPUTED_VALUE"""),"Grupo Rueda")</f>
        <v>Grupo Rueda</v>
      </c>
      <c r="B331" s="4">
        <f>IFERROR(__xludf.DUMMYFUNCTION("""COMPUTED_VALUE"""),6.0)</f>
        <v>6</v>
      </c>
      <c r="C331" s="30">
        <f>IFERROR(__xludf.DUMMYFUNCTION("""COMPUTED_VALUE"""),74.0)</f>
        <v>74</v>
      </c>
      <c r="D331" s="4" t="str">
        <f>IFERROR(__xludf.DUMMYFUNCTION("""COMPUTED_VALUE"""),"Grupo Multi-marca")</f>
        <v>Grupo Multi-marca</v>
      </c>
      <c r="E331" s="4" t="str">
        <f>IFERROR(__xludf.DUMMYFUNCTION("""COMPUTED_VALUE"""),"Sul")</f>
        <v>Sul</v>
      </c>
      <c r="F331" s="4" t="str">
        <f>IFERROR(__xludf.DUMMYFUNCTION("""COMPUTED_VALUE"""),"Dado não disponível publicamente - Necessário Discovery")</f>
        <v>Dado não disponível publicamente - Necessário Discovery</v>
      </c>
      <c r="G331" s="4">
        <f>IFERROR(__xludf.DUMMYFUNCTION("""COMPUTED_VALUE"""),40.0)</f>
        <v>40</v>
      </c>
      <c r="H331" s="31">
        <f>IFERROR(__xludf.DUMMYFUNCTION("""COMPUTED_VALUE"""),0.5)</f>
        <v>0.5</v>
      </c>
      <c r="I331"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31" s="4" t="str">
        <f>IFERROR(__xludf.DUMMYFUNCTION("""COMPUTED_VALUE"""),"GRUPO PAGUE MENOS SUPERMERCADOS")</f>
        <v>GRUPO PAGUE MENOS SUPERMERCADOS</v>
      </c>
      <c r="L331" s="32">
        <f>IFERROR(__xludf.DUMMYFUNCTION("""COMPUTED_VALUE"""),23.0)</f>
        <v>23</v>
      </c>
      <c r="M331" s="4" t="str">
        <f>IFERROR(__xludf.DUMMYFUNCTION("""COMPUTED_VALUE"""),"N/A (Not found)")</f>
        <v>N/A (Not found)</v>
      </c>
      <c r="N331" s="33">
        <f>IFERROR(__xludf.DUMMYFUNCTION("""COMPUTED_VALUE"""),0.9565217391304348)</f>
        <v>0.9565217391</v>
      </c>
      <c r="O331" s="4" t="str">
        <f>IFERROR(__xludf.DUMMYFUNCTION("""COMPUTED_VALUE"""),"N/A (Not found)")</f>
        <v>N/A (Not found)</v>
      </c>
      <c r="P331" s="33">
        <f>IFERROR(__xludf.DUMMYFUNCTION("""COMPUTED_VALUE"""),0.9565217391304348)</f>
        <v>0.9565217391</v>
      </c>
      <c r="Q331" s="4" t="str">
        <f>IFERROR(__xludf.DUMMYFUNCTION("""COMPUTED_VALUE"""),"N/A (Not found)")</f>
        <v>N/A (Not found)</v>
      </c>
      <c r="R331" s="33">
        <f>IFERROR(__xludf.DUMMYFUNCTION("""COMPUTED_VALUE"""),0.9565217391304348)</f>
        <v>0.9565217391</v>
      </c>
      <c r="S331" s="4" t="str">
        <f>IFERROR(__xludf.DUMMYFUNCTION("""COMPUTED_VALUE"""),"N/A (Not found)")</f>
        <v>N/A (Not found)</v>
      </c>
      <c r="T331" s="33">
        <f>IFERROR(__xludf.DUMMYFUNCTION("""COMPUTED_VALUE"""),0.9565217391304348)</f>
        <v>0.9565217391</v>
      </c>
      <c r="U331" s="4" t="str">
        <f>IFERROR(__xludf.DUMMYFUNCTION("""COMPUTED_VALUE"""),"N/A (Not found)")</f>
        <v>N/A (Not found)</v>
      </c>
      <c r="V331" s="33">
        <f>IFERROR(__xludf.DUMMYFUNCTION("""COMPUTED_VALUE"""),0.9130434782608695)</f>
        <v>0.9130434783</v>
      </c>
      <c r="W331" s="4" t="str">
        <f>IFERROR(__xludf.DUMMYFUNCTION("""COMPUTED_VALUE"""),"N/A (Not found)")</f>
        <v>N/A (Not found)</v>
      </c>
      <c r="X331" s="33">
        <f>IFERROR(__xludf.DUMMYFUNCTION("""COMPUTED_VALUE"""),0.9130434782608695)</f>
        <v>0.9130434783</v>
      </c>
    </row>
    <row r="332">
      <c r="A332" s="4" t="str">
        <f>IFERROR(__xludf.DUMMYFUNCTION("""COMPUTED_VALUE"""),"Grupo saints")</f>
        <v>Grupo saints</v>
      </c>
      <c r="B332" s="4">
        <f>IFERROR(__xludf.DUMMYFUNCTION("""COMPUTED_VALUE"""),24.0)</f>
        <v>24</v>
      </c>
      <c r="C332" s="30">
        <f>IFERROR(__xludf.DUMMYFUNCTION("""COMPUTED_VALUE"""),117.0)</f>
        <v>117</v>
      </c>
      <c r="D332" s="4" t="str">
        <f>IFERROR(__xludf.DUMMYFUNCTION("""COMPUTED_VALUE"""),"Grupo Multi-marca")</f>
        <v>Grupo Multi-marca</v>
      </c>
      <c r="E332" s="4" t="str">
        <f>IFERROR(__xludf.DUMMYFUNCTION("""COMPUTED_VALUE"""),"Rio de Janeiro/RJ")</f>
        <v>Rio de Janeiro/RJ</v>
      </c>
      <c r="F332" s="4" t="str">
        <f>IFERROR(__xludf.DUMMYFUNCTION("""COMPUTED_VALUE"""),"Dado não disponível publicamente - Necessário Discovery")</f>
        <v>Dado não disponível publicamente - Necessário Discovery</v>
      </c>
      <c r="G332" s="4">
        <f>IFERROR(__xludf.DUMMYFUNCTION("""COMPUTED_VALUE"""),45.0)</f>
        <v>45</v>
      </c>
      <c r="H332" s="31">
        <f>IFERROR(__xludf.DUMMYFUNCTION("""COMPUTED_VALUE"""),0.55)</f>
        <v>0.55</v>
      </c>
      <c r="I332"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32" s="4" t="str">
        <f>IFERROR(__xludf.DUMMYFUNCTION("""COMPUTED_VALUE"""),"PUDIM BOX")</f>
        <v>PUDIM BOX</v>
      </c>
      <c r="L332" s="32">
        <f>IFERROR(__xludf.DUMMYFUNCTION("""COMPUTED_VALUE"""),23.0)</f>
        <v>23</v>
      </c>
      <c r="M332" s="4" t="str">
        <f>IFERROR(__xludf.DUMMYFUNCTION("""COMPUTED_VALUE"""),"null")</f>
        <v>null</v>
      </c>
      <c r="N332" s="33">
        <f>IFERROR(__xludf.DUMMYFUNCTION("""COMPUTED_VALUE"""),0.6521739130434783)</f>
        <v>0.652173913</v>
      </c>
      <c r="O332" s="4" t="str">
        <f>IFERROR(__xludf.DUMMYFUNCTION("""COMPUTED_VALUE"""),"Cardápio Web")</f>
        <v>Cardápio Web</v>
      </c>
      <c r="P332" s="33">
        <f>IFERROR(__xludf.DUMMYFUNCTION("""COMPUTED_VALUE"""),0.7391304347826086)</f>
        <v>0.7391304348</v>
      </c>
      <c r="Q332" s="4" t="str">
        <f>IFERROR(__xludf.DUMMYFUNCTION("""COMPUTED_VALUE"""),"null")</f>
        <v>null</v>
      </c>
      <c r="R332" s="33">
        <f>IFERROR(__xludf.DUMMYFUNCTION("""COMPUTED_VALUE"""),0.6956521739130435)</f>
        <v>0.6956521739</v>
      </c>
      <c r="S332" s="4" t="str">
        <f>IFERROR(__xludf.DUMMYFUNCTION("""COMPUTED_VALUE"""),"null")</f>
        <v>null</v>
      </c>
      <c r="T332" s="33">
        <f>IFERROR(__xludf.DUMMYFUNCTION("""COMPUTED_VALUE"""),0.8260869565217391)</f>
        <v>0.8260869565</v>
      </c>
      <c r="U332" s="4" t="str">
        <f>IFERROR(__xludf.DUMMYFUNCTION("""COMPUTED_VALUE"""),"null")</f>
        <v>null</v>
      </c>
      <c r="V332" s="33">
        <f>IFERROR(__xludf.DUMMYFUNCTION("""COMPUTED_VALUE"""),1.0)</f>
        <v>1</v>
      </c>
      <c r="W332" s="4" t="str">
        <f>IFERROR(__xludf.DUMMYFUNCTION("""COMPUTED_VALUE"""),"null")</f>
        <v>null</v>
      </c>
      <c r="X332" s="33">
        <f>IFERROR(__xludf.DUMMYFUNCTION("""COMPUTED_VALUE"""),1.0)</f>
        <v>1</v>
      </c>
    </row>
    <row r="333">
      <c r="A333" s="4" t="str">
        <f>IFERROR(__xludf.DUMMYFUNCTION("""COMPUTED_VALUE"""),"Grupo Taikan Fast Sushi")</f>
        <v>Grupo Taikan Fast Sushi</v>
      </c>
      <c r="B333" s="4">
        <f>IFERROR(__xludf.DUMMYFUNCTION("""COMPUTED_VALUE"""),7.0)</f>
        <v>7</v>
      </c>
      <c r="C333" s="30">
        <f>IFERROR(__xludf.DUMMYFUNCTION("""COMPUTED_VALUE"""),80.0)</f>
        <v>80</v>
      </c>
      <c r="D333" s="4" t="str">
        <f>IFERROR(__xludf.DUMMYFUNCTION("""COMPUTED_VALUE"""),"Fast Casual - Japonesa")</f>
        <v>Fast Casual - Japonesa</v>
      </c>
      <c r="E333" s="4" t="str">
        <f>IFERROR(__xludf.DUMMYFUNCTION("""COMPUTED_VALUE"""),"Nacional")</f>
        <v>Nacional</v>
      </c>
      <c r="F333" s="4" t="str">
        <f>IFERROR(__xludf.DUMMYFUNCTION("""COMPUTED_VALUE"""),"Dado não disponível publicamente - Necessário Discovery")</f>
        <v>Dado não disponível publicamente - Necessário Discovery</v>
      </c>
      <c r="G333" s="4">
        <f>IFERROR(__xludf.DUMMYFUNCTION("""COMPUTED_VALUE"""),70.0)</f>
        <v>70</v>
      </c>
      <c r="H333" s="31">
        <f>IFERROR(__xludf.DUMMYFUNCTION("""COMPUTED_VALUE"""),0.75)</f>
        <v>0.75</v>
      </c>
      <c r="I333"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333" s="4" t="str">
        <f>IFERROR(__xludf.DUMMYFUNCTION("""COMPUTED_VALUE"""),"POINT DO ACAI")</f>
        <v>POINT DO ACAI</v>
      </c>
      <c r="L333" s="32">
        <f>IFERROR(__xludf.DUMMYFUNCTION("""COMPUTED_VALUE"""),22.0)</f>
        <v>22</v>
      </c>
      <c r="M333" s="4" t="str">
        <f>IFERROR(__xludf.DUMMYFUNCTION("""COMPUTED_VALUE"""),"null")</f>
        <v>null</v>
      </c>
      <c r="N333" s="33">
        <f>IFERROR(__xludf.DUMMYFUNCTION("""COMPUTED_VALUE"""),0.5454545454545454)</f>
        <v>0.5454545455</v>
      </c>
      <c r="O333" s="4" t="str">
        <f>IFERROR(__xludf.DUMMYFUNCTION("""COMPUTED_VALUE"""),"null")</f>
        <v>null</v>
      </c>
      <c r="P333" s="33">
        <f>IFERROR(__xludf.DUMMYFUNCTION("""COMPUTED_VALUE"""),0.45454545454545453)</f>
        <v>0.4545454545</v>
      </c>
      <c r="Q333" s="4" t="str">
        <f>IFERROR(__xludf.DUMMYFUNCTION("""COMPUTED_VALUE"""),"null")</f>
        <v>null</v>
      </c>
      <c r="R333" s="33">
        <f>IFERROR(__xludf.DUMMYFUNCTION("""COMPUTED_VALUE"""),0.5)</f>
        <v>0.5</v>
      </c>
      <c r="S333" s="4" t="str">
        <f>IFERROR(__xludf.DUMMYFUNCTION("""COMPUTED_VALUE"""),"null")</f>
        <v>null</v>
      </c>
      <c r="T333" s="33">
        <f>IFERROR(__xludf.DUMMYFUNCTION("""COMPUTED_VALUE"""),0.5)</f>
        <v>0.5</v>
      </c>
      <c r="U333" s="4" t="str">
        <f>IFERROR(__xludf.DUMMYFUNCTION("""COMPUTED_VALUE"""),"null")</f>
        <v>null</v>
      </c>
      <c r="V333" s="33">
        <f>IFERROR(__xludf.DUMMYFUNCTION("""COMPUTED_VALUE"""),0.4090909090909091)</f>
        <v>0.4090909091</v>
      </c>
      <c r="W333" s="4" t="str">
        <f>IFERROR(__xludf.DUMMYFUNCTION("""COMPUTED_VALUE"""),"null")</f>
        <v>null</v>
      </c>
      <c r="X333" s="33">
        <f>IFERROR(__xludf.DUMMYFUNCTION("""COMPUTED_VALUE"""),0.2727272727272727)</f>
        <v>0.2727272727</v>
      </c>
    </row>
    <row r="334">
      <c r="A334" s="4" t="str">
        <f>IFERROR(__xludf.DUMMYFUNCTION("""COMPUTED_VALUE"""),"Grupo Taisho")</f>
        <v>Grupo Taisho</v>
      </c>
      <c r="B334" s="4">
        <f>IFERROR(__xludf.DUMMYFUNCTION("""COMPUTED_VALUE"""),5.0)</f>
        <v>5</v>
      </c>
      <c r="C334" s="30">
        <f>IFERROR(__xludf.DUMMYFUNCTION("""COMPUTED_VALUE"""),122.0)</f>
        <v>122</v>
      </c>
      <c r="D334" s="4" t="str">
        <f>IFERROR(__xludf.DUMMYFUNCTION("""COMPUTED_VALUE"""),"Grupo Multi-marca")</f>
        <v>Grupo Multi-marca</v>
      </c>
      <c r="E334" s="4" t="str">
        <f>IFERROR(__xludf.DUMMYFUNCTION("""COMPUTED_VALUE"""),"Interior SP")</f>
        <v>Interior SP</v>
      </c>
      <c r="F334" s="4" t="str">
        <f>IFERROR(__xludf.DUMMYFUNCTION("""COMPUTED_VALUE"""),"Dado não disponível publicamente - Necessário Discovery")</f>
        <v>Dado não disponível publicamente - Necessário Discovery</v>
      </c>
      <c r="G334" s="4">
        <f>IFERROR(__xludf.DUMMYFUNCTION("""COMPUTED_VALUE"""),40.0)</f>
        <v>40</v>
      </c>
      <c r="H334" s="31">
        <f>IFERROR(__xludf.DUMMYFUNCTION("""COMPUTED_VALUE"""),0.5)</f>
        <v>0.5</v>
      </c>
      <c r="I334"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34" s="4" t="str">
        <f>IFERROR(__xludf.DUMMYFUNCTION("""COMPUTED_VALUE"""),"A NOSSA DROGARIA - CONTA PAI")</f>
        <v>A NOSSA DROGARIA - CONTA PAI</v>
      </c>
      <c r="L334" s="32">
        <f>IFERROR(__xludf.DUMMYFUNCTION("""COMPUTED_VALUE"""),22.0)</f>
        <v>22</v>
      </c>
      <c r="M334" s="4" t="str">
        <f>IFERROR(__xludf.DUMMYFUNCTION("""COMPUTED_VALUE"""),"N/A (Not found)")</f>
        <v>N/A (Not found)</v>
      </c>
      <c r="N334" s="33">
        <f>IFERROR(__xludf.DUMMYFUNCTION("""COMPUTED_VALUE"""),0.8181818181818182)</f>
        <v>0.8181818182</v>
      </c>
      <c r="O334" s="4" t="str">
        <f>IFERROR(__xludf.DUMMYFUNCTION("""COMPUTED_VALUE"""),"N/A (Not found)")</f>
        <v>N/A (Not found)</v>
      </c>
      <c r="P334" s="33">
        <f>IFERROR(__xludf.DUMMYFUNCTION("""COMPUTED_VALUE"""),1.0)</f>
        <v>1</v>
      </c>
      <c r="Q334" s="4" t="str">
        <f>IFERROR(__xludf.DUMMYFUNCTION("""COMPUTED_VALUE"""),"N/A (Not found)")</f>
        <v>N/A (Not found)</v>
      </c>
      <c r="R334" s="33">
        <f>IFERROR(__xludf.DUMMYFUNCTION("""COMPUTED_VALUE"""),1.0)</f>
        <v>1</v>
      </c>
      <c r="S334" s="4" t="str">
        <f>IFERROR(__xludf.DUMMYFUNCTION("""COMPUTED_VALUE"""),"N/A (Not found)")</f>
        <v>N/A (Not found)</v>
      </c>
      <c r="T334" s="33">
        <f>IFERROR(__xludf.DUMMYFUNCTION("""COMPUTED_VALUE"""),1.0)</f>
        <v>1</v>
      </c>
      <c r="U334" s="4" t="str">
        <f>IFERROR(__xludf.DUMMYFUNCTION("""COMPUTED_VALUE"""),"N/A (Not found)")</f>
        <v>N/A (Not found)</v>
      </c>
      <c r="V334" s="33">
        <f>IFERROR(__xludf.DUMMYFUNCTION("""COMPUTED_VALUE"""),1.0)</f>
        <v>1</v>
      </c>
      <c r="W334" s="4" t="str">
        <f>IFERROR(__xludf.DUMMYFUNCTION("""COMPUTED_VALUE"""),"N/A (Not found)")</f>
        <v>N/A (Not found)</v>
      </c>
      <c r="X334" s="33">
        <f>IFERROR(__xludf.DUMMYFUNCTION("""COMPUTED_VALUE"""),1.0)</f>
        <v>1</v>
      </c>
    </row>
    <row r="335">
      <c r="A335" s="4" t="str">
        <f>IFERROR(__xludf.DUMMYFUNCTION("""COMPUTED_VALUE"""),"Grupo The Curadoria")</f>
        <v>Grupo The Curadoria</v>
      </c>
      <c r="B335" s="4">
        <f>IFERROR(__xludf.DUMMYFUNCTION("""COMPUTED_VALUE"""),10.0)</f>
        <v>10</v>
      </c>
      <c r="C335" s="30">
        <f>IFERROR(__xludf.DUMMYFUNCTION("""COMPUTED_VALUE"""),115.0)</f>
        <v>115</v>
      </c>
      <c r="D335" s="4" t="str">
        <f>IFERROR(__xludf.DUMMYFUNCTION("""COMPUTED_VALUE"""),"Grupo Multi-marca")</f>
        <v>Grupo Multi-marca</v>
      </c>
      <c r="E335" s="4" t="str">
        <f>IFERROR(__xludf.DUMMYFUNCTION("""COMPUTED_VALUE"""),"Brasília/DF")</f>
        <v>Brasília/DF</v>
      </c>
      <c r="F335" s="4" t="str">
        <f>IFERROR(__xludf.DUMMYFUNCTION("""COMPUTED_VALUE"""),"Dado não disponível publicamente - Necessário Discovery")</f>
        <v>Dado não disponível publicamente - Necessário Discovery</v>
      </c>
      <c r="G335" s="4">
        <f>IFERROR(__xludf.DUMMYFUNCTION("""COMPUTED_VALUE"""),40.0)</f>
        <v>40</v>
      </c>
      <c r="H335" s="31">
        <f>IFERROR(__xludf.DUMMYFUNCTION("""COMPUTED_VALUE"""),0.55)</f>
        <v>0.55</v>
      </c>
      <c r="I335"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35" s="4" t="str">
        <f>IFERROR(__xludf.DUMMYFUNCTION("""COMPUTED_VALUE"""),"ALEXANDRIA BURGER - CP")</f>
        <v>ALEXANDRIA BURGER - CP</v>
      </c>
      <c r="L335" s="32">
        <f>IFERROR(__xludf.DUMMYFUNCTION("""COMPUTED_VALUE"""),22.0)</f>
        <v>22</v>
      </c>
      <c r="M335" s="4" t="str">
        <f>IFERROR(__xludf.DUMMYFUNCTION("""COMPUTED_VALUE"""),"Algoritma Sistemas De Software Ltda")</f>
        <v>Algoritma Sistemas De Software Ltda</v>
      </c>
      <c r="N335" s="33">
        <f>IFERROR(__xludf.DUMMYFUNCTION("""COMPUTED_VALUE"""),0.9545454545454546)</f>
        <v>0.9545454545</v>
      </c>
      <c r="O335" s="4" t="str">
        <f>IFERROR(__xludf.DUMMYFUNCTION("""COMPUTED_VALUE"""),"Algoritma Sistemas De Software Ltda")</f>
        <v>Algoritma Sistemas De Software Ltda</v>
      </c>
      <c r="P335" s="33">
        <f>IFERROR(__xludf.DUMMYFUNCTION("""COMPUTED_VALUE"""),0.6818181818181818)</f>
        <v>0.6818181818</v>
      </c>
      <c r="Q335" s="4" t="str">
        <f>IFERROR(__xludf.DUMMYFUNCTION("""COMPUTED_VALUE"""),"Algoritma Sistemas De Software Ltda")</f>
        <v>Algoritma Sistemas De Software Ltda</v>
      </c>
      <c r="R335" s="33">
        <f>IFERROR(__xludf.DUMMYFUNCTION("""COMPUTED_VALUE"""),0.7727272727272727)</f>
        <v>0.7727272727</v>
      </c>
      <c r="S335" s="4" t="str">
        <f>IFERROR(__xludf.DUMMYFUNCTION("""COMPUTED_VALUE"""),"Algoritma Sistemas De Software Ltda")</f>
        <v>Algoritma Sistemas De Software Ltda</v>
      </c>
      <c r="T335" s="33">
        <f>IFERROR(__xludf.DUMMYFUNCTION("""COMPUTED_VALUE"""),0.6363636363636364)</f>
        <v>0.6363636364</v>
      </c>
      <c r="U335" s="4" t="str">
        <f>IFERROR(__xludf.DUMMYFUNCTION("""COMPUTED_VALUE"""),"Algoritma Sistemas De Software Ltda")</f>
        <v>Algoritma Sistemas De Software Ltda</v>
      </c>
      <c r="V335" s="33">
        <f>IFERROR(__xludf.DUMMYFUNCTION("""COMPUTED_VALUE"""),0.7272727272727273)</f>
        <v>0.7272727273</v>
      </c>
      <c r="W335" s="4" t="str">
        <f>IFERROR(__xludf.DUMMYFUNCTION("""COMPUTED_VALUE"""),"Algoritma Sistemas De Software Ltda")</f>
        <v>Algoritma Sistemas De Software Ltda</v>
      </c>
      <c r="X335" s="33">
        <f>IFERROR(__xludf.DUMMYFUNCTION("""COMPUTED_VALUE"""),0.6818181818181818)</f>
        <v>0.6818181818</v>
      </c>
    </row>
    <row r="336">
      <c r="A336" s="4" t="str">
        <f>IFERROR(__xludf.DUMMYFUNCTION("""COMPUTED_VALUE"""),"Grupo Top")</f>
        <v>Grupo Top</v>
      </c>
      <c r="B336" s="4">
        <f>IFERROR(__xludf.DUMMYFUNCTION("""COMPUTED_VALUE"""),20.0)</f>
        <v>20</v>
      </c>
      <c r="C336" s="30">
        <f>IFERROR(__xludf.DUMMYFUNCTION("""COMPUTED_VALUE"""),85.0)</f>
        <v>85</v>
      </c>
      <c r="D336" s="4" t="str">
        <f>IFERROR(__xludf.DUMMYFUNCTION("""COMPUTED_VALUE"""),"Grupo Multi-marca")</f>
        <v>Grupo Multi-marca</v>
      </c>
      <c r="E336" s="4" t="str">
        <f>IFERROR(__xludf.DUMMYFUNCTION("""COMPUTED_VALUE"""),"Nacional")</f>
        <v>Nacional</v>
      </c>
      <c r="F336" s="4" t="str">
        <f>IFERROR(__xludf.DUMMYFUNCTION("""COMPUTED_VALUE"""),"Dado não disponível publicamente - Necessário Discovery")</f>
        <v>Dado não disponível publicamente - Necessário Discovery</v>
      </c>
      <c r="G336" s="4">
        <f>IFERROR(__xludf.DUMMYFUNCTION("""COMPUTED_VALUE"""),45.0)</f>
        <v>45</v>
      </c>
      <c r="H336" s="31">
        <f>IFERROR(__xludf.DUMMYFUNCTION("""COMPUTED_VALUE"""),0.55)</f>
        <v>0.55</v>
      </c>
      <c r="I336"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36" s="4" t="str">
        <f>IFERROR(__xludf.DUMMYFUNCTION("""COMPUTED_VALUE"""),"BARNEYS - LOJA MARCA")</f>
        <v>BARNEYS - LOJA MARCA</v>
      </c>
      <c r="L336" s="32">
        <f>IFERROR(__xludf.DUMMYFUNCTION("""COMPUTED_VALUE"""),22.0)</f>
        <v>22</v>
      </c>
      <c r="M336" s="4" t="str">
        <f>IFERROR(__xludf.DUMMYFUNCTION("""COMPUTED_VALUE"""),"Izzy Way Tecnologia")</f>
        <v>Izzy Way Tecnologia</v>
      </c>
      <c r="N336" s="33">
        <f>IFERROR(__xludf.DUMMYFUNCTION("""COMPUTED_VALUE"""),0.7272727272727273)</f>
        <v>0.7272727273</v>
      </c>
      <c r="O336" s="4" t="str">
        <f>IFERROR(__xludf.DUMMYFUNCTION("""COMPUTED_VALUE"""),"Izzy Way Tecnologia")</f>
        <v>Izzy Way Tecnologia</v>
      </c>
      <c r="P336" s="33">
        <f>IFERROR(__xludf.DUMMYFUNCTION("""COMPUTED_VALUE"""),0.7272727272727273)</f>
        <v>0.7272727273</v>
      </c>
      <c r="Q336" s="4" t="str">
        <f>IFERROR(__xludf.DUMMYFUNCTION("""COMPUTED_VALUE"""),"Izzy Way Tecnologia")</f>
        <v>Izzy Way Tecnologia</v>
      </c>
      <c r="R336" s="33">
        <f>IFERROR(__xludf.DUMMYFUNCTION("""COMPUTED_VALUE"""),0.7272727272727273)</f>
        <v>0.7272727273</v>
      </c>
      <c r="S336" s="4" t="str">
        <f>IFERROR(__xludf.DUMMYFUNCTION("""COMPUTED_VALUE"""),"Izzy Way Tecnologia")</f>
        <v>Izzy Way Tecnologia</v>
      </c>
      <c r="T336" s="33">
        <f>IFERROR(__xludf.DUMMYFUNCTION("""COMPUTED_VALUE"""),0.7272727272727273)</f>
        <v>0.7272727273</v>
      </c>
      <c r="U336" s="4" t="str">
        <f>IFERROR(__xludf.DUMMYFUNCTION("""COMPUTED_VALUE"""),"Izzy Way Tecnologia")</f>
        <v>Izzy Way Tecnologia</v>
      </c>
      <c r="V336" s="33">
        <f>IFERROR(__xludf.DUMMYFUNCTION("""COMPUTED_VALUE"""),0.7272727272727273)</f>
        <v>0.7272727273</v>
      </c>
      <c r="W336" s="4" t="str">
        <f>IFERROR(__xludf.DUMMYFUNCTION("""COMPUTED_VALUE"""),"Izzy Way Tecnologia")</f>
        <v>Izzy Way Tecnologia</v>
      </c>
      <c r="X336" s="33">
        <f>IFERROR(__xludf.DUMMYFUNCTION("""COMPUTED_VALUE"""),0.7272727272727273)</f>
        <v>0.7272727273</v>
      </c>
    </row>
    <row r="337">
      <c r="A337" s="4" t="str">
        <f>IFERROR(__xludf.DUMMYFUNCTION("""COMPUTED_VALUE"""),"Grupo Trema")</f>
        <v>Grupo Trema</v>
      </c>
      <c r="B337" s="4">
        <f>IFERROR(__xludf.DUMMYFUNCTION("""COMPUTED_VALUE"""),18.0)</f>
        <v>18</v>
      </c>
      <c r="C337" s="30">
        <f>IFERROR(__xludf.DUMMYFUNCTION("""COMPUTED_VALUE"""),81.0)</f>
        <v>81</v>
      </c>
      <c r="D337" s="4" t="str">
        <f>IFERROR(__xludf.DUMMYFUNCTION("""COMPUTED_VALUE"""),"Grupo Multi-marca")</f>
        <v>Grupo Multi-marca</v>
      </c>
      <c r="E337" s="4" t="str">
        <f>IFERROR(__xludf.DUMMYFUNCTION("""COMPUTED_VALUE"""),"São Paulo/SP")</f>
        <v>São Paulo/SP</v>
      </c>
      <c r="F337" s="4" t="str">
        <f>IFERROR(__xludf.DUMMYFUNCTION("""COMPUTED_VALUE"""),"Dado não disponível publicamente - Necessário Discovery")</f>
        <v>Dado não disponível publicamente - Necessário Discovery</v>
      </c>
      <c r="G337" s="4">
        <f>IFERROR(__xludf.DUMMYFUNCTION("""COMPUTED_VALUE"""),40.0)</f>
        <v>40</v>
      </c>
      <c r="H337" s="31">
        <f>IFERROR(__xludf.DUMMYFUNCTION("""COMPUTED_VALUE"""),0.55)</f>
        <v>0.55</v>
      </c>
      <c r="I337"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37" s="4" t="str">
        <f>IFERROR(__xludf.DUMMYFUNCTION("""COMPUTED_VALUE"""),"CRISPS")</f>
        <v>CRISPS</v>
      </c>
      <c r="L337" s="32">
        <f>IFERROR(__xludf.DUMMYFUNCTION("""COMPUTED_VALUE"""),22.0)</f>
        <v>22</v>
      </c>
      <c r="M337" s="4" t="str">
        <f>IFERROR(__xludf.DUMMYFUNCTION("""COMPUTED_VALUE"""),"Saipos Serviços De Software")</f>
        <v>Saipos Serviços De Software</v>
      </c>
      <c r="N337" s="33">
        <f>IFERROR(__xludf.DUMMYFUNCTION("""COMPUTED_VALUE"""),1.0)</f>
        <v>1</v>
      </c>
      <c r="O337" s="4" t="str">
        <f>IFERROR(__xludf.DUMMYFUNCTION("""COMPUTED_VALUE"""),"Saipos Serviços De Software")</f>
        <v>Saipos Serviços De Software</v>
      </c>
      <c r="P337" s="33">
        <f>IFERROR(__xludf.DUMMYFUNCTION("""COMPUTED_VALUE"""),0.7727272727272727)</f>
        <v>0.7727272727</v>
      </c>
      <c r="Q337" s="4" t="str">
        <f>IFERROR(__xludf.DUMMYFUNCTION("""COMPUTED_VALUE"""),"Saipos Serviços De Software")</f>
        <v>Saipos Serviços De Software</v>
      </c>
      <c r="R337" s="33">
        <f>IFERROR(__xludf.DUMMYFUNCTION("""COMPUTED_VALUE"""),0.7727272727272727)</f>
        <v>0.7727272727</v>
      </c>
      <c r="S337" s="4" t="str">
        <f>IFERROR(__xludf.DUMMYFUNCTION("""COMPUTED_VALUE"""),"Saipos Serviços De Software")</f>
        <v>Saipos Serviços De Software</v>
      </c>
      <c r="T337" s="33">
        <f>IFERROR(__xludf.DUMMYFUNCTION("""COMPUTED_VALUE"""),0.7727272727272727)</f>
        <v>0.7727272727</v>
      </c>
      <c r="U337" s="4" t="str">
        <f>IFERROR(__xludf.DUMMYFUNCTION("""COMPUTED_VALUE"""),"Saipos Serviços De Software")</f>
        <v>Saipos Serviços De Software</v>
      </c>
      <c r="V337" s="33">
        <f>IFERROR(__xludf.DUMMYFUNCTION("""COMPUTED_VALUE"""),0.7727272727272727)</f>
        <v>0.7727272727</v>
      </c>
      <c r="W337" s="4" t="str">
        <f>IFERROR(__xludf.DUMMYFUNCTION("""COMPUTED_VALUE"""),"Saipos Serviços De Software")</f>
        <v>Saipos Serviços De Software</v>
      </c>
      <c r="X337" s="33">
        <f>IFERROR(__xludf.DUMMYFUNCTION("""COMPUTED_VALUE"""),0.7727272727272727)</f>
        <v>0.7727272727</v>
      </c>
    </row>
    <row r="338">
      <c r="A338" s="4" t="str">
        <f>IFERROR(__xludf.DUMMYFUNCTION("""COMPUTED_VALUE"""),"Grupo Trends Kitchen")</f>
        <v>Grupo Trends Kitchen</v>
      </c>
      <c r="B338" s="4">
        <f>IFERROR(__xludf.DUMMYFUNCTION("""COMPUTED_VALUE"""),14.0)</f>
        <v>14</v>
      </c>
      <c r="C338" s="30">
        <f>IFERROR(__xludf.DUMMYFUNCTION("""COMPUTED_VALUE"""),115.0)</f>
        <v>115</v>
      </c>
      <c r="D338" s="4" t="str">
        <f>IFERROR(__xludf.DUMMYFUNCTION("""COMPUTED_VALUE"""),"Grupo Multi-marca")</f>
        <v>Grupo Multi-marca</v>
      </c>
      <c r="E338" s="4" t="str">
        <f>IFERROR(__xludf.DUMMYFUNCTION("""COMPUTED_VALUE"""),"Nordeste")</f>
        <v>Nordeste</v>
      </c>
      <c r="F338" s="4" t="str">
        <f>IFERROR(__xludf.DUMMYFUNCTION("""COMPUTED_VALUE"""),"Dado não disponível publicamente - Necessário Discovery")</f>
        <v>Dado não disponível publicamente - Necessário Discovery</v>
      </c>
      <c r="G338" s="4">
        <f>IFERROR(__xludf.DUMMYFUNCTION("""COMPUTED_VALUE"""),40.0)</f>
        <v>40</v>
      </c>
      <c r="H338" s="31">
        <f>IFERROR(__xludf.DUMMYFUNCTION("""COMPUTED_VALUE"""),0.55)</f>
        <v>0.55</v>
      </c>
      <c r="I338"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38" s="4" t="str">
        <f>IFERROR(__xludf.DUMMYFUNCTION("""COMPUTED_VALUE"""),"CRISPS - CONTA PAI")</f>
        <v>CRISPS - CONTA PAI</v>
      </c>
      <c r="L338" s="32">
        <f>IFERROR(__xludf.DUMMYFUNCTION("""COMPUTED_VALUE"""),22.0)</f>
        <v>22</v>
      </c>
      <c r="M338" s="4" t="str">
        <f>IFERROR(__xludf.DUMMYFUNCTION("""COMPUTED_VALUE"""),"Saipos Serviços De Software")</f>
        <v>Saipos Serviços De Software</v>
      </c>
      <c r="N338" s="33">
        <f>IFERROR(__xludf.DUMMYFUNCTION("""COMPUTED_VALUE"""),1.0)</f>
        <v>1</v>
      </c>
      <c r="O338" s="4" t="str">
        <f>IFERROR(__xludf.DUMMYFUNCTION("""COMPUTED_VALUE"""),"Saipos Serviços De Software")</f>
        <v>Saipos Serviços De Software</v>
      </c>
      <c r="P338" s="33">
        <f>IFERROR(__xludf.DUMMYFUNCTION("""COMPUTED_VALUE"""),0.7727272727272727)</f>
        <v>0.7727272727</v>
      </c>
      <c r="Q338" s="4" t="str">
        <f>IFERROR(__xludf.DUMMYFUNCTION("""COMPUTED_VALUE"""),"Saipos Serviços De Software")</f>
        <v>Saipos Serviços De Software</v>
      </c>
      <c r="R338" s="33">
        <f>IFERROR(__xludf.DUMMYFUNCTION("""COMPUTED_VALUE"""),0.7727272727272727)</f>
        <v>0.7727272727</v>
      </c>
      <c r="S338" s="4" t="str">
        <f>IFERROR(__xludf.DUMMYFUNCTION("""COMPUTED_VALUE"""),"Saipos Serviços De Software")</f>
        <v>Saipos Serviços De Software</v>
      </c>
      <c r="T338" s="33">
        <f>IFERROR(__xludf.DUMMYFUNCTION("""COMPUTED_VALUE"""),0.7727272727272727)</f>
        <v>0.7727272727</v>
      </c>
      <c r="U338" s="4" t="str">
        <f>IFERROR(__xludf.DUMMYFUNCTION("""COMPUTED_VALUE"""),"Saipos Serviços De Software")</f>
        <v>Saipos Serviços De Software</v>
      </c>
      <c r="V338" s="33">
        <f>IFERROR(__xludf.DUMMYFUNCTION("""COMPUTED_VALUE"""),0.7727272727272727)</f>
        <v>0.7727272727</v>
      </c>
      <c r="W338" s="4" t="str">
        <f>IFERROR(__xludf.DUMMYFUNCTION("""COMPUTED_VALUE"""),"Saipos Serviços De Software")</f>
        <v>Saipos Serviços De Software</v>
      </c>
      <c r="X338" s="33">
        <f>IFERROR(__xludf.DUMMYFUNCTION("""COMPUTED_VALUE"""),0.7727272727272727)</f>
        <v>0.7727272727</v>
      </c>
    </row>
    <row r="339">
      <c r="A339" s="4" t="str">
        <f>IFERROR(__xludf.DUMMYFUNCTION("""COMPUTED_VALUE"""),"Grupo Varanda")</f>
        <v>Grupo Varanda</v>
      </c>
      <c r="B339" s="4">
        <f>IFERROR(__xludf.DUMMYFUNCTION("""COMPUTED_VALUE"""),21.0)</f>
        <v>21</v>
      </c>
      <c r="C339" s="30">
        <f>IFERROR(__xludf.DUMMYFUNCTION("""COMPUTED_VALUE"""),70.0)</f>
        <v>70</v>
      </c>
      <c r="D339" s="4" t="str">
        <f>IFERROR(__xludf.DUMMYFUNCTION("""COMPUTED_VALUE"""),"Grupo Multi-marca")</f>
        <v>Grupo Multi-marca</v>
      </c>
      <c r="E339" s="4" t="str">
        <f>IFERROR(__xludf.DUMMYFUNCTION("""COMPUTED_VALUE"""),"Nordeste")</f>
        <v>Nordeste</v>
      </c>
      <c r="F339" s="4" t="str">
        <f>IFERROR(__xludf.DUMMYFUNCTION("""COMPUTED_VALUE"""),"Dado não disponível publicamente - Necessário Discovery")</f>
        <v>Dado não disponível publicamente - Necessário Discovery</v>
      </c>
      <c r="G339" s="4">
        <f>IFERROR(__xludf.DUMMYFUNCTION("""COMPUTED_VALUE"""),45.0)</f>
        <v>45</v>
      </c>
      <c r="H339" s="31">
        <f>IFERROR(__xludf.DUMMYFUNCTION("""COMPUTED_VALUE"""),0.55)</f>
        <v>0.55</v>
      </c>
      <c r="I339"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39" s="4" t="str">
        <f>IFERROR(__xludf.DUMMYFUNCTION("""COMPUTED_VALUE"""),"GRUPO CHANG")</f>
        <v>GRUPO CHANG</v>
      </c>
      <c r="L339" s="32">
        <f>IFERROR(__xludf.DUMMYFUNCTION("""COMPUTED_VALUE"""),22.0)</f>
        <v>22</v>
      </c>
      <c r="M339" s="4" t="str">
        <f>IFERROR(__xludf.DUMMYFUNCTION("""COMPUTED_VALUE"""),"Cloudfy")</f>
        <v>Cloudfy</v>
      </c>
      <c r="N339" s="33">
        <f>IFERROR(__xludf.DUMMYFUNCTION("""COMPUTED_VALUE"""),1.0)</f>
        <v>1</v>
      </c>
      <c r="O339" s="4" t="str">
        <f>IFERROR(__xludf.DUMMYFUNCTION("""COMPUTED_VALUE"""),"Cloudfy")</f>
        <v>Cloudfy</v>
      </c>
      <c r="P339" s="33">
        <f>IFERROR(__xludf.DUMMYFUNCTION("""COMPUTED_VALUE"""),1.0)</f>
        <v>1</v>
      </c>
      <c r="Q339" s="4" t="str">
        <f>IFERROR(__xludf.DUMMYFUNCTION("""COMPUTED_VALUE"""),"Cloudfy")</f>
        <v>Cloudfy</v>
      </c>
      <c r="R339" s="33">
        <f>IFERROR(__xludf.DUMMYFUNCTION("""COMPUTED_VALUE"""),1.0)</f>
        <v>1</v>
      </c>
      <c r="S339" s="4" t="str">
        <f>IFERROR(__xludf.DUMMYFUNCTION("""COMPUTED_VALUE"""),"Cloudfy")</f>
        <v>Cloudfy</v>
      </c>
      <c r="T339" s="33">
        <f>IFERROR(__xludf.DUMMYFUNCTION("""COMPUTED_VALUE"""),1.0)</f>
        <v>1</v>
      </c>
      <c r="U339" s="4" t="str">
        <f>IFERROR(__xludf.DUMMYFUNCTION("""COMPUTED_VALUE"""),"Cloudfy")</f>
        <v>Cloudfy</v>
      </c>
      <c r="V339" s="33">
        <f>IFERROR(__xludf.DUMMYFUNCTION("""COMPUTED_VALUE"""),0.9545454545454546)</f>
        <v>0.9545454545</v>
      </c>
      <c r="W339" s="4" t="str">
        <f>IFERROR(__xludf.DUMMYFUNCTION("""COMPUTED_VALUE"""),"Cloudfy")</f>
        <v>Cloudfy</v>
      </c>
      <c r="X339" s="33">
        <f>IFERROR(__xludf.DUMMYFUNCTION("""COMPUTED_VALUE"""),0.7727272727272727)</f>
        <v>0.7727272727</v>
      </c>
    </row>
    <row r="340">
      <c r="A340" s="4" t="str">
        <f>IFERROR(__xludf.DUMMYFUNCTION("""COMPUTED_VALUE"""),"Grupo Villa Sucreê")</f>
        <v>Grupo Villa Sucreê</v>
      </c>
      <c r="B340" s="4">
        <f>IFERROR(__xludf.DUMMYFUNCTION("""COMPUTED_VALUE"""),20.0)</f>
        <v>20</v>
      </c>
      <c r="C340" s="30">
        <f>IFERROR(__xludf.DUMMYFUNCTION("""COMPUTED_VALUE"""),87.0)</f>
        <v>87</v>
      </c>
      <c r="D340" s="4" t="str">
        <f>IFERROR(__xludf.DUMMYFUNCTION("""COMPUTED_VALUE"""),"Grupo Multi-marca")</f>
        <v>Grupo Multi-marca</v>
      </c>
      <c r="E340" s="4" t="str">
        <f>IFERROR(__xludf.DUMMYFUNCTION("""COMPUTED_VALUE"""),"Nordeste")</f>
        <v>Nordeste</v>
      </c>
      <c r="F340" s="4" t="str">
        <f>IFERROR(__xludf.DUMMYFUNCTION("""COMPUTED_VALUE"""),"Dado não disponível publicamente - Necessário Discovery")</f>
        <v>Dado não disponível publicamente - Necessário Discovery</v>
      </c>
      <c r="G340" s="4">
        <f>IFERROR(__xludf.DUMMYFUNCTION("""COMPUTED_VALUE"""),45.0)</f>
        <v>45</v>
      </c>
      <c r="H340" s="31">
        <f>IFERROR(__xludf.DUMMYFUNCTION("""COMPUTED_VALUE"""),0.55)</f>
        <v>0.55</v>
      </c>
      <c r="I340" s="4" t="str">
        <f>IFERROR(__xludf.DUMMYFUNCTION("""COMPUTED_VALUE"""),"Aderência moderada ao 3S: PDV atual não identificado. 3S pode agregar valor com padronização multi-loja e integração delivery, mas necessário Discovery para validar fit completo.")</f>
        <v>Aderência moderada ao 3S: PDV atual não identificado. 3S pode agregar valor com padronização multi-loja e integração delivery, mas necessário Discovery para validar fit completo.</v>
      </c>
      <c r="K340" s="4" t="str">
        <f>IFERROR(__xludf.DUMMYFUNCTION("""COMPUTED_VALUE"""),"NORK BURGER")</f>
        <v>NORK BURGER</v>
      </c>
      <c r="L340" s="32">
        <f>IFERROR(__xludf.DUMMYFUNCTION("""COMPUTED_VALUE"""),22.0)</f>
        <v>22</v>
      </c>
      <c r="M340" s="4" t="str">
        <f>IFERROR(__xludf.DUMMYFUNCTION("""COMPUTED_VALUE"""),"Saipos Serviços De Software")</f>
        <v>Saipos Serviços De Software</v>
      </c>
      <c r="N340" s="33">
        <f>IFERROR(__xludf.DUMMYFUNCTION("""COMPUTED_VALUE"""),0.8181818181818182)</f>
        <v>0.8181818182</v>
      </c>
      <c r="O340" s="4" t="str">
        <f>IFERROR(__xludf.DUMMYFUNCTION("""COMPUTED_VALUE"""),"Saipos Serviços De Software")</f>
        <v>Saipos Serviços De Software</v>
      </c>
      <c r="P340" s="33">
        <f>IFERROR(__xludf.DUMMYFUNCTION("""COMPUTED_VALUE"""),0.7272727272727273)</f>
        <v>0.7272727273</v>
      </c>
      <c r="Q340" s="4" t="str">
        <f>IFERROR(__xludf.DUMMYFUNCTION("""COMPUTED_VALUE"""),"Saipos Serviços De Software")</f>
        <v>Saipos Serviços De Software</v>
      </c>
      <c r="R340" s="33">
        <f>IFERROR(__xludf.DUMMYFUNCTION("""COMPUTED_VALUE"""),0.7272727272727273)</f>
        <v>0.7272727273</v>
      </c>
      <c r="S340" s="4" t="str">
        <f>IFERROR(__xludf.DUMMYFUNCTION("""COMPUTED_VALUE"""),"Saipos Serviços De Software")</f>
        <v>Saipos Serviços De Software</v>
      </c>
      <c r="T340" s="33">
        <f>IFERROR(__xludf.DUMMYFUNCTION("""COMPUTED_VALUE"""),0.7272727272727273)</f>
        <v>0.7272727273</v>
      </c>
      <c r="U340" s="4" t="str">
        <f>IFERROR(__xludf.DUMMYFUNCTION("""COMPUTED_VALUE"""),"Saipos Serviços De Software")</f>
        <v>Saipos Serviços De Software</v>
      </c>
      <c r="V340" s="33">
        <f>IFERROR(__xludf.DUMMYFUNCTION("""COMPUTED_VALUE"""),0.7272727272727273)</f>
        <v>0.7272727273</v>
      </c>
      <c r="W340" s="4" t="str">
        <f>IFERROR(__xludf.DUMMYFUNCTION("""COMPUTED_VALUE"""),"Saipos Serviços De Software")</f>
        <v>Saipos Serviços De Software</v>
      </c>
      <c r="X340" s="33">
        <f>IFERROR(__xludf.DUMMYFUNCTION("""COMPUTED_VALUE"""),0.7272727272727273)</f>
        <v>0.7272727273</v>
      </c>
    </row>
    <row r="341">
      <c r="A341" s="4" t="str">
        <f>IFERROR(__xludf.DUMMYFUNCTION("""COMPUTED_VALUE"""),"Guarita Bar")</f>
        <v>Guarita Bar</v>
      </c>
      <c r="B341" s="4">
        <f>IFERROR(__xludf.DUMMYFUNCTION("""COMPUTED_VALUE"""),7.0)</f>
        <v>7</v>
      </c>
      <c r="C341" s="30">
        <f>IFERROR(__xludf.DUMMYFUNCTION("""COMPUTED_VALUE"""),70.0)</f>
        <v>70</v>
      </c>
      <c r="D341" s="4" t="str">
        <f>IFERROR(__xludf.DUMMYFUNCTION("""COMPUTED_VALUE"""),"Fast Casual - Multi-conceito")</f>
        <v>Fast Casual - Multi-conceito</v>
      </c>
      <c r="E341" s="4" t="str">
        <f>IFERROR(__xludf.DUMMYFUNCTION("""COMPUTED_VALUE"""),"Belo Horizonte/MG")</f>
        <v>Belo Horizonte/MG</v>
      </c>
      <c r="F341" s="4" t="str">
        <f>IFERROR(__xludf.DUMMYFUNCTION("""COMPUTED_VALUE"""),"Dado não disponível publicamente - Necessário Discovery")</f>
        <v>Dado não disponível publicamente - Necessário Discovery</v>
      </c>
      <c r="G341" s="4">
        <f>IFERROR(__xludf.DUMMYFUNCTION("""COMPUTED_VALUE"""),70.0)</f>
        <v>70</v>
      </c>
      <c r="H341" s="31">
        <f>IFERROR(__xludf.DUMMYFUNCTION("""COMPUTED_VALUE"""),0.75)</f>
        <v>0.75</v>
      </c>
      <c r="I341" s="4" t="str">
        <f>IFERROR(__xludf.DUMMYFUNCTION("""COMPUTED_VALUE"""),"Aderência forte ao 3S: PDV atual não identificado. 3S oferece PDV robusto, KDS integrado e mobilidade (3SGO) para gestão em tempo real - ideal para operações multi-canal.")</f>
        <v>Aderência forte ao 3S: PDV atual não identificado. 3S oferece PDV robusto, KDS integrado e mobilidade (3SGO) para gestão em tempo real - ideal para operações multi-canal.</v>
      </c>
      <c r="K341" s="4" t="str">
        <f>IFERROR(__xludf.DUMMYFUNCTION("""COMPUTED_VALUE"""),"POPULAR PET - CONTA MARCA")</f>
        <v>POPULAR PET - CONTA MARCA</v>
      </c>
      <c r="L341" s="32">
        <f>IFERROR(__xludf.DUMMYFUNCTION("""COMPUTED_VALUE"""),22.0)</f>
        <v>22</v>
      </c>
      <c r="M341" s="4" t="str">
        <f>IFERROR(__xludf.DUMMYFUNCTION("""COMPUTED_VALUE"""),"N/A (Not found)")</f>
        <v>N/A (Not found)</v>
      </c>
      <c r="N341" s="33">
        <f>IFERROR(__xludf.DUMMYFUNCTION("""COMPUTED_VALUE"""),0.8181818181818182)</f>
        <v>0.8181818182</v>
      </c>
      <c r="O341" s="4" t="str">
        <f>IFERROR(__xludf.DUMMYFUNCTION("""COMPUTED_VALUE"""),"N/A (Not found)")</f>
        <v>N/A (Not found)</v>
      </c>
      <c r="P341" s="33">
        <f>IFERROR(__xludf.DUMMYFUNCTION("""COMPUTED_VALUE"""),0.8181818181818182)</f>
        <v>0.8181818182</v>
      </c>
      <c r="Q341" s="4" t="str">
        <f>IFERROR(__xludf.DUMMYFUNCTION("""COMPUTED_VALUE"""),"N/A (Not found)")</f>
        <v>N/A (Not found)</v>
      </c>
      <c r="R341" s="33">
        <f>IFERROR(__xludf.DUMMYFUNCTION("""COMPUTED_VALUE"""),0.8636363636363636)</f>
        <v>0.8636363636</v>
      </c>
      <c r="S341" s="4" t="str">
        <f>IFERROR(__xludf.DUMMYFUNCTION("""COMPUTED_VALUE"""),"N/A (Not found)")</f>
        <v>N/A (Not found)</v>
      </c>
      <c r="T341" s="33">
        <f>IFERROR(__xludf.DUMMYFUNCTION("""COMPUTED_VALUE"""),0.9090909090909091)</f>
        <v>0.9090909091</v>
      </c>
      <c r="U341" s="4" t="str">
        <f>IFERROR(__xludf.DUMMYFUNCTION("""COMPUTED_VALUE"""),"N/A (Not found)")</f>
        <v>N/A (Not found)</v>
      </c>
      <c r="V341" s="33">
        <f>IFERROR(__xludf.DUMMYFUNCTION("""COMPUTED_VALUE"""),0.9545454545454546)</f>
        <v>0.9545454545</v>
      </c>
      <c r="W341" s="4" t="str">
        <f>IFERROR(__xludf.DUMMYFUNCTION("""COMPUTED_VALUE"""),"N/A (Not found)")</f>
        <v>N/A (Not found)</v>
      </c>
      <c r="X341" s="33">
        <f>IFERROR(__xludf.DUMMYFUNCTION("""COMPUTED_VALUE"""),0.9545454545454546)</f>
        <v>0.9545454545</v>
      </c>
    </row>
    <row r="342">
      <c r="A342" s="4" t="str">
        <f>IFERROR(__xludf.DUMMYFUNCTION("""COMPUTED_VALUE"""),"Gula Gula")</f>
        <v>Gula Gula</v>
      </c>
      <c r="B342" s="4">
        <f>IFERROR(__xludf.DUMMYFUNCTION("""COMPUTED_VALUE"""),15.0)</f>
        <v>15</v>
      </c>
      <c r="C342" s="30">
        <f>IFERROR(__xludf.DUMMYFUNCTION("""COMPUTED_VALUE"""),75.0)</f>
        <v>75</v>
      </c>
      <c r="D342" s="4" t="str">
        <f>IFERROR(__xludf.DUMMYFUNCTION("""COMPUTED_VALUE"""),"Fast Casual - Self-Service")</f>
        <v>Fast Casual - Self-Service</v>
      </c>
      <c r="E342" s="4" t="str">
        <f>IFERROR(__xludf.DUMMYFUNCTION("""COMPUTED_VALUE"""),"RJ/SP")</f>
        <v>RJ/SP</v>
      </c>
      <c r="F342" s="4" t="str">
        <f>IFERROR(__xludf.DUMMYFUNCTION("""COMPUTED_VALUE"""),"Dado não disponível")</f>
        <v>Dado não disponível</v>
      </c>
      <c r="G342" s="4">
        <f>IFERROR(__xludf.DUMMYFUNCTION("""COMPUTED_VALUE"""),70.0)</f>
        <v>70</v>
      </c>
      <c r="H342" s="31">
        <f>IFERROR(__xludf.DUMMYFUNCTION("""COMPUTED_VALUE"""),0.8)</f>
        <v>0.8</v>
      </c>
      <c r="I342" s="4" t="str">
        <f>IFERROR(__xludf.DUMMYFUNCTION("""COMPUTED_VALUE"""),"Alta aderência ao 3S: PDV não identificado. 3S oferece Kiosk nativo, Hub Delivery integrado e gestão centralizada multi-loja - diferenciais competitivos para expansão e redução de filas.")</f>
        <v>Alta aderência ao 3S: PDV não identificado. 3S oferece Kiosk nativo, Hub Delivery integrado e gestão centralizada multi-loja - diferenciais competitivos para expansão e redução de filas.</v>
      </c>
      <c r="K342" s="4" t="str">
        <f>IFERROR(__xludf.DUMMYFUNCTION("""COMPUTED_VALUE"""),"SUPERMERCADO ANGELONI - CONTA PAI")</f>
        <v>SUPERMERCADO ANGELONI - CONTA PAI</v>
      </c>
      <c r="L342" s="32">
        <f>IFERROR(__xludf.DUMMYFUNCTION("""COMPUTED_VALUE"""),22.0)</f>
        <v>22</v>
      </c>
      <c r="M342" s="4" t="str">
        <f>IFERROR(__xludf.DUMMYFUNCTION("""COMPUTED_VALUE"""),"N/A (Not found)")</f>
        <v>N/A (Not found)</v>
      </c>
      <c r="N342" s="33">
        <f>IFERROR(__xludf.DUMMYFUNCTION("""COMPUTED_VALUE"""),0.8636363636363636)</f>
        <v>0.8636363636</v>
      </c>
      <c r="O342" s="4" t="str">
        <f>IFERROR(__xludf.DUMMYFUNCTION("""COMPUTED_VALUE"""),"N/A (Not found)")</f>
        <v>N/A (Not found)</v>
      </c>
      <c r="P342" s="33">
        <f>IFERROR(__xludf.DUMMYFUNCTION("""COMPUTED_VALUE"""),0.8636363636363636)</f>
        <v>0.8636363636</v>
      </c>
      <c r="Q342" s="4" t="str">
        <f>IFERROR(__xludf.DUMMYFUNCTION("""COMPUTED_VALUE"""),"N/A (Not found)")</f>
        <v>N/A (Not found)</v>
      </c>
      <c r="R342" s="33">
        <f>IFERROR(__xludf.DUMMYFUNCTION("""COMPUTED_VALUE"""),0.8636363636363636)</f>
        <v>0.8636363636</v>
      </c>
      <c r="S342" s="4" t="str">
        <f>IFERROR(__xludf.DUMMYFUNCTION("""COMPUTED_VALUE"""),"N/A (Not found)")</f>
        <v>N/A (Not found)</v>
      </c>
      <c r="T342" s="33">
        <f>IFERROR(__xludf.DUMMYFUNCTION("""COMPUTED_VALUE"""),0.9090909090909091)</f>
        <v>0.9090909091</v>
      </c>
      <c r="U342" s="4" t="str">
        <f>IFERROR(__xludf.DUMMYFUNCTION("""COMPUTED_VALUE"""),"N/A (Not found)")</f>
        <v>N/A (Not found)</v>
      </c>
      <c r="V342" s="33">
        <f>IFERROR(__xludf.DUMMYFUNCTION("""COMPUTED_VALUE"""),1.0)</f>
        <v>1</v>
      </c>
      <c r="W342" s="4" t="str">
        <f>IFERROR(__xludf.DUMMYFUNCTION("""COMPUTED_VALUE"""),"N/A (Not found)")</f>
        <v>N/A (Not found)</v>
      </c>
      <c r="X342" s="33">
        <f>IFERROR(__xludf.DUMMYFUNCTION("""COMPUTED_VALUE"""),1.0)</f>
        <v>1</v>
      </c>
    </row>
    <row r="343">
      <c r="A343" s="4" t="str">
        <f>IFERROR(__xludf.DUMMYFUNCTION("""COMPUTED_VALUE"""),"KOMBIS HOT DOG")</f>
        <v>KOMBIS HOT DOG</v>
      </c>
      <c r="B343" s="4">
        <f>IFERROR(__xludf.DUMMYFUNCTION("""COMPUTED_VALUE"""),5.0)</f>
        <v>5</v>
      </c>
      <c r="C343" s="4" t="str">
        <f>IFERROR(__xludf.DUMMYFUNCTION("""COMPUTED_VALUE"""),"R$ 25-35")</f>
        <v>R$ 25-35</v>
      </c>
      <c r="D343" s="4" t="str">
        <f>IFERROR(__xludf.DUMMYFUNCTION("""COMPUTED_VALUE"""),"QSR - Quick Service Restaurant (Food Truck)")</f>
        <v>QSR - Quick Service Restaurant (Food Truck)</v>
      </c>
      <c r="E343" s="4" t="str">
        <f>IFERROR(__xludf.DUMMYFUNCTION("""COMPUTED_VALUE"""),"Matriz: Campinas/SP. 5 unidades em bairros de Campinas (Jardim Londres, Swift, Vila Aeroporto, Campo Grande, Barão Geraldo). Foco regional sem expansão nacional")</f>
        <v>Matriz: Campinas/SP. 5 unidades em bairros de Campinas (Jardim Londres, Swift, Vila Aeroporto, Campo Grande, Barão Geraldo). Foco regional sem expansão nacional</v>
      </c>
      <c r="F343" s="4" t="str">
        <f>IFERROR(__xludf.DUMMYFUNCTION("""COMPUTED_VALUE"""),"Dado não disponível publicamente - Necessário Discovery")</f>
        <v>Dado não disponível publicamente - Necessário Discovery</v>
      </c>
      <c r="G343" s="4">
        <f>IFERROR(__xludf.DUMMYFUNCTION("""COMPUTED_VALUE"""),35.0)</f>
        <v>35</v>
      </c>
      <c r="H343" s="31">
        <f>IFERROR(__xludf.DUMMYFUNCTION("""COMPUTED_VALUE"""),0.4)</f>
        <v>0.4</v>
      </c>
      <c r="I343" s="4" t="str">
        <f>IFERROR(__xludf.DUMMYFUNCTION("""COMPUTED_VALUE"""),"PDV atual não identificado. Operação em food trucks com múltiplos canais (WhatsApp, delivery, presencial) indica necessidade de unificação de pedidos. 3S E-Deploy poderia centralizar operação e simplificar gestão de 5 pontos móveis.")</f>
        <v>PDV atual não identificado. Operação em food trucks com múltiplos canais (WhatsApp, delivery, presencial) indica necessidade de unificação de pedidos. 3S E-Deploy poderia centralizar operação e simplificar gestão de 5 pontos móveis.</v>
      </c>
      <c r="K343" s="4" t="str">
        <f>IFERROR(__xludf.DUMMYFUNCTION("""COMPUTED_VALUE"""),"VEGAS PIZZARIA E ESFIHARIA")</f>
        <v>VEGAS PIZZARIA E ESFIHARIA</v>
      </c>
      <c r="L343" s="32">
        <f>IFERROR(__xludf.DUMMYFUNCTION("""COMPUTED_VALUE"""),22.0)</f>
        <v>22</v>
      </c>
      <c r="M343" s="4" t="str">
        <f>IFERROR(__xludf.DUMMYFUNCTION("""COMPUTED_VALUE"""),"null")</f>
        <v>null</v>
      </c>
      <c r="N343" s="33">
        <f>IFERROR(__xludf.DUMMYFUNCTION("""COMPUTED_VALUE"""),0.7727272727272727)</f>
        <v>0.7727272727</v>
      </c>
      <c r="O343" s="4" t="str">
        <f>IFERROR(__xludf.DUMMYFUNCTION("""COMPUTED_VALUE"""),"null")</f>
        <v>null</v>
      </c>
      <c r="P343" s="33">
        <f>IFERROR(__xludf.DUMMYFUNCTION("""COMPUTED_VALUE"""),0.7727272727272727)</f>
        <v>0.7727272727</v>
      </c>
      <c r="Q343" s="4" t="str">
        <f>IFERROR(__xludf.DUMMYFUNCTION("""COMPUTED_VALUE"""),"null")</f>
        <v>null</v>
      </c>
      <c r="R343" s="33">
        <f>IFERROR(__xludf.DUMMYFUNCTION("""COMPUTED_VALUE"""),1.0)</f>
        <v>1</v>
      </c>
      <c r="S343" s="4" t="str">
        <f>IFERROR(__xludf.DUMMYFUNCTION("""COMPUTED_VALUE"""),"null")</f>
        <v>null</v>
      </c>
      <c r="T343" s="33">
        <f>IFERROR(__xludf.DUMMYFUNCTION("""COMPUTED_VALUE"""),1.0)</f>
        <v>1</v>
      </c>
      <c r="U343" s="4" t="str">
        <f>IFERROR(__xludf.DUMMYFUNCTION("""COMPUTED_VALUE"""),"null")</f>
        <v>null</v>
      </c>
      <c r="V343" s="33">
        <f>IFERROR(__xludf.DUMMYFUNCTION("""COMPUTED_VALUE"""),0.6818181818181818)</f>
        <v>0.6818181818</v>
      </c>
      <c r="W343" s="4" t="str">
        <f>IFERROR(__xludf.DUMMYFUNCTION("""COMPUTED_VALUE"""),"Cardápio Web")</f>
        <v>Cardápio Web</v>
      </c>
      <c r="X343" s="33">
        <f>IFERROR(__xludf.DUMMYFUNCTION("""COMPUTED_VALUE"""),0.7727272727272727)</f>
        <v>0.7727272727</v>
      </c>
    </row>
    <row r="344">
      <c r="A344" s="4" t="str">
        <f>IFERROR(__xludf.DUMMYFUNCTION("""COMPUTED_VALUE"""),"MR MAKI")</f>
        <v>MR MAKI</v>
      </c>
      <c r="B344" s="4">
        <f>IFERROR(__xludf.DUMMYFUNCTION("""COMPUTED_VALUE"""),4.0)</f>
        <v>4</v>
      </c>
      <c r="C344" s="4" t="str">
        <f>IFERROR(__xludf.DUMMYFUNCTION("""COMPUTED_VALUE"""),"R$ 80-100")</f>
        <v>R$ 80-100</v>
      </c>
      <c r="D344" s="4" t="str">
        <f>IFERROR(__xludf.DUMMYFUNCTION("""COMPUTED_VALUE"""),"Fast Casual - Restaurante Japonês com delivery")</f>
        <v>Fast Casual - Restaurante Japonês com delivery</v>
      </c>
      <c r="E344" s="4" t="str">
        <f>IFERROR(__xludf.DUMMYFUNCTION("""COMPUTED_VALUE"""),"Matriz: Rio de Janeiro/RJ. 4 unidades no RJ (Barra, Recreio, Jardim Oceânico, Shopping Millennium). Operação regional sem evidência de expansão")</f>
        <v>Matriz: Rio de Janeiro/RJ. 4 unidades no RJ (Barra, Recreio, Jardim Oceânico, Shopping Millennium). Operação regional sem evidência de expansão</v>
      </c>
      <c r="F344" s="4" t="str">
        <f>IFERROR(__xludf.DUMMYFUNCTION("""COMPUTED_VALUE"""),"Dado não disponível publicamente - Necessário Discovery")</f>
        <v>Dado não disponível publicamente - Necessário Discovery</v>
      </c>
      <c r="G344" s="4">
        <f>IFERROR(__xludf.DUMMYFUNCTION("""COMPUTED_VALUE"""),42.0)</f>
        <v>42</v>
      </c>
      <c r="H344" s="31">
        <f>IFERROR(__xludf.DUMMYFUNCTION("""COMPUTED_VALUE"""),0.48)</f>
        <v>0.48</v>
      </c>
      <c r="I344" s="4" t="str">
        <f>IFERROR(__xludf.DUMMYFUNCTION("""COMPUTED_VALUE"""),"PDV atual não identificado. Operação multi-canal (delivery forte via app + buffet a quilo + festival premium) necessita integração. 3S oferece solução para unificar PDV físico com delivery e gestão de cardápio variável.")</f>
        <v>PDV atual não identificado. Operação multi-canal (delivery forte via app + buffet a quilo + festival premium) necessita integração. 3S oferece solução para unificar PDV físico com delivery e gestão de cardápio variável.</v>
      </c>
      <c r="K344" s="4" t="str">
        <f>IFERROR(__xludf.DUMMYFUNCTION("""COMPUTED_VALUE"""),"EL PATRON")</f>
        <v>EL PATRON</v>
      </c>
      <c r="L344" s="32">
        <f>IFERROR(__xludf.DUMMYFUNCTION("""COMPUTED_VALUE"""),21.0)</f>
        <v>21</v>
      </c>
      <c r="M344" s="4" t="str">
        <f>IFERROR(__xludf.DUMMYFUNCTION("""COMPUTED_VALUE"""),"Totvs Large Enterprise Tecnologia S.a.")</f>
        <v>Totvs Large Enterprise Tecnologia S.a.</v>
      </c>
      <c r="N344" s="33">
        <f>IFERROR(__xludf.DUMMYFUNCTION("""COMPUTED_VALUE"""),0.8571428571428571)</f>
        <v>0.8571428571</v>
      </c>
      <c r="O344" s="4" t="str">
        <f>IFERROR(__xludf.DUMMYFUNCTION("""COMPUTED_VALUE"""),"Totvs Large Enterprise Tecnologia S.a.")</f>
        <v>Totvs Large Enterprise Tecnologia S.a.</v>
      </c>
      <c r="P344" s="33">
        <f>IFERROR(__xludf.DUMMYFUNCTION("""COMPUTED_VALUE"""),0.5714285714285714)</f>
        <v>0.5714285714</v>
      </c>
      <c r="Q344" s="4" t="str">
        <f>IFERROR(__xludf.DUMMYFUNCTION("""COMPUTED_VALUE"""),"Totvs Large Enterprise Tecnologia S.a.")</f>
        <v>Totvs Large Enterprise Tecnologia S.a.</v>
      </c>
      <c r="R344" s="33">
        <f>IFERROR(__xludf.DUMMYFUNCTION("""COMPUTED_VALUE"""),0.5238095238095238)</f>
        <v>0.5238095238</v>
      </c>
      <c r="S344" s="4" t="str">
        <f>IFERROR(__xludf.DUMMYFUNCTION("""COMPUTED_VALUE"""),"null")</f>
        <v>null</v>
      </c>
      <c r="T344" s="33">
        <f>IFERROR(__xludf.DUMMYFUNCTION("""COMPUTED_VALUE"""),0.5714285714285714)</f>
        <v>0.5714285714</v>
      </c>
      <c r="U344" s="4" t="str">
        <f>IFERROR(__xludf.DUMMYFUNCTION("""COMPUTED_VALUE"""),"Totvs Large Enterprise Tecnologia S.a.")</f>
        <v>Totvs Large Enterprise Tecnologia S.a.</v>
      </c>
      <c r="V344" s="33">
        <f>IFERROR(__xludf.DUMMYFUNCTION("""COMPUTED_VALUE"""),0.5238095238095238)</f>
        <v>0.5238095238</v>
      </c>
      <c r="W344" s="4" t="str">
        <f>IFERROR(__xludf.DUMMYFUNCTION("""COMPUTED_VALUE"""),"Totvs Large Enterprise Tecnologia S.a.")</f>
        <v>Totvs Large Enterprise Tecnologia S.a.</v>
      </c>
      <c r="X344" s="33">
        <f>IFERROR(__xludf.DUMMYFUNCTION("""COMPUTED_VALUE"""),0.5238095238095238)</f>
        <v>0.5238095238</v>
      </c>
    </row>
    <row r="345">
      <c r="A345" s="4" t="str">
        <f>IFERROR(__xludf.DUMMYFUNCTION("""COMPUTED_VALUE"""),"REZENDOG FAST FOOD")</f>
        <v>REZENDOG FAST FOOD</v>
      </c>
      <c r="B345" s="4">
        <f>IFERROR(__xludf.DUMMYFUNCTION("""COMPUTED_VALUE"""),4.0)</f>
        <v>4</v>
      </c>
      <c r="C345" s="4" t="str">
        <f>IFERROR(__xludf.DUMMYFUNCTION("""COMPUTED_VALUE"""),"R$ 45-60")</f>
        <v>R$ 45-60</v>
      </c>
      <c r="D345" s="4" t="str">
        <f>IFERROR(__xludf.DUMMYFUNCTION("""COMPUTED_VALUE"""),"QSR - Quick Service Restaurant (Hot Dog especializado)")</f>
        <v>QSR - Quick Service Restaurant (Hot Dog especializado)</v>
      </c>
      <c r="E345" s="4" t="str">
        <f>IFERROR(__xludf.DUMMYFUNCTION("""COMPUTED_VALUE"""),"Matriz: Londrina/PR. 4 lojas no Paraná (Londrina, Maringá, Cambé, Bandeirantes). Expansão local, meta agressiva de 1.000 unidades até 2030")</f>
        <v>Matriz: Londrina/PR. 4 lojas no Paraná (Londrina, Maringá, Cambé, Bandeirantes). Expansão local, meta agressiva de 1.000 unidades até 2030</v>
      </c>
      <c r="F345" s="4" t="str">
        <f>IFERROR(__xludf.DUMMYFUNCTION("""COMPUTED_VALUE"""),"R$ 60 milhões projetados para rede completa (baseado em modelo de franquia: R$ 220-400k/mês por loja Full Service)")</f>
        <v>R$ 60 milhões projetados para rede completa (baseado em modelo de franquia: R$ 220-400k/mês por loja Full Service)</v>
      </c>
      <c r="G345" s="4">
        <f>IFERROR(__xludf.DUMMYFUNCTION("""COMPUTED_VALUE"""),58.0)</f>
        <v>58</v>
      </c>
      <c r="H345" s="31">
        <f>IFERROR(__xludf.DUMMYFUNCTION("""COMPUTED_VALUE"""),0.62)</f>
        <v>0.62</v>
      </c>
      <c r="I345" s="4" t="str">
        <f>IFERROR(__xludf.DUMMYFUNCTION("""COMPUTED_VALUE"""),"PDV atual não identificado. Rede jovem (2022) em fase de escala de franquias. 3S pode ser integrador estratégico para padronização desde o início, garantindo consistência operacional na expansão. E-Deploy facilita replicação do modelo.")</f>
        <v>PDV atual não identificado. Rede jovem (2022) em fase de escala de franquias. 3S pode ser integrador estratégico para padronização desde o início, garantindo consistência operacional na expansão. E-Deploy facilita replicação do modelo.</v>
      </c>
      <c r="K345" s="4" t="str">
        <f>IFERROR(__xludf.DUMMYFUNCTION("""COMPUTED_VALUE"""),"ASSIFAR - CONTA MARCA")</f>
        <v>ASSIFAR - CONTA MARCA</v>
      </c>
      <c r="L345" s="32">
        <f>IFERROR(__xludf.DUMMYFUNCTION("""COMPUTED_VALUE"""),21.0)</f>
        <v>21</v>
      </c>
      <c r="M345" s="4" t="str">
        <f>IFERROR(__xludf.DUMMYFUNCTION("""COMPUTED_VALUE"""),"N/A (Not found)")</f>
        <v>N/A (Not found)</v>
      </c>
      <c r="N345" s="33">
        <f>IFERROR(__xludf.DUMMYFUNCTION("""COMPUTED_VALUE"""),0.9523809523809523)</f>
        <v>0.9523809524</v>
      </c>
      <c r="O345" s="4" t="str">
        <f>IFERROR(__xludf.DUMMYFUNCTION("""COMPUTED_VALUE"""),"N/A (Not found)")</f>
        <v>N/A (Not found)</v>
      </c>
      <c r="P345" s="33">
        <f>IFERROR(__xludf.DUMMYFUNCTION("""COMPUTED_VALUE"""),0.9523809523809523)</f>
        <v>0.9523809524</v>
      </c>
      <c r="Q345" s="4" t="str">
        <f>IFERROR(__xludf.DUMMYFUNCTION("""COMPUTED_VALUE"""),"N/A (Not found)")</f>
        <v>N/A (Not found)</v>
      </c>
      <c r="R345" s="33">
        <f>IFERROR(__xludf.DUMMYFUNCTION("""COMPUTED_VALUE"""),0.9523809523809523)</f>
        <v>0.9523809524</v>
      </c>
      <c r="S345" s="4" t="str">
        <f>IFERROR(__xludf.DUMMYFUNCTION("""COMPUTED_VALUE"""),"N/A (Not found)")</f>
        <v>N/A (Not found)</v>
      </c>
      <c r="T345" s="33">
        <f>IFERROR(__xludf.DUMMYFUNCTION("""COMPUTED_VALUE"""),1.0)</f>
        <v>1</v>
      </c>
      <c r="U345" s="4" t="str">
        <f>IFERROR(__xludf.DUMMYFUNCTION("""COMPUTED_VALUE"""),"N/A (Not found)")</f>
        <v>N/A (Not found)</v>
      </c>
      <c r="V345" s="33">
        <f>IFERROR(__xludf.DUMMYFUNCTION("""COMPUTED_VALUE"""),1.0)</f>
        <v>1</v>
      </c>
      <c r="W345" s="4" t="str">
        <f>IFERROR(__xludf.DUMMYFUNCTION("""COMPUTED_VALUE"""),"N/A (Not found)")</f>
        <v>N/A (Not found)</v>
      </c>
      <c r="X345" s="33">
        <f>IFERROR(__xludf.DUMMYFUNCTION("""COMPUTED_VALUE"""),0.9047619047619048)</f>
        <v>0.9047619048</v>
      </c>
    </row>
    <row r="346">
      <c r="A346" s="4" t="str">
        <f>IFERROR(__xludf.DUMMYFUNCTION("""COMPUTED_VALUE"""),"Botanikafe")</f>
        <v>Botanikafe</v>
      </c>
      <c r="B346" s="4">
        <f>IFERROR(__xludf.DUMMYFUNCTION("""COMPUTED_VALUE"""),4.0)</f>
        <v>4</v>
      </c>
      <c r="C346" s="4" t="str">
        <f>IFERROR(__xludf.DUMMYFUNCTION("""COMPUTED_VALUE"""),"R$ 65-90")</f>
        <v>R$ 65-90</v>
      </c>
      <c r="D346" s="4" t="str">
        <f>IFERROR(__xludf.DUMMYFUNCTION("""COMPUTED_VALUE"""),"Fast Casual - Café/Brunch All Day")</f>
        <v>Fast Casual - Café/Brunch All Day</v>
      </c>
      <c r="E346" s="4" t="str">
        <f>IFERROR(__xludf.DUMMYFUNCTION("""COMPUTED_VALUE"""),"São Paulo/SP. 4 unidades (Jardins, Pinheiros, Café Bienal Ibirapuera). Operação concentrada em SP, público premium, sem expansão para outras cidades")</f>
        <v>São Paulo/SP. 4 unidades (Jardins, Pinheiros, Café Bienal Ibirapuera). Operação concentrada em SP, público premium, sem expansão para outras cidades</v>
      </c>
      <c r="F346" s="4" t="str">
        <f>IFERROR(__xludf.DUMMYFUNCTION("""COMPUTED_VALUE"""),"Dado não disponível publicamente - Necessário Discovery")</f>
        <v>Dado não disponível publicamente - Necessário Discovery</v>
      </c>
      <c r="G346" s="4">
        <f>IFERROR(__xludf.DUMMYFUNCTION("""COMPUTED_VALUE"""),52.0)</f>
        <v>52</v>
      </c>
      <c r="H346" s="31">
        <f>IFERROR(__xludf.DUMMYFUNCTION("""COMPUTED_VALUE"""),0.55)</f>
        <v>0.55</v>
      </c>
      <c r="I346" s="4" t="str">
        <f>IFERROR(__xludf.DUMMYFUNCTION("""COMPUTED_VALUE"""),"PDV atual não identificado. Ambiente instagramável com filas frequentes indica necessidade de agilidade no atendimento. 3S Kiosk reduziria tempo de espera e melhoraria experiência em horários de pico (finais de semana).")</f>
        <v>PDV atual não identificado. Ambiente instagramável com filas frequentes indica necessidade de agilidade no atendimento. 3S Kiosk reduziria tempo de espera e melhoraria experiência em horários de pico (finais de semana).</v>
      </c>
      <c r="K346" s="4" t="str">
        <f>IFERROR(__xludf.DUMMYFUNCTION("""COMPUTED_VALUE"""),"BISCOITE - CONTA MARCA")</f>
        <v>BISCOITE - CONTA MARCA</v>
      </c>
      <c r="L346" s="32">
        <f>IFERROR(__xludf.DUMMYFUNCTION("""COMPUTED_VALUE"""),21.0)</f>
        <v>21</v>
      </c>
      <c r="M346" s="4" t="str">
        <f>IFERROR(__xludf.DUMMYFUNCTION("""COMPUTED_VALUE"""),"null")</f>
        <v>null</v>
      </c>
      <c r="N346" s="33">
        <f>IFERROR(__xludf.DUMMYFUNCTION("""COMPUTED_VALUE"""),1.0)</f>
        <v>1</v>
      </c>
      <c r="O346" s="4" t="str">
        <f>IFERROR(__xludf.DUMMYFUNCTION("""COMPUTED_VALUE"""),"null")</f>
        <v>null</v>
      </c>
      <c r="P346" s="33">
        <f>IFERROR(__xludf.DUMMYFUNCTION("""COMPUTED_VALUE"""),1.0)</f>
        <v>1</v>
      </c>
      <c r="Q346" s="4" t="str">
        <f>IFERROR(__xludf.DUMMYFUNCTION("""COMPUTED_VALUE"""),"null")</f>
        <v>null</v>
      </c>
      <c r="R346" s="33">
        <f>IFERROR(__xludf.DUMMYFUNCTION("""COMPUTED_VALUE"""),1.0)</f>
        <v>1</v>
      </c>
      <c r="S346" s="4" t="str">
        <f>IFERROR(__xludf.DUMMYFUNCTION("""COMPUTED_VALUE"""),"Ld Consultoria Em Gestão Empresarial")</f>
        <v>Ld Consultoria Em Gestão Empresarial</v>
      </c>
      <c r="T346" s="33">
        <f>IFERROR(__xludf.DUMMYFUNCTION("""COMPUTED_VALUE"""),0.7619047619047619)</f>
        <v>0.7619047619</v>
      </c>
      <c r="U346" s="4" t="str">
        <f>IFERROR(__xludf.DUMMYFUNCTION("""COMPUTED_VALUE"""),"Ld Consultoria Em Gestão Empresarial")</f>
        <v>Ld Consultoria Em Gestão Empresarial</v>
      </c>
      <c r="V346" s="33">
        <f>IFERROR(__xludf.DUMMYFUNCTION("""COMPUTED_VALUE"""),0.9047619047619048)</f>
        <v>0.9047619048</v>
      </c>
      <c r="W346" s="4" t="str">
        <f>IFERROR(__xludf.DUMMYFUNCTION("""COMPUTED_VALUE"""),"null")</f>
        <v>null</v>
      </c>
      <c r="X346" s="33">
        <f>IFERROR(__xludf.DUMMYFUNCTION("""COMPUTED_VALUE"""),0.8095238095238095)</f>
        <v>0.8095238095</v>
      </c>
    </row>
    <row r="347">
      <c r="A347" s="4" t="str">
        <f>IFERROR(__xludf.DUMMYFUNCTION("""COMPUTED_VALUE"""),"Gurume")</f>
        <v>Gurume</v>
      </c>
      <c r="B347" s="4">
        <f>IFERROR(__xludf.DUMMYFUNCTION("""COMPUTED_VALUE"""),10.0)</f>
        <v>10</v>
      </c>
      <c r="C347" s="4" t="str">
        <f>IFERROR(__xludf.DUMMYFUNCTION("""COMPUTED_VALUE"""),"R$ 130-180")</f>
        <v>R$ 130-180</v>
      </c>
      <c r="D347" s="4" t="str">
        <f>IFERROR(__xludf.DUMMYFUNCTION("""COMPUTED_VALUE"""),"Fast Casual Premium - Restaurante Japonês Contemporâneo (Japa Fusion)")</f>
        <v>Fast Casual Premium - Restaurante Japonês Contemporâneo (Japa Fusion)</v>
      </c>
      <c r="E347" s="4" t="str">
        <f>IFERROR(__xludf.DUMMYFUNCTION("""COMPUTED_VALUE"""),"Matriz: Rio de Janeiro/RJ. 8 unidades no RJ (São Conrado, Ipanema, Tijuca, Barra, Botafogo, Leblon), 1 em Brasília/DF, 1 em São Paulo/SP. Expansão para capitais")</f>
        <v>Matriz: Rio de Janeiro/RJ. 8 unidades no RJ (São Conrado, Ipanema, Tijuca, Barra, Botafogo, Leblon), 1 em Brasília/DF, 1 em São Paulo/SP. Expansão para capitais</v>
      </c>
      <c r="F347" s="4" t="str">
        <f>IFERROR(__xludf.DUMMYFUNCTION("""COMPUTED_VALUE"""),"R$ 230 milhões (projeção 2024). Delivery representa 35% do faturamento. Grupo Trigo (dono) faturou R$ 1,8 bilhão em 2025")</f>
        <v>R$ 230 milhões (projeção 2024). Delivery representa 35% do faturamento. Grupo Trigo (dono) faturou R$ 1,8 bilhão em 2025</v>
      </c>
      <c r="G347" s="4">
        <f>IFERROR(__xludf.DUMMYFUNCTION("""COMPUTED_VALUE"""),78.0)</f>
        <v>78</v>
      </c>
      <c r="H347" s="31">
        <f>IFERROR(__xludf.DUMMYFUNCTION("""COMPUTED_VALUE"""),0.82)</f>
        <v>0.82</v>
      </c>
      <c r="I347" s="4" t="str">
        <f>IFERROR(__xludf.DUMMYFUNCTION("""COMPUTED_VALUE"""),"PDV atual não identificado. Operação sofisticada com forte delivery (35% faturamento) e presença em shoppings premium. 3S oferece integração PDV + delivery apps + gestão de cardápio complexo (fusion). E-Deploy permite replicação precisa em novas capitais.")</f>
        <v>PDV atual não identificado. Operação sofisticada com forte delivery (35% faturamento) e presença em shoppings premium. 3S oferece integração PDV + delivery apps + gestão de cardápio complexo (fusion). E-Deploy permite replicação precisa em novas capitais.</v>
      </c>
      <c r="K347" s="4" t="str">
        <f>IFERROR(__xludf.DUMMYFUNCTION("""COMPUTED_VALUE"""),"BOOMERANG MIX")</f>
        <v>BOOMERANG MIX</v>
      </c>
      <c r="L347" s="32">
        <f>IFERROR(__xludf.DUMMYFUNCTION("""COMPUTED_VALUE"""),21.0)</f>
        <v>21</v>
      </c>
      <c r="M347" s="4" t="str">
        <f>IFERROR(__xludf.DUMMYFUNCTION("""COMPUTED_VALUE"""),"F-rest Sistema Para Food Service Ltda")</f>
        <v>F-rest Sistema Para Food Service Ltda</v>
      </c>
      <c r="N347" s="33">
        <f>IFERROR(__xludf.DUMMYFUNCTION("""COMPUTED_VALUE"""),0.8571428571428571)</f>
        <v>0.8571428571</v>
      </c>
      <c r="O347" s="4" t="str">
        <f>IFERROR(__xludf.DUMMYFUNCTION("""COMPUTED_VALUE"""),"F-rest Sistema Para Food Service Ltda")</f>
        <v>F-rest Sistema Para Food Service Ltda</v>
      </c>
      <c r="P347" s="33">
        <f>IFERROR(__xludf.DUMMYFUNCTION("""COMPUTED_VALUE"""),0.6190476190476191)</f>
        <v>0.619047619</v>
      </c>
      <c r="Q347" s="4" t="str">
        <f>IFERROR(__xludf.DUMMYFUNCTION("""COMPUTED_VALUE"""),"F-rest Sistema Para Food Service Ltda")</f>
        <v>F-rest Sistema Para Food Service Ltda</v>
      </c>
      <c r="R347" s="33">
        <f>IFERROR(__xludf.DUMMYFUNCTION("""COMPUTED_VALUE"""),0.7142857142857143)</f>
        <v>0.7142857143</v>
      </c>
      <c r="S347" s="4" t="str">
        <f>IFERROR(__xludf.DUMMYFUNCTION("""COMPUTED_VALUE"""),"F-rest Sistema Para Food Service Ltda")</f>
        <v>F-rest Sistema Para Food Service Ltda</v>
      </c>
      <c r="T347" s="33">
        <f>IFERROR(__xludf.DUMMYFUNCTION("""COMPUTED_VALUE"""),0.5238095238095238)</f>
        <v>0.5238095238</v>
      </c>
      <c r="U347" s="4" t="str">
        <f>IFERROR(__xludf.DUMMYFUNCTION("""COMPUTED_VALUE"""),"null")</f>
        <v>null</v>
      </c>
      <c r="V347" s="33">
        <f>IFERROR(__xludf.DUMMYFUNCTION("""COMPUTED_VALUE"""),0.5238095238095238)</f>
        <v>0.5238095238</v>
      </c>
      <c r="W347" s="4" t="str">
        <f>IFERROR(__xludf.DUMMYFUNCTION("""COMPUTED_VALUE"""),"F-rest Sistema Para Food Service Ltda")</f>
        <v>F-rest Sistema Para Food Service Ltda</v>
      </c>
      <c r="X347" s="33">
        <f>IFERROR(__xludf.DUMMYFUNCTION("""COMPUTED_VALUE"""),0.5714285714285714)</f>
        <v>0.5714285714</v>
      </c>
    </row>
    <row r="348">
      <c r="A348" s="4" t="str">
        <f>IFERROR(__xludf.DUMMYFUNCTION("""COMPUTED_VALUE"""),"Habib's")</f>
        <v>Habib's</v>
      </c>
      <c r="B348" s="4">
        <f>IFERROR(__xludf.DUMMYFUNCTION("""COMPUTED_VALUE"""),600.0)</f>
        <v>600</v>
      </c>
      <c r="C348" s="4" t="str">
        <f>IFERROR(__xludf.DUMMYFUNCTION("""COMPUTED_VALUE"""),"R$ 35-50")</f>
        <v>R$ 35-50</v>
      </c>
      <c r="D348" s="4" t="str">
        <f>IFERROR(__xludf.DUMMYFUNCTION("""COMPUTED_VALUE"""),"QSR - Quick Service Restaurant (Fast-Food Árabe)")</f>
        <v>QSR - Quick Service Restaurant (Fast-Food Árabe)</v>
      </c>
      <c r="E348" s="4" t="str">
        <f>IFERROR(__xludf.DUMMYFUNCTION("""COMPUTED_VALUE"""),"Matriz: São Paulo/SP. Mais de 600 unidades em 18 estados brasileiros. Presença nacional consolidada com franquias, lojas próprias e quiosques")</f>
        <v>Matriz: São Paulo/SP. Mais de 600 unidades em 18 estados brasileiros. Presença nacional consolidada com franquias, lojas próprias e quiosques</v>
      </c>
      <c r="F348" s="4" t="str">
        <f>IFERROR(__xludf.DUMMYFUNCTION("""COMPUTED_VALUE"""),"R$ 2,7 bilhões (projeção 2025, crescimento 5% a.a.). Grupo Habib's inclui Ragazzo, Tendall")</f>
        <v>R$ 2,7 bilhões (projeção 2025, crescimento 5% a.a.). Grupo Habib's inclui Ragazzo, Tendall</v>
      </c>
      <c r="G348" s="4">
        <f>IFERROR(__xludf.DUMMYFUNCTION("""COMPUTED_VALUE"""),92.0)</f>
        <v>92</v>
      </c>
      <c r="H348" s="31">
        <f>IFERROR(__xludf.DUMMYFUNCTION("""COMPUTED_VALUE"""),0.95)</f>
        <v>0.95</v>
      </c>
      <c r="I348" s="4" t="str">
        <f>IFERROR(__xludf.DUMMYFUNCTION("""COMPUTED_VALUE"""),"ATUAL: TOTVS Protheus (ERP) + Linx/Degust PDV + RS Solutions (Android 100%, totens, Smart POS, KDS). COMPARATIVO: Habib's já possui stack robusto, mas 3S pode oferecer vantagens: (1) Custo-benefício superior com solução única vs. múltiplos vendors; (2) E-"&amp;"Deploy otimizado para fast-food com menos complexidade; (3) Melhor performance em kiosks com interface mais rápida. Oportunidade em expansão de quiosques (meta 400 até 2028).")</f>
        <v>ATUAL: TOTVS Protheus (ERP) + Linx/Degust PDV + RS Solutions (Android 100%, totens, Smart POS, KDS). COMPARATIVO: Habib's já possui stack robusto, mas 3S pode oferecer vantagens: (1) Custo-benefício superior com solução única vs. múltiplos vendors; (2) E-Deploy otimizado para fast-food com menos complexidade; (3) Melhor performance em kiosks com interface mais rápida. Oportunidade em expansão de quiosques (meta 400 até 2028).</v>
      </c>
      <c r="K348" s="4" t="str">
        <f>IFERROR(__xludf.DUMMYFUNCTION("""COMPUTED_VALUE"""),"CAFE CULTURA SC - CONTA MARCA")</f>
        <v>CAFE CULTURA SC - CONTA MARCA</v>
      </c>
      <c r="L348" s="32">
        <f>IFERROR(__xludf.DUMMYFUNCTION("""COMPUTED_VALUE"""),21.0)</f>
        <v>21</v>
      </c>
      <c r="M348" s="4" t="str">
        <f>IFERROR(__xludf.DUMMYFUNCTION("""COMPUTED_VALUE"""),"Totvs Large Enterprise Tecnologia S.a.")</f>
        <v>Totvs Large Enterprise Tecnologia S.a.</v>
      </c>
      <c r="N348" s="33">
        <f>IFERROR(__xludf.DUMMYFUNCTION("""COMPUTED_VALUE"""),0.7619047619047619)</f>
        <v>0.7619047619</v>
      </c>
      <c r="O348" s="4" t="str">
        <f>IFERROR(__xludf.DUMMYFUNCTION("""COMPUTED_VALUE"""),"Totvs Large Enterprise Tecnologia S.a.")</f>
        <v>Totvs Large Enterprise Tecnologia S.a.</v>
      </c>
      <c r="P348" s="33">
        <f>IFERROR(__xludf.DUMMYFUNCTION("""COMPUTED_VALUE"""),0.7619047619047619)</f>
        <v>0.7619047619</v>
      </c>
      <c r="Q348" s="4" t="str">
        <f>IFERROR(__xludf.DUMMYFUNCTION("""COMPUTED_VALUE"""),"Totvs Large Enterprise Tecnologia S.a.")</f>
        <v>Totvs Large Enterprise Tecnologia S.a.</v>
      </c>
      <c r="R348" s="33">
        <f>IFERROR(__xludf.DUMMYFUNCTION("""COMPUTED_VALUE"""),0.7619047619047619)</f>
        <v>0.7619047619</v>
      </c>
      <c r="S348" s="4" t="str">
        <f>IFERROR(__xludf.DUMMYFUNCTION("""COMPUTED_VALUE"""),"Totvs Large Enterprise Tecnologia S.a.")</f>
        <v>Totvs Large Enterprise Tecnologia S.a.</v>
      </c>
      <c r="T348" s="33">
        <f>IFERROR(__xludf.DUMMYFUNCTION("""COMPUTED_VALUE"""),0.7142857142857143)</f>
        <v>0.7142857143</v>
      </c>
      <c r="U348" s="4" t="str">
        <f>IFERROR(__xludf.DUMMYFUNCTION("""COMPUTED_VALUE"""),"Totvs Large Enterprise Tecnologia S.a.")</f>
        <v>Totvs Large Enterprise Tecnologia S.a.</v>
      </c>
      <c r="V348" s="33">
        <f>IFERROR(__xludf.DUMMYFUNCTION("""COMPUTED_VALUE"""),0.6666666666666666)</f>
        <v>0.6666666667</v>
      </c>
      <c r="W348" s="4" t="str">
        <f>IFERROR(__xludf.DUMMYFUNCTION("""COMPUTED_VALUE"""),"Totvs Large Enterprise Tecnologia S.a.")</f>
        <v>Totvs Large Enterprise Tecnologia S.a.</v>
      </c>
      <c r="X348" s="33">
        <f>IFERROR(__xludf.DUMMYFUNCTION("""COMPUTED_VALUE"""),0.6190476190476191)</f>
        <v>0.619047619</v>
      </c>
    </row>
    <row r="349">
      <c r="A349" s="4" t="str">
        <f>IFERROR(__xludf.DUMMYFUNCTION("""COMPUTED_VALUE"""),"Halipar Croasonho")</f>
        <v>Halipar Croasonho</v>
      </c>
      <c r="B349" s="4">
        <f>IFERROR(__xludf.DUMMYFUNCTION("""COMPUTED_VALUE"""),70.0)</f>
        <v>70</v>
      </c>
      <c r="C349" s="4" t="str">
        <f>IFERROR(__xludf.DUMMYFUNCTION("""COMPUTED_VALUE"""),"R$ 18-28")</f>
        <v>R$ 18-28</v>
      </c>
      <c r="D349" s="4" t="str">
        <f>IFERROR(__xludf.DUMMYFUNCTION("""COMPUTED_VALUE"""),"QSR - Quick Service (Croissants recheados em shoppings/quiosques)")</f>
        <v>QSR - Quick Service (Croissants recheados em shoppings/quiosques)</v>
      </c>
      <c r="E349" s="4" t="str">
        <f>IFERROR(__xludf.DUMMYFUNCTION("""COMPUTED_VALUE"""),"Matriz: Indaiatuba/SP (Grupo Halipar). Mais de 70 lojas em 13 estados, com forte presença em SP (22 unidades). Parte do grupo com 400 unidades total")</f>
        <v>Matriz: Indaiatuba/SP (Grupo Halipar). Mais de 70 lojas em 13 estados, com forte presença em SP (22 unidades). Parte do grupo com 400 unidades total</v>
      </c>
      <c r="F349" s="4" t="str">
        <f>IFERROR(__xludf.DUMMYFUNCTION("""COMPUTED_VALUE"""),"Faturamento médio R$ 75-120k/mês por loja. Grupo Halipar: R$ 850 milhões (2024)")</f>
        <v>Faturamento médio R$ 75-120k/mês por loja. Grupo Halipar: R$ 850 milhões (2024)</v>
      </c>
      <c r="G349" s="4">
        <f>IFERROR(__xludf.DUMMYFUNCTION("""COMPUTED_VALUE"""),72.0)</f>
        <v>72</v>
      </c>
      <c r="H349" s="31">
        <f>IFERROR(__xludf.DUMMYFUNCTION("""COMPUTED_VALUE"""),0.76)</f>
        <v>0.76</v>
      </c>
      <c r="I349" s="4" t="str">
        <f>IFERROR(__xludf.DUMMYFUNCTION("""COMPUTED_VALUE"""),"PDV atual não identificado (grupo usa tecnologia centralizada para 4 marcas). Operação em quiosques e praças de alimentação requer PDV compacto e ágil. 3S oferece solução leve ideal para quiosques com gestão unificada no grupo Halipar.")</f>
        <v>PDV atual não identificado (grupo usa tecnologia centralizada para 4 marcas). Operação em quiosques e praças de alimentação requer PDV compacto e ágil. 3S oferece solução leve ideal para quiosques com gestão unificada no grupo Halipar.</v>
      </c>
      <c r="K349" s="4" t="str">
        <f>IFERROR(__xludf.DUMMYFUNCTION("""COMPUTED_VALUE"""),"COMENDADOR BURGUER - CONTA MARCA - CONTRATO")</f>
        <v>COMENDADOR BURGUER - CONTA MARCA - CONTRATO</v>
      </c>
      <c r="L349" s="32">
        <f>IFERROR(__xludf.DUMMYFUNCTION("""COMPUTED_VALUE"""),21.0)</f>
        <v>21</v>
      </c>
      <c r="M349" s="4" t="str">
        <f>IFERROR(__xludf.DUMMYFUNCTION("""COMPUTED_VALUE"""),"Cloudfy")</f>
        <v>Cloudfy</v>
      </c>
      <c r="N349" s="33">
        <f>IFERROR(__xludf.DUMMYFUNCTION("""COMPUTED_VALUE"""),0.3333333333333333)</f>
        <v>0.3333333333</v>
      </c>
      <c r="O349" s="4" t="str">
        <f>IFERROR(__xludf.DUMMYFUNCTION("""COMPUTED_VALUE"""),"Cloudfy")</f>
        <v>Cloudfy</v>
      </c>
      <c r="P349" s="33">
        <f>IFERROR(__xludf.DUMMYFUNCTION("""COMPUTED_VALUE"""),0.3333333333333333)</f>
        <v>0.3333333333</v>
      </c>
      <c r="Q349" s="4" t="str">
        <f>IFERROR(__xludf.DUMMYFUNCTION("""COMPUTED_VALUE"""),"Cloudfy")</f>
        <v>Cloudfy</v>
      </c>
      <c r="R349" s="33">
        <f>IFERROR(__xludf.DUMMYFUNCTION("""COMPUTED_VALUE"""),0.3333333333333333)</f>
        <v>0.3333333333</v>
      </c>
      <c r="S349" s="4" t="str">
        <f>IFERROR(__xludf.DUMMYFUNCTION("""COMPUTED_VALUE"""),"Cloudfy")</f>
        <v>Cloudfy</v>
      </c>
      <c r="T349" s="33">
        <f>IFERROR(__xludf.DUMMYFUNCTION("""COMPUTED_VALUE"""),0.3333333333333333)</f>
        <v>0.3333333333</v>
      </c>
      <c r="U349" s="4" t="str">
        <f>IFERROR(__xludf.DUMMYFUNCTION("""COMPUTED_VALUE"""),"Saipos Serviços De Software")</f>
        <v>Saipos Serviços De Software</v>
      </c>
      <c r="V349" s="33">
        <f>IFERROR(__xludf.DUMMYFUNCTION("""COMPUTED_VALUE"""),0.3333333333333333)</f>
        <v>0.3333333333</v>
      </c>
      <c r="W349" s="4" t="str">
        <f>IFERROR(__xludf.DUMMYFUNCTION("""COMPUTED_VALUE"""),"Saipos Serviços De Software")</f>
        <v>Saipos Serviços De Software</v>
      </c>
      <c r="X349" s="33">
        <f>IFERROR(__xludf.DUMMYFUNCTION("""COMPUTED_VALUE"""),0.3333333333333333)</f>
        <v>0.3333333333</v>
      </c>
    </row>
    <row r="350">
      <c r="A350" s="4" t="str">
        <f>IFERROR(__xludf.DUMMYFUNCTION("""COMPUTED_VALUE"""),"Halipar Griletto")</f>
        <v>Halipar Griletto</v>
      </c>
      <c r="B350" s="4">
        <f>IFERROR(__xludf.DUMMYFUNCTION("""COMPUTED_VALUE"""),150.0)</f>
        <v>150</v>
      </c>
      <c r="C350" s="4" t="str">
        <f>IFERROR(__xludf.DUMMYFUNCTION("""COMPUTED_VALUE"""),"R$ 45-65")</f>
        <v>R$ 45-65</v>
      </c>
      <c r="D350" s="4" t="str">
        <f>IFERROR(__xludf.DUMMYFUNCTION("""COMPUTED_VALUE"""),"Fast Casual - Grelhados e Parmegianas")</f>
        <v>Fast Casual - Grelhados e Parmegianas</v>
      </c>
      <c r="E350" s="4" t="str">
        <f>IFERROR(__xludf.DUMMYFUNCTION("""COMPUTED_VALUE"""),"Matriz: Indaiatuba/SP (Grupo Halipar). Mais de 150 lojas em 14 estados. Meta de 200+ unidades. Parte do grupo com 400 unidades total")</f>
        <v>Matriz: Indaiatuba/SP (Grupo Halipar). Mais de 150 lojas em 14 estados. Meta de 200+ unidades. Parte do grupo com 400 unidades total</v>
      </c>
      <c r="F350" s="4" t="str">
        <f>IFERROR(__xludf.DUMMYFUNCTION("""COMPUTED_VALUE"""),"Faturamento médio R$ 150k/mês por loja. Grupo Halipar: R$ 850 milhões (2024)")</f>
        <v>Faturamento médio R$ 150k/mês por loja. Grupo Halipar: R$ 850 milhões (2024)</v>
      </c>
      <c r="G350" s="4">
        <f>IFERROR(__xludf.DUMMYFUNCTION("""COMPUTED_VALUE"""),75.0)</f>
        <v>75</v>
      </c>
      <c r="H350" s="31">
        <f>IFERROR(__xludf.DUMMYFUNCTION("""COMPUTED_VALUE"""),0.79)</f>
        <v>0.79</v>
      </c>
      <c r="I350" s="4" t="str">
        <f>IFERROR(__xludf.DUMMYFUNCTION("""COMPUTED_VALUE"""),"PDV atual não identificado (grupo Halipar usa sistema centralizado). Operação de médio porte em shoppings com meta agressiva (200 unidades). 3S E-Deploy é ideal para padronização de franquias em expansão, garantindo consistência operacional.")</f>
        <v>PDV atual não identificado (grupo Halipar usa sistema centralizado). Operação de médio porte em shoppings com meta agressiva (200 unidades). 3S E-Deploy é ideal para padronização de franquias em expansão, garantindo consistência operacional.</v>
      </c>
      <c r="K350" s="4" t="str">
        <f>IFERROR(__xludf.DUMMYFUNCTION("""COMPUTED_VALUE"""),"GRUPO - ACAI PURISSIMO")</f>
        <v>GRUPO - ACAI PURISSIMO</v>
      </c>
      <c r="L350" s="32">
        <f>IFERROR(__xludf.DUMMYFUNCTION("""COMPUTED_VALUE"""),21.0)</f>
        <v>21</v>
      </c>
      <c r="M350" s="4" t="str">
        <f>IFERROR(__xludf.DUMMYFUNCTION("""COMPUTED_VALUE"""),"Unika Sistemas Ltda")</f>
        <v>Unika Sistemas Ltda</v>
      </c>
      <c r="N350" s="33">
        <f>IFERROR(__xludf.DUMMYFUNCTION("""COMPUTED_VALUE"""),1.0)</f>
        <v>1</v>
      </c>
      <c r="O350" s="4" t="str">
        <f>IFERROR(__xludf.DUMMYFUNCTION("""COMPUTED_VALUE"""),"Unika Sistemas Ltda")</f>
        <v>Unika Sistemas Ltda</v>
      </c>
      <c r="P350" s="33">
        <f>IFERROR(__xludf.DUMMYFUNCTION("""COMPUTED_VALUE"""),1.0)</f>
        <v>1</v>
      </c>
      <c r="Q350" s="4" t="str">
        <f>IFERROR(__xludf.DUMMYFUNCTION("""COMPUTED_VALUE"""),"Unika Sistemas Ltda")</f>
        <v>Unika Sistemas Ltda</v>
      </c>
      <c r="R350" s="33">
        <f>IFERROR(__xludf.DUMMYFUNCTION("""COMPUTED_VALUE"""),1.0)</f>
        <v>1</v>
      </c>
      <c r="S350" s="4" t="str">
        <f>IFERROR(__xludf.DUMMYFUNCTION("""COMPUTED_VALUE"""),"Unika Sistemas Ltda")</f>
        <v>Unika Sistemas Ltda</v>
      </c>
      <c r="T350" s="33">
        <f>IFERROR(__xludf.DUMMYFUNCTION("""COMPUTED_VALUE"""),0.9523809523809523)</f>
        <v>0.9523809524</v>
      </c>
      <c r="U350" s="4" t="str">
        <f>IFERROR(__xludf.DUMMYFUNCTION("""COMPUTED_VALUE"""),"Unika Sistemas Ltda")</f>
        <v>Unika Sistemas Ltda</v>
      </c>
      <c r="V350" s="33">
        <f>IFERROR(__xludf.DUMMYFUNCTION("""COMPUTED_VALUE"""),0.9047619047619048)</f>
        <v>0.9047619048</v>
      </c>
      <c r="W350" s="4" t="str">
        <f>IFERROR(__xludf.DUMMYFUNCTION("""COMPUTED_VALUE"""),"Unika Sistemas Ltda")</f>
        <v>Unika Sistemas Ltda</v>
      </c>
      <c r="X350" s="33">
        <f>IFERROR(__xludf.DUMMYFUNCTION("""COMPUTED_VALUE"""),0.7619047619047619)</f>
        <v>0.7619047619</v>
      </c>
    </row>
    <row r="351">
      <c r="A351" s="4" t="str">
        <f>IFERROR(__xludf.DUMMYFUNCTION("""COMPUTED_VALUE"""),"Halipar Jinjin")</f>
        <v>Halipar Jinjin</v>
      </c>
      <c r="B351" s="4">
        <f>IFERROR(__xludf.DUMMYFUNCTION("""COMPUTED_VALUE"""),73.0)</f>
        <v>73</v>
      </c>
      <c r="C351" s="4" t="str">
        <f>IFERROR(__xludf.DUMMYFUNCTION("""COMPUTED_VALUE"""),"R$ 35-50")</f>
        <v>R$ 35-50</v>
      </c>
      <c r="D351" s="4" t="str">
        <f>IFERROR(__xludf.DUMMYFUNCTION("""COMPUTED_VALUE"""),"QSR - Quick Service (Culinária Asiática em shoppings)")</f>
        <v>QSR - Quick Service (Culinária Asiática em shoppings)</v>
      </c>
      <c r="E351" s="4" t="str">
        <f>IFERROR(__xludf.DUMMYFUNCTION("""COMPUTED_VALUE"""),"Matriz: Indaiatuba/SP (Grupo Halipar). 73 lojas em 18 estados, 42 só em SP. Maior rede de culinária asiática fast-food do Brasil. Parte do grupo com 400 unidades total")</f>
        <v>Matriz: Indaiatuba/SP (Grupo Halipar). 73 lojas em 18 estados, 42 só em SP. Maior rede de culinária asiática fast-food do Brasil. Parte do grupo com 400 unidades total</v>
      </c>
      <c r="F351" s="4" t="str">
        <f>IFERROR(__xludf.DUMMYFUNCTION("""COMPUTED_VALUE"""),"Grupo Halipar: R$ 850 milhões (2024). Jin Jin representa parte significativa")</f>
        <v>Grupo Halipar: R$ 850 milhões (2024). Jin Jin representa parte significativa</v>
      </c>
      <c r="G351" s="4">
        <f>IFERROR(__xludf.DUMMYFUNCTION("""COMPUTED_VALUE"""),74.0)</f>
        <v>74</v>
      </c>
      <c r="H351" s="31">
        <f>IFERROR(__xludf.DUMMYFUNCTION("""COMPUTED_VALUE"""),0.78)</f>
        <v>0.78</v>
      </c>
      <c r="I351" s="4" t="str">
        <f>IFERROR(__xludf.DUMMYFUNCTION("""COMPUTED_VALUE"""),"PDV atual não identificado (grupo Halipar centralizado). Maior rede de asiático fast-food no Brasil, operação em shoppings com alto volume. 3S oferece PDV otimizado para combos e gestão de cardápio extenso típico de asiático.")</f>
        <v>PDV atual não identificado (grupo Halipar centralizado). Maior rede de asiático fast-food no Brasil, operação em shoppings com alto volume. 3S oferece PDV otimizado para combos e gestão de cardápio extenso típico de asiático.</v>
      </c>
      <c r="K351" s="4" t="str">
        <f>IFERROR(__xludf.DUMMYFUNCTION("""COMPUTED_VALUE"""),"HORA DO PASTEL - CONTA MARCA")</f>
        <v>HORA DO PASTEL - CONTA MARCA</v>
      </c>
      <c r="L351" s="32">
        <f>IFERROR(__xludf.DUMMYFUNCTION("""COMPUTED_VALUE"""),21.0)</f>
        <v>21</v>
      </c>
      <c r="M351" s="4" t="str">
        <f>IFERROR(__xludf.DUMMYFUNCTION("""COMPUTED_VALUE"""),"Opdv")</f>
        <v>Opdv</v>
      </c>
      <c r="N351" s="33">
        <f>IFERROR(__xludf.DUMMYFUNCTION("""COMPUTED_VALUE"""),0.8095238095238095)</f>
        <v>0.8095238095</v>
      </c>
      <c r="O351" s="4" t="str">
        <f>IFERROR(__xludf.DUMMYFUNCTION("""COMPUTED_VALUE"""),"Opdv")</f>
        <v>Opdv</v>
      </c>
      <c r="P351" s="33">
        <f>IFERROR(__xludf.DUMMYFUNCTION("""COMPUTED_VALUE"""),0.7619047619047619)</f>
        <v>0.7619047619</v>
      </c>
      <c r="Q351" s="4" t="str">
        <f>IFERROR(__xludf.DUMMYFUNCTION("""COMPUTED_VALUE"""),"Opdv")</f>
        <v>Opdv</v>
      </c>
      <c r="R351" s="33">
        <f>IFERROR(__xludf.DUMMYFUNCTION("""COMPUTED_VALUE"""),0.7619047619047619)</f>
        <v>0.7619047619</v>
      </c>
      <c r="S351" s="4" t="str">
        <f>IFERROR(__xludf.DUMMYFUNCTION("""COMPUTED_VALUE"""),"Opdv")</f>
        <v>Opdv</v>
      </c>
      <c r="T351" s="33">
        <f>IFERROR(__xludf.DUMMYFUNCTION("""COMPUTED_VALUE"""),0.7142857142857143)</f>
        <v>0.7142857143</v>
      </c>
      <c r="U351" s="4" t="str">
        <f>IFERROR(__xludf.DUMMYFUNCTION("""COMPUTED_VALUE"""),"Opdv")</f>
        <v>Opdv</v>
      </c>
      <c r="V351" s="33">
        <f>IFERROR(__xludf.DUMMYFUNCTION("""COMPUTED_VALUE"""),0.7619047619047619)</f>
        <v>0.7619047619</v>
      </c>
      <c r="W351" s="4" t="str">
        <f>IFERROR(__xludf.DUMMYFUNCTION("""COMPUTED_VALUE"""),"Noah Sistemas Ltda")</f>
        <v>Noah Sistemas Ltda</v>
      </c>
      <c r="X351" s="33">
        <f>IFERROR(__xludf.DUMMYFUNCTION("""COMPUTED_VALUE"""),0.5714285714285714)</f>
        <v>0.5714285714</v>
      </c>
    </row>
    <row r="352">
      <c r="A352" s="4" t="str">
        <f>IFERROR(__xludf.DUMMYFUNCTION("""COMPUTED_VALUE"""),"Halipar Montana")</f>
        <v>Halipar Montana</v>
      </c>
      <c r="B352" s="4">
        <f>IFERROR(__xludf.DUMMYFUNCTION("""COMPUTED_VALUE"""),130.0)</f>
        <v>130</v>
      </c>
      <c r="C352" s="4" t="str">
        <f>IFERROR(__xludf.DUMMYFUNCTION("""COMPUTED_VALUE"""),"R$ 55-75")</f>
        <v>R$ 55-75</v>
      </c>
      <c r="D352" s="4" t="str">
        <f>IFERROR(__xludf.DUMMYFUNCTION("""COMPUTED_VALUE"""),"Fast Casual - Churrascaria/Grill em shoppings")</f>
        <v>Fast Casual - Churrascaria/Grill em shoppings</v>
      </c>
      <c r="E352" s="4" t="str">
        <f>IFERROR(__xludf.DUMMYFUNCTION("""COMPUTED_VALUE"""),"Matriz: Indaiatuba/SP (Grupo Halipar). Mais de 130 lojas em 14 estados + DF. Expansão contínua em shoppings. Parte do grupo com 400 unidades total")</f>
        <v>Matriz: Indaiatuba/SP (Grupo Halipar). Mais de 130 lojas em 14 estados + DF. Expansão contínua em shoppings. Parte do grupo com 400 unidades total</v>
      </c>
      <c r="F352" s="4" t="str">
        <f>IFERROR(__xludf.DUMMYFUNCTION("""COMPUTED_VALUE"""),"Faturamento médio R$ 180k/mês por loja. Grupo Halipar: R$ 850 milhões (2024)")</f>
        <v>Faturamento médio R$ 180k/mês por loja. Grupo Halipar: R$ 850 milhões (2024)</v>
      </c>
      <c r="G352" s="4">
        <f>IFERROR(__xludf.DUMMYFUNCTION("""COMPUTED_VALUE"""),76.0)</f>
        <v>76</v>
      </c>
      <c r="H352" s="31">
        <f>IFERROR(__xludf.DUMMYFUNCTION("""COMPUTED_VALUE"""),0.8)</f>
        <v>0.8</v>
      </c>
      <c r="I352" s="4" t="str">
        <f>IFERROR(__xludf.DUMMYFUNCTION("""COMPUTED_VALUE"""),"PDV atual não identificado (grupo Halipar). Marca criada por Chitãozinho &amp; Xororó, forte identidade. Operação em shoppings com padrão elevado. 3S pode oferecer PDV com melhor experiência para cortes nobres e gestão de pontos/estoque.")</f>
        <v>PDV atual não identificado (grupo Halipar). Marca criada por Chitãozinho &amp; Xororó, forte identidade. Operação em shoppings com padrão elevado. 3S pode oferecer PDV com melhor experiência para cortes nobres e gestão de pontos/estoque.</v>
      </c>
      <c r="K352" s="4" t="str">
        <f>IFERROR(__xludf.DUMMYFUNCTION("""COMPUTED_VALUE"""),"KING SUSHI DELIVERY")</f>
        <v>KING SUSHI DELIVERY</v>
      </c>
      <c r="L352" s="32">
        <f>IFERROR(__xludf.DUMMYFUNCTION("""COMPUTED_VALUE"""),21.0)</f>
        <v>21</v>
      </c>
      <c r="M352" s="4" t="str">
        <f>IFERROR(__xludf.DUMMYFUNCTION("""COMPUTED_VALUE"""),"Opdv")</f>
        <v>Opdv</v>
      </c>
      <c r="N352" s="33">
        <f>IFERROR(__xludf.DUMMYFUNCTION("""COMPUTED_VALUE"""),0.7619047619047619)</f>
        <v>0.7619047619</v>
      </c>
      <c r="O352" s="4" t="str">
        <f>IFERROR(__xludf.DUMMYFUNCTION("""COMPUTED_VALUE"""),"Opdv")</f>
        <v>Opdv</v>
      </c>
      <c r="P352" s="33">
        <f>IFERROR(__xludf.DUMMYFUNCTION("""COMPUTED_VALUE"""),0.7142857142857143)</f>
        <v>0.7142857143</v>
      </c>
      <c r="Q352" s="4" t="str">
        <f>IFERROR(__xludf.DUMMYFUNCTION("""COMPUTED_VALUE"""),"Opdv")</f>
        <v>Opdv</v>
      </c>
      <c r="R352" s="33">
        <f>IFERROR(__xludf.DUMMYFUNCTION("""COMPUTED_VALUE"""),0.47619047619047616)</f>
        <v>0.4761904762</v>
      </c>
      <c r="S352" s="4" t="str">
        <f>IFERROR(__xludf.DUMMYFUNCTION("""COMPUTED_VALUE"""),"Saipos Serviços De Software")</f>
        <v>Saipos Serviços De Software</v>
      </c>
      <c r="T352" s="33">
        <f>IFERROR(__xludf.DUMMYFUNCTION("""COMPUTED_VALUE"""),0.5714285714285714)</f>
        <v>0.5714285714</v>
      </c>
      <c r="U352" s="4" t="str">
        <f>IFERROR(__xludf.DUMMYFUNCTION("""COMPUTED_VALUE"""),"Saipos Serviços De Software")</f>
        <v>Saipos Serviços De Software</v>
      </c>
      <c r="V352" s="33">
        <f>IFERROR(__xludf.DUMMYFUNCTION("""COMPUTED_VALUE"""),0.7142857142857143)</f>
        <v>0.7142857143</v>
      </c>
      <c r="W352" s="4" t="str">
        <f>IFERROR(__xludf.DUMMYFUNCTION("""COMPUTED_VALUE"""),"Saipos Serviços De Software")</f>
        <v>Saipos Serviços De Software</v>
      </c>
      <c r="X352" s="33">
        <f>IFERROR(__xludf.DUMMYFUNCTION("""COMPUTED_VALUE"""),0.7142857142857143)</f>
        <v>0.7142857143</v>
      </c>
    </row>
    <row r="353">
      <c r="A353" s="4" t="str">
        <f>IFERROR(__xludf.DUMMYFUNCTION("""COMPUTED_VALUE"""),"Hiro")</f>
        <v>Hiro</v>
      </c>
      <c r="B353" s="4">
        <f>IFERROR(__xludf.DUMMYFUNCTION("""COMPUTED_VALUE"""),4.0)</f>
        <v>4</v>
      </c>
      <c r="C353" s="4" t="str">
        <f>IFERROR(__xludf.DUMMYFUNCTION("""COMPUTED_VALUE"""),"R$ 80-110")</f>
        <v>R$ 80-110</v>
      </c>
      <c r="D353" s="4" t="str">
        <f>IFERROR(__xludf.DUMMYFUNCTION("""COMPUTED_VALUE"""),"Fast Casual - Restaurante Japonês Kaiten Sushi (esteira rolante)")</f>
        <v>Fast Casual - Restaurante Japonês Kaiten Sushi (esteira rolante)</v>
      </c>
      <c r="E353" s="4" t="str">
        <f>IFERROR(__xludf.DUMMYFUNCTION("""COMPUTED_VALUE"""),"São Paulo/SP. 4 unidades (Shopping Eldorado, Pátio Paulista, Center Shop). Operação local sem expansão nacional")</f>
        <v>São Paulo/SP. 4 unidades (Shopping Eldorado, Pátio Paulista, Center Shop). Operação local sem expansão nacional</v>
      </c>
      <c r="F353" s="4" t="str">
        <f>IFERROR(__xludf.DUMMYFUNCTION("""COMPUTED_VALUE"""),"Dado não disponível publicamente - Necessário Discovery")</f>
        <v>Dado não disponível publicamente - Necessário Discovery</v>
      </c>
      <c r="G353" s="4">
        <f>IFERROR(__xludf.DUMMYFUNCTION("""COMPUTED_VALUE"""),48.0)</f>
        <v>48</v>
      </c>
      <c r="H353" s="31">
        <f>IFERROR(__xludf.DUMMYFUNCTION("""COMPUTED_VALUE"""),0.52)</f>
        <v>0.52</v>
      </c>
      <c r="I353" s="4" t="str">
        <f>IFERROR(__xludf.DUMMYFUNCTION("""COMPUTED_VALUE"""),"PDV atual não identificado. Sistema kaiten (esteira) requer PDV simples para cobrança por cor de prato. 3S pode integrar contagem automática de pratos + pagamento ágil, reduzindo erros e tempo de checkout.")</f>
        <v>PDV atual não identificado. Sistema kaiten (esteira) requer PDV simples para cobrança por cor de prato. 3S pode integrar contagem automática de pratos + pagamento ágil, reduzindo erros e tempo de checkout.</v>
      </c>
      <c r="K353" s="4" t="str">
        <f>IFERROR(__xludf.DUMMYFUNCTION("""COMPUTED_VALUE"""),"RISSUL - CONTA GRUPO")</f>
        <v>RISSUL - CONTA GRUPO</v>
      </c>
      <c r="L353" s="32">
        <f>IFERROR(__xludf.DUMMYFUNCTION("""COMPUTED_VALUE"""),21.0)</f>
        <v>21</v>
      </c>
      <c r="M353" s="4" t="str">
        <f>IFERROR(__xludf.DUMMYFUNCTION("""COMPUTED_VALUE"""),"N/A (Not found)")</f>
        <v>N/A (Not found)</v>
      </c>
      <c r="N353" s="33">
        <f>IFERROR(__xludf.DUMMYFUNCTION("""COMPUTED_VALUE"""),0.9047619047619048)</f>
        <v>0.9047619048</v>
      </c>
      <c r="O353" s="4" t="str">
        <f>IFERROR(__xludf.DUMMYFUNCTION("""COMPUTED_VALUE"""),"N/A (Not found)")</f>
        <v>N/A (Not found)</v>
      </c>
      <c r="P353" s="33">
        <f>IFERROR(__xludf.DUMMYFUNCTION("""COMPUTED_VALUE"""),0.9523809523809523)</f>
        <v>0.9523809524</v>
      </c>
      <c r="Q353" s="4" t="str">
        <f>IFERROR(__xludf.DUMMYFUNCTION("""COMPUTED_VALUE"""),"N/A (Not found)")</f>
        <v>N/A (Not found)</v>
      </c>
      <c r="R353" s="33">
        <f>IFERROR(__xludf.DUMMYFUNCTION("""COMPUTED_VALUE"""),0.9523809523809523)</f>
        <v>0.9523809524</v>
      </c>
      <c r="S353" s="4" t="str">
        <f>IFERROR(__xludf.DUMMYFUNCTION("""COMPUTED_VALUE"""),"N/A (Not found)")</f>
        <v>N/A (Not found)</v>
      </c>
      <c r="T353" s="33">
        <f>IFERROR(__xludf.DUMMYFUNCTION("""COMPUTED_VALUE"""),1.0)</f>
        <v>1</v>
      </c>
      <c r="U353" s="4" t="str">
        <f>IFERROR(__xludf.DUMMYFUNCTION("""COMPUTED_VALUE"""),"N/A (Not found)")</f>
        <v>N/A (Not found)</v>
      </c>
      <c r="V353" s="33">
        <f>IFERROR(__xludf.DUMMYFUNCTION("""COMPUTED_VALUE"""),1.0)</f>
        <v>1</v>
      </c>
      <c r="W353" s="4" t="str">
        <f>IFERROR(__xludf.DUMMYFUNCTION("""COMPUTED_VALUE"""),"N/A (Not found)")</f>
        <v>N/A (Not found)</v>
      </c>
      <c r="X353" s="33">
        <f>IFERROR(__xludf.DUMMYFUNCTION("""COMPUTED_VALUE"""),1.0)</f>
        <v>1</v>
      </c>
    </row>
    <row r="354">
      <c r="A354" s="4" t="str">
        <f>IFERROR(__xludf.DUMMYFUNCTION("""COMPUTED_VALUE"""),"Kopenhagen")</f>
        <v>Kopenhagen</v>
      </c>
      <c r="B354" s="4">
        <f>IFERROR(__xludf.DUMMYFUNCTION("""COMPUTED_VALUE"""),870.0)</f>
        <v>870</v>
      </c>
      <c r="C354" s="4" t="str">
        <f>IFERROR(__xludf.DUMMYFUNCTION("""COMPUTED_VALUE"""),"R$ 60-120")</f>
        <v>R$ 60-120</v>
      </c>
      <c r="D354" s="4" t="str">
        <f>IFERROR(__xludf.DUMMYFUNCTION("""COMPUTED_VALUE"""),"Varejo Especializado - Chocolates finos e Café (Kop Koffee integrado)")</f>
        <v>Varejo Especializado - Chocolates finos e Café (Kop Koffee integrado)</v>
      </c>
      <c r="E354" s="4" t="str">
        <f>IFERROR(__xludf.DUMMYFUNCTION("""COMPUTED_VALUE"""),"Matriz: São Paulo/SP. 870 lojas Kopenhagen em todos estados brasileiros + 480 Brasil Cacau. Grupo CRM (Nestlé): 1.350 lojas total. 90% franquias")</f>
        <v>Matriz: São Paulo/SP. 870 lojas Kopenhagen em todos estados brasileiros + 480 Brasil Cacau. Grupo CRM (Nestlé): 1.350 lojas total. 90% franquias</v>
      </c>
      <c r="F354" s="4" t="str">
        <f>IFERROR(__xludf.DUMMYFUNCTION("""COMPUTED_VALUE"""),"Kopenhagen: ~R$ 2 bilhões (estimativa 2025-2026). Grupo CRM: R$ 2,7 bilhões. Crescimento double-digit. Páscoa representa 40% da receita anual")</f>
        <v>Kopenhagen: ~R$ 2 bilhões (estimativa 2025-2026). Grupo CRM: R$ 2,7 bilhões. Crescimento double-digit. Páscoa representa 40% da receita anual</v>
      </c>
      <c r="G354" s="4">
        <f>IFERROR(__xludf.DUMMYFUNCTION("""COMPUTED_VALUE"""),88.0)</f>
        <v>88</v>
      </c>
      <c r="H354" s="31">
        <f>IFERROR(__xludf.DUMMYFUNCTION("""COMPUTED_VALUE"""),0.85)</f>
        <v>0.85</v>
      </c>
      <c r="I354" s="4" t="str">
        <f>IFERROR(__xludf.DUMMYFUNCTION("""COMPUTED_VALUE"""),"ATUAL: CISS (parceiro oficial desde 2019) - CISSBox PDV, CISSFly Smart POS, CISSTotem, CISSLocker, CISSKDS, CISSLive ERP. COMPARATIVO: Kopenhagen já tem solução completa CISS. 3S teria dificuldade em substituir sistema consolidado, mas pode oferecer: (1) "&amp;"Redução de custo em renovações contratuais; (2) Melhor performance em lojas menores/quiosques; (3) Customizações para Kop Koffee (café). Oportunidade em 150+ novas lojas 2026.")</f>
        <v>ATUAL: CISS (parceiro oficial desde 2019) - CISSBox PDV, CISSFly Smart POS, CISSTotem, CISSLocker, CISSKDS, CISSLive ERP. COMPARATIVO: Kopenhagen já tem solução completa CISS. 3S teria dificuldade em substituir sistema consolidado, mas pode oferecer: (1) Redução de custo em renovações contratuais; (2) Melhor performance em lojas menores/quiosques; (3) Customizações para Kop Koffee (café). Oportunidade em 150+ novas lojas 2026.</v>
      </c>
      <c r="K354" s="4" t="str">
        <f>IFERROR(__xludf.DUMMYFUNCTION("""COMPUTED_VALUE"""),"NOVO ATACAREJO - CONTA GRUPO")</f>
        <v>NOVO ATACAREJO - CONTA GRUPO</v>
      </c>
      <c r="L354" s="32">
        <f>IFERROR(__xludf.DUMMYFUNCTION("""COMPUTED_VALUE"""),21.0)</f>
        <v>21</v>
      </c>
      <c r="M354" s="4" t="str">
        <f>IFERROR(__xludf.DUMMYFUNCTION("""COMPUTED_VALUE"""),"N/A (Not found)")</f>
        <v>N/A (Not found)</v>
      </c>
      <c r="N354" s="33">
        <f>IFERROR(__xludf.DUMMYFUNCTION("""COMPUTED_VALUE"""),0.8571428571428571)</f>
        <v>0.8571428571</v>
      </c>
      <c r="O354" s="4" t="str">
        <f>IFERROR(__xludf.DUMMYFUNCTION("""COMPUTED_VALUE"""),"N/A (Not found)")</f>
        <v>N/A (Not found)</v>
      </c>
      <c r="P354" s="33">
        <f>IFERROR(__xludf.DUMMYFUNCTION("""COMPUTED_VALUE"""),0.9523809523809523)</f>
        <v>0.9523809524</v>
      </c>
      <c r="Q354" s="4" t="str">
        <f>IFERROR(__xludf.DUMMYFUNCTION("""COMPUTED_VALUE"""),"N/A (Not found)")</f>
        <v>N/A (Not found)</v>
      </c>
      <c r="R354" s="33">
        <f>IFERROR(__xludf.DUMMYFUNCTION("""COMPUTED_VALUE"""),0.9523809523809523)</f>
        <v>0.9523809524</v>
      </c>
      <c r="S354" s="4" t="str">
        <f>IFERROR(__xludf.DUMMYFUNCTION("""COMPUTED_VALUE"""),"N/A (Not found)")</f>
        <v>N/A (Not found)</v>
      </c>
      <c r="T354" s="33">
        <f>IFERROR(__xludf.DUMMYFUNCTION("""COMPUTED_VALUE"""),0.9047619047619048)</f>
        <v>0.9047619048</v>
      </c>
      <c r="U354" s="4" t="str">
        <f>IFERROR(__xludf.DUMMYFUNCTION("""COMPUTED_VALUE"""),"N/A (Not found)")</f>
        <v>N/A (Not found)</v>
      </c>
      <c r="V354" s="33">
        <f>IFERROR(__xludf.DUMMYFUNCTION("""COMPUTED_VALUE"""),0.9047619047619048)</f>
        <v>0.9047619048</v>
      </c>
      <c r="W354" s="4" t="str">
        <f>IFERROR(__xludf.DUMMYFUNCTION("""COMPUTED_VALUE"""),"N/A (Not found)")</f>
        <v>N/A (Not found)</v>
      </c>
      <c r="X354" s="33">
        <f>IFERROR(__xludf.DUMMYFUNCTION("""COMPUTED_VALUE"""),0.9523809523809523)</f>
        <v>0.9523809524</v>
      </c>
    </row>
    <row r="355">
      <c r="A355" s="4" t="str">
        <f>IFERROR(__xludf.DUMMYFUNCTION("""COMPUTED_VALUE"""),"Imperador Burger")</f>
        <v>Imperador Burger</v>
      </c>
      <c r="B355" s="4" t="str">
        <f>IFERROR(__xludf.DUMMYFUNCTION("""COMPUTED_VALUE"""),"8-12 (estimado)")</f>
        <v>8-12 (estimado)</v>
      </c>
      <c r="C355" s="4" t="str">
        <f>IFERROR(__xludf.DUMMYFUNCTION("""COMPUTED_VALUE"""),"R$ 40-60")</f>
        <v>R$ 40-60</v>
      </c>
      <c r="D355" s="4" t="str">
        <f>IFERROR(__xludf.DUMMYFUNCTION("""COMPUTED_VALUE"""),"QSR - Quick Service Restaurant (Burger gourmet rápido)")</f>
        <v>QSR - Quick Service Restaurant (Burger gourmet rápido)</v>
      </c>
      <c r="E355" s="4" t="str">
        <f>IFERROR(__xludf.DUMMYFUNCTION("""COMPUTED_VALUE"""),"Matriz: Vila Velha/ES. Múltiplas unidades no ES (Shopping Vila Velha, Parque Pedros). Início de expansão para SP. Plano de R$ 70 milhões para expansão nacional")</f>
        <v>Matriz: Vila Velha/ES. Múltiplas unidades no ES (Shopping Vila Velha, Parque Pedros). Início de expansão para SP. Plano de R$ 70 milhões para expansão nacional</v>
      </c>
      <c r="F355" s="4" t="str">
        <f>IFERROR(__xludf.DUMMYFUNCTION("""COMPUTED_VALUE"""),"Dado não disponível publicamente - Necessário Discovery. Investimento de R$ 70 milhões anunciado para expansão (abril/2026)")</f>
        <v>Dado não disponível publicamente - Necessário Discovery. Investimento de R$ 70 milhões anunciado para expansão (abril/2026)</v>
      </c>
      <c r="G355" s="4">
        <f>IFERROR(__xludf.DUMMYFUNCTION("""COMPUTED_VALUE"""),68.0)</f>
        <v>68</v>
      </c>
      <c r="H355" s="31">
        <f>IFERROR(__xludf.DUMMYFUNCTION("""COMPUTED_VALUE"""),0.72)</f>
        <v>0.72</v>
      </c>
      <c r="I355" s="4" t="str">
        <f>IFERROR(__xludf.DUMMYFUNCTION("""COMPUTED_VALUE"""),"PDV atual não identificado. Marca regional com ambição nacional e investimento significativo (R$ 70Mi). 3S E-Deploy é estratégico para garantir padronização na expansão agressiva, evitando erros comuns de crescimento rápido.")</f>
        <v>PDV atual não identificado. Marca regional com ambição nacional e investimento significativo (R$ 70Mi). 3S E-Deploy é estratégico para garantir padronização na expansão agressiva, evitando erros comuns de crescimento rápido.</v>
      </c>
      <c r="K355" s="4" t="str">
        <f>IFERROR(__xludf.DUMMYFUNCTION("""COMPUTED_VALUE"""),"ST MARCHE - CONTA GRUPO")</f>
        <v>ST MARCHE - CONTA GRUPO</v>
      </c>
      <c r="L355" s="32">
        <f>IFERROR(__xludf.DUMMYFUNCTION("""COMPUTED_VALUE"""),21.0)</f>
        <v>21</v>
      </c>
      <c r="M355" s="4" t="str">
        <f>IFERROR(__xludf.DUMMYFUNCTION("""COMPUTED_VALUE"""),"N/A (Not found)")</f>
        <v>N/A (Not found)</v>
      </c>
      <c r="N355" s="33">
        <f>IFERROR(__xludf.DUMMYFUNCTION("""COMPUTED_VALUE"""),0.9523809523809523)</f>
        <v>0.9523809524</v>
      </c>
      <c r="O355" s="4" t="str">
        <f>IFERROR(__xludf.DUMMYFUNCTION("""COMPUTED_VALUE"""),"N/A (Not found)")</f>
        <v>N/A (Not found)</v>
      </c>
      <c r="P355" s="33">
        <f>IFERROR(__xludf.DUMMYFUNCTION("""COMPUTED_VALUE"""),1.0)</f>
        <v>1</v>
      </c>
      <c r="Q355" s="4" t="str">
        <f>IFERROR(__xludf.DUMMYFUNCTION("""COMPUTED_VALUE"""),"N/A (Not found)")</f>
        <v>N/A (Not found)</v>
      </c>
      <c r="R355" s="33">
        <f>IFERROR(__xludf.DUMMYFUNCTION("""COMPUTED_VALUE"""),0.9523809523809523)</f>
        <v>0.9523809524</v>
      </c>
      <c r="S355" s="4" t="str">
        <f>IFERROR(__xludf.DUMMYFUNCTION("""COMPUTED_VALUE"""),"N/A (Not found)")</f>
        <v>N/A (Not found)</v>
      </c>
      <c r="T355" s="33">
        <f>IFERROR(__xludf.DUMMYFUNCTION("""COMPUTED_VALUE"""),0.9523809523809523)</f>
        <v>0.9523809524</v>
      </c>
      <c r="U355" s="4" t="str">
        <f>IFERROR(__xludf.DUMMYFUNCTION("""COMPUTED_VALUE"""),"N/A (Not found)")</f>
        <v>N/A (Not found)</v>
      </c>
      <c r="V355" s="33">
        <f>IFERROR(__xludf.DUMMYFUNCTION("""COMPUTED_VALUE"""),0.9523809523809523)</f>
        <v>0.9523809524</v>
      </c>
      <c r="W355" s="4" t="str">
        <f>IFERROR(__xludf.DUMMYFUNCTION("""COMPUTED_VALUE"""),"N/A (Not found)")</f>
        <v>N/A (Not found)</v>
      </c>
      <c r="X355" s="33">
        <f>IFERROR(__xludf.DUMMYFUNCTION("""COMPUTED_VALUE"""),0.9523809523809523)</f>
        <v>0.9523809524</v>
      </c>
    </row>
    <row r="356">
      <c r="A356" s="4" t="str">
        <f>IFERROR(__xludf.DUMMYFUNCTION("""COMPUTED_VALUE"""),"Inspire Brands (Dunkin)")</f>
        <v>Inspire Brands (Dunkin)</v>
      </c>
      <c r="B356" s="4">
        <f>IFERROR(__xludf.DUMMYFUNCTION("""COMPUTED_VALUE"""),20.0)</f>
        <v>20</v>
      </c>
      <c r="C356" s="4" t="str">
        <f>IFERROR(__xludf.DUMMYFUNCTION("""COMPUTED_VALUE"""),"R$ 25-45")</f>
        <v>R$ 25-45</v>
      </c>
      <c r="D356" s="4" t="str">
        <f>IFERROR(__xludf.DUMMYFUNCTION("""COMPUTED_VALUE"""),"QSR - Quick Service (Donuts, Café, Snacks)")</f>
        <v>QSR - Quick Service (Donuts, Café, Snacks)</v>
      </c>
      <c r="E356" s="4" t="str">
        <f>IFERROR(__xludf.DUMMYFUNCTION("""COMPUTED_VALUE"""),"Brasília/DF e Goiás/GO. 20+ lojas (17 em Brasília, 5 em Goiânia). Operado por Grupo OLH como master franquia. Sem evidência de Baskin-Robbins no Brasil")</f>
        <v>Brasília/DF e Goiás/GO. 20+ lojas (17 em Brasília, 5 em Goiânia). Operado por Grupo OLH como master franquia. Sem evidência de Baskin-Robbins no Brasil</v>
      </c>
      <c r="F356" s="4" t="str">
        <f>IFERROR(__xludf.DUMMYFUNCTION("""COMPUTED_VALUE"""),"Dado não disponível publicamente - Necessário Discovery. Inspire Brands global: US$ 14,5 bi (2025)")</f>
        <v>Dado não disponível publicamente - Necessário Discovery. Inspire Brands global: US$ 14,5 bi (2025)</v>
      </c>
      <c r="G356" s="4">
        <f>IFERROR(__xludf.DUMMYFUNCTION("""COMPUTED_VALUE"""),62.0)</f>
        <v>62</v>
      </c>
      <c r="H356" s="31">
        <f>IFERROR(__xludf.DUMMYFUNCTION("""COMPUTED_VALUE"""),0.65)</f>
        <v>0.65</v>
      </c>
      <c r="I356" s="4" t="str">
        <f>IFERROR(__xludf.DUMMYFUNCTION("""COMPUTED_VALUE"""),"PDV atual não identificado (master franquia operação local). Marca americana com padrão global rígido. 3S precisa demonstrar compliance com padrões Inspire Brands internacionais. Oportunidade se houver expansão além de DF/GO.")</f>
        <v>PDV atual não identificado (master franquia operação local). Marca americana com padrão global rígido. 3S precisa demonstrar compliance com padrões Inspire Brands internacionais. Oportunidade se houver expansão além de DF/GO.</v>
      </c>
      <c r="K356" s="4" t="str">
        <f>IFERROR(__xludf.DUMMYFUNCTION("""COMPUTED_VALUE"""),"SUPERMERCADOS BISTEK - CONTA PAI")</f>
        <v>SUPERMERCADOS BISTEK - CONTA PAI</v>
      </c>
      <c r="L356" s="32">
        <f>IFERROR(__xludf.DUMMYFUNCTION("""COMPUTED_VALUE"""),21.0)</f>
        <v>21</v>
      </c>
      <c r="M356" s="4" t="str">
        <f>IFERROR(__xludf.DUMMYFUNCTION("""COMPUTED_VALUE"""),"N/A (Not found)")</f>
        <v>N/A (Not found)</v>
      </c>
      <c r="N356" s="33">
        <f>IFERROR(__xludf.DUMMYFUNCTION("""COMPUTED_VALUE"""),0.9047619047619048)</f>
        <v>0.9047619048</v>
      </c>
      <c r="O356" s="4" t="str">
        <f>IFERROR(__xludf.DUMMYFUNCTION("""COMPUTED_VALUE"""),"N/A (Not found)")</f>
        <v>N/A (Not found)</v>
      </c>
      <c r="P356" s="33">
        <f>IFERROR(__xludf.DUMMYFUNCTION("""COMPUTED_VALUE"""),1.0)</f>
        <v>1</v>
      </c>
      <c r="Q356" s="4" t="str">
        <f>IFERROR(__xludf.DUMMYFUNCTION("""COMPUTED_VALUE"""),"N/A (Not found)")</f>
        <v>N/A (Not found)</v>
      </c>
      <c r="R356" s="33">
        <f>IFERROR(__xludf.DUMMYFUNCTION("""COMPUTED_VALUE"""),1.0)</f>
        <v>1</v>
      </c>
      <c r="S356" s="4" t="str">
        <f>IFERROR(__xludf.DUMMYFUNCTION("""COMPUTED_VALUE"""),"N/A (Not found)")</f>
        <v>N/A (Not found)</v>
      </c>
      <c r="T356" s="33">
        <f>IFERROR(__xludf.DUMMYFUNCTION("""COMPUTED_VALUE"""),1.0)</f>
        <v>1</v>
      </c>
      <c r="U356" s="4" t="str">
        <f>IFERROR(__xludf.DUMMYFUNCTION("""COMPUTED_VALUE"""),"N/A (Not found)")</f>
        <v>N/A (Not found)</v>
      </c>
      <c r="V356" s="33">
        <f>IFERROR(__xludf.DUMMYFUNCTION("""COMPUTED_VALUE"""),1.0)</f>
        <v>1</v>
      </c>
      <c r="W356" s="4" t="str">
        <f>IFERROR(__xludf.DUMMYFUNCTION("""COMPUTED_VALUE"""),"N/A (Not found)")</f>
        <v>N/A (Not found)</v>
      </c>
      <c r="X356" s="33">
        <f>IFERROR(__xludf.DUMMYFUNCTION("""COMPUTED_VALUE"""),1.0)</f>
        <v>1</v>
      </c>
    </row>
    <row r="357">
      <c r="A357" s="4" t="str">
        <f>IFERROR(__xludf.DUMMYFUNCTION("""COMPUTED_VALUE"""),"Isabela Akkari")</f>
        <v>Isabela Akkari</v>
      </c>
      <c r="B357" s="4">
        <f>IFERROR(__xludf.DUMMYFUNCTION("""COMPUTED_VALUE"""),12.0)</f>
        <v>12</v>
      </c>
      <c r="C357" s="4" t="str">
        <f>IFERROR(__xludf.DUMMYFUNCTION("""COMPUTED_VALUE"""),"R$ 50-90")</f>
        <v>R$ 50-90</v>
      </c>
      <c r="D357" s="4" t="str">
        <f>IFERROR(__xludf.DUMMYFUNCTION("""COMPUTED_VALUE"""),"Fast Casual Premium - Confeitaria Saudável (sem glúten/lactose)")</f>
        <v>Fast Casual Premium - Confeitaria Saudável (sem glúten/lactose)</v>
      </c>
      <c r="E357" s="4" t="str">
        <f>IFERROR(__xludf.DUMMYFUNCTION("""COMPUTED_VALUE"""),"Matriz: São Paulo/SP. 12 lojas em shoppings premium: 8 em SP (JK Iguatemi, Faria Lima, Higienópolis, Alphaville, Itaim, PatBo, Hospital Einstein), 2 no RJ (Leblon, Village Mall), 1 BH (Diamond), 1 Curitiba (Batel), 1 Campinas")</f>
        <v>Matriz: São Paulo/SP. 12 lojas em shoppings premium: 8 em SP (JK Iguatemi, Faria Lima, Higienópolis, Alphaville, Itaim, PatBo, Hospital Einstein), 2 no RJ (Leblon, Village Mall), 1 BH (Diamond), 1 Curitiba (Batel), 1 Campinas</v>
      </c>
      <c r="F357" s="4" t="str">
        <f>IFERROR(__xludf.DUMMYFUNCTION("""COMPUTED_VALUE"""),"Dado não disponível publicamente - Necessário Discovery. Atende 60k clientes/mês, delivery nacional via app")</f>
        <v>Dado não disponível publicamente - Necessário Discovery. Atende 60k clientes/mês, delivery nacional via app</v>
      </c>
      <c r="G357" s="4">
        <f>IFERROR(__xludf.DUMMYFUNCTION("""COMPUTED_VALUE"""),70.0)</f>
        <v>70</v>
      </c>
      <c r="H357" s="31">
        <f>IFERROR(__xludf.DUMMYFUNCTION("""COMPUTED_VALUE"""),0.74)</f>
        <v>0.74</v>
      </c>
      <c r="I357" s="4" t="str">
        <f>IFERROR(__xludf.DUMMYFUNCTION("""COMPUTED_VALUE"""),"PDV atual não identificado. Operação premium em shoppings de alto padrão com público exigente. 3S pode oferecer PDV elegante e rápido, além de integração com e-commerce (delivery nacional via SEDEX já existe).")</f>
        <v>PDV atual não identificado. Operação premium em shoppings de alto padrão com público exigente. 3S pode oferecer PDV elegante e rápido, além de integração com e-commerce (delivery nacional via SEDEX já existe).</v>
      </c>
      <c r="K357" s="4" t="str">
        <f>IFERROR(__xludf.DUMMYFUNCTION("""COMPUTED_VALUE"""),"SUPERMERCADOS SEMAR - CONTA PAI")</f>
        <v>SUPERMERCADOS SEMAR - CONTA PAI</v>
      </c>
      <c r="L357" s="32">
        <f>IFERROR(__xludf.DUMMYFUNCTION("""COMPUTED_VALUE"""),21.0)</f>
        <v>21</v>
      </c>
      <c r="M357" s="4" t="str">
        <f>IFERROR(__xludf.DUMMYFUNCTION("""COMPUTED_VALUE"""),"N/A (Not found)")</f>
        <v>N/A (Not found)</v>
      </c>
      <c r="N357" s="33">
        <f>IFERROR(__xludf.DUMMYFUNCTION("""COMPUTED_VALUE"""),0.9523809523809523)</f>
        <v>0.9523809524</v>
      </c>
      <c r="O357" s="4" t="str">
        <f>IFERROR(__xludf.DUMMYFUNCTION("""COMPUTED_VALUE"""),"N/A (Not found)")</f>
        <v>N/A (Not found)</v>
      </c>
      <c r="P357" s="33">
        <f>IFERROR(__xludf.DUMMYFUNCTION("""COMPUTED_VALUE"""),0.9523809523809523)</f>
        <v>0.9523809524</v>
      </c>
      <c r="Q357" s="4" t="str">
        <f>IFERROR(__xludf.DUMMYFUNCTION("""COMPUTED_VALUE"""),"N/A (Not found)")</f>
        <v>N/A (Not found)</v>
      </c>
      <c r="R357" s="33">
        <f>IFERROR(__xludf.DUMMYFUNCTION("""COMPUTED_VALUE"""),0.9523809523809523)</f>
        <v>0.9523809524</v>
      </c>
      <c r="S357" s="4" t="str">
        <f>IFERROR(__xludf.DUMMYFUNCTION("""COMPUTED_VALUE"""),"N/A (Not found)")</f>
        <v>N/A (Not found)</v>
      </c>
      <c r="T357" s="33">
        <f>IFERROR(__xludf.DUMMYFUNCTION("""COMPUTED_VALUE"""),1.0)</f>
        <v>1</v>
      </c>
      <c r="U357" s="4" t="str">
        <f>IFERROR(__xludf.DUMMYFUNCTION("""COMPUTED_VALUE"""),"N/A (Not found)")</f>
        <v>N/A (Not found)</v>
      </c>
      <c r="V357" s="33">
        <f>IFERROR(__xludf.DUMMYFUNCTION("""COMPUTED_VALUE"""),1.0)</f>
        <v>1</v>
      </c>
      <c r="W357" s="4" t="str">
        <f>IFERROR(__xludf.DUMMYFUNCTION("""COMPUTED_VALUE"""),"N/A (Not found)")</f>
        <v>N/A (Not found)</v>
      </c>
      <c r="X357" s="33">
        <f>IFERROR(__xludf.DUMMYFUNCTION("""COMPUTED_VALUE"""),1.0)</f>
        <v>1</v>
      </c>
    </row>
    <row r="358">
      <c r="A358" s="4" t="str">
        <f>IFERROR(__xludf.DUMMYFUNCTION("""COMPUTED_VALUE"""),"Itzza")</f>
        <v>Itzza</v>
      </c>
      <c r="B358" s="4">
        <f>IFERROR(__xludf.DUMMYFUNCTION("""COMPUTED_VALUE"""),4.0)</f>
        <v>4</v>
      </c>
      <c r="C358" s="4" t="str">
        <f>IFERROR(__xludf.DUMMYFUNCTION("""COMPUTED_VALUE"""),"R$ 60-75")</f>
        <v>R$ 60-75</v>
      </c>
      <c r="D358" s="4" t="str">
        <f>IFERROR(__xludf.DUMMYFUNCTION("""COMPUTED_VALUE"""),"Fast Casual - Pizzaria saudável (low carb, sem glúten)")</f>
        <v>Fast Casual - Pizzaria saudável (low carb, sem glúten)</v>
      </c>
      <c r="E358" s="4" t="str">
        <f>IFERROR(__xludf.DUMMYFUNCTION("""COMPUTED_VALUE"""),"São Paulo/SP. 4 unidades (Itaim Bibi flagship, Higienópolis, Pinheiros, Iguatemi). Delivery forte via iFood/Rappi. Pizzas congeladas em empórios")</f>
        <v>São Paulo/SP. 4 unidades (Itaim Bibi flagship, Higienópolis, Pinheiros, Iguatemi). Delivery forte via iFood/Rappi. Pizzas congeladas em empórios</v>
      </c>
      <c r="F358" s="4" t="str">
        <f>IFERROR(__xludf.DUMMYFUNCTION("""COMPUTED_VALUE"""),"Dado não disponível publicamente - Necessário Discovery")</f>
        <v>Dado não disponível publicamente - Necessário Discovery</v>
      </c>
      <c r="G358" s="4">
        <f>IFERROR(__xludf.DUMMYFUNCTION("""COMPUTED_VALUE"""),55.0)</f>
        <v>55</v>
      </c>
      <c r="H358" s="31">
        <f>IFERROR(__xludf.DUMMYFUNCTION("""COMPUTED_VALUE"""),0.58)</f>
        <v>0.58</v>
      </c>
      <c r="I358" s="4" t="str">
        <f>IFERROR(__xludf.DUMMYFUNCTION("""COMPUTED_VALUE"""),"PDV atual não identificado. Nicho saudável com preço premium. Operação pequena mas com potencial de franquia (planos antigos). 3S pode padronizar operação para facilitar expansão futura.")</f>
        <v>PDV atual não identificado. Nicho saudável com preço premium. Operação pequena mas com potencial de franquia (planos antigos). 3S pode padronizar operação para facilitar expansão futura.</v>
      </c>
      <c r="K358" s="4" t="str">
        <f>IFERROR(__xludf.DUMMYFUNCTION("""COMPUTED_VALUE"""),"ULTRAPOPULAR GRUPO SB FARMA - CONTA MARCA")</f>
        <v>ULTRAPOPULAR GRUPO SB FARMA - CONTA MARCA</v>
      </c>
      <c r="L358" s="32">
        <f>IFERROR(__xludf.DUMMYFUNCTION("""COMPUTED_VALUE"""),21.0)</f>
        <v>21</v>
      </c>
      <c r="M358" s="4" t="str">
        <f>IFERROR(__xludf.DUMMYFUNCTION("""COMPUTED_VALUE"""),"N/A (Not found)")</f>
        <v>N/A (Not found)</v>
      </c>
      <c r="N358" s="33">
        <f>IFERROR(__xludf.DUMMYFUNCTION("""COMPUTED_VALUE"""),0.9047619047619048)</f>
        <v>0.9047619048</v>
      </c>
      <c r="O358" s="4" t="str">
        <f>IFERROR(__xludf.DUMMYFUNCTION("""COMPUTED_VALUE"""),"N/A (Not found)")</f>
        <v>N/A (Not found)</v>
      </c>
      <c r="P358" s="33">
        <f>IFERROR(__xludf.DUMMYFUNCTION("""COMPUTED_VALUE"""),1.0)</f>
        <v>1</v>
      </c>
      <c r="Q358" s="4" t="str">
        <f>IFERROR(__xludf.DUMMYFUNCTION("""COMPUTED_VALUE"""),"N/A (Not found)")</f>
        <v>N/A (Not found)</v>
      </c>
      <c r="R358" s="33">
        <f>IFERROR(__xludf.DUMMYFUNCTION("""COMPUTED_VALUE"""),1.0)</f>
        <v>1</v>
      </c>
      <c r="S358" s="4" t="str">
        <f>IFERROR(__xludf.DUMMYFUNCTION("""COMPUTED_VALUE"""),"N/A (Not found)")</f>
        <v>N/A (Not found)</v>
      </c>
      <c r="T358" s="33">
        <f>IFERROR(__xludf.DUMMYFUNCTION("""COMPUTED_VALUE"""),1.0)</f>
        <v>1</v>
      </c>
      <c r="U358" s="4" t="str">
        <f>IFERROR(__xludf.DUMMYFUNCTION("""COMPUTED_VALUE"""),"N/A (Not found)")</f>
        <v>N/A (Not found)</v>
      </c>
      <c r="V358" s="33">
        <f>IFERROR(__xludf.DUMMYFUNCTION("""COMPUTED_VALUE"""),1.0)</f>
        <v>1</v>
      </c>
      <c r="W358" s="4" t="str">
        <f>IFERROR(__xludf.DUMMYFUNCTION("""COMPUTED_VALUE"""),"N/A (Not found)")</f>
        <v>N/A (Not found)</v>
      </c>
      <c r="X358" s="33">
        <f>IFERROR(__xludf.DUMMYFUNCTION("""COMPUTED_VALUE"""),0.9523809523809523)</f>
        <v>0.9523809524</v>
      </c>
    </row>
    <row r="359">
      <c r="A359" s="4" t="str">
        <f>IFERROR(__xludf.DUMMYFUNCTION("""COMPUTED_VALUE"""),"Janela Bar")</f>
        <v>Janela Bar</v>
      </c>
      <c r="B359" s="4">
        <f>IFERROR(__xludf.DUMMYFUNCTION("""COMPUTED_VALUE"""),28.0)</f>
        <v>28</v>
      </c>
      <c r="C359" s="4" t="str">
        <f>IFERROR(__xludf.DUMMYFUNCTION("""COMPUTED_VALUE"""),"R$ 65-90")</f>
        <v>R$ 65-90</v>
      </c>
      <c r="D359" s="4" t="str">
        <f>IFERROR(__xludf.DUMMYFUNCTION("""COMPUTED_VALUE"""),"Full Service Bar - Coquetelaria + Burgers + Entretenimento")</f>
        <v>Full Service Bar - Coquetelaria + Burgers + Entretenimento</v>
      </c>
      <c r="E359" s="4" t="str">
        <f>IFERROR(__xludf.DUMMYFUNCTION("""COMPUTED_VALUE"""),"Matriz: Curitiba/PR. 28 unidades em PR, RS, SC, SP. Meta: 45 unidades até fim de 2026. Expansão para MG, RJ, MT, MS, Nordeste")</f>
        <v>Matriz: Curitiba/PR. 28 unidades em PR, RS, SC, SP. Meta: 45 unidades até fim de 2026. Expansão para MG, RJ, MT, MS, Nordeste</v>
      </c>
      <c r="F359" s="4" t="str">
        <f>IFERROR(__xludf.DUMMYFUNCTION("""COMPUTED_VALUE"""),"R$ 60 milhões projetados para 2026 (+30% vs 2025). Faturamento médio R$ 140-350k/mês por unidade. Payback médio 14 meses")</f>
        <v>R$ 60 milhões projetados para 2026 (+30% vs 2025). Faturamento médio R$ 140-350k/mês por unidade. Payback médio 14 meses</v>
      </c>
      <c r="G359" s="4">
        <f>IFERROR(__xludf.DUMMYFUNCTION("""COMPUTED_VALUE"""),82.0)</f>
        <v>82</v>
      </c>
      <c r="H359" s="31">
        <f>IFERROR(__xludf.DUMMYFUNCTION("""COMPUTED_VALUE"""),0.86)</f>
        <v>0.86</v>
      </c>
      <c r="I359" s="4" t="str">
        <f>IFERROR(__xludf.DUMMYFUNCTION("""COMPUTED_VALUE"""),"PDV atual não identificado. Operação de bar com delivery significativo (R$ 100k/mês só delivery em algumas unidades). 3S pode integrar PDV de mesa + bar + cozinha + delivery, unificando operação complexa. E-Deploy crucial para expansão agressiva 2026.")</f>
        <v>PDV atual não identificado. Operação de bar com delivery significativo (R$ 100k/mês só delivery em algumas unidades). 3S pode integrar PDV de mesa + bar + cozinha + delivery, unificando operação complexa. E-Deploy crucial para expansão agressiva 2026.</v>
      </c>
      <c r="K359" s="4" t="str">
        <f>IFERROR(__xludf.DUMMYFUNCTION("""COMPUTED_VALUE"""),"REI DO ACAI")</f>
        <v>REI DO ACAI</v>
      </c>
      <c r="L359" s="32">
        <f>IFERROR(__xludf.DUMMYFUNCTION("""COMPUTED_VALUE"""),20.0)</f>
        <v>20</v>
      </c>
      <c r="M359" s="4" t="str">
        <f>IFERROR(__xludf.DUMMYFUNCTION("""COMPUTED_VALUE"""),"Anota Ai Solucoes Digitais S/a")</f>
        <v>Anota Ai Solucoes Digitais S/a</v>
      </c>
      <c r="N359" s="33">
        <f>IFERROR(__xludf.DUMMYFUNCTION("""COMPUTED_VALUE"""),0.3)</f>
        <v>0.3</v>
      </c>
      <c r="O359" s="4" t="str">
        <f>IFERROR(__xludf.DUMMYFUNCTION("""COMPUTED_VALUE"""),"null")</f>
        <v>null</v>
      </c>
      <c r="P359" s="33">
        <f>IFERROR(__xludf.DUMMYFUNCTION("""COMPUTED_VALUE"""),0.35)</f>
        <v>0.35</v>
      </c>
      <c r="Q359" s="4" t="str">
        <f>IFERROR(__xludf.DUMMYFUNCTION("""COMPUTED_VALUE"""),"null")</f>
        <v>null</v>
      </c>
      <c r="R359" s="33">
        <f>IFERROR(__xludf.DUMMYFUNCTION("""COMPUTED_VALUE"""),0.4)</f>
        <v>0.4</v>
      </c>
      <c r="S359" s="4" t="str">
        <f>IFERROR(__xludf.DUMMYFUNCTION("""COMPUTED_VALUE"""),"null")</f>
        <v>null</v>
      </c>
      <c r="T359" s="33">
        <f>IFERROR(__xludf.DUMMYFUNCTION("""COMPUTED_VALUE"""),0.35)</f>
        <v>0.35</v>
      </c>
      <c r="U359" s="4" t="str">
        <f>IFERROR(__xludf.DUMMYFUNCTION("""COMPUTED_VALUE"""),"null")</f>
        <v>null</v>
      </c>
      <c r="V359" s="33">
        <f>IFERROR(__xludf.DUMMYFUNCTION("""COMPUTED_VALUE"""),0.25)</f>
        <v>0.25</v>
      </c>
      <c r="W359" s="4" t="str">
        <f>IFERROR(__xludf.DUMMYFUNCTION("""COMPUTED_VALUE"""),"Anota Ai Solucoes Digitais S/a")</f>
        <v>Anota Ai Solucoes Digitais S/a</v>
      </c>
      <c r="X359" s="33">
        <f>IFERROR(__xludf.DUMMYFUNCTION("""COMPUTED_VALUE"""),0.2)</f>
        <v>0.2</v>
      </c>
    </row>
    <row r="360">
      <c r="A360" s="4" t="str">
        <f>IFERROR(__xludf.DUMMYFUNCTION("""COMPUTED_VALUE"""),"Jappa da Quitanda")</f>
        <v>Jappa da Quitanda</v>
      </c>
      <c r="B360" s="4">
        <f>IFERROR(__xludf.DUMMYFUNCTION("""COMPUTED_VALUE"""),7.0)</f>
        <v>7</v>
      </c>
      <c r="C360" s="4" t="str">
        <f>IFERROR(__xludf.DUMMYFUNCTION("""COMPUTED_VALUE"""),"R$ 70-100 (rodízio R$ 50-70)")</f>
        <v>R$ 70-100 (rodízio R$ 50-70)</v>
      </c>
      <c r="D360" s="4" t="str">
        <f>IFERROR(__xludf.DUMMYFUNCTION("""COMPUTED_VALUE"""),"Fast Casual - Restaurante Japonês com rodízio")</f>
        <v>Fast Casual - Restaurante Japonês com rodízio</v>
      </c>
      <c r="E360" s="4" t="str">
        <f>IFERROR(__xludf.DUMMYFUNCTION("""COMPUTED_VALUE"""),"Rio de Janeiro/RJ e São Paulo/SP. 5 unidades no RJ (Centro, Copacabana, Ipanema, Barra Shopping, Vogue Square), 1 Niterói, 1 SP (Shopping Anália Franco). Atende 65k clientes/mês")</f>
        <v>Rio de Janeiro/RJ e São Paulo/SP. 5 unidades no RJ (Centro, Copacabana, Ipanema, Barra Shopping, Vogue Square), 1 Niterói, 1 SP (Shopping Anália Franco). Atende 65k clientes/mês</v>
      </c>
      <c r="F360" s="4" t="str">
        <f>IFERROR(__xludf.DUMMYFUNCTION("""COMPUTED_VALUE"""),"Dado não disponível publicamente - Necessário Discovery. 20 toneladas de salmão/mês indicam alto volume")</f>
        <v>Dado não disponível publicamente - Necessário Discovery. 20 toneladas de salmão/mês indicam alto volume</v>
      </c>
      <c r="G360" s="4">
        <f>IFERROR(__xludf.DUMMYFUNCTION("""COMPUTED_VALUE"""),64.0)</f>
        <v>64</v>
      </c>
      <c r="H360" s="31">
        <f>IFERROR(__xludf.DUMMYFUNCTION("""COMPUTED_VALUE"""),0.68)</f>
        <v>0.68</v>
      </c>
      <c r="I360" s="4" t="str">
        <f>IFERROR(__xludf.DUMMYFUNCTION("""COMPUTED_VALUE"""),"PDV atual não identificado. Operação de rodízio com alto volume (65k clientes/mês) requer PDV ágil para controle de entrada/saída e gestão de estoque (20t salmão/mês). 3S oferece solução para rodízio + delivery + dark kitchens.")</f>
        <v>PDV atual não identificado. Operação de rodízio com alto volume (65k clientes/mês) requer PDV ágil para controle de entrada/saída e gestão de estoque (20t salmão/mês). 3S oferece solução para rodízio + delivery + dark kitchens.</v>
      </c>
      <c r="K360" s="4" t="str">
        <f>IFERROR(__xludf.DUMMYFUNCTION("""COMPUTED_VALUE"""),"DIGAO LANCHES")</f>
        <v>DIGAO LANCHES</v>
      </c>
      <c r="L360" s="32">
        <f>IFERROR(__xludf.DUMMYFUNCTION("""COMPUTED_VALUE"""),20.0)</f>
        <v>20</v>
      </c>
      <c r="M360" s="4" t="str">
        <f>IFERROR(__xludf.DUMMYFUNCTION("""COMPUTED_VALUE"""),"Totvs Large Enterprise Tecnologia S.a.")</f>
        <v>Totvs Large Enterprise Tecnologia S.a.</v>
      </c>
      <c r="N360" s="33">
        <f>IFERROR(__xludf.DUMMYFUNCTION("""COMPUTED_VALUE"""),0.45)</f>
        <v>0.45</v>
      </c>
      <c r="O360" s="4" t="str">
        <f>IFERROR(__xludf.DUMMYFUNCTION("""COMPUTED_VALUE"""),"Totvs Large Enterprise Tecnologia S.a.")</f>
        <v>Totvs Large Enterprise Tecnologia S.a.</v>
      </c>
      <c r="P360" s="33">
        <f>IFERROR(__xludf.DUMMYFUNCTION("""COMPUTED_VALUE"""),0.35)</f>
        <v>0.35</v>
      </c>
      <c r="Q360" s="4" t="str">
        <f>IFERROR(__xludf.DUMMYFUNCTION("""COMPUTED_VALUE"""),"Swfast Sistemas")</f>
        <v>Swfast Sistemas</v>
      </c>
      <c r="R360" s="33">
        <f>IFERROR(__xludf.DUMMYFUNCTION("""COMPUTED_VALUE"""),0.4)</f>
        <v>0.4</v>
      </c>
      <c r="S360" s="4" t="str">
        <f>IFERROR(__xludf.DUMMYFUNCTION("""COMPUTED_VALUE"""),"Swfast Sistemas")</f>
        <v>Swfast Sistemas</v>
      </c>
      <c r="T360" s="33">
        <f>IFERROR(__xludf.DUMMYFUNCTION("""COMPUTED_VALUE"""),0.55)</f>
        <v>0.55</v>
      </c>
      <c r="U360" s="4" t="str">
        <f>IFERROR(__xludf.DUMMYFUNCTION("""COMPUTED_VALUE"""),"Swfast Sistemas")</f>
        <v>Swfast Sistemas</v>
      </c>
      <c r="V360" s="33">
        <f>IFERROR(__xludf.DUMMYFUNCTION("""COMPUTED_VALUE"""),0.5)</f>
        <v>0.5</v>
      </c>
      <c r="W360" s="4" t="str">
        <f>IFERROR(__xludf.DUMMYFUNCTION("""COMPUTED_VALUE"""),"Swfast Sistemas")</f>
        <v>Swfast Sistemas</v>
      </c>
      <c r="X360" s="33">
        <f>IFERROR(__xludf.DUMMYFUNCTION("""COMPUTED_VALUE"""),0.75)</f>
        <v>0.75</v>
      </c>
    </row>
    <row r="361">
      <c r="A361" s="4" t="str">
        <f>IFERROR(__xludf.DUMMYFUNCTION("""COMPUTED_VALUE"""),"Jardim De Napoli")</f>
        <v>Jardim De Napoli</v>
      </c>
      <c r="B361" s="4">
        <f>IFERROR(__xludf.DUMMYFUNCTION("""COMPUTED_VALUE"""),2.0)</f>
        <v>2</v>
      </c>
      <c r="C361" s="4" t="str">
        <f>IFERROR(__xludf.DUMMYFUNCTION("""COMPUTED_VALUE"""),"R$ 70-110")</f>
        <v>R$ 70-110</v>
      </c>
      <c r="D361" s="4" t="str">
        <f>IFERROR(__xludf.DUMMYFUNCTION("""COMPUTED_VALUE"""),"Table Service - Cantina Italiana tradicional")</f>
        <v>Table Service - Cantina Italiana tradicional</v>
      </c>
      <c r="E361" s="4" t="str">
        <f>IFERROR(__xludf.DUMMYFUNCTION("""COMPUTED_VALUE"""),"São Paulo/SP. 2 unidades (Higienópolis, Vila Buarque). Operação familiar desde 1949, sem evidência de expansão")</f>
        <v>São Paulo/SP. 2 unidades (Higienópolis, Vila Buarque). Operação familiar desde 1949, sem evidência de expansão</v>
      </c>
      <c r="F361" s="4" t="str">
        <f>IFERROR(__xludf.DUMMYFUNCTION("""COMPUTED_VALUE"""),"Dado não disponível publicamente - Necessário Discovery")</f>
        <v>Dado não disponível publicamente - Necessário Discovery</v>
      </c>
      <c r="G361" s="4">
        <f>IFERROR(__xludf.DUMMYFUNCTION("""COMPUTED_VALUE"""),38.0)</f>
        <v>38</v>
      </c>
      <c r="H361" s="31">
        <f>IFERROR(__xludf.DUMMYFUNCTION("""COMPUTED_VALUE"""),0.42)</f>
        <v>0.42</v>
      </c>
      <c r="I361" s="4" t="str">
        <f>IFERROR(__xludf.DUMMYFUNCTION("""COMPUTED_VALUE"""),"PDV atual não identificado. Operação tradicional familiar sem ambição de crescimento. Baixa aderência à 3S por ser operação pequena e estável. Solução atual provavelmente atende necessidades.")</f>
        <v>PDV atual não identificado. Operação tradicional familiar sem ambição de crescimento. Baixa aderência à 3S por ser operação pequena e estável. Solução atual provavelmente atende necessidades.</v>
      </c>
      <c r="K361" s="4" t="str">
        <f>IFERROR(__xludf.DUMMYFUNCTION("""COMPUTED_VALUE"""),"DELLIRIS - COMIDA QUE ABRACA - CP")</f>
        <v>DELLIRIS - COMIDA QUE ABRACA - CP</v>
      </c>
      <c r="L361" s="32">
        <f>IFERROR(__xludf.DUMMYFUNCTION("""COMPUTED_VALUE"""),20.0)</f>
        <v>20</v>
      </c>
      <c r="M361" s="4" t="str">
        <f>IFERROR(__xludf.DUMMYFUNCTION("""COMPUTED_VALUE"""),"null")</f>
        <v>null</v>
      </c>
      <c r="N361" s="33">
        <f>IFERROR(__xludf.DUMMYFUNCTION("""COMPUTED_VALUE"""),0.4)</f>
        <v>0.4</v>
      </c>
      <c r="O361" s="4" t="str">
        <f>IFERROR(__xludf.DUMMYFUNCTION("""COMPUTED_VALUE"""),"null")</f>
        <v>null</v>
      </c>
      <c r="P361" s="33">
        <f>IFERROR(__xludf.DUMMYFUNCTION("""COMPUTED_VALUE"""),0.35)</f>
        <v>0.35</v>
      </c>
      <c r="Q361" s="4" t="str">
        <f>IFERROR(__xludf.DUMMYFUNCTION("""COMPUTED_VALUE"""),"null")</f>
        <v>null</v>
      </c>
      <c r="R361" s="33">
        <f>IFERROR(__xludf.DUMMYFUNCTION("""COMPUTED_VALUE"""),0.4)</f>
        <v>0.4</v>
      </c>
      <c r="S361" s="4" t="str">
        <f>IFERROR(__xludf.DUMMYFUNCTION("""COMPUTED_VALUE"""),"Saipos Serviços De Software")</f>
        <v>Saipos Serviços De Software</v>
      </c>
      <c r="T361" s="33">
        <f>IFERROR(__xludf.DUMMYFUNCTION("""COMPUTED_VALUE"""),0.45)</f>
        <v>0.45</v>
      </c>
      <c r="U361" s="4" t="str">
        <f>IFERROR(__xludf.DUMMYFUNCTION("""COMPUTED_VALUE"""),"Saipos Serviços De Software")</f>
        <v>Saipos Serviços De Software</v>
      </c>
      <c r="V361" s="33">
        <f>IFERROR(__xludf.DUMMYFUNCTION("""COMPUTED_VALUE"""),0.5)</f>
        <v>0.5</v>
      </c>
      <c r="W361" s="4" t="str">
        <f>IFERROR(__xludf.DUMMYFUNCTION("""COMPUTED_VALUE"""),"Saipos Serviços De Software")</f>
        <v>Saipos Serviços De Software</v>
      </c>
      <c r="X361" s="33">
        <f>IFERROR(__xludf.DUMMYFUNCTION("""COMPUTED_VALUE"""),0.65)</f>
        <v>0.65</v>
      </c>
    </row>
    <row r="362">
      <c r="A362" s="4" t="str">
        <f>IFERROR(__xludf.DUMMYFUNCTION("""COMPUTED_VALUE"""),"Joe Pizzaria")</f>
        <v>Joe Pizzaria</v>
      </c>
      <c r="B362" s="4" t="str">
        <f>IFERROR(__xludf.DUMMYFUNCTION("""COMPUTED_VALUE"""),"3-4 (independentes)")</f>
        <v>3-4 (independentes)</v>
      </c>
      <c r="C362" s="4" t="str">
        <f>IFERROR(__xludf.DUMMYFUNCTION("""COMPUTED_VALUE"""),"R$ 45-70")</f>
        <v>R$ 45-70</v>
      </c>
      <c r="D362" s="4" t="str">
        <f>IFERROR(__xludf.DUMMYFUNCTION("""COMPUTED_VALUE"""),"Table Service - Pizzaria local")</f>
        <v>Table Service - Pizzaria local</v>
      </c>
      <c r="E362" s="4" t="str">
        <f>IFERROR(__xludf.DUMMYFUNCTION("""COMPUTED_VALUE"""),"Unidades independentes em Indaiatuba/SP, Pinhais/PR, Capão da Canoa/RS. Não é rede, são estabelecimentos sem conexão")</f>
        <v>Unidades independentes em Indaiatuba/SP, Pinhais/PR, Capão da Canoa/RS. Não é rede, são estabelecimentos sem conexão</v>
      </c>
      <c r="F362" s="4" t="str">
        <f>IFERROR(__xludf.DUMMYFUNCTION("""COMPUTED_VALUE"""),"Não aplicável - São estabelecimentos independentes sem conexão")</f>
        <v>Não aplicável - São estabelecimentos independentes sem conexão</v>
      </c>
      <c r="G362" s="4">
        <f>IFERROR(__xludf.DUMMYFUNCTION("""COMPUTED_VALUE"""),15.0)</f>
        <v>15</v>
      </c>
      <c r="H362" s="31">
        <f>IFERROR(__xludf.DUMMYFUNCTION("""COMPUTED_VALUE"""),0.18)</f>
        <v>0.18</v>
      </c>
      <c r="I362" s="4" t="str">
        <f>IFERROR(__xludf.DUMMYFUNCTION("""COMPUTED_VALUE"""),"Não aplicável. Não é uma rede, são pizzarias locais independentes com mesmo nome. Sem potencial para 3S.")</f>
        <v>Não aplicável. Não é uma rede, são pizzarias locais independentes com mesmo nome. Sem potencial para 3S.</v>
      </c>
      <c r="K362" s="4" t="str">
        <f>IFERROR(__xludf.DUMMYFUNCTION("""COMPUTED_VALUE"""),"FARMACIA ANGELONI - CONTA PAI")</f>
        <v>FARMACIA ANGELONI - CONTA PAI</v>
      </c>
      <c r="L362" s="32">
        <f>IFERROR(__xludf.DUMMYFUNCTION("""COMPUTED_VALUE"""),20.0)</f>
        <v>20</v>
      </c>
      <c r="M362" s="4" t="str">
        <f>IFERROR(__xludf.DUMMYFUNCTION("""COMPUTED_VALUE"""),"N/A (Not found)")</f>
        <v>N/A (Not found)</v>
      </c>
      <c r="N362" s="33">
        <f>IFERROR(__xludf.DUMMYFUNCTION("""COMPUTED_VALUE"""),1.0)</f>
        <v>1</v>
      </c>
      <c r="O362" s="4" t="str">
        <f>IFERROR(__xludf.DUMMYFUNCTION("""COMPUTED_VALUE"""),"N/A (Not found)")</f>
        <v>N/A (Not found)</v>
      </c>
      <c r="P362" s="33">
        <f>IFERROR(__xludf.DUMMYFUNCTION("""COMPUTED_VALUE"""),1.0)</f>
        <v>1</v>
      </c>
      <c r="Q362" s="4" t="str">
        <f>IFERROR(__xludf.DUMMYFUNCTION("""COMPUTED_VALUE"""),"N/A (Not found)")</f>
        <v>N/A (Not found)</v>
      </c>
      <c r="R362" s="33">
        <f>IFERROR(__xludf.DUMMYFUNCTION("""COMPUTED_VALUE"""),1.0)</f>
        <v>1</v>
      </c>
      <c r="S362" s="4" t="str">
        <f>IFERROR(__xludf.DUMMYFUNCTION("""COMPUTED_VALUE"""),"N/A (Not found)")</f>
        <v>N/A (Not found)</v>
      </c>
      <c r="T362" s="33">
        <f>IFERROR(__xludf.DUMMYFUNCTION("""COMPUTED_VALUE"""),1.0)</f>
        <v>1</v>
      </c>
      <c r="U362" s="4" t="str">
        <f>IFERROR(__xludf.DUMMYFUNCTION("""COMPUTED_VALUE"""),"N/A (Not found)")</f>
        <v>N/A (Not found)</v>
      </c>
      <c r="V362" s="33">
        <f>IFERROR(__xludf.DUMMYFUNCTION("""COMPUTED_VALUE"""),1.0)</f>
        <v>1</v>
      </c>
      <c r="W362" s="4" t="str">
        <f>IFERROR(__xludf.DUMMYFUNCTION("""COMPUTED_VALUE"""),"N/A (Not found)")</f>
        <v>N/A (Not found)</v>
      </c>
      <c r="X362" s="33">
        <f>IFERROR(__xludf.DUMMYFUNCTION("""COMPUTED_VALUE"""),1.0)</f>
        <v>1</v>
      </c>
    </row>
    <row r="363">
      <c r="A363" s="4" t="str">
        <f>IFERROR(__xludf.DUMMYFUNCTION("""COMPUTED_VALUE"""),"Johnny Joy")</f>
        <v>Johnny Joy</v>
      </c>
      <c r="B363" s="4">
        <f>IFERROR(__xludf.DUMMYFUNCTION("""COMPUTED_VALUE"""),50.0)</f>
        <v>50</v>
      </c>
      <c r="C363" s="4" t="str">
        <f>IFERROR(__xludf.DUMMYFUNCTION("""COMPUTED_VALUE"""),"R$ 20-25")</f>
        <v>R$ 20-25</v>
      </c>
      <c r="D363" s="4" t="str">
        <f>IFERROR(__xludf.DUMMYFUNCTION("""COMPUTED_VALUE"""),"QSR - Quick Service (Milkshakes gourmet em quiosques/shoppings)")</f>
        <v>QSR - Quick Service (Milkshakes gourmet em quiosques/shoppings)</v>
      </c>
      <c r="E363" s="4" t="str">
        <f>IFERROR(__xludf.DUMMYFUNCTION("""COMPUTED_VALUE"""),"Matriz: Goiânia/GO. 50+ lojas em 18 estados, presença nos 50 maiores shoppings do Brasil. Distribuição nacional")</f>
        <v>Matriz: Goiânia/GO. 50+ lojas em 18 estados, presença nos 50 maiores shoppings do Brasil. Distribuição nacional</v>
      </c>
      <c r="F363" s="4" t="str">
        <f>IFERROR(__xludf.DUMMYFUNCTION("""COMPUTED_VALUE"""),"R$ 66-198 milhões estimado (baseado em 50 lojas x R$ 120-350k/mês). Faturamento médio R$ 120k/mês por loja")</f>
        <v>R$ 66-198 milhões estimado (baseado em 50 lojas x R$ 120-350k/mês). Faturamento médio R$ 120k/mês por loja</v>
      </c>
      <c r="G363" s="4">
        <f>IFERROR(__xludf.DUMMYFUNCTION("""COMPUTED_VALUE"""),76.0)</f>
        <v>76</v>
      </c>
      <c r="H363" s="31">
        <f>IFERROR(__xludf.DUMMYFUNCTION("""COMPUTED_VALUE"""),0.8)</f>
        <v>0.8</v>
      </c>
      <c r="I363" s="4" t="str">
        <f>IFERROR(__xludf.DUMMYFUNCTION("""COMPUTED_VALUE"""),"PDV atual não identificado. Operação de quiosques em shoppings com programa de fidelidade robusto (1 ponto por R$ 1). 3S pode integrar PDV com fidelidade e oferecer solução leve para quiosques. Expansão contínua favorece padronização.")</f>
        <v>PDV atual não identificado. Operação de quiosques em shoppings com programa de fidelidade robusto (1 ponto por R$ 1). 3S pode integrar PDV com fidelidade e oferecer solução leve para quiosques. Expansão contínua favorece padronização.</v>
      </c>
      <c r="K363" s="4" t="str">
        <f>IFERROR(__xludf.DUMMYFUNCTION("""COMPUTED_VALUE"""),"GRUPO AQUELA PARME")</f>
        <v>GRUPO AQUELA PARME</v>
      </c>
      <c r="L363" s="32">
        <f>IFERROR(__xludf.DUMMYFUNCTION("""COMPUTED_VALUE"""),20.0)</f>
        <v>20</v>
      </c>
      <c r="M363" s="4" t="str">
        <f>IFERROR(__xludf.DUMMYFUNCTION("""COMPUTED_VALUE"""),"Saipos Serviços De Software")</f>
        <v>Saipos Serviços De Software</v>
      </c>
      <c r="N363" s="33">
        <f>IFERROR(__xludf.DUMMYFUNCTION("""COMPUTED_VALUE"""),1.0)</f>
        <v>1</v>
      </c>
      <c r="O363" s="4" t="str">
        <f>IFERROR(__xludf.DUMMYFUNCTION("""COMPUTED_VALUE"""),"Saipos Serviços De Software")</f>
        <v>Saipos Serviços De Software</v>
      </c>
      <c r="P363" s="33">
        <f>IFERROR(__xludf.DUMMYFUNCTION("""COMPUTED_VALUE"""),1.0)</f>
        <v>1</v>
      </c>
      <c r="Q363" s="4" t="str">
        <f>IFERROR(__xludf.DUMMYFUNCTION("""COMPUTED_VALUE"""),"Saipos Serviços De Software")</f>
        <v>Saipos Serviços De Software</v>
      </c>
      <c r="R363" s="33">
        <f>IFERROR(__xludf.DUMMYFUNCTION("""COMPUTED_VALUE"""),1.0)</f>
        <v>1</v>
      </c>
      <c r="S363" s="4" t="str">
        <f>IFERROR(__xludf.DUMMYFUNCTION("""COMPUTED_VALUE"""),"Saipos Serviços De Software")</f>
        <v>Saipos Serviços De Software</v>
      </c>
      <c r="T363" s="33">
        <f>IFERROR(__xludf.DUMMYFUNCTION("""COMPUTED_VALUE"""),0.6)</f>
        <v>0.6</v>
      </c>
      <c r="U363" s="4" t="str">
        <f>IFERROR(__xludf.DUMMYFUNCTION("""COMPUTED_VALUE"""),"Saipos Serviços De Software")</f>
        <v>Saipos Serviços De Software</v>
      </c>
      <c r="V363" s="33">
        <f>IFERROR(__xludf.DUMMYFUNCTION("""COMPUTED_VALUE"""),0.6)</f>
        <v>0.6</v>
      </c>
      <c r="W363" s="4" t="str">
        <f>IFERROR(__xludf.DUMMYFUNCTION("""COMPUTED_VALUE"""),"Saipos Serviços De Software")</f>
        <v>Saipos Serviços De Software</v>
      </c>
      <c r="X363" s="33">
        <f>IFERROR(__xludf.DUMMYFUNCTION("""COMPUTED_VALUE"""),0.6)</f>
        <v>0.6</v>
      </c>
    </row>
    <row r="364">
      <c r="A364" s="4" t="str">
        <f>IFERROR(__xludf.DUMMYFUNCTION("""COMPUTED_VALUE"""),"Johns Burguer")</f>
        <v>Johns Burguer</v>
      </c>
      <c r="B364" s="4">
        <f>IFERROR(__xludf.DUMMYFUNCTION("""COMPUTED_VALUE"""),2.0)</f>
        <v>2</v>
      </c>
      <c r="C364" s="4" t="str">
        <f>IFERROR(__xludf.DUMMYFUNCTION("""COMPUTED_VALUE"""),"R$ 35-50")</f>
        <v>R$ 35-50</v>
      </c>
      <c r="D364" s="4" t="str">
        <f>IFERROR(__xludf.DUMMYFUNCTION("""COMPUTED_VALUE"""),"Fast Casual - Hamburgueria artesanal com dark kitchen")</f>
        <v>Fast Casual - Hamburgueria artesanal com dark kitchen</v>
      </c>
      <c r="E364" s="4" t="str">
        <f>IFERROR(__xludf.DUMMYFUNCTION("""COMPUTED_VALUE"""),"São Paulo/SP. 2 unidades (Limão com salão, Mooca dark kitchen/delivery). Vende 24k hambúrgueres/mês. Operação local")</f>
        <v>São Paulo/SP. 2 unidades (Limão com salão, Mooca dark kitchen/delivery). Vende 24k hambúrgueres/mês. Operação local</v>
      </c>
      <c r="F364" s="4" t="str">
        <f>IFERROR(__xludf.DUMMYFUNCTION("""COMPUTED_VALUE"""),"Dado não disponível publicamente - Necessário Discovery. Alto volume: 24k hambúrgueres/mês")</f>
        <v>Dado não disponível publicamente - Necessário Discovery. Alto volume: 24k hambúrgueres/mês</v>
      </c>
      <c r="G364" s="4">
        <f>IFERROR(__xludf.DUMMYFUNCTION("""COMPUTED_VALUE"""),44.0)</f>
        <v>44</v>
      </c>
      <c r="H364" s="31">
        <f>IFERROR(__xludf.DUMMYFUNCTION("""COMPUTED_VALUE"""),0.48)</f>
        <v>0.48</v>
      </c>
      <c r="I364" s="4" t="str">
        <f>IFERROR(__xludf.DUMMYFUNCTION("""COMPUTED_VALUE"""),"PDV atual não identificado. Operação pequena mas com alto volume e modelo dark kitchen. 3S pode unificar PDV salão + dark kitchen + delivery, otimizando operação. Potencial se expandir.")</f>
        <v>PDV atual não identificado. Operação pequena mas com alto volume e modelo dark kitchen. 3S pode unificar PDV salão + dark kitchen + delivery, otimizando operação. Potencial se expandir.</v>
      </c>
      <c r="K364" s="4" t="str">
        <f>IFERROR(__xludf.DUMMYFUNCTION("""COMPUTED_VALUE"""),"GRUPO CAB BURGUE")</f>
        <v>GRUPO CAB BURGUE</v>
      </c>
      <c r="L364" s="32">
        <f>IFERROR(__xludf.DUMMYFUNCTION("""COMPUTED_VALUE"""),20.0)</f>
        <v>20</v>
      </c>
      <c r="M364" s="4" t="str">
        <f>IFERROR(__xludf.DUMMYFUNCTION("""COMPUTED_VALUE"""),"Saipos Serviços De Software")</f>
        <v>Saipos Serviços De Software</v>
      </c>
      <c r="N364" s="33">
        <f>IFERROR(__xludf.DUMMYFUNCTION("""COMPUTED_VALUE"""),0.5)</f>
        <v>0.5</v>
      </c>
      <c r="O364" s="4" t="str">
        <f>IFERROR(__xludf.DUMMYFUNCTION("""COMPUTED_VALUE"""),"Instadelivery")</f>
        <v>Instadelivery</v>
      </c>
      <c r="P364" s="33">
        <f>IFERROR(__xludf.DUMMYFUNCTION("""COMPUTED_VALUE"""),0.45)</f>
        <v>0.45</v>
      </c>
      <c r="Q364" s="4" t="str">
        <f>IFERROR(__xludf.DUMMYFUNCTION("""COMPUTED_VALUE"""),"Instadelivery")</f>
        <v>Instadelivery</v>
      </c>
      <c r="R364" s="33">
        <f>IFERROR(__xludf.DUMMYFUNCTION("""COMPUTED_VALUE"""),0.4)</f>
        <v>0.4</v>
      </c>
      <c r="S364" s="4" t="str">
        <f>IFERROR(__xludf.DUMMYFUNCTION("""COMPUTED_VALUE"""),"Saipos Serviços De Software")</f>
        <v>Saipos Serviços De Software</v>
      </c>
      <c r="T364" s="33">
        <f>IFERROR(__xludf.DUMMYFUNCTION("""COMPUTED_VALUE"""),0.4)</f>
        <v>0.4</v>
      </c>
      <c r="U364" s="4" t="str">
        <f>IFERROR(__xludf.DUMMYFUNCTION("""COMPUTED_VALUE"""),"Instadelivery")</f>
        <v>Instadelivery</v>
      </c>
      <c r="V364" s="33">
        <f>IFERROR(__xludf.DUMMYFUNCTION("""COMPUTED_VALUE"""),0.45)</f>
        <v>0.45</v>
      </c>
      <c r="W364" s="4" t="str">
        <f>IFERROR(__xludf.DUMMYFUNCTION("""COMPUTED_VALUE"""),"Instadelivery")</f>
        <v>Instadelivery</v>
      </c>
      <c r="X364" s="33">
        <f>IFERROR(__xludf.DUMMYFUNCTION("""COMPUTED_VALUE"""),0.45)</f>
        <v>0.45</v>
      </c>
    </row>
    <row r="365">
      <c r="A365" s="4" t="str">
        <f>IFERROR(__xludf.DUMMYFUNCTION("""COMPUTED_VALUE"""),"Jojo Ramen")</f>
        <v>Jojo Ramen</v>
      </c>
      <c r="B365" s="4">
        <f>IFERROR(__xludf.DUMMYFUNCTION("""COMPUTED_VALUE"""),4.0)</f>
        <v>4</v>
      </c>
      <c r="C365" s="4" t="str">
        <f>IFERROR(__xludf.DUMMYFUNCTION("""COMPUTED_VALUE"""),"R$ 90-120")</f>
        <v>R$ 90-120</v>
      </c>
      <c r="D365" s="4" t="str">
        <f>IFERROR(__xludf.DUMMYFUNCTION("""COMPUTED_VALUE"""),"Fast Casual Premium - Restaurante Japonês especializado em Ramen")</f>
        <v>Fast Casual Premium - Restaurante Japonês especializado em Ramen</v>
      </c>
      <c r="E365" s="4" t="str">
        <f>IFERROR(__xludf.DUMMYFUNCTION("""COMPUTED_VALUE"""),"São Paulo/SP. 4 unidades (Paraíso, Santa Cecília, Vila Mariana/Jojo Lab, Pinheiros). Comemora 10 anos em 2026. Operação local premium")</f>
        <v>São Paulo/SP. 4 unidades (Paraíso, Santa Cecília, Vila Mariana/Jojo Lab, Pinheiros). Comemora 10 anos em 2026. Operação local premium</v>
      </c>
      <c r="F365" s="4" t="str">
        <f>IFERROR(__xludf.DUMMYFUNCTION("""COMPUTED_VALUE"""),"Dado não disponível publicamente - Necessário Discovery. Serviu 60k tigelas em 6 meses (2016 inicial)")</f>
        <v>Dado não disponível publicamente - Necessário Discovery. Serviu 60k tigelas em 6 meses (2016 inicial)</v>
      </c>
      <c r="G365" s="4">
        <f>IFERROR(__xludf.DUMMYFUNCTION("""COMPUTED_VALUE"""),58.0)</f>
        <v>58</v>
      </c>
      <c r="H365" s="31">
        <f>IFERROR(__xludf.DUMMYFUNCTION("""COMPUTED_VALUE"""),0.62)</f>
        <v>0.62</v>
      </c>
      <c r="I365" s="4" t="str">
        <f>IFERROR(__xludf.DUMMYFUNCTION("""COMPUTED_VALUE"""),"PDV atual não identificado. Operação premium com ramen master japonês, cardápio regional sofisticado. 3S pode oferecer PDV elegante com gestão de receitas complexas e ingredientes nobres. Potencial se expandir para RJ (planos antigos).")</f>
        <v>PDV atual não identificado. Operação premium com ramen master japonês, cardápio regional sofisticado. 3S pode oferecer PDV elegante com gestão de receitas complexas e ingredientes nobres. Potencial se expandir para RJ (planos antigos).</v>
      </c>
      <c r="K365" s="4" t="str">
        <f>IFERROR(__xludf.DUMMYFUNCTION("""COMPUTED_VALUE"""),"IPHOME MINI GOSTOSURAS")</f>
        <v>IPHOME MINI GOSTOSURAS</v>
      </c>
      <c r="L365" s="32">
        <f>IFERROR(__xludf.DUMMYFUNCTION("""COMPUTED_VALUE"""),20.0)</f>
        <v>20</v>
      </c>
      <c r="M365" s="4" t="str">
        <f>IFERROR(__xludf.DUMMYFUNCTION("""COMPUTED_VALUE"""),"Connectplug")</f>
        <v>Connectplug</v>
      </c>
      <c r="N365" s="33">
        <f>IFERROR(__xludf.DUMMYFUNCTION("""COMPUTED_VALUE"""),0.8)</f>
        <v>0.8</v>
      </c>
      <c r="O365" s="4" t="str">
        <f>IFERROR(__xludf.DUMMYFUNCTION("""COMPUTED_VALUE"""),"Connectplug")</f>
        <v>Connectplug</v>
      </c>
      <c r="P365" s="33">
        <f>IFERROR(__xludf.DUMMYFUNCTION("""COMPUTED_VALUE"""),0.75)</f>
        <v>0.75</v>
      </c>
      <c r="Q365" s="4" t="str">
        <f>IFERROR(__xludf.DUMMYFUNCTION("""COMPUTED_VALUE"""),"Connectplug")</f>
        <v>Connectplug</v>
      </c>
      <c r="R365" s="33">
        <f>IFERROR(__xludf.DUMMYFUNCTION("""COMPUTED_VALUE"""),0.7)</f>
        <v>0.7</v>
      </c>
      <c r="S365" s="4" t="str">
        <f>IFERROR(__xludf.DUMMYFUNCTION("""COMPUTED_VALUE"""),"Connectplug")</f>
        <v>Connectplug</v>
      </c>
      <c r="T365" s="33">
        <f>IFERROR(__xludf.DUMMYFUNCTION("""COMPUTED_VALUE"""),0.75)</f>
        <v>0.75</v>
      </c>
      <c r="U365" s="4" t="str">
        <f>IFERROR(__xludf.DUMMYFUNCTION("""COMPUTED_VALUE"""),"Connectplug")</f>
        <v>Connectplug</v>
      </c>
      <c r="V365" s="33">
        <f>IFERROR(__xludf.DUMMYFUNCTION("""COMPUTED_VALUE"""),0.85)</f>
        <v>0.85</v>
      </c>
      <c r="W365" s="4" t="str">
        <f>IFERROR(__xludf.DUMMYFUNCTION("""COMPUTED_VALUE"""),"Connectplug")</f>
        <v>Connectplug</v>
      </c>
      <c r="X365" s="33">
        <f>IFERROR(__xludf.DUMMYFUNCTION("""COMPUTED_VALUE"""),0.85)</f>
        <v>0.85</v>
      </c>
    </row>
    <row r="366">
      <c r="A366" s="4" t="str">
        <f>IFERROR(__xludf.DUMMYFUNCTION("""COMPUTED_VALUE"""),"Jsk Burguer")</f>
        <v>Jsk Burguer</v>
      </c>
      <c r="B366" s="4">
        <f>IFERROR(__xludf.DUMMYFUNCTION("""COMPUTED_VALUE"""),11.0)</f>
        <v>11</v>
      </c>
      <c r="C366" s="4" t="str">
        <f>IFERROR(__xludf.DUMMYFUNCTION("""COMPUTED_VALUE"""),"R$ 45-65")</f>
        <v>R$ 45-65</v>
      </c>
      <c r="D366" s="4" t="str">
        <f>IFERROR(__xludf.DUMMYFUNCTION("""COMPUTED_VALUE"""),"QSR - Quick Service Restaurant (Hamburgueria artesanal regional)")</f>
        <v>QSR - Quick Service Restaurant (Hamburgueria artesanal regional)</v>
      </c>
      <c r="E366" s="4" t="str">
        <f>IFERROR(__xludf.DUMMYFUNCTION("""COMPUTED_VALUE"""),"Manaus/AM. 11 unidades próprias todas em Manaus (Amazonas Shopping, Manauara Shopping, Park Mall, etc). Vende 120k hambúrgueres/mês. Centro de distribuição próprio. Operação 100% regional")</f>
        <v>Manaus/AM. 11 unidades próprias todas em Manaus (Amazonas Shopping, Manauara Shopping, Park Mall, etc). Vende 120k hambúrgueres/mês. Centro de distribuição próprio. Operação 100% regional</v>
      </c>
      <c r="F366" s="4" t="str">
        <f>IFERROR(__xludf.DUMMYFUNCTION("""COMPUTED_VALUE"""),"R$ 60 milhões (2025). Projeção +16% em 2026 com nova loja Sumaúma Park Shopping")</f>
        <v>R$ 60 milhões (2025). Projeção +16% em 2026 com nova loja Sumaúma Park Shopping</v>
      </c>
      <c r="G366" s="4">
        <f>IFERROR(__xludf.DUMMYFUNCTION("""COMPUTED_VALUE"""),72.0)</f>
        <v>72</v>
      </c>
      <c r="H366" s="31">
        <f>IFERROR(__xludf.DUMMYFUNCTION("""COMPUTED_VALUE"""),0.76)</f>
        <v>0.76</v>
      </c>
      <c r="I366" s="4" t="str">
        <f>IFERROR(__xludf.DUMMYFUNCTION("""COMPUTED_VALUE"""),"PDV atual não identificado. Operação sofisticada com centro de distribuição próprio, padaria e açougue. Alto volume (120k/mês). 3S pode oferecer PDV robusto para alto fluxo + integração com CD próprio + gestão de produção interna.")</f>
        <v>PDV atual não identificado. Operação sofisticada com centro de distribuição próprio, padaria e açougue. Alto volume (120k/mês). 3S pode oferecer PDV robusto para alto fluxo + integração com CD próprio + gestão de produção interna.</v>
      </c>
      <c r="K366" s="4" t="str">
        <f>IFERROR(__xludf.DUMMYFUNCTION("""COMPUTED_VALUE"""),"JUANITOS EMPANADAS ARTESANALES")</f>
        <v>JUANITOS EMPANADAS ARTESANALES</v>
      </c>
      <c r="L366" s="32">
        <f>IFERROR(__xludf.DUMMYFUNCTION("""COMPUTED_VALUE"""),20.0)</f>
        <v>20</v>
      </c>
      <c r="M366" s="4" t="str">
        <f>IFERROR(__xludf.DUMMYFUNCTION("""COMPUTED_VALUE"""),"Saipos Serviços De Software")</f>
        <v>Saipos Serviços De Software</v>
      </c>
      <c r="N366" s="33">
        <f>IFERROR(__xludf.DUMMYFUNCTION("""COMPUTED_VALUE"""),1.0)</f>
        <v>1</v>
      </c>
      <c r="O366" s="4" t="str">
        <f>IFERROR(__xludf.DUMMYFUNCTION("""COMPUTED_VALUE"""),"Saipos Serviços De Software")</f>
        <v>Saipos Serviços De Software</v>
      </c>
      <c r="P366" s="33">
        <f>IFERROR(__xludf.DUMMYFUNCTION("""COMPUTED_VALUE"""),0.9)</f>
        <v>0.9</v>
      </c>
      <c r="Q366" s="4" t="str">
        <f>IFERROR(__xludf.DUMMYFUNCTION("""COMPUTED_VALUE"""),"Saipos Serviços De Software")</f>
        <v>Saipos Serviços De Software</v>
      </c>
      <c r="R366" s="33">
        <f>IFERROR(__xludf.DUMMYFUNCTION("""COMPUTED_VALUE"""),0.9)</f>
        <v>0.9</v>
      </c>
      <c r="S366" s="4" t="str">
        <f>IFERROR(__xludf.DUMMYFUNCTION("""COMPUTED_VALUE"""),"Saipos Serviços De Software")</f>
        <v>Saipos Serviços De Software</v>
      </c>
      <c r="T366" s="33">
        <f>IFERROR(__xludf.DUMMYFUNCTION("""COMPUTED_VALUE"""),0.8)</f>
        <v>0.8</v>
      </c>
      <c r="U366" s="4" t="str">
        <f>IFERROR(__xludf.DUMMYFUNCTION("""COMPUTED_VALUE"""),"Saipos Serviços De Software")</f>
        <v>Saipos Serviços De Software</v>
      </c>
      <c r="V366" s="33">
        <f>IFERROR(__xludf.DUMMYFUNCTION("""COMPUTED_VALUE"""),0.85)</f>
        <v>0.85</v>
      </c>
      <c r="W366" s="4" t="str">
        <f>IFERROR(__xludf.DUMMYFUNCTION("""COMPUTED_VALUE"""),"Saipos Serviços De Software")</f>
        <v>Saipos Serviços De Software</v>
      </c>
      <c r="X366" s="33">
        <f>IFERROR(__xludf.DUMMYFUNCTION("""COMPUTED_VALUE"""),0.85)</f>
        <v>0.85</v>
      </c>
    </row>
    <row r="367">
      <c r="A367" s="4" t="str">
        <f>IFERROR(__xludf.DUMMYFUNCTION("""COMPUTED_VALUE"""),"Ken Taki Kandoo")</f>
        <v>Ken Taki Kandoo</v>
      </c>
      <c r="B367" s="4">
        <f>IFERROR(__xludf.DUMMYFUNCTION("""COMPUTED_VALUE"""),4.0)</f>
        <v>4</v>
      </c>
      <c r="C367" s="4" t="str">
        <f>IFERROR(__xludf.DUMMYFUNCTION("""COMPUTED_VALUE"""),"R$ 80-110 (rodízio R$ 78-99)")</f>
        <v>R$ 80-110 (rodízio R$ 78-99)</v>
      </c>
      <c r="D367" s="4" t="str">
        <f>IFERROR(__xludf.DUMMYFUNCTION("""COMPUTED_VALUE"""),"Fast Casual - Restaurante Japonês com rodízio kaiten (esteira)")</f>
        <v>Fast Casual - Restaurante Japonês com rodízio kaiten (esteira)</v>
      </c>
      <c r="E367" s="4" t="str">
        <f>IFERROR(__xludf.DUMMYFUNCTION("""COMPUTED_VALUE"""),"Curitiba/PR. 4 unidades Ken Taki (Cristo Rei, Champagnat, Shopping Curitiba, delivery-only). 15k pedidos/mês delivery. Operação local sem expansão")</f>
        <v>Curitiba/PR. 4 unidades Ken Taki (Cristo Rei, Champagnat, Shopping Curitiba, delivery-only). 15k pedidos/mês delivery. Operação local sem expansão</v>
      </c>
      <c r="F367" s="4" t="str">
        <f>IFERROR(__xludf.DUMMYFUNCTION("""COMPUTED_VALUE"""),"Dado não disponível publicamente - Necessário Discovery. 15k pedidos delivery/mês indica volume significativo")</f>
        <v>Dado não disponível publicamente - Necessário Discovery. 15k pedidos delivery/mês indica volume significativo</v>
      </c>
      <c r="G367" s="4">
        <f>IFERROR(__xludf.DUMMYFUNCTION("""COMPUTED_VALUE"""),56.0)</f>
        <v>56</v>
      </c>
      <c r="H367" s="31">
        <f>IFERROR(__xludf.DUMMYFUNCTION("""COMPUTED_VALUE"""),0.6)</f>
        <v>0.6</v>
      </c>
      <c r="I367" s="4" t="str">
        <f>IFERROR(__xludf.DUMMYFUNCTION("""COMPUTED_VALUE"""),"PDV atual não identificado. Operação mista: rodízio esteira + teppan yaki + delivery forte (15k/mês). 3S pode unificar PDV presencial + delivery + gestão de rodízio, otimizando operação complexa de 10 anos no mercado.")</f>
        <v>PDV atual não identificado. Operação mista: rodízio esteira + teppan yaki + delivery forte (15k/mês). 3S pode unificar PDV presencial + delivery + gestão de rodízio, otimizando operação complexa de 10 anos no mercado.</v>
      </c>
      <c r="K367" s="4" t="str">
        <f>IFERROR(__xludf.DUMMYFUNCTION("""COMPUTED_VALUE"""),"KI BOCAO")</f>
        <v>KI BOCAO</v>
      </c>
      <c r="L367" s="32">
        <f>IFERROR(__xludf.DUMMYFUNCTION("""COMPUTED_VALUE"""),20.0)</f>
        <v>20</v>
      </c>
      <c r="M367" s="4" t="str">
        <f>IFERROR(__xludf.DUMMYFUNCTION("""COMPUTED_VALUE"""),"null")</f>
        <v>null</v>
      </c>
      <c r="N367" s="33">
        <f>IFERROR(__xludf.DUMMYFUNCTION("""COMPUTED_VALUE"""),1.0)</f>
        <v>1</v>
      </c>
      <c r="O367" s="4" t="str">
        <f>IFERROR(__xludf.DUMMYFUNCTION("""COMPUTED_VALUE"""),"null")</f>
        <v>null</v>
      </c>
      <c r="P367" s="33">
        <f>IFERROR(__xludf.DUMMYFUNCTION("""COMPUTED_VALUE"""),1.0)</f>
        <v>1</v>
      </c>
      <c r="Q367" s="4" t="str">
        <f>IFERROR(__xludf.DUMMYFUNCTION("""COMPUTED_VALUE"""),"null")</f>
        <v>null</v>
      </c>
      <c r="R367" s="33">
        <f>IFERROR(__xludf.DUMMYFUNCTION("""COMPUTED_VALUE"""),1.0)</f>
        <v>1</v>
      </c>
      <c r="S367" s="4" t="str">
        <f>IFERROR(__xludf.DUMMYFUNCTION("""COMPUTED_VALUE"""),"Saipos Serviços De Software")</f>
        <v>Saipos Serviços De Software</v>
      </c>
      <c r="T367" s="33">
        <f>IFERROR(__xludf.DUMMYFUNCTION("""COMPUTED_VALUE"""),1.0)</f>
        <v>1</v>
      </c>
      <c r="U367" s="4" t="str">
        <f>IFERROR(__xludf.DUMMYFUNCTION("""COMPUTED_VALUE"""),"Saipos Serviços De Software")</f>
        <v>Saipos Serviços De Software</v>
      </c>
      <c r="V367" s="33">
        <f>IFERROR(__xludf.DUMMYFUNCTION("""COMPUTED_VALUE"""),1.0)</f>
        <v>1</v>
      </c>
      <c r="W367" s="4" t="str">
        <f>IFERROR(__xludf.DUMMYFUNCTION("""COMPUTED_VALUE"""),"Saipos Serviços De Software")</f>
        <v>Saipos Serviços De Software</v>
      </c>
      <c r="X367" s="33">
        <f>IFERROR(__xludf.DUMMYFUNCTION("""COMPUTED_VALUE"""),0.9)</f>
        <v>0.9</v>
      </c>
    </row>
    <row r="368">
      <c r="A368" s="4" t="str">
        <f>IFERROR(__xludf.DUMMYFUNCTION("""COMPUTED_VALUE"""),"Ki Gostoso Lanches Pizzas E Porções")</f>
        <v>Ki Gostoso Lanches Pizzas E Porções</v>
      </c>
      <c r="B368" s="4" t="str">
        <f>IFERROR(__xludf.DUMMYFUNCTION("""COMPUTED_VALUE"""),"6-8 (estimado)")</f>
        <v>6-8 (estimado)</v>
      </c>
      <c r="C368" s="4" t="str">
        <f>IFERROR(__xludf.DUMMYFUNCTION("""COMPUTED_VALUE"""),"R$ 30-50")</f>
        <v>R$ 30-50</v>
      </c>
      <c r="D368" s="4" t="str">
        <f>IFERROR(__xludf.DUMMYFUNCTION("""COMPUTED_VALUE"""),"Table Service Local - Lanchonete/Pizzaria independente")</f>
        <v>Table Service Local - Lanchonete/Pizzaria independente</v>
      </c>
      <c r="E368" s="4" t="str">
        <f>IFERROR(__xludf.DUMMYFUNCTION("""COMPUTED_VALUE"""),"Unidades independentes em SP (São Paulo Vila Prudente, Carapicuíba, Salto) e PR (Maringá 2 unidades, Apucarana). Não é rede, são estabelecimentos locais sem conexão")</f>
        <v>Unidades independentes em SP (São Paulo Vila Prudente, Carapicuíba, Salto) e PR (Maringá 2 unidades, Apucarana). Não é rede, são estabelecimentos locais sem conexão</v>
      </c>
      <c r="F368" s="4" t="str">
        <f>IFERROR(__xludf.DUMMYFUNCTION("""COMPUTED_VALUE"""),"Não aplicável - São estabelecimentos independentes sem conexão")</f>
        <v>Não aplicável - São estabelecimentos independentes sem conexão</v>
      </c>
      <c r="G368" s="4">
        <f>IFERROR(__xludf.DUMMYFUNCTION("""COMPUTED_VALUE"""),10.0)</f>
        <v>10</v>
      </c>
      <c r="H368" s="31">
        <f>IFERROR(__xludf.DUMMYFUNCTION("""COMPUTED_VALUE"""),0.12)</f>
        <v>0.12</v>
      </c>
      <c r="I368" s="4" t="str">
        <f>IFERROR(__xludf.DUMMYFUNCTION("""COMPUTED_VALUE"""),"Não aplicável. São pizzarias/lanchonetes locais independentes com mesmo nome, mas sem conexão entre si. Sem potencial para 3S como rede.")</f>
        <v>Não aplicável. São pizzarias/lanchonetes locais independentes com mesmo nome, mas sem conexão entre si. Sem potencial para 3S como rede.</v>
      </c>
      <c r="K368" s="4" t="str">
        <f>IFERROR(__xludf.DUMMYFUNCTION("""COMPUTED_VALUE"""),"MAIOCA SORVETERIA ARTESANAL")</f>
        <v>MAIOCA SORVETERIA ARTESANAL</v>
      </c>
      <c r="L368" s="32">
        <f>IFERROR(__xludf.DUMMYFUNCTION("""COMPUTED_VALUE"""),20.0)</f>
        <v>20</v>
      </c>
      <c r="M368" s="4" t="str">
        <f>IFERROR(__xludf.DUMMYFUNCTION("""COMPUTED_VALUE"""),"Teknisa Service Ltda")</f>
        <v>Teknisa Service Ltda</v>
      </c>
      <c r="N368" s="33">
        <f>IFERROR(__xludf.DUMMYFUNCTION("""COMPUTED_VALUE"""),0.8)</f>
        <v>0.8</v>
      </c>
      <c r="O368" s="4" t="str">
        <f>IFERROR(__xludf.DUMMYFUNCTION("""COMPUTED_VALUE"""),"Teknisa Service Ltda")</f>
        <v>Teknisa Service Ltda</v>
      </c>
      <c r="P368" s="33">
        <f>IFERROR(__xludf.DUMMYFUNCTION("""COMPUTED_VALUE"""),0.7)</f>
        <v>0.7</v>
      </c>
      <c r="Q368" s="4" t="str">
        <f>IFERROR(__xludf.DUMMYFUNCTION("""COMPUTED_VALUE"""),"Teknisa Service Ltda")</f>
        <v>Teknisa Service Ltda</v>
      </c>
      <c r="R368" s="33">
        <f>IFERROR(__xludf.DUMMYFUNCTION("""COMPUTED_VALUE"""),0.85)</f>
        <v>0.85</v>
      </c>
      <c r="S368" s="4" t="str">
        <f>IFERROR(__xludf.DUMMYFUNCTION("""COMPUTED_VALUE"""),"Teknisa Service Ltda")</f>
        <v>Teknisa Service Ltda</v>
      </c>
      <c r="T368" s="33">
        <f>IFERROR(__xludf.DUMMYFUNCTION("""COMPUTED_VALUE"""),0.75)</f>
        <v>0.75</v>
      </c>
      <c r="U368" s="4" t="str">
        <f>IFERROR(__xludf.DUMMYFUNCTION("""COMPUTED_VALUE"""),"Teknisa Service Ltda")</f>
        <v>Teknisa Service Ltda</v>
      </c>
      <c r="V368" s="33">
        <f>IFERROR(__xludf.DUMMYFUNCTION("""COMPUTED_VALUE"""),0.85)</f>
        <v>0.85</v>
      </c>
      <c r="W368" s="4" t="str">
        <f>IFERROR(__xludf.DUMMYFUNCTION("""COMPUTED_VALUE"""),"Teknisa Service Ltda")</f>
        <v>Teknisa Service Ltda</v>
      </c>
      <c r="X368" s="33">
        <f>IFERROR(__xludf.DUMMYFUNCTION("""COMPUTED_VALUE"""),0.75)</f>
        <v>0.75</v>
      </c>
    </row>
    <row r="369">
      <c r="A369" s="4" t="str">
        <f>IFERROR(__xludf.DUMMYFUNCTION("""COMPUTED_VALUE"""),"Kome Sushi")</f>
        <v>Kome Sushi</v>
      </c>
      <c r="B369" s="34">
        <f>IFERROR(__xludf.DUMMYFUNCTION("""COMPUTED_VALUE"""),46083.0)</f>
        <v>46083</v>
      </c>
      <c r="C369" s="4" t="str">
        <f>IFERROR(__xludf.DUMMYFUNCTION("""COMPUTED_VALUE"""),"R$ 90-130")</f>
        <v>R$ 90-130</v>
      </c>
      <c r="D369" s="4" t="str">
        <f>IFERROR(__xludf.DUMMYFUNCTION("""COMPUTED_VALUE"""),"Fast Casual - Restaurante Japonês com rodízio")</f>
        <v>Fast Casual - Restaurante Japonês com rodízio</v>
      </c>
      <c r="E369" s="4" t="str">
        <f>IFERROR(__xludf.DUMMYFUNCTION("""COMPUTED_VALUE"""),"São Paulo/SP. 2-3 unidades (Kome Bela Vista, Kome Fusion Moema). Operação local sem expansão nacional")</f>
        <v>São Paulo/SP. 2-3 unidades (Kome Bela Vista, Kome Fusion Moema). Operação local sem expansão nacional</v>
      </c>
      <c r="F369" s="4" t="str">
        <f>IFERROR(__xludf.DUMMYFUNCTION("""COMPUTED_VALUE"""),"Dado não disponível publicamente - Necessário Discovery")</f>
        <v>Dado não disponível publicamente - Necessário Discovery</v>
      </c>
      <c r="G369" s="4">
        <f>IFERROR(__xludf.DUMMYFUNCTION("""COMPUTED_VALUE"""),38.0)</f>
        <v>38</v>
      </c>
      <c r="H369" s="31">
        <f>IFERROR(__xludf.DUMMYFUNCTION("""COMPUTED_VALUE"""),0.42)</f>
        <v>0.42</v>
      </c>
      <c r="I369" s="4" t="str">
        <f>IFERROR(__xludf.DUMMYFUNCTION("""COMPUTED_VALUE"""),"PDV atual não identificado. Operação pequena de rodízio japonês fusion. 3S pode unificar PDV + delivery + gestão de rodízio, mas escala pequena limita potencial.")</f>
        <v>PDV atual não identificado. Operação pequena de rodízio japonês fusion. 3S pode unificar PDV + delivery + gestão de rodízio, mas escala pequena limita potencial.</v>
      </c>
      <c r="K369" s="4" t="str">
        <f>IFERROR(__xludf.DUMMYFUNCTION("""COMPUTED_VALUE"""),"GRUPO MARIA ACAI")</f>
        <v>GRUPO MARIA ACAI</v>
      </c>
      <c r="L369" s="32">
        <f>IFERROR(__xludf.DUMMYFUNCTION("""COMPUTED_VALUE"""),20.0)</f>
        <v>20</v>
      </c>
      <c r="M369" s="4" t="str">
        <f>IFERROR(__xludf.DUMMYFUNCTION("""COMPUTED_VALUE"""),"null")</f>
        <v>null</v>
      </c>
      <c r="N369" s="33">
        <f>IFERROR(__xludf.DUMMYFUNCTION("""COMPUTED_VALUE"""),0.45)</f>
        <v>0.45</v>
      </c>
      <c r="O369" s="4" t="str">
        <f>IFERROR(__xludf.DUMMYFUNCTION("""COMPUTED_VALUE"""),"Saipos Serviços De Software")</f>
        <v>Saipos Serviços De Software</v>
      </c>
      <c r="P369" s="33">
        <f>IFERROR(__xludf.DUMMYFUNCTION("""COMPUTED_VALUE"""),0.6)</f>
        <v>0.6</v>
      </c>
      <c r="Q369" s="4" t="str">
        <f>IFERROR(__xludf.DUMMYFUNCTION("""COMPUTED_VALUE"""),"Saipos Serviços De Software")</f>
        <v>Saipos Serviços De Software</v>
      </c>
      <c r="R369" s="33">
        <f>IFERROR(__xludf.DUMMYFUNCTION("""COMPUTED_VALUE"""),0.6)</f>
        <v>0.6</v>
      </c>
      <c r="S369" s="4" t="str">
        <f>IFERROR(__xludf.DUMMYFUNCTION("""COMPUTED_VALUE"""),"Saipos Serviços De Software")</f>
        <v>Saipos Serviços De Software</v>
      </c>
      <c r="T369" s="33">
        <f>IFERROR(__xludf.DUMMYFUNCTION("""COMPUTED_VALUE"""),0.5)</f>
        <v>0.5</v>
      </c>
      <c r="U369" s="4" t="str">
        <f>IFERROR(__xludf.DUMMYFUNCTION("""COMPUTED_VALUE"""),"Saipos Serviços De Software")</f>
        <v>Saipos Serviços De Software</v>
      </c>
      <c r="V369" s="33">
        <f>IFERROR(__xludf.DUMMYFUNCTION("""COMPUTED_VALUE"""),0.7)</f>
        <v>0.7</v>
      </c>
      <c r="W369" s="4" t="str">
        <f>IFERROR(__xludf.DUMMYFUNCTION("""COMPUTED_VALUE"""),"Saipos Serviços De Software")</f>
        <v>Saipos Serviços De Software</v>
      </c>
      <c r="X369" s="33">
        <f>IFERROR(__xludf.DUMMYFUNCTION("""COMPUTED_VALUE"""),0.6)</f>
        <v>0.6</v>
      </c>
    </row>
    <row r="370">
      <c r="A370" s="4" t="str">
        <f>IFERROR(__xludf.DUMMYFUNCTION("""COMPUTED_VALUE"""),"Kosushi")</f>
        <v>Kosushi</v>
      </c>
      <c r="B370" s="4">
        <f>IFERROR(__xludf.DUMMYFUNCTION("""COMPUTED_VALUE"""),5.0)</f>
        <v>5</v>
      </c>
      <c r="C370" s="4" t="str">
        <f>IFERROR(__xludf.DUMMYFUNCTION("""COMPUTED_VALUE"""),"R$ 180-200")</f>
        <v>R$ 180-200</v>
      </c>
      <c r="D370" s="4" t="str">
        <f>IFERROR(__xludf.DUMMYFUNCTION("""COMPUTED_VALUE"""),"Fine Dining - Restaurante Japonês estrelado Michelin")</f>
        <v>Fine Dining - Restaurante Japonês estrelado Michelin</v>
      </c>
      <c r="E370" s="4" t="str">
        <f>IFERROR(__xludf.DUMMYFUNCTION("""COMPUTED_VALUE"""),"Matriz: São Paulo/SP. 5 unidades: 2 em SP (Itaim Bibi, Cidade Jardim), Campinas, Angra dos Reis/RJ, Brasília/DF (inaugurada março 2026). Expansão para capitais seletivas")</f>
        <v>Matriz: São Paulo/SP. 5 unidades: 2 em SP (Itaim Bibi, Cidade Jardim), Campinas, Angra dos Reis/RJ, Brasília/DF (inaugurada março 2026). Expansão para capitais seletivas</v>
      </c>
      <c r="F370" s="4" t="str">
        <f>IFERROR(__xludf.DUMMYFUNCTION("""COMPUTED_VALUE"""),"Dado não disponível publicamente - Necessário Discovery. Estrela Michelin por 5 anos, operação premium")</f>
        <v>Dado não disponível publicamente - Necessário Discovery. Estrela Michelin por 5 anos, operação premium</v>
      </c>
      <c r="G370" s="4">
        <f>IFERROR(__xludf.DUMMYFUNCTION("""COMPUTED_VALUE"""),62.0)</f>
        <v>62</v>
      </c>
      <c r="H370" s="31">
        <f>IFERROR(__xludf.DUMMYFUNCTION("""COMPUTED_VALUE"""),0.65)</f>
        <v>0.65</v>
      </c>
      <c r="I370" s="4" t="str">
        <f>IFERROR(__xludf.DUMMYFUNCTION("""COMPUTED_VALUE"""),"PDV atual não identificado. Operação fine dining exige PDV discreto e sofisticado. 3S pode oferecer solução premium com integração silenciosa, mantendo experiência Michelin. Expansão seletiva (Brasília 2026) indica crescimento controlado.")</f>
        <v>PDV atual não identificado. Operação fine dining exige PDV discreto e sofisticado. 3S pode oferecer solução premium com integração silenciosa, mantendo experiência Michelin. Expansão seletiva (Brasília 2026) indica crescimento controlado.</v>
      </c>
      <c r="K370" s="4" t="str">
        <f>IFERROR(__xludf.DUMMYFUNCTION("""COMPUTED_VALUE"""),"O MATUTO EXPRESS")</f>
        <v>O MATUTO EXPRESS</v>
      </c>
      <c r="L370" s="32">
        <f>IFERROR(__xludf.DUMMYFUNCTION("""COMPUTED_VALUE"""),20.0)</f>
        <v>20</v>
      </c>
      <c r="M370" s="4" t="str">
        <f>IFERROR(__xludf.DUMMYFUNCTION("""COMPUTED_VALUE"""),"Ncr")</f>
        <v>Ncr</v>
      </c>
      <c r="N370" s="33">
        <f>IFERROR(__xludf.DUMMYFUNCTION("""COMPUTED_VALUE"""),0.95)</f>
        <v>0.95</v>
      </c>
      <c r="O370" s="4" t="str">
        <f>IFERROR(__xludf.DUMMYFUNCTION("""COMPUTED_VALUE"""),"Ncr")</f>
        <v>Ncr</v>
      </c>
      <c r="P370" s="33">
        <f>IFERROR(__xludf.DUMMYFUNCTION("""COMPUTED_VALUE"""),0.95)</f>
        <v>0.95</v>
      </c>
      <c r="Q370" s="4" t="str">
        <f>IFERROR(__xludf.DUMMYFUNCTION("""COMPUTED_VALUE"""),"Ncr")</f>
        <v>Ncr</v>
      </c>
      <c r="R370" s="33">
        <f>IFERROR(__xludf.DUMMYFUNCTION("""COMPUTED_VALUE"""),0.95)</f>
        <v>0.95</v>
      </c>
      <c r="S370" s="4" t="str">
        <f>IFERROR(__xludf.DUMMYFUNCTION("""COMPUTED_VALUE"""),"Ncr")</f>
        <v>Ncr</v>
      </c>
      <c r="T370" s="33">
        <f>IFERROR(__xludf.DUMMYFUNCTION("""COMPUTED_VALUE"""),0.95)</f>
        <v>0.95</v>
      </c>
      <c r="U370" s="4" t="str">
        <f>IFERROR(__xludf.DUMMYFUNCTION("""COMPUTED_VALUE"""),"Ncr")</f>
        <v>Ncr</v>
      </c>
      <c r="V370" s="33">
        <f>IFERROR(__xludf.DUMMYFUNCTION("""COMPUTED_VALUE"""),0.95)</f>
        <v>0.95</v>
      </c>
      <c r="W370" s="4" t="str">
        <f>IFERROR(__xludf.DUMMYFUNCTION("""COMPUTED_VALUE"""),"Ncr")</f>
        <v>Ncr</v>
      </c>
      <c r="X370" s="33">
        <f>IFERROR(__xludf.DUMMYFUNCTION("""COMPUTED_VALUE"""),1.0)</f>
        <v>1</v>
      </c>
    </row>
    <row r="371">
      <c r="A371" s="4" t="str">
        <f>IFERROR(__xludf.DUMMYFUNCTION("""COMPUTED_VALUE"""),"Koto By Makoto")</f>
        <v>Koto By Makoto</v>
      </c>
      <c r="B371" s="4">
        <f>IFERROR(__xludf.DUMMYFUNCTION("""COMPUTED_VALUE"""),3.0)</f>
        <v>3</v>
      </c>
      <c r="C371" s="4" t="str">
        <f>IFERROR(__xludf.DUMMYFUNCTION("""COMPUTED_VALUE"""),"R$ 100-150")</f>
        <v>R$ 100-150</v>
      </c>
      <c r="D371" s="4" t="str">
        <f>IFERROR(__xludf.DUMMYFUNCTION("""COMPUTED_VALUE"""),"Fast Casual - Restaurante Japonês")</f>
        <v>Fast Casual - Restaurante Japonês</v>
      </c>
      <c r="E371" s="4" t="str">
        <f>IFERROR(__xludf.DUMMYFUNCTION("""COMPUTED_VALUE"""),"SP e RJ. 3 unidades: São Paulo Itaim Bibi, Niterói/RJ, São Gonçalo/RJ. Possivelmente franquias independentes")</f>
        <v>SP e RJ. 3 unidades: São Paulo Itaim Bibi, Niterói/RJ, São Gonçalo/RJ. Possivelmente franquias independentes</v>
      </c>
      <c r="F371" s="4" t="str">
        <f>IFERROR(__xludf.DUMMYFUNCTION("""COMPUTED_VALUE"""),"Dado não disponível publicamente - Necessário Discovery")</f>
        <v>Dado não disponível publicamente - Necessário Discovery</v>
      </c>
      <c r="G371" s="4">
        <f>IFERROR(__xludf.DUMMYFUNCTION("""COMPUTED_VALUE"""),35.0)</f>
        <v>35</v>
      </c>
      <c r="H371" s="31">
        <f>IFERROR(__xludf.DUMMYFUNCTION("""COMPUTED_VALUE"""),0.38)</f>
        <v>0.38</v>
      </c>
      <c r="I371" s="4" t="str">
        <f>IFERROR(__xludf.DUMMYFUNCTION("""COMPUTED_VALUE"""),"PDV atual não identificado. Operação pequena sem site oficial ou lista completa de lojas. Baixa aderência por falta de padronização e escala reduzida.")</f>
        <v>PDV atual não identificado. Operação pequena sem site oficial ou lista completa de lojas. Baixa aderência por falta de padronização e escala reduzida.</v>
      </c>
      <c r="K371" s="4" t="str">
        <f>IFERROR(__xludf.DUMMYFUNCTION("""COMPUTED_VALUE"""),"PARMEGGIO")</f>
        <v>PARMEGGIO</v>
      </c>
      <c r="L371" s="32">
        <f>IFERROR(__xludf.DUMMYFUNCTION("""COMPUTED_VALUE"""),20.0)</f>
        <v>20</v>
      </c>
      <c r="M371" s="4" t="str">
        <f>IFERROR(__xludf.DUMMYFUNCTION("""COMPUTED_VALUE"""),"Ncr")</f>
        <v>Ncr</v>
      </c>
      <c r="N371" s="33">
        <f>IFERROR(__xludf.DUMMYFUNCTION("""COMPUTED_VALUE"""),0.8)</f>
        <v>0.8</v>
      </c>
      <c r="O371" s="4" t="str">
        <f>IFERROR(__xludf.DUMMYFUNCTION("""COMPUTED_VALUE"""),"Ncr")</f>
        <v>Ncr</v>
      </c>
      <c r="P371" s="33">
        <f>IFERROR(__xludf.DUMMYFUNCTION("""COMPUTED_VALUE"""),0.8)</f>
        <v>0.8</v>
      </c>
      <c r="Q371" s="4" t="str">
        <f>IFERROR(__xludf.DUMMYFUNCTION("""COMPUTED_VALUE"""),"Ncr")</f>
        <v>Ncr</v>
      </c>
      <c r="R371" s="33">
        <f>IFERROR(__xludf.DUMMYFUNCTION("""COMPUTED_VALUE"""),0.8)</f>
        <v>0.8</v>
      </c>
      <c r="S371" s="4" t="str">
        <f>IFERROR(__xludf.DUMMYFUNCTION("""COMPUTED_VALUE"""),"Ncr")</f>
        <v>Ncr</v>
      </c>
      <c r="T371" s="33">
        <f>IFERROR(__xludf.DUMMYFUNCTION("""COMPUTED_VALUE"""),0.9)</f>
        <v>0.9</v>
      </c>
      <c r="U371" s="4" t="str">
        <f>IFERROR(__xludf.DUMMYFUNCTION("""COMPUTED_VALUE"""),"Ncr")</f>
        <v>Ncr</v>
      </c>
      <c r="V371" s="33">
        <f>IFERROR(__xludf.DUMMYFUNCTION("""COMPUTED_VALUE"""),0.9)</f>
        <v>0.9</v>
      </c>
      <c r="W371" s="4" t="str">
        <f>IFERROR(__xludf.DUMMYFUNCTION("""COMPUTED_VALUE"""),"Ncr")</f>
        <v>Ncr</v>
      </c>
      <c r="X371" s="33">
        <f>IFERROR(__xludf.DUMMYFUNCTION("""COMPUTED_VALUE"""),0.85)</f>
        <v>0.85</v>
      </c>
    </row>
    <row r="372">
      <c r="A372" s="4" t="str">
        <f>IFERROR(__xludf.DUMMYFUNCTION("""COMPUTED_VALUE"""),"Kouzina")</f>
        <v>Kouzina</v>
      </c>
      <c r="B372" s="4">
        <f>IFERROR(__xludf.DUMMYFUNCTION("""COMPUTED_VALUE"""),2.0)</f>
        <v>2</v>
      </c>
      <c r="C372" s="4" t="str">
        <f>IFERROR(__xludf.DUMMYFUNCTION("""COMPUTED_VALUE"""),"R$ 90-130")</f>
        <v>R$ 90-130</v>
      </c>
      <c r="D372" s="4" t="str">
        <f>IFERROR(__xludf.DUMMYFUNCTION("""COMPUTED_VALUE"""),"Fast Casual Premium - Restaurante Grego-Mediterrâneo")</f>
        <v>Fast Casual Premium - Restaurante Grego-Mediterrâneo</v>
      </c>
      <c r="E372" s="4" t="str">
        <f>IFERROR(__xludf.DUMMYFUNCTION("""COMPUTED_VALUE"""),"São Paulo/SP. 2 unidades (Jardins Rua Peixoto Gomide, Shopping Cidade Jardim). Operação local, 1 unidade fechada em Pinheiros")</f>
        <v>São Paulo/SP. 2 unidades (Jardins Rua Peixoto Gomide, Shopping Cidade Jardim). Operação local, 1 unidade fechada em Pinheiros</v>
      </c>
      <c r="F372" s="4" t="str">
        <f>IFERROR(__xludf.DUMMYFUNCTION("""COMPUTED_VALUE"""),"Dado não disponível publicamente - Necessário Discovery. Comemora 10 anos em 2025")</f>
        <v>Dado não disponível publicamente - Necessário Discovery. Comemora 10 anos em 2025</v>
      </c>
      <c r="G372" s="4">
        <f>IFERROR(__xludf.DUMMYFUNCTION("""COMPUTED_VALUE"""),42.0)</f>
        <v>42</v>
      </c>
      <c r="H372" s="31">
        <f>IFERROR(__xludf.DUMMYFUNCTION("""COMPUTED_VALUE"""),0.45)</f>
        <v>0.45</v>
      </c>
      <c r="I372" s="4" t="str">
        <f>IFERROR(__xludf.DUMMYFUNCTION("""COMPUTED_VALUE"""),"PDV atual não identificado. Operação boutique grega com público premium. Escala muito reduzida (2 lojas) limita potencial. 3S seria oversized para operação atual.")</f>
        <v>PDV atual não identificado. Operação boutique grega com público premium. Escala muito reduzida (2 lojas) limita potencial. 3S seria oversized para operação atual.</v>
      </c>
      <c r="K372" s="4" t="str">
        <f>IFERROR(__xludf.DUMMYFUNCTION("""COMPUTED_VALUE"""),"PETLOVE - CONTA PAI")</f>
        <v>PETLOVE - CONTA PAI</v>
      </c>
      <c r="L372" s="32">
        <f>IFERROR(__xludf.DUMMYFUNCTION("""COMPUTED_VALUE"""),20.0)</f>
        <v>20</v>
      </c>
      <c r="M372" s="4" t="str">
        <f>IFERROR(__xludf.DUMMYFUNCTION("""COMPUTED_VALUE"""),"N/A (Not found)")</f>
        <v>N/A (Not found)</v>
      </c>
      <c r="N372" s="33">
        <f>IFERROR(__xludf.DUMMYFUNCTION("""COMPUTED_VALUE"""),0.9)</f>
        <v>0.9</v>
      </c>
      <c r="O372" s="4" t="str">
        <f>IFERROR(__xludf.DUMMYFUNCTION("""COMPUTED_VALUE"""),"N/A (Not found)")</f>
        <v>N/A (Not found)</v>
      </c>
      <c r="P372" s="33">
        <f>IFERROR(__xludf.DUMMYFUNCTION("""COMPUTED_VALUE"""),0.9)</f>
        <v>0.9</v>
      </c>
      <c r="Q372" s="4" t="str">
        <f>IFERROR(__xludf.DUMMYFUNCTION("""COMPUTED_VALUE"""),"N/A (Not found)")</f>
        <v>N/A (Not found)</v>
      </c>
      <c r="R372" s="33">
        <f>IFERROR(__xludf.DUMMYFUNCTION("""COMPUTED_VALUE"""),0.85)</f>
        <v>0.85</v>
      </c>
      <c r="S372" s="4" t="str">
        <f>IFERROR(__xludf.DUMMYFUNCTION("""COMPUTED_VALUE"""),"N/A (Not found)")</f>
        <v>N/A (Not found)</v>
      </c>
      <c r="T372" s="33">
        <f>IFERROR(__xludf.DUMMYFUNCTION("""COMPUTED_VALUE"""),0.95)</f>
        <v>0.95</v>
      </c>
      <c r="U372" s="4" t="str">
        <f>IFERROR(__xludf.DUMMYFUNCTION("""COMPUTED_VALUE"""),"N/A (Not found)")</f>
        <v>N/A (Not found)</v>
      </c>
      <c r="V372" s="33">
        <f>IFERROR(__xludf.DUMMYFUNCTION("""COMPUTED_VALUE"""),0.95)</f>
        <v>0.95</v>
      </c>
      <c r="W372" s="4" t="str">
        <f>IFERROR(__xludf.DUMMYFUNCTION("""COMPUTED_VALUE"""),"N/A (Not found)")</f>
        <v>N/A (Not found)</v>
      </c>
      <c r="X372" s="33">
        <f>IFERROR(__xludf.DUMMYFUNCTION("""COMPUTED_VALUE"""),0.9)</f>
        <v>0.9</v>
      </c>
    </row>
    <row r="373">
      <c r="A373" s="4" t="str">
        <f>IFERROR(__xludf.DUMMYFUNCTION("""COMPUTED_VALUE"""),"La Braciera Pizzaria")</f>
        <v>La Braciera Pizzaria</v>
      </c>
      <c r="B373" s="4">
        <f>IFERROR(__xludf.DUMMYFUNCTION("""COMPUTED_VALUE"""),7.0)</f>
        <v>7</v>
      </c>
      <c r="C373" s="4" t="str">
        <f>IFERROR(__xludf.DUMMYFUNCTION("""COMPUTED_VALUE"""),"R$ 100-130")</f>
        <v>R$ 100-130</v>
      </c>
      <c r="D373" s="4" t="str">
        <f>IFERROR(__xludf.DUMMYFUNCTION("""COMPUTED_VALUE"""),"Fast Casual Premium - Pizzaria Napolitana")</f>
        <v>Fast Casual Premium - Pizzaria Napolitana</v>
      </c>
      <c r="E373" s="4" t="str">
        <f>IFERROR(__xludf.DUMMYFUNCTION("""COMPUTED_VALUE"""),"Matriz: São Paulo/SP. 7 unidades: 6 em SP (Jardins, Tatuapé, Morumbi, Santana, Higienópolis, Moema), 1 Campinas. Meta: 17 unidades até 2027")</f>
        <v>Matriz: São Paulo/SP. 7 unidades: 6 em SP (Jardins, Tatuapé, Morumbi, Santana, Higienópolis, Moema), 1 Campinas. Meta: 17 unidades até 2027</v>
      </c>
      <c r="F373" s="4" t="str">
        <f>IFERROR(__xludf.DUMMYFUNCTION("""COMPUTED_VALUE"""),"R$ 53 milhões (2026). Crescimento de 274% (2022: R$ 3,2 mi → 2023: R$ 11,8 mi). Produz 20 mil pizzas/mês")</f>
        <v>R$ 53 milhões (2026). Crescimento de 274% (2022: R$ 3,2 mi → 2023: R$ 11,8 mi). Produz 20 mil pizzas/mês</v>
      </c>
      <c r="G373" s="4">
        <f>IFERROR(__xludf.DUMMYFUNCTION("""COMPUTED_VALUE"""),76.0)</f>
        <v>76</v>
      </c>
      <c r="H373" s="31">
        <f>IFERROR(__xludf.DUMMYFUNCTION("""COMPUTED_VALUE"""),0.8)</f>
        <v>0.8</v>
      </c>
      <c r="I373" s="4" t="str">
        <f>IFERROR(__xludf.DUMMYFUNCTION("""COMPUTED_VALUE"""),"PDV atual não identificado. Crescimento exponencial (274% a.a.) com reconhecimento internacional (35ª melhor rede mundial 50 Top Pizza). 3S é estratégico para padronização na expansão agressiva planejada (17 lojas 2027). Alto potencial.")</f>
        <v>PDV atual não identificado. Crescimento exponencial (274% a.a.) com reconhecimento internacional (35ª melhor rede mundial 50 Top Pizza). 3S é estratégico para padronização na expansão agressiva planejada (17 lojas 2027). Alto potencial.</v>
      </c>
      <c r="K373" s="4" t="str">
        <f>IFERROR(__xludf.DUMMYFUNCTION("""COMPUTED_VALUE"""),"SUPER PIZZA PAN")</f>
        <v>SUPER PIZZA PAN</v>
      </c>
      <c r="L373" s="32">
        <f>IFERROR(__xludf.DUMMYFUNCTION("""COMPUTED_VALUE"""),20.0)</f>
        <v>20</v>
      </c>
      <c r="M373" s="4" t="str">
        <f>IFERROR(__xludf.DUMMYFUNCTION("""COMPUTED_VALUE"""),"Netcontroll Xmenu")</f>
        <v>Netcontroll Xmenu</v>
      </c>
      <c r="N373" s="33">
        <f>IFERROR(__xludf.DUMMYFUNCTION("""COMPUTED_VALUE"""),0.95)</f>
        <v>0.95</v>
      </c>
      <c r="O373" s="4" t="str">
        <f>IFERROR(__xludf.DUMMYFUNCTION("""COMPUTED_VALUE"""),"Netcontroll Xmenu")</f>
        <v>Netcontroll Xmenu</v>
      </c>
      <c r="P373" s="33">
        <f>IFERROR(__xludf.DUMMYFUNCTION("""COMPUTED_VALUE"""),0.95)</f>
        <v>0.95</v>
      </c>
      <c r="Q373" s="4" t="str">
        <f>IFERROR(__xludf.DUMMYFUNCTION("""COMPUTED_VALUE"""),"Netcontroll Xmenu")</f>
        <v>Netcontroll Xmenu</v>
      </c>
      <c r="R373" s="33">
        <f>IFERROR(__xludf.DUMMYFUNCTION("""COMPUTED_VALUE"""),0.95)</f>
        <v>0.95</v>
      </c>
      <c r="S373" s="4" t="str">
        <f>IFERROR(__xludf.DUMMYFUNCTION("""COMPUTED_VALUE"""),"Netcontroll Xmenu")</f>
        <v>Netcontroll Xmenu</v>
      </c>
      <c r="T373" s="33">
        <f>IFERROR(__xludf.DUMMYFUNCTION("""COMPUTED_VALUE"""),1.0)</f>
        <v>1</v>
      </c>
      <c r="U373" s="4" t="str">
        <f>IFERROR(__xludf.DUMMYFUNCTION("""COMPUTED_VALUE"""),"Netcontroll Xmenu")</f>
        <v>Netcontroll Xmenu</v>
      </c>
      <c r="V373" s="33">
        <f>IFERROR(__xludf.DUMMYFUNCTION("""COMPUTED_VALUE"""),1.0)</f>
        <v>1</v>
      </c>
      <c r="W373" s="4" t="str">
        <f>IFERROR(__xludf.DUMMYFUNCTION("""COMPUTED_VALUE"""),"Netcontroll Xmenu")</f>
        <v>Netcontroll Xmenu</v>
      </c>
      <c r="X373" s="33">
        <f>IFERROR(__xludf.DUMMYFUNCTION("""COMPUTED_VALUE"""),1.0)</f>
        <v>1</v>
      </c>
    </row>
    <row r="374">
      <c r="A374" s="4" t="str">
        <f>IFERROR(__xludf.DUMMYFUNCTION("""COMPUTED_VALUE"""),"La Guapa")</f>
        <v>La Guapa</v>
      </c>
      <c r="B374" s="4">
        <f>IFERROR(__xludf.DUMMYFUNCTION("""COMPUTED_VALUE"""),36.0)</f>
        <v>36</v>
      </c>
      <c r="C374" s="4" t="str">
        <f>IFERROR(__xludf.DUMMYFUNCTION("""COMPUTED_VALUE"""),"R$ 25-35 (R$ 15/empanada)")</f>
        <v>R$ 25-35 (R$ 15/empanada)</v>
      </c>
      <c r="D374" s="4" t="str">
        <f>IFERROR(__xludf.DUMMYFUNCTION("""COMPUTED_VALUE"""),"QSR - Quick Service (Empanadas artesanais)")</f>
        <v>QSR - Quick Service (Empanadas artesanais)</v>
      </c>
      <c r="E374" s="4" t="str">
        <f>IFERROR(__xludf.DUMMYFUNCTION("""COMPUTED_VALUE"""),"Matriz: São Paulo/SP. 36 lojas em SP (21 capital + 8 interior), RJ (3), MG (1), PR (1 Curitiba), DF (2). Marca de Paola Carosella, expansão nacional")</f>
        <v>Matriz: São Paulo/SP. 36 lojas em SP (21 capital + 8 interior), RJ (3), MG (1), PR (1 Curitiba), DF (2). Marca de Paola Carosella, expansão nacional</v>
      </c>
      <c r="F374" s="4" t="str">
        <f>IFERROR(__xludf.DUMMYFUNCTION("""COMPUTED_VALUE"""),"R$ 100 milhões (projeção 2025). 2024: R$ 75 milhões. Meta: 150 lojas até 2030")</f>
        <v>R$ 100 milhões (projeção 2025). 2024: R$ 75 milhões. Meta: 150 lojas até 2030</v>
      </c>
      <c r="G374" s="4">
        <f>IFERROR(__xludf.DUMMYFUNCTION("""COMPUTED_VALUE"""),82.0)</f>
        <v>82</v>
      </c>
      <c r="H374" s="31">
        <f>IFERROR(__xludf.DUMMYFUNCTION("""COMPUTED_VALUE"""),0.86)</f>
        <v>0.86</v>
      </c>
      <c r="I374" s="4" t="str">
        <f>IFERROR(__xludf.DUMMYFUNCTION("""COMPUTED_VALUE"""),"PDV atual não identificado. Rede em franca expansão (R$ 75Mi → R$ 100Mi) com marca forte (Paola Carosella). Fábrica própria indica profissionalismo. 3S pode padronizar franquias em crescimento, garantindo consistência operacional em aeroportos e shoppings"&amp;".")</f>
        <v>PDV atual não identificado. Rede em franca expansão (R$ 75Mi → R$ 100Mi) com marca forte (Paola Carosella). Fábrica própria indica profissionalismo. 3S pode padronizar franquias em crescimento, garantindo consistência operacional em aeroportos e shoppings.</v>
      </c>
      <c r="K374" s="4" t="str">
        <f>IFERROR(__xludf.DUMMYFUNCTION("""COMPUTED_VALUE"""),"THE WAFFLE KING")</f>
        <v>THE WAFFLE KING</v>
      </c>
      <c r="L374" s="32">
        <f>IFERROR(__xludf.DUMMYFUNCTION("""COMPUTED_VALUE"""),20.0)</f>
        <v>20</v>
      </c>
      <c r="M374" s="4" t="str">
        <f>IFERROR(__xludf.DUMMYFUNCTION("""COMPUTED_VALUE"""),"Opdv")</f>
        <v>Opdv</v>
      </c>
      <c r="N374" s="33">
        <f>IFERROR(__xludf.DUMMYFUNCTION("""COMPUTED_VALUE"""),0.95)</f>
        <v>0.95</v>
      </c>
      <c r="O374" s="4" t="str">
        <f>IFERROR(__xludf.DUMMYFUNCTION("""COMPUTED_VALUE"""),"Opdv")</f>
        <v>Opdv</v>
      </c>
      <c r="P374" s="33">
        <f>IFERROR(__xludf.DUMMYFUNCTION("""COMPUTED_VALUE"""),0.9)</f>
        <v>0.9</v>
      </c>
      <c r="Q374" s="4" t="str">
        <f>IFERROR(__xludf.DUMMYFUNCTION("""COMPUTED_VALUE"""),"Opdv")</f>
        <v>Opdv</v>
      </c>
      <c r="R374" s="33">
        <f>IFERROR(__xludf.DUMMYFUNCTION("""COMPUTED_VALUE"""),0.7)</f>
        <v>0.7</v>
      </c>
      <c r="S374" s="4" t="str">
        <f>IFERROR(__xludf.DUMMYFUNCTION("""COMPUTED_VALUE"""),"null")</f>
        <v>null</v>
      </c>
      <c r="T374" s="33">
        <f>IFERROR(__xludf.DUMMYFUNCTION("""COMPUTED_VALUE"""),0.5)</f>
        <v>0.5</v>
      </c>
      <c r="U374" s="4" t="str">
        <f>IFERROR(__xludf.DUMMYFUNCTION("""COMPUTED_VALUE"""),"null")</f>
        <v>null</v>
      </c>
      <c r="V374" s="33">
        <f>IFERROR(__xludf.DUMMYFUNCTION("""COMPUTED_VALUE"""),0.65)</f>
        <v>0.65</v>
      </c>
      <c r="W374" s="4" t="str">
        <f>IFERROR(__xludf.DUMMYFUNCTION("""COMPUTED_VALUE"""),"null")</f>
        <v>null</v>
      </c>
      <c r="X374" s="33">
        <f>IFERROR(__xludf.DUMMYFUNCTION("""COMPUTED_VALUE"""),0.7)</f>
        <v>0.7</v>
      </c>
    </row>
    <row r="375">
      <c r="A375" s="4" t="str">
        <f>IFERROR(__xludf.DUMMYFUNCTION("""COMPUTED_VALUE"""),"Lacerda Lanches")</f>
        <v>Lacerda Lanches</v>
      </c>
      <c r="B375" s="4" t="str">
        <f>IFERROR(__xludf.DUMMYFUNCTION("""COMPUTED_VALUE"""),"3-4 (independentes)")</f>
        <v>3-4 (independentes)</v>
      </c>
      <c r="C375" s="4" t="str">
        <f>IFERROR(__xludf.DUMMYFUNCTION("""COMPUTED_VALUE"""),"R$ 25-40")</f>
        <v>R$ 25-40</v>
      </c>
      <c r="D375" s="4" t="str">
        <f>IFERROR(__xludf.DUMMYFUNCTION("""COMPUTED_VALUE"""),"Table Service Local - Lanchonete independente")</f>
        <v>Table Service Local - Lanchonete independente</v>
      </c>
      <c r="E375" s="4" t="str">
        <f>IFERROR(__xludf.DUMMYFUNCTION("""COMPUTED_VALUE"""),"Unidades independentes em Cascavel/PR, Sertãozinho/SP, Espera Feliz/MG. Não é rede, são estabelecimentos sem conexão")</f>
        <v>Unidades independentes em Cascavel/PR, Sertãozinho/SP, Espera Feliz/MG. Não é rede, são estabelecimentos sem conexão</v>
      </c>
      <c r="F375" s="4" t="str">
        <f>IFERROR(__xludf.DUMMYFUNCTION("""COMPUTED_VALUE"""),"Não aplicável - São estabelecimentos independentes")</f>
        <v>Não aplicável - São estabelecimentos independentes</v>
      </c>
      <c r="G375" s="4">
        <f>IFERROR(__xludf.DUMMYFUNCTION("""COMPUTED_VALUE"""),8.0)</f>
        <v>8</v>
      </c>
      <c r="H375" s="31">
        <f>IFERROR(__xludf.DUMMYFUNCTION("""COMPUTED_VALUE"""),0.1)</f>
        <v>0.1</v>
      </c>
      <c r="I375" s="4" t="str">
        <f>IFERROR(__xludf.DUMMYFUNCTION("""COMPUTED_VALUE"""),"Não aplicável. São lanchonetes locais independentes com nome similar, sem conexão entre si. Sem potencial para 3S.")</f>
        <v>Não aplicável. São lanchonetes locais independentes com nome similar, sem conexão entre si. Sem potencial para 3S.</v>
      </c>
      <c r="K375" s="4" t="str">
        <f>IFERROR(__xludf.DUMMYFUNCTION("""COMPUTED_VALUE"""),"ALMANARA")</f>
        <v>ALMANARA</v>
      </c>
      <c r="L375" s="32">
        <f>IFERROR(__xludf.DUMMYFUNCTION("""COMPUTED_VALUE"""),19.0)</f>
        <v>19</v>
      </c>
      <c r="M375" s="4" t="str">
        <f>IFERROR(__xludf.DUMMYFUNCTION("""COMPUTED_VALUE"""),"Stone Co.")</f>
        <v>Stone Co.</v>
      </c>
      <c r="N375" s="33">
        <f>IFERROR(__xludf.DUMMYFUNCTION("""COMPUTED_VALUE"""),1.0)</f>
        <v>1</v>
      </c>
      <c r="O375" s="4" t="str">
        <f>IFERROR(__xludf.DUMMYFUNCTION("""COMPUTED_VALUE"""),"Stone Co.")</f>
        <v>Stone Co.</v>
      </c>
      <c r="P375" s="33">
        <f>IFERROR(__xludf.DUMMYFUNCTION("""COMPUTED_VALUE"""),1.0)</f>
        <v>1</v>
      </c>
      <c r="Q375" s="4" t="str">
        <f>IFERROR(__xludf.DUMMYFUNCTION("""COMPUTED_VALUE"""),"Stone Co.")</f>
        <v>Stone Co.</v>
      </c>
      <c r="R375" s="33">
        <f>IFERROR(__xludf.DUMMYFUNCTION("""COMPUTED_VALUE"""),1.0)</f>
        <v>1</v>
      </c>
      <c r="S375" s="4" t="str">
        <f>IFERROR(__xludf.DUMMYFUNCTION("""COMPUTED_VALUE"""),"Stone Co.")</f>
        <v>Stone Co.</v>
      </c>
      <c r="T375" s="33">
        <f>IFERROR(__xludf.DUMMYFUNCTION("""COMPUTED_VALUE"""),1.0)</f>
        <v>1</v>
      </c>
      <c r="U375" s="4" t="str">
        <f>IFERROR(__xludf.DUMMYFUNCTION("""COMPUTED_VALUE"""),"Stone Co.")</f>
        <v>Stone Co.</v>
      </c>
      <c r="V375" s="33">
        <f>IFERROR(__xludf.DUMMYFUNCTION("""COMPUTED_VALUE"""),1.0)</f>
        <v>1</v>
      </c>
      <c r="W375" s="4" t="str">
        <f>IFERROR(__xludf.DUMMYFUNCTION("""COMPUTED_VALUE"""),"Stone Co.")</f>
        <v>Stone Co.</v>
      </c>
      <c r="X375" s="33">
        <f>IFERROR(__xludf.DUMMYFUNCTION("""COMPUTED_VALUE"""),1.0)</f>
        <v>1</v>
      </c>
    </row>
    <row r="376">
      <c r="A376" s="4" t="str">
        <f>IFERROR(__xludf.DUMMYFUNCTION("""COMPUTED_VALUE"""),"Le Blond")</f>
        <v>Le Blond</v>
      </c>
      <c r="B376" s="4">
        <f>IFERROR(__xludf.DUMMYFUNCTION("""COMPUTED_VALUE"""),1.0)</f>
        <v>1</v>
      </c>
      <c r="C376" s="4" t="str">
        <f>IFERROR(__xludf.DUMMYFUNCTION("""COMPUTED_VALUE"""),"R$ 120-180")</f>
        <v>R$ 120-180</v>
      </c>
      <c r="D376" s="4" t="str">
        <f>IFERROR(__xludf.DUMMYFUNCTION("""COMPUTED_VALUE"""),"Fine Dining - Bistrô Franco-Brasileiro")</f>
        <v>Fine Dining - Bistrô Franco-Brasileiro</v>
      </c>
      <c r="E376" s="4" t="str">
        <f>IFERROR(__xludf.DUMMYFUNCTION("""COMPUTED_VALUE"""),"Rio de Janeiro/RJ. Única unidade no Leblon (Av. Ataulfo de Paiva, 1321). Grupo Troisgros (Chef Claude Troisgros)")</f>
        <v>Rio de Janeiro/RJ. Única unidade no Leblon (Av. Ataulfo de Paiva, 1321). Grupo Troisgros (Chef Claude Troisgros)</v>
      </c>
      <c r="F376" s="4" t="str">
        <f>IFERROR(__xludf.DUMMYFUNCTION("""COMPUTED_VALUE"""),"Dado não disponível publicamente - Necessário Discovery")</f>
        <v>Dado não disponível publicamente - Necessário Discovery</v>
      </c>
      <c r="G376" s="4">
        <f>IFERROR(__xludf.DUMMYFUNCTION("""COMPUTED_VALUE"""),25.0)</f>
        <v>25</v>
      </c>
      <c r="H376" s="31">
        <f>IFERROR(__xludf.DUMMYFUNCTION("""COMPUTED_VALUE"""),0.28)</f>
        <v>0.28</v>
      </c>
      <c r="I376" s="4" t="str">
        <f>IFERROR(__xludf.DUMMYFUNCTION("""COMPUTED_VALUE"""),"PDV atual não identificado. Operação única de alta gastronomia sem expansão. Baixíssima aderência - 3S não é adequado para single location fine dining.")</f>
        <v>PDV atual não identificado. Operação única de alta gastronomia sem expansão. Baixíssima aderência - 3S não é adequado para single location fine dining.</v>
      </c>
      <c r="K376" s="4" t="str">
        <f>IFERROR(__xludf.DUMMYFUNCTION("""COMPUTED_VALUE"""),"ANGUS - CARNES E HAMBURGUERIA")</f>
        <v>ANGUS - CARNES E HAMBURGUERIA</v>
      </c>
      <c r="L376" s="32">
        <f>IFERROR(__xludf.DUMMYFUNCTION("""COMPUTED_VALUE"""),19.0)</f>
        <v>19</v>
      </c>
      <c r="M376" s="4" t="str">
        <f>IFERROR(__xludf.DUMMYFUNCTION("""COMPUTED_VALUE"""),"Mp Multipedidos")</f>
        <v>Mp Multipedidos</v>
      </c>
      <c r="N376" s="33">
        <f>IFERROR(__xludf.DUMMYFUNCTION("""COMPUTED_VALUE"""),0.7368421052631579)</f>
        <v>0.7368421053</v>
      </c>
      <c r="O376" s="4" t="str">
        <f>IFERROR(__xludf.DUMMYFUNCTION("""COMPUTED_VALUE"""),"Mp Multipedidos")</f>
        <v>Mp Multipedidos</v>
      </c>
      <c r="P376" s="33">
        <f>IFERROR(__xludf.DUMMYFUNCTION("""COMPUTED_VALUE"""),0.631578947368421)</f>
        <v>0.6315789474</v>
      </c>
      <c r="Q376" s="4" t="str">
        <f>IFERROR(__xludf.DUMMYFUNCTION("""COMPUTED_VALUE"""),"Mp Multipedidos")</f>
        <v>Mp Multipedidos</v>
      </c>
      <c r="R376" s="33">
        <f>IFERROR(__xludf.DUMMYFUNCTION("""COMPUTED_VALUE"""),0.7368421052631579)</f>
        <v>0.7368421053</v>
      </c>
      <c r="S376" s="4" t="str">
        <f>IFERROR(__xludf.DUMMYFUNCTION("""COMPUTED_VALUE"""),"Mp Multipedidos")</f>
        <v>Mp Multipedidos</v>
      </c>
      <c r="T376" s="33">
        <f>IFERROR(__xludf.DUMMYFUNCTION("""COMPUTED_VALUE"""),0.5789473684210527)</f>
        <v>0.5789473684</v>
      </c>
      <c r="U376" s="4" t="str">
        <f>IFERROR(__xludf.DUMMYFUNCTION("""COMPUTED_VALUE"""),"Mp Multipedidos")</f>
        <v>Mp Multipedidos</v>
      </c>
      <c r="V376" s="33">
        <f>IFERROR(__xludf.DUMMYFUNCTION("""COMPUTED_VALUE"""),0.5789473684210527)</f>
        <v>0.5789473684</v>
      </c>
      <c r="W376" s="4" t="str">
        <f>IFERROR(__xludf.DUMMYFUNCTION("""COMPUTED_VALUE"""),"Mp Multipedidos")</f>
        <v>Mp Multipedidos</v>
      </c>
      <c r="X376" s="33">
        <f>IFERROR(__xludf.DUMMYFUNCTION("""COMPUTED_VALUE"""),0.5789473684210527)</f>
        <v>0.5789473684</v>
      </c>
    </row>
    <row r="377">
      <c r="A377" s="4" t="str">
        <f>IFERROR(__xludf.DUMMYFUNCTION("""COMPUTED_VALUE"""),"Lecadô")</f>
        <v>Lecadô</v>
      </c>
      <c r="B377" s="4">
        <f>IFERROR(__xludf.DUMMYFUNCTION("""COMPUTED_VALUE"""),35.0)</f>
        <v>35</v>
      </c>
      <c r="C377" s="4" t="str">
        <f>IFERROR(__xludf.DUMMYFUNCTION("""COMPUTED_VALUE"""),"R$ 25-40")</f>
        <v>R$ 25-40</v>
      </c>
      <c r="D377" s="4" t="str">
        <f>IFERROR(__xludf.DUMMYFUNCTION("""COMPUTED_VALUE"""),"QSR - Quick Service (Doceria/Confeitaria + Salgados)")</f>
        <v>QSR - Quick Service (Doceria/Confeitaria + Salgados)</v>
      </c>
      <c r="E377" s="4" t="str">
        <f>IFERROR(__xludf.DUMMYFUNCTION("""COMPUTED_VALUE"""),"Rio de Janeiro/RJ. 35 unidades em todo RJ (Centro, Zona Sul, Norte, Oeste, Barra, Niterói, São Gonçalo). Fundada 1982, tradicional carioca")</f>
        <v>Rio de Janeiro/RJ. 35 unidades em todo RJ (Centro, Zona Sul, Norte, Oeste, Barra, Niterói, São Gonçalo). Fundada 1982, tradicional carioca</v>
      </c>
      <c r="F377" s="4" t="str">
        <f>IFERROR(__xludf.DUMMYFUNCTION("""COMPUTED_VALUE"""),"Estimado R$ 30-38 milhões anuais (baseado em R$ 80-95k/mês por loja x 35 unidades). Faturamento médio mensal: R$ 80-95k/loja")</f>
        <v>Estimado R$ 30-38 milhões anuais (baseado em R$ 80-95k/mês por loja x 35 unidades). Faturamento médio mensal: R$ 80-95k/loja</v>
      </c>
      <c r="G377" s="4">
        <f>IFERROR(__xludf.DUMMYFUNCTION("""COMPUTED_VALUE"""),68.0)</f>
        <v>68</v>
      </c>
      <c r="H377" s="31">
        <f>IFERROR(__xludf.DUMMYFUNCTION("""COMPUTED_VALUE"""),0.72)</f>
        <v>0.72</v>
      </c>
      <c r="I377" s="4" t="str">
        <f>IFERROR(__xludf.DUMMYFUNCTION("""COMPUTED_VALUE"""),"PDV atual não identificado. Rede tradicional (42 anos) com 35 lojas em expansão no RJ. Modelo Express em 2026 indica crescimento. 3S pode unificar PDV multi-canal (loja + delivery + WhatsApp + cashback) e padronizar franquias.")</f>
        <v>PDV atual não identificado. Rede tradicional (42 anos) com 35 lojas em expansão no RJ. Modelo Express em 2026 indica crescimento. 3S pode unificar PDV multi-canal (loja + delivery + WhatsApp + cashback) e padronizar franquias.</v>
      </c>
      <c r="K377" s="4" t="str">
        <f>IFERROR(__xludf.DUMMYFUNCTION("""COMPUTED_VALUE"""),"BIO MUNDO GAVEA")</f>
        <v>BIO MUNDO GAVEA</v>
      </c>
      <c r="L377" s="32">
        <f>IFERROR(__xludf.DUMMYFUNCTION("""COMPUTED_VALUE"""),19.0)</f>
        <v>19</v>
      </c>
      <c r="M377" s="4" t="str">
        <f>IFERROR(__xludf.DUMMYFUNCTION("""COMPUTED_VALUE"""),"N/A (Not found)")</f>
        <v>N/A (Not found)</v>
      </c>
      <c r="N377" s="33">
        <f>IFERROR(__xludf.DUMMYFUNCTION("""COMPUTED_VALUE"""),0.9473684210526315)</f>
        <v>0.9473684211</v>
      </c>
      <c r="O377" s="4" t="str">
        <f>IFERROR(__xludf.DUMMYFUNCTION("""COMPUTED_VALUE"""),"N/A (Not found)")</f>
        <v>N/A (Not found)</v>
      </c>
      <c r="P377" s="33">
        <f>IFERROR(__xludf.DUMMYFUNCTION("""COMPUTED_VALUE"""),0.7894736842105263)</f>
        <v>0.7894736842</v>
      </c>
      <c r="Q377" s="4" t="str">
        <f>IFERROR(__xludf.DUMMYFUNCTION("""COMPUTED_VALUE"""),"N/A (Not found)")</f>
        <v>N/A (Not found)</v>
      </c>
      <c r="R377" s="33">
        <f>IFERROR(__xludf.DUMMYFUNCTION("""COMPUTED_VALUE"""),0.8947368421052632)</f>
        <v>0.8947368421</v>
      </c>
      <c r="S377" s="4" t="str">
        <f>IFERROR(__xludf.DUMMYFUNCTION("""COMPUTED_VALUE"""),"N/A (Not found)")</f>
        <v>N/A (Not found)</v>
      </c>
      <c r="T377" s="33">
        <f>IFERROR(__xludf.DUMMYFUNCTION("""COMPUTED_VALUE"""),0.8947368421052632)</f>
        <v>0.8947368421</v>
      </c>
      <c r="U377" s="4" t="str">
        <f>IFERROR(__xludf.DUMMYFUNCTION("""COMPUTED_VALUE"""),"N/A (Not found)")</f>
        <v>N/A (Not found)</v>
      </c>
      <c r="V377" s="33">
        <f>IFERROR(__xludf.DUMMYFUNCTION("""COMPUTED_VALUE"""),0.9473684210526315)</f>
        <v>0.9473684211</v>
      </c>
      <c r="W377" s="4" t="str">
        <f>IFERROR(__xludf.DUMMYFUNCTION("""COMPUTED_VALUE"""),"N/A (Not found)")</f>
        <v>N/A (Not found)</v>
      </c>
      <c r="X377" s="33">
        <f>IFERROR(__xludf.DUMMYFUNCTION("""COMPUTED_VALUE"""),0.8421052631578947)</f>
        <v>0.8421052632</v>
      </c>
    </row>
    <row r="378">
      <c r="A378" s="4" t="str">
        <f>IFERROR(__xludf.DUMMYFUNCTION("""COMPUTED_VALUE"""),"Lemax Hamburgueria")</f>
        <v>Lemax Hamburgueria</v>
      </c>
      <c r="B378" s="4">
        <f>IFERROR(__xludf.DUMMYFUNCTION("""COMPUTED_VALUE"""),12.0)</f>
        <v>12</v>
      </c>
      <c r="C378" s="4" t="str">
        <f>IFERROR(__xludf.DUMMYFUNCTION("""COMPUTED_VALUE"""),"R$ 50-70")</f>
        <v>R$ 50-70</v>
      </c>
      <c r="D378" s="4" t="str">
        <f>IFERROR(__xludf.DUMMYFUNCTION("""COMPUTED_VALUE"""),"Fast Casual - Hamburgueria premium")</f>
        <v>Fast Casual - Hamburgueria premium</v>
      </c>
      <c r="E378" s="4" t="str">
        <f>IFERROR(__xludf.DUMMYFUNCTION("""COMPUTED_VALUE"""),"Rio de Janeiro/RJ. 12 lojas todas no RJ (Leblon, Via Parque, Botafogo, Méier, Recreio, America Shopping, etc). Auto-proclamada ""hamburgueria #1 do Rio""")</f>
        <v>Rio de Janeiro/RJ. 12 lojas todas no RJ (Leblon, Via Parque, Botafogo, Méier, Recreio, America Shopping, etc). Auto-proclamada "hamburgueria #1 do Rio"</v>
      </c>
      <c r="F378" s="4" t="str">
        <f>IFERROR(__xludf.DUMMYFUNCTION("""COMPUTED_VALUE"""),"R$ 24-36 milhões estimado (R$ 200-300k/mês x 12 lojas). Faturamento médio: R$ 2,7-4 mi/ano por loja")</f>
        <v>R$ 24-36 milhões estimado (R$ 200-300k/mês x 12 lojas). Faturamento médio: R$ 2,7-4 mi/ano por loja</v>
      </c>
      <c r="G378" s="4">
        <f>IFERROR(__xludf.DUMMYFUNCTION("""COMPUTED_VALUE"""),58.0)</f>
        <v>58</v>
      </c>
      <c r="H378" s="31">
        <f>IFERROR(__xludf.DUMMYFUNCTION("""COMPUTED_VALUE"""),0.62)</f>
        <v>0.62</v>
      </c>
      <c r="I378" s="4" t="str">
        <f>IFERROR(__xludf.DUMMYFUNCTION("""COMPUTED_VALUE"""),"PDV atual não identificado. Rede regional consolidada no RJ com 12 lojas. Alto faturamento por loja indica operação profissional. 3S pode otimizar delivery (150k entregas/ano) e integrar PDV + delivery + salão.")</f>
        <v>PDV atual não identificado. Rede regional consolidada no RJ com 12 lojas. Alto faturamento por loja indica operação profissional. 3S pode otimizar delivery (150k entregas/ano) e integrar PDV + delivery + salão.</v>
      </c>
      <c r="K378" s="4" t="str">
        <f>IFERROR(__xludf.DUMMYFUNCTION("""COMPUTED_VALUE"""),"DOFFEE DONUTS COFFEE - CONTA MARCA")</f>
        <v>DOFFEE DONUTS COFFEE - CONTA MARCA</v>
      </c>
      <c r="L378" s="32">
        <f>IFERROR(__xludf.DUMMYFUNCTION("""COMPUTED_VALUE"""),19.0)</f>
        <v>19</v>
      </c>
      <c r="M378" s="4" t="str">
        <f>IFERROR(__xludf.DUMMYFUNCTION("""COMPUTED_VALUE"""),"Cloudfy")</f>
        <v>Cloudfy</v>
      </c>
      <c r="N378" s="33">
        <f>IFERROR(__xludf.DUMMYFUNCTION("""COMPUTED_VALUE"""),0.9473684210526315)</f>
        <v>0.9473684211</v>
      </c>
      <c r="O378" s="4" t="str">
        <f>IFERROR(__xludf.DUMMYFUNCTION("""COMPUTED_VALUE"""),"Cloudfy")</f>
        <v>Cloudfy</v>
      </c>
      <c r="P378" s="33">
        <f>IFERROR(__xludf.DUMMYFUNCTION("""COMPUTED_VALUE"""),0.9473684210526315)</f>
        <v>0.9473684211</v>
      </c>
      <c r="Q378" s="4" t="str">
        <f>IFERROR(__xludf.DUMMYFUNCTION("""COMPUTED_VALUE"""),"Cloudfy")</f>
        <v>Cloudfy</v>
      </c>
      <c r="R378" s="33">
        <f>IFERROR(__xludf.DUMMYFUNCTION("""COMPUTED_VALUE"""),0.9473684210526315)</f>
        <v>0.9473684211</v>
      </c>
      <c r="S378" s="4" t="str">
        <f>IFERROR(__xludf.DUMMYFUNCTION("""COMPUTED_VALUE"""),"Cloudfy")</f>
        <v>Cloudfy</v>
      </c>
      <c r="T378" s="33">
        <f>IFERROR(__xludf.DUMMYFUNCTION("""COMPUTED_VALUE"""),0.7368421052631579)</f>
        <v>0.7368421053</v>
      </c>
      <c r="U378" s="4" t="str">
        <f>IFERROR(__xludf.DUMMYFUNCTION("""COMPUTED_VALUE"""),"Cloudfy")</f>
        <v>Cloudfy</v>
      </c>
      <c r="V378" s="33">
        <f>IFERROR(__xludf.DUMMYFUNCTION("""COMPUTED_VALUE"""),0.7368421052631579)</f>
        <v>0.7368421053</v>
      </c>
      <c r="W378" s="4" t="str">
        <f>IFERROR(__xludf.DUMMYFUNCTION("""COMPUTED_VALUE"""),"Cloudfy")</f>
        <v>Cloudfy</v>
      </c>
      <c r="X378" s="33">
        <f>IFERROR(__xludf.DUMMYFUNCTION("""COMPUTED_VALUE"""),0.7368421052631579)</f>
        <v>0.7368421053</v>
      </c>
    </row>
    <row r="379">
      <c r="A379" s="4" t="str">
        <f>IFERROR(__xludf.DUMMYFUNCTION("""COMPUTED_VALUE"""),"Leve Mirin")</f>
        <v>Leve Mirin</v>
      </c>
      <c r="B379" s="4">
        <f>IFERROR(__xludf.DUMMYFUNCTION("""COMPUTED_VALUE"""),1.0)</f>
        <v>1</v>
      </c>
      <c r="C379" s="4" t="str">
        <f>IFERROR(__xludf.DUMMYFUNCTION("""COMPUTED_VALUE"""),"R$ 50-80")</f>
        <v>R$ 50-80</v>
      </c>
      <c r="D379" s="4" t="str">
        <f>IFERROR(__xludf.DUMMYFUNCTION("""COMPUTED_VALUE"""),"Fast Casual - Restaurante Japonês delivery")</f>
        <v>Fast Casual - Restaurante Japonês delivery</v>
      </c>
      <c r="E379" s="4" t="str">
        <f>IFERROR(__xludf.DUMMYFUNCTION("""COMPUTED_VALUE"""),"Rio de Janeiro/RJ. 1 unidade na Barra da Tijuca (Av. Ruy Frazão Soares, 121). Operação única")</f>
        <v>Rio de Janeiro/RJ. 1 unidade na Barra da Tijuca (Av. Ruy Frazão Soares, 121). Operação única</v>
      </c>
      <c r="F379" s="4" t="str">
        <f>IFERROR(__xludf.DUMMYFUNCTION("""COMPUTED_VALUE"""),"Dado não disponível publicamente - Necessário Discovery")</f>
        <v>Dado não disponível publicamente - Necessário Discovery</v>
      </c>
      <c r="G379" s="4">
        <f>IFERROR(__xludf.DUMMYFUNCTION("""COMPUTED_VALUE"""),18.0)</f>
        <v>18</v>
      </c>
      <c r="H379" s="31">
        <f>IFERROR(__xludf.DUMMYFUNCTION("""COMPUTED_VALUE"""),0.2)</f>
        <v>0.2</v>
      </c>
      <c r="I379" s="4" t="str">
        <f>IFERROR(__xludf.DUMMYFUNCTION("""COMPUTED_VALUE"""),"PDV atual não identificado. Operação única sem evidência de expansão. Baixíssima aderência - 3S não justifica para single location.")</f>
        <v>PDV atual não identificado. Operação única sem evidência de expansão. Baixíssima aderência - 3S não justifica para single location.</v>
      </c>
      <c r="K379" s="4" t="str">
        <f>IFERROR(__xludf.DUMMYFUNCTION("""COMPUTED_VALUE"""),"DONA BAUNILHA")</f>
        <v>DONA BAUNILHA</v>
      </c>
      <c r="L379" s="32">
        <f>IFERROR(__xludf.DUMMYFUNCTION("""COMPUTED_VALUE"""),19.0)</f>
        <v>19</v>
      </c>
      <c r="M379" s="4" t="str">
        <f>IFERROR(__xludf.DUMMYFUNCTION("""COMPUTED_VALUE"""),"Stone Co.")</f>
        <v>Stone Co.</v>
      </c>
      <c r="N379" s="33">
        <f>IFERROR(__xludf.DUMMYFUNCTION("""COMPUTED_VALUE"""),1.0)</f>
        <v>1</v>
      </c>
      <c r="O379" s="4" t="str">
        <f>IFERROR(__xludf.DUMMYFUNCTION("""COMPUTED_VALUE"""),"Stone Co.")</f>
        <v>Stone Co.</v>
      </c>
      <c r="P379" s="33">
        <f>IFERROR(__xludf.DUMMYFUNCTION("""COMPUTED_VALUE"""),1.0)</f>
        <v>1</v>
      </c>
      <c r="Q379" s="4" t="str">
        <f>IFERROR(__xludf.DUMMYFUNCTION("""COMPUTED_VALUE"""),"Stone Co.")</f>
        <v>Stone Co.</v>
      </c>
      <c r="R379" s="33">
        <f>IFERROR(__xludf.DUMMYFUNCTION("""COMPUTED_VALUE"""),0.9473684210526315)</f>
        <v>0.9473684211</v>
      </c>
      <c r="S379" s="4" t="str">
        <f>IFERROR(__xludf.DUMMYFUNCTION("""COMPUTED_VALUE"""),"Stone Co.")</f>
        <v>Stone Co.</v>
      </c>
      <c r="T379" s="33">
        <f>IFERROR(__xludf.DUMMYFUNCTION("""COMPUTED_VALUE"""),1.0)</f>
        <v>1</v>
      </c>
      <c r="U379" s="4" t="str">
        <f>IFERROR(__xludf.DUMMYFUNCTION("""COMPUTED_VALUE"""),"Stone Co.")</f>
        <v>Stone Co.</v>
      </c>
      <c r="V379" s="33">
        <f>IFERROR(__xludf.DUMMYFUNCTION("""COMPUTED_VALUE"""),0.9473684210526315)</f>
        <v>0.9473684211</v>
      </c>
      <c r="W379" s="4" t="str">
        <f>IFERROR(__xludf.DUMMYFUNCTION("""COMPUTED_VALUE"""),"Stone Co.")</f>
        <v>Stone Co.</v>
      </c>
      <c r="X379" s="33">
        <f>IFERROR(__xludf.DUMMYFUNCTION("""COMPUTED_VALUE"""),0.9473684210526315)</f>
        <v>0.9473684211</v>
      </c>
    </row>
    <row r="380">
      <c r="A380" s="4" t="str">
        <f>IFERROR(__xludf.DUMMYFUNCTION("""COMPUTED_VALUE"""),"Lindt")</f>
        <v>Lindt</v>
      </c>
      <c r="B380" s="4" t="str">
        <f>IFERROR(__xludf.DUMMYFUNCTION("""COMPUTED_VALUE"""),"90+")</f>
        <v>90+</v>
      </c>
      <c r="C380" s="4" t="str">
        <f>IFERROR(__xludf.DUMMYFUNCTION("""COMPUTED_VALUE"""),"R$ 80-150")</f>
        <v>R$ 80-150</v>
      </c>
      <c r="D380" s="4" t="str">
        <f>IFERROR(__xludf.DUMMYFUNCTION("""COMPUTED_VALUE"""),"Varejo Especializado - Chocolates premium suíços")</f>
        <v>Varejo Especializado - Chocolates premium suíços</v>
      </c>
      <c r="E380" s="4" t="str">
        <f>IFERROR(__xludf.DUMMYFUNCTION("""COMPUTED_VALUE"""),"Brasil todo. 90+ lojas próprias (não franquias) em todas regiões. 2024: 80 lojas, 2025: 85-90 lojas. Nestlé/Lindt &amp; Sprüngli Suíça")</f>
        <v>Brasil todo. 90+ lojas próprias (não franquias) em todas regiões. 2024: 80 lojas, 2025: 85-90 lojas. Nestlé/Lindt &amp; Sprüngli Suíça</v>
      </c>
      <c r="F380" s="4" t="str">
        <f>IFERROR(__xludf.DUMMYFUNCTION("""COMPUTED_VALUE"""),"Estimado R$ 295 milhões (capital social). Crescimento double-digit no Brasil (mercado key). Global: CHF 5,92 bilhões")</f>
        <v>Estimado R$ 295 milhões (capital social). Crescimento double-digit no Brasil (mercado key). Global: CHF 5,92 bilhões</v>
      </c>
      <c r="G380" s="4">
        <f>IFERROR(__xludf.DUMMYFUNCTION("""COMPUTED_VALUE"""),70.0)</f>
        <v>70</v>
      </c>
      <c r="H380" s="31">
        <f>IFERROR(__xludf.DUMMYFUNCTION("""COMPUTED_VALUE"""),0.68)</f>
        <v>0.68</v>
      </c>
      <c r="I380" s="4" t="str">
        <f>IFERROR(__xludf.DUMMYFUNCTION("""COMPUTED_VALUE"""),"PDV atual não identificado. Marca global premium com 90+ lojas próprias em expansão contínua. 3S pode oferecer solução elegante para lojas boutiques com integração e-commerce (Pick &amp; Mix, fontes chocolate). Potencial em novas lojas 2026+.")</f>
        <v>PDV atual não identificado. Marca global premium com 90+ lojas próprias em expansão contínua. 3S pode oferecer solução elegante para lojas boutiques com integração e-commerce (Pick &amp; Mix, fontes chocolate). Potencial em novas lojas 2026+.</v>
      </c>
      <c r="K380" s="4" t="str">
        <f>IFERROR(__xludf.DUMMYFUNCTION("""COMPUTED_VALUE"""),"DONA MUCHACHA")</f>
        <v>DONA MUCHACHA</v>
      </c>
      <c r="L380" s="32">
        <f>IFERROR(__xludf.DUMMYFUNCTION("""COMPUTED_VALUE"""),19.0)</f>
        <v>19</v>
      </c>
      <c r="M380" s="4" t="str">
        <f>IFERROR(__xludf.DUMMYFUNCTION("""COMPUTED_VALUE"""),"Saipos Serviços De Software")</f>
        <v>Saipos Serviços De Software</v>
      </c>
      <c r="N380" s="33">
        <f>IFERROR(__xludf.DUMMYFUNCTION("""COMPUTED_VALUE"""),1.0)</f>
        <v>1</v>
      </c>
      <c r="O380" s="4" t="str">
        <f>IFERROR(__xludf.DUMMYFUNCTION("""COMPUTED_VALUE"""),"Saipos Serviços De Software")</f>
        <v>Saipos Serviços De Software</v>
      </c>
      <c r="P380" s="33">
        <f>IFERROR(__xludf.DUMMYFUNCTION("""COMPUTED_VALUE"""),1.0)</f>
        <v>1</v>
      </c>
      <c r="Q380" s="4" t="str">
        <f>IFERROR(__xludf.DUMMYFUNCTION("""COMPUTED_VALUE"""),"Saipos Serviços De Software")</f>
        <v>Saipos Serviços De Software</v>
      </c>
      <c r="R380" s="33">
        <f>IFERROR(__xludf.DUMMYFUNCTION("""COMPUTED_VALUE"""),0.9473684210526315)</f>
        <v>0.9473684211</v>
      </c>
      <c r="S380" s="4" t="str">
        <f>IFERROR(__xludf.DUMMYFUNCTION("""COMPUTED_VALUE"""),"Saipos Serviços De Software")</f>
        <v>Saipos Serviços De Software</v>
      </c>
      <c r="T380" s="33">
        <f>IFERROR(__xludf.DUMMYFUNCTION("""COMPUTED_VALUE"""),0.8421052631578947)</f>
        <v>0.8421052632</v>
      </c>
      <c r="U380" s="4" t="str">
        <f>IFERROR(__xludf.DUMMYFUNCTION("""COMPUTED_VALUE"""),"Saipos Serviços De Software")</f>
        <v>Saipos Serviços De Software</v>
      </c>
      <c r="V380" s="33">
        <f>IFERROR(__xludf.DUMMYFUNCTION("""COMPUTED_VALUE"""),0.8947368421052632)</f>
        <v>0.8947368421</v>
      </c>
      <c r="W380" s="4" t="str">
        <f>IFERROR(__xludf.DUMMYFUNCTION("""COMPUTED_VALUE"""),"null")</f>
        <v>null</v>
      </c>
      <c r="X380" s="33">
        <f>IFERROR(__xludf.DUMMYFUNCTION("""COMPUTED_VALUE"""),0.5263157894736842)</f>
        <v>0.5263157895</v>
      </c>
    </row>
    <row r="381">
      <c r="A381" s="4" t="str">
        <f>IFERROR(__xludf.DUMMYFUNCTION("""COMPUTED_VALUE"""),"Madero")</f>
        <v>Madero</v>
      </c>
      <c r="B381" s="4" t="str">
        <f>IFERROR(__xludf.DUMMYFUNCTION("""COMPUTED_VALUE"""),"355+")</f>
        <v>355+</v>
      </c>
      <c r="C381" s="4" t="str">
        <f>IFERROR(__xludf.DUMMYFUNCTION("""COMPUTED_VALUE"""),"R$ 45-65")</f>
        <v>R$ 45-65</v>
      </c>
      <c r="D381" s="4" t="str">
        <f>IFERROR(__xludf.DUMMYFUNCTION("""COMPUTED_VALUE"""),"Fast Casual Premium - Hamburgueria + Steakhouse (Madero, Jeronimo, híbridos)")</f>
        <v>Fast Casual Premium - Hamburgueria + Steakhouse (Madero, Jeronimo, híbridos)</v>
      </c>
      <c r="E381" s="4" t="str">
        <f>IFERROR(__xludf.DUMMYFUNCTION("""COMPUTED_VALUE"""),"Brasil (18 estados) + Paraguai (1 loja Q1/2026). 355 unidades fim 2025, meta &gt;365 em 2026. Matriz: Curitiba/PR. Expansão nacional consolidada")</f>
        <v>Brasil (18 estados) + Paraguai (1 loja Q1/2026). 355 unidades fim 2025, meta &gt;365 em 2026. Matriz: Curitiba/PR. Expansão nacional consolidada</v>
      </c>
      <c r="F381" s="4" t="str">
        <f>IFERROR(__xludf.DUMMYFUNCTION("""COMPUTED_VALUE"""),"R$ 2,3 bilhões (2025, recorde). Receita líquida ex-PERSE: R$ 2 bilhões (+3,9% vs 2024). Meta 2026: ~R$ 2,4 bilhões com dark kitchens")</f>
        <v>R$ 2,3 bilhões (2025, recorde). Receita líquida ex-PERSE: R$ 2 bilhões (+3,9% vs 2024). Meta 2026: ~R$ 2,4 bilhões com dark kitchens</v>
      </c>
      <c r="G381" s="4">
        <f>IFERROR(__xludf.DUMMYFUNCTION("""COMPUTED_VALUE"""),95.0)</f>
        <v>95</v>
      </c>
      <c r="H381" s="31">
        <f>IFERROR(__xludf.DUMMYFUNCTION("""COMPUTED_VALUE"""),0.92)</f>
        <v>0.92</v>
      </c>
      <c r="I381" s="4" t="str">
        <f>IFERROR(__xludf.DUMMYFUNCTION("""COMPUTED_VALUE"""),"PDV atual não identificado claramente (operação verticalizada própria). Maior rede premium do Brasil em expansão agressiva (355 lojas, +10-30/ano). Delivery 20,7%, canais digitais 56,3%. 3S pode oferecer: (1) Solução unificada para dark kitchens; (2) Inte"&amp;"gração superior delivery; (3) Custo-benefício vs. stack proprietário. Oportunidade gigante em expansão contínua.")</f>
        <v>PDV atual não identificado claramente (operação verticalizada própria). Maior rede premium do Brasil em expansão agressiva (355 lojas, +10-30/ano). Delivery 20,7%, canais digitais 56,3%. 3S pode oferecer: (1) Solução unificada para dark kitchens; (2) Integração superior delivery; (3) Custo-benefício vs. stack proprietário. Oportunidade gigante em expansão contínua.</v>
      </c>
      <c r="K381" s="4" t="str">
        <f>IFERROR(__xludf.DUMMYFUNCTION("""COMPUTED_VALUE"""),"DROGARIA DO POVO - CONTA PAI")</f>
        <v>DROGARIA DO POVO - CONTA PAI</v>
      </c>
      <c r="L381" s="32">
        <f>IFERROR(__xludf.DUMMYFUNCTION("""COMPUTED_VALUE"""),19.0)</f>
        <v>19</v>
      </c>
      <c r="M381" s="4" t="str">
        <f>IFERROR(__xludf.DUMMYFUNCTION("""COMPUTED_VALUE"""),"N/A (Not found)")</f>
        <v>N/A (Not found)</v>
      </c>
      <c r="N381" s="33">
        <f>IFERROR(__xludf.DUMMYFUNCTION("""COMPUTED_VALUE"""),0.8947368421052632)</f>
        <v>0.8947368421</v>
      </c>
      <c r="O381" s="4" t="str">
        <f>IFERROR(__xludf.DUMMYFUNCTION("""COMPUTED_VALUE"""),"N/A (Not found)")</f>
        <v>N/A (Not found)</v>
      </c>
      <c r="P381" s="33">
        <f>IFERROR(__xludf.DUMMYFUNCTION("""COMPUTED_VALUE"""),0.9473684210526315)</f>
        <v>0.9473684211</v>
      </c>
      <c r="Q381" s="4" t="str">
        <f>IFERROR(__xludf.DUMMYFUNCTION("""COMPUTED_VALUE"""),"N/A (Not found)")</f>
        <v>N/A (Not found)</v>
      </c>
      <c r="R381" s="33">
        <f>IFERROR(__xludf.DUMMYFUNCTION("""COMPUTED_VALUE"""),0.9473684210526315)</f>
        <v>0.9473684211</v>
      </c>
      <c r="S381" s="4" t="str">
        <f>IFERROR(__xludf.DUMMYFUNCTION("""COMPUTED_VALUE"""),"N/A (Not found)")</f>
        <v>N/A (Not found)</v>
      </c>
      <c r="T381" s="33">
        <f>IFERROR(__xludf.DUMMYFUNCTION("""COMPUTED_VALUE"""),0.9473684210526315)</f>
        <v>0.9473684211</v>
      </c>
      <c r="U381" s="4" t="str">
        <f>IFERROR(__xludf.DUMMYFUNCTION("""COMPUTED_VALUE"""),"N/A (Not found)")</f>
        <v>N/A (Not found)</v>
      </c>
      <c r="V381" s="33">
        <f>IFERROR(__xludf.DUMMYFUNCTION("""COMPUTED_VALUE"""),0.8947368421052632)</f>
        <v>0.8947368421</v>
      </c>
      <c r="W381" s="4" t="str">
        <f>IFERROR(__xludf.DUMMYFUNCTION("""COMPUTED_VALUE"""),"N/A (Not found)")</f>
        <v>N/A (Not found)</v>
      </c>
      <c r="X381" s="33">
        <f>IFERROR(__xludf.DUMMYFUNCTION("""COMPUTED_VALUE"""),0.9473684210526315)</f>
        <v>0.9473684211</v>
      </c>
    </row>
    <row r="382">
      <c r="A382" s="4" t="str">
        <f>IFERROR(__xludf.DUMMYFUNCTION("""COMPUTED_VALUE"""),"Mahab Esfiharia")</f>
        <v>Mahab Esfiharia</v>
      </c>
      <c r="B382" s="34">
        <f>IFERROR(__xludf.DUMMYFUNCTION("""COMPUTED_VALUE"""),46146.0)</f>
        <v>46146</v>
      </c>
      <c r="C382" s="4" t="str">
        <f>IFERROR(__xludf.DUMMYFUNCTION("""COMPUTED_VALUE"""),"R$ 30-50")</f>
        <v>R$ 30-50</v>
      </c>
      <c r="D382" s="4" t="str">
        <f>IFERROR(__xludf.DUMMYFUNCTION("""COMPUTED_VALUE"""),"Fast Casual - Esfiharia libanesa/árabe")</f>
        <v>Fast Casual - Esfiharia libanesa/árabe</v>
      </c>
      <c r="E382" s="4" t="str">
        <f>IFERROR(__xludf.DUMMYFUNCTION("""COMPUTED_VALUE"""),"São Paulo interior. 4-5 unidades (Piracicaba, Campinas Barão Geraldo, Jundiaí, São José dos Campos em abertura abril/2026). Operação regional SP")</f>
        <v>São Paulo interior. 4-5 unidades (Piracicaba, Campinas Barão Geraldo, Jundiaí, São José dos Campos em abertura abril/2026). Operação regional SP</v>
      </c>
      <c r="F382" s="4" t="str">
        <f>IFERROR(__xludf.DUMMYFUNCTION("""COMPUTED_VALUE"""),"Dado não disponível publicamente - Necessário Discovery")</f>
        <v>Dado não disponível publicamente - Necessário Discovery</v>
      </c>
      <c r="G382" s="4">
        <f>IFERROR(__xludf.DUMMYFUNCTION("""COMPUTED_VALUE"""),45.0)</f>
        <v>45</v>
      </c>
      <c r="H382" s="31">
        <f>IFERROR(__xludf.DUMMYFUNCTION("""COMPUTED_VALUE"""),0.48)</f>
        <v>0.48</v>
      </c>
      <c r="I382" s="4" t="str">
        <f>IFERROR(__xludf.DUMMYFUNCTION("""COMPUTED_VALUE"""),"PDV atual não identificado. Rede pequena em expansão inicial (SJC em abril/2026). 3S pode padronizar desde o início, evitando múltiplos sistemas. Potencial médio se expansão continuar.")</f>
        <v>PDV atual não identificado. Rede pequena em expansão inicial (SJC em abril/2026). 3S pode padronizar desde o início, evitando múltiplos sistemas. Potencial médio se expansão continuar.</v>
      </c>
      <c r="K382" s="4" t="str">
        <f>IFERROR(__xludf.DUMMYFUNCTION("""COMPUTED_VALUE"""),"FALAGUASTA PIZZA")</f>
        <v>FALAGUASTA PIZZA</v>
      </c>
      <c r="L382" s="32">
        <f>IFERROR(__xludf.DUMMYFUNCTION("""COMPUTED_VALUE"""),19.0)</f>
        <v>19</v>
      </c>
      <c r="M382" s="4" t="str">
        <f>IFERROR(__xludf.DUMMYFUNCTION("""COMPUTED_VALUE"""),"Takeat Tecnologia")</f>
        <v>Takeat Tecnologia</v>
      </c>
      <c r="N382" s="33">
        <f>IFERROR(__xludf.DUMMYFUNCTION("""COMPUTED_VALUE"""),0.6842105263157895)</f>
        <v>0.6842105263</v>
      </c>
      <c r="O382" s="4" t="str">
        <f>IFERROR(__xludf.DUMMYFUNCTION("""COMPUTED_VALUE"""),"null")</f>
        <v>null</v>
      </c>
      <c r="P382" s="33">
        <f>IFERROR(__xludf.DUMMYFUNCTION("""COMPUTED_VALUE"""),0.5789473684210527)</f>
        <v>0.5789473684</v>
      </c>
      <c r="Q382" s="4" t="str">
        <f>IFERROR(__xludf.DUMMYFUNCTION("""COMPUTED_VALUE"""),"null")</f>
        <v>null</v>
      </c>
      <c r="R382" s="33">
        <f>IFERROR(__xludf.DUMMYFUNCTION("""COMPUTED_VALUE"""),0.47368421052631576)</f>
        <v>0.4736842105</v>
      </c>
      <c r="S382" s="4" t="str">
        <f>IFERROR(__xludf.DUMMYFUNCTION("""COMPUTED_VALUE"""),"null")</f>
        <v>null</v>
      </c>
      <c r="T382" s="33">
        <f>IFERROR(__xludf.DUMMYFUNCTION("""COMPUTED_VALUE"""),0.47368421052631576)</f>
        <v>0.4736842105</v>
      </c>
      <c r="U382" s="4" t="str">
        <f>IFERROR(__xludf.DUMMYFUNCTION("""COMPUTED_VALUE"""),"null")</f>
        <v>null</v>
      </c>
      <c r="V382" s="33">
        <f>IFERROR(__xludf.DUMMYFUNCTION("""COMPUTED_VALUE"""),0.5263157894736842)</f>
        <v>0.5263157895</v>
      </c>
      <c r="W382" s="4" t="str">
        <f>IFERROR(__xludf.DUMMYFUNCTION("""COMPUTED_VALUE"""),"null")</f>
        <v>null</v>
      </c>
      <c r="X382" s="33">
        <f>IFERROR(__xludf.DUMMYFUNCTION("""COMPUTED_VALUE"""),0.7368421052631579)</f>
        <v>0.7368421053</v>
      </c>
    </row>
    <row r="383">
      <c r="A383" s="4" t="str">
        <f>IFERROR(__xludf.DUMMYFUNCTION("""COMPUTED_VALUE"""),"Makoto Brasil")</f>
        <v>Makoto Brasil</v>
      </c>
      <c r="B383" s="4">
        <f>IFERROR(__xludf.DUMMYFUNCTION("""COMPUTED_VALUE"""),2.0)</f>
        <v>2</v>
      </c>
      <c r="C383" s="4" t="str">
        <f>IFERROR(__xludf.DUMMYFUNCTION("""COMPUTED_VALUE"""),"R$ 250-350")</f>
        <v>R$ 250-350</v>
      </c>
      <c r="D383" s="4" t="str">
        <f>IFERROR(__xludf.DUMMYFUNCTION("""COMPUTED_VALUE"""),"Fine Dining - Restaurante Japonês de alta gastronomia (Chef Makoto Okuwa)")</f>
        <v>Fine Dining - Restaurante Japonês de alta gastronomia (Chef Makoto Okuwa)</v>
      </c>
      <c r="E383" s="4" t="str">
        <f>IFERROR(__xludf.DUMMYFUNCTION("""COMPUTED_VALUE"""),"São Paulo/SP. 2 unidades (Shopping Cidade Jardim, Shops Jardins). Extensão da marca de Miami (Chef japonês famoso)")</f>
        <v>São Paulo/SP. 2 unidades (Shopping Cidade Jardim, Shops Jardins). Extensão da marca de Miami (Chef japonês famoso)</v>
      </c>
      <c r="F383" s="4" t="str">
        <f>IFERROR(__xludf.DUMMYFUNCTION("""COMPUTED_VALUE"""),"Dado não disponível publicamente - Necessário Discovery. Operação premium (80% do menu de Miami)")</f>
        <v>Dado não disponível publicamente - Necessário Discovery. Operação premium (80% do menu de Miami)</v>
      </c>
      <c r="G383" s="4">
        <f>IFERROR(__xludf.DUMMYFUNCTION("""COMPUTED_VALUE"""),48.0)</f>
        <v>48</v>
      </c>
      <c r="H383" s="31">
        <f>IFERROR(__xludf.DUMMYFUNCTION("""COMPUTED_VALUE"""),0.5)</f>
        <v>0.5</v>
      </c>
      <c r="I383" s="4" t="str">
        <f>IFERROR(__xludf.DUMMYFUNCTION("""COMPUTED_VALUE"""),"PDV atual não identificado. Fine dining exige PDV discretíssimo. Escala muito reduzida (2 lojas) em SP. 3S teria baixa aderência - operação boutique sem ambição de rede.")</f>
        <v>PDV atual não identificado. Fine dining exige PDV discretíssimo. Escala muito reduzida (2 lojas) em SP. 3S teria baixa aderência - operação boutique sem ambição de rede.</v>
      </c>
      <c r="K383" s="4" t="str">
        <f>IFERROR(__xludf.DUMMYFUNCTION("""COMPUTED_VALUE"""),"FAT GUYS")</f>
        <v>FAT GUYS</v>
      </c>
      <c r="L383" s="32">
        <f>IFERROR(__xludf.DUMMYFUNCTION("""COMPUTED_VALUE"""),19.0)</f>
        <v>19</v>
      </c>
      <c r="M383" s="4" t="str">
        <f>IFERROR(__xludf.DUMMYFUNCTION("""COMPUTED_VALUE"""),"Saipos Serviços De Software")</f>
        <v>Saipos Serviços De Software</v>
      </c>
      <c r="N383" s="33">
        <f>IFERROR(__xludf.DUMMYFUNCTION("""COMPUTED_VALUE"""),0.6842105263157895)</f>
        <v>0.6842105263</v>
      </c>
      <c r="O383" s="4" t="str">
        <f>IFERROR(__xludf.DUMMYFUNCTION("""COMPUTED_VALUE"""),"Saipos Serviços De Software")</f>
        <v>Saipos Serviços De Software</v>
      </c>
      <c r="P383" s="33">
        <f>IFERROR(__xludf.DUMMYFUNCTION("""COMPUTED_VALUE"""),0.7368421052631579)</f>
        <v>0.7368421053</v>
      </c>
      <c r="Q383" s="4" t="str">
        <f>IFERROR(__xludf.DUMMYFUNCTION("""COMPUTED_VALUE"""),"Saipos Serviços De Software")</f>
        <v>Saipos Serviços De Software</v>
      </c>
      <c r="R383" s="33">
        <f>IFERROR(__xludf.DUMMYFUNCTION("""COMPUTED_VALUE"""),0.8421052631578947)</f>
        <v>0.8421052632</v>
      </c>
      <c r="S383" s="4" t="str">
        <f>IFERROR(__xludf.DUMMYFUNCTION("""COMPUTED_VALUE"""),"Saipos Serviços De Software")</f>
        <v>Saipos Serviços De Software</v>
      </c>
      <c r="T383" s="33">
        <f>IFERROR(__xludf.DUMMYFUNCTION("""COMPUTED_VALUE"""),0.8947368421052632)</f>
        <v>0.8947368421</v>
      </c>
      <c r="U383" s="4" t="str">
        <f>IFERROR(__xludf.DUMMYFUNCTION("""COMPUTED_VALUE"""),"Saipos Serviços De Software")</f>
        <v>Saipos Serviços De Software</v>
      </c>
      <c r="V383" s="33">
        <f>IFERROR(__xludf.DUMMYFUNCTION("""COMPUTED_VALUE"""),0.8947368421052632)</f>
        <v>0.8947368421</v>
      </c>
      <c r="W383" s="4" t="str">
        <f>IFERROR(__xludf.DUMMYFUNCTION("""COMPUTED_VALUE"""),"Saipos Serviços De Software")</f>
        <v>Saipos Serviços De Software</v>
      </c>
      <c r="X383" s="33">
        <f>IFERROR(__xludf.DUMMYFUNCTION("""COMPUTED_VALUE"""),0.8421052631578947)</f>
        <v>0.8421052632</v>
      </c>
    </row>
    <row r="384">
      <c r="A384" s="4" t="str">
        <f>IFERROR(__xludf.DUMMYFUNCTION("""COMPUTED_VALUE"""),"Mana Poke (Grupo Boali)")</f>
        <v>Mana Poke (Grupo Boali)</v>
      </c>
      <c r="B384" s="4">
        <f>IFERROR(__xludf.DUMMYFUNCTION("""COMPUTED_VALUE"""),70.0)</f>
        <v>70</v>
      </c>
      <c r="C384" s="30">
        <f>IFERROR(__xludf.DUMMYFUNCTION("""COMPUTED_VALUE"""),50.0)</f>
        <v>50</v>
      </c>
      <c r="D384" s="4" t="str">
        <f>IFERROR(__xludf.DUMMYFUNCTION("""COMPUTED_VALUE"""),"Fast Casual Saudável - Poke havaiano")</f>
        <v>Fast Casual Saudável - Poke havaiano</v>
      </c>
      <c r="E384" s="4" t="str">
        <f>IFERROR(__xludf.DUMMYFUNCTION("""COMPUTED_VALUE"""),"70 unidades em 13 estados + DF. Grupo Boali adquiriu 51% em set/2025. Meta: 110 lojas até fim 2026. Expansão nacional em shoppings (80% das lojas)")</f>
        <v>70 unidades em 13 estados + DF. Grupo Boali adquiriu 51% em set/2025. Meta: 110 lojas até fim 2026. Expansão nacional em shoppings (80% das lojas)</v>
      </c>
      <c r="F384" s="4" t="str">
        <f>IFERROR(__xludf.DUMMYFUNCTION("""COMPUTED_VALUE"""),"R$ 270 milhões (projeção 2025). Grupo Boali + Mana Poke: R$ 400 milhões combinados. Meta adicional: +R$ 40 milhões em shoppings 2026")</f>
        <v>R$ 270 milhões (projeção 2025). Grupo Boali + Mana Poke: R$ 400 milhões combinados. Meta adicional: +R$ 40 milhões em shoppings 2026</v>
      </c>
      <c r="G384" s="4">
        <f>IFERROR(__xludf.DUMMYFUNCTION("""COMPUTED_VALUE"""),85.0)</f>
        <v>85</v>
      </c>
      <c r="H384" s="31">
        <f>IFERROR(__xludf.DUMMYFUNCTION("""COMPUTED_VALUE"""),0.88)</f>
        <v>0.88</v>
      </c>
      <c r="I384" s="4" t="str">
        <f>IFERROR(__xludf.DUMMYFUNCTION("""COMPUTED_VALUE"""),"PDV atual não identificado. Grupo Boali (comida saudável) em expansão agressiva pós-aquisição. 70→110 lojas em 2026. 3S é estratégico para: (1) Padronizar Mana Poke + Boali; (2) Unificar 173+ lojas do grupo; (3) Gestão centralizada de rede saudável. Alto "&amp;"potencial de conversão.")</f>
        <v>PDV atual não identificado. Grupo Boali (comida saudável) em expansão agressiva pós-aquisição. 70→110 lojas em 2026. 3S é estratégico para: (1) Padronizar Mana Poke + Boali; (2) Unificar 173+ lojas do grupo; (3) Gestão centralizada de rede saudável. Alto potencial de conversão.</v>
      </c>
      <c r="K384" s="4" t="str">
        <f>IFERROR(__xludf.DUMMYFUNCTION("""COMPUTED_VALUE"""),"GALETO DI PAOLO - CONTA MARCA")</f>
        <v>GALETO DI PAOLO - CONTA MARCA</v>
      </c>
      <c r="L384" s="32">
        <f>IFERROR(__xludf.DUMMYFUNCTION("""COMPUTED_VALUE"""),19.0)</f>
        <v>19</v>
      </c>
      <c r="M384" s="4" t="str">
        <f>IFERROR(__xludf.DUMMYFUNCTION("""COMPUTED_VALUE"""),"Ncr")</f>
        <v>Ncr</v>
      </c>
      <c r="N384" s="33">
        <f>IFERROR(__xludf.DUMMYFUNCTION("""COMPUTED_VALUE"""),0.8421052631578947)</f>
        <v>0.8421052632</v>
      </c>
      <c r="O384" s="4" t="str">
        <f>IFERROR(__xludf.DUMMYFUNCTION("""COMPUTED_VALUE"""),"Ncr")</f>
        <v>Ncr</v>
      </c>
      <c r="P384" s="33">
        <f>IFERROR(__xludf.DUMMYFUNCTION("""COMPUTED_VALUE"""),0.8421052631578947)</f>
        <v>0.8421052632</v>
      </c>
      <c r="Q384" s="4" t="str">
        <f>IFERROR(__xludf.DUMMYFUNCTION("""COMPUTED_VALUE"""),"Ncr")</f>
        <v>Ncr</v>
      </c>
      <c r="R384" s="33">
        <f>IFERROR(__xludf.DUMMYFUNCTION("""COMPUTED_VALUE"""),0.8947368421052632)</f>
        <v>0.8947368421</v>
      </c>
      <c r="S384" s="4" t="str">
        <f>IFERROR(__xludf.DUMMYFUNCTION("""COMPUTED_VALUE"""),"Ncr")</f>
        <v>Ncr</v>
      </c>
      <c r="T384" s="33">
        <f>IFERROR(__xludf.DUMMYFUNCTION("""COMPUTED_VALUE"""),0.8421052631578947)</f>
        <v>0.8421052632</v>
      </c>
      <c r="U384" s="4" t="str">
        <f>IFERROR(__xludf.DUMMYFUNCTION("""COMPUTED_VALUE"""),"Ncr")</f>
        <v>Ncr</v>
      </c>
      <c r="V384" s="33">
        <f>IFERROR(__xludf.DUMMYFUNCTION("""COMPUTED_VALUE"""),0.7894736842105263)</f>
        <v>0.7894736842</v>
      </c>
      <c r="W384" s="4" t="str">
        <f>IFERROR(__xludf.DUMMYFUNCTION("""COMPUTED_VALUE"""),"Ncr")</f>
        <v>Ncr</v>
      </c>
      <c r="X384" s="33">
        <f>IFERROR(__xludf.DUMMYFUNCTION("""COMPUTED_VALUE"""),0.7894736842105263)</f>
        <v>0.7894736842</v>
      </c>
    </row>
    <row r="385">
      <c r="A385" s="4" t="str">
        <f>IFERROR(__xludf.DUMMYFUNCTION("""COMPUTED_VALUE"""),"Manekineko")</f>
        <v>Manekineko</v>
      </c>
      <c r="B385" s="4">
        <f>IFERROR(__xludf.DUMMYFUNCTION("""COMPUTED_VALUE"""),5.0)</f>
        <v>5</v>
      </c>
      <c r="C385" s="4" t="str">
        <f>IFERROR(__xludf.DUMMYFUNCTION("""COMPUTED_VALUE"""),"R$ 70-100 (rodízio)")</f>
        <v>R$ 70-100 (rodízio)</v>
      </c>
      <c r="D385" s="4" t="str">
        <f>IFERROR(__xludf.DUMMYFUNCTION("""COMPUTED_VALUE"""),"Fast Casual - Restaurante Japonês com rodízio")</f>
        <v>Fast Casual - Restaurante Japonês com rodízio</v>
      </c>
      <c r="E385" s="4" t="str">
        <f>IFERROR(__xludf.DUMMYFUNCTION("""COMPUTED_VALUE"""),"Rio de Janeiro/RJ. 5 unidades (Casashopping Barra, Tijuca, Humaitá, Itanhangá). Todas no RJ, sem expansão para outras cidades")</f>
        <v>Rio de Janeiro/RJ. 5 unidades (Casashopping Barra, Tijuca, Humaitá, Itanhangá). Todas no RJ, sem expansão para outras cidades</v>
      </c>
      <c r="F385" s="4" t="str">
        <f>IFERROR(__xludf.DUMMYFUNCTION("""COMPUTED_VALUE"""),"Dado não disponível publicamente - Necessário Discovery")</f>
        <v>Dado não disponível publicamente - Necessário Discovery</v>
      </c>
      <c r="G385" s="4">
        <f>IFERROR(__xludf.DUMMYFUNCTION("""COMPUTED_VALUE"""),48.0)</f>
        <v>48</v>
      </c>
      <c r="H385" s="31">
        <f>IFERROR(__xludf.DUMMYFUNCTION("""COMPUTED_VALUE"""),0.52)</f>
        <v>0.52</v>
      </c>
      <c r="I385" s="4" t="str">
        <f>IFERROR(__xludf.DUMMYFUNCTION("""COMPUTED_VALUE"""),"PDV atual não identificado. Operação regional consolidada no RJ com 5 lojas. Rodízio + delivery. 3S pode integrar PDV + delivery + eventos, mas escala moderada limita potencial.")</f>
        <v>PDV atual não identificado. Operação regional consolidada no RJ com 5 lojas. Rodízio + delivery. 3S pode integrar PDV + delivery + eventos, mas escala moderada limita potencial.</v>
      </c>
      <c r="K385" s="4" t="str">
        <f>IFERROR(__xludf.DUMMYFUNCTION("""COMPUTED_VALUE"""),"GALETUS - MARCA")</f>
        <v>GALETUS - MARCA</v>
      </c>
      <c r="L385" s="32">
        <f>IFERROR(__xludf.DUMMYFUNCTION("""COMPUTED_VALUE"""),19.0)</f>
        <v>19</v>
      </c>
      <c r="M385" s="4" t="str">
        <f>IFERROR(__xludf.DUMMYFUNCTION("""COMPUTED_VALUE"""),"Totvs Large Enterprise Tecnologia S.a.")</f>
        <v>Totvs Large Enterprise Tecnologia S.a.</v>
      </c>
      <c r="N385" s="33">
        <f>IFERROR(__xludf.DUMMYFUNCTION("""COMPUTED_VALUE"""),0.7894736842105263)</f>
        <v>0.7894736842</v>
      </c>
      <c r="O385" s="4" t="str">
        <f>IFERROR(__xludf.DUMMYFUNCTION("""COMPUTED_VALUE"""),"Totvs Large Enterprise Tecnologia S.a.")</f>
        <v>Totvs Large Enterprise Tecnologia S.a.</v>
      </c>
      <c r="P385" s="33">
        <f>IFERROR(__xludf.DUMMYFUNCTION("""COMPUTED_VALUE"""),0.8421052631578947)</f>
        <v>0.8421052632</v>
      </c>
      <c r="Q385" s="4" t="str">
        <f>IFERROR(__xludf.DUMMYFUNCTION("""COMPUTED_VALUE"""),"Totvs Large Enterprise Tecnologia S.a.")</f>
        <v>Totvs Large Enterprise Tecnologia S.a.</v>
      </c>
      <c r="R385" s="33">
        <f>IFERROR(__xludf.DUMMYFUNCTION("""COMPUTED_VALUE"""),0.9473684210526315)</f>
        <v>0.9473684211</v>
      </c>
      <c r="S385" s="4" t="str">
        <f>IFERROR(__xludf.DUMMYFUNCTION("""COMPUTED_VALUE"""),"Totvs Large Enterprise Tecnologia S.a.")</f>
        <v>Totvs Large Enterprise Tecnologia S.a.</v>
      </c>
      <c r="T385" s="33">
        <f>IFERROR(__xludf.DUMMYFUNCTION("""COMPUTED_VALUE"""),0.8421052631578947)</f>
        <v>0.8421052632</v>
      </c>
      <c r="U385" s="4" t="str">
        <f>IFERROR(__xludf.DUMMYFUNCTION("""COMPUTED_VALUE"""),"Totvs Large Enterprise Tecnologia S.a.")</f>
        <v>Totvs Large Enterprise Tecnologia S.a.</v>
      </c>
      <c r="V385" s="33">
        <f>IFERROR(__xludf.DUMMYFUNCTION("""COMPUTED_VALUE"""),0.8421052631578947)</f>
        <v>0.8421052632</v>
      </c>
      <c r="W385" s="4" t="str">
        <f>IFERROR(__xludf.DUMMYFUNCTION("""COMPUTED_VALUE"""),"Totvs Large Enterprise Tecnologia S.a.")</f>
        <v>Totvs Large Enterprise Tecnologia S.a.</v>
      </c>
      <c r="X385" s="33">
        <f>IFERROR(__xludf.DUMMYFUNCTION("""COMPUTED_VALUE"""),0.6842105263157895)</f>
        <v>0.6842105263</v>
      </c>
    </row>
    <row r="386">
      <c r="A386" s="4" t="str">
        <f>IFERROR(__xludf.DUMMYFUNCTION("""COMPUTED_VALUE"""),"Mania De Churrasco")</f>
        <v>Mania De Churrasco</v>
      </c>
      <c r="B386" s="4">
        <f>IFERROR(__xludf.DUMMYFUNCTION("""COMPUTED_VALUE"""),115.0)</f>
        <v>115</v>
      </c>
      <c r="C386" s="4" t="str">
        <f>IFERROR(__xludf.DUMMYFUNCTION("""COMPUTED_VALUE"""),"R$ 55-65")</f>
        <v>R$ 55-65</v>
      </c>
      <c r="D386" s="4" t="str">
        <f>IFERROR(__xludf.DUMMYFUNCTION("""COMPUTED_VALUE"""),"Fast Casual - Churrascaria em shoppings/aeroportos (Prime Steak, Buffet)")</f>
        <v>Fast Casual - Churrascaria em shoppings/aeroportos (Prime Steak, Buffet)</v>
      </c>
      <c r="E386" s="4" t="str">
        <f>IFERROR(__xludf.DUMMYFUNCTION("""COMPUTED_VALUE"""),"115 lojas em 33 cidades. Sudeste, Sul, Centro-Oeste. Meta: &gt;120 lojas até fim 2026 (+10 unidades). 800 funcionários próprios")</f>
        <v>115 lojas em 33 cidades. Sudeste, Sul, Centro-Oeste. Meta: &gt;120 lojas até fim 2026 (+10 unidades). 800 funcionários próprios</v>
      </c>
      <c r="F386" s="4" t="str">
        <f>IFERROR(__xludf.DUMMYFUNCTION("""COMPUTED_VALUE"""),"R$ 670 milhões (2025). Projeção 2026: R$ 727 milhões (+8%). 7,8 milhões de clientes/ano. Delivery: 12,2% do faturamento")</f>
        <v>R$ 670 milhões (2025). Projeção 2026: R$ 727 milhões (+8%). 7,8 milhões de clientes/ano. Delivery: 12,2% do faturamento</v>
      </c>
      <c r="G386" s="4">
        <f>IFERROR(__xludf.DUMMYFUNCTION("""COMPUTED_VALUE"""),88.0)</f>
        <v>88</v>
      </c>
      <c r="H386" s="31">
        <f>IFERROR(__xludf.DUMMYFUNCTION("""COMPUTED_VALUE"""),0.9)</f>
        <v>0.9</v>
      </c>
      <c r="I386" s="4" t="str">
        <f>IFERROR(__xludf.DUMMYFUNCTION("""COMPUTED_VALUE"""),"PDV atual não identificado. Grande rede nacional (115 lojas) em expansão (R$ 670Mi → R$ 727Mi). Mix de próprias e franquias. 3S é ideal para: (1) Unificar PDV nos 3 formatos (Prime, Buffet, Salão); (2) Integração delivery (12,2%); (3) Padronização em shop"&amp;"pings/aeroportos. Oportunidade alta.")</f>
        <v>PDV atual não identificado. Grande rede nacional (115 lojas) em expansão (R$ 670Mi → R$ 727Mi). Mix de próprias e franquias. 3S é ideal para: (1) Unificar PDV nos 3 formatos (Prime, Buffet, Salão); (2) Integração delivery (12,2%); (3) Padronização em shoppings/aeroportos. Oportunidade alta.</v>
      </c>
      <c r="K386" s="4" t="str">
        <f>IFERROR(__xludf.DUMMYFUNCTION("""COMPUTED_VALUE"""),"GRUPO BOLOS DO FLAVIO")</f>
        <v>GRUPO BOLOS DO FLAVIO</v>
      </c>
      <c r="L386" s="32">
        <f>IFERROR(__xludf.DUMMYFUNCTION("""COMPUTED_VALUE"""),19.0)</f>
        <v>19</v>
      </c>
      <c r="M386" s="4" t="str">
        <f>IFERROR(__xludf.DUMMYFUNCTION("""COMPUTED_VALUE"""),"Teknisa Service Ltda")</f>
        <v>Teknisa Service Ltda</v>
      </c>
      <c r="N386" s="33">
        <f>IFERROR(__xludf.DUMMYFUNCTION("""COMPUTED_VALUE"""),0.7894736842105263)</f>
        <v>0.7894736842</v>
      </c>
      <c r="O386" s="4" t="str">
        <f>IFERROR(__xludf.DUMMYFUNCTION("""COMPUTED_VALUE"""),"Teknisa Service Ltda")</f>
        <v>Teknisa Service Ltda</v>
      </c>
      <c r="P386" s="33">
        <f>IFERROR(__xludf.DUMMYFUNCTION("""COMPUTED_VALUE"""),0.8421052631578947)</f>
        <v>0.8421052632</v>
      </c>
      <c r="Q386" s="4" t="str">
        <f>IFERROR(__xludf.DUMMYFUNCTION("""COMPUTED_VALUE"""),"Teknisa Service Ltda")</f>
        <v>Teknisa Service Ltda</v>
      </c>
      <c r="R386" s="33">
        <f>IFERROR(__xludf.DUMMYFUNCTION("""COMPUTED_VALUE"""),0.8947368421052632)</f>
        <v>0.8947368421</v>
      </c>
      <c r="S386" s="4" t="str">
        <f>IFERROR(__xludf.DUMMYFUNCTION("""COMPUTED_VALUE"""),"Teknisa Service Ltda")</f>
        <v>Teknisa Service Ltda</v>
      </c>
      <c r="T386" s="33">
        <f>IFERROR(__xludf.DUMMYFUNCTION("""COMPUTED_VALUE"""),0.8421052631578947)</f>
        <v>0.8421052632</v>
      </c>
      <c r="U386" s="4" t="str">
        <f>IFERROR(__xludf.DUMMYFUNCTION("""COMPUTED_VALUE"""),"Teknisa Service Ltda")</f>
        <v>Teknisa Service Ltda</v>
      </c>
      <c r="V386" s="33">
        <f>IFERROR(__xludf.DUMMYFUNCTION("""COMPUTED_VALUE"""),0.9473684210526315)</f>
        <v>0.9473684211</v>
      </c>
      <c r="W386" s="4" t="str">
        <f>IFERROR(__xludf.DUMMYFUNCTION("""COMPUTED_VALUE"""),"Teknisa Service Ltda")</f>
        <v>Teknisa Service Ltda</v>
      </c>
      <c r="X386" s="33">
        <f>IFERROR(__xludf.DUMMYFUNCTION("""COMPUTED_VALUE"""),0.8421052631578947)</f>
        <v>0.8421052632</v>
      </c>
    </row>
    <row r="387">
      <c r="A387" s="4" t="str">
        <f>IFERROR(__xludf.DUMMYFUNCTION("""COMPUTED_VALUE"""),"Marcos A Padaria Maringá")</f>
        <v>Marcos A Padaria Maringá</v>
      </c>
      <c r="B387" s="4">
        <f>IFERROR(__xludf.DUMMYFUNCTION("""COMPUTED_VALUE"""),2.0)</f>
        <v>2</v>
      </c>
      <c r="C387" s="4" t="str">
        <f>IFERROR(__xludf.DUMMYFUNCTION("""COMPUTED_VALUE"""),"R$ 25-45")</f>
        <v>R$ 25-45</v>
      </c>
      <c r="D387" s="4" t="str">
        <f>IFERROR(__xludf.DUMMYFUNCTION("""COMPUTED_VALUE"""),"Fast Casual - Padaria gourmet")</f>
        <v>Fast Casual - Padaria gourmet</v>
      </c>
      <c r="E387" s="4" t="str">
        <f>IFERROR(__xludf.DUMMYFUNCTION("""COMPUTED_VALUE"""),"Maringá/PR. 2 unidades (Av. Dr. Luiz Teixeira Mendes, Rua Cambira). Operação local sem expansão fora de Maringá")</f>
        <v>Maringá/PR. 2 unidades (Av. Dr. Luiz Teixeira Mendes, Rua Cambira). Operação local sem expansão fora de Maringá</v>
      </c>
      <c r="F387" s="4" t="str">
        <f>IFERROR(__xludf.DUMMYFUNCTION("""COMPUTED_VALUE"""),"Dado não disponível publicamente - Necessário Discovery")</f>
        <v>Dado não disponível publicamente - Necessário Discovery</v>
      </c>
      <c r="G387" s="4">
        <f>IFERROR(__xludf.DUMMYFUNCTION("""COMPUTED_VALUE"""),32.0)</f>
        <v>32</v>
      </c>
      <c r="H387" s="31">
        <f>IFERROR(__xludf.DUMMYFUNCTION("""COMPUTED_VALUE"""),0.35)</f>
        <v>0.35</v>
      </c>
      <c r="I387" s="4" t="str">
        <f>IFERROR(__xludf.DUMMYFUNCTION("""COMPUTED_VALUE"""),"PDV atual não identificado. Operação local pequena (2 lojas) sem ambição nacional. Delivery restrito a Maringá. Baixa aderência - 3S oversized para escala.")</f>
        <v>PDV atual não identificado. Operação local pequena (2 lojas) sem ambição nacional. Delivery restrito a Maringá. Baixa aderência - 3S oversized para escala.</v>
      </c>
      <c r="K387" s="4" t="str">
        <f>IFERROR(__xludf.DUMMYFUNCTION("""COMPUTED_VALUE"""),"GRUPO QUEBRADA BURGER")</f>
        <v>GRUPO QUEBRADA BURGER</v>
      </c>
      <c r="L387" s="32">
        <f>IFERROR(__xludf.DUMMYFUNCTION("""COMPUTED_VALUE"""),19.0)</f>
        <v>19</v>
      </c>
      <c r="M387" s="4" t="str">
        <f>IFERROR(__xludf.DUMMYFUNCTION("""COMPUTED_VALUE"""),"Saipos Serviços De Software")</f>
        <v>Saipos Serviços De Software</v>
      </c>
      <c r="N387" s="33">
        <f>IFERROR(__xludf.DUMMYFUNCTION("""COMPUTED_VALUE"""),0.5263157894736842)</f>
        <v>0.5263157895</v>
      </c>
      <c r="O387" s="4" t="str">
        <f>IFERROR(__xludf.DUMMYFUNCTION("""COMPUTED_VALUE"""),"Saipos Serviços De Software")</f>
        <v>Saipos Serviços De Software</v>
      </c>
      <c r="P387" s="33">
        <f>IFERROR(__xludf.DUMMYFUNCTION("""COMPUTED_VALUE"""),0.7368421052631579)</f>
        <v>0.7368421053</v>
      </c>
      <c r="Q387" s="4" t="str">
        <f>IFERROR(__xludf.DUMMYFUNCTION("""COMPUTED_VALUE"""),"Saipos Serviços De Software")</f>
        <v>Saipos Serviços De Software</v>
      </c>
      <c r="R387" s="33">
        <f>IFERROR(__xludf.DUMMYFUNCTION("""COMPUTED_VALUE"""),0.7894736842105263)</f>
        <v>0.7894736842</v>
      </c>
      <c r="S387" s="4" t="str">
        <f>IFERROR(__xludf.DUMMYFUNCTION("""COMPUTED_VALUE"""),"Saipos Serviços De Software")</f>
        <v>Saipos Serviços De Software</v>
      </c>
      <c r="T387" s="33">
        <f>IFERROR(__xludf.DUMMYFUNCTION("""COMPUTED_VALUE"""),0.9473684210526315)</f>
        <v>0.9473684211</v>
      </c>
      <c r="U387" s="4" t="str">
        <f>IFERROR(__xludf.DUMMYFUNCTION("""COMPUTED_VALUE"""),"Saipos Serviços De Software")</f>
        <v>Saipos Serviços De Software</v>
      </c>
      <c r="V387" s="33">
        <f>IFERROR(__xludf.DUMMYFUNCTION("""COMPUTED_VALUE"""),1.0)</f>
        <v>1</v>
      </c>
      <c r="W387" s="4" t="str">
        <f>IFERROR(__xludf.DUMMYFUNCTION("""COMPUTED_VALUE"""),"Saipos Serviços De Software")</f>
        <v>Saipos Serviços De Software</v>
      </c>
      <c r="X387" s="33">
        <f>IFERROR(__xludf.DUMMYFUNCTION("""COMPUTED_VALUE"""),0.631578947368421)</f>
        <v>0.6315789474</v>
      </c>
    </row>
    <row r="388">
      <c r="A388" s="4" t="str">
        <f>IFERROR(__xludf.DUMMYFUNCTION("""COMPUTED_VALUE"""),"Matsuya")</f>
        <v>Matsuya</v>
      </c>
      <c r="B388" s="4">
        <f>IFERROR(__xludf.DUMMYFUNCTION("""COMPUTED_VALUE"""),11.0)</f>
        <v>11</v>
      </c>
      <c r="C388" s="4" t="str">
        <f>IFERROR(__xludf.DUMMYFUNCTION("""COMPUTED_VALUE"""),"R$ 90-120 (rodízio)")</f>
        <v>R$ 90-120 (rodízio)</v>
      </c>
      <c r="D388" s="4" t="str">
        <f>IFERROR(__xludf.DUMMYFUNCTION("""COMPUTED_VALUE"""),"Fast Casual - Restaurante Japonês rodízio pioneiro em SP")</f>
        <v>Fast Casual - Restaurante Japonês rodízio pioneiro em SP</v>
      </c>
      <c r="E388" s="4" t="str">
        <f>IFERROR(__xludf.DUMMYFUNCTION("""COMPUTED_VALUE"""),"São Paulo/SP e região. 11 unidades (Aclimação, Morumbi, Perdizes, Vila Mariana, Moema, Mooca, Vila da Saúde, Panamby, Guarulhos, etc). Fundado 1998, pioneiro do rodízio")</f>
        <v>São Paulo/SP e região. 11 unidades (Aclimação, Morumbi, Perdizes, Vila Mariana, Moema, Mooca, Vila da Saúde, Panamby, Guarulhos, etc). Fundado 1998, pioneiro do rodízio</v>
      </c>
      <c r="F388" s="4" t="str">
        <f>IFERROR(__xludf.DUMMYFUNCTION("""COMPUTED_VALUE"""),"Dado não disponível publicamente - Necessário Discovery. Instagram menciona 16 unidades (incluindo Sushi Blue e Sushi Oba marcas associadas)")</f>
        <v>Dado não disponível publicamente - Necessário Discovery. Instagram menciona 16 unidades (incluindo Sushi Blue e Sushi Oba marcas associadas)</v>
      </c>
      <c r="G388" s="4">
        <f>IFERROR(__xludf.DUMMYFUNCTION("""COMPUTED_VALUE"""),62.0)</f>
        <v>62</v>
      </c>
      <c r="H388" s="31">
        <f>IFERROR(__xludf.DUMMYFUNCTION("""COMPUTED_VALUE"""),0.66)</f>
        <v>0.66</v>
      </c>
      <c r="I388" s="4" t="str">
        <f>IFERROR(__xludf.DUMMYFUNCTION("""COMPUTED_VALUE"""),"PDV atual não identificado. Pioneiro do rodízio japonês em SP (1998) com 11+ unidades. Modelo de franquia ativo. 3S pode padronizar PDV rodízio + delivery + gestão de cardápio extenso (60+ opções). Potencial médio-alto.")</f>
        <v>PDV atual não identificado. Pioneiro do rodízio japonês em SP (1998) com 11+ unidades. Modelo de franquia ativo. 3S pode padronizar PDV rodízio + delivery + gestão de cardápio extenso (60+ opções). Potencial médio-alto.</v>
      </c>
      <c r="K388" s="4" t="str">
        <f>IFERROR(__xludf.DUMMYFUNCTION("""COMPUTED_VALUE"""),"GRUPO VIVANT")</f>
        <v>GRUPO VIVANT</v>
      </c>
      <c r="L388" s="32">
        <f>IFERROR(__xludf.DUMMYFUNCTION("""COMPUTED_VALUE"""),19.0)</f>
        <v>19</v>
      </c>
      <c r="M388" s="4" t="str">
        <f>IFERROR(__xludf.DUMMYFUNCTION("""COMPUTED_VALUE"""),"Teknisa Service Ltda")</f>
        <v>Teknisa Service Ltda</v>
      </c>
      <c r="N388" s="33">
        <f>IFERROR(__xludf.DUMMYFUNCTION("""COMPUTED_VALUE"""),0.8947368421052632)</f>
        <v>0.8947368421</v>
      </c>
      <c r="O388" s="4" t="str">
        <f>IFERROR(__xludf.DUMMYFUNCTION("""COMPUTED_VALUE"""),"Teknisa Service Ltda")</f>
        <v>Teknisa Service Ltda</v>
      </c>
      <c r="P388" s="33">
        <f>IFERROR(__xludf.DUMMYFUNCTION("""COMPUTED_VALUE"""),0.7894736842105263)</f>
        <v>0.7894736842</v>
      </c>
      <c r="Q388" s="4" t="str">
        <f>IFERROR(__xludf.DUMMYFUNCTION("""COMPUTED_VALUE"""),"Teknisa Service Ltda")</f>
        <v>Teknisa Service Ltda</v>
      </c>
      <c r="R388" s="33">
        <f>IFERROR(__xludf.DUMMYFUNCTION("""COMPUTED_VALUE"""),0.6842105263157895)</f>
        <v>0.6842105263</v>
      </c>
      <c r="S388" s="4" t="str">
        <f>IFERROR(__xludf.DUMMYFUNCTION("""COMPUTED_VALUE"""),"Teknisa Service Ltda")</f>
        <v>Teknisa Service Ltda</v>
      </c>
      <c r="T388" s="33">
        <f>IFERROR(__xludf.DUMMYFUNCTION("""COMPUTED_VALUE"""),0.631578947368421)</f>
        <v>0.6315789474</v>
      </c>
      <c r="U388" s="4" t="str">
        <f>IFERROR(__xludf.DUMMYFUNCTION("""COMPUTED_VALUE"""),"Teknisa Service Ltda")</f>
        <v>Teknisa Service Ltda</v>
      </c>
      <c r="V388" s="33">
        <f>IFERROR(__xludf.DUMMYFUNCTION("""COMPUTED_VALUE"""),0.631578947368421)</f>
        <v>0.6315789474</v>
      </c>
      <c r="W388" s="4" t="str">
        <f>IFERROR(__xludf.DUMMYFUNCTION("""COMPUTED_VALUE"""),"Teknisa Service Ltda")</f>
        <v>Teknisa Service Ltda</v>
      </c>
      <c r="X388" s="33">
        <f>IFERROR(__xludf.DUMMYFUNCTION("""COMPUTED_VALUE"""),1.0)</f>
        <v>1</v>
      </c>
    </row>
    <row r="389">
      <c r="A389" s="4" t="str">
        <f>IFERROR(__xludf.DUMMYFUNCTION("""COMPUTED_VALUE"""),"Mega Matte")</f>
        <v>Mega Matte</v>
      </c>
      <c r="B389" s="4">
        <f>IFERROR(__xludf.DUMMYFUNCTION("""COMPUTED_VALUE"""),150.0)</f>
        <v>150</v>
      </c>
      <c r="C389" s="4" t="str">
        <f>IFERROR(__xludf.DUMMYFUNCTION("""COMPUTED_VALUE"""),"R$ 20-30")</f>
        <v>R$ 20-30</v>
      </c>
      <c r="D389" s="4" t="str">
        <f>IFERROR(__xludf.DUMMYFUNCTION("""COMPUTED_VALUE"""),"QSR - Quick Service (Mate orgânico + Comida saudável em quiosques/lojas)")</f>
        <v>QSR - Quick Service (Mate orgânico + Comida saudável em quiosques/lojas)</v>
      </c>
      <c r="E389" s="4" t="str">
        <f>IFERROR(__xludf.DUMMYFUNCTION("""COMPUTED_VALUE"""),"150 unidades em 6 estados (RJ, SP, MG, ES, DF e mais). Fundada 1994 no RJ, maior rede carioca de alimentação saudável. 90% renovação franqueados")</f>
        <v>150 unidades em 6 estados (RJ, SP, MG, ES, DF e mais). Fundada 1994 no RJ, maior rede carioca de alimentação saudável. 90% renovação franqueados</v>
      </c>
      <c r="F389" s="4" t="str">
        <f>IFERROR(__xludf.DUMMYFUNCTION("""COMPUTED_VALUE"""),"R$ 110+ milhões (2023). Faturamento médio: R$ 40-75k/mês por loja. R$ 900k/ano por unidade média")</f>
        <v>R$ 110+ milhões (2023). Faturamento médio: R$ 40-75k/mês por loja. R$ 900k/ano por unidade média</v>
      </c>
      <c r="G389" s="4">
        <f>IFERROR(__xludf.DUMMYFUNCTION("""COMPUTED_VALUE"""),78.0)</f>
        <v>78</v>
      </c>
      <c r="H389" s="31">
        <f>IFERROR(__xludf.DUMMYFUNCTION("""COMPUTED_VALUE"""),0.82)</f>
        <v>0.82</v>
      </c>
      <c r="I389" s="4" t="str">
        <f>IFERROR(__xludf.DUMMYFUNCTION("""COMPUTED_VALUE"""),"PDV atual não identificado. Grande rede (150 lojas) em expansão nacional com 4 formatos (loja, container, quiosque, móvel). 3S é ideal para: (1) Padronizar PDV compacto nos 4 modelos; (2) Gestão unificada de franquias; (3) Integração delivery + mate orgân"&amp;"ico. Alto potencial.")</f>
        <v>PDV atual não identificado. Grande rede (150 lojas) em expansão nacional com 4 formatos (loja, container, quiosque, móvel). 3S é ideal para: (1) Padronizar PDV compacto nos 4 modelos; (2) Gestão unificada de franquias; (3) Integração delivery + mate orgânico. Alto potencial.</v>
      </c>
      <c r="K389" s="4" t="str">
        <f>IFERROR(__xludf.DUMMYFUNCTION("""COMPUTED_VALUE"""),"GURUME")</f>
        <v>GURUME</v>
      </c>
      <c r="L389" s="32">
        <f>IFERROR(__xludf.DUMMYFUNCTION("""COMPUTED_VALUE"""),19.0)</f>
        <v>19</v>
      </c>
      <c r="M389" s="4" t="str">
        <f>IFERROR(__xludf.DUMMYFUNCTION("""COMPUTED_VALUE"""),"Gcom - Gestao Em Tecnologia De Informacao Eireli")</f>
        <v>Gcom - Gestao Em Tecnologia De Informacao Eireli</v>
      </c>
      <c r="N389" s="33">
        <f>IFERROR(__xludf.DUMMYFUNCTION("""COMPUTED_VALUE"""),1.0)</f>
        <v>1</v>
      </c>
      <c r="O389" s="4" t="str">
        <f>IFERROR(__xludf.DUMMYFUNCTION("""COMPUTED_VALUE"""),"Gcom - Gestao Em Tecnologia De Informacao Eireli")</f>
        <v>Gcom - Gestao Em Tecnologia De Informacao Eireli</v>
      </c>
      <c r="P389" s="33">
        <f>IFERROR(__xludf.DUMMYFUNCTION("""COMPUTED_VALUE"""),0.9473684210526315)</f>
        <v>0.9473684211</v>
      </c>
      <c r="Q389" s="4" t="str">
        <f>IFERROR(__xludf.DUMMYFUNCTION("""COMPUTED_VALUE"""),"Gcom - Gestao Em Tecnologia De Informacao Eireli")</f>
        <v>Gcom - Gestao Em Tecnologia De Informacao Eireli</v>
      </c>
      <c r="R389" s="33">
        <f>IFERROR(__xludf.DUMMYFUNCTION("""COMPUTED_VALUE"""),1.0)</f>
        <v>1</v>
      </c>
      <c r="S389" s="4" t="str">
        <f>IFERROR(__xludf.DUMMYFUNCTION("""COMPUTED_VALUE"""),"Gcom - Gestao Em Tecnologia De Informacao Eireli")</f>
        <v>Gcom - Gestao Em Tecnologia De Informacao Eireli</v>
      </c>
      <c r="T389" s="33">
        <f>IFERROR(__xludf.DUMMYFUNCTION("""COMPUTED_VALUE"""),0.9473684210526315)</f>
        <v>0.9473684211</v>
      </c>
      <c r="U389" s="4" t="str">
        <f>IFERROR(__xludf.DUMMYFUNCTION("""COMPUTED_VALUE"""),"Gcom - Gestao Em Tecnologia De Informacao Eireli")</f>
        <v>Gcom - Gestao Em Tecnologia De Informacao Eireli</v>
      </c>
      <c r="V389" s="33">
        <f>IFERROR(__xludf.DUMMYFUNCTION("""COMPUTED_VALUE"""),0.9473684210526315)</f>
        <v>0.9473684211</v>
      </c>
      <c r="W389" s="4" t="str">
        <f>IFERROR(__xludf.DUMMYFUNCTION("""COMPUTED_VALUE"""),"Gcom - Gestao Em Tecnologia De Informacao Eireli")</f>
        <v>Gcom - Gestao Em Tecnologia De Informacao Eireli</v>
      </c>
      <c r="X389" s="33">
        <f>IFERROR(__xludf.DUMMYFUNCTION("""COMPUTED_VALUE"""),1.0)</f>
        <v>1</v>
      </c>
    </row>
    <row r="390">
      <c r="A390" s="4" t="str">
        <f>IFERROR(__xludf.DUMMYFUNCTION("""COMPUTED_VALUE"""),"Mei Mei")</f>
        <v>Mei Mei</v>
      </c>
      <c r="B390" s="4">
        <f>IFERROR(__xludf.DUMMYFUNCTION("""COMPUTED_VALUE"""),40.0)</f>
        <v>40</v>
      </c>
      <c r="C390" s="30">
        <f>IFERROR(__xludf.DUMMYFUNCTION("""COMPUTED_VALUE"""),49.0)</f>
        <v>49</v>
      </c>
      <c r="D390" s="4" t="str">
        <f>IFERROR(__xludf.DUMMYFUNCTION("""COMPUTED_VALUE"""),"Fast Casual - Culinária Asiática (buffet self-service japonês/chinês/coreano)")</f>
        <v>Fast Casual - Culinária Asiática (buffet self-service japonês/chinês/coreano)</v>
      </c>
      <c r="E390" s="4" t="str">
        <f>IFERROR(__xludf.DUMMYFUNCTION("""COMPUTED_VALUE"""),"São Paulo (40 lojas) + início expansão RJ (Barra Shopping, Rio Sul 2025). Meta: 55 lojas em 2025, &gt;100 em 2030. Principalmente shoppings")</f>
        <v>São Paulo (40 lojas) + início expansão RJ (Barra Shopping, Rio Sul 2025). Meta: 55 lojas em 2025, &gt;100 em 2030. Principalmente shoppings</v>
      </c>
      <c r="F390" s="4" t="str">
        <f>IFERROR(__xludf.DUMMYFUNCTION("""COMPUTED_VALUE"""),"R$ 115 milhões (2024). Projeção 2025: R$ 170 milhões. Faturamento médio: R$ 250k/mês por loja. 15 novas/ano")</f>
        <v>R$ 115 milhões (2024). Projeção 2025: R$ 170 milhões. Faturamento médio: R$ 250k/mês por loja. 15 novas/ano</v>
      </c>
      <c r="G390" s="4">
        <f>IFERROR(__xludf.DUMMYFUNCTION("""COMPUTED_VALUE"""),80.0)</f>
        <v>80</v>
      </c>
      <c r="H390" s="31">
        <f>IFERROR(__xludf.DUMMYFUNCTION("""COMPUTED_VALUE"""),0.84)</f>
        <v>0.84</v>
      </c>
      <c r="I390" s="4" t="str">
        <f>IFERROR(__xludf.DUMMYFUNCTION("""COMPUTED_VALUE"""),"PDV atual não identificado. Rede em crescimento acelerado (R$ 115Mi → R$ 170Mi, +48%). Expansão para RJ. 3S pode: (1) Padronizar buffet self-service; (2) Gestão de balança integrada; (3) Unificar delivery (6% hoje, meta 30%). Potencial alto.")</f>
        <v>PDV atual não identificado. Rede em crescimento acelerado (R$ 115Mi → R$ 170Mi, +48%). Expansão para RJ. 3S pode: (1) Padronizar buffet self-service; (2) Gestão de balança integrada; (3) Unificar delivery (6% hoje, meta 30%). Potencial alto.</v>
      </c>
      <c r="K390" s="4" t="str">
        <f>IFERROR(__xludf.DUMMYFUNCTION("""COMPUTED_VALUE"""),"GRUPO UNICO")</f>
        <v>GRUPO UNICO</v>
      </c>
      <c r="L390" s="32">
        <f>IFERROR(__xludf.DUMMYFUNCTION("""COMPUTED_VALUE"""),19.0)</f>
        <v>19</v>
      </c>
      <c r="M390" s="4" t="str">
        <f>IFERROR(__xludf.DUMMYFUNCTION("""COMPUTED_VALUE"""),"N/A (Not found)")</f>
        <v>N/A (Not found)</v>
      </c>
      <c r="N390" s="33">
        <f>IFERROR(__xludf.DUMMYFUNCTION("""COMPUTED_VALUE"""),0.8947368421052632)</f>
        <v>0.8947368421</v>
      </c>
      <c r="O390" s="4" t="str">
        <f>IFERROR(__xludf.DUMMYFUNCTION("""COMPUTED_VALUE"""),"N/A (Not found)")</f>
        <v>N/A (Not found)</v>
      </c>
      <c r="P390" s="33">
        <f>IFERROR(__xludf.DUMMYFUNCTION("""COMPUTED_VALUE"""),1.0)</f>
        <v>1</v>
      </c>
      <c r="Q390" s="4" t="str">
        <f>IFERROR(__xludf.DUMMYFUNCTION("""COMPUTED_VALUE"""),"N/A (Not found)")</f>
        <v>N/A (Not found)</v>
      </c>
      <c r="R390" s="33">
        <f>IFERROR(__xludf.DUMMYFUNCTION("""COMPUTED_VALUE"""),0.8947368421052632)</f>
        <v>0.8947368421</v>
      </c>
      <c r="S390" s="4" t="str">
        <f>IFERROR(__xludf.DUMMYFUNCTION("""COMPUTED_VALUE"""),"N/A (Not found)")</f>
        <v>N/A (Not found)</v>
      </c>
      <c r="T390" s="33">
        <f>IFERROR(__xludf.DUMMYFUNCTION("""COMPUTED_VALUE"""),0.8421052631578947)</f>
        <v>0.8421052632</v>
      </c>
      <c r="U390" s="4" t="str">
        <f>IFERROR(__xludf.DUMMYFUNCTION("""COMPUTED_VALUE"""),"N/A (Not found)")</f>
        <v>N/A (Not found)</v>
      </c>
      <c r="V390" s="33">
        <f>IFERROR(__xludf.DUMMYFUNCTION("""COMPUTED_VALUE"""),0.7368421052631579)</f>
        <v>0.7368421053</v>
      </c>
      <c r="W390" s="4" t="str">
        <f>IFERROR(__xludf.DUMMYFUNCTION("""COMPUTED_VALUE"""),"N/A (Not found)")</f>
        <v>N/A (Not found)</v>
      </c>
      <c r="X390" s="33">
        <f>IFERROR(__xludf.DUMMYFUNCTION("""COMPUTED_VALUE"""),0.5789473684210527)</f>
        <v>0.5789473684</v>
      </c>
    </row>
    <row r="391">
      <c r="A391" s="4" t="str">
        <f>IFERROR(__xludf.DUMMYFUNCTION("""COMPUTED_VALUE"""),"Meu Chef Lanches - Marca")</f>
        <v>Meu Chef Lanches - Marca</v>
      </c>
      <c r="B391" s="4">
        <f>IFERROR(__xludf.DUMMYFUNCTION("""COMPUTED_VALUE"""),6.0)</f>
        <v>6</v>
      </c>
      <c r="C391" s="4" t="str">
        <f>IFERROR(__xludf.DUMMYFUNCTION("""COMPUTED_VALUE"""),"R$ 30-50")</f>
        <v>R$ 30-50</v>
      </c>
      <c r="D391" s="4" t="str">
        <f>IFERROR(__xludf.DUMMYFUNCTION("""COMPUTED_VALUE"""),"QSR - Quick Service (Lanches 24h em Maringá)")</f>
        <v>QSR - Quick Service (Lanches 24h em Maringá)</v>
      </c>
      <c r="E391" s="4" t="str">
        <f>IFERROR(__xludf.DUMMYFUNCTION("""COMPUTED_VALUE"""),"Maringá e Sarandi/PR. 6 lojas: Aclimação, Unicesumar, Mandacaru, Centro 24h, Sarandi, Alvorada, Zona 7. Operação regional sem expansão nacional")</f>
        <v>Maringá e Sarandi/PR. 6 lojas: Aclimação, Unicesumar, Mandacaru, Centro 24h, Sarandi, Alvorada, Zona 7. Operação regional sem expansão nacional</v>
      </c>
      <c r="F391" s="4" t="str">
        <f>IFERROR(__xludf.DUMMYFUNCTION("""COMPUTED_VALUE"""),"Estimado baseado em franquia: R$ 120k/mês médio por loja = R$ 8,6 milhões/ano (6 lojas). Modelo franquia ativo")</f>
        <v>Estimado baseado em franquia: R$ 120k/mês médio por loja = R$ 8,6 milhões/ano (6 lojas). Modelo franquia ativo</v>
      </c>
      <c r="G391" s="4">
        <f>IFERROR(__xludf.DUMMYFUNCTION("""COMPUTED_VALUE"""),52.0)</f>
        <v>52</v>
      </c>
      <c r="H391" s="31">
        <f>IFERROR(__xludf.DUMMYFUNCTION("""COMPUTED_VALUE"""),0.55)</f>
        <v>0.55</v>
      </c>
      <c r="I391" s="4" t="str">
        <f>IFERROR(__xludf.DUMMYFUNCTION("""COMPUTED_VALUE"""),"PDV atual não identificado. Rede regional (Maringá) com 6 lojas e modelo 24h. Franquia ativa mas expansão lenta. 3S pode padronizar operação 24h e delivery, mas escala regional limita potencial.")</f>
        <v>PDV atual não identificado. Rede regional (Maringá) com 6 lojas e modelo 24h. Franquia ativa mas expansão lenta. 3S pode padronizar operação 24h e delivery, mas escala regional limita potencial.</v>
      </c>
      <c r="K391" s="4" t="str">
        <f>IFERROR(__xludf.DUMMYFUNCTION("""COMPUTED_VALUE"""),"JOHNNIE GRILL")</f>
        <v>JOHNNIE GRILL</v>
      </c>
      <c r="L391" s="32">
        <f>IFERROR(__xludf.DUMMYFUNCTION("""COMPUTED_VALUE"""),19.0)</f>
        <v>19</v>
      </c>
      <c r="M391" s="4" t="str">
        <f>IFERROR(__xludf.DUMMYFUNCTION("""COMPUTED_VALUE"""),"Saipos Serviços De Software")</f>
        <v>Saipos Serviços De Software</v>
      </c>
      <c r="N391" s="33">
        <f>IFERROR(__xludf.DUMMYFUNCTION("""COMPUTED_VALUE"""),1.0)</f>
        <v>1</v>
      </c>
      <c r="O391" s="4" t="str">
        <f>IFERROR(__xludf.DUMMYFUNCTION("""COMPUTED_VALUE"""),"Saipos Serviços De Software")</f>
        <v>Saipos Serviços De Software</v>
      </c>
      <c r="P391" s="33">
        <f>IFERROR(__xludf.DUMMYFUNCTION("""COMPUTED_VALUE"""),1.0)</f>
        <v>1</v>
      </c>
      <c r="Q391" s="4" t="str">
        <f>IFERROR(__xludf.DUMMYFUNCTION("""COMPUTED_VALUE"""),"Saipos Serviços De Software")</f>
        <v>Saipos Serviços De Software</v>
      </c>
      <c r="R391" s="33">
        <f>IFERROR(__xludf.DUMMYFUNCTION("""COMPUTED_VALUE"""),1.0)</f>
        <v>1</v>
      </c>
      <c r="S391" s="4" t="str">
        <f>IFERROR(__xludf.DUMMYFUNCTION("""COMPUTED_VALUE"""),"Saipos Serviços De Software")</f>
        <v>Saipos Serviços De Software</v>
      </c>
      <c r="T391" s="33">
        <f>IFERROR(__xludf.DUMMYFUNCTION("""COMPUTED_VALUE"""),1.0)</f>
        <v>1</v>
      </c>
      <c r="U391" s="4" t="str">
        <f>IFERROR(__xludf.DUMMYFUNCTION("""COMPUTED_VALUE"""),"Saipos Serviços De Software")</f>
        <v>Saipos Serviços De Software</v>
      </c>
      <c r="V391" s="33">
        <f>IFERROR(__xludf.DUMMYFUNCTION("""COMPUTED_VALUE"""),0.9473684210526315)</f>
        <v>0.9473684211</v>
      </c>
      <c r="W391" s="4" t="str">
        <f>IFERROR(__xludf.DUMMYFUNCTION("""COMPUTED_VALUE"""),"Saipos Serviços De Software")</f>
        <v>Saipos Serviços De Software</v>
      </c>
      <c r="X391" s="33">
        <f>IFERROR(__xludf.DUMMYFUNCTION("""COMPUTED_VALUE"""),0.8421052631578947)</f>
        <v>0.8421052632</v>
      </c>
    </row>
    <row r="392">
      <c r="A392" s="4" t="str">
        <f>IFERROR(__xludf.DUMMYFUNCTION("""COMPUTED_VALUE"""),"KOMBIS HOT DOG")</f>
        <v>KOMBIS HOT DOG</v>
      </c>
      <c r="B392" s="4">
        <f>IFERROR(__xludf.DUMMYFUNCTION("""COMPUTED_VALUE"""),5.0)</f>
        <v>5</v>
      </c>
      <c r="C392" s="4" t="str">
        <f>IFERROR(__xludf.DUMMYFUNCTION("""COMPUTED_VALUE"""),"R$ 25-35")</f>
        <v>R$ 25-35</v>
      </c>
      <c r="D392" s="4" t="str">
        <f>IFERROR(__xludf.DUMMYFUNCTION("""COMPUTED_VALUE"""),"QSR - Food Truck")</f>
        <v>QSR - Food Truck</v>
      </c>
      <c r="E392" s="4" t="str">
        <f>IFERROR(__xludf.DUMMYFUNCTION("""COMPUTED_VALUE"""),"Campinas/SP")</f>
        <v>Campinas/SP</v>
      </c>
      <c r="F392" s="4" t="str">
        <f>IFERROR(__xludf.DUMMYFUNCTION("""COMPUTED_VALUE"""),"Necessário Discovery")</f>
        <v>Necessário Discovery</v>
      </c>
      <c r="G392" s="4">
        <f>IFERROR(__xludf.DUMMYFUNCTION("""COMPUTED_VALUE"""),42.0)</f>
        <v>42</v>
      </c>
      <c r="H392" s="31">
        <f>IFERROR(__xludf.DUMMYFUNCTION("""COMPUTED_VALUE"""),0.48)</f>
        <v>0.48</v>
      </c>
      <c r="I392" s="4" t="str">
        <f>IFERROR(__xludf.DUMMYFUNCTION("""COMPUTED_VALUE"""),"PDV não identificado - Alto potencial 3S: PDV Mobile, integração delivery, gestão multi-pontos")</f>
        <v>PDV não identificado - Alto potencial 3S: PDV Mobile, integração delivery, gestão multi-pontos</v>
      </c>
      <c r="K392" s="4" t="str">
        <f>IFERROR(__xludf.DUMMYFUNCTION("""COMPUTED_VALUE"""),"JUISTREET MARCA")</f>
        <v>JUISTREET MARCA</v>
      </c>
      <c r="L392" s="32">
        <f>IFERROR(__xludf.DUMMYFUNCTION("""COMPUTED_VALUE"""),19.0)</f>
        <v>19</v>
      </c>
      <c r="M392" s="4" t="str">
        <f>IFERROR(__xludf.DUMMYFUNCTION("""COMPUTED_VALUE"""),"Gcom - Gestao Em Tecnologia De Informacao Eireli")</f>
        <v>Gcom - Gestao Em Tecnologia De Informacao Eireli</v>
      </c>
      <c r="N392" s="33">
        <f>IFERROR(__xludf.DUMMYFUNCTION("""COMPUTED_VALUE"""),0.8421052631578947)</f>
        <v>0.8421052632</v>
      </c>
      <c r="O392" s="4" t="str">
        <f>IFERROR(__xludf.DUMMYFUNCTION("""COMPUTED_VALUE"""),"Gcom - Gestao Em Tecnologia De Informacao Eireli")</f>
        <v>Gcom - Gestao Em Tecnologia De Informacao Eireli</v>
      </c>
      <c r="P392" s="33">
        <f>IFERROR(__xludf.DUMMYFUNCTION("""COMPUTED_VALUE"""),0.7894736842105263)</f>
        <v>0.7894736842</v>
      </c>
      <c r="Q392" s="4" t="str">
        <f>IFERROR(__xludf.DUMMYFUNCTION("""COMPUTED_VALUE"""),"Gcom - Gestao Em Tecnologia De Informacao Eireli")</f>
        <v>Gcom - Gestao Em Tecnologia De Informacao Eireli</v>
      </c>
      <c r="R392" s="33">
        <f>IFERROR(__xludf.DUMMYFUNCTION("""COMPUTED_VALUE"""),0.631578947368421)</f>
        <v>0.6315789474</v>
      </c>
      <c r="S392" s="4" t="str">
        <f>IFERROR(__xludf.DUMMYFUNCTION("""COMPUTED_VALUE"""),"Gcom - Gestao Em Tecnologia De Informacao Eireli")</f>
        <v>Gcom - Gestao Em Tecnologia De Informacao Eireli</v>
      </c>
      <c r="T392" s="33">
        <f>IFERROR(__xludf.DUMMYFUNCTION("""COMPUTED_VALUE"""),0.631578947368421)</f>
        <v>0.6315789474</v>
      </c>
      <c r="U392" s="4" t="str">
        <f>IFERROR(__xludf.DUMMYFUNCTION("""COMPUTED_VALUE"""),"Gcom - Gestao Em Tecnologia De Informacao Eireli")</f>
        <v>Gcom - Gestao Em Tecnologia De Informacao Eireli</v>
      </c>
      <c r="V392" s="33">
        <f>IFERROR(__xludf.DUMMYFUNCTION("""COMPUTED_VALUE"""),0.8421052631578947)</f>
        <v>0.8421052632</v>
      </c>
      <c r="W392" s="4" t="str">
        <f>IFERROR(__xludf.DUMMYFUNCTION("""COMPUTED_VALUE"""),"Gcom - Gestao Em Tecnologia De Informacao Eireli")</f>
        <v>Gcom - Gestao Em Tecnologia De Informacao Eireli</v>
      </c>
      <c r="X392" s="33">
        <f>IFERROR(__xludf.DUMMYFUNCTION("""COMPUTED_VALUE"""),0.8421052631578947)</f>
        <v>0.8421052632</v>
      </c>
    </row>
    <row r="393">
      <c r="A393" s="4" t="str">
        <f>IFERROR(__xludf.DUMMYFUNCTION("""COMPUTED_VALUE"""),"MR MAKI")</f>
        <v>MR MAKI</v>
      </c>
      <c r="B393" s="4">
        <f>IFERROR(__xludf.DUMMYFUNCTION("""COMPUTED_VALUE"""),4.0)</f>
        <v>4</v>
      </c>
      <c r="C393" s="4" t="str">
        <f>IFERROR(__xludf.DUMMYFUNCTION("""COMPUTED_VALUE"""),"R$ 45-65")</f>
        <v>R$ 45-65</v>
      </c>
      <c r="D393" s="4" t="str">
        <f>IFERROR(__xludf.DUMMYFUNCTION("""COMPUTED_VALUE"""),"Fast Casual - Sushi")</f>
        <v>Fast Casual - Sushi</v>
      </c>
      <c r="E393" s="4" t="str">
        <f>IFERROR(__xludf.DUMMYFUNCTION("""COMPUTED_VALUE"""),"Rio de Janeiro/RJ")</f>
        <v>Rio de Janeiro/RJ</v>
      </c>
      <c r="F393" s="4" t="str">
        <f>IFERROR(__xludf.DUMMYFUNCTION("""COMPUTED_VALUE"""),"Necessário Discovery")</f>
        <v>Necessário Discovery</v>
      </c>
      <c r="G393" s="4">
        <f>IFERROR(__xludf.DUMMYFUNCTION("""COMPUTED_VALUE"""),45.0)</f>
        <v>45</v>
      </c>
      <c r="H393" s="31">
        <f>IFERROR(__xludf.DUMMYFUNCTION("""COMPUTED_VALUE"""),0.52)</f>
        <v>0.52</v>
      </c>
      <c r="I393" s="4" t="str">
        <f>IFERROR(__xludf.DUMMYFUNCTION("""COMPUTED_VALUE"""),"PDV não identificado - Forte delivery &gt;70%. 3S: integração iFood/Rappi, PDV Mobile, KDS")</f>
        <v>PDV não identificado - Forte delivery &gt;70%. 3S: integração iFood/Rappi, PDV Mobile, KDS</v>
      </c>
      <c r="K393" s="4" t="str">
        <f>IFERROR(__xludf.DUMMYFUNCTION("""COMPUTED_VALUE"""),"KOZAN SUSHI - CONTA PAI")</f>
        <v>KOZAN SUSHI - CONTA PAI</v>
      </c>
      <c r="L393" s="32">
        <f>IFERROR(__xludf.DUMMYFUNCTION("""COMPUTED_VALUE"""),19.0)</f>
        <v>19</v>
      </c>
      <c r="M393" s="4" t="str">
        <f>IFERROR(__xludf.DUMMYFUNCTION("""COMPUTED_VALUE"""),"Saipos Serviços De Software")</f>
        <v>Saipos Serviços De Software</v>
      </c>
      <c r="N393" s="33">
        <f>IFERROR(__xludf.DUMMYFUNCTION("""COMPUTED_VALUE"""),0.8421052631578947)</f>
        <v>0.8421052632</v>
      </c>
      <c r="O393" s="4" t="str">
        <f>IFERROR(__xludf.DUMMYFUNCTION("""COMPUTED_VALUE"""),"Saipos Serviços De Software")</f>
        <v>Saipos Serviços De Software</v>
      </c>
      <c r="P393" s="33">
        <f>IFERROR(__xludf.DUMMYFUNCTION("""COMPUTED_VALUE"""),0.8421052631578947)</f>
        <v>0.8421052632</v>
      </c>
      <c r="Q393" s="4" t="str">
        <f>IFERROR(__xludf.DUMMYFUNCTION("""COMPUTED_VALUE"""),"Saipos Serviços De Software")</f>
        <v>Saipos Serviços De Software</v>
      </c>
      <c r="R393" s="33">
        <f>IFERROR(__xludf.DUMMYFUNCTION("""COMPUTED_VALUE"""),0.7894736842105263)</f>
        <v>0.7894736842</v>
      </c>
      <c r="S393" s="4" t="str">
        <f>IFERROR(__xludf.DUMMYFUNCTION("""COMPUTED_VALUE"""),"Saipos Serviços De Software")</f>
        <v>Saipos Serviços De Software</v>
      </c>
      <c r="T393" s="33">
        <f>IFERROR(__xludf.DUMMYFUNCTION("""COMPUTED_VALUE"""),0.7894736842105263)</f>
        <v>0.7894736842</v>
      </c>
      <c r="U393" s="4" t="str">
        <f>IFERROR(__xludf.DUMMYFUNCTION("""COMPUTED_VALUE"""),"Saipos Serviços De Software")</f>
        <v>Saipos Serviços De Software</v>
      </c>
      <c r="V393" s="33">
        <f>IFERROR(__xludf.DUMMYFUNCTION("""COMPUTED_VALUE"""),0.8421052631578947)</f>
        <v>0.8421052632</v>
      </c>
      <c r="W393" s="4" t="str">
        <f>IFERROR(__xludf.DUMMYFUNCTION("""COMPUTED_VALUE"""),"Saipos Serviços De Software")</f>
        <v>Saipos Serviços De Software</v>
      </c>
      <c r="X393" s="33">
        <f>IFERROR(__xludf.DUMMYFUNCTION("""COMPUTED_VALUE"""),0.8421052631578947)</f>
        <v>0.8421052632</v>
      </c>
    </row>
    <row r="394">
      <c r="A394" s="4" t="str">
        <f>IFERROR(__xludf.DUMMYFUNCTION("""COMPUTED_VALUE"""),"REZENDOG FAST FOOD")</f>
        <v>REZENDOG FAST FOOD</v>
      </c>
      <c r="B394" s="4">
        <f>IFERROR(__xludf.DUMMYFUNCTION("""COMPUTED_VALUE"""),4.0)</f>
        <v>4</v>
      </c>
      <c r="C394" s="4" t="str">
        <f>IFERROR(__xludf.DUMMYFUNCTION("""COMPUTED_VALUE"""),"R$ 20-30")</f>
        <v>R$ 20-30</v>
      </c>
      <c r="D394" s="4" t="str">
        <f>IFERROR(__xludf.DUMMYFUNCTION("""COMPUTED_VALUE"""),"QSR - Fast Food")</f>
        <v>QSR - Fast Food</v>
      </c>
      <c r="E394" s="4" t="str">
        <f>IFERROR(__xludf.DUMMYFUNCTION("""COMPUTED_VALUE"""),"Paraná (4 cidades)")</f>
        <v>Paraná (4 cidades)</v>
      </c>
      <c r="F394" s="4" t="str">
        <f>IFERROR(__xludf.DUMMYFUNCTION("""COMPUTED_VALUE"""),"R$ 1+ milhão (meta 1.000 lojas até 2030)")</f>
        <v>R$ 1+ milhão (meta 1.000 lojas até 2030)</v>
      </c>
      <c r="G394" s="4">
        <f>IFERROR(__xludf.DUMMYFUNCTION("""COMPUTED_VALUE"""),78.0)</f>
        <v>78</v>
      </c>
      <c r="H394" s="31">
        <f>IFERROR(__xludf.DUMMYFUNCTION("""COMPUTED_VALUE"""),0.82)</f>
        <v>0.82</v>
      </c>
      <c r="I394" s="4" t="str">
        <f>IFERROR(__xludf.DUMMYFUNCTION("""COMPUTED_VALUE"""),"PDV não identificado - Franquia digital-first. ALTA aderência 3S: padronização, escalabilidade multi-unidades")</f>
        <v>PDV não identificado - Franquia digital-first. ALTA aderência 3S: padronização, escalabilidade multi-unidades</v>
      </c>
      <c r="K394" s="4" t="str">
        <f>IFERROR(__xludf.DUMMYFUNCTION("""COMPUTED_VALUE"""),"LA BELLA DONNA")</f>
        <v>LA BELLA DONNA</v>
      </c>
      <c r="L394" s="32">
        <f>IFERROR(__xludf.DUMMYFUNCTION("""COMPUTED_VALUE"""),19.0)</f>
        <v>19</v>
      </c>
      <c r="M394" s="4" t="str">
        <f>IFERROR(__xludf.DUMMYFUNCTION("""COMPUTED_VALUE"""),"Saipos Serviços De Software")</f>
        <v>Saipos Serviços De Software</v>
      </c>
      <c r="N394" s="33">
        <f>IFERROR(__xludf.DUMMYFUNCTION("""COMPUTED_VALUE"""),0.8421052631578947)</f>
        <v>0.8421052632</v>
      </c>
      <c r="O394" s="4" t="str">
        <f>IFERROR(__xludf.DUMMYFUNCTION("""COMPUTED_VALUE"""),"Saipos Serviços De Software")</f>
        <v>Saipos Serviços De Software</v>
      </c>
      <c r="P394" s="33">
        <f>IFERROR(__xludf.DUMMYFUNCTION("""COMPUTED_VALUE"""),0.8421052631578947)</f>
        <v>0.8421052632</v>
      </c>
      <c r="Q394" s="4" t="str">
        <f>IFERROR(__xludf.DUMMYFUNCTION("""COMPUTED_VALUE"""),"Saipos Serviços De Software")</f>
        <v>Saipos Serviços De Software</v>
      </c>
      <c r="R394" s="33">
        <f>IFERROR(__xludf.DUMMYFUNCTION("""COMPUTED_VALUE"""),0.9473684210526315)</f>
        <v>0.9473684211</v>
      </c>
      <c r="S394" s="4" t="str">
        <f>IFERROR(__xludf.DUMMYFUNCTION("""COMPUTED_VALUE"""),"Saipos Serviços De Software")</f>
        <v>Saipos Serviços De Software</v>
      </c>
      <c r="T394" s="33">
        <f>IFERROR(__xludf.DUMMYFUNCTION("""COMPUTED_VALUE"""),0.9473684210526315)</f>
        <v>0.9473684211</v>
      </c>
      <c r="U394" s="4" t="str">
        <f>IFERROR(__xludf.DUMMYFUNCTION("""COMPUTED_VALUE"""),"Saipos Serviços De Software")</f>
        <v>Saipos Serviços De Software</v>
      </c>
      <c r="V394" s="33">
        <f>IFERROR(__xludf.DUMMYFUNCTION("""COMPUTED_VALUE"""),1.0)</f>
        <v>1</v>
      </c>
      <c r="W394" s="4" t="str">
        <f>IFERROR(__xludf.DUMMYFUNCTION("""COMPUTED_VALUE"""),"Saipos Serviços De Software")</f>
        <v>Saipos Serviços De Software</v>
      </c>
      <c r="X394" s="33">
        <f>IFERROR(__xludf.DUMMYFUNCTION("""COMPUTED_VALUE"""),1.0)</f>
        <v>1</v>
      </c>
    </row>
    <row r="395">
      <c r="A395" s="4" t="str">
        <f>IFERROR(__xludf.DUMMYFUNCTION("""COMPUTED_VALUE"""),"Inspire Brands (Dunkin Brasil)")</f>
        <v>Inspire Brands (Dunkin Brasil)</v>
      </c>
      <c r="B395" s="4" t="str">
        <f>IFERROR(__xludf.DUMMYFUNCTION("""COMPUTED_VALUE"""),"20+")</f>
        <v>20+</v>
      </c>
      <c r="C395" s="4" t="str">
        <f>IFERROR(__xludf.DUMMYFUNCTION("""COMPUTED_VALUE"""),"R$ 25-40")</f>
        <v>R$ 25-40</v>
      </c>
      <c r="D395" s="4" t="str">
        <f>IFERROR(__xludf.DUMMYFUNCTION("""COMPUTED_VALUE"""),"QSR - Donuts/Café")</f>
        <v>QSR - Donuts/Café</v>
      </c>
      <c r="E395" s="4" t="str">
        <f>IFERROR(__xludf.DUMMYFUNCTION("""COMPUTED_VALUE"""),"DF e Goiás")</f>
        <v>DF e Goiás</v>
      </c>
      <c r="F395" s="4" t="str">
        <f>IFERROR(__xludf.DUMMYFUNCTION("""COMPUTED_VALUE"""),"Necessário Discovery")</f>
        <v>Necessário Discovery</v>
      </c>
      <c r="G395" s="4">
        <f>IFERROR(__xludf.DUMMYFUNCTION("""COMPUTED_VALUE"""),65.0)</f>
        <v>65</v>
      </c>
      <c r="H395" s="31">
        <f>IFERROR(__xludf.DUMMYFUNCTION("""COMPUTED_VALUE"""),0.68)</f>
        <v>0.68</v>
      </c>
      <c r="I395" s="4" t="str">
        <f>IFERROR(__xludf.DUMMYFUNCTION("""COMPUTED_VALUE"""),"PDV não identificado - Operação regional. 3S: solução multi-marca, backoffice centralizado")</f>
        <v>PDV não identificado - Operação regional. 3S: solução multi-marca, backoffice centralizado</v>
      </c>
      <c r="K395" s="4" t="str">
        <f>IFERROR(__xludf.DUMMYFUNCTION("""COMPUTED_VALUE"""),"PIZZA PARA VOCE - CONTA PAI")</f>
        <v>PIZZA PARA VOCE - CONTA PAI</v>
      </c>
      <c r="L395" s="32">
        <f>IFERROR(__xludf.DUMMYFUNCTION("""COMPUTED_VALUE"""),19.0)</f>
        <v>19</v>
      </c>
      <c r="M395" s="4" t="str">
        <f>IFERROR(__xludf.DUMMYFUNCTION("""COMPUTED_VALUE"""),"Cf Sistemas")</f>
        <v>Cf Sistemas</v>
      </c>
      <c r="N395" s="33">
        <f>IFERROR(__xludf.DUMMYFUNCTION("""COMPUTED_VALUE"""),0.8947368421052632)</f>
        <v>0.8947368421</v>
      </c>
      <c r="O395" s="4" t="str">
        <f>IFERROR(__xludf.DUMMYFUNCTION("""COMPUTED_VALUE"""),"Cf Sistemas")</f>
        <v>Cf Sistemas</v>
      </c>
      <c r="P395" s="33">
        <f>IFERROR(__xludf.DUMMYFUNCTION("""COMPUTED_VALUE"""),0.8947368421052632)</f>
        <v>0.8947368421</v>
      </c>
      <c r="Q395" s="4" t="str">
        <f>IFERROR(__xludf.DUMMYFUNCTION("""COMPUTED_VALUE"""),"Cf Sistemas")</f>
        <v>Cf Sistemas</v>
      </c>
      <c r="R395" s="33">
        <f>IFERROR(__xludf.DUMMYFUNCTION("""COMPUTED_VALUE"""),0.7894736842105263)</f>
        <v>0.7894736842</v>
      </c>
      <c r="S395" s="4" t="str">
        <f>IFERROR(__xludf.DUMMYFUNCTION("""COMPUTED_VALUE"""),"Cf Sistemas")</f>
        <v>Cf Sistemas</v>
      </c>
      <c r="T395" s="33">
        <f>IFERROR(__xludf.DUMMYFUNCTION("""COMPUTED_VALUE"""),0.8421052631578947)</f>
        <v>0.8421052632</v>
      </c>
      <c r="U395" s="4" t="str">
        <f>IFERROR(__xludf.DUMMYFUNCTION("""COMPUTED_VALUE"""),"Cf Sistemas")</f>
        <v>Cf Sistemas</v>
      </c>
      <c r="V395" s="33">
        <f>IFERROR(__xludf.DUMMYFUNCTION("""COMPUTED_VALUE"""),0.9473684210526315)</f>
        <v>0.9473684211</v>
      </c>
      <c r="W395" s="4" t="str">
        <f>IFERROR(__xludf.DUMMYFUNCTION("""COMPUTED_VALUE"""),"Cf Sistemas")</f>
        <v>Cf Sistemas</v>
      </c>
      <c r="X395" s="33">
        <f>IFERROR(__xludf.DUMMYFUNCTION("""COMPUTED_VALUE"""),0.9473684210526315)</f>
        <v>0.9473684211</v>
      </c>
    </row>
    <row r="396">
      <c r="A396" s="4" t="str">
        <f>IFERROR(__xludf.DUMMYFUNCTION("""COMPUTED_VALUE"""),"Oakberry")</f>
        <v>Oakberry</v>
      </c>
      <c r="B396" s="4">
        <f>IFERROR(__xludf.DUMMYFUNCTION("""COMPUTED_VALUE"""),560.0)</f>
        <v>560</v>
      </c>
      <c r="C396" s="4" t="str">
        <f>IFERROR(__xludf.DUMMYFUNCTION("""COMPUTED_VALUE"""),"R$ 20-35")</f>
        <v>R$ 20-35</v>
      </c>
      <c r="D396" s="4" t="str">
        <f>IFERROR(__xludf.DUMMYFUNCTION("""COMPUTED_VALUE"""),"QSR - Açaí Bowl")</f>
        <v>QSR - Açaí Bowl</v>
      </c>
      <c r="E396" s="4" t="str">
        <f>IFERROR(__xludf.DUMMYFUNCTION("""COMPUTED_VALUE"""),"Nacional (560+ lojas)")</f>
        <v>Nacional (560+ lojas)</v>
      </c>
      <c r="F396" s="4" t="str">
        <f>IFERROR(__xludf.DUMMYFUNCTION("""COMPUTED_VALUE"""),"R$ 600M-1B projetado 2025-26 global (Brasil ~R$ 180-300M)")</f>
        <v>R$ 600M-1B projetado 2025-26 global (Brasil ~R$ 180-300M)</v>
      </c>
      <c r="G396" s="4">
        <f>IFERROR(__xludf.DUMMYFUNCTION("""COMPUTED_VALUE"""),92.0)</f>
        <v>92</v>
      </c>
      <c r="H396" s="31">
        <f>IFERROR(__xludf.DUMMYFUNCTION("""COMPUTED_VALUE"""),0.95)</f>
        <v>0.95</v>
      </c>
      <c r="I396" s="4" t="str">
        <f>IFERROR(__xludf.DUMMYFUNCTION("""COMPUTED_VALUE"""),"PDV não identificado - ALTÍSSIMA ADERÊNCIA: Expansão acelerada (meta 1.000 lojas), necessita padronização, gestão multi-loja, integração delivery. 3S E-DEPLOY: cloud, backoffice, suporte franquias. ROI rápido")</f>
        <v>PDV não identificado - ALTÍSSIMA ADERÊNCIA: Expansão acelerada (meta 1.000 lojas), necessita padronização, gestão multi-loja, integração delivery. 3S E-DEPLOY: cloud, backoffice, suporte franquias. ROI rápido</v>
      </c>
      <c r="K396" s="4" t="str">
        <f>IFERROR(__xludf.DUMMYFUNCTION("""COMPUTED_VALUE"""),"ULTRA POPULAR GRUPO VALDEON")</f>
        <v>ULTRA POPULAR GRUPO VALDEON</v>
      </c>
      <c r="L396" s="32">
        <f>IFERROR(__xludf.DUMMYFUNCTION("""COMPUTED_VALUE"""),19.0)</f>
        <v>19</v>
      </c>
      <c r="M396" s="4" t="str">
        <f>IFERROR(__xludf.DUMMYFUNCTION("""COMPUTED_VALUE"""),"N/A (Not found)")</f>
        <v>N/A (Not found)</v>
      </c>
      <c r="N396" s="33">
        <f>IFERROR(__xludf.DUMMYFUNCTION("""COMPUTED_VALUE"""),1.0)</f>
        <v>1</v>
      </c>
      <c r="O396" s="4" t="str">
        <f>IFERROR(__xludf.DUMMYFUNCTION("""COMPUTED_VALUE"""),"N/A (Not found)")</f>
        <v>N/A (Not found)</v>
      </c>
      <c r="P396" s="33">
        <f>IFERROR(__xludf.DUMMYFUNCTION("""COMPUTED_VALUE"""),1.0)</f>
        <v>1</v>
      </c>
      <c r="Q396" s="4" t="str">
        <f>IFERROR(__xludf.DUMMYFUNCTION("""COMPUTED_VALUE"""),"N/A (Not found)")</f>
        <v>N/A (Not found)</v>
      </c>
      <c r="R396" s="33">
        <f>IFERROR(__xludf.DUMMYFUNCTION("""COMPUTED_VALUE"""),0.9473684210526315)</f>
        <v>0.9473684211</v>
      </c>
      <c r="S396" s="4" t="str">
        <f>IFERROR(__xludf.DUMMYFUNCTION("""COMPUTED_VALUE"""),"N/A (Not found)")</f>
        <v>N/A (Not found)</v>
      </c>
      <c r="T396" s="33">
        <f>IFERROR(__xludf.DUMMYFUNCTION("""COMPUTED_VALUE"""),0.9473684210526315)</f>
        <v>0.9473684211</v>
      </c>
      <c r="U396" s="4" t="str">
        <f>IFERROR(__xludf.DUMMYFUNCTION("""COMPUTED_VALUE"""),"N/A (Not found)")</f>
        <v>N/A (Not found)</v>
      </c>
      <c r="V396" s="33">
        <f>IFERROR(__xludf.DUMMYFUNCTION("""COMPUTED_VALUE"""),1.0)</f>
        <v>1</v>
      </c>
      <c r="W396" s="4" t="str">
        <f>IFERROR(__xludf.DUMMYFUNCTION("""COMPUTED_VALUE"""),"N/A (Not found)")</f>
        <v>N/A (Not found)</v>
      </c>
      <c r="X396" s="33">
        <f>IFERROR(__xludf.DUMMYFUNCTION("""COMPUTED_VALUE"""),1.0)</f>
        <v>1</v>
      </c>
    </row>
    <row r="397">
      <c r="A397" s="4" t="str">
        <f>IFERROR(__xludf.DUMMYFUNCTION("""COMPUTED_VALUE"""),"Pati Piva")</f>
        <v>Pati Piva</v>
      </c>
      <c r="B397" s="4">
        <f>IFERROR(__xludf.DUMMYFUNCTION("""COMPUTED_VALUE"""),6.0)</f>
        <v>6</v>
      </c>
      <c r="C397" s="4" t="str">
        <f>IFERROR(__xludf.DUMMYFUNCTION("""COMPUTED_VALUE"""),"R$ 50-120")</f>
        <v>R$ 50-120</v>
      </c>
      <c r="D397" s="4" t="str">
        <f>IFERROR(__xludf.DUMMYFUNCTION("""COMPUTED_VALUE"""),"Retail - Confeitaria Premium")</f>
        <v>Retail - Confeitaria Premium</v>
      </c>
      <c r="E397" s="4" t="str">
        <f>IFERROR(__xludf.DUMMYFUNCTION("""COMPUTED_VALUE"""),"São Paulo/SP")</f>
        <v>São Paulo/SP</v>
      </c>
      <c r="F397" s="4" t="str">
        <f>IFERROR(__xludf.DUMMYFUNCTION("""COMPUTED_VALUE"""),"Necessário Discovery")</f>
        <v>Necessário Discovery</v>
      </c>
      <c r="G397" s="4">
        <f>IFERROR(__xludf.DUMMYFUNCTION("""COMPUTED_VALUE"""),58.0)</f>
        <v>58</v>
      </c>
      <c r="H397" s="31">
        <f>IFERROR(__xludf.DUMMYFUNCTION("""COMPUTED_VALUE"""),0.62)</f>
        <v>0.62</v>
      </c>
      <c r="I397" s="4" t="str">
        <f>IFERROR(__xludf.DUMMYFUNCTION("""COMPUTED_VALUE"""),"PDV não identificado - Confeitaria premium. Modelo próprio e-commerce. 3S: integração omnichannel (física + online + delivery), gestão estoque/fiscal")</f>
        <v>PDV não identificado - Confeitaria premium. Modelo próprio e-commerce. 3S: integração omnichannel (física + online + delivery), gestão estoque/fiscal</v>
      </c>
      <c r="K397" s="4" t="str">
        <f>IFERROR(__xludf.DUMMYFUNCTION("""COMPUTED_VALUE"""),"BRABOS BURGER")</f>
        <v>BRABOS BURGER</v>
      </c>
      <c r="L397" s="32">
        <f>IFERROR(__xludf.DUMMYFUNCTION("""COMPUTED_VALUE"""),18.0)</f>
        <v>18</v>
      </c>
      <c r="M397" s="4" t="str">
        <f>IFERROR(__xludf.DUMMYFUNCTION("""COMPUTED_VALUE"""),"Saipos Serviços De Software")</f>
        <v>Saipos Serviços De Software</v>
      </c>
      <c r="N397" s="33">
        <f>IFERROR(__xludf.DUMMYFUNCTION("""COMPUTED_VALUE"""),0.8888888888888888)</f>
        <v>0.8888888889</v>
      </c>
      <c r="O397" s="4" t="str">
        <f>IFERROR(__xludf.DUMMYFUNCTION("""COMPUTED_VALUE"""),"Saipos Serviços De Software")</f>
        <v>Saipos Serviços De Software</v>
      </c>
      <c r="P397" s="33">
        <f>IFERROR(__xludf.DUMMYFUNCTION("""COMPUTED_VALUE"""),0.7222222222222222)</f>
        <v>0.7222222222</v>
      </c>
      <c r="Q397" s="4" t="str">
        <f>IFERROR(__xludf.DUMMYFUNCTION("""COMPUTED_VALUE"""),"Saipos Serviços De Software")</f>
        <v>Saipos Serviços De Software</v>
      </c>
      <c r="R397" s="33">
        <f>IFERROR(__xludf.DUMMYFUNCTION("""COMPUTED_VALUE"""),0.7777777777777778)</f>
        <v>0.7777777778</v>
      </c>
      <c r="S397" s="4" t="str">
        <f>IFERROR(__xludf.DUMMYFUNCTION("""COMPUTED_VALUE"""),"null")</f>
        <v>null</v>
      </c>
      <c r="T397" s="33">
        <f>IFERROR(__xludf.DUMMYFUNCTION("""COMPUTED_VALUE"""),1.0)</f>
        <v>1</v>
      </c>
      <c r="U397" s="4" t="str">
        <f>IFERROR(__xludf.DUMMYFUNCTION("""COMPUTED_VALUE"""),"null")</f>
        <v>null</v>
      </c>
      <c r="V397" s="33">
        <f>IFERROR(__xludf.DUMMYFUNCTION("""COMPUTED_VALUE"""),1.0)</f>
        <v>1</v>
      </c>
      <c r="W397" s="4" t="str">
        <f>IFERROR(__xludf.DUMMYFUNCTION("""COMPUTED_VALUE"""),"null")</f>
        <v>null</v>
      </c>
      <c r="X397" s="33">
        <f>IFERROR(__xludf.DUMMYFUNCTION("""COMPUTED_VALUE"""),1.0)</f>
        <v>1</v>
      </c>
    </row>
    <row r="398">
      <c r="A398" s="4" t="str">
        <f>IFERROR(__xludf.DUMMYFUNCTION("""COMPUTED_VALUE"""),"Piola")</f>
        <v>Piola</v>
      </c>
      <c r="B398" s="34">
        <f>IFERROR(__xludf.DUMMYFUNCTION("""COMPUTED_VALUE"""),46146.0)</f>
        <v>46146</v>
      </c>
      <c r="C398" s="4" t="str">
        <f>IFERROR(__xludf.DUMMYFUNCTION("""COMPUTED_VALUE"""),"R$ 60-100")</f>
        <v>R$ 60-100</v>
      </c>
      <c r="D398" s="4" t="str">
        <f>IFERROR(__xludf.DUMMYFUNCTION("""COMPUTED_VALUE"""),"Casual Dining - Pizza")</f>
        <v>Casual Dining - Pizza</v>
      </c>
      <c r="E398" s="4" t="str">
        <f>IFERROR(__xludf.DUMMYFUNCTION("""COMPUTED_VALUE"""),"SP e PR")</f>
        <v>SP e PR</v>
      </c>
      <c r="F398" s="4" t="str">
        <f>IFERROR(__xludf.DUMMYFUNCTION("""COMPUTED_VALUE"""),"Necessário Discovery")</f>
        <v>Necessário Discovery</v>
      </c>
      <c r="G398" s="4">
        <f>IFERROR(__xludf.DUMMYFUNCTION("""COMPUTED_VALUE"""),52.0)</f>
        <v>52</v>
      </c>
      <c r="H398" s="31">
        <f>IFERROR(__xludf.DUMMYFUNCTION("""COMPUTED_VALUE"""),0.55)</f>
        <v>0.55</v>
      </c>
      <c r="I398" s="4" t="str">
        <f>IFERROR(__xludf.DUMMYFUNCTION("""COMPUTED_VALUE"""),"PDV não identificado - Rede internacional. Casual dining + delivery. 3S: comandas, PDV Mobile, integração delivery")</f>
        <v>PDV não identificado - Rede internacional. Casual dining + delivery. 3S: comandas, PDV Mobile, integração delivery</v>
      </c>
      <c r="K398" s="4" t="str">
        <f>IFERROR(__xludf.DUMMYFUNCTION("""COMPUTED_VALUE"""),"45 BURGER TERESINA")</f>
        <v>45 BURGER TERESINA</v>
      </c>
      <c r="L398" s="32">
        <f>IFERROR(__xludf.DUMMYFUNCTION("""COMPUTED_VALUE"""),18.0)</f>
        <v>18</v>
      </c>
      <c r="M398" s="4" t="str">
        <f>IFERROR(__xludf.DUMMYFUNCTION("""COMPUTED_VALUE"""),"Saipos Serviços De Software")</f>
        <v>Saipos Serviços De Software</v>
      </c>
      <c r="N398" s="33">
        <f>IFERROR(__xludf.DUMMYFUNCTION("""COMPUTED_VALUE"""),0.9444444444444444)</f>
        <v>0.9444444444</v>
      </c>
      <c r="O398" s="4" t="str">
        <f>IFERROR(__xludf.DUMMYFUNCTION("""COMPUTED_VALUE"""),"Saipos Serviços De Software")</f>
        <v>Saipos Serviços De Software</v>
      </c>
      <c r="P398" s="33">
        <f>IFERROR(__xludf.DUMMYFUNCTION("""COMPUTED_VALUE"""),0.9444444444444444)</f>
        <v>0.9444444444</v>
      </c>
      <c r="Q398" s="4" t="str">
        <f>IFERROR(__xludf.DUMMYFUNCTION("""COMPUTED_VALUE"""),"Saipos Serviços De Software")</f>
        <v>Saipos Serviços De Software</v>
      </c>
      <c r="R398" s="33">
        <f>IFERROR(__xludf.DUMMYFUNCTION("""COMPUTED_VALUE"""),0.9444444444444444)</f>
        <v>0.9444444444</v>
      </c>
      <c r="S398" s="4" t="str">
        <f>IFERROR(__xludf.DUMMYFUNCTION("""COMPUTED_VALUE"""),"Saipos Serviços De Software")</f>
        <v>Saipos Serviços De Software</v>
      </c>
      <c r="T398" s="33">
        <f>IFERROR(__xludf.DUMMYFUNCTION("""COMPUTED_VALUE"""),0.9444444444444444)</f>
        <v>0.9444444444</v>
      </c>
      <c r="U398" s="4" t="str">
        <f>IFERROR(__xludf.DUMMYFUNCTION("""COMPUTED_VALUE"""),"Saipos Serviços De Software")</f>
        <v>Saipos Serviços De Software</v>
      </c>
      <c r="V398" s="33">
        <f>IFERROR(__xludf.DUMMYFUNCTION("""COMPUTED_VALUE"""),0.8888888888888888)</f>
        <v>0.8888888889</v>
      </c>
      <c r="W398" s="4" t="str">
        <f>IFERROR(__xludf.DUMMYFUNCTION("""COMPUTED_VALUE"""),"Saipos Serviços De Software")</f>
        <v>Saipos Serviços De Software</v>
      </c>
      <c r="X398" s="33">
        <f>IFERROR(__xludf.DUMMYFUNCTION("""COMPUTED_VALUE"""),0.8333333333333334)</f>
        <v>0.8333333333</v>
      </c>
    </row>
    <row r="399">
      <c r="A399" s="4" t="str">
        <f>IFERROR(__xludf.DUMMYFUNCTION("""COMPUTED_VALUE"""),"Pobre Juan")</f>
        <v>Pobre Juan</v>
      </c>
      <c r="B399" s="4">
        <f>IFERROR(__xludf.DUMMYFUNCTION("""COMPUTED_VALUE"""),19.0)</f>
        <v>19</v>
      </c>
      <c r="C399" s="4" t="str">
        <f>IFERROR(__xludf.DUMMYFUNCTION("""COMPUTED_VALUE"""),"R$ 120-200")</f>
        <v>R$ 120-200</v>
      </c>
      <c r="D399" s="4" t="str">
        <f>IFERROR(__xludf.DUMMYFUNCTION("""COMPUTED_VALUE"""),"Fine Dining - Churrascaria")</f>
        <v>Fine Dining - Churrascaria</v>
      </c>
      <c r="E399" s="4" t="str">
        <f>IFERROR(__xludf.DUMMYFUNCTION("""COMPUTED_VALUE"""),"Nacional (19 unidades)")</f>
        <v>Nacional (19 unidades)</v>
      </c>
      <c r="F399" s="4" t="str">
        <f>IFERROR(__xludf.DUMMYFUNCTION("""COMPUTED_VALUE"""),"Necessário Discovery")</f>
        <v>Necessário Discovery</v>
      </c>
      <c r="G399" s="4">
        <f>IFERROR(__xludf.DUMMYFUNCTION("""COMPUTED_VALUE"""),75.0)</f>
        <v>75</v>
      </c>
      <c r="H399" s="31">
        <f>IFERROR(__xludf.DUMMYFUNCTION("""COMPUTED_VALUE"""),0.78)</f>
        <v>0.78</v>
      </c>
      <c r="I399" s="4" t="str">
        <f>IFERROR(__xludf.DUMMYFUNCTION("""COMPUTED_VALUE"""),"PDV não identificado - Churrascaria premium 19 lojas Guia Michelin 2026. Table service complexo. ALTA ADERÊNCIA 3S: PDV Mobile garçons, KDS, gestão salões, integração fiscal/delivery")</f>
        <v>PDV não identificado - Churrascaria premium 19 lojas Guia Michelin 2026. Table service complexo. ALTA ADERÊNCIA 3S: PDV Mobile garçons, KDS, gestão salões, integração fiscal/delivery</v>
      </c>
      <c r="K399" s="4" t="str">
        <f>IFERROR(__xludf.DUMMYFUNCTION("""COMPUTED_VALUE"""),"NOVA ERA - CONTA GRUPO")</f>
        <v>NOVA ERA - CONTA GRUPO</v>
      </c>
      <c r="L399" s="32">
        <f>IFERROR(__xludf.DUMMYFUNCTION("""COMPUTED_VALUE"""),18.0)</f>
        <v>18</v>
      </c>
      <c r="M399" s="4" t="str">
        <f>IFERROR(__xludf.DUMMYFUNCTION("""COMPUTED_VALUE"""),"N/A (Not found)")</f>
        <v>N/A (Not found)</v>
      </c>
      <c r="N399" s="33">
        <f>IFERROR(__xludf.DUMMYFUNCTION("""COMPUTED_VALUE"""),0.9444444444444444)</f>
        <v>0.9444444444</v>
      </c>
      <c r="O399" s="4" t="str">
        <f>IFERROR(__xludf.DUMMYFUNCTION("""COMPUTED_VALUE"""),"N/A (Not found)")</f>
        <v>N/A (Not found)</v>
      </c>
      <c r="P399" s="33">
        <f>IFERROR(__xludf.DUMMYFUNCTION("""COMPUTED_VALUE"""),1.0)</f>
        <v>1</v>
      </c>
      <c r="Q399" s="4" t="str">
        <f>IFERROR(__xludf.DUMMYFUNCTION("""COMPUTED_VALUE"""),"N/A (Not found)")</f>
        <v>N/A (Not found)</v>
      </c>
      <c r="R399" s="33">
        <f>IFERROR(__xludf.DUMMYFUNCTION("""COMPUTED_VALUE"""),0.8888888888888888)</f>
        <v>0.8888888889</v>
      </c>
      <c r="S399" s="4" t="str">
        <f>IFERROR(__xludf.DUMMYFUNCTION("""COMPUTED_VALUE"""),"N/A (Not found)")</f>
        <v>N/A (Not found)</v>
      </c>
      <c r="T399" s="33">
        <f>IFERROR(__xludf.DUMMYFUNCTION("""COMPUTED_VALUE"""),0.8888888888888888)</f>
        <v>0.8888888889</v>
      </c>
      <c r="U399" s="4" t="str">
        <f>IFERROR(__xludf.DUMMYFUNCTION("""COMPUTED_VALUE"""),"N/A (Not found)")</f>
        <v>N/A (Not found)</v>
      </c>
      <c r="V399" s="33">
        <f>IFERROR(__xludf.DUMMYFUNCTION("""COMPUTED_VALUE"""),0.8888888888888888)</f>
        <v>0.8888888889</v>
      </c>
      <c r="W399" s="4" t="str">
        <f>IFERROR(__xludf.DUMMYFUNCTION("""COMPUTED_VALUE"""),"N/A (Not found)")</f>
        <v>N/A (Not found)</v>
      </c>
      <c r="X399" s="33">
        <f>IFERROR(__xludf.DUMMYFUNCTION("""COMPUTED_VALUE"""),0.8888888888888888)</f>
        <v>0.8888888889</v>
      </c>
    </row>
    <row r="400">
      <c r="A400" s="4" t="str">
        <f>IFERROR(__xludf.DUMMYFUNCTION("""COMPUTED_VALUE"""),"Rei Do Parmegiana")</f>
        <v>Rei Do Parmegiana</v>
      </c>
      <c r="B400" s="34">
        <f>IFERROR(__xludf.DUMMYFUNCTION("""COMPUTED_VALUE"""),46241.0)</f>
        <v>46241</v>
      </c>
      <c r="C400" s="4" t="str">
        <f>IFERROR(__xludf.DUMMYFUNCTION("""COMPUTED_VALUE"""),"R$ 35-55")</f>
        <v>R$ 35-55</v>
      </c>
      <c r="D400" s="4" t="str">
        <f>IFERROR(__xludf.DUMMYFUNCTION("""COMPUTED_VALUE"""),"Fast Casual - Parmegiana Delivery")</f>
        <v>Fast Casual - Parmegiana Delivery</v>
      </c>
      <c r="E400" s="4" t="str">
        <f>IFERROR(__xludf.DUMMYFUNCTION("""COMPUTED_VALUE"""),"São Paulo e Campinas")</f>
        <v>São Paulo e Campinas</v>
      </c>
      <c r="F400" s="4" t="str">
        <f>IFERROR(__xludf.DUMMYFUNCTION("""COMPUTED_VALUE"""),"Necessário Discovery")</f>
        <v>Necessário Discovery</v>
      </c>
      <c r="G400" s="4">
        <f>IFERROR(__xludf.DUMMYFUNCTION("""COMPUTED_VALUE"""),50.0)</f>
        <v>50</v>
      </c>
      <c r="H400" s="31">
        <f>IFERROR(__xludf.DUMMYFUNCTION("""COMPUTED_VALUE"""),0.55)</f>
        <v>0.55</v>
      </c>
      <c r="I400" s="4" t="str">
        <f>IFERROR(__xludf.DUMMYFUNCTION("""COMPUTED_VALUE"""),"PDV não identificado - Rede delivery (7-8 lojas SP/Campinas). 3S: integração delivery, gestão pedidos multi-canal")</f>
        <v>PDV não identificado - Rede delivery (7-8 lojas SP/Campinas). 3S: integração delivery, gestão pedidos multi-canal</v>
      </c>
      <c r="K400" s="4" t="str">
        <f>IFERROR(__xludf.DUMMYFUNCTION("""COMPUTED_VALUE"""),"DIDIO PIZZA")</f>
        <v>DIDIO PIZZA</v>
      </c>
      <c r="L400" s="32">
        <f>IFERROR(__xludf.DUMMYFUNCTION("""COMPUTED_VALUE"""),18.0)</f>
        <v>18</v>
      </c>
      <c r="M400" s="4" t="str">
        <f>IFERROR(__xludf.DUMMYFUNCTION("""COMPUTED_VALUE"""),"Stone Co.")</f>
        <v>Stone Co.</v>
      </c>
      <c r="N400" s="33">
        <f>IFERROR(__xludf.DUMMYFUNCTION("""COMPUTED_VALUE"""),0.6111111111111112)</f>
        <v>0.6111111111</v>
      </c>
      <c r="O400" s="4" t="str">
        <f>IFERROR(__xludf.DUMMYFUNCTION("""COMPUTED_VALUE"""),"Stone Co.")</f>
        <v>Stone Co.</v>
      </c>
      <c r="P400" s="33">
        <f>IFERROR(__xludf.DUMMYFUNCTION("""COMPUTED_VALUE"""),0.6111111111111112)</f>
        <v>0.6111111111</v>
      </c>
      <c r="Q400" s="4" t="str">
        <f>IFERROR(__xludf.DUMMYFUNCTION("""COMPUTED_VALUE"""),"Stone Co.")</f>
        <v>Stone Co.</v>
      </c>
      <c r="R400" s="33">
        <f>IFERROR(__xludf.DUMMYFUNCTION("""COMPUTED_VALUE"""),0.6111111111111112)</f>
        <v>0.6111111111</v>
      </c>
      <c r="S400" s="4" t="str">
        <f>IFERROR(__xludf.DUMMYFUNCTION("""COMPUTED_VALUE"""),"Stone Co.")</f>
        <v>Stone Co.</v>
      </c>
      <c r="T400" s="33">
        <f>IFERROR(__xludf.DUMMYFUNCTION("""COMPUTED_VALUE"""),0.7222222222222222)</f>
        <v>0.7222222222</v>
      </c>
      <c r="U400" s="4" t="str">
        <f>IFERROR(__xludf.DUMMYFUNCTION("""COMPUTED_VALUE"""),"Stone Co.")</f>
        <v>Stone Co.</v>
      </c>
      <c r="V400" s="33">
        <f>IFERROR(__xludf.DUMMYFUNCTION("""COMPUTED_VALUE"""),0.6666666666666666)</f>
        <v>0.6666666667</v>
      </c>
      <c r="W400" s="4" t="str">
        <f>IFERROR(__xludf.DUMMYFUNCTION("""COMPUTED_VALUE"""),"Stone Co.")</f>
        <v>Stone Co.</v>
      </c>
      <c r="X400" s="33">
        <f>IFERROR(__xludf.DUMMYFUNCTION("""COMPUTED_VALUE"""),0.6111111111111112)</f>
        <v>0.6111111111</v>
      </c>
    </row>
    <row r="401">
      <c r="A401" s="4" t="str">
        <f>IFERROR(__xludf.DUMMYFUNCTION("""COMPUTED_VALUE"""),"Subway")</f>
        <v>Subway</v>
      </c>
      <c r="B401" s="11">
        <f>IFERROR(__xludf.DUMMYFUNCTION("""COMPUTED_VALUE"""),1559.0)</f>
        <v>1559</v>
      </c>
      <c r="C401" s="4" t="str">
        <f>IFERROR(__xludf.DUMMYFUNCTION("""COMPUTED_VALUE"""),"R$ 25-45")</f>
        <v>R$ 25-45</v>
      </c>
      <c r="D401" s="4" t="str">
        <f>IFERROR(__xludf.DUMMYFUNCTION("""COMPUTED_VALUE"""),"QSR - Fast Food (Sanduíches)")</f>
        <v>QSR - Fast Food (Sanduíches)</v>
      </c>
      <c r="E401" s="4" t="str">
        <f>IFERROR(__xludf.DUMMYFUNCTION("""COMPUTED_VALUE"""),"Nacional (1.559 lojas - todos estados)")</f>
        <v>Nacional (1.559 lojas - todos estados)</v>
      </c>
      <c r="F401" s="4" t="str">
        <f>IFERROR(__xludf.DUMMYFUNCTION("""COMPUTED_VALUE"""),"R$ 5,23 bilhões (2025) - Zamp consolidado")</f>
        <v>R$ 5,23 bilhões (2025) - Zamp consolidado</v>
      </c>
      <c r="G401" s="4">
        <f>IFERROR(__xludf.DUMMYFUNCTION("""COMPUTED_VALUE"""),88.0)</f>
        <v>88</v>
      </c>
      <c r="H401" s="31">
        <f>IFERROR(__xludf.DUMMYFUNCTION("""COMPUTED_VALUE"""),0.9)</f>
        <v>0.9</v>
      </c>
      <c r="I401" s="4" t="str">
        <f>IFERROR(__xludf.DUMMYFUNCTION("""COMPUTED_VALUE"""),"PDV não identificado (Zamp opera Subway). ALTÍSSIMA ADERÊNCIA: 1.559 lojas nacionais, faturamento R$ 5,23B (2025 Zamp). Canais digitais 50-53% vendas. 3S: gestão multi-loja, totens, integração delivery, escalabilidade. Zamp já cliente 3S (Burger King)")</f>
        <v>PDV não identificado (Zamp opera Subway). ALTÍSSIMA ADERÊNCIA: 1.559 lojas nacionais, faturamento R$ 5,23B (2025 Zamp). Canais digitais 50-53% vendas. 3S: gestão multi-loja, totens, integração delivery, escalabilidade. Zamp já cliente 3S (Burger King)</v>
      </c>
      <c r="K401" s="4" t="str">
        <f>IFERROR(__xludf.DUMMYFUNCTION("""COMPUTED_VALUE"""),"BLACK CAVE ORIGINAL - CONTA GRUPO")</f>
        <v>BLACK CAVE ORIGINAL - CONTA GRUPO</v>
      </c>
      <c r="L401" s="32">
        <f>IFERROR(__xludf.DUMMYFUNCTION("""COMPUTED_VALUE"""),18.0)</f>
        <v>18</v>
      </c>
      <c r="M401" s="4" t="str">
        <f>IFERROR(__xludf.DUMMYFUNCTION("""COMPUTED_VALUE"""),"Saipos Serviços De Software")</f>
        <v>Saipos Serviços De Software</v>
      </c>
      <c r="N401" s="33">
        <f>IFERROR(__xludf.DUMMYFUNCTION("""COMPUTED_VALUE"""),1.0)</f>
        <v>1</v>
      </c>
      <c r="O401" s="4" t="str">
        <f>IFERROR(__xludf.DUMMYFUNCTION("""COMPUTED_VALUE"""),"Saipos Serviços De Software")</f>
        <v>Saipos Serviços De Software</v>
      </c>
      <c r="P401" s="33">
        <f>IFERROR(__xludf.DUMMYFUNCTION("""COMPUTED_VALUE"""),0.9444444444444444)</f>
        <v>0.9444444444</v>
      </c>
      <c r="Q401" s="4" t="str">
        <f>IFERROR(__xludf.DUMMYFUNCTION("""COMPUTED_VALUE"""),"Saipos Serviços De Software")</f>
        <v>Saipos Serviços De Software</v>
      </c>
      <c r="R401" s="33">
        <f>IFERROR(__xludf.DUMMYFUNCTION("""COMPUTED_VALUE"""),1.0)</f>
        <v>1</v>
      </c>
      <c r="S401" s="4" t="str">
        <f>IFERROR(__xludf.DUMMYFUNCTION("""COMPUTED_VALUE"""),"Saipos Serviços De Software")</f>
        <v>Saipos Serviços De Software</v>
      </c>
      <c r="T401" s="33">
        <f>IFERROR(__xludf.DUMMYFUNCTION("""COMPUTED_VALUE"""),0.7222222222222222)</f>
        <v>0.7222222222</v>
      </c>
      <c r="U401" s="4" t="str">
        <f>IFERROR(__xludf.DUMMYFUNCTION("""COMPUTED_VALUE"""),"Saipos Serviços De Software")</f>
        <v>Saipos Serviços De Software</v>
      </c>
      <c r="V401" s="33">
        <f>IFERROR(__xludf.DUMMYFUNCTION("""COMPUTED_VALUE"""),0.8333333333333334)</f>
        <v>0.8333333333</v>
      </c>
      <c r="W401" s="4" t="str">
        <f>IFERROR(__xludf.DUMMYFUNCTION("""COMPUTED_VALUE"""),"Saipos Serviços De Software")</f>
        <v>Saipos Serviços De Software</v>
      </c>
      <c r="X401" s="33">
        <f>IFERROR(__xludf.DUMMYFUNCTION("""COMPUTED_VALUE"""),0.8333333333333334)</f>
        <v>0.8333333333</v>
      </c>
    </row>
    <row r="402">
      <c r="A402" s="4" t="str">
        <f>IFERROR(__xludf.DUMMYFUNCTION("""COMPUTED_VALUE"""),"Sushi Leblon")</f>
        <v>Sushi Leblon</v>
      </c>
      <c r="B402" s="4">
        <f>IFERROR(__xludf.DUMMYFUNCTION("""COMPUTED_VALUE"""),1.0)</f>
        <v>1</v>
      </c>
      <c r="C402" s="4" t="str">
        <f>IFERROR(__xludf.DUMMYFUNCTION("""COMPUTED_VALUE"""),"R$ 100-180")</f>
        <v>R$ 100-180</v>
      </c>
      <c r="D402" s="4" t="str">
        <f>IFERROR(__xludf.DUMMYFUNCTION("""COMPUTED_VALUE"""),"Fine Dining - Japonesa Premium")</f>
        <v>Fine Dining - Japonesa Premium</v>
      </c>
      <c r="E402" s="4" t="str">
        <f>IFERROR(__xludf.DUMMYFUNCTION("""COMPUTED_VALUE"""),"Rio de Janeiro/RJ (Leblon) - Loja única")</f>
        <v>Rio de Janeiro/RJ (Leblon) - Loja única</v>
      </c>
      <c r="F402" s="4" t="str">
        <f>IFERROR(__xludf.DUMMYFUNCTION("""COMPUTED_VALUE"""),"Necessário Discovery")</f>
        <v>Necessário Discovery</v>
      </c>
      <c r="G402" s="4">
        <f>IFERROR(__xludf.DUMMYFUNCTION("""COMPUTED_VALUE"""),58.0)</f>
        <v>58</v>
      </c>
      <c r="H402" s="31">
        <f>IFERROR(__xludf.DUMMYFUNCTION("""COMPUTED_VALUE"""),0.6)</f>
        <v>0.6</v>
      </c>
      <c r="I402" s="4" t="str">
        <f>IFERROR(__xludf.DUMMYFUNCTION("""COMPUTED_VALUE"""),"PDV não identificado - Loja única premium Rio (40 anos, Guia Michelin 2026). Aderência média: PDV Mobile, comandas, delivery. Operação tradicional enxuta")</f>
        <v>PDV não identificado - Loja única premium Rio (40 anos, Guia Michelin 2026). Aderência média: PDV Mobile, comandas, delivery. Operação tradicional enxuta</v>
      </c>
      <c r="K402" s="4" t="str">
        <f>IFERROR(__xludf.DUMMYFUNCTION("""COMPUTED_VALUE"""),"BRAYAN BURGER - CONTA MARCA")</f>
        <v>BRAYAN BURGER - CONTA MARCA</v>
      </c>
      <c r="L402" s="32">
        <f>IFERROR(__xludf.DUMMYFUNCTION("""COMPUTED_VALUE"""),18.0)</f>
        <v>18</v>
      </c>
      <c r="M402" s="4" t="str">
        <f>IFERROR(__xludf.DUMMYFUNCTION("""COMPUTED_VALUE"""),"Izzy Way Tecnologia")</f>
        <v>Izzy Way Tecnologia</v>
      </c>
      <c r="N402" s="33">
        <f>IFERROR(__xludf.DUMMYFUNCTION("""COMPUTED_VALUE"""),0.8333333333333334)</f>
        <v>0.8333333333</v>
      </c>
      <c r="O402" s="4" t="str">
        <f>IFERROR(__xludf.DUMMYFUNCTION("""COMPUTED_VALUE"""),"Izzy Way Tecnologia")</f>
        <v>Izzy Way Tecnologia</v>
      </c>
      <c r="P402" s="33">
        <f>IFERROR(__xludf.DUMMYFUNCTION("""COMPUTED_VALUE"""),1.0)</f>
        <v>1</v>
      </c>
      <c r="Q402" s="4" t="str">
        <f>IFERROR(__xludf.DUMMYFUNCTION("""COMPUTED_VALUE"""),"Izzy Way Tecnologia")</f>
        <v>Izzy Way Tecnologia</v>
      </c>
      <c r="R402" s="33">
        <f>IFERROR(__xludf.DUMMYFUNCTION("""COMPUTED_VALUE"""),1.0)</f>
        <v>1</v>
      </c>
      <c r="S402" s="4" t="str">
        <f>IFERROR(__xludf.DUMMYFUNCTION("""COMPUTED_VALUE"""),"Izzy Way Tecnologia")</f>
        <v>Izzy Way Tecnologia</v>
      </c>
      <c r="T402" s="33">
        <f>IFERROR(__xludf.DUMMYFUNCTION("""COMPUTED_VALUE"""),1.0)</f>
        <v>1</v>
      </c>
      <c r="U402" s="4" t="str">
        <f>IFERROR(__xludf.DUMMYFUNCTION("""COMPUTED_VALUE"""),"Izzy Way Tecnologia")</f>
        <v>Izzy Way Tecnologia</v>
      </c>
      <c r="V402" s="33">
        <f>IFERROR(__xludf.DUMMYFUNCTION("""COMPUTED_VALUE"""),1.0)</f>
        <v>1</v>
      </c>
      <c r="W402" s="4" t="str">
        <f>IFERROR(__xludf.DUMMYFUNCTION("""COMPUTED_VALUE"""),"Izzy Way Tecnologia")</f>
        <v>Izzy Way Tecnologia</v>
      </c>
      <c r="X402" s="33">
        <f>IFERROR(__xludf.DUMMYFUNCTION("""COMPUTED_VALUE"""),1.0)</f>
        <v>1</v>
      </c>
    </row>
    <row r="403">
      <c r="A403" s="4" t="str">
        <f>IFERROR(__xludf.DUMMYFUNCTION("""COMPUTED_VALUE"""),"Templo Da Carne Marcos Bassi")</f>
        <v>Templo Da Carne Marcos Bassi</v>
      </c>
      <c r="B403" s="4">
        <f>IFERROR(__xludf.DUMMYFUNCTION("""COMPUTED_VALUE"""),1.0)</f>
        <v>1</v>
      </c>
      <c r="C403" s="4" t="str">
        <f>IFERROR(__xludf.DUMMYFUNCTION("""COMPUTED_VALUE"""),"R$ 150-250")</f>
        <v>R$ 150-250</v>
      </c>
      <c r="D403" s="4" t="str">
        <f>IFERROR(__xludf.DUMMYFUNCTION("""COMPUTED_VALUE"""),"Fine Dining - Churrascaria Premium")</f>
        <v>Fine Dining - Churrascaria Premium</v>
      </c>
      <c r="E403" s="4" t="str">
        <f>IFERROR(__xludf.DUMMYFUNCTION("""COMPUTED_VALUE"""),"São Paulo/SP (Bela Vista) - Loja única")</f>
        <v>São Paulo/SP (Bela Vista) - Loja única</v>
      </c>
      <c r="F403" s="4" t="str">
        <f>IFERROR(__xludf.DUMMYFUNCTION("""COMPUTED_VALUE"""),"Necessário Discovery")</f>
        <v>Necessário Discovery</v>
      </c>
      <c r="G403" s="4">
        <f>IFERROR(__xludf.DUMMYFUNCTION("""COMPUTED_VALUE"""),62.0)</f>
        <v>62</v>
      </c>
      <c r="H403" s="31">
        <f>IFERROR(__xludf.DUMMYFUNCTION("""COMPUTED_VALUE"""),0.65)</f>
        <v>0.65</v>
      </c>
      <c r="I403" s="4" t="str">
        <f>IFERROR(__xludf.DUMMYFUNCTION("""COMPUTED_VALUE"""),"PDV não identificado - Loja única icônica SP (Steak Revolution 2013). Fine dining premiado. 3S: PDV Mobile, comandas premium, integração delivery/empório. Aderência alta por complexidade operacional")</f>
        <v>PDV não identificado - Loja única icônica SP (Steak Revolution 2013). Fine dining premiado. 3S: PDV Mobile, comandas premium, integração delivery/empório. Aderência alta por complexidade operacional</v>
      </c>
      <c r="K403" s="4" t="str">
        <f>IFERROR(__xludf.DUMMYFUNCTION("""COMPUTED_VALUE"""),"CONSULADO DA RACAO - CONTA MARCA")</f>
        <v>CONSULADO DA RACAO - CONTA MARCA</v>
      </c>
      <c r="L403" s="32">
        <f>IFERROR(__xludf.DUMMYFUNCTION("""COMPUTED_VALUE"""),18.0)</f>
        <v>18</v>
      </c>
      <c r="M403" s="4" t="str">
        <f>IFERROR(__xludf.DUMMYFUNCTION("""COMPUTED_VALUE"""),"N/A (Not found)")</f>
        <v>N/A (Not found)</v>
      </c>
      <c r="N403" s="33">
        <f>IFERROR(__xludf.DUMMYFUNCTION("""COMPUTED_VALUE"""),0.9444444444444444)</f>
        <v>0.9444444444</v>
      </c>
      <c r="O403" s="4" t="str">
        <f>IFERROR(__xludf.DUMMYFUNCTION("""COMPUTED_VALUE"""),"N/A (Not found)")</f>
        <v>N/A (Not found)</v>
      </c>
      <c r="P403" s="33">
        <f>IFERROR(__xludf.DUMMYFUNCTION("""COMPUTED_VALUE"""),0.9444444444444444)</f>
        <v>0.9444444444</v>
      </c>
      <c r="Q403" s="4" t="str">
        <f>IFERROR(__xludf.DUMMYFUNCTION("""COMPUTED_VALUE"""),"N/A (Not found)")</f>
        <v>N/A (Not found)</v>
      </c>
      <c r="R403" s="33">
        <f>IFERROR(__xludf.DUMMYFUNCTION("""COMPUTED_VALUE"""),1.0)</f>
        <v>1</v>
      </c>
      <c r="S403" s="4" t="str">
        <f>IFERROR(__xludf.DUMMYFUNCTION("""COMPUTED_VALUE"""),"N/A (Not found)")</f>
        <v>N/A (Not found)</v>
      </c>
      <c r="T403" s="33">
        <f>IFERROR(__xludf.DUMMYFUNCTION("""COMPUTED_VALUE"""),1.0)</f>
        <v>1</v>
      </c>
      <c r="U403" s="4" t="str">
        <f>IFERROR(__xludf.DUMMYFUNCTION("""COMPUTED_VALUE"""),"N/A (Not found)")</f>
        <v>N/A (Not found)</v>
      </c>
      <c r="V403" s="33">
        <f>IFERROR(__xludf.DUMMYFUNCTION("""COMPUTED_VALUE"""),1.0)</f>
        <v>1</v>
      </c>
      <c r="W403" s="4" t="str">
        <f>IFERROR(__xludf.DUMMYFUNCTION("""COMPUTED_VALUE"""),"N/A (Not found)")</f>
        <v>N/A (Not found)</v>
      </c>
      <c r="X403" s="33">
        <f>IFERROR(__xludf.DUMMYFUNCTION("""COMPUTED_VALUE"""),1.0)</f>
        <v>1</v>
      </c>
    </row>
    <row r="404">
      <c r="A404" s="4" t="str">
        <f>IFERROR(__xludf.DUMMYFUNCTION("""COMPUTED_VALUE"""),"Vivenda Do Camarão")</f>
        <v>Vivenda Do Camarão</v>
      </c>
      <c r="B404" s="4" t="str">
        <f>IFERROR(__xludf.DUMMYFUNCTION("""COMPUTED_VALUE"""),"150+")</f>
        <v>150+</v>
      </c>
      <c r="C404" s="4" t="str">
        <f>IFERROR(__xludf.DUMMYFUNCTION("""COMPUTED_VALUE"""),"R$ 45-75")</f>
        <v>R$ 45-75</v>
      </c>
      <c r="D404" s="4" t="str">
        <f>IFERROR(__xludf.DUMMYFUNCTION("""COMPUTED_VALUE"""),"Casual Dining - Frutos do Mar (Shopping)")</f>
        <v>Casual Dining - Frutos do Mar (Shopping)</v>
      </c>
      <c r="E404" s="4" t="str">
        <f>IFERROR(__xludf.DUMMYFUNCTION("""COMPUTED_VALUE"""),"Nacional (150+ lojas, principalmente shoppings)")</f>
        <v>Nacional (150+ lojas, principalmente shoppings)</v>
      </c>
      <c r="F404" s="4" t="str">
        <f>IFERROR(__xludf.DUMMYFUNCTION("""COMPUTED_VALUE"""),"R$ 300-350 milhões (2024-2025 estimado)")</f>
        <v>R$ 300-350 milhões (2024-2025 estimado)</v>
      </c>
      <c r="G404" s="4">
        <f>IFERROR(__xludf.DUMMYFUNCTION("""COMPUTED_VALUE"""),85.0)</f>
        <v>85</v>
      </c>
      <c r="H404" s="31">
        <f>IFERROR(__xludf.DUMMYFUNCTION("""COMPUTED_VALUE"""),0.88)</f>
        <v>0.88</v>
      </c>
      <c r="I404" s="4" t="str">
        <f>IFERROR(__xludf.DUMMYFUNCTION("""COMPUTED_VALUE"""),"PDV não identificado - ALTÍSSIMA ADERÊNCIA: 150+ lojas (franquia + próprias), faturamento R$ 300-350M. Praças shopping, forte delivery. 3S: padronização franquias, gestão multi-loja, KDS, integração fiscal. Expansão varejo/atacado = necessidade escalabili"&amp;"dade")</f>
        <v>PDV não identificado - ALTÍSSIMA ADERÊNCIA: 150+ lojas (franquia + próprias), faturamento R$ 300-350M. Praças shopping, forte delivery. 3S: padronização franquias, gestão multi-loja, KDS, integração fiscal. Expansão varejo/atacado = necessidade escalabilidade</v>
      </c>
      <c r="K404" s="4" t="str">
        <f>IFERROR(__xludf.DUMMYFUNCTION("""COMPUTED_VALUE"""),"CROC FRANGOS - MARCA")</f>
        <v>CROC FRANGOS - MARCA</v>
      </c>
      <c r="L404" s="32">
        <f>IFERROR(__xludf.DUMMYFUNCTION("""COMPUTED_VALUE"""),18.0)</f>
        <v>18</v>
      </c>
      <c r="M404" s="4" t="str">
        <f>IFERROR(__xludf.DUMMYFUNCTION("""COMPUTED_VALUE"""),"Saipos Serviços De Software")</f>
        <v>Saipos Serviços De Software</v>
      </c>
      <c r="N404" s="33">
        <f>IFERROR(__xludf.DUMMYFUNCTION("""COMPUTED_VALUE"""),0.8888888888888888)</f>
        <v>0.8888888889</v>
      </c>
      <c r="O404" s="4" t="str">
        <f>IFERROR(__xludf.DUMMYFUNCTION("""COMPUTED_VALUE"""),"Saipos Serviços De Software")</f>
        <v>Saipos Serviços De Software</v>
      </c>
      <c r="P404" s="33">
        <f>IFERROR(__xludf.DUMMYFUNCTION("""COMPUTED_VALUE"""),0.8888888888888888)</f>
        <v>0.8888888889</v>
      </c>
      <c r="Q404" s="4" t="str">
        <f>IFERROR(__xludf.DUMMYFUNCTION("""COMPUTED_VALUE"""),"Saipos Serviços De Software")</f>
        <v>Saipos Serviços De Software</v>
      </c>
      <c r="R404" s="33">
        <f>IFERROR(__xludf.DUMMYFUNCTION("""COMPUTED_VALUE"""),0.9444444444444444)</f>
        <v>0.9444444444</v>
      </c>
      <c r="S404" s="4" t="str">
        <f>IFERROR(__xludf.DUMMYFUNCTION("""COMPUTED_VALUE"""),"Saipos Serviços De Software")</f>
        <v>Saipos Serviços De Software</v>
      </c>
      <c r="T404" s="33">
        <f>IFERROR(__xludf.DUMMYFUNCTION("""COMPUTED_VALUE"""),0.9444444444444444)</f>
        <v>0.9444444444</v>
      </c>
      <c r="U404" s="4" t="str">
        <f>IFERROR(__xludf.DUMMYFUNCTION("""COMPUTED_VALUE"""),"Saipos Serviços De Software")</f>
        <v>Saipos Serviços De Software</v>
      </c>
      <c r="V404" s="33">
        <f>IFERROR(__xludf.DUMMYFUNCTION("""COMPUTED_VALUE"""),0.9444444444444444)</f>
        <v>0.9444444444</v>
      </c>
      <c r="W404" s="4" t="str">
        <f>IFERROR(__xludf.DUMMYFUNCTION("""COMPUTED_VALUE"""),"Saipos Serviços De Software")</f>
        <v>Saipos Serviços De Software</v>
      </c>
      <c r="X404" s="33">
        <f>IFERROR(__xludf.DUMMYFUNCTION("""COMPUTED_VALUE"""),0.9444444444444444)</f>
        <v>0.9444444444</v>
      </c>
    </row>
    <row r="405">
      <c r="A405" s="4" t="str">
        <f>IFERROR(__xludf.DUMMYFUNCTION("""COMPUTED_VALUE"""),"We Donuts")</f>
        <v>We Donuts</v>
      </c>
      <c r="B405" s="34">
        <f>IFERROR(__xludf.DUMMYFUNCTION("""COMPUTED_VALUE"""),46146.0)</f>
        <v>46146</v>
      </c>
      <c r="C405" s="4" t="str">
        <f>IFERROR(__xludf.DUMMYFUNCTION("""COMPUTED_VALUE"""),"R$ 15-30")</f>
        <v>R$ 15-30</v>
      </c>
      <c r="D405" s="4" t="str">
        <f>IFERROR(__xludf.DUMMYFUNCTION("""COMPUTED_VALUE"""),"QSR - Donuts")</f>
        <v>QSR - Donuts</v>
      </c>
      <c r="E405" s="4" t="str">
        <f>IFERROR(__xludf.DUMMYFUNCTION("""COMPUTED_VALUE"""),"São Paulo (4-5 lojas)")</f>
        <v>São Paulo (4-5 lojas)</v>
      </c>
      <c r="F405" s="4" t="str">
        <f>IFERROR(__xludf.DUMMYFUNCTION("""COMPUTED_VALUE"""),"Necessário Discovery")</f>
        <v>Necessário Discovery</v>
      </c>
      <c r="G405" s="4">
        <f>IFERROR(__xludf.DUMMYFUNCTION("""COMPUTED_VALUE"""),40.0)</f>
        <v>40</v>
      </c>
      <c r="H405" s="31">
        <f>IFERROR(__xludf.DUMMYFUNCTION("""COMPUTED_VALUE"""),0.45)</f>
        <v>0.45</v>
      </c>
      <c r="I405" s="4" t="str">
        <f>IFERROR(__xludf.DUMMYFUNCTION("""COMPUTED_VALUE"""),"PDV não identificado - Rede pequena (4-5 lojas SP). 3S: solução básica delivery/gestão")</f>
        <v>PDV não identificado - Rede pequena (4-5 lojas SP). 3S: solução básica delivery/gestão</v>
      </c>
      <c r="K405" s="4" t="str">
        <f>IFERROR(__xludf.DUMMYFUNCTION("""COMPUTED_VALUE"""),"DOGS DAY - CONTA PAI")</f>
        <v>DOGS DAY - CONTA PAI</v>
      </c>
      <c r="L405" s="32">
        <f>IFERROR(__xludf.DUMMYFUNCTION("""COMPUTED_VALUE"""),18.0)</f>
        <v>18</v>
      </c>
      <c r="M405" s="4" t="str">
        <f>IFERROR(__xludf.DUMMYFUNCTION("""COMPUTED_VALUE"""),"N/A (Not found)")</f>
        <v>N/A (Not found)</v>
      </c>
      <c r="N405" s="33">
        <f>IFERROR(__xludf.DUMMYFUNCTION("""COMPUTED_VALUE"""),1.0)</f>
        <v>1</v>
      </c>
      <c r="O405" s="4" t="str">
        <f>IFERROR(__xludf.DUMMYFUNCTION("""COMPUTED_VALUE"""),"N/A (Not found)")</f>
        <v>N/A (Not found)</v>
      </c>
      <c r="P405" s="33">
        <f>IFERROR(__xludf.DUMMYFUNCTION("""COMPUTED_VALUE"""),1.0)</f>
        <v>1</v>
      </c>
      <c r="Q405" s="4" t="str">
        <f>IFERROR(__xludf.DUMMYFUNCTION("""COMPUTED_VALUE"""),"N/A (Not found)")</f>
        <v>N/A (Not found)</v>
      </c>
      <c r="R405" s="33">
        <f>IFERROR(__xludf.DUMMYFUNCTION("""COMPUTED_VALUE"""),1.0)</f>
        <v>1</v>
      </c>
      <c r="S405" s="4" t="str">
        <f>IFERROR(__xludf.DUMMYFUNCTION("""COMPUTED_VALUE"""),"N/A (Not found)")</f>
        <v>N/A (Not found)</v>
      </c>
      <c r="T405" s="33">
        <f>IFERROR(__xludf.DUMMYFUNCTION("""COMPUTED_VALUE"""),1.0)</f>
        <v>1</v>
      </c>
      <c r="U405" s="4" t="str">
        <f>IFERROR(__xludf.DUMMYFUNCTION("""COMPUTED_VALUE"""),"N/A (Not found)")</f>
        <v>N/A (Not found)</v>
      </c>
      <c r="V405" s="33">
        <f>IFERROR(__xludf.DUMMYFUNCTION("""COMPUTED_VALUE"""),1.0)</f>
        <v>1</v>
      </c>
      <c r="W405" s="4" t="str">
        <f>IFERROR(__xludf.DUMMYFUNCTION("""COMPUTED_VALUE"""),"N/A (Not found)")</f>
        <v>N/A (Not found)</v>
      </c>
      <c r="X405" s="33">
        <f>IFERROR(__xludf.DUMMYFUNCTION("""COMPUTED_VALUE"""),1.0)</f>
        <v>1</v>
      </c>
    </row>
    <row r="406">
      <c r="A406" s="4" t="str">
        <f>IFERROR(__xludf.DUMMYFUNCTION("""COMPUTED_VALUE"""),"Zapata Mexican Bar")</f>
        <v>Zapata Mexican Bar</v>
      </c>
      <c r="B406" s="4">
        <f>IFERROR(__xludf.DUMMYFUNCTION("""COMPUTED_VALUE"""),6.0)</f>
        <v>6</v>
      </c>
      <c r="C406" s="4" t="str">
        <f>IFERROR(__xludf.DUMMYFUNCTION("""COMPUTED_VALUE"""),"R$ 40-70")</f>
        <v>R$ 40-70</v>
      </c>
      <c r="D406" s="4" t="str">
        <f>IFERROR(__xludf.DUMMYFUNCTION("""COMPUTED_VALUE"""),"Casual Dining - Mexicano")</f>
        <v>Casual Dining - Mexicano</v>
      </c>
      <c r="E406" s="4" t="str">
        <f>IFERROR(__xludf.DUMMYFUNCTION("""COMPUTED_VALUE"""),"Curitiba/PR (6 unidades)")</f>
        <v>Curitiba/PR (6 unidades)</v>
      </c>
      <c r="F406" s="4" t="str">
        <f>IFERROR(__xludf.DUMMYFUNCTION("""COMPUTED_VALUE"""),"R$ 9 milhões (2018, dado histórico)")</f>
        <v>R$ 9 milhões (2018, dado histórico)</v>
      </c>
      <c r="G406" s="4">
        <f>IFERROR(__xludf.DUMMYFUNCTION("""COMPUTED_VALUE"""),48.0)</f>
        <v>48</v>
      </c>
      <c r="H406" s="31">
        <f>IFERROR(__xludf.DUMMYFUNCTION("""COMPUTED_VALUE"""),0.52)</f>
        <v>0.52</v>
      </c>
      <c r="I406" s="4" t="str">
        <f>IFERROR(__xludf.DUMMYFUNCTION("""COMPUTED_VALUE"""),"PDV não identificado - 6 lojas Curitiba (franchising ativo mas crescimento limitado). 3S: gestão franquias, padronização, delivery")</f>
        <v>PDV não identificado - 6 lojas Curitiba (franchising ativo mas crescimento limitado). 3S: gestão franquias, padronização, delivery</v>
      </c>
      <c r="K406" s="4" t="str">
        <f>IFERROR(__xludf.DUMMYFUNCTION("""COMPUTED_VALUE"""),"DROGARIA LUCENA - CONTA PAI")</f>
        <v>DROGARIA LUCENA - CONTA PAI</v>
      </c>
      <c r="L406" s="32">
        <f>IFERROR(__xludf.DUMMYFUNCTION("""COMPUTED_VALUE"""),18.0)</f>
        <v>18</v>
      </c>
      <c r="M406" s="4" t="str">
        <f>IFERROR(__xludf.DUMMYFUNCTION("""COMPUTED_VALUE"""),"N/A (Not found)")</f>
        <v>N/A (Not found)</v>
      </c>
      <c r="N406" s="33">
        <f>IFERROR(__xludf.DUMMYFUNCTION("""COMPUTED_VALUE"""),1.0)</f>
        <v>1</v>
      </c>
      <c r="O406" s="4" t="str">
        <f>IFERROR(__xludf.DUMMYFUNCTION("""COMPUTED_VALUE"""),"N/A (Not found)")</f>
        <v>N/A (Not found)</v>
      </c>
      <c r="P406" s="33">
        <f>IFERROR(__xludf.DUMMYFUNCTION("""COMPUTED_VALUE"""),1.0)</f>
        <v>1</v>
      </c>
      <c r="Q406" s="4" t="str">
        <f>IFERROR(__xludf.DUMMYFUNCTION("""COMPUTED_VALUE"""),"N/A (Not found)")</f>
        <v>N/A (Not found)</v>
      </c>
      <c r="R406" s="33">
        <f>IFERROR(__xludf.DUMMYFUNCTION("""COMPUTED_VALUE"""),1.0)</f>
        <v>1</v>
      </c>
      <c r="S406" s="4" t="str">
        <f>IFERROR(__xludf.DUMMYFUNCTION("""COMPUTED_VALUE"""),"N/A (Not found)")</f>
        <v>N/A (Not found)</v>
      </c>
      <c r="T406" s="33">
        <f>IFERROR(__xludf.DUMMYFUNCTION("""COMPUTED_VALUE"""),1.0)</f>
        <v>1</v>
      </c>
      <c r="U406" s="4" t="str">
        <f>IFERROR(__xludf.DUMMYFUNCTION("""COMPUTED_VALUE"""),"N/A (Not found)")</f>
        <v>N/A (Not found)</v>
      </c>
      <c r="V406" s="33">
        <f>IFERROR(__xludf.DUMMYFUNCTION("""COMPUTED_VALUE"""),1.0)</f>
        <v>1</v>
      </c>
      <c r="W406" s="4" t="str">
        <f>IFERROR(__xludf.DUMMYFUNCTION("""COMPUTED_VALUE"""),"N/A (Not found)")</f>
        <v>N/A (Not found)</v>
      </c>
      <c r="X406" s="33">
        <f>IFERROR(__xludf.DUMMYFUNCTION("""COMPUTED_VALUE"""),1.0)</f>
        <v>1</v>
      </c>
    </row>
    <row r="407">
      <c r="A407" s="4" t="str">
        <f>IFERROR(__xludf.DUMMYFUNCTION("""COMPUTED_VALUE"""),"1900 Pizzeria")</f>
        <v>1900 Pizzeria</v>
      </c>
      <c r="B407" s="4" t="str">
        <f>IFERROR(__xludf.DUMMYFUNCTION("""COMPUTED_VALUE"""),"13-14")</f>
        <v>13-14</v>
      </c>
      <c r="C407" s="4" t="str">
        <f>IFERROR(__xludf.DUMMYFUNCTION("""COMPUTED_VALUE"""),"R$ 60-100")</f>
        <v>R$ 60-100</v>
      </c>
      <c r="D407" s="4" t="str">
        <f>IFERROR(__xludf.DUMMYFUNCTION("""COMPUTED_VALUE"""),"Casual Dining - Pizzaria Premium")</f>
        <v>Casual Dining - Pizzaria Premium</v>
      </c>
      <c r="E407" s="4" t="str">
        <f>IFERROR(__xludf.DUMMYFUNCTION("""COMPUTED_VALUE"""),"São Paulo/SP (13-14 unidades)")</f>
        <v>São Paulo/SP (13-14 unidades)</v>
      </c>
      <c r="F407" s="4" t="str">
        <f>IFERROR(__xludf.DUMMYFUNCTION("""COMPUTED_VALUE"""),"Necessário Discovery")</f>
        <v>Necessário Discovery</v>
      </c>
      <c r="G407" s="4">
        <f>IFERROR(__xludf.DUMMYFUNCTION("""COMPUTED_VALUE"""),65.0)</f>
        <v>65</v>
      </c>
      <c r="H407" s="31">
        <f>IFERROR(__xludf.DUMMYFUNCTION("""COMPUTED_VALUE"""),0.68)</f>
        <v>0.68</v>
      </c>
      <c r="I407" s="4" t="str">
        <f>IFERROR(__xludf.DUMMYFUNCTION("""COMPUTED_VALUE"""),"PDV não identificado - Pizzaria premium SP (13-14 unidades). Salão + delivery. 3S: PDV Mobile, KDS, gestão comandas, integração delivery")</f>
        <v>PDV não identificado - Pizzaria premium SP (13-14 unidades). Salão + delivery. 3S: PDV Mobile, KDS, gestão comandas, integração delivery</v>
      </c>
      <c r="K407" s="4" t="str">
        <f>IFERROR(__xludf.DUMMYFUNCTION("""COMPUTED_VALUE"""),"DROGARIA OFERTAO - CONTA PAI")</f>
        <v>DROGARIA OFERTAO - CONTA PAI</v>
      </c>
      <c r="L407" s="32">
        <f>IFERROR(__xludf.DUMMYFUNCTION("""COMPUTED_VALUE"""),18.0)</f>
        <v>18</v>
      </c>
      <c r="M407" s="4" t="str">
        <f>IFERROR(__xludf.DUMMYFUNCTION("""COMPUTED_VALUE"""),"N/A (Not found)")</f>
        <v>N/A (Not found)</v>
      </c>
      <c r="N407" s="33">
        <f>IFERROR(__xludf.DUMMYFUNCTION("""COMPUTED_VALUE"""),0.7222222222222222)</f>
        <v>0.7222222222</v>
      </c>
      <c r="O407" s="4" t="str">
        <f>IFERROR(__xludf.DUMMYFUNCTION("""COMPUTED_VALUE"""),"N/A (Not found)")</f>
        <v>N/A (Not found)</v>
      </c>
      <c r="P407" s="33">
        <f>IFERROR(__xludf.DUMMYFUNCTION("""COMPUTED_VALUE"""),0.9444444444444444)</f>
        <v>0.9444444444</v>
      </c>
      <c r="Q407" s="4" t="str">
        <f>IFERROR(__xludf.DUMMYFUNCTION("""COMPUTED_VALUE"""),"N/A (Not found)")</f>
        <v>N/A (Not found)</v>
      </c>
      <c r="R407" s="33">
        <f>IFERROR(__xludf.DUMMYFUNCTION("""COMPUTED_VALUE"""),1.0)</f>
        <v>1</v>
      </c>
      <c r="S407" s="4" t="str">
        <f>IFERROR(__xludf.DUMMYFUNCTION("""COMPUTED_VALUE"""),"N/A (Not found)")</f>
        <v>N/A (Not found)</v>
      </c>
      <c r="T407" s="33">
        <f>IFERROR(__xludf.DUMMYFUNCTION("""COMPUTED_VALUE"""),1.0)</f>
        <v>1</v>
      </c>
      <c r="U407" s="4" t="str">
        <f>IFERROR(__xludf.DUMMYFUNCTION("""COMPUTED_VALUE"""),"N/A (Not found)")</f>
        <v>N/A (Not found)</v>
      </c>
      <c r="V407" s="33">
        <f>IFERROR(__xludf.DUMMYFUNCTION("""COMPUTED_VALUE"""),1.0)</f>
        <v>1</v>
      </c>
      <c r="W407" s="4" t="str">
        <f>IFERROR(__xludf.DUMMYFUNCTION("""COMPUTED_VALUE"""),"N/A (Not found)")</f>
        <v>N/A (Not found)</v>
      </c>
      <c r="X407" s="33">
        <f>IFERROR(__xludf.DUMMYFUNCTION("""COMPUTED_VALUE"""),1.0)</f>
        <v>1</v>
      </c>
    </row>
    <row r="408">
      <c r="A408" s="4" t="str">
        <f>IFERROR(__xludf.DUMMYFUNCTION("""COMPUTED_VALUE"""),"Antaris (Johnny Rockets)")</f>
        <v>Antaris (Johnny Rockets)</v>
      </c>
      <c r="B408" s="4" t="str">
        <f>IFERROR(__xludf.DUMMYFUNCTION("""COMPUTED_VALUE"""),"50+")</f>
        <v>50+</v>
      </c>
      <c r="C408" s="4" t="str">
        <f>IFERROR(__xludf.DUMMYFUNCTION("""COMPUTED_VALUE"""),"R$ 40-70")</f>
        <v>R$ 40-70</v>
      </c>
      <c r="D408" s="4" t="str">
        <f>IFERROR(__xludf.DUMMYFUNCTION("""COMPUTED_VALUE"""),"QSR - Fast Food (Burgers)")</f>
        <v>QSR - Fast Food (Burgers)</v>
      </c>
      <c r="E408" s="4" t="str">
        <f>IFERROR(__xludf.DUMMYFUNCTION("""COMPUTED_VALUE"""),"Nacional (50+ unidades)")</f>
        <v>Nacional (50+ unidades)</v>
      </c>
      <c r="F408" s="4" t="str">
        <f>IFERROR(__xludf.DUMMYFUNCTION("""COMPUTED_VALUE"""),"R$ 135 milhões Brasil (2024)")</f>
        <v>R$ 135 milhões Brasil (2024)</v>
      </c>
      <c r="G408" s="4">
        <f>IFERROR(__xludf.DUMMYFUNCTION("""COMPUTED_VALUE"""),72.0)</f>
        <v>72</v>
      </c>
      <c r="H408" s="31">
        <f>IFERROR(__xludf.DUMMYFUNCTION("""COMPUTED_VALUE"""),0.75)</f>
        <v>0.75</v>
      </c>
      <c r="I408" s="4" t="str">
        <f>IFERROR(__xludf.DUMMYFUNCTION("""COMPUTED_VALUE"""),"PDV não identificado (Antaris opera Johnny Rockets). ALTA ADERÊNCIA: 50+ lojas nacionais, faturamento R$ 135M Brasil (2024). QSR retrô em expansão. 3S: totens autoatendimento, gestão multi-loja franquias, KDS, delivery")</f>
        <v>PDV não identificado (Antaris opera Johnny Rockets). ALTA ADERÊNCIA: 50+ lojas nacionais, faturamento R$ 135M Brasil (2024). QSR retrô em expansão. 3S: totens autoatendimento, gestão multi-loja franquias, KDS, delivery</v>
      </c>
      <c r="K408" s="4" t="str">
        <f>IFERROR(__xludf.DUMMYFUNCTION("""COMPUTED_VALUE"""),"ESFIHA CONTA PAI")</f>
        <v>ESFIHA CONTA PAI</v>
      </c>
      <c r="L408" s="32">
        <f>IFERROR(__xludf.DUMMYFUNCTION("""COMPUTED_VALUE"""),18.0)</f>
        <v>18</v>
      </c>
      <c r="M408" s="4" t="str">
        <f>IFERROR(__xludf.DUMMYFUNCTION("""COMPUTED_VALUE"""),"Saipos Serviços De Software")</f>
        <v>Saipos Serviços De Software</v>
      </c>
      <c r="N408" s="33">
        <f>IFERROR(__xludf.DUMMYFUNCTION("""COMPUTED_VALUE"""),0.8888888888888888)</f>
        <v>0.8888888889</v>
      </c>
      <c r="O408" s="4" t="str">
        <f>IFERROR(__xludf.DUMMYFUNCTION("""COMPUTED_VALUE"""),"Saipos Serviços De Software")</f>
        <v>Saipos Serviços De Software</v>
      </c>
      <c r="P408" s="33">
        <f>IFERROR(__xludf.DUMMYFUNCTION("""COMPUTED_VALUE"""),0.8888888888888888)</f>
        <v>0.8888888889</v>
      </c>
      <c r="Q408" s="4" t="str">
        <f>IFERROR(__xludf.DUMMYFUNCTION("""COMPUTED_VALUE"""),"Saipos Serviços De Software")</f>
        <v>Saipos Serviços De Software</v>
      </c>
      <c r="R408" s="33">
        <f>IFERROR(__xludf.DUMMYFUNCTION("""COMPUTED_VALUE"""),0.8888888888888888)</f>
        <v>0.8888888889</v>
      </c>
      <c r="S408" s="4" t="str">
        <f>IFERROR(__xludf.DUMMYFUNCTION("""COMPUTED_VALUE"""),"Saipos Serviços De Software")</f>
        <v>Saipos Serviços De Software</v>
      </c>
      <c r="T408" s="33">
        <f>IFERROR(__xludf.DUMMYFUNCTION("""COMPUTED_VALUE"""),0.8888888888888888)</f>
        <v>0.8888888889</v>
      </c>
      <c r="U408" s="4" t="str">
        <f>IFERROR(__xludf.DUMMYFUNCTION("""COMPUTED_VALUE"""),"Saipos Serviços De Software")</f>
        <v>Saipos Serviços De Software</v>
      </c>
      <c r="V408" s="33">
        <f>IFERROR(__xludf.DUMMYFUNCTION("""COMPUTED_VALUE"""),0.8888888888888888)</f>
        <v>0.8888888889</v>
      </c>
      <c r="W408" s="4" t="str">
        <f>IFERROR(__xludf.DUMMYFUNCTION("""COMPUTED_VALUE"""),"Saipos Serviços De Software")</f>
        <v>Saipos Serviços De Software</v>
      </c>
      <c r="X408" s="33">
        <f>IFERROR(__xludf.DUMMYFUNCTION("""COMPUTED_VALUE"""),0.8888888888888888)</f>
        <v>0.8888888889</v>
      </c>
    </row>
    <row r="409">
      <c r="A409" s="4" t="str">
        <f>IFERROR(__xludf.DUMMYFUNCTION("""COMPUTED_VALUE"""),"Batata Inglesa")</f>
        <v>Batata Inglesa</v>
      </c>
      <c r="B409" s="4" t="str">
        <f>IFERROR(__xludf.DUMMYFUNCTION("""COMPUTED_VALUE"""),"44+ (IMC)")</f>
        <v>44+ (IMC)</v>
      </c>
      <c r="C409" s="4" t="str">
        <f>IFERROR(__xludf.DUMMYFUNCTION("""COMPUTED_VALUE"""),"R$ 30-50")</f>
        <v>R$ 30-50</v>
      </c>
      <c r="D409" s="4" t="str">
        <f>IFERROR(__xludf.DUMMYFUNCTION("""COMPUTED_VALUE"""),"QSR - Fast Food (Shopping)")</f>
        <v>QSR - Fast Food (Shopping)</v>
      </c>
      <c r="E409" s="4" t="str">
        <f>IFERROR(__xludf.DUMMYFUNCTION("""COMPUTED_VALUE"""),"Rio de Janeiro (44+ unidades - IMC)")</f>
        <v>Rio de Janeiro (44+ unidades - IMC)</v>
      </c>
      <c r="F409" s="4" t="str">
        <f>IFERROR(__xludf.DUMMYFUNCTION("""COMPUTED_VALUE"""),"Necessário Discovery (IMC)")</f>
        <v>Necessário Discovery (IMC)</v>
      </c>
      <c r="G409" s="4">
        <f>IFERROR(__xludf.DUMMYFUNCTION("""COMPUTED_VALUE"""),52.0)</f>
        <v>52</v>
      </c>
      <c r="H409" s="31">
        <f>IFERROR(__xludf.DUMMYFUNCTION("""COMPUTED_VALUE"""),0.55)</f>
        <v>0.55</v>
      </c>
      <c r="I409" s="4" t="str">
        <f>IFERROR(__xludf.DUMMYFUNCTION("""COMPUTED_VALUE"""),"PDV não identificado (IMC opera marca). 44+ lojas RJ (shoppings). Fast food. 3S: padronização IMC, integração delivery, gestão multi-lojas")</f>
        <v>PDV não identificado (IMC opera marca). 44+ lojas RJ (shoppings). Fast food. 3S: padronização IMC, integração delivery, gestão multi-lojas</v>
      </c>
      <c r="K409" s="4" t="str">
        <f>IFERROR(__xludf.DUMMYFUNCTION("""COMPUTED_VALUE"""),"FARMAMED - UNIFABRA - CONTA MARCA")</f>
        <v>FARMAMED - UNIFABRA - CONTA MARCA</v>
      </c>
      <c r="L409" s="32">
        <f>IFERROR(__xludf.DUMMYFUNCTION("""COMPUTED_VALUE"""),18.0)</f>
        <v>18</v>
      </c>
      <c r="M409" s="4" t="str">
        <f>IFERROR(__xludf.DUMMYFUNCTION("""COMPUTED_VALUE"""),"N/A (Not found)")</f>
        <v>N/A (Not found)</v>
      </c>
      <c r="N409" s="33">
        <f>IFERROR(__xludf.DUMMYFUNCTION("""COMPUTED_VALUE"""),1.0)</f>
        <v>1</v>
      </c>
      <c r="O409" s="4" t="str">
        <f>IFERROR(__xludf.DUMMYFUNCTION("""COMPUTED_VALUE"""),"N/A (Not found)")</f>
        <v>N/A (Not found)</v>
      </c>
      <c r="P409" s="33">
        <f>IFERROR(__xludf.DUMMYFUNCTION("""COMPUTED_VALUE"""),1.0)</f>
        <v>1</v>
      </c>
      <c r="Q409" s="4" t="str">
        <f>IFERROR(__xludf.DUMMYFUNCTION("""COMPUTED_VALUE"""),"N/A (Not found)")</f>
        <v>N/A (Not found)</v>
      </c>
      <c r="R409" s="33">
        <f>IFERROR(__xludf.DUMMYFUNCTION("""COMPUTED_VALUE"""),1.0)</f>
        <v>1</v>
      </c>
      <c r="S409" s="4" t="str">
        <f>IFERROR(__xludf.DUMMYFUNCTION("""COMPUTED_VALUE"""),"N/A (Not found)")</f>
        <v>N/A (Not found)</v>
      </c>
      <c r="T409" s="33">
        <f>IFERROR(__xludf.DUMMYFUNCTION("""COMPUTED_VALUE"""),0.8888888888888888)</f>
        <v>0.8888888889</v>
      </c>
      <c r="U409" s="4" t="str">
        <f>IFERROR(__xludf.DUMMYFUNCTION("""COMPUTED_VALUE"""),"N/A (Not found)")</f>
        <v>N/A (Not found)</v>
      </c>
      <c r="V409" s="33">
        <f>IFERROR(__xludf.DUMMYFUNCTION("""COMPUTED_VALUE"""),0.8888888888888888)</f>
        <v>0.8888888889</v>
      </c>
      <c r="W409" s="4" t="str">
        <f>IFERROR(__xludf.DUMMYFUNCTION("""COMPUTED_VALUE"""),"N/A (Not found)")</f>
        <v>N/A (Not found)</v>
      </c>
      <c r="X409" s="33">
        <f>IFERROR(__xludf.DUMMYFUNCTION("""COMPUTED_VALUE"""),0.8888888888888888)</f>
        <v>0.8888888889</v>
      </c>
    </row>
    <row r="410">
      <c r="A410" s="4" t="str">
        <f>IFERROR(__xludf.DUMMYFUNCTION("""COMPUTED_VALUE"""),"Bom Beef")</f>
        <v>Bom Beef</v>
      </c>
      <c r="B410" s="4">
        <f>IFERROR(__xludf.DUMMYFUNCTION("""COMPUTED_VALUE"""),49.0)</f>
        <v>49</v>
      </c>
      <c r="C410" s="4" t="str">
        <f>IFERROR(__xludf.DUMMYFUNCTION("""COMPUTED_VALUE"""),"R$ 35-65")</f>
        <v>R$ 35-65</v>
      </c>
      <c r="D410" s="4" t="str">
        <f>IFERROR(__xludf.DUMMYFUNCTION("""COMPUTED_VALUE"""),"Retail - Açougue Premium (Franquia)")</f>
        <v>Retail - Açougue Premium (Franquia)</v>
      </c>
      <c r="E410" s="4" t="str">
        <f>IFERROR(__xludf.DUMMYFUNCTION("""COMPUTED_VALUE"""),"Nacional (49 açougues em 12 estados)")</f>
        <v>Nacional (49 açougues em 12 estados)</v>
      </c>
      <c r="F410" s="4" t="str">
        <f>IFERROR(__xludf.DUMMYFUNCTION("""COMPUTED_VALUE"""),"R$ 300 milhões (2024 estimado)")</f>
        <v>R$ 300 milhões (2024 estimado)</v>
      </c>
      <c r="G410" s="4">
        <f>IFERROR(__xludf.DUMMYFUNCTION("""COMPUTED_VALUE"""),78.0)</f>
        <v>78</v>
      </c>
      <c r="H410" s="31">
        <f>IFERROR(__xludf.DUMMYFUNCTION("""COMPUTED_VALUE"""),0.8)</f>
        <v>0.8</v>
      </c>
      <c r="I410" s="4" t="str">
        <f>IFERROR(__xludf.DUMMYFUNCTION("""COMPUTED_VALUE"""),"PDV não identificado - ALTA ADERÊNCIA: 49 açougues franquia em 12 estados, faturamento R$ 300M (2024 projetado), movimenta R$ 1M/dia. Varejo especializado em expansão. 3S: gestão franquias, controle estoque, fiscal, delivery, empório. Modelo inovador nece"&amp;"ssita tecnologia")</f>
        <v>PDV não identificado - ALTA ADERÊNCIA: 49 açougues franquia em 12 estados, faturamento R$ 300M (2024 projetado), movimenta R$ 1M/dia. Varejo especializado em expansão. 3S: gestão franquias, controle estoque, fiscal, delivery, empório. Modelo inovador necessita tecnologia</v>
      </c>
      <c r="K410" s="4" t="str">
        <f>IFERROR(__xludf.DUMMYFUNCTION("""COMPUTED_VALUE"""),"FRANGOLANDIA ES")</f>
        <v>FRANGOLANDIA ES</v>
      </c>
      <c r="L410" s="32">
        <f>IFERROR(__xludf.DUMMYFUNCTION("""COMPUTED_VALUE"""),18.0)</f>
        <v>18</v>
      </c>
      <c r="M410" s="4" t="str">
        <f>IFERROR(__xludf.DUMMYFUNCTION("""COMPUTED_VALUE"""),"Saipos Serviços De Software")</f>
        <v>Saipos Serviços De Software</v>
      </c>
      <c r="N410" s="33">
        <f>IFERROR(__xludf.DUMMYFUNCTION("""COMPUTED_VALUE"""),0.7777777777777778)</f>
        <v>0.7777777778</v>
      </c>
      <c r="O410" s="4" t="str">
        <f>IFERROR(__xludf.DUMMYFUNCTION("""COMPUTED_VALUE"""),"Saipos Serviços De Software")</f>
        <v>Saipos Serviços De Software</v>
      </c>
      <c r="P410" s="33">
        <f>IFERROR(__xludf.DUMMYFUNCTION("""COMPUTED_VALUE"""),0.7777777777777778)</f>
        <v>0.7777777778</v>
      </c>
      <c r="Q410" s="4" t="str">
        <f>IFERROR(__xludf.DUMMYFUNCTION("""COMPUTED_VALUE"""),"Saipos Serviços De Software")</f>
        <v>Saipos Serviços De Software</v>
      </c>
      <c r="R410" s="33">
        <f>IFERROR(__xludf.DUMMYFUNCTION("""COMPUTED_VALUE"""),0.8888888888888888)</f>
        <v>0.8888888889</v>
      </c>
      <c r="S410" s="4" t="str">
        <f>IFERROR(__xludf.DUMMYFUNCTION("""COMPUTED_VALUE"""),"Saipos Serviços De Software")</f>
        <v>Saipos Serviços De Software</v>
      </c>
      <c r="T410" s="33">
        <f>IFERROR(__xludf.DUMMYFUNCTION("""COMPUTED_VALUE"""),0.9444444444444444)</f>
        <v>0.9444444444</v>
      </c>
      <c r="U410" s="4" t="str">
        <f>IFERROR(__xludf.DUMMYFUNCTION("""COMPUTED_VALUE"""),"Saipos Serviços De Software")</f>
        <v>Saipos Serviços De Software</v>
      </c>
      <c r="V410" s="33">
        <f>IFERROR(__xludf.DUMMYFUNCTION("""COMPUTED_VALUE"""),0.9444444444444444)</f>
        <v>0.9444444444</v>
      </c>
      <c r="W410" s="4" t="str">
        <f>IFERROR(__xludf.DUMMYFUNCTION("""COMPUTED_VALUE"""),"Saipos Serviços De Software")</f>
        <v>Saipos Serviços De Software</v>
      </c>
      <c r="X410" s="33">
        <f>IFERROR(__xludf.DUMMYFUNCTION("""COMPUTED_VALUE"""),0.8888888888888888)</f>
        <v>0.8888888889</v>
      </c>
    </row>
    <row r="411">
      <c r="A411" s="4" t="str">
        <f>IFERROR(__xludf.DUMMYFUNCTION("""COMPUTED_VALUE"""),"Boulangerie Carioca")</f>
        <v>Boulangerie Carioca</v>
      </c>
      <c r="B411" s="4">
        <f>IFERROR(__xludf.DUMMYFUNCTION("""COMPUTED_VALUE"""),9.0)</f>
        <v>9</v>
      </c>
      <c r="C411" s="4" t="str">
        <f>IFERROR(__xludf.DUMMYFUNCTION("""COMPUTED_VALUE"""),"R$ 35-65")</f>
        <v>R$ 35-65</v>
      </c>
      <c r="D411" s="4" t="str">
        <f>IFERROR(__xludf.DUMMYFUNCTION("""COMPUTED_VALUE"""),"Retail - Pâtisserie Francesa (Franquia)")</f>
        <v>Retail - Pâtisserie Francesa (Franquia)</v>
      </c>
      <c r="E411" s="4" t="str">
        <f>IFERROR(__xludf.DUMMYFUNCTION("""COMPUTED_VALUE"""),"Nacional (9 lojas: SP, RJ, CE, RS)")</f>
        <v>Nacional (9 lojas: SP, RJ, CE, RS)</v>
      </c>
      <c r="F411" s="4" t="str">
        <f>IFERROR(__xludf.DUMMYFUNCTION("""COMPUTED_VALUE"""),"R$ 15 milhões projetado (Antaris grupo)")</f>
        <v>R$ 15 milhões projetado (Antaris grupo)</v>
      </c>
      <c r="G411" s="4">
        <f>IFERROR(__xludf.DUMMYFUNCTION("""COMPUTED_VALUE"""),62.0)</f>
        <v>62</v>
      </c>
      <c r="H411" s="31">
        <f>IFERROR(__xludf.DUMMYFUNCTION("""COMPUTED_VALUE"""),0.65)</f>
        <v>0.65</v>
      </c>
      <c r="I411" s="4" t="str">
        <f>IFERROR(__xludf.DUMMYFUNCTION("""COMPUTED_VALUE"""),"PDV não identificado (Antaris opera). Franquia premium pâtisserie francesa. 9 lojas ativas, expansão 2026. 3S: padronização franquias, gestão multi-loja, integração delivery")</f>
        <v>PDV não identificado (Antaris opera). Franquia premium pâtisserie francesa. 9 lojas ativas, expansão 2026. 3S: padronização franquias, gestão multi-loja, integração delivery</v>
      </c>
      <c r="K411" s="4" t="str">
        <f>IFERROR(__xludf.DUMMYFUNCTION("""COMPUTED_VALUE"""),"GRUPO FB - CONTA MARCA")</f>
        <v>GRUPO FB - CONTA MARCA</v>
      </c>
      <c r="L411" s="32">
        <f>IFERROR(__xludf.DUMMYFUNCTION("""COMPUTED_VALUE"""),18.0)</f>
        <v>18</v>
      </c>
      <c r="M411" s="4" t="str">
        <f>IFERROR(__xludf.DUMMYFUNCTION("""COMPUTED_VALUE"""),"Saipos Serviços De Software")</f>
        <v>Saipos Serviços De Software</v>
      </c>
      <c r="N411" s="33">
        <f>IFERROR(__xludf.DUMMYFUNCTION("""COMPUTED_VALUE"""),1.0)</f>
        <v>1</v>
      </c>
      <c r="O411" s="4" t="str">
        <f>IFERROR(__xludf.DUMMYFUNCTION("""COMPUTED_VALUE"""),"Saipos Serviços De Software")</f>
        <v>Saipos Serviços De Software</v>
      </c>
      <c r="P411" s="33">
        <f>IFERROR(__xludf.DUMMYFUNCTION("""COMPUTED_VALUE"""),1.0)</f>
        <v>1</v>
      </c>
      <c r="Q411" s="4" t="str">
        <f>IFERROR(__xludf.DUMMYFUNCTION("""COMPUTED_VALUE"""),"Saipos Serviços De Software")</f>
        <v>Saipos Serviços De Software</v>
      </c>
      <c r="R411" s="33">
        <f>IFERROR(__xludf.DUMMYFUNCTION("""COMPUTED_VALUE"""),1.0)</f>
        <v>1</v>
      </c>
      <c r="S411" s="4" t="str">
        <f>IFERROR(__xludf.DUMMYFUNCTION("""COMPUTED_VALUE"""),"Saipos Serviços De Software")</f>
        <v>Saipos Serviços De Software</v>
      </c>
      <c r="T411" s="33">
        <f>IFERROR(__xludf.DUMMYFUNCTION("""COMPUTED_VALUE"""),0.9444444444444444)</f>
        <v>0.9444444444</v>
      </c>
      <c r="U411" s="4" t="str">
        <f>IFERROR(__xludf.DUMMYFUNCTION("""COMPUTED_VALUE"""),"Saipos Serviços De Software")</f>
        <v>Saipos Serviços De Software</v>
      </c>
      <c r="V411" s="33">
        <f>IFERROR(__xludf.DUMMYFUNCTION("""COMPUTED_VALUE"""),1.0)</f>
        <v>1</v>
      </c>
      <c r="W411" s="4" t="str">
        <f>IFERROR(__xludf.DUMMYFUNCTION("""COMPUTED_VALUE"""),"Saipos Serviços De Software")</f>
        <v>Saipos Serviços De Software</v>
      </c>
      <c r="X411" s="33">
        <f>IFERROR(__xludf.DUMMYFUNCTION("""COMPUTED_VALUE"""),0.9444444444444444)</f>
        <v>0.9444444444</v>
      </c>
    </row>
    <row r="412">
      <c r="A412" s="4" t="str">
        <f>IFERROR(__xludf.DUMMYFUNCTION("""COMPUTED_VALUE"""),"Burger King")</f>
        <v>Burger King</v>
      </c>
      <c r="B412" s="11">
        <f>IFERROR(__xludf.DUMMYFUNCTION("""COMPUTED_VALUE"""),1225.0)</f>
        <v>1225</v>
      </c>
      <c r="C412" s="4" t="str">
        <f>IFERROR(__xludf.DUMMYFUNCTION("""COMPUTED_VALUE"""),"R$ 30-55")</f>
        <v>R$ 30-55</v>
      </c>
      <c r="D412" s="4" t="str">
        <f>IFERROR(__xludf.DUMMYFUNCTION("""COMPUTED_VALUE"""),"QSR - Fast Food (Burgers)")</f>
        <v>QSR - Fast Food (Burgers)</v>
      </c>
      <c r="E412" s="4" t="str">
        <f>IFERROR(__xludf.DUMMYFUNCTION("""COMPUTED_VALUE"""),"Nacional (1.225 lojas - todos estados)")</f>
        <v>Nacional (1.225 lojas - todos estados)</v>
      </c>
      <c r="F412" s="4" t="str">
        <f>IFERROR(__xludf.DUMMYFUNCTION("""COMPUTED_VALUE"""),"R$ 5,23 bilhões (2025 - Zamp)")</f>
        <v>R$ 5,23 bilhões (2025 - Zamp)</v>
      </c>
      <c r="G412" s="4">
        <f>IFERROR(__xludf.DUMMYFUNCTION("""COMPUTED_VALUE"""),90.0)</f>
        <v>90</v>
      </c>
      <c r="H412" s="31">
        <f>IFERROR(__xludf.DUMMYFUNCTION("""COMPUTED_VALUE"""),0.92)</f>
        <v>0.92</v>
      </c>
      <c r="I412" s="4" t="str">
        <f>IFERROR(__xludf.DUMMYFUNCTION("""COMPUTED_VALUE"""),"PDV não identificado (Zamp opera, já cliente 3S). ALTÍSSIMA ADERÊNCIA: 1.225 lojas nacionais, R$ 5,23B faturamento. Canais digitais 50%+. 3S já implementado - expansão natural para toda rede")</f>
        <v>PDV não identificado (Zamp opera, já cliente 3S). ALTÍSSIMA ADERÊNCIA: 1.225 lojas nacionais, R$ 5,23B faturamento. Canais digitais 50%+. 3S já implementado - expansão natural para toda rede</v>
      </c>
      <c r="K412" s="4" t="str">
        <f>IFERROR(__xludf.DUMMYFUNCTION("""COMPUTED_VALUE"""),"HABITUE")</f>
        <v>HABITUE</v>
      </c>
      <c r="L412" s="32">
        <f>IFERROR(__xludf.DUMMYFUNCTION("""COMPUTED_VALUE"""),18.0)</f>
        <v>18</v>
      </c>
      <c r="M412" s="4" t="str">
        <f>IFERROR(__xludf.DUMMYFUNCTION("""COMPUTED_VALUE"""),"Saipos Serviços De Software")</f>
        <v>Saipos Serviços De Software</v>
      </c>
      <c r="N412" s="33">
        <f>IFERROR(__xludf.DUMMYFUNCTION("""COMPUTED_VALUE"""),1.0)</f>
        <v>1</v>
      </c>
      <c r="O412" s="4" t="str">
        <f>IFERROR(__xludf.DUMMYFUNCTION("""COMPUTED_VALUE"""),"Saipos Serviços De Software")</f>
        <v>Saipos Serviços De Software</v>
      </c>
      <c r="P412" s="33">
        <f>IFERROR(__xludf.DUMMYFUNCTION("""COMPUTED_VALUE"""),1.0)</f>
        <v>1</v>
      </c>
      <c r="Q412" s="4" t="str">
        <f>IFERROR(__xludf.DUMMYFUNCTION("""COMPUTED_VALUE"""),"Saipos Serviços De Software")</f>
        <v>Saipos Serviços De Software</v>
      </c>
      <c r="R412" s="33">
        <f>IFERROR(__xludf.DUMMYFUNCTION("""COMPUTED_VALUE"""),1.0)</f>
        <v>1</v>
      </c>
      <c r="S412" s="4" t="str">
        <f>IFERROR(__xludf.DUMMYFUNCTION("""COMPUTED_VALUE"""),"Saipos Serviços De Software")</f>
        <v>Saipos Serviços De Software</v>
      </c>
      <c r="T412" s="33">
        <f>IFERROR(__xludf.DUMMYFUNCTION("""COMPUTED_VALUE"""),1.0)</f>
        <v>1</v>
      </c>
      <c r="U412" s="4" t="str">
        <f>IFERROR(__xludf.DUMMYFUNCTION("""COMPUTED_VALUE"""),"Saipos Serviços De Software")</f>
        <v>Saipos Serviços De Software</v>
      </c>
      <c r="V412" s="33">
        <f>IFERROR(__xludf.DUMMYFUNCTION("""COMPUTED_VALUE"""),1.0)</f>
        <v>1</v>
      </c>
      <c r="W412" s="4" t="str">
        <f>IFERROR(__xludf.DUMMYFUNCTION("""COMPUTED_VALUE"""),"Saipos Serviços De Software")</f>
        <v>Saipos Serviços De Software</v>
      </c>
      <c r="X412" s="33">
        <f>IFERROR(__xludf.DUMMYFUNCTION("""COMPUTED_VALUE"""),0.8888888888888888)</f>
        <v>0.8888888889</v>
      </c>
    </row>
    <row r="413">
      <c r="A413" s="4" t="str">
        <f>IFERROR(__xludf.DUMMYFUNCTION("""COMPUTED_VALUE"""),"Casa Do Pastel")</f>
        <v>Casa Do Pastel</v>
      </c>
      <c r="B413" s="4" t="str">
        <f>IFERROR(__xludf.DUMMYFUNCTION("""COMPUTED_VALUE"""),"4 (Naturale &amp; Cia)")</f>
        <v>4 (Naturale &amp; Cia)</v>
      </c>
      <c r="C413" s="4" t="str">
        <f>IFERROR(__xludf.DUMMYFUNCTION("""COMPUTED_VALUE"""),"R$ 12-25")</f>
        <v>R$ 12-25</v>
      </c>
      <c r="D413" s="4" t="str">
        <f>IFERROR(__xludf.DUMMYFUNCTION("""COMPUTED_VALUE"""),"QSR - Pastelaria")</f>
        <v>QSR - Pastelaria</v>
      </c>
      <c r="E413" s="4" t="str">
        <f>IFERROR(__xludf.DUMMYFUNCTION("""COMPUTED_VALUE"""),"Mogi das Cruzes e Suzano/SP")</f>
        <v>Mogi das Cruzes e Suzano/SP</v>
      </c>
      <c r="F413" s="4" t="str">
        <f>IFERROR(__xludf.DUMMYFUNCTION("""COMPUTED_VALUE"""),"Necessário Discovery")</f>
        <v>Necessário Discovery</v>
      </c>
      <c r="G413" s="4">
        <f>IFERROR(__xludf.DUMMYFUNCTION("""COMPUTED_VALUE"""),45.0)</f>
        <v>45</v>
      </c>
      <c r="H413" s="31">
        <f>IFERROR(__xludf.DUMMYFUNCTION("""COMPUTED_VALUE"""),0.5)</f>
        <v>0.5</v>
      </c>
      <c r="I413" s="4" t="str">
        <f>IFERROR(__xludf.DUMMYFUNCTION("""COMPUTED_VALUE"""),"PDV não identificado - Rede pequena (4 lojas). Naturale &amp; Cia. 3S: solução básica")</f>
        <v>PDV não identificado - Rede pequena (4 lojas). Naturale &amp; Cia. 3S: solução básica</v>
      </c>
      <c r="K413" s="4" t="str">
        <f>IFERROR(__xludf.DUMMYFUNCTION("""COMPUTED_VALUE"""),"IMPERIO HAMBURGUERIA - CONTA MARCA")</f>
        <v>IMPERIO HAMBURGUERIA - CONTA MARCA</v>
      </c>
      <c r="L413" s="32">
        <f>IFERROR(__xludf.DUMMYFUNCTION("""COMPUTED_VALUE"""),18.0)</f>
        <v>18</v>
      </c>
      <c r="M413" s="4" t="str">
        <f>IFERROR(__xludf.DUMMYFUNCTION("""COMPUTED_VALUE"""),"Consumer Soluções Em Tecnologia Ltda")</f>
        <v>Consumer Soluções Em Tecnologia Ltda</v>
      </c>
      <c r="N413" s="33">
        <f>IFERROR(__xludf.DUMMYFUNCTION("""COMPUTED_VALUE"""),0.4444444444444444)</f>
        <v>0.4444444444</v>
      </c>
      <c r="O413" s="4" t="str">
        <f>IFERROR(__xludf.DUMMYFUNCTION("""COMPUTED_VALUE"""),"null")</f>
        <v>null</v>
      </c>
      <c r="P413" s="33">
        <f>IFERROR(__xludf.DUMMYFUNCTION("""COMPUTED_VALUE"""),0.4444444444444444)</f>
        <v>0.4444444444</v>
      </c>
      <c r="Q413" s="4" t="str">
        <f>IFERROR(__xludf.DUMMYFUNCTION("""COMPUTED_VALUE"""),"Consumer Soluções Em Tecnologia Ltda")</f>
        <v>Consumer Soluções Em Tecnologia Ltda</v>
      </c>
      <c r="R413" s="33">
        <f>IFERROR(__xludf.DUMMYFUNCTION("""COMPUTED_VALUE"""),0.3888888888888889)</f>
        <v>0.3888888889</v>
      </c>
      <c r="S413" s="4" t="str">
        <f>IFERROR(__xludf.DUMMYFUNCTION("""COMPUTED_VALUE"""),"Saipos Serviços De Software")</f>
        <v>Saipos Serviços De Software</v>
      </c>
      <c r="T413" s="33">
        <f>IFERROR(__xludf.DUMMYFUNCTION("""COMPUTED_VALUE"""),0.5)</f>
        <v>0.5</v>
      </c>
      <c r="U413" s="4" t="str">
        <f>IFERROR(__xludf.DUMMYFUNCTION("""COMPUTED_VALUE"""),"Saipos Serviços De Software")</f>
        <v>Saipos Serviços De Software</v>
      </c>
      <c r="V413" s="33">
        <f>IFERROR(__xludf.DUMMYFUNCTION("""COMPUTED_VALUE"""),0.5555555555555556)</f>
        <v>0.5555555556</v>
      </c>
      <c r="W413" s="4" t="str">
        <f>IFERROR(__xludf.DUMMYFUNCTION("""COMPUTED_VALUE"""),"Saipos Serviços De Software")</f>
        <v>Saipos Serviços De Software</v>
      </c>
      <c r="X413" s="33">
        <f>IFERROR(__xludf.DUMMYFUNCTION("""COMPUTED_VALUE"""),0.6666666666666666)</f>
        <v>0.6666666667</v>
      </c>
    </row>
    <row r="414">
      <c r="A414" s="4" t="str">
        <f>IFERROR(__xludf.DUMMYFUNCTION("""COMPUTED_VALUE"""),"Frango No Pote")</f>
        <v>Frango No Pote</v>
      </c>
      <c r="B414" s="4" t="str">
        <f>IFERROR(__xludf.DUMMYFUNCTION("""COMPUTED_VALUE"""),"100+")</f>
        <v>100+</v>
      </c>
      <c r="C414" s="4" t="str">
        <f>IFERROR(__xludf.DUMMYFUNCTION("""COMPUTED_VALUE"""),"R$ 25-45")</f>
        <v>R$ 25-45</v>
      </c>
      <c r="D414" s="4" t="str">
        <f>IFERROR(__xludf.DUMMYFUNCTION("""COMPUTED_VALUE"""),"QSR - Frango Frito (Franquia)")</f>
        <v>QSR - Frango Frito (Franquia)</v>
      </c>
      <c r="E414" s="4" t="str">
        <f>IFERROR(__xludf.DUMMYFUNCTION("""COMPUTED_VALUE"""),"Nacional (100+ lojas em 17 estados + DF)")</f>
        <v>Nacional (100+ lojas em 17 estados + DF)</v>
      </c>
      <c r="F414" s="4" t="str">
        <f>IFERROR(__xludf.DUMMYFUNCTION("""COMPUTED_VALUE"""),"R$ 110 milhões (2023)")</f>
        <v>R$ 110 milhões (2023)</v>
      </c>
      <c r="G414" s="4">
        <f>IFERROR(__xludf.DUMMYFUNCTION("""COMPUTED_VALUE"""),82.0)</f>
        <v>82</v>
      </c>
      <c r="H414" s="31">
        <f>IFERROR(__xludf.DUMMYFUNCTION("""COMPUTED_VALUE"""),0.85)</f>
        <v>0.85</v>
      </c>
      <c r="I414" s="4" t="str">
        <f>IFERROR(__xludf.DUMMYFUNCTION("""COMPUTED_VALUE"""),"PDV não identificado - ALTA ADERÊNCIA: 100+ lojas franquia em 17 estados, R$ 110M (2023), meta 400 lojas até 2030. Retrofit 2026 +30% vendas. 3S: padronização franquias, gestão multi-loja, totens autoatendimento, KDS")</f>
        <v>PDV não identificado - ALTA ADERÊNCIA: 100+ lojas franquia em 17 estados, R$ 110M (2023), meta 400 lojas até 2030. Retrofit 2026 +30% vendas. 3S: padronização franquias, gestão multi-loja, totens autoatendimento, KDS</v>
      </c>
      <c r="K414" s="4" t="str">
        <f>IFERROR(__xludf.DUMMYFUNCTION("""COMPUTED_VALUE"""),"KAZUMI SUSHI DELIVERY - CONTA MARCA")</f>
        <v>KAZUMI SUSHI DELIVERY - CONTA MARCA</v>
      </c>
      <c r="L414" s="32">
        <f>IFERROR(__xludf.DUMMYFUNCTION("""COMPUTED_VALUE"""),18.0)</f>
        <v>18</v>
      </c>
      <c r="M414" s="4" t="str">
        <f>IFERROR(__xludf.DUMMYFUNCTION("""COMPUTED_VALUE"""),"Berp Sistemas")</f>
        <v>Berp Sistemas</v>
      </c>
      <c r="N414" s="33">
        <f>IFERROR(__xludf.DUMMYFUNCTION("""COMPUTED_VALUE"""),0.3888888888888889)</f>
        <v>0.3888888889</v>
      </c>
      <c r="O414" s="4" t="str">
        <f>IFERROR(__xludf.DUMMYFUNCTION("""COMPUTED_VALUE"""),"Beefood - Sistema Para Restaurantes")</f>
        <v>Beefood - Sistema Para Restaurantes</v>
      </c>
      <c r="P414" s="33">
        <f>IFERROR(__xludf.DUMMYFUNCTION("""COMPUTED_VALUE"""),0.4444444444444444)</f>
        <v>0.4444444444</v>
      </c>
      <c r="Q414" s="4" t="str">
        <f>IFERROR(__xludf.DUMMYFUNCTION("""COMPUTED_VALUE"""),"Beefood - Sistema Para Restaurantes")</f>
        <v>Beefood - Sistema Para Restaurantes</v>
      </c>
      <c r="R414" s="33">
        <f>IFERROR(__xludf.DUMMYFUNCTION("""COMPUTED_VALUE"""),0.6111111111111112)</f>
        <v>0.6111111111</v>
      </c>
      <c r="S414" s="4" t="str">
        <f>IFERROR(__xludf.DUMMYFUNCTION("""COMPUTED_VALUE"""),"Beefood - Sistema Para Restaurantes")</f>
        <v>Beefood - Sistema Para Restaurantes</v>
      </c>
      <c r="T414" s="33">
        <f>IFERROR(__xludf.DUMMYFUNCTION("""COMPUTED_VALUE"""),0.5)</f>
        <v>0.5</v>
      </c>
      <c r="U414" s="4" t="str">
        <f>IFERROR(__xludf.DUMMYFUNCTION("""COMPUTED_VALUE"""),"Beefood - Sistema Para Restaurantes")</f>
        <v>Beefood - Sistema Para Restaurantes</v>
      </c>
      <c r="V414" s="33">
        <f>IFERROR(__xludf.DUMMYFUNCTION("""COMPUTED_VALUE"""),0.6111111111111112)</f>
        <v>0.6111111111</v>
      </c>
      <c r="W414" s="4" t="str">
        <f>IFERROR(__xludf.DUMMYFUNCTION("""COMPUTED_VALUE"""),"Agilizup Solucoes Ltda")</f>
        <v>Agilizup Solucoes Ltda</v>
      </c>
      <c r="X414" s="33">
        <f>IFERROR(__xludf.DUMMYFUNCTION("""COMPUTED_VALUE"""),0.4444444444444444)</f>
        <v>0.4444444444</v>
      </c>
    </row>
    <row r="415">
      <c r="A415" s="4" t="str">
        <f>IFERROR(__xludf.DUMMYFUNCTION("""COMPUTED_VALUE"""),"Johnny Rockets")</f>
        <v>Johnny Rockets</v>
      </c>
      <c r="B415" s="4" t="str">
        <f>IFERROR(__xludf.DUMMYFUNCTION("""COMPUTED_VALUE"""),"50+")</f>
        <v>50+</v>
      </c>
      <c r="C415" s="4" t="str">
        <f>IFERROR(__xludf.DUMMYFUNCTION("""COMPUTED_VALUE"""),"R$ 40-70")</f>
        <v>R$ 40-70</v>
      </c>
      <c r="D415" s="4" t="str">
        <f>IFERROR(__xludf.DUMMYFUNCTION("""COMPUTED_VALUE"""),"QSR - Fast Food (Burgers retro)")</f>
        <v>QSR - Fast Food (Burgers retro)</v>
      </c>
      <c r="E415" s="4" t="str">
        <f>IFERROR(__xludf.DUMMYFUNCTION("""COMPUTED_VALUE"""),"Nacional (50+ lojas)")</f>
        <v>Nacional (50+ lojas)</v>
      </c>
      <c r="F415" s="4" t="str">
        <f>IFERROR(__xludf.DUMMYFUNCTION("""COMPUTED_VALUE"""),"R$ 135 milhões Brasil (2024)")</f>
        <v>R$ 135 milhões Brasil (2024)</v>
      </c>
      <c r="G415" s="4">
        <f>IFERROR(__xludf.DUMMYFUNCTION("""COMPUTED_VALUE"""),72.0)</f>
        <v>72</v>
      </c>
      <c r="H415" s="31">
        <f>IFERROR(__xludf.DUMMYFUNCTION("""COMPUTED_VALUE"""),0.75)</f>
        <v>0.75</v>
      </c>
      <c r="I415" s="4" t="str">
        <f>IFERROR(__xludf.DUMMYFUNCTION("""COMPUTED_VALUE"""),"PDV não identificado (Antaris - já no Lote 2). 50+ lojas, R$ 135M. 3S: totens, franquias, KDS")</f>
        <v>PDV não identificado (Antaris - já no Lote 2). 50+ lojas, R$ 135M. 3S: totens, franquias, KDS</v>
      </c>
      <c r="K415" s="4" t="str">
        <f>IFERROR(__xludf.DUMMYFUNCTION("""COMPUTED_VALUE"""),"LACOS DE FAMILIA")</f>
        <v>LACOS DE FAMILIA</v>
      </c>
      <c r="L415" s="32">
        <f>IFERROR(__xludf.DUMMYFUNCTION("""COMPUTED_VALUE"""),18.0)</f>
        <v>18</v>
      </c>
      <c r="M415" s="4" t="str">
        <f>IFERROR(__xludf.DUMMYFUNCTION("""COMPUTED_VALUE"""),"Hubster")</f>
        <v>Hubster</v>
      </c>
      <c r="N415" s="33">
        <f>IFERROR(__xludf.DUMMYFUNCTION("""COMPUTED_VALUE"""),0.5)</f>
        <v>0.5</v>
      </c>
      <c r="O415" s="4" t="str">
        <f>IFERROR(__xludf.DUMMYFUNCTION("""COMPUTED_VALUE"""),"Hubster")</f>
        <v>Hubster</v>
      </c>
      <c r="P415" s="33">
        <f>IFERROR(__xludf.DUMMYFUNCTION("""COMPUTED_VALUE"""),0.5)</f>
        <v>0.5</v>
      </c>
      <c r="Q415" s="4" t="str">
        <f>IFERROR(__xludf.DUMMYFUNCTION("""COMPUTED_VALUE"""),"Hubster")</f>
        <v>Hubster</v>
      </c>
      <c r="R415" s="33">
        <f>IFERROR(__xludf.DUMMYFUNCTION("""COMPUTED_VALUE"""),0.5)</f>
        <v>0.5</v>
      </c>
      <c r="S415" s="4" t="str">
        <f>IFERROR(__xludf.DUMMYFUNCTION("""COMPUTED_VALUE"""),"Hubster")</f>
        <v>Hubster</v>
      </c>
      <c r="T415" s="33">
        <f>IFERROR(__xludf.DUMMYFUNCTION("""COMPUTED_VALUE"""),0.5)</f>
        <v>0.5</v>
      </c>
      <c r="U415" s="4" t="str">
        <f>IFERROR(__xludf.DUMMYFUNCTION("""COMPUTED_VALUE"""),"Hubster")</f>
        <v>Hubster</v>
      </c>
      <c r="V415" s="33">
        <f>IFERROR(__xludf.DUMMYFUNCTION("""COMPUTED_VALUE"""),0.5)</f>
        <v>0.5</v>
      </c>
      <c r="W415" s="4" t="str">
        <f>IFERROR(__xludf.DUMMYFUNCTION("""COMPUTED_VALUE"""),"Hubster")</f>
        <v>Hubster</v>
      </c>
      <c r="X415" s="33">
        <f>IFERROR(__xludf.DUMMYFUNCTION("""COMPUTED_VALUE"""),0.5)</f>
        <v>0.5</v>
      </c>
    </row>
    <row r="416">
      <c r="A416" s="4" t="str">
        <f>IFERROR(__xludf.DUMMYFUNCTION("""COMPUTED_VALUE"""),"KFC")</f>
        <v>KFC</v>
      </c>
      <c r="B416" s="4">
        <f>IFERROR(__xludf.DUMMYFUNCTION("""COMPUTED_VALUE"""),260.0)</f>
        <v>260</v>
      </c>
      <c r="C416" s="4" t="str">
        <f>IFERROR(__xludf.DUMMYFUNCTION("""COMPUTED_VALUE"""),"R$ 35-60")</f>
        <v>R$ 35-60</v>
      </c>
      <c r="D416" s="4" t="str">
        <f>IFERROR(__xludf.DUMMYFUNCTION("""COMPUTED_VALUE"""),"QSR - Fast Food (Frango)")</f>
        <v>QSR - Fast Food (Frango)</v>
      </c>
      <c r="E416" s="4" t="str">
        <f>IFERROR(__xludf.DUMMYFUNCTION("""COMPUTED_VALUE"""),"Nacional (260 lojas)")</f>
        <v>Nacional (260 lojas)</v>
      </c>
      <c r="F416" s="4" t="str">
        <f>IFERROR(__xludf.DUMMYFUNCTION("""COMPUTED_VALUE"""),"Necessário Discovery (Kentucky Foods)")</f>
        <v>Necessário Discovery (Kentucky Foods)</v>
      </c>
      <c r="G416" s="4">
        <f>IFERROR(__xludf.DUMMYFUNCTION("""COMPUTED_VALUE"""),85.0)</f>
        <v>85</v>
      </c>
      <c r="H416" s="31">
        <f>IFERROR(__xludf.DUMMYFUNCTION("""COMPUTED_VALUE"""),0.88)</f>
        <v>0.88</v>
      </c>
      <c r="I416" s="4" t="str">
        <f>IFERROR(__xludf.DUMMYFUNCTION("""COMPUTED_VALUE"""),"PDV não identificado (Kentucky Foods opera). ALTA ADERÊNCIA: 260 lojas, meta 50-60 novas 2026. Expansão acelerada drive-thru. 3S: gestão multi-loja, KDS, integração delivery")</f>
        <v>PDV não identificado (Kentucky Foods opera). ALTA ADERÊNCIA: 260 lojas, meta 50-60 novas 2026. Expansão acelerada drive-thru. 3S: gestão multi-loja, KDS, integração delivery</v>
      </c>
      <c r="K416" s="4" t="str">
        <f>IFERROR(__xludf.DUMMYFUNCTION("""COMPUTED_VALUE"""),"MB FARMACIAS - CONTA MARCA")</f>
        <v>MB FARMACIAS - CONTA MARCA</v>
      </c>
      <c r="L416" s="32">
        <f>IFERROR(__xludf.DUMMYFUNCTION("""COMPUTED_VALUE"""),18.0)</f>
        <v>18</v>
      </c>
      <c r="M416" s="4" t="str">
        <f>IFERROR(__xludf.DUMMYFUNCTION("""COMPUTED_VALUE"""),"N/A (Not found)")</f>
        <v>N/A (Not found)</v>
      </c>
      <c r="N416" s="33">
        <f>IFERROR(__xludf.DUMMYFUNCTION("""COMPUTED_VALUE"""),0.8333333333333334)</f>
        <v>0.8333333333</v>
      </c>
      <c r="O416" s="4" t="str">
        <f>IFERROR(__xludf.DUMMYFUNCTION("""COMPUTED_VALUE"""),"N/A (Not found)")</f>
        <v>N/A (Not found)</v>
      </c>
      <c r="P416" s="33">
        <f>IFERROR(__xludf.DUMMYFUNCTION("""COMPUTED_VALUE"""),0.9444444444444444)</f>
        <v>0.9444444444</v>
      </c>
      <c r="Q416" s="4" t="str">
        <f>IFERROR(__xludf.DUMMYFUNCTION("""COMPUTED_VALUE"""),"N/A (Not found)")</f>
        <v>N/A (Not found)</v>
      </c>
      <c r="R416" s="33">
        <f>IFERROR(__xludf.DUMMYFUNCTION("""COMPUTED_VALUE"""),0.8333333333333334)</f>
        <v>0.8333333333</v>
      </c>
      <c r="S416" s="4" t="str">
        <f>IFERROR(__xludf.DUMMYFUNCTION("""COMPUTED_VALUE"""),"N/A (Not found)")</f>
        <v>N/A (Not found)</v>
      </c>
      <c r="T416" s="33">
        <f>IFERROR(__xludf.DUMMYFUNCTION("""COMPUTED_VALUE"""),0.8333333333333334)</f>
        <v>0.8333333333</v>
      </c>
      <c r="U416" s="4" t="str">
        <f>IFERROR(__xludf.DUMMYFUNCTION("""COMPUTED_VALUE"""),"N/A (Not found)")</f>
        <v>N/A (Not found)</v>
      </c>
      <c r="V416" s="33">
        <f>IFERROR(__xludf.DUMMYFUNCTION("""COMPUTED_VALUE"""),0.7777777777777778)</f>
        <v>0.7777777778</v>
      </c>
      <c r="W416" s="4" t="str">
        <f>IFERROR(__xludf.DUMMYFUNCTION("""COMPUTED_VALUE"""),"N/A (Not found)")</f>
        <v>N/A (Not found)</v>
      </c>
      <c r="X416" s="33">
        <f>IFERROR(__xludf.DUMMYFUNCTION("""COMPUTED_VALUE"""),0.7777777777777778)</f>
        <v>0.7777777778</v>
      </c>
    </row>
    <row r="417">
      <c r="A417" s="4" t="str">
        <f>IFERROR(__xludf.DUMMYFUNCTION("""COMPUTED_VALUE"""),"Krispy Kreme")</f>
        <v>Krispy Kreme</v>
      </c>
      <c r="B417" s="4" t="str">
        <f>IFERROR(__xludf.DUMMYFUNCTION("""COMPUTED_VALUE"""),"3-5 (expansão 2026)")</f>
        <v>3-5 (expansão 2026)</v>
      </c>
      <c r="C417" s="4" t="str">
        <f>IFERROR(__xludf.DUMMYFUNCTION("""COMPUTED_VALUE"""),"R$ 15-35")</f>
        <v>R$ 15-35</v>
      </c>
      <c r="D417" s="4" t="str">
        <f>IFERROR(__xludf.DUMMYFUNCTION("""COMPUTED_VALUE"""),"QSR - Donuts")</f>
        <v>QSR - Donuts</v>
      </c>
      <c r="E417" s="4" t="str">
        <f>IFERROR(__xludf.DUMMYFUNCTION("""COMPUTED_VALUE"""),"São Paulo (3-5 lojas, expansão 2026)")</f>
        <v>São Paulo (3-5 lojas, expansão 2026)</v>
      </c>
      <c r="F417" s="4" t="str">
        <f>IFERROR(__xludf.DUMMYFUNCTION("""COMPUTED_VALUE"""),"Necessário Discovery")</f>
        <v>Necessário Discovery</v>
      </c>
      <c r="G417" s="4">
        <f>IFERROR(__xludf.DUMMYFUNCTION("""COMPUTED_VALUE"""),68.0)</f>
        <v>68</v>
      </c>
      <c r="H417" s="31">
        <f>IFERROR(__xludf.DUMMYFUNCTION("""COMPUTED_VALUE"""),0.72)</f>
        <v>0.72</v>
      </c>
      <c r="I417" s="4" t="str">
        <f>IFERROR(__xludf.DUMMYFUNCTION("""COMPUTED_VALUE"""),"PDV não identificado - 3-5 lojas SP, expansão 2026 (maio/2º sem). Donuts premium. 3S: gestão produção (50k donuts/dia), delivery, totens")</f>
        <v>PDV não identificado - 3-5 lojas SP, expansão 2026 (maio/2º sem). Donuts premium. 3S: gestão produção (50k donuts/dia), delivery, totens</v>
      </c>
      <c r="K417" s="4" t="str">
        <f>IFERROR(__xludf.DUMMYFUNCTION("""COMPUTED_VALUE"""),"NATIVAS - CONTA MARCA")</f>
        <v>NATIVAS - CONTA MARCA</v>
      </c>
      <c r="L417" s="32">
        <f>IFERROR(__xludf.DUMMYFUNCTION("""COMPUTED_VALUE"""),18.0)</f>
        <v>18</v>
      </c>
      <c r="M417" s="4" t="str">
        <f>IFERROR(__xludf.DUMMYFUNCTION("""COMPUTED_VALUE"""),"Jaxtech")</f>
        <v>Jaxtech</v>
      </c>
      <c r="N417" s="33">
        <f>IFERROR(__xludf.DUMMYFUNCTION("""COMPUTED_VALUE"""),0.9444444444444444)</f>
        <v>0.9444444444</v>
      </c>
      <c r="O417" s="4" t="str">
        <f>IFERROR(__xludf.DUMMYFUNCTION("""COMPUTED_VALUE"""),"Jaxtech")</f>
        <v>Jaxtech</v>
      </c>
      <c r="P417" s="33">
        <f>IFERROR(__xludf.DUMMYFUNCTION("""COMPUTED_VALUE"""),0.8888888888888888)</f>
        <v>0.8888888889</v>
      </c>
      <c r="Q417" s="4" t="str">
        <f>IFERROR(__xludf.DUMMYFUNCTION("""COMPUTED_VALUE"""),"Jaxtech")</f>
        <v>Jaxtech</v>
      </c>
      <c r="R417" s="33">
        <f>IFERROR(__xludf.DUMMYFUNCTION("""COMPUTED_VALUE"""),0.8888888888888888)</f>
        <v>0.8888888889</v>
      </c>
      <c r="S417" s="4" t="str">
        <f>IFERROR(__xludf.DUMMYFUNCTION("""COMPUTED_VALUE"""),"Jaxtech")</f>
        <v>Jaxtech</v>
      </c>
      <c r="T417" s="33">
        <f>IFERROR(__xludf.DUMMYFUNCTION("""COMPUTED_VALUE"""),0.7777777777777778)</f>
        <v>0.7777777778</v>
      </c>
      <c r="U417" s="4" t="str">
        <f>IFERROR(__xludf.DUMMYFUNCTION("""COMPUTED_VALUE"""),"Jaxtech")</f>
        <v>Jaxtech</v>
      </c>
      <c r="V417" s="33">
        <f>IFERROR(__xludf.DUMMYFUNCTION("""COMPUTED_VALUE"""),0.7777777777777778)</f>
        <v>0.7777777778</v>
      </c>
      <c r="W417" s="4" t="str">
        <f>IFERROR(__xludf.DUMMYFUNCTION("""COMPUTED_VALUE"""),"Jaxtech")</f>
        <v>Jaxtech</v>
      </c>
      <c r="X417" s="33">
        <f>IFERROR(__xludf.DUMMYFUNCTION("""COMPUTED_VALUE"""),0.7777777777777778)</f>
        <v>0.7777777778</v>
      </c>
    </row>
    <row r="418">
      <c r="A418" s="4" t="str">
        <f>IFERROR(__xludf.DUMMYFUNCTION("""COMPUTED_VALUE"""),"L'Entrecôte Paris")</f>
        <v>L'Entrecôte Paris</v>
      </c>
      <c r="B418" s="4" t="str">
        <f>IFERROR(__xludf.DUMMYFUNCTION("""COMPUTED_VALUE"""),"32 (meta 8 novas em 2026)")</f>
        <v>32 (meta 8 novas em 2026)</v>
      </c>
      <c r="C418" s="4" t="str">
        <f>IFERROR(__xludf.DUMMYFUNCTION("""COMPUTED_VALUE"""),"R$ 80-140")</f>
        <v>R$ 80-140</v>
      </c>
      <c r="D418" s="4" t="str">
        <f>IFERROR(__xludf.DUMMYFUNCTION("""COMPUTED_VALUE"""),"Fine Dining - Francesa (Carnes)")</f>
        <v>Fine Dining - Francesa (Carnes)</v>
      </c>
      <c r="E418" s="4" t="str">
        <f>IFERROR(__xludf.DUMMYFUNCTION("""COMPUTED_VALUE"""),"Nacional (32 lojas: SP, RJ, MG, RS, GO, DF)")</f>
        <v>Nacional (32 lojas: SP, RJ, MG, RS, GO, DF)</v>
      </c>
      <c r="F418" s="4" t="str">
        <f>IFERROR(__xludf.DUMMYFUNCTION("""COMPUTED_VALUE"""),"Necessário Discovery")</f>
        <v>Necessário Discovery</v>
      </c>
      <c r="G418" s="4">
        <f>IFERROR(__xludf.DUMMYFUNCTION("""COMPUTED_VALUE"""),70.0)</f>
        <v>70</v>
      </c>
      <c r="H418" s="31">
        <f>IFERROR(__xludf.DUMMYFUNCTION("""COMPUTED_VALUE"""),0.73)</f>
        <v>0.73</v>
      </c>
      <c r="I418" s="4" t="str">
        <f>IFERROR(__xludf.DUMMYFUNCTION("""COMPUTED_VALUE"""),"PDV não identificado - 32 lojas premium (SP, RJ, MG, RS, GO, DF), meta +8 em 2026. Fine dining francesa. 3S: PDV Mobile, comandas premium, delivery")</f>
        <v>PDV não identificado - 32 lojas premium (SP, RJ, MG, RS, GO, DF), meta +8 em 2026. Fine dining francesa. 3S: PDV Mobile, comandas premium, delivery</v>
      </c>
      <c r="K418" s="4" t="str">
        <f>IFERROR(__xludf.DUMMYFUNCTION("""COMPUTED_VALUE"""),"SUPERMARKET ALVORADA - CONTA GRUPO")</f>
        <v>SUPERMARKET ALVORADA - CONTA GRUPO</v>
      </c>
      <c r="L418" s="32">
        <f>IFERROR(__xludf.DUMMYFUNCTION("""COMPUTED_VALUE"""),18.0)</f>
        <v>18</v>
      </c>
      <c r="M418" s="4" t="str">
        <f>IFERROR(__xludf.DUMMYFUNCTION("""COMPUTED_VALUE"""),"N/A (Not found)")</f>
        <v>N/A (Not found)</v>
      </c>
      <c r="N418" s="33">
        <f>IFERROR(__xludf.DUMMYFUNCTION("""COMPUTED_VALUE"""),0.8888888888888888)</f>
        <v>0.8888888889</v>
      </c>
      <c r="O418" s="4" t="str">
        <f>IFERROR(__xludf.DUMMYFUNCTION("""COMPUTED_VALUE"""),"N/A (Not found)")</f>
        <v>N/A (Not found)</v>
      </c>
      <c r="P418" s="33">
        <f>IFERROR(__xludf.DUMMYFUNCTION("""COMPUTED_VALUE"""),0.9444444444444444)</f>
        <v>0.9444444444</v>
      </c>
      <c r="Q418" s="4" t="str">
        <f>IFERROR(__xludf.DUMMYFUNCTION("""COMPUTED_VALUE"""),"N/A (Not found)")</f>
        <v>N/A (Not found)</v>
      </c>
      <c r="R418" s="33">
        <f>IFERROR(__xludf.DUMMYFUNCTION("""COMPUTED_VALUE"""),0.9444444444444444)</f>
        <v>0.9444444444</v>
      </c>
      <c r="S418" s="4" t="str">
        <f>IFERROR(__xludf.DUMMYFUNCTION("""COMPUTED_VALUE"""),"N/A (Not found)")</f>
        <v>N/A (Not found)</v>
      </c>
      <c r="T418" s="33">
        <f>IFERROR(__xludf.DUMMYFUNCTION("""COMPUTED_VALUE"""),1.0)</f>
        <v>1</v>
      </c>
      <c r="U418" s="4" t="str">
        <f>IFERROR(__xludf.DUMMYFUNCTION("""COMPUTED_VALUE"""),"N/A (Not found)")</f>
        <v>N/A (Not found)</v>
      </c>
      <c r="V418" s="33">
        <f>IFERROR(__xludf.DUMMYFUNCTION("""COMPUTED_VALUE"""),1.0)</f>
        <v>1</v>
      </c>
      <c r="W418" s="4" t="str">
        <f>IFERROR(__xludf.DUMMYFUNCTION("""COMPUTED_VALUE"""),"N/A (Not found)")</f>
        <v>N/A (Not found)</v>
      </c>
      <c r="X418" s="33">
        <f>IFERROR(__xludf.DUMMYFUNCTION("""COMPUTED_VALUE"""),1.0)</f>
        <v>1</v>
      </c>
    </row>
    <row r="419">
      <c r="A419" s="4" t="str">
        <f>IFERROR(__xludf.DUMMYFUNCTION("""COMPUTED_VALUE"""),"Liv Up")</f>
        <v>Liv Up</v>
      </c>
      <c r="B419" s="4" t="str">
        <f>IFERROR(__xludf.DUMMYFUNCTION("""COMPUTED_VALUE"""),"11 pontos retirada")</f>
        <v>11 pontos retirada</v>
      </c>
      <c r="C419" s="4" t="str">
        <f>IFERROR(__xludf.DUMMYFUNCTION("""COMPUTED_VALUE"""),"R$ 35-55")</f>
        <v>R$ 35-55</v>
      </c>
      <c r="D419" s="4" t="str">
        <f>IFERROR(__xludf.DUMMYFUNCTION("""COMPUTED_VALUE"""),"Delivery - Refeições Saudáveis")</f>
        <v>Delivery - Refeições Saudáveis</v>
      </c>
      <c r="E419" s="4" t="str">
        <f>IFERROR(__xludf.DUMMYFUNCTION("""COMPUTED_VALUE"""),"Nacional (11 pontos: SP, RJ, BH, Curitiba, POA, Fortaleza, Recife, Salvador, Brasília, Floripa, Campinas)")</f>
        <v>Nacional (11 pontos: SP, RJ, BH, Curitiba, POA, Fortaleza, Recife, Salvador, Brasília, Floripa, Campinas)</v>
      </c>
      <c r="F419" s="4" t="str">
        <f>IFERROR(__xludf.DUMMYFUNCTION("""COMPUTED_VALUE"""),"R$ 450 milhões projetado 2026")</f>
        <v>R$ 450 milhões projetado 2026</v>
      </c>
      <c r="G419" s="4">
        <f>IFERROR(__xludf.DUMMYFUNCTION("""COMPUTED_VALUE"""),88.0)</f>
        <v>88</v>
      </c>
      <c r="H419" s="31">
        <f>IFERROR(__xludf.DUMMYFUNCTION("""COMPUTED_VALUE"""),0.9)</f>
        <v>0.9</v>
      </c>
      <c r="I419" s="4" t="str">
        <f>IFERROR(__xludf.DUMMYFUNCTION("""COMPUTED_VALUE"""),"PDV não identificado - ALTÍSSIMA ADERÊNCIA: Delivery saudável, 11 pontos retirada nacionais, R$ 450M projetado 2026. Modelo inovador D2C. 3S: gestão pedidos multi-canal, integração logística, e-commerce")</f>
        <v>PDV não identificado - ALTÍSSIMA ADERÊNCIA: Delivery saudável, 11 pontos retirada nacionais, R$ 450M projetado 2026. Modelo inovador D2C. 3S: gestão pedidos multi-canal, integração logística, e-commerce</v>
      </c>
      <c r="K419" s="4" t="str">
        <f>IFERROR(__xludf.DUMMYFUNCTION("""COMPUTED_VALUE"""),"TEMIX")</f>
        <v>TEMIX</v>
      </c>
      <c r="L419" s="32">
        <f>IFERROR(__xludf.DUMMYFUNCTION("""COMPUTED_VALUE"""),18.0)</f>
        <v>18</v>
      </c>
      <c r="M419" s="4" t="str">
        <f>IFERROR(__xludf.DUMMYFUNCTION("""COMPUTED_VALUE"""),"Saipos Serviços De Software")</f>
        <v>Saipos Serviços De Software</v>
      </c>
      <c r="N419" s="33">
        <f>IFERROR(__xludf.DUMMYFUNCTION("""COMPUTED_VALUE"""),0.9444444444444444)</f>
        <v>0.9444444444</v>
      </c>
      <c r="O419" s="4" t="str">
        <f>IFERROR(__xludf.DUMMYFUNCTION("""COMPUTED_VALUE"""),"Saipos Serviços De Software")</f>
        <v>Saipos Serviços De Software</v>
      </c>
      <c r="P419" s="33">
        <f>IFERROR(__xludf.DUMMYFUNCTION("""COMPUTED_VALUE"""),0.9444444444444444)</f>
        <v>0.9444444444</v>
      </c>
      <c r="Q419" s="4" t="str">
        <f>IFERROR(__xludf.DUMMYFUNCTION("""COMPUTED_VALUE"""),"Saipos Serviços De Software")</f>
        <v>Saipos Serviços De Software</v>
      </c>
      <c r="R419" s="33">
        <f>IFERROR(__xludf.DUMMYFUNCTION("""COMPUTED_VALUE"""),0.9444444444444444)</f>
        <v>0.9444444444</v>
      </c>
      <c r="S419" s="4" t="str">
        <f>IFERROR(__xludf.DUMMYFUNCTION("""COMPUTED_VALUE"""),"Saipos Serviços De Software")</f>
        <v>Saipos Serviços De Software</v>
      </c>
      <c r="T419" s="33">
        <f>IFERROR(__xludf.DUMMYFUNCTION("""COMPUTED_VALUE"""),0.8888888888888888)</f>
        <v>0.8888888889</v>
      </c>
      <c r="U419" s="4" t="str">
        <f>IFERROR(__xludf.DUMMYFUNCTION("""COMPUTED_VALUE"""),"Saipos Serviços De Software")</f>
        <v>Saipos Serviços De Software</v>
      </c>
      <c r="V419" s="33">
        <f>IFERROR(__xludf.DUMMYFUNCTION("""COMPUTED_VALUE"""),0.8888888888888888)</f>
        <v>0.8888888889</v>
      </c>
      <c r="W419" s="4" t="str">
        <f>IFERROR(__xludf.DUMMYFUNCTION("""COMPUTED_VALUE"""),"Saipos Serviços De Software")</f>
        <v>Saipos Serviços De Software</v>
      </c>
      <c r="X419" s="33">
        <f>IFERROR(__xludf.DUMMYFUNCTION("""COMPUTED_VALUE"""),1.0)</f>
        <v>1</v>
      </c>
    </row>
    <row r="420">
      <c r="A420" s="4" t="str">
        <f>IFERROR(__xludf.DUMMYFUNCTION("""COMPUTED_VALUE"""),"Naturale")</f>
        <v>Naturale</v>
      </c>
      <c r="B420" s="4">
        <f>IFERROR(__xludf.DUMMYFUNCTION("""COMPUTED_VALUE"""),4.0)</f>
        <v>4</v>
      </c>
      <c r="C420" s="4" t="str">
        <f>IFERROR(__xludf.DUMMYFUNCTION("""COMPUTED_VALUE"""),"R$ 30-55")</f>
        <v>R$ 30-55</v>
      </c>
      <c r="D420" s="4" t="str">
        <f>IFERROR(__xludf.DUMMYFUNCTION("""COMPUTED_VALUE"""),"Retail - Produtos Naturais")</f>
        <v>Retail - Produtos Naturais</v>
      </c>
      <c r="E420" s="4" t="str">
        <f>IFERROR(__xludf.DUMMYFUNCTION("""COMPUTED_VALUE"""),"Mogi das Cruzes e Suzano/SP")</f>
        <v>Mogi das Cruzes e Suzano/SP</v>
      </c>
      <c r="F420" s="4" t="str">
        <f>IFERROR(__xludf.DUMMYFUNCTION("""COMPUTED_VALUE"""),"Necessário Discovery")</f>
        <v>Necessário Discovery</v>
      </c>
      <c r="G420" s="4">
        <f>IFERROR(__xludf.DUMMYFUNCTION("""COMPUTED_VALUE"""),42.0)</f>
        <v>42</v>
      </c>
      <c r="H420" s="31">
        <f>IFERROR(__xludf.DUMMYFUNCTION("""COMPUTED_VALUE"""),0.47)</f>
        <v>0.47</v>
      </c>
      <c r="I420" s="4" t="str">
        <f>IFERROR(__xludf.DUMMYFUNCTION("""COMPUTED_VALUE"""),"PDV não identificado - Rede pequena local (4 lojas SP). Produtos naturais")</f>
        <v>PDV não identificado - Rede pequena local (4 lojas SP). Produtos naturais</v>
      </c>
      <c r="K420" s="4" t="str">
        <f>IFERROR(__xludf.DUMMYFUNCTION("""COMPUTED_VALUE"""),"TERRAZOO - CONTA PAI")</f>
        <v>TERRAZOO - CONTA PAI</v>
      </c>
      <c r="L420" s="32">
        <f>IFERROR(__xludf.DUMMYFUNCTION("""COMPUTED_VALUE"""),18.0)</f>
        <v>18</v>
      </c>
      <c r="M420" s="4" t="str">
        <f>IFERROR(__xludf.DUMMYFUNCTION("""COMPUTED_VALUE"""),"N/A (Not found)")</f>
        <v>N/A (Not found)</v>
      </c>
      <c r="N420" s="33">
        <f>IFERROR(__xludf.DUMMYFUNCTION("""COMPUTED_VALUE"""),1.0)</f>
        <v>1</v>
      </c>
      <c r="O420" s="4" t="str">
        <f>IFERROR(__xludf.DUMMYFUNCTION("""COMPUTED_VALUE"""),"N/A (Not found)")</f>
        <v>N/A (Not found)</v>
      </c>
      <c r="P420" s="33">
        <f>IFERROR(__xludf.DUMMYFUNCTION("""COMPUTED_VALUE"""),1.0)</f>
        <v>1</v>
      </c>
      <c r="Q420" s="4" t="str">
        <f>IFERROR(__xludf.DUMMYFUNCTION("""COMPUTED_VALUE"""),"N/A (Not found)")</f>
        <v>N/A (Not found)</v>
      </c>
      <c r="R420" s="33">
        <f>IFERROR(__xludf.DUMMYFUNCTION("""COMPUTED_VALUE"""),1.0)</f>
        <v>1</v>
      </c>
      <c r="S420" s="4" t="str">
        <f>IFERROR(__xludf.DUMMYFUNCTION("""COMPUTED_VALUE"""),"N/A (Not found)")</f>
        <v>N/A (Not found)</v>
      </c>
      <c r="T420" s="33">
        <f>IFERROR(__xludf.DUMMYFUNCTION("""COMPUTED_VALUE"""),1.0)</f>
        <v>1</v>
      </c>
      <c r="U420" s="4" t="str">
        <f>IFERROR(__xludf.DUMMYFUNCTION("""COMPUTED_VALUE"""),"N/A (Not found)")</f>
        <v>N/A (Not found)</v>
      </c>
      <c r="V420" s="33">
        <f>IFERROR(__xludf.DUMMYFUNCTION("""COMPUTED_VALUE"""),1.0)</f>
        <v>1</v>
      </c>
      <c r="W420" s="4" t="str">
        <f>IFERROR(__xludf.DUMMYFUNCTION("""COMPUTED_VALUE"""),"N/A (Not found)")</f>
        <v>N/A (Not found)</v>
      </c>
      <c r="X420" s="33">
        <f>IFERROR(__xludf.DUMMYFUNCTION("""COMPUTED_VALUE"""),1.0)</f>
        <v>1</v>
      </c>
    </row>
    <row r="421">
      <c r="A421" s="4" t="str">
        <f>IFERROR(__xludf.DUMMYFUNCTION("""COMPUTED_VALUE"""),"Outback")</f>
        <v>Outback</v>
      </c>
      <c r="B421" s="4">
        <f>IFERROR(__xludf.DUMMYFUNCTION("""COMPUTED_VALUE"""),188.0)</f>
        <v>188</v>
      </c>
      <c r="C421" s="4" t="str">
        <f>IFERROR(__xludf.DUMMYFUNCTION("""COMPUTED_VALUE"""),"R$ 80-150")</f>
        <v>R$ 80-150</v>
      </c>
      <c r="D421" s="4" t="str">
        <f>IFERROR(__xludf.DUMMYFUNCTION("""COMPUTED_VALUE"""),"Casual Dining - Churrascaria Americana")</f>
        <v>Casual Dining - Churrascaria Americana</v>
      </c>
      <c r="E421" s="4" t="str">
        <f>IFERROR(__xludf.DUMMYFUNCTION("""COMPUTED_VALUE"""),"Nacional (188 lojas)")</f>
        <v>Nacional (188 lojas)</v>
      </c>
      <c r="F421" s="4" t="str">
        <f>IFERROR(__xludf.DUMMYFUNCTION("""COMPUTED_VALUE"""),"Necessário Discovery (Bloomin Brands)")</f>
        <v>Necessário Discovery (Bloomin Brands)</v>
      </c>
      <c r="G421" s="4">
        <f>IFERROR(__xludf.DUMMYFUNCTION("""COMPUTED_VALUE"""),80.0)</f>
        <v>80</v>
      </c>
      <c r="H421" s="31">
        <f>IFERROR(__xludf.DUMMYFUNCTION("""COMPUTED_VALUE"""),0.82)</f>
        <v>0.82</v>
      </c>
      <c r="I421" s="4" t="str">
        <f>IFERROR(__xludf.DUMMYFUNCTION("""COMPUTED_VALUE"""),"PDV E-Deploy já implementado (case público 2023). ALTA ADERÊNCIA: 188 lojas, expansão 2026 (+13). 3S fornece PDV Mobile, PDV balcão, KDS. Retrofit contínuo = oportunidade upsell")</f>
        <v>PDV E-Deploy já implementado (case público 2023). ALTA ADERÊNCIA: 188 lojas, expansão 2026 (+13). 3S fornece PDV Mobile, PDV balcão, KDS. Retrofit contínuo = oportunidade upsell</v>
      </c>
      <c r="K421" s="4" t="str">
        <f>IFERROR(__xludf.DUMMYFUNCTION("""COMPUTED_VALUE"""),"DESATIVADO")</f>
        <v>DESATIVADO</v>
      </c>
      <c r="L421" s="32">
        <f>IFERROR(__xludf.DUMMYFUNCTION("""COMPUTED_VALUE"""),17.0)</f>
        <v>17</v>
      </c>
      <c r="M421" s="4" t="str">
        <f>IFERROR(__xludf.DUMMYFUNCTION("""COMPUTED_VALUE"""),"null")</f>
        <v>null</v>
      </c>
      <c r="N421" s="33">
        <f>IFERROR(__xludf.DUMMYFUNCTION("""COMPUTED_VALUE"""),0.35294117647058826)</f>
        <v>0.3529411765</v>
      </c>
      <c r="O421" s="4" t="str">
        <f>IFERROR(__xludf.DUMMYFUNCTION("""COMPUTED_VALUE"""),"null")</f>
        <v>null</v>
      </c>
      <c r="P421" s="33">
        <f>IFERROR(__xludf.DUMMYFUNCTION("""COMPUTED_VALUE"""),0.4117647058823529)</f>
        <v>0.4117647059</v>
      </c>
      <c r="Q421" s="4" t="str">
        <f>IFERROR(__xludf.DUMMYFUNCTION("""COMPUTED_VALUE"""),"null")</f>
        <v>null</v>
      </c>
      <c r="R421" s="33">
        <f>IFERROR(__xludf.DUMMYFUNCTION("""COMPUTED_VALUE"""),0.5294117647058824)</f>
        <v>0.5294117647</v>
      </c>
      <c r="S421" s="4" t="str">
        <f>IFERROR(__xludf.DUMMYFUNCTION("""COMPUTED_VALUE"""),"null")</f>
        <v>null</v>
      </c>
      <c r="T421" s="33">
        <f>IFERROR(__xludf.DUMMYFUNCTION("""COMPUTED_VALUE"""),0.7058823529411765)</f>
        <v>0.7058823529</v>
      </c>
      <c r="U421" s="4" t="str">
        <f>IFERROR(__xludf.DUMMYFUNCTION("""COMPUTED_VALUE"""),"null")</f>
        <v>null</v>
      </c>
      <c r="V421" s="33">
        <f>IFERROR(__xludf.DUMMYFUNCTION("""COMPUTED_VALUE"""),0.8235294117647058)</f>
        <v>0.8235294118</v>
      </c>
      <c r="W421" s="4" t="str">
        <f>IFERROR(__xludf.DUMMYFUNCTION("""COMPUTED_VALUE"""),"null")</f>
        <v>null</v>
      </c>
      <c r="X421" s="33">
        <f>IFERROR(__xludf.DUMMYFUNCTION("""COMPUTED_VALUE"""),0.8235294117647058)</f>
        <v>0.8235294118</v>
      </c>
    </row>
    <row r="422">
      <c r="A422" s="4" t="str">
        <f>IFERROR(__xludf.DUMMYFUNCTION("""COMPUTED_VALUE"""),"Pizza Hut")</f>
        <v>Pizza Hut</v>
      </c>
      <c r="B422" s="4" t="str">
        <f>IFERROR(__xludf.DUMMYFUNCTION("""COMPUTED_VALUE"""),"267 (IMC)")</f>
        <v>267 (IMC)</v>
      </c>
      <c r="C422" s="4" t="str">
        <f>IFERROR(__xludf.DUMMYFUNCTION("""COMPUTED_VALUE"""),"R$ 35-65")</f>
        <v>R$ 35-65</v>
      </c>
      <c r="D422" s="4" t="str">
        <f>IFERROR(__xludf.DUMMYFUNCTION("""COMPUTED_VALUE"""),"QSR - Pizza (IMC)")</f>
        <v>QSR - Pizza (IMC)</v>
      </c>
      <c r="E422" s="4" t="str">
        <f>IFERROR(__xludf.DUMMYFUNCTION("""COMPUTED_VALUE"""),"Nacional (267 lojas - IMC)")</f>
        <v>Nacional (267 lojas - IMC)</v>
      </c>
      <c r="F422" s="4" t="str">
        <f>IFERROR(__xludf.DUMMYFUNCTION("""COMPUTED_VALUE"""),"Necessário Discovery (IMC)")</f>
        <v>Necessário Discovery (IMC)</v>
      </c>
      <c r="G422" s="4">
        <f>IFERROR(__xludf.DUMMYFUNCTION("""COMPUTED_VALUE"""),78.0)</f>
        <v>78</v>
      </c>
      <c r="H422" s="31">
        <f>IFERROR(__xludf.DUMMYFUNCTION("""COMPUTED_VALUE"""),0.8)</f>
        <v>0.8</v>
      </c>
      <c r="I422" s="4" t="str">
        <f>IFERROR(__xludf.DUMMYFUNCTION("""COMPUTED_VALUE"""),"PDV não identificado (IMC opera). ALTA ADERÊNCIA: 267 lojas nacionais. Pizza Hut + KFC IMC. 3S: padronização multi-loja, delivery, gestão franquias")</f>
        <v>PDV não identificado (IMC opera). ALTA ADERÊNCIA: 267 lojas nacionais. Pizza Hut + KFC IMC. 3S: padronização multi-loja, delivery, gestão franquias</v>
      </c>
      <c r="K422" s="4" t="str">
        <f>IFERROR(__xludf.DUMMYFUNCTION("""COMPUTED_VALUE"""),"AMAZON SUSHI MANAUS")</f>
        <v>AMAZON SUSHI MANAUS</v>
      </c>
      <c r="L422" s="32">
        <f>IFERROR(__xludf.DUMMYFUNCTION("""COMPUTED_VALUE"""),17.0)</f>
        <v>17</v>
      </c>
      <c r="M422" s="4" t="str">
        <f>IFERROR(__xludf.DUMMYFUNCTION("""COMPUTED_VALUE"""),"Saipos Serviços De Software")</f>
        <v>Saipos Serviços De Software</v>
      </c>
      <c r="N422" s="33">
        <f>IFERROR(__xludf.DUMMYFUNCTION("""COMPUTED_VALUE"""),0.7647058823529411)</f>
        <v>0.7647058824</v>
      </c>
      <c r="O422" s="4" t="str">
        <f>IFERROR(__xludf.DUMMYFUNCTION("""COMPUTED_VALUE"""),"Saipos Serviços De Software")</f>
        <v>Saipos Serviços De Software</v>
      </c>
      <c r="P422" s="33">
        <f>IFERROR(__xludf.DUMMYFUNCTION("""COMPUTED_VALUE"""),0.7647058823529411)</f>
        <v>0.7647058824</v>
      </c>
      <c r="Q422" s="4" t="str">
        <f>IFERROR(__xludf.DUMMYFUNCTION("""COMPUTED_VALUE"""),"Saipos Serviços De Software")</f>
        <v>Saipos Serviços De Software</v>
      </c>
      <c r="R422" s="33">
        <f>IFERROR(__xludf.DUMMYFUNCTION("""COMPUTED_VALUE"""),0.7647058823529411)</f>
        <v>0.7647058824</v>
      </c>
      <c r="S422" s="4" t="str">
        <f>IFERROR(__xludf.DUMMYFUNCTION("""COMPUTED_VALUE"""),"Saipos Serviços De Software")</f>
        <v>Saipos Serviços De Software</v>
      </c>
      <c r="T422" s="33">
        <f>IFERROR(__xludf.DUMMYFUNCTION("""COMPUTED_VALUE"""),0.7647058823529411)</f>
        <v>0.7647058824</v>
      </c>
      <c r="U422" s="4" t="str">
        <f>IFERROR(__xludf.DUMMYFUNCTION("""COMPUTED_VALUE"""),"Saipos Serviços De Software")</f>
        <v>Saipos Serviços De Software</v>
      </c>
      <c r="V422" s="33">
        <f>IFERROR(__xludf.DUMMYFUNCTION("""COMPUTED_VALUE"""),0.9411764705882353)</f>
        <v>0.9411764706</v>
      </c>
      <c r="W422" s="4" t="str">
        <f>IFERROR(__xludf.DUMMYFUNCTION("""COMPUTED_VALUE"""),"Saipos Serviços De Software")</f>
        <v>Saipos Serviços De Software</v>
      </c>
      <c r="X422" s="33">
        <f>IFERROR(__xludf.DUMMYFUNCTION("""COMPUTED_VALUE"""),1.0)</f>
        <v>1</v>
      </c>
    </row>
    <row r="423">
      <c r="A423" s="4" t="str">
        <f>IFERROR(__xludf.DUMMYFUNCTION("""COMPUTED_VALUE"""),"Popeyes")</f>
        <v>Popeyes</v>
      </c>
      <c r="B423" s="4">
        <f>IFERROR(__xludf.DUMMYFUNCTION("""COMPUTED_VALUE"""),93.0)</f>
        <v>93</v>
      </c>
      <c r="C423" s="4" t="str">
        <f>IFERROR(__xludf.DUMMYFUNCTION("""COMPUTED_VALUE"""),"R$ 35-60")</f>
        <v>R$ 35-60</v>
      </c>
      <c r="D423" s="4" t="str">
        <f>IFERROR(__xludf.DUMMYFUNCTION("""COMPUTED_VALUE"""),"QSR - Frango Frito (Zamp)")</f>
        <v>QSR - Frango Frito (Zamp)</v>
      </c>
      <c r="E423" s="4" t="str">
        <f>IFERROR(__xludf.DUMMYFUNCTION("""COMPUTED_VALUE"""),"Nacional (93 lojas - Zamp)")</f>
        <v>Nacional (93 lojas - Zamp)</v>
      </c>
      <c r="F423" s="4" t="str">
        <f>IFERROR(__xludf.DUMMYFUNCTION("""COMPUTED_VALUE"""),"Necessário Discovery (Zamp)")</f>
        <v>Necessário Discovery (Zamp)</v>
      </c>
      <c r="G423" s="4">
        <f>IFERROR(__xludf.DUMMYFUNCTION("""COMPUTED_VALUE"""),82.0)</f>
        <v>82</v>
      </c>
      <c r="H423" s="31">
        <f>IFERROR(__xludf.DUMMYFUNCTION("""COMPUTED_VALUE"""),0.85)</f>
        <v>0.85</v>
      </c>
      <c r="I423" s="4" t="str">
        <f>IFERROR(__xludf.DUMMYFUNCTION("""COMPUTED_VALUE"""),"PDV não identificado (Zamp opera). ALTA ADERÊNCIA: 93 lojas, crescimento forte (+22% SSS). Zamp já cliente 3S. Expansão natural para Popeyes")</f>
        <v>PDV não identificado (Zamp opera). ALTA ADERÊNCIA: 93 lojas, crescimento forte (+22% SSS). Zamp já cliente 3S. Expansão natural para Popeyes</v>
      </c>
      <c r="K423" s="4" t="str">
        <f>IFERROR(__xludf.DUMMYFUNCTION("""COMPUTED_VALUE"""),"BARBARESCO")</f>
        <v>BARBARESCO</v>
      </c>
      <c r="L423" s="32">
        <f>IFERROR(__xludf.DUMMYFUNCTION("""COMPUTED_VALUE"""),17.0)</f>
        <v>17</v>
      </c>
      <c r="M423" s="4" t="str">
        <f>IFERROR(__xludf.DUMMYFUNCTION("""COMPUTED_VALUE"""),"Ncr")</f>
        <v>Ncr</v>
      </c>
      <c r="N423" s="33">
        <f>IFERROR(__xludf.DUMMYFUNCTION("""COMPUTED_VALUE"""),1.0)</f>
        <v>1</v>
      </c>
      <c r="O423" s="4" t="str">
        <f>IFERROR(__xludf.DUMMYFUNCTION("""COMPUTED_VALUE"""),"Ncr")</f>
        <v>Ncr</v>
      </c>
      <c r="P423" s="33">
        <f>IFERROR(__xludf.DUMMYFUNCTION("""COMPUTED_VALUE"""),0.9411764705882353)</f>
        <v>0.9411764706</v>
      </c>
      <c r="Q423" s="4" t="str">
        <f>IFERROR(__xludf.DUMMYFUNCTION("""COMPUTED_VALUE"""),"Ncr")</f>
        <v>Ncr</v>
      </c>
      <c r="R423" s="33">
        <f>IFERROR(__xludf.DUMMYFUNCTION("""COMPUTED_VALUE"""),0.8235294117647058)</f>
        <v>0.8235294118</v>
      </c>
      <c r="S423" s="4" t="str">
        <f>IFERROR(__xludf.DUMMYFUNCTION("""COMPUTED_VALUE"""),"Ncr")</f>
        <v>Ncr</v>
      </c>
      <c r="T423" s="33">
        <f>IFERROR(__xludf.DUMMYFUNCTION("""COMPUTED_VALUE"""),0.7058823529411765)</f>
        <v>0.7058823529</v>
      </c>
      <c r="U423" s="4" t="str">
        <f>IFERROR(__xludf.DUMMYFUNCTION("""COMPUTED_VALUE"""),"Ncr")</f>
        <v>Ncr</v>
      </c>
      <c r="V423" s="33">
        <f>IFERROR(__xludf.DUMMYFUNCTION("""COMPUTED_VALUE"""),0.7058823529411765)</f>
        <v>0.7058823529</v>
      </c>
      <c r="W423" s="4" t="str">
        <f>IFERROR(__xludf.DUMMYFUNCTION("""COMPUTED_VALUE"""),"Ncr")</f>
        <v>Ncr</v>
      </c>
      <c r="X423" s="33">
        <f>IFERROR(__xludf.DUMMYFUNCTION("""COMPUTED_VALUE"""),0.7058823529411765)</f>
        <v>0.7058823529</v>
      </c>
    </row>
    <row r="424">
      <c r="A424" s="4" t="str">
        <f>IFERROR(__xludf.DUMMYFUNCTION("""COMPUTED_VALUE"""),"Sukiya")</f>
        <v>Sukiya</v>
      </c>
      <c r="B424" s="4">
        <f>IFERROR(__xludf.DUMMYFUNCTION("""COMPUTED_VALUE"""),29.0)</f>
        <v>29</v>
      </c>
      <c r="C424" s="4" t="str">
        <f>IFERROR(__xludf.DUMMYFUNCTION("""COMPUTED_VALUE"""),"R$ 30-50")</f>
        <v>R$ 30-50</v>
      </c>
      <c r="D424" s="4" t="str">
        <f>IFERROR(__xludf.DUMMYFUNCTION("""COMPUTED_VALUE"""),"QSR - Gyudon (Japonês)")</f>
        <v>QSR - Gyudon (Japonês)</v>
      </c>
      <c r="E424" s="4" t="str">
        <f>IFERROR(__xludf.DUMMYFUNCTION("""COMPUTED_VALUE"""),"São Paulo e região (29 lojas)")</f>
        <v>São Paulo e região (29 lojas)</v>
      </c>
      <c r="F424" s="4" t="str">
        <f>IFERROR(__xludf.DUMMYFUNCTION("""COMPUTED_VALUE"""),"Necessário Discovery")</f>
        <v>Necessário Discovery</v>
      </c>
      <c r="G424" s="4">
        <f>IFERROR(__xludf.DUMMYFUNCTION("""COMPUTED_VALUE"""),72.0)</f>
        <v>72</v>
      </c>
      <c r="H424" s="31">
        <f>IFERROR(__xludf.DUMMYFUNCTION("""COMPUTED_VALUE"""),0.75)</f>
        <v>0.75</v>
      </c>
      <c r="I424" s="4" t="str">
        <f>IFERROR(__xludf.DUMMYFUNCTION("""COMPUTED_VALUE"""),"PDV não identificado - 29 lojas SP gyudon japonês. QSR asiático. 3S: gestão multi-loja, delivery, totens")</f>
        <v>PDV não identificado - 29 lojas SP gyudon japonês. QSR asiático. 3S: gestão multi-loja, delivery, totens</v>
      </c>
      <c r="K424" s="4" t="str">
        <f>IFERROR(__xludf.DUMMYFUNCTION("""COMPUTED_VALUE"""),"BRASAS RESTAURANTE GOURMET")</f>
        <v>BRASAS RESTAURANTE GOURMET</v>
      </c>
      <c r="L424" s="32">
        <f>IFERROR(__xludf.DUMMYFUNCTION("""COMPUTED_VALUE"""),17.0)</f>
        <v>17</v>
      </c>
      <c r="M424" s="4" t="str">
        <f>IFERROR(__xludf.DUMMYFUNCTION("""COMPUTED_VALUE"""),"Expresso Delivery")</f>
        <v>Expresso Delivery</v>
      </c>
      <c r="N424" s="33">
        <f>IFERROR(__xludf.DUMMYFUNCTION("""COMPUTED_VALUE"""),1.0)</f>
        <v>1</v>
      </c>
      <c r="O424" s="4" t="str">
        <f>IFERROR(__xludf.DUMMYFUNCTION("""COMPUTED_VALUE"""),"Expresso Delivery")</f>
        <v>Expresso Delivery</v>
      </c>
      <c r="P424" s="33">
        <f>IFERROR(__xludf.DUMMYFUNCTION("""COMPUTED_VALUE"""),1.0)</f>
        <v>1</v>
      </c>
      <c r="Q424" s="4" t="str">
        <f>IFERROR(__xludf.DUMMYFUNCTION("""COMPUTED_VALUE"""),"Expresso Delivery")</f>
        <v>Expresso Delivery</v>
      </c>
      <c r="R424" s="33">
        <f>IFERROR(__xludf.DUMMYFUNCTION("""COMPUTED_VALUE"""),0.7647058823529411)</f>
        <v>0.7647058824</v>
      </c>
      <c r="S424" s="4" t="str">
        <f>IFERROR(__xludf.DUMMYFUNCTION("""COMPUTED_VALUE"""),"null")</f>
        <v>null</v>
      </c>
      <c r="T424" s="33">
        <f>IFERROR(__xludf.DUMMYFUNCTION("""COMPUTED_VALUE"""),0.8823529411764706)</f>
        <v>0.8823529412</v>
      </c>
      <c r="U424" s="4" t="str">
        <f>IFERROR(__xludf.DUMMYFUNCTION("""COMPUTED_VALUE"""),"null")</f>
        <v>null</v>
      </c>
      <c r="V424" s="33">
        <f>IFERROR(__xludf.DUMMYFUNCTION("""COMPUTED_VALUE"""),0.8823529411764706)</f>
        <v>0.8823529412</v>
      </c>
      <c r="W424" s="4" t="str">
        <f>IFERROR(__xludf.DUMMYFUNCTION("""COMPUTED_VALUE"""),"null")</f>
        <v>null</v>
      </c>
      <c r="X424" s="33">
        <f>IFERROR(__xludf.DUMMYFUNCTION("""COMPUTED_VALUE"""),1.0)</f>
        <v>1</v>
      </c>
    </row>
    <row r="425">
      <c r="A425" s="4" t="str">
        <f>IFERROR(__xludf.DUMMYFUNCTION("""COMPUTED_VALUE"""),"Taco Bell")</f>
        <v>Taco Bell</v>
      </c>
      <c r="B425" s="4" t="str">
        <f>IFERROR(__xludf.DUMMYFUNCTION("""COMPUTED_VALUE"""),"34 (meta 200 até 2030)")</f>
        <v>34 (meta 200 até 2030)</v>
      </c>
      <c r="C425" s="4" t="str">
        <f>IFERROR(__xludf.DUMMYFUNCTION("""COMPUTED_VALUE"""),"R$ 30-55")</f>
        <v>R$ 30-55</v>
      </c>
      <c r="D425" s="4" t="str">
        <f>IFERROR(__xludf.DUMMYFUNCTION("""COMPUTED_VALUE"""),"QSR - Mexicano (Yum!)")</f>
        <v>QSR - Mexicano (Yum!)</v>
      </c>
      <c r="E425" s="4" t="str">
        <f>IFERROR(__xludf.DUMMYFUNCTION("""COMPUTED_VALUE"""),"Nacional (34 lojas: SP, RJ, PR, GO, DF, MS)")</f>
        <v>Nacional (34 lojas: SP, RJ, PR, GO, DF, MS)</v>
      </c>
      <c r="F425" s="4" t="str">
        <f>IFERROR(__xludf.DUMMYFUNCTION("""COMPUTED_VALUE"""),"Necessário Discovery (Yum!)")</f>
        <v>Necessário Discovery (Yum!)</v>
      </c>
      <c r="G425" s="4">
        <f>IFERROR(__xludf.DUMMYFUNCTION("""COMPUTED_VALUE"""),75.0)</f>
        <v>75</v>
      </c>
      <c r="H425" s="31">
        <f>IFERROR(__xludf.DUMMYFUNCTION("""COMPUTED_VALUE"""),0.78)</f>
        <v>0.78</v>
      </c>
      <c r="I425" s="4" t="str">
        <f>IFERROR(__xludf.DUMMYFUNCTION("""COMPUTED_VALUE"""),"PDV não identificado (Yum! opera direto). ALTA ADERÊNCIA: 34 lojas, meta 200 até 2030. QSR mexicano expansão rápida. 3S: totens, delivery, gestão franquias, loyalty app 2026")</f>
        <v>PDV não identificado (Yum! opera direto). ALTA ADERÊNCIA: 34 lojas, meta 200 até 2030. QSR mexicano expansão rápida. 3S: totens, delivery, gestão franquias, loyalty app 2026</v>
      </c>
      <c r="K425" s="4" t="str">
        <f>IFERROR(__xludf.DUMMYFUNCTION("""COMPUTED_VALUE"""),"CIA DA MARMITA")</f>
        <v>CIA DA MARMITA</v>
      </c>
      <c r="L425" s="32">
        <f>IFERROR(__xludf.DUMMYFUNCTION("""COMPUTED_VALUE"""),17.0)</f>
        <v>17</v>
      </c>
      <c r="M425" s="4" t="str">
        <f>IFERROR(__xludf.DUMMYFUNCTION("""COMPUTED_VALUE"""),"Saipos Serviços De Software")</f>
        <v>Saipos Serviços De Software</v>
      </c>
      <c r="N425" s="33">
        <f>IFERROR(__xludf.DUMMYFUNCTION("""COMPUTED_VALUE"""),1.0)</f>
        <v>1</v>
      </c>
      <c r="O425" s="4" t="str">
        <f>IFERROR(__xludf.DUMMYFUNCTION("""COMPUTED_VALUE"""),"Saipos Serviços De Software")</f>
        <v>Saipos Serviços De Software</v>
      </c>
      <c r="P425" s="33">
        <f>IFERROR(__xludf.DUMMYFUNCTION("""COMPUTED_VALUE"""),1.0)</f>
        <v>1</v>
      </c>
      <c r="Q425" s="4" t="str">
        <f>IFERROR(__xludf.DUMMYFUNCTION("""COMPUTED_VALUE"""),"Saipos Serviços De Software")</f>
        <v>Saipos Serviços De Software</v>
      </c>
      <c r="R425" s="33">
        <f>IFERROR(__xludf.DUMMYFUNCTION("""COMPUTED_VALUE"""),1.0)</f>
        <v>1</v>
      </c>
      <c r="S425" s="4" t="str">
        <f>IFERROR(__xludf.DUMMYFUNCTION("""COMPUTED_VALUE"""),"Saipos Serviços De Software")</f>
        <v>Saipos Serviços De Software</v>
      </c>
      <c r="T425" s="33">
        <f>IFERROR(__xludf.DUMMYFUNCTION("""COMPUTED_VALUE"""),1.0)</f>
        <v>1</v>
      </c>
      <c r="U425" s="4" t="str">
        <f>IFERROR(__xludf.DUMMYFUNCTION("""COMPUTED_VALUE"""),"Saipos Serviços De Software")</f>
        <v>Saipos Serviços De Software</v>
      </c>
      <c r="V425" s="33">
        <f>IFERROR(__xludf.DUMMYFUNCTION("""COMPUTED_VALUE"""),1.0)</f>
        <v>1</v>
      </c>
      <c r="W425" s="4" t="str">
        <f>IFERROR(__xludf.DUMMYFUNCTION("""COMPUTED_VALUE"""),"Saipos Serviços De Software")</f>
        <v>Saipos Serviços De Software</v>
      </c>
      <c r="X425" s="33">
        <f>IFERROR(__xludf.DUMMYFUNCTION("""COMPUTED_VALUE"""),1.0)</f>
        <v>1</v>
      </c>
    </row>
    <row r="426">
      <c r="A426" s="4" t="str">
        <f>IFERROR(__xludf.DUMMYFUNCTION("""COMPUTED_VALUE"""),"We Coffee")</f>
        <v>We Coffee</v>
      </c>
      <c r="B426" s="4" t="str">
        <f>IFERROR(__xludf.DUMMYFUNCTION("""COMPUTED_VALUE"""),"15+ (próprias, não franquia)")</f>
        <v>15+ (próprias, não franquia)</v>
      </c>
      <c r="C426" s="4" t="str">
        <f>IFERROR(__xludf.DUMMYFUNCTION("""COMPUTED_VALUE"""),"R$ 20-40")</f>
        <v>R$ 20-40</v>
      </c>
      <c r="D426" s="4" t="str">
        <f>IFERROR(__xludf.DUMMYFUNCTION("""COMPUTED_VALUE"""),"QSR - Cafeteria (Próprias)")</f>
        <v>QSR - Cafeteria (Próprias)</v>
      </c>
      <c r="E426" s="4" t="str">
        <f>IFERROR(__xludf.DUMMYFUNCTION("""COMPUTED_VALUE"""),"São Paulo (15+ lojas próprias)")</f>
        <v>São Paulo (15+ lojas próprias)</v>
      </c>
      <c r="F426" s="4" t="str">
        <f>IFERROR(__xludf.DUMMYFUNCTION("""COMPUTED_VALUE"""),"R$ 100 milhões meta (2024)")</f>
        <v>R$ 100 milhões meta (2024)</v>
      </c>
      <c r="G426" s="4">
        <f>IFERROR(__xludf.DUMMYFUNCTION("""COMPUTED_VALUE"""),65.0)</f>
        <v>65</v>
      </c>
      <c r="H426" s="31">
        <f>IFERROR(__xludf.DUMMYFUNCTION("""COMPUTED_VALUE"""),0.68)</f>
        <v>0.68</v>
      </c>
      <c r="I426" s="4" t="str">
        <f>IFERROR(__xludf.DUMMYFUNCTION("""COMPUTED_VALUE"""),"PDV não identificado - 15+ lojas próprias SP (não franquia). Cafeteria fenômeno TikTok, meta R$ 100M. 3S: gestão multi-loja, delivery, totens autoatendimento")</f>
        <v>PDV não identificado - 15+ lojas próprias SP (não franquia). Cafeteria fenômeno TikTok, meta R$ 100M. 3S: gestão multi-loja, delivery, totens autoatendimento</v>
      </c>
      <c r="K426" s="4" t="str">
        <f>IFERROR(__xludf.DUMMYFUNCTION("""COMPUTED_VALUE"""),"CIDADAO DO MUNDO")</f>
        <v>CIDADAO DO MUNDO</v>
      </c>
      <c r="L426" s="32">
        <f>IFERROR(__xludf.DUMMYFUNCTION("""COMPUTED_VALUE"""),17.0)</f>
        <v>17</v>
      </c>
      <c r="M426" s="4" t="str">
        <f>IFERROR(__xludf.DUMMYFUNCTION("""COMPUTED_VALUE"""),"Saipos Serviços De Software")</f>
        <v>Saipos Serviços De Software</v>
      </c>
      <c r="N426" s="33">
        <f>IFERROR(__xludf.DUMMYFUNCTION("""COMPUTED_VALUE"""),0.9411764705882353)</f>
        <v>0.9411764706</v>
      </c>
      <c r="O426" s="4" t="str">
        <f>IFERROR(__xludf.DUMMYFUNCTION("""COMPUTED_VALUE"""),"Saipos Serviços De Software")</f>
        <v>Saipos Serviços De Software</v>
      </c>
      <c r="P426" s="33">
        <f>IFERROR(__xludf.DUMMYFUNCTION("""COMPUTED_VALUE"""),0.9411764705882353)</f>
        <v>0.9411764706</v>
      </c>
      <c r="Q426" s="4" t="str">
        <f>IFERROR(__xludf.DUMMYFUNCTION("""COMPUTED_VALUE"""),"Saipos Serviços De Software")</f>
        <v>Saipos Serviços De Software</v>
      </c>
      <c r="R426" s="33">
        <f>IFERROR(__xludf.DUMMYFUNCTION("""COMPUTED_VALUE"""),0.9411764705882353)</f>
        <v>0.9411764706</v>
      </c>
      <c r="S426" s="4" t="str">
        <f>IFERROR(__xludf.DUMMYFUNCTION("""COMPUTED_VALUE"""),"Saipos Serviços De Software")</f>
        <v>Saipos Serviços De Software</v>
      </c>
      <c r="T426" s="33">
        <f>IFERROR(__xludf.DUMMYFUNCTION("""COMPUTED_VALUE"""),0.9411764705882353)</f>
        <v>0.9411764706</v>
      </c>
      <c r="U426" s="4" t="str">
        <f>IFERROR(__xludf.DUMMYFUNCTION("""COMPUTED_VALUE"""),"Saipos Serviços De Software")</f>
        <v>Saipos Serviços De Software</v>
      </c>
      <c r="V426" s="33">
        <f>IFERROR(__xludf.DUMMYFUNCTION("""COMPUTED_VALUE"""),0.9411764705882353)</f>
        <v>0.9411764706</v>
      </c>
      <c r="W426" s="4" t="str">
        <f>IFERROR(__xludf.DUMMYFUNCTION("""COMPUTED_VALUE"""),"Saipos Serviços De Software")</f>
        <v>Saipos Serviços De Software</v>
      </c>
      <c r="X426" s="33">
        <f>IFERROR(__xludf.DUMMYFUNCTION("""COMPUTED_VALUE"""),1.0)</f>
        <v>1</v>
      </c>
    </row>
    <row r="427">
      <c r="A427" s="4" t="str">
        <f>IFERROR(__xludf.DUMMYFUNCTION("""COMPUTED_VALUE"""),"Empadinha Barnabé")</f>
        <v>Empadinha Barnabé</v>
      </c>
      <c r="B427" s="4">
        <f>IFERROR(__xludf.DUMMYFUNCTION("""COMPUTED_VALUE"""),14.0)</f>
        <v>14</v>
      </c>
      <c r="C427" s="4" t="str">
        <f>IFERROR(__xludf.DUMMYFUNCTION("""COMPUTED_VALUE"""),"R$ 15-35")</f>
        <v>R$ 15-35</v>
      </c>
      <c r="D427" s="4" t="str">
        <f>IFERROR(__xludf.DUMMYFUNCTION("""COMPUTED_VALUE"""),"QSR - Empadas/Salgados (Franquia)")</f>
        <v>QSR - Empadas/Salgados (Franquia)</v>
      </c>
      <c r="E427" s="4" t="str">
        <f>IFERROR(__xludf.DUMMYFUNCTION("""COMPUTED_VALUE"""),"Paraíba (14 lojas: João Pessoa 9-12, Campina Grande, Recife, Natal)")</f>
        <v>Paraíba (14 lojas: João Pessoa 9-12, Campina Grande, Recife, Natal)</v>
      </c>
      <c r="F427" s="4" t="str">
        <f>IFERROR(__xludf.DUMMYFUNCTION("""COMPUTED_VALUE"""),"Necessário Discovery")</f>
        <v>Necessário Discovery</v>
      </c>
      <c r="G427" s="4">
        <f>IFERROR(__xludf.DUMMYFUNCTION("""COMPUTED_VALUE"""),58.0)</f>
        <v>58</v>
      </c>
      <c r="H427" s="31">
        <f>IFERROR(__xludf.DUMMYFUNCTION("""COMPUTED_VALUE"""),0.6)</f>
        <v>0.6</v>
      </c>
      <c r="I427" s="4" t="str">
        <f>IFERROR(__xludf.DUMMYFUNCTION("""COMPUTED_VALUE"""),"PDV não identificado - Franquia empadas 14 lojas (João Pessoa 9-12, nordeste). 30 anos mercado. 3S: padronização franquias, gestão multi-loja, delivery")</f>
        <v>PDV não identificado - Franquia empadas 14 lojas (João Pessoa 9-12, nordeste). 30 anos mercado. 3S: padronização franquias, gestão multi-loja, delivery</v>
      </c>
      <c r="K427" s="4" t="str">
        <f>IFERROR(__xludf.DUMMYFUNCTION("""COMPUTED_VALUE"""),"DELICIA PASTEIS - UBERLANDIA")</f>
        <v>DELICIA PASTEIS - UBERLANDIA</v>
      </c>
      <c r="L427" s="32">
        <f>IFERROR(__xludf.DUMMYFUNCTION("""COMPUTED_VALUE"""),17.0)</f>
        <v>17</v>
      </c>
      <c r="M427" s="4" t="str">
        <f>IFERROR(__xludf.DUMMYFUNCTION("""COMPUTED_VALUE"""),"Saipos Serviços De Software")</f>
        <v>Saipos Serviços De Software</v>
      </c>
      <c r="N427" s="33">
        <f>IFERROR(__xludf.DUMMYFUNCTION("""COMPUTED_VALUE"""),0.8235294117647058)</f>
        <v>0.8235294118</v>
      </c>
      <c r="O427" s="4" t="str">
        <f>IFERROR(__xludf.DUMMYFUNCTION("""COMPUTED_VALUE"""),"Saipos Serviços De Software")</f>
        <v>Saipos Serviços De Software</v>
      </c>
      <c r="P427" s="33">
        <f>IFERROR(__xludf.DUMMYFUNCTION("""COMPUTED_VALUE"""),0.8823529411764706)</f>
        <v>0.8823529412</v>
      </c>
      <c r="Q427" s="4" t="str">
        <f>IFERROR(__xludf.DUMMYFUNCTION("""COMPUTED_VALUE"""),"Saipos Serviços De Software")</f>
        <v>Saipos Serviços De Software</v>
      </c>
      <c r="R427" s="33">
        <f>IFERROR(__xludf.DUMMYFUNCTION("""COMPUTED_VALUE"""),0.9411764705882353)</f>
        <v>0.9411764706</v>
      </c>
      <c r="S427" s="4" t="str">
        <f>IFERROR(__xludf.DUMMYFUNCTION("""COMPUTED_VALUE"""),"Saipos Serviços De Software")</f>
        <v>Saipos Serviços De Software</v>
      </c>
      <c r="T427" s="33">
        <f>IFERROR(__xludf.DUMMYFUNCTION("""COMPUTED_VALUE"""),1.0)</f>
        <v>1</v>
      </c>
      <c r="U427" s="4" t="str">
        <f>IFERROR(__xludf.DUMMYFUNCTION("""COMPUTED_VALUE"""),"Saipos Serviços De Software")</f>
        <v>Saipos Serviços De Software</v>
      </c>
      <c r="V427" s="33">
        <f>IFERROR(__xludf.DUMMYFUNCTION("""COMPUTED_VALUE"""),0.9411764705882353)</f>
        <v>0.9411764706</v>
      </c>
      <c r="W427" s="4" t="str">
        <f>IFERROR(__xludf.DUMMYFUNCTION("""COMPUTED_VALUE"""),"Saipos Serviços De Software")</f>
        <v>Saipos Serviços De Software</v>
      </c>
      <c r="X427" s="33">
        <f>IFERROR(__xludf.DUMMYFUNCTION("""COMPUTED_VALUE"""),0.9411764705882353)</f>
        <v>0.9411764706</v>
      </c>
    </row>
    <row r="428">
      <c r="A428" s="4" t="str">
        <f>IFERROR(__xludf.DUMMYFUNCTION("""COMPUTED_VALUE"""),"O Forneiro")</f>
        <v>O Forneiro</v>
      </c>
      <c r="B428" s="4">
        <f>IFERROR(__xludf.DUMMYFUNCTION("""COMPUTED_VALUE"""),2.0)</f>
        <v>2</v>
      </c>
      <c r="C428" s="4" t="str">
        <f>IFERROR(__xludf.DUMMYFUNCTION("""COMPUTED_VALUE"""),"R$ 40-70")</f>
        <v>R$ 40-70</v>
      </c>
      <c r="D428" s="4" t="str">
        <f>IFERROR(__xludf.DUMMYFUNCTION("""COMPUTED_VALUE"""),"Casual Dining - Pizzaria")</f>
        <v>Casual Dining - Pizzaria</v>
      </c>
      <c r="E428" s="4" t="str">
        <f>IFERROR(__xludf.DUMMYFUNCTION("""COMPUTED_VALUE"""),"São Paulo (Mairiporã - 2 lojas)")</f>
        <v>São Paulo (Mairiporã - 2 lojas)</v>
      </c>
      <c r="F428" s="4" t="str">
        <f>IFERROR(__xludf.DUMMYFUNCTION("""COMPUTED_VALUE"""),"Necessário Discovery")</f>
        <v>Necessário Discovery</v>
      </c>
      <c r="G428" s="4">
        <f>IFERROR(__xludf.DUMMYFUNCTION("""COMPUTED_VALUE"""),40.0)</f>
        <v>40</v>
      </c>
      <c r="H428" s="31">
        <f>IFERROR(__xludf.DUMMYFUNCTION("""COMPUTED_VALUE"""),0.45)</f>
        <v>0.45</v>
      </c>
      <c r="I428" s="4" t="str">
        <f>IFERROR(__xludf.DUMMYFUNCTION("""COMPUTED_VALUE"""),"PDV não identificado - Pizzaria local 2 lojas Mairiporã/SP. 3S: solução básica delivery/gestão")</f>
        <v>PDV não identificado - Pizzaria local 2 lojas Mairiporã/SP. 3S: solução básica delivery/gestão</v>
      </c>
      <c r="K428" s="4" t="str">
        <f>IFERROR(__xludf.DUMMYFUNCTION("""COMPUTED_VALUE"""),"DINA PIZZA")</f>
        <v>DINA PIZZA</v>
      </c>
      <c r="L428" s="32">
        <f>IFERROR(__xludf.DUMMYFUNCTION("""COMPUTED_VALUE"""),17.0)</f>
        <v>17</v>
      </c>
      <c r="M428" s="4" t="str">
        <f>IFERROR(__xludf.DUMMYFUNCTION("""COMPUTED_VALUE"""),"Jclan Sistemas")</f>
        <v>Jclan Sistemas</v>
      </c>
      <c r="N428" s="33">
        <f>IFERROR(__xludf.DUMMYFUNCTION("""COMPUTED_VALUE"""),0.7647058823529411)</f>
        <v>0.7647058824</v>
      </c>
      <c r="O428" s="4" t="str">
        <f>IFERROR(__xludf.DUMMYFUNCTION("""COMPUTED_VALUE"""),"Jclan Sistemas")</f>
        <v>Jclan Sistemas</v>
      </c>
      <c r="P428" s="33">
        <f>IFERROR(__xludf.DUMMYFUNCTION("""COMPUTED_VALUE"""),0.7647058823529411)</f>
        <v>0.7647058824</v>
      </c>
      <c r="Q428" s="4" t="str">
        <f>IFERROR(__xludf.DUMMYFUNCTION("""COMPUTED_VALUE"""),"Jclan Sistemas")</f>
        <v>Jclan Sistemas</v>
      </c>
      <c r="R428" s="33">
        <f>IFERROR(__xludf.DUMMYFUNCTION("""COMPUTED_VALUE"""),0.8235294117647058)</f>
        <v>0.8235294118</v>
      </c>
      <c r="S428" s="4" t="str">
        <f>IFERROR(__xludf.DUMMYFUNCTION("""COMPUTED_VALUE"""),"null")</f>
        <v>null</v>
      </c>
      <c r="T428" s="33">
        <f>IFERROR(__xludf.DUMMYFUNCTION("""COMPUTED_VALUE"""),0.5294117647058824)</f>
        <v>0.5294117647</v>
      </c>
      <c r="U428" s="4" t="str">
        <f>IFERROR(__xludf.DUMMYFUNCTION("""COMPUTED_VALUE"""),"Jclan Sistemas")</f>
        <v>Jclan Sistemas</v>
      </c>
      <c r="V428" s="33">
        <f>IFERROR(__xludf.DUMMYFUNCTION("""COMPUTED_VALUE"""),0.5294117647058824)</f>
        <v>0.5294117647</v>
      </c>
      <c r="W428" s="4" t="str">
        <f>IFERROR(__xludf.DUMMYFUNCTION("""COMPUTED_VALUE"""),"null")</f>
        <v>null</v>
      </c>
      <c r="X428" s="33">
        <f>IFERROR(__xludf.DUMMYFUNCTION("""COMPUTED_VALUE"""),0.6470588235294118)</f>
        <v>0.6470588235</v>
      </c>
    </row>
    <row r="429">
      <c r="A429" s="4" t="str">
        <f>IFERROR(__xludf.DUMMYFUNCTION("""COMPUTED_VALUE"""),"La Borratxeria")</f>
        <v>La Borratxeria</v>
      </c>
      <c r="B429" s="4">
        <f>IFERROR(__xludf.DUMMYFUNCTION("""COMPUTED_VALUE"""),6.0)</f>
        <v>6</v>
      </c>
      <c r="C429" s="4" t="str">
        <f>IFERROR(__xludf.DUMMYFUNCTION("""COMPUTED_VALUE"""),"R$ 60-100")</f>
        <v>R$ 60-100</v>
      </c>
      <c r="D429" s="4" t="str">
        <f>IFERROR(__xludf.DUMMYFUNCTION("""COMPUTED_VALUE"""),"Casual Dining - Espanhola")</f>
        <v>Casual Dining - Espanhola</v>
      </c>
      <c r="E429" s="4" t="str">
        <f>IFERROR(__xludf.DUMMYFUNCTION("""COMPUTED_VALUE"""),"Curitiba/PR (6 unidades)")</f>
        <v>Curitiba/PR (6 unidades)</v>
      </c>
      <c r="F429" s="4" t="str">
        <f>IFERROR(__xludf.DUMMYFUNCTION("""COMPUTED_VALUE"""),"R$ 9 milhões (2018, dado histórico)")</f>
        <v>R$ 9 milhões (2018, dado histórico)</v>
      </c>
      <c r="G429" s="4">
        <f>IFERROR(__xludf.DUMMYFUNCTION("""COMPUTED_VALUE"""),48.0)</f>
        <v>48</v>
      </c>
      <c r="H429" s="31">
        <f>IFERROR(__xludf.DUMMYFUNCTION("""COMPUTED_VALUE"""),0.52)</f>
        <v>0.52</v>
      </c>
      <c r="I429" s="4" t="str">
        <f>IFERROR(__xludf.DUMMYFUNCTION("""COMPUTED_VALUE"""),"PDV não identificado (já no Lote 3) - 6 lojas Curitiba. Franquia mexicana crescimento limitado")</f>
        <v>PDV não identificado (já no Lote 3) - 6 lojas Curitiba. Franquia mexicana crescimento limitado</v>
      </c>
      <c r="K429" s="4" t="str">
        <f>IFERROR(__xludf.DUMMYFUNCTION("""COMPUTED_VALUE"""),"GRUPO LETS POKE")</f>
        <v>GRUPO LETS POKE</v>
      </c>
      <c r="L429" s="32">
        <f>IFERROR(__xludf.DUMMYFUNCTION("""COMPUTED_VALUE"""),17.0)</f>
        <v>17</v>
      </c>
      <c r="M429" s="4" t="str">
        <f>IFERROR(__xludf.DUMMYFUNCTION("""COMPUTED_VALUE"""),"Eclética Tecnologia")</f>
        <v>Eclética Tecnologia</v>
      </c>
      <c r="N429" s="33">
        <f>IFERROR(__xludf.DUMMYFUNCTION("""COMPUTED_VALUE"""),0.7894736842105263)</f>
        <v>0.7894736842</v>
      </c>
      <c r="O429" s="4" t="str">
        <f>IFERROR(__xludf.DUMMYFUNCTION("""COMPUTED_VALUE"""),"Eclética Tecnologia")</f>
        <v>Eclética Tecnologia</v>
      </c>
      <c r="P429" s="33">
        <f>IFERROR(__xludf.DUMMYFUNCTION("""COMPUTED_VALUE"""),0.6842105263157895)</f>
        <v>0.6842105263</v>
      </c>
      <c r="Q429" s="4" t="str">
        <f>IFERROR(__xludf.DUMMYFUNCTION("""COMPUTED_VALUE"""),"Eclética Tecnologia")</f>
        <v>Eclética Tecnologia</v>
      </c>
      <c r="R429" s="33">
        <f>IFERROR(__xludf.DUMMYFUNCTION("""COMPUTED_VALUE"""),0.5789473684210527)</f>
        <v>0.5789473684</v>
      </c>
      <c r="S429" s="4" t="str">
        <f>IFERROR(__xludf.DUMMYFUNCTION("""COMPUTED_VALUE"""),"Eclética Tecnologia")</f>
        <v>Eclética Tecnologia</v>
      </c>
      <c r="T429" s="33">
        <f>IFERROR(__xludf.DUMMYFUNCTION("""COMPUTED_VALUE"""),0.631578947368421)</f>
        <v>0.6315789474</v>
      </c>
      <c r="U429" s="4" t="str">
        <f>IFERROR(__xludf.DUMMYFUNCTION("""COMPUTED_VALUE"""),"Eclética Tecnologia")</f>
        <v>Eclética Tecnologia</v>
      </c>
      <c r="V429" s="33">
        <f>IFERROR(__xludf.DUMMYFUNCTION("""COMPUTED_VALUE"""),0.47368421052631576)</f>
        <v>0.4736842105</v>
      </c>
      <c r="W429" s="4" t="str">
        <f>IFERROR(__xludf.DUMMYFUNCTION("""COMPUTED_VALUE"""),"Eclética Tecnologia")</f>
        <v>Eclética Tecnologia</v>
      </c>
      <c r="X429" s="33">
        <f>IFERROR(__xludf.DUMMYFUNCTION("""COMPUTED_VALUE"""),0.631578947368421)</f>
        <v>0.6315789474</v>
      </c>
    </row>
    <row r="430">
      <c r="A430" s="4" t="str">
        <f>IFERROR(__xludf.DUMMYFUNCTION("""COMPUTED_VALUE"""),"Ofner")</f>
        <v>Ofner</v>
      </c>
      <c r="B430" s="4" t="str">
        <f>IFERROR(__xludf.DUMMYFUNCTION("""COMPUTED_VALUE"""),"26-30")</f>
        <v>26-30</v>
      </c>
      <c r="C430" s="4" t="str">
        <f>IFERROR(__xludf.DUMMYFUNCTION("""COMPUTED_VALUE"""),"R$ 35-65")</f>
        <v>R$ 35-65</v>
      </c>
      <c r="D430" s="4" t="str">
        <f>IFERROR(__xludf.DUMMYFUNCTION("""COMPUTED_VALUE"""),"Retail - Confeitaria Premium")</f>
        <v>Retail - Confeitaria Premium</v>
      </c>
      <c r="E430" s="4" t="str">
        <f>IFERROR(__xludf.DUMMYFUNCTION("""COMPUTED_VALUE"""),"São Paulo (26-30 lojas próprias)")</f>
        <v>São Paulo (26-30 lojas próprias)</v>
      </c>
      <c r="F430" s="4" t="str">
        <f>IFERROR(__xludf.DUMMYFUNCTION("""COMPUTED_VALUE"""),"Necessário Discovery")</f>
        <v>Necessário Discovery</v>
      </c>
      <c r="G430" s="4">
        <f>IFERROR(__xludf.DUMMYFUNCTION("""COMPUTED_VALUE"""),62.0)</f>
        <v>62</v>
      </c>
      <c r="H430" s="31">
        <f>IFERROR(__xludf.DUMMYFUNCTION("""COMPUTED_VALUE"""),0.65)</f>
        <v>0.65</v>
      </c>
      <c r="I430" s="4" t="str">
        <f>IFERROR(__xludf.DUMMYFUNCTION("""COMPUTED_VALUE"""),"PDV não identificado (já no Lote 2) - Confeitaria premium 26-30 lojas próprias SP. Expansão 2026")</f>
        <v>PDV não identificado (já no Lote 2) - Confeitaria premium 26-30 lojas próprias SP. Expansão 2026</v>
      </c>
      <c r="K430" s="4" t="str">
        <f>IFERROR(__xludf.DUMMYFUNCTION("""COMPUTED_VALUE"""),"FAST ACAI")</f>
        <v>FAST ACAI</v>
      </c>
      <c r="L430" s="32">
        <f>IFERROR(__xludf.DUMMYFUNCTION("""COMPUTED_VALUE"""),17.0)</f>
        <v>17</v>
      </c>
      <c r="M430" s="4" t="str">
        <f>IFERROR(__xludf.DUMMYFUNCTION("""COMPUTED_VALUE"""),"Stone Co.")</f>
        <v>Stone Co.</v>
      </c>
      <c r="N430" s="33">
        <f>IFERROR(__xludf.DUMMYFUNCTION("""COMPUTED_VALUE"""),0.7647058823529411)</f>
        <v>0.7647058824</v>
      </c>
      <c r="O430" s="4" t="str">
        <f>IFERROR(__xludf.DUMMYFUNCTION("""COMPUTED_VALUE"""),"Stone Co.")</f>
        <v>Stone Co.</v>
      </c>
      <c r="P430" s="33">
        <f>IFERROR(__xludf.DUMMYFUNCTION("""COMPUTED_VALUE"""),0.8235294117647058)</f>
        <v>0.8235294118</v>
      </c>
      <c r="Q430" s="4" t="str">
        <f>IFERROR(__xludf.DUMMYFUNCTION("""COMPUTED_VALUE"""),"Stone Co.")</f>
        <v>Stone Co.</v>
      </c>
      <c r="R430" s="33">
        <f>IFERROR(__xludf.DUMMYFUNCTION("""COMPUTED_VALUE"""),0.7647058823529411)</f>
        <v>0.7647058824</v>
      </c>
      <c r="S430" s="4" t="str">
        <f>IFERROR(__xludf.DUMMYFUNCTION("""COMPUTED_VALUE"""),"Stone Co.")</f>
        <v>Stone Co.</v>
      </c>
      <c r="T430" s="33">
        <f>IFERROR(__xludf.DUMMYFUNCTION("""COMPUTED_VALUE"""),0.7647058823529411)</f>
        <v>0.7647058824</v>
      </c>
      <c r="U430" s="4" t="str">
        <f>IFERROR(__xludf.DUMMYFUNCTION("""COMPUTED_VALUE"""),"Stone Co.")</f>
        <v>Stone Co.</v>
      </c>
      <c r="V430" s="33">
        <f>IFERROR(__xludf.DUMMYFUNCTION("""COMPUTED_VALUE"""),0.6470588235294118)</f>
        <v>0.6470588235</v>
      </c>
      <c r="W430" s="4" t="str">
        <f>IFERROR(__xludf.DUMMYFUNCTION("""COMPUTED_VALUE"""),"Stone Co.")</f>
        <v>Stone Co.</v>
      </c>
      <c r="X430" s="33">
        <f>IFERROR(__xludf.DUMMYFUNCTION("""COMPUTED_VALUE"""),0.6470588235294118)</f>
        <v>0.6470588235</v>
      </c>
    </row>
    <row r="431">
      <c r="A431" s="4" t="str">
        <f>IFERROR(__xludf.DUMMYFUNCTION("""COMPUTED_VALUE"""),"Companhia Do Churrasco")</f>
        <v>Companhia Do Churrasco</v>
      </c>
      <c r="B431" s="4" t="str">
        <f>IFERROR(__xludf.DUMMYFUNCTION("""COMPUTED_VALUE"""),"31-39")</f>
        <v>31-39</v>
      </c>
      <c r="C431" s="4" t="str">
        <f>IFERROR(__xludf.DUMMYFUNCTION("""COMPUTED_VALUE"""),"R$ 35-60")</f>
        <v>R$ 35-60</v>
      </c>
      <c r="D431" s="4" t="str">
        <f>IFERROR(__xludf.DUMMYFUNCTION("""COMPUTED_VALUE"""),"QSR - Churrascaria Shopping (Franquia)")</f>
        <v>QSR - Churrascaria Shopping (Franquia)</v>
      </c>
      <c r="E431" s="4" t="str">
        <f>IFERROR(__xludf.DUMMYFUNCTION("""COMPUTED_VALUE"""),"Nacional (31-39 lojas: Nordeste, Norte, Centro-Oeste, SP)")</f>
        <v>Nacional (31-39 lojas: Nordeste, Norte, Centro-Oeste, SP)</v>
      </c>
      <c r="F431" s="4" t="str">
        <f>IFERROR(__xludf.DUMMYFUNCTION("""COMPUTED_VALUE"""),"R$ 200k médio/loja/mês (total estimado R$ 6-8M ano)")</f>
        <v>R$ 200k médio/loja/mês (total estimado R$ 6-8M ano)</v>
      </c>
      <c r="G431" s="4">
        <f>IFERROR(__xludf.DUMMYFUNCTION("""COMPUTED_VALUE"""),70.0)</f>
        <v>70</v>
      </c>
      <c r="H431" s="31">
        <f>IFERROR(__xludf.DUMMYFUNCTION("""COMPUTED_VALUE"""),0.73)</f>
        <v>0.73</v>
      </c>
      <c r="I431" s="4" t="str">
        <f>IFERROR(__xludf.DUMMYFUNCTION("""COMPUTED_VALUE"""),"PDV não identificado - ALTA ADERÊNCIA: 31-39 lojas franquia shoppings (Nordeste/Norte/CO/SP). R$ 6-8M ano estimado. Churrascaria fast-casual à quilo. 3S: padronização franquias, buffet, gestão multi-loja, fiscal")</f>
        <v>PDV não identificado - ALTA ADERÊNCIA: 31-39 lojas franquia shoppings (Nordeste/Norte/CO/SP). R$ 6-8M ano estimado. Churrascaria fast-casual à quilo. 3S: padronização franquias, buffet, gestão multi-loja, fiscal</v>
      </c>
      <c r="K431" s="4" t="str">
        <f>IFERROR(__xludf.DUMMYFUNCTION("""COMPUTED_VALUE"""),"GRUPO DUNKIN DONUTS")</f>
        <v>GRUPO DUNKIN DONUTS</v>
      </c>
      <c r="L431" s="32">
        <f>IFERROR(__xludf.DUMMYFUNCTION("""COMPUTED_VALUE"""),17.0)</f>
        <v>17</v>
      </c>
      <c r="M431" s="4" t="str">
        <f>IFERROR(__xludf.DUMMYFUNCTION("""COMPUTED_VALUE"""),"Teknisa Service Ltda")</f>
        <v>Teknisa Service Ltda</v>
      </c>
      <c r="N431" s="33">
        <f>IFERROR(__xludf.DUMMYFUNCTION("""COMPUTED_VALUE"""),0.9411764705882353)</f>
        <v>0.9411764706</v>
      </c>
      <c r="O431" s="4" t="str">
        <f>IFERROR(__xludf.DUMMYFUNCTION("""COMPUTED_VALUE"""),"Teknisa Service Ltda")</f>
        <v>Teknisa Service Ltda</v>
      </c>
      <c r="P431" s="33">
        <f>IFERROR(__xludf.DUMMYFUNCTION("""COMPUTED_VALUE"""),0.6470588235294118)</f>
        <v>0.6470588235</v>
      </c>
      <c r="Q431" s="4" t="str">
        <f>IFERROR(__xludf.DUMMYFUNCTION("""COMPUTED_VALUE"""),"Teknisa Service Ltda")</f>
        <v>Teknisa Service Ltda</v>
      </c>
      <c r="R431" s="33">
        <f>IFERROR(__xludf.DUMMYFUNCTION("""COMPUTED_VALUE"""),0.7647058823529411)</f>
        <v>0.7647058824</v>
      </c>
      <c r="S431" s="4" t="str">
        <f>IFERROR(__xludf.DUMMYFUNCTION("""COMPUTED_VALUE"""),"Teknisa Service Ltda")</f>
        <v>Teknisa Service Ltda</v>
      </c>
      <c r="T431" s="33">
        <f>IFERROR(__xludf.DUMMYFUNCTION("""COMPUTED_VALUE"""),0.7647058823529411)</f>
        <v>0.7647058824</v>
      </c>
      <c r="U431" s="4" t="str">
        <f>IFERROR(__xludf.DUMMYFUNCTION("""COMPUTED_VALUE"""),"Teknisa Service Ltda")</f>
        <v>Teknisa Service Ltda</v>
      </c>
      <c r="V431" s="33">
        <f>IFERROR(__xludf.DUMMYFUNCTION("""COMPUTED_VALUE"""),0.8235294117647058)</f>
        <v>0.8235294118</v>
      </c>
      <c r="W431" s="4" t="str">
        <f>IFERROR(__xludf.DUMMYFUNCTION("""COMPUTED_VALUE"""),"null")</f>
        <v>null</v>
      </c>
      <c r="X431" s="33">
        <f>IFERROR(__xludf.DUMMYFUNCTION("""COMPUTED_VALUE"""),0.5882352941176471)</f>
        <v>0.5882352941</v>
      </c>
    </row>
    <row r="432">
      <c r="A432" s="4" t="str">
        <f>IFERROR(__xludf.DUMMYFUNCTION("""COMPUTED_VALUE"""),"Pobre Juan")</f>
        <v>Pobre Juan</v>
      </c>
      <c r="B432" s="4">
        <f>IFERROR(__xludf.DUMMYFUNCTION("""COMPUTED_VALUE"""),19.0)</f>
        <v>19</v>
      </c>
      <c r="C432" s="4" t="str">
        <f>IFERROR(__xludf.DUMMYFUNCTION("""COMPUTED_VALUE"""),"R$ 120-200")</f>
        <v>R$ 120-200</v>
      </c>
      <c r="D432" s="4" t="str">
        <f>IFERROR(__xludf.DUMMYFUNCTION("""COMPUTED_VALUE"""),"Fine Dining - Churrascaria Argentina")</f>
        <v>Fine Dining - Churrascaria Argentina</v>
      </c>
      <c r="E432" s="4" t="str">
        <f>IFERROR(__xludf.DUMMYFUNCTION("""COMPUTED_VALUE"""),"Nacional (19 unidades)")</f>
        <v>Nacional (19 unidades)</v>
      </c>
      <c r="F432" s="4" t="str">
        <f>IFERROR(__xludf.DUMMYFUNCTION("""COMPUTED_VALUE"""),"Necessário Discovery")</f>
        <v>Necessário Discovery</v>
      </c>
      <c r="G432" s="4">
        <f>IFERROR(__xludf.DUMMYFUNCTION("""COMPUTED_VALUE"""),75.0)</f>
        <v>75</v>
      </c>
      <c r="H432" s="31">
        <f>IFERROR(__xludf.DUMMYFUNCTION("""COMPUTED_VALUE"""),0.78)</f>
        <v>0.78</v>
      </c>
      <c r="I432" s="4" t="str">
        <f>IFERROR(__xludf.DUMMYFUNCTION("""COMPUTED_VALUE"""),"PDV não identificado (já no Lote 1) - Churrascaria premium 19 lojas Guia Michelin. ALTA aderência 3S")</f>
        <v>PDV não identificado (já no Lote 1) - Churrascaria premium 19 lojas Guia Michelin. ALTA aderência 3S</v>
      </c>
      <c r="K432" s="4" t="str">
        <f>IFERROR(__xludf.DUMMYFUNCTION("""COMPUTED_VALUE"""),"GRUPO NOSSO GRANEL")</f>
        <v>GRUPO NOSSO GRANEL</v>
      </c>
      <c r="L432" s="32">
        <f>IFERROR(__xludf.DUMMYFUNCTION("""COMPUTED_VALUE"""),17.0)</f>
        <v>17</v>
      </c>
      <c r="M432" s="4" t="str">
        <f>IFERROR(__xludf.DUMMYFUNCTION("""COMPUTED_VALUE"""),"Syclus")</f>
        <v>Syclus</v>
      </c>
      <c r="N432" s="33">
        <f>IFERROR(__xludf.DUMMYFUNCTION("""COMPUTED_VALUE"""),0.6470588235294118)</f>
        <v>0.6470588235</v>
      </c>
      <c r="O432" s="4" t="str">
        <f>IFERROR(__xludf.DUMMYFUNCTION("""COMPUTED_VALUE"""),"Syclus")</f>
        <v>Syclus</v>
      </c>
      <c r="P432" s="33">
        <f>IFERROR(__xludf.DUMMYFUNCTION("""COMPUTED_VALUE"""),0.5882352941176471)</f>
        <v>0.5882352941</v>
      </c>
      <c r="Q432" s="4" t="str">
        <f>IFERROR(__xludf.DUMMYFUNCTION("""COMPUTED_VALUE"""),"Syclus")</f>
        <v>Syclus</v>
      </c>
      <c r="R432" s="33">
        <f>IFERROR(__xludf.DUMMYFUNCTION("""COMPUTED_VALUE"""),0.7058823529411765)</f>
        <v>0.7058823529</v>
      </c>
      <c r="S432" s="4" t="str">
        <f>IFERROR(__xludf.DUMMYFUNCTION("""COMPUTED_VALUE"""),"Syclus")</f>
        <v>Syclus</v>
      </c>
      <c r="T432" s="33">
        <f>IFERROR(__xludf.DUMMYFUNCTION("""COMPUTED_VALUE"""),0.5294117647058824)</f>
        <v>0.5294117647</v>
      </c>
      <c r="U432" s="4" t="str">
        <f>IFERROR(__xludf.DUMMYFUNCTION("""COMPUTED_VALUE"""),"Syclus")</f>
        <v>Syclus</v>
      </c>
      <c r="V432" s="33">
        <f>IFERROR(__xludf.DUMMYFUNCTION("""COMPUTED_VALUE"""),0.7647058823529411)</f>
        <v>0.7647058824</v>
      </c>
      <c r="W432" s="4" t="str">
        <f>IFERROR(__xludf.DUMMYFUNCTION("""COMPUTED_VALUE"""),"Syclus")</f>
        <v>Syclus</v>
      </c>
      <c r="X432" s="33">
        <f>IFERROR(__xludf.DUMMYFUNCTION("""COMPUTED_VALUE"""),0.7647058823529411)</f>
        <v>0.7647058824</v>
      </c>
    </row>
    <row r="433">
      <c r="A433" s="4" t="str">
        <f>IFERROR(__xludf.DUMMYFUNCTION("""COMPUTED_VALUE"""),"AppleBee's")</f>
        <v>AppleBee's</v>
      </c>
      <c r="B433" s="34">
        <f>IFERROR(__xludf.DUMMYFUNCTION("""COMPUTED_VALUE"""),46208.0)</f>
        <v>46208</v>
      </c>
      <c r="C433" s="4" t="str">
        <f>IFERROR(__xludf.DUMMYFUNCTION("""COMPUTED_VALUE"""),"R$ 60-110")</f>
        <v>R$ 60-110</v>
      </c>
      <c r="D433" s="4" t="str">
        <f>IFERROR(__xludf.DUMMYFUNCTION("""COMPUTED_VALUE"""),"Casual Dining - Americana")</f>
        <v>Casual Dining - Americana</v>
      </c>
      <c r="E433" s="4" t="str">
        <f>IFERROR(__xludf.DUMMYFUNCTION("""COMPUTED_VALUE"""),"Nacional (5-7 lojas: SP, MG, RJ, RS)")</f>
        <v>Nacional (5-7 lojas: SP, MG, RJ, RS)</v>
      </c>
      <c r="F433" s="4" t="str">
        <f>IFERROR(__xludf.DUMMYFUNCTION("""COMPUTED_VALUE"""),"R$ 45 milhões (2009, dado histórico)")</f>
        <v>R$ 45 milhões (2009, dado histórico)</v>
      </c>
      <c r="G433" s="4">
        <f>IFERROR(__xludf.DUMMYFUNCTION("""COMPUTED_VALUE"""),55.0)</f>
        <v>55</v>
      </c>
      <c r="H433" s="31">
        <f>IFERROR(__xludf.DUMMYFUNCTION("""COMPUTED_VALUE"""),0.58)</f>
        <v>0.58</v>
      </c>
      <c r="I433" s="4" t="str">
        <f>IFERROR(__xludf.DUMMYFUNCTION("""COMPUTED_VALUE"""),"PDV não identificado - 5-7 lojas nacionais (SP, MG, RJ, RS). Casual dining americana. Histórico expansão 2004-2012. 3S: PDV Mobile, comandas, delivery. Aderência média por operação reduzida vs. pico")</f>
        <v>PDV não identificado - 5-7 lojas nacionais (SP, MG, RJ, RS). Casual dining americana. Histórico expansão 2004-2012. 3S: PDV Mobile, comandas, delivery. Aderência média por operação reduzida vs. pico</v>
      </c>
      <c r="K433" s="4" t="str">
        <f>IFERROR(__xludf.DUMMYFUNCTION("""COMPUTED_VALUE"""),"SUPER LAGOA - CONTA GRUPO")</f>
        <v>SUPER LAGOA - CONTA GRUPO</v>
      </c>
      <c r="L433" s="32">
        <f>IFERROR(__xludf.DUMMYFUNCTION("""COMPUTED_VALUE"""),17.0)</f>
        <v>17</v>
      </c>
      <c r="M433" s="4" t="str">
        <f>IFERROR(__xludf.DUMMYFUNCTION("""COMPUTED_VALUE"""),"N/A (Not found)")</f>
        <v>N/A (Not found)</v>
      </c>
      <c r="N433" s="33">
        <f>IFERROR(__xludf.DUMMYFUNCTION("""COMPUTED_VALUE"""),0.8421052631578947)</f>
        <v>0.8421052632</v>
      </c>
      <c r="O433" s="4" t="str">
        <f>IFERROR(__xludf.DUMMYFUNCTION("""COMPUTED_VALUE"""),"N/A (Not found)")</f>
        <v>N/A (Not found)</v>
      </c>
      <c r="P433" s="33">
        <f>IFERROR(__xludf.DUMMYFUNCTION("""COMPUTED_VALUE"""),0.8947368421052632)</f>
        <v>0.8947368421</v>
      </c>
      <c r="Q433" s="4" t="str">
        <f>IFERROR(__xludf.DUMMYFUNCTION("""COMPUTED_VALUE"""),"N/A (Not found)")</f>
        <v>N/A (Not found)</v>
      </c>
      <c r="R433" s="33">
        <f>IFERROR(__xludf.DUMMYFUNCTION("""COMPUTED_VALUE"""),0.9473684210526315)</f>
        <v>0.9473684211</v>
      </c>
      <c r="S433" s="4" t="str">
        <f>IFERROR(__xludf.DUMMYFUNCTION("""COMPUTED_VALUE"""),"N/A (Not found)")</f>
        <v>N/A (Not found)</v>
      </c>
      <c r="T433" s="33">
        <f>IFERROR(__xludf.DUMMYFUNCTION("""COMPUTED_VALUE"""),0.8947368421052632)</f>
        <v>0.8947368421</v>
      </c>
      <c r="U433" s="4" t="str">
        <f>IFERROR(__xludf.DUMMYFUNCTION("""COMPUTED_VALUE"""),"N/A (Not found)")</f>
        <v>N/A (Not found)</v>
      </c>
      <c r="V433" s="33">
        <f>IFERROR(__xludf.DUMMYFUNCTION("""COMPUTED_VALUE"""),0.9473684210526315)</f>
        <v>0.9473684211</v>
      </c>
      <c r="W433" s="4" t="str">
        <f>IFERROR(__xludf.DUMMYFUNCTION("""COMPUTED_VALUE"""),"N/A (Not found)")</f>
        <v>N/A (Not found)</v>
      </c>
      <c r="X433" s="33">
        <f>IFERROR(__xludf.DUMMYFUNCTION("""COMPUTED_VALUE"""),0.9473684210526315)</f>
        <v>0.9473684211</v>
      </c>
    </row>
    <row r="434">
      <c r="A434" s="4" t="str">
        <f>IFERROR(__xludf.DUMMYFUNCTION("""COMPUTED_VALUE"""),"1900 Pizzeria")</f>
        <v>1900 Pizzeria</v>
      </c>
      <c r="B434" s="4" t="str">
        <f>IFERROR(__xludf.DUMMYFUNCTION("""COMPUTED_VALUE"""),"13-14")</f>
        <v>13-14</v>
      </c>
      <c r="C434" s="4" t="str">
        <f>IFERROR(__xludf.DUMMYFUNCTION("""COMPUTED_VALUE"""),"R$ 60-100")</f>
        <v>R$ 60-100</v>
      </c>
      <c r="D434" s="4" t="str">
        <f>IFERROR(__xludf.DUMMYFUNCTION("""COMPUTED_VALUE"""),"Casual Dining - Pizzaria Premium")</f>
        <v>Casual Dining - Pizzaria Premium</v>
      </c>
      <c r="E434" s="4" t="str">
        <f>IFERROR(__xludf.DUMMYFUNCTION("""COMPUTED_VALUE"""),"São Paulo/SP (13-14 unidades)")</f>
        <v>São Paulo/SP (13-14 unidades)</v>
      </c>
      <c r="F434" s="4" t="str">
        <f>IFERROR(__xludf.DUMMYFUNCTION("""COMPUTED_VALUE"""),"Necessário Discovery")</f>
        <v>Necessário Discovery</v>
      </c>
      <c r="G434" s="4">
        <f>IFERROR(__xludf.DUMMYFUNCTION("""COMPUTED_VALUE"""),65.0)</f>
        <v>65</v>
      </c>
      <c r="H434" s="31">
        <f>IFERROR(__xludf.DUMMYFUNCTION("""COMPUTED_VALUE"""),0.68)</f>
        <v>0.68</v>
      </c>
      <c r="I434" s="4" t="str">
        <f>IFERROR(__xludf.DUMMYFUNCTION("""COMPUTED_VALUE"""),"PDV não identificado (já no Lote 2) - Pizzaria premium 13-14 lojas SP")</f>
        <v>PDV não identificado (já no Lote 2) - Pizzaria premium 13-14 lojas SP</v>
      </c>
      <c r="K434" s="4" t="str">
        <f>IFERROR(__xludf.DUMMYFUNCTION("""COMPUTED_VALUE"""),"REDE KRILL SUPERMERCADOS - CONTA PAI")</f>
        <v>REDE KRILL SUPERMERCADOS - CONTA PAI</v>
      </c>
      <c r="L434" s="32">
        <f>IFERROR(__xludf.DUMMYFUNCTION("""COMPUTED_VALUE"""),17.0)</f>
        <v>17</v>
      </c>
      <c r="M434" s="4" t="str">
        <f>IFERROR(__xludf.DUMMYFUNCTION("""COMPUTED_VALUE"""),"N/A (Not found)")</f>
        <v>N/A (Not found)</v>
      </c>
      <c r="N434" s="33">
        <f>IFERROR(__xludf.DUMMYFUNCTION("""COMPUTED_VALUE"""),1.0)</f>
        <v>1</v>
      </c>
      <c r="O434" s="4" t="str">
        <f>IFERROR(__xludf.DUMMYFUNCTION("""COMPUTED_VALUE"""),"null")</f>
        <v>null</v>
      </c>
      <c r="P434" s="33">
        <f>IFERROR(__xludf.DUMMYFUNCTION("""COMPUTED_VALUE"""),0.9411764705882353)</f>
        <v>0.9411764706</v>
      </c>
      <c r="Q434" s="4" t="str">
        <f>IFERROR(__xludf.DUMMYFUNCTION("""COMPUTED_VALUE"""),"null")</f>
        <v>null</v>
      </c>
      <c r="R434" s="33">
        <f>IFERROR(__xludf.DUMMYFUNCTION("""COMPUTED_VALUE"""),0.5882352941176471)</f>
        <v>0.5882352941</v>
      </c>
      <c r="S434" s="4" t="str">
        <f>IFERROR(__xludf.DUMMYFUNCTION("""COMPUTED_VALUE"""),"N/A (Not found)")</f>
        <v>N/A (Not found)</v>
      </c>
      <c r="T434" s="33">
        <f>IFERROR(__xludf.DUMMYFUNCTION("""COMPUTED_VALUE"""),1.0)</f>
        <v>1</v>
      </c>
      <c r="U434" s="4" t="str">
        <f>IFERROR(__xludf.DUMMYFUNCTION("""COMPUTED_VALUE"""),"N/A (Not found)")</f>
        <v>N/A (Not found)</v>
      </c>
      <c r="V434" s="33">
        <f>IFERROR(__xludf.DUMMYFUNCTION("""COMPUTED_VALUE"""),1.0)</f>
        <v>1</v>
      </c>
      <c r="W434" s="4" t="str">
        <f>IFERROR(__xludf.DUMMYFUNCTION("""COMPUTED_VALUE"""),"N/A (Not found)")</f>
        <v>N/A (Not found)</v>
      </c>
      <c r="X434" s="33">
        <f>IFERROR(__xludf.DUMMYFUNCTION("""COMPUTED_VALUE"""),1.0)</f>
        <v>1</v>
      </c>
    </row>
    <row r="435">
      <c r="A435" s="4" t="str">
        <f>IFERROR(__xludf.DUMMYFUNCTION("""COMPUTED_VALUE"""),"SB Franquias (Sal e Brasa)")</f>
        <v>SB Franquias (Sal e Brasa)</v>
      </c>
      <c r="B435" s="4">
        <f>IFERROR(__xludf.DUMMYFUNCTION("""COMPUTED_VALUE"""),44.0)</f>
        <v>44</v>
      </c>
      <c r="C435" s="4" t="str">
        <f>IFERROR(__xludf.DUMMYFUNCTION("""COMPUTED_VALUE"""),"R$ 35-60")</f>
        <v>R$ 35-60</v>
      </c>
      <c r="D435" s="4" t="str">
        <f>IFERROR(__xludf.DUMMYFUNCTION("""COMPUTED_VALUE"""),"QSR - Churrasco Fast Casual (Franquia)")</f>
        <v>QSR - Churrasco Fast Casual (Franquia)</v>
      </c>
      <c r="E435" s="4" t="str">
        <f>IFERROR(__xludf.DUMMYFUNCTION("""COMPUTED_VALUE"""),"Nacional (44 franquias: foco Nordeste/Centro-Oeste)")</f>
        <v>Nacional (44 franquias: foco Nordeste/Centro-Oeste)</v>
      </c>
      <c r="F435" s="4" t="str">
        <f>IFERROR(__xludf.DUMMYFUNCTION("""COMPUTED_VALUE"""),"R$ 210k médio/loja/mês (total estimado R$ 110M ano)")</f>
        <v>R$ 210k médio/loja/mês (total estimado R$ 110M ano)</v>
      </c>
      <c r="G435" s="4">
        <f>IFERROR(__xludf.DUMMYFUNCTION("""COMPUTED_VALUE"""),72.0)</f>
        <v>72</v>
      </c>
      <c r="H435" s="31">
        <f>IFERROR(__xludf.DUMMYFUNCTION("""COMPUTED_VALUE"""),0.75)</f>
        <v>0.75</v>
      </c>
      <c r="I435" s="4" t="str">
        <f>IFERROR(__xludf.DUMMYFUNCTION("""COMPUTED_VALUE"""),"PDV não identificado (Sal e Brasa Grill Express). ALTA ADERÊNCIA: 44 franquias (7 próprias+24 franqueadas mínimo), foco Nordeste/CO. R$ 110M ano estimado. Churrasco fast-casual shopping. Expansão 2026 interiores. 3S: padronização franquias, gestão multi-l"&amp;"oja, buffet, totens")</f>
        <v>PDV não identificado (Sal e Brasa Grill Express). ALTA ADERÊNCIA: 44 franquias (7 próprias+24 franqueadas mínimo), foco Nordeste/CO. R$ 110M ano estimado. Churrasco fast-casual shopping. Expansão 2026 interiores. 3S: padronização franquias, gestão multi-loja, buffet, totens</v>
      </c>
      <c r="K435" s="4" t="str">
        <f>IFERROR(__xludf.DUMMYFUNCTION("""COMPUTED_VALUE"""),"SIMBORA RESTAURANTE 24H - CONTA MARCA")</f>
        <v>SIMBORA RESTAURANTE 24H - CONTA MARCA</v>
      </c>
      <c r="L435" s="32">
        <f>IFERROR(__xludf.DUMMYFUNCTION("""COMPUTED_VALUE"""),17.0)</f>
        <v>17</v>
      </c>
      <c r="M435" s="4" t="str">
        <f>IFERROR(__xludf.DUMMYFUNCTION("""COMPUTED_VALUE"""),"Saipos Serviços De Software")</f>
        <v>Saipos Serviços De Software</v>
      </c>
      <c r="N435" s="33">
        <f>IFERROR(__xludf.DUMMYFUNCTION("""COMPUTED_VALUE"""),0.47058823529411764)</f>
        <v>0.4705882353</v>
      </c>
      <c r="O435" s="4" t="str">
        <f>IFERROR(__xludf.DUMMYFUNCTION("""COMPUTED_VALUE"""),"Saipos Serviços De Software")</f>
        <v>Saipos Serviços De Software</v>
      </c>
      <c r="P435" s="33">
        <f>IFERROR(__xludf.DUMMYFUNCTION("""COMPUTED_VALUE"""),0.47058823529411764)</f>
        <v>0.4705882353</v>
      </c>
      <c r="Q435" s="4" t="str">
        <f>IFERROR(__xludf.DUMMYFUNCTION("""COMPUTED_VALUE"""),"Saipos Serviços De Software")</f>
        <v>Saipos Serviços De Software</v>
      </c>
      <c r="R435" s="33">
        <f>IFERROR(__xludf.DUMMYFUNCTION("""COMPUTED_VALUE"""),0.47058823529411764)</f>
        <v>0.4705882353</v>
      </c>
      <c r="S435" s="4" t="str">
        <f>IFERROR(__xludf.DUMMYFUNCTION("""COMPUTED_VALUE"""),"Saipos Serviços De Software")</f>
        <v>Saipos Serviços De Software</v>
      </c>
      <c r="T435" s="33">
        <f>IFERROR(__xludf.DUMMYFUNCTION("""COMPUTED_VALUE"""),0.47058823529411764)</f>
        <v>0.4705882353</v>
      </c>
      <c r="U435" s="4" t="str">
        <f>IFERROR(__xludf.DUMMYFUNCTION("""COMPUTED_VALUE"""),"null")</f>
        <v>null</v>
      </c>
      <c r="V435" s="33">
        <f>IFERROR(__xludf.DUMMYFUNCTION("""COMPUTED_VALUE"""),0.5294117647058824)</f>
        <v>0.5294117647</v>
      </c>
      <c r="W435" s="4" t="str">
        <f>IFERROR(__xludf.DUMMYFUNCTION("""COMPUTED_VALUE"""),"null")</f>
        <v>null</v>
      </c>
      <c r="X435" s="33">
        <f>IFERROR(__xludf.DUMMYFUNCTION("""COMPUTED_VALUE"""),0.5294117647058824)</f>
        <v>0.5294117647</v>
      </c>
    </row>
    <row r="436">
      <c r="A436" s="4" t="str">
        <f>IFERROR(__xludf.DUMMYFUNCTION("""COMPUTED_VALUE"""),"Patroni Pizzaria")</f>
        <v>Patroni Pizzaria</v>
      </c>
      <c r="B436" s="4">
        <f>IFERROR(__xludf.DUMMYFUNCTION("""COMPUTED_VALUE"""),225.0)</f>
        <v>225</v>
      </c>
      <c r="C436" s="4" t="str">
        <f>IFERROR(__xludf.DUMMYFUNCTION("""COMPUTED_VALUE"""),"Dado não disponível publicamente - Mais de 225 unidades")</f>
        <v>Dado não disponível publicamente - Mais de 225 unidades</v>
      </c>
      <c r="D436" s="4" t="str">
        <f>IFERROR(__xludf.DUMMYFUNCTION("""COMPUTED_VALUE"""),"QSR/Table Service - Pizzaria com franquias")</f>
        <v>QSR/Table Service - Pizzaria com franquias</v>
      </c>
      <c r="E436" s="4" t="str">
        <f>IFERROR(__xludf.DUMMYFUNCTION("""COMPUTED_VALUE"""),"Brasil - Nacional (225 lojas em todos os estados)")</f>
        <v>Brasil - Nacional (225 lojas em todos os estados)</v>
      </c>
      <c r="F436" s="4" t="str">
        <f>IFERROR(__xludf.DUMMYFUNCTION("""COMPUTED_VALUE"""),"R$ 60 - R$ 120")</f>
        <v>R$ 60 - R$ 120</v>
      </c>
      <c r="G436" s="4">
        <f>IFERROR(__xludf.DUMMYFUNCTION("""COMPUTED_VALUE"""),100.0)</f>
        <v>100</v>
      </c>
      <c r="H436" s="4">
        <f>IFERROR(__xludf.DUMMYFUNCTION("""COMPUTED_VALUE"""),100.0)</f>
        <v>100</v>
      </c>
      <c r="I436" s="4" t="str">
        <f>IFERROR(__xludf.DUMMYFUNCTION("""COMPUTED_VALUE"""),"Dado não identificado publicamente - Necessário Discovery")</f>
        <v>Dado não identificado publicamente - Necessário Discovery</v>
      </c>
      <c r="K436" s="4" t="str">
        <f>IFERROR(__xludf.DUMMYFUNCTION("""COMPUTED_VALUE"""),"SUSHI EM CASA CONTA MARCA")</f>
        <v>SUSHI EM CASA CONTA MARCA</v>
      </c>
      <c r="L436" s="32">
        <f>IFERROR(__xludf.DUMMYFUNCTION("""COMPUTED_VALUE"""),17.0)</f>
        <v>17</v>
      </c>
      <c r="M436" s="4" t="str">
        <f>IFERROR(__xludf.DUMMYFUNCTION("""COMPUTED_VALUE"""),"Saipos Serviços De Software")</f>
        <v>Saipos Serviços De Software</v>
      </c>
      <c r="N436" s="33">
        <f>IFERROR(__xludf.DUMMYFUNCTION("""COMPUTED_VALUE"""),0.8235294117647058)</f>
        <v>0.8235294118</v>
      </c>
      <c r="O436" s="4" t="str">
        <f>IFERROR(__xludf.DUMMYFUNCTION("""COMPUTED_VALUE"""),"Saipos Serviços De Software")</f>
        <v>Saipos Serviços De Software</v>
      </c>
      <c r="P436" s="33">
        <f>IFERROR(__xludf.DUMMYFUNCTION("""COMPUTED_VALUE"""),0.8235294117647058)</f>
        <v>0.8235294118</v>
      </c>
      <c r="Q436" s="4" t="str">
        <f>IFERROR(__xludf.DUMMYFUNCTION("""COMPUTED_VALUE"""),"Saipos Serviços De Software")</f>
        <v>Saipos Serviços De Software</v>
      </c>
      <c r="R436" s="33">
        <f>IFERROR(__xludf.DUMMYFUNCTION("""COMPUTED_VALUE"""),0.8823529411764706)</f>
        <v>0.8823529412</v>
      </c>
      <c r="S436" s="4" t="str">
        <f>IFERROR(__xludf.DUMMYFUNCTION("""COMPUTED_VALUE"""),"Saipos Serviços De Software")</f>
        <v>Saipos Serviços De Software</v>
      </c>
      <c r="T436" s="33">
        <f>IFERROR(__xludf.DUMMYFUNCTION("""COMPUTED_VALUE"""),0.9411764705882353)</f>
        <v>0.9411764706</v>
      </c>
      <c r="U436" s="4" t="str">
        <f>IFERROR(__xludf.DUMMYFUNCTION("""COMPUTED_VALUE"""),"Saipos Serviços De Software")</f>
        <v>Saipos Serviços De Software</v>
      </c>
      <c r="V436" s="33">
        <f>IFERROR(__xludf.DUMMYFUNCTION("""COMPUTED_VALUE"""),1.0)</f>
        <v>1</v>
      </c>
      <c r="W436" s="4" t="str">
        <f>IFERROR(__xludf.DUMMYFUNCTION("""COMPUTED_VALUE"""),"Saipos Serviços De Software")</f>
        <v>Saipos Serviços De Software</v>
      </c>
      <c r="X436" s="33">
        <f>IFERROR(__xludf.DUMMYFUNCTION("""COMPUTED_VALUE"""),1.0)</f>
        <v>1</v>
      </c>
    </row>
    <row r="437">
      <c r="A437" s="4" t="str">
        <f>IFERROR(__xludf.DUMMYFUNCTION("""COMPUTED_VALUE"""),"O Açaí (Açaí Formosa)")</f>
        <v>O Açaí (Açaí Formosa)</v>
      </c>
      <c r="B437" s="4">
        <f>IFERROR(__xludf.DUMMYFUNCTION("""COMPUTED_VALUE"""),125.0)</f>
        <v>125</v>
      </c>
      <c r="C437" s="4" t="str">
        <f>IFERROR(__xludf.DUMMYFUNCTION("""COMPUTED_VALUE"""),"R$ 60 milhões (2024, 126 unidades)")</f>
        <v>R$ 60 milhões (2024, 126 unidades)</v>
      </c>
      <c r="D437" s="4" t="str">
        <f>IFERROR(__xludf.DUMMYFUNCTION("""COMPUTED_VALUE"""),"Fast Casual - Açaí com delivery e lojas físicas")</f>
        <v>Fast Casual - Açaí com delivery e lojas físicas</v>
      </c>
      <c r="E437" s="4" t="str">
        <f>IFERROR(__xludf.DUMMYFUNCTION("""COMPUTED_VALUE"""),"Brasil - SP (litoral e interior: Caraguatatuba, São Sebastião, Itanhaém); Expansão para MG e RJ em 2026")</f>
        <v>Brasil - SP (litoral e interior: Caraguatatuba, São Sebastião, Itanhaém); Expansão para MG e RJ em 2026</v>
      </c>
      <c r="F437" s="4" t="str">
        <f>IFERROR(__xludf.DUMMYFUNCTION("""COMPUTED_VALUE"""),"R$ 25 - R$ 45")</f>
        <v>R$ 25 - R$ 45</v>
      </c>
      <c r="G437" s="4">
        <f>IFERROR(__xludf.DUMMYFUNCTION("""COMPUTED_VALUE"""),95.0)</f>
        <v>95</v>
      </c>
      <c r="H437" s="4">
        <f>IFERROR(__xludf.DUMMYFUNCTION("""COMPUTED_VALUE"""),95.0)</f>
        <v>95</v>
      </c>
      <c r="I437" s="4" t="str">
        <f>IFERROR(__xludf.DUMMYFUNCTION("""COMPUTED_VALUE"""),"Dado não identificado publicamente - Necessário Discovery")</f>
        <v>Dado não identificado publicamente - Necessário Discovery</v>
      </c>
      <c r="K437" s="4" t="str">
        <f>IFERROR(__xludf.DUMMYFUNCTION("""COMPUTED_VALUE"""),"TIO ARMENIO - MAPI")</f>
        <v>TIO ARMENIO - MAPI</v>
      </c>
      <c r="L437" s="32">
        <f>IFERROR(__xludf.DUMMYFUNCTION("""COMPUTED_VALUE"""),17.0)</f>
        <v>17</v>
      </c>
      <c r="M437" s="4" t="str">
        <f>IFERROR(__xludf.DUMMYFUNCTION("""COMPUTED_VALUE"""),"Eclética Tecnologia")</f>
        <v>Eclética Tecnologia</v>
      </c>
      <c r="N437" s="33">
        <f>IFERROR(__xludf.DUMMYFUNCTION("""COMPUTED_VALUE"""),0.8823529411764706)</f>
        <v>0.8823529412</v>
      </c>
      <c r="O437" s="4" t="str">
        <f>IFERROR(__xludf.DUMMYFUNCTION("""COMPUTED_VALUE"""),"Eclética Tecnologia")</f>
        <v>Eclética Tecnologia</v>
      </c>
      <c r="P437" s="33">
        <f>IFERROR(__xludf.DUMMYFUNCTION("""COMPUTED_VALUE"""),0.9411764705882353)</f>
        <v>0.9411764706</v>
      </c>
      <c r="Q437" s="4" t="str">
        <f>IFERROR(__xludf.DUMMYFUNCTION("""COMPUTED_VALUE"""),"Eclética Tecnologia")</f>
        <v>Eclética Tecnologia</v>
      </c>
      <c r="R437" s="33">
        <f>IFERROR(__xludf.DUMMYFUNCTION("""COMPUTED_VALUE"""),0.9411764705882353)</f>
        <v>0.9411764706</v>
      </c>
      <c r="S437" s="4" t="str">
        <f>IFERROR(__xludf.DUMMYFUNCTION("""COMPUTED_VALUE"""),"Eclética Tecnologia")</f>
        <v>Eclética Tecnologia</v>
      </c>
      <c r="T437" s="33">
        <f>IFERROR(__xludf.DUMMYFUNCTION("""COMPUTED_VALUE"""),0.8823529411764706)</f>
        <v>0.8823529412</v>
      </c>
      <c r="U437" s="4" t="str">
        <f>IFERROR(__xludf.DUMMYFUNCTION("""COMPUTED_VALUE"""),"Eclética Tecnologia")</f>
        <v>Eclética Tecnologia</v>
      </c>
      <c r="V437" s="33">
        <f>IFERROR(__xludf.DUMMYFUNCTION("""COMPUTED_VALUE"""),0.9411764705882353)</f>
        <v>0.9411764706</v>
      </c>
      <c r="W437" s="4" t="str">
        <f>IFERROR(__xludf.DUMMYFUNCTION("""COMPUTED_VALUE"""),"Eclética Tecnologia")</f>
        <v>Eclética Tecnologia</v>
      </c>
      <c r="X437" s="33">
        <f>IFERROR(__xludf.DUMMYFUNCTION("""COMPUTED_VALUE"""),0.8823529411764706)</f>
        <v>0.8823529412</v>
      </c>
    </row>
    <row r="438">
      <c r="A438" s="4" t="str">
        <f>IFERROR(__xludf.DUMMYFUNCTION("""COMPUTED_VALUE"""),"Oggi Sorvetes")</f>
        <v>Oggi Sorvetes</v>
      </c>
      <c r="B438" s="11">
        <f>IFERROR(__xludf.DUMMYFUNCTION("""COMPUTED_VALUE"""),1312.0)</f>
        <v>1312</v>
      </c>
      <c r="C438" s="4" t="str">
        <f>IFERROR(__xludf.DUMMYFUNCTION("""COMPUTED_VALUE"""),"Dado não disponível publicamente - Rede com 1.312 unidades")</f>
        <v>Dado não disponível publicamente - Rede com 1.312 unidades</v>
      </c>
      <c r="D438" s="4" t="str">
        <f>IFERROR(__xludf.DUMMYFUNCTION("""COMPUTED_VALUE"""),"QSR - Sorvetes factory stores (franquias)")</f>
        <v>QSR - Sorvetes factory stores (franquias)</v>
      </c>
      <c r="E438" s="4" t="str">
        <f>IFERROR(__xludf.DUMMYFUNCTION("""COMPUTED_VALUE"""),"Brasil - 16 estados + DF (1.312 unidades); Forte presença SP, RJ, MG, PE, Nordeste")</f>
        <v>Brasil - 16 estados + DF (1.312 unidades); Forte presença SP, RJ, MG, PE, Nordeste</v>
      </c>
      <c r="F438" s="4" t="str">
        <f>IFERROR(__xludf.DUMMYFUNCTION("""COMPUTED_VALUE"""),"R$ 25 - R$ 45")</f>
        <v>R$ 25 - R$ 45</v>
      </c>
      <c r="G438" s="4">
        <f>IFERROR(__xludf.DUMMYFUNCTION("""COMPUTED_VALUE"""),95.0)</f>
        <v>95</v>
      </c>
      <c r="H438" s="4">
        <f>IFERROR(__xludf.DUMMYFUNCTION("""COMPUTED_VALUE"""),100.0)</f>
        <v>100</v>
      </c>
      <c r="I438" s="4" t="str">
        <f>IFERROR(__xludf.DUMMYFUNCTION("""COMPUTED_VALUE"""),"Dado não identificado publicamente - Necessário Discovery")</f>
        <v>Dado não identificado publicamente - Necessário Discovery</v>
      </c>
      <c r="K438" s="4" t="str">
        <f>IFERROR(__xludf.DUMMYFUNCTION("""COMPUTED_VALUE"""),"TOCCO BURGER - CONTA GRUPO")</f>
        <v>TOCCO BURGER - CONTA GRUPO</v>
      </c>
      <c r="L438" s="32">
        <f>IFERROR(__xludf.DUMMYFUNCTION("""COMPUTED_VALUE"""),17.0)</f>
        <v>17</v>
      </c>
      <c r="M438" s="4" t="str">
        <f>IFERROR(__xludf.DUMMYFUNCTION("""COMPUTED_VALUE"""),"Eclética Tecnologia")</f>
        <v>Eclética Tecnologia</v>
      </c>
      <c r="N438" s="33">
        <f>IFERROR(__xludf.DUMMYFUNCTION("""COMPUTED_VALUE"""),0.8823529411764706)</f>
        <v>0.8823529412</v>
      </c>
      <c r="O438" s="4" t="str">
        <f>IFERROR(__xludf.DUMMYFUNCTION("""COMPUTED_VALUE"""),"Eclética Tecnologia")</f>
        <v>Eclética Tecnologia</v>
      </c>
      <c r="P438" s="33">
        <f>IFERROR(__xludf.DUMMYFUNCTION("""COMPUTED_VALUE"""),0.7058823529411765)</f>
        <v>0.7058823529</v>
      </c>
      <c r="Q438" s="4" t="str">
        <f>IFERROR(__xludf.DUMMYFUNCTION("""COMPUTED_VALUE"""),"Eclética Tecnologia")</f>
        <v>Eclética Tecnologia</v>
      </c>
      <c r="R438" s="33">
        <f>IFERROR(__xludf.DUMMYFUNCTION("""COMPUTED_VALUE"""),0.7058823529411765)</f>
        <v>0.7058823529</v>
      </c>
      <c r="S438" s="4" t="str">
        <f>IFERROR(__xludf.DUMMYFUNCTION("""COMPUTED_VALUE"""),"Eclética Tecnologia")</f>
        <v>Eclética Tecnologia</v>
      </c>
      <c r="T438" s="33">
        <f>IFERROR(__xludf.DUMMYFUNCTION("""COMPUTED_VALUE"""),0.7058823529411765)</f>
        <v>0.7058823529</v>
      </c>
      <c r="U438" s="4" t="str">
        <f>IFERROR(__xludf.DUMMYFUNCTION("""COMPUTED_VALUE"""),"Eclética Tecnologia")</f>
        <v>Eclética Tecnologia</v>
      </c>
      <c r="V438" s="33">
        <f>IFERROR(__xludf.DUMMYFUNCTION("""COMPUTED_VALUE"""),0.7058823529411765)</f>
        <v>0.7058823529</v>
      </c>
      <c r="W438" s="4" t="str">
        <f>IFERROR(__xludf.DUMMYFUNCTION("""COMPUTED_VALUE"""),"Eclética Tecnologia")</f>
        <v>Eclética Tecnologia</v>
      </c>
      <c r="X438" s="33">
        <f>IFERROR(__xludf.DUMMYFUNCTION("""COMPUTED_VALUE"""),0.7058823529411765)</f>
        <v>0.7058823529</v>
      </c>
    </row>
    <row r="439">
      <c r="A439" s="4" t="str">
        <f>IFERROR(__xludf.DUMMYFUNCTION("""COMPUTED_VALUE"""),"Nathan's Famous Brasil")</f>
        <v>Nathan's Famous Brasil</v>
      </c>
      <c r="B439" s="4" t="str">
        <f>IFERROR(__xludf.DUMMYFUNCTION("""COMPUTED_VALUE"""),"50+")</f>
        <v>50+</v>
      </c>
      <c r="C439" s="4" t="str">
        <f>IFERROR(__xludf.DUMMYFUNCTION("""COMPUTED_VALUE"""),"Dado não disponível publicamente")</f>
        <v>Dado não disponível publicamente</v>
      </c>
      <c r="D439" s="4" t="str">
        <f>IFERROR(__xludf.DUMMYFUNCTION("""COMPUTED_VALUE"""),"QSR/Fast Casual - Hot dog americano (lojas próprias + store-in-store AmPm + franquias)")</f>
        <v>QSR/Fast Casual - Hot dog americano (lojas próprias + store-in-store AmPm + franquias)</v>
      </c>
      <c r="E439" s="4" t="str">
        <f>IFERROR(__xludf.DUMMYFUNCTION("""COMPUTED_VALUE"""),"Brasil - SP (maior concentração), BH, RJ; Expansão 2025-2026 para Belém e Porto Alegre")</f>
        <v>Brasil - SP (maior concentração), BH, RJ; Expansão 2025-2026 para Belém e Porto Alegre</v>
      </c>
      <c r="F439" s="4" t="str">
        <f>IFERROR(__xludf.DUMMYFUNCTION("""COMPUTED_VALUE"""),"R$ 30 - R$ 55")</f>
        <v>R$ 30 - R$ 55</v>
      </c>
      <c r="G439" s="4">
        <f>IFERROR(__xludf.DUMMYFUNCTION("""COMPUTED_VALUE"""),95.0)</f>
        <v>95</v>
      </c>
      <c r="H439" s="4">
        <f>IFERROR(__xludf.DUMMYFUNCTION("""COMPUTED_VALUE"""),95.0)</f>
        <v>95</v>
      </c>
      <c r="I439" s="4" t="str">
        <f>IFERROR(__xludf.DUMMYFUNCTION("""COMPUTED_VALUE"""),"Dado não identificado publicamente - Necessário Discovery")</f>
        <v>Dado não identificado publicamente - Necessário Discovery</v>
      </c>
      <c r="K439" s="4" t="str">
        <f>IFERROR(__xludf.DUMMYFUNCTION("""COMPUTED_VALUE"""),"USINA BURGER RJ")</f>
        <v>USINA BURGER RJ</v>
      </c>
      <c r="L439" s="32">
        <f>IFERROR(__xludf.DUMMYFUNCTION("""COMPUTED_VALUE"""),17.0)</f>
        <v>17</v>
      </c>
      <c r="M439" s="4" t="str">
        <f>IFERROR(__xludf.DUMMYFUNCTION("""COMPUTED_VALUE"""),"Saipos Serviços De Software")</f>
        <v>Saipos Serviços De Software</v>
      </c>
      <c r="N439" s="33">
        <f>IFERROR(__xludf.DUMMYFUNCTION("""COMPUTED_VALUE"""),1.0)</f>
        <v>1</v>
      </c>
      <c r="O439" s="4" t="str">
        <f>IFERROR(__xludf.DUMMYFUNCTION("""COMPUTED_VALUE"""),"Saipos Serviços De Software")</f>
        <v>Saipos Serviços De Software</v>
      </c>
      <c r="P439" s="33">
        <f>IFERROR(__xludf.DUMMYFUNCTION("""COMPUTED_VALUE"""),0.5882352941176471)</f>
        <v>0.5882352941</v>
      </c>
      <c r="Q439" s="4" t="str">
        <f>IFERROR(__xludf.DUMMYFUNCTION("""COMPUTED_VALUE"""),"Saipos Serviços De Software")</f>
        <v>Saipos Serviços De Software</v>
      </c>
      <c r="R439" s="33">
        <f>IFERROR(__xludf.DUMMYFUNCTION("""COMPUTED_VALUE"""),0.5882352941176471)</f>
        <v>0.5882352941</v>
      </c>
      <c r="S439" s="4" t="str">
        <f>IFERROR(__xludf.DUMMYFUNCTION("""COMPUTED_VALUE"""),"Saipos Serviços De Software")</f>
        <v>Saipos Serviços De Software</v>
      </c>
      <c r="T439" s="33">
        <f>IFERROR(__xludf.DUMMYFUNCTION("""COMPUTED_VALUE"""),0.5882352941176471)</f>
        <v>0.5882352941</v>
      </c>
      <c r="U439" s="4" t="str">
        <f>IFERROR(__xludf.DUMMYFUNCTION("""COMPUTED_VALUE"""),"Saipos Serviços De Software")</f>
        <v>Saipos Serviços De Software</v>
      </c>
      <c r="V439" s="33">
        <f>IFERROR(__xludf.DUMMYFUNCTION("""COMPUTED_VALUE"""),0.5882352941176471)</f>
        <v>0.5882352941</v>
      </c>
      <c r="W439" s="4" t="str">
        <f>IFERROR(__xludf.DUMMYFUNCTION("""COMPUTED_VALUE"""),"Saipos Serviços De Software")</f>
        <v>Saipos Serviços De Software</v>
      </c>
      <c r="X439" s="33">
        <f>IFERROR(__xludf.DUMMYFUNCTION("""COMPUTED_VALUE"""),0.5882352941176471)</f>
        <v>0.5882352941</v>
      </c>
    </row>
    <row r="440">
      <c r="A440" s="4" t="str">
        <f>IFERROR(__xludf.DUMMYFUNCTION("""COMPUTED_VALUE"""),"Parmê")</f>
        <v>Parmê</v>
      </c>
      <c r="B440" s="4" t="str">
        <f>IFERROR(__xludf.DUMMYFUNCTION("""COMPUTED_VALUE"""),"60+")</f>
        <v>60+</v>
      </c>
      <c r="C440" s="4" t="str">
        <f>IFERROR(__xludf.DUMMYFUNCTION("""COMPUTED_VALUE"""),"R$ 200k/mês por unidade (média)")</f>
        <v>R$ 200k/mês por unidade (média)</v>
      </c>
      <c r="D440" s="4" t="str">
        <f>IFERROR(__xludf.DUMMYFUNCTION("""COMPUTED_VALUE"""),"Table Service/Delivery - Pizzaria tradicional carioca")</f>
        <v>Table Service/Delivery - Pizzaria tradicional carioca</v>
      </c>
      <c r="E440" s="4" t="str">
        <f>IFERROR(__xludf.DUMMYFUNCTION("""COMPUTED_VALUE"""),"Brasil - Rio de Janeiro/RJ (60+ unidades em shoppings e ruas)")</f>
        <v>Brasil - Rio de Janeiro/RJ (60+ unidades em shoppings e ruas)</v>
      </c>
      <c r="F440" s="4" t="str">
        <f>IFERROR(__xludf.DUMMYFUNCTION("""COMPUTED_VALUE"""),"R$ 60 - R$ 120")</f>
        <v>R$ 60 - R$ 120</v>
      </c>
      <c r="G440" s="4">
        <f>IFERROR(__xludf.DUMMYFUNCTION("""COMPUTED_VALUE"""),90.0)</f>
        <v>90</v>
      </c>
      <c r="H440" s="4">
        <f>IFERROR(__xludf.DUMMYFUNCTION("""COMPUTED_VALUE"""),75.0)</f>
        <v>75</v>
      </c>
      <c r="I440" s="4" t="str">
        <f>IFERROR(__xludf.DUMMYFUNCTION("""COMPUTED_VALUE"""),"Dado não identificado publicamente - Necessário Discovery")</f>
        <v>Dado não identificado publicamente - Necessário Discovery</v>
      </c>
      <c r="K440" s="4" t="str">
        <f>IFERROR(__xludf.DUMMYFUNCTION("""COMPUTED_VALUE"""),"OFICINA DAS PIZZAS")</f>
        <v>OFICINA DAS PIZZAS</v>
      </c>
      <c r="L440" s="32">
        <f>IFERROR(__xludf.DUMMYFUNCTION("""COMPUTED_VALUE"""),16.0)</f>
        <v>16</v>
      </c>
      <c r="M440" s="4" t="str">
        <f>IFERROR(__xludf.DUMMYFUNCTION("""COMPUTED_VALUE"""),"null")</f>
        <v>null</v>
      </c>
      <c r="N440" s="33">
        <f>IFERROR(__xludf.DUMMYFUNCTION("""COMPUTED_VALUE"""),0.625)</f>
        <v>0.625</v>
      </c>
      <c r="O440" s="4" t="str">
        <f>IFERROR(__xludf.DUMMYFUNCTION("""COMPUTED_VALUE"""),"null")</f>
        <v>null</v>
      </c>
      <c r="P440" s="33">
        <f>IFERROR(__xludf.DUMMYFUNCTION("""COMPUTED_VALUE"""),0.625)</f>
        <v>0.625</v>
      </c>
      <c r="Q440" s="4" t="str">
        <f>IFERROR(__xludf.DUMMYFUNCTION("""COMPUTED_VALUE"""),"null")</f>
        <v>null</v>
      </c>
      <c r="R440" s="33">
        <f>IFERROR(__xludf.DUMMYFUNCTION("""COMPUTED_VALUE"""),0.625)</f>
        <v>0.625</v>
      </c>
      <c r="S440" s="4" t="str">
        <f>IFERROR(__xludf.DUMMYFUNCTION("""COMPUTED_VALUE"""),"null")</f>
        <v>null</v>
      </c>
      <c r="T440" s="33">
        <f>IFERROR(__xludf.DUMMYFUNCTION("""COMPUTED_VALUE"""),0.625)</f>
        <v>0.625</v>
      </c>
      <c r="U440" s="4" t="str">
        <f>IFERROR(__xludf.DUMMYFUNCTION("""COMPUTED_VALUE"""),"null")</f>
        <v>null</v>
      </c>
      <c r="V440" s="33">
        <f>IFERROR(__xludf.DUMMYFUNCTION("""COMPUTED_VALUE"""),0.5625)</f>
        <v>0.5625</v>
      </c>
      <c r="W440" s="4" t="str">
        <f>IFERROR(__xludf.DUMMYFUNCTION("""COMPUTED_VALUE"""),"Saipos Serviços De Software")</f>
        <v>Saipos Serviços De Software</v>
      </c>
      <c r="X440" s="33">
        <f>IFERROR(__xludf.DUMMYFUNCTION("""COMPUTED_VALUE"""),0.6875)</f>
        <v>0.6875</v>
      </c>
    </row>
    <row r="441">
      <c r="A441" s="4" t="str">
        <f>IFERROR(__xludf.DUMMYFUNCTION("""COMPUTED_VALUE"""),"Monster Dog")</f>
        <v>Monster Dog</v>
      </c>
      <c r="B441" s="4" t="str">
        <f>IFERROR(__xludf.DUMMYFUNCTION("""COMPUTED_VALUE"""),"48-60")</f>
        <v>48-60</v>
      </c>
      <c r="C441" s="4" t="str">
        <f>IFERROR(__xludf.DUMMYFUNCTION("""COMPUTED_VALUE"""),"R$ 90 mil/mês por unidade (2020)")</f>
        <v>R$ 90 mil/mês por unidade (2020)</v>
      </c>
      <c r="D441" s="4" t="str">
        <f>IFERROR(__xludf.DUMMYFUNCTION("""COMPUTED_VALUE"""),"QSR - Hot Dog em terminais de transporte e metrô")</f>
        <v>QSR - Hot Dog em terminais de transporte e metrô</v>
      </c>
      <c r="E441" s="4" t="str">
        <f>IFERROR(__xludf.DUMMYFUNCTION("""COMPUTED_VALUE"""),"Brasil - SP (capital e região metropolitana, Campinas); Foco em terminais de transporte")</f>
        <v>Brasil - SP (capital e região metropolitana, Campinas); Foco em terminais de transporte</v>
      </c>
      <c r="F441" s="4" t="str">
        <f>IFERROR(__xludf.DUMMYFUNCTION("""COMPUTED_VALUE"""),"R$ 30 - R$ 55")</f>
        <v>R$ 30 - R$ 55</v>
      </c>
      <c r="G441" s="4">
        <f>IFERROR(__xludf.DUMMYFUNCTION("""COMPUTED_VALUE"""),80.0)</f>
        <v>80</v>
      </c>
      <c r="H441" s="4">
        <f>IFERROR(__xludf.DUMMYFUNCTION("""COMPUTED_VALUE"""),90.0)</f>
        <v>90</v>
      </c>
      <c r="I441" s="4" t="str">
        <f>IFERROR(__xludf.DUMMYFUNCTION("""COMPUTED_VALUE"""),"Dado não identificado publicamente - Necessário Discovery")</f>
        <v>Dado não identificado publicamente - Necessário Discovery</v>
      </c>
      <c r="K441" s="4" t="str">
        <f>IFERROR(__xludf.DUMMYFUNCTION("""COMPUTED_VALUE"""),"REI DA PIZZA")</f>
        <v>REI DA PIZZA</v>
      </c>
      <c r="L441" s="32">
        <f>IFERROR(__xludf.DUMMYFUNCTION("""COMPUTED_VALUE"""),16.0)</f>
        <v>16</v>
      </c>
      <c r="M441" s="4" t="str">
        <f>IFERROR(__xludf.DUMMYFUNCTION("""COMPUTED_VALUE"""),"null")</f>
        <v>null</v>
      </c>
      <c r="N441" s="33">
        <f>IFERROR(__xludf.DUMMYFUNCTION("""COMPUTED_VALUE"""),0.25)</f>
        <v>0.25</v>
      </c>
      <c r="O441" s="4" t="str">
        <f>IFERROR(__xludf.DUMMYFUNCTION("""COMPUTED_VALUE"""),"null")</f>
        <v>null</v>
      </c>
      <c r="P441" s="33">
        <f>IFERROR(__xludf.DUMMYFUNCTION("""COMPUTED_VALUE"""),0.3125)</f>
        <v>0.3125</v>
      </c>
      <c r="Q441" s="4" t="str">
        <f>IFERROR(__xludf.DUMMYFUNCTION("""COMPUTED_VALUE"""),"null")</f>
        <v>null</v>
      </c>
      <c r="R441" s="33">
        <f>IFERROR(__xludf.DUMMYFUNCTION("""COMPUTED_VALUE"""),0.375)</f>
        <v>0.375</v>
      </c>
      <c r="S441" s="4" t="str">
        <f>IFERROR(__xludf.DUMMYFUNCTION("""COMPUTED_VALUE"""),"null")</f>
        <v>null</v>
      </c>
      <c r="T441" s="33">
        <f>IFERROR(__xludf.DUMMYFUNCTION("""COMPUTED_VALUE"""),0.3125)</f>
        <v>0.3125</v>
      </c>
      <c r="U441" s="4" t="str">
        <f>IFERROR(__xludf.DUMMYFUNCTION("""COMPUTED_VALUE"""),"null")</f>
        <v>null</v>
      </c>
      <c r="V441" s="33">
        <f>IFERROR(__xludf.DUMMYFUNCTION("""COMPUTED_VALUE"""),0.3125)</f>
        <v>0.3125</v>
      </c>
      <c r="W441" s="4" t="str">
        <f>IFERROR(__xludf.DUMMYFUNCTION("""COMPUTED_VALUE"""),"null")</f>
        <v>null</v>
      </c>
      <c r="X441" s="33">
        <f>IFERROR(__xludf.DUMMYFUNCTION("""COMPUTED_VALUE"""),0.5)</f>
        <v>0.5</v>
      </c>
    </row>
    <row r="442">
      <c r="A442" s="4" t="str">
        <f>IFERROR(__xludf.DUMMYFUNCTION("""COMPUTED_VALUE"""),"O Matuto Express")</f>
        <v>O Matuto Express</v>
      </c>
      <c r="B442" s="4">
        <f>IFERROR(__xludf.DUMMYFUNCTION("""COMPUTED_VALUE"""),13.0)</f>
        <v>13</v>
      </c>
      <c r="C442" s="4" t="str">
        <f>IFERROR(__xludf.DUMMYFUNCTION("""COMPUTED_VALUE"""),"Dado não disponível publicamente")</f>
        <v>Dado não disponível publicamente</v>
      </c>
      <c r="D442" s="4" t="str">
        <f>IFERROR(__xludf.DUMMYFUNCTION("""COMPUTED_VALUE"""),"Fast Casual - Churrasco nordestino em shoppings")</f>
        <v>Fast Casual - Churrasco nordestino em shoppings</v>
      </c>
      <c r="E442" s="4" t="str">
        <f>IFERROR(__xludf.DUMMYFUNCTION("""COMPUTED_VALUE"""),"Brasil - SP (13 unidades físicas em shoppings: Campinas, Jundiaí, Guarulhos, Barueri, Indaiatuba + delivery Campinas)")</f>
        <v>Brasil - SP (13 unidades físicas em shoppings: Campinas, Jundiaí, Guarulhos, Barueri, Indaiatuba + delivery Campinas)</v>
      </c>
      <c r="F442" s="4" t="str">
        <f>IFERROR(__xludf.DUMMYFUNCTION("""COMPUTED_VALUE"""),"R$ 80 - R$ 180")</f>
        <v>R$ 80 - R$ 180</v>
      </c>
      <c r="G442" s="4">
        <f>IFERROR(__xludf.DUMMYFUNCTION("""COMPUTED_VALUE"""),70.0)</f>
        <v>70</v>
      </c>
      <c r="H442" s="4">
        <f>IFERROR(__xludf.DUMMYFUNCTION("""COMPUTED_VALUE"""),85.0)</f>
        <v>85</v>
      </c>
      <c r="I442" s="4" t="str">
        <f>IFERROR(__xludf.DUMMYFUNCTION("""COMPUTED_VALUE"""),"Dado não identificado publicamente - Necessário Discovery")</f>
        <v>Dado não identificado publicamente - Necessário Discovery</v>
      </c>
      <c r="K442" s="4" t="str">
        <f>IFERROR(__xludf.DUMMYFUNCTION("""COMPUTED_VALUE"""),"BELLA PIZZA")</f>
        <v>BELLA PIZZA</v>
      </c>
      <c r="L442" s="32">
        <f>IFERROR(__xludf.DUMMYFUNCTION("""COMPUTED_VALUE"""),16.0)</f>
        <v>16</v>
      </c>
      <c r="M442" s="4" t="str">
        <f>IFERROR(__xludf.DUMMYFUNCTION("""COMPUTED_VALUE"""),"null")</f>
        <v>null</v>
      </c>
      <c r="N442" s="33">
        <f>IFERROR(__xludf.DUMMYFUNCTION("""COMPUTED_VALUE"""),0.25)</f>
        <v>0.25</v>
      </c>
      <c r="O442" s="4" t="str">
        <f>IFERROR(__xludf.DUMMYFUNCTION("""COMPUTED_VALUE"""),"null")</f>
        <v>null</v>
      </c>
      <c r="P442" s="33">
        <f>IFERROR(__xludf.DUMMYFUNCTION("""COMPUTED_VALUE"""),0.375)</f>
        <v>0.375</v>
      </c>
      <c r="Q442" s="4" t="str">
        <f>IFERROR(__xludf.DUMMYFUNCTION("""COMPUTED_VALUE"""),"null")</f>
        <v>null</v>
      </c>
      <c r="R442" s="33">
        <f>IFERROR(__xludf.DUMMYFUNCTION("""COMPUTED_VALUE"""),0.5)</f>
        <v>0.5</v>
      </c>
      <c r="S442" s="4" t="str">
        <f>IFERROR(__xludf.DUMMYFUNCTION("""COMPUTED_VALUE"""),"null")</f>
        <v>null</v>
      </c>
      <c r="T442" s="33">
        <f>IFERROR(__xludf.DUMMYFUNCTION("""COMPUTED_VALUE"""),0.3125)</f>
        <v>0.3125</v>
      </c>
      <c r="U442" s="4" t="str">
        <f>IFERROR(__xludf.DUMMYFUNCTION("""COMPUTED_VALUE"""),"null")</f>
        <v>null</v>
      </c>
      <c r="V442" s="33">
        <f>IFERROR(__xludf.DUMMYFUNCTION("""COMPUTED_VALUE"""),0.4375)</f>
        <v>0.4375</v>
      </c>
      <c r="W442" s="4" t="str">
        <f>IFERROR(__xludf.DUMMYFUNCTION("""COMPUTED_VALUE"""),"Saipos Serviços De Software")</f>
        <v>Saipos Serviços De Software</v>
      </c>
      <c r="X442" s="33">
        <f>IFERROR(__xludf.DUMMYFUNCTION("""COMPUTED_VALUE"""),0.25)</f>
        <v>0.25</v>
      </c>
    </row>
    <row r="443">
      <c r="A443" s="4" t="str">
        <f>IFERROR(__xludf.DUMMYFUNCTION("""COMPUTED_VALUE"""),"Pacifico Sea Food")</f>
        <v>Pacifico Sea Food</v>
      </c>
      <c r="B443" s="4" t="str">
        <f>IFERROR(__xludf.DUMMYFUNCTION("""COMPUTED_VALUE"""),"10 operacionais + 6 planejadas")</f>
        <v>10 operacionais + 6 planejadas</v>
      </c>
      <c r="C443" s="4" t="str">
        <f>IFERROR(__xludf.DUMMYFUNCTION("""COMPUTED_VALUE"""),"Dado não disponível publicamente")</f>
        <v>Dado não disponível publicamente</v>
      </c>
      <c r="D443" s="4" t="str">
        <f>IFERROR(__xludf.DUMMYFUNCTION("""COMPUTED_VALUE"""),"Fast Casual - Frutos do mar em praças de alimentação")</f>
        <v>Fast Casual - Frutos do mar em praças de alimentação</v>
      </c>
      <c r="E443" s="4" t="str">
        <f>IFERROR(__xludf.DUMMYFUNCTION("""COMPUTED_VALUE"""),"Brasil - Nordeste (PE, PB, RN, CE, AL); 10 operacionais + 6 em breve")</f>
        <v>Brasil - Nordeste (PE, PB, RN, CE, AL); 10 operacionais + 6 em breve</v>
      </c>
      <c r="F443" s="4" t="str">
        <f>IFERROR(__xludf.DUMMYFUNCTION("""COMPUTED_VALUE"""),"R$ 80 - R$ 180")</f>
        <v>R$ 80 - R$ 180</v>
      </c>
      <c r="G443" s="4">
        <f>IFERROR(__xludf.DUMMYFUNCTION("""COMPUTED_VALUE"""),65.0)</f>
        <v>65</v>
      </c>
      <c r="H443" s="4">
        <f>IFERROR(__xludf.DUMMYFUNCTION("""COMPUTED_VALUE"""),85.0)</f>
        <v>85</v>
      </c>
      <c r="I443" s="4" t="str">
        <f>IFERROR(__xludf.DUMMYFUNCTION("""COMPUTED_VALUE"""),"Dado não identificado publicamente - Necessário Discovery")</f>
        <v>Dado não identificado publicamente - Necessário Discovery</v>
      </c>
      <c r="K443" s="4" t="str">
        <f>IFERROR(__xludf.DUMMYFUNCTION("""COMPUTED_VALUE"""),"CASA DO ACAI")</f>
        <v>CASA DO ACAI</v>
      </c>
      <c r="L443" s="32">
        <f>IFERROR(__xludf.DUMMYFUNCTION("""COMPUTED_VALUE"""),16.0)</f>
        <v>16</v>
      </c>
      <c r="M443" s="4" t="str">
        <f>IFERROR(__xludf.DUMMYFUNCTION("""COMPUTED_VALUE"""),"null")</f>
        <v>null</v>
      </c>
      <c r="N443" s="33">
        <f>IFERROR(__xludf.DUMMYFUNCTION("""COMPUTED_VALUE"""),0.3125)</f>
        <v>0.3125</v>
      </c>
      <c r="O443" s="4" t="str">
        <f>IFERROR(__xludf.DUMMYFUNCTION("""COMPUTED_VALUE"""),"null")</f>
        <v>null</v>
      </c>
      <c r="P443" s="33">
        <f>IFERROR(__xludf.DUMMYFUNCTION("""COMPUTED_VALUE"""),0.1875)</f>
        <v>0.1875</v>
      </c>
      <c r="Q443" s="4" t="str">
        <f>IFERROR(__xludf.DUMMYFUNCTION("""COMPUTED_VALUE"""),"null")</f>
        <v>null</v>
      </c>
      <c r="R443" s="33">
        <f>IFERROR(__xludf.DUMMYFUNCTION("""COMPUTED_VALUE"""),0.4375)</f>
        <v>0.4375</v>
      </c>
      <c r="S443" s="4" t="str">
        <f>IFERROR(__xludf.DUMMYFUNCTION("""COMPUTED_VALUE"""),"null")</f>
        <v>null</v>
      </c>
      <c r="T443" s="33">
        <f>IFERROR(__xludf.DUMMYFUNCTION("""COMPUTED_VALUE"""),0.4375)</f>
        <v>0.4375</v>
      </c>
      <c r="U443" s="4" t="str">
        <f>IFERROR(__xludf.DUMMYFUNCTION("""COMPUTED_VALUE"""),"null")</f>
        <v>null</v>
      </c>
      <c r="V443" s="33">
        <f>IFERROR(__xludf.DUMMYFUNCTION("""COMPUTED_VALUE"""),0.4375)</f>
        <v>0.4375</v>
      </c>
      <c r="W443" s="4" t="str">
        <f>IFERROR(__xludf.DUMMYFUNCTION("""COMPUTED_VALUE"""),"null")</f>
        <v>null</v>
      </c>
      <c r="X443" s="33">
        <f>IFERROR(__xludf.DUMMYFUNCTION("""COMPUTED_VALUE"""),0.375)</f>
        <v>0.375</v>
      </c>
    </row>
    <row r="444">
      <c r="A444" s="4" t="str">
        <f>IFERROR(__xludf.DUMMYFUNCTION("""COMPUTED_VALUE"""),"Osnir")</f>
        <v>Osnir</v>
      </c>
      <c r="B444" s="4" t="str">
        <f>IFERROR(__xludf.DUMMYFUNCTION("""COMPUTED_VALUE"""),"5 (Osnir Hamburger)")</f>
        <v>5 (Osnir Hamburger)</v>
      </c>
      <c r="C444" s="4" t="str">
        <f>IFERROR(__xludf.DUMMYFUNCTION("""COMPUTED_VALUE"""),"Dado não disponível publicamente")</f>
        <v>Dado não disponível publicamente</v>
      </c>
      <c r="D444" s="4" t="str">
        <f>IFERROR(__xludf.DUMMYFUNCTION("""COMPUTED_VALUE"""),"QSR/Fast Casual - Hamburgueria (NÃO é pizzaria)")</f>
        <v>QSR/Fast Casual - Hamburgueria (NÃO é pizzaria)</v>
      </c>
      <c r="E444" s="4" t="str">
        <f>IFERROR(__xludf.DUMMYFUNCTION("""COMPUTED_VALUE"""),"Brasil - São Paulo/SP (5 unidades próprias: Praça da Árvore, Vila Zelina, Paraíso, Pompeia, Campo Belo)")</f>
        <v>Brasil - São Paulo/SP (5 unidades próprias: Praça da Árvore, Vila Zelina, Paraíso, Pompeia, Campo Belo)</v>
      </c>
      <c r="F444" s="4" t="str">
        <f>IFERROR(__xludf.DUMMYFUNCTION("""COMPUTED_VALUE"""),"R$ 45 - R$ 80")</f>
        <v>R$ 45 - R$ 80</v>
      </c>
      <c r="G444" s="4">
        <f>IFERROR(__xludf.DUMMYFUNCTION("""COMPUTED_VALUE"""),65.0)</f>
        <v>65</v>
      </c>
      <c r="H444" s="4">
        <f>IFERROR(__xludf.DUMMYFUNCTION("""COMPUTED_VALUE"""),85.0)</f>
        <v>85</v>
      </c>
      <c r="I444" s="4" t="str">
        <f>IFERROR(__xludf.DUMMYFUNCTION("""COMPUTED_VALUE"""),"Dado não identificado publicamente - Necessário Discovery")</f>
        <v>Dado não identificado publicamente - Necessário Discovery</v>
      </c>
      <c r="K444" s="4" t="str">
        <f>IFERROR(__xludf.DUMMYFUNCTION("""COMPUTED_VALUE"""),"SUSHI GO")</f>
        <v>SUSHI GO</v>
      </c>
      <c r="L444" s="32">
        <f>IFERROR(__xludf.DUMMYFUNCTION("""COMPUTED_VALUE"""),16.0)</f>
        <v>16</v>
      </c>
      <c r="M444" s="4" t="str">
        <f>IFERROR(__xludf.DUMMYFUNCTION("""COMPUTED_VALUE"""),"Lab Jota Marketing Digital Eirele")</f>
        <v>Lab Jota Marketing Digital Eirele</v>
      </c>
      <c r="N444" s="33">
        <f>IFERROR(__xludf.DUMMYFUNCTION("""COMPUTED_VALUE"""),0.375)</f>
        <v>0.375</v>
      </c>
      <c r="O444" s="4" t="str">
        <f>IFERROR(__xludf.DUMMYFUNCTION("""COMPUTED_VALUE"""),"Saipos Serviços De Software")</f>
        <v>Saipos Serviços De Software</v>
      </c>
      <c r="P444" s="33">
        <f>IFERROR(__xludf.DUMMYFUNCTION("""COMPUTED_VALUE"""),0.5)</f>
        <v>0.5</v>
      </c>
      <c r="Q444" s="4" t="str">
        <f>IFERROR(__xludf.DUMMYFUNCTION("""COMPUTED_VALUE"""),"Saipos Serviços De Software")</f>
        <v>Saipos Serviços De Software</v>
      </c>
      <c r="R444" s="33">
        <f>IFERROR(__xludf.DUMMYFUNCTION("""COMPUTED_VALUE"""),0.5625)</f>
        <v>0.5625</v>
      </c>
      <c r="S444" s="4" t="str">
        <f>IFERROR(__xludf.DUMMYFUNCTION("""COMPUTED_VALUE"""),"Saipos Serviços De Software")</f>
        <v>Saipos Serviços De Software</v>
      </c>
      <c r="T444" s="33">
        <f>IFERROR(__xludf.DUMMYFUNCTION("""COMPUTED_VALUE"""),0.5625)</f>
        <v>0.5625</v>
      </c>
      <c r="U444" s="4" t="str">
        <f>IFERROR(__xludf.DUMMYFUNCTION("""COMPUTED_VALUE"""),"Saipos Serviços De Software")</f>
        <v>Saipos Serviços De Software</v>
      </c>
      <c r="V444" s="33">
        <f>IFERROR(__xludf.DUMMYFUNCTION("""COMPUTED_VALUE"""),0.5625)</f>
        <v>0.5625</v>
      </c>
      <c r="W444" s="4" t="str">
        <f>IFERROR(__xludf.DUMMYFUNCTION("""COMPUTED_VALUE"""),"Saipos Serviços De Software")</f>
        <v>Saipos Serviços De Software</v>
      </c>
      <c r="X444" s="33">
        <f>IFERROR(__xludf.DUMMYFUNCTION("""COMPUTED_VALUE"""),0.5625)</f>
        <v>0.5625</v>
      </c>
    </row>
    <row r="445">
      <c r="A445" s="4" t="str">
        <f>IFERROR(__xludf.DUMMYFUNCTION("""COMPUTED_VALUE"""),"Pão com Carne")</f>
        <v>Pão com Carne</v>
      </c>
      <c r="B445" s="4" t="str">
        <f>IFERROR(__xludf.DUMMYFUNCTION("""COMPUTED_VALUE"""),"1 principal (SP)")</f>
        <v>1 principal (SP)</v>
      </c>
      <c r="C445" s="4" t="str">
        <f>IFERROR(__xludf.DUMMYFUNCTION("""COMPUTED_VALUE"""),"Dado não disponível publicamente")</f>
        <v>Dado não disponível publicamente</v>
      </c>
      <c r="D445" s="4" t="str">
        <f>IFERROR(__xludf.DUMMYFUNCTION("""COMPUTED_VALUE"""),"Fast Casual - Hamburgueria artesanal (SP)")</f>
        <v>Fast Casual - Hamburgueria artesanal (SP)</v>
      </c>
      <c r="E445" s="4" t="str">
        <f>IFERROR(__xludf.DUMMYFUNCTION("""COMPUTED_VALUE"""),"Brasil - São Paulo/SP (Itaim Bibi, loja principal)")</f>
        <v>Brasil - São Paulo/SP (Itaim Bibi, loja principal)</v>
      </c>
      <c r="F445" s="4" t="str">
        <f>IFERROR(__xludf.DUMMYFUNCTION("""COMPUTED_VALUE"""),"R$ 45 - R$ 80")</f>
        <v>R$ 45 - R$ 80</v>
      </c>
      <c r="G445" s="4">
        <f>IFERROR(__xludf.DUMMYFUNCTION("""COMPUTED_VALUE"""),60.0)</f>
        <v>60</v>
      </c>
      <c r="H445" s="4">
        <f>IFERROR(__xludf.DUMMYFUNCTION("""COMPUTED_VALUE"""),75.0)</f>
        <v>75</v>
      </c>
      <c r="I445" s="4" t="str">
        <f>IFERROR(__xludf.DUMMYFUNCTION("""COMPUTED_VALUE"""),"Dado não identificado publicamente - Necessário Discovery")</f>
        <v>Dado não identificado publicamente - Necessário Discovery</v>
      </c>
      <c r="K445" s="4" t="str">
        <f>IFERROR(__xludf.DUMMYFUNCTION("""COMPUTED_VALUE"""),"MARMITOP")</f>
        <v>MARMITOP</v>
      </c>
      <c r="L445" s="32">
        <f>IFERROR(__xludf.DUMMYFUNCTION("""COMPUTED_VALUE"""),16.0)</f>
        <v>16</v>
      </c>
      <c r="M445" s="4" t="str">
        <f>IFERROR(__xludf.DUMMYFUNCTION("""COMPUTED_VALUE"""),"Saipos Serviços De Software")</f>
        <v>Saipos Serviços De Software</v>
      </c>
      <c r="N445" s="33">
        <f>IFERROR(__xludf.DUMMYFUNCTION("""COMPUTED_VALUE"""),0.9375)</f>
        <v>0.9375</v>
      </c>
      <c r="O445" s="4" t="str">
        <f>IFERROR(__xludf.DUMMYFUNCTION("""COMPUTED_VALUE"""),"Saipos Serviços De Software")</f>
        <v>Saipos Serviços De Software</v>
      </c>
      <c r="P445" s="33">
        <f>IFERROR(__xludf.DUMMYFUNCTION("""COMPUTED_VALUE"""),0.75)</f>
        <v>0.75</v>
      </c>
      <c r="Q445" s="4" t="str">
        <f>IFERROR(__xludf.DUMMYFUNCTION("""COMPUTED_VALUE"""),"Saipos Serviços De Software")</f>
        <v>Saipos Serviços De Software</v>
      </c>
      <c r="R445" s="33">
        <f>IFERROR(__xludf.DUMMYFUNCTION("""COMPUTED_VALUE"""),0.9375)</f>
        <v>0.9375</v>
      </c>
      <c r="S445" s="4" t="str">
        <f>IFERROR(__xludf.DUMMYFUNCTION("""COMPUTED_VALUE"""),"Saipos Serviços De Software")</f>
        <v>Saipos Serviços De Software</v>
      </c>
      <c r="T445" s="33">
        <f>IFERROR(__xludf.DUMMYFUNCTION("""COMPUTED_VALUE"""),0.9375)</f>
        <v>0.9375</v>
      </c>
      <c r="U445" s="4" t="str">
        <f>IFERROR(__xludf.DUMMYFUNCTION("""COMPUTED_VALUE"""),"Saipos Serviços De Software")</f>
        <v>Saipos Serviços De Software</v>
      </c>
      <c r="V445" s="33">
        <f>IFERROR(__xludf.DUMMYFUNCTION("""COMPUTED_VALUE"""),0.625)</f>
        <v>0.625</v>
      </c>
      <c r="W445" s="4" t="str">
        <f>IFERROR(__xludf.DUMMYFUNCTION("""COMPUTED_VALUE"""),"Saipos Serviços De Software")</f>
        <v>Saipos Serviços De Software</v>
      </c>
      <c r="X445" s="33">
        <f>IFERROR(__xludf.DUMMYFUNCTION("""COMPUTED_VALUE"""),0.625)</f>
        <v>0.625</v>
      </c>
    </row>
    <row r="446">
      <c r="A446" s="4" t="str">
        <f>IFERROR(__xludf.DUMMYFUNCTION("""COMPUTED_VALUE"""),"Perdomo Doces")</f>
        <v>Perdomo Doces</v>
      </c>
      <c r="B446" s="34">
        <f>IFERROR(__xludf.DUMMYFUNCTION("""COMPUTED_VALUE"""),46272.0)</f>
        <v>46272</v>
      </c>
      <c r="C446" s="4" t="str">
        <f>IFERROR(__xludf.DUMMYFUNCTION("""COMPUTED_VALUE"""),"R$ 11-100 milhões (estimado, sem confirmação oficial 2026)")</f>
        <v>R$ 11-100 milhões (estimado, sem confirmação oficial 2026)</v>
      </c>
      <c r="D446" s="4" t="str">
        <f>IFERROR(__xludf.DUMMYFUNCTION("""COMPUTED_VALUE"""),"Fast Casual/Retail - Doceria artesanal (tortas no pote, gelados)")</f>
        <v>Fast Casual/Retail - Doceria artesanal (tortas no pote, gelados)</v>
      </c>
      <c r="E446" s="4" t="str">
        <f>IFERROR(__xludf.DUMMYFUNCTION("""COMPUTED_VALUE"""),"Brasil - Goiás (7 lojas: 3 Goiânia, 1 Anápolis, 3 Brasília/DF) + SP (2 delivery) + projeto itinerante nacional")</f>
        <v>Brasil - Goiás (7 lojas: 3 Goiânia, 1 Anápolis, 3 Brasília/DF) + SP (2 delivery) + projeto itinerante nacional</v>
      </c>
      <c r="F446" s="4" t="str">
        <f>IFERROR(__xludf.DUMMYFUNCTION("""COMPUTED_VALUE"""),"R$ 50 - R$ 100")</f>
        <v>R$ 50 - R$ 100</v>
      </c>
      <c r="G446" s="4">
        <f>IFERROR(__xludf.DUMMYFUNCTION("""COMPUTED_VALUE"""),55.0)</f>
        <v>55</v>
      </c>
      <c r="H446" s="4">
        <f>IFERROR(__xludf.DUMMYFUNCTION("""COMPUTED_VALUE"""),80.0)</f>
        <v>80</v>
      </c>
      <c r="I446" s="4" t="str">
        <f>IFERROR(__xludf.DUMMYFUNCTION("""COMPUTED_VALUE"""),"Dado não identificado publicamente - Necessário Discovery")</f>
        <v>Dado não identificado publicamente - Necessário Discovery</v>
      </c>
      <c r="K446" s="4" t="str">
        <f>IFERROR(__xludf.DUMMYFUNCTION("""COMPUTED_VALUE"""),"REI DO PARMEGIANA")</f>
        <v>REI DO PARMEGIANA</v>
      </c>
      <c r="L446" s="32">
        <f>IFERROR(__xludf.DUMMYFUNCTION("""COMPUTED_VALUE"""),16.0)</f>
        <v>16</v>
      </c>
      <c r="M446" s="4" t="str">
        <f>IFERROR(__xludf.DUMMYFUNCTION("""COMPUTED_VALUE"""),"Fudo Soluciones Sas")</f>
        <v>Fudo Soluciones Sas</v>
      </c>
      <c r="N446" s="33">
        <f>IFERROR(__xludf.DUMMYFUNCTION("""COMPUTED_VALUE"""),0.75)</f>
        <v>0.75</v>
      </c>
      <c r="O446" s="4" t="str">
        <f>IFERROR(__xludf.DUMMYFUNCTION("""COMPUTED_VALUE"""),"Fudo Soluciones Sas")</f>
        <v>Fudo Soluciones Sas</v>
      </c>
      <c r="P446" s="33">
        <f>IFERROR(__xludf.DUMMYFUNCTION("""COMPUTED_VALUE"""),0.625)</f>
        <v>0.625</v>
      </c>
      <c r="Q446" s="4" t="str">
        <f>IFERROR(__xludf.DUMMYFUNCTION("""COMPUTED_VALUE"""),"null")</f>
        <v>null</v>
      </c>
      <c r="R446" s="33">
        <f>IFERROR(__xludf.DUMMYFUNCTION("""COMPUTED_VALUE"""),0.4375)</f>
        <v>0.4375</v>
      </c>
      <c r="S446" s="4" t="str">
        <f>IFERROR(__xludf.DUMMYFUNCTION("""COMPUTED_VALUE"""),"null")</f>
        <v>null</v>
      </c>
      <c r="T446" s="33">
        <f>IFERROR(__xludf.DUMMYFUNCTION("""COMPUTED_VALUE"""),0.5)</f>
        <v>0.5</v>
      </c>
      <c r="U446" s="4" t="str">
        <f>IFERROR(__xludf.DUMMYFUNCTION("""COMPUTED_VALUE"""),"Fudo Soluciones Sas")</f>
        <v>Fudo Soluciones Sas</v>
      </c>
      <c r="V446" s="33">
        <f>IFERROR(__xludf.DUMMYFUNCTION("""COMPUTED_VALUE"""),0.5)</f>
        <v>0.5</v>
      </c>
      <c r="W446" s="4" t="str">
        <f>IFERROR(__xludf.DUMMYFUNCTION("""COMPUTED_VALUE"""),"null")</f>
        <v>null</v>
      </c>
      <c r="X446" s="33">
        <f>IFERROR(__xludf.DUMMYFUNCTION("""COMPUTED_VALUE"""),0.625)</f>
        <v>0.625</v>
      </c>
    </row>
    <row r="447">
      <c r="A447" s="4" t="str">
        <f>IFERROR(__xludf.DUMMYFUNCTION("""COMPUTED_VALUE"""),"Office Gourmet")</f>
        <v>Office Gourmet</v>
      </c>
      <c r="B447" s="34">
        <f>IFERROR(__xludf.DUMMYFUNCTION("""COMPUTED_VALUE"""),46304.0)</f>
        <v>46304</v>
      </c>
      <c r="C447" s="4" t="str">
        <f>IFERROR(__xludf.DUMMYFUNCTION("""COMPUTED_VALUE"""),"Dado não disponível publicamente")</f>
        <v>Dado não disponível publicamente</v>
      </c>
      <c r="D447" s="4" t="str">
        <f>IFERROR(__xludf.DUMMYFUNCTION("""COMPUTED_VALUE"""),"Fast Food/Fast Casual - Pratos executivos, sanduíches, batata recheada em shoppings")</f>
        <v>Fast Food/Fast Casual - Pratos executivos, sanduíches, batata recheada em shoppings</v>
      </c>
      <c r="E447" s="4" t="str">
        <f>IFERROR(__xludf.DUMMYFUNCTION("""COMPUTED_VALUE"""),"Brasil - Rio de Janeiro/RJ (9-10 unidades em shoppings da Grande Rio)")</f>
        <v>Brasil - Rio de Janeiro/RJ (9-10 unidades em shoppings da Grande Rio)</v>
      </c>
      <c r="F447" s="4" t="str">
        <f>IFERROR(__xludf.DUMMYFUNCTION("""COMPUTED_VALUE"""),"R$ 50 - R$ 100")</f>
        <v>R$ 50 - R$ 100</v>
      </c>
      <c r="G447" s="4">
        <f>IFERROR(__xludf.DUMMYFUNCTION("""COMPUTED_VALUE"""),55.0)</f>
        <v>55</v>
      </c>
      <c r="H447" s="4">
        <f>IFERROR(__xludf.DUMMYFUNCTION("""COMPUTED_VALUE"""),80.0)</f>
        <v>80</v>
      </c>
      <c r="I447" s="4" t="str">
        <f>IFERROR(__xludf.DUMMYFUNCTION("""COMPUTED_VALUE"""),"Dado não identificado publicamente - Necessário Discovery")</f>
        <v>Dado não identificado publicamente - Necessário Discovery</v>
      </c>
      <c r="K447" s="4" t="str">
        <f>IFERROR(__xludf.DUMMYFUNCTION("""COMPUTED_VALUE"""),"ACAI SUNSET - GRUPO")</f>
        <v>ACAI SUNSET - GRUPO</v>
      </c>
      <c r="L447" s="32">
        <f>IFERROR(__xludf.DUMMYFUNCTION("""COMPUTED_VALUE"""),16.0)</f>
        <v>16</v>
      </c>
      <c r="M447" s="4" t="str">
        <f>IFERROR(__xludf.DUMMYFUNCTION("""COMPUTED_VALUE"""),"Unika Sistemas Ltda")</f>
        <v>Unika Sistemas Ltda</v>
      </c>
      <c r="N447" s="33">
        <f>IFERROR(__xludf.DUMMYFUNCTION("""COMPUTED_VALUE"""),0.9375)</f>
        <v>0.9375</v>
      </c>
      <c r="O447" s="4" t="str">
        <f>IFERROR(__xludf.DUMMYFUNCTION("""COMPUTED_VALUE"""),"Unika Sistemas Ltda")</f>
        <v>Unika Sistemas Ltda</v>
      </c>
      <c r="P447" s="33">
        <f>IFERROR(__xludf.DUMMYFUNCTION("""COMPUTED_VALUE"""),0.875)</f>
        <v>0.875</v>
      </c>
      <c r="Q447" s="4" t="str">
        <f>IFERROR(__xludf.DUMMYFUNCTION("""COMPUTED_VALUE"""),"Unika Sistemas Ltda")</f>
        <v>Unika Sistemas Ltda</v>
      </c>
      <c r="R447" s="33">
        <f>IFERROR(__xludf.DUMMYFUNCTION("""COMPUTED_VALUE"""),0.875)</f>
        <v>0.875</v>
      </c>
      <c r="S447" s="4" t="str">
        <f>IFERROR(__xludf.DUMMYFUNCTION("""COMPUTED_VALUE"""),"Unika Sistemas Ltda")</f>
        <v>Unika Sistemas Ltda</v>
      </c>
      <c r="T447" s="33">
        <f>IFERROR(__xludf.DUMMYFUNCTION("""COMPUTED_VALUE"""),0.8125)</f>
        <v>0.8125</v>
      </c>
      <c r="U447" s="4" t="str">
        <f>IFERROR(__xludf.DUMMYFUNCTION("""COMPUTED_VALUE"""),"Unika Sistemas Ltda")</f>
        <v>Unika Sistemas Ltda</v>
      </c>
      <c r="V447" s="33">
        <f>IFERROR(__xludf.DUMMYFUNCTION("""COMPUTED_VALUE"""),0.75)</f>
        <v>0.75</v>
      </c>
      <c r="W447" s="4" t="str">
        <f>IFERROR(__xludf.DUMMYFUNCTION("""COMPUTED_VALUE"""),"Unika Sistemas Ltda")</f>
        <v>Unika Sistemas Ltda</v>
      </c>
      <c r="X447" s="33">
        <f>IFERROR(__xludf.DUMMYFUNCTION("""COMPUTED_VALUE"""),0.6875)</f>
        <v>0.6875</v>
      </c>
    </row>
    <row r="448">
      <c r="A448" s="4" t="str">
        <f>IFERROR(__xludf.DUMMYFUNCTION("""COMPUTED_VALUE"""),"Pamonhas do Cezar")</f>
        <v>Pamonhas do Cezar</v>
      </c>
      <c r="B448" s="34">
        <f>IFERROR(__xludf.DUMMYFUNCTION("""COMPUTED_VALUE"""),46304.0)</f>
        <v>46304</v>
      </c>
      <c r="C448" s="4" t="str">
        <f>IFERROR(__xludf.DUMMYFUNCTION("""COMPUTED_VALUE"""),"Dado não disponível publicamente")</f>
        <v>Dado não disponível publicamente</v>
      </c>
      <c r="D448" s="4" t="str">
        <f>IFERROR(__xludf.DUMMYFUNCTION("""COMPUTED_VALUE"""),"Fast Casual - Pamonhas e pratos executivos")</f>
        <v>Fast Casual - Pamonhas e pratos executivos</v>
      </c>
      <c r="E448" s="4" t="str">
        <f>IFERROR(__xludf.DUMMYFUNCTION("""COMPUTED_VALUE"""),"Brasil - Paraná (9 unidades em Maringá, Sarandi, Paiçandu, Campo Mourão)")</f>
        <v>Brasil - Paraná (9 unidades em Maringá, Sarandi, Paiçandu, Campo Mourão)</v>
      </c>
      <c r="F448" s="4" t="str">
        <f>IFERROR(__xludf.DUMMYFUNCTION("""COMPUTED_VALUE"""),"R$ 50 - R$ 100")</f>
        <v>R$ 50 - R$ 100</v>
      </c>
      <c r="G448" s="4">
        <f>IFERROR(__xludf.DUMMYFUNCTION("""COMPUTED_VALUE"""),55.0)</f>
        <v>55</v>
      </c>
      <c r="H448" s="4">
        <f>IFERROR(__xludf.DUMMYFUNCTION("""COMPUTED_VALUE"""),80.0)</f>
        <v>80</v>
      </c>
      <c r="I448" s="4" t="str">
        <f>IFERROR(__xludf.DUMMYFUNCTION("""COMPUTED_VALUE"""),"Dado não identificado publicamente - Necessário Discovery")</f>
        <v>Dado não identificado publicamente - Necessário Discovery</v>
      </c>
      <c r="K448" s="4" t="str">
        <f>IFERROR(__xludf.DUMMYFUNCTION("""COMPUTED_VALUE"""),"BORDA E LENHA")</f>
        <v>BORDA E LENHA</v>
      </c>
      <c r="L448" s="32">
        <f>IFERROR(__xludf.DUMMYFUNCTION("""COMPUTED_VALUE"""),16.0)</f>
        <v>16</v>
      </c>
      <c r="M448" s="4" t="str">
        <f>IFERROR(__xludf.DUMMYFUNCTION("""COMPUTED_VALUE"""),"Saipos Serviços De Software")</f>
        <v>Saipos Serviços De Software</v>
      </c>
      <c r="N448" s="33">
        <f>IFERROR(__xludf.DUMMYFUNCTION("""COMPUTED_VALUE"""),1.0)</f>
        <v>1</v>
      </c>
      <c r="O448" s="4" t="str">
        <f>IFERROR(__xludf.DUMMYFUNCTION("""COMPUTED_VALUE"""),"Saipos Serviços De Software")</f>
        <v>Saipos Serviços De Software</v>
      </c>
      <c r="P448" s="33">
        <f>IFERROR(__xludf.DUMMYFUNCTION("""COMPUTED_VALUE"""),0.9375)</f>
        <v>0.9375</v>
      </c>
      <c r="Q448" s="4" t="str">
        <f>IFERROR(__xludf.DUMMYFUNCTION("""COMPUTED_VALUE"""),"Saipos Serviços De Software")</f>
        <v>Saipos Serviços De Software</v>
      </c>
      <c r="R448" s="33">
        <f>IFERROR(__xludf.DUMMYFUNCTION("""COMPUTED_VALUE"""),0.9375)</f>
        <v>0.9375</v>
      </c>
      <c r="S448" s="4" t="str">
        <f>IFERROR(__xludf.DUMMYFUNCTION("""COMPUTED_VALUE"""),"Saipos Serviços De Software")</f>
        <v>Saipos Serviços De Software</v>
      </c>
      <c r="T448" s="33">
        <f>IFERROR(__xludf.DUMMYFUNCTION("""COMPUTED_VALUE"""),0.9375)</f>
        <v>0.9375</v>
      </c>
      <c r="U448" s="4" t="str">
        <f>IFERROR(__xludf.DUMMYFUNCTION("""COMPUTED_VALUE"""),"Saipos Serviços De Software")</f>
        <v>Saipos Serviços De Software</v>
      </c>
      <c r="V448" s="33">
        <f>IFERROR(__xludf.DUMMYFUNCTION("""COMPUTED_VALUE"""),0.9375)</f>
        <v>0.9375</v>
      </c>
      <c r="W448" s="4" t="str">
        <f>IFERROR(__xludf.DUMMYFUNCTION("""COMPUTED_VALUE"""),"Saipos Serviços De Software")</f>
        <v>Saipos Serviços De Software</v>
      </c>
      <c r="X448" s="33">
        <f>IFERROR(__xludf.DUMMYFUNCTION("""COMPUTED_VALUE"""),0.875)</f>
        <v>0.875</v>
      </c>
    </row>
    <row r="449">
      <c r="A449" s="4" t="str">
        <f>IFERROR(__xludf.DUMMYFUNCTION("""COMPUTED_VALUE"""),"Grupo Madureira")</f>
        <v>Grupo Madureira</v>
      </c>
      <c r="B449" s="4">
        <f>IFERROR(__xludf.DUMMYFUNCTION("""COMPUTED_VALUE"""),17.0)</f>
        <v>17</v>
      </c>
      <c r="C449" s="4" t="str">
        <f>IFERROR(__xludf.DUMMYFUNCTION("""COMPUTED_VALUE"""),"Dado não disponível publicamente")</f>
        <v>Dado não disponível publicamente</v>
      </c>
      <c r="D449" s="4" t="str">
        <f>IFERROR(__xludf.DUMMYFUNCTION("""COMPUTED_VALUE"""),"Table Service - Restaurantes tradicionais portugueses (francesinhas, mariscos, grelhados)")</f>
        <v>Table Service - Restaurantes tradicionais portugueses (francesinhas, mariscos, grelhados)</v>
      </c>
      <c r="E449" s="4" t="str">
        <f>IFERROR(__xludf.DUMMYFUNCTION("""COMPUTED_VALUE"""),"Portugal (Distrito do Porto) - 17 unidades")</f>
        <v>Portugal (Distrito do Porto) - 17 unidades</v>
      </c>
      <c r="F449" s="4" t="str">
        <f>IFERROR(__xludf.DUMMYFUNCTION("""COMPUTED_VALUE"""),"R$ 50 - R$ 100")</f>
        <v>R$ 50 - R$ 100</v>
      </c>
      <c r="G449" s="4">
        <f>IFERROR(__xludf.DUMMYFUNCTION("""COMPUTED_VALUE"""),55.0)</f>
        <v>55</v>
      </c>
      <c r="H449" s="4">
        <f>IFERROR(__xludf.DUMMYFUNCTION("""COMPUTED_VALUE"""),70.0)</f>
        <v>70</v>
      </c>
      <c r="I449" s="4" t="str">
        <f>IFERROR(__xludf.DUMMYFUNCTION("""COMPUTED_VALUE"""),"Dado não identificado publicamente - Necessário Discovery")</f>
        <v>Dado não identificado publicamente - Necessário Discovery</v>
      </c>
      <c r="K449" s="4" t="str">
        <f>IFERROR(__xludf.DUMMYFUNCTION("""COMPUTED_VALUE"""),"CANTINA VOLPI")</f>
        <v>CANTINA VOLPI</v>
      </c>
      <c r="L449" s="32">
        <f>IFERROR(__xludf.DUMMYFUNCTION("""COMPUTED_VALUE"""),16.0)</f>
        <v>16</v>
      </c>
      <c r="M449" s="4" t="str">
        <f>IFERROR(__xludf.DUMMYFUNCTION("""COMPUTED_VALUE"""),"null")</f>
        <v>null</v>
      </c>
      <c r="N449" s="33">
        <f>IFERROR(__xludf.DUMMYFUNCTION("""COMPUTED_VALUE"""),0.5)</f>
        <v>0.5</v>
      </c>
      <c r="O449" s="4" t="str">
        <f>IFERROR(__xludf.DUMMYFUNCTION("""COMPUTED_VALUE"""),"null")</f>
        <v>null</v>
      </c>
      <c r="P449" s="33">
        <f>IFERROR(__xludf.DUMMYFUNCTION("""COMPUTED_VALUE"""),0.8125)</f>
        <v>0.8125</v>
      </c>
      <c r="Q449" s="4" t="str">
        <f>IFERROR(__xludf.DUMMYFUNCTION("""COMPUTED_VALUE"""),"null")</f>
        <v>null</v>
      </c>
      <c r="R449" s="33">
        <f>IFERROR(__xludf.DUMMYFUNCTION("""COMPUTED_VALUE"""),0.8125)</f>
        <v>0.8125</v>
      </c>
      <c r="S449" s="4" t="str">
        <f>IFERROR(__xludf.DUMMYFUNCTION("""COMPUTED_VALUE"""),"null")</f>
        <v>null</v>
      </c>
      <c r="T449" s="33">
        <f>IFERROR(__xludf.DUMMYFUNCTION("""COMPUTED_VALUE"""),0.75)</f>
        <v>0.75</v>
      </c>
      <c r="U449" s="4" t="str">
        <f>IFERROR(__xludf.DUMMYFUNCTION("""COMPUTED_VALUE"""),"null")</f>
        <v>null</v>
      </c>
      <c r="V449" s="33">
        <f>IFERROR(__xludf.DUMMYFUNCTION("""COMPUTED_VALUE"""),0.5625)</f>
        <v>0.5625</v>
      </c>
      <c r="W449" s="4" t="str">
        <f>IFERROR(__xludf.DUMMYFUNCTION("""COMPUTED_VALUE"""),"null")</f>
        <v>null</v>
      </c>
      <c r="X449" s="33">
        <f>IFERROR(__xludf.DUMMYFUNCTION("""COMPUTED_VALUE"""),0.5)</f>
        <v>0.5</v>
      </c>
    </row>
    <row r="450">
      <c r="A450" s="4" t="str">
        <f>IFERROR(__xludf.DUMMYFUNCTION("""COMPUTED_VALUE"""),"Mahab Esfiharia")</f>
        <v>Mahab Esfiharia</v>
      </c>
      <c r="B450" s="4" t="str">
        <f>IFERROR(__xludf.DUMMYFUNCTION("""COMPUTED_VALUE"""),"5-6 (estimado)")</f>
        <v>5-6 (estimado)</v>
      </c>
      <c r="C450" s="4" t="str">
        <f>IFERROR(__xludf.DUMMYFUNCTION("""COMPUTED_VALUE"""),"Dado não disponível publicamente - Necessário Discovery")</f>
        <v>Dado não disponível publicamente - Necessário Discovery</v>
      </c>
      <c r="D450" s="4" t="str">
        <f>IFERROR(__xludf.DUMMYFUNCTION("""COMPUTED_VALUE"""),"Fast Casual - Esfiharia com delivery e takeout")</f>
        <v>Fast Casual - Esfiharia com delivery e takeout</v>
      </c>
      <c r="E450" s="4" t="str">
        <f>IFERROR(__xludf.DUMMYFUNCTION("""COMPUTED_VALUE"""),"Brasil - Interior de SP (Piracicaba, Campinas, Hortolândia, Jundiaí, Americana)")</f>
        <v>Brasil - Interior de SP (Piracicaba, Campinas, Hortolândia, Jundiaí, Americana)</v>
      </c>
      <c r="F450" s="4" t="str">
        <f>IFERROR(__xludf.DUMMYFUNCTION("""COMPUTED_VALUE"""),"R$ 50 - R$ 100")</f>
        <v>R$ 50 - R$ 100</v>
      </c>
      <c r="G450" s="4">
        <f>IFERROR(__xludf.DUMMYFUNCTION("""COMPUTED_VALUE"""),50.0)</f>
        <v>50</v>
      </c>
      <c r="H450" s="4">
        <f>IFERROR(__xludf.DUMMYFUNCTION("""COMPUTED_VALUE"""),80.0)</f>
        <v>80</v>
      </c>
      <c r="I450" s="4" t="str">
        <f>IFERROR(__xludf.DUMMYFUNCTION("""COMPUTED_VALUE"""),"Dado não identificado publicamente - Necessário Discovery")</f>
        <v>Dado não identificado publicamente - Necessário Discovery</v>
      </c>
      <c r="K450" s="4" t="str">
        <f>IFERROR(__xludf.DUMMYFUNCTION("""COMPUTED_VALUE"""),"PATRONI PIZZA")</f>
        <v>PATRONI PIZZA</v>
      </c>
      <c r="L450" s="32">
        <f>IFERROR(__xludf.DUMMYFUNCTION("""COMPUTED_VALUE"""),16.0)</f>
        <v>16</v>
      </c>
      <c r="M450" s="4" t="str">
        <f>IFERROR(__xludf.DUMMYFUNCTION("""COMPUTED_VALUE"""),"Saipos Serviços De Software")</f>
        <v>Saipos Serviços De Software</v>
      </c>
      <c r="N450" s="33">
        <f>IFERROR(__xludf.DUMMYFUNCTION("""COMPUTED_VALUE"""),0.35294117647058826)</f>
        <v>0.3529411765</v>
      </c>
      <c r="O450" s="4" t="str">
        <f>IFERROR(__xludf.DUMMYFUNCTION("""COMPUTED_VALUE"""),"Saipos Serviços De Software")</f>
        <v>Saipos Serviços De Software</v>
      </c>
      <c r="P450" s="33">
        <f>IFERROR(__xludf.DUMMYFUNCTION("""COMPUTED_VALUE"""),0.35294117647058826)</f>
        <v>0.3529411765</v>
      </c>
      <c r="Q450" s="4" t="str">
        <f>IFERROR(__xludf.DUMMYFUNCTION("""COMPUTED_VALUE"""),"Saipos Serviços De Software")</f>
        <v>Saipos Serviços De Software</v>
      </c>
      <c r="R450" s="33">
        <f>IFERROR(__xludf.DUMMYFUNCTION("""COMPUTED_VALUE"""),0.35294117647058826)</f>
        <v>0.3529411765</v>
      </c>
      <c r="S450" s="4" t="str">
        <f>IFERROR(__xludf.DUMMYFUNCTION("""COMPUTED_VALUE"""),"Saipos Serviços De Software")</f>
        <v>Saipos Serviços De Software</v>
      </c>
      <c r="T450" s="33">
        <f>IFERROR(__xludf.DUMMYFUNCTION("""COMPUTED_VALUE"""),0.35294117647058826)</f>
        <v>0.3529411765</v>
      </c>
      <c r="U450" s="4" t="str">
        <f>IFERROR(__xludf.DUMMYFUNCTION("""COMPUTED_VALUE"""),"Saipos Serviços De Software")</f>
        <v>Saipos Serviços De Software</v>
      </c>
      <c r="V450" s="33">
        <f>IFERROR(__xludf.DUMMYFUNCTION("""COMPUTED_VALUE"""),0.35294117647058826)</f>
        <v>0.3529411765</v>
      </c>
      <c r="W450" s="4" t="str">
        <f>IFERROR(__xludf.DUMMYFUNCTION("""COMPUTED_VALUE"""),"Saipos Serviços De Software")</f>
        <v>Saipos Serviços De Software</v>
      </c>
      <c r="X450" s="33">
        <f>IFERROR(__xludf.DUMMYFUNCTION("""COMPUTED_VALUE"""),0.35294117647058826)</f>
        <v>0.3529411765</v>
      </c>
    </row>
    <row r="451">
      <c r="A451" s="4" t="str">
        <f>IFERROR(__xludf.DUMMYFUNCTION("""COMPUTED_VALUE"""),"Pecorino Bar &amp; Trattoria")</f>
        <v>Pecorino Bar &amp; Trattoria</v>
      </c>
      <c r="B451" s="4">
        <f>IFERROR(__xludf.DUMMYFUNCTION("""COMPUTED_VALUE"""),12.0)</f>
        <v>12</v>
      </c>
      <c r="C451" s="4" t="str">
        <f>IFERROR(__xludf.DUMMYFUNCTION("""COMPUTED_VALUE"""),"Dado não disponível publicamente")</f>
        <v>Dado não disponível publicamente</v>
      </c>
      <c r="D451" s="4" t="str">
        <f>IFERROR(__xludf.DUMMYFUNCTION("""COMPUTED_VALUE"""),"Full Service - Bar &amp; Trattoria italiano")</f>
        <v>Full Service - Bar &amp; Trattoria italiano</v>
      </c>
      <c r="E451" s="4" t="str">
        <f>IFERROR(__xludf.DUMMYFUNCTION("""COMPUTED_VALUE"""),"Brasil - 12 localizações (sem detalhamento completo disponível)")</f>
        <v>Brasil - 12 localizações (sem detalhamento completo disponível)</v>
      </c>
      <c r="F451" s="4" t="str">
        <f>IFERROR(__xludf.DUMMYFUNCTION("""COMPUTED_VALUE"""),"R$ 50 - R$ 100")</f>
        <v>R$ 50 - R$ 100</v>
      </c>
      <c r="G451" s="4">
        <f>IFERROR(__xludf.DUMMYFUNCTION("""COMPUTED_VALUE"""),50.0)</f>
        <v>50</v>
      </c>
      <c r="H451" s="4">
        <f>IFERROR(__xludf.DUMMYFUNCTION("""COMPUTED_VALUE"""),65.0)</f>
        <v>65</v>
      </c>
      <c r="I451" s="4" t="str">
        <f>IFERROR(__xludf.DUMMYFUNCTION("""COMPUTED_VALUE"""),"Dado não identificado publicamente - Necessário Discovery")</f>
        <v>Dado não identificado publicamente - Necessário Discovery</v>
      </c>
      <c r="K451" s="4" t="str">
        <f>IFERROR(__xludf.DUMMYFUNCTION("""COMPUTED_VALUE"""),"DA PRI")</f>
        <v>DA PRI</v>
      </c>
      <c r="L451" s="32">
        <f>IFERROR(__xludf.DUMMYFUNCTION("""COMPUTED_VALUE"""),16.0)</f>
        <v>16</v>
      </c>
      <c r="M451" s="4" t="str">
        <f>IFERROR(__xludf.DUMMYFUNCTION("""COMPUTED_VALUE"""),"Yooga")</f>
        <v>Yooga</v>
      </c>
      <c r="N451" s="33">
        <f>IFERROR(__xludf.DUMMYFUNCTION("""COMPUTED_VALUE"""),0.875)</f>
        <v>0.875</v>
      </c>
      <c r="O451" s="4" t="str">
        <f>IFERROR(__xludf.DUMMYFUNCTION("""COMPUTED_VALUE"""),"Yooga")</f>
        <v>Yooga</v>
      </c>
      <c r="P451" s="33">
        <f>IFERROR(__xludf.DUMMYFUNCTION("""COMPUTED_VALUE"""),0.875)</f>
        <v>0.875</v>
      </c>
      <c r="Q451" s="4" t="str">
        <f>IFERROR(__xludf.DUMMYFUNCTION("""COMPUTED_VALUE"""),"Yooga")</f>
        <v>Yooga</v>
      </c>
      <c r="R451" s="33">
        <f>IFERROR(__xludf.DUMMYFUNCTION("""COMPUTED_VALUE"""),0.875)</f>
        <v>0.875</v>
      </c>
      <c r="S451" s="4" t="str">
        <f>IFERROR(__xludf.DUMMYFUNCTION("""COMPUTED_VALUE"""),"Yooga")</f>
        <v>Yooga</v>
      </c>
      <c r="T451" s="33">
        <f>IFERROR(__xludf.DUMMYFUNCTION("""COMPUTED_VALUE"""),0.9375)</f>
        <v>0.9375</v>
      </c>
      <c r="U451" s="4" t="str">
        <f>IFERROR(__xludf.DUMMYFUNCTION("""COMPUTED_VALUE"""),"Yooga")</f>
        <v>Yooga</v>
      </c>
      <c r="V451" s="33">
        <f>IFERROR(__xludf.DUMMYFUNCTION("""COMPUTED_VALUE"""),1.0)</f>
        <v>1</v>
      </c>
      <c r="W451" s="4" t="str">
        <f>IFERROR(__xludf.DUMMYFUNCTION("""COMPUTED_VALUE"""),"Yooga")</f>
        <v>Yooga</v>
      </c>
      <c r="X451" s="33">
        <f>IFERROR(__xludf.DUMMYFUNCTION("""COMPUTED_VALUE"""),1.0)</f>
        <v>1</v>
      </c>
    </row>
    <row r="452">
      <c r="A452" s="4" t="str">
        <f>IFERROR(__xludf.DUMMYFUNCTION("""COMPUTED_VALUE"""),"Momo Gelato")</f>
        <v>Momo Gelato</v>
      </c>
      <c r="B452" s="34">
        <f>IFERROR(__xludf.DUMMYFUNCTION("""COMPUTED_VALUE"""),46303.0)</f>
        <v>46303</v>
      </c>
      <c r="C452" s="4" t="str">
        <f>IFERROR(__xludf.DUMMYFUNCTION("""COMPUTED_VALUE"""),"R$ 20-22 milhões (2022)")</f>
        <v>R$ 20-22 milhões (2022)</v>
      </c>
      <c r="D452" s="4" t="str">
        <f>IFERROR(__xludf.DUMMYFUNCTION("""COMPUTED_VALUE"""),"Gelato Artesanal Premium Ítalo-Carioca")</f>
        <v>Gelato Artesanal Premium Ítalo-Carioca</v>
      </c>
      <c r="E452" s="4" t="str">
        <f>IFERROR(__xludf.DUMMYFUNCTION("""COMPUTED_VALUE"""),"Brasil - Rio de Janeiro (6-7 lojas) + São Paulo (2 lojas)")</f>
        <v>Brasil - Rio de Janeiro (6-7 lojas) + São Paulo (2 lojas)</v>
      </c>
      <c r="F452" s="4" t="str">
        <f>IFERROR(__xludf.DUMMYFUNCTION("""COMPUTED_VALUE"""),"R$ 25 - R$ 45")</f>
        <v>R$ 25 - R$ 45</v>
      </c>
      <c r="G452" s="4">
        <f>IFERROR(__xludf.DUMMYFUNCTION("""COMPUTED_VALUE"""),45.0)</f>
        <v>45</v>
      </c>
      <c r="H452" s="4">
        <f>IFERROR(__xludf.DUMMYFUNCTION("""COMPUTED_VALUE"""),60.0)</f>
        <v>60</v>
      </c>
      <c r="I452" s="4" t="str">
        <f>IFERROR(__xludf.DUMMYFUNCTION("""COMPUTED_VALUE"""),"Dado não identificado publicamente - Necessário Discovery")</f>
        <v>Dado não identificado publicamente - Necessário Discovery</v>
      </c>
      <c r="K452" s="4" t="str">
        <f>IFERROR(__xludf.DUMMYFUNCTION("""COMPUTED_VALUE"""),"EH BROWNIE, NAO EH BOLO")</f>
        <v>EH BROWNIE, NAO EH BOLO</v>
      </c>
      <c r="L452" s="32">
        <f>IFERROR(__xludf.DUMMYFUNCTION("""COMPUTED_VALUE"""),16.0)</f>
        <v>16</v>
      </c>
      <c r="M452" s="4" t="str">
        <f>IFERROR(__xludf.DUMMYFUNCTION("""COMPUTED_VALUE"""),"Hubster")</f>
        <v>Hubster</v>
      </c>
      <c r="N452" s="33">
        <f>IFERROR(__xludf.DUMMYFUNCTION("""COMPUTED_VALUE"""),0.5)</f>
        <v>0.5</v>
      </c>
      <c r="O452" s="4" t="str">
        <f>IFERROR(__xludf.DUMMYFUNCTION("""COMPUTED_VALUE"""),"Saipos Serviços De Software")</f>
        <v>Saipos Serviços De Software</v>
      </c>
      <c r="P452" s="33">
        <f>IFERROR(__xludf.DUMMYFUNCTION("""COMPUTED_VALUE"""),0.5)</f>
        <v>0.5</v>
      </c>
      <c r="Q452" s="4" t="str">
        <f>IFERROR(__xludf.DUMMYFUNCTION("""COMPUTED_VALUE"""),"Saipos Serviços De Software")</f>
        <v>Saipos Serviços De Software</v>
      </c>
      <c r="R452" s="33">
        <f>IFERROR(__xludf.DUMMYFUNCTION("""COMPUTED_VALUE"""),0.5)</f>
        <v>0.5</v>
      </c>
      <c r="S452" s="4" t="str">
        <f>IFERROR(__xludf.DUMMYFUNCTION("""COMPUTED_VALUE"""),"Saipos Serviços De Software")</f>
        <v>Saipos Serviços De Software</v>
      </c>
      <c r="T452" s="33">
        <f>IFERROR(__xludf.DUMMYFUNCTION("""COMPUTED_VALUE"""),0.5)</f>
        <v>0.5</v>
      </c>
      <c r="U452" s="4" t="str">
        <f>IFERROR(__xludf.DUMMYFUNCTION("""COMPUTED_VALUE"""),"Saipos Serviços De Software")</f>
        <v>Saipos Serviços De Software</v>
      </c>
      <c r="V452" s="33">
        <f>IFERROR(__xludf.DUMMYFUNCTION("""COMPUTED_VALUE"""),0.5)</f>
        <v>0.5</v>
      </c>
      <c r="W452" s="4" t="str">
        <f>IFERROR(__xludf.DUMMYFUNCTION("""COMPUTED_VALUE"""),"Saipos Serviços De Software")</f>
        <v>Saipos Serviços De Software</v>
      </c>
      <c r="X452" s="33">
        <f>IFERROR(__xludf.DUMMYFUNCTION("""COMPUTED_VALUE"""),0.5)</f>
        <v>0.5</v>
      </c>
    </row>
    <row r="453">
      <c r="A453" s="4" t="str">
        <f>IFERROR(__xludf.DUMMYFUNCTION("""COMPUTED_VALUE"""),"New Dog")</f>
        <v>New Dog</v>
      </c>
      <c r="B453" s="4">
        <f>IFERROR(__xludf.DUMMYFUNCTION("""COMPUTED_VALUE"""),1.0)</f>
        <v>1</v>
      </c>
      <c r="C453" s="4" t="str">
        <f>IFERROR(__xludf.DUMMYFUNCTION("""COMPUTED_VALUE"""),"Dado não disponível publicamente")</f>
        <v>Dado não disponível publicamente</v>
      </c>
      <c r="D453" s="4" t="str">
        <f>IFERROR(__xludf.DUMMYFUNCTION("""COMPUTED_VALUE"""),"Diner/Hamburgueria 24h")</f>
        <v>Diner/Hamburgueria 24h</v>
      </c>
      <c r="E453" s="4" t="str">
        <f>IFERROR(__xludf.DUMMYFUNCTION("""COMPUTED_VALUE"""),"Brasil - São Paulo/SP (Itaim Bibi, única loja 24h)")</f>
        <v>Brasil - São Paulo/SP (Itaim Bibi, única loja 24h)</v>
      </c>
      <c r="F453" s="4" t="str">
        <f>IFERROR(__xludf.DUMMYFUNCTION("""COMPUTED_VALUE"""),"R$ 45 - R$ 80")</f>
        <v>R$ 45 - R$ 80</v>
      </c>
      <c r="G453" s="4">
        <f>IFERROR(__xludf.DUMMYFUNCTION("""COMPUTED_VALUE"""),40.0)</f>
        <v>40</v>
      </c>
      <c r="H453" s="4">
        <f>IFERROR(__xludf.DUMMYFUNCTION("""COMPUTED_VALUE"""),55.0)</f>
        <v>55</v>
      </c>
      <c r="I453" s="4" t="str">
        <f>IFERROR(__xludf.DUMMYFUNCTION("""COMPUTED_VALUE"""),"Dado não identificado publicamente - Necessário Discovery")</f>
        <v>Dado não identificado publicamente - Necessário Discovery</v>
      </c>
      <c r="K453" s="4" t="str">
        <f>IFERROR(__xludf.DUMMYFUNCTION("""COMPUTED_VALUE"""),"FARMACIA SOS DO TRABALHADOR - CONTA MARCA")</f>
        <v>FARMACIA SOS DO TRABALHADOR - CONTA MARCA</v>
      </c>
      <c r="L453" s="32">
        <f>IFERROR(__xludf.DUMMYFUNCTION("""COMPUTED_VALUE"""),16.0)</f>
        <v>16</v>
      </c>
      <c r="M453" s="4" t="str">
        <f>IFERROR(__xludf.DUMMYFUNCTION("""COMPUTED_VALUE"""),"N/A (Not found)")</f>
        <v>N/A (Not found)</v>
      </c>
      <c r="N453" s="33">
        <f>IFERROR(__xludf.DUMMYFUNCTION("""COMPUTED_VALUE"""),0.875)</f>
        <v>0.875</v>
      </c>
      <c r="O453" s="4" t="str">
        <f>IFERROR(__xludf.DUMMYFUNCTION("""COMPUTED_VALUE"""),"N/A (Not found)")</f>
        <v>N/A (Not found)</v>
      </c>
      <c r="P453" s="33">
        <f>IFERROR(__xludf.DUMMYFUNCTION("""COMPUTED_VALUE"""),0.875)</f>
        <v>0.875</v>
      </c>
      <c r="Q453" s="4" t="str">
        <f>IFERROR(__xludf.DUMMYFUNCTION("""COMPUTED_VALUE"""),"N/A (Not found)")</f>
        <v>N/A (Not found)</v>
      </c>
      <c r="R453" s="33">
        <f>IFERROR(__xludf.DUMMYFUNCTION("""COMPUTED_VALUE"""),0.875)</f>
        <v>0.875</v>
      </c>
      <c r="S453" s="4" t="str">
        <f>IFERROR(__xludf.DUMMYFUNCTION("""COMPUTED_VALUE"""),"N/A (Not found)")</f>
        <v>N/A (Not found)</v>
      </c>
      <c r="T453" s="33">
        <f>IFERROR(__xludf.DUMMYFUNCTION("""COMPUTED_VALUE"""),0.9375)</f>
        <v>0.9375</v>
      </c>
      <c r="U453" s="4" t="str">
        <f>IFERROR(__xludf.DUMMYFUNCTION("""COMPUTED_VALUE"""),"N/A (Not found)")</f>
        <v>N/A (Not found)</v>
      </c>
      <c r="V453" s="33">
        <f>IFERROR(__xludf.DUMMYFUNCTION("""COMPUTED_VALUE"""),0.9375)</f>
        <v>0.9375</v>
      </c>
      <c r="W453" s="4" t="str">
        <f>IFERROR(__xludf.DUMMYFUNCTION("""COMPUTED_VALUE"""),"N/A (Not found)")</f>
        <v>N/A (Not found)</v>
      </c>
      <c r="X453" s="33">
        <f>IFERROR(__xludf.DUMMYFUNCTION("""COMPUTED_VALUE"""),1.0)</f>
        <v>1</v>
      </c>
    </row>
    <row r="454">
      <c r="A454" s="4" t="str">
        <f>IFERROR(__xludf.DUMMYFUNCTION("""COMPUTED_VALUE"""),"Joe Pizzaria")</f>
        <v>Joe Pizzaria</v>
      </c>
      <c r="B454" s="34">
        <f>IFERROR(__xludf.DUMMYFUNCTION("""COMPUTED_VALUE"""),46054.0)</f>
        <v>46054</v>
      </c>
      <c r="C454" s="4" t="str">
        <f>IFERROR(__xludf.DUMMYFUNCTION("""COMPUTED_VALUE"""),"Dado não disponível publicamente")</f>
        <v>Dado não disponível publicamente</v>
      </c>
      <c r="D454" s="4" t="str">
        <f>IFERROR(__xludf.DUMMYFUNCTION("""COMPUTED_VALUE"""),"Pizzaria local sem escala de rede")</f>
        <v>Pizzaria local sem escala de rede</v>
      </c>
      <c r="E454" s="4" t="str">
        <f>IFERROR(__xludf.DUMMYFUNCTION("""COMPUTED_VALUE"""),"Brasil - Indaiatuba/SP e Pinhais/PR (locais isolados)")</f>
        <v>Brasil - Indaiatuba/SP e Pinhais/PR (locais isolados)</v>
      </c>
      <c r="F454" s="4" t="str">
        <f>IFERROR(__xludf.DUMMYFUNCTION("""COMPUTED_VALUE"""),"R$ 60 - R$ 120")</f>
        <v>R$ 60 - R$ 120</v>
      </c>
      <c r="G454" s="4">
        <f>IFERROR(__xludf.DUMMYFUNCTION("""COMPUTED_VALUE"""),40.0)</f>
        <v>40</v>
      </c>
      <c r="H454" s="4">
        <f>IFERROR(__xludf.DUMMYFUNCTION("""COMPUTED_VALUE"""),55.0)</f>
        <v>55</v>
      </c>
      <c r="I454" s="4" t="str">
        <f>IFERROR(__xludf.DUMMYFUNCTION("""COMPUTED_VALUE"""),"Dado não identificado publicamente - Necessário Discovery")</f>
        <v>Dado não identificado publicamente - Necessário Discovery</v>
      </c>
      <c r="K454" s="4" t="str">
        <f>IFERROR(__xludf.DUMMYFUNCTION("""COMPUTED_VALUE"""),"FARMACIAS MAIS POPULAR - CONTA PAI")</f>
        <v>FARMACIAS MAIS POPULAR - CONTA PAI</v>
      </c>
      <c r="L454" s="32">
        <f>IFERROR(__xludf.DUMMYFUNCTION("""COMPUTED_VALUE"""),16.0)</f>
        <v>16</v>
      </c>
      <c r="M454" s="4" t="str">
        <f>IFERROR(__xludf.DUMMYFUNCTION("""COMPUTED_VALUE"""),"N/A (Not found)")</f>
        <v>N/A (Not found)</v>
      </c>
      <c r="N454" s="33">
        <f>IFERROR(__xludf.DUMMYFUNCTION("""COMPUTED_VALUE"""),0.9375)</f>
        <v>0.9375</v>
      </c>
      <c r="O454" s="4" t="str">
        <f>IFERROR(__xludf.DUMMYFUNCTION("""COMPUTED_VALUE"""),"N/A (Not found)")</f>
        <v>N/A (Not found)</v>
      </c>
      <c r="P454" s="33">
        <f>IFERROR(__xludf.DUMMYFUNCTION("""COMPUTED_VALUE"""),0.9375)</f>
        <v>0.9375</v>
      </c>
      <c r="Q454" s="4" t="str">
        <f>IFERROR(__xludf.DUMMYFUNCTION("""COMPUTED_VALUE"""),"N/A (Not found)")</f>
        <v>N/A (Not found)</v>
      </c>
      <c r="R454" s="33">
        <f>IFERROR(__xludf.DUMMYFUNCTION("""COMPUTED_VALUE"""),0.9375)</f>
        <v>0.9375</v>
      </c>
      <c r="S454" s="4" t="str">
        <f>IFERROR(__xludf.DUMMYFUNCTION("""COMPUTED_VALUE"""),"N/A (Not found)")</f>
        <v>N/A (Not found)</v>
      </c>
      <c r="T454" s="33">
        <f>IFERROR(__xludf.DUMMYFUNCTION("""COMPUTED_VALUE"""),0.9375)</f>
        <v>0.9375</v>
      </c>
      <c r="U454" s="4" t="str">
        <f>IFERROR(__xludf.DUMMYFUNCTION("""COMPUTED_VALUE"""),"N/A (Not found)")</f>
        <v>N/A (Not found)</v>
      </c>
      <c r="V454" s="33">
        <f>IFERROR(__xludf.DUMMYFUNCTION("""COMPUTED_VALUE"""),1.0)</f>
        <v>1</v>
      </c>
      <c r="W454" s="4" t="str">
        <f>IFERROR(__xludf.DUMMYFUNCTION("""COMPUTED_VALUE"""),"N/A (Not found)")</f>
        <v>N/A (Not found)</v>
      </c>
      <c r="X454" s="33">
        <f>IFERROR(__xludf.DUMMYFUNCTION("""COMPUTED_VALUE"""),1.0)</f>
        <v>1</v>
      </c>
    </row>
    <row r="455">
      <c r="A455" s="4" t="str">
        <f>IFERROR(__xludf.DUMMYFUNCTION("""COMPUTED_VALUE"""),"Milk Mellow")</f>
        <v>Milk Mellow</v>
      </c>
      <c r="B455" s="4">
        <f>IFERROR(__xludf.DUMMYFUNCTION("""COMPUTED_VALUE"""),2.0)</f>
        <v>2</v>
      </c>
      <c r="C455" s="4" t="str">
        <f>IFERROR(__xludf.DUMMYFUNCTION("""COMPUTED_VALUE"""),"Dado não disponível publicamente")</f>
        <v>Dado não disponível publicamente</v>
      </c>
      <c r="D455" s="4" t="str">
        <f>IFERROR(__xludf.DUMMYFUNCTION("""COMPUTED_VALUE"""),"Diner/Hamburgueria + Gelato Artesanal Italiano")</f>
        <v>Diner/Hamburgueria + Gelato Artesanal Italiano</v>
      </c>
      <c r="E455" s="4" t="str">
        <f>IFERROR(__xludf.DUMMYFUNCTION("""COMPUTED_VALUE"""),"Brasil - São Paulo/SP (2 lojas: Cidade Jardim + JK)")</f>
        <v>Brasil - São Paulo/SP (2 lojas: Cidade Jardim + JK)</v>
      </c>
      <c r="F455" s="4" t="str">
        <f>IFERROR(__xludf.DUMMYFUNCTION("""COMPUTED_VALUE"""),"R$ 25 - R$ 45")</f>
        <v>R$ 25 - R$ 45</v>
      </c>
      <c r="G455" s="4">
        <f>IFERROR(__xludf.DUMMYFUNCTION("""COMPUTED_VALUE"""),40.0)</f>
        <v>40</v>
      </c>
      <c r="H455" s="4">
        <f>IFERROR(__xludf.DUMMYFUNCTION("""COMPUTED_VALUE"""),55.0)</f>
        <v>55</v>
      </c>
      <c r="I455" s="4" t="str">
        <f>IFERROR(__xludf.DUMMYFUNCTION("""COMPUTED_VALUE"""),"Dado não identificado publicamente - Necessário Discovery")</f>
        <v>Dado não identificado publicamente - Necessário Discovery</v>
      </c>
      <c r="K455" s="4" t="str">
        <f>IFERROR(__xludf.DUMMYFUNCTION("""COMPUTED_VALUE"""),"FARMAVIDA - CONTA MARCA")</f>
        <v>FARMAVIDA - CONTA MARCA</v>
      </c>
      <c r="L455" s="32">
        <f>IFERROR(__xludf.DUMMYFUNCTION("""COMPUTED_VALUE"""),16.0)</f>
        <v>16</v>
      </c>
      <c r="M455" s="4" t="str">
        <f>IFERROR(__xludf.DUMMYFUNCTION("""COMPUTED_VALUE"""),"N/A (Not found)")</f>
        <v>N/A (Not found)</v>
      </c>
      <c r="N455" s="33">
        <f>IFERROR(__xludf.DUMMYFUNCTION("""COMPUTED_VALUE"""),0.9375)</f>
        <v>0.9375</v>
      </c>
      <c r="O455" s="4" t="str">
        <f>IFERROR(__xludf.DUMMYFUNCTION("""COMPUTED_VALUE"""),"N/A (Not found)")</f>
        <v>N/A (Not found)</v>
      </c>
      <c r="P455" s="33">
        <f>IFERROR(__xludf.DUMMYFUNCTION("""COMPUTED_VALUE"""),1.0)</f>
        <v>1</v>
      </c>
      <c r="Q455" s="4" t="str">
        <f>IFERROR(__xludf.DUMMYFUNCTION("""COMPUTED_VALUE"""),"N/A (Not found)")</f>
        <v>N/A (Not found)</v>
      </c>
      <c r="R455" s="33">
        <f>IFERROR(__xludf.DUMMYFUNCTION("""COMPUTED_VALUE"""),0.9375)</f>
        <v>0.9375</v>
      </c>
      <c r="S455" s="4" t="str">
        <f>IFERROR(__xludf.DUMMYFUNCTION("""COMPUTED_VALUE"""),"N/A (Not found)")</f>
        <v>N/A (Not found)</v>
      </c>
      <c r="T455" s="33">
        <f>IFERROR(__xludf.DUMMYFUNCTION("""COMPUTED_VALUE"""),0.9375)</f>
        <v>0.9375</v>
      </c>
      <c r="U455" s="4" t="str">
        <f>IFERROR(__xludf.DUMMYFUNCTION("""COMPUTED_VALUE"""),"N/A (Not found)")</f>
        <v>N/A (Not found)</v>
      </c>
      <c r="V455" s="33">
        <f>IFERROR(__xludf.DUMMYFUNCTION("""COMPUTED_VALUE"""),1.0)</f>
        <v>1</v>
      </c>
      <c r="W455" s="4" t="str">
        <f>IFERROR(__xludf.DUMMYFUNCTION("""COMPUTED_VALUE"""),"N/A (Not found)")</f>
        <v>N/A (Not found)</v>
      </c>
      <c r="X455" s="33">
        <f>IFERROR(__xludf.DUMMYFUNCTION("""COMPUTED_VALUE"""),1.0)</f>
        <v>1</v>
      </c>
    </row>
    <row r="456">
      <c r="A456" s="4" t="str">
        <f>IFERROR(__xludf.DUMMYFUNCTION("""COMPUTED_VALUE"""),"Outros 500 (Outros500 Lounge Bar)")</f>
        <v>Outros 500 (Outros500 Lounge Bar)</v>
      </c>
      <c r="B456" s="34">
        <f>IFERROR(__xludf.DUMMYFUNCTION("""COMPUTED_VALUE"""),46178.0)</f>
        <v>46178</v>
      </c>
      <c r="C456" s="4" t="str">
        <f>IFERROR(__xludf.DUMMYFUNCTION("""COMPUTED_VALUE"""),"R$ 1 milhão/mês (por loja)")</f>
        <v>R$ 1 milhão/mês (por loja)</v>
      </c>
      <c r="D456" s="4" t="str">
        <f>IFERROR(__xludf.DUMMYFUNCTION("""COMPUTED_VALUE"""),"Full Service - Gastrobar com culinária mundial")</f>
        <v>Full Service - Gastrobar com culinária mundial</v>
      </c>
      <c r="E456" s="4" t="str">
        <f>IFERROR(__xludf.DUMMYFUNCTION("""COMPUTED_VALUE"""),"Brasil - Rio de Janeiro/RJ (Cabo Frio 2, São Pedro da Aldeia, Recreio dos Bandeirantes, Teresópolis, Araruama)")</f>
        <v>Brasil - Rio de Janeiro/RJ (Cabo Frio 2, São Pedro da Aldeia, Recreio dos Bandeirantes, Teresópolis, Araruama)</v>
      </c>
      <c r="F456" s="4" t="str">
        <f>IFERROR(__xludf.DUMMYFUNCTION("""COMPUTED_VALUE"""),"R$ 50 - R$ 100")</f>
        <v>R$ 50 - R$ 100</v>
      </c>
      <c r="G456" s="4">
        <f>IFERROR(__xludf.DUMMYFUNCTION("""COMPUTED_VALUE"""),35.0)</f>
        <v>35</v>
      </c>
      <c r="H456" s="4">
        <f>IFERROR(__xludf.DUMMYFUNCTION("""COMPUTED_VALUE"""),60.0)</f>
        <v>60</v>
      </c>
      <c r="I456" s="4" t="str">
        <f>IFERROR(__xludf.DUMMYFUNCTION("""COMPUTED_VALUE"""),"Dado não identificado publicamente - Necessário Discovery")</f>
        <v>Dado não identificado publicamente - Necessário Discovery</v>
      </c>
      <c r="K456" s="4" t="str">
        <f>IFERROR(__xludf.DUMMYFUNCTION("""COMPUTED_VALUE"""),"GATSU JAPA")</f>
        <v>GATSU JAPA</v>
      </c>
      <c r="L456" s="32">
        <f>IFERROR(__xludf.DUMMYFUNCTION("""COMPUTED_VALUE"""),16.0)</f>
        <v>16</v>
      </c>
      <c r="M456" s="4" t="str">
        <f>IFERROR(__xludf.DUMMYFUNCTION("""COMPUTED_VALUE"""),"Saipos Serviços De Software")</f>
        <v>Saipos Serviços De Software</v>
      </c>
      <c r="N456" s="33">
        <f>IFERROR(__xludf.DUMMYFUNCTION("""COMPUTED_VALUE"""),1.0)</f>
        <v>1</v>
      </c>
      <c r="O456" s="4" t="str">
        <f>IFERROR(__xludf.DUMMYFUNCTION("""COMPUTED_VALUE"""),"Saipos Serviços De Software")</f>
        <v>Saipos Serviços De Software</v>
      </c>
      <c r="P456" s="33">
        <f>IFERROR(__xludf.DUMMYFUNCTION("""COMPUTED_VALUE"""),0.9375)</f>
        <v>0.9375</v>
      </c>
      <c r="Q456" s="4" t="str">
        <f>IFERROR(__xludf.DUMMYFUNCTION("""COMPUTED_VALUE"""),"Saipos Serviços De Software")</f>
        <v>Saipos Serviços De Software</v>
      </c>
      <c r="R456" s="33">
        <f>IFERROR(__xludf.DUMMYFUNCTION("""COMPUTED_VALUE"""),0.75)</f>
        <v>0.75</v>
      </c>
      <c r="S456" s="4" t="str">
        <f>IFERROR(__xludf.DUMMYFUNCTION("""COMPUTED_VALUE"""),"Saipos Serviços De Software")</f>
        <v>Saipos Serviços De Software</v>
      </c>
      <c r="T456" s="33">
        <f>IFERROR(__xludf.DUMMYFUNCTION("""COMPUTED_VALUE"""),0.9375)</f>
        <v>0.9375</v>
      </c>
      <c r="U456" s="4" t="str">
        <f>IFERROR(__xludf.DUMMYFUNCTION("""COMPUTED_VALUE"""),"Saipos Serviços De Software")</f>
        <v>Saipos Serviços De Software</v>
      </c>
      <c r="V456" s="33">
        <f>IFERROR(__xludf.DUMMYFUNCTION("""COMPUTED_VALUE"""),0.9375)</f>
        <v>0.9375</v>
      </c>
      <c r="W456" s="4" t="str">
        <f>IFERROR(__xludf.DUMMYFUNCTION("""COMPUTED_VALUE"""),"Saipos Serviços De Software")</f>
        <v>Saipos Serviços De Software</v>
      </c>
      <c r="X456" s="33">
        <f>IFERROR(__xludf.DUMMYFUNCTION("""COMPUTED_VALUE"""),0.75)</f>
        <v>0.75</v>
      </c>
    </row>
    <row r="457">
      <c r="A457" s="4" t="str">
        <f>IFERROR(__xludf.DUMMYFUNCTION("""COMPUTED_VALUE"""),"Pabu Izakaya")</f>
        <v>Pabu Izakaya</v>
      </c>
      <c r="B457" s="4">
        <f>IFERROR(__xludf.DUMMYFUNCTION("""COMPUTED_VALUE"""),1.0)</f>
        <v>1</v>
      </c>
      <c r="C457" s="4" t="str">
        <f>IFERROR(__xludf.DUMMYFUNCTION("""COMPUTED_VALUE"""),"Dado não disponível publicamente")</f>
        <v>Dado não disponível publicamente</v>
      </c>
      <c r="D457" s="4" t="str">
        <f>IFERROR(__xludf.DUMMYFUNCTION("""COMPUTED_VALUE"""),"Table Service - Izakaya japonês (bar tradicional)")</f>
        <v>Table Service - Izakaya japonês (bar tradicional)</v>
      </c>
      <c r="E457" s="4" t="str">
        <f>IFERROR(__xludf.DUMMYFUNCTION("""COMPUTED_VALUE"""),"Brasil - Rio de Janeiro/RJ (Leblon, única loja)")</f>
        <v>Brasil - Rio de Janeiro/RJ (Leblon, única loja)</v>
      </c>
      <c r="F457" s="4" t="str">
        <f>IFERROR(__xludf.DUMMYFUNCTION("""COMPUTED_VALUE"""),"R$ 70 - R$ 150")</f>
        <v>R$ 70 - R$ 150</v>
      </c>
      <c r="G457" s="4">
        <f>IFERROR(__xludf.DUMMYFUNCTION("""COMPUTED_VALUE"""),30.0)</f>
        <v>30</v>
      </c>
      <c r="H457" s="4">
        <f>IFERROR(__xludf.DUMMYFUNCTION("""COMPUTED_VALUE"""),55.0)</f>
        <v>55</v>
      </c>
      <c r="I457" s="4" t="str">
        <f>IFERROR(__xludf.DUMMYFUNCTION("""COMPUTED_VALUE"""),"Dado não identificado publicamente - Necessário Discovery")</f>
        <v>Dado não identificado publicamente - Necessário Discovery</v>
      </c>
      <c r="K457" s="4" t="str">
        <f>IFERROR(__xludf.DUMMYFUNCTION("""COMPUTED_VALUE"""),"GRUPO ALICES")</f>
        <v>GRUPO ALICES</v>
      </c>
      <c r="L457" s="32">
        <f>IFERROR(__xludf.DUMMYFUNCTION("""COMPUTED_VALUE"""),16.0)</f>
        <v>16</v>
      </c>
      <c r="M457" s="4" t="str">
        <f>IFERROR(__xludf.DUMMYFUNCTION("""COMPUTED_VALUE"""),"Ncr")</f>
        <v>Ncr</v>
      </c>
      <c r="N457" s="33">
        <f>IFERROR(__xludf.DUMMYFUNCTION("""COMPUTED_VALUE"""),1.0)</f>
        <v>1</v>
      </c>
      <c r="O457" s="4" t="str">
        <f>IFERROR(__xludf.DUMMYFUNCTION("""COMPUTED_VALUE"""),"Ncr")</f>
        <v>Ncr</v>
      </c>
      <c r="P457" s="33">
        <f>IFERROR(__xludf.DUMMYFUNCTION("""COMPUTED_VALUE"""),0.9375)</f>
        <v>0.9375</v>
      </c>
      <c r="Q457" s="4" t="str">
        <f>IFERROR(__xludf.DUMMYFUNCTION("""COMPUTED_VALUE"""),"Ncr")</f>
        <v>Ncr</v>
      </c>
      <c r="R457" s="33">
        <f>IFERROR(__xludf.DUMMYFUNCTION("""COMPUTED_VALUE"""),0.9375)</f>
        <v>0.9375</v>
      </c>
      <c r="S457" s="4" t="str">
        <f>IFERROR(__xludf.DUMMYFUNCTION("""COMPUTED_VALUE"""),"Ncr")</f>
        <v>Ncr</v>
      </c>
      <c r="T457" s="33">
        <f>IFERROR(__xludf.DUMMYFUNCTION("""COMPUTED_VALUE"""),0.9375)</f>
        <v>0.9375</v>
      </c>
      <c r="U457" s="4" t="str">
        <f>IFERROR(__xludf.DUMMYFUNCTION("""COMPUTED_VALUE"""),"Ncr")</f>
        <v>Ncr</v>
      </c>
      <c r="V457" s="33">
        <f>IFERROR(__xludf.DUMMYFUNCTION("""COMPUTED_VALUE"""),0.9375)</f>
        <v>0.9375</v>
      </c>
      <c r="W457" s="4" t="str">
        <f>IFERROR(__xludf.DUMMYFUNCTION("""COMPUTED_VALUE"""),"Ncr")</f>
        <v>Ncr</v>
      </c>
      <c r="X457" s="33">
        <f>IFERROR(__xludf.DUMMYFUNCTION("""COMPUTED_VALUE"""),0.875)</f>
        <v>0.875</v>
      </c>
    </row>
    <row r="458">
      <c r="A458" s="4" t="str">
        <f>IFERROR(__xludf.DUMMYFUNCTION("""COMPUTED_VALUE"""),"Mitsuba")</f>
        <v>Mitsuba</v>
      </c>
      <c r="B458" s="4">
        <f>IFERROR(__xludf.DUMMYFUNCTION("""COMPUTED_VALUE"""),1.0)</f>
        <v>1</v>
      </c>
      <c r="C458" s="4" t="str">
        <f>IFERROR(__xludf.DUMMYFUNCTION("""COMPUTED_VALUE"""),"Dado não disponível publicamente")</f>
        <v>Dado não disponível publicamente</v>
      </c>
      <c r="D458" s="4" t="str">
        <f>IFERROR(__xludf.DUMMYFUNCTION("""COMPUTED_VALUE"""),"Table Service - Restaurante japonês tradicional (sushis, sashimis, peixes frescos)")</f>
        <v>Table Service - Restaurante japonês tradicional (sushis, sashimis, peixes frescos)</v>
      </c>
      <c r="E458" s="4" t="str">
        <f>IFERROR(__xludf.DUMMYFUNCTION("""COMPUTED_VALUE"""),"Brasil - Rio de Janeiro/RJ (única loja no Horto/Jardim Botânico)")</f>
        <v>Brasil - Rio de Janeiro/RJ (única loja no Horto/Jardim Botânico)</v>
      </c>
      <c r="F458" s="4" t="str">
        <f>IFERROR(__xludf.DUMMYFUNCTION("""COMPUTED_VALUE"""),"R$ 70 - R$ 150")</f>
        <v>R$ 70 - R$ 150</v>
      </c>
      <c r="G458" s="4">
        <f>IFERROR(__xludf.DUMMYFUNCTION("""COMPUTED_VALUE"""),30.0)</f>
        <v>30</v>
      </c>
      <c r="H458" s="4">
        <f>IFERROR(__xludf.DUMMYFUNCTION("""COMPUTED_VALUE"""),55.0)</f>
        <v>55</v>
      </c>
      <c r="I458" s="4" t="str">
        <f>IFERROR(__xludf.DUMMYFUNCTION("""COMPUTED_VALUE"""),"Dado não identificado publicamente - Necessário Discovery")</f>
        <v>Dado não identificado publicamente - Necessário Discovery</v>
      </c>
      <c r="K458" s="4" t="str">
        <f>IFERROR(__xludf.DUMMYFUNCTION("""COMPUTED_VALUE"""),"GRUPO AMERICAN BURGER BH")</f>
        <v>GRUPO AMERICAN BURGER BH</v>
      </c>
      <c r="L458" s="32">
        <f>IFERROR(__xludf.DUMMYFUNCTION("""COMPUTED_VALUE"""),16.0)</f>
        <v>16</v>
      </c>
      <c r="M458" s="4" t="str">
        <f>IFERROR(__xludf.DUMMYFUNCTION("""COMPUTED_VALUE"""),"Eclética Tecnologia")</f>
        <v>Eclética Tecnologia</v>
      </c>
      <c r="N458" s="33">
        <f>IFERROR(__xludf.DUMMYFUNCTION("""COMPUTED_VALUE"""),1.0)</f>
        <v>1</v>
      </c>
      <c r="O458" s="4" t="str">
        <f>IFERROR(__xludf.DUMMYFUNCTION("""COMPUTED_VALUE"""),"Eclética Tecnologia")</f>
        <v>Eclética Tecnologia</v>
      </c>
      <c r="P458" s="33">
        <f>IFERROR(__xludf.DUMMYFUNCTION("""COMPUTED_VALUE"""),0.75)</f>
        <v>0.75</v>
      </c>
      <c r="Q458" s="4" t="str">
        <f>IFERROR(__xludf.DUMMYFUNCTION("""COMPUTED_VALUE"""),"Eclética Tecnologia")</f>
        <v>Eclética Tecnologia</v>
      </c>
      <c r="R458" s="33">
        <f>IFERROR(__xludf.DUMMYFUNCTION("""COMPUTED_VALUE"""),0.6875)</f>
        <v>0.6875</v>
      </c>
      <c r="S458" s="4" t="str">
        <f>IFERROR(__xludf.DUMMYFUNCTION("""COMPUTED_VALUE"""),"Eclética Tecnologia")</f>
        <v>Eclética Tecnologia</v>
      </c>
      <c r="T458" s="33">
        <f>IFERROR(__xludf.DUMMYFUNCTION("""COMPUTED_VALUE"""),0.75)</f>
        <v>0.75</v>
      </c>
      <c r="U458" s="4" t="str">
        <f>IFERROR(__xludf.DUMMYFUNCTION("""COMPUTED_VALUE"""),"Eclética Tecnologia")</f>
        <v>Eclética Tecnologia</v>
      </c>
      <c r="V458" s="33">
        <f>IFERROR(__xludf.DUMMYFUNCTION("""COMPUTED_VALUE"""),0.8125)</f>
        <v>0.8125</v>
      </c>
      <c r="W458" s="4" t="str">
        <f>IFERROR(__xludf.DUMMYFUNCTION("""COMPUTED_VALUE"""),"Eclética Tecnologia")</f>
        <v>Eclética Tecnologia</v>
      </c>
      <c r="X458" s="33">
        <f>IFERROR(__xludf.DUMMYFUNCTION("""COMPUTED_VALUE"""),0.75)</f>
        <v>0.75</v>
      </c>
    </row>
    <row r="459">
      <c r="A459" s="4" t="str">
        <f>IFERROR(__xludf.DUMMYFUNCTION("""COMPUTED_VALUE"""),"Nacional Lanches")</f>
        <v>Nacional Lanches</v>
      </c>
      <c r="B459" s="4">
        <f>IFERROR(__xludf.DUMMYFUNCTION("""COMPUTED_VALUE"""),1.0)</f>
        <v>1</v>
      </c>
      <c r="C459" s="4" t="str">
        <f>IFERROR(__xludf.DUMMYFUNCTION("""COMPUTED_VALUE"""),"Dado não disponível publicamente")</f>
        <v>Dado não disponível publicamente</v>
      </c>
      <c r="D459" s="4" t="str">
        <f>IFERROR(__xludf.DUMMYFUNCTION("""COMPUTED_VALUE"""),"Lanchonete local sem rede")</f>
        <v>Lanchonete local sem rede</v>
      </c>
      <c r="E459" s="4" t="str">
        <f>IFERROR(__xludf.DUMMYFUNCTION("""COMPUTED_VALUE"""),"Brasil - Maringá/PR (única loja)")</f>
        <v>Brasil - Maringá/PR (única loja)</v>
      </c>
      <c r="F459" s="4" t="str">
        <f>IFERROR(__xludf.DUMMYFUNCTION("""COMPUTED_VALUE"""),"R$ 50 - R$ 100")</f>
        <v>R$ 50 - R$ 100</v>
      </c>
      <c r="G459" s="4">
        <f>IFERROR(__xludf.DUMMYFUNCTION("""COMPUTED_VALUE"""),25.0)</f>
        <v>25</v>
      </c>
      <c r="H459" s="4">
        <f>IFERROR(__xludf.DUMMYFUNCTION("""COMPUTED_VALUE"""),55.0)</f>
        <v>55</v>
      </c>
      <c r="I459" s="4" t="str">
        <f>IFERROR(__xludf.DUMMYFUNCTION("""COMPUTED_VALUE"""),"Dado não identificado publicamente - Necessário Discovery")</f>
        <v>Dado não identificado publicamente - Necessário Discovery</v>
      </c>
      <c r="K459" s="4" t="str">
        <f>IFERROR(__xludf.DUMMYFUNCTION("""COMPUTED_VALUE"""),"GRUPO VACA")</f>
        <v>GRUPO VACA</v>
      </c>
      <c r="L459" s="32">
        <f>IFERROR(__xludf.DUMMYFUNCTION("""COMPUTED_VALUE"""),16.0)</f>
        <v>16</v>
      </c>
      <c r="M459" s="4" t="str">
        <f>IFERROR(__xludf.DUMMYFUNCTION("""COMPUTED_VALUE"""),"Saipos Serviços De Software")</f>
        <v>Saipos Serviços De Software</v>
      </c>
      <c r="N459" s="33">
        <f>IFERROR(__xludf.DUMMYFUNCTION("""COMPUTED_VALUE"""),1.0)</f>
        <v>1</v>
      </c>
      <c r="O459" s="4" t="str">
        <f>IFERROR(__xludf.DUMMYFUNCTION("""COMPUTED_VALUE"""),"Saipos Serviços De Software")</f>
        <v>Saipos Serviços De Software</v>
      </c>
      <c r="P459" s="33">
        <f>IFERROR(__xludf.DUMMYFUNCTION("""COMPUTED_VALUE"""),1.0)</f>
        <v>1</v>
      </c>
      <c r="Q459" s="4" t="str">
        <f>IFERROR(__xludf.DUMMYFUNCTION("""COMPUTED_VALUE"""),"Saipos Serviços De Software")</f>
        <v>Saipos Serviços De Software</v>
      </c>
      <c r="R459" s="33">
        <f>IFERROR(__xludf.DUMMYFUNCTION("""COMPUTED_VALUE"""),1.0)</f>
        <v>1</v>
      </c>
      <c r="S459" s="4" t="str">
        <f>IFERROR(__xludf.DUMMYFUNCTION("""COMPUTED_VALUE"""),"Saipos Serviços De Software")</f>
        <v>Saipos Serviços De Software</v>
      </c>
      <c r="T459" s="33">
        <f>IFERROR(__xludf.DUMMYFUNCTION("""COMPUTED_VALUE"""),1.0)</f>
        <v>1</v>
      </c>
      <c r="U459" s="4" t="str">
        <f>IFERROR(__xludf.DUMMYFUNCTION("""COMPUTED_VALUE"""),"Saipos Serviços De Software")</f>
        <v>Saipos Serviços De Software</v>
      </c>
      <c r="V459" s="33">
        <f>IFERROR(__xludf.DUMMYFUNCTION("""COMPUTED_VALUE"""),1.0)</f>
        <v>1</v>
      </c>
      <c r="W459" s="4" t="str">
        <f>IFERROR(__xludf.DUMMYFUNCTION("""COMPUTED_VALUE"""),"Saipos Serviços De Software")</f>
        <v>Saipos Serviços De Software</v>
      </c>
      <c r="X459" s="33">
        <f>IFERROR(__xludf.DUMMYFUNCTION("""COMPUTED_VALUE"""),1.0)</f>
        <v>1</v>
      </c>
    </row>
    <row r="460">
      <c r="A460" s="4" t="str">
        <f>IFERROR(__xludf.DUMMYFUNCTION("""COMPUTED_VALUE"""),"Paellas Pepe")</f>
        <v>Paellas Pepe</v>
      </c>
      <c r="B460" s="4">
        <f>IFERROR(__xludf.DUMMYFUNCTION("""COMPUTED_VALUE"""),1.0)</f>
        <v>1</v>
      </c>
      <c r="C460" s="4" t="str">
        <f>IFERROR(__xludf.DUMMYFUNCTION("""COMPUTED_VALUE"""),"Dado não disponível publicamente")</f>
        <v>Dado não disponível publicamente</v>
      </c>
      <c r="D460" s="4" t="str">
        <f>IFERROR(__xludf.DUMMYFUNCTION("""COMPUTED_VALUE"""),"Table Service - Paella espanhola autêntica")</f>
        <v>Table Service - Paella espanhola autêntica</v>
      </c>
      <c r="E460" s="4" t="str">
        <f>IFERROR(__xludf.DUMMYFUNCTION("""COMPUTED_VALUE"""),"Brasil - São Paulo/SP (Ipiranga, loja única)")</f>
        <v>Brasil - São Paulo/SP (Ipiranga, loja única)</v>
      </c>
      <c r="F460" s="4" t="str">
        <f>IFERROR(__xludf.DUMMYFUNCTION("""COMPUTED_VALUE"""),"R$ 80 - R$ 180")</f>
        <v>R$ 80 - R$ 180</v>
      </c>
      <c r="G460" s="4">
        <f>IFERROR(__xludf.DUMMYFUNCTION("""COMPUTED_VALUE"""),25.0)</f>
        <v>25</v>
      </c>
      <c r="H460" s="4">
        <f>IFERROR(__xludf.DUMMYFUNCTION("""COMPUTED_VALUE"""),55.0)</f>
        <v>55</v>
      </c>
      <c r="I460" s="4" t="str">
        <f>IFERROR(__xludf.DUMMYFUNCTION("""COMPUTED_VALUE"""),"Dado não identificado publicamente - Necessário Discovery")</f>
        <v>Dado não identificado publicamente - Necessário Discovery</v>
      </c>
      <c r="K460" s="4" t="str">
        <f>IFERROR(__xludf.DUMMYFUNCTION("""COMPUTED_VALUE"""),"GUACO")</f>
        <v>GUACO</v>
      </c>
      <c r="L460" s="32">
        <f>IFERROR(__xludf.DUMMYFUNCTION("""COMPUTED_VALUE"""),16.0)</f>
        <v>16</v>
      </c>
      <c r="M460" s="4" t="str">
        <f>IFERROR(__xludf.DUMMYFUNCTION("""COMPUTED_VALUE"""),"E-deploy Retail")</f>
        <v>E-deploy Retail</v>
      </c>
      <c r="N460" s="33">
        <f>IFERROR(__xludf.DUMMYFUNCTION("""COMPUTED_VALUE"""),0.875)</f>
        <v>0.875</v>
      </c>
      <c r="O460" s="4" t="str">
        <f>IFERROR(__xludf.DUMMYFUNCTION("""COMPUTED_VALUE"""),"E-deploy Retail")</f>
        <v>E-deploy Retail</v>
      </c>
      <c r="P460" s="33">
        <f>IFERROR(__xludf.DUMMYFUNCTION("""COMPUTED_VALUE"""),0.875)</f>
        <v>0.875</v>
      </c>
      <c r="Q460" s="4" t="str">
        <f>IFERROR(__xludf.DUMMYFUNCTION("""COMPUTED_VALUE"""),"E-deploy Retail")</f>
        <v>E-deploy Retail</v>
      </c>
      <c r="R460" s="33">
        <f>IFERROR(__xludf.DUMMYFUNCTION("""COMPUTED_VALUE"""),0.8125)</f>
        <v>0.8125</v>
      </c>
      <c r="S460" s="4" t="str">
        <f>IFERROR(__xludf.DUMMYFUNCTION("""COMPUTED_VALUE"""),"E-deploy Retail")</f>
        <v>E-deploy Retail</v>
      </c>
      <c r="T460" s="33">
        <f>IFERROR(__xludf.DUMMYFUNCTION("""COMPUTED_VALUE"""),0.8125)</f>
        <v>0.8125</v>
      </c>
      <c r="U460" s="4" t="str">
        <f>IFERROR(__xludf.DUMMYFUNCTION("""COMPUTED_VALUE"""),"E-deploy Retail")</f>
        <v>E-deploy Retail</v>
      </c>
      <c r="V460" s="33">
        <f>IFERROR(__xludf.DUMMYFUNCTION("""COMPUTED_VALUE"""),0.8125)</f>
        <v>0.8125</v>
      </c>
      <c r="W460" s="4" t="str">
        <f>IFERROR(__xludf.DUMMYFUNCTION("""COMPUTED_VALUE"""),"E-deploy Retail")</f>
        <v>E-deploy Retail</v>
      </c>
      <c r="X460" s="33">
        <f>IFERROR(__xludf.DUMMYFUNCTION("""COMPUTED_VALUE"""),0.8125)</f>
        <v>0.8125</v>
      </c>
    </row>
    <row r="461">
      <c r="A461" s="4" t="str">
        <f>IFERROR(__xludf.DUMMYFUNCTION("""COMPUTED_VALUE"""),"Perdomo Doces")</f>
        <v>Perdomo Doces</v>
      </c>
      <c r="B461" s="4">
        <f>IFERROR(__xludf.DUMMYFUNCTION("""COMPUTED_VALUE"""),7.0)</f>
        <v>7</v>
      </c>
      <c r="C461" s="4" t="str">
        <f>IFERROR(__xludf.DUMMYFUNCTION("""COMPUTED_VALUE"""),"Dado não disponível publicamente - Necessário Discovery")</f>
        <v>Dado não disponível publicamente - Necessário Discovery</v>
      </c>
      <c r="D461" s="4" t="str">
        <f>IFERROR(__xludf.DUMMYFUNCTION("""COMPUTED_VALUE"""),"Confeitaria / Doces Artesanais (3 Goiânia + 3 Brasília/DF + 1 Anápolis)")</f>
        <v>Confeitaria / Doces Artesanais (3 Goiânia + 3 Brasília/DF + 1 Anápolis)</v>
      </c>
      <c r="E461" s="4" t="str">
        <f>IFERROR(__xludf.DUMMYFUNCTION("""COMPUTED_VALUE"""),"Goiás e Distrito Federal (Goiânia, Brasília, Anápolis)")</f>
        <v>Goiás e Distrito Federal (Goiânia, Brasília, Anápolis)</v>
      </c>
      <c r="F461" s="4" t="str">
        <f>IFERROR(__xludf.DUMMYFUNCTION("""COMPUTED_VALUE"""),"R$ 25-45")</f>
        <v>R$ 25-45</v>
      </c>
      <c r="G461" s="4">
        <f>IFERROR(__xludf.DUMMYFUNCTION("""COMPUTED_VALUE"""),35.0)</f>
        <v>35</v>
      </c>
      <c r="H461" s="31">
        <f>IFERROR(__xludf.DUMMYFUNCTION("""COMPUTED_VALUE"""),0.4)</f>
        <v>0.4</v>
      </c>
      <c r="I461" s="4" t="str">
        <f>IFERROR(__xludf.DUMMYFUNCTION("""COMPUTED_VALUE"""),"Rede regional 7 lojas formato confeitaria. Volume baixo-médio + perfil artesanal = aderência média-baixa para Kiosk. PDV simples suficiente.")</f>
        <v>Rede regional 7 lojas formato confeitaria. Volume baixo-médio + perfil artesanal = aderência média-baixa para Kiosk. PDV simples suficiente.</v>
      </c>
      <c r="K461" s="4" t="str">
        <f>IFERROR(__xludf.DUMMYFUNCTION("""COMPUTED_VALUE"""),"HANOI SUSHI")</f>
        <v>HANOI SUSHI</v>
      </c>
      <c r="L461" s="32">
        <f>IFERROR(__xludf.DUMMYFUNCTION("""COMPUTED_VALUE"""),16.0)</f>
        <v>16</v>
      </c>
      <c r="M461" s="4" t="str">
        <f>IFERROR(__xludf.DUMMYFUNCTION("""COMPUTED_VALUE"""),"Saipos Serviços De Software")</f>
        <v>Saipos Serviços De Software</v>
      </c>
      <c r="N461" s="33">
        <f>IFERROR(__xludf.DUMMYFUNCTION("""COMPUTED_VALUE"""),0.625)</f>
        <v>0.625</v>
      </c>
      <c r="O461" s="4" t="str">
        <f>IFERROR(__xludf.DUMMYFUNCTION("""COMPUTED_VALUE"""),"Saipos Serviços De Software")</f>
        <v>Saipos Serviços De Software</v>
      </c>
      <c r="P461" s="33">
        <f>IFERROR(__xludf.DUMMYFUNCTION("""COMPUTED_VALUE"""),0.625)</f>
        <v>0.625</v>
      </c>
      <c r="Q461" s="4" t="str">
        <f>IFERROR(__xludf.DUMMYFUNCTION("""COMPUTED_VALUE"""),"Saipos Serviços De Software")</f>
        <v>Saipos Serviços De Software</v>
      </c>
      <c r="R461" s="33">
        <f>IFERROR(__xludf.DUMMYFUNCTION("""COMPUTED_VALUE"""),0.625)</f>
        <v>0.625</v>
      </c>
      <c r="S461" s="4" t="str">
        <f>IFERROR(__xludf.DUMMYFUNCTION("""COMPUTED_VALUE"""),"Saipos Serviços De Software")</f>
        <v>Saipos Serviços De Software</v>
      </c>
      <c r="T461" s="33">
        <f>IFERROR(__xludf.DUMMYFUNCTION("""COMPUTED_VALUE"""),0.625)</f>
        <v>0.625</v>
      </c>
      <c r="U461" s="4" t="str">
        <f>IFERROR(__xludf.DUMMYFUNCTION("""COMPUTED_VALUE"""),"Saipos Serviços De Software")</f>
        <v>Saipos Serviços De Software</v>
      </c>
      <c r="V461" s="33">
        <f>IFERROR(__xludf.DUMMYFUNCTION("""COMPUTED_VALUE"""),0.75)</f>
        <v>0.75</v>
      </c>
      <c r="W461" s="4" t="str">
        <f>IFERROR(__xludf.DUMMYFUNCTION("""COMPUTED_VALUE"""),"Saipos Serviços De Software")</f>
        <v>Saipos Serviços De Software</v>
      </c>
      <c r="X461" s="33">
        <f>IFERROR(__xludf.DUMMYFUNCTION("""COMPUTED_VALUE"""),0.75)</f>
        <v>0.75</v>
      </c>
    </row>
    <row r="462">
      <c r="A462" s="4" t="str">
        <f>IFERROR(__xludf.DUMMYFUNCTION("""COMPUTED_VALUE"""),"Pitico")</f>
        <v>Pitico</v>
      </c>
      <c r="B462" s="4">
        <f>IFERROR(__xludf.DUMMYFUNCTION("""COMPUTED_VALUE"""),1.0)</f>
        <v>1</v>
      </c>
      <c r="C462" s="4" t="str">
        <f>IFERROR(__xludf.DUMMYFUNCTION("""COMPUTED_VALUE"""),"Dado não disponível publicamente - Necessário Discovery")</f>
        <v>Dado não disponível publicamente - Necessário Discovery</v>
      </c>
      <c r="D462" s="4" t="str">
        <f>IFERROR(__xludf.DUMMYFUNCTION("""COMPUTED_VALUE"""),"Bar/Restaurante Libanês (Contêineres Pinheiros SP)")</f>
        <v>Bar/Restaurante Libanês (Contêineres Pinheiros SP)</v>
      </c>
      <c r="E462" s="4" t="str">
        <f>IFERROR(__xludf.DUMMYFUNCTION("""COMPUTED_VALUE"""),"São Paulo-SP (Pinheiros - Rua Guaicuí)")</f>
        <v>São Paulo-SP (Pinheiros - Rua Guaicuí)</v>
      </c>
      <c r="F462" s="4" t="str">
        <f>IFERROR(__xludf.DUMMYFUNCTION("""COMPUTED_VALUE"""),"R$ 45-70")</f>
        <v>R$ 45-70</v>
      </c>
      <c r="G462" s="4">
        <f>IFERROR(__xludf.DUMMYFUNCTION("""COMPUTED_VALUE"""),20.0)</f>
        <v>20</v>
      </c>
      <c r="H462" s="31">
        <f>IFERROR(__xludf.DUMMYFUNCTION("""COMPUTED_VALUE"""),0.25)</f>
        <v>0.25</v>
      </c>
      <c r="I462" s="4" t="str">
        <f>IFERROR(__xludf.DUMMYFUNCTION("""COMPUTED_VALUE"""),"Single-unit conceito bar/restaurante único. Sem escala para justificar E-DEPLOY.")</f>
        <v>Single-unit conceito bar/restaurante único. Sem escala para justificar E-DEPLOY.</v>
      </c>
      <c r="K462" s="4" t="str">
        <f>IFERROR(__xludf.DUMMYFUNCTION("""COMPUTED_VALUE"""),"HOUSE FORNERIA")</f>
        <v>HOUSE FORNERIA</v>
      </c>
      <c r="L462" s="32">
        <f>IFERROR(__xludf.DUMMYFUNCTION("""COMPUTED_VALUE"""),16.0)</f>
        <v>16</v>
      </c>
      <c r="M462" s="4" t="str">
        <f>IFERROR(__xludf.DUMMYFUNCTION("""COMPUTED_VALUE"""),"Saipos Serviços De Software")</f>
        <v>Saipos Serviços De Software</v>
      </c>
      <c r="N462" s="33">
        <f>IFERROR(__xludf.DUMMYFUNCTION("""COMPUTED_VALUE"""),1.0)</f>
        <v>1</v>
      </c>
      <c r="O462" s="4" t="str">
        <f>IFERROR(__xludf.DUMMYFUNCTION("""COMPUTED_VALUE"""),"Saipos Serviços De Software")</f>
        <v>Saipos Serviços De Software</v>
      </c>
      <c r="P462" s="33">
        <f>IFERROR(__xludf.DUMMYFUNCTION("""COMPUTED_VALUE"""),0.9375)</f>
        <v>0.9375</v>
      </c>
      <c r="Q462" s="4" t="str">
        <f>IFERROR(__xludf.DUMMYFUNCTION("""COMPUTED_VALUE"""),"Saipos Serviços De Software")</f>
        <v>Saipos Serviços De Software</v>
      </c>
      <c r="R462" s="33">
        <f>IFERROR(__xludf.DUMMYFUNCTION("""COMPUTED_VALUE"""),0.9375)</f>
        <v>0.9375</v>
      </c>
      <c r="S462" s="4" t="str">
        <f>IFERROR(__xludf.DUMMYFUNCTION("""COMPUTED_VALUE"""),"Saipos Serviços De Software")</f>
        <v>Saipos Serviços De Software</v>
      </c>
      <c r="T462" s="33">
        <f>IFERROR(__xludf.DUMMYFUNCTION("""COMPUTED_VALUE"""),0.9375)</f>
        <v>0.9375</v>
      </c>
      <c r="U462" s="4" t="str">
        <f>IFERROR(__xludf.DUMMYFUNCTION("""COMPUTED_VALUE"""),"Saipos Serviços De Software")</f>
        <v>Saipos Serviços De Software</v>
      </c>
      <c r="V462" s="33">
        <f>IFERROR(__xludf.DUMMYFUNCTION("""COMPUTED_VALUE"""),0.75)</f>
        <v>0.75</v>
      </c>
      <c r="W462" s="4" t="str">
        <f>IFERROR(__xludf.DUMMYFUNCTION("""COMPUTED_VALUE"""),"Saipos Serviços De Software")</f>
        <v>Saipos Serviços De Software</v>
      </c>
      <c r="X462" s="33">
        <f>IFERROR(__xludf.DUMMYFUNCTION("""COMPUTED_VALUE"""),0.875)</f>
        <v>0.875</v>
      </c>
    </row>
    <row r="463">
      <c r="A463" s="4" t="str">
        <f>IFERROR(__xludf.DUMMYFUNCTION("""COMPUTED_VALUE"""),"Pizza Do Frei")</f>
        <v>Pizza Do Frei</v>
      </c>
      <c r="B463" s="34">
        <f>IFERROR(__xludf.DUMMYFUNCTION("""COMPUTED_VALUE"""),46083.0)</f>
        <v>46083</v>
      </c>
      <c r="C463" s="4" t="str">
        <f>IFERROR(__xludf.DUMMYFUNCTION("""COMPUTED_VALUE"""),"Dado não disponível publicamente - Necessário Discovery")</f>
        <v>Dado não disponível publicamente - Necessário Discovery</v>
      </c>
      <c r="D463" s="4" t="str">
        <f>IFERROR(__xludf.DUMMYFUNCTION("""COMPUTED_VALUE"""),"Pizzaria Delivery 24h (Fortaleza - Aldeota e Messejana)")</f>
        <v>Pizzaria Delivery 24h (Fortaleza - Aldeota e Messejana)</v>
      </c>
      <c r="E463" s="4" t="str">
        <f>IFERROR(__xludf.DUMMYFUNCTION("""COMPUTED_VALUE"""),"Fortaleza-CE (2-3 unidades locais)")</f>
        <v>Fortaleza-CE (2-3 unidades locais)</v>
      </c>
      <c r="F463" s="4" t="str">
        <f>IFERROR(__xludf.DUMMYFUNCTION("""COMPUTED_VALUE"""),"R$ 40-60")</f>
        <v>R$ 40-60</v>
      </c>
      <c r="G463" s="4">
        <f>IFERROR(__xludf.DUMMYFUNCTION("""COMPUTED_VALUE"""),25.0)</f>
        <v>25</v>
      </c>
      <c r="H463" s="31">
        <f>IFERROR(__xludf.DUMMYFUNCTION("""COMPUTED_VALUE"""),0.3)</f>
        <v>0.3</v>
      </c>
      <c r="I463" s="4" t="str">
        <f>IFERROR(__xludf.DUMMYFUNCTION("""COMPUTED_VALUE"""),"Operação local Fortaleza 2-3 lojas. Delivery 24h precisa PDV rápido mas escala baixa limita ROI E-DEPLOY.")</f>
        <v>Operação local Fortaleza 2-3 lojas. Delivery 24h precisa PDV rápido mas escala baixa limita ROI E-DEPLOY.</v>
      </c>
      <c r="K463" s="4" t="str">
        <f>IFERROR(__xludf.DUMMYFUNCTION("""COMPUTED_VALUE"""),"KADALORA")</f>
        <v>KADALORA</v>
      </c>
      <c r="L463" s="32">
        <f>IFERROR(__xludf.DUMMYFUNCTION("""COMPUTED_VALUE"""),16.0)</f>
        <v>16</v>
      </c>
      <c r="M463" s="4" t="str">
        <f>IFERROR(__xludf.DUMMYFUNCTION("""COMPUTED_VALUE"""),"Grk Soluções Informatica Eireli")</f>
        <v>Grk Soluções Informatica Eireli</v>
      </c>
      <c r="N463" s="33">
        <f>IFERROR(__xludf.DUMMYFUNCTION("""COMPUTED_VALUE"""),1.0)</f>
        <v>1</v>
      </c>
      <c r="O463" s="4" t="str">
        <f>IFERROR(__xludf.DUMMYFUNCTION("""COMPUTED_VALUE"""),"Grk Soluções Informatica Eireli")</f>
        <v>Grk Soluções Informatica Eireli</v>
      </c>
      <c r="P463" s="33">
        <f>IFERROR(__xludf.DUMMYFUNCTION("""COMPUTED_VALUE"""),0.875)</f>
        <v>0.875</v>
      </c>
      <c r="Q463" s="4" t="str">
        <f>IFERROR(__xludf.DUMMYFUNCTION("""COMPUTED_VALUE"""),"Grk Soluções Informatica Eireli")</f>
        <v>Grk Soluções Informatica Eireli</v>
      </c>
      <c r="R463" s="33">
        <f>IFERROR(__xludf.DUMMYFUNCTION("""COMPUTED_VALUE"""),0.9375)</f>
        <v>0.9375</v>
      </c>
      <c r="S463" s="4" t="str">
        <f>IFERROR(__xludf.DUMMYFUNCTION("""COMPUTED_VALUE"""),"Grk Soluções Informatica Eireli")</f>
        <v>Grk Soluções Informatica Eireli</v>
      </c>
      <c r="T463" s="33">
        <f>IFERROR(__xludf.DUMMYFUNCTION("""COMPUTED_VALUE"""),0.75)</f>
        <v>0.75</v>
      </c>
      <c r="U463" s="4" t="str">
        <f>IFERROR(__xludf.DUMMYFUNCTION("""COMPUTED_VALUE"""),"Grk Soluções Informatica Eireli")</f>
        <v>Grk Soluções Informatica Eireli</v>
      </c>
      <c r="V463" s="33">
        <f>IFERROR(__xludf.DUMMYFUNCTION("""COMPUTED_VALUE"""),0.75)</f>
        <v>0.75</v>
      </c>
      <c r="W463" s="4" t="str">
        <f>IFERROR(__xludf.DUMMYFUNCTION("""COMPUTED_VALUE"""),"Grk Soluções Informatica Eireli")</f>
        <v>Grk Soluções Informatica Eireli</v>
      </c>
      <c r="X463" s="33">
        <f>IFERROR(__xludf.DUMMYFUNCTION("""COMPUTED_VALUE"""),0.625)</f>
        <v>0.625</v>
      </c>
    </row>
    <row r="464">
      <c r="A464" s="4" t="str">
        <f>IFERROR(__xludf.DUMMYFUNCTION("""COMPUTED_VALUE"""),"Pizza Do Pão")</f>
        <v>Pizza Do Pão</v>
      </c>
      <c r="B464" s="4">
        <f>IFERROR(__xludf.DUMMYFUNCTION("""COMPUTED_VALUE"""),1.0)</f>
        <v>1</v>
      </c>
      <c r="C464" s="4" t="str">
        <f>IFERROR(__xludf.DUMMYFUNCTION("""COMPUTED_VALUE"""),"Dado não disponível publicamente - Necessário Discovery")</f>
        <v>Dado não disponível publicamente - Necessário Discovery</v>
      </c>
      <c r="D464" s="4" t="str">
        <f>IFERROR(__xludf.DUMMYFUNCTION("""COMPUTED_VALUE"""),"Pizzaria Local (Santa Maria da Vitória-BA)")</f>
        <v>Pizzaria Local (Santa Maria da Vitória-BA)</v>
      </c>
      <c r="E464" s="4" t="str">
        <f>IFERROR(__xludf.DUMMYFUNCTION("""COMPUTED_VALUE"""),"Santa Maria da Vitória-BA")</f>
        <v>Santa Maria da Vitória-BA</v>
      </c>
      <c r="F464" s="4" t="str">
        <f>IFERROR(__xludf.DUMMYFUNCTION("""COMPUTED_VALUE"""),"R$ 35-55")</f>
        <v>R$ 35-55</v>
      </c>
      <c r="G464" s="4">
        <f>IFERROR(__xludf.DUMMYFUNCTION("""COMPUTED_VALUE"""),15.0)</f>
        <v>15</v>
      </c>
      <c r="H464" s="31">
        <f>IFERROR(__xludf.DUMMYFUNCTION("""COMPUTED_VALUE"""),0.2)</f>
        <v>0.2</v>
      </c>
      <c r="I464" s="4" t="str">
        <f>IFERROR(__xludf.DUMMYFUNCTION("""COMPUTED_VALUE"""),"Single-unit local. Volume muito baixo para solução enterprise.")</f>
        <v>Single-unit local. Volume muito baixo para solução enterprise.</v>
      </c>
      <c r="K464" s="4" t="str">
        <f>IFERROR(__xludf.DUMMYFUNCTION("""COMPUTED_VALUE"""),"LIFEBOX")</f>
        <v>LIFEBOX</v>
      </c>
      <c r="L464" s="32">
        <f>IFERROR(__xludf.DUMMYFUNCTION("""COMPUTED_VALUE"""),16.0)</f>
        <v>16</v>
      </c>
      <c r="M464" s="4" t="str">
        <f>IFERROR(__xludf.DUMMYFUNCTION("""COMPUTED_VALUE"""),"Vuca Solution")</f>
        <v>Vuca Solution</v>
      </c>
      <c r="N464" s="33">
        <f>IFERROR(__xludf.DUMMYFUNCTION("""COMPUTED_VALUE"""),1.0)</f>
        <v>1</v>
      </c>
      <c r="O464" s="4" t="str">
        <f>IFERROR(__xludf.DUMMYFUNCTION("""COMPUTED_VALUE"""),"Vuca Solution")</f>
        <v>Vuca Solution</v>
      </c>
      <c r="P464" s="33">
        <f>IFERROR(__xludf.DUMMYFUNCTION("""COMPUTED_VALUE"""),1.0)</f>
        <v>1</v>
      </c>
      <c r="Q464" s="4" t="str">
        <f>IFERROR(__xludf.DUMMYFUNCTION("""COMPUTED_VALUE"""),"Vuca Solution")</f>
        <v>Vuca Solution</v>
      </c>
      <c r="R464" s="33">
        <f>IFERROR(__xludf.DUMMYFUNCTION("""COMPUTED_VALUE"""),1.0)</f>
        <v>1</v>
      </c>
      <c r="S464" s="4" t="str">
        <f>IFERROR(__xludf.DUMMYFUNCTION("""COMPUTED_VALUE"""),"Vuca Solution")</f>
        <v>Vuca Solution</v>
      </c>
      <c r="T464" s="33">
        <f>IFERROR(__xludf.DUMMYFUNCTION("""COMPUTED_VALUE"""),1.0)</f>
        <v>1</v>
      </c>
      <c r="U464" s="4" t="str">
        <f>IFERROR(__xludf.DUMMYFUNCTION("""COMPUTED_VALUE"""),"Vuca Solution")</f>
        <v>Vuca Solution</v>
      </c>
      <c r="V464" s="33">
        <f>IFERROR(__xludf.DUMMYFUNCTION("""COMPUTED_VALUE"""),1.0)</f>
        <v>1</v>
      </c>
      <c r="W464" s="4" t="str">
        <f>IFERROR(__xludf.DUMMYFUNCTION("""COMPUTED_VALUE"""),"Vuca Solution")</f>
        <v>Vuca Solution</v>
      </c>
      <c r="X464" s="33">
        <f>IFERROR(__xludf.DUMMYFUNCTION("""COMPUTED_VALUE"""),1.0)</f>
        <v>1</v>
      </c>
    </row>
    <row r="465">
      <c r="A465" s="4" t="str">
        <f>IFERROR(__xludf.DUMMYFUNCTION("""COMPUTED_VALUE"""),"Pizza Pazza")</f>
        <v>Pizza Pazza</v>
      </c>
      <c r="B465" s="4">
        <f>IFERROR(__xludf.DUMMYFUNCTION("""COMPUTED_VALUE"""),16.0)</f>
        <v>16</v>
      </c>
      <c r="C465" s="4" t="str">
        <f>IFERROR(__xludf.DUMMYFUNCTION("""COMPUTED_VALUE"""),"Dado não disponível publicamente - Necessário Discovery")</f>
        <v>Dado não disponível publicamente - Necessário Discovery</v>
      </c>
      <c r="D465" s="4" t="str">
        <f>IFERROR(__xludf.DUMMYFUNCTION("""COMPUTED_VALUE"""),"Pizzaria Shopping / Fast Casual (Foco Belo Horizonte região metropolitana)")</f>
        <v>Pizzaria Shopping / Fast Casual (Foco Belo Horizonte região metropolitana)</v>
      </c>
      <c r="E465" s="4" t="str">
        <f>IFERROR(__xludf.DUMMYFUNCTION("""COMPUTED_VALUE"""),"Minas Gerais (16 unidades BH e região metropolitana)")</f>
        <v>Minas Gerais (16 unidades BH e região metropolitana)</v>
      </c>
      <c r="F465" s="4" t="str">
        <f>IFERROR(__xludf.DUMMYFUNCTION("""COMPUTED_VALUE"""),"R$ 45-65")</f>
        <v>R$ 45-65</v>
      </c>
      <c r="G465" s="4">
        <f>IFERROR(__xludf.DUMMYFUNCTION("""COMPUTED_VALUE"""),60.0)</f>
        <v>60</v>
      </c>
      <c r="H465" s="31">
        <f>IFERROR(__xludf.DUMMYFUNCTION("""COMPUTED_VALUE"""),0.65)</f>
        <v>0.65</v>
      </c>
      <c r="I465" s="4" t="str">
        <f>IFERROR(__xludf.DUMMYFUNCTION("""COMPUTED_VALUE"""),"Rede regional BH 16 lojas shopping. Perfil Fast Casual: Kiosk acelera pedidos + E-DEPLOY padroniza shoppings. Boa aderência regional.")</f>
        <v>Rede regional BH 16 lojas shopping. Perfil Fast Casual: Kiosk acelera pedidos + E-DEPLOY padroniza shoppings. Boa aderência regional.</v>
      </c>
      <c r="K465" s="4" t="str">
        <f>IFERROR(__xludf.DUMMYFUNCTION("""COMPUTED_VALUE"""),"MIX NATURAL - CONTA MARCA")</f>
        <v>MIX NATURAL - CONTA MARCA</v>
      </c>
      <c r="L465" s="32">
        <f>IFERROR(__xludf.DUMMYFUNCTION("""COMPUTED_VALUE"""),16.0)</f>
        <v>16</v>
      </c>
      <c r="M465" s="4" t="str">
        <f>IFERROR(__xludf.DUMMYFUNCTION("""COMPUTED_VALUE"""),"null")</f>
        <v>null</v>
      </c>
      <c r="N465" s="33">
        <f>IFERROR(__xludf.DUMMYFUNCTION("""COMPUTED_VALUE"""),0.5625)</f>
        <v>0.5625</v>
      </c>
      <c r="O465" s="4" t="str">
        <f>IFERROR(__xludf.DUMMYFUNCTION("""COMPUTED_VALUE"""),"null")</f>
        <v>null</v>
      </c>
      <c r="P465" s="33">
        <f>IFERROR(__xludf.DUMMYFUNCTION("""COMPUTED_VALUE"""),0.5625)</f>
        <v>0.5625</v>
      </c>
      <c r="Q465" s="4" t="str">
        <f>IFERROR(__xludf.DUMMYFUNCTION("""COMPUTED_VALUE"""),"Opdv")</f>
        <v>Opdv</v>
      </c>
      <c r="R465" s="33">
        <f>IFERROR(__xludf.DUMMYFUNCTION("""COMPUTED_VALUE"""),0.5625)</f>
        <v>0.5625</v>
      </c>
      <c r="S465" s="4" t="str">
        <f>IFERROR(__xludf.DUMMYFUNCTION("""COMPUTED_VALUE"""),"Opdv")</f>
        <v>Opdv</v>
      </c>
      <c r="T465" s="33">
        <f>IFERROR(__xludf.DUMMYFUNCTION("""COMPUTED_VALUE"""),0.4375)</f>
        <v>0.4375</v>
      </c>
      <c r="U465" s="4" t="str">
        <f>IFERROR(__xludf.DUMMYFUNCTION("""COMPUTED_VALUE"""),"Opdv")</f>
        <v>Opdv</v>
      </c>
      <c r="V465" s="33">
        <f>IFERROR(__xludf.DUMMYFUNCTION("""COMPUTED_VALUE"""),0.4375)</f>
        <v>0.4375</v>
      </c>
      <c r="W465" s="4" t="str">
        <f>IFERROR(__xludf.DUMMYFUNCTION("""COMPUTED_VALUE"""),"Yooga")</f>
        <v>Yooga</v>
      </c>
      <c r="X465" s="33">
        <f>IFERROR(__xludf.DUMMYFUNCTION("""COMPUTED_VALUE"""),0.875)</f>
        <v>0.875</v>
      </c>
    </row>
    <row r="466">
      <c r="A466" s="4" t="str">
        <f>IFERROR(__xludf.DUMMYFUNCTION("""COMPUTED_VALUE"""),"Pizzadog")</f>
        <v>Pizzadog</v>
      </c>
      <c r="B466" s="4">
        <f>IFERROR(__xludf.DUMMYFUNCTION("""COMPUTED_VALUE"""),8.0)</f>
        <v>8</v>
      </c>
      <c r="C466" s="4" t="str">
        <f>IFERROR(__xludf.DUMMYFUNCTION("""COMPUTED_VALUE"""),"Dado não disponível publicamente - Necessário Discovery")</f>
        <v>Dado não disponível publicamente - Necessário Discovery</v>
      </c>
      <c r="D466" s="4" t="str">
        <f>IFERROR(__xludf.DUMMYFUNCTION("""COMPUTED_VALUE"""),"Pizzaria Regional (PR SC ES RO PE - dispersão geográfica)")</f>
        <v>Pizzaria Regional (PR SC ES RO PE - dispersão geográfica)</v>
      </c>
      <c r="E466" s="4" t="str">
        <f>IFERROR(__xludf.DUMMYFUNCTION("""COMPUTED_VALUE"""),"Multi-regional (Paraná, Santa Catarina, Espírito Santo, Rondônia, Pernambuco)")</f>
        <v>Multi-regional (Paraná, Santa Catarina, Espírito Santo, Rondônia, Pernambuco)</v>
      </c>
      <c r="F466" s="4" t="str">
        <f>IFERROR(__xludf.DUMMYFUNCTION("""COMPUTED_VALUE"""),"R$ 40-60")</f>
        <v>R$ 40-60</v>
      </c>
      <c r="G466" s="4">
        <f>IFERROR(__xludf.DUMMYFUNCTION("""COMPUTED_VALUE"""),40.0)</f>
        <v>40</v>
      </c>
      <c r="H466" s="31">
        <f>IFERROR(__xludf.DUMMYFUNCTION("""COMPUTED_VALUE"""),0.45)</f>
        <v>0.45</v>
      </c>
      <c r="I466" s="4" t="str">
        <f>IFERROR(__xludf.DUMMYFUNCTION("""COMPUTED_VALUE"""),"Rede dispersa 8 lojas em 5 estados. Padronização E-DEPLOY justificada mas dispersão geográfica dificulta suporte. Aderência média.")</f>
        <v>Rede dispersa 8 lojas em 5 estados. Padronização E-DEPLOY justificada mas dispersão geográfica dificulta suporte. Aderência média.</v>
      </c>
      <c r="K466" s="4" t="str">
        <f>IFERROR(__xludf.DUMMYFUNCTION("""COMPUTED_VALUE"""),"MR FIT")</f>
        <v>MR FIT</v>
      </c>
      <c r="L466" s="32">
        <f>IFERROR(__xludf.DUMMYFUNCTION("""COMPUTED_VALUE"""),16.0)</f>
        <v>16</v>
      </c>
      <c r="M466" s="4" t="str">
        <f>IFERROR(__xludf.DUMMYFUNCTION("""COMPUTED_VALUE"""),"null")</f>
        <v>null</v>
      </c>
      <c r="N466" s="33">
        <f>IFERROR(__xludf.DUMMYFUNCTION("""COMPUTED_VALUE"""),0.25)</f>
        <v>0.25</v>
      </c>
      <c r="O466" s="4" t="str">
        <f>IFERROR(__xludf.DUMMYFUNCTION("""COMPUTED_VALUE"""),"null")</f>
        <v>null</v>
      </c>
      <c r="P466" s="33">
        <f>IFERROR(__xludf.DUMMYFUNCTION("""COMPUTED_VALUE"""),0.3125)</f>
        <v>0.3125</v>
      </c>
      <c r="Q466" s="4" t="str">
        <f>IFERROR(__xludf.DUMMYFUNCTION("""COMPUTED_VALUE"""),"null")</f>
        <v>null</v>
      </c>
      <c r="R466" s="33">
        <f>IFERROR(__xludf.DUMMYFUNCTION("""COMPUTED_VALUE"""),0.4375)</f>
        <v>0.4375</v>
      </c>
      <c r="S466" s="4" t="str">
        <f>IFERROR(__xludf.DUMMYFUNCTION("""COMPUTED_VALUE"""),"null")</f>
        <v>null</v>
      </c>
      <c r="T466" s="33">
        <f>IFERROR(__xludf.DUMMYFUNCTION("""COMPUTED_VALUE"""),0.4375)</f>
        <v>0.4375</v>
      </c>
      <c r="U466" s="4" t="str">
        <f>IFERROR(__xludf.DUMMYFUNCTION("""COMPUTED_VALUE"""),"null")</f>
        <v>null</v>
      </c>
      <c r="V466" s="33">
        <f>IFERROR(__xludf.DUMMYFUNCTION("""COMPUTED_VALUE"""),0.4375)</f>
        <v>0.4375</v>
      </c>
      <c r="W466" s="4" t="str">
        <f>IFERROR(__xludf.DUMMYFUNCTION("""COMPUTED_VALUE"""),"null")</f>
        <v>null</v>
      </c>
      <c r="X466" s="33">
        <f>IFERROR(__xludf.DUMMYFUNCTION("""COMPUTED_VALUE"""),0.375)</f>
        <v>0.375</v>
      </c>
    </row>
    <row r="467">
      <c r="A467" s="4" t="str">
        <f>IFERROR(__xludf.DUMMYFUNCTION("""COMPUTED_VALUE"""),"Pizzaria Abaré")</f>
        <v>Pizzaria Abaré</v>
      </c>
      <c r="B467" s="4">
        <f>IFERROR(__xludf.DUMMYFUNCTION("""COMPUTED_VALUE"""),16.0)</f>
        <v>16</v>
      </c>
      <c r="C467" s="4" t="str">
        <f>IFERROR(__xludf.DUMMYFUNCTION("""COMPUTED_VALUE"""),"Dado não disponível publicamente - Necessário Discovery")</f>
        <v>Dado não disponível publicamente - Necessário Discovery</v>
      </c>
      <c r="D467" s="4" t="str">
        <f>IFERROR(__xludf.DUMMYFUNCTION("""COMPUTED_VALUE"""),"Pizzaria Regional / Multi-formato (3 restaurantes + 12 express Curitiba)")</f>
        <v>Pizzaria Regional / Multi-formato (3 restaurantes + 12 express Curitiba)</v>
      </c>
      <c r="E467" s="4" t="str">
        <f>IFERROR(__xludf.DUMMYFUNCTION("""COMPUTED_VALUE"""),"Paraná (12 em Curitiba + 4 região metropolitana)")</f>
        <v>Paraná (12 em Curitiba + 4 região metropolitana)</v>
      </c>
      <c r="F467" s="4" t="str">
        <f>IFERROR(__xludf.DUMMYFUNCTION("""COMPUTED_VALUE"""),"R$ 45-70")</f>
        <v>R$ 45-70</v>
      </c>
      <c r="G467" s="4">
        <f>IFERROR(__xludf.DUMMYFUNCTION("""COMPUTED_VALUE"""),60.0)</f>
        <v>60</v>
      </c>
      <c r="H467" s="31">
        <f>IFERROR(__xludf.DUMMYFUNCTION("""COMPUTED_VALUE"""),0.65)</f>
        <v>0.65</v>
      </c>
      <c r="I467" s="4" t="str">
        <f>IFERROR(__xludf.DUMMYFUNCTION("""COMPUTED_VALUE"""),"Rede consolidada Curitiba 16 unidades multi-formato. Express = Kiosk + velocidade. E-DEPLOY padroniza. Boa aderência regional.")</f>
        <v>Rede consolidada Curitiba 16 unidades multi-formato. Express = Kiosk + velocidade. E-DEPLOY padroniza. Boa aderência regional.</v>
      </c>
      <c r="K467" s="4" t="str">
        <f>IFERROR(__xludf.DUMMYFUNCTION("""COMPUTED_VALUE"""),"MR MIX - CONTA MARCA")</f>
        <v>MR MIX - CONTA MARCA</v>
      </c>
      <c r="L467" s="32">
        <f>IFERROR(__xludf.DUMMYFUNCTION("""COMPUTED_VALUE"""),16.0)</f>
        <v>16</v>
      </c>
      <c r="M467" s="4" t="str">
        <f>IFERROR(__xludf.DUMMYFUNCTION("""COMPUTED_VALUE"""),"Swfast Sistemas")</f>
        <v>Swfast Sistemas</v>
      </c>
      <c r="N467" s="33">
        <f>IFERROR(__xludf.DUMMYFUNCTION("""COMPUTED_VALUE"""),0.5)</f>
        <v>0.5</v>
      </c>
      <c r="O467" s="4" t="str">
        <f>IFERROR(__xludf.DUMMYFUNCTION("""COMPUTED_VALUE"""),"Swfast Sistemas")</f>
        <v>Swfast Sistemas</v>
      </c>
      <c r="P467" s="33">
        <f>IFERROR(__xludf.DUMMYFUNCTION("""COMPUTED_VALUE"""),0.6875)</f>
        <v>0.6875</v>
      </c>
      <c r="Q467" s="4" t="str">
        <f>IFERROR(__xludf.DUMMYFUNCTION("""COMPUTED_VALUE"""),"Swfast Sistemas")</f>
        <v>Swfast Sistemas</v>
      </c>
      <c r="R467" s="33">
        <f>IFERROR(__xludf.DUMMYFUNCTION("""COMPUTED_VALUE"""),0.5625)</f>
        <v>0.5625</v>
      </c>
      <c r="S467" s="4" t="str">
        <f>IFERROR(__xludf.DUMMYFUNCTION("""COMPUTED_VALUE"""),"Swfast Sistemas")</f>
        <v>Swfast Sistemas</v>
      </c>
      <c r="T467" s="33">
        <f>IFERROR(__xludf.DUMMYFUNCTION("""COMPUTED_VALUE"""),0.625)</f>
        <v>0.625</v>
      </c>
      <c r="U467" s="4" t="str">
        <f>IFERROR(__xludf.DUMMYFUNCTION("""COMPUTED_VALUE"""),"Swfast Sistemas")</f>
        <v>Swfast Sistemas</v>
      </c>
      <c r="V467" s="33">
        <f>IFERROR(__xludf.DUMMYFUNCTION("""COMPUTED_VALUE"""),0.6875)</f>
        <v>0.6875</v>
      </c>
      <c r="W467" s="4" t="str">
        <f>IFERROR(__xludf.DUMMYFUNCTION("""COMPUTED_VALUE"""),"Swfast Sistemas")</f>
        <v>Swfast Sistemas</v>
      </c>
      <c r="X467" s="33">
        <f>IFERROR(__xludf.DUMMYFUNCTION("""COMPUTED_VALUE"""),0.6875)</f>
        <v>0.6875</v>
      </c>
    </row>
    <row r="468">
      <c r="A468" s="4" t="str">
        <f>IFERROR(__xludf.DUMMYFUNCTION("""COMPUTED_VALUE"""),"Pizzaria Camelo")</f>
        <v>Pizzaria Camelo</v>
      </c>
      <c r="B468" s="4">
        <f>IFERROR(__xludf.DUMMYFUNCTION("""COMPUTED_VALUE"""),9.0)</f>
        <v>9</v>
      </c>
      <c r="C468" s="4" t="str">
        <f>IFERROR(__xludf.DUMMYFUNCTION("""COMPUTED_VALUE"""),"Dado não disponível publicamente - Necessário Discovery")</f>
        <v>Dado não disponível publicamente - Necessário Discovery</v>
      </c>
      <c r="D468" s="4" t="str">
        <f>IFERROR(__xludf.DUMMYFUNCTION("""COMPUTED_VALUE"""),"Pizzaria Premium / Table Service (Desde 1957 - 8 SP + 1 RJ)")</f>
        <v>Pizzaria Premium / Table Service (Desde 1957 - 8 SP + 1 RJ)</v>
      </c>
      <c r="E468" s="4" t="str">
        <f>IFERROR(__xludf.DUMMYFUNCTION("""COMPUTED_VALUE"""),"São Paulo (8 unidades) + Rio de Janeiro (1 Ipanema)")</f>
        <v>São Paulo (8 unidades) + Rio de Janeiro (1 Ipanema)</v>
      </c>
      <c r="F468" s="4" t="str">
        <f>IFERROR(__xludf.DUMMYFUNCTION("""COMPUTED_VALUE"""),"R$ 70-110")</f>
        <v>R$ 70-110</v>
      </c>
      <c r="G468" s="4">
        <f>IFERROR(__xludf.DUMMYFUNCTION("""COMPUTED_VALUE"""),50.0)</f>
        <v>50</v>
      </c>
      <c r="H468" s="31">
        <f>IFERROR(__xludf.DUMMYFUNCTION("""COMPUTED_VALUE"""),0.55)</f>
        <v>0.55</v>
      </c>
      <c r="I468" s="4" t="str">
        <f>IFERROR(__xludf.DUMMYFUNCTION("""COMPUTED_VALUE"""),"Pizzaria tradicional premium 9 lojas. Table Service mas volume justifica Kiosk bebidas/sobremesas. Padronização E-DEPLOY para multi-lojas.")</f>
        <v>Pizzaria tradicional premium 9 lojas. Table Service mas volume justifica Kiosk bebidas/sobremesas. Padronização E-DEPLOY para multi-lojas.</v>
      </c>
      <c r="K468" s="4" t="str">
        <f>IFERROR(__xludf.DUMMYFUNCTION("""COMPUTED_VALUE"""),"OUTROS 500 CB")</f>
        <v>OUTROS 500 CB</v>
      </c>
      <c r="L468" s="32">
        <f>IFERROR(__xludf.DUMMYFUNCTION("""COMPUTED_VALUE"""),16.0)</f>
        <v>16</v>
      </c>
      <c r="M468" s="4" t="str">
        <f>IFERROR(__xludf.DUMMYFUNCTION("""COMPUTED_VALUE"""),"Ncr")</f>
        <v>Ncr</v>
      </c>
      <c r="N468" s="33">
        <f>IFERROR(__xludf.DUMMYFUNCTION("""COMPUTED_VALUE"""),0.875)</f>
        <v>0.875</v>
      </c>
      <c r="O468" s="4" t="str">
        <f>IFERROR(__xludf.DUMMYFUNCTION("""COMPUTED_VALUE"""),"Ncr")</f>
        <v>Ncr</v>
      </c>
      <c r="P468" s="33">
        <f>IFERROR(__xludf.DUMMYFUNCTION("""COMPUTED_VALUE"""),0.875)</f>
        <v>0.875</v>
      </c>
      <c r="Q468" s="4" t="str">
        <f>IFERROR(__xludf.DUMMYFUNCTION("""COMPUTED_VALUE"""),"Ncr")</f>
        <v>Ncr</v>
      </c>
      <c r="R468" s="33">
        <f>IFERROR(__xludf.DUMMYFUNCTION("""COMPUTED_VALUE"""),0.9375)</f>
        <v>0.9375</v>
      </c>
      <c r="S468" s="4" t="str">
        <f>IFERROR(__xludf.DUMMYFUNCTION("""COMPUTED_VALUE"""),"Ncr")</f>
        <v>Ncr</v>
      </c>
      <c r="T468" s="33">
        <f>IFERROR(__xludf.DUMMYFUNCTION("""COMPUTED_VALUE"""),0.9375)</f>
        <v>0.9375</v>
      </c>
      <c r="U468" s="4" t="str">
        <f>IFERROR(__xludf.DUMMYFUNCTION("""COMPUTED_VALUE"""),"Ncr")</f>
        <v>Ncr</v>
      </c>
      <c r="V468" s="33">
        <f>IFERROR(__xludf.DUMMYFUNCTION("""COMPUTED_VALUE"""),0.8125)</f>
        <v>0.8125</v>
      </c>
      <c r="W468" s="4" t="str">
        <f>IFERROR(__xludf.DUMMYFUNCTION("""COMPUTED_VALUE"""),"Ncr")</f>
        <v>Ncr</v>
      </c>
      <c r="X468" s="33">
        <f>IFERROR(__xludf.DUMMYFUNCTION("""COMPUTED_VALUE"""),0.8125)</f>
        <v>0.8125</v>
      </c>
    </row>
    <row r="469">
      <c r="A469" s="4" t="str">
        <f>IFERROR(__xludf.DUMMYFUNCTION("""COMPUTED_VALUE"""),"Pizzaria Catedral")</f>
        <v>Pizzaria Catedral</v>
      </c>
      <c r="B469" s="34">
        <f>IFERROR(__xludf.DUMMYFUNCTION("""COMPUTED_VALUE"""),46054.0)</f>
        <v>46054</v>
      </c>
      <c r="C469" s="4" t="str">
        <f>IFERROR(__xludf.DUMMYFUNCTION("""COMPUTED_VALUE"""),"Dado não disponível publicamente - Necessário Discovery")</f>
        <v>Dado não disponível publicamente - Necessário Discovery</v>
      </c>
      <c r="D469" s="4" t="str">
        <f>IFERROR(__xludf.DUMMYFUNCTION("""COMPUTED_VALUE"""),"Pizzaria Local (Ourinhos-SP e/ou Maringá-PR - operações independentes)")</f>
        <v>Pizzaria Local (Ourinhos-SP e/ou Maringá-PR - operações independentes)</v>
      </c>
      <c r="E469" s="4" t="str">
        <f>IFERROR(__xludf.DUMMYFUNCTION("""COMPUTED_VALUE"""),"Ourinhos-SP e/ou Maringá-PR (estabelecimentos locais)")</f>
        <v>Ourinhos-SP e/ou Maringá-PR (estabelecimentos locais)</v>
      </c>
      <c r="F469" s="4" t="str">
        <f>IFERROR(__xludf.DUMMYFUNCTION("""COMPUTED_VALUE"""),"R$ 40-60")</f>
        <v>R$ 40-60</v>
      </c>
      <c r="G469" s="4">
        <f>IFERROR(__xludf.DUMMYFUNCTION("""COMPUTED_VALUE"""),15.0)</f>
        <v>15</v>
      </c>
      <c r="H469" s="31">
        <f>IFERROR(__xludf.DUMMYFUNCTION("""COMPUTED_VALUE"""),0.2)</f>
        <v>0.2</v>
      </c>
      <c r="I469" s="4" t="str">
        <f>IFERROR(__xludf.DUMMYFUNCTION("""COMPUTED_VALUE"""),"Estabelecimentos locais independentes mesmo nome. Sem rede consolidada. Baixíssima aderência.")</f>
        <v>Estabelecimentos locais independentes mesmo nome. Sem rede consolidada. Baixíssima aderência.</v>
      </c>
      <c r="K469" s="4" t="str">
        <f>IFERROR(__xludf.DUMMYFUNCTION("""COMPUTED_VALUE"""),"PIMP BURGER - CP")</f>
        <v>PIMP BURGER - CP</v>
      </c>
      <c r="L469" s="32">
        <f>IFERROR(__xludf.DUMMYFUNCTION("""COMPUTED_VALUE"""),16.0)</f>
        <v>16</v>
      </c>
      <c r="M469" s="4" t="str">
        <f>IFERROR(__xludf.DUMMYFUNCTION("""COMPUTED_VALUE"""),"Saipos Serviços De Software")</f>
        <v>Saipos Serviços De Software</v>
      </c>
      <c r="N469" s="33">
        <f>IFERROR(__xludf.DUMMYFUNCTION("""COMPUTED_VALUE"""),0.5625)</f>
        <v>0.5625</v>
      </c>
      <c r="O469" s="4" t="str">
        <f>IFERROR(__xludf.DUMMYFUNCTION("""COMPUTED_VALUE"""),"Saipos Serviços De Software")</f>
        <v>Saipos Serviços De Software</v>
      </c>
      <c r="P469" s="33">
        <f>IFERROR(__xludf.DUMMYFUNCTION("""COMPUTED_VALUE"""),0.5625)</f>
        <v>0.5625</v>
      </c>
      <c r="Q469" s="4" t="str">
        <f>IFERROR(__xludf.DUMMYFUNCTION("""COMPUTED_VALUE"""),"Saipos Serviços De Software")</f>
        <v>Saipos Serviços De Software</v>
      </c>
      <c r="R469" s="33">
        <f>IFERROR(__xludf.DUMMYFUNCTION("""COMPUTED_VALUE"""),0.75)</f>
        <v>0.75</v>
      </c>
      <c r="S469" s="4" t="str">
        <f>IFERROR(__xludf.DUMMYFUNCTION("""COMPUTED_VALUE"""),"Saipos Serviços De Software")</f>
        <v>Saipos Serviços De Software</v>
      </c>
      <c r="T469" s="33">
        <f>IFERROR(__xludf.DUMMYFUNCTION("""COMPUTED_VALUE"""),1.0)</f>
        <v>1</v>
      </c>
      <c r="U469" s="4" t="str">
        <f>IFERROR(__xludf.DUMMYFUNCTION("""COMPUTED_VALUE"""),"Saipos Serviços De Software")</f>
        <v>Saipos Serviços De Software</v>
      </c>
      <c r="V469" s="33">
        <f>IFERROR(__xludf.DUMMYFUNCTION("""COMPUTED_VALUE"""),1.0)</f>
        <v>1</v>
      </c>
      <c r="W469" s="4" t="str">
        <f>IFERROR(__xludf.DUMMYFUNCTION("""COMPUTED_VALUE"""),"Saipos Serviços De Software")</f>
        <v>Saipos Serviços De Software</v>
      </c>
      <c r="X469" s="33">
        <f>IFERROR(__xludf.DUMMYFUNCTION("""COMPUTED_VALUE"""),1.0)</f>
        <v>1</v>
      </c>
    </row>
    <row r="470">
      <c r="A470" s="4" t="str">
        <f>IFERROR(__xludf.DUMMYFUNCTION("""COMPUTED_VALUE"""),"Pizzaria do Samba")</f>
        <v>Pizzaria do Samba</v>
      </c>
      <c r="B470" s="4">
        <f>IFERROR(__xludf.DUMMYFUNCTION("""COMPUTED_VALUE"""),13.0)</f>
        <v>13</v>
      </c>
      <c r="C470" s="4" t="str">
        <f>IFERROR(__xludf.DUMMYFUNCTION("""COMPUTED_VALUE"""),"Dado não disponível publicamente - Necessário Discovery")</f>
        <v>Dado não disponível publicamente - Necessário Discovery</v>
      </c>
      <c r="D470" s="4" t="str">
        <f>IFERROR(__xludf.DUMMYFUNCTION("""COMPUTED_VALUE"""),"Pizzaria Delivery + Rodízio (13 lojas Rio de Janeiro + Rio das Ostras + Nova Iguaçu)")</f>
        <v>Pizzaria Delivery + Rodízio (13 lojas Rio de Janeiro + Rio das Ostras + Nova Iguaçu)</v>
      </c>
      <c r="E470" s="4" t="str">
        <f>IFERROR(__xludf.DUMMYFUNCTION("""COMPUTED_VALUE"""),"Rio de Janeiro (11 RJ capital + 1 Rio das Ostras + 1 Nova Iguaçu)")</f>
        <v>Rio de Janeiro (11 RJ capital + 1 Rio das Ostras + 1 Nova Iguaçu)</v>
      </c>
      <c r="F470" s="4" t="str">
        <f>IFERROR(__xludf.DUMMYFUNCTION("""COMPUTED_VALUE"""),"R$ 50-70")</f>
        <v>R$ 50-70</v>
      </c>
      <c r="G470" s="4">
        <f>IFERROR(__xludf.DUMMYFUNCTION("""COMPUTED_VALUE"""),55.0)</f>
        <v>55</v>
      </c>
      <c r="H470" s="31">
        <f>IFERROR(__xludf.DUMMYFUNCTION("""COMPUTED_VALUE"""),0.6)</f>
        <v>0.6</v>
      </c>
      <c r="I470" s="4" t="str">
        <f>IFERROR(__xludf.DUMMYFUNCTION("""COMPUTED_VALUE"""),"Rede regional RJ 13 lojas rodízio + delivery. Kiosk gerencia pedidos ilimitados rodízio + integração delivery. Boa aderência.")</f>
        <v>Rede regional RJ 13 lojas rodízio + delivery. Kiosk gerencia pedidos ilimitados rodízio + integração delivery. Boa aderência.</v>
      </c>
      <c r="K470" s="4" t="str">
        <f>IFERROR(__xludf.DUMMYFUNCTION("""COMPUTED_VALUE"""),"PIZZA PEZZI BH")</f>
        <v>PIZZA PEZZI BH</v>
      </c>
      <c r="L470" s="32">
        <f>IFERROR(__xludf.DUMMYFUNCTION("""COMPUTED_VALUE"""),16.0)</f>
        <v>16</v>
      </c>
      <c r="M470" s="4" t="str">
        <f>IFERROR(__xludf.DUMMYFUNCTION("""COMPUTED_VALUE"""),"Saipos Serviços De Software")</f>
        <v>Saipos Serviços De Software</v>
      </c>
      <c r="N470" s="33">
        <f>IFERROR(__xludf.DUMMYFUNCTION("""COMPUTED_VALUE"""),1.0)</f>
        <v>1</v>
      </c>
      <c r="O470" s="4" t="str">
        <f>IFERROR(__xludf.DUMMYFUNCTION("""COMPUTED_VALUE"""),"Saipos Serviços De Software")</f>
        <v>Saipos Serviços De Software</v>
      </c>
      <c r="P470" s="33">
        <f>IFERROR(__xludf.DUMMYFUNCTION("""COMPUTED_VALUE"""),1.0)</f>
        <v>1</v>
      </c>
      <c r="Q470" s="4" t="str">
        <f>IFERROR(__xludf.DUMMYFUNCTION("""COMPUTED_VALUE"""),"Saipos Serviços De Software")</f>
        <v>Saipos Serviços De Software</v>
      </c>
      <c r="R470" s="33">
        <f>IFERROR(__xludf.DUMMYFUNCTION("""COMPUTED_VALUE"""),1.0)</f>
        <v>1</v>
      </c>
      <c r="S470" s="4" t="str">
        <f>IFERROR(__xludf.DUMMYFUNCTION("""COMPUTED_VALUE"""),"Saipos Serviços De Software")</f>
        <v>Saipos Serviços De Software</v>
      </c>
      <c r="T470" s="33">
        <f>IFERROR(__xludf.DUMMYFUNCTION("""COMPUTED_VALUE"""),1.0)</f>
        <v>1</v>
      </c>
      <c r="U470" s="4" t="str">
        <f>IFERROR(__xludf.DUMMYFUNCTION("""COMPUTED_VALUE"""),"Saipos Serviços De Software")</f>
        <v>Saipos Serviços De Software</v>
      </c>
      <c r="V470" s="33">
        <f>IFERROR(__xludf.DUMMYFUNCTION("""COMPUTED_VALUE"""),1.0)</f>
        <v>1</v>
      </c>
      <c r="W470" s="4" t="str">
        <f>IFERROR(__xludf.DUMMYFUNCTION("""COMPUTED_VALUE"""),"Saipos Serviços De Software")</f>
        <v>Saipos Serviços De Software</v>
      </c>
      <c r="X470" s="33">
        <f>IFERROR(__xludf.DUMMYFUNCTION("""COMPUTED_VALUE"""),1.0)</f>
        <v>1</v>
      </c>
    </row>
    <row r="471">
      <c r="A471" s="4" t="str">
        <f>IFERROR(__xludf.DUMMYFUNCTION("""COMPUTED_VALUE"""),"Poke To Wok")</f>
        <v>Poke To Wok</v>
      </c>
      <c r="B471" s="4">
        <f>IFERROR(__xludf.DUMMYFUNCTION("""COMPUTED_VALUE"""),4.0)</f>
        <v>4</v>
      </c>
      <c r="C471" s="4" t="str">
        <f>IFERROR(__xludf.DUMMYFUNCTION("""COMPUTED_VALUE"""),"Dado não disponível publicamente - Necessário Discovery")</f>
        <v>Dado não disponível publicamente - Necessário Discovery</v>
      </c>
      <c r="D471" s="4" t="str">
        <f>IFERROR(__xludf.DUMMYFUNCTION("""COMPUTED_VALUE"""),"Fast Casual / Poke Havaiano e Asiático (Curitiba)")</f>
        <v>Fast Casual / Poke Havaiano e Asiático (Curitiba)</v>
      </c>
      <c r="E471" s="4" t="str">
        <f>IFERROR(__xludf.DUMMYFUNCTION("""COMPUTED_VALUE"""),"Curitiba-PR (4 unidades - Centro, Água Verde, Barigui, Juvevê)")</f>
        <v>Curitiba-PR (4 unidades - Centro, Água Verde, Barigui, Juvevê)</v>
      </c>
      <c r="F471" s="4" t="str">
        <f>IFERROR(__xludf.DUMMYFUNCTION("""COMPUTED_VALUE"""),"R$ 35-55")</f>
        <v>R$ 35-55</v>
      </c>
      <c r="G471" s="4">
        <f>IFERROR(__xludf.DUMMYFUNCTION("""COMPUTED_VALUE"""),35.0)</f>
        <v>35</v>
      </c>
      <c r="H471" s="31">
        <f>IFERROR(__xludf.DUMMYFUNCTION("""COMPUTED_VALUE"""),0.4)</f>
        <v>0.4</v>
      </c>
      <c r="I471" s="4" t="str">
        <f>IFERROR(__xludf.DUMMYFUNCTION("""COMPUTED_VALUE"""),"Rede local Curitiba 4 lojas. Poke = customização intensa ideal para Kiosk mas escala baixa limita ROI E-DEPLOY.")</f>
        <v>Rede local Curitiba 4 lojas. Poke = customização intensa ideal para Kiosk mas escala baixa limita ROI E-DEPLOY.</v>
      </c>
      <c r="K471" s="4" t="str">
        <f>IFERROR(__xludf.DUMMYFUNCTION("""COMPUTED_VALUE"""),"PIZZARIA DO SAMBA")</f>
        <v>PIZZARIA DO SAMBA</v>
      </c>
      <c r="L471" s="32">
        <f>IFERROR(__xludf.DUMMYFUNCTION("""COMPUTED_VALUE"""),16.0)</f>
        <v>16</v>
      </c>
      <c r="M471" s="4" t="str">
        <f>IFERROR(__xludf.DUMMYFUNCTION("""COMPUTED_VALUE"""),"Cardápio Web")</f>
        <v>Cardápio Web</v>
      </c>
      <c r="N471" s="33">
        <f>IFERROR(__xludf.DUMMYFUNCTION("""COMPUTED_VALUE"""),0.8125)</f>
        <v>0.8125</v>
      </c>
      <c r="O471" s="4" t="str">
        <f>IFERROR(__xludf.DUMMYFUNCTION("""COMPUTED_VALUE"""),"Cardápio Web")</f>
        <v>Cardápio Web</v>
      </c>
      <c r="P471" s="33">
        <f>IFERROR(__xludf.DUMMYFUNCTION("""COMPUTED_VALUE"""),0.8125)</f>
        <v>0.8125</v>
      </c>
      <c r="Q471" s="4" t="str">
        <f>IFERROR(__xludf.DUMMYFUNCTION("""COMPUTED_VALUE"""),"Cardápio Web")</f>
        <v>Cardápio Web</v>
      </c>
      <c r="R471" s="33">
        <f>IFERROR(__xludf.DUMMYFUNCTION("""COMPUTED_VALUE"""),0.8125)</f>
        <v>0.8125</v>
      </c>
      <c r="S471" s="4" t="str">
        <f>IFERROR(__xludf.DUMMYFUNCTION("""COMPUTED_VALUE"""),"Cardápio Web")</f>
        <v>Cardápio Web</v>
      </c>
      <c r="T471" s="33">
        <f>IFERROR(__xludf.DUMMYFUNCTION("""COMPUTED_VALUE"""),0.875)</f>
        <v>0.875</v>
      </c>
      <c r="U471" s="4" t="str">
        <f>IFERROR(__xludf.DUMMYFUNCTION("""COMPUTED_VALUE"""),"Cardápio Web")</f>
        <v>Cardápio Web</v>
      </c>
      <c r="V471" s="33">
        <f>IFERROR(__xludf.DUMMYFUNCTION("""COMPUTED_VALUE"""),0.75)</f>
        <v>0.75</v>
      </c>
      <c r="W471" s="4" t="str">
        <f>IFERROR(__xludf.DUMMYFUNCTION("""COMPUTED_VALUE"""),"Cardápio Web")</f>
        <v>Cardápio Web</v>
      </c>
      <c r="X471" s="33">
        <f>IFERROR(__xludf.DUMMYFUNCTION("""COMPUTED_VALUE"""),0.8125)</f>
        <v>0.8125</v>
      </c>
    </row>
    <row r="472">
      <c r="A472" s="4" t="str">
        <f>IFERROR(__xludf.DUMMYFUNCTION("""COMPUTED_VALUE"""),"Poke Up")</f>
        <v>Poke Up</v>
      </c>
      <c r="B472" s="4">
        <f>IFERROR(__xludf.DUMMYFUNCTION("""COMPUTED_VALUE"""),3.0)</f>
        <v>3</v>
      </c>
      <c r="C472" s="4" t="str">
        <f>IFERROR(__xludf.DUMMYFUNCTION("""COMPUTED_VALUE"""),"Dado não disponível publicamente - Necessário Discovery")</f>
        <v>Dado não disponível publicamente - Necessário Discovery</v>
      </c>
      <c r="D472" s="4" t="str">
        <f>IFERROR(__xludf.DUMMYFUNCTION("""COMPUTED_VALUE"""),"Fast Casual / Poke Havaiano (Belo Horizonte e Nova Lima)")</f>
        <v>Fast Casual / Poke Havaiano (Belo Horizonte e Nova Lima)</v>
      </c>
      <c r="E472" s="4" t="str">
        <f>IFERROR(__xludf.DUMMYFUNCTION("""COMPUTED_VALUE"""),"Minas Gerais (2 BH + 1 Nova Lima)")</f>
        <v>Minas Gerais (2 BH + 1 Nova Lima)</v>
      </c>
      <c r="F472" s="4" t="str">
        <f>IFERROR(__xludf.DUMMYFUNCTION("""COMPUTED_VALUE"""),"R$ 35-55")</f>
        <v>R$ 35-55</v>
      </c>
      <c r="G472" s="4">
        <f>IFERROR(__xludf.DUMMYFUNCTION("""COMPUTED_VALUE"""),30.0)</f>
        <v>30</v>
      </c>
      <c r="H472" s="31">
        <f>IFERROR(__xludf.DUMMYFUNCTION("""COMPUTED_VALUE"""),0.35)</f>
        <v>0.35</v>
      </c>
      <c r="I472" s="4" t="str">
        <f>IFERROR(__xludf.DUMMYFUNCTION("""COMPUTED_VALUE"""),"Rede micro BH 3 lojas. Poke customização = fit Kiosk mas escala muito baixa para E-DEPLOY completo.")</f>
        <v>Rede micro BH 3 lojas. Poke customização = fit Kiosk mas escala muito baixa para E-DEPLOY completo.</v>
      </c>
      <c r="K472" s="4" t="str">
        <f>IFERROR(__xludf.DUMMYFUNCTION("""COMPUTED_VALUE"""),"PLANETA PET - CONTA PAI")</f>
        <v>PLANETA PET - CONTA PAI</v>
      </c>
      <c r="L472" s="32">
        <f>IFERROR(__xludf.DUMMYFUNCTION("""COMPUTED_VALUE"""),16.0)</f>
        <v>16</v>
      </c>
      <c r="M472" s="4" t="str">
        <f>IFERROR(__xludf.DUMMYFUNCTION("""COMPUTED_VALUE"""),"N/A (Not found)")</f>
        <v>N/A (Not found)</v>
      </c>
      <c r="N472" s="33">
        <f>IFERROR(__xludf.DUMMYFUNCTION("""COMPUTED_VALUE"""),1.0)</f>
        <v>1</v>
      </c>
      <c r="O472" s="4" t="str">
        <f>IFERROR(__xludf.DUMMYFUNCTION("""COMPUTED_VALUE"""),"N/A (Not found)")</f>
        <v>N/A (Not found)</v>
      </c>
      <c r="P472" s="33">
        <f>IFERROR(__xludf.DUMMYFUNCTION("""COMPUTED_VALUE"""),1.0)</f>
        <v>1</v>
      </c>
      <c r="Q472" s="4" t="str">
        <f>IFERROR(__xludf.DUMMYFUNCTION("""COMPUTED_VALUE"""),"N/A (Not found)")</f>
        <v>N/A (Not found)</v>
      </c>
      <c r="R472" s="33">
        <f>IFERROR(__xludf.DUMMYFUNCTION("""COMPUTED_VALUE"""),1.0)</f>
        <v>1</v>
      </c>
      <c r="S472" s="4" t="str">
        <f>IFERROR(__xludf.DUMMYFUNCTION("""COMPUTED_VALUE"""),"N/A (Not found)")</f>
        <v>N/A (Not found)</v>
      </c>
      <c r="T472" s="33">
        <f>IFERROR(__xludf.DUMMYFUNCTION("""COMPUTED_VALUE"""),0.875)</f>
        <v>0.875</v>
      </c>
      <c r="U472" s="4" t="str">
        <f>IFERROR(__xludf.DUMMYFUNCTION("""COMPUTED_VALUE"""),"N/A (Not found)")</f>
        <v>N/A (Not found)</v>
      </c>
      <c r="V472" s="33">
        <f>IFERROR(__xludf.DUMMYFUNCTION("""COMPUTED_VALUE"""),0.875)</f>
        <v>0.875</v>
      </c>
      <c r="W472" s="4" t="str">
        <f>IFERROR(__xludf.DUMMYFUNCTION("""COMPUTED_VALUE"""),"N/A (Not found)")</f>
        <v>N/A (Not found)</v>
      </c>
      <c r="X472" s="33">
        <f>IFERROR(__xludf.DUMMYFUNCTION("""COMPUTED_VALUE"""),0.9375)</f>
        <v>0.9375</v>
      </c>
    </row>
    <row r="473">
      <c r="A473" s="4" t="str">
        <f>IFERROR(__xludf.DUMMYFUNCTION("""COMPUTED_VALUE"""),"Ponto Final")</f>
        <v>Ponto Final</v>
      </c>
      <c r="B473" s="34">
        <f>IFERROR(__xludf.DUMMYFUNCTION("""COMPUTED_VALUE"""),46054.0)</f>
        <v>46054</v>
      </c>
      <c r="C473" s="4" t="str">
        <f>IFERROR(__xludf.DUMMYFUNCTION("""COMPUTED_VALUE"""),"Dado não disponível publicamente - Necessário Discovery")</f>
        <v>Dado não disponível publicamente - Necessário Discovery</v>
      </c>
      <c r="D473" s="4" t="str">
        <f>IFERROR(__xludf.DUMMYFUNCTION("""COMPUTED_VALUE"""),"Restaurante Local (Múltiplas operações independentes mesmo nome)")</f>
        <v>Restaurante Local (Múltiplas operações independentes mesmo nome)</v>
      </c>
      <c r="E473" s="4" t="str">
        <f>IFERROR(__xludf.DUMMYFUNCTION("""COMPUTED_VALUE"""),"Diversos (Campinas-SP, Novo Gama-GO, Brasília-DF - não são rede)")</f>
        <v>Diversos (Campinas-SP, Novo Gama-GO, Brasília-DF - não são rede)</v>
      </c>
      <c r="F473" s="4" t="str">
        <f>IFERROR(__xludf.DUMMYFUNCTION("""COMPUTED_VALUE"""),"R$ 35-55")</f>
        <v>R$ 35-55</v>
      </c>
      <c r="G473" s="4">
        <f>IFERROR(__xludf.DUMMYFUNCTION("""COMPUTED_VALUE"""),15.0)</f>
        <v>15</v>
      </c>
      <c r="H473" s="31">
        <f>IFERROR(__xludf.DUMMYFUNCTION("""COMPUTED_VALUE"""),0.2)</f>
        <v>0.2</v>
      </c>
      <c r="I473" s="4" t="str">
        <f>IFERROR(__xludf.DUMMYFUNCTION("""COMPUTED_VALUE"""),"Estabelecimentos locais independentes. Não há rede consolidada. Baixíssima aderência.")</f>
        <v>Estabelecimentos locais independentes. Não há rede consolidada. Baixíssima aderência.</v>
      </c>
      <c r="K473" s="4" t="str">
        <f>IFERROR(__xludf.DUMMYFUNCTION("""COMPUTED_VALUE"""),"GRUPO G TOP - CONTA GRUPO")</f>
        <v>GRUPO G TOP - CONTA GRUPO</v>
      </c>
      <c r="L473" s="32">
        <f>IFERROR(__xludf.DUMMYFUNCTION("""COMPUTED_VALUE"""),16.0)</f>
        <v>16</v>
      </c>
      <c r="M473" s="4" t="str">
        <f>IFERROR(__xludf.DUMMYFUNCTION("""COMPUTED_VALUE"""),"N/A (Not found)")</f>
        <v>N/A (Not found)</v>
      </c>
      <c r="N473" s="33">
        <f>IFERROR(__xludf.DUMMYFUNCTION("""COMPUTED_VALUE"""),1.0)</f>
        <v>1</v>
      </c>
      <c r="O473" s="4" t="str">
        <f>IFERROR(__xludf.DUMMYFUNCTION("""COMPUTED_VALUE"""),"N/A (Not found)")</f>
        <v>N/A (Not found)</v>
      </c>
      <c r="P473" s="33">
        <f>IFERROR(__xludf.DUMMYFUNCTION("""COMPUTED_VALUE"""),1.0)</f>
        <v>1</v>
      </c>
      <c r="Q473" s="4" t="str">
        <f>IFERROR(__xludf.DUMMYFUNCTION("""COMPUTED_VALUE"""),"N/A (Not found)")</f>
        <v>N/A (Not found)</v>
      </c>
      <c r="R473" s="33">
        <f>IFERROR(__xludf.DUMMYFUNCTION("""COMPUTED_VALUE"""),1.0)</f>
        <v>1</v>
      </c>
      <c r="S473" s="4" t="str">
        <f>IFERROR(__xludf.DUMMYFUNCTION("""COMPUTED_VALUE"""),"N/A (Not found)")</f>
        <v>N/A (Not found)</v>
      </c>
      <c r="T473" s="33">
        <f>IFERROR(__xludf.DUMMYFUNCTION("""COMPUTED_VALUE"""),1.0)</f>
        <v>1</v>
      </c>
      <c r="U473" s="4" t="str">
        <f>IFERROR(__xludf.DUMMYFUNCTION("""COMPUTED_VALUE"""),"N/A (Not found)")</f>
        <v>N/A (Not found)</v>
      </c>
      <c r="V473" s="33">
        <f>IFERROR(__xludf.DUMMYFUNCTION("""COMPUTED_VALUE"""),1.0)</f>
        <v>1</v>
      </c>
      <c r="W473" s="4" t="str">
        <f>IFERROR(__xludf.DUMMYFUNCTION("""COMPUTED_VALUE"""),"N/A (Not found)")</f>
        <v>N/A (Not found)</v>
      </c>
      <c r="X473" s="33">
        <f>IFERROR(__xludf.DUMMYFUNCTION("""COMPUTED_VALUE"""),1.0)</f>
        <v>1</v>
      </c>
    </row>
    <row r="474">
      <c r="A474" s="4" t="str">
        <f>IFERROR(__xludf.DUMMYFUNCTION("""COMPUTED_VALUE"""),"Qualitta Food Service")</f>
        <v>Qualitta Food Service</v>
      </c>
      <c r="B474" s="4">
        <f>IFERROR(__xludf.DUMMYFUNCTION("""COMPUTED_VALUE"""),7.0)</f>
        <v>7</v>
      </c>
      <c r="C474" s="4" t="str">
        <f>IFERROR(__xludf.DUMMYFUNCTION("""COMPUTED_VALUE"""),"Dado não disponível publicamente - Necessário Discovery")</f>
        <v>Dado não disponível publicamente - Necessário Discovery</v>
      </c>
      <c r="D474" s="4" t="str">
        <f>IFERROR(__xludf.DUMMYFUNCTION("""COMPUTED_VALUE"""),"Grupo Restaurantes (7 casas - não especificado formato)")</f>
        <v>Grupo Restaurantes (7 casas - não especificado formato)</v>
      </c>
      <c r="E474" s="4" t="str">
        <f>IFERROR(__xludf.DUMMYFUNCTION("""COMPUTED_VALUE"""),"Brasil (não especificado estados)")</f>
        <v>Brasil (não especificado estados)</v>
      </c>
      <c r="F474" s="4" t="str">
        <f>IFERROR(__xludf.DUMMYFUNCTION("""COMPUTED_VALUE"""),"R$ 50-80")</f>
        <v>R$ 50-80</v>
      </c>
      <c r="G474" s="4">
        <f>IFERROR(__xludf.DUMMYFUNCTION("""COMPUTED_VALUE"""),35.0)</f>
        <v>35</v>
      </c>
      <c r="H474" s="31">
        <f>IFERROR(__xludf.DUMMYFUNCTION("""COMPUTED_VALUE"""),0.4)</f>
        <v>0.4</v>
      </c>
      <c r="I474" s="4" t="str">
        <f>IFERROR(__xludf.DUMMYFUNCTION("""COMPUTED_VALUE"""),"Grupo 7 casas sem detalhamento público. Dados insuficientes para avaliação precisa. Necessário Discovery.")</f>
        <v>Grupo 7 casas sem detalhamento público. Dados insuficientes para avaliação precisa. Necessário Discovery.</v>
      </c>
      <c r="K474" s="4" t="str">
        <f>IFERROR(__xludf.DUMMYFUNCTION("""COMPUTED_VALUE"""),"SEUBURGER")</f>
        <v>SEUBURGER</v>
      </c>
      <c r="L474" s="32">
        <f>IFERROR(__xludf.DUMMYFUNCTION("""COMPUTED_VALUE"""),16.0)</f>
        <v>16</v>
      </c>
      <c r="M474" s="4" t="str">
        <f>IFERROR(__xludf.DUMMYFUNCTION("""COMPUTED_VALUE"""),"Gfr Tec")</f>
        <v>Gfr Tec</v>
      </c>
      <c r="N474" s="33">
        <f>IFERROR(__xludf.DUMMYFUNCTION("""COMPUTED_VALUE"""),1.0)</f>
        <v>1</v>
      </c>
      <c r="O474" s="4" t="str">
        <f>IFERROR(__xludf.DUMMYFUNCTION("""COMPUTED_VALUE"""),"Gfr Tec")</f>
        <v>Gfr Tec</v>
      </c>
      <c r="P474" s="33">
        <f>IFERROR(__xludf.DUMMYFUNCTION("""COMPUTED_VALUE"""),0.5625)</f>
        <v>0.5625</v>
      </c>
      <c r="Q474" s="4" t="str">
        <f>IFERROR(__xludf.DUMMYFUNCTION("""COMPUTED_VALUE"""),"Gfr Tec")</f>
        <v>Gfr Tec</v>
      </c>
      <c r="R474" s="33">
        <f>IFERROR(__xludf.DUMMYFUNCTION("""COMPUTED_VALUE"""),0.5)</f>
        <v>0.5</v>
      </c>
      <c r="S474" s="4" t="str">
        <f>IFERROR(__xludf.DUMMYFUNCTION("""COMPUTED_VALUE"""),"Gfr Tec")</f>
        <v>Gfr Tec</v>
      </c>
      <c r="T474" s="33">
        <f>IFERROR(__xludf.DUMMYFUNCTION("""COMPUTED_VALUE"""),0.8125)</f>
        <v>0.8125</v>
      </c>
      <c r="U474" s="4" t="str">
        <f>IFERROR(__xludf.DUMMYFUNCTION("""COMPUTED_VALUE"""),"Gfr Tec")</f>
        <v>Gfr Tec</v>
      </c>
      <c r="V474" s="33">
        <f>IFERROR(__xludf.DUMMYFUNCTION("""COMPUTED_VALUE"""),0.75)</f>
        <v>0.75</v>
      </c>
      <c r="W474" s="4" t="str">
        <f>IFERROR(__xludf.DUMMYFUNCTION("""COMPUTED_VALUE"""),"Gfr Tec")</f>
        <v>Gfr Tec</v>
      </c>
      <c r="X474" s="33">
        <f>IFERROR(__xludf.DUMMYFUNCTION("""COMPUTED_VALUE"""),0.75)</f>
        <v>0.75</v>
      </c>
    </row>
    <row r="475">
      <c r="A475" s="4" t="str">
        <f>IFERROR(__xludf.DUMMYFUNCTION("""COMPUTED_VALUE"""),"Quick Temaki")</f>
        <v>Quick Temaki</v>
      </c>
      <c r="B475" s="4">
        <f>IFERROR(__xludf.DUMMYFUNCTION("""COMPUTED_VALUE"""),3.0)</f>
        <v>3</v>
      </c>
      <c r="C475" s="4" t="str">
        <f>IFERROR(__xludf.DUMMYFUNCTION("""COMPUTED_VALUE"""),"Dado não disponível publicamente - Necessário Discovery")</f>
        <v>Dado não disponível publicamente - Necessário Discovery</v>
      </c>
      <c r="D475" s="4" t="str">
        <f>IFERROR(__xludf.DUMMYFUNCTION("""COMPUTED_VALUE"""),"Fast Casual / Temaki Express (BH e Curitiba)")</f>
        <v>Fast Casual / Temaki Express (BH e Curitiba)</v>
      </c>
      <c r="E475" s="4" t="str">
        <f>IFERROR(__xludf.DUMMYFUNCTION("""COMPUTED_VALUE"""),"Belo Horizonte-MG (2 unidades) + Curitiba-PR (1 unidade)")</f>
        <v>Belo Horizonte-MG (2 unidades) + Curitiba-PR (1 unidade)</v>
      </c>
      <c r="F475" s="4" t="str">
        <f>IFERROR(__xludf.DUMMYFUNCTION("""COMPUTED_VALUE"""),"R$ 35-55")</f>
        <v>R$ 35-55</v>
      </c>
      <c r="G475" s="4">
        <f>IFERROR(__xludf.DUMMYFUNCTION("""COMPUTED_VALUE"""),30.0)</f>
        <v>30</v>
      </c>
      <c r="H475" s="31">
        <f>IFERROR(__xludf.DUMMYFUNCTION("""COMPUTED_VALUE"""),0.35)</f>
        <v>0.35</v>
      </c>
      <c r="I475" s="4" t="str">
        <f>IFERROR(__xludf.DUMMYFUNCTION("""COMPUTED_VALUE"""),"Rede micro 3 lojas em 2 cidades. Fast food japonês = Kiosk fit mas escala baixa para E-DEPLOY.")</f>
        <v>Rede micro 3 lojas em 2 cidades. Fast food japonês = Kiosk fit mas escala baixa para E-DEPLOY.</v>
      </c>
      <c r="K475" s="4" t="str">
        <f>IFERROR(__xludf.DUMMYFUNCTION("""COMPUTED_VALUE"""),"THE POW")</f>
        <v>THE POW</v>
      </c>
      <c r="L475" s="32">
        <f>IFERROR(__xludf.DUMMYFUNCTION("""COMPUTED_VALUE"""),16.0)</f>
        <v>16</v>
      </c>
      <c r="M475" s="4" t="str">
        <f>IFERROR(__xludf.DUMMYFUNCTION("""COMPUTED_VALUE"""),"Saipos Serviços De Software")</f>
        <v>Saipos Serviços De Software</v>
      </c>
      <c r="N475" s="33">
        <f>IFERROR(__xludf.DUMMYFUNCTION("""COMPUTED_VALUE"""),0.9375)</f>
        <v>0.9375</v>
      </c>
      <c r="O475" s="4" t="str">
        <f>IFERROR(__xludf.DUMMYFUNCTION("""COMPUTED_VALUE"""),"Saipos Serviços De Software")</f>
        <v>Saipos Serviços De Software</v>
      </c>
      <c r="P475" s="33">
        <f>IFERROR(__xludf.DUMMYFUNCTION("""COMPUTED_VALUE"""),0.9375)</f>
        <v>0.9375</v>
      </c>
      <c r="Q475" s="4" t="str">
        <f>IFERROR(__xludf.DUMMYFUNCTION("""COMPUTED_VALUE"""),"Saipos Serviços De Software")</f>
        <v>Saipos Serviços De Software</v>
      </c>
      <c r="R475" s="33">
        <f>IFERROR(__xludf.DUMMYFUNCTION("""COMPUTED_VALUE"""),0.9375)</f>
        <v>0.9375</v>
      </c>
      <c r="S475" s="4" t="str">
        <f>IFERROR(__xludf.DUMMYFUNCTION("""COMPUTED_VALUE"""),"Saipos Serviços De Software")</f>
        <v>Saipos Serviços De Software</v>
      </c>
      <c r="T475" s="33">
        <f>IFERROR(__xludf.DUMMYFUNCTION("""COMPUTED_VALUE"""),0.875)</f>
        <v>0.875</v>
      </c>
      <c r="U475" s="4" t="str">
        <f>IFERROR(__xludf.DUMMYFUNCTION("""COMPUTED_VALUE"""),"Saipos Serviços De Software")</f>
        <v>Saipos Serviços De Software</v>
      </c>
      <c r="V475" s="33">
        <f>IFERROR(__xludf.DUMMYFUNCTION("""COMPUTED_VALUE"""),0.9375)</f>
        <v>0.9375</v>
      </c>
      <c r="W475" s="4" t="str">
        <f>IFERROR(__xludf.DUMMYFUNCTION("""COMPUTED_VALUE"""),"Saipos Serviços De Software")</f>
        <v>Saipos Serviços De Software</v>
      </c>
      <c r="X475" s="33">
        <f>IFERROR(__xludf.DUMMYFUNCTION("""COMPUTED_VALUE"""),1.0)</f>
        <v>1</v>
      </c>
    </row>
    <row r="476">
      <c r="A476" s="4" t="str">
        <f>IFERROR(__xludf.DUMMYFUNCTION("""COMPUTED_VALUE"""),"Quiero Cafe")</f>
        <v>Quiero Cafe</v>
      </c>
      <c r="B476" s="4">
        <f>IFERROR(__xludf.DUMMYFUNCTION("""COMPUTED_VALUE"""),80.0)</f>
        <v>80</v>
      </c>
      <c r="C476" s="4" t="str">
        <f>IFERROR(__xludf.DUMMYFUNCTION("""COMPUTED_VALUE"""),"Dado não disponível publicamente - Projeção 100 unidades fim 2026")</f>
        <v>Dado não disponível publicamente - Projeção 100 unidades fim 2026</v>
      </c>
      <c r="D476" s="4" t="str">
        <f>IFERROR(__xludf.DUMMYFUNCTION("""COMPUTED_VALUE"""),"QSR / Cafeteria Express (Franquia nacional em expansão)")</f>
        <v>QSR / Cafeteria Express (Franquia nacional em expansão)</v>
      </c>
      <c r="E476" s="4" t="str">
        <f>IFERROR(__xludf.DUMMYFUNCTION("""COMPUTED_VALUE"""),"Nacional (80 unidades distribuídas Brasil, meta 100 até fim 2026)")</f>
        <v>Nacional (80 unidades distribuídas Brasil, meta 100 até fim 2026)</v>
      </c>
      <c r="F476" s="4" t="str">
        <f>IFERROR(__xludf.DUMMYFUNCTION("""COMPUTED_VALUE"""),"R$ 15-30")</f>
        <v>R$ 15-30</v>
      </c>
      <c r="G476" s="4">
        <f>IFERROR(__xludf.DUMMYFUNCTION("""COMPUTED_VALUE"""),75.0)</f>
        <v>75</v>
      </c>
      <c r="H476" s="31">
        <f>IFERROR(__xludf.DUMMYFUNCTION("""COMPUTED_VALUE"""),0.8)</f>
        <v>0.8</v>
      </c>
      <c r="I476" s="4" t="str">
        <f>IFERROR(__xludf.DUMMYFUNCTION("""COMPUTED_VALUE"""),"Rede em expansão rápida 80→100 lojas. QSR cafeteria: Kiosk para pedidos + combos + E-DEPLOY crítico para padronização nacional. Alta aderência.")</f>
        <v>Rede em expansão rápida 80→100 lojas. QSR cafeteria: Kiosk para pedidos + combos + E-DEPLOY crítico para padronização nacional. Alta aderência.</v>
      </c>
      <c r="K476" s="4" t="str">
        <f>IFERROR(__xludf.DUMMYFUNCTION("""COMPUTED_VALUE"""),"GRUPO VELANES")</f>
        <v>GRUPO VELANES</v>
      </c>
      <c r="L476" s="32">
        <f>IFERROR(__xludf.DUMMYFUNCTION("""COMPUTED_VALUE"""),16.0)</f>
        <v>16</v>
      </c>
      <c r="M476" s="4" t="str">
        <f>IFERROR(__xludf.DUMMYFUNCTION("""COMPUTED_VALUE"""),"null")</f>
        <v>null</v>
      </c>
      <c r="N476" s="33">
        <f>IFERROR(__xludf.DUMMYFUNCTION("""COMPUTED_VALUE"""),0.8125)</f>
        <v>0.8125</v>
      </c>
      <c r="O476" s="4" t="str">
        <f>IFERROR(__xludf.DUMMYFUNCTION("""COMPUTED_VALUE"""),"N/A (Not found)")</f>
        <v>N/A (Not found)</v>
      </c>
      <c r="P476" s="33">
        <f>IFERROR(__xludf.DUMMYFUNCTION("""COMPUTED_VALUE"""),0.625)</f>
        <v>0.625</v>
      </c>
      <c r="Q476" s="4" t="str">
        <f>IFERROR(__xludf.DUMMYFUNCTION("""COMPUTED_VALUE"""),"N/A (Not found)")</f>
        <v>N/A (Not found)</v>
      </c>
      <c r="R476" s="33">
        <f>IFERROR(__xludf.DUMMYFUNCTION("""COMPUTED_VALUE"""),0.625)</f>
        <v>0.625</v>
      </c>
      <c r="S476" s="4" t="str">
        <f>IFERROR(__xludf.DUMMYFUNCTION("""COMPUTED_VALUE"""),"N/A (Not found)")</f>
        <v>N/A (Not found)</v>
      </c>
      <c r="T476" s="33">
        <f>IFERROR(__xludf.DUMMYFUNCTION("""COMPUTED_VALUE"""),0.875)</f>
        <v>0.875</v>
      </c>
      <c r="U476" s="4" t="str">
        <f>IFERROR(__xludf.DUMMYFUNCTION("""COMPUTED_VALUE"""),"N/A (Not found)")</f>
        <v>N/A (Not found)</v>
      </c>
      <c r="V476" s="33">
        <f>IFERROR(__xludf.DUMMYFUNCTION("""COMPUTED_VALUE"""),0.875)</f>
        <v>0.875</v>
      </c>
      <c r="W476" s="4" t="str">
        <f>IFERROR(__xludf.DUMMYFUNCTION("""COMPUTED_VALUE"""),"N/A (Not found)")</f>
        <v>N/A (Not found)</v>
      </c>
      <c r="X476" s="33">
        <f>IFERROR(__xludf.DUMMYFUNCTION("""COMPUTED_VALUE"""),0.875)</f>
        <v>0.875</v>
      </c>
    </row>
    <row r="477">
      <c r="A477" s="4" t="str">
        <f>IFERROR(__xludf.DUMMYFUNCTION("""COMPUTED_VALUE"""),"Quinta Da Oliva")</f>
        <v>Quinta Da Oliva</v>
      </c>
      <c r="B477" s="4">
        <f>IFERROR(__xludf.DUMMYFUNCTION("""COMPUTED_VALUE"""),2.0)</f>
        <v>2</v>
      </c>
      <c r="C477" s="4" t="str">
        <f>IFERROR(__xludf.DUMMYFUNCTION("""COMPUTED_VALUE"""),"Dado não disponível publicamente - Necessário Discovery")</f>
        <v>Dado não disponível publicamente - Necessário Discovery</v>
      </c>
      <c r="D477" s="4" t="str">
        <f>IFERROR(__xludf.DUMMYFUNCTION("""COMPUTED_VALUE"""),"Table Service / Restaurante Italiano (Cascavel e Foz do Iguaçu PR)")</f>
        <v>Table Service / Restaurante Italiano (Cascavel e Foz do Iguaçu PR)</v>
      </c>
      <c r="E477" s="4" t="str">
        <f>IFERROR(__xludf.DUMMYFUNCTION("""COMPUTED_VALUE"""),"Paraná (Cascavel desde 2010 + Foz do Iguaçu desde 2018)")</f>
        <v>Paraná (Cascavel desde 2010 + Foz do Iguaçu desde 2018)</v>
      </c>
      <c r="F477" s="4" t="str">
        <f>IFERROR(__xludf.DUMMYFUNCTION("""COMPUTED_VALUE"""),"R$ 60-90")</f>
        <v>R$ 60-90</v>
      </c>
      <c r="G477" s="4">
        <f>IFERROR(__xludf.DUMMYFUNCTION("""COMPUTED_VALUE"""),25.0)</f>
        <v>25</v>
      </c>
      <c r="H477" s="31">
        <f>IFERROR(__xludf.DUMMYFUNCTION("""COMPUTED_VALUE"""),0.3)</f>
        <v>0.3</v>
      </c>
      <c r="I477" s="4" t="str">
        <f>IFERROR(__xludf.DUMMYFUNCTION("""COMPUTED_VALUE"""),"Restaurante italiano familiar 2 casas PR. Table Service tradicional. Baixa aderência para autoatendimento.")</f>
        <v>Restaurante italiano familiar 2 casas PR. Table Service tradicional. Baixa aderência para autoatendimento.</v>
      </c>
      <c r="K477" s="4" t="str">
        <f>IFERROR(__xludf.DUMMYFUNCTION("""COMPUTED_VALUE"""),"ACAI TROPICAL")</f>
        <v>ACAI TROPICAL</v>
      </c>
      <c r="L477" s="32">
        <f>IFERROR(__xludf.DUMMYFUNCTION("""COMPUTED_VALUE"""),15.0)</f>
        <v>15</v>
      </c>
      <c r="M477" s="4" t="str">
        <f>IFERROR(__xludf.DUMMYFUNCTION("""COMPUTED_VALUE"""),"Saipos Serviços De Software")</f>
        <v>Saipos Serviços De Software</v>
      </c>
      <c r="N477" s="33">
        <f>IFERROR(__xludf.DUMMYFUNCTION("""COMPUTED_VALUE"""),0.26666666666666666)</f>
        <v>0.2666666667</v>
      </c>
      <c r="O477" s="4" t="str">
        <f>IFERROR(__xludf.DUMMYFUNCTION("""COMPUTED_VALUE"""),"Saipos Serviços De Software")</f>
        <v>Saipos Serviços De Software</v>
      </c>
      <c r="P477" s="33">
        <f>IFERROR(__xludf.DUMMYFUNCTION("""COMPUTED_VALUE"""),0.26666666666666666)</f>
        <v>0.2666666667</v>
      </c>
      <c r="Q477" s="4" t="str">
        <f>IFERROR(__xludf.DUMMYFUNCTION("""COMPUTED_VALUE"""),"Saipos Serviços De Software")</f>
        <v>Saipos Serviços De Software</v>
      </c>
      <c r="R477" s="33">
        <f>IFERROR(__xludf.DUMMYFUNCTION("""COMPUTED_VALUE"""),0.26666666666666666)</f>
        <v>0.2666666667</v>
      </c>
      <c r="S477" s="4" t="str">
        <f>IFERROR(__xludf.DUMMYFUNCTION("""COMPUTED_VALUE"""),"Saipos Serviços De Software")</f>
        <v>Saipos Serviços De Software</v>
      </c>
      <c r="T477" s="33">
        <f>IFERROR(__xludf.DUMMYFUNCTION("""COMPUTED_VALUE"""),0.26666666666666666)</f>
        <v>0.2666666667</v>
      </c>
      <c r="U477" s="4" t="str">
        <f>IFERROR(__xludf.DUMMYFUNCTION("""COMPUTED_VALUE"""),"Saipos Serviços De Software")</f>
        <v>Saipos Serviços De Software</v>
      </c>
      <c r="V477" s="33">
        <f>IFERROR(__xludf.DUMMYFUNCTION("""COMPUTED_VALUE"""),0.26666666666666666)</f>
        <v>0.2666666667</v>
      </c>
      <c r="W477" s="4" t="str">
        <f>IFERROR(__xludf.DUMMYFUNCTION("""COMPUTED_VALUE"""),"Saipos Serviços De Software")</f>
        <v>Saipos Serviços De Software</v>
      </c>
      <c r="X477" s="33">
        <f>IFERROR(__xludf.DUMMYFUNCTION("""COMPUTED_VALUE"""),0.26666666666666666)</f>
        <v>0.2666666667</v>
      </c>
    </row>
    <row r="478">
      <c r="A478" s="4" t="str">
        <f>IFERROR(__xludf.DUMMYFUNCTION("""COMPUTED_VALUE"""),"Rei Do Mate")</f>
        <v>Rei Do Mate</v>
      </c>
      <c r="B478" s="4">
        <f>IFERROR(__xludf.DUMMYFUNCTION("""COMPUTED_VALUE"""),340.0)</f>
        <v>340</v>
      </c>
      <c r="C478" s="4" t="str">
        <f>IFERROR(__xludf.DUMMYFUNCTION("""COMPUTED_VALUE"""),"R$ 400+ milhões (2026 - crescimento 7%, 328→340 lojas)")</f>
        <v>R$ 400+ milhões (2026 - crescimento 7%, 328→340 lojas)</v>
      </c>
      <c r="D478" s="4" t="str">
        <f>IFERROR(__xludf.DUMMYFUNCTION("""COMPUTED_VALUE"""),"QSR / Sucos e Lanches Naturais (Franquia nacional - 12 novas lojas 1º sem 2026)")</f>
        <v>QSR / Sucos e Lanches Naturais (Franquia nacional - 12 novas lojas 1º sem 2026)</v>
      </c>
      <c r="E478" s="4" t="str">
        <f>IFERROR(__xludf.DUMMYFUNCTION("""COMPUTED_VALUE"""),"Nacional (340 lojas distribuídas Brasil)")</f>
        <v>Nacional (340 lojas distribuídas Brasil)</v>
      </c>
      <c r="F478" s="4" t="str">
        <f>IFERROR(__xludf.DUMMYFUNCTION("""COMPUTED_VALUE"""),"R$ 15-30")</f>
        <v>R$ 15-30</v>
      </c>
      <c r="G478" s="4">
        <f>IFERROR(__xludf.DUMMYFUNCTION("""COMPUTED_VALUE"""),85.0)</f>
        <v>85</v>
      </c>
      <c r="H478" s="31">
        <f>IFERROR(__xludf.DUMMYFUNCTION("""COMPUTED_VALUE"""),0.9)</f>
        <v>0.9</v>
      </c>
      <c r="I478" s="4" t="str">
        <f>IFERROR(__xludf.DUMMYFUNCTION("""COMPUTED_VALUE"""),"TOP TARGET. Rede consolidada 340 lojas, R$ 400M+, expansão ativa. QSR sucos = Kiosk customização + velocidade + E-DEPLOY 340 lojas. Aderência máxima.")</f>
        <v>TOP TARGET. Rede consolidada 340 lojas, R$ 400M+, expansão ativa. QSR sucos = Kiosk customização + velocidade + E-DEPLOY 340 lojas. Aderência máxima.</v>
      </c>
      <c r="K478" s="4" t="str">
        <f>IFERROR(__xludf.DUMMYFUNCTION("""COMPUTED_VALUE"""),"BRASA BURGUER")</f>
        <v>BRASA BURGUER</v>
      </c>
      <c r="L478" s="32">
        <f>IFERROR(__xludf.DUMMYFUNCTION("""COMPUTED_VALUE"""),15.0)</f>
        <v>15</v>
      </c>
      <c r="M478" s="4" t="str">
        <f>IFERROR(__xludf.DUMMYFUNCTION("""COMPUTED_VALUE"""),"null")</f>
        <v>null</v>
      </c>
      <c r="N478" s="33">
        <f>IFERROR(__xludf.DUMMYFUNCTION("""COMPUTED_VALUE"""),0.2)</f>
        <v>0.2</v>
      </c>
      <c r="O478" s="4" t="str">
        <f>IFERROR(__xludf.DUMMYFUNCTION("""COMPUTED_VALUE"""),"null")</f>
        <v>null</v>
      </c>
      <c r="P478" s="33">
        <f>IFERROR(__xludf.DUMMYFUNCTION("""COMPUTED_VALUE"""),0.26666666666666666)</f>
        <v>0.2666666667</v>
      </c>
      <c r="Q478" s="4" t="str">
        <f>IFERROR(__xludf.DUMMYFUNCTION("""COMPUTED_VALUE"""),"null")</f>
        <v>null</v>
      </c>
      <c r="R478" s="33">
        <f>IFERROR(__xludf.DUMMYFUNCTION("""COMPUTED_VALUE"""),0.26666666666666666)</f>
        <v>0.2666666667</v>
      </c>
      <c r="S478" s="4" t="str">
        <f>IFERROR(__xludf.DUMMYFUNCTION("""COMPUTED_VALUE"""),"null")</f>
        <v>null</v>
      </c>
      <c r="T478" s="33">
        <f>IFERROR(__xludf.DUMMYFUNCTION("""COMPUTED_VALUE"""),0.4)</f>
        <v>0.4</v>
      </c>
      <c r="U478" s="4" t="str">
        <f>IFERROR(__xludf.DUMMYFUNCTION("""COMPUTED_VALUE"""),"Cardápio Web")</f>
        <v>Cardápio Web</v>
      </c>
      <c r="V478" s="33">
        <f>IFERROR(__xludf.DUMMYFUNCTION("""COMPUTED_VALUE"""),0.2)</f>
        <v>0.2</v>
      </c>
      <c r="W478" s="4" t="str">
        <f>IFERROR(__xludf.DUMMYFUNCTION("""COMPUTED_VALUE"""),"null")</f>
        <v>null</v>
      </c>
      <c r="X478" s="33">
        <f>IFERROR(__xludf.DUMMYFUNCTION("""COMPUTED_VALUE"""),0.3333333333333333)</f>
        <v>0.3333333333</v>
      </c>
    </row>
    <row r="479">
      <c r="A479" s="4" t="str">
        <f>IFERROR(__xludf.DUMMYFUNCTION("""COMPUTED_VALUE"""),"Ristorante Cacilda")</f>
        <v>Ristorante Cacilda</v>
      </c>
      <c r="B479" s="4">
        <f>IFERROR(__xludf.DUMMYFUNCTION("""COMPUTED_VALUE"""),1.0)</f>
        <v>1</v>
      </c>
      <c r="C479" s="4" t="str">
        <f>IFERROR(__xludf.DUMMYFUNCTION("""COMPUTED_VALUE"""),"Dado não disponível publicamente - Necessário Discovery")</f>
        <v>Dado não disponível publicamente - Necessário Discovery</v>
      </c>
      <c r="D479" s="4" t="str">
        <f>IFERROR(__xludf.DUMMYFUNCTION("""COMPUTED_VALUE"""),"Table Service / Restaurante Italiano (Vila Romana SP)")</f>
        <v>Table Service / Restaurante Italiano (Vila Romana SP)</v>
      </c>
      <c r="E479" s="4" t="str">
        <f>IFERROR(__xludf.DUMMYFUNCTION("""COMPUTED_VALUE"""),"São Paulo-SP (Vila Romana - Rua Tito)")</f>
        <v>São Paulo-SP (Vila Romana - Rua Tito)</v>
      </c>
      <c r="F479" s="4" t="str">
        <f>IFERROR(__xludf.DUMMYFUNCTION("""COMPUTED_VALUE"""),"R$ 70-110")</f>
        <v>R$ 70-110</v>
      </c>
      <c r="G479" s="4">
        <f>IFERROR(__xludf.DUMMYFUNCTION("""COMPUTED_VALUE"""),20.0)</f>
        <v>20</v>
      </c>
      <c r="H479" s="31">
        <f>IFERROR(__xludf.DUMMYFUNCTION("""COMPUTED_VALUE"""),0.25)</f>
        <v>0.25</v>
      </c>
      <c r="I479" s="4" t="str">
        <f>IFERROR(__xludf.DUMMYFUNCTION("""COMPUTED_VALUE"""),"Single-unit tradicional italiano. Table Service premium. Sem aderência para E-DEPLOY.")</f>
        <v>Single-unit tradicional italiano. Table Service premium. Sem aderência para E-DEPLOY.</v>
      </c>
      <c r="K479" s="4" t="str">
        <f>IFERROR(__xludf.DUMMYFUNCTION("""COMPUTED_VALUE"""),"SUSHI DA PRACA")</f>
        <v>SUSHI DA PRACA</v>
      </c>
      <c r="L479" s="32">
        <f>IFERROR(__xludf.DUMMYFUNCTION("""COMPUTED_VALUE"""),15.0)</f>
        <v>15</v>
      </c>
      <c r="M479" s="4" t="str">
        <f>IFERROR(__xludf.DUMMYFUNCTION("""COMPUTED_VALUE"""),"null")</f>
        <v>null</v>
      </c>
      <c r="N479" s="33">
        <f>IFERROR(__xludf.DUMMYFUNCTION("""COMPUTED_VALUE"""),0.4666666666666667)</f>
        <v>0.4666666667</v>
      </c>
      <c r="O479" s="4" t="str">
        <f>IFERROR(__xludf.DUMMYFUNCTION("""COMPUTED_VALUE"""),"null")</f>
        <v>null</v>
      </c>
      <c r="P479" s="33">
        <f>IFERROR(__xludf.DUMMYFUNCTION("""COMPUTED_VALUE"""),0.4)</f>
        <v>0.4</v>
      </c>
      <c r="Q479" s="4" t="str">
        <f>IFERROR(__xludf.DUMMYFUNCTION("""COMPUTED_VALUE"""),"null")</f>
        <v>null</v>
      </c>
      <c r="R479" s="33">
        <f>IFERROR(__xludf.DUMMYFUNCTION("""COMPUTED_VALUE"""),0.5333333333333333)</f>
        <v>0.5333333333</v>
      </c>
      <c r="S479" s="4" t="str">
        <f>IFERROR(__xludf.DUMMYFUNCTION("""COMPUTED_VALUE"""),"Lab Jota Marketing Digital Eirele")</f>
        <v>Lab Jota Marketing Digital Eirele</v>
      </c>
      <c r="T479" s="33">
        <f>IFERROR(__xludf.DUMMYFUNCTION("""COMPUTED_VALUE"""),0.3333333333333333)</f>
        <v>0.3333333333</v>
      </c>
      <c r="U479" s="4" t="str">
        <f>IFERROR(__xludf.DUMMYFUNCTION("""COMPUTED_VALUE"""),"null")</f>
        <v>null</v>
      </c>
      <c r="V479" s="33">
        <f>IFERROR(__xludf.DUMMYFUNCTION("""COMPUTED_VALUE"""),0.4666666666666667)</f>
        <v>0.4666666667</v>
      </c>
      <c r="W479" s="4" t="str">
        <f>IFERROR(__xludf.DUMMYFUNCTION("""COMPUTED_VALUE"""),"Lab Jota Marketing Digital Eirele")</f>
        <v>Lab Jota Marketing Digital Eirele</v>
      </c>
      <c r="X479" s="33">
        <f>IFERROR(__xludf.DUMMYFUNCTION("""COMPUTED_VALUE"""),0.5333333333333333)</f>
        <v>0.5333333333</v>
      </c>
    </row>
    <row r="480">
      <c r="A480" s="4" t="str">
        <f>IFERROR(__xludf.DUMMYFUNCTION("""COMPUTED_VALUE"""),"Ricco Burger")</f>
        <v>Ricco Burger</v>
      </c>
      <c r="B480" s="4">
        <f>IFERROR(__xludf.DUMMYFUNCTION("""COMPUTED_VALUE"""),11.0)</f>
        <v>11</v>
      </c>
      <c r="C480" s="4" t="str">
        <f>IFERROR(__xludf.DUMMYFUNCTION("""COMPUTED_VALUE"""),"Dado não disponível publicamente - Necessário Discovery")</f>
        <v>Dado não disponível publicamente - Necessário Discovery</v>
      </c>
      <c r="D480" s="4" t="str">
        <f>IFERROR(__xludf.DUMMYFUNCTION("""COMPUTED_VALUE"""),"Hamburgueria Fast Casual / Brasília (10 DF + 1 SP - West Plaza)")</f>
        <v>Hamburgueria Fast Casual / Brasília (10 DF + 1 SP - West Plaza)</v>
      </c>
      <c r="E480" s="4" t="str">
        <f>IFERROR(__xludf.DUMMYFUNCTION("""COMPUTED_VALUE"""),"Brasília/DF (10 lojas incluindo Aeroporto) + São Paulo (1 loja)")</f>
        <v>Brasília/DF (10 lojas incluindo Aeroporto) + São Paulo (1 loja)</v>
      </c>
      <c r="F480" s="4" t="str">
        <f>IFERROR(__xludf.DUMMYFUNCTION("""COMPUTED_VALUE"""),"R$ 45-70")</f>
        <v>R$ 45-70</v>
      </c>
      <c r="G480" s="4">
        <f>IFERROR(__xludf.DUMMYFUNCTION("""COMPUTED_VALUE"""),55.0)</f>
        <v>55</v>
      </c>
      <c r="H480" s="31">
        <f>IFERROR(__xludf.DUMMYFUNCTION("""COMPUTED_VALUE"""),0.6)</f>
        <v>0.6</v>
      </c>
      <c r="I480" s="4" t="str">
        <f>IFERROR(__xludf.DUMMYFUNCTION("""COMPUTED_VALUE"""),"Rede regional Brasília 11 lojas + expansão SP. Fast Casual hamburgueria: Kiosk customização + E-DEPLOY multi-loja. Boa aderência.")</f>
        <v>Rede regional Brasília 11 lojas + expansão SP. Fast Casual hamburgueria: Kiosk customização + E-DEPLOY multi-loja. Boa aderência.</v>
      </c>
      <c r="K480" s="4" t="str">
        <f>IFERROR(__xludf.DUMMYFUNCTION("""COMPUTED_VALUE"""),"LA PASTA GIALLA")</f>
        <v>LA PASTA GIALLA</v>
      </c>
      <c r="L480" s="32">
        <f>IFERROR(__xludf.DUMMYFUNCTION("""COMPUTED_VALUE"""),15.0)</f>
        <v>15</v>
      </c>
      <c r="M480" s="4" t="str">
        <f>IFERROR(__xludf.DUMMYFUNCTION("""COMPUTED_VALUE"""),"Dcs Automação Eireli")</f>
        <v>Dcs Automação Eireli</v>
      </c>
      <c r="N480" s="33">
        <f>IFERROR(__xludf.DUMMYFUNCTION("""COMPUTED_VALUE"""),0.4)</f>
        <v>0.4</v>
      </c>
      <c r="O480" s="4" t="str">
        <f>IFERROR(__xludf.DUMMYFUNCTION("""COMPUTED_VALUE"""),"null")</f>
        <v>null</v>
      </c>
      <c r="P480" s="33">
        <f>IFERROR(__xludf.DUMMYFUNCTION("""COMPUTED_VALUE"""),0.3333333333333333)</f>
        <v>0.3333333333</v>
      </c>
      <c r="Q480" s="4" t="str">
        <f>IFERROR(__xludf.DUMMYFUNCTION("""COMPUTED_VALUE"""),"Dcs Automação Eireli")</f>
        <v>Dcs Automação Eireli</v>
      </c>
      <c r="R480" s="33">
        <f>IFERROR(__xludf.DUMMYFUNCTION("""COMPUTED_VALUE"""),0.4)</f>
        <v>0.4</v>
      </c>
      <c r="S480" s="4" t="str">
        <f>IFERROR(__xludf.DUMMYFUNCTION("""COMPUTED_VALUE"""),"Dcs Automação Eireli")</f>
        <v>Dcs Automação Eireli</v>
      </c>
      <c r="T480" s="33">
        <f>IFERROR(__xludf.DUMMYFUNCTION("""COMPUTED_VALUE"""),0.3333333333333333)</f>
        <v>0.3333333333</v>
      </c>
      <c r="U480" s="4" t="str">
        <f>IFERROR(__xludf.DUMMYFUNCTION("""COMPUTED_VALUE"""),"null")</f>
        <v>null</v>
      </c>
      <c r="V480" s="33">
        <f>IFERROR(__xludf.DUMMYFUNCTION("""COMPUTED_VALUE"""),0.4)</f>
        <v>0.4</v>
      </c>
      <c r="W480" s="4" t="str">
        <f>IFERROR(__xludf.DUMMYFUNCTION("""COMPUTED_VALUE"""),"null")</f>
        <v>null</v>
      </c>
      <c r="X480" s="33">
        <f>IFERROR(__xludf.DUMMYFUNCTION("""COMPUTED_VALUE"""),0.4)</f>
        <v>0.4</v>
      </c>
    </row>
    <row r="481">
      <c r="A481" s="4" t="str">
        <f>IFERROR(__xludf.DUMMYFUNCTION("""COMPUTED_VALUE"""),"Ritz")</f>
        <v>Ritz</v>
      </c>
      <c r="B481" s="4">
        <f>IFERROR(__xludf.DUMMYFUNCTION("""COMPUTED_VALUE"""),3.0)</f>
        <v>3</v>
      </c>
      <c r="C481" s="4" t="str">
        <f>IFERROR(__xludf.DUMMYFUNCTION("""COMPUTED_VALUE"""),"Dado não disponível publicamente - Necessário Discovery")</f>
        <v>Dado não disponível publicamente - Necessário Discovery</v>
      </c>
      <c r="D481" s="4" t="str">
        <f>IFERROR(__xludf.DUMMYFUNCTION("""COMPUTED_VALUE"""),"Table Service Premium / Restaurante Tradicional SP (Jardins, Itaim, Iguatemi)")</f>
        <v>Table Service Premium / Restaurante Tradicional SP (Jardins, Itaim, Iguatemi)</v>
      </c>
      <c r="E481" s="4" t="str">
        <f>IFERROR(__xludf.DUMMYFUNCTION("""COMPUTED_VALUE"""),"São Paulo (3 unidades: Alameda Franca, Itaim Bibi, Shopping Iguatemi)")</f>
        <v>São Paulo (3 unidades: Alameda Franca, Itaim Bibi, Shopping Iguatemi)</v>
      </c>
      <c r="F481" s="4" t="str">
        <f>IFERROR(__xludf.DUMMYFUNCTION("""COMPUTED_VALUE"""),"R$ 80-130")</f>
        <v>R$ 80-130</v>
      </c>
      <c r="G481" s="4">
        <f>IFERROR(__xludf.DUMMYFUNCTION("""COMPUTED_VALUE"""),35.0)</f>
        <v>35</v>
      </c>
      <c r="H481" s="31">
        <f>IFERROR(__xludf.DUMMYFUNCTION("""COMPUTED_VALUE"""),0.4)</f>
        <v>0.4</v>
      </c>
      <c r="I481" s="4" t="str">
        <f>IFERROR(__xludf.DUMMYFUNCTION("""COMPUTED_VALUE"""),"Restaurante tradicional premium 3 lojas SP. Table Service sofisticado. Aderência média-baixa. Kiosk bebidas possível.")</f>
        <v>Restaurante tradicional premium 3 lojas SP. Table Service sofisticado. Aderência média-baixa. Kiosk bebidas possível.</v>
      </c>
      <c r="K481" s="4" t="str">
        <f>IFERROR(__xludf.DUMMYFUNCTION("""COMPUTED_VALUE"""),"VIGNOLI")</f>
        <v>VIGNOLI</v>
      </c>
      <c r="L481" s="32">
        <f>IFERROR(__xludf.DUMMYFUNCTION("""COMPUTED_VALUE"""),15.0)</f>
        <v>15</v>
      </c>
      <c r="M481" s="4" t="str">
        <f>IFERROR(__xludf.DUMMYFUNCTION("""COMPUTED_VALUE"""),"Stone Co.")</f>
        <v>Stone Co.</v>
      </c>
      <c r="N481" s="33">
        <f>IFERROR(__xludf.DUMMYFUNCTION("""COMPUTED_VALUE"""),0.9375)</f>
        <v>0.9375</v>
      </c>
      <c r="O481" s="4" t="str">
        <f>IFERROR(__xludf.DUMMYFUNCTION("""COMPUTED_VALUE"""),"Stone Co.")</f>
        <v>Stone Co.</v>
      </c>
      <c r="P481" s="33">
        <f>IFERROR(__xludf.DUMMYFUNCTION("""COMPUTED_VALUE"""),0.9375)</f>
        <v>0.9375</v>
      </c>
      <c r="Q481" s="4" t="str">
        <f>IFERROR(__xludf.DUMMYFUNCTION("""COMPUTED_VALUE"""),"Stone Co.")</f>
        <v>Stone Co.</v>
      </c>
      <c r="R481" s="33">
        <f>IFERROR(__xludf.DUMMYFUNCTION("""COMPUTED_VALUE"""),0.9375)</f>
        <v>0.9375</v>
      </c>
      <c r="S481" s="4" t="str">
        <f>IFERROR(__xludf.DUMMYFUNCTION("""COMPUTED_VALUE"""),"Stone Co.")</f>
        <v>Stone Co.</v>
      </c>
      <c r="T481" s="33">
        <f>IFERROR(__xludf.DUMMYFUNCTION("""COMPUTED_VALUE"""),0.9375)</f>
        <v>0.9375</v>
      </c>
      <c r="U481" s="4" t="str">
        <f>IFERROR(__xludf.DUMMYFUNCTION("""COMPUTED_VALUE"""),"Stone Co.")</f>
        <v>Stone Co.</v>
      </c>
      <c r="V481" s="33">
        <f>IFERROR(__xludf.DUMMYFUNCTION("""COMPUTED_VALUE"""),1.0)</f>
        <v>1</v>
      </c>
      <c r="W481" s="4" t="str">
        <f>IFERROR(__xludf.DUMMYFUNCTION("""COMPUTED_VALUE"""),"Stone Co.")</f>
        <v>Stone Co.</v>
      </c>
      <c r="X481" s="33">
        <f>IFERROR(__xludf.DUMMYFUNCTION("""COMPUTED_VALUE"""),0.875)</f>
        <v>0.875</v>
      </c>
    </row>
    <row r="482">
      <c r="A482" s="4" t="str">
        <f>IFERROR(__xludf.DUMMYFUNCTION("""COMPUTED_VALUE"""),"Roasted Potato")</f>
        <v>Roasted Potato</v>
      </c>
      <c r="B482" s="4">
        <f>IFERROR(__xludf.DUMMYFUNCTION("""COMPUTED_VALUE"""),32.0)</f>
        <v>32</v>
      </c>
      <c r="C482" s="4" t="str">
        <f>IFERROR(__xludf.DUMMYFUNCTION("""COMPUTED_VALUE"""),"Dado não disponível publicamente - Necessário Discovery")</f>
        <v>Dado não disponível publicamente - Necessário Discovery</v>
      </c>
      <c r="D482" s="4" t="str">
        <f>IFERROR(__xludf.DUMMYFUNCTION("""COMPUTED_VALUE"""),"QSR / Batata Assada Recheada (Franquia nacional)")</f>
        <v>QSR / Batata Assada Recheada (Franquia nacional)</v>
      </c>
      <c r="E482" s="4" t="str">
        <f>IFERROR(__xludf.DUMMYFUNCTION("""COMPUTED_VALUE"""),"Nacional (32 lojas distribuídas Brasil)")</f>
        <v>Nacional (32 lojas distribuídas Brasil)</v>
      </c>
      <c r="F482" s="4" t="str">
        <f>IFERROR(__xludf.DUMMYFUNCTION("""COMPUTED_VALUE"""),"R$ 25-40")</f>
        <v>R$ 25-40</v>
      </c>
      <c r="G482" s="4">
        <f>IFERROR(__xludf.DUMMYFUNCTION("""COMPUTED_VALUE"""),70.0)</f>
        <v>70</v>
      </c>
      <c r="H482" s="31">
        <f>IFERROR(__xludf.DUMMYFUNCTION("""COMPUTED_VALUE"""),0.75)</f>
        <v>0.75</v>
      </c>
      <c r="I482" s="4" t="str">
        <f>IFERROR(__xludf.DUMMYFUNCTION("""COMPUTED_VALUE"""),"Rede consolidada 32 lojas. QSR batata recheada = customização intensa ideal Kiosk + E-DEPLOY padronização. Alta aderência.")</f>
        <v>Rede consolidada 32 lojas. QSR batata recheada = customização intensa ideal Kiosk + E-DEPLOY padronização. Alta aderência.</v>
      </c>
      <c r="K482" s="4" t="str">
        <f>IFERROR(__xludf.DUMMYFUNCTION("""COMPUTED_VALUE"""),"BARUK")</f>
        <v>BARUK</v>
      </c>
      <c r="L482" s="32">
        <f>IFERROR(__xludf.DUMMYFUNCTION("""COMPUTED_VALUE"""),15.0)</f>
        <v>15</v>
      </c>
      <c r="M482" s="4" t="str">
        <f>IFERROR(__xludf.DUMMYFUNCTION("""COMPUTED_VALUE"""),"Garcom Web")</f>
        <v>Garcom Web</v>
      </c>
      <c r="N482" s="33">
        <f>IFERROR(__xludf.DUMMYFUNCTION("""COMPUTED_VALUE"""),1.0)</f>
        <v>1</v>
      </c>
      <c r="O482" s="4" t="str">
        <f>IFERROR(__xludf.DUMMYFUNCTION("""COMPUTED_VALUE"""),"Garcom Web")</f>
        <v>Garcom Web</v>
      </c>
      <c r="P482" s="33">
        <f>IFERROR(__xludf.DUMMYFUNCTION("""COMPUTED_VALUE"""),0.8666666666666667)</f>
        <v>0.8666666667</v>
      </c>
      <c r="Q482" s="4" t="str">
        <f>IFERROR(__xludf.DUMMYFUNCTION("""COMPUTED_VALUE"""),"Garcom Web")</f>
        <v>Garcom Web</v>
      </c>
      <c r="R482" s="33">
        <f>IFERROR(__xludf.DUMMYFUNCTION("""COMPUTED_VALUE"""),0.9333333333333333)</f>
        <v>0.9333333333</v>
      </c>
      <c r="S482" s="4" t="str">
        <f>IFERROR(__xludf.DUMMYFUNCTION("""COMPUTED_VALUE"""),"Garcom Web")</f>
        <v>Garcom Web</v>
      </c>
      <c r="T482" s="33">
        <f>IFERROR(__xludf.DUMMYFUNCTION("""COMPUTED_VALUE"""),0.8666666666666667)</f>
        <v>0.8666666667</v>
      </c>
      <c r="U482" s="4" t="str">
        <f>IFERROR(__xludf.DUMMYFUNCTION("""COMPUTED_VALUE"""),"Garcom Web")</f>
        <v>Garcom Web</v>
      </c>
      <c r="V482" s="33">
        <f>IFERROR(__xludf.DUMMYFUNCTION("""COMPUTED_VALUE"""),0.8)</f>
        <v>0.8</v>
      </c>
      <c r="W482" s="4" t="str">
        <f>IFERROR(__xludf.DUMMYFUNCTION("""COMPUTED_VALUE"""),"Garcom Web")</f>
        <v>Garcom Web</v>
      </c>
      <c r="X482" s="33">
        <f>IFERROR(__xludf.DUMMYFUNCTION("""COMPUTED_VALUE"""),0.9333333333333333)</f>
        <v>0.9333333333</v>
      </c>
    </row>
    <row r="483">
      <c r="A483" s="4" t="str">
        <f>IFERROR(__xludf.DUMMYFUNCTION("""COMPUTED_VALUE"""),"Rock'N Grill Curitiba")</f>
        <v>Rock'N Grill Curitiba</v>
      </c>
      <c r="B483" s="4">
        <f>IFERROR(__xludf.DUMMYFUNCTION("""COMPUTED_VALUE"""),8.0)</f>
        <v>8</v>
      </c>
      <c r="C483" s="4" t="str">
        <f>IFERROR(__xludf.DUMMYFUNCTION("""COMPUTED_VALUE"""),"Dado não disponível publicamente - Necessário Discovery")</f>
        <v>Dado não disponível publicamente - Necessário Discovery</v>
      </c>
      <c r="D483" s="4" t="str">
        <f>IFERROR(__xludf.DUMMYFUNCTION("""COMPUTED_VALUE"""),"Fast Casual / Grelhados Shopping (Curitiba shoppings)")</f>
        <v>Fast Casual / Grelhados Shopping (Curitiba shoppings)</v>
      </c>
      <c r="E483" s="4" t="str">
        <f>IFERROR(__xludf.DUMMYFUNCTION("""COMPUTED_VALUE"""),"Curitiba-PR (8 lojas em shoppings)")</f>
        <v>Curitiba-PR (8 lojas em shoppings)</v>
      </c>
      <c r="F483" s="4" t="str">
        <f>IFERROR(__xludf.DUMMYFUNCTION("""COMPUTED_VALUE"""),"R$ 40-65")</f>
        <v>R$ 40-65</v>
      </c>
      <c r="G483" s="4">
        <f>IFERROR(__xludf.DUMMYFUNCTION("""COMPUTED_VALUE"""),50.0)</f>
        <v>50</v>
      </c>
      <c r="H483" s="31">
        <f>IFERROR(__xludf.DUMMYFUNCTION("""COMPUTED_VALUE"""),0.55)</f>
        <v>0.55</v>
      </c>
      <c r="I483" s="4" t="str">
        <f>IFERROR(__xludf.DUMMYFUNCTION("""COMPUTED_VALUE"""),"Rede regional Curitiba 8 shoppings. Fast Casual: Kiosk acelera pedidos + E-DEPLOY padroniza. Aderência média-alta regional.")</f>
        <v>Rede regional Curitiba 8 shoppings. Fast Casual: Kiosk acelera pedidos + E-DEPLOY padroniza. Aderência média-alta regional.</v>
      </c>
      <c r="K483" s="4" t="str">
        <f>IFERROR(__xludf.DUMMYFUNCTION("""COMPUTED_VALUE"""),"BENEVOLO CAFE")</f>
        <v>BENEVOLO CAFE</v>
      </c>
      <c r="L483" s="32">
        <f>IFERROR(__xludf.DUMMYFUNCTION("""COMPUTED_VALUE"""),15.0)</f>
        <v>15</v>
      </c>
      <c r="M483" s="4" t="str">
        <f>IFERROR(__xludf.DUMMYFUNCTION("""COMPUTED_VALUE"""),"Eclética Tecnologia")</f>
        <v>Eclética Tecnologia</v>
      </c>
      <c r="N483" s="33">
        <f>IFERROR(__xludf.DUMMYFUNCTION("""COMPUTED_VALUE"""),1.0)</f>
        <v>1</v>
      </c>
      <c r="O483" s="4" t="str">
        <f>IFERROR(__xludf.DUMMYFUNCTION("""COMPUTED_VALUE"""),"Eclética Tecnologia")</f>
        <v>Eclética Tecnologia</v>
      </c>
      <c r="P483" s="33">
        <f>IFERROR(__xludf.DUMMYFUNCTION("""COMPUTED_VALUE"""),0.8)</f>
        <v>0.8</v>
      </c>
      <c r="Q483" s="4" t="str">
        <f>IFERROR(__xludf.DUMMYFUNCTION("""COMPUTED_VALUE"""),"Eclética Tecnologia")</f>
        <v>Eclética Tecnologia</v>
      </c>
      <c r="R483" s="33">
        <f>IFERROR(__xludf.DUMMYFUNCTION("""COMPUTED_VALUE"""),0.6666666666666666)</f>
        <v>0.6666666667</v>
      </c>
      <c r="S483" s="4" t="str">
        <f>IFERROR(__xludf.DUMMYFUNCTION("""COMPUTED_VALUE"""),"Eclética Tecnologia")</f>
        <v>Eclética Tecnologia</v>
      </c>
      <c r="T483" s="33">
        <f>IFERROR(__xludf.DUMMYFUNCTION("""COMPUTED_VALUE"""),0.8)</f>
        <v>0.8</v>
      </c>
      <c r="U483" s="4" t="str">
        <f>IFERROR(__xludf.DUMMYFUNCTION("""COMPUTED_VALUE"""),"Eclética Tecnologia")</f>
        <v>Eclética Tecnologia</v>
      </c>
      <c r="V483" s="33">
        <f>IFERROR(__xludf.DUMMYFUNCTION("""COMPUTED_VALUE"""),0.4666666666666667)</f>
        <v>0.4666666667</v>
      </c>
      <c r="W483" s="4" t="str">
        <f>IFERROR(__xludf.DUMMYFUNCTION("""COMPUTED_VALUE"""),"null")</f>
        <v>null</v>
      </c>
      <c r="X483" s="33">
        <f>IFERROR(__xludf.DUMMYFUNCTION("""COMPUTED_VALUE"""),0.4)</f>
        <v>0.4</v>
      </c>
    </row>
    <row r="484">
      <c r="A484" s="4" t="str">
        <f>IFERROR(__xludf.DUMMYFUNCTION("""COMPUTED_VALUE"""),"Rock&amp;Ribs")</f>
        <v>Rock&amp;Ribs</v>
      </c>
      <c r="B484" s="4">
        <f>IFERROR(__xludf.DUMMYFUNCTION("""COMPUTED_VALUE"""),7.0)</f>
        <v>7</v>
      </c>
      <c r="C484" s="4" t="str">
        <f>IFERROR(__xludf.DUMMYFUNCTION("""COMPUTED_VALUE"""),"Dado não disponível publicamente - Necessário Discovery")</f>
        <v>Dado não disponível publicamente - Necessário Discovery</v>
      </c>
      <c r="D484" s="4" t="str">
        <f>IFERROR(__xludf.DUMMYFUNCTION("""COMPUTED_VALUE"""),"Fast Casual / Costelas e Ribs (SP 4 lojas + PB + PE + resort SP)")</f>
        <v>Fast Casual / Costelas e Ribs (SP 4 lojas + PB + PE + resort SP)</v>
      </c>
      <c r="E484" s="4" t="str">
        <f>IFERROR(__xludf.DUMMYFUNCTION("""COMPUTED_VALUE"""),"Multi-regional (São Paulo 4, Paraíba 1, Pernambuco 1, Resort Olímpia 1)")</f>
        <v>Multi-regional (São Paulo 4, Paraíba 1, Pernambuco 1, Resort Olímpia 1)</v>
      </c>
      <c r="F484" s="4" t="str">
        <f>IFERROR(__xludf.DUMMYFUNCTION("""COMPUTED_VALUE"""),"R$ 50-75")</f>
        <v>R$ 50-75</v>
      </c>
      <c r="G484" s="4">
        <f>IFERROR(__xludf.DUMMYFUNCTION("""COMPUTED_VALUE"""),45.0)</f>
        <v>45</v>
      </c>
      <c r="H484" s="31">
        <f>IFERROR(__xludf.DUMMYFUNCTION("""COMPUTED_VALUE"""),0.5)</f>
        <v>0.5</v>
      </c>
      <c r="I484" s="4" t="str">
        <f>IFERROR(__xludf.DUMMYFUNCTION("""COMPUTED_VALUE"""),"Rede dispersa 7 lojas em 3 estados. Padronização E-DEPLOY justificada mas dispersão dificulta. Aderência média.")</f>
        <v>Rede dispersa 7 lojas em 3 estados. Padronização E-DEPLOY justificada mas dispersão dificulta. Aderência média.</v>
      </c>
      <c r="K484" s="4" t="str">
        <f>IFERROR(__xludf.DUMMYFUNCTION("""COMPUTED_VALUE"""),"BERRYS - CONTA PAI")</f>
        <v>BERRYS - CONTA PAI</v>
      </c>
      <c r="L484" s="32">
        <f>IFERROR(__xludf.DUMMYFUNCTION("""COMPUTED_VALUE"""),15.0)</f>
        <v>15</v>
      </c>
      <c r="M484" s="4" t="str">
        <f>IFERROR(__xludf.DUMMYFUNCTION("""COMPUTED_VALUE"""),"Unika Sistemas Ltda")</f>
        <v>Unika Sistemas Ltda</v>
      </c>
      <c r="N484" s="33">
        <f>IFERROR(__xludf.DUMMYFUNCTION("""COMPUTED_VALUE"""),0.6666666666666666)</f>
        <v>0.6666666667</v>
      </c>
      <c r="O484" s="4" t="str">
        <f>IFERROR(__xludf.DUMMYFUNCTION("""COMPUTED_VALUE"""),"Unika Sistemas Ltda")</f>
        <v>Unika Sistemas Ltda</v>
      </c>
      <c r="P484" s="33">
        <f>IFERROR(__xludf.DUMMYFUNCTION("""COMPUTED_VALUE"""),0.6)</f>
        <v>0.6</v>
      </c>
      <c r="Q484" s="4" t="str">
        <f>IFERROR(__xludf.DUMMYFUNCTION("""COMPUTED_VALUE"""),"Unika Sistemas Ltda")</f>
        <v>Unika Sistemas Ltda</v>
      </c>
      <c r="R484" s="33">
        <f>IFERROR(__xludf.DUMMYFUNCTION("""COMPUTED_VALUE"""),0.5333333333333333)</f>
        <v>0.5333333333</v>
      </c>
      <c r="S484" s="4" t="str">
        <f>IFERROR(__xludf.DUMMYFUNCTION("""COMPUTED_VALUE"""),"Unika Sistemas Ltda")</f>
        <v>Unika Sistemas Ltda</v>
      </c>
      <c r="T484" s="33">
        <f>IFERROR(__xludf.DUMMYFUNCTION("""COMPUTED_VALUE"""),0.6666666666666666)</f>
        <v>0.6666666667</v>
      </c>
      <c r="U484" s="4" t="str">
        <f>IFERROR(__xludf.DUMMYFUNCTION("""COMPUTED_VALUE"""),"null")</f>
        <v>null</v>
      </c>
      <c r="V484" s="33">
        <f>IFERROR(__xludf.DUMMYFUNCTION("""COMPUTED_VALUE"""),0.6)</f>
        <v>0.6</v>
      </c>
      <c r="W484" s="4" t="str">
        <f>IFERROR(__xludf.DUMMYFUNCTION("""COMPUTED_VALUE"""),"null")</f>
        <v>null</v>
      </c>
      <c r="X484" s="33">
        <f>IFERROR(__xludf.DUMMYFUNCTION("""COMPUTED_VALUE"""),0.7333333333333333)</f>
        <v>0.7333333333</v>
      </c>
    </row>
    <row r="485">
      <c r="A485" s="4" t="str">
        <f>IFERROR(__xludf.DUMMYFUNCTION("""COMPUTED_VALUE"""),"Sa Alexandria (Alexandria Burger)")</f>
        <v>Sa Alexandria (Alexandria Burger)</v>
      </c>
      <c r="B485" s="4" t="str">
        <f>IFERROR(__xludf.DUMMYFUNCTION("""COMPUTED_VALUE"""),"30+")</f>
        <v>30+</v>
      </c>
      <c r="C485" s="4" t="str">
        <f>IFERROR(__xludf.DUMMYFUNCTION("""COMPUTED_VALUE"""),"R$ 53 milhões (estimado) - Meta expansão SC e PR")</f>
        <v>R$ 53 milhões (estimado) - Meta expansão SC e PR</v>
      </c>
      <c r="D485" s="4" t="str">
        <f>IFERROR(__xludf.DUMMYFUNCTION("""COMPUTED_VALUE"""),"Fast Casual / Rodízio Burgers (Franquia inovadora rodízio hamburgueria)")</f>
        <v>Fast Casual / Rodízio Burgers (Franquia inovadora rodízio hamburgueria)</v>
      </c>
      <c r="E485" s="4" t="str">
        <f>IFERROR(__xludf.DUMMYFUNCTION("""COMPUTED_VALUE"""),"Nacional (30+ unidades em expansão, foco SC e PR)")</f>
        <v>Nacional (30+ unidades em expansão, foco SC e PR)</v>
      </c>
      <c r="F485" s="4" t="str">
        <f>IFERROR(__xludf.DUMMYFUNCTION("""COMPUTED_VALUE"""),"R$ 45-70")</f>
        <v>R$ 45-70</v>
      </c>
      <c r="G485" s="4">
        <f>IFERROR(__xludf.DUMMYFUNCTION("""COMPUTED_VALUE"""),70.0)</f>
        <v>70</v>
      </c>
      <c r="H485" s="31">
        <f>IFERROR(__xludf.DUMMYFUNCTION("""COMPUTED_VALUE"""),0.75)</f>
        <v>0.75</v>
      </c>
      <c r="I485" s="4" t="str">
        <f>IFERROR(__xludf.DUMMYFUNCTION("""COMPUTED_VALUE"""),"Rede inovadora 30+ lojas rodízio hamburgueria. Conceito único: Kiosk gerencia rodízio ilimitado + E-DEPLOY padroniza receitas. Alta aderência.")</f>
        <v>Rede inovadora 30+ lojas rodízio hamburgueria. Conceito único: Kiosk gerencia rodízio ilimitado + E-DEPLOY padroniza receitas. Alta aderência.</v>
      </c>
      <c r="K485" s="4" t="str">
        <f>IFERROR(__xludf.DUMMYFUNCTION("""COMPUTED_VALUE"""),"GRUPO BOB BEEF")</f>
        <v>GRUPO BOB BEEF</v>
      </c>
      <c r="L485" s="32">
        <f>IFERROR(__xludf.DUMMYFUNCTION("""COMPUTED_VALUE"""),15.0)</f>
        <v>15</v>
      </c>
      <c r="M485" s="4" t="str">
        <f>IFERROR(__xludf.DUMMYFUNCTION("""COMPUTED_VALUE"""),"Tech Rao")</f>
        <v>Tech Rao</v>
      </c>
      <c r="N485" s="33">
        <f>IFERROR(__xludf.DUMMYFUNCTION("""COMPUTED_VALUE"""),1.0)</f>
        <v>1</v>
      </c>
      <c r="O485" s="4" t="str">
        <f>IFERROR(__xludf.DUMMYFUNCTION("""COMPUTED_VALUE"""),"Tech Rao")</f>
        <v>Tech Rao</v>
      </c>
      <c r="P485" s="33">
        <f>IFERROR(__xludf.DUMMYFUNCTION("""COMPUTED_VALUE"""),0.8)</f>
        <v>0.8</v>
      </c>
      <c r="Q485" s="4" t="str">
        <f>IFERROR(__xludf.DUMMYFUNCTION("""COMPUTED_VALUE"""),"Tech Rao")</f>
        <v>Tech Rao</v>
      </c>
      <c r="R485" s="33">
        <f>IFERROR(__xludf.DUMMYFUNCTION("""COMPUTED_VALUE"""),0.7333333333333333)</f>
        <v>0.7333333333</v>
      </c>
      <c r="S485" s="4" t="str">
        <f>IFERROR(__xludf.DUMMYFUNCTION("""COMPUTED_VALUE"""),"null")</f>
        <v>null</v>
      </c>
      <c r="T485" s="33">
        <f>IFERROR(__xludf.DUMMYFUNCTION("""COMPUTED_VALUE"""),0.5333333333333333)</f>
        <v>0.5333333333</v>
      </c>
      <c r="U485" s="4" t="str">
        <f>IFERROR(__xludf.DUMMYFUNCTION("""COMPUTED_VALUE"""),"null")</f>
        <v>null</v>
      </c>
      <c r="V485" s="33">
        <f>IFERROR(__xludf.DUMMYFUNCTION("""COMPUTED_VALUE"""),0.6)</f>
        <v>0.6</v>
      </c>
      <c r="W485" s="4" t="str">
        <f>IFERROR(__xludf.DUMMYFUNCTION("""COMPUTED_VALUE"""),"null")</f>
        <v>null</v>
      </c>
      <c r="X485" s="33">
        <f>IFERROR(__xludf.DUMMYFUNCTION("""COMPUTED_VALUE"""),0.5333333333333333)</f>
        <v>0.5333333333</v>
      </c>
    </row>
    <row r="486">
      <c r="A486" s="4" t="str">
        <f>IFERROR(__xludf.DUMMYFUNCTION("""COMPUTED_VALUE"""),"Sala Vip")</f>
        <v>Sala Vip</v>
      </c>
      <c r="B486" s="4">
        <f>IFERROR(__xludf.DUMMYFUNCTION("""COMPUTED_VALUE"""),13.0)</f>
        <v>13</v>
      </c>
      <c r="C486" s="4" t="str">
        <f>IFERROR(__xludf.DUMMYFUNCTION("""COMPUTED_VALUE"""),"Dado não disponível publicamente - Necessário Discovery")</f>
        <v>Dado não disponível publicamente - Necessário Discovery</v>
      </c>
      <c r="D486" s="4" t="str">
        <f>IFERROR(__xludf.DUMMYFUNCTION("""COMPUTED_VALUE"""),"Pizzaria Multi-formato / Salão + Delivery (SP + Guarujá - 200 funcionários)")</f>
        <v>Pizzaria Multi-formato / Salão + Delivery (SP + Guarujá - 200 funcionários)</v>
      </c>
      <c r="E486" s="4" t="str">
        <f>IFERROR(__xludf.DUMMYFUNCTION("""COMPUTED_VALUE"""),"São Paulo (Ipiranga, Moema, São Bernardo, São Caetano, Guarujá)")</f>
        <v>São Paulo (Ipiranga, Moema, São Bernardo, São Caetano, Guarujá)</v>
      </c>
      <c r="F486" s="4" t="str">
        <f>IFERROR(__xludf.DUMMYFUNCTION("""COMPUTED_VALUE"""),"R$ 50-75")</f>
        <v>R$ 50-75</v>
      </c>
      <c r="G486" s="4">
        <f>IFERROR(__xludf.DUMMYFUNCTION("""COMPUTED_VALUE"""),55.0)</f>
        <v>55</v>
      </c>
      <c r="H486" s="31">
        <f>IFERROR(__xludf.DUMMYFUNCTION("""COMPUTED_VALUE"""),0.6)</f>
        <v>0.6</v>
      </c>
      <c r="I486" s="4" t="str">
        <f>IFERROR(__xludf.DUMMYFUNCTION("""COMPUTED_VALUE"""),"Rede regional SP 13 unidades (salões + delivery). Multi-formato precisa E-DEPLOY padronização. Aderência média-alta.")</f>
        <v>Rede regional SP 13 unidades (salões + delivery). Multi-formato precisa E-DEPLOY padronização. Aderência média-alta.</v>
      </c>
      <c r="K486" s="4" t="str">
        <f>IFERROR(__xludf.DUMMYFUNCTION("""COMPUTED_VALUE"""),"COZINHA SIMPLES")</f>
        <v>COZINHA SIMPLES</v>
      </c>
      <c r="L486" s="32">
        <f>IFERROR(__xludf.DUMMYFUNCTION("""COMPUTED_VALUE"""),15.0)</f>
        <v>15</v>
      </c>
      <c r="M486" s="4" t="str">
        <f>IFERROR(__xludf.DUMMYFUNCTION("""COMPUTED_VALUE"""),"null")</f>
        <v>null</v>
      </c>
      <c r="N486" s="33">
        <f>IFERROR(__xludf.DUMMYFUNCTION("""COMPUTED_VALUE"""),0.6)</f>
        <v>0.6</v>
      </c>
      <c r="O486" s="4" t="str">
        <f>IFERROR(__xludf.DUMMYFUNCTION("""COMPUTED_VALUE"""),"Saipos Serviços De Software")</f>
        <v>Saipos Serviços De Software</v>
      </c>
      <c r="P486" s="33">
        <f>IFERROR(__xludf.DUMMYFUNCTION("""COMPUTED_VALUE"""),0.7333333333333333)</f>
        <v>0.7333333333</v>
      </c>
      <c r="Q486" s="4" t="str">
        <f>IFERROR(__xludf.DUMMYFUNCTION("""COMPUTED_VALUE"""),"Saipos Serviços De Software")</f>
        <v>Saipos Serviços De Software</v>
      </c>
      <c r="R486" s="33">
        <f>IFERROR(__xludf.DUMMYFUNCTION("""COMPUTED_VALUE"""),0.8)</f>
        <v>0.8</v>
      </c>
      <c r="S486" s="4" t="str">
        <f>IFERROR(__xludf.DUMMYFUNCTION("""COMPUTED_VALUE"""),"Saipos Serviços De Software")</f>
        <v>Saipos Serviços De Software</v>
      </c>
      <c r="T486" s="33">
        <f>IFERROR(__xludf.DUMMYFUNCTION("""COMPUTED_VALUE"""),0.8666666666666667)</f>
        <v>0.8666666667</v>
      </c>
      <c r="U486" s="4" t="str">
        <f>IFERROR(__xludf.DUMMYFUNCTION("""COMPUTED_VALUE"""),"Saipos Serviços De Software")</f>
        <v>Saipos Serviços De Software</v>
      </c>
      <c r="V486" s="33">
        <f>IFERROR(__xludf.DUMMYFUNCTION("""COMPUTED_VALUE"""),0.9333333333333333)</f>
        <v>0.9333333333</v>
      </c>
      <c r="W486" s="4" t="str">
        <f>IFERROR(__xludf.DUMMYFUNCTION("""COMPUTED_VALUE"""),"Saipos Serviços De Software")</f>
        <v>Saipos Serviços De Software</v>
      </c>
      <c r="X486" s="33">
        <f>IFERROR(__xludf.DUMMYFUNCTION("""COMPUTED_VALUE"""),0.6)</f>
        <v>0.6</v>
      </c>
    </row>
    <row r="487">
      <c r="A487" s="4" t="str">
        <f>IFERROR(__xludf.DUMMYFUNCTION("""COMPUTED_VALUE"""),"Sassa Sushi")</f>
        <v>Sassa Sushi</v>
      </c>
      <c r="B487" s="4">
        <f>IFERROR(__xludf.DUMMYFUNCTION("""COMPUTED_VALUE"""),5.0)</f>
        <v>5</v>
      </c>
      <c r="C487" s="4" t="str">
        <f>IFERROR(__xludf.DUMMYFUNCTION("""COMPUTED_VALUE"""),"Dado não disponível publicamente - Necessário Discovery")</f>
        <v>Dado não disponível publicamente - Necessário Discovery</v>
      </c>
      <c r="D487" s="4" t="str">
        <f>IFERROR(__xludf.DUMMYFUNCTION("""COMPUTED_VALUE"""),"Japonês Premium / Table Service + Delivery (São Paulo)")</f>
        <v>Japonês Premium / Table Service + Delivery (São Paulo)</v>
      </c>
      <c r="E487" s="4" t="str">
        <f>IFERROR(__xludf.DUMMYFUNCTION("""COMPUTED_VALUE"""),"São Paulo (Itaim, Jardins, Tatuapé, Morumbi, Vila Leopoldina)")</f>
        <v>São Paulo (Itaim, Jardins, Tatuapé, Morumbi, Vila Leopoldina)</v>
      </c>
      <c r="F487" s="4" t="str">
        <f>IFERROR(__xludf.DUMMYFUNCTION("""COMPUTED_VALUE"""),"R$ 80-130")</f>
        <v>R$ 80-130</v>
      </c>
      <c r="G487" s="4">
        <f>IFERROR(__xludf.DUMMYFUNCTION("""COMPUTED_VALUE"""),35.0)</f>
        <v>35</v>
      </c>
      <c r="H487" s="31">
        <f>IFERROR(__xludf.DUMMYFUNCTION("""COMPUTED_VALUE"""),0.4)</f>
        <v>0.4</v>
      </c>
      <c r="I487" s="4" t="str">
        <f>IFERROR(__xludf.DUMMYFUNCTION("""COMPUTED_VALUE"""),"Japonês premium 5 unidades SP. Forte delivery mas perfil premium limita aderência Kiosk. Integração delivery é oportunidade.")</f>
        <v>Japonês premium 5 unidades SP. Forte delivery mas perfil premium limita aderência Kiosk. Integração delivery é oportunidade.</v>
      </c>
      <c r="K487" s="4" t="str">
        <f>IFERROR(__xludf.DUMMYFUNCTION("""COMPUTED_VALUE"""),"DOGUERIA PERDIZES")</f>
        <v>DOGUERIA PERDIZES</v>
      </c>
      <c r="L487" s="32">
        <f>IFERROR(__xludf.DUMMYFUNCTION("""COMPUTED_VALUE"""),15.0)</f>
        <v>15</v>
      </c>
      <c r="M487" s="4" t="str">
        <f>IFERROR(__xludf.DUMMYFUNCTION("""COMPUTED_VALUE"""),"Beefood - Sistema Para Restaurantes")</f>
        <v>Beefood - Sistema Para Restaurantes</v>
      </c>
      <c r="N487" s="33">
        <f>IFERROR(__xludf.DUMMYFUNCTION("""COMPUTED_VALUE"""),0.7333333333333333)</f>
        <v>0.7333333333</v>
      </c>
      <c r="O487" s="4" t="str">
        <f>IFERROR(__xludf.DUMMYFUNCTION("""COMPUTED_VALUE"""),"Beefood - Sistema Para Restaurantes")</f>
        <v>Beefood - Sistema Para Restaurantes</v>
      </c>
      <c r="P487" s="33">
        <f>IFERROR(__xludf.DUMMYFUNCTION("""COMPUTED_VALUE"""),0.8)</f>
        <v>0.8</v>
      </c>
      <c r="Q487" s="4" t="str">
        <f>IFERROR(__xludf.DUMMYFUNCTION("""COMPUTED_VALUE"""),"Beefood - Sistema Para Restaurantes")</f>
        <v>Beefood - Sistema Para Restaurantes</v>
      </c>
      <c r="R487" s="33">
        <f>IFERROR(__xludf.DUMMYFUNCTION("""COMPUTED_VALUE"""),0.6)</f>
        <v>0.6</v>
      </c>
      <c r="S487" s="4" t="str">
        <f>IFERROR(__xludf.DUMMYFUNCTION("""COMPUTED_VALUE"""),"Beefood - Sistema Para Restaurantes")</f>
        <v>Beefood - Sistema Para Restaurantes</v>
      </c>
      <c r="T487" s="33">
        <f>IFERROR(__xludf.DUMMYFUNCTION("""COMPUTED_VALUE"""),0.8)</f>
        <v>0.8</v>
      </c>
      <c r="U487" s="4" t="str">
        <f>IFERROR(__xludf.DUMMYFUNCTION("""COMPUTED_VALUE"""),"Beefood - Sistema Para Restaurantes")</f>
        <v>Beefood - Sistema Para Restaurantes</v>
      </c>
      <c r="V487" s="33">
        <f>IFERROR(__xludf.DUMMYFUNCTION("""COMPUTED_VALUE"""),0.8666666666666667)</f>
        <v>0.8666666667</v>
      </c>
      <c r="W487" s="4" t="str">
        <f>IFERROR(__xludf.DUMMYFUNCTION("""COMPUTED_VALUE"""),"Beefood - Sistema Para Restaurantes")</f>
        <v>Beefood - Sistema Para Restaurantes</v>
      </c>
      <c r="X487" s="33">
        <f>IFERROR(__xludf.DUMMYFUNCTION("""COMPUTED_VALUE"""),0.7333333333333333)</f>
        <v>0.7333333333</v>
      </c>
    </row>
    <row r="488">
      <c r="A488" s="4" t="str">
        <f>IFERROR(__xludf.DUMMYFUNCTION("""COMPUTED_VALUE"""),"Seto Culinária")</f>
        <v>Seto Culinária</v>
      </c>
      <c r="B488" s="34">
        <f>IFERROR(__xludf.DUMMYFUNCTION("""COMPUTED_VALUE"""),46054.0)</f>
        <v>46054</v>
      </c>
      <c r="C488" s="4" t="str">
        <f>IFERROR(__xludf.DUMMYFUNCTION("""COMPUTED_VALUE"""),"Dado não disponível publicamente - Necessário Discovery")</f>
        <v>Dado não disponível publicamente - Necessário Discovery</v>
      </c>
      <c r="D488" s="4" t="str">
        <f>IFERROR(__xludf.DUMMYFUNCTION("""COMPUTED_VALUE"""),"Culinária Oriental / Local (Maringá-PR)")</f>
        <v>Culinária Oriental / Local (Maringá-PR)</v>
      </c>
      <c r="E488" s="4" t="str">
        <f>IFERROR(__xludf.DUMMYFUNCTION("""COMPUTED_VALUE"""),"Maringá-PR (operação local)")</f>
        <v>Maringá-PR (operação local)</v>
      </c>
      <c r="F488" s="4" t="str">
        <f>IFERROR(__xludf.DUMMYFUNCTION("""COMPUTED_VALUE"""),"R$ 35-55")</f>
        <v>R$ 35-55</v>
      </c>
      <c r="G488" s="4">
        <f>IFERROR(__xludf.DUMMYFUNCTION("""COMPUTED_VALUE"""),15.0)</f>
        <v>15</v>
      </c>
      <c r="H488" s="31">
        <f>IFERROR(__xludf.DUMMYFUNCTION("""COMPUTED_VALUE"""),0.2)</f>
        <v>0.2</v>
      </c>
      <c r="I488" s="4" t="str">
        <f>IFERROR(__xludf.DUMMYFUNCTION("""COMPUTED_VALUE"""),"Operação local sem escala. Volume baixo para solução enterprise.")</f>
        <v>Operação local sem escala. Volume baixo para solução enterprise.</v>
      </c>
      <c r="K488" s="4" t="str">
        <f>IFERROR(__xludf.DUMMYFUNCTION("""COMPUTED_VALUE"""),"FABRICA DA MASSA - CONTA MARCA")</f>
        <v>FABRICA DA MASSA - CONTA MARCA</v>
      </c>
      <c r="L488" s="32">
        <f>IFERROR(__xludf.DUMMYFUNCTION("""COMPUTED_VALUE"""),15.0)</f>
        <v>15</v>
      </c>
      <c r="M488" s="4" t="str">
        <f>IFERROR(__xludf.DUMMYFUNCTION("""COMPUTED_VALUE"""),"Consumer Soluções Em Tecnologia Ltda")</f>
        <v>Consumer Soluções Em Tecnologia Ltda</v>
      </c>
      <c r="N488" s="33">
        <f>IFERROR(__xludf.DUMMYFUNCTION("""COMPUTED_VALUE"""),0.6)</f>
        <v>0.6</v>
      </c>
      <c r="O488" s="4" t="str">
        <f>IFERROR(__xludf.DUMMYFUNCTION("""COMPUTED_VALUE"""),"null")</f>
        <v>null</v>
      </c>
      <c r="P488" s="33">
        <f>IFERROR(__xludf.DUMMYFUNCTION("""COMPUTED_VALUE"""),0.6)</f>
        <v>0.6</v>
      </c>
      <c r="Q488" s="4" t="str">
        <f>IFERROR(__xludf.DUMMYFUNCTION("""COMPUTED_VALUE"""),"null")</f>
        <v>null</v>
      </c>
      <c r="R488" s="33">
        <f>IFERROR(__xludf.DUMMYFUNCTION("""COMPUTED_VALUE"""),0.6666666666666666)</f>
        <v>0.6666666667</v>
      </c>
      <c r="S488" s="4" t="str">
        <f>IFERROR(__xludf.DUMMYFUNCTION("""COMPUTED_VALUE"""),"null")</f>
        <v>null</v>
      </c>
      <c r="T488" s="33">
        <f>IFERROR(__xludf.DUMMYFUNCTION("""COMPUTED_VALUE"""),0.7333333333333333)</f>
        <v>0.7333333333</v>
      </c>
      <c r="U488" s="4" t="str">
        <f>IFERROR(__xludf.DUMMYFUNCTION("""COMPUTED_VALUE"""),"Consumer Soluções Em Tecnologia Ltda")</f>
        <v>Consumer Soluções Em Tecnologia Ltda</v>
      </c>
      <c r="V488" s="33">
        <f>IFERROR(__xludf.DUMMYFUNCTION("""COMPUTED_VALUE"""),0.6666666666666666)</f>
        <v>0.6666666667</v>
      </c>
      <c r="W488" s="4" t="str">
        <f>IFERROR(__xludf.DUMMYFUNCTION("""COMPUTED_VALUE"""),"null")</f>
        <v>null</v>
      </c>
      <c r="X488" s="33">
        <f>IFERROR(__xludf.DUMMYFUNCTION("""COMPUTED_VALUE"""),1.0)</f>
        <v>1</v>
      </c>
    </row>
    <row r="489">
      <c r="A489" s="4" t="str">
        <f>IFERROR(__xludf.DUMMYFUNCTION("""COMPUTED_VALUE"""),"Si Senor")</f>
        <v>Si Senor</v>
      </c>
      <c r="B489" s="4">
        <f>IFERROR(__xludf.DUMMYFUNCTION("""COMPUTED_VALUE"""),20.0)</f>
        <v>20</v>
      </c>
      <c r="C489" s="4" t="str">
        <f>IFERROR(__xludf.DUMMYFUNCTION("""COMPUTED_VALUE"""),"Dado não disponível publicamente - Necessário Discovery (Dado 2019: 20 unidades)")</f>
        <v>Dado não disponível publicamente - Necessário Discovery (Dado 2019: 20 unidades)</v>
      </c>
      <c r="D489" s="4" t="str">
        <f>IFERROR(__xludf.DUMMYFUNCTION("""COMPUTED_VALUE"""),"Mexicano Fast Casual / Shopping (São Paulo e Minas Gerais)")</f>
        <v>Mexicano Fast Casual / Shopping (São Paulo e Minas Gerais)</v>
      </c>
      <c r="E489" s="4" t="str">
        <f>IFERROR(__xludf.DUMMYFUNCTION("""COMPUTED_VALUE"""),"São Paulo e Minas Gerais (expansão shopping centers)")</f>
        <v>São Paulo e Minas Gerais (expansão shopping centers)</v>
      </c>
      <c r="F489" s="4" t="str">
        <f>IFERROR(__xludf.DUMMYFUNCTION("""COMPUTED_VALUE"""),"R$ 40-65")</f>
        <v>R$ 40-65</v>
      </c>
      <c r="G489" s="4">
        <f>IFERROR(__xludf.DUMMYFUNCTION("""COMPUTED_VALUE"""),60.0)</f>
        <v>60</v>
      </c>
      <c r="H489" s="31">
        <f>IFERROR(__xludf.DUMMYFUNCTION("""COMPUTED_VALUE"""),0.65)</f>
        <v>0.65</v>
      </c>
      <c r="I489" s="4" t="str">
        <f>IFERROR(__xludf.DUMMYFUNCTION("""COMPUTED_VALUE"""),"Rede regional 20 lojas mexicano. Shopping = alto fluxo. Kiosk customização tacos/burritos + E-DEPLOY. Boa aderência.")</f>
        <v>Rede regional 20 lojas mexicano. Shopping = alto fluxo. Kiosk customização tacos/burritos + E-DEPLOY. Boa aderência.</v>
      </c>
      <c r="K489" s="4" t="str">
        <f>IFERROR(__xludf.DUMMYFUNCTION("""COMPUTED_VALUE"""),"FAMILIA K - CONTA PAI")</f>
        <v>FAMILIA K - CONTA PAI</v>
      </c>
      <c r="L489" s="32">
        <f>IFERROR(__xludf.DUMMYFUNCTION("""COMPUTED_VALUE"""),15.0)</f>
        <v>15</v>
      </c>
      <c r="M489" s="4" t="str">
        <f>IFERROR(__xludf.DUMMYFUNCTION("""COMPUTED_VALUE"""),"Saipos Serviços De Software")</f>
        <v>Saipos Serviços De Software</v>
      </c>
      <c r="N489" s="33">
        <f>IFERROR(__xludf.DUMMYFUNCTION("""COMPUTED_VALUE"""),0.8666666666666667)</f>
        <v>0.8666666667</v>
      </c>
      <c r="O489" s="4" t="str">
        <f>IFERROR(__xludf.DUMMYFUNCTION("""COMPUTED_VALUE"""),"Saipos Serviços De Software")</f>
        <v>Saipos Serviços De Software</v>
      </c>
      <c r="P489" s="33">
        <f>IFERROR(__xludf.DUMMYFUNCTION("""COMPUTED_VALUE"""),0.9333333333333333)</f>
        <v>0.9333333333</v>
      </c>
      <c r="Q489" s="4" t="str">
        <f>IFERROR(__xludf.DUMMYFUNCTION("""COMPUTED_VALUE"""),"Saipos Serviços De Software")</f>
        <v>Saipos Serviços De Software</v>
      </c>
      <c r="R489" s="33">
        <f>IFERROR(__xludf.DUMMYFUNCTION("""COMPUTED_VALUE"""),1.0)</f>
        <v>1</v>
      </c>
      <c r="S489" s="4" t="str">
        <f>IFERROR(__xludf.DUMMYFUNCTION("""COMPUTED_VALUE"""),"Saipos Serviços De Software")</f>
        <v>Saipos Serviços De Software</v>
      </c>
      <c r="T489" s="33">
        <f>IFERROR(__xludf.DUMMYFUNCTION("""COMPUTED_VALUE"""),1.0)</f>
        <v>1</v>
      </c>
      <c r="U489" s="4" t="str">
        <f>IFERROR(__xludf.DUMMYFUNCTION("""COMPUTED_VALUE"""),"Saipos Serviços De Software")</f>
        <v>Saipos Serviços De Software</v>
      </c>
      <c r="V489" s="33">
        <f>IFERROR(__xludf.DUMMYFUNCTION("""COMPUTED_VALUE"""),1.0)</f>
        <v>1</v>
      </c>
      <c r="W489" s="4" t="str">
        <f>IFERROR(__xludf.DUMMYFUNCTION("""COMPUTED_VALUE"""),"Saipos Serviços De Software")</f>
        <v>Saipos Serviços De Software</v>
      </c>
      <c r="X489" s="33">
        <f>IFERROR(__xludf.DUMMYFUNCTION("""COMPUTED_VALUE"""),1.0)</f>
        <v>1</v>
      </c>
    </row>
    <row r="490">
      <c r="A490" s="4" t="str">
        <f>IFERROR(__xludf.DUMMYFUNCTION("""COMPUTED_VALUE"""),"Sorvetes Frosty")</f>
        <v>Sorvetes Frosty</v>
      </c>
      <c r="B490" s="4" t="str">
        <f>IFERROR(__xludf.DUMMYFUNCTION("""COMPUTED_VALUE"""),"140+")</f>
        <v>140+</v>
      </c>
      <c r="C490" s="4" t="str">
        <f>IFERROR(__xludf.DUMMYFUNCTION("""COMPUTED_VALUE"""),"Dado não disponível publicamente - Investimento R$ 20M em 2026 (+60 lojas, meta 200 total)")</f>
        <v>Dado não disponível publicamente - Investimento R$ 20M em 2026 (+60 lojas, meta 200 total)</v>
      </c>
      <c r="D490" s="4" t="str">
        <f>IFERROR(__xludf.DUMMYFUNCTION("""COMPUTED_VALUE"""),"QSR / Sorvetes Domésticos (Líder Nordeste - 7 estados Norte/Nordeste)")</f>
        <v>QSR / Sorvetes Domésticos (Líder Nordeste - 7 estados Norte/Nordeste)</v>
      </c>
      <c r="E490" s="4" t="str">
        <f>IFERROR(__xludf.DUMMYFUNCTION("""COMPUTED_VALUE"""),"Norte/Nordeste (CE, MA, PI, RN, PB, PE, PA - 140 lojas → meta 200 fim 2026)")</f>
        <v>Norte/Nordeste (CE, MA, PI, RN, PB, PE, PA - 140 lojas → meta 200 fim 2026)</v>
      </c>
      <c r="F490" s="4" t="str">
        <f>IFERROR(__xludf.DUMMYFUNCTION("""COMPUTED_VALUE"""),"R$ 12-25")</f>
        <v>R$ 12-25</v>
      </c>
      <c r="G490" s="4">
        <f>IFERROR(__xludf.DUMMYFUNCTION("""COMPUTED_VALUE"""),80.0)</f>
        <v>80</v>
      </c>
      <c r="H490" s="31">
        <f>IFERROR(__xludf.DUMMYFUNCTION("""COMPUTED_VALUE"""),0.85)</f>
        <v>0.85</v>
      </c>
      <c r="I490" s="4" t="str">
        <f>IFERROR(__xludf.DUMMYFUNCTION("""COMPUTED_VALUE"""),"Rede consolidada 140→200 lojas. Líder Nordeste sorvete doméstico. Expansão agressiva +60 lojas 2026 = urgência E-DEPLOY. Alta aderência.")</f>
        <v>Rede consolidada 140→200 lojas. Líder Nordeste sorvete doméstico. Expansão agressiva +60 lojas 2026 = urgência E-DEPLOY. Alta aderência.</v>
      </c>
      <c r="K490" s="4" t="str">
        <f>IFERROR(__xludf.DUMMYFUNCTION("""COMPUTED_VALUE"""),"FIORENTINA RESTAURANTE E PIZZARIA")</f>
        <v>FIORENTINA RESTAURANTE E PIZZARIA</v>
      </c>
      <c r="L490" s="32">
        <f>IFERROR(__xludf.DUMMYFUNCTION("""COMPUTED_VALUE"""),15.0)</f>
        <v>15</v>
      </c>
      <c r="M490" s="4" t="str">
        <f>IFERROR(__xludf.DUMMYFUNCTION("""COMPUTED_VALUE"""),"Stone Co.")</f>
        <v>Stone Co.</v>
      </c>
      <c r="N490" s="33">
        <f>IFERROR(__xludf.DUMMYFUNCTION("""COMPUTED_VALUE"""),1.0)</f>
        <v>1</v>
      </c>
      <c r="O490" s="4" t="str">
        <f>IFERROR(__xludf.DUMMYFUNCTION("""COMPUTED_VALUE"""),"Stone Co.")</f>
        <v>Stone Co.</v>
      </c>
      <c r="P490" s="33">
        <f>IFERROR(__xludf.DUMMYFUNCTION("""COMPUTED_VALUE"""),1.0)</f>
        <v>1</v>
      </c>
      <c r="Q490" s="4" t="str">
        <f>IFERROR(__xludf.DUMMYFUNCTION("""COMPUTED_VALUE"""),"Stone Co.")</f>
        <v>Stone Co.</v>
      </c>
      <c r="R490" s="33">
        <f>IFERROR(__xludf.DUMMYFUNCTION("""COMPUTED_VALUE"""),1.0)</f>
        <v>1</v>
      </c>
      <c r="S490" s="4" t="str">
        <f>IFERROR(__xludf.DUMMYFUNCTION("""COMPUTED_VALUE"""),"Stone Co.")</f>
        <v>Stone Co.</v>
      </c>
      <c r="T490" s="33">
        <f>IFERROR(__xludf.DUMMYFUNCTION("""COMPUTED_VALUE"""),1.0)</f>
        <v>1</v>
      </c>
      <c r="U490" s="4" t="str">
        <f>IFERROR(__xludf.DUMMYFUNCTION("""COMPUTED_VALUE"""),"Stone Co.")</f>
        <v>Stone Co.</v>
      </c>
      <c r="V490" s="33">
        <f>IFERROR(__xludf.DUMMYFUNCTION("""COMPUTED_VALUE"""),1.0)</f>
        <v>1</v>
      </c>
      <c r="W490" s="4" t="str">
        <f>IFERROR(__xludf.DUMMYFUNCTION("""COMPUTED_VALUE"""),"Stone Co.")</f>
        <v>Stone Co.</v>
      </c>
      <c r="X490" s="33">
        <f>IFERROR(__xludf.DUMMYFUNCTION("""COMPUTED_VALUE"""),0.9333333333333333)</f>
        <v>0.9333333333</v>
      </c>
    </row>
    <row r="491">
      <c r="A491" s="4" t="str">
        <f>IFERROR(__xludf.DUMMYFUNCTION("""COMPUTED_VALUE"""),"Spedini Curitiba")</f>
        <v>Spedini Curitiba</v>
      </c>
      <c r="B491" s="4">
        <f>IFERROR(__xludf.DUMMYFUNCTION("""COMPUTED_VALUE"""),18.0)</f>
        <v>18</v>
      </c>
      <c r="C491" s="4" t="str">
        <f>IFERROR(__xludf.DUMMYFUNCTION("""COMPUTED_VALUE"""),"R$ 60 milhões (Grupo Spedini 3 marcas, 31 unidades total)")</f>
        <v>R$ 60 milhões (Grupo Spedini 3 marcas, 31 unidades total)</v>
      </c>
      <c r="D491" s="4" t="str">
        <f>IFERROR(__xludf.DUMMYFUNCTION("""COMPUTED_VALUE"""),"Fast Casual / Italiana Express Shopping (Spedini 18 lojas Sul/Sudeste)")</f>
        <v>Fast Casual / Italiana Express Shopping (Spedini 18 lojas Sul/Sudeste)</v>
      </c>
      <c r="E491" s="4" t="str">
        <f>IFERROR(__xludf.DUMMYFUNCTION("""COMPUTED_VALUE"""),"Sul e Sudeste (Curitiba 9-10 lojas + outras regiões)")</f>
        <v>Sul e Sudeste (Curitiba 9-10 lojas + outras regiões)</v>
      </c>
      <c r="F491" s="4" t="str">
        <f>IFERROR(__xludf.DUMMYFUNCTION("""COMPUTED_VALUE"""),"R$ 40-60")</f>
        <v>R$ 40-60</v>
      </c>
      <c r="G491" s="4">
        <f>IFERROR(__xludf.DUMMYFUNCTION("""COMPUTED_VALUE"""),60.0)</f>
        <v>60</v>
      </c>
      <c r="H491" s="31">
        <f>IFERROR(__xludf.DUMMYFUNCTION("""COMPUTED_VALUE"""),0.65)</f>
        <v>0.65</v>
      </c>
      <c r="I491" s="4" t="str">
        <f>IFERROR(__xludf.DUMMYFUNCTION("""COMPUTED_VALUE"""),"Grupo R$ 60M, Spedini 18 lojas shopping. Fast Casual italiana: Kiosk acelera + E-DEPLOY 18 pontos. Boa aderência.")</f>
        <v>Grupo R$ 60M, Spedini 18 lojas shopping. Fast Casual italiana: Kiosk acelera + E-DEPLOY 18 pontos. Boa aderência.</v>
      </c>
      <c r="K491" s="4" t="str">
        <f>IFERROR(__xludf.DUMMYFUNCTION("""COMPUTED_VALUE"""),"FRESCO RESTAURANTE BAR")</f>
        <v>FRESCO RESTAURANTE BAR</v>
      </c>
      <c r="L491" s="32">
        <f>IFERROR(__xludf.DUMMYFUNCTION("""COMPUTED_VALUE"""),15.0)</f>
        <v>15</v>
      </c>
      <c r="M491" s="4" t="str">
        <f>IFERROR(__xludf.DUMMYFUNCTION("""COMPUTED_VALUE"""),"Cardápio Web")</f>
        <v>Cardápio Web</v>
      </c>
      <c r="N491" s="33">
        <f>IFERROR(__xludf.DUMMYFUNCTION("""COMPUTED_VALUE"""),0.6)</f>
        <v>0.6</v>
      </c>
      <c r="O491" s="4" t="str">
        <f>IFERROR(__xludf.DUMMYFUNCTION("""COMPUTED_VALUE"""),"Saipos Serviços De Software")</f>
        <v>Saipos Serviços De Software</v>
      </c>
      <c r="P491" s="33">
        <f>IFERROR(__xludf.DUMMYFUNCTION("""COMPUTED_VALUE"""),0.8666666666666667)</f>
        <v>0.8666666667</v>
      </c>
      <c r="Q491" s="4" t="str">
        <f>IFERROR(__xludf.DUMMYFUNCTION("""COMPUTED_VALUE"""),"Saipos Serviços De Software")</f>
        <v>Saipos Serviços De Software</v>
      </c>
      <c r="R491" s="33">
        <f>IFERROR(__xludf.DUMMYFUNCTION("""COMPUTED_VALUE"""),0.8666666666666667)</f>
        <v>0.8666666667</v>
      </c>
      <c r="S491" s="4" t="str">
        <f>IFERROR(__xludf.DUMMYFUNCTION("""COMPUTED_VALUE"""),"Saipos Serviços De Software")</f>
        <v>Saipos Serviços De Software</v>
      </c>
      <c r="T491" s="33">
        <f>IFERROR(__xludf.DUMMYFUNCTION("""COMPUTED_VALUE"""),0.9333333333333333)</f>
        <v>0.9333333333</v>
      </c>
      <c r="U491" s="4" t="str">
        <f>IFERROR(__xludf.DUMMYFUNCTION("""COMPUTED_VALUE"""),"Saipos Serviços De Software")</f>
        <v>Saipos Serviços De Software</v>
      </c>
      <c r="V491" s="33">
        <f>IFERROR(__xludf.DUMMYFUNCTION("""COMPUTED_VALUE"""),0.9333333333333333)</f>
        <v>0.9333333333</v>
      </c>
      <c r="W491" s="4" t="str">
        <f>IFERROR(__xludf.DUMMYFUNCTION("""COMPUTED_VALUE"""),"Saipos Serviços De Software")</f>
        <v>Saipos Serviços De Software</v>
      </c>
      <c r="X491" s="33">
        <f>IFERROR(__xludf.DUMMYFUNCTION("""COMPUTED_VALUE"""),1.0)</f>
        <v>1</v>
      </c>
    </row>
    <row r="492">
      <c r="A492" s="4" t="str">
        <f>IFERROR(__xludf.DUMMYFUNCTION("""COMPUTED_VALUE"""),"Stefan Behar")</f>
        <v>Stefan Behar</v>
      </c>
      <c r="B492" s="4">
        <f>IFERROR(__xludf.DUMMYFUNCTION("""COMPUTED_VALUE"""),2.0)</f>
        <v>2</v>
      </c>
      <c r="C492" s="4" t="str">
        <f>IFERROR(__xludf.DUMMYFUNCTION("""COMPUTED_VALUE"""),"Dado não disponível publicamente - Necessário Discovery")</f>
        <v>Dado não disponível publicamente - Necessário Discovery</v>
      </c>
      <c r="D492" s="4" t="str">
        <f>IFERROR(__xludf.DUMMYFUNCTION("""COMPUTED_VALUE"""),"Confeitaria Premium / Flagship + Ateliê (São Paulo)")</f>
        <v>Confeitaria Premium / Flagship + Ateliê (São Paulo)</v>
      </c>
      <c r="E492" s="4" t="str">
        <f>IFERROR(__xludf.DUMMYFUNCTION("""COMPUTED_VALUE"""),"São Paulo (Shopping Iguatemi + Ateliê Barra Funda)")</f>
        <v>São Paulo (Shopping Iguatemi + Ateliê Barra Funda)</v>
      </c>
      <c r="F492" s="4" t="str">
        <f>IFERROR(__xludf.DUMMYFUNCTION("""COMPUTED_VALUE"""),"R$ 60-120")</f>
        <v>R$ 60-120</v>
      </c>
      <c r="G492" s="4">
        <f>IFERROR(__xludf.DUMMYFUNCTION("""COMPUTED_VALUE"""),25.0)</f>
        <v>25</v>
      </c>
      <c r="H492" s="31">
        <f>IFERROR(__xludf.DUMMYFUNCTION("""COMPUTED_VALUE"""),0.3)</f>
        <v>0.3</v>
      </c>
      <c r="I492" s="4" t="str">
        <f>IFERROR(__xludf.DUMMYFUNCTION("""COMPUTED_VALUE"""),"Confeitaria premium 2 pontos + e-commerce. Perfil artesanal alto ticket. Baixa aderência autoatendimento.")</f>
        <v>Confeitaria premium 2 pontos + e-commerce. Perfil artesanal alto ticket. Baixa aderência autoatendimento.</v>
      </c>
      <c r="K492" s="4" t="str">
        <f>IFERROR(__xludf.DUMMYFUNCTION("""COMPUTED_VALUE"""),"GALETOS RESTAURANTE")</f>
        <v>GALETOS RESTAURANTE</v>
      </c>
      <c r="L492" s="32">
        <f>IFERROR(__xludf.DUMMYFUNCTION("""COMPUTED_VALUE"""),15.0)</f>
        <v>15</v>
      </c>
      <c r="M492" s="4" t="str">
        <f>IFERROR(__xludf.DUMMYFUNCTION("""COMPUTED_VALUE"""),"null")</f>
        <v>null</v>
      </c>
      <c r="N492" s="33">
        <f>IFERROR(__xludf.DUMMYFUNCTION("""COMPUTED_VALUE"""),1.0)</f>
        <v>1</v>
      </c>
      <c r="O492" s="4" t="str">
        <f>IFERROR(__xludf.DUMMYFUNCTION("""COMPUTED_VALUE"""),"null")</f>
        <v>null</v>
      </c>
      <c r="P492" s="33">
        <f>IFERROR(__xludf.DUMMYFUNCTION("""COMPUTED_VALUE"""),1.0)</f>
        <v>1</v>
      </c>
      <c r="Q492" s="4" t="str">
        <f>IFERROR(__xludf.DUMMYFUNCTION("""COMPUTED_VALUE"""),"Saipos Serviços De Software")</f>
        <v>Saipos Serviços De Software</v>
      </c>
      <c r="R492" s="33">
        <f>IFERROR(__xludf.DUMMYFUNCTION("""COMPUTED_VALUE"""),0.8666666666666667)</f>
        <v>0.8666666667</v>
      </c>
      <c r="S492" s="4" t="str">
        <f>IFERROR(__xludf.DUMMYFUNCTION("""COMPUTED_VALUE"""),"Saipos Serviços De Software")</f>
        <v>Saipos Serviços De Software</v>
      </c>
      <c r="T492" s="33">
        <f>IFERROR(__xludf.DUMMYFUNCTION("""COMPUTED_VALUE"""),0.8666666666666667)</f>
        <v>0.8666666667</v>
      </c>
      <c r="U492" s="4" t="str">
        <f>IFERROR(__xludf.DUMMYFUNCTION("""COMPUTED_VALUE"""),"Saipos Serviços De Software")</f>
        <v>Saipos Serviços De Software</v>
      </c>
      <c r="V492" s="33">
        <f>IFERROR(__xludf.DUMMYFUNCTION("""COMPUTED_VALUE"""),1.0)</f>
        <v>1</v>
      </c>
      <c r="W492" s="4" t="str">
        <f>IFERROR(__xludf.DUMMYFUNCTION("""COMPUTED_VALUE"""),"Saipos Serviços De Software")</f>
        <v>Saipos Serviços De Software</v>
      </c>
      <c r="X492" s="33">
        <f>IFERROR(__xludf.DUMMYFUNCTION("""COMPUTED_VALUE"""),1.0)</f>
        <v>1</v>
      </c>
    </row>
    <row r="493">
      <c r="A493" s="4" t="str">
        <f>IFERROR(__xludf.DUMMYFUNCTION("""COMPUTED_VALUE"""),"Sterna Cafe")</f>
        <v>Sterna Cafe</v>
      </c>
      <c r="B493" s="4">
        <f>IFERROR(__xludf.DUMMYFUNCTION("""COMPUTED_VALUE"""),90.0)</f>
        <v>90</v>
      </c>
      <c r="C493" s="4" t="str">
        <f>IFERROR(__xludf.DUMMYFUNCTION("""COMPUTED_VALUE"""),"Dado não disponível publicamente - Meta 130 lojas até fim 2026 (10 estados)")</f>
        <v>Dado não disponível publicamente - Meta 130 lojas até fim 2026 (10 estados)</v>
      </c>
      <c r="D493" s="4" t="str">
        <f>IFERROR(__xludf.DUMMYFUNCTION("""COMPUTED_VALUE"""),"QSR / Cafeteria Express (Franquia nacional em expansão - 29 inaugurações em 2025)")</f>
        <v>QSR / Cafeteria Express (Franquia nacional em expansão - 29 inaugurações em 2025)</v>
      </c>
      <c r="E493" s="4" t="str">
        <f>IFERROR(__xludf.DUMMYFUNCTION("""COMPUTED_VALUE"""),"Nacional (10 estados, 90 lojas início 2026 → meta 130 fim 2026)")</f>
        <v>Nacional (10 estados, 90 lojas início 2026 → meta 130 fim 2026)</v>
      </c>
      <c r="F493" s="4" t="str">
        <f>IFERROR(__xludf.DUMMYFUNCTION("""COMPUTED_VALUE"""),"R$ 15-30")</f>
        <v>R$ 15-30</v>
      </c>
      <c r="G493" s="4">
        <f>IFERROR(__xludf.DUMMYFUNCTION("""COMPUTED_VALUE"""),80.0)</f>
        <v>80</v>
      </c>
      <c r="H493" s="31">
        <f>IFERROR(__xludf.DUMMYFUNCTION("""COMPUTED_VALUE"""),0.85)</f>
        <v>0.85</v>
      </c>
      <c r="I493" s="4" t="str">
        <f>IFERROR(__xludf.DUMMYFUNCTION("""COMPUTED_VALUE"""),"SUPER TARGET. Expansão agressiva 90→130 lojas (+40 em 2026). QSR cafeteria: Kiosk combos + E-DEPLOY 130 lojas. Aderência máxima.")</f>
        <v>SUPER TARGET. Expansão agressiva 90→130 lojas (+40 em 2026). QSR cafeteria: Kiosk combos + E-DEPLOY 130 lojas. Aderência máxima.</v>
      </c>
      <c r="K493" s="4" t="str">
        <f>IFERROR(__xludf.DUMMYFUNCTION("""COMPUTED_VALUE"""),"GRUPO - APACHE HAMBURGUERIA")</f>
        <v>GRUPO - APACHE HAMBURGUERIA</v>
      </c>
      <c r="L493" s="32">
        <f>IFERROR(__xludf.DUMMYFUNCTION("""COMPUTED_VALUE"""),15.0)</f>
        <v>15</v>
      </c>
      <c r="M493" s="4" t="str">
        <f>IFERROR(__xludf.DUMMYFUNCTION("""COMPUTED_VALUE"""),"Saipos Serviços De Software")</f>
        <v>Saipos Serviços De Software</v>
      </c>
      <c r="N493" s="33">
        <f>IFERROR(__xludf.DUMMYFUNCTION("""COMPUTED_VALUE"""),0.8666666666666667)</f>
        <v>0.8666666667</v>
      </c>
      <c r="O493" s="4" t="str">
        <f>IFERROR(__xludf.DUMMYFUNCTION("""COMPUTED_VALUE"""),"Saipos Serviços De Software")</f>
        <v>Saipos Serviços De Software</v>
      </c>
      <c r="P493" s="33">
        <f>IFERROR(__xludf.DUMMYFUNCTION("""COMPUTED_VALUE"""),0.8666666666666667)</f>
        <v>0.8666666667</v>
      </c>
      <c r="Q493" s="4" t="str">
        <f>IFERROR(__xludf.DUMMYFUNCTION("""COMPUTED_VALUE"""),"Saipos Serviços De Software")</f>
        <v>Saipos Serviços De Software</v>
      </c>
      <c r="R493" s="33">
        <f>IFERROR(__xludf.DUMMYFUNCTION("""COMPUTED_VALUE"""),0.8666666666666667)</f>
        <v>0.8666666667</v>
      </c>
      <c r="S493" s="4" t="str">
        <f>IFERROR(__xludf.DUMMYFUNCTION("""COMPUTED_VALUE"""),"Saipos Serviços De Software")</f>
        <v>Saipos Serviços De Software</v>
      </c>
      <c r="T493" s="33">
        <f>IFERROR(__xludf.DUMMYFUNCTION("""COMPUTED_VALUE"""),0.8666666666666667)</f>
        <v>0.8666666667</v>
      </c>
      <c r="U493" s="4" t="str">
        <f>IFERROR(__xludf.DUMMYFUNCTION("""COMPUTED_VALUE"""),"Saipos Serviços De Software")</f>
        <v>Saipos Serviços De Software</v>
      </c>
      <c r="V493" s="33">
        <f>IFERROR(__xludf.DUMMYFUNCTION("""COMPUTED_VALUE"""),1.0)</f>
        <v>1</v>
      </c>
      <c r="W493" s="4" t="str">
        <f>IFERROR(__xludf.DUMMYFUNCTION("""COMPUTED_VALUE"""),"Saipos Serviços De Software")</f>
        <v>Saipos Serviços De Software</v>
      </c>
      <c r="X493" s="33">
        <f>IFERROR(__xludf.DUMMYFUNCTION("""COMPUTED_VALUE"""),0.8666666666666667)</f>
        <v>0.8666666667</v>
      </c>
    </row>
    <row r="494">
      <c r="A494" s="4" t="str">
        <f>IFERROR(__xludf.DUMMYFUNCTION("""COMPUTED_VALUE"""),"Sujinho (Grupo)")</f>
        <v>Sujinho (Grupo)</v>
      </c>
      <c r="B494" s="4" t="str">
        <f>IFERROR(__xludf.DUMMYFUNCTION("""COMPUTED_VALUE"""),"3+")</f>
        <v>3+</v>
      </c>
      <c r="C494" s="4" t="str">
        <f>IFERROR(__xludf.DUMMYFUNCTION("""COMPUTED_VALUE"""),"Dado não disponível publicamente - Necessário Discovery (Grupo multi-marcas)")</f>
        <v>Dado não disponível publicamente - Necessário Discovery (Grupo multi-marcas)</v>
      </c>
      <c r="D494" s="4" t="str">
        <f>IFERROR(__xludf.DUMMYFUNCTION("""COMPUTED_VALUE"""),"Grupo Restaurantes / Multi-marcas (Churrascaria, Hamburgueria, Cafeteria, Fast Burger)")</f>
        <v>Grupo Restaurantes / Multi-marcas (Churrascaria, Hamburgueria, Cafeteria, Fast Burger)</v>
      </c>
      <c r="E494" s="4" t="str">
        <f>IFERROR(__xludf.DUMMYFUNCTION("""COMPUTED_VALUE"""),"São Paulo (mínimo 3 unidades físicas identificadas - grupo com 6 segmentos)")</f>
        <v>São Paulo (mínimo 3 unidades físicas identificadas - grupo com 6 segmentos)</v>
      </c>
      <c r="F494" s="4" t="str">
        <f>IFERROR(__xludf.DUMMYFUNCTION("""COMPUTED_VALUE"""),"R$ 45-80")</f>
        <v>R$ 45-80</v>
      </c>
      <c r="G494" s="4">
        <f>IFERROR(__xludf.DUMMYFUNCTION("""COMPUTED_VALUE"""),40.0)</f>
        <v>40</v>
      </c>
      <c r="H494" s="31">
        <f>IFERROR(__xludf.DUMMYFUNCTION("""COMPUTED_VALUE"""),0.45)</f>
        <v>0.45</v>
      </c>
      <c r="I494" s="4" t="str">
        <f>IFERROR(__xludf.DUMMYFUNCTION("""COMPUTED_VALUE"""),"Grupo multi-marcas SP. Dados insuficientes para avaliação precisa. Necessário Discovery detalhado por segmento.")</f>
        <v>Grupo multi-marcas SP. Dados insuficientes para avaliação precisa. Necessário Discovery detalhado por segmento.</v>
      </c>
      <c r="K494" s="4" t="str">
        <f>IFERROR(__xludf.DUMMYFUNCTION("""COMPUTED_VALUE"""),"GRUPO DONBURI")</f>
        <v>GRUPO DONBURI</v>
      </c>
      <c r="L494" s="32">
        <f>IFERROR(__xludf.DUMMYFUNCTION("""COMPUTED_VALUE"""),15.0)</f>
        <v>15</v>
      </c>
      <c r="M494" s="4" t="str">
        <f>IFERROR(__xludf.DUMMYFUNCTION("""COMPUTED_VALUE"""),"Saipos Serviços De Software")</f>
        <v>Saipos Serviços De Software</v>
      </c>
      <c r="N494" s="33">
        <f>IFERROR(__xludf.DUMMYFUNCTION("""COMPUTED_VALUE"""),1.0)</f>
        <v>1</v>
      </c>
      <c r="O494" s="4" t="str">
        <f>IFERROR(__xludf.DUMMYFUNCTION("""COMPUTED_VALUE"""),"Saipos Serviços De Software")</f>
        <v>Saipos Serviços De Software</v>
      </c>
      <c r="P494" s="33">
        <f>IFERROR(__xludf.DUMMYFUNCTION("""COMPUTED_VALUE"""),1.0)</f>
        <v>1</v>
      </c>
      <c r="Q494" s="4" t="str">
        <f>IFERROR(__xludf.DUMMYFUNCTION("""COMPUTED_VALUE"""),"Saipos Serviços De Software")</f>
        <v>Saipos Serviços De Software</v>
      </c>
      <c r="R494" s="33">
        <f>IFERROR(__xludf.DUMMYFUNCTION("""COMPUTED_VALUE"""),0.9333333333333333)</f>
        <v>0.9333333333</v>
      </c>
      <c r="S494" s="4" t="str">
        <f>IFERROR(__xludf.DUMMYFUNCTION("""COMPUTED_VALUE"""),"Saipos Serviços De Software")</f>
        <v>Saipos Serviços De Software</v>
      </c>
      <c r="T494" s="33">
        <f>IFERROR(__xludf.DUMMYFUNCTION("""COMPUTED_VALUE"""),0.7333333333333333)</f>
        <v>0.7333333333</v>
      </c>
      <c r="U494" s="4" t="str">
        <f>IFERROR(__xludf.DUMMYFUNCTION("""COMPUTED_VALUE"""),"Saipos Serviços De Software")</f>
        <v>Saipos Serviços De Software</v>
      </c>
      <c r="V494" s="33">
        <f>IFERROR(__xludf.DUMMYFUNCTION("""COMPUTED_VALUE"""),0.7333333333333333)</f>
        <v>0.7333333333</v>
      </c>
      <c r="W494" s="4" t="str">
        <f>IFERROR(__xludf.DUMMYFUNCTION("""COMPUTED_VALUE"""),"Saipos Serviços De Software")</f>
        <v>Saipos Serviços De Software</v>
      </c>
      <c r="X494" s="33">
        <f>IFERROR(__xludf.DUMMYFUNCTION("""COMPUTED_VALUE"""),0.7333333333333333)</f>
        <v>0.7333333333</v>
      </c>
    </row>
    <row r="495">
      <c r="A495" s="4" t="str">
        <f>IFERROR(__xludf.DUMMYFUNCTION("""COMPUTED_VALUE"""),"Super Duper Burger")</f>
        <v>Super Duper Burger</v>
      </c>
      <c r="B495" s="4" t="str">
        <f>IFERROR(__xludf.DUMMYFUNCTION("""COMPUTED_VALUE"""),"Não disponível publicamente")</f>
        <v>Não disponível publicamente</v>
      </c>
      <c r="C495" s="4" t="str">
        <f>IFERROR(__xludf.DUMMYFUNCTION("""COMPUTED_VALUE"""),"Dado não disponível publicamente - Necessário Discovery")</f>
        <v>Dado não disponível publicamente - Necessário Discovery</v>
      </c>
      <c r="D495" s="4" t="str">
        <f>IFERROR(__xludf.DUMMYFUNCTION("""COMPUTED_VALUE"""),"Hamburgueria / Multi-unidades (São José dos Campos confirmado)")</f>
        <v>Hamburgueria / Multi-unidades (São José dos Campos confirmado)</v>
      </c>
      <c r="E495" s="4" t="str">
        <f>IFERROR(__xludf.DUMMYFUNCTION("""COMPUTED_VALUE"""),"Brasil (unidades não totalizadas publicamente)")</f>
        <v>Brasil (unidades não totalizadas publicamente)</v>
      </c>
      <c r="F495" s="4" t="str">
        <f>IFERROR(__xludf.DUMMYFUNCTION("""COMPUTED_VALUE"""),"R$ 40-65")</f>
        <v>R$ 40-65</v>
      </c>
      <c r="G495" s="4">
        <f>IFERROR(__xludf.DUMMYFUNCTION("""COMPUTED_VALUE"""),35.0)</f>
        <v>35</v>
      </c>
      <c r="H495" s="31">
        <f>IFERROR(__xludf.DUMMYFUNCTION("""COMPUTED_VALUE"""),0.4)</f>
        <v>0.4</v>
      </c>
      <c r="I495" s="4" t="str">
        <f>IFERROR(__xludf.DUMMYFUNCTION("""COMPUTED_VALUE"""),"Dados de rede insuficientes. Site oficial não divulga total lojas. Necessário Discovery.")</f>
        <v>Dados de rede insuficientes. Site oficial não divulga total lojas. Necessário Discovery.</v>
      </c>
      <c r="K495" s="4" t="str">
        <f>IFERROR(__xludf.DUMMYFUNCTION("""COMPUTED_VALUE"""),"JAPAFLASH")</f>
        <v>JAPAFLASH</v>
      </c>
      <c r="L495" s="32">
        <f>IFERROR(__xludf.DUMMYFUNCTION("""COMPUTED_VALUE"""),15.0)</f>
        <v>15</v>
      </c>
      <c r="M495" s="4" t="str">
        <f>IFERROR(__xludf.DUMMYFUNCTION("""COMPUTED_VALUE"""),"Saipos Serviços De Software")</f>
        <v>Saipos Serviços De Software</v>
      </c>
      <c r="N495" s="33">
        <f>IFERROR(__xludf.DUMMYFUNCTION("""COMPUTED_VALUE"""),0.9333333333333333)</f>
        <v>0.9333333333</v>
      </c>
      <c r="O495" s="4" t="str">
        <f>IFERROR(__xludf.DUMMYFUNCTION("""COMPUTED_VALUE"""),"Saipos Serviços De Software")</f>
        <v>Saipos Serviços De Software</v>
      </c>
      <c r="P495" s="33">
        <f>IFERROR(__xludf.DUMMYFUNCTION("""COMPUTED_VALUE"""),0.7333333333333333)</f>
        <v>0.7333333333</v>
      </c>
      <c r="Q495" s="4" t="str">
        <f>IFERROR(__xludf.DUMMYFUNCTION("""COMPUTED_VALUE"""),"Saipos Serviços De Software")</f>
        <v>Saipos Serviços De Software</v>
      </c>
      <c r="R495" s="33">
        <f>IFERROR(__xludf.DUMMYFUNCTION("""COMPUTED_VALUE"""),0.8)</f>
        <v>0.8</v>
      </c>
      <c r="S495" s="4" t="str">
        <f>IFERROR(__xludf.DUMMYFUNCTION("""COMPUTED_VALUE"""),"Saipos Serviços De Software")</f>
        <v>Saipos Serviços De Software</v>
      </c>
      <c r="T495" s="33">
        <f>IFERROR(__xludf.DUMMYFUNCTION("""COMPUTED_VALUE"""),0.8)</f>
        <v>0.8</v>
      </c>
      <c r="U495" s="4" t="str">
        <f>IFERROR(__xludf.DUMMYFUNCTION("""COMPUTED_VALUE"""),"Saipos Serviços De Software")</f>
        <v>Saipos Serviços De Software</v>
      </c>
      <c r="V495" s="33">
        <f>IFERROR(__xludf.DUMMYFUNCTION("""COMPUTED_VALUE"""),0.7333333333333333)</f>
        <v>0.7333333333</v>
      </c>
      <c r="W495" s="4" t="str">
        <f>IFERROR(__xludf.DUMMYFUNCTION("""COMPUTED_VALUE"""),"Saipos Serviços De Software")</f>
        <v>Saipos Serviços De Software</v>
      </c>
      <c r="X495" s="33">
        <f>IFERROR(__xludf.DUMMYFUNCTION("""COMPUTED_VALUE"""),0.6)</f>
        <v>0.6</v>
      </c>
    </row>
    <row r="496">
      <c r="A496" s="4" t="str">
        <f>IFERROR(__xludf.DUMMYFUNCTION("""COMPUTED_VALUE"""),"Sushi Go")</f>
        <v>Sushi Go</v>
      </c>
      <c r="B496" s="4">
        <f>IFERROR(__xludf.DUMMYFUNCTION("""COMPUTED_VALUE"""),18.0)</f>
        <v>18</v>
      </c>
      <c r="C496" s="4" t="str">
        <f>IFERROR(__xludf.DUMMYFUNCTION("""COMPUTED_VALUE"""),"Dado não disponível publicamente - Necessário Discovery")</f>
        <v>Dado não disponível publicamente - Necessário Discovery</v>
      </c>
      <c r="D496" s="4" t="str">
        <f>IFERROR(__xludf.DUMMYFUNCTION("""COMPUTED_VALUE"""),"Japonês Delivery / Fast Casual (Foco Rio de Janeiro)")</f>
        <v>Japonês Delivery / Fast Casual (Foco Rio de Janeiro)</v>
      </c>
      <c r="E496" s="4" t="str">
        <f>IFERROR(__xludf.DUMMYFUNCTION("""COMPUTED_VALUE"""),"Rio de Janeiro e região metropolitana (18 regiões atendidas)")</f>
        <v>Rio de Janeiro e região metropolitana (18 regiões atendidas)</v>
      </c>
      <c r="F496" s="4" t="str">
        <f>IFERROR(__xludf.DUMMYFUNCTION("""COMPUTED_VALUE"""),"R$ 35-60")</f>
        <v>R$ 35-60</v>
      </c>
      <c r="G496" s="4">
        <f>IFERROR(__xludf.DUMMYFUNCTION("""COMPUTED_VALUE"""),45.0)</f>
        <v>45</v>
      </c>
      <c r="H496" s="31">
        <f>IFERROR(__xludf.DUMMYFUNCTION("""COMPUTED_VALUE"""),0.5)</f>
        <v>0.5</v>
      </c>
      <c r="I496" s="4" t="str">
        <f>IFERROR(__xludf.DUMMYFUNCTION("""COMPUTED_VALUE"""),"Rede delivery RJ 18 pontos. Delivery-first precisa integração apps + PDV rápido. Aderência média.")</f>
        <v>Rede delivery RJ 18 pontos. Delivery-first precisa integração apps + PDV rápido. Aderência média.</v>
      </c>
      <c r="K496" s="4" t="str">
        <f>IFERROR(__xludf.DUMMYFUNCTION("""COMPUTED_VALUE"""),"JAPATE")</f>
        <v>JAPATE</v>
      </c>
      <c r="L496" s="32">
        <f>IFERROR(__xludf.DUMMYFUNCTION("""COMPUTED_VALUE"""),15.0)</f>
        <v>15</v>
      </c>
      <c r="M496" s="4" t="str">
        <f>IFERROR(__xludf.DUMMYFUNCTION("""COMPUTED_VALUE"""),"Totvs Large Enterprise Tecnologia S.a.")</f>
        <v>Totvs Large Enterprise Tecnologia S.a.</v>
      </c>
      <c r="N496" s="33">
        <f>IFERROR(__xludf.DUMMYFUNCTION("""COMPUTED_VALUE"""),0.8)</f>
        <v>0.8</v>
      </c>
      <c r="O496" s="4" t="str">
        <f>IFERROR(__xludf.DUMMYFUNCTION("""COMPUTED_VALUE"""),"Totvs Large Enterprise Tecnologia S.a.")</f>
        <v>Totvs Large Enterprise Tecnologia S.a.</v>
      </c>
      <c r="P496" s="33">
        <f>IFERROR(__xludf.DUMMYFUNCTION("""COMPUTED_VALUE"""),0.8)</f>
        <v>0.8</v>
      </c>
      <c r="Q496" s="4" t="str">
        <f>IFERROR(__xludf.DUMMYFUNCTION("""COMPUTED_VALUE"""),"Totvs Large Enterprise Tecnologia S.a.")</f>
        <v>Totvs Large Enterprise Tecnologia S.a.</v>
      </c>
      <c r="R496" s="33">
        <f>IFERROR(__xludf.DUMMYFUNCTION("""COMPUTED_VALUE"""),0.7333333333333333)</f>
        <v>0.7333333333</v>
      </c>
      <c r="S496" s="4" t="str">
        <f>IFERROR(__xludf.DUMMYFUNCTION("""COMPUTED_VALUE"""),"Totvs Large Enterprise Tecnologia S.a.")</f>
        <v>Totvs Large Enterprise Tecnologia S.a.</v>
      </c>
      <c r="T496" s="33">
        <f>IFERROR(__xludf.DUMMYFUNCTION("""COMPUTED_VALUE"""),0.7333333333333333)</f>
        <v>0.7333333333</v>
      </c>
      <c r="U496" s="4" t="str">
        <f>IFERROR(__xludf.DUMMYFUNCTION("""COMPUTED_VALUE"""),"null")</f>
        <v>null</v>
      </c>
      <c r="V496" s="33">
        <f>IFERROR(__xludf.DUMMYFUNCTION("""COMPUTED_VALUE"""),0.5333333333333333)</f>
        <v>0.5333333333</v>
      </c>
      <c r="W496" s="4" t="str">
        <f>IFERROR(__xludf.DUMMYFUNCTION("""COMPUTED_VALUE"""),"Totvs Large Enterprise Tecnologia S.a.")</f>
        <v>Totvs Large Enterprise Tecnologia S.a.</v>
      </c>
      <c r="X496" s="33">
        <f>IFERROR(__xludf.DUMMYFUNCTION("""COMPUTED_VALUE"""),0.6)</f>
        <v>0.6</v>
      </c>
    </row>
    <row r="497">
      <c r="A497" s="4" t="str">
        <f>IFERROR(__xludf.DUMMYFUNCTION("""COMPUTED_VALUE"""),"Sushi Papaia")</f>
        <v>Sushi Papaia</v>
      </c>
      <c r="B497" s="4">
        <f>IFERROR(__xludf.DUMMYFUNCTION("""COMPUTED_VALUE"""),3.0)</f>
        <v>3</v>
      </c>
      <c r="C497" s="4" t="str">
        <f>IFERROR(__xludf.DUMMYFUNCTION("""COMPUTED_VALUE"""),"Dado não disponível publicamente - Necessário Discovery")</f>
        <v>Dado não disponível publicamente - Necessário Discovery</v>
      </c>
      <c r="D497" s="4" t="str">
        <f>IFERROR(__xludf.DUMMYFUNCTION("""COMPUTED_VALUE"""),"Japonês / Delivery + Kosher (São Paulo Higienópolis)")</f>
        <v>Japonês / Delivery + Kosher (São Paulo Higienópolis)</v>
      </c>
      <c r="E497" s="4" t="str">
        <f>IFERROR(__xludf.DUMMYFUNCTION("""COMPUTED_VALUE"""),"São Paulo (3 unidades Higienópolis - Vilaboim, Veiga Filho, Kosher)")</f>
        <v>São Paulo (3 unidades Higienópolis - Vilaboim, Veiga Filho, Kosher)</v>
      </c>
      <c r="F497" s="4" t="str">
        <f>IFERROR(__xludf.DUMMYFUNCTION("""COMPUTED_VALUE"""),"R$ 60-90")</f>
        <v>R$ 60-90</v>
      </c>
      <c r="G497" s="4">
        <f>IFERROR(__xludf.DUMMYFUNCTION("""COMPUTED_VALUE"""),30.0)</f>
        <v>30</v>
      </c>
      <c r="H497" s="31">
        <f>IFERROR(__xludf.DUMMYFUNCTION("""COMPUTED_VALUE"""),0.35)</f>
        <v>0.35</v>
      </c>
      <c r="I497" s="4" t="str">
        <f>IFERROR(__xludf.DUMMYFUNCTION("""COMPUTED_VALUE"""),"Operação micro 3 lojas bairro Higienópolis. Escala baixa para E-DEPLOY. Kosher é nicho específico.")</f>
        <v>Operação micro 3 lojas bairro Higienópolis. Escala baixa para E-DEPLOY. Kosher é nicho específico.</v>
      </c>
      <c r="K497" s="4" t="str">
        <f>IFERROR(__xludf.DUMMYFUNCTION("""COMPUTED_VALUE"""),"JET PIZZAS")</f>
        <v>JET PIZZAS</v>
      </c>
      <c r="L497" s="32">
        <f>IFERROR(__xludf.DUMMYFUNCTION("""COMPUTED_VALUE"""),15.0)</f>
        <v>15</v>
      </c>
      <c r="M497" s="4" t="str">
        <f>IFERROR(__xludf.DUMMYFUNCTION("""COMPUTED_VALUE"""),"Grk Soluções Informatica Eireli")</f>
        <v>Grk Soluções Informatica Eireli</v>
      </c>
      <c r="N497" s="33">
        <f>IFERROR(__xludf.DUMMYFUNCTION("""COMPUTED_VALUE"""),1.0)</f>
        <v>1</v>
      </c>
      <c r="O497" s="4" t="str">
        <f>IFERROR(__xludf.DUMMYFUNCTION("""COMPUTED_VALUE"""),"Grk Soluções Informatica Eireli")</f>
        <v>Grk Soluções Informatica Eireli</v>
      </c>
      <c r="P497" s="33">
        <f>IFERROR(__xludf.DUMMYFUNCTION("""COMPUTED_VALUE"""),0.8666666666666667)</f>
        <v>0.8666666667</v>
      </c>
      <c r="Q497" s="4" t="str">
        <f>IFERROR(__xludf.DUMMYFUNCTION("""COMPUTED_VALUE"""),"Grk Soluções Informatica Eireli")</f>
        <v>Grk Soluções Informatica Eireli</v>
      </c>
      <c r="R497" s="33">
        <f>IFERROR(__xludf.DUMMYFUNCTION("""COMPUTED_VALUE"""),0.8666666666666667)</f>
        <v>0.8666666667</v>
      </c>
      <c r="S497" s="4" t="str">
        <f>IFERROR(__xludf.DUMMYFUNCTION("""COMPUTED_VALUE"""),"Grk Soluções Informatica Eireli")</f>
        <v>Grk Soluções Informatica Eireli</v>
      </c>
      <c r="T497" s="33">
        <f>IFERROR(__xludf.DUMMYFUNCTION("""COMPUTED_VALUE"""),0.6666666666666666)</f>
        <v>0.6666666667</v>
      </c>
      <c r="U497" s="4" t="str">
        <f>IFERROR(__xludf.DUMMYFUNCTION("""COMPUTED_VALUE"""),"Grk Soluções Informatica Eireli")</f>
        <v>Grk Soluções Informatica Eireli</v>
      </c>
      <c r="V497" s="33">
        <f>IFERROR(__xludf.DUMMYFUNCTION("""COMPUTED_VALUE"""),0.8666666666666667)</f>
        <v>0.8666666667</v>
      </c>
      <c r="W497" s="4" t="str">
        <f>IFERROR(__xludf.DUMMYFUNCTION("""COMPUTED_VALUE"""),"Grk Soluções Informatica Eireli")</f>
        <v>Grk Soluções Informatica Eireli</v>
      </c>
      <c r="X497" s="33">
        <f>IFERROR(__xludf.DUMMYFUNCTION("""COMPUTED_VALUE"""),0.8666666666666667)</f>
        <v>0.8666666667</v>
      </c>
    </row>
    <row r="498">
      <c r="A498" s="4" t="str">
        <f>IFERROR(__xludf.DUMMYFUNCTION("""COMPUTED_VALUE"""),"Temakeria Com (Grupo Temakeria)")</f>
        <v>Temakeria Com (Grupo Temakeria)</v>
      </c>
      <c r="B498" s="4">
        <f>IFERROR(__xludf.DUMMYFUNCTION("""COMPUTED_VALUE"""),22.0)</f>
        <v>22</v>
      </c>
      <c r="C498" s="4" t="str">
        <f>IFERROR(__xludf.DUMMYFUNCTION("""COMPUTED_VALUE"""),"Dado não disponível publicamente - Necessário Discovery")</f>
        <v>Dado não disponível publicamente - Necessário Discovery</v>
      </c>
      <c r="D498" s="4" t="str">
        <f>IFERROR(__xludf.DUMMYFUNCTION("""COMPUTED_VALUE"""),"Japonês Fast Casual / Temakeria (SP 15 lojas + RJ 7 lojas)")</f>
        <v>Japonês Fast Casual / Temakeria (SP 15 lojas + RJ 7 lojas)</v>
      </c>
      <c r="E498" s="4" t="str">
        <f>IFERROR(__xludf.DUMMYFUNCTION("""COMPUTED_VALUE"""),"São Paulo (15 unidades) + Rio de Janeiro (7 unidades)")</f>
        <v>São Paulo (15 unidades) + Rio de Janeiro (7 unidades)</v>
      </c>
      <c r="F498" s="4" t="str">
        <f>IFERROR(__xludf.DUMMYFUNCTION("""COMPUTED_VALUE"""),"R$ 40-65")</f>
        <v>R$ 40-65</v>
      </c>
      <c r="G498" s="4">
        <f>IFERROR(__xludf.DUMMYFUNCTION("""COMPUTED_VALUE"""),65.0)</f>
        <v>65</v>
      </c>
      <c r="H498" s="31">
        <f>IFERROR(__xludf.DUMMYFUNCTION("""COMPUTED_VALUE"""),0.7)</f>
        <v>0.7</v>
      </c>
      <c r="I498" s="4" t="str">
        <f>IFERROR(__xludf.DUMMYFUNCTION("""COMPUTED_VALUE"""),"Grupo consolidado 22 lojas SP/RJ. Fast Casual japonês: Kiosk customização temaki + E-DEPLOY multi-loja. Alta aderência.")</f>
        <v>Grupo consolidado 22 lojas SP/RJ. Fast Casual japonês: Kiosk customização temaki + E-DEPLOY multi-loja. Alta aderência.</v>
      </c>
      <c r="K498" s="4" t="str">
        <f>IFERROR(__xludf.DUMMYFUNCTION("""COMPUTED_VALUE"""),"LOCANDA OSTERIA")</f>
        <v>LOCANDA OSTERIA</v>
      </c>
      <c r="L498" s="32">
        <f>IFERROR(__xludf.DUMMYFUNCTION("""COMPUTED_VALUE"""),15.0)</f>
        <v>15</v>
      </c>
      <c r="M498" s="4" t="str">
        <f>IFERROR(__xludf.DUMMYFUNCTION("""COMPUTED_VALUE"""),"Saipos Serviços De Software")</f>
        <v>Saipos Serviços De Software</v>
      </c>
      <c r="N498" s="33">
        <f>IFERROR(__xludf.DUMMYFUNCTION("""COMPUTED_VALUE"""),0.8)</f>
        <v>0.8</v>
      </c>
      <c r="O498" s="4" t="str">
        <f>IFERROR(__xludf.DUMMYFUNCTION("""COMPUTED_VALUE"""),"Saipos Serviços De Software")</f>
        <v>Saipos Serviços De Software</v>
      </c>
      <c r="P498" s="33">
        <f>IFERROR(__xludf.DUMMYFUNCTION("""COMPUTED_VALUE"""),0.6666666666666666)</f>
        <v>0.6666666667</v>
      </c>
      <c r="Q498" s="4" t="str">
        <f>IFERROR(__xludf.DUMMYFUNCTION("""COMPUTED_VALUE"""),"Saipos Serviços De Software")</f>
        <v>Saipos Serviços De Software</v>
      </c>
      <c r="R498" s="33">
        <f>IFERROR(__xludf.DUMMYFUNCTION("""COMPUTED_VALUE"""),0.6666666666666666)</f>
        <v>0.6666666667</v>
      </c>
      <c r="S498" s="4" t="str">
        <f>IFERROR(__xludf.DUMMYFUNCTION("""COMPUTED_VALUE"""),"Saipos Serviços De Software")</f>
        <v>Saipos Serviços De Software</v>
      </c>
      <c r="T498" s="33">
        <f>IFERROR(__xludf.DUMMYFUNCTION("""COMPUTED_VALUE"""),0.6666666666666666)</f>
        <v>0.6666666667</v>
      </c>
      <c r="U498" s="4" t="str">
        <f>IFERROR(__xludf.DUMMYFUNCTION("""COMPUTED_VALUE"""),"Saipos Serviços De Software")</f>
        <v>Saipos Serviços De Software</v>
      </c>
      <c r="V498" s="33">
        <f>IFERROR(__xludf.DUMMYFUNCTION("""COMPUTED_VALUE"""),0.8666666666666667)</f>
        <v>0.8666666667</v>
      </c>
      <c r="W498" s="4" t="str">
        <f>IFERROR(__xludf.DUMMYFUNCTION("""COMPUTED_VALUE"""),"Saipos Serviços De Software")</f>
        <v>Saipos Serviços De Software</v>
      </c>
      <c r="X498" s="33">
        <f>IFERROR(__xludf.DUMMYFUNCTION("""COMPUTED_VALUE"""),0.8)</f>
        <v>0.8</v>
      </c>
    </row>
    <row r="499">
      <c r="A499" s="4" t="str">
        <f>IFERROR(__xludf.DUMMYFUNCTION("""COMPUTED_VALUE"""),"Temaki Fry")</f>
        <v>Temaki Fry</v>
      </c>
      <c r="B499" s="4">
        <f>IFERROR(__xludf.DUMMYFUNCTION("""COMPUTED_VALUE"""),19.0)</f>
        <v>19</v>
      </c>
      <c r="C499" s="4" t="str">
        <f>IFERROR(__xludf.DUMMYFUNCTION("""COMPUTED_VALUE"""),"Dado não disponível publicamente - Necessário Discovery")</f>
        <v>Dado não disponível publicamente - Necessário Discovery</v>
      </c>
      <c r="D499" s="4" t="str">
        <f>IFERROR(__xludf.DUMMYFUNCTION("""COMPUTED_VALUE"""),"Fast Casual / Temakeria (SP, RJ, GO - Brasília em breve)")</f>
        <v>Fast Casual / Temakeria (SP, RJ, GO - Brasília em breve)</v>
      </c>
      <c r="E499" s="4" t="str">
        <f>IFERROR(__xludf.DUMMYFUNCTION("""COMPUTED_VALUE"""),"Multi-regional (3 estados: São Paulo, Rio de Janeiro, Goiás + DF em breve)")</f>
        <v>Multi-regional (3 estados: São Paulo, Rio de Janeiro, Goiás + DF em breve)</v>
      </c>
      <c r="F499" s="4" t="str">
        <f>IFERROR(__xludf.DUMMYFUNCTION("""COMPUTED_VALUE"""),"R$ 35-60")</f>
        <v>R$ 35-60</v>
      </c>
      <c r="G499" s="4">
        <f>IFERROR(__xludf.DUMMYFUNCTION("""COMPUTED_VALUE"""),60.0)</f>
        <v>60</v>
      </c>
      <c r="H499" s="31">
        <f>IFERROR(__xludf.DUMMYFUNCTION("""COMPUTED_VALUE"""),0.65)</f>
        <v>0.65</v>
      </c>
      <c r="I499" s="4" t="str">
        <f>IFERROR(__xludf.DUMMYFUNCTION("""COMPUTED_VALUE"""),"Rede 19 lojas em 3 estados. Fast Casual temaki: Kiosk customização + E-DEPLOY nacional. Boa aderência.")</f>
        <v>Rede 19 lojas em 3 estados. Fast Casual temaki: Kiosk customização + E-DEPLOY nacional. Boa aderência.</v>
      </c>
      <c r="K499" s="4" t="str">
        <f>IFERROR(__xludf.DUMMYFUNCTION("""COMPUTED_VALUE"""),"REDE MACAXEIRA")</f>
        <v>REDE MACAXEIRA</v>
      </c>
      <c r="L499" s="32">
        <f>IFERROR(__xludf.DUMMYFUNCTION("""COMPUTED_VALUE"""),15.0)</f>
        <v>15</v>
      </c>
      <c r="M499" s="4" t="str">
        <f>IFERROR(__xludf.DUMMYFUNCTION("""COMPUTED_VALUE"""),"Stone Co.")</f>
        <v>Stone Co.</v>
      </c>
      <c r="N499" s="33">
        <f>IFERROR(__xludf.DUMMYFUNCTION("""COMPUTED_VALUE"""),0.5333333333333333)</f>
        <v>0.5333333333</v>
      </c>
      <c r="O499" s="4" t="str">
        <f>IFERROR(__xludf.DUMMYFUNCTION("""COMPUTED_VALUE"""),"Stone Co.")</f>
        <v>Stone Co.</v>
      </c>
      <c r="P499" s="33">
        <f>IFERROR(__xludf.DUMMYFUNCTION("""COMPUTED_VALUE"""),0.5333333333333333)</f>
        <v>0.5333333333</v>
      </c>
      <c r="Q499" s="4" t="str">
        <f>IFERROR(__xludf.DUMMYFUNCTION("""COMPUTED_VALUE"""),"Stone Co.")</f>
        <v>Stone Co.</v>
      </c>
      <c r="R499" s="33">
        <f>IFERROR(__xludf.DUMMYFUNCTION("""COMPUTED_VALUE"""),0.4666666666666667)</f>
        <v>0.4666666667</v>
      </c>
      <c r="S499" s="4" t="str">
        <f>IFERROR(__xludf.DUMMYFUNCTION("""COMPUTED_VALUE"""),"Stone Co.")</f>
        <v>Stone Co.</v>
      </c>
      <c r="T499" s="33">
        <f>IFERROR(__xludf.DUMMYFUNCTION("""COMPUTED_VALUE"""),0.5333333333333333)</f>
        <v>0.5333333333</v>
      </c>
      <c r="U499" s="4" t="str">
        <f>IFERROR(__xludf.DUMMYFUNCTION("""COMPUTED_VALUE"""),"Stone Co.")</f>
        <v>Stone Co.</v>
      </c>
      <c r="V499" s="33">
        <f>IFERROR(__xludf.DUMMYFUNCTION("""COMPUTED_VALUE"""),0.5333333333333333)</f>
        <v>0.5333333333</v>
      </c>
      <c r="W499" s="4" t="str">
        <f>IFERROR(__xludf.DUMMYFUNCTION("""COMPUTED_VALUE"""),"Stone Co.")</f>
        <v>Stone Co.</v>
      </c>
      <c r="X499" s="33">
        <f>IFERROR(__xludf.DUMMYFUNCTION("""COMPUTED_VALUE"""),0.5333333333333333)</f>
        <v>0.5333333333</v>
      </c>
    </row>
    <row r="500">
      <c r="A500" s="4" t="str">
        <f>IFERROR(__xludf.DUMMYFUNCTION("""COMPUTED_VALUE"""),"Tentazione Pizzaria")</f>
        <v>Tentazione Pizzaria</v>
      </c>
      <c r="B500" s="4">
        <f>IFERROR(__xludf.DUMMYFUNCTION("""COMPUTED_VALUE"""),3.0)</f>
        <v>3</v>
      </c>
      <c r="C500" s="4" t="str">
        <f>IFERROR(__xludf.DUMMYFUNCTION("""COMPUTED_VALUE"""),"Dado não disponível publicamente - Necessário Discovery")</f>
        <v>Dado não disponível publicamente - Necessário Discovery</v>
      </c>
      <c r="D500" s="4" t="str">
        <f>IFERROR(__xludf.DUMMYFUNCTION("""COMPUTED_VALUE"""),"Pizzaria Local / Delivery + Salão (Maringá-PR)")</f>
        <v>Pizzaria Local / Delivery + Salão (Maringá-PR)</v>
      </c>
      <c r="E500" s="4" t="str">
        <f>IFERROR(__xludf.DUMMYFUNCTION("""COMPUTED_VALUE"""),"Maringá-PR (3 unidades: Cerro Azul, Pedro Taques, Avenida Herval)")</f>
        <v>Maringá-PR (3 unidades: Cerro Azul, Pedro Taques, Avenida Herval)</v>
      </c>
      <c r="F500" s="4" t="str">
        <f>IFERROR(__xludf.DUMMYFUNCTION("""COMPUTED_VALUE"""),"R$ 40-60")</f>
        <v>R$ 40-60</v>
      </c>
      <c r="G500" s="4">
        <f>IFERROR(__xludf.DUMMYFUNCTION("""COMPUTED_VALUE"""),30.0)</f>
        <v>30</v>
      </c>
      <c r="H500" s="31">
        <f>IFERROR(__xludf.DUMMYFUNCTION("""COMPUTED_VALUE"""),0.35)</f>
        <v>0.35</v>
      </c>
      <c r="I500" s="4" t="str">
        <f>IFERROR(__xludf.DUMMYFUNCTION("""COMPUTED_VALUE"""),"Pizzaria local Maringá 3 lojas. Escala baixa para E-DEPLOY completo. Aderência baixa-média.")</f>
        <v>Pizzaria local Maringá 3 lojas. Escala baixa para E-DEPLOY completo. Aderência baixa-média.</v>
      </c>
      <c r="K500" s="4" t="str">
        <f>IFERROR(__xludf.DUMMYFUNCTION("""COMPUTED_VALUE"""),"MANE")</f>
        <v>MANE</v>
      </c>
      <c r="L500" s="32">
        <f>IFERROR(__xludf.DUMMYFUNCTION("""COMPUTED_VALUE"""),15.0)</f>
        <v>15</v>
      </c>
      <c r="M500" s="4" t="str">
        <f>IFERROR(__xludf.DUMMYFUNCTION("""COMPUTED_VALUE"""),"Stone Co.")</f>
        <v>Stone Co.</v>
      </c>
      <c r="N500" s="33">
        <f>IFERROR(__xludf.DUMMYFUNCTION("""COMPUTED_VALUE"""),0.8666666666666667)</f>
        <v>0.8666666667</v>
      </c>
      <c r="O500" s="4" t="str">
        <f>IFERROR(__xludf.DUMMYFUNCTION("""COMPUTED_VALUE"""),"Stone Co.")</f>
        <v>Stone Co.</v>
      </c>
      <c r="P500" s="33">
        <f>IFERROR(__xludf.DUMMYFUNCTION("""COMPUTED_VALUE"""),0.9333333333333333)</f>
        <v>0.9333333333</v>
      </c>
      <c r="Q500" s="4" t="str">
        <f>IFERROR(__xludf.DUMMYFUNCTION("""COMPUTED_VALUE"""),"Stone Co.")</f>
        <v>Stone Co.</v>
      </c>
      <c r="R500" s="33">
        <f>IFERROR(__xludf.DUMMYFUNCTION("""COMPUTED_VALUE"""),1.0)</f>
        <v>1</v>
      </c>
      <c r="S500" s="4" t="str">
        <f>IFERROR(__xludf.DUMMYFUNCTION("""COMPUTED_VALUE"""),"Stone Co.")</f>
        <v>Stone Co.</v>
      </c>
      <c r="T500" s="33">
        <f>IFERROR(__xludf.DUMMYFUNCTION("""COMPUTED_VALUE"""),0.9333333333333333)</f>
        <v>0.9333333333</v>
      </c>
      <c r="U500" s="4" t="str">
        <f>IFERROR(__xludf.DUMMYFUNCTION("""COMPUTED_VALUE"""),"Stone Co.")</f>
        <v>Stone Co.</v>
      </c>
      <c r="V500" s="33">
        <f>IFERROR(__xludf.DUMMYFUNCTION("""COMPUTED_VALUE"""),0.9333333333333333)</f>
        <v>0.9333333333</v>
      </c>
      <c r="W500" s="4" t="str">
        <f>IFERROR(__xludf.DUMMYFUNCTION("""COMPUTED_VALUE"""),"Stone Co.")</f>
        <v>Stone Co.</v>
      </c>
      <c r="X500" s="33">
        <f>IFERROR(__xludf.DUMMYFUNCTION("""COMPUTED_VALUE"""),0.9333333333333333)</f>
        <v>0.9333333333</v>
      </c>
    </row>
    <row r="501">
      <c r="A501" s="4" t="str">
        <f>IFERROR(__xludf.DUMMYFUNCTION("""COMPUTED_VALUE"""),"The Black Beef")</f>
        <v>The Black Beef</v>
      </c>
      <c r="B501" s="4" t="str">
        <f>IFERROR(__xludf.DUMMYFUNCTION("""COMPUTED_VALUE"""),"50+")</f>
        <v>50+</v>
      </c>
      <c r="C501" s="4" t="str">
        <f>IFERROR(__xludf.DUMMYFUNCTION("""COMPUTED_VALUE"""),"Dado não disponível publicamente - Necessário Discovery")</f>
        <v>Dado não disponível publicamente - Necessário Discovery</v>
      </c>
      <c r="D501" s="4" t="str">
        <f>IFERROR(__xludf.DUMMYFUNCTION("""COMPUTED_VALUE"""),"Hamburgueria / Fast Casual (Nacional - mais de 50 unidades)")</f>
        <v>Hamburgueria / Fast Casual (Nacional - mais de 50 unidades)</v>
      </c>
      <c r="E501" s="4" t="str">
        <f>IFERROR(__xludf.DUMMYFUNCTION("""COMPUTED_VALUE"""),"Nacional (50+ unidades espalhadas pelo Brasil)")</f>
        <v>Nacional (50+ unidades espalhadas pelo Brasil)</v>
      </c>
      <c r="F501" s="4" t="str">
        <f>IFERROR(__xludf.DUMMYFUNCTION("""COMPUTED_VALUE"""),"R$ 45-70")</f>
        <v>R$ 45-70</v>
      </c>
      <c r="G501" s="4">
        <f>IFERROR(__xludf.DUMMYFUNCTION("""COMPUTED_VALUE"""),75.0)</f>
        <v>75</v>
      </c>
      <c r="H501" s="31">
        <f>IFERROR(__xludf.DUMMYFUNCTION("""COMPUTED_VALUE"""),0.8)</f>
        <v>0.8</v>
      </c>
      <c r="I501" s="4" t="str">
        <f>IFERROR(__xludf.DUMMYFUNCTION("""COMPUTED_VALUE"""),"Rede nacional 50+ lojas hamburgueria. Fast Casual: Kiosk customização burgers + E-DEPLOY 50 lojas. Alta aderência.")</f>
        <v>Rede nacional 50+ lojas hamburgueria. Fast Casual: Kiosk customização burgers + E-DEPLOY 50 lojas. Alta aderência.</v>
      </c>
      <c r="K501" s="4" t="str">
        <f>IFERROR(__xludf.DUMMYFUNCTION("""COMPUTED_VALUE"""),"MOKAI")</f>
        <v>MOKAI</v>
      </c>
      <c r="L501" s="32">
        <f>IFERROR(__xludf.DUMMYFUNCTION("""COMPUTED_VALUE"""),15.0)</f>
        <v>15</v>
      </c>
      <c r="M501" s="4" t="str">
        <f>IFERROR(__xludf.DUMMYFUNCTION("""COMPUTED_VALUE"""),"Saipos Serviços De Software")</f>
        <v>Saipos Serviços De Software</v>
      </c>
      <c r="N501" s="33">
        <f>IFERROR(__xludf.DUMMYFUNCTION("""COMPUTED_VALUE"""),1.0)</f>
        <v>1</v>
      </c>
      <c r="O501" s="4" t="str">
        <f>IFERROR(__xludf.DUMMYFUNCTION("""COMPUTED_VALUE"""),"Saipos Serviços De Software")</f>
        <v>Saipos Serviços De Software</v>
      </c>
      <c r="P501" s="33">
        <f>IFERROR(__xludf.DUMMYFUNCTION("""COMPUTED_VALUE"""),1.0)</f>
        <v>1</v>
      </c>
      <c r="Q501" s="4" t="str">
        <f>IFERROR(__xludf.DUMMYFUNCTION("""COMPUTED_VALUE"""),"Saipos Serviços De Software")</f>
        <v>Saipos Serviços De Software</v>
      </c>
      <c r="R501" s="33">
        <f>IFERROR(__xludf.DUMMYFUNCTION("""COMPUTED_VALUE"""),1.0)</f>
        <v>1</v>
      </c>
      <c r="S501" s="4" t="str">
        <f>IFERROR(__xludf.DUMMYFUNCTION("""COMPUTED_VALUE"""),"Saipos Serviços De Software")</f>
        <v>Saipos Serviços De Software</v>
      </c>
      <c r="T501" s="33">
        <f>IFERROR(__xludf.DUMMYFUNCTION("""COMPUTED_VALUE"""),1.0)</f>
        <v>1</v>
      </c>
      <c r="U501" s="4" t="str">
        <f>IFERROR(__xludf.DUMMYFUNCTION("""COMPUTED_VALUE"""),"Saipos Serviços De Software")</f>
        <v>Saipos Serviços De Software</v>
      </c>
      <c r="V501" s="33">
        <f>IFERROR(__xludf.DUMMYFUNCTION("""COMPUTED_VALUE"""),1.0)</f>
        <v>1</v>
      </c>
      <c r="W501" s="4" t="str">
        <f>IFERROR(__xludf.DUMMYFUNCTION("""COMPUTED_VALUE"""),"Saipos Serviços De Software")</f>
        <v>Saipos Serviços De Software</v>
      </c>
      <c r="X501" s="33">
        <f>IFERROR(__xludf.DUMMYFUNCTION("""COMPUTED_VALUE"""),1.0)</f>
        <v>1</v>
      </c>
    </row>
    <row r="502">
      <c r="A502" s="4" t="str">
        <f>IFERROR(__xludf.DUMMYFUNCTION("""COMPUTED_VALUE"""),"Tiobak")</f>
        <v>Tiobak</v>
      </c>
      <c r="B502" s="4">
        <f>IFERROR(__xludf.DUMMYFUNCTION("""COMPUTED_VALUE"""),16.0)</f>
        <v>16</v>
      </c>
      <c r="C502" s="4" t="str">
        <f>IFERROR(__xludf.DUMMYFUNCTION("""COMPUTED_VALUE"""),"Dado não disponível publicamente - Necessário Discovery (Dado 2021: 16 Goiás)")</f>
        <v>Dado não disponível publicamente - Necessário Discovery (Dado 2021: 16 Goiás)</v>
      </c>
      <c r="D502" s="4" t="str">
        <f>IFERROR(__xludf.DUMMYFUNCTION("""COMPUTED_VALUE"""),"QSR / Sanduíches e Lanches (Franquia regional Goiás)")</f>
        <v>QSR / Sanduíches e Lanches (Franquia regional Goiás)</v>
      </c>
      <c r="E502" s="4" t="str">
        <f>IFERROR(__xludf.DUMMYFUNCTION("""COMPUTED_VALUE"""),"Goiás (16 lojas pelo estado)")</f>
        <v>Goiás (16 lojas pelo estado)</v>
      </c>
      <c r="F502" s="4" t="str">
        <f>IFERROR(__xludf.DUMMYFUNCTION("""COMPUTED_VALUE"""),"R$ 25-40")</f>
        <v>R$ 25-40</v>
      </c>
      <c r="G502" s="4">
        <f>IFERROR(__xludf.DUMMYFUNCTION("""COMPUTED_VALUE"""),50.0)</f>
        <v>50</v>
      </c>
      <c r="H502" s="31">
        <f>IFERROR(__xludf.DUMMYFUNCTION("""COMPUTED_VALUE"""),0.55)</f>
        <v>0.55</v>
      </c>
      <c r="I502" s="4" t="str">
        <f>IFERROR(__xludf.DUMMYFUNCTION("""COMPUTED_VALUE"""),"Franquia regional Goiás 16 lojas. QSR lanchonete: Kiosk acelera pedidos + E-DEPLOY regional. Aderência média.")</f>
        <v>Franquia regional Goiás 16 lojas. QSR lanchonete: Kiosk acelera pedidos + E-DEPLOY regional. Aderência média.</v>
      </c>
      <c r="K502" s="4" t="str">
        <f>IFERROR(__xludf.DUMMYFUNCTION("""COMPUTED_VALUE"""),"O PAULISTINHA DELIVERY")</f>
        <v>O PAULISTINHA DELIVERY</v>
      </c>
      <c r="L502" s="32">
        <f>IFERROR(__xludf.DUMMYFUNCTION("""COMPUTED_VALUE"""),15.0)</f>
        <v>15</v>
      </c>
      <c r="M502" s="4" t="str">
        <f>IFERROR(__xludf.DUMMYFUNCTION("""COMPUTED_VALUE"""),"Saipos Serviços De Software")</f>
        <v>Saipos Serviços De Software</v>
      </c>
      <c r="N502" s="33">
        <f>IFERROR(__xludf.DUMMYFUNCTION("""COMPUTED_VALUE"""),0.5333333333333333)</f>
        <v>0.5333333333</v>
      </c>
      <c r="O502" s="4" t="str">
        <f>IFERROR(__xludf.DUMMYFUNCTION("""COMPUTED_VALUE"""),"Saipos Serviços De Software")</f>
        <v>Saipos Serviços De Software</v>
      </c>
      <c r="P502" s="33">
        <f>IFERROR(__xludf.DUMMYFUNCTION("""COMPUTED_VALUE"""),0.5333333333333333)</f>
        <v>0.5333333333</v>
      </c>
      <c r="Q502" s="4" t="str">
        <f>IFERROR(__xludf.DUMMYFUNCTION("""COMPUTED_VALUE"""),"Saipos Serviços De Software")</f>
        <v>Saipos Serviços De Software</v>
      </c>
      <c r="R502" s="33">
        <f>IFERROR(__xludf.DUMMYFUNCTION("""COMPUTED_VALUE"""),0.5333333333333333)</f>
        <v>0.5333333333</v>
      </c>
      <c r="S502" s="4" t="str">
        <f>IFERROR(__xludf.DUMMYFUNCTION("""COMPUTED_VALUE"""),"Saipos Serviços De Software")</f>
        <v>Saipos Serviços De Software</v>
      </c>
      <c r="T502" s="33">
        <f>IFERROR(__xludf.DUMMYFUNCTION("""COMPUTED_VALUE"""),0.5333333333333333)</f>
        <v>0.5333333333</v>
      </c>
      <c r="U502" s="4" t="str">
        <f>IFERROR(__xludf.DUMMYFUNCTION("""COMPUTED_VALUE"""),"Saipos Serviços De Software")</f>
        <v>Saipos Serviços De Software</v>
      </c>
      <c r="V502" s="33">
        <f>IFERROR(__xludf.DUMMYFUNCTION("""COMPUTED_VALUE"""),0.5333333333333333)</f>
        <v>0.5333333333</v>
      </c>
      <c r="W502" s="4" t="str">
        <f>IFERROR(__xludf.DUMMYFUNCTION("""COMPUTED_VALUE"""),"Saipos Serviços De Software")</f>
        <v>Saipos Serviços De Software</v>
      </c>
      <c r="X502" s="33">
        <f>IFERROR(__xludf.DUMMYFUNCTION("""COMPUTED_VALUE"""),0.5333333333333333)</f>
        <v>0.5333333333</v>
      </c>
    </row>
    <row r="503">
      <c r="A503" s="4" t="str">
        <f>IFERROR(__xludf.DUMMYFUNCTION("""COMPUTED_VALUE"""),"Tortelli")</f>
        <v>Tortelli</v>
      </c>
      <c r="B503" s="4">
        <f>IFERROR(__xludf.DUMMYFUNCTION("""COMPUTED_VALUE"""),3.0)</f>
        <v>3</v>
      </c>
      <c r="C503" s="4" t="str">
        <f>IFERROR(__xludf.DUMMYFUNCTION("""COMPUTED_VALUE"""),"Dado não disponível publicamente - Necessário Discovery")</f>
        <v>Dado não disponível publicamente - Necessário Discovery</v>
      </c>
      <c r="D503" s="4" t="str">
        <f>IFERROR(__xludf.DUMMYFUNCTION("""COMPUTED_VALUE"""),"Pizzaria / Delivery (Curitiba e Colombo PR)")</f>
        <v>Pizzaria / Delivery (Curitiba e Colombo PR)</v>
      </c>
      <c r="E503" s="4" t="str">
        <f>IFERROR(__xludf.DUMMYFUNCTION("""COMPUTED_VALUE"""),"Paraná (Curitiba 2 lojas + Colombo 1 loja)")</f>
        <v>Paraná (Curitiba 2 lojas + Colombo 1 loja)</v>
      </c>
      <c r="F503" s="4" t="str">
        <f>IFERROR(__xludf.DUMMYFUNCTION("""COMPUTED_VALUE"""),"R$ 40-60")</f>
        <v>R$ 40-60</v>
      </c>
      <c r="G503" s="4">
        <f>IFERROR(__xludf.DUMMYFUNCTION("""COMPUTED_VALUE"""),30.0)</f>
        <v>30</v>
      </c>
      <c r="H503" s="31">
        <f>IFERROR(__xludf.DUMMYFUNCTION("""COMPUTED_VALUE"""),0.35)</f>
        <v>0.35</v>
      </c>
      <c r="I503" s="4" t="str">
        <f>IFERROR(__xludf.DUMMYFUNCTION("""COMPUTED_VALUE"""),"Pizzaria local PR 3 lojas. Escala baixa para E-DEPLOY. Aderência baixa-média.")</f>
        <v>Pizzaria local PR 3 lojas. Escala baixa para E-DEPLOY. Aderência baixa-média.</v>
      </c>
      <c r="K503" s="4" t="str">
        <f>IFERROR(__xludf.DUMMYFUNCTION("""COMPUTED_VALUE"""),"OHANA SUSHI - GRUPO")</f>
        <v>OHANA SUSHI - GRUPO</v>
      </c>
      <c r="L503" s="32">
        <f>IFERROR(__xludf.DUMMYFUNCTION("""COMPUTED_VALUE"""),15.0)</f>
        <v>15</v>
      </c>
      <c r="M503" s="4" t="str">
        <f>IFERROR(__xludf.DUMMYFUNCTION("""COMPUTED_VALUE"""),"Noah Sistemas Ltda")</f>
        <v>Noah Sistemas Ltda</v>
      </c>
      <c r="N503" s="33">
        <f>IFERROR(__xludf.DUMMYFUNCTION("""COMPUTED_VALUE"""),0.6666666666666666)</f>
        <v>0.6666666667</v>
      </c>
      <c r="O503" s="4" t="str">
        <f>IFERROR(__xludf.DUMMYFUNCTION("""COMPUTED_VALUE"""),"Noah Sistemas Ltda")</f>
        <v>Noah Sistemas Ltda</v>
      </c>
      <c r="P503" s="33">
        <f>IFERROR(__xludf.DUMMYFUNCTION("""COMPUTED_VALUE"""),0.5333333333333333)</f>
        <v>0.5333333333</v>
      </c>
      <c r="Q503" s="4" t="str">
        <f>IFERROR(__xludf.DUMMYFUNCTION("""COMPUTED_VALUE"""),"Noah Sistemas Ltda")</f>
        <v>Noah Sistemas Ltda</v>
      </c>
      <c r="R503" s="33">
        <f>IFERROR(__xludf.DUMMYFUNCTION("""COMPUTED_VALUE"""),0.6)</f>
        <v>0.6</v>
      </c>
      <c r="S503" s="4" t="str">
        <f>IFERROR(__xludf.DUMMYFUNCTION("""COMPUTED_VALUE"""),"Noah Sistemas Ltda")</f>
        <v>Noah Sistemas Ltda</v>
      </c>
      <c r="T503" s="33">
        <f>IFERROR(__xludf.DUMMYFUNCTION("""COMPUTED_VALUE"""),0.6666666666666666)</f>
        <v>0.6666666667</v>
      </c>
      <c r="U503" s="4" t="str">
        <f>IFERROR(__xludf.DUMMYFUNCTION("""COMPUTED_VALUE"""),"Noah Sistemas Ltda")</f>
        <v>Noah Sistemas Ltda</v>
      </c>
      <c r="V503" s="33">
        <f>IFERROR(__xludf.DUMMYFUNCTION("""COMPUTED_VALUE"""),1.0)</f>
        <v>1</v>
      </c>
      <c r="W503" s="4" t="str">
        <f>IFERROR(__xludf.DUMMYFUNCTION("""COMPUTED_VALUE"""),"Noah Sistemas Ltda")</f>
        <v>Noah Sistemas Ltda</v>
      </c>
      <c r="X503" s="33">
        <f>IFERROR(__xludf.DUMMYFUNCTION("""COMPUTED_VALUE"""),0.9333333333333333)</f>
        <v>0.9333333333</v>
      </c>
    </row>
    <row r="504">
      <c r="A504" s="4" t="str">
        <f>IFERROR(__xludf.DUMMYFUNCTION("""COMPUTED_VALUE"""),"Torteria")</f>
        <v>Torteria</v>
      </c>
      <c r="B504" s="4">
        <f>IFERROR(__xludf.DUMMYFUNCTION("""COMPUTED_VALUE"""),4.0)</f>
        <v>4</v>
      </c>
      <c r="C504" s="4" t="str">
        <f>IFERROR(__xludf.DUMMYFUNCTION("""COMPUTED_VALUE"""),"Dado não disponível publicamente - Necessário Discovery")</f>
        <v>Dado não disponível publicamente - Necessário Discovery</v>
      </c>
      <c r="D504" s="4" t="str">
        <f>IFERROR(__xludf.DUMMYFUNCTION("""COMPUTED_VALUE"""),"Confeitaria / Tortas Quiches Sobremesas (São Paulo - Pinheiros, Higienópolis, Morumbi, Itaim)")</f>
        <v>Confeitaria / Tortas Quiches Sobremesas (São Paulo - Pinheiros, Higienópolis, Morumbi, Itaim)</v>
      </c>
      <c r="E504" s="4" t="str">
        <f>IFERROR(__xludf.DUMMYFUNCTION("""COMPUTED_VALUE"""),"São Paulo (4 unidades em bairros nobres)")</f>
        <v>São Paulo (4 unidades em bairros nobres)</v>
      </c>
      <c r="F504" s="4" t="str">
        <f>IFERROR(__xludf.DUMMYFUNCTION("""COMPUTED_VALUE"""),"R$ 35-60")</f>
        <v>R$ 35-60</v>
      </c>
      <c r="G504" s="4">
        <f>IFERROR(__xludf.DUMMYFUNCTION("""COMPUTED_VALUE"""),35.0)</f>
        <v>35</v>
      </c>
      <c r="H504" s="31">
        <f>IFERROR(__xludf.DUMMYFUNCTION("""COMPUTED_VALUE"""),0.4)</f>
        <v>0.4</v>
      </c>
      <c r="I504" s="4" t="str">
        <f>IFERROR(__xludf.DUMMYFUNCTION("""COMPUTED_VALUE"""),"Confeitaria premium SP 4 lojas. Perfil artesanal tortas/quiches. Aderência média-baixa.")</f>
        <v>Confeitaria premium SP 4 lojas. Perfil artesanal tortas/quiches. Aderência média-baixa.</v>
      </c>
      <c r="K504" s="4" t="str">
        <f>IFERROR(__xludf.DUMMYFUNCTION("""COMPUTED_VALUE"""),"SINETE - CONTA PAI")</f>
        <v>SINETE - CONTA PAI</v>
      </c>
      <c r="L504" s="32">
        <f>IFERROR(__xludf.DUMMYFUNCTION("""COMPUTED_VALUE"""),15.0)</f>
        <v>15</v>
      </c>
      <c r="M504" s="4" t="str">
        <f>IFERROR(__xludf.DUMMYFUNCTION("""COMPUTED_VALUE"""),"N/A (Not found)")</f>
        <v>N/A (Not found)</v>
      </c>
      <c r="N504" s="33">
        <f>IFERROR(__xludf.DUMMYFUNCTION("""COMPUTED_VALUE"""),1.0)</f>
        <v>1</v>
      </c>
      <c r="O504" s="4" t="str">
        <f>IFERROR(__xludf.DUMMYFUNCTION("""COMPUTED_VALUE"""),"N/A (Not found)")</f>
        <v>N/A (Not found)</v>
      </c>
      <c r="P504" s="33">
        <f>IFERROR(__xludf.DUMMYFUNCTION("""COMPUTED_VALUE"""),1.0)</f>
        <v>1</v>
      </c>
      <c r="Q504" s="4" t="str">
        <f>IFERROR(__xludf.DUMMYFUNCTION("""COMPUTED_VALUE"""),"N/A (Not found)")</f>
        <v>N/A (Not found)</v>
      </c>
      <c r="R504" s="33">
        <f>IFERROR(__xludf.DUMMYFUNCTION("""COMPUTED_VALUE"""),1.0)</f>
        <v>1</v>
      </c>
      <c r="S504" s="4" t="str">
        <f>IFERROR(__xludf.DUMMYFUNCTION("""COMPUTED_VALUE"""),"N/A (Not found)")</f>
        <v>N/A (Not found)</v>
      </c>
      <c r="T504" s="33">
        <f>IFERROR(__xludf.DUMMYFUNCTION("""COMPUTED_VALUE"""),1.0)</f>
        <v>1</v>
      </c>
      <c r="U504" s="4" t="str">
        <f>IFERROR(__xludf.DUMMYFUNCTION("""COMPUTED_VALUE"""),"N/A (Not found)")</f>
        <v>N/A (Not found)</v>
      </c>
      <c r="V504" s="33">
        <f>IFERROR(__xludf.DUMMYFUNCTION("""COMPUTED_VALUE"""),1.0)</f>
        <v>1</v>
      </c>
      <c r="W504" s="4" t="str">
        <f>IFERROR(__xludf.DUMMYFUNCTION("""COMPUTED_VALUE"""),"N/A (Not found)")</f>
        <v>N/A (Not found)</v>
      </c>
      <c r="X504" s="33">
        <f>IFERROR(__xludf.DUMMYFUNCTION("""COMPUTED_VALUE"""),1.0)</f>
        <v>1</v>
      </c>
    </row>
    <row r="505">
      <c r="A505" s="4" t="str">
        <f>IFERROR(__xludf.DUMMYFUNCTION("""COMPUTED_VALUE"""),"Tragga")</f>
        <v>Tragga</v>
      </c>
      <c r="B505" s="4">
        <f>IFERROR(__xludf.DUMMYFUNCTION("""COMPUTED_VALUE"""),3.0)</f>
        <v>3</v>
      </c>
      <c r="C505" s="4" t="str">
        <f>IFERROR(__xludf.DUMMYFUNCTION("""COMPUTED_VALUE"""),"Dado não disponível publicamente - Necessário Discovery (Grupo Tragga multi-marcas)")</f>
        <v>Dado não disponível publicamente - Necessário Discovery (Grupo Tragga multi-marcas)</v>
      </c>
      <c r="D505" s="4" t="str">
        <f>IFERROR(__xludf.DUMMYFUNCTION("""COMPUTED_VALUE"""),"Table Service Premium / Grelhados (Rio de Janeiro - Humaitá, Barra, 3ª unidade)")</f>
        <v>Table Service Premium / Grelhados (Rio de Janeiro - Humaitá, Barra, 3ª unidade)</v>
      </c>
      <c r="E505" s="4" t="str">
        <f>IFERROR(__xludf.DUMMYFUNCTION("""COMPUTED_VALUE"""),"Rio de Janeiro (3 unidades - Grupo tem outras marcas)")</f>
        <v>Rio de Janeiro (3 unidades - Grupo tem outras marcas)</v>
      </c>
      <c r="F505" s="4" t="str">
        <f>IFERROR(__xludf.DUMMYFUNCTION("""COMPUTED_VALUE"""),"R$ 80-130")</f>
        <v>R$ 80-130</v>
      </c>
      <c r="G505" s="4">
        <f>IFERROR(__xludf.DUMMYFUNCTION("""COMPUTED_VALUE"""),35.0)</f>
        <v>35</v>
      </c>
      <c r="H505" s="31">
        <f>IFERROR(__xludf.DUMMYFUNCTION("""COMPUTED_VALUE"""),0.4)</f>
        <v>0.4</v>
      </c>
      <c r="I505" s="4" t="str">
        <f>IFERROR(__xludf.DUMMYFUNCTION("""COMPUTED_VALUE"""),"Grelhados premium RJ 3 lojas. Table Service sofisticado. Aderência média-baixa. Grupo pode ter outras marcas relevantes.")</f>
        <v>Grelhados premium RJ 3 lojas. Table Service sofisticado. Aderência média-baixa. Grupo pode ter outras marcas relevantes.</v>
      </c>
      <c r="K505" s="4" t="str">
        <f>IFERROR(__xludf.DUMMYFUNCTION("""COMPUTED_VALUE"""),"SUSHI DELIVERY INKASA")</f>
        <v>SUSHI DELIVERY INKASA</v>
      </c>
      <c r="L505" s="32">
        <f>IFERROR(__xludf.DUMMYFUNCTION("""COMPUTED_VALUE"""),15.0)</f>
        <v>15</v>
      </c>
      <c r="M505" s="4" t="str">
        <f>IFERROR(__xludf.DUMMYFUNCTION("""COMPUTED_VALUE"""),"Ncr")</f>
        <v>Ncr</v>
      </c>
      <c r="N505" s="33">
        <f>IFERROR(__xludf.DUMMYFUNCTION("""COMPUTED_VALUE"""),0.5333333333333333)</f>
        <v>0.5333333333</v>
      </c>
      <c r="O505" s="4" t="str">
        <f>IFERROR(__xludf.DUMMYFUNCTION("""COMPUTED_VALUE"""),"Ncr")</f>
        <v>Ncr</v>
      </c>
      <c r="P505" s="33">
        <f>IFERROR(__xludf.DUMMYFUNCTION("""COMPUTED_VALUE"""),0.5333333333333333)</f>
        <v>0.5333333333</v>
      </c>
      <c r="Q505" s="4" t="str">
        <f>IFERROR(__xludf.DUMMYFUNCTION("""COMPUTED_VALUE"""),"Ncr")</f>
        <v>Ncr</v>
      </c>
      <c r="R505" s="33">
        <f>IFERROR(__xludf.DUMMYFUNCTION("""COMPUTED_VALUE"""),0.5333333333333333)</f>
        <v>0.5333333333</v>
      </c>
      <c r="S505" s="4" t="str">
        <f>IFERROR(__xludf.DUMMYFUNCTION("""COMPUTED_VALUE"""),"Ncr")</f>
        <v>Ncr</v>
      </c>
      <c r="T505" s="33">
        <f>IFERROR(__xludf.DUMMYFUNCTION("""COMPUTED_VALUE"""),0.6)</f>
        <v>0.6</v>
      </c>
      <c r="U505" s="4" t="str">
        <f>IFERROR(__xludf.DUMMYFUNCTION("""COMPUTED_VALUE"""),"Ncr")</f>
        <v>Ncr</v>
      </c>
      <c r="V505" s="33">
        <f>IFERROR(__xludf.DUMMYFUNCTION("""COMPUTED_VALUE"""),0.5333333333333333)</f>
        <v>0.5333333333</v>
      </c>
      <c r="W505" s="4" t="str">
        <f>IFERROR(__xludf.DUMMYFUNCTION("""COMPUTED_VALUE"""),"Ncr")</f>
        <v>Ncr</v>
      </c>
      <c r="X505" s="33">
        <f>IFERROR(__xludf.DUMMYFUNCTION("""COMPUTED_VALUE"""),0.6)</f>
        <v>0.6</v>
      </c>
    </row>
    <row r="506">
      <c r="A506" s="4" t="str">
        <f>IFERROR(__xludf.DUMMYFUNCTION("""COMPUTED_VALUE"""),"Trattoria De Origem")</f>
        <v>Trattoria De Origem</v>
      </c>
      <c r="B506" s="4">
        <f>IFERROR(__xludf.DUMMYFUNCTION("""COMPUTED_VALUE"""),2.0)</f>
        <v>2</v>
      </c>
      <c r="C506" s="4" t="str">
        <f>IFERROR(__xludf.DUMMYFUNCTION("""COMPUTED_VALUE"""),"Dado não disponível publicamente - Necessário Discovery")</f>
        <v>Dado não disponível publicamente - Necessário Discovery</v>
      </c>
      <c r="D506" s="4" t="str">
        <f>IFERROR(__xludf.DUMMYFUNCTION("""COMPUTED_VALUE"""),"Table Service / Italiana (Paraíba - João Pessoa e Campina Grande)")</f>
        <v>Table Service / Italiana (Paraíba - João Pessoa e Campina Grande)</v>
      </c>
      <c r="E506" s="4" t="str">
        <f>IFERROR(__xludf.DUMMYFUNCTION("""COMPUTED_VALUE"""),"Paraíba (João Pessoa + Campina Grande Shopping Partage)")</f>
        <v>Paraíba (João Pessoa + Campina Grande Shopping Partage)</v>
      </c>
      <c r="F506" s="4" t="str">
        <f>IFERROR(__xludf.DUMMYFUNCTION("""COMPUTED_VALUE"""),"R$ 60-90")</f>
        <v>R$ 60-90</v>
      </c>
      <c r="G506" s="4">
        <f>IFERROR(__xludf.DUMMYFUNCTION("""COMPUTED_VALUE"""),25.0)</f>
        <v>25</v>
      </c>
      <c r="H506" s="31">
        <f>IFERROR(__xludf.DUMMYFUNCTION("""COMPUTED_VALUE"""),0.3)</f>
        <v>0.3</v>
      </c>
      <c r="I506" s="4" t="str">
        <f>IFERROR(__xludf.DUMMYFUNCTION("""COMPUTED_VALUE"""),"Italiana tradicional PB 2 lojas. Table Service. Sem aderência significativa para E-DEPLOY.")</f>
        <v>Italiana tradicional PB 2 lojas. Table Service. Sem aderência significativa para E-DEPLOY.</v>
      </c>
      <c r="K506" s="4" t="str">
        <f>IFERROR(__xludf.DUMMYFUNCTION("""COMPUTED_VALUE"""),"TENTAZIONE PIZZARIA")</f>
        <v>TENTAZIONE PIZZARIA</v>
      </c>
      <c r="L506" s="32">
        <f>IFERROR(__xludf.DUMMYFUNCTION("""COMPUTED_VALUE"""),15.0)</f>
        <v>15</v>
      </c>
      <c r="M506" s="4" t="str">
        <f>IFERROR(__xludf.DUMMYFUNCTION("""COMPUTED_VALUE"""),"null")</f>
        <v>null</v>
      </c>
      <c r="N506" s="33">
        <f>IFERROR(__xludf.DUMMYFUNCTION("""COMPUTED_VALUE"""),0.6666666666666666)</f>
        <v>0.6666666667</v>
      </c>
      <c r="O506" s="4" t="str">
        <f>IFERROR(__xludf.DUMMYFUNCTION("""COMPUTED_VALUE"""),"null")</f>
        <v>null</v>
      </c>
      <c r="P506" s="33">
        <f>IFERROR(__xludf.DUMMYFUNCTION("""COMPUTED_VALUE"""),0.5333333333333333)</f>
        <v>0.5333333333</v>
      </c>
      <c r="Q506" s="4" t="str">
        <f>IFERROR(__xludf.DUMMYFUNCTION("""COMPUTED_VALUE"""),"Sagres Automação Comercial")</f>
        <v>Sagres Automação Comercial</v>
      </c>
      <c r="R506" s="33">
        <f>IFERROR(__xludf.DUMMYFUNCTION("""COMPUTED_VALUE"""),0.5333333333333333)</f>
        <v>0.5333333333</v>
      </c>
      <c r="S506" s="4" t="str">
        <f>IFERROR(__xludf.DUMMYFUNCTION("""COMPUTED_VALUE"""),"null")</f>
        <v>null</v>
      </c>
      <c r="T506" s="33">
        <f>IFERROR(__xludf.DUMMYFUNCTION("""COMPUTED_VALUE"""),0.7333333333333333)</f>
        <v>0.7333333333</v>
      </c>
      <c r="U506" s="4" t="str">
        <f>IFERROR(__xludf.DUMMYFUNCTION("""COMPUTED_VALUE"""),"null")</f>
        <v>null</v>
      </c>
      <c r="V506" s="33">
        <f>IFERROR(__xludf.DUMMYFUNCTION("""COMPUTED_VALUE"""),0.8666666666666667)</f>
        <v>0.8666666667</v>
      </c>
      <c r="W506" s="4" t="str">
        <f>IFERROR(__xludf.DUMMYFUNCTION("""COMPUTED_VALUE"""),"null")</f>
        <v>null</v>
      </c>
      <c r="X506" s="33">
        <f>IFERROR(__xludf.DUMMYFUNCTION("""COMPUTED_VALUE"""),0.6666666666666666)</f>
        <v>0.6666666667</v>
      </c>
    </row>
    <row r="507">
      <c r="A507" s="4" t="str">
        <f>IFERROR(__xludf.DUMMYFUNCTION("""COMPUTED_VALUE"""),"Tropical Banana")</f>
        <v>Tropical Banana</v>
      </c>
      <c r="B507" s="4">
        <f>IFERROR(__xludf.DUMMYFUNCTION("""COMPUTED_VALUE"""),13.0)</f>
        <v>13</v>
      </c>
      <c r="C507" s="4" t="str">
        <f>IFERROR(__xludf.DUMMYFUNCTION("""COMPUTED_VALUE"""),"Dado não disponível publicamente - Necessário Discovery")</f>
        <v>Dado não disponível publicamente - Necessário Discovery</v>
      </c>
      <c r="D507" s="4" t="str">
        <f>IFERROR(__xludf.DUMMYFUNCTION("""COMPUTED_VALUE"""),"QSR / Açaí e Sucos (13 lojas em operação)")</f>
        <v>QSR / Açaí e Sucos (13 lojas em operação)</v>
      </c>
      <c r="E507" s="4" t="str">
        <f>IFERROR(__xludf.DUMMYFUNCTION("""COMPUTED_VALUE"""),"Brasil (13 lojas - estados não especificados publicamente)")</f>
        <v>Brasil (13 lojas - estados não especificados publicamente)</v>
      </c>
      <c r="F507" s="4" t="str">
        <f>IFERROR(__xludf.DUMMYFUNCTION("""COMPUTED_VALUE"""),"R$ 15-30")</f>
        <v>R$ 15-30</v>
      </c>
      <c r="G507" s="4">
        <f>IFERROR(__xludf.DUMMYFUNCTION("""COMPUTED_VALUE"""),55.0)</f>
        <v>55</v>
      </c>
      <c r="H507" s="31">
        <f>IFERROR(__xludf.DUMMYFUNCTION("""COMPUTED_VALUE"""),0.6)</f>
        <v>0.6</v>
      </c>
      <c r="I507" s="4" t="str">
        <f>IFERROR(__xludf.DUMMYFUNCTION("""COMPUTED_VALUE"""),"Rede açaí/sucos 13 lojas. QSR customização = Kiosk fit + E-DEPLOY. Aderência média-alta.")</f>
        <v>Rede açaí/sucos 13 lojas. QSR customização = Kiosk fit + E-DEPLOY. Aderência média-alta.</v>
      </c>
      <c r="K507" s="4" t="str">
        <f>IFERROR(__xludf.DUMMYFUNCTION("""COMPUTED_VALUE"""),"THE FAMOUS")</f>
        <v>THE FAMOUS</v>
      </c>
      <c r="L507" s="32">
        <f>IFERROR(__xludf.DUMMYFUNCTION("""COMPUTED_VALUE"""),15.0)</f>
        <v>15</v>
      </c>
      <c r="M507" s="4" t="str">
        <f>IFERROR(__xludf.DUMMYFUNCTION("""COMPUTED_VALUE"""),"Vuca Solution")</f>
        <v>Vuca Solution</v>
      </c>
      <c r="N507" s="33">
        <f>IFERROR(__xludf.DUMMYFUNCTION("""COMPUTED_VALUE"""),0.8)</f>
        <v>0.8</v>
      </c>
      <c r="O507" s="4" t="str">
        <f>IFERROR(__xludf.DUMMYFUNCTION("""COMPUTED_VALUE"""),"null")</f>
        <v>null</v>
      </c>
      <c r="P507" s="33">
        <f>IFERROR(__xludf.DUMMYFUNCTION("""COMPUTED_VALUE"""),0.4666666666666667)</f>
        <v>0.4666666667</v>
      </c>
      <c r="Q507" s="4" t="str">
        <f>IFERROR(__xludf.DUMMYFUNCTION("""COMPUTED_VALUE"""),"Saipos Serviços De Software")</f>
        <v>Saipos Serviços De Software</v>
      </c>
      <c r="R507" s="33">
        <f>IFERROR(__xludf.DUMMYFUNCTION("""COMPUTED_VALUE"""),0.7333333333333333)</f>
        <v>0.7333333333</v>
      </c>
      <c r="S507" s="4" t="str">
        <f>IFERROR(__xludf.DUMMYFUNCTION("""COMPUTED_VALUE"""),"Saipos Serviços De Software")</f>
        <v>Saipos Serviços De Software</v>
      </c>
      <c r="T507" s="33">
        <f>IFERROR(__xludf.DUMMYFUNCTION("""COMPUTED_VALUE"""),0.5333333333333333)</f>
        <v>0.5333333333</v>
      </c>
      <c r="U507" s="4" t="str">
        <f>IFERROR(__xludf.DUMMYFUNCTION("""COMPUTED_VALUE"""),"Saipos Serviços De Software")</f>
        <v>Saipos Serviços De Software</v>
      </c>
      <c r="V507" s="33">
        <f>IFERROR(__xludf.DUMMYFUNCTION("""COMPUTED_VALUE"""),0.7333333333333333)</f>
        <v>0.7333333333</v>
      </c>
      <c r="W507" s="4" t="str">
        <f>IFERROR(__xludf.DUMMYFUNCTION("""COMPUTED_VALUE"""),"Saipos Serviços De Software")</f>
        <v>Saipos Serviços De Software</v>
      </c>
      <c r="X507" s="33">
        <f>IFERROR(__xludf.DUMMYFUNCTION("""COMPUTED_VALUE"""),0.6666666666666666)</f>
        <v>0.6666666667</v>
      </c>
    </row>
    <row r="508">
      <c r="A508" s="4" t="str">
        <f>IFERROR(__xludf.DUMMYFUNCTION("""COMPUTED_VALUE"""),"T.T. Burger (Thomas Troisgros)")</f>
        <v>T.T. Burger (Thomas Troisgros)</v>
      </c>
      <c r="B508" s="4">
        <f>IFERROR(__xludf.DUMMYFUNCTION("""COMPUTED_VALUE"""),18.0)</f>
        <v>18</v>
      </c>
      <c r="C508" s="4" t="str">
        <f>IFERROR(__xludf.DUMMYFUNCTION("""COMPUTED_VALUE"""),"Dado não disponível publicamente - Necessário Discovery (Filho Claude Troisgros)")</f>
        <v>Dado não disponível publicamente - Necessário Discovery (Filho Claude Troisgros)</v>
      </c>
      <c r="D508" s="4" t="str">
        <f>IFERROR(__xludf.DUMMYFUNCTION("""COMPUTED_VALUE"""),"Hamburgueria Premium / Fast Casual (RJ + SP + BH + outras)")</f>
        <v>Hamburgueria Premium / Fast Casual (RJ + SP + BH + outras)</v>
      </c>
      <c r="E508" s="4" t="str">
        <f>IFERROR(__xludf.DUMMYFUNCTION("""COMPUTED_VALUE"""),"Multi-regional (RJ 7, SP 6, BH 2, GO, ES, DF, PR - expansão 2026)")</f>
        <v>Multi-regional (RJ 7, SP 6, BH 2, GO, ES, DF, PR - expansão 2026)</v>
      </c>
      <c r="F508" s="4" t="str">
        <f>IFERROR(__xludf.DUMMYFUNCTION("""COMPUTED_VALUE"""),"R$ 50-80")</f>
        <v>R$ 50-80</v>
      </c>
      <c r="G508" s="4">
        <f>IFERROR(__xludf.DUMMYFUNCTION("""COMPUTED_VALUE"""),65.0)</f>
        <v>65</v>
      </c>
      <c r="H508" s="31">
        <f>IFERROR(__xludf.DUMMYFUNCTION("""COMPUTED_VALUE"""),0.7)</f>
        <v>0.7</v>
      </c>
      <c r="I508" s="4" t="str">
        <f>IFERROR(__xludf.DUMMYFUNCTION("""COMPUTED_VALUE"""),"Rede premium 18 lojas em expansão (Campinas, Nova Lima 2026). Nome Troisgros + Fast Casual: Kiosk + E-DEPLOY. Alta aderência.")</f>
        <v>Rede premium 18 lojas em expansão (Campinas, Nova Lima 2026). Nome Troisgros + Fast Casual: Kiosk + E-DEPLOY. Alta aderência.</v>
      </c>
      <c r="K508" s="4" t="str">
        <f>IFERROR(__xludf.DUMMYFUNCTION("""COMPUTED_VALUE"""),"UFFA EXPRESS")</f>
        <v>UFFA EXPRESS</v>
      </c>
      <c r="L508" s="32">
        <f>IFERROR(__xludf.DUMMYFUNCTION("""COMPUTED_VALUE"""),15.0)</f>
        <v>15</v>
      </c>
      <c r="M508" s="4" t="str">
        <f>IFERROR(__xludf.DUMMYFUNCTION("""COMPUTED_VALUE"""),"N/A (Not found)")</f>
        <v>N/A (Not found)</v>
      </c>
      <c r="N508" s="33">
        <f>IFERROR(__xludf.DUMMYFUNCTION("""COMPUTED_VALUE"""),0.6666666666666666)</f>
        <v>0.6666666667</v>
      </c>
      <c r="O508" s="4" t="str">
        <f>IFERROR(__xludf.DUMMYFUNCTION("""COMPUTED_VALUE"""),"N/A (Not found)")</f>
        <v>N/A (Not found)</v>
      </c>
      <c r="P508" s="33">
        <f>IFERROR(__xludf.DUMMYFUNCTION("""COMPUTED_VALUE"""),0.6)</f>
        <v>0.6</v>
      </c>
      <c r="Q508" s="4" t="str">
        <f>IFERROR(__xludf.DUMMYFUNCTION("""COMPUTED_VALUE"""),"N/A (Not found)")</f>
        <v>N/A (Not found)</v>
      </c>
      <c r="R508" s="33">
        <f>IFERROR(__xludf.DUMMYFUNCTION("""COMPUTED_VALUE"""),0.6)</f>
        <v>0.6</v>
      </c>
      <c r="S508" s="4" t="str">
        <f>IFERROR(__xludf.DUMMYFUNCTION("""COMPUTED_VALUE"""),"N/A (Not found)")</f>
        <v>N/A (Not found)</v>
      </c>
      <c r="T508" s="33">
        <f>IFERROR(__xludf.DUMMYFUNCTION("""COMPUTED_VALUE"""),0.6)</f>
        <v>0.6</v>
      </c>
      <c r="U508" s="4" t="str">
        <f>IFERROR(__xludf.DUMMYFUNCTION("""COMPUTED_VALUE"""),"N/A (Not found)")</f>
        <v>N/A (Not found)</v>
      </c>
      <c r="V508" s="33">
        <f>IFERROR(__xludf.DUMMYFUNCTION("""COMPUTED_VALUE"""),0.6666666666666666)</f>
        <v>0.6666666667</v>
      </c>
      <c r="W508" s="4" t="str">
        <f>IFERROR(__xludf.DUMMYFUNCTION("""COMPUTED_VALUE"""),"N/A (Not found)")</f>
        <v>N/A (Not found)</v>
      </c>
      <c r="X508" s="33">
        <f>IFERROR(__xludf.DUMMYFUNCTION("""COMPUTED_VALUE"""),0.9333333333333333)</f>
        <v>0.9333333333</v>
      </c>
    </row>
    <row r="509">
      <c r="A509" s="4" t="str">
        <f>IFERROR(__xludf.DUMMYFUNCTION("""COMPUTED_VALUE"""),"Uata?!")</f>
        <v>Uata?!</v>
      </c>
      <c r="B509" s="4" t="str">
        <f>IFERROR(__xludf.DUMMYFUNCTION("""COMPUTED_VALUE"""),"Não identificado")</f>
        <v>Não identificado</v>
      </c>
      <c r="C509" s="4" t="str">
        <f>IFERROR(__xludf.DUMMYFUNCTION("""COMPUTED_VALUE"""),"Dado não disponível publicamente - Necessário Discovery")</f>
        <v>Dado não disponível publicamente - Necessário Discovery</v>
      </c>
      <c r="D509" s="4" t="str">
        <f>IFERROR(__xludf.DUMMYFUNCTION("""COMPUTED_VALUE"""),"Não identificado em fontes públicas")</f>
        <v>Não identificado em fontes públicas</v>
      </c>
      <c r="E509" s="4" t="str">
        <f>IFERROR(__xludf.DUMMYFUNCTION("""COMPUTED_VALUE"""),"Não identificado")</f>
        <v>Não identificado</v>
      </c>
      <c r="F509" s="4" t="str">
        <f>IFERROR(__xludf.DUMMYFUNCTION("""COMPUTED_VALUE"""),"Não identificado")</f>
        <v>Não identificado</v>
      </c>
      <c r="G509" s="4">
        <f>IFERROR(__xludf.DUMMYFUNCTION("""COMPUTED_VALUE"""),0.0)</f>
        <v>0</v>
      </c>
      <c r="H509" s="31">
        <f>IFERROR(__xludf.DUMMYFUNCTION("""COMPUTED_VALUE"""),0.0)</f>
        <v>0</v>
      </c>
      <c r="I509" s="4" t="str">
        <f>IFERROR(__xludf.DUMMYFUNCTION("""COMPUTED_VALUE"""),"Marca não identificada em buscas públicas. Necessário verificar nome correto ou CNPJ.")</f>
        <v>Marca não identificada em buscas públicas. Necessário verificar nome correto ou CNPJ.</v>
      </c>
      <c r="K509" s="4" t="str">
        <f>IFERROR(__xludf.DUMMYFUNCTION("""COMPUTED_VALUE"""),"VIANENSE - CONTA PAI")</f>
        <v>VIANENSE - CONTA PAI</v>
      </c>
      <c r="L509" s="32">
        <f>IFERROR(__xludf.DUMMYFUNCTION("""COMPUTED_VALUE"""),15.0)</f>
        <v>15</v>
      </c>
      <c r="M509" s="4" t="str">
        <f>IFERROR(__xludf.DUMMYFUNCTION("""COMPUTED_VALUE"""),"N/A (Not found)")</f>
        <v>N/A (Not found)</v>
      </c>
      <c r="N509" s="33">
        <f>IFERROR(__xludf.DUMMYFUNCTION("""COMPUTED_VALUE"""),0.8)</f>
        <v>0.8</v>
      </c>
      <c r="O509" s="4" t="str">
        <f>IFERROR(__xludf.DUMMYFUNCTION("""COMPUTED_VALUE"""),"N/A (Not found)")</f>
        <v>N/A (Not found)</v>
      </c>
      <c r="P509" s="33">
        <f>IFERROR(__xludf.DUMMYFUNCTION("""COMPUTED_VALUE"""),0.8666666666666667)</f>
        <v>0.8666666667</v>
      </c>
      <c r="Q509" s="4" t="str">
        <f>IFERROR(__xludf.DUMMYFUNCTION("""COMPUTED_VALUE"""),"N/A (Not found)")</f>
        <v>N/A (Not found)</v>
      </c>
      <c r="R509" s="33">
        <f>IFERROR(__xludf.DUMMYFUNCTION("""COMPUTED_VALUE"""),0.8666666666666667)</f>
        <v>0.8666666667</v>
      </c>
      <c r="S509" s="4" t="str">
        <f>IFERROR(__xludf.DUMMYFUNCTION("""COMPUTED_VALUE"""),"N/A (Not found)")</f>
        <v>N/A (Not found)</v>
      </c>
      <c r="T509" s="33">
        <f>IFERROR(__xludf.DUMMYFUNCTION("""COMPUTED_VALUE"""),1.0)</f>
        <v>1</v>
      </c>
      <c r="U509" s="4" t="str">
        <f>IFERROR(__xludf.DUMMYFUNCTION("""COMPUTED_VALUE"""),"N/A (Not found)")</f>
        <v>N/A (Not found)</v>
      </c>
      <c r="V509" s="33">
        <f>IFERROR(__xludf.DUMMYFUNCTION("""COMPUTED_VALUE"""),1.0)</f>
        <v>1</v>
      </c>
      <c r="W509" s="4" t="str">
        <f>IFERROR(__xludf.DUMMYFUNCTION("""COMPUTED_VALUE"""),"N/A (Not found)")</f>
        <v>N/A (Not found)</v>
      </c>
      <c r="X509" s="33">
        <f>IFERROR(__xludf.DUMMYFUNCTION("""COMPUTED_VALUE"""),1.0)</f>
        <v>1</v>
      </c>
    </row>
    <row r="510">
      <c r="A510" s="4" t="str">
        <f>IFERROR(__xludf.DUMMYFUNCTION("""COMPUTED_VALUE"""),"Varanda 1389")</f>
        <v>Varanda 1389</v>
      </c>
      <c r="B510" s="4">
        <f>IFERROR(__xludf.DUMMYFUNCTION("""COMPUTED_VALUE"""),2.0)</f>
        <v>2</v>
      </c>
      <c r="C510" s="4" t="str">
        <f>IFERROR(__xludf.DUMMYFUNCTION("""COMPUTED_VALUE"""),"Dado não disponível publicamente - Investimento R$ 2,5M unidade Buritis")</f>
        <v>Dado não disponível publicamente - Investimento R$ 2,5M unidade Buritis</v>
      </c>
      <c r="D510" s="4" t="str">
        <f>IFERROR(__xludf.DUMMYFUNCTION("""COMPUTED_VALUE"""),"Table Service / Restaurante Contemporâneo (Belo Horizonte)")</f>
        <v>Table Service / Restaurante Contemporâneo (Belo Horizonte)</v>
      </c>
      <c r="E510" s="4" t="str">
        <f>IFERROR(__xludf.DUMMYFUNCTION("""COMPUTED_VALUE"""),"Belo Horizonte-MG (Lourdes + Buritis - Pampulha planejada)")</f>
        <v>Belo Horizonte-MG (Lourdes + Buritis - Pampulha planejada)</v>
      </c>
      <c r="F510" s="4" t="str">
        <f>IFERROR(__xludf.DUMMYFUNCTION("""COMPUTED_VALUE"""),"R$ 70-110")</f>
        <v>R$ 70-110</v>
      </c>
      <c r="G510" s="4">
        <f>IFERROR(__xludf.DUMMYFUNCTION("""COMPUTED_VALUE"""),30.0)</f>
        <v>30</v>
      </c>
      <c r="H510" s="31">
        <f>IFERROR(__xludf.DUMMYFUNCTION("""COMPUTED_VALUE"""),0.35)</f>
        <v>0.35</v>
      </c>
      <c r="I510" s="4" t="str">
        <f>IFERROR(__xludf.DUMMYFUNCTION("""COMPUTED_VALUE"""),"Restaurante contemporâneo BH 2 lojas. Table Service premium. Investimento alto mas aderência baixa-média autoatendimento.")</f>
        <v>Restaurante contemporâneo BH 2 lojas. Table Service premium. Investimento alto mas aderência baixa-média autoatendimento.</v>
      </c>
      <c r="K510" s="4" t="str">
        <f>IFERROR(__xludf.DUMMYFUNCTION("""COMPUTED_VALUE"""),"VILA ARABE")</f>
        <v>VILA ARABE</v>
      </c>
      <c r="L510" s="32">
        <f>IFERROR(__xludf.DUMMYFUNCTION("""COMPUTED_VALUE"""),15.0)</f>
        <v>15</v>
      </c>
      <c r="M510" s="4" t="str">
        <f>IFERROR(__xludf.DUMMYFUNCTION("""COMPUTED_VALUE"""),"Stone Co.")</f>
        <v>Stone Co.</v>
      </c>
      <c r="N510" s="33">
        <f>IFERROR(__xludf.DUMMYFUNCTION("""COMPUTED_VALUE"""),1.0)</f>
        <v>1</v>
      </c>
      <c r="O510" s="4" t="str">
        <f>IFERROR(__xludf.DUMMYFUNCTION("""COMPUTED_VALUE"""),"Stone Co.")</f>
        <v>Stone Co.</v>
      </c>
      <c r="P510" s="33">
        <f>IFERROR(__xludf.DUMMYFUNCTION("""COMPUTED_VALUE"""),1.0)</f>
        <v>1</v>
      </c>
      <c r="Q510" s="4" t="str">
        <f>IFERROR(__xludf.DUMMYFUNCTION("""COMPUTED_VALUE"""),"Stone Co.")</f>
        <v>Stone Co.</v>
      </c>
      <c r="R510" s="33">
        <f>IFERROR(__xludf.DUMMYFUNCTION("""COMPUTED_VALUE"""),1.0)</f>
        <v>1</v>
      </c>
      <c r="S510" s="4" t="str">
        <f>IFERROR(__xludf.DUMMYFUNCTION("""COMPUTED_VALUE"""),"Stone Co.")</f>
        <v>Stone Co.</v>
      </c>
      <c r="T510" s="33">
        <f>IFERROR(__xludf.DUMMYFUNCTION("""COMPUTED_VALUE"""),1.0)</f>
        <v>1</v>
      </c>
      <c r="U510" s="4" t="str">
        <f>IFERROR(__xludf.DUMMYFUNCTION("""COMPUTED_VALUE"""),"Stone Co.")</f>
        <v>Stone Co.</v>
      </c>
      <c r="V510" s="33">
        <f>IFERROR(__xludf.DUMMYFUNCTION("""COMPUTED_VALUE"""),1.0)</f>
        <v>1</v>
      </c>
      <c r="W510" s="4" t="str">
        <f>IFERROR(__xludf.DUMMYFUNCTION("""COMPUTED_VALUE"""),"Stone Co.")</f>
        <v>Stone Co.</v>
      </c>
      <c r="X510" s="33">
        <f>IFERROR(__xludf.DUMMYFUNCTION("""COMPUTED_VALUE"""),1.0)</f>
        <v>1</v>
      </c>
    </row>
    <row r="511">
      <c r="A511" s="4" t="str">
        <f>IFERROR(__xludf.DUMMYFUNCTION("""COMPUTED_VALUE"""),"Bacio di Latte")</f>
        <v>Bacio di Latte</v>
      </c>
      <c r="B511" s="4" t="str">
        <f>IFERROR(__xludf.DUMMYFUNCTION("""COMPUTED_VALUE"""),"220+ operações (lojas e quiosques próprios)")</f>
        <v>220+ operações (lojas e quiosques próprios)</v>
      </c>
      <c r="C511" s="4" t="str">
        <f>IFERROR(__xludf.DUMMYFUNCTION("""COMPUTED_VALUE"""),"R$ 60-70 (gelato 458-630ml)")</f>
        <v>R$ 60-70 (gelato 458-630ml)</v>
      </c>
      <c r="D511" s="4" t="str">
        <f>IFERROR(__xludf.DUMMYFUNCTION("""COMPUTED_VALUE"""),"Fast Casual Premium + Quiosques - Gelato italiano artesanal com expansão agressiva multicanal")</f>
        <v>Fast Casual Premium + Quiosques - Gelato italiano artesanal com expansão agressiva multicanal</v>
      </c>
      <c r="E511" s="4" t="str">
        <f>IFERROR(__xludf.DUMMYFUNCTION("""COMPUTED_VALUE"""),"Nacional - SP (core), expansão Nordeste/Sul + EUA (Los Angeles 15 lojas)")</f>
        <v>Nacional - SP (core), expansão Nordeste/Sul + EUA (Los Angeles 15 lojas)</v>
      </c>
      <c r="F511" s="4" t="str">
        <f>IFERROR(__xludf.DUMMYFUNCTION("""COMPUTED_VALUE"""),"R$ 1,2 bilhão projetado (2025) | R$ 890 milhões (2024)")</f>
        <v>R$ 1,2 bilhão projetado (2025) | R$ 890 milhões (2024)</v>
      </c>
      <c r="G511" s="4">
        <f>IFERROR(__xludf.DUMMYFUNCTION("""COMPUTED_VALUE"""),95.0)</f>
        <v>95</v>
      </c>
      <c r="H511" s="4" t="str">
        <f>IFERROR(__xludf.DUMMYFUNCTION("""COMPUTED_VALUE"""),"92% - Rede premium em expansão acelerada com necessidade crítica de padronização multicanal (lojas+quiosques+app+delivery). Perfil ideal 3S: QSR/Fast Casual com múltiplos canais, gestão centralizada de cardápio/preços, controle de inventário rigoroso e KD"&amp;"S para produção. Atual PDV (Stoq + Ideal Sales) pode apresentar limitações em escalabilidade e custo operacional. 3S oferece hub delivery nativo, autoatendimento integrado e menor TCO.")</f>
        <v>92% - Rede premium em expansão acelerada com necessidade crítica de padronização multicanal (lojas+quiosques+app+delivery). Perfil ideal 3S: QSR/Fast Casual com múltiplos canais, gestão centralizada de cardápio/preços, controle de inventário rigoroso e KDS para produção. Atual PDV (Stoq + Ideal Sales) pode apresentar limitações em escalabilidade e custo operacional. 3S oferece hub delivery nativo, autoatendimento integrado e menor TCO.</v>
      </c>
      <c r="I511" s="4" t="str">
        <f>IFERROR(__xludf.DUMMYFUNCTION("""COMPUTED_VALUE"""),"ATUAL: Stoq (PDV) + Ideal Sales (multicanal) | COMPARATIVO: Stoq oferece PDV básico com integração ERP mas limitações em autoatendimento nativo e hub delivery próprio. Ideal Sales complementa multicanal mas adiciona custo de múltiplas soluções. 3S VANTAGE"&amp;"M: Solução única integrada (PDV+KDS+Totem+Hub Delivery+BackOffice), menor TCO, suporte especializado food service, evolução contínua produto, agnóstico hardware. ADERÊNCIA RECALCULADA: 92% (sobe de 88% inicial devido a custo total de propriedade menor e i"&amp;"ntegração nativa vs. stack multi-fornecedor).")</f>
        <v>ATUAL: Stoq (PDV) + Ideal Sales (multicanal) | COMPARATIVO: Stoq oferece PDV básico com integração ERP mas limitações em autoatendimento nativo e hub delivery próprio. Ideal Sales complementa multicanal mas adiciona custo de múltiplas soluções. 3S VANTAGEM: Solução única integrada (PDV+KDS+Totem+Hub Delivery+BackOffice), menor TCO, suporte especializado food service, evolução contínua produto, agnóstico hardware. ADERÊNCIA RECALCULADA: 92% (sobe de 88% inicial devido a custo total de propriedade menor e integração nativa vs. stack multi-fornecedor).</v>
      </c>
      <c r="K511" s="4" t="str">
        <f>IFERROR(__xludf.DUMMYFUNCTION("""COMPUTED_VALUE"""),"IMPERIO DO ACAI")</f>
        <v>IMPERIO DO ACAI</v>
      </c>
      <c r="L511" s="32">
        <f>IFERROR(__xludf.DUMMYFUNCTION("""COMPUTED_VALUE"""),14.0)</f>
        <v>14</v>
      </c>
      <c r="M511" s="4" t="str">
        <f>IFERROR(__xludf.DUMMYFUNCTION("""COMPUTED_VALUE"""),"null")</f>
        <v>null</v>
      </c>
      <c r="N511" s="33">
        <f>IFERROR(__xludf.DUMMYFUNCTION("""COMPUTED_VALUE"""),0.35714285714285715)</f>
        <v>0.3571428571</v>
      </c>
      <c r="O511" s="4" t="str">
        <f>IFERROR(__xludf.DUMMYFUNCTION("""COMPUTED_VALUE"""),"null")</f>
        <v>null</v>
      </c>
      <c r="P511" s="33">
        <f>IFERROR(__xludf.DUMMYFUNCTION("""COMPUTED_VALUE"""),0.42857142857142855)</f>
        <v>0.4285714286</v>
      </c>
      <c r="Q511" s="4" t="str">
        <f>IFERROR(__xludf.DUMMYFUNCTION("""COMPUTED_VALUE"""),"null")</f>
        <v>null</v>
      </c>
      <c r="R511" s="33">
        <f>IFERROR(__xludf.DUMMYFUNCTION("""COMPUTED_VALUE"""),0.5)</f>
        <v>0.5</v>
      </c>
      <c r="S511" s="4" t="str">
        <f>IFERROR(__xludf.DUMMYFUNCTION("""COMPUTED_VALUE"""),"null")</f>
        <v>null</v>
      </c>
      <c r="T511" s="33">
        <f>IFERROR(__xludf.DUMMYFUNCTION("""COMPUTED_VALUE"""),0.35714285714285715)</f>
        <v>0.3571428571</v>
      </c>
      <c r="U511" s="4" t="str">
        <f>IFERROR(__xludf.DUMMYFUNCTION("""COMPUTED_VALUE"""),"null")</f>
        <v>null</v>
      </c>
      <c r="V511" s="33">
        <f>IFERROR(__xludf.DUMMYFUNCTION("""COMPUTED_VALUE"""),0.2857142857142857)</f>
        <v>0.2857142857</v>
      </c>
      <c r="W511" s="4" t="str">
        <f>IFERROR(__xludf.DUMMYFUNCTION("""COMPUTED_VALUE"""),"null")</f>
        <v>null</v>
      </c>
      <c r="X511" s="33">
        <f>IFERROR(__xludf.DUMMYFUNCTION("""COMPUTED_VALUE"""),0.35714285714285715)</f>
        <v>0.3571428571</v>
      </c>
    </row>
    <row r="512">
      <c r="A512" s="4" t="str">
        <f>IFERROR(__xludf.DUMMYFUNCTION("""COMPUTED_VALUE"""),"Vila Árabe")</f>
        <v>Vila Árabe</v>
      </c>
      <c r="B512" s="4" t="str">
        <f>IFERROR(__xludf.DUMMYFUNCTION("""COMPUTED_VALUE"""),"19 unidades em Belo Horizonte/MG")</f>
        <v>19 unidades em Belo Horizonte/MG</v>
      </c>
      <c r="C512" s="4" t="str">
        <f>IFERROR(__xludf.DUMMYFUNCTION("""COMPUTED_VALUE"""),"R$ 45-65 (empório com restaurante)")</f>
        <v>R$ 45-65 (empório com restaurante)</v>
      </c>
      <c r="D512" s="4" t="str">
        <f>IFERROR(__xludf.DUMMYFUNCTION("""COMPUTED_VALUE"""),"Fast Casual + Empórios - Culinária árabe-libanesa com modelo híbrido restaurante/varejo")</f>
        <v>Fast Casual + Empórios - Culinária árabe-libanesa com modelo híbrido restaurante/varejo</v>
      </c>
      <c r="E512" s="4" t="str">
        <f>IFERROR(__xludf.DUMMYFUNCTION("""COMPUTED_VALUE"""),"Regional - Concentrado Belo Horizonte/MG (19 unidades) com modelo franquia")</f>
        <v>Regional - Concentrado Belo Horizonte/MG (19 unidades) com modelo franquia</v>
      </c>
      <c r="F512" s="4" t="str">
        <f>IFERROR(__xludf.DUMMYFUNCTION("""COMPUTED_VALUE"""),"Dado não disponível publicamente - Necessário Discovery")</f>
        <v>Dado não disponível publicamente - Necessário Discovery</v>
      </c>
      <c r="G512" s="4">
        <f>IFERROR(__xludf.DUMMYFUNCTION("""COMPUTED_VALUE"""),78.0)</f>
        <v>78</v>
      </c>
      <c r="H512" s="4" t="str">
        <f>IFERROR(__xludf.DUMMYFUNCTION("""COMPUTED_VALUE"""),"75% - Rede regional consolidada modelo híbrido (restaurante+empórios) com 19 pontos e expansão via franquia. Perfil 3S: Table Service + retail com necessidade de gestão unificada, controle de múltiplos SKUs (varejo+restaurante), inventário automatizado. G"&amp;"argalo: complexidade operacional entre loja física e empório. 3S resolve com módulo único PDV+BackOffice, gestão de combos/modificadores e relatórios consolidados.")</f>
        <v>75% - Rede regional consolidada modelo híbrido (restaurante+empórios) com 19 pontos e expansão via franquia. Perfil 3S: Table Service + retail com necessidade de gestão unificada, controle de múltiplos SKUs (varejo+restaurante), inventário automatizado. Gargalo: complexidade operacional entre loja física e empório. 3S resolve com módulo único PDV+BackOffice, gestão de combos/modificadores e relatórios consolidados.</v>
      </c>
      <c r="I512" s="4" t="str">
        <f>IFERROR(__xludf.DUMMYFUNCTION("""COMPUTED_VALUE"""),"PDV atual não identificado publicamente - Necessário Discovery para confirmar integrador. ANÁLISE GENÉRICA: Redes regionais frequentemente usam PDVs locais (ex: Linvix, SysPDV, PDVNet) com limitações em: (1) gestão multi-unidade centralizada, (2) módulo f"&amp;"ranquias robusto, (3) hub delivery nativo. 3S VANTAGEM: Especialização food service, gestão centralizada cardápio/preços aplicável por loja/grupo, controle franquias com permissões granulares, hub delivery com integração marketplaces. GATILHO ABORDAGEM: I"&amp;"nvestigar dores atuais em padronização franquias e integração delivery.")</f>
        <v>PDV atual não identificado publicamente - Necessário Discovery para confirmar integrador. ANÁLISE GENÉRICA: Redes regionais frequentemente usam PDVs locais (ex: Linvix, SysPDV, PDVNet) com limitações em: (1) gestão multi-unidade centralizada, (2) módulo franquias robusto, (3) hub delivery nativo. 3S VANTAGEM: Especialização food service, gestão centralizada cardápio/preços aplicável por loja/grupo, controle franquias com permissões granulares, hub delivery com integração marketplaces. GATILHO ABORDAGEM: Investigar dores atuais em padronização franquias e integração delivery.</v>
      </c>
      <c r="K512" s="4" t="str">
        <f>IFERROR(__xludf.DUMMYFUNCTION("""COMPUTED_VALUE"""),"PARMEGIANNO")</f>
        <v>PARMEGIANNO</v>
      </c>
      <c r="L512" s="32">
        <f>IFERROR(__xludf.DUMMYFUNCTION("""COMPUTED_VALUE"""),14.0)</f>
        <v>14</v>
      </c>
      <c r="M512" s="4" t="str">
        <f>IFERROR(__xludf.DUMMYFUNCTION("""COMPUTED_VALUE"""),"3a Solution")</f>
        <v>3a Solution</v>
      </c>
      <c r="N512" s="33">
        <f>IFERROR(__xludf.DUMMYFUNCTION("""COMPUTED_VALUE"""),0.6)</f>
        <v>0.6</v>
      </c>
      <c r="O512" s="4" t="str">
        <f>IFERROR(__xludf.DUMMYFUNCTION("""COMPUTED_VALUE"""),"3a Solution")</f>
        <v>3a Solution</v>
      </c>
      <c r="P512" s="33">
        <f>IFERROR(__xludf.DUMMYFUNCTION("""COMPUTED_VALUE"""),0.6)</f>
        <v>0.6</v>
      </c>
      <c r="Q512" s="4" t="str">
        <f>IFERROR(__xludf.DUMMYFUNCTION("""COMPUTED_VALUE"""),"3a Solution")</f>
        <v>3a Solution</v>
      </c>
      <c r="R512" s="33">
        <f>IFERROR(__xludf.DUMMYFUNCTION("""COMPUTED_VALUE"""),0.6)</f>
        <v>0.6</v>
      </c>
      <c r="S512" s="4" t="str">
        <f>IFERROR(__xludf.DUMMYFUNCTION("""COMPUTED_VALUE"""),"3a Solution")</f>
        <v>3a Solution</v>
      </c>
      <c r="T512" s="33">
        <f>IFERROR(__xludf.DUMMYFUNCTION("""COMPUTED_VALUE"""),0.6)</f>
        <v>0.6</v>
      </c>
      <c r="U512" s="4" t="str">
        <f>IFERROR(__xludf.DUMMYFUNCTION("""COMPUTED_VALUE"""),"3a Solution")</f>
        <v>3a Solution</v>
      </c>
      <c r="V512" s="33">
        <f>IFERROR(__xludf.DUMMYFUNCTION("""COMPUTED_VALUE"""),0.6)</f>
        <v>0.6</v>
      </c>
      <c r="W512" s="4" t="str">
        <f>IFERROR(__xludf.DUMMYFUNCTION("""COMPUTED_VALUE"""),"3a Solution")</f>
        <v>3a Solution</v>
      </c>
      <c r="X512" s="33">
        <f>IFERROR(__xludf.DUMMYFUNCTION("""COMPUTED_VALUE"""),0.6)</f>
        <v>0.6</v>
      </c>
    </row>
    <row r="513">
      <c r="A513" s="4" t="str">
        <f>IFERROR(__xludf.DUMMYFUNCTION("""COMPUTED_VALUE"""),"Babbo Giovanni")</f>
        <v>Babbo Giovanni</v>
      </c>
      <c r="B513" s="4" t="str">
        <f>IFERROR(__xludf.DUMMYFUNCTION("""COMPUTED_VALUE"""),"18 unidades (SP, Itu, Vinhedo, Santo André)")</f>
        <v>18 unidades (SP, Itu, Vinhedo, Santo André)</v>
      </c>
      <c r="C513" s="4" t="str">
        <f>IFERROR(__xludf.DUMMYFUNCTION("""COMPUTED_VALUE"""),"R$ 55-75 (rodízio R$ 119-139)")</f>
        <v>R$ 55-75 (rodízio R$ 119-139)</v>
      </c>
      <c r="D513" s="4" t="str">
        <f>IFERROR(__xludf.DUMMYFUNCTION("""COMPUTED_VALUE"""),"Table Service / Delivery - Pizzaria tradicional italiana com forno a lenha e franquias")</f>
        <v>Table Service / Delivery - Pizzaria tradicional italiana com forno a lenha e franquias</v>
      </c>
      <c r="E513" s="4" t="str">
        <f>IFERROR(__xludf.DUMMYFUNCTION("""COMPUTED_VALUE"""),"Regional SP - São Paulo capital e interior (Itu, Vinhedo, Sorocaba, Santo André)")</f>
        <v>Regional SP - São Paulo capital e interior (Itu, Vinhedo, Sorocaba, Santo André)</v>
      </c>
      <c r="F513" s="4" t="str">
        <f>IFERROR(__xludf.DUMMYFUNCTION("""COMPUTED_VALUE"""),"R$ 1,6 milhão/ano por franquia estimado (Dado consolidado rede não público)")</f>
        <v>R$ 1,6 milhão/ano por franquia estimado (Dado consolidado rede não público)</v>
      </c>
      <c r="G513" s="4">
        <f>IFERROR(__xludf.DUMMYFUNCTION("""COMPUTED_VALUE"""),72.0)</f>
        <v>72</v>
      </c>
      <c r="H513" s="4" t="str">
        <f>IFERROR(__xludf.DUMMYFUNCTION("""COMPUTED_VALUE"""),"70% - Franquia pizzaria com 18 unidades e tradição centenária. Perfil 3S: operação Table Service + delivery intenso, necessidade de padronização receitas (100+ anos tradição = rigor em ingredientes/preparação). Gargalo: controle de qualidade em franquias "&amp;"e integração delivery. 3S resolve: módulo receitas com tempos produção, KDS integrado, hub delivery nativo e gestão centralizada cardápio para garantir padrão em todas unidades.")</f>
        <v>70% - Franquia pizzaria com 18 unidades e tradição centenária. Perfil 3S: operação Table Service + delivery intenso, necessidade de padronização receitas (100+ anos tradição = rigor em ingredientes/preparação). Gargalo: controle de qualidade em franquias e integração delivery. 3S resolve: módulo receitas com tempos produção, KDS integrado, hub delivery nativo e gestão centralizada cardápio para garantir padrão em todas unidades.</v>
      </c>
      <c r="I513" s="4" t="str">
        <f>IFERROR(__xludf.DUMMYFUNCTION("""COMPUTED_VALUE"""),"PDV atual não identificado - Indicação indireta: site menciona integração app próprio + iFood via plataformas (possível uso Accon ou similar para app delivery). ANÁLISE: Pizzarias tradicionais frequentemente enfrentam: (1) dificuldade controle receitas/in"&amp;"gredientes em franquias, (2) integração delivery fragmentada, (3) falta de KDS integrado cozinha/forno. 3S VANTAGEM: Módulo receitas com tempos produção e ingredientes, KDS para coordenação cozinha, hub delivery unificado (iFood+Rappi+próprio), gestão cen"&amp;"tralizada garantindo padrão 100% das unidades. GATILHO: Focar em 'tradição centenária = necessidade rigor qualidade'.")</f>
        <v>PDV atual não identificado - Indicação indireta: site menciona integração app próprio + iFood via plataformas (possível uso Accon ou similar para app delivery). ANÁLISE: Pizzarias tradicionais frequentemente enfrentam: (1) dificuldade controle receitas/ingredientes em franquias, (2) integração delivery fragmentada, (3) falta de KDS integrado cozinha/forno. 3S VANTAGEM: Módulo receitas com tempos produção e ingredientes, KDS para coordenação cozinha, hub delivery unificado (iFood+Rappi+próprio), gestão centralizada garantindo padrão 100% das unidades. GATILHO: Focar em 'tradição centenária = necessidade rigor qualidade'.</v>
      </c>
      <c r="K513" s="4" t="str">
        <f>IFERROR(__xludf.DUMMYFUNCTION("""COMPUTED_VALUE"""),"GRUPO 1900")</f>
        <v>GRUPO 1900</v>
      </c>
      <c r="L513" s="32">
        <f>IFERROR(__xludf.DUMMYFUNCTION("""COMPUTED_VALUE"""),14.0)</f>
        <v>14</v>
      </c>
      <c r="M513" s="4" t="str">
        <f>IFERROR(__xludf.DUMMYFUNCTION("""COMPUTED_VALUE"""),"Atena Tecnologia Da Informacao Ltda")</f>
        <v>Atena Tecnologia Da Informacao Ltda</v>
      </c>
      <c r="N513" s="33">
        <f>IFERROR(__xludf.DUMMYFUNCTION("""COMPUTED_VALUE"""),1.0)</f>
        <v>1</v>
      </c>
      <c r="O513" s="4" t="str">
        <f>IFERROR(__xludf.DUMMYFUNCTION("""COMPUTED_VALUE"""),"Atena Tecnologia Da Informacao Ltda")</f>
        <v>Atena Tecnologia Da Informacao Ltda</v>
      </c>
      <c r="P513" s="33">
        <f>IFERROR(__xludf.DUMMYFUNCTION("""COMPUTED_VALUE"""),1.0)</f>
        <v>1</v>
      </c>
      <c r="Q513" s="4" t="str">
        <f>IFERROR(__xludf.DUMMYFUNCTION("""COMPUTED_VALUE"""),"Atena Tecnologia Da Informacao Ltda")</f>
        <v>Atena Tecnologia Da Informacao Ltda</v>
      </c>
      <c r="R513" s="33">
        <f>IFERROR(__xludf.DUMMYFUNCTION("""COMPUTED_VALUE"""),1.0)</f>
        <v>1</v>
      </c>
      <c r="S513" s="4" t="str">
        <f>IFERROR(__xludf.DUMMYFUNCTION("""COMPUTED_VALUE"""),"Atena Tecnologia Da Informacao Ltda")</f>
        <v>Atena Tecnologia Da Informacao Ltda</v>
      </c>
      <c r="T513" s="33">
        <f>IFERROR(__xludf.DUMMYFUNCTION("""COMPUTED_VALUE"""),1.0)</f>
        <v>1</v>
      </c>
      <c r="U513" s="4" t="str">
        <f>IFERROR(__xludf.DUMMYFUNCTION("""COMPUTED_VALUE"""),"Atena Tecnologia Da Informacao Ltda")</f>
        <v>Atena Tecnologia Da Informacao Ltda</v>
      </c>
      <c r="V513" s="33">
        <f>IFERROR(__xludf.DUMMYFUNCTION("""COMPUTED_VALUE"""),1.0)</f>
        <v>1</v>
      </c>
      <c r="W513" s="4" t="str">
        <f>IFERROR(__xludf.DUMMYFUNCTION("""COMPUTED_VALUE"""),"Atena Tecnologia Da Informacao Ltda")</f>
        <v>Atena Tecnologia Da Informacao Ltda</v>
      </c>
      <c r="X513" s="33">
        <f>IFERROR(__xludf.DUMMYFUNCTION("""COMPUTED_VALUE"""),1.0)</f>
        <v>1</v>
      </c>
    </row>
    <row r="514">
      <c r="A514" s="4" t="str">
        <f>IFERROR(__xludf.DUMMYFUNCTION("""COMPUTED_VALUE"""),"Zé Do Hamburger")</f>
        <v>Zé Do Hamburger</v>
      </c>
      <c r="B514" s="4" t="str">
        <f>IFERROR(__xludf.DUMMYFUNCTION("""COMPUTED_VALUE"""),"4 lojas (Perdizes, Pompéia, Alphaville, Sorocaba)")</f>
        <v>4 lojas (Perdizes, Pompéia, Alphaville, Sorocaba)</v>
      </c>
      <c r="C514" s="4" t="str">
        <f>IFERROR(__xludf.DUMMYFUNCTION("""COMPUTED_VALUE"""),"R$ 45-60 (hambúrgueres artesanais)")</f>
        <v>R$ 45-60 (hambúrgueres artesanais)</v>
      </c>
      <c r="D514" s="4" t="str">
        <f>IFERROR(__xludf.DUMMYFUNCTION("""COMPUTED_VALUE"""),"Fast Casual - Hamburgueria temática anos 50 com foco artesanal")</f>
        <v>Fast Casual - Hamburgueria temática anos 50 com foco artesanal</v>
      </c>
      <c r="E514" s="4" t="str">
        <f>IFERROR(__xludf.DUMMYFUNCTION("""COMPUTED_VALUE"""),"Regional SP - São Paulo capital (Perdizes, Pompéia, Alphaville) + Sorocaba")</f>
        <v>Regional SP - São Paulo capital (Perdizes, Pompéia, Alphaville) + Sorocaba</v>
      </c>
      <c r="F514" s="4" t="str">
        <f>IFERROR(__xludf.DUMMYFUNCTION("""COMPUTED_VALUE"""),"R$ 10 milhões (2014) | Projeção R$ 13 milhões (2015) - Dados atuais não públicos")</f>
        <v>R$ 10 milhões (2014) | Projeção R$ 13 milhões (2015) - Dados atuais não públicos</v>
      </c>
      <c r="G514" s="4">
        <f>IFERROR(__xludf.DUMMYFUNCTION("""COMPUTED_VALUE"""),65.0)</f>
        <v>65</v>
      </c>
      <c r="H514" s="4" t="str">
        <f>IFERROR(__xludf.DUMMYFUNCTION("""COMPUTED_VALUE"""),"68% - Hamburgueria artesanal 4 lojas com temática forte e fidelização. Perfil 3S: Fast Casual com ticket médio superior, operação multi-canal (salão+delivery+iFood). Gargalo identificado: necessidade de sistema PDV não divulgado publicamente sugere possív"&amp;"el limitação em integração/relatórios. 3S oferece: gestão completa de modificadores (hambúrguer artesanal = alta customização), KDS para cozinha, reconciliação TEF e relatórios gerenciais detalhados.")</f>
        <v>68% - Hamburgueria artesanal 4 lojas com temática forte e fidelização. Perfil 3S: Fast Casual com ticket médio superior, operação multi-canal (salão+delivery+iFood). Gargalo identificado: necessidade de sistema PDV não divulgado publicamente sugere possível limitação em integração/relatórios. 3S oferece: gestão completa de modificadores (hambúrguer artesanal = alta customização), KDS para cozinha, reconciliação TEF e relatórios gerenciais detalhados.</v>
      </c>
      <c r="I514" s="4" t="str">
        <f>IFERROR(__xludf.DUMMYFUNCTION("""COMPUTED_VALUE"""),"PDV atual não identificado - Site confirma apenas integração iFood. ANÁLISE: Hamburguerias artesanais (alta customização) precisam: (1) gestão robusta de modificadores/opções, (2) KDS para coordenação preparo, (3) controle de ingredientes premium (carne a"&amp;"rtesanal = custo alto, controle crítico). 3S VANTAGEM: Gestão ilimitada de modificadores/combos, KDS com tempos de preparo por estação, inventário automatizado com controle CMV detalhado, relatórios de mix de produtos para identificar best-sellers. GATILH"&amp;"O: Abordar complexidade operacional e necessidade de dados para crescimento.")</f>
        <v>PDV atual não identificado - Site confirma apenas integração iFood. ANÁLISE: Hamburguerias artesanais (alta customização) precisam: (1) gestão robusta de modificadores/opções, (2) KDS para coordenação preparo, (3) controle de ingredientes premium (carne artesanal = custo alto, controle crítico). 3S VANTAGEM: Gestão ilimitada de modificadores/combos, KDS com tempos de preparo por estação, inventário automatizado com controle CMV detalhado, relatórios de mix de produtos para identificar best-sellers. GATILHO: Abordar complexidade operacional e necessidade de dados para crescimento.</v>
      </c>
      <c r="K514" s="4" t="str">
        <f>IFERROR(__xludf.DUMMYFUNCTION("""COMPUTED_VALUE"""),"GRUPO AMERICA")</f>
        <v>GRUPO AMERICA</v>
      </c>
      <c r="L514" s="32">
        <f>IFERROR(__xludf.DUMMYFUNCTION("""COMPUTED_VALUE"""),14.0)</f>
        <v>14</v>
      </c>
      <c r="M514" s="4" t="str">
        <f>IFERROR(__xludf.DUMMYFUNCTION("""COMPUTED_VALUE"""),"E-deploy Retail")</f>
        <v>E-deploy Retail</v>
      </c>
      <c r="N514" s="33">
        <f>IFERROR(__xludf.DUMMYFUNCTION("""COMPUTED_VALUE"""),1.0)</f>
        <v>1</v>
      </c>
      <c r="O514" s="4" t="str">
        <f>IFERROR(__xludf.DUMMYFUNCTION("""COMPUTED_VALUE"""),"E-deploy Retail")</f>
        <v>E-deploy Retail</v>
      </c>
      <c r="P514" s="33">
        <f>IFERROR(__xludf.DUMMYFUNCTION("""COMPUTED_VALUE"""),0.8571428571428571)</f>
        <v>0.8571428571</v>
      </c>
      <c r="Q514" s="4" t="str">
        <f>IFERROR(__xludf.DUMMYFUNCTION("""COMPUTED_VALUE"""),"E-deploy Retail")</f>
        <v>E-deploy Retail</v>
      </c>
      <c r="R514" s="33">
        <f>IFERROR(__xludf.DUMMYFUNCTION("""COMPUTED_VALUE"""),0.8571428571428571)</f>
        <v>0.8571428571</v>
      </c>
      <c r="S514" s="4" t="str">
        <f>IFERROR(__xludf.DUMMYFUNCTION("""COMPUTED_VALUE"""),"E-deploy Retail")</f>
        <v>E-deploy Retail</v>
      </c>
      <c r="T514" s="33">
        <f>IFERROR(__xludf.DUMMYFUNCTION("""COMPUTED_VALUE"""),0.7142857142857143)</f>
        <v>0.7142857143</v>
      </c>
      <c r="U514" s="4" t="str">
        <f>IFERROR(__xludf.DUMMYFUNCTION("""COMPUTED_VALUE"""),"E-deploy Retail")</f>
        <v>E-deploy Retail</v>
      </c>
      <c r="V514" s="33">
        <f>IFERROR(__xludf.DUMMYFUNCTION("""COMPUTED_VALUE"""),0.6428571428571429)</f>
        <v>0.6428571429</v>
      </c>
      <c r="W514" s="4" t="str">
        <f>IFERROR(__xludf.DUMMYFUNCTION("""COMPUTED_VALUE"""),"E-deploy Retail")</f>
        <v>E-deploy Retail</v>
      </c>
      <c r="X514" s="33">
        <f>IFERROR(__xludf.DUMMYFUNCTION("""COMPUTED_VALUE"""),0.5714285714285714)</f>
        <v>0.5714285714</v>
      </c>
    </row>
    <row r="515">
      <c r="A515" s="4" t="str">
        <f>IFERROR(__xludf.DUMMYFUNCTION("""COMPUTED_VALUE"""),"Ben &amp; Jerry's")</f>
        <v>Ben &amp; Jerry's</v>
      </c>
      <c r="B515" s="4" t="str">
        <f>IFERROR(__xludf.DUMMYFUNCTION("""COMPUTED_VALUE"""),"3 lojas físicas confirmadas em SP (Oscar Freire, MorumbiShopping, Pinheiros)")</f>
        <v>3 lojas físicas confirmadas em SP (Oscar Freire, MorumbiShopping, Pinheiros)</v>
      </c>
      <c r="C515" s="4" t="str">
        <f>IFERROR(__xludf.DUMMYFUNCTION("""COMPUTED_VALUE"""),"R$ 55-65 (sorvete premium 458ml)")</f>
        <v>R$ 55-65 (sorvete premium 458ml)</v>
      </c>
      <c r="D515" s="4" t="str">
        <f>IFERROR(__xludf.DUMMYFUNCTION("""COMPUTED_VALUE"""),"Fast Casual Premium - Sorvete premium americano com lojas flagship e varejo")</f>
        <v>Fast Casual Premium - Sorvete premium americano com lojas flagship e varejo</v>
      </c>
      <c r="E515" s="4" t="str">
        <f>IFERROR(__xludf.DUMMYFUNCTION("""COMPUTED_VALUE"""),"Regional SP - São Paulo (3 lojas físicas) + Distribuição nacional supermercados")</f>
        <v>Regional SP - São Paulo (3 lojas físicas) + Distribuição nacional supermercados</v>
      </c>
      <c r="F515" s="4" t="str">
        <f>IFERROR(__xludf.DUMMYFUNCTION("""COMPUTED_VALUE"""),"Dado não disponível publicamente BR - Unilever Ice Cream global €7,9bi (2024)")</f>
        <v>Dado não disponível publicamente BR - Unilever Ice Cream global €7,9bi (2024)</v>
      </c>
      <c r="G515" s="4">
        <f>IFERROR(__xludf.DUMMYFUNCTION("""COMPUTED_VALUE"""),82.0)</f>
        <v>82</v>
      </c>
      <c r="H515" s="4" t="str">
        <f>IFERROR(__xludf.DUMMYFUNCTION("""COMPUTED_VALUE"""),"78% - Marca global premium com presença estratégica Brasil (3 lojas físicas SP + distribuição nacional varejo). Perfil 3S: operação flagship stores + concessão em supermercados. Aderência alta para lojas físicas (controle scoop shop, gestão de produtos pe"&amp;"recíveis, múltiplas formas pagamento). Gargalo: marca internacional pode ter sistema corporativo global. 3S oferece flexibilidade local com integração ERP corporativo via API.")</f>
        <v>78% - Marca global premium com presença estratégica Brasil (3 lojas físicas SP + distribuição nacional varejo). Perfil 3S: operação flagship stores + concessão em supermercados. Aderência alta para lojas físicas (controle scoop shop, gestão de produtos perecíveis, múltiplas formas pagamento). Gargalo: marca internacional pode ter sistema corporativo global. 3S oferece flexibilidade local com integração ERP corporativo via API.</v>
      </c>
      <c r="I515" s="4" t="str">
        <f>IFERROR(__xludf.DUMMYFUNCTION("""COMPUTED_VALUE"""),"PDV atual não identificado publicamente - Marca global Unilever pode ter sistema corporativo internacional. ANÁLISE: Operações flagship de marcas globais enfrentam: (1) necessidade integração com sistemas corporativos, (2) controle rigoroso de produtos pe"&amp;"recíveis (sorvete = validade curta), (3) múltiplas formas pagamento e relatórios detalhados. 3S VANTAGEM: APIs abertas para integração ERP corporativo, controle de inventário com alertas de validade, gestão de múltiplos meios pagamento com reconciliação T"&amp;"EF, relatórios customizáveis para matriz. GATILHO: Flexibilidade local com governança global.")</f>
        <v>PDV atual não identificado publicamente - Marca global Unilever pode ter sistema corporativo internacional. ANÁLISE: Operações flagship de marcas globais enfrentam: (1) necessidade integração com sistemas corporativos, (2) controle rigoroso de produtos perecíveis (sorvete = validade curta), (3) múltiplas formas pagamento e relatórios detalhados. 3S VANTAGEM: APIs abertas para integração ERP corporativo, controle de inventário com alertas de validade, gestão de múltiplos meios pagamento com reconciliação TEF, relatórios customizáveis para matriz. GATILHO: Flexibilidade local com governança global.</v>
      </c>
      <c r="K515" s="4" t="str">
        <f>IFERROR(__xludf.DUMMYFUNCTION("""COMPUTED_VALUE"""),"BDC")</f>
        <v>BDC</v>
      </c>
      <c r="L515" s="32">
        <f>IFERROR(__xludf.DUMMYFUNCTION("""COMPUTED_VALUE"""),14.0)</f>
        <v>14</v>
      </c>
      <c r="M515" s="4" t="str">
        <f>IFERROR(__xludf.DUMMYFUNCTION("""COMPUTED_VALUE"""),"Menew - Linx")</f>
        <v>Menew - Linx</v>
      </c>
      <c r="N515" s="33">
        <f>IFERROR(__xludf.DUMMYFUNCTION("""COMPUTED_VALUE"""),0.7857142857142857)</f>
        <v>0.7857142857</v>
      </c>
      <c r="O515" s="4" t="str">
        <f>IFERROR(__xludf.DUMMYFUNCTION("""COMPUTED_VALUE"""),"Menew - Linx")</f>
        <v>Menew - Linx</v>
      </c>
      <c r="P515" s="33">
        <f>IFERROR(__xludf.DUMMYFUNCTION("""COMPUTED_VALUE"""),0.8571428571428571)</f>
        <v>0.8571428571</v>
      </c>
      <c r="Q515" s="4" t="str">
        <f>IFERROR(__xludf.DUMMYFUNCTION("""COMPUTED_VALUE"""),"Menew - Linx")</f>
        <v>Menew - Linx</v>
      </c>
      <c r="R515" s="33">
        <f>IFERROR(__xludf.DUMMYFUNCTION("""COMPUTED_VALUE"""),1.0)</f>
        <v>1</v>
      </c>
      <c r="S515" s="4" t="str">
        <f>IFERROR(__xludf.DUMMYFUNCTION("""COMPUTED_VALUE"""),"Menew - Linx")</f>
        <v>Menew - Linx</v>
      </c>
      <c r="T515" s="33">
        <f>IFERROR(__xludf.DUMMYFUNCTION("""COMPUTED_VALUE"""),1.0)</f>
        <v>1</v>
      </c>
      <c r="U515" s="4" t="str">
        <f>IFERROR(__xludf.DUMMYFUNCTION("""COMPUTED_VALUE"""),"Menew - Linx")</f>
        <v>Menew - Linx</v>
      </c>
      <c r="V515" s="33">
        <f>IFERROR(__xludf.DUMMYFUNCTION("""COMPUTED_VALUE"""),1.0)</f>
        <v>1</v>
      </c>
      <c r="W515" s="4" t="str">
        <f>IFERROR(__xludf.DUMMYFUNCTION("""COMPUTED_VALUE"""),"Menew - Linx")</f>
        <v>Menew - Linx</v>
      </c>
      <c r="X515" s="33">
        <f>IFERROR(__xludf.DUMMYFUNCTION("""COMPUTED_VALUE"""),1.0)</f>
        <v>1</v>
      </c>
    </row>
    <row r="516">
      <c r="A516" s="4" t="str">
        <f>IFERROR(__xludf.DUMMYFUNCTION("""COMPUTED_VALUE"""),"Antaris Franchising")</f>
        <v>Antaris Franchising</v>
      </c>
      <c r="B516" s="4" t="str">
        <f>IFERROR(__xludf.DUMMYFUNCTION("""COMPUTED_VALUE"""),"60+ unidades (Cuor di Crema e Boulangerie Carioca em 14+ estados)")</f>
        <v>60+ unidades (Cuor di Crema e Boulangerie Carioca em 14+ estados)</v>
      </c>
      <c r="C516" s="4" t="str">
        <f>IFERROR(__xludf.DUMMYFUNCTION("""COMPUTED_VALUE"""),"R$ 35-55 (conforme marca - gelato/café/bakery)")</f>
        <v>R$ 35-55 (conforme marca - gelato/café/bakery)</v>
      </c>
      <c r="D516" s="4" t="str">
        <f>IFERROR(__xludf.DUMMYFUNCTION("""COMPUTED_VALUE"""),"Holding Multi-marca - Cafeterias, gelaterias e bakeries em shoppings e pontos estratégicos")</f>
        <v>Holding Multi-marca - Cafeterias, gelaterias e bakeries em shoppings e pontos estratégicos</v>
      </c>
      <c r="E516" s="4" t="str">
        <f>IFERROR(__xludf.DUMMYFUNCTION("""COMPUTED_VALUE"""),"Nacional - 14+ estados (SP core), expansão RJ, CE, PI, MA, RS")</f>
        <v>Nacional - 14+ estados (SP core), expansão RJ, CE, PI, MA, RS</v>
      </c>
      <c r="F516" s="4" t="str">
        <f>IFERROR(__xludf.DUMMYFUNCTION("""COMPUTED_VALUE"""),"Dado não disponível publicamente - Holding com múltiplas marcas")</f>
        <v>Dado não disponível publicamente - Holding com múltiplas marcas</v>
      </c>
      <c r="G516" s="4">
        <f>IFERROR(__xludf.DUMMYFUNCTION("""COMPUTED_VALUE"""),88.0)</f>
        <v>88</v>
      </c>
      <c r="H516" s="4" t="str">
        <f>IFERROR(__xludf.DUMMYFUNCTION("""COMPUTED_VALUE"""),"85% - Holding multi-marca (Cuor di Crema, Boulangerie Carioca, Johnny Rockets) com 60+ unidades em 14 estados. Perfil ideal 3S: gestão centralizada multi-marca, padronização operacional em shoppings, controle de franquias. Gargalo: complexidade de múltipl"&amp;"as marcas sob mesma gestão. 3S resolve: configuração por loja/grupo, catálogos especiais por marca, relatórios consolidados e inventário automatizado multi-unidade.")</f>
        <v>85% - Holding multi-marca (Cuor di Crema, Boulangerie Carioca, Johnny Rockets) com 60+ unidades em 14 estados. Perfil ideal 3S: gestão centralizada multi-marca, padronização operacional em shoppings, controle de franquias. Gargalo: complexidade de múltiplas marcas sob mesma gestão. 3S resolve: configuração por loja/grupo, catálogos especiais por marca, relatórios consolidados e inventário automatizado multi-unidade.</v>
      </c>
      <c r="I516" s="4" t="str">
        <f>IFERROR(__xludf.DUMMYFUNCTION("""COMPUTED_VALUE"""),"PDV atual não identificado - Holding com múltiplas marcas sugere complexidade gestão. ANÁLISE: Grupos multi-marca enfrentam: (1) necessidade de sistema único para todas as marcas com configurações distintas, (2) gestão centralizada com autonomia local, (3"&amp;") consolidação de relatórios grupo vs. marca vs. loja. 3S VANTAGEM: Configuração por loja/grupo de lojas, catálogos especiais por marca mantendo gestão centralizada, dashboard consolidado com drill-down por marca/unidade, controle de franquias com permiss"&amp;"ões granulares. GATILHO: Complexidade atual vs. simplificação com solução única multi-tenant.")</f>
        <v>PDV atual não identificado - Holding com múltiplas marcas sugere complexidade gestão. ANÁLISE: Grupos multi-marca enfrentam: (1) necessidade de sistema único para todas as marcas com configurações distintas, (2) gestão centralizada com autonomia local, (3) consolidação de relatórios grupo vs. marca vs. loja. 3S VANTAGEM: Configuração por loja/grupo de lojas, catálogos especiais por marca mantendo gestão centralizada, dashboard consolidado com drill-down por marca/unidade, controle de franquias com permissões granulares. GATILHO: Complexidade atual vs. simplificação com solução única multi-tenant.</v>
      </c>
      <c r="K516" s="4" t="str">
        <f>IFERROR(__xludf.DUMMYFUNCTION("""COMPUTED_VALUE"""),"BEM BARATO FARMA - CONTA MARCA")</f>
        <v>BEM BARATO FARMA - CONTA MARCA</v>
      </c>
      <c r="L516" s="32">
        <f>IFERROR(__xludf.DUMMYFUNCTION("""COMPUTED_VALUE"""),14.0)</f>
        <v>14</v>
      </c>
      <c r="M516" s="4" t="str">
        <f>IFERROR(__xludf.DUMMYFUNCTION("""COMPUTED_VALUE"""),"N/A (Not found)")</f>
        <v>N/A (Not found)</v>
      </c>
      <c r="N516" s="33">
        <f>IFERROR(__xludf.DUMMYFUNCTION("""COMPUTED_VALUE"""),0.9285714285714286)</f>
        <v>0.9285714286</v>
      </c>
      <c r="O516" s="4" t="str">
        <f>IFERROR(__xludf.DUMMYFUNCTION("""COMPUTED_VALUE"""),"N/A (Not found)")</f>
        <v>N/A (Not found)</v>
      </c>
      <c r="P516" s="33">
        <f>IFERROR(__xludf.DUMMYFUNCTION("""COMPUTED_VALUE"""),1.0)</f>
        <v>1</v>
      </c>
      <c r="Q516" s="4" t="str">
        <f>IFERROR(__xludf.DUMMYFUNCTION("""COMPUTED_VALUE"""),"N/A (Not found)")</f>
        <v>N/A (Not found)</v>
      </c>
      <c r="R516" s="33">
        <f>IFERROR(__xludf.DUMMYFUNCTION("""COMPUTED_VALUE"""),1.0)</f>
        <v>1</v>
      </c>
      <c r="S516" s="4" t="str">
        <f>IFERROR(__xludf.DUMMYFUNCTION("""COMPUTED_VALUE"""),"N/A (Not found)")</f>
        <v>N/A (Not found)</v>
      </c>
      <c r="T516" s="33">
        <f>IFERROR(__xludf.DUMMYFUNCTION("""COMPUTED_VALUE"""),1.0)</f>
        <v>1</v>
      </c>
      <c r="U516" s="4" t="str">
        <f>IFERROR(__xludf.DUMMYFUNCTION("""COMPUTED_VALUE"""),"N/A (Not found)")</f>
        <v>N/A (Not found)</v>
      </c>
      <c r="V516" s="33">
        <f>IFERROR(__xludf.DUMMYFUNCTION("""COMPUTED_VALUE"""),1.0)</f>
        <v>1</v>
      </c>
      <c r="W516" s="4" t="str">
        <f>IFERROR(__xludf.DUMMYFUNCTION("""COMPUTED_VALUE"""),"N/A (Not found)")</f>
        <v>N/A (Not found)</v>
      </c>
      <c r="X516" s="33">
        <f>IFERROR(__xludf.DUMMYFUNCTION("""COMPUTED_VALUE"""),1.0)</f>
        <v>1</v>
      </c>
    </row>
    <row r="517">
      <c r="A517" s="4" t="str">
        <f>IFERROR(__xludf.DUMMYFUNCTION("""COMPUTED_VALUE"""),"Barra Grill")</f>
        <v>Barra Grill</v>
      </c>
      <c r="B517" s="4" t="str">
        <f>IFERROR(__xludf.DUMMYFUNCTION("""COMPUTED_VALUE"""),"1 unidade (Barra da Tijuca, Rio de Janeiro)")</f>
        <v>1 unidade (Barra da Tijuca, Rio de Janeiro)</v>
      </c>
      <c r="C517" s="4" t="str">
        <f>IFERROR(__xludf.DUMMYFUNCTION("""COMPUTED_VALUE"""),"R$ 80-120 (churrascaria tradicional)")</f>
        <v>R$ 80-120 (churrascaria tradicional)</v>
      </c>
      <c r="D517" s="4" t="str">
        <f>IFERROR(__xludf.DUMMYFUNCTION("""COMPUTED_VALUE"""),"Table Service - Churrascaria tradicional única há 30+ anos")</f>
        <v>Table Service - Churrascaria tradicional única há 30+ anos</v>
      </c>
      <c r="E517" s="4" t="str">
        <f>IFERROR(__xludf.DUMMYFUNCTION("""COMPUTED_VALUE"""),"Local - Rio de Janeiro/RJ (Barra da Tijuca)")</f>
        <v>Local - Rio de Janeiro/RJ (Barra da Tijuca)</v>
      </c>
      <c r="F517" s="4" t="str">
        <f>IFERROR(__xludf.DUMMYFUNCTION("""COMPUTED_VALUE"""),"Dado não disponível publicamente - Unidade única")</f>
        <v>Dado não disponível publicamente - Unidade única</v>
      </c>
      <c r="G517" s="4">
        <f>IFERROR(__xludf.DUMMYFUNCTION("""COMPUTED_VALUE"""),45.0)</f>
        <v>45</v>
      </c>
      <c r="H517" s="4" t="str">
        <f>IFERROR(__xludf.DUMMYFUNCTION("""COMPUTED_VALUE"""),"42% - Operação única tradicional há 30+ anos sem expansão. Perfil: Table Service churrascaria clássica. Aderência média: não há network de lojas para justificar ROI em sistema enterprise. 3S seria oversized para operação unitária. Recomendação: acompanhar"&amp;" evolução; se houver expansão futura, aderência sobe para 75%+.")</f>
        <v>42% - Operação única tradicional há 30+ anos sem expansão. Perfil: Table Service churrascaria clássica. Aderência média: não há network de lojas para justificar ROI em sistema enterprise. 3S seria oversized para operação unitária. Recomendação: acompanhar evolução; se houver expansão futura, aderência sobe para 75%+.</v>
      </c>
      <c r="I517" s="4" t="str">
        <f>IFERROR(__xludf.DUMMYFUNCTION("""COMPUTED_VALUE"""),"PDV atual não identificado - Operação única tradicional. ANÁLISE: Churrascaria unitária há 30 anos provavelmente usa sistema básico ou PDV local. Sem expansão planejada, ROI de sistema enterprise é questionável. 3S seria oversized. RECOMENDAÇÃO: Não prior"&amp;"izar abordagem imediata. Monitorar evolução negócio; se houver plano expansão (2ª casa, franqueamento), aderência aumenta significativamente e justifica proposta 3S como preparação para crescimento.")</f>
        <v>PDV atual não identificado - Operação única tradicional. ANÁLISE: Churrascaria unitária há 30 anos provavelmente usa sistema básico ou PDV local. Sem expansão planejada, ROI de sistema enterprise é questionável. 3S seria oversized. RECOMENDAÇÃO: Não priorizar abordagem imediata. Monitorar evolução negócio; se houver plano expansão (2ª casa, franqueamento), aderência aumenta significativamente e justifica proposta 3S como preparação para crescimento.</v>
      </c>
      <c r="K517" s="4" t="str">
        <f>IFERROR(__xludf.DUMMYFUNCTION("""COMPUTED_VALUE"""),"BEM HORTIFRUTI - CONTA PAI")</f>
        <v>BEM HORTIFRUTI - CONTA PAI</v>
      </c>
      <c r="L517" s="32">
        <f>IFERROR(__xludf.DUMMYFUNCTION("""COMPUTED_VALUE"""),14.0)</f>
        <v>14</v>
      </c>
      <c r="M517" s="4" t="str">
        <f>IFERROR(__xludf.DUMMYFUNCTION("""COMPUTED_VALUE"""),"N/A (Not found)")</f>
        <v>N/A (Not found)</v>
      </c>
      <c r="N517" s="33">
        <f>IFERROR(__xludf.DUMMYFUNCTION("""COMPUTED_VALUE"""),1.0)</f>
        <v>1</v>
      </c>
      <c r="O517" s="4" t="str">
        <f>IFERROR(__xludf.DUMMYFUNCTION("""COMPUTED_VALUE"""),"N/A (Not found)")</f>
        <v>N/A (Not found)</v>
      </c>
      <c r="P517" s="33">
        <f>IFERROR(__xludf.DUMMYFUNCTION("""COMPUTED_VALUE"""),1.0)</f>
        <v>1</v>
      </c>
      <c r="Q517" s="4" t="str">
        <f>IFERROR(__xludf.DUMMYFUNCTION("""COMPUTED_VALUE"""),"N/A (Not found)")</f>
        <v>N/A (Not found)</v>
      </c>
      <c r="R517" s="33">
        <f>IFERROR(__xludf.DUMMYFUNCTION("""COMPUTED_VALUE"""),1.0)</f>
        <v>1</v>
      </c>
      <c r="S517" s="4" t="str">
        <f>IFERROR(__xludf.DUMMYFUNCTION("""COMPUTED_VALUE"""),"N/A (Not found)")</f>
        <v>N/A (Not found)</v>
      </c>
      <c r="T517" s="33">
        <f>IFERROR(__xludf.DUMMYFUNCTION("""COMPUTED_VALUE"""),1.0)</f>
        <v>1</v>
      </c>
      <c r="U517" s="4" t="str">
        <f>IFERROR(__xludf.DUMMYFUNCTION("""COMPUTED_VALUE"""),"N/A (Not found)")</f>
        <v>N/A (Not found)</v>
      </c>
      <c r="V517" s="33">
        <f>IFERROR(__xludf.DUMMYFUNCTION("""COMPUTED_VALUE"""),1.0)</f>
        <v>1</v>
      </c>
      <c r="W517" s="4" t="str">
        <f>IFERROR(__xludf.DUMMYFUNCTION("""COMPUTED_VALUE"""),"N/A (Not found)")</f>
        <v>N/A (Not found)</v>
      </c>
      <c r="X517" s="33">
        <f>IFERROR(__xludf.DUMMYFUNCTION("""COMPUTED_VALUE"""),1.0)</f>
        <v>1</v>
      </c>
    </row>
    <row r="518">
      <c r="A518" s="4" t="str">
        <f>IFERROR(__xludf.DUMMYFUNCTION("""COMPUTED_VALUE"""),"Bentoo Restaurante")</f>
        <v>Bentoo Restaurante</v>
      </c>
      <c r="B518" s="4" t="str">
        <f>IFERROR(__xludf.DUMMYFUNCTION("""COMPUTED_VALUE"""),"1 unidade (Pinheiros, São Paulo)")</f>
        <v>1 unidade (Pinheiros, São Paulo)</v>
      </c>
      <c r="C518" s="4" t="str">
        <f>IFERROR(__xludf.DUMMYFUNCTION("""COMPUTED_VALUE"""),"R$ 70-95 (buffet japonês/brasileiro por kg + rodízio)")</f>
        <v>R$ 70-95 (buffet japonês/brasileiro por kg + rodízio)</v>
      </c>
      <c r="D518" s="4" t="str">
        <f>IFERROR(__xludf.DUMMYFUNCTION("""COMPUTED_VALUE"""),"Table Service / Self-Service - Restaurante japonês-brasileiro buffet por peso")</f>
        <v>Table Service / Self-Service - Restaurante japonês-brasileiro buffet por peso</v>
      </c>
      <c r="E518" s="4" t="str">
        <f>IFERROR(__xludf.DUMMYFUNCTION("""COMPUTED_VALUE"""),"Local - São Paulo/SP (Pinheiros)")</f>
        <v>Local - São Paulo/SP (Pinheiros)</v>
      </c>
      <c r="F518" s="4" t="str">
        <f>IFERROR(__xludf.DUMMYFUNCTION("""COMPUTED_VALUE"""),"Dado não disponível publicamente - Necessário Discovery")</f>
        <v>Dado não disponível publicamente - Necessário Discovery</v>
      </c>
      <c r="G518" s="4">
        <f>IFERROR(__xludf.DUMMYFUNCTION("""COMPUTED_VALUE"""),58.0)</f>
        <v>58</v>
      </c>
      <c r="H518" s="4" t="str">
        <f>IFERROR(__xludf.DUMMYFUNCTION("""COMPUTED_VALUE"""),"55% - Restaurante único japonês-brasileiro com buffet por peso + rodízio. Perfil: Table Service + self-service híbrido. Aderência moderada: operação complexa (controle peso + rodízio fixo) mas unidade única. 3S resolve dualidade operacional (modos QSR e T"&amp;"S), porém ROI melhor em caso de expansão. Potencial: se houver plano de 2ª-3ª unidade, aderência sobe para 72%.")</f>
        <v>55% - Restaurante único japonês-brasileiro com buffet por peso + rodízio. Perfil: Table Service + self-service híbrido. Aderência moderada: operação complexa (controle peso + rodízio fixo) mas unidade única. 3S resolve dualidade operacional (modos QSR e TS), porém ROI melhor em caso de expansão. Potencial: se houver plano de 2ª-3ª unidade, aderência sobe para 72%.</v>
      </c>
      <c r="I518" s="4" t="str">
        <f>IFERROR(__xludf.DUMMYFUNCTION("""COMPUTED_VALUE"""),"PDV atual não identificado - Restaurante único. ANÁLISE: Operação buffet por peso + rodízio (dual pricing) exige sistema que suporte múltiplos modelos cobrança. Sistemas básicos têm dificuldade com essa complexidade. 3S VANTAGEM: Modos QSR e Table Service"&amp;" no mesmo sistema, gestão de múltiplas formas de cobrança (peso + rodízio fixo + à la carte), KDS para controle produção sushi/pratos quentes. LIMITAÇÃO: Unidade única, ROI melhor com expansão. GATILHO: Se houver plano crescimento, 3S prepara padronização"&amp;" desde primeira expansão.")</f>
        <v>PDV atual não identificado - Restaurante único. ANÁLISE: Operação buffet por peso + rodízio (dual pricing) exige sistema que suporte múltiplos modelos cobrança. Sistemas básicos têm dificuldade com essa complexidade. 3S VANTAGEM: Modos QSR e Table Service no mesmo sistema, gestão de múltiplas formas de cobrança (peso + rodízio fixo + à la carte), KDS para controle produção sushi/pratos quentes. LIMITAÇÃO: Unidade única, ROI melhor com expansão. GATILHO: Se houver plano crescimento, 3S prepara padronização desde primeira expansão.</v>
      </c>
      <c r="K518" s="4" t="str">
        <f>IFERROR(__xludf.DUMMYFUNCTION("""COMPUTED_VALUE"""),"BODE DO NO")</f>
        <v>BODE DO NO</v>
      </c>
      <c r="L518" s="32">
        <f>IFERROR(__xludf.DUMMYFUNCTION("""COMPUTED_VALUE"""),14.0)</f>
        <v>14</v>
      </c>
      <c r="M518" s="4" t="str">
        <f>IFERROR(__xludf.DUMMYFUNCTION("""COMPUTED_VALUE"""),"Teknisa Service Ltda")</f>
        <v>Teknisa Service Ltda</v>
      </c>
      <c r="N518" s="33">
        <f>IFERROR(__xludf.DUMMYFUNCTION("""COMPUTED_VALUE"""),0.5714285714285714)</f>
        <v>0.5714285714</v>
      </c>
      <c r="O518" s="4" t="str">
        <f>IFERROR(__xludf.DUMMYFUNCTION("""COMPUTED_VALUE"""),"Teknisa Service Ltda")</f>
        <v>Teknisa Service Ltda</v>
      </c>
      <c r="P518" s="33">
        <f>IFERROR(__xludf.DUMMYFUNCTION("""COMPUTED_VALUE"""),0.7142857142857143)</f>
        <v>0.7142857143</v>
      </c>
      <c r="Q518" s="4" t="str">
        <f>IFERROR(__xludf.DUMMYFUNCTION("""COMPUTED_VALUE"""),"Teknisa Service Ltda")</f>
        <v>Teknisa Service Ltda</v>
      </c>
      <c r="R518" s="33">
        <f>IFERROR(__xludf.DUMMYFUNCTION("""COMPUTED_VALUE"""),0.6428571428571429)</f>
        <v>0.6428571429</v>
      </c>
      <c r="S518" s="4" t="str">
        <f>IFERROR(__xludf.DUMMYFUNCTION("""COMPUTED_VALUE"""),"Teknisa Service Ltda")</f>
        <v>Teknisa Service Ltda</v>
      </c>
      <c r="T518" s="33">
        <f>IFERROR(__xludf.DUMMYFUNCTION("""COMPUTED_VALUE"""),0.7142857142857143)</f>
        <v>0.7142857143</v>
      </c>
      <c r="U518" s="4" t="str">
        <f>IFERROR(__xludf.DUMMYFUNCTION("""COMPUTED_VALUE"""),"null")</f>
        <v>null</v>
      </c>
      <c r="V518" s="33">
        <f>IFERROR(__xludf.DUMMYFUNCTION("""COMPUTED_VALUE"""),0.5)</f>
        <v>0.5</v>
      </c>
      <c r="W518" s="4" t="str">
        <f>IFERROR(__xludf.DUMMYFUNCTION("""COMPUTED_VALUE"""),"Teknisa Service Ltda")</f>
        <v>Teknisa Service Ltda</v>
      </c>
      <c r="X518" s="33">
        <f>IFERROR(__xludf.DUMMYFUNCTION("""COMPUTED_VALUE"""),0.8571428571428571)</f>
        <v>0.8571428571</v>
      </c>
    </row>
    <row r="519">
      <c r="A519" s="4" t="str">
        <f>IFERROR(__xludf.DUMMYFUNCTION("""COMPUTED_VALUE"""),"Badebec")</f>
        <v>Badebec</v>
      </c>
      <c r="B519" s="4" t="str">
        <f>IFERROR(__xludf.DUMMYFUNCTION("""COMPUTED_VALUE"""),"4-5 unidades em São Paulo (Vila Olímpia, Itaim, Consolação, Oscar Freire)")</f>
        <v>4-5 unidades em São Paulo (Vila Olímpia, Itaim, Consolação, Oscar Freire)</v>
      </c>
      <c r="C519" s="4" t="str">
        <f>IFERROR(__xludf.DUMMYFUNCTION("""COMPUTED_VALUE"""),"R$ 85-130 (restaurante contemporâneo)")</f>
        <v>R$ 85-130 (restaurante contemporâneo)</v>
      </c>
      <c r="D519" s="4" t="str">
        <f>IFERROR(__xludf.DUMMYFUNCTION("""COMPUTED_VALUE"""),"Table Service - Restaurante contemporâneo em hotéis premium")</f>
        <v>Table Service - Restaurante contemporâneo em hotéis premium</v>
      </c>
      <c r="E519" s="4" t="str">
        <f>IFERROR(__xludf.DUMMYFUNCTION("""COMPUTED_VALUE"""),"Regional SP - São Paulo (4-5 unidades em bairros premium)")</f>
        <v>Regional SP - São Paulo (4-5 unidades em bairros premium)</v>
      </c>
      <c r="F519" s="4" t="str">
        <f>IFERROR(__xludf.DUMMYFUNCTION("""COMPUTED_VALUE"""),"Dado não disponível publicamente - Necessário Discovery")</f>
        <v>Dado não disponível publicamente - Necessário Discovery</v>
      </c>
      <c r="G519" s="4">
        <f>IFERROR(__xludf.DUMMYFUNCTION("""COMPUTED_VALUE"""),62.0)</f>
        <v>62</v>
      </c>
      <c r="H519" s="4" t="str">
        <f>IFERROR(__xludf.DUMMYFUNCTION("""COMPUTED_VALUE"""),"60% - Rede 4-5 unidades em hotéis premium SP (Radisson, Clarion, Qoya). Perfil: Table Service contemporâneo com ticket alto. Aderência boa: operação hotel exige integração com sistema hospedagem, múltiplas formas pagamento, relatórios detalhados. Gargalo:"&amp;" possível sistema hoteleiro já estabelecido. 3S oferece integração via API e gestão autônoma restaurante dentro do hotel.")</f>
        <v>60% - Rede 4-5 unidades em hotéis premium SP (Radisson, Clarion, Qoya). Perfil: Table Service contemporâneo com ticket alto. Aderência boa: operação hotel exige integração com sistema hospedagem, múltiplas formas pagamento, relatórios detalhados. Gargalo: possível sistema hoteleiro já estabelecido. 3S oferece integração via API e gestão autônoma restaurante dentro do hotel.</v>
      </c>
      <c r="I519" s="4" t="str">
        <f>IFERROR(__xludf.DUMMYFUNCTION("""COMPUTED_VALUE"""),"PDV atual não identificado - Operação em hotéis premium. ANÁLISE: Restaurantes em hotéis frequentemente integram com sistema PMS (Property Management System) do hotel. Desafio: PDV precisa funcionar autônomo mas enviar dados para faturamento hóspede. 3S V"&amp;"ANTAGEM: APIs abertas para integração PMS, gestão autônoma do restaurante, múltiplas formas pagamento (room charge + direto), relatórios detalhados separados hotel vs. walk-in. LIMITAÇÃO: Sistema hotel pode impor restrições. GATILHO: Autonomia operacional"&amp;" restaurante dentro do ecossistema hoteleiro.")</f>
        <v>PDV atual não identificado - Operação em hotéis premium. ANÁLISE: Restaurantes em hotéis frequentemente integram com sistema PMS (Property Management System) do hotel. Desafio: PDV precisa funcionar autônomo mas enviar dados para faturamento hóspede. 3S VANTAGEM: APIs abertas para integração PMS, gestão autônoma do restaurante, múltiplas formas pagamento (room charge + direto), relatórios detalhados separados hotel vs. walk-in. LIMITAÇÃO: Sistema hotel pode impor restrições. GATILHO: Autonomia operacional restaurante dentro do ecossistema hoteleiro.</v>
      </c>
      <c r="K519" s="4" t="str">
        <f>IFERROR(__xludf.DUMMYFUNCTION("""COMPUTED_VALUE"""),"CAMARAO TO GO CONTA MARCA")</f>
        <v>CAMARAO TO GO CONTA MARCA</v>
      </c>
      <c r="L519" s="32">
        <f>IFERROR(__xludf.DUMMYFUNCTION("""COMPUTED_VALUE"""),14.0)</f>
        <v>14</v>
      </c>
      <c r="M519" s="4" t="str">
        <f>IFERROR(__xludf.DUMMYFUNCTION("""COMPUTED_VALUE"""),"Saipos Serviços De Software")</f>
        <v>Saipos Serviços De Software</v>
      </c>
      <c r="N519" s="33">
        <f>IFERROR(__xludf.DUMMYFUNCTION("""COMPUTED_VALUE"""),0.8571428571428571)</f>
        <v>0.8571428571</v>
      </c>
      <c r="O519" s="4" t="str">
        <f>IFERROR(__xludf.DUMMYFUNCTION("""COMPUTED_VALUE"""),"Saipos Serviços De Software")</f>
        <v>Saipos Serviços De Software</v>
      </c>
      <c r="P519" s="33">
        <f>IFERROR(__xludf.DUMMYFUNCTION("""COMPUTED_VALUE"""),0.8571428571428571)</f>
        <v>0.8571428571</v>
      </c>
      <c r="Q519" s="4" t="str">
        <f>IFERROR(__xludf.DUMMYFUNCTION("""COMPUTED_VALUE"""),"Saipos Serviços De Software")</f>
        <v>Saipos Serviços De Software</v>
      </c>
      <c r="R519" s="33">
        <f>IFERROR(__xludf.DUMMYFUNCTION("""COMPUTED_VALUE"""),0.8571428571428571)</f>
        <v>0.8571428571</v>
      </c>
      <c r="S519" s="4" t="str">
        <f>IFERROR(__xludf.DUMMYFUNCTION("""COMPUTED_VALUE"""),"Saipos Serviços De Software")</f>
        <v>Saipos Serviços De Software</v>
      </c>
      <c r="T519" s="33">
        <f>IFERROR(__xludf.DUMMYFUNCTION("""COMPUTED_VALUE"""),0.8571428571428571)</f>
        <v>0.8571428571</v>
      </c>
      <c r="U519" s="4" t="str">
        <f>IFERROR(__xludf.DUMMYFUNCTION("""COMPUTED_VALUE"""),"Saipos Serviços De Software")</f>
        <v>Saipos Serviços De Software</v>
      </c>
      <c r="V519" s="33">
        <f>IFERROR(__xludf.DUMMYFUNCTION("""COMPUTED_VALUE"""),0.8571428571428571)</f>
        <v>0.8571428571</v>
      </c>
      <c r="W519" s="4" t="str">
        <f>IFERROR(__xludf.DUMMYFUNCTION("""COMPUTED_VALUE"""),"Saipos Serviços De Software")</f>
        <v>Saipos Serviços De Software</v>
      </c>
      <c r="X519" s="33">
        <f>IFERROR(__xludf.DUMMYFUNCTION("""COMPUTED_VALUE"""),0.8571428571428571)</f>
        <v>0.8571428571</v>
      </c>
    </row>
    <row r="520">
      <c r="A520" s="4" t="str">
        <f>IFERROR(__xludf.DUMMYFUNCTION("""COMPUTED_VALUE"""),"Betto's Grill")</f>
        <v>Betto's Grill</v>
      </c>
      <c r="B520" s="4" t="str">
        <f>IFERROR(__xludf.DUMMYFUNCTION("""COMPUTED_VALUE"""),"2 lojas (Canoas/RS e Porto Alegre/RS)")</f>
        <v>2 lojas (Canoas/RS e Porto Alegre/RS)</v>
      </c>
      <c r="C520" s="4" t="str">
        <f>IFERROR(__xludf.DUMMYFUNCTION("""COMPUTED_VALUE"""),"R$ 45-65 (buffet à quilo com grelhados)")</f>
        <v>R$ 45-65 (buffet à quilo com grelhados)</v>
      </c>
      <c r="D520" s="4" t="str">
        <f>IFERROR(__xludf.DUMMYFUNCTION("""COMPUTED_VALUE"""),"Fast Casual - Buffet à quilo com grelhados em formato tradicional")</f>
        <v>Fast Casual - Buffet à quilo com grelhados em formato tradicional</v>
      </c>
      <c r="E520" s="4" t="str">
        <f>IFERROR(__xludf.DUMMYFUNCTION("""COMPUTED_VALUE"""),"Regional RS - Rio Grande do Sul (Canoas e Porto Alegre)")</f>
        <v>Regional RS - Rio Grande do Sul (Canoas e Porto Alegre)</v>
      </c>
      <c r="F520" s="4" t="str">
        <f>IFERROR(__xludf.DUMMYFUNCTION("""COMPUTED_VALUE"""),"Dado não disponível publicamente - Necessário Discovery")</f>
        <v>Dado não disponível publicamente - Necessário Discovery</v>
      </c>
      <c r="G520" s="4">
        <f>IFERROR(__xludf.DUMMYFUNCTION("""COMPUTED_VALUE"""),52.0)</f>
        <v>52</v>
      </c>
      <c r="H520" s="4" t="str">
        <f>IFERROR(__xludf.DUMMYFUNCTION("""COMPUTED_VALUE"""),"50% - 2 lojas buffet à quilo RS. Perfil: Fast Casual tradicional. Aderência moderada: operação regional pequena (2 pontos) com modelo simples. 3S seria robusto mas não há escala para maximizar ROI. Recomendação: monitorar expansão; se crescer para 5+ loja"&amp;"s, aderência sobe para 68%.")</f>
        <v>50% - 2 lojas buffet à quilo RS. Perfil: Fast Casual tradicional. Aderência moderada: operação regional pequena (2 pontos) com modelo simples. 3S seria robusto mas não há escala para maximizar ROI. Recomendação: monitorar expansão; se crescer para 5+ lojas, aderência sobe para 68%.</v>
      </c>
      <c r="I520" s="4" t="str">
        <f>IFERROR(__xludf.DUMMYFUNCTION("""COMPUTED_VALUE"""),"PDV atual não identificado - 2 lojas RS. ANÁLISE: Buffet à quilo necessita: (1) controle rigoroso CMV (margem apertada), (2) gestão de desperdício, (3) inventário de múltiplos ingredientes. Sistemas regionais básicos têm limitações em relatórios gerenciai"&amp;"s. 3S VANTAGEM: Relatórios CMV detalhados com dispersão por produto, módulo desperdício (completo e incompleto), contagens de inventário automatizadas, dashboard financeiro. LIMITAÇÃO: Apenas 2 lojas, escala pequena. GATILHO: Se planejar expansão para 5+ "&amp;"unidades, 3S oferece escalabilidade imediata.")</f>
        <v>PDV atual não identificado - 2 lojas RS. ANÁLISE: Buffet à quilo necessita: (1) controle rigoroso CMV (margem apertada), (2) gestão de desperdício, (3) inventário de múltiplos ingredientes. Sistemas regionais básicos têm limitações em relatórios gerenciais. 3S VANTAGEM: Relatórios CMV detalhados com dispersão por produto, módulo desperdício (completo e incompleto), contagens de inventário automatizadas, dashboard financeiro. LIMITAÇÃO: Apenas 2 lojas, escala pequena. GATILHO: Se planejar expansão para 5+ unidades, 3S oferece escalabilidade imediata.</v>
      </c>
      <c r="K520" s="4" t="str">
        <f>IFERROR(__xludf.DUMMYFUNCTION("""COMPUTED_VALUE"""),"DROGARIAS FARMANIA - LOJAS MARIANNE - CONTA MARCA")</f>
        <v>DROGARIAS FARMANIA - LOJAS MARIANNE - CONTA MARCA</v>
      </c>
      <c r="L520" s="32">
        <f>IFERROR(__xludf.DUMMYFUNCTION("""COMPUTED_VALUE"""),14.0)</f>
        <v>14</v>
      </c>
      <c r="M520" s="4" t="str">
        <f>IFERROR(__xludf.DUMMYFUNCTION("""COMPUTED_VALUE"""),"null")</f>
        <v>null</v>
      </c>
      <c r="N520" s="33">
        <f>IFERROR(__xludf.DUMMYFUNCTION("""COMPUTED_VALUE"""),0.6428571428571429)</f>
        <v>0.6428571429</v>
      </c>
      <c r="O520" s="4" t="str">
        <f>IFERROR(__xludf.DUMMYFUNCTION("""COMPUTED_VALUE"""),"N/A (Not found)")</f>
        <v>N/A (Not found)</v>
      </c>
      <c r="P520" s="33">
        <f>IFERROR(__xludf.DUMMYFUNCTION("""COMPUTED_VALUE"""),0.9285714285714286)</f>
        <v>0.9285714286</v>
      </c>
      <c r="Q520" s="4" t="str">
        <f>IFERROR(__xludf.DUMMYFUNCTION("""COMPUTED_VALUE"""),"N/A (Not found)")</f>
        <v>N/A (Not found)</v>
      </c>
      <c r="R520" s="33">
        <f>IFERROR(__xludf.DUMMYFUNCTION("""COMPUTED_VALUE"""),0.9285714285714286)</f>
        <v>0.9285714286</v>
      </c>
      <c r="S520" s="4" t="str">
        <f>IFERROR(__xludf.DUMMYFUNCTION("""COMPUTED_VALUE"""),"N/A (Not found)")</f>
        <v>N/A (Not found)</v>
      </c>
      <c r="T520" s="33">
        <f>IFERROR(__xludf.DUMMYFUNCTION("""COMPUTED_VALUE"""),0.9285714285714286)</f>
        <v>0.9285714286</v>
      </c>
      <c r="U520" s="4" t="str">
        <f>IFERROR(__xludf.DUMMYFUNCTION("""COMPUTED_VALUE"""),"N/A (Not found)")</f>
        <v>N/A (Not found)</v>
      </c>
      <c r="V520" s="33">
        <f>IFERROR(__xludf.DUMMYFUNCTION("""COMPUTED_VALUE"""),0.5714285714285714)</f>
        <v>0.5714285714</v>
      </c>
      <c r="W520" s="4" t="str">
        <f>IFERROR(__xludf.DUMMYFUNCTION("""COMPUTED_VALUE"""),"N/A (Not found)")</f>
        <v>N/A (Not found)</v>
      </c>
      <c r="X520" s="33">
        <f>IFERROR(__xludf.DUMMYFUNCTION("""COMPUTED_VALUE"""),0.8571428571428571)</f>
        <v>0.8571428571</v>
      </c>
    </row>
    <row r="521">
      <c r="A521" s="4" t="str">
        <f>IFERROR(__xludf.DUMMYFUNCTION("""COMPUTED_VALUE"""),"Benedito Restaurante")</f>
        <v>Benedito Restaurante</v>
      </c>
      <c r="B521" s="4" t="str">
        <f>IFERROR(__xludf.DUMMYFUNCTION("""COMPUTED_VALUE"""),"1 unidade principal (Campinas/SP)")</f>
        <v>1 unidade principal (Campinas/SP)</v>
      </c>
      <c r="C521" s="4" t="str">
        <f>IFERROR(__xludf.DUMMYFUNCTION("""COMPUTED_VALUE"""),"R$ 65-90 (restaurante contemporâneo)")</f>
        <v>R$ 65-90 (restaurante contemporâneo)</v>
      </c>
      <c r="D521" s="4" t="str">
        <f>IFERROR(__xludf.DUMMYFUNCTION("""COMPUTED_VALUE"""),"Table Service - Restaurante contemporâneo chef-driven")</f>
        <v>Table Service - Restaurante contemporâneo chef-driven</v>
      </c>
      <c r="E521" s="4" t="str">
        <f>IFERROR(__xludf.DUMMYFUNCTION("""COMPUTED_VALUE"""),"Local - Campinas/SP")</f>
        <v>Local - Campinas/SP</v>
      </c>
      <c r="F521" s="4" t="str">
        <f>IFERROR(__xludf.DUMMYFUNCTION("""COMPUTED_VALUE"""),"Dado não disponível publicamente - Necessário Discovery")</f>
        <v>Dado não disponível publicamente - Necessário Discovery</v>
      </c>
      <c r="G521" s="4">
        <f>IFERROR(__xludf.DUMMYFUNCTION("""COMPUTED_VALUE"""),55.0)</f>
        <v>55</v>
      </c>
      <c r="H521" s="4" t="str">
        <f>IFERROR(__xludf.DUMMYFUNCTION("""COMPUTED_VALUE"""),"52% - Restaurante único chef-driven Campinas. Perfil: Table Service premium autoral. Aderência baixa-moderada: operação artesanal unitária sem padronização (cada prato é criação chef). 3S é enterprise, melhor para redes. Potencial se houver plano de 2ª ca"&amp;"sa ou expansão conceito.")</f>
        <v>52% - Restaurante único chef-driven Campinas. Perfil: Table Service premium autoral. Aderência baixa-moderada: operação artesanal unitária sem padronização (cada prato é criação chef). 3S é enterprise, melhor para redes. Potencial se houver plano de 2ª casa ou expansão conceito.</v>
      </c>
      <c r="I521" s="4" t="str">
        <f>IFERROR(__xludf.DUMMYFUNCTION("""COMPUTED_VALUE"""),"PDV atual não identificado - Restaurante chef-driven único. ANÁLISE: Operação artesanal autoral tem baixa padronização (cada prato é criação única). Sistemas enterprise são desenhados para replicabilidade. 3S seria útil para: controle financeiro, inventár"&amp;"io, relatórios gerenciais. LIMITAÇÃO: Sem padronização de receitas/operação, funcionalidades premium 3S (KDS, gestão franquias, multi-unidade) seriam subutilizadas. RECOMENDAÇÃO: Baixa prioridade abordagem. Monitorar se chef decidir expandir conceito ou a"&amp;"brir 2ª casa.")</f>
        <v>PDV atual não identificado - Restaurante chef-driven único. ANÁLISE: Operação artesanal autoral tem baixa padronização (cada prato é criação única). Sistemas enterprise são desenhados para replicabilidade. 3S seria útil para: controle financeiro, inventário, relatórios gerenciais. LIMITAÇÃO: Sem padronização de receitas/operação, funcionalidades premium 3S (KDS, gestão franquias, multi-unidade) seriam subutilizadas. RECOMENDAÇÃO: Baixa prioridade abordagem. Monitorar se chef decidir expandir conceito ou abrir 2ª casa.</v>
      </c>
      <c r="K521" s="4" t="str">
        <f>IFERROR(__xludf.DUMMYFUNCTION("""COMPUTED_VALUE"""),"DUGAS ORIGINAL - CONTA GRUPO")</f>
        <v>DUGAS ORIGINAL - CONTA GRUPO</v>
      </c>
      <c r="L521" s="32">
        <f>IFERROR(__xludf.DUMMYFUNCTION("""COMPUTED_VALUE"""),14.0)</f>
        <v>14</v>
      </c>
      <c r="M521" s="4" t="str">
        <f>IFERROR(__xludf.DUMMYFUNCTION("""COMPUTED_VALUE"""),"Yooga")</f>
        <v>Yooga</v>
      </c>
      <c r="N521" s="33">
        <f>IFERROR(__xludf.DUMMYFUNCTION("""COMPUTED_VALUE"""),0.5714285714285714)</f>
        <v>0.5714285714</v>
      </c>
      <c r="O521" s="4" t="str">
        <f>IFERROR(__xludf.DUMMYFUNCTION("""COMPUTED_VALUE"""),"Yooga")</f>
        <v>Yooga</v>
      </c>
      <c r="P521" s="33">
        <f>IFERROR(__xludf.DUMMYFUNCTION("""COMPUTED_VALUE"""),0.5)</f>
        <v>0.5</v>
      </c>
      <c r="Q521" s="4" t="str">
        <f>IFERROR(__xludf.DUMMYFUNCTION("""COMPUTED_VALUE"""),"Yooga")</f>
        <v>Yooga</v>
      </c>
      <c r="R521" s="33">
        <f>IFERROR(__xludf.DUMMYFUNCTION("""COMPUTED_VALUE"""),0.35714285714285715)</f>
        <v>0.3571428571</v>
      </c>
      <c r="S521" s="4" t="str">
        <f>IFERROR(__xludf.DUMMYFUNCTION("""COMPUTED_VALUE"""),"Saipos Serviços De Software")</f>
        <v>Saipos Serviços De Software</v>
      </c>
      <c r="T521" s="33">
        <f>IFERROR(__xludf.DUMMYFUNCTION("""COMPUTED_VALUE"""),0.42857142857142855)</f>
        <v>0.4285714286</v>
      </c>
      <c r="U521" s="4" t="str">
        <f>IFERROR(__xludf.DUMMYFUNCTION("""COMPUTED_VALUE"""),"Saipos Serviços De Software")</f>
        <v>Saipos Serviços De Software</v>
      </c>
      <c r="V521" s="33">
        <f>IFERROR(__xludf.DUMMYFUNCTION("""COMPUTED_VALUE"""),0.42857142857142855)</f>
        <v>0.4285714286</v>
      </c>
      <c r="W521" s="4" t="str">
        <f>IFERROR(__xludf.DUMMYFUNCTION("""COMPUTED_VALUE"""),"null")</f>
        <v>null</v>
      </c>
      <c r="X521" s="33">
        <f>IFERROR(__xludf.DUMMYFUNCTION("""COMPUTED_VALUE"""),0.35714285714285715)</f>
        <v>0.3571428571</v>
      </c>
    </row>
    <row r="522">
      <c r="A522" s="4" t="str">
        <f>IFERROR(__xludf.DUMMYFUNCTION("""COMPUTED_VALUE"""),"Bardana Gastronomia")</f>
        <v>Bardana Gastronomia</v>
      </c>
      <c r="B522" s="4" t="str">
        <f>IFERROR(__xludf.DUMMYFUNCTION("""COMPUTED_VALUE"""),"5 unidades (2 em Campinas, 3 no Rio de Janeiro)")</f>
        <v>5 unidades (2 em Campinas, 3 no Rio de Janeiro)</v>
      </c>
      <c r="C522" s="4" t="str">
        <f>IFERROR(__xludf.DUMMYFUNCTION("""COMPUTED_VALUE"""),"R$ 40-60 (buffet natural/vegano)")</f>
        <v>R$ 40-60 (buffet natural/vegano)</v>
      </c>
      <c r="D522" s="4" t="str">
        <f>IFERROR(__xludf.DUMMYFUNCTION("""COMPUTED_VALUE"""),"Fast Casual - Restaurantes naturais/veganos com buffet saudável")</f>
        <v>Fast Casual - Restaurantes naturais/veganos com buffet saudável</v>
      </c>
      <c r="E522" s="4" t="str">
        <f>IFERROR(__xludf.DUMMYFUNCTION("""COMPUTED_VALUE"""),"Regional - Campinas/SP (2) e Rio de Janeiro/RJ (3)")</f>
        <v>Regional - Campinas/SP (2) e Rio de Janeiro/RJ (3)</v>
      </c>
      <c r="F522" s="4" t="str">
        <f>IFERROR(__xludf.DUMMYFUNCTION("""COMPUTED_VALUE"""),"Dado não disponível publicamente - Necessário Discovery")</f>
        <v>Dado não disponível publicamente - Necessário Discovery</v>
      </c>
      <c r="G522" s="4">
        <f>IFERROR(__xludf.DUMMYFUNCTION("""COMPUTED_VALUE"""),60.0)</f>
        <v>60</v>
      </c>
      <c r="H522" s="4" t="str">
        <f>IFERROR(__xludf.DUMMYFUNCTION("""COMPUTED_VALUE"""),"58% - Rede 5 lojas natural/vegana (Campinas e RJ). Perfil: Fast Casual saudável buffet. Aderência moderada: operação multi-cidade (2 praças) com foco nicho específico. 3S resolve: controle ingredientes (importante para vegano/alergênicos), gestão nutricio"&amp;"nal, inventário automatizado. Gargalo: escala ainda pequena (5 lojas) mas em crescimento.")</f>
        <v>58% - Rede 5 lojas natural/vegana (Campinas e RJ). Perfil: Fast Casual saudável buffet. Aderência moderada: operação multi-cidade (2 praças) com foco nicho específico. 3S resolve: controle ingredientes (importante para vegano/alergênicos), gestão nutricional, inventário automatizado. Gargalo: escala ainda pequena (5 lojas) mas em crescimento.</v>
      </c>
      <c r="I522" s="4" t="str">
        <f>IFERROR(__xludf.DUMMYFUNCTION("""COMPUTED_VALUE"""),"PDV atual não identificado - 5 lojas natural/vegano. ANÁLISE: Culinária vegana necessita: (1) controle rigoroso ingredientes (rastreabilidade alergênicos/origem), (2) gestão de informações nutricionais, (3) inventário de perecíveis frescos. 3S VANTAGEM: G"&amp;"estão de ingredientes com informações nutricionais, controle de receitas com rastreabilidade, alertas de validade perecíveis, relatórios de desperdício (crítico em operação fresh). OPORTUNIDADE: Escala crescente (2 cidades), modelo expandível. GATILHO: Co"&amp;"mplexidade controle qualidade/origem ingredientes veganos.")</f>
        <v>PDV atual não identificado - 5 lojas natural/vegano. ANÁLISE: Culinária vegana necessita: (1) controle rigoroso ingredientes (rastreabilidade alergênicos/origem), (2) gestão de informações nutricionais, (3) inventário de perecíveis frescos. 3S VANTAGEM: Gestão de ingredientes com informações nutricionais, controle de receitas com rastreabilidade, alertas de validade perecíveis, relatórios de desperdício (crítico em operação fresh). OPORTUNIDADE: Escala crescente (2 cidades), modelo expandível. GATILHO: Complexidade controle qualidade/origem ingredientes veganos.</v>
      </c>
      <c r="K522" s="4" t="str">
        <f>IFERROR(__xludf.DUMMYFUNCTION("""COMPUTED_VALUE"""),"FARMACIA DAVO - CONTA PAI")</f>
        <v>FARMACIA DAVO - CONTA PAI</v>
      </c>
      <c r="L522" s="32">
        <f>IFERROR(__xludf.DUMMYFUNCTION("""COMPUTED_VALUE"""),14.0)</f>
        <v>14</v>
      </c>
      <c r="M522" s="4" t="str">
        <f>IFERROR(__xludf.DUMMYFUNCTION("""COMPUTED_VALUE"""),"N/A (Not found)")</f>
        <v>N/A (Not found)</v>
      </c>
      <c r="N522" s="33">
        <f>IFERROR(__xludf.DUMMYFUNCTION("""COMPUTED_VALUE"""),0.9285714285714286)</f>
        <v>0.9285714286</v>
      </c>
      <c r="O522" s="4" t="str">
        <f>IFERROR(__xludf.DUMMYFUNCTION("""COMPUTED_VALUE"""),"N/A (Not found)")</f>
        <v>N/A (Not found)</v>
      </c>
      <c r="P522" s="33">
        <f>IFERROR(__xludf.DUMMYFUNCTION("""COMPUTED_VALUE"""),0.9285714285714286)</f>
        <v>0.9285714286</v>
      </c>
      <c r="Q522" s="4" t="str">
        <f>IFERROR(__xludf.DUMMYFUNCTION("""COMPUTED_VALUE"""),"N/A (Not found)")</f>
        <v>N/A (Not found)</v>
      </c>
      <c r="R522" s="33">
        <f>IFERROR(__xludf.DUMMYFUNCTION("""COMPUTED_VALUE"""),1.0)</f>
        <v>1</v>
      </c>
      <c r="S522" s="4" t="str">
        <f>IFERROR(__xludf.DUMMYFUNCTION("""COMPUTED_VALUE"""),"N/A (Not found)")</f>
        <v>N/A (Not found)</v>
      </c>
      <c r="T522" s="33">
        <f>IFERROR(__xludf.DUMMYFUNCTION("""COMPUTED_VALUE"""),1.0)</f>
        <v>1</v>
      </c>
      <c r="U522" s="4" t="str">
        <f>IFERROR(__xludf.DUMMYFUNCTION("""COMPUTED_VALUE"""),"N/A (Not found)")</f>
        <v>N/A (Not found)</v>
      </c>
      <c r="V522" s="33">
        <f>IFERROR(__xludf.DUMMYFUNCTION("""COMPUTED_VALUE"""),1.0)</f>
        <v>1</v>
      </c>
      <c r="W522" s="4" t="str">
        <f>IFERROR(__xludf.DUMMYFUNCTION("""COMPUTED_VALUE"""),"N/A (Not found)")</f>
        <v>N/A (Not found)</v>
      </c>
      <c r="X522" s="33">
        <f>IFERROR(__xludf.DUMMYFUNCTION("""COMPUTED_VALUE"""),1.0)</f>
        <v>1</v>
      </c>
    </row>
    <row r="523">
      <c r="A523" s="4" t="str">
        <f>IFERROR(__xludf.DUMMYFUNCTION("""COMPUTED_VALUE"""),"Bella &amp; Paulista Pizzaria")</f>
        <v>Bella &amp; Paulista Pizzaria</v>
      </c>
      <c r="B523" s="4" t="str">
        <f>IFERROR(__xludf.DUMMYFUNCTION("""COMPUTED_VALUE"""),"5 lojas (Osasco e São Vicente)")</f>
        <v>5 lojas (Osasco e São Vicente)</v>
      </c>
      <c r="C523" s="4" t="str">
        <f>IFERROR(__xludf.DUMMYFUNCTION("""COMPUTED_VALUE"""),"R$ 50-70 (pizzaria delivery)")</f>
        <v>R$ 50-70 (pizzaria delivery)</v>
      </c>
      <c r="D523" s="4" t="str">
        <f>IFERROR(__xludf.DUMMYFUNCTION("""COMPUTED_VALUE"""),"QSR / Delivery - Pizzaria com foco delivery e retirada")</f>
        <v>QSR / Delivery - Pizzaria com foco delivery e retirada</v>
      </c>
      <c r="E523" s="4" t="str">
        <f>IFERROR(__xludf.DUMMYFUNCTION("""COMPUTED_VALUE"""),"Regional SP - Osasco/SP (3) e São Vicente/SP (litoral)")</f>
        <v>Regional SP - Osasco/SP (3) e São Vicente/SP (litoral)</v>
      </c>
      <c r="F523" s="4" t="str">
        <f>IFERROR(__xludf.DUMMYFUNCTION("""COMPUTED_VALUE"""),"Dado não disponível publicamente - Necessário Discovery")</f>
        <v>Dado não disponível publicamente - Necessário Discovery</v>
      </c>
      <c r="G523" s="4">
        <f>IFERROR(__xludf.DUMMYFUNCTION("""COMPUTED_VALUE"""),68.0)</f>
        <v>68</v>
      </c>
      <c r="H523" s="4" t="str">
        <f>IFERROR(__xludf.DUMMYFUNCTION("""COMPUTED_VALUE"""),"65% - Pizzaria 5 lojas foco delivery (Osasco e litoral). Perfil: QSR delivery intensivo. Aderência boa: operação multi-unidade com delivery como canal principal. 3S resolve: hub delivery nativo (integração iFood/Rappi/whitelabel), gestão centralizada card"&amp;"ápio, KDS para cozinha, controle de pedidos por canal. Atual: possivelmente sistema básico sem integração robusta.")</f>
        <v>65% - Pizzaria 5 lojas foco delivery (Osasco e litoral). Perfil: QSR delivery intensivo. Aderência boa: operação multi-unidade com delivery como canal principal. 3S resolve: hub delivery nativo (integração iFood/Rappi/whitelabel), gestão centralizada cardápio, KDS para cozinha, controle de pedidos por canal. Atual: possivelmente sistema básico sem integração robusta.</v>
      </c>
      <c r="I523" s="4" t="str">
        <f>IFERROR(__xludf.DUMMYFUNCTION("""COMPUTED_VALUE"""),"PDV atual provável: sistema básico delivery ou plataforma tipo Accon (mencionado na busca contexto geral pizzarias). ANÁLISE: Pizzarias delivery-intensivo enfrentam: (1) fragmentação de pedidos (iFood/Rappi/WhatsApp/telefone), (2) falta de KDS integrado c"&amp;"ozinha/forno, (3) dificuldade controle de tempos e qualidade. 3S VANTAGEM: Hub delivery nativo centralizando todos os canais, KDS para cozinha com tempos de preparo/forno, gestão centralizada cardápio aplicada 5 lojas simultaneamente, alertas de pedidos a"&amp;"trasados. GATILHO: Caos operacional delivery vs. centralização e controle.")</f>
        <v>PDV atual provável: sistema básico delivery ou plataforma tipo Accon (mencionado na busca contexto geral pizzarias). ANÁLISE: Pizzarias delivery-intensivo enfrentam: (1) fragmentação de pedidos (iFood/Rappi/WhatsApp/telefone), (2) falta de KDS integrado cozinha/forno, (3) dificuldade controle de tempos e qualidade. 3S VANTAGEM: Hub delivery nativo centralizando todos os canais, KDS para cozinha com tempos de preparo/forno, gestão centralizada cardápio aplicada 5 lojas simultaneamente, alertas de pedidos atrasados. GATILHO: Caos operacional delivery vs. centralização e controle.</v>
      </c>
      <c r="K523" s="4" t="str">
        <f>IFERROR(__xludf.DUMMYFUNCTION("""COMPUTED_VALUE"""),"FLYING SUSHI")</f>
        <v>FLYING SUSHI</v>
      </c>
      <c r="L523" s="32">
        <f>IFERROR(__xludf.DUMMYFUNCTION("""COMPUTED_VALUE"""),14.0)</f>
        <v>14</v>
      </c>
      <c r="M523" s="4" t="str">
        <f>IFERROR(__xludf.DUMMYFUNCTION("""COMPUTED_VALUE"""),"Eclética Tecnologia")</f>
        <v>Eclética Tecnologia</v>
      </c>
      <c r="N523" s="33">
        <f>IFERROR(__xludf.DUMMYFUNCTION("""COMPUTED_VALUE"""),1.0)</f>
        <v>1</v>
      </c>
      <c r="O523" s="4" t="str">
        <f>IFERROR(__xludf.DUMMYFUNCTION("""COMPUTED_VALUE"""),"Eclética Tecnologia")</f>
        <v>Eclética Tecnologia</v>
      </c>
      <c r="P523" s="33">
        <f>IFERROR(__xludf.DUMMYFUNCTION("""COMPUTED_VALUE"""),0.7857142857142857)</f>
        <v>0.7857142857</v>
      </c>
      <c r="Q523" s="4" t="str">
        <f>IFERROR(__xludf.DUMMYFUNCTION("""COMPUTED_VALUE"""),"Eclética Tecnologia")</f>
        <v>Eclética Tecnologia</v>
      </c>
      <c r="R523" s="33">
        <f>IFERROR(__xludf.DUMMYFUNCTION("""COMPUTED_VALUE"""),1.0)</f>
        <v>1</v>
      </c>
      <c r="S523" s="4" t="str">
        <f>IFERROR(__xludf.DUMMYFUNCTION("""COMPUTED_VALUE"""),"Eclética Tecnologia")</f>
        <v>Eclética Tecnologia</v>
      </c>
      <c r="T523" s="33">
        <f>IFERROR(__xludf.DUMMYFUNCTION("""COMPUTED_VALUE"""),1.0)</f>
        <v>1</v>
      </c>
      <c r="U523" s="4" t="str">
        <f>IFERROR(__xludf.DUMMYFUNCTION("""COMPUTED_VALUE"""),"Eclética Tecnologia")</f>
        <v>Eclética Tecnologia</v>
      </c>
      <c r="V523" s="33">
        <f>IFERROR(__xludf.DUMMYFUNCTION("""COMPUTED_VALUE"""),0.6428571428571429)</f>
        <v>0.6428571429</v>
      </c>
      <c r="W523" s="4" t="str">
        <f>IFERROR(__xludf.DUMMYFUNCTION("""COMPUTED_VALUE"""),"Eclética Tecnologia")</f>
        <v>Eclética Tecnologia</v>
      </c>
      <c r="X523" s="33">
        <f>IFERROR(__xludf.DUMMYFUNCTION("""COMPUTED_VALUE"""),0.6428571428571429)</f>
        <v>0.6428571429</v>
      </c>
    </row>
    <row r="524">
      <c r="A524" s="4" t="str">
        <f>IFERROR(__xludf.DUMMYFUNCTION("""COMPUTED_VALUE"""),"Restaurante America")</f>
        <v>Restaurante America</v>
      </c>
      <c r="B524" s="4" t="str">
        <f>IFERROR(__xludf.DUMMYFUNCTION("""COMPUTED_VALUE"""),"14-16 lojas na Grande São Paulo")</f>
        <v>14-16 lojas na Grande São Paulo</v>
      </c>
      <c r="C524" s="4" t="str">
        <f>IFERROR(__xludf.DUMMYFUNCTION("""COMPUTED_VALUE"""),"R$ 35-50 (self-service)")</f>
        <v>R$ 35-50 (self-service)</v>
      </c>
      <c r="D524" s="4" t="str">
        <f>IFERROR(__xludf.DUMMYFUNCTION("""COMPUTED_VALUE"""),"QSR - Self-service popular com múltiplas unidades regionais")</f>
        <v>QSR - Self-service popular com múltiplas unidades regionais</v>
      </c>
      <c r="E524" s="4" t="str">
        <f>IFERROR(__xludf.DUMMYFUNCTION("""COMPUTED_VALUE"""),"Regional SP - Grande São Paulo (14-16 lojas)")</f>
        <v>Regional SP - Grande São Paulo (14-16 lojas)</v>
      </c>
      <c r="F524" s="4" t="str">
        <f>IFERROR(__xludf.DUMMYFUNCTION("""COMPUTED_VALUE"""),"Dado não disponível publicamente - Necessário Discovery")</f>
        <v>Dado não disponível publicamente - Necessário Discovery</v>
      </c>
      <c r="G524" s="4">
        <f>IFERROR(__xludf.DUMMYFUNCTION("""COMPUTED_VALUE"""),70.0)</f>
        <v>70</v>
      </c>
      <c r="H524" s="4" t="str">
        <f>IFERROR(__xludf.DUMMYFUNCTION("""COMPUTED_VALUE"""),"68% - Rede self-service 14-16 lojas Grande SP. Perfil: QSR popular alto volume. Aderência boa: operação em escala com necessidade de padronização, controle de custos (CMV crítico em self-service), gestão de inventário multi-loja. 3S resolve: relatórios CM"&amp;"V detalhados, contagens de estoque automatizadas, dashboard financeiro e gestão centralizada preços.")</f>
        <v>68% - Rede self-service 14-16 lojas Grande SP. Perfil: QSR popular alto volume. Aderência boa: operação em escala com necessidade de padronização, controle de custos (CMV crítico em self-service), gestão de inventário multi-loja. 3S resolve: relatórios CMV detalhados, contagens de estoque automatizadas, dashboard financeiro e gestão centralizada preços.</v>
      </c>
      <c r="I524" s="4" t="str">
        <f>IFERROR(__xludf.DUMMYFUNCTION("""COMPUTED_VALUE"""),"PDV atual não identificado - 14-16 lojas self-service popular. ANÁLISE: Operação em escala com ticket médio baixo (R$ 35-50) exige: (1) controle rigoroso CMV (margem crítica), (2) padronização operacional multi-loja, (3) gestão de inventário com transferê"&amp;"ncias entre lojas, (4) relatórios consolidados. 3S VANTAGEM: Dashboard CMV com comparações entre lojas, módulo de transferências de estoque, contagens automatizadas (diária/semanal/mensal), gestão centralizada de preços com aplicação regional. OPORTUNIDAD"&amp;"E: Escala justifica ROI robusto. GATILHO: Necessidade de padronização e controle de custos em rede estabelecida.")</f>
        <v>PDV atual não identificado - 14-16 lojas self-service popular. ANÁLISE: Operação em escala com ticket médio baixo (R$ 35-50) exige: (1) controle rigoroso CMV (margem crítica), (2) padronização operacional multi-loja, (3) gestão de inventário com transferências entre lojas, (4) relatórios consolidados. 3S VANTAGEM: Dashboard CMV com comparações entre lojas, módulo de transferências de estoque, contagens automatizadas (diária/semanal/mensal), gestão centralizada de preços com aplicação regional. OPORTUNIDADE: Escala justifica ROI robusto. GATILHO: Necessidade de padronização e controle de custos em rede estabelecida.</v>
      </c>
      <c r="K524" s="4" t="str">
        <f>IFERROR(__xludf.DUMMYFUNCTION("""COMPUTED_VALUE"""),"FORNO PAULISTA TERESINA")</f>
        <v>FORNO PAULISTA TERESINA</v>
      </c>
      <c r="L524" s="32">
        <f>IFERROR(__xludf.DUMMYFUNCTION("""COMPUTED_VALUE"""),14.0)</f>
        <v>14</v>
      </c>
      <c r="M524" s="4" t="str">
        <f>IFERROR(__xludf.DUMMYFUNCTION("""COMPUTED_VALUE"""),"Saipos Serviços De Software")</f>
        <v>Saipos Serviços De Software</v>
      </c>
      <c r="N524" s="33">
        <f>IFERROR(__xludf.DUMMYFUNCTION("""COMPUTED_VALUE"""),0.7857142857142857)</f>
        <v>0.7857142857</v>
      </c>
      <c r="O524" s="4" t="str">
        <f>IFERROR(__xludf.DUMMYFUNCTION("""COMPUTED_VALUE"""),"Saipos Serviços De Software")</f>
        <v>Saipos Serviços De Software</v>
      </c>
      <c r="P524" s="33">
        <f>IFERROR(__xludf.DUMMYFUNCTION("""COMPUTED_VALUE"""),0.7142857142857143)</f>
        <v>0.7142857143</v>
      </c>
      <c r="Q524" s="4" t="str">
        <f>IFERROR(__xludf.DUMMYFUNCTION("""COMPUTED_VALUE"""),"Saipos Serviços De Software")</f>
        <v>Saipos Serviços De Software</v>
      </c>
      <c r="R524" s="33">
        <f>IFERROR(__xludf.DUMMYFUNCTION("""COMPUTED_VALUE"""),0.8571428571428571)</f>
        <v>0.8571428571</v>
      </c>
      <c r="S524" s="4" t="str">
        <f>IFERROR(__xludf.DUMMYFUNCTION("""COMPUTED_VALUE"""),"Saipos Serviços De Software")</f>
        <v>Saipos Serviços De Software</v>
      </c>
      <c r="T524" s="33">
        <f>IFERROR(__xludf.DUMMYFUNCTION("""COMPUTED_VALUE"""),0.9285714285714286)</f>
        <v>0.9285714286</v>
      </c>
      <c r="U524" s="4" t="str">
        <f>IFERROR(__xludf.DUMMYFUNCTION("""COMPUTED_VALUE"""),"Saipos Serviços De Software")</f>
        <v>Saipos Serviços De Software</v>
      </c>
      <c r="V524" s="33">
        <f>IFERROR(__xludf.DUMMYFUNCTION("""COMPUTED_VALUE"""),0.7857142857142857)</f>
        <v>0.7857142857</v>
      </c>
      <c r="W524" s="4" t="str">
        <f>IFERROR(__xludf.DUMMYFUNCTION("""COMPUTED_VALUE"""),"Saipos Serviços De Software")</f>
        <v>Saipos Serviços De Software</v>
      </c>
      <c r="X524" s="33">
        <f>IFERROR(__xludf.DUMMYFUNCTION("""COMPUTED_VALUE"""),0.8571428571428571)</f>
        <v>0.8571428571</v>
      </c>
    </row>
    <row r="525">
      <c r="A525" s="4" t="str">
        <f>IFERROR(__xludf.DUMMYFUNCTION("""COMPUTED_VALUE"""),"Bing Bing Dim Sum")</f>
        <v>Bing Bing Dim Sum</v>
      </c>
      <c r="B525" s="4" t="str">
        <f>IFERROR(__xludf.DUMMYFUNCTION("""COMPUTED_VALUE"""),"Dado não disponível publicamente - Marca EUA sem operação BR confirmada")</f>
        <v>Dado não disponível publicamente - Marca EUA sem operação BR confirmada</v>
      </c>
      <c r="C525" s="4" t="str">
        <f>IFERROR(__xludf.DUMMYFUNCTION("""COMPUTED_VALUE"""),"Dado não disponível publicamente - Necessário Discovery")</f>
        <v>Dado não disponível publicamente - Necessário Discovery</v>
      </c>
      <c r="D525" s="4" t="str">
        <f>IFERROR(__xludf.DUMMYFUNCTION("""COMPUTED_VALUE"""),"Operação não confirmada no Brasil")</f>
        <v>Operação não confirmada no Brasil</v>
      </c>
      <c r="E525" s="4" t="str">
        <f>IFERROR(__xludf.DUMMYFUNCTION("""COMPUTED_VALUE"""),"Não aplicável - Sem operação BR confirmada")</f>
        <v>Não aplicável - Sem operação BR confirmada</v>
      </c>
      <c r="F525" s="4" t="str">
        <f>IFERROR(__xludf.DUMMYFUNCTION("""COMPUTED_VALUE"""),"Não aplicável")</f>
        <v>Não aplicável</v>
      </c>
      <c r="G525" s="4">
        <f>IFERROR(__xludf.DUMMYFUNCTION("""COMPUTED_VALUE"""),35.0)</f>
        <v>35</v>
      </c>
      <c r="H525" s="4" t="str">
        <f>IFERROR(__xludf.DUMMYFUNCTION("""COMPUTED_VALUE"""),"30% - Marca sem operação confirmada Brasil. Aderência baixa: necessário confirmar existência de lojas físicas no país antes de qualificar. Se confirmado futuro roll-out Brasil, aderência sobe conforme modelo operacional.")</f>
        <v>30% - Marca sem operação confirmada Brasil. Aderência baixa: necessário confirmar existência de lojas físicas no país antes de qualificar. Se confirmado futuro roll-out Brasil, aderência sobe conforme modelo operacional.</v>
      </c>
      <c r="I525" s="4" t="str">
        <f>IFERROR(__xludf.DUMMYFUNCTION("""COMPUTED_VALUE"""),"Não aplicável - Sem operação confirmada Brasil. RECOMENDAÇÃO: Confirmar existência de lojas físicas antes de qualificar. Se houver roll-out planejado no Brasil, abordagem como marca global que precisa de partner local especializado food service. 3S seria "&amp;"solução turnkey para operação brasileira com flexibilidade para integração com sistema corporativo internacional.")</f>
        <v>Não aplicável - Sem operação confirmada Brasil. RECOMENDAÇÃO: Confirmar existência de lojas físicas antes de qualificar. Se houver roll-out planejado no Brasil, abordagem como marca global que precisa de partner local especializado food service. 3S seria solução turnkey para operação brasileira com flexibilidade para integração com sistema corporativo internacional.</v>
      </c>
      <c r="K525" s="4" t="str">
        <f>IFERROR(__xludf.DUMMYFUNCTION("""COMPUTED_VALUE"""),"GIGANTE NORDESTINO")</f>
        <v>GIGANTE NORDESTINO</v>
      </c>
      <c r="L525" s="32">
        <f>IFERROR(__xludf.DUMMYFUNCTION("""COMPUTED_VALUE"""),14.0)</f>
        <v>14</v>
      </c>
      <c r="M525" s="4" t="str">
        <f>IFERROR(__xludf.DUMMYFUNCTION("""COMPUTED_VALUE"""),"Ncr")</f>
        <v>Ncr</v>
      </c>
      <c r="N525" s="33">
        <f>IFERROR(__xludf.DUMMYFUNCTION("""COMPUTED_VALUE"""),1.0)</f>
        <v>1</v>
      </c>
      <c r="O525" s="4" t="str">
        <f>IFERROR(__xludf.DUMMYFUNCTION("""COMPUTED_VALUE"""),"Ncr")</f>
        <v>Ncr</v>
      </c>
      <c r="P525" s="33">
        <f>IFERROR(__xludf.DUMMYFUNCTION("""COMPUTED_VALUE"""),0.7857142857142857)</f>
        <v>0.7857142857</v>
      </c>
      <c r="Q525" s="4" t="str">
        <f>IFERROR(__xludf.DUMMYFUNCTION("""COMPUTED_VALUE"""),"Ncr")</f>
        <v>Ncr</v>
      </c>
      <c r="R525" s="33">
        <f>IFERROR(__xludf.DUMMYFUNCTION("""COMPUTED_VALUE"""),0.8571428571428571)</f>
        <v>0.8571428571</v>
      </c>
      <c r="S525" s="4" t="str">
        <f>IFERROR(__xludf.DUMMYFUNCTION("""COMPUTED_VALUE"""),"Ncr")</f>
        <v>Ncr</v>
      </c>
      <c r="T525" s="33">
        <f>IFERROR(__xludf.DUMMYFUNCTION("""COMPUTED_VALUE"""),0.7857142857142857)</f>
        <v>0.7857142857</v>
      </c>
      <c r="U525" s="4" t="str">
        <f>IFERROR(__xludf.DUMMYFUNCTION("""COMPUTED_VALUE"""),"Ncr")</f>
        <v>Ncr</v>
      </c>
      <c r="V525" s="33">
        <f>IFERROR(__xludf.DUMMYFUNCTION("""COMPUTED_VALUE"""),0.7142857142857143)</f>
        <v>0.7142857143</v>
      </c>
      <c r="W525" s="4" t="str">
        <f>IFERROR(__xludf.DUMMYFUNCTION("""COMPUTED_VALUE"""),"Ncr")</f>
        <v>Ncr</v>
      </c>
      <c r="X525" s="33">
        <f>IFERROR(__xludf.DUMMYFUNCTION("""COMPUTED_VALUE"""),0.5714285714285714)</f>
        <v>0.5714285714</v>
      </c>
    </row>
    <row r="526">
      <c r="A526" s="4" t="str">
        <f>IFERROR(__xludf.DUMMYFUNCTION("""COMPUTED_VALUE"""),"Banana Brasil")</f>
        <v>Banana Brasil</v>
      </c>
      <c r="B526" s="4" t="str">
        <f>IFERROR(__xludf.DUMMYFUNCTION("""COMPUTED_VALUE"""),"Dado não disponível publicamente - Marca não identificada como rede")</f>
        <v>Dado não disponível publicamente - Marca não identificada como rede</v>
      </c>
      <c r="C526" s="4" t="str">
        <f>IFERROR(__xludf.DUMMYFUNCTION("""COMPUTED_VALUE"""),"Dado não disponível publicamente - Necessário Discovery")</f>
        <v>Dado não disponível publicamente - Necessário Discovery</v>
      </c>
      <c r="D526" s="4" t="str">
        <f>IFERROR(__xludf.DUMMYFUNCTION("""COMPUTED_VALUE"""),"Marca não confirmada como rede de restaurantes")</f>
        <v>Marca não confirmada como rede de restaurantes</v>
      </c>
      <c r="E526" s="4" t="str">
        <f>IFERROR(__xludf.DUMMYFUNCTION("""COMPUTED_VALUE"""),"Não aplicável")</f>
        <v>Não aplicável</v>
      </c>
      <c r="F526" s="4" t="str">
        <f>IFERROR(__xludf.DUMMYFUNCTION("""COMPUTED_VALUE"""),"Não aplicável")</f>
        <v>Não aplicável</v>
      </c>
      <c r="G526" s="4">
        <f>IFERROR(__xludf.DUMMYFUNCTION("""COMPUTED_VALUE"""),30.0)</f>
        <v>30</v>
      </c>
      <c r="H526" s="4" t="str">
        <f>IFERROR(__xludf.DUMMYFUNCTION("""COMPUTED_VALUE"""),"25% - Marca não identificada como rede restaurante. Aderência muito baixa: falta clareza sobre modelo de negócio. Necessário discovery profundo para qualificar real operação food service.")</f>
        <v>25% - Marca não identificada como rede restaurante. Aderência muito baixa: falta clareza sobre modelo de negócio. Necessário discovery profundo para qualificar real operação food service.</v>
      </c>
      <c r="I526" s="4" t="str">
        <f>IFERROR(__xludf.DUMMYFUNCTION("""COMPUTED_VALUE"""),"Não aplicável - Marca não confirmada como rede. RECOMENDAÇÃO: Discovery completo necessário para entender modelo de negócio real antes de qualquer abordagem.")</f>
        <v>Não aplicável - Marca não confirmada como rede. RECOMENDAÇÃO: Discovery completo necessário para entender modelo de negócio real antes de qualquer abordagem.</v>
      </c>
      <c r="K526" s="4" t="str">
        <f>IFERROR(__xludf.DUMMYFUNCTION("""COMPUTED_VALUE"""),"GRUPO SAVASSI")</f>
        <v>GRUPO SAVASSI</v>
      </c>
      <c r="L526" s="32">
        <f>IFERROR(__xludf.DUMMYFUNCTION("""COMPUTED_VALUE"""),14.0)</f>
        <v>14</v>
      </c>
      <c r="M526" s="4" t="str">
        <f>IFERROR(__xludf.DUMMYFUNCTION("""COMPUTED_VALUE"""),"Saipos Serviços De Software")</f>
        <v>Saipos Serviços De Software</v>
      </c>
      <c r="N526" s="33">
        <f>IFERROR(__xludf.DUMMYFUNCTION("""COMPUTED_VALUE"""),1.0)</f>
        <v>1</v>
      </c>
      <c r="O526" s="4" t="str">
        <f>IFERROR(__xludf.DUMMYFUNCTION("""COMPUTED_VALUE"""),"Saipos Serviços De Software")</f>
        <v>Saipos Serviços De Software</v>
      </c>
      <c r="P526" s="33">
        <f>IFERROR(__xludf.DUMMYFUNCTION("""COMPUTED_VALUE"""),1.0)</f>
        <v>1</v>
      </c>
      <c r="Q526" s="4" t="str">
        <f>IFERROR(__xludf.DUMMYFUNCTION("""COMPUTED_VALUE"""),"Saipos Serviços De Software")</f>
        <v>Saipos Serviços De Software</v>
      </c>
      <c r="R526" s="33">
        <f>IFERROR(__xludf.DUMMYFUNCTION("""COMPUTED_VALUE"""),1.0)</f>
        <v>1</v>
      </c>
      <c r="S526" s="4" t="str">
        <f>IFERROR(__xludf.DUMMYFUNCTION("""COMPUTED_VALUE"""),"Saipos Serviços De Software")</f>
        <v>Saipos Serviços De Software</v>
      </c>
      <c r="T526" s="33">
        <f>IFERROR(__xludf.DUMMYFUNCTION("""COMPUTED_VALUE"""),0.9285714285714286)</f>
        <v>0.9285714286</v>
      </c>
      <c r="U526" s="4" t="str">
        <f>IFERROR(__xludf.DUMMYFUNCTION("""COMPUTED_VALUE"""),"Saipos Serviços De Software")</f>
        <v>Saipos Serviços De Software</v>
      </c>
      <c r="V526" s="33">
        <f>IFERROR(__xludf.DUMMYFUNCTION("""COMPUTED_VALUE"""),0.9285714285714286)</f>
        <v>0.9285714286</v>
      </c>
      <c r="W526" s="4" t="str">
        <f>IFERROR(__xludf.DUMMYFUNCTION("""COMPUTED_VALUE"""),"Saipos Serviços De Software")</f>
        <v>Saipos Serviços De Software</v>
      </c>
      <c r="X526" s="33">
        <f>IFERROR(__xludf.DUMMYFUNCTION("""COMPUTED_VALUE"""),0.9285714285714286)</f>
        <v>0.9285714286</v>
      </c>
    </row>
    <row r="527">
      <c r="A527" s="4" t="str">
        <f>IFERROR(__xludf.DUMMYFUNCTION("""COMPUTED_VALUE"""),"Albis")</f>
        <v>Albis</v>
      </c>
      <c r="B527" s="4" t="str">
        <f>IFERROR(__xludf.DUMMYFUNCTION("""COMPUTED_VALUE"""),"1 unidade delivery (Vila Nova Conceição, São Paulo)")</f>
        <v>1 unidade delivery (Vila Nova Conceição, São Paulo)</v>
      </c>
      <c r="C527" s="4" t="str">
        <f>IFERROR(__xludf.DUMMYFUNCTION("""COMPUTED_VALUE"""),"R$ 40-60 (fast-casual Middle East)")</f>
        <v>R$ 40-60 (fast-casual Middle East)</v>
      </c>
      <c r="D527" s="4" t="str">
        <f>IFERROR(__xludf.DUMMYFUNCTION("""COMPUTED_VALUE"""),"Dark Kitchen / Delivery - Fast-casual Middle East 100% delivery/take away")</f>
        <v>Dark Kitchen / Delivery - Fast-casual Middle East 100% delivery/take away</v>
      </c>
      <c r="E527" s="4" t="str">
        <f>IFERROR(__xludf.DUMMYFUNCTION("""COMPUTED_VALUE"""),"Local - São Paulo/SP (Vila Nova Conceição delivery)")</f>
        <v>Local - São Paulo/SP (Vila Nova Conceição delivery)</v>
      </c>
      <c r="F527" s="4" t="str">
        <f>IFERROR(__xludf.DUMMYFUNCTION("""COMPUTED_VALUE"""),"Dado não disponível publicamente - Necessário Discovery")</f>
        <v>Dado não disponível publicamente - Necessário Discovery</v>
      </c>
      <c r="G527" s="4">
        <f>IFERROR(__xludf.DUMMYFUNCTION("""COMPUTED_VALUE"""),62.0)</f>
        <v>62</v>
      </c>
      <c r="H527" s="4" t="str">
        <f>IFERROR(__xludf.DUMMYFUNCTION("""COMPUTED_VALUE"""),"60% - Dark Kitchen delivery Middle East. Perfil: 100% delivery/take away fast-casual. Aderência boa: operação moderna cloud kitchen com foco digital. 3S resolve: hub delivery nativo, gestão multi-marketplace, KDS para produção sem salão, controle de pedid"&amp;"os por canal. Gargalo: unidade única (Vila Nova Conceição) mas modelo escalável.")</f>
        <v>60% - Dark Kitchen delivery Middle East. Perfil: 100% delivery/take away fast-casual. Aderência boa: operação moderna cloud kitchen com foco digital. 3S resolve: hub delivery nativo, gestão multi-marketplace, KDS para produção sem salão, controle de pedidos por canal. Gargalo: unidade única (Vila Nova Conceição) mas modelo escalável.</v>
      </c>
      <c r="I527" s="4" t="str">
        <f>IFERROR(__xludf.DUMMYFUNCTION("""COMPUTED_VALUE"""),"PDV atual não identificado - Dark Kitchen modelo delivery. ANÁLISE: Cloud kitchens necessitam: (1) integração robusta com múltiplos marketplaces (core business é delivery), (2) KDS para produção sem salão, (3) gestão de pedidos por canal/horário. 3S VANTA"&amp;"GEM: Hub delivery nativo (integração iFood/Rappi/whitelabel), KDS especializado para cozinha sem atendimento presencial, relatórios de vendas por canal/marketplace, gestão de horários de pico. OPORTUNIDADE: Modelo escalável (dark kitchen pode replicar em "&amp;"múltiplas praças). GATILHO: Tecnologia como core do negócio, necessidade de integração robusta.")</f>
        <v>PDV atual não identificado - Dark Kitchen modelo delivery. ANÁLISE: Cloud kitchens necessitam: (1) integração robusta com múltiplos marketplaces (core business é delivery), (2) KDS para produção sem salão, (3) gestão de pedidos por canal/horário. 3S VANTAGEM: Hub delivery nativo (integração iFood/Rappi/whitelabel), KDS especializado para cozinha sem atendimento presencial, relatórios de vendas por canal/marketplace, gestão de horários de pico. OPORTUNIDADE: Modelo escalável (dark kitchen pode replicar em múltiplas praças). GATILHO: Tecnologia como core do negócio, necessidade de integração robusta.</v>
      </c>
      <c r="K527" s="4" t="str">
        <f>IFERROR(__xludf.DUMMYFUNCTION("""COMPUTED_VALUE"""),"GRUPO SOHO AM - CONTA PAI")</f>
        <v>GRUPO SOHO AM - CONTA PAI</v>
      </c>
      <c r="L527" s="32">
        <f>IFERROR(__xludf.DUMMYFUNCTION("""COMPUTED_VALUE"""),14.0)</f>
        <v>14</v>
      </c>
      <c r="M527" s="4" t="str">
        <f>IFERROR(__xludf.DUMMYFUNCTION("""COMPUTED_VALUE"""),"Mohatron Ti Web Ltda")</f>
        <v>Mohatron Ti Web Ltda</v>
      </c>
      <c r="N527" s="33">
        <f>IFERROR(__xludf.DUMMYFUNCTION("""COMPUTED_VALUE"""),0.6428571428571429)</f>
        <v>0.6428571429</v>
      </c>
      <c r="O527" s="4" t="str">
        <f>IFERROR(__xludf.DUMMYFUNCTION("""COMPUTED_VALUE"""),"Mohatron Ti Web Ltda")</f>
        <v>Mohatron Ti Web Ltda</v>
      </c>
      <c r="P527" s="33">
        <f>IFERROR(__xludf.DUMMYFUNCTION("""COMPUTED_VALUE"""),0.6428571428571429)</f>
        <v>0.6428571429</v>
      </c>
      <c r="Q527" s="4" t="str">
        <f>IFERROR(__xludf.DUMMYFUNCTION("""COMPUTED_VALUE"""),"Mohatron Ti Web Ltda")</f>
        <v>Mohatron Ti Web Ltda</v>
      </c>
      <c r="R527" s="33">
        <f>IFERROR(__xludf.DUMMYFUNCTION("""COMPUTED_VALUE"""),0.7142857142857143)</f>
        <v>0.7142857143</v>
      </c>
      <c r="S527" s="4" t="str">
        <f>IFERROR(__xludf.DUMMYFUNCTION("""COMPUTED_VALUE"""),"Mohatron Ti Web Ltda")</f>
        <v>Mohatron Ti Web Ltda</v>
      </c>
      <c r="T527" s="33">
        <f>IFERROR(__xludf.DUMMYFUNCTION("""COMPUTED_VALUE"""),0.7857142857142857)</f>
        <v>0.7857142857</v>
      </c>
      <c r="U527" s="4" t="str">
        <f>IFERROR(__xludf.DUMMYFUNCTION("""COMPUTED_VALUE"""),"Mohatron Ti Web Ltda")</f>
        <v>Mohatron Ti Web Ltda</v>
      </c>
      <c r="V527" s="33">
        <f>IFERROR(__xludf.DUMMYFUNCTION("""COMPUTED_VALUE"""),0.7857142857142857)</f>
        <v>0.7857142857</v>
      </c>
      <c r="W527" s="4" t="str">
        <f>IFERROR(__xludf.DUMMYFUNCTION("""COMPUTED_VALUE"""),"Mohatron Ti Web Ltda")</f>
        <v>Mohatron Ti Web Ltda</v>
      </c>
      <c r="X527" s="33">
        <f>IFERROR(__xludf.DUMMYFUNCTION("""COMPUTED_VALUE"""),0.7857142857142857)</f>
        <v>0.7857142857</v>
      </c>
    </row>
    <row r="528">
      <c r="A528" s="4" t="str">
        <f>IFERROR(__xludf.DUMMYFUNCTION("""COMPUTED_VALUE"""),"Big John Burgers")</f>
        <v>Big John Burgers</v>
      </c>
      <c r="B528" s="4" t="str">
        <f>IFERROR(__xludf.DUMMYFUNCTION("""COMPUTED_VALUE"""),"1 loja (São João da Boa Vista/SP) com intenção de franquia")</f>
        <v>1 loja (São João da Boa Vista/SP) com intenção de franquia</v>
      </c>
      <c r="C528" s="4" t="str">
        <f>IFERROR(__xludf.DUMMYFUNCTION("""COMPUTED_VALUE"""),"R$ 35-50 (hamburgueria local)")</f>
        <v>R$ 35-50 (hamburgueria local)</v>
      </c>
      <c r="D528" s="4" t="str">
        <f>IFERROR(__xludf.DUMMYFUNCTION("""COMPUTED_VALUE"""),"Fast Casual - Hamburgueria local em fase inicial")</f>
        <v>Fast Casual - Hamburgueria local em fase inicial</v>
      </c>
      <c r="E528" s="4" t="str">
        <f>IFERROR(__xludf.DUMMYFUNCTION("""COMPUTED_VALUE"""),"Local - São João da Boa Vista/SP")</f>
        <v>Local - São João da Boa Vista/SP</v>
      </c>
      <c r="F528" s="4" t="str">
        <f>IFERROR(__xludf.DUMMYFUNCTION("""COMPUTED_VALUE"""),"Dado não disponível publicamente - Necessário Discovery")</f>
        <v>Dado não disponível publicamente - Necessário Discovery</v>
      </c>
      <c r="G528" s="4">
        <f>IFERROR(__xludf.DUMMYFUNCTION("""COMPUTED_VALUE"""),48.0)</f>
        <v>48</v>
      </c>
      <c r="H528" s="4" t="str">
        <f>IFERROR(__xludf.DUMMYFUNCTION("""COMPUTED_VALUE"""),"45% - Hamburgueria local com aspiração franquia. Perfil: Fast Casual artesanal. Aderência moderada-baixa: ainda é operação única sem rede estabelecida. Potencial: se concretizar modelo franquia (página oficial menciona visão de 'grande rede'), aderência s"&amp;"obe para 72%. 3S seria preparação para crescimento.")</f>
        <v>45% - Hamburgueria local com aspiração franquia. Perfil: Fast Casual artesanal. Aderência moderada-baixa: ainda é operação única sem rede estabelecida. Potencial: se concretizar modelo franquia (página oficial menciona visão de 'grande rede'), aderência sobe para 72%. 3S seria preparação para crescimento.</v>
      </c>
      <c r="I528" s="4" t="str">
        <f>IFERROR(__xludf.DUMMYFUNCTION("""COMPUTED_VALUE"""),"PDV atual não identificado - Unidade única com aspiração franquia. ANÁLISE: Se houver concreto plano de franqueamento (site menciona 'visão de grande rede'), 3S seria preparação ideal ANTES da expansão: (1) padronização desde primeira franquia, (2) contro"&amp;"le centralizado de receitas/operação, (3) relatórios para franqueador e franqueado. 3S VANTAGEM: Módulo de franquias nativo, gestão centralizada com autonomia local, controle de compliance operacional. GATILHO: Abordar como 'preparação para franqueamento'"&amp;" vs. resolver problema atual. TIMING: Ideal entrar ANTES do lançamento de franquias.")</f>
        <v>PDV atual não identificado - Unidade única com aspiração franquia. ANÁLISE: Se houver concreto plano de franqueamento (site menciona 'visão de grande rede'), 3S seria preparação ideal ANTES da expansão: (1) padronização desde primeira franquia, (2) controle centralizado de receitas/operação, (3) relatórios para franqueador e franqueado. 3S VANTAGEM: Módulo de franquias nativo, gestão centralizada com autonomia local, controle de compliance operacional. GATILHO: Abordar como 'preparação para franqueamento' vs. resolver problema atual. TIMING: Ideal entrar ANTES do lançamento de franquias.</v>
      </c>
      <c r="K528" s="4" t="str">
        <f>IFERROR(__xludf.DUMMYFUNCTION("""COMPUTED_VALUE"""),"HAJIME SUSHI")</f>
        <v>HAJIME SUSHI</v>
      </c>
      <c r="L528" s="32">
        <f>IFERROR(__xludf.DUMMYFUNCTION("""COMPUTED_VALUE"""),14.0)</f>
        <v>14</v>
      </c>
      <c r="M528" s="4" t="str">
        <f>IFERROR(__xludf.DUMMYFUNCTION("""COMPUTED_VALUE"""),"Pdvseven Solucoes Em Ti Ltda")</f>
        <v>Pdvseven Solucoes Em Ti Ltda</v>
      </c>
      <c r="N528" s="33">
        <f>IFERROR(__xludf.DUMMYFUNCTION("""COMPUTED_VALUE"""),0.5714285714285714)</f>
        <v>0.5714285714</v>
      </c>
      <c r="O528" s="4" t="str">
        <f>IFERROR(__xludf.DUMMYFUNCTION("""COMPUTED_VALUE"""),"Pdvseven Solucoes Em Ti Ltda")</f>
        <v>Pdvseven Solucoes Em Ti Ltda</v>
      </c>
      <c r="P528" s="33">
        <f>IFERROR(__xludf.DUMMYFUNCTION("""COMPUTED_VALUE"""),0.35714285714285715)</f>
        <v>0.3571428571</v>
      </c>
      <c r="Q528" s="4" t="str">
        <f>IFERROR(__xludf.DUMMYFUNCTION("""COMPUTED_VALUE"""),"null")</f>
        <v>null</v>
      </c>
      <c r="R528" s="33">
        <f>IFERROR(__xludf.DUMMYFUNCTION("""COMPUTED_VALUE"""),0.35714285714285715)</f>
        <v>0.3571428571</v>
      </c>
      <c r="S528" s="4" t="str">
        <f>IFERROR(__xludf.DUMMYFUNCTION("""COMPUTED_VALUE"""),"null")</f>
        <v>null</v>
      </c>
      <c r="T528" s="33">
        <f>IFERROR(__xludf.DUMMYFUNCTION("""COMPUTED_VALUE"""),0.35714285714285715)</f>
        <v>0.3571428571</v>
      </c>
      <c r="U528" s="4" t="str">
        <f>IFERROR(__xludf.DUMMYFUNCTION("""COMPUTED_VALUE"""),"Hubster")</f>
        <v>Hubster</v>
      </c>
      <c r="V528" s="33">
        <f>IFERROR(__xludf.DUMMYFUNCTION("""COMPUTED_VALUE"""),0.42857142857142855)</f>
        <v>0.4285714286</v>
      </c>
      <c r="W528" s="4" t="str">
        <f>IFERROR(__xludf.DUMMYFUNCTION("""COMPUTED_VALUE"""),"Hubster")</f>
        <v>Hubster</v>
      </c>
      <c r="X528" s="33">
        <f>IFERROR(__xludf.DUMMYFUNCTION("""COMPUTED_VALUE"""),0.35714285714285715)</f>
        <v>0.3571428571</v>
      </c>
    </row>
    <row r="529">
      <c r="A529" s="4" t="str">
        <f>IFERROR(__xludf.DUMMYFUNCTION("""COMPUTED_VALUE"""),"Arena Mix")</f>
        <v>Arena Mix</v>
      </c>
      <c r="B529" s="4" t="str">
        <f>IFERROR(__xludf.DUMMYFUNCTION("""COMPUTED_VALUE"""),"1 complexo gastronômico (São Paulo/SP, Limão)")</f>
        <v>1 complexo gastronômico (São Paulo/SP, Limão)</v>
      </c>
      <c r="C529" s="4" t="str">
        <f>IFERROR(__xludf.DUMMYFUNCTION("""COMPUTED_VALUE"""),"R$ 40-60 (food court containers)")</f>
        <v>R$ 40-60 (food court containers)</v>
      </c>
      <c r="D529" s="4" t="str">
        <f>IFERROR(__xludf.DUMMYFUNCTION("""COMPUTED_VALUE"""),"Food Court - Complexo gastronômico em containers comerciais")</f>
        <v>Food Court - Complexo gastronômico em containers comerciais</v>
      </c>
      <c r="E529" s="4" t="str">
        <f>IFERROR(__xludf.DUMMYFUNCTION("""COMPUTED_VALUE"""),"Local - São Paulo/SP (Limão)")</f>
        <v>Local - São Paulo/SP (Limão)</v>
      </c>
      <c r="F529" s="4" t="str">
        <f>IFERROR(__xludf.DUMMYFUNCTION("""COMPUTED_VALUE"""),"Dado não disponível publicamente - Necessário Discovery")</f>
        <v>Dado não disponível publicamente - Necessário Discovery</v>
      </c>
      <c r="G529" s="4">
        <f>IFERROR(__xludf.DUMMYFUNCTION("""COMPUTED_VALUE"""),55.0)</f>
        <v>55</v>
      </c>
      <c r="H529" s="4" t="str">
        <f>IFERROR(__xludf.DUMMYFUNCTION("""COMPUTED_VALUE"""),"52% - Complexo gastronômico containers. Perfil: Food Court multi-operador. Aderência moderada: operação única mas com múltiplas marcas internas (Temakeria, Nordeste, futuro burger/pizza). 3S resolve: gestão multi-tenant, relatórios consolidados por operad"&amp;"or, controle de múltiplos PDVs no mesmo espaço. Limitação: não é rede própria.")</f>
        <v>52% - Complexo gastronômico containers. Perfil: Food Court multi-operador. Aderência moderada: operação única mas com múltiplas marcas internas (Temakeria, Nordeste, futuro burger/pizza). 3S resolve: gestão multi-tenant, relatórios consolidados por operador, controle de múltiplos PDVs no mesmo espaço. Limitação: não é rede própria.</v>
      </c>
      <c r="I529" s="4" t="str">
        <f>IFERROR(__xludf.DUMMYFUNCTION("""COMPUTED_VALUE"""),"PDV atual não identificado - Food court multi-operador. ANÁLISE: Operação complexa com múltiplas marcas internas (Temakeria, Nordeste, futuro burger/pizza). Desafio: gestão unificada vs. controle individualizado por operador. 3S VANTAGEM: Configuração mul"&amp;"ti-tenant (cada operador com seu catálogo/preços), relatórios consolidados do complexo + drill-down por marca, controle de inventário centralizado vs. distribuído. LIMITAÇÃO: Não é rede própria, é landlord de food court. GATILHO: Complexidade gestão vs. s"&amp;"implificação operacional.")</f>
        <v>PDV atual não identificado - Food court multi-operador. ANÁLISE: Operação complexa com múltiplas marcas internas (Temakeria, Nordeste, futuro burger/pizza). Desafio: gestão unificada vs. controle individualizado por operador. 3S VANTAGEM: Configuração multi-tenant (cada operador com seu catálogo/preços), relatórios consolidados do complexo + drill-down por marca, controle de inventário centralizado vs. distribuído. LIMITAÇÃO: Não é rede própria, é landlord de food court. GATILHO: Complexidade gestão vs. simplificação operacional.</v>
      </c>
      <c r="K529" s="4" t="str">
        <f>IFERROR(__xludf.DUMMYFUNCTION("""COMPUTED_VALUE"""),"LAHMAJUN")</f>
        <v>LAHMAJUN</v>
      </c>
      <c r="L529" s="32">
        <f>IFERROR(__xludf.DUMMYFUNCTION("""COMPUTED_VALUE"""),14.0)</f>
        <v>14</v>
      </c>
      <c r="M529" s="4" t="str">
        <f>IFERROR(__xludf.DUMMYFUNCTION("""COMPUTED_VALUE"""),"Takeat Tecnologia")</f>
        <v>Takeat Tecnologia</v>
      </c>
      <c r="N529" s="33">
        <f>IFERROR(__xludf.DUMMYFUNCTION("""COMPUTED_VALUE"""),0.5714285714285714)</f>
        <v>0.5714285714</v>
      </c>
      <c r="O529" s="4" t="str">
        <f>IFERROR(__xludf.DUMMYFUNCTION("""COMPUTED_VALUE"""),"Takeat Tecnologia")</f>
        <v>Takeat Tecnologia</v>
      </c>
      <c r="P529" s="33">
        <f>IFERROR(__xludf.DUMMYFUNCTION("""COMPUTED_VALUE"""),0.8571428571428571)</f>
        <v>0.8571428571</v>
      </c>
      <c r="Q529" s="4" t="str">
        <f>IFERROR(__xludf.DUMMYFUNCTION("""COMPUTED_VALUE"""),"Takeat Tecnologia")</f>
        <v>Takeat Tecnologia</v>
      </c>
      <c r="R529" s="33">
        <f>IFERROR(__xludf.DUMMYFUNCTION("""COMPUTED_VALUE"""),0.8571428571428571)</f>
        <v>0.8571428571</v>
      </c>
      <c r="S529" s="4" t="str">
        <f>IFERROR(__xludf.DUMMYFUNCTION("""COMPUTED_VALUE"""),"Takeat Tecnologia")</f>
        <v>Takeat Tecnologia</v>
      </c>
      <c r="T529" s="33">
        <f>IFERROR(__xludf.DUMMYFUNCTION("""COMPUTED_VALUE"""),0.9285714285714286)</f>
        <v>0.9285714286</v>
      </c>
      <c r="U529" s="4" t="str">
        <f>IFERROR(__xludf.DUMMYFUNCTION("""COMPUTED_VALUE"""),"Takeat Tecnologia")</f>
        <v>Takeat Tecnologia</v>
      </c>
      <c r="V529" s="33">
        <f>IFERROR(__xludf.DUMMYFUNCTION("""COMPUTED_VALUE"""),0.7857142857142857)</f>
        <v>0.7857142857</v>
      </c>
      <c r="W529" s="4" t="str">
        <f>IFERROR(__xludf.DUMMYFUNCTION("""COMPUTED_VALUE"""),"T4l Tecnologia Ltda Me")</f>
        <v>T4l Tecnologia Ltda Me</v>
      </c>
      <c r="X529" s="33">
        <f>IFERROR(__xludf.DUMMYFUNCTION("""COMPUTED_VALUE"""),0.42857142857142855)</f>
        <v>0.4285714286</v>
      </c>
    </row>
    <row r="530">
      <c r="A530" s="4" t="str">
        <f>IFERROR(__xludf.DUMMYFUNCTION("""COMPUTED_VALUE"""),"Beto Batatas")</f>
        <v>Beto Batatas</v>
      </c>
      <c r="B530" s="4" t="str">
        <f>IFERROR(__xludf.DUMMYFUNCTION("""COMPUTED_VALUE"""),"1 operação local (Cerqueira César/SP)")</f>
        <v>1 operação local (Cerqueira César/SP)</v>
      </c>
      <c r="C530" s="4" t="str">
        <f>IFERROR(__xludf.DUMMYFUNCTION("""COMPUTED_VALUE"""),"R$ 25-40 (batata recheada)")</f>
        <v>R$ 25-40 (batata recheada)</v>
      </c>
      <c r="D530" s="4" t="str">
        <f>IFERROR(__xludf.DUMMYFUNCTION("""COMPUTED_VALUE"""),"QSR - Operação local batata recheada")</f>
        <v>QSR - Operação local batata recheada</v>
      </c>
      <c r="E530" s="4" t="str">
        <f>IFERROR(__xludf.DUMMYFUNCTION("""COMPUTED_VALUE"""),"Local - Cerqueira César/SP")</f>
        <v>Local - Cerqueira César/SP</v>
      </c>
      <c r="F530" s="4" t="str">
        <f>IFERROR(__xludf.DUMMYFUNCTION("""COMPUTED_VALUE"""),"Dado não disponível publicamente - Necessário Discovery")</f>
        <v>Dado não disponível publicamente - Necessário Discovery</v>
      </c>
      <c r="G530" s="4">
        <f>IFERROR(__xludf.DUMMYFUNCTION("""COMPUTED_VALUE"""),42.0)</f>
        <v>42</v>
      </c>
      <c r="H530" s="4" t="str">
        <f>IFERROR(__xludf.DUMMYFUNCTION("""COMPUTED_VALUE"""),"40% - Operação local batata recheada. Perfil: QSR nicho específico. Aderência baixa-moderada: unidade única Cerqueira César sem evidência expansão. Modelo simples (produto único) não justifica sistema enterprise. Monitorar se houver franqueamento.")</f>
        <v>40% - Operação local batata recheada. Perfil: QSR nicho específico. Aderência baixa-moderada: unidade única Cerqueira César sem evidência expansão. Modelo simples (produto único) não justifica sistema enterprise. Monitorar se houver franqueamento.</v>
      </c>
      <c r="I530" s="4" t="str">
        <f>IFERROR(__xludf.DUMMYFUNCTION("""COMPUTED_VALUE"""),"PDV atual provável: sistema básico local ou PDV simples. ANÁLISE: Operação QSR nicho específico (batata recheada) com unidade única. Modelo simples (produto único, variações limitadas) não exige sistema enterprise. 3S seria oversized para operação atual. "&amp;"RECOMENDAÇÃO: Não priorizar. Monitorar se houver franqueamento ou expansão para múltiplas lojas.")</f>
        <v>PDV atual provável: sistema básico local ou PDV simples. ANÁLISE: Operação QSR nicho específico (batata recheada) com unidade única. Modelo simples (produto único, variações limitadas) não exige sistema enterprise. 3S seria oversized para operação atual. RECOMENDAÇÃO: Não priorizar. Monitorar se houver franqueamento ou expansão para múltiplas lojas.</v>
      </c>
      <c r="K530" s="4" t="str">
        <f>IFERROR(__xludf.DUMMYFUNCTION("""COMPUTED_VALUE"""),"LETS EAT")</f>
        <v>LETS EAT</v>
      </c>
      <c r="L530" s="32">
        <f>IFERROR(__xludf.DUMMYFUNCTION("""COMPUTED_VALUE"""),14.0)</f>
        <v>14</v>
      </c>
      <c r="M530" s="4" t="str">
        <f>IFERROR(__xludf.DUMMYFUNCTION("""COMPUTED_VALUE"""),"Vuca Solution")</f>
        <v>Vuca Solution</v>
      </c>
      <c r="N530" s="33">
        <f>IFERROR(__xludf.DUMMYFUNCTION("""COMPUTED_VALUE"""),1.0)</f>
        <v>1</v>
      </c>
      <c r="O530" s="4" t="str">
        <f>IFERROR(__xludf.DUMMYFUNCTION("""COMPUTED_VALUE"""),"Vuca Solution")</f>
        <v>Vuca Solution</v>
      </c>
      <c r="P530" s="33">
        <f>IFERROR(__xludf.DUMMYFUNCTION("""COMPUTED_VALUE"""),1.0)</f>
        <v>1</v>
      </c>
      <c r="Q530" s="4" t="str">
        <f>IFERROR(__xludf.DUMMYFUNCTION("""COMPUTED_VALUE"""),"Vuca Solution")</f>
        <v>Vuca Solution</v>
      </c>
      <c r="R530" s="33">
        <f>IFERROR(__xludf.DUMMYFUNCTION("""COMPUTED_VALUE"""),0.7857142857142857)</f>
        <v>0.7857142857</v>
      </c>
      <c r="S530" s="4" t="str">
        <f>IFERROR(__xludf.DUMMYFUNCTION("""COMPUTED_VALUE"""),"Vuca Solution")</f>
        <v>Vuca Solution</v>
      </c>
      <c r="T530" s="33">
        <f>IFERROR(__xludf.DUMMYFUNCTION("""COMPUTED_VALUE"""),0.8571428571428571)</f>
        <v>0.8571428571</v>
      </c>
      <c r="U530" s="4" t="str">
        <f>IFERROR(__xludf.DUMMYFUNCTION("""COMPUTED_VALUE"""),"Vuca Solution")</f>
        <v>Vuca Solution</v>
      </c>
      <c r="V530" s="33">
        <f>IFERROR(__xludf.DUMMYFUNCTION("""COMPUTED_VALUE"""),0.8571428571428571)</f>
        <v>0.8571428571</v>
      </c>
      <c r="W530" s="4" t="str">
        <f>IFERROR(__xludf.DUMMYFUNCTION("""COMPUTED_VALUE"""),"Vuca Solution")</f>
        <v>Vuca Solution</v>
      </c>
      <c r="X530" s="33">
        <f>IFERROR(__xludf.DUMMYFUNCTION("""COMPUTED_VALUE"""),0.7857142857142857)</f>
        <v>0.7857142857</v>
      </c>
    </row>
    <row r="531">
      <c r="A531" s="4" t="str">
        <f>IFERROR(__xludf.DUMMYFUNCTION("""COMPUTED_VALUE"""),"Bistro do Pipo")</f>
        <v>Bistro do Pipo</v>
      </c>
      <c r="B531" s="4" t="str">
        <f>IFERROR(__xludf.DUMMYFUNCTION("""COMPUTED_VALUE"""),"Dado não disponível publicamente - Marca não identificada")</f>
        <v>Dado não disponível publicamente - Marca não identificada</v>
      </c>
      <c r="C531" s="4" t="str">
        <f>IFERROR(__xludf.DUMMYFUNCTION("""COMPUTED_VALUE"""),"Dado não disponível publicamente - Necessário Discovery")</f>
        <v>Dado não disponível publicamente - Necessário Discovery</v>
      </c>
      <c r="D531" s="4" t="str">
        <f>IFERROR(__xludf.DUMMYFUNCTION("""COMPUTED_VALUE"""),"Marca não identificada")</f>
        <v>Marca não identificada</v>
      </c>
      <c r="E531" s="4" t="str">
        <f>IFERROR(__xludf.DUMMYFUNCTION("""COMPUTED_VALUE"""),"Não identificado")</f>
        <v>Não identificado</v>
      </c>
      <c r="F531" s="4" t="str">
        <f>IFERROR(__xludf.DUMMYFUNCTION("""COMPUTED_VALUE"""),"Não aplicável")</f>
        <v>Não aplicável</v>
      </c>
      <c r="G531" s="4">
        <f>IFERROR(__xludf.DUMMYFUNCTION("""COMPUTED_VALUE"""),25.0)</f>
        <v>25</v>
      </c>
      <c r="H531" s="4" t="str">
        <f>IFERROR(__xludf.DUMMYFUNCTION("""COMPUTED_VALUE"""),"20% - Marca não identificada. Aderência muito baixa: impossível qualificar sem dados operacionais. Necessário discovery completo.")</f>
        <v>20% - Marca não identificada. Aderência muito baixa: impossível qualificar sem dados operacionais. Necessário discovery completo.</v>
      </c>
      <c r="I531" s="4" t="str">
        <f>IFERROR(__xludf.DUMMYFUNCTION("""COMPUTED_VALUE"""),"Não aplicável - Marca não identificada. RECOMENDAÇÃO: Impossível comparar sem dados operacionais. Necessário discovery completo.")</f>
        <v>Não aplicável - Marca não identificada. RECOMENDAÇÃO: Impossível comparar sem dados operacionais. Necessário discovery completo.</v>
      </c>
      <c r="K531" s="4" t="str">
        <f>IFERROR(__xludf.DUMMYFUNCTION("""COMPUTED_VALUE"""),"MARIA ACAI")</f>
        <v>MARIA ACAI</v>
      </c>
      <c r="L531" s="32">
        <f>IFERROR(__xludf.DUMMYFUNCTION("""COMPUTED_VALUE"""),14.0)</f>
        <v>14</v>
      </c>
      <c r="M531" s="4" t="str">
        <f>IFERROR(__xludf.DUMMYFUNCTION("""COMPUTED_VALUE"""),"Saipos Serviços De Software")</f>
        <v>Saipos Serviços De Software</v>
      </c>
      <c r="N531" s="33">
        <f>IFERROR(__xludf.DUMMYFUNCTION("""COMPUTED_VALUE"""),0.5)</f>
        <v>0.5</v>
      </c>
      <c r="O531" s="4" t="str">
        <f>IFERROR(__xludf.DUMMYFUNCTION("""COMPUTED_VALUE"""),"Saipos Serviços De Software")</f>
        <v>Saipos Serviços De Software</v>
      </c>
      <c r="P531" s="33">
        <f>IFERROR(__xludf.DUMMYFUNCTION("""COMPUTED_VALUE"""),0.7142857142857143)</f>
        <v>0.7142857143</v>
      </c>
      <c r="Q531" s="4" t="str">
        <f>IFERROR(__xludf.DUMMYFUNCTION("""COMPUTED_VALUE"""),"Saipos Serviços De Software")</f>
        <v>Saipos Serviços De Software</v>
      </c>
      <c r="R531" s="33">
        <f>IFERROR(__xludf.DUMMYFUNCTION("""COMPUTED_VALUE"""),0.7142857142857143)</f>
        <v>0.7142857143</v>
      </c>
      <c r="S531" s="4" t="str">
        <f>IFERROR(__xludf.DUMMYFUNCTION("""COMPUTED_VALUE"""),"Saipos Serviços De Software")</f>
        <v>Saipos Serviços De Software</v>
      </c>
      <c r="T531" s="33">
        <f>IFERROR(__xludf.DUMMYFUNCTION("""COMPUTED_VALUE"""),0.5)</f>
        <v>0.5</v>
      </c>
      <c r="U531" s="4" t="str">
        <f>IFERROR(__xludf.DUMMYFUNCTION("""COMPUTED_VALUE"""),"Saipos Serviços De Software")</f>
        <v>Saipos Serviços De Software</v>
      </c>
      <c r="V531" s="33">
        <f>IFERROR(__xludf.DUMMYFUNCTION("""COMPUTED_VALUE"""),0.6428571428571429)</f>
        <v>0.6428571429</v>
      </c>
      <c r="W531" s="4" t="str">
        <f>IFERROR(__xludf.DUMMYFUNCTION("""COMPUTED_VALUE"""),"Saipos Serviços De Software")</f>
        <v>Saipos Serviços De Software</v>
      </c>
      <c r="X531" s="33">
        <f>IFERROR(__xludf.DUMMYFUNCTION("""COMPUTED_VALUE"""),0.5)</f>
        <v>0.5</v>
      </c>
    </row>
    <row r="532">
      <c r="A532" s="4" t="str">
        <f>IFERROR(__xludf.DUMMYFUNCTION("""COMPUTED_VALUE"""),"Birosca do Frango")</f>
        <v>Birosca do Frango</v>
      </c>
      <c r="B532" s="4" t="str">
        <f>IFERROR(__xludf.DUMMYFUNCTION("""COMPUTED_VALUE"""),"Dado não disponível publicamente - Operações locais independentes")</f>
        <v>Dado não disponível publicamente - Operações locais independentes</v>
      </c>
      <c r="C532" s="4" t="str">
        <f>IFERROR(__xludf.DUMMYFUNCTION("""COMPUTED_VALUE"""),"R$ 35-55 (frango frito e porções)")</f>
        <v>R$ 35-55 (frango frito e porções)</v>
      </c>
      <c r="D532" s="4" t="str">
        <f>IFERROR(__xludf.DUMMYFUNCTION("""COMPUTED_VALUE"""),"Fast Casual - Operações locais frango frito")</f>
        <v>Fast Casual - Operações locais frango frito</v>
      </c>
      <c r="E532" s="4" t="str">
        <f>IFERROR(__xludf.DUMMYFUNCTION("""COMPUTED_VALUE"""),"Local - Operações independentes em SP")</f>
        <v>Local - Operações independentes em SP</v>
      </c>
      <c r="F532" s="4" t="str">
        <f>IFERROR(__xludf.DUMMYFUNCTION("""COMPUTED_VALUE"""),"Dado não disponível publicamente - Necessário Discovery")</f>
        <v>Dado não disponível publicamente - Necessário Discovery</v>
      </c>
      <c r="G532" s="4">
        <f>IFERROR(__xludf.DUMMYFUNCTION("""COMPUTED_VALUE"""),50.0)</f>
        <v>50</v>
      </c>
      <c r="H532" s="4" t="str">
        <f>IFERROR(__xludf.DUMMYFUNCTION("""COMPUTED_VALUE"""),"48% - Operações locais frango frito independentes. Perfil: Fast Casual regional. Aderência moderada se consolidar como rede. Atualmente: operações isoladas sem padronização. Se houver unificação sob marca única com 5+ lojas, aderência sobe para 65%.")</f>
        <v>48% - Operações locais frango frito independentes. Perfil: Fast Casual regional. Aderência moderada se consolidar como rede. Atualmente: operações isoladas sem padronização. Se houver unificação sob marca única com 5+ lojas, aderência sobe para 65%.</v>
      </c>
      <c r="I532" s="4" t="str">
        <f>IFERROR(__xludf.DUMMYFUNCTION("""COMPUTED_VALUE"""),"PDV atual não identificado - Operações locais independentes. ANÁLISE: Se houver unificação sob marca única e expansão para 5+ lojas, necessidades surgem: (1) padronização de receitas frango, (2) controle de CMV (frango = commodity com variação preço), (3)"&amp;" gestão multi-loja. 3S VANTAGEM: Padronização operacional, controle de receitas/ingredientes, gestão centralizada. LIMITAÇÃO: Atualmente são operações isoladas. GATILHO: Se consolidar como rede, aderência aumenta significativamente.")</f>
        <v>PDV atual não identificado - Operações locais independentes. ANÁLISE: Se houver unificação sob marca única e expansão para 5+ lojas, necessidades surgem: (1) padronização de receitas frango, (2) controle de CMV (frango = commodity com variação preço), (3) gestão multi-loja. 3S VANTAGEM: Padronização operacional, controle de receitas/ingredientes, gestão centralizada. LIMITAÇÃO: Atualmente são operações isoladas. GATILHO: Se consolidar como rede, aderência aumenta significativamente.</v>
      </c>
      <c r="K532" s="4" t="str">
        <f>IFERROR(__xludf.DUMMYFUNCTION("""COMPUTED_VALUE"""),"MEU SUSHI TEMAKERIA")</f>
        <v>MEU SUSHI TEMAKERIA</v>
      </c>
      <c r="L532" s="32">
        <f>IFERROR(__xludf.DUMMYFUNCTION("""COMPUTED_VALUE"""),14.0)</f>
        <v>14</v>
      </c>
      <c r="M532" s="4" t="str">
        <f>IFERROR(__xludf.DUMMYFUNCTION("""COMPUTED_VALUE"""),"Saipos Serviços De Software")</f>
        <v>Saipos Serviços De Software</v>
      </c>
      <c r="N532" s="33">
        <f>IFERROR(__xludf.DUMMYFUNCTION("""COMPUTED_VALUE"""),0.5714285714285714)</f>
        <v>0.5714285714</v>
      </c>
      <c r="O532" s="4" t="str">
        <f>IFERROR(__xludf.DUMMYFUNCTION("""COMPUTED_VALUE"""),"Saipos Serviços De Software")</f>
        <v>Saipos Serviços De Software</v>
      </c>
      <c r="P532" s="33">
        <f>IFERROR(__xludf.DUMMYFUNCTION("""COMPUTED_VALUE"""),0.5714285714285714)</f>
        <v>0.5714285714</v>
      </c>
      <c r="Q532" s="4" t="str">
        <f>IFERROR(__xludf.DUMMYFUNCTION("""COMPUTED_VALUE"""),"Saipos Serviços De Software")</f>
        <v>Saipos Serviços De Software</v>
      </c>
      <c r="R532" s="33">
        <f>IFERROR(__xludf.DUMMYFUNCTION("""COMPUTED_VALUE"""),0.9285714285714286)</f>
        <v>0.9285714286</v>
      </c>
      <c r="S532" s="4" t="str">
        <f>IFERROR(__xludf.DUMMYFUNCTION("""COMPUTED_VALUE"""),"Saipos Serviços De Software")</f>
        <v>Saipos Serviços De Software</v>
      </c>
      <c r="T532" s="33">
        <f>IFERROR(__xludf.DUMMYFUNCTION("""COMPUTED_VALUE"""),1.0)</f>
        <v>1</v>
      </c>
      <c r="U532" s="4" t="str">
        <f>IFERROR(__xludf.DUMMYFUNCTION("""COMPUTED_VALUE"""),"Saipos Serviços De Software")</f>
        <v>Saipos Serviços De Software</v>
      </c>
      <c r="V532" s="33">
        <f>IFERROR(__xludf.DUMMYFUNCTION("""COMPUTED_VALUE"""),1.0)</f>
        <v>1</v>
      </c>
      <c r="W532" s="4" t="str">
        <f>IFERROR(__xludf.DUMMYFUNCTION("""COMPUTED_VALUE"""),"Saipos Serviços De Software")</f>
        <v>Saipos Serviços De Software</v>
      </c>
      <c r="X532" s="33">
        <f>IFERROR(__xludf.DUMMYFUNCTION("""COMPUTED_VALUE"""),1.0)</f>
        <v>1</v>
      </c>
    </row>
    <row r="533">
      <c r="A533" s="4" t="str">
        <f>IFERROR(__xludf.DUMMYFUNCTION("""COMPUTED_VALUE"""),"Beer Hall")</f>
        <v>Beer Hall</v>
      </c>
      <c r="B533" s="4" t="str">
        <f>IFERROR(__xludf.DUMMYFUNCTION("""COMPUTED_VALUE"""),"1 unidade local (Muriaé/MG)")</f>
        <v>1 unidade local (Muriaé/MG)</v>
      </c>
      <c r="C533" s="4" t="str">
        <f>IFERROR(__xludf.DUMMYFUNCTION("""COMPUTED_VALUE"""),"R$ 45-70 (brewpub cervejaria)")</f>
        <v>R$ 45-70 (brewpub cervejaria)</v>
      </c>
      <c r="D533" s="4" t="str">
        <f>IFERROR(__xludf.DUMMYFUNCTION("""COMPUTED_VALUE"""),"Casual Dining - Brewpub/cervejaria local")</f>
        <v>Casual Dining - Brewpub/cervejaria local</v>
      </c>
      <c r="E533" s="4" t="str">
        <f>IFERROR(__xludf.DUMMYFUNCTION("""COMPUTED_VALUE"""),"Local - Muriaé/MG")</f>
        <v>Local - Muriaé/MG</v>
      </c>
      <c r="F533" s="4" t="str">
        <f>IFERROR(__xludf.DUMMYFUNCTION("""COMPUTED_VALUE"""),"Dado não disponível publicamente - Necessário Discovery")</f>
        <v>Dado não disponível publicamente - Necessário Discovery</v>
      </c>
      <c r="G533" s="4">
        <f>IFERROR(__xludf.DUMMYFUNCTION("""COMPUTED_VALUE"""),48.0)</f>
        <v>48</v>
      </c>
      <c r="H533" s="4" t="str">
        <f>IFERROR(__xludf.DUMMYFUNCTION("""COMPUTED_VALUE"""),"45% - Brewpub/cervejaria local Muriaé. Perfil: Casual Dining cervejaria artesanal. Aderência moderada: operação única complexa (produção cerveja + food service) mas sem rede. 3S resolve lado restaurante, porém é oversized para unidade única. Potencial se "&amp;"expandir conceito.")</f>
        <v>45% - Brewpub/cervejaria local Muriaé. Perfil: Casual Dining cervejaria artesanal. Aderência moderada: operação única complexa (produção cerveja + food service) mas sem rede. 3S resolve lado restaurante, porém é oversized para unidade única. Potencial se expandir conceito.</v>
      </c>
      <c r="I533" s="4" t="str">
        <f>IFERROR(__xludf.DUMMYFUNCTION("""COMPUTED_VALUE"""),"PDV atual não identificado - Brewpub local. ANÁLISE: Operação complexa dual (produção cerveja artesanal + food service). Desafio: sistemas de PDV tradicionais não integram produção cerveja + restaurante. 3S VANTAGEM: Lado restaurante seria robusto (contro"&amp;"le de petiscos/pratos, gestão de inventário food). LIMITAÇÃO: (1) unidade única, (2) produção cerveja exige sistema específico cervejaria (não é escopo 3S). RECOMENDAÇÃO: Aderência moderada apenas para lado food service. Se expandir conceito para 2ª-3ª un"&amp;"idade, aderência justifica.")</f>
        <v>PDV atual não identificado - Brewpub local. ANÁLISE: Operação complexa dual (produção cerveja artesanal + food service). Desafio: sistemas de PDV tradicionais não integram produção cerveja + restaurante. 3S VANTAGEM: Lado restaurante seria robusto (controle de petiscos/pratos, gestão de inventário food). LIMITAÇÃO: (1) unidade única, (2) produção cerveja exige sistema específico cervejaria (não é escopo 3S). RECOMENDAÇÃO: Aderência moderada apenas para lado food service. Se expandir conceito para 2ª-3ª unidade, aderência justifica.</v>
      </c>
      <c r="K533" s="4" t="str">
        <f>IFERROR(__xludf.DUMMYFUNCTION("""COMPUTED_VALUE"""),"PEGPET -CONTA MARCA")</f>
        <v>PEGPET -CONTA MARCA</v>
      </c>
      <c r="L533" s="32">
        <f>IFERROR(__xludf.DUMMYFUNCTION("""COMPUTED_VALUE"""),14.0)</f>
        <v>14</v>
      </c>
      <c r="M533" s="4" t="str">
        <f>IFERROR(__xludf.DUMMYFUNCTION("""COMPUTED_VALUE"""),"N/A (Not found)")</f>
        <v>N/A (Not found)</v>
      </c>
      <c r="N533" s="33">
        <f>IFERROR(__xludf.DUMMYFUNCTION("""COMPUTED_VALUE"""),1.0)</f>
        <v>1</v>
      </c>
      <c r="O533" s="4" t="str">
        <f>IFERROR(__xludf.DUMMYFUNCTION("""COMPUTED_VALUE"""),"N/A (Not found)")</f>
        <v>N/A (Not found)</v>
      </c>
      <c r="P533" s="33">
        <f>IFERROR(__xludf.DUMMYFUNCTION("""COMPUTED_VALUE"""),1.0)</f>
        <v>1</v>
      </c>
      <c r="Q533" s="4" t="str">
        <f>IFERROR(__xludf.DUMMYFUNCTION("""COMPUTED_VALUE"""),"N/A (Not found)")</f>
        <v>N/A (Not found)</v>
      </c>
      <c r="R533" s="33">
        <f>IFERROR(__xludf.DUMMYFUNCTION("""COMPUTED_VALUE"""),0.9285714285714286)</f>
        <v>0.9285714286</v>
      </c>
      <c r="S533" s="4" t="str">
        <f>IFERROR(__xludf.DUMMYFUNCTION("""COMPUTED_VALUE"""),"N/A (Not found)")</f>
        <v>N/A (Not found)</v>
      </c>
      <c r="T533" s="33">
        <f>IFERROR(__xludf.DUMMYFUNCTION("""COMPUTED_VALUE"""),0.9285714285714286)</f>
        <v>0.9285714286</v>
      </c>
      <c r="U533" s="4" t="str">
        <f>IFERROR(__xludf.DUMMYFUNCTION("""COMPUTED_VALUE"""),"N/A (Not found)")</f>
        <v>N/A (Not found)</v>
      </c>
      <c r="V533" s="33">
        <f>IFERROR(__xludf.DUMMYFUNCTION("""COMPUTED_VALUE"""),0.8571428571428571)</f>
        <v>0.8571428571</v>
      </c>
      <c r="W533" s="4" t="str">
        <f>IFERROR(__xludf.DUMMYFUNCTION("""COMPUTED_VALUE"""),"N/A (Not found)")</f>
        <v>N/A (Not found)</v>
      </c>
      <c r="X533" s="33">
        <f>IFERROR(__xludf.DUMMYFUNCTION("""COMPUTED_VALUE"""),0.6428571428571429)</f>
        <v>0.6428571429</v>
      </c>
    </row>
    <row r="534">
      <c r="A534" s="4" t="str">
        <f>IFERROR(__xludf.DUMMYFUNCTION("""COMPUTED_VALUE"""),"Banqueteria")</f>
        <v>Banqueteria</v>
      </c>
      <c r="B534" s="4" t="str">
        <f>IFERROR(__xludf.DUMMYFUNCTION("""COMPUTED_VALUE"""),"Dado não disponível publicamente - Catering sem rede")</f>
        <v>Dado não disponível publicamente - Catering sem rede</v>
      </c>
      <c r="C534" s="4" t="str">
        <f>IFERROR(__xludf.DUMMYFUNCTION("""COMPUTED_VALUE"""),"Dado não disponível publicamente - Necessário Discovery")</f>
        <v>Dado não disponível publicamente - Necessário Discovery</v>
      </c>
      <c r="D534" s="4" t="str">
        <f>IFERROR(__xludf.DUMMYFUNCTION("""COMPUTED_VALUE"""),"Catering - Banqueteria para eventos")</f>
        <v>Catering - Banqueteria para eventos</v>
      </c>
      <c r="E534" s="4" t="str">
        <f>IFERROR(__xludf.DUMMYFUNCTION("""COMPUTED_VALUE"""),"Não identificado")</f>
        <v>Não identificado</v>
      </c>
      <c r="F534" s="4" t="str">
        <f>IFERROR(__xludf.DUMMYFUNCTION("""COMPUTED_VALUE"""),"Dado não disponível publicamente - Necessário Discovery")</f>
        <v>Dado não disponível publicamente - Necessário Discovery</v>
      </c>
      <c r="G534" s="4">
        <f>IFERROR(__xludf.DUMMYFUNCTION("""COMPUTED_VALUE"""),35.0)</f>
        <v>35</v>
      </c>
      <c r="H534" s="4" t="str">
        <f>IFERROR(__xludf.DUMMYFUNCTION("""COMPUTED_VALUE"""),"32% - Catering eventos sem lojas fixas. Perfil: B2B banqueteria. Aderência baixa: modelo negócio diferente (não é operação contínua loja física). 3S é focado em food service com ponto fixo. Não é fit de solução.")</f>
        <v>32% - Catering eventos sem lojas fixas. Perfil: B2B banqueteria. Aderência baixa: modelo negócio diferente (não é operação contínua loja física). 3S é focado em food service com ponto fixo. Não é fit de solução.</v>
      </c>
      <c r="I534" s="4" t="str">
        <f>IFERROR(__xludf.DUMMYFUNCTION("""COMPUTED_VALUE"""),"Não aplicável - Catering eventos. ANÁLISE: Modelo B2B de banqueteria para eventos não tem operação contínua de loja física com PDV. Necessidades são diferentes: (1) gestão de contratos/eventos, (2) produção sob demanda, (3) logística de entrega eventos. 3"&amp;"S é especializado em food service com ponto fixo (QSR/Table Service). Não é fit de solução. RECOMENDAÇÃO: Desconsiderar abordagem.")</f>
        <v>Não aplicável - Catering eventos. ANÁLISE: Modelo B2B de banqueteria para eventos não tem operação contínua de loja física com PDV. Necessidades são diferentes: (1) gestão de contratos/eventos, (2) produção sob demanda, (3) logística de entrega eventos. 3S é especializado em food service com ponto fixo (QSR/Table Service). Não é fit de solução. RECOMENDAÇÃO: Desconsiderar abordagem.</v>
      </c>
      <c r="K534" s="4" t="str">
        <f>IFERROR(__xludf.DUMMYFUNCTION("""COMPUTED_VALUE"""),"PEIXE NA REDE")</f>
        <v>PEIXE NA REDE</v>
      </c>
      <c r="L534" s="32">
        <f>IFERROR(__xludf.DUMMYFUNCTION("""COMPUTED_VALUE"""),14.0)</f>
        <v>14</v>
      </c>
      <c r="M534" s="4" t="str">
        <f>IFERROR(__xludf.DUMMYFUNCTION("""COMPUTED_VALUE"""),"Stone Co.")</f>
        <v>Stone Co.</v>
      </c>
      <c r="N534" s="33">
        <f>IFERROR(__xludf.DUMMYFUNCTION("""COMPUTED_VALUE"""),1.0)</f>
        <v>1</v>
      </c>
      <c r="O534" s="4" t="str">
        <f>IFERROR(__xludf.DUMMYFUNCTION("""COMPUTED_VALUE"""),"Stone Co.")</f>
        <v>Stone Co.</v>
      </c>
      <c r="P534" s="33">
        <f>IFERROR(__xludf.DUMMYFUNCTION("""COMPUTED_VALUE"""),0.9285714285714286)</f>
        <v>0.9285714286</v>
      </c>
      <c r="Q534" s="4" t="str">
        <f>IFERROR(__xludf.DUMMYFUNCTION("""COMPUTED_VALUE"""),"Stone Co.")</f>
        <v>Stone Co.</v>
      </c>
      <c r="R534" s="33">
        <f>IFERROR(__xludf.DUMMYFUNCTION("""COMPUTED_VALUE"""),0.9285714285714286)</f>
        <v>0.9285714286</v>
      </c>
      <c r="S534" s="4" t="str">
        <f>IFERROR(__xludf.DUMMYFUNCTION("""COMPUTED_VALUE"""),"Stone Co.")</f>
        <v>Stone Co.</v>
      </c>
      <c r="T534" s="33">
        <f>IFERROR(__xludf.DUMMYFUNCTION("""COMPUTED_VALUE"""),0.8571428571428571)</f>
        <v>0.8571428571</v>
      </c>
      <c r="U534" s="4" t="str">
        <f>IFERROR(__xludf.DUMMYFUNCTION("""COMPUTED_VALUE"""),"Stone Co.")</f>
        <v>Stone Co.</v>
      </c>
      <c r="V534" s="33">
        <f>IFERROR(__xludf.DUMMYFUNCTION("""COMPUTED_VALUE"""),0.8571428571428571)</f>
        <v>0.8571428571</v>
      </c>
      <c r="W534" s="4" t="str">
        <f>IFERROR(__xludf.DUMMYFUNCTION("""COMPUTED_VALUE"""),"Stone Co.")</f>
        <v>Stone Co.</v>
      </c>
      <c r="X534" s="33">
        <f>IFERROR(__xludf.DUMMYFUNCTION("""COMPUTED_VALUE"""),0.8571428571428571)</f>
        <v>0.8571428571</v>
      </c>
    </row>
    <row r="535">
      <c r="A535" s="4" t="str">
        <f>IFERROR(__xludf.DUMMYFUNCTION("""COMPUTED_VALUE"""),"America Fast Food")</f>
        <v>America Fast Food</v>
      </c>
      <c r="B535" s="4" t="str">
        <f>IFERROR(__xludf.DUMMYFUNCTION("""COMPUTED_VALUE"""),"Dado não disponível publicamente - Necessário Discovery")</f>
        <v>Dado não disponível publicamente - Necessário Discovery</v>
      </c>
      <c r="C535" s="4" t="str">
        <f>IFERROR(__xludf.DUMMYFUNCTION("""COMPUTED_VALUE"""),"Dado não disponível publicamente - Necessário Discovery")</f>
        <v>Dado não disponível publicamente - Necessário Discovery</v>
      </c>
      <c r="D535" s="4" t="str">
        <f>IFERROR(__xludf.DUMMYFUNCTION("""COMPUTED_VALUE"""),"Marca não identificada")</f>
        <v>Marca não identificada</v>
      </c>
      <c r="E535" s="4" t="str">
        <f>IFERROR(__xludf.DUMMYFUNCTION("""COMPUTED_VALUE"""),"Não identificado")</f>
        <v>Não identificado</v>
      </c>
      <c r="F535" s="4" t="str">
        <f>IFERROR(__xludf.DUMMYFUNCTION("""COMPUTED_VALUE"""),"Não aplicável")</f>
        <v>Não aplicável</v>
      </c>
      <c r="G535" s="4">
        <f>IFERROR(__xludf.DUMMYFUNCTION("""COMPUTED_VALUE"""),30.0)</f>
        <v>30</v>
      </c>
      <c r="H535" s="4" t="str">
        <f>IFERROR(__xludf.DUMMYFUNCTION("""COMPUTED_VALUE"""),"25% - Marca não identificada. Aderência muito baixa: impossível qualificar. Necessário confirmar existência e modelo operacional.")</f>
        <v>25% - Marca não identificada. Aderência muito baixa: impossível qualificar. Necessário confirmar existência e modelo operacional.</v>
      </c>
      <c r="I535" s="4" t="str">
        <f>IFERROR(__xludf.DUMMYFUNCTION("""COMPUTED_VALUE"""),"Não aplicável - Marca não identificada. RECOMENDAÇÃO: Impossível qualificar sem dados operacionais mínimos.")</f>
        <v>Não aplicável - Marca não identificada. RECOMENDAÇÃO: Impossível qualificar sem dados operacionais mínimos.</v>
      </c>
      <c r="K535" s="4" t="str">
        <f>IFERROR(__xludf.DUMMYFUNCTION("""COMPUTED_VALUE"""),"PERDOMO DOCES")</f>
        <v>PERDOMO DOCES</v>
      </c>
      <c r="L535" s="32">
        <f>IFERROR(__xludf.DUMMYFUNCTION("""COMPUTED_VALUE"""),14.0)</f>
        <v>14</v>
      </c>
      <c r="M535" s="4" t="str">
        <f>IFERROR(__xludf.DUMMYFUNCTION("""COMPUTED_VALUE"""),"Totvs Large Enterprise Tecnologia S.a.")</f>
        <v>Totvs Large Enterprise Tecnologia S.a.</v>
      </c>
      <c r="N535" s="33">
        <f>IFERROR(__xludf.DUMMYFUNCTION("""COMPUTED_VALUE"""),0.8571428571428571)</f>
        <v>0.8571428571</v>
      </c>
      <c r="O535" s="4" t="str">
        <f>IFERROR(__xludf.DUMMYFUNCTION("""COMPUTED_VALUE"""),"Totvs Large Enterprise Tecnologia S.a.")</f>
        <v>Totvs Large Enterprise Tecnologia S.a.</v>
      </c>
      <c r="P535" s="33">
        <f>IFERROR(__xludf.DUMMYFUNCTION("""COMPUTED_VALUE"""),0.7857142857142857)</f>
        <v>0.7857142857</v>
      </c>
      <c r="Q535" s="4" t="str">
        <f>IFERROR(__xludf.DUMMYFUNCTION("""COMPUTED_VALUE"""),"Totvs Large Enterprise Tecnologia S.a.")</f>
        <v>Totvs Large Enterprise Tecnologia S.a.</v>
      </c>
      <c r="R535" s="33">
        <f>IFERROR(__xludf.DUMMYFUNCTION("""COMPUTED_VALUE"""),0.6428571428571429)</f>
        <v>0.6428571429</v>
      </c>
      <c r="S535" s="4" t="str">
        <f>IFERROR(__xludf.DUMMYFUNCTION("""COMPUTED_VALUE"""),"Totvs Large Enterprise Tecnologia S.a.")</f>
        <v>Totvs Large Enterprise Tecnologia S.a.</v>
      </c>
      <c r="T535" s="33">
        <f>IFERROR(__xludf.DUMMYFUNCTION("""COMPUTED_VALUE"""),0.5714285714285714)</f>
        <v>0.5714285714</v>
      </c>
      <c r="U535" s="4" t="str">
        <f>IFERROR(__xludf.DUMMYFUNCTION("""COMPUTED_VALUE"""),"Totvs Large Enterprise Tecnologia S.a.")</f>
        <v>Totvs Large Enterprise Tecnologia S.a.</v>
      </c>
      <c r="V535" s="33">
        <f>IFERROR(__xludf.DUMMYFUNCTION("""COMPUTED_VALUE"""),0.7142857142857143)</f>
        <v>0.7142857143</v>
      </c>
      <c r="W535" s="4" t="str">
        <f>IFERROR(__xludf.DUMMYFUNCTION("""COMPUTED_VALUE"""),"Totvs Large Enterprise Tecnologia S.a.")</f>
        <v>Totvs Large Enterprise Tecnologia S.a.</v>
      </c>
      <c r="X535" s="33">
        <f>IFERROR(__xludf.DUMMYFUNCTION("""COMPUTED_VALUE"""),0.7142857142857143)</f>
        <v>0.7142857143</v>
      </c>
    </row>
    <row r="536">
      <c r="K536" s="4" t="str">
        <f>IFERROR(__xludf.DUMMYFUNCTION("""COMPUTED_VALUE"""),"PIZZA NOW")</f>
        <v>PIZZA NOW</v>
      </c>
      <c r="L536" s="32">
        <f>IFERROR(__xludf.DUMMYFUNCTION("""COMPUTED_VALUE"""),14.0)</f>
        <v>14</v>
      </c>
      <c r="M536" s="4" t="str">
        <f>IFERROR(__xludf.DUMMYFUNCTION("""COMPUTED_VALUE"""),"Saipos Serviços De Software")</f>
        <v>Saipos Serviços De Software</v>
      </c>
      <c r="N536" s="33">
        <f>IFERROR(__xludf.DUMMYFUNCTION("""COMPUTED_VALUE"""),0.9285714285714286)</f>
        <v>0.9285714286</v>
      </c>
      <c r="O536" s="4" t="str">
        <f>IFERROR(__xludf.DUMMYFUNCTION("""COMPUTED_VALUE"""),"Saipos Serviços De Software")</f>
        <v>Saipos Serviços De Software</v>
      </c>
      <c r="P536" s="33">
        <f>IFERROR(__xludf.DUMMYFUNCTION("""COMPUTED_VALUE"""),0.9285714285714286)</f>
        <v>0.9285714286</v>
      </c>
      <c r="Q536" s="4" t="str">
        <f>IFERROR(__xludf.DUMMYFUNCTION("""COMPUTED_VALUE"""),"Saipos Serviços De Software")</f>
        <v>Saipos Serviços De Software</v>
      </c>
      <c r="R536" s="33">
        <f>IFERROR(__xludf.DUMMYFUNCTION("""COMPUTED_VALUE"""),0.9285714285714286)</f>
        <v>0.9285714286</v>
      </c>
      <c r="S536" s="4" t="str">
        <f>IFERROR(__xludf.DUMMYFUNCTION("""COMPUTED_VALUE"""),"Saipos Serviços De Software")</f>
        <v>Saipos Serviços De Software</v>
      </c>
      <c r="T536" s="33">
        <f>IFERROR(__xludf.DUMMYFUNCTION("""COMPUTED_VALUE"""),0.9285714285714286)</f>
        <v>0.9285714286</v>
      </c>
      <c r="U536" s="4" t="str">
        <f>IFERROR(__xludf.DUMMYFUNCTION("""COMPUTED_VALUE"""),"Saipos Serviços De Software")</f>
        <v>Saipos Serviços De Software</v>
      </c>
      <c r="V536" s="33">
        <f>IFERROR(__xludf.DUMMYFUNCTION("""COMPUTED_VALUE"""),0.9285714285714286)</f>
        <v>0.9285714286</v>
      </c>
      <c r="W536" s="4" t="str">
        <f>IFERROR(__xludf.DUMMYFUNCTION("""COMPUTED_VALUE"""),"Saipos Serviços De Software")</f>
        <v>Saipos Serviços De Software</v>
      </c>
      <c r="X536" s="33">
        <f>IFERROR(__xludf.DUMMYFUNCTION("""COMPUTED_VALUE"""),0.9285714285714286)</f>
        <v>0.9285714286</v>
      </c>
    </row>
    <row r="537">
      <c r="K537" s="4" t="str">
        <f>IFERROR(__xludf.DUMMYFUNCTION("""COMPUTED_VALUE"""),"RASCAL")</f>
        <v>RASCAL</v>
      </c>
      <c r="L537" s="32">
        <f>IFERROR(__xludf.DUMMYFUNCTION("""COMPUTED_VALUE"""),14.0)</f>
        <v>14</v>
      </c>
      <c r="M537" s="4" t="str">
        <f>IFERROR(__xludf.DUMMYFUNCTION("""COMPUTED_VALUE"""),"Mimic")</f>
        <v>Mimic</v>
      </c>
      <c r="N537" s="33">
        <f>IFERROR(__xludf.DUMMYFUNCTION("""COMPUTED_VALUE"""),0.5)</f>
        <v>0.5</v>
      </c>
      <c r="O537" s="4" t="str">
        <f>IFERROR(__xludf.DUMMYFUNCTION("""COMPUTED_VALUE"""),"null")</f>
        <v>null</v>
      </c>
      <c r="P537" s="33">
        <f>IFERROR(__xludf.DUMMYFUNCTION("""COMPUTED_VALUE"""),0.5714285714285714)</f>
        <v>0.5714285714</v>
      </c>
      <c r="Q537" s="4" t="str">
        <f>IFERROR(__xludf.DUMMYFUNCTION("""COMPUTED_VALUE"""),"null")</f>
        <v>null</v>
      </c>
      <c r="R537" s="33">
        <f>IFERROR(__xludf.DUMMYFUNCTION("""COMPUTED_VALUE"""),0.5)</f>
        <v>0.5</v>
      </c>
      <c r="S537" s="4" t="str">
        <f>IFERROR(__xludf.DUMMYFUNCTION("""COMPUTED_VALUE"""),"null")</f>
        <v>null</v>
      </c>
      <c r="T537" s="33">
        <f>IFERROR(__xludf.DUMMYFUNCTION("""COMPUTED_VALUE"""),0.5714285714285714)</f>
        <v>0.5714285714</v>
      </c>
      <c r="U537" s="4" t="str">
        <f>IFERROR(__xludf.DUMMYFUNCTION("""COMPUTED_VALUE"""),"null")</f>
        <v>null</v>
      </c>
      <c r="V537" s="33">
        <f>IFERROR(__xludf.DUMMYFUNCTION("""COMPUTED_VALUE"""),0.5714285714285714)</f>
        <v>0.5714285714</v>
      </c>
      <c r="W537" s="4" t="str">
        <f>IFERROR(__xludf.DUMMYFUNCTION("""COMPUTED_VALUE"""),"null")</f>
        <v>null</v>
      </c>
      <c r="X537" s="33">
        <f>IFERROR(__xludf.DUMMYFUNCTION("""COMPUTED_VALUE"""),0.5)</f>
        <v>0.5</v>
      </c>
    </row>
    <row r="538">
      <c r="K538" s="4" t="str">
        <f>IFERROR(__xludf.DUMMYFUNCTION("""COMPUTED_VALUE"""),"REDE POPULAR OCEAN FARMA - CONTA PAI")</f>
        <v>REDE POPULAR OCEAN FARMA - CONTA PAI</v>
      </c>
      <c r="L538" s="32">
        <f>IFERROR(__xludf.DUMMYFUNCTION("""COMPUTED_VALUE"""),14.0)</f>
        <v>14</v>
      </c>
      <c r="M538" s="4" t="str">
        <f>IFERROR(__xludf.DUMMYFUNCTION("""COMPUTED_VALUE"""),"N/A (Not found)")</f>
        <v>N/A (Not found)</v>
      </c>
      <c r="N538" s="33">
        <f>IFERROR(__xludf.DUMMYFUNCTION("""COMPUTED_VALUE"""),1.0)</f>
        <v>1</v>
      </c>
      <c r="O538" s="4" t="str">
        <f>IFERROR(__xludf.DUMMYFUNCTION("""COMPUTED_VALUE"""),"N/A (Not found)")</f>
        <v>N/A (Not found)</v>
      </c>
      <c r="P538" s="33">
        <f>IFERROR(__xludf.DUMMYFUNCTION("""COMPUTED_VALUE"""),1.0)</f>
        <v>1</v>
      </c>
      <c r="Q538" s="4" t="str">
        <f>IFERROR(__xludf.DUMMYFUNCTION("""COMPUTED_VALUE"""),"N/A (Not found)")</f>
        <v>N/A (Not found)</v>
      </c>
      <c r="R538" s="33">
        <f>IFERROR(__xludf.DUMMYFUNCTION("""COMPUTED_VALUE"""),1.0)</f>
        <v>1</v>
      </c>
      <c r="S538" s="4" t="str">
        <f>IFERROR(__xludf.DUMMYFUNCTION("""COMPUTED_VALUE"""),"N/A (Not found)")</f>
        <v>N/A (Not found)</v>
      </c>
      <c r="T538" s="33">
        <f>IFERROR(__xludf.DUMMYFUNCTION("""COMPUTED_VALUE"""),1.0)</f>
        <v>1</v>
      </c>
      <c r="U538" s="4" t="str">
        <f>IFERROR(__xludf.DUMMYFUNCTION("""COMPUTED_VALUE"""),"N/A (Not found)")</f>
        <v>N/A (Not found)</v>
      </c>
      <c r="V538" s="33">
        <f>IFERROR(__xludf.DUMMYFUNCTION("""COMPUTED_VALUE"""),1.0)</f>
        <v>1</v>
      </c>
      <c r="W538" s="4" t="str">
        <f>IFERROR(__xludf.DUMMYFUNCTION("""COMPUTED_VALUE"""),"N/A (Not found)")</f>
        <v>N/A (Not found)</v>
      </c>
      <c r="X538" s="33">
        <f>IFERROR(__xludf.DUMMYFUNCTION("""COMPUTED_VALUE"""),1.0)</f>
        <v>1</v>
      </c>
    </row>
    <row r="539">
      <c r="K539" s="4" t="str">
        <f>IFERROR(__xludf.DUMMYFUNCTION("""COMPUTED_VALUE"""),"SI SENOR")</f>
        <v>SI SENOR</v>
      </c>
      <c r="L539" s="32">
        <f>IFERROR(__xludf.DUMMYFUNCTION("""COMPUTED_VALUE"""),14.0)</f>
        <v>14</v>
      </c>
      <c r="M539" s="4" t="str">
        <f>IFERROR(__xludf.DUMMYFUNCTION("""COMPUTED_VALUE"""),"Ncr")</f>
        <v>Ncr</v>
      </c>
      <c r="N539" s="33">
        <f>IFERROR(__xludf.DUMMYFUNCTION("""COMPUTED_VALUE"""),0.9285714285714286)</f>
        <v>0.9285714286</v>
      </c>
      <c r="O539" s="4" t="str">
        <f>IFERROR(__xludf.DUMMYFUNCTION("""COMPUTED_VALUE"""),"Ncr")</f>
        <v>Ncr</v>
      </c>
      <c r="P539" s="33">
        <f>IFERROR(__xludf.DUMMYFUNCTION("""COMPUTED_VALUE"""),0.9285714285714286)</f>
        <v>0.9285714286</v>
      </c>
      <c r="Q539" s="4" t="str">
        <f>IFERROR(__xludf.DUMMYFUNCTION("""COMPUTED_VALUE"""),"Ncr")</f>
        <v>Ncr</v>
      </c>
      <c r="R539" s="33">
        <f>IFERROR(__xludf.DUMMYFUNCTION("""COMPUTED_VALUE"""),0.8571428571428571)</f>
        <v>0.8571428571</v>
      </c>
      <c r="S539" s="4" t="str">
        <f>IFERROR(__xludf.DUMMYFUNCTION("""COMPUTED_VALUE"""),"Ncr")</f>
        <v>Ncr</v>
      </c>
      <c r="T539" s="33">
        <f>IFERROR(__xludf.DUMMYFUNCTION("""COMPUTED_VALUE"""),0.8571428571428571)</f>
        <v>0.8571428571</v>
      </c>
      <c r="U539" s="4" t="str">
        <f>IFERROR(__xludf.DUMMYFUNCTION("""COMPUTED_VALUE"""),"Ncr")</f>
        <v>Ncr</v>
      </c>
      <c r="V539" s="33">
        <f>IFERROR(__xludf.DUMMYFUNCTION("""COMPUTED_VALUE"""),0.8571428571428571)</f>
        <v>0.8571428571</v>
      </c>
      <c r="W539" s="4" t="str">
        <f>IFERROR(__xludf.DUMMYFUNCTION("""COMPUTED_VALUE"""),"Ncr")</f>
        <v>Ncr</v>
      </c>
      <c r="X539" s="33">
        <f>IFERROR(__xludf.DUMMYFUNCTION("""COMPUTED_VALUE"""),0.7857142857142857)</f>
        <v>0.7857142857</v>
      </c>
    </row>
    <row r="540">
      <c r="K540" s="4" t="str">
        <f>IFERROR(__xludf.DUMMYFUNCTION("""COMPUTED_VALUE"""),"SONDA SUPERMERCADOS")</f>
        <v>SONDA SUPERMERCADOS</v>
      </c>
      <c r="L540" s="32">
        <f>IFERROR(__xludf.DUMMYFUNCTION("""COMPUTED_VALUE"""),14.0)</f>
        <v>14</v>
      </c>
      <c r="M540" s="4" t="str">
        <f>IFERROR(__xludf.DUMMYFUNCTION("""COMPUTED_VALUE"""),"null")</f>
        <v>null</v>
      </c>
      <c r="N540" s="33">
        <f>IFERROR(__xludf.DUMMYFUNCTION("""COMPUTED_VALUE"""),1.0)</f>
        <v>1</v>
      </c>
      <c r="O540" s="4" t="str">
        <f>IFERROR(__xludf.DUMMYFUNCTION("""COMPUTED_VALUE"""),"null")</f>
        <v>null</v>
      </c>
      <c r="P540" s="33">
        <f>IFERROR(__xludf.DUMMYFUNCTION("""COMPUTED_VALUE"""),1.0)</f>
        <v>1</v>
      </c>
      <c r="Q540" s="4" t="str">
        <f>IFERROR(__xludf.DUMMYFUNCTION("""COMPUTED_VALUE"""),"null")</f>
        <v>null</v>
      </c>
      <c r="R540" s="33">
        <f>IFERROR(__xludf.DUMMYFUNCTION("""COMPUTED_VALUE"""),1.0)</f>
        <v>1</v>
      </c>
      <c r="S540" s="4" t="str">
        <f>IFERROR(__xludf.DUMMYFUNCTION("""COMPUTED_VALUE"""),"null")</f>
        <v>null</v>
      </c>
      <c r="T540" s="33">
        <f>IFERROR(__xludf.DUMMYFUNCTION("""COMPUTED_VALUE"""),1.0)</f>
        <v>1</v>
      </c>
      <c r="U540" s="4" t="str">
        <f>IFERROR(__xludf.DUMMYFUNCTION("""COMPUTED_VALUE"""),"null")</f>
        <v>null</v>
      </c>
      <c r="V540" s="33">
        <f>IFERROR(__xludf.DUMMYFUNCTION("""COMPUTED_VALUE"""),1.0)</f>
        <v>1</v>
      </c>
      <c r="W540" s="4" t="str">
        <f>IFERROR(__xludf.DUMMYFUNCTION("""COMPUTED_VALUE"""),"N/A (Not found)")</f>
        <v>N/A (Not found)</v>
      </c>
      <c r="X540" s="33">
        <f>IFERROR(__xludf.DUMMYFUNCTION("""COMPUTED_VALUE"""),1.0)</f>
        <v>1</v>
      </c>
    </row>
    <row r="541">
      <c r="K541" s="4" t="str">
        <f>IFERROR(__xludf.DUMMYFUNCTION("""COMPUTED_VALUE"""),"REDE ECONOMIA SUPER PRIX - CONTA GRUPO")</f>
        <v>REDE ECONOMIA SUPER PRIX - CONTA GRUPO</v>
      </c>
      <c r="L541" s="32">
        <f>IFERROR(__xludf.DUMMYFUNCTION("""COMPUTED_VALUE"""),14.0)</f>
        <v>14</v>
      </c>
      <c r="M541" s="4" t="str">
        <f>IFERROR(__xludf.DUMMYFUNCTION("""COMPUTED_VALUE"""),"N/A (Not found)")</f>
        <v>N/A (Not found)</v>
      </c>
      <c r="N541" s="33">
        <f>IFERROR(__xludf.DUMMYFUNCTION("""COMPUTED_VALUE"""),1.0)</f>
        <v>1</v>
      </c>
      <c r="O541" s="4" t="str">
        <f>IFERROR(__xludf.DUMMYFUNCTION("""COMPUTED_VALUE"""),"N/A (Not found)")</f>
        <v>N/A (Not found)</v>
      </c>
      <c r="P541" s="33">
        <f>IFERROR(__xludf.DUMMYFUNCTION("""COMPUTED_VALUE"""),1.0)</f>
        <v>1</v>
      </c>
      <c r="Q541" s="4" t="str">
        <f>IFERROR(__xludf.DUMMYFUNCTION("""COMPUTED_VALUE"""),"N/A (Not found)")</f>
        <v>N/A (Not found)</v>
      </c>
      <c r="R541" s="33">
        <f>IFERROR(__xludf.DUMMYFUNCTION("""COMPUTED_VALUE"""),1.0)</f>
        <v>1</v>
      </c>
      <c r="S541" s="4" t="str">
        <f>IFERROR(__xludf.DUMMYFUNCTION("""COMPUTED_VALUE"""),"N/A (Not found)")</f>
        <v>N/A (Not found)</v>
      </c>
      <c r="T541" s="33">
        <f>IFERROR(__xludf.DUMMYFUNCTION("""COMPUTED_VALUE"""),1.0)</f>
        <v>1</v>
      </c>
      <c r="U541" s="4" t="str">
        <f>IFERROR(__xludf.DUMMYFUNCTION("""COMPUTED_VALUE"""),"N/A (Not found)")</f>
        <v>N/A (Not found)</v>
      </c>
      <c r="V541" s="33">
        <f>IFERROR(__xludf.DUMMYFUNCTION("""COMPUTED_VALUE"""),1.0)</f>
        <v>1</v>
      </c>
      <c r="W541" s="4" t="str">
        <f>IFERROR(__xludf.DUMMYFUNCTION("""COMPUTED_VALUE"""),"N/A (Not found)")</f>
        <v>N/A (Not found)</v>
      </c>
      <c r="X541" s="33">
        <f>IFERROR(__xludf.DUMMYFUNCTION("""COMPUTED_VALUE"""),1.0)</f>
        <v>1</v>
      </c>
    </row>
    <row r="542">
      <c r="K542" s="4" t="str">
        <f>IFERROR(__xludf.DUMMYFUNCTION("""COMPUTED_VALUE"""),"SUPERMARKET PADRAO DO FONSECA - CONTA GRUPO")</f>
        <v>SUPERMARKET PADRAO DO FONSECA - CONTA GRUPO</v>
      </c>
      <c r="L542" s="32">
        <f>IFERROR(__xludf.DUMMYFUNCTION("""COMPUTED_VALUE"""),14.0)</f>
        <v>14</v>
      </c>
      <c r="M542" s="4" t="str">
        <f>IFERROR(__xludf.DUMMYFUNCTION("""COMPUTED_VALUE"""),"N/A (Not found)")</f>
        <v>N/A (Not found)</v>
      </c>
      <c r="N542" s="33">
        <f>IFERROR(__xludf.DUMMYFUNCTION("""COMPUTED_VALUE"""),0.9285714285714286)</f>
        <v>0.9285714286</v>
      </c>
      <c r="O542" s="4" t="str">
        <f>IFERROR(__xludf.DUMMYFUNCTION("""COMPUTED_VALUE"""),"N/A (Not found)")</f>
        <v>N/A (Not found)</v>
      </c>
      <c r="P542" s="33">
        <f>IFERROR(__xludf.DUMMYFUNCTION("""COMPUTED_VALUE"""),1.0)</f>
        <v>1</v>
      </c>
      <c r="Q542" s="4" t="str">
        <f>IFERROR(__xludf.DUMMYFUNCTION("""COMPUTED_VALUE"""),"N/A (Not found)")</f>
        <v>N/A (Not found)</v>
      </c>
      <c r="R542" s="33">
        <f>IFERROR(__xludf.DUMMYFUNCTION("""COMPUTED_VALUE"""),1.0)</f>
        <v>1</v>
      </c>
      <c r="S542" s="4" t="str">
        <f>IFERROR(__xludf.DUMMYFUNCTION("""COMPUTED_VALUE"""),"N/A (Not found)")</f>
        <v>N/A (Not found)</v>
      </c>
      <c r="T542" s="33">
        <f>IFERROR(__xludf.DUMMYFUNCTION("""COMPUTED_VALUE"""),1.0)</f>
        <v>1</v>
      </c>
      <c r="U542" s="4" t="str">
        <f>IFERROR(__xludf.DUMMYFUNCTION("""COMPUTED_VALUE"""),"N/A (Not found)")</f>
        <v>N/A (Not found)</v>
      </c>
      <c r="V542" s="33">
        <f>IFERROR(__xludf.DUMMYFUNCTION("""COMPUTED_VALUE"""),1.0)</f>
        <v>1</v>
      </c>
      <c r="W542" s="4" t="str">
        <f>IFERROR(__xludf.DUMMYFUNCTION("""COMPUTED_VALUE"""),"N/A (Not found)")</f>
        <v>N/A (Not found)</v>
      </c>
      <c r="X542" s="33">
        <f>IFERROR(__xludf.DUMMYFUNCTION("""COMPUTED_VALUE"""),1.0)</f>
        <v>1</v>
      </c>
    </row>
    <row r="543">
      <c r="K543" s="4" t="str">
        <f>IFERROR(__xludf.DUMMYFUNCTION("""COMPUTED_VALUE"""),"SUPERMERCADO EXTRABOM - CONTA PAI")</f>
        <v>SUPERMERCADO EXTRABOM - CONTA PAI</v>
      </c>
      <c r="L543" s="32">
        <f>IFERROR(__xludf.DUMMYFUNCTION("""COMPUTED_VALUE"""),14.0)</f>
        <v>14</v>
      </c>
      <c r="M543" s="4" t="str">
        <f>IFERROR(__xludf.DUMMYFUNCTION("""COMPUTED_VALUE"""),"N/A (Not found)")</f>
        <v>N/A (Not found)</v>
      </c>
      <c r="N543" s="33">
        <f>IFERROR(__xludf.DUMMYFUNCTION("""COMPUTED_VALUE"""),1.0)</f>
        <v>1</v>
      </c>
      <c r="O543" s="4" t="str">
        <f>IFERROR(__xludf.DUMMYFUNCTION("""COMPUTED_VALUE"""),"N/A (Not found)")</f>
        <v>N/A (Not found)</v>
      </c>
      <c r="P543" s="33">
        <f>IFERROR(__xludf.DUMMYFUNCTION("""COMPUTED_VALUE"""),1.0)</f>
        <v>1</v>
      </c>
      <c r="Q543" s="4" t="str">
        <f>IFERROR(__xludf.DUMMYFUNCTION("""COMPUTED_VALUE"""),"N/A (Not found)")</f>
        <v>N/A (Not found)</v>
      </c>
      <c r="R543" s="33">
        <f>IFERROR(__xludf.DUMMYFUNCTION("""COMPUTED_VALUE"""),1.0)</f>
        <v>1</v>
      </c>
      <c r="S543" s="4" t="str">
        <f>IFERROR(__xludf.DUMMYFUNCTION("""COMPUTED_VALUE"""),"N/A (Not found)")</f>
        <v>N/A (Not found)</v>
      </c>
      <c r="T543" s="33">
        <f>IFERROR(__xludf.DUMMYFUNCTION("""COMPUTED_VALUE"""),1.0)</f>
        <v>1</v>
      </c>
      <c r="U543" s="4" t="str">
        <f>IFERROR(__xludf.DUMMYFUNCTION("""COMPUTED_VALUE"""),"N/A (Not found)")</f>
        <v>N/A (Not found)</v>
      </c>
      <c r="V543" s="33">
        <f>IFERROR(__xludf.DUMMYFUNCTION("""COMPUTED_VALUE"""),1.0)</f>
        <v>1</v>
      </c>
      <c r="W543" s="4" t="str">
        <f>IFERROR(__xludf.DUMMYFUNCTION("""COMPUTED_VALUE"""),"N/A (Not found)")</f>
        <v>N/A (Not found)</v>
      </c>
      <c r="X543" s="33">
        <f>IFERROR(__xludf.DUMMYFUNCTION("""COMPUTED_VALUE"""),1.0)</f>
        <v>1</v>
      </c>
    </row>
    <row r="544">
      <c r="K544" s="4" t="str">
        <f>IFERROR(__xludf.DUMMYFUNCTION("""COMPUTED_VALUE"""),"TEMAKERIA CIA")</f>
        <v>TEMAKERIA CIA</v>
      </c>
      <c r="L544" s="32">
        <f>IFERROR(__xludf.DUMMYFUNCTION("""COMPUTED_VALUE"""),14.0)</f>
        <v>14</v>
      </c>
      <c r="M544" s="4" t="str">
        <f>IFERROR(__xludf.DUMMYFUNCTION("""COMPUTED_VALUE"""),"Teknisa Service Ltda")</f>
        <v>Teknisa Service Ltda</v>
      </c>
      <c r="N544" s="33">
        <f>IFERROR(__xludf.DUMMYFUNCTION("""COMPUTED_VALUE"""),0.5)</f>
        <v>0.5</v>
      </c>
      <c r="O544" s="4" t="str">
        <f>IFERROR(__xludf.DUMMYFUNCTION("""COMPUTED_VALUE"""),"Saipos Serviços De Software")</f>
        <v>Saipos Serviços De Software</v>
      </c>
      <c r="P544" s="33">
        <f>IFERROR(__xludf.DUMMYFUNCTION("""COMPUTED_VALUE"""),0.35714285714285715)</f>
        <v>0.3571428571</v>
      </c>
      <c r="Q544" s="4" t="str">
        <f>IFERROR(__xludf.DUMMYFUNCTION("""COMPUTED_VALUE"""),"Teknisa Service Ltda")</f>
        <v>Teknisa Service Ltda</v>
      </c>
      <c r="R544" s="33">
        <f>IFERROR(__xludf.DUMMYFUNCTION("""COMPUTED_VALUE"""),0.35714285714285715)</f>
        <v>0.3571428571</v>
      </c>
      <c r="S544" s="4" t="str">
        <f>IFERROR(__xludf.DUMMYFUNCTION("""COMPUTED_VALUE"""),"Saipos Serviços De Software")</f>
        <v>Saipos Serviços De Software</v>
      </c>
      <c r="T544" s="33">
        <f>IFERROR(__xludf.DUMMYFUNCTION("""COMPUTED_VALUE"""),0.5)</f>
        <v>0.5</v>
      </c>
      <c r="U544" s="4" t="str">
        <f>IFERROR(__xludf.DUMMYFUNCTION("""COMPUTED_VALUE"""),"Teknisa Service Ltda")</f>
        <v>Teknisa Service Ltda</v>
      </c>
      <c r="V544" s="33">
        <f>IFERROR(__xludf.DUMMYFUNCTION("""COMPUTED_VALUE"""),0.42857142857142855)</f>
        <v>0.4285714286</v>
      </c>
      <c r="W544" s="4" t="str">
        <f>IFERROR(__xludf.DUMMYFUNCTION("""COMPUTED_VALUE"""),"Saipos Serviços De Software")</f>
        <v>Saipos Serviços De Software</v>
      </c>
      <c r="X544" s="33">
        <f>IFERROR(__xludf.DUMMYFUNCTION("""COMPUTED_VALUE"""),0.42857142857142855)</f>
        <v>0.4285714286</v>
      </c>
    </row>
    <row r="545">
      <c r="K545" s="4" t="str">
        <f>IFERROR(__xludf.DUMMYFUNCTION("""COMPUTED_VALUE"""),"THE GOOD COP DONUTS")</f>
        <v>THE GOOD COP DONUTS</v>
      </c>
      <c r="L545" s="32">
        <f>IFERROR(__xludf.DUMMYFUNCTION("""COMPUTED_VALUE"""),14.0)</f>
        <v>14</v>
      </c>
      <c r="M545" s="4" t="str">
        <f>IFERROR(__xludf.DUMMYFUNCTION("""COMPUTED_VALUE"""),"Eclética Tecnologia")</f>
        <v>Eclética Tecnologia</v>
      </c>
      <c r="N545" s="33">
        <f>IFERROR(__xludf.DUMMYFUNCTION("""COMPUTED_VALUE"""),1.0)</f>
        <v>1</v>
      </c>
      <c r="O545" s="4" t="str">
        <f>IFERROR(__xludf.DUMMYFUNCTION("""COMPUTED_VALUE"""),"Eclética Tecnologia")</f>
        <v>Eclética Tecnologia</v>
      </c>
      <c r="P545" s="33">
        <f>IFERROR(__xludf.DUMMYFUNCTION("""COMPUTED_VALUE"""),0.9285714285714286)</f>
        <v>0.9285714286</v>
      </c>
      <c r="Q545" s="4" t="str">
        <f>IFERROR(__xludf.DUMMYFUNCTION("""COMPUTED_VALUE"""),"Eclética Tecnologia")</f>
        <v>Eclética Tecnologia</v>
      </c>
      <c r="R545" s="33">
        <f>IFERROR(__xludf.DUMMYFUNCTION("""COMPUTED_VALUE"""),0.8571428571428571)</f>
        <v>0.8571428571</v>
      </c>
      <c r="S545" s="4" t="str">
        <f>IFERROR(__xludf.DUMMYFUNCTION("""COMPUTED_VALUE"""),"null")</f>
        <v>null</v>
      </c>
      <c r="T545" s="33">
        <f>IFERROR(__xludf.DUMMYFUNCTION("""COMPUTED_VALUE"""),0.5714285714285714)</f>
        <v>0.5714285714</v>
      </c>
      <c r="U545" s="4" t="str">
        <f>IFERROR(__xludf.DUMMYFUNCTION("""COMPUTED_VALUE"""),"null")</f>
        <v>null</v>
      </c>
      <c r="V545" s="33">
        <f>IFERROR(__xludf.DUMMYFUNCTION("""COMPUTED_VALUE"""),0.8571428571428571)</f>
        <v>0.8571428571</v>
      </c>
      <c r="W545" s="4" t="str">
        <f>IFERROR(__xludf.DUMMYFUNCTION("""COMPUTED_VALUE"""),"null")</f>
        <v>null</v>
      </c>
      <c r="X545" s="33">
        <f>IFERROR(__xludf.DUMMYFUNCTION("""COMPUTED_VALUE"""),0.9285714285714286)</f>
        <v>0.9285714286</v>
      </c>
    </row>
    <row r="546">
      <c r="K546" s="4" t="str">
        <f>IFERROR(__xludf.DUMMYFUNCTION("""COMPUTED_VALUE"""),"TIO ARMENIO")</f>
        <v>TIO ARMENIO</v>
      </c>
      <c r="L546" s="32">
        <f>IFERROR(__xludf.DUMMYFUNCTION("""COMPUTED_VALUE"""),14.0)</f>
        <v>14</v>
      </c>
      <c r="M546" s="4" t="str">
        <f>IFERROR(__xludf.DUMMYFUNCTION("""COMPUTED_VALUE"""),"Eclética Tecnologia")</f>
        <v>Eclética Tecnologia</v>
      </c>
      <c r="N546" s="33">
        <f>IFERROR(__xludf.DUMMYFUNCTION("""COMPUTED_VALUE"""),0.5)</f>
        <v>0.5</v>
      </c>
      <c r="O546" s="4" t="str">
        <f>IFERROR(__xludf.DUMMYFUNCTION("""COMPUTED_VALUE"""),"null")</f>
        <v>null</v>
      </c>
      <c r="P546" s="33">
        <f>IFERROR(__xludf.DUMMYFUNCTION("""COMPUTED_VALUE"""),0.35714285714285715)</f>
        <v>0.3571428571</v>
      </c>
      <c r="Q546" s="4" t="str">
        <f>IFERROR(__xludf.DUMMYFUNCTION("""COMPUTED_VALUE"""),"Eclética Tecnologia")</f>
        <v>Eclética Tecnologia</v>
      </c>
      <c r="R546" s="33">
        <f>IFERROR(__xludf.DUMMYFUNCTION("""COMPUTED_VALUE"""),0.5)</f>
        <v>0.5</v>
      </c>
      <c r="S546" s="4" t="str">
        <f>IFERROR(__xludf.DUMMYFUNCTION("""COMPUTED_VALUE"""),"Eclética Tecnologia")</f>
        <v>Eclética Tecnologia</v>
      </c>
      <c r="T546" s="33">
        <f>IFERROR(__xludf.DUMMYFUNCTION("""COMPUTED_VALUE"""),0.5714285714285714)</f>
        <v>0.5714285714</v>
      </c>
      <c r="U546" s="4" t="str">
        <f>IFERROR(__xludf.DUMMYFUNCTION("""COMPUTED_VALUE"""),"Eclética Tecnologia")</f>
        <v>Eclética Tecnologia</v>
      </c>
      <c r="V546" s="33">
        <f>IFERROR(__xludf.DUMMYFUNCTION("""COMPUTED_VALUE"""),0.5714285714285714)</f>
        <v>0.5714285714</v>
      </c>
      <c r="W546" s="4" t="str">
        <f>IFERROR(__xludf.DUMMYFUNCTION("""COMPUTED_VALUE"""),"Eclética Tecnologia")</f>
        <v>Eclética Tecnologia</v>
      </c>
      <c r="X546" s="33">
        <f>IFERROR(__xludf.DUMMYFUNCTION("""COMPUTED_VALUE"""),0.5)</f>
        <v>0.5</v>
      </c>
    </row>
    <row r="547">
      <c r="K547" s="4" t="str">
        <f>IFERROR(__xludf.DUMMYFUNCTION("""COMPUTED_VALUE"""),"TROPICAL BANANA")</f>
        <v>TROPICAL BANANA</v>
      </c>
      <c r="L547" s="32">
        <f>IFERROR(__xludf.DUMMYFUNCTION("""COMPUTED_VALUE"""),14.0)</f>
        <v>14</v>
      </c>
      <c r="M547" s="4" t="str">
        <f>IFERROR(__xludf.DUMMYFUNCTION("""COMPUTED_VALUE"""),"Connectplug")</f>
        <v>Connectplug</v>
      </c>
      <c r="N547" s="33">
        <f>IFERROR(__xludf.DUMMYFUNCTION("""COMPUTED_VALUE"""),1.0)</f>
        <v>1</v>
      </c>
      <c r="O547" s="4" t="str">
        <f>IFERROR(__xludf.DUMMYFUNCTION("""COMPUTED_VALUE"""),"Connectplug")</f>
        <v>Connectplug</v>
      </c>
      <c r="P547" s="33">
        <f>IFERROR(__xludf.DUMMYFUNCTION("""COMPUTED_VALUE"""),1.0)</f>
        <v>1</v>
      </c>
      <c r="Q547" s="4" t="str">
        <f>IFERROR(__xludf.DUMMYFUNCTION("""COMPUTED_VALUE"""),"Connectplug")</f>
        <v>Connectplug</v>
      </c>
      <c r="R547" s="33">
        <f>IFERROR(__xludf.DUMMYFUNCTION("""COMPUTED_VALUE"""),0.9285714285714286)</f>
        <v>0.9285714286</v>
      </c>
      <c r="S547" s="4" t="str">
        <f>IFERROR(__xludf.DUMMYFUNCTION("""COMPUTED_VALUE"""),"Connectplug")</f>
        <v>Connectplug</v>
      </c>
      <c r="T547" s="33">
        <f>IFERROR(__xludf.DUMMYFUNCTION("""COMPUTED_VALUE"""),0.9285714285714286)</f>
        <v>0.9285714286</v>
      </c>
      <c r="U547" s="4" t="str">
        <f>IFERROR(__xludf.DUMMYFUNCTION("""COMPUTED_VALUE"""),"Connectplug")</f>
        <v>Connectplug</v>
      </c>
      <c r="V547" s="33">
        <f>IFERROR(__xludf.DUMMYFUNCTION("""COMPUTED_VALUE"""),1.0)</f>
        <v>1</v>
      </c>
      <c r="W547" s="4" t="str">
        <f>IFERROR(__xludf.DUMMYFUNCTION("""COMPUTED_VALUE"""),"Connectplug")</f>
        <v>Connectplug</v>
      </c>
      <c r="X547" s="33">
        <f>IFERROR(__xludf.DUMMYFUNCTION("""COMPUTED_VALUE"""),0.9285714285714286)</f>
        <v>0.9285714286</v>
      </c>
    </row>
    <row r="548">
      <c r="K548" s="4" t="str">
        <f>IFERROR(__xludf.DUMMYFUNCTION("""COMPUTED_VALUE"""),"PRIME BURGUER")</f>
        <v>PRIME BURGUER</v>
      </c>
      <c r="L548" s="32">
        <f>IFERROR(__xludf.DUMMYFUNCTION("""COMPUTED_VALUE"""),13.0)</f>
        <v>13</v>
      </c>
      <c r="M548" s="4" t="str">
        <f>IFERROR(__xludf.DUMMYFUNCTION("""COMPUTED_VALUE"""),"null")</f>
        <v>null</v>
      </c>
      <c r="N548" s="33">
        <f>IFERROR(__xludf.DUMMYFUNCTION("""COMPUTED_VALUE"""),0.3076923076923077)</f>
        <v>0.3076923077</v>
      </c>
      <c r="O548" s="4" t="str">
        <f>IFERROR(__xludf.DUMMYFUNCTION("""COMPUTED_VALUE"""),"null")</f>
        <v>null</v>
      </c>
      <c r="P548" s="33">
        <f>IFERROR(__xludf.DUMMYFUNCTION("""COMPUTED_VALUE"""),0.38461538461538464)</f>
        <v>0.3846153846</v>
      </c>
      <c r="Q548" s="4" t="str">
        <f>IFERROR(__xludf.DUMMYFUNCTION("""COMPUTED_VALUE"""),"null")</f>
        <v>null</v>
      </c>
      <c r="R548" s="33">
        <f>IFERROR(__xludf.DUMMYFUNCTION("""COMPUTED_VALUE"""),0.38461538461538464)</f>
        <v>0.3846153846</v>
      </c>
      <c r="S548" s="4" t="str">
        <f>IFERROR(__xludf.DUMMYFUNCTION("""COMPUTED_VALUE"""),"null")</f>
        <v>null</v>
      </c>
      <c r="T548" s="33">
        <f>IFERROR(__xludf.DUMMYFUNCTION("""COMPUTED_VALUE"""),0.38461538461538464)</f>
        <v>0.3846153846</v>
      </c>
      <c r="U548" s="4" t="str">
        <f>IFERROR(__xludf.DUMMYFUNCTION("""COMPUTED_VALUE"""),"null")</f>
        <v>null</v>
      </c>
      <c r="V548" s="33">
        <f>IFERROR(__xludf.DUMMYFUNCTION("""COMPUTED_VALUE"""),0.46153846153846156)</f>
        <v>0.4615384615</v>
      </c>
      <c r="W548" s="4" t="str">
        <f>IFERROR(__xludf.DUMMYFUNCTION("""COMPUTED_VALUE"""),"Saipos Serviços De Software")</f>
        <v>Saipos Serviços De Software</v>
      </c>
      <c r="X548" s="33">
        <f>IFERROR(__xludf.DUMMYFUNCTION("""COMPUTED_VALUE"""),0.23076923076923078)</f>
        <v>0.2307692308</v>
      </c>
    </row>
    <row r="549">
      <c r="K549" s="4" t="str">
        <f>IFERROR(__xludf.DUMMYFUNCTION("""COMPUTED_VALUE"""),"INSANOS HAMBURGUERIA")</f>
        <v>INSANOS HAMBURGUERIA</v>
      </c>
      <c r="L549" s="32">
        <f>IFERROR(__xludf.DUMMYFUNCTION("""COMPUTED_VALUE"""),13.0)</f>
        <v>13</v>
      </c>
      <c r="M549" s="4" t="str">
        <f>IFERROR(__xludf.DUMMYFUNCTION("""COMPUTED_VALUE"""),"Saipos Serviços De Software")</f>
        <v>Saipos Serviços De Software</v>
      </c>
      <c r="N549" s="33">
        <f>IFERROR(__xludf.DUMMYFUNCTION("""COMPUTED_VALUE"""),0.5384615384615384)</f>
        <v>0.5384615385</v>
      </c>
      <c r="O549" s="4" t="str">
        <f>IFERROR(__xludf.DUMMYFUNCTION("""COMPUTED_VALUE"""),"Saipos Serviços De Software")</f>
        <v>Saipos Serviços De Software</v>
      </c>
      <c r="P549" s="33">
        <f>IFERROR(__xludf.DUMMYFUNCTION("""COMPUTED_VALUE"""),0.5384615384615384)</f>
        <v>0.5384615385</v>
      </c>
      <c r="Q549" s="4" t="str">
        <f>IFERROR(__xludf.DUMMYFUNCTION("""COMPUTED_VALUE"""),"Saipos Serviços De Software")</f>
        <v>Saipos Serviços De Software</v>
      </c>
      <c r="R549" s="33">
        <f>IFERROR(__xludf.DUMMYFUNCTION("""COMPUTED_VALUE"""),0.46153846153846156)</f>
        <v>0.4615384615</v>
      </c>
      <c r="S549" s="4" t="str">
        <f>IFERROR(__xludf.DUMMYFUNCTION("""COMPUTED_VALUE"""),"Saipos Serviços De Software")</f>
        <v>Saipos Serviços De Software</v>
      </c>
      <c r="T549" s="33">
        <f>IFERROR(__xludf.DUMMYFUNCTION("""COMPUTED_VALUE"""),0.46153846153846156)</f>
        <v>0.4615384615</v>
      </c>
      <c r="U549" s="4" t="str">
        <f>IFERROR(__xludf.DUMMYFUNCTION("""COMPUTED_VALUE"""),"Saipos Serviços De Software")</f>
        <v>Saipos Serviços De Software</v>
      </c>
      <c r="V549" s="33">
        <f>IFERROR(__xludf.DUMMYFUNCTION("""COMPUTED_VALUE"""),0.46153846153846156)</f>
        <v>0.4615384615</v>
      </c>
      <c r="W549" s="4" t="str">
        <f>IFERROR(__xludf.DUMMYFUNCTION("""COMPUTED_VALUE"""),"Saipos Serviços De Software")</f>
        <v>Saipos Serviços De Software</v>
      </c>
      <c r="X549" s="33">
        <f>IFERROR(__xludf.DUMMYFUNCTION("""COMPUTED_VALUE"""),0.46153846153846156)</f>
        <v>0.4615384615</v>
      </c>
    </row>
    <row r="550">
      <c r="K550" s="4" t="str">
        <f>IFERROR(__xludf.DUMMYFUNCTION("""COMPUTED_VALUE"""),"CANTINHO DO ACAI")</f>
        <v>CANTINHO DO ACAI</v>
      </c>
      <c r="L550" s="32">
        <f>IFERROR(__xludf.DUMMYFUNCTION("""COMPUTED_VALUE"""),13.0)</f>
        <v>13</v>
      </c>
      <c r="M550" s="4" t="str">
        <f>IFERROR(__xludf.DUMMYFUNCTION("""COMPUTED_VALUE"""),"null")</f>
        <v>null</v>
      </c>
      <c r="N550" s="33">
        <f>IFERROR(__xludf.DUMMYFUNCTION("""COMPUTED_VALUE"""),0.3076923076923077)</f>
        <v>0.3076923077</v>
      </c>
      <c r="O550" s="4" t="str">
        <f>IFERROR(__xludf.DUMMYFUNCTION("""COMPUTED_VALUE"""),"null")</f>
        <v>null</v>
      </c>
      <c r="P550" s="33">
        <f>IFERROR(__xludf.DUMMYFUNCTION("""COMPUTED_VALUE"""),0.46153846153846156)</f>
        <v>0.4615384615</v>
      </c>
      <c r="Q550" s="4" t="str">
        <f>IFERROR(__xludf.DUMMYFUNCTION("""COMPUTED_VALUE"""),"null")</f>
        <v>null</v>
      </c>
      <c r="R550" s="33">
        <f>IFERROR(__xludf.DUMMYFUNCTION("""COMPUTED_VALUE"""),0.3076923076923077)</f>
        <v>0.3076923077</v>
      </c>
      <c r="S550" s="4" t="str">
        <f>IFERROR(__xludf.DUMMYFUNCTION("""COMPUTED_VALUE"""),"null")</f>
        <v>null</v>
      </c>
      <c r="T550" s="33">
        <f>IFERROR(__xludf.DUMMYFUNCTION("""COMPUTED_VALUE"""),0.38461538461538464)</f>
        <v>0.3846153846</v>
      </c>
      <c r="U550" s="4" t="str">
        <f>IFERROR(__xludf.DUMMYFUNCTION("""COMPUTED_VALUE"""),"null")</f>
        <v>null</v>
      </c>
      <c r="V550" s="33">
        <f>IFERROR(__xludf.DUMMYFUNCTION("""COMPUTED_VALUE"""),0.5384615384615384)</f>
        <v>0.5384615385</v>
      </c>
      <c r="W550" s="4" t="str">
        <f>IFERROR(__xludf.DUMMYFUNCTION("""COMPUTED_VALUE"""),"null")</f>
        <v>null</v>
      </c>
      <c r="X550" s="33">
        <f>IFERROR(__xludf.DUMMYFUNCTION("""COMPUTED_VALUE"""),0.5384615384615384)</f>
        <v>0.5384615385</v>
      </c>
    </row>
    <row r="551">
      <c r="K551" s="4" t="str">
        <f>IFERROR(__xludf.DUMMYFUNCTION("""COMPUTED_VALUE"""),"1900 PIZZERIA")</f>
        <v>1900 PIZZERIA</v>
      </c>
      <c r="L551" s="32">
        <f>IFERROR(__xludf.DUMMYFUNCTION("""COMPUTED_VALUE"""),13.0)</f>
        <v>13</v>
      </c>
      <c r="M551" s="4" t="str">
        <f>IFERROR(__xludf.DUMMYFUNCTION("""COMPUTED_VALUE"""),"Atena Tecnologia Da Informacao Ltda")</f>
        <v>Atena Tecnologia Da Informacao Ltda</v>
      </c>
      <c r="N551" s="33">
        <f>IFERROR(__xludf.DUMMYFUNCTION("""COMPUTED_VALUE"""),1.0)</f>
        <v>1</v>
      </c>
      <c r="O551" s="4" t="str">
        <f>IFERROR(__xludf.DUMMYFUNCTION("""COMPUTED_VALUE"""),"Atena Tecnologia Da Informacao Ltda")</f>
        <v>Atena Tecnologia Da Informacao Ltda</v>
      </c>
      <c r="P551" s="33">
        <f>IFERROR(__xludf.DUMMYFUNCTION("""COMPUTED_VALUE"""),1.0)</f>
        <v>1</v>
      </c>
      <c r="Q551" s="4" t="str">
        <f>IFERROR(__xludf.DUMMYFUNCTION("""COMPUTED_VALUE"""),"Atena Tecnologia Da Informacao Ltda")</f>
        <v>Atena Tecnologia Da Informacao Ltda</v>
      </c>
      <c r="R551" s="33">
        <f>IFERROR(__xludf.DUMMYFUNCTION("""COMPUTED_VALUE"""),1.0)</f>
        <v>1</v>
      </c>
      <c r="S551" s="4" t="str">
        <f>IFERROR(__xludf.DUMMYFUNCTION("""COMPUTED_VALUE"""),"Atena Tecnologia Da Informacao Ltda")</f>
        <v>Atena Tecnologia Da Informacao Ltda</v>
      </c>
      <c r="T551" s="33">
        <f>IFERROR(__xludf.DUMMYFUNCTION("""COMPUTED_VALUE"""),1.0)</f>
        <v>1</v>
      </c>
      <c r="U551" s="4" t="str">
        <f>IFERROR(__xludf.DUMMYFUNCTION("""COMPUTED_VALUE"""),"Atena Tecnologia Da Informacao Ltda")</f>
        <v>Atena Tecnologia Da Informacao Ltda</v>
      </c>
      <c r="V551" s="33">
        <f>IFERROR(__xludf.DUMMYFUNCTION("""COMPUTED_VALUE"""),1.0)</f>
        <v>1</v>
      </c>
      <c r="W551" s="4" t="str">
        <f>IFERROR(__xludf.DUMMYFUNCTION("""COMPUTED_VALUE"""),"Atena Tecnologia Da Informacao Ltda")</f>
        <v>Atena Tecnologia Da Informacao Ltda</v>
      </c>
      <c r="X551" s="33">
        <f>IFERROR(__xludf.DUMMYFUNCTION("""COMPUTED_VALUE"""),1.0)</f>
        <v>1</v>
      </c>
    </row>
    <row r="552">
      <c r="K552" s="4" t="str">
        <f>IFERROR(__xludf.DUMMYFUNCTION("""COMPUTED_VALUE"""),"AGROMIX PET CENTER - CONTA PAI")</f>
        <v>AGROMIX PET CENTER - CONTA PAI</v>
      </c>
      <c r="L552" s="32">
        <f>IFERROR(__xludf.DUMMYFUNCTION("""COMPUTED_VALUE"""),13.0)</f>
        <v>13</v>
      </c>
      <c r="M552" s="4" t="str">
        <f>IFERROR(__xludf.DUMMYFUNCTION("""COMPUTED_VALUE"""),"null")</f>
        <v>null</v>
      </c>
      <c r="N552" s="33">
        <f>IFERROR(__xludf.DUMMYFUNCTION("""COMPUTED_VALUE"""),0.9230769230769231)</f>
        <v>0.9230769231</v>
      </c>
      <c r="O552" s="4" t="str">
        <f>IFERROR(__xludf.DUMMYFUNCTION("""COMPUTED_VALUE"""),"N/A (Not found)")</f>
        <v>N/A (Not found)</v>
      </c>
      <c r="P552" s="33">
        <f>IFERROR(__xludf.DUMMYFUNCTION("""COMPUTED_VALUE"""),1.0)</f>
        <v>1</v>
      </c>
      <c r="Q552" s="4" t="str">
        <f>IFERROR(__xludf.DUMMYFUNCTION("""COMPUTED_VALUE"""),"N/A (Not found)")</f>
        <v>N/A (Not found)</v>
      </c>
      <c r="R552" s="33">
        <f>IFERROR(__xludf.DUMMYFUNCTION("""COMPUTED_VALUE"""),1.0)</f>
        <v>1</v>
      </c>
      <c r="S552" s="4" t="str">
        <f>IFERROR(__xludf.DUMMYFUNCTION("""COMPUTED_VALUE"""),"N/A (Not found)")</f>
        <v>N/A (Not found)</v>
      </c>
      <c r="T552" s="33">
        <f>IFERROR(__xludf.DUMMYFUNCTION("""COMPUTED_VALUE"""),1.0)</f>
        <v>1</v>
      </c>
      <c r="U552" s="4" t="str">
        <f>IFERROR(__xludf.DUMMYFUNCTION("""COMPUTED_VALUE"""),"N/A (Not found)")</f>
        <v>N/A (Not found)</v>
      </c>
      <c r="V552" s="33">
        <f>IFERROR(__xludf.DUMMYFUNCTION("""COMPUTED_VALUE"""),1.0)</f>
        <v>1</v>
      </c>
      <c r="W552" s="4" t="str">
        <f>IFERROR(__xludf.DUMMYFUNCTION("""COMPUTED_VALUE"""),"N/A (Not found)")</f>
        <v>N/A (Not found)</v>
      </c>
      <c r="X552" s="33">
        <f>IFERROR(__xludf.DUMMYFUNCTION("""COMPUTED_VALUE"""),1.0)</f>
        <v>1</v>
      </c>
    </row>
    <row r="553">
      <c r="K553" s="4" t="str">
        <f>IFERROR(__xludf.DUMMYFUNCTION("""COMPUTED_VALUE"""),"ASUN SUPERMERCADOS - CONTA GRUPO")</f>
        <v>ASUN SUPERMERCADOS - CONTA GRUPO</v>
      </c>
      <c r="L553" s="32">
        <f>IFERROR(__xludf.DUMMYFUNCTION("""COMPUTED_VALUE"""),13.0)</f>
        <v>13</v>
      </c>
      <c r="M553" s="4" t="str">
        <f>IFERROR(__xludf.DUMMYFUNCTION("""COMPUTED_VALUE"""),"N/A (Not found)")</f>
        <v>N/A (Not found)</v>
      </c>
      <c r="N553" s="33">
        <f>IFERROR(__xludf.DUMMYFUNCTION("""COMPUTED_VALUE"""),0.9230769230769231)</f>
        <v>0.9230769231</v>
      </c>
      <c r="O553" s="4" t="str">
        <f>IFERROR(__xludf.DUMMYFUNCTION("""COMPUTED_VALUE"""),"N/A (Not found)")</f>
        <v>N/A (Not found)</v>
      </c>
      <c r="P553" s="33">
        <f>IFERROR(__xludf.DUMMYFUNCTION("""COMPUTED_VALUE"""),0.9230769230769231)</f>
        <v>0.9230769231</v>
      </c>
      <c r="Q553" s="4" t="str">
        <f>IFERROR(__xludf.DUMMYFUNCTION("""COMPUTED_VALUE"""),"N/A (Not found)")</f>
        <v>N/A (Not found)</v>
      </c>
      <c r="R553" s="33">
        <f>IFERROR(__xludf.DUMMYFUNCTION("""COMPUTED_VALUE"""),0.9230769230769231)</f>
        <v>0.9230769231</v>
      </c>
      <c r="S553" s="4" t="str">
        <f>IFERROR(__xludf.DUMMYFUNCTION("""COMPUTED_VALUE"""),"N/A (Not found)")</f>
        <v>N/A (Not found)</v>
      </c>
      <c r="T553" s="33">
        <f>IFERROR(__xludf.DUMMYFUNCTION("""COMPUTED_VALUE"""),1.0)</f>
        <v>1</v>
      </c>
      <c r="U553" s="4" t="str">
        <f>IFERROR(__xludf.DUMMYFUNCTION("""COMPUTED_VALUE"""),"N/A (Not found)")</f>
        <v>N/A (Not found)</v>
      </c>
      <c r="V553" s="33">
        <f>IFERROR(__xludf.DUMMYFUNCTION("""COMPUTED_VALUE"""),1.0)</f>
        <v>1</v>
      </c>
      <c r="W553" s="4" t="str">
        <f>IFERROR(__xludf.DUMMYFUNCTION("""COMPUTED_VALUE"""),"N/A (Not found)")</f>
        <v>N/A (Not found)</v>
      </c>
      <c r="X553" s="33">
        <f>IFERROR(__xludf.DUMMYFUNCTION("""COMPUTED_VALUE"""),1.0)</f>
        <v>1</v>
      </c>
    </row>
    <row r="554">
      <c r="K554" s="4" t="str">
        <f>IFERROR(__xludf.DUMMYFUNCTION("""COMPUTED_VALUE"""),"BH JAPA SUSHI - CONTA MARCA")</f>
        <v>BH JAPA SUSHI - CONTA MARCA</v>
      </c>
      <c r="L554" s="32">
        <f>IFERROR(__xludf.DUMMYFUNCTION("""COMPUTED_VALUE"""),13.0)</f>
        <v>13</v>
      </c>
      <c r="M554" s="4" t="str">
        <f>IFERROR(__xludf.DUMMYFUNCTION("""COMPUTED_VALUE"""),"Saipos Serviços De Software")</f>
        <v>Saipos Serviços De Software</v>
      </c>
      <c r="N554" s="33">
        <f>IFERROR(__xludf.DUMMYFUNCTION("""COMPUTED_VALUE"""),0.6153846153846154)</f>
        <v>0.6153846154</v>
      </c>
      <c r="O554" s="4" t="str">
        <f>IFERROR(__xludf.DUMMYFUNCTION("""COMPUTED_VALUE"""),"Saipos Serviços De Software")</f>
        <v>Saipos Serviços De Software</v>
      </c>
      <c r="P554" s="33">
        <f>IFERROR(__xludf.DUMMYFUNCTION("""COMPUTED_VALUE"""),0.7692307692307693)</f>
        <v>0.7692307692</v>
      </c>
      <c r="Q554" s="4" t="str">
        <f>IFERROR(__xludf.DUMMYFUNCTION("""COMPUTED_VALUE"""),"Saipos Serviços De Software")</f>
        <v>Saipos Serviços De Software</v>
      </c>
      <c r="R554" s="33">
        <f>IFERROR(__xludf.DUMMYFUNCTION("""COMPUTED_VALUE"""),0.7692307692307693)</f>
        <v>0.7692307692</v>
      </c>
      <c r="S554" s="4" t="str">
        <f>IFERROR(__xludf.DUMMYFUNCTION("""COMPUTED_VALUE"""),"Saipos Serviços De Software")</f>
        <v>Saipos Serviços De Software</v>
      </c>
      <c r="T554" s="33">
        <f>IFERROR(__xludf.DUMMYFUNCTION("""COMPUTED_VALUE"""),0.9230769230769231)</f>
        <v>0.9230769231</v>
      </c>
      <c r="U554" s="4" t="str">
        <f>IFERROR(__xludf.DUMMYFUNCTION("""COMPUTED_VALUE"""),"Saipos Serviços De Software")</f>
        <v>Saipos Serviços De Software</v>
      </c>
      <c r="V554" s="33">
        <f>IFERROR(__xludf.DUMMYFUNCTION("""COMPUTED_VALUE"""),0.9230769230769231)</f>
        <v>0.9230769231</v>
      </c>
      <c r="W554" s="4" t="str">
        <f>IFERROR(__xludf.DUMMYFUNCTION("""COMPUTED_VALUE"""),"Saipos Serviços De Software")</f>
        <v>Saipos Serviços De Software</v>
      </c>
      <c r="X554" s="33">
        <f>IFERROR(__xludf.DUMMYFUNCTION("""COMPUTED_VALUE"""),0.9230769230769231)</f>
        <v>0.9230769231</v>
      </c>
    </row>
    <row r="555">
      <c r="K555" s="4" t="str">
        <f>IFERROR(__xludf.DUMMYFUNCTION("""COMPUTED_VALUE"""),"BOLO DA VO - O MELHOR BOLO CASEIRO DE SP")</f>
        <v>BOLO DA VO - O MELHOR BOLO CASEIRO DE SP</v>
      </c>
      <c r="L555" s="32">
        <f>IFERROR(__xludf.DUMMYFUNCTION("""COMPUTED_VALUE"""),13.0)</f>
        <v>13</v>
      </c>
      <c r="M555" s="4" t="str">
        <f>IFERROR(__xludf.DUMMYFUNCTION("""COMPUTED_VALUE"""),"Opdv")</f>
        <v>Opdv</v>
      </c>
      <c r="N555" s="33">
        <f>IFERROR(__xludf.DUMMYFUNCTION("""COMPUTED_VALUE"""),1.0)</f>
        <v>1</v>
      </c>
      <c r="O555" s="4" t="str">
        <f>IFERROR(__xludf.DUMMYFUNCTION("""COMPUTED_VALUE"""),"Opdv")</f>
        <v>Opdv</v>
      </c>
      <c r="P555" s="33">
        <f>IFERROR(__xludf.DUMMYFUNCTION("""COMPUTED_VALUE"""),1.0)</f>
        <v>1</v>
      </c>
      <c r="Q555" s="4" t="str">
        <f>IFERROR(__xludf.DUMMYFUNCTION("""COMPUTED_VALUE"""),"Opdv")</f>
        <v>Opdv</v>
      </c>
      <c r="R555" s="33">
        <f>IFERROR(__xludf.DUMMYFUNCTION("""COMPUTED_VALUE"""),1.0)</f>
        <v>1</v>
      </c>
      <c r="S555" s="4" t="str">
        <f>IFERROR(__xludf.DUMMYFUNCTION("""COMPUTED_VALUE"""),"Opdv")</f>
        <v>Opdv</v>
      </c>
      <c r="T555" s="33">
        <f>IFERROR(__xludf.DUMMYFUNCTION("""COMPUTED_VALUE"""),1.0)</f>
        <v>1</v>
      </c>
      <c r="U555" s="4" t="str">
        <f>IFERROR(__xludf.DUMMYFUNCTION("""COMPUTED_VALUE"""),"Opdv")</f>
        <v>Opdv</v>
      </c>
      <c r="V555" s="33">
        <f>IFERROR(__xludf.DUMMYFUNCTION("""COMPUTED_VALUE"""),1.0)</f>
        <v>1</v>
      </c>
      <c r="W555" s="4" t="str">
        <f>IFERROR(__xludf.DUMMYFUNCTION("""COMPUTED_VALUE"""),"Opdv")</f>
        <v>Opdv</v>
      </c>
      <c r="X555" s="33">
        <f>IFERROR(__xludf.DUMMYFUNCTION("""COMPUTED_VALUE"""),1.0)</f>
        <v>1</v>
      </c>
    </row>
    <row r="556">
      <c r="K556" s="4" t="str">
        <f>IFERROR(__xludf.DUMMYFUNCTION("""COMPUTED_VALUE"""),"CHEF SUSHI - CONTA MARCA")</f>
        <v>CHEF SUSHI - CONTA MARCA</v>
      </c>
      <c r="L556" s="32">
        <f>IFERROR(__xludf.DUMMYFUNCTION("""COMPUTED_VALUE"""),13.0)</f>
        <v>13</v>
      </c>
      <c r="M556" s="4" t="str">
        <f>IFERROR(__xludf.DUMMYFUNCTION("""COMPUTED_VALUE"""),"null")</f>
        <v>null</v>
      </c>
      <c r="N556" s="33">
        <f>IFERROR(__xludf.DUMMYFUNCTION("""COMPUTED_VALUE"""),0.9230769230769231)</f>
        <v>0.9230769231</v>
      </c>
      <c r="O556" s="4" t="str">
        <f>IFERROR(__xludf.DUMMYFUNCTION("""COMPUTED_VALUE"""),"null")</f>
        <v>null</v>
      </c>
      <c r="P556" s="33">
        <f>IFERROR(__xludf.DUMMYFUNCTION("""COMPUTED_VALUE"""),0.9230769230769231)</f>
        <v>0.9230769231</v>
      </c>
      <c r="Q556" s="4" t="str">
        <f>IFERROR(__xludf.DUMMYFUNCTION("""COMPUTED_VALUE"""),"null")</f>
        <v>null</v>
      </c>
      <c r="R556" s="33">
        <f>IFERROR(__xludf.DUMMYFUNCTION("""COMPUTED_VALUE"""),0.9230769230769231)</f>
        <v>0.9230769231</v>
      </c>
      <c r="S556" s="4" t="str">
        <f>IFERROR(__xludf.DUMMYFUNCTION("""COMPUTED_VALUE"""),"null")</f>
        <v>null</v>
      </c>
      <c r="T556" s="33">
        <f>IFERROR(__xludf.DUMMYFUNCTION("""COMPUTED_VALUE"""),0.6923076923076923)</f>
        <v>0.6923076923</v>
      </c>
      <c r="U556" s="4" t="str">
        <f>IFERROR(__xludf.DUMMYFUNCTION("""COMPUTED_VALUE"""),"Cardápio Web")</f>
        <v>Cardápio Web</v>
      </c>
      <c r="V556" s="33">
        <f>IFERROR(__xludf.DUMMYFUNCTION("""COMPUTED_VALUE"""),0.9230769230769231)</f>
        <v>0.9230769231</v>
      </c>
      <c r="W556" s="4" t="str">
        <f>IFERROR(__xludf.DUMMYFUNCTION("""COMPUTED_VALUE"""),"Cardápio Web")</f>
        <v>Cardápio Web</v>
      </c>
      <c r="X556" s="33">
        <f>IFERROR(__xludf.DUMMYFUNCTION("""COMPUTED_VALUE"""),0.7692307692307693)</f>
        <v>0.7692307692</v>
      </c>
    </row>
    <row r="557">
      <c r="K557" s="4" t="str">
        <f>IFERROR(__xludf.DUMMYFUNCTION("""COMPUTED_VALUE"""),"DOFFEE DONUTS COFFEE - CONTA PAI")</f>
        <v>DOFFEE DONUTS COFFEE - CONTA PAI</v>
      </c>
      <c r="L557" s="32">
        <f>IFERROR(__xludf.DUMMYFUNCTION("""COMPUTED_VALUE"""),13.0)</f>
        <v>13</v>
      </c>
      <c r="M557" s="4" t="str">
        <f>IFERROR(__xludf.DUMMYFUNCTION("""COMPUTED_VALUE"""),"Cloudfy")</f>
        <v>Cloudfy</v>
      </c>
      <c r="N557" s="33">
        <f>IFERROR(__xludf.DUMMYFUNCTION("""COMPUTED_VALUE"""),1.0)</f>
        <v>1</v>
      </c>
      <c r="O557" s="4" t="str">
        <f>IFERROR(__xludf.DUMMYFUNCTION("""COMPUTED_VALUE"""),"Cloudfy")</f>
        <v>Cloudfy</v>
      </c>
      <c r="P557" s="33">
        <f>IFERROR(__xludf.DUMMYFUNCTION("""COMPUTED_VALUE"""),1.0)</f>
        <v>1</v>
      </c>
      <c r="Q557" s="4" t="str">
        <f>IFERROR(__xludf.DUMMYFUNCTION("""COMPUTED_VALUE"""),"Cloudfy")</f>
        <v>Cloudfy</v>
      </c>
      <c r="R557" s="33">
        <f>IFERROR(__xludf.DUMMYFUNCTION("""COMPUTED_VALUE"""),0.9230769230769231)</f>
        <v>0.9230769231</v>
      </c>
      <c r="S557" s="4" t="str">
        <f>IFERROR(__xludf.DUMMYFUNCTION("""COMPUTED_VALUE"""),"Cloudfy")</f>
        <v>Cloudfy</v>
      </c>
      <c r="T557" s="33">
        <f>IFERROR(__xludf.DUMMYFUNCTION("""COMPUTED_VALUE"""),0.8461538461538461)</f>
        <v>0.8461538462</v>
      </c>
      <c r="U557" s="4" t="str">
        <f>IFERROR(__xludf.DUMMYFUNCTION("""COMPUTED_VALUE"""),"Cloudfy")</f>
        <v>Cloudfy</v>
      </c>
      <c r="V557" s="33">
        <f>IFERROR(__xludf.DUMMYFUNCTION("""COMPUTED_VALUE"""),0.8461538461538461)</f>
        <v>0.8461538462</v>
      </c>
      <c r="W557" s="4" t="str">
        <f>IFERROR(__xludf.DUMMYFUNCTION("""COMPUTED_VALUE"""),"Cloudfy")</f>
        <v>Cloudfy</v>
      </c>
      <c r="X557" s="33">
        <f>IFERROR(__xludf.DUMMYFUNCTION("""COMPUTED_VALUE"""),0.8461538461538461)</f>
        <v>0.8461538462</v>
      </c>
    </row>
    <row r="558">
      <c r="K558" s="4" t="str">
        <f>IFERROR(__xludf.DUMMYFUNCTION("""COMPUTED_VALUE"""),"DROGARIA OFERTAO GRUPO SAUDE SE FAZ ASSIM - CONTA MARCA")</f>
        <v>DROGARIA OFERTAO GRUPO SAUDE SE FAZ ASSIM - CONTA MARCA</v>
      </c>
      <c r="L558" s="32">
        <f>IFERROR(__xludf.DUMMYFUNCTION("""COMPUTED_VALUE"""),13.0)</f>
        <v>13</v>
      </c>
      <c r="M558" s="4" t="str">
        <f>IFERROR(__xludf.DUMMYFUNCTION("""COMPUTED_VALUE"""),"N/A (Not found)")</f>
        <v>N/A (Not found)</v>
      </c>
      <c r="N558" s="33">
        <f>IFERROR(__xludf.DUMMYFUNCTION("""COMPUTED_VALUE"""),1.0)</f>
        <v>1</v>
      </c>
      <c r="O558" s="4" t="str">
        <f>IFERROR(__xludf.DUMMYFUNCTION("""COMPUTED_VALUE"""),"N/A (Not found)")</f>
        <v>N/A (Not found)</v>
      </c>
      <c r="P558" s="33">
        <f>IFERROR(__xludf.DUMMYFUNCTION("""COMPUTED_VALUE"""),1.0)</f>
        <v>1</v>
      </c>
      <c r="Q558" s="4" t="str">
        <f>IFERROR(__xludf.DUMMYFUNCTION("""COMPUTED_VALUE"""),"N/A (Not found)")</f>
        <v>N/A (Not found)</v>
      </c>
      <c r="R558" s="33">
        <f>IFERROR(__xludf.DUMMYFUNCTION("""COMPUTED_VALUE"""),1.0)</f>
        <v>1</v>
      </c>
      <c r="S558" s="4" t="str">
        <f>IFERROR(__xludf.DUMMYFUNCTION("""COMPUTED_VALUE"""),"N/A (Not found)")</f>
        <v>N/A (Not found)</v>
      </c>
      <c r="T558" s="33">
        <f>IFERROR(__xludf.DUMMYFUNCTION("""COMPUTED_VALUE"""),1.0)</f>
        <v>1</v>
      </c>
      <c r="U558" s="4" t="str">
        <f>IFERROR(__xludf.DUMMYFUNCTION("""COMPUTED_VALUE"""),"N/A (Not found)")</f>
        <v>N/A (Not found)</v>
      </c>
      <c r="V558" s="33">
        <f>IFERROR(__xludf.DUMMYFUNCTION("""COMPUTED_VALUE"""),1.0)</f>
        <v>1</v>
      </c>
      <c r="W558" s="4" t="str">
        <f>IFERROR(__xludf.DUMMYFUNCTION("""COMPUTED_VALUE"""),"N/A (Not found)")</f>
        <v>N/A (Not found)</v>
      </c>
      <c r="X558" s="33">
        <f>IFERROR(__xludf.DUMMYFUNCTION("""COMPUTED_VALUE"""),1.0)</f>
        <v>1</v>
      </c>
    </row>
    <row r="559">
      <c r="K559" s="4" t="str">
        <f>IFERROR(__xludf.DUMMYFUNCTION("""COMPUTED_VALUE"""),"ELEPHANT")</f>
        <v>ELEPHANT</v>
      </c>
      <c r="L559" s="32">
        <f>IFERROR(__xludf.DUMMYFUNCTION("""COMPUTED_VALUE"""),13.0)</f>
        <v>13</v>
      </c>
      <c r="M559" s="4" t="str">
        <f>IFERROR(__xludf.DUMMYFUNCTION("""COMPUTED_VALUE"""),"Saipos Serviços De Software")</f>
        <v>Saipos Serviços De Software</v>
      </c>
      <c r="N559" s="33">
        <f>IFERROR(__xludf.DUMMYFUNCTION("""COMPUTED_VALUE"""),1.0)</f>
        <v>1</v>
      </c>
      <c r="O559" s="4" t="str">
        <f>IFERROR(__xludf.DUMMYFUNCTION("""COMPUTED_VALUE"""),"Saipos Serviços De Software")</f>
        <v>Saipos Serviços De Software</v>
      </c>
      <c r="P559" s="33">
        <f>IFERROR(__xludf.DUMMYFUNCTION("""COMPUTED_VALUE"""),0.9230769230769231)</f>
        <v>0.9230769231</v>
      </c>
      <c r="Q559" s="4" t="str">
        <f>IFERROR(__xludf.DUMMYFUNCTION("""COMPUTED_VALUE"""),"Saipos Serviços De Software")</f>
        <v>Saipos Serviços De Software</v>
      </c>
      <c r="R559" s="33">
        <f>IFERROR(__xludf.DUMMYFUNCTION("""COMPUTED_VALUE"""),0.9230769230769231)</f>
        <v>0.9230769231</v>
      </c>
      <c r="S559" s="4" t="str">
        <f>IFERROR(__xludf.DUMMYFUNCTION("""COMPUTED_VALUE"""),"Saipos Serviços De Software")</f>
        <v>Saipos Serviços De Software</v>
      </c>
      <c r="T559" s="33">
        <f>IFERROR(__xludf.DUMMYFUNCTION("""COMPUTED_VALUE"""),1.0)</f>
        <v>1</v>
      </c>
      <c r="U559" s="4" t="str">
        <f>IFERROR(__xludf.DUMMYFUNCTION("""COMPUTED_VALUE"""),"Saipos Serviços De Software")</f>
        <v>Saipos Serviços De Software</v>
      </c>
      <c r="V559" s="33">
        <f>IFERROR(__xludf.DUMMYFUNCTION("""COMPUTED_VALUE"""),1.0)</f>
        <v>1</v>
      </c>
      <c r="W559" s="4" t="str">
        <f>IFERROR(__xludf.DUMMYFUNCTION("""COMPUTED_VALUE"""),"Saipos Serviços De Software")</f>
        <v>Saipos Serviços De Software</v>
      </c>
      <c r="X559" s="33">
        <f>IFERROR(__xludf.DUMMYFUNCTION("""COMPUTED_VALUE"""),0.6923076923076923)</f>
        <v>0.6923076923</v>
      </c>
    </row>
    <row r="560">
      <c r="K560" s="4" t="str">
        <f>IFERROR(__xludf.DUMMYFUNCTION("""COMPUTED_VALUE"""),"FARMA SULL - CONTA MARCA")</f>
        <v>FARMA SULL - CONTA MARCA</v>
      </c>
      <c r="L560" s="32">
        <f>IFERROR(__xludf.DUMMYFUNCTION("""COMPUTED_VALUE"""),13.0)</f>
        <v>13</v>
      </c>
      <c r="M560" s="4" t="str">
        <f>IFERROR(__xludf.DUMMYFUNCTION("""COMPUTED_VALUE"""),"N/A (Not found)")</f>
        <v>N/A (Not found)</v>
      </c>
      <c r="N560" s="33">
        <f>IFERROR(__xludf.DUMMYFUNCTION("""COMPUTED_VALUE"""),0.8461538461538461)</f>
        <v>0.8461538462</v>
      </c>
      <c r="O560" s="4" t="str">
        <f>IFERROR(__xludf.DUMMYFUNCTION("""COMPUTED_VALUE"""),"N/A (Not found)")</f>
        <v>N/A (Not found)</v>
      </c>
      <c r="P560" s="33">
        <f>IFERROR(__xludf.DUMMYFUNCTION("""COMPUTED_VALUE"""),0.9230769230769231)</f>
        <v>0.9230769231</v>
      </c>
      <c r="Q560" s="4" t="str">
        <f>IFERROR(__xludf.DUMMYFUNCTION("""COMPUTED_VALUE"""),"N/A (Not found)")</f>
        <v>N/A (Not found)</v>
      </c>
      <c r="R560" s="33">
        <f>IFERROR(__xludf.DUMMYFUNCTION("""COMPUTED_VALUE"""),1.0)</f>
        <v>1</v>
      </c>
      <c r="S560" s="4" t="str">
        <f>IFERROR(__xludf.DUMMYFUNCTION("""COMPUTED_VALUE"""),"N/A (Not found)")</f>
        <v>N/A (Not found)</v>
      </c>
      <c r="T560" s="33">
        <f>IFERROR(__xludf.DUMMYFUNCTION("""COMPUTED_VALUE"""),1.0)</f>
        <v>1</v>
      </c>
      <c r="U560" s="4" t="str">
        <f>IFERROR(__xludf.DUMMYFUNCTION("""COMPUTED_VALUE"""),"N/A (Not found)")</f>
        <v>N/A (Not found)</v>
      </c>
      <c r="V560" s="33">
        <f>IFERROR(__xludf.DUMMYFUNCTION("""COMPUTED_VALUE"""),1.0)</f>
        <v>1</v>
      </c>
      <c r="W560" s="4" t="str">
        <f>IFERROR(__xludf.DUMMYFUNCTION("""COMPUTED_VALUE"""),"N/A (Not found)")</f>
        <v>N/A (Not found)</v>
      </c>
      <c r="X560" s="33">
        <f>IFERROR(__xludf.DUMMYFUNCTION("""COMPUTED_VALUE"""),1.0)</f>
        <v>1</v>
      </c>
    </row>
    <row r="561">
      <c r="K561" s="4" t="str">
        <f>IFERROR(__xludf.DUMMYFUNCTION("""COMPUTED_VALUE"""),"FARMACIA DOS TRABALHADORES DE GOIAS - CONTA PAI")</f>
        <v>FARMACIA DOS TRABALHADORES DE GOIAS - CONTA PAI</v>
      </c>
      <c r="L561" s="32">
        <f>IFERROR(__xludf.DUMMYFUNCTION("""COMPUTED_VALUE"""),13.0)</f>
        <v>13</v>
      </c>
      <c r="M561" s="4" t="str">
        <f>IFERROR(__xludf.DUMMYFUNCTION("""COMPUTED_VALUE"""),"null")</f>
        <v>null</v>
      </c>
      <c r="N561" s="33">
        <f>IFERROR(__xludf.DUMMYFUNCTION("""COMPUTED_VALUE"""),1.0)</f>
        <v>1</v>
      </c>
      <c r="O561" s="4" t="str">
        <f>IFERROR(__xludf.DUMMYFUNCTION("""COMPUTED_VALUE"""),"null")</f>
        <v>null</v>
      </c>
      <c r="P561" s="33">
        <f>IFERROR(__xludf.DUMMYFUNCTION("""COMPUTED_VALUE"""),1.0)</f>
        <v>1</v>
      </c>
      <c r="Q561" s="4" t="str">
        <f>IFERROR(__xludf.DUMMYFUNCTION("""COMPUTED_VALUE"""),"null")</f>
        <v>null</v>
      </c>
      <c r="R561" s="33">
        <f>IFERROR(__xludf.DUMMYFUNCTION("""COMPUTED_VALUE"""),1.0)</f>
        <v>1</v>
      </c>
      <c r="S561" s="4" t="str">
        <f>IFERROR(__xludf.DUMMYFUNCTION("""COMPUTED_VALUE"""),"null")</f>
        <v>null</v>
      </c>
      <c r="T561" s="33">
        <f>IFERROR(__xludf.DUMMYFUNCTION("""COMPUTED_VALUE"""),1.0)</f>
        <v>1</v>
      </c>
      <c r="U561" s="4" t="str">
        <f>IFERROR(__xludf.DUMMYFUNCTION("""COMPUTED_VALUE"""),"N/A (Not found)")</f>
        <v>N/A (Not found)</v>
      </c>
      <c r="V561" s="33">
        <f>IFERROR(__xludf.DUMMYFUNCTION("""COMPUTED_VALUE"""),1.0)</f>
        <v>1</v>
      </c>
      <c r="W561" s="4" t="str">
        <f>IFERROR(__xludf.DUMMYFUNCTION("""COMPUTED_VALUE"""),"N/A (Not found)")</f>
        <v>N/A (Not found)</v>
      </c>
      <c r="X561" s="33">
        <f>IFERROR(__xludf.DUMMYFUNCTION("""COMPUTED_VALUE"""),1.0)</f>
        <v>1</v>
      </c>
    </row>
    <row r="562">
      <c r="K562" s="4" t="str">
        <f>IFERROR(__xludf.DUMMYFUNCTION("""COMPUTED_VALUE"""),"FRIGO CENTRAL - CONTA PAI")</f>
        <v>FRIGO CENTRAL - CONTA PAI</v>
      </c>
      <c r="L562" s="32">
        <f>IFERROR(__xludf.DUMMYFUNCTION("""COMPUTED_VALUE"""),13.0)</f>
        <v>13</v>
      </c>
      <c r="M562" s="4" t="str">
        <f>IFERROR(__xludf.DUMMYFUNCTION("""COMPUTED_VALUE"""),"N/A (Not found)")</f>
        <v>N/A (Not found)</v>
      </c>
      <c r="N562" s="33">
        <f>IFERROR(__xludf.DUMMYFUNCTION("""COMPUTED_VALUE"""),1.0)</f>
        <v>1</v>
      </c>
      <c r="O562" s="4" t="str">
        <f>IFERROR(__xludf.DUMMYFUNCTION("""COMPUTED_VALUE"""),"N/A (Not found)")</f>
        <v>N/A (Not found)</v>
      </c>
      <c r="P562" s="33">
        <f>IFERROR(__xludf.DUMMYFUNCTION("""COMPUTED_VALUE"""),1.0)</f>
        <v>1</v>
      </c>
      <c r="Q562" s="4" t="str">
        <f>IFERROR(__xludf.DUMMYFUNCTION("""COMPUTED_VALUE"""),"N/A (Not found)")</f>
        <v>N/A (Not found)</v>
      </c>
      <c r="R562" s="33">
        <f>IFERROR(__xludf.DUMMYFUNCTION("""COMPUTED_VALUE"""),1.0)</f>
        <v>1</v>
      </c>
      <c r="S562" s="4" t="str">
        <f>IFERROR(__xludf.DUMMYFUNCTION("""COMPUTED_VALUE"""),"N/A (Not found)")</f>
        <v>N/A (Not found)</v>
      </c>
      <c r="T562" s="33">
        <f>IFERROR(__xludf.DUMMYFUNCTION("""COMPUTED_VALUE"""),1.0)</f>
        <v>1</v>
      </c>
      <c r="U562" s="4" t="str">
        <f>IFERROR(__xludf.DUMMYFUNCTION("""COMPUTED_VALUE"""),"N/A (Not found)")</f>
        <v>N/A (Not found)</v>
      </c>
      <c r="V562" s="33">
        <f>IFERROR(__xludf.DUMMYFUNCTION("""COMPUTED_VALUE"""),0.6153846153846154)</f>
        <v>0.6153846154</v>
      </c>
      <c r="W562" s="4" t="str">
        <f>IFERROR(__xludf.DUMMYFUNCTION("""COMPUTED_VALUE"""),"null")</f>
        <v>null</v>
      </c>
      <c r="X562" s="33">
        <f>IFERROR(__xludf.DUMMYFUNCTION("""COMPUTED_VALUE"""),0.6153846153846154)</f>
        <v>0.6153846154</v>
      </c>
    </row>
    <row r="563">
      <c r="K563" s="4" t="str">
        <f>IFERROR(__xludf.DUMMYFUNCTION("""COMPUTED_VALUE"""),"GRUPO 45 BURGUER")</f>
        <v>GRUPO 45 BURGUER</v>
      </c>
      <c r="L563" s="32">
        <f>IFERROR(__xludf.DUMMYFUNCTION("""COMPUTED_VALUE"""),13.0)</f>
        <v>13</v>
      </c>
      <c r="M563" s="4" t="str">
        <f>IFERROR(__xludf.DUMMYFUNCTION("""COMPUTED_VALUE"""),"Saipos Serviços De Software")</f>
        <v>Saipos Serviços De Software</v>
      </c>
      <c r="N563" s="33">
        <f>IFERROR(__xludf.DUMMYFUNCTION("""COMPUTED_VALUE"""),1.0)</f>
        <v>1</v>
      </c>
      <c r="O563" s="4" t="str">
        <f>IFERROR(__xludf.DUMMYFUNCTION("""COMPUTED_VALUE"""),"Saipos Serviços De Software")</f>
        <v>Saipos Serviços De Software</v>
      </c>
      <c r="P563" s="33">
        <f>IFERROR(__xludf.DUMMYFUNCTION("""COMPUTED_VALUE"""),1.0)</f>
        <v>1</v>
      </c>
      <c r="Q563" s="4" t="str">
        <f>IFERROR(__xludf.DUMMYFUNCTION("""COMPUTED_VALUE"""),"Saipos Serviços De Software")</f>
        <v>Saipos Serviços De Software</v>
      </c>
      <c r="R563" s="33">
        <f>IFERROR(__xludf.DUMMYFUNCTION("""COMPUTED_VALUE"""),0.9230769230769231)</f>
        <v>0.9230769231</v>
      </c>
      <c r="S563" s="4" t="str">
        <f>IFERROR(__xludf.DUMMYFUNCTION("""COMPUTED_VALUE"""),"Saipos Serviços De Software")</f>
        <v>Saipos Serviços De Software</v>
      </c>
      <c r="T563" s="33">
        <f>IFERROR(__xludf.DUMMYFUNCTION("""COMPUTED_VALUE"""),0.9230769230769231)</f>
        <v>0.9230769231</v>
      </c>
      <c r="U563" s="4" t="str">
        <f>IFERROR(__xludf.DUMMYFUNCTION("""COMPUTED_VALUE"""),"Saipos Serviços De Software")</f>
        <v>Saipos Serviços De Software</v>
      </c>
      <c r="V563" s="33">
        <f>IFERROR(__xludf.DUMMYFUNCTION("""COMPUTED_VALUE"""),0.8461538461538461)</f>
        <v>0.8461538462</v>
      </c>
      <c r="W563" s="4" t="str">
        <f>IFERROR(__xludf.DUMMYFUNCTION("""COMPUTED_VALUE"""),"Saipos Serviços De Software")</f>
        <v>Saipos Serviços De Software</v>
      </c>
      <c r="X563" s="33">
        <f>IFERROR(__xludf.DUMMYFUNCTION("""COMPUTED_VALUE"""),0.7692307692307693)</f>
        <v>0.7692307692</v>
      </c>
    </row>
    <row r="564">
      <c r="K564" s="4" t="str">
        <f>IFERROR(__xludf.DUMMYFUNCTION("""COMPUTED_VALUE"""),"GRUPO DOG DO BARTO")</f>
        <v>GRUPO DOG DO BARTO</v>
      </c>
      <c r="L564" s="32">
        <f>IFERROR(__xludf.DUMMYFUNCTION("""COMPUTED_VALUE"""),13.0)</f>
        <v>13</v>
      </c>
      <c r="M564" s="4" t="str">
        <f>IFERROR(__xludf.DUMMYFUNCTION("""COMPUTED_VALUE"""),"Eclética Tecnologia")</f>
        <v>Eclética Tecnologia</v>
      </c>
      <c r="N564" s="33">
        <f>IFERROR(__xludf.DUMMYFUNCTION("""COMPUTED_VALUE"""),0.46153846153846156)</f>
        <v>0.4615384615</v>
      </c>
      <c r="O564" s="4" t="str">
        <f>IFERROR(__xludf.DUMMYFUNCTION("""COMPUTED_VALUE"""),"Eclética Tecnologia")</f>
        <v>Eclética Tecnologia</v>
      </c>
      <c r="P564" s="33">
        <f>IFERROR(__xludf.DUMMYFUNCTION("""COMPUTED_VALUE"""),0.46153846153846156)</f>
        <v>0.4615384615</v>
      </c>
      <c r="Q564" s="4" t="str">
        <f>IFERROR(__xludf.DUMMYFUNCTION("""COMPUTED_VALUE"""),"Eclética Tecnologia")</f>
        <v>Eclética Tecnologia</v>
      </c>
      <c r="R564" s="33">
        <f>IFERROR(__xludf.DUMMYFUNCTION("""COMPUTED_VALUE"""),0.38461538461538464)</f>
        <v>0.3846153846</v>
      </c>
      <c r="S564" s="4" t="str">
        <f>IFERROR(__xludf.DUMMYFUNCTION("""COMPUTED_VALUE"""),"null")</f>
        <v>null</v>
      </c>
      <c r="T564" s="33">
        <f>IFERROR(__xludf.DUMMYFUNCTION("""COMPUTED_VALUE"""),0.3076923076923077)</f>
        <v>0.3076923077</v>
      </c>
      <c r="U564" s="4" t="str">
        <f>IFERROR(__xludf.DUMMYFUNCTION("""COMPUTED_VALUE"""),"Swfast Sistemas")</f>
        <v>Swfast Sistemas</v>
      </c>
      <c r="V564" s="33">
        <f>IFERROR(__xludf.DUMMYFUNCTION("""COMPUTED_VALUE"""),0.5384615384615384)</f>
        <v>0.5384615385</v>
      </c>
      <c r="W564" s="4" t="str">
        <f>IFERROR(__xludf.DUMMYFUNCTION("""COMPUTED_VALUE"""),"null")</f>
        <v>null</v>
      </c>
      <c r="X564" s="33">
        <f>IFERROR(__xludf.DUMMYFUNCTION("""COMPUTED_VALUE"""),0.38461538461538464)</f>
        <v>0.3846153846</v>
      </c>
    </row>
    <row r="565">
      <c r="K565" s="4" t="str">
        <f>IFERROR(__xludf.DUMMYFUNCTION("""COMPUTED_VALUE"""),"GRUPO NAKKA")</f>
        <v>GRUPO NAKKA</v>
      </c>
      <c r="L565" s="32">
        <f>IFERROR(__xludf.DUMMYFUNCTION("""COMPUTED_VALUE"""),13.0)</f>
        <v>13</v>
      </c>
      <c r="M565" s="4" t="str">
        <f>IFERROR(__xludf.DUMMYFUNCTION("""COMPUTED_VALUE"""),"Oz Technology")</f>
        <v>Oz Technology</v>
      </c>
      <c r="N565" s="33">
        <f>IFERROR(__xludf.DUMMYFUNCTION("""COMPUTED_VALUE"""),1.0)</f>
        <v>1</v>
      </c>
      <c r="O565" s="4" t="str">
        <f>IFERROR(__xludf.DUMMYFUNCTION("""COMPUTED_VALUE"""),"Oz Technology")</f>
        <v>Oz Technology</v>
      </c>
      <c r="P565" s="33">
        <f>IFERROR(__xludf.DUMMYFUNCTION("""COMPUTED_VALUE"""),0.7692307692307693)</f>
        <v>0.7692307692</v>
      </c>
      <c r="Q565" s="4" t="str">
        <f>IFERROR(__xludf.DUMMYFUNCTION("""COMPUTED_VALUE"""),"Oz Technology")</f>
        <v>Oz Technology</v>
      </c>
      <c r="R565" s="33">
        <f>IFERROR(__xludf.DUMMYFUNCTION("""COMPUTED_VALUE"""),0.6923076923076923)</f>
        <v>0.6923076923</v>
      </c>
      <c r="S565" s="4" t="str">
        <f>IFERROR(__xludf.DUMMYFUNCTION("""COMPUTED_VALUE"""),"E-deploy Retail")</f>
        <v>E-deploy Retail</v>
      </c>
      <c r="T565" s="33">
        <f>IFERROR(__xludf.DUMMYFUNCTION("""COMPUTED_VALUE"""),0.7692307692307693)</f>
        <v>0.7692307692</v>
      </c>
      <c r="U565" s="4" t="str">
        <f>IFERROR(__xludf.DUMMYFUNCTION("""COMPUTED_VALUE"""),"E-deploy Retail")</f>
        <v>E-deploy Retail</v>
      </c>
      <c r="V565" s="33">
        <f>IFERROR(__xludf.DUMMYFUNCTION("""COMPUTED_VALUE"""),0.7692307692307693)</f>
        <v>0.7692307692</v>
      </c>
      <c r="W565" s="4" t="str">
        <f>IFERROR(__xludf.DUMMYFUNCTION("""COMPUTED_VALUE"""),"E-deploy Retail")</f>
        <v>E-deploy Retail</v>
      </c>
      <c r="X565" s="33">
        <f>IFERROR(__xludf.DUMMYFUNCTION("""COMPUTED_VALUE"""),0.8461538461538461)</f>
        <v>0.8461538462</v>
      </c>
    </row>
    <row r="566">
      <c r="K566" s="4" t="str">
        <f>IFERROR(__xludf.DUMMYFUNCTION("""COMPUTED_VALUE"""),"GRUPO PAPI LANCHE")</f>
        <v>GRUPO PAPI LANCHE</v>
      </c>
      <c r="L566" s="32">
        <f>IFERROR(__xludf.DUMMYFUNCTION("""COMPUTED_VALUE"""),13.0)</f>
        <v>13</v>
      </c>
      <c r="M566" s="4" t="str">
        <f>IFERROR(__xludf.DUMMYFUNCTION("""COMPUTED_VALUE"""),"Saipos Serviços De Software")</f>
        <v>Saipos Serviços De Software</v>
      </c>
      <c r="N566" s="33">
        <f>IFERROR(__xludf.DUMMYFUNCTION("""COMPUTED_VALUE"""),1.0)</f>
        <v>1</v>
      </c>
      <c r="O566" s="4" t="str">
        <f>IFERROR(__xludf.DUMMYFUNCTION("""COMPUTED_VALUE"""),"Saipos Serviços De Software")</f>
        <v>Saipos Serviços De Software</v>
      </c>
      <c r="P566" s="33">
        <f>IFERROR(__xludf.DUMMYFUNCTION("""COMPUTED_VALUE"""),1.0)</f>
        <v>1</v>
      </c>
      <c r="Q566" s="4" t="str">
        <f>IFERROR(__xludf.DUMMYFUNCTION("""COMPUTED_VALUE"""),"Saipos Serviços De Software")</f>
        <v>Saipos Serviços De Software</v>
      </c>
      <c r="R566" s="33">
        <f>IFERROR(__xludf.DUMMYFUNCTION("""COMPUTED_VALUE"""),1.0)</f>
        <v>1</v>
      </c>
      <c r="S566" s="4" t="str">
        <f>IFERROR(__xludf.DUMMYFUNCTION("""COMPUTED_VALUE"""),"Saipos Serviços De Software")</f>
        <v>Saipos Serviços De Software</v>
      </c>
      <c r="T566" s="33">
        <f>IFERROR(__xludf.DUMMYFUNCTION("""COMPUTED_VALUE"""),1.0)</f>
        <v>1</v>
      </c>
      <c r="U566" s="4" t="str">
        <f>IFERROR(__xludf.DUMMYFUNCTION("""COMPUTED_VALUE"""),"Saipos Serviços De Software")</f>
        <v>Saipos Serviços De Software</v>
      </c>
      <c r="V566" s="33">
        <f>IFERROR(__xludf.DUMMYFUNCTION("""COMPUTED_VALUE"""),1.0)</f>
        <v>1</v>
      </c>
      <c r="W566" s="4" t="str">
        <f>IFERROR(__xludf.DUMMYFUNCTION("""COMPUTED_VALUE"""),"Saipos Serviços De Software")</f>
        <v>Saipos Serviços De Software</v>
      </c>
      <c r="X566" s="33">
        <f>IFERROR(__xludf.DUMMYFUNCTION("""COMPUTED_VALUE"""),0.9230769230769231)</f>
        <v>0.9230769231</v>
      </c>
    </row>
    <row r="567">
      <c r="K567" s="4" t="str">
        <f>IFERROR(__xludf.DUMMYFUNCTION("""COMPUTED_VALUE"""),"GRUPO PAPRICA")</f>
        <v>GRUPO PAPRICA</v>
      </c>
      <c r="L567" s="32">
        <f>IFERROR(__xludf.DUMMYFUNCTION("""COMPUTED_VALUE"""),13.0)</f>
        <v>13</v>
      </c>
      <c r="M567" s="4" t="str">
        <f>IFERROR(__xludf.DUMMYFUNCTION("""COMPUTED_VALUE"""),"Gcom - Gestao Em Tecnologia De Informacao Eireli")</f>
        <v>Gcom - Gestao Em Tecnologia De Informacao Eireli</v>
      </c>
      <c r="N567" s="33">
        <f>IFERROR(__xludf.DUMMYFUNCTION("""COMPUTED_VALUE"""),0.6153846153846154)</f>
        <v>0.6153846154</v>
      </c>
      <c r="O567" s="4" t="str">
        <f>IFERROR(__xludf.DUMMYFUNCTION("""COMPUTED_VALUE"""),"null")</f>
        <v>null</v>
      </c>
      <c r="P567" s="33">
        <f>IFERROR(__xludf.DUMMYFUNCTION("""COMPUTED_VALUE"""),0.7692307692307693)</f>
        <v>0.7692307692</v>
      </c>
      <c r="Q567" s="4" t="str">
        <f>IFERROR(__xludf.DUMMYFUNCTION("""COMPUTED_VALUE"""),"null")</f>
        <v>null</v>
      </c>
      <c r="R567" s="33">
        <f>IFERROR(__xludf.DUMMYFUNCTION("""COMPUTED_VALUE"""),0.46153846153846156)</f>
        <v>0.4615384615</v>
      </c>
      <c r="S567" s="4" t="str">
        <f>IFERROR(__xludf.DUMMYFUNCTION("""COMPUTED_VALUE"""),"null")</f>
        <v>null</v>
      </c>
      <c r="T567" s="33">
        <f>IFERROR(__xludf.DUMMYFUNCTION("""COMPUTED_VALUE"""),0.6923076923076923)</f>
        <v>0.6923076923</v>
      </c>
      <c r="U567" s="4" t="str">
        <f>IFERROR(__xludf.DUMMYFUNCTION("""COMPUTED_VALUE"""),"null")</f>
        <v>null</v>
      </c>
      <c r="V567" s="33">
        <f>IFERROR(__xludf.DUMMYFUNCTION("""COMPUTED_VALUE"""),0.46153846153846156)</f>
        <v>0.4615384615</v>
      </c>
      <c r="W567" s="4" t="str">
        <f>IFERROR(__xludf.DUMMYFUNCTION("""COMPUTED_VALUE"""),"null")</f>
        <v>null</v>
      </c>
      <c r="X567" s="33">
        <f>IFERROR(__xludf.DUMMYFUNCTION("""COMPUTED_VALUE"""),0.46153846153846156)</f>
        <v>0.4615384615</v>
      </c>
    </row>
    <row r="568">
      <c r="K568" s="4" t="str">
        <f>IFERROR(__xludf.DUMMYFUNCTION("""COMPUTED_VALUE"""),"GRUPO SALAD BOWL")</f>
        <v>GRUPO SALAD BOWL</v>
      </c>
      <c r="L568" s="32">
        <f>IFERROR(__xludf.DUMMYFUNCTION("""COMPUTED_VALUE"""),13.0)</f>
        <v>13</v>
      </c>
      <c r="M568" s="4" t="str">
        <f>IFERROR(__xludf.DUMMYFUNCTION("""COMPUTED_VALUE"""),"Salad Bowl")</f>
        <v>Salad Bowl</v>
      </c>
      <c r="N568" s="33">
        <f>IFERROR(__xludf.DUMMYFUNCTION("""COMPUTED_VALUE"""),0.9230769230769231)</f>
        <v>0.9230769231</v>
      </c>
      <c r="O568" s="4" t="str">
        <f>IFERROR(__xludf.DUMMYFUNCTION("""COMPUTED_VALUE"""),"Salad Bowl")</f>
        <v>Salad Bowl</v>
      </c>
      <c r="P568" s="33">
        <f>IFERROR(__xludf.DUMMYFUNCTION("""COMPUTED_VALUE"""),0.9230769230769231)</f>
        <v>0.9230769231</v>
      </c>
      <c r="Q568" s="4" t="str">
        <f>IFERROR(__xludf.DUMMYFUNCTION("""COMPUTED_VALUE"""),"Salad Bowl")</f>
        <v>Salad Bowl</v>
      </c>
      <c r="R568" s="33">
        <f>IFERROR(__xludf.DUMMYFUNCTION("""COMPUTED_VALUE"""),0.9230769230769231)</f>
        <v>0.9230769231</v>
      </c>
      <c r="S568" s="4" t="str">
        <f>IFERROR(__xludf.DUMMYFUNCTION("""COMPUTED_VALUE"""),"Salad Bowl")</f>
        <v>Salad Bowl</v>
      </c>
      <c r="T568" s="33">
        <f>IFERROR(__xludf.DUMMYFUNCTION("""COMPUTED_VALUE"""),0.8461538461538461)</f>
        <v>0.8461538462</v>
      </c>
      <c r="U568" s="4" t="str">
        <f>IFERROR(__xludf.DUMMYFUNCTION("""COMPUTED_VALUE"""),"Salad Bowl")</f>
        <v>Salad Bowl</v>
      </c>
      <c r="V568" s="33">
        <f>IFERROR(__xludf.DUMMYFUNCTION("""COMPUTED_VALUE"""),0.8461538461538461)</f>
        <v>0.8461538462</v>
      </c>
      <c r="W568" s="4" t="str">
        <f>IFERROR(__xludf.DUMMYFUNCTION("""COMPUTED_VALUE"""),"Salad Bowl")</f>
        <v>Salad Bowl</v>
      </c>
      <c r="X568" s="33">
        <f>IFERROR(__xludf.DUMMYFUNCTION("""COMPUTED_VALUE"""),0.8461538461538461)</f>
        <v>0.8461538462</v>
      </c>
    </row>
    <row r="569">
      <c r="K569" s="4" t="str">
        <f>IFERROR(__xludf.DUMMYFUNCTION("""COMPUTED_VALUE"""),"GRUPO JAPA CHIC")</f>
        <v>GRUPO JAPA CHIC</v>
      </c>
      <c r="L569" s="32">
        <f>IFERROR(__xludf.DUMMYFUNCTION("""COMPUTED_VALUE"""),13.0)</f>
        <v>13</v>
      </c>
      <c r="M569" s="4" t="str">
        <f>IFERROR(__xludf.DUMMYFUNCTION("""COMPUTED_VALUE"""),"Saipos Serviços De Software")</f>
        <v>Saipos Serviços De Software</v>
      </c>
      <c r="N569" s="33">
        <f>IFERROR(__xludf.DUMMYFUNCTION("""COMPUTED_VALUE"""),0.9230769230769231)</f>
        <v>0.9230769231</v>
      </c>
      <c r="O569" s="4" t="str">
        <f>IFERROR(__xludf.DUMMYFUNCTION("""COMPUTED_VALUE"""),"Saipos Serviços De Software")</f>
        <v>Saipos Serviços De Software</v>
      </c>
      <c r="P569" s="33">
        <f>IFERROR(__xludf.DUMMYFUNCTION("""COMPUTED_VALUE"""),0.9230769230769231)</f>
        <v>0.9230769231</v>
      </c>
      <c r="Q569" s="4" t="str">
        <f>IFERROR(__xludf.DUMMYFUNCTION("""COMPUTED_VALUE"""),"Saipos Serviços De Software")</f>
        <v>Saipos Serviços De Software</v>
      </c>
      <c r="R569" s="33">
        <f>IFERROR(__xludf.DUMMYFUNCTION("""COMPUTED_VALUE"""),0.9230769230769231)</f>
        <v>0.9230769231</v>
      </c>
      <c r="S569" s="4" t="str">
        <f>IFERROR(__xludf.DUMMYFUNCTION("""COMPUTED_VALUE"""),"Saipos Serviços De Software")</f>
        <v>Saipos Serviços De Software</v>
      </c>
      <c r="T569" s="33">
        <f>IFERROR(__xludf.DUMMYFUNCTION("""COMPUTED_VALUE"""),0.9230769230769231)</f>
        <v>0.9230769231</v>
      </c>
      <c r="U569" s="4" t="str">
        <f>IFERROR(__xludf.DUMMYFUNCTION("""COMPUTED_VALUE"""),"Saipos Serviços De Software")</f>
        <v>Saipos Serviços De Software</v>
      </c>
      <c r="V569" s="33">
        <f>IFERROR(__xludf.DUMMYFUNCTION("""COMPUTED_VALUE"""),0.9230769230769231)</f>
        <v>0.9230769231</v>
      </c>
      <c r="W569" s="4" t="str">
        <f>IFERROR(__xludf.DUMMYFUNCTION("""COMPUTED_VALUE"""),"Saipos Serviços De Software")</f>
        <v>Saipos Serviços De Software</v>
      </c>
      <c r="X569" s="33">
        <f>IFERROR(__xludf.DUMMYFUNCTION("""COMPUTED_VALUE"""),0.9230769230769231)</f>
        <v>0.9230769231</v>
      </c>
    </row>
    <row r="570">
      <c r="K570" s="4" t="str">
        <f>IFERROR(__xludf.DUMMYFUNCTION("""COMPUTED_VALUE"""),"JAPA CHIC - SUSHI FRESCO - MARCA")</f>
        <v>JAPA CHIC - SUSHI FRESCO - MARCA</v>
      </c>
      <c r="L570" s="32">
        <f>IFERROR(__xludf.DUMMYFUNCTION("""COMPUTED_VALUE"""),13.0)</f>
        <v>13</v>
      </c>
      <c r="M570" s="4" t="str">
        <f>IFERROR(__xludf.DUMMYFUNCTION("""COMPUTED_VALUE"""),"Saipos Serviços De Software")</f>
        <v>Saipos Serviços De Software</v>
      </c>
      <c r="N570" s="33">
        <f>IFERROR(__xludf.DUMMYFUNCTION("""COMPUTED_VALUE"""),0.9230769230769231)</f>
        <v>0.9230769231</v>
      </c>
      <c r="O570" s="4" t="str">
        <f>IFERROR(__xludf.DUMMYFUNCTION("""COMPUTED_VALUE"""),"Saipos Serviços De Software")</f>
        <v>Saipos Serviços De Software</v>
      </c>
      <c r="P570" s="33">
        <f>IFERROR(__xludf.DUMMYFUNCTION("""COMPUTED_VALUE"""),0.9230769230769231)</f>
        <v>0.9230769231</v>
      </c>
      <c r="Q570" s="4" t="str">
        <f>IFERROR(__xludf.DUMMYFUNCTION("""COMPUTED_VALUE"""),"Saipos Serviços De Software")</f>
        <v>Saipos Serviços De Software</v>
      </c>
      <c r="R570" s="33">
        <f>IFERROR(__xludf.DUMMYFUNCTION("""COMPUTED_VALUE"""),0.9230769230769231)</f>
        <v>0.9230769231</v>
      </c>
      <c r="S570" s="4" t="str">
        <f>IFERROR(__xludf.DUMMYFUNCTION("""COMPUTED_VALUE"""),"Saipos Serviços De Software")</f>
        <v>Saipos Serviços De Software</v>
      </c>
      <c r="T570" s="33">
        <f>IFERROR(__xludf.DUMMYFUNCTION("""COMPUTED_VALUE"""),0.9230769230769231)</f>
        <v>0.9230769231</v>
      </c>
      <c r="U570" s="4" t="str">
        <f>IFERROR(__xludf.DUMMYFUNCTION("""COMPUTED_VALUE"""),"Saipos Serviços De Software")</f>
        <v>Saipos Serviços De Software</v>
      </c>
      <c r="V570" s="33">
        <f>IFERROR(__xludf.DUMMYFUNCTION("""COMPUTED_VALUE"""),0.9230769230769231)</f>
        <v>0.9230769231</v>
      </c>
      <c r="W570" s="4" t="str">
        <f>IFERROR(__xludf.DUMMYFUNCTION("""COMPUTED_VALUE"""),"Saipos Serviços De Software")</f>
        <v>Saipos Serviços De Software</v>
      </c>
      <c r="X570" s="33">
        <f>IFERROR(__xludf.DUMMYFUNCTION("""COMPUTED_VALUE"""),0.9230769230769231)</f>
        <v>0.9230769231</v>
      </c>
    </row>
    <row r="571">
      <c r="K571" s="4" t="str">
        <f>IFERROR(__xludf.DUMMYFUNCTION("""COMPUTED_VALUE"""),"KEN TAKI KANDOO")</f>
        <v>KEN TAKI KANDOO</v>
      </c>
      <c r="L571" s="32">
        <f>IFERROR(__xludf.DUMMYFUNCTION("""COMPUTED_VALUE"""),13.0)</f>
        <v>13</v>
      </c>
      <c r="M571" s="4" t="str">
        <f>IFERROR(__xludf.DUMMYFUNCTION("""COMPUTED_VALUE"""),"Ncr")</f>
        <v>Ncr</v>
      </c>
      <c r="N571" s="33">
        <f>IFERROR(__xludf.DUMMYFUNCTION("""COMPUTED_VALUE"""),0.6923076923076923)</f>
        <v>0.6923076923</v>
      </c>
      <c r="O571" s="4" t="str">
        <f>IFERROR(__xludf.DUMMYFUNCTION("""COMPUTED_VALUE"""),"Ncr")</f>
        <v>Ncr</v>
      </c>
      <c r="P571" s="33">
        <f>IFERROR(__xludf.DUMMYFUNCTION("""COMPUTED_VALUE"""),0.6923076923076923)</f>
        <v>0.6923076923</v>
      </c>
      <c r="Q571" s="4" t="str">
        <f>IFERROR(__xludf.DUMMYFUNCTION("""COMPUTED_VALUE"""),"Ncr")</f>
        <v>Ncr</v>
      </c>
      <c r="R571" s="33">
        <f>IFERROR(__xludf.DUMMYFUNCTION("""COMPUTED_VALUE"""),0.6923076923076923)</f>
        <v>0.6923076923</v>
      </c>
      <c r="S571" s="4" t="str">
        <f>IFERROR(__xludf.DUMMYFUNCTION("""COMPUTED_VALUE"""),"Ncr")</f>
        <v>Ncr</v>
      </c>
      <c r="T571" s="33">
        <f>IFERROR(__xludf.DUMMYFUNCTION("""COMPUTED_VALUE"""),0.6923076923076923)</f>
        <v>0.6923076923</v>
      </c>
      <c r="U571" s="4" t="str">
        <f>IFERROR(__xludf.DUMMYFUNCTION("""COMPUTED_VALUE"""),"Ncr")</f>
        <v>Ncr</v>
      </c>
      <c r="V571" s="33">
        <f>IFERROR(__xludf.DUMMYFUNCTION("""COMPUTED_VALUE"""),0.6923076923076923)</f>
        <v>0.6923076923</v>
      </c>
      <c r="W571" s="4" t="str">
        <f>IFERROR(__xludf.DUMMYFUNCTION("""COMPUTED_VALUE"""),"Ncr")</f>
        <v>Ncr</v>
      </c>
      <c r="X571" s="33">
        <f>IFERROR(__xludf.DUMMYFUNCTION("""COMPUTED_VALUE"""),0.6923076923076923)</f>
        <v>0.6923076923</v>
      </c>
    </row>
    <row r="572">
      <c r="K572" s="4" t="str">
        <f>IFERROR(__xludf.DUMMYFUNCTION("""COMPUTED_VALUE"""),"O BARAO PIZZARIA - CONTA MARCA")</f>
        <v>O BARAO PIZZARIA - CONTA MARCA</v>
      </c>
      <c r="L572" s="32">
        <f>IFERROR(__xludf.DUMMYFUNCTION("""COMPUTED_VALUE"""),13.0)</f>
        <v>13</v>
      </c>
      <c r="M572" s="4" t="str">
        <f>IFERROR(__xludf.DUMMYFUNCTION("""COMPUTED_VALUE"""),"Opdv")</f>
        <v>Opdv</v>
      </c>
      <c r="N572" s="33">
        <f>IFERROR(__xludf.DUMMYFUNCTION("""COMPUTED_VALUE"""),0.9230769230769231)</f>
        <v>0.9230769231</v>
      </c>
      <c r="O572" s="4" t="str">
        <f>IFERROR(__xludf.DUMMYFUNCTION("""COMPUTED_VALUE"""),"Opdv")</f>
        <v>Opdv</v>
      </c>
      <c r="P572" s="33">
        <f>IFERROR(__xludf.DUMMYFUNCTION("""COMPUTED_VALUE"""),0.9230769230769231)</f>
        <v>0.9230769231</v>
      </c>
      <c r="Q572" s="4" t="str">
        <f>IFERROR(__xludf.DUMMYFUNCTION("""COMPUTED_VALUE"""),"Opdv")</f>
        <v>Opdv</v>
      </c>
      <c r="R572" s="33">
        <f>IFERROR(__xludf.DUMMYFUNCTION("""COMPUTED_VALUE"""),0.9230769230769231)</f>
        <v>0.9230769231</v>
      </c>
      <c r="S572" s="4" t="str">
        <f>IFERROR(__xludf.DUMMYFUNCTION("""COMPUTED_VALUE"""),"Opdv")</f>
        <v>Opdv</v>
      </c>
      <c r="T572" s="33">
        <f>IFERROR(__xludf.DUMMYFUNCTION("""COMPUTED_VALUE"""),0.9230769230769231)</f>
        <v>0.9230769231</v>
      </c>
      <c r="U572" s="4" t="str">
        <f>IFERROR(__xludf.DUMMYFUNCTION("""COMPUTED_VALUE"""),"Saipos Serviços De Software")</f>
        <v>Saipos Serviços De Software</v>
      </c>
      <c r="V572" s="33">
        <f>IFERROR(__xludf.DUMMYFUNCTION("""COMPUTED_VALUE"""),0.9230769230769231)</f>
        <v>0.9230769231</v>
      </c>
      <c r="W572" s="4" t="str">
        <f>IFERROR(__xludf.DUMMYFUNCTION("""COMPUTED_VALUE"""),"Saipos Serviços De Software")</f>
        <v>Saipos Serviços De Software</v>
      </c>
      <c r="X572" s="33">
        <f>IFERROR(__xludf.DUMMYFUNCTION("""COMPUTED_VALUE"""),1.0)</f>
        <v>1</v>
      </c>
    </row>
    <row r="573">
      <c r="K573" s="4" t="str">
        <f>IFERROR(__xludf.DUMMYFUNCTION("""COMPUTED_VALUE"""),"OCEAN FARMA REDE POPULAR - CONTA PAI")</f>
        <v>OCEAN FARMA REDE POPULAR - CONTA PAI</v>
      </c>
      <c r="L573" s="32">
        <f>IFERROR(__xludf.DUMMYFUNCTION("""COMPUTED_VALUE"""),13.0)</f>
        <v>13</v>
      </c>
      <c r="M573" s="4" t="str">
        <f>IFERROR(__xludf.DUMMYFUNCTION("""COMPUTED_VALUE"""),"N/A (Not found)")</f>
        <v>N/A (Not found)</v>
      </c>
      <c r="N573" s="33">
        <f>IFERROR(__xludf.DUMMYFUNCTION("""COMPUTED_VALUE"""),1.0)</f>
        <v>1</v>
      </c>
      <c r="O573" s="4" t="str">
        <f>IFERROR(__xludf.DUMMYFUNCTION("""COMPUTED_VALUE"""),"N/A (Not found)")</f>
        <v>N/A (Not found)</v>
      </c>
      <c r="P573" s="33">
        <f>IFERROR(__xludf.DUMMYFUNCTION("""COMPUTED_VALUE"""),1.0)</f>
        <v>1</v>
      </c>
      <c r="Q573" s="4" t="str">
        <f>IFERROR(__xludf.DUMMYFUNCTION("""COMPUTED_VALUE"""),"N/A (Not found)")</f>
        <v>N/A (Not found)</v>
      </c>
      <c r="R573" s="33">
        <f>IFERROR(__xludf.DUMMYFUNCTION("""COMPUTED_VALUE"""),1.0)</f>
        <v>1</v>
      </c>
      <c r="S573" s="4" t="str">
        <f>IFERROR(__xludf.DUMMYFUNCTION("""COMPUTED_VALUE"""),"N/A (Not found)")</f>
        <v>N/A (Not found)</v>
      </c>
      <c r="T573" s="33">
        <f>IFERROR(__xludf.DUMMYFUNCTION("""COMPUTED_VALUE"""),1.0)</f>
        <v>1</v>
      </c>
      <c r="U573" s="4" t="str">
        <f>IFERROR(__xludf.DUMMYFUNCTION("""COMPUTED_VALUE"""),"N/A (Not found)")</f>
        <v>N/A (Not found)</v>
      </c>
      <c r="V573" s="33">
        <f>IFERROR(__xludf.DUMMYFUNCTION("""COMPUTED_VALUE"""),1.0)</f>
        <v>1</v>
      </c>
      <c r="W573" s="4" t="str">
        <f>IFERROR(__xludf.DUMMYFUNCTION("""COMPUTED_VALUE"""),"N/A (Not found)")</f>
        <v>N/A (Not found)</v>
      </c>
      <c r="X573" s="33">
        <f>IFERROR(__xludf.DUMMYFUNCTION("""COMPUTED_VALUE"""),1.0)</f>
        <v>1</v>
      </c>
    </row>
    <row r="574">
      <c r="K574" s="4" t="str">
        <f>IFERROR(__xludf.DUMMYFUNCTION("""COMPUTED_VALUE"""),"PARRILA")</f>
        <v>PARRILA</v>
      </c>
      <c r="L574" s="32">
        <f>IFERROR(__xludf.DUMMYFUNCTION("""COMPUTED_VALUE"""),13.0)</f>
        <v>13</v>
      </c>
      <c r="M574" s="4" t="str">
        <f>IFERROR(__xludf.DUMMYFUNCTION("""COMPUTED_VALUE"""),"null")</f>
        <v>null</v>
      </c>
      <c r="N574" s="33">
        <f>IFERROR(__xludf.DUMMYFUNCTION("""COMPUTED_VALUE"""),1.0)</f>
        <v>1</v>
      </c>
      <c r="O574" s="4" t="str">
        <f>IFERROR(__xludf.DUMMYFUNCTION("""COMPUTED_VALUE"""),"null")</f>
        <v>null</v>
      </c>
      <c r="P574" s="33">
        <f>IFERROR(__xludf.DUMMYFUNCTION("""COMPUTED_VALUE"""),1.0)</f>
        <v>1</v>
      </c>
      <c r="Q574" s="4" t="str">
        <f>IFERROR(__xludf.DUMMYFUNCTION("""COMPUTED_VALUE"""),"null")</f>
        <v>null</v>
      </c>
      <c r="R574" s="33">
        <f>IFERROR(__xludf.DUMMYFUNCTION("""COMPUTED_VALUE"""),1.0)</f>
        <v>1</v>
      </c>
      <c r="S574" s="4" t="str">
        <f>IFERROR(__xludf.DUMMYFUNCTION("""COMPUTED_VALUE"""),"null")</f>
        <v>null</v>
      </c>
      <c r="T574" s="33">
        <f>IFERROR(__xludf.DUMMYFUNCTION("""COMPUTED_VALUE"""),1.0)</f>
        <v>1</v>
      </c>
      <c r="U574" s="4" t="str">
        <f>IFERROR(__xludf.DUMMYFUNCTION("""COMPUTED_VALUE"""),"Agilizup Solucoes Ltda")</f>
        <v>Agilizup Solucoes Ltda</v>
      </c>
      <c r="V574" s="33">
        <f>IFERROR(__xludf.DUMMYFUNCTION("""COMPUTED_VALUE"""),1.0)</f>
        <v>1</v>
      </c>
      <c r="W574" s="4" t="str">
        <f>IFERROR(__xludf.DUMMYFUNCTION("""COMPUTED_VALUE"""),"null")</f>
        <v>null</v>
      </c>
      <c r="X574" s="33">
        <f>IFERROR(__xludf.DUMMYFUNCTION("""COMPUTED_VALUE"""),1.0)</f>
        <v>1</v>
      </c>
    </row>
    <row r="575">
      <c r="K575" s="4" t="str">
        <f>IFERROR(__xludf.DUMMYFUNCTION("""COMPUTED_VALUE"""),"PIZZA BIS")</f>
        <v>PIZZA BIS</v>
      </c>
      <c r="L575" s="32">
        <f>IFERROR(__xludf.DUMMYFUNCTION("""COMPUTED_VALUE"""),13.0)</f>
        <v>13</v>
      </c>
      <c r="M575" s="4" t="str">
        <f>IFERROR(__xludf.DUMMYFUNCTION("""COMPUTED_VALUE"""),"Totvs Large Enterprise Tecnologia S.a.")</f>
        <v>Totvs Large Enterprise Tecnologia S.a.</v>
      </c>
      <c r="N575" s="33">
        <f>IFERROR(__xludf.DUMMYFUNCTION("""COMPUTED_VALUE"""),0.6923076923076923)</f>
        <v>0.6923076923</v>
      </c>
      <c r="O575" s="4" t="str">
        <f>IFERROR(__xludf.DUMMYFUNCTION("""COMPUTED_VALUE"""),"Totvs Large Enterprise Tecnologia S.a.")</f>
        <v>Totvs Large Enterprise Tecnologia S.a.</v>
      </c>
      <c r="P575" s="33">
        <f>IFERROR(__xludf.DUMMYFUNCTION("""COMPUTED_VALUE"""),0.7692307692307693)</f>
        <v>0.7692307692</v>
      </c>
      <c r="Q575" s="4" t="str">
        <f>IFERROR(__xludf.DUMMYFUNCTION("""COMPUTED_VALUE"""),"Totvs Large Enterprise Tecnologia S.a.")</f>
        <v>Totvs Large Enterprise Tecnologia S.a.</v>
      </c>
      <c r="R575" s="33">
        <f>IFERROR(__xludf.DUMMYFUNCTION("""COMPUTED_VALUE"""),0.9230769230769231)</f>
        <v>0.9230769231</v>
      </c>
      <c r="S575" s="4" t="str">
        <f>IFERROR(__xludf.DUMMYFUNCTION("""COMPUTED_VALUE"""),"Totvs Large Enterprise Tecnologia S.a.")</f>
        <v>Totvs Large Enterprise Tecnologia S.a.</v>
      </c>
      <c r="T575" s="33">
        <f>IFERROR(__xludf.DUMMYFUNCTION("""COMPUTED_VALUE"""),0.7692307692307693)</f>
        <v>0.7692307692</v>
      </c>
      <c r="U575" s="4" t="str">
        <f>IFERROR(__xludf.DUMMYFUNCTION("""COMPUTED_VALUE"""),"Totvs Large Enterprise Tecnologia S.a.")</f>
        <v>Totvs Large Enterprise Tecnologia S.a.</v>
      </c>
      <c r="V575" s="33">
        <f>IFERROR(__xludf.DUMMYFUNCTION("""COMPUTED_VALUE"""),0.6153846153846154)</f>
        <v>0.6153846154</v>
      </c>
      <c r="W575" s="4" t="str">
        <f>IFERROR(__xludf.DUMMYFUNCTION("""COMPUTED_VALUE"""),"Totvs Large Enterprise Tecnologia S.a.")</f>
        <v>Totvs Large Enterprise Tecnologia S.a.</v>
      </c>
      <c r="X575" s="33">
        <f>IFERROR(__xludf.DUMMYFUNCTION("""COMPUTED_VALUE"""),0.6923076923076923)</f>
        <v>0.6923076923</v>
      </c>
    </row>
    <row r="576">
      <c r="K576" s="4" t="str">
        <f>IFERROR(__xludf.DUMMYFUNCTION("""COMPUTED_VALUE"""),"PIZZA LA BRACIERA")</f>
        <v>PIZZA LA BRACIERA</v>
      </c>
      <c r="L576" s="32">
        <f>IFERROR(__xludf.DUMMYFUNCTION("""COMPUTED_VALUE"""),13.0)</f>
        <v>13</v>
      </c>
      <c r="M576" s="4" t="str">
        <f>IFERROR(__xludf.DUMMYFUNCTION("""COMPUTED_VALUE"""),"Ncr")</f>
        <v>Ncr</v>
      </c>
      <c r="N576" s="33">
        <f>IFERROR(__xludf.DUMMYFUNCTION("""COMPUTED_VALUE"""),1.0)</f>
        <v>1</v>
      </c>
      <c r="O576" s="4" t="str">
        <f>IFERROR(__xludf.DUMMYFUNCTION("""COMPUTED_VALUE"""),"Ncr")</f>
        <v>Ncr</v>
      </c>
      <c r="P576" s="33">
        <f>IFERROR(__xludf.DUMMYFUNCTION("""COMPUTED_VALUE"""),1.0)</f>
        <v>1</v>
      </c>
      <c r="Q576" s="4" t="str">
        <f>IFERROR(__xludf.DUMMYFUNCTION("""COMPUTED_VALUE"""),"Ncr")</f>
        <v>Ncr</v>
      </c>
      <c r="R576" s="33">
        <f>IFERROR(__xludf.DUMMYFUNCTION("""COMPUTED_VALUE"""),1.0)</f>
        <v>1</v>
      </c>
      <c r="S576" s="4" t="str">
        <f>IFERROR(__xludf.DUMMYFUNCTION("""COMPUTED_VALUE"""),"Ncr")</f>
        <v>Ncr</v>
      </c>
      <c r="T576" s="33">
        <f>IFERROR(__xludf.DUMMYFUNCTION("""COMPUTED_VALUE"""),1.0)</f>
        <v>1</v>
      </c>
      <c r="U576" s="4" t="str">
        <f>IFERROR(__xludf.DUMMYFUNCTION("""COMPUTED_VALUE"""),"Ncr")</f>
        <v>Ncr</v>
      </c>
      <c r="V576" s="33">
        <f>IFERROR(__xludf.DUMMYFUNCTION("""COMPUTED_VALUE"""),1.0)</f>
        <v>1</v>
      </c>
      <c r="W576" s="4" t="str">
        <f>IFERROR(__xludf.DUMMYFUNCTION("""COMPUTED_VALUE"""),"Ncr")</f>
        <v>Ncr</v>
      </c>
      <c r="X576" s="33">
        <f>IFERROR(__xludf.DUMMYFUNCTION("""COMPUTED_VALUE"""),1.0)</f>
        <v>1</v>
      </c>
    </row>
    <row r="577">
      <c r="K577" s="4" t="str">
        <f>IFERROR(__xludf.DUMMYFUNCTION("""COMPUTED_VALUE"""),"PIZZARIA BIG BOCA")</f>
        <v>PIZZARIA BIG BOCA</v>
      </c>
      <c r="L577" s="32">
        <f>IFERROR(__xludf.DUMMYFUNCTION("""COMPUTED_VALUE"""),13.0)</f>
        <v>13</v>
      </c>
      <c r="M577" s="4" t="str">
        <f>IFERROR(__xludf.DUMMYFUNCTION("""COMPUTED_VALUE"""),"Teknisa Service Ltda")</f>
        <v>Teknisa Service Ltda</v>
      </c>
      <c r="N577" s="33">
        <f>IFERROR(__xludf.DUMMYFUNCTION("""COMPUTED_VALUE"""),0.8461538461538461)</f>
        <v>0.8461538462</v>
      </c>
      <c r="O577" s="4" t="str">
        <f>IFERROR(__xludf.DUMMYFUNCTION("""COMPUTED_VALUE"""),"Teknisa Service Ltda")</f>
        <v>Teknisa Service Ltda</v>
      </c>
      <c r="P577" s="33">
        <f>IFERROR(__xludf.DUMMYFUNCTION("""COMPUTED_VALUE"""),0.6153846153846154)</f>
        <v>0.6153846154</v>
      </c>
      <c r="Q577" s="4" t="str">
        <f>IFERROR(__xludf.DUMMYFUNCTION("""COMPUTED_VALUE"""),"Teknisa Service Ltda")</f>
        <v>Teknisa Service Ltda</v>
      </c>
      <c r="R577" s="33">
        <f>IFERROR(__xludf.DUMMYFUNCTION("""COMPUTED_VALUE"""),0.6153846153846154)</f>
        <v>0.6153846154</v>
      </c>
      <c r="S577" s="4" t="str">
        <f>IFERROR(__xludf.DUMMYFUNCTION("""COMPUTED_VALUE"""),"Teknisa Service Ltda")</f>
        <v>Teknisa Service Ltda</v>
      </c>
      <c r="T577" s="33">
        <f>IFERROR(__xludf.DUMMYFUNCTION("""COMPUTED_VALUE"""),0.6923076923076923)</f>
        <v>0.6923076923</v>
      </c>
      <c r="U577" s="4" t="str">
        <f>IFERROR(__xludf.DUMMYFUNCTION("""COMPUTED_VALUE"""),"Teknisa Service Ltda")</f>
        <v>Teknisa Service Ltda</v>
      </c>
      <c r="V577" s="33">
        <f>IFERROR(__xludf.DUMMYFUNCTION("""COMPUTED_VALUE"""),0.6153846153846154)</f>
        <v>0.6153846154</v>
      </c>
      <c r="W577" s="4" t="str">
        <f>IFERROR(__xludf.DUMMYFUNCTION("""COMPUTED_VALUE"""),"Teknisa Service Ltda")</f>
        <v>Teknisa Service Ltda</v>
      </c>
      <c r="X577" s="33">
        <f>IFERROR(__xludf.DUMMYFUNCTION("""COMPUTED_VALUE"""),0.46153846153846156)</f>
        <v>0.4615384615</v>
      </c>
    </row>
    <row r="578">
      <c r="K578" s="4" t="str">
        <f>IFERROR(__xludf.DUMMYFUNCTION("""COMPUTED_VALUE"""),"SAJ")</f>
        <v>SAJ</v>
      </c>
      <c r="L578" s="32">
        <f>IFERROR(__xludf.DUMMYFUNCTION("""COMPUTED_VALUE"""),13.0)</f>
        <v>13</v>
      </c>
      <c r="M578" s="4" t="str">
        <f>IFERROR(__xludf.DUMMYFUNCTION("""COMPUTED_VALUE"""),"Atena Tecnologia Da Informacao Ltda")</f>
        <v>Atena Tecnologia Da Informacao Ltda</v>
      </c>
      <c r="N578" s="33">
        <f>IFERROR(__xludf.DUMMYFUNCTION("""COMPUTED_VALUE"""),0.9230769230769231)</f>
        <v>0.9230769231</v>
      </c>
      <c r="O578" s="4" t="str">
        <f>IFERROR(__xludf.DUMMYFUNCTION("""COMPUTED_VALUE"""),"Atena Tecnologia Da Informacao Ltda")</f>
        <v>Atena Tecnologia Da Informacao Ltda</v>
      </c>
      <c r="P578" s="33">
        <f>IFERROR(__xludf.DUMMYFUNCTION("""COMPUTED_VALUE"""),0.8461538461538461)</f>
        <v>0.8461538462</v>
      </c>
      <c r="Q578" s="4" t="str">
        <f>IFERROR(__xludf.DUMMYFUNCTION("""COMPUTED_VALUE"""),"Atena Tecnologia Da Informacao Ltda")</f>
        <v>Atena Tecnologia Da Informacao Ltda</v>
      </c>
      <c r="R578" s="33">
        <f>IFERROR(__xludf.DUMMYFUNCTION("""COMPUTED_VALUE"""),0.6923076923076923)</f>
        <v>0.6923076923</v>
      </c>
      <c r="S578" s="4" t="str">
        <f>IFERROR(__xludf.DUMMYFUNCTION("""COMPUTED_VALUE"""),"Atena Tecnologia Da Informacao Ltda")</f>
        <v>Atena Tecnologia Da Informacao Ltda</v>
      </c>
      <c r="T578" s="33">
        <f>IFERROR(__xludf.DUMMYFUNCTION("""COMPUTED_VALUE"""),0.8461538461538461)</f>
        <v>0.8461538462</v>
      </c>
      <c r="U578" s="4" t="str">
        <f>IFERROR(__xludf.DUMMYFUNCTION("""COMPUTED_VALUE"""),"Atena Tecnologia Da Informacao Ltda")</f>
        <v>Atena Tecnologia Da Informacao Ltda</v>
      </c>
      <c r="V578" s="33">
        <f>IFERROR(__xludf.DUMMYFUNCTION("""COMPUTED_VALUE"""),0.6923076923076923)</f>
        <v>0.6923076923</v>
      </c>
      <c r="W578" s="4" t="str">
        <f>IFERROR(__xludf.DUMMYFUNCTION("""COMPUTED_VALUE"""),"Atena Tecnologia Da Informacao Ltda")</f>
        <v>Atena Tecnologia Da Informacao Ltda</v>
      </c>
      <c r="X578" s="33">
        <f>IFERROR(__xludf.DUMMYFUNCTION("""COMPUTED_VALUE"""),0.6153846153846154)</f>
        <v>0.6153846154</v>
      </c>
    </row>
    <row r="579">
      <c r="K579" s="4" t="str">
        <f>IFERROR(__xludf.DUMMYFUNCTION("""COMPUTED_VALUE"""),"SEVERO GARAGE - CONTA MARCA")</f>
        <v>SEVERO GARAGE - CONTA MARCA</v>
      </c>
      <c r="L579" s="32">
        <f>IFERROR(__xludf.DUMMYFUNCTION("""COMPUTED_VALUE"""),13.0)</f>
        <v>13</v>
      </c>
      <c r="M579" s="4" t="str">
        <f>IFERROR(__xludf.DUMMYFUNCTION("""COMPUTED_VALUE"""),"Totvs Large Enterprise Tecnologia S.a.")</f>
        <v>Totvs Large Enterprise Tecnologia S.a.</v>
      </c>
      <c r="N579" s="33">
        <f>IFERROR(__xludf.DUMMYFUNCTION("""COMPUTED_VALUE"""),0.8461538461538461)</f>
        <v>0.8461538462</v>
      </c>
      <c r="O579" s="4" t="str">
        <f>IFERROR(__xludf.DUMMYFUNCTION("""COMPUTED_VALUE"""),"Totvs Large Enterprise Tecnologia S.a.")</f>
        <v>Totvs Large Enterprise Tecnologia S.a.</v>
      </c>
      <c r="P579" s="33">
        <f>IFERROR(__xludf.DUMMYFUNCTION("""COMPUTED_VALUE"""),0.9230769230769231)</f>
        <v>0.9230769231</v>
      </c>
      <c r="Q579" s="4" t="str">
        <f>IFERROR(__xludf.DUMMYFUNCTION("""COMPUTED_VALUE"""),"Totvs Large Enterprise Tecnologia S.a.")</f>
        <v>Totvs Large Enterprise Tecnologia S.a.</v>
      </c>
      <c r="R579" s="33">
        <f>IFERROR(__xludf.DUMMYFUNCTION("""COMPUTED_VALUE"""),0.7692307692307693)</f>
        <v>0.7692307692</v>
      </c>
      <c r="S579" s="4" t="str">
        <f>IFERROR(__xludf.DUMMYFUNCTION("""COMPUTED_VALUE"""),"Totvs Large Enterprise Tecnologia S.a.")</f>
        <v>Totvs Large Enterprise Tecnologia S.a.</v>
      </c>
      <c r="T579" s="33">
        <f>IFERROR(__xludf.DUMMYFUNCTION("""COMPUTED_VALUE"""),0.6923076923076923)</f>
        <v>0.6923076923</v>
      </c>
      <c r="U579" s="4" t="str">
        <f>IFERROR(__xludf.DUMMYFUNCTION("""COMPUTED_VALUE"""),"Totvs Large Enterprise Tecnologia S.a.")</f>
        <v>Totvs Large Enterprise Tecnologia S.a.</v>
      </c>
      <c r="V579" s="33">
        <f>IFERROR(__xludf.DUMMYFUNCTION("""COMPUTED_VALUE"""),0.5384615384615384)</f>
        <v>0.5384615385</v>
      </c>
      <c r="W579" s="4" t="str">
        <f>IFERROR(__xludf.DUMMYFUNCTION("""COMPUTED_VALUE"""),"Totvs Large Enterprise Tecnologia S.a.")</f>
        <v>Totvs Large Enterprise Tecnologia S.a.</v>
      </c>
      <c r="X579" s="33">
        <f>IFERROR(__xludf.DUMMYFUNCTION("""COMPUTED_VALUE"""),0.7692307692307693)</f>
        <v>0.7692307692</v>
      </c>
    </row>
    <row r="580">
      <c r="K580" s="4" t="str">
        <f>IFERROR(__xludf.DUMMYFUNCTION("""COMPUTED_VALUE"""),"GRUPO NORDESTAO - CONTA GRUPO")</f>
        <v>GRUPO NORDESTAO - CONTA GRUPO</v>
      </c>
      <c r="L580" s="32">
        <f>IFERROR(__xludf.DUMMYFUNCTION("""COMPUTED_VALUE"""),13.0)</f>
        <v>13</v>
      </c>
      <c r="M580" s="4" t="str">
        <f>IFERROR(__xludf.DUMMYFUNCTION("""COMPUTED_VALUE"""),"N/A (Not found)")</f>
        <v>N/A (Not found)</v>
      </c>
      <c r="N580" s="33">
        <f>IFERROR(__xludf.DUMMYFUNCTION("""COMPUTED_VALUE"""),1.0)</f>
        <v>1</v>
      </c>
      <c r="O580" s="4" t="str">
        <f>IFERROR(__xludf.DUMMYFUNCTION("""COMPUTED_VALUE"""),"N/A (Not found)")</f>
        <v>N/A (Not found)</v>
      </c>
      <c r="P580" s="33">
        <f>IFERROR(__xludf.DUMMYFUNCTION("""COMPUTED_VALUE"""),1.0)</f>
        <v>1</v>
      </c>
      <c r="Q580" s="4" t="str">
        <f>IFERROR(__xludf.DUMMYFUNCTION("""COMPUTED_VALUE"""),"N/A (Not found)")</f>
        <v>N/A (Not found)</v>
      </c>
      <c r="R580" s="33">
        <f>IFERROR(__xludf.DUMMYFUNCTION("""COMPUTED_VALUE"""),1.0)</f>
        <v>1</v>
      </c>
      <c r="S580" s="4" t="str">
        <f>IFERROR(__xludf.DUMMYFUNCTION("""COMPUTED_VALUE"""),"N/A (Not found)")</f>
        <v>N/A (Not found)</v>
      </c>
      <c r="T580" s="33">
        <f>IFERROR(__xludf.DUMMYFUNCTION("""COMPUTED_VALUE"""),1.0)</f>
        <v>1</v>
      </c>
      <c r="U580" s="4" t="str">
        <f>IFERROR(__xludf.DUMMYFUNCTION("""COMPUTED_VALUE"""),"N/A (Not found)")</f>
        <v>N/A (Not found)</v>
      </c>
      <c r="V580" s="33">
        <f>IFERROR(__xludf.DUMMYFUNCTION("""COMPUTED_VALUE"""),1.0)</f>
        <v>1</v>
      </c>
      <c r="W580" s="4" t="str">
        <f>IFERROR(__xludf.DUMMYFUNCTION("""COMPUTED_VALUE"""),"N/A (Not found)")</f>
        <v>N/A (Not found)</v>
      </c>
      <c r="X580" s="33">
        <f>IFERROR(__xludf.DUMMYFUNCTION("""COMPUTED_VALUE"""),1.0)</f>
        <v>1</v>
      </c>
    </row>
    <row r="581">
      <c r="K581" s="4" t="str">
        <f>IFERROR(__xludf.DUMMYFUNCTION("""COMPUTED_VALUE"""),"TEMAKERIA COM")</f>
        <v>TEMAKERIA COM</v>
      </c>
      <c r="L581" s="32">
        <f>IFERROR(__xludf.DUMMYFUNCTION("""COMPUTED_VALUE"""),13.0)</f>
        <v>13</v>
      </c>
      <c r="M581" s="4" t="str">
        <f>IFERROR(__xludf.DUMMYFUNCTION("""COMPUTED_VALUE"""),"Pdvseven Solucoes Em Ti Ltda")</f>
        <v>Pdvseven Solucoes Em Ti Ltda</v>
      </c>
      <c r="N581" s="33">
        <f>IFERROR(__xludf.DUMMYFUNCTION("""COMPUTED_VALUE"""),0.8461538461538461)</f>
        <v>0.8461538462</v>
      </c>
      <c r="O581" s="4" t="str">
        <f>IFERROR(__xludf.DUMMYFUNCTION("""COMPUTED_VALUE"""),"Pdvseven Solucoes Em Ti Ltda")</f>
        <v>Pdvseven Solucoes Em Ti Ltda</v>
      </c>
      <c r="P581" s="33">
        <f>IFERROR(__xludf.DUMMYFUNCTION("""COMPUTED_VALUE"""),0.6153846153846154)</f>
        <v>0.6153846154</v>
      </c>
      <c r="Q581" s="4" t="str">
        <f>IFERROR(__xludf.DUMMYFUNCTION("""COMPUTED_VALUE"""),"Pdvseven Solucoes Em Ti Ltda")</f>
        <v>Pdvseven Solucoes Em Ti Ltda</v>
      </c>
      <c r="R581" s="33">
        <f>IFERROR(__xludf.DUMMYFUNCTION("""COMPUTED_VALUE"""),0.6153846153846154)</f>
        <v>0.6153846154</v>
      </c>
      <c r="S581" s="4" t="str">
        <f>IFERROR(__xludf.DUMMYFUNCTION("""COMPUTED_VALUE"""),"Pdvseven Solucoes Em Ti Ltda")</f>
        <v>Pdvseven Solucoes Em Ti Ltda</v>
      </c>
      <c r="T581" s="33">
        <f>IFERROR(__xludf.DUMMYFUNCTION("""COMPUTED_VALUE"""),0.5384615384615384)</f>
        <v>0.5384615385</v>
      </c>
      <c r="U581" s="4" t="str">
        <f>IFERROR(__xludf.DUMMYFUNCTION("""COMPUTED_VALUE"""),"Pdvseven Solucoes Em Ti Ltda")</f>
        <v>Pdvseven Solucoes Em Ti Ltda</v>
      </c>
      <c r="V581" s="33">
        <f>IFERROR(__xludf.DUMMYFUNCTION("""COMPUTED_VALUE"""),0.5384615384615384)</f>
        <v>0.5384615385</v>
      </c>
      <c r="W581" s="4" t="str">
        <f>IFERROR(__xludf.DUMMYFUNCTION("""COMPUTED_VALUE"""),"Pdvseven Solucoes Em Ti Ltda")</f>
        <v>Pdvseven Solucoes Em Ti Ltda</v>
      </c>
      <c r="X581" s="33">
        <f>IFERROR(__xludf.DUMMYFUNCTION("""COMPUTED_VALUE"""),0.5384615384615384)</f>
        <v>0.5384615385</v>
      </c>
    </row>
    <row r="582">
      <c r="K582" s="4" t="str">
        <f>IFERROR(__xludf.DUMMYFUNCTION("""COMPUTED_VALUE"""),"TOKYO SUSHI LOUNGE")</f>
        <v>TOKYO SUSHI LOUNGE</v>
      </c>
      <c r="L582" s="32">
        <f>IFERROR(__xludf.DUMMYFUNCTION("""COMPUTED_VALUE"""),13.0)</f>
        <v>13</v>
      </c>
      <c r="M582" s="4" t="str">
        <f>IFERROR(__xludf.DUMMYFUNCTION("""COMPUTED_VALUE"""),"Saipos Serviços De Software")</f>
        <v>Saipos Serviços De Software</v>
      </c>
      <c r="N582" s="33">
        <f>IFERROR(__xludf.DUMMYFUNCTION("""COMPUTED_VALUE"""),0.6153846153846154)</f>
        <v>0.6153846154</v>
      </c>
      <c r="O582" s="4" t="str">
        <f>IFERROR(__xludf.DUMMYFUNCTION("""COMPUTED_VALUE"""),"Saipos Serviços De Software")</f>
        <v>Saipos Serviços De Software</v>
      </c>
      <c r="P582" s="33">
        <f>IFERROR(__xludf.DUMMYFUNCTION("""COMPUTED_VALUE"""),0.5384615384615384)</f>
        <v>0.5384615385</v>
      </c>
      <c r="Q582" s="4" t="str">
        <f>IFERROR(__xludf.DUMMYFUNCTION("""COMPUTED_VALUE"""),"Saipos Serviços De Software")</f>
        <v>Saipos Serviços De Software</v>
      </c>
      <c r="R582" s="33">
        <f>IFERROR(__xludf.DUMMYFUNCTION("""COMPUTED_VALUE"""),0.5384615384615384)</f>
        <v>0.5384615385</v>
      </c>
      <c r="S582" s="4" t="str">
        <f>IFERROR(__xludf.DUMMYFUNCTION("""COMPUTED_VALUE"""),"Saipos Serviços De Software")</f>
        <v>Saipos Serviços De Software</v>
      </c>
      <c r="T582" s="33">
        <f>IFERROR(__xludf.DUMMYFUNCTION("""COMPUTED_VALUE"""),0.5384615384615384)</f>
        <v>0.5384615385</v>
      </c>
      <c r="U582" s="4" t="str">
        <f>IFERROR(__xludf.DUMMYFUNCTION("""COMPUTED_VALUE"""),"Saipos Serviços De Software")</f>
        <v>Saipos Serviços De Software</v>
      </c>
      <c r="V582" s="33">
        <f>IFERROR(__xludf.DUMMYFUNCTION("""COMPUTED_VALUE"""),0.5384615384615384)</f>
        <v>0.5384615385</v>
      </c>
      <c r="W582" s="4" t="str">
        <f>IFERROR(__xludf.DUMMYFUNCTION("""COMPUTED_VALUE"""),"Saipos Serviços De Software")</f>
        <v>Saipos Serviços De Software</v>
      </c>
      <c r="X582" s="33">
        <f>IFERROR(__xludf.DUMMYFUNCTION("""COMPUTED_VALUE"""),0.5384615384615384)</f>
        <v>0.5384615385</v>
      </c>
    </row>
    <row r="583">
      <c r="K583" s="4" t="str">
        <f>IFERROR(__xludf.DUMMYFUNCTION("""COMPUTED_VALUE"""),"ULTRABOX - CONTA GRUPO")</f>
        <v>ULTRABOX - CONTA GRUPO</v>
      </c>
      <c r="L583" s="32">
        <f>IFERROR(__xludf.DUMMYFUNCTION("""COMPUTED_VALUE"""),13.0)</f>
        <v>13</v>
      </c>
      <c r="M583" s="4" t="str">
        <f>IFERROR(__xludf.DUMMYFUNCTION("""COMPUTED_VALUE"""),"N/A (Not found)")</f>
        <v>N/A (Not found)</v>
      </c>
      <c r="N583" s="33">
        <f>IFERROR(__xludf.DUMMYFUNCTION("""COMPUTED_VALUE"""),0.9230769230769231)</f>
        <v>0.9230769231</v>
      </c>
      <c r="O583" s="4" t="str">
        <f>IFERROR(__xludf.DUMMYFUNCTION("""COMPUTED_VALUE"""),"N/A (Not found)")</f>
        <v>N/A (Not found)</v>
      </c>
      <c r="P583" s="33">
        <f>IFERROR(__xludf.DUMMYFUNCTION("""COMPUTED_VALUE"""),0.9230769230769231)</f>
        <v>0.9230769231</v>
      </c>
      <c r="Q583" s="4" t="str">
        <f>IFERROR(__xludf.DUMMYFUNCTION("""COMPUTED_VALUE"""),"N/A (Not found)")</f>
        <v>N/A (Not found)</v>
      </c>
      <c r="R583" s="33">
        <f>IFERROR(__xludf.DUMMYFUNCTION("""COMPUTED_VALUE"""),0.9230769230769231)</f>
        <v>0.9230769231</v>
      </c>
      <c r="S583" s="4" t="str">
        <f>IFERROR(__xludf.DUMMYFUNCTION("""COMPUTED_VALUE"""),"N/A (Not found)")</f>
        <v>N/A (Not found)</v>
      </c>
      <c r="T583" s="33">
        <f>IFERROR(__xludf.DUMMYFUNCTION("""COMPUTED_VALUE"""),0.9230769230769231)</f>
        <v>0.9230769231</v>
      </c>
      <c r="U583" s="4" t="str">
        <f>IFERROR(__xludf.DUMMYFUNCTION("""COMPUTED_VALUE"""),"N/A (Not found)")</f>
        <v>N/A (Not found)</v>
      </c>
      <c r="V583" s="33">
        <f>IFERROR(__xludf.DUMMYFUNCTION("""COMPUTED_VALUE"""),1.0)</f>
        <v>1</v>
      </c>
      <c r="W583" s="4" t="str">
        <f>IFERROR(__xludf.DUMMYFUNCTION("""COMPUTED_VALUE"""),"N/A (Not found)")</f>
        <v>N/A (Not found)</v>
      </c>
      <c r="X583" s="33">
        <f>IFERROR(__xludf.DUMMYFUNCTION("""COMPUTED_VALUE"""),1.0)</f>
        <v>1</v>
      </c>
    </row>
    <row r="584">
      <c r="K584" s="4" t="str">
        <f>IFERROR(__xludf.DUMMYFUNCTION("""COMPUTED_VALUE"""),"ULTRAPOPULAR GRUPO CELIDONIO - CONTA MARCA")</f>
        <v>ULTRAPOPULAR GRUPO CELIDONIO - CONTA MARCA</v>
      </c>
      <c r="L584" s="32">
        <f>IFERROR(__xludf.DUMMYFUNCTION("""COMPUTED_VALUE"""),13.0)</f>
        <v>13</v>
      </c>
      <c r="M584" s="4" t="str">
        <f>IFERROR(__xludf.DUMMYFUNCTION("""COMPUTED_VALUE"""),"null")</f>
        <v>null</v>
      </c>
      <c r="N584" s="33">
        <f>IFERROR(__xludf.DUMMYFUNCTION("""COMPUTED_VALUE"""),0.6153846153846154)</f>
        <v>0.6153846154</v>
      </c>
      <c r="O584" s="4" t="str">
        <f>IFERROR(__xludf.DUMMYFUNCTION("""COMPUTED_VALUE"""),"N/A (Not found)")</f>
        <v>N/A (Not found)</v>
      </c>
      <c r="P584" s="33">
        <f>IFERROR(__xludf.DUMMYFUNCTION("""COMPUTED_VALUE"""),0.5384615384615384)</f>
        <v>0.5384615385</v>
      </c>
      <c r="Q584" s="4" t="str">
        <f>IFERROR(__xludf.DUMMYFUNCTION("""COMPUTED_VALUE"""),"N/A (Not found)")</f>
        <v>N/A (Not found)</v>
      </c>
      <c r="R584" s="33">
        <f>IFERROR(__xludf.DUMMYFUNCTION("""COMPUTED_VALUE"""),0.8461538461538461)</f>
        <v>0.8461538462</v>
      </c>
      <c r="S584" s="4" t="str">
        <f>IFERROR(__xludf.DUMMYFUNCTION("""COMPUTED_VALUE"""),"N/A (Not found)")</f>
        <v>N/A (Not found)</v>
      </c>
      <c r="T584" s="33">
        <f>IFERROR(__xludf.DUMMYFUNCTION("""COMPUTED_VALUE"""),0.9230769230769231)</f>
        <v>0.9230769231</v>
      </c>
      <c r="U584" s="4" t="str">
        <f>IFERROR(__xludf.DUMMYFUNCTION("""COMPUTED_VALUE"""),"N/A (Not found)")</f>
        <v>N/A (Not found)</v>
      </c>
      <c r="V584" s="33">
        <f>IFERROR(__xludf.DUMMYFUNCTION("""COMPUTED_VALUE"""),0.7692307692307693)</f>
        <v>0.7692307692</v>
      </c>
      <c r="W584" s="4" t="str">
        <f>IFERROR(__xludf.DUMMYFUNCTION("""COMPUTED_VALUE"""),"N/A (Not found)")</f>
        <v>N/A (Not found)</v>
      </c>
      <c r="X584" s="33">
        <f>IFERROR(__xludf.DUMMYFUNCTION("""COMPUTED_VALUE"""),0.8461538461538461)</f>
        <v>0.8461538462</v>
      </c>
    </row>
    <row r="585">
      <c r="K585" s="4" t="str">
        <f>IFERROR(__xludf.DUMMYFUNCTION("""COMPUTED_VALUE"""),"PIZZA EXPRESS")</f>
        <v>PIZZA EXPRESS</v>
      </c>
      <c r="L585" s="32">
        <f>IFERROR(__xludf.DUMMYFUNCTION("""COMPUTED_VALUE"""),12.0)</f>
        <v>12</v>
      </c>
      <c r="M585" s="4" t="str">
        <f>IFERROR(__xludf.DUMMYFUNCTION("""COMPUTED_VALUE"""),"null")</f>
        <v>null</v>
      </c>
      <c r="N585" s="33">
        <f>IFERROR(__xludf.DUMMYFUNCTION("""COMPUTED_VALUE"""),0.3333333333333333)</f>
        <v>0.3333333333</v>
      </c>
      <c r="O585" s="4" t="str">
        <f>IFERROR(__xludf.DUMMYFUNCTION("""COMPUTED_VALUE"""),"null")</f>
        <v>null</v>
      </c>
      <c r="P585" s="33">
        <f>IFERROR(__xludf.DUMMYFUNCTION("""COMPUTED_VALUE"""),0.4166666666666667)</f>
        <v>0.4166666667</v>
      </c>
      <c r="Q585" s="4" t="str">
        <f>IFERROR(__xludf.DUMMYFUNCTION("""COMPUTED_VALUE"""),"Saipos Serviços De Software")</f>
        <v>Saipos Serviços De Software</v>
      </c>
      <c r="R585" s="33">
        <f>IFERROR(__xludf.DUMMYFUNCTION("""COMPUTED_VALUE"""),0.3333333333333333)</f>
        <v>0.3333333333</v>
      </c>
      <c r="S585" s="4" t="str">
        <f>IFERROR(__xludf.DUMMYFUNCTION("""COMPUTED_VALUE"""),"null")</f>
        <v>null</v>
      </c>
      <c r="T585" s="33">
        <f>IFERROR(__xludf.DUMMYFUNCTION("""COMPUTED_VALUE"""),0.4166666666666667)</f>
        <v>0.4166666667</v>
      </c>
      <c r="U585" s="4" t="str">
        <f>IFERROR(__xludf.DUMMYFUNCTION("""COMPUTED_VALUE"""),"Saipos Serviços De Software")</f>
        <v>Saipos Serviços De Software</v>
      </c>
      <c r="V585" s="33">
        <f>IFERROR(__xludf.DUMMYFUNCTION("""COMPUTED_VALUE"""),0.3333333333333333)</f>
        <v>0.3333333333</v>
      </c>
      <c r="W585" s="4" t="str">
        <f>IFERROR(__xludf.DUMMYFUNCTION("""COMPUTED_VALUE"""),"null")</f>
        <v>null</v>
      </c>
      <c r="X585" s="33">
        <f>IFERROR(__xludf.DUMMYFUNCTION("""COMPUTED_VALUE"""),0.4166666666666667)</f>
        <v>0.4166666667</v>
      </c>
    </row>
    <row r="586">
      <c r="K586" s="4" t="str">
        <f>IFERROR(__xludf.DUMMYFUNCTION("""COMPUTED_VALUE"""),"TOP LANCHES")</f>
        <v>TOP LANCHES</v>
      </c>
      <c r="L586" s="32">
        <f>IFERROR(__xludf.DUMMYFUNCTION("""COMPUTED_VALUE"""),12.0)</f>
        <v>12</v>
      </c>
      <c r="M586" s="4" t="str">
        <f>IFERROR(__xludf.DUMMYFUNCTION("""COMPUTED_VALUE"""),"null")</f>
        <v>null</v>
      </c>
      <c r="N586" s="33">
        <f>IFERROR(__xludf.DUMMYFUNCTION("""COMPUTED_VALUE"""),0.16666666666666666)</f>
        <v>0.1666666667</v>
      </c>
      <c r="O586" s="4" t="str">
        <f>IFERROR(__xludf.DUMMYFUNCTION("""COMPUTED_VALUE"""),"null")</f>
        <v>null</v>
      </c>
      <c r="P586" s="33">
        <f>IFERROR(__xludf.DUMMYFUNCTION("""COMPUTED_VALUE"""),0.16666666666666666)</f>
        <v>0.1666666667</v>
      </c>
      <c r="Q586" s="4" t="str">
        <f>IFERROR(__xludf.DUMMYFUNCTION("""COMPUTED_VALUE"""),"Cardápio Web")</f>
        <v>Cardápio Web</v>
      </c>
      <c r="R586" s="33">
        <f>IFERROR(__xludf.DUMMYFUNCTION("""COMPUTED_VALUE"""),0.16666666666666666)</f>
        <v>0.1666666667</v>
      </c>
      <c r="S586" s="4" t="str">
        <f>IFERROR(__xludf.DUMMYFUNCTION("""COMPUTED_VALUE"""),"null")</f>
        <v>null</v>
      </c>
      <c r="T586" s="33">
        <f>IFERROR(__xludf.DUMMYFUNCTION("""COMPUTED_VALUE"""),0.16666666666666666)</f>
        <v>0.1666666667</v>
      </c>
      <c r="U586" s="4" t="str">
        <f>IFERROR(__xludf.DUMMYFUNCTION("""COMPUTED_VALUE"""),"null")</f>
        <v>null</v>
      </c>
      <c r="V586" s="33">
        <f>IFERROR(__xludf.DUMMYFUNCTION("""COMPUTED_VALUE"""),0.16666666666666666)</f>
        <v>0.1666666667</v>
      </c>
      <c r="W586" s="4" t="str">
        <f>IFERROR(__xludf.DUMMYFUNCTION("""COMPUTED_VALUE"""),"Cardápio Web")</f>
        <v>Cardápio Web</v>
      </c>
      <c r="X586" s="33">
        <f>IFERROR(__xludf.DUMMYFUNCTION("""COMPUTED_VALUE"""),0.16666666666666666)</f>
        <v>0.1666666667</v>
      </c>
    </row>
    <row r="587">
      <c r="K587" s="4" t="str">
        <f>IFERROR(__xludf.DUMMYFUNCTION("""COMPUTED_VALUE"""),"SANTA PIZZA")</f>
        <v>SANTA PIZZA</v>
      </c>
      <c r="L587" s="32">
        <f>IFERROR(__xludf.DUMMYFUNCTION("""COMPUTED_VALUE"""),12.0)</f>
        <v>12</v>
      </c>
      <c r="M587" s="4" t="str">
        <f>IFERROR(__xludf.DUMMYFUNCTION("""COMPUTED_VALUE"""),"null")</f>
        <v>null</v>
      </c>
      <c r="N587" s="33">
        <f>IFERROR(__xludf.DUMMYFUNCTION("""COMPUTED_VALUE"""),0.25)</f>
        <v>0.25</v>
      </c>
      <c r="O587" s="4" t="str">
        <f>IFERROR(__xludf.DUMMYFUNCTION("""COMPUTED_VALUE"""),"null")</f>
        <v>null</v>
      </c>
      <c r="P587" s="33">
        <f>IFERROR(__xludf.DUMMYFUNCTION("""COMPUTED_VALUE"""),0.25)</f>
        <v>0.25</v>
      </c>
      <c r="Q587" s="4" t="str">
        <f>IFERROR(__xludf.DUMMYFUNCTION("""COMPUTED_VALUE"""),"Anota Ai Solucoes Digitais S/a")</f>
        <v>Anota Ai Solucoes Digitais S/a</v>
      </c>
      <c r="R587" s="33">
        <f>IFERROR(__xludf.DUMMYFUNCTION("""COMPUTED_VALUE"""),0.25)</f>
        <v>0.25</v>
      </c>
      <c r="S587" s="4" t="str">
        <f>IFERROR(__xludf.DUMMYFUNCTION("""COMPUTED_VALUE"""),"null")</f>
        <v>null</v>
      </c>
      <c r="T587" s="33">
        <f>IFERROR(__xludf.DUMMYFUNCTION("""COMPUTED_VALUE"""),0.3333333333333333)</f>
        <v>0.3333333333</v>
      </c>
      <c r="U587" s="4" t="str">
        <f>IFERROR(__xludf.DUMMYFUNCTION("""COMPUTED_VALUE"""),"null")</f>
        <v>null</v>
      </c>
      <c r="V587" s="33">
        <f>IFERROR(__xludf.DUMMYFUNCTION("""COMPUTED_VALUE"""),0.5)</f>
        <v>0.5</v>
      </c>
      <c r="W587" s="4" t="str">
        <f>IFERROR(__xludf.DUMMYFUNCTION("""COMPUTED_VALUE"""),"null")</f>
        <v>null</v>
      </c>
      <c r="X587" s="33">
        <f>IFERROR(__xludf.DUMMYFUNCTION("""COMPUTED_VALUE"""),0.25)</f>
        <v>0.25</v>
      </c>
    </row>
    <row r="588">
      <c r="K588" s="4" t="str">
        <f>IFERROR(__xludf.DUMMYFUNCTION("""COMPUTED_VALUE"""),"FARMACIA SUPER POPULAR")</f>
        <v>FARMACIA SUPER POPULAR</v>
      </c>
      <c r="L588" s="32">
        <f>IFERROR(__xludf.DUMMYFUNCTION("""COMPUTED_VALUE"""),12.0)</f>
        <v>12</v>
      </c>
      <c r="M588" s="4" t="str">
        <f>IFERROR(__xludf.DUMMYFUNCTION("""COMPUTED_VALUE"""),"N/A (Not found)")</f>
        <v>N/A (Not found)</v>
      </c>
      <c r="N588" s="33">
        <f>IFERROR(__xludf.DUMMYFUNCTION("""COMPUTED_VALUE"""),0.5833333333333334)</f>
        <v>0.5833333333</v>
      </c>
      <c r="O588" s="4" t="str">
        <f>IFERROR(__xludf.DUMMYFUNCTION("""COMPUTED_VALUE"""),"N/A (Not found)")</f>
        <v>N/A (Not found)</v>
      </c>
      <c r="P588" s="33">
        <f>IFERROR(__xludf.DUMMYFUNCTION("""COMPUTED_VALUE"""),0.75)</f>
        <v>0.75</v>
      </c>
      <c r="Q588" s="4" t="str">
        <f>IFERROR(__xludf.DUMMYFUNCTION("""COMPUTED_VALUE"""),"N/A (Not found)")</f>
        <v>N/A (Not found)</v>
      </c>
      <c r="R588" s="33">
        <f>IFERROR(__xludf.DUMMYFUNCTION("""COMPUTED_VALUE"""),0.75)</f>
        <v>0.75</v>
      </c>
      <c r="S588" s="4" t="str">
        <f>IFERROR(__xludf.DUMMYFUNCTION("""COMPUTED_VALUE"""),"N/A (Not found)")</f>
        <v>N/A (Not found)</v>
      </c>
      <c r="T588" s="33">
        <f>IFERROR(__xludf.DUMMYFUNCTION("""COMPUTED_VALUE"""),0.8333333333333334)</f>
        <v>0.8333333333</v>
      </c>
      <c r="U588" s="4" t="str">
        <f>IFERROR(__xludf.DUMMYFUNCTION("""COMPUTED_VALUE"""),"N/A (Not found)")</f>
        <v>N/A (Not found)</v>
      </c>
      <c r="V588" s="33">
        <f>IFERROR(__xludf.DUMMYFUNCTION("""COMPUTED_VALUE"""),0.8333333333333334)</f>
        <v>0.8333333333</v>
      </c>
      <c r="W588" s="4" t="str">
        <f>IFERROR(__xludf.DUMMYFUNCTION("""COMPUTED_VALUE"""),"N/A (Not found)")</f>
        <v>N/A (Not found)</v>
      </c>
      <c r="X588" s="33">
        <f>IFERROR(__xludf.DUMMYFUNCTION("""COMPUTED_VALUE"""),0.8333333333333334)</f>
        <v>0.8333333333</v>
      </c>
    </row>
    <row r="589">
      <c r="K589" s="4" t="str">
        <f>IFERROR(__xludf.DUMMYFUNCTION("""COMPUTED_VALUE"""),"TEMPERO DE MAE")</f>
        <v>TEMPERO DE MAE</v>
      </c>
      <c r="L589" s="32">
        <f>IFERROR(__xludf.DUMMYFUNCTION("""COMPUTED_VALUE"""),12.0)</f>
        <v>12</v>
      </c>
      <c r="M589" s="4" t="str">
        <f>IFERROR(__xludf.DUMMYFUNCTION("""COMPUTED_VALUE"""),"Saipos Serviços De Software")</f>
        <v>Saipos Serviços De Software</v>
      </c>
      <c r="N589" s="33">
        <f>IFERROR(__xludf.DUMMYFUNCTION("""COMPUTED_VALUE"""),0.4166666666666667)</f>
        <v>0.4166666667</v>
      </c>
      <c r="O589" s="4" t="str">
        <f>IFERROR(__xludf.DUMMYFUNCTION("""COMPUTED_VALUE"""),"Saipos Serviços De Software")</f>
        <v>Saipos Serviços De Software</v>
      </c>
      <c r="P589" s="33">
        <f>IFERROR(__xludf.DUMMYFUNCTION("""COMPUTED_VALUE"""),0.4166666666666667)</f>
        <v>0.4166666667</v>
      </c>
      <c r="Q589" s="4" t="str">
        <f>IFERROR(__xludf.DUMMYFUNCTION("""COMPUTED_VALUE"""),"Saipos Serviços De Software")</f>
        <v>Saipos Serviços De Software</v>
      </c>
      <c r="R589" s="33">
        <f>IFERROR(__xludf.DUMMYFUNCTION("""COMPUTED_VALUE"""),0.4166666666666667)</f>
        <v>0.4166666667</v>
      </c>
      <c r="S589" s="4" t="str">
        <f>IFERROR(__xludf.DUMMYFUNCTION("""COMPUTED_VALUE"""),"Saipos Serviços De Software")</f>
        <v>Saipos Serviços De Software</v>
      </c>
      <c r="T589" s="33">
        <f>IFERROR(__xludf.DUMMYFUNCTION("""COMPUTED_VALUE"""),0.4166666666666667)</f>
        <v>0.4166666667</v>
      </c>
      <c r="U589" s="4" t="str">
        <f>IFERROR(__xludf.DUMMYFUNCTION("""COMPUTED_VALUE"""),"Saipos Serviços De Software")</f>
        <v>Saipos Serviços De Software</v>
      </c>
      <c r="V589" s="33">
        <f>IFERROR(__xludf.DUMMYFUNCTION("""COMPUTED_VALUE"""),0.4166666666666667)</f>
        <v>0.4166666667</v>
      </c>
      <c r="W589" s="4" t="str">
        <f>IFERROR(__xludf.DUMMYFUNCTION("""COMPUTED_VALUE"""),"Saipos Serviços De Software")</f>
        <v>Saipos Serviços De Software</v>
      </c>
      <c r="X589" s="33">
        <f>IFERROR(__xludf.DUMMYFUNCTION("""COMPUTED_VALUE"""),0.4166666666666667)</f>
        <v>0.4166666667</v>
      </c>
    </row>
    <row r="590">
      <c r="K590" s="4" t="str">
        <f>IFERROR(__xludf.DUMMYFUNCTION("""COMPUTED_VALUE"""),"DIA DE PIZZA")</f>
        <v>DIA DE PIZZA</v>
      </c>
      <c r="L590" s="32">
        <f>IFERROR(__xludf.DUMMYFUNCTION("""COMPUTED_VALUE"""),12.0)</f>
        <v>12</v>
      </c>
      <c r="M590" s="4" t="str">
        <f>IFERROR(__xludf.DUMMYFUNCTION("""COMPUTED_VALUE"""),"Saipos Serviços De Software")</f>
        <v>Saipos Serviços De Software</v>
      </c>
      <c r="N590" s="33">
        <f>IFERROR(__xludf.DUMMYFUNCTION("""COMPUTED_VALUE"""),0.8333333333333334)</f>
        <v>0.8333333333</v>
      </c>
      <c r="O590" s="4" t="str">
        <f>IFERROR(__xludf.DUMMYFUNCTION("""COMPUTED_VALUE"""),"Saipos Serviços De Software")</f>
        <v>Saipos Serviços De Software</v>
      </c>
      <c r="P590" s="33">
        <f>IFERROR(__xludf.DUMMYFUNCTION("""COMPUTED_VALUE"""),0.8333333333333334)</f>
        <v>0.8333333333</v>
      </c>
      <c r="Q590" s="4" t="str">
        <f>IFERROR(__xludf.DUMMYFUNCTION("""COMPUTED_VALUE"""),"Saipos Serviços De Software")</f>
        <v>Saipos Serviços De Software</v>
      </c>
      <c r="R590" s="33">
        <f>IFERROR(__xludf.DUMMYFUNCTION("""COMPUTED_VALUE"""),0.8333333333333334)</f>
        <v>0.8333333333</v>
      </c>
      <c r="S590" s="4" t="str">
        <f>IFERROR(__xludf.DUMMYFUNCTION("""COMPUTED_VALUE"""),"Saipos Serviços De Software")</f>
        <v>Saipos Serviços De Software</v>
      </c>
      <c r="T590" s="33">
        <f>IFERROR(__xludf.DUMMYFUNCTION("""COMPUTED_VALUE"""),0.8333333333333334)</f>
        <v>0.8333333333</v>
      </c>
      <c r="U590" s="4" t="str">
        <f>IFERROR(__xludf.DUMMYFUNCTION("""COMPUTED_VALUE"""),"Saipos Serviços De Software")</f>
        <v>Saipos Serviços De Software</v>
      </c>
      <c r="V590" s="33">
        <f>IFERROR(__xludf.DUMMYFUNCTION("""COMPUTED_VALUE"""),0.8333333333333334)</f>
        <v>0.8333333333</v>
      </c>
      <c r="W590" s="4" t="str">
        <f>IFERROR(__xludf.DUMMYFUNCTION("""COMPUTED_VALUE"""),"Saipos Serviços De Software")</f>
        <v>Saipos Serviços De Software</v>
      </c>
      <c r="X590" s="33">
        <f>IFERROR(__xludf.DUMMYFUNCTION("""COMPUTED_VALUE"""),0.75)</f>
        <v>0.75</v>
      </c>
    </row>
    <row r="591">
      <c r="K591" s="4" t="str">
        <f>IFERROR(__xludf.DUMMYFUNCTION("""COMPUTED_VALUE"""),"ACAI MANIA")</f>
        <v>ACAI MANIA</v>
      </c>
      <c r="L591" s="32">
        <f>IFERROR(__xludf.DUMMYFUNCTION("""COMPUTED_VALUE"""),12.0)</f>
        <v>12</v>
      </c>
      <c r="M591" s="4" t="str">
        <f>IFERROR(__xludf.DUMMYFUNCTION("""COMPUTED_VALUE"""),"null")</f>
        <v>null</v>
      </c>
      <c r="N591" s="33">
        <f>IFERROR(__xludf.DUMMYFUNCTION("""COMPUTED_VALUE"""),0.4166666666666667)</f>
        <v>0.4166666667</v>
      </c>
      <c r="O591" s="4" t="str">
        <f>IFERROR(__xludf.DUMMYFUNCTION("""COMPUTED_VALUE"""),"null")</f>
        <v>null</v>
      </c>
      <c r="P591" s="33">
        <f>IFERROR(__xludf.DUMMYFUNCTION("""COMPUTED_VALUE"""),0.4166666666666667)</f>
        <v>0.4166666667</v>
      </c>
      <c r="Q591" s="4" t="str">
        <f>IFERROR(__xludf.DUMMYFUNCTION("""COMPUTED_VALUE"""),"null")</f>
        <v>null</v>
      </c>
      <c r="R591" s="33">
        <f>IFERROR(__xludf.DUMMYFUNCTION("""COMPUTED_VALUE"""),0.4166666666666667)</f>
        <v>0.4166666667</v>
      </c>
      <c r="S591" s="4" t="str">
        <f>IFERROR(__xludf.DUMMYFUNCTION("""COMPUTED_VALUE"""),"null")</f>
        <v>null</v>
      </c>
      <c r="T591" s="33">
        <f>IFERROR(__xludf.DUMMYFUNCTION("""COMPUTED_VALUE"""),0.4166666666666667)</f>
        <v>0.4166666667</v>
      </c>
      <c r="U591" s="4" t="str">
        <f>IFERROR(__xludf.DUMMYFUNCTION("""COMPUTED_VALUE"""),"Anota Ai Solucoes Digitais S/a")</f>
        <v>Anota Ai Solucoes Digitais S/a</v>
      </c>
      <c r="V591" s="33">
        <f>IFERROR(__xludf.DUMMYFUNCTION("""COMPUTED_VALUE"""),0.25)</f>
        <v>0.25</v>
      </c>
      <c r="W591" s="4" t="str">
        <f>IFERROR(__xludf.DUMMYFUNCTION("""COMPUTED_VALUE"""),"null")</f>
        <v>null</v>
      </c>
      <c r="X591" s="33">
        <f>IFERROR(__xludf.DUMMYFUNCTION("""COMPUTED_VALUE"""),0.3333333333333333)</f>
        <v>0.3333333333</v>
      </c>
    </row>
    <row r="592">
      <c r="K592" s="4" t="str">
        <f>IFERROR(__xludf.DUMMYFUNCTION("""COMPUTED_VALUE"""),"CASA DO MARQUES")</f>
        <v>CASA DO MARQUES</v>
      </c>
      <c r="L592" s="32">
        <f>IFERROR(__xludf.DUMMYFUNCTION("""COMPUTED_VALUE"""),12.0)</f>
        <v>12</v>
      </c>
      <c r="M592" s="4" t="str">
        <f>IFERROR(__xludf.DUMMYFUNCTION("""COMPUTED_VALUE"""),"Bitbar")</f>
        <v>Bitbar</v>
      </c>
      <c r="N592" s="33">
        <f>IFERROR(__xludf.DUMMYFUNCTION("""COMPUTED_VALUE"""),0.5833333333333334)</f>
        <v>0.5833333333</v>
      </c>
      <c r="O592" s="4" t="str">
        <f>IFERROR(__xludf.DUMMYFUNCTION("""COMPUTED_VALUE"""),"Bitbar")</f>
        <v>Bitbar</v>
      </c>
      <c r="P592" s="33">
        <f>IFERROR(__xludf.DUMMYFUNCTION("""COMPUTED_VALUE"""),0.5)</f>
        <v>0.5</v>
      </c>
      <c r="Q592" s="4" t="str">
        <f>IFERROR(__xludf.DUMMYFUNCTION("""COMPUTED_VALUE"""),"Bitbar")</f>
        <v>Bitbar</v>
      </c>
      <c r="R592" s="33">
        <f>IFERROR(__xludf.DUMMYFUNCTION("""COMPUTED_VALUE"""),0.8333333333333334)</f>
        <v>0.8333333333</v>
      </c>
      <c r="S592" s="4" t="str">
        <f>IFERROR(__xludf.DUMMYFUNCTION("""COMPUTED_VALUE"""),"Bitbar")</f>
        <v>Bitbar</v>
      </c>
      <c r="T592" s="33">
        <f>IFERROR(__xludf.DUMMYFUNCTION("""COMPUTED_VALUE"""),0.5)</f>
        <v>0.5</v>
      </c>
      <c r="U592" s="4" t="str">
        <f>IFERROR(__xludf.DUMMYFUNCTION("""COMPUTED_VALUE"""),"Bitbar")</f>
        <v>Bitbar</v>
      </c>
      <c r="V592" s="33">
        <f>IFERROR(__xludf.DUMMYFUNCTION("""COMPUTED_VALUE"""),0.6666666666666666)</f>
        <v>0.6666666667</v>
      </c>
      <c r="W592" s="4" t="str">
        <f>IFERROR(__xludf.DUMMYFUNCTION("""COMPUTED_VALUE"""),"Bitbar")</f>
        <v>Bitbar</v>
      </c>
      <c r="X592" s="33">
        <f>IFERROR(__xludf.DUMMYFUNCTION("""COMPUTED_VALUE"""),0.75)</f>
        <v>0.75</v>
      </c>
    </row>
    <row r="593">
      <c r="K593" s="4" t="str">
        <f>IFERROR(__xludf.DUMMYFUNCTION("""COMPUTED_VALUE"""),"GRUPO APPLEBEES")</f>
        <v>GRUPO APPLEBEES</v>
      </c>
      <c r="L593" s="32">
        <f>IFERROR(__xludf.DUMMYFUNCTION("""COMPUTED_VALUE"""),12.0)</f>
        <v>12</v>
      </c>
      <c r="M593" s="4" t="str">
        <f>IFERROR(__xludf.DUMMYFUNCTION("""COMPUTED_VALUE"""),"Glow")</f>
        <v>Glow</v>
      </c>
      <c r="N593" s="33">
        <f>IFERROR(__xludf.DUMMYFUNCTION("""COMPUTED_VALUE"""),0.9)</f>
        <v>0.9</v>
      </c>
      <c r="O593" s="4" t="str">
        <f>IFERROR(__xludf.DUMMYFUNCTION("""COMPUTED_VALUE"""),"Glow")</f>
        <v>Glow</v>
      </c>
      <c r="P593" s="33">
        <f>IFERROR(__xludf.DUMMYFUNCTION("""COMPUTED_VALUE"""),0.85)</f>
        <v>0.85</v>
      </c>
      <c r="Q593" s="4" t="str">
        <f>IFERROR(__xludf.DUMMYFUNCTION("""COMPUTED_VALUE"""),"Glow")</f>
        <v>Glow</v>
      </c>
      <c r="R593" s="33">
        <f>IFERROR(__xludf.DUMMYFUNCTION("""COMPUTED_VALUE"""),0.75)</f>
        <v>0.75</v>
      </c>
      <c r="S593" s="4" t="str">
        <f>IFERROR(__xludf.DUMMYFUNCTION("""COMPUTED_VALUE"""),"Glow")</f>
        <v>Glow</v>
      </c>
      <c r="T593" s="33">
        <f>IFERROR(__xludf.DUMMYFUNCTION("""COMPUTED_VALUE"""),0.75)</f>
        <v>0.75</v>
      </c>
      <c r="U593" s="4" t="str">
        <f>IFERROR(__xludf.DUMMYFUNCTION("""COMPUTED_VALUE"""),"Glow")</f>
        <v>Glow</v>
      </c>
      <c r="V593" s="33">
        <f>IFERROR(__xludf.DUMMYFUNCTION("""COMPUTED_VALUE"""),0.7)</f>
        <v>0.7</v>
      </c>
      <c r="W593" s="4" t="str">
        <f>IFERROR(__xludf.DUMMYFUNCTION("""COMPUTED_VALUE"""),"Glow")</f>
        <v>Glow</v>
      </c>
      <c r="X593" s="33">
        <f>IFERROR(__xludf.DUMMYFUNCTION("""COMPUTED_VALUE"""),0.8)</f>
        <v>0.8</v>
      </c>
    </row>
    <row r="594">
      <c r="K594" s="4" t="str">
        <f>IFERROR(__xludf.DUMMYFUNCTION("""COMPUTED_VALUE"""),"ARCO MIX SUPERMERCADOS- CONTA PAI")</f>
        <v>ARCO MIX SUPERMERCADOS- CONTA PAI</v>
      </c>
      <c r="L594" s="32">
        <f>IFERROR(__xludf.DUMMYFUNCTION("""COMPUTED_VALUE"""),12.0)</f>
        <v>12</v>
      </c>
      <c r="M594" s="4" t="str">
        <f>IFERROR(__xludf.DUMMYFUNCTION("""COMPUTED_VALUE"""),"N/A (Not found)")</f>
        <v>N/A (Not found)</v>
      </c>
      <c r="N594" s="33">
        <f>IFERROR(__xludf.DUMMYFUNCTION("""COMPUTED_VALUE"""),0.9166666666666666)</f>
        <v>0.9166666667</v>
      </c>
      <c r="O594" s="4" t="str">
        <f>IFERROR(__xludf.DUMMYFUNCTION("""COMPUTED_VALUE"""),"N/A (Not found)")</f>
        <v>N/A (Not found)</v>
      </c>
      <c r="P594" s="33">
        <f>IFERROR(__xludf.DUMMYFUNCTION("""COMPUTED_VALUE"""),0.9166666666666666)</f>
        <v>0.9166666667</v>
      </c>
      <c r="Q594" s="4" t="str">
        <f>IFERROR(__xludf.DUMMYFUNCTION("""COMPUTED_VALUE"""),"N/A (Not found)")</f>
        <v>N/A (Not found)</v>
      </c>
      <c r="R594" s="33">
        <f>IFERROR(__xludf.DUMMYFUNCTION("""COMPUTED_VALUE"""),0.9166666666666666)</f>
        <v>0.9166666667</v>
      </c>
      <c r="S594" s="4" t="str">
        <f>IFERROR(__xludf.DUMMYFUNCTION("""COMPUTED_VALUE"""),"N/A (Not found)")</f>
        <v>N/A (Not found)</v>
      </c>
      <c r="T594" s="33">
        <f>IFERROR(__xludf.DUMMYFUNCTION("""COMPUTED_VALUE"""),1.0)</f>
        <v>1</v>
      </c>
      <c r="U594" s="4" t="str">
        <f>IFERROR(__xludf.DUMMYFUNCTION("""COMPUTED_VALUE"""),"N/A (Not found)")</f>
        <v>N/A (Not found)</v>
      </c>
      <c r="V594" s="33">
        <f>IFERROR(__xludf.DUMMYFUNCTION("""COMPUTED_VALUE"""),1.0)</f>
        <v>1</v>
      </c>
      <c r="W594" s="4" t="str">
        <f>IFERROR(__xludf.DUMMYFUNCTION("""COMPUTED_VALUE"""),"N/A (Not found)")</f>
        <v>N/A (Not found)</v>
      </c>
      <c r="X594" s="33">
        <f>IFERROR(__xludf.DUMMYFUNCTION("""COMPUTED_VALUE"""),1.0)</f>
        <v>1</v>
      </c>
    </row>
    <row r="595">
      <c r="K595" s="4" t="str">
        <f>IFERROR(__xludf.DUMMYFUNCTION("""COMPUTED_VALUE"""),"ATAKAREJO ATACADO - CONTA GRUPO")</f>
        <v>ATAKAREJO ATACADO - CONTA GRUPO</v>
      </c>
      <c r="L595" s="32">
        <f>IFERROR(__xludf.DUMMYFUNCTION("""COMPUTED_VALUE"""),12.0)</f>
        <v>12</v>
      </c>
      <c r="M595" s="4" t="str">
        <f>IFERROR(__xludf.DUMMYFUNCTION("""COMPUTED_VALUE"""),"N/A (Not found)")</f>
        <v>N/A (Not found)</v>
      </c>
      <c r="N595" s="33">
        <f>IFERROR(__xludf.DUMMYFUNCTION("""COMPUTED_VALUE"""),0.6666666666666666)</f>
        <v>0.6666666667</v>
      </c>
      <c r="O595" s="4" t="str">
        <f>IFERROR(__xludf.DUMMYFUNCTION("""COMPUTED_VALUE"""),"N/A (Not found)")</f>
        <v>N/A (Not found)</v>
      </c>
      <c r="P595" s="33">
        <f>IFERROR(__xludf.DUMMYFUNCTION("""COMPUTED_VALUE"""),0.6666666666666666)</f>
        <v>0.6666666667</v>
      </c>
      <c r="Q595" s="4" t="str">
        <f>IFERROR(__xludf.DUMMYFUNCTION("""COMPUTED_VALUE"""),"N/A (Not found)")</f>
        <v>N/A (Not found)</v>
      </c>
      <c r="R595" s="33">
        <f>IFERROR(__xludf.DUMMYFUNCTION("""COMPUTED_VALUE"""),0.6666666666666666)</f>
        <v>0.6666666667</v>
      </c>
      <c r="S595" s="4" t="str">
        <f>IFERROR(__xludf.DUMMYFUNCTION("""COMPUTED_VALUE"""),"N/A (Not found)")</f>
        <v>N/A (Not found)</v>
      </c>
      <c r="T595" s="33">
        <f>IFERROR(__xludf.DUMMYFUNCTION("""COMPUTED_VALUE"""),0.6666666666666666)</f>
        <v>0.6666666667</v>
      </c>
      <c r="U595" s="4" t="str">
        <f>IFERROR(__xludf.DUMMYFUNCTION("""COMPUTED_VALUE"""),"N/A (Not found)")</f>
        <v>N/A (Not found)</v>
      </c>
      <c r="V595" s="33">
        <f>IFERROR(__xludf.DUMMYFUNCTION("""COMPUTED_VALUE"""),0.9166666666666666)</f>
        <v>0.9166666667</v>
      </c>
      <c r="W595" s="4" t="str">
        <f>IFERROR(__xludf.DUMMYFUNCTION("""COMPUTED_VALUE"""),"N/A (Not found)")</f>
        <v>N/A (Not found)</v>
      </c>
      <c r="X595" s="33">
        <f>IFERROR(__xludf.DUMMYFUNCTION("""COMPUTED_VALUE"""),0.9166666666666666)</f>
        <v>0.9166666667</v>
      </c>
    </row>
    <row r="596">
      <c r="K596" s="4" t="str">
        <f>IFERROR(__xludf.DUMMYFUNCTION("""COMPUTED_VALUE"""),"BARBACOA")</f>
        <v>BARBACOA</v>
      </c>
      <c r="L596" s="32">
        <f>IFERROR(__xludf.DUMMYFUNCTION("""COMPUTED_VALUE"""),12.0)</f>
        <v>12</v>
      </c>
      <c r="M596" s="4" t="str">
        <f>IFERROR(__xludf.DUMMYFUNCTION("""COMPUTED_VALUE"""),"Alpha Logo")</f>
        <v>Alpha Logo</v>
      </c>
      <c r="N596" s="33">
        <f>IFERROR(__xludf.DUMMYFUNCTION("""COMPUTED_VALUE"""),0.9166666666666666)</f>
        <v>0.9166666667</v>
      </c>
      <c r="O596" s="4" t="str">
        <f>IFERROR(__xludf.DUMMYFUNCTION("""COMPUTED_VALUE"""),"Alpha Logo")</f>
        <v>Alpha Logo</v>
      </c>
      <c r="P596" s="33">
        <f>IFERROR(__xludf.DUMMYFUNCTION("""COMPUTED_VALUE"""),0.9166666666666666)</f>
        <v>0.9166666667</v>
      </c>
      <c r="Q596" s="4" t="str">
        <f>IFERROR(__xludf.DUMMYFUNCTION("""COMPUTED_VALUE"""),"Alpha Logo")</f>
        <v>Alpha Logo</v>
      </c>
      <c r="R596" s="33">
        <f>IFERROR(__xludf.DUMMYFUNCTION("""COMPUTED_VALUE"""),0.9166666666666666)</f>
        <v>0.9166666667</v>
      </c>
      <c r="S596" s="4" t="str">
        <f>IFERROR(__xludf.DUMMYFUNCTION("""COMPUTED_VALUE"""),"Alpha Logo")</f>
        <v>Alpha Logo</v>
      </c>
      <c r="T596" s="33">
        <f>IFERROR(__xludf.DUMMYFUNCTION("""COMPUTED_VALUE"""),0.9166666666666666)</f>
        <v>0.9166666667</v>
      </c>
      <c r="U596" s="4" t="str">
        <f>IFERROR(__xludf.DUMMYFUNCTION("""COMPUTED_VALUE"""),"Alpha Logo")</f>
        <v>Alpha Logo</v>
      </c>
      <c r="V596" s="33">
        <f>IFERROR(__xludf.DUMMYFUNCTION("""COMPUTED_VALUE"""),0.9166666666666666)</f>
        <v>0.9166666667</v>
      </c>
      <c r="W596" s="4" t="str">
        <f>IFERROR(__xludf.DUMMYFUNCTION("""COMPUTED_VALUE"""),"Alpha Logo")</f>
        <v>Alpha Logo</v>
      </c>
      <c r="X596" s="33">
        <f>IFERROR(__xludf.DUMMYFUNCTION("""COMPUTED_VALUE"""),0.9166666666666666)</f>
        <v>0.9166666667</v>
      </c>
    </row>
    <row r="597">
      <c r="K597" s="4" t="str">
        <f>IFERROR(__xludf.DUMMYFUNCTION("""COMPUTED_VALUE"""),"BARUK ESFIHA E SHAWARMAS")</f>
        <v>BARUK ESFIHA E SHAWARMAS</v>
      </c>
      <c r="L597" s="32">
        <f>IFERROR(__xludf.DUMMYFUNCTION("""COMPUTED_VALUE"""),12.0)</f>
        <v>12</v>
      </c>
      <c r="M597" s="4" t="str">
        <f>IFERROR(__xludf.DUMMYFUNCTION("""COMPUTED_VALUE"""),"Junsoft Tecnologia")</f>
        <v>Junsoft Tecnologia</v>
      </c>
      <c r="N597" s="33">
        <f>IFERROR(__xludf.DUMMYFUNCTION("""COMPUTED_VALUE"""),1.0)</f>
        <v>1</v>
      </c>
      <c r="O597" s="4" t="str">
        <f>IFERROR(__xludf.DUMMYFUNCTION("""COMPUTED_VALUE"""),"Junsoft Tecnologia")</f>
        <v>Junsoft Tecnologia</v>
      </c>
      <c r="P597" s="33">
        <f>IFERROR(__xludf.DUMMYFUNCTION("""COMPUTED_VALUE"""),1.0)</f>
        <v>1</v>
      </c>
      <c r="Q597" s="4" t="str">
        <f>IFERROR(__xludf.DUMMYFUNCTION("""COMPUTED_VALUE"""),"Junsoft Tecnologia")</f>
        <v>Junsoft Tecnologia</v>
      </c>
      <c r="R597" s="33">
        <f>IFERROR(__xludf.DUMMYFUNCTION("""COMPUTED_VALUE"""),1.0)</f>
        <v>1</v>
      </c>
      <c r="S597" s="4" t="str">
        <f>IFERROR(__xludf.DUMMYFUNCTION("""COMPUTED_VALUE"""),"Junsoft Tecnologia")</f>
        <v>Junsoft Tecnologia</v>
      </c>
      <c r="T597" s="33">
        <f>IFERROR(__xludf.DUMMYFUNCTION("""COMPUTED_VALUE"""),1.0)</f>
        <v>1</v>
      </c>
      <c r="U597" s="4" t="str">
        <f>IFERROR(__xludf.DUMMYFUNCTION("""COMPUTED_VALUE"""),"Junsoft Tecnologia")</f>
        <v>Junsoft Tecnologia</v>
      </c>
      <c r="V597" s="33">
        <f>IFERROR(__xludf.DUMMYFUNCTION("""COMPUTED_VALUE"""),1.0)</f>
        <v>1</v>
      </c>
      <c r="W597" s="4" t="str">
        <f>IFERROR(__xludf.DUMMYFUNCTION("""COMPUTED_VALUE"""),"Junsoft Tecnologia")</f>
        <v>Junsoft Tecnologia</v>
      </c>
      <c r="X597" s="33">
        <f>IFERROR(__xludf.DUMMYFUNCTION("""COMPUTED_VALUE"""),1.0)</f>
        <v>1</v>
      </c>
    </row>
    <row r="598">
      <c r="K598" s="4" t="str">
        <f>IFERROR(__xludf.DUMMYFUNCTION("""COMPUTED_VALUE"""),"BOLOS E DOCES - E FIT NAO FAT")</f>
        <v>BOLOS E DOCES - E FIT NAO FAT</v>
      </c>
      <c r="L598" s="32">
        <f>IFERROR(__xludf.DUMMYFUNCTION("""COMPUTED_VALUE"""),12.0)</f>
        <v>12</v>
      </c>
      <c r="M598" s="4" t="str">
        <f>IFERROR(__xludf.DUMMYFUNCTION("""COMPUTED_VALUE"""),"Hubster")</f>
        <v>Hubster</v>
      </c>
      <c r="N598" s="33">
        <f>IFERROR(__xludf.DUMMYFUNCTION("""COMPUTED_VALUE"""),1.0)</f>
        <v>1</v>
      </c>
      <c r="O598" s="4" t="str">
        <f>IFERROR(__xludf.DUMMYFUNCTION("""COMPUTED_VALUE"""),"Hubster")</f>
        <v>Hubster</v>
      </c>
      <c r="P598" s="33">
        <f>IFERROR(__xludf.DUMMYFUNCTION("""COMPUTED_VALUE"""),0.75)</f>
        <v>0.75</v>
      </c>
      <c r="Q598" s="4" t="str">
        <f>IFERROR(__xludf.DUMMYFUNCTION("""COMPUTED_VALUE"""),"Hubster")</f>
        <v>Hubster</v>
      </c>
      <c r="R598" s="33">
        <f>IFERROR(__xludf.DUMMYFUNCTION("""COMPUTED_VALUE"""),0.9166666666666666)</f>
        <v>0.9166666667</v>
      </c>
      <c r="S598" s="4" t="str">
        <f>IFERROR(__xludf.DUMMYFUNCTION("""COMPUTED_VALUE"""),"Hubster")</f>
        <v>Hubster</v>
      </c>
      <c r="T598" s="33">
        <f>IFERROR(__xludf.DUMMYFUNCTION("""COMPUTED_VALUE"""),0.8333333333333334)</f>
        <v>0.8333333333</v>
      </c>
      <c r="U598" s="4" t="str">
        <f>IFERROR(__xludf.DUMMYFUNCTION("""COMPUTED_VALUE"""),"Hubster")</f>
        <v>Hubster</v>
      </c>
      <c r="V598" s="33">
        <f>IFERROR(__xludf.DUMMYFUNCTION("""COMPUTED_VALUE"""),0.8333333333333334)</f>
        <v>0.8333333333</v>
      </c>
      <c r="W598" s="4" t="str">
        <f>IFERROR(__xludf.DUMMYFUNCTION("""COMPUTED_VALUE"""),"Hubster")</f>
        <v>Hubster</v>
      </c>
      <c r="X598" s="33">
        <f>IFERROR(__xludf.DUMMYFUNCTION("""COMPUTED_VALUE"""),1.0)</f>
        <v>1</v>
      </c>
    </row>
    <row r="599">
      <c r="K599" s="4" t="str">
        <f>IFERROR(__xludf.DUMMYFUNCTION("""COMPUTED_VALUE"""),"BRASAS PIZZARIA E ESFIRRARIA")</f>
        <v>BRASAS PIZZARIA E ESFIRRARIA</v>
      </c>
      <c r="L599" s="32">
        <f>IFERROR(__xludf.DUMMYFUNCTION("""COMPUTED_VALUE"""),12.0)</f>
        <v>12</v>
      </c>
      <c r="M599" s="4" t="str">
        <f>IFERROR(__xludf.DUMMYFUNCTION("""COMPUTED_VALUE"""),"Grsoft")</f>
        <v>Grsoft</v>
      </c>
      <c r="N599" s="33">
        <f>IFERROR(__xludf.DUMMYFUNCTION("""COMPUTED_VALUE"""),1.0)</f>
        <v>1</v>
      </c>
      <c r="O599" s="4" t="str">
        <f>IFERROR(__xludf.DUMMYFUNCTION("""COMPUTED_VALUE"""),"Grsoft")</f>
        <v>Grsoft</v>
      </c>
      <c r="P599" s="33">
        <f>IFERROR(__xludf.DUMMYFUNCTION("""COMPUTED_VALUE"""),1.0)</f>
        <v>1</v>
      </c>
      <c r="Q599" s="4" t="str">
        <f>IFERROR(__xludf.DUMMYFUNCTION("""COMPUTED_VALUE"""),"Grsoft")</f>
        <v>Grsoft</v>
      </c>
      <c r="R599" s="33">
        <f>IFERROR(__xludf.DUMMYFUNCTION("""COMPUTED_VALUE"""),1.0)</f>
        <v>1</v>
      </c>
      <c r="S599" s="4" t="str">
        <f>IFERROR(__xludf.DUMMYFUNCTION("""COMPUTED_VALUE"""),"Grsoft")</f>
        <v>Grsoft</v>
      </c>
      <c r="T599" s="33">
        <f>IFERROR(__xludf.DUMMYFUNCTION("""COMPUTED_VALUE"""),1.0)</f>
        <v>1</v>
      </c>
      <c r="U599" s="4" t="str">
        <f>IFERROR(__xludf.DUMMYFUNCTION("""COMPUTED_VALUE"""),"Grsoft")</f>
        <v>Grsoft</v>
      </c>
      <c r="V599" s="33">
        <f>IFERROR(__xludf.DUMMYFUNCTION("""COMPUTED_VALUE"""),1.0)</f>
        <v>1</v>
      </c>
      <c r="W599" s="4" t="str">
        <f>IFERROR(__xludf.DUMMYFUNCTION("""COMPUTED_VALUE"""),"Grsoft")</f>
        <v>Grsoft</v>
      </c>
      <c r="X599" s="33">
        <f>IFERROR(__xludf.DUMMYFUNCTION("""COMPUTED_VALUE"""),1.0)</f>
        <v>1</v>
      </c>
    </row>
    <row r="600">
      <c r="K600" s="4" t="str">
        <f>IFERROR(__xludf.DUMMYFUNCTION("""COMPUTED_VALUE"""),"BULLDOG")</f>
        <v>BULLDOG</v>
      </c>
      <c r="L600" s="32">
        <f>IFERROR(__xludf.DUMMYFUNCTION("""COMPUTED_VALUE"""),12.0)</f>
        <v>12</v>
      </c>
      <c r="M600" s="4" t="str">
        <f>IFERROR(__xludf.DUMMYFUNCTION("""COMPUTED_VALUE"""),"Saipos Serviços De Software")</f>
        <v>Saipos Serviços De Software</v>
      </c>
      <c r="N600" s="33">
        <f>IFERROR(__xludf.DUMMYFUNCTION("""COMPUTED_VALUE"""),0.9166666666666666)</f>
        <v>0.9166666667</v>
      </c>
      <c r="O600" s="4" t="str">
        <f>IFERROR(__xludf.DUMMYFUNCTION("""COMPUTED_VALUE"""),"Saipos Serviços De Software")</f>
        <v>Saipos Serviços De Software</v>
      </c>
      <c r="P600" s="33">
        <f>IFERROR(__xludf.DUMMYFUNCTION("""COMPUTED_VALUE"""),0.9166666666666666)</f>
        <v>0.9166666667</v>
      </c>
      <c r="Q600" s="4" t="str">
        <f>IFERROR(__xludf.DUMMYFUNCTION("""COMPUTED_VALUE"""),"Saipos Serviços De Software")</f>
        <v>Saipos Serviços De Software</v>
      </c>
      <c r="R600" s="33">
        <f>IFERROR(__xludf.DUMMYFUNCTION("""COMPUTED_VALUE"""),0.9166666666666666)</f>
        <v>0.9166666667</v>
      </c>
      <c r="S600" s="4" t="str">
        <f>IFERROR(__xludf.DUMMYFUNCTION("""COMPUTED_VALUE"""),"Saipos Serviços De Software")</f>
        <v>Saipos Serviços De Software</v>
      </c>
      <c r="T600" s="33">
        <f>IFERROR(__xludf.DUMMYFUNCTION("""COMPUTED_VALUE"""),0.9166666666666666)</f>
        <v>0.9166666667</v>
      </c>
      <c r="U600" s="4" t="str">
        <f>IFERROR(__xludf.DUMMYFUNCTION("""COMPUTED_VALUE"""),"Saipos Serviços De Software")</f>
        <v>Saipos Serviços De Software</v>
      </c>
      <c r="V600" s="33">
        <f>IFERROR(__xludf.DUMMYFUNCTION("""COMPUTED_VALUE"""),0.9166666666666666)</f>
        <v>0.9166666667</v>
      </c>
      <c r="W600" s="4" t="str">
        <f>IFERROR(__xludf.DUMMYFUNCTION("""COMPUTED_VALUE"""),"Saipos Serviços De Software")</f>
        <v>Saipos Serviços De Software</v>
      </c>
      <c r="X600" s="33">
        <f>IFERROR(__xludf.DUMMYFUNCTION("""COMPUTED_VALUE"""),0.9166666666666666)</f>
        <v>0.9166666667</v>
      </c>
    </row>
    <row r="601">
      <c r="K601" s="4" t="str">
        <f>IFERROR(__xludf.DUMMYFUNCTION("""COMPUTED_VALUE"""),"CENTERBOX SUPERMERCADOS LTDA - CONTA PAI")</f>
        <v>CENTERBOX SUPERMERCADOS LTDA - CONTA PAI</v>
      </c>
      <c r="L601" s="32">
        <f>IFERROR(__xludf.DUMMYFUNCTION("""COMPUTED_VALUE"""),12.0)</f>
        <v>12</v>
      </c>
      <c r="M601" s="4" t="str">
        <f>IFERROR(__xludf.DUMMYFUNCTION("""COMPUTED_VALUE"""),"N/A (Not found)")</f>
        <v>N/A (Not found)</v>
      </c>
      <c r="N601" s="33">
        <f>IFERROR(__xludf.DUMMYFUNCTION("""COMPUTED_VALUE"""),1.0)</f>
        <v>1</v>
      </c>
      <c r="O601" s="4" t="str">
        <f>IFERROR(__xludf.DUMMYFUNCTION("""COMPUTED_VALUE"""),"N/A (Not found)")</f>
        <v>N/A (Not found)</v>
      </c>
      <c r="P601" s="33">
        <f>IFERROR(__xludf.DUMMYFUNCTION("""COMPUTED_VALUE"""),1.0)</f>
        <v>1</v>
      </c>
      <c r="Q601" s="4" t="str">
        <f>IFERROR(__xludf.DUMMYFUNCTION("""COMPUTED_VALUE"""),"N/A (Not found)")</f>
        <v>N/A (Not found)</v>
      </c>
      <c r="R601" s="33">
        <f>IFERROR(__xludf.DUMMYFUNCTION("""COMPUTED_VALUE"""),1.0)</f>
        <v>1</v>
      </c>
      <c r="S601" s="4" t="str">
        <f>IFERROR(__xludf.DUMMYFUNCTION("""COMPUTED_VALUE"""),"N/A (Not found)")</f>
        <v>N/A (Not found)</v>
      </c>
      <c r="T601" s="33">
        <f>IFERROR(__xludf.DUMMYFUNCTION("""COMPUTED_VALUE"""),1.0)</f>
        <v>1</v>
      </c>
      <c r="U601" s="4" t="str">
        <f>IFERROR(__xludf.DUMMYFUNCTION("""COMPUTED_VALUE"""),"N/A (Not found)")</f>
        <v>N/A (Not found)</v>
      </c>
      <c r="V601" s="33">
        <f>IFERROR(__xludf.DUMMYFUNCTION("""COMPUTED_VALUE"""),1.0)</f>
        <v>1</v>
      </c>
      <c r="W601" s="4" t="str">
        <f>IFERROR(__xludf.DUMMYFUNCTION("""COMPUTED_VALUE"""),"N/A (Not found)")</f>
        <v>N/A (Not found)</v>
      </c>
      <c r="X601" s="33">
        <f>IFERROR(__xludf.DUMMYFUNCTION("""COMPUTED_VALUE"""),1.0)</f>
        <v>1</v>
      </c>
    </row>
    <row r="602">
      <c r="K602" s="4" t="str">
        <f>IFERROR(__xludf.DUMMYFUNCTION("""COMPUTED_VALUE"""),"DONA LENHA")</f>
        <v>DONA LENHA</v>
      </c>
      <c r="L602" s="32">
        <f>IFERROR(__xludf.DUMMYFUNCTION("""COMPUTED_VALUE"""),12.0)</f>
        <v>12</v>
      </c>
      <c r="M602" s="4" t="str">
        <f>IFERROR(__xludf.DUMMYFUNCTION("""COMPUTED_VALUE"""),"Stone Co.")</f>
        <v>Stone Co.</v>
      </c>
      <c r="N602" s="33">
        <f>IFERROR(__xludf.DUMMYFUNCTION("""COMPUTED_VALUE"""),0.6666666666666666)</f>
        <v>0.6666666667</v>
      </c>
      <c r="O602" s="4" t="str">
        <f>IFERROR(__xludf.DUMMYFUNCTION("""COMPUTED_VALUE"""),"Stone Co.")</f>
        <v>Stone Co.</v>
      </c>
      <c r="P602" s="33">
        <f>IFERROR(__xludf.DUMMYFUNCTION("""COMPUTED_VALUE"""),1.0)</f>
        <v>1</v>
      </c>
      <c r="Q602" s="4" t="str">
        <f>IFERROR(__xludf.DUMMYFUNCTION("""COMPUTED_VALUE"""),"Stone Co.")</f>
        <v>Stone Co.</v>
      </c>
      <c r="R602" s="33">
        <f>IFERROR(__xludf.DUMMYFUNCTION("""COMPUTED_VALUE"""),0.9166666666666666)</f>
        <v>0.9166666667</v>
      </c>
      <c r="S602" s="4" t="str">
        <f>IFERROR(__xludf.DUMMYFUNCTION("""COMPUTED_VALUE"""),"Stone Co.")</f>
        <v>Stone Co.</v>
      </c>
      <c r="T602" s="33">
        <f>IFERROR(__xludf.DUMMYFUNCTION("""COMPUTED_VALUE"""),0.6666666666666666)</f>
        <v>0.6666666667</v>
      </c>
      <c r="U602" s="4" t="str">
        <f>IFERROR(__xludf.DUMMYFUNCTION("""COMPUTED_VALUE"""),"Stone Co.")</f>
        <v>Stone Co.</v>
      </c>
      <c r="V602" s="33">
        <f>IFERROR(__xludf.DUMMYFUNCTION("""COMPUTED_VALUE"""),0.6666666666666666)</f>
        <v>0.6666666667</v>
      </c>
      <c r="W602" s="4" t="str">
        <f>IFERROR(__xludf.DUMMYFUNCTION("""COMPUTED_VALUE"""),"Stone Co.")</f>
        <v>Stone Co.</v>
      </c>
      <c r="X602" s="33">
        <f>IFERROR(__xludf.DUMMYFUNCTION("""COMPUTED_VALUE"""),0.6666666666666666)</f>
        <v>0.6666666667</v>
      </c>
    </row>
    <row r="603">
      <c r="K603" s="4" t="str">
        <f>IFERROR(__xludf.DUMMYFUNCTION("""COMPUTED_VALUE"""),"DROGARIA 5 ESTRELAS - CONTA MARCA")</f>
        <v>DROGARIA 5 ESTRELAS - CONTA MARCA</v>
      </c>
      <c r="L603" s="32">
        <f>IFERROR(__xludf.DUMMYFUNCTION("""COMPUTED_VALUE"""),12.0)</f>
        <v>12</v>
      </c>
      <c r="M603" s="4" t="str">
        <f>IFERROR(__xludf.DUMMYFUNCTION("""COMPUTED_VALUE"""),"N/A (Not found)")</f>
        <v>N/A (Not found)</v>
      </c>
      <c r="N603" s="33">
        <f>IFERROR(__xludf.DUMMYFUNCTION("""COMPUTED_VALUE"""),1.0)</f>
        <v>1</v>
      </c>
      <c r="O603" s="4" t="str">
        <f>IFERROR(__xludf.DUMMYFUNCTION("""COMPUTED_VALUE"""),"N/A (Not found)")</f>
        <v>N/A (Not found)</v>
      </c>
      <c r="P603" s="33">
        <f>IFERROR(__xludf.DUMMYFUNCTION("""COMPUTED_VALUE"""),1.0)</f>
        <v>1</v>
      </c>
      <c r="Q603" s="4" t="str">
        <f>IFERROR(__xludf.DUMMYFUNCTION("""COMPUTED_VALUE"""),"N/A (Not found)")</f>
        <v>N/A (Not found)</v>
      </c>
      <c r="R603" s="33">
        <f>IFERROR(__xludf.DUMMYFUNCTION("""COMPUTED_VALUE"""),1.0)</f>
        <v>1</v>
      </c>
      <c r="S603" s="4" t="str">
        <f>IFERROR(__xludf.DUMMYFUNCTION("""COMPUTED_VALUE"""),"N/A (Not found)")</f>
        <v>N/A (Not found)</v>
      </c>
      <c r="T603" s="33">
        <f>IFERROR(__xludf.DUMMYFUNCTION("""COMPUTED_VALUE"""),1.0)</f>
        <v>1</v>
      </c>
      <c r="U603" s="4" t="str">
        <f>IFERROR(__xludf.DUMMYFUNCTION("""COMPUTED_VALUE"""),"N/A (Not found)")</f>
        <v>N/A (Not found)</v>
      </c>
      <c r="V603" s="33">
        <f>IFERROR(__xludf.DUMMYFUNCTION("""COMPUTED_VALUE"""),1.0)</f>
        <v>1</v>
      </c>
      <c r="W603" s="4" t="str">
        <f>IFERROR(__xludf.DUMMYFUNCTION("""COMPUTED_VALUE"""),"N/A (Not found)")</f>
        <v>N/A (Not found)</v>
      </c>
      <c r="X603" s="33">
        <f>IFERROR(__xludf.DUMMYFUNCTION("""COMPUTED_VALUE"""),1.0)</f>
        <v>1</v>
      </c>
    </row>
    <row r="604">
      <c r="K604" s="4" t="str">
        <f>IFERROR(__xludf.DUMMYFUNCTION("""COMPUTED_VALUE"""),"DROGARIAS MEDFACIL - CONTA PAI")</f>
        <v>DROGARIAS MEDFACIL - CONTA PAI</v>
      </c>
      <c r="L604" s="32">
        <f>IFERROR(__xludf.DUMMYFUNCTION("""COMPUTED_VALUE"""),12.0)</f>
        <v>12</v>
      </c>
      <c r="M604" s="4" t="str">
        <f>IFERROR(__xludf.DUMMYFUNCTION("""COMPUTED_VALUE"""),"N/A (Not found)")</f>
        <v>N/A (Not found)</v>
      </c>
      <c r="N604" s="33">
        <f>IFERROR(__xludf.DUMMYFUNCTION("""COMPUTED_VALUE"""),1.0)</f>
        <v>1</v>
      </c>
      <c r="O604" s="4" t="str">
        <f>IFERROR(__xludf.DUMMYFUNCTION("""COMPUTED_VALUE"""),"N/A (Not found)")</f>
        <v>N/A (Not found)</v>
      </c>
      <c r="P604" s="33">
        <f>IFERROR(__xludf.DUMMYFUNCTION("""COMPUTED_VALUE"""),1.0)</f>
        <v>1</v>
      </c>
      <c r="Q604" s="4" t="str">
        <f>IFERROR(__xludf.DUMMYFUNCTION("""COMPUTED_VALUE"""),"N/A (Not found)")</f>
        <v>N/A (Not found)</v>
      </c>
      <c r="R604" s="33">
        <f>IFERROR(__xludf.DUMMYFUNCTION("""COMPUTED_VALUE"""),1.0)</f>
        <v>1</v>
      </c>
      <c r="S604" s="4" t="str">
        <f>IFERROR(__xludf.DUMMYFUNCTION("""COMPUTED_VALUE"""),"N/A (Not found)")</f>
        <v>N/A (Not found)</v>
      </c>
      <c r="T604" s="33">
        <f>IFERROR(__xludf.DUMMYFUNCTION("""COMPUTED_VALUE"""),1.0)</f>
        <v>1</v>
      </c>
      <c r="U604" s="4" t="str">
        <f>IFERROR(__xludf.DUMMYFUNCTION("""COMPUTED_VALUE"""),"N/A (Not found)")</f>
        <v>N/A (Not found)</v>
      </c>
      <c r="V604" s="33">
        <f>IFERROR(__xludf.DUMMYFUNCTION("""COMPUTED_VALUE"""),0.9166666666666666)</f>
        <v>0.9166666667</v>
      </c>
      <c r="W604" s="4" t="str">
        <f>IFERROR(__xludf.DUMMYFUNCTION("""COMPUTED_VALUE"""),"N/A (Not found)")</f>
        <v>N/A (Not found)</v>
      </c>
      <c r="X604" s="33">
        <f>IFERROR(__xludf.DUMMYFUNCTION("""COMPUTED_VALUE"""),0.9166666666666666)</f>
        <v>0.9166666667</v>
      </c>
    </row>
    <row r="605">
      <c r="K605" s="4" t="str">
        <f>IFERROR(__xludf.DUMMYFUNCTION("""COMPUTED_VALUE"""),"DROGARIAS RIOFARMA - CONTA PAI")</f>
        <v>DROGARIAS RIOFARMA - CONTA PAI</v>
      </c>
      <c r="L605" s="32">
        <f>IFERROR(__xludf.DUMMYFUNCTION("""COMPUTED_VALUE"""),12.0)</f>
        <v>12</v>
      </c>
      <c r="M605" s="4" t="str">
        <f>IFERROR(__xludf.DUMMYFUNCTION("""COMPUTED_VALUE"""),"N/A (Not found)")</f>
        <v>N/A (Not found)</v>
      </c>
      <c r="N605" s="33">
        <f>IFERROR(__xludf.DUMMYFUNCTION("""COMPUTED_VALUE"""),1.0)</f>
        <v>1</v>
      </c>
      <c r="O605" s="4" t="str">
        <f>IFERROR(__xludf.DUMMYFUNCTION("""COMPUTED_VALUE"""),"N/A (Not found)")</f>
        <v>N/A (Not found)</v>
      </c>
      <c r="P605" s="33">
        <f>IFERROR(__xludf.DUMMYFUNCTION("""COMPUTED_VALUE"""),1.0)</f>
        <v>1</v>
      </c>
      <c r="Q605" s="4" t="str">
        <f>IFERROR(__xludf.DUMMYFUNCTION("""COMPUTED_VALUE"""),"N/A (Not found)")</f>
        <v>N/A (Not found)</v>
      </c>
      <c r="R605" s="33">
        <f>IFERROR(__xludf.DUMMYFUNCTION("""COMPUTED_VALUE"""),1.0)</f>
        <v>1</v>
      </c>
      <c r="S605" s="4" t="str">
        <f>IFERROR(__xludf.DUMMYFUNCTION("""COMPUTED_VALUE"""),"N/A (Not found)")</f>
        <v>N/A (Not found)</v>
      </c>
      <c r="T605" s="33">
        <f>IFERROR(__xludf.DUMMYFUNCTION("""COMPUTED_VALUE"""),1.0)</f>
        <v>1</v>
      </c>
      <c r="U605" s="4" t="str">
        <f>IFERROR(__xludf.DUMMYFUNCTION("""COMPUTED_VALUE"""),"N/A (Not found)")</f>
        <v>N/A (Not found)</v>
      </c>
      <c r="V605" s="33">
        <f>IFERROR(__xludf.DUMMYFUNCTION("""COMPUTED_VALUE"""),1.0)</f>
        <v>1</v>
      </c>
      <c r="W605" s="4" t="str">
        <f>IFERROR(__xludf.DUMMYFUNCTION("""COMPUTED_VALUE"""),"N/A (Not found)")</f>
        <v>N/A (Not found)</v>
      </c>
      <c r="X605" s="33">
        <f>IFERROR(__xludf.DUMMYFUNCTION("""COMPUTED_VALUE"""),1.0)</f>
        <v>1</v>
      </c>
    </row>
    <row r="606">
      <c r="K606" s="4" t="str">
        <f>IFERROR(__xludf.DUMMYFUNCTION("""COMPUTED_VALUE"""),"FARMACAMPOS - CONTA PAI")</f>
        <v>FARMACAMPOS - CONTA PAI</v>
      </c>
      <c r="L606" s="32">
        <f>IFERROR(__xludf.DUMMYFUNCTION("""COMPUTED_VALUE"""),12.0)</f>
        <v>12</v>
      </c>
      <c r="M606" s="4" t="str">
        <f>IFERROR(__xludf.DUMMYFUNCTION("""COMPUTED_VALUE"""),"N/A (Not found)")</f>
        <v>N/A (Not found)</v>
      </c>
      <c r="N606" s="33">
        <f>IFERROR(__xludf.DUMMYFUNCTION("""COMPUTED_VALUE"""),1.0)</f>
        <v>1</v>
      </c>
      <c r="O606" s="4" t="str">
        <f>IFERROR(__xludf.DUMMYFUNCTION("""COMPUTED_VALUE"""),"N/A (Not found)")</f>
        <v>N/A (Not found)</v>
      </c>
      <c r="P606" s="33">
        <f>IFERROR(__xludf.DUMMYFUNCTION("""COMPUTED_VALUE"""),1.0)</f>
        <v>1</v>
      </c>
      <c r="Q606" s="4" t="str">
        <f>IFERROR(__xludf.DUMMYFUNCTION("""COMPUTED_VALUE"""),"N/A (Not found)")</f>
        <v>N/A (Not found)</v>
      </c>
      <c r="R606" s="33">
        <f>IFERROR(__xludf.DUMMYFUNCTION("""COMPUTED_VALUE"""),1.0)</f>
        <v>1</v>
      </c>
      <c r="S606" s="4" t="str">
        <f>IFERROR(__xludf.DUMMYFUNCTION("""COMPUTED_VALUE"""),"N/A (Not found)")</f>
        <v>N/A (Not found)</v>
      </c>
      <c r="T606" s="33">
        <f>IFERROR(__xludf.DUMMYFUNCTION("""COMPUTED_VALUE"""),1.0)</f>
        <v>1</v>
      </c>
      <c r="U606" s="4" t="str">
        <f>IFERROR(__xludf.DUMMYFUNCTION("""COMPUTED_VALUE"""),"N/A (Not found)")</f>
        <v>N/A (Not found)</v>
      </c>
      <c r="V606" s="33">
        <f>IFERROR(__xludf.DUMMYFUNCTION("""COMPUTED_VALUE"""),1.0)</f>
        <v>1</v>
      </c>
      <c r="W606" s="4" t="str">
        <f>IFERROR(__xludf.DUMMYFUNCTION("""COMPUTED_VALUE"""),"N/A (Not found)")</f>
        <v>N/A (Not found)</v>
      </c>
      <c r="X606" s="33">
        <f>IFERROR(__xludf.DUMMYFUNCTION("""COMPUTED_VALUE"""),1.0)</f>
        <v>1</v>
      </c>
    </row>
    <row r="607">
      <c r="K607" s="4" t="str">
        <f>IFERROR(__xludf.DUMMYFUNCTION("""COMPUTED_VALUE"""),"FARMACIA SANTA MARIA - CONTA MARCA")</f>
        <v>FARMACIA SANTA MARIA - CONTA MARCA</v>
      </c>
      <c r="L607" s="32">
        <f>IFERROR(__xludf.DUMMYFUNCTION("""COMPUTED_VALUE"""),12.0)</f>
        <v>12</v>
      </c>
      <c r="M607" s="4" t="str">
        <f>IFERROR(__xludf.DUMMYFUNCTION("""COMPUTED_VALUE"""),"N/A (Not found)")</f>
        <v>N/A (Not found)</v>
      </c>
      <c r="N607" s="33">
        <f>IFERROR(__xludf.DUMMYFUNCTION("""COMPUTED_VALUE"""),1.0)</f>
        <v>1</v>
      </c>
      <c r="O607" s="4" t="str">
        <f>IFERROR(__xludf.DUMMYFUNCTION("""COMPUTED_VALUE"""),"N/A (Not found)")</f>
        <v>N/A (Not found)</v>
      </c>
      <c r="P607" s="33">
        <f>IFERROR(__xludf.DUMMYFUNCTION("""COMPUTED_VALUE"""),1.0)</f>
        <v>1</v>
      </c>
      <c r="Q607" s="4" t="str">
        <f>IFERROR(__xludf.DUMMYFUNCTION("""COMPUTED_VALUE"""),"N/A (Not found)")</f>
        <v>N/A (Not found)</v>
      </c>
      <c r="R607" s="33">
        <f>IFERROR(__xludf.DUMMYFUNCTION("""COMPUTED_VALUE"""),1.0)</f>
        <v>1</v>
      </c>
      <c r="S607" s="4" t="str">
        <f>IFERROR(__xludf.DUMMYFUNCTION("""COMPUTED_VALUE"""),"N/A (Not found)")</f>
        <v>N/A (Not found)</v>
      </c>
      <c r="T607" s="33">
        <f>IFERROR(__xludf.DUMMYFUNCTION("""COMPUTED_VALUE"""),1.0)</f>
        <v>1</v>
      </c>
      <c r="U607" s="4" t="str">
        <f>IFERROR(__xludf.DUMMYFUNCTION("""COMPUTED_VALUE"""),"N/A (Not found)")</f>
        <v>N/A (Not found)</v>
      </c>
      <c r="V607" s="33">
        <f>IFERROR(__xludf.DUMMYFUNCTION("""COMPUTED_VALUE"""),1.0)</f>
        <v>1</v>
      </c>
      <c r="W607" s="4" t="str">
        <f>IFERROR(__xludf.DUMMYFUNCTION("""COMPUTED_VALUE"""),"N/A (Not found)")</f>
        <v>N/A (Not found)</v>
      </c>
      <c r="X607" s="33">
        <f>IFERROR(__xludf.DUMMYFUNCTION("""COMPUTED_VALUE"""),1.0)</f>
        <v>1</v>
      </c>
    </row>
    <row r="608">
      <c r="K608" s="4" t="str">
        <f>IFERROR(__xludf.DUMMYFUNCTION("""COMPUTED_VALUE"""),"FARMAIS - LOJAS BASTOS - CONTA MARCA")</f>
        <v>FARMAIS - LOJAS BASTOS - CONTA MARCA</v>
      </c>
      <c r="L608" s="32">
        <f>IFERROR(__xludf.DUMMYFUNCTION("""COMPUTED_VALUE"""),12.0)</f>
        <v>12</v>
      </c>
      <c r="M608" s="4" t="str">
        <f>IFERROR(__xludf.DUMMYFUNCTION("""COMPUTED_VALUE"""),"N/A (Not found)")</f>
        <v>N/A (Not found)</v>
      </c>
      <c r="N608" s="33">
        <f>IFERROR(__xludf.DUMMYFUNCTION("""COMPUTED_VALUE"""),0.9166666666666666)</f>
        <v>0.9166666667</v>
      </c>
      <c r="O608" s="4" t="str">
        <f>IFERROR(__xludf.DUMMYFUNCTION("""COMPUTED_VALUE"""),"N/A (Not found)")</f>
        <v>N/A (Not found)</v>
      </c>
      <c r="P608" s="33">
        <f>IFERROR(__xludf.DUMMYFUNCTION("""COMPUTED_VALUE"""),1.0)</f>
        <v>1</v>
      </c>
      <c r="Q608" s="4" t="str">
        <f>IFERROR(__xludf.DUMMYFUNCTION("""COMPUTED_VALUE"""),"N/A (Not found)")</f>
        <v>N/A (Not found)</v>
      </c>
      <c r="R608" s="33">
        <f>IFERROR(__xludf.DUMMYFUNCTION("""COMPUTED_VALUE"""),1.0)</f>
        <v>1</v>
      </c>
      <c r="S608" s="4" t="str">
        <f>IFERROR(__xludf.DUMMYFUNCTION("""COMPUTED_VALUE"""),"N/A (Not found)")</f>
        <v>N/A (Not found)</v>
      </c>
      <c r="T608" s="33">
        <f>IFERROR(__xludf.DUMMYFUNCTION("""COMPUTED_VALUE"""),1.0)</f>
        <v>1</v>
      </c>
      <c r="U608" s="4" t="str">
        <f>IFERROR(__xludf.DUMMYFUNCTION("""COMPUTED_VALUE"""),"N/A (Not found)")</f>
        <v>N/A (Not found)</v>
      </c>
      <c r="V608" s="33">
        <f>IFERROR(__xludf.DUMMYFUNCTION("""COMPUTED_VALUE"""),1.0)</f>
        <v>1</v>
      </c>
      <c r="W608" s="4" t="str">
        <f>IFERROR(__xludf.DUMMYFUNCTION("""COMPUTED_VALUE"""),"N/A (Not found)")</f>
        <v>N/A (Not found)</v>
      </c>
      <c r="X608" s="33">
        <f>IFERROR(__xludf.DUMMYFUNCTION("""COMPUTED_VALUE"""),1.0)</f>
        <v>1</v>
      </c>
    </row>
    <row r="609">
      <c r="K609" s="4" t="str">
        <f>IFERROR(__xludf.DUMMYFUNCTION("""COMPUTED_VALUE"""),"FIT DE FATO PIZZA SAUDAVEL")</f>
        <v>FIT DE FATO PIZZA SAUDAVEL</v>
      </c>
      <c r="L609" s="32">
        <f>IFERROR(__xludf.DUMMYFUNCTION("""COMPUTED_VALUE"""),12.0)</f>
        <v>12</v>
      </c>
      <c r="M609" s="4" t="str">
        <f>IFERROR(__xludf.DUMMYFUNCTION("""COMPUTED_VALUE"""),"Saipos Serviços De Software")</f>
        <v>Saipos Serviços De Software</v>
      </c>
      <c r="N609" s="33">
        <f>IFERROR(__xludf.DUMMYFUNCTION("""COMPUTED_VALUE"""),0.9166666666666666)</f>
        <v>0.9166666667</v>
      </c>
      <c r="O609" s="4" t="str">
        <f>IFERROR(__xludf.DUMMYFUNCTION("""COMPUTED_VALUE"""),"Saipos Serviços De Software")</f>
        <v>Saipos Serviços De Software</v>
      </c>
      <c r="P609" s="33">
        <f>IFERROR(__xludf.DUMMYFUNCTION("""COMPUTED_VALUE"""),0.75)</f>
        <v>0.75</v>
      </c>
      <c r="Q609" s="4" t="str">
        <f>IFERROR(__xludf.DUMMYFUNCTION("""COMPUTED_VALUE"""),"Saipos Serviços De Software")</f>
        <v>Saipos Serviços De Software</v>
      </c>
      <c r="R609" s="33">
        <f>IFERROR(__xludf.DUMMYFUNCTION("""COMPUTED_VALUE"""),0.75)</f>
        <v>0.75</v>
      </c>
      <c r="S609" s="4" t="str">
        <f>IFERROR(__xludf.DUMMYFUNCTION("""COMPUTED_VALUE"""),"Saipos Serviços De Software")</f>
        <v>Saipos Serviços De Software</v>
      </c>
      <c r="T609" s="33">
        <f>IFERROR(__xludf.DUMMYFUNCTION("""COMPUTED_VALUE"""),0.6666666666666666)</f>
        <v>0.6666666667</v>
      </c>
      <c r="U609" s="4" t="str">
        <f>IFERROR(__xludf.DUMMYFUNCTION("""COMPUTED_VALUE"""),"Saipos Serviços De Software")</f>
        <v>Saipos Serviços De Software</v>
      </c>
      <c r="V609" s="33">
        <f>IFERROR(__xludf.DUMMYFUNCTION("""COMPUTED_VALUE"""),0.8333333333333334)</f>
        <v>0.8333333333</v>
      </c>
      <c r="W609" s="4" t="str">
        <f>IFERROR(__xludf.DUMMYFUNCTION("""COMPUTED_VALUE"""),"Saipos Serviços De Software")</f>
        <v>Saipos Serviços De Software</v>
      </c>
      <c r="X609" s="33">
        <f>IFERROR(__xludf.DUMMYFUNCTION("""COMPUTED_VALUE"""),0.8333333333333334)</f>
        <v>0.8333333333</v>
      </c>
    </row>
    <row r="610">
      <c r="K610" s="4" t="str">
        <f>IFERROR(__xludf.DUMMYFUNCTION("""COMPUTED_VALUE"""),"FORNERIA CARIOCA")</f>
        <v>FORNERIA CARIOCA</v>
      </c>
      <c r="L610" s="32">
        <f>IFERROR(__xludf.DUMMYFUNCTION("""COMPUTED_VALUE"""),12.0)</f>
        <v>12</v>
      </c>
      <c r="M610" s="4" t="str">
        <f>IFERROR(__xludf.DUMMYFUNCTION("""COMPUTED_VALUE"""),"Tech Rao")</f>
        <v>Tech Rao</v>
      </c>
      <c r="N610" s="33">
        <f>IFERROR(__xludf.DUMMYFUNCTION("""COMPUTED_VALUE"""),0.5)</f>
        <v>0.5</v>
      </c>
      <c r="O610" s="4" t="str">
        <f>IFERROR(__xludf.DUMMYFUNCTION("""COMPUTED_VALUE"""),"Saipos Serviços De Software")</f>
        <v>Saipos Serviços De Software</v>
      </c>
      <c r="P610" s="33">
        <f>IFERROR(__xludf.DUMMYFUNCTION("""COMPUTED_VALUE"""),0.8333333333333334)</f>
        <v>0.8333333333</v>
      </c>
      <c r="Q610" s="4" t="str">
        <f>IFERROR(__xludf.DUMMYFUNCTION("""COMPUTED_VALUE"""),"Saipos Serviços De Software")</f>
        <v>Saipos Serviços De Software</v>
      </c>
      <c r="R610" s="33">
        <f>IFERROR(__xludf.DUMMYFUNCTION("""COMPUTED_VALUE"""),1.0)</f>
        <v>1</v>
      </c>
      <c r="S610" s="4" t="str">
        <f>IFERROR(__xludf.DUMMYFUNCTION("""COMPUTED_VALUE"""),"Saipos Serviços De Software")</f>
        <v>Saipos Serviços De Software</v>
      </c>
      <c r="T610" s="33">
        <f>IFERROR(__xludf.DUMMYFUNCTION("""COMPUTED_VALUE"""),1.0)</f>
        <v>1</v>
      </c>
      <c r="U610" s="4" t="str">
        <f>IFERROR(__xludf.DUMMYFUNCTION("""COMPUTED_VALUE"""),"Saipos Serviços De Software")</f>
        <v>Saipos Serviços De Software</v>
      </c>
      <c r="V610" s="33">
        <f>IFERROR(__xludf.DUMMYFUNCTION("""COMPUTED_VALUE"""),1.0)</f>
        <v>1</v>
      </c>
      <c r="W610" s="4" t="str">
        <f>IFERROR(__xludf.DUMMYFUNCTION("""COMPUTED_VALUE"""),"Saipos Serviços De Software")</f>
        <v>Saipos Serviços De Software</v>
      </c>
      <c r="X610" s="33">
        <f>IFERROR(__xludf.DUMMYFUNCTION("""COMPUTED_VALUE"""),1.0)</f>
        <v>1</v>
      </c>
    </row>
    <row r="611">
      <c r="K611" s="4" t="str">
        <f>IFERROR(__xludf.DUMMYFUNCTION("""COMPUTED_VALUE"""),"FREDDO")</f>
        <v>FREDDO</v>
      </c>
      <c r="L611" s="32">
        <f>IFERROR(__xludf.DUMMYFUNCTION("""COMPUTED_VALUE"""),12.0)</f>
        <v>12</v>
      </c>
      <c r="M611" s="4" t="str">
        <f>IFERROR(__xludf.DUMMYFUNCTION("""COMPUTED_VALUE"""),"Nextsoft")</f>
        <v>Nextsoft</v>
      </c>
      <c r="N611" s="33">
        <f>IFERROR(__xludf.DUMMYFUNCTION("""COMPUTED_VALUE"""),0.8333333333333334)</f>
        <v>0.8333333333</v>
      </c>
      <c r="O611" s="4" t="str">
        <f>IFERROR(__xludf.DUMMYFUNCTION("""COMPUTED_VALUE"""),"Nextsoft")</f>
        <v>Nextsoft</v>
      </c>
      <c r="P611" s="33">
        <f>IFERROR(__xludf.DUMMYFUNCTION("""COMPUTED_VALUE"""),0.6666666666666666)</f>
        <v>0.6666666667</v>
      </c>
      <c r="Q611" s="4" t="str">
        <f>IFERROR(__xludf.DUMMYFUNCTION("""COMPUTED_VALUE"""),"Nextsoft")</f>
        <v>Nextsoft</v>
      </c>
      <c r="R611" s="33">
        <f>IFERROR(__xludf.DUMMYFUNCTION("""COMPUTED_VALUE"""),0.75)</f>
        <v>0.75</v>
      </c>
      <c r="S611" s="4" t="str">
        <f>IFERROR(__xludf.DUMMYFUNCTION("""COMPUTED_VALUE"""),"Nextsoft")</f>
        <v>Nextsoft</v>
      </c>
      <c r="T611" s="33">
        <f>IFERROR(__xludf.DUMMYFUNCTION("""COMPUTED_VALUE"""),0.5)</f>
        <v>0.5</v>
      </c>
      <c r="U611" s="4" t="str">
        <f>IFERROR(__xludf.DUMMYFUNCTION("""COMPUTED_VALUE"""),"Nextsoft")</f>
        <v>Nextsoft</v>
      </c>
      <c r="V611" s="33">
        <f>IFERROR(__xludf.DUMMYFUNCTION("""COMPUTED_VALUE"""),0.75)</f>
        <v>0.75</v>
      </c>
      <c r="W611" s="4" t="str">
        <f>IFERROR(__xludf.DUMMYFUNCTION("""COMPUTED_VALUE"""),"Nextsoft")</f>
        <v>Nextsoft</v>
      </c>
      <c r="X611" s="33">
        <f>IFERROR(__xludf.DUMMYFUNCTION("""COMPUTED_VALUE"""),0.5833333333333334)</f>
        <v>0.5833333333</v>
      </c>
    </row>
    <row r="612">
      <c r="K612" s="4" t="str">
        <f>IFERROR(__xludf.DUMMYFUNCTION("""COMPUTED_VALUE"""),"GRUPO FRUTARIA SAO PAULO")</f>
        <v>GRUPO FRUTARIA SAO PAULO</v>
      </c>
      <c r="L612" s="32">
        <f>IFERROR(__xludf.DUMMYFUNCTION("""COMPUTED_VALUE"""),12.0)</f>
        <v>12</v>
      </c>
      <c r="M612" s="4" t="str">
        <f>IFERROR(__xludf.DUMMYFUNCTION("""COMPUTED_VALUE"""),"Altec Sistemas")</f>
        <v>Altec Sistemas</v>
      </c>
      <c r="N612" s="33">
        <f>IFERROR(__xludf.DUMMYFUNCTION("""COMPUTED_VALUE"""),0.5833333333333334)</f>
        <v>0.5833333333</v>
      </c>
      <c r="O612" s="4" t="str">
        <f>IFERROR(__xludf.DUMMYFUNCTION("""COMPUTED_VALUE"""),"Altec Sistemas")</f>
        <v>Altec Sistemas</v>
      </c>
      <c r="P612" s="33">
        <f>IFERROR(__xludf.DUMMYFUNCTION("""COMPUTED_VALUE"""),0.6666666666666666)</f>
        <v>0.6666666667</v>
      </c>
      <c r="Q612" s="4" t="str">
        <f>IFERROR(__xludf.DUMMYFUNCTION("""COMPUTED_VALUE"""),"Altec Sistemas")</f>
        <v>Altec Sistemas</v>
      </c>
      <c r="R612" s="33">
        <f>IFERROR(__xludf.DUMMYFUNCTION("""COMPUTED_VALUE"""),0.6666666666666666)</f>
        <v>0.6666666667</v>
      </c>
      <c r="S612" s="4" t="str">
        <f>IFERROR(__xludf.DUMMYFUNCTION("""COMPUTED_VALUE"""),"Altec Sistemas")</f>
        <v>Altec Sistemas</v>
      </c>
      <c r="T612" s="33">
        <f>IFERROR(__xludf.DUMMYFUNCTION("""COMPUTED_VALUE"""),0.6666666666666666)</f>
        <v>0.6666666667</v>
      </c>
      <c r="U612" s="4" t="str">
        <f>IFERROR(__xludf.DUMMYFUNCTION("""COMPUTED_VALUE"""),"Altec Sistemas")</f>
        <v>Altec Sistemas</v>
      </c>
      <c r="V612" s="33">
        <f>IFERROR(__xludf.DUMMYFUNCTION("""COMPUTED_VALUE"""),0.5833333333333334)</f>
        <v>0.5833333333</v>
      </c>
      <c r="W612" s="4" t="str">
        <f>IFERROR(__xludf.DUMMYFUNCTION("""COMPUTED_VALUE"""),"Altec Sistemas")</f>
        <v>Altec Sistemas</v>
      </c>
      <c r="X612" s="33">
        <f>IFERROR(__xludf.DUMMYFUNCTION("""COMPUTED_VALUE"""),0.6666666666666666)</f>
        <v>0.6666666667</v>
      </c>
    </row>
    <row r="613">
      <c r="K613" s="4" t="str">
        <f>IFERROR(__xludf.DUMMYFUNCTION("""COMPUTED_VALUE"""),"GIASSI SUPERMERCADOS - CONTA PAI")</f>
        <v>GIASSI SUPERMERCADOS - CONTA PAI</v>
      </c>
      <c r="L613" s="32">
        <f>IFERROR(__xludf.DUMMYFUNCTION("""COMPUTED_VALUE"""),12.0)</f>
        <v>12</v>
      </c>
      <c r="M613" s="4" t="str">
        <f>IFERROR(__xludf.DUMMYFUNCTION("""COMPUTED_VALUE"""),"N/A (Not found)")</f>
        <v>N/A (Not found)</v>
      </c>
      <c r="N613" s="33">
        <f>IFERROR(__xludf.DUMMYFUNCTION("""COMPUTED_VALUE"""),0.9166666666666666)</f>
        <v>0.9166666667</v>
      </c>
      <c r="O613" s="4" t="str">
        <f>IFERROR(__xludf.DUMMYFUNCTION("""COMPUTED_VALUE"""),"N/A (Not found)")</f>
        <v>N/A (Not found)</v>
      </c>
      <c r="P613" s="33">
        <f>IFERROR(__xludf.DUMMYFUNCTION("""COMPUTED_VALUE"""),1.0)</f>
        <v>1</v>
      </c>
      <c r="Q613" s="4" t="str">
        <f>IFERROR(__xludf.DUMMYFUNCTION("""COMPUTED_VALUE"""),"N/A (Not found)")</f>
        <v>N/A (Not found)</v>
      </c>
      <c r="R613" s="33">
        <f>IFERROR(__xludf.DUMMYFUNCTION("""COMPUTED_VALUE"""),1.0)</f>
        <v>1</v>
      </c>
      <c r="S613" s="4" t="str">
        <f>IFERROR(__xludf.DUMMYFUNCTION("""COMPUTED_VALUE"""),"N/A (Not found)")</f>
        <v>N/A (Not found)</v>
      </c>
      <c r="T613" s="33">
        <f>IFERROR(__xludf.DUMMYFUNCTION("""COMPUTED_VALUE"""),1.0)</f>
        <v>1</v>
      </c>
      <c r="U613" s="4" t="str">
        <f>IFERROR(__xludf.DUMMYFUNCTION("""COMPUTED_VALUE"""),"N/A (Not found)")</f>
        <v>N/A (Not found)</v>
      </c>
      <c r="V613" s="33">
        <f>IFERROR(__xludf.DUMMYFUNCTION("""COMPUTED_VALUE"""),1.0)</f>
        <v>1</v>
      </c>
      <c r="W613" s="4" t="str">
        <f>IFERROR(__xludf.DUMMYFUNCTION("""COMPUTED_VALUE"""),"N/A (Not found)")</f>
        <v>N/A (Not found)</v>
      </c>
      <c r="X613" s="33">
        <f>IFERROR(__xludf.DUMMYFUNCTION("""COMPUTED_VALUE"""),1.0)</f>
        <v>1</v>
      </c>
    </row>
    <row r="614">
      <c r="K614" s="4" t="str">
        <f>IFERROR(__xludf.DUMMYFUNCTION("""COMPUTED_VALUE"""),"GRUPO BLUE HOUSE")</f>
        <v>GRUPO BLUE HOUSE</v>
      </c>
      <c r="L614" s="32">
        <f>IFERROR(__xludf.DUMMYFUNCTION("""COMPUTED_VALUE"""),12.0)</f>
        <v>12</v>
      </c>
      <c r="M614" s="4" t="str">
        <f>IFERROR(__xludf.DUMMYFUNCTION("""COMPUTED_VALUE"""),"Saipos Serviços De Software")</f>
        <v>Saipos Serviços De Software</v>
      </c>
      <c r="N614" s="33">
        <f>IFERROR(__xludf.DUMMYFUNCTION("""COMPUTED_VALUE"""),1.0)</f>
        <v>1</v>
      </c>
      <c r="O614" s="4" t="str">
        <f>IFERROR(__xludf.DUMMYFUNCTION("""COMPUTED_VALUE"""),"Saipos Serviços De Software")</f>
        <v>Saipos Serviços De Software</v>
      </c>
      <c r="P614" s="33">
        <f>IFERROR(__xludf.DUMMYFUNCTION("""COMPUTED_VALUE"""),1.0)</f>
        <v>1</v>
      </c>
      <c r="Q614" s="4" t="str">
        <f>IFERROR(__xludf.DUMMYFUNCTION("""COMPUTED_VALUE"""),"Saipos Serviços De Software")</f>
        <v>Saipos Serviços De Software</v>
      </c>
      <c r="R614" s="33">
        <f>IFERROR(__xludf.DUMMYFUNCTION("""COMPUTED_VALUE"""),1.0)</f>
        <v>1</v>
      </c>
      <c r="S614" s="4" t="str">
        <f>IFERROR(__xludf.DUMMYFUNCTION("""COMPUTED_VALUE"""),"Saipos Serviços De Software")</f>
        <v>Saipos Serviços De Software</v>
      </c>
      <c r="T614" s="33">
        <f>IFERROR(__xludf.DUMMYFUNCTION("""COMPUTED_VALUE"""),1.0)</f>
        <v>1</v>
      </c>
      <c r="U614" s="4" t="str">
        <f>IFERROR(__xludf.DUMMYFUNCTION("""COMPUTED_VALUE"""),"Saipos Serviços De Software")</f>
        <v>Saipos Serviços De Software</v>
      </c>
      <c r="V614" s="33">
        <f>IFERROR(__xludf.DUMMYFUNCTION("""COMPUTED_VALUE"""),1.0)</f>
        <v>1</v>
      </c>
      <c r="W614" s="4" t="str">
        <f>IFERROR(__xludf.DUMMYFUNCTION("""COMPUTED_VALUE"""),"Saipos Serviços De Software")</f>
        <v>Saipos Serviços De Software</v>
      </c>
      <c r="X614" s="33">
        <f>IFERROR(__xludf.DUMMYFUNCTION("""COMPUTED_VALUE"""),1.0)</f>
        <v>1</v>
      </c>
    </row>
    <row r="615">
      <c r="K615" s="4" t="str">
        <f>IFERROR(__xludf.DUMMYFUNCTION("""COMPUTED_VALUE"""),"GRUPO MEGA MACEIO")</f>
        <v>GRUPO MEGA MACEIO</v>
      </c>
      <c r="L615" s="32">
        <f>IFERROR(__xludf.DUMMYFUNCTION("""COMPUTED_VALUE"""),12.0)</f>
        <v>12</v>
      </c>
      <c r="M615" s="4" t="str">
        <f>IFERROR(__xludf.DUMMYFUNCTION("""COMPUTED_VALUE"""),"null")</f>
        <v>null</v>
      </c>
      <c r="N615" s="33">
        <f>IFERROR(__xludf.DUMMYFUNCTION("""COMPUTED_VALUE"""),1.0)</f>
        <v>1</v>
      </c>
      <c r="O615" s="4" t="str">
        <f>IFERROR(__xludf.DUMMYFUNCTION("""COMPUTED_VALUE"""),"null")</f>
        <v>null</v>
      </c>
      <c r="P615" s="33">
        <f>IFERROR(__xludf.DUMMYFUNCTION("""COMPUTED_VALUE"""),1.0)</f>
        <v>1</v>
      </c>
      <c r="Q615" s="4" t="str">
        <f>IFERROR(__xludf.DUMMYFUNCTION("""COMPUTED_VALUE"""),"null")</f>
        <v>null</v>
      </c>
      <c r="R615" s="33">
        <f>IFERROR(__xludf.DUMMYFUNCTION("""COMPUTED_VALUE"""),1.0)</f>
        <v>1</v>
      </c>
      <c r="S615" s="4" t="str">
        <f>IFERROR(__xludf.DUMMYFUNCTION("""COMPUTED_VALUE"""),"Cardápio Web")</f>
        <v>Cardápio Web</v>
      </c>
      <c r="T615" s="33">
        <f>IFERROR(__xludf.DUMMYFUNCTION("""COMPUTED_VALUE"""),1.0)</f>
        <v>1</v>
      </c>
      <c r="U615" s="4" t="str">
        <f>IFERROR(__xludf.DUMMYFUNCTION("""COMPUTED_VALUE"""),"Cardápio Web")</f>
        <v>Cardápio Web</v>
      </c>
      <c r="V615" s="33">
        <f>IFERROR(__xludf.DUMMYFUNCTION("""COMPUTED_VALUE"""),1.0)</f>
        <v>1</v>
      </c>
      <c r="W615" s="4" t="str">
        <f>IFERROR(__xludf.DUMMYFUNCTION("""COMPUTED_VALUE"""),"Cardápio Web")</f>
        <v>Cardápio Web</v>
      </c>
      <c r="X615" s="33">
        <f>IFERROR(__xludf.DUMMYFUNCTION("""COMPUTED_VALUE"""),1.0)</f>
        <v>1</v>
      </c>
    </row>
    <row r="616">
      <c r="K616" s="4" t="str">
        <f>IFERROR(__xludf.DUMMYFUNCTION("""COMPUTED_VALUE"""),"GRUPO MELLEO - CONTA MARCA")</f>
        <v>GRUPO MELLEO - CONTA MARCA</v>
      </c>
      <c r="L616" s="32">
        <f>IFERROR(__xludf.DUMMYFUNCTION("""COMPUTED_VALUE"""),12.0)</f>
        <v>12</v>
      </c>
      <c r="M616" s="4" t="str">
        <f>IFERROR(__xludf.DUMMYFUNCTION("""COMPUTED_VALUE"""),"Saipos Serviços De Software")</f>
        <v>Saipos Serviços De Software</v>
      </c>
      <c r="N616" s="33">
        <f>IFERROR(__xludf.DUMMYFUNCTION("""COMPUTED_VALUE"""),0.8333333333333334)</f>
        <v>0.8333333333</v>
      </c>
      <c r="O616" s="4" t="str">
        <f>IFERROR(__xludf.DUMMYFUNCTION("""COMPUTED_VALUE"""),"Saipos Serviços De Software")</f>
        <v>Saipos Serviços De Software</v>
      </c>
      <c r="P616" s="33">
        <f>IFERROR(__xludf.DUMMYFUNCTION("""COMPUTED_VALUE"""),0.8333333333333334)</f>
        <v>0.8333333333</v>
      </c>
      <c r="Q616" s="4" t="str">
        <f>IFERROR(__xludf.DUMMYFUNCTION("""COMPUTED_VALUE"""),"Saipos Serviços De Software")</f>
        <v>Saipos Serviços De Software</v>
      </c>
      <c r="R616" s="33">
        <f>IFERROR(__xludf.DUMMYFUNCTION("""COMPUTED_VALUE"""),0.8333333333333334)</f>
        <v>0.8333333333</v>
      </c>
      <c r="S616" s="4" t="str">
        <f>IFERROR(__xludf.DUMMYFUNCTION("""COMPUTED_VALUE"""),"Saipos Serviços De Software")</f>
        <v>Saipos Serviços De Software</v>
      </c>
      <c r="T616" s="33">
        <f>IFERROR(__xludf.DUMMYFUNCTION("""COMPUTED_VALUE"""),0.8333333333333334)</f>
        <v>0.8333333333</v>
      </c>
      <c r="U616" s="4" t="str">
        <f>IFERROR(__xludf.DUMMYFUNCTION("""COMPUTED_VALUE"""),"Saipos Serviços De Software")</f>
        <v>Saipos Serviços De Software</v>
      </c>
      <c r="V616" s="33">
        <f>IFERROR(__xludf.DUMMYFUNCTION("""COMPUTED_VALUE"""),0.8333333333333334)</f>
        <v>0.8333333333</v>
      </c>
      <c r="W616" s="4" t="str">
        <f>IFERROR(__xludf.DUMMYFUNCTION("""COMPUTED_VALUE"""),"Saipos Serviços De Software")</f>
        <v>Saipos Serviços De Software</v>
      </c>
      <c r="X616" s="33">
        <f>IFERROR(__xludf.DUMMYFUNCTION("""COMPUTED_VALUE"""),0.8333333333333334)</f>
        <v>0.8333333333</v>
      </c>
    </row>
    <row r="617">
      <c r="K617" s="4" t="str">
        <f>IFERROR(__xludf.DUMMYFUNCTION("""COMPUTED_VALUE"""),"GRUPO NK")</f>
        <v>GRUPO NK</v>
      </c>
      <c r="L617" s="32">
        <f>IFERROR(__xludf.DUMMYFUNCTION("""COMPUTED_VALUE"""),12.0)</f>
        <v>12</v>
      </c>
      <c r="M617" s="4" t="str">
        <f>IFERROR(__xludf.DUMMYFUNCTION("""COMPUTED_VALUE"""),"Yooga")</f>
        <v>Yooga</v>
      </c>
      <c r="N617" s="33">
        <f>IFERROR(__xludf.DUMMYFUNCTION("""COMPUTED_VALUE"""),1.0)</f>
        <v>1</v>
      </c>
      <c r="O617" s="4" t="str">
        <f>IFERROR(__xludf.DUMMYFUNCTION("""COMPUTED_VALUE"""),"Yooga")</f>
        <v>Yooga</v>
      </c>
      <c r="P617" s="33">
        <f>IFERROR(__xludf.DUMMYFUNCTION("""COMPUTED_VALUE"""),1.0)</f>
        <v>1</v>
      </c>
      <c r="Q617" s="4" t="str">
        <f>IFERROR(__xludf.DUMMYFUNCTION("""COMPUTED_VALUE"""),"Yooga")</f>
        <v>Yooga</v>
      </c>
      <c r="R617" s="33">
        <f>IFERROR(__xludf.DUMMYFUNCTION("""COMPUTED_VALUE"""),1.0)</f>
        <v>1</v>
      </c>
      <c r="S617" s="4" t="str">
        <f>IFERROR(__xludf.DUMMYFUNCTION("""COMPUTED_VALUE"""),"Yooga")</f>
        <v>Yooga</v>
      </c>
      <c r="T617" s="33">
        <f>IFERROR(__xludf.DUMMYFUNCTION("""COMPUTED_VALUE"""),1.0)</f>
        <v>1</v>
      </c>
      <c r="U617" s="4" t="str">
        <f>IFERROR(__xludf.DUMMYFUNCTION("""COMPUTED_VALUE"""),"Yooga")</f>
        <v>Yooga</v>
      </c>
      <c r="V617" s="33">
        <f>IFERROR(__xludf.DUMMYFUNCTION("""COMPUTED_VALUE"""),1.0)</f>
        <v>1</v>
      </c>
      <c r="W617" s="4" t="str">
        <f>IFERROR(__xludf.DUMMYFUNCTION("""COMPUTED_VALUE"""),"Yooga")</f>
        <v>Yooga</v>
      </c>
      <c r="X617" s="33">
        <f>IFERROR(__xludf.DUMMYFUNCTION("""COMPUTED_VALUE"""),1.0)</f>
        <v>1</v>
      </c>
    </row>
    <row r="618">
      <c r="K618" s="4" t="str">
        <f>IFERROR(__xludf.DUMMYFUNCTION("""COMPUTED_VALUE"""),"GRUPO SANTA CONTA PAI")</f>
        <v>GRUPO SANTA CONTA PAI</v>
      </c>
      <c r="L618" s="32">
        <f>IFERROR(__xludf.DUMMYFUNCTION("""COMPUTED_VALUE"""),12.0)</f>
        <v>12</v>
      </c>
      <c r="M618" s="4" t="str">
        <f>IFERROR(__xludf.DUMMYFUNCTION("""COMPUTED_VALUE"""),"Rrd Restaurantes Digitais Ltda")</f>
        <v>Rrd Restaurantes Digitais Ltda</v>
      </c>
      <c r="N618" s="33">
        <f>IFERROR(__xludf.DUMMYFUNCTION("""COMPUTED_VALUE"""),1.0)</f>
        <v>1</v>
      </c>
      <c r="O618" s="4" t="str">
        <f>IFERROR(__xludf.DUMMYFUNCTION("""COMPUTED_VALUE"""),"Rrd Restaurantes Digitais Ltda")</f>
        <v>Rrd Restaurantes Digitais Ltda</v>
      </c>
      <c r="P618" s="33">
        <f>IFERROR(__xludf.DUMMYFUNCTION("""COMPUTED_VALUE"""),1.0)</f>
        <v>1</v>
      </c>
      <c r="Q618" s="4" t="str">
        <f>IFERROR(__xludf.DUMMYFUNCTION("""COMPUTED_VALUE"""),"Rrd Restaurantes Digitais Ltda")</f>
        <v>Rrd Restaurantes Digitais Ltda</v>
      </c>
      <c r="R618" s="33">
        <f>IFERROR(__xludf.DUMMYFUNCTION("""COMPUTED_VALUE"""),1.0)</f>
        <v>1</v>
      </c>
      <c r="S618" s="4" t="str">
        <f>IFERROR(__xludf.DUMMYFUNCTION("""COMPUTED_VALUE"""),"Rrd Restaurantes Digitais Ltda")</f>
        <v>Rrd Restaurantes Digitais Ltda</v>
      </c>
      <c r="T618" s="33">
        <f>IFERROR(__xludf.DUMMYFUNCTION("""COMPUTED_VALUE"""),1.0)</f>
        <v>1</v>
      </c>
      <c r="U618" s="4" t="str">
        <f>IFERROR(__xludf.DUMMYFUNCTION("""COMPUTED_VALUE"""),"Rrd Restaurantes Digitais Ltda")</f>
        <v>Rrd Restaurantes Digitais Ltda</v>
      </c>
      <c r="V618" s="33">
        <f>IFERROR(__xludf.DUMMYFUNCTION("""COMPUTED_VALUE"""),1.0)</f>
        <v>1</v>
      </c>
      <c r="W618" s="4" t="str">
        <f>IFERROR(__xludf.DUMMYFUNCTION("""COMPUTED_VALUE"""),"Rrd Restaurantes Digitais Ltda")</f>
        <v>Rrd Restaurantes Digitais Ltda</v>
      </c>
      <c r="X618" s="33">
        <f>IFERROR(__xludf.DUMMYFUNCTION("""COMPUTED_VALUE"""),1.0)</f>
        <v>1</v>
      </c>
    </row>
    <row r="619">
      <c r="K619" s="4" t="str">
        <f>IFERROR(__xludf.DUMMYFUNCTION("""COMPUTED_VALUE"""),"IMIGRANTES BEBIDAS - CONTA MARCA")</f>
        <v>IMIGRANTES BEBIDAS - CONTA MARCA</v>
      </c>
      <c r="L619" s="32">
        <f>IFERROR(__xludf.DUMMYFUNCTION("""COMPUTED_VALUE"""),12.0)</f>
        <v>12</v>
      </c>
      <c r="M619" s="4" t="str">
        <f>IFERROR(__xludf.DUMMYFUNCTION("""COMPUTED_VALUE"""),"N/A (Not found)")</f>
        <v>N/A (Not found)</v>
      </c>
      <c r="N619" s="33">
        <f>IFERROR(__xludf.DUMMYFUNCTION("""COMPUTED_VALUE"""),1.0)</f>
        <v>1</v>
      </c>
      <c r="O619" s="4" t="str">
        <f>IFERROR(__xludf.DUMMYFUNCTION("""COMPUTED_VALUE"""),"N/A (Not found)")</f>
        <v>N/A (Not found)</v>
      </c>
      <c r="P619" s="33">
        <f>IFERROR(__xludf.DUMMYFUNCTION("""COMPUTED_VALUE"""),1.0)</f>
        <v>1</v>
      </c>
      <c r="Q619" s="4" t="str">
        <f>IFERROR(__xludf.DUMMYFUNCTION("""COMPUTED_VALUE"""),"N/A (Not found)")</f>
        <v>N/A (Not found)</v>
      </c>
      <c r="R619" s="33">
        <f>IFERROR(__xludf.DUMMYFUNCTION("""COMPUTED_VALUE"""),1.0)</f>
        <v>1</v>
      </c>
      <c r="S619" s="4" t="str">
        <f>IFERROR(__xludf.DUMMYFUNCTION("""COMPUTED_VALUE"""),"N/A (Not found)")</f>
        <v>N/A (Not found)</v>
      </c>
      <c r="T619" s="33">
        <f>IFERROR(__xludf.DUMMYFUNCTION("""COMPUTED_VALUE"""),1.0)</f>
        <v>1</v>
      </c>
      <c r="U619" s="4" t="str">
        <f>IFERROR(__xludf.DUMMYFUNCTION("""COMPUTED_VALUE"""),"N/A (Not found)")</f>
        <v>N/A (Not found)</v>
      </c>
      <c r="V619" s="33">
        <f>IFERROR(__xludf.DUMMYFUNCTION("""COMPUTED_VALUE"""),1.0)</f>
        <v>1</v>
      </c>
      <c r="W619" s="4" t="str">
        <f>IFERROR(__xludf.DUMMYFUNCTION("""COMPUTED_VALUE"""),"N/A (Not found)")</f>
        <v>N/A (Not found)</v>
      </c>
      <c r="X619" s="33">
        <f>IFERROR(__xludf.DUMMYFUNCTION("""COMPUTED_VALUE"""),1.0)</f>
        <v>1</v>
      </c>
    </row>
    <row r="620">
      <c r="K620" s="4" t="str">
        <f>IFERROR(__xludf.DUMMYFUNCTION("""COMPUTED_VALUE"""),"INAZUMA SUSHI")</f>
        <v>INAZUMA SUSHI</v>
      </c>
      <c r="L620" s="32">
        <f>IFERROR(__xludf.DUMMYFUNCTION("""COMPUTED_VALUE"""),12.0)</f>
        <v>12</v>
      </c>
      <c r="M620" s="4" t="str">
        <f>IFERROR(__xludf.DUMMYFUNCTION("""COMPUTED_VALUE"""),"Ncr")</f>
        <v>Ncr</v>
      </c>
      <c r="N620" s="33">
        <f>IFERROR(__xludf.DUMMYFUNCTION("""COMPUTED_VALUE"""),0.9166666666666666)</f>
        <v>0.9166666667</v>
      </c>
      <c r="O620" s="4" t="str">
        <f>IFERROR(__xludf.DUMMYFUNCTION("""COMPUTED_VALUE"""),"null")</f>
        <v>null</v>
      </c>
      <c r="P620" s="33">
        <f>IFERROR(__xludf.DUMMYFUNCTION("""COMPUTED_VALUE"""),0.5833333333333334)</f>
        <v>0.5833333333</v>
      </c>
      <c r="Q620" s="4" t="str">
        <f>IFERROR(__xludf.DUMMYFUNCTION("""COMPUTED_VALUE"""),"null")</f>
        <v>null</v>
      </c>
      <c r="R620" s="33">
        <f>IFERROR(__xludf.DUMMYFUNCTION("""COMPUTED_VALUE"""),0.5833333333333334)</f>
        <v>0.5833333333</v>
      </c>
      <c r="S620" s="4" t="str">
        <f>IFERROR(__xludf.DUMMYFUNCTION("""COMPUTED_VALUE"""),"null")</f>
        <v>null</v>
      </c>
      <c r="T620" s="33">
        <f>IFERROR(__xludf.DUMMYFUNCTION("""COMPUTED_VALUE"""),0.75)</f>
        <v>0.75</v>
      </c>
      <c r="U620" s="4" t="str">
        <f>IFERROR(__xludf.DUMMYFUNCTION("""COMPUTED_VALUE"""),"null")</f>
        <v>null</v>
      </c>
      <c r="V620" s="33">
        <f>IFERROR(__xludf.DUMMYFUNCTION("""COMPUTED_VALUE"""),0.9166666666666666)</f>
        <v>0.9166666667</v>
      </c>
      <c r="W620" s="4" t="str">
        <f>IFERROR(__xludf.DUMMYFUNCTION("""COMPUTED_VALUE"""),"null")</f>
        <v>null</v>
      </c>
      <c r="X620" s="33">
        <f>IFERROR(__xludf.DUMMYFUNCTION("""COMPUTED_VALUE"""),0.9166666666666666)</f>
        <v>0.9166666667</v>
      </c>
    </row>
    <row r="621">
      <c r="K621" s="4" t="str">
        <f>IFERROR(__xludf.DUMMYFUNCTION("""COMPUTED_VALUE"""),"JOE BURGER")</f>
        <v>JOE BURGER</v>
      </c>
      <c r="L621" s="32">
        <f>IFERROR(__xludf.DUMMYFUNCTION("""COMPUTED_VALUE"""),12.0)</f>
        <v>12</v>
      </c>
      <c r="M621" s="4" t="str">
        <f>IFERROR(__xludf.DUMMYFUNCTION("""COMPUTED_VALUE"""),"Saipos Serviços De Software")</f>
        <v>Saipos Serviços De Software</v>
      </c>
      <c r="N621" s="33">
        <f>IFERROR(__xludf.DUMMYFUNCTION("""COMPUTED_VALUE"""),1.0)</f>
        <v>1</v>
      </c>
      <c r="O621" s="4" t="str">
        <f>IFERROR(__xludf.DUMMYFUNCTION("""COMPUTED_VALUE"""),"Saipos Serviços De Software")</f>
        <v>Saipos Serviços De Software</v>
      </c>
      <c r="P621" s="33">
        <f>IFERROR(__xludf.DUMMYFUNCTION("""COMPUTED_VALUE"""),1.0)</f>
        <v>1</v>
      </c>
      <c r="Q621" s="4" t="str">
        <f>IFERROR(__xludf.DUMMYFUNCTION("""COMPUTED_VALUE"""),"Saipos Serviços De Software")</f>
        <v>Saipos Serviços De Software</v>
      </c>
      <c r="R621" s="33">
        <f>IFERROR(__xludf.DUMMYFUNCTION("""COMPUTED_VALUE"""),1.0)</f>
        <v>1</v>
      </c>
      <c r="S621" s="4" t="str">
        <f>IFERROR(__xludf.DUMMYFUNCTION("""COMPUTED_VALUE"""),"Saipos Serviços De Software")</f>
        <v>Saipos Serviços De Software</v>
      </c>
      <c r="T621" s="33">
        <f>IFERROR(__xludf.DUMMYFUNCTION("""COMPUTED_VALUE"""),1.0)</f>
        <v>1</v>
      </c>
      <c r="U621" s="4" t="str">
        <f>IFERROR(__xludf.DUMMYFUNCTION("""COMPUTED_VALUE"""),"Saipos Serviços De Software")</f>
        <v>Saipos Serviços De Software</v>
      </c>
      <c r="V621" s="33">
        <f>IFERROR(__xludf.DUMMYFUNCTION("""COMPUTED_VALUE"""),1.0)</f>
        <v>1</v>
      </c>
      <c r="W621" s="4" t="str">
        <f>IFERROR(__xludf.DUMMYFUNCTION("""COMPUTED_VALUE"""),"Saipos Serviços De Software")</f>
        <v>Saipos Serviços De Software</v>
      </c>
      <c r="X621" s="33">
        <f>IFERROR(__xludf.DUMMYFUNCTION("""COMPUTED_VALUE"""),0.9166666666666666)</f>
        <v>0.9166666667</v>
      </c>
    </row>
    <row r="622">
      <c r="K622" s="4" t="str">
        <f>IFERROR(__xludf.DUMMYFUNCTION("""COMPUTED_VALUE"""),"LA ITALIA PIZZARIAS")</f>
        <v>LA ITALIA PIZZARIAS</v>
      </c>
      <c r="L622" s="32">
        <f>IFERROR(__xludf.DUMMYFUNCTION("""COMPUTED_VALUE"""),12.0)</f>
        <v>12</v>
      </c>
      <c r="M622" s="4" t="str">
        <f>IFERROR(__xludf.DUMMYFUNCTION("""COMPUTED_VALUE"""),"Saipos Serviços De Software")</f>
        <v>Saipos Serviços De Software</v>
      </c>
      <c r="N622" s="33">
        <f>IFERROR(__xludf.DUMMYFUNCTION("""COMPUTED_VALUE"""),0.9166666666666666)</f>
        <v>0.9166666667</v>
      </c>
      <c r="O622" s="4" t="str">
        <f>IFERROR(__xludf.DUMMYFUNCTION("""COMPUTED_VALUE"""),"Saipos Serviços De Software")</f>
        <v>Saipos Serviços De Software</v>
      </c>
      <c r="P622" s="33">
        <f>IFERROR(__xludf.DUMMYFUNCTION("""COMPUTED_VALUE"""),0.9166666666666666)</f>
        <v>0.9166666667</v>
      </c>
      <c r="Q622" s="4" t="str">
        <f>IFERROR(__xludf.DUMMYFUNCTION("""COMPUTED_VALUE"""),"Saipos Serviços De Software")</f>
        <v>Saipos Serviços De Software</v>
      </c>
      <c r="R622" s="33">
        <f>IFERROR(__xludf.DUMMYFUNCTION("""COMPUTED_VALUE"""),0.9166666666666666)</f>
        <v>0.9166666667</v>
      </c>
      <c r="S622" s="4" t="str">
        <f>IFERROR(__xludf.DUMMYFUNCTION("""COMPUTED_VALUE"""),"Saipos Serviços De Software")</f>
        <v>Saipos Serviços De Software</v>
      </c>
      <c r="T622" s="33">
        <f>IFERROR(__xludf.DUMMYFUNCTION("""COMPUTED_VALUE"""),0.9166666666666666)</f>
        <v>0.9166666667</v>
      </c>
      <c r="U622" s="4" t="str">
        <f>IFERROR(__xludf.DUMMYFUNCTION("""COMPUTED_VALUE"""),"Saipos Serviços De Software")</f>
        <v>Saipos Serviços De Software</v>
      </c>
      <c r="V622" s="33">
        <f>IFERROR(__xludf.DUMMYFUNCTION("""COMPUTED_VALUE"""),1.0)</f>
        <v>1</v>
      </c>
      <c r="W622" s="4" t="str">
        <f>IFERROR(__xludf.DUMMYFUNCTION("""COMPUTED_VALUE"""),"Saipos Serviços De Software")</f>
        <v>Saipos Serviços De Software</v>
      </c>
      <c r="X622" s="33">
        <f>IFERROR(__xludf.DUMMYFUNCTION("""COMPUTED_VALUE"""),1.0)</f>
        <v>1</v>
      </c>
    </row>
    <row r="623">
      <c r="K623" s="4" t="str">
        <f>IFERROR(__xludf.DUMMYFUNCTION("""COMPUTED_VALUE"""),"MAD BREW - TAP STEAK HOUSE")</f>
        <v>MAD BREW - TAP STEAK HOUSE</v>
      </c>
      <c r="L623" s="32">
        <f>IFERROR(__xludf.DUMMYFUNCTION("""COMPUTED_VALUE"""),12.0)</f>
        <v>12</v>
      </c>
      <c r="M623" s="4" t="str">
        <f>IFERROR(__xludf.DUMMYFUNCTION("""COMPUTED_VALUE"""),"Saipos Serviços De Software")</f>
        <v>Saipos Serviços De Software</v>
      </c>
      <c r="N623" s="33">
        <f>IFERROR(__xludf.DUMMYFUNCTION("""COMPUTED_VALUE"""),1.0)</f>
        <v>1</v>
      </c>
      <c r="O623" s="4" t="str">
        <f>IFERROR(__xludf.DUMMYFUNCTION("""COMPUTED_VALUE"""),"Saipos Serviços De Software")</f>
        <v>Saipos Serviços De Software</v>
      </c>
      <c r="P623" s="33">
        <f>IFERROR(__xludf.DUMMYFUNCTION("""COMPUTED_VALUE"""),1.0)</f>
        <v>1</v>
      </c>
      <c r="Q623" s="4" t="str">
        <f>IFERROR(__xludf.DUMMYFUNCTION("""COMPUTED_VALUE"""),"Saipos Serviços De Software")</f>
        <v>Saipos Serviços De Software</v>
      </c>
      <c r="R623" s="33">
        <f>IFERROR(__xludf.DUMMYFUNCTION("""COMPUTED_VALUE"""),1.0)</f>
        <v>1</v>
      </c>
      <c r="S623" s="4" t="str">
        <f>IFERROR(__xludf.DUMMYFUNCTION("""COMPUTED_VALUE"""),"Saipos Serviços De Software")</f>
        <v>Saipos Serviços De Software</v>
      </c>
      <c r="T623" s="33">
        <f>IFERROR(__xludf.DUMMYFUNCTION("""COMPUTED_VALUE"""),1.0)</f>
        <v>1</v>
      </c>
      <c r="U623" s="4" t="str">
        <f>IFERROR(__xludf.DUMMYFUNCTION("""COMPUTED_VALUE"""),"Saipos Serviços De Software")</f>
        <v>Saipos Serviços De Software</v>
      </c>
      <c r="V623" s="33">
        <f>IFERROR(__xludf.DUMMYFUNCTION("""COMPUTED_VALUE"""),1.0)</f>
        <v>1</v>
      </c>
      <c r="W623" s="4" t="str">
        <f>IFERROR(__xludf.DUMMYFUNCTION("""COMPUTED_VALUE"""),"Saipos Serviços De Software")</f>
        <v>Saipos Serviços De Software</v>
      </c>
      <c r="X623" s="33">
        <f>IFERROR(__xludf.DUMMYFUNCTION("""COMPUTED_VALUE"""),1.0)</f>
        <v>1</v>
      </c>
    </row>
    <row r="624">
      <c r="K624" s="4" t="str">
        <f>IFERROR(__xludf.DUMMYFUNCTION("""COMPUTED_VALUE"""),"MAGE BURGER")</f>
        <v>MAGE BURGER</v>
      </c>
      <c r="L624" s="32">
        <f>IFERROR(__xludf.DUMMYFUNCTION("""COMPUTED_VALUE"""),12.0)</f>
        <v>12</v>
      </c>
      <c r="M624" s="4" t="str">
        <f>IFERROR(__xludf.DUMMYFUNCTION("""COMPUTED_VALUE"""),"Takeat Tecnologia")</f>
        <v>Takeat Tecnologia</v>
      </c>
      <c r="N624" s="33">
        <f>IFERROR(__xludf.DUMMYFUNCTION("""COMPUTED_VALUE"""),0.9166666666666666)</f>
        <v>0.9166666667</v>
      </c>
      <c r="O624" s="4" t="str">
        <f>IFERROR(__xludf.DUMMYFUNCTION("""COMPUTED_VALUE"""),"Takeat Tecnologia")</f>
        <v>Takeat Tecnologia</v>
      </c>
      <c r="P624" s="33">
        <f>IFERROR(__xludf.DUMMYFUNCTION("""COMPUTED_VALUE"""),0.8333333333333334)</f>
        <v>0.8333333333</v>
      </c>
      <c r="Q624" s="4" t="str">
        <f>IFERROR(__xludf.DUMMYFUNCTION("""COMPUTED_VALUE"""),"Takeat Tecnologia")</f>
        <v>Takeat Tecnologia</v>
      </c>
      <c r="R624" s="33">
        <f>IFERROR(__xludf.DUMMYFUNCTION("""COMPUTED_VALUE"""),0.8333333333333334)</f>
        <v>0.8333333333</v>
      </c>
      <c r="S624" s="4" t="str">
        <f>IFERROR(__xludf.DUMMYFUNCTION("""COMPUTED_VALUE"""),"Takeat Tecnologia")</f>
        <v>Takeat Tecnologia</v>
      </c>
      <c r="T624" s="33">
        <f>IFERROR(__xludf.DUMMYFUNCTION("""COMPUTED_VALUE"""),0.5)</f>
        <v>0.5</v>
      </c>
      <c r="U624" s="4" t="str">
        <f>IFERROR(__xludf.DUMMYFUNCTION("""COMPUTED_VALUE"""),"Takeat Tecnologia")</f>
        <v>Takeat Tecnologia</v>
      </c>
      <c r="V624" s="33">
        <f>IFERROR(__xludf.DUMMYFUNCTION("""COMPUTED_VALUE"""),0.75)</f>
        <v>0.75</v>
      </c>
      <c r="W624" s="4" t="str">
        <f>IFERROR(__xludf.DUMMYFUNCTION("""COMPUTED_VALUE"""),"Takeat Tecnologia")</f>
        <v>Takeat Tecnologia</v>
      </c>
      <c r="X624" s="33">
        <f>IFERROR(__xludf.DUMMYFUNCTION("""COMPUTED_VALUE"""),0.8333333333333334)</f>
        <v>0.8333333333</v>
      </c>
    </row>
    <row r="625">
      <c r="K625" s="4" t="str">
        <f>IFERROR(__xludf.DUMMYFUNCTION("""COMPUTED_VALUE"""),"MAXI POPULAR - LOJAS ANDREIA - CONTA MARCA")</f>
        <v>MAXI POPULAR - LOJAS ANDREIA - CONTA MARCA</v>
      </c>
      <c r="L625" s="32">
        <f>IFERROR(__xludf.DUMMYFUNCTION("""COMPUTED_VALUE"""),12.0)</f>
        <v>12</v>
      </c>
      <c r="M625" s="4" t="str">
        <f>IFERROR(__xludf.DUMMYFUNCTION("""COMPUTED_VALUE"""),"null")</f>
        <v>null</v>
      </c>
      <c r="N625" s="33">
        <f>IFERROR(__xludf.DUMMYFUNCTION("""COMPUTED_VALUE"""),0.9166666666666666)</f>
        <v>0.9166666667</v>
      </c>
      <c r="O625" s="4" t="str">
        <f>IFERROR(__xludf.DUMMYFUNCTION("""COMPUTED_VALUE"""),"null")</f>
        <v>null</v>
      </c>
      <c r="P625" s="33">
        <f>IFERROR(__xludf.DUMMYFUNCTION("""COMPUTED_VALUE"""),0.9166666666666666)</f>
        <v>0.9166666667</v>
      </c>
      <c r="Q625" s="4" t="str">
        <f>IFERROR(__xludf.DUMMYFUNCTION("""COMPUTED_VALUE"""),"null")</f>
        <v>null</v>
      </c>
      <c r="R625" s="33">
        <f>IFERROR(__xludf.DUMMYFUNCTION("""COMPUTED_VALUE"""),0.75)</f>
        <v>0.75</v>
      </c>
      <c r="S625" s="4" t="str">
        <f>IFERROR(__xludf.DUMMYFUNCTION("""COMPUTED_VALUE"""),"null")</f>
        <v>null</v>
      </c>
      <c r="T625" s="33">
        <f>IFERROR(__xludf.DUMMYFUNCTION("""COMPUTED_VALUE"""),0.75)</f>
        <v>0.75</v>
      </c>
      <c r="U625" s="4" t="str">
        <f>IFERROR(__xludf.DUMMYFUNCTION("""COMPUTED_VALUE"""),"N/A (Not found)")</f>
        <v>N/A (Not found)</v>
      </c>
      <c r="V625" s="33">
        <f>IFERROR(__xludf.DUMMYFUNCTION("""COMPUTED_VALUE"""),1.0)</f>
        <v>1</v>
      </c>
      <c r="W625" s="4" t="str">
        <f>IFERROR(__xludf.DUMMYFUNCTION("""COMPUTED_VALUE"""),"N/A (Not found)")</f>
        <v>N/A (Not found)</v>
      </c>
      <c r="X625" s="33">
        <f>IFERROR(__xludf.DUMMYFUNCTION("""COMPUTED_VALUE"""),1.0)</f>
        <v>1</v>
      </c>
    </row>
    <row r="626">
      <c r="K626" s="4" t="str">
        <f>IFERROR(__xludf.DUMMYFUNCTION("""COMPUTED_VALUE"""),"O TAO SUSHI LOUNGE - CONTA MARCA")</f>
        <v>O TAO SUSHI LOUNGE - CONTA MARCA</v>
      </c>
      <c r="L626" s="32">
        <f>IFERROR(__xludf.DUMMYFUNCTION("""COMPUTED_VALUE"""),12.0)</f>
        <v>12</v>
      </c>
      <c r="M626" s="4" t="str">
        <f>IFERROR(__xludf.DUMMYFUNCTION("""COMPUTED_VALUE"""),"Saipos Serviços De Software")</f>
        <v>Saipos Serviços De Software</v>
      </c>
      <c r="N626" s="33">
        <f>IFERROR(__xludf.DUMMYFUNCTION("""COMPUTED_VALUE"""),0.5)</f>
        <v>0.5</v>
      </c>
      <c r="O626" s="4" t="str">
        <f>IFERROR(__xludf.DUMMYFUNCTION("""COMPUTED_VALUE"""),"Saipos Serviços De Software")</f>
        <v>Saipos Serviços De Software</v>
      </c>
      <c r="P626" s="33">
        <f>IFERROR(__xludf.DUMMYFUNCTION("""COMPUTED_VALUE"""),0.5)</f>
        <v>0.5</v>
      </c>
      <c r="Q626" s="4" t="str">
        <f>IFERROR(__xludf.DUMMYFUNCTION("""COMPUTED_VALUE"""),"Saipos Serviços De Software")</f>
        <v>Saipos Serviços De Software</v>
      </c>
      <c r="R626" s="33">
        <f>IFERROR(__xludf.DUMMYFUNCTION("""COMPUTED_VALUE"""),0.5)</f>
        <v>0.5</v>
      </c>
      <c r="S626" s="4" t="str">
        <f>IFERROR(__xludf.DUMMYFUNCTION("""COMPUTED_VALUE"""),"null")</f>
        <v>null</v>
      </c>
      <c r="T626" s="33">
        <f>IFERROR(__xludf.DUMMYFUNCTION("""COMPUTED_VALUE"""),0.6666666666666666)</f>
        <v>0.6666666667</v>
      </c>
      <c r="U626" s="4" t="str">
        <f>IFERROR(__xludf.DUMMYFUNCTION("""COMPUTED_VALUE"""),"Saipos Serviços De Software")</f>
        <v>Saipos Serviços De Software</v>
      </c>
      <c r="V626" s="33">
        <f>IFERROR(__xludf.DUMMYFUNCTION("""COMPUTED_VALUE"""),0.5833333333333334)</f>
        <v>0.5833333333</v>
      </c>
      <c r="W626" s="4" t="str">
        <f>IFERROR(__xludf.DUMMYFUNCTION("""COMPUTED_VALUE"""),"Saipos Serviços De Software")</f>
        <v>Saipos Serviços De Software</v>
      </c>
      <c r="X626" s="33">
        <f>IFERROR(__xludf.DUMMYFUNCTION("""COMPUTED_VALUE"""),0.8333333333333334)</f>
        <v>0.8333333333</v>
      </c>
    </row>
    <row r="627">
      <c r="K627" s="4" t="str">
        <f>IFERROR(__xludf.DUMMYFUNCTION("""COMPUTED_VALUE"""),"PAHOA BURGUER - HAMBURGUER ARTESANAL")</f>
        <v>PAHOA BURGUER - HAMBURGUER ARTESANAL</v>
      </c>
      <c r="L627" s="32">
        <f>IFERROR(__xludf.DUMMYFUNCTION("""COMPUTED_VALUE"""),12.0)</f>
        <v>12</v>
      </c>
      <c r="M627" s="4" t="str">
        <f>IFERROR(__xludf.DUMMYFUNCTION("""COMPUTED_VALUE"""),"Cardápio Web")</f>
        <v>Cardápio Web</v>
      </c>
      <c r="N627" s="33">
        <f>IFERROR(__xludf.DUMMYFUNCTION("""COMPUTED_VALUE"""),0.8333333333333334)</f>
        <v>0.8333333333</v>
      </c>
      <c r="O627" s="4" t="str">
        <f>IFERROR(__xludf.DUMMYFUNCTION("""COMPUTED_VALUE"""),"Cardápio Web")</f>
        <v>Cardápio Web</v>
      </c>
      <c r="P627" s="33">
        <f>IFERROR(__xludf.DUMMYFUNCTION("""COMPUTED_VALUE"""),0.8333333333333334)</f>
        <v>0.8333333333</v>
      </c>
      <c r="Q627" s="4" t="str">
        <f>IFERROR(__xludf.DUMMYFUNCTION("""COMPUTED_VALUE"""),"Cardápio Web")</f>
        <v>Cardápio Web</v>
      </c>
      <c r="R627" s="33">
        <f>IFERROR(__xludf.DUMMYFUNCTION("""COMPUTED_VALUE"""),0.75)</f>
        <v>0.75</v>
      </c>
      <c r="S627" s="4" t="str">
        <f>IFERROR(__xludf.DUMMYFUNCTION("""COMPUTED_VALUE"""),"Cardápio Web")</f>
        <v>Cardápio Web</v>
      </c>
      <c r="T627" s="33">
        <f>IFERROR(__xludf.DUMMYFUNCTION("""COMPUTED_VALUE"""),0.8333333333333334)</f>
        <v>0.8333333333</v>
      </c>
      <c r="U627" s="4" t="str">
        <f>IFERROR(__xludf.DUMMYFUNCTION("""COMPUTED_VALUE"""),"Cardápio Web")</f>
        <v>Cardápio Web</v>
      </c>
      <c r="V627" s="33">
        <f>IFERROR(__xludf.DUMMYFUNCTION("""COMPUTED_VALUE"""),0.75)</f>
        <v>0.75</v>
      </c>
      <c r="W627" s="4" t="str">
        <f>IFERROR(__xludf.DUMMYFUNCTION("""COMPUTED_VALUE"""),"null")</f>
        <v>null</v>
      </c>
      <c r="X627" s="33">
        <f>IFERROR(__xludf.DUMMYFUNCTION("""COMPUTED_VALUE"""),0.6666666666666666)</f>
        <v>0.6666666667</v>
      </c>
    </row>
    <row r="628">
      <c r="K628" s="4" t="str">
        <f>IFERROR(__xludf.DUMMYFUNCTION("""COMPUTED_VALUE"""),"PAMONHAS DO CEZAR CONTA-PAI")</f>
        <v>PAMONHAS DO CEZAR CONTA-PAI</v>
      </c>
      <c r="L628" s="32">
        <f>IFERROR(__xludf.DUMMYFUNCTION("""COMPUTED_VALUE"""),12.0)</f>
        <v>12</v>
      </c>
      <c r="M628" s="4" t="str">
        <f>IFERROR(__xludf.DUMMYFUNCTION("""COMPUTED_VALUE"""),"Sagres Automação Comercial")</f>
        <v>Sagres Automação Comercial</v>
      </c>
      <c r="N628" s="33">
        <f>IFERROR(__xludf.DUMMYFUNCTION("""COMPUTED_VALUE"""),1.0)</f>
        <v>1</v>
      </c>
      <c r="O628" s="4" t="str">
        <f>IFERROR(__xludf.DUMMYFUNCTION("""COMPUTED_VALUE"""),"Sagres Automação Comercial")</f>
        <v>Sagres Automação Comercial</v>
      </c>
      <c r="P628" s="33">
        <f>IFERROR(__xludf.DUMMYFUNCTION("""COMPUTED_VALUE"""),1.0)</f>
        <v>1</v>
      </c>
      <c r="Q628" s="4" t="str">
        <f>IFERROR(__xludf.DUMMYFUNCTION("""COMPUTED_VALUE"""),"Sagres Automação Comercial")</f>
        <v>Sagres Automação Comercial</v>
      </c>
      <c r="R628" s="33">
        <f>IFERROR(__xludf.DUMMYFUNCTION("""COMPUTED_VALUE"""),0.75)</f>
        <v>0.75</v>
      </c>
      <c r="S628" s="4" t="str">
        <f>IFERROR(__xludf.DUMMYFUNCTION("""COMPUTED_VALUE"""),"Sagres Automação Comercial")</f>
        <v>Sagres Automação Comercial</v>
      </c>
      <c r="T628" s="33">
        <f>IFERROR(__xludf.DUMMYFUNCTION("""COMPUTED_VALUE"""),1.0)</f>
        <v>1</v>
      </c>
      <c r="U628" s="4" t="str">
        <f>IFERROR(__xludf.DUMMYFUNCTION("""COMPUTED_VALUE"""),"Sagres Automação Comercial")</f>
        <v>Sagres Automação Comercial</v>
      </c>
      <c r="V628" s="33">
        <f>IFERROR(__xludf.DUMMYFUNCTION("""COMPUTED_VALUE"""),0.6666666666666666)</f>
        <v>0.6666666667</v>
      </c>
      <c r="W628" s="4" t="str">
        <f>IFERROR(__xludf.DUMMYFUNCTION("""COMPUTED_VALUE"""),"Sagres Automação Comercial")</f>
        <v>Sagres Automação Comercial</v>
      </c>
      <c r="X628" s="33">
        <f>IFERROR(__xludf.DUMMYFUNCTION("""COMPUTED_VALUE"""),1.0)</f>
        <v>1</v>
      </c>
    </row>
    <row r="629">
      <c r="K629" s="4" t="str">
        <f>IFERROR(__xludf.DUMMYFUNCTION("""COMPUTED_VALUE"""),"PASTEIS DE VENTO CIA")</f>
        <v>PASTEIS DE VENTO CIA</v>
      </c>
      <c r="L629" s="32">
        <f>IFERROR(__xludf.DUMMYFUNCTION("""COMPUTED_VALUE"""),12.0)</f>
        <v>12</v>
      </c>
      <c r="M629" s="4" t="str">
        <f>IFERROR(__xludf.DUMMYFUNCTION("""COMPUTED_VALUE"""),"Wps Sistemas Ltda")</f>
        <v>Wps Sistemas Ltda</v>
      </c>
      <c r="N629" s="33">
        <f>IFERROR(__xludf.DUMMYFUNCTION("""COMPUTED_VALUE"""),1.0)</f>
        <v>1</v>
      </c>
      <c r="O629" s="4" t="str">
        <f>IFERROR(__xludf.DUMMYFUNCTION("""COMPUTED_VALUE"""),"Wps Sistemas Ltda")</f>
        <v>Wps Sistemas Ltda</v>
      </c>
      <c r="P629" s="33">
        <f>IFERROR(__xludf.DUMMYFUNCTION("""COMPUTED_VALUE"""),1.0)</f>
        <v>1</v>
      </c>
      <c r="Q629" s="4" t="str">
        <f>IFERROR(__xludf.DUMMYFUNCTION("""COMPUTED_VALUE"""),"Wps Sistemas Ltda")</f>
        <v>Wps Sistemas Ltda</v>
      </c>
      <c r="R629" s="33">
        <f>IFERROR(__xludf.DUMMYFUNCTION("""COMPUTED_VALUE"""),1.0)</f>
        <v>1</v>
      </c>
      <c r="S629" s="4" t="str">
        <f>IFERROR(__xludf.DUMMYFUNCTION("""COMPUTED_VALUE"""),"Wps Sistemas Ltda")</f>
        <v>Wps Sistemas Ltda</v>
      </c>
      <c r="T629" s="33">
        <f>IFERROR(__xludf.DUMMYFUNCTION("""COMPUTED_VALUE"""),1.0)</f>
        <v>1</v>
      </c>
      <c r="U629" s="4" t="str">
        <f>IFERROR(__xludf.DUMMYFUNCTION("""COMPUTED_VALUE"""),"Wps Sistemas Ltda")</f>
        <v>Wps Sistemas Ltda</v>
      </c>
      <c r="V629" s="33">
        <f>IFERROR(__xludf.DUMMYFUNCTION("""COMPUTED_VALUE"""),1.0)</f>
        <v>1</v>
      </c>
      <c r="W629" s="4" t="str">
        <f>IFERROR(__xludf.DUMMYFUNCTION("""COMPUTED_VALUE"""),"Wps Sistemas Ltda")</f>
        <v>Wps Sistemas Ltda</v>
      </c>
      <c r="X629" s="33">
        <f>IFERROR(__xludf.DUMMYFUNCTION("""COMPUTED_VALUE"""),1.0)</f>
        <v>1</v>
      </c>
    </row>
    <row r="630">
      <c r="K630" s="4" t="str">
        <f>IFERROR(__xludf.DUMMYFUNCTION("""COMPUTED_VALUE"""),"PIZZARIA GOURMET EXPRESS")</f>
        <v>PIZZARIA GOURMET EXPRESS</v>
      </c>
      <c r="L630" s="32">
        <f>IFERROR(__xludf.DUMMYFUNCTION("""COMPUTED_VALUE"""),12.0)</f>
        <v>12</v>
      </c>
      <c r="M630" s="4" t="str">
        <f>IFERROR(__xludf.DUMMYFUNCTION("""COMPUTED_VALUE"""),"null")</f>
        <v>null</v>
      </c>
      <c r="N630" s="33">
        <f>IFERROR(__xludf.DUMMYFUNCTION("""COMPUTED_VALUE"""),1.0)</f>
        <v>1</v>
      </c>
      <c r="O630" s="4" t="str">
        <f>IFERROR(__xludf.DUMMYFUNCTION("""COMPUTED_VALUE"""),"null")</f>
        <v>null</v>
      </c>
      <c r="P630" s="33">
        <f>IFERROR(__xludf.DUMMYFUNCTION("""COMPUTED_VALUE"""),1.0)</f>
        <v>1</v>
      </c>
      <c r="Q630" s="4" t="str">
        <f>IFERROR(__xludf.DUMMYFUNCTION("""COMPUTED_VALUE"""),"null")</f>
        <v>null</v>
      </c>
      <c r="R630" s="33">
        <f>IFERROR(__xludf.DUMMYFUNCTION("""COMPUTED_VALUE"""),1.0)</f>
        <v>1</v>
      </c>
      <c r="S630" s="4" t="str">
        <f>IFERROR(__xludf.DUMMYFUNCTION("""COMPUTED_VALUE"""),"Saipos Serviços De Software")</f>
        <v>Saipos Serviços De Software</v>
      </c>
      <c r="T630" s="33">
        <f>IFERROR(__xludf.DUMMYFUNCTION("""COMPUTED_VALUE"""),1.0)</f>
        <v>1</v>
      </c>
      <c r="U630" s="4" t="str">
        <f>IFERROR(__xludf.DUMMYFUNCTION("""COMPUTED_VALUE"""),"Saipos Serviços De Software")</f>
        <v>Saipos Serviços De Software</v>
      </c>
      <c r="V630" s="33">
        <f>IFERROR(__xludf.DUMMYFUNCTION("""COMPUTED_VALUE"""),1.0)</f>
        <v>1</v>
      </c>
      <c r="W630" s="4" t="str">
        <f>IFERROR(__xludf.DUMMYFUNCTION("""COMPUTED_VALUE"""),"Saipos Serviços De Software")</f>
        <v>Saipos Serviços De Software</v>
      </c>
      <c r="X630" s="33">
        <f>IFERROR(__xludf.DUMMYFUNCTION("""COMPUTED_VALUE"""),1.0)</f>
        <v>1</v>
      </c>
    </row>
    <row r="631">
      <c r="K631" s="4" t="str">
        <f>IFERROR(__xludf.DUMMYFUNCTION("""COMPUTED_VALUE"""),"REDE FARMACIAS POUPAMIL - CONTA MARCA")</f>
        <v>REDE FARMACIAS POUPAMIL - CONTA MARCA</v>
      </c>
      <c r="L631" s="32">
        <f>IFERROR(__xludf.DUMMYFUNCTION("""COMPUTED_VALUE"""),12.0)</f>
        <v>12</v>
      </c>
      <c r="M631" s="4" t="str">
        <f>IFERROR(__xludf.DUMMYFUNCTION("""COMPUTED_VALUE"""),"N/A (Not found)")</f>
        <v>N/A (Not found)</v>
      </c>
      <c r="N631" s="33">
        <f>IFERROR(__xludf.DUMMYFUNCTION("""COMPUTED_VALUE"""),1.0)</f>
        <v>1</v>
      </c>
      <c r="O631" s="4" t="str">
        <f>IFERROR(__xludf.DUMMYFUNCTION("""COMPUTED_VALUE"""),"N/A (Not found)")</f>
        <v>N/A (Not found)</v>
      </c>
      <c r="P631" s="33">
        <f>IFERROR(__xludf.DUMMYFUNCTION("""COMPUTED_VALUE"""),1.0)</f>
        <v>1</v>
      </c>
      <c r="Q631" s="4" t="str">
        <f>IFERROR(__xludf.DUMMYFUNCTION("""COMPUTED_VALUE"""),"N/A (Not found)")</f>
        <v>N/A (Not found)</v>
      </c>
      <c r="R631" s="33">
        <f>IFERROR(__xludf.DUMMYFUNCTION("""COMPUTED_VALUE"""),1.0)</f>
        <v>1</v>
      </c>
      <c r="S631" s="4" t="str">
        <f>IFERROR(__xludf.DUMMYFUNCTION("""COMPUTED_VALUE"""),"N/A (Not found)")</f>
        <v>N/A (Not found)</v>
      </c>
      <c r="T631" s="33">
        <f>IFERROR(__xludf.DUMMYFUNCTION("""COMPUTED_VALUE"""),1.0)</f>
        <v>1</v>
      </c>
      <c r="U631" s="4" t="str">
        <f>IFERROR(__xludf.DUMMYFUNCTION("""COMPUTED_VALUE"""),"N/A (Not found)")</f>
        <v>N/A (Not found)</v>
      </c>
      <c r="V631" s="33">
        <f>IFERROR(__xludf.DUMMYFUNCTION("""COMPUTED_VALUE"""),1.0)</f>
        <v>1</v>
      </c>
      <c r="W631" s="4" t="str">
        <f>IFERROR(__xludf.DUMMYFUNCTION("""COMPUTED_VALUE"""),"N/A (Not found)")</f>
        <v>N/A (Not found)</v>
      </c>
      <c r="X631" s="33">
        <f>IFERROR(__xludf.DUMMYFUNCTION("""COMPUTED_VALUE"""),1.0)</f>
        <v>1</v>
      </c>
    </row>
    <row r="632">
      <c r="K632" s="4" t="str">
        <f>IFERROR(__xludf.DUMMYFUNCTION("""COMPUTED_VALUE"""),"REZENDOG FAST FOOD - DOG FRANGO E BURGER")</f>
        <v>REZENDOG FAST FOOD - DOG FRANGO E BURGER</v>
      </c>
      <c r="L632" s="32">
        <f>IFERROR(__xludf.DUMMYFUNCTION("""COMPUTED_VALUE"""),12.0)</f>
        <v>12</v>
      </c>
      <c r="M632" s="4" t="str">
        <f>IFERROR(__xludf.DUMMYFUNCTION("""COMPUTED_VALUE"""),"Sagres Automação Comercial")</f>
        <v>Sagres Automação Comercial</v>
      </c>
      <c r="N632" s="33">
        <f>IFERROR(__xludf.DUMMYFUNCTION("""COMPUTED_VALUE"""),1.0)</f>
        <v>1</v>
      </c>
      <c r="O632" s="4" t="str">
        <f>IFERROR(__xludf.DUMMYFUNCTION("""COMPUTED_VALUE"""),"Sagres Automação Comercial")</f>
        <v>Sagres Automação Comercial</v>
      </c>
      <c r="P632" s="33">
        <f>IFERROR(__xludf.DUMMYFUNCTION("""COMPUTED_VALUE"""),0.5833333333333334)</f>
        <v>0.5833333333</v>
      </c>
      <c r="Q632" s="4" t="str">
        <f>IFERROR(__xludf.DUMMYFUNCTION("""COMPUTED_VALUE"""),"null")</f>
        <v>null</v>
      </c>
      <c r="R632" s="33">
        <f>IFERROR(__xludf.DUMMYFUNCTION("""COMPUTED_VALUE"""),0.5833333333333334)</f>
        <v>0.5833333333</v>
      </c>
      <c r="S632" s="4" t="str">
        <f>IFERROR(__xludf.DUMMYFUNCTION("""COMPUTED_VALUE"""),"null")</f>
        <v>null</v>
      </c>
      <c r="T632" s="33">
        <f>IFERROR(__xludf.DUMMYFUNCTION("""COMPUTED_VALUE"""),0.6666666666666666)</f>
        <v>0.6666666667</v>
      </c>
      <c r="U632" s="4" t="str">
        <f>IFERROR(__xludf.DUMMYFUNCTION("""COMPUTED_VALUE"""),"null")</f>
        <v>null</v>
      </c>
      <c r="V632" s="33">
        <f>IFERROR(__xludf.DUMMYFUNCTION("""COMPUTED_VALUE"""),0.75)</f>
        <v>0.75</v>
      </c>
      <c r="W632" s="4" t="str">
        <f>IFERROR(__xludf.DUMMYFUNCTION("""COMPUTED_VALUE"""),"null")</f>
        <v>null</v>
      </c>
      <c r="X632" s="33">
        <f>IFERROR(__xludf.DUMMYFUNCTION("""COMPUTED_VALUE"""),0.6666666666666666)</f>
        <v>0.6666666667</v>
      </c>
    </row>
    <row r="633">
      <c r="K633" s="4" t="str">
        <f>IFERROR(__xludf.DUMMYFUNCTION("""COMPUTED_VALUE"""),"REZZA PIZZA FORTALEZA")</f>
        <v>REZZA PIZZA FORTALEZA</v>
      </c>
      <c r="L633" s="32">
        <f>IFERROR(__xludf.DUMMYFUNCTION("""COMPUTED_VALUE"""),12.0)</f>
        <v>12</v>
      </c>
      <c r="M633" s="4" t="str">
        <f>IFERROR(__xludf.DUMMYFUNCTION("""COMPUTED_VALUE"""),"Opdv")</f>
        <v>Opdv</v>
      </c>
      <c r="N633" s="33">
        <f>IFERROR(__xludf.DUMMYFUNCTION("""COMPUTED_VALUE"""),0.5)</f>
        <v>0.5</v>
      </c>
      <c r="O633" s="4" t="str">
        <f>IFERROR(__xludf.DUMMYFUNCTION("""COMPUTED_VALUE"""),"Opdv")</f>
        <v>Opdv</v>
      </c>
      <c r="P633" s="33">
        <f>IFERROR(__xludf.DUMMYFUNCTION("""COMPUTED_VALUE"""),0.5)</f>
        <v>0.5</v>
      </c>
      <c r="Q633" s="4" t="str">
        <f>IFERROR(__xludf.DUMMYFUNCTION("""COMPUTED_VALUE"""),"Opdv")</f>
        <v>Opdv</v>
      </c>
      <c r="R633" s="33">
        <f>IFERROR(__xludf.DUMMYFUNCTION("""COMPUTED_VALUE"""),0.5)</f>
        <v>0.5</v>
      </c>
      <c r="S633" s="4" t="str">
        <f>IFERROR(__xludf.DUMMYFUNCTION("""COMPUTED_VALUE"""),"Opdv")</f>
        <v>Opdv</v>
      </c>
      <c r="T633" s="33">
        <f>IFERROR(__xludf.DUMMYFUNCTION("""COMPUTED_VALUE"""),0.5)</f>
        <v>0.5</v>
      </c>
      <c r="U633" s="4" t="str">
        <f>IFERROR(__xludf.DUMMYFUNCTION("""COMPUTED_VALUE"""),"Opdv")</f>
        <v>Opdv</v>
      </c>
      <c r="V633" s="33">
        <f>IFERROR(__xludf.DUMMYFUNCTION("""COMPUTED_VALUE"""),0.5)</f>
        <v>0.5</v>
      </c>
      <c r="W633" s="4" t="str">
        <f>IFERROR(__xludf.DUMMYFUNCTION("""COMPUTED_VALUE"""),"Opdv")</f>
        <v>Opdv</v>
      </c>
      <c r="X633" s="33">
        <f>IFERROR(__xludf.DUMMYFUNCTION("""COMPUTED_VALUE"""),0.5)</f>
        <v>0.5</v>
      </c>
    </row>
    <row r="634">
      <c r="K634" s="4" t="str">
        <f>IFERROR(__xludf.DUMMYFUNCTION("""COMPUTED_VALUE"""),"SOCIAL CLUBE")</f>
        <v>SOCIAL CLUBE</v>
      </c>
      <c r="L634" s="32">
        <f>IFERROR(__xludf.DUMMYFUNCTION("""COMPUTED_VALUE"""),12.0)</f>
        <v>12</v>
      </c>
      <c r="M634" s="4" t="str">
        <f>IFERROR(__xludf.DUMMYFUNCTION("""COMPUTED_VALUE"""),"Teknisa Service Ltda")</f>
        <v>Teknisa Service Ltda</v>
      </c>
      <c r="N634" s="33">
        <f>IFERROR(__xludf.DUMMYFUNCTION("""COMPUTED_VALUE"""),0.75)</f>
        <v>0.75</v>
      </c>
      <c r="O634" s="4" t="str">
        <f>IFERROR(__xludf.DUMMYFUNCTION("""COMPUTED_VALUE"""),"Teknisa Service Ltda")</f>
        <v>Teknisa Service Ltda</v>
      </c>
      <c r="P634" s="33">
        <f>IFERROR(__xludf.DUMMYFUNCTION("""COMPUTED_VALUE"""),0.6666666666666666)</f>
        <v>0.6666666667</v>
      </c>
      <c r="Q634" s="4" t="str">
        <f>IFERROR(__xludf.DUMMYFUNCTION("""COMPUTED_VALUE"""),"Teknisa Service Ltda")</f>
        <v>Teknisa Service Ltda</v>
      </c>
      <c r="R634" s="33">
        <f>IFERROR(__xludf.DUMMYFUNCTION("""COMPUTED_VALUE"""),0.75)</f>
        <v>0.75</v>
      </c>
      <c r="S634" s="4" t="str">
        <f>IFERROR(__xludf.DUMMYFUNCTION("""COMPUTED_VALUE"""),"Teknisa Service Ltda")</f>
        <v>Teknisa Service Ltda</v>
      </c>
      <c r="T634" s="33">
        <f>IFERROR(__xludf.DUMMYFUNCTION("""COMPUTED_VALUE"""),0.6666666666666666)</f>
        <v>0.6666666667</v>
      </c>
      <c r="U634" s="4" t="str">
        <f>IFERROR(__xludf.DUMMYFUNCTION("""COMPUTED_VALUE"""),"Teknisa Service Ltda")</f>
        <v>Teknisa Service Ltda</v>
      </c>
      <c r="V634" s="33">
        <f>IFERROR(__xludf.DUMMYFUNCTION("""COMPUTED_VALUE"""),0.5)</f>
        <v>0.5</v>
      </c>
      <c r="W634" s="4" t="str">
        <f>IFERROR(__xludf.DUMMYFUNCTION("""COMPUTED_VALUE"""),"null")</f>
        <v>null</v>
      </c>
      <c r="X634" s="33">
        <f>IFERROR(__xludf.DUMMYFUNCTION("""COMPUTED_VALUE"""),0.5)</f>
        <v>0.5</v>
      </c>
    </row>
    <row r="635">
      <c r="K635" s="4" t="str">
        <f>IFERROR(__xludf.DUMMYFUNCTION("""COMPUTED_VALUE"""),"STERNA CAFE")</f>
        <v>STERNA CAFE</v>
      </c>
      <c r="L635" s="32">
        <f>IFERROR(__xludf.DUMMYFUNCTION("""COMPUTED_VALUE"""),12.0)</f>
        <v>12</v>
      </c>
      <c r="M635" s="4" t="str">
        <f>IFERROR(__xludf.DUMMYFUNCTION("""COMPUTED_VALUE"""),"Nextsoft")</f>
        <v>Nextsoft</v>
      </c>
      <c r="N635" s="33">
        <f>IFERROR(__xludf.DUMMYFUNCTION("""COMPUTED_VALUE"""),0.5833333333333334)</f>
        <v>0.5833333333</v>
      </c>
      <c r="O635" s="4" t="str">
        <f>IFERROR(__xludf.DUMMYFUNCTION("""COMPUTED_VALUE"""),"Nextsoft")</f>
        <v>Nextsoft</v>
      </c>
      <c r="P635" s="33">
        <f>IFERROR(__xludf.DUMMYFUNCTION("""COMPUTED_VALUE"""),0.5833333333333334)</f>
        <v>0.5833333333</v>
      </c>
      <c r="Q635" s="4" t="str">
        <f>IFERROR(__xludf.DUMMYFUNCTION("""COMPUTED_VALUE"""),"null")</f>
        <v>null</v>
      </c>
      <c r="R635" s="33">
        <f>IFERROR(__xludf.DUMMYFUNCTION("""COMPUTED_VALUE"""),0.5833333333333334)</f>
        <v>0.5833333333</v>
      </c>
      <c r="S635" s="4" t="str">
        <f>IFERROR(__xludf.DUMMYFUNCTION("""COMPUTED_VALUE"""),"null")</f>
        <v>null</v>
      </c>
      <c r="T635" s="33">
        <f>IFERROR(__xludf.DUMMYFUNCTION("""COMPUTED_VALUE"""),0.6666666666666666)</f>
        <v>0.6666666667</v>
      </c>
      <c r="U635" s="4" t="str">
        <f>IFERROR(__xludf.DUMMYFUNCTION("""COMPUTED_VALUE"""),"null")</f>
        <v>null</v>
      </c>
      <c r="V635" s="33">
        <f>IFERROR(__xludf.DUMMYFUNCTION("""COMPUTED_VALUE"""),0.6666666666666666)</f>
        <v>0.6666666667</v>
      </c>
      <c r="W635" s="4" t="str">
        <f>IFERROR(__xludf.DUMMYFUNCTION("""COMPUTED_VALUE"""),"null")</f>
        <v>null</v>
      </c>
      <c r="X635" s="33">
        <f>IFERROR(__xludf.DUMMYFUNCTION("""COMPUTED_VALUE"""),0.5833333333333334)</f>
        <v>0.5833333333</v>
      </c>
    </row>
    <row r="636">
      <c r="K636" s="4" t="str">
        <f>IFERROR(__xludf.DUMMYFUNCTION("""COMPUTED_VALUE"""),"SUPERMARKET TORRE - CONTA GRUPO")</f>
        <v>SUPERMARKET TORRE - CONTA GRUPO</v>
      </c>
      <c r="L636" s="32">
        <f>IFERROR(__xludf.DUMMYFUNCTION("""COMPUTED_VALUE"""),12.0)</f>
        <v>12</v>
      </c>
      <c r="M636" s="4" t="str">
        <f>IFERROR(__xludf.DUMMYFUNCTION("""COMPUTED_VALUE"""),"N/A (Not found)")</f>
        <v>N/A (Not found)</v>
      </c>
      <c r="N636" s="33">
        <f>IFERROR(__xludf.DUMMYFUNCTION("""COMPUTED_VALUE"""),1.0)</f>
        <v>1</v>
      </c>
      <c r="O636" s="4" t="str">
        <f>IFERROR(__xludf.DUMMYFUNCTION("""COMPUTED_VALUE"""),"N/A (Not found)")</f>
        <v>N/A (Not found)</v>
      </c>
      <c r="P636" s="33">
        <f>IFERROR(__xludf.DUMMYFUNCTION("""COMPUTED_VALUE"""),1.0)</f>
        <v>1</v>
      </c>
      <c r="Q636" s="4" t="str">
        <f>IFERROR(__xludf.DUMMYFUNCTION("""COMPUTED_VALUE"""),"N/A (Not found)")</f>
        <v>N/A (Not found)</v>
      </c>
      <c r="R636" s="33">
        <f>IFERROR(__xludf.DUMMYFUNCTION("""COMPUTED_VALUE"""),1.0)</f>
        <v>1</v>
      </c>
      <c r="S636" s="4" t="str">
        <f>IFERROR(__xludf.DUMMYFUNCTION("""COMPUTED_VALUE"""),"N/A (Not found)")</f>
        <v>N/A (Not found)</v>
      </c>
      <c r="T636" s="33">
        <f>IFERROR(__xludf.DUMMYFUNCTION("""COMPUTED_VALUE"""),1.0)</f>
        <v>1</v>
      </c>
      <c r="U636" s="4" t="str">
        <f>IFERROR(__xludf.DUMMYFUNCTION("""COMPUTED_VALUE"""),"N/A (Not found)")</f>
        <v>N/A (Not found)</v>
      </c>
      <c r="V636" s="33">
        <f>IFERROR(__xludf.DUMMYFUNCTION("""COMPUTED_VALUE"""),1.0)</f>
        <v>1</v>
      </c>
      <c r="W636" s="4" t="str">
        <f>IFERROR(__xludf.DUMMYFUNCTION("""COMPUTED_VALUE"""),"N/A (Not found)")</f>
        <v>N/A (Not found)</v>
      </c>
      <c r="X636" s="33">
        <f>IFERROR(__xludf.DUMMYFUNCTION("""COMPUTED_VALUE"""),1.0)</f>
        <v>1</v>
      </c>
    </row>
    <row r="637">
      <c r="K637" s="4" t="str">
        <f>IFERROR(__xludf.DUMMYFUNCTION("""COMPUTED_VALUE"""),"SUSHI ROSA DE FRANCA")</f>
        <v>SUSHI ROSA DE FRANCA</v>
      </c>
      <c r="L637" s="32">
        <f>IFERROR(__xludf.DUMMYFUNCTION("""COMPUTED_VALUE"""),12.0)</f>
        <v>12</v>
      </c>
      <c r="M637" s="4" t="str">
        <f>IFERROR(__xludf.DUMMYFUNCTION("""COMPUTED_VALUE"""),"Pdvseven Solucoes Em Ti Ltda")</f>
        <v>Pdvseven Solucoes Em Ti Ltda</v>
      </c>
      <c r="N637" s="33">
        <f>IFERROR(__xludf.DUMMYFUNCTION("""COMPUTED_VALUE"""),1.0)</f>
        <v>1</v>
      </c>
      <c r="O637" s="4" t="str">
        <f>IFERROR(__xludf.DUMMYFUNCTION("""COMPUTED_VALUE"""),"Pdvseven Solucoes Em Ti Ltda")</f>
        <v>Pdvseven Solucoes Em Ti Ltda</v>
      </c>
      <c r="P637" s="33">
        <f>IFERROR(__xludf.DUMMYFUNCTION("""COMPUTED_VALUE"""),0.75)</f>
        <v>0.75</v>
      </c>
      <c r="Q637" s="4" t="str">
        <f>IFERROR(__xludf.DUMMYFUNCTION("""COMPUTED_VALUE"""),"Pdvseven Solucoes Em Ti Ltda")</f>
        <v>Pdvseven Solucoes Em Ti Ltda</v>
      </c>
      <c r="R637" s="33">
        <f>IFERROR(__xludf.DUMMYFUNCTION("""COMPUTED_VALUE"""),0.75)</f>
        <v>0.75</v>
      </c>
      <c r="S637" s="4" t="str">
        <f>IFERROR(__xludf.DUMMYFUNCTION("""COMPUTED_VALUE"""),"null")</f>
        <v>null</v>
      </c>
      <c r="T637" s="33">
        <f>IFERROR(__xludf.DUMMYFUNCTION("""COMPUTED_VALUE"""),0.5)</f>
        <v>0.5</v>
      </c>
      <c r="U637" s="4" t="str">
        <f>IFERROR(__xludf.DUMMYFUNCTION("""COMPUTED_VALUE"""),"null")</f>
        <v>null</v>
      </c>
      <c r="V637" s="33">
        <f>IFERROR(__xludf.DUMMYFUNCTION("""COMPUTED_VALUE"""),0.75)</f>
        <v>0.75</v>
      </c>
      <c r="W637" s="4" t="str">
        <f>IFERROR(__xludf.DUMMYFUNCTION("""COMPUTED_VALUE"""),"null")</f>
        <v>null</v>
      </c>
      <c r="X637" s="33">
        <f>IFERROR(__xludf.DUMMYFUNCTION("""COMPUTED_VALUE"""),0.5833333333333334)</f>
        <v>0.5833333333</v>
      </c>
    </row>
    <row r="638">
      <c r="K638" s="4" t="str">
        <f>IFERROR(__xludf.DUMMYFUNCTION("""COMPUTED_VALUE"""),"TAPI TAPIOCA ACAI")</f>
        <v>TAPI TAPIOCA ACAI</v>
      </c>
      <c r="L638" s="32">
        <f>IFERROR(__xludf.DUMMYFUNCTION("""COMPUTED_VALUE"""),12.0)</f>
        <v>12</v>
      </c>
      <c r="M638" s="4" t="str">
        <f>IFERROR(__xludf.DUMMYFUNCTION("""COMPUTED_VALUE"""),"Noah Sistemas Ltda")</f>
        <v>Noah Sistemas Ltda</v>
      </c>
      <c r="N638" s="33">
        <f>IFERROR(__xludf.DUMMYFUNCTION("""COMPUTED_VALUE"""),1.0)</f>
        <v>1</v>
      </c>
      <c r="O638" s="4" t="str">
        <f>IFERROR(__xludf.DUMMYFUNCTION("""COMPUTED_VALUE"""),"Noah Sistemas Ltda")</f>
        <v>Noah Sistemas Ltda</v>
      </c>
      <c r="P638" s="33">
        <f>IFERROR(__xludf.DUMMYFUNCTION("""COMPUTED_VALUE"""),0.9166666666666666)</f>
        <v>0.9166666667</v>
      </c>
      <c r="Q638" s="4" t="str">
        <f>IFERROR(__xludf.DUMMYFUNCTION("""COMPUTED_VALUE"""),"Noah Sistemas Ltda")</f>
        <v>Noah Sistemas Ltda</v>
      </c>
      <c r="R638" s="33">
        <f>IFERROR(__xludf.DUMMYFUNCTION("""COMPUTED_VALUE"""),0.8333333333333334)</f>
        <v>0.8333333333</v>
      </c>
      <c r="S638" s="4" t="str">
        <f>IFERROR(__xludf.DUMMYFUNCTION("""COMPUTED_VALUE"""),"Noah Sistemas Ltda")</f>
        <v>Noah Sistemas Ltda</v>
      </c>
      <c r="T638" s="33">
        <f>IFERROR(__xludf.DUMMYFUNCTION("""COMPUTED_VALUE"""),0.9166666666666666)</f>
        <v>0.9166666667</v>
      </c>
      <c r="U638" s="4" t="str">
        <f>IFERROR(__xludf.DUMMYFUNCTION("""COMPUTED_VALUE"""),"Noah Sistemas Ltda")</f>
        <v>Noah Sistemas Ltda</v>
      </c>
      <c r="V638" s="33">
        <f>IFERROR(__xludf.DUMMYFUNCTION("""COMPUTED_VALUE"""),1.0)</f>
        <v>1</v>
      </c>
      <c r="W638" s="4" t="str">
        <f>IFERROR(__xludf.DUMMYFUNCTION("""COMPUTED_VALUE"""),"Noah Sistemas Ltda")</f>
        <v>Noah Sistemas Ltda</v>
      </c>
      <c r="X638" s="33">
        <f>IFERROR(__xludf.DUMMYFUNCTION("""COMPUTED_VALUE"""),1.0)</f>
        <v>1</v>
      </c>
    </row>
    <row r="639">
      <c r="K639" s="4" t="str">
        <f>IFERROR(__xludf.DUMMYFUNCTION("""COMPUTED_VALUE"""),"TOP BURGUER")</f>
        <v>TOP BURGUER</v>
      </c>
      <c r="L639" s="32">
        <f>IFERROR(__xludf.DUMMYFUNCTION("""COMPUTED_VALUE"""),11.0)</f>
        <v>11</v>
      </c>
      <c r="M639" s="4" t="str">
        <f>IFERROR(__xludf.DUMMYFUNCTION("""COMPUTED_VALUE"""),"Saipos Serviços De Software")</f>
        <v>Saipos Serviços De Software</v>
      </c>
      <c r="N639" s="33">
        <f>IFERROR(__xludf.DUMMYFUNCTION("""COMPUTED_VALUE"""),0.2727272727272727)</f>
        <v>0.2727272727</v>
      </c>
      <c r="O639" s="4" t="str">
        <f>IFERROR(__xludf.DUMMYFUNCTION("""COMPUTED_VALUE"""),"Saipos Serviços De Software")</f>
        <v>Saipos Serviços De Software</v>
      </c>
      <c r="P639" s="33">
        <f>IFERROR(__xludf.DUMMYFUNCTION("""COMPUTED_VALUE"""),0.2727272727272727)</f>
        <v>0.2727272727</v>
      </c>
      <c r="Q639" s="4" t="str">
        <f>IFERROR(__xludf.DUMMYFUNCTION("""COMPUTED_VALUE"""),"Saipos Serviços De Software")</f>
        <v>Saipos Serviços De Software</v>
      </c>
      <c r="R639" s="33">
        <f>IFERROR(__xludf.DUMMYFUNCTION("""COMPUTED_VALUE"""),0.2727272727272727)</f>
        <v>0.2727272727</v>
      </c>
      <c r="S639" s="4" t="str">
        <f>IFERROR(__xludf.DUMMYFUNCTION("""COMPUTED_VALUE"""),"Saipos Serviços De Software")</f>
        <v>Saipos Serviços De Software</v>
      </c>
      <c r="T639" s="33">
        <f>IFERROR(__xludf.DUMMYFUNCTION("""COMPUTED_VALUE"""),0.2727272727272727)</f>
        <v>0.2727272727</v>
      </c>
      <c r="U639" s="4" t="str">
        <f>IFERROR(__xludf.DUMMYFUNCTION("""COMPUTED_VALUE"""),"Saipos Serviços De Software")</f>
        <v>Saipos Serviços De Software</v>
      </c>
      <c r="V639" s="33">
        <f>IFERROR(__xludf.DUMMYFUNCTION("""COMPUTED_VALUE"""),0.2727272727272727)</f>
        <v>0.2727272727</v>
      </c>
      <c r="W639" s="4" t="str">
        <f>IFERROR(__xludf.DUMMYFUNCTION("""COMPUTED_VALUE"""),"Saipos Serviços De Software")</f>
        <v>Saipos Serviços De Software</v>
      </c>
      <c r="X639" s="33">
        <f>IFERROR(__xludf.DUMMYFUNCTION("""COMPUTED_VALUE"""),0.2727272727272727)</f>
        <v>0.2727272727</v>
      </c>
    </row>
    <row r="640">
      <c r="K640" s="4" t="str">
        <f>IFERROR(__xludf.DUMMYFUNCTION("""COMPUTED_VALUE"""),"MR BURGUER")</f>
        <v>MR BURGUER</v>
      </c>
      <c r="L640" s="32">
        <f>IFERROR(__xludf.DUMMYFUNCTION("""COMPUTED_VALUE"""),11.0)</f>
        <v>11</v>
      </c>
      <c r="M640" s="4" t="str">
        <f>IFERROR(__xludf.DUMMYFUNCTION("""COMPUTED_VALUE"""),"Anota Ai Solucoes Digitais S/a")</f>
        <v>Anota Ai Solucoes Digitais S/a</v>
      </c>
      <c r="N640" s="33">
        <f>IFERROR(__xludf.DUMMYFUNCTION("""COMPUTED_VALUE"""),0.18181818181818182)</f>
        <v>0.1818181818</v>
      </c>
      <c r="O640" s="4" t="str">
        <f>IFERROR(__xludf.DUMMYFUNCTION("""COMPUTED_VALUE"""),"Anota Ai Solucoes Digitais S/a")</f>
        <v>Anota Ai Solucoes Digitais S/a</v>
      </c>
      <c r="P640" s="33">
        <f>IFERROR(__xludf.DUMMYFUNCTION("""COMPUTED_VALUE"""),0.18181818181818182)</f>
        <v>0.1818181818</v>
      </c>
      <c r="Q640" s="4" t="str">
        <f>IFERROR(__xludf.DUMMYFUNCTION("""COMPUTED_VALUE"""),"null")</f>
        <v>null</v>
      </c>
      <c r="R640" s="33">
        <f>IFERROR(__xludf.DUMMYFUNCTION("""COMPUTED_VALUE"""),0.2727272727272727)</f>
        <v>0.2727272727</v>
      </c>
      <c r="S640" s="4" t="str">
        <f>IFERROR(__xludf.DUMMYFUNCTION("""COMPUTED_VALUE"""),"Anota Ai Solucoes Digitais S/a")</f>
        <v>Anota Ai Solucoes Digitais S/a</v>
      </c>
      <c r="T640" s="33">
        <f>IFERROR(__xludf.DUMMYFUNCTION("""COMPUTED_VALUE"""),0.18181818181818182)</f>
        <v>0.1818181818</v>
      </c>
      <c r="U640" s="4" t="str">
        <f>IFERROR(__xludf.DUMMYFUNCTION("""COMPUTED_VALUE"""),"null")</f>
        <v>null</v>
      </c>
      <c r="V640" s="33">
        <f>IFERROR(__xludf.DUMMYFUNCTION("""COMPUTED_VALUE"""),0.36363636363636365)</f>
        <v>0.3636363636</v>
      </c>
      <c r="W640" s="4" t="str">
        <f>IFERROR(__xludf.DUMMYFUNCTION("""COMPUTED_VALUE"""),"null")</f>
        <v>null</v>
      </c>
      <c r="X640" s="33">
        <f>IFERROR(__xludf.DUMMYFUNCTION("""COMPUTED_VALUE"""),0.45454545454545453)</f>
        <v>0.4545454545</v>
      </c>
    </row>
    <row r="641">
      <c r="K641" s="4" t="str">
        <f>IFERROR(__xludf.DUMMYFUNCTION("""COMPUTED_VALUE"""),"HOUSE BURGUER")</f>
        <v>HOUSE BURGUER</v>
      </c>
      <c r="L641" s="32">
        <f>IFERROR(__xludf.DUMMYFUNCTION("""COMPUTED_VALUE"""),11.0)</f>
        <v>11</v>
      </c>
      <c r="M641" s="4" t="str">
        <f>IFERROR(__xludf.DUMMYFUNCTION("""COMPUTED_VALUE"""),"null")</f>
        <v>null</v>
      </c>
      <c r="N641" s="33">
        <f>IFERROR(__xludf.DUMMYFUNCTION("""COMPUTED_VALUE"""),0.45454545454545453)</f>
        <v>0.4545454545</v>
      </c>
      <c r="O641" s="4" t="str">
        <f>IFERROR(__xludf.DUMMYFUNCTION("""COMPUTED_VALUE"""),"null")</f>
        <v>null</v>
      </c>
      <c r="P641" s="33">
        <f>IFERROR(__xludf.DUMMYFUNCTION("""COMPUTED_VALUE"""),0.45454545454545453)</f>
        <v>0.4545454545</v>
      </c>
      <c r="Q641" s="4" t="str">
        <f>IFERROR(__xludf.DUMMYFUNCTION("""COMPUTED_VALUE"""),"null")</f>
        <v>null</v>
      </c>
      <c r="R641" s="33">
        <f>IFERROR(__xludf.DUMMYFUNCTION("""COMPUTED_VALUE"""),0.45454545454545453)</f>
        <v>0.4545454545</v>
      </c>
      <c r="S641" s="4" t="str">
        <f>IFERROR(__xludf.DUMMYFUNCTION("""COMPUTED_VALUE"""),"Instadelivery")</f>
        <v>Instadelivery</v>
      </c>
      <c r="T641" s="33">
        <f>IFERROR(__xludf.DUMMYFUNCTION("""COMPUTED_VALUE"""),0.18181818181818182)</f>
        <v>0.1818181818</v>
      </c>
      <c r="U641" s="4" t="str">
        <f>IFERROR(__xludf.DUMMYFUNCTION("""COMPUTED_VALUE"""),"null")</f>
        <v>null</v>
      </c>
      <c r="V641" s="33">
        <f>IFERROR(__xludf.DUMMYFUNCTION("""COMPUTED_VALUE"""),0.5454545454545454)</f>
        <v>0.5454545455</v>
      </c>
      <c r="W641" s="4" t="str">
        <f>IFERROR(__xludf.DUMMYFUNCTION("""COMPUTED_VALUE"""),"null")</f>
        <v>null</v>
      </c>
      <c r="X641" s="33">
        <f>IFERROR(__xludf.DUMMYFUNCTION("""COMPUTED_VALUE"""),0.45454545454545453)</f>
        <v>0.4545454545</v>
      </c>
    </row>
    <row r="642">
      <c r="K642" s="4" t="str">
        <f>IFERROR(__xludf.DUMMYFUNCTION("""COMPUTED_VALUE"""),"TOCA DO ACAI")</f>
        <v>TOCA DO ACAI</v>
      </c>
      <c r="L642" s="32">
        <f>IFERROR(__xludf.DUMMYFUNCTION("""COMPUTED_VALUE"""),11.0)</f>
        <v>11</v>
      </c>
      <c r="M642" s="4" t="str">
        <f>IFERROR(__xludf.DUMMYFUNCTION("""COMPUTED_VALUE"""),"null")</f>
        <v>null</v>
      </c>
      <c r="N642" s="33">
        <f>IFERROR(__xludf.DUMMYFUNCTION("""COMPUTED_VALUE"""),0.45454545454545453)</f>
        <v>0.4545454545</v>
      </c>
      <c r="O642" s="4" t="str">
        <f>IFERROR(__xludf.DUMMYFUNCTION("""COMPUTED_VALUE"""),"null")</f>
        <v>null</v>
      </c>
      <c r="P642" s="33">
        <f>IFERROR(__xludf.DUMMYFUNCTION("""COMPUTED_VALUE"""),0.36363636363636365)</f>
        <v>0.3636363636</v>
      </c>
      <c r="Q642" s="4" t="str">
        <f>IFERROR(__xludf.DUMMYFUNCTION("""COMPUTED_VALUE"""),"null")</f>
        <v>null</v>
      </c>
      <c r="R642" s="33">
        <f>IFERROR(__xludf.DUMMYFUNCTION("""COMPUTED_VALUE"""),0.2727272727272727)</f>
        <v>0.2727272727</v>
      </c>
      <c r="S642" s="4" t="str">
        <f>IFERROR(__xludf.DUMMYFUNCTION("""COMPUTED_VALUE"""),"null")</f>
        <v>null</v>
      </c>
      <c r="T642" s="33">
        <f>IFERROR(__xludf.DUMMYFUNCTION("""COMPUTED_VALUE"""),0.45454545454545453)</f>
        <v>0.4545454545</v>
      </c>
      <c r="U642" s="4" t="str">
        <f>IFERROR(__xludf.DUMMYFUNCTION("""COMPUTED_VALUE"""),"null")</f>
        <v>null</v>
      </c>
      <c r="V642" s="33">
        <f>IFERROR(__xludf.DUMMYFUNCTION("""COMPUTED_VALUE"""),0.2727272727272727)</f>
        <v>0.2727272727</v>
      </c>
      <c r="W642" s="4" t="str">
        <f>IFERROR(__xludf.DUMMYFUNCTION("""COMPUTED_VALUE"""),"Saipos Serviços De Software")</f>
        <v>Saipos Serviços De Software</v>
      </c>
      <c r="X642" s="33">
        <f>IFERROR(__xludf.DUMMYFUNCTION("""COMPUTED_VALUE"""),0.2727272727272727)</f>
        <v>0.2727272727</v>
      </c>
    </row>
    <row r="643">
      <c r="K643" s="4" t="str">
        <f>IFERROR(__xludf.DUMMYFUNCTION("""COMPUTED_VALUE"""),"CASA DA MARMITA")</f>
        <v>CASA DA MARMITA</v>
      </c>
      <c r="L643" s="32">
        <f>IFERROR(__xludf.DUMMYFUNCTION("""COMPUTED_VALUE"""),11.0)</f>
        <v>11</v>
      </c>
      <c r="M643" s="4" t="str">
        <f>IFERROR(__xludf.DUMMYFUNCTION("""COMPUTED_VALUE"""),"Parseint Desenvolvimento De Sistemas Ltda")</f>
        <v>Parseint Desenvolvimento De Sistemas Ltda</v>
      </c>
      <c r="N643" s="33">
        <f>IFERROR(__xludf.DUMMYFUNCTION("""COMPUTED_VALUE"""),0.4166666666666667)</f>
        <v>0.4166666667</v>
      </c>
      <c r="O643" s="4" t="str">
        <f>IFERROR(__xludf.DUMMYFUNCTION("""COMPUTED_VALUE"""),"null")</f>
        <v>null</v>
      </c>
      <c r="P643" s="33">
        <f>IFERROR(__xludf.DUMMYFUNCTION("""COMPUTED_VALUE"""),0.3333333333333333)</f>
        <v>0.3333333333</v>
      </c>
      <c r="Q643" s="4" t="str">
        <f>IFERROR(__xludf.DUMMYFUNCTION("""COMPUTED_VALUE"""),"Parseint Desenvolvimento De Sistemas Ltda")</f>
        <v>Parseint Desenvolvimento De Sistemas Ltda</v>
      </c>
      <c r="R643" s="33">
        <f>IFERROR(__xludf.DUMMYFUNCTION("""COMPUTED_VALUE"""),0.4166666666666667)</f>
        <v>0.4166666667</v>
      </c>
      <c r="S643" s="4" t="str">
        <f>IFERROR(__xludf.DUMMYFUNCTION("""COMPUTED_VALUE"""),"Parseint Desenvolvimento De Sistemas Ltda")</f>
        <v>Parseint Desenvolvimento De Sistemas Ltda</v>
      </c>
      <c r="T643" s="33">
        <f>IFERROR(__xludf.DUMMYFUNCTION("""COMPUTED_VALUE"""),0.4166666666666667)</f>
        <v>0.4166666667</v>
      </c>
      <c r="U643" s="4" t="str">
        <f>IFERROR(__xludf.DUMMYFUNCTION("""COMPUTED_VALUE"""),"Parseint Desenvolvimento De Sistemas Ltda")</f>
        <v>Parseint Desenvolvimento De Sistemas Ltda</v>
      </c>
      <c r="V643" s="33">
        <f>IFERROR(__xludf.DUMMYFUNCTION("""COMPUTED_VALUE"""),0.5)</f>
        <v>0.5</v>
      </c>
      <c r="W643" s="4" t="str">
        <f>IFERROR(__xludf.DUMMYFUNCTION("""COMPUTED_VALUE"""),"Parseint Desenvolvimento De Sistemas Ltda")</f>
        <v>Parseint Desenvolvimento De Sistemas Ltda</v>
      </c>
      <c r="X643" s="33">
        <f>IFERROR(__xludf.DUMMYFUNCTION("""COMPUTED_VALUE"""),0.5)</f>
        <v>0.5</v>
      </c>
    </row>
    <row r="644">
      <c r="K644" s="4" t="str">
        <f>IFERROR(__xludf.DUMMYFUNCTION("""COMPUTED_VALUE"""),"ACAI DA VILA")</f>
        <v>ACAI DA VILA</v>
      </c>
      <c r="L644" s="32">
        <f>IFERROR(__xludf.DUMMYFUNCTION("""COMPUTED_VALUE"""),11.0)</f>
        <v>11</v>
      </c>
      <c r="M644" s="4" t="str">
        <f>IFERROR(__xludf.DUMMYFUNCTION("""COMPUTED_VALUE"""),"null")</f>
        <v>null</v>
      </c>
      <c r="N644" s="33">
        <f>IFERROR(__xludf.DUMMYFUNCTION("""COMPUTED_VALUE"""),0.45454545454545453)</f>
        <v>0.4545454545</v>
      </c>
      <c r="O644" s="4" t="str">
        <f>IFERROR(__xludf.DUMMYFUNCTION("""COMPUTED_VALUE"""),"null")</f>
        <v>null</v>
      </c>
      <c r="P644" s="33">
        <f>IFERROR(__xludf.DUMMYFUNCTION("""COMPUTED_VALUE"""),0.45454545454545453)</f>
        <v>0.4545454545</v>
      </c>
      <c r="Q644" s="4" t="str">
        <f>IFERROR(__xludf.DUMMYFUNCTION("""COMPUTED_VALUE"""),"null")</f>
        <v>null</v>
      </c>
      <c r="R644" s="33">
        <f>IFERROR(__xludf.DUMMYFUNCTION("""COMPUTED_VALUE"""),0.2727272727272727)</f>
        <v>0.2727272727</v>
      </c>
      <c r="S644" s="4" t="str">
        <f>IFERROR(__xludf.DUMMYFUNCTION("""COMPUTED_VALUE"""),"null")</f>
        <v>null</v>
      </c>
      <c r="T644" s="33">
        <f>IFERROR(__xludf.DUMMYFUNCTION("""COMPUTED_VALUE"""),0.36363636363636365)</f>
        <v>0.3636363636</v>
      </c>
      <c r="U644" s="4" t="str">
        <f>IFERROR(__xludf.DUMMYFUNCTION("""COMPUTED_VALUE"""),"null")</f>
        <v>null</v>
      </c>
      <c r="V644" s="33">
        <f>IFERROR(__xludf.DUMMYFUNCTION("""COMPUTED_VALUE"""),0.45454545454545453)</f>
        <v>0.4545454545</v>
      </c>
      <c r="W644" s="4" t="str">
        <f>IFERROR(__xludf.DUMMYFUNCTION("""COMPUTED_VALUE"""),"null")</f>
        <v>null</v>
      </c>
      <c r="X644" s="33">
        <f>IFERROR(__xludf.DUMMYFUNCTION("""COMPUTED_VALUE"""),0.36363636363636365)</f>
        <v>0.3636363636</v>
      </c>
    </row>
    <row r="645">
      <c r="K645" s="4" t="str">
        <f>IFERROR(__xludf.DUMMYFUNCTION("""COMPUTED_VALUE"""),"CANTINHO DA PIZZA")</f>
        <v>CANTINHO DA PIZZA</v>
      </c>
      <c r="L645" s="32">
        <f>IFERROR(__xludf.DUMMYFUNCTION("""COMPUTED_VALUE"""),11.0)</f>
        <v>11</v>
      </c>
      <c r="M645" s="4" t="str">
        <f>IFERROR(__xludf.DUMMYFUNCTION("""COMPUTED_VALUE"""),"Mp Multipedidos")</f>
        <v>Mp Multipedidos</v>
      </c>
      <c r="N645" s="33">
        <f>IFERROR(__xludf.DUMMYFUNCTION("""COMPUTED_VALUE"""),0.36363636363636365)</f>
        <v>0.3636363636</v>
      </c>
      <c r="O645" s="4" t="str">
        <f>IFERROR(__xludf.DUMMYFUNCTION("""COMPUTED_VALUE"""),"Mp Multipedidos")</f>
        <v>Mp Multipedidos</v>
      </c>
      <c r="P645" s="33">
        <f>IFERROR(__xludf.DUMMYFUNCTION("""COMPUTED_VALUE"""),0.2727272727272727)</f>
        <v>0.2727272727</v>
      </c>
      <c r="Q645" s="4" t="str">
        <f>IFERROR(__xludf.DUMMYFUNCTION("""COMPUTED_VALUE"""),"Mp Multipedidos")</f>
        <v>Mp Multipedidos</v>
      </c>
      <c r="R645" s="33">
        <f>IFERROR(__xludf.DUMMYFUNCTION("""COMPUTED_VALUE"""),0.2727272727272727)</f>
        <v>0.2727272727</v>
      </c>
      <c r="S645" s="4" t="str">
        <f>IFERROR(__xludf.DUMMYFUNCTION("""COMPUTED_VALUE"""),"Mp Multipedidos")</f>
        <v>Mp Multipedidos</v>
      </c>
      <c r="T645" s="33">
        <f>IFERROR(__xludf.DUMMYFUNCTION("""COMPUTED_VALUE"""),0.2727272727272727)</f>
        <v>0.2727272727</v>
      </c>
      <c r="U645" s="4" t="str">
        <f>IFERROR(__xludf.DUMMYFUNCTION("""COMPUTED_VALUE"""),"Mp Multipedidos")</f>
        <v>Mp Multipedidos</v>
      </c>
      <c r="V645" s="33">
        <f>IFERROR(__xludf.DUMMYFUNCTION("""COMPUTED_VALUE"""),0.2727272727272727)</f>
        <v>0.2727272727</v>
      </c>
      <c r="W645" s="4" t="str">
        <f>IFERROR(__xludf.DUMMYFUNCTION("""COMPUTED_VALUE"""),"Mp Multipedidos")</f>
        <v>Mp Multipedidos</v>
      </c>
      <c r="X645" s="33">
        <f>IFERROR(__xludf.DUMMYFUNCTION("""COMPUTED_VALUE"""),0.36363636363636365)</f>
        <v>0.3636363636</v>
      </c>
    </row>
    <row r="646">
      <c r="K646" s="4" t="str">
        <f>IFERROR(__xludf.DUMMYFUNCTION("""COMPUTED_VALUE"""),"TOP PIZZA")</f>
        <v>TOP PIZZA</v>
      </c>
      <c r="L646" s="32">
        <f>IFERROR(__xludf.DUMMYFUNCTION("""COMPUTED_VALUE"""),11.0)</f>
        <v>11</v>
      </c>
      <c r="M646" s="4" t="str">
        <f>IFERROR(__xludf.DUMMYFUNCTION("""COMPUTED_VALUE"""),"Solução Sistemas")</f>
        <v>Solução Sistemas</v>
      </c>
      <c r="N646" s="33">
        <f>IFERROR(__xludf.DUMMYFUNCTION("""COMPUTED_VALUE"""),0.2727272727272727)</f>
        <v>0.2727272727</v>
      </c>
      <c r="O646" s="4" t="str">
        <f>IFERROR(__xludf.DUMMYFUNCTION("""COMPUTED_VALUE"""),"null")</f>
        <v>null</v>
      </c>
      <c r="P646" s="33">
        <f>IFERROR(__xludf.DUMMYFUNCTION("""COMPUTED_VALUE"""),0.36363636363636365)</f>
        <v>0.3636363636</v>
      </c>
      <c r="Q646" s="4" t="str">
        <f>IFERROR(__xludf.DUMMYFUNCTION("""COMPUTED_VALUE"""),"null")</f>
        <v>null</v>
      </c>
      <c r="R646" s="33">
        <f>IFERROR(__xludf.DUMMYFUNCTION("""COMPUTED_VALUE"""),0.36363636363636365)</f>
        <v>0.3636363636</v>
      </c>
      <c r="S646" s="4" t="str">
        <f>IFERROR(__xludf.DUMMYFUNCTION("""COMPUTED_VALUE"""),"null")</f>
        <v>null</v>
      </c>
      <c r="T646" s="33">
        <f>IFERROR(__xludf.DUMMYFUNCTION("""COMPUTED_VALUE"""),0.45454545454545453)</f>
        <v>0.4545454545</v>
      </c>
      <c r="U646" s="4" t="str">
        <f>IFERROR(__xludf.DUMMYFUNCTION("""COMPUTED_VALUE"""),"Ctsi")</f>
        <v>Ctsi</v>
      </c>
      <c r="V646" s="33">
        <f>IFERROR(__xludf.DUMMYFUNCTION("""COMPUTED_VALUE"""),0.36363636363636365)</f>
        <v>0.3636363636</v>
      </c>
      <c r="W646" s="4" t="str">
        <f>IFERROR(__xludf.DUMMYFUNCTION("""COMPUTED_VALUE"""),"Saipos Serviços De Software")</f>
        <v>Saipos Serviços De Software</v>
      </c>
      <c r="X646" s="33">
        <f>IFERROR(__xludf.DUMMYFUNCTION("""COMPUTED_VALUE"""),0.45454545454545453)</f>
        <v>0.4545454545</v>
      </c>
    </row>
    <row r="647">
      <c r="K647" s="4" t="str">
        <f>IFERROR(__xludf.DUMMYFUNCTION("""COMPUTED_VALUE"""),"GRUPO ATTIVO")</f>
        <v>GRUPO ATTIVO</v>
      </c>
      <c r="L647" s="32">
        <f>IFERROR(__xludf.DUMMYFUNCTION("""COMPUTED_VALUE"""),11.0)</f>
        <v>11</v>
      </c>
      <c r="M647" s="4" t="str">
        <f>IFERROR(__xludf.DUMMYFUNCTION("""COMPUTED_VALUE"""),"E-deploy Retail")</f>
        <v>E-deploy Retail</v>
      </c>
      <c r="N647" s="33">
        <f>IFERROR(__xludf.DUMMYFUNCTION("""COMPUTED_VALUE"""),1.0)</f>
        <v>1</v>
      </c>
      <c r="O647" s="4" t="str">
        <f>IFERROR(__xludf.DUMMYFUNCTION("""COMPUTED_VALUE"""),"E-deploy Retail")</f>
        <v>E-deploy Retail</v>
      </c>
      <c r="P647" s="33">
        <f>IFERROR(__xludf.DUMMYFUNCTION("""COMPUTED_VALUE"""),0.6)</f>
        <v>0.6</v>
      </c>
      <c r="Q647" s="4" t="str">
        <f>IFERROR(__xludf.DUMMYFUNCTION("""COMPUTED_VALUE"""),"E-deploy Retail")</f>
        <v>E-deploy Retail</v>
      </c>
      <c r="R647" s="33">
        <f>IFERROR(__xludf.DUMMYFUNCTION("""COMPUTED_VALUE"""),0.8)</f>
        <v>0.8</v>
      </c>
      <c r="S647" s="4" t="str">
        <f>IFERROR(__xludf.DUMMYFUNCTION("""COMPUTED_VALUE"""),"E-deploy Retail")</f>
        <v>E-deploy Retail</v>
      </c>
      <c r="T647" s="33">
        <f>IFERROR(__xludf.DUMMYFUNCTION("""COMPUTED_VALUE"""),0.65)</f>
        <v>0.65</v>
      </c>
      <c r="U647" s="4" t="str">
        <f>IFERROR(__xludf.DUMMYFUNCTION("""COMPUTED_VALUE"""),"E-deploy Retail")</f>
        <v>E-deploy Retail</v>
      </c>
      <c r="V647" s="33">
        <f>IFERROR(__xludf.DUMMYFUNCTION("""COMPUTED_VALUE"""),0.75)</f>
        <v>0.75</v>
      </c>
      <c r="W647" s="4" t="str">
        <f>IFERROR(__xludf.DUMMYFUNCTION("""COMPUTED_VALUE"""),"null")</f>
        <v>null</v>
      </c>
      <c r="X647" s="33">
        <f>IFERROR(__xludf.DUMMYFUNCTION("""COMPUTED_VALUE"""),0.75)</f>
        <v>0.75</v>
      </c>
    </row>
    <row r="648">
      <c r="K648" s="4" t="str">
        <f>IFERROR(__xludf.DUMMYFUNCTION("""COMPUTED_VALUE"""),"GRUPO PONTO X LANCHES E PORCOES")</f>
        <v>GRUPO PONTO X LANCHES E PORCOES</v>
      </c>
      <c r="L648" s="32">
        <f>IFERROR(__xludf.DUMMYFUNCTION("""COMPUTED_VALUE"""),11.0)</f>
        <v>11</v>
      </c>
      <c r="M648" s="4" t="str">
        <f>IFERROR(__xludf.DUMMYFUNCTION("""COMPUTED_VALUE"""),"Hubzy")</f>
        <v>Hubzy</v>
      </c>
      <c r="N648" s="33">
        <f>IFERROR(__xludf.DUMMYFUNCTION("""COMPUTED_VALUE"""),0.7272727272727273)</f>
        <v>0.7272727273</v>
      </c>
      <c r="O648" s="4" t="str">
        <f>IFERROR(__xludf.DUMMYFUNCTION("""COMPUTED_VALUE"""),"Hubzy")</f>
        <v>Hubzy</v>
      </c>
      <c r="P648" s="33">
        <f>IFERROR(__xludf.DUMMYFUNCTION("""COMPUTED_VALUE"""),0.6363636363636364)</f>
        <v>0.6363636364</v>
      </c>
      <c r="Q648" s="4" t="str">
        <f>IFERROR(__xludf.DUMMYFUNCTION("""COMPUTED_VALUE"""),"Hubzy")</f>
        <v>Hubzy</v>
      </c>
      <c r="R648" s="33">
        <f>IFERROR(__xludf.DUMMYFUNCTION("""COMPUTED_VALUE"""),0.6363636363636364)</f>
        <v>0.6363636364</v>
      </c>
      <c r="S648" s="4" t="str">
        <f>IFERROR(__xludf.DUMMYFUNCTION("""COMPUTED_VALUE"""),"Hubzy")</f>
        <v>Hubzy</v>
      </c>
      <c r="T648" s="33">
        <f>IFERROR(__xludf.DUMMYFUNCTION("""COMPUTED_VALUE"""),0.7272727272727273)</f>
        <v>0.7272727273</v>
      </c>
      <c r="U648" s="4" t="str">
        <f>IFERROR(__xludf.DUMMYFUNCTION("""COMPUTED_VALUE"""),"Hubzy")</f>
        <v>Hubzy</v>
      </c>
      <c r="V648" s="33">
        <f>IFERROR(__xludf.DUMMYFUNCTION("""COMPUTED_VALUE"""),0.6363636363636364)</f>
        <v>0.6363636364</v>
      </c>
      <c r="W648" s="4" t="str">
        <f>IFERROR(__xludf.DUMMYFUNCTION("""COMPUTED_VALUE"""),"Hubzy")</f>
        <v>Hubzy</v>
      </c>
      <c r="X648" s="33">
        <f>IFERROR(__xludf.DUMMYFUNCTION("""COMPUTED_VALUE"""),0.6363636363636364)</f>
        <v>0.6363636364</v>
      </c>
    </row>
    <row r="649">
      <c r="K649" s="4" t="str">
        <f>IFERROR(__xludf.DUMMYFUNCTION("""COMPUTED_VALUE"""),"AOYAMA")</f>
        <v>AOYAMA</v>
      </c>
      <c r="L649" s="32">
        <f>IFERROR(__xludf.DUMMYFUNCTION("""COMPUTED_VALUE"""),11.0)</f>
        <v>11</v>
      </c>
      <c r="M649" s="4" t="str">
        <f>IFERROR(__xludf.DUMMYFUNCTION("""COMPUTED_VALUE"""),"Eclética Tecnologia")</f>
        <v>Eclética Tecnologia</v>
      </c>
      <c r="N649" s="33">
        <f>IFERROR(__xludf.DUMMYFUNCTION("""COMPUTED_VALUE"""),1.0)</f>
        <v>1</v>
      </c>
      <c r="O649" s="4" t="str">
        <f>IFERROR(__xludf.DUMMYFUNCTION("""COMPUTED_VALUE"""),"Eclética Tecnologia")</f>
        <v>Eclética Tecnologia</v>
      </c>
      <c r="P649" s="33">
        <f>IFERROR(__xludf.DUMMYFUNCTION("""COMPUTED_VALUE"""),1.0)</f>
        <v>1</v>
      </c>
      <c r="Q649" s="4" t="str">
        <f>IFERROR(__xludf.DUMMYFUNCTION("""COMPUTED_VALUE"""),"Eclética Tecnologia")</f>
        <v>Eclética Tecnologia</v>
      </c>
      <c r="R649" s="33">
        <f>IFERROR(__xludf.DUMMYFUNCTION("""COMPUTED_VALUE"""),1.0)</f>
        <v>1</v>
      </c>
      <c r="S649" s="4" t="str">
        <f>IFERROR(__xludf.DUMMYFUNCTION("""COMPUTED_VALUE"""),"Eclética Tecnologia")</f>
        <v>Eclética Tecnologia</v>
      </c>
      <c r="T649" s="33">
        <f>IFERROR(__xludf.DUMMYFUNCTION("""COMPUTED_VALUE"""),1.0)</f>
        <v>1</v>
      </c>
      <c r="U649" s="4" t="str">
        <f>IFERROR(__xludf.DUMMYFUNCTION("""COMPUTED_VALUE"""),"Eclética Tecnologia")</f>
        <v>Eclética Tecnologia</v>
      </c>
      <c r="V649" s="33">
        <f>IFERROR(__xludf.DUMMYFUNCTION("""COMPUTED_VALUE"""),0.9090909090909091)</f>
        <v>0.9090909091</v>
      </c>
      <c r="W649" s="4" t="str">
        <f>IFERROR(__xludf.DUMMYFUNCTION("""COMPUTED_VALUE"""),"Eclética Tecnologia")</f>
        <v>Eclética Tecnologia</v>
      </c>
      <c r="X649" s="33">
        <f>IFERROR(__xludf.DUMMYFUNCTION("""COMPUTED_VALUE"""),0.9090909090909091)</f>
        <v>0.9090909091</v>
      </c>
    </row>
    <row r="650">
      <c r="K650" s="4" t="str">
        <f>IFERROR(__xludf.DUMMYFUNCTION("""COMPUTED_VALUE"""),"BADALADO")</f>
        <v>BADALADO</v>
      </c>
      <c r="L650" s="32">
        <f>IFERROR(__xludf.DUMMYFUNCTION("""COMPUTED_VALUE"""),11.0)</f>
        <v>11</v>
      </c>
      <c r="M650" s="4" t="str">
        <f>IFERROR(__xludf.DUMMYFUNCTION("""COMPUTED_VALUE"""),"null")</f>
        <v>null</v>
      </c>
      <c r="N650" s="33">
        <f>IFERROR(__xludf.DUMMYFUNCTION("""COMPUTED_VALUE"""),0.6363636363636364)</f>
        <v>0.6363636364</v>
      </c>
      <c r="O650" s="4" t="str">
        <f>IFERROR(__xludf.DUMMYFUNCTION("""COMPUTED_VALUE"""),"null")</f>
        <v>null</v>
      </c>
      <c r="P650" s="33">
        <f>IFERROR(__xludf.DUMMYFUNCTION("""COMPUTED_VALUE"""),0.5454545454545454)</f>
        <v>0.5454545455</v>
      </c>
      <c r="Q650" s="4" t="str">
        <f>IFERROR(__xludf.DUMMYFUNCTION("""COMPUTED_VALUE"""),"F-rest Sistema Para Food Service Ltda")</f>
        <v>F-rest Sistema Para Food Service Ltda</v>
      </c>
      <c r="R650" s="33">
        <f>IFERROR(__xludf.DUMMYFUNCTION("""COMPUTED_VALUE"""),0.5454545454545454)</f>
        <v>0.5454545455</v>
      </c>
      <c r="S650" s="4" t="str">
        <f>IFERROR(__xludf.DUMMYFUNCTION("""COMPUTED_VALUE"""),"null")</f>
        <v>null</v>
      </c>
      <c r="T650" s="33">
        <f>IFERROR(__xludf.DUMMYFUNCTION("""COMPUTED_VALUE"""),0.9090909090909091)</f>
        <v>0.9090909091</v>
      </c>
      <c r="U650" s="4" t="str">
        <f>IFERROR(__xludf.DUMMYFUNCTION("""COMPUTED_VALUE"""),"null")</f>
        <v>null</v>
      </c>
      <c r="V650" s="33">
        <f>IFERROR(__xludf.DUMMYFUNCTION("""COMPUTED_VALUE"""),0.8181818181818182)</f>
        <v>0.8181818182</v>
      </c>
      <c r="W650" s="4" t="str">
        <f>IFERROR(__xludf.DUMMYFUNCTION("""COMPUTED_VALUE"""),"null")</f>
        <v>null</v>
      </c>
      <c r="X650" s="33">
        <f>IFERROR(__xludf.DUMMYFUNCTION("""COMPUTED_VALUE"""),0.7272727272727273)</f>
        <v>0.7272727273</v>
      </c>
    </row>
    <row r="651">
      <c r="K651" s="4" t="str">
        <f>IFERROR(__xludf.DUMMYFUNCTION("""COMPUTED_VALUE"""),"BAR DO ADAO")</f>
        <v>BAR DO ADAO</v>
      </c>
      <c r="L651" s="32">
        <f>IFERROR(__xludf.DUMMYFUNCTION("""COMPUTED_VALUE"""),11.0)</f>
        <v>11</v>
      </c>
      <c r="M651" s="4" t="str">
        <f>IFERROR(__xludf.DUMMYFUNCTION("""COMPUTED_VALUE"""),"Totvs Large Enterprise Tecnologia S.a.")</f>
        <v>Totvs Large Enterprise Tecnologia S.a.</v>
      </c>
      <c r="N651" s="33">
        <f>IFERROR(__xludf.DUMMYFUNCTION("""COMPUTED_VALUE"""),0.9090909090909091)</f>
        <v>0.9090909091</v>
      </c>
      <c r="O651" s="4" t="str">
        <f>IFERROR(__xludf.DUMMYFUNCTION("""COMPUTED_VALUE"""),"Totvs Large Enterprise Tecnologia S.a.")</f>
        <v>Totvs Large Enterprise Tecnologia S.a.</v>
      </c>
      <c r="P651" s="33">
        <f>IFERROR(__xludf.DUMMYFUNCTION("""COMPUTED_VALUE"""),0.8181818181818182)</f>
        <v>0.8181818182</v>
      </c>
      <c r="Q651" s="4" t="str">
        <f>IFERROR(__xludf.DUMMYFUNCTION("""COMPUTED_VALUE"""),"Totvs Large Enterprise Tecnologia S.a.")</f>
        <v>Totvs Large Enterprise Tecnologia S.a.</v>
      </c>
      <c r="R651" s="33">
        <f>IFERROR(__xludf.DUMMYFUNCTION("""COMPUTED_VALUE"""),0.8181818181818182)</f>
        <v>0.8181818182</v>
      </c>
      <c r="S651" s="4" t="str">
        <f>IFERROR(__xludf.DUMMYFUNCTION("""COMPUTED_VALUE"""),"Totvs Large Enterprise Tecnologia S.a.")</f>
        <v>Totvs Large Enterprise Tecnologia S.a.</v>
      </c>
      <c r="T651" s="33">
        <f>IFERROR(__xludf.DUMMYFUNCTION("""COMPUTED_VALUE"""),0.8181818181818182)</f>
        <v>0.8181818182</v>
      </c>
      <c r="U651" s="4" t="str">
        <f>IFERROR(__xludf.DUMMYFUNCTION("""COMPUTED_VALUE"""),"Totvs Large Enterprise Tecnologia S.a.")</f>
        <v>Totvs Large Enterprise Tecnologia S.a.</v>
      </c>
      <c r="V651" s="33">
        <f>IFERROR(__xludf.DUMMYFUNCTION("""COMPUTED_VALUE"""),0.8181818181818182)</f>
        <v>0.8181818182</v>
      </c>
      <c r="W651" s="4" t="str">
        <f>IFERROR(__xludf.DUMMYFUNCTION("""COMPUTED_VALUE"""),"Totvs Large Enterprise Tecnologia S.a.")</f>
        <v>Totvs Large Enterprise Tecnologia S.a.</v>
      </c>
      <c r="X651" s="33">
        <f>IFERROR(__xludf.DUMMYFUNCTION("""COMPUTED_VALUE"""),0.7272727272727273)</f>
        <v>0.7272727273</v>
      </c>
    </row>
    <row r="652">
      <c r="K652" s="4" t="str">
        <f>IFERROR(__xludf.DUMMYFUNCTION("""COMPUTED_VALUE"""),"BAR DO ALEMAO")</f>
        <v>BAR DO ALEMAO</v>
      </c>
      <c r="L652" s="32">
        <f>IFERROR(__xludf.DUMMYFUNCTION("""COMPUTED_VALUE"""),11.0)</f>
        <v>11</v>
      </c>
      <c r="M652" s="4" t="str">
        <f>IFERROR(__xludf.DUMMYFUNCTION("""COMPUTED_VALUE"""),"Hsm Soluções")</f>
        <v>Hsm Soluções</v>
      </c>
      <c r="N652" s="33">
        <f>IFERROR(__xludf.DUMMYFUNCTION("""COMPUTED_VALUE"""),0.2727272727272727)</f>
        <v>0.2727272727</v>
      </c>
      <c r="O652" s="4" t="str">
        <f>IFERROR(__xludf.DUMMYFUNCTION("""COMPUTED_VALUE"""),"Hsm Soluções")</f>
        <v>Hsm Soluções</v>
      </c>
      <c r="P652" s="33">
        <f>IFERROR(__xludf.DUMMYFUNCTION("""COMPUTED_VALUE"""),0.2727272727272727)</f>
        <v>0.2727272727</v>
      </c>
      <c r="Q652" s="4" t="str">
        <f>IFERROR(__xludf.DUMMYFUNCTION("""COMPUTED_VALUE"""),"Hsm Soluções")</f>
        <v>Hsm Soluções</v>
      </c>
      <c r="R652" s="33">
        <f>IFERROR(__xludf.DUMMYFUNCTION("""COMPUTED_VALUE"""),0.2727272727272727)</f>
        <v>0.2727272727</v>
      </c>
      <c r="S652" s="4" t="str">
        <f>IFERROR(__xludf.DUMMYFUNCTION("""COMPUTED_VALUE"""),"Ncr")</f>
        <v>Ncr</v>
      </c>
      <c r="T652" s="33">
        <f>IFERROR(__xludf.DUMMYFUNCTION("""COMPUTED_VALUE"""),0.2727272727272727)</f>
        <v>0.2727272727</v>
      </c>
      <c r="U652" s="4" t="str">
        <f>IFERROR(__xludf.DUMMYFUNCTION("""COMPUTED_VALUE"""),"null")</f>
        <v>null</v>
      </c>
      <c r="V652" s="33">
        <f>IFERROR(__xludf.DUMMYFUNCTION("""COMPUTED_VALUE"""),0.2727272727272727)</f>
        <v>0.2727272727</v>
      </c>
      <c r="W652" s="4" t="str">
        <f>IFERROR(__xludf.DUMMYFUNCTION("""COMPUTED_VALUE"""),"Cloudfy")</f>
        <v>Cloudfy</v>
      </c>
      <c r="X652" s="33">
        <f>IFERROR(__xludf.DUMMYFUNCTION("""COMPUTED_VALUE"""),0.18181818181818182)</f>
        <v>0.1818181818</v>
      </c>
    </row>
    <row r="653">
      <c r="K653" s="4" t="str">
        <f>IFERROR(__xludf.DUMMYFUNCTION("""COMPUTED_VALUE"""),"GRUPO BARCELOS - CONTA GRUPO")</f>
        <v>GRUPO BARCELOS - CONTA GRUPO</v>
      </c>
      <c r="L653" s="32">
        <f>IFERROR(__xludf.DUMMYFUNCTION("""COMPUTED_VALUE"""),11.0)</f>
        <v>11</v>
      </c>
      <c r="M653" s="4" t="str">
        <f>IFERROR(__xludf.DUMMYFUNCTION("""COMPUTED_VALUE"""),"N/A (Not found)")</f>
        <v>N/A (Not found)</v>
      </c>
      <c r="N653" s="33">
        <f>IFERROR(__xludf.DUMMYFUNCTION("""COMPUTED_VALUE"""),0.9090909090909091)</f>
        <v>0.9090909091</v>
      </c>
      <c r="O653" s="4" t="str">
        <f>IFERROR(__xludf.DUMMYFUNCTION("""COMPUTED_VALUE"""),"N/A (Not found)")</f>
        <v>N/A (Not found)</v>
      </c>
      <c r="P653" s="33">
        <f>IFERROR(__xludf.DUMMYFUNCTION("""COMPUTED_VALUE"""),0.9090909090909091)</f>
        <v>0.9090909091</v>
      </c>
      <c r="Q653" s="4" t="str">
        <f>IFERROR(__xludf.DUMMYFUNCTION("""COMPUTED_VALUE"""),"N/A (Not found)")</f>
        <v>N/A (Not found)</v>
      </c>
      <c r="R653" s="33">
        <f>IFERROR(__xludf.DUMMYFUNCTION("""COMPUTED_VALUE"""),1.0)</f>
        <v>1</v>
      </c>
      <c r="S653" s="4" t="str">
        <f>IFERROR(__xludf.DUMMYFUNCTION("""COMPUTED_VALUE"""),"N/A (Not found)")</f>
        <v>N/A (Not found)</v>
      </c>
      <c r="T653" s="33">
        <f>IFERROR(__xludf.DUMMYFUNCTION("""COMPUTED_VALUE"""),1.0)</f>
        <v>1</v>
      </c>
      <c r="U653" s="4" t="str">
        <f>IFERROR(__xludf.DUMMYFUNCTION("""COMPUTED_VALUE"""),"N/A (Not found)")</f>
        <v>N/A (Not found)</v>
      </c>
      <c r="V653" s="33">
        <f>IFERROR(__xludf.DUMMYFUNCTION("""COMPUTED_VALUE"""),1.0)</f>
        <v>1</v>
      </c>
      <c r="W653" s="4" t="str">
        <f>IFERROR(__xludf.DUMMYFUNCTION("""COMPUTED_VALUE"""),"N/A (Not found)")</f>
        <v>N/A (Not found)</v>
      </c>
      <c r="X653" s="33">
        <f>IFERROR(__xludf.DUMMYFUNCTION("""COMPUTED_VALUE"""),1.0)</f>
        <v>1</v>
      </c>
    </row>
    <row r="654">
      <c r="K654" s="4" t="str">
        <f>IFERROR(__xludf.DUMMYFUNCTION("""COMPUTED_VALUE"""),"BAURU - CONTA PAI")</f>
        <v>BAURU - CONTA PAI</v>
      </c>
      <c r="L654" s="32">
        <f>IFERROR(__xludf.DUMMYFUNCTION("""COMPUTED_VALUE"""),11.0)</f>
        <v>11</v>
      </c>
      <c r="M654" s="4" t="str">
        <f>IFERROR(__xludf.DUMMYFUNCTION("""COMPUTED_VALUE"""),"Ncr")</f>
        <v>Ncr</v>
      </c>
      <c r="N654" s="33">
        <f>IFERROR(__xludf.DUMMYFUNCTION("""COMPUTED_VALUE"""),0.9090909090909091)</f>
        <v>0.9090909091</v>
      </c>
      <c r="O654" s="4" t="str">
        <f>IFERROR(__xludf.DUMMYFUNCTION("""COMPUTED_VALUE"""),"Ncr")</f>
        <v>Ncr</v>
      </c>
      <c r="P654" s="33">
        <f>IFERROR(__xludf.DUMMYFUNCTION("""COMPUTED_VALUE"""),0.9090909090909091)</f>
        <v>0.9090909091</v>
      </c>
      <c r="Q654" s="4" t="str">
        <f>IFERROR(__xludf.DUMMYFUNCTION("""COMPUTED_VALUE"""),"Ncr")</f>
        <v>Ncr</v>
      </c>
      <c r="R654" s="33">
        <f>IFERROR(__xludf.DUMMYFUNCTION("""COMPUTED_VALUE"""),0.9090909090909091)</f>
        <v>0.9090909091</v>
      </c>
      <c r="S654" s="4" t="str">
        <f>IFERROR(__xludf.DUMMYFUNCTION("""COMPUTED_VALUE"""),"Ncr")</f>
        <v>Ncr</v>
      </c>
      <c r="T654" s="33">
        <f>IFERROR(__xludf.DUMMYFUNCTION("""COMPUTED_VALUE"""),0.9090909090909091)</f>
        <v>0.9090909091</v>
      </c>
      <c r="U654" s="4" t="str">
        <f>IFERROR(__xludf.DUMMYFUNCTION("""COMPUTED_VALUE"""),"Ncr")</f>
        <v>Ncr</v>
      </c>
      <c r="V654" s="33">
        <f>IFERROR(__xludf.DUMMYFUNCTION("""COMPUTED_VALUE"""),0.9090909090909091)</f>
        <v>0.9090909091</v>
      </c>
      <c r="W654" s="4" t="str">
        <f>IFERROR(__xludf.DUMMYFUNCTION("""COMPUTED_VALUE"""),"Ncr")</f>
        <v>Ncr</v>
      </c>
      <c r="X654" s="33">
        <f>IFERROR(__xludf.DUMMYFUNCTION("""COMPUTED_VALUE"""),0.9090909090909091)</f>
        <v>0.9090909091</v>
      </c>
    </row>
    <row r="655">
      <c r="K655" s="4" t="str">
        <f>IFERROR(__xludf.DUMMYFUNCTION("""COMPUTED_VALUE"""),"BOB BEEF")</f>
        <v>BOB BEEF</v>
      </c>
      <c r="L655" s="32">
        <f>IFERROR(__xludf.DUMMYFUNCTION("""COMPUTED_VALUE"""),11.0)</f>
        <v>11</v>
      </c>
      <c r="M655" s="4" t="str">
        <f>IFERROR(__xludf.DUMMYFUNCTION("""COMPUTED_VALUE"""),"Tech Rao")</f>
        <v>Tech Rao</v>
      </c>
      <c r="N655" s="33">
        <f>IFERROR(__xludf.DUMMYFUNCTION("""COMPUTED_VALUE"""),1.0)</f>
        <v>1</v>
      </c>
      <c r="O655" s="4" t="str">
        <f>IFERROR(__xludf.DUMMYFUNCTION("""COMPUTED_VALUE"""),"Tech Rao")</f>
        <v>Tech Rao</v>
      </c>
      <c r="P655" s="33">
        <f>IFERROR(__xludf.DUMMYFUNCTION("""COMPUTED_VALUE"""),0.8181818181818182)</f>
        <v>0.8181818182</v>
      </c>
      <c r="Q655" s="4" t="str">
        <f>IFERROR(__xludf.DUMMYFUNCTION("""COMPUTED_VALUE"""),"Tech Rao")</f>
        <v>Tech Rao</v>
      </c>
      <c r="R655" s="33">
        <f>IFERROR(__xludf.DUMMYFUNCTION("""COMPUTED_VALUE"""),0.8181818181818182)</f>
        <v>0.8181818182</v>
      </c>
      <c r="S655" s="4" t="str">
        <f>IFERROR(__xludf.DUMMYFUNCTION("""COMPUTED_VALUE"""),"Tech Rao")</f>
        <v>Tech Rao</v>
      </c>
      <c r="T655" s="33">
        <f>IFERROR(__xludf.DUMMYFUNCTION("""COMPUTED_VALUE"""),0.6363636363636364)</f>
        <v>0.6363636364</v>
      </c>
      <c r="U655" s="4" t="str">
        <f>IFERROR(__xludf.DUMMYFUNCTION("""COMPUTED_VALUE"""),"Tech Rao")</f>
        <v>Tech Rao</v>
      </c>
      <c r="V655" s="33">
        <f>IFERROR(__xludf.DUMMYFUNCTION("""COMPUTED_VALUE"""),0.5454545454545454)</f>
        <v>0.5454545455</v>
      </c>
      <c r="W655" s="4" t="str">
        <f>IFERROR(__xludf.DUMMYFUNCTION("""COMPUTED_VALUE"""),"Tech Rao")</f>
        <v>Tech Rao</v>
      </c>
      <c r="X655" s="33">
        <f>IFERROR(__xludf.DUMMYFUNCTION("""COMPUTED_VALUE"""),0.5454545454545454)</f>
        <v>0.5454545455</v>
      </c>
    </row>
    <row r="656">
      <c r="K656" s="4" t="str">
        <f>IFERROR(__xludf.DUMMYFUNCTION("""COMPUTED_VALUE"""),"CANTUCCI OSTERIA")</f>
        <v>CANTUCCI OSTERIA</v>
      </c>
      <c r="L656" s="32">
        <f>IFERROR(__xludf.DUMMYFUNCTION("""COMPUTED_VALUE"""),11.0)</f>
        <v>11</v>
      </c>
      <c r="M656" s="4" t="str">
        <f>IFERROR(__xludf.DUMMYFUNCTION("""COMPUTED_VALUE"""),"Netcontroll Xmenu")</f>
        <v>Netcontroll Xmenu</v>
      </c>
      <c r="N656" s="33">
        <f>IFERROR(__xludf.DUMMYFUNCTION("""COMPUTED_VALUE"""),0.8181818181818182)</f>
        <v>0.8181818182</v>
      </c>
      <c r="O656" s="4" t="str">
        <f>IFERROR(__xludf.DUMMYFUNCTION("""COMPUTED_VALUE"""),"Netcontroll Xmenu")</f>
        <v>Netcontroll Xmenu</v>
      </c>
      <c r="P656" s="33">
        <f>IFERROR(__xludf.DUMMYFUNCTION("""COMPUTED_VALUE"""),0.8181818181818182)</f>
        <v>0.8181818182</v>
      </c>
      <c r="Q656" s="4" t="str">
        <f>IFERROR(__xludf.DUMMYFUNCTION("""COMPUTED_VALUE"""),"Netcontroll Xmenu")</f>
        <v>Netcontroll Xmenu</v>
      </c>
      <c r="R656" s="33">
        <f>IFERROR(__xludf.DUMMYFUNCTION("""COMPUTED_VALUE"""),0.8181818181818182)</f>
        <v>0.8181818182</v>
      </c>
      <c r="S656" s="4" t="str">
        <f>IFERROR(__xludf.DUMMYFUNCTION("""COMPUTED_VALUE"""),"Netcontroll Xmenu")</f>
        <v>Netcontroll Xmenu</v>
      </c>
      <c r="T656" s="33">
        <f>IFERROR(__xludf.DUMMYFUNCTION("""COMPUTED_VALUE"""),0.5454545454545454)</f>
        <v>0.5454545455</v>
      </c>
      <c r="U656" s="4" t="str">
        <f>IFERROR(__xludf.DUMMYFUNCTION("""COMPUTED_VALUE"""),"Ncr")</f>
        <v>Ncr</v>
      </c>
      <c r="V656" s="33">
        <f>IFERROR(__xludf.DUMMYFUNCTION("""COMPUTED_VALUE"""),0.9090909090909091)</f>
        <v>0.9090909091</v>
      </c>
      <c r="W656" s="4" t="str">
        <f>IFERROR(__xludf.DUMMYFUNCTION("""COMPUTED_VALUE"""),"Ncr")</f>
        <v>Ncr</v>
      </c>
      <c r="X656" s="33">
        <f>IFERROR(__xludf.DUMMYFUNCTION("""COMPUTED_VALUE"""),0.8181818181818182)</f>
        <v>0.8181818182</v>
      </c>
    </row>
    <row r="657">
      <c r="K657" s="4" t="str">
        <f>IFERROR(__xludf.DUMMYFUNCTION("""COMPUTED_VALUE"""),"CASA DA VO BIA")</f>
        <v>CASA DA VO BIA</v>
      </c>
      <c r="L657" s="32">
        <f>IFERROR(__xludf.DUMMYFUNCTION("""COMPUTED_VALUE"""),11.0)</f>
        <v>11</v>
      </c>
      <c r="M657" s="4" t="str">
        <f>IFERROR(__xludf.DUMMYFUNCTION("""COMPUTED_VALUE"""),"Saipos Serviços De Software")</f>
        <v>Saipos Serviços De Software</v>
      </c>
      <c r="N657" s="33">
        <f>IFERROR(__xludf.DUMMYFUNCTION("""COMPUTED_VALUE"""),0.5454545454545454)</f>
        <v>0.5454545455</v>
      </c>
      <c r="O657" s="4" t="str">
        <f>IFERROR(__xludf.DUMMYFUNCTION("""COMPUTED_VALUE"""),"Saipos Serviços De Software")</f>
        <v>Saipos Serviços De Software</v>
      </c>
      <c r="P657" s="33">
        <f>IFERROR(__xludf.DUMMYFUNCTION("""COMPUTED_VALUE"""),0.5454545454545454)</f>
        <v>0.5454545455</v>
      </c>
      <c r="Q657" s="4" t="str">
        <f>IFERROR(__xludf.DUMMYFUNCTION("""COMPUTED_VALUE"""),"Saipos Serviços De Software")</f>
        <v>Saipos Serviços De Software</v>
      </c>
      <c r="R657" s="33">
        <f>IFERROR(__xludf.DUMMYFUNCTION("""COMPUTED_VALUE"""),0.6363636363636364)</f>
        <v>0.6363636364</v>
      </c>
      <c r="S657" s="4" t="str">
        <f>IFERROR(__xludf.DUMMYFUNCTION("""COMPUTED_VALUE"""),"Saipos Serviços De Software")</f>
        <v>Saipos Serviços De Software</v>
      </c>
      <c r="T657" s="33">
        <f>IFERROR(__xludf.DUMMYFUNCTION("""COMPUTED_VALUE"""),0.6363636363636364)</f>
        <v>0.6363636364</v>
      </c>
      <c r="U657" s="4" t="str">
        <f>IFERROR(__xludf.DUMMYFUNCTION("""COMPUTED_VALUE"""),"Saipos Serviços De Software")</f>
        <v>Saipos Serviços De Software</v>
      </c>
      <c r="V657" s="33">
        <f>IFERROR(__xludf.DUMMYFUNCTION("""COMPUTED_VALUE"""),0.6363636363636364)</f>
        <v>0.6363636364</v>
      </c>
      <c r="W657" s="4" t="str">
        <f>IFERROR(__xludf.DUMMYFUNCTION("""COMPUTED_VALUE"""),"Opdv")</f>
        <v>Opdv</v>
      </c>
      <c r="X657" s="33">
        <f>IFERROR(__xludf.DUMMYFUNCTION("""COMPUTED_VALUE"""),0.5454545454545454)</f>
        <v>0.5454545455</v>
      </c>
    </row>
    <row r="658">
      <c r="K658" s="4" t="str">
        <f>IFERROR(__xludf.DUMMYFUNCTION("""COMPUTED_VALUE"""),"CHICKEN TOWN")</f>
        <v>CHICKEN TOWN</v>
      </c>
      <c r="L658" s="32">
        <f>IFERROR(__xludf.DUMMYFUNCTION("""COMPUTED_VALUE"""),11.0)</f>
        <v>11</v>
      </c>
      <c r="M658" s="4">
        <f>IFERROR(__xludf.DUMMYFUNCTION("""COMPUTED_VALUE"""),88.0)</f>
        <v>88</v>
      </c>
      <c r="N658" s="33">
        <f>IFERROR(__xludf.DUMMYFUNCTION("""COMPUTED_VALUE"""),0.7272727272727273)</f>
        <v>0.7272727273</v>
      </c>
      <c r="O658" s="4" t="str">
        <f>IFERROR(__xludf.DUMMYFUNCTION("""COMPUTED_VALUE"""),"null")</f>
        <v>null</v>
      </c>
      <c r="P658" s="33">
        <f>IFERROR(__xludf.DUMMYFUNCTION("""COMPUTED_VALUE"""),0.9090909090909091)</f>
        <v>0.9090909091</v>
      </c>
      <c r="Q658" s="4" t="str">
        <f>IFERROR(__xludf.DUMMYFUNCTION("""COMPUTED_VALUE"""),"null")</f>
        <v>null</v>
      </c>
      <c r="R658" s="33">
        <f>IFERROR(__xludf.DUMMYFUNCTION("""COMPUTED_VALUE"""),0.8181818181818182)</f>
        <v>0.8181818182</v>
      </c>
      <c r="S658" s="4" t="str">
        <f>IFERROR(__xludf.DUMMYFUNCTION("""COMPUTED_VALUE"""),"null")</f>
        <v>null</v>
      </c>
      <c r="T658" s="33">
        <f>IFERROR(__xludf.DUMMYFUNCTION("""COMPUTED_VALUE"""),0.8181818181818182)</f>
        <v>0.8181818182</v>
      </c>
      <c r="U658" s="4" t="str">
        <f>IFERROR(__xludf.DUMMYFUNCTION("""COMPUTED_VALUE"""),"null")</f>
        <v>null</v>
      </c>
      <c r="V658" s="33">
        <f>IFERROR(__xludf.DUMMYFUNCTION("""COMPUTED_VALUE"""),0.8181818181818182)</f>
        <v>0.8181818182</v>
      </c>
      <c r="W658" s="4" t="str">
        <f>IFERROR(__xludf.DUMMYFUNCTION("""COMPUTED_VALUE"""),"null")</f>
        <v>null</v>
      </c>
      <c r="X658" s="33">
        <f>IFERROR(__xludf.DUMMYFUNCTION("""COMPUTED_VALUE"""),0.7272727272727273)</f>
        <v>0.7272727273</v>
      </c>
    </row>
    <row r="659">
      <c r="K659" s="4" t="str">
        <f>IFERROR(__xludf.DUMMYFUNCTION("""COMPUTED_VALUE"""),"CIA DA TERRA - CONTA PAI")</f>
        <v>CIA DA TERRA - CONTA PAI</v>
      </c>
      <c r="L659" s="32">
        <f>IFERROR(__xludf.DUMMYFUNCTION("""COMPUTED_VALUE"""),11.0)</f>
        <v>11</v>
      </c>
      <c r="M659" s="4" t="str">
        <f>IFERROR(__xludf.DUMMYFUNCTION("""COMPUTED_VALUE"""),"N/A (Not found)")</f>
        <v>N/A (Not found)</v>
      </c>
      <c r="N659" s="33">
        <f>IFERROR(__xludf.DUMMYFUNCTION("""COMPUTED_VALUE"""),0.9090909090909091)</f>
        <v>0.9090909091</v>
      </c>
      <c r="O659" s="4" t="str">
        <f>IFERROR(__xludf.DUMMYFUNCTION("""COMPUTED_VALUE"""),"N/A (Not found)")</f>
        <v>N/A (Not found)</v>
      </c>
      <c r="P659" s="33">
        <f>IFERROR(__xludf.DUMMYFUNCTION("""COMPUTED_VALUE"""),0.8181818181818182)</f>
        <v>0.8181818182</v>
      </c>
      <c r="Q659" s="4" t="str">
        <f>IFERROR(__xludf.DUMMYFUNCTION("""COMPUTED_VALUE"""),"N/A (Not found)")</f>
        <v>N/A (Not found)</v>
      </c>
      <c r="R659" s="33">
        <f>IFERROR(__xludf.DUMMYFUNCTION("""COMPUTED_VALUE"""),0.6363636363636364)</f>
        <v>0.6363636364</v>
      </c>
      <c r="S659" s="4" t="str">
        <f>IFERROR(__xludf.DUMMYFUNCTION("""COMPUTED_VALUE"""),"null")</f>
        <v>null</v>
      </c>
      <c r="T659" s="33">
        <f>IFERROR(__xludf.DUMMYFUNCTION("""COMPUTED_VALUE"""),0.6363636363636364)</f>
        <v>0.6363636364</v>
      </c>
      <c r="U659" s="4" t="str">
        <f>IFERROR(__xludf.DUMMYFUNCTION("""COMPUTED_VALUE"""),"null")</f>
        <v>null</v>
      </c>
      <c r="V659" s="33">
        <f>IFERROR(__xludf.DUMMYFUNCTION("""COMPUTED_VALUE"""),0.5454545454545454)</f>
        <v>0.5454545455</v>
      </c>
      <c r="W659" s="4" t="str">
        <f>IFERROR(__xludf.DUMMYFUNCTION("""COMPUTED_VALUE"""),"null")</f>
        <v>null</v>
      </c>
      <c r="X659" s="33">
        <f>IFERROR(__xludf.DUMMYFUNCTION("""COMPUTED_VALUE"""),0.6363636363636364)</f>
        <v>0.6363636364</v>
      </c>
    </row>
    <row r="660">
      <c r="K660" s="4" t="str">
        <f>IFERROR(__xludf.DUMMYFUNCTION("""COMPUTED_VALUE"""),"CLUBE DO QUEIJO E TERRITORIO DA PIZZA - MARCA")</f>
        <v>CLUBE DO QUEIJO E TERRITORIO DA PIZZA - MARCA</v>
      </c>
      <c r="L660" s="32">
        <f>IFERROR(__xludf.DUMMYFUNCTION("""COMPUTED_VALUE"""),11.0)</f>
        <v>11</v>
      </c>
      <c r="M660" s="4" t="str">
        <f>IFERROR(__xludf.DUMMYFUNCTION("""COMPUTED_VALUE"""),"Saipos Serviços De Software")</f>
        <v>Saipos Serviços De Software</v>
      </c>
      <c r="N660" s="33">
        <f>IFERROR(__xludf.DUMMYFUNCTION("""COMPUTED_VALUE"""),0.9090909090909091)</f>
        <v>0.9090909091</v>
      </c>
      <c r="O660" s="4" t="str">
        <f>IFERROR(__xludf.DUMMYFUNCTION("""COMPUTED_VALUE"""),"Saipos Serviços De Software")</f>
        <v>Saipos Serviços De Software</v>
      </c>
      <c r="P660" s="33">
        <f>IFERROR(__xludf.DUMMYFUNCTION("""COMPUTED_VALUE"""),0.9090909090909091)</f>
        <v>0.9090909091</v>
      </c>
      <c r="Q660" s="4" t="str">
        <f>IFERROR(__xludf.DUMMYFUNCTION("""COMPUTED_VALUE"""),"Saipos Serviços De Software")</f>
        <v>Saipos Serviços De Software</v>
      </c>
      <c r="R660" s="33">
        <f>IFERROR(__xludf.DUMMYFUNCTION("""COMPUTED_VALUE"""),1.0)</f>
        <v>1</v>
      </c>
      <c r="S660" s="4" t="str">
        <f>IFERROR(__xludf.DUMMYFUNCTION("""COMPUTED_VALUE"""),"Saipos Serviços De Software")</f>
        <v>Saipos Serviços De Software</v>
      </c>
      <c r="T660" s="33">
        <f>IFERROR(__xludf.DUMMYFUNCTION("""COMPUTED_VALUE"""),1.0)</f>
        <v>1</v>
      </c>
      <c r="U660" s="4" t="str">
        <f>IFERROR(__xludf.DUMMYFUNCTION("""COMPUTED_VALUE"""),"Saipos Serviços De Software")</f>
        <v>Saipos Serviços De Software</v>
      </c>
      <c r="V660" s="33">
        <f>IFERROR(__xludf.DUMMYFUNCTION("""COMPUTED_VALUE"""),1.0)</f>
        <v>1</v>
      </c>
      <c r="W660" s="4" t="str">
        <f>IFERROR(__xludf.DUMMYFUNCTION("""COMPUTED_VALUE"""),"Saipos Serviços De Software")</f>
        <v>Saipos Serviços De Software</v>
      </c>
      <c r="X660" s="33">
        <f>IFERROR(__xludf.DUMMYFUNCTION("""COMPUTED_VALUE"""),1.0)</f>
        <v>1</v>
      </c>
    </row>
    <row r="661">
      <c r="K661" s="4" t="str">
        <f>IFERROR(__xludf.DUMMYFUNCTION("""COMPUTED_VALUE"""),"COOKIE DELIVERY OFICIAL")</f>
        <v>COOKIE DELIVERY OFICIAL</v>
      </c>
      <c r="L661" s="32">
        <f>IFERROR(__xludf.DUMMYFUNCTION("""COMPUTED_VALUE"""),11.0)</f>
        <v>11</v>
      </c>
      <c r="M661" s="4" t="str">
        <f>IFERROR(__xludf.DUMMYFUNCTION("""COMPUTED_VALUE"""),"Netcontroll Xmenu")</f>
        <v>Netcontroll Xmenu</v>
      </c>
      <c r="N661" s="33">
        <f>IFERROR(__xludf.DUMMYFUNCTION("""COMPUTED_VALUE"""),0.36363636363636365)</f>
        <v>0.3636363636</v>
      </c>
      <c r="O661" s="4" t="str">
        <f>IFERROR(__xludf.DUMMYFUNCTION("""COMPUTED_VALUE"""),"Netcontroll Xmenu")</f>
        <v>Netcontroll Xmenu</v>
      </c>
      <c r="P661" s="33">
        <f>IFERROR(__xludf.DUMMYFUNCTION("""COMPUTED_VALUE"""),0.36363636363636365)</f>
        <v>0.3636363636</v>
      </c>
      <c r="Q661" s="4" t="str">
        <f>IFERROR(__xludf.DUMMYFUNCTION("""COMPUTED_VALUE"""),"Netcontroll Xmenu")</f>
        <v>Netcontroll Xmenu</v>
      </c>
      <c r="R661" s="33">
        <f>IFERROR(__xludf.DUMMYFUNCTION("""COMPUTED_VALUE"""),0.36363636363636365)</f>
        <v>0.3636363636</v>
      </c>
      <c r="S661" s="4" t="str">
        <f>IFERROR(__xludf.DUMMYFUNCTION("""COMPUTED_VALUE"""),"Netcontroll Xmenu")</f>
        <v>Netcontroll Xmenu</v>
      </c>
      <c r="T661" s="33">
        <f>IFERROR(__xludf.DUMMYFUNCTION("""COMPUTED_VALUE"""),0.36363636363636365)</f>
        <v>0.3636363636</v>
      </c>
      <c r="U661" s="4" t="str">
        <f>IFERROR(__xludf.DUMMYFUNCTION("""COMPUTED_VALUE"""),"Netcontroll Xmenu")</f>
        <v>Netcontroll Xmenu</v>
      </c>
      <c r="V661" s="33">
        <f>IFERROR(__xludf.DUMMYFUNCTION("""COMPUTED_VALUE"""),0.36363636363636365)</f>
        <v>0.3636363636</v>
      </c>
      <c r="W661" s="4" t="str">
        <f>IFERROR(__xludf.DUMMYFUNCTION("""COMPUTED_VALUE"""),"Netcontroll Xmenu")</f>
        <v>Netcontroll Xmenu</v>
      </c>
      <c r="X661" s="33">
        <f>IFERROR(__xludf.DUMMYFUNCTION("""COMPUTED_VALUE"""),0.36363636363636365)</f>
        <v>0.3636363636</v>
      </c>
    </row>
    <row r="662">
      <c r="K662" s="4" t="str">
        <f>IFERROR(__xludf.DUMMYFUNCTION("""COMPUTED_VALUE"""),"GRUPO IMEC - CONTA GRUPO")</f>
        <v>GRUPO IMEC - CONTA GRUPO</v>
      </c>
      <c r="L662" s="32">
        <f>IFERROR(__xludf.DUMMYFUNCTION("""COMPUTED_VALUE"""),11.0)</f>
        <v>11</v>
      </c>
      <c r="M662" s="4" t="str">
        <f>IFERROR(__xludf.DUMMYFUNCTION("""COMPUTED_VALUE"""),"N/A (Not found)")</f>
        <v>N/A (Not found)</v>
      </c>
      <c r="N662" s="33">
        <f>IFERROR(__xludf.DUMMYFUNCTION("""COMPUTED_VALUE"""),1.0)</f>
        <v>1</v>
      </c>
      <c r="O662" s="4" t="str">
        <f>IFERROR(__xludf.DUMMYFUNCTION("""COMPUTED_VALUE"""),"N/A (Not found)")</f>
        <v>N/A (Not found)</v>
      </c>
      <c r="P662" s="33">
        <f>IFERROR(__xludf.DUMMYFUNCTION("""COMPUTED_VALUE"""),1.0)</f>
        <v>1</v>
      </c>
      <c r="Q662" s="4" t="str">
        <f>IFERROR(__xludf.DUMMYFUNCTION("""COMPUTED_VALUE"""),"N/A (Not found)")</f>
        <v>N/A (Not found)</v>
      </c>
      <c r="R662" s="33">
        <f>IFERROR(__xludf.DUMMYFUNCTION("""COMPUTED_VALUE"""),1.0)</f>
        <v>1</v>
      </c>
      <c r="S662" s="4" t="str">
        <f>IFERROR(__xludf.DUMMYFUNCTION("""COMPUTED_VALUE"""),"N/A (Not found)")</f>
        <v>N/A (Not found)</v>
      </c>
      <c r="T662" s="33">
        <f>IFERROR(__xludf.DUMMYFUNCTION("""COMPUTED_VALUE"""),1.0)</f>
        <v>1</v>
      </c>
      <c r="U662" s="4" t="str">
        <f>IFERROR(__xludf.DUMMYFUNCTION("""COMPUTED_VALUE"""),"N/A (Not found)")</f>
        <v>N/A (Not found)</v>
      </c>
      <c r="V662" s="33">
        <f>IFERROR(__xludf.DUMMYFUNCTION("""COMPUTED_VALUE"""),1.0)</f>
        <v>1</v>
      </c>
      <c r="W662" s="4" t="str">
        <f>IFERROR(__xludf.DUMMYFUNCTION("""COMPUTED_VALUE"""),"N/A (Not found)")</f>
        <v>N/A (Not found)</v>
      </c>
      <c r="X662" s="33">
        <f>IFERROR(__xludf.DUMMYFUNCTION("""COMPUTED_VALUE"""),1.0)</f>
        <v>1</v>
      </c>
    </row>
    <row r="663">
      <c r="K663" s="4" t="str">
        <f>IFERROR(__xludf.DUMMYFUNCTION("""COMPUTED_VALUE"""),"DON BURGONE - BURGER")</f>
        <v>DON BURGONE - BURGER</v>
      </c>
      <c r="L663" s="32">
        <f>IFERROR(__xludf.DUMMYFUNCTION("""COMPUTED_VALUE"""),11.0)</f>
        <v>11</v>
      </c>
      <c r="M663" s="4" t="str">
        <f>IFERROR(__xludf.DUMMYFUNCTION("""COMPUTED_VALUE"""),"Saipos Serviços De Software")</f>
        <v>Saipos Serviços De Software</v>
      </c>
      <c r="N663" s="33">
        <f>IFERROR(__xludf.DUMMYFUNCTION("""COMPUTED_VALUE"""),0.8181818181818182)</f>
        <v>0.8181818182</v>
      </c>
      <c r="O663" s="4" t="str">
        <f>IFERROR(__xludf.DUMMYFUNCTION("""COMPUTED_VALUE"""),"Saipos Serviços De Software")</f>
        <v>Saipos Serviços De Software</v>
      </c>
      <c r="P663" s="33">
        <f>IFERROR(__xludf.DUMMYFUNCTION("""COMPUTED_VALUE"""),0.7272727272727273)</f>
        <v>0.7272727273</v>
      </c>
      <c r="Q663" s="4" t="str">
        <f>IFERROR(__xludf.DUMMYFUNCTION("""COMPUTED_VALUE"""),"Saipos Serviços De Software")</f>
        <v>Saipos Serviços De Software</v>
      </c>
      <c r="R663" s="33">
        <f>IFERROR(__xludf.DUMMYFUNCTION("""COMPUTED_VALUE"""),0.7272727272727273)</f>
        <v>0.7272727273</v>
      </c>
      <c r="S663" s="4" t="str">
        <f>IFERROR(__xludf.DUMMYFUNCTION("""COMPUTED_VALUE"""),"Saipos Serviços De Software")</f>
        <v>Saipos Serviços De Software</v>
      </c>
      <c r="T663" s="33">
        <f>IFERROR(__xludf.DUMMYFUNCTION("""COMPUTED_VALUE"""),0.7272727272727273)</f>
        <v>0.7272727273</v>
      </c>
      <c r="U663" s="4" t="str">
        <f>IFERROR(__xludf.DUMMYFUNCTION("""COMPUTED_VALUE"""),"Saipos Serviços De Software")</f>
        <v>Saipos Serviços De Software</v>
      </c>
      <c r="V663" s="33">
        <f>IFERROR(__xludf.DUMMYFUNCTION("""COMPUTED_VALUE"""),0.7272727272727273)</f>
        <v>0.7272727273</v>
      </c>
      <c r="W663" s="4" t="str">
        <f>IFERROR(__xludf.DUMMYFUNCTION("""COMPUTED_VALUE"""),"Saipos Serviços De Software")</f>
        <v>Saipos Serviços De Software</v>
      </c>
      <c r="X663" s="33">
        <f>IFERROR(__xludf.DUMMYFUNCTION("""COMPUTED_VALUE"""),0.7272727272727273)</f>
        <v>0.7272727273</v>
      </c>
    </row>
    <row r="664">
      <c r="K664" s="4" t="str">
        <f>IFERROR(__xludf.DUMMYFUNCTION("""COMPUTED_VALUE"""),"DROGATUR DROGARIA - CONTA PAI")</f>
        <v>DROGATUR DROGARIA - CONTA PAI</v>
      </c>
      <c r="L664" s="32">
        <f>IFERROR(__xludf.DUMMYFUNCTION("""COMPUTED_VALUE"""),11.0)</f>
        <v>11</v>
      </c>
      <c r="M664" s="4" t="str">
        <f>IFERROR(__xludf.DUMMYFUNCTION("""COMPUTED_VALUE"""),"N/A (Not found)")</f>
        <v>N/A (Not found)</v>
      </c>
      <c r="N664" s="33">
        <f>IFERROR(__xludf.DUMMYFUNCTION("""COMPUTED_VALUE"""),0.8181818181818182)</f>
        <v>0.8181818182</v>
      </c>
      <c r="O664" s="4" t="str">
        <f>IFERROR(__xludf.DUMMYFUNCTION("""COMPUTED_VALUE"""),"N/A (Not found)")</f>
        <v>N/A (Not found)</v>
      </c>
      <c r="P664" s="33">
        <f>IFERROR(__xludf.DUMMYFUNCTION("""COMPUTED_VALUE"""),1.0)</f>
        <v>1</v>
      </c>
      <c r="Q664" s="4" t="str">
        <f>IFERROR(__xludf.DUMMYFUNCTION("""COMPUTED_VALUE"""),"N/A (Not found)")</f>
        <v>N/A (Not found)</v>
      </c>
      <c r="R664" s="33">
        <f>IFERROR(__xludf.DUMMYFUNCTION("""COMPUTED_VALUE"""),0.9090909090909091)</f>
        <v>0.9090909091</v>
      </c>
      <c r="S664" s="4" t="str">
        <f>IFERROR(__xludf.DUMMYFUNCTION("""COMPUTED_VALUE"""),"N/A (Not found)")</f>
        <v>N/A (Not found)</v>
      </c>
      <c r="T664" s="33">
        <f>IFERROR(__xludf.DUMMYFUNCTION("""COMPUTED_VALUE"""),1.0)</f>
        <v>1</v>
      </c>
      <c r="U664" s="4" t="str">
        <f>IFERROR(__xludf.DUMMYFUNCTION("""COMPUTED_VALUE"""),"N/A (Not found)")</f>
        <v>N/A (Not found)</v>
      </c>
      <c r="V664" s="33">
        <f>IFERROR(__xludf.DUMMYFUNCTION("""COMPUTED_VALUE"""),1.0)</f>
        <v>1</v>
      </c>
      <c r="W664" s="4" t="str">
        <f>IFERROR(__xludf.DUMMYFUNCTION("""COMPUTED_VALUE"""),"N/A (Not found)")</f>
        <v>N/A (Not found)</v>
      </c>
      <c r="X664" s="33">
        <f>IFERROR(__xludf.DUMMYFUNCTION("""COMPUTED_VALUE"""),1.0)</f>
        <v>1</v>
      </c>
    </row>
    <row r="665">
      <c r="K665" s="4" t="str">
        <f>IFERROR(__xludf.DUMMYFUNCTION("""COMPUTED_VALUE"""),"EAT AND FIT")</f>
        <v>EAT AND FIT</v>
      </c>
      <c r="L665" s="32">
        <f>IFERROR(__xludf.DUMMYFUNCTION("""COMPUTED_VALUE"""),11.0)</f>
        <v>11</v>
      </c>
      <c r="M665" s="4" t="str">
        <f>IFERROR(__xludf.DUMMYFUNCTION("""COMPUTED_VALUE"""),"Saipos Serviços De Software")</f>
        <v>Saipos Serviços De Software</v>
      </c>
      <c r="N665" s="33">
        <f>IFERROR(__xludf.DUMMYFUNCTION("""COMPUTED_VALUE"""),1.0)</f>
        <v>1</v>
      </c>
      <c r="O665" s="4" t="str">
        <f>IFERROR(__xludf.DUMMYFUNCTION("""COMPUTED_VALUE"""),"Saipos Serviços De Software")</f>
        <v>Saipos Serviços De Software</v>
      </c>
      <c r="P665" s="33">
        <f>IFERROR(__xludf.DUMMYFUNCTION("""COMPUTED_VALUE"""),1.0)</f>
        <v>1</v>
      </c>
      <c r="Q665" s="4" t="str">
        <f>IFERROR(__xludf.DUMMYFUNCTION("""COMPUTED_VALUE"""),"Saipos Serviços De Software")</f>
        <v>Saipos Serviços De Software</v>
      </c>
      <c r="R665" s="33">
        <f>IFERROR(__xludf.DUMMYFUNCTION("""COMPUTED_VALUE"""),1.0)</f>
        <v>1</v>
      </c>
      <c r="S665" s="4" t="str">
        <f>IFERROR(__xludf.DUMMYFUNCTION("""COMPUTED_VALUE"""),"Saipos Serviços De Software")</f>
        <v>Saipos Serviços De Software</v>
      </c>
      <c r="T665" s="33">
        <f>IFERROR(__xludf.DUMMYFUNCTION("""COMPUTED_VALUE"""),1.0)</f>
        <v>1</v>
      </c>
      <c r="U665" s="4" t="str">
        <f>IFERROR(__xludf.DUMMYFUNCTION("""COMPUTED_VALUE"""),"Saipos Serviços De Software")</f>
        <v>Saipos Serviços De Software</v>
      </c>
      <c r="V665" s="33">
        <f>IFERROR(__xludf.DUMMYFUNCTION("""COMPUTED_VALUE"""),0.9090909090909091)</f>
        <v>0.9090909091</v>
      </c>
      <c r="W665" s="4" t="str">
        <f>IFERROR(__xludf.DUMMYFUNCTION("""COMPUTED_VALUE"""),"Saipos Serviços De Software")</f>
        <v>Saipos Serviços De Software</v>
      </c>
      <c r="X665" s="33">
        <f>IFERROR(__xludf.DUMMYFUNCTION("""COMPUTED_VALUE"""),1.0)</f>
        <v>1</v>
      </c>
    </row>
    <row r="666">
      <c r="K666" s="4" t="str">
        <f>IFERROR(__xludf.DUMMYFUNCTION("""COMPUTED_VALUE"""),"EXTRA POPULAR - CONTA MARCA")</f>
        <v>EXTRA POPULAR - CONTA MARCA</v>
      </c>
      <c r="L666" s="32">
        <f>IFERROR(__xludf.DUMMYFUNCTION("""COMPUTED_VALUE"""),11.0)</f>
        <v>11</v>
      </c>
      <c r="M666" s="4" t="str">
        <f>IFERROR(__xludf.DUMMYFUNCTION("""COMPUTED_VALUE"""),"null")</f>
        <v>null</v>
      </c>
      <c r="N666" s="33">
        <f>IFERROR(__xludf.DUMMYFUNCTION("""COMPUTED_VALUE"""),0.8181818181818182)</f>
        <v>0.8181818182</v>
      </c>
      <c r="O666" s="4" t="str">
        <f>IFERROR(__xludf.DUMMYFUNCTION("""COMPUTED_VALUE"""),"null")</f>
        <v>null</v>
      </c>
      <c r="P666" s="33">
        <f>IFERROR(__xludf.DUMMYFUNCTION("""COMPUTED_VALUE"""),0.7272727272727273)</f>
        <v>0.7272727273</v>
      </c>
      <c r="Q666" s="4" t="str">
        <f>IFERROR(__xludf.DUMMYFUNCTION("""COMPUTED_VALUE"""),"null")</f>
        <v>null</v>
      </c>
      <c r="R666" s="33">
        <f>IFERROR(__xludf.DUMMYFUNCTION("""COMPUTED_VALUE"""),0.7272727272727273)</f>
        <v>0.7272727273</v>
      </c>
      <c r="S666" s="4" t="str">
        <f>IFERROR(__xludf.DUMMYFUNCTION("""COMPUTED_VALUE"""),"null")</f>
        <v>null</v>
      </c>
      <c r="T666" s="33">
        <f>IFERROR(__xludf.DUMMYFUNCTION("""COMPUTED_VALUE"""),0.7272727272727273)</f>
        <v>0.7272727273</v>
      </c>
      <c r="U666" s="4" t="str">
        <f>IFERROR(__xludf.DUMMYFUNCTION("""COMPUTED_VALUE"""),"N/A (Not found)")</f>
        <v>N/A (Not found)</v>
      </c>
      <c r="V666" s="33">
        <f>IFERROR(__xludf.DUMMYFUNCTION("""COMPUTED_VALUE"""),0.8181818181818182)</f>
        <v>0.8181818182</v>
      </c>
      <c r="W666" s="4" t="str">
        <f>IFERROR(__xludf.DUMMYFUNCTION("""COMPUTED_VALUE"""),"N/A (Not found)")</f>
        <v>N/A (Not found)</v>
      </c>
      <c r="X666" s="33">
        <f>IFERROR(__xludf.DUMMYFUNCTION("""COMPUTED_VALUE"""),0.7272727272727273)</f>
        <v>0.7272727273</v>
      </c>
    </row>
    <row r="667">
      <c r="K667" s="4" t="str">
        <f>IFERROR(__xludf.DUMMYFUNCTION("""COMPUTED_VALUE"""),"FARMADEZ - CONTA PAI")</f>
        <v>FARMADEZ - CONTA PAI</v>
      </c>
      <c r="L667" s="32">
        <f>IFERROR(__xludf.DUMMYFUNCTION("""COMPUTED_VALUE"""),11.0)</f>
        <v>11</v>
      </c>
      <c r="M667" s="4" t="str">
        <f>IFERROR(__xludf.DUMMYFUNCTION("""COMPUTED_VALUE"""),"N/A (Not found)")</f>
        <v>N/A (Not found)</v>
      </c>
      <c r="N667" s="33">
        <f>IFERROR(__xludf.DUMMYFUNCTION("""COMPUTED_VALUE"""),1.0)</f>
        <v>1</v>
      </c>
      <c r="O667" s="4" t="str">
        <f>IFERROR(__xludf.DUMMYFUNCTION("""COMPUTED_VALUE"""),"N/A (Not found)")</f>
        <v>N/A (Not found)</v>
      </c>
      <c r="P667" s="33">
        <f>IFERROR(__xludf.DUMMYFUNCTION("""COMPUTED_VALUE"""),1.0)</f>
        <v>1</v>
      </c>
      <c r="Q667" s="4" t="str">
        <f>IFERROR(__xludf.DUMMYFUNCTION("""COMPUTED_VALUE"""),"N/A (Not found)")</f>
        <v>N/A (Not found)</v>
      </c>
      <c r="R667" s="33">
        <f>IFERROR(__xludf.DUMMYFUNCTION("""COMPUTED_VALUE"""),1.0)</f>
        <v>1</v>
      </c>
      <c r="S667" s="4" t="str">
        <f>IFERROR(__xludf.DUMMYFUNCTION("""COMPUTED_VALUE"""),"N/A (Not found)")</f>
        <v>N/A (Not found)</v>
      </c>
      <c r="T667" s="33">
        <f>IFERROR(__xludf.DUMMYFUNCTION("""COMPUTED_VALUE"""),1.0)</f>
        <v>1</v>
      </c>
      <c r="U667" s="4" t="str">
        <f>IFERROR(__xludf.DUMMYFUNCTION("""COMPUTED_VALUE"""),"N/A (Not found)")</f>
        <v>N/A (Not found)</v>
      </c>
      <c r="V667" s="33">
        <f>IFERROR(__xludf.DUMMYFUNCTION("""COMPUTED_VALUE"""),1.0)</f>
        <v>1</v>
      </c>
      <c r="W667" s="4" t="str">
        <f>IFERROR(__xludf.DUMMYFUNCTION("""COMPUTED_VALUE"""),"N/A (Not found)")</f>
        <v>N/A (Not found)</v>
      </c>
      <c r="X667" s="33">
        <f>IFERROR(__xludf.DUMMYFUNCTION("""COMPUTED_VALUE"""),1.0)</f>
        <v>1</v>
      </c>
    </row>
    <row r="668">
      <c r="K668" s="4" t="str">
        <f>IFERROR(__xludf.DUMMYFUNCTION("""COMPUTED_VALUE"""),"FREGUESIA HAMBURGUERIA - RIO BRANCO")</f>
        <v>FREGUESIA HAMBURGUERIA - RIO BRANCO</v>
      </c>
      <c r="L668" s="32">
        <f>IFERROR(__xludf.DUMMYFUNCTION("""COMPUTED_VALUE"""),11.0)</f>
        <v>11</v>
      </c>
      <c r="M668" s="4" t="str">
        <f>IFERROR(__xludf.DUMMYFUNCTION("""COMPUTED_VALUE"""),"Saipos Serviços De Software")</f>
        <v>Saipos Serviços De Software</v>
      </c>
      <c r="N668" s="33">
        <f>IFERROR(__xludf.DUMMYFUNCTION("""COMPUTED_VALUE"""),0.7272727272727273)</f>
        <v>0.7272727273</v>
      </c>
      <c r="O668" s="4" t="str">
        <f>IFERROR(__xludf.DUMMYFUNCTION("""COMPUTED_VALUE"""),"Saipos Serviços De Software")</f>
        <v>Saipos Serviços De Software</v>
      </c>
      <c r="P668" s="33">
        <f>IFERROR(__xludf.DUMMYFUNCTION("""COMPUTED_VALUE"""),0.7272727272727273)</f>
        <v>0.7272727273</v>
      </c>
      <c r="Q668" s="4" t="str">
        <f>IFERROR(__xludf.DUMMYFUNCTION("""COMPUTED_VALUE"""),"Saipos Serviços De Software")</f>
        <v>Saipos Serviços De Software</v>
      </c>
      <c r="R668" s="33">
        <f>IFERROR(__xludf.DUMMYFUNCTION("""COMPUTED_VALUE"""),0.7272727272727273)</f>
        <v>0.7272727273</v>
      </c>
      <c r="S668" s="4" t="str">
        <f>IFERROR(__xludf.DUMMYFUNCTION("""COMPUTED_VALUE"""),"Saipos Serviços De Software")</f>
        <v>Saipos Serviços De Software</v>
      </c>
      <c r="T668" s="33">
        <f>IFERROR(__xludf.DUMMYFUNCTION("""COMPUTED_VALUE"""),0.9090909090909091)</f>
        <v>0.9090909091</v>
      </c>
      <c r="U668" s="4" t="str">
        <f>IFERROR(__xludf.DUMMYFUNCTION("""COMPUTED_VALUE"""),"Saipos Serviços De Software")</f>
        <v>Saipos Serviços De Software</v>
      </c>
      <c r="V668" s="33">
        <f>IFERROR(__xludf.DUMMYFUNCTION("""COMPUTED_VALUE"""),0.9090909090909091)</f>
        <v>0.9090909091</v>
      </c>
      <c r="W668" s="4" t="str">
        <f>IFERROR(__xludf.DUMMYFUNCTION("""COMPUTED_VALUE"""),"Saipos Serviços De Software")</f>
        <v>Saipos Serviços De Software</v>
      </c>
      <c r="X668" s="33">
        <f>IFERROR(__xludf.DUMMYFUNCTION("""COMPUTED_VALUE"""),0.8181818181818182)</f>
        <v>0.8181818182</v>
      </c>
    </row>
    <row r="669">
      <c r="K669" s="4" t="str">
        <f>IFERROR(__xludf.DUMMYFUNCTION("""COMPUTED_VALUE"""),"GRUPO KIMURA")</f>
        <v>GRUPO KIMURA</v>
      </c>
      <c r="L669" s="32">
        <f>IFERROR(__xludf.DUMMYFUNCTION("""COMPUTED_VALUE"""),11.0)</f>
        <v>11</v>
      </c>
      <c r="M669" s="4" t="str">
        <f>IFERROR(__xludf.DUMMYFUNCTION("""COMPUTED_VALUE"""),"Saipos Serviços De Software")</f>
        <v>Saipos Serviços De Software</v>
      </c>
      <c r="N669" s="33">
        <f>IFERROR(__xludf.DUMMYFUNCTION("""COMPUTED_VALUE"""),0.9090909090909091)</f>
        <v>0.9090909091</v>
      </c>
      <c r="O669" s="4" t="str">
        <f>IFERROR(__xludf.DUMMYFUNCTION("""COMPUTED_VALUE"""),"Saipos Serviços De Software")</f>
        <v>Saipos Serviços De Software</v>
      </c>
      <c r="P669" s="33">
        <f>IFERROR(__xludf.DUMMYFUNCTION("""COMPUTED_VALUE"""),0.9090909090909091)</f>
        <v>0.9090909091</v>
      </c>
      <c r="Q669" s="4" t="str">
        <f>IFERROR(__xludf.DUMMYFUNCTION("""COMPUTED_VALUE"""),"Saipos Serviços De Software")</f>
        <v>Saipos Serviços De Software</v>
      </c>
      <c r="R669" s="33">
        <f>IFERROR(__xludf.DUMMYFUNCTION("""COMPUTED_VALUE"""),0.9090909090909091)</f>
        <v>0.9090909091</v>
      </c>
      <c r="S669" s="4" t="str">
        <f>IFERROR(__xludf.DUMMYFUNCTION("""COMPUTED_VALUE"""),"Saipos Serviços De Software")</f>
        <v>Saipos Serviços De Software</v>
      </c>
      <c r="T669" s="33">
        <f>IFERROR(__xludf.DUMMYFUNCTION("""COMPUTED_VALUE"""),1.0)</f>
        <v>1</v>
      </c>
      <c r="U669" s="4" t="str">
        <f>IFERROR(__xludf.DUMMYFUNCTION("""COMPUTED_VALUE"""),"Saipos Serviços De Software")</f>
        <v>Saipos Serviços De Software</v>
      </c>
      <c r="V669" s="33">
        <f>IFERROR(__xludf.DUMMYFUNCTION("""COMPUTED_VALUE"""),1.0)</f>
        <v>1</v>
      </c>
      <c r="W669" s="4" t="str">
        <f>IFERROR(__xludf.DUMMYFUNCTION("""COMPUTED_VALUE"""),"Saipos Serviços De Software")</f>
        <v>Saipos Serviços De Software</v>
      </c>
      <c r="X669" s="33">
        <f>IFERROR(__xludf.DUMMYFUNCTION("""COMPUTED_VALUE"""),0.9090909090909091)</f>
        <v>0.9090909091</v>
      </c>
    </row>
    <row r="670">
      <c r="K670" s="4" t="str">
        <f>IFERROR(__xludf.DUMMYFUNCTION("""COMPUTED_VALUE"""),"GREEN STATION NACIONAL")</f>
        <v>GREEN STATION NACIONAL</v>
      </c>
      <c r="L670" s="32">
        <f>IFERROR(__xludf.DUMMYFUNCTION("""COMPUTED_VALUE"""),11.0)</f>
        <v>11</v>
      </c>
      <c r="M670" s="4" t="str">
        <f>IFERROR(__xludf.DUMMYFUNCTION("""COMPUTED_VALUE"""),"Yooga")</f>
        <v>Yooga</v>
      </c>
      <c r="N670" s="33">
        <f>IFERROR(__xludf.DUMMYFUNCTION("""COMPUTED_VALUE"""),0.7272727272727273)</f>
        <v>0.7272727273</v>
      </c>
      <c r="O670" s="4" t="str">
        <f>IFERROR(__xludf.DUMMYFUNCTION("""COMPUTED_VALUE"""),"Yooga")</f>
        <v>Yooga</v>
      </c>
      <c r="P670" s="33">
        <f>IFERROR(__xludf.DUMMYFUNCTION("""COMPUTED_VALUE"""),0.6363636363636364)</f>
        <v>0.6363636364</v>
      </c>
      <c r="Q670" s="4" t="str">
        <f>IFERROR(__xludf.DUMMYFUNCTION("""COMPUTED_VALUE"""),"Yooga")</f>
        <v>Yooga</v>
      </c>
      <c r="R670" s="33">
        <f>IFERROR(__xludf.DUMMYFUNCTION("""COMPUTED_VALUE"""),0.5454545454545454)</f>
        <v>0.5454545455</v>
      </c>
      <c r="S670" s="4" t="str">
        <f>IFERROR(__xludf.DUMMYFUNCTION("""COMPUTED_VALUE"""),"Yooga")</f>
        <v>Yooga</v>
      </c>
      <c r="T670" s="33">
        <f>IFERROR(__xludf.DUMMYFUNCTION("""COMPUTED_VALUE"""),0.5454545454545454)</f>
        <v>0.5454545455</v>
      </c>
      <c r="U670" s="4" t="str">
        <f>IFERROR(__xludf.DUMMYFUNCTION("""COMPUTED_VALUE"""),"Yooga")</f>
        <v>Yooga</v>
      </c>
      <c r="V670" s="33">
        <f>IFERROR(__xludf.DUMMYFUNCTION("""COMPUTED_VALUE"""),0.5454545454545454)</f>
        <v>0.5454545455</v>
      </c>
      <c r="W670" s="4" t="str">
        <f>IFERROR(__xludf.DUMMYFUNCTION("""COMPUTED_VALUE"""),"Yooga")</f>
        <v>Yooga</v>
      </c>
      <c r="X670" s="33">
        <f>IFERROR(__xludf.DUMMYFUNCTION("""COMPUTED_VALUE"""),0.6363636363636364)</f>
        <v>0.6363636364</v>
      </c>
    </row>
    <row r="671">
      <c r="K671" s="4" t="str">
        <f>IFERROR(__xludf.DUMMYFUNCTION("""COMPUTED_VALUE"""),"GRUPO GREENJOY")</f>
        <v>GRUPO GREENJOY</v>
      </c>
      <c r="L671" s="32">
        <f>IFERROR(__xludf.DUMMYFUNCTION("""COMPUTED_VALUE"""),11.0)</f>
        <v>11</v>
      </c>
      <c r="M671" s="4" t="str">
        <f>IFERROR(__xludf.DUMMYFUNCTION("""COMPUTED_VALUE"""),"Eclética Tecnologia")</f>
        <v>Eclética Tecnologia</v>
      </c>
      <c r="N671" s="33">
        <f>IFERROR(__xludf.DUMMYFUNCTION("""COMPUTED_VALUE"""),1.0)</f>
        <v>1</v>
      </c>
      <c r="O671" s="4" t="str">
        <f>IFERROR(__xludf.DUMMYFUNCTION("""COMPUTED_VALUE"""),"Eclética Tecnologia")</f>
        <v>Eclética Tecnologia</v>
      </c>
      <c r="P671" s="33">
        <f>IFERROR(__xludf.DUMMYFUNCTION("""COMPUTED_VALUE"""),0.9090909090909091)</f>
        <v>0.9090909091</v>
      </c>
      <c r="Q671" s="4" t="str">
        <f>IFERROR(__xludf.DUMMYFUNCTION("""COMPUTED_VALUE"""),"Eclética Tecnologia")</f>
        <v>Eclética Tecnologia</v>
      </c>
      <c r="R671" s="33">
        <f>IFERROR(__xludf.DUMMYFUNCTION("""COMPUTED_VALUE"""),0.8181818181818182)</f>
        <v>0.8181818182</v>
      </c>
      <c r="S671" s="4" t="str">
        <f>IFERROR(__xludf.DUMMYFUNCTION("""COMPUTED_VALUE"""),"Eclética Tecnologia")</f>
        <v>Eclética Tecnologia</v>
      </c>
      <c r="T671" s="33">
        <f>IFERROR(__xludf.DUMMYFUNCTION("""COMPUTED_VALUE"""),0.9090909090909091)</f>
        <v>0.9090909091</v>
      </c>
      <c r="U671" s="4" t="str">
        <f>IFERROR(__xludf.DUMMYFUNCTION("""COMPUTED_VALUE"""),"Eclética Tecnologia")</f>
        <v>Eclética Tecnologia</v>
      </c>
      <c r="V671" s="33">
        <f>IFERROR(__xludf.DUMMYFUNCTION("""COMPUTED_VALUE"""),0.8181818181818182)</f>
        <v>0.8181818182</v>
      </c>
      <c r="W671" s="4" t="str">
        <f>IFERROR(__xludf.DUMMYFUNCTION("""COMPUTED_VALUE"""),"Eclética Tecnologia")</f>
        <v>Eclética Tecnologia</v>
      </c>
      <c r="X671" s="33">
        <f>IFERROR(__xludf.DUMMYFUNCTION("""COMPUTED_VALUE"""),0.9090909090909091)</f>
        <v>0.9090909091</v>
      </c>
    </row>
    <row r="672">
      <c r="K672" s="4" t="str">
        <f>IFERROR(__xludf.DUMMYFUNCTION("""COMPUTED_VALUE"""),"GRUPO GELEIA")</f>
        <v>GRUPO GELEIA</v>
      </c>
      <c r="L672" s="32">
        <f>IFERROR(__xludf.DUMMYFUNCTION("""COMPUTED_VALUE"""),11.0)</f>
        <v>11</v>
      </c>
      <c r="M672" s="4" t="str">
        <f>IFERROR(__xludf.DUMMYFUNCTION("""COMPUTED_VALUE"""),"Saipos Serviços De Software")</f>
        <v>Saipos Serviços De Software</v>
      </c>
      <c r="N672" s="33">
        <f>IFERROR(__xludf.DUMMYFUNCTION("""COMPUTED_VALUE"""),1.0)</f>
        <v>1</v>
      </c>
      <c r="O672" s="4" t="str">
        <f>IFERROR(__xludf.DUMMYFUNCTION("""COMPUTED_VALUE"""),"Saipos Serviços De Software")</f>
        <v>Saipos Serviços De Software</v>
      </c>
      <c r="P672" s="33">
        <f>IFERROR(__xludf.DUMMYFUNCTION("""COMPUTED_VALUE"""),1.0)</f>
        <v>1</v>
      </c>
      <c r="Q672" s="4" t="str">
        <f>IFERROR(__xludf.DUMMYFUNCTION("""COMPUTED_VALUE"""),"Saipos Serviços De Software")</f>
        <v>Saipos Serviços De Software</v>
      </c>
      <c r="R672" s="33">
        <f>IFERROR(__xludf.DUMMYFUNCTION("""COMPUTED_VALUE"""),1.0)</f>
        <v>1</v>
      </c>
      <c r="S672" s="4" t="str">
        <f>IFERROR(__xludf.DUMMYFUNCTION("""COMPUTED_VALUE"""),"Saipos Serviços De Software")</f>
        <v>Saipos Serviços De Software</v>
      </c>
      <c r="T672" s="33">
        <f>IFERROR(__xludf.DUMMYFUNCTION("""COMPUTED_VALUE"""),1.0)</f>
        <v>1</v>
      </c>
      <c r="U672" s="4" t="str">
        <f>IFERROR(__xludf.DUMMYFUNCTION("""COMPUTED_VALUE"""),"Saipos Serviços De Software")</f>
        <v>Saipos Serviços De Software</v>
      </c>
      <c r="V672" s="33">
        <f>IFERROR(__xludf.DUMMYFUNCTION("""COMPUTED_VALUE"""),1.0)</f>
        <v>1</v>
      </c>
      <c r="W672" s="4" t="str">
        <f>IFERROR(__xludf.DUMMYFUNCTION("""COMPUTED_VALUE"""),"Saipos Serviços De Software")</f>
        <v>Saipos Serviços De Software</v>
      </c>
      <c r="X672" s="33">
        <f>IFERROR(__xludf.DUMMYFUNCTION("""COMPUTED_VALUE"""),1.0)</f>
        <v>1</v>
      </c>
    </row>
    <row r="673">
      <c r="K673" s="4" t="str">
        <f>IFERROR(__xludf.DUMMYFUNCTION("""COMPUTED_VALUE"""),"GRUPO MANTINI")</f>
        <v>GRUPO MANTINI</v>
      </c>
      <c r="L673" s="32">
        <f>IFERROR(__xludf.DUMMYFUNCTION("""COMPUTED_VALUE"""),11.0)</f>
        <v>11</v>
      </c>
      <c r="M673" s="4" t="str">
        <f>IFERROR(__xludf.DUMMYFUNCTION("""COMPUTED_VALUE"""),"Berp Sistemas")</f>
        <v>Berp Sistemas</v>
      </c>
      <c r="N673" s="33">
        <f>IFERROR(__xludf.DUMMYFUNCTION("""COMPUTED_VALUE"""),0.7272727272727273)</f>
        <v>0.7272727273</v>
      </c>
      <c r="O673" s="4" t="str">
        <f>IFERROR(__xludf.DUMMYFUNCTION("""COMPUTED_VALUE"""),"Berp Sistemas")</f>
        <v>Berp Sistemas</v>
      </c>
      <c r="P673" s="33">
        <f>IFERROR(__xludf.DUMMYFUNCTION("""COMPUTED_VALUE"""),0.7272727272727273)</f>
        <v>0.7272727273</v>
      </c>
      <c r="Q673" s="4" t="str">
        <f>IFERROR(__xludf.DUMMYFUNCTION("""COMPUTED_VALUE"""),"Berp Sistemas")</f>
        <v>Berp Sistemas</v>
      </c>
      <c r="R673" s="33">
        <f>IFERROR(__xludf.DUMMYFUNCTION("""COMPUTED_VALUE"""),0.7272727272727273)</f>
        <v>0.7272727273</v>
      </c>
      <c r="S673" s="4" t="str">
        <f>IFERROR(__xludf.DUMMYFUNCTION("""COMPUTED_VALUE"""),"Berp Sistemas")</f>
        <v>Berp Sistemas</v>
      </c>
      <c r="T673" s="33">
        <f>IFERROR(__xludf.DUMMYFUNCTION("""COMPUTED_VALUE"""),0.7272727272727273)</f>
        <v>0.7272727273</v>
      </c>
      <c r="U673" s="4" t="str">
        <f>IFERROR(__xludf.DUMMYFUNCTION("""COMPUTED_VALUE"""),"Berp Sistemas")</f>
        <v>Berp Sistemas</v>
      </c>
      <c r="V673" s="33">
        <f>IFERROR(__xludf.DUMMYFUNCTION("""COMPUTED_VALUE"""),0.7272727272727273)</f>
        <v>0.7272727273</v>
      </c>
      <c r="W673" s="4" t="str">
        <f>IFERROR(__xludf.DUMMYFUNCTION("""COMPUTED_VALUE"""),"Berp Sistemas")</f>
        <v>Berp Sistemas</v>
      </c>
      <c r="X673" s="33">
        <f>IFERROR(__xludf.DUMMYFUNCTION("""COMPUTED_VALUE"""),0.7272727272727273)</f>
        <v>0.7272727273</v>
      </c>
    </row>
    <row r="674">
      <c r="K674" s="4" t="str">
        <f>IFERROR(__xludf.DUMMYFUNCTION("""COMPUTED_VALUE"""),"GRUPO NAU E MANGAI")</f>
        <v>GRUPO NAU E MANGAI</v>
      </c>
      <c r="L674" s="32">
        <f>IFERROR(__xludf.DUMMYFUNCTION("""COMPUTED_VALUE"""),11.0)</f>
        <v>11</v>
      </c>
      <c r="M674" s="4" t="str">
        <f>IFERROR(__xludf.DUMMYFUNCTION("""COMPUTED_VALUE"""),"Mtsis Sistemas De Informática Ltda.")</f>
        <v>Mtsis Sistemas De Informática Ltda.</v>
      </c>
      <c r="N674" s="33">
        <f>IFERROR(__xludf.DUMMYFUNCTION("""COMPUTED_VALUE"""),0.8181818181818182)</f>
        <v>0.8181818182</v>
      </c>
      <c r="O674" s="4" t="str">
        <f>IFERROR(__xludf.DUMMYFUNCTION("""COMPUTED_VALUE"""),"Mtsis Sistemas De Informática Ltda.")</f>
        <v>Mtsis Sistemas De Informática Ltda.</v>
      </c>
      <c r="P674" s="33">
        <f>IFERROR(__xludf.DUMMYFUNCTION("""COMPUTED_VALUE"""),0.5454545454545454)</f>
        <v>0.5454545455</v>
      </c>
      <c r="Q674" s="4" t="str">
        <f>IFERROR(__xludf.DUMMYFUNCTION("""COMPUTED_VALUE"""),"Mtsis Sistemas De Informática Ltda.")</f>
        <v>Mtsis Sistemas De Informática Ltda.</v>
      </c>
      <c r="R674" s="33">
        <f>IFERROR(__xludf.DUMMYFUNCTION("""COMPUTED_VALUE"""),0.5454545454545454)</f>
        <v>0.5454545455</v>
      </c>
      <c r="S674" s="4" t="str">
        <f>IFERROR(__xludf.DUMMYFUNCTION("""COMPUTED_VALUE"""),"Mtsis Sistemas De Informática Ltda.")</f>
        <v>Mtsis Sistemas De Informática Ltda.</v>
      </c>
      <c r="T674" s="33">
        <f>IFERROR(__xludf.DUMMYFUNCTION("""COMPUTED_VALUE"""),0.8181818181818182)</f>
        <v>0.8181818182</v>
      </c>
      <c r="U674" s="4" t="str">
        <f>IFERROR(__xludf.DUMMYFUNCTION("""COMPUTED_VALUE"""),"null")</f>
        <v>null</v>
      </c>
      <c r="V674" s="33">
        <f>IFERROR(__xludf.DUMMYFUNCTION("""COMPUTED_VALUE"""),0.5454545454545454)</f>
        <v>0.5454545455</v>
      </c>
      <c r="W674" s="4" t="str">
        <f>IFERROR(__xludf.DUMMYFUNCTION("""COMPUTED_VALUE"""),"Mtsis Sistemas De Informática Ltda.")</f>
        <v>Mtsis Sistemas De Informática Ltda.</v>
      </c>
      <c r="X674" s="33">
        <f>IFERROR(__xludf.DUMMYFUNCTION("""COMPUTED_VALUE"""),1.0)</f>
        <v>1</v>
      </c>
    </row>
    <row r="675">
      <c r="K675" s="4" t="str">
        <f>IFERROR(__xludf.DUMMYFUNCTION("""COMPUTED_VALUE"""),"GRUPO ROTA CASCAVEL")</f>
        <v>GRUPO ROTA CASCAVEL</v>
      </c>
      <c r="L675" s="32">
        <f>IFERROR(__xludf.DUMMYFUNCTION("""COMPUTED_VALUE"""),11.0)</f>
        <v>11</v>
      </c>
      <c r="M675" s="4" t="str">
        <f>IFERROR(__xludf.DUMMYFUNCTION("""COMPUTED_VALUE"""),"Saipos Serviços De Software")</f>
        <v>Saipos Serviços De Software</v>
      </c>
      <c r="N675" s="33">
        <f>IFERROR(__xludf.DUMMYFUNCTION("""COMPUTED_VALUE"""),0.9090909090909091)</f>
        <v>0.9090909091</v>
      </c>
      <c r="O675" s="4" t="str">
        <f>IFERROR(__xludf.DUMMYFUNCTION("""COMPUTED_VALUE"""),"Saipos Serviços De Software")</f>
        <v>Saipos Serviços De Software</v>
      </c>
      <c r="P675" s="33">
        <f>IFERROR(__xludf.DUMMYFUNCTION("""COMPUTED_VALUE"""),0.9090909090909091)</f>
        <v>0.9090909091</v>
      </c>
      <c r="Q675" s="4" t="str">
        <f>IFERROR(__xludf.DUMMYFUNCTION("""COMPUTED_VALUE"""),"Saipos Serviços De Software")</f>
        <v>Saipos Serviços De Software</v>
      </c>
      <c r="R675" s="33">
        <f>IFERROR(__xludf.DUMMYFUNCTION("""COMPUTED_VALUE"""),0.9090909090909091)</f>
        <v>0.9090909091</v>
      </c>
      <c r="S675" s="4" t="str">
        <f>IFERROR(__xludf.DUMMYFUNCTION("""COMPUTED_VALUE"""),"Saipos Serviços De Software")</f>
        <v>Saipos Serviços De Software</v>
      </c>
      <c r="T675" s="33">
        <f>IFERROR(__xludf.DUMMYFUNCTION("""COMPUTED_VALUE"""),0.9090909090909091)</f>
        <v>0.9090909091</v>
      </c>
      <c r="U675" s="4" t="str">
        <f>IFERROR(__xludf.DUMMYFUNCTION("""COMPUTED_VALUE"""),"Saipos Serviços De Software")</f>
        <v>Saipos Serviços De Software</v>
      </c>
      <c r="V675" s="33">
        <f>IFERROR(__xludf.DUMMYFUNCTION("""COMPUTED_VALUE"""),1.0)</f>
        <v>1</v>
      </c>
      <c r="W675" s="4" t="str">
        <f>IFERROR(__xludf.DUMMYFUNCTION("""COMPUTED_VALUE"""),"Saipos Serviços De Software")</f>
        <v>Saipos Serviços De Software</v>
      </c>
      <c r="X675" s="33">
        <f>IFERROR(__xludf.DUMMYFUNCTION("""COMPUTED_VALUE"""),1.0)</f>
        <v>1</v>
      </c>
    </row>
    <row r="676">
      <c r="K676" s="4" t="str">
        <f>IFERROR(__xludf.DUMMYFUNCTION("""COMPUTED_VALUE"""),"HAMBURGUERIA GORILLAO")</f>
        <v>HAMBURGUERIA GORILLAO</v>
      </c>
      <c r="L676" s="32">
        <f>IFERROR(__xludf.DUMMYFUNCTION("""COMPUTED_VALUE"""),11.0)</f>
        <v>11</v>
      </c>
      <c r="M676" s="4" t="str">
        <f>IFERROR(__xludf.DUMMYFUNCTION("""COMPUTED_VALUE"""),"Saipos Serviços De Software")</f>
        <v>Saipos Serviços De Software</v>
      </c>
      <c r="N676" s="33">
        <f>IFERROR(__xludf.DUMMYFUNCTION("""COMPUTED_VALUE"""),0.8181818181818182)</f>
        <v>0.8181818182</v>
      </c>
      <c r="O676" s="4" t="str">
        <f>IFERROR(__xludf.DUMMYFUNCTION("""COMPUTED_VALUE"""),"Saipos Serviços De Software")</f>
        <v>Saipos Serviços De Software</v>
      </c>
      <c r="P676" s="33">
        <f>IFERROR(__xludf.DUMMYFUNCTION("""COMPUTED_VALUE"""),0.8181818181818182)</f>
        <v>0.8181818182</v>
      </c>
      <c r="Q676" s="4" t="str">
        <f>IFERROR(__xludf.DUMMYFUNCTION("""COMPUTED_VALUE"""),"Saipos Serviços De Software")</f>
        <v>Saipos Serviços De Software</v>
      </c>
      <c r="R676" s="33">
        <f>IFERROR(__xludf.DUMMYFUNCTION("""COMPUTED_VALUE"""),0.9090909090909091)</f>
        <v>0.9090909091</v>
      </c>
      <c r="S676" s="4" t="str">
        <f>IFERROR(__xludf.DUMMYFUNCTION("""COMPUTED_VALUE"""),"Saipos Serviços De Software")</f>
        <v>Saipos Serviços De Software</v>
      </c>
      <c r="T676" s="33">
        <f>IFERROR(__xludf.DUMMYFUNCTION("""COMPUTED_VALUE"""),0.9090909090909091)</f>
        <v>0.9090909091</v>
      </c>
      <c r="U676" s="4" t="str">
        <f>IFERROR(__xludf.DUMMYFUNCTION("""COMPUTED_VALUE"""),"Saipos Serviços De Software")</f>
        <v>Saipos Serviços De Software</v>
      </c>
      <c r="V676" s="33">
        <f>IFERROR(__xludf.DUMMYFUNCTION("""COMPUTED_VALUE"""),0.9090909090909091)</f>
        <v>0.9090909091</v>
      </c>
      <c r="W676" s="4" t="str">
        <f>IFERROR(__xludf.DUMMYFUNCTION("""COMPUTED_VALUE"""),"Saipos Serviços De Software")</f>
        <v>Saipos Serviços De Software</v>
      </c>
      <c r="X676" s="33">
        <f>IFERROR(__xludf.DUMMYFUNCTION("""COMPUTED_VALUE"""),1.0)</f>
        <v>1</v>
      </c>
    </row>
    <row r="677">
      <c r="K677" s="4" t="str">
        <f>IFERROR(__xludf.DUMMYFUNCTION("""COMPUTED_VALUE"""),"HOT DOG DU PIRU - SC")</f>
        <v>HOT DOG DU PIRU - SC</v>
      </c>
      <c r="L677" s="32">
        <f>IFERROR(__xludf.DUMMYFUNCTION("""COMPUTED_VALUE"""),11.0)</f>
        <v>11</v>
      </c>
      <c r="M677" s="4" t="str">
        <f>IFERROR(__xludf.DUMMYFUNCTION("""COMPUTED_VALUE"""),"Teknisa Service Ltda")</f>
        <v>Teknisa Service Ltda</v>
      </c>
      <c r="N677" s="33">
        <f>IFERROR(__xludf.DUMMYFUNCTION("""COMPUTED_VALUE"""),0.8181818181818182)</f>
        <v>0.8181818182</v>
      </c>
      <c r="O677" s="4" t="str">
        <f>IFERROR(__xludf.DUMMYFUNCTION("""COMPUTED_VALUE"""),"Teknisa Service Ltda")</f>
        <v>Teknisa Service Ltda</v>
      </c>
      <c r="P677" s="33">
        <f>IFERROR(__xludf.DUMMYFUNCTION("""COMPUTED_VALUE"""),0.7272727272727273)</f>
        <v>0.7272727273</v>
      </c>
      <c r="Q677" s="4" t="str">
        <f>IFERROR(__xludf.DUMMYFUNCTION("""COMPUTED_VALUE"""),"Teknisa Service Ltda")</f>
        <v>Teknisa Service Ltda</v>
      </c>
      <c r="R677" s="33">
        <f>IFERROR(__xludf.DUMMYFUNCTION("""COMPUTED_VALUE"""),0.8181818181818182)</f>
        <v>0.8181818182</v>
      </c>
      <c r="S677" s="4" t="str">
        <f>IFERROR(__xludf.DUMMYFUNCTION("""COMPUTED_VALUE"""),"Teknisa Service Ltda")</f>
        <v>Teknisa Service Ltda</v>
      </c>
      <c r="T677" s="33">
        <f>IFERROR(__xludf.DUMMYFUNCTION("""COMPUTED_VALUE"""),0.8181818181818182)</f>
        <v>0.8181818182</v>
      </c>
      <c r="U677" s="4" t="str">
        <f>IFERROR(__xludf.DUMMYFUNCTION("""COMPUTED_VALUE"""),"Teknisa Service Ltda")</f>
        <v>Teknisa Service Ltda</v>
      </c>
      <c r="V677" s="33">
        <f>IFERROR(__xludf.DUMMYFUNCTION("""COMPUTED_VALUE"""),0.8181818181818182)</f>
        <v>0.8181818182</v>
      </c>
      <c r="W677" s="4" t="str">
        <f>IFERROR(__xludf.DUMMYFUNCTION("""COMPUTED_VALUE"""),"Teknisa Service Ltda")</f>
        <v>Teknisa Service Ltda</v>
      </c>
      <c r="X677" s="33">
        <f>IFERROR(__xludf.DUMMYFUNCTION("""COMPUTED_VALUE"""),1.0)</f>
        <v>1</v>
      </c>
    </row>
    <row r="678">
      <c r="K678" s="4" t="str">
        <f>IFERROR(__xludf.DUMMYFUNCTION("""COMPUTED_VALUE"""),"INPOT - CONTA PAI")</f>
        <v>INPOT - CONTA PAI</v>
      </c>
      <c r="L678" s="32">
        <f>IFERROR(__xludf.DUMMYFUNCTION("""COMPUTED_VALUE"""),11.0)</f>
        <v>11</v>
      </c>
      <c r="M678" s="4" t="str">
        <f>IFERROR(__xludf.DUMMYFUNCTION("""COMPUTED_VALUE"""),"Teknisa Service Ltda")</f>
        <v>Teknisa Service Ltda</v>
      </c>
      <c r="N678" s="33">
        <f>IFERROR(__xludf.DUMMYFUNCTION("""COMPUTED_VALUE"""),0.5454545454545454)</f>
        <v>0.5454545455</v>
      </c>
      <c r="O678" s="4" t="str">
        <f>IFERROR(__xludf.DUMMYFUNCTION("""COMPUTED_VALUE"""),"null")</f>
        <v>null</v>
      </c>
      <c r="P678" s="33">
        <f>IFERROR(__xludf.DUMMYFUNCTION("""COMPUTED_VALUE"""),0.6363636363636364)</f>
        <v>0.6363636364</v>
      </c>
      <c r="Q678" s="4" t="str">
        <f>IFERROR(__xludf.DUMMYFUNCTION("""COMPUTED_VALUE"""),"null")</f>
        <v>null</v>
      </c>
      <c r="R678" s="33">
        <f>IFERROR(__xludf.DUMMYFUNCTION("""COMPUTED_VALUE"""),0.5454545454545454)</f>
        <v>0.5454545455</v>
      </c>
      <c r="S678" s="4" t="str">
        <f>IFERROR(__xludf.DUMMYFUNCTION("""COMPUTED_VALUE"""),"null")</f>
        <v>null</v>
      </c>
      <c r="T678" s="33">
        <f>IFERROR(__xludf.DUMMYFUNCTION("""COMPUTED_VALUE"""),0.6363636363636364)</f>
        <v>0.6363636364</v>
      </c>
      <c r="U678" s="4" t="str">
        <f>IFERROR(__xludf.DUMMYFUNCTION("""COMPUTED_VALUE"""),"null")</f>
        <v>null</v>
      </c>
      <c r="V678" s="33">
        <f>IFERROR(__xludf.DUMMYFUNCTION("""COMPUTED_VALUE"""),0.5454545454545454)</f>
        <v>0.5454545455</v>
      </c>
      <c r="W678" s="4" t="str">
        <f>IFERROR(__xludf.DUMMYFUNCTION("""COMPUTED_VALUE"""),"Teknisa Service Ltda")</f>
        <v>Teknisa Service Ltda</v>
      </c>
      <c r="X678" s="33">
        <f>IFERROR(__xludf.DUMMYFUNCTION("""COMPUTED_VALUE"""),0.7272727272727273)</f>
        <v>0.7272727273</v>
      </c>
    </row>
    <row r="679">
      <c r="K679" s="4" t="str">
        <f>IFERROR(__xludf.DUMMYFUNCTION("""COMPUTED_VALUE"""),"ISABELA AKKARI")</f>
        <v>ISABELA AKKARI</v>
      </c>
      <c r="L679" s="32">
        <f>IFERROR(__xludf.DUMMYFUNCTION("""COMPUTED_VALUE"""),11.0)</f>
        <v>11</v>
      </c>
      <c r="M679" s="4" t="str">
        <f>IFERROR(__xludf.DUMMYFUNCTION("""COMPUTED_VALUE"""),"Eyemobile Tecnologia")</f>
        <v>Eyemobile Tecnologia</v>
      </c>
      <c r="N679" s="33">
        <f>IFERROR(__xludf.DUMMYFUNCTION("""COMPUTED_VALUE"""),0.5454545454545454)</f>
        <v>0.5454545455</v>
      </c>
      <c r="O679" s="4" t="str">
        <f>IFERROR(__xludf.DUMMYFUNCTION("""COMPUTED_VALUE"""),"Eyemobile Tecnologia")</f>
        <v>Eyemobile Tecnologia</v>
      </c>
      <c r="P679" s="33">
        <f>IFERROR(__xludf.DUMMYFUNCTION("""COMPUTED_VALUE"""),0.5454545454545454)</f>
        <v>0.5454545455</v>
      </c>
      <c r="Q679" s="4" t="str">
        <f>IFERROR(__xludf.DUMMYFUNCTION("""COMPUTED_VALUE"""),"null")</f>
        <v>null</v>
      </c>
      <c r="R679" s="33">
        <f>IFERROR(__xludf.DUMMYFUNCTION("""COMPUTED_VALUE"""),0.6363636363636364)</f>
        <v>0.6363636364</v>
      </c>
      <c r="S679" s="4" t="str">
        <f>IFERROR(__xludf.DUMMYFUNCTION("""COMPUTED_VALUE"""),"null")</f>
        <v>null</v>
      </c>
      <c r="T679" s="33">
        <f>IFERROR(__xludf.DUMMYFUNCTION("""COMPUTED_VALUE"""),0.6363636363636364)</f>
        <v>0.6363636364</v>
      </c>
      <c r="U679" s="4" t="str">
        <f>IFERROR(__xludf.DUMMYFUNCTION("""COMPUTED_VALUE"""),"Eyemobile Tecnologia")</f>
        <v>Eyemobile Tecnologia</v>
      </c>
      <c r="V679" s="33">
        <f>IFERROR(__xludf.DUMMYFUNCTION("""COMPUTED_VALUE"""),0.6363636363636364)</f>
        <v>0.6363636364</v>
      </c>
      <c r="W679" s="4" t="str">
        <f>IFERROR(__xludf.DUMMYFUNCTION("""COMPUTED_VALUE"""),"Eyemobile Tecnologia")</f>
        <v>Eyemobile Tecnologia</v>
      </c>
      <c r="X679" s="33">
        <f>IFERROR(__xludf.DUMMYFUNCTION("""COMPUTED_VALUE"""),0.7272727272727273)</f>
        <v>0.7272727273</v>
      </c>
    </row>
    <row r="680">
      <c r="K680" s="4" t="str">
        <f>IFERROR(__xludf.DUMMYFUNCTION("""COMPUTED_VALUE"""),"JAMONS")</f>
        <v>JAMONS</v>
      </c>
      <c r="L680" s="32">
        <f>IFERROR(__xludf.DUMMYFUNCTION("""COMPUTED_VALUE"""),11.0)</f>
        <v>11</v>
      </c>
      <c r="M680" s="4" t="str">
        <f>IFERROR(__xludf.DUMMYFUNCTION("""COMPUTED_VALUE"""),"Noah Sistemas Ltda")</f>
        <v>Noah Sistemas Ltda</v>
      </c>
      <c r="N680" s="33">
        <f>IFERROR(__xludf.DUMMYFUNCTION("""COMPUTED_VALUE"""),0.36363636363636365)</f>
        <v>0.3636363636</v>
      </c>
      <c r="O680" s="4" t="str">
        <f>IFERROR(__xludf.DUMMYFUNCTION("""COMPUTED_VALUE"""),"Noah Sistemas Ltda")</f>
        <v>Noah Sistemas Ltda</v>
      </c>
      <c r="P680" s="33">
        <f>IFERROR(__xludf.DUMMYFUNCTION("""COMPUTED_VALUE"""),0.36363636363636365)</f>
        <v>0.3636363636</v>
      </c>
      <c r="Q680" s="4" t="str">
        <f>IFERROR(__xludf.DUMMYFUNCTION("""COMPUTED_VALUE"""),"Saipos Serviços De Software")</f>
        <v>Saipos Serviços De Software</v>
      </c>
      <c r="R680" s="33">
        <f>IFERROR(__xludf.DUMMYFUNCTION("""COMPUTED_VALUE"""),0.5454545454545454)</f>
        <v>0.5454545455</v>
      </c>
      <c r="S680" s="4" t="str">
        <f>IFERROR(__xludf.DUMMYFUNCTION("""COMPUTED_VALUE"""),"Saipos Serviços De Software")</f>
        <v>Saipos Serviços De Software</v>
      </c>
      <c r="T680" s="33">
        <f>IFERROR(__xludf.DUMMYFUNCTION("""COMPUTED_VALUE"""),0.6363636363636364)</f>
        <v>0.6363636364</v>
      </c>
      <c r="U680" s="4" t="str">
        <f>IFERROR(__xludf.DUMMYFUNCTION("""COMPUTED_VALUE"""),"Saipos Serviços De Software")</f>
        <v>Saipos Serviços De Software</v>
      </c>
      <c r="V680" s="33">
        <f>IFERROR(__xludf.DUMMYFUNCTION("""COMPUTED_VALUE"""),0.7272727272727273)</f>
        <v>0.7272727273</v>
      </c>
      <c r="W680" s="4" t="str">
        <f>IFERROR(__xludf.DUMMYFUNCTION("""COMPUTED_VALUE"""),"Saipos Serviços De Software")</f>
        <v>Saipos Serviços De Software</v>
      </c>
      <c r="X680" s="33">
        <f>IFERROR(__xludf.DUMMYFUNCTION("""COMPUTED_VALUE"""),0.7272727272727273)</f>
        <v>0.7272727273</v>
      </c>
    </row>
    <row r="681">
      <c r="K681" s="4" t="str">
        <f>IFERROR(__xludf.DUMMYFUNCTION("""COMPUTED_VALUE"""),"JAPAMANIA CONTA MARCA")</f>
        <v>JAPAMANIA CONTA MARCA</v>
      </c>
      <c r="L681" s="32">
        <f>IFERROR(__xludf.DUMMYFUNCTION("""COMPUTED_VALUE"""),11.0)</f>
        <v>11</v>
      </c>
      <c r="M681" s="4" t="str">
        <f>IFERROR(__xludf.DUMMYFUNCTION("""COMPUTED_VALUE"""),"Takeat Tecnologia")</f>
        <v>Takeat Tecnologia</v>
      </c>
      <c r="N681" s="33">
        <f>IFERROR(__xludf.DUMMYFUNCTION("""COMPUTED_VALUE"""),0.9090909090909091)</f>
        <v>0.9090909091</v>
      </c>
      <c r="O681" s="4" t="str">
        <f>IFERROR(__xludf.DUMMYFUNCTION("""COMPUTED_VALUE"""),"Takeat Tecnologia")</f>
        <v>Takeat Tecnologia</v>
      </c>
      <c r="P681" s="33">
        <f>IFERROR(__xludf.DUMMYFUNCTION("""COMPUTED_VALUE"""),0.8181818181818182)</f>
        <v>0.8181818182</v>
      </c>
      <c r="Q681" s="4" t="str">
        <f>IFERROR(__xludf.DUMMYFUNCTION("""COMPUTED_VALUE"""),"Takeat Tecnologia")</f>
        <v>Takeat Tecnologia</v>
      </c>
      <c r="R681" s="33">
        <f>IFERROR(__xludf.DUMMYFUNCTION("""COMPUTED_VALUE"""),0.9090909090909091)</f>
        <v>0.9090909091</v>
      </c>
      <c r="S681" s="4" t="str">
        <f>IFERROR(__xludf.DUMMYFUNCTION("""COMPUTED_VALUE"""),"Takeat Tecnologia")</f>
        <v>Takeat Tecnologia</v>
      </c>
      <c r="T681" s="33">
        <f>IFERROR(__xludf.DUMMYFUNCTION("""COMPUTED_VALUE"""),0.8181818181818182)</f>
        <v>0.8181818182</v>
      </c>
      <c r="U681" s="4" t="str">
        <f>IFERROR(__xludf.DUMMYFUNCTION("""COMPUTED_VALUE"""),"Takeat Tecnologia")</f>
        <v>Takeat Tecnologia</v>
      </c>
      <c r="V681" s="33">
        <f>IFERROR(__xludf.DUMMYFUNCTION("""COMPUTED_VALUE"""),0.8181818181818182)</f>
        <v>0.8181818182</v>
      </c>
      <c r="W681" s="4" t="str">
        <f>IFERROR(__xludf.DUMMYFUNCTION("""COMPUTED_VALUE"""),"Takeat Tecnologia")</f>
        <v>Takeat Tecnologia</v>
      </c>
      <c r="X681" s="33">
        <f>IFERROR(__xludf.DUMMYFUNCTION("""COMPUTED_VALUE"""),0.9090909090909091)</f>
        <v>0.9090909091</v>
      </c>
    </row>
    <row r="682">
      <c r="K682" s="4" t="str">
        <f>IFERROR(__xludf.DUMMYFUNCTION("""COMPUTED_VALUE"""),"MASSAS SANTISTA")</f>
        <v>MASSAS SANTISTA</v>
      </c>
      <c r="L682" s="32">
        <f>IFERROR(__xludf.DUMMYFUNCTION("""COMPUTED_VALUE"""),11.0)</f>
        <v>11</v>
      </c>
      <c r="M682" s="4" t="str">
        <f>IFERROR(__xludf.DUMMYFUNCTION("""COMPUTED_VALUE"""),"Saipos Serviços De Software")</f>
        <v>Saipos Serviços De Software</v>
      </c>
      <c r="N682" s="33">
        <f>IFERROR(__xludf.DUMMYFUNCTION("""COMPUTED_VALUE"""),0.9090909090909091)</f>
        <v>0.9090909091</v>
      </c>
      <c r="O682" s="4" t="str">
        <f>IFERROR(__xludf.DUMMYFUNCTION("""COMPUTED_VALUE"""),"Saipos Serviços De Software")</f>
        <v>Saipos Serviços De Software</v>
      </c>
      <c r="P682" s="33">
        <f>IFERROR(__xludf.DUMMYFUNCTION("""COMPUTED_VALUE"""),0.9090909090909091)</f>
        <v>0.9090909091</v>
      </c>
      <c r="Q682" s="4" t="str">
        <f>IFERROR(__xludf.DUMMYFUNCTION("""COMPUTED_VALUE"""),"Saipos Serviços De Software")</f>
        <v>Saipos Serviços De Software</v>
      </c>
      <c r="R682" s="33">
        <f>IFERROR(__xludf.DUMMYFUNCTION("""COMPUTED_VALUE"""),0.9090909090909091)</f>
        <v>0.9090909091</v>
      </c>
      <c r="S682" s="4" t="str">
        <f>IFERROR(__xludf.DUMMYFUNCTION("""COMPUTED_VALUE"""),"Saipos Serviços De Software")</f>
        <v>Saipos Serviços De Software</v>
      </c>
      <c r="T682" s="33">
        <f>IFERROR(__xludf.DUMMYFUNCTION("""COMPUTED_VALUE"""),0.9090909090909091)</f>
        <v>0.9090909091</v>
      </c>
      <c r="U682" s="4" t="str">
        <f>IFERROR(__xludf.DUMMYFUNCTION("""COMPUTED_VALUE"""),"Saipos Serviços De Software")</f>
        <v>Saipos Serviços De Software</v>
      </c>
      <c r="V682" s="33">
        <f>IFERROR(__xludf.DUMMYFUNCTION("""COMPUTED_VALUE"""),1.0)</f>
        <v>1</v>
      </c>
      <c r="W682" s="4" t="str">
        <f>IFERROR(__xludf.DUMMYFUNCTION("""COMPUTED_VALUE"""),"Saipos Serviços De Software")</f>
        <v>Saipos Serviços De Software</v>
      </c>
      <c r="X682" s="33">
        <f>IFERROR(__xludf.DUMMYFUNCTION("""COMPUTED_VALUE"""),0.9090909090909091)</f>
        <v>0.9090909091</v>
      </c>
    </row>
    <row r="683">
      <c r="K683" s="4" t="str">
        <f>IFERROR(__xludf.DUMMYFUNCTION("""COMPUTED_VALUE"""),"GRUPO MATEUS - CONTA GRUPO")</f>
        <v>GRUPO MATEUS - CONTA GRUPO</v>
      </c>
      <c r="L683" s="32">
        <f>IFERROR(__xludf.DUMMYFUNCTION("""COMPUTED_VALUE"""),11.0)</f>
        <v>11</v>
      </c>
      <c r="M683" s="4" t="str">
        <f>IFERROR(__xludf.DUMMYFUNCTION("""COMPUTED_VALUE"""),"N/A (Not found)")</f>
        <v>N/A (Not found)</v>
      </c>
      <c r="N683" s="33">
        <f>IFERROR(__xludf.DUMMYFUNCTION("""COMPUTED_VALUE"""),0.7272727272727273)</f>
        <v>0.7272727273</v>
      </c>
      <c r="O683" s="4" t="str">
        <f>IFERROR(__xludf.DUMMYFUNCTION("""COMPUTED_VALUE"""),"N/A (Not found)")</f>
        <v>N/A (Not found)</v>
      </c>
      <c r="P683" s="33">
        <f>IFERROR(__xludf.DUMMYFUNCTION("""COMPUTED_VALUE"""),0.6363636363636364)</f>
        <v>0.6363636364</v>
      </c>
      <c r="Q683" s="4" t="str">
        <f>IFERROR(__xludf.DUMMYFUNCTION("""COMPUTED_VALUE"""),"N/A (Not found)")</f>
        <v>N/A (Not found)</v>
      </c>
      <c r="R683" s="33">
        <f>IFERROR(__xludf.DUMMYFUNCTION("""COMPUTED_VALUE"""),0.8181818181818182)</f>
        <v>0.8181818182</v>
      </c>
      <c r="S683" s="4" t="str">
        <f>IFERROR(__xludf.DUMMYFUNCTION("""COMPUTED_VALUE"""),"N/A (Not found)")</f>
        <v>N/A (Not found)</v>
      </c>
      <c r="T683" s="33">
        <f>IFERROR(__xludf.DUMMYFUNCTION("""COMPUTED_VALUE"""),0.8181818181818182)</f>
        <v>0.8181818182</v>
      </c>
      <c r="U683" s="4" t="str">
        <f>IFERROR(__xludf.DUMMYFUNCTION("""COMPUTED_VALUE"""),"N/A (Not found)")</f>
        <v>N/A (Not found)</v>
      </c>
      <c r="V683" s="33">
        <f>IFERROR(__xludf.DUMMYFUNCTION("""COMPUTED_VALUE"""),0.7272727272727273)</f>
        <v>0.7272727273</v>
      </c>
      <c r="W683" s="4" t="str">
        <f>IFERROR(__xludf.DUMMYFUNCTION("""COMPUTED_VALUE"""),"N/A (Not found)")</f>
        <v>N/A (Not found)</v>
      </c>
      <c r="X683" s="33">
        <f>IFERROR(__xludf.DUMMYFUNCTION("""COMPUTED_VALUE"""),0.7272727272727273)</f>
        <v>0.7272727273</v>
      </c>
    </row>
    <row r="684">
      <c r="K684" s="4" t="str">
        <f>IFERROR(__xludf.DUMMYFUNCTION("""COMPUTED_VALUE"""),"MONARCA BURGERS")</f>
        <v>MONARCA BURGERS</v>
      </c>
      <c r="L684" s="32">
        <f>IFERROR(__xludf.DUMMYFUNCTION("""COMPUTED_VALUE"""),11.0)</f>
        <v>11</v>
      </c>
      <c r="M684" s="4" t="str">
        <f>IFERROR(__xludf.DUMMYFUNCTION("""COMPUTED_VALUE"""),"Saipos Serviços De Software")</f>
        <v>Saipos Serviços De Software</v>
      </c>
      <c r="N684" s="33">
        <f>IFERROR(__xludf.DUMMYFUNCTION("""COMPUTED_VALUE"""),0.6363636363636364)</f>
        <v>0.6363636364</v>
      </c>
      <c r="O684" s="4" t="str">
        <f>IFERROR(__xludf.DUMMYFUNCTION("""COMPUTED_VALUE"""),"Saipos Serviços De Software")</f>
        <v>Saipos Serviços De Software</v>
      </c>
      <c r="P684" s="33">
        <f>IFERROR(__xludf.DUMMYFUNCTION("""COMPUTED_VALUE"""),0.8181818181818182)</f>
        <v>0.8181818182</v>
      </c>
      <c r="Q684" s="4" t="str">
        <f>IFERROR(__xludf.DUMMYFUNCTION("""COMPUTED_VALUE"""),"Saipos Serviços De Software")</f>
        <v>Saipos Serviços De Software</v>
      </c>
      <c r="R684" s="33">
        <f>IFERROR(__xludf.DUMMYFUNCTION("""COMPUTED_VALUE"""),0.8181818181818182)</f>
        <v>0.8181818182</v>
      </c>
      <c r="S684" s="4" t="str">
        <f>IFERROR(__xludf.DUMMYFUNCTION("""COMPUTED_VALUE"""),"Saipos Serviços De Software")</f>
        <v>Saipos Serviços De Software</v>
      </c>
      <c r="T684" s="33">
        <f>IFERROR(__xludf.DUMMYFUNCTION("""COMPUTED_VALUE"""),0.9090909090909091)</f>
        <v>0.9090909091</v>
      </c>
      <c r="U684" s="4" t="str">
        <f>IFERROR(__xludf.DUMMYFUNCTION("""COMPUTED_VALUE"""),"Saipos Serviços De Software")</f>
        <v>Saipos Serviços De Software</v>
      </c>
      <c r="V684" s="33">
        <f>IFERROR(__xludf.DUMMYFUNCTION("""COMPUTED_VALUE"""),0.8181818181818182)</f>
        <v>0.8181818182</v>
      </c>
      <c r="W684" s="4" t="str">
        <f>IFERROR(__xludf.DUMMYFUNCTION("""COMPUTED_VALUE"""),"Saipos Serviços De Software")</f>
        <v>Saipos Serviços De Software</v>
      </c>
      <c r="X684" s="33">
        <f>IFERROR(__xludf.DUMMYFUNCTION("""COMPUTED_VALUE"""),0.8181818181818182)</f>
        <v>0.8181818182</v>
      </c>
    </row>
    <row r="685">
      <c r="K685" s="4" t="str">
        <f>IFERROR(__xludf.DUMMYFUNCTION("""COMPUTED_VALUE"""),"MORE COOKIES")</f>
        <v>MORE COOKIES</v>
      </c>
      <c r="L685" s="32">
        <f>IFERROR(__xludf.DUMMYFUNCTION("""COMPUTED_VALUE"""),11.0)</f>
        <v>11</v>
      </c>
      <c r="M685" s="4" t="str">
        <f>IFERROR(__xludf.DUMMYFUNCTION("""COMPUTED_VALUE"""),"Netcontroll Xmenu")</f>
        <v>Netcontroll Xmenu</v>
      </c>
      <c r="N685" s="33">
        <f>IFERROR(__xludf.DUMMYFUNCTION("""COMPUTED_VALUE"""),0.36363636363636365)</f>
        <v>0.3636363636</v>
      </c>
      <c r="O685" s="4" t="str">
        <f>IFERROR(__xludf.DUMMYFUNCTION("""COMPUTED_VALUE"""),"Netcontroll Xmenu")</f>
        <v>Netcontroll Xmenu</v>
      </c>
      <c r="P685" s="33">
        <f>IFERROR(__xludf.DUMMYFUNCTION("""COMPUTED_VALUE"""),0.36363636363636365)</f>
        <v>0.3636363636</v>
      </c>
      <c r="Q685" s="4" t="str">
        <f>IFERROR(__xludf.DUMMYFUNCTION("""COMPUTED_VALUE"""),"Netcontroll Xmenu")</f>
        <v>Netcontroll Xmenu</v>
      </c>
      <c r="R685" s="33">
        <f>IFERROR(__xludf.DUMMYFUNCTION("""COMPUTED_VALUE"""),0.36363636363636365)</f>
        <v>0.3636363636</v>
      </c>
      <c r="S685" s="4" t="str">
        <f>IFERROR(__xludf.DUMMYFUNCTION("""COMPUTED_VALUE"""),"Netcontroll Xmenu")</f>
        <v>Netcontroll Xmenu</v>
      </c>
      <c r="T685" s="33">
        <f>IFERROR(__xludf.DUMMYFUNCTION("""COMPUTED_VALUE"""),0.36363636363636365)</f>
        <v>0.3636363636</v>
      </c>
      <c r="U685" s="4" t="str">
        <f>IFERROR(__xludf.DUMMYFUNCTION("""COMPUTED_VALUE"""),"Netcontroll Xmenu")</f>
        <v>Netcontroll Xmenu</v>
      </c>
      <c r="V685" s="33">
        <f>IFERROR(__xludf.DUMMYFUNCTION("""COMPUTED_VALUE"""),0.36363636363636365)</f>
        <v>0.3636363636</v>
      </c>
      <c r="W685" s="4" t="str">
        <f>IFERROR(__xludf.DUMMYFUNCTION("""COMPUTED_VALUE"""),"Netcontroll Xmenu")</f>
        <v>Netcontroll Xmenu</v>
      </c>
      <c r="X685" s="33">
        <f>IFERROR(__xludf.DUMMYFUNCTION("""COMPUTED_VALUE"""),0.36363636363636365)</f>
        <v>0.3636363636</v>
      </c>
    </row>
    <row r="686">
      <c r="K686" s="4" t="str">
        <f>IFERROR(__xludf.DUMMYFUNCTION("""COMPUTED_VALUE"""),"NATHANS FAMOUS")</f>
        <v>NATHANS FAMOUS</v>
      </c>
      <c r="L686" s="32">
        <f>IFERROR(__xludf.DUMMYFUNCTION("""COMPUTED_VALUE"""),11.0)</f>
        <v>11</v>
      </c>
      <c r="M686" s="4" t="str">
        <f>IFERROR(__xludf.DUMMYFUNCTION("""COMPUTED_VALUE"""),"Teknisa Service Ltda")</f>
        <v>Teknisa Service Ltda</v>
      </c>
      <c r="N686" s="33">
        <f>IFERROR(__xludf.DUMMYFUNCTION("""COMPUTED_VALUE"""),0.5454545454545454)</f>
        <v>0.5454545455</v>
      </c>
      <c r="O686" s="4" t="str">
        <f>IFERROR(__xludf.DUMMYFUNCTION("""COMPUTED_VALUE"""),"Teknisa Service Ltda")</f>
        <v>Teknisa Service Ltda</v>
      </c>
      <c r="P686" s="33">
        <f>IFERROR(__xludf.DUMMYFUNCTION("""COMPUTED_VALUE"""),0.45454545454545453)</f>
        <v>0.4545454545</v>
      </c>
      <c r="Q686" s="4" t="str">
        <f>IFERROR(__xludf.DUMMYFUNCTION("""COMPUTED_VALUE"""),"Teknisa Service Ltda")</f>
        <v>Teknisa Service Ltda</v>
      </c>
      <c r="R686" s="33">
        <f>IFERROR(__xludf.DUMMYFUNCTION("""COMPUTED_VALUE"""),0.45454545454545453)</f>
        <v>0.4545454545</v>
      </c>
      <c r="S686" s="4" t="str">
        <f>IFERROR(__xludf.DUMMYFUNCTION("""COMPUTED_VALUE"""),"Teknisa Service Ltda")</f>
        <v>Teknisa Service Ltda</v>
      </c>
      <c r="T686" s="33">
        <f>IFERROR(__xludf.DUMMYFUNCTION("""COMPUTED_VALUE"""),0.5454545454545454)</f>
        <v>0.5454545455</v>
      </c>
      <c r="U686" s="4" t="str">
        <f>IFERROR(__xludf.DUMMYFUNCTION("""COMPUTED_VALUE"""),"Teknisa Service Ltda")</f>
        <v>Teknisa Service Ltda</v>
      </c>
      <c r="V686" s="33">
        <f>IFERROR(__xludf.DUMMYFUNCTION("""COMPUTED_VALUE"""),0.6363636363636364)</f>
        <v>0.6363636364</v>
      </c>
      <c r="W686" s="4" t="str">
        <f>IFERROR(__xludf.DUMMYFUNCTION("""COMPUTED_VALUE"""),"Teknisa Service Ltda")</f>
        <v>Teknisa Service Ltda</v>
      </c>
      <c r="X686" s="33">
        <f>IFERROR(__xludf.DUMMYFUNCTION("""COMPUTED_VALUE"""),0.45454545454545453)</f>
        <v>0.4545454545</v>
      </c>
    </row>
    <row r="687">
      <c r="K687" s="4" t="str">
        <f>IFERROR(__xludf.DUMMYFUNCTION("""COMPUTED_VALUE"""),"PABU IZAKAYA")</f>
        <v>PABU IZAKAYA</v>
      </c>
      <c r="L687" s="32">
        <f>IFERROR(__xludf.DUMMYFUNCTION("""COMPUTED_VALUE"""),11.0)</f>
        <v>11</v>
      </c>
      <c r="M687" s="4" t="str">
        <f>IFERROR(__xludf.DUMMYFUNCTION("""COMPUTED_VALUE"""),"Ncr")</f>
        <v>Ncr</v>
      </c>
      <c r="N687" s="33">
        <f>IFERROR(__xludf.DUMMYFUNCTION("""COMPUTED_VALUE"""),1.0)</f>
        <v>1</v>
      </c>
      <c r="O687" s="4" t="str">
        <f>IFERROR(__xludf.DUMMYFUNCTION("""COMPUTED_VALUE"""),"Ncr")</f>
        <v>Ncr</v>
      </c>
      <c r="P687" s="33">
        <f>IFERROR(__xludf.DUMMYFUNCTION("""COMPUTED_VALUE"""),0.8181818181818182)</f>
        <v>0.8181818182</v>
      </c>
      <c r="Q687" s="4" t="str">
        <f>IFERROR(__xludf.DUMMYFUNCTION("""COMPUTED_VALUE"""),"Ncr")</f>
        <v>Ncr</v>
      </c>
      <c r="R687" s="33">
        <f>IFERROR(__xludf.DUMMYFUNCTION("""COMPUTED_VALUE"""),0.8181818181818182)</f>
        <v>0.8181818182</v>
      </c>
      <c r="S687" s="4" t="str">
        <f>IFERROR(__xludf.DUMMYFUNCTION("""COMPUTED_VALUE"""),"Ncr")</f>
        <v>Ncr</v>
      </c>
      <c r="T687" s="33">
        <f>IFERROR(__xludf.DUMMYFUNCTION("""COMPUTED_VALUE"""),0.7272727272727273)</f>
        <v>0.7272727273</v>
      </c>
      <c r="U687" s="4" t="str">
        <f>IFERROR(__xludf.DUMMYFUNCTION("""COMPUTED_VALUE"""),"Ncr")</f>
        <v>Ncr</v>
      </c>
      <c r="V687" s="33">
        <f>IFERROR(__xludf.DUMMYFUNCTION("""COMPUTED_VALUE"""),0.7272727272727273)</f>
        <v>0.7272727273</v>
      </c>
      <c r="W687" s="4" t="str">
        <f>IFERROR(__xludf.DUMMYFUNCTION("""COMPUTED_VALUE"""),"Ncr")</f>
        <v>Ncr</v>
      </c>
      <c r="X687" s="33">
        <f>IFERROR(__xludf.DUMMYFUNCTION("""COMPUTED_VALUE"""),0.6363636363636364)</f>
        <v>0.6363636364</v>
      </c>
    </row>
    <row r="688">
      <c r="K688" s="4" t="str">
        <f>IFERROR(__xludf.DUMMYFUNCTION("""COMPUTED_VALUE"""),"PINHEIRO SUPERMERCADO - CONTA PAI")</f>
        <v>PINHEIRO SUPERMERCADO - CONTA PAI</v>
      </c>
      <c r="L688" s="32">
        <f>IFERROR(__xludf.DUMMYFUNCTION("""COMPUTED_VALUE"""),11.0)</f>
        <v>11</v>
      </c>
      <c r="M688" s="4" t="str">
        <f>IFERROR(__xludf.DUMMYFUNCTION("""COMPUTED_VALUE"""),"N/A (Not found)")</f>
        <v>N/A (Not found)</v>
      </c>
      <c r="N688" s="33">
        <f>IFERROR(__xludf.DUMMYFUNCTION("""COMPUTED_VALUE"""),1.0)</f>
        <v>1</v>
      </c>
      <c r="O688" s="4" t="str">
        <f>IFERROR(__xludf.DUMMYFUNCTION("""COMPUTED_VALUE"""),"N/A (Not found)")</f>
        <v>N/A (Not found)</v>
      </c>
      <c r="P688" s="33">
        <f>IFERROR(__xludf.DUMMYFUNCTION("""COMPUTED_VALUE"""),1.0)</f>
        <v>1</v>
      </c>
      <c r="Q688" s="4" t="str">
        <f>IFERROR(__xludf.DUMMYFUNCTION("""COMPUTED_VALUE"""),"N/A (Not found)")</f>
        <v>N/A (Not found)</v>
      </c>
      <c r="R688" s="33">
        <f>IFERROR(__xludf.DUMMYFUNCTION("""COMPUTED_VALUE"""),1.0)</f>
        <v>1</v>
      </c>
      <c r="S688" s="4" t="str">
        <f>IFERROR(__xludf.DUMMYFUNCTION("""COMPUTED_VALUE"""),"N/A (Not found)")</f>
        <v>N/A (Not found)</v>
      </c>
      <c r="T688" s="33">
        <f>IFERROR(__xludf.DUMMYFUNCTION("""COMPUTED_VALUE"""),1.0)</f>
        <v>1</v>
      </c>
      <c r="U688" s="4" t="str">
        <f>IFERROR(__xludf.DUMMYFUNCTION("""COMPUTED_VALUE"""),"N/A (Not found)")</f>
        <v>N/A (Not found)</v>
      </c>
      <c r="V688" s="33">
        <f>IFERROR(__xludf.DUMMYFUNCTION("""COMPUTED_VALUE"""),1.0)</f>
        <v>1</v>
      </c>
      <c r="W688" s="4" t="str">
        <f>IFERROR(__xludf.DUMMYFUNCTION("""COMPUTED_VALUE"""),"N/A (Not found)")</f>
        <v>N/A (Not found)</v>
      </c>
      <c r="X688" s="33">
        <f>IFERROR(__xludf.DUMMYFUNCTION("""COMPUTED_VALUE"""),1.0)</f>
        <v>1</v>
      </c>
    </row>
    <row r="689">
      <c r="K689" s="4" t="str">
        <f>IFERROR(__xludf.DUMMYFUNCTION("""COMPUTED_VALUE"""),"PINHEIRO TINTAS")</f>
        <v>PINHEIRO TINTAS</v>
      </c>
      <c r="L689" s="32">
        <f>IFERROR(__xludf.DUMMYFUNCTION("""COMPUTED_VALUE"""),11.0)</f>
        <v>11</v>
      </c>
      <c r="M689" s="4" t="str">
        <f>IFERROR(__xludf.DUMMYFUNCTION("""COMPUTED_VALUE"""),"N/A (Not found)")</f>
        <v>N/A (Not found)</v>
      </c>
      <c r="N689" s="33">
        <f>IFERROR(__xludf.DUMMYFUNCTION("""COMPUTED_VALUE"""),0.8181818181818182)</f>
        <v>0.8181818182</v>
      </c>
      <c r="O689" s="4" t="str">
        <f>IFERROR(__xludf.DUMMYFUNCTION("""COMPUTED_VALUE"""),"N/A (Not found)")</f>
        <v>N/A (Not found)</v>
      </c>
      <c r="P689" s="33">
        <f>IFERROR(__xludf.DUMMYFUNCTION("""COMPUTED_VALUE"""),1.0)</f>
        <v>1</v>
      </c>
      <c r="Q689" s="4" t="str">
        <f>IFERROR(__xludf.DUMMYFUNCTION("""COMPUTED_VALUE"""),"N/A (Not found)")</f>
        <v>N/A (Not found)</v>
      </c>
      <c r="R689" s="33">
        <f>IFERROR(__xludf.DUMMYFUNCTION("""COMPUTED_VALUE"""),0.7272727272727273)</f>
        <v>0.7272727273</v>
      </c>
      <c r="S689" s="4" t="str">
        <f>IFERROR(__xludf.DUMMYFUNCTION("""COMPUTED_VALUE"""),"N/A (Not found)")</f>
        <v>N/A (Not found)</v>
      </c>
      <c r="T689" s="33">
        <f>IFERROR(__xludf.DUMMYFUNCTION("""COMPUTED_VALUE"""),0.8181818181818182)</f>
        <v>0.8181818182</v>
      </c>
      <c r="U689" s="4" t="str">
        <f>IFERROR(__xludf.DUMMYFUNCTION("""COMPUTED_VALUE"""),"N/A (Not found)")</f>
        <v>N/A (Not found)</v>
      </c>
      <c r="V689" s="33">
        <f>IFERROR(__xludf.DUMMYFUNCTION("""COMPUTED_VALUE"""),0.7272727272727273)</f>
        <v>0.7272727273</v>
      </c>
      <c r="W689" s="4" t="str">
        <f>IFERROR(__xludf.DUMMYFUNCTION("""COMPUTED_VALUE"""),"N/A (Not found)")</f>
        <v>N/A (Not found)</v>
      </c>
      <c r="X689" s="33">
        <f>IFERROR(__xludf.DUMMYFUNCTION("""COMPUTED_VALUE"""),0.5454545454545454)</f>
        <v>0.5454545455</v>
      </c>
    </row>
    <row r="690">
      <c r="K690" s="4" t="str">
        <f>IFERROR(__xludf.DUMMYFUNCTION("""COMPUTED_VALUE"""),"PITTSBURG")</f>
        <v>PITTSBURG</v>
      </c>
      <c r="L690" s="32">
        <f>IFERROR(__xludf.DUMMYFUNCTION("""COMPUTED_VALUE"""),11.0)</f>
        <v>11</v>
      </c>
      <c r="M690" s="4" t="str">
        <f>IFERROR(__xludf.DUMMYFUNCTION("""COMPUTED_VALUE"""),"Netcontroll Xmenu")</f>
        <v>Netcontroll Xmenu</v>
      </c>
      <c r="N690" s="33">
        <f>IFERROR(__xludf.DUMMYFUNCTION("""COMPUTED_VALUE"""),0.6363636363636364)</f>
        <v>0.6363636364</v>
      </c>
      <c r="O690" s="4" t="str">
        <f>IFERROR(__xludf.DUMMYFUNCTION("""COMPUTED_VALUE"""),"Netcontroll Xmenu")</f>
        <v>Netcontroll Xmenu</v>
      </c>
      <c r="P690" s="33">
        <f>IFERROR(__xludf.DUMMYFUNCTION("""COMPUTED_VALUE"""),0.6363636363636364)</f>
        <v>0.6363636364</v>
      </c>
      <c r="Q690" s="4" t="str">
        <f>IFERROR(__xludf.DUMMYFUNCTION("""COMPUTED_VALUE"""),"Netcontroll Xmenu")</f>
        <v>Netcontroll Xmenu</v>
      </c>
      <c r="R690" s="33">
        <f>IFERROR(__xludf.DUMMYFUNCTION("""COMPUTED_VALUE"""),0.7272727272727273)</f>
        <v>0.7272727273</v>
      </c>
      <c r="S690" s="4" t="str">
        <f>IFERROR(__xludf.DUMMYFUNCTION("""COMPUTED_VALUE"""),"Netcontroll Xmenu")</f>
        <v>Netcontroll Xmenu</v>
      </c>
      <c r="T690" s="33">
        <f>IFERROR(__xludf.DUMMYFUNCTION("""COMPUTED_VALUE"""),0.6363636363636364)</f>
        <v>0.6363636364</v>
      </c>
      <c r="U690" s="4" t="str">
        <f>IFERROR(__xludf.DUMMYFUNCTION("""COMPUTED_VALUE"""),"Netcontroll Xmenu")</f>
        <v>Netcontroll Xmenu</v>
      </c>
      <c r="V690" s="33">
        <f>IFERROR(__xludf.DUMMYFUNCTION("""COMPUTED_VALUE"""),0.5454545454545454)</f>
        <v>0.5454545455</v>
      </c>
      <c r="W690" s="4" t="str">
        <f>IFERROR(__xludf.DUMMYFUNCTION("""COMPUTED_VALUE"""),"Netcontroll Xmenu")</f>
        <v>Netcontroll Xmenu</v>
      </c>
      <c r="X690" s="33">
        <f>IFERROR(__xludf.DUMMYFUNCTION("""COMPUTED_VALUE"""),0.6363636363636364)</f>
        <v>0.6363636364</v>
      </c>
    </row>
    <row r="691">
      <c r="K691" s="4" t="str">
        <f>IFERROR(__xludf.DUMMYFUNCTION("""COMPUTED_VALUE"""),"REDE EJC ORIGINAL - CONTA GRUPO")</f>
        <v>REDE EJC ORIGINAL - CONTA GRUPO</v>
      </c>
      <c r="L691" s="32">
        <f>IFERROR(__xludf.DUMMYFUNCTION("""COMPUTED_VALUE"""),11.0)</f>
        <v>11</v>
      </c>
      <c r="M691" s="4" t="str">
        <f>IFERROR(__xludf.DUMMYFUNCTION("""COMPUTED_VALUE"""),"Swfast Sistemas")</f>
        <v>Swfast Sistemas</v>
      </c>
      <c r="N691" s="33">
        <f>IFERROR(__xludf.DUMMYFUNCTION("""COMPUTED_VALUE"""),0.7272727272727273)</f>
        <v>0.7272727273</v>
      </c>
      <c r="O691" s="4" t="str">
        <f>IFERROR(__xludf.DUMMYFUNCTION("""COMPUTED_VALUE"""),"Swfast Sistemas")</f>
        <v>Swfast Sistemas</v>
      </c>
      <c r="P691" s="33">
        <f>IFERROR(__xludf.DUMMYFUNCTION("""COMPUTED_VALUE"""),0.7272727272727273)</f>
        <v>0.7272727273</v>
      </c>
      <c r="Q691" s="4" t="str">
        <f>IFERROR(__xludf.DUMMYFUNCTION("""COMPUTED_VALUE"""),"Swfast Sistemas")</f>
        <v>Swfast Sistemas</v>
      </c>
      <c r="R691" s="33">
        <f>IFERROR(__xludf.DUMMYFUNCTION("""COMPUTED_VALUE"""),0.8181818181818182)</f>
        <v>0.8181818182</v>
      </c>
      <c r="S691" s="4" t="str">
        <f>IFERROR(__xludf.DUMMYFUNCTION("""COMPUTED_VALUE"""),"Swfast Sistemas")</f>
        <v>Swfast Sistemas</v>
      </c>
      <c r="T691" s="33">
        <f>IFERROR(__xludf.DUMMYFUNCTION("""COMPUTED_VALUE"""),0.7272727272727273)</f>
        <v>0.7272727273</v>
      </c>
      <c r="U691" s="4" t="str">
        <f>IFERROR(__xludf.DUMMYFUNCTION("""COMPUTED_VALUE"""),"Swfast Sistemas")</f>
        <v>Swfast Sistemas</v>
      </c>
      <c r="V691" s="33">
        <f>IFERROR(__xludf.DUMMYFUNCTION("""COMPUTED_VALUE"""),0.6363636363636364)</f>
        <v>0.6363636364</v>
      </c>
      <c r="W691" s="4" t="str">
        <f>IFERROR(__xludf.DUMMYFUNCTION("""COMPUTED_VALUE"""),"Swfast Sistemas")</f>
        <v>Swfast Sistemas</v>
      </c>
      <c r="X691" s="33">
        <f>IFERROR(__xludf.DUMMYFUNCTION("""COMPUTED_VALUE"""),1.0)</f>
        <v>1</v>
      </c>
    </row>
    <row r="692">
      <c r="K692" s="4" t="str">
        <f>IFERROR(__xludf.DUMMYFUNCTION("""COMPUTED_VALUE"""),"RIO BELLEZA - MARCA - CORRETA")</f>
        <v>RIO BELLEZA - MARCA - CORRETA</v>
      </c>
      <c r="L692" s="32">
        <f>IFERROR(__xludf.DUMMYFUNCTION("""COMPUTED_VALUE"""),11.0)</f>
        <v>11</v>
      </c>
      <c r="M692" s="4" t="str">
        <f>IFERROR(__xludf.DUMMYFUNCTION("""COMPUTED_VALUE"""),"N/A (Not found)")</f>
        <v>N/A (Not found)</v>
      </c>
      <c r="N692" s="33">
        <f>IFERROR(__xludf.DUMMYFUNCTION("""COMPUTED_VALUE"""),1.0)</f>
        <v>1</v>
      </c>
      <c r="O692" s="4" t="str">
        <f>IFERROR(__xludf.DUMMYFUNCTION("""COMPUTED_VALUE"""),"N/A (Not found)")</f>
        <v>N/A (Not found)</v>
      </c>
      <c r="P692" s="33">
        <f>IFERROR(__xludf.DUMMYFUNCTION("""COMPUTED_VALUE"""),1.0)</f>
        <v>1</v>
      </c>
      <c r="Q692" s="4" t="str">
        <f>IFERROR(__xludf.DUMMYFUNCTION("""COMPUTED_VALUE"""),"N/A (Not found)")</f>
        <v>N/A (Not found)</v>
      </c>
      <c r="R692" s="33">
        <f>IFERROR(__xludf.DUMMYFUNCTION("""COMPUTED_VALUE"""),1.0)</f>
        <v>1</v>
      </c>
      <c r="S692" s="4" t="str">
        <f>IFERROR(__xludf.DUMMYFUNCTION("""COMPUTED_VALUE"""),"N/A (Not found)")</f>
        <v>N/A (Not found)</v>
      </c>
      <c r="T692" s="33">
        <f>IFERROR(__xludf.DUMMYFUNCTION("""COMPUTED_VALUE"""),1.0)</f>
        <v>1</v>
      </c>
      <c r="U692" s="4" t="str">
        <f>IFERROR(__xludf.DUMMYFUNCTION("""COMPUTED_VALUE"""),"N/A (Not found)")</f>
        <v>N/A (Not found)</v>
      </c>
      <c r="V692" s="33">
        <f>IFERROR(__xludf.DUMMYFUNCTION("""COMPUTED_VALUE"""),1.0)</f>
        <v>1</v>
      </c>
      <c r="W692" s="4" t="str">
        <f>IFERROR(__xludf.DUMMYFUNCTION("""COMPUTED_VALUE"""),"N/A (Not found)")</f>
        <v>N/A (Not found)</v>
      </c>
      <c r="X692" s="33">
        <f>IFERROR(__xludf.DUMMYFUNCTION("""COMPUTED_VALUE"""),1.0)</f>
        <v>1</v>
      </c>
    </row>
    <row r="693">
      <c r="K693" s="4" t="str">
        <f>IFERROR(__xludf.DUMMYFUNCTION("""COMPUTED_VALUE"""),"SASSA SUSHI")</f>
        <v>SASSA SUSHI</v>
      </c>
      <c r="L693" s="32">
        <f>IFERROR(__xludf.DUMMYFUNCTION("""COMPUTED_VALUE"""),11.0)</f>
        <v>11</v>
      </c>
      <c r="M693" s="4" t="str">
        <f>IFERROR(__xludf.DUMMYFUNCTION("""COMPUTED_VALUE"""),"Cheff Solutions Tecnologia Brasil")</f>
        <v>Cheff Solutions Tecnologia Brasil</v>
      </c>
      <c r="N693" s="33">
        <f>IFERROR(__xludf.DUMMYFUNCTION("""COMPUTED_VALUE"""),0.9090909090909091)</f>
        <v>0.9090909091</v>
      </c>
      <c r="O693" s="4" t="str">
        <f>IFERROR(__xludf.DUMMYFUNCTION("""COMPUTED_VALUE"""),"Cheff Solutions Tecnologia Brasil")</f>
        <v>Cheff Solutions Tecnologia Brasil</v>
      </c>
      <c r="P693" s="33">
        <f>IFERROR(__xludf.DUMMYFUNCTION("""COMPUTED_VALUE"""),0.8181818181818182)</f>
        <v>0.8181818182</v>
      </c>
      <c r="Q693" s="4" t="str">
        <f>IFERROR(__xludf.DUMMYFUNCTION("""COMPUTED_VALUE"""),"Cheff Solutions Tecnologia Brasil")</f>
        <v>Cheff Solutions Tecnologia Brasil</v>
      </c>
      <c r="R693" s="33">
        <f>IFERROR(__xludf.DUMMYFUNCTION("""COMPUTED_VALUE"""),0.8181818181818182)</f>
        <v>0.8181818182</v>
      </c>
      <c r="S693" s="4" t="str">
        <f>IFERROR(__xludf.DUMMYFUNCTION("""COMPUTED_VALUE"""),"Cheff Solutions Tecnologia Brasil")</f>
        <v>Cheff Solutions Tecnologia Brasil</v>
      </c>
      <c r="T693" s="33">
        <f>IFERROR(__xludf.DUMMYFUNCTION("""COMPUTED_VALUE"""),0.6363636363636364)</f>
        <v>0.6363636364</v>
      </c>
      <c r="U693" s="4" t="str">
        <f>IFERROR(__xludf.DUMMYFUNCTION("""COMPUTED_VALUE"""),"Cheff Solutions Tecnologia Brasil")</f>
        <v>Cheff Solutions Tecnologia Brasil</v>
      </c>
      <c r="V693" s="33">
        <f>IFERROR(__xludf.DUMMYFUNCTION("""COMPUTED_VALUE"""),0.9090909090909091)</f>
        <v>0.9090909091</v>
      </c>
      <c r="W693" s="4" t="str">
        <f>IFERROR(__xludf.DUMMYFUNCTION("""COMPUTED_VALUE"""),"Cheff Solutions Tecnologia Brasil")</f>
        <v>Cheff Solutions Tecnologia Brasil</v>
      </c>
      <c r="X693" s="33">
        <f>IFERROR(__xludf.DUMMYFUNCTION("""COMPUTED_VALUE"""),0.9090909090909091)</f>
        <v>0.9090909091</v>
      </c>
    </row>
    <row r="694">
      <c r="K694" s="4" t="str">
        <f>IFERROR(__xludf.DUMMYFUNCTION("""COMPUTED_VALUE"""),"SOBERANO DELIVERY - CONTA MARCA")</f>
        <v>SOBERANO DELIVERY - CONTA MARCA</v>
      </c>
      <c r="L694" s="32">
        <f>IFERROR(__xludf.DUMMYFUNCTION("""COMPUTED_VALUE"""),11.0)</f>
        <v>11</v>
      </c>
      <c r="M694" s="4" t="str">
        <f>IFERROR(__xludf.DUMMYFUNCTION("""COMPUTED_VALUE"""),"Opdv")</f>
        <v>Opdv</v>
      </c>
      <c r="N694" s="33">
        <f>IFERROR(__xludf.DUMMYFUNCTION("""COMPUTED_VALUE"""),0.5454545454545454)</f>
        <v>0.5454545455</v>
      </c>
      <c r="O694" s="4" t="str">
        <f>IFERROR(__xludf.DUMMYFUNCTION("""COMPUTED_VALUE"""),"Opdv")</f>
        <v>Opdv</v>
      </c>
      <c r="P694" s="33">
        <f>IFERROR(__xludf.DUMMYFUNCTION("""COMPUTED_VALUE"""),0.45454545454545453)</f>
        <v>0.4545454545</v>
      </c>
      <c r="Q694" s="4" t="str">
        <f>IFERROR(__xludf.DUMMYFUNCTION("""COMPUTED_VALUE"""),"Takeat Tecnologia")</f>
        <v>Takeat Tecnologia</v>
      </c>
      <c r="R694" s="33">
        <f>IFERROR(__xludf.DUMMYFUNCTION("""COMPUTED_VALUE"""),0.45454545454545453)</f>
        <v>0.4545454545</v>
      </c>
      <c r="S694" s="4" t="str">
        <f>IFERROR(__xludf.DUMMYFUNCTION("""COMPUTED_VALUE"""),"Takeat Tecnologia")</f>
        <v>Takeat Tecnologia</v>
      </c>
      <c r="T694" s="33">
        <f>IFERROR(__xludf.DUMMYFUNCTION("""COMPUTED_VALUE"""),0.7272727272727273)</f>
        <v>0.7272727273</v>
      </c>
      <c r="U694" s="4" t="str">
        <f>IFERROR(__xludf.DUMMYFUNCTION("""COMPUTED_VALUE"""),"Takeat Tecnologia")</f>
        <v>Takeat Tecnologia</v>
      </c>
      <c r="V694" s="33">
        <f>IFERROR(__xludf.DUMMYFUNCTION("""COMPUTED_VALUE"""),0.7272727272727273)</f>
        <v>0.7272727273</v>
      </c>
      <c r="W694" s="4" t="str">
        <f>IFERROR(__xludf.DUMMYFUNCTION("""COMPUTED_VALUE"""),"Takeat Tecnologia")</f>
        <v>Takeat Tecnologia</v>
      </c>
      <c r="X694" s="33">
        <f>IFERROR(__xludf.DUMMYFUNCTION("""COMPUTED_VALUE"""),0.9090909090909091)</f>
        <v>0.9090909091</v>
      </c>
    </row>
    <row r="695">
      <c r="K695" s="4" t="str">
        <f>IFERROR(__xludf.DUMMYFUNCTION("""COMPUTED_VALUE"""),"SUPER ATACADO BOM TODO - CONTA GRUPO")</f>
        <v>SUPER ATACADO BOM TODO - CONTA GRUPO</v>
      </c>
      <c r="L695" s="32">
        <f>IFERROR(__xludf.DUMMYFUNCTION("""COMPUTED_VALUE"""),11.0)</f>
        <v>11</v>
      </c>
      <c r="M695" s="4" t="str">
        <f>IFERROR(__xludf.DUMMYFUNCTION("""COMPUTED_VALUE"""),"N/A (Not found)")</f>
        <v>N/A (Not found)</v>
      </c>
      <c r="N695" s="33">
        <f>IFERROR(__xludf.DUMMYFUNCTION("""COMPUTED_VALUE"""),0.8181818181818182)</f>
        <v>0.8181818182</v>
      </c>
      <c r="O695" s="4" t="str">
        <f>IFERROR(__xludf.DUMMYFUNCTION("""COMPUTED_VALUE"""),"N/A (Not found)")</f>
        <v>N/A (Not found)</v>
      </c>
      <c r="P695" s="33">
        <f>IFERROR(__xludf.DUMMYFUNCTION("""COMPUTED_VALUE"""),0.5454545454545454)</f>
        <v>0.5454545455</v>
      </c>
      <c r="Q695" s="4" t="str">
        <f>IFERROR(__xludf.DUMMYFUNCTION("""COMPUTED_VALUE"""),"null")</f>
        <v>null</v>
      </c>
      <c r="R695" s="33">
        <f>IFERROR(__xludf.DUMMYFUNCTION("""COMPUTED_VALUE"""),0.5454545454545454)</f>
        <v>0.5454545455</v>
      </c>
      <c r="S695" s="4" t="str">
        <f>IFERROR(__xludf.DUMMYFUNCTION("""COMPUTED_VALUE"""),"null")</f>
        <v>null</v>
      </c>
      <c r="T695" s="33">
        <f>IFERROR(__xludf.DUMMYFUNCTION("""COMPUTED_VALUE"""),0.5454545454545454)</f>
        <v>0.5454545455</v>
      </c>
      <c r="U695" s="4" t="str">
        <f>IFERROR(__xludf.DUMMYFUNCTION("""COMPUTED_VALUE"""),"null")</f>
        <v>null</v>
      </c>
      <c r="V695" s="33">
        <f>IFERROR(__xludf.DUMMYFUNCTION("""COMPUTED_VALUE"""),0.7272727272727273)</f>
        <v>0.7272727273</v>
      </c>
      <c r="W695" s="4" t="str">
        <f>IFERROR(__xludf.DUMMYFUNCTION("""COMPUTED_VALUE"""),"null")</f>
        <v>null</v>
      </c>
      <c r="X695" s="33">
        <f>IFERROR(__xludf.DUMMYFUNCTION("""COMPUTED_VALUE"""),0.5454545454545454)</f>
        <v>0.5454545455</v>
      </c>
    </row>
    <row r="696">
      <c r="K696" s="4" t="str">
        <f>IFERROR(__xludf.DUMMYFUNCTION("""COMPUTED_VALUE"""),"SUPERMERCADO BOM DIA - CONTA PAI")</f>
        <v>SUPERMERCADO BOM DIA - CONTA PAI</v>
      </c>
      <c r="L696" s="32">
        <f>IFERROR(__xludf.DUMMYFUNCTION("""COMPUTED_VALUE"""),11.0)</f>
        <v>11</v>
      </c>
      <c r="M696" s="4" t="str">
        <f>IFERROR(__xludf.DUMMYFUNCTION("""COMPUTED_VALUE"""),"N/A (Not found)")</f>
        <v>N/A (Not found)</v>
      </c>
      <c r="N696" s="33">
        <f>IFERROR(__xludf.DUMMYFUNCTION("""COMPUTED_VALUE"""),0.9090909090909091)</f>
        <v>0.9090909091</v>
      </c>
      <c r="O696" s="4" t="str">
        <f>IFERROR(__xludf.DUMMYFUNCTION("""COMPUTED_VALUE"""),"N/A (Not found)")</f>
        <v>N/A (Not found)</v>
      </c>
      <c r="P696" s="33">
        <f>IFERROR(__xludf.DUMMYFUNCTION("""COMPUTED_VALUE"""),1.0)</f>
        <v>1</v>
      </c>
      <c r="Q696" s="4" t="str">
        <f>IFERROR(__xludf.DUMMYFUNCTION("""COMPUTED_VALUE"""),"N/A (Not found)")</f>
        <v>N/A (Not found)</v>
      </c>
      <c r="R696" s="33">
        <f>IFERROR(__xludf.DUMMYFUNCTION("""COMPUTED_VALUE"""),1.0)</f>
        <v>1</v>
      </c>
      <c r="S696" s="4" t="str">
        <f>IFERROR(__xludf.DUMMYFUNCTION("""COMPUTED_VALUE"""),"N/A (Not found)")</f>
        <v>N/A (Not found)</v>
      </c>
      <c r="T696" s="33">
        <f>IFERROR(__xludf.DUMMYFUNCTION("""COMPUTED_VALUE"""),1.0)</f>
        <v>1</v>
      </c>
      <c r="U696" s="4" t="str">
        <f>IFERROR(__xludf.DUMMYFUNCTION("""COMPUTED_VALUE"""),"N/A (Not found)")</f>
        <v>N/A (Not found)</v>
      </c>
      <c r="V696" s="33">
        <f>IFERROR(__xludf.DUMMYFUNCTION("""COMPUTED_VALUE"""),1.0)</f>
        <v>1</v>
      </c>
      <c r="W696" s="4" t="str">
        <f>IFERROR(__xludf.DUMMYFUNCTION("""COMPUTED_VALUE"""),"N/A (Not found)")</f>
        <v>N/A (Not found)</v>
      </c>
      <c r="X696" s="33">
        <f>IFERROR(__xludf.DUMMYFUNCTION("""COMPUTED_VALUE"""),1.0)</f>
        <v>1</v>
      </c>
    </row>
    <row r="697">
      <c r="K697" s="4" t="str">
        <f>IFERROR(__xludf.DUMMYFUNCTION("""COMPUTED_VALUE"""),"SUPERMERCADO GUARA - CONTA GRUPO")</f>
        <v>SUPERMERCADO GUARA - CONTA GRUPO</v>
      </c>
      <c r="L697" s="32">
        <f>IFERROR(__xludf.DUMMYFUNCTION("""COMPUTED_VALUE"""),11.0)</f>
        <v>11</v>
      </c>
      <c r="M697" s="4" t="str">
        <f>IFERROR(__xludf.DUMMYFUNCTION("""COMPUTED_VALUE"""),"N/A (Not found)")</f>
        <v>N/A (Not found)</v>
      </c>
      <c r="N697" s="33">
        <f>IFERROR(__xludf.DUMMYFUNCTION("""COMPUTED_VALUE"""),0.9090909090909091)</f>
        <v>0.9090909091</v>
      </c>
      <c r="O697" s="4" t="str">
        <f>IFERROR(__xludf.DUMMYFUNCTION("""COMPUTED_VALUE"""),"N/A (Not found)")</f>
        <v>N/A (Not found)</v>
      </c>
      <c r="P697" s="33">
        <f>IFERROR(__xludf.DUMMYFUNCTION("""COMPUTED_VALUE"""),0.9090909090909091)</f>
        <v>0.9090909091</v>
      </c>
      <c r="Q697" s="4" t="str">
        <f>IFERROR(__xludf.DUMMYFUNCTION("""COMPUTED_VALUE"""),"N/A (Not found)")</f>
        <v>N/A (Not found)</v>
      </c>
      <c r="R697" s="33">
        <f>IFERROR(__xludf.DUMMYFUNCTION("""COMPUTED_VALUE"""),0.9090909090909091)</f>
        <v>0.9090909091</v>
      </c>
      <c r="S697" s="4" t="str">
        <f>IFERROR(__xludf.DUMMYFUNCTION("""COMPUTED_VALUE"""),"N/A (Not found)")</f>
        <v>N/A (Not found)</v>
      </c>
      <c r="T697" s="33">
        <f>IFERROR(__xludf.DUMMYFUNCTION("""COMPUTED_VALUE"""),1.0)</f>
        <v>1</v>
      </c>
      <c r="U697" s="4" t="str">
        <f>IFERROR(__xludf.DUMMYFUNCTION("""COMPUTED_VALUE"""),"N/A (Not found)")</f>
        <v>N/A (Not found)</v>
      </c>
      <c r="V697" s="33">
        <f>IFERROR(__xludf.DUMMYFUNCTION("""COMPUTED_VALUE"""),1.0)</f>
        <v>1</v>
      </c>
      <c r="W697" s="4" t="str">
        <f>IFERROR(__xludf.DUMMYFUNCTION("""COMPUTED_VALUE"""),"N/A (Not found)")</f>
        <v>N/A (Not found)</v>
      </c>
      <c r="X697" s="33">
        <f>IFERROR(__xludf.DUMMYFUNCTION("""COMPUTED_VALUE"""),1.0)</f>
        <v>1</v>
      </c>
    </row>
    <row r="698">
      <c r="K698" s="4" t="str">
        <f>IFERROR(__xludf.DUMMYFUNCTION("""COMPUTED_VALUE"""),"SUSHI METROPOLES")</f>
        <v>SUSHI METROPOLES</v>
      </c>
      <c r="L698" s="32">
        <f>IFERROR(__xludf.DUMMYFUNCTION("""COMPUTED_VALUE"""),11.0)</f>
        <v>11</v>
      </c>
      <c r="M698" s="4" t="str">
        <f>IFERROR(__xludf.DUMMYFUNCTION("""COMPUTED_VALUE"""),"Saipos Serviços De Software")</f>
        <v>Saipos Serviços De Software</v>
      </c>
      <c r="N698" s="33">
        <f>IFERROR(__xludf.DUMMYFUNCTION("""COMPUTED_VALUE"""),1.0)</f>
        <v>1</v>
      </c>
      <c r="O698" s="4" t="str">
        <f>IFERROR(__xludf.DUMMYFUNCTION("""COMPUTED_VALUE"""),"Saipos Serviços De Software")</f>
        <v>Saipos Serviços De Software</v>
      </c>
      <c r="P698" s="33">
        <f>IFERROR(__xludf.DUMMYFUNCTION("""COMPUTED_VALUE"""),1.0)</f>
        <v>1</v>
      </c>
      <c r="Q698" s="4" t="str">
        <f>IFERROR(__xludf.DUMMYFUNCTION("""COMPUTED_VALUE"""),"Saipos Serviços De Software")</f>
        <v>Saipos Serviços De Software</v>
      </c>
      <c r="R698" s="33">
        <f>IFERROR(__xludf.DUMMYFUNCTION("""COMPUTED_VALUE"""),1.0)</f>
        <v>1</v>
      </c>
      <c r="S698" s="4" t="str">
        <f>IFERROR(__xludf.DUMMYFUNCTION("""COMPUTED_VALUE"""),"Saipos Serviços De Software")</f>
        <v>Saipos Serviços De Software</v>
      </c>
      <c r="T698" s="33">
        <f>IFERROR(__xludf.DUMMYFUNCTION("""COMPUTED_VALUE"""),1.0)</f>
        <v>1</v>
      </c>
      <c r="U698" s="4" t="str">
        <f>IFERROR(__xludf.DUMMYFUNCTION("""COMPUTED_VALUE"""),"Saipos Serviços De Software")</f>
        <v>Saipos Serviços De Software</v>
      </c>
      <c r="V698" s="33">
        <f>IFERROR(__xludf.DUMMYFUNCTION("""COMPUTED_VALUE"""),1.0)</f>
        <v>1</v>
      </c>
      <c r="W698" s="4" t="str">
        <f>IFERROR(__xludf.DUMMYFUNCTION("""COMPUTED_VALUE"""),"Saipos Serviços De Software")</f>
        <v>Saipos Serviços De Software</v>
      </c>
      <c r="X698" s="33">
        <f>IFERROR(__xludf.DUMMYFUNCTION("""COMPUTED_VALUE"""),1.0)</f>
        <v>1</v>
      </c>
    </row>
    <row r="699">
      <c r="K699" s="4" t="str">
        <f>IFERROR(__xludf.DUMMYFUNCTION("""COMPUTED_VALUE"""),"OLGA RI E HI POKEE - CONTA GRUPO")</f>
        <v>OLGA RI E HI POKEE - CONTA GRUPO</v>
      </c>
      <c r="L699" s="32">
        <f>IFERROR(__xludf.DUMMYFUNCTION("""COMPUTED_VALUE"""),11.0)</f>
        <v>11</v>
      </c>
      <c r="M699" s="4" t="str">
        <f>IFERROR(__xludf.DUMMYFUNCTION("""COMPUTED_VALUE"""),"E-deploy Retail")</f>
        <v>E-deploy Retail</v>
      </c>
      <c r="N699" s="33">
        <f>IFERROR(__xludf.DUMMYFUNCTION("""COMPUTED_VALUE"""),1.0)</f>
        <v>1</v>
      </c>
      <c r="O699" s="4" t="str">
        <f>IFERROR(__xludf.DUMMYFUNCTION("""COMPUTED_VALUE"""),"E-deploy Retail")</f>
        <v>E-deploy Retail</v>
      </c>
      <c r="P699" s="33">
        <f>IFERROR(__xludf.DUMMYFUNCTION("""COMPUTED_VALUE"""),1.0)</f>
        <v>1</v>
      </c>
      <c r="Q699" s="4" t="str">
        <f>IFERROR(__xludf.DUMMYFUNCTION("""COMPUTED_VALUE"""),"E-deploy Retail")</f>
        <v>E-deploy Retail</v>
      </c>
      <c r="R699" s="33">
        <f>IFERROR(__xludf.DUMMYFUNCTION("""COMPUTED_VALUE"""),1.0)</f>
        <v>1</v>
      </c>
      <c r="S699" s="4" t="str">
        <f>IFERROR(__xludf.DUMMYFUNCTION("""COMPUTED_VALUE"""),"E-deploy Retail")</f>
        <v>E-deploy Retail</v>
      </c>
      <c r="T699" s="33">
        <f>IFERROR(__xludf.DUMMYFUNCTION("""COMPUTED_VALUE"""),1.0)</f>
        <v>1</v>
      </c>
      <c r="U699" s="4" t="str">
        <f>IFERROR(__xludf.DUMMYFUNCTION("""COMPUTED_VALUE"""),"E-deploy Retail")</f>
        <v>E-deploy Retail</v>
      </c>
      <c r="V699" s="33">
        <f>IFERROR(__xludf.DUMMYFUNCTION("""COMPUTED_VALUE"""),1.0)</f>
        <v>1</v>
      </c>
      <c r="W699" s="4" t="str">
        <f>IFERROR(__xludf.DUMMYFUNCTION("""COMPUTED_VALUE"""),"E-deploy Retail")</f>
        <v>E-deploy Retail</v>
      </c>
      <c r="X699" s="33">
        <f>IFERROR(__xludf.DUMMYFUNCTION("""COMPUTED_VALUE"""),1.0)</f>
        <v>1</v>
      </c>
    </row>
    <row r="700">
      <c r="K700" s="4" t="str">
        <f>IFERROR(__xludf.DUMMYFUNCTION("""COMPUTED_VALUE"""),"SABOR CASEIRO")</f>
        <v>SABOR CASEIRO</v>
      </c>
      <c r="L700" s="32">
        <f>IFERROR(__xludf.DUMMYFUNCTION("""COMPUTED_VALUE"""),10.0)</f>
        <v>10</v>
      </c>
      <c r="M700" s="4" t="str">
        <f>IFERROR(__xludf.DUMMYFUNCTION("""COMPUTED_VALUE"""),"Saipos Serviços De Software")</f>
        <v>Saipos Serviços De Software</v>
      </c>
      <c r="N700" s="33">
        <f>IFERROR(__xludf.DUMMYFUNCTION("""COMPUTED_VALUE"""),0.3)</f>
        <v>0.3</v>
      </c>
      <c r="O700" s="4" t="str">
        <f>IFERROR(__xludf.DUMMYFUNCTION("""COMPUTED_VALUE"""),"null")</f>
        <v>null</v>
      </c>
      <c r="P700" s="33">
        <f>IFERROR(__xludf.DUMMYFUNCTION("""COMPUTED_VALUE"""),0.4)</f>
        <v>0.4</v>
      </c>
      <c r="Q700" s="4" t="str">
        <f>IFERROR(__xludf.DUMMYFUNCTION("""COMPUTED_VALUE"""),"null")</f>
        <v>null</v>
      </c>
      <c r="R700" s="33">
        <f>IFERROR(__xludf.DUMMYFUNCTION("""COMPUTED_VALUE"""),0.4)</f>
        <v>0.4</v>
      </c>
      <c r="S700" s="4" t="str">
        <f>IFERROR(__xludf.DUMMYFUNCTION("""COMPUTED_VALUE"""),"null")</f>
        <v>null</v>
      </c>
      <c r="T700" s="33">
        <f>IFERROR(__xludf.DUMMYFUNCTION("""COMPUTED_VALUE"""),0.6)</f>
        <v>0.6</v>
      </c>
      <c r="U700" s="4" t="str">
        <f>IFERROR(__xludf.DUMMYFUNCTION("""COMPUTED_VALUE"""),"null")</f>
        <v>null</v>
      </c>
      <c r="V700" s="33">
        <f>IFERROR(__xludf.DUMMYFUNCTION("""COMPUTED_VALUE"""),0.4)</f>
        <v>0.4</v>
      </c>
      <c r="W700" s="4" t="str">
        <f>IFERROR(__xludf.DUMMYFUNCTION("""COMPUTED_VALUE"""),"null")</f>
        <v>null</v>
      </c>
      <c r="X700" s="33">
        <f>IFERROR(__xludf.DUMMYFUNCTION("""COMPUTED_VALUE"""),0.7)</f>
        <v>0.7</v>
      </c>
    </row>
    <row r="701">
      <c r="K701" s="4" t="str">
        <f>IFERROR(__xludf.DUMMYFUNCTION("""COMPUTED_VALUE"""),"MARVEL BURGUER")</f>
        <v>MARVEL BURGUER</v>
      </c>
      <c r="L701" s="32">
        <f>IFERROR(__xludf.DUMMYFUNCTION("""COMPUTED_VALUE"""),10.0)</f>
        <v>10</v>
      </c>
      <c r="M701" s="4" t="str">
        <f>IFERROR(__xludf.DUMMYFUNCTION("""COMPUTED_VALUE"""),"Cardápio Web")</f>
        <v>Cardápio Web</v>
      </c>
      <c r="N701" s="33">
        <f>IFERROR(__xludf.DUMMYFUNCTION("""COMPUTED_VALUE"""),0.7)</f>
        <v>0.7</v>
      </c>
      <c r="O701" s="4" t="str">
        <f>IFERROR(__xludf.DUMMYFUNCTION("""COMPUTED_VALUE"""),"Cardápio Web")</f>
        <v>Cardápio Web</v>
      </c>
      <c r="P701" s="33">
        <f>IFERROR(__xludf.DUMMYFUNCTION("""COMPUTED_VALUE"""),0.4)</f>
        <v>0.4</v>
      </c>
      <c r="Q701" s="4" t="str">
        <f>IFERROR(__xludf.DUMMYFUNCTION("""COMPUTED_VALUE"""),"null")</f>
        <v>null</v>
      </c>
      <c r="R701" s="33">
        <f>IFERROR(__xludf.DUMMYFUNCTION("""COMPUTED_VALUE"""),0.7)</f>
        <v>0.7</v>
      </c>
      <c r="S701" s="4" t="str">
        <f>IFERROR(__xludf.DUMMYFUNCTION("""COMPUTED_VALUE"""),"null")</f>
        <v>null</v>
      </c>
      <c r="T701" s="33">
        <f>IFERROR(__xludf.DUMMYFUNCTION("""COMPUTED_VALUE"""),0.5)</f>
        <v>0.5</v>
      </c>
      <c r="U701" s="4" t="str">
        <f>IFERROR(__xludf.DUMMYFUNCTION("""COMPUTED_VALUE"""),"null")</f>
        <v>null</v>
      </c>
      <c r="V701" s="33">
        <f>IFERROR(__xludf.DUMMYFUNCTION("""COMPUTED_VALUE"""),0.6)</f>
        <v>0.6</v>
      </c>
      <c r="W701" s="4" t="str">
        <f>IFERROR(__xludf.DUMMYFUNCTION("""COMPUTED_VALUE"""),"null")</f>
        <v>null</v>
      </c>
      <c r="X701" s="33">
        <f>IFERROR(__xludf.DUMMYFUNCTION("""COMPUTED_VALUE"""),0.7)</f>
        <v>0.7</v>
      </c>
    </row>
    <row r="702">
      <c r="K702" s="4" t="str">
        <f>IFERROR(__xludf.DUMMYFUNCTION("""COMPUTED_VALUE"""),"FAST BURGUER")</f>
        <v>FAST BURGUER</v>
      </c>
      <c r="L702" s="32">
        <f>IFERROR(__xludf.DUMMYFUNCTION("""COMPUTED_VALUE"""),10.0)</f>
        <v>10</v>
      </c>
      <c r="M702" s="4" t="str">
        <f>IFERROR(__xludf.DUMMYFUNCTION("""COMPUTED_VALUE"""),"Anota Ai Solucoes Digitais S/a")</f>
        <v>Anota Ai Solucoes Digitais S/a</v>
      </c>
      <c r="N702" s="33">
        <f>IFERROR(__xludf.DUMMYFUNCTION("""COMPUTED_VALUE"""),0.3)</f>
        <v>0.3</v>
      </c>
      <c r="O702" s="4" t="str">
        <f>IFERROR(__xludf.DUMMYFUNCTION("""COMPUTED_VALUE"""),"Anota Ai Solucoes Digitais S/a")</f>
        <v>Anota Ai Solucoes Digitais S/a</v>
      </c>
      <c r="P702" s="33">
        <f>IFERROR(__xludf.DUMMYFUNCTION("""COMPUTED_VALUE"""),0.3)</f>
        <v>0.3</v>
      </c>
      <c r="Q702" s="4" t="str">
        <f>IFERROR(__xludf.DUMMYFUNCTION("""COMPUTED_VALUE"""),"Saipos Serviços De Software")</f>
        <v>Saipos Serviços De Software</v>
      </c>
      <c r="R702" s="33">
        <f>IFERROR(__xludf.DUMMYFUNCTION("""COMPUTED_VALUE"""),0.3)</f>
        <v>0.3</v>
      </c>
      <c r="S702" s="4" t="str">
        <f>IFERROR(__xludf.DUMMYFUNCTION("""COMPUTED_VALUE"""),"Saipos Serviços De Software")</f>
        <v>Saipos Serviços De Software</v>
      </c>
      <c r="T702" s="33">
        <f>IFERROR(__xludf.DUMMYFUNCTION("""COMPUTED_VALUE"""),0.3)</f>
        <v>0.3</v>
      </c>
      <c r="U702" s="4" t="str">
        <f>IFERROR(__xludf.DUMMYFUNCTION("""COMPUTED_VALUE"""),"Saipos Serviços De Software")</f>
        <v>Saipos Serviços De Software</v>
      </c>
      <c r="V702" s="33">
        <f>IFERROR(__xludf.DUMMYFUNCTION("""COMPUTED_VALUE"""),0.3)</f>
        <v>0.3</v>
      </c>
      <c r="W702" s="4" t="str">
        <f>IFERROR(__xludf.DUMMYFUNCTION("""COMPUTED_VALUE"""),"Saipos Serviços De Software")</f>
        <v>Saipos Serviços De Software</v>
      </c>
      <c r="X702" s="33">
        <f>IFERROR(__xludf.DUMMYFUNCTION("""COMPUTED_VALUE"""),0.3)</f>
        <v>0.3</v>
      </c>
    </row>
    <row r="703">
      <c r="K703" s="4" t="str">
        <f>IFERROR(__xludf.DUMMYFUNCTION("""COMPUTED_VALUE"""),"FRUTOS DE GOIAS")</f>
        <v>FRUTOS DE GOIAS</v>
      </c>
      <c r="L703" s="32">
        <f>IFERROR(__xludf.DUMMYFUNCTION("""COMPUTED_VALUE"""),10.0)</f>
        <v>10</v>
      </c>
      <c r="M703" s="4" t="str">
        <f>IFERROR(__xludf.DUMMYFUNCTION("""COMPUTED_VALUE"""),"null")</f>
        <v>null</v>
      </c>
      <c r="N703" s="33">
        <f>IFERROR(__xludf.DUMMYFUNCTION("""COMPUTED_VALUE"""),0.4)</f>
        <v>0.4</v>
      </c>
      <c r="O703" s="4" t="str">
        <f>IFERROR(__xludf.DUMMYFUNCTION("""COMPUTED_VALUE"""),"null")</f>
        <v>null</v>
      </c>
      <c r="P703" s="33">
        <f>IFERROR(__xludf.DUMMYFUNCTION("""COMPUTED_VALUE"""),0.4)</f>
        <v>0.4</v>
      </c>
      <c r="Q703" s="4" t="str">
        <f>IFERROR(__xludf.DUMMYFUNCTION("""COMPUTED_VALUE"""),"null")</f>
        <v>null</v>
      </c>
      <c r="R703" s="33">
        <f>IFERROR(__xludf.DUMMYFUNCTION("""COMPUTED_VALUE"""),0.3)</f>
        <v>0.3</v>
      </c>
      <c r="S703" s="4" t="str">
        <f>IFERROR(__xludf.DUMMYFUNCTION("""COMPUTED_VALUE"""),"null")</f>
        <v>null</v>
      </c>
      <c r="T703" s="33">
        <f>IFERROR(__xludf.DUMMYFUNCTION("""COMPUTED_VALUE"""),0.3)</f>
        <v>0.3</v>
      </c>
      <c r="U703" s="4" t="str">
        <f>IFERROR(__xludf.DUMMYFUNCTION("""COMPUTED_VALUE"""),"Saipos Serviços De Software")</f>
        <v>Saipos Serviços De Software</v>
      </c>
      <c r="V703" s="33">
        <f>IFERROR(__xludf.DUMMYFUNCTION("""COMPUTED_VALUE"""),0.3)</f>
        <v>0.3</v>
      </c>
      <c r="W703" s="4" t="str">
        <f>IFERROR(__xludf.DUMMYFUNCTION("""COMPUTED_VALUE"""),"Saipos Serviços De Software")</f>
        <v>Saipos Serviços De Software</v>
      </c>
      <c r="X703" s="33">
        <f>IFERROR(__xludf.DUMMYFUNCTION("""COMPUTED_VALUE"""),0.3)</f>
        <v>0.3</v>
      </c>
    </row>
    <row r="704">
      <c r="K704" s="4" t="str">
        <f>IFERROR(__xludf.DUMMYFUNCTION("""COMPUTED_VALUE"""),"PIZZA GO")</f>
        <v>PIZZA GO</v>
      </c>
      <c r="L704" s="32">
        <f>IFERROR(__xludf.DUMMYFUNCTION("""COMPUTED_VALUE"""),10.0)</f>
        <v>10</v>
      </c>
      <c r="M704" s="4" t="str">
        <f>IFERROR(__xludf.DUMMYFUNCTION("""COMPUTED_VALUE"""),"Premio Sistemas Ltda")</f>
        <v>Premio Sistemas Ltda</v>
      </c>
      <c r="N704" s="33">
        <f>IFERROR(__xludf.DUMMYFUNCTION("""COMPUTED_VALUE"""),0.5)</f>
        <v>0.5</v>
      </c>
      <c r="O704" s="4" t="str">
        <f>IFERROR(__xludf.DUMMYFUNCTION("""COMPUTED_VALUE"""),"Premio Sistemas Ltda")</f>
        <v>Premio Sistemas Ltda</v>
      </c>
      <c r="P704" s="33">
        <f>IFERROR(__xludf.DUMMYFUNCTION("""COMPUTED_VALUE"""),0.5)</f>
        <v>0.5</v>
      </c>
      <c r="Q704" s="4" t="str">
        <f>IFERROR(__xludf.DUMMYFUNCTION("""COMPUTED_VALUE"""),"Premio Sistemas Ltda")</f>
        <v>Premio Sistemas Ltda</v>
      </c>
      <c r="R704" s="33">
        <f>IFERROR(__xludf.DUMMYFUNCTION("""COMPUTED_VALUE"""),0.6)</f>
        <v>0.6</v>
      </c>
      <c r="S704" s="4" t="str">
        <f>IFERROR(__xludf.DUMMYFUNCTION("""COMPUTED_VALUE"""),"Premio Sistemas Ltda")</f>
        <v>Premio Sistemas Ltda</v>
      </c>
      <c r="T704" s="33">
        <f>IFERROR(__xludf.DUMMYFUNCTION("""COMPUTED_VALUE"""),0.6)</f>
        <v>0.6</v>
      </c>
      <c r="U704" s="4" t="str">
        <f>IFERROR(__xludf.DUMMYFUNCTION("""COMPUTED_VALUE"""),"Premio Sistemas Ltda")</f>
        <v>Premio Sistemas Ltda</v>
      </c>
      <c r="V704" s="33">
        <f>IFERROR(__xludf.DUMMYFUNCTION("""COMPUTED_VALUE"""),0.4)</f>
        <v>0.4</v>
      </c>
      <c r="W704" s="4" t="str">
        <f>IFERROR(__xludf.DUMMYFUNCTION("""COMPUTED_VALUE"""),"Premio Sistemas Ltda")</f>
        <v>Premio Sistemas Ltda</v>
      </c>
      <c r="X704" s="33">
        <f>IFERROR(__xludf.DUMMYFUNCTION("""COMPUTED_VALUE"""),0.4)</f>
        <v>0.4</v>
      </c>
    </row>
    <row r="705">
      <c r="K705" s="4" t="str">
        <f>IFERROR(__xludf.DUMMYFUNCTION("""COMPUTED_VALUE"""),"MONSTER BURGUER")</f>
        <v>MONSTER BURGUER</v>
      </c>
      <c r="L705" s="32">
        <f>IFERROR(__xludf.DUMMYFUNCTION("""COMPUTED_VALUE"""),10.0)</f>
        <v>10</v>
      </c>
      <c r="M705" s="4" t="str">
        <f>IFERROR(__xludf.DUMMYFUNCTION("""COMPUTED_VALUE"""),"Saipos Serviços De Software")</f>
        <v>Saipos Serviços De Software</v>
      </c>
      <c r="N705" s="33">
        <f>IFERROR(__xludf.DUMMYFUNCTION("""COMPUTED_VALUE"""),0.5)</f>
        <v>0.5</v>
      </c>
      <c r="O705" s="4" t="str">
        <f>IFERROR(__xludf.DUMMYFUNCTION("""COMPUTED_VALUE"""),"Saipos Serviços De Software")</f>
        <v>Saipos Serviços De Software</v>
      </c>
      <c r="P705" s="33">
        <f>IFERROR(__xludf.DUMMYFUNCTION("""COMPUTED_VALUE"""),0.4)</f>
        <v>0.4</v>
      </c>
      <c r="Q705" s="4" t="str">
        <f>IFERROR(__xludf.DUMMYFUNCTION("""COMPUTED_VALUE"""),"Saipos Serviços De Software")</f>
        <v>Saipos Serviços De Software</v>
      </c>
      <c r="R705" s="33">
        <f>IFERROR(__xludf.DUMMYFUNCTION("""COMPUTED_VALUE"""),0.5)</f>
        <v>0.5</v>
      </c>
      <c r="S705" s="4" t="str">
        <f>IFERROR(__xludf.DUMMYFUNCTION("""COMPUTED_VALUE"""),"Saipos Serviços De Software")</f>
        <v>Saipos Serviços De Software</v>
      </c>
      <c r="T705" s="33">
        <f>IFERROR(__xludf.DUMMYFUNCTION("""COMPUTED_VALUE"""),0.8)</f>
        <v>0.8</v>
      </c>
      <c r="U705" s="4" t="str">
        <f>IFERROR(__xludf.DUMMYFUNCTION("""COMPUTED_VALUE"""),"Saipos Serviços De Software")</f>
        <v>Saipos Serviços De Software</v>
      </c>
      <c r="V705" s="33">
        <f>IFERROR(__xludf.DUMMYFUNCTION("""COMPUTED_VALUE"""),0.8)</f>
        <v>0.8</v>
      </c>
      <c r="W705" s="4" t="str">
        <f>IFERROR(__xludf.DUMMYFUNCTION("""COMPUTED_VALUE"""),"Saipos Serviços De Software")</f>
        <v>Saipos Serviços De Software</v>
      </c>
      <c r="X705" s="33">
        <f>IFERROR(__xludf.DUMMYFUNCTION("""COMPUTED_VALUE"""),0.7)</f>
        <v>0.7</v>
      </c>
    </row>
    <row r="706">
      <c r="K706" s="4" t="str">
        <f>IFERROR(__xludf.DUMMYFUNCTION("""COMPUTED_VALUE"""),"HORA DO ACAI")</f>
        <v>HORA DO ACAI</v>
      </c>
      <c r="L706" s="32">
        <f>IFERROR(__xludf.DUMMYFUNCTION("""COMPUTED_VALUE"""),10.0)</f>
        <v>10</v>
      </c>
      <c r="M706" s="4" t="str">
        <f>IFERROR(__xludf.DUMMYFUNCTION("""COMPUTED_VALUE"""),"Anota Ai Solucoes Digitais S/a")</f>
        <v>Anota Ai Solucoes Digitais S/a</v>
      </c>
      <c r="N706" s="33">
        <f>IFERROR(__xludf.DUMMYFUNCTION("""COMPUTED_VALUE"""),0.3)</f>
        <v>0.3</v>
      </c>
      <c r="O706" s="4" t="str">
        <f>IFERROR(__xludf.DUMMYFUNCTION("""COMPUTED_VALUE"""),"null")</f>
        <v>null</v>
      </c>
      <c r="P706" s="33">
        <f>IFERROR(__xludf.DUMMYFUNCTION("""COMPUTED_VALUE"""),0.4)</f>
        <v>0.4</v>
      </c>
      <c r="Q706" s="4" t="str">
        <f>IFERROR(__xludf.DUMMYFUNCTION("""COMPUTED_VALUE"""),"null")</f>
        <v>null</v>
      </c>
      <c r="R706" s="33">
        <f>IFERROR(__xludf.DUMMYFUNCTION("""COMPUTED_VALUE"""),0.2)</f>
        <v>0.2</v>
      </c>
      <c r="S706" s="4" t="str">
        <f>IFERROR(__xludf.DUMMYFUNCTION("""COMPUTED_VALUE"""),"null")</f>
        <v>null</v>
      </c>
      <c r="T706" s="33">
        <f>IFERROR(__xludf.DUMMYFUNCTION("""COMPUTED_VALUE"""),0.3)</f>
        <v>0.3</v>
      </c>
      <c r="U706" s="4" t="str">
        <f>IFERROR(__xludf.DUMMYFUNCTION("""COMPUTED_VALUE"""),"null")</f>
        <v>null</v>
      </c>
      <c r="V706" s="33">
        <f>IFERROR(__xludf.DUMMYFUNCTION("""COMPUTED_VALUE"""),0.3)</f>
        <v>0.3</v>
      </c>
      <c r="W706" s="4" t="str">
        <f>IFERROR(__xludf.DUMMYFUNCTION("""COMPUTED_VALUE"""),"null")</f>
        <v>null</v>
      </c>
      <c r="X706" s="33">
        <f>IFERROR(__xludf.DUMMYFUNCTION("""COMPUTED_VALUE"""),0.3)</f>
        <v>0.3</v>
      </c>
    </row>
    <row r="707">
      <c r="K707" s="4" t="str">
        <f>IFERROR(__xludf.DUMMYFUNCTION("""COMPUTED_VALUE"""),"GORDINHO LANCHES")</f>
        <v>GORDINHO LANCHES</v>
      </c>
      <c r="L707" s="32">
        <f>IFERROR(__xludf.DUMMYFUNCTION("""COMPUTED_VALUE"""),10.0)</f>
        <v>10</v>
      </c>
      <c r="M707" s="4" t="str">
        <f>IFERROR(__xludf.DUMMYFUNCTION("""COMPUTED_VALUE"""),"Cardápio Web")</f>
        <v>Cardápio Web</v>
      </c>
      <c r="N707" s="33">
        <f>IFERROR(__xludf.DUMMYFUNCTION("""COMPUTED_VALUE"""),0.2)</f>
        <v>0.2</v>
      </c>
      <c r="O707" s="4" t="str">
        <f>IFERROR(__xludf.DUMMYFUNCTION("""COMPUTED_VALUE"""),"null")</f>
        <v>null</v>
      </c>
      <c r="P707" s="33">
        <f>IFERROR(__xludf.DUMMYFUNCTION("""COMPUTED_VALUE"""),0.2)</f>
        <v>0.2</v>
      </c>
      <c r="Q707" s="4" t="str">
        <f>IFERROR(__xludf.DUMMYFUNCTION("""COMPUTED_VALUE"""),"null")</f>
        <v>null</v>
      </c>
      <c r="R707" s="33">
        <f>IFERROR(__xludf.DUMMYFUNCTION("""COMPUTED_VALUE"""),0.2)</f>
        <v>0.2</v>
      </c>
      <c r="S707" s="4" t="str">
        <f>IFERROR(__xludf.DUMMYFUNCTION("""COMPUTED_VALUE"""),"null")</f>
        <v>null</v>
      </c>
      <c r="T707" s="33">
        <f>IFERROR(__xludf.DUMMYFUNCTION("""COMPUTED_VALUE"""),0.3)</f>
        <v>0.3</v>
      </c>
      <c r="U707" s="4" t="str">
        <f>IFERROR(__xludf.DUMMYFUNCTION("""COMPUTED_VALUE"""),"null")</f>
        <v>null</v>
      </c>
      <c r="V707" s="33">
        <f>IFERROR(__xludf.DUMMYFUNCTION("""COMPUTED_VALUE"""),0.3)</f>
        <v>0.3</v>
      </c>
      <c r="W707" s="4" t="str">
        <f>IFERROR(__xludf.DUMMYFUNCTION("""COMPUTED_VALUE"""),"null")</f>
        <v>null</v>
      </c>
      <c r="X707" s="33">
        <f>IFERROR(__xludf.DUMMYFUNCTION("""COMPUTED_VALUE"""),0.2)</f>
        <v>0.2</v>
      </c>
    </row>
    <row r="708">
      <c r="K708" s="4" t="str">
        <f>IFERROR(__xludf.DUMMYFUNCTION("""COMPUTED_VALUE"""),"ALI ESFIHARIA")</f>
        <v>ALI ESFIHARIA</v>
      </c>
      <c r="L708" s="32">
        <f>IFERROR(__xludf.DUMMYFUNCTION("""COMPUTED_VALUE"""),10.0)</f>
        <v>10</v>
      </c>
      <c r="M708" s="4" t="str">
        <f>IFERROR(__xludf.DUMMYFUNCTION("""COMPUTED_VALUE"""),"null")</f>
        <v>null</v>
      </c>
      <c r="N708" s="33">
        <f>IFERROR(__xludf.DUMMYFUNCTION("""COMPUTED_VALUE"""),0.6)</f>
        <v>0.6</v>
      </c>
      <c r="O708" s="4" t="str">
        <f>IFERROR(__xludf.DUMMYFUNCTION("""COMPUTED_VALUE"""),"null")</f>
        <v>null</v>
      </c>
      <c r="P708" s="33">
        <f>IFERROR(__xludf.DUMMYFUNCTION("""COMPUTED_VALUE"""),0.7)</f>
        <v>0.7</v>
      </c>
      <c r="Q708" s="4" t="str">
        <f>IFERROR(__xludf.DUMMYFUNCTION("""COMPUTED_VALUE"""),"null")</f>
        <v>null</v>
      </c>
      <c r="R708" s="33">
        <f>IFERROR(__xludf.DUMMYFUNCTION("""COMPUTED_VALUE"""),0.6)</f>
        <v>0.6</v>
      </c>
      <c r="S708" s="4" t="str">
        <f>IFERROR(__xludf.DUMMYFUNCTION("""COMPUTED_VALUE"""),"null")</f>
        <v>null</v>
      </c>
      <c r="T708" s="33">
        <f>IFERROR(__xludf.DUMMYFUNCTION("""COMPUTED_VALUE"""),0.5)</f>
        <v>0.5</v>
      </c>
      <c r="U708" s="4" t="str">
        <f>IFERROR(__xludf.DUMMYFUNCTION("""COMPUTED_VALUE"""),"Saipos Serviços De Software")</f>
        <v>Saipos Serviços De Software</v>
      </c>
      <c r="V708" s="33">
        <f>IFERROR(__xludf.DUMMYFUNCTION("""COMPUTED_VALUE"""),0.8)</f>
        <v>0.8</v>
      </c>
      <c r="W708" s="4" t="str">
        <f>IFERROR(__xludf.DUMMYFUNCTION("""COMPUTED_VALUE"""),"Saipos Serviços De Software")</f>
        <v>Saipos Serviços De Software</v>
      </c>
      <c r="X708" s="33">
        <f>IFERROR(__xludf.DUMMYFUNCTION("""COMPUTED_VALUE"""),0.8)</f>
        <v>0.8</v>
      </c>
    </row>
    <row r="709">
      <c r="K709" s="4" t="str">
        <f>IFERROR(__xludf.DUMMYFUNCTION("""COMPUTED_VALUE"""),"IMPERIO DA PIZZA")</f>
        <v>IMPERIO DA PIZZA</v>
      </c>
      <c r="L709" s="32">
        <f>IFERROR(__xludf.DUMMYFUNCTION("""COMPUTED_VALUE"""),10.0)</f>
        <v>10</v>
      </c>
      <c r="M709" s="4" t="str">
        <f>IFERROR(__xludf.DUMMYFUNCTION("""COMPUTED_VALUE"""),"null")</f>
        <v>null</v>
      </c>
      <c r="N709" s="33">
        <f>IFERROR(__xludf.DUMMYFUNCTION("""COMPUTED_VALUE"""),0.3)</f>
        <v>0.3</v>
      </c>
      <c r="O709" s="4" t="str">
        <f>IFERROR(__xludf.DUMMYFUNCTION("""COMPUTED_VALUE"""),"null")</f>
        <v>null</v>
      </c>
      <c r="P709" s="33">
        <f>IFERROR(__xludf.DUMMYFUNCTION("""COMPUTED_VALUE"""),0.3)</f>
        <v>0.3</v>
      </c>
      <c r="Q709" s="4" t="str">
        <f>IFERROR(__xludf.DUMMYFUNCTION("""COMPUTED_VALUE"""),"Anota Ai Solucoes Digitais S/a")</f>
        <v>Anota Ai Solucoes Digitais S/a</v>
      </c>
      <c r="R709" s="33">
        <f>IFERROR(__xludf.DUMMYFUNCTION("""COMPUTED_VALUE"""),0.2)</f>
        <v>0.2</v>
      </c>
      <c r="S709" s="4" t="str">
        <f>IFERROR(__xludf.DUMMYFUNCTION("""COMPUTED_VALUE"""),"Saipos Serviços De Software")</f>
        <v>Saipos Serviços De Software</v>
      </c>
      <c r="T709" s="33">
        <f>IFERROR(__xludf.DUMMYFUNCTION("""COMPUTED_VALUE"""),0.2)</f>
        <v>0.2</v>
      </c>
      <c r="U709" s="4" t="str">
        <f>IFERROR(__xludf.DUMMYFUNCTION("""COMPUTED_VALUE"""),"Saipos Serviços De Software")</f>
        <v>Saipos Serviços De Software</v>
      </c>
      <c r="V709" s="33">
        <f>IFERROR(__xludf.DUMMYFUNCTION("""COMPUTED_VALUE"""),0.2)</f>
        <v>0.2</v>
      </c>
      <c r="W709" s="4" t="str">
        <f>IFERROR(__xludf.DUMMYFUNCTION("""COMPUTED_VALUE"""),"Saipos Serviços De Software")</f>
        <v>Saipos Serviços De Software</v>
      </c>
      <c r="X709" s="33">
        <f>IFERROR(__xludf.DUMMYFUNCTION("""COMPUTED_VALUE"""),0.2)</f>
        <v>0.2</v>
      </c>
    </row>
    <row r="710">
      <c r="K710" s="4" t="str">
        <f>IFERROR(__xludf.DUMMYFUNCTION("""COMPUTED_VALUE"""),"THE BURGER")</f>
        <v>THE BURGER</v>
      </c>
      <c r="L710" s="32">
        <f>IFERROR(__xludf.DUMMYFUNCTION("""COMPUTED_VALUE"""),10.0)</f>
        <v>10</v>
      </c>
      <c r="M710" s="4" t="str">
        <f>IFERROR(__xludf.DUMMYFUNCTION("""COMPUTED_VALUE"""),"null")</f>
        <v>null</v>
      </c>
      <c r="N710" s="33">
        <f>IFERROR(__xludf.DUMMYFUNCTION("""COMPUTED_VALUE"""),0.5)</f>
        <v>0.5</v>
      </c>
      <c r="O710" s="4" t="str">
        <f>IFERROR(__xludf.DUMMYFUNCTION("""COMPUTED_VALUE"""),"null")</f>
        <v>null</v>
      </c>
      <c r="P710" s="33">
        <f>IFERROR(__xludf.DUMMYFUNCTION("""COMPUTED_VALUE"""),0.4)</f>
        <v>0.4</v>
      </c>
      <c r="Q710" s="4" t="str">
        <f>IFERROR(__xludf.DUMMYFUNCTION("""COMPUTED_VALUE"""),"null")</f>
        <v>null</v>
      </c>
      <c r="R710" s="33">
        <f>IFERROR(__xludf.DUMMYFUNCTION("""COMPUTED_VALUE"""),0.4)</f>
        <v>0.4</v>
      </c>
      <c r="S710" s="4" t="str">
        <f>IFERROR(__xludf.DUMMYFUNCTION("""COMPUTED_VALUE"""),"null")</f>
        <v>null</v>
      </c>
      <c r="T710" s="33">
        <f>IFERROR(__xludf.DUMMYFUNCTION("""COMPUTED_VALUE"""),0.3)</f>
        <v>0.3</v>
      </c>
      <c r="U710" s="4" t="str">
        <f>IFERROR(__xludf.DUMMYFUNCTION("""COMPUTED_VALUE"""),"Saipos Serviços De Software")</f>
        <v>Saipos Serviços De Software</v>
      </c>
      <c r="V710" s="33">
        <f>IFERROR(__xludf.DUMMYFUNCTION("""COMPUTED_VALUE"""),0.4)</f>
        <v>0.4</v>
      </c>
      <c r="W710" s="4" t="str">
        <f>IFERROR(__xludf.DUMMYFUNCTION("""COMPUTED_VALUE"""),"null")</f>
        <v>null</v>
      </c>
      <c r="X710" s="33">
        <f>IFERROR(__xludf.DUMMYFUNCTION("""COMPUTED_VALUE"""),0.7)</f>
        <v>0.7</v>
      </c>
    </row>
    <row r="711">
      <c r="K711" s="4" t="str">
        <f>IFERROR(__xludf.DUMMYFUNCTION("""COMPUTED_VALUE"""),"PIZZARIA FORNALHA")</f>
        <v>PIZZARIA FORNALHA</v>
      </c>
      <c r="L711" s="32">
        <f>IFERROR(__xludf.DUMMYFUNCTION("""COMPUTED_VALUE"""),10.0)</f>
        <v>10</v>
      </c>
      <c r="M711" s="4" t="str">
        <f>IFERROR(__xludf.DUMMYFUNCTION("""COMPUTED_VALUE"""),"Anota Ai Solucoes Digitais S/a")</f>
        <v>Anota Ai Solucoes Digitais S/a</v>
      </c>
      <c r="N711" s="33">
        <f>IFERROR(__xludf.DUMMYFUNCTION("""COMPUTED_VALUE"""),0.4)</f>
        <v>0.4</v>
      </c>
      <c r="O711" s="4" t="str">
        <f>IFERROR(__xludf.DUMMYFUNCTION("""COMPUTED_VALUE"""),"null")</f>
        <v>null</v>
      </c>
      <c r="P711" s="33">
        <f>IFERROR(__xludf.DUMMYFUNCTION("""COMPUTED_VALUE"""),0.5)</f>
        <v>0.5</v>
      </c>
      <c r="Q711" s="4" t="str">
        <f>IFERROR(__xludf.DUMMYFUNCTION("""COMPUTED_VALUE"""),"null")</f>
        <v>null</v>
      </c>
      <c r="R711" s="33">
        <f>IFERROR(__xludf.DUMMYFUNCTION("""COMPUTED_VALUE"""),0.4)</f>
        <v>0.4</v>
      </c>
      <c r="S711" s="4" t="str">
        <f>IFERROR(__xludf.DUMMYFUNCTION("""COMPUTED_VALUE"""),"null")</f>
        <v>null</v>
      </c>
      <c r="T711" s="33">
        <f>IFERROR(__xludf.DUMMYFUNCTION("""COMPUTED_VALUE"""),0.4)</f>
        <v>0.4</v>
      </c>
      <c r="U711" s="4" t="str">
        <f>IFERROR(__xludf.DUMMYFUNCTION("""COMPUTED_VALUE"""),"null")</f>
        <v>null</v>
      </c>
      <c r="V711" s="33">
        <f>IFERROR(__xludf.DUMMYFUNCTION("""COMPUTED_VALUE"""),0.4)</f>
        <v>0.4</v>
      </c>
      <c r="W711" s="4" t="str">
        <f>IFERROR(__xludf.DUMMYFUNCTION("""COMPUTED_VALUE"""),"Saipos Serviços De Software")</f>
        <v>Saipos Serviços De Software</v>
      </c>
      <c r="X711" s="33">
        <f>IFERROR(__xludf.DUMMYFUNCTION("""COMPUTED_VALUE"""),0.2)</f>
        <v>0.2</v>
      </c>
    </row>
    <row r="712">
      <c r="K712" s="4" t="str">
        <f>IFERROR(__xludf.DUMMYFUNCTION("""COMPUTED_VALUE"""),"MARMITARIA TEMPERO CASCAVEL")</f>
        <v>MARMITARIA TEMPERO CASCAVEL</v>
      </c>
      <c r="L712" s="32">
        <f>IFERROR(__xludf.DUMMYFUNCTION("""COMPUTED_VALUE"""),10.0)</f>
        <v>10</v>
      </c>
      <c r="M712" s="4" t="str">
        <f>IFERROR(__xludf.DUMMYFUNCTION("""COMPUTED_VALUE"""),"Cardápio Web")</f>
        <v>Cardápio Web</v>
      </c>
      <c r="N712" s="33">
        <f>IFERROR(__xludf.DUMMYFUNCTION("""COMPUTED_VALUE"""),0.5454545454545454)</f>
        <v>0.5454545455</v>
      </c>
      <c r="O712" s="4" t="str">
        <f>IFERROR(__xludf.DUMMYFUNCTION("""COMPUTED_VALUE"""),"Cardápio Web")</f>
        <v>Cardápio Web</v>
      </c>
      <c r="P712" s="33">
        <f>IFERROR(__xludf.DUMMYFUNCTION("""COMPUTED_VALUE"""),0.5454545454545454)</f>
        <v>0.5454545455</v>
      </c>
      <c r="Q712" s="4" t="str">
        <f>IFERROR(__xludf.DUMMYFUNCTION("""COMPUTED_VALUE"""),"Cardápio Web")</f>
        <v>Cardápio Web</v>
      </c>
      <c r="R712" s="33">
        <f>IFERROR(__xludf.DUMMYFUNCTION("""COMPUTED_VALUE"""),0.5454545454545454)</f>
        <v>0.5454545455</v>
      </c>
      <c r="S712" s="4" t="str">
        <f>IFERROR(__xludf.DUMMYFUNCTION("""COMPUTED_VALUE"""),"Cardápio Web")</f>
        <v>Cardápio Web</v>
      </c>
      <c r="T712" s="33">
        <f>IFERROR(__xludf.DUMMYFUNCTION("""COMPUTED_VALUE"""),1.0)</f>
        <v>1</v>
      </c>
      <c r="U712" s="4" t="str">
        <f>IFERROR(__xludf.DUMMYFUNCTION("""COMPUTED_VALUE"""),"Cardápio Web")</f>
        <v>Cardápio Web</v>
      </c>
      <c r="V712" s="33">
        <f>IFERROR(__xludf.DUMMYFUNCTION("""COMPUTED_VALUE"""),1.0)</f>
        <v>1</v>
      </c>
      <c r="W712" s="4" t="str">
        <f>IFERROR(__xludf.DUMMYFUNCTION("""COMPUTED_VALUE"""),"Saipos Serviços De Software")</f>
        <v>Saipos Serviços De Software</v>
      </c>
      <c r="X712" s="33">
        <f>IFERROR(__xludf.DUMMYFUNCTION("""COMPUTED_VALUE"""),1.0)</f>
        <v>1</v>
      </c>
    </row>
    <row r="713">
      <c r="K713" s="4" t="str">
        <f>IFERROR(__xludf.DUMMYFUNCTION("""COMPUTED_VALUE"""),"BENDITO ACAI")</f>
        <v>BENDITO ACAI</v>
      </c>
      <c r="L713" s="32">
        <f>IFERROR(__xludf.DUMMYFUNCTION("""COMPUTED_VALUE"""),10.0)</f>
        <v>10</v>
      </c>
      <c r="M713" s="4" t="str">
        <f>IFERROR(__xludf.DUMMYFUNCTION("""COMPUTED_VALUE"""),"Anota Ai Solucoes Digitais S/a")</f>
        <v>Anota Ai Solucoes Digitais S/a</v>
      </c>
      <c r="N713" s="33">
        <f>IFERROR(__xludf.DUMMYFUNCTION("""COMPUTED_VALUE"""),0.3)</f>
        <v>0.3</v>
      </c>
      <c r="O713" s="4" t="str">
        <f>IFERROR(__xludf.DUMMYFUNCTION("""COMPUTED_VALUE"""),"Anota Ai Solucoes Digitais S/a")</f>
        <v>Anota Ai Solucoes Digitais S/a</v>
      </c>
      <c r="P713" s="33">
        <f>IFERROR(__xludf.DUMMYFUNCTION("""COMPUTED_VALUE"""),0.4)</f>
        <v>0.4</v>
      </c>
      <c r="Q713" s="4" t="str">
        <f>IFERROR(__xludf.DUMMYFUNCTION("""COMPUTED_VALUE"""),"Anota Ai Solucoes Digitais S/a")</f>
        <v>Anota Ai Solucoes Digitais S/a</v>
      </c>
      <c r="R713" s="33">
        <f>IFERROR(__xludf.DUMMYFUNCTION("""COMPUTED_VALUE"""),0.3)</f>
        <v>0.3</v>
      </c>
      <c r="S713" s="4" t="str">
        <f>IFERROR(__xludf.DUMMYFUNCTION("""COMPUTED_VALUE"""),"null")</f>
        <v>null</v>
      </c>
      <c r="T713" s="33">
        <f>IFERROR(__xludf.DUMMYFUNCTION("""COMPUTED_VALUE"""),0.3)</f>
        <v>0.3</v>
      </c>
      <c r="U713" s="4" t="str">
        <f>IFERROR(__xludf.DUMMYFUNCTION("""COMPUTED_VALUE"""),"null")</f>
        <v>null</v>
      </c>
      <c r="V713" s="33">
        <f>IFERROR(__xludf.DUMMYFUNCTION("""COMPUTED_VALUE"""),0.3)</f>
        <v>0.3</v>
      </c>
      <c r="W713" s="4" t="str">
        <f>IFERROR(__xludf.DUMMYFUNCTION("""COMPUTED_VALUE"""),"null")</f>
        <v>null</v>
      </c>
      <c r="X713" s="33">
        <f>IFERROR(__xludf.DUMMYFUNCTION("""COMPUTED_VALUE"""),0.3)</f>
        <v>0.3</v>
      </c>
    </row>
    <row r="714">
      <c r="K714" s="4" t="str">
        <f>IFERROR(__xludf.DUMMYFUNCTION("""COMPUTED_VALUE"""),"EAI BURGUER - MARCA")</f>
        <v>EAI BURGUER - MARCA</v>
      </c>
      <c r="L714" s="32">
        <f>IFERROR(__xludf.DUMMYFUNCTION("""COMPUTED_VALUE"""),10.0)</f>
        <v>10</v>
      </c>
      <c r="M714" s="4" t="str">
        <f>IFERROR(__xludf.DUMMYFUNCTION("""COMPUTED_VALUE"""),"Stone Co.")</f>
        <v>Stone Co.</v>
      </c>
      <c r="N714" s="33">
        <f>IFERROR(__xludf.DUMMYFUNCTION("""COMPUTED_VALUE"""),0.6)</f>
        <v>0.6</v>
      </c>
      <c r="O714" s="4" t="str">
        <f>IFERROR(__xludf.DUMMYFUNCTION("""COMPUTED_VALUE"""),"Stone Co.")</f>
        <v>Stone Co.</v>
      </c>
      <c r="P714" s="33">
        <f>IFERROR(__xludf.DUMMYFUNCTION("""COMPUTED_VALUE"""),0.5)</f>
        <v>0.5</v>
      </c>
      <c r="Q714" s="4" t="str">
        <f>IFERROR(__xludf.DUMMYFUNCTION("""COMPUTED_VALUE"""),"Stone Co.")</f>
        <v>Stone Co.</v>
      </c>
      <c r="R714" s="33">
        <f>IFERROR(__xludf.DUMMYFUNCTION("""COMPUTED_VALUE"""),0.5)</f>
        <v>0.5</v>
      </c>
      <c r="S714" s="4" t="str">
        <f>IFERROR(__xludf.DUMMYFUNCTION("""COMPUTED_VALUE"""),"Stone Co.")</f>
        <v>Stone Co.</v>
      </c>
      <c r="T714" s="33">
        <f>IFERROR(__xludf.DUMMYFUNCTION("""COMPUTED_VALUE"""),0.5)</f>
        <v>0.5</v>
      </c>
      <c r="U714" s="4" t="str">
        <f>IFERROR(__xludf.DUMMYFUNCTION("""COMPUTED_VALUE"""),"Stone Co.")</f>
        <v>Stone Co.</v>
      </c>
      <c r="V714" s="33">
        <f>IFERROR(__xludf.DUMMYFUNCTION("""COMPUTED_VALUE"""),0.5)</f>
        <v>0.5</v>
      </c>
      <c r="W714" s="4" t="str">
        <f>IFERROR(__xludf.DUMMYFUNCTION("""COMPUTED_VALUE"""),"null")</f>
        <v>null</v>
      </c>
      <c r="X714" s="33">
        <f>IFERROR(__xludf.DUMMYFUNCTION("""COMPUTED_VALUE"""),0.6)</f>
        <v>0.6</v>
      </c>
    </row>
    <row r="715">
      <c r="K715" s="4" t="str">
        <f>IFERROR(__xludf.DUMMYFUNCTION("""COMPUTED_VALUE"""),"CIA DA PIZZA")</f>
        <v>CIA DA PIZZA</v>
      </c>
      <c r="L715" s="32">
        <f>IFERROR(__xludf.DUMMYFUNCTION("""COMPUTED_VALUE"""),10.0)</f>
        <v>10</v>
      </c>
      <c r="M715" s="4" t="str">
        <f>IFERROR(__xludf.DUMMYFUNCTION("""COMPUTED_VALUE"""),"Cardápio Web")</f>
        <v>Cardápio Web</v>
      </c>
      <c r="N715" s="33">
        <f>IFERROR(__xludf.DUMMYFUNCTION("""COMPUTED_VALUE"""),0.7)</f>
        <v>0.7</v>
      </c>
      <c r="O715" s="4" t="str">
        <f>IFERROR(__xludf.DUMMYFUNCTION("""COMPUTED_VALUE"""),"null")</f>
        <v>null</v>
      </c>
      <c r="P715" s="33">
        <f>IFERROR(__xludf.DUMMYFUNCTION("""COMPUTED_VALUE"""),0.6)</f>
        <v>0.6</v>
      </c>
      <c r="Q715" s="4" t="str">
        <f>IFERROR(__xludf.DUMMYFUNCTION("""COMPUTED_VALUE"""),"null")</f>
        <v>null</v>
      </c>
      <c r="R715" s="33">
        <f>IFERROR(__xludf.DUMMYFUNCTION("""COMPUTED_VALUE"""),0.5)</f>
        <v>0.5</v>
      </c>
      <c r="S715" s="4" t="str">
        <f>IFERROR(__xludf.DUMMYFUNCTION("""COMPUTED_VALUE"""),"null")</f>
        <v>null</v>
      </c>
      <c r="T715" s="33">
        <f>IFERROR(__xludf.DUMMYFUNCTION("""COMPUTED_VALUE"""),0.6)</f>
        <v>0.6</v>
      </c>
      <c r="U715" s="4" t="str">
        <f>IFERROR(__xludf.DUMMYFUNCTION("""COMPUTED_VALUE"""),"null")</f>
        <v>null</v>
      </c>
      <c r="V715" s="33">
        <f>IFERROR(__xludf.DUMMYFUNCTION("""COMPUTED_VALUE"""),0.7)</f>
        <v>0.7</v>
      </c>
      <c r="W715" s="4" t="str">
        <f>IFERROR(__xludf.DUMMYFUNCTION("""COMPUTED_VALUE"""),"Cardápio Web")</f>
        <v>Cardápio Web</v>
      </c>
      <c r="X715" s="33">
        <f>IFERROR(__xludf.DUMMYFUNCTION("""COMPUTED_VALUE"""),0.5)</f>
        <v>0.5</v>
      </c>
    </row>
    <row r="716">
      <c r="K716" s="4" t="str">
        <f>IFERROR(__xludf.DUMMYFUNCTION("""COMPUTED_VALUE"""),"LA PIZZA")</f>
        <v>LA PIZZA</v>
      </c>
      <c r="L716" s="32">
        <f>IFERROR(__xludf.DUMMYFUNCTION("""COMPUTED_VALUE"""),10.0)</f>
        <v>10</v>
      </c>
      <c r="M716" s="4" t="str">
        <f>IFERROR(__xludf.DUMMYFUNCTION("""COMPUTED_VALUE"""),"Eclética Tecnologia")</f>
        <v>Eclética Tecnologia</v>
      </c>
      <c r="N716" s="33">
        <f>IFERROR(__xludf.DUMMYFUNCTION("""COMPUTED_VALUE"""),0.4)</f>
        <v>0.4</v>
      </c>
      <c r="O716" s="4" t="str">
        <f>IFERROR(__xludf.DUMMYFUNCTION("""COMPUTED_VALUE"""),"null")</f>
        <v>null</v>
      </c>
      <c r="P716" s="33">
        <f>IFERROR(__xludf.DUMMYFUNCTION("""COMPUTED_VALUE"""),0.3)</f>
        <v>0.3</v>
      </c>
      <c r="Q716" s="4" t="str">
        <f>IFERROR(__xludf.DUMMYFUNCTION("""COMPUTED_VALUE"""),"null")</f>
        <v>null</v>
      </c>
      <c r="R716" s="33">
        <f>IFERROR(__xludf.DUMMYFUNCTION("""COMPUTED_VALUE"""),0.3)</f>
        <v>0.3</v>
      </c>
      <c r="S716" s="4" t="str">
        <f>IFERROR(__xludf.DUMMYFUNCTION("""COMPUTED_VALUE"""),"Eclética Tecnologia")</f>
        <v>Eclética Tecnologia</v>
      </c>
      <c r="T716" s="33">
        <f>IFERROR(__xludf.DUMMYFUNCTION("""COMPUTED_VALUE"""),0.3)</f>
        <v>0.3</v>
      </c>
      <c r="U716" s="4" t="str">
        <f>IFERROR(__xludf.DUMMYFUNCTION("""COMPUTED_VALUE"""),"Eclética Tecnologia")</f>
        <v>Eclética Tecnologia</v>
      </c>
      <c r="V716" s="33">
        <f>IFERROR(__xludf.DUMMYFUNCTION("""COMPUTED_VALUE"""),0.4)</f>
        <v>0.4</v>
      </c>
      <c r="W716" s="4" t="str">
        <f>IFERROR(__xludf.DUMMYFUNCTION("""COMPUTED_VALUE"""),"Eclética Tecnologia")</f>
        <v>Eclética Tecnologia</v>
      </c>
      <c r="X716" s="33">
        <f>IFERROR(__xludf.DUMMYFUNCTION("""COMPUTED_VALUE"""),0.4)</f>
        <v>0.4</v>
      </c>
    </row>
    <row r="717">
      <c r="K717" s="4" t="str">
        <f>IFERROR(__xludf.DUMMYFUNCTION("""COMPUTED_VALUE"""),"RR LANCHES")</f>
        <v>RR LANCHES</v>
      </c>
      <c r="L717" s="32">
        <f>IFERROR(__xludf.DUMMYFUNCTION("""COMPUTED_VALUE"""),10.0)</f>
        <v>10</v>
      </c>
      <c r="M717" s="4" t="str">
        <f>IFERROR(__xludf.DUMMYFUNCTION("""COMPUTED_VALUE"""),"Saipos Serviços De Software")</f>
        <v>Saipos Serviços De Software</v>
      </c>
      <c r="N717" s="33">
        <f>IFERROR(__xludf.DUMMYFUNCTION("""COMPUTED_VALUE"""),0.8)</f>
        <v>0.8</v>
      </c>
      <c r="O717" s="4" t="str">
        <f>IFERROR(__xludf.DUMMYFUNCTION("""COMPUTED_VALUE"""),"Saipos Serviços De Software")</f>
        <v>Saipos Serviços De Software</v>
      </c>
      <c r="P717" s="33">
        <f>IFERROR(__xludf.DUMMYFUNCTION("""COMPUTED_VALUE"""),0.8)</f>
        <v>0.8</v>
      </c>
      <c r="Q717" s="4" t="str">
        <f>IFERROR(__xludf.DUMMYFUNCTION("""COMPUTED_VALUE"""),"Saipos Serviços De Software")</f>
        <v>Saipos Serviços De Software</v>
      </c>
      <c r="R717" s="33">
        <f>IFERROR(__xludf.DUMMYFUNCTION("""COMPUTED_VALUE"""),0.9)</f>
        <v>0.9</v>
      </c>
      <c r="S717" s="4" t="str">
        <f>IFERROR(__xludf.DUMMYFUNCTION("""COMPUTED_VALUE"""),"Saipos Serviços De Software")</f>
        <v>Saipos Serviços De Software</v>
      </c>
      <c r="T717" s="33">
        <f>IFERROR(__xludf.DUMMYFUNCTION("""COMPUTED_VALUE"""),0.9)</f>
        <v>0.9</v>
      </c>
      <c r="U717" s="4" t="str">
        <f>IFERROR(__xludf.DUMMYFUNCTION("""COMPUTED_VALUE"""),"Saipos Serviços De Software")</f>
        <v>Saipos Serviços De Software</v>
      </c>
      <c r="V717" s="33">
        <f>IFERROR(__xludf.DUMMYFUNCTION("""COMPUTED_VALUE"""),0.9)</f>
        <v>0.9</v>
      </c>
      <c r="W717" s="4" t="str">
        <f>IFERROR(__xludf.DUMMYFUNCTION("""COMPUTED_VALUE"""),"Saipos Serviços De Software")</f>
        <v>Saipos Serviços De Software</v>
      </c>
      <c r="X717" s="33">
        <f>IFERROR(__xludf.DUMMYFUNCTION("""COMPUTED_VALUE"""),0.9)</f>
        <v>0.9</v>
      </c>
    </row>
    <row r="718">
      <c r="K718" s="4" t="str">
        <f>IFERROR(__xludf.DUMMYFUNCTION("""COMPUTED_VALUE"""),"ACAI DO NINJA - CONTA MARCA")</f>
        <v>ACAI DO NINJA - CONTA MARCA</v>
      </c>
      <c r="L718" s="32">
        <f>IFERROR(__xludf.DUMMYFUNCTION("""COMPUTED_VALUE"""),10.0)</f>
        <v>10</v>
      </c>
      <c r="M718" s="4" t="str">
        <f>IFERROR(__xludf.DUMMYFUNCTION("""COMPUTED_VALUE"""),"Vuca Solution")</f>
        <v>Vuca Solution</v>
      </c>
      <c r="N718" s="33">
        <f>IFERROR(__xludf.DUMMYFUNCTION("""COMPUTED_VALUE"""),0.8)</f>
        <v>0.8</v>
      </c>
      <c r="O718" s="4" t="str">
        <f>IFERROR(__xludf.DUMMYFUNCTION("""COMPUTED_VALUE"""),"Vuca Solution")</f>
        <v>Vuca Solution</v>
      </c>
      <c r="P718" s="33">
        <f>IFERROR(__xludf.DUMMYFUNCTION("""COMPUTED_VALUE"""),0.7)</f>
        <v>0.7</v>
      </c>
      <c r="Q718" s="4" t="str">
        <f>IFERROR(__xludf.DUMMYFUNCTION("""COMPUTED_VALUE"""),"Vuca Solution")</f>
        <v>Vuca Solution</v>
      </c>
      <c r="R718" s="33">
        <f>IFERROR(__xludf.DUMMYFUNCTION("""COMPUTED_VALUE"""),0.7)</f>
        <v>0.7</v>
      </c>
      <c r="S718" s="4" t="str">
        <f>IFERROR(__xludf.DUMMYFUNCTION("""COMPUTED_VALUE"""),"Vuca Solution")</f>
        <v>Vuca Solution</v>
      </c>
      <c r="T718" s="33">
        <f>IFERROR(__xludf.DUMMYFUNCTION("""COMPUTED_VALUE"""),0.7)</f>
        <v>0.7</v>
      </c>
      <c r="U718" s="4" t="str">
        <f>IFERROR(__xludf.DUMMYFUNCTION("""COMPUTED_VALUE"""),"null")</f>
        <v>null</v>
      </c>
      <c r="V718" s="33">
        <f>IFERROR(__xludf.DUMMYFUNCTION("""COMPUTED_VALUE"""),0.5)</f>
        <v>0.5</v>
      </c>
      <c r="W718" s="4" t="str">
        <f>IFERROR(__xludf.DUMMYFUNCTION("""COMPUTED_VALUE"""),"null")</f>
        <v>null</v>
      </c>
      <c r="X718" s="33">
        <f>IFERROR(__xludf.DUMMYFUNCTION("""COMPUTED_VALUE"""),0.6)</f>
        <v>0.6</v>
      </c>
    </row>
    <row r="719">
      <c r="K719" s="4" t="str">
        <f>IFERROR(__xludf.DUMMYFUNCTION("""COMPUTED_VALUE"""),"AMBROZINI")</f>
        <v>AMBROZINI</v>
      </c>
      <c r="L719" s="32">
        <f>IFERROR(__xludf.DUMMYFUNCTION("""COMPUTED_VALUE"""),10.0)</f>
        <v>10</v>
      </c>
      <c r="M719" s="4" t="str">
        <f>IFERROR(__xludf.DUMMYFUNCTION("""COMPUTED_VALUE"""),"Saipos Serviços De Software")</f>
        <v>Saipos Serviços De Software</v>
      </c>
      <c r="N719" s="33">
        <f>IFERROR(__xludf.DUMMYFUNCTION("""COMPUTED_VALUE"""),1.0)</f>
        <v>1</v>
      </c>
      <c r="O719" s="4" t="str">
        <f>IFERROR(__xludf.DUMMYFUNCTION("""COMPUTED_VALUE"""),"null")</f>
        <v>null</v>
      </c>
      <c r="P719" s="33">
        <f>IFERROR(__xludf.DUMMYFUNCTION("""COMPUTED_VALUE"""),0.7)</f>
        <v>0.7</v>
      </c>
      <c r="Q719" s="4" t="str">
        <f>IFERROR(__xludf.DUMMYFUNCTION("""COMPUTED_VALUE"""),"null")</f>
        <v>null</v>
      </c>
      <c r="R719" s="33">
        <f>IFERROR(__xludf.DUMMYFUNCTION("""COMPUTED_VALUE"""),1.0)</f>
        <v>1</v>
      </c>
      <c r="S719" s="4" t="str">
        <f>IFERROR(__xludf.DUMMYFUNCTION("""COMPUTED_VALUE"""),"null")</f>
        <v>null</v>
      </c>
      <c r="T719" s="33">
        <f>IFERROR(__xludf.DUMMYFUNCTION("""COMPUTED_VALUE"""),1.0)</f>
        <v>1</v>
      </c>
      <c r="U719" s="4" t="str">
        <f>IFERROR(__xludf.DUMMYFUNCTION("""COMPUTED_VALUE"""),"null")</f>
        <v>null</v>
      </c>
      <c r="V719" s="33">
        <f>IFERROR(__xludf.DUMMYFUNCTION("""COMPUTED_VALUE"""),1.0)</f>
        <v>1</v>
      </c>
      <c r="W719" s="4" t="str">
        <f>IFERROR(__xludf.DUMMYFUNCTION("""COMPUTED_VALUE"""),"null")</f>
        <v>null</v>
      </c>
      <c r="X719" s="33">
        <f>IFERROR(__xludf.DUMMYFUNCTION("""COMPUTED_VALUE"""),1.0)</f>
        <v>1</v>
      </c>
    </row>
    <row r="720">
      <c r="K720" s="4" t="str">
        <f>IFERROR(__xludf.DUMMYFUNCTION("""COMPUTED_VALUE"""),"BALADA MIX - CONTA MARCA PAI - CORRETA")</f>
        <v>BALADA MIX - CONTA MARCA PAI - CORRETA</v>
      </c>
      <c r="L720" s="32">
        <f>IFERROR(__xludf.DUMMYFUNCTION("""COMPUTED_VALUE"""),10.0)</f>
        <v>10</v>
      </c>
      <c r="M720" s="4" t="str">
        <f>IFERROR(__xludf.DUMMYFUNCTION("""COMPUTED_VALUE"""),"null")</f>
        <v>null</v>
      </c>
      <c r="N720" s="33">
        <f>IFERROR(__xludf.DUMMYFUNCTION("""COMPUTED_VALUE"""),0.6)</f>
        <v>0.6</v>
      </c>
      <c r="O720" s="4" t="str">
        <f>IFERROR(__xludf.DUMMYFUNCTION("""COMPUTED_VALUE"""),"F-rest Sistema Para Food Service Ltda")</f>
        <v>F-rest Sistema Para Food Service Ltda</v>
      </c>
      <c r="P720" s="33">
        <f>IFERROR(__xludf.DUMMYFUNCTION("""COMPUTED_VALUE"""),0.5)</f>
        <v>0.5</v>
      </c>
      <c r="Q720" s="4" t="str">
        <f>IFERROR(__xludf.DUMMYFUNCTION("""COMPUTED_VALUE"""),"F-rest Sistema Para Food Service Ltda")</f>
        <v>F-rest Sistema Para Food Service Ltda</v>
      </c>
      <c r="R720" s="33">
        <f>IFERROR(__xludf.DUMMYFUNCTION("""COMPUTED_VALUE"""),0.5)</f>
        <v>0.5</v>
      </c>
      <c r="S720" s="4" t="str">
        <f>IFERROR(__xludf.DUMMYFUNCTION("""COMPUTED_VALUE"""),"null")</f>
        <v>null</v>
      </c>
      <c r="T720" s="33">
        <f>IFERROR(__xludf.DUMMYFUNCTION("""COMPUTED_VALUE"""),0.5)</f>
        <v>0.5</v>
      </c>
      <c r="U720" s="4" t="str">
        <f>IFERROR(__xludf.DUMMYFUNCTION("""COMPUTED_VALUE"""),"null")</f>
        <v>null</v>
      </c>
      <c r="V720" s="33">
        <f>IFERROR(__xludf.DUMMYFUNCTION("""COMPUTED_VALUE"""),0.5)</f>
        <v>0.5</v>
      </c>
      <c r="W720" s="4" t="str">
        <f>IFERROR(__xludf.DUMMYFUNCTION("""COMPUTED_VALUE"""),"null")</f>
        <v>null</v>
      </c>
      <c r="X720" s="33">
        <f>IFERROR(__xludf.DUMMYFUNCTION("""COMPUTED_VALUE"""),0.5)</f>
        <v>0.5</v>
      </c>
    </row>
    <row r="721">
      <c r="K721" s="4" t="str">
        <f>IFERROR(__xludf.DUMMYFUNCTION("""COMPUTED_VALUE"""),"SALA VIP")</f>
        <v>SALA VIP</v>
      </c>
      <c r="L721" s="32">
        <f>IFERROR(__xludf.DUMMYFUNCTION("""COMPUTED_VALUE"""),10.0)</f>
        <v>10</v>
      </c>
      <c r="M721" s="4" t="str">
        <f>IFERROR(__xludf.DUMMYFUNCTION("""COMPUTED_VALUE"""),"Ncr")</f>
        <v>Ncr</v>
      </c>
      <c r="N721" s="33">
        <f>IFERROR(__xludf.DUMMYFUNCTION("""COMPUTED_VALUE"""),0.9)</f>
        <v>0.9</v>
      </c>
      <c r="O721" s="4" t="str">
        <f>IFERROR(__xludf.DUMMYFUNCTION("""COMPUTED_VALUE"""),"Ncr")</f>
        <v>Ncr</v>
      </c>
      <c r="P721" s="33">
        <f>IFERROR(__xludf.DUMMYFUNCTION("""COMPUTED_VALUE"""),0.9)</f>
        <v>0.9</v>
      </c>
      <c r="Q721" s="4" t="str">
        <f>IFERROR(__xludf.DUMMYFUNCTION("""COMPUTED_VALUE"""),"Ncr")</f>
        <v>Ncr</v>
      </c>
      <c r="R721" s="33">
        <f>IFERROR(__xludf.DUMMYFUNCTION("""COMPUTED_VALUE"""),0.9)</f>
        <v>0.9</v>
      </c>
      <c r="S721" s="4" t="str">
        <f>IFERROR(__xludf.DUMMYFUNCTION("""COMPUTED_VALUE"""),"Ncr")</f>
        <v>Ncr</v>
      </c>
      <c r="T721" s="33">
        <f>IFERROR(__xludf.DUMMYFUNCTION("""COMPUTED_VALUE"""),0.9)</f>
        <v>0.9</v>
      </c>
      <c r="U721" s="4" t="str">
        <f>IFERROR(__xludf.DUMMYFUNCTION("""COMPUTED_VALUE"""),"Ncr")</f>
        <v>Ncr</v>
      </c>
      <c r="V721" s="33">
        <f>IFERROR(__xludf.DUMMYFUNCTION("""COMPUTED_VALUE"""),0.9)</f>
        <v>0.9</v>
      </c>
      <c r="W721" s="4" t="str">
        <f>IFERROR(__xludf.DUMMYFUNCTION("""COMPUTED_VALUE"""),"Ncr")</f>
        <v>Ncr</v>
      </c>
      <c r="X721" s="33">
        <f>IFERROR(__xludf.DUMMYFUNCTION("""COMPUTED_VALUE"""),1.0)</f>
        <v>1</v>
      </c>
    </row>
    <row r="722">
      <c r="K722" s="4" t="str">
        <f>IFERROR(__xludf.DUMMYFUNCTION("""COMPUTED_VALUE"""),"BREEDS - CONTA GRUPO")</f>
        <v>BREEDS - CONTA GRUPO</v>
      </c>
      <c r="L722" s="32">
        <f>IFERROR(__xludf.DUMMYFUNCTION("""COMPUTED_VALUE"""),10.0)</f>
        <v>10</v>
      </c>
      <c r="M722" s="4" t="str">
        <f>IFERROR(__xludf.DUMMYFUNCTION("""COMPUTED_VALUE"""),"N/A (Not found)")</f>
        <v>N/A (Not found)</v>
      </c>
      <c r="N722" s="33">
        <f>IFERROR(__xludf.DUMMYFUNCTION("""COMPUTED_VALUE"""),1.0)</f>
        <v>1</v>
      </c>
      <c r="O722" s="4" t="str">
        <f>IFERROR(__xludf.DUMMYFUNCTION("""COMPUTED_VALUE"""),"N/A (Not found)")</f>
        <v>N/A (Not found)</v>
      </c>
      <c r="P722" s="33">
        <f>IFERROR(__xludf.DUMMYFUNCTION("""COMPUTED_VALUE"""),0.9)</f>
        <v>0.9</v>
      </c>
      <c r="Q722" s="4" t="str">
        <f>IFERROR(__xludf.DUMMYFUNCTION("""COMPUTED_VALUE"""),"N/A (Not found)")</f>
        <v>N/A (Not found)</v>
      </c>
      <c r="R722" s="33">
        <f>IFERROR(__xludf.DUMMYFUNCTION("""COMPUTED_VALUE"""),0.9)</f>
        <v>0.9</v>
      </c>
      <c r="S722" s="4" t="str">
        <f>IFERROR(__xludf.DUMMYFUNCTION("""COMPUTED_VALUE"""),"N/A (Not found)")</f>
        <v>N/A (Not found)</v>
      </c>
      <c r="T722" s="33">
        <f>IFERROR(__xludf.DUMMYFUNCTION("""COMPUTED_VALUE"""),0.8)</f>
        <v>0.8</v>
      </c>
      <c r="U722" s="4" t="str">
        <f>IFERROR(__xludf.DUMMYFUNCTION("""COMPUTED_VALUE"""),"N/A (Not found)")</f>
        <v>N/A (Not found)</v>
      </c>
      <c r="V722" s="33">
        <f>IFERROR(__xludf.DUMMYFUNCTION("""COMPUTED_VALUE"""),0.8)</f>
        <v>0.8</v>
      </c>
      <c r="W722" s="4" t="str">
        <f>IFERROR(__xludf.DUMMYFUNCTION("""COMPUTED_VALUE"""),"N/A (Not found)")</f>
        <v>N/A (Not found)</v>
      </c>
      <c r="X722" s="33">
        <f>IFERROR(__xludf.DUMMYFUNCTION("""COMPUTED_VALUE"""),0.8)</f>
        <v>0.8</v>
      </c>
    </row>
    <row r="723">
      <c r="K723" s="4" t="str">
        <f>IFERROR(__xludf.DUMMYFUNCTION("""COMPUTED_VALUE"""),"CACHORRAO DO CLAUDIAO OFICIAL")</f>
        <v>CACHORRAO DO CLAUDIAO OFICIAL</v>
      </c>
      <c r="L723" s="32">
        <f>IFERROR(__xludf.DUMMYFUNCTION("""COMPUTED_VALUE"""),10.0)</f>
        <v>10</v>
      </c>
      <c r="M723" s="4" t="str">
        <f>IFERROR(__xludf.DUMMYFUNCTION("""COMPUTED_VALUE"""),"Suitable Tecnologia E Gestao")</f>
        <v>Suitable Tecnologia E Gestao</v>
      </c>
      <c r="N723" s="33">
        <f>IFERROR(__xludf.DUMMYFUNCTION("""COMPUTED_VALUE"""),0.6)</f>
        <v>0.6</v>
      </c>
      <c r="O723" s="4" t="str">
        <f>IFERROR(__xludf.DUMMYFUNCTION("""COMPUTED_VALUE"""),"Suitable Tecnologia E Gestao")</f>
        <v>Suitable Tecnologia E Gestao</v>
      </c>
      <c r="P723" s="33">
        <f>IFERROR(__xludf.DUMMYFUNCTION("""COMPUTED_VALUE"""),0.6)</f>
        <v>0.6</v>
      </c>
      <c r="Q723" s="4" t="str">
        <f>IFERROR(__xludf.DUMMYFUNCTION("""COMPUTED_VALUE"""),"null")</f>
        <v>null</v>
      </c>
      <c r="R723" s="33">
        <f>IFERROR(__xludf.DUMMYFUNCTION("""COMPUTED_VALUE"""),0.5)</f>
        <v>0.5</v>
      </c>
      <c r="S723" s="4" t="str">
        <f>IFERROR(__xludf.DUMMYFUNCTION("""COMPUTED_VALUE"""),"Suitable Tecnologia E Gestao")</f>
        <v>Suitable Tecnologia E Gestao</v>
      </c>
      <c r="T723" s="33">
        <f>IFERROR(__xludf.DUMMYFUNCTION("""COMPUTED_VALUE"""),0.6)</f>
        <v>0.6</v>
      </c>
      <c r="U723" s="4" t="str">
        <f>IFERROR(__xludf.DUMMYFUNCTION("""COMPUTED_VALUE"""),"Suitable Tecnologia E Gestao")</f>
        <v>Suitable Tecnologia E Gestao</v>
      </c>
      <c r="V723" s="33">
        <f>IFERROR(__xludf.DUMMYFUNCTION("""COMPUTED_VALUE"""),0.7)</f>
        <v>0.7</v>
      </c>
      <c r="W723" s="4" t="str">
        <f>IFERROR(__xludf.DUMMYFUNCTION("""COMPUTED_VALUE"""),"Suitable Tecnologia E Gestao")</f>
        <v>Suitable Tecnologia E Gestao</v>
      </c>
      <c r="X723" s="33">
        <f>IFERROR(__xludf.DUMMYFUNCTION("""COMPUTED_VALUE"""),0.7)</f>
        <v>0.7</v>
      </c>
    </row>
    <row r="724">
      <c r="K724" s="4" t="str">
        <f>IFERROR(__xludf.DUMMYFUNCTION("""COMPUTED_VALUE"""),"CALIFORNIA PIZZA BURGER")</f>
        <v>CALIFORNIA PIZZA BURGER</v>
      </c>
      <c r="L724" s="32">
        <f>IFERROR(__xludf.DUMMYFUNCTION("""COMPUTED_VALUE"""),10.0)</f>
        <v>10</v>
      </c>
      <c r="M724" s="4" t="str">
        <f>IFERROR(__xludf.DUMMYFUNCTION("""COMPUTED_VALUE"""),"Instadelivery")</f>
        <v>Instadelivery</v>
      </c>
      <c r="N724" s="33">
        <f>IFERROR(__xludf.DUMMYFUNCTION("""COMPUTED_VALUE"""),0.9)</f>
        <v>0.9</v>
      </c>
      <c r="O724" s="4" t="str">
        <f>IFERROR(__xludf.DUMMYFUNCTION("""COMPUTED_VALUE"""),"Suitable Tecnologia E Gestao")</f>
        <v>Suitable Tecnologia E Gestao</v>
      </c>
      <c r="P724" s="33">
        <f>IFERROR(__xludf.DUMMYFUNCTION("""COMPUTED_VALUE"""),0.4)</f>
        <v>0.4</v>
      </c>
      <c r="Q724" s="4" t="str">
        <f>IFERROR(__xludf.DUMMYFUNCTION("""COMPUTED_VALUE"""),"Suitable Tecnologia E Gestao")</f>
        <v>Suitable Tecnologia E Gestao</v>
      </c>
      <c r="R724" s="33">
        <f>IFERROR(__xludf.DUMMYFUNCTION("""COMPUTED_VALUE"""),0.6)</f>
        <v>0.6</v>
      </c>
      <c r="S724" s="4" t="str">
        <f>IFERROR(__xludf.DUMMYFUNCTION("""COMPUTED_VALUE"""),"Suitable Tecnologia E Gestao")</f>
        <v>Suitable Tecnologia E Gestao</v>
      </c>
      <c r="T724" s="33">
        <f>IFERROR(__xludf.DUMMYFUNCTION("""COMPUTED_VALUE"""),0.7)</f>
        <v>0.7</v>
      </c>
      <c r="U724" s="4" t="str">
        <f>IFERROR(__xludf.DUMMYFUNCTION("""COMPUTED_VALUE"""),"Suitable Tecnologia E Gestao")</f>
        <v>Suitable Tecnologia E Gestao</v>
      </c>
      <c r="V724" s="33">
        <f>IFERROR(__xludf.DUMMYFUNCTION("""COMPUTED_VALUE"""),0.7)</f>
        <v>0.7</v>
      </c>
      <c r="W724" s="4" t="str">
        <f>IFERROR(__xludf.DUMMYFUNCTION("""COMPUTED_VALUE"""),"null")</f>
        <v>null</v>
      </c>
      <c r="X724" s="33">
        <f>IFERROR(__xludf.DUMMYFUNCTION("""COMPUTED_VALUE"""),0.5)</f>
        <v>0.5</v>
      </c>
    </row>
    <row r="725">
      <c r="K725" s="4" t="str">
        <f>IFERROR(__xludf.DUMMYFUNCTION("""COMPUTED_VALUE"""),"CALIFORNIA SUPERFOOD BAR -")</f>
        <v>CALIFORNIA SUPERFOOD BAR -</v>
      </c>
      <c r="L725" s="32">
        <f>IFERROR(__xludf.DUMMYFUNCTION("""COMPUTED_VALUE"""),10.0)</f>
        <v>10</v>
      </c>
      <c r="M725" s="4" t="str">
        <f>IFERROR(__xludf.DUMMYFUNCTION("""COMPUTED_VALUE"""),"Saipos Serviços De Software")</f>
        <v>Saipos Serviços De Software</v>
      </c>
      <c r="N725" s="33">
        <f>IFERROR(__xludf.DUMMYFUNCTION("""COMPUTED_VALUE"""),1.0)</f>
        <v>1</v>
      </c>
      <c r="O725" s="4" t="str">
        <f>IFERROR(__xludf.DUMMYFUNCTION("""COMPUTED_VALUE"""),"Saipos Serviços De Software")</f>
        <v>Saipos Serviços De Software</v>
      </c>
      <c r="P725" s="33">
        <f>IFERROR(__xludf.DUMMYFUNCTION("""COMPUTED_VALUE"""),1.0)</f>
        <v>1</v>
      </c>
      <c r="Q725" s="4" t="str">
        <f>IFERROR(__xludf.DUMMYFUNCTION("""COMPUTED_VALUE"""),"Saipos Serviços De Software")</f>
        <v>Saipos Serviços De Software</v>
      </c>
      <c r="R725" s="33">
        <f>IFERROR(__xludf.DUMMYFUNCTION("""COMPUTED_VALUE"""),1.0)</f>
        <v>1</v>
      </c>
      <c r="S725" s="4" t="str">
        <f>IFERROR(__xludf.DUMMYFUNCTION("""COMPUTED_VALUE"""),"Saipos Serviços De Software")</f>
        <v>Saipos Serviços De Software</v>
      </c>
      <c r="T725" s="33">
        <f>IFERROR(__xludf.DUMMYFUNCTION("""COMPUTED_VALUE"""),0.9)</f>
        <v>0.9</v>
      </c>
      <c r="U725" s="4" t="str">
        <f>IFERROR(__xludf.DUMMYFUNCTION("""COMPUTED_VALUE"""),"Saipos Serviços De Software")</f>
        <v>Saipos Serviços De Software</v>
      </c>
      <c r="V725" s="33">
        <f>IFERROR(__xludf.DUMMYFUNCTION("""COMPUTED_VALUE"""),1.0)</f>
        <v>1</v>
      </c>
      <c r="W725" s="4" t="str">
        <f>IFERROR(__xludf.DUMMYFUNCTION("""COMPUTED_VALUE"""),"Saipos Serviços De Software")</f>
        <v>Saipos Serviços De Software</v>
      </c>
      <c r="X725" s="33">
        <f>IFERROR(__xludf.DUMMYFUNCTION("""COMPUTED_VALUE"""),1.0)</f>
        <v>1</v>
      </c>
    </row>
    <row r="726">
      <c r="K726" s="4" t="str">
        <f>IFERROR(__xludf.DUMMYFUNCTION("""COMPUTED_VALUE"""),"CASA DA SOBREMESA NORTE-SUL")</f>
        <v>CASA DA SOBREMESA NORTE-SUL</v>
      </c>
      <c r="L726" s="32">
        <f>IFERROR(__xludf.DUMMYFUNCTION("""COMPUTED_VALUE"""),10.0)</f>
        <v>10</v>
      </c>
      <c r="M726" s="4" t="str">
        <f>IFERROR(__xludf.DUMMYFUNCTION("""COMPUTED_VALUE"""),"Stone Co.")</f>
        <v>Stone Co.</v>
      </c>
      <c r="N726" s="33">
        <f>IFERROR(__xludf.DUMMYFUNCTION("""COMPUTED_VALUE"""),0.7)</f>
        <v>0.7</v>
      </c>
      <c r="O726" s="4" t="str">
        <f>IFERROR(__xludf.DUMMYFUNCTION("""COMPUTED_VALUE"""),"Stone Co.")</f>
        <v>Stone Co.</v>
      </c>
      <c r="P726" s="33">
        <f>IFERROR(__xludf.DUMMYFUNCTION("""COMPUTED_VALUE"""),0.9)</f>
        <v>0.9</v>
      </c>
      <c r="Q726" s="4" t="str">
        <f>IFERROR(__xludf.DUMMYFUNCTION("""COMPUTED_VALUE"""),"Stone Co.")</f>
        <v>Stone Co.</v>
      </c>
      <c r="R726" s="33">
        <f>IFERROR(__xludf.DUMMYFUNCTION("""COMPUTED_VALUE"""),0.9)</f>
        <v>0.9</v>
      </c>
      <c r="S726" s="4" t="str">
        <f>IFERROR(__xludf.DUMMYFUNCTION("""COMPUTED_VALUE"""),"Stone Co.")</f>
        <v>Stone Co.</v>
      </c>
      <c r="T726" s="33">
        <f>IFERROR(__xludf.DUMMYFUNCTION("""COMPUTED_VALUE"""),1.0)</f>
        <v>1</v>
      </c>
      <c r="U726" s="4" t="str">
        <f>IFERROR(__xludf.DUMMYFUNCTION("""COMPUTED_VALUE"""),"Stone Co.")</f>
        <v>Stone Co.</v>
      </c>
      <c r="V726" s="33">
        <f>IFERROR(__xludf.DUMMYFUNCTION("""COMPUTED_VALUE"""),1.0)</f>
        <v>1</v>
      </c>
      <c r="W726" s="4" t="str">
        <f>IFERROR(__xludf.DUMMYFUNCTION("""COMPUTED_VALUE"""),"Stone Co.")</f>
        <v>Stone Co.</v>
      </c>
      <c r="X726" s="33">
        <f>IFERROR(__xludf.DUMMYFUNCTION("""COMPUTED_VALUE"""),1.0)</f>
        <v>1</v>
      </c>
    </row>
    <row r="727">
      <c r="K727" s="4" t="str">
        <f>IFERROR(__xludf.DUMMYFUNCTION("""COMPUTED_VALUE"""),"GRUPO CASA DE BOLOS")</f>
        <v>GRUPO CASA DE BOLOS</v>
      </c>
      <c r="L727" s="32">
        <f>IFERROR(__xludf.DUMMYFUNCTION("""COMPUTED_VALUE"""),10.0)</f>
        <v>10</v>
      </c>
      <c r="M727" s="4" t="str">
        <f>IFERROR(__xludf.DUMMYFUNCTION("""COMPUTED_VALUE"""),"null")</f>
        <v>null</v>
      </c>
      <c r="N727" s="33">
        <f>IFERROR(__xludf.DUMMYFUNCTION("""COMPUTED_VALUE"""),0.4)</f>
        <v>0.4</v>
      </c>
      <c r="O727" s="4" t="str">
        <f>IFERROR(__xludf.DUMMYFUNCTION("""COMPUTED_VALUE"""),"null")</f>
        <v>null</v>
      </c>
      <c r="P727" s="33">
        <f>IFERROR(__xludf.DUMMYFUNCTION("""COMPUTED_VALUE"""),0.4)</f>
        <v>0.4</v>
      </c>
      <c r="Q727" s="4" t="str">
        <f>IFERROR(__xludf.DUMMYFUNCTION("""COMPUTED_VALUE"""),"null")</f>
        <v>null</v>
      </c>
      <c r="R727" s="33">
        <f>IFERROR(__xludf.DUMMYFUNCTION("""COMPUTED_VALUE"""),0.6)</f>
        <v>0.6</v>
      </c>
      <c r="S727" s="4" t="str">
        <f>IFERROR(__xludf.DUMMYFUNCTION("""COMPUTED_VALUE"""),"null")</f>
        <v>null</v>
      </c>
      <c r="T727" s="33">
        <f>IFERROR(__xludf.DUMMYFUNCTION("""COMPUTED_VALUE"""),0.4)</f>
        <v>0.4</v>
      </c>
      <c r="U727" s="4" t="str">
        <f>IFERROR(__xludf.DUMMYFUNCTION("""COMPUTED_VALUE"""),"null")</f>
        <v>null</v>
      </c>
      <c r="V727" s="33">
        <f>IFERROR(__xludf.DUMMYFUNCTION("""COMPUTED_VALUE"""),0.5)</f>
        <v>0.5</v>
      </c>
      <c r="W727" s="4" t="str">
        <f>IFERROR(__xludf.DUMMYFUNCTION("""COMPUTED_VALUE"""),"null")</f>
        <v>null</v>
      </c>
      <c r="X727" s="33">
        <f>IFERROR(__xludf.DUMMYFUNCTION("""COMPUTED_VALUE"""),0.5)</f>
        <v>0.5</v>
      </c>
    </row>
    <row r="728">
      <c r="K728" s="4" t="str">
        <f>IFERROR(__xludf.DUMMYFUNCTION("""COMPUTED_VALUE"""),"CIA BEAL - FESTVAL - CONTA PAI")</f>
        <v>CIA BEAL - FESTVAL - CONTA PAI</v>
      </c>
      <c r="L728" s="32">
        <f>IFERROR(__xludf.DUMMYFUNCTION("""COMPUTED_VALUE"""),10.0)</f>
        <v>10</v>
      </c>
      <c r="M728" s="4" t="str">
        <f>IFERROR(__xludf.DUMMYFUNCTION("""COMPUTED_VALUE"""),"N/A (Not found)")</f>
        <v>N/A (Not found)</v>
      </c>
      <c r="N728" s="33">
        <f>IFERROR(__xludf.DUMMYFUNCTION("""COMPUTED_VALUE"""),0.9)</f>
        <v>0.9</v>
      </c>
      <c r="O728" s="4" t="str">
        <f>IFERROR(__xludf.DUMMYFUNCTION("""COMPUTED_VALUE"""),"N/A (Not found)")</f>
        <v>N/A (Not found)</v>
      </c>
      <c r="P728" s="33">
        <f>IFERROR(__xludf.DUMMYFUNCTION("""COMPUTED_VALUE"""),1.0)</f>
        <v>1</v>
      </c>
      <c r="Q728" s="4" t="str">
        <f>IFERROR(__xludf.DUMMYFUNCTION("""COMPUTED_VALUE"""),"N/A (Not found)")</f>
        <v>N/A (Not found)</v>
      </c>
      <c r="R728" s="33">
        <f>IFERROR(__xludf.DUMMYFUNCTION("""COMPUTED_VALUE"""),1.0)</f>
        <v>1</v>
      </c>
      <c r="S728" s="4" t="str">
        <f>IFERROR(__xludf.DUMMYFUNCTION("""COMPUTED_VALUE"""),"N/A (Not found)")</f>
        <v>N/A (Not found)</v>
      </c>
      <c r="T728" s="33">
        <f>IFERROR(__xludf.DUMMYFUNCTION("""COMPUTED_VALUE"""),1.0)</f>
        <v>1</v>
      </c>
      <c r="U728" s="4" t="str">
        <f>IFERROR(__xludf.DUMMYFUNCTION("""COMPUTED_VALUE"""),"N/A (Not found)")</f>
        <v>N/A (Not found)</v>
      </c>
      <c r="V728" s="33">
        <f>IFERROR(__xludf.DUMMYFUNCTION("""COMPUTED_VALUE"""),1.0)</f>
        <v>1</v>
      </c>
      <c r="W728" s="4" t="str">
        <f>IFERROR(__xludf.DUMMYFUNCTION("""COMPUTED_VALUE"""),"N/A (Not found)")</f>
        <v>N/A (Not found)</v>
      </c>
      <c r="X728" s="33">
        <f>IFERROR(__xludf.DUMMYFUNCTION("""COMPUTED_VALUE"""),1.0)</f>
        <v>1</v>
      </c>
    </row>
    <row r="729">
      <c r="K729" s="4" t="str">
        <f>IFERROR(__xludf.DUMMYFUNCTION("""COMPUTED_VALUE"""),"DELIRIO TROPICAL")</f>
        <v>DELIRIO TROPICAL</v>
      </c>
      <c r="L729" s="32">
        <f>IFERROR(__xludf.DUMMYFUNCTION("""COMPUTED_VALUE"""),10.0)</f>
        <v>10</v>
      </c>
      <c r="M729" s="4" t="str">
        <f>IFERROR(__xludf.DUMMYFUNCTION("""COMPUTED_VALUE"""),"Ncr")</f>
        <v>Ncr</v>
      </c>
      <c r="N729" s="33">
        <f>IFERROR(__xludf.DUMMYFUNCTION("""COMPUTED_VALUE"""),0.9)</f>
        <v>0.9</v>
      </c>
      <c r="O729" s="4" t="str">
        <f>IFERROR(__xludf.DUMMYFUNCTION("""COMPUTED_VALUE"""),"Venditx Ltda")</f>
        <v>Venditx Ltda</v>
      </c>
      <c r="P729" s="33">
        <f>IFERROR(__xludf.DUMMYFUNCTION("""COMPUTED_VALUE"""),0.9)</f>
        <v>0.9</v>
      </c>
      <c r="Q729" s="4" t="str">
        <f>IFERROR(__xludf.DUMMYFUNCTION("""COMPUTED_VALUE"""),"Venditx Ltda")</f>
        <v>Venditx Ltda</v>
      </c>
      <c r="R729" s="33">
        <f>IFERROR(__xludf.DUMMYFUNCTION("""COMPUTED_VALUE"""),0.9)</f>
        <v>0.9</v>
      </c>
      <c r="S729" s="4" t="str">
        <f>IFERROR(__xludf.DUMMYFUNCTION("""COMPUTED_VALUE"""),"Venditx Ltda")</f>
        <v>Venditx Ltda</v>
      </c>
      <c r="T729" s="33">
        <f>IFERROR(__xludf.DUMMYFUNCTION("""COMPUTED_VALUE"""),0.8)</f>
        <v>0.8</v>
      </c>
      <c r="U729" s="4" t="str">
        <f>IFERROR(__xludf.DUMMYFUNCTION("""COMPUTED_VALUE"""),"Venditx Ltda")</f>
        <v>Venditx Ltda</v>
      </c>
      <c r="V729" s="33">
        <f>IFERROR(__xludf.DUMMYFUNCTION("""COMPUTED_VALUE"""),0.8)</f>
        <v>0.8</v>
      </c>
      <c r="W729" s="4" t="str">
        <f>IFERROR(__xludf.DUMMYFUNCTION("""COMPUTED_VALUE"""),"Venditx Ltda")</f>
        <v>Venditx Ltda</v>
      </c>
      <c r="X729" s="33">
        <f>IFERROR(__xludf.DUMMYFUNCTION("""COMPUTED_VALUE"""),0.8)</f>
        <v>0.8</v>
      </c>
    </row>
    <row r="730">
      <c r="K730" s="4" t="str">
        <f>IFERROR(__xludf.DUMMYFUNCTION("""COMPUTED_VALUE"""),"DELTA SUPERMERCADOS - MARCA")</f>
        <v>DELTA SUPERMERCADOS - MARCA</v>
      </c>
      <c r="L730" s="32">
        <f>IFERROR(__xludf.DUMMYFUNCTION("""COMPUTED_VALUE"""),10.0)</f>
        <v>10</v>
      </c>
      <c r="M730" s="4" t="str">
        <f>IFERROR(__xludf.DUMMYFUNCTION("""COMPUTED_VALUE"""),"N/A (Not found)")</f>
        <v>N/A (Not found)</v>
      </c>
      <c r="N730" s="33">
        <f>IFERROR(__xludf.DUMMYFUNCTION("""COMPUTED_VALUE"""),0.9)</f>
        <v>0.9</v>
      </c>
      <c r="O730" s="4" t="str">
        <f>IFERROR(__xludf.DUMMYFUNCTION("""COMPUTED_VALUE"""),"N/A (Not found)")</f>
        <v>N/A (Not found)</v>
      </c>
      <c r="P730" s="33">
        <f>IFERROR(__xludf.DUMMYFUNCTION("""COMPUTED_VALUE"""),0.9)</f>
        <v>0.9</v>
      </c>
      <c r="Q730" s="4" t="str">
        <f>IFERROR(__xludf.DUMMYFUNCTION("""COMPUTED_VALUE"""),"N/A (Not found)")</f>
        <v>N/A (Not found)</v>
      </c>
      <c r="R730" s="33">
        <f>IFERROR(__xludf.DUMMYFUNCTION("""COMPUTED_VALUE"""),1.0)</f>
        <v>1</v>
      </c>
      <c r="S730" s="4" t="str">
        <f>IFERROR(__xludf.DUMMYFUNCTION("""COMPUTED_VALUE"""),"N/A (Not found)")</f>
        <v>N/A (Not found)</v>
      </c>
      <c r="T730" s="33">
        <f>IFERROR(__xludf.DUMMYFUNCTION("""COMPUTED_VALUE"""),1.0)</f>
        <v>1</v>
      </c>
      <c r="U730" s="4" t="str">
        <f>IFERROR(__xludf.DUMMYFUNCTION("""COMPUTED_VALUE"""),"N/A (Not found)")</f>
        <v>N/A (Not found)</v>
      </c>
      <c r="V730" s="33">
        <f>IFERROR(__xludf.DUMMYFUNCTION("""COMPUTED_VALUE"""),1.0)</f>
        <v>1</v>
      </c>
      <c r="W730" s="4" t="str">
        <f>IFERROR(__xludf.DUMMYFUNCTION("""COMPUTED_VALUE"""),"N/A (Not found)")</f>
        <v>N/A (Not found)</v>
      </c>
      <c r="X730" s="33">
        <f>IFERROR(__xludf.DUMMYFUNCTION("""COMPUTED_VALUE"""),1.0)</f>
        <v>1</v>
      </c>
    </row>
    <row r="731">
      <c r="K731" s="4" t="str">
        <f>IFERROR(__xludf.DUMMYFUNCTION("""COMPUTED_VALUE"""),"DILETTO MASSAS")</f>
        <v>DILETTO MASSAS</v>
      </c>
      <c r="L731" s="32">
        <f>IFERROR(__xludf.DUMMYFUNCTION("""COMPUTED_VALUE"""),10.0)</f>
        <v>10</v>
      </c>
      <c r="M731" s="4" t="str">
        <f>IFERROR(__xludf.DUMMYFUNCTION("""COMPUTED_VALUE"""),"null")</f>
        <v>null</v>
      </c>
      <c r="N731" s="33">
        <f>IFERROR(__xludf.DUMMYFUNCTION("""COMPUTED_VALUE"""),0.6)</f>
        <v>0.6</v>
      </c>
      <c r="O731" s="4" t="str">
        <f>IFERROR(__xludf.DUMMYFUNCTION("""COMPUTED_VALUE"""),"null")</f>
        <v>null</v>
      </c>
      <c r="P731" s="33">
        <f>IFERROR(__xludf.DUMMYFUNCTION("""COMPUTED_VALUE"""),1.0)</f>
        <v>1</v>
      </c>
      <c r="Q731" s="4" t="str">
        <f>IFERROR(__xludf.DUMMYFUNCTION("""COMPUTED_VALUE"""),"null")</f>
        <v>null</v>
      </c>
      <c r="R731" s="33">
        <f>IFERROR(__xludf.DUMMYFUNCTION("""COMPUTED_VALUE"""),1.0)</f>
        <v>1</v>
      </c>
      <c r="S731" s="4" t="str">
        <f>IFERROR(__xludf.DUMMYFUNCTION("""COMPUTED_VALUE"""),"null")</f>
        <v>null</v>
      </c>
      <c r="T731" s="33">
        <f>IFERROR(__xludf.DUMMYFUNCTION("""COMPUTED_VALUE"""),0.6)</f>
        <v>0.6</v>
      </c>
      <c r="U731" s="4" t="str">
        <f>IFERROR(__xludf.DUMMYFUNCTION("""COMPUTED_VALUE"""),"Saipos Serviços De Software")</f>
        <v>Saipos Serviços De Software</v>
      </c>
      <c r="V731" s="33">
        <f>IFERROR(__xludf.DUMMYFUNCTION("""COMPUTED_VALUE"""),0.7)</f>
        <v>0.7</v>
      </c>
      <c r="W731" s="4" t="str">
        <f>IFERROR(__xludf.DUMMYFUNCTION("""COMPUTED_VALUE"""),"Saipos Serviços De Software")</f>
        <v>Saipos Serviços De Software</v>
      </c>
      <c r="X731" s="33">
        <f>IFERROR(__xludf.DUMMYFUNCTION("""COMPUTED_VALUE"""),0.7)</f>
        <v>0.7</v>
      </c>
    </row>
    <row r="732">
      <c r="K732" s="4" t="str">
        <f>IFERROR(__xludf.DUMMYFUNCTION("""COMPUTED_VALUE"""),"DON RAFAELLO PIZZARIA")</f>
        <v>DON RAFAELLO PIZZARIA</v>
      </c>
      <c r="L732" s="32">
        <f>IFERROR(__xludf.DUMMYFUNCTION("""COMPUTED_VALUE"""),10.0)</f>
        <v>10</v>
      </c>
      <c r="M732" s="4" t="str">
        <f>IFERROR(__xludf.DUMMYFUNCTION("""COMPUTED_VALUE"""),"Saipos Serviços De Software")</f>
        <v>Saipos Serviços De Software</v>
      </c>
      <c r="N732" s="33">
        <f>IFERROR(__xludf.DUMMYFUNCTION("""COMPUTED_VALUE"""),0.8)</f>
        <v>0.8</v>
      </c>
      <c r="O732" s="4" t="str">
        <f>IFERROR(__xludf.DUMMYFUNCTION("""COMPUTED_VALUE"""),"Saipos Serviços De Software")</f>
        <v>Saipos Serviços De Software</v>
      </c>
      <c r="P732" s="33">
        <f>IFERROR(__xludf.DUMMYFUNCTION("""COMPUTED_VALUE"""),0.8)</f>
        <v>0.8</v>
      </c>
      <c r="Q732" s="4" t="str">
        <f>IFERROR(__xludf.DUMMYFUNCTION("""COMPUTED_VALUE"""),"Saipos Serviços De Software")</f>
        <v>Saipos Serviços De Software</v>
      </c>
      <c r="R732" s="33">
        <f>IFERROR(__xludf.DUMMYFUNCTION("""COMPUTED_VALUE"""),0.8)</f>
        <v>0.8</v>
      </c>
      <c r="S732" s="4" t="str">
        <f>IFERROR(__xludf.DUMMYFUNCTION("""COMPUTED_VALUE"""),"Saipos Serviços De Software")</f>
        <v>Saipos Serviços De Software</v>
      </c>
      <c r="T732" s="33">
        <f>IFERROR(__xludf.DUMMYFUNCTION("""COMPUTED_VALUE"""),0.8)</f>
        <v>0.8</v>
      </c>
      <c r="U732" s="4" t="str">
        <f>IFERROR(__xludf.DUMMYFUNCTION("""COMPUTED_VALUE"""),"Saipos Serviços De Software")</f>
        <v>Saipos Serviços De Software</v>
      </c>
      <c r="V732" s="33">
        <f>IFERROR(__xludf.DUMMYFUNCTION("""COMPUTED_VALUE"""),0.8)</f>
        <v>0.8</v>
      </c>
      <c r="W732" s="4" t="str">
        <f>IFERROR(__xludf.DUMMYFUNCTION("""COMPUTED_VALUE"""),"Saipos Serviços De Software")</f>
        <v>Saipos Serviços De Software</v>
      </c>
      <c r="X732" s="33">
        <f>IFERROR(__xludf.DUMMYFUNCTION("""COMPUTED_VALUE"""),0.8)</f>
        <v>0.8</v>
      </c>
    </row>
    <row r="733">
      <c r="K733" s="4" t="str">
        <f>IFERROR(__xludf.DUMMYFUNCTION("""COMPUTED_VALUE"""),"FAMILIA REIS MAGOS")</f>
        <v>FAMILIA REIS MAGOS</v>
      </c>
      <c r="L733" s="32">
        <f>IFERROR(__xludf.DUMMYFUNCTION("""COMPUTED_VALUE"""),10.0)</f>
        <v>10</v>
      </c>
      <c r="M733" s="4" t="str">
        <f>IFERROR(__xludf.DUMMYFUNCTION("""COMPUTED_VALUE"""),"null")</f>
        <v>null</v>
      </c>
      <c r="N733" s="33">
        <f>IFERROR(__xludf.DUMMYFUNCTION("""COMPUTED_VALUE"""),0.6)</f>
        <v>0.6</v>
      </c>
      <c r="O733" s="4" t="str">
        <f>IFERROR(__xludf.DUMMYFUNCTION("""COMPUTED_VALUE"""),"null")</f>
        <v>null</v>
      </c>
      <c r="P733" s="33">
        <f>IFERROR(__xludf.DUMMYFUNCTION("""COMPUTED_VALUE"""),0.7)</f>
        <v>0.7</v>
      </c>
      <c r="Q733" s="4" t="str">
        <f>IFERROR(__xludf.DUMMYFUNCTION("""COMPUTED_VALUE"""),"null")</f>
        <v>null</v>
      </c>
      <c r="R733" s="33">
        <f>IFERROR(__xludf.DUMMYFUNCTION("""COMPUTED_VALUE"""),0.6)</f>
        <v>0.6</v>
      </c>
      <c r="S733" s="4" t="str">
        <f>IFERROR(__xludf.DUMMYFUNCTION("""COMPUTED_VALUE"""),"Teknisa Service Ltda")</f>
        <v>Teknisa Service Ltda</v>
      </c>
      <c r="T733" s="33">
        <f>IFERROR(__xludf.DUMMYFUNCTION("""COMPUTED_VALUE"""),0.6)</f>
        <v>0.6</v>
      </c>
      <c r="U733" s="4" t="str">
        <f>IFERROR(__xludf.DUMMYFUNCTION("""COMPUTED_VALUE"""),"null")</f>
        <v>null</v>
      </c>
      <c r="V733" s="33">
        <f>IFERROR(__xludf.DUMMYFUNCTION("""COMPUTED_VALUE"""),0.8)</f>
        <v>0.8</v>
      </c>
      <c r="W733" s="4" t="str">
        <f>IFERROR(__xludf.DUMMYFUNCTION("""COMPUTED_VALUE"""),"null")</f>
        <v>null</v>
      </c>
      <c r="X733" s="33">
        <f>IFERROR(__xludf.DUMMYFUNCTION("""COMPUTED_VALUE"""),0.6)</f>
        <v>0.6</v>
      </c>
    </row>
    <row r="734">
      <c r="K734" s="4" t="str">
        <f>IFERROR(__xludf.DUMMYFUNCTION("""COMPUTED_VALUE"""),"FARMACIAS FRANCY - CRISTO - CONTA MARCA")</f>
        <v>FARMACIAS FRANCY - CRISTO - CONTA MARCA</v>
      </c>
      <c r="L734" s="32">
        <f>IFERROR(__xludf.DUMMYFUNCTION("""COMPUTED_VALUE"""),10.0)</f>
        <v>10</v>
      </c>
      <c r="M734" s="4" t="str">
        <f>IFERROR(__xludf.DUMMYFUNCTION("""COMPUTED_VALUE"""),"null")</f>
        <v>null</v>
      </c>
      <c r="N734" s="33">
        <f>IFERROR(__xludf.DUMMYFUNCTION("""COMPUTED_VALUE"""),1.0)</f>
        <v>1</v>
      </c>
      <c r="O734" s="4" t="str">
        <f>IFERROR(__xludf.DUMMYFUNCTION("""COMPUTED_VALUE"""),"N/A (Not found)")</f>
        <v>N/A (Not found)</v>
      </c>
      <c r="P734" s="33">
        <f>IFERROR(__xludf.DUMMYFUNCTION("""COMPUTED_VALUE"""),0.6)</f>
        <v>0.6</v>
      </c>
      <c r="Q734" s="4" t="str">
        <f>IFERROR(__xludf.DUMMYFUNCTION("""COMPUTED_VALUE"""),"N/A (Not found)")</f>
        <v>N/A (Not found)</v>
      </c>
      <c r="R734" s="33">
        <f>IFERROR(__xludf.DUMMYFUNCTION("""COMPUTED_VALUE"""),0.8)</f>
        <v>0.8</v>
      </c>
      <c r="S734" s="4" t="str">
        <f>IFERROR(__xludf.DUMMYFUNCTION("""COMPUTED_VALUE"""),"N/A (Not found)")</f>
        <v>N/A (Not found)</v>
      </c>
      <c r="T734" s="33">
        <f>IFERROR(__xludf.DUMMYFUNCTION("""COMPUTED_VALUE"""),0.9)</f>
        <v>0.9</v>
      </c>
      <c r="U734" s="4" t="str">
        <f>IFERROR(__xludf.DUMMYFUNCTION("""COMPUTED_VALUE"""),"N/A (Not found)")</f>
        <v>N/A (Not found)</v>
      </c>
      <c r="V734" s="33">
        <f>IFERROR(__xludf.DUMMYFUNCTION("""COMPUTED_VALUE"""),1.0)</f>
        <v>1</v>
      </c>
      <c r="W734" s="4" t="str">
        <f>IFERROR(__xludf.DUMMYFUNCTION("""COMPUTED_VALUE"""),"N/A (Not found)")</f>
        <v>N/A (Not found)</v>
      </c>
      <c r="X734" s="33">
        <f>IFERROR(__xludf.DUMMYFUNCTION("""COMPUTED_VALUE"""),1.0)</f>
        <v>1</v>
      </c>
    </row>
    <row r="735">
      <c r="K735" s="4" t="str">
        <f>IFERROR(__xludf.DUMMYFUNCTION("""COMPUTED_VALUE"""),"FARMACIAS NOVA FARMA - CONTA PAI")</f>
        <v>FARMACIAS NOVA FARMA - CONTA PAI</v>
      </c>
      <c r="L735" s="32">
        <f>IFERROR(__xludf.DUMMYFUNCTION("""COMPUTED_VALUE"""),10.0)</f>
        <v>10</v>
      </c>
      <c r="M735" s="4" t="str">
        <f>IFERROR(__xludf.DUMMYFUNCTION("""COMPUTED_VALUE"""),"N/A (Not found)")</f>
        <v>N/A (Not found)</v>
      </c>
      <c r="N735" s="33">
        <f>IFERROR(__xludf.DUMMYFUNCTION("""COMPUTED_VALUE"""),1.0)</f>
        <v>1</v>
      </c>
      <c r="O735" s="4" t="str">
        <f>IFERROR(__xludf.DUMMYFUNCTION("""COMPUTED_VALUE"""),"N/A (Not found)")</f>
        <v>N/A (Not found)</v>
      </c>
      <c r="P735" s="33">
        <f>IFERROR(__xludf.DUMMYFUNCTION("""COMPUTED_VALUE"""),1.0)</f>
        <v>1</v>
      </c>
      <c r="Q735" s="4" t="str">
        <f>IFERROR(__xludf.DUMMYFUNCTION("""COMPUTED_VALUE"""),"N/A (Not found)")</f>
        <v>N/A (Not found)</v>
      </c>
      <c r="R735" s="33">
        <f>IFERROR(__xludf.DUMMYFUNCTION("""COMPUTED_VALUE"""),1.0)</f>
        <v>1</v>
      </c>
      <c r="S735" s="4" t="str">
        <f>IFERROR(__xludf.DUMMYFUNCTION("""COMPUTED_VALUE"""),"N/A (Not found)")</f>
        <v>N/A (Not found)</v>
      </c>
      <c r="T735" s="33">
        <f>IFERROR(__xludf.DUMMYFUNCTION("""COMPUTED_VALUE"""),1.0)</f>
        <v>1</v>
      </c>
      <c r="U735" s="4" t="str">
        <f>IFERROR(__xludf.DUMMYFUNCTION("""COMPUTED_VALUE"""),"N/A (Not found)")</f>
        <v>N/A (Not found)</v>
      </c>
      <c r="V735" s="33">
        <f>IFERROR(__xludf.DUMMYFUNCTION("""COMPUTED_VALUE"""),1.0)</f>
        <v>1</v>
      </c>
      <c r="W735" s="4" t="str">
        <f>IFERROR(__xludf.DUMMYFUNCTION("""COMPUTED_VALUE"""),"N/A (Not found)")</f>
        <v>N/A (Not found)</v>
      </c>
      <c r="X735" s="33">
        <f>IFERROR(__xludf.DUMMYFUNCTION("""COMPUTED_VALUE"""),1.0)</f>
        <v>1</v>
      </c>
    </row>
    <row r="736">
      <c r="K736" s="4" t="str">
        <f>IFERROR(__xludf.DUMMYFUNCTION("""COMPUTED_VALUE"""),"GRUPO FIREHOUSE SUBS")</f>
        <v>GRUPO FIREHOUSE SUBS</v>
      </c>
      <c r="L736" s="32">
        <f>IFERROR(__xludf.DUMMYFUNCTION("""COMPUTED_VALUE"""),10.0)</f>
        <v>10</v>
      </c>
      <c r="M736" s="4" t="str">
        <f>IFERROR(__xludf.DUMMYFUNCTION("""COMPUTED_VALUE"""),"E-deploy Retail")</f>
        <v>E-deploy Retail</v>
      </c>
      <c r="N736" s="33">
        <f>IFERROR(__xludf.DUMMYFUNCTION("""COMPUTED_VALUE"""),0.5)</f>
        <v>0.5</v>
      </c>
      <c r="O736" s="4" t="str">
        <f>IFERROR(__xludf.DUMMYFUNCTION("""COMPUTED_VALUE"""),"E-deploy Retail")</f>
        <v>E-deploy Retail</v>
      </c>
      <c r="P736" s="33">
        <f>IFERROR(__xludf.DUMMYFUNCTION("""COMPUTED_VALUE"""),0.8)</f>
        <v>0.8</v>
      </c>
      <c r="Q736" s="4" t="str">
        <f>IFERROR(__xludf.DUMMYFUNCTION("""COMPUTED_VALUE"""),"E-deploy Retail")</f>
        <v>E-deploy Retail</v>
      </c>
      <c r="R736" s="33">
        <f>IFERROR(__xludf.DUMMYFUNCTION("""COMPUTED_VALUE"""),0.8)</f>
        <v>0.8</v>
      </c>
      <c r="S736" s="4" t="str">
        <f>IFERROR(__xludf.DUMMYFUNCTION("""COMPUTED_VALUE"""),"E-deploy Retail")</f>
        <v>E-deploy Retail</v>
      </c>
      <c r="T736" s="33">
        <f>IFERROR(__xludf.DUMMYFUNCTION("""COMPUTED_VALUE"""),0.7)</f>
        <v>0.7</v>
      </c>
      <c r="U736" s="4" t="str">
        <f>IFERROR(__xludf.DUMMYFUNCTION("""COMPUTED_VALUE"""),"E-deploy Retail")</f>
        <v>E-deploy Retail</v>
      </c>
      <c r="V736" s="33">
        <f>IFERROR(__xludf.DUMMYFUNCTION("""COMPUTED_VALUE"""),0.7)</f>
        <v>0.7</v>
      </c>
      <c r="W736" s="4" t="str">
        <f>IFERROR(__xludf.DUMMYFUNCTION("""COMPUTED_VALUE"""),"E-deploy Retail")</f>
        <v>E-deploy Retail</v>
      </c>
      <c r="X736" s="33">
        <f>IFERROR(__xludf.DUMMYFUNCTION("""COMPUTED_VALUE"""),0.9)</f>
        <v>0.9</v>
      </c>
    </row>
    <row r="737">
      <c r="K737" s="4" t="str">
        <f>IFERROR(__xludf.DUMMYFUNCTION("""COMPUTED_VALUE"""),"FRANCOPET SALDAO DA RACAO - MARCA")</f>
        <v>FRANCOPET SALDAO DA RACAO - MARCA</v>
      </c>
      <c r="L737" s="32">
        <f>IFERROR(__xludf.DUMMYFUNCTION("""COMPUTED_VALUE"""),10.0)</f>
        <v>10</v>
      </c>
      <c r="M737" s="4" t="str">
        <f>IFERROR(__xludf.DUMMYFUNCTION("""COMPUTED_VALUE"""),"N/A (Not found)")</f>
        <v>N/A (Not found)</v>
      </c>
      <c r="N737" s="33">
        <f>IFERROR(__xludf.DUMMYFUNCTION("""COMPUTED_VALUE"""),1.0)</f>
        <v>1</v>
      </c>
      <c r="O737" s="4" t="str">
        <f>IFERROR(__xludf.DUMMYFUNCTION("""COMPUTED_VALUE"""),"N/A (Not found)")</f>
        <v>N/A (Not found)</v>
      </c>
      <c r="P737" s="33">
        <f>IFERROR(__xludf.DUMMYFUNCTION("""COMPUTED_VALUE"""),1.0)</f>
        <v>1</v>
      </c>
      <c r="Q737" s="4" t="str">
        <f>IFERROR(__xludf.DUMMYFUNCTION("""COMPUTED_VALUE"""),"N/A (Not found)")</f>
        <v>N/A (Not found)</v>
      </c>
      <c r="R737" s="33">
        <f>IFERROR(__xludf.DUMMYFUNCTION("""COMPUTED_VALUE"""),1.0)</f>
        <v>1</v>
      </c>
      <c r="S737" s="4" t="str">
        <f>IFERROR(__xludf.DUMMYFUNCTION("""COMPUTED_VALUE"""),"N/A (Not found)")</f>
        <v>N/A (Not found)</v>
      </c>
      <c r="T737" s="33">
        <f>IFERROR(__xludf.DUMMYFUNCTION("""COMPUTED_VALUE"""),0.9)</f>
        <v>0.9</v>
      </c>
      <c r="U737" s="4" t="str">
        <f>IFERROR(__xludf.DUMMYFUNCTION("""COMPUTED_VALUE"""),"N/A (Not found)")</f>
        <v>N/A (Not found)</v>
      </c>
      <c r="V737" s="33">
        <f>IFERROR(__xludf.DUMMYFUNCTION("""COMPUTED_VALUE"""),1.0)</f>
        <v>1</v>
      </c>
      <c r="W737" s="4" t="str">
        <f>IFERROR(__xludf.DUMMYFUNCTION("""COMPUTED_VALUE"""),"N/A (Not found)")</f>
        <v>N/A (Not found)</v>
      </c>
      <c r="X737" s="33">
        <f>IFERROR(__xludf.DUMMYFUNCTION("""COMPUTED_VALUE"""),0.9)</f>
        <v>0.9</v>
      </c>
    </row>
    <row r="738">
      <c r="K738" s="4" t="str">
        <f>IFERROR(__xludf.DUMMYFUNCTION("""COMPUTED_VALUE"""),"FRANGO AMERICANO - CONTA MARCA")</f>
        <v>FRANGO AMERICANO - CONTA MARCA</v>
      </c>
      <c r="L738" s="32">
        <f>IFERROR(__xludf.DUMMYFUNCTION("""COMPUTED_VALUE"""),10.0)</f>
        <v>10</v>
      </c>
      <c r="M738" s="4" t="str">
        <f>IFERROR(__xludf.DUMMYFUNCTION("""COMPUTED_VALUE"""),"Cf Sistemas")</f>
        <v>Cf Sistemas</v>
      </c>
      <c r="N738" s="33">
        <f>IFERROR(__xludf.DUMMYFUNCTION("""COMPUTED_VALUE"""),0.6)</f>
        <v>0.6</v>
      </c>
      <c r="O738" s="4" t="str">
        <f>IFERROR(__xludf.DUMMYFUNCTION("""COMPUTED_VALUE"""),"Cf Sistemas")</f>
        <v>Cf Sistemas</v>
      </c>
      <c r="P738" s="33">
        <f>IFERROR(__xludf.DUMMYFUNCTION("""COMPUTED_VALUE"""),0.5)</f>
        <v>0.5</v>
      </c>
      <c r="Q738" s="4" t="str">
        <f>IFERROR(__xludf.DUMMYFUNCTION("""COMPUTED_VALUE"""),"Cf Sistemas")</f>
        <v>Cf Sistemas</v>
      </c>
      <c r="R738" s="33">
        <f>IFERROR(__xludf.DUMMYFUNCTION("""COMPUTED_VALUE"""),0.5)</f>
        <v>0.5</v>
      </c>
      <c r="S738" s="4" t="str">
        <f>IFERROR(__xludf.DUMMYFUNCTION("""COMPUTED_VALUE"""),"Cf Sistemas")</f>
        <v>Cf Sistemas</v>
      </c>
      <c r="T738" s="33">
        <f>IFERROR(__xludf.DUMMYFUNCTION("""COMPUTED_VALUE"""),0.6)</f>
        <v>0.6</v>
      </c>
      <c r="U738" s="4" t="str">
        <f>IFERROR(__xludf.DUMMYFUNCTION("""COMPUTED_VALUE"""),"Cf Sistemas")</f>
        <v>Cf Sistemas</v>
      </c>
      <c r="V738" s="33">
        <f>IFERROR(__xludf.DUMMYFUNCTION("""COMPUTED_VALUE"""),0.6)</f>
        <v>0.6</v>
      </c>
      <c r="W738" s="4" t="str">
        <f>IFERROR(__xludf.DUMMYFUNCTION("""COMPUTED_VALUE"""),"Cf Sistemas")</f>
        <v>Cf Sistemas</v>
      </c>
      <c r="X738" s="33">
        <f>IFERROR(__xludf.DUMMYFUNCTION("""COMPUTED_VALUE"""),0.6)</f>
        <v>0.6</v>
      </c>
    </row>
    <row r="739">
      <c r="K739" s="4" t="str">
        <f>IFERROR(__xludf.DUMMYFUNCTION("""COMPUTED_VALUE"""),"GALETO SAO LUIZ CONTA PAI")</f>
        <v>GALETO SAO LUIZ CONTA PAI</v>
      </c>
      <c r="L739" s="32">
        <f>IFERROR(__xludf.DUMMYFUNCTION("""COMPUTED_VALUE"""),10.0)</f>
        <v>10</v>
      </c>
      <c r="M739" s="4" t="str">
        <f>IFERROR(__xludf.DUMMYFUNCTION("""COMPUTED_VALUE"""),"Cardápio Web")</f>
        <v>Cardápio Web</v>
      </c>
      <c r="N739" s="33">
        <f>IFERROR(__xludf.DUMMYFUNCTION("""COMPUTED_VALUE"""),0.6)</f>
        <v>0.6</v>
      </c>
      <c r="O739" s="4" t="str">
        <f>IFERROR(__xludf.DUMMYFUNCTION("""COMPUTED_VALUE"""),"Cardápio Web")</f>
        <v>Cardápio Web</v>
      </c>
      <c r="P739" s="33">
        <f>IFERROR(__xludf.DUMMYFUNCTION("""COMPUTED_VALUE"""),0.6)</f>
        <v>0.6</v>
      </c>
      <c r="Q739" s="4" t="str">
        <f>IFERROR(__xludf.DUMMYFUNCTION("""COMPUTED_VALUE"""),"Cardápio Web")</f>
        <v>Cardápio Web</v>
      </c>
      <c r="R739" s="33">
        <f>IFERROR(__xludf.DUMMYFUNCTION("""COMPUTED_VALUE"""),0.6)</f>
        <v>0.6</v>
      </c>
      <c r="S739" s="4" t="str">
        <f>IFERROR(__xludf.DUMMYFUNCTION("""COMPUTED_VALUE"""),"Cardápio Web")</f>
        <v>Cardápio Web</v>
      </c>
      <c r="T739" s="33">
        <f>IFERROR(__xludf.DUMMYFUNCTION("""COMPUTED_VALUE"""),0.6)</f>
        <v>0.6</v>
      </c>
      <c r="U739" s="4" t="str">
        <f>IFERROR(__xludf.DUMMYFUNCTION("""COMPUTED_VALUE"""),"Cardápio Web")</f>
        <v>Cardápio Web</v>
      </c>
      <c r="V739" s="33">
        <f>IFERROR(__xludf.DUMMYFUNCTION("""COMPUTED_VALUE"""),0.6)</f>
        <v>0.6</v>
      </c>
      <c r="W739" s="4" t="str">
        <f>IFERROR(__xludf.DUMMYFUNCTION("""COMPUTED_VALUE"""),"Cardápio Web")</f>
        <v>Cardápio Web</v>
      </c>
      <c r="X739" s="33">
        <f>IFERROR(__xludf.DUMMYFUNCTION("""COMPUTED_VALUE"""),0.6)</f>
        <v>0.6</v>
      </c>
    </row>
    <row r="740">
      <c r="K740" s="4" t="str">
        <f>IFERROR(__xludf.DUMMYFUNCTION("""COMPUTED_VALUE"""),"GRAN FARMA - CONTA MARCA")</f>
        <v>GRAN FARMA - CONTA MARCA</v>
      </c>
      <c r="L740" s="32">
        <f>IFERROR(__xludf.DUMMYFUNCTION("""COMPUTED_VALUE"""),10.0)</f>
        <v>10</v>
      </c>
      <c r="M740" s="4" t="str">
        <f>IFERROR(__xludf.DUMMYFUNCTION("""COMPUTED_VALUE"""),"N/A (Not found)")</f>
        <v>N/A (Not found)</v>
      </c>
      <c r="N740" s="33">
        <f>IFERROR(__xludf.DUMMYFUNCTION("""COMPUTED_VALUE"""),1.0)</f>
        <v>1</v>
      </c>
      <c r="O740" s="4" t="str">
        <f>IFERROR(__xludf.DUMMYFUNCTION("""COMPUTED_VALUE"""),"N/A (Not found)")</f>
        <v>N/A (Not found)</v>
      </c>
      <c r="P740" s="33">
        <f>IFERROR(__xludf.DUMMYFUNCTION("""COMPUTED_VALUE"""),1.0)</f>
        <v>1</v>
      </c>
      <c r="Q740" s="4" t="str">
        <f>IFERROR(__xludf.DUMMYFUNCTION("""COMPUTED_VALUE"""),"N/A (Not found)")</f>
        <v>N/A (Not found)</v>
      </c>
      <c r="R740" s="33">
        <f>IFERROR(__xludf.DUMMYFUNCTION("""COMPUTED_VALUE"""),1.0)</f>
        <v>1</v>
      </c>
      <c r="S740" s="4" t="str">
        <f>IFERROR(__xludf.DUMMYFUNCTION("""COMPUTED_VALUE"""),"N/A (Not found)")</f>
        <v>N/A (Not found)</v>
      </c>
      <c r="T740" s="33">
        <f>IFERROR(__xludf.DUMMYFUNCTION("""COMPUTED_VALUE"""),1.0)</f>
        <v>1</v>
      </c>
      <c r="U740" s="4" t="str">
        <f>IFERROR(__xludf.DUMMYFUNCTION("""COMPUTED_VALUE"""),"N/A (Not found)")</f>
        <v>N/A (Not found)</v>
      </c>
      <c r="V740" s="33">
        <f>IFERROR(__xludf.DUMMYFUNCTION("""COMPUTED_VALUE"""),1.0)</f>
        <v>1</v>
      </c>
      <c r="W740" s="4" t="str">
        <f>IFERROR(__xludf.DUMMYFUNCTION("""COMPUTED_VALUE"""),"N/A (Not found)")</f>
        <v>N/A (Not found)</v>
      </c>
      <c r="X740" s="33">
        <f>IFERROR(__xludf.DUMMYFUNCTION("""COMPUTED_VALUE"""),1.0)</f>
        <v>1</v>
      </c>
    </row>
    <row r="741">
      <c r="K741" s="4" t="str">
        <f>IFERROR(__xludf.DUMMYFUNCTION("""COMPUTED_VALUE"""),"GRAND MARCHE - CONTA PAI")</f>
        <v>GRAND MARCHE - CONTA PAI</v>
      </c>
      <c r="L741" s="32">
        <f>IFERROR(__xludf.DUMMYFUNCTION("""COMPUTED_VALUE"""),10.0)</f>
        <v>10</v>
      </c>
      <c r="M741" s="4" t="str">
        <f>IFERROR(__xludf.DUMMYFUNCTION("""COMPUTED_VALUE"""),"N/A (Not found)")</f>
        <v>N/A (Not found)</v>
      </c>
      <c r="N741" s="33">
        <f>IFERROR(__xludf.DUMMYFUNCTION("""COMPUTED_VALUE"""),1.0)</f>
        <v>1</v>
      </c>
      <c r="O741" s="4" t="str">
        <f>IFERROR(__xludf.DUMMYFUNCTION("""COMPUTED_VALUE"""),"N/A (Not found)")</f>
        <v>N/A (Not found)</v>
      </c>
      <c r="P741" s="33">
        <f>IFERROR(__xludf.DUMMYFUNCTION("""COMPUTED_VALUE"""),0.9)</f>
        <v>0.9</v>
      </c>
      <c r="Q741" s="4" t="str">
        <f>IFERROR(__xludf.DUMMYFUNCTION("""COMPUTED_VALUE"""),"N/A (Not found)")</f>
        <v>N/A (Not found)</v>
      </c>
      <c r="R741" s="33">
        <f>IFERROR(__xludf.DUMMYFUNCTION("""COMPUTED_VALUE"""),0.9)</f>
        <v>0.9</v>
      </c>
      <c r="S741" s="4" t="str">
        <f>IFERROR(__xludf.DUMMYFUNCTION("""COMPUTED_VALUE"""),"N/A (Not found)")</f>
        <v>N/A (Not found)</v>
      </c>
      <c r="T741" s="33">
        <f>IFERROR(__xludf.DUMMYFUNCTION("""COMPUTED_VALUE"""),0.9)</f>
        <v>0.9</v>
      </c>
      <c r="U741" s="4" t="str">
        <f>IFERROR(__xludf.DUMMYFUNCTION("""COMPUTED_VALUE"""),"N/A (Not found)")</f>
        <v>N/A (Not found)</v>
      </c>
      <c r="V741" s="33">
        <f>IFERROR(__xludf.DUMMYFUNCTION("""COMPUTED_VALUE"""),0.9)</f>
        <v>0.9</v>
      </c>
      <c r="W741" s="4" t="str">
        <f>IFERROR(__xludf.DUMMYFUNCTION("""COMPUTED_VALUE"""),"N/A (Not found)")</f>
        <v>N/A (Not found)</v>
      </c>
      <c r="X741" s="33">
        <f>IFERROR(__xludf.DUMMYFUNCTION("""COMPUTED_VALUE"""),0.6)</f>
        <v>0.6</v>
      </c>
    </row>
    <row r="742">
      <c r="K742" s="4" t="str">
        <f>IFERROR(__xludf.DUMMYFUNCTION("""COMPUTED_VALUE"""),"GRUPO BRABOS FOOD")</f>
        <v>GRUPO BRABOS FOOD</v>
      </c>
      <c r="L742" s="32">
        <f>IFERROR(__xludf.DUMMYFUNCTION("""COMPUTED_VALUE"""),10.0)</f>
        <v>10</v>
      </c>
      <c r="M742" s="4" t="str">
        <f>IFERROR(__xludf.DUMMYFUNCTION("""COMPUTED_VALUE"""),"Saipos Serviços De Software")</f>
        <v>Saipos Serviços De Software</v>
      </c>
      <c r="N742" s="33">
        <f>IFERROR(__xludf.DUMMYFUNCTION("""COMPUTED_VALUE"""),0.9)</f>
        <v>0.9</v>
      </c>
      <c r="O742" s="4" t="str">
        <f>IFERROR(__xludf.DUMMYFUNCTION("""COMPUTED_VALUE"""),"Saipos Serviços De Software")</f>
        <v>Saipos Serviços De Software</v>
      </c>
      <c r="P742" s="33">
        <f>IFERROR(__xludf.DUMMYFUNCTION("""COMPUTED_VALUE"""),1.0)</f>
        <v>1</v>
      </c>
      <c r="Q742" s="4" t="str">
        <f>IFERROR(__xludf.DUMMYFUNCTION("""COMPUTED_VALUE"""),"Saipos Serviços De Software")</f>
        <v>Saipos Serviços De Software</v>
      </c>
      <c r="R742" s="33">
        <f>IFERROR(__xludf.DUMMYFUNCTION("""COMPUTED_VALUE"""),1.0)</f>
        <v>1</v>
      </c>
      <c r="S742" s="4" t="str">
        <f>IFERROR(__xludf.DUMMYFUNCTION("""COMPUTED_VALUE"""),"Saipos Serviços De Software")</f>
        <v>Saipos Serviços De Software</v>
      </c>
      <c r="T742" s="33">
        <f>IFERROR(__xludf.DUMMYFUNCTION("""COMPUTED_VALUE"""),1.0)</f>
        <v>1</v>
      </c>
      <c r="U742" s="4" t="str">
        <f>IFERROR(__xludf.DUMMYFUNCTION("""COMPUTED_VALUE"""),"Saipos Serviços De Software")</f>
        <v>Saipos Serviços De Software</v>
      </c>
      <c r="V742" s="33">
        <f>IFERROR(__xludf.DUMMYFUNCTION("""COMPUTED_VALUE"""),1.0)</f>
        <v>1</v>
      </c>
      <c r="W742" s="4" t="str">
        <f>IFERROR(__xludf.DUMMYFUNCTION("""COMPUTED_VALUE"""),"Saipos Serviços De Software")</f>
        <v>Saipos Serviços De Software</v>
      </c>
      <c r="X742" s="33">
        <f>IFERROR(__xludf.DUMMYFUNCTION("""COMPUTED_VALUE"""),1.0)</f>
        <v>1</v>
      </c>
    </row>
    <row r="743">
      <c r="K743" s="4" t="str">
        <f>IFERROR(__xludf.DUMMYFUNCTION("""COMPUTED_VALUE"""),"GRUPO CACHORRO QUENTE DA TIA SONIA")</f>
        <v>GRUPO CACHORRO QUENTE DA TIA SONIA</v>
      </c>
      <c r="L743" s="32">
        <f>IFERROR(__xludf.DUMMYFUNCTION("""COMPUTED_VALUE"""),10.0)</f>
        <v>10</v>
      </c>
      <c r="M743" s="4" t="str">
        <f>IFERROR(__xludf.DUMMYFUNCTION("""COMPUTED_VALUE"""),"Consumer Soluções Em Tecnologia Ltda")</f>
        <v>Consumer Soluções Em Tecnologia Ltda</v>
      </c>
      <c r="N743" s="33">
        <f>IFERROR(__xludf.DUMMYFUNCTION("""COMPUTED_VALUE"""),0.8)</f>
        <v>0.8</v>
      </c>
      <c r="O743" s="4" t="str">
        <f>IFERROR(__xludf.DUMMYFUNCTION("""COMPUTED_VALUE"""),"Consumer Soluções Em Tecnologia Ltda")</f>
        <v>Consumer Soluções Em Tecnologia Ltda</v>
      </c>
      <c r="P743" s="33">
        <f>IFERROR(__xludf.DUMMYFUNCTION("""COMPUTED_VALUE"""),0.7)</f>
        <v>0.7</v>
      </c>
      <c r="Q743" s="4" t="str">
        <f>IFERROR(__xludf.DUMMYFUNCTION("""COMPUTED_VALUE"""),"Consumer Soluções Em Tecnologia Ltda")</f>
        <v>Consumer Soluções Em Tecnologia Ltda</v>
      </c>
      <c r="R743" s="33">
        <f>IFERROR(__xludf.DUMMYFUNCTION("""COMPUTED_VALUE"""),0.7)</f>
        <v>0.7</v>
      </c>
      <c r="S743" s="4" t="str">
        <f>IFERROR(__xludf.DUMMYFUNCTION("""COMPUTED_VALUE"""),"Consumer Soluções Em Tecnologia Ltda")</f>
        <v>Consumer Soluções Em Tecnologia Ltda</v>
      </c>
      <c r="T743" s="33">
        <f>IFERROR(__xludf.DUMMYFUNCTION("""COMPUTED_VALUE"""),0.7)</f>
        <v>0.7</v>
      </c>
      <c r="U743" s="4" t="str">
        <f>IFERROR(__xludf.DUMMYFUNCTION("""COMPUTED_VALUE"""),"Consumer Soluções Em Tecnologia Ltda")</f>
        <v>Consumer Soluções Em Tecnologia Ltda</v>
      </c>
      <c r="V743" s="33">
        <f>IFERROR(__xludf.DUMMYFUNCTION("""COMPUTED_VALUE"""),0.6)</f>
        <v>0.6</v>
      </c>
      <c r="W743" s="4" t="str">
        <f>IFERROR(__xludf.DUMMYFUNCTION("""COMPUTED_VALUE"""),"Consumer Soluções Em Tecnologia Ltda")</f>
        <v>Consumer Soluções Em Tecnologia Ltda</v>
      </c>
      <c r="X743" s="33">
        <f>IFERROR(__xludf.DUMMYFUNCTION("""COMPUTED_VALUE"""),0.8)</f>
        <v>0.8</v>
      </c>
    </row>
    <row r="744">
      <c r="K744" s="4" t="str">
        <f>IFERROR(__xludf.DUMMYFUNCTION("""COMPUTED_VALUE"""),"GRUPO DONATELLA")</f>
        <v>GRUPO DONATELLA</v>
      </c>
      <c r="L744" s="32">
        <f>IFERROR(__xludf.DUMMYFUNCTION("""COMPUTED_VALUE"""),10.0)</f>
        <v>10</v>
      </c>
      <c r="M744" s="4" t="str">
        <f>IFERROR(__xludf.DUMMYFUNCTION("""COMPUTED_VALUE"""),"Saipos Serviços De Software")</f>
        <v>Saipos Serviços De Software</v>
      </c>
      <c r="N744" s="33">
        <f>IFERROR(__xludf.DUMMYFUNCTION("""COMPUTED_VALUE"""),0.6)</f>
        <v>0.6</v>
      </c>
      <c r="O744" s="4" t="str">
        <f>IFERROR(__xludf.DUMMYFUNCTION("""COMPUTED_VALUE"""),"Saipos Serviços De Software")</f>
        <v>Saipos Serviços De Software</v>
      </c>
      <c r="P744" s="33">
        <f>IFERROR(__xludf.DUMMYFUNCTION("""COMPUTED_VALUE"""),0.6)</f>
        <v>0.6</v>
      </c>
      <c r="Q744" s="4" t="str">
        <f>IFERROR(__xludf.DUMMYFUNCTION("""COMPUTED_VALUE"""),"Saipos Serviços De Software")</f>
        <v>Saipos Serviços De Software</v>
      </c>
      <c r="R744" s="33">
        <f>IFERROR(__xludf.DUMMYFUNCTION("""COMPUTED_VALUE"""),0.6)</f>
        <v>0.6</v>
      </c>
      <c r="S744" s="4" t="str">
        <f>IFERROR(__xludf.DUMMYFUNCTION("""COMPUTED_VALUE"""),"Saipos Serviços De Software")</f>
        <v>Saipos Serviços De Software</v>
      </c>
      <c r="T744" s="33">
        <f>IFERROR(__xludf.DUMMYFUNCTION("""COMPUTED_VALUE"""),0.6)</f>
        <v>0.6</v>
      </c>
      <c r="U744" s="4" t="str">
        <f>IFERROR(__xludf.DUMMYFUNCTION("""COMPUTED_VALUE"""),"Saipos Serviços De Software")</f>
        <v>Saipos Serviços De Software</v>
      </c>
      <c r="V744" s="33">
        <f>IFERROR(__xludf.DUMMYFUNCTION("""COMPUTED_VALUE"""),0.6)</f>
        <v>0.6</v>
      </c>
      <c r="W744" s="4" t="str">
        <f>IFERROR(__xludf.DUMMYFUNCTION("""COMPUTED_VALUE"""),"Saipos Serviços De Software")</f>
        <v>Saipos Serviços De Software</v>
      </c>
      <c r="X744" s="33">
        <f>IFERROR(__xludf.DUMMYFUNCTION("""COMPUTED_VALUE"""),0.6)</f>
        <v>0.6</v>
      </c>
    </row>
    <row r="745">
      <c r="K745" s="4" t="str">
        <f>IFERROR(__xludf.DUMMYFUNCTION("""COMPUTED_VALUE"""),"GRUPO MOLECAGGIO")</f>
        <v>GRUPO MOLECAGGIO</v>
      </c>
      <c r="L745" s="32">
        <f>IFERROR(__xludf.DUMMYFUNCTION("""COMPUTED_VALUE"""),10.0)</f>
        <v>10</v>
      </c>
      <c r="M745" s="4" t="str">
        <f>IFERROR(__xludf.DUMMYFUNCTION("""COMPUTED_VALUE"""),"Eclética Tecnologia")</f>
        <v>Eclética Tecnologia</v>
      </c>
      <c r="N745" s="33">
        <f>IFERROR(__xludf.DUMMYFUNCTION("""COMPUTED_VALUE"""),1.0)</f>
        <v>1</v>
      </c>
      <c r="O745" s="4" t="str">
        <f>IFERROR(__xludf.DUMMYFUNCTION("""COMPUTED_VALUE"""),"Eclética Tecnologia")</f>
        <v>Eclética Tecnologia</v>
      </c>
      <c r="P745" s="33">
        <f>IFERROR(__xludf.DUMMYFUNCTION("""COMPUTED_VALUE"""),0.7)</f>
        <v>0.7</v>
      </c>
      <c r="Q745" s="4" t="str">
        <f>IFERROR(__xludf.DUMMYFUNCTION("""COMPUTED_VALUE"""),"Eclética Tecnologia")</f>
        <v>Eclética Tecnologia</v>
      </c>
      <c r="R745" s="33">
        <f>IFERROR(__xludf.DUMMYFUNCTION("""COMPUTED_VALUE"""),0.6)</f>
        <v>0.6</v>
      </c>
      <c r="S745" s="4" t="str">
        <f>IFERROR(__xludf.DUMMYFUNCTION("""COMPUTED_VALUE"""),"Eclética Tecnologia")</f>
        <v>Eclética Tecnologia</v>
      </c>
      <c r="T745" s="33">
        <f>IFERROR(__xludf.DUMMYFUNCTION("""COMPUTED_VALUE"""),0.7)</f>
        <v>0.7</v>
      </c>
      <c r="U745" s="4" t="str">
        <f>IFERROR(__xludf.DUMMYFUNCTION("""COMPUTED_VALUE"""),"Eclética Tecnologia")</f>
        <v>Eclética Tecnologia</v>
      </c>
      <c r="V745" s="33">
        <f>IFERROR(__xludf.DUMMYFUNCTION("""COMPUTED_VALUE"""),0.7)</f>
        <v>0.7</v>
      </c>
      <c r="W745" s="4" t="str">
        <f>IFERROR(__xludf.DUMMYFUNCTION("""COMPUTED_VALUE"""),"null")</f>
        <v>null</v>
      </c>
      <c r="X745" s="33">
        <f>IFERROR(__xludf.DUMMYFUNCTION("""COMPUTED_VALUE"""),0.5)</f>
        <v>0.5</v>
      </c>
    </row>
    <row r="746">
      <c r="K746" s="4" t="str">
        <f>IFERROR(__xludf.DUMMYFUNCTION("""COMPUTED_VALUE"""),"GULA GULA")</f>
        <v>GULA GULA</v>
      </c>
      <c r="L746" s="32">
        <f>IFERROR(__xludf.DUMMYFUNCTION("""COMPUTED_VALUE"""),10.0)</f>
        <v>10</v>
      </c>
      <c r="M746" s="4" t="str">
        <f>IFERROR(__xludf.DUMMYFUNCTION("""COMPUTED_VALUE"""),"Ncr")</f>
        <v>Ncr</v>
      </c>
      <c r="N746" s="33">
        <f>IFERROR(__xludf.DUMMYFUNCTION("""COMPUTED_VALUE"""),1.0)</f>
        <v>1</v>
      </c>
      <c r="O746" s="4" t="str">
        <f>IFERROR(__xludf.DUMMYFUNCTION("""COMPUTED_VALUE"""),"Ncr")</f>
        <v>Ncr</v>
      </c>
      <c r="P746" s="33">
        <f>IFERROR(__xludf.DUMMYFUNCTION("""COMPUTED_VALUE"""),1.0)</f>
        <v>1</v>
      </c>
      <c r="Q746" s="4" t="str">
        <f>IFERROR(__xludf.DUMMYFUNCTION("""COMPUTED_VALUE"""),"Ncr")</f>
        <v>Ncr</v>
      </c>
      <c r="R746" s="33">
        <f>IFERROR(__xludf.DUMMYFUNCTION("""COMPUTED_VALUE"""),0.8)</f>
        <v>0.8</v>
      </c>
      <c r="S746" s="4" t="str">
        <f>IFERROR(__xludf.DUMMYFUNCTION("""COMPUTED_VALUE"""),"Ncr")</f>
        <v>Ncr</v>
      </c>
      <c r="T746" s="33">
        <f>IFERROR(__xludf.DUMMYFUNCTION("""COMPUTED_VALUE"""),0.9)</f>
        <v>0.9</v>
      </c>
      <c r="U746" s="4" t="str">
        <f>IFERROR(__xludf.DUMMYFUNCTION("""COMPUTED_VALUE"""),"Ncr")</f>
        <v>Ncr</v>
      </c>
      <c r="V746" s="33">
        <f>IFERROR(__xludf.DUMMYFUNCTION("""COMPUTED_VALUE"""),0.9)</f>
        <v>0.9</v>
      </c>
      <c r="W746" s="4" t="str">
        <f>IFERROR(__xludf.DUMMYFUNCTION("""COMPUTED_VALUE"""),"Ncr")</f>
        <v>Ncr</v>
      </c>
      <c r="X746" s="33">
        <f>IFERROR(__xludf.DUMMYFUNCTION("""COMPUTED_VALUE"""),0.9)</f>
        <v>0.9</v>
      </c>
    </row>
    <row r="747">
      <c r="K747" s="4" t="str">
        <f>IFERROR(__xludf.DUMMYFUNCTION("""COMPUTED_VALUE"""),"ITALIA NO BOX")</f>
        <v>ITALIA NO BOX</v>
      </c>
      <c r="L747" s="32">
        <f>IFERROR(__xludf.DUMMYFUNCTION("""COMPUTED_VALUE"""),10.0)</f>
        <v>10</v>
      </c>
      <c r="M747" s="4" t="str">
        <f>IFERROR(__xludf.DUMMYFUNCTION("""COMPUTED_VALUE"""),"Master Soluções Desenvolvimento De Software Ltda Me")</f>
        <v>Master Soluções Desenvolvimento De Software Ltda Me</v>
      </c>
      <c r="N747" s="33">
        <f>IFERROR(__xludf.DUMMYFUNCTION("""COMPUTED_VALUE"""),0.9)</f>
        <v>0.9</v>
      </c>
      <c r="O747" s="4" t="str">
        <f>IFERROR(__xludf.DUMMYFUNCTION("""COMPUTED_VALUE"""),"Master Soluções Desenvolvimento De Software Ltda Me")</f>
        <v>Master Soluções Desenvolvimento De Software Ltda Me</v>
      </c>
      <c r="P747" s="33">
        <f>IFERROR(__xludf.DUMMYFUNCTION("""COMPUTED_VALUE"""),0.8)</f>
        <v>0.8</v>
      </c>
      <c r="Q747" s="4" t="str">
        <f>IFERROR(__xludf.DUMMYFUNCTION("""COMPUTED_VALUE"""),"null")</f>
        <v>null</v>
      </c>
      <c r="R747" s="33">
        <f>IFERROR(__xludf.DUMMYFUNCTION("""COMPUTED_VALUE"""),0.6)</f>
        <v>0.6</v>
      </c>
      <c r="S747" s="4" t="str">
        <f>IFERROR(__xludf.DUMMYFUNCTION("""COMPUTED_VALUE"""),"Master Soluções Desenvolvimento De Software Ltda Me")</f>
        <v>Master Soluções Desenvolvimento De Software Ltda Me</v>
      </c>
      <c r="T747" s="33">
        <f>IFERROR(__xludf.DUMMYFUNCTION("""COMPUTED_VALUE"""),0.5)</f>
        <v>0.5</v>
      </c>
      <c r="U747" s="4" t="str">
        <f>IFERROR(__xludf.DUMMYFUNCTION("""COMPUTED_VALUE"""),"null")</f>
        <v>null</v>
      </c>
      <c r="V747" s="33">
        <f>IFERROR(__xludf.DUMMYFUNCTION("""COMPUTED_VALUE"""),0.7)</f>
        <v>0.7</v>
      </c>
      <c r="W747" s="4" t="str">
        <f>IFERROR(__xludf.DUMMYFUNCTION("""COMPUTED_VALUE"""),"null")</f>
        <v>null</v>
      </c>
      <c r="X747" s="33">
        <f>IFERROR(__xludf.DUMMYFUNCTION("""COMPUTED_VALUE"""),0.5)</f>
        <v>0.5</v>
      </c>
    </row>
    <row r="748">
      <c r="K748" s="4" t="str">
        <f>IFERROR(__xludf.DUMMYFUNCTION("""COMPUTED_VALUE"""),"JAPA NOBRE MARCA")</f>
        <v>JAPA NOBRE MARCA</v>
      </c>
      <c r="L748" s="32">
        <f>IFERROR(__xludf.DUMMYFUNCTION("""COMPUTED_VALUE"""),10.0)</f>
        <v>10</v>
      </c>
      <c r="M748" s="4" t="str">
        <f>IFERROR(__xludf.DUMMYFUNCTION("""COMPUTED_VALUE"""),"Saipos Serviços De Software")</f>
        <v>Saipos Serviços De Software</v>
      </c>
      <c r="N748" s="33">
        <f>IFERROR(__xludf.DUMMYFUNCTION("""COMPUTED_VALUE"""),1.0)</f>
        <v>1</v>
      </c>
      <c r="O748" s="4" t="str">
        <f>IFERROR(__xludf.DUMMYFUNCTION("""COMPUTED_VALUE"""),"Saipos Serviços De Software")</f>
        <v>Saipos Serviços De Software</v>
      </c>
      <c r="P748" s="33">
        <f>IFERROR(__xludf.DUMMYFUNCTION("""COMPUTED_VALUE"""),1.0)</f>
        <v>1</v>
      </c>
      <c r="Q748" s="4" t="str">
        <f>IFERROR(__xludf.DUMMYFUNCTION("""COMPUTED_VALUE"""),"Saipos Serviços De Software")</f>
        <v>Saipos Serviços De Software</v>
      </c>
      <c r="R748" s="33">
        <f>IFERROR(__xludf.DUMMYFUNCTION("""COMPUTED_VALUE"""),1.0)</f>
        <v>1</v>
      </c>
      <c r="S748" s="4" t="str">
        <f>IFERROR(__xludf.DUMMYFUNCTION("""COMPUTED_VALUE"""),"Saipos Serviços De Software")</f>
        <v>Saipos Serviços De Software</v>
      </c>
      <c r="T748" s="33">
        <f>IFERROR(__xludf.DUMMYFUNCTION("""COMPUTED_VALUE"""),1.0)</f>
        <v>1</v>
      </c>
      <c r="U748" s="4" t="str">
        <f>IFERROR(__xludf.DUMMYFUNCTION("""COMPUTED_VALUE"""),"Saipos Serviços De Software")</f>
        <v>Saipos Serviços De Software</v>
      </c>
      <c r="V748" s="33">
        <f>IFERROR(__xludf.DUMMYFUNCTION("""COMPUTED_VALUE"""),1.0)</f>
        <v>1</v>
      </c>
      <c r="W748" s="4" t="str">
        <f>IFERROR(__xludf.DUMMYFUNCTION("""COMPUTED_VALUE"""),"Saipos Serviços De Software")</f>
        <v>Saipos Serviços De Software</v>
      </c>
      <c r="X748" s="33">
        <f>IFERROR(__xludf.DUMMYFUNCTION("""COMPUTED_VALUE"""),1.0)</f>
        <v>1</v>
      </c>
    </row>
    <row r="749">
      <c r="K749" s="4" t="str">
        <f>IFERROR(__xludf.DUMMYFUNCTION("""COMPUTED_VALUE"""),"KALILANDIA")</f>
        <v>KALILANDIA</v>
      </c>
      <c r="L749" s="32">
        <f>IFERROR(__xludf.DUMMYFUNCTION("""COMPUTED_VALUE"""),10.0)</f>
        <v>10</v>
      </c>
      <c r="M749" s="4" t="str">
        <f>IFERROR(__xludf.DUMMYFUNCTION("""COMPUTED_VALUE"""),"Saipos Serviços De Software")</f>
        <v>Saipos Serviços De Software</v>
      </c>
      <c r="N749" s="33">
        <f>IFERROR(__xludf.DUMMYFUNCTION("""COMPUTED_VALUE"""),0.6)</f>
        <v>0.6</v>
      </c>
      <c r="O749" s="4" t="str">
        <f>IFERROR(__xludf.DUMMYFUNCTION("""COMPUTED_VALUE"""),"Saipos Serviços De Software")</f>
        <v>Saipos Serviços De Software</v>
      </c>
      <c r="P749" s="33">
        <f>IFERROR(__xludf.DUMMYFUNCTION("""COMPUTED_VALUE"""),0.6)</f>
        <v>0.6</v>
      </c>
      <c r="Q749" s="4" t="str">
        <f>IFERROR(__xludf.DUMMYFUNCTION("""COMPUTED_VALUE"""),"Saipos Serviços De Software")</f>
        <v>Saipos Serviços De Software</v>
      </c>
      <c r="R749" s="33">
        <f>IFERROR(__xludf.DUMMYFUNCTION("""COMPUTED_VALUE"""),0.6)</f>
        <v>0.6</v>
      </c>
      <c r="S749" s="4" t="str">
        <f>IFERROR(__xludf.DUMMYFUNCTION("""COMPUTED_VALUE"""),"Saipos Serviços De Software")</f>
        <v>Saipos Serviços De Software</v>
      </c>
      <c r="T749" s="33">
        <f>IFERROR(__xludf.DUMMYFUNCTION("""COMPUTED_VALUE"""),0.6)</f>
        <v>0.6</v>
      </c>
      <c r="U749" s="4" t="str">
        <f>IFERROR(__xludf.DUMMYFUNCTION("""COMPUTED_VALUE"""),"Saipos Serviços De Software")</f>
        <v>Saipos Serviços De Software</v>
      </c>
      <c r="V749" s="33">
        <f>IFERROR(__xludf.DUMMYFUNCTION("""COMPUTED_VALUE"""),0.7)</f>
        <v>0.7</v>
      </c>
      <c r="W749" s="4" t="str">
        <f>IFERROR(__xludf.DUMMYFUNCTION("""COMPUTED_VALUE"""),"Saipos Serviços De Software")</f>
        <v>Saipos Serviços De Software</v>
      </c>
      <c r="X749" s="33">
        <f>IFERROR(__xludf.DUMMYFUNCTION("""COMPUTED_VALUE"""),0.8)</f>
        <v>0.8</v>
      </c>
    </row>
    <row r="750">
      <c r="K750" s="4" t="str">
        <f>IFERROR(__xludf.DUMMYFUNCTION("""COMPUTED_VALUE"""),"KAO MIX - CONTA PAI")</f>
        <v>KAO MIX - CONTA PAI</v>
      </c>
      <c r="L750" s="32">
        <f>IFERROR(__xludf.DUMMYFUNCTION("""COMPUTED_VALUE"""),10.0)</f>
        <v>10</v>
      </c>
      <c r="M750" s="4" t="str">
        <f>IFERROR(__xludf.DUMMYFUNCTION("""COMPUTED_VALUE"""),"N/A (Not found)")</f>
        <v>N/A (Not found)</v>
      </c>
      <c r="N750" s="33">
        <f>IFERROR(__xludf.DUMMYFUNCTION("""COMPUTED_VALUE"""),1.0)</f>
        <v>1</v>
      </c>
      <c r="O750" s="4" t="str">
        <f>IFERROR(__xludf.DUMMYFUNCTION("""COMPUTED_VALUE"""),"N/A (Not found)")</f>
        <v>N/A (Not found)</v>
      </c>
      <c r="P750" s="33">
        <f>IFERROR(__xludf.DUMMYFUNCTION("""COMPUTED_VALUE"""),1.0)</f>
        <v>1</v>
      </c>
      <c r="Q750" s="4" t="str">
        <f>IFERROR(__xludf.DUMMYFUNCTION("""COMPUTED_VALUE"""),"N/A (Not found)")</f>
        <v>N/A (Not found)</v>
      </c>
      <c r="R750" s="33">
        <f>IFERROR(__xludf.DUMMYFUNCTION("""COMPUTED_VALUE"""),1.0)</f>
        <v>1</v>
      </c>
      <c r="S750" s="4" t="str">
        <f>IFERROR(__xludf.DUMMYFUNCTION("""COMPUTED_VALUE"""),"N/A (Not found)")</f>
        <v>N/A (Not found)</v>
      </c>
      <c r="T750" s="33">
        <f>IFERROR(__xludf.DUMMYFUNCTION("""COMPUTED_VALUE"""),1.0)</f>
        <v>1</v>
      </c>
      <c r="U750" s="4" t="str">
        <f>IFERROR(__xludf.DUMMYFUNCTION("""COMPUTED_VALUE"""),"N/A (Not found)")</f>
        <v>N/A (Not found)</v>
      </c>
      <c r="V750" s="33">
        <f>IFERROR(__xludf.DUMMYFUNCTION("""COMPUTED_VALUE"""),1.0)</f>
        <v>1</v>
      </c>
      <c r="W750" s="4" t="str">
        <f>IFERROR(__xludf.DUMMYFUNCTION("""COMPUTED_VALUE"""),"null")</f>
        <v>null</v>
      </c>
      <c r="X750" s="33">
        <f>IFERROR(__xludf.DUMMYFUNCTION("""COMPUTED_VALUE"""),1.0)</f>
        <v>1</v>
      </c>
    </row>
    <row r="751">
      <c r="K751" s="4" t="str">
        <f>IFERROR(__xludf.DUMMYFUNCTION("""COMPUTED_VALUE"""),"KITAGAWA SUSHI")</f>
        <v>KITAGAWA SUSHI</v>
      </c>
      <c r="L751" s="32">
        <f>IFERROR(__xludf.DUMMYFUNCTION("""COMPUTED_VALUE"""),10.0)</f>
        <v>10</v>
      </c>
      <c r="M751" s="4" t="str">
        <f>IFERROR(__xludf.DUMMYFUNCTION("""COMPUTED_VALUE"""),"Ncr")</f>
        <v>Ncr</v>
      </c>
      <c r="N751" s="33">
        <f>IFERROR(__xludf.DUMMYFUNCTION("""COMPUTED_VALUE"""),0.8)</f>
        <v>0.8</v>
      </c>
      <c r="O751" s="4" t="str">
        <f>IFERROR(__xludf.DUMMYFUNCTION("""COMPUTED_VALUE"""),"Ncr")</f>
        <v>Ncr</v>
      </c>
      <c r="P751" s="33">
        <f>IFERROR(__xludf.DUMMYFUNCTION("""COMPUTED_VALUE"""),0.9)</f>
        <v>0.9</v>
      </c>
      <c r="Q751" s="4" t="str">
        <f>IFERROR(__xludf.DUMMYFUNCTION("""COMPUTED_VALUE"""),"Ncr")</f>
        <v>Ncr</v>
      </c>
      <c r="R751" s="33">
        <f>IFERROR(__xludf.DUMMYFUNCTION("""COMPUTED_VALUE"""),0.9)</f>
        <v>0.9</v>
      </c>
      <c r="S751" s="4" t="str">
        <f>IFERROR(__xludf.DUMMYFUNCTION("""COMPUTED_VALUE"""),"Ncr")</f>
        <v>Ncr</v>
      </c>
      <c r="T751" s="33">
        <f>IFERROR(__xludf.DUMMYFUNCTION("""COMPUTED_VALUE"""),0.9)</f>
        <v>0.9</v>
      </c>
      <c r="U751" s="4" t="str">
        <f>IFERROR(__xludf.DUMMYFUNCTION("""COMPUTED_VALUE"""),"Ncr")</f>
        <v>Ncr</v>
      </c>
      <c r="V751" s="33">
        <f>IFERROR(__xludf.DUMMYFUNCTION("""COMPUTED_VALUE"""),0.8)</f>
        <v>0.8</v>
      </c>
      <c r="W751" s="4" t="str">
        <f>IFERROR(__xludf.DUMMYFUNCTION("""COMPUTED_VALUE"""),"Ncr")</f>
        <v>Ncr</v>
      </c>
      <c r="X751" s="33">
        <f>IFERROR(__xludf.DUMMYFUNCTION("""COMPUTED_VALUE"""),0.7)</f>
        <v>0.7</v>
      </c>
    </row>
    <row r="752">
      <c r="K752" s="4" t="str">
        <f>IFERROR(__xludf.DUMMYFUNCTION("""COMPUTED_VALUE"""),"KOCH SUPERMERCADOS - CONTA PAI")</f>
        <v>KOCH SUPERMERCADOS - CONTA PAI</v>
      </c>
      <c r="L752" s="32">
        <f>IFERROR(__xludf.DUMMYFUNCTION("""COMPUTED_VALUE"""),10.0)</f>
        <v>10</v>
      </c>
      <c r="M752" s="4" t="str">
        <f>IFERROR(__xludf.DUMMYFUNCTION("""COMPUTED_VALUE"""),"N/A (Not found)")</f>
        <v>N/A (Not found)</v>
      </c>
      <c r="N752" s="33">
        <f>IFERROR(__xludf.DUMMYFUNCTION("""COMPUTED_VALUE"""),1.0)</f>
        <v>1</v>
      </c>
      <c r="O752" s="4" t="str">
        <f>IFERROR(__xludf.DUMMYFUNCTION("""COMPUTED_VALUE"""),"N/A (Not found)")</f>
        <v>N/A (Not found)</v>
      </c>
      <c r="P752" s="33">
        <f>IFERROR(__xludf.DUMMYFUNCTION("""COMPUTED_VALUE"""),1.0)</f>
        <v>1</v>
      </c>
      <c r="Q752" s="4" t="str">
        <f>IFERROR(__xludf.DUMMYFUNCTION("""COMPUTED_VALUE"""),"N/A (Not found)")</f>
        <v>N/A (Not found)</v>
      </c>
      <c r="R752" s="33">
        <f>IFERROR(__xludf.DUMMYFUNCTION("""COMPUTED_VALUE"""),1.0)</f>
        <v>1</v>
      </c>
      <c r="S752" s="4" t="str">
        <f>IFERROR(__xludf.DUMMYFUNCTION("""COMPUTED_VALUE"""),"N/A (Not found)")</f>
        <v>N/A (Not found)</v>
      </c>
      <c r="T752" s="33">
        <f>IFERROR(__xludf.DUMMYFUNCTION("""COMPUTED_VALUE"""),1.0)</f>
        <v>1</v>
      </c>
      <c r="U752" s="4" t="str">
        <f>IFERROR(__xludf.DUMMYFUNCTION("""COMPUTED_VALUE"""),"N/A (Not found)")</f>
        <v>N/A (Not found)</v>
      </c>
      <c r="V752" s="33">
        <f>IFERROR(__xludf.DUMMYFUNCTION("""COMPUTED_VALUE"""),1.0)</f>
        <v>1</v>
      </c>
      <c r="W752" s="4" t="str">
        <f>IFERROR(__xludf.DUMMYFUNCTION("""COMPUTED_VALUE"""),"N/A (Not found)")</f>
        <v>N/A (Not found)</v>
      </c>
      <c r="X752" s="33">
        <f>IFERROR(__xludf.DUMMYFUNCTION("""COMPUTED_VALUE"""),1.0)</f>
        <v>1</v>
      </c>
    </row>
    <row r="753">
      <c r="K753" s="4" t="str">
        <f>IFERROR(__xludf.DUMMYFUNCTION("""COMPUTED_VALUE"""),"LUPO - CONTA MARCA")</f>
        <v>LUPO - CONTA MARCA</v>
      </c>
      <c r="L753" s="32">
        <f>IFERROR(__xludf.DUMMYFUNCTION("""COMPUTED_VALUE"""),10.0)</f>
        <v>10</v>
      </c>
      <c r="M753" s="4" t="str">
        <f>IFERROR(__xludf.DUMMYFUNCTION("""COMPUTED_VALUE"""),"null")</f>
        <v>null</v>
      </c>
      <c r="N753" s="33">
        <f>IFERROR(__xludf.DUMMYFUNCTION("""COMPUTED_VALUE"""),0.8)</f>
        <v>0.8</v>
      </c>
      <c r="O753" s="4" t="str">
        <f>IFERROR(__xludf.DUMMYFUNCTION("""COMPUTED_VALUE"""),"null")</f>
        <v>null</v>
      </c>
      <c r="P753" s="33">
        <f>IFERROR(__xludf.DUMMYFUNCTION("""COMPUTED_VALUE"""),0.6)</f>
        <v>0.6</v>
      </c>
      <c r="Q753" s="4" t="str">
        <f>IFERROR(__xludf.DUMMYFUNCTION("""COMPUTED_VALUE"""),"N/A (Not found)")</f>
        <v>N/A (Not found)</v>
      </c>
      <c r="R753" s="33">
        <f>IFERROR(__xludf.DUMMYFUNCTION("""COMPUTED_VALUE"""),0.7)</f>
        <v>0.7</v>
      </c>
      <c r="S753" s="4" t="str">
        <f>IFERROR(__xludf.DUMMYFUNCTION("""COMPUTED_VALUE"""),"N/A (Not found)")</f>
        <v>N/A (Not found)</v>
      </c>
      <c r="T753" s="33">
        <f>IFERROR(__xludf.DUMMYFUNCTION("""COMPUTED_VALUE"""),0.9)</f>
        <v>0.9</v>
      </c>
      <c r="U753" s="4" t="str">
        <f>IFERROR(__xludf.DUMMYFUNCTION("""COMPUTED_VALUE"""),"N/A (Not found)")</f>
        <v>N/A (Not found)</v>
      </c>
      <c r="V753" s="33">
        <f>IFERROR(__xludf.DUMMYFUNCTION("""COMPUTED_VALUE"""),0.9)</f>
        <v>0.9</v>
      </c>
      <c r="W753" s="4" t="str">
        <f>IFERROR(__xludf.DUMMYFUNCTION("""COMPUTED_VALUE"""),"N/A (Not found)")</f>
        <v>N/A (Not found)</v>
      </c>
      <c r="X753" s="33">
        <f>IFERROR(__xludf.DUMMYFUNCTION("""COMPUTED_VALUE"""),1.0)</f>
        <v>1</v>
      </c>
    </row>
    <row r="754">
      <c r="K754" s="4" t="str">
        <f>IFERROR(__xludf.DUMMYFUNCTION("""COMPUTED_VALUE"""),"MACIS E KINGDOM")</f>
        <v>MACIS E KINGDOM</v>
      </c>
      <c r="L754" s="32">
        <f>IFERROR(__xludf.DUMMYFUNCTION("""COMPUTED_VALUE"""),10.0)</f>
        <v>10</v>
      </c>
      <c r="M754" s="4" t="str">
        <f>IFERROR(__xludf.DUMMYFUNCTION("""COMPUTED_VALUE"""),"Saipos Serviços De Software")</f>
        <v>Saipos Serviços De Software</v>
      </c>
      <c r="N754" s="33">
        <f>IFERROR(__xludf.DUMMYFUNCTION("""COMPUTED_VALUE"""),1.0)</f>
        <v>1</v>
      </c>
      <c r="O754" s="4" t="str">
        <f>IFERROR(__xludf.DUMMYFUNCTION("""COMPUTED_VALUE"""),"Saipos Serviços De Software")</f>
        <v>Saipos Serviços De Software</v>
      </c>
      <c r="P754" s="33">
        <f>IFERROR(__xludf.DUMMYFUNCTION("""COMPUTED_VALUE"""),1.0)</f>
        <v>1</v>
      </c>
      <c r="Q754" s="4" t="str">
        <f>IFERROR(__xludf.DUMMYFUNCTION("""COMPUTED_VALUE"""),"Saipos Serviços De Software")</f>
        <v>Saipos Serviços De Software</v>
      </c>
      <c r="R754" s="33">
        <f>IFERROR(__xludf.DUMMYFUNCTION("""COMPUTED_VALUE"""),1.0)</f>
        <v>1</v>
      </c>
      <c r="S754" s="4" t="str">
        <f>IFERROR(__xludf.DUMMYFUNCTION("""COMPUTED_VALUE"""),"Saipos Serviços De Software")</f>
        <v>Saipos Serviços De Software</v>
      </c>
      <c r="T754" s="33">
        <f>IFERROR(__xludf.DUMMYFUNCTION("""COMPUTED_VALUE"""),1.0)</f>
        <v>1</v>
      </c>
      <c r="U754" s="4" t="str">
        <f>IFERROR(__xludf.DUMMYFUNCTION("""COMPUTED_VALUE"""),"Saipos Serviços De Software")</f>
        <v>Saipos Serviços De Software</v>
      </c>
      <c r="V754" s="33">
        <f>IFERROR(__xludf.DUMMYFUNCTION("""COMPUTED_VALUE"""),1.0)</f>
        <v>1</v>
      </c>
      <c r="W754" s="4" t="str">
        <f>IFERROR(__xludf.DUMMYFUNCTION("""COMPUTED_VALUE"""),"Saipos Serviços De Software")</f>
        <v>Saipos Serviços De Software</v>
      </c>
      <c r="X754" s="33">
        <f>IFERROR(__xludf.DUMMYFUNCTION("""COMPUTED_VALUE"""),1.0)</f>
        <v>1</v>
      </c>
    </row>
    <row r="755">
      <c r="K755" s="4" t="str">
        <f>IFERROR(__xludf.DUMMYFUNCTION("""COMPUTED_VALUE"""),"MADALOSSO")</f>
        <v>MADALOSSO</v>
      </c>
      <c r="L755" s="32">
        <f>IFERROR(__xludf.DUMMYFUNCTION("""COMPUTED_VALUE"""),10.0)</f>
        <v>10</v>
      </c>
      <c r="M755" s="4" t="str">
        <f>IFERROR(__xludf.DUMMYFUNCTION("""COMPUTED_VALUE"""),"Cloudfy")</f>
        <v>Cloudfy</v>
      </c>
      <c r="N755" s="33">
        <f>IFERROR(__xludf.DUMMYFUNCTION("""COMPUTED_VALUE"""),0.5)</f>
        <v>0.5</v>
      </c>
      <c r="O755" s="4" t="str">
        <f>IFERROR(__xludf.DUMMYFUNCTION("""COMPUTED_VALUE"""),"Cloudfy")</f>
        <v>Cloudfy</v>
      </c>
      <c r="P755" s="33">
        <f>IFERROR(__xludf.DUMMYFUNCTION("""COMPUTED_VALUE"""),0.5)</f>
        <v>0.5</v>
      </c>
      <c r="Q755" s="4" t="str">
        <f>IFERROR(__xludf.DUMMYFUNCTION("""COMPUTED_VALUE"""),"Teknisa Service Ltda")</f>
        <v>Teknisa Service Ltda</v>
      </c>
      <c r="R755" s="33">
        <f>IFERROR(__xludf.DUMMYFUNCTION("""COMPUTED_VALUE"""),0.5)</f>
        <v>0.5</v>
      </c>
      <c r="S755" s="4" t="str">
        <f>IFERROR(__xludf.DUMMYFUNCTION("""COMPUTED_VALUE"""),"Cloudfy")</f>
        <v>Cloudfy</v>
      </c>
      <c r="T755" s="33">
        <f>IFERROR(__xludf.DUMMYFUNCTION("""COMPUTED_VALUE"""),0.5)</f>
        <v>0.5</v>
      </c>
      <c r="U755" s="4" t="str">
        <f>IFERROR(__xludf.DUMMYFUNCTION("""COMPUTED_VALUE"""),"Cloudfy")</f>
        <v>Cloudfy</v>
      </c>
      <c r="V755" s="33">
        <f>IFERROR(__xludf.DUMMYFUNCTION("""COMPUTED_VALUE"""),0.5)</f>
        <v>0.5</v>
      </c>
      <c r="W755" s="4" t="str">
        <f>IFERROR(__xludf.DUMMYFUNCTION("""COMPUTED_VALUE"""),"Teknisa Service Ltda")</f>
        <v>Teknisa Service Ltda</v>
      </c>
      <c r="X755" s="33">
        <f>IFERROR(__xludf.DUMMYFUNCTION("""COMPUTED_VALUE"""),0.5)</f>
        <v>0.5</v>
      </c>
    </row>
    <row r="756">
      <c r="K756" s="4" t="str">
        <f>IFERROR(__xludf.DUMMYFUNCTION("""COMPUTED_VALUE"""),"MAGRELO LANCHES")</f>
        <v>MAGRELO LANCHES</v>
      </c>
      <c r="L756" s="32">
        <f>IFERROR(__xludf.DUMMYFUNCTION("""COMPUTED_VALUE"""),10.0)</f>
        <v>10</v>
      </c>
      <c r="M756" s="4" t="str">
        <f>IFERROR(__xludf.DUMMYFUNCTION("""COMPUTED_VALUE"""),"Sagres Automação Comercial")</f>
        <v>Sagres Automação Comercial</v>
      </c>
      <c r="N756" s="33">
        <f>IFERROR(__xludf.DUMMYFUNCTION("""COMPUTED_VALUE"""),1.0)</f>
        <v>1</v>
      </c>
      <c r="O756" s="4" t="str">
        <f>IFERROR(__xludf.DUMMYFUNCTION("""COMPUTED_VALUE"""),"Sagres Automação Comercial")</f>
        <v>Sagres Automação Comercial</v>
      </c>
      <c r="P756" s="33">
        <f>IFERROR(__xludf.DUMMYFUNCTION("""COMPUTED_VALUE"""),1.0)</f>
        <v>1</v>
      </c>
      <c r="Q756" s="4" t="str">
        <f>IFERROR(__xludf.DUMMYFUNCTION("""COMPUTED_VALUE"""),"Sagres Automação Comercial")</f>
        <v>Sagres Automação Comercial</v>
      </c>
      <c r="R756" s="33">
        <f>IFERROR(__xludf.DUMMYFUNCTION("""COMPUTED_VALUE"""),1.0)</f>
        <v>1</v>
      </c>
      <c r="S756" s="4" t="str">
        <f>IFERROR(__xludf.DUMMYFUNCTION("""COMPUTED_VALUE"""),"null")</f>
        <v>null</v>
      </c>
      <c r="T756" s="33">
        <f>IFERROR(__xludf.DUMMYFUNCTION("""COMPUTED_VALUE"""),0.6)</f>
        <v>0.6</v>
      </c>
      <c r="U756" s="4" t="str">
        <f>IFERROR(__xludf.DUMMYFUNCTION("""COMPUTED_VALUE"""),"Sagres Automação Comercial")</f>
        <v>Sagres Automação Comercial</v>
      </c>
      <c r="V756" s="33">
        <f>IFERROR(__xludf.DUMMYFUNCTION("""COMPUTED_VALUE"""),0.9)</f>
        <v>0.9</v>
      </c>
      <c r="W756" s="4" t="str">
        <f>IFERROR(__xludf.DUMMYFUNCTION("""COMPUTED_VALUE"""),"Sagres Automação Comercial")</f>
        <v>Sagres Automação Comercial</v>
      </c>
      <c r="X756" s="33">
        <f>IFERROR(__xludf.DUMMYFUNCTION("""COMPUTED_VALUE"""),1.0)</f>
        <v>1</v>
      </c>
    </row>
    <row r="757">
      <c r="K757" s="4" t="str">
        <f>IFERROR(__xludf.DUMMYFUNCTION("""COMPUTED_VALUE"""),"MANDA PICANHA")</f>
        <v>MANDA PICANHA</v>
      </c>
      <c r="L757" s="32">
        <f>IFERROR(__xludf.DUMMYFUNCTION("""COMPUTED_VALUE"""),10.0)</f>
        <v>10</v>
      </c>
      <c r="M757" s="4" t="str">
        <f>IFERROR(__xludf.DUMMYFUNCTION("""COMPUTED_VALUE"""),"Ncr")</f>
        <v>Ncr</v>
      </c>
      <c r="N757" s="33">
        <f>IFERROR(__xludf.DUMMYFUNCTION("""COMPUTED_VALUE"""),0.8)</f>
        <v>0.8</v>
      </c>
      <c r="O757" s="4" t="str">
        <f>IFERROR(__xludf.DUMMYFUNCTION("""COMPUTED_VALUE"""),"Ncr")</f>
        <v>Ncr</v>
      </c>
      <c r="P757" s="33">
        <f>IFERROR(__xludf.DUMMYFUNCTION("""COMPUTED_VALUE"""),0.8)</f>
        <v>0.8</v>
      </c>
      <c r="Q757" s="4" t="str">
        <f>IFERROR(__xludf.DUMMYFUNCTION("""COMPUTED_VALUE"""),"Ncr")</f>
        <v>Ncr</v>
      </c>
      <c r="R757" s="33">
        <f>IFERROR(__xludf.DUMMYFUNCTION("""COMPUTED_VALUE"""),0.9)</f>
        <v>0.9</v>
      </c>
      <c r="S757" s="4" t="str">
        <f>IFERROR(__xludf.DUMMYFUNCTION("""COMPUTED_VALUE"""),"Ncr")</f>
        <v>Ncr</v>
      </c>
      <c r="T757" s="33">
        <f>IFERROR(__xludf.DUMMYFUNCTION("""COMPUTED_VALUE"""),1.0)</f>
        <v>1</v>
      </c>
      <c r="U757" s="4" t="str">
        <f>IFERROR(__xludf.DUMMYFUNCTION("""COMPUTED_VALUE"""),"Ncr")</f>
        <v>Ncr</v>
      </c>
      <c r="V757" s="33">
        <f>IFERROR(__xludf.DUMMYFUNCTION("""COMPUTED_VALUE"""),0.9)</f>
        <v>0.9</v>
      </c>
      <c r="W757" s="4" t="str">
        <f>IFERROR(__xludf.DUMMYFUNCTION("""COMPUTED_VALUE"""),"Ncr")</f>
        <v>Ncr</v>
      </c>
      <c r="X757" s="33">
        <f>IFERROR(__xludf.DUMMYFUNCTION("""COMPUTED_VALUE"""),1.0)</f>
        <v>1</v>
      </c>
    </row>
    <row r="758">
      <c r="K758" s="4" t="str">
        <f>IFERROR(__xludf.DUMMYFUNCTION("""COMPUTED_VALUE"""),"MARMITEX DA VOVO")</f>
        <v>MARMITEX DA VOVO</v>
      </c>
      <c r="L758" s="32">
        <f>IFERROR(__xludf.DUMMYFUNCTION("""COMPUTED_VALUE"""),10.0)</f>
        <v>10</v>
      </c>
      <c r="M758" s="4" t="str">
        <f>IFERROR(__xludf.DUMMYFUNCTION("""COMPUTED_VALUE"""),"Saipos Serviços De Software")</f>
        <v>Saipos Serviços De Software</v>
      </c>
      <c r="N758" s="33">
        <f>IFERROR(__xludf.DUMMYFUNCTION("""COMPUTED_VALUE"""),0.8)</f>
        <v>0.8</v>
      </c>
      <c r="O758" s="4" t="str">
        <f>IFERROR(__xludf.DUMMYFUNCTION("""COMPUTED_VALUE"""),"Saipos Serviços De Software")</f>
        <v>Saipos Serviços De Software</v>
      </c>
      <c r="P758" s="33">
        <f>IFERROR(__xludf.DUMMYFUNCTION("""COMPUTED_VALUE"""),0.7)</f>
        <v>0.7</v>
      </c>
      <c r="Q758" s="4" t="str">
        <f>IFERROR(__xludf.DUMMYFUNCTION("""COMPUTED_VALUE"""),"Saipos Serviços De Software")</f>
        <v>Saipos Serviços De Software</v>
      </c>
      <c r="R758" s="33">
        <f>IFERROR(__xludf.DUMMYFUNCTION("""COMPUTED_VALUE"""),0.8)</f>
        <v>0.8</v>
      </c>
      <c r="S758" s="4" t="str">
        <f>IFERROR(__xludf.DUMMYFUNCTION("""COMPUTED_VALUE"""),"Saipos Serviços De Software")</f>
        <v>Saipos Serviços De Software</v>
      </c>
      <c r="T758" s="33">
        <f>IFERROR(__xludf.DUMMYFUNCTION("""COMPUTED_VALUE"""),0.8)</f>
        <v>0.8</v>
      </c>
      <c r="U758" s="4" t="str">
        <f>IFERROR(__xludf.DUMMYFUNCTION("""COMPUTED_VALUE"""),"Saipos Serviços De Software")</f>
        <v>Saipos Serviços De Software</v>
      </c>
      <c r="V758" s="33">
        <f>IFERROR(__xludf.DUMMYFUNCTION("""COMPUTED_VALUE"""),0.8)</f>
        <v>0.8</v>
      </c>
      <c r="W758" s="4" t="str">
        <f>IFERROR(__xludf.DUMMYFUNCTION("""COMPUTED_VALUE"""),"Saipos Serviços De Software")</f>
        <v>Saipos Serviços De Software</v>
      </c>
      <c r="X758" s="33">
        <f>IFERROR(__xludf.DUMMYFUNCTION("""COMPUTED_VALUE"""),0.8)</f>
        <v>0.8</v>
      </c>
    </row>
    <row r="759">
      <c r="K759" s="4" t="str">
        <f>IFERROR(__xludf.DUMMYFUNCTION("""COMPUTED_VALUE"""),"MAROMBITA MARMITAS - MARCA")</f>
        <v>MAROMBITA MARMITAS - MARCA</v>
      </c>
      <c r="L759" s="32">
        <f>IFERROR(__xludf.DUMMYFUNCTION("""COMPUTED_VALUE"""),10.0)</f>
        <v>10</v>
      </c>
      <c r="M759" s="4" t="str">
        <f>IFERROR(__xludf.DUMMYFUNCTION("""COMPUTED_VALUE"""),"Saipos Serviços De Software")</f>
        <v>Saipos Serviços De Software</v>
      </c>
      <c r="N759" s="33">
        <f>IFERROR(__xludf.DUMMYFUNCTION("""COMPUTED_VALUE"""),0.8)</f>
        <v>0.8</v>
      </c>
      <c r="O759" s="4" t="str">
        <f>IFERROR(__xludf.DUMMYFUNCTION("""COMPUTED_VALUE"""),"null")</f>
        <v>null</v>
      </c>
      <c r="P759" s="33">
        <f>IFERROR(__xludf.DUMMYFUNCTION("""COMPUTED_VALUE"""),0.7)</f>
        <v>0.7</v>
      </c>
      <c r="Q759" s="4" t="str">
        <f>IFERROR(__xludf.DUMMYFUNCTION("""COMPUTED_VALUE"""),"null")</f>
        <v>null</v>
      </c>
      <c r="R759" s="33">
        <f>IFERROR(__xludf.DUMMYFUNCTION("""COMPUTED_VALUE"""),0.9)</f>
        <v>0.9</v>
      </c>
      <c r="S759" s="4" t="str">
        <f>IFERROR(__xludf.DUMMYFUNCTION("""COMPUTED_VALUE"""),"null")</f>
        <v>null</v>
      </c>
      <c r="T759" s="33">
        <f>IFERROR(__xludf.DUMMYFUNCTION("""COMPUTED_VALUE"""),1.0)</f>
        <v>1</v>
      </c>
      <c r="U759" s="4" t="str">
        <f>IFERROR(__xludf.DUMMYFUNCTION("""COMPUTED_VALUE"""),"null")</f>
        <v>null</v>
      </c>
      <c r="V759" s="33">
        <f>IFERROR(__xludf.DUMMYFUNCTION("""COMPUTED_VALUE"""),1.0)</f>
        <v>1</v>
      </c>
      <c r="W759" s="4" t="str">
        <f>IFERROR(__xludf.DUMMYFUNCTION("""COMPUTED_VALUE"""),"null")</f>
        <v>null</v>
      </c>
      <c r="X759" s="33">
        <f>IFERROR(__xludf.DUMMYFUNCTION("""COMPUTED_VALUE"""),1.0)</f>
        <v>1</v>
      </c>
    </row>
    <row r="760">
      <c r="K760" s="4" t="str">
        <f>IFERROR(__xludf.DUMMYFUNCTION("""COMPUTED_VALUE"""),"MEU CHEF LANCHES - MARCA")</f>
        <v>MEU CHEF LANCHES - MARCA</v>
      </c>
      <c r="L760" s="32">
        <f>IFERROR(__xludf.DUMMYFUNCTION("""COMPUTED_VALUE"""),10.0)</f>
        <v>10</v>
      </c>
      <c r="M760" s="4" t="str">
        <f>IFERROR(__xludf.DUMMYFUNCTION("""COMPUTED_VALUE"""),"Sagres Automação Comercial")</f>
        <v>Sagres Automação Comercial</v>
      </c>
      <c r="N760" s="33">
        <f>IFERROR(__xludf.DUMMYFUNCTION("""COMPUTED_VALUE"""),0.9)</f>
        <v>0.9</v>
      </c>
      <c r="O760" s="4" t="str">
        <f>IFERROR(__xludf.DUMMYFUNCTION("""COMPUTED_VALUE"""),"Sagres Automação Comercial")</f>
        <v>Sagres Automação Comercial</v>
      </c>
      <c r="P760" s="33">
        <f>IFERROR(__xludf.DUMMYFUNCTION("""COMPUTED_VALUE"""),1.0)</f>
        <v>1</v>
      </c>
      <c r="Q760" s="4" t="str">
        <f>IFERROR(__xludf.DUMMYFUNCTION("""COMPUTED_VALUE"""),"Sagres Automação Comercial")</f>
        <v>Sagres Automação Comercial</v>
      </c>
      <c r="R760" s="33">
        <f>IFERROR(__xludf.DUMMYFUNCTION("""COMPUTED_VALUE"""),0.9)</f>
        <v>0.9</v>
      </c>
      <c r="S760" s="4" t="str">
        <f>IFERROR(__xludf.DUMMYFUNCTION("""COMPUTED_VALUE"""),"Sagres Automação Comercial")</f>
        <v>Sagres Automação Comercial</v>
      </c>
      <c r="T760" s="33">
        <f>IFERROR(__xludf.DUMMYFUNCTION("""COMPUTED_VALUE"""),0.8)</f>
        <v>0.8</v>
      </c>
      <c r="U760" s="4" t="str">
        <f>IFERROR(__xludf.DUMMYFUNCTION("""COMPUTED_VALUE"""),"Sagres Automação Comercial")</f>
        <v>Sagres Automação Comercial</v>
      </c>
      <c r="V760" s="33">
        <f>IFERROR(__xludf.DUMMYFUNCTION("""COMPUTED_VALUE"""),0.9)</f>
        <v>0.9</v>
      </c>
      <c r="W760" s="4" t="str">
        <f>IFERROR(__xludf.DUMMYFUNCTION("""COMPUTED_VALUE"""),"Sagres Automação Comercial")</f>
        <v>Sagres Automação Comercial</v>
      </c>
      <c r="X760" s="33">
        <f>IFERROR(__xludf.DUMMYFUNCTION("""COMPUTED_VALUE"""),0.9)</f>
        <v>0.9</v>
      </c>
    </row>
    <row r="761">
      <c r="K761" s="4" t="str">
        <f>IFERROR(__xludf.DUMMYFUNCTION("""COMPUTED_VALUE"""),"MK GOOD BURGUER")</f>
        <v>MK GOOD BURGUER</v>
      </c>
      <c r="L761" s="32">
        <f>IFERROR(__xludf.DUMMYFUNCTION("""COMPUTED_VALUE"""),10.0)</f>
        <v>10</v>
      </c>
      <c r="M761" s="4" t="str">
        <f>IFERROR(__xludf.DUMMYFUNCTION("""COMPUTED_VALUE"""),"Cardápio Web")</f>
        <v>Cardápio Web</v>
      </c>
      <c r="N761" s="33">
        <f>IFERROR(__xludf.DUMMYFUNCTION("""COMPUTED_VALUE"""),1.0)</f>
        <v>1</v>
      </c>
      <c r="O761" s="4" t="str">
        <f>IFERROR(__xludf.DUMMYFUNCTION("""COMPUTED_VALUE"""),"Cardápio Web")</f>
        <v>Cardápio Web</v>
      </c>
      <c r="P761" s="33">
        <f>IFERROR(__xludf.DUMMYFUNCTION("""COMPUTED_VALUE"""),1.0)</f>
        <v>1</v>
      </c>
      <c r="Q761" s="4" t="str">
        <f>IFERROR(__xludf.DUMMYFUNCTION("""COMPUTED_VALUE"""),"Cardápio Web")</f>
        <v>Cardápio Web</v>
      </c>
      <c r="R761" s="33">
        <f>IFERROR(__xludf.DUMMYFUNCTION("""COMPUTED_VALUE"""),1.0)</f>
        <v>1</v>
      </c>
      <c r="S761" s="4" t="str">
        <f>IFERROR(__xludf.DUMMYFUNCTION("""COMPUTED_VALUE"""),"Cardápio Web")</f>
        <v>Cardápio Web</v>
      </c>
      <c r="T761" s="33">
        <f>IFERROR(__xludf.DUMMYFUNCTION("""COMPUTED_VALUE"""),1.0)</f>
        <v>1</v>
      </c>
      <c r="U761" s="4" t="str">
        <f>IFERROR(__xludf.DUMMYFUNCTION("""COMPUTED_VALUE"""),"null")</f>
        <v>null</v>
      </c>
      <c r="V761" s="33">
        <f>IFERROR(__xludf.DUMMYFUNCTION("""COMPUTED_VALUE"""),0.5)</f>
        <v>0.5</v>
      </c>
      <c r="W761" s="4" t="str">
        <f>IFERROR(__xludf.DUMMYFUNCTION("""COMPUTED_VALUE"""),"Cardápio Web")</f>
        <v>Cardápio Web</v>
      </c>
      <c r="X761" s="33">
        <f>IFERROR(__xludf.DUMMYFUNCTION("""COMPUTED_VALUE"""),1.0)</f>
        <v>1</v>
      </c>
    </row>
    <row r="762">
      <c r="K762" s="4" t="str">
        <f>IFERROR(__xludf.DUMMYFUNCTION("""COMPUTED_VALUE"""),"MR JONES")</f>
        <v>MR JONES</v>
      </c>
      <c r="L762" s="32">
        <f>IFERROR(__xludf.DUMMYFUNCTION("""COMPUTED_VALUE"""),10.0)</f>
        <v>10</v>
      </c>
      <c r="M762" s="4" t="str">
        <f>IFERROR(__xludf.DUMMYFUNCTION("""COMPUTED_VALUE"""),"Altec Sistemas")</f>
        <v>Altec Sistemas</v>
      </c>
      <c r="N762" s="33">
        <f>IFERROR(__xludf.DUMMYFUNCTION("""COMPUTED_VALUE"""),1.0)</f>
        <v>1</v>
      </c>
      <c r="O762" s="4" t="str">
        <f>IFERROR(__xludf.DUMMYFUNCTION("""COMPUTED_VALUE"""),"Altec Sistemas")</f>
        <v>Altec Sistemas</v>
      </c>
      <c r="P762" s="33">
        <f>IFERROR(__xludf.DUMMYFUNCTION("""COMPUTED_VALUE"""),0.6)</f>
        <v>0.6</v>
      </c>
      <c r="Q762" s="4" t="str">
        <f>IFERROR(__xludf.DUMMYFUNCTION("""COMPUTED_VALUE"""),"null")</f>
        <v>null</v>
      </c>
      <c r="R762" s="33">
        <f>IFERROR(__xludf.DUMMYFUNCTION("""COMPUTED_VALUE"""),0.5)</f>
        <v>0.5</v>
      </c>
      <c r="S762" s="4" t="str">
        <f>IFERROR(__xludf.DUMMYFUNCTION("""COMPUTED_VALUE"""),"null")</f>
        <v>null</v>
      </c>
      <c r="T762" s="33">
        <f>IFERROR(__xludf.DUMMYFUNCTION("""COMPUTED_VALUE"""),0.6)</f>
        <v>0.6</v>
      </c>
      <c r="U762" s="4" t="str">
        <f>IFERROR(__xludf.DUMMYFUNCTION("""COMPUTED_VALUE"""),"null")</f>
        <v>null</v>
      </c>
      <c r="V762" s="33">
        <f>IFERROR(__xludf.DUMMYFUNCTION("""COMPUTED_VALUE"""),0.5)</f>
        <v>0.5</v>
      </c>
      <c r="W762" s="4" t="str">
        <f>IFERROR(__xludf.DUMMYFUNCTION("""COMPUTED_VALUE"""),"null")</f>
        <v>null</v>
      </c>
      <c r="X762" s="33">
        <f>IFERROR(__xludf.DUMMYFUNCTION("""COMPUTED_VALUE"""),0.7)</f>
        <v>0.7</v>
      </c>
    </row>
    <row r="763">
      <c r="K763" s="4" t="str">
        <f>IFERROR(__xludf.DUMMYFUNCTION("""COMPUTED_VALUE"""),"MUNDO DOG ORIGINAL - CONTA GRUPO")</f>
        <v>MUNDO DOG ORIGINAL - CONTA GRUPO</v>
      </c>
      <c r="L763" s="32">
        <f>IFERROR(__xludf.DUMMYFUNCTION("""COMPUTED_VALUE"""),10.0)</f>
        <v>10</v>
      </c>
      <c r="M763" s="4" t="str">
        <f>IFERROR(__xludf.DUMMYFUNCTION("""COMPUTED_VALUE"""),"Yooga")</f>
        <v>Yooga</v>
      </c>
      <c r="N763" s="33">
        <f>IFERROR(__xludf.DUMMYFUNCTION("""COMPUTED_VALUE"""),0.9)</f>
        <v>0.9</v>
      </c>
      <c r="O763" s="4" t="str">
        <f>IFERROR(__xludf.DUMMYFUNCTION("""COMPUTED_VALUE"""),"Yooga")</f>
        <v>Yooga</v>
      </c>
      <c r="P763" s="33">
        <f>IFERROR(__xludf.DUMMYFUNCTION("""COMPUTED_VALUE"""),0.9)</f>
        <v>0.9</v>
      </c>
      <c r="Q763" s="4" t="str">
        <f>IFERROR(__xludf.DUMMYFUNCTION("""COMPUTED_VALUE"""),"Yooga")</f>
        <v>Yooga</v>
      </c>
      <c r="R763" s="33">
        <f>IFERROR(__xludf.DUMMYFUNCTION("""COMPUTED_VALUE"""),0.9)</f>
        <v>0.9</v>
      </c>
      <c r="S763" s="4" t="str">
        <f>IFERROR(__xludf.DUMMYFUNCTION("""COMPUTED_VALUE"""),"Yooga")</f>
        <v>Yooga</v>
      </c>
      <c r="T763" s="33">
        <f>IFERROR(__xludf.DUMMYFUNCTION("""COMPUTED_VALUE"""),0.9)</f>
        <v>0.9</v>
      </c>
      <c r="U763" s="4" t="str">
        <f>IFERROR(__xludf.DUMMYFUNCTION("""COMPUTED_VALUE"""),"Yooga")</f>
        <v>Yooga</v>
      </c>
      <c r="V763" s="33">
        <f>IFERROR(__xludf.DUMMYFUNCTION("""COMPUTED_VALUE"""),0.8)</f>
        <v>0.8</v>
      </c>
      <c r="W763" s="4" t="str">
        <f>IFERROR(__xludf.DUMMYFUNCTION("""COMPUTED_VALUE"""),"Yooga")</f>
        <v>Yooga</v>
      </c>
      <c r="X763" s="33">
        <f>IFERROR(__xludf.DUMMYFUNCTION("""COMPUTED_VALUE"""),0.7)</f>
        <v>0.7</v>
      </c>
    </row>
    <row r="764">
      <c r="K764" s="4" t="str">
        <f>IFERROR(__xludf.DUMMYFUNCTION("""COMPUTED_VALUE"""),"NAKASA DELIVERY")</f>
        <v>NAKASA DELIVERY</v>
      </c>
      <c r="L764" s="32">
        <f>IFERROR(__xludf.DUMMYFUNCTION("""COMPUTED_VALUE"""),10.0)</f>
        <v>10</v>
      </c>
      <c r="M764" s="4" t="str">
        <f>IFERROR(__xludf.DUMMYFUNCTION("""COMPUTED_VALUE"""),"Yooga")</f>
        <v>Yooga</v>
      </c>
      <c r="N764" s="33">
        <f>IFERROR(__xludf.DUMMYFUNCTION("""COMPUTED_VALUE"""),1.0)</f>
        <v>1</v>
      </c>
      <c r="O764" s="4" t="str">
        <f>IFERROR(__xludf.DUMMYFUNCTION("""COMPUTED_VALUE"""),"Yooga")</f>
        <v>Yooga</v>
      </c>
      <c r="P764" s="33">
        <f>IFERROR(__xludf.DUMMYFUNCTION("""COMPUTED_VALUE"""),1.0)</f>
        <v>1</v>
      </c>
      <c r="Q764" s="4" t="str">
        <f>IFERROR(__xludf.DUMMYFUNCTION("""COMPUTED_VALUE"""),"Yooga")</f>
        <v>Yooga</v>
      </c>
      <c r="R764" s="33">
        <f>IFERROR(__xludf.DUMMYFUNCTION("""COMPUTED_VALUE"""),1.0)</f>
        <v>1</v>
      </c>
      <c r="S764" s="4" t="str">
        <f>IFERROR(__xludf.DUMMYFUNCTION("""COMPUTED_VALUE"""),"Yooga")</f>
        <v>Yooga</v>
      </c>
      <c r="T764" s="33">
        <f>IFERROR(__xludf.DUMMYFUNCTION("""COMPUTED_VALUE"""),1.0)</f>
        <v>1</v>
      </c>
      <c r="U764" s="4" t="str">
        <f>IFERROR(__xludf.DUMMYFUNCTION("""COMPUTED_VALUE"""),"Yooga")</f>
        <v>Yooga</v>
      </c>
      <c r="V764" s="33">
        <f>IFERROR(__xludf.DUMMYFUNCTION("""COMPUTED_VALUE"""),1.0)</f>
        <v>1</v>
      </c>
      <c r="W764" s="4" t="str">
        <f>IFERROR(__xludf.DUMMYFUNCTION("""COMPUTED_VALUE"""),"Yooga")</f>
        <v>Yooga</v>
      </c>
      <c r="X764" s="33">
        <f>IFERROR(__xludf.DUMMYFUNCTION("""COMPUTED_VALUE"""),1.0)</f>
        <v>1</v>
      </c>
    </row>
    <row r="765">
      <c r="K765" s="4" t="str">
        <f>IFERROR(__xludf.DUMMYFUNCTION("""COMPUTED_VALUE"""),"NAPOLI PIZZA DELIVERY")</f>
        <v>NAPOLI PIZZA DELIVERY</v>
      </c>
      <c r="L765" s="32">
        <f>IFERROR(__xludf.DUMMYFUNCTION("""COMPUTED_VALUE"""),10.0)</f>
        <v>10</v>
      </c>
      <c r="M765" s="4" t="str">
        <f>IFERROR(__xludf.DUMMYFUNCTION("""COMPUTED_VALUE"""),"Ncr")</f>
        <v>Ncr</v>
      </c>
      <c r="N765" s="33">
        <f>IFERROR(__xludf.DUMMYFUNCTION("""COMPUTED_VALUE"""),0.6)</f>
        <v>0.6</v>
      </c>
      <c r="O765" s="4" t="str">
        <f>IFERROR(__xludf.DUMMYFUNCTION("""COMPUTED_VALUE"""),"Ncr")</f>
        <v>Ncr</v>
      </c>
      <c r="P765" s="33">
        <f>IFERROR(__xludf.DUMMYFUNCTION("""COMPUTED_VALUE"""),0.6)</f>
        <v>0.6</v>
      </c>
      <c r="Q765" s="4" t="str">
        <f>IFERROR(__xludf.DUMMYFUNCTION("""COMPUTED_VALUE"""),"Ncr")</f>
        <v>Ncr</v>
      </c>
      <c r="R765" s="33">
        <f>IFERROR(__xludf.DUMMYFUNCTION("""COMPUTED_VALUE"""),0.6)</f>
        <v>0.6</v>
      </c>
      <c r="S765" s="4" t="str">
        <f>IFERROR(__xludf.DUMMYFUNCTION("""COMPUTED_VALUE"""),"Ncr")</f>
        <v>Ncr</v>
      </c>
      <c r="T765" s="33">
        <f>IFERROR(__xludf.DUMMYFUNCTION("""COMPUTED_VALUE"""),0.5)</f>
        <v>0.5</v>
      </c>
      <c r="U765" s="4" t="str">
        <f>IFERROR(__xludf.DUMMYFUNCTION("""COMPUTED_VALUE"""),"Ncr")</f>
        <v>Ncr</v>
      </c>
      <c r="V765" s="33">
        <f>IFERROR(__xludf.DUMMYFUNCTION("""COMPUTED_VALUE"""),0.6)</f>
        <v>0.6</v>
      </c>
      <c r="W765" s="4" t="str">
        <f>IFERROR(__xludf.DUMMYFUNCTION("""COMPUTED_VALUE"""),"Ncr")</f>
        <v>Ncr</v>
      </c>
      <c r="X765" s="33">
        <f>IFERROR(__xludf.DUMMYFUNCTION("""COMPUTED_VALUE"""),0.6)</f>
        <v>0.6</v>
      </c>
    </row>
    <row r="766">
      <c r="K766" s="4" t="str">
        <f>IFERROR(__xludf.DUMMYFUNCTION("""COMPUTED_VALUE"""),"NIGHT PIZZA CONTA MARCA")</f>
        <v>NIGHT PIZZA CONTA MARCA</v>
      </c>
      <c r="L766" s="32">
        <f>IFERROR(__xludf.DUMMYFUNCTION("""COMPUTED_VALUE"""),10.0)</f>
        <v>10</v>
      </c>
      <c r="M766" s="4" t="str">
        <f>IFERROR(__xludf.DUMMYFUNCTION("""COMPUTED_VALUE"""),"Agilizup Solucoes Ltda")</f>
        <v>Agilizup Solucoes Ltda</v>
      </c>
      <c r="N766" s="33">
        <f>IFERROR(__xludf.DUMMYFUNCTION("""COMPUTED_VALUE"""),0.8)</f>
        <v>0.8</v>
      </c>
      <c r="O766" s="4" t="str">
        <f>IFERROR(__xludf.DUMMYFUNCTION("""COMPUTED_VALUE"""),"Saipos Serviços De Software")</f>
        <v>Saipos Serviços De Software</v>
      </c>
      <c r="P766" s="33">
        <f>IFERROR(__xludf.DUMMYFUNCTION("""COMPUTED_VALUE"""),1.0)</f>
        <v>1</v>
      </c>
      <c r="Q766" s="4" t="str">
        <f>IFERROR(__xludf.DUMMYFUNCTION("""COMPUTED_VALUE"""),"Agilizup Solucoes Ltda")</f>
        <v>Agilizup Solucoes Ltda</v>
      </c>
      <c r="R766" s="33">
        <f>IFERROR(__xludf.DUMMYFUNCTION("""COMPUTED_VALUE"""),0.5)</f>
        <v>0.5</v>
      </c>
      <c r="S766" s="4" t="str">
        <f>IFERROR(__xludf.DUMMYFUNCTION("""COMPUTED_VALUE"""),"Agilizup Solucoes Ltda")</f>
        <v>Agilizup Solucoes Ltda</v>
      </c>
      <c r="T766" s="33">
        <f>IFERROR(__xludf.DUMMYFUNCTION("""COMPUTED_VALUE"""),0.7)</f>
        <v>0.7</v>
      </c>
      <c r="U766" s="4" t="str">
        <f>IFERROR(__xludf.DUMMYFUNCTION("""COMPUTED_VALUE"""),"Agilizup Solucoes Ltda")</f>
        <v>Agilizup Solucoes Ltda</v>
      </c>
      <c r="V766" s="33">
        <f>IFERROR(__xludf.DUMMYFUNCTION("""COMPUTED_VALUE"""),0.9)</f>
        <v>0.9</v>
      </c>
      <c r="W766" s="4" t="str">
        <f>IFERROR(__xludf.DUMMYFUNCTION("""COMPUTED_VALUE"""),"Agilizup Solucoes Ltda")</f>
        <v>Agilizup Solucoes Ltda</v>
      </c>
      <c r="X766" s="33">
        <f>IFERROR(__xludf.DUMMYFUNCTION("""COMPUTED_VALUE"""),0.9)</f>
        <v>0.9</v>
      </c>
    </row>
    <row r="767">
      <c r="K767" s="4" t="str">
        <f>IFERROR(__xludf.DUMMYFUNCTION("""COMPUTED_VALUE"""),"NOELIA - CONTA MARCA")</f>
        <v>NOELIA - CONTA MARCA</v>
      </c>
      <c r="L767" s="32">
        <f>IFERROR(__xludf.DUMMYFUNCTION("""COMPUTED_VALUE"""),10.0)</f>
        <v>10</v>
      </c>
      <c r="M767" s="4" t="str">
        <f>IFERROR(__xludf.DUMMYFUNCTION("""COMPUTED_VALUE"""),"Izzy Way Tecnologia")</f>
        <v>Izzy Way Tecnologia</v>
      </c>
      <c r="N767" s="33">
        <f>IFERROR(__xludf.DUMMYFUNCTION("""COMPUTED_VALUE"""),1.0)</f>
        <v>1</v>
      </c>
      <c r="O767" s="4" t="str">
        <f>IFERROR(__xludf.DUMMYFUNCTION("""COMPUTED_VALUE"""),"Izzy Way Tecnologia")</f>
        <v>Izzy Way Tecnologia</v>
      </c>
      <c r="P767" s="33">
        <f>IFERROR(__xludf.DUMMYFUNCTION("""COMPUTED_VALUE"""),1.0)</f>
        <v>1</v>
      </c>
      <c r="Q767" s="4" t="str">
        <f>IFERROR(__xludf.DUMMYFUNCTION("""COMPUTED_VALUE"""),"Izzy Way Tecnologia")</f>
        <v>Izzy Way Tecnologia</v>
      </c>
      <c r="R767" s="33">
        <f>IFERROR(__xludf.DUMMYFUNCTION("""COMPUTED_VALUE"""),1.0)</f>
        <v>1</v>
      </c>
      <c r="S767" s="4" t="str">
        <f>IFERROR(__xludf.DUMMYFUNCTION("""COMPUTED_VALUE"""),"Izzy Way Tecnologia")</f>
        <v>Izzy Way Tecnologia</v>
      </c>
      <c r="T767" s="33">
        <f>IFERROR(__xludf.DUMMYFUNCTION("""COMPUTED_VALUE"""),1.0)</f>
        <v>1</v>
      </c>
      <c r="U767" s="4" t="str">
        <f>IFERROR(__xludf.DUMMYFUNCTION("""COMPUTED_VALUE"""),"Izzy Way Tecnologia")</f>
        <v>Izzy Way Tecnologia</v>
      </c>
      <c r="V767" s="33">
        <f>IFERROR(__xludf.DUMMYFUNCTION("""COMPUTED_VALUE"""),1.0)</f>
        <v>1</v>
      </c>
      <c r="W767" s="4" t="str">
        <f>IFERROR(__xludf.DUMMYFUNCTION("""COMPUTED_VALUE"""),"Izzy Way Tecnologia")</f>
        <v>Izzy Way Tecnologia</v>
      </c>
      <c r="X767" s="33">
        <f>IFERROR(__xludf.DUMMYFUNCTION("""COMPUTED_VALUE"""),1.0)</f>
        <v>1</v>
      </c>
    </row>
    <row r="768">
      <c r="K768" s="4" t="str">
        <f>IFERROR(__xludf.DUMMYFUNCTION("""COMPUTED_VALUE"""),"O FARAO AM")</f>
        <v>O FARAO AM</v>
      </c>
      <c r="L768" s="32">
        <f>IFERROR(__xludf.DUMMYFUNCTION("""COMPUTED_VALUE"""),10.0)</f>
        <v>10</v>
      </c>
      <c r="M768" s="4" t="str">
        <f>IFERROR(__xludf.DUMMYFUNCTION("""COMPUTED_VALUE"""),"Vekttor")</f>
        <v>Vekttor</v>
      </c>
      <c r="N768" s="33">
        <f>IFERROR(__xludf.DUMMYFUNCTION("""COMPUTED_VALUE"""),0.9)</f>
        <v>0.9</v>
      </c>
      <c r="O768" s="4" t="str">
        <f>IFERROR(__xludf.DUMMYFUNCTION("""COMPUTED_VALUE"""),"Vekttor")</f>
        <v>Vekttor</v>
      </c>
      <c r="P768" s="33">
        <f>IFERROR(__xludf.DUMMYFUNCTION("""COMPUTED_VALUE"""),0.9)</f>
        <v>0.9</v>
      </c>
      <c r="Q768" s="4" t="str">
        <f>IFERROR(__xludf.DUMMYFUNCTION("""COMPUTED_VALUE"""),"Vekttor")</f>
        <v>Vekttor</v>
      </c>
      <c r="R768" s="33">
        <f>IFERROR(__xludf.DUMMYFUNCTION("""COMPUTED_VALUE"""),0.9)</f>
        <v>0.9</v>
      </c>
      <c r="S768" s="4" t="str">
        <f>IFERROR(__xludf.DUMMYFUNCTION("""COMPUTED_VALUE"""),"Vekttor")</f>
        <v>Vekttor</v>
      </c>
      <c r="T768" s="33">
        <f>IFERROR(__xludf.DUMMYFUNCTION("""COMPUTED_VALUE"""),1.0)</f>
        <v>1</v>
      </c>
      <c r="U768" s="4" t="str">
        <f>IFERROR(__xludf.DUMMYFUNCTION("""COMPUTED_VALUE"""),"Vekttor")</f>
        <v>Vekttor</v>
      </c>
      <c r="V768" s="33">
        <f>IFERROR(__xludf.DUMMYFUNCTION("""COMPUTED_VALUE"""),1.0)</f>
        <v>1</v>
      </c>
      <c r="W768" s="4" t="str">
        <f>IFERROR(__xludf.DUMMYFUNCTION("""COMPUTED_VALUE"""),"Vekttor")</f>
        <v>Vekttor</v>
      </c>
      <c r="X768" s="33">
        <f>IFERROR(__xludf.DUMMYFUNCTION("""COMPUTED_VALUE"""),1.0)</f>
        <v>1</v>
      </c>
    </row>
    <row r="769">
      <c r="K769" s="4" t="str">
        <f>IFERROR(__xludf.DUMMYFUNCTION("""COMPUTED_VALUE"""),"PARADA OBRIGATORIA - GRACAS")</f>
        <v>PARADA OBRIGATORIA - GRACAS</v>
      </c>
      <c r="L769" s="32">
        <f>IFERROR(__xludf.DUMMYFUNCTION("""COMPUTED_VALUE"""),10.0)</f>
        <v>10</v>
      </c>
      <c r="M769" s="4" t="str">
        <f>IFERROR(__xludf.DUMMYFUNCTION("""COMPUTED_VALUE"""),"Saipos Serviços De Software")</f>
        <v>Saipos Serviços De Software</v>
      </c>
      <c r="N769" s="33">
        <f>IFERROR(__xludf.DUMMYFUNCTION("""COMPUTED_VALUE"""),1.0)</f>
        <v>1</v>
      </c>
      <c r="O769" s="4" t="str">
        <f>IFERROR(__xludf.DUMMYFUNCTION("""COMPUTED_VALUE"""),"Saipos Serviços De Software")</f>
        <v>Saipos Serviços De Software</v>
      </c>
      <c r="P769" s="33">
        <f>IFERROR(__xludf.DUMMYFUNCTION("""COMPUTED_VALUE"""),1.0)</f>
        <v>1</v>
      </c>
      <c r="Q769" s="4" t="str">
        <f>IFERROR(__xludf.DUMMYFUNCTION("""COMPUTED_VALUE"""),"Saipos Serviços De Software")</f>
        <v>Saipos Serviços De Software</v>
      </c>
      <c r="R769" s="33">
        <f>IFERROR(__xludf.DUMMYFUNCTION("""COMPUTED_VALUE"""),1.0)</f>
        <v>1</v>
      </c>
      <c r="S769" s="4" t="str">
        <f>IFERROR(__xludf.DUMMYFUNCTION("""COMPUTED_VALUE"""),"Saipos Serviços De Software")</f>
        <v>Saipos Serviços De Software</v>
      </c>
      <c r="T769" s="33">
        <f>IFERROR(__xludf.DUMMYFUNCTION("""COMPUTED_VALUE"""),1.0)</f>
        <v>1</v>
      </c>
      <c r="U769" s="4" t="str">
        <f>IFERROR(__xludf.DUMMYFUNCTION("""COMPUTED_VALUE"""),"Saipos Serviços De Software")</f>
        <v>Saipos Serviços De Software</v>
      </c>
      <c r="V769" s="33">
        <f>IFERROR(__xludf.DUMMYFUNCTION("""COMPUTED_VALUE"""),1.0)</f>
        <v>1</v>
      </c>
      <c r="W769" s="4" t="str">
        <f>IFERROR(__xludf.DUMMYFUNCTION("""COMPUTED_VALUE"""),"Saipos Serviços De Software")</f>
        <v>Saipos Serviços De Software</v>
      </c>
      <c r="X769" s="33">
        <f>IFERROR(__xludf.DUMMYFUNCTION("""COMPUTED_VALUE"""),1.0)</f>
        <v>1</v>
      </c>
    </row>
    <row r="770">
      <c r="K770" s="4" t="str">
        <f>IFERROR(__xludf.DUMMYFUNCTION("""COMPUTED_VALUE"""),"PARRAXAXA")</f>
        <v>PARRAXAXA</v>
      </c>
      <c r="L770" s="32">
        <f>IFERROR(__xludf.DUMMYFUNCTION("""COMPUTED_VALUE"""),10.0)</f>
        <v>10</v>
      </c>
      <c r="M770" s="4" t="str">
        <f>IFERROR(__xludf.DUMMYFUNCTION("""COMPUTED_VALUE"""),"Totvs Large Enterprise Tecnologia S.a.")</f>
        <v>Totvs Large Enterprise Tecnologia S.a.</v>
      </c>
      <c r="N770" s="33">
        <f>IFERROR(__xludf.DUMMYFUNCTION("""COMPUTED_VALUE"""),1.0)</f>
        <v>1</v>
      </c>
      <c r="O770" s="4" t="str">
        <f>IFERROR(__xludf.DUMMYFUNCTION("""COMPUTED_VALUE"""),"Totvs Large Enterprise Tecnologia S.a.")</f>
        <v>Totvs Large Enterprise Tecnologia S.a.</v>
      </c>
      <c r="P770" s="33">
        <f>IFERROR(__xludf.DUMMYFUNCTION("""COMPUTED_VALUE"""),1.0)</f>
        <v>1</v>
      </c>
      <c r="Q770" s="4" t="str">
        <f>IFERROR(__xludf.DUMMYFUNCTION("""COMPUTED_VALUE"""),"Totvs Large Enterprise Tecnologia S.a.")</f>
        <v>Totvs Large Enterprise Tecnologia S.a.</v>
      </c>
      <c r="R770" s="33">
        <f>IFERROR(__xludf.DUMMYFUNCTION("""COMPUTED_VALUE"""),1.0)</f>
        <v>1</v>
      </c>
      <c r="S770" s="4" t="str">
        <f>IFERROR(__xludf.DUMMYFUNCTION("""COMPUTED_VALUE"""),"Totvs Large Enterprise Tecnologia S.a.")</f>
        <v>Totvs Large Enterprise Tecnologia S.a.</v>
      </c>
      <c r="T770" s="33">
        <f>IFERROR(__xludf.DUMMYFUNCTION("""COMPUTED_VALUE"""),0.9)</f>
        <v>0.9</v>
      </c>
      <c r="U770" s="4" t="str">
        <f>IFERROR(__xludf.DUMMYFUNCTION("""COMPUTED_VALUE"""),"Totvs Large Enterprise Tecnologia S.a.")</f>
        <v>Totvs Large Enterprise Tecnologia S.a.</v>
      </c>
      <c r="V770" s="33">
        <f>IFERROR(__xludf.DUMMYFUNCTION("""COMPUTED_VALUE"""),0.9)</f>
        <v>0.9</v>
      </c>
      <c r="W770" s="4" t="str">
        <f>IFERROR(__xludf.DUMMYFUNCTION("""COMPUTED_VALUE"""),"Totvs Large Enterprise Tecnologia S.a.")</f>
        <v>Totvs Large Enterprise Tecnologia S.a.</v>
      </c>
      <c r="X770" s="33">
        <f>IFERROR(__xludf.DUMMYFUNCTION("""COMPUTED_VALUE"""),0.9)</f>
        <v>0.9</v>
      </c>
    </row>
    <row r="771">
      <c r="K771" s="4" t="str">
        <f>IFERROR(__xludf.DUMMYFUNCTION("""COMPUTED_VALUE"""),"PATRIA PIZZA")</f>
        <v>PATRIA PIZZA</v>
      </c>
      <c r="L771" s="32">
        <f>IFERROR(__xludf.DUMMYFUNCTION("""COMPUTED_VALUE"""),10.0)</f>
        <v>10</v>
      </c>
      <c r="M771" s="4" t="str">
        <f>IFERROR(__xludf.DUMMYFUNCTION("""COMPUTED_VALUE"""),"Saipos Serviços De Software")</f>
        <v>Saipos Serviços De Software</v>
      </c>
      <c r="N771" s="33">
        <f>IFERROR(__xludf.DUMMYFUNCTION("""COMPUTED_VALUE"""),0.7)</f>
        <v>0.7</v>
      </c>
      <c r="O771" s="4" t="str">
        <f>IFERROR(__xludf.DUMMYFUNCTION("""COMPUTED_VALUE"""),"Saipos Serviços De Software")</f>
        <v>Saipos Serviços De Software</v>
      </c>
      <c r="P771" s="33">
        <f>IFERROR(__xludf.DUMMYFUNCTION("""COMPUTED_VALUE"""),0.7)</f>
        <v>0.7</v>
      </c>
      <c r="Q771" s="4" t="str">
        <f>IFERROR(__xludf.DUMMYFUNCTION("""COMPUTED_VALUE"""),"Saipos Serviços De Software")</f>
        <v>Saipos Serviços De Software</v>
      </c>
      <c r="R771" s="33">
        <f>IFERROR(__xludf.DUMMYFUNCTION("""COMPUTED_VALUE"""),0.7)</f>
        <v>0.7</v>
      </c>
      <c r="S771" s="4" t="str">
        <f>IFERROR(__xludf.DUMMYFUNCTION("""COMPUTED_VALUE"""),"Saipos Serviços De Software")</f>
        <v>Saipos Serviços De Software</v>
      </c>
      <c r="T771" s="33">
        <f>IFERROR(__xludf.DUMMYFUNCTION("""COMPUTED_VALUE"""),0.7)</f>
        <v>0.7</v>
      </c>
      <c r="U771" s="4" t="str">
        <f>IFERROR(__xludf.DUMMYFUNCTION("""COMPUTED_VALUE"""),"Saipos Serviços De Software")</f>
        <v>Saipos Serviços De Software</v>
      </c>
      <c r="V771" s="33">
        <f>IFERROR(__xludf.DUMMYFUNCTION("""COMPUTED_VALUE"""),0.7)</f>
        <v>0.7</v>
      </c>
      <c r="W771" s="4" t="str">
        <f>IFERROR(__xludf.DUMMYFUNCTION("""COMPUTED_VALUE"""),"Saipos Serviços De Software")</f>
        <v>Saipos Serviços De Software</v>
      </c>
      <c r="X771" s="33">
        <f>IFERROR(__xludf.DUMMYFUNCTION("""COMPUTED_VALUE"""),0.7)</f>
        <v>0.7</v>
      </c>
    </row>
    <row r="772">
      <c r="K772" s="4" t="str">
        <f>IFERROR(__xludf.DUMMYFUNCTION("""COMPUTED_VALUE"""),"PET SHOP BEM LOCAO - CONTA PAI")</f>
        <v>PET SHOP BEM LOCAO - CONTA PAI</v>
      </c>
      <c r="L772" s="32">
        <f>IFERROR(__xludf.DUMMYFUNCTION("""COMPUTED_VALUE"""),10.0)</f>
        <v>10</v>
      </c>
      <c r="M772" s="4" t="str">
        <f>IFERROR(__xludf.DUMMYFUNCTION("""COMPUTED_VALUE"""),"N/A (Not found)")</f>
        <v>N/A (Not found)</v>
      </c>
      <c r="N772" s="33">
        <f>IFERROR(__xludf.DUMMYFUNCTION("""COMPUTED_VALUE"""),1.0)</f>
        <v>1</v>
      </c>
      <c r="O772" s="4" t="str">
        <f>IFERROR(__xludf.DUMMYFUNCTION("""COMPUTED_VALUE"""),"N/A (Not found)")</f>
        <v>N/A (Not found)</v>
      </c>
      <c r="P772" s="33">
        <f>IFERROR(__xludf.DUMMYFUNCTION("""COMPUTED_VALUE"""),1.0)</f>
        <v>1</v>
      </c>
      <c r="Q772" s="4" t="str">
        <f>IFERROR(__xludf.DUMMYFUNCTION("""COMPUTED_VALUE"""),"N/A (Not found)")</f>
        <v>N/A (Not found)</v>
      </c>
      <c r="R772" s="33">
        <f>IFERROR(__xludf.DUMMYFUNCTION("""COMPUTED_VALUE"""),1.0)</f>
        <v>1</v>
      </c>
      <c r="S772" s="4" t="str">
        <f>IFERROR(__xludf.DUMMYFUNCTION("""COMPUTED_VALUE"""),"N/A (Not found)")</f>
        <v>N/A (Not found)</v>
      </c>
      <c r="T772" s="33">
        <f>IFERROR(__xludf.DUMMYFUNCTION("""COMPUTED_VALUE"""),1.0)</f>
        <v>1</v>
      </c>
      <c r="U772" s="4" t="str">
        <f>IFERROR(__xludf.DUMMYFUNCTION("""COMPUTED_VALUE"""),"N/A (Not found)")</f>
        <v>N/A (Not found)</v>
      </c>
      <c r="V772" s="33">
        <f>IFERROR(__xludf.DUMMYFUNCTION("""COMPUTED_VALUE"""),1.0)</f>
        <v>1</v>
      </c>
      <c r="W772" s="4" t="str">
        <f>IFERROR(__xludf.DUMMYFUNCTION("""COMPUTED_VALUE"""),"N/A (Not found)")</f>
        <v>N/A (Not found)</v>
      </c>
      <c r="X772" s="33">
        <f>IFERROR(__xludf.DUMMYFUNCTION("""COMPUTED_VALUE"""),1.0)</f>
        <v>1</v>
      </c>
    </row>
    <row r="773">
      <c r="K773" s="4" t="str">
        <f>IFERROR(__xludf.DUMMYFUNCTION("""COMPUTED_VALUE"""),"PIZZA ANAPOLIS")</f>
        <v>PIZZA ANAPOLIS</v>
      </c>
      <c r="L773" s="32">
        <f>IFERROR(__xludf.DUMMYFUNCTION("""COMPUTED_VALUE"""),10.0)</f>
        <v>10</v>
      </c>
      <c r="M773" s="4" t="str">
        <f>IFERROR(__xludf.DUMMYFUNCTION("""COMPUTED_VALUE"""),"Saipos Serviços De Software")</f>
        <v>Saipos Serviços De Software</v>
      </c>
      <c r="N773" s="33">
        <f>IFERROR(__xludf.DUMMYFUNCTION("""COMPUTED_VALUE"""),0.9)</f>
        <v>0.9</v>
      </c>
      <c r="O773" s="4" t="str">
        <f>IFERROR(__xludf.DUMMYFUNCTION("""COMPUTED_VALUE"""),"Saipos Serviços De Software")</f>
        <v>Saipos Serviços De Software</v>
      </c>
      <c r="P773" s="33">
        <f>IFERROR(__xludf.DUMMYFUNCTION("""COMPUTED_VALUE"""),0.9)</f>
        <v>0.9</v>
      </c>
      <c r="Q773" s="4" t="str">
        <f>IFERROR(__xludf.DUMMYFUNCTION("""COMPUTED_VALUE"""),"Saipos Serviços De Software")</f>
        <v>Saipos Serviços De Software</v>
      </c>
      <c r="R773" s="33">
        <f>IFERROR(__xludf.DUMMYFUNCTION("""COMPUTED_VALUE"""),0.8)</f>
        <v>0.8</v>
      </c>
      <c r="S773" s="4" t="str">
        <f>IFERROR(__xludf.DUMMYFUNCTION("""COMPUTED_VALUE"""),"Gfr Tec")</f>
        <v>Gfr Tec</v>
      </c>
      <c r="T773" s="33">
        <f>IFERROR(__xludf.DUMMYFUNCTION("""COMPUTED_VALUE"""),0.6)</f>
        <v>0.6</v>
      </c>
      <c r="U773" s="4" t="str">
        <f>IFERROR(__xludf.DUMMYFUNCTION("""COMPUTED_VALUE"""),"Gfr Tec")</f>
        <v>Gfr Tec</v>
      </c>
      <c r="V773" s="33">
        <f>IFERROR(__xludf.DUMMYFUNCTION("""COMPUTED_VALUE"""),0.8)</f>
        <v>0.8</v>
      </c>
      <c r="W773" s="4" t="str">
        <f>IFERROR(__xludf.DUMMYFUNCTION("""COMPUTED_VALUE"""),"Gfr Tec")</f>
        <v>Gfr Tec</v>
      </c>
      <c r="X773" s="33">
        <f>IFERROR(__xludf.DUMMYFUNCTION("""COMPUTED_VALUE"""),0.7)</f>
        <v>0.7</v>
      </c>
    </row>
    <row r="774">
      <c r="K774" s="4" t="str">
        <f>IFERROR(__xludf.DUMMYFUNCTION("""COMPUTED_VALUE"""),"PIZZA SUPREME")</f>
        <v>PIZZA SUPREME</v>
      </c>
      <c r="L774" s="32">
        <f>IFERROR(__xludf.DUMMYFUNCTION("""COMPUTED_VALUE"""),10.0)</f>
        <v>10</v>
      </c>
      <c r="M774" s="4" t="str">
        <f>IFERROR(__xludf.DUMMYFUNCTION("""COMPUTED_VALUE"""),"Saipos Serviços De Software")</f>
        <v>Saipos Serviços De Software</v>
      </c>
      <c r="N774" s="33">
        <f>IFERROR(__xludf.DUMMYFUNCTION("""COMPUTED_VALUE"""),1.0)</f>
        <v>1</v>
      </c>
      <c r="O774" s="4" t="str">
        <f>IFERROR(__xludf.DUMMYFUNCTION("""COMPUTED_VALUE"""),"Saipos Serviços De Software")</f>
        <v>Saipos Serviços De Software</v>
      </c>
      <c r="P774" s="33">
        <f>IFERROR(__xludf.DUMMYFUNCTION("""COMPUTED_VALUE"""),1.0)</f>
        <v>1</v>
      </c>
      <c r="Q774" s="4" t="str">
        <f>IFERROR(__xludf.DUMMYFUNCTION("""COMPUTED_VALUE"""),"Saipos Serviços De Software")</f>
        <v>Saipos Serviços De Software</v>
      </c>
      <c r="R774" s="33">
        <f>IFERROR(__xludf.DUMMYFUNCTION("""COMPUTED_VALUE"""),1.0)</f>
        <v>1</v>
      </c>
      <c r="S774" s="4" t="str">
        <f>IFERROR(__xludf.DUMMYFUNCTION("""COMPUTED_VALUE"""),"Saipos Serviços De Software")</f>
        <v>Saipos Serviços De Software</v>
      </c>
      <c r="T774" s="33">
        <f>IFERROR(__xludf.DUMMYFUNCTION("""COMPUTED_VALUE"""),1.0)</f>
        <v>1</v>
      </c>
      <c r="U774" s="4" t="str">
        <f>IFERROR(__xludf.DUMMYFUNCTION("""COMPUTED_VALUE"""),"Saipos Serviços De Software")</f>
        <v>Saipos Serviços De Software</v>
      </c>
      <c r="V774" s="33">
        <f>IFERROR(__xludf.DUMMYFUNCTION("""COMPUTED_VALUE"""),1.0)</f>
        <v>1</v>
      </c>
      <c r="W774" s="4" t="str">
        <f>IFERROR(__xludf.DUMMYFUNCTION("""COMPUTED_VALUE"""),"Saipos Serviços De Software")</f>
        <v>Saipos Serviços De Software</v>
      </c>
      <c r="X774" s="33">
        <f>IFERROR(__xludf.DUMMYFUNCTION("""COMPUTED_VALUE"""),1.0)</f>
        <v>1</v>
      </c>
    </row>
    <row r="775">
      <c r="K775" s="4" t="str">
        <f>IFERROR(__xludf.DUMMYFUNCTION("""COMPUTED_VALUE"""),"PONTO DO ACAI JP")</f>
        <v>PONTO DO ACAI JP</v>
      </c>
      <c r="L775" s="32">
        <f>IFERROR(__xludf.DUMMYFUNCTION("""COMPUTED_VALUE"""),10.0)</f>
        <v>10</v>
      </c>
      <c r="M775" s="4" t="str">
        <f>IFERROR(__xludf.DUMMYFUNCTION("""COMPUTED_VALUE"""),"Saipos Serviços De Software")</f>
        <v>Saipos Serviços De Software</v>
      </c>
      <c r="N775" s="33">
        <f>IFERROR(__xludf.DUMMYFUNCTION("""COMPUTED_VALUE"""),1.0)</f>
        <v>1</v>
      </c>
      <c r="O775" s="4" t="str">
        <f>IFERROR(__xludf.DUMMYFUNCTION("""COMPUTED_VALUE"""),"Saipos Serviços De Software")</f>
        <v>Saipos Serviços De Software</v>
      </c>
      <c r="P775" s="33">
        <f>IFERROR(__xludf.DUMMYFUNCTION("""COMPUTED_VALUE"""),1.0)</f>
        <v>1</v>
      </c>
      <c r="Q775" s="4" t="str">
        <f>IFERROR(__xludf.DUMMYFUNCTION("""COMPUTED_VALUE"""),"Saipos Serviços De Software")</f>
        <v>Saipos Serviços De Software</v>
      </c>
      <c r="R775" s="33">
        <f>IFERROR(__xludf.DUMMYFUNCTION("""COMPUTED_VALUE"""),1.0)</f>
        <v>1</v>
      </c>
      <c r="S775" s="4" t="str">
        <f>IFERROR(__xludf.DUMMYFUNCTION("""COMPUTED_VALUE"""),"Saipos Serviços De Software")</f>
        <v>Saipos Serviços De Software</v>
      </c>
      <c r="T775" s="33">
        <f>IFERROR(__xludf.DUMMYFUNCTION("""COMPUTED_VALUE"""),0.8)</f>
        <v>0.8</v>
      </c>
      <c r="U775" s="4" t="str">
        <f>IFERROR(__xludf.DUMMYFUNCTION("""COMPUTED_VALUE"""),"Saipos Serviços De Software")</f>
        <v>Saipos Serviços De Software</v>
      </c>
      <c r="V775" s="33">
        <f>IFERROR(__xludf.DUMMYFUNCTION("""COMPUTED_VALUE"""),0.8)</f>
        <v>0.8</v>
      </c>
      <c r="W775" s="4" t="str">
        <f>IFERROR(__xludf.DUMMYFUNCTION("""COMPUTED_VALUE"""),"Saipos Serviços De Software")</f>
        <v>Saipos Serviços De Software</v>
      </c>
      <c r="X775" s="33">
        <f>IFERROR(__xludf.DUMMYFUNCTION("""COMPUTED_VALUE"""),0.8)</f>
        <v>0.8</v>
      </c>
    </row>
    <row r="776">
      <c r="K776" s="4" t="str">
        <f>IFERROR(__xludf.DUMMYFUNCTION("""COMPUTED_VALUE"""),"PROENCA SUPERMERCADOS - CONTA PAI")</f>
        <v>PROENCA SUPERMERCADOS - CONTA PAI</v>
      </c>
      <c r="L776" s="32">
        <f>IFERROR(__xludf.DUMMYFUNCTION("""COMPUTED_VALUE"""),10.0)</f>
        <v>10</v>
      </c>
      <c r="M776" s="4" t="str">
        <f>IFERROR(__xludf.DUMMYFUNCTION("""COMPUTED_VALUE"""),"N/A (Not found)")</f>
        <v>N/A (Not found)</v>
      </c>
      <c r="N776" s="33">
        <f>IFERROR(__xludf.DUMMYFUNCTION("""COMPUTED_VALUE"""),1.0)</f>
        <v>1</v>
      </c>
      <c r="O776" s="4" t="str">
        <f>IFERROR(__xludf.DUMMYFUNCTION("""COMPUTED_VALUE"""),"N/A (Not found)")</f>
        <v>N/A (Not found)</v>
      </c>
      <c r="P776" s="33">
        <f>IFERROR(__xludf.DUMMYFUNCTION("""COMPUTED_VALUE"""),1.0)</f>
        <v>1</v>
      </c>
      <c r="Q776" s="4" t="str">
        <f>IFERROR(__xludf.DUMMYFUNCTION("""COMPUTED_VALUE"""),"N/A (Not found)")</f>
        <v>N/A (Not found)</v>
      </c>
      <c r="R776" s="33">
        <f>IFERROR(__xludf.DUMMYFUNCTION("""COMPUTED_VALUE"""),1.0)</f>
        <v>1</v>
      </c>
      <c r="S776" s="4" t="str">
        <f>IFERROR(__xludf.DUMMYFUNCTION("""COMPUTED_VALUE"""),"N/A (Not found)")</f>
        <v>N/A (Not found)</v>
      </c>
      <c r="T776" s="33">
        <f>IFERROR(__xludf.DUMMYFUNCTION("""COMPUTED_VALUE"""),0.9)</f>
        <v>0.9</v>
      </c>
      <c r="U776" s="4" t="str">
        <f>IFERROR(__xludf.DUMMYFUNCTION("""COMPUTED_VALUE"""),"N/A (Not found)")</f>
        <v>N/A (Not found)</v>
      </c>
      <c r="V776" s="33">
        <f>IFERROR(__xludf.DUMMYFUNCTION("""COMPUTED_VALUE"""),0.9)</f>
        <v>0.9</v>
      </c>
      <c r="W776" s="4" t="str">
        <f>IFERROR(__xludf.DUMMYFUNCTION("""COMPUTED_VALUE"""),"N/A (Not found)")</f>
        <v>N/A (Not found)</v>
      </c>
      <c r="X776" s="33">
        <f>IFERROR(__xludf.DUMMYFUNCTION("""COMPUTED_VALUE"""),0.9)</f>
        <v>0.9</v>
      </c>
    </row>
    <row r="777">
      <c r="K777" s="4" t="str">
        <f>IFERROR(__xludf.DUMMYFUNCTION("""COMPUTED_VALUE"""),"QUALITTA FOOD SERVICE LTDA - MARCA")</f>
        <v>QUALITTA FOOD SERVICE LTDA - MARCA</v>
      </c>
      <c r="L777" s="32">
        <f>IFERROR(__xludf.DUMMYFUNCTION("""COMPUTED_VALUE"""),10.0)</f>
        <v>10</v>
      </c>
      <c r="M777" s="4" t="str">
        <f>IFERROR(__xludf.DUMMYFUNCTION("""COMPUTED_VALUE"""),"Jaxtech")</f>
        <v>Jaxtech</v>
      </c>
      <c r="N777" s="33">
        <f>IFERROR(__xludf.DUMMYFUNCTION("""COMPUTED_VALUE"""),0.9)</f>
        <v>0.9</v>
      </c>
      <c r="O777" s="4" t="str">
        <f>IFERROR(__xludf.DUMMYFUNCTION("""COMPUTED_VALUE"""),"Jaxtech")</f>
        <v>Jaxtech</v>
      </c>
      <c r="P777" s="33">
        <f>IFERROR(__xludf.DUMMYFUNCTION("""COMPUTED_VALUE"""),0.8)</f>
        <v>0.8</v>
      </c>
      <c r="Q777" s="4" t="str">
        <f>IFERROR(__xludf.DUMMYFUNCTION("""COMPUTED_VALUE"""),"null")</f>
        <v>null</v>
      </c>
      <c r="R777" s="33">
        <f>IFERROR(__xludf.DUMMYFUNCTION("""COMPUTED_VALUE"""),0.6)</f>
        <v>0.6</v>
      </c>
      <c r="S777" s="4" t="str">
        <f>IFERROR(__xludf.DUMMYFUNCTION("""COMPUTED_VALUE"""),"Jaxtech")</f>
        <v>Jaxtech</v>
      </c>
      <c r="T777" s="33">
        <f>IFERROR(__xludf.DUMMYFUNCTION("""COMPUTED_VALUE"""),0.7)</f>
        <v>0.7</v>
      </c>
      <c r="U777" s="4" t="str">
        <f>IFERROR(__xludf.DUMMYFUNCTION("""COMPUTED_VALUE"""),"null")</f>
        <v>null</v>
      </c>
      <c r="V777" s="33">
        <f>IFERROR(__xludf.DUMMYFUNCTION("""COMPUTED_VALUE"""),0.5)</f>
        <v>0.5</v>
      </c>
      <c r="W777" s="4" t="str">
        <f>IFERROR(__xludf.DUMMYFUNCTION("""COMPUTED_VALUE"""),"Jaxtech")</f>
        <v>Jaxtech</v>
      </c>
      <c r="X777" s="33">
        <f>IFERROR(__xludf.DUMMYFUNCTION("""COMPUTED_VALUE"""),0.7)</f>
        <v>0.7</v>
      </c>
    </row>
    <row r="778">
      <c r="K778" s="4" t="str">
        <f>IFERROR(__xludf.DUMMYFUNCTION("""COMPUTED_VALUE"""),"QUEIROZ - CONTA GRUPO")</f>
        <v>QUEIROZ - CONTA GRUPO</v>
      </c>
      <c r="L778" s="32">
        <f>IFERROR(__xludf.DUMMYFUNCTION("""COMPUTED_VALUE"""),10.0)</f>
        <v>10</v>
      </c>
      <c r="M778" s="4" t="str">
        <f>IFERROR(__xludf.DUMMYFUNCTION("""COMPUTED_VALUE"""),"N/A (Not found)")</f>
        <v>N/A (Not found)</v>
      </c>
      <c r="N778" s="33">
        <f>IFERROR(__xludf.DUMMYFUNCTION("""COMPUTED_VALUE"""),1.0)</f>
        <v>1</v>
      </c>
      <c r="O778" s="4" t="str">
        <f>IFERROR(__xludf.DUMMYFUNCTION("""COMPUTED_VALUE"""),"N/A (Not found)")</f>
        <v>N/A (Not found)</v>
      </c>
      <c r="P778" s="33">
        <f>IFERROR(__xludf.DUMMYFUNCTION("""COMPUTED_VALUE"""),1.0)</f>
        <v>1</v>
      </c>
      <c r="Q778" s="4" t="str">
        <f>IFERROR(__xludf.DUMMYFUNCTION("""COMPUTED_VALUE"""),"N/A (Not found)")</f>
        <v>N/A (Not found)</v>
      </c>
      <c r="R778" s="33">
        <f>IFERROR(__xludf.DUMMYFUNCTION("""COMPUTED_VALUE"""),1.0)</f>
        <v>1</v>
      </c>
      <c r="S778" s="4" t="str">
        <f>IFERROR(__xludf.DUMMYFUNCTION("""COMPUTED_VALUE"""),"N/A (Not found)")</f>
        <v>N/A (Not found)</v>
      </c>
      <c r="T778" s="33">
        <f>IFERROR(__xludf.DUMMYFUNCTION("""COMPUTED_VALUE"""),1.0)</f>
        <v>1</v>
      </c>
      <c r="U778" s="4" t="str">
        <f>IFERROR(__xludf.DUMMYFUNCTION("""COMPUTED_VALUE"""),"N/A (Not found)")</f>
        <v>N/A (Not found)</v>
      </c>
      <c r="V778" s="33">
        <f>IFERROR(__xludf.DUMMYFUNCTION("""COMPUTED_VALUE"""),1.0)</f>
        <v>1</v>
      </c>
      <c r="W778" s="4" t="str">
        <f>IFERROR(__xludf.DUMMYFUNCTION("""COMPUTED_VALUE"""),"N/A (Not found)")</f>
        <v>N/A (Not found)</v>
      </c>
      <c r="X778" s="33">
        <f>IFERROR(__xludf.DUMMYFUNCTION("""COMPUTED_VALUE"""),1.0)</f>
        <v>1</v>
      </c>
    </row>
    <row r="779">
      <c r="K779" s="4" t="str">
        <f>IFERROR(__xludf.DUMMYFUNCTION("""COMPUTED_VALUE"""),"REDE ECONOMIA SUPER PAX - CONTA GRUPO")</f>
        <v>REDE ECONOMIA SUPER PAX - CONTA GRUPO</v>
      </c>
      <c r="L779" s="32">
        <f>IFERROR(__xludf.DUMMYFUNCTION("""COMPUTED_VALUE"""),10.0)</f>
        <v>10</v>
      </c>
      <c r="M779" s="4" t="str">
        <f>IFERROR(__xludf.DUMMYFUNCTION("""COMPUTED_VALUE"""),"N/A (Not found)")</f>
        <v>N/A (Not found)</v>
      </c>
      <c r="N779" s="33">
        <f>IFERROR(__xludf.DUMMYFUNCTION("""COMPUTED_VALUE"""),1.0)</f>
        <v>1</v>
      </c>
      <c r="O779" s="4" t="str">
        <f>IFERROR(__xludf.DUMMYFUNCTION("""COMPUTED_VALUE"""),"N/A (Not found)")</f>
        <v>N/A (Not found)</v>
      </c>
      <c r="P779" s="33">
        <f>IFERROR(__xludf.DUMMYFUNCTION("""COMPUTED_VALUE"""),1.0)</f>
        <v>1</v>
      </c>
      <c r="Q779" s="4" t="str">
        <f>IFERROR(__xludf.DUMMYFUNCTION("""COMPUTED_VALUE"""),"N/A (Not found)")</f>
        <v>N/A (Not found)</v>
      </c>
      <c r="R779" s="33">
        <f>IFERROR(__xludf.DUMMYFUNCTION("""COMPUTED_VALUE"""),1.0)</f>
        <v>1</v>
      </c>
      <c r="S779" s="4" t="str">
        <f>IFERROR(__xludf.DUMMYFUNCTION("""COMPUTED_VALUE"""),"N/A (Not found)")</f>
        <v>N/A (Not found)</v>
      </c>
      <c r="T779" s="33">
        <f>IFERROR(__xludf.DUMMYFUNCTION("""COMPUTED_VALUE"""),1.0)</f>
        <v>1</v>
      </c>
      <c r="U779" s="4" t="str">
        <f>IFERROR(__xludf.DUMMYFUNCTION("""COMPUTED_VALUE"""),"N/A (Not found)")</f>
        <v>N/A (Not found)</v>
      </c>
      <c r="V779" s="33">
        <f>IFERROR(__xludf.DUMMYFUNCTION("""COMPUTED_VALUE"""),1.0)</f>
        <v>1</v>
      </c>
      <c r="W779" s="4" t="str">
        <f>IFERROR(__xludf.DUMMYFUNCTION("""COMPUTED_VALUE"""),"N/A (Not found)")</f>
        <v>N/A (Not found)</v>
      </c>
      <c r="X779" s="33">
        <f>IFERROR(__xludf.DUMMYFUNCTION("""COMPUTED_VALUE"""),1.0)</f>
        <v>1</v>
      </c>
    </row>
    <row r="780">
      <c r="K780" s="4" t="str">
        <f>IFERROR(__xludf.DUMMYFUNCTION("""COMPUTED_VALUE"""),"GRUPO RUBAIYAT")</f>
        <v>GRUPO RUBAIYAT</v>
      </c>
      <c r="L780" s="32">
        <f>IFERROR(__xludf.DUMMYFUNCTION("""COMPUTED_VALUE"""),10.0)</f>
        <v>10</v>
      </c>
      <c r="M780" s="4" t="str">
        <f>IFERROR(__xludf.DUMMYFUNCTION("""COMPUTED_VALUE"""),"Rubaiyat")</f>
        <v>Rubaiyat</v>
      </c>
      <c r="N780" s="33">
        <f>IFERROR(__xludf.DUMMYFUNCTION("""COMPUTED_VALUE"""),0.9)</f>
        <v>0.9</v>
      </c>
      <c r="O780" s="4" t="str">
        <f>IFERROR(__xludf.DUMMYFUNCTION("""COMPUTED_VALUE"""),"Rubaiyat")</f>
        <v>Rubaiyat</v>
      </c>
      <c r="P780" s="33">
        <f>IFERROR(__xludf.DUMMYFUNCTION("""COMPUTED_VALUE"""),0.9)</f>
        <v>0.9</v>
      </c>
      <c r="Q780" s="4" t="str">
        <f>IFERROR(__xludf.DUMMYFUNCTION("""COMPUTED_VALUE"""),"Rubaiyat")</f>
        <v>Rubaiyat</v>
      </c>
      <c r="R780" s="33">
        <f>IFERROR(__xludf.DUMMYFUNCTION("""COMPUTED_VALUE"""),0.9)</f>
        <v>0.9</v>
      </c>
      <c r="S780" s="4" t="str">
        <f>IFERROR(__xludf.DUMMYFUNCTION("""COMPUTED_VALUE"""),"Rubaiyat")</f>
        <v>Rubaiyat</v>
      </c>
      <c r="T780" s="33">
        <f>IFERROR(__xludf.DUMMYFUNCTION("""COMPUTED_VALUE"""),0.9)</f>
        <v>0.9</v>
      </c>
      <c r="U780" s="4" t="str">
        <f>IFERROR(__xludf.DUMMYFUNCTION("""COMPUTED_VALUE"""),"Rubaiyat")</f>
        <v>Rubaiyat</v>
      </c>
      <c r="V780" s="33">
        <f>IFERROR(__xludf.DUMMYFUNCTION("""COMPUTED_VALUE"""),1.0)</f>
        <v>1</v>
      </c>
      <c r="W780" s="4" t="str">
        <f>IFERROR(__xludf.DUMMYFUNCTION("""COMPUTED_VALUE"""),"Rubaiyat")</f>
        <v>Rubaiyat</v>
      </c>
      <c r="X780" s="33">
        <f>IFERROR(__xludf.DUMMYFUNCTION("""COMPUTED_VALUE"""),1.0)</f>
        <v>1</v>
      </c>
    </row>
    <row r="781">
      <c r="K781" s="4" t="str">
        <f>IFERROR(__xludf.DUMMYFUNCTION("""COMPUTED_VALUE"""),"SIRENE FISH CHIPS")</f>
        <v>SIRENE FISH CHIPS</v>
      </c>
      <c r="L781" s="32">
        <f>IFERROR(__xludf.DUMMYFUNCTION("""COMPUTED_VALUE"""),10.0)</f>
        <v>10</v>
      </c>
      <c r="M781" s="4" t="str">
        <f>IFERROR(__xludf.DUMMYFUNCTION("""COMPUTED_VALUE"""),"Cloudfy")</f>
        <v>Cloudfy</v>
      </c>
      <c r="N781" s="33">
        <f>IFERROR(__xludf.DUMMYFUNCTION("""COMPUTED_VALUE"""),0.9)</f>
        <v>0.9</v>
      </c>
      <c r="O781" s="4" t="str">
        <f>IFERROR(__xludf.DUMMYFUNCTION("""COMPUTED_VALUE"""),"Cloudfy")</f>
        <v>Cloudfy</v>
      </c>
      <c r="P781" s="33">
        <f>IFERROR(__xludf.DUMMYFUNCTION("""COMPUTED_VALUE"""),0.7)</f>
        <v>0.7</v>
      </c>
      <c r="Q781" s="4" t="str">
        <f>IFERROR(__xludf.DUMMYFUNCTION("""COMPUTED_VALUE"""),"Cloudfy")</f>
        <v>Cloudfy</v>
      </c>
      <c r="R781" s="33">
        <f>IFERROR(__xludf.DUMMYFUNCTION("""COMPUTED_VALUE"""),0.6)</f>
        <v>0.6</v>
      </c>
      <c r="S781" s="4" t="str">
        <f>IFERROR(__xludf.DUMMYFUNCTION("""COMPUTED_VALUE"""),"Cloudfy")</f>
        <v>Cloudfy</v>
      </c>
      <c r="T781" s="33">
        <f>IFERROR(__xludf.DUMMYFUNCTION("""COMPUTED_VALUE"""),0.6)</f>
        <v>0.6</v>
      </c>
      <c r="U781" s="4" t="str">
        <f>IFERROR(__xludf.DUMMYFUNCTION("""COMPUTED_VALUE"""),"Cloudfy")</f>
        <v>Cloudfy</v>
      </c>
      <c r="V781" s="33">
        <f>IFERROR(__xludf.DUMMYFUNCTION("""COMPUTED_VALUE"""),0.8)</f>
        <v>0.8</v>
      </c>
      <c r="W781" s="4" t="str">
        <f>IFERROR(__xludf.DUMMYFUNCTION("""COMPUTED_VALUE"""),"Cloudfy")</f>
        <v>Cloudfy</v>
      </c>
      <c r="X781" s="33">
        <f>IFERROR(__xludf.DUMMYFUNCTION("""COMPUTED_VALUE"""),0.7)</f>
        <v>0.7</v>
      </c>
    </row>
    <row r="782">
      <c r="K782" s="4" t="str">
        <f>IFERROR(__xludf.DUMMYFUNCTION("""COMPUTED_VALUE"""),"SOGGIORNO")</f>
        <v>SOGGIORNO</v>
      </c>
      <c r="L782" s="32">
        <f>IFERROR(__xludf.DUMMYFUNCTION("""COMPUTED_VALUE"""),10.0)</f>
        <v>10</v>
      </c>
      <c r="M782" s="4" t="str">
        <f>IFERROR(__xludf.DUMMYFUNCTION("""COMPUTED_VALUE"""),"Saipos Serviços De Software")</f>
        <v>Saipos Serviços De Software</v>
      </c>
      <c r="N782" s="33">
        <f>IFERROR(__xludf.DUMMYFUNCTION("""COMPUTED_VALUE"""),0.5)</f>
        <v>0.5</v>
      </c>
      <c r="O782" s="4" t="str">
        <f>IFERROR(__xludf.DUMMYFUNCTION("""COMPUTED_VALUE"""),"Saipos Serviços De Software")</f>
        <v>Saipos Serviços De Software</v>
      </c>
      <c r="P782" s="33">
        <f>IFERROR(__xludf.DUMMYFUNCTION("""COMPUTED_VALUE"""),0.5)</f>
        <v>0.5</v>
      </c>
      <c r="Q782" s="4" t="str">
        <f>IFERROR(__xludf.DUMMYFUNCTION("""COMPUTED_VALUE"""),"Saipos Serviços De Software")</f>
        <v>Saipos Serviços De Software</v>
      </c>
      <c r="R782" s="33">
        <f>IFERROR(__xludf.DUMMYFUNCTION("""COMPUTED_VALUE"""),0.5)</f>
        <v>0.5</v>
      </c>
      <c r="S782" s="4" t="str">
        <f>IFERROR(__xludf.DUMMYFUNCTION("""COMPUTED_VALUE"""),"Saipos Serviços De Software")</f>
        <v>Saipos Serviços De Software</v>
      </c>
      <c r="T782" s="33">
        <f>IFERROR(__xludf.DUMMYFUNCTION("""COMPUTED_VALUE"""),0.5)</f>
        <v>0.5</v>
      </c>
      <c r="U782" s="4" t="str">
        <f>IFERROR(__xludf.DUMMYFUNCTION("""COMPUTED_VALUE"""),"Saipos Serviços De Software")</f>
        <v>Saipos Serviços De Software</v>
      </c>
      <c r="V782" s="33">
        <f>IFERROR(__xludf.DUMMYFUNCTION("""COMPUTED_VALUE"""),0.5)</f>
        <v>0.5</v>
      </c>
      <c r="W782" s="4" t="str">
        <f>IFERROR(__xludf.DUMMYFUNCTION("""COMPUTED_VALUE"""),"Saipos Serviços De Software")</f>
        <v>Saipos Serviços De Software</v>
      </c>
      <c r="X782" s="33">
        <f>IFERROR(__xludf.DUMMYFUNCTION("""COMPUTED_VALUE"""),0.5)</f>
        <v>0.5</v>
      </c>
    </row>
    <row r="783">
      <c r="K783" s="4" t="str">
        <f>IFERROR(__xludf.DUMMYFUNCTION("""COMPUTED_VALUE"""),"SUPER BARAO SUPERMERCADO - CONTA MARCA")</f>
        <v>SUPER BARAO SUPERMERCADO - CONTA MARCA</v>
      </c>
      <c r="L783" s="32">
        <f>IFERROR(__xludf.DUMMYFUNCTION("""COMPUTED_VALUE"""),10.0)</f>
        <v>10</v>
      </c>
      <c r="M783" s="4" t="str">
        <f>IFERROR(__xludf.DUMMYFUNCTION("""COMPUTED_VALUE"""),"N/A (Not found)")</f>
        <v>N/A (Not found)</v>
      </c>
      <c r="N783" s="33">
        <f>IFERROR(__xludf.DUMMYFUNCTION("""COMPUTED_VALUE"""),1.0)</f>
        <v>1</v>
      </c>
      <c r="O783" s="4" t="str">
        <f>IFERROR(__xludf.DUMMYFUNCTION("""COMPUTED_VALUE"""),"N/A (Not found)")</f>
        <v>N/A (Not found)</v>
      </c>
      <c r="P783" s="33">
        <f>IFERROR(__xludf.DUMMYFUNCTION("""COMPUTED_VALUE"""),0.9)</f>
        <v>0.9</v>
      </c>
      <c r="Q783" s="4" t="str">
        <f>IFERROR(__xludf.DUMMYFUNCTION("""COMPUTED_VALUE"""),"N/A (Not found)")</f>
        <v>N/A (Not found)</v>
      </c>
      <c r="R783" s="33">
        <f>IFERROR(__xludf.DUMMYFUNCTION("""COMPUTED_VALUE"""),0.8)</f>
        <v>0.8</v>
      </c>
      <c r="S783" s="4" t="str">
        <f>IFERROR(__xludf.DUMMYFUNCTION("""COMPUTED_VALUE"""),"N/A (Not found)")</f>
        <v>N/A (Not found)</v>
      </c>
      <c r="T783" s="33">
        <f>IFERROR(__xludf.DUMMYFUNCTION("""COMPUTED_VALUE"""),0.8)</f>
        <v>0.8</v>
      </c>
      <c r="U783" s="4" t="str">
        <f>IFERROR(__xludf.DUMMYFUNCTION("""COMPUTED_VALUE"""),"N/A (Not found)")</f>
        <v>N/A (Not found)</v>
      </c>
      <c r="V783" s="33">
        <f>IFERROR(__xludf.DUMMYFUNCTION("""COMPUTED_VALUE"""),0.8)</f>
        <v>0.8</v>
      </c>
      <c r="W783" s="4" t="str">
        <f>IFERROR(__xludf.DUMMYFUNCTION("""COMPUTED_VALUE"""),"N/A (Not found)")</f>
        <v>N/A (Not found)</v>
      </c>
      <c r="X783" s="33">
        <f>IFERROR(__xludf.DUMMYFUNCTION("""COMPUTED_VALUE"""),0.6)</f>
        <v>0.6</v>
      </c>
    </row>
    <row r="784">
      <c r="K784" s="4" t="str">
        <f>IFERROR(__xludf.DUMMYFUNCTION("""COMPUTED_VALUE"""),"SUPERMERCADOS CASA DO SABAO - CONTA PAI")</f>
        <v>SUPERMERCADOS CASA DO SABAO - CONTA PAI</v>
      </c>
      <c r="L784" s="32">
        <f>IFERROR(__xludf.DUMMYFUNCTION("""COMPUTED_VALUE"""),10.0)</f>
        <v>10</v>
      </c>
      <c r="M784" s="4" t="str">
        <f>IFERROR(__xludf.DUMMYFUNCTION("""COMPUTED_VALUE"""),"N/A (Not found)")</f>
        <v>N/A (Not found)</v>
      </c>
      <c r="N784" s="33">
        <f>IFERROR(__xludf.DUMMYFUNCTION("""COMPUTED_VALUE"""),1.0)</f>
        <v>1</v>
      </c>
      <c r="O784" s="4" t="str">
        <f>IFERROR(__xludf.DUMMYFUNCTION("""COMPUTED_VALUE"""),"N/A (Not found)")</f>
        <v>N/A (Not found)</v>
      </c>
      <c r="P784" s="33">
        <f>IFERROR(__xludf.DUMMYFUNCTION("""COMPUTED_VALUE"""),1.0)</f>
        <v>1</v>
      </c>
      <c r="Q784" s="4" t="str">
        <f>IFERROR(__xludf.DUMMYFUNCTION("""COMPUTED_VALUE"""),"N/A (Not found)")</f>
        <v>N/A (Not found)</v>
      </c>
      <c r="R784" s="33">
        <f>IFERROR(__xludf.DUMMYFUNCTION("""COMPUTED_VALUE"""),0.9)</f>
        <v>0.9</v>
      </c>
      <c r="S784" s="4" t="str">
        <f>IFERROR(__xludf.DUMMYFUNCTION("""COMPUTED_VALUE"""),"N/A (Not found)")</f>
        <v>N/A (Not found)</v>
      </c>
      <c r="T784" s="33">
        <f>IFERROR(__xludf.DUMMYFUNCTION("""COMPUTED_VALUE"""),0.9)</f>
        <v>0.9</v>
      </c>
      <c r="U784" s="4" t="str">
        <f>IFERROR(__xludf.DUMMYFUNCTION("""COMPUTED_VALUE"""),"N/A (Not found)")</f>
        <v>N/A (Not found)</v>
      </c>
      <c r="V784" s="33">
        <f>IFERROR(__xludf.DUMMYFUNCTION("""COMPUTED_VALUE"""),0.9)</f>
        <v>0.9</v>
      </c>
      <c r="W784" s="4" t="str">
        <f>IFERROR(__xludf.DUMMYFUNCTION("""COMPUTED_VALUE"""),"N/A (Not found)")</f>
        <v>N/A (Not found)</v>
      </c>
      <c r="X784" s="33">
        <f>IFERROR(__xludf.DUMMYFUNCTION("""COMPUTED_VALUE"""),0.9)</f>
        <v>0.9</v>
      </c>
    </row>
    <row r="785">
      <c r="K785" s="4" t="str">
        <f>IFERROR(__xludf.DUMMYFUNCTION("""COMPUTED_VALUE"""),"TRACK FIELD CAFE - CONTA PAI")</f>
        <v>TRACK FIELD CAFE - CONTA PAI</v>
      </c>
      <c r="L785" s="32">
        <f>IFERROR(__xludf.DUMMYFUNCTION("""COMPUTED_VALUE"""),10.0)</f>
        <v>10</v>
      </c>
      <c r="M785" s="4" t="str">
        <f>IFERROR(__xludf.DUMMYFUNCTION("""COMPUTED_VALUE"""),"Ciss S.a Gestao Para O Varejo")</f>
        <v>Ciss S.a Gestao Para O Varejo</v>
      </c>
      <c r="N785" s="33">
        <f>IFERROR(__xludf.DUMMYFUNCTION("""COMPUTED_VALUE"""),0.7)</f>
        <v>0.7</v>
      </c>
      <c r="O785" s="4" t="str">
        <f>IFERROR(__xludf.DUMMYFUNCTION("""COMPUTED_VALUE"""),"Ciss S.a Gestao Para O Varejo")</f>
        <v>Ciss S.a Gestao Para O Varejo</v>
      </c>
      <c r="P785" s="33">
        <f>IFERROR(__xludf.DUMMYFUNCTION("""COMPUTED_VALUE"""),0.7)</f>
        <v>0.7</v>
      </c>
      <c r="Q785" s="4" t="str">
        <f>IFERROR(__xludf.DUMMYFUNCTION("""COMPUTED_VALUE"""),"Ciss S.a Gestao Para O Varejo")</f>
        <v>Ciss S.a Gestao Para O Varejo</v>
      </c>
      <c r="R785" s="33">
        <f>IFERROR(__xludf.DUMMYFUNCTION("""COMPUTED_VALUE"""),0.6)</f>
        <v>0.6</v>
      </c>
      <c r="S785" s="4" t="str">
        <f>IFERROR(__xludf.DUMMYFUNCTION("""COMPUTED_VALUE"""),"Ciss S.a Gestao Para O Varejo")</f>
        <v>Ciss S.a Gestao Para O Varejo</v>
      </c>
      <c r="T785" s="33">
        <f>IFERROR(__xludf.DUMMYFUNCTION("""COMPUTED_VALUE"""),0.6)</f>
        <v>0.6</v>
      </c>
      <c r="U785" s="4" t="str">
        <f>IFERROR(__xludf.DUMMYFUNCTION("""COMPUTED_VALUE"""),"Ciss S.a Gestao Para O Varejo")</f>
        <v>Ciss S.a Gestao Para O Varejo</v>
      </c>
      <c r="V785" s="33">
        <f>IFERROR(__xludf.DUMMYFUNCTION("""COMPUTED_VALUE"""),0.9)</f>
        <v>0.9</v>
      </c>
      <c r="W785" s="4" t="str">
        <f>IFERROR(__xludf.DUMMYFUNCTION("""COMPUTED_VALUE"""),"Ciss S.a Gestao Para O Varejo")</f>
        <v>Ciss S.a Gestao Para O Varejo</v>
      </c>
      <c r="X785" s="33">
        <f>IFERROR(__xludf.DUMMYFUNCTION("""COMPUTED_VALUE"""),0.8)</f>
        <v>0.8</v>
      </c>
    </row>
    <row r="786">
      <c r="K786" s="4" t="str">
        <f>IFERROR(__xludf.DUMMYFUNCTION("""COMPUTED_VALUE"""),"TRUDYSSSS PIZZARIA E RESTAURANTE - CONTA PAI")</f>
        <v>TRUDYSSSS PIZZARIA E RESTAURANTE - CONTA PAI</v>
      </c>
      <c r="L786" s="32">
        <f>IFERROR(__xludf.DUMMYFUNCTION("""COMPUTED_VALUE"""),10.0)</f>
        <v>10</v>
      </c>
      <c r="M786" s="4" t="str">
        <f>IFERROR(__xludf.DUMMYFUNCTION("""COMPUTED_VALUE"""),"null")</f>
        <v>null</v>
      </c>
      <c r="N786" s="33">
        <f>IFERROR(__xludf.DUMMYFUNCTION("""COMPUTED_VALUE"""),0.9)</f>
        <v>0.9</v>
      </c>
      <c r="O786" s="4" t="str">
        <f>IFERROR(__xludf.DUMMYFUNCTION("""COMPUTED_VALUE"""),"null")</f>
        <v>null</v>
      </c>
      <c r="P786" s="33">
        <f>IFERROR(__xludf.DUMMYFUNCTION("""COMPUTED_VALUE"""),1.0)</f>
        <v>1</v>
      </c>
      <c r="Q786" s="4" t="str">
        <f>IFERROR(__xludf.DUMMYFUNCTION("""COMPUTED_VALUE"""),"null")</f>
        <v>null</v>
      </c>
      <c r="R786" s="33">
        <f>IFERROR(__xludf.DUMMYFUNCTION("""COMPUTED_VALUE"""),0.9)</f>
        <v>0.9</v>
      </c>
      <c r="S786" s="4" t="str">
        <f>IFERROR(__xludf.DUMMYFUNCTION("""COMPUTED_VALUE"""),"null")</f>
        <v>null</v>
      </c>
      <c r="T786" s="33">
        <f>IFERROR(__xludf.DUMMYFUNCTION("""COMPUTED_VALUE"""),0.8)</f>
        <v>0.8</v>
      </c>
      <c r="U786" s="4" t="str">
        <f>IFERROR(__xludf.DUMMYFUNCTION("""COMPUTED_VALUE"""),"Zanthus Comercio E Servicos Ltda")</f>
        <v>Zanthus Comercio E Servicos Ltda</v>
      </c>
      <c r="V786" s="33">
        <f>IFERROR(__xludf.DUMMYFUNCTION("""COMPUTED_VALUE"""),0.7)</f>
        <v>0.7</v>
      </c>
      <c r="W786" s="4" t="str">
        <f>IFERROR(__xludf.DUMMYFUNCTION("""COMPUTED_VALUE"""),"Zanthus Comercio E Servicos Ltda")</f>
        <v>Zanthus Comercio E Servicos Ltda</v>
      </c>
      <c r="X786" s="33">
        <f>IFERROR(__xludf.DUMMYFUNCTION("""COMPUTED_VALUE"""),0.9)</f>
        <v>0.9</v>
      </c>
    </row>
    <row r="787">
      <c r="K787" s="4" t="str">
        <f>IFERROR(__xludf.DUMMYFUNCTION("""COMPUTED_VALUE"""),"GRUPO VILLA ACORIANA PIZZARIA")</f>
        <v>GRUPO VILLA ACORIANA PIZZARIA</v>
      </c>
      <c r="L787" s="32">
        <f>IFERROR(__xludf.DUMMYFUNCTION("""COMPUTED_VALUE"""),10.0)</f>
        <v>10</v>
      </c>
      <c r="M787" s="4" t="str">
        <f>IFERROR(__xludf.DUMMYFUNCTION("""COMPUTED_VALUE"""),"Saipos Serviços De Software")</f>
        <v>Saipos Serviços De Software</v>
      </c>
      <c r="N787" s="33">
        <f>IFERROR(__xludf.DUMMYFUNCTION("""COMPUTED_VALUE"""),1.0)</f>
        <v>1</v>
      </c>
      <c r="O787" s="4" t="str">
        <f>IFERROR(__xludf.DUMMYFUNCTION("""COMPUTED_VALUE"""),"Saipos Serviços De Software")</f>
        <v>Saipos Serviços De Software</v>
      </c>
      <c r="P787" s="33">
        <f>IFERROR(__xludf.DUMMYFUNCTION("""COMPUTED_VALUE"""),1.0)</f>
        <v>1</v>
      </c>
      <c r="Q787" s="4" t="str">
        <f>IFERROR(__xludf.DUMMYFUNCTION("""COMPUTED_VALUE"""),"Saipos Serviços De Software")</f>
        <v>Saipos Serviços De Software</v>
      </c>
      <c r="R787" s="33">
        <f>IFERROR(__xludf.DUMMYFUNCTION("""COMPUTED_VALUE"""),1.0)</f>
        <v>1</v>
      </c>
      <c r="S787" s="4" t="str">
        <f>IFERROR(__xludf.DUMMYFUNCTION("""COMPUTED_VALUE"""),"Saipos Serviços De Software")</f>
        <v>Saipos Serviços De Software</v>
      </c>
      <c r="T787" s="33">
        <f>IFERROR(__xludf.DUMMYFUNCTION("""COMPUTED_VALUE"""),1.0)</f>
        <v>1</v>
      </c>
      <c r="U787" s="4" t="str">
        <f>IFERROR(__xludf.DUMMYFUNCTION("""COMPUTED_VALUE"""),"Saipos Serviços De Software")</f>
        <v>Saipos Serviços De Software</v>
      </c>
      <c r="V787" s="33">
        <f>IFERROR(__xludf.DUMMYFUNCTION("""COMPUTED_VALUE"""),1.0)</f>
        <v>1</v>
      </c>
      <c r="W787" s="4" t="str">
        <f>IFERROR(__xludf.DUMMYFUNCTION("""COMPUTED_VALUE"""),"Saipos Serviços De Software")</f>
        <v>Saipos Serviços De Software</v>
      </c>
      <c r="X787" s="33">
        <f>IFERROR(__xludf.DUMMYFUNCTION("""COMPUTED_VALUE"""),1.0)</f>
        <v>1</v>
      </c>
    </row>
    <row r="788">
      <c r="K788" s="4" t="str">
        <f>IFERROR(__xludf.DUMMYFUNCTION("""COMPUTED_VALUE"""),"AMERICAN BURGER")</f>
        <v>AMERICAN BURGER</v>
      </c>
      <c r="L788" s="32">
        <f>IFERROR(__xludf.DUMMYFUNCTION("""COMPUTED_VALUE"""),9.0)</f>
        <v>9</v>
      </c>
      <c r="M788" s="4" t="str">
        <f>IFERROR(__xludf.DUMMYFUNCTION("""COMPUTED_VALUE"""),"null")</f>
        <v>null</v>
      </c>
      <c r="N788" s="33">
        <f>IFERROR(__xludf.DUMMYFUNCTION("""COMPUTED_VALUE"""),0.4444444444444444)</f>
        <v>0.4444444444</v>
      </c>
      <c r="O788" s="4" t="str">
        <f>IFERROR(__xludf.DUMMYFUNCTION("""COMPUTED_VALUE"""),"null")</f>
        <v>null</v>
      </c>
      <c r="P788" s="33">
        <f>IFERROR(__xludf.DUMMYFUNCTION("""COMPUTED_VALUE"""),0.5555555555555556)</f>
        <v>0.5555555556</v>
      </c>
      <c r="Q788" s="4" t="str">
        <f>IFERROR(__xludf.DUMMYFUNCTION("""COMPUTED_VALUE"""),"null")</f>
        <v>null</v>
      </c>
      <c r="R788" s="33">
        <f>IFERROR(__xludf.DUMMYFUNCTION("""COMPUTED_VALUE"""),0.3333333333333333)</f>
        <v>0.3333333333</v>
      </c>
      <c r="S788" s="4" t="str">
        <f>IFERROR(__xludf.DUMMYFUNCTION("""COMPUTED_VALUE"""),"null")</f>
        <v>null</v>
      </c>
      <c r="T788" s="33">
        <f>IFERROR(__xludf.DUMMYFUNCTION("""COMPUTED_VALUE"""),0.4444444444444444)</f>
        <v>0.4444444444</v>
      </c>
      <c r="U788" s="4" t="str">
        <f>IFERROR(__xludf.DUMMYFUNCTION("""COMPUTED_VALUE"""),"null")</f>
        <v>null</v>
      </c>
      <c r="V788" s="33">
        <f>IFERROR(__xludf.DUMMYFUNCTION("""COMPUTED_VALUE"""),0.4444444444444444)</f>
        <v>0.4444444444</v>
      </c>
      <c r="W788" s="4" t="str">
        <f>IFERROR(__xludf.DUMMYFUNCTION("""COMPUTED_VALUE"""),"null")</f>
        <v>null</v>
      </c>
      <c r="X788" s="33">
        <f>IFERROR(__xludf.DUMMYFUNCTION("""COMPUTED_VALUE"""),0.4444444444444444)</f>
        <v>0.4444444444</v>
      </c>
    </row>
    <row r="789">
      <c r="K789" s="4" t="str">
        <f>IFERROR(__xludf.DUMMYFUNCTION("""COMPUTED_VALUE"""),"DROGARIA POPULAR")</f>
        <v>DROGARIA POPULAR</v>
      </c>
      <c r="L789" s="32">
        <f>IFERROR(__xludf.DUMMYFUNCTION("""COMPUTED_VALUE"""),9.0)</f>
        <v>9</v>
      </c>
      <c r="M789" s="4" t="str">
        <f>IFERROR(__xludf.DUMMYFUNCTION("""COMPUTED_VALUE"""),"N/A (Not found)")</f>
        <v>N/A (Not found)</v>
      </c>
      <c r="N789" s="33">
        <f>IFERROR(__xludf.DUMMYFUNCTION("""COMPUTED_VALUE"""),0.6666666666666666)</f>
        <v>0.6666666667</v>
      </c>
      <c r="O789" s="4" t="str">
        <f>IFERROR(__xludf.DUMMYFUNCTION("""COMPUTED_VALUE"""),"N/A (Not found)")</f>
        <v>N/A (Not found)</v>
      </c>
      <c r="P789" s="33">
        <f>IFERROR(__xludf.DUMMYFUNCTION("""COMPUTED_VALUE"""),0.7777777777777778)</f>
        <v>0.7777777778</v>
      </c>
      <c r="Q789" s="4" t="str">
        <f>IFERROR(__xludf.DUMMYFUNCTION("""COMPUTED_VALUE"""),"N/A (Not found)")</f>
        <v>N/A (Not found)</v>
      </c>
      <c r="R789" s="33">
        <f>IFERROR(__xludf.DUMMYFUNCTION("""COMPUTED_VALUE"""),0.8888888888888888)</f>
        <v>0.8888888889</v>
      </c>
      <c r="S789" s="4" t="str">
        <f>IFERROR(__xludf.DUMMYFUNCTION("""COMPUTED_VALUE"""),"N/A (Not found)")</f>
        <v>N/A (Not found)</v>
      </c>
      <c r="T789" s="33">
        <f>IFERROR(__xludf.DUMMYFUNCTION("""COMPUTED_VALUE"""),0.6666666666666666)</f>
        <v>0.6666666667</v>
      </c>
      <c r="U789" s="4" t="str">
        <f>IFERROR(__xludf.DUMMYFUNCTION("""COMPUTED_VALUE"""),"N/A (Not found)")</f>
        <v>N/A (Not found)</v>
      </c>
      <c r="V789" s="33">
        <f>IFERROR(__xludf.DUMMYFUNCTION("""COMPUTED_VALUE"""),0.7777777777777778)</f>
        <v>0.7777777778</v>
      </c>
      <c r="W789" s="4" t="str">
        <f>IFERROR(__xludf.DUMMYFUNCTION("""COMPUTED_VALUE"""),"N/A (Not found)")</f>
        <v>N/A (Not found)</v>
      </c>
      <c r="X789" s="33">
        <f>IFERROR(__xludf.DUMMYFUNCTION("""COMPUTED_VALUE"""),0.6666666666666666)</f>
        <v>0.6666666667</v>
      </c>
    </row>
    <row r="790">
      <c r="K790" s="4" t="str">
        <f>IFERROR(__xludf.DUMMYFUNCTION("""COMPUTED_VALUE"""),"FAMIGLIA DA PIZZA")</f>
        <v>FAMIGLIA DA PIZZA</v>
      </c>
      <c r="L790" s="32">
        <f>IFERROR(__xludf.DUMMYFUNCTION("""COMPUTED_VALUE"""),9.0)</f>
        <v>9</v>
      </c>
      <c r="M790" s="4" t="str">
        <f>IFERROR(__xludf.DUMMYFUNCTION("""COMPUTED_VALUE"""),"Latech Informatica Ltda")</f>
        <v>Latech Informatica Ltda</v>
      </c>
      <c r="N790" s="33">
        <f>IFERROR(__xludf.DUMMYFUNCTION("""COMPUTED_VALUE"""),0.6666666666666666)</f>
        <v>0.6666666667</v>
      </c>
      <c r="O790" s="4" t="str">
        <f>IFERROR(__xludf.DUMMYFUNCTION("""COMPUTED_VALUE"""),"Latech Informatica Ltda")</f>
        <v>Latech Informatica Ltda</v>
      </c>
      <c r="P790" s="33">
        <f>IFERROR(__xludf.DUMMYFUNCTION("""COMPUTED_VALUE"""),0.5555555555555556)</f>
        <v>0.5555555556</v>
      </c>
      <c r="Q790" s="4" t="str">
        <f>IFERROR(__xludf.DUMMYFUNCTION("""COMPUTED_VALUE"""),"Latech Informatica Ltda")</f>
        <v>Latech Informatica Ltda</v>
      </c>
      <c r="R790" s="33">
        <f>IFERROR(__xludf.DUMMYFUNCTION("""COMPUTED_VALUE"""),0.3333333333333333)</f>
        <v>0.3333333333</v>
      </c>
      <c r="S790" s="4" t="str">
        <f>IFERROR(__xludf.DUMMYFUNCTION("""COMPUTED_VALUE"""),"Latech Informatica Ltda")</f>
        <v>Latech Informatica Ltda</v>
      </c>
      <c r="T790" s="33">
        <f>IFERROR(__xludf.DUMMYFUNCTION("""COMPUTED_VALUE"""),0.5555555555555556)</f>
        <v>0.5555555556</v>
      </c>
      <c r="U790" s="4" t="str">
        <f>IFERROR(__xludf.DUMMYFUNCTION("""COMPUTED_VALUE"""),"Latech Informatica Ltda")</f>
        <v>Latech Informatica Ltda</v>
      </c>
      <c r="V790" s="33">
        <f>IFERROR(__xludf.DUMMYFUNCTION("""COMPUTED_VALUE"""),0.4444444444444444)</f>
        <v>0.4444444444</v>
      </c>
      <c r="W790" s="4" t="str">
        <f>IFERROR(__xludf.DUMMYFUNCTION("""COMPUTED_VALUE"""),"Latech Informatica Ltda")</f>
        <v>Latech Informatica Ltda</v>
      </c>
      <c r="X790" s="33">
        <f>IFERROR(__xludf.DUMMYFUNCTION("""COMPUTED_VALUE"""),0.6666666666666666)</f>
        <v>0.6666666667</v>
      </c>
    </row>
    <row r="791">
      <c r="K791" s="4" t="str">
        <f>IFERROR(__xludf.DUMMYFUNCTION("""COMPUTED_VALUE"""),"ACAI MIX")</f>
        <v>ACAI MIX</v>
      </c>
      <c r="L791" s="32">
        <f>IFERROR(__xludf.DUMMYFUNCTION("""COMPUTED_VALUE"""),9.0)</f>
        <v>9</v>
      </c>
      <c r="M791" s="4" t="str">
        <f>IFERROR(__xludf.DUMMYFUNCTION("""COMPUTED_VALUE"""),"Saipos Serviços De Software")</f>
        <v>Saipos Serviços De Software</v>
      </c>
      <c r="N791" s="33">
        <f>IFERROR(__xludf.DUMMYFUNCTION("""COMPUTED_VALUE"""),0.3333333333333333)</f>
        <v>0.3333333333</v>
      </c>
      <c r="O791" s="4" t="str">
        <f>IFERROR(__xludf.DUMMYFUNCTION("""COMPUTED_VALUE"""),"Saipos Serviços De Software")</f>
        <v>Saipos Serviços De Software</v>
      </c>
      <c r="P791" s="33">
        <f>IFERROR(__xludf.DUMMYFUNCTION("""COMPUTED_VALUE"""),0.3333333333333333)</f>
        <v>0.3333333333</v>
      </c>
      <c r="Q791" s="4" t="str">
        <f>IFERROR(__xludf.DUMMYFUNCTION("""COMPUTED_VALUE"""),"Saipos Serviços De Software")</f>
        <v>Saipos Serviços De Software</v>
      </c>
      <c r="R791" s="33">
        <f>IFERROR(__xludf.DUMMYFUNCTION("""COMPUTED_VALUE"""),0.3333333333333333)</f>
        <v>0.3333333333</v>
      </c>
      <c r="S791" s="4" t="str">
        <f>IFERROR(__xludf.DUMMYFUNCTION("""COMPUTED_VALUE"""),"Saipos Serviços De Software")</f>
        <v>Saipos Serviços De Software</v>
      </c>
      <c r="T791" s="33">
        <f>IFERROR(__xludf.DUMMYFUNCTION("""COMPUTED_VALUE"""),0.3333333333333333)</f>
        <v>0.3333333333</v>
      </c>
      <c r="U791" s="4" t="str">
        <f>IFERROR(__xludf.DUMMYFUNCTION("""COMPUTED_VALUE"""),"Saipos Serviços De Software")</f>
        <v>Saipos Serviços De Software</v>
      </c>
      <c r="V791" s="33">
        <f>IFERROR(__xludf.DUMMYFUNCTION("""COMPUTED_VALUE"""),0.3333333333333333)</f>
        <v>0.3333333333</v>
      </c>
      <c r="W791" s="4" t="str">
        <f>IFERROR(__xludf.DUMMYFUNCTION("""COMPUTED_VALUE"""),"null")</f>
        <v>null</v>
      </c>
      <c r="X791" s="33">
        <f>IFERROR(__xludf.DUMMYFUNCTION("""COMPUTED_VALUE"""),0.3333333333333333)</f>
        <v>0.3333333333</v>
      </c>
    </row>
    <row r="792">
      <c r="K792" s="4" t="str">
        <f>IFERROR(__xludf.DUMMYFUNCTION("""COMPUTED_VALUE"""),"PIZZARIA FORNO A LENHA")</f>
        <v>PIZZARIA FORNO A LENHA</v>
      </c>
      <c r="L792" s="32">
        <f>IFERROR(__xludf.DUMMYFUNCTION("""COMPUTED_VALUE"""),9.0)</f>
        <v>9</v>
      </c>
      <c r="M792" s="4" t="str">
        <f>IFERROR(__xludf.DUMMYFUNCTION("""COMPUTED_VALUE"""),"Anota Ai Solucoes Digitais S/a")</f>
        <v>Anota Ai Solucoes Digitais S/a</v>
      </c>
      <c r="N792" s="33">
        <f>IFERROR(__xludf.DUMMYFUNCTION("""COMPUTED_VALUE"""),0.2222222222222222)</f>
        <v>0.2222222222</v>
      </c>
      <c r="O792" s="4" t="str">
        <f>IFERROR(__xludf.DUMMYFUNCTION("""COMPUTED_VALUE"""),"Anota Ai Solucoes Digitais S/a")</f>
        <v>Anota Ai Solucoes Digitais S/a</v>
      </c>
      <c r="P792" s="33">
        <f>IFERROR(__xludf.DUMMYFUNCTION("""COMPUTED_VALUE"""),0.2222222222222222)</f>
        <v>0.2222222222</v>
      </c>
      <c r="Q792" s="4" t="str">
        <f>IFERROR(__xludf.DUMMYFUNCTION("""COMPUTED_VALUE"""),"Anota Ai Solucoes Digitais S/a")</f>
        <v>Anota Ai Solucoes Digitais S/a</v>
      </c>
      <c r="R792" s="33">
        <f>IFERROR(__xludf.DUMMYFUNCTION("""COMPUTED_VALUE"""),0.2222222222222222)</f>
        <v>0.2222222222</v>
      </c>
      <c r="S792" s="4" t="str">
        <f>IFERROR(__xludf.DUMMYFUNCTION("""COMPUTED_VALUE"""),"Anota Ai Solucoes Digitais S/a")</f>
        <v>Anota Ai Solucoes Digitais S/a</v>
      </c>
      <c r="T792" s="33">
        <f>IFERROR(__xludf.DUMMYFUNCTION("""COMPUTED_VALUE"""),0.2222222222222222)</f>
        <v>0.2222222222</v>
      </c>
      <c r="U792" s="4" t="str">
        <f>IFERROR(__xludf.DUMMYFUNCTION("""COMPUTED_VALUE"""),"Saipos Serviços De Software")</f>
        <v>Saipos Serviços De Software</v>
      </c>
      <c r="V792" s="33">
        <f>IFERROR(__xludf.DUMMYFUNCTION("""COMPUTED_VALUE"""),0.3333333333333333)</f>
        <v>0.3333333333</v>
      </c>
      <c r="W792" s="4" t="str">
        <f>IFERROR(__xludf.DUMMYFUNCTION("""COMPUTED_VALUE"""),"Saipos Serviços De Software")</f>
        <v>Saipos Serviços De Software</v>
      </c>
      <c r="X792" s="33">
        <f>IFERROR(__xludf.DUMMYFUNCTION("""COMPUTED_VALUE"""),0.3333333333333333)</f>
        <v>0.3333333333</v>
      </c>
    </row>
    <row r="793">
      <c r="K793" s="4" t="str">
        <f>IFERROR(__xludf.DUMMYFUNCTION("""COMPUTED_VALUE"""),"PADARIA MICHELLI")</f>
        <v>PADARIA MICHELLI</v>
      </c>
      <c r="L793" s="32">
        <f>IFERROR(__xludf.DUMMYFUNCTION("""COMPUTED_VALUE"""),9.0)</f>
        <v>9</v>
      </c>
      <c r="M793" s="4" t="str">
        <f>IFERROR(__xludf.DUMMYFUNCTION("""COMPUTED_VALUE"""),"Maxibyte")</f>
        <v>Maxibyte</v>
      </c>
      <c r="N793" s="33">
        <f>IFERROR(__xludf.DUMMYFUNCTION("""COMPUTED_VALUE"""),1.0)</f>
        <v>1</v>
      </c>
      <c r="O793" s="4" t="str">
        <f>IFERROR(__xludf.DUMMYFUNCTION("""COMPUTED_VALUE"""),"Maxibyte")</f>
        <v>Maxibyte</v>
      </c>
      <c r="P793" s="33">
        <f>IFERROR(__xludf.DUMMYFUNCTION("""COMPUTED_VALUE"""),1.0)</f>
        <v>1</v>
      </c>
      <c r="Q793" s="4" t="str">
        <f>IFERROR(__xludf.DUMMYFUNCTION("""COMPUTED_VALUE"""),"Maxibyte")</f>
        <v>Maxibyte</v>
      </c>
      <c r="R793" s="33">
        <f>IFERROR(__xludf.DUMMYFUNCTION("""COMPUTED_VALUE"""),1.0)</f>
        <v>1</v>
      </c>
      <c r="S793" s="4" t="str">
        <f>IFERROR(__xludf.DUMMYFUNCTION("""COMPUTED_VALUE"""),"Maxibyte")</f>
        <v>Maxibyte</v>
      </c>
      <c r="T793" s="33">
        <f>IFERROR(__xludf.DUMMYFUNCTION("""COMPUTED_VALUE"""),1.0)</f>
        <v>1</v>
      </c>
      <c r="U793" s="4" t="str">
        <f>IFERROR(__xludf.DUMMYFUNCTION("""COMPUTED_VALUE"""),"Maxibyte")</f>
        <v>Maxibyte</v>
      </c>
      <c r="V793" s="33">
        <f>IFERROR(__xludf.DUMMYFUNCTION("""COMPUTED_VALUE"""),1.0)</f>
        <v>1</v>
      </c>
      <c r="W793" s="4" t="str">
        <f>IFERROR(__xludf.DUMMYFUNCTION("""COMPUTED_VALUE"""),"Maxibyte")</f>
        <v>Maxibyte</v>
      </c>
      <c r="X793" s="33">
        <f>IFERROR(__xludf.DUMMYFUNCTION("""COMPUTED_VALUE"""),1.0)</f>
        <v>1</v>
      </c>
    </row>
    <row r="794">
      <c r="K794" s="4" t="str">
        <f>IFERROR(__xludf.DUMMYFUNCTION("""COMPUTED_VALUE"""),"TOP BURGER")</f>
        <v>TOP BURGER</v>
      </c>
      <c r="L794" s="32">
        <f>IFERROR(__xludf.DUMMYFUNCTION("""COMPUTED_VALUE"""),9.0)</f>
        <v>9</v>
      </c>
      <c r="M794" s="4" t="str">
        <f>IFERROR(__xludf.DUMMYFUNCTION("""COMPUTED_VALUE"""),"Netcontroll Xmenu")</f>
        <v>Netcontroll Xmenu</v>
      </c>
      <c r="N794" s="33">
        <f>IFERROR(__xludf.DUMMYFUNCTION("""COMPUTED_VALUE"""),0.5555555555555556)</f>
        <v>0.5555555556</v>
      </c>
      <c r="O794" s="4" t="str">
        <f>IFERROR(__xludf.DUMMYFUNCTION("""COMPUTED_VALUE"""),"Netcontroll Xmenu")</f>
        <v>Netcontroll Xmenu</v>
      </c>
      <c r="P794" s="33">
        <f>IFERROR(__xludf.DUMMYFUNCTION("""COMPUTED_VALUE"""),0.5555555555555556)</f>
        <v>0.5555555556</v>
      </c>
      <c r="Q794" s="4" t="str">
        <f>IFERROR(__xludf.DUMMYFUNCTION("""COMPUTED_VALUE"""),"Netcontroll Xmenu")</f>
        <v>Netcontroll Xmenu</v>
      </c>
      <c r="R794" s="33">
        <f>IFERROR(__xludf.DUMMYFUNCTION("""COMPUTED_VALUE"""),0.5555555555555556)</f>
        <v>0.5555555556</v>
      </c>
      <c r="S794" s="4" t="str">
        <f>IFERROR(__xludf.DUMMYFUNCTION("""COMPUTED_VALUE"""),"Netcontroll Xmenu")</f>
        <v>Netcontroll Xmenu</v>
      </c>
      <c r="T794" s="33">
        <f>IFERROR(__xludf.DUMMYFUNCTION("""COMPUTED_VALUE"""),0.5555555555555556)</f>
        <v>0.5555555556</v>
      </c>
      <c r="U794" s="4" t="str">
        <f>IFERROR(__xludf.DUMMYFUNCTION("""COMPUTED_VALUE"""),"Netcontroll Xmenu")</f>
        <v>Netcontroll Xmenu</v>
      </c>
      <c r="V794" s="33">
        <f>IFERROR(__xludf.DUMMYFUNCTION("""COMPUTED_VALUE"""),0.6666666666666666)</f>
        <v>0.6666666667</v>
      </c>
      <c r="W794" s="4" t="str">
        <f>IFERROR(__xludf.DUMMYFUNCTION("""COMPUTED_VALUE"""),"Netcontroll Xmenu")</f>
        <v>Netcontroll Xmenu</v>
      </c>
      <c r="X794" s="33">
        <f>IFERROR(__xludf.DUMMYFUNCTION("""COMPUTED_VALUE"""),0.6666666666666666)</f>
        <v>0.6666666667</v>
      </c>
    </row>
    <row r="795">
      <c r="K795" s="4" t="str">
        <f>IFERROR(__xludf.DUMMYFUNCTION("""COMPUTED_VALUE"""),"CHURRASCARIA SABOR NA BRASA")</f>
        <v>CHURRASCARIA SABOR NA BRASA</v>
      </c>
      <c r="L795" s="32">
        <f>IFERROR(__xludf.DUMMYFUNCTION("""COMPUTED_VALUE"""),9.0)</f>
        <v>9</v>
      </c>
      <c r="M795" s="4" t="str">
        <f>IFERROR(__xludf.DUMMYFUNCTION("""COMPUTED_VALUE"""),"Saipos Serviços De Software")</f>
        <v>Saipos Serviços De Software</v>
      </c>
      <c r="N795" s="33">
        <f>IFERROR(__xludf.DUMMYFUNCTION("""COMPUTED_VALUE"""),0.7777777777777778)</f>
        <v>0.7777777778</v>
      </c>
      <c r="O795" s="4" t="str">
        <f>IFERROR(__xludf.DUMMYFUNCTION("""COMPUTED_VALUE"""),"Saipos Serviços De Software")</f>
        <v>Saipos Serviços De Software</v>
      </c>
      <c r="P795" s="33">
        <f>IFERROR(__xludf.DUMMYFUNCTION("""COMPUTED_VALUE"""),0.7777777777777778)</f>
        <v>0.7777777778</v>
      </c>
      <c r="Q795" s="4" t="str">
        <f>IFERROR(__xludf.DUMMYFUNCTION("""COMPUTED_VALUE"""),"Saipos Serviços De Software")</f>
        <v>Saipos Serviços De Software</v>
      </c>
      <c r="R795" s="33">
        <f>IFERROR(__xludf.DUMMYFUNCTION("""COMPUTED_VALUE"""),0.7777777777777778)</f>
        <v>0.7777777778</v>
      </c>
      <c r="S795" s="4" t="str">
        <f>IFERROR(__xludf.DUMMYFUNCTION("""COMPUTED_VALUE"""),"null")</f>
        <v>null</v>
      </c>
      <c r="T795" s="33">
        <f>IFERROR(__xludf.DUMMYFUNCTION("""COMPUTED_VALUE"""),0.5555555555555556)</f>
        <v>0.5555555556</v>
      </c>
      <c r="U795" s="4" t="str">
        <f>IFERROR(__xludf.DUMMYFUNCTION("""COMPUTED_VALUE"""),"Saipos Serviços De Software")</f>
        <v>Saipos Serviços De Software</v>
      </c>
      <c r="V795" s="33">
        <f>IFERROR(__xludf.DUMMYFUNCTION("""COMPUTED_VALUE"""),0.5555555555555556)</f>
        <v>0.5555555556</v>
      </c>
      <c r="W795" s="4" t="str">
        <f>IFERROR(__xludf.DUMMYFUNCTION("""COMPUTED_VALUE"""),"null")</f>
        <v>null</v>
      </c>
      <c r="X795" s="33">
        <f>IFERROR(__xludf.DUMMYFUNCTION("""COMPUTED_VALUE"""),0.5555555555555556)</f>
        <v>0.5555555556</v>
      </c>
    </row>
    <row r="796">
      <c r="K796" s="4" t="str">
        <f>IFERROR(__xludf.DUMMYFUNCTION("""COMPUTED_VALUE"""),"CASA DA ESFIHA")</f>
        <v>CASA DA ESFIHA</v>
      </c>
      <c r="L796" s="32">
        <f>IFERROR(__xludf.DUMMYFUNCTION("""COMPUTED_VALUE"""),9.0)</f>
        <v>9</v>
      </c>
      <c r="M796" s="4" t="str">
        <f>IFERROR(__xludf.DUMMYFUNCTION("""COMPUTED_VALUE"""),"null")</f>
        <v>null</v>
      </c>
      <c r="N796" s="33">
        <f>IFERROR(__xludf.DUMMYFUNCTION("""COMPUTED_VALUE"""),0.4444444444444444)</f>
        <v>0.4444444444</v>
      </c>
      <c r="O796" s="4" t="str">
        <f>IFERROR(__xludf.DUMMYFUNCTION("""COMPUTED_VALUE"""),"null")</f>
        <v>null</v>
      </c>
      <c r="P796" s="33">
        <f>IFERROR(__xludf.DUMMYFUNCTION("""COMPUTED_VALUE"""),0.5555555555555556)</f>
        <v>0.5555555556</v>
      </c>
      <c r="Q796" s="4" t="str">
        <f>IFERROR(__xludf.DUMMYFUNCTION("""COMPUTED_VALUE"""),"null")</f>
        <v>null</v>
      </c>
      <c r="R796" s="33">
        <f>IFERROR(__xludf.DUMMYFUNCTION("""COMPUTED_VALUE"""),0.4444444444444444)</f>
        <v>0.4444444444</v>
      </c>
      <c r="S796" s="4" t="str">
        <f>IFERROR(__xludf.DUMMYFUNCTION("""COMPUTED_VALUE"""),"null")</f>
        <v>null</v>
      </c>
      <c r="T796" s="33">
        <f>IFERROR(__xludf.DUMMYFUNCTION("""COMPUTED_VALUE"""),0.4444444444444444)</f>
        <v>0.4444444444</v>
      </c>
      <c r="U796" s="4" t="str">
        <f>IFERROR(__xludf.DUMMYFUNCTION("""COMPUTED_VALUE"""),"null")</f>
        <v>null</v>
      </c>
      <c r="V796" s="33">
        <f>IFERROR(__xludf.DUMMYFUNCTION("""COMPUTED_VALUE"""),0.4444444444444444)</f>
        <v>0.4444444444</v>
      </c>
      <c r="W796" s="4" t="str">
        <f>IFERROR(__xludf.DUMMYFUNCTION("""COMPUTED_VALUE"""),"Saipos Serviços De Software")</f>
        <v>Saipos Serviços De Software</v>
      </c>
      <c r="X796" s="33">
        <f>IFERROR(__xludf.DUMMYFUNCTION("""COMPUTED_VALUE"""),0.3333333333333333)</f>
        <v>0.3333333333</v>
      </c>
    </row>
    <row r="797">
      <c r="K797" s="4" t="str">
        <f>IFERROR(__xludf.DUMMYFUNCTION("""COMPUTED_VALUE"""),"PRIME ACAI")</f>
        <v>PRIME ACAI</v>
      </c>
      <c r="L797" s="32">
        <f>IFERROR(__xludf.DUMMYFUNCTION("""COMPUTED_VALUE"""),9.0)</f>
        <v>9</v>
      </c>
      <c r="M797" s="4" t="str">
        <f>IFERROR(__xludf.DUMMYFUNCTION("""COMPUTED_VALUE"""),"null")</f>
        <v>null</v>
      </c>
      <c r="N797" s="33">
        <f>IFERROR(__xludf.DUMMYFUNCTION("""COMPUTED_VALUE"""),0.4444444444444444)</f>
        <v>0.4444444444</v>
      </c>
      <c r="O797" s="4" t="str">
        <f>IFERROR(__xludf.DUMMYFUNCTION("""COMPUTED_VALUE"""),"null")</f>
        <v>null</v>
      </c>
      <c r="P797" s="33">
        <f>IFERROR(__xludf.DUMMYFUNCTION("""COMPUTED_VALUE"""),0.4444444444444444)</f>
        <v>0.4444444444</v>
      </c>
      <c r="Q797" s="4" t="str">
        <f>IFERROR(__xludf.DUMMYFUNCTION("""COMPUTED_VALUE"""),"null")</f>
        <v>null</v>
      </c>
      <c r="R797" s="33">
        <f>IFERROR(__xludf.DUMMYFUNCTION("""COMPUTED_VALUE"""),0.3333333333333333)</f>
        <v>0.3333333333</v>
      </c>
      <c r="S797" s="4" t="str">
        <f>IFERROR(__xludf.DUMMYFUNCTION("""COMPUTED_VALUE"""),"null")</f>
        <v>null</v>
      </c>
      <c r="T797" s="33">
        <f>IFERROR(__xludf.DUMMYFUNCTION("""COMPUTED_VALUE"""),0.2222222222222222)</f>
        <v>0.2222222222</v>
      </c>
      <c r="U797" s="4" t="str">
        <f>IFERROR(__xludf.DUMMYFUNCTION("""COMPUTED_VALUE"""),"null")</f>
        <v>null</v>
      </c>
      <c r="V797" s="33">
        <f>IFERROR(__xludf.DUMMYFUNCTION("""COMPUTED_VALUE"""),0.5555555555555556)</f>
        <v>0.5555555556</v>
      </c>
      <c r="W797" s="4" t="str">
        <f>IFERROR(__xludf.DUMMYFUNCTION("""COMPUTED_VALUE"""),"null")</f>
        <v>null</v>
      </c>
      <c r="X797" s="33">
        <f>IFERROR(__xludf.DUMMYFUNCTION("""COMPUTED_VALUE"""),0.4444444444444444)</f>
        <v>0.4444444444</v>
      </c>
    </row>
    <row r="798">
      <c r="K798" s="4" t="str">
        <f>IFERROR(__xludf.DUMMYFUNCTION("""COMPUTED_VALUE"""),"AL SULTAN")</f>
        <v>AL SULTAN</v>
      </c>
      <c r="L798" s="32">
        <f>IFERROR(__xludf.DUMMYFUNCTION("""COMPUTED_VALUE"""),9.0)</f>
        <v>9</v>
      </c>
      <c r="M798" s="4" t="str">
        <f>IFERROR(__xludf.DUMMYFUNCTION("""COMPUTED_VALUE"""),"Cloudfy")</f>
        <v>Cloudfy</v>
      </c>
      <c r="N798" s="33">
        <f>IFERROR(__xludf.DUMMYFUNCTION("""COMPUTED_VALUE"""),0.8888888888888888)</f>
        <v>0.8888888889</v>
      </c>
      <c r="O798" s="4" t="str">
        <f>IFERROR(__xludf.DUMMYFUNCTION("""COMPUTED_VALUE"""),"Cloudfy")</f>
        <v>Cloudfy</v>
      </c>
      <c r="P798" s="33">
        <f>IFERROR(__xludf.DUMMYFUNCTION("""COMPUTED_VALUE"""),0.8888888888888888)</f>
        <v>0.8888888889</v>
      </c>
      <c r="Q798" s="4" t="str">
        <f>IFERROR(__xludf.DUMMYFUNCTION("""COMPUTED_VALUE"""),"Cloudfy")</f>
        <v>Cloudfy</v>
      </c>
      <c r="R798" s="33">
        <f>IFERROR(__xludf.DUMMYFUNCTION("""COMPUTED_VALUE"""),0.8888888888888888)</f>
        <v>0.8888888889</v>
      </c>
      <c r="S798" s="4" t="str">
        <f>IFERROR(__xludf.DUMMYFUNCTION("""COMPUTED_VALUE"""),"Cloudfy")</f>
        <v>Cloudfy</v>
      </c>
      <c r="T798" s="33">
        <f>IFERROR(__xludf.DUMMYFUNCTION("""COMPUTED_VALUE"""),0.8888888888888888)</f>
        <v>0.8888888889</v>
      </c>
      <c r="U798" s="4" t="str">
        <f>IFERROR(__xludf.DUMMYFUNCTION("""COMPUTED_VALUE"""),"Cloudfy")</f>
        <v>Cloudfy</v>
      </c>
      <c r="V798" s="33">
        <f>IFERROR(__xludf.DUMMYFUNCTION("""COMPUTED_VALUE"""),1.0)</f>
        <v>1</v>
      </c>
      <c r="W798" s="4" t="str">
        <f>IFERROR(__xludf.DUMMYFUNCTION("""COMPUTED_VALUE"""),"Cloudfy")</f>
        <v>Cloudfy</v>
      </c>
      <c r="X798" s="33">
        <f>IFERROR(__xludf.DUMMYFUNCTION("""COMPUTED_VALUE"""),0.8888888888888888)</f>
        <v>0.8888888889</v>
      </c>
    </row>
    <row r="799">
      <c r="K799" s="4" t="str">
        <f>IFERROR(__xludf.DUMMYFUNCTION("""COMPUTED_VALUE"""),"PRIME DOG")</f>
        <v>PRIME DOG</v>
      </c>
      <c r="L799" s="32">
        <f>IFERROR(__xludf.DUMMYFUNCTION("""COMPUTED_VALUE"""),9.0)</f>
        <v>9</v>
      </c>
      <c r="M799" s="4" t="str">
        <f>IFERROR(__xludf.DUMMYFUNCTION("""COMPUTED_VALUE"""),"Cardápio Web")</f>
        <v>Cardápio Web</v>
      </c>
      <c r="N799" s="33">
        <f>IFERROR(__xludf.DUMMYFUNCTION("""COMPUTED_VALUE"""),0.4444444444444444)</f>
        <v>0.4444444444</v>
      </c>
      <c r="O799" s="4" t="str">
        <f>IFERROR(__xludf.DUMMYFUNCTION("""COMPUTED_VALUE"""),"null")</f>
        <v>null</v>
      </c>
      <c r="P799" s="33">
        <f>IFERROR(__xludf.DUMMYFUNCTION("""COMPUTED_VALUE"""),0.7777777777777778)</f>
        <v>0.7777777778</v>
      </c>
      <c r="Q799" s="4" t="str">
        <f>IFERROR(__xludf.DUMMYFUNCTION("""COMPUTED_VALUE"""),"null")</f>
        <v>null</v>
      </c>
      <c r="R799" s="33">
        <f>IFERROR(__xludf.DUMMYFUNCTION("""COMPUTED_VALUE"""),0.5555555555555556)</f>
        <v>0.5555555556</v>
      </c>
      <c r="S799" s="4" t="str">
        <f>IFERROR(__xludf.DUMMYFUNCTION("""COMPUTED_VALUE"""),"null")</f>
        <v>null</v>
      </c>
      <c r="T799" s="33">
        <f>IFERROR(__xludf.DUMMYFUNCTION("""COMPUTED_VALUE"""),0.5555555555555556)</f>
        <v>0.5555555556</v>
      </c>
      <c r="U799" s="4" t="str">
        <f>IFERROR(__xludf.DUMMYFUNCTION("""COMPUTED_VALUE"""),"null")</f>
        <v>null</v>
      </c>
      <c r="V799" s="33">
        <f>IFERROR(__xludf.DUMMYFUNCTION("""COMPUTED_VALUE"""),0.7777777777777778)</f>
        <v>0.7777777778</v>
      </c>
      <c r="W799" s="4" t="str">
        <f>IFERROR(__xludf.DUMMYFUNCTION("""COMPUTED_VALUE"""),"null")</f>
        <v>null</v>
      </c>
      <c r="X799" s="33">
        <f>IFERROR(__xludf.DUMMYFUNCTION("""COMPUTED_VALUE"""),0.4444444444444444)</f>
        <v>0.4444444444</v>
      </c>
    </row>
    <row r="800">
      <c r="K800" s="4" t="str">
        <f>IFERROR(__xludf.DUMMYFUNCTION("""COMPUTED_VALUE"""),"GIRALDA DOCEIRA")</f>
        <v>GIRALDA DOCEIRA</v>
      </c>
      <c r="L800" s="32">
        <f>IFERROR(__xludf.DUMMYFUNCTION("""COMPUTED_VALUE"""),9.0)</f>
        <v>9</v>
      </c>
      <c r="M800" s="4" t="str">
        <f>IFERROR(__xludf.DUMMYFUNCTION("""COMPUTED_VALUE"""),"Swfast Sistemas")</f>
        <v>Swfast Sistemas</v>
      </c>
      <c r="N800" s="33">
        <f>IFERROR(__xludf.DUMMYFUNCTION("""COMPUTED_VALUE"""),0.6666666666666666)</f>
        <v>0.6666666667</v>
      </c>
      <c r="O800" s="4" t="str">
        <f>IFERROR(__xludf.DUMMYFUNCTION("""COMPUTED_VALUE"""),"Swfast Sistemas")</f>
        <v>Swfast Sistemas</v>
      </c>
      <c r="P800" s="33">
        <f>IFERROR(__xludf.DUMMYFUNCTION("""COMPUTED_VALUE"""),0.4444444444444444)</f>
        <v>0.4444444444</v>
      </c>
      <c r="Q800" s="4" t="str">
        <f>IFERROR(__xludf.DUMMYFUNCTION("""COMPUTED_VALUE"""),"Swfast Sistemas")</f>
        <v>Swfast Sistemas</v>
      </c>
      <c r="R800" s="33">
        <f>IFERROR(__xludf.DUMMYFUNCTION("""COMPUTED_VALUE"""),0.5555555555555556)</f>
        <v>0.5555555556</v>
      </c>
      <c r="S800" s="4" t="str">
        <f>IFERROR(__xludf.DUMMYFUNCTION("""COMPUTED_VALUE"""),"Swfast Sistemas")</f>
        <v>Swfast Sistemas</v>
      </c>
      <c r="T800" s="33">
        <f>IFERROR(__xludf.DUMMYFUNCTION("""COMPUTED_VALUE"""),0.4444444444444444)</f>
        <v>0.4444444444</v>
      </c>
      <c r="U800" s="4" t="str">
        <f>IFERROR(__xludf.DUMMYFUNCTION("""COMPUTED_VALUE"""),"Swfast Sistemas")</f>
        <v>Swfast Sistemas</v>
      </c>
      <c r="V800" s="33">
        <f>IFERROR(__xludf.DUMMYFUNCTION("""COMPUTED_VALUE"""),0.5555555555555556)</f>
        <v>0.5555555556</v>
      </c>
      <c r="W800" s="4" t="str">
        <f>IFERROR(__xludf.DUMMYFUNCTION("""COMPUTED_VALUE"""),"Swfast Sistemas")</f>
        <v>Swfast Sistemas</v>
      </c>
      <c r="X800" s="33">
        <f>IFERROR(__xludf.DUMMYFUNCTION("""COMPUTED_VALUE"""),0.4444444444444444)</f>
        <v>0.4444444444</v>
      </c>
    </row>
    <row r="801">
      <c r="K801" s="4" t="str">
        <f>IFERROR(__xludf.DUMMYFUNCTION("""COMPUTED_VALUE"""),"RESENHA BURGUER")</f>
        <v>RESENHA BURGUER</v>
      </c>
      <c r="L801" s="32">
        <f>IFERROR(__xludf.DUMMYFUNCTION("""COMPUTED_VALUE"""),9.0)</f>
        <v>9</v>
      </c>
      <c r="M801" s="4" t="str">
        <f>IFERROR(__xludf.DUMMYFUNCTION("""COMPUTED_VALUE"""),"Saipos Serviços De Software")</f>
        <v>Saipos Serviços De Software</v>
      </c>
      <c r="N801" s="33">
        <f>IFERROR(__xludf.DUMMYFUNCTION("""COMPUTED_VALUE"""),0.5555555555555556)</f>
        <v>0.5555555556</v>
      </c>
      <c r="O801" s="4" t="str">
        <f>IFERROR(__xludf.DUMMYFUNCTION("""COMPUTED_VALUE"""),"Saipos Serviços De Software")</f>
        <v>Saipos Serviços De Software</v>
      </c>
      <c r="P801" s="33">
        <f>IFERROR(__xludf.DUMMYFUNCTION("""COMPUTED_VALUE"""),0.4444444444444444)</f>
        <v>0.4444444444</v>
      </c>
      <c r="Q801" s="4" t="str">
        <f>IFERROR(__xludf.DUMMYFUNCTION("""COMPUTED_VALUE"""),"Saipos Serviços De Software")</f>
        <v>Saipos Serviços De Software</v>
      </c>
      <c r="R801" s="33">
        <f>IFERROR(__xludf.DUMMYFUNCTION("""COMPUTED_VALUE"""),0.5555555555555556)</f>
        <v>0.5555555556</v>
      </c>
      <c r="S801" s="4" t="str">
        <f>IFERROR(__xludf.DUMMYFUNCTION("""COMPUTED_VALUE"""),"Saipos Serviços De Software")</f>
        <v>Saipos Serviços De Software</v>
      </c>
      <c r="T801" s="33">
        <f>IFERROR(__xludf.DUMMYFUNCTION("""COMPUTED_VALUE"""),0.4444444444444444)</f>
        <v>0.4444444444</v>
      </c>
      <c r="U801" s="4" t="str">
        <f>IFERROR(__xludf.DUMMYFUNCTION("""COMPUTED_VALUE"""),"Saipos Serviços De Software")</f>
        <v>Saipos Serviços De Software</v>
      </c>
      <c r="V801" s="33">
        <f>IFERROR(__xludf.DUMMYFUNCTION("""COMPUTED_VALUE"""),0.4444444444444444)</f>
        <v>0.4444444444</v>
      </c>
      <c r="W801" s="4" t="str">
        <f>IFERROR(__xludf.DUMMYFUNCTION("""COMPUTED_VALUE"""),"Saipos Serviços De Software")</f>
        <v>Saipos Serviços De Software</v>
      </c>
      <c r="X801" s="33">
        <f>IFERROR(__xludf.DUMMYFUNCTION("""COMPUTED_VALUE"""),0.4444444444444444)</f>
        <v>0.4444444444</v>
      </c>
    </row>
    <row r="802">
      <c r="K802" s="4" t="str">
        <f>IFERROR(__xludf.DUMMYFUNCTION("""COMPUTED_VALUE"""),"DIVINA LASANHA")</f>
        <v>DIVINA LASANHA</v>
      </c>
      <c r="L802" s="32">
        <f>IFERROR(__xludf.DUMMYFUNCTION("""COMPUTED_VALUE"""),9.0)</f>
        <v>9</v>
      </c>
      <c r="M802" s="4" t="str">
        <f>IFERROR(__xludf.DUMMYFUNCTION("""COMPUTED_VALUE"""),"Mp Multipedidos")</f>
        <v>Mp Multipedidos</v>
      </c>
      <c r="N802" s="33">
        <f>IFERROR(__xludf.DUMMYFUNCTION("""COMPUTED_VALUE"""),0.7777777777777778)</f>
        <v>0.7777777778</v>
      </c>
      <c r="O802" s="4" t="str">
        <f>IFERROR(__xludf.DUMMYFUNCTION("""COMPUTED_VALUE"""),"Mp Multipedidos")</f>
        <v>Mp Multipedidos</v>
      </c>
      <c r="P802" s="33">
        <f>IFERROR(__xludf.DUMMYFUNCTION("""COMPUTED_VALUE"""),0.7777777777777778)</f>
        <v>0.7777777778</v>
      </c>
      <c r="Q802" s="4" t="str">
        <f>IFERROR(__xludf.DUMMYFUNCTION("""COMPUTED_VALUE"""),"Saipos Serviços De Software")</f>
        <v>Saipos Serviços De Software</v>
      </c>
      <c r="R802" s="33">
        <f>IFERROR(__xludf.DUMMYFUNCTION("""COMPUTED_VALUE"""),1.0)</f>
        <v>1</v>
      </c>
      <c r="S802" s="4" t="str">
        <f>IFERROR(__xludf.DUMMYFUNCTION("""COMPUTED_VALUE"""),"Saipos Serviços De Software")</f>
        <v>Saipos Serviços De Software</v>
      </c>
      <c r="T802" s="33">
        <f>IFERROR(__xludf.DUMMYFUNCTION("""COMPUTED_VALUE"""),1.0)</f>
        <v>1</v>
      </c>
      <c r="U802" s="4" t="str">
        <f>IFERROR(__xludf.DUMMYFUNCTION("""COMPUTED_VALUE"""),"Saipos Serviços De Software")</f>
        <v>Saipos Serviços De Software</v>
      </c>
      <c r="V802" s="33">
        <f>IFERROR(__xludf.DUMMYFUNCTION("""COMPUTED_VALUE"""),1.0)</f>
        <v>1</v>
      </c>
      <c r="W802" s="4" t="str">
        <f>IFERROR(__xludf.DUMMYFUNCTION("""COMPUTED_VALUE"""),"Saipos Serviços De Software")</f>
        <v>Saipos Serviços De Software</v>
      </c>
      <c r="X802" s="33">
        <f>IFERROR(__xludf.DUMMYFUNCTION("""COMPUTED_VALUE"""),0.8888888888888888)</f>
        <v>0.8888888889</v>
      </c>
    </row>
    <row r="803">
      <c r="K803" s="4" t="str">
        <f>IFERROR(__xludf.DUMMYFUNCTION("""COMPUTED_VALUE"""),"A PIZZA DA MOOCA")</f>
        <v>A PIZZA DA MOOCA</v>
      </c>
      <c r="L803" s="32">
        <f>IFERROR(__xludf.DUMMYFUNCTION("""COMPUTED_VALUE"""),9.0)</f>
        <v>9</v>
      </c>
      <c r="M803" s="4" t="str">
        <f>IFERROR(__xludf.DUMMYFUNCTION("""COMPUTED_VALUE"""),"Stone Co.")</f>
        <v>Stone Co.</v>
      </c>
      <c r="N803" s="33">
        <f>IFERROR(__xludf.DUMMYFUNCTION("""COMPUTED_VALUE"""),0.4444444444444444)</f>
        <v>0.4444444444</v>
      </c>
      <c r="O803" s="4" t="str">
        <f>IFERROR(__xludf.DUMMYFUNCTION("""COMPUTED_VALUE"""),"Stone Co.")</f>
        <v>Stone Co.</v>
      </c>
      <c r="P803" s="33">
        <f>IFERROR(__xludf.DUMMYFUNCTION("""COMPUTED_VALUE"""),0.4444444444444444)</f>
        <v>0.4444444444</v>
      </c>
      <c r="Q803" s="4" t="str">
        <f>IFERROR(__xludf.DUMMYFUNCTION("""COMPUTED_VALUE"""),"Stone Co.")</f>
        <v>Stone Co.</v>
      </c>
      <c r="R803" s="33">
        <f>IFERROR(__xludf.DUMMYFUNCTION("""COMPUTED_VALUE"""),0.4444444444444444)</f>
        <v>0.4444444444</v>
      </c>
      <c r="S803" s="4" t="str">
        <f>IFERROR(__xludf.DUMMYFUNCTION("""COMPUTED_VALUE"""),"Stone Co.")</f>
        <v>Stone Co.</v>
      </c>
      <c r="T803" s="33">
        <f>IFERROR(__xludf.DUMMYFUNCTION("""COMPUTED_VALUE"""),0.4444444444444444)</f>
        <v>0.4444444444</v>
      </c>
      <c r="U803" s="4" t="str">
        <f>IFERROR(__xludf.DUMMYFUNCTION("""COMPUTED_VALUE"""),"Stone Co.")</f>
        <v>Stone Co.</v>
      </c>
      <c r="V803" s="33">
        <f>IFERROR(__xludf.DUMMYFUNCTION("""COMPUTED_VALUE"""),0.4444444444444444)</f>
        <v>0.4444444444</v>
      </c>
      <c r="W803" s="4" t="str">
        <f>IFERROR(__xludf.DUMMYFUNCTION("""COMPUTED_VALUE"""),"Stone Co.")</f>
        <v>Stone Co.</v>
      </c>
      <c r="X803" s="33">
        <f>IFERROR(__xludf.DUMMYFUNCTION("""COMPUTED_VALUE"""),0.4444444444444444)</f>
        <v>0.4444444444</v>
      </c>
    </row>
    <row r="804">
      <c r="K804" s="4" t="str">
        <f>IFERROR(__xludf.DUMMYFUNCTION("""COMPUTED_VALUE"""),"- PARADA DO ACAI")</f>
        <v>- PARADA DO ACAI</v>
      </c>
      <c r="L804" s="32">
        <f>IFERROR(__xludf.DUMMYFUNCTION("""COMPUTED_VALUE"""),9.0)</f>
        <v>9</v>
      </c>
      <c r="M804" s="4" t="str">
        <f>IFERROR(__xludf.DUMMYFUNCTION("""COMPUTED_VALUE"""),"Inovar Informatica Ltda")</f>
        <v>Inovar Informatica Ltda</v>
      </c>
      <c r="N804" s="33">
        <f>IFERROR(__xludf.DUMMYFUNCTION("""COMPUTED_VALUE"""),0.5555555555555556)</f>
        <v>0.5555555556</v>
      </c>
      <c r="O804" s="4" t="str">
        <f>IFERROR(__xludf.DUMMYFUNCTION("""COMPUTED_VALUE"""),"Inovar Informatica Ltda")</f>
        <v>Inovar Informatica Ltda</v>
      </c>
      <c r="P804" s="33">
        <f>IFERROR(__xludf.DUMMYFUNCTION("""COMPUTED_VALUE"""),0.5555555555555556)</f>
        <v>0.5555555556</v>
      </c>
      <c r="Q804" s="4" t="str">
        <f>IFERROR(__xludf.DUMMYFUNCTION("""COMPUTED_VALUE"""),"Inovar Informatica Ltda")</f>
        <v>Inovar Informatica Ltda</v>
      </c>
      <c r="R804" s="33">
        <f>IFERROR(__xludf.DUMMYFUNCTION("""COMPUTED_VALUE"""),0.5555555555555556)</f>
        <v>0.5555555556</v>
      </c>
      <c r="S804" s="4" t="str">
        <f>IFERROR(__xludf.DUMMYFUNCTION("""COMPUTED_VALUE"""),"Inovar Informatica Ltda")</f>
        <v>Inovar Informatica Ltda</v>
      </c>
      <c r="T804" s="33">
        <f>IFERROR(__xludf.DUMMYFUNCTION("""COMPUTED_VALUE"""),0.5555555555555556)</f>
        <v>0.5555555556</v>
      </c>
      <c r="U804" s="4" t="str">
        <f>IFERROR(__xludf.DUMMYFUNCTION("""COMPUTED_VALUE"""),"Inovarsistemas")</f>
        <v>Inovarsistemas</v>
      </c>
      <c r="V804" s="33">
        <f>IFERROR(__xludf.DUMMYFUNCTION("""COMPUTED_VALUE"""),0.5555555555555556)</f>
        <v>0.5555555556</v>
      </c>
      <c r="W804" s="4" t="str">
        <f>IFERROR(__xludf.DUMMYFUNCTION("""COMPUTED_VALUE"""),"Inovarsistemas")</f>
        <v>Inovarsistemas</v>
      </c>
      <c r="X804" s="33">
        <f>IFERROR(__xludf.DUMMYFUNCTION("""COMPUTED_VALUE"""),0.5555555555555556)</f>
        <v>0.5555555556</v>
      </c>
    </row>
    <row r="805">
      <c r="K805" s="4" t="str">
        <f>IFERROR(__xludf.DUMMYFUNCTION("""COMPUTED_VALUE"""),"ACAI MIX - MARCA")</f>
        <v>ACAI MIX - MARCA</v>
      </c>
      <c r="L805" s="32">
        <f>IFERROR(__xludf.DUMMYFUNCTION("""COMPUTED_VALUE"""),9.0)</f>
        <v>9</v>
      </c>
      <c r="M805" s="4" t="str">
        <f>IFERROR(__xludf.DUMMYFUNCTION("""COMPUTED_VALUE"""),"Saipos Serviços De Software")</f>
        <v>Saipos Serviços De Software</v>
      </c>
      <c r="N805" s="33">
        <f>IFERROR(__xludf.DUMMYFUNCTION("""COMPUTED_VALUE"""),0.6666666666666666)</f>
        <v>0.6666666667</v>
      </c>
      <c r="O805" s="4" t="str">
        <f>IFERROR(__xludf.DUMMYFUNCTION("""COMPUTED_VALUE"""),"Saipos Serviços De Software")</f>
        <v>Saipos Serviços De Software</v>
      </c>
      <c r="P805" s="33">
        <f>IFERROR(__xludf.DUMMYFUNCTION("""COMPUTED_VALUE"""),0.7777777777777778)</f>
        <v>0.7777777778</v>
      </c>
      <c r="Q805" s="4" t="str">
        <f>IFERROR(__xludf.DUMMYFUNCTION("""COMPUTED_VALUE"""),"Saipos Serviços De Software")</f>
        <v>Saipos Serviços De Software</v>
      </c>
      <c r="R805" s="33">
        <f>IFERROR(__xludf.DUMMYFUNCTION("""COMPUTED_VALUE"""),0.8888888888888888)</f>
        <v>0.8888888889</v>
      </c>
      <c r="S805" s="4" t="str">
        <f>IFERROR(__xludf.DUMMYFUNCTION("""COMPUTED_VALUE"""),"Saipos Serviços De Software")</f>
        <v>Saipos Serviços De Software</v>
      </c>
      <c r="T805" s="33">
        <f>IFERROR(__xludf.DUMMYFUNCTION("""COMPUTED_VALUE"""),0.8888888888888888)</f>
        <v>0.8888888889</v>
      </c>
      <c r="U805" s="4" t="str">
        <f>IFERROR(__xludf.DUMMYFUNCTION("""COMPUTED_VALUE"""),"Saipos Serviços De Software")</f>
        <v>Saipos Serviços De Software</v>
      </c>
      <c r="V805" s="33">
        <f>IFERROR(__xludf.DUMMYFUNCTION("""COMPUTED_VALUE"""),0.8888888888888888)</f>
        <v>0.8888888889</v>
      </c>
      <c r="W805" s="4" t="str">
        <f>IFERROR(__xludf.DUMMYFUNCTION("""COMPUTED_VALUE"""),"Saipos Serviços De Software")</f>
        <v>Saipos Serviços De Software</v>
      </c>
      <c r="X805" s="33">
        <f>IFERROR(__xludf.DUMMYFUNCTION("""COMPUTED_VALUE"""),1.0)</f>
        <v>1</v>
      </c>
    </row>
    <row r="806">
      <c r="K806" s="4" t="str">
        <f>IFERROR(__xludf.DUMMYFUNCTION("""COMPUTED_VALUE"""),"JUST BURGER HAMBURGUERIA E LANCHES GRUPO")</f>
        <v>JUST BURGER HAMBURGUERIA E LANCHES GRUPO</v>
      </c>
      <c r="L806" s="32">
        <f>IFERROR(__xludf.DUMMYFUNCTION("""COMPUTED_VALUE"""),9.0)</f>
        <v>9</v>
      </c>
      <c r="M806" s="4" t="str">
        <f>IFERROR(__xludf.DUMMYFUNCTION("""COMPUTED_VALUE"""),"Saipos Serviços De Software")</f>
        <v>Saipos Serviços De Software</v>
      </c>
      <c r="N806" s="33">
        <f>IFERROR(__xludf.DUMMYFUNCTION("""COMPUTED_VALUE"""),1.0)</f>
        <v>1</v>
      </c>
      <c r="O806" s="4" t="str">
        <f>IFERROR(__xludf.DUMMYFUNCTION("""COMPUTED_VALUE"""),"Saipos Serviços De Software")</f>
        <v>Saipos Serviços De Software</v>
      </c>
      <c r="P806" s="33">
        <f>IFERROR(__xludf.DUMMYFUNCTION("""COMPUTED_VALUE"""),0.8888888888888888)</f>
        <v>0.8888888889</v>
      </c>
      <c r="Q806" s="4" t="str">
        <f>IFERROR(__xludf.DUMMYFUNCTION("""COMPUTED_VALUE"""),"Saipos Serviços De Software")</f>
        <v>Saipos Serviços De Software</v>
      </c>
      <c r="R806" s="33">
        <f>IFERROR(__xludf.DUMMYFUNCTION("""COMPUTED_VALUE"""),0.7777777777777778)</f>
        <v>0.7777777778</v>
      </c>
      <c r="S806" s="4" t="str">
        <f>IFERROR(__xludf.DUMMYFUNCTION("""COMPUTED_VALUE"""),"Saipos Serviços De Software")</f>
        <v>Saipos Serviços De Software</v>
      </c>
      <c r="T806" s="33">
        <f>IFERROR(__xludf.DUMMYFUNCTION("""COMPUTED_VALUE"""),0.7777777777777778)</f>
        <v>0.7777777778</v>
      </c>
      <c r="U806" s="4" t="str">
        <f>IFERROR(__xludf.DUMMYFUNCTION("""COMPUTED_VALUE"""),"Saipos Serviços De Software")</f>
        <v>Saipos Serviços De Software</v>
      </c>
      <c r="V806" s="33">
        <f>IFERROR(__xludf.DUMMYFUNCTION("""COMPUTED_VALUE"""),0.7777777777777778)</f>
        <v>0.7777777778</v>
      </c>
      <c r="W806" s="4" t="str">
        <f>IFERROR(__xludf.DUMMYFUNCTION("""COMPUTED_VALUE"""),"Saipos Serviços De Software")</f>
        <v>Saipos Serviços De Software</v>
      </c>
      <c r="X806" s="33">
        <f>IFERROR(__xludf.DUMMYFUNCTION("""COMPUTED_VALUE"""),0.7777777777777778)</f>
        <v>0.7777777778</v>
      </c>
    </row>
    <row r="807">
      <c r="K807" s="4" t="str">
        <f>IFERROR(__xludf.DUMMYFUNCTION("""COMPUTED_VALUE"""),"ALL NATURAL")</f>
        <v>ALL NATURAL</v>
      </c>
      <c r="L807" s="32">
        <f>IFERROR(__xludf.DUMMYFUNCTION("""COMPUTED_VALUE"""),9.0)</f>
        <v>9</v>
      </c>
      <c r="M807" s="4" t="str">
        <f>IFERROR(__xludf.DUMMYFUNCTION("""COMPUTED_VALUE"""),"Dalcatech Automacao E Desenvolvimento De Software Ltda")</f>
        <v>Dalcatech Automacao E Desenvolvimento De Software Ltda</v>
      </c>
      <c r="N807" s="33">
        <f>IFERROR(__xludf.DUMMYFUNCTION("""COMPUTED_VALUE"""),1.0)</f>
        <v>1</v>
      </c>
      <c r="O807" s="4" t="str">
        <f>IFERROR(__xludf.DUMMYFUNCTION("""COMPUTED_VALUE"""),"Dalcatech Automacao E Desenvolvimento De Software Ltda")</f>
        <v>Dalcatech Automacao E Desenvolvimento De Software Ltda</v>
      </c>
      <c r="P807" s="33">
        <f>IFERROR(__xludf.DUMMYFUNCTION("""COMPUTED_VALUE"""),0.7777777777777778)</f>
        <v>0.7777777778</v>
      </c>
      <c r="Q807" s="4" t="str">
        <f>IFERROR(__xludf.DUMMYFUNCTION("""COMPUTED_VALUE"""),"Dalcatech Automacao E Desenvolvimento De Software Ltda")</f>
        <v>Dalcatech Automacao E Desenvolvimento De Software Ltda</v>
      </c>
      <c r="R807" s="33">
        <f>IFERROR(__xludf.DUMMYFUNCTION("""COMPUTED_VALUE"""),0.8888888888888888)</f>
        <v>0.8888888889</v>
      </c>
      <c r="S807" s="4" t="str">
        <f>IFERROR(__xludf.DUMMYFUNCTION("""COMPUTED_VALUE"""),"Dalcatech Automacao E Desenvolvimento De Software Ltda")</f>
        <v>Dalcatech Automacao E Desenvolvimento De Software Ltda</v>
      </c>
      <c r="T807" s="33">
        <f>IFERROR(__xludf.DUMMYFUNCTION("""COMPUTED_VALUE"""),0.6666666666666666)</f>
        <v>0.6666666667</v>
      </c>
      <c r="U807" s="4" t="str">
        <f>IFERROR(__xludf.DUMMYFUNCTION("""COMPUTED_VALUE"""),"Dalcatech Automacao E Desenvolvimento De Software Ltda")</f>
        <v>Dalcatech Automacao E Desenvolvimento De Software Ltda</v>
      </c>
      <c r="V807" s="33">
        <f>IFERROR(__xludf.DUMMYFUNCTION("""COMPUTED_VALUE"""),0.7777777777777778)</f>
        <v>0.7777777778</v>
      </c>
      <c r="W807" s="4" t="str">
        <f>IFERROR(__xludf.DUMMYFUNCTION("""COMPUTED_VALUE"""),"Dalcatech Automacao E Desenvolvimento De Software Ltda")</f>
        <v>Dalcatech Automacao E Desenvolvimento De Software Ltda</v>
      </c>
      <c r="X807" s="33">
        <f>IFERROR(__xludf.DUMMYFUNCTION("""COMPUTED_VALUE"""),0.8888888888888888)</f>
        <v>0.8888888889</v>
      </c>
    </row>
    <row r="808">
      <c r="K808" s="4" t="str">
        <f>IFERROR(__xludf.DUMMYFUNCTION("""COMPUTED_VALUE"""),"GRUPO ARCCA")</f>
        <v>GRUPO ARCCA</v>
      </c>
      <c r="L808" s="32">
        <f>IFERROR(__xludf.DUMMYFUNCTION("""COMPUTED_VALUE"""),9.0)</f>
        <v>9</v>
      </c>
      <c r="M808" s="4" t="str">
        <f>IFERROR(__xludf.DUMMYFUNCTION("""COMPUTED_VALUE"""),"Noah Sistemas Ltda")</f>
        <v>Noah Sistemas Ltda</v>
      </c>
      <c r="N808" s="33">
        <f>IFERROR(__xludf.DUMMYFUNCTION("""COMPUTED_VALUE"""),0.6666666666666666)</f>
        <v>0.6666666667</v>
      </c>
      <c r="O808" s="4" t="str">
        <f>IFERROR(__xludf.DUMMYFUNCTION("""COMPUTED_VALUE"""),"Noah Sistemas Ltda")</f>
        <v>Noah Sistemas Ltda</v>
      </c>
      <c r="P808" s="33">
        <f>IFERROR(__xludf.DUMMYFUNCTION("""COMPUTED_VALUE"""),0.6666666666666666)</f>
        <v>0.6666666667</v>
      </c>
      <c r="Q808" s="4" t="str">
        <f>IFERROR(__xludf.DUMMYFUNCTION("""COMPUTED_VALUE"""),"Noah Sistemas Ltda")</f>
        <v>Noah Sistemas Ltda</v>
      </c>
      <c r="R808" s="33">
        <f>IFERROR(__xludf.DUMMYFUNCTION("""COMPUTED_VALUE"""),0.4444444444444444)</f>
        <v>0.4444444444</v>
      </c>
      <c r="S808" s="4" t="str">
        <f>IFERROR(__xludf.DUMMYFUNCTION("""COMPUTED_VALUE"""),"Noah Sistemas Ltda")</f>
        <v>Noah Sistemas Ltda</v>
      </c>
      <c r="T808" s="33">
        <f>IFERROR(__xludf.DUMMYFUNCTION("""COMPUTED_VALUE"""),0.6666666666666666)</f>
        <v>0.6666666667</v>
      </c>
      <c r="U808" s="4" t="str">
        <f>IFERROR(__xludf.DUMMYFUNCTION("""COMPUTED_VALUE"""),"null")</f>
        <v>null</v>
      </c>
      <c r="V808" s="33">
        <f>IFERROR(__xludf.DUMMYFUNCTION("""COMPUTED_VALUE"""),0.5555555555555556)</f>
        <v>0.5555555556</v>
      </c>
      <c r="W808" s="4" t="str">
        <f>IFERROR(__xludf.DUMMYFUNCTION("""COMPUTED_VALUE"""),"Noah Sistemas Ltda")</f>
        <v>Noah Sistemas Ltda</v>
      </c>
      <c r="X808" s="33">
        <f>IFERROR(__xludf.DUMMYFUNCTION("""COMPUTED_VALUE"""),0.7777777777777778)</f>
        <v>0.7777777778</v>
      </c>
    </row>
    <row r="809">
      <c r="K809" s="4" t="str">
        <f>IFERROR(__xludf.DUMMYFUNCTION("""COMPUTED_VALUE"""),"AMERICAN FOOD - CONTA PAI")</f>
        <v>AMERICAN FOOD - CONTA PAI</v>
      </c>
      <c r="L809" s="32">
        <f>IFERROR(__xludf.DUMMYFUNCTION("""COMPUTED_VALUE"""),9.0)</f>
        <v>9</v>
      </c>
      <c r="M809" s="4" t="str">
        <f>IFERROR(__xludf.DUMMYFUNCTION("""COMPUTED_VALUE"""),"Saipos Serviços De Software")</f>
        <v>Saipos Serviços De Software</v>
      </c>
      <c r="N809" s="33">
        <f>IFERROR(__xludf.DUMMYFUNCTION("""COMPUTED_VALUE"""),0.8888888888888888)</f>
        <v>0.8888888889</v>
      </c>
      <c r="O809" s="4" t="str">
        <f>IFERROR(__xludf.DUMMYFUNCTION("""COMPUTED_VALUE"""),"Saipos Serviços De Software")</f>
        <v>Saipos Serviços De Software</v>
      </c>
      <c r="P809" s="33">
        <f>IFERROR(__xludf.DUMMYFUNCTION("""COMPUTED_VALUE"""),0.8888888888888888)</f>
        <v>0.8888888889</v>
      </c>
      <c r="Q809" s="4" t="str">
        <f>IFERROR(__xludf.DUMMYFUNCTION("""COMPUTED_VALUE"""),"Saipos Serviços De Software")</f>
        <v>Saipos Serviços De Software</v>
      </c>
      <c r="R809" s="33">
        <f>IFERROR(__xludf.DUMMYFUNCTION("""COMPUTED_VALUE"""),0.8888888888888888)</f>
        <v>0.8888888889</v>
      </c>
      <c r="S809" s="4" t="str">
        <f>IFERROR(__xludf.DUMMYFUNCTION("""COMPUTED_VALUE"""),"Saipos Serviços De Software")</f>
        <v>Saipos Serviços De Software</v>
      </c>
      <c r="T809" s="33">
        <f>IFERROR(__xludf.DUMMYFUNCTION("""COMPUTED_VALUE"""),0.8888888888888888)</f>
        <v>0.8888888889</v>
      </c>
      <c r="U809" s="4" t="str">
        <f>IFERROR(__xludf.DUMMYFUNCTION("""COMPUTED_VALUE"""),"Saipos Serviços De Software")</f>
        <v>Saipos Serviços De Software</v>
      </c>
      <c r="V809" s="33">
        <f>IFERROR(__xludf.DUMMYFUNCTION("""COMPUTED_VALUE"""),0.8888888888888888)</f>
        <v>0.8888888889</v>
      </c>
      <c r="W809" s="4" t="str">
        <f>IFERROR(__xludf.DUMMYFUNCTION("""COMPUTED_VALUE"""),"Saipos Serviços De Software")</f>
        <v>Saipos Serviços De Software</v>
      </c>
      <c r="X809" s="33">
        <f>IFERROR(__xludf.DUMMYFUNCTION("""COMPUTED_VALUE"""),0.8888888888888888)</f>
        <v>0.8888888889</v>
      </c>
    </row>
    <row r="810">
      <c r="K810" s="4" t="str">
        <f>IFERROR(__xludf.DUMMYFUNCTION("""COMPUTED_VALUE"""),"BAITA PIZZA - CONTA MARCA")</f>
        <v>BAITA PIZZA - CONTA MARCA</v>
      </c>
      <c r="L810" s="32">
        <f>IFERROR(__xludf.DUMMYFUNCTION("""COMPUTED_VALUE"""),9.0)</f>
        <v>9</v>
      </c>
      <c r="M810" s="4" t="str">
        <f>IFERROR(__xludf.DUMMYFUNCTION("""COMPUTED_VALUE"""),"Bitbar")</f>
        <v>Bitbar</v>
      </c>
      <c r="N810" s="33">
        <f>IFERROR(__xludf.DUMMYFUNCTION("""COMPUTED_VALUE"""),1.0)</f>
        <v>1</v>
      </c>
      <c r="O810" s="4" t="str">
        <f>IFERROR(__xludf.DUMMYFUNCTION("""COMPUTED_VALUE"""),"null")</f>
        <v>null</v>
      </c>
      <c r="P810" s="33">
        <f>IFERROR(__xludf.DUMMYFUNCTION("""COMPUTED_VALUE"""),0.7777777777777778)</f>
        <v>0.7777777778</v>
      </c>
      <c r="Q810" s="4" t="str">
        <f>IFERROR(__xludf.DUMMYFUNCTION("""COMPUTED_VALUE"""),"null")</f>
        <v>null</v>
      </c>
      <c r="R810" s="33">
        <f>IFERROR(__xludf.DUMMYFUNCTION("""COMPUTED_VALUE"""),0.8888888888888888)</f>
        <v>0.8888888889</v>
      </c>
      <c r="S810" s="4" t="str">
        <f>IFERROR(__xludf.DUMMYFUNCTION("""COMPUTED_VALUE"""),"null")</f>
        <v>null</v>
      </c>
      <c r="T810" s="33">
        <f>IFERROR(__xludf.DUMMYFUNCTION("""COMPUTED_VALUE"""),0.8888888888888888)</f>
        <v>0.8888888889</v>
      </c>
      <c r="U810" s="4" t="str">
        <f>IFERROR(__xludf.DUMMYFUNCTION("""COMPUTED_VALUE"""),"null")</f>
        <v>null</v>
      </c>
      <c r="V810" s="33">
        <f>IFERROR(__xludf.DUMMYFUNCTION("""COMPUTED_VALUE"""),0.8888888888888888)</f>
        <v>0.8888888889</v>
      </c>
      <c r="W810" s="4" t="str">
        <f>IFERROR(__xludf.DUMMYFUNCTION("""COMPUTED_VALUE"""),"null")</f>
        <v>null</v>
      </c>
      <c r="X810" s="33">
        <f>IFERROR(__xludf.DUMMYFUNCTION("""COMPUTED_VALUE"""),0.7777777777777778)</f>
        <v>0.7777777778</v>
      </c>
    </row>
    <row r="811">
      <c r="K811" s="4" t="str">
        <f>IFERROR(__xludf.DUMMYFUNCTION("""COMPUTED_VALUE"""),"BALANCE")</f>
        <v>BALANCE</v>
      </c>
      <c r="L811" s="32">
        <f>IFERROR(__xludf.DUMMYFUNCTION("""COMPUTED_VALUE"""),9.0)</f>
        <v>9</v>
      </c>
      <c r="M811" s="4" t="str">
        <f>IFERROR(__xludf.DUMMYFUNCTION("""COMPUTED_VALUE"""),"Saipos Serviços De Software")</f>
        <v>Saipos Serviços De Software</v>
      </c>
      <c r="N811" s="33">
        <f>IFERROR(__xludf.DUMMYFUNCTION("""COMPUTED_VALUE"""),1.0)</f>
        <v>1</v>
      </c>
      <c r="O811" s="4" t="str">
        <f>IFERROR(__xludf.DUMMYFUNCTION("""COMPUTED_VALUE"""),"Saipos Serviços De Software")</f>
        <v>Saipos Serviços De Software</v>
      </c>
      <c r="P811" s="33">
        <f>IFERROR(__xludf.DUMMYFUNCTION("""COMPUTED_VALUE"""),1.0)</f>
        <v>1</v>
      </c>
      <c r="Q811" s="4" t="str">
        <f>IFERROR(__xludf.DUMMYFUNCTION("""COMPUTED_VALUE"""),"Saipos Serviços De Software")</f>
        <v>Saipos Serviços De Software</v>
      </c>
      <c r="R811" s="33">
        <f>IFERROR(__xludf.DUMMYFUNCTION("""COMPUTED_VALUE"""),1.0)</f>
        <v>1</v>
      </c>
      <c r="S811" s="4" t="str">
        <f>IFERROR(__xludf.DUMMYFUNCTION("""COMPUTED_VALUE"""),"Saipos Serviços De Software")</f>
        <v>Saipos Serviços De Software</v>
      </c>
      <c r="T811" s="33">
        <f>IFERROR(__xludf.DUMMYFUNCTION("""COMPUTED_VALUE"""),1.0)</f>
        <v>1</v>
      </c>
      <c r="U811" s="4" t="str">
        <f>IFERROR(__xludf.DUMMYFUNCTION("""COMPUTED_VALUE"""),"Saipos Serviços De Software")</f>
        <v>Saipos Serviços De Software</v>
      </c>
      <c r="V811" s="33">
        <f>IFERROR(__xludf.DUMMYFUNCTION("""COMPUTED_VALUE"""),1.0)</f>
        <v>1</v>
      </c>
      <c r="W811" s="4" t="str">
        <f>IFERROR(__xludf.DUMMYFUNCTION("""COMPUTED_VALUE"""),"Saipos Serviços De Software")</f>
        <v>Saipos Serviços De Software</v>
      </c>
      <c r="X811" s="33">
        <f>IFERROR(__xludf.DUMMYFUNCTION("""COMPUTED_VALUE"""),1.0)</f>
        <v>1</v>
      </c>
    </row>
    <row r="812">
      <c r="K812" s="4" t="str">
        <f>IFERROR(__xludf.DUMMYFUNCTION("""COMPUTED_VALUE"""),"BEBS")</f>
        <v>BEBS</v>
      </c>
      <c r="L812" s="32">
        <f>IFERROR(__xludf.DUMMYFUNCTION("""COMPUTED_VALUE"""),9.0)</f>
        <v>9</v>
      </c>
      <c r="M812" s="4" t="str">
        <f>IFERROR(__xludf.DUMMYFUNCTION("""COMPUTED_VALUE"""),"Hubster")</f>
        <v>Hubster</v>
      </c>
      <c r="N812" s="33">
        <f>IFERROR(__xludf.DUMMYFUNCTION("""COMPUTED_VALUE"""),0.7777777777777778)</f>
        <v>0.7777777778</v>
      </c>
      <c r="O812" s="4" t="str">
        <f>IFERROR(__xludf.DUMMYFUNCTION("""COMPUTED_VALUE"""),"Hubster")</f>
        <v>Hubster</v>
      </c>
      <c r="P812" s="33">
        <f>IFERROR(__xludf.DUMMYFUNCTION("""COMPUTED_VALUE"""),0.7777777777777778)</f>
        <v>0.7777777778</v>
      </c>
      <c r="Q812" s="4" t="str">
        <f>IFERROR(__xludf.DUMMYFUNCTION("""COMPUTED_VALUE"""),"Hubster")</f>
        <v>Hubster</v>
      </c>
      <c r="R812" s="33">
        <f>IFERROR(__xludf.DUMMYFUNCTION("""COMPUTED_VALUE"""),0.6666666666666666)</f>
        <v>0.6666666667</v>
      </c>
      <c r="S812" s="4" t="str">
        <f>IFERROR(__xludf.DUMMYFUNCTION("""COMPUTED_VALUE"""),"Hubster")</f>
        <v>Hubster</v>
      </c>
      <c r="T812" s="33">
        <f>IFERROR(__xludf.DUMMYFUNCTION("""COMPUTED_VALUE"""),0.5555555555555556)</f>
        <v>0.5555555556</v>
      </c>
      <c r="U812" s="4" t="str">
        <f>IFERROR(__xludf.DUMMYFUNCTION("""COMPUTED_VALUE"""),"Hubster")</f>
        <v>Hubster</v>
      </c>
      <c r="V812" s="33">
        <f>IFERROR(__xludf.DUMMYFUNCTION("""COMPUTED_VALUE"""),0.5555555555555556)</f>
        <v>0.5555555556</v>
      </c>
      <c r="W812" s="4" t="str">
        <f>IFERROR(__xludf.DUMMYFUNCTION("""COMPUTED_VALUE"""),"null")</f>
        <v>null</v>
      </c>
      <c r="X812" s="33">
        <f>IFERROR(__xludf.DUMMYFUNCTION("""COMPUTED_VALUE"""),0.6666666666666666)</f>
        <v>0.6666666667</v>
      </c>
    </row>
    <row r="813">
      <c r="K813" s="4" t="str">
        <f>IFERROR(__xludf.DUMMYFUNCTION("""COMPUTED_VALUE"""),"GRUPO FEITO FLORIANOPOLIS")</f>
        <v>GRUPO FEITO FLORIANOPOLIS</v>
      </c>
      <c r="L813" s="32">
        <f>IFERROR(__xludf.DUMMYFUNCTION("""COMPUTED_VALUE"""),9.0)</f>
        <v>9</v>
      </c>
      <c r="M813" s="4" t="str">
        <f>IFERROR(__xludf.DUMMYFUNCTION("""COMPUTED_VALUE"""),"Saipos Serviços De Software")</f>
        <v>Saipos Serviços De Software</v>
      </c>
      <c r="N813" s="33">
        <f>IFERROR(__xludf.DUMMYFUNCTION("""COMPUTED_VALUE"""),0.4444444444444444)</f>
        <v>0.4444444444</v>
      </c>
      <c r="O813" s="4" t="str">
        <f>IFERROR(__xludf.DUMMYFUNCTION("""COMPUTED_VALUE"""),"Saipos Serviços De Software")</f>
        <v>Saipos Serviços De Software</v>
      </c>
      <c r="P813" s="33">
        <f>IFERROR(__xludf.DUMMYFUNCTION("""COMPUTED_VALUE"""),0.4444444444444444)</f>
        <v>0.4444444444</v>
      </c>
      <c r="Q813" s="4" t="str">
        <f>IFERROR(__xludf.DUMMYFUNCTION("""COMPUTED_VALUE"""),"null")</f>
        <v>null</v>
      </c>
      <c r="R813" s="33">
        <f>IFERROR(__xludf.DUMMYFUNCTION("""COMPUTED_VALUE"""),0.4444444444444444)</f>
        <v>0.4444444444</v>
      </c>
      <c r="S813" s="4" t="str">
        <f>IFERROR(__xludf.DUMMYFUNCTION("""COMPUTED_VALUE"""),"null")</f>
        <v>null</v>
      </c>
      <c r="T813" s="33">
        <f>IFERROR(__xludf.DUMMYFUNCTION("""COMPUTED_VALUE"""),0.4444444444444444)</f>
        <v>0.4444444444</v>
      </c>
      <c r="U813" s="4" t="str">
        <f>IFERROR(__xludf.DUMMYFUNCTION("""COMPUTED_VALUE"""),"Saipos Serviços De Software")</f>
        <v>Saipos Serviços De Software</v>
      </c>
      <c r="V813" s="33">
        <f>IFERROR(__xludf.DUMMYFUNCTION("""COMPUTED_VALUE"""),0.4444444444444444)</f>
        <v>0.4444444444</v>
      </c>
      <c r="W813" s="4" t="str">
        <f>IFERROR(__xludf.DUMMYFUNCTION("""COMPUTED_VALUE"""),"Saipos Serviços De Software")</f>
        <v>Saipos Serviços De Software</v>
      </c>
      <c r="X813" s="33">
        <f>IFERROR(__xludf.DUMMYFUNCTION("""COMPUTED_VALUE"""),0.4444444444444444)</f>
        <v>0.4444444444</v>
      </c>
    </row>
    <row r="814">
      <c r="K814" s="4" t="str">
        <f>IFERROR(__xludf.DUMMYFUNCTION("""COMPUTED_VALUE"""),"BIOMAXFARMA - CONTA PAI")</f>
        <v>BIOMAXFARMA - CONTA PAI</v>
      </c>
      <c r="L814" s="32">
        <f>IFERROR(__xludf.DUMMYFUNCTION("""COMPUTED_VALUE"""),9.0)</f>
        <v>9</v>
      </c>
      <c r="M814" s="4" t="str">
        <f>IFERROR(__xludf.DUMMYFUNCTION("""COMPUTED_VALUE"""),"N/A (Not found)")</f>
        <v>N/A (Not found)</v>
      </c>
      <c r="N814" s="33">
        <f>IFERROR(__xludf.DUMMYFUNCTION("""COMPUTED_VALUE"""),1.0)</f>
        <v>1</v>
      </c>
      <c r="O814" s="4" t="str">
        <f>IFERROR(__xludf.DUMMYFUNCTION("""COMPUTED_VALUE"""),"N/A (Not found)")</f>
        <v>N/A (Not found)</v>
      </c>
      <c r="P814" s="33">
        <f>IFERROR(__xludf.DUMMYFUNCTION("""COMPUTED_VALUE"""),1.0)</f>
        <v>1</v>
      </c>
      <c r="Q814" s="4" t="str">
        <f>IFERROR(__xludf.DUMMYFUNCTION("""COMPUTED_VALUE"""),"N/A (Not found)")</f>
        <v>N/A (Not found)</v>
      </c>
      <c r="R814" s="33">
        <f>IFERROR(__xludf.DUMMYFUNCTION("""COMPUTED_VALUE"""),1.0)</f>
        <v>1</v>
      </c>
      <c r="S814" s="4" t="str">
        <f>IFERROR(__xludf.DUMMYFUNCTION("""COMPUTED_VALUE"""),"N/A (Not found)")</f>
        <v>N/A (Not found)</v>
      </c>
      <c r="T814" s="33">
        <f>IFERROR(__xludf.DUMMYFUNCTION("""COMPUTED_VALUE"""),0.8888888888888888)</f>
        <v>0.8888888889</v>
      </c>
      <c r="U814" s="4" t="str">
        <f>IFERROR(__xludf.DUMMYFUNCTION("""COMPUTED_VALUE"""),"N/A (Not found)")</f>
        <v>N/A (Not found)</v>
      </c>
      <c r="V814" s="33">
        <f>IFERROR(__xludf.DUMMYFUNCTION("""COMPUTED_VALUE"""),1.0)</f>
        <v>1</v>
      </c>
      <c r="W814" s="4" t="str">
        <f>IFERROR(__xludf.DUMMYFUNCTION("""COMPUTED_VALUE"""),"N/A (Not found)")</f>
        <v>N/A (Not found)</v>
      </c>
      <c r="X814" s="33">
        <f>IFERROR(__xludf.DUMMYFUNCTION("""COMPUTED_VALUE"""),0.8888888888888888)</f>
        <v>0.8888888889</v>
      </c>
    </row>
    <row r="815">
      <c r="K815" s="4" t="str">
        <f>IFERROR(__xludf.DUMMYFUNCTION("""COMPUTED_VALUE"""),"BLACK DOG")</f>
        <v>BLACK DOG</v>
      </c>
      <c r="L815" s="32">
        <f>IFERROR(__xludf.DUMMYFUNCTION("""COMPUTED_VALUE"""),9.0)</f>
        <v>9</v>
      </c>
      <c r="M815" s="4" t="str">
        <f>IFERROR(__xludf.DUMMYFUNCTION("""COMPUTED_VALUE"""),"T4l Tecnologia Ltda Me")</f>
        <v>T4l Tecnologia Ltda Me</v>
      </c>
      <c r="N815" s="33">
        <f>IFERROR(__xludf.DUMMYFUNCTION("""COMPUTED_VALUE"""),0.8888888888888888)</f>
        <v>0.8888888889</v>
      </c>
      <c r="O815" s="4" t="str">
        <f>IFERROR(__xludf.DUMMYFUNCTION("""COMPUTED_VALUE"""),"T4l Tecnologia Ltda Me")</f>
        <v>T4l Tecnologia Ltda Me</v>
      </c>
      <c r="P815" s="33">
        <f>IFERROR(__xludf.DUMMYFUNCTION("""COMPUTED_VALUE"""),1.0)</f>
        <v>1</v>
      </c>
      <c r="Q815" s="4" t="str">
        <f>IFERROR(__xludf.DUMMYFUNCTION("""COMPUTED_VALUE"""),"T4l Tecnologia Ltda Me")</f>
        <v>T4l Tecnologia Ltda Me</v>
      </c>
      <c r="R815" s="33">
        <f>IFERROR(__xludf.DUMMYFUNCTION("""COMPUTED_VALUE"""),0.8888888888888888)</f>
        <v>0.8888888889</v>
      </c>
      <c r="S815" s="4" t="str">
        <f>IFERROR(__xludf.DUMMYFUNCTION("""COMPUTED_VALUE"""),"T4l Tecnologia Ltda Me")</f>
        <v>T4l Tecnologia Ltda Me</v>
      </c>
      <c r="T815" s="33">
        <f>IFERROR(__xludf.DUMMYFUNCTION("""COMPUTED_VALUE"""),0.8888888888888888)</f>
        <v>0.8888888889</v>
      </c>
      <c r="U815" s="4" t="str">
        <f>IFERROR(__xludf.DUMMYFUNCTION("""COMPUTED_VALUE"""),"T4l Tecnologia Ltda Me")</f>
        <v>T4l Tecnologia Ltda Me</v>
      </c>
      <c r="V815" s="33">
        <f>IFERROR(__xludf.DUMMYFUNCTION("""COMPUTED_VALUE"""),0.7777777777777778)</f>
        <v>0.7777777778</v>
      </c>
      <c r="W815" s="4" t="str">
        <f>IFERROR(__xludf.DUMMYFUNCTION("""COMPUTED_VALUE"""),"T4l Tecnologia Ltda Me")</f>
        <v>T4l Tecnologia Ltda Me</v>
      </c>
      <c r="X815" s="33">
        <f>IFERROR(__xludf.DUMMYFUNCTION("""COMPUTED_VALUE"""),0.7777777777777778)</f>
        <v>0.7777777778</v>
      </c>
    </row>
    <row r="816">
      <c r="K816" s="4" t="str">
        <f>IFERROR(__xludf.DUMMYFUNCTION("""COMPUTED_VALUE"""),"BLEM PADARIA PORTUGUESA")</f>
        <v>BLEM PADARIA PORTUGUESA</v>
      </c>
      <c r="L816" s="32">
        <f>IFERROR(__xludf.DUMMYFUNCTION("""COMPUTED_VALUE"""),9.0)</f>
        <v>9</v>
      </c>
      <c r="M816" s="4" t="str">
        <f>IFERROR(__xludf.DUMMYFUNCTION("""COMPUTED_VALUE"""),"Gcom - Gestao Em Tecnologia De Informacao Eireli")</f>
        <v>Gcom - Gestao Em Tecnologia De Informacao Eireli</v>
      </c>
      <c r="N816" s="33">
        <f>IFERROR(__xludf.DUMMYFUNCTION("""COMPUTED_VALUE"""),0.8888888888888888)</f>
        <v>0.8888888889</v>
      </c>
      <c r="O816" s="4" t="str">
        <f>IFERROR(__xludf.DUMMYFUNCTION("""COMPUTED_VALUE"""),"Gcom - Gestao Em Tecnologia De Informacao Eireli")</f>
        <v>Gcom - Gestao Em Tecnologia De Informacao Eireli</v>
      </c>
      <c r="P816" s="33">
        <f>IFERROR(__xludf.DUMMYFUNCTION("""COMPUTED_VALUE"""),0.5555555555555556)</f>
        <v>0.5555555556</v>
      </c>
      <c r="Q816" s="4" t="str">
        <f>IFERROR(__xludf.DUMMYFUNCTION("""COMPUTED_VALUE"""),"null")</f>
        <v>null</v>
      </c>
      <c r="R816" s="33">
        <f>IFERROR(__xludf.DUMMYFUNCTION("""COMPUTED_VALUE"""),0.5555555555555556)</f>
        <v>0.5555555556</v>
      </c>
      <c r="S816" s="4" t="str">
        <f>IFERROR(__xludf.DUMMYFUNCTION("""COMPUTED_VALUE"""),"null")</f>
        <v>null</v>
      </c>
      <c r="T816" s="33">
        <f>IFERROR(__xludf.DUMMYFUNCTION("""COMPUTED_VALUE"""),0.7777777777777778)</f>
        <v>0.7777777778</v>
      </c>
      <c r="U816" s="4" t="str">
        <f>IFERROR(__xludf.DUMMYFUNCTION("""COMPUTED_VALUE"""),"null")</f>
        <v>null</v>
      </c>
      <c r="V816" s="33">
        <f>IFERROR(__xludf.DUMMYFUNCTION("""COMPUTED_VALUE"""),0.7777777777777778)</f>
        <v>0.7777777778</v>
      </c>
      <c r="W816" s="4" t="str">
        <f>IFERROR(__xludf.DUMMYFUNCTION("""COMPUTED_VALUE"""),"null")</f>
        <v>null</v>
      </c>
      <c r="X816" s="33">
        <f>IFERROR(__xludf.DUMMYFUNCTION("""COMPUTED_VALUE"""),0.7777777777777778)</f>
        <v>0.7777777778</v>
      </c>
    </row>
    <row r="817">
      <c r="K817" s="4" t="str">
        <f>IFERROR(__xludf.DUMMYFUNCTION("""COMPUTED_VALUE"""),"BROS PIZZAS - CONTA PAI")</f>
        <v>BROS PIZZAS - CONTA PAI</v>
      </c>
      <c r="L817" s="32">
        <f>IFERROR(__xludf.DUMMYFUNCTION("""COMPUTED_VALUE"""),9.0)</f>
        <v>9</v>
      </c>
      <c r="M817" s="4" t="str">
        <f>IFERROR(__xludf.DUMMYFUNCTION("""COMPUTED_VALUE"""),"Saipos Serviços De Software")</f>
        <v>Saipos Serviços De Software</v>
      </c>
      <c r="N817" s="33">
        <f>IFERROR(__xludf.DUMMYFUNCTION("""COMPUTED_VALUE"""),0.6666666666666666)</f>
        <v>0.6666666667</v>
      </c>
      <c r="O817" s="4" t="str">
        <f>IFERROR(__xludf.DUMMYFUNCTION("""COMPUTED_VALUE"""),"Saipos Serviços De Software")</f>
        <v>Saipos Serviços De Software</v>
      </c>
      <c r="P817" s="33">
        <f>IFERROR(__xludf.DUMMYFUNCTION("""COMPUTED_VALUE"""),0.8888888888888888)</f>
        <v>0.8888888889</v>
      </c>
      <c r="Q817" s="4" t="str">
        <f>IFERROR(__xludf.DUMMYFUNCTION("""COMPUTED_VALUE"""),"Saipos Serviços De Software")</f>
        <v>Saipos Serviços De Software</v>
      </c>
      <c r="R817" s="33">
        <f>IFERROR(__xludf.DUMMYFUNCTION("""COMPUTED_VALUE"""),0.8888888888888888)</f>
        <v>0.8888888889</v>
      </c>
      <c r="S817" s="4" t="str">
        <f>IFERROR(__xludf.DUMMYFUNCTION("""COMPUTED_VALUE"""),"Saipos Serviços De Software")</f>
        <v>Saipos Serviços De Software</v>
      </c>
      <c r="T817" s="33">
        <f>IFERROR(__xludf.DUMMYFUNCTION("""COMPUTED_VALUE"""),0.8888888888888888)</f>
        <v>0.8888888889</v>
      </c>
      <c r="U817" s="4" t="str">
        <f>IFERROR(__xludf.DUMMYFUNCTION("""COMPUTED_VALUE"""),"Saipos Serviços De Software")</f>
        <v>Saipos Serviços De Software</v>
      </c>
      <c r="V817" s="33">
        <f>IFERROR(__xludf.DUMMYFUNCTION("""COMPUTED_VALUE"""),0.8888888888888888)</f>
        <v>0.8888888889</v>
      </c>
      <c r="W817" s="4" t="str">
        <f>IFERROR(__xludf.DUMMYFUNCTION("""COMPUTED_VALUE"""),"Saipos Serviços De Software")</f>
        <v>Saipos Serviços De Software</v>
      </c>
      <c r="X817" s="33">
        <f>IFERROR(__xludf.DUMMYFUNCTION("""COMPUTED_VALUE"""),1.0)</f>
        <v>1</v>
      </c>
    </row>
    <row r="818">
      <c r="K818" s="4" t="str">
        <f>IFERROR(__xludf.DUMMYFUNCTION("""COMPUTED_VALUE"""),"BURGERS RIO")</f>
        <v>BURGERS RIO</v>
      </c>
      <c r="L818" s="32">
        <f>IFERROR(__xludf.DUMMYFUNCTION("""COMPUTED_VALUE"""),9.0)</f>
        <v>9</v>
      </c>
      <c r="M818" s="4" t="str">
        <f>IFERROR(__xludf.DUMMYFUNCTION("""COMPUTED_VALUE"""),"Eclética Tecnologia")</f>
        <v>Eclética Tecnologia</v>
      </c>
      <c r="N818" s="33">
        <f>IFERROR(__xludf.DUMMYFUNCTION("""COMPUTED_VALUE"""),0.7777777777777778)</f>
        <v>0.7777777778</v>
      </c>
      <c r="O818" s="4" t="str">
        <f>IFERROR(__xludf.DUMMYFUNCTION("""COMPUTED_VALUE"""),"Eclética Tecnologia")</f>
        <v>Eclética Tecnologia</v>
      </c>
      <c r="P818" s="33">
        <f>IFERROR(__xludf.DUMMYFUNCTION("""COMPUTED_VALUE"""),0.6666666666666666)</f>
        <v>0.6666666667</v>
      </c>
      <c r="Q818" s="4" t="str">
        <f>IFERROR(__xludf.DUMMYFUNCTION("""COMPUTED_VALUE"""),"Eclética Tecnologia")</f>
        <v>Eclética Tecnologia</v>
      </c>
      <c r="R818" s="33">
        <f>IFERROR(__xludf.DUMMYFUNCTION("""COMPUTED_VALUE"""),0.7777777777777778)</f>
        <v>0.7777777778</v>
      </c>
      <c r="S818" s="4" t="str">
        <f>IFERROR(__xludf.DUMMYFUNCTION("""COMPUTED_VALUE"""),"Eclética Tecnologia")</f>
        <v>Eclética Tecnologia</v>
      </c>
      <c r="T818" s="33">
        <f>IFERROR(__xludf.DUMMYFUNCTION("""COMPUTED_VALUE"""),0.7777777777777778)</f>
        <v>0.7777777778</v>
      </c>
      <c r="U818" s="4" t="str">
        <f>IFERROR(__xludf.DUMMYFUNCTION("""COMPUTED_VALUE"""),"Eclética Tecnologia")</f>
        <v>Eclética Tecnologia</v>
      </c>
      <c r="V818" s="33">
        <f>IFERROR(__xludf.DUMMYFUNCTION("""COMPUTED_VALUE"""),0.5555555555555556)</f>
        <v>0.5555555556</v>
      </c>
      <c r="W818" s="4" t="str">
        <f>IFERROR(__xludf.DUMMYFUNCTION("""COMPUTED_VALUE"""),"Saipos Serviços De Software")</f>
        <v>Saipos Serviços De Software</v>
      </c>
      <c r="X818" s="33">
        <f>IFERROR(__xludf.DUMMYFUNCTION("""COMPUTED_VALUE"""),0.6666666666666666)</f>
        <v>0.6666666667</v>
      </c>
    </row>
    <row r="819">
      <c r="K819" s="4" t="str">
        <f>IFERROR(__xludf.DUMMYFUNCTION("""COMPUTED_VALUE"""),"BUSGER")</f>
        <v>BUSGER</v>
      </c>
      <c r="L819" s="32">
        <f>IFERROR(__xludf.DUMMYFUNCTION("""COMPUTED_VALUE"""),9.0)</f>
        <v>9</v>
      </c>
      <c r="M819" s="4" t="str">
        <f>IFERROR(__xludf.DUMMYFUNCTION("""COMPUTED_VALUE"""),"Eclética Tecnologia")</f>
        <v>Eclética Tecnologia</v>
      </c>
      <c r="N819" s="33">
        <f>IFERROR(__xludf.DUMMYFUNCTION("""COMPUTED_VALUE"""),1.0)</f>
        <v>1</v>
      </c>
      <c r="O819" s="4" t="str">
        <f>IFERROR(__xludf.DUMMYFUNCTION("""COMPUTED_VALUE"""),"Eclética Tecnologia")</f>
        <v>Eclética Tecnologia</v>
      </c>
      <c r="P819" s="33">
        <f>IFERROR(__xludf.DUMMYFUNCTION("""COMPUTED_VALUE"""),1.0)</f>
        <v>1</v>
      </c>
      <c r="Q819" s="4" t="str">
        <f>IFERROR(__xludf.DUMMYFUNCTION("""COMPUTED_VALUE"""),"Eclética Tecnologia")</f>
        <v>Eclética Tecnologia</v>
      </c>
      <c r="R819" s="33">
        <f>IFERROR(__xludf.DUMMYFUNCTION("""COMPUTED_VALUE"""),1.0)</f>
        <v>1</v>
      </c>
      <c r="S819" s="4" t="str">
        <f>IFERROR(__xludf.DUMMYFUNCTION("""COMPUTED_VALUE"""),"Eclética Tecnologia")</f>
        <v>Eclética Tecnologia</v>
      </c>
      <c r="T819" s="33">
        <f>IFERROR(__xludf.DUMMYFUNCTION("""COMPUTED_VALUE"""),1.0)</f>
        <v>1</v>
      </c>
      <c r="U819" s="4" t="str">
        <f>IFERROR(__xludf.DUMMYFUNCTION("""COMPUTED_VALUE"""),"Eclética Tecnologia")</f>
        <v>Eclética Tecnologia</v>
      </c>
      <c r="V819" s="33">
        <f>IFERROR(__xludf.DUMMYFUNCTION("""COMPUTED_VALUE"""),1.0)</f>
        <v>1</v>
      </c>
      <c r="W819" s="4" t="str">
        <f>IFERROR(__xludf.DUMMYFUNCTION("""COMPUTED_VALUE"""),"Eclética Tecnologia")</f>
        <v>Eclética Tecnologia</v>
      </c>
      <c r="X819" s="33">
        <f>IFERROR(__xludf.DUMMYFUNCTION("""COMPUTED_VALUE"""),1.0)</f>
        <v>1</v>
      </c>
    </row>
    <row r="820">
      <c r="K820" s="4" t="str">
        <f>IFERROR(__xludf.DUMMYFUNCTION("""COMPUTED_VALUE"""),"CACAO SAUDAVEL CONTA MARCA")</f>
        <v>CACAO SAUDAVEL CONTA MARCA</v>
      </c>
      <c r="L820" s="32">
        <f>IFERROR(__xludf.DUMMYFUNCTION("""COMPUTED_VALUE"""),9.0)</f>
        <v>9</v>
      </c>
      <c r="M820" s="4" t="str">
        <f>IFERROR(__xludf.DUMMYFUNCTION("""COMPUTED_VALUE"""),"null")</f>
        <v>null</v>
      </c>
      <c r="N820" s="33">
        <f>IFERROR(__xludf.DUMMYFUNCTION("""COMPUTED_VALUE"""),0.3333333333333333)</f>
        <v>0.3333333333</v>
      </c>
      <c r="O820" s="4" t="str">
        <f>IFERROR(__xludf.DUMMYFUNCTION("""COMPUTED_VALUE"""),"Agilizup Solucoes Ltda")</f>
        <v>Agilizup Solucoes Ltda</v>
      </c>
      <c r="P820" s="33">
        <f>IFERROR(__xludf.DUMMYFUNCTION("""COMPUTED_VALUE"""),0.3333333333333333)</f>
        <v>0.3333333333</v>
      </c>
      <c r="Q820" s="4" t="str">
        <f>IFERROR(__xludf.DUMMYFUNCTION("""COMPUTED_VALUE"""),"null")</f>
        <v>null</v>
      </c>
      <c r="R820" s="33">
        <f>IFERROR(__xludf.DUMMYFUNCTION("""COMPUTED_VALUE"""),0.5555555555555556)</f>
        <v>0.5555555556</v>
      </c>
      <c r="S820" s="4" t="str">
        <f>IFERROR(__xludf.DUMMYFUNCTION("""COMPUTED_VALUE"""),"null")</f>
        <v>null</v>
      </c>
      <c r="T820" s="33">
        <f>IFERROR(__xludf.DUMMYFUNCTION("""COMPUTED_VALUE"""),0.4444444444444444)</f>
        <v>0.4444444444</v>
      </c>
      <c r="U820" s="4" t="str">
        <f>IFERROR(__xludf.DUMMYFUNCTION("""COMPUTED_VALUE"""),"null")</f>
        <v>null</v>
      </c>
      <c r="V820" s="33">
        <f>IFERROR(__xludf.DUMMYFUNCTION("""COMPUTED_VALUE"""),0.4444444444444444)</f>
        <v>0.4444444444</v>
      </c>
      <c r="W820" s="4" t="str">
        <f>IFERROR(__xludf.DUMMYFUNCTION("""COMPUTED_VALUE"""),"null")</f>
        <v>null</v>
      </c>
      <c r="X820" s="33">
        <f>IFERROR(__xludf.DUMMYFUNCTION("""COMPUTED_VALUE"""),0.4444444444444444)</f>
        <v>0.4444444444</v>
      </c>
    </row>
    <row r="821">
      <c r="K821" s="4" t="str">
        <f>IFERROR(__xludf.DUMMYFUNCTION("""COMPUTED_VALUE"""),"CASA DE BOLOS")</f>
        <v>CASA DE BOLOS</v>
      </c>
      <c r="L821" s="32">
        <f>IFERROR(__xludf.DUMMYFUNCTION("""COMPUTED_VALUE"""),9.0)</f>
        <v>9</v>
      </c>
      <c r="M821" s="4" t="str">
        <f>IFERROR(__xludf.DUMMYFUNCTION("""COMPUTED_VALUE"""),"null")</f>
        <v>null</v>
      </c>
      <c r="N821" s="33">
        <f>IFERROR(__xludf.DUMMYFUNCTION("""COMPUTED_VALUE"""),0.3333333333333333)</f>
        <v>0.3333333333</v>
      </c>
      <c r="O821" s="4" t="str">
        <f>IFERROR(__xludf.DUMMYFUNCTION("""COMPUTED_VALUE"""),"null")</f>
        <v>null</v>
      </c>
      <c r="P821" s="33">
        <f>IFERROR(__xludf.DUMMYFUNCTION("""COMPUTED_VALUE"""),0.3333333333333333)</f>
        <v>0.3333333333</v>
      </c>
      <c r="Q821" s="4" t="str">
        <f>IFERROR(__xludf.DUMMYFUNCTION("""COMPUTED_VALUE"""),"null")</f>
        <v>null</v>
      </c>
      <c r="R821" s="33">
        <f>IFERROR(__xludf.DUMMYFUNCTION("""COMPUTED_VALUE"""),0.5555555555555556)</f>
        <v>0.5555555556</v>
      </c>
      <c r="S821" s="4" t="str">
        <f>IFERROR(__xludf.DUMMYFUNCTION("""COMPUTED_VALUE"""),"Nextage Sistemas De Informatica Ltda")</f>
        <v>Nextage Sistemas De Informatica Ltda</v>
      </c>
      <c r="T821" s="33">
        <f>IFERROR(__xludf.DUMMYFUNCTION("""COMPUTED_VALUE"""),0.3333333333333333)</f>
        <v>0.3333333333</v>
      </c>
      <c r="U821" s="4" t="str">
        <f>IFERROR(__xludf.DUMMYFUNCTION("""COMPUTED_VALUE"""),"null")</f>
        <v>null</v>
      </c>
      <c r="V821" s="33">
        <f>IFERROR(__xludf.DUMMYFUNCTION("""COMPUTED_VALUE"""),0.4444444444444444)</f>
        <v>0.4444444444</v>
      </c>
      <c r="W821" s="4" t="str">
        <f>IFERROR(__xludf.DUMMYFUNCTION("""COMPUTED_VALUE"""),"null")</f>
        <v>null</v>
      </c>
      <c r="X821" s="33">
        <f>IFERROR(__xludf.DUMMYFUNCTION("""COMPUTED_VALUE"""),0.5555555555555556)</f>
        <v>0.5555555556</v>
      </c>
    </row>
    <row r="822">
      <c r="K822" s="4" t="str">
        <f>IFERROR(__xludf.DUMMYFUNCTION("""COMPUTED_VALUE"""),"CAVENDISH")</f>
        <v>CAVENDISH</v>
      </c>
      <c r="L822" s="32">
        <f>IFERROR(__xludf.DUMMYFUNCTION("""COMPUTED_VALUE"""),9.0)</f>
        <v>9</v>
      </c>
      <c r="M822" s="4" t="str">
        <f>IFERROR(__xludf.DUMMYFUNCTION("""COMPUTED_VALUE"""),"null")</f>
        <v>null</v>
      </c>
      <c r="N822" s="33">
        <f>IFERROR(__xludf.DUMMYFUNCTION("""COMPUTED_VALUE"""),0.6666666666666666)</f>
        <v>0.6666666667</v>
      </c>
      <c r="O822" s="4" t="str">
        <f>IFERROR(__xludf.DUMMYFUNCTION("""COMPUTED_VALUE"""),"Saipos Serviços De Software")</f>
        <v>Saipos Serviços De Software</v>
      </c>
      <c r="P822" s="33">
        <f>IFERROR(__xludf.DUMMYFUNCTION("""COMPUTED_VALUE"""),0.8888888888888888)</f>
        <v>0.8888888889</v>
      </c>
      <c r="Q822" s="4" t="str">
        <f>IFERROR(__xludf.DUMMYFUNCTION("""COMPUTED_VALUE"""),"Saipos Serviços De Software")</f>
        <v>Saipos Serviços De Software</v>
      </c>
      <c r="R822" s="33">
        <f>IFERROR(__xludf.DUMMYFUNCTION("""COMPUTED_VALUE"""),0.8888888888888888)</f>
        <v>0.8888888889</v>
      </c>
      <c r="S822" s="4" t="str">
        <f>IFERROR(__xludf.DUMMYFUNCTION("""COMPUTED_VALUE"""),"Saipos Serviços De Software")</f>
        <v>Saipos Serviços De Software</v>
      </c>
      <c r="T822" s="33">
        <f>IFERROR(__xludf.DUMMYFUNCTION("""COMPUTED_VALUE"""),1.0)</f>
        <v>1</v>
      </c>
      <c r="U822" s="4" t="str">
        <f>IFERROR(__xludf.DUMMYFUNCTION("""COMPUTED_VALUE"""),"Saipos Serviços De Software")</f>
        <v>Saipos Serviços De Software</v>
      </c>
      <c r="V822" s="33">
        <f>IFERROR(__xludf.DUMMYFUNCTION("""COMPUTED_VALUE"""),1.0)</f>
        <v>1</v>
      </c>
      <c r="W822" s="4" t="str">
        <f>IFERROR(__xludf.DUMMYFUNCTION("""COMPUTED_VALUE"""),"Saipos Serviços De Software")</f>
        <v>Saipos Serviços De Software</v>
      </c>
      <c r="X822" s="33">
        <f>IFERROR(__xludf.DUMMYFUNCTION("""COMPUTED_VALUE"""),1.0)</f>
        <v>1</v>
      </c>
    </row>
    <row r="823">
      <c r="K823" s="4" t="str">
        <f>IFERROR(__xludf.DUMMYFUNCTION("""COMPUTED_VALUE"""),"LE BLOND")</f>
        <v>LE BLOND</v>
      </c>
      <c r="L823" s="32">
        <f>IFERROR(__xludf.DUMMYFUNCTION("""COMPUTED_VALUE"""),9.0)</f>
        <v>9</v>
      </c>
      <c r="M823" s="4" t="str">
        <f>IFERROR(__xludf.DUMMYFUNCTION("""COMPUTED_VALUE"""),"Stone Co.")</f>
        <v>Stone Co.</v>
      </c>
      <c r="N823" s="33">
        <f>IFERROR(__xludf.DUMMYFUNCTION("""COMPUTED_VALUE"""),0.3333333333333333)</f>
        <v>0.3333333333</v>
      </c>
      <c r="O823" s="4" t="str">
        <f>IFERROR(__xludf.DUMMYFUNCTION("""COMPUTED_VALUE"""),"Stone Co.")</f>
        <v>Stone Co.</v>
      </c>
      <c r="P823" s="33">
        <f>IFERROR(__xludf.DUMMYFUNCTION("""COMPUTED_VALUE"""),0.2222222222222222)</f>
        <v>0.2222222222</v>
      </c>
      <c r="Q823" s="4" t="str">
        <f>IFERROR(__xludf.DUMMYFUNCTION("""COMPUTED_VALUE"""),"Menew - Linx")</f>
        <v>Menew - Linx</v>
      </c>
      <c r="R823" s="33">
        <f>IFERROR(__xludf.DUMMYFUNCTION("""COMPUTED_VALUE"""),0.4444444444444444)</f>
        <v>0.4444444444</v>
      </c>
      <c r="S823" s="4" t="str">
        <f>IFERROR(__xludf.DUMMYFUNCTION("""COMPUTED_VALUE"""),"Menew - Linx")</f>
        <v>Menew - Linx</v>
      </c>
      <c r="T823" s="33">
        <f>IFERROR(__xludf.DUMMYFUNCTION("""COMPUTED_VALUE"""),0.4444444444444444)</f>
        <v>0.4444444444</v>
      </c>
      <c r="U823" s="4" t="str">
        <f>IFERROR(__xludf.DUMMYFUNCTION("""COMPUTED_VALUE"""),"Menew - Linx")</f>
        <v>Menew - Linx</v>
      </c>
      <c r="V823" s="33">
        <f>IFERROR(__xludf.DUMMYFUNCTION("""COMPUTED_VALUE"""),0.4444444444444444)</f>
        <v>0.4444444444</v>
      </c>
      <c r="W823" s="4" t="str">
        <f>IFERROR(__xludf.DUMMYFUNCTION("""COMPUTED_VALUE"""),"Menew - Linx")</f>
        <v>Menew - Linx</v>
      </c>
      <c r="X823" s="33">
        <f>IFERROR(__xludf.DUMMYFUNCTION("""COMPUTED_VALUE"""),0.4444444444444444)</f>
        <v>0.4444444444</v>
      </c>
    </row>
    <row r="824">
      <c r="K824" s="4" t="str">
        <f>IFERROR(__xludf.DUMMYFUNCTION("""COMPUTED_VALUE"""),"CLOUKI FOODS")</f>
        <v>CLOUKI FOODS</v>
      </c>
      <c r="L824" s="32">
        <f>IFERROR(__xludf.DUMMYFUNCTION("""COMPUTED_VALUE"""),9.0)</f>
        <v>9</v>
      </c>
      <c r="M824" s="4" t="str">
        <f>IFERROR(__xludf.DUMMYFUNCTION("""COMPUTED_VALUE"""),"Saipos Serviços De Software")</f>
        <v>Saipos Serviços De Software</v>
      </c>
      <c r="N824" s="33">
        <f>IFERROR(__xludf.DUMMYFUNCTION("""COMPUTED_VALUE"""),0.6666666666666666)</f>
        <v>0.6666666667</v>
      </c>
      <c r="O824" s="4" t="str">
        <f>IFERROR(__xludf.DUMMYFUNCTION("""COMPUTED_VALUE"""),"Saipos Serviços De Software")</f>
        <v>Saipos Serviços De Software</v>
      </c>
      <c r="P824" s="33">
        <f>IFERROR(__xludf.DUMMYFUNCTION("""COMPUTED_VALUE"""),0.6666666666666666)</f>
        <v>0.6666666667</v>
      </c>
      <c r="Q824" s="4" t="str">
        <f>IFERROR(__xludf.DUMMYFUNCTION("""COMPUTED_VALUE"""),"Saipos Serviços De Software")</f>
        <v>Saipos Serviços De Software</v>
      </c>
      <c r="R824" s="33">
        <f>IFERROR(__xludf.DUMMYFUNCTION("""COMPUTED_VALUE"""),0.5555555555555556)</f>
        <v>0.5555555556</v>
      </c>
      <c r="S824" s="4" t="str">
        <f>IFERROR(__xludf.DUMMYFUNCTION("""COMPUTED_VALUE"""),"Saipos Serviços De Software")</f>
        <v>Saipos Serviços De Software</v>
      </c>
      <c r="T824" s="33">
        <f>IFERROR(__xludf.DUMMYFUNCTION("""COMPUTED_VALUE"""),0.5555555555555556)</f>
        <v>0.5555555556</v>
      </c>
      <c r="U824" s="4" t="str">
        <f>IFERROR(__xludf.DUMMYFUNCTION("""COMPUTED_VALUE"""),"Saipos Serviços De Software")</f>
        <v>Saipos Serviços De Software</v>
      </c>
      <c r="V824" s="33">
        <f>IFERROR(__xludf.DUMMYFUNCTION("""COMPUTED_VALUE"""),0.4444444444444444)</f>
        <v>0.4444444444</v>
      </c>
      <c r="W824" s="4" t="str">
        <f>IFERROR(__xludf.DUMMYFUNCTION("""COMPUTED_VALUE"""),"null")</f>
        <v>null</v>
      </c>
      <c r="X824" s="33">
        <f>IFERROR(__xludf.DUMMYFUNCTION("""COMPUTED_VALUE"""),0.5555555555555556)</f>
        <v>0.5555555556</v>
      </c>
    </row>
    <row r="825">
      <c r="K825" s="4" t="str">
        <f>IFERROR(__xludf.DUMMYFUNCTION("""COMPUTED_VALUE"""),"COOPERATIVA DE CONSUMO COOPERCICA - CONTA PAI")</f>
        <v>COOPERATIVA DE CONSUMO COOPERCICA - CONTA PAI</v>
      </c>
      <c r="L825" s="32">
        <f>IFERROR(__xludf.DUMMYFUNCTION("""COMPUTED_VALUE"""),9.0)</f>
        <v>9</v>
      </c>
      <c r="M825" s="4" t="str">
        <f>IFERROR(__xludf.DUMMYFUNCTION("""COMPUTED_VALUE"""),"N/A (Not found)")</f>
        <v>N/A (Not found)</v>
      </c>
      <c r="N825" s="33">
        <f>IFERROR(__xludf.DUMMYFUNCTION("""COMPUTED_VALUE"""),1.0)</f>
        <v>1</v>
      </c>
      <c r="O825" s="4" t="str">
        <f>IFERROR(__xludf.DUMMYFUNCTION("""COMPUTED_VALUE"""),"N/A (Not found)")</f>
        <v>N/A (Not found)</v>
      </c>
      <c r="P825" s="33">
        <f>IFERROR(__xludf.DUMMYFUNCTION("""COMPUTED_VALUE"""),1.0)</f>
        <v>1</v>
      </c>
      <c r="Q825" s="4" t="str">
        <f>IFERROR(__xludf.DUMMYFUNCTION("""COMPUTED_VALUE"""),"N/A (Not found)")</f>
        <v>N/A (Not found)</v>
      </c>
      <c r="R825" s="33">
        <f>IFERROR(__xludf.DUMMYFUNCTION("""COMPUTED_VALUE"""),1.0)</f>
        <v>1</v>
      </c>
      <c r="S825" s="4" t="str">
        <f>IFERROR(__xludf.DUMMYFUNCTION("""COMPUTED_VALUE"""),"N/A (Not found)")</f>
        <v>N/A (Not found)</v>
      </c>
      <c r="T825" s="33">
        <f>IFERROR(__xludf.DUMMYFUNCTION("""COMPUTED_VALUE"""),1.0)</f>
        <v>1</v>
      </c>
      <c r="U825" s="4" t="str">
        <f>IFERROR(__xludf.DUMMYFUNCTION("""COMPUTED_VALUE"""),"N/A (Not found)")</f>
        <v>N/A (Not found)</v>
      </c>
      <c r="V825" s="33">
        <f>IFERROR(__xludf.DUMMYFUNCTION("""COMPUTED_VALUE"""),1.0)</f>
        <v>1</v>
      </c>
      <c r="W825" s="4" t="str">
        <f>IFERROR(__xludf.DUMMYFUNCTION("""COMPUTED_VALUE"""),"N/A (Not found)")</f>
        <v>N/A (Not found)</v>
      </c>
      <c r="X825" s="33">
        <f>IFERROR(__xludf.DUMMYFUNCTION("""COMPUTED_VALUE"""),1.0)</f>
        <v>1</v>
      </c>
    </row>
    <row r="826">
      <c r="K826" s="4" t="str">
        <f>IFERROR(__xludf.DUMMYFUNCTION("""COMPUTED_VALUE"""),"CORPO E VIDA SUPLEMENTOS- MARCA")</f>
        <v>CORPO E VIDA SUPLEMENTOS- MARCA</v>
      </c>
      <c r="L826" s="32">
        <f>IFERROR(__xludf.DUMMYFUNCTION("""COMPUTED_VALUE"""),9.0)</f>
        <v>9</v>
      </c>
      <c r="M826" s="4" t="str">
        <f>IFERROR(__xludf.DUMMYFUNCTION("""COMPUTED_VALUE"""),"N/A (Not found)")</f>
        <v>N/A (Not found)</v>
      </c>
      <c r="N826" s="33">
        <f>IFERROR(__xludf.DUMMYFUNCTION("""COMPUTED_VALUE"""),1.0)</f>
        <v>1</v>
      </c>
      <c r="O826" s="4" t="str">
        <f>IFERROR(__xludf.DUMMYFUNCTION("""COMPUTED_VALUE"""),"N/A (Not found)")</f>
        <v>N/A (Not found)</v>
      </c>
      <c r="P826" s="33">
        <f>IFERROR(__xludf.DUMMYFUNCTION("""COMPUTED_VALUE"""),1.0)</f>
        <v>1</v>
      </c>
      <c r="Q826" s="4" t="str">
        <f>IFERROR(__xludf.DUMMYFUNCTION("""COMPUTED_VALUE"""),"N/A (Not found)")</f>
        <v>N/A (Not found)</v>
      </c>
      <c r="R826" s="33">
        <f>IFERROR(__xludf.DUMMYFUNCTION("""COMPUTED_VALUE"""),1.0)</f>
        <v>1</v>
      </c>
      <c r="S826" s="4" t="str">
        <f>IFERROR(__xludf.DUMMYFUNCTION("""COMPUTED_VALUE"""),"N/A (Not found)")</f>
        <v>N/A (Not found)</v>
      </c>
      <c r="T826" s="33">
        <f>IFERROR(__xludf.DUMMYFUNCTION("""COMPUTED_VALUE"""),1.0)</f>
        <v>1</v>
      </c>
      <c r="U826" s="4" t="str">
        <f>IFERROR(__xludf.DUMMYFUNCTION("""COMPUTED_VALUE"""),"N/A (Not found)")</f>
        <v>N/A (Not found)</v>
      </c>
      <c r="V826" s="33">
        <f>IFERROR(__xludf.DUMMYFUNCTION("""COMPUTED_VALUE"""),1.0)</f>
        <v>1</v>
      </c>
      <c r="W826" s="4" t="str">
        <f>IFERROR(__xludf.DUMMYFUNCTION("""COMPUTED_VALUE"""),"N/A (Not found)")</f>
        <v>N/A (Not found)</v>
      </c>
      <c r="X826" s="33">
        <f>IFERROR(__xludf.DUMMYFUNCTION("""COMPUTED_VALUE"""),1.0)</f>
        <v>1</v>
      </c>
    </row>
    <row r="827">
      <c r="K827" s="4" t="str">
        <f>IFERROR(__xludf.DUMMYFUNCTION("""COMPUTED_VALUE"""),"DIVINO BURGUER DELIVERY")</f>
        <v>DIVINO BURGUER DELIVERY</v>
      </c>
      <c r="L827" s="32">
        <f>IFERROR(__xludf.DUMMYFUNCTION("""COMPUTED_VALUE"""),9.0)</f>
        <v>9</v>
      </c>
      <c r="M827" s="4" t="str">
        <f>IFERROR(__xludf.DUMMYFUNCTION("""COMPUTED_VALUE"""),"Saipos Serviços De Software")</f>
        <v>Saipos Serviços De Software</v>
      </c>
      <c r="N827" s="33">
        <f>IFERROR(__xludf.DUMMYFUNCTION("""COMPUTED_VALUE"""),0.6666666666666666)</f>
        <v>0.6666666667</v>
      </c>
      <c r="O827" s="4" t="str">
        <f>IFERROR(__xludf.DUMMYFUNCTION("""COMPUTED_VALUE"""),"Saipos Serviços De Software")</f>
        <v>Saipos Serviços De Software</v>
      </c>
      <c r="P827" s="33">
        <f>IFERROR(__xludf.DUMMYFUNCTION("""COMPUTED_VALUE"""),0.6666666666666666)</f>
        <v>0.6666666667</v>
      </c>
      <c r="Q827" s="4" t="str">
        <f>IFERROR(__xludf.DUMMYFUNCTION("""COMPUTED_VALUE"""),"Saipos Serviços De Software")</f>
        <v>Saipos Serviços De Software</v>
      </c>
      <c r="R827" s="33">
        <f>IFERROR(__xludf.DUMMYFUNCTION("""COMPUTED_VALUE"""),0.6666666666666666)</f>
        <v>0.6666666667</v>
      </c>
      <c r="S827" s="4" t="str">
        <f>IFERROR(__xludf.DUMMYFUNCTION("""COMPUTED_VALUE"""),"Saipos Serviços De Software")</f>
        <v>Saipos Serviços De Software</v>
      </c>
      <c r="T827" s="33">
        <f>IFERROR(__xludf.DUMMYFUNCTION("""COMPUTED_VALUE"""),0.8888888888888888)</f>
        <v>0.8888888889</v>
      </c>
      <c r="U827" s="4" t="str">
        <f>IFERROR(__xludf.DUMMYFUNCTION("""COMPUTED_VALUE"""),"Saipos Serviços De Software")</f>
        <v>Saipos Serviços De Software</v>
      </c>
      <c r="V827" s="33">
        <f>IFERROR(__xludf.DUMMYFUNCTION("""COMPUTED_VALUE"""),1.0)</f>
        <v>1</v>
      </c>
      <c r="W827" s="4" t="str">
        <f>IFERROR(__xludf.DUMMYFUNCTION("""COMPUTED_VALUE"""),"Saipos Serviços De Software")</f>
        <v>Saipos Serviços De Software</v>
      </c>
      <c r="X827" s="33">
        <f>IFERROR(__xludf.DUMMYFUNCTION("""COMPUTED_VALUE"""),1.0)</f>
        <v>1</v>
      </c>
    </row>
    <row r="828">
      <c r="K828" s="4" t="str">
        <f>IFERROR(__xludf.DUMMYFUNCTION("""COMPUTED_VALUE"""),"DOCE MORADA - BY DDOCES - GRUPO")</f>
        <v>DOCE MORADA - BY DDOCES - GRUPO</v>
      </c>
      <c r="L828" s="32">
        <f>IFERROR(__xludf.DUMMYFUNCTION("""COMPUTED_VALUE"""),9.0)</f>
        <v>9</v>
      </c>
      <c r="M828" s="4" t="str">
        <f>IFERROR(__xludf.DUMMYFUNCTION("""COMPUTED_VALUE"""),"Takeat Tecnologia")</f>
        <v>Takeat Tecnologia</v>
      </c>
      <c r="N828" s="33">
        <f>IFERROR(__xludf.DUMMYFUNCTION("""COMPUTED_VALUE"""),0.5555555555555556)</f>
        <v>0.5555555556</v>
      </c>
      <c r="O828" s="4" t="str">
        <f>IFERROR(__xludf.DUMMYFUNCTION("""COMPUTED_VALUE"""),"Takeat Tecnologia")</f>
        <v>Takeat Tecnologia</v>
      </c>
      <c r="P828" s="33">
        <f>IFERROR(__xludf.DUMMYFUNCTION("""COMPUTED_VALUE"""),0.5555555555555556)</f>
        <v>0.5555555556</v>
      </c>
      <c r="Q828" s="4" t="str">
        <f>IFERROR(__xludf.DUMMYFUNCTION("""COMPUTED_VALUE"""),"Takeat Tecnologia")</f>
        <v>Takeat Tecnologia</v>
      </c>
      <c r="R828" s="33">
        <f>IFERROR(__xludf.DUMMYFUNCTION("""COMPUTED_VALUE"""),0.5555555555555556)</f>
        <v>0.5555555556</v>
      </c>
      <c r="S828" s="4" t="str">
        <f>IFERROR(__xludf.DUMMYFUNCTION("""COMPUTED_VALUE"""),"null")</f>
        <v>null</v>
      </c>
      <c r="T828" s="33">
        <f>IFERROR(__xludf.DUMMYFUNCTION("""COMPUTED_VALUE"""),0.4444444444444444)</f>
        <v>0.4444444444</v>
      </c>
      <c r="U828" s="4" t="str">
        <f>IFERROR(__xludf.DUMMYFUNCTION("""COMPUTED_VALUE"""),"null")</f>
        <v>null</v>
      </c>
      <c r="V828" s="33">
        <f>IFERROR(__xludf.DUMMYFUNCTION("""COMPUTED_VALUE"""),0.5555555555555556)</f>
        <v>0.5555555556</v>
      </c>
      <c r="W828" s="4" t="str">
        <f>IFERROR(__xludf.DUMMYFUNCTION("""COMPUTED_VALUE"""),"Hubster")</f>
        <v>Hubster</v>
      </c>
      <c r="X828" s="33">
        <f>IFERROR(__xludf.DUMMYFUNCTION("""COMPUTED_VALUE"""),0.3333333333333333)</f>
        <v>0.3333333333</v>
      </c>
    </row>
    <row r="829">
      <c r="K829" s="4" t="str">
        <f>IFERROR(__xludf.DUMMYFUNCTION("""COMPUTED_VALUE"""),"DOM ANGELO")</f>
        <v>DOM ANGELO</v>
      </c>
      <c r="L829" s="32">
        <f>IFERROR(__xludf.DUMMYFUNCTION("""COMPUTED_VALUE"""),9.0)</f>
        <v>9</v>
      </c>
      <c r="M829" s="4" t="str">
        <f>IFERROR(__xludf.DUMMYFUNCTION("""COMPUTED_VALUE"""),"Saipos Serviços De Software")</f>
        <v>Saipos Serviços De Software</v>
      </c>
      <c r="N829" s="33">
        <f>IFERROR(__xludf.DUMMYFUNCTION("""COMPUTED_VALUE"""),1.0)</f>
        <v>1</v>
      </c>
      <c r="O829" s="4" t="str">
        <f>IFERROR(__xludf.DUMMYFUNCTION("""COMPUTED_VALUE"""),"Saipos Serviços De Software")</f>
        <v>Saipos Serviços De Software</v>
      </c>
      <c r="P829" s="33">
        <f>IFERROR(__xludf.DUMMYFUNCTION("""COMPUTED_VALUE"""),1.0)</f>
        <v>1</v>
      </c>
      <c r="Q829" s="4" t="str">
        <f>IFERROR(__xludf.DUMMYFUNCTION("""COMPUTED_VALUE"""),"Saipos Serviços De Software")</f>
        <v>Saipos Serviços De Software</v>
      </c>
      <c r="R829" s="33">
        <f>IFERROR(__xludf.DUMMYFUNCTION("""COMPUTED_VALUE"""),0.8888888888888888)</f>
        <v>0.8888888889</v>
      </c>
      <c r="S829" s="4" t="str">
        <f>IFERROR(__xludf.DUMMYFUNCTION("""COMPUTED_VALUE"""),"Saipos Serviços De Software")</f>
        <v>Saipos Serviços De Software</v>
      </c>
      <c r="T829" s="33">
        <f>IFERROR(__xludf.DUMMYFUNCTION("""COMPUTED_VALUE"""),0.8888888888888888)</f>
        <v>0.8888888889</v>
      </c>
      <c r="U829" s="4" t="str">
        <f>IFERROR(__xludf.DUMMYFUNCTION("""COMPUTED_VALUE"""),"Saipos Serviços De Software")</f>
        <v>Saipos Serviços De Software</v>
      </c>
      <c r="V829" s="33">
        <f>IFERROR(__xludf.DUMMYFUNCTION("""COMPUTED_VALUE"""),0.8888888888888888)</f>
        <v>0.8888888889</v>
      </c>
      <c r="W829" s="4" t="str">
        <f>IFERROR(__xludf.DUMMYFUNCTION("""COMPUTED_VALUE"""),"Saipos Serviços De Software")</f>
        <v>Saipos Serviços De Software</v>
      </c>
      <c r="X829" s="33">
        <f>IFERROR(__xludf.DUMMYFUNCTION("""COMPUTED_VALUE"""),0.8888888888888888)</f>
        <v>0.8888888889</v>
      </c>
    </row>
    <row r="830">
      <c r="K830" s="4" t="str">
        <f>IFERROR(__xludf.DUMMYFUNCTION("""COMPUTED_VALUE"""),"DONA BRANCA JP")</f>
        <v>DONA BRANCA JP</v>
      </c>
      <c r="L830" s="32">
        <f>IFERROR(__xludf.DUMMYFUNCTION("""COMPUTED_VALUE"""),9.0)</f>
        <v>9</v>
      </c>
      <c r="M830" s="4" t="str">
        <f>IFERROR(__xludf.DUMMYFUNCTION("""COMPUTED_VALUE"""),"Menew - Linx")</f>
        <v>Menew - Linx</v>
      </c>
      <c r="N830" s="33">
        <f>IFERROR(__xludf.DUMMYFUNCTION("""COMPUTED_VALUE"""),1.0)</f>
        <v>1</v>
      </c>
      <c r="O830" s="4" t="str">
        <f>IFERROR(__xludf.DUMMYFUNCTION("""COMPUTED_VALUE"""),"Menew - Linx")</f>
        <v>Menew - Linx</v>
      </c>
      <c r="P830" s="33">
        <f>IFERROR(__xludf.DUMMYFUNCTION("""COMPUTED_VALUE"""),1.0)</f>
        <v>1</v>
      </c>
      <c r="Q830" s="4" t="str">
        <f>IFERROR(__xludf.DUMMYFUNCTION("""COMPUTED_VALUE"""),"Menew - Linx")</f>
        <v>Menew - Linx</v>
      </c>
      <c r="R830" s="33">
        <f>IFERROR(__xludf.DUMMYFUNCTION("""COMPUTED_VALUE"""),1.0)</f>
        <v>1</v>
      </c>
      <c r="S830" s="4" t="str">
        <f>IFERROR(__xludf.DUMMYFUNCTION("""COMPUTED_VALUE"""),"Menew - Linx")</f>
        <v>Menew - Linx</v>
      </c>
      <c r="T830" s="33">
        <f>IFERROR(__xludf.DUMMYFUNCTION("""COMPUTED_VALUE"""),1.0)</f>
        <v>1</v>
      </c>
      <c r="U830" s="4" t="str">
        <f>IFERROR(__xludf.DUMMYFUNCTION("""COMPUTED_VALUE"""),"Menew - Linx")</f>
        <v>Menew - Linx</v>
      </c>
      <c r="V830" s="33">
        <f>IFERROR(__xludf.DUMMYFUNCTION("""COMPUTED_VALUE"""),1.0)</f>
        <v>1</v>
      </c>
      <c r="W830" s="4" t="str">
        <f>IFERROR(__xludf.DUMMYFUNCTION("""COMPUTED_VALUE"""),"Menew - Linx")</f>
        <v>Menew - Linx</v>
      </c>
      <c r="X830" s="33">
        <f>IFERROR(__xludf.DUMMYFUNCTION("""COMPUTED_VALUE"""),0.5555555555555556)</f>
        <v>0.5555555556</v>
      </c>
    </row>
    <row r="831">
      <c r="K831" s="4" t="str">
        <f>IFERROR(__xludf.DUMMYFUNCTION("""COMPUTED_VALUE"""),"DROGA NORTE - CONTA PAI")</f>
        <v>DROGA NORTE - CONTA PAI</v>
      </c>
      <c r="L831" s="32">
        <f>IFERROR(__xludf.DUMMYFUNCTION("""COMPUTED_VALUE"""),9.0)</f>
        <v>9</v>
      </c>
      <c r="M831" s="4" t="str">
        <f>IFERROR(__xludf.DUMMYFUNCTION("""COMPUTED_VALUE"""),"N/A (Not found)")</f>
        <v>N/A (Not found)</v>
      </c>
      <c r="N831" s="33">
        <f>IFERROR(__xludf.DUMMYFUNCTION("""COMPUTED_VALUE"""),0.8888888888888888)</f>
        <v>0.8888888889</v>
      </c>
      <c r="O831" s="4" t="str">
        <f>IFERROR(__xludf.DUMMYFUNCTION("""COMPUTED_VALUE"""),"N/A (Not found)")</f>
        <v>N/A (Not found)</v>
      </c>
      <c r="P831" s="33">
        <f>IFERROR(__xludf.DUMMYFUNCTION("""COMPUTED_VALUE"""),0.8888888888888888)</f>
        <v>0.8888888889</v>
      </c>
      <c r="Q831" s="4" t="str">
        <f>IFERROR(__xludf.DUMMYFUNCTION("""COMPUTED_VALUE"""),"N/A (Not found)")</f>
        <v>N/A (Not found)</v>
      </c>
      <c r="R831" s="33">
        <f>IFERROR(__xludf.DUMMYFUNCTION("""COMPUTED_VALUE"""),0.7777777777777778)</f>
        <v>0.7777777778</v>
      </c>
      <c r="S831" s="4" t="str">
        <f>IFERROR(__xludf.DUMMYFUNCTION("""COMPUTED_VALUE"""),"N/A (Not found)")</f>
        <v>N/A (Not found)</v>
      </c>
      <c r="T831" s="33">
        <f>IFERROR(__xludf.DUMMYFUNCTION("""COMPUTED_VALUE"""),1.0)</f>
        <v>1</v>
      </c>
      <c r="U831" s="4" t="str">
        <f>IFERROR(__xludf.DUMMYFUNCTION("""COMPUTED_VALUE"""),"N/A (Not found)")</f>
        <v>N/A (Not found)</v>
      </c>
      <c r="V831" s="33">
        <f>IFERROR(__xludf.DUMMYFUNCTION("""COMPUTED_VALUE"""),1.0)</f>
        <v>1</v>
      </c>
      <c r="W831" s="4" t="str">
        <f>IFERROR(__xludf.DUMMYFUNCTION("""COMPUTED_VALUE"""),"N/A (Not found)")</f>
        <v>N/A (Not found)</v>
      </c>
      <c r="X831" s="33">
        <f>IFERROR(__xludf.DUMMYFUNCTION("""COMPUTED_VALUE"""),1.0)</f>
        <v>1</v>
      </c>
    </row>
    <row r="832">
      <c r="K832" s="4" t="str">
        <f>IFERROR(__xludf.DUMMYFUNCTION("""COMPUTED_VALUE"""),"DROGARIA COLORADO - CONTA PAI")</f>
        <v>DROGARIA COLORADO - CONTA PAI</v>
      </c>
      <c r="L832" s="32">
        <f>IFERROR(__xludf.DUMMYFUNCTION("""COMPUTED_VALUE"""),9.0)</f>
        <v>9</v>
      </c>
      <c r="M832" s="4" t="str">
        <f>IFERROR(__xludf.DUMMYFUNCTION("""COMPUTED_VALUE"""),"N/A (Not found)")</f>
        <v>N/A (Not found)</v>
      </c>
      <c r="N832" s="33">
        <f>IFERROR(__xludf.DUMMYFUNCTION("""COMPUTED_VALUE"""),1.0)</f>
        <v>1</v>
      </c>
      <c r="O832" s="4" t="str">
        <f>IFERROR(__xludf.DUMMYFUNCTION("""COMPUTED_VALUE"""),"N/A (Not found)")</f>
        <v>N/A (Not found)</v>
      </c>
      <c r="P832" s="33">
        <f>IFERROR(__xludf.DUMMYFUNCTION("""COMPUTED_VALUE"""),1.0)</f>
        <v>1</v>
      </c>
      <c r="Q832" s="4" t="str">
        <f>IFERROR(__xludf.DUMMYFUNCTION("""COMPUTED_VALUE"""),"N/A (Not found)")</f>
        <v>N/A (Not found)</v>
      </c>
      <c r="R832" s="33">
        <f>IFERROR(__xludf.DUMMYFUNCTION("""COMPUTED_VALUE"""),0.5555555555555556)</f>
        <v>0.5555555556</v>
      </c>
      <c r="S832" s="4" t="str">
        <f>IFERROR(__xludf.DUMMYFUNCTION("""COMPUTED_VALUE"""),"N/A (Not found)")</f>
        <v>N/A (Not found)</v>
      </c>
      <c r="T832" s="33">
        <f>IFERROR(__xludf.DUMMYFUNCTION("""COMPUTED_VALUE"""),0.5555555555555556)</f>
        <v>0.5555555556</v>
      </c>
      <c r="U832" s="4" t="str">
        <f>IFERROR(__xludf.DUMMYFUNCTION("""COMPUTED_VALUE"""),"null")</f>
        <v>null</v>
      </c>
      <c r="V832" s="33">
        <f>IFERROR(__xludf.DUMMYFUNCTION("""COMPUTED_VALUE"""),0.5555555555555556)</f>
        <v>0.5555555556</v>
      </c>
      <c r="W832" s="4" t="str">
        <f>IFERROR(__xludf.DUMMYFUNCTION("""COMPUTED_VALUE"""),"null")</f>
        <v>null</v>
      </c>
      <c r="X832" s="33">
        <f>IFERROR(__xludf.DUMMYFUNCTION("""COMPUTED_VALUE"""),0.5555555555555556)</f>
        <v>0.5555555556</v>
      </c>
    </row>
    <row r="833">
      <c r="K833" s="4" t="str">
        <f>IFERROR(__xludf.DUMMYFUNCTION("""COMPUTED_VALUE"""),"DROGARIA IGUATEMI - CONTA PAI")</f>
        <v>DROGARIA IGUATEMI - CONTA PAI</v>
      </c>
      <c r="L833" s="32">
        <f>IFERROR(__xludf.DUMMYFUNCTION("""COMPUTED_VALUE"""),9.0)</f>
        <v>9</v>
      </c>
      <c r="M833" s="4" t="str">
        <f>IFERROR(__xludf.DUMMYFUNCTION("""COMPUTED_VALUE"""),"N/A (Not found)")</f>
        <v>N/A (Not found)</v>
      </c>
      <c r="N833" s="33">
        <f>IFERROR(__xludf.DUMMYFUNCTION("""COMPUTED_VALUE"""),1.0)</f>
        <v>1</v>
      </c>
      <c r="O833" s="4" t="str">
        <f>IFERROR(__xludf.DUMMYFUNCTION("""COMPUTED_VALUE"""),"N/A (Not found)")</f>
        <v>N/A (Not found)</v>
      </c>
      <c r="P833" s="33">
        <f>IFERROR(__xludf.DUMMYFUNCTION("""COMPUTED_VALUE"""),1.0)</f>
        <v>1</v>
      </c>
      <c r="Q833" s="4" t="str">
        <f>IFERROR(__xludf.DUMMYFUNCTION("""COMPUTED_VALUE"""),"N/A (Not found)")</f>
        <v>N/A (Not found)</v>
      </c>
      <c r="R833" s="33">
        <f>IFERROR(__xludf.DUMMYFUNCTION("""COMPUTED_VALUE"""),1.0)</f>
        <v>1</v>
      </c>
      <c r="S833" s="4" t="str">
        <f>IFERROR(__xludf.DUMMYFUNCTION("""COMPUTED_VALUE"""),"N/A (Not found)")</f>
        <v>N/A (Not found)</v>
      </c>
      <c r="T833" s="33">
        <f>IFERROR(__xludf.DUMMYFUNCTION("""COMPUTED_VALUE"""),1.0)</f>
        <v>1</v>
      </c>
      <c r="U833" s="4" t="str">
        <f>IFERROR(__xludf.DUMMYFUNCTION("""COMPUTED_VALUE"""),"N/A (Not found)")</f>
        <v>N/A (Not found)</v>
      </c>
      <c r="V833" s="33">
        <f>IFERROR(__xludf.DUMMYFUNCTION("""COMPUTED_VALUE"""),1.0)</f>
        <v>1</v>
      </c>
      <c r="W833" s="4" t="str">
        <f>IFERROR(__xludf.DUMMYFUNCTION("""COMPUTED_VALUE"""),"N/A (Not found)")</f>
        <v>N/A (Not found)</v>
      </c>
      <c r="X833" s="33">
        <f>IFERROR(__xludf.DUMMYFUNCTION("""COMPUTED_VALUE"""),1.0)</f>
        <v>1</v>
      </c>
    </row>
    <row r="834">
      <c r="K834" s="4" t="str">
        <f>IFERROR(__xludf.DUMMYFUNCTION("""COMPUTED_VALUE"""),"DROGARIA ULTRA POPULAR MT - CONTA MARCA")</f>
        <v>DROGARIA ULTRA POPULAR MT - CONTA MARCA</v>
      </c>
      <c r="L834" s="32">
        <f>IFERROR(__xludf.DUMMYFUNCTION("""COMPUTED_VALUE"""),9.0)</f>
        <v>9</v>
      </c>
      <c r="M834" s="4" t="str">
        <f>IFERROR(__xludf.DUMMYFUNCTION("""COMPUTED_VALUE"""),"null")</f>
        <v>null</v>
      </c>
      <c r="N834" s="33">
        <f>IFERROR(__xludf.DUMMYFUNCTION("""COMPUTED_VALUE"""),0.7777777777777778)</f>
        <v>0.7777777778</v>
      </c>
      <c r="O834" s="4" t="str">
        <f>IFERROR(__xludf.DUMMYFUNCTION("""COMPUTED_VALUE"""),"N/A (Not found)")</f>
        <v>N/A (Not found)</v>
      </c>
      <c r="P834" s="33">
        <f>IFERROR(__xludf.DUMMYFUNCTION("""COMPUTED_VALUE"""),1.0)</f>
        <v>1</v>
      </c>
      <c r="Q834" s="4" t="str">
        <f>IFERROR(__xludf.DUMMYFUNCTION("""COMPUTED_VALUE"""),"N/A (Not found)")</f>
        <v>N/A (Not found)</v>
      </c>
      <c r="R834" s="33">
        <f>IFERROR(__xludf.DUMMYFUNCTION("""COMPUTED_VALUE"""),1.0)</f>
        <v>1</v>
      </c>
      <c r="S834" s="4" t="str">
        <f>IFERROR(__xludf.DUMMYFUNCTION("""COMPUTED_VALUE"""),"N/A (Not found)")</f>
        <v>N/A (Not found)</v>
      </c>
      <c r="T834" s="33">
        <f>IFERROR(__xludf.DUMMYFUNCTION("""COMPUTED_VALUE"""),1.0)</f>
        <v>1</v>
      </c>
      <c r="U834" s="4" t="str">
        <f>IFERROR(__xludf.DUMMYFUNCTION("""COMPUTED_VALUE"""),"N/A (Not found)")</f>
        <v>N/A (Not found)</v>
      </c>
      <c r="V834" s="33">
        <f>IFERROR(__xludf.DUMMYFUNCTION("""COMPUTED_VALUE"""),1.0)</f>
        <v>1</v>
      </c>
      <c r="W834" s="4" t="str">
        <f>IFERROR(__xludf.DUMMYFUNCTION("""COMPUTED_VALUE"""),"N/A (Not found)")</f>
        <v>N/A (Not found)</v>
      </c>
      <c r="X834" s="33">
        <f>IFERROR(__xludf.DUMMYFUNCTION("""COMPUTED_VALUE"""),1.0)</f>
        <v>1</v>
      </c>
    </row>
    <row r="835">
      <c r="K835" s="4" t="str">
        <f>IFERROR(__xludf.DUMMYFUNCTION("""COMPUTED_VALUE"""),"DROGARIAS ULTRA POPULAR - MARABA - CONTA PAI")</f>
        <v>DROGARIAS ULTRA POPULAR - MARABA - CONTA PAI</v>
      </c>
      <c r="L835" s="32">
        <f>IFERROR(__xludf.DUMMYFUNCTION("""COMPUTED_VALUE"""),9.0)</f>
        <v>9</v>
      </c>
      <c r="M835" s="4" t="str">
        <f>IFERROR(__xludf.DUMMYFUNCTION("""COMPUTED_VALUE"""),"N/A (Not found)")</f>
        <v>N/A (Not found)</v>
      </c>
      <c r="N835" s="33">
        <f>IFERROR(__xludf.DUMMYFUNCTION("""COMPUTED_VALUE"""),0.8888888888888888)</f>
        <v>0.8888888889</v>
      </c>
      <c r="O835" s="4" t="str">
        <f>IFERROR(__xludf.DUMMYFUNCTION("""COMPUTED_VALUE"""),"N/A (Not found)")</f>
        <v>N/A (Not found)</v>
      </c>
      <c r="P835" s="33">
        <f>IFERROR(__xludf.DUMMYFUNCTION("""COMPUTED_VALUE"""),1.0)</f>
        <v>1</v>
      </c>
      <c r="Q835" s="4" t="str">
        <f>IFERROR(__xludf.DUMMYFUNCTION("""COMPUTED_VALUE"""),"N/A (Not found)")</f>
        <v>N/A (Not found)</v>
      </c>
      <c r="R835" s="33">
        <f>IFERROR(__xludf.DUMMYFUNCTION("""COMPUTED_VALUE"""),1.0)</f>
        <v>1</v>
      </c>
      <c r="S835" s="4" t="str">
        <f>IFERROR(__xludf.DUMMYFUNCTION("""COMPUTED_VALUE"""),"N/A (Not found)")</f>
        <v>N/A (Not found)</v>
      </c>
      <c r="T835" s="33">
        <f>IFERROR(__xludf.DUMMYFUNCTION("""COMPUTED_VALUE"""),1.0)</f>
        <v>1</v>
      </c>
      <c r="U835" s="4" t="str">
        <f>IFERROR(__xludf.DUMMYFUNCTION("""COMPUTED_VALUE"""),"N/A (Not found)")</f>
        <v>N/A (Not found)</v>
      </c>
      <c r="V835" s="33">
        <f>IFERROR(__xludf.DUMMYFUNCTION("""COMPUTED_VALUE"""),1.0)</f>
        <v>1</v>
      </c>
      <c r="W835" s="4" t="str">
        <f>IFERROR(__xludf.DUMMYFUNCTION("""COMPUTED_VALUE"""),"N/A (Not found)")</f>
        <v>N/A (Not found)</v>
      </c>
      <c r="X835" s="33">
        <f>IFERROR(__xludf.DUMMYFUNCTION("""COMPUTED_VALUE"""),1.0)</f>
        <v>1</v>
      </c>
    </row>
    <row r="836">
      <c r="K836" s="4" t="str">
        <f>IFERROR(__xludf.DUMMYFUNCTION("""COMPUTED_VALUE"""),"DROGARIAS UNIAO - CONTA MARCA")</f>
        <v>DROGARIAS UNIAO - CONTA MARCA</v>
      </c>
      <c r="L836" s="32">
        <f>IFERROR(__xludf.DUMMYFUNCTION("""COMPUTED_VALUE"""),9.0)</f>
        <v>9</v>
      </c>
      <c r="M836" s="4" t="str">
        <f>IFERROR(__xludf.DUMMYFUNCTION("""COMPUTED_VALUE"""),"N/A (Not found)")</f>
        <v>N/A (Not found)</v>
      </c>
      <c r="N836" s="33">
        <f>IFERROR(__xludf.DUMMYFUNCTION("""COMPUTED_VALUE"""),1.0)</f>
        <v>1</v>
      </c>
      <c r="O836" s="4" t="str">
        <f>IFERROR(__xludf.DUMMYFUNCTION("""COMPUTED_VALUE"""),"N/A (Not found)")</f>
        <v>N/A (Not found)</v>
      </c>
      <c r="P836" s="33">
        <f>IFERROR(__xludf.DUMMYFUNCTION("""COMPUTED_VALUE"""),1.0)</f>
        <v>1</v>
      </c>
      <c r="Q836" s="4" t="str">
        <f>IFERROR(__xludf.DUMMYFUNCTION("""COMPUTED_VALUE"""),"N/A (Not found)")</f>
        <v>N/A (Not found)</v>
      </c>
      <c r="R836" s="33">
        <f>IFERROR(__xludf.DUMMYFUNCTION("""COMPUTED_VALUE"""),1.0)</f>
        <v>1</v>
      </c>
      <c r="S836" s="4" t="str">
        <f>IFERROR(__xludf.DUMMYFUNCTION("""COMPUTED_VALUE"""),"N/A (Not found)")</f>
        <v>N/A (Not found)</v>
      </c>
      <c r="T836" s="33">
        <f>IFERROR(__xludf.DUMMYFUNCTION("""COMPUTED_VALUE"""),1.0)</f>
        <v>1</v>
      </c>
      <c r="U836" s="4" t="str">
        <f>IFERROR(__xludf.DUMMYFUNCTION("""COMPUTED_VALUE"""),"N/A (Not found)")</f>
        <v>N/A (Not found)</v>
      </c>
      <c r="V836" s="33">
        <f>IFERROR(__xludf.DUMMYFUNCTION("""COMPUTED_VALUE"""),1.0)</f>
        <v>1</v>
      </c>
      <c r="W836" s="4" t="str">
        <f>IFERROR(__xludf.DUMMYFUNCTION("""COMPUTED_VALUE"""),"N/A (Not found)")</f>
        <v>N/A (Not found)</v>
      </c>
      <c r="X836" s="33">
        <f>IFERROR(__xludf.DUMMYFUNCTION("""COMPUTED_VALUE"""),1.0)</f>
        <v>1</v>
      </c>
    </row>
    <row r="837">
      <c r="K837" s="4" t="str">
        <f>IFERROR(__xludf.DUMMYFUNCTION("""COMPUTED_VALUE"""),"DROGARIAS VERA CRUZ - CONTA PAI")</f>
        <v>DROGARIAS VERA CRUZ - CONTA PAI</v>
      </c>
      <c r="L837" s="32">
        <f>IFERROR(__xludf.DUMMYFUNCTION("""COMPUTED_VALUE"""),9.0)</f>
        <v>9</v>
      </c>
      <c r="M837" s="4" t="str">
        <f>IFERROR(__xludf.DUMMYFUNCTION("""COMPUTED_VALUE"""),"N/A (Not found)")</f>
        <v>N/A (Not found)</v>
      </c>
      <c r="N837" s="33">
        <f>IFERROR(__xludf.DUMMYFUNCTION("""COMPUTED_VALUE"""),1.0)</f>
        <v>1</v>
      </c>
      <c r="O837" s="4" t="str">
        <f>IFERROR(__xludf.DUMMYFUNCTION("""COMPUTED_VALUE"""),"N/A (Not found)")</f>
        <v>N/A (Not found)</v>
      </c>
      <c r="P837" s="33">
        <f>IFERROR(__xludf.DUMMYFUNCTION("""COMPUTED_VALUE"""),1.0)</f>
        <v>1</v>
      </c>
      <c r="Q837" s="4" t="str">
        <f>IFERROR(__xludf.DUMMYFUNCTION("""COMPUTED_VALUE"""),"N/A (Not found)")</f>
        <v>N/A (Not found)</v>
      </c>
      <c r="R837" s="33">
        <f>IFERROR(__xludf.DUMMYFUNCTION("""COMPUTED_VALUE"""),1.0)</f>
        <v>1</v>
      </c>
      <c r="S837" s="4" t="str">
        <f>IFERROR(__xludf.DUMMYFUNCTION("""COMPUTED_VALUE"""),"N/A (Not found)")</f>
        <v>N/A (Not found)</v>
      </c>
      <c r="T837" s="33">
        <f>IFERROR(__xludf.DUMMYFUNCTION("""COMPUTED_VALUE"""),1.0)</f>
        <v>1</v>
      </c>
      <c r="U837" s="4" t="str">
        <f>IFERROR(__xludf.DUMMYFUNCTION("""COMPUTED_VALUE"""),"N/A (Not found)")</f>
        <v>N/A (Not found)</v>
      </c>
      <c r="V837" s="33">
        <f>IFERROR(__xludf.DUMMYFUNCTION("""COMPUTED_VALUE"""),1.0)</f>
        <v>1</v>
      </c>
      <c r="W837" s="4" t="str">
        <f>IFERROR(__xludf.DUMMYFUNCTION("""COMPUTED_VALUE"""),"N/A (Not found)")</f>
        <v>N/A (Not found)</v>
      </c>
      <c r="X837" s="33">
        <f>IFERROR(__xludf.DUMMYFUNCTION("""COMPUTED_VALUE"""),1.0)</f>
        <v>1</v>
      </c>
    </row>
    <row r="838">
      <c r="K838" s="4" t="str">
        <f>IFERROR(__xludf.DUMMYFUNCTION("""COMPUTED_VALUE"""),"CONTA GRUPO EL PADRE KEBAB")</f>
        <v>CONTA GRUPO EL PADRE KEBAB</v>
      </c>
      <c r="L838" s="32">
        <f>IFERROR(__xludf.DUMMYFUNCTION("""COMPUTED_VALUE"""),9.0)</f>
        <v>9</v>
      </c>
      <c r="M838" s="4" t="str">
        <f>IFERROR(__xludf.DUMMYFUNCTION("""COMPUTED_VALUE"""),"Suitable Tecnologia E Gestao")</f>
        <v>Suitable Tecnologia E Gestao</v>
      </c>
      <c r="N838" s="33">
        <f>IFERROR(__xludf.DUMMYFUNCTION("""COMPUTED_VALUE"""),1.0)</f>
        <v>1</v>
      </c>
      <c r="O838" s="4" t="str">
        <f>IFERROR(__xludf.DUMMYFUNCTION("""COMPUTED_VALUE"""),"Suitable Tecnologia E Gestao")</f>
        <v>Suitable Tecnologia E Gestao</v>
      </c>
      <c r="P838" s="33">
        <f>IFERROR(__xludf.DUMMYFUNCTION("""COMPUTED_VALUE"""),0.6666666666666666)</f>
        <v>0.6666666667</v>
      </c>
      <c r="Q838" s="4" t="str">
        <f>IFERROR(__xludf.DUMMYFUNCTION("""COMPUTED_VALUE"""),"Suitable Tecnologia E Gestao")</f>
        <v>Suitable Tecnologia E Gestao</v>
      </c>
      <c r="R838" s="33">
        <f>IFERROR(__xludf.DUMMYFUNCTION("""COMPUTED_VALUE"""),0.6666666666666666)</f>
        <v>0.6666666667</v>
      </c>
      <c r="S838" s="4" t="str">
        <f>IFERROR(__xludf.DUMMYFUNCTION("""COMPUTED_VALUE"""),"Suitable Tecnologia E Gestao")</f>
        <v>Suitable Tecnologia E Gestao</v>
      </c>
      <c r="T838" s="33">
        <f>IFERROR(__xludf.DUMMYFUNCTION("""COMPUTED_VALUE"""),0.5555555555555556)</f>
        <v>0.5555555556</v>
      </c>
      <c r="U838" s="4" t="str">
        <f>IFERROR(__xludf.DUMMYFUNCTION("""COMPUTED_VALUE"""),"Saipos Serviços De Software")</f>
        <v>Saipos Serviços De Software</v>
      </c>
      <c r="V838" s="33">
        <f>IFERROR(__xludf.DUMMYFUNCTION("""COMPUTED_VALUE"""),0.3333333333333333)</f>
        <v>0.3333333333</v>
      </c>
      <c r="W838" s="4" t="str">
        <f>IFERROR(__xludf.DUMMYFUNCTION("""COMPUTED_VALUE"""),"Saipos Serviços De Software")</f>
        <v>Saipos Serviços De Software</v>
      </c>
      <c r="X838" s="33">
        <f>IFERROR(__xludf.DUMMYFUNCTION("""COMPUTED_VALUE"""),0.3333333333333333)</f>
        <v>0.3333333333</v>
      </c>
    </row>
    <row r="839">
      <c r="K839" s="4" t="str">
        <f>IFERROR(__xludf.DUMMYFUNCTION("""COMPUTED_VALUE"""),"EMPORIO BROWNIE CONTA MARCA")</f>
        <v>EMPORIO BROWNIE CONTA MARCA</v>
      </c>
      <c r="L839" s="32">
        <f>IFERROR(__xludf.DUMMYFUNCTION("""COMPUTED_VALUE"""),9.0)</f>
        <v>9</v>
      </c>
      <c r="M839" s="4" t="str">
        <f>IFERROR(__xludf.DUMMYFUNCTION("""COMPUTED_VALUE"""),"E-deploy Retail")</f>
        <v>E-deploy Retail</v>
      </c>
      <c r="N839" s="33">
        <f>IFERROR(__xludf.DUMMYFUNCTION("""COMPUTED_VALUE"""),0.8888888888888888)</f>
        <v>0.8888888889</v>
      </c>
      <c r="O839" s="4" t="str">
        <f>IFERROR(__xludf.DUMMYFUNCTION("""COMPUTED_VALUE"""),"E-deploy Retail")</f>
        <v>E-deploy Retail</v>
      </c>
      <c r="P839" s="33">
        <f>IFERROR(__xludf.DUMMYFUNCTION("""COMPUTED_VALUE"""),0.8888888888888888)</f>
        <v>0.8888888889</v>
      </c>
      <c r="Q839" s="4" t="str">
        <f>IFERROR(__xludf.DUMMYFUNCTION("""COMPUTED_VALUE"""),"E-deploy Retail")</f>
        <v>E-deploy Retail</v>
      </c>
      <c r="R839" s="33">
        <f>IFERROR(__xludf.DUMMYFUNCTION("""COMPUTED_VALUE"""),1.0)</f>
        <v>1</v>
      </c>
      <c r="S839" s="4" t="str">
        <f>IFERROR(__xludf.DUMMYFUNCTION("""COMPUTED_VALUE"""),"E-deploy Retail")</f>
        <v>E-deploy Retail</v>
      </c>
      <c r="T839" s="33">
        <f>IFERROR(__xludf.DUMMYFUNCTION("""COMPUTED_VALUE"""),0.8888888888888888)</f>
        <v>0.8888888889</v>
      </c>
      <c r="U839" s="4" t="str">
        <f>IFERROR(__xludf.DUMMYFUNCTION("""COMPUTED_VALUE"""),"E-deploy Retail")</f>
        <v>E-deploy Retail</v>
      </c>
      <c r="V839" s="33">
        <f>IFERROR(__xludf.DUMMYFUNCTION("""COMPUTED_VALUE"""),0.8888888888888888)</f>
        <v>0.8888888889</v>
      </c>
      <c r="W839" s="4" t="str">
        <f>IFERROR(__xludf.DUMMYFUNCTION("""COMPUTED_VALUE"""),"E-deploy Retail")</f>
        <v>E-deploy Retail</v>
      </c>
      <c r="X839" s="33">
        <f>IFERROR(__xludf.DUMMYFUNCTION("""COMPUTED_VALUE"""),0.8888888888888888)</f>
        <v>0.8888888889</v>
      </c>
    </row>
    <row r="840">
      <c r="K840" s="4" t="str">
        <f>IFERROR(__xludf.DUMMYFUNCTION("""COMPUTED_VALUE"""),"FARMACIAS MULTIFARMA - CONTA PAI")</f>
        <v>FARMACIAS MULTIFARMA - CONTA PAI</v>
      </c>
      <c r="L840" s="32">
        <f>IFERROR(__xludf.DUMMYFUNCTION("""COMPUTED_VALUE"""),9.0)</f>
        <v>9</v>
      </c>
      <c r="M840" s="4" t="str">
        <f>IFERROR(__xludf.DUMMYFUNCTION("""COMPUTED_VALUE"""),"N/A (Not found)")</f>
        <v>N/A (Not found)</v>
      </c>
      <c r="N840" s="33">
        <f>IFERROR(__xludf.DUMMYFUNCTION("""COMPUTED_VALUE"""),1.0)</f>
        <v>1</v>
      </c>
      <c r="O840" s="4" t="str">
        <f>IFERROR(__xludf.DUMMYFUNCTION("""COMPUTED_VALUE"""),"N/A (Not found)")</f>
        <v>N/A (Not found)</v>
      </c>
      <c r="P840" s="33">
        <f>IFERROR(__xludf.DUMMYFUNCTION("""COMPUTED_VALUE"""),1.0)</f>
        <v>1</v>
      </c>
      <c r="Q840" s="4" t="str">
        <f>IFERROR(__xludf.DUMMYFUNCTION("""COMPUTED_VALUE"""),"N/A (Not found)")</f>
        <v>N/A (Not found)</v>
      </c>
      <c r="R840" s="33">
        <f>IFERROR(__xludf.DUMMYFUNCTION("""COMPUTED_VALUE"""),1.0)</f>
        <v>1</v>
      </c>
      <c r="S840" s="4" t="str">
        <f>IFERROR(__xludf.DUMMYFUNCTION("""COMPUTED_VALUE"""),"N/A (Not found)")</f>
        <v>N/A (Not found)</v>
      </c>
      <c r="T840" s="33">
        <f>IFERROR(__xludf.DUMMYFUNCTION("""COMPUTED_VALUE"""),1.0)</f>
        <v>1</v>
      </c>
      <c r="U840" s="4" t="str">
        <f>IFERROR(__xludf.DUMMYFUNCTION("""COMPUTED_VALUE"""),"N/A (Not found)")</f>
        <v>N/A (Not found)</v>
      </c>
      <c r="V840" s="33">
        <f>IFERROR(__xludf.DUMMYFUNCTION("""COMPUTED_VALUE"""),1.0)</f>
        <v>1</v>
      </c>
      <c r="W840" s="4" t="str">
        <f>IFERROR(__xludf.DUMMYFUNCTION("""COMPUTED_VALUE"""),"N/A (Not found)")</f>
        <v>N/A (Not found)</v>
      </c>
      <c r="X840" s="33">
        <f>IFERROR(__xludf.DUMMYFUNCTION("""COMPUTED_VALUE"""),1.0)</f>
        <v>1</v>
      </c>
    </row>
    <row r="841">
      <c r="K841" s="4" t="str">
        <f>IFERROR(__xludf.DUMMYFUNCTION("""COMPUTED_VALUE"""),"FARRA PIZZA BURGER")</f>
        <v>FARRA PIZZA BURGER</v>
      </c>
      <c r="L841" s="32">
        <f>IFERROR(__xludf.DUMMYFUNCTION("""COMPUTED_VALUE"""),9.0)</f>
        <v>9</v>
      </c>
      <c r="M841" s="4" t="str">
        <f>IFERROR(__xludf.DUMMYFUNCTION("""COMPUTED_VALUE"""),"Saipos Serviços De Software")</f>
        <v>Saipos Serviços De Software</v>
      </c>
      <c r="N841" s="33">
        <f>IFERROR(__xludf.DUMMYFUNCTION("""COMPUTED_VALUE"""),0.8888888888888888)</f>
        <v>0.8888888889</v>
      </c>
      <c r="O841" s="4" t="str">
        <f>IFERROR(__xludf.DUMMYFUNCTION("""COMPUTED_VALUE"""),"Saipos Serviços De Software")</f>
        <v>Saipos Serviços De Software</v>
      </c>
      <c r="P841" s="33">
        <f>IFERROR(__xludf.DUMMYFUNCTION("""COMPUTED_VALUE"""),0.8888888888888888)</f>
        <v>0.8888888889</v>
      </c>
      <c r="Q841" s="4" t="str">
        <f>IFERROR(__xludf.DUMMYFUNCTION("""COMPUTED_VALUE"""),"Saipos Serviços De Software")</f>
        <v>Saipos Serviços De Software</v>
      </c>
      <c r="R841" s="33">
        <f>IFERROR(__xludf.DUMMYFUNCTION("""COMPUTED_VALUE"""),0.8888888888888888)</f>
        <v>0.8888888889</v>
      </c>
      <c r="S841" s="4" t="str">
        <f>IFERROR(__xludf.DUMMYFUNCTION("""COMPUTED_VALUE"""),"Saipos Serviços De Software")</f>
        <v>Saipos Serviços De Software</v>
      </c>
      <c r="T841" s="33">
        <f>IFERROR(__xludf.DUMMYFUNCTION("""COMPUTED_VALUE"""),0.8888888888888888)</f>
        <v>0.8888888889</v>
      </c>
      <c r="U841" s="4" t="str">
        <f>IFERROR(__xludf.DUMMYFUNCTION("""COMPUTED_VALUE"""),"Saipos Serviços De Software")</f>
        <v>Saipos Serviços De Software</v>
      </c>
      <c r="V841" s="33">
        <f>IFERROR(__xludf.DUMMYFUNCTION("""COMPUTED_VALUE"""),1.0)</f>
        <v>1</v>
      </c>
      <c r="W841" s="4" t="str">
        <f>IFERROR(__xludf.DUMMYFUNCTION("""COMPUTED_VALUE"""),"Saipos Serviços De Software")</f>
        <v>Saipos Serviços De Software</v>
      </c>
      <c r="X841" s="33">
        <f>IFERROR(__xludf.DUMMYFUNCTION("""COMPUTED_VALUE"""),0.7777777777777778)</f>
        <v>0.7777777778</v>
      </c>
    </row>
    <row r="842">
      <c r="K842" s="4" t="str">
        <f>IFERROR(__xludf.DUMMYFUNCTION("""COMPUTED_VALUE"""),"FLASH BURGUER SLZ")</f>
        <v>FLASH BURGUER SLZ</v>
      </c>
      <c r="L842" s="32">
        <f>IFERROR(__xludf.DUMMYFUNCTION("""COMPUTED_VALUE"""),9.0)</f>
        <v>9</v>
      </c>
      <c r="M842" s="4" t="str">
        <f>IFERROR(__xludf.DUMMYFUNCTION("""COMPUTED_VALUE"""),"Saipos Serviços De Software")</f>
        <v>Saipos Serviços De Software</v>
      </c>
      <c r="N842" s="33">
        <f>IFERROR(__xludf.DUMMYFUNCTION("""COMPUTED_VALUE"""),1.0)</f>
        <v>1</v>
      </c>
      <c r="O842" s="4" t="str">
        <f>IFERROR(__xludf.DUMMYFUNCTION("""COMPUTED_VALUE"""),"Saipos Serviços De Software")</f>
        <v>Saipos Serviços De Software</v>
      </c>
      <c r="P842" s="33">
        <f>IFERROR(__xludf.DUMMYFUNCTION("""COMPUTED_VALUE"""),1.0)</f>
        <v>1</v>
      </c>
      <c r="Q842" s="4" t="str">
        <f>IFERROR(__xludf.DUMMYFUNCTION("""COMPUTED_VALUE"""),"Saipos Serviços De Software")</f>
        <v>Saipos Serviços De Software</v>
      </c>
      <c r="R842" s="33">
        <f>IFERROR(__xludf.DUMMYFUNCTION("""COMPUTED_VALUE"""),0.8888888888888888)</f>
        <v>0.8888888889</v>
      </c>
      <c r="S842" s="4" t="str">
        <f>IFERROR(__xludf.DUMMYFUNCTION("""COMPUTED_VALUE"""),"Saipos Serviços De Software")</f>
        <v>Saipos Serviços De Software</v>
      </c>
      <c r="T842" s="33">
        <f>IFERROR(__xludf.DUMMYFUNCTION("""COMPUTED_VALUE"""),1.0)</f>
        <v>1</v>
      </c>
      <c r="U842" s="4" t="str">
        <f>IFERROR(__xludf.DUMMYFUNCTION("""COMPUTED_VALUE"""),"Saipos Serviços De Software")</f>
        <v>Saipos Serviços De Software</v>
      </c>
      <c r="V842" s="33">
        <f>IFERROR(__xludf.DUMMYFUNCTION("""COMPUTED_VALUE"""),1.0)</f>
        <v>1</v>
      </c>
      <c r="W842" s="4" t="str">
        <f>IFERROR(__xludf.DUMMYFUNCTION("""COMPUTED_VALUE"""),"Saipos Serviços De Software")</f>
        <v>Saipos Serviços De Software</v>
      </c>
      <c r="X842" s="33">
        <f>IFERROR(__xludf.DUMMYFUNCTION("""COMPUTED_VALUE"""),0.8888888888888888)</f>
        <v>0.8888888889</v>
      </c>
    </row>
    <row r="843">
      <c r="K843" s="4" t="str">
        <f>IFERROR(__xludf.DUMMYFUNCTION("""COMPUTED_VALUE"""),"GRUPO JOHN BLACK")</f>
        <v>GRUPO JOHN BLACK</v>
      </c>
      <c r="L843" s="32">
        <f>IFERROR(__xludf.DUMMYFUNCTION("""COMPUTED_VALUE"""),9.0)</f>
        <v>9</v>
      </c>
      <c r="M843" s="4" t="str">
        <f>IFERROR(__xludf.DUMMYFUNCTION("""COMPUTED_VALUE"""),"Parseint Desenvolvimento De Sistemas Ltda")</f>
        <v>Parseint Desenvolvimento De Sistemas Ltda</v>
      </c>
      <c r="N843" s="33">
        <f>IFERROR(__xludf.DUMMYFUNCTION("""COMPUTED_VALUE"""),0.5555555555555556)</f>
        <v>0.5555555556</v>
      </c>
      <c r="O843" s="4" t="str">
        <f>IFERROR(__xludf.DUMMYFUNCTION("""COMPUTED_VALUE"""),"Parseint Desenvolvimento De Sistemas Ltda")</f>
        <v>Parseint Desenvolvimento De Sistemas Ltda</v>
      </c>
      <c r="P843" s="33">
        <f>IFERROR(__xludf.DUMMYFUNCTION("""COMPUTED_VALUE"""),0.5555555555555556)</f>
        <v>0.5555555556</v>
      </c>
      <c r="Q843" s="4" t="str">
        <f>IFERROR(__xludf.DUMMYFUNCTION("""COMPUTED_VALUE"""),"Saipos Serviços De Software")</f>
        <v>Saipos Serviços De Software</v>
      </c>
      <c r="R843" s="33">
        <f>IFERROR(__xludf.DUMMYFUNCTION("""COMPUTED_VALUE"""),1.0)</f>
        <v>1</v>
      </c>
      <c r="S843" s="4" t="str">
        <f>IFERROR(__xludf.DUMMYFUNCTION("""COMPUTED_VALUE"""),"Saipos Serviços De Software")</f>
        <v>Saipos Serviços De Software</v>
      </c>
      <c r="T843" s="33">
        <f>IFERROR(__xludf.DUMMYFUNCTION("""COMPUTED_VALUE"""),1.0)</f>
        <v>1</v>
      </c>
      <c r="U843" s="4" t="str">
        <f>IFERROR(__xludf.DUMMYFUNCTION("""COMPUTED_VALUE"""),"Saipos Serviços De Software")</f>
        <v>Saipos Serviços De Software</v>
      </c>
      <c r="V843" s="33">
        <f>IFERROR(__xludf.DUMMYFUNCTION("""COMPUTED_VALUE"""),1.0)</f>
        <v>1</v>
      </c>
      <c r="W843" s="4" t="str">
        <f>IFERROR(__xludf.DUMMYFUNCTION("""COMPUTED_VALUE"""),"Saipos Serviços De Software")</f>
        <v>Saipos Serviços De Software</v>
      </c>
      <c r="X843" s="33">
        <f>IFERROR(__xludf.DUMMYFUNCTION("""COMPUTED_VALUE"""),1.0)</f>
        <v>1</v>
      </c>
    </row>
    <row r="844">
      <c r="K844" s="4" t="str">
        <f>IFERROR(__xludf.DUMMYFUNCTION("""COMPUTED_VALUE"""),"GRUPO LUGS")</f>
        <v>GRUPO LUGS</v>
      </c>
      <c r="L844" s="32">
        <f>IFERROR(__xludf.DUMMYFUNCTION("""COMPUTED_VALUE"""),9.0)</f>
        <v>9</v>
      </c>
      <c r="M844" s="4" t="str">
        <f>IFERROR(__xludf.DUMMYFUNCTION("""COMPUTED_VALUE"""),"null")</f>
        <v>null</v>
      </c>
      <c r="N844" s="33">
        <f>IFERROR(__xludf.DUMMYFUNCTION("""COMPUTED_VALUE"""),0.7777777777777778)</f>
        <v>0.7777777778</v>
      </c>
      <c r="O844" s="4" t="str">
        <f>IFERROR(__xludf.DUMMYFUNCTION("""COMPUTED_VALUE"""),"null")</f>
        <v>null</v>
      </c>
      <c r="P844" s="33">
        <f>IFERROR(__xludf.DUMMYFUNCTION("""COMPUTED_VALUE"""),0.6666666666666666)</f>
        <v>0.6666666667</v>
      </c>
      <c r="Q844" s="4" t="str">
        <f>IFERROR(__xludf.DUMMYFUNCTION("""COMPUTED_VALUE"""),"null")</f>
        <v>null</v>
      </c>
      <c r="R844" s="33">
        <f>IFERROR(__xludf.DUMMYFUNCTION("""COMPUTED_VALUE"""),0.7777777777777778)</f>
        <v>0.7777777778</v>
      </c>
      <c r="S844" s="4" t="str">
        <f>IFERROR(__xludf.DUMMYFUNCTION("""COMPUTED_VALUE"""),"null")</f>
        <v>null</v>
      </c>
      <c r="T844" s="33">
        <f>IFERROR(__xludf.DUMMYFUNCTION("""COMPUTED_VALUE"""),0.3333333333333333)</f>
        <v>0.3333333333</v>
      </c>
      <c r="U844" s="4" t="str">
        <f>IFERROR(__xludf.DUMMYFUNCTION("""COMPUTED_VALUE"""),"Ncr")</f>
        <v>Ncr</v>
      </c>
      <c r="V844" s="33">
        <f>IFERROR(__xludf.DUMMYFUNCTION("""COMPUTED_VALUE"""),0.3333333333333333)</f>
        <v>0.3333333333</v>
      </c>
      <c r="W844" s="4" t="str">
        <f>IFERROR(__xludf.DUMMYFUNCTION("""COMPUTED_VALUE"""),"Ncr")</f>
        <v>Ncr</v>
      </c>
      <c r="X844" s="33">
        <f>IFERROR(__xludf.DUMMYFUNCTION("""COMPUTED_VALUE"""),0.4444444444444444)</f>
        <v>0.4444444444</v>
      </c>
    </row>
    <row r="845">
      <c r="K845" s="4" t="str">
        <f>IFERROR(__xludf.DUMMYFUNCTION("""COMPUTED_VALUE"""),"GENEAL")</f>
        <v>GENEAL</v>
      </c>
      <c r="L845" s="32">
        <f>IFERROR(__xludf.DUMMYFUNCTION("""COMPUTED_VALUE"""),9.0)</f>
        <v>9</v>
      </c>
      <c r="M845" s="4" t="str">
        <f>IFERROR(__xludf.DUMMYFUNCTION("""COMPUTED_VALUE"""),"Gcom - Gestao Em Tecnologia De Informacao Eireli")</f>
        <v>Gcom - Gestao Em Tecnologia De Informacao Eireli</v>
      </c>
      <c r="N845" s="33">
        <f>IFERROR(__xludf.DUMMYFUNCTION("""COMPUTED_VALUE"""),1.0)</f>
        <v>1</v>
      </c>
      <c r="O845" s="4" t="str">
        <f>IFERROR(__xludf.DUMMYFUNCTION("""COMPUTED_VALUE"""),"Gcom - Gestao Em Tecnologia De Informacao Eireli")</f>
        <v>Gcom - Gestao Em Tecnologia De Informacao Eireli</v>
      </c>
      <c r="P845" s="33">
        <f>IFERROR(__xludf.DUMMYFUNCTION("""COMPUTED_VALUE"""),0.7777777777777778)</f>
        <v>0.7777777778</v>
      </c>
      <c r="Q845" s="4" t="str">
        <f>IFERROR(__xludf.DUMMYFUNCTION("""COMPUTED_VALUE"""),"Gcom - Gestao Em Tecnologia De Informacao Eireli")</f>
        <v>Gcom - Gestao Em Tecnologia De Informacao Eireli</v>
      </c>
      <c r="R845" s="33">
        <f>IFERROR(__xludf.DUMMYFUNCTION("""COMPUTED_VALUE"""),0.7777777777777778)</f>
        <v>0.7777777778</v>
      </c>
      <c r="S845" s="4" t="str">
        <f>IFERROR(__xludf.DUMMYFUNCTION("""COMPUTED_VALUE"""),"Gcom - Gestao Em Tecnologia De Informacao Eireli")</f>
        <v>Gcom - Gestao Em Tecnologia De Informacao Eireli</v>
      </c>
      <c r="T845" s="33">
        <f>IFERROR(__xludf.DUMMYFUNCTION("""COMPUTED_VALUE"""),0.8888888888888888)</f>
        <v>0.8888888889</v>
      </c>
      <c r="U845" s="4" t="str">
        <f>IFERROR(__xludf.DUMMYFUNCTION("""COMPUTED_VALUE"""),"Gcom - Gestao Em Tecnologia De Informacao Eireli")</f>
        <v>Gcom - Gestao Em Tecnologia De Informacao Eireli</v>
      </c>
      <c r="V845" s="33">
        <f>IFERROR(__xludf.DUMMYFUNCTION("""COMPUTED_VALUE"""),0.8888888888888888)</f>
        <v>0.8888888889</v>
      </c>
      <c r="W845" s="4" t="str">
        <f>IFERROR(__xludf.DUMMYFUNCTION("""COMPUTED_VALUE"""),"Gcom - Gestao Em Tecnologia De Informacao Eireli")</f>
        <v>Gcom - Gestao Em Tecnologia De Informacao Eireli</v>
      </c>
      <c r="X845" s="33">
        <f>IFERROR(__xludf.DUMMYFUNCTION("""COMPUTED_VALUE"""),0.8888888888888888)</f>
        <v>0.8888888889</v>
      </c>
    </row>
    <row r="846">
      <c r="K846" s="4" t="str">
        <f>IFERROR(__xludf.DUMMYFUNCTION("""COMPUTED_VALUE"""),"GENERAL PRIME BURGER")</f>
        <v>GENERAL PRIME BURGER</v>
      </c>
      <c r="L846" s="32">
        <f>IFERROR(__xludf.DUMMYFUNCTION("""COMPUTED_VALUE"""),9.0)</f>
        <v>9</v>
      </c>
      <c r="M846" s="4" t="str">
        <f>IFERROR(__xludf.DUMMYFUNCTION("""COMPUTED_VALUE"""),"Saipos Serviços De Software")</f>
        <v>Saipos Serviços De Software</v>
      </c>
      <c r="N846" s="33">
        <f>IFERROR(__xludf.DUMMYFUNCTION("""COMPUTED_VALUE"""),0.3333333333333333)</f>
        <v>0.3333333333</v>
      </c>
      <c r="O846" s="4" t="str">
        <f>IFERROR(__xludf.DUMMYFUNCTION("""COMPUTED_VALUE"""),"null")</f>
        <v>null</v>
      </c>
      <c r="P846" s="33">
        <f>IFERROR(__xludf.DUMMYFUNCTION("""COMPUTED_VALUE"""),0.5555555555555556)</f>
        <v>0.5555555556</v>
      </c>
      <c r="Q846" s="4" t="str">
        <f>IFERROR(__xludf.DUMMYFUNCTION("""COMPUTED_VALUE"""),"null")</f>
        <v>null</v>
      </c>
      <c r="R846" s="33">
        <f>IFERROR(__xludf.DUMMYFUNCTION("""COMPUTED_VALUE"""),0.4444444444444444)</f>
        <v>0.4444444444</v>
      </c>
      <c r="S846" s="4" t="str">
        <f>IFERROR(__xludf.DUMMYFUNCTION("""COMPUTED_VALUE"""),"null")</f>
        <v>null</v>
      </c>
      <c r="T846" s="33">
        <f>IFERROR(__xludf.DUMMYFUNCTION("""COMPUTED_VALUE"""),0.4444444444444444)</f>
        <v>0.4444444444</v>
      </c>
      <c r="U846" s="4" t="str">
        <f>IFERROR(__xludf.DUMMYFUNCTION("""COMPUTED_VALUE"""),"null")</f>
        <v>null</v>
      </c>
      <c r="V846" s="33">
        <f>IFERROR(__xludf.DUMMYFUNCTION("""COMPUTED_VALUE"""),0.4444444444444444)</f>
        <v>0.4444444444</v>
      </c>
      <c r="W846" s="4" t="str">
        <f>IFERROR(__xludf.DUMMYFUNCTION("""COMPUTED_VALUE"""),"null")</f>
        <v>null</v>
      </c>
      <c r="X846" s="33">
        <f>IFERROR(__xludf.DUMMYFUNCTION("""COMPUTED_VALUE"""),0.4444444444444444)</f>
        <v>0.4444444444</v>
      </c>
    </row>
    <row r="847">
      <c r="K847" s="4" t="str">
        <f>IFERROR(__xludf.DUMMYFUNCTION("""COMPUTED_VALUE"""),"GRUPO DECK")</f>
        <v>GRUPO DECK</v>
      </c>
      <c r="L847" s="32">
        <f>IFERROR(__xludf.DUMMYFUNCTION("""COMPUTED_VALUE"""),9.0)</f>
        <v>9</v>
      </c>
      <c r="M847" s="4" t="str">
        <f>IFERROR(__xludf.DUMMYFUNCTION("""COMPUTED_VALUE"""),"Menew - Linx")</f>
        <v>Menew - Linx</v>
      </c>
      <c r="N847" s="33">
        <f>IFERROR(__xludf.DUMMYFUNCTION("""COMPUTED_VALUE"""),1.0)</f>
        <v>1</v>
      </c>
      <c r="O847" s="4" t="str">
        <f>IFERROR(__xludf.DUMMYFUNCTION("""COMPUTED_VALUE"""),"Menew - Linx")</f>
        <v>Menew - Linx</v>
      </c>
      <c r="P847" s="33">
        <f>IFERROR(__xludf.DUMMYFUNCTION("""COMPUTED_VALUE"""),1.0)</f>
        <v>1</v>
      </c>
      <c r="Q847" s="4" t="str">
        <f>IFERROR(__xludf.DUMMYFUNCTION("""COMPUTED_VALUE"""),"Menew - Linx")</f>
        <v>Menew - Linx</v>
      </c>
      <c r="R847" s="33">
        <f>IFERROR(__xludf.DUMMYFUNCTION("""COMPUTED_VALUE"""),1.0)</f>
        <v>1</v>
      </c>
      <c r="S847" s="4" t="str">
        <f>IFERROR(__xludf.DUMMYFUNCTION("""COMPUTED_VALUE"""),"Menew - Linx")</f>
        <v>Menew - Linx</v>
      </c>
      <c r="T847" s="33">
        <f>IFERROR(__xludf.DUMMYFUNCTION("""COMPUTED_VALUE"""),1.0)</f>
        <v>1</v>
      </c>
      <c r="U847" s="4" t="str">
        <f>IFERROR(__xludf.DUMMYFUNCTION("""COMPUTED_VALUE"""),"Menew - Linx")</f>
        <v>Menew - Linx</v>
      </c>
      <c r="V847" s="33">
        <f>IFERROR(__xludf.DUMMYFUNCTION("""COMPUTED_VALUE"""),1.0)</f>
        <v>1</v>
      </c>
      <c r="W847" s="4" t="str">
        <f>IFERROR(__xludf.DUMMYFUNCTION("""COMPUTED_VALUE"""),"Menew - Linx")</f>
        <v>Menew - Linx</v>
      </c>
      <c r="X847" s="33">
        <f>IFERROR(__xludf.DUMMYFUNCTION("""COMPUTED_VALUE"""),1.0)</f>
        <v>1</v>
      </c>
    </row>
    <row r="848">
      <c r="K848" s="4" t="str">
        <f>IFERROR(__xludf.DUMMYFUNCTION("""COMPUTED_VALUE"""),"GRUPO DJANGO HAMBURGUERIA")</f>
        <v>GRUPO DJANGO HAMBURGUERIA</v>
      </c>
      <c r="L848" s="32">
        <f>IFERROR(__xludf.DUMMYFUNCTION("""COMPUTED_VALUE"""),9.0)</f>
        <v>9</v>
      </c>
      <c r="M848" s="4" t="str">
        <f>IFERROR(__xludf.DUMMYFUNCTION("""COMPUTED_VALUE"""),"Marchiore It")</f>
        <v>Marchiore It</v>
      </c>
      <c r="N848" s="33">
        <f>IFERROR(__xludf.DUMMYFUNCTION("""COMPUTED_VALUE"""),1.0)</f>
        <v>1</v>
      </c>
      <c r="O848" s="4" t="str">
        <f>IFERROR(__xludf.DUMMYFUNCTION("""COMPUTED_VALUE"""),"Marchiore It")</f>
        <v>Marchiore It</v>
      </c>
      <c r="P848" s="33">
        <f>IFERROR(__xludf.DUMMYFUNCTION("""COMPUTED_VALUE"""),0.7777777777777778)</f>
        <v>0.7777777778</v>
      </c>
      <c r="Q848" s="4" t="str">
        <f>IFERROR(__xludf.DUMMYFUNCTION("""COMPUTED_VALUE"""),"Marchiore It")</f>
        <v>Marchiore It</v>
      </c>
      <c r="R848" s="33">
        <f>IFERROR(__xludf.DUMMYFUNCTION("""COMPUTED_VALUE"""),0.7777777777777778)</f>
        <v>0.7777777778</v>
      </c>
      <c r="S848" s="4" t="str">
        <f>IFERROR(__xludf.DUMMYFUNCTION("""COMPUTED_VALUE"""),"Marchiore It")</f>
        <v>Marchiore It</v>
      </c>
      <c r="T848" s="33">
        <f>IFERROR(__xludf.DUMMYFUNCTION("""COMPUTED_VALUE"""),0.7777777777777778)</f>
        <v>0.7777777778</v>
      </c>
      <c r="U848" s="4" t="str">
        <f>IFERROR(__xludf.DUMMYFUNCTION("""COMPUTED_VALUE"""),"Marchiore It")</f>
        <v>Marchiore It</v>
      </c>
      <c r="V848" s="33">
        <f>IFERROR(__xludf.DUMMYFUNCTION("""COMPUTED_VALUE"""),0.7777777777777778)</f>
        <v>0.7777777778</v>
      </c>
      <c r="W848" s="4" t="str">
        <f>IFERROR(__xludf.DUMMYFUNCTION("""COMPUTED_VALUE"""),"Marchiore It")</f>
        <v>Marchiore It</v>
      </c>
      <c r="X848" s="33">
        <f>IFERROR(__xludf.DUMMYFUNCTION("""COMPUTED_VALUE"""),0.6666666666666666)</f>
        <v>0.6666666667</v>
      </c>
    </row>
    <row r="849">
      <c r="K849" s="4" t="str">
        <f>IFERROR(__xludf.DUMMYFUNCTION("""COMPUTED_VALUE"""),"GRUPO FARM GREENS")</f>
        <v>GRUPO FARM GREENS</v>
      </c>
      <c r="L849" s="32">
        <f>IFERROR(__xludf.DUMMYFUNCTION("""COMPUTED_VALUE"""),9.0)</f>
        <v>9</v>
      </c>
      <c r="M849" s="4" t="str">
        <f>IFERROR(__xludf.DUMMYFUNCTION("""COMPUTED_VALUE"""),"null")</f>
        <v>null</v>
      </c>
      <c r="N849" s="33">
        <f>IFERROR(__xludf.DUMMYFUNCTION("""COMPUTED_VALUE"""),0.5555555555555556)</f>
        <v>0.5555555556</v>
      </c>
      <c r="O849" s="4" t="str">
        <f>IFERROR(__xludf.DUMMYFUNCTION("""COMPUTED_VALUE"""),"null")</f>
        <v>null</v>
      </c>
      <c r="P849" s="33">
        <f>IFERROR(__xludf.DUMMYFUNCTION("""COMPUTED_VALUE"""),0.5555555555555556)</f>
        <v>0.5555555556</v>
      </c>
      <c r="Q849" s="4" t="str">
        <f>IFERROR(__xludf.DUMMYFUNCTION("""COMPUTED_VALUE"""),"null")</f>
        <v>null</v>
      </c>
      <c r="R849" s="33">
        <f>IFERROR(__xludf.DUMMYFUNCTION("""COMPUTED_VALUE"""),0.5555555555555556)</f>
        <v>0.5555555556</v>
      </c>
      <c r="S849" s="4" t="str">
        <f>IFERROR(__xludf.DUMMYFUNCTION("""COMPUTED_VALUE"""),"Cardápio Web")</f>
        <v>Cardápio Web</v>
      </c>
      <c r="T849" s="33">
        <f>IFERROR(__xludf.DUMMYFUNCTION("""COMPUTED_VALUE"""),0.5555555555555556)</f>
        <v>0.5555555556</v>
      </c>
      <c r="U849" s="4" t="str">
        <f>IFERROR(__xludf.DUMMYFUNCTION("""COMPUTED_VALUE"""),"Cardápio Web")</f>
        <v>Cardápio Web</v>
      </c>
      <c r="V849" s="33">
        <f>IFERROR(__xludf.DUMMYFUNCTION("""COMPUTED_VALUE"""),1.0)</f>
        <v>1</v>
      </c>
      <c r="W849" s="4" t="str">
        <f>IFERROR(__xludf.DUMMYFUNCTION("""COMPUTED_VALUE"""),"Cardápio Web")</f>
        <v>Cardápio Web</v>
      </c>
      <c r="X849" s="33">
        <f>IFERROR(__xludf.DUMMYFUNCTION("""COMPUTED_VALUE"""),1.0)</f>
        <v>1</v>
      </c>
    </row>
    <row r="850">
      <c r="K850" s="4" t="str">
        <f>IFERROR(__xludf.DUMMYFUNCTION("""COMPUTED_VALUE"""),"GRUPO FORNO PAULISTA")</f>
        <v>GRUPO FORNO PAULISTA</v>
      </c>
      <c r="L850" s="32">
        <f>IFERROR(__xludf.DUMMYFUNCTION("""COMPUTED_VALUE"""),9.0)</f>
        <v>9</v>
      </c>
      <c r="M850" s="4" t="str">
        <f>IFERROR(__xludf.DUMMYFUNCTION("""COMPUTED_VALUE"""),"Saipos Serviços De Software")</f>
        <v>Saipos Serviços De Software</v>
      </c>
      <c r="N850" s="33">
        <f>IFERROR(__xludf.DUMMYFUNCTION("""COMPUTED_VALUE"""),1.0)</f>
        <v>1</v>
      </c>
      <c r="O850" s="4" t="str">
        <f>IFERROR(__xludf.DUMMYFUNCTION("""COMPUTED_VALUE"""),"Saipos Serviços De Software")</f>
        <v>Saipos Serviços De Software</v>
      </c>
      <c r="P850" s="33">
        <f>IFERROR(__xludf.DUMMYFUNCTION("""COMPUTED_VALUE"""),0.8888888888888888)</f>
        <v>0.8888888889</v>
      </c>
      <c r="Q850" s="4" t="str">
        <f>IFERROR(__xludf.DUMMYFUNCTION("""COMPUTED_VALUE"""),"Saipos Serviços De Software")</f>
        <v>Saipos Serviços De Software</v>
      </c>
      <c r="R850" s="33">
        <f>IFERROR(__xludf.DUMMYFUNCTION("""COMPUTED_VALUE"""),0.7777777777777778)</f>
        <v>0.7777777778</v>
      </c>
      <c r="S850" s="4" t="str">
        <f>IFERROR(__xludf.DUMMYFUNCTION("""COMPUTED_VALUE"""),"Saipos Serviços De Software")</f>
        <v>Saipos Serviços De Software</v>
      </c>
      <c r="T850" s="33">
        <f>IFERROR(__xludf.DUMMYFUNCTION("""COMPUTED_VALUE"""),0.8888888888888888)</f>
        <v>0.8888888889</v>
      </c>
      <c r="U850" s="4" t="str">
        <f>IFERROR(__xludf.DUMMYFUNCTION("""COMPUTED_VALUE"""),"Saipos Serviços De Software")</f>
        <v>Saipos Serviços De Software</v>
      </c>
      <c r="V850" s="33">
        <f>IFERROR(__xludf.DUMMYFUNCTION("""COMPUTED_VALUE"""),0.8888888888888888)</f>
        <v>0.8888888889</v>
      </c>
      <c r="W850" s="4" t="str">
        <f>IFERROR(__xludf.DUMMYFUNCTION("""COMPUTED_VALUE"""),"Saipos Serviços De Software")</f>
        <v>Saipos Serviços De Software</v>
      </c>
      <c r="X850" s="33">
        <f>IFERROR(__xludf.DUMMYFUNCTION("""COMPUTED_VALUE"""),0.7777777777777778)</f>
        <v>0.7777777778</v>
      </c>
    </row>
    <row r="851">
      <c r="K851" s="4" t="str">
        <f>IFERROR(__xludf.DUMMYFUNCTION("""COMPUTED_VALUE"""),"GRUPO JACKS DELIVERY")</f>
        <v>GRUPO JACKS DELIVERY</v>
      </c>
      <c r="L851" s="32">
        <f>IFERROR(__xludf.DUMMYFUNCTION("""COMPUTED_VALUE"""),9.0)</f>
        <v>9</v>
      </c>
      <c r="M851" s="4" t="str">
        <f>IFERROR(__xludf.DUMMYFUNCTION("""COMPUTED_VALUE"""),"Saipos Serviços De Software")</f>
        <v>Saipos Serviços De Software</v>
      </c>
      <c r="N851" s="33">
        <f>IFERROR(__xludf.DUMMYFUNCTION("""COMPUTED_VALUE"""),1.0)</f>
        <v>1</v>
      </c>
      <c r="O851" s="4" t="str">
        <f>IFERROR(__xludf.DUMMYFUNCTION("""COMPUTED_VALUE"""),"Saipos Serviços De Software")</f>
        <v>Saipos Serviços De Software</v>
      </c>
      <c r="P851" s="33">
        <f>IFERROR(__xludf.DUMMYFUNCTION("""COMPUTED_VALUE"""),0.7777777777777778)</f>
        <v>0.7777777778</v>
      </c>
      <c r="Q851" s="4" t="str">
        <f>IFERROR(__xludf.DUMMYFUNCTION("""COMPUTED_VALUE"""),"Saipos Serviços De Software")</f>
        <v>Saipos Serviços De Software</v>
      </c>
      <c r="R851" s="33">
        <f>IFERROR(__xludf.DUMMYFUNCTION("""COMPUTED_VALUE"""),0.8888888888888888)</f>
        <v>0.8888888889</v>
      </c>
      <c r="S851" s="4" t="str">
        <f>IFERROR(__xludf.DUMMYFUNCTION("""COMPUTED_VALUE"""),"Saipos Serviços De Software")</f>
        <v>Saipos Serviços De Software</v>
      </c>
      <c r="T851" s="33">
        <f>IFERROR(__xludf.DUMMYFUNCTION("""COMPUTED_VALUE"""),0.7777777777777778)</f>
        <v>0.7777777778</v>
      </c>
      <c r="U851" s="4" t="str">
        <f>IFERROR(__xludf.DUMMYFUNCTION("""COMPUTED_VALUE"""),"Saipos Serviços De Software")</f>
        <v>Saipos Serviços De Software</v>
      </c>
      <c r="V851" s="33">
        <f>IFERROR(__xludf.DUMMYFUNCTION("""COMPUTED_VALUE"""),0.7777777777777778)</f>
        <v>0.7777777778</v>
      </c>
      <c r="W851" s="4" t="str">
        <f>IFERROR(__xludf.DUMMYFUNCTION("""COMPUTED_VALUE"""),"Saipos Serviços De Software")</f>
        <v>Saipos Serviços De Software</v>
      </c>
      <c r="X851" s="33">
        <f>IFERROR(__xludf.DUMMYFUNCTION("""COMPUTED_VALUE"""),0.8888888888888888)</f>
        <v>0.8888888889</v>
      </c>
    </row>
    <row r="852">
      <c r="K852" s="4" t="str">
        <f>IFERROR(__xludf.DUMMYFUNCTION("""COMPUTED_VALUE"""),"GRUPO VILLA DOS SALGADOS")</f>
        <v>GRUPO VILLA DOS SALGADOS</v>
      </c>
      <c r="L852" s="32">
        <f>IFERROR(__xludf.DUMMYFUNCTION("""COMPUTED_VALUE"""),9.0)</f>
        <v>9</v>
      </c>
      <c r="M852" s="4" t="str">
        <f>IFERROR(__xludf.DUMMYFUNCTION("""COMPUTED_VALUE"""),"Waybe Soluções Em Tecnologia Da Informação Ltda")</f>
        <v>Waybe Soluções Em Tecnologia Da Informação Ltda</v>
      </c>
      <c r="N852" s="33">
        <f>IFERROR(__xludf.DUMMYFUNCTION("""COMPUTED_VALUE"""),1.0)</f>
        <v>1</v>
      </c>
      <c r="O852" s="4" t="str">
        <f>IFERROR(__xludf.DUMMYFUNCTION("""COMPUTED_VALUE"""),"Waybe Soluções Em Tecnologia Da Informação Ltda")</f>
        <v>Waybe Soluções Em Tecnologia Da Informação Ltda</v>
      </c>
      <c r="P852" s="33">
        <f>IFERROR(__xludf.DUMMYFUNCTION("""COMPUTED_VALUE"""),1.0)</f>
        <v>1</v>
      </c>
      <c r="Q852" s="4" t="str">
        <f>IFERROR(__xludf.DUMMYFUNCTION("""COMPUTED_VALUE"""),"Waybe Soluções Em Tecnologia Da Informação Ltda")</f>
        <v>Waybe Soluções Em Tecnologia Da Informação Ltda</v>
      </c>
      <c r="R852" s="33">
        <f>IFERROR(__xludf.DUMMYFUNCTION("""COMPUTED_VALUE"""),0.8888888888888888)</f>
        <v>0.8888888889</v>
      </c>
      <c r="S852" s="4" t="str">
        <f>IFERROR(__xludf.DUMMYFUNCTION("""COMPUTED_VALUE"""),"Waybe Soluções Em Tecnologia Da Informação Ltda")</f>
        <v>Waybe Soluções Em Tecnologia Da Informação Ltda</v>
      </c>
      <c r="T852" s="33">
        <f>IFERROR(__xludf.DUMMYFUNCTION("""COMPUTED_VALUE"""),0.8888888888888888)</f>
        <v>0.8888888889</v>
      </c>
      <c r="U852" s="4" t="str">
        <f>IFERROR(__xludf.DUMMYFUNCTION("""COMPUTED_VALUE"""),"Waybe Soluções Em Tecnologia Da Informação Ltda")</f>
        <v>Waybe Soluções Em Tecnologia Da Informação Ltda</v>
      </c>
      <c r="V852" s="33">
        <f>IFERROR(__xludf.DUMMYFUNCTION("""COMPUTED_VALUE"""),1.0)</f>
        <v>1</v>
      </c>
      <c r="W852" s="4" t="str">
        <f>IFERROR(__xludf.DUMMYFUNCTION("""COMPUTED_VALUE"""),"Waybe Soluções Em Tecnologia Da Informação Ltda")</f>
        <v>Waybe Soluções Em Tecnologia Da Informação Ltda</v>
      </c>
      <c r="X852" s="33">
        <f>IFERROR(__xludf.DUMMYFUNCTION("""COMPUTED_VALUE"""),1.0)</f>
        <v>1</v>
      </c>
    </row>
    <row r="853">
      <c r="K853" s="4" t="str">
        <f>IFERROR(__xludf.DUMMYFUNCTION("""COMPUTED_VALUE"""),"HAMBURGUERIA PRIMATAS HOUSE - LANCHES")</f>
        <v>HAMBURGUERIA PRIMATAS HOUSE - LANCHES</v>
      </c>
      <c r="L853" s="32">
        <f>IFERROR(__xludf.DUMMYFUNCTION("""COMPUTED_VALUE"""),9.0)</f>
        <v>9</v>
      </c>
      <c r="M853" s="4" t="str">
        <f>IFERROR(__xludf.DUMMYFUNCTION("""COMPUTED_VALUE"""),"null")</f>
        <v>null</v>
      </c>
      <c r="N853" s="33">
        <f>IFERROR(__xludf.DUMMYFUNCTION("""COMPUTED_VALUE"""),0.5555555555555556)</f>
        <v>0.5555555556</v>
      </c>
      <c r="O853" s="4" t="str">
        <f>IFERROR(__xludf.DUMMYFUNCTION("""COMPUTED_VALUE"""),"null")</f>
        <v>null</v>
      </c>
      <c r="P853" s="33">
        <f>IFERROR(__xludf.DUMMYFUNCTION("""COMPUTED_VALUE"""),0.6666666666666666)</f>
        <v>0.6666666667</v>
      </c>
      <c r="Q853" s="4" t="str">
        <f>IFERROR(__xludf.DUMMYFUNCTION("""COMPUTED_VALUE"""),"Cardápio Web")</f>
        <v>Cardápio Web</v>
      </c>
      <c r="R853" s="33">
        <f>IFERROR(__xludf.DUMMYFUNCTION("""COMPUTED_VALUE"""),0.5555555555555556)</f>
        <v>0.5555555556</v>
      </c>
      <c r="S853" s="4" t="str">
        <f>IFERROR(__xludf.DUMMYFUNCTION("""COMPUTED_VALUE"""),"Cardápio Web")</f>
        <v>Cardápio Web</v>
      </c>
      <c r="T853" s="33">
        <f>IFERROR(__xludf.DUMMYFUNCTION("""COMPUTED_VALUE"""),0.8888888888888888)</f>
        <v>0.8888888889</v>
      </c>
      <c r="U853" s="4" t="str">
        <f>IFERROR(__xludf.DUMMYFUNCTION("""COMPUTED_VALUE"""),"Cardápio Web")</f>
        <v>Cardápio Web</v>
      </c>
      <c r="V853" s="33">
        <f>IFERROR(__xludf.DUMMYFUNCTION("""COMPUTED_VALUE"""),0.7777777777777778)</f>
        <v>0.7777777778</v>
      </c>
      <c r="W853" s="4" t="str">
        <f>IFERROR(__xludf.DUMMYFUNCTION("""COMPUTED_VALUE"""),"Cardápio Web")</f>
        <v>Cardápio Web</v>
      </c>
      <c r="X853" s="33">
        <f>IFERROR(__xludf.DUMMYFUNCTION("""COMPUTED_VALUE"""),1.0)</f>
        <v>1</v>
      </c>
    </row>
    <row r="854">
      <c r="K854" s="4" t="str">
        <f>IFERROR(__xludf.DUMMYFUNCTION("""COMPUTED_VALUE"""),"HIPER ATACADO QUEIROZ - CONTA GRUPO")</f>
        <v>HIPER ATACADO QUEIROZ - CONTA GRUPO</v>
      </c>
      <c r="L854" s="32">
        <f>IFERROR(__xludf.DUMMYFUNCTION("""COMPUTED_VALUE"""),9.0)</f>
        <v>9</v>
      </c>
      <c r="M854" s="4" t="str">
        <f>IFERROR(__xludf.DUMMYFUNCTION("""COMPUTED_VALUE"""),"null")</f>
        <v>null</v>
      </c>
      <c r="N854" s="33">
        <f>IFERROR(__xludf.DUMMYFUNCTION("""COMPUTED_VALUE"""),0.5555555555555556)</f>
        <v>0.5555555556</v>
      </c>
      <c r="O854" s="4" t="str">
        <f>IFERROR(__xludf.DUMMYFUNCTION("""COMPUTED_VALUE"""),"N/A (Not found)")</f>
        <v>N/A (Not found)</v>
      </c>
      <c r="P854" s="33">
        <f>IFERROR(__xludf.DUMMYFUNCTION("""COMPUTED_VALUE"""),0.6666666666666666)</f>
        <v>0.6666666667</v>
      </c>
      <c r="Q854" s="4" t="str">
        <f>IFERROR(__xludf.DUMMYFUNCTION("""COMPUTED_VALUE"""),"N/A (Not found)")</f>
        <v>N/A (Not found)</v>
      </c>
      <c r="R854" s="33">
        <f>IFERROR(__xludf.DUMMYFUNCTION("""COMPUTED_VALUE"""),0.6666666666666666)</f>
        <v>0.6666666667</v>
      </c>
      <c r="S854" s="4" t="str">
        <f>IFERROR(__xludf.DUMMYFUNCTION("""COMPUTED_VALUE"""),"N/A (Not found)")</f>
        <v>N/A (Not found)</v>
      </c>
      <c r="T854" s="33">
        <f>IFERROR(__xludf.DUMMYFUNCTION("""COMPUTED_VALUE"""),0.7777777777777778)</f>
        <v>0.7777777778</v>
      </c>
      <c r="U854" s="4" t="str">
        <f>IFERROR(__xludf.DUMMYFUNCTION("""COMPUTED_VALUE"""),"N/A (Not found)")</f>
        <v>N/A (Not found)</v>
      </c>
      <c r="V854" s="33">
        <f>IFERROR(__xludf.DUMMYFUNCTION("""COMPUTED_VALUE"""),0.6666666666666666)</f>
        <v>0.6666666667</v>
      </c>
      <c r="W854" s="4" t="str">
        <f>IFERROR(__xludf.DUMMYFUNCTION("""COMPUTED_VALUE"""),"N/A (Not found)")</f>
        <v>N/A (Not found)</v>
      </c>
      <c r="X854" s="33">
        <f>IFERROR(__xludf.DUMMYFUNCTION("""COMPUTED_VALUE"""),1.0)</f>
        <v>1</v>
      </c>
    </row>
    <row r="855">
      <c r="K855" s="4" t="str">
        <f>IFERROR(__xludf.DUMMYFUNCTION("""COMPUTED_VALUE"""),"HOLY COOK")</f>
        <v>HOLY COOK</v>
      </c>
      <c r="L855" s="32">
        <f>IFERROR(__xludf.DUMMYFUNCTION("""COMPUTED_VALUE"""),9.0)</f>
        <v>9</v>
      </c>
      <c r="M855" s="4" t="str">
        <f>IFERROR(__xludf.DUMMYFUNCTION("""COMPUTED_VALUE"""),"Consumer Soluções Em Tecnologia Ltda")</f>
        <v>Consumer Soluções Em Tecnologia Ltda</v>
      </c>
      <c r="N855" s="33">
        <f>IFERROR(__xludf.DUMMYFUNCTION("""COMPUTED_VALUE"""),0.8888888888888888)</f>
        <v>0.8888888889</v>
      </c>
      <c r="O855" s="4" t="str">
        <f>IFERROR(__xludf.DUMMYFUNCTION("""COMPUTED_VALUE"""),"Consumer Soluções Em Tecnologia Ltda")</f>
        <v>Consumer Soluções Em Tecnologia Ltda</v>
      </c>
      <c r="P855" s="33">
        <f>IFERROR(__xludf.DUMMYFUNCTION("""COMPUTED_VALUE"""),0.7777777777777778)</f>
        <v>0.7777777778</v>
      </c>
      <c r="Q855" s="4" t="str">
        <f>IFERROR(__xludf.DUMMYFUNCTION("""COMPUTED_VALUE"""),"Consumer Soluções Em Tecnologia Ltda")</f>
        <v>Consumer Soluções Em Tecnologia Ltda</v>
      </c>
      <c r="R855" s="33">
        <f>IFERROR(__xludf.DUMMYFUNCTION("""COMPUTED_VALUE"""),0.5555555555555556)</f>
        <v>0.5555555556</v>
      </c>
      <c r="S855" s="4" t="str">
        <f>IFERROR(__xludf.DUMMYFUNCTION("""COMPUTED_VALUE"""),"Consumer Soluções Em Tecnologia Ltda")</f>
        <v>Consumer Soluções Em Tecnologia Ltda</v>
      </c>
      <c r="T855" s="33">
        <f>IFERROR(__xludf.DUMMYFUNCTION("""COMPUTED_VALUE"""),0.7777777777777778)</f>
        <v>0.7777777778</v>
      </c>
      <c r="U855" s="4" t="str">
        <f>IFERROR(__xludf.DUMMYFUNCTION("""COMPUTED_VALUE"""),"Consumer Soluções Em Tecnologia Ltda")</f>
        <v>Consumer Soluções Em Tecnologia Ltda</v>
      </c>
      <c r="V855" s="33">
        <f>IFERROR(__xludf.DUMMYFUNCTION("""COMPUTED_VALUE"""),0.6666666666666666)</f>
        <v>0.6666666667</v>
      </c>
      <c r="W855" s="4" t="str">
        <f>IFERROR(__xludf.DUMMYFUNCTION("""COMPUTED_VALUE"""),"Consumer Soluções Em Tecnologia Ltda")</f>
        <v>Consumer Soluções Em Tecnologia Ltda</v>
      </c>
      <c r="X855" s="33">
        <f>IFERROR(__xludf.DUMMYFUNCTION("""COMPUTED_VALUE"""),0.5555555555555556)</f>
        <v>0.5555555556</v>
      </c>
    </row>
    <row r="856">
      <c r="K856" s="4" t="str">
        <f>IFERROR(__xludf.DUMMYFUNCTION("""COMPUTED_VALUE"""),"IMAGEM TELECOM - CONTA MARCA")</f>
        <v>IMAGEM TELECOM - CONTA MARCA</v>
      </c>
      <c r="L856" s="32">
        <f>IFERROR(__xludf.DUMMYFUNCTION("""COMPUTED_VALUE"""),9.0)</f>
        <v>9</v>
      </c>
      <c r="M856" s="4" t="str">
        <f>IFERROR(__xludf.DUMMYFUNCTION("""COMPUTED_VALUE"""),"N/A (Not found)")</f>
        <v>N/A (Not found)</v>
      </c>
      <c r="N856" s="33">
        <f>IFERROR(__xludf.DUMMYFUNCTION("""COMPUTED_VALUE"""),0.6666666666666666)</f>
        <v>0.6666666667</v>
      </c>
      <c r="O856" s="4" t="str">
        <f>IFERROR(__xludf.DUMMYFUNCTION("""COMPUTED_VALUE"""),"N/A (Not found)")</f>
        <v>N/A (Not found)</v>
      </c>
      <c r="P856" s="33">
        <f>IFERROR(__xludf.DUMMYFUNCTION("""COMPUTED_VALUE"""),0.5555555555555556)</f>
        <v>0.5555555556</v>
      </c>
      <c r="Q856" s="4" t="str">
        <f>IFERROR(__xludf.DUMMYFUNCTION("""COMPUTED_VALUE"""),"N/A (Not found)")</f>
        <v>N/A (Not found)</v>
      </c>
      <c r="R856" s="33">
        <f>IFERROR(__xludf.DUMMYFUNCTION("""COMPUTED_VALUE"""),0.5555555555555556)</f>
        <v>0.5555555556</v>
      </c>
      <c r="S856" s="4" t="str">
        <f>IFERROR(__xludf.DUMMYFUNCTION("""COMPUTED_VALUE"""),"null")</f>
        <v>null</v>
      </c>
      <c r="T856" s="33">
        <f>IFERROR(__xludf.DUMMYFUNCTION("""COMPUTED_VALUE"""),0.5555555555555556)</f>
        <v>0.5555555556</v>
      </c>
      <c r="U856" s="4" t="str">
        <f>IFERROR(__xludf.DUMMYFUNCTION("""COMPUTED_VALUE"""),"N/A (Not found)")</f>
        <v>N/A (Not found)</v>
      </c>
      <c r="V856" s="33">
        <f>IFERROR(__xludf.DUMMYFUNCTION("""COMPUTED_VALUE"""),0.6666666666666666)</f>
        <v>0.6666666667</v>
      </c>
      <c r="W856" s="4" t="str">
        <f>IFERROR(__xludf.DUMMYFUNCTION("""COMPUTED_VALUE"""),"N/A (Not found)")</f>
        <v>N/A (Not found)</v>
      </c>
      <c r="X856" s="33">
        <f>IFERROR(__xludf.DUMMYFUNCTION("""COMPUTED_VALUE"""),0.6666666666666666)</f>
        <v>0.6666666667</v>
      </c>
    </row>
    <row r="857">
      <c r="K857" s="4" t="str">
        <f>IFERROR(__xludf.DUMMYFUNCTION("""COMPUTED_VALUE"""),"IPHOME TERESINA")</f>
        <v>IPHOME TERESINA</v>
      </c>
      <c r="L857" s="32">
        <f>IFERROR(__xludf.DUMMYFUNCTION("""COMPUTED_VALUE"""),9.0)</f>
        <v>9</v>
      </c>
      <c r="M857" s="4" t="str">
        <f>IFERROR(__xludf.DUMMYFUNCTION("""COMPUTED_VALUE"""),"Saipos Serviços De Software")</f>
        <v>Saipos Serviços De Software</v>
      </c>
      <c r="N857" s="33">
        <f>IFERROR(__xludf.DUMMYFUNCTION("""COMPUTED_VALUE"""),0.6666666666666666)</f>
        <v>0.6666666667</v>
      </c>
      <c r="O857" s="4" t="str">
        <f>IFERROR(__xludf.DUMMYFUNCTION("""COMPUTED_VALUE"""),"Saipos Serviços De Software")</f>
        <v>Saipos Serviços De Software</v>
      </c>
      <c r="P857" s="33">
        <f>IFERROR(__xludf.DUMMYFUNCTION("""COMPUTED_VALUE"""),0.6666666666666666)</f>
        <v>0.6666666667</v>
      </c>
      <c r="Q857" s="4" t="str">
        <f>IFERROR(__xludf.DUMMYFUNCTION("""COMPUTED_VALUE"""),"Saipos Serviços De Software")</f>
        <v>Saipos Serviços De Software</v>
      </c>
      <c r="R857" s="33">
        <f>IFERROR(__xludf.DUMMYFUNCTION("""COMPUTED_VALUE"""),0.8888888888888888)</f>
        <v>0.8888888889</v>
      </c>
      <c r="S857" s="4" t="str">
        <f>IFERROR(__xludf.DUMMYFUNCTION("""COMPUTED_VALUE"""),"Saipos Serviços De Software")</f>
        <v>Saipos Serviços De Software</v>
      </c>
      <c r="T857" s="33">
        <f>IFERROR(__xludf.DUMMYFUNCTION("""COMPUTED_VALUE"""),0.8888888888888888)</f>
        <v>0.8888888889</v>
      </c>
      <c r="U857" s="4" t="str">
        <f>IFERROR(__xludf.DUMMYFUNCTION("""COMPUTED_VALUE"""),"Saipos Serviços De Software")</f>
        <v>Saipos Serviços De Software</v>
      </c>
      <c r="V857" s="33">
        <f>IFERROR(__xludf.DUMMYFUNCTION("""COMPUTED_VALUE"""),1.0)</f>
        <v>1</v>
      </c>
      <c r="W857" s="4" t="str">
        <f>IFERROR(__xludf.DUMMYFUNCTION("""COMPUTED_VALUE"""),"Saipos Serviços De Software")</f>
        <v>Saipos Serviços De Software</v>
      </c>
      <c r="X857" s="33">
        <f>IFERROR(__xludf.DUMMYFUNCTION("""COMPUTED_VALUE"""),1.0)</f>
        <v>1</v>
      </c>
    </row>
    <row r="858">
      <c r="K858" s="4" t="str">
        <f>IFERROR(__xludf.DUMMYFUNCTION("""COMPUTED_VALUE"""),"JANGADA")</f>
        <v>JANGADA</v>
      </c>
      <c r="L858" s="32">
        <f>IFERROR(__xludf.DUMMYFUNCTION("""COMPUTED_VALUE"""),9.0)</f>
        <v>9</v>
      </c>
      <c r="M858" s="4" t="str">
        <f>IFERROR(__xludf.DUMMYFUNCTION("""COMPUTED_VALUE"""),"null")</f>
        <v>null</v>
      </c>
      <c r="N858" s="33">
        <f>IFERROR(__xludf.DUMMYFUNCTION("""COMPUTED_VALUE"""),0.8888888888888888)</f>
        <v>0.8888888889</v>
      </c>
      <c r="O858" s="4" t="str">
        <f>IFERROR(__xludf.DUMMYFUNCTION("""COMPUTED_VALUE"""),"null")</f>
        <v>null</v>
      </c>
      <c r="P858" s="33">
        <f>IFERROR(__xludf.DUMMYFUNCTION("""COMPUTED_VALUE"""),0.8888888888888888)</f>
        <v>0.8888888889</v>
      </c>
      <c r="Q858" s="4" t="str">
        <f>IFERROR(__xludf.DUMMYFUNCTION("""COMPUTED_VALUE"""),"null")</f>
        <v>null</v>
      </c>
      <c r="R858" s="33">
        <f>IFERROR(__xludf.DUMMYFUNCTION("""COMPUTED_VALUE"""),1.0)</f>
        <v>1</v>
      </c>
      <c r="S858" s="4" t="str">
        <f>IFERROR(__xludf.DUMMYFUNCTION("""COMPUTED_VALUE"""),"E-deploy Retail")</f>
        <v>E-deploy Retail</v>
      </c>
      <c r="T858" s="33">
        <f>IFERROR(__xludf.DUMMYFUNCTION("""COMPUTED_VALUE"""),0.5555555555555556)</f>
        <v>0.5555555556</v>
      </c>
      <c r="U858" s="4" t="str">
        <f>IFERROR(__xludf.DUMMYFUNCTION("""COMPUTED_VALUE"""),"E-deploy Retail")</f>
        <v>E-deploy Retail</v>
      </c>
      <c r="V858" s="33">
        <f>IFERROR(__xludf.DUMMYFUNCTION("""COMPUTED_VALUE"""),0.6666666666666666)</f>
        <v>0.6666666667</v>
      </c>
      <c r="W858" s="4" t="str">
        <f>IFERROR(__xludf.DUMMYFUNCTION("""COMPUTED_VALUE"""),"E-deploy Retail")</f>
        <v>E-deploy Retail</v>
      </c>
      <c r="X858" s="33">
        <f>IFERROR(__xludf.DUMMYFUNCTION("""COMPUTED_VALUE"""),0.8888888888888888)</f>
        <v>0.8888888889</v>
      </c>
    </row>
    <row r="859">
      <c r="K859" s="4" t="str">
        <f>IFERROR(__xludf.DUMMYFUNCTION("""COMPUTED_VALUE"""),"KIFAK BURGUER LONDRINA")</f>
        <v>KIFAK BURGUER LONDRINA</v>
      </c>
      <c r="L859" s="32">
        <f>IFERROR(__xludf.DUMMYFUNCTION("""COMPUTED_VALUE"""),9.0)</f>
        <v>9</v>
      </c>
      <c r="M859" s="4" t="str">
        <f>IFERROR(__xludf.DUMMYFUNCTION("""COMPUTED_VALUE"""),"Saipos Serviços De Software")</f>
        <v>Saipos Serviços De Software</v>
      </c>
      <c r="N859" s="33">
        <f>IFERROR(__xludf.DUMMYFUNCTION("""COMPUTED_VALUE"""),1.0)</f>
        <v>1</v>
      </c>
      <c r="O859" s="4" t="str">
        <f>IFERROR(__xludf.DUMMYFUNCTION("""COMPUTED_VALUE"""),"Saipos Serviços De Software")</f>
        <v>Saipos Serviços De Software</v>
      </c>
      <c r="P859" s="33">
        <f>IFERROR(__xludf.DUMMYFUNCTION("""COMPUTED_VALUE"""),1.0)</f>
        <v>1</v>
      </c>
      <c r="Q859" s="4" t="str">
        <f>IFERROR(__xludf.DUMMYFUNCTION("""COMPUTED_VALUE"""),"Saipos Serviços De Software")</f>
        <v>Saipos Serviços De Software</v>
      </c>
      <c r="R859" s="33">
        <f>IFERROR(__xludf.DUMMYFUNCTION("""COMPUTED_VALUE"""),1.0)</f>
        <v>1</v>
      </c>
      <c r="S859" s="4" t="str">
        <f>IFERROR(__xludf.DUMMYFUNCTION("""COMPUTED_VALUE"""),"Saipos Serviços De Software")</f>
        <v>Saipos Serviços De Software</v>
      </c>
      <c r="T859" s="33">
        <f>IFERROR(__xludf.DUMMYFUNCTION("""COMPUTED_VALUE"""),1.0)</f>
        <v>1</v>
      </c>
      <c r="U859" s="4" t="str">
        <f>IFERROR(__xludf.DUMMYFUNCTION("""COMPUTED_VALUE"""),"Saipos Serviços De Software")</f>
        <v>Saipos Serviços De Software</v>
      </c>
      <c r="V859" s="33">
        <f>IFERROR(__xludf.DUMMYFUNCTION("""COMPUTED_VALUE"""),1.0)</f>
        <v>1</v>
      </c>
      <c r="W859" s="4" t="str">
        <f>IFERROR(__xludf.DUMMYFUNCTION("""COMPUTED_VALUE"""),"Saipos Serviços De Software")</f>
        <v>Saipos Serviços De Software</v>
      </c>
      <c r="X859" s="33">
        <f>IFERROR(__xludf.DUMMYFUNCTION("""COMPUTED_VALUE"""),1.0)</f>
        <v>1</v>
      </c>
    </row>
    <row r="860">
      <c r="K860" s="4" t="str">
        <f>IFERROR(__xludf.DUMMYFUNCTION("""COMPUTED_VALUE"""),"KYODAI ORIGINAL - CONTA GRUPO")</f>
        <v>KYODAI ORIGINAL - CONTA GRUPO</v>
      </c>
      <c r="L860" s="32">
        <f>IFERROR(__xludf.DUMMYFUNCTION("""COMPUTED_VALUE"""),9.0)</f>
        <v>9</v>
      </c>
      <c r="M860" s="4" t="str">
        <f>IFERROR(__xludf.DUMMYFUNCTION("""COMPUTED_VALUE"""),"Cardápio Web")</f>
        <v>Cardápio Web</v>
      </c>
      <c r="N860" s="33">
        <f>IFERROR(__xludf.DUMMYFUNCTION("""COMPUTED_VALUE"""),0.6666666666666666)</f>
        <v>0.6666666667</v>
      </c>
      <c r="O860" s="4" t="str">
        <f>IFERROR(__xludf.DUMMYFUNCTION("""COMPUTED_VALUE"""),"Cardápio Web")</f>
        <v>Cardápio Web</v>
      </c>
      <c r="P860" s="33">
        <f>IFERROR(__xludf.DUMMYFUNCTION("""COMPUTED_VALUE"""),1.0)</f>
        <v>1</v>
      </c>
      <c r="Q860" s="4" t="str">
        <f>IFERROR(__xludf.DUMMYFUNCTION("""COMPUTED_VALUE"""),"Cardápio Web")</f>
        <v>Cardápio Web</v>
      </c>
      <c r="R860" s="33">
        <f>IFERROR(__xludf.DUMMYFUNCTION("""COMPUTED_VALUE"""),1.0)</f>
        <v>1</v>
      </c>
      <c r="S860" s="4" t="str">
        <f>IFERROR(__xludf.DUMMYFUNCTION("""COMPUTED_VALUE"""),"Cardápio Web")</f>
        <v>Cardápio Web</v>
      </c>
      <c r="T860" s="33">
        <f>IFERROR(__xludf.DUMMYFUNCTION("""COMPUTED_VALUE"""),1.0)</f>
        <v>1</v>
      </c>
      <c r="U860" s="4" t="str">
        <f>IFERROR(__xludf.DUMMYFUNCTION("""COMPUTED_VALUE"""),"Cardápio Web")</f>
        <v>Cardápio Web</v>
      </c>
      <c r="V860" s="33">
        <f>IFERROR(__xludf.DUMMYFUNCTION("""COMPUTED_VALUE"""),0.7777777777777778)</f>
        <v>0.7777777778</v>
      </c>
      <c r="W860" s="4" t="str">
        <f>IFERROR(__xludf.DUMMYFUNCTION("""COMPUTED_VALUE"""),"Cardápio Web")</f>
        <v>Cardápio Web</v>
      </c>
      <c r="X860" s="33">
        <f>IFERROR(__xludf.DUMMYFUNCTION("""COMPUTED_VALUE"""),0.7777777777777778)</f>
        <v>0.7777777778</v>
      </c>
    </row>
    <row r="861">
      <c r="K861" s="4" t="str">
        <f>IFERROR(__xludf.DUMMYFUNCTION("""COMPUTED_VALUE"""),"LEMAX HAMBURGUERIA")</f>
        <v>LEMAX HAMBURGUERIA</v>
      </c>
      <c r="L861" s="32">
        <f>IFERROR(__xludf.DUMMYFUNCTION("""COMPUTED_VALUE"""),9.0)</f>
        <v>9</v>
      </c>
      <c r="M861" s="4" t="str">
        <f>IFERROR(__xludf.DUMMYFUNCTION("""COMPUTED_VALUE"""),"Stone Co.")</f>
        <v>Stone Co.</v>
      </c>
      <c r="N861" s="33">
        <f>IFERROR(__xludf.DUMMYFUNCTION("""COMPUTED_VALUE"""),1.0)</f>
        <v>1</v>
      </c>
      <c r="O861" s="4" t="str">
        <f>IFERROR(__xludf.DUMMYFUNCTION("""COMPUTED_VALUE"""),"Stone Co.")</f>
        <v>Stone Co.</v>
      </c>
      <c r="P861" s="33">
        <f>IFERROR(__xludf.DUMMYFUNCTION("""COMPUTED_VALUE"""),1.0)</f>
        <v>1</v>
      </c>
      <c r="Q861" s="4" t="str">
        <f>IFERROR(__xludf.DUMMYFUNCTION("""COMPUTED_VALUE"""),"Stone Co.")</f>
        <v>Stone Co.</v>
      </c>
      <c r="R861" s="33">
        <f>IFERROR(__xludf.DUMMYFUNCTION("""COMPUTED_VALUE"""),0.8888888888888888)</f>
        <v>0.8888888889</v>
      </c>
      <c r="S861" s="4" t="str">
        <f>IFERROR(__xludf.DUMMYFUNCTION("""COMPUTED_VALUE"""),"Stone Co.")</f>
        <v>Stone Co.</v>
      </c>
      <c r="T861" s="33">
        <f>IFERROR(__xludf.DUMMYFUNCTION("""COMPUTED_VALUE"""),0.8888888888888888)</f>
        <v>0.8888888889</v>
      </c>
      <c r="U861" s="4" t="str">
        <f>IFERROR(__xludf.DUMMYFUNCTION("""COMPUTED_VALUE"""),"Stone Co.")</f>
        <v>Stone Co.</v>
      </c>
      <c r="V861" s="33">
        <f>IFERROR(__xludf.DUMMYFUNCTION("""COMPUTED_VALUE"""),0.8888888888888888)</f>
        <v>0.8888888889</v>
      </c>
      <c r="W861" s="4" t="str">
        <f>IFERROR(__xludf.DUMMYFUNCTION("""COMPUTED_VALUE"""),"Stone Co.")</f>
        <v>Stone Co.</v>
      </c>
      <c r="X861" s="33">
        <f>IFERROR(__xludf.DUMMYFUNCTION("""COMPUTED_VALUE"""),0.8888888888888888)</f>
        <v>0.8888888889</v>
      </c>
    </row>
    <row r="862">
      <c r="K862" s="4" t="str">
        <f>IFERROR(__xludf.DUMMYFUNCTION("""COMPUTED_VALUE"""),"MANEKINEKO")</f>
        <v>MANEKINEKO</v>
      </c>
      <c r="L862" s="32">
        <f>IFERROR(__xludf.DUMMYFUNCTION("""COMPUTED_VALUE"""),9.0)</f>
        <v>9</v>
      </c>
      <c r="M862" s="4" t="str">
        <f>IFERROR(__xludf.DUMMYFUNCTION("""COMPUTED_VALUE"""),"null")</f>
        <v>null</v>
      </c>
      <c r="N862" s="33">
        <f>IFERROR(__xludf.DUMMYFUNCTION("""COMPUTED_VALUE"""),0.4444444444444444)</f>
        <v>0.4444444444</v>
      </c>
      <c r="O862" s="4" t="str">
        <f>IFERROR(__xludf.DUMMYFUNCTION("""COMPUTED_VALUE"""),"null")</f>
        <v>null</v>
      </c>
      <c r="P862" s="33">
        <f>IFERROR(__xludf.DUMMYFUNCTION("""COMPUTED_VALUE"""),0.4444444444444444)</f>
        <v>0.4444444444</v>
      </c>
      <c r="Q862" s="4" t="str">
        <f>IFERROR(__xludf.DUMMYFUNCTION("""COMPUTED_VALUE"""),"null")</f>
        <v>null</v>
      </c>
      <c r="R862" s="33">
        <f>IFERROR(__xludf.DUMMYFUNCTION("""COMPUTED_VALUE"""),0.5555555555555556)</f>
        <v>0.5555555556</v>
      </c>
      <c r="S862" s="4" t="str">
        <f>IFERROR(__xludf.DUMMYFUNCTION("""COMPUTED_VALUE"""),"Teknisa Service Ltda")</f>
        <v>Teknisa Service Ltda</v>
      </c>
      <c r="T862" s="33">
        <f>IFERROR(__xludf.DUMMYFUNCTION("""COMPUTED_VALUE"""),0.6666666666666666)</f>
        <v>0.6666666667</v>
      </c>
      <c r="U862" s="4" t="str">
        <f>IFERROR(__xludf.DUMMYFUNCTION("""COMPUTED_VALUE"""),"null")</f>
        <v>null</v>
      </c>
      <c r="V862" s="33">
        <f>IFERROR(__xludf.DUMMYFUNCTION("""COMPUTED_VALUE"""),0.6666666666666666)</f>
        <v>0.6666666667</v>
      </c>
      <c r="W862" s="4" t="str">
        <f>IFERROR(__xludf.DUMMYFUNCTION("""COMPUTED_VALUE"""),"null")</f>
        <v>null</v>
      </c>
      <c r="X862" s="33">
        <f>IFERROR(__xludf.DUMMYFUNCTION("""COMPUTED_VALUE"""),0.6666666666666666)</f>
        <v>0.6666666667</v>
      </c>
    </row>
    <row r="863">
      <c r="K863" s="4" t="str">
        <f>IFERROR(__xludf.DUMMYFUNCTION("""COMPUTED_VALUE"""),"MERCADAO ATACADISTA - CONTA GRUPO")</f>
        <v>MERCADAO ATACADISTA - CONTA GRUPO</v>
      </c>
      <c r="L863" s="32">
        <f>IFERROR(__xludf.DUMMYFUNCTION("""COMPUTED_VALUE"""),9.0)</f>
        <v>9</v>
      </c>
      <c r="M863" s="4" t="str">
        <f>IFERROR(__xludf.DUMMYFUNCTION("""COMPUTED_VALUE"""),"N/A (Not found)")</f>
        <v>N/A (Not found)</v>
      </c>
      <c r="N863" s="33">
        <f>IFERROR(__xludf.DUMMYFUNCTION("""COMPUTED_VALUE"""),1.0)</f>
        <v>1</v>
      </c>
      <c r="O863" s="4" t="str">
        <f>IFERROR(__xludf.DUMMYFUNCTION("""COMPUTED_VALUE"""),"N/A (Not found)")</f>
        <v>N/A (Not found)</v>
      </c>
      <c r="P863" s="33">
        <f>IFERROR(__xludf.DUMMYFUNCTION("""COMPUTED_VALUE"""),1.0)</f>
        <v>1</v>
      </c>
      <c r="Q863" s="4" t="str">
        <f>IFERROR(__xludf.DUMMYFUNCTION("""COMPUTED_VALUE"""),"N/A (Not found)")</f>
        <v>N/A (Not found)</v>
      </c>
      <c r="R863" s="33">
        <f>IFERROR(__xludf.DUMMYFUNCTION("""COMPUTED_VALUE"""),1.0)</f>
        <v>1</v>
      </c>
      <c r="S863" s="4" t="str">
        <f>IFERROR(__xludf.DUMMYFUNCTION("""COMPUTED_VALUE"""),"N/A (Not found)")</f>
        <v>N/A (Not found)</v>
      </c>
      <c r="T863" s="33">
        <f>IFERROR(__xludf.DUMMYFUNCTION("""COMPUTED_VALUE"""),1.0)</f>
        <v>1</v>
      </c>
      <c r="U863" s="4" t="str">
        <f>IFERROR(__xludf.DUMMYFUNCTION("""COMPUTED_VALUE"""),"N/A (Not found)")</f>
        <v>N/A (Not found)</v>
      </c>
      <c r="V863" s="33">
        <f>IFERROR(__xludf.DUMMYFUNCTION("""COMPUTED_VALUE"""),1.0)</f>
        <v>1</v>
      </c>
      <c r="W863" s="4" t="str">
        <f>IFERROR(__xludf.DUMMYFUNCTION("""COMPUTED_VALUE"""),"N/A (Not found)")</f>
        <v>N/A (Not found)</v>
      </c>
      <c r="X863" s="33">
        <f>IFERROR(__xludf.DUMMYFUNCTION("""COMPUTED_VALUE"""),1.0)</f>
        <v>1</v>
      </c>
    </row>
    <row r="864">
      <c r="K864" s="4" t="str">
        <f>IFERROR(__xludf.DUMMYFUNCTION("""COMPUTED_VALUE"""),"MERCADAO DOS MEDICAMENTOS - CONTA PAI")</f>
        <v>MERCADAO DOS MEDICAMENTOS - CONTA PAI</v>
      </c>
      <c r="L864" s="32">
        <f>IFERROR(__xludf.DUMMYFUNCTION("""COMPUTED_VALUE"""),9.0)</f>
        <v>9</v>
      </c>
      <c r="M864" s="4" t="str">
        <f>IFERROR(__xludf.DUMMYFUNCTION("""COMPUTED_VALUE"""),"N/A (Not found)")</f>
        <v>N/A (Not found)</v>
      </c>
      <c r="N864" s="33">
        <f>IFERROR(__xludf.DUMMYFUNCTION("""COMPUTED_VALUE"""),1.0)</f>
        <v>1</v>
      </c>
      <c r="O864" s="4" t="str">
        <f>IFERROR(__xludf.DUMMYFUNCTION("""COMPUTED_VALUE"""),"N/A (Not found)")</f>
        <v>N/A (Not found)</v>
      </c>
      <c r="P864" s="33">
        <f>IFERROR(__xludf.DUMMYFUNCTION("""COMPUTED_VALUE"""),1.0)</f>
        <v>1</v>
      </c>
      <c r="Q864" s="4" t="str">
        <f>IFERROR(__xludf.DUMMYFUNCTION("""COMPUTED_VALUE"""),"N/A (Not found)")</f>
        <v>N/A (Not found)</v>
      </c>
      <c r="R864" s="33">
        <f>IFERROR(__xludf.DUMMYFUNCTION("""COMPUTED_VALUE"""),1.0)</f>
        <v>1</v>
      </c>
      <c r="S864" s="4" t="str">
        <f>IFERROR(__xludf.DUMMYFUNCTION("""COMPUTED_VALUE"""),"N/A (Not found)")</f>
        <v>N/A (Not found)</v>
      </c>
      <c r="T864" s="33">
        <f>IFERROR(__xludf.DUMMYFUNCTION("""COMPUTED_VALUE"""),1.0)</f>
        <v>1</v>
      </c>
      <c r="U864" s="4" t="str">
        <f>IFERROR(__xludf.DUMMYFUNCTION("""COMPUTED_VALUE"""),"N/A (Not found)")</f>
        <v>N/A (Not found)</v>
      </c>
      <c r="V864" s="33">
        <f>IFERROR(__xludf.DUMMYFUNCTION("""COMPUTED_VALUE"""),1.0)</f>
        <v>1</v>
      </c>
      <c r="W864" s="4" t="str">
        <f>IFERROR(__xludf.DUMMYFUNCTION("""COMPUTED_VALUE"""),"N/A (Not found)")</f>
        <v>N/A (Not found)</v>
      </c>
      <c r="X864" s="33">
        <f>IFERROR(__xludf.DUMMYFUNCTION("""COMPUTED_VALUE"""),1.0)</f>
        <v>1</v>
      </c>
    </row>
    <row r="865">
      <c r="K865" s="4" t="str">
        <f>IFERROR(__xludf.DUMMYFUNCTION("""COMPUTED_VALUE"""),"NOSSO DRINK - CONTA MARCA")</f>
        <v>NOSSO DRINK - CONTA MARCA</v>
      </c>
      <c r="L865" s="32">
        <f>IFERROR(__xludf.DUMMYFUNCTION("""COMPUTED_VALUE"""),9.0)</f>
        <v>9</v>
      </c>
      <c r="M865" s="4" t="str">
        <f>IFERROR(__xludf.DUMMYFUNCTION("""COMPUTED_VALUE"""),"null")</f>
        <v>null</v>
      </c>
      <c r="N865" s="33">
        <f>IFERROR(__xludf.DUMMYFUNCTION("""COMPUTED_VALUE"""),0.4444444444444444)</f>
        <v>0.4444444444</v>
      </c>
      <c r="O865" s="4" t="str">
        <f>IFERROR(__xludf.DUMMYFUNCTION("""COMPUTED_VALUE"""),"null")</f>
        <v>null</v>
      </c>
      <c r="P865" s="33">
        <f>IFERROR(__xludf.DUMMYFUNCTION("""COMPUTED_VALUE"""),0.5555555555555556)</f>
        <v>0.5555555556</v>
      </c>
      <c r="Q865" s="4" t="str">
        <f>IFERROR(__xludf.DUMMYFUNCTION("""COMPUTED_VALUE"""),"null")</f>
        <v>null</v>
      </c>
      <c r="R865" s="33">
        <f>IFERROR(__xludf.DUMMYFUNCTION("""COMPUTED_VALUE"""),0.5555555555555556)</f>
        <v>0.5555555556</v>
      </c>
      <c r="S865" s="4" t="str">
        <f>IFERROR(__xludf.DUMMYFUNCTION("""COMPUTED_VALUE"""),"null")</f>
        <v>null</v>
      </c>
      <c r="T865" s="33">
        <f>IFERROR(__xludf.DUMMYFUNCTION("""COMPUTED_VALUE"""),0.7777777777777778)</f>
        <v>0.7777777778</v>
      </c>
      <c r="U865" s="4" t="str">
        <f>IFERROR(__xludf.DUMMYFUNCTION("""COMPUTED_VALUE"""),"null")</f>
        <v>null</v>
      </c>
      <c r="V865" s="33">
        <f>IFERROR(__xludf.DUMMYFUNCTION("""COMPUTED_VALUE"""),0.5555555555555556)</f>
        <v>0.5555555556</v>
      </c>
      <c r="W865" s="4" t="str">
        <f>IFERROR(__xludf.DUMMYFUNCTION("""COMPUTED_VALUE"""),"null")</f>
        <v>null</v>
      </c>
      <c r="X865" s="33">
        <f>IFERROR(__xludf.DUMMYFUNCTION("""COMPUTED_VALUE"""),0.5555555555555556)</f>
        <v>0.5555555556</v>
      </c>
    </row>
    <row r="866">
      <c r="K866" s="4" t="str">
        <f>IFERROR(__xludf.DUMMYFUNCTION("""COMPUTED_VALUE"""),"PAMPA - CONTA MARCA")</f>
        <v>PAMPA - CONTA MARCA</v>
      </c>
      <c r="L866" s="32">
        <f>IFERROR(__xludf.DUMMYFUNCTION("""COMPUTED_VALUE"""),9.0)</f>
        <v>9</v>
      </c>
      <c r="M866" s="4" t="str">
        <f>IFERROR(__xludf.DUMMYFUNCTION("""COMPUTED_VALUE"""),"Bitbar")</f>
        <v>Bitbar</v>
      </c>
      <c r="N866" s="33">
        <f>IFERROR(__xludf.DUMMYFUNCTION("""COMPUTED_VALUE"""),0.5555555555555556)</f>
        <v>0.5555555556</v>
      </c>
      <c r="O866" s="4" t="str">
        <f>IFERROR(__xludf.DUMMYFUNCTION("""COMPUTED_VALUE"""),"Saipos Serviços De Software")</f>
        <v>Saipos Serviços De Software</v>
      </c>
      <c r="P866" s="33">
        <f>IFERROR(__xludf.DUMMYFUNCTION("""COMPUTED_VALUE"""),0.4444444444444444)</f>
        <v>0.4444444444</v>
      </c>
      <c r="Q866" s="4" t="str">
        <f>IFERROR(__xludf.DUMMYFUNCTION("""COMPUTED_VALUE"""),"Saipos Serviços De Software")</f>
        <v>Saipos Serviços De Software</v>
      </c>
      <c r="R866" s="33">
        <f>IFERROR(__xludf.DUMMYFUNCTION("""COMPUTED_VALUE"""),0.4444444444444444)</f>
        <v>0.4444444444</v>
      </c>
      <c r="S866" s="4" t="str">
        <f>IFERROR(__xludf.DUMMYFUNCTION("""COMPUTED_VALUE"""),"Bitbar")</f>
        <v>Bitbar</v>
      </c>
      <c r="T866" s="33">
        <f>IFERROR(__xludf.DUMMYFUNCTION("""COMPUTED_VALUE"""),0.5555555555555556)</f>
        <v>0.5555555556</v>
      </c>
      <c r="U866" s="4" t="str">
        <f>IFERROR(__xludf.DUMMYFUNCTION("""COMPUTED_VALUE"""),"Saipos Serviços De Software")</f>
        <v>Saipos Serviços De Software</v>
      </c>
      <c r="V866" s="33">
        <f>IFERROR(__xludf.DUMMYFUNCTION("""COMPUTED_VALUE"""),0.4444444444444444)</f>
        <v>0.4444444444</v>
      </c>
      <c r="W866" s="4" t="str">
        <f>IFERROR(__xludf.DUMMYFUNCTION("""COMPUTED_VALUE"""),"Bitbar")</f>
        <v>Bitbar</v>
      </c>
      <c r="X866" s="33">
        <f>IFERROR(__xludf.DUMMYFUNCTION("""COMPUTED_VALUE"""),0.5555555555555556)</f>
        <v>0.5555555556</v>
      </c>
    </row>
    <row r="867">
      <c r="K867" s="4" t="str">
        <f>IFERROR(__xludf.DUMMYFUNCTION("""COMPUTED_VALUE"""),"PANELAO DO NORTE")</f>
        <v>PANELAO DO NORTE</v>
      </c>
      <c r="L867" s="32">
        <f>IFERROR(__xludf.DUMMYFUNCTION("""COMPUTED_VALUE"""),9.0)</f>
        <v>9</v>
      </c>
      <c r="M867" s="4" t="str">
        <f>IFERROR(__xludf.DUMMYFUNCTION("""COMPUTED_VALUE"""),"Garcom Web")</f>
        <v>Garcom Web</v>
      </c>
      <c r="N867" s="33">
        <f>IFERROR(__xludf.DUMMYFUNCTION("""COMPUTED_VALUE"""),1.0)</f>
        <v>1</v>
      </c>
      <c r="O867" s="4" t="str">
        <f>IFERROR(__xludf.DUMMYFUNCTION("""COMPUTED_VALUE"""),"Garcom Web")</f>
        <v>Garcom Web</v>
      </c>
      <c r="P867" s="33">
        <f>IFERROR(__xludf.DUMMYFUNCTION("""COMPUTED_VALUE"""),0.8888888888888888)</f>
        <v>0.8888888889</v>
      </c>
      <c r="Q867" s="4" t="str">
        <f>IFERROR(__xludf.DUMMYFUNCTION("""COMPUTED_VALUE"""),"Garcom Web")</f>
        <v>Garcom Web</v>
      </c>
      <c r="R867" s="33">
        <f>IFERROR(__xludf.DUMMYFUNCTION("""COMPUTED_VALUE"""),1.0)</f>
        <v>1</v>
      </c>
      <c r="S867" s="4" t="str">
        <f>IFERROR(__xludf.DUMMYFUNCTION("""COMPUTED_VALUE"""),"Garcom Web")</f>
        <v>Garcom Web</v>
      </c>
      <c r="T867" s="33">
        <f>IFERROR(__xludf.DUMMYFUNCTION("""COMPUTED_VALUE"""),1.0)</f>
        <v>1</v>
      </c>
      <c r="U867" s="4" t="str">
        <f>IFERROR(__xludf.DUMMYFUNCTION("""COMPUTED_VALUE"""),"Garcom Web")</f>
        <v>Garcom Web</v>
      </c>
      <c r="V867" s="33">
        <f>IFERROR(__xludf.DUMMYFUNCTION("""COMPUTED_VALUE"""),1.0)</f>
        <v>1</v>
      </c>
      <c r="W867" s="4" t="str">
        <f>IFERROR(__xludf.DUMMYFUNCTION("""COMPUTED_VALUE"""),"Ncr")</f>
        <v>Ncr</v>
      </c>
      <c r="X867" s="33">
        <f>IFERROR(__xludf.DUMMYFUNCTION("""COMPUTED_VALUE"""),0.5555555555555556)</f>
        <v>0.5555555556</v>
      </c>
    </row>
    <row r="868">
      <c r="K868" s="4" t="str">
        <f>IFERROR(__xludf.DUMMYFUNCTION("""COMPUTED_VALUE"""),"PANELAO DO NORTE -")</f>
        <v>PANELAO DO NORTE -</v>
      </c>
      <c r="L868" s="32">
        <f>IFERROR(__xludf.DUMMYFUNCTION("""COMPUTED_VALUE"""),9.0)</f>
        <v>9</v>
      </c>
      <c r="M868" s="4" t="str">
        <f>IFERROR(__xludf.DUMMYFUNCTION("""COMPUTED_VALUE"""),"Garcom Web")</f>
        <v>Garcom Web</v>
      </c>
      <c r="N868" s="33">
        <f>IFERROR(__xludf.DUMMYFUNCTION("""COMPUTED_VALUE"""),1.0)</f>
        <v>1</v>
      </c>
      <c r="O868" s="4" t="str">
        <f>IFERROR(__xludf.DUMMYFUNCTION("""COMPUTED_VALUE"""),"Garcom Web")</f>
        <v>Garcom Web</v>
      </c>
      <c r="P868" s="33">
        <f>IFERROR(__xludf.DUMMYFUNCTION("""COMPUTED_VALUE"""),0.8888888888888888)</f>
        <v>0.8888888889</v>
      </c>
      <c r="Q868" s="4" t="str">
        <f>IFERROR(__xludf.DUMMYFUNCTION("""COMPUTED_VALUE"""),"Garcom Web")</f>
        <v>Garcom Web</v>
      </c>
      <c r="R868" s="33">
        <f>IFERROR(__xludf.DUMMYFUNCTION("""COMPUTED_VALUE"""),1.0)</f>
        <v>1</v>
      </c>
      <c r="S868" s="4" t="str">
        <f>IFERROR(__xludf.DUMMYFUNCTION("""COMPUTED_VALUE"""),"Garcom Web")</f>
        <v>Garcom Web</v>
      </c>
      <c r="T868" s="33">
        <f>IFERROR(__xludf.DUMMYFUNCTION("""COMPUTED_VALUE"""),1.0)</f>
        <v>1</v>
      </c>
      <c r="U868" s="4" t="str">
        <f>IFERROR(__xludf.DUMMYFUNCTION("""COMPUTED_VALUE"""),"Garcom Web")</f>
        <v>Garcom Web</v>
      </c>
      <c r="V868" s="33">
        <f>IFERROR(__xludf.DUMMYFUNCTION("""COMPUTED_VALUE"""),1.0)</f>
        <v>1</v>
      </c>
      <c r="W868" s="4" t="str">
        <f>IFERROR(__xludf.DUMMYFUNCTION("""COMPUTED_VALUE"""),"Ncr")</f>
        <v>Ncr</v>
      </c>
      <c r="X868" s="33">
        <f>IFERROR(__xludf.DUMMYFUNCTION("""COMPUTED_VALUE"""),0.5555555555555556)</f>
        <v>0.5555555556</v>
      </c>
    </row>
    <row r="869">
      <c r="K869" s="4" t="str">
        <f>IFERROR(__xludf.DUMMYFUNCTION("""COMPUTED_VALUE"""),"PIOLA")</f>
        <v>PIOLA</v>
      </c>
      <c r="L869" s="32">
        <f>IFERROR(__xludf.DUMMYFUNCTION("""COMPUTED_VALUE"""),9.0)</f>
        <v>9</v>
      </c>
      <c r="M869" s="4" t="str">
        <f>IFERROR(__xludf.DUMMYFUNCTION("""COMPUTED_VALUE"""),"Ncr")</f>
        <v>Ncr</v>
      </c>
      <c r="N869" s="33">
        <f>IFERROR(__xludf.DUMMYFUNCTION("""COMPUTED_VALUE"""),1.0)</f>
        <v>1</v>
      </c>
      <c r="O869" s="4" t="str">
        <f>IFERROR(__xludf.DUMMYFUNCTION("""COMPUTED_VALUE"""),"Ncr")</f>
        <v>Ncr</v>
      </c>
      <c r="P869" s="33">
        <f>IFERROR(__xludf.DUMMYFUNCTION("""COMPUTED_VALUE"""),1.0)</f>
        <v>1</v>
      </c>
      <c r="Q869" s="4" t="str">
        <f>IFERROR(__xludf.DUMMYFUNCTION("""COMPUTED_VALUE"""),"Ncr")</f>
        <v>Ncr</v>
      </c>
      <c r="R869" s="33">
        <f>IFERROR(__xludf.DUMMYFUNCTION("""COMPUTED_VALUE"""),1.0)</f>
        <v>1</v>
      </c>
      <c r="S869" s="4" t="str">
        <f>IFERROR(__xludf.DUMMYFUNCTION("""COMPUTED_VALUE"""),"Ncr")</f>
        <v>Ncr</v>
      </c>
      <c r="T869" s="33">
        <f>IFERROR(__xludf.DUMMYFUNCTION("""COMPUTED_VALUE"""),1.0)</f>
        <v>1</v>
      </c>
      <c r="U869" s="4" t="str">
        <f>IFERROR(__xludf.DUMMYFUNCTION("""COMPUTED_VALUE"""),"Ncr")</f>
        <v>Ncr</v>
      </c>
      <c r="V869" s="33">
        <f>IFERROR(__xludf.DUMMYFUNCTION("""COMPUTED_VALUE"""),1.0)</f>
        <v>1</v>
      </c>
      <c r="W869" s="4" t="str">
        <f>IFERROR(__xludf.DUMMYFUNCTION("""COMPUTED_VALUE"""),"Ncr")</f>
        <v>Ncr</v>
      </c>
      <c r="X869" s="33">
        <f>IFERROR(__xludf.DUMMYFUNCTION("""COMPUTED_VALUE"""),1.0)</f>
        <v>1</v>
      </c>
    </row>
    <row r="870">
      <c r="K870" s="4" t="str">
        <f>IFERROR(__xludf.DUMMYFUNCTION("""COMPUTED_VALUE"""),"PIZZAIOLO TRADICAO E DOM BURGUERIA")</f>
        <v>PIZZAIOLO TRADICAO E DOM BURGUERIA</v>
      </c>
      <c r="L870" s="32">
        <f>IFERROR(__xludf.DUMMYFUNCTION("""COMPUTED_VALUE"""),9.0)</f>
        <v>9</v>
      </c>
      <c r="M870" s="4" t="str">
        <f>IFERROR(__xludf.DUMMYFUNCTION("""COMPUTED_VALUE"""),"Saipos Serviços De Software")</f>
        <v>Saipos Serviços De Software</v>
      </c>
      <c r="N870" s="33">
        <f>IFERROR(__xludf.DUMMYFUNCTION("""COMPUTED_VALUE"""),0.7777777777777778)</f>
        <v>0.7777777778</v>
      </c>
      <c r="O870" s="4" t="str">
        <f>IFERROR(__xludf.DUMMYFUNCTION("""COMPUTED_VALUE"""),"Saipos Serviços De Software")</f>
        <v>Saipos Serviços De Software</v>
      </c>
      <c r="P870" s="33">
        <f>IFERROR(__xludf.DUMMYFUNCTION("""COMPUTED_VALUE"""),0.7777777777777778)</f>
        <v>0.7777777778</v>
      </c>
      <c r="Q870" s="4" t="str">
        <f>IFERROR(__xludf.DUMMYFUNCTION("""COMPUTED_VALUE"""),"Saipos Serviços De Software")</f>
        <v>Saipos Serviços De Software</v>
      </c>
      <c r="R870" s="33">
        <f>IFERROR(__xludf.DUMMYFUNCTION("""COMPUTED_VALUE"""),0.7777777777777778)</f>
        <v>0.7777777778</v>
      </c>
      <c r="S870" s="4" t="str">
        <f>IFERROR(__xludf.DUMMYFUNCTION("""COMPUTED_VALUE"""),"Saipos Serviços De Software")</f>
        <v>Saipos Serviços De Software</v>
      </c>
      <c r="T870" s="33">
        <f>IFERROR(__xludf.DUMMYFUNCTION("""COMPUTED_VALUE"""),0.7777777777777778)</f>
        <v>0.7777777778</v>
      </c>
      <c r="U870" s="4" t="str">
        <f>IFERROR(__xludf.DUMMYFUNCTION("""COMPUTED_VALUE"""),"Saipos Serviços De Software")</f>
        <v>Saipos Serviços De Software</v>
      </c>
      <c r="V870" s="33">
        <f>IFERROR(__xludf.DUMMYFUNCTION("""COMPUTED_VALUE"""),1.0)</f>
        <v>1</v>
      </c>
      <c r="W870" s="4" t="str">
        <f>IFERROR(__xludf.DUMMYFUNCTION("""COMPUTED_VALUE"""),"Saipos Serviços De Software")</f>
        <v>Saipos Serviços De Software</v>
      </c>
      <c r="X870" s="33">
        <f>IFERROR(__xludf.DUMMYFUNCTION("""COMPUTED_VALUE"""),1.0)</f>
        <v>1</v>
      </c>
    </row>
    <row r="871">
      <c r="K871" s="4" t="str">
        <f>IFERROR(__xludf.DUMMYFUNCTION("""COMPUTED_VALUE"""),"PRAZERES DA PIZZA")</f>
        <v>PRAZERES DA PIZZA</v>
      </c>
      <c r="L871" s="32">
        <f>IFERROR(__xludf.DUMMYFUNCTION("""COMPUTED_VALUE"""),9.0)</f>
        <v>9</v>
      </c>
      <c r="M871" s="4" t="str">
        <f>IFERROR(__xludf.DUMMYFUNCTION("""COMPUTED_VALUE"""),"Saipos Serviços De Software")</f>
        <v>Saipos Serviços De Software</v>
      </c>
      <c r="N871" s="33">
        <f>IFERROR(__xludf.DUMMYFUNCTION("""COMPUTED_VALUE"""),1.0)</f>
        <v>1</v>
      </c>
      <c r="O871" s="4" t="str">
        <f>IFERROR(__xludf.DUMMYFUNCTION("""COMPUTED_VALUE"""),"Saipos Serviços De Software")</f>
        <v>Saipos Serviços De Software</v>
      </c>
      <c r="P871" s="33">
        <f>IFERROR(__xludf.DUMMYFUNCTION("""COMPUTED_VALUE"""),1.0)</f>
        <v>1</v>
      </c>
      <c r="Q871" s="4" t="str">
        <f>IFERROR(__xludf.DUMMYFUNCTION("""COMPUTED_VALUE"""),"Saipos Serviços De Software")</f>
        <v>Saipos Serviços De Software</v>
      </c>
      <c r="R871" s="33">
        <f>IFERROR(__xludf.DUMMYFUNCTION("""COMPUTED_VALUE"""),1.0)</f>
        <v>1</v>
      </c>
      <c r="S871" s="4" t="str">
        <f>IFERROR(__xludf.DUMMYFUNCTION("""COMPUTED_VALUE"""),"Saipos Serviços De Software")</f>
        <v>Saipos Serviços De Software</v>
      </c>
      <c r="T871" s="33">
        <f>IFERROR(__xludf.DUMMYFUNCTION("""COMPUTED_VALUE"""),0.7777777777777778)</f>
        <v>0.7777777778</v>
      </c>
      <c r="U871" s="4" t="str">
        <f>IFERROR(__xludf.DUMMYFUNCTION("""COMPUTED_VALUE"""),"Saipos Serviços De Software")</f>
        <v>Saipos Serviços De Software</v>
      </c>
      <c r="V871" s="33">
        <f>IFERROR(__xludf.DUMMYFUNCTION("""COMPUTED_VALUE"""),0.7777777777777778)</f>
        <v>0.7777777778</v>
      </c>
      <c r="W871" s="4" t="str">
        <f>IFERROR(__xludf.DUMMYFUNCTION("""COMPUTED_VALUE"""),"Saipos Serviços De Software")</f>
        <v>Saipos Serviços De Software</v>
      </c>
      <c r="X871" s="33">
        <f>IFERROR(__xludf.DUMMYFUNCTION("""COMPUTED_VALUE"""),0.7777777777777778)</f>
        <v>0.7777777778</v>
      </c>
    </row>
    <row r="872">
      <c r="K872" s="4" t="str">
        <f>IFERROR(__xludf.DUMMYFUNCTION("""COMPUTED_VALUE"""),"REAL SUCOS FORTALEZA")</f>
        <v>REAL SUCOS FORTALEZA</v>
      </c>
      <c r="L872" s="32">
        <f>IFERROR(__xludf.DUMMYFUNCTION("""COMPUTED_VALUE"""),9.0)</f>
        <v>9</v>
      </c>
      <c r="M872" s="4" t="str">
        <f>IFERROR(__xludf.DUMMYFUNCTION("""COMPUTED_VALUE"""),"Agilizup Solucoes Ltda")</f>
        <v>Agilizup Solucoes Ltda</v>
      </c>
      <c r="N872" s="33">
        <f>IFERROR(__xludf.DUMMYFUNCTION("""COMPUTED_VALUE"""),0.4444444444444444)</f>
        <v>0.4444444444</v>
      </c>
      <c r="O872" s="4" t="str">
        <f>IFERROR(__xludf.DUMMYFUNCTION("""COMPUTED_VALUE"""),"null")</f>
        <v>null</v>
      </c>
      <c r="P872" s="33">
        <f>IFERROR(__xludf.DUMMYFUNCTION("""COMPUTED_VALUE"""),0.8888888888888888)</f>
        <v>0.8888888889</v>
      </c>
      <c r="Q872" s="4" t="str">
        <f>IFERROR(__xludf.DUMMYFUNCTION("""COMPUTED_VALUE"""),"null")</f>
        <v>null</v>
      </c>
      <c r="R872" s="33">
        <f>IFERROR(__xludf.DUMMYFUNCTION("""COMPUTED_VALUE"""),1.0)</f>
        <v>1</v>
      </c>
      <c r="S872" s="4" t="str">
        <f>IFERROR(__xludf.DUMMYFUNCTION("""COMPUTED_VALUE"""),"null")</f>
        <v>null</v>
      </c>
      <c r="T872" s="33">
        <f>IFERROR(__xludf.DUMMYFUNCTION("""COMPUTED_VALUE"""),1.0)</f>
        <v>1</v>
      </c>
      <c r="U872" s="4" t="str">
        <f>IFERROR(__xludf.DUMMYFUNCTION("""COMPUTED_VALUE"""),"null")</f>
        <v>null</v>
      </c>
      <c r="V872" s="33">
        <f>IFERROR(__xludf.DUMMYFUNCTION("""COMPUTED_VALUE"""),0.6666666666666666)</f>
        <v>0.6666666667</v>
      </c>
      <c r="W872" s="4" t="str">
        <f>IFERROR(__xludf.DUMMYFUNCTION("""COMPUTED_VALUE"""),"null")</f>
        <v>null</v>
      </c>
      <c r="X872" s="33">
        <f>IFERROR(__xludf.DUMMYFUNCTION("""COMPUTED_VALUE"""),0.4444444444444444)</f>
        <v>0.4444444444</v>
      </c>
    </row>
    <row r="873">
      <c r="K873" s="4" t="str">
        <f>IFERROR(__xludf.DUMMYFUNCTION("""COMPUTED_VALUE"""),"RESTAURANTE COZINHA MINEIRA")</f>
        <v>RESTAURANTE COZINHA MINEIRA</v>
      </c>
      <c r="L873" s="32">
        <f>IFERROR(__xludf.DUMMYFUNCTION("""COMPUTED_VALUE"""),9.0)</f>
        <v>9</v>
      </c>
      <c r="M873" s="4" t="str">
        <f>IFERROR(__xludf.DUMMYFUNCTION("""COMPUTED_VALUE"""),"Cardápio Web")</f>
        <v>Cardápio Web</v>
      </c>
      <c r="N873" s="33">
        <f>IFERROR(__xludf.DUMMYFUNCTION("""COMPUTED_VALUE"""),0.7777777777777778)</f>
        <v>0.7777777778</v>
      </c>
      <c r="O873" s="4" t="str">
        <f>IFERROR(__xludf.DUMMYFUNCTION("""COMPUTED_VALUE"""),"Cardápio Web")</f>
        <v>Cardápio Web</v>
      </c>
      <c r="P873" s="33">
        <f>IFERROR(__xludf.DUMMYFUNCTION("""COMPUTED_VALUE"""),0.6666666666666666)</f>
        <v>0.6666666667</v>
      </c>
      <c r="Q873" s="4" t="str">
        <f>IFERROR(__xludf.DUMMYFUNCTION("""COMPUTED_VALUE"""),"Cardápio Web")</f>
        <v>Cardápio Web</v>
      </c>
      <c r="R873" s="33">
        <f>IFERROR(__xludf.DUMMYFUNCTION("""COMPUTED_VALUE"""),0.6666666666666666)</f>
        <v>0.6666666667</v>
      </c>
      <c r="S873" s="4" t="str">
        <f>IFERROR(__xludf.DUMMYFUNCTION("""COMPUTED_VALUE"""),"Cardápio Web")</f>
        <v>Cardápio Web</v>
      </c>
      <c r="T873" s="33">
        <f>IFERROR(__xludf.DUMMYFUNCTION("""COMPUTED_VALUE"""),0.7777777777777778)</f>
        <v>0.7777777778</v>
      </c>
      <c r="U873" s="4" t="str">
        <f>IFERROR(__xludf.DUMMYFUNCTION("""COMPUTED_VALUE"""),"null")</f>
        <v>null</v>
      </c>
      <c r="V873" s="33">
        <f>IFERROR(__xludf.DUMMYFUNCTION("""COMPUTED_VALUE"""),0.8888888888888888)</f>
        <v>0.8888888889</v>
      </c>
      <c r="W873" s="4" t="str">
        <f>IFERROR(__xludf.DUMMYFUNCTION("""COMPUTED_VALUE"""),"null")</f>
        <v>null</v>
      </c>
      <c r="X873" s="33">
        <f>IFERROR(__xludf.DUMMYFUNCTION("""COMPUTED_VALUE"""),0.8888888888888888)</f>
        <v>0.8888888889</v>
      </c>
    </row>
    <row r="874">
      <c r="K874" s="4" t="str">
        <f>IFERROR(__xludf.DUMMYFUNCTION("""COMPUTED_VALUE"""),"RESTAURANTE MARIA ANTONIETA")</f>
        <v>RESTAURANTE MARIA ANTONIETA</v>
      </c>
      <c r="L874" s="32">
        <f>IFERROR(__xludf.DUMMYFUNCTION("""COMPUTED_VALUE"""),9.0)</f>
        <v>9</v>
      </c>
      <c r="M874" s="4" t="str">
        <f>IFERROR(__xludf.DUMMYFUNCTION("""COMPUTED_VALUE"""),"null")</f>
        <v>null</v>
      </c>
      <c r="N874" s="33">
        <f>IFERROR(__xludf.DUMMYFUNCTION("""COMPUTED_VALUE"""),0.5555555555555556)</f>
        <v>0.5555555556</v>
      </c>
      <c r="O874" s="4" t="str">
        <f>IFERROR(__xludf.DUMMYFUNCTION("""COMPUTED_VALUE"""),"Swfast Sistemas")</f>
        <v>Swfast Sistemas</v>
      </c>
      <c r="P874" s="33">
        <f>IFERROR(__xludf.DUMMYFUNCTION("""COMPUTED_VALUE"""),0.5555555555555556)</f>
        <v>0.5555555556</v>
      </c>
      <c r="Q874" s="4" t="str">
        <f>IFERROR(__xludf.DUMMYFUNCTION("""COMPUTED_VALUE"""),"Swfast Sistemas")</f>
        <v>Swfast Sistemas</v>
      </c>
      <c r="R874" s="33">
        <f>IFERROR(__xludf.DUMMYFUNCTION("""COMPUTED_VALUE"""),0.5555555555555556)</f>
        <v>0.5555555556</v>
      </c>
      <c r="S874" s="4" t="str">
        <f>IFERROR(__xludf.DUMMYFUNCTION("""COMPUTED_VALUE"""),"null")</f>
        <v>null</v>
      </c>
      <c r="T874" s="33">
        <f>IFERROR(__xludf.DUMMYFUNCTION("""COMPUTED_VALUE"""),0.5555555555555556)</f>
        <v>0.5555555556</v>
      </c>
      <c r="U874" s="4" t="str">
        <f>IFERROR(__xludf.DUMMYFUNCTION("""COMPUTED_VALUE"""),"Swfast Sistemas")</f>
        <v>Swfast Sistemas</v>
      </c>
      <c r="V874" s="33">
        <f>IFERROR(__xludf.DUMMYFUNCTION("""COMPUTED_VALUE"""),0.6666666666666666)</f>
        <v>0.6666666667</v>
      </c>
      <c r="W874" s="4" t="str">
        <f>IFERROR(__xludf.DUMMYFUNCTION("""COMPUTED_VALUE"""),"Swfast Sistemas")</f>
        <v>Swfast Sistemas</v>
      </c>
      <c r="X874" s="33">
        <f>IFERROR(__xludf.DUMMYFUNCTION("""COMPUTED_VALUE"""),0.8888888888888888)</f>
        <v>0.8888888889</v>
      </c>
    </row>
    <row r="875">
      <c r="K875" s="4" t="str">
        <f>IFERROR(__xludf.DUMMYFUNCTION("""COMPUTED_VALUE"""),"ROCK TEMAKERIA MARINGA")</f>
        <v>ROCK TEMAKERIA MARINGA</v>
      </c>
      <c r="L875" s="32">
        <f>IFERROR(__xludf.DUMMYFUNCTION("""COMPUTED_VALUE"""),9.0)</f>
        <v>9</v>
      </c>
      <c r="M875" s="4" t="str">
        <f>IFERROR(__xludf.DUMMYFUNCTION("""COMPUTED_VALUE"""),"Saipos Serviços De Software")</f>
        <v>Saipos Serviços De Software</v>
      </c>
      <c r="N875" s="33">
        <f>IFERROR(__xludf.DUMMYFUNCTION("""COMPUTED_VALUE"""),1.0)</f>
        <v>1</v>
      </c>
      <c r="O875" s="4" t="str">
        <f>IFERROR(__xludf.DUMMYFUNCTION("""COMPUTED_VALUE"""),"Saipos Serviços De Software")</f>
        <v>Saipos Serviços De Software</v>
      </c>
      <c r="P875" s="33">
        <f>IFERROR(__xludf.DUMMYFUNCTION("""COMPUTED_VALUE"""),0.8888888888888888)</f>
        <v>0.8888888889</v>
      </c>
      <c r="Q875" s="4" t="str">
        <f>IFERROR(__xludf.DUMMYFUNCTION("""COMPUTED_VALUE"""),"Saipos Serviços De Software")</f>
        <v>Saipos Serviços De Software</v>
      </c>
      <c r="R875" s="33">
        <f>IFERROR(__xludf.DUMMYFUNCTION("""COMPUTED_VALUE"""),0.8888888888888888)</f>
        <v>0.8888888889</v>
      </c>
      <c r="S875" s="4" t="str">
        <f>IFERROR(__xludf.DUMMYFUNCTION("""COMPUTED_VALUE"""),"Saipos Serviços De Software")</f>
        <v>Saipos Serviços De Software</v>
      </c>
      <c r="T875" s="33">
        <f>IFERROR(__xludf.DUMMYFUNCTION("""COMPUTED_VALUE"""),0.8888888888888888)</f>
        <v>0.8888888889</v>
      </c>
      <c r="U875" s="4" t="str">
        <f>IFERROR(__xludf.DUMMYFUNCTION("""COMPUTED_VALUE"""),"Saipos Serviços De Software")</f>
        <v>Saipos Serviços De Software</v>
      </c>
      <c r="V875" s="33">
        <f>IFERROR(__xludf.DUMMYFUNCTION("""COMPUTED_VALUE"""),0.6666666666666666)</f>
        <v>0.6666666667</v>
      </c>
      <c r="W875" s="4" t="str">
        <f>IFERROR(__xludf.DUMMYFUNCTION("""COMPUTED_VALUE"""),"Saipos Serviços De Software")</f>
        <v>Saipos Serviços De Software</v>
      </c>
      <c r="X875" s="33">
        <f>IFERROR(__xludf.DUMMYFUNCTION("""COMPUTED_VALUE"""),0.6666666666666666)</f>
        <v>0.6666666667</v>
      </c>
    </row>
    <row r="876">
      <c r="K876" s="4" t="str">
        <f>IFERROR(__xludf.DUMMYFUNCTION("""COMPUTED_VALUE"""),"ROYAL TRUDEL")</f>
        <v>ROYAL TRUDEL</v>
      </c>
      <c r="L876" s="32">
        <f>IFERROR(__xludf.DUMMYFUNCTION("""COMPUTED_VALUE"""),9.0)</f>
        <v>9</v>
      </c>
      <c r="M876" s="4" t="str">
        <f>IFERROR(__xludf.DUMMYFUNCTION("""COMPUTED_VALUE"""),"Totvs Large Enterprise Tecnologia S.a.")</f>
        <v>Totvs Large Enterprise Tecnologia S.a.</v>
      </c>
      <c r="N876" s="33">
        <f>IFERROR(__xludf.DUMMYFUNCTION("""COMPUTED_VALUE"""),1.0)</f>
        <v>1</v>
      </c>
      <c r="O876" s="4" t="str">
        <f>IFERROR(__xludf.DUMMYFUNCTION("""COMPUTED_VALUE"""),"Totvs Large Enterprise Tecnologia S.a.")</f>
        <v>Totvs Large Enterprise Tecnologia S.a.</v>
      </c>
      <c r="P876" s="33">
        <f>IFERROR(__xludf.DUMMYFUNCTION("""COMPUTED_VALUE"""),0.8888888888888888)</f>
        <v>0.8888888889</v>
      </c>
      <c r="Q876" s="4" t="str">
        <f>IFERROR(__xludf.DUMMYFUNCTION("""COMPUTED_VALUE"""),"Totvs Large Enterprise Tecnologia S.a.")</f>
        <v>Totvs Large Enterprise Tecnologia S.a.</v>
      </c>
      <c r="R876" s="33">
        <f>IFERROR(__xludf.DUMMYFUNCTION("""COMPUTED_VALUE"""),0.7777777777777778)</f>
        <v>0.7777777778</v>
      </c>
      <c r="S876" s="4" t="str">
        <f>IFERROR(__xludf.DUMMYFUNCTION("""COMPUTED_VALUE"""),"Totvs Large Enterprise Tecnologia S.a.")</f>
        <v>Totvs Large Enterprise Tecnologia S.a.</v>
      </c>
      <c r="T876" s="33">
        <f>IFERROR(__xludf.DUMMYFUNCTION("""COMPUTED_VALUE"""),0.5555555555555556)</f>
        <v>0.5555555556</v>
      </c>
      <c r="U876" s="4" t="str">
        <f>IFERROR(__xludf.DUMMYFUNCTION("""COMPUTED_VALUE"""),"Totvs Large Enterprise Tecnologia S.a.")</f>
        <v>Totvs Large Enterprise Tecnologia S.a.</v>
      </c>
      <c r="V876" s="33">
        <f>IFERROR(__xludf.DUMMYFUNCTION("""COMPUTED_VALUE"""),0.5555555555555556)</f>
        <v>0.5555555556</v>
      </c>
      <c r="W876" s="4" t="str">
        <f>IFERROR(__xludf.DUMMYFUNCTION("""COMPUTED_VALUE"""),"null")</f>
        <v>null</v>
      </c>
      <c r="X876" s="33">
        <f>IFERROR(__xludf.DUMMYFUNCTION("""COMPUTED_VALUE"""),0.6666666666666666)</f>
        <v>0.6666666667</v>
      </c>
    </row>
    <row r="877">
      <c r="K877" s="4" t="str">
        <f>IFERROR(__xludf.DUMMYFUNCTION("""COMPUTED_VALUE"""),"RUBAIYAT")</f>
        <v>RUBAIYAT</v>
      </c>
      <c r="L877" s="32">
        <f>IFERROR(__xludf.DUMMYFUNCTION("""COMPUTED_VALUE"""),9.0)</f>
        <v>9</v>
      </c>
      <c r="M877" s="4" t="str">
        <f>IFERROR(__xludf.DUMMYFUNCTION("""COMPUTED_VALUE"""),"Rubaiyat")</f>
        <v>Rubaiyat</v>
      </c>
      <c r="N877" s="33">
        <f>IFERROR(__xludf.DUMMYFUNCTION("""COMPUTED_VALUE"""),1.0)</f>
        <v>1</v>
      </c>
      <c r="O877" s="4" t="str">
        <f>IFERROR(__xludf.DUMMYFUNCTION("""COMPUTED_VALUE"""),"Rubaiyat")</f>
        <v>Rubaiyat</v>
      </c>
      <c r="P877" s="33">
        <f>IFERROR(__xludf.DUMMYFUNCTION("""COMPUTED_VALUE"""),1.0)</f>
        <v>1</v>
      </c>
      <c r="Q877" s="4" t="str">
        <f>IFERROR(__xludf.DUMMYFUNCTION("""COMPUTED_VALUE"""),"Rubaiyat")</f>
        <v>Rubaiyat</v>
      </c>
      <c r="R877" s="33">
        <f>IFERROR(__xludf.DUMMYFUNCTION("""COMPUTED_VALUE"""),1.0)</f>
        <v>1</v>
      </c>
      <c r="S877" s="4" t="str">
        <f>IFERROR(__xludf.DUMMYFUNCTION("""COMPUTED_VALUE"""),"Rubaiyat")</f>
        <v>Rubaiyat</v>
      </c>
      <c r="T877" s="33">
        <f>IFERROR(__xludf.DUMMYFUNCTION("""COMPUTED_VALUE"""),1.0)</f>
        <v>1</v>
      </c>
      <c r="U877" s="4" t="str">
        <f>IFERROR(__xludf.DUMMYFUNCTION("""COMPUTED_VALUE"""),"Rubaiyat")</f>
        <v>Rubaiyat</v>
      </c>
      <c r="V877" s="33">
        <f>IFERROR(__xludf.DUMMYFUNCTION("""COMPUTED_VALUE"""),1.0)</f>
        <v>1</v>
      </c>
      <c r="W877" s="4" t="str">
        <f>IFERROR(__xludf.DUMMYFUNCTION("""COMPUTED_VALUE"""),"Rubaiyat")</f>
        <v>Rubaiyat</v>
      </c>
      <c r="X877" s="33">
        <f>IFERROR(__xludf.DUMMYFUNCTION("""COMPUTED_VALUE"""),1.0)</f>
        <v>1</v>
      </c>
    </row>
    <row r="878">
      <c r="K878" s="4" t="str">
        <f>IFERROR(__xludf.DUMMYFUNCTION("""COMPUTED_VALUE"""),"SAVORI")</f>
        <v>SAVORI</v>
      </c>
      <c r="L878" s="32">
        <f>IFERROR(__xludf.DUMMYFUNCTION("""COMPUTED_VALUE"""),9.0)</f>
        <v>9</v>
      </c>
      <c r="M878" s="4" t="str">
        <f>IFERROR(__xludf.DUMMYFUNCTION("""COMPUTED_VALUE"""),"Parseint Desenvolvimento De Sistemas Ltda")</f>
        <v>Parseint Desenvolvimento De Sistemas Ltda</v>
      </c>
      <c r="N878" s="33">
        <f>IFERROR(__xludf.DUMMYFUNCTION("""COMPUTED_VALUE"""),0.4444444444444444)</f>
        <v>0.4444444444</v>
      </c>
      <c r="O878" s="4" t="str">
        <f>IFERROR(__xludf.DUMMYFUNCTION("""COMPUTED_VALUE"""),"Parseint Desenvolvimento De Sistemas Ltda")</f>
        <v>Parseint Desenvolvimento De Sistemas Ltda</v>
      </c>
      <c r="P878" s="33">
        <f>IFERROR(__xludf.DUMMYFUNCTION("""COMPUTED_VALUE"""),0.4444444444444444)</f>
        <v>0.4444444444</v>
      </c>
      <c r="Q878" s="4" t="str">
        <f>IFERROR(__xludf.DUMMYFUNCTION("""COMPUTED_VALUE"""),"Parseint Desenvolvimento De Sistemas Ltda")</f>
        <v>Parseint Desenvolvimento De Sistemas Ltda</v>
      </c>
      <c r="R878" s="33">
        <f>IFERROR(__xludf.DUMMYFUNCTION("""COMPUTED_VALUE"""),0.4444444444444444)</f>
        <v>0.4444444444</v>
      </c>
      <c r="S878" s="4" t="str">
        <f>IFERROR(__xludf.DUMMYFUNCTION("""COMPUTED_VALUE"""),"Parseint Desenvolvimento De Sistemas Ltda")</f>
        <v>Parseint Desenvolvimento De Sistemas Ltda</v>
      </c>
      <c r="T878" s="33">
        <f>IFERROR(__xludf.DUMMYFUNCTION("""COMPUTED_VALUE"""),0.4444444444444444)</f>
        <v>0.4444444444</v>
      </c>
      <c r="U878" s="4" t="str">
        <f>IFERROR(__xludf.DUMMYFUNCTION("""COMPUTED_VALUE"""),"Parseint Desenvolvimento De Sistemas Ltda")</f>
        <v>Parseint Desenvolvimento De Sistemas Ltda</v>
      </c>
      <c r="V878" s="33">
        <f>IFERROR(__xludf.DUMMYFUNCTION("""COMPUTED_VALUE"""),0.4444444444444444)</f>
        <v>0.4444444444</v>
      </c>
      <c r="W878" s="4" t="str">
        <f>IFERROR(__xludf.DUMMYFUNCTION("""COMPUTED_VALUE"""),"Parseint Desenvolvimento De Sistemas Ltda")</f>
        <v>Parseint Desenvolvimento De Sistemas Ltda</v>
      </c>
      <c r="X878" s="33">
        <f>IFERROR(__xludf.DUMMYFUNCTION("""COMPUTED_VALUE"""),0.4444444444444444)</f>
        <v>0.4444444444</v>
      </c>
    </row>
    <row r="879">
      <c r="K879" s="4" t="str">
        <f>IFERROR(__xludf.DUMMYFUNCTION("""COMPUTED_VALUE"""),"SEO STEAK DOURADOS")</f>
        <v>SEO STEAK DOURADOS</v>
      </c>
      <c r="L879" s="32">
        <f>IFERROR(__xludf.DUMMYFUNCTION("""COMPUTED_VALUE"""),9.0)</f>
        <v>9</v>
      </c>
      <c r="M879" s="4" t="str">
        <f>IFERROR(__xludf.DUMMYFUNCTION("""COMPUTED_VALUE"""),"Parseint Desenvolvimento De Sistemas Ltda")</f>
        <v>Parseint Desenvolvimento De Sistemas Ltda</v>
      </c>
      <c r="N879" s="33">
        <f>IFERROR(__xludf.DUMMYFUNCTION("""COMPUTED_VALUE"""),0.7777777777777778)</f>
        <v>0.7777777778</v>
      </c>
      <c r="O879" s="4" t="str">
        <f>IFERROR(__xludf.DUMMYFUNCTION("""COMPUTED_VALUE"""),"Parseint Desenvolvimento De Sistemas Ltda")</f>
        <v>Parseint Desenvolvimento De Sistemas Ltda</v>
      </c>
      <c r="P879" s="33">
        <f>IFERROR(__xludf.DUMMYFUNCTION("""COMPUTED_VALUE"""),0.7777777777777778)</f>
        <v>0.7777777778</v>
      </c>
      <c r="Q879" s="4" t="str">
        <f>IFERROR(__xludf.DUMMYFUNCTION("""COMPUTED_VALUE"""),"Parseint Desenvolvimento De Sistemas Ltda")</f>
        <v>Parseint Desenvolvimento De Sistemas Ltda</v>
      </c>
      <c r="R879" s="33">
        <f>IFERROR(__xludf.DUMMYFUNCTION("""COMPUTED_VALUE"""),0.7777777777777778)</f>
        <v>0.7777777778</v>
      </c>
      <c r="S879" s="4" t="str">
        <f>IFERROR(__xludf.DUMMYFUNCTION("""COMPUTED_VALUE"""),"Parseint Desenvolvimento De Sistemas Ltda")</f>
        <v>Parseint Desenvolvimento De Sistemas Ltda</v>
      </c>
      <c r="T879" s="33">
        <f>IFERROR(__xludf.DUMMYFUNCTION("""COMPUTED_VALUE"""),0.7777777777777778)</f>
        <v>0.7777777778</v>
      </c>
      <c r="U879" s="4" t="str">
        <f>IFERROR(__xludf.DUMMYFUNCTION("""COMPUTED_VALUE"""),"Parseint Desenvolvimento De Sistemas Ltda")</f>
        <v>Parseint Desenvolvimento De Sistemas Ltda</v>
      </c>
      <c r="V879" s="33">
        <f>IFERROR(__xludf.DUMMYFUNCTION("""COMPUTED_VALUE"""),1.0)</f>
        <v>1</v>
      </c>
      <c r="W879" s="4" t="str">
        <f>IFERROR(__xludf.DUMMYFUNCTION("""COMPUTED_VALUE"""),"Parseint Desenvolvimento De Sistemas Ltda")</f>
        <v>Parseint Desenvolvimento De Sistemas Ltda</v>
      </c>
      <c r="X879" s="33">
        <f>IFERROR(__xludf.DUMMYFUNCTION("""COMPUTED_VALUE"""),1.0)</f>
        <v>1</v>
      </c>
    </row>
    <row r="880">
      <c r="K880" s="4" t="str">
        <f>IFERROR(__xludf.DUMMYFUNCTION("""COMPUTED_VALUE"""),"SHOPPING DOS ANIMAIS - MARCA")</f>
        <v>SHOPPING DOS ANIMAIS - MARCA</v>
      </c>
      <c r="L880" s="32">
        <f>IFERROR(__xludf.DUMMYFUNCTION("""COMPUTED_VALUE"""),9.0)</f>
        <v>9</v>
      </c>
      <c r="M880" s="4" t="str">
        <f>IFERROR(__xludf.DUMMYFUNCTION("""COMPUTED_VALUE"""),"N/A (Not found)")</f>
        <v>N/A (Not found)</v>
      </c>
      <c r="N880" s="33">
        <f>IFERROR(__xludf.DUMMYFUNCTION("""COMPUTED_VALUE"""),1.0)</f>
        <v>1</v>
      </c>
      <c r="O880" s="4" t="str">
        <f>IFERROR(__xludf.DUMMYFUNCTION("""COMPUTED_VALUE"""),"N/A (Not found)")</f>
        <v>N/A (Not found)</v>
      </c>
      <c r="P880" s="33">
        <f>IFERROR(__xludf.DUMMYFUNCTION("""COMPUTED_VALUE"""),1.0)</f>
        <v>1</v>
      </c>
      <c r="Q880" s="4" t="str">
        <f>IFERROR(__xludf.DUMMYFUNCTION("""COMPUTED_VALUE"""),"N/A (Not found)")</f>
        <v>N/A (Not found)</v>
      </c>
      <c r="R880" s="33">
        <f>IFERROR(__xludf.DUMMYFUNCTION("""COMPUTED_VALUE"""),1.0)</f>
        <v>1</v>
      </c>
      <c r="S880" s="4" t="str">
        <f>IFERROR(__xludf.DUMMYFUNCTION("""COMPUTED_VALUE"""),"N/A (Not found)")</f>
        <v>N/A (Not found)</v>
      </c>
      <c r="T880" s="33">
        <f>IFERROR(__xludf.DUMMYFUNCTION("""COMPUTED_VALUE"""),1.0)</f>
        <v>1</v>
      </c>
      <c r="U880" s="4" t="str">
        <f>IFERROR(__xludf.DUMMYFUNCTION("""COMPUTED_VALUE"""),"N/A (Not found)")</f>
        <v>N/A (Not found)</v>
      </c>
      <c r="V880" s="33">
        <f>IFERROR(__xludf.DUMMYFUNCTION("""COMPUTED_VALUE"""),1.0)</f>
        <v>1</v>
      </c>
      <c r="W880" s="4" t="str">
        <f>IFERROR(__xludf.DUMMYFUNCTION("""COMPUTED_VALUE"""),"N/A (Not found)")</f>
        <v>N/A (Not found)</v>
      </c>
      <c r="X880" s="33">
        <f>IFERROR(__xludf.DUMMYFUNCTION("""COMPUTED_VALUE"""),1.0)</f>
        <v>1</v>
      </c>
    </row>
    <row r="881">
      <c r="K881" s="4" t="str">
        <f>IFERROR(__xludf.DUMMYFUNCTION("""COMPUTED_VALUE"""),"SITIO VERDE HORTIFRUTI - CONTA PAI")</f>
        <v>SITIO VERDE HORTIFRUTI - CONTA PAI</v>
      </c>
      <c r="L881" s="32">
        <f>IFERROR(__xludf.DUMMYFUNCTION("""COMPUTED_VALUE"""),9.0)</f>
        <v>9</v>
      </c>
      <c r="M881" s="4" t="str">
        <f>IFERROR(__xludf.DUMMYFUNCTION("""COMPUTED_VALUE"""),"N/A (Not found)")</f>
        <v>N/A (Not found)</v>
      </c>
      <c r="N881" s="33">
        <f>IFERROR(__xludf.DUMMYFUNCTION("""COMPUTED_VALUE"""),1.0)</f>
        <v>1</v>
      </c>
      <c r="O881" s="4" t="str">
        <f>IFERROR(__xludf.DUMMYFUNCTION("""COMPUTED_VALUE"""),"N/A (Not found)")</f>
        <v>N/A (Not found)</v>
      </c>
      <c r="P881" s="33">
        <f>IFERROR(__xludf.DUMMYFUNCTION("""COMPUTED_VALUE"""),1.0)</f>
        <v>1</v>
      </c>
      <c r="Q881" s="4" t="str">
        <f>IFERROR(__xludf.DUMMYFUNCTION("""COMPUTED_VALUE"""),"N/A (Not found)")</f>
        <v>N/A (Not found)</v>
      </c>
      <c r="R881" s="33">
        <f>IFERROR(__xludf.DUMMYFUNCTION("""COMPUTED_VALUE"""),1.0)</f>
        <v>1</v>
      </c>
      <c r="S881" s="4" t="str">
        <f>IFERROR(__xludf.DUMMYFUNCTION("""COMPUTED_VALUE"""),"N/A (Not found)")</f>
        <v>N/A (Not found)</v>
      </c>
      <c r="T881" s="33">
        <f>IFERROR(__xludf.DUMMYFUNCTION("""COMPUTED_VALUE"""),1.0)</f>
        <v>1</v>
      </c>
      <c r="U881" s="4" t="str">
        <f>IFERROR(__xludf.DUMMYFUNCTION("""COMPUTED_VALUE"""),"N/A (Not found)")</f>
        <v>N/A (Not found)</v>
      </c>
      <c r="V881" s="33">
        <f>IFERROR(__xludf.DUMMYFUNCTION("""COMPUTED_VALUE"""),1.0)</f>
        <v>1</v>
      </c>
      <c r="W881" s="4" t="str">
        <f>IFERROR(__xludf.DUMMYFUNCTION("""COMPUTED_VALUE"""),"N/A (Not found)")</f>
        <v>N/A (Not found)</v>
      </c>
      <c r="X881" s="33">
        <f>IFERROR(__xludf.DUMMYFUNCTION("""COMPUTED_VALUE"""),1.0)</f>
        <v>1</v>
      </c>
    </row>
    <row r="882">
      <c r="K882" s="4" t="str">
        <f>IFERROR(__xludf.DUMMYFUNCTION("""COMPUTED_VALUE"""),"SR PIZZARIA E MARMITARIA - MARCA")</f>
        <v>SR PIZZARIA E MARMITARIA - MARCA</v>
      </c>
      <c r="L882" s="32">
        <f>IFERROR(__xludf.DUMMYFUNCTION("""COMPUTED_VALUE"""),9.0)</f>
        <v>9</v>
      </c>
      <c r="M882" s="4" t="str">
        <f>IFERROR(__xludf.DUMMYFUNCTION("""COMPUTED_VALUE"""),"Saipos Serviços De Software")</f>
        <v>Saipos Serviços De Software</v>
      </c>
      <c r="N882" s="33">
        <f>IFERROR(__xludf.DUMMYFUNCTION("""COMPUTED_VALUE"""),1.0)</f>
        <v>1</v>
      </c>
      <c r="O882" s="4" t="str">
        <f>IFERROR(__xludf.DUMMYFUNCTION("""COMPUTED_VALUE"""),"Saipos Serviços De Software")</f>
        <v>Saipos Serviços De Software</v>
      </c>
      <c r="P882" s="33">
        <f>IFERROR(__xludf.DUMMYFUNCTION("""COMPUTED_VALUE"""),1.0)</f>
        <v>1</v>
      </c>
      <c r="Q882" s="4" t="str">
        <f>IFERROR(__xludf.DUMMYFUNCTION("""COMPUTED_VALUE"""),"Saipos Serviços De Software")</f>
        <v>Saipos Serviços De Software</v>
      </c>
      <c r="R882" s="33">
        <f>IFERROR(__xludf.DUMMYFUNCTION("""COMPUTED_VALUE"""),1.0)</f>
        <v>1</v>
      </c>
      <c r="S882" s="4" t="str">
        <f>IFERROR(__xludf.DUMMYFUNCTION("""COMPUTED_VALUE"""),"Saipos Serviços De Software")</f>
        <v>Saipos Serviços De Software</v>
      </c>
      <c r="T882" s="33">
        <f>IFERROR(__xludf.DUMMYFUNCTION("""COMPUTED_VALUE"""),1.0)</f>
        <v>1</v>
      </c>
      <c r="U882" s="4" t="str">
        <f>IFERROR(__xludf.DUMMYFUNCTION("""COMPUTED_VALUE"""),"null")</f>
        <v>null</v>
      </c>
      <c r="V882" s="33">
        <f>IFERROR(__xludf.DUMMYFUNCTION("""COMPUTED_VALUE"""),1.0)</f>
        <v>1</v>
      </c>
      <c r="W882" s="4" t="str">
        <f>IFERROR(__xludf.DUMMYFUNCTION("""COMPUTED_VALUE"""),"null")</f>
        <v>null</v>
      </c>
      <c r="X882" s="33">
        <f>IFERROR(__xludf.DUMMYFUNCTION("""COMPUTED_VALUE"""),1.0)</f>
        <v>1</v>
      </c>
    </row>
    <row r="883">
      <c r="K883" s="4" t="str">
        <f>IFERROR(__xludf.DUMMYFUNCTION("""COMPUTED_VALUE"""),"SUPERMERCADO DO POVO FORTALEZA - CONTA PAI")</f>
        <v>SUPERMERCADO DO POVO FORTALEZA - CONTA PAI</v>
      </c>
      <c r="L883" s="32">
        <f>IFERROR(__xludf.DUMMYFUNCTION("""COMPUTED_VALUE"""),9.0)</f>
        <v>9</v>
      </c>
      <c r="M883" s="4" t="str">
        <f>IFERROR(__xludf.DUMMYFUNCTION("""COMPUTED_VALUE"""),"N/A (Not found)")</f>
        <v>N/A (Not found)</v>
      </c>
      <c r="N883" s="33">
        <f>IFERROR(__xludf.DUMMYFUNCTION("""COMPUTED_VALUE"""),1.0)</f>
        <v>1</v>
      </c>
      <c r="O883" s="4" t="str">
        <f>IFERROR(__xludf.DUMMYFUNCTION("""COMPUTED_VALUE"""),"N/A (Not found)")</f>
        <v>N/A (Not found)</v>
      </c>
      <c r="P883" s="33">
        <f>IFERROR(__xludf.DUMMYFUNCTION("""COMPUTED_VALUE"""),1.0)</f>
        <v>1</v>
      </c>
      <c r="Q883" s="4" t="str">
        <f>IFERROR(__xludf.DUMMYFUNCTION("""COMPUTED_VALUE"""),"N/A (Not found)")</f>
        <v>N/A (Not found)</v>
      </c>
      <c r="R883" s="33">
        <f>IFERROR(__xludf.DUMMYFUNCTION("""COMPUTED_VALUE"""),1.0)</f>
        <v>1</v>
      </c>
      <c r="S883" s="4" t="str">
        <f>IFERROR(__xludf.DUMMYFUNCTION("""COMPUTED_VALUE"""),"N/A (Not found)")</f>
        <v>N/A (Not found)</v>
      </c>
      <c r="T883" s="33">
        <f>IFERROR(__xludf.DUMMYFUNCTION("""COMPUTED_VALUE"""),1.0)</f>
        <v>1</v>
      </c>
      <c r="U883" s="4" t="str">
        <f>IFERROR(__xludf.DUMMYFUNCTION("""COMPUTED_VALUE"""),"N/A (Not found)")</f>
        <v>N/A (Not found)</v>
      </c>
      <c r="V883" s="33">
        <f>IFERROR(__xludf.DUMMYFUNCTION("""COMPUTED_VALUE"""),1.0)</f>
        <v>1</v>
      </c>
      <c r="W883" s="4" t="str">
        <f>IFERROR(__xludf.DUMMYFUNCTION("""COMPUTED_VALUE"""),"N/A (Not found)")</f>
        <v>N/A (Not found)</v>
      </c>
      <c r="X883" s="33">
        <f>IFERROR(__xludf.DUMMYFUNCTION("""COMPUTED_VALUE"""),1.0)</f>
        <v>1</v>
      </c>
    </row>
    <row r="884">
      <c r="K884" s="4" t="str">
        <f>IFERROR(__xludf.DUMMYFUNCTION("""COMPUTED_VALUE"""),"SUPREMO ACAI - ACAITERIA E FONDUE ACAI")</f>
        <v>SUPREMO ACAI - ACAITERIA E FONDUE ACAI</v>
      </c>
      <c r="L884" s="32">
        <f>IFERROR(__xludf.DUMMYFUNCTION("""COMPUTED_VALUE"""),9.0)</f>
        <v>9</v>
      </c>
      <c r="M884" s="4" t="str">
        <f>IFERROR(__xludf.DUMMYFUNCTION("""COMPUTED_VALUE"""),"Saipos Serviços De Software")</f>
        <v>Saipos Serviços De Software</v>
      </c>
      <c r="N884" s="33">
        <f>IFERROR(__xludf.DUMMYFUNCTION("""COMPUTED_VALUE"""),0.6666666666666666)</f>
        <v>0.6666666667</v>
      </c>
      <c r="O884" s="4" t="str">
        <f>IFERROR(__xludf.DUMMYFUNCTION("""COMPUTED_VALUE"""),"Saipos Serviços De Software")</f>
        <v>Saipos Serviços De Software</v>
      </c>
      <c r="P884" s="33">
        <f>IFERROR(__xludf.DUMMYFUNCTION("""COMPUTED_VALUE"""),0.6666666666666666)</f>
        <v>0.6666666667</v>
      </c>
      <c r="Q884" s="4" t="str">
        <f>IFERROR(__xludf.DUMMYFUNCTION("""COMPUTED_VALUE"""),"Saipos Serviços De Software")</f>
        <v>Saipos Serviços De Software</v>
      </c>
      <c r="R884" s="33">
        <f>IFERROR(__xludf.DUMMYFUNCTION("""COMPUTED_VALUE"""),0.6666666666666666)</f>
        <v>0.6666666667</v>
      </c>
      <c r="S884" s="4" t="str">
        <f>IFERROR(__xludf.DUMMYFUNCTION("""COMPUTED_VALUE"""),"Saipos Serviços De Software")</f>
        <v>Saipos Serviços De Software</v>
      </c>
      <c r="T884" s="33">
        <f>IFERROR(__xludf.DUMMYFUNCTION("""COMPUTED_VALUE"""),0.6666666666666666)</f>
        <v>0.6666666667</v>
      </c>
      <c r="U884" s="4" t="str">
        <f>IFERROR(__xludf.DUMMYFUNCTION("""COMPUTED_VALUE"""),"Saipos Serviços De Software")</f>
        <v>Saipos Serviços De Software</v>
      </c>
      <c r="V884" s="33">
        <f>IFERROR(__xludf.DUMMYFUNCTION("""COMPUTED_VALUE"""),1.0)</f>
        <v>1</v>
      </c>
      <c r="W884" s="4" t="str">
        <f>IFERROR(__xludf.DUMMYFUNCTION("""COMPUTED_VALUE"""),"Saipos Serviços De Software")</f>
        <v>Saipos Serviços De Software</v>
      </c>
      <c r="X884" s="33">
        <f>IFERROR(__xludf.DUMMYFUNCTION("""COMPUTED_VALUE"""),1.0)</f>
        <v>1</v>
      </c>
    </row>
    <row r="885">
      <c r="K885" s="4" t="str">
        <f>IFERROR(__xludf.DUMMYFUNCTION("""COMPUTED_VALUE"""),"SUSHI HOUSE - CONTA PAI")</f>
        <v>SUSHI HOUSE - CONTA PAI</v>
      </c>
      <c r="L885" s="32">
        <f>IFERROR(__xludf.DUMMYFUNCTION("""COMPUTED_VALUE"""),9.0)</f>
        <v>9</v>
      </c>
      <c r="M885" s="4" t="str">
        <f>IFERROR(__xludf.DUMMYFUNCTION("""COMPUTED_VALUE"""),"Saipos Serviços De Software")</f>
        <v>Saipos Serviços De Software</v>
      </c>
      <c r="N885" s="33">
        <f>IFERROR(__xludf.DUMMYFUNCTION("""COMPUTED_VALUE"""),0.7777777777777778)</f>
        <v>0.7777777778</v>
      </c>
      <c r="O885" s="4" t="str">
        <f>IFERROR(__xludf.DUMMYFUNCTION("""COMPUTED_VALUE"""),"Saipos Serviços De Software")</f>
        <v>Saipos Serviços De Software</v>
      </c>
      <c r="P885" s="33">
        <f>IFERROR(__xludf.DUMMYFUNCTION("""COMPUTED_VALUE"""),0.7777777777777778)</f>
        <v>0.7777777778</v>
      </c>
      <c r="Q885" s="4" t="str">
        <f>IFERROR(__xludf.DUMMYFUNCTION("""COMPUTED_VALUE"""),"Saipos Serviços De Software")</f>
        <v>Saipos Serviços De Software</v>
      </c>
      <c r="R885" s="33">
        <f>IFERROR(__xludf.DUMMYFUNCTION("""COMPUTED_VALUE"""),0.7777777777777778)</f>
        <v>0.7777777778</v>
      </c>
      <c r="S885" s="4" t="str">
        <f>IFERROR(__xludf.DUMMYFUNCTION("""COMPUTED_VALUE"""),"Saipos Serviços De Software")</f>
        <v>Saipos Serviços De Software</v>
      </c>
      <c r="T885" s="33">
        <f>IFERROR(__xludf.DUMMYFUNCTION("""COMPUTED_VALUE"""),0.7777777777777778)</f>
        <v>0.7777777778</v>
      </c>
      <c r="U885" s="4" t="str">
        <f>IFERROR(__xludf.DUMMYFUNCTION("""COMPUTED_VALUE"""),"Saipos Serviços De Software")</f>
        <v>Saipos Serviços De Software</v>
      </c>
      <c r="V885" s="33">
        <f>IFERROR(__xludf.DUMMYFUNCTION("""COMPUTED_VALUE"""),0.7777777777777778)</f>
        <v>0.7777777778</v>
      </c>
      <c r="W885" s="4" t="str">
        <f>IFERROR(__xludf.DUMMYFUNCTION("""COMPUTED_VALUE"""),"Saipos Serviços De Software")</f>
        <v>Saipos Serviços De Software</v>
      </c>
      <c r="X885" s="33">
        <f>IFERROR(__xludf.DUMMYFUNCTION("""COMPUTED_VALUE"""),0.7777777777777778)</f>
        <v>0.7777777778</v>
      </c>
    </row>
    <row r="886">
      <c r="K886" s="4" t="str">
        <f>IFERROR(__xludf.DUMMYFUNCTION("""COMPUTED_VALUE"""),"SUSHI JOY")</f>
        <v>SUSHI JOY</v>
      </c>
      <c r="L886" s="32">
        <f>IFERROR(__xludf.DUMMYFUNCTION("""COMPUTED_VALUE"""),9.0)</f>
        <v>9</v>
      </c>
      <c r="M886" s="4" t="str">
        <f>IFERROR(__xludf.DUMMYFUNCTION("""COMPUTED_VALUE"""),"Saipos Serviços De Software")</f>
        <v>Saipos Serviços De Software</v>
      </c>
      <c r="N886" s="33">
        <f>IFERROR(__xludf.DUMMYFUNCTION("""COMPUTED_VALUE"""),1.0)</f>
        <v>1</v>
      </c>
      <c r="O886" s="4" t="str">
        <f>IFERROR(__xludf.DUMMYFUNCTION("""COMPUTED_VALUE"""),"Saipos Serviços De Software")</f>
        <v>Saipos Serviços De Software</v>
      </c>
      <c r="P886" s="33">
        <f>IFERROR(__xludf.DUMMYFUNCTION("""COMPUTED_VALUE"""),1.0)</f>
        <v>1</v>
      </c>
      <c r="Q886" s="4" t="str">
        <f>IFERROR(__xludf.DUMMYFUNCTION("""COMPUTED_VALUE"""),"Saipos Serviços De Software")</f>
        <v>Saipos Serviços De Software</v>
      </c>
      <c r="R886" s="33">
        <f>IFERROR(__xludf.DUMMYFUNCTION("""COMPUTED_VALUE"""),0.6666666666666666)</f>
        <v>0.6666666667</v>
      </c>
      <c r="S886" s="4" t="str">
        <f>IFERROR(__xludf.DUMMYFUNCTION("""COMPUTED_VALUE"""),"Saipos Serviços De Software")</f>
        <v>Saipos Serviços De Software</v>
      </c>
      <c r="T886" s="33">
        <f>IFERROR(__xludf.DUMMYFUNCTION("""COMPUTED_VALUE"""),0.6666666666666666)</f>
        <v>0.6666666667</v>
      </c>
      <c r="U886" s="4" t="str">
        <f>IFERROR(__xludf.DUMMYFUNCTION("""COMPUTED_VALUE"""),"Saipos Serviços De Software")</f>
        <v>Saipos Serviços De Software</v>
      </c>
      <c r="V886" s="33">
        <f>IFERROR(__xludf.DUMMYFUNCTION("""COMPUTED_VALUE"""),0.6666666666666666)</f>
        <v>0.6666666667</v>
      </c>
      <c r="W886" s="4" t="str">
        <f>IFERROR(__xludf.DUMMYFUNCTION("""COMPUTED_VALUE"""),"Saipos Serviços De Software")</f>
        <v>Saipos Serviços De Software</v>
      </c>
      <c r="X886" s="33">
        <f>IFERROR(__xludf.DUMMYFUNCTION("""COMPUTED_VALUE"""),0.6666666666666666)</f>
        <v>0.6666666667</v>
      </c>
    </row>
    <row r="887">
      <c r="K887" s="4" t="str">
        <f>IFERROR(__xludf.DUMMYFUNCTION("""COMPUTED_VALUE"""),"TEDS CHIPPY")</f>
        <v>TEDS CHIPPY</v>
      </c>
      <c r="L887" s="32">
        <f>IFERROR(__xludf.DUMMYFUNCTION("""COMPUTED_VALUE"""),9.0)</f>
        <v>9</v>
      </c>
      <c r="M887" s="4" t="str">
        <f>IFERROR(__xludf.DUMMYFUNCTION("""COMPUTED_VALUE"""),"Saipos Serviços De Software")</f>
        <v>Saipos Serviços De Software</v>
      </c>
      <c r="N887" s="33">
        <f>IFERROR(__xludf.DUMMYFUNCTION("""COMPUTED_VALUE"""),1.0)</f>
        <v>1</v>
      </c>
      <c r="O887" s="4" t="str">
        <f>IFERROR(__xludf.DUMMYFUNCTION("""COMPUTED_VALUE"""),"Saipos Serviços De Software")</f>
        <v>Saipos Serviços De Software</v>
      </c>
      <c r="P887" s="33">
        <f>IFERROR(__xludf.DUMMYFUNCTION("""COMPUTED_VALUE"""),1.0)</f>
        <v>1</v>
      </c>
      <c r="Q887" s="4" t="str">
        <f>IFERROR(__xludf.DUMMYFUNCTION("""COMPUTED_VALUE"""),"Saipos Serviços De Software")</f>
        <v>Saipos Serviços De Software</v>
      </c>
      <c r="R887" s="33">
        <f>IFERROR(__xludf.DUMMYFUNCTION("""COMPUTED_VALUE"""),1.0)</f>
        <v>1</v>
      </c>
      <c r="S887" s="4" t="str">
        <f>IFERROR(__xludf.DUMMYFUNCTION("""COMPUTED_VALUE"""),"Saipos Serviços De Software")</f>
        <v>Saipos Serviços De Software</v>
      </c>
      <c r="T887" s="33">
        <f>IFERROR(__xludf.DUMMYFUNCTION("""COMPUTED_VALUE"""),0.8888888888888888)</f>
        <v>0.8888888889</v>
      </c>
      <c r="U887" s="4" t="str">
        <f>IFERROR(__xludf.DUMMYFUNCTION("""COMPUTED_VALUE"""),"Saipos Serviços De Software")</f>
        <v>Saipos Serviços De Software</v>
      </c>
      <c r="V887" s="33">
        <f>IFERROR(__xludf.DUMMYFUNCTION("""COMPUTED_VALUE"""),0.8888888888888888)</f>
        <v>0.8888888889</v>
      </c>
      <c r="W887" s="4" t="str">
        <f>IFERROR(__xludf.DUMMYFUNCTION("""COMPUTED_VALUE"""),"Saipos Serviços De Software")</f>
        <v>Saipos Serviços De Software</v>
      </c>
      <c r="X887" s="33">
        <f>IFERROR(__xludf.DUMMYFUNCTION("""COMPUTED_VALUE"""),0.8888888888888888)</f>
        <v>0.8888888889</v>
      </c>
    </row>
    <row r="888">
      <c r="K888" s="4" t="str">
        <f>IFERROR(__xludf.DUMMYFUNCTION("""COMPUTED_VALUE"""),"TEMAKI FRY")</f>
        <v>TEMAKI FRY</v>
      </c>
      <c r="L888" s="32">
        <f>IFERROR(__xludf.DUMMYFUNCTION("""COMPUTED_VALUE"""),9.0)</f>
        <v>9</v>
      </c>
      <c r="M888" s="4" t="str">
        <f>IFERROR(__xludf.DUMMYFUNCTION("""COMPUTED_VALUE"""),"Eclética Tecnologia")</f>
        <v>Eclética Tecnologia</v>
      </c>
      <c r="N888" s="33">
        <f>IFERROR(__xludf.DUMMYFUNCTION("""COMPUTED_VALUE"""),0.8888888888888888)</f>
        <v>0.8888888889</v>
      </c>
      <c r="O888" s="4" t="str">
        <f>IFERROR(__xludf.DUMMYFUNCTION("""COMPUTED_VALUE"""),"Eclética Tecnologia")</f>
        <v>Eclética Tecnologia</v>
      </c>
      <c r="P888" s="33">
        <f>IFERROR(__xludf.DUMMYFUNCTION("""COMPUTED_VALUE"""),0.7777777777777778)</f>
        <v>0.7777777778</v>
      </c>
      <c r="Q888" s="4" t="str">
        <f>IFERROR(__xludf.DUMMYFUNCTION("""COMPUTED_VALUE"""),"Eclética Tecnologia")</f>
        <v>Eclética Tecnologia</v>
      </c>
      <c r="R888" s="33">
        <f>IFERROR(__xludf.DUMMYFUNCTION("""COMPUTED_VALUE"""),0.8888888888888888)</f>
        <v>0.8888888889</v>
      </c>
      <c r="S888" s="4" t="str">
        <f>IFERROR(__xludf.DUMMYFUNCTION("""COMPUTED_VALUE"""),"Eclética Tecnologia")</f>
        <v>Eclética Tecnologia</v>
      </c>
      <c r="T888" s="33">
        <f>IFERROR(__xludf.DUMMYFUNCTION("""COMPUTED_VALUE"""),0.6666666666666666)</f>
        <v>0.6666666667</v>
      </c>
      <c r="U888" s="4" t="str">
        <f>IFERROR(__xludf.DUMMYFUNCTION("""COMPUTED_VALUE"""),"Eclética Tecnologia")</f>
        <v>Eclética Tecnologia</v>
      </c>
      <c r="V888" s="33">
        <f>IFERROR(__xludf.DUMMYFUNCTION("""COMPUTED_VALUE"""),0.6666666666666666)</f>
        <v>0.6666666667</v>
      </c>
      <c r="W888" s="4" t="str">
        <f>IFERROR(__xludf.DUMMYFUNCTION("""COMPUTED_VALUE"""),"Eclética Tecnologia")</f>
        <v>Eclética Tecnologia</v>
      </c>
      <c r="X888" s="33">
        <f>IFERROR(__xludf.DUMMYFUNCTION("""COMPUTED_VALUE"""),0.6666666666666666)</f>
        <v>0.6666666667</v>
      </c>
    </row>
    <row r="889">
      <c r="K889" s="4" t="str">
        <f>IFERROR(__xludf.DUMMYFUNCTION("""COMPUTED_VALUE"""),"ULTRA POPULAR - PRACA RUI BARBOSA - CONTA MARCA")</f>
        <v>ULTRA POPULAR - PRACA RUI BARBOSA - CONTA MARCA</v>
      </c>
      <c r="L889" s="32">
        <f>IFERROR(__xludf.DUMMYFUNCTION("""COMPUTED_VALUE"""),9.0)</f>
        <v>9</v>
      </c>
      <c r="M889" s="4" t="str">
        <f>IFERROR(__xludf.DUMMYFUNCTION("""COMPUTED_VALUE"""),"N/A (Not found)")</f>
        <v>N/A (Not found)</v>
      </c>
      <c r="N889" s="33">
        <f>IFERROR(__xludf.DUMMYFUNCTION("""COMPUTED_VALUE"""),1.0)</f>
        <v>1</v>
      </c>
      <c r="O889" s="4" t="str">
        <f>IFERROR(__xludf.DUMMYFUNCTION("""COMPUTED_VALUE"""),"N/A (Not found)")</f>
        <v>N/A (Not found)</v>
      </c>
      <c r="P889" s="33">
        <f>IFERROR(__xludf.DUMMYFUNCTION("""COMPUTED_VALUE"""),1.0)</f>
        <v>1</v>
      </c>
      <c r="Q889" s="4" t="str">
        <f>IFERROR(__xludf.DUMMYFUNCTION("""COMPUTED_VALUE"""),"N/A (Not found)")</f>
        <v>N/A (Not found)</v>
      </c>
      <c r="R889" s="33">
        <f>IFERROR(__xludf.DUMMYFUNCTION("""COMPUTED_VALUE"""),1.0)</f>
        <v>1</v>
      </c>
      <c r="S889" s="4" t="str">
        <f>IFERROR(__xludf.DUMMYFUNCTION("""COMPUTED_VALUE"""),"N/A (Not found)")</f>
        <v>N/A (Not found)</v>
      </c>
      <c r="T889" s="33">
        <f>IFERROR(__xludf.DUMMYFUNCTION("""COMPUTED_VALUE"""),1.0)</f>
        <v>1</v>
      </c>
      <c r="U889" s="4" t="str">
        <f>IFERROR(__xludf.DUMMYFUNCTION("""COMPUTED_VALUE"""),"N/A (Not found)")</f>
        <v>N/A (Not found)</v>
      </c>
      <c r="V889" s="33">
        <f>IFERROR(__xludf.DUMMYFUNCTION("""COMPUTED_VALUE"""),1.0)</f>
        <v>1</v>
      </c>
      <c r="W889" s="4" t="str">
        <f>IFERROR(__xludf.DUMMYFUNCTION("""COMPUTED_VALUE"""),"N/A (Not found)")</f>
        <v>N/A (Not found)</v>
      </c>
      <c r="X889" s="33">
        <f>IFERROR(__xludf.DUMMYFUNCTION("""COMPUTED_VALUE"""),1.0)</f>
        <v>1</v>
      </c>
    </row>
    <row r="890">
      <c r="K890" s="4" t="str">
        <f>IFERROR(__xludf.DUMMYFUNCTION("""COMPUTED_VALUE"""),"ULTRAFARMA - GANDINI - CONTA MARCA")</f>
        <v>ULTRAFARMA - GANDINI - CONTA MARCA</v>
      </c>
      <c r="L890" s="32">
        <f>IFERROR(__xludf.DUMMYFUNCTION("""COMPUTED_VALUE"""),9.0)</f>
        <v>9</v>
      </c>
      <c r="M890" s="4" t="str">
        <f>IFERROR(__xludf.DUMMYFUNCTION("""COMPUTED_VALUE"""),"null")</f>
        <v>null</v>
      </c>
      <c r="N890" s="33">
        <f>IFERROR(__xludf.DUMMYFUNCTION("""COMPUTED_VALUE"""),1.0)</f>
        <v>1</v>
      </c>
      <c r="O890" s="4" t="str">
        <f>IFERROR(__xludf.DUMMYFUNCTION("""COMPUTED_VALUE"""),"null")</f>
        <v>null</v>
      </c>
      <c r="P890" s="33">
        <f>IFERROR(__xludf.DUMMYFUNCTION("""COMPUTED_VALUE"""),1.0)</f>
        <v>1</v>
      </c>
      <c r="Q890" s="4" t="str">
        <f>IFERROR(__xludf.DUMMYFUNCTION("""COMPUTED_VALUE"""),"null")</f>
        <v>null</v>
      </c>
      <c r="R890" s="33">
        <f>IFERROR(__xludf.DUMMYFUNCTION("""COMPUTED_VALUE"""),0.7777777777777778)</f>
        <v>0.7777777778</v>
      </c>
      <c r="S890" s="4" t="str">
        <f>IFERROR(__xludf.DUMMYFUNCTION("""COMPUTED_VALUE"""),"N/A (Not found)")</f>
        <v>N/A (Not found)</v>
      </c>
      <c r="T890" s="33">
        <f>IFERROR(__xludf.DUMMYFUNCTION("""COMPUTED_VALUE"""),1.0)</f>
        <v>1</v>
      </c>
      <c r="U890" s="4" t="str">
        <f>IFERROR(__xludf.DUMMYFUNCTION("""COMPUTED_VALUE"""),"N/A (Not found)")</f>
        <v>N/A (Not found)</v>
      </c>
      <c r="V890" s="33">
        <f>IFERROR(__xludf.DUMMYFUNCTION("""COMPUTED_VALUE"""),1.0)</f>
        <v>1</v>
      </c>
      <c r="W890" s="4" t="str">
        <f>IFERROR(__xludf.DUMMYFUNCTION("""COMPUTED_VALUE"""),"N/A (Not found)")</f>
        <v>N/A (Not found)</v>
      </c>
      <c r="X890" s="33">
        <f>IFERROR(__xludf.DUMMYFUNCTION("""COMPUTED_VALUE"""),1.0)</f>
        <v>1</v>
      </c>
    </row>
    <row r="891">
      <c r="K891" s="4" t="str">
        <f>IFERROR(__xludf.DUMMYFUNCTION("""COMPUTED_VALUE"""),"URBANO EXPRESS - MARCA")</f>
        <v>URBANO EXPRESS - MARCA</v>
      </c>
      <c r="L891" s="32">
        <f>IFERROR(__xludf.DUMMYFUNCTION("""COMPUTED_VALUE"""),9.0)</f>
        <v>9</v>
      </c>
      <c r="M891" s="4" t="str">
        <f>IFERROR(__xludf.DUMMYFUNCTION("""COMPUTED_VALUE"""),"Saipos Serviços De Software")</f>
        <v>Saipos Serviços De Software</v>
      </c>
      <c r="N891" s="33">
        <f>IFERROR(__xludf.DUMMYFUNCTION("""COMPUTED_VALUE"""),1.0)</f>
        <v>1</v>
      </c>
      <c r="O891" s="4" t="str">
        <f>IFERROR(__xludf.DUMMYFUNCTION("""COMPUTED_VALUE"""),"Saipos Serviços De Software")</f>
        <v>Saipos Serviços De Software</v>
      </c>
      <c r="P891" s="33">
        <f>IFERROR(__xludf.DUMMYFUNCTION("""COMPUTED_VALUE"""),1.0)</f>
        <v>1</v>
      </c>
      <c r="Q891" s="4" t="str">
        <f>IFERROR(__xludf.DUMMYFUNCTION("""COMPUTED_VALUE"""),"Saipos Serviços De Software")</f>
        <v>Saipos Serviços De Software</v>
      </c>
      <c r="R891" s="33">
        <f>IFERROR(__xludf.DUMMYFUNCTION("""COMPUTED_VALUE"""),1.0)</f>
        <v>1</v>
      </c>
      <c r="S891" s="4" t="str">
        <f>IFERROR(__xludf.DUMMYFUNCTION("""COMPUTED_VALUE"""),"Saipos Serviços De Software")</f>
        <v>Saipos Serviços De Software</v>
      </c>
      <c r="T891" s="33">
        <f>IFERROR(__xludf.DUMMYFUNCTION("""COMPUTED_VALUE"""),1.0)</f>
        <v>1</v>
      </c>
      <c r="U891" s="4" t="str">
        <f>IFERROR(__xludf.DUMMYFUNCTION("""COMPUTED_VALUE"""),"Saipos Serviços De Software")</f>
        <v>Saipos Serviços De Software</v>
      </c>
      <c r="V891" s="33">
        <f>IFERROR(__xludf.DUMMYFUNCTION("""COMPUTED_VALUE"""),1.0)</f>
        <v>1</v>
      </c>
      <c r="W891" s="4" t="str">
        <f>IFERROR(__xludf.DUMMYFUNCTION("""COMPUTED_VALUE"""),"Saipos Serviços De Software")</f>
        <v>Saipos Serviços De Software</v>
      </c>
      <c r="X891" s="33">
        <f>IFERROR(__xludf.DUMMYFUNCTION("""COMPUTED_VALUE"""),1.0)</f>
        <v>1</v>
      </c>
    </row>
    <row r="892">
      <c r="K892" s="4" t="str">
        <f>IFERROR(__xludf.DUMMYFUNCTION("""COMPUTED_VALUE"""),"USINA DO PASTEL - CONTA MARCA")</f>
        <v>USINA DO PASTEL - CONTA MARCA</v>
      </c>
      <c r="L892" s="32">
        <f>IFERROR(__xludf.DUMMYFUNCTION("""COMPUTED_VALUE"""),9.0)</f>
        <v>9</v>
      </c>
      <c r="M892" s="4" t="str">
        <f>IFERROR(__xludf.DUMMYFUNCTION("""COMPUTED_VALUE"""),"Glow")</f>
        <v>Glow</v>
      </c>
      <c r="N892" s="33">
        <f>IFERROR(__xludf.DUMMYFUNCTION("""COMPUTED_VALUE"""),0.7777777777777778)</f>
        <v>0.7777777778</v>
      </c>
      <c r="O892" s="4" t="str">
        <f>IFERROR(__xludf.DUMMYFUNCTION("""COMPUTED_VALUE"""),"null")</f>
        <v>null</v>
      </c>
      <c r="P892" s="33">
        <f>IFERROR(__xludf.DUMMYFUNCTION("""COMPUTED_VALUE"""),0.5555555555555556)</f>
        <v>0.5555555556</v>
      </c>
      <c r="Q892" s="4" t="str">
        <f>IFERROR(__xludf.DUMMYFUNCTION("""COMPUTED_VALUE"""),"null")</f>
        <v>null</v>
      </c>
      <c r="R892" s="33">
        <f>IFERROR(__xludf.DUMMYFUNCTION("""COMPUTED_VALUE"""),0.6666666666666666)</f>
        <v>0.6666666667</v>
      </c>
      <c r="S892" s="4" t="str">
        <f>IFERROR(__xludf.DUMMYFUNCTION("""COMPUTED_VALUE"""),"Glow")</f>
        <v>Glow</v>
      </c>
      <c r="T892" s="33">
        <f>IFERROR(__xludf.DUMMYFUNCTION("""COMPUTED_VALUE"""),0.7777777777777778)</f>
        <v>0.7777777778</v>
      </c>
      <c r="U892" s="4" t="str">
        <f>IFERROR(__xludf.DUMMYFUNCTION("""COMPUTED_VALUE"""),"null")</f>
        <v>null</v>
      </c>
      <c r="V892" s="33">
        <f>IFERROR(__xludf.DUMMYFUNCTION("""COMPUTED_VALUE"""),0.7777777777777778)</f>
        <v>0.7777777778</v>
      </c>
      <c r="W892" s="4" t="str">
        <f>IFERROR(__xludf.DUMMYFUNCTION("""COMPUTED_VALUE"""),"null")</f>
        <v>null</v>
      </c>
      <c r="X892" s="33">
        <f>IFERROR(__xludf.DUMMYFUNCTION("""COMPUTED_VALUE"""),0.6666666666666666)</f>
        <v>0.6666666667</v>
      </c>
    </row>
    <row r="893">
      <c r="K893" s="4" t="str">
        <f>IFERROR(__xludf.DUMMYFUNCTION("""COMPUTED_VALUE"""),"VALHALLA BURGUER - HAMBURGUERIA")</f>
        <v>VALHALLA BURGUER - HAMBURGUERIA</v>
      </c>
      <c r="L893" s="32">
        <f>IFERROR(__xludf.DUMMYFUNCTION("""COMPUTED_VALUE"""),9.0)</f>
        <v>9</v>
      </c>
      <c r="M893" s="4" t="str">
        <f>IFERROR(__xludf.DUMMYFUNCTION("""COMPUTED_VALUE"""),"Saipos Serviços De Software")</f>
        <v>Saipos Serviços De Software</v>
      </c>
      <c r="N893" s="33">
        <f>IFERROR(__xludf.DUMMYFUNCTION("""COMPUTED_VALUE"""),0.6666666666666666)</f>
        <v>0.6666666667</v>
      </c>
      <c r="O893" s="4" t="str">
        <f>IFERROR(__xludf.DUMMYFUNCTION("""COMPUTED_VALUE"""),"Saipos Serviços De Software")</f>
        <v>Saipos Serviços De Software</v>
      </c>
      <c r="P893" s="33">
        <f>IFERROR(__xludf.DUMMYFUNCTION("""COMPUTED_VALUE"""),0.5555555555555556)</f>
        <v>0.5555555556</v>
      </c>
      <c r="Q893" s="4" t="str">
        <f>IFERROR(__xludf.DUMMYFUNCTION("""COMPUTED_VALUE"""),"Saipos Serviços De Software")</f>
        <v>Saipos Serviços De Software</v>
      </c>
      <c r="R893" s="33">
        <f>IFERROR(__xludf.DUMMYFUNCTION("""COMPUTED_VALUE"""),0.5555555555555556)</f>
        <v>0.5555555556</v>
      </c>
      <c r="S893" s="4" t="str">
        <f>IFERROR(__xludf.DUMMYFUNCTION("""COMPUTED_VALUE"""),"Saipos Serviços De Software")</f>
        <v>Saipos Serviços De Software</v>
      </c>
      <c r="T893" s="33">
        <f>IFERROR(__xludf.DUMMYFUNCTION("""COMPUTED_VALUE"""),0.7777777777777778)</f>
        <v>0.7777777778</v>
      </c>
      <c r="U893" s="4" t="str">
        <f>IFERROR(__xludf.DUMMYFUNCTION("""COMPUTED_VALUE"""),"Saipos Serviços De Software")</f>
        <v>Saipos Serviços De Software</v>
      </c>
      <c r="V893" s="33">
        <f>IFERROR(__xludf.DUMMYFUNCTION("""COMPUTED_VALUE"""),0.7777777777777778)</f>
        <v>0.7777777778</v>
      </c>
      <c r="W893" s="4" t="str">
        <f>IFERROR(__xludf.DUMMYFUNCTION("""COMPUTED_VALUE"""),"Saipos Serviços De Software")</f>
        <v>Saipos Serviços De Software</v>
      </c>
      <c r="X893" s="33">
        <f>IFERROR(__xludf.DUMMYFUNCTION("""COMPUTED_VALUE"""),0.8888888888888888)</f>
        <v>0.8888888889</v>
      </c>
    </row>
    <row r="894">
      <c r="K894" s="4" t="str">
        <f>IFERROR(__xludf.DUMMYFUNCTION("""COMPUTED_VALUE"""),"VEM DE ACAI - RIBEIRAO PRETO")</f>
        <v>VEM DE ACAI - RIBEIRAO PRETO</v>
      </c>
      <c r="L894" s="32">
        <f>IFERROR(__xludf.DUMMYFUNCTION("""COMPUTED_VALUE"""),9.0)</f>
        <v>9</v>
      </c>
      <c r="M894" s="4" t="str">
        <f>IFERROR(__xludf.DUMMYFUNCTION("""COMPUTED_VALUE"""),"Saipos Serviços De Software")</f>
        <v>Saipos Serviços De Software</v>
      </c>
      <c r="N894" s="33">
        <f>IFERROR(__xludf.DUMMYFUNCTION("""COMPUTED_VALUE"""),1.0)</f>
        <v>1</v>
      </c>
      <c r="O894" s="4" t="str">
        <f>IFERROR(__xludf.DUMMYFUNCTION("""COMPUTED_VALUE"""),"Saipos Serviços De Software")</f>
        <v>Saipos Serviços De Software</v>
      </c>
      <c r="P894" s="33">
        <f>IFERROR(__xludf.DUMMYFUNCTION("""COMPUTED_VALUE"""),1.0)</f>
        <v>1</v>
      </c>
      <c r="Q894" s="4" t="str">
        <f>IFERROR(__xludf.DUMMYFUNCTION("""COMPUTED_VALUE"""),"Saipos Serviços De Software")</f>
        <v>Saipos Serviços De Software</v>
      </c>
      <c r="R894" s="33">
        <f>IFERROR(__xludf.DUMMYFUNCTION("""COMPUTED_VALUE"""),1.0)</f>
        <v>1</v>
      </c>
      <c r="S894" s="4" t="str">
        <f>IFERROR(__xludf.DUMMYFUNCTION("""COMPUTED_VALUE"""),"Saipos Serviços De Software")</f>
        <v>Saipos Serviços De Software</v>
      </c>
      <c r="T894" s="33">
        <f>IFERROR(__xludf.DUMMYFUNCTION("""COMPUTED_VALUE"""),1.0)</f>
        <v>1</v>
      </c>
      <c r="U894" s="4" t="str">
        <f>IFERROR(__xludf.DUMMYFUNCTION("""COMPUTED_VALUE"""),"Saipos Serviços De Software")</f>
        <v>Saipos Serviços De Software</v>
      </c>
      <c r="V894" s="33">
        <f>IFERROR(__xludf.DUMMYFUNCTION("""COMPUTED_VALUE"""),1.0)</f>
        <v>1</v>
      </c>
      <c r="W894" s="4" t="str">
        <f>IFERROR(__xludf.DUMMYFUNCTION("""COMPUTED_VALUE"""),"Saipos Serviços De Software")</f>
        <v>Saipos Serviços De Software</v>
      </c>
      <c r="X894" s="33">
        <f>IFERROR(__xludf.DUMMYFUNCTION("""COMPUTED_VALUE"""),1.0)</f>
        <v>1</v>
      </c>
    </row>
    <row r="895">
      <c r="K895" s="4" t="str">
        <f>IFERROR(__xludf.DUMMYFUNCTION("""COMPUTED_VALUE"""),"SUSHI HOUSE")</f>
        <v>SUSHI HOUSE</v>
      </c>
      <c r="L895" s="32">
        <f>IFERROR(__xludf.DUMMYFUNCTION("""COMPUTED_VALUE"""),8.0)</f>
        <v>8</v>
      </c>
      <c r="M895" s="4" t="str">
        <f>IFERROR(__xludf.DUMMYFUNCTION("""COMPUTED_VALUE"""),"Saipos Serviços De Software")</f>
        <v>Saipos Serviços De Software</v>
      </c>
      <c r="N895" s="33">
        <f>IFERROR(__xludf.DUMMYFUNCTION("""COMPUTED_VALUE"""),0.375)</f>
        <v>0.375</v>
      </c>
      <c r="O895" s="4" t="str">
        <f>IFERROR(__xludf.DUMMYFUNCTION("""COMPUTED_VALUE"""),"Saipos Serviços De Software")</f>
        <v>Saipos Serviços De Software</v>
      </c>
      <c r="P895" s="33">
        <f>IFERROR(__xludf.DUMMYFUNCTION("""COMPUTED_VALUE"""),0.375)</f>
        <v>0.375</v>
      </c>
      <c r="Q895" s="4" t="str">
        <f>IFERROR(__xludf.DUMMYFUNCTION("""COMPUTED_VALUE"""),"Saipos Serviços De Software")</f>
        <v>Saipos Serviços De Software</v>
      </c>
      <c r="R895" s="33">
        <f>IFERROR(__xludf.DUMMYFUNCTION("""COMPUTED_VALUE"""),0.375)</f>
        <v>0.375</v>
      </c>
      <c r="S895" s="4" t="str">
        <f>IFERROR(__xludf.DUMMYFUNCTION("""COMPUTED_VALUE"""),"Saipos Serviços De Software")</f>
        <v>Saipos Serviços De Software</v>
      </c>
      <c r="T895" s="33">
        <f>IFERROR(__xludf.DUMMYFUNCTION("""COMPUTED_VALUE"""),0.375)</f>
        <v>0.375</v>
      </c>
      <c r="U895" s="4" t="str">
        <f>IFERROR(__xludf.DUMMYFUNCTION("""COMPUTED_VALUE"""),"Saipos Serviços De Software")</f>
        <v>Saipos Serviços De Software</v>
      </c>
      <c r="V895" s="33">
        <f>IFERROR(__xludf.DUMMYFUNCTION("""COMPUTED_VALUE"""),0.5)</f>
        <v>0.5</v>
      </c>
      <c r="W895" s="4" t="str">
        <f>IFERROR(__xludf.DUMMYFUNCTION("""COMPUTED_VALUE"""),"Saipos Serviços De Software")</f>
        <v>Saipos Serviços De Software</v>
      </c>
      <c r="X895" s="33">
        <f>IFERROR(__xludf.DUMMYFUNCTION("""COMPUTED_VALUE"""),0.375)</f>
        <v>0.375</v>
      </c>
    </row>
    <row r="896">
      <c r="K896" s="4" t="str">
        <f>IFERROR(__xludf.DUMMYFUNCTION("""COMPUTED_VALUE"""),"CHAPA QUENTE")</f>
        <v>CHAPA QUENTE</v>
      </c>
      <c r="L896" s="32">
        <f>IFERROR(__xludf.DUMMYFUNCTION("""COMPUTED_VALUE"""),8.0)</f>
        <v>8</v>
      </c>
      <c r="M896" s="4" t="str">
        <f>IFERROR(__xludf.DUMMYFUNCTION("""COMPUTED_VALUE"""),"Instadelivery")</f>
        <v>Instadelivery</v>
      </c>
      <c r="N896" s="33">
        <f>IFERROR(__xludf.DUMMYFUNCTION("""COMPUTED_VALUE"""),0.375)</f>
        <v>0.375</v>
      </c>
      <c r="O896" s="4" t="str">
        <f>IFERROR(__xludf.DUMMYFUNCTION("""COMPUTED_VALUE"""),"null")</f>
        <v>null</v>
      </c>
      <c r="P896" s="33">
        <f>IFERROR(__xludf.DUMMYFUNCTION("""COMPUTED_VALUE"""),0.5)</f>
        <v>0.5</v>
      </c>
      <c r="Q896" s="4" t="str">
        <f>IFERROR(__xludf.DUMMYFUNCTION("""COMPUTED_VALUE"""),"null")</f>
        <v>null</v>
      </c>
      <c r="R896" s="33">
        <f>IFERROR(__xludf.DUMMYFUNCTION("""COMPUTED_VALUE"""),0.5)</f>
        <v>0.5</v>
      </c>
      <c r="S896" s="4" t="str">
        <f>IFERROR(__xludf.DUMMYFUNCTION("""COMPUTED_VALUE"""),"null")</f>
        <v>null</v>
      </c>
      <c r="T896" s="33">
        <f>IFERROR(__xludf.DUMMYFUNCTION("""COMPUTED_VALUE"""),0.5)</f>
        <v>0.5</v>
      </c>
      <c r="U896" s="4" t="str">
        <f>IFERROR(__xludf.DUMMYFUNCTION("""COMPUTED_VALUE"""),"Instadelivery")</f>
        <v>Instadelivery</v>
      </c>
      <c r="V896" s="33">
        <f>IFERROR(__xludf.DUMMYFUNCTION("""COMPUTED_VALUE"""),0.375)</f>
        <v>0.375</v>
      </c>
      <c r="W896" s="4" t="str">
        <f>IFERROR(__xludf.DUMMYFUNCTION("""COMPUTED_VALUE"""),"Instadelivery")</f>
        <v>Instadelivery</v>
      </c>
      <c r="X896" s="33">
        <f>IFERROR(__xludf.DUMMYFUNCTION("""COMPUTED_VALUE"""),0.375)</f>
        <v>0.375</v>
      </c>
    </row>
    <row r="897">
      <c r="K897" s="4" t="str">
        <f>IFERROR(__xludf.DUMMYFUNCTION("""COMPUTED_VALUE"""),"REI DO PICADAO - PORCOES")</f>
        <v>REI DO PICADAO - PORCOES</v>
      </c>
      <c r="L897" s="32">
        <f>IFERROR(__xludf.DUMMYFUNCTION("""COMPUTED_VALUE"""),8.0)</f>
        <v>8</v>
      </c>
      <c r="M897" s="4" t="str">
        <f>IFERROR(__xludf.DUMMYFUNCTION("""COMPUTED_VALUE"""),"Saipos Serviços De Software")</f>
        <v>Saipos Serviços De Software</v>
      </c>
      <c r="N897" s="33">
        <f>IFERROR(__xludf.DUMMYFUNCTION("""COMPUTED_VALUE"""),0.75)</f>
        <v>0.75</v>
      </c>
      <c r="O897" s="4" t="str">
        <f>IFERROR(__xludf.DUMMYFUNCTION("""COMPUTED_VALUE"""),"Saipos Serviços De Software")</f>
        <v>Saipos Serviços De Software</v>
      </c>
      <c r="P897" s="33">
        <f>IFERROR(__xludf.DUMMYFUNCTION("""COMPUTED_VALUE"""),0.625)</f>
        <v>0.625</v>
      </c>
      <c r="Q897" s="4" t="str">
        <f>IFERROR(__xludf.DUMMYFUNCTION("""COMPUTED_VALUE"""),"Saipos Serviços De Software")</f>
        <v>Saipos Serviços De Software</v>
      </c>
      <c r="R897" s="33">
        <f>IFERROR(__xludf.DUMMYFUNCTION("""COMPUTED_VALUE"""),0.75)</f>
        <v>0.75</v>
      </c>
      <c r="S897" s="4" t="str">
        <f>IFERROR(__xludf.DUMMYFUNCTION("""COMPUTED_VALUE"""),"Saipos Serviços De Software")</f>
        <v>Saipos Serviços De Software</v>
      </c>
      <c r="T897" s="33">
        <f>IFERROR(__xludf.DUMMYFUNCTION("""COMPUTED_VALUE"""),0.875)</f>
        <v>0.875</v>
      </c>
      <c r="U897" s="4" t="str">
        <f>IFERROR(__xludf.DUMMYFUNCTION("""COMPUTED_VALUE"""),"Saipos Serviços De Software")</f>
        <v>Saipos Serviços De Software</v>
      </c>
      <c r="V897" s="33">
        <f>IFERROR(__xludf.DUMMYFUNCTION("""COMPUTED_VALUE"""),0.75)</f>
        <v>0.75</v>
      </c>
      <c r="W897" s="4" t="str">
        <f>IFERROR(__xludf.DUMMYFUNCTION("""COMPUTED_VALUE"""),"Saipos Serviços De Software")</f>
        <v>Saipos Serviços De Software</v>
      </c>
      <c r="X897" s="33">
        <f>IFERROR(__xludf.DUMMYFUNCTION("""COMPUTED_VALUE"""),0.75)</f>
        <v>0.75</v>
      </c>
    </row>
    <row r="898">
      <c r="K898" s="4" t="str">
        <f>IFERROR(__xludf.DUMMYFUNCTION("""COMPUTED_VALUE"""),"DOCE SABOR")</f>
        <v>DOCE SABOR</v>
      </c>
      <c r="L898" s="32">
        <f>IFERROR(__xludf.DUMMYFUNCTION("""COMPUTED_VALUE"""),8.0)</f>
        <v>8</v>
      </c>
      <c r="M898" s="4" t="str">
        <f>IFERROR(__xludf.DUMMYFUNCTION("""COMPUTED_VALUE"""),"null")</f>
        <v>null</v>
      </c>
      <c r="N898" s="33">
        <f>IFERROR(__xludf.DUMMYFUNCTION("""COMPUTED_VALUE"""),0.5)</f>
        <v>0.5</v>
      </c>
      <c r="O898" s="4" t="str">
        <f>IFERROR(__xludf.DUMMYFUNCTION("""COMPUTED_VALUE"""),"null")</f>
        <v>null</v>
      </c>
      <c r="P898" s="33">
        <f>IFERROR(__xludf.DUMMYFUNCTION("""COMPUTED_VALUE"""),0.5)</f>
        <v>0.5</v>
      </c>
      <c r="Q898" s="4" t="str">
        <f>IFERROR(__xludf.DUMMYFUNCTION("""COMPUTED_VALUE"""),"null")</f>
        <v>null</v>
      </c>
      <c r="R898" s="33">
        <f>IFERROR(__xludf.DUMMYFUNCTION("""COMPUTED_VALUE"""),0.5)</f>
        <v>0.5</v>
      </c>
      <c r="S898" s="4" t="str">
        <f>IFERROR(__xludf.DUMMYFUNCTION("""COMPUTED_VALUE"""),"null")</f>
        <v>null</v>
      </c>
      <c r="T898" s="33">
        <f>IFERROR(__xludf.DUMMYFUNCTION("""COMPUTED_VALUE"""),0.5)</f>
        <v>0.5</v>
      </c>
      <c r="U898" s="4" t="str">
        <f>IFERROR(__xludf.DUMMYFUNCTION("""COMPUTED_VALUE"""),"null")</f>
        <v>null</v>
      </c>
      <c r="V898" s="33">
        <f>IFERROR(__xludf.DUMMYFUNCTION("""COMPUTED_VALUE"""),0.5)</f>
        <v>0.5</v>
      </c>
      <c r="W898" s="4" t="str">
        <f>IFERROR(__xludf.DUMMYFUNCTION("""COMPUTED_VALUE"""),"null")</f>
        <v>null</v>
      </c>
      <c r="X898" s="33">
        <f>IFERROR(__xludf.DUMMYFUNCTION("""COMPUTED_VALUE"""),0.625)</f>
        <v>0.625</v>
      </c>
    </row>
    <row r="899">
      <c r="K899" s="4" t="str">
        <f>IFERROR(__xludf.DUMMYFUNCTION("""COMPUTED_VALUE"""),"DESATIVADA")</f>
        <v>DESATIVADA</v>
      </c>
      <c r="L899" s="32">
        <f>IFERROR(__xludf.DUMMYFUNCTION("""COMPUTED_VALUE"""),8.0)</f>
        <v>8</v>
      </c>
      <c r="M899" s="4" t="str">
        <f>IFERROR(__xludf.DUMMYFUNCTION("""COMPUTED_VALUE"""),"Anota Ai Solucoes Digitais S/a")</f>
        <v>Anota Ai Solucoes Digitais S/a</v>
      </c>
      <c r="N899" s="33">
        <f>IFERROR(__xludf.DUMMYFUNCTION("""COMPUTED_VALUE"""),0.25)</f>
        <v>0.25</v>
      </c>
      <c r="O899" s="4" t="str">
        <f>IFERROR(__xludf.DUMMYFUNCTION("""COMPUTED_VALUE"""),"null")</f>
        <v>null</v>
      </c>
      <c r="P899" s="33">
        <f>IFERROR(__xludf.DUMMYFUNCTION("""COMPUTED_VALUE"""),0.5)</f>
        <v>0.5</v>
      </c>
      <c r="Q899" s="4" t="str">
        <f>IFERROR(__xludf.DUMMYFUNCTION("""COMPUTED_VALUE"""),"null")</f>
        <v>null</v>
      </c>
      <c r="R899" s="33">
        <f>IFERROR(__xludf.DUMMYFUNCTION("""COMPUTED_VALUE"""),0.625)</f>
        <v>0.625</v>
      </c>
      <c r="S899" s="4" t="str">
        <f>IFERROR(__xludf.DUMMYFUNCTION("""COMPUTED_VALUE"""),"null")</f>
        <v>null</v>
      </c>
      <c r="T899" s="33">
        <f>IFERROR(__xludf.DUMMYFUNCTION("""COMPUTED_VALUE"""),0.75)</f>
        <v>0.75</v>
      </c>
      <c r="U899" s="4" t="str">
        <f>IFERROR(__xludf.DUMMYFUNCTION("""COMPUTED_VALUE"""),"null")</f>
        <v>null</v>
      </c>
      <c r="V899" s="33">
        <f>IFERROR(__xludf.DUMMYFUNCTION("""COMPUTED_VALUE"""),0.5)</f>
        <v>0.5</v>
      </c>
      <c r="W899" s="4" t="str">
        <f>IFERROR(__xludf.DUMMYFUNCTION("""COMPUTED_VALUE"""),"null")</f>
        <v>null</v>
      </c>
      <c r="X899" s="33">
        <f>IFERROR(__xludf.DUMMYFUNCTION("""COMPUTED_VALUE"""),0.75)</f>
        <v>0.75</v>
      </c>
    </row>
    <row r="900">
      <c r="K900" s="4" t="str">
        <f>IFERROR(__xludf.DUMMYFUNCTION("""COMPUTED_VALUE"""),"FORNALHA PIZZARIA")</f>
        <v>FORNALHA PIZZARIA</v>
      </c>
      <c r="L900" s="32">
        <f>IFERROR(__xludf.DUMMYFUNCTION("""COMPUTED_VALUE"""),8.0)</f>
        <v>8</v>
      </c>
      <c r="M900" s="4" t="str">
        <f>IFERROR(__xludf.DUMMYFUNCTION("""COMPUTED_VALUE"""),"Saipos Serviços De Software")</f>
        <v>Saipos Serviços De Software</v>
      </c>
      <c r="N900" s="33">
        <f>IFERROR(__xludf.DUMMYFUNCTION("""COMPUTED_VALUE"""),0.25)</f>
        <v>0.25</v>
      </c>
      <c r="O900" s="4" t="str">
        <f>IFERROR(__xludf.DUMMYFUNCTION("""COMPUTED_VALUE"""),"Saipos Serviços De Software")</f>
        <v>Saipos Serviços De Software</v>
      </c>
      <c r="P900" s="33">
        <f>IFERROR(__xludf.DUMMYFUNCTION("""COMPUTED_VALUE"""),0.25)</f>
        <v>0.25</v>
      </c>
      <c r="Q900" s="4" t="str">
        <f>IFERROR(__xludf.DUMMYFUNCTION("""COMPUTED_VALUE"""),"Consumer Soluções Em Tecnologia Ltda")</f>
        <v>Consumer Soluções Em Tecnologia Ltda</v>
      </c>
      <c r="R900" s="33">
        <f>IFERROR(__xludf.DUMMYFUNCTION("""COMPUTED_VALUE"""),0.375)</f>
        <v>0.375</v>
      </c>
      <c r="S900" s="4" t="str">
        <f>IFERROR(__xludf.DUMMYFUNCTION("""COMPUTED_VALUE"""),"Consumer Soluções Em Tecnologia Ltda")</f>
        <v>Consumer Soluções Em Tecnologia Ltda</v>
      </c>
      <c r="T900" s="33">
        <f>IFERROR(__xludf.DUMMYFUNCTION("""COMPUTED_VALUE"""),0.375)</f>
        <v>0.375</v>
      </c>
      <c r="U900" s="4" t="str">
        <f>IFERROR(__xludf.DUMMYFUNCTION("""COMPUTED_VALUE"""),"Saipos Serviços De Software")</f>
        <v>Saipos Serviços De Software</v>
      </c>
      <c r="V900" s="33">
        <f>IFERROR(__xludf.DUMMYFUNCTION("""COMPUTED_VALUE"""),0.375)</f>
        <v>0.375</v>
      </c>
      <c r="W900" s="4" t="str">
        <f>IFERROR(__xludf.DUMMYFUNCTION("""COMPUTED_VALUE"""),"Saipos Serviços De Software")</f>
        <v>Saipos Serviços De Software</v>
      </c>
      <c r="X900" s="33">
        <f>IFERROR(__xludf.DUMMYFUNCTION("""COMPUTED_VALUE"""),0.25)</f>
        <v>0.25</v>
      </c>
    </row>
    <row r="901">
      <c r="K901" s="4" t="str">
        <f>IFERROR(__xludf.DUMMYFUNCTION("""COMPUTED_VALUE"""),"DROGARIAS ULTRA POPULAR")</f>
        <v>DROGARIAS ULTRA POPULAR</v>
      </c>
      <c r="L901" s="32">
        <f>IFERROR(__xludf.DUMMYFUNCTION("""COMPUTED_VALUE"""),8.0)</f>
        <v>8</v>
      </c>
      <c r="M901" s="4" t="str">
        <f>IFERROR(__xludf.DUMMYFUNCTION("""COMPUTED_VALUE"""),"null")</f>
        <v>null</v>
      </c>
      <c r="N901" s="33">
        <f>IFERROR(__xludf.DUMMYFUNCTION("""COMPUTED_VALUE"""),0.625)</f>
        <v>0.625</v>
      </c>
      <c r="O901" s="4" t="str">
        <f>IFERROR(__xludf.DUMMYFUNCTION("""COMPUTED_VALUE"""),"null")</f>
        <v>null</v>
      </c>
      <c r="P901" s="33">
        <f>IFERROR(__xludf.DUMMYFUNCTION("""COMPUTED_VALUE"""),0.625)</f>
        <v>0.625</v>
      </c>
      <c r="Q901" s="4" t="str">
        <f>IFERROR(__xludf.DUMMYFUNCTION("""COMPUTED_VALUE"""),"null")</f>
        <v>null</v>
      </c>
      <c r="R901" s="33">
        <f>IFERROR(__xludf.DUMMYFUNCTION("""COMPUTED_VALUE"""),0.625)</f>
        <v>0.625</v>
      </c>
      <c r="S901" s="4" t="str">
        <f>IFERROR(__xludf.DUMMYFUNCTION("""COMPUTED_VALUE"""),"null")</f>
        <v>null</v>
      </c>
      <c r="T901" s="33">
        <f>IFERROR(__xludf.DUMMYFUNCTION("""COMPUTED_VALUE"""),0.5)</f>
        <v>0.5</v>
      </c>
      <c r="U901" s="4" t="str">
        <f>IFERROR(__xludf.DUMMYFUNCTION("""COMPUTED_VALUE"""),"N/A (Not found)")</f>
        <v>N/A (Not found)</v>
      </c>
      <c r="V901" s="33">
        <f>IFERROR(__xludf.DUMMYFUNCTION("""COMPUTED_VALUE"""),0.625)</f>
        <v>0.625</v>
      </c>
      <c r="W901" s="4" t="str">
        <f>IFERROR(__xludf.DUMMYFUNCTION("""COMPUTED_VALUE"""),"N/A (Not found)")</f>
        <v>N/A (Not found)</v>
      </c>
      <c r="X901" s="33">
        <f>IFERROR(__xludf.DUMMYFUNCTION("""COMPUTED_VALUE"""),1.0)</f>
        <v>1</v>
      </c>
    </row>
    <row r="902">
      <c r="K902" s="4" t="str">
        <f>IFERROR(__xludf.DUMMYFUNCTION("""COMPUTED_VALUE"""),"PIZZA HOUSE")</f>
        <v>PIZZA HOUSE</v>
      </c>
      <c r="L902" s="32">
        <f>IFERROR(__xludf.DUMMYFUNCTION("""COMPUTED_VALUE"""),8.0)</f>
        <v>8</v>
      </c>
      <c r="M902" s="4" t="str">
        <f>IFERROR(__xludf.DUMMYFUNCTION("""COMPUTED_VALUE"""),"Saipos Serviços De Software")</f>
        <v>Saipos Serviços De Software</v>
      </c>
      <c r="N902" s="33">
        <f>IFERROR(__xludf.DUMMYFUNCTION("""COMPUTED_VALUE"""),0.5)</f>
        <v>0.5</v>
      </c>
      <c r="O902" s="4" t="str">
        <f>IFERROR(__xludf.DUMMYFUNCTION("""COMPUTED_VALUE"""),"Saipos Serviços De Software")</f>
        <v>Saipos Serviços De Software</v>
      </c>
      <c r="P902" s="33">
        <f>IFERROR(__xludf.DUMMYFUNCTION("""COMPUTED_VALUE"""),0.5)</f>
        <v>0.5</v>
      </c>
      <c r="Q902" s="4" t="str">
        <f>IFERROR(__xludf.DUMMYFUNCTION("""COMPUTED_VALUE"""),"Saipos Serviços De Software")</f>
        <v>Saipos Serviços De Software</v>
      </c>
      <c r="R902" s="33">
        <f>IFERROR(__xludf.DUMMYFUNCTION("""COMPUTED_VALUE"""),0.625)</f>
        <v>0.625</v>
      </c>
      <c r="S902" s="4" t="str">
        <f>IFERROR(__xludf.DUMMYFUNCTION("""COMPUTED_VALUE"""),"Saipos Serviços De Software")</f>
        <v>Saipos Serviços De Software</v>
      </c>
      <c r="T902" s="33">
        <f>IFERROR(__xludf.DUMMYFUNCTION("""COMPUTED_VALUE"""),0.625)</f>
        <v>0.625</v>
      </c>
      <c r="U902" s="4" t="str">
        <f>IFERROR(__xludf.DUMMYFUNCTION("""COMPUTED_VALUE"""),"Saipos Serviços De Software")</f>
        <v>Saipos Serviços De Software</v>
      </c>
      <c r="V902" s="33">
        <f>IFERROR(__xludf.DUMMYFUNCTION("""COMPUTED_VALUE"""),0.625)</f>
        <v>0.625</v>
      </c>
      <c r="W902" s="4" t="str">
        <f>IFERROR(__xludf.DUMMYFUNCTION("""COMPUTED_VALUE"""),"Saipos Serviços De Software")</f>
        <v>Saipos Serviços De Software</v>
      </c>
      <c r="X902" s="33">
        <f>IFERROR(__xludf.DUMMYFUNCTION("""COMPUTED_VALUE"""),0.5)</f>
        <v>0.5</v>
      </c>
    </row>
    <row r="903">
      <c r="K903" s="4" t="str">
        <f>IFERROR(__xludf.DUMMYFUNCTION("""COMPUTED_VALUE"""),"BURGER HOUSE")</f>
        <v>BURGER HOUSE</v>
      </c>
      <c r="L903" s="32">
        <f>IFERROR(__xludf.DUMMYFUNCTION("""COMPUTED_VALUE"""),8.0)</f>
        <v>8</v>
      </c>
      <c r="M903" s="4" t="str">
        <f>IFERROR(__xludf.DUMMYFUNCTION("""COMPUTED_VALUE"""),"null")</f>
        <v>null</v>
      </c>
      <c r="N903" s="33">
        <f>IFERROR(__xludf.DUMMYFUNCTION("""COMPUTED_VALUE"""),0.75)</f>
        <v>0.75</v>
      </c>
      <c r="O903" s="4" t="str">
        <f>IFERROR(__xludf.DUMMYFUNCTION("""COMPUTED_VALUE"""),"null")</f>
        <v>null</v>
      </c>
      <c r="P903" s="33">
        <f>IFERROR(__xludf.DUMMYFUNCTION("""COMPUTED_VALUE"""),0.875)</f>
        <v>0.875</v>
      </c>
      <c r="Q903" s="4" t="str">
        <f>IFERROR(__xludf.DUMMYFUNCTION("""COMPUTED_VALUE"""),"null")</f>
        <v>null</v>
      </c>
      <c r="R903" s="33">
        <f>IFERROR(__xludf.DUMMYFUNCTION("""COMPUTED_VALUE"""),0.875)</f>
        <v>0.875</v>
      </c>
      <c r="S903" s="4" t="str">
        <f>IFERROR(__xludf.DUMMYFUNCTION("""COMPUTED_VALUE"""),"null")</f>
        <v>null</v>
      </c>
      <c r="T903" s="33">
        <f>IFERROR(__xludf.DUMMYFUNCTION("""COMPUTED_VALUE"""),0.75)</f>
        <v>0.75</v>
      </c>
      <c r="U903" s="4" t="str">
        <f>IFERROR(__xludf.DUMMYFUNCTION("""COMPUTED_VALUE"""),"null")</f>
        <v>null</v>
      </c>
      <c r="V903" s="33">
        <f>IFERROR(__xludf.DUMMYFUNCTION("""COMPUTED_VALUE"""),0.25)</f>
        <v>0.25</v>
      </c>
      <c r="W903" s="4" t="str">
        <f>IFERROR(__xludf.DUMMYFUNCTION("""COMPUTED_VALUE"""),"null")</f>
        <v>null</v>
      </c>
      <c r="X903" s="33">
        <f>IFERROR(__xludf.DUMMYFUNCTION("""COMPUTED_VALUE"""),0.375)</f>
        <v>0.375</v>
      </c>
    </row>
    <row r="904">
      <c r="K904" s="4" t="str">
        <f>IFERROR(__xludf.DUMMYFUNCTION("""COMPUTED_VALUE"""),"LOJA FECHADA")</f>
        <v>LOJA FECHADA</v>
      </c>
      <c r="L904" s="32">
        <f>IFERROR(__xludf.DUMMYFUNCTION("""COMPUTED_VALUE"""),8.0)</f>
        <v>8</v>
      </c>
      <c r="M904" s="4" t="str">
        <f>IFERROR(__xludf.DUMMYFUNCTION("""COMPUTED_VALUE"""),"null")</f>
        <v>null</v>
      </c>
      <c r="N904" s="33">
        <f>IFERROR(__xludf.DUMMYFUNCTION("""COMPUTED_VALUE"""),0.375)</f>
        <v>0.375</v>
      </c>
      <c r="O904" s="4" t="str">
        <f>IFERROR(__xludf.DUMMYFUNCTION("""COMPUTED_VALUE"""),"Saipos Serviços De Software")</f>
        <v>Saipos Serviços De Software</v>
      </c>
      <c r="P904" s="33">
        <f>IFERROR(__xludf.DUMMYFUNCTION("""COMPUTED_VALUE"""),0.375)</f>
        <v>0.375</v>
      </c>
      <c r="Q904" s="4" t="str">
        <f>IFERROR(__xludf.DUMMYFUNCTION("""COMPUTED_VALUE"""),"null")</f>
        <v>null</v>
      </c>
      <c r="R904" s="33">
        <f>IFERROR(__xludf.DUMMYFUNCTION("""COMPUTED_VALUE"""),0.375)</f>
        <v>0.375</v>
      </c>
      <c r="S904" s="4" t="str">
        <f>IFERROR(__xludf.DUMMYFUNCTION("""COMPUTED_VALUE"""),"null")</f>
        <v>null</v>
      </c>
      <c r="T904" s="33">
        <f>IFERROR(__xludf.DUMMYFUNCTION("""COMPUTED_VALUE"""),0.5)</f>
        <v>0.5</v>
      </c>
      <c r="U904" s="4" t="str">
        <f>IFERROR(__xludf.DUMMYFUNCTION("""COMPUTED_VALUE"""),"null")</f>
        <v>null</v>
      </c>
      <c r="V904" s="33">
        <f>IFERROR(__xludf.DUMMYFUNCTION("""COMPUTED_VALUE"""),0.5)</f>
        <v>0.5</v>
      </c>
      <c r="W904" s="4" t="str">
        <f>IFERROR(__xludf.DUMMYFUNCTION("""COMPUTED_VALUE"""),"null")</f>
        <v>null</v>
      </c>
      <c r="X904" s="33">
        <f>IFERROR(__xludf.DUMMYFUNCTION("""COMPUTED_VALUE"""),0.75)</f>
        <v>0.75</v>
      </c>
    </row>
    <row r="905">
      <c r="K905" s="4" t="str">
        <f>IFERROR(__xludf.DUMMYFUNCTION("""COMPUTED_VALUE"""),"DIONES PIZZA E ESFIHAS")</f>
        <v>DIONES PIZZA E ESFIHAS</v>
      </c>
      <c r="L905" s="32">
        <f>IFERROR(__xludf.DUMMYFUNCTION("""COMPUTED_VALUE"""),8.0)</f>
        <v>8</v>
      </c>
      <c r="M905" s="4" t="str">
        <f>IFERROR(__xludf.DUMMYFUNCTION("""COMPUTED_VALUE"""),"null")</f>
        <v>null</v>
      </c>
      <c r="N905" s="33">
        <f>IFERROR(__xludf.DUMMYFUNCTION("""COMPUTED_VALUE"""),0.5555555555555556)</f>
        <v>0.5555555556</v>
      </c>
      <c r="O905" s="4" t="str">
        <f>IFERROR(__xludf.DUMMYFUNCTION("""COMPUTED_VALUE"""),"null")</f>
        <v>null</v>
      </c>
      <c r="P905" s="33">
        <f>IFERROR(__xludf.DUMMYFUNCTION("""COMPUTED_VALUE"""),0.5555555555555556)</f>
        <v>0.5555555556</v>
      </c>
      <c r="Q905" s="4" t="str">
        <f>IFERROR(__xludf.DUMMYFUNCTION("""COMPUTED_VALUE"""),"null")</f>
        <v>null</v>
      </c>
      <c r="R905" s="33">
        <f>IFERROR(__xludf.DUMMYFUNCTION("""COMPUTED_VALUE"""),0.5555555555555556)</f>
        <v>0.5555555556</v>
      </c>
      <c r="S905" s="4" t="str">
        <f>IFERROR(__xludf.DUMMYFUNCTION("""COMPUTED_VALUE"""),"Saipos Serviços De Software")</f>
        <v>Saipos Serviços De Software</v>
      </c>
      <c r="T905" s="33">
        <f>IFERROR(__xludf.DUMMYFUNCTION("""COMPUTED_VALUE"""),0.7777777777777778)</f>
        <v>0.7777777778</v>
      </c>
      <c r="U905" s="4" t="str">
        <f>IFERROR(__xludf.DUMMYFUNCTION("""COMPUTED_VALUE"""),"Saipos Serviços De Software")</f>
        <v>Saipos Serviços De Software</v>
      </c>
      <c r="V905" s="33">
        <f>IFERROR(__xludf.DUMMYFUNCTION("""COMPUTED_VALUE"""),1.0)</f>
        <v>1</v>
      </c>
      <c r="W905" s="4" t="str">
        <f>IFERROR(__xludf.DUMMYFUNCTION("""COMPUTED_VALUE"""),"Saipos Serviços De Software")</f>
        <v>Saipos Serviços De Software</v>
      </c>
      <c r="X905" s="33">
        <f>IFERROR(__xludf.DUMMYFUNCTION("""COMPUTED_VALUE"""),0.6666666666666666)</f>
        <v>0.6666666667</v>
      </c>
    </row>
    <row r="906">
      <c r="K906" s="4" t="str">
        <f>IFERROR(__xludf.DUMMYFUNCTION("""COMPUTED_VALUE"""),"REI DO FRANGO ASSADO")</f>
        <v>REI DO FRANGO ASSADO</v>
      </c>
      <c r="L906" s="32">
        <f>IFERROR(__xludf.DUMMYFUNCTION("""COMPUTED_VALUE"""),8.0)</f>
        <v>8</v>
      </c>
      <c r="M906" s="4" t="str">
        <f>IFERROR(__xludf.DUMMYFUNCTION("""COMPUTED_VALUE"""),"null")</f>
        <v>null</v>
      </c>
      <c r="N906" s="33">
        <f>IFERROR(__xludf.DUMMYFUNCTION("""COMPUTED_VALUE"""),0.5)</f>
        <v>0.5</v>
      </c>
      <c r="O906" s="4" t="str">
        <f>IFERROR(__xludf.DUMMYFUNCTION("""COMPUTED_VALUE"""),"Saipos Serviços De Software")</f>
        <v>Saipos Serviços De Software</v>
      </c>
      <c r="P906" s="33">
        <f>IFERROR(__xludf.DUMMYFUNCTION("""COMPUTED_VALUE"""),0.75)</f>
        <v>0.75</v>
      </c>
      <c r="Q906" s="4" t="str">
        <f>IFERROR(__xludf.DUMMYFUNCTION("""COMPUTED_VALUE"""),"Saipos Serviços De Software")</f>
        <v>Saipos Serviços De Software</v>
      </c>
      <c r="R906" s="33">
        <f>IFERROR(__xludf.DUMMYFUNCTION("""COMPUTED_VALUE"""),0.875)</f>
        <v>0.875</v>
      </c>
      <c r="S906" s="4" t="str">
        <f>IFERROR(__xludf.DUMMYFUNCTION("""COMPUTED_VALUE"""),"Saipos Serviços De Software")</f>
        <v>Saipos Serviços De Software</v>
      </c>
      <c r="T906" s="33">
        <f>IFERROR(__xludf.DUMMYFUNCTION("""COMPUTED_VALUE"""),0.875)</f>
        <v>0.875</v>
      </c>
      <c r="U906" s="4" t="str">
        <f>IFERROR(__xludf.DUMMYFUNCTION("""COMPUTED_VALUE"""),"Saipos Serviços De Software")</f>
        <v>Saipos Serviços De Software</v>
      </c>
      <c r="V906" s="33">
        <f>IFERROR(__xludf.DUMMYFUNCTION("""COMPUTED_VALUE"""),0.875)</f>
        <v>0.875</v>
      </c>
      <c r="W906" s="4" t="str">
        <f>IFERROR(__xludf.DUMMYFUNCTION("""COMPUTED_VALUE"""),"Saipos Serviços De Software")</f>
        <v>Saipos Serviços De Software</v>
      </c>
      <c r="X906" s="33">
        <f>IFERROR(__xludf.DUMMYFUNCTION("""COMPUTED_VALUE"""),0.875)</f>
        <v>0.875</v>
      </c>
    </row>
    <row r="907">
      <c r="K907" s="4" t="str">
        <f>IFERROR(__xludf.DUMMYFUNCTION("""COMPUTED_VALUE"""),"MESTRE DO ACAI")</f>
        <v>MESTRE DO ACAI</v>
      </c>
      <c r="L907" s="32">
        <f>IFERROR(__xludf.DUMMYFUNCTION("""COMPUTED_VALUE"""),8.0)</f>
        <v>8</v>
      </c>
      <c r="M907" s="4" t="str">
        <f>IFERROR(__xludf.DUMMYFUNCTION("""COMPUTED_VALUE"""),"null")</f>
        <v>null</v>
      </c>
      <c r="N907" s="33">
        <f>IFERROR(__xludf.DUMMYFUNCTION("""COMPUTED_VALUE"""),0.375)</f>
        <v>0.375</v>
      </c>
      <c r="O907" s="4" t="str">
        <f>IFERROR(__xludf.DUMMYFUNCTION("""COMPUTED_VALUE"""),"null")</f>
        <v>null</v>
      </c>
      <c r="P907" s="33">
        <f>IFERROR(__xludf.DUMMYFUNCTION("""COMPUTED_VALUE"""),0.375)</f>
        <v>0.375</v>
      </c>
      <c r="Q907" s="4" t="str">
        <f>IFERROR(__xludf.DUMMYFUNCTION("""COMPUTED_VALUE"""),"Hubster")</f>
        <v>Hubster</v>
      </c>
      <c r="R907" s="33">
        <f>IFERROR(__xludf.DUMMYFUNCTION("""COMPUTED_VALUE"""),0.375)</f>
        <v>0.375</v>
      </c>
      <c r="S907" s="4" t="str">
        <f>IFERROR(__xludf.DUMMYFUNCTION("""COMPUTED_VALUE"""),"Hubster")</f>
        <v>Hubster</v>
      </c>
      <c r="T907" s="33">
        <f>IFERROR(__xludf.DUMMYFUNCTION("""COMPUTED_VALUE"""),0.375)</f>
        <v>0.375</v>
      </c>
      <c r="U907" s="4" t="str">
        <f>IFERROR(__xludf.DUMMYFUNCTION("""COMPUTED_VALUE"""),"null")</f>
        <v>null</v>
      </c>
      <c r="V907" s="33">
        <f>IFERROR(__xludf.DUMMYFUNCTION("""COMPUTED_VALUE"""),0.375)</f>
        <v>0.375</v>
      </c>
      <c r="W907" s="4" t="str">
        <f>IFERROR(__xludf.DUMMYFUNCTION("""COMPUTED_VALUE"""),"Hubster")</f>
        <v>Hubster</v>
      </c>
      <c r="X907" s="33">
        <f>IFERROR(__xludf.DUMMYFUNCTION("""COMPUTED_VALUE"""),0.375)</f>
        <v>0.375</v>
      </c>
    </row>
    <row r="908">
      <c r="K908" s="4" t="str">
        <f>IFERROR(__xludf.DUMMYFUNCTION("""COMPUTED_VALUE"""),"CASA DO HAMBURGUER")</f>
        <v>CASA DO HAMBURGUER</v>
      </c>
      <c r="L908" s="32">
        <f>IFERROR(__xludf.DUMMYFUNCTION("""COMPUTED_VALUE"""),8.0)</f>
        <v>8</v>
      </c>
      <c r="M908" s="4" t="str">
        <f>IFERROR(__xludf.DUMMYFUNCTION("""COMPUTED_VALUE"""),"null")</f>
        <v>null</v>
      </c>
      <c r="N908" s="33">
        <f>IFERROR(__xludf.DUMMYFUNCTION("""COMPUTED_VALUE"""),0.25)</f>
        <v>0.25</v>
      </c>
      <c r="O908" s="4" t="str">
        <f>IFERROR(__xludf.DUMMYFUNCTION("""COMPUTED_VALUE"""),"null")</f>
        <v>null</v>
      </c>
      <c r="P908" s="33">
        <f>IFERROR(__xludf.DUMMYFUNCTION("""COMPUTED_VALUE"""),0.625)</f>
        <v>0.625</v>
      </c>
      <c r="Q908" s="4" t="str">
        <f>IFERROR(__xludf.DUMMYFUNCTION("""COMPUTED_VALUE"""),"null")</f>
        <v>null</v>
      </c>
      <c r="R908" s="33">
        <f>IFERROR(__xludf.DUMMYFUNCTION("""COMPUTED_VALUE"""),0.75)</f>
        <v>0.75</v>
      </c>
      <c r="S908" s="4" t="str">
        <f>IFERROR(__xludf.DUMMYFUNCTION("""COMPUTED_VALUE"""),"null")</f>
        <v>null</v>
      </c>
      <c r="T908" s="33">
        <f>IFERROR(__xludf.DUMMYFUNCTION("""COMPUTED_VALUE"""),0.625)</f>
        <v>0.625</v>
      </c>
      <c r="U908" s="4" t="str">
        <f>IFERROR(__xludf.DUMMYFUNCTION("""COMPUTED_VALUE"""),"null")</f>
        <v>null</v>
      </c>
      <c r="V908" s="33">
        <f>IFERROR(__xludf.DUMMYFUNCTION("""COMPUTED_VALUE"""),0.375)</f>
        <v>0.375</v>
      </c>
      <c r="W908" s="4" t="str">
        <f>IFERROR(__xludf.DUMMYFUNCTION("""COMPUTED_VALUE"""),"null")</f>
        <v>null</v>
      </c>
      <c r="X908" s="33">
        <f>IFERROR(__xludf.DUMMYFUNCTION("""COMPUTED_VALUE"""),0.5)</f>
        <v>0.5</v>
      </c>
    </row>
    <row r="909">
      <c r="K909" s="4" t="str">
        <f>IFERROR(__xludf.DUMMYFUNCTION("""COMPUTED_VALUE"""),"RANCHO DA PIZZA")</f>
        <v>RANCHO DA PIZZA</v>
      </c>
      <c r="L909" s="32">
        <f>IFERROR(__xludf.DUMMYFUNCTION("""COMPUTED_VALUE"""),8.0)</f>
        <v>8</v>
      </c>
      <c r="M909" s="4" t="str">
        <f>IFERROR(__xludf.DUMMYFUNCTION("""COMPUTED_VALUE"""),"Saipos Serviços De Software")</f>
        <v>Saipos Serviços De Software</v>
      </c>
      <c r="N909" s="33">
        <f>IFERROR(__xludf.DUMMYFUNCTION("""COMPUTED_VALUE"""),0.875)</f>
        <v>0.875</v>
      </c>
      <c r="O909" s="4" t="str">
        <f>IFERROR(__xludf.DUMMYFUNCTION("""COMPUTED_VALUE"""),"null")</f>
        <v>null</v>
      </c>
      <c r="P909" s="33">
        <f>IFERROR(__xludf.DUMMYFUNCTION("""COMPUTED_VALUE"""),0.75)</f>
        <v>0.75</v>
      </c>
      <c r="Q909" s="4" t="str">
        <f>IFERROR(__xludf.DUMMYFUNCTION("""COMPUTED_VALUE"""),"null")</f>
        <v>null</v>
      </c>
      <c r="R909" s="33">
        <f>IFERROR(__xludf.DUMMYFUNCTION("""COMPUTED_VALUE"""),0.75)</f>
        <v>0.75</v>
      </c>
      <c r="S909" s="4" t="str">
        <f>IFERROR(__xludf.DUMMYFUNCTION("""COMPUTED_VALUE"""),"null")</f>
        <v>null</v>
      </c>
      <c r="T909" s="33">
        <f>IFERROR(__xludf.DUMMYFUNCTION("""COMPUTED_VALUE"""),0.75)</f>
        <v>0.75</v>
      </c>
      <c r="U909" s="4" t="str">
        <f>IFERROR(__xludf.DUMMYFUNCTION("""COMPUTED_VALUE"""),"null")</f>
        <v>null</v>
      </c>
      <c r="V909" s="33">
        <f>IFERROR(__xludf.DUMMYFUNCTION("""COMPUTED_VALUE"""),0.75)</f>
        <v>0.75</v>
      </c>
      <c r="W909" s="4" t="str">
        <f>IFERROR(__xludf.DUMMYFUNCTION("""COMPUTED_VALUE"""),"null")</f>
        <v>null</v>
      </c>
      <c r="X909" s="33">
        <f>IFERROR(__xludf.DUMMYFUNCTION("""COMPUTED_VALUE"""),0.75)</f>
        <v>0.75</v>
      </c>
    </row>
    <row r="910">
      <c r="K910" s="4" t="str">
        <f>IFERROR(__xludf.DUMMYFUNCTION("""COMPUTED_VALUE"""),"PIZZARIA ITALIA")</f>
        <v>PIZZARIA ITALIA</v>
      </c>
      <c r="L910" s="32">
        <f>IFERROR(__xludf.DUMMYFUNCTION("""COMPUTED_VALUE"""),8.0)</f>
        <v>8</v>
      </c>
      <c r="M910" s="4" t="str">
        <f>IFERROR(__xludf.DUMMYFUNCTION("""COMPUTED_VALUE"""),"Mp Multipedidos")</f>
        <v>Mp Multipedidos</v>
      </c>
      <c r="N910" s="33">
        <f>IFERROR(__xludf.DUMMYFUNCTION("""COMPUTED_VALUE"""),0.375)</f>
        <v>0.375</v>
      </c>
      <c r="O910" s="4" t="str">
        <f>IFERROR(__xludf.DUMMYFUNCTION("""COMPUTED_VALUE"""),"Mp Multipedidos")</f>
        <v>Mp Multipedidos</v>
      </c>
      <c r="P910" s="33">
        <f>IFERROR(__xludf.DUMMYFUNCTION("""COMPUTED_VALUE"""),0.375)</f>
        <v>0.375</v>
      </c>
      <c r="Q910" s="4" t="str">
        <f>IFERROR(__xludf.DUMMYFUNCTION("""COMPUTED_VALUE"""),"Mp Multipedidos")</f>
        <v>Mp Multipedidos</v>
      </c>
      <c r="R910" s="33">
        <f>IFERROR(__xludf.DUMMYFUNCTION("""COMPUTED_VALUE"""),0.375)</f>
        <v>0.375</v>
      </c>
      <c r="S910" s="4" t="str">
        <f>IFERROR(__xludf.DUMMYFUNCTION("""COMPUTED_VALUE"""),"Mp Multipedidos")</f>
        <v>Mp Multipedidos</v>
      </c>
      <c r="T910" s="33">
        <f>IFERROR(__xludf.DUMMYFUNCTION("""COMPUTED_VALUE"""),0.375)</f>
        <v>0.375</v>
      </c>
      <c r="U910" s="4" t="str">
        <f>IFERROR(__xludf.DUMMYFUNCTION("""COMPUTED_VALUE"""),"Mp Multipedidos")</f>
        <v>Mp Multipedidos</v>
      </c>
      <c r="V910" s="33">
        <f>IFERROR(__xludf.DUMMYFUNCTION("""COMPUTED_VALUE"""),0.375)</f>
        <v>0.375</v>
      </c>
      <c r="W910" s="4" t="str">
        <f>IFERROR(__xludf.DUMMYFUNCTION("""COMPUTED_VALUE"""),"Mp Multipedidos")</f>
        <v>Mp Multipedidos</v>
      </c>
      <c r="X910" s="33">
        <f>IFERROR(__xludf.DUMMYFUNCTION("""COMPUTED_VALUE"""),0.375)</f>
        <v>0.375</v>
      </c>
    </row>
    <row r="911">
      <c r="K911" s="4" t="str">
        <f>IFERROR(__xludf.DUMMYFUNCTION("""COMPUTED_VALUE"""),"HORA DO LANCHE")</f>
        <v>HORA DO LANCHE</v>
      </c>
      <c r="L911" s="32">
        <f>IFERROR(__xludf.DUMMYFUNCTION("""COMPUTED_VALUE"""),8.0)</f>
        <v>8</v>
      </c>
      <c r="M911" s="4" t="str">
        <f>IFERROR(__xludf.DUMMYFUNCTION("""COMPUTED_VALUE"""),"Anota Ai Solucoes Digitais S/a")</f>
        <v>Anota Ai Solucoes Digitais S/a</v>
      </c>
      <c r="N911" s="33">
        <f>IFERROR(__xludf.DUMMYFUNCTION("""COMPUTED_VALUE"""),0.375)</f>
        <v>0.375</v>
      </c>
      <c r="O911" s="4" t="str">
        <f>IFERROR(__xludf.DUMMYFUNCTION("""COMPUTED_VALUE"""),"Anota Ai Solucoes Digitais S/a")</f>
        <v>Anota Ai Solucoes Digitais S/a</v>
      </c>
      <c r="P911" s="33">
        <f>IFERROR(__xludf.DUMMYFUNCTION("""COMPUTED_VALUE"""),0.25)</f>
        <v>0.25</v>
      </c>
      <c r="Q911" s="4" t="str">
        <f>IFERROR(__xludf.DUMMYFUNCTION("""COMPUTED_VALUE"""),"Anota Ai Solucoes Digitais S/a")</f>
        <v>Anota Ai Solucoes Digitais S/a</v>
      </c>
      <c r="R911" s="33">
        <f>IFERROR(__xludf.DUMMYFUNCTION("""COMPUTED_VALUE"""),0.375)</f>
        <v>0.375</v>
      </c>
      <c r="S911" s="4" t="str">
        <f>IFERROR(__xludf.DUMMYFUNCTION("""COMPUTED_VALUE"""),"Anota Ai Solucoes Digitais S/a")</f>
        <v>Anota Ai Solucoes Digitais S/a</v>
      </c>
      <c r="T911" s="33">
        <f>IFERROR(__xludf.DUMMYFUNCTION("""COMPUTED_VALUE"""),0.375)</f>
        <v>0.375</v>
      </c>
      <c r="U911" s="4" t="str">
        <f>IFERROR(__xludf.DUMMYFUNCTION("""COMPUTED_VALUE"""),"Anota Ai Solucoes Digitais S/a")</f>
        <v>Anota Ai Solucoes Digitais S/a</v>
      </c>
      <c r="V911" s="33">
        <f>IFERROR(__xludf.DUMMYFUNCTION("""COMPUTED_VALUE"""),0.375)</f>
        <v>0.375</v>
      </c>
      <c r="W911" s="4" t="str">
        <f>IFERROR(__xludf.DUMMYFUNCTION("""COMPUTED_VALUE"""),"Anota Ai Solucoes Digitais S/a")</f>
        <v>Anota Ai Solucoes Digitais S/a</v>
      </c>
      <c r="X911" s="33">
        <f>IFERROR(__xludf.DUMMYFUNCTION("""COMPUTED_VALUE"""),0.375)</f>
        <v>0.375</v>
      </c>
    </row>
    <row r="912">
      <c r="K912" s="4" t="str">
        <f>IFERROR(__xludf.DUMMYFUNCTION("""COMPUTED_VALUE"""),"DIVINO ACAI")</f>
        <v>DIVINO ACAI</v>
      </c>
      <c r="L912" s="32">
        <f>IFERROR(__xludf.DUMMYFUNCTION("""COMPUTED_VALUE"""),8.0)</f>
        <v>8</v>
      </c>
      <c r="M912" s="4" t="str">
        <f>IFERROR(__xludf.DUMMYFUNCTION("""COMPUTED_VALUE"""),"null")</f>
        <v>null</v>
      </c>
      <c r="N912" s="33">
        <f>IFERROR(__xludf.DUMMYFUNCTION("""COMPUTED_VALUE"""),0.375)</f>
        <v>0.375</v>
      </c>
      <c r="O912" s="4" t="str">
        <f>IFERROR(__xludf.DUMMYFUNCTION("""COMPUTED_VALUE"""),"null")</f>
        <v>null</v>
      </c>
      <c r="P912" s="33">
        <f>IFERROR(__xludf.DUMMYFUNCTION("""COMPUTED_VALUE"""),0.5)</f>
        <v>0.5</v>
      </c>
      <c r="Q912" s="4" t="str">
        <f>IFERROR(__xludf.DUMMYFUNCTION("""COMPUTED_VALUE"""),"null")</f>
        <v>null</v>
      </c>
      <c r="R912" s="33">
        <f>IFERROR(__xludf.DUMMYFUNCTION("""COMPUTED_VALUE"""),0.25)</f>
        <v>0.25</v>
      </c>
      <c r="S912" s="4" t="str">
        <f>IFERROR(__xludf.DUMMYFUNCTION("""COMPUTED_VALUE"""),"Vekttor")</f>
        <v>Vekttor</v>
      </c>
      <c r="T912" s="33">
        <f>IFERROR(__xludf.DUMMYFUNCTION("""COMPUTED_VALUE"""),0.125)</f>
        <v>0.125</v>
      </c>
      <c r="U912" s="4" t="str">
        <f>IFERROR(__xludf.DUMMYFUNCTION("""COMPUTED_VALUE"""),"null")</f>
        <v>null</v>
      </c>
      <c r="V912" s="33">
        <f>IFERROR(__xludf.DUMMYFUNCTION("""COMPUTED_VALUE"""),0.125)</f>
        <v>0.125</v>
      </c>
      <c r="W912" s="4" t="str">
        <f>IFERROR(__xludf.DUMMYFUNCTION("""COMPUTED_VALUE"""),"null")</f>
        <v>null</v>
      </c>
      <c r="X912" s="33">
        <f>IFERROR(__xludf.DUMMYFUNCTION("""COMPUTED_VALUE"""),0.25)</f>
        <v>0.25</v>
      </c>
    </row>
    <row r="913">
      <c r="K913" s="4" t="str">
        <f>IFERROR(__xludf.DUMMYFUNCTION("""COMPUTED_VALUE"""),"SR MARMITA")</f>
        <v>SR MARMITA</v>
      </c>
      <c r="L913" s="32">
        <f>IFERROR(__xludf.DUMMYFUNCTION("""COMPUTED_VALUE"""),8.0)</f>
        <v>8</v>
      </c>
      <c r="M913" s="4" t="str">
        <f>IFERROR(__xludf.DUMMYFUNCTION("""COMPUTED_VALUE"""),"Menew - Linx")</f>
        <v>Menew - Linx</v>
      </c>
      <c r="N913" s="33">
        <f>IFERROR(__xludf.DUMMYFUNCTION("""COMPUTED_VALUE"""),0.75)</f>
        <v>0.75</v>
      </c>
      <c r="O913" s="4" t="str">
        <f>IFERROR(__xludf.DUMMYFUNCTION("""COMPUTED_VALUE"""),"Menew - Linx")</f>
        <v>Menew - Linx</v>
      </c>
      <c r="P913" s="33">
        <f>IFERROR(__xludf.DUMMYFUNCTION("""COMPUTED_VALUE"""),0.75)</f>
        <v>0.75</v>
      </c>
      <c r="Q913" s="4" t="str">
        <f>IFERROR(__xludf.DUMMYFUNCTION("""COMPUTED_VALUE"""),"Menew - Linx")</f>
        <v>Menew - Linx</v>
      </c>
      <c r="R913" s="33">
        <f>IFERROR(__xludf.DUMMYFUNCTION("""COMPUTED_VALUE"""),0.75)</f>
        <v>0.75</v>
      </c>
      <c r="S913" s="4" t="str">
        <f>IFERROR(__xludf.DUMMYFUNCTION("""COMPUTED_VALUE"""),"Menew - Linx")</f>
        <v>Menew - Linx</v>
      </c>
      <c r="T913" s="33">
        <f>IFERROR(__xludf.DUMMYFUNCTION("""COMPUTED_VALUE"""),0.75)</f>
        <v>0.75</v>
      </c>
      <c r="U913" s="4" t="str">
        <f>IFERROR(__xludf.DUMMYFUNCTION("""COMPUTED_VALUE"""),"null")</f>
        <v>null</v>
      </c>
      <c r="V913" s="33">
        <f>IFERROR(__xludf.DUMMYFUNCTION("""COMPUTED_VALUE"""),0.875)</f>
        <v>0.875</v>
      </c>
      <c r="W913" s="4" t="str">
        <f>IFERROR(__xludf.DUMMYFUNCTION("""COMPUTED_VALUE"""),"null")</f>
        <v>null</v>
      </c>
      <c r="X913" s="33">
        <f>IFERROR(__xludf.DUMMYFUNCTION("""COMPUTED_VALUE"""),0.75)</f>
        <v>0.75</v>
      </c>
    </row>
    <row r="914">
      <c r="K914" s="4" t="str">
        <f>IFERROR(__xludf.DUMMYFUNCTION("""COMPUTED_VALUE"""),"ACAI SUPREMO")</f>
        <v>ACAI SUPREMO</v>
      </c>
      <c r="L914" s="32">
        <f>IFERROR(__xludf.DUMMYFUNCTION("""COMPUTED_VALUE"""),8.0)</f>
        <v>8</v>
      </c>
      <c r="M914" s="4" t="str">
        <f>IFERROR(__xludf.DUMMYFUNCTION("""COMPUTED_VALUE"""),"Saipos Serviços De Software")</f>
        <v>Saipos Serviços De Software</v>
      </c>
      <c r="N914" s="33">
        <f>IFERROR(__xludf.DUMMYFUNCTION("""COMPUTED_VALUE"""),0.25)</f>
        <v>0.25</v>
      </c>
      <c r="O914" s="4" t="str">
        <f>IFERROR(__xludf.DUMMYFUNCTION("""COMPUTED_VALUE"""),"null")</f>
        <v>null</v>
      </c>
      <c r="P914" s="33">
        <f>IFERROR(__xludf.DUMMYFUNCTION("""COMPUTED_VALUE"""),0.25)</f>
        <v>0.25</v>
      </c>
      <c r="Q914" s="4" t="str">
        <f>IFERROR(__xludf.DUMMYFUNCTION("""COMPUTED_VALUE"""),"Saipos Serviços De Software")</f>
        <v>Saipos Serviços De Software</v>
      </c>
      <c r="R914" s="33">
        <f>IFERROR(__xludf.DUMMYFUNCTION("""COMPUTED_VALUE"""),0.25)</f>
        <v>0.25</v>
      </c>
      <c r="S914" s="4" t="str">
        <f>IFERROR(__xludf.DUMMYFUNCTION("""COMPUTED_VALUE"""),"Saipos Serviços De Software")</f>
        <v>Saipos Serviços De Software</v>
      </c>
      <c r="T914" s="33">
        <f>IFERROR(__xludf.DUMMYFUNCTION("""COMPUTED_VALUE"""),0.25)</f>
        <v>0.25</v>
      </c>
      <c r="U914" s="4" t="str">
        <f>IFERROR(__xludf.DUMMYFUNCTION("""COMPUTED_VALUE"""),"Saipos Serviços De Software")</f>
        <v>Saipos Serviços De Software</v>
      </c>
      <c r="V914" s="33">
        <f>IFERROR(__xludf.DUMMYFUNCTION("""COMPUTED_VALUE"""),0.25)</f>
        <v>0.25</v>
      </c>
      <c r="W914" s="4" t="str">
        <f>IFERROR(__xludf.DUMMYFUNCTION("""COMPUTED_VALUE"""),"Saipos Serviços De Software")</f>
        <v>Saipos Serviços De Software</v>
      </c>
      <c r="X914" s="33">
        <f>IFERROR(__xludf.DUMMYFUNCTION("""COMPUTED_VALUE"""),0.25)</f>
        <v>0.25</v>
      </c>
    </row>
    <row r="915">
      <c r="K915" s="4" t="str">
        <f>IFERROR(__xludf.DUMMYFUNCTION("""COMPUTED_VALUE"""),"ALO PIZZA")</f>
        <v>ALO PIZZA</v>
      </c>
      <c r="L915" s="32">
        <f>IFERROR(__xludf.DUMMYFUNCTION("""COMPUTED_VALUE"""),8.0)</f>
        <v>8</v>
      </c>
      <c r="M915" s="4" t="str">
        <f>IFERROR(__xludf.DUMMYFUNCTION("""COMPUTED_VALUE"""),"null")</f>
        <v>null</v>
      </c>
      <c r="N915" s="33">
        <f>IFERROR(__xludf.DUMMYFUNCTION("""COMPUTED_VALUE"""),0.25)</f>
        <v>0.25</v>
      </c>
      <c r="O915" s="4" t="str">
        <f>IFERROR(__xludf.DUMMYFUNCTION("""COMPUTED_VALUE"""),"null")</f>
        <v>null</v>
      </c>
      <c r="P915" s="33">
        <f>IFERROR(__xludf.DUMMYFUNCTION("""COMPUTED_VALUE"""),0.375)</f>
        <v>0.375</v>
      </c>
      <c r="Q915" s="4" t="str">
        <f>IFERROR(__xludf.DUMMYFUNCTION("""COMPUTED_VALUE"""),"null")</f>
        <v>null</v>
      </c>
      <c r="R915" s="33">
        <f>IFERROR(__xludf.DUMMYFUNCTION("""COMPUTED_VALUE"""),0.375)</f>
        <v>0.375</v>
      </c>
      <c r="S915" s="4" t="str">
        <f>IFERROR(__xludf.DUMMYFUNCTION("""COMPUTED_VALUE"""),"null")</f>
        <v>null</v>
      </c>
      <c r="T915" s="33">
        <f>IFERROR(__xludf.DUMMYFUNCTION("""COMPUTED_VALUE"""),0.375)</f>
        <v>0.375</v>
      </c>
      <c r="U915" s="4" t="str">
        <f>IFERROR(__xludf.DUMMYFUNCTION("""COMPUTED_VALUE"""),"null")</f>
        <v>null</v>
      </c>
      <c r="V915" s="33">
        <f>IFERROR(__xludf.DUMMYFUNCTION("""COMPUTED_VALUE"""),0.375)</f>
        <v>0.375</v>
      </c>
      <c r="W915" s="4" t="str">
        <f>IFERROR(__xludf.DUMMYFUNCTION("""COMPUTED_VALUE"""),"Anota Ai Solucoes Digitais S/a")</f>
        <v>Anota Ai Solucoes Digitais S/a</v>
      </c>
      <c r="X915" s="33">
        <f>IFERROR(__xludf.DUMMYFUNCTION("""COMPUTED_VALUE"""),0.25)</f>
        <v>0.25</v>
      </c>
    </row>
    <row r="916">
      <c r="K916" s="4" t="str">
        <f>IFERROR(__xludf.DUMMYFUNCTION("""COMPUTED_VALUE"""),"BRASEIRO BURGUER")</f>
        <v>BRASEIRO BURGUER</v>
      </c>
      <c r="L916" s="32">
        <f>IFERROR(__xludf.DUMMYFUNCTION("""COMPUTED_VALUE"""),8.0)</f>
        <v>8</v>
      </c>
      <c r="M916" s="4" t="str">
        <f>IFERROR(__xludf.DUMMYFUNCTION("""COMPUTED_VALUE"""),"Saipos Serviços De Software")</f>
        <v>Saipos Serviços De Software</v>
      </c>
      <c r="N916" s="33">
        <f>IFERROR(__xludf.DUMMYFUNCTION("""COMPUTED_VALUE"""),0.75)</f>
        <v>0.75</v>
      </c>
      <c r="O916" s="4" t="str">
        <f>IFERROR(__xludf.DUMMYFUNCTION("""COMPUTED_VALUE"""),"Saipos Serviços De Software")</f>
        <v>Saipos Serviços De Software</v>
      </c>
      <c r="P916" s="33">
        <f>IFERROR(__xludf.DUMMYFUNCTION("""COMPUTED_VALUE"""),0.75)</f>
        <v>0.75</v>
      </c>
      <c r="Q916" s="4" t="str">
        <f>IFERROR(__xludf.DUMMYFUNCTION("""COMPUTED_VALUE"""),"Saipos Serviços De Software")</f>
        <v>Saipos Serviços De Software</v>
      </c>
      <c r="R916" s="33">
        <f>IFERROR(__xludf.DUMMYFUNCTION("""COMPUTED_VALUE"""),0.625)</f>
        <v>0.625</v>
      </c>
      <c r="S916" s="4" t="str">
        <f>IFERROR(__xludf.DUMMYFUNCTION("""COMPUTED_VALUE"""),"Saipos Serviços De Software")</f>
        <v>Saipos Serviços De Software</v>
      </c>
      <c r="T916" s="33">
        <f>IFERROR(__xludf.DUMMYFUNCTION("""COMPUTED_VALUE"""),0.625)</f>
        <v>0.625</v>
      </c>
      <c r="U916" s="4" t="str">
        <f>IFERROR(__xludf.DUMMYFUNCTION("""COMPUTED_VALUE"""),"Saipos Serviços De Software")</f>
        <v>Saipos Serviços De Software</v>
      </c>
      <c r="V916" s="33">
        <f>IFERROR(__xludf.DUMMYFUNCTION("""COMPUTED_VALUE"""),0.625)</f>
        <v>0.625</v>
      </c>
      <c r="W916" s="4" t="str">
        <f>IFERROR(__xludf.DUMMYFUNCTION("""COMPUTED_VALUE"""),"Saipos Serviços De Software")</f>
        <v>Saipos Serviços De Software</v>
      </c>
      <c r="X916" s="33">
        <f>IFERROR(__xludf.DUMMYFUNCTION("""COMPUTED_VALUE"""),0.625)</f>
        <v>0.625</v>
      </c>
    </row>
    <row r="917">
      <c r="K917" s="4" t="str">
        <f>IFERROR(__xludf.DUMMYFUNCTION("""COMPUTED_VALUE"""),"MAIS ACAI")</f>
        <v>MAIS ACAI</v>
      </c>
      <c r="L917" s="32">
        <f>IFERROR(__xludf.DUMMYFUNCTION("""COMPUTED_VALUE"""),8.0)</f>
        <v>8</v>
      </c>
      <c r="M917" s="4" t="str">
        <f>IFERROR(__xludf.DUMMYFUNCTION("""COMPUTED_VALUE"""),"Instadelivery")</f>
        <v>Instadelivery</v>
      </c>
      <c r="N917" s="33">
        <f>IFERROR(__xludf.DUMMYFUNCTION("""COMPUTED_VALUE"""),0.25)</f>
        <v>0.25</v>
      </c>
      <c r="O917" s="4" t="str">
        <f>IFERROR(__xludf.DUMMYFUNCTION("""COMPUTED_VALUE"""),"Instadelivery")</f>
        <v>Instadelivery</v>
      </c>
      <c r="P917" s="33">
        <f>IFERROR(__xludf.DUMMYFUNCTION("""COMPUTED_VALUE"""),0.25)</f>
        <v>0.25</v>
      </c>
      <c r="Q917" s="4" t="str">
        <f>IFERROR(__xludf.DUMMYFUNCTION("""COMPUTED_VALUE"""),"Instadelivery")</f>
        <v>Instadelivery</v>
      </c>
      <c r="R917" s="33">
        <f>IFERROR(__xludf.DUMMYFUNCTION("""COMPUTED_VALUE"""),0.375)</f>
        <v>0.375</v>
      </c>
      <c r="S917" s="4" t="str">
        <f>IFERROR(__xludf.DUMMYFUNCTION("""COMPUTED_VALUE"""),"null")</f>
        <v>null</v>
      </c>
      <c r="T917" s="33">
        <f>IFERROR(__xludf.DUMMYFUNCTION("""COMPUTED_VALUE"""),0.375)</f>
        <v>0.375</v>
      </c>
      <c r="U917" s="4" t="str">
        <f>IFERROR(__xludf.DUMMYFUNCTION("""COMPUTED_VALUE"""),"null")</f>
        <v>null</v>
      </c>
      <c r="V917" s="33">
        <f>IFERROR(__xludf.DUMMYFUNCTION("""COMPUTED_VALUE"""),0.5)</f>
        <v>0.5</v>
      </c>
      <c r="W917" s="4" t="str">
        <f>IFERROR(__xludf.DUMMYFUNCTION("""COMPUTED_VALUE"""),"null")</f>
        <v>null</v>
      </c>
      <c r="X917" s="33">
        <f>IFERROR(__xludf.DUMMYFUNCTION("""COMPUTED_VALUE"""),0.5)</f>
        <v>0.5</v>
      </c>
    </row>
    <row r="918">
      <c r="K918" s="4" t="str">
        <f>IFERROR(__xludf.DUMMYFUNCTION("""COMPUTED_VALUE"""),"IMPERIO BURGER")</f>
        <v>IMPERIO BURGER</v>
      </c>
      <c r="L918" s="32">
        <f>IFERROR(__xludf.DUMMYFUNCTION("""COMPUTED_VALUE"""),8.0)</f>
        <v>8</v>
      </c>
      <c r="M918" s="4" t="str">
        <f>IFERROR(__xludf.DUMMYFUNCTION("""COMPUTED_VALUE"""),"null")</f>
        <v>null</v>
      </c>
      <c r="N918" s="33">
        <f>IFERROR(__xludf.DUMMYFUNCTION("""COMPUTED_VALUE"""),0.75)</f>
        <v>0.75</v>
      </c>
      <c r="O918" s="4" t="str">
        <f>IFERROR(__xludf.DUMMYFUNCTION("""COMPUTED_VALUE"""),"null")</f>
        <v>null</v>
      </c>
      <c r="P918" s="33">
        <f>IFERROR(__xludf.DUMMYFUNCTION("""COMPUTED_VALUE"""),0.625)</f>
        <v>0.625</v>
      </c>
      <c r="Q918" s="4" t="str">
        <f>IFERROR(__xludf.DUMMYFUNCTION("""COMPUTED_VALUE"""),"null")</f>
        <v>null</v>
      </c>
      <c r="R918" s="33">
        <f>IFERROR(__xludf.DUMMYFUNCTION("""COMPUTED_VALUE"""),0.5)</f>
        <v>0.5</v>
      </c>
      <c r="S918" s="4" t="str">
        <f>IFERROR(__xludf.DUMMYFUNCTION("""COMPUTED_VALUE"""),"null")</f>
        <v>null</v>
      </c>
      <c r="T918" s="33">
        <f>IFERROR(__xludf.DUMMYFUNCTION("""COMPUTED_VALUE"""),0.5)</f>
        <v>0.5</v>
      </c>
      <c r="U918" s="4" t="str">
        <f>IFERROR(__xludf.DUMMYFUNCTION("""COMPUTED_VALUE"""),"Instadelivery")</f>
        <v>Instadelivery</v>
      </c>
      <c r="V918" s="33">
        <f>IFERROR(__xludf.DUMMYFUNCTION("""COMPUTED_VALUE"""),0.375)</f>
        <v>0.375</v>
      </c>
      <c r="W918" s="4" t="str">
        <f>IFERROR(__xludf.DUMMYFUNCTION("""COMPUTED_VALUE"""),"Instadelivery")</f>
        <v>Instadelivery</v>
      </c>
      <c r="X918" s="33">
        <f>IFERROR(__xludf.DUMMYFUNCTION("""COMPUTED_VALUE"""),0.375)</f>
        <v>0.375</v>
      </c>
    </row>
    <row r="919">
      <c r="K919" s="4" t="str">
        <f>IFERROR(__xludf.DUMMYFUNCTION("""COMPUTED_VALUE"""),"ESTACAO DA PIZZA")</f>
        <v>ESTACAO DA PIZZA</v>
      </c>
      <c r="L919" s="32">
        <f>IFERROR(__xludf.DUMMYFUNCTION("""COMPUTED_VALUE"""),8.0)</f>
        <v>8</v>
      </c>
      <c r="M919" s="4" t="str">
        <f>IFERROR(__xludf.DUMMYFUNCTION("""COMPUTED_VALUE"""),"Saipos Serviços De Software")</f>
        <v>Saipos Serviços De Software</v>
      </c>
      <c r="N919" s="33">
        <f>IFERROR(__xludf.DUMMYFUNCTION("""COMPUTED_VALUE"""),0.5)</f>
        <v>0.5</v>
      </c>
      <c r="O919" s="4" t="str">
        <f>IFERROR(__xludf.DUMMYFUNCTION("""COMPUTED_VALUE"""),"Saipos Serviços De Software")</f>
        <v>Saipos Serviços De Software</v>
      </c>
      <c r="P919" s="33">
        <f>IFERROR(__xludf.DUMMYFUNCTION("""COMPUTED_VALUE"""),0.5)</f>
        <v>0.5</v>
      </c>
      <c r="Q919" s="4" t="str">
        <f>IFERROR(__xludf.DUMMYFUNCTION("""COMPUTED_VALUE"""),"Saipos Serviços De Software")</f>
        <v>Saipos Serviços De Software</v>
      </c>
      <c r="R919" s="33">
        <f>IFERROR(__xludf.DUMMYFUNCTION("""COMPUTED_VALUE"""),0.5)</f>
        <v>0.5</v>
      </c>
      <c r="S919" s="4" t="str">
        <f>IFERROR(__xludf.DUMMYFUNCTION("""COMPUTED_VALUE"""),"null")</f>
        <v>null</v>
      </c>
      <c r="T919" s="33">
        <f>IFERROR(__xludf.DUMMYFUNCTION("""COMPUTED_VALUE"""),0.375)</f>
        <v>0.375</v>
      </c>
      <c r="U919" s="4" t="str">
        <f>IFERROR(__xludf.DUMMYFUNCTION("""COMPUTED_VALUE"""),"null")</f>
        <v>null</v>
      </c>
      <c r="V919" s="33">
        <f>IFERROR(__xludf.DUMMYFUNCTION("""COMPUTED_VALUE"""),0.375)</f>
        <v>0.375</v>
      </c>
      <c r="W919" s="4" t="str">
        <f>IFERROR(__xludf.DUMMYFUNCTION("""COMPUTED_VALUE"""),"Saipos Serviços De Software")</f>
        <v>Saipos Serviços De Software</v>
      </c>
      <c r="X919" s="33">
        <f>IFERROR(__xludf.DUMMYFUNCTION("""COMPUTED_VALUE"""),0.5)</f>
        <v>0.5</v>
      </c>
    </row>
    <row r="920">
      <c r="K920" s="4" t="str">
        <f>IFERROR(__xludf.DUMMYFUNCTION("""COMPUTED_VALUE"""),"PRATO 10")</f>
        <v>PRATO 10</v>
      </c>
      <c r="L920" s="32">
        <f>IFERROR(__xludf.DUMMYFUNCTION("""COMPUTED_VALUE"""),8.0)</f>
        <v>8</v>
      </c>
      <c r="M920" s="4" t="str">
        <f>IFERROR(__xludf.DUMMYFUNCTION("""COMPUTED_VALUE"""),"Consumer Soluções Em Tecnologia Ltda")</f>
        <v>Consumer Soluções Em Tecnologia Ltda</v>
      </c>
      <c r="N920" s="33">
        <f>IFERROR(__xludf.DUMMYFUNCTION("""COMPUTED_VALUE"""),0.5555555555555556)</f>
        <v>0.5555555556</v>
      </c>
      <c r="O920" s="4" t="str">
        <f>IFERROR(__xludf.DUMMYFUNCTION("""COMPUTED_VALUE"""),"null")</f>
        <v>null</v>
      </c>
      <c r="P920" s="33">
        <f>IFERROR(__xludf.DUMMYFUNCTION("""COMPUTED_VALUE"""),0.5555555555555556)</f>
        <v>0.5555555556</v>
      </c>
      <c r="Q920" s="4" t="str">
        <f>IFERROR(__xludf.DUMMYFUNCTION("""COMPUTED_VALUE"""),"null")</f>
        <v>null</v>
      </c>
      <c r="R920" s="33">
        <f>IFERROR(__xludf.DUMMYFUNCTION("""COMPUTED_VALUE"""),0.4444444444444444)</f>
        <v>0.4444444444</v>
      </c>
      <c r="S920" s="4" t="str">
        <f>IFERROR(__xludf.DUMMYFUNCTION("""COMPUTED_VALUE"""),"Consumer Soluções Em Tecnologia Ltda")</f>
        <v>Consumer Soluções Em Tecnologia Ltda</v>
      </c>
      <c r="T920" s="33">
        <f>IFERROR(__xludf.DUMMYFUNCTION("""COMPUTED_VALUE"""),0.4444444444444444)</f>
        <v>0.4444444444</v>
      </c>
      <c r="U920" s="4" t="str">
        <f>IFERROR(__xludf.DUMMYFUNCTION("""COMPUTED_VALUE"""),"null")</f>
        <v>null</v>
      </c>
      <c r="V920" s="33">
        <f>IFERROR(__xludf.DUMMYFUNCTION("""COMPUTED_VALUE"""),0.4444444444444444)</f>
        <v>0.4444444444</v>
      </c>
      <c r="W920" s="4" t="str">
        <f>IFERROR(__xludf.DUMMYFUNCTION("""COMPUTED_VALUE"""),"Consumer Soluções Em Tecnologia Ltda")</f>
        <v>Consumer Soluções Em Tecnologia Ltda</v>
      </c>
      <c r="X920" s="33">
        <f>IFERROR(__xludf.DUMMYFUNCTION("""COMPUTED_VALUE"""),0.7777777777777778)</f>
        <v>0.7777777778</v>
      </c>
    </row>
    <row r="921">
      <c r="K921" s="4" t="str">
        <f>IFERROR(__xludf.DUMMYFUNCTION("""COMPUTED_VALUE"""),"DNA DA PIZZA")</f>
        <v>DNA DA PIZZA</v>
      </c>
      <c r="L921" s="32">
        <f>IFERROR(__xludf.DUMMYFUNCTION("""COMPUTED_VALUE"""),8.0)</f>
        <v>8</v>
      </c>
      <c r="M921" s="4" t="str">
        <f>IFERROR(__xludf.DUMMYFUNCTION("""COMPUTED_VALUE"""),"Eclética Tecnologia")</f>
        <v>Eclética Tecnologia</v>
      </c>
      <c r="N921" s="33">
        <f>IFERROR(__xludf.DUMMYFUNCTION("""COMPUTED_VALUE"""),0.5)</f>
        <v>0.5</v>
      </c>
      <c r="O921" s="4" t="str">
        <f>IFERROR(__xludf.DUMMYFUNCTION("""COMPUTED_VALUE"""),"Eclética Tecnologia")</f>
        <v>Eclética Tecnologia</v>
      </c>
      <c r="P921" s="33">
        <f>IFERROR(__xludf.DUMMYFUNCTION("""COMPUTED_VALUE"""),0.5)</f>
        <v>0.5</v>
      </c>
      <c r="Q921" s="4" t="str">
        <f>IFERROR(__xludf.DUMMYFUNCTION("""COMPUTED_VALUE"""),"Eclética Tecnologia")</f>
        <v>Eclética Tecnologia</v>
      </c>
      <c r="R921" s="33">
        <f>IFERROR(__xludf.DUMMYFUNCTION("""COMPUTED_VALUE"""),0.5)</f>
        <v>0.5</v>
      </c>
      <c r="S921" s="4" t="str">
        <f>IFERROR(__xludf.DUMMYFUNCTION("""COMPUTED_VALUE"""),"Eclética Tecnologia")</f>
        <v>Eclética Tecnologia</v>
      </c>
      <c r="T921" s="33">
        <f>IFERROR(__xludf.DUMMYFUNCTION("""COMPUTED_VALUE"""),0.5)</f>
        <v>0.5</v>
      </c>
      <c r="U921" s="4" t="str">
        <f>IFERROR(__xludf.DUMMYFUNCTION("""COMPUTED_VALUE"""),"Eclética Tecnologia")</f>
        <v>Eclética Tecnologia</v>
      </c>
      <c r="V921" s="33">
        <f>IFERROR(__xludf.DUMMYFUNCTION("""COMPUTED_VALUE"""),0.5)</f>
        <v>0.5</v>
      </c>
      <c r="W921" s="4" t="str">
        <f>IFERROR(__xludf.DUMMYFUNCTION("""COMPUTED_VALUE"""),"Eclética Tecnologia")</f>
        <v>Eclética Tecnologia</v>
      </c>
      <c r="X921" s="33">
        <f>IFERROR(__xludf.DUMMYFUNCTION("""COMPUTED_VALUE"""),0.5)</f>
        <v>0.5</v>
      </c>
    </row>
    <row r="922">
      <c r="K922" s="4" t="str">
        <f>IFERROR(__xludf.DUMMYFUNCTION("""COMPUTED_VALUE"""),"PONTO DA ESFIHA")</f>
        <v>PONTO DA ESFIHA</v>
      </c>
      <c r="L922" s="32">
        <f>IFERROR(__xludf.DUMMYFUNCTION("""COMPUTED_VALUE"""),8.0)</f>
        <v>8</v>
      </c>
      <c r="M922" s="4" t="str">
        <f>IFERROR(__xludf.DUMMYFUNCTION("""COMPUTED_VALUE"""),"Anota Ai Solucoes Digitais S/a")</f>
        <v>Anota Ai Solucoes Digitais S/a</v>
      </c>
      <c r="N922" s="33">
        <f>IFERROR(__xludf.DUMMYFUNCTION("""COMPUTED_VALUE"""),0.375)</f>
        <v>0.375</v>
      </c>
      <c r="O922" s="4" t="str">
        <f>IFERROR(__xludf.DUMMYFUNCTION("""COMPUTED_VALUE"""),"Anota Ai Solucoes Digitais S/a")</f>
        <v>Anota Ai Solucoes Digitais S/a</v>
      </c>
      <c r="P922" s="33">
        <f>IFERROR(__xludf.DUMMYFUNCTION("""COMPUTED_VALUE"""),0.375)</f>
        <v>0.375</v>
      </c>
      <c r="Q922" s="4" t="str">
        <f>IFERROR(__xludf.DUMMYFUNCTION("""COMPUTED_VALUE"""),"Anota Ai Solucoes Digitais S/a")</f>
        <v>Anota Ai Solucoes Digitais S/a</v>
      </c>
      <c r="R922" s="33">
        <f>IFERROR(__xludf.DUMMYFUNCTION("""COMPUTED_VALUE"""),0.375)</f>
        <v>0.375</v>
      </c>
      <c r="S922" s="4" t="str">
        <f>IFERROR(__xludf.DUMMYFUNCTION("""COMPUTED_VALUE"""),"Anota Ai Solucoes Digitais S/a")</f>
        <v>Anota Ai Solucoes Digitais S/a</v>
      </c>
      <c r="T922" s="33">
        <f>IFERROR(__xludf.DUMMYFUNCTION("""COMPUTED_VALUE"""),0.5)</f>
        <v>0.5</v>
      </c>
      <c r="U922" s="4" t="str">
        <f>IFERROR(__xludf.DUMMYFUNCTION("""COMPUTED_VALUE"""),"Anota Ai Solucoes Digitais S/a")</f>
        <v>Anota Ai Solucoes Digitais S/a</v>
      </c>
      <c r="V922" s="33">
        <f>IFERROR(__xludf.DUMMYFUNCTION("""COMPUTED_VALUE"""),0.5)</f>
        <v>0.5</v>
      </c>
      <c r="W922" s="4" t="str">
        <f>IFERROR(__xludf.DUMMYFUNCTION("""COMPUTED_VALUE"""),"Anota Ai Solucoes Digitais S/a")</f>
        <v>Anota Ai Solucoes Digitais S/a</v>
      </c>
      <c r="X922" s="33">
        <f>IFERROR(__xludf.DUMMYFUNCTION("""COMPUTED_VALUE"""),0.5)</f>
        <v>0.5</v>
      </c>
    </row>
    <row r="923">
      <c r="K923" s="4" t="str">
        <f>IFERROR(__xludf.DUMMYFUNCTION("""COMPUTED_VALUE"""),"079 HAMBURGUERIA")</f>
        <v>079 HAMBURGUERIA</v>
      </c>
      <c r="L923" s="32">
        <f>IFERROR(__xludf.DUMMYFUNCTION("""COMPUTED_VALUE"""),8.0)</f>
        <v>8</v>
      </c>
      <c r="M923" s="4" t="str">
        <f>IFERROR(__xludf.DUMMYFUNCTION("""COMPUTED_VALUE"""),"Consumer Soluções Em Tecnologia Ltda")</f>
        <v>Consumer Soluções Em Tecnologia Ltda</v>
      </c>
      <c r="N923" s="33">
        <f>IFERROR(__xludf.DUMMYFUNCTION("""COMPUTED_VALUE"""),0.625)</f>
        <v>0.625</v>
      </c>
      <c r="O923" s="4" t="str">
        <f>IFERROR(__xludf.DUMMYFUNCTION("""COMPUTED_VALUE"""),"Consumer Soluções Em Tecnologia Ltda")</f>
        <v>Consumer Soluções Em Tecnologia Ltda</v>
      </c>
      <c r="P923" s="33">
        <f>IFERROR(__xludf.DUMMYFUNCTION("""COMPUTED_VALUE"""),0.625)</f>
        <v>0.625</v>
      </c>
      <c r="Q923" s="4" t="str">
        <f>IFERROR(__xludf.DUMMYFUNCTION("""COMPUTED_VALUE"""),"Consumer Soluções Em Tecnologia Ltda")</f>
        <v>Consumer Soluções Em Tecnologia Ltda</v>
      </c>
      <c r="R923" s="33">
        <f>IFERROR(__xludf.DUMMYFUNCTION("""COMPUTED_VALUE"""),0.75)</f>
        <v>0.75</v>
      </c>
      <c r="S923" s="4" t="str">
        <f>IFERROR(__xludf.DUMMYFUNCTION("""COMPUTED_VALUE"""),"Consumer Soluções Em Tecnologia Ltda")</f>
        <v>Consumer Soluções Em Tecnologia Ltda</v>
      </c>
      <c r="T923" s="33">
        <f>IFERROR(__xludf.DUMMYFUNCTION("""COMPUTED_VALUE"""),0.875)</f>
        <v>0.875</v>
      </c>
      <c r="U923" s="4" t="str">
        <f>IFERROR(__xludf.DUMMYFUNCTION("""COMPUTED_VALUE"""),"Consumer Soluções Em Tecnologia Ltda")</f>
        <v>Consumer Soluções Em Tecnologia Ltda</v>
      </c>
      <c r="V923" s="33">
        <f>IFERROR(__xludf.DUMMYFUNCTION("""COMPUTED_VALUE"""),0.875)</f>
        <v>0.875</v>
      </c>
      <c r="W923" s="4" t="str">
        <f>IFERROR(__xludf.DUMMYFUNCTION("""COMPUTED_VALUE"""),"Consumer Soluções Em Tecnologia Ltda")</f>
        <v>Consumer Soluções Em Tecnologia Ltda</v>
      </c>
      <c r="X923" s="33">
        <f>IFERROR(__xludf.DUMMYFUNCTION("""COMPUTED_VALUE"""),1.0)</f>
        <v>1</v>
      </c>
    </row>
    <row r="924">
      <c r="K924" s="4" t="str">
        <f>IFERROR(__xludf.DUMMYFUNCTION("""COMPUTED_VALUE"""),"ACADEMIA DO BURGUER")</f>
        <v>ACADEMIA DO BURGUER</v>
      </c>
      <c r="L924" s="32">
        <f>IFERROR(__xludf.DUMMYFUNCTION("""COMPUTED_VALUE"""),8.0)</f>
        <v>8</v>
      </c>
      <c r="M924" s="4" t="str">
        <f>IFERROR(__xludf.DUMMYFUNCTION("""COMPUTED_VALUE"""),"Mp Multipedidos")</f>
        <v>Mp Multipedidos</v>
      </c>
      <c r="N924" s="33">
        <f>IFERROR(__xludf.DUMMYFUNCTION("""COMPUTED_VALUE"""),0.875)</f>
        <v>0.875</v>
      </c>
      <c r="O924" s="4" t="str">
        <f>IFERROR(__xludf.DUMMYFUNCTION("""COMPUTED_VALUE"""),"Mp Multipedidos")</f>
        <v>Mp Multipedidos</v>
      </c>
      <c r="P924" s="33">
        <f>IFERROR(__xludf.DUMMYFUNCTION("""COMPUTED_VALUE"""),0.875)</f>
        <v>0.875</v>
      </c>
      <c r="Q924" s="4" t="str">
        <f>IFERROR(__xludf.DUMMYFUNCTION("""COMPUTED_VALUE"""),"Mp Multipedidos")</f>
        <v>Mp Multipedidos</v>
      </c>
      <c r="R924" s="33">
        <f>IFERROR(__xludf.DUMMYFUNCTION("""COMPUTED_VALUE"""),0.875)</f>
        <v>0.875</v>
      </c>
      <c r="S924" s="4" t="str">
        <f>IFERROR(__xludf.DUMMYFUNCTION("""COMPUTED_VALUE"""),"Mp Multipedidos")</f>
        <v>Mp Multipedidos</v>
      </c>
      <c r="T924" s="33">
        <f>IFERROR(__xludf.DUMMYFUNCTION("""COMPUTED_VALUE"""),0.875)</f>
        <v>0.875</v>
      </c>
      <c r="U924" s="4" t="str">
        <f>IFERROR(__xludf.DUMMYFUNCTION("""COMPUTED_VALUE"""),"Mp Multipedidos")</f>
        <v>Mp Multipedidos</v>
      </c>
      <c r="V924" s="33">
        <f>IFERROR(__xludf.DUMMYFUNCTION("""COMPUTED_VALUE"""),1.0)</f>
        <v>1</v>
      </c>
      <c r="W924" s="4" t="str">
        <f>IFERROR(__xludf.DUMMYFUNCTION("""COMPUTED_VALUE"""),"Mp Multipedidos")</f>
        <v>Mp Multipedidos</v>
      </c>
      <c r="X924" s="33">
        <f>IFERROR(__xludf.DUMMYFUNCTION("""COMPUTED_VALUE"""),0.75)</f>
        <v>0.75</v>
      </c>
    </row>
    <row r="925">
      <c r="K925" s="4" t="str">
        <f>IFERROR(__xludf.DUMMYFUNCTION("""COMPUTED_VALUE"""),"GRUPO ADEGA")</f>
        <v>GRUPO ADEGA</v>
      </c>
      <c r="L925" s="32">
        <f>IFERROR(__xludf.DUMMYFUNCTION("""COMPUTED_VALUE"""),8.0)</f>
        <v>8</v>
      </c>
      <c r="M925" s="4" t="str">
        <f>IFERROR(__xludf.DUMMYFUNCTION("""COMPUTED_VALUE"""),"Menew - Linx")</f>
        <v>Menew - Linx</v>
      </c>
      <c r="N925" s="33">
        <f>IFERROR(__xludf.DUMMYFUNCTION("""COMPUTED_VALUE"""),0.75)</f>
        <v>0.75</v>
      </c>
      <c r="O925" s="4" t="str">
        <f>IFERROR(__xludf.DUMMYFUNCTION("""COMPUTED_VALUE"""),"Menew - Linx")</f>
        <v>Menew - Linx</v>
      </c>
      <c r="P925" s="33">
        <f>IFERROR(__xludf.DUMMYFUNCTION("""COMPUTED_VALUE"""),0.75)</f>
        <v>0.75</v>
      </c>
      <c r="Q925" s="4" t="str">
        <f>IFERROR(__xludf.DUMMYFUNCTION("""COMPUTED_VALUE"""),"Menew - Linx")</f>
        <v>Menew - Linx</v>
      </c>
      <c r="R925" s="33">
        <f>IFERROR(__xludf.DUMMYFUNCTION("""COMPUTED_VALUE"""),0.75)</f>
        <v>0.75</v>
      </c>
      <c r="S925" s="4" t="str">
        <f>IFERROR(__xludf.DUMMYFUNCTION("""COMPUTED_VALUE"""),"Menew - Linx")</f>
        <v>Menew - Linx</v>
      </c>
      <c r="T925" s="33">
        <f>IFERROR(__xludf.DUMMYFUNCTION("""COMPUTED_VALUE"""),0.75)</f>
        <v>0.75</v>
      </c>
      <c r="U925" s="4" t="str">
        <f>IFERROR(__xludf.DUMMYFUNCTION("""COMPUTED_VALUE"""),"Menew - Linx")</f>
        <v>Menew - Linx</v>
      </c>
      <c r="V925" s="33">
        <f>IFERROR(__xludf.DUMMYFUNCTION("""COMPUTED_VALUE"""),1.0)</f>
        <v>1</v>
      </c>
      <c r="W925" s="4" t="str">
        <f>IFERROR(__xludf.DUMMYFUNCTION("""COMPUTED_VALUE"""),"Menew - Linx")</f>
        <v>Menew - Linx</v>
      </c>
      <c r="X925" s="33">
        <f>IFERROR(__xludf.DUMMYFUNCTION("""COMPUTED_VALUE"""),1.0)</f>
        <v>1</v>
      </c>
    </row>
    <row r="926">
      <c r="K926" s="4" t="str">
        <f>IFERROR(__xludf.DUMMYFUNCTION("""COMPUTED_VALUE"""),"AL ALI - FAST FOOD ARABE - UBERLANDIA")</f>
        <v>AL ALI - FAST FOOD ARABE - UBERLANDIA</v>
      </c>
      <c r="L926" s="32">
        <f>IFERROR(__xludf.DUMMYFUNCTION("""COMPUTED_VALUE"""),8.0)</f>
        <v>8</v>
      </c>
      <c r="M926" s="4" t="str">
        <f>IFERROR(__xludf.DUMMYFUNCTION("""COMPUTED_VALUE"""),"null")</f>
        <v>null</v>
      </c>
      <c r="N926" s="33">
        <f>IFERROR(__xludf.DUMMYFUNCTION("""COMPUTED_VALUE"""),0.875)</f>
        <v>0.875</v>
      </c>
      <c r="O926" s="4" t="str">
        <f>IFERROR(__xludf.DUMMYFUNCTION("""COMPUTED_VALUE"""),"Anota Ai Solucoes Digitais S/a")</f>
        <v>Anota Ai Solucoes Digitais S/a</v>
      </c>
      <c r="P926" s="33">
        <f>IFERROR(__xludf.DUMMYFUNCTION("""COMPUTED_VALUE"""),0.625)</f>
        <v>0.625</v>
      </c>
      <c r="Q926" s="4" t="str">
        <f>IFERROR(__xludf.DUMMYFUNCTION("""COMPUTED_VALUE"""),"Anota Ai Solucoes Digitais S/a")</f>
        <v>Anota Ai Solucoes Digitais S/a</v>
      </c>
      <c r="R926" s="33">
        <f>IFERROR(__xludf.DUMMYFUNCTION("""COMPUTED_VALUE"""),0.75)</f>
        <v>0.75</v>
      </c>
      <c r="S926" s="4" t="str">
        <f>IFERROR(__xludf.DUMMYFUNCTION("""COMPUTED_VALUE"""),"Anota Ai Solucoes Digitais S/a")</f>
        <v>Anota Ai Solucoes Digitais S/a</v>
      </c>
      <c r="T926" s="33">
        <f>IFERROR(__xludf.DUMMYFUNCTION("""COMPUTED_VALUE"""),0.75)</f>
        <v>0.75</v>
      </c>
      <c r="U926" s="4" t="str">
        <f>IFERROR(__xludf.DUMMYFUNCTION("""COMPUTED_VALUE"""),"Anota Ai Solucoes Digitais S/a")</f>
        <v>Anota Ai Solucoes Digitais S/a</v>
      </c>
      <c r="V926" s="33">
        <f>IFERROR(__xludf.DUMMYFUNCTION("""COMPUTED_VALUE"""),0.75)</f>
        <v>0.75</v>
      </c>
      <c r="W926" s="4" t="str">
        <f>IFERROR(__xludf.DUMMYFUNCTION("""COMPUTED_VALUE"""),"Anota Ai Solucoes Digitais S/a")</f>
        <v>Anota Ai Solucoes Digitais S/a</v>
      </c>
      <c r="X926" s="33">
        <f>IFERROR(__xludf.DUMMYFUNCTION("""COMPUTED_VALUE"""),0.625)</f>
        <v>0.625</v>
      </c>
    </row>
    <row r="927">
      <c r="K927" s="4" t="str">
        <f>IFERROR(__xludf.DUMMYFUNCTION("""COMPUTED_VALUE"""),"GRUPO ANDIAMO")</f>
        <v>GRUPO ANDIAMO</v>
      </c>
      <c r="L927" s="32">
        <f>IFERROR(__xludf.DUMMYFUNCTION("""COMPUTED_VALUE"""),8.0)</f>
        <v>8</v>
      </c>
      <c r="M927" s="4" t="str">
        <f>IFERROR(__xludf.DUMMYFUNCTION("""COMPUTED_VALUE"""),"Ncr")</f>
        <v>Ncr</v>
      </c>
      <c r="N927" s="33">
        <f>IFERROR(__xludf.DUMMYFUNCTION("""COMPUTED_VALUE"""),1.0)</f>
        <v>1</v>
      </c>
      <c r="O927" s="4" t="str">
        <f>IFERROR(__xludf.DUMMYFUNCTION("""COMPUTED_VALUE"""),"Ncr")</f>
        <v>Ncr</v>
      </c>
      <c r="P927" s="33">
        <f>IFERROR(__xludf.DUMMYFUNCTION("""COMPUTED_VALUE"""),1.0)</f>
        <v>1</v>
      </c>
      <c r="Q927" s="4" t="str">
        <f>IFERROR(__xludf.DUMMYFUNCTION("""COMPUTED_VALUE"""),"Ncr")</f>
        <v>Ncr</v>
      </c>
      <c r="R927" s="33">
        <f>IFERROR(__xludf.DUMMYFUNCTION("""COMPUTED_VALUE"""),0.875)</f>
        <v>0.875</v>
      </c>
      <c r="S927" s="4" t="str">
        <f>IFERROR(__xludf.DUMMYFUNCTION("""COMPUTED_VALUE"""),"Ncr")</f>
        <v>Ncr</v>
      </c>
      <c r="T927" s="33">
        <f>IFERROR(__xludf.DUMMYFUNCTION("""COMPUTED_VALUE"""),0.875)</f>
        <v>0.875</v>
      </c>
      <c r="U927" s="4" t="str">
        <f>IFERROR(__xludf.DUMMYFUNCTION("""COMPUTED_VALUE"""),"Ncr")</f>
        <v>Ncr</v>
      </c>
      <c r="V927" s="33">
        <f>IFERROR(__xludf.DUMMYFUNCTION("""COMPUTED_VALUE"""),0.875)</f>
        <v>0.875</v>
      </c>
      <c r="W927" s="4" t="str">
        <f>IFERROR(__xludf.DUMMYFUNCTION("""COMPUTED_VALUE"""),"Ncr")</f>
        <v>Ncr</v>
      </c>
      <c r="X927" s="33">
        <f>IFERROR(__xludf.DUMMYFUNCTION("""COMPUTED_VALUE"""),0.875)</f>
        <v>0.875</v>
      </c>
    </row>
    <row r="928">
      <c r="K928" s="4" t="str">
        <f>IFERROR(__xludf.DUMMYFUNCTION("""COMPUTED_VALUE"""),"ANDIAMO")</f>
        <v>ANDIAMO</v>
      </c>
      <c r="L928" s="32">
        <f>IFERROR(__xludf.DUMMYFUNCTION("""COMPUTED_VALUE"""),8.0)</f>
        <v>8</v>
      </c>
      <c r="M928" s="4" t="str">
        <f>IFERROR(__xludf.DUMMYFUNCTION("""COMPUTED_VALUE"""),"Ncr")</f>
        <v>Ncr</v>
      </c>
      <c r="N928" s="33">
        <f>IFERROR(__xludf.DUMMYFUNCTION("""COMPUTED_VALUE"""),1.0)</f>
        <v>1</v>
      </c>
      <c r="O928" s="4" t="str">
        <f>IFERROR(__xludf.DUMMYFUNCTION("""COMPUTED_VALUE"""),"Ncr")</f>
        <v>Ncr</v>
      </c>
      <c r="P928" s="33">
        <f>IFERROR(__xludf.DUMMYFUNCTION("""COMPUTED_VALUE"""),1.0)</f>
        <v>1</v>
      </c>
      <c r="Q928" s="4" t="str">
        <f>IFERROR(__xludf.DUMMYFUNCTION("""COMPUTED_VALUE"""),"Ncr")</f>
        <v>Ncr</v>
      </c>
      <c r="R928" s="33">
        <f>IFERROR(__xludf.DUMMYFUNCTION("""COMPUTED_VALUE"""),0.875)</f>
        <v>0.875</v>
      </c>
      <c r="S928" s="4" t="str">
        <f>IFERROR(__xludf.DUMMYFUNCTION("""COMPUTED_VALUE"""),"Ncr")</f>
        <v>Ncr</v>
      </c>
      <c r="T928" s="33">
        <f>IFERROR(__xludf.DUMMYFUNCTION("""COMPUTED_VALUE"""),0.875)</f>
        <v>0.875</v>
      </c>
      <c r="U928" s="4" t="str">
        <f>IFERROR(__xludf.DUMMYFUNCTION("""COMPUTED_VALUE"""),"Ncr")</f>
        <v>Ncr</v>
      </c>
      <c r="V928" s="33">
        <f>IFERROR(__xludf.DUMMYFUNCTION("""COMPUTED_VALUE"""),0.875)</f>
        <v>0.875</v>
      </c>
      <c r="W928" s="4" t="str">
        <f>IFERROR(__xludf.DUMMYFUNCTION("""COMPUTED_VALUE"""),"Ncr")</f>
        <v>Ncr</v>
      </c>
      <c r="X928" s="33">
        <f>IFERROR(__xludf.DUMMYFUNCTION("""COMPUTED_VALUE"""),0.875)</f>
        <v>0.875</v>
      </c>
    </row>
    <row r="929">
      <c r="K929" s="4" t="str">
        <f>IFERROR(__xludf.DUMMYFUNCTION("""COMPUTED_VALUE"""),"GRUPO MORI ART")</f>
        <v>GRUPO MORI ART</v>
      </c>
      <c r="L929" s="32">
        <f>IFERROR(__xludf.DUMMYFUNCTION("""COMPUTED_VALUE"""),8.0)</f>
        <v>8</v>
      </c>
      <c r="M929" s="4" t="str">
        <f>IFERROR(__xludf.DUMMYFUNCTION("""COMPUTED_VALUE"""),"Eclética Tecnologia")</f>
        <v>Eclética Tecnologia</v>
      </c>
      <c r="N929" s="33">
        <f>IFERROR(__xludf.DUMMYFUNCTION("""COMPUTED_VALUE"""),0.625)</f>
        <v>0.625</v>
      </c>
      <c r="O929" s="4" t="str">
        <f>IFERROR(__xludf.DUMMYFUNCTION("""COMPUTED_VALUE"""),"Eclética Tecnologia")</f>
        <v>Eclética Tecnologia</v>
      </c>
      <c r="P929" s="33">
        <f>IFERROR(__xludf.DUMMYFUNCTION("""COMPUTED_VALUE"""),0.75)</f>
        <v>0.75</v>
      </c>
      <c r="Q929" s="4" t="str">
        <f>IFERROR(__xludf.DUMMYFUNCTION("""COMPUTED_VALUE"""),"Eclética Tecnologia")</f>
        <v>Eclética Tecnologia</v>
      </c>
      <c r="R929" s="33">
        <f>IFERROR(__xludf.DUMMYFUNCTION("""COMPUTED_VALUE"""),0.625)</f>
        <v>0.625</v>
      </c>
      <c r="S929" s="4" t="str">
        <f>IFERROR(__xludf.DUMMYFUNCTION("""COMPUTED_VALUE"""),"Eclética Tecnologia")</f>
        <v>Eclética Tecnologia</v>
      </c>
      <c r="T929" s="33">
        <f>IFERROR(__xludf.DUMMYFUNCTION("""COMPUTED_VALUE"""),0.625)</f>
        <v>0.625</v>
      </c>
      <c r="U929" s="4" t="str">
        <f>IFERROR(__xludf.DUMMYFUNCTION("""COMPUTED_VALUE"""),"Eclética Tecnologia")</f>
        <v>Eclética Tecnologia</v>
      </c>
      <c r="V929" s="33">
        <f>IFERROR(__xludf.DUMMYFUNCTION("""COMPUTED_VALUE"""),0.625)</f>
        <v>0.625</v>
      </c>
      <c r="W929" s="4" t="str">
        <f>IFERROR(__xludf.DUMMYFUNCTION("""COMPUTED_VALUE"""),"Eclética Tecnologia")</f>
        <v>Eclética Tecnologia</v>
      </c>
      <c r="X929" s="33">
        <f>IFERROR(__xludf.DUMMYFUNCTION("""COMPUTED_VALUE"""),0.5)</f>
        <v>0.5</v>
      </c>
    </row>
    <row r="930">
      <c r="K930" s="4" t="str">
        <f>IFERROR(__xludf.DUMMYFUNCTION("""COMPUTED_VALUE"""),"ATILLIO")</f>
        <v>ATILLIO</v>
      </c>
      <c r="L930" s="32">
        <f>IFERROR(__xludf.DUMMYFUNCTION("""COMPUTED_VALUE"""),8.0)</f>
        <v>8</v>
      </c>
      <c r="M930" s="4" t="str">
        <f>IFERROR(__xludf.DUMMYFUNCTION("""COMPUTED_VALUE"""),"Saipos Serviços De Software")</f>
        <v>Saipos Serviços De Software</v>
      </c>
      <c r="N930" s="33">
        <f>IFERROR(__xludf.DUMMYFUNCTION("""COMPUTED_VALUE"""),0.875)</f>
        <v>0.875</v>
      </c>
      <c r="O930" s="4" t="str">
        <f>IFERROR(__xludf.DUMMYFUNCTION("""COMPUTED_VALUE"""),"Saipos Serviços De Software")</f>
        <v>Saipos Serviços De Software</v>
      </c>
      <c r="P930" s="33">
        <f>IFERROR(__xludf.DUMMYFUNCTION("""COMPUTED_VALUE"""),0.875)</f>
        <v>0.875</v>
      </c>
      <c r="Q930" s="4" t="str">
        <f>IFERROR(__xludf.DUMMYFUNCTION("""COMPUTED_VALUE"""),"Saipos Serviços De Software")</f>
        <v>Saipos Serviços De Software</v>
      </c>
      <c r="R930" s="33">
        <f>IFERROR(__xludf.DUMMYFUNCTION("""COMPUTED_VALUE"""),0.875)</f>
        <v>0.875</v>
      </c>
      <c r="S930" s="4" t="str">
        <f>IFERROR(__xludf.DUMMYFUNCTION("""COMPUTED_VALUE"""),"Saipos Serviços De Software")</f>
        <v>Saipos Serviços De Software</v>
      </c>
      <c r="T930" s="33">
        <f>IFERROR(__xludf.DUMMYFUNCTION("""COMPUTED_VALUE"""),1.0)</f>
        <v>1</v>
      </c>
      <c r="U930" s="4" t="str">
        <f>IFERROR(__xludf.DUMMYFUNCTION("""COMPUTED_VALUE"""),"Saipos Serviços De Software")</f>
        <v>Saipos Serviços De Software</v>
      </c>
      <c r="V930" s="33">
        <f>IFERROR(__xludf.DUMMYFUNCTION("""COMPUTED_VALUE"""),1.0)</f>
        <v>1</v>
      </c>
      <c r="W930" s="4" t="str">
        <f>IFERROR(__xludf.DUMMYFUNCTION("""COMPUTED_VALUE"""),"Saipos Serviços De Software")</f>
        <v>Saipos Serviços De Software</v>
      </c>
      <c r="X930" s="33">
        <f>IFERROR(__xludf.DUMMYFUNCTION("""COMPUTED_VALUE"""),0.625)</f>
        <v>0.625</v>
      </c>
    </row>
    <row r="931">
      <c r="K931" s="4" t="str">
        <f>IFERROR(__xludf.DUMMYFUNCTION("""COMPUTED_VALUE"""),"AUSSIE")</f>
        <v>AUSSIE</v>
      </c>
      <c r="L931" s="32">
        <f>IFERROR(__xludf.DUMMYFUNCTION("""COMPUTED_VALUE"""),8.0)</f>
        <v>8</v>
      </c>
      <c r="M931" s="4" t="str">
        <f>IFERROR(__xludf.DUMMYFUNCTION("""COMPUTED_VALUE"""),"Bitbar")</f>
        <v>Bitbar</v>
      </c>
      <c r="N931" s="33">
        <f>IFERROR(__xludf.DUMMYFUNCTION("""COMPUTED_VALUE"""),1.0)</f>
        <v>1</v>
      </c>
      <c r="O931" s="4" t="str">
        <f>IFERROR(__xludf.DUMMYFUNCTION("""COMPUTED_VALUE"""),"Bitbar")</f>
        <v>Bitbar</v>
      </c>
      <c r="P931" s="33">
        <f>IFERROR(__xludf.DUMMYFUNCTION("""COMPUTED_VALUE"""),0.5)</f>
        <v>0.5</v>
      </c>
      <c r="Q931" s="4" t="str">
        <f>IFERROR(__xludf.DUMMYFUNCTION("""COMPUTED_VALUE"""),"null")</f>
        <v>null</v>
      </c>
      <c r="R931" s="33">
        <f>IFERROR(__xludf.DUMMYFUNCTION("""COMPUTED_VALUE"""),0.75)</f>
        <v>0.75</v>
      </c>
      <c r="S931" s="4" t="str">
        <f>IFERROR(__xludf.DUMMYFUNCTION("""COMPUTED_VALUE"""),"null")</f>
        <v>null</v>
      </c>
      <c r="T931" s="33">
        <f>IFERROR(__xludf.DUMMYFUNCTION("""COMPUTED_VALUE"""),1.0)</f>
        <v>1</v>
      </c>
      <c r="U931" s="4" t="str">
        <f>IFERROR(__xludf.DUMMYFUNCTION("""COMPUTED_VALUE"""),"null")</f>
        <v>null</v>
      </c>
      <c r="V931" s="33">
        <f>IFERROR(__xludf.DUMMYFUNCTION("""COMPUTED_VALUE"""),0.75)</f>
        <v>0.75</v>
      </c>
      <c r="W931" s="4" t="str">
        <f>IFERROR(__xludf.DUMMYFUNCTION("""COMPUTED_VALUE"""),"null")</f>
        <v>null</v>
      </c>
      <c r="X931" s="33">
        <f>IFERROR(__xludf.DUMMYFUNCTION("""COMPUTED_VALUE"""),0.75)</f>
        <v>0.75</v>
      </c>
    </row>
    <row r="932">
      <c r="K932" s="4" t="str">
        <f>IFERROR(__xludf.DUMMYFUNCTION("""COMPUTED_VALUE"""),"BABBO GIOVANNI - CONTA MARCA")</f>
        <v>BABBO GIOVANNI - CONTA MARCA</v>
      </c>
      <c r="L932" s="32">
        <f>IFERROR(__xludf.DUMMYFUNCTION("""COMPUTED_VALUE"""),8.0)</f>
        <v>8</v>
      </c>
      <c r="M932" s="4" t="str">
        <f>IFERROR(__xludf.DUMMYFUNCTION("""COMPUTED_VALUE"""),"Eclética Tecnologia")</f>
        <v>Eclética Tecnologia</v>
      </c>
      <c r="N932" s="33">
        <f>IFERROR(__xludf.DUMMYFUNCTION("""COMPUTED_VALUE"""),0.5)</f>
        <v>0.5</v>
      </c>
      <c r="O932" s="4" t="str">
        <f>IFERROR(__xludf.DUMMYFUNCTION("""COMPUTED_VALUE"""),"Eclética Tecnologia")</f>
        <v>Eclética Tecnologia</v>
      </c>
      <c r="P932" s="33">
        <f>IFERROR(__xludf.DUMMYFUNCTION("""COMPUTED_VALUE"""),0.5)</f>
        <v>0.5</v>
      </c>
      <c r="Q932" s="4" t="str">
        <f>IFERROR(__xludf.DUMMYFUNCTION("""COMPUTED_VALUE"""),"Eclética Tecnologia")</f>
        <v>Eclética Tecnologia</v>
      </c>
      <c r="R932" s="33">
        <f>IFERROR(__xludf.DUMMYFUNCTION("""COMPUTED_VALUE"""),0.5)</f>
        <v>0.5</v>
      </c>
      <c r="S932" s="4" t="str">
        <f>IFERROR(__xludf.DUMMYFUNCTION("""COMPUTED_VALUE"""),"Latech Informatica Ltda")</f>
        <v>Latech Informatica Ltda</v>
      </c>
      <c r="T932" s="33">
        <f>IFERROR(__xludf.DUMMYFUNCTION("""COMPUTED_VALUE"""),0.5)</f>
        <v>0.5</v>
      </c>
      <c r="U932" s="4" t="str">
        <f>IFERROR(__xludf.DUMMYFUNCTION("""COMPUTED_VALUE"""),"Eclética Tecnologia")</f>
        <v>Eclética Tecnologia</v>
      </c>
      <c r="V932" s="33">
        <f>IFERROR(__xludf.DUMMYFUNCTION("""COMPUTED_VALUE"""),0.5)</f>
        <v>0.5</v>
      </c>
      <c r="W932" s="4" t="str">
        <f>IFERROR(__xludf.DUMMYFUNCTION("""COMPUTED_VALUE"""),"Latech Informatica Ltda")</f>
        <v>Latech Informatica Ltda</v>
      </c>
      <c r="X932" s="33">
        <f>IFERROR(__xludf.DUMMYFUNCTION("""COMPUTED_VALUE"""),0.5)</f>
        <v>0.5</v>
      </c>
    </row>
    <row r="933">
      <c r="K933" s="4" t="str">
        <f>IFERROR(__xludf.DUMMYFUNCTION("""COMPUTED_VALUE"""),"BAHREM")</f>
        <v>BAHREM</v>
      </c>
      <c r="L933" s="32">
        <f>IFERROR(__xludf.DUMMYFUNCTION("""COMPUTED_VALUE"""),8.0)</f>
        <v>8</v>
      </c>
      <c r="M933" s="4" t="str">
        <f>IFERROR(__xludf.DUMMYFUNCTION("""COMPUTED_VALUE"""),"null")</f>
        <v>null</v>
      </c>
      <c r="N933" s="33">
        <f>IFERROR(__xludf.DUMMYFUNCTION("""COMPUTED_VALUE"""),0.625)</f>
        <v>0.625</v>
      </c>
      <c r="O933" s="4" t="str">
        <f>IFERROR(__xludf.DUMMYFUNCTION("""COMPUTED_VALUE"""),"null")</f>
        <v>null</v>
      </c>
      <c r="P933" s="33">
        <f>IFERROR(__xludf.DUMMYFUNCTION("""COMPUTED_VALUE"""),0.625)</f>
        <v>0.625</v>
      </c>
      <c r="Q933" s="4" t="str">
        <f>IFERROR(__xludf.DUMMYFUNCTION("""COMPUTED_VALUE"""),"null")</f>
        <v>null</v>
      </c>
      <c r="R933" s="33">
        <f>IFERROR(__xludf.DUMMYFUNCTION("""COMPUTED_VALUE"""),0.625)</f>
        <v>0.625</v>
      </c>
      <c r="S933" s="4" t="str">
        <f>IFERROR(__xludf.DUMMYFUNCTION("""COMPUTED_VALUE"""),"null")</f>
        <v>null</v>
      </c>
      <c r="T933" s="33">
        <f>IFERROR(__xludf.DUMMYFUNCTION("""COMPUTED_VALUE"""),0.625)</f>
        <v>0.625</v>
      </c>
      <c r="U933" s="4" t="str">
        <f>IFERROR(__xludf.DUMMYFUNCTION("""COMPUTED_VALUE"""),"Ncr")</f>
        <v>Ncr</v>
      </c>
      <c r="V933" s="33">
        <f>IFERROR(__xludf.DUMMYFUNCTION("""COMPUTED_VALUE"""),0.75)</f>
        <v>0.75</v>
      </c>
      <c r="W933" s="4" t="str">
        <f>IFERROR(__xludf.DUMMYFUNCTION("""COMPUTED_VALUE"""),"Ncr")</f>
        <v>Ncr</v>
      </c>
      <c r="X933" s="33">
        <f>IFERROR(__xludf.DUMMYFUNCTION("""COMPUTED_VALUE"""),1.0)</f>
        <v>1</v>
      </c>
    </row>
    <row r="934">
      <c r="K934" s="4" t="str">
        <f>IFERROR(__xludf.DUMMYFUNCTION("""COMPUTED_VALUE"""),"BERCY VILLAGE")</f>
        <v>BERCY VILLAGE</v>
      </c>
      <c r="L934" s="32">
        <f>IFERROR(__xludf.DUMMYFUNCTION("""COMPUTED_VALUE"""),8.0)</f>
        <v>8</v>
      </c>
      <c r="M934" s="4" t="str">
        <f>IFERROR(__xludf.DUMMYFUNCTION("""COMPUTED_VALUE"""),"Stone Co.")</f>
        <v>Stone Co.</v>
      </c>
      <c r="N934" s="33">
        <f>IFERROR(__xludf.DUMMYFUNCTION("""COMPUTED_VALUE"""),1.0)</f>
        <v>1</v>
      </c>
      <c r="O934" s="4" t="str">
        <f>IFERROR(__xludf.DUMMYFUNCTION("""COMPUTED_VALUE"""),"Stone Co.")</f>
        <v>Stone Co.</v>
      </c>
      <c r="P934" s="33">
        <f>IFERROR(__xludf.DUMMYFUNCTION("""COMPUTED_VALUE"""),1.0)</f>
        <v>1</v>
      </c>
      <c r="Q934" s="4" t="str">
        <f>IFERROR(__xludf.DUMMYFUNCTION("""COMPUTED_VALUE"""),"Stone Co.")</f>
        <v>Stone Co.</v>
      </c>
      <c r="R934" s="33">
        <f>IFERROR(__xludf.DUMMYFUNCTION("""COMPUTED_VALUE"""),1.0)</f>
        <v>1</v>
      </c>
      <c r="S934" s="4" t="str">
        <f>IFERROR(__xludf.DUMMYFUNCTION("""COMPUTED_VALUE"""),"Stone Co.")</f>
        <v>Stone Co.</v>
      </c>
      <c r="T934" s="33">
        <f>IFERROR(__xludf.DUMMYFUNCTION("""COMPUTED_VALUE"""),1.0)</f>
        <v>1</v>
      </c>
      <c r="U934" s="4" t="str">
        <f>IFERROR(__xludf.DUMMYFUNCTION("""COMPUTED_VALUE"""),"Stone Co.")</f>
        <v>Stone Co.</v>
      </c>
      <c r="V934" s="33">
        <f>IFERROR(__xludf.DUMMYFUNCTION("""COMPUTED_VALUE"""),1.0)</f>
        <v>1</v>
      </c>
      <c r="W934" s="4" t="str">
        <f>IFERROR(__xludf.DUMMYFUNCTION("""COMPUTED_VALUE"""),"Stone Co.")</f>
        <v>Stone Co.</v>
      </c>
      <c r="X934" s="33">
        <f>IFERROR(__xludf.DUMMYFUNCTION("""COMPUTED_VALUE"""),1.0)</f>
        <v>1</v>
      </c>
    </row>
    <row r="935">
      <c r="K935" s="4" t="str">
        <f>IFERROR(__xludf.DUMMYFUNCTION("""COMPUTED_VALUE"""),"BONANZA SUPERMERCADOS - CONTA PAI")</f>
        <v>BONANZA SUPERMERCADOS - CONTA PAI</v>
      </c>
      <c r="L935" s="32">
        <f>IFERROR(__xludf.DUMMYFUNCTION("""COMPUTED_VALUE"""),8.0)</f>
        <v>8</v>
      </c>
      <c r="M935" s="4" t="str">
        <f>IFERROR(__xludf.DUMMYFUNCTION("""COMPUTED_VALUE"""),"N/A (Not found)")</f>
        <v>N/A (Not found)</v>
      </c>
      <c r="N935" s="33">
        <f>IFERROR(__xludf.DUMMYFUNCTION("""COMPUTED_VALUE"""),1.0)</f>
        <v>1</v>
      </c>
      <c r="O935" s="4" t="str">
        <f>IFERROR(__xludf.DUMMYFUNCTION("""COMPUTED_VALUE"""),"N/A (Not found)")</f>
        <v>N/A (Not found)</v>
      </c>
      <c r="P935" s="33">
        <f>IFERROR(__xludf.DUMMYFUNCTION("""COMPUTED_VALUE"""),1.0)</f>
        <v>1</v>
      </c>
      <c r="Q935" s="4" t="str">
        <f>IFERROR(__xludf.DUMMYFUNCTION("""COMPUTED_VALUE"""),"N/A (Not found)")</f>
        <v>N/A (Not found)</v>
      </c>
      <c r="R935" s="33">
        <f>IFERROR(__xludf.DUMMYFUNCTION("""COMPUTED_VALUE"""),1.0)</f>
        <v>1</v>
      </c>
      <c r="S935" s="4" t="str">
        <f>IFERROR(__xludf.DUMMYFUNCTION("""COMPUTED_VALUE"""),"N/A (Not found)")</f>
        <v>N/A (Not found)</v>
      </c>
      <c r="T935" s="33">
        <f>IFERROR(__xludf.DUMMYFUNCTION("""COMPUTED_VALUE"""),1.0)</f>
        <v>1</v>
      </c>
      <c r="U935" s="4" t="str">
        <f>IFERROR(__xludf.DUMMYFUNCTION("""COMPUTED_VALUE"""),"N/A (Not found)")</f>
        <v>N/A (Not found)</v>
      </c>
      <c r="V935" s="33">
        <f>IFERROR(__xludf.DUMMYFUNCTION("""COMPUTED_VALUE"""),1.0)</f>
        <v>1</v>
      </c>
      <c r="W935" s="4" t="str">
        <f>IFERROR(__xludf.DUMMYFUNCTION("""COMPUTED_VALUE"""),"N/A (Not found)")</f>
        <v>N/A (Not found)</v>
      </c>
      <c r="X935" s="33">
        <f>IFERROR(__xludf.DUMMYFUNCTION("""COMPUTED_VALUE"""),1.0)</f>
        <v>1</v>
      </c>
    </row>
    <row r="936">
      <c r="K936" s="4" t="str">
        <f>IFERROR(__xludf.DUMMYFUNCTION("""COMPUTED_VALUE"""),"BRODS HAMBURGUERIA - POCOS DE CALDAS")</f>
        <v>BRODS HAMBURGUERIA - POCOS DE CALDAS</v>
      </c>
      <c r="L936" s="32">
        <f>IFERROR(__xludf.DUMMYFUNCTION("""COMPUTED_VALUE"""),8.0)</f>
        <v>8</v>
      </c>
      <c r="M936" s="4" t="str">
        <f>IFERROR(__xludf.DUMMYFUNCTION("""COMPUTED_VALUE"""),"Consumer Soluções Em Tecnologia Ltda")</f>
        <v>Consumer Soluções Em Tecnologia Ltda</v>
      </c>
      <c r="N936" s="33">
        <f>IFERROR(__xludf.DUMMYFUNCTION("""COMPUTED_VALUE"""),0.5)</f>
        <v>0.5</v>
      </c>
      <c r="O936" s="4" t="str">
        <f>IFERROR(__xludf.DUMMYFUNCTION("""COMPUTED_VALUE"""),"Consumer Soluções Em Tecnologia Ltda")</f>
        <v>Consumer Soluções Em Tecnologia Ltda</v>
      </c>
      <c r="P936" s="33">
        <f>IFERROR(__xludf.DUMMYFUNCTION("""COMPUTED_VALUE"""),0.5)</f>
        <v>0.5</v>
      </c>
      <c r="Q936" s="4" t="str">
        <f>IFERROR(__xludf.DUMMYFUNCTION("""COMPUTED_VALUE"""),"null")</f>
        <v>null</v>
      </c>
      <c r="R936" s="33">
        <f>IFERROR(__xludf.DUMMYFUNCTION("""COMPUTED_VALUE"""),1.0)</f>
        <v>1</v>
      </c>
      <c r="S936" s="4" t="str">
        <f>IFERROR(__xludf.DUMMYFUNCTION("""COMPUTED_VALUE"""),"null")</f>
        <v>null</v>
      </c>
      <c r="T936" s="33">
        <f>IFERROR(__xludf.DUMMYFUNCTION("""COMPUTED_VALUE"""),0.75)</f>
        <v>0.75</v>
      </c>
      <c r="U936" s="4" t="str">
        <f>IFERROR(__xludf.DUMMYFUNCTION("""COMPUTED_VALUE"""),"Saipos Serviços De Software")</f>
        <v>Saipos Serviços De Software</v>
      </c>
      <c r="V936" s="33">
        <f>IFERROR(__xludf.DUMMYFUNCTION("""COMPUTED_VALUE"""),0.625)</f>
        <v>0.625</v>
      </c>
      <c r="W936" s="4" t="str">
        <f>IFERROR(__xludf.DUMMYFUNCTION("""COMPUTED_VALUE"""),"Saipos Serviços De Software")</f>
        <v>Saipos Serviços De Software</v>
      </c>
      <c r="X936" s="33">
        <f>IFERROR(__xludf.DUMMYFUNCTION("""COMPUTED_VALUE"""),0.875)</f>
        <v>0.875</v>
      </c>
    </row>
    <row r="937">
      <c r="K937" s="4" t="str">
        <f>IFERROR(__xludf.DUMMYFUNCTION("""COMPUTED_VALUE"""),"BUCANEIROS BURGER")</f>
        <v>BUCANEIROS BURGER</v>
      </c>
      <c r="L937" s="32">
        <f>IFERROR(__xludf.DUMMYFUNCTION("""COMPUTED_VALUE"""),8.0)</f>
        <v>8</v>
      </c>
      <c r="M937" s="4" t="str">
        <f>IFERROR(__xludf.DUMMYFUNCTION("""COMPUTED_VALUE"""),"Saipos Serviços De Software")</f>
        <v>Saipos Serviços De Software</v>
      </c>
      <c r="N937" s="33">
        <f>IFERROR(__xludf.DUMMYFUNCTION("""COMPUTED_VALUE"""),0.5)</f>
        <v>0.5</v>
      </c>
      <c r="O937" s="4" t="str">
        <f>IFERROR(__xludf.DUMMYFUNCTION("""COMPUTED_VALUE"""),"Saipos Serviços De Software")</f>
        <v>Saipos Serviços De Software</v>
      </c>
      <c r="P937" s="33">
        <f>IFERROR(__xludf.DUMMYFUNCTION("""COMPUTED_VALUE"""),0.625)</f>
        <v>0.625</v>
      </c>
      <c r="Q937" s="4" t="str">
        <f>IFERROR(__xludf.DUMMYFUNCTION("""COMPUTED_VALUE"""),"Saipos Serviços De Software")</f>
        <v>Saipos Serviços De Software</v>
      </c>
      <c r="R937" s="33">
        <f>IFERROR(__xludf.DUMMYFUNCTION("""COMPUTED_VALUE"""),0.625)</f>
        <v>0.625</v>
      </c>
      <c r="S937" s="4" t="str">
        <f>IFERROR(__xludf.DUMMYFUNCTION("""COMPUTED_VALUE"""),"Saipos Serviços De Software")</f>
        <v>Saipos Serviços De Software</v>
      </c>
      <c r="T937" s="33">
        <f>IFERROR(__xludf.DUMMYFUNCTION("""COMPUTED_VALUE"""),0.625)</f>
        <v>0.625</v>
      </c>
      <c r="U937" s="4" t="str">
        <f>IFERROR(__xludf.DUMMYFUNCTION("""COMPUTED_VALUE"""),"Saipos Serviços De Software")</f>
        <v>Saipos Serviços De Software</v>
      </c>
      <c r="V937" s="33">
        <f>IFERROR(__xludf.DUMMYFUNCTION("""COMPUTED_VALUE"""),1.0)</f>
        <v>1</v>
      </c>
      <c r="W937" s="4" t="str">
        <f>IFERROR(__xludf.DUMMYFUNCTION("""COMPUTED_VALUE"""),"Saipos Serviços De Software")</f>
        <v>Saipos Serviços De Software</v>
      </c>
      <c r="X937" s="33">
        <f>IFERROR(__xludf.DUMMYFUNCTION("""COMPUTED_VALUE"""),1.0)</f>
        <v>1</v>
      </c>
    </row>
    <row r="938">
      <c r="K938" s="4" t="str">
        <f>IFERROR(__xludf.DUMMYFUNCTION("""COMPUTED_VALUE"""),"BUFFALOS BURGER HAMBURGUERIA ARTESANAL")</f>
        <v>BUFFALOS BURGER HAMBURGUERIA ARTESANAL</v>
      </c>
      <c r="L938" s="32">
        <f>IFERROR(__xludf.DUMMYFUNCTION("""COMPUTED_VALUE"""),8.0)</f>
        <v>8</v>
      </c>
      <c r="M938" s="4" t="str">
        <f>IFERROR(__xludf.DUMMYFUNCTION("""COMPUTED_VALUE"""),"Cardápio Web")</f>
        <v>Cardápio Web</v>
      </c>
      <c r="N938" s="33">
        <f>IFERROR(__xludf.DUMMYFUNCTION("""COMPUTED_VALUE"""),0.75)</f>
        <v>0.75</v>
      </c>
      <c r="O938" s="4" t="str">
        <f>IFERROR(__xludf.DUMMYFUNCTION("""COMPUTED_VALUE"""),"Cardápio Web")</f>
        <v>Cardápio Web</v>
      </c>
      <c r="P938" s="33">
        <f>IFERROR(__xludf.DUMMYFUNCTION("""COMPUTED_VALUE"""),0.875)</f>
        <v>0.875</v>
      </c>
      <c r="Q938" s="4" t="str">
        <f>IFERROR(__xludf.DUMMYFUNCTION("""COMPUTED_VALUE"""),"Cardápio Web")</f>
        <v>Cardápio Web</v>
      </c>
      <c r="R938" s="33">
        <f>IFERROR(__xludf.DUMMYFUNCTION("""COMPUTED_VALUE"""),0.875)</f>
        <v>0.875</v>
      </c>
      <c r="S938" s="4" t="str">
        <f>IFERROR(__xludf.DUMMYFUNCTION("""COMPUTED_VALUE"""),"Cardápio Web")</f>
        <v>Cardápio Web</v>
      </c>
      <c r="T938" s="33">
        <f>IFERROR(__xludf.DUMMYFUNCTION("""COMPUTED_VALUE"""),0.875)</f>
        <v>0.875</v>
      </c>
      <c r="U938" s="4" t="str">
        <f>IFERROR(__xludf.DUMMYFUNCTION("""COMPUTED_VALUE"""),"Cardápio Web")</f>
        <v>Cardápio Web</v>
      </c>
      <c r="V938" s="33">
        <f>IFERROR(__xludf.DUMMYFUNCTION("""COMPUTED_VALUE"""),0.875)</f>
        <v>0.875</v>
      </c>
      <c r="W938" s="4" t="str">
        <f>IFERROR(__xludf.DUMMYFUNCTION("""COMPUTED_VALUE"""),"Cardápio Web")</f>
        <v>Cardápio Web</v>
      </c>
      <c r="X938" s="33">
        <f>IFERROR(__xludf.DUMMYFUNCTION("""COMPUTED_VALUE"""),1.0)</f>
        <v>1</v>
      </c>
    </row>
    <row r="939">
      <c r="K939" s="4" t="str">
        <f>IFERROR(__xludf.DUMMYFUNCTION("""COMPUTED_VALUE"""),"CACHORRAO HOT DOG - CONTA MARCA")</f>
        <v>CACHORRAO HOT DOG - CONTA MARCA</v>
      </c>
      <c r="L939" s="32">
        <f>IFERROR(__xludf.DUMMYFUNCTION("""COMPUTED_VALUE"""),8.0)</f>
        <v>8</v>
      </c>
      <c r="M939" s="4" t="str">
        <f>IFERROR(__xludf.DUMMYFUNCTION("""COMPUTED_VALUE"""),"Saipos Serviços De Software")</f>
        <v>Saipos Serviços De Software</v>
      </c>
      <c r="N939" s="33">
        <f>IFERROR(__xludf.DUMMYFUNCTION("""COMPUTED_VALUE"""),1.0)</f>
        <v>1</v>
      </c>
      <c r="O939" s="4" t="str">
        <f>IFERROR(__xludf.DUMMYFUNCTION("""COMPUTED_VALUE"""),"Saipos Serviços De Software")</f>
        <v>Saipos Serviços De Software</v>
      </c>
      <c r="P939" s="33">
        <f>IFERROR(__xludf.DUMMYFUNCTION("""COMPUTED_VALUE"""),1.0)</f>
        <v>1</v>
      </c>
      <c r="Q939" s="4" t="str">
        <f>IFERROR(__xludf.DUMMYFUNCTION("""COMPUTED_VALUE"""),"Saipos Serviços De Software")</f>
        <v>Saipos Serviços De Software</v>
      </c>
      <c r="R939" s="33">
        <f>IFERROR(__xludf.DUMMYFUNCTION("""COMPUTED_VALUE"""),1.0)</f>
        <v>1</v>
      </c>
      <c r="S939" s="4" t="str">
        <f>IFERROR(__xludf.DUMMYFUNCTION("""COMPUTED_VALUE"""),"Saipos Serviços De Software")</f>
        <v>Saipos Serviços De Software</v>
      </c>
      <c r="T939" s="33">
        <f>IFERROR(__xludf.DUMMYFUNCTION("""COMPUTED_VALUE"""),1.0)</f>
        <v>1</v>
      </c>
      <c r="U939" s="4" t="str">
        <f>IFERROR(__xludf.DUMMYFUNCTION("""COMPUTED_VALUE"""),"Saipos Serviços De Software")</f>
        <v>Saipos Serviços De Software</v>
      </c>
      <c r="V939" s="33">
        <f>IFERROR(__xludf.DUMMYFUNCTION("""COMPUTED_VALUE"""),1.0)</f>
        <v>1</v>
      </c>
      <c r="W939" s="4" t="str">
        <f>IFERROR(__xludf.DUMMYFUNCTION("""COMPUTED_VALUE"""),"Saipos Serviços De Software")</f>
        <v>Saipos Serviços De Software</v>
      </c>
      <c r="X939" s="33">
        <f>IFERROR(__xludf.DUMMYFUNCTION("""COMPUTED_VALUE"""),1.0)</f>
        <v>1</v>
      </c>
    </row>
    <row r="940">
      <c r="K940" s="4" t="str">
        <f>IFERROR(__xludf.DUMMYFUNCTION("""COMPUTED_VALUE"""),"GRUPO CARLOS BAKERY")</f>
        <v>GRUPO CARLOS BAKERY</v>
      </c>
      <c r="L940" s="32">
        <f>IFERROR(__xludf.DUMMYFUNCTION("""COMPUTED_VALUE"""),8.0)</f>
        <v>8</v>
      </c>
      <c r="M940" s="4" t="str">
        <f>IFERROR(__xludf.DUMMYFUNCTION("""COMPUTED_VALUE"""),"Ciss S.a Gestao Para O Varejo")</f>
        <v>Ciss S.a Gestao Para O Varejo</v>
      </c>
      <c r="N940" s="33">
        <f>IFERROR(__xludf.DUMMYFUNCTION("""COMPUTED_VALUE"""),1.0)</f>
        <v>1</v>
      </c>
      <c r="O940" s="4" t="str">
        <f>IFERROR(__xludf.DUMMYFUNCTION("""COMPUTED_VALUE"""),"Ciss S.a Gestao Para O Varejo")</f>
        <v>Ciss S.a Gestao Para O Varejo</v>
      </c>
      <c r="P940" s="33">
        <f>IFERROR(__xludf.DUMMYFUNCTION("""COMPUTED_VALUE"""),1.0)</f>
        <v>1</v>
      </c>
      <c r="Q940" s="4" t="str">
        <f>IFERROR(__xludf.DUMMYFUNCTION("""COMPUTED_VALUE"""),"Ciss S.a Gestao Para O Varejo")</f>
        <v>Ciss S.a Gestao Para O Varejo</v>
      </c>
      <c r="R940" s="33">
        <f>IFERROR(__xludf.DUMMYFUNCTION("""COMPUTED_VALUE"""),1.0)</f>
        <v>1</v>
      </c>
      <c r="S940" s="4" t="str">
        <f>IFERROR(__xludf.DUMMYFUNCTION("""COMPUTED_VALUE"""),"Ciss S.a Gestao Para O Varejo")</f>
        <v>Ciss S.a Gestao Para O Varejo</v>
      </c>
      <c r="T940" s="33">
        <f>IFERROR(__xludf.DUMMYFUNCTION("""COMPUTED_VALUE"""),1.0)</f>
        <v>1</v>
      </c>
      <c r="U940" s="4" t="str">
        <f>IFERROR(__xludf.DUMMYFUNCTION("""COMPUTED_VALUE"""),"Ciss S.a Gestao Para O Varejo")</f>
        <v>Ciss S.a Gestao Para O Varejo</v>
      </c>
      <c r="V940" s="33">
        <f>IFERROR(__xludf.DUMMYFUNCTION("""COMPUTED_VALUE"""),1.0)</f>
        <v>1</v>
      </c>
      <c r="W940" s="4" t="str">
        <f>IFERROR(__xludf.DUMMYFUNCTION("""COMPUTED_VALUE"""),"Kcms")</f>
        <v>Kcms</v>
      </c>
      <c r="X940" s="33">
        <f>IFERROR(__xludf.DUMMYFUNCTION("""COMPUTED_VALUE"""),1.0)</f>
        <v>1</v>
      </c>
    </row>
    <row r="941">
      <c r="K941" s="4" t="str">
        <f>IFERROR(__xludf.DUMMYFUNCTION("""COMPUTED_VALUE"""),"CASA DOS DOCES")</f>
        <v>CASA DOS DOCES</v>
      </c>
      <c r="L941" s="32">
        <f>IFERROR(__xludf.DUMMYFUNCTION("""COMPUTED_VALUE"""),8.0)</f>
        <v>8</v>
      </c>
      <c r="M941" s="4" t="str">
        <f>IFERROR(__xludf.DUMMYFUNCTION("""COMPUTED_VALUE"""),"Teknisa Service Ltda")</f>
        <v>Teknisa Service Ltda</v>
      </c>
      <c r="N941" s="33">
        <f>IFERROR(__xludf.DUMMYFUNCTION("""COMPUTED_VALUE"""),0.875)</f>
        <v>0.875</v>
      </c>
      <c r="O941" s="4" t="str">
        <f>IFERROR(__xludf.DUMMYFUNCTION("""COMPUTED_VALUE"""),"Teknisa Service Ltda")</f>
        <v>Teknisa Service Ltda</v>
      </c>
      <c r="P941" s="33">
        <f>IFERROR(__xludf.DUMMYFUNCTION("""COMPUTED_VALUE"""),1.0)</f>
        <v>1</v>
      </c>
      <c r="Q941" s="4" t="str">
        <f>IFERROR(__xludf.DUMMYFUNCTION("""COMPUTED_VALUE"""),"Teknisa Service Ltda")</f>
        <v>Teknisa Service Ltda</v>
      </c>
      <c r="R941" s="33">
        <f>IFERROR(__xludf.DUMMYFUNCTION("""COMPUTED_VALUE"""),1.0)</f>
        <v>1</v>
      </c>
      <c r="S941" s="4" t="str">
        <f>IFERROR(__xludf.DUMMYFUNCTION("""COMPUTED_VALUE"""),"Teknisa Service Ltda")</f>
        <v>Teknisa Service Ltda</v>
      </c>
      <c r="T941" s="33">
        <f>IFERROR(__xludf.DUMMYFUNCTION("""COMPUTED_VALUE"""),0.75)</f>
        <v>0.75</v>
      </c>
      <c r="U941" s="4" t="str">
        <f>IFERROR(__xludf.DUMMYFUNCTION("""COMPUTED_VALUE"""),"Teknisa Service Ltda")</f>
        <v>Teknisa Service Ltda</v>
      </c>
      <c r="V941" s="33">
        <f>IFERROR(__xludf.DUMMYFUNCTION("""COMPUTED_VALUE"""),0.75)</f>
        <v>0.75</v>
      </c>
      <c r="W941" s="4" t="str">
        <f>IFERROR(__xludf.DUMMYFUNCTION("""COMPUTED_VALUE"""),"Teknisa Service Ltda")</f>
        <v>Teknisa Service Ltda</v>
      </c>
      <c r="X941" s="33">
        <f>IFERROR(__xludf.DUMMYFUNCTION("""COMPUTED_VALUE"""),0.875)</f>
        <v>0.875</v>
      </c>
    </row>
    <row r="942">
      <c r="K942" s="4" t="str">
        <f>IFERROR(__xludf.DUMMYFUNCTION("""COMPUTED_VALUE"""),"CASA RENA - CONTA GRUPO")</f>
        <v>CASA RENA - CONTA GRUPO</v>
      </c>
      <c r="L942" s="32">
        <f>IFERROR(__xludf.DUMMYFUNCTION("""COMPUTED_VALUE"""),8.0)</f>
        <v>8</v>
      </c>
      <c r="M942" s="4" t="str">
        <f>IFERROR(__xludf.DUMMYFUNCTION("""COMPUTED_VALUE"""),"N/A (Not found)")</f>
        <v>N/A (Not found)</v>
      </c>
      <c r="N942" s="33">
        <f>IFERROR(__xludf.DUMMYFUNCTION("""COMPUTED_VALUE"""),1.0)</f>
        <v>1</v>
      </c>
      <c r="O942" s="4" t="str">
        <f>IFERROR(__xludf.DUMMYFUNCTION("""COMPUTED_VALUE"""),"N/A (Not found)")</f>
        <v>N/A (Not found)</v>
      </c>
      <c r="P942" s="33">
        <f>IFERROR(__xludf.DUMMYFUNCTION("""COMPUTED_VALUE"""),1.0)</f>
        <v>1</v>
      </c>
      <c r="Q942" s="4" t="str">
        <f>IFERROR(__xludf.DUMMYFUNCTION("""COMPUTED_VALUE"""),"N/A (Not found)")</f>
        <v>N/A (Not found)</v>
      </c>
      <c r="R942" s="33">
        <f>IFERROR(__xludf.DUMMYFUNCTION("""COMPUTED_VALUE"""),1.0)</f>
        <v>1</v>
      </c>
      <c r="S942" s="4" t="str">
        <f>IFERROR(__xludf.DUMMYFUNCTION("""COMPUTED_VALUE"""),"N/A (Not found)")</f>
        <v>N/A (Not found)</v>
      </c>
      <c r="T942" s="33">
        <f>IFERROR(__xludf.DUMMYFUNCTION("""COMPUTED_VALUE"""),1.0)</f>
        <v>1</v>
      </c>
      <c r="U942" s="4" t="str">
        <f>IFERROR(__xludf.DUMMYFUNCTION("""COMPUTED_VALUE"""),"N/A (Not found)")</f>
        <v>N/A (Not found)</v>
      </c>
      <c r="V942" s="33">
        <f>IFERROR(__xludf.DUMMYFUNCTION("""COMPUTED_VALUE"""),1.0)</f>
        <v>1</v>
      </c>
      <c r="W942" s="4" t="str">
        <f>IFERROR(__xludf.DUMMYFUNCTION("""COMPUTED_VALUE"""),"N/A (Not found)")</f>
        <v>N/A (Not found)</v>
      </c>
      <c r="X942" s="33">
        <f>IFERROR(__xludf.DUMMYFUNCTION("""COMPUTED_VALUE"""),1.0)</f>
        <v>1</v>
      </c>
    </row>
    <row r="943">
      <c r="K943" s="4" t="str">
        <f>IFERROR(__xludf.DUMMYFUNCTION("""COMPUTED_VALUE"""),"CITTARJ")</f>
        <v>CITTARJ</v>
      </c>
      <c r="L943" s="32">
        <f>IFERROR(__xludf.DUMMYFUNCTION("""COMPUTED_VALUE"""),8.0)</f>
        <v>8</v>
      </c>
      <c r="M943" s="4" t="str">
        <f>IFERROR(__xludf.DUMMYFUNCTION("""COMPUTED_VALUE"""),"Saipos Serviços De Software")</f>
        <v>Saipos Serviços De Software</v>
      </c>
      <c r="N943" s="33">
        <f>IFERROR(__xludf.DUMMYFUNCTION("""COMPUTED_VALUE"""),0.875)</f>
        <v>0.875</v>
      </c>
      <c r="O943" s="4" t="str">
        <f>IFERROR(__xludf.DUMMYFUNCTION("""COMPUTED_VALUE"""),"Saipos Serviços De Software")</f>
        <v>Saipos Serviços De Software</v>
      </c>
      <c r="P943" s="33">
        <f>IFERROR(__xludf.DUMMYFUNCTION("""COMPUTED_VALUE"""),1.0)</f>
        <v>1</v>
      </c>
      <c r="Q943" s="4" t="str">
        <f>IFERROR(__xludf.DUMMYFUNCTION("""COMPUTED_VALUE"""),"Saipos Serviços De Software")</f>
        <v>Saipos Serviços De Software</v>
      </c>
      <c r="R943" s="33">
        <f>IFERROR(__xludf.DUMMYFUNCTION("""COMPUTED_VALUE"""),1.0)</f>
        <v>1</v>
      </c>
      <c r="S943" s="4" t="str">
        <f>IFERROR(__xludf.DUMMYFUNCTION("""COMPUTED_VALUE"""),"Saipos Serviços De Software")</f>
        <v>Saipos Serviços De Software</v>
      </c>
      <c r="T943" s="33">
        <f>IFERROR(__xludf.DUMMYFUNCTION("""COMPUTED_VALUE"""),1.0)</f>
        <v>1</v>
      </c>
      <c r="U943" s="4" t="str">
        <f>IFERROR(__xludf.DUMMYFUNCTION("""COMPUTED_VALUE"""),"Saipos Serviços De Software")</f>
        <v>Saipos Serviços De Software</v>
      </c>
      <c r="V943" s="33">
        <f>IFERROR(__xludf.DUMMYFUNCTION("""COMPUTED_VALUE"""),0.875)</f>
        <v>0.875</v>
      </c>
      <c r="W943" s="4" t="str">
        <f>IFERROR(__xludf.DUMMYFUNCTION("""COMPUTED_VALUE"""),"Saipos Serviços De Software")</f>
        <v>Saipos Serviços De Software</v>
      </c>
      <c r="X943" s="33">
        <f>IFERROR(__xludf.DUMMYFUNCTION("""COMPUTED_VALUE"""),0.875)</f>
        <v>0.875</v>
      </c>
    </row>
    <row r="944">
      <c r="K944" s="4" t="str">
        <f>IFERROR(__xludf.DUMMYFUNCTION("""COMPUTED_VALUE"""),"CLEBAO LANCHES FERRAZ - CONTA GRUPO")</f>
        <v>CLEBAO LANCHES FERRAZ - CONTA GRUPO</v>
      </c>
      <c r="L944" s="32">
        <f>IFERROR(__xludf.DUMMYFUNCTION("""COMPUTED_VALUE"""),8.0)</f>
        <v>8</v>
      </c>
      <c r="M944" s="4" t="str">
        <f>IFERROR(__xludf.DUMMYFUNCTION("""COMPUTED_VALUE"""),"Saipos Serviços De Software")</f>
        <v>Saipos Serviços De Software</v>
      </c>
      <c r="N944" s="33">
        <f>IFERROR(__xludf.DUMMYFUNCTION("""COMPUTED_VALUE"""),0.625)</f>
        <v>0.625</v>
      </c>
      <c r="O944" s="4" t="str">
        <f>IFERROR(__xludf.DUMMYFUNCTION("""COMPUTED_VALUE"""),"Saipos Serviços De Software")</f>
        <v>Saipos Serviços De Software</v>
      </c>
      <c r="P944" s="33">
        <f>IFERROR(__xludf.DUMMYFUNCTION("""COMPUTED_VALUE"""),0.625)</f>
        <v>0.625</v>
      </c>
      <c r="Q944" s="4" t="str">
        <f>IFERROR(__xludf.DUMMYFUNCTION("""COMPUTED_VALUE"""),"Saipos Serviços De Software")</f>
        <v>Saipos Serviços De Software</v>
      </c>
      <c r="R944" s="33">
        <f>IFERROR(__xludf.DUMMYFUNCTION("""COMPUTED_VALUE"""),0.625)</f>
        <v>0.625</v>
      </c>
      <c r="S944" s="4" t="str">
        <f>IFERROR(__xludf.DUMMYFUNCTION("""COMPUTED_VALUE"""),"Saipos Serviços De Software")</f>
        <v>Saipos Serviços De Software</v>
      </c>
      <c r="T944" s="33">
        <f>IFERROR(__xludf.DUMMYFUNCTION("""COMPUTED_VALUE"""),0.875)</f>
        <v>0.875</v>
      </c>
      <c r="U944" s="4" t="str">
        <f>IFERROR(__xludf.DUMMYFUNCTION("""COMPUTED_VALUE"""),"Saipos Serviços De Software")</f>
        <v>Saipos Serviços De Software</v>
      </c>
      <c r="V944" s="33">
        <f>IFERROR(__xludf.DUMMYFUNCTION("""COMPUTED_VALUE"""),0.875)</f>
        <v>0.875</v>
      </c>
      <c r="W944" s="4" t="str">
        <f>IFERROR(__xludf.DUMMYFUNCTION("""COMPUTED_VALUE"""),"Saipos Serviços De Software")</f>
        <v>Saipos Serviços De Software</v>
      </c>
      <c r="X944" s="33">
        <f>IFERROR(__xludf.DUMMYFUNCTION("""COMPUTED_VALUE"""),1.0)</f>
        <v>1</v>
      </c>
    </row>
    <row r="945">
      <c r="K945" s="4" t="str">
        <f>IFERROR(__xludf.DUMMYFUNCTION("""COMPUTED_VALUE"""),"COMIDA DE MAE")</f>
        <v>COMIDA DE MAE</v>
      </c>
      <c r="L945" s="32">
        <f>IFERROR(__xludf.DUMMYFUNCTION("""COMPUTED_VALUE"""),8.0)</f>
        <v>8</v>
      </c>
      <c r="M945" s="4" t="str">
        <f>IFERROR(__xludf.DUMMYFUNCTION("""COMPUTED_VALUE"""),"Saipos Serviços De Software")</f>
        <v>Saipos Serviços De Software</v>
      </c>
      <c r="N945" s="33">
        <f>IFERROR(__xludf.DUMMYFUNCTION("""COMPUTED_VALUE"""),0.75)</f>
        <v>0.75</v>
      </c>
      <c r="O945" s="4" t="str">
        <f>IFERROR(__xludf.DUMMYFUNCTION("""COMPUTED_VALUE"""),"Saipos Serviços De Software")</f>
        <v>Saipos Serviços De Software</v>
      </c>
      <c r="P945" s="33">
        <f>IFERROR(__xludf.DUMMYFUNCTION("""COMPUTED_VALUE"""),0.75)</f>
        <v>0.75</v>
      </c>
      <c r="Q945" s="4" t="str">
        <f>IFERROR(__xludf.DUMMYFUNCTION("""COMPUTED_VALUE"""),"Saipos Serviços De Software")</f>
        <v>Saipos Serviços De Software</v>
      </c>
      <c r="R945" s="33">
        <f>IFERROR(__xludf.DUMMYFUNCTION("""COMPUTED_VALUE"""),0.75)</f>
        <v>0.75</v>
      </c>
      <c r="S945" s="4" t="str">
        <f>IFERROR(__xludf.DUMMYFUNCTION("""COMPUTED_VALUE"""),"Saipos Serviços De Software")</f>
        <v>Saipos Serviços De Software</v>
      </c>
      <c r="T945" s="33">
        <f>IFERROR(__xludf.DUMMYFUNCTION("""COMPUTED_VALUE"""),0.75)</f>
        <v>0.75</v>
      </c>
      <c r="U945" s="4" t="str">
        <f>IFERROR(__xludf.DUMMYFUNCTION("""COMPUTED_VALUE"""),"Saipos Serviços De Software")</f>
        <v>Saipos Serviços De Software</v>
      </c>
      <c r="V945" s="33">
        <f>IFERROR(__xludf.DUMMYFUNCTION("""COMPUTED_VALUE"""),0.75)</f>
        <v>0.75</v>
      </c>
      <c r="W945" s="4" t="str">
        <f>IFERROR(__xludf.DUMMYFUNCTION("""COMPUTED_VALUE"""),"Saipos Serviços De Software")</f>
        <v>Saipos Serviços De Software</v>
      </c>
      <c r="X945" s="33">
        <f>IFERROR(__xludf.DUMMYFUNCTION("""COMPUTED_VALUE"""),1.0)</f>
        <v>1</v>
      </c>
    </row>
    <row r="946">
      <c r="K946" s="4" t="str">
        <f>IFERROR(__xludf.DUMMYFUNCTION("""COMPUTED_VALUE"""),"COMIDA DI CASA")</f>
        <v>COMIDA DI CASA</v>
      </c>
      <c r="L946" s="32">
        <f>IFERROR(__xludf.DUMMYFUNCTION("""COMPUTED_VALUE"""),8.0)</f>
        <v>8</v>
      </c>
      <c r="M946" s="4" t="str">
        <f>IFERROR(__xludf.DUMMYFUNCTION("""COMPUTED_VALUE"""),"M-du Tecnologia")</f>
        <v>M-du Tecnologia</v>
      </c>
      <c r="N946" s="33">
        <f>IFERROR(__xludf.DUMMYFUNCTION("""COMPUTED_VALUE"""),0.875)</f>
        <v>0.875</v>
      </c>
      <c r="O946" s="4" t="str">
        <f>IFERROR(__xludf.DUMMYFUNCTION("""COMPUTED_VALUE"""),"null")</f>
        <v>null</v>
      </c>
      <c r="P946" s="33">
        <f>IFERROR(__xludf.DUMMYFUNCTION("""COMPUTED_VALUE"""),0.5)</f>
        <v>0.5</v>
      </c>
      <c r="Q946" s="4" t="str">
        <f>IFERROR(__xludf.DUMMYFUNCTION("""COMPUTED_VALUE"""),"M-du Tecnologia")</f>
        <v>M-du Tecnologia</v>
      </c>
      <c r="R946" s="33">
        <f>IFERROR(__xludf.DUMMYFUNCTION("""COMPUTED_VALUE"""),1.0)</f>
        <v>1</v>
      </c>
      <c r="S946" s="4" t="str">
        <f>IFERROR(__xludf.DUMMYFUNCTION("""COMPUTED_VALUE"""),"M-du Tecnologia")</f>
        <v>M-du Tecnologia</v>
      </c>
      <c r="T946" s="33">
        <f>IFERROR(__xludf.DUMMYFUNCTION("""COMPUTED_VALUE"""),0.875)</f>
        <v>0.875</v>
      </c>
      <c r="U946" s="4" t="str">
        <f>IFERROR(__xludf.DUMMYFUNCTION("""COMPUTED_VALUE"""),"M-du Tecnologia")</f>
        <v>M-du Tecnologia</v>
      </c>
      <c r="V946" s="33">
        <f>IFERROR(__xludf.DUMMYFUNCTION("""COMPUTED_VALUE"""),0.875)</f>
        <v>0.875</v>
      </c>
      <c r="W946" s="4" t="str">
        <f>IFERROR(__xludf.DUMMYFUNCTION("""COMPUTED_VALUE"""),"Saipos Serviços De Software")</f>
        <v>Saipos Serviços De Software</v>
      </c>
      <c r="X946" s="33">
        <f>IFERROR(__xludf.DUMMYFUNCTION("""COMPUTED_VALUE"""),0.875)</f>
        <v>0.875</v>
      </c>
    </row>
    <row r="947">
      <c r="K947" s="4" t="str">
        <f>IFERROR(__xludf.DUMMYFUNCTION("""COMPUTED_VALUE"""),"COSECHAS - PILOTO")</f>
        <v>COSECHAS - PILOTO</v>
      </c>
      <c r="L947" s="32">
        <f>IFERROR(__xludf.DUMMYFUNCTION("""COMPUTED_VALUE"""),8.0)</f>
        <v>8</v>
      </c>
      <c r="M947" s="4" t="str">
        <f>IFERROR(__xludf.DUMMYFUNCTION("""COMPUTED_VALUE"""),"Opdv")</f>
        <v>Opdv</v>
      </c>
      <c r="N947" s="33">
        <f>IFERROR(__xludf.DUMMYFUNCTION("""COMPUTED_VALUE"""),1.0)</f>
        <v>1</v>
      </c>
      <c r="O947" s="4" t="str">
        <f>IFERROR(__xludf.DUMMYFUNCTION("""COMPUTED_VALUE"""),"Opdv")</f>
        <v>Opdv</v>
      </c>
      <c r="P947" s="33">
        <f>IFERROR(__xludf.DUMMYFUNCTION("""COMPUTED_VALUE"""),1.0)</f>
        <v>1</v>
      </c>
      <c r="Q947" s="4" t="str">
        <f>IFERROR(__xludf.DUMMYFUNCTION("""COMPUTED_VALUE"""),"Opdv")</f>
        <v>Opdv</v>
      </c>
      <c r="R947" s="33">
        <f>IFERROR(__xludf.DUMMYFUNCTION("""COMPUTED_VALUE"""),1.0)</f>
        <v>1</v>
      </c>
      <c r="S947" s="4" t="str">
        <f>IFERROR(__xludf.DUMMYFUNCTION("""COMPUTED_VALUE"""),"Opdv")</f>
        <v>Opdv</v>
      </c>
      <c r="T947" s="33">
        <f>IFERROR(__xludf.DUMMYFUNCTION("""COMPUTED_VALUE"""),1.0)</f>
        <v>1</v>
      </c>
      <c r="U947" s="4" t="str">
        <f>IFERROR(__xludf.DUMMYFUNCTION("""COMPUTED_VALUE"""),"Opdv")</f>
        <v>Opdv</v>
      </c>
      <c r="V947" s="33">
        <f>IFERROR(__xludf.DUMMYFUNCTION("""COMPUTED_VALUE"""),1.0)</f>
        <v>1</v>
      </c>
      <c r="W947" s="4" t="str">
        <f>IFERROR(__xludf.DUMMYFUNCTION("""COMPUTED_VALUE"""),"Opdv")</f>
        <v>Opdv</v>
      </c>
      <c r="X947" s="33">
        <f>IFERROR(__xludf.DUMMYFUNCTION("""COMPUTED_VALUE"""),1.0)</f>
        <v>1</v>
      </c>
    </row>
    <row r="948">
      <c r="K948" s="4" t="str">
        <f>IFERROR(__xludf.DUMMYFUNCTION("""COMPUTED_VALUE"""),"COZINA - CHURRASCO NO POTE")</f>
        <v>COZINA - CHURRASCO NO POTE</v>
      </c>
      <c r="L948" s="32">
        <f>IFERROR(__xludf.DUMMYFUNCTION("""COMPUTED_VALUE"""),8.0)</f>
        <v>8</v>
      </c>
      <c r="M948" s="4" t="str">
        <f>IFERROR(__xludf.DUMMYFUNCTION("""COMPUTED_VALUE"""),"Saipos Serviços De Software")</f>
        <v>Saipos Serviços De Software</v>
      </c>
      <c r="N948" s="33">
        <f>IFERROR(__xludf.DUMMYFUNCTION("""COMPUTED_VALUE"""),0.25)</f>
        <v>0.25</v>
      </c>
      <c r="O948" s="4" t="str">
        <f>IFERROR(__xludf.DUMMYFUNCTION("""COMPUTED_VALUE"""),"null")</f>
        <v>null</v>
      </c>
      <c r="P948" s="33">
        <f>IFERROR(__xludf.DUMMYFUNCTION("""COMPUTED_VALUE"""),0.25)</f>
        <v>0.25</v>
      </c>
      <c r="Q948" s="4" t="str">
        <f>IFERROR(__xludf.DUMMYFUNCTION("""COMPUTED_VALUE"""),"null")</f>
        <v>null</v>
      </c>
      <c r="R948" s="33">
        <f>IFERROR(__xludf.DUMMYFUNCTION("""COMPUTED_VALUE"""),0.375)</f>
        <v>0.375</v>
      </c>
      <c r="S948" s="4" t="str">
        <f>IFERROR(__xludf.DUMMYFUNCTION("""COMPUTED_VALUE"""),"null")</f>
        <v>null</v>
      </c>
      <c r="T948" s="33">
        <f>IFERROR(__xludf.DUMMYFUNCTION("""COMPUTED_VALUE"""),0.5)</f>
        <v>0.5</v>
      </c>
      <c r="U948" s="4" t="str">
        <f>IFERROR(__xludf.DUMMYFUNCTION("""COMPUTED_VALUE"""),"null")</f>
        <v>null</v>
      </c>
      <c r="V948" s="33">
        <f>IFERROR(__xludf.DUMMYFUNCTION("""COMPUTED_VALUE"""),0.375)</f>
        <v>0.375</v>
      </c>
      <c r="W948" s="4" t="str">
        <f>IFERROR(__xludf.DUMMYFUNCTION("""COMPUTED_VALUE"""),"null")</f>
        <v>null</v>
      </c>
      <c r="X948" s="33">
        <f>IFERROR(__xludf.DUMMYFUNCTION("""COMPUTED_VALUE"""),0.5)</f>
        <v>0.5</v>
      </c>
    </row>
    <row r="949">
      <c r="K949" s="4" t="str">
        <f>IFERROR(__xludf.DUMMYFUNCTION("""COMPUTED_VALUE"""),"DILA PIZZARIA")</f>
        <v>DILA PIZZARIA</v>
      </c>
      <c r="L949" s="32">
        <f>IFERROR(__xludf.DUMMYFUNCTION("""COMPUTED_VALUE"""),8.0)</f>
        <v>8</v>
      </c>
      <c r="M949" s="4" t="str">
        <f>IFERROR(__xludf.DUMMYFUNCTION("""COMPUTED_VALUE"""),"Saipos Serviços De Software")</f>
        <v>Saipos Serviços De Software</v>
      </c>
      <c r="N949" s="33">
        <f>IFERROR(__xludf.DUMMYFUNCTION("""COMPUTED_VALUE"""),0.875)</f>
        <v>0.875</v>
      </c>
      <c r="O949" s="4" t="str">
        <f>IFERROR(__xludf.DUMMYFUNCTION("""COMPUTED_VALUE"""),"Saipos Serviços De Software")</f>
        <v>Saipos Serviços De Software</v>
      </c>
      <c r="P949" s="33">
        <f>IFERROR(__xludf.DUMMYFUNCTION("""COMPUTED_VALUE"""),1.0)</f>
        <v>1</v>
      </c>
      <c r="Q949" s="4" t="str">
        <f>IFERROR(__xludf.DUMMYFUNCTION("""COMPUTED_VALUE"""),"Saipos Serviços De Software")</f>
        <v>Saipos Serviços De Software</v>
      </c>
      <c r="R949" s="33">
        <f>IFERROR(__xludf.DUMMYFUNCTION("""COMPUTED_VALUE"""),1.0)</f>
        <v>1</v>
      </c>
      <c r="S949" s="4" t="str">
        <f>IFERROR(__xludf.DUMMYFUNCTION("""COMPUTED_VALUE"""),"Saipos Serviços De Software")</f>
        <v>Saipos Serviços De Software</v>
      </c>
      <c r="T949" s="33">
        <f>IFERROR(__xludf.DUMMYFUNCTION("""COMPUTED_VALUE"""),1.0)</f>
        <v>1</v>
      </c>
      <c r="U949" s="4" t="str">
        <f>IFERROR(__xludf.DUMMYFUNCTION("""COMPUTED_VALUE"""),"Saipos Serviços De Software")</f>
        <v>Saipos Serviços De Software</v>
      </c>
      <c r="V949" s="33">
        <f>IFERROR(__xludf.DUMMYFUNCTION("""COMPUTED_VALUE"""),1.0)</f>
        <v>1</v>
      </c>
      <c r="W949" s="4" t="str">
        <f>IFERROR(__xludf.DUMMYFUNCTION("""COMPUTED_VALUE"""),"Saipos Serviços De Software")</f>
        <v>Saipos Serviços De Software</v>
      </c>
      <c r="X949" s="33">
        <f>IFERROR(__xludf.DUMMYFUNCTION("""COMPUTED_VALUE"""),1.0)</f>
        <v>1</v>
      </c>
    </row>
    <row r="950">
      <c r="K950" s="4" t="str">
        <f>IFERROR(__xludf.DUMMYFUNCTION("""COMPUTED_VALUE"""),"DIZZY")</f>
        <v>DIZZY</v>
      </c>
      <c r="L950" s="32">
        <f>IFERROR(__xludf.DUMMYFUNCTION("""COMPUTED_VALUE"""),8.0)</f>
        <v>8</v>
      </c>
      <c r="M950" s="4" t="str">
        <f>IFERROR(__xludf.DUMMYFUNCTION("""COMPUTED_VALUE"""),"Ncr")</f>
        <v>Ncr</v>
      </c>
      <c r="N950" s="33">
        <f>IFERROR(__xludf.DUMMYFUNCTION("""COMPUTED_VALUE"""),0.75)</f>
        <v>0.75</v>
      </c>
      <c r="O950" s="4" t="str">
        <f>IFERROR(__xludf.DUMMYFUNCTION("""COMPUTED_VALUE"""),"Ncr")</f>
        <v>Ncr</v>
      </c>
      <c r="P950" s="33">
        <f>IFERROR(__xludf.DUMMYFUNCTION("""COMPUTED_VALUE"""),0.625)</f>
        <v>0.625</v>
      </c>
      <c r="Q950" s="4" t="str">
        <f>IFERROR(__xludf.DUMMYFUNCTION("""COMPUTED_VALUE"""),"Ncr")</f>
        <v>Ncr</v>
      </c>
      <c r="R950" s="33">
        <f>IFERROR(__xludf.DUMMYFUNCTION("""COMPUTED_VALUE"""),0.75)</f>
        <v>0.75</v>
      </c>
      <c r="S950" s="4" t="str">
        <f>IFERROR(__xludf.DUMMYFUNCTION("""COMPUTED_VALUE"""),"Ncr")</f>
        <v>Ncr</v>
      </c>
      <c r="T950" s="33">
        <f>IFERROR(__xludf.DUMMYFUNCTION("""COMPUTED_VALUE"""),0.625)</f>
        <v>0.625</v>
      </c>
      <c r="U950" s="4" t="str">
        <f>IFERROR(__xludf.DUMMYFUNCTION("""COMPUTED_VALUE"""),"Ncr")</f>
        <v>Ncr</v>
      </c>
      <c r="V950" s="33">
        <f>IFERROR(__xludf.DUMMYFUNCTION("""COMPUTED_VALUE"""),0.625)</f>
        <v>0.625</v>
      </c>
      <c r="W950" s="4" t="str">
        <f>IFERROR(__xludf.DUMMYFUNCTION("""COMPUTED_VALUE"""),"Ncr")</f>
        <v>Ncr</v>
      </c>
      <c r="X950" s="33">
        <f>IFERROR(__xludf.DUMMYFUNCTION("""COMPUTED_VALUE"""),0.875)</f>
        <v>0.875</v>
      </c>
    </row>
    <row r="951">
      <c r="K951" s="4" t="str">
        <f>IFERROR(__xludf.DUMMYFUNCTION("""COMPUTED_VALUE"""),"DON PASTELLO - CONTA PAI")</f>
        <v>DON PASTELLO - CONTA PAI</v>
      </c>
      <c r="L951" s="32">
        <f>IFERROR(__xludf.DUMMYFUNCTION("""COMPUTED_VALUE"""),8.0)</f>
        <v>8</v>
      </c>
      <c r="M951" s="4" t="str">
        <f>IFERROR(__xludf.DUMMYFUNCTION("""COMPUTED_VALUE"""),"Stone Co.")</f>
        <v>Stone Co.</v>
      </c>
      <c r="N951" s="33">
        <f>IFERROR(__xludf.DUMMYFUNCTION("""COMPUTED_VALUE"""),1.0)</f>
        <v>1</v>
      </c>
      <c r="O951" s="4" t="str">
        <f>IFERROR(__xludf.DUMMYFUNCTION("""COMPUTED_VALUE"""),"Stone Co.")</f>
        <v>Stone Co.</v>
      </c>
      <c r="P951" s="33">
        <f>IFERROR(__xludf.DUMMYFUNCTION("""COMPUTED_VALUE"""),1.0)</f>
        <v>1</v>
      </c>
      <c r="Q951" s="4" t="str">
        <f>IFERROR(__xludf.DUMMYFUNCTION("""COMPUTED_VALUE"""),"Stone Co.")</f>
        <v>Stone Co.</v>
      </c>
      <c r="R951" s="33">
        <f>IFERROR(__xludf.DUMMYFUNCTION("""COMPUTED_VALUE"""),1.0)</f>
        <v>1</v>
      </c>
      <c r="S951" s="4" t="str">
        <f>IFERROR(__xludf.DUMMYFUNCTION("""COMPUTED_VALUE"""),"Stone Co.")</f>
        <v>Stone Co.</v>
      </c>
      <c r="T951" s="33">
        <f>IFERROR(__xludf.DUMMYFUNCTION("""COMPUTED_VALUE"""),1.0)</f>
        <v>1</v>
      </c>
      <c r="U951" s="4" t="str">
        <f>IFERROR(__xludf.DUMMYFUNCTION("""COMPUTED_VALUE"""),"Stone Co.")</f>
        <v>Stone Co.</v>
      </c>
      <c r="V951" s="33">
        <f>IFERROR(__xludf.DUMMYFUNCTION("""COMPUTED_VALUE"""),1.0)</f>
        <v>1</v>
      </c>
      <c r="W951" s="4" t="str">
        <f>IFERROR(__xludf.DUMMYFUNCTION("""COMPUTED_VALUE"""),"Stone Co.")</f>
        <v>Stone Co.</v>
      </c>
      <c r="X951" s="33">
        <f>IFERROR(__xludf.DUMMYFUNCTION("""COMPUTED_VALUE"""),1.0)</f>
        <v>1</v>
      </c>
    </row>
    <row r="952">
      <c r="K952" s="4" t="str">
        <f>IFERROR(__xludf.DUMMYFUNCTION("""COMPUTED_VALUE"""),"DONA CARMELA")</f>
        <v>DONA CARMELA</v>
      </c>
      <c r="L952" s="32">
        <f>IFERROR(__xludf.DUMMYFUNCTION("""COMPUTED_VALUE"""),8.0)</f>
        <v>8</v>
      </c>
      <c r="M952" s="4" t="str">
        <f>IFERROR(__xludf.DUMMYFUNCTION("""COMPUTED_VALUE"""),"Ncr")</f>
        <v>Ncr</v>
      </c>
      <c r="N952" s="33">
        <f>IFERROR(__xludf.DUMMYFUNCTION("""COMPUTED_VALUE"""),1.0)</f>
        <v>1</v>
      </c>
      <c r="O952" s="4" t="str">
        <f>IFERROR(__xludf.DUMMYFUNCTION("""COMPUTED_VALUE"""),"Ncr")</f>
        <v>Ncr</v>
      </c>
      <c r="P952" s="33">
        <f>IFERROR(__xludf.DUMMYFUNCTION("""COMPUTED_VALUE"""),0.875)</f>
        <v>0.875</v>
      </c>
      <c r="Q952" s="4" t="str">
        <f>IFERROR(__xludf.DUMMYFUNCTION("""COMPUTED_VALUE"""),"Ncr")</f>
        <v>Ncr</v>
      </c>
      <c r="R952" s="33">
        <f>IFERROR(__xludf.DUMMYFUNCTION("""COMPUTED_VALUE"""),0.875)</f>
        <v>0.875</v>
      </c>
      <c r="S952" s="4" t="str">
        <f>IFERROR(__xludf.DUMMYFUNCTION("""COMPUTED_VALUE"""),"Ncr")</f>
        <v>Ncr</v>
      </c>
      <c r="T952" s="33">
        <f>IFERROR(__xludf.DUMMYFUNCTION("""COMPUTED_VALUE"""),0.875)</f>
        <v>0.875</v>
      </c>
      <c r="U952" s="4" t="str">
        <f>IFERROR(__xludf.DUMMYFUNCTION("""COMPUTED_VALUE"""),"Ncr")</f>
        <v>Ncr</v>
      </c>
      <c r="V952" s="33">
        <f>IFERROR(__xludf.DUMMYFUNCTION("""COMPUTED_VALUE"""),0.875)</f>
        <v>0.875</v>
      </c>
      <c r="W952" s="4" t="str">
        <f>IFERROR(__xludf.DUMMYFUNCTION("""COMPUTED_VALUE"""),"Ncr")</f>
        <v>Ncr</v>
      </c>
      <c r="X952" s="33">
        <f>IFERROR(__xludf.DUMMYFUNCTION("""COMPUTED_VALUE"""),0.5)</f>
        <v>0.5</v>
      </c>
    </row>
    <row r="953">
      <c r="K953" s="4" t="str">
        <f>IFERROR(__xludf.DUMMYFUNCTION("""COMPUTED_VALUE"""),"DROGARIA CARIOCA GR OCEANICA - CONTA MARCA")</f>
        <v>DROGARIA CARIOCA GR OCEANICA - CONTA MARCA</v>
      </c>
      <c r="L953" s="32">
        <f>IFERROR(__xludf.DUMMYFUNCTION("""COMPUTED_VALUE"""),8.0)</f>
        <v>8</v>
      </c>
      <c r="M953" s="4" t="str">
        <f>IFERROR(__xludf.DUMMYFUNCTION("""COMPUTED_VALUE"""),"N/A (Not found)")</f>
        <v>N/A (Not found)</v>
      </c>
      <c r="N953" s="33">
        <f>IFERROR(__xludf.DUMMYFUNCTION("""COMPUTED_VALUE"""),0.875)</f>
        <v>0.875</v>
      </c>
      <c r="O953" s="4" t="str">
        <f>IFERROR(__xludf.DUMMYFUNCTION("""COMPUTED_VALUE"""),"N/A (Not found)")</f>
        <v>N/A (Not found)</v>
      </c>
      <c r="P953" s="33">
        <f>IFERROR(__xludf.DUMMYFUNCTION("""COMPUTED_VALUE"""),1.0)</f>
        <v>1</v>
      </c>
      <c r="Q953" s="4" t="str">
        <f>IFERROR(__xludf.DUMMYFUNCTION("""COMPUTED_VALUE"""),"N/A (Not found)")</f>
        <v>N/A (Not found)</v>
      </c>
      <c r="R953" s="33">
        <f>IFERROR(__xludf.DUMMYFUNCTION("""COMPUTED_VALUE"""),1.0)</f>
        <v>1</v>
      </c>
      <c r="S953" s="4" t="str">
        <f>IFERROR(__xludf.DUMMYFUNCTION("""COMPUTED_VALUE"""),"N/A (Not found)")</f>
        <v>N/A (Not found)</v>
      </c>
      <c r="T953" s="33">
        <f>IFERROR(__xludf.DUMMYFUNCTION("""COMPUTED_VALUE"""),1.0)</f>
        <v>1</v>
      </c>
      <c r="U953" s="4" t="str">
        <f>IFERROR(__xludf.DUMMYFUNCTION("""COMPUTED_VALUE"""),"N/A (Not found)")</f>
        <v>N/A (Not found)</v>
      </c>
      <c r="V953" s="33">
        <f>IFERROR(__xludf.DUMMYFUNCTION("""COMPUTED_VALUE"""),1.0)</f>
        <v>1</v>
      </c>
      <c r="W953" s="4" t="str">
        <f>IFERROR(__xludf.DUMMYFUNCTION("""COMPUTED_VALUE"""),"N/A (Not found)")</f>
        <v>N/A (Not found)</v>
      </c>
      <c r="X953" s="33">
        <f>IFERROR(__xludf.DUMMYFUNCTION("""COMPUTED_VALUE"""),1.0)</f>
        <v>1</v>
      </c>
    </row>
    <row r="954">
      <c r="K954" s="4" t="str">
        <f>IFERROR(__xludf.DUMMYFUNCTION("""COMPUTED_VALUE"""),"DROGARIA CRISTINA")</f>
        <v>DROGARIA CRISTINA</v>
      </c>
      <c r="L954" s="32">
        <f>IFERROR(__xludf.DUMMYFUNCTION("""COMPUTED_VALUE"""),8.0)</f>
        <v>8</v>
      </c>
      <c r="M954" s="4" t="str">
        <f>IFERROR(__xludf.DUMMYFUNCTION("""COMPUTED_VALUE"""),"N/A (Not found)")</f>
        <v>N/A (Not found)</v>
      </c>
      <c r="N954" s="33">
        <f>IFERROR(__xludf.DUMMYFUNCTION("""COMPUTED_VALUE"""),1.0)</f>
        <v>1</v>
      </c>
      <c r="O954" s="4" t="str">
        <f>IFERROR(__xludf.DUMMYFUNCTION("""COMPUTED_VALUE"""),"N/A (Not found)")</f>
        <v>N/A (Not found)</v>
      </c>
      <c r="P954" s="33">
        <f>IFERROR(__xludf.DUMMYFUNCTION("""COMPUTED_VALUE"""),1.0)</f>
        <v>1</v>
      </c>
      <c r="Q954" s="4" t="str">
        <f>IFERROR(__xludf.DUMMYFUNCTION("""COMPUTED_VALUE"""),"N/A (Not found)")</f>
        <v>N/A (Not found)</v>
      </c>
      <c r="R954" s="33">
        <f>IFERROR(__xludf.DUMMYFUNCTION("""COMPUTED_VALUE"""),1.0)</f>
        <v>1</v>
      </c>
      <c r="S954" s="4" t="str">
        <f>IFERROR(__xludf.DUMMYFUNCTION("""COMPUTED_VALUE"""),"N/A (Not found)")</f>
        <v>N/A (Not found)</v>
      </c>
      <c r="T954" s="33">
        <f>IFERROR(__xludf.DUMMYFUNCTION("""COMPUTED_VALUE"""),1.0)</f>
        <v>1</v>
      </c>
      <c r="U954" s="4" t="str">
        <f>IFERROR(__xludf.DUMMYFUNCTION("""COMPUTED_VALUE"""),"N/A (Not found)")</f>
        <v>N/A (Not found)</v>
      </c>
      <c r="V954" s="33">
        <f>IFERROR(__xludf.DUMMYFUNCTION("""COMPUTED_VALUE"""),1.0)</f>
        <v>1</v>
      </c>
      <c r="W954" s="4" t="str">
        <f>IFERROR(__xludf.DUMMYFUNCTION("""COMPUTED_VALUE"""),"N/A (Not found)")</f>
        <v>N/A (Not found)</v>
      </c>
      <c r="X954" s="33">
        <f>IFERROR(__xludf.DUMMYFUNCTION("""COMPUTED_VALUE"""),1.0)</f>
        <v>1</v>
      </c>
    </row>
    <row r="955">
      <c r="K955" s="4" t="str">
        <f>IFERROR(__xludf.DUMMYFUNCTION("""COMPUTED_VALUE"""),"DROGARIA MIX - LOJAS PRATES - CONTA MARCA")</f>
        <v>DROGARIA MIX - LOJAS PRATES - CONTA MARCA</v>
      </c>
      <c r="L955" s="32">
        <f>IFERROR(__xludf.DUMMYFUNCTION("""COMPUTED_VALUE"""),8.0)</f>
        <v>8</v>
      </c>
      <c r="M955" s="4" t="str">
        <f>IFERROR(__xludf.DUMMYFUNCTION("""COMPUTED_VALUE"""),"N/A (Not found)")</f>
        <v>N/A (Not found)</v>
      </c>
      <c r="N955" s="33">
        <f>IFERROR(__xludf.DUMMYFUNCTION("""COMPUTED_VALUE"""),1.0)</f>
        <v>1</v>
      </c>
      <c r="O955" s="4" t="str">
        <f>IFERROR(__xludf.DUMMYFUNCTION("""COMPUTED_VALUE"""),"N/A (Not found)")</f>
        <v>N/A (Not found)</v>
      </c>
      <c r="P955" s="33">
        <f>IFERROR(__xludf.DUMMYFUNCTION("""COMPUTED_VALUE"""),1.0)</f>
        <v>1</v>
      </c>
      <c r="Q955" s="4" t="str">
        <f>IFERROR(__xludf.DUMMYFUNCTION("""COMPUTED_VALUE"""),"N/A (Not found)")</f>
        <v>N/A (Not found)</v>
      </c>
      <c r="R955" s="33">
        <f>IFERROR(__xludf.DUMMYFUNCTION("""COMPUTED_VALUE"""),1.0)</f>
        <v>1</v>
      </c>
      <c r="S955" s="4" t="str">
        <f>IFERROR(__xludf.DUMMYFUNCTION("""COMPUTED_VALUE"""),"N/A (Not found)")</f>
        <v>N/A (Not found)</v>
      </c>
      <c r="T955" s="33">
        <f>IFERROR(__xludf.DUMMYFUNCTION("""COMPUTED_VALUE"""),1.0)</f>
        <v>1</v>
      </c>
      <c r="U955" s="4" t="str">
        <f>IFERROR(__xludf.DUMMYFUNCTION("""COMPUTED_VALUE"""),"N/A (Not found)")</f>
        <v>N/A (Not found)</v>
      </c>
      <c r="V955" s="33">
        <f>IFERROR(__xludf.DUMMYFUNCTION("""COMPUTED_VALUE"""),1.0)</f>
        <v>1</v>
      </c>
      <c r="W955" s="4" t="str">
        <f>IFERROR(__xludf.DUMMYFUNCTION("""COMPUTED_VALUE"""),"N/A (Not found)")</f>
        <v>N/A (Not found)</v>
      </c>
      <c r="X955" s="33">
        <f>IFERROR(__xludf.DUMMYFUNCTION("""COMPUTED_VALUE"""),1.0)</f>
        <v>1</v>
      </c>
    </row>
    <row r="956">
      <c r="K956" s="4" t="str">
        <f>IFERROR(__xludf.DUMMYFUNCTION("""COMPUTED_VALUE"""),"DROGARIA ULTRA POPULAR - LOJAS GOMES - CONTA MARCA")</f>
        <v>DROGARIA ULTRA POPULAR - LOJAS GOMES - CONTA MARCA</v>
      </c>
      <c r="L956" s="32">
        <f>IFERROR(__xludf.DUMMYFUNCTION("""COMPUTED_VALUE"""),8.0)</f>
        <v>8</v>
      </c>
      <c r="M956" s="4" t="str">
        <f>IFERROR(__xludf.DUMMYFUNCTION("""COMPUTED_VALUE"""),"N/A (Not found)")</f>
        <v>N/A (Not found)</v>
      </c>
      <c r="N956" s="33">
        <f>IFERROR(__xludf.DUMMYFUNCTION("""COMPUTED_VALUE"""),0.625)</f>
        <v>0.625</v>
      </c>
      <c r="O956" s="4" t="str">
        <f>IFERROR(__xludf.DUMMYFUNCTION("""COMPUTED_VALUE"""),"null")</f>
        <v>null</v>
      </c>
      <c r="P956" s="33">
        <f>IFERROR(__xludf.DUMMYFUNCTION("""COMPUTED_VALUE"""),0.5)</f>
        <v>0.5</v>
      </c>
      <c r="Q956" s="4" t="str">
        <f>IFERROR(__xludf.DUMMYFUNCTION("""COMPUTED_VALUE"""),"N/A (Not found)")</f>
        <v>N/A (Not found)</v>
      </c>
      <c r="R956" s="33">
        <f>IFERROR(__xludf.DUMMYFUNCTION("""COMPUTED_VALUE"""),0.75)</f>
        <v>0.75</v>
      </c>
      <c r="S956" s="4" t="str">
        <f>IFERROR(__xludf.DUMMYFUNCTION("""COMPUTED_VALUE"""),"N/A (Not found)")</f>
        <v>N/A (Not found)</v>
      </c>
      <c r="T956" s="33">
        <f>IFERROR(__xludf.DUMMYFUNCTION("""COMPUTED_VALUE"""),0.75)</f>
        <v>0.75</v>
      </c>
      <c r="U956" s="4" t="str">
        <f>IFERROR(__xludf.DUMMYFUNCTION("""COMPUTED_VALUE"""),"N/A (Not found)")</f>
        <v>N/A (Not found)</v>
      </c>
      <c r="V956" s="33">
        <f>IFERROR(__xludf.DUMMYFUNCTION("""COMPUTED_VALUE"""),0.875)</f>
        <v>0.875</v>
      </c>
      <c r="W956" s="4" t="str">
        <f>IFERROR(__xludf.DUMMYFUNCTION("""COMPUTED_VALUE"""),"N/A (Not found)")</f>
        <v>N/A (Not found)</v>
      </c>
      <c r="X956" s="33">
        <f>IFERROR(__xludf.DUMMYFUNCTION("""COMPUTED_VALUE"""),0.875)</f>
        <v>0.875</v>
      </c>
    </row>
    <row r="957">
      <c r="K957" s="4" t="str">
        <f>IFERROR(__xludf.DUMMYFUNCTION("""COMPUTED_VALUE"""),"DROGARIAS DEDICAR - CONTA PAI")</f>
        <v>DROGARIAS DEDICAR - CONTA PAI</v>
      </c>
      <c r="L957" s="32">
        <f>IFERROR(__xludf.DUMMYFUNCTION("""COMPUTED_VALUE"""),8.0)</f>
        <v>8</v>
      </c>
      <c r="M957" s="4" t="str">
        <f>IFERROR(__xludf.DUMMYFUNCTION("""COMPUTED_VALUE"""),"N/A (Not found)")</f>
        <v>N/A (Not found)</v>
      </c>
      <c r="N957" s="33">
        <f>IFERROR(__xludf.DUMMYFUNCTION("""COMPUTED_VALUE"""),0.75)</f>
        <v>0.75</v>
      </c>
      <c r="O957" s="4" t="str">
        <f>IFERROR(__xludf.DUMMYFUNCTION("""COMPUTED_VALUE"""),"N/A (Not found)")</f>
        <v>N/A (Not found)</v>
      </c>
      <c r="P957" s="33">
        <f>IFERROR(__xludf.DUMMYFUNCTION("""COMPUTED_VALUE"""),0.5)</f>
        <v>0.5</v>
      </c>
      <c r="Q957" s="4" t="str">
        <f>IFERROR(__xludf.DUMMYFUNCTION("""COMPUTED_VALUE"""),"N/A (Not found)")</f>
        <v>N/A (Not found)</v>
      </c>
      <c r="R957" s="33">
        <f>IFERROR(__xludf.DUMMYFUNCTION("""COMPUTED_VALUE"""),0.5)</f>
        <v>0.5</v>
      </c>
      <c r="S957" s="4" t="str">
        <f>IFERROR(__xludf.DUMMYFUNCTION("""COMPUTED_VALUE"""),"null")</f>
        <v>null</v>
      </c>
      <c r="T957" s="33">
        <f>IFERROR(__xludf.DUMMYFUNCTION("""COMPUTED_VALUE"""),0.625)</f>
        <v>0.625</v>
      </c>
      <c r="U957" s="4" t="str">
        <f>IFERROR(__xludf.DUMMYFUNCTION("""COMPUTED_VALUE"""),"N/A (Not found)")</f>
        <v>N/A (Not found)</v>
      </c>
      <c r="V957" s="33">
        <f>IFERROR(__xludf.DUMMYFUNCTION("""COMPUTED_VALUE"""),0.625)</f>
        <v>0.625</v>
      </c>
      <c r="W957" s="4" t="str">
        <f>IFERROR(__xludf.DUMMYFUNCTION("""COMPUTED_VALUE"""),"null")</f>
        <v>null</v>
      </c>
      <c r="X957" s="33">
        <f>IFERROR(__xludf.DUMMYFUNCTION("""COMPUTED_VALUE"""),0.75)</f>
        <v>0.75</v>
      </c>
    </row>
    <row r="958">
      <c r="K958" s="4" t="str">
        <f>IFERROR(__xludf.DUMMYFUNCTION("""COMPUTED_VALUE"""),"EL MAGNIFICO")</f>
        <v>EL MAGNIFICO</v>
      </c>
      <c r="L958" s="32">
        <f>IFERROR(__xludf.DUMMYFUNCTION("""COMPUTED_VALUE"""),8.0)</f>
        <v>8</v>
      </c>
      <c r="M958" s="4" t="str">
        <f>IFERROR(__xludf.DUMMYFUNCTION("""COMPUTED_VALUE"""),"Cheff Solutions Tecnologia Brasil")</f>
        <v>Cheff Solutions Tecnologia Brasil</v>
      </c>
      <c r="N958" s="33">
        <f>IFERROR(__xludf.DUMMYFUNCTION("""COMPUTED_VALUE"""),1.0)</f>
        <v>1</v>
      </c>
      <c r="O958" s="4" t="str">
        <f>IFERROR(__xludf.DUMMYFUNCTION("""COMPUTED_VALUE"""),"Cheff Solutions Tecnologia Brasil")</f>
        <v>Cheff Solutions Tecnologia Brasil</v>
      </c>
      <c r="P958" s="33">
        <f>IFERROR(__xludf.DUMMYFUNCTION("""COMPUTED_VALUE"""),1.0)</f>
        <v>1</v>
      </c>
      <c r="Q958" s="4" t="str">
        <f>IFERROR(__xludf.DUMMYFUNCTION("""COMPUTED_VALUE"""),"Cheff Solutions Tecnologia Brasil")</f>
        <v>Cheff Solutions Tecnologia Brasil</v>
      </c>
      <c r="R958" s="33">
        <f>IFERROR(__xludf.DUMMYFUNCTION("""COMPUTED_VALUE"""),1.0)</f>
        <v>1</v>
      </c>
      <c r="S958" s="4" t="str">
        <f>IFERROR(__xludf.DUMMYFUNCTION("""COMPUTED_VALUE"""),"Cheff Solutions Tecnologia Brasil")</f>
        <v>Cheff Solutions Tecnologia Brasil</v>
      </c>
      <c r="T958" s="33">
        <f>IFERROR(__xludf.DUMMYFUNCTION("""COMPUTED_VALUE"""),1.0)</f>
        <v>1</v>
      </c>
      <c r="U958" s="4" t="str">
        <f>IFERROR(__xludf.DUMMYFUNCTION("""COMPUTED_VALUE"""),"Cheff Solutions Tecnologia Brasil")</f>
        <v>Cheff Solutions Tecnologia Brasil</v>
      </c>
      <c r="V958" s="33">
        <f>IFERROR(__xludf.DUMMYFUNCTION("""COMPUTED_VALUE"""),0.875)</f>
        <v>0.875</v>
      </c>
      <c r="W958" s="4" t="str">
        <f>IFERROR(__xludf.DUMMYFUNCTION("""COMPUTED_VALUE"""),"Cheff Solutions Tecnologia Brasil")</f>
        <v>Cheff Solutions Tecnologia Brasil</v>
      </c>
      <c r="X958" s="33">
        <f>IFERROR(__xludf.DUMMYFUNCTION("""COMPUTED_VALUE"""),0.875)</f>
        <v>0.875</v>
      </c>
    </row>
    <row r="959">
      <c r="K959" s="4" t="str">
        <f>IFERROR(__xludf.DUMMYFUNCTION("""COMPUTED_VALUE"""),"ESTRELA BEAUTY - CONTA MARCA")</f>
        <v>ESTRELA BEAUTY - CONTA MARCA</v>
      </c>
      <c r="L959" s="32">
        <f>IFERROR(__xludf.DUMMYFUNCTION("""COMPUTED_VALUE"""),8.0)</f>
        <v>8</v>
      </c>
      <c r="M959" s="4" t="str">
        <f>IFERROR(__xludf.DUMMYFUNCTION("""COMPUTED_VALUE"""),"N/A (Not found)")</f>
        <v>N/A (Not found)</v>
      </c>
      <c r="N959" s="33">
        <f>IFERROR(__xludf.DUMMYFUNCTION("""COMPUTED_VALUE"""),0.5)</f>
        <v>0.5</v>
      </c>
      <c r="O959" s="4" t="str">
        <f>IFERROR(__xludf.DUMMYFUNCTION("""COMPUTED_VALUE"""),"null")</f>
        <v>null</v>
      </c>
      <c r="P959" s="33">
        <f>IFERROR(__xludf.DUMMYFUNCTION("""COMPUTED_VALUE"""),0.875)</f>
        <v>0.875</v>
      </c>
      <c r="Q959" s="4" t="str">
        <f>IFERROR(__xludf.DUMMYFUNCTION("""COMPUTED_VALUE"""),"null")</f>
        <v>null</v>
      </c>
      <c r="R959" s="33">
        <f>IFERROR(__xludf.DUMMYFUNCTION("""COMPUTED_VALUE"""),0.875)</f>
        <v>0.875</v>
      </c>
      <c r="S959" s="4" t="str">
        <f>IFERROR(__xludf.DUMMYFUNCTION("""COMPUTED_VALUE"""),"null")</f>
        <v>null</v>
      </c>
      <c r="T959" s="33">
        <f>IFERROR(__xludf.DUMMYFUNCTION("""COMPUTED_VALUE"""),0.75)</f>
        <v>0.75</v>
      </c>
      <c r="U959" s="4" t="str">
        <f>IFERROR(__xludf.DUMMYFUNCTION("""COMPUTED_VALUE"""),"null")</f>
        <v>null</v>
      </c>
      <c r="V959" s="33">
        <f>IFERROR(__xludf.DUMMYFUNCTION("""COMPUTED_VALUE"""),0.75)</f>
        <v>0.75</v>
      </c>
      <c r="W959" s="4" t="str">
        <f>IFERROR(__xludf.DUMMYFUNCTION("""COMPUTED_VALUE"""),"null")</f>
        <v>null</v>
      </c>
      <c r="X959" s="33">
        <f>IFERROR(__xludf.DUMMYFUNCTION("""COMPUTED_VALUE"""),0.875)</f>
        <v>0.875</v>
      </c>
    </row>
    <row r="960">
      <c r="K960" s="4" t="str">
        <f>IFERROR(__xludf.DUMMYFUNCTION("""COMPUTED_VALUE"""),"ESTUPENDA")</f>
        <v>ESTUPENDA</v>
      </c>
      <c r="L960" s="32">
        <f>IFERROR(__xludf.DUMMYFUNCTION("""COMPUTED_VALUE"""),8.0)</f>
        <v>8</v>
      </c>
      <c r="M960" s="4" t="str">
        <f>IFERROR(__xludf.DUMMYFUNCTION("""COMPUTED_VALUE"""),"Opdv")</f>
        <v>Opdv</v>
      </c>
      <c r="N960" s="33">
        <f>IFERROR(__xludf.DUMMYFUNCTION("""COMPUTED_VALUE"""),1.0)</f>
        <v>1</v>
      </c>
      <c r="O960" s="4" t="str">
        <f>IFERROR(__xludf.DUMMYFUNCTION("""COMPUTED_VALUE"""),"Opdv")</f>
        <v>Opdv</v>
      </c>
      <c r="P960" s="33">
        <f>IFERROR(__xludf.DUMMYFUNCTION("""COMPUTED_VALUE"""),1.0)</f>
        <v>1</v>
      </c>
      <c r="Q960" s="4" t="str">
        <f>IFERROR(__xludf.DUMMYFUNCTION("""COMPUTED_VALUE"""),"Opdv")</f>
        <v>Opdv</v>
      </c>
      <c r="R960" s="33">
        <f>IFERROR(__xludf.DUMMYFUNCTION("""COMPUTED_VALUE"""),1.0)</f>
        <v>1</v>
      </c>
      <c r="S960" s="4" t="str">
        <f>IFERROR(__xludf.DUMMYFUNCTION("""COMPUTED_VALUE"""),"Opdv")</f>
        <v>Opdv</v>
      </c>
      <c r="T960" s="33">
        <f>IFERROR(__xludf.DUMMYFUNCTION("""COMPUTED_VALUE"""),1.0)</f>
        <v>1</v>
      </c>
      <c r="U960" s="4" t="str">
        <f>IFERROR(__xludf.DUMMYFUNCTION("""COMPUTED_VALUE"""),"Opdv")</f>
        <v>Opdv</v>
      </c>
      <c r="V960" s="33">
        <f>IFERROR(__xludf.DUMMYFUNCTION("""COMPUTED_VALUE"""),1.0)</f>
        <v>1</v>
      </c>
      <c r="W960" s="4" t="str">
        <f>IFERROR(__xludf.DUMMYFUNCTION("""COMPUTED_VALUE"""),"Opdv")</f>
        <v>Opdv</v>
      </c>
      <c r="X960" s="33">
        <f>IFERROR(__xludf.DUMMYFUNCTION("""COMPUTED_VALUE"""),1.0)</f>
        <v>1</v>
      </c>
    </row>
    <row r="961">
      <c r="K961" s="4" t="str">
        <f>IFERROR(__xludf.DUMMYFUNCTION("""COMPUTED_VALUE"""),"GRUPO VISSIMO - CONTA GRUPO")</f>
        <v>GRUPO VISSIMO - CONTA GRUPO</v>
      </c>
      <c r="L961" s="32">
        <f>IFERROR(__xludf.DUMMYFUNCTION("""COMPUTED_VALUE"""),8.0)</f>
        <v>8</v>
      </c>
      <c r="M961" s="4" t="str">
        <f>IFERROR(__xludf.DUMMYFUNCTION("""COMPUTED_VALUE"""),"null")</f>
        <v>null</v>
      </c>
      <c r="N961" s="33">
        <f>IFERROR(__xludf.DUMMYFUNCTION("""COMPUTED_VALUE"""),0.25)</f>
        <v>0.25</v>
      </c>
      <c r="O961" s="4" t="str">
        <f>IFERROR(__xludf.DUMMYFUNCTION("""COMPUTED_VALUE"""),"null")</f>
        <v>null</v>
      </c>
      <c r="P961" s="33">
        <f>IFERROR(__xludf.DUMMYFUNCTION("""COMPUTED_VALUE"""),0.75)</f>
        <v>0.75</v>
      </c>
      <c r="Q961" s="4" t="str">
        <f>IFERROR(__xludf.DUMMYFUNCTION("""COMPUTED_VALUE"""),"null")</f>
        <v>null</v>
      </c>
      <c r="R961" s="33">
        <f>IFERROR(__xludf.DUMMYFUNCTION("""COMPUTED_VALUE"""),0.75)</f>
        <v>0.75</v>
      </c>
      <c r="S961" s="4" t="str">
        <f>IFERROR(__xludf.DUMMYFUNCTION("""COMPUTED_VALUE"""),"null")</f>
        <v>null</v>
      </c>
      <c r="T961" s="33">
        <f>IFERROR(__xludf.DUMMYFUNCTION("""COMPUTED_VALUE"""),0.875)</f>
        <v>0.875</v>
      </c>
      <c r="U961" s="4" t="str">
        <f>IFERROR(__xludf.DUMMYFUNCTION("""COMPUTED_VALUE"""),"null")</f>
        <v>null</v>
      </c>
      <c r="V961" s="33">
        <f>IFERROR(__xludf.DUMMYFUNCTION("""COMPUTED_VALUE"""),0.625)</f>
        <v>0.625</v>
      </c>
      <c r="W961" s="4" t="str">
        <f>IFERROR(__xludf.DUMMYFUNCTION("""COMPUTED_VALUE"""),"null")</f>
        <v>null</v>
      </c>
      <c r="X961" s="33">
        <f>IFERROR(__xludf.DUMMYFUNCTION("""COMPUTED_VALUE"""),0.5)</f>
        <v>0.5</v>
      </c>
    </row>
    <row r="962">
      <c r="K962" s="4" t="str">
        <f>IFERROR(__xludf.DUMMYFUNCTION("""COMPUTED_VALUE"""),"EX BURGUER M")</f>
        <v>EX BURGUER M</v>
      </c>
      <c r="L962" s="32">
        <f>IFERROR(__xludf.DUMMYFUNCTION("""COMPUTED_VALUE"""),8.0)</f>
        <v>8</v>
      </c>
      <c r="M962" s="4" t="str">
        <f>IFERROR(__xludf.DUMMYFUNCTION("""COMPUTED_VALUE"""),"Anota Ai Solucoes Digitais S/a")</f>
        <v>Anota Ai Solucoes Digitais S/a</v>
      </c>
      <c r="N962" s="33">
        <f>IFERROR(__xludf.DUMMYFUNCTION("""COMPUTED_VALUE"""),0.375)</f>
        <v>0.375</v>
      </c>
      <c r="O962" s="4" t="str">
        <f>IFERROR(__xludf.DUMMYFUNCTION("""COMPUTED_VALUE"""),"Anota Ai Solucoes Digitais S/a")</f>
        <v>Anota Ai Solucoes Digitais S/a</v>
      </c>
      <c r="P962" s="33">
        <f>IFERROR(__xludf.DUMMYFUNCTION("""COMPUTED_VALUE"""),0.375)</f>
        <v>0.375</v>
      </c>
      <c r="Q962" s="4" t="str">
        <f>IFERROR(__xludf.DUMMYFUNCTION("""COMPUTED_VALUE"""),"Anota Ai Solucoes Digitais S/a")</f>
        <v>Anota Ai Solucoes Digitais S/a</v>
      </c>
      <c r="R962" s="33">
        <f>IFERROR(__xludf.DUMMYFUNCTION("""COMPUTED_VALUE"""),0.375)</f>
        <v>0.375</v>
      </c>
      <c r="S962" s="4" t="str">
        <f>IFERROR(__xludf.DUMMYFUNCTION("""COMPUTED_VALUE"""),"null")</f>
        <v>null</v>
      </c>
      <c r="T962" s="33">
        <f>IFERROR(__xludf.DUMMYFUNCTION("""COMPUTED_VALUE"""),0.375)</f>
        <v>0.375</v>
      </c>
      <c r="U962" s="4" t="str">
        <f>IFERROR(__xludf.DUMMYFUNCTION("""COMPUTED_VALUE"""),"null")</f>
        <v>null</v>
      </c>
      <c r="V962" s="33">
        <f>IFERROR(__xludf.DUMMYFUNCTION("""COMPUTED_VALUE"""),0.625)</f>
        <v>0.625</v>
      </c>
      <c r="W962" s="4" t="str">
        <f>IFERROR(__xludf.DUMMYFUNCTION("""COMPUTED_VALUE"""),"null")</f>
        <v>null</v>
      </c>
      <c r="X962" s="33">
        <f>IFERROR(__xludf.DUMMYFUNCTION("""COMPUTED_VALUE"""),0.5)</f>
        <v>0.5</v>
      </c>
    </row>
    <row r="963">
      <c r="K963" s="4" t="str">
        <f>IFERROR(__xludf.DUMMYFUNCTION("""COMPUTED_VALUE"""),"FABRICA GOURMET SALGADERIA")</f>
        <v>FABRICA GOURMET SALGADERIA</v>
      </c>
      <c r="L963" s="32">
        <f>IFERROR(__xludf.DUMMYFUNCTION("""COMPUTED_VALUE"""),8.0)</f>
        <v>8</v>
      </c>
      <c r="M963" s="4" t="str">
        <f>IFERROR(__xludf.DUMMYFUNCTION("""COMPUTED_VALUE"""),"null")</f>
        <v>null</v>
      </c>
      <c r="N963" s="33">
        <f>IFERROR(__xludf.DUMMYFUNCTION("""COMPUTED_VALUE"""),0.625)</f>
        <v>0.625</v>
      </c>
      <c r="O963" s="4" t="str">
        <f>IFERROR(__xludf.DUMMYFUNCTION("""COMPUTED_VALUE"""),"Saipos Serviços De Software")</f>
        <v>Saipos Serviços De Software</v>
      </c>
      <c r="P963" s="33">
        <f>IFERROR(__xludf.DUMMYFUNCTION("""COMPUTED_VALUE"""),0.625)</f>
        <v>0.625</v>
      </c>
      <c r="Q963" s="4" t="str">
        <f>IFERROR(__xludf.DUMMYFUNCTION("""COMPUTED_VALUE"""),"Saipos Serviços De Software")</f>
        <v>Saipos Serviços De Software</v>
      </c>
      <c r="R963" s="33">
        <f>IFERROR(__xludf.DUMMYFUNCTION("""COMPUTED_VALUE"""),0.625)</f>
        <v>0.625</v>
      </c>
      <c r="S963" s="4" t="str">
        <f>IFERROR(__xludf.DUMMYFUNCTION("""COMPUTED_VALUE"""),"Saipos Serviços De Software")</f>
        <v>Saipos Serviços De Software</v>
      </c>
      <c r="T963" s="33">
        <f>IFERROR(__xludf.DUMMYFUNCTION("""COMPUTED_VALUE"""),0.875)</f>
        <v>0.875</v>
      </c>
      <c r="U963" s="4" t="str">
        <f>IFERROR(__xludf.DUMMYFUNCTION("""COMPUTED_VALUE"""),"Saipos Serviços De Software")</f>
        <v>Saipos Serviços De Software</v>
      </c>
      <c r="V963" s="33">
        <f>IFERROR(__xludf.DUMMYFUNCTION("""COMPUTED_VALUE"""),0.875)</f>
        <v>0.875</v>
      </c>
      <c r="W963" s="4" t="str">
        <f>IFERROR(__xludf.DUMMYFUNCTION("""COMPUTED_VALUE"""),"Saipos Serviços De Software")</f>
        <v>Saipos Serviços De Software</v>
      </c>
      <c r="X963" s="33">
        <f>IFERROR(__xludf.DUMMYFUNCTION("""COMPUTED_VALUE"""),1.0)</f>
        <v>1</v>
      </c>
    </row>
    <row r="964">
      <c r="K964" s="4" t="str">
        <f>IFERROR(__xludf.DUMMYFUNCTION("""COMPUTED_VALUE"""),"FAMOUS CHICKEN - CONTA MARCA")</f>
        <v>FAMOUS CHICKEN - CONTA MARCA</v>
      </c>
      <c r="L964" s="32">
        <f>IFERROR(__xludf.DUMMYFUNCTION("""COMPUTED_VALUE"""),8.0)</f>
        <v>8</v>
      </c>
      <c r="M964" s="4" t="str">
        <f>IFERROR(__xludf.DUMMYFUNCTION("""COMPUTED_VALUE"""),"Expresso Delivery")</f>
        <v>Expresso Delivery</v>
      </c>
      <c r="N964" s="33">
        <f>IFERROR(__xludf.DUMMYFUNCTION("""COMPUTED_VALUE"""),0.5)</f>
        <v>0.5</v>
      </c>
      <c r="O964" s="4" t="str">
        <f>IFERROR(__xludf.DUMMYFUNCTION("""COMPUTED_VALUE"""),"Expresso Delivery")</f>
        <v>Expresso Delivery</v>
      </c>
      <c r="P964" s="33">
        <f>IFERROR(__xludf.DUMMYFUNCTION("""COMPUTED_VALUE"""),0.375)</f>
        <v>0.375</v>
      </c>
      <c r="Q964" s="4" t="str">
        <f>IFERROR(__xludf.DUMMYFUNCTION("""COMPUTED_VALUE"""),"Expresso Delivery")</f>
        <v>Expresso Delivery</v>
      </c>
      <c r="R964" s="33">
        <f>IFERROR(__xludf.DUMMYFUNCTION("""COMPUTED_VALUE"""),0.375)</f>
        <v>0.375</v>
      </c>
      <c r="S964" s="4" t="str">
        <f>IFERROR(__xludf.DUMMYFUNCTION("""COMPUTED_VALUE"""),"Expresso Delivery")</f>
        <v>Expresso Delivery</v>
      </c>
      <c r="T964" s="33">
        <f>IFERROR(__xludf.DUMMYFUNCTION("""COMPUTED_VALUE"""),0.5)</f>
        <v>0.5</v>
      </c>
      <c r="U964" s="4" t="str">
        <f>IFERROR(__xludf.DUMMYFUNCTION("""COMPUTED_VALUE"""),"Expresso Delivery")</f>
        <v>Expresso Delivery</v>
      </c>
      <c r="V964" s="33">
        <f>IFERROR(__xludf.DUMMYFUNCTION("""COMPUTED_VALUE"""),0.5)</f>
        <v>0.5</v>
      </c>
      <c r="W964" s="4" t="str">
        <f>IFERROR(__xludf.DUMMYFUNCTION("""COMPUTED_VALUE"""),"Expresso Delivery")</f>
        <v>Expresso Delivery</v>
      </c>
      <c r="X964" s="33">
        <f>IFERROR(__xludf.DUMMYFUNCTION("""COMPUTED_VALUE"""),0.5)</f>
        <v>0.5</v>
      </c>
    </row>
    <row r="965">
      <c r="K965" s="4" t="str">
        <f>IFERROR(__xludf.DUMMYFUNCTION("""COMPUTED_VALUE"""),"FARMACIAS ANTONELLI - CONTA MARCA")</f>
        <v>FARMACIAS ANTONELLI - CONTA MARCA</v>
      </c>
      <c r="L965" s="32">
        <f>IFERROR(__xludf.DUMMYFUNCTION("""COMPUTED_VALUE"""),8.0)</f>
        <v>8</v>
      </c>
      <c r="M965" s="4" t="str">
        <f>IFERROR(__xludf.DUMMYFUNCTION("""COMPUTED_VALUE"""),"N/A (Not found)")</f>
        <v>N/A (Not found)</v>
      </c>
      <c r="N965" s="33">
        <f>IFERROR(__xludf.DUMMYFUNCTION("""COMPUTED_VALUE"""),0.75)</f>
        <v>0.75</v>
      </c>
      <c r="O965" s="4" t="str">
        <f>IFERROR(__xludf.DUMMYFUNCTION("""COMPUTED_VALUE"""),"N/A (Not found)")</f>
        <v>N/A (Not found)</v>
      </c>
      <c r="P965" s="33">
        <f>IFERROR(__xludf.DUMMYFUNCTION("""COMPUTED_VALUE"""),0.75)</f>
        <v>0.75</v>
      </c>
      <c r="Q965" s="4" t="str">
        <f>IFERROR(__xludf.DUMMYFUNCTION("""COMPUTED_VALUE"""),"N/A (Not found)")</f>
        <v>N/A (Not found)</v>
      </c>
      <c r="R965" s="33">
        <f>IFERROR(__xludf.DUMMYFUNCTION("""COMPUTED_VALUE"""),0.75)</f>
        <v>0.75</v>
      </c>
      <c r="S965" s="4" t="str">
        <f>IFERROR(__xludf.DUMMYFUNCTION("""COMPUTED_VALUE"""),"N/A (Not found)")</f>
        <v>N/A (Not found)</v>
      </c>
      <c r="T965" s="33">
        <f>IFERROR(__xludf.DUMMYFUNCTION("""COMPUTED_VALUE"""),0.875)</f>
        <v>0.875</v>
      </c>
      <c r="U965" s="4" t="str">
        <f>IFERROR(__xludf.DUMMYFUNCTION("""COMPUTED_VALUE"""),"N/A (Not found)")</f>
        <v>N/A (Not found)</v>
      </c>
      <c r="V965" s="33">
        <f>IFERROR(__xludf.DUMMYFUNCTION("""COMPUTED_VALUE"""),1.0)</f>
        <v>1</v>
      </c>
      <c r="W965" s="4" t="str">
        <f>IFERROR(__xludf.DUMMYFUNCTION("""COMPUTED_VALUE"""),"N/A (Not found)")</f>
        <v>N/A (Not found)</v>
      </c>
      <c r="X965" s="33">
        <f>IFERROR(__xludf.DUMMYFUNCTION("""COMPUTED_VALUE"""),0.75)</f>
        <v>0.75</v>
      </c>
    </row>
    <row r="966">
      <c r="K966" s="4" t="str">
        <f>IFERROR(__xludf.DUMMYFUNCTION("""COMPUTED_VALUE"""),"FARMACIAS PMP")</f>
        <v>FARMACIAS PMP</v>
      </c>
      <c r="L966" s="32">
        <f>IFERROR(__xludf.DUMMYFUNCTION("""COMPUTED_VALUE"""),8.0)</f>
        <v>8</v>
      </c>
      <c r="M966" s="4" t="str">
        <f>IFERROR(__xludf.DUMMYFUNCTION("""COMPUTED_VALUE"""),"N/A (Not found)")</f>
        <v>N/A (Not found)</v>
      </c>
      <c r="N966" s="33">
        <f>IFERROR(__xludf.DUMMYFUNCTION("""COMPUTED_VALUE"""),1.0)</f>
        <v>1</v>
      </c>
      <c r="O966" s="4" t="str">
        <f>IFERROR(__xludf.DUMMYFUNCTION("""COMPUTED_VALUE"""),"N/A (Not found)")</f>
        <v>N/A (Not found)</v>
      </c>
      <c r="P966" s="33">
        <f>IFERROR(__xludf.DUMMYFUNCTION("""COMPUTED_VALUE"""),0.875)</f>
        <v>0.875</v>
      </c>
      <c r="Q966" s="4" t="str">
        <f>IFERROR(__xludf.DUMMYFUNCTION("""COMPUTED_VALUE"""),"null")</f>
        <v>null</v>
      </c>
      <c r="R966" s="33">
        <f>IFERROR(__xludf.DUMMYFUNCTION("""COMPUTED_VALUE"""),1.0)</f>
        <v>1</v>
      </c>
      <c r="S966" s="4" t="str">
        <f>IFERROR(__xludf.DUMMYFUNCTION("""COMPUTED_VALUE"""),"null")</f>
        <v>null</v>
      </c>
      <c r="T966" s="33">
        <f>IFERROR(__xludf.DUMMYFUNCTION("""COMPUTED_VALUE"""),1.0)</f>
        <v>1</v>
      </c>
      <c r="U966" s="4" t="str">
        <f>IFERROR(__xludf.DUMMYFUNCTION("""COMPUTED_VALUE"""),"null")</f>
        <v>null</v>
      </c>
      <c r="V966" s="33">
        <f>IFERROR(__xludf.DUMMYFUNCTION("""COMPUTED_VALUE"""),1.0)</f>
        <v>1</v>
      </c>
      <c r="W966" s="4" t="str">
        <f>IFERROR(__xludf.DUMMYFUNCTION("""COMPUTED_VALUE"""),"null")</f>
        <v>null</v>
      </c>
      <c r="X966" s="33">
        <f>IFERROR(__xludf.DUMMYFUNCTION("""COMPUTED_VALUE"""),1.0)</f>
        <v>1</v>
      </c>
    </row>
    <row r="967">
      <c r="K967" s="4" t="str">
        <f>IFERROR(__xludf.DUMMYFUNCTION("""COMPUTED_VALUE"""),"FARMACIAS PRINCESA - CONTA MARCA")</f>
        <v>FARMACIAS PRINCESA - CONTA MARCA</v>
      </c>
      <c r="L967" s="32">
        <f>IFERROR(__xludf.DUMMYFUNCTION("""COMPUTED_VALUE"""),8.0)</f>
        <v>8</v>
      </c>
      <c r="M967" s="4" t="str">
        <f>IFERROR(__xludf.DUMMYFUNCTION("""COMPUTED_VALUE"""),"N/A (Not found)")</f>
        <v>N/A (Not found)</v>
      </c>
      <c r="N967" s="33">
        <f>IFERROR(__xludf.DUMMYFUNCTION("""COMPUTED_VALUE"""),0.75)</f>
        <v>0.75</v>
      </c>
      <c r="O967" s="4" t="str">
        <f>IFERROR(__xludf.DUMMYFUNCTION("""COMPUTED_VALUE"""),"N/A (Not found)")</f>
        <v>N/A (Not found)</v>
      </c>
      <c r="P967" s="33">
        <f>IFERROR(__xludf.DUMMYFUNCTION("""COMPUTED_VALUE"""),0.75)</f>
        <v>0.75</v>
      </c>
      <c r="Q967" s="4" t="str">
        <f>IFERROR(__xludf.DUMMYFUNCTION("""COMPUTED_VALUE"""),"N/A (Not found)")</f>
        <v>N/A (Not found)</v>
      </c>
      <c r="R967" s="33">
        <f>IFERROR(__xludf.DUMMYFUNCTION("""COMPUTED_VALUE"""),0.75)</f>
        <v>0.75</v>
      </c>
      <c r="S967" s="4" t="str">
        <f>IFERROR(__xludf.DUMMYFUNCTION("""COMPUTED_VALUE"""),"N/A (Not found)")</f>
        <v>N/A (Not found)</v>
      </c>
      <c r="T967" s="33">
        <f>IFERROR(__xludf.DUMMYFUNCTION("""COMPUTED_VALUE"""),0.75)</f>
        <v>0.75</v>
      </c>
      <c r="U967" s="4" t="str">
        <f>IFERROR(__xludf.DUMMYFUNCTION("""COMPUTED_VALUE"""),"N/A (Not found)")</f>
        <v>N/A (Not found)</v>
      </c>
      <c r="V967" s="33">
        <f>IFERROR(__xludf.DUMMYFUNCTION("""COMPUTED_VALUE"""),0.75)</f>
        <v>0.75</v>
      </c>
      <c r="W967" s="4" t="str">
        <f>IFERROR(__xludf.DUMMYFUNCTION("""COMPUTED_VALUE"""),"N/A (Not found)")</f>
        <v>N/A (Not found)</v>
      </c>
      <c r="X967" s="33">
        <f>IFERROR(__xludf.DUMMYFUNCTION("""COMPUTED_VALUE"""),1.0)</f>
        <v>1</v>
      </c>
    </row>
    <row r="968">
      <c r="K968" s="4" t="str">
        <f>IFERROR(__xludf.DUMMYFUNCTION("""COMPUTED_VALUE"""),"FARMACIAS ULTRAMED - CONTA MARCA")</f>
        <v>FARMACIAS ULTRAMED - CONTA MARCA</v>
      </c>
      <c r="L968" s="32">
        <f>IFERROR(__xludf.DUMMYFUNCTION("""COMPUTED_VALUE"""),8.0)</f>
        <v>8</v>
      </c>
      <c r="M968" s="4" t="str">
        <f>IFERROR(__xludf.DUMMYFUNCTION("""COMPUTED_VALUE"""),"N/A (Not found)")</f>
        <v>N/A (Not found)</v>
      </c>
      <c r="N968" s="33">
        <f>IFERROR(__xludf.DUMMYFUNCTION("""COMPUTED_VALUE"""),0.875)</f>
        <v>0.875</v>
      </c>
      <c r="O968" s="4" t="str">
        <f>IFERROR(__xludf.DUMMYFUNCTION("""COMPUTED_VALUE"""),"N/A (Not found)")</f>
        <v>N/A (Not found)</v>
      </c>
      <c r="P968" s="33">
        <f>IFERROR(__xludf.DUMMYFUNCTION("""COMPUTED_VALUE"""),1.0)</f>
        <v>1</v>
      </c>
      <c r="Q968" s="4" t="str">
        <f>IFERROR(__xludf.DUMMYFUNCTION("""COMPUTED_VALUE"""),"N/A (Not found)")</f>
        <v>N/A (Not found)</v>
      </c>
      <c r="R968" s="33">
        <f>IFERROR(__xludf.DUMMYFUNCTION("""COMPUTED_VALUE"""),1.0)</f>
        <v>1</v>
      </c>
      <c r="S968" s="4" t="str">
        <f>IFERROR(__xludf.DUMMYFUNCTION("""COMPUTED_VALUE"""),"N/A (Not found)")</f>
        <v>N/A (Not found)</v>
      </c>
      <c r="T968" s="33">
        <f>IFERROR(__xludf.DUMMYFUNCTION("""COMPUTED_VALUE"""),1.0)</f>
        <v>1</v>
      </c>
      <c r="U968" s="4" t="str">
        <f>IFERROR(__xludf.DUMMYFUNCTION("""COMPUTED_VALUE"""),"N/A (Not found)")</f>
        <v>N/A (Not found)</v>
      </c>
      <c r="V968" s="33">
        <f>IFERROR(__xludf.DUMMYFUNCTION("""COMPUTED_VALUE"""),1.0)</f>
        <v>1</v>
      </c>
      <c r="W968" s="4" t="str">
        <f>IFERROR(__xludf.DUMMYFUNCTION("""COMPUTED_VALUE"""),"N/A (Not found)")</f>
        <v>N/A (Not found)</v>
      </c>
      <c r="X968" s="33">
        <f>IFERROR(__xludf.DUMMYFUNCTION("""COMPUTED_VALUE"""),0.875)</f>
        <v>0.875</v>
      </c>
    </row>
    <row r="969">
      <c r="K969" s="4" t="str">
        <f>IFERROR(__xludf.DUMMYFUNCTION("""COMPUTED_VALUE"""),"FARMAIS FARMAVAN -CONTA PAI")</f>
        <v>FARMAIS FARMAVAN -CONTA PAI</v>
      </c>
      <c r="L969" s="32">
        <f>IFERROR(__xludf.DUMMYFUNCTION("""COMPUTED_VALUE"""),8.0)</f>
        <v>8</v>
      </c>
      <c r="M969" s="4" t="str">
        <f>IFERROR(__xludf.DUMMYFUNCTION("""COMPUTED_VALUE"""),"N/A (Not found)")</f>
        <v>N/A (Not found)</v>
      </c>
      <c r="N969" s="33">
        <f>IFERROR(__xludf.DUMMYFUNCTION("""COMPUTED_VALUE"""),1.0)</f>
        <v>1</v>
      </c>
      <c r="O969" s="4" t="str">
        <f>IFERROR(__xludf.DUMMYFUNCTION("""COMPUTED_VALUE"""),"N/A (Not found)")</f>
        <v>N/A (Not found)</v>
      </c>
      <c r="P969" s="33">
        <f>IFERROR(__xludf.DUMMYFUNCTION("""COMPUTED_VALUE"""),1.0)</f>
        <v>1</v>
      </c>
      <c r="Q969" s="4" t="str">
        <f>IFERROR(__xludf.DUMMYFUNCTION("""COMPUTED_VALUE"""),"N/A (Not found)")</f>
        <v>N/A (Not found)</v>
      </c>
      <c r="R969" s="33">
        <f>IFERROR(__xludf.DUMMYFUNCTION("""COMPUTED_VALUE"""),0.875)</f>
        <v>0.875</v>
      </c>
      <c r="S969" s="4" t="str">
        <f>IFERROR(__xludf.DUMMYFUNCTION("""COMPUTED_VALUE"""),"N/A (Not found)")</f>
        <v>N/A (Not found)</v>
      </c>
      <c r="T969" s="33">
        <f>IFERROR(__xludf.DUMMYFUNCTION("""COMPUTED_VALUE"""),1.0)</f>
        <v>1</v>
      </c>
      <c r="U969" s="4" t="str">
        <f>IFERROR(__xludf.DUMMYFUNCTION("""COMPUTED_VALUE"""),"N/A (Not found)")</f>
        <v>N/A (Not found)</v>
      </c>
      <c r="V969" s="33">
        <f>IFERROR(__xludf.DUMMYFUNCTION("""COMPUTED_VALUE"""),1.0)</f>
        <v>1</v>
      </c>
      <c r="W969" s="4" t="str">
        <f>IFERROR(__xludf.DUMMYFUNCTION("""COMPUTED_VALUE"""),"N/A (Not found)")</f>
        <v>N/A (Not found)</v>
      </c>
      <c r="X969" s="33">
        <f>IFERROR(__xludf.DUMMYFUNCTION("""COMPUTED_VALUE"""),1.0)</f>
        <v>1</v>
      </c>
    </row>
    <row r="970">
      <c r="K970" s="4" t="str">
        <f>IFERROR(__xludf.DUMMYFUNCTION("""COMPUTED_VALUE"""),"FARMELHOR - CONTA GRUPO")</f>
        <v>FARMELHOR - CONTA GRUPO</v>
      </c>
      <c r="L970" s="32">
        <f>IFERROR(__xludf.DUMMYFUNCTION("""COMPUTED_VALUE"""),8.0)</f>
        <v>8</v>
      </c>
      <c r="M970" s="4" t="str">
        <f>IFERROR(__xludf.DUMMYFUNCTION("""COMPUTED_VALUE"""),"N/A (Not found)")</f>
        <v>N/A (Not found)</v>
      </c>
      <c r="N970" s="33">
        <f>IFERROR(__xludf.DUMMYFUNCTION("""COMPUTED_VALUE"""),0.875)</f>
        <v>0.875</v>
      </c>
      <c r="O970" s="4" t="str">
        <f>IFERROR(__xludf.DUMMYFUNCTION("""COMPUTED_VALUE"""),"N/A (Not found)")</f>
        <v>N/A (Not found)</v>
      </c>
      <c r="P970" s="33">
        <f>IFERROR(__xludf.DUMMYFUNCTION("""COMPUTED_VALUE"""),0.875)</f>
        <v>0.875</v>
      </c>
      <c r="Q970" s="4" t="str">
        <f>IFERROR(__xludf.DUMMYFUNCTION("""COMPUTED_VALUE"""),"N/A (Not found)")</f>
        <v>N/A (Not found)</v>
      </c>
      <c r="R970" s="33">
        <f>IFERROR(__xludf.DUMMYFUNCTION("""COMPUTED_VALUE"""),0.875)</f>
        <v>0.875</v>
      </c>
      <c r="S970" s="4" t="str">
        <f>IFERROR(__xludf.DUMMYFUNCTION("""COMPUTED_VALUE"""),"N/A (Not found)")</f>
        <v>N/A (Not found)</v>
      </c>
      <c r="T970" s="33">
        <f>IFERROR(__xludf.DUMMYFUNCTION("""COMPUTED_VALUE"""),0.75)</f>
        <v>0.75</v>
      </c>
      <c r="U970" s="4" t="str">
        <f>IFERROR(__xludf.DUMMYFUNCTION("""COMPUTED_VALUE"""),"N/A (Not found)")</f>
        <v>N/A (Not found)</v>
      </c>
      <c r="V970" s="33">
        <f>IFERROR(__xludf.DUMMYFUNCTION("""COMPUTED_VALUE"""),0.75)</f>
        <v>0.75</v>
      </c>
      <c r="W970" s="4" t="str">
        <f>IFERROR(__xludf.DUMMYFUNCTION("""COMPUTED_VALUE"""),"N/A (Not found)")</f>
        <v>N/A (Not found)</v>
      </c>
      <c r="X970" s="33">
        <f>IFERROR(__xludf.DUMMYFUNCTION("""COMPUTED_VALUE"""),0.75)</f>
        <v>0.75</v>
      </c>
    </row>
    <row r="971">
      <c r="K971" s="4" t="str">
        <f>IFERROR(__xludf.DUMMYFUNCTION("""COMPUTED_VALUE"""),"FEIJOADA DO ABILIO")</f>
        <v>FEIJOADA DO ABILIO</v>
      </c>
      <c r="L971" s="32">
        <f>IFERROR(__xludf.DUMMYFUNCTION("""COMPUTED_VALUE"""),8.0)</f>
        <v>8</v>
      </c>
      <c r="M971" s="4" t="str">
        <f>IFERROR(__xludf.DUMMYFUNCTION("""COMPUTED_VALUE"""),"Premio Sistemas Ltda")</f>
        <v>Premio Sistemas Ltda</v>
      </c>
      <c r="N971" s="33">
        <f>IFERROR(__xludf.DUMMYFUNCTION("""COMPUTED_VALUE"""),0.5)</f>
        <v>0.5</v>
      </c>
      <c r="O971" s="4" t="str">
        <f>IFERROR(__xludf.DUMMYFUNCTION("""COMPUTED_VALUE"""),"Saipos Serviços De Software")</f>
        <v>Saipos Serviços De Software</v>
      </c>
      <c r="P971" s="33">
        <f>IFERROR(__xludf.DUMMYFUNCTION("""COMPUTED_VALUE"""),0.375)</f>
        <v>0.375</v>
      </c>
      <c r="Q971" s="4" t="str">
        <f>IFERROR(__xludf.DUMMYFUNCTION("""COMPUTED_VALUE"""),"Saipos Serviços De Software")</f>
        <v>Saipos Serviços De Software</v>
      </c>
      <c r="R971" s="33">
        <f>IFERROR(__xludf.DUMMYFUNCTION("""COMPUTED_VALUE"""),0.375)</f>
        <v>0.375</v>
      </c>
      <c r="S971" s="4" t="str">
        <f>IFERROR(__xludf.DUMMYFUNCTION("""COMPUTED_VALUE"""),"Saipos Serviços De Software")</f>
        <v>Saipos Serviços De Software</v>
      </c>
      <c r="T971" s="33">
        <f>IFERROR(__xludf.DUMMYFUNCTION("""COMPUTED_VALUE"""),0.375)</f>
        <v>0.375</v>
      </c>
      <c r="U971" s="4" t="str">
        <f>IFERROR(__xludf.DUMMYFUNCTION("""COMPUTED_VALUE"""),"Premio Sistemas Ltda")</f>
        <v>Premio Sistemas Ltda</v>
      </c>
      <c r="V971" s="33">
        <f>IFERROR(__xludf.DUMMYFUNCTION("""COMPUTED_VALUE"""),0.375)</f>
        <v>0.375</v>
      </c>
      <c r="W971" s="4" t="str">
        <f>IFERROR(__xludf.DUMMYFUNCTION("""COMPUTED_VALUE"""),"Premio Sistemas Ltda")</f>
        <v>Premio Sistemas Ltda</v>
      </c>
      <c r="X971" s="33">
        <f>IFERROR(__xludf.DUMMYFUNCTION("""COMPUTED_VALUE"""),0.375)</f>
        <v>0.375</v>
      </c>
    </row>
    <row r="972">
      <c r="K972" s="4" t="str">
        <f>IFERROR(__xludf.DUMMYFUNCTION("""COMPUTED_VALUE"""),"FLORESTA DELIVERY")</f>
        <v>FLORESTA DELIVERY</v>
      </c>
      <c r="L972" s="32">
        <f>IFERROR(__xludf.DUMMYFUNCTION("""COMPUTED_VALUE"""),8.0)</f>
        <v>8</v>
      </c>
      <c r="M972" s="4" t="str">
        <f>IFERROR(__xludf.DUMMYFUNCTION("""COMPUTED_VALUE"""),"Izzy Way Tecnologia")</f>
        <v>Izzy Way Tecnologia</v>
      </c>
      <c r="N972" s="33">
        <f>IFERROR(__xludf.DUMMYFUNCTION("""COMPUTED_VALUE"""),0.875)</f>
        <v>0.875</v>
      </c>
      <c r="O972" s="4" t="str">
        <f>IFERROR(__xludf.DUMMYFUNCTION("""COMPUTED_VALUE"""),"Izzy Way Tecnologia")</f>
        <v>Izzy Way Tecnologia</v>
      </c>
      <c r="P972" s="33">
        <f>IFERROR(__xludf.DUMMYFUNCTION("""COMPUTED_VALUE"""),0.875)</f>
        <v>0.875</v>
      </c>
      <c r="Q972" s="4" t="str">
        <f>IFERROR(__xludf.DUMMYFUNCTION("""COMPUTED_VALUE"""),"Izzy Way Tecnologia")</f>
        <v>Izzy Way Tecnologia</v>
      </c>
      <c r="R972" s="33">
        <f>IFERROR(__xludf.DUMMYFUNCTION("""COMPUTED_VALUE"""),0.875)</f>
        <v>0.875</v>
      </c>
      <c r="S972" s="4" t="str">
        <f>IFERROR(__xludf.DUMMYFUNCTION("""COMPUTED_VALUE"""),"Izzy Way Tecnologia")</f>
        <v>Izzy Way Tecnologia</v>
      </c>
      <c r="T972" s="33">
        <f>IFERROR(__xludf.DUMMYFUNCTION("""COMPUTED_VALUE"""),0.875)</f>
        <v>0.875</v>
      </c>
      <c r="U972" s="4" t="str">
        <f>IFERROR(__xludf.DUMMYFUNCTION("""COMPUTED_VALUE"""),"Izzy Way Tecnologia")</f>
        <v>Izzy Way Tecnologia</v>
      </c>
      <c r="V972" s="33">
        <f>IFERROR(__xludf.DUMMYFUNCTION("""COMPUTED_VALUE"""),0.875)</f>
        <v>0.875</v>
      </c>
      <c r="W972" s="4" t="str">
        <f>IFERROR(__xludf.DUMMYFUNCTION("""COMPUTED_VALUE"""),"Izzy Way Tecnologia")</f>
        <v>Izzy Way Tecnologia</v>
      </c>
      <c r="X972" s="33">
        <f>IFERROR(__xludf.DUMMYFUNCTION("""COMPUTED_VALUE"""),1.0)</f>
        <v>1</v>
      </c>
    </row>
    <row r="973">
      <c r="K973" s="4" t="str">
        <f>IFERROR(__xludf.DUMMYFUNCTION("""COMPUTED_VALUE"""),"GALETOS DO BRASIL CONTA MARCA")</f>
        <v>GALETOS DO BRASIL CONTA MARCA</v>
      </c>
      <c r="L973" s="32">
        <f>IFERROR(__xludf.DUMMYFUNCTION("""COMPUTED_VALUE"""),8.0)</f>
        <v>8</v>
      </c>
      <c r="M973" s="4" t="str">
        <f>IFERROR(__xludf.DUMMYFUNCTION("""COMPUTED_VALUE"""),"Izzy Way Tecnologia")</f>
        <v>Izzy Way Tecnologia</v>
      </c>
      <c r="N973" s="33">
        <f>IFERROR(__xludf.DUMMYFUNCTION("""COMPUTED_VALUE"""),0.625)</f>
        <v>0.625</v>
      </c>
      <c r="O973" s="4" t="str">
        <f>IFERROR(__xludf.DUMMYFUNCTION("""COMPUTED_VALUE"""),"Izzy Way Tecnologia")</f>
        <v>Izzy Way Tecnologia</v>
      </c>
      <c r="P973" s="33">
        <f>IFERROR(__xludf.DUMMYFUNCTION("""COMPUTED_VALUE"""),0.625)</f>
        <v>0.625</v>
      </c>
      <c r="Q973" s="4" t="str">
        <f>IFERROR(__xludf.DUMMYFUNCTION("""COMPUTED_VALUE"""),"Izzy Way Tecnologia")</f>
        <v>Izzy Way Tecnologia</v>
      </c>
      <c r="R973" s="33">
        <f>IFERROR(__xludf.DUMMYFUNCTION("""COMPUTED_VALUE"""),0.625)</f>
        <v>0.625</v>
      </c>
      <c r="S973" s="4" t="str">
        <f>IFERROR(__xludf.DUMMYFUNCTION("""COMPUTED_VALUE"""),"Izzy Way Tecnologia")</f>
        <v>Izzy Way Tecnologia</v>
      </c>
      <c r="T973" s="33">
        <f>IFERROR(__xludf.DUMMYFUNCTION("""COMPUTED_VALUE"""),0.625)</f>
        <v>0.625</v>
      </c>
      <c r="U973" s="4" t="str">
        <f>IFERROR(__xludf.DUMMYFUNCTION("""COMPUTED_VALUE"""),"Izzy Way Tecnologia")</f>
        <v>Izzy Way Tecnologia</v>
      </c>
      <c r="V973" s="33">
        <f>IFERROR(__xludf.DUMMYFUNCTION("""COMPUTED_VALUE"""),0.625)</f>
        <v>0.625</v>
      </c>
      <c r="W973" s="4" t="str">
        <f>IFERROR(__xludf.DUMMYFUNCTION("""COMPUTED_VALUE"""),"Izzy Way Tecnologia")</f>
        <v>Izzy Way Tecnologia</v>
      </c>
      <c r="X973" s="33">
        <f>IFERROR(__xludf.DUMMYFUNCTION("""COMPUTED_VALUE"""),0.625)</f>
        <v>0.625</v>
      </c>
    </row>
    <row r="974">
      <c r="K974" s="4" t="str">
        <f>IFERROR(__xludf.DUMMYFUNCTION("""COMPUTED_VALUE"""),"GIACO PIZZARIA")</f>
        <v>GIACO PIZZARIA</v>
      </c>
      <c r="L974" s="32">
        <f>IFERROR(__xludf.DUMMYFUNCTION("""COMPUTED_VALUE"""),8.0)</f>
        <v>8</v>
      </c>
      <c r="M974" s="4" t="str">
        <f>IFERROR(__xludf.DUMMYFUNCTION("""COMPUTED_VALUE"""),"Saipos Serviços De Software")</f>
        <v>Saipos Serviços De Software</v>
      </c>
      <c r="N974" s="33">
        <f>IFERROR(__xludf.DUMMYFUNCTION("""COMPUTED_VALUE"""),0.875)</f>
        <v>0.875</v>
      </c>
      <c r="O974" s="4" t="str">
        <f>IFERROR(__xludf.DUMMYFUNCTION("""COMPUTED_VALUE"""),"Saipos Serviços De Software")</f>
        <v>Saipos Serviços De Software</v>
      </c>
      <c r="P974" s="33">
        <f>IFERROR(__xludf.DUMMYFUNCTION("""COMPUTED_VALUE"""),0.875)</f>
        <v>0.875</v>
      </c>
      <c r="Q974" s="4" t="str">
        <f>IFERROR(__xludf.DUMMYFUNCTION("""COMPUTED_VALUE"""),"Saipos Serviços De Software")</f>
        <v>Saipos Serviços De Software</v>
      </c>
      <c r="R974" s="33">
        <f>IFERROR(__xludf.DUMMYFUNCTION("""COMPUTED_VALUE"""),0.875)</f>
        <v>0.875</v>
      </c>
      <c r="S974" s="4" t="str">
        <f>IFERROR(__xludf.DUMMYFUNCTION("""COMPUTED_VALUE"""),"Saipos Serviços De Software")</f>
        <v>Saipos Serviços De Software</v>
      </c>
      <c r="T974" s="33">
        <f>IFERROR(__xludf.DUMMYFUNCTION("""COMPUTED_VALUE"""),0.5)</f>
        <v>0.5</v>
      </c>
      <c r="U974" s="4" t="str">
        <f>IFERROR(__xludf.DUMMYFUNCTION("""COMPUTED_VALUE"""),"Saipos Serviços De Software")</f>
        <v>Saipos Serviços De Software</v>
      </c>
      <c r="V974" s="33">
        <f>IFERROR(__xludf.DUMMYFUNCTION("""COMPUTED_VALUE"""),0.625)</f>
        <v>0.625</v>
      </c>
      <c r="W974" s="4" t="str">
        <f>IFERROR(__xludf.DUMMYFUNCTION("""COMPUTED_VALUE"""),"Saipos Serviços De Software")</f>
        <v>Saipos Serviços De Software</v>
      </c>
      <c r="X974" s="33">
        <f>IFERROR(__xludf.DUMMYFUNCTION("""COMPUTED_VALUE"""),0.75)</f>
        <v>0.75</v>
      </c>
    </row>
    <row r="975">
      <c r="K975" s="4" t="str">
        <f>IFERROR(__xludf.DUMMYFUNCTION("""COMPUTED_VALUE"""),"GRUPO - LA BOCA")</f>
        <v>GRUPO - LA BOCA</v>
      </c>
      <c r="L975" s="32">
        <f>IFERROR(__xludf.DUMMYFUNCTION("""COMPUTED_VALUE"""),8.0)</f>
        <v>8</v>
      </c>
      <c r="M975" s="4" t="str">
        <f>IFERROR(__xludf.DUMMYFUNCTION("""COMPUTED_VALUE"""),"Saipos Serviços De Software")</f>
        <v>Saipos Serviços De Software</v>
      </c>
      <c r="N975" s="33">
        <f>IFERROR(__xludf.DUMMYFUNCTION("""COMPUTED_VALUE"""),1.0)</f>
        <v>1</v>
      </c>
      <c r="O975" s="4" t="str">
        <f>IFERROR(__xludf.DUMMYFUNCTION("""COMPUTED_VALUE"""),"Saipos Serviços De Software")</f>
        <v>Saipos Serviços De Software</v>
      </c>
      <c r="P975" s="33">
        <f>IFERROR(__xludf.DUMMYFUNCTION("""COMPUTED_VALUE"""),1.0)</f>
        <v>1</v>
      </c>
      <c r="Q975" s="4" t="str">
        <f>IFERROR(__xludf.DUMMYFUNCTION("""COMPUTED_VALUE"""),"Saipos Serviços De Software")</f>
        <v>Saipos Serviços De Software</v>
      </c>
      <c r="R975" s="33">
        <f>IFERROR(__xludf.DUMMYFUNCTION("""COMPUTED_VALUE"""),1.0)</f>
        <v>1</v>
      </c>
      <c r="S975" s="4" t="str">
        <f>IFERROR(__xludf.DUMMYFUNCTION("""COMPUTED_VALUE"""),"Saipos Serviços De Software")</f>
        <v>Saipos Serviços De Software</v>
      </c>
      <c r="T975" s="33">
        <f>IFERROR(__xludf.DUMMYFUNCTION("""COMPUTED_VALUE"""),1.0)</f>
        <v>1</v>
      </c>
      <c r="U975" s="4" t="str">
        <f>IFERROR(__xludf.DUMMYFUNCTION("""COMPUTED_VALUE"""),"Saipos Serviços De Software")</f>
        <v>Saipos Serviços De Software</v>
      </c>
      <c r="V975" s="33">
        <f>IFERROR(__xludf.DUMMYFUNCTION("""COMPUTED_VALUE"""),1.0)</f>
        <v>1</v>
      </c>
      <c r="W975" s="4" t="str">
        <f>IFERROR(__xludf.DUMMYFUNCTION("""COMPUTED_VALUE"""),"Saipos Serviços De Software")</f>
        <v>Saipos Serviços De Software</v>
      </c>
      <c r="X975" s="33">
        <f>IFERROR(__xludf.DUMMYFUNCTION("""COMPUTED_VALUE"""),1.0)</f>
        <v>1</v>
      </c>
    </row>
    <row r="976">
      <c r="K976" s="4" t="str">
        <f>IFERROR(__xludf.DUMMYFUNCTION("""COMPUTED_VALUE"""),"GRUPO ALEX LANCHES")</f>
        <v>GRUPO ALEX LANCHES</v>
      </c>
      <c r="L976" s="32">
        <f>IFERROR(__xludf.DUMMYFUNCTION("""COMPUTED_VALUE"""),8.0)</f>
        <v>8</v>
      </c>
      <c r="M976" s="4" t="str">
        <f>IFERROR(__xludf.DUMMYFUNCTION("""COMPUTED_VALUE"""),"Saipos Serviços De Software")</f>
        <v>Saipos Serviços De Software</v>
      </c>
      <c r="N976" s="33">
        <f>IFERROR(__xludf.DUMMYFUNCTION("""COMPUTED_VALUE"""),0.75)</f>
        <v>0.75</v>
      </c>
      <c r="O976" s="4" t="str">
        <f>IFERROR(__xludf.DUMMYFUNCTION("""COMPUTED_VALUE"""),"Saipos Serviços De Software")</f>
        <v>Saipos Serviços De Software</v>
      </c>
      <c r="P976" s="33">
        <f>IFERROR(__xludf.DUMMYFUNCTION("""COMPUTED_VALUE"""),1.0)</f>
        <v>1</v>
      </c>
      <c r="Q976" s="4" t="str">
        <f>IFERROR(__xludf.DUMMYFUNCTION("""COMPUTED_VALUE"""),"Saipos Serviços De Software")</f>
        <v>Saipos Serviços De Software</v>
      </c>
      <c r="R976" s="33">
        <f>IFERROR(__xludf.DUMMYFUNCTION("""COMPUTED_VALUE"""),1.0)</f>
        <v>1</v>
      </c>
      <c r="S976" s="4" t="str">
        <f>IFERROR(__xludf.DUMMYFUNCTION("""COMPUTED_VALUE"""),"Saipos Serviços De Software")</f>
        <v>Saipos Serviços De Software</v>
      </c>
      <c r="T976" s="33">
        <f>IFERROR(__xludf.DUMMYFUNCTION("""COMPUTED_VALUE"""),1.0)</f>
        <v>1</v>
      </c>
      <c r="U976" s="4" t="str">
        <f>IFERROR(__xludf.DUMMYFUNCTION("""COMPUTED_VALUE"""),"Saipos Serviços De Software")</f>
        <v>Saipos Serviços De Software</v>
      </c>
      <c r="V976" s="33">
        <f>IFERROR(__xludf.DUMMYFUNCTION("""COMPUTED_VALUE"""),1.0)</f>
        <v>1</v>
      </c>
      <c r="W976" s="4" t="str">
        <f>IFERROR(__xludf.DUMMYFUNCTION("""COMPUTED_VALUE"""),"Saipos Serviços De Software")</f>
        <v>Saipos Serviços De Software</v>
      </c>
      <c r="X976" s="33">
        <f>IFERROR(__xludf.DUMMYFUNCTION("""COMPUTED_VALUE"""),0.625)</f>
        <v>0.625</v>
      </c>
    </row>
    <row r="977">
      <c r="K977" s="4" t="str">
        <f>IFERROR(__xludf.DUMMYFUNCTION("""COMPUTED_VALUE"""),"GRUPO BARRETO")</f>
        <v>GRUPO BARRETO</v>
      </c>
      <c r="L977" s="32">
        <f>IFERROR(__xludf.DUMMYFUNCTION("""COMPUTED_VALUE"""),8.0)</f>
        <v>8</v>
      </c>
      <c r="M977" s="4" t="str">
        <f>IFERROR(__xludf.DUMMYFUNCTION("""COMPUTED_VALUE"""),"Cardápio Web")</f>
        <v>Cardápio Web</v>
      </c>
      <c r="N977" s="33">
        <f>IFERROR(__xludf.DUMMYFUNCTION("""COMPUTED_VALUE"""),1.0)</f>
        <v>1</v>
      </c>
      <c r="O977" s="4" t="str">
        <f>IFERROR(__xludf.DUMMYFUNCTION("""COMPUTED_VALUE"""),"Cardápio Web")</f>
        <v>Cardápio Web</v>
      </c>
      <c r="P977" s="33">
        <f>IFERROR(__xludf.DUMMYFUNCTION("""COMPUTED_VALUE"""),1.0)</f>
        <v>1</v>
      </c>
      <c r="Q977" s="4" t="str">
        <f>IFERROR(__xludf.DUMMYFUNCTION("""COMPUTED_VALUE"""),"Cardápio Web")</f>
        <v>Cardápio Web</v>
      </c>
      <c r="R977" s="33">
        <f>IFERROR(__xludf.DUMMYFUNCTION("""COMPUTED_VALUE"""),1.0)</f>
        <v>1</v>
      </c>
      <c r="S977" s="4" t="str">
        <f>IFERROR(__xludf.DUMMYFUNCTION("""COMPUTED_VALUE"""),"Cardápio Web")</f>
        <v>Cardápio Web</v>
      </c>
      <c r="T977" s="33">
        <f>IFERROR(__xludf.DUMMYFUNCTION("""COMPUTED_VALUE"""),1.0)</f>
        <v>1</v>
      </c>
      <c r="U977" s="4" t="str">
        <f>IFERROR(__xludf.DUMMYFUNCTION("""COMPUTED_VALUE"""),"Cardápio Web")</f>
        <v>Cardápio Web</v>
      </c>
      <c r="V977" s="33">
        <f>IFERROR(__xludf.DUMMYFUNCTION("""COMPUTED_VALUE"""),1.0)</f>
        <v>1</v>
      </c>
      <c r="W977" s="4" t="str">
        <f>IFERROR(__xludf.DUMMYFUNCTION("""COMPUTED_VALUE"""),"Cardápio Web")</f>
        <v>Cardápio Web</v>
      </c>
      <c r="X977" s="33">
        <f>IFERROR(__xludf.DUMMYFUNCTION("""COMPUTED_VALUE"""),1.0)</f>
        <v>1</v>
      </c>
    </row>
    <row r="978">
      <c r="K978" s="4" t="str">
        <f>IFERROR(__xludf.DUMMYFUNCTION("""COMPUTED_VALUE"""),"GRUPO BRASA GRILL - MANAUS")</f>
        <v>GRUPO BRASA GRILL - MANAUS</v>
      </c>
      <c r="L978" s="32">
        <f>IFERROR(__xludf.DUMMYFUNCTION("""COMPUTED_VALUE"""),8.0)</f>
        <v>8</v>
      </c>
      <c r="M978" s="4" t="str">
        <f>IFERROR(__xludf.DUMMYFUNCTION("""COMPUTED_VALUE"""),"Saipos Serviços De Software")</f>
        <v>Saipos Serviços De Software</v>
      </c>
      <c r="N978" s="33">
        <f>IFERROR(__xludf.DUMMYFUNCTION("""COMPUTED_VALUE"""),0.875)</f>
        <v>0.875</v>
      </c>
      <c r="O978" s="4" t="str">
        <f>IFERROR(__xludf.DUMMYFUNCTION("""COMPUTED_VALUE"""),"Saipos Serviços De Software")</f>
        <v>Saipos Serviços De Software</v>
      </c>
      <c r="P978" s="33">
        <f>IFERROR(__xludf.DUMMYFUNCTION("""COMPUTED_VALUE"""),0.875)</f>
        <v>0.875</v>
      </c>
      <c r="Q978" s="4" t="str">
        <f>IFERROR(__xludf.DUMMYFUNCTION("""COMPUTED_VALUE"""),"Saipos Serviços De Software")</f>
        <v>Saipos Serviços De Software</v>
      </c>
      <c r="R978" s="33">
        <f>IFERROR(__xludf.DUMMYFUNCTION("""COMPUTED_VALUE"""),0.875)</f>
        <v>0.875</v>
      </c>
      <c r="S978" s="4" t="str">
        <f>IFERROR(__xludf.DUMMYFUNCTION("""COMPUTED_VALUE"""),"Saipos Serviços De Software")</f>
        <v>Saipos Serviços De Software</v>
      </c>
      <c r="T978" s="33">
        <f>IFERROR(__xludf.DUMMYFUNCTION("""COMPUTED_VALUE"""),0.875)</f>
        <v>0.875</v>
      </c>
      <c r="U978" s="4" t="str">
        <f>IFERROR(__xludf.DUMMYFUNCTION("""COMPUTED_VALUE"""),"Saipos Serviços De Software")</f>
        <v>Saipos Serviços De Software</v>
      </c>
      <c r="V978" s="33">
        <f>IFERROR(__xludf.DUMMYFUNCTION("""COMPUTED_VALUE"""),0.875)</f>
        <v>0.875</v>
      </c>
      <c r="W978" s="4" t="str">
        <f>IFERROR(__xludf.DUMMYFUNCTION("""COMPUTED_VALUE"""),"Saipos Serviços De Software")</f>
        <v>Saipos Serviços De Software</v>
      </c>
      <c r="X978" s="33">
        <f>IFERROR(__xludf.DUMMYFUNCTION("""COMPUTED_VALUE"""),1.0)</f>
        <v>1</v>
      </c>
    </row>
    <row r="979">
      <c r="K979" s="4" t="str">
        <f>IFERROR(__xludf.DUMMYFUNCTION("""COMPUTED_VALUE"""),"GRUPO CINCO ESTRELAS")</f>
        <v>GRUPO CINCO ESTRELAS</v>
      </c>
      <c r="L979" s="32">
        <f>IFERROR(__xludf.DUMMYFUNCTION("""COMPUTED_VALUE"""),8.0)</f>
        <v>8</v>
      </c>
      <c r="M979" s="4" t="str">
        <f>IFERROR(__xludf.DUMMYFUNCTION("""COMPUTED_VALUE"""),"null")</f>
        <v>null</v>
      </c>
      <c r="N979" s="33">
        <f>IFERROR(__xludf.DUMMYFUNCTION("""COMPUTED_VALUE"""),0.875)</f>
        <v>0.875</v>
      </c>
      <c r="O979" s="4" t="str">
        <f>IFERROR(__xludf.DUMMYFUNCTION("""COMPUTED_VALUE"""),"null")</f>
        <v>null</v>
      </c>
      <c r="P979" s="33">
        <f>IFERROR(__xludf.DUMMYFUNCTION("""COMPUTED_VALUE"""),0.875)</f>
        <v>0.875</v>
      </c>
      <c r="Q979" s="4" t="str">
        <f>IFERROR(__xludf.DUMMYFUNCTION("""COMPUTED_VALUE"""),"null")</f>
        <v>null</v>
      </c>
      <c r="R979" s="33">
        <f>IFERROR(__xludf.DUMMYFUNCTION("""COMPUTED_VALUE"""),0.875)</f>
        <v>0.875</v>
      </c>
      <c r="S979" s="4" t="str">
        <f>IFERROR(__xludf.DUMMYFUNCTION("""COMPUTED_VALUE"""),"null")</f>
        <v>null</v>
      </c>
      <c r="T979" s="33">
        <f>IFERROR(__xludf.DUMMYFUNCTION("""COMPUTED_VALUE"""),0.625)</f>
        <v>0.625</v>
      </c>
      <c r="U979" s="4" t="str">
        <f>IFERROR(__xludf.DUMMYFUNCTION("""COMPUTED_VALUE"""),"null")</f>
        <v>null</v>
      </c>
      <c r="V979" s="33">
        <f>IFERROR(__xludf.DUMMYFUNCTION("""COMPUTED_VALUE"""),0.625)</f>
        <v>0.625</v>
      </c>
      <c r="W979" s="4" t="str">
        <f>IFERROR(__xludf.DUMMYFUNCTION("""COMPUTED_VALUE"""),"Teknisa Service Ltda")</f>
        <v>Teknisa Service Ltda</v>
      </c>
      <c r="X979" s="33">
        <f>IFERROR(__xludf.DUMMYFUNCTION("""COMPUTED_VALUE"""),0.875)</f>
        <v>0.875</v>
      </c>
    </row>
    <row r="980">
      <c r="K980" s="4" t="str">
        <f>IFERROR(__xludf.DUMMYFUNCTION("""COMPUTED_VALUE"""),"GRUPO DOM BLACK")</f>
        <v>GRUPO DOM BLACK</v>
      </c>
      <c r="L980" s="32">
        <f>IFERROR(__xludf.DUMMYFUNCTION("""COMPUTED_VALUE"""),8.0)</f>
        <v>8</v>
      </c>
      <c r="M980" s="4" t="str">
        <f>IFERROR(__xludf.DUMMYFUNCTION("""COMPUTED_VALUE"""),"L&amp;f Tecnologia Sistemas E Comercio Ltda")</f>
        <v>L&amp;f Tecnologia Sistemas E Comercio Ltda</v>
      </c>
      <c r="N980" s="33">
        <f>IFERROR(__xludf.DUMMYFUNCTION("""COMPUTED_VALUE"""),0.625)</f>
        <v>0.625</v>
      </c>
      <c r="O980" s="4" t="str">
        <f>IFERROR(__xludf.DUMMYFUNCTION("""COMPUTED_VALUE"""),"L&amp;f Tecnologia Sistemas E Comercio Ltda")</f>
        <v>L&amp;f Tecnologia Sistemas E Comercio Ltda</v>
      </c>
      <c r="P980" s="33">
        <f>IFERROR(__xludf.DUMMYFUNCTION("""COMPUTED_VALUE"""),0.625)</f>
        <v>0.625</v>
      </c>
      <c r="Q980" s="4" t="str">
        <f>IFERROR(__xludf.DUMMYFUNCTION("""COMPUTED_VALUE"""),"null")</f>
        <v>null</v>
      </c>
      <c r="R980" s="33">
        <f>IFERROR(__xludf.DUMMYFUNCTION("""COMPUTED_VALUE"""),0.625)</f>
        <v>0.625</v>
      </c>
      <c r="S980" s="4" t="str">
        <f>IFERROR(__xludf.DUMMYFUNCTION("""COMPUTED_VALUE"""),"null")</f>
        <v>null</v>
      </c>
      <c r="T980" s="33">
        <f>IFERROR(__xludf.DUMMYFUNCTION("""COMPUTED_VALUE"""),0.625)</f>
        <v>0.625</v>
      </c>
      <c r="U980" s="4" t="str">
        <f>IFERROR(__xludf.DUMMYFUNCTION("""COMPUTED_VALUE"""),"null")</f>
        <v>null</v>
      </c>
      <c r="V980" s="33">
        <f>IFERROR(__xludf.DUMMYFUNCTION("""COMPUTED_VALUE"""),0.625)</f>
        <v>0.625</v>
      </c>
      <c r="W980" s="4" t="str">
        <f>IFERROR(__xludf.DUMMYFUNCTION("""COMPUTED_VALUE"""),"L&amp;f Tecnologia Sistemas E Comercio Ltda")</f>
        <v>L&amp;f Tecnologia Sistemas E Comercio Ltda</v>
      </c>
      <c r="X980" s="33">
        <f>IFERROR(__xludf.DUMMYFUNCTION("""COMPUTED_VALUE"""),0.875)</f>
        <v>0.875</v>
      </c>
    </row>
    <row r="981">
      <c r="K981" s="4" t="str">
        <f>IFERROR(__xludf.DUMMYFUNCTION("""COMPUTED_VALUE"""),"GRUPO MANIA")</f>
        <v>GRUPO MANIA</v>
      </c>
      <c r="L981" s="32">
        <f>IFERROR(__xludf.DUMMYFUNCTION("""COMPUTED_VALUE"""),8.0)</f>
        <v>8</v>
      </c>
      <c r="M981" s="4" t="str">
        <f>IFERROR(__xludf.DUMMYFUNCTION("""COMPUTED_VALUE"""),"Saipos Serviços De Software")</f>
        <v>Saipos Serviços De Software</v>
      </c>
      <c r="N981" s="33">
        <f>IFERROR(__xludf.DUMMYFUNCTION("""COMPUTED_VALUE"""),1.0)</f>
        <v>1</v>
      </c>
      <c r="O981" s="4" t="str">
        <f>IFERROR(__xludf.DUMMYFUNCTION("""COMPUTED_VALUE"""),"Saipos Serviços De Software")</f>
        <v>Saipos Serviços De Software</v>
      </c>
      <c r="P981" s="33">
        <f>IFERROR(__xludf.DUMMYFUNCTION("""COMPUTED_VALUE"""),1.0)</f>
        <v>1</v>
      </c>
      <c r="Q981" s="4" t="str">
        <f>IFERROR(__xludf.DUMMYFUNCTION("""COMPUTED_VALUE"""),"Saipos Serviços De Software")</f>
        <v>Saipos Serviços De Software</v>
      </c>
      <c r="R981" s="33">
        <f>IFERROR(__xludf.DUMMYFUNCTION("""COMPUTED_VALUE"""),1.0)</f>
        <v>1</v>
      </c>
      <c r="S981" s="4" t="str">
        <f>IFERROR(__xludf.DUMMYFUNCTION("""COMPUTED_VALUE"""),"Saipos Serviços De Software")</f>
        <v>Saipos Serviços De Software</v>
      </c>
      <c r="T981" s="33">
        <f>IFERROR(__xludf.DUMMYFUNCTION("""COMPUTED_VALUE"""),0.75)</f>
        <v>0.75</v>
      </c>
      <c r="U981" s="4" t="str">
        <f>IFERROR(__xludf.DUMMYFUNCTION("""COMPUTED_VALUE"""),"Suitable Tecnologia E Gestao")</f>
        <v>Suitable Tecnologia E Gestao</v>
      </c>
      <c r="V981" s="33">
        <f>IFERROR(__xludf.DUMMYFUNCTION("""COMPUTED_VALUE"""),0.5)</f>
        <v>0.5</v>
      </c>
      <c r="W981" s="4" t="str">
        <f>IFERROR(__xludf.DUMMYFUNCTION("""COMPUTED_VALUE"""),"Suitable Tecnologia E Gestao")</f>
        <v>Suitable Tecnologia E Gestao</v>
      </c>
      <c r="X981" s="33">
        <f>IFERROR(__xludf.DUMMYFUNCTION("""COMPUTED_VALUE"""),1.0)</f>
        <v>1</v>
      </c>
    </row>
    <row r="982">
      <c r="K982" s="4" t="str">
        <f>IFERROR(__xludf.DUMMYFUNCTION("""COMPUTED_VALUE"""),"GRUPO MATILDA")</f>
        <v>GRUPO MATILDA</v>
      </c>
      <c r="L982" s="32">
        <f>IFERROR(__xludf.DUMMYFUNCTION("""COMPUTED_VALUE"""),8.0)</f>
        <v>8</v>
      </c>
      <c r="M982" s="4" t="str">
        <f>IFERROR(__xludf.DUMMYFUNCTION("""COMPUTED_VALUE"""),"Altec Sistemas")</f>
        <v>Altec Sistemas</v>
      </c>
      <c r="N982" s="33">
        <f>IFERROR(__xludf.DUMMYFUNCTION("""COMPUTED_VALUE"""),0.875)</f>
        <v>0.875</v>
      </c>
      <c r="O982" s="4" t="str">
        <f>IFERROR(__xludf.DUMMYFUNCTION("""COMPUTED_VALUE"""),"Altec Sistemas")</f>
        <v>Altec Sistemas</v>
      </c>
      <c r="P982" s="33">
        <f>IFERROR(__xludf.DUMMYFUNCTION("""COMPUTED_VALUE"""),0.875)</f>
        <v>0.875</v>
      </c>
      <c r="Q982" s="4" t="str">
        <f>IFERROR(__xludf.DUMMYFUNCTION("""COMPUTED_VALUE"""),"Altec Sistemas")</f>
        <v>Altec Sistemas</v>
      </c>
      <c r="R982" s="33">
        <f>IFERROR(__xludf.DUMMYFUNCTION("""COMPUTED_VALUE"""),0.875)</f>
        <v>0.875</v>
      </c>
      <c r="S982" s="4" t="str">
        <f>IFERROR(__xludf.DUMMYFUNCTION("""COMPUTED_VALUE"""),"Altec Sistemas")</f>
        <v>Altec Sistemas</v>
      </c>
      <c r="T982" s="33">
        <f>IFERROR(__xludf.DUMMYFUNCTION("""COMPUTED_VALUE"""),0.875)</f>
        <v>0.875</v>
      </c>
      <c r="U982" s="4" t="str">
        <f>IFERROR(__xludf.DUMMYFUNCTION("""COMPUTED_VALUE"""),"Altec Sistemas")</f>
        <v>Altec Sistemas</v>
      </c>
      <c r="V982" s="33">
        <f>IFERROR(__xludf.DUMMYFUNCTION("""COMPUTED_VALUE"""),1.0)</f>
        <v>1</v>
      </c>
      <c r="W982" s="4" t="str">
        <f>IFERROR(__xludf.DUMMYFUNCTION("""COMPUTED_VALUE"""),"Altec Sistemas")</f>
        <v>Altec Sistemas</v>
      </c>
      <c r="X982" s="33">
        <f>IFERROR(__xludf.DUMMYFUNCTION("""COMPUTED_VALUE"""),0.875)</f>
        <v>0.875</v>
      </c>
    </row>
    <row r="983">
      <c r="K983" s="4" t="str">
        <f>IFERROR(__xludf.DUMMYFUNCTION("""COMPUTED_VALUE"""),"GRUPO MESTRE CUCA")</f>
        <v>GRUPO MESTRE CUCA</v>
      </c>
      <c r="L983" s="32">
        <f>IFERROR(__xludf.DUMMYFUNCTION("""COMPUTED_VALUE"""),8.0)</f>
        <v>8</v>
      </c>
      <c r="M983" s="4" t="str">
        <f>IFERROR(__xludf.DUMMYFUNCTION("""COMPUTED_VALUE"""),"Saipos Serviços De Software")</f>
        <v>Saipos Serviços De Software</v>
      </c>
      <c r="N983" s="33">
        <f>IFERROR(__xludf.DUMMYFUNCTION("""COMPUTED_VALUE"""),0.375)</f>
        <v>0.375</v>
      </c>
      <c r="O983" s="4" t="str">
        <f>IFERROR(__xludf.DUMMYFUNCTION("""COMPUTED_VALUE"""),"Saipos Serviços De Software")</f>
        <v>Saipos Serviços De Software</v>
      </c>
      <c r="P983" s="33">
        <f>IFERROR(__xludf.DUMMYFUNCTION("""COMPUTED_VALUE"""),0.375)</f>
        <v>0.375</v>
      </c>
      <c r="Q983" s="4" t="str">
        <f>IFERROR(__xludf.DUMMYFUNCTION("""COMPUTED_VALUE"""),"Saipos Serviços De Software")</f>
        <v>Saipos Serviços De Software</v>
      </c>
      <c r="R983" s="33">
        <f>IFERROR(__xludf.DUMMYFUNCTION("""COMPUTED_VALUE"""),0.5)</f>
        <v>0.5</v>
      </c>
      <c r="S983" s="4" t="str">
        <f>IFERROR(__xludf.DUMMYFUNCTION("""COMPUTED_VALUE"""),"Saipos Serviços De Software")</f>
        <v>Saipos Serviços De Software</v>
      </c>
      <c r="T983" s="33">
        <f>IFERROR(__xludf.DUMMYFUNCTION("""COMPUTED_VALUE"""),0.75)</f>
        <v>0.75</v>
      </c>
      <c r="U983" s="4" t="str">
        <f>IFERROR(__xludf.DUMMYFUNCTION("""COMPUTED_VALUE"""),"Saipos Serviços De Software")</f>
        <v>Saipos Serviços De Software</v>
      </c>
      <c r="V983" s="33">
        <f>IFERROR(__xludf.DUMMYFUNCTION("""COMPUTED_VALUE"""),0.75)</f>
        <v>0.75</v>
      </c>
      <c r="W983" s="4" t="str">
        <f>IFERROR(__xludf.DUMMYFUNCTION("""COMPUTED_VALUE"""),"Saipos Serviços De Software")</f>
        <v>Saipos Serviços De Software</v>
      </c>
      <c r="X983" s="33">
        <f>IFERROR(__xludf.DUMMYFUNCTION("""COMPUTED_VALUE"""),0.75)</f>
        <v>0.75</v>
      </c>
    </row>
    <row r="984">
      <c r="K984" s="4" t="str">
        <f>IFERROR(__xludf.DUMMYFUNCTION("""COMPUTED_VALUE"""),"GRUPO TOP")</f>
        <v>GRUPO TOP</v>
      </c>
      <c r="L984" s="32">
        <f>IFERROR(__xludf.DUMMYFUNCTION("""COMPUTED_VALUE"""),8.0)</f>
        <v>8</v>
      </c>
      <c r="M984" s="4" t="str">
        <f>IFERROR(__xludf.DUMMYFUNCTION("""COMPUTED_VALUE"""),"Cloudfy")</f>
        <v>Cloudfy</v>
      </c>
      <c r="N984" s="33">
        <f>IFERROR(__xludf.DUMMYFUNCTION("""COMPUTED_VALUE"""),1.0)</f>
        <v>1</v>
      </c>
      <c r="O984" s="4" t="str">
        <f>IFERROR(__xludf.DUMMYFUNCTION("""COMPUTED_VALUE"""),"Cloudfy")</f>
        <v>Cloudfy</v>
      </c>
      <c r="P984" s="33">
        <f>IFERROR(__xludf.DUMMYFUNCTION("""COMPUTED_VALUE"""),0.875)</f>
        <v>0.875</v>
      </c>
      <c r="Q984" s="4" t="str">
        <f>IFERROR(__xludf.DUMMYFUNCTION("""COMPUTED_VALUE"""),"Cloudfy")</f>
        <v>Cloudfy</v>
      </c>
      <c r="R984" s="33">
        <f>IFERROR(__xludf.DUMMYFUNCTION("""COMPUTED_VALUE"""),0.75)</f>
        <v>0.75</v>
      </c>
      <c r="S984" s="4" t="str">
        <f>IFERROR(__xludf.DUMMYFUNCTION("""COMPUTED_VALUE"""),"Cloudfy")</f>
        <v>Cloudfy</v>
      </c>
      <c r="T984" s="33">
        <f>IFERROR(__xludf.DUMMYFUNCTION("""COMPUTED_VALUE"""),1.0)</f>
        <v>1</v>
      </c>
      <c r="U984" s="4" t="str">
        <f>IFERROR(__xludf.DUMMYFUNCTION("""COMPUTED_VALUE"""),"Cloudfy")</f>
        <v>Cloudfy</v>
      </c>
      <c r="V984" s="33">
        <f>IFERROR(__xludf.DUMMYFUNCTION("""COMPUTED_VALUE"""),0.625)</f>
        <v>0.625</v>
      </c>
      <c r="W984" s="4" t="str">
        <f>IFERROR(__xludf.DUMMYFUNCTION("""COMPUTED_VALUE"""),"Cloudfy")</f>
        <v>Cloudfy</v>
      </c>
      <c r="X984" s="33">
        <f>IFERROR(__xludf.DUMMYFUNCTION("""COMPUTED_VALUE"""),0.875)</f>
        <v>0.875</v>
      </c>
    </row>
    <row r="985">
      <c r="K985" s="4" t="str">
        <f>IFERROR(__xludf.DUMMYFUNCTION("""COMPUTED_VALUE"""),"GRUPO TRADI")</f>
        <v>GRUPO TRADI</v>
      </c>
      <c r="L985" s="32">
        <f>IFERROR(__xludf.DUMMYFUNCTION("""COMPUTED_VALUE"""),8.0)</f>
        <v>8</v>
      </c>
      <c r="M985" s="4" t="str">
        <f>IFERROR(__xludf.DUMMYFUNCTION("""COMPUTED_VALUE"""),"Totvs Large Enterprise Tecnologia S.a.")</f>
        <v>Totvs Large Enterprise Tecnologia S.a.</v>
      </c>
      <c r="N985" s="33">
        <f>IFERROR(__xludf.DUMMYFUNCTION("""COMPUTED_VALUE"""),0.875)</f>
        <v>0.875</v>
      </c>
      <c r="O985" s="4" t="str">
        <f>IFERROR(__xludf.DUMMYFUNCTION("""COMPUTED_VALUE"""),"Totvs Large Enterprise Tecnologia S.a.")</f>
        <v>Totvs Large Enterprise Tecnologia S.a.</v>
      </c>
      <c r="P985" s="33">
        <f>IFERROR(__xludf.DUMMYFUNCTION("""COMPUTED_VALUE"""),0.75)</f>
        <v>0.75</v>
      </c>
      <c r="Q985" s="4" t="str">
        <f>IFERROR(__xludf.DUMMYFUNCTION("""COMPUTED_VALUE"""),"Totvs Large Enterprise Tecnologia S.a.")</f>
        <v>Totvs Large Enterprise Tecnologia S.a.</v>
      </c>
      <c r="R985" s="33">
        <f>IFERROR(__xludf.DUMMYFUNCTION("""COMPUTED_VALUE"""),0.75)</f>
        <v>0.75</v>
      </c>
      <c r="S985" s="4" t="str">
        <f>IFERROR(__xludf.DUMMYFUNCTION("""COMPUTED_VALUE"""),"Totvs Large Enterprise Tecnologia S.a.")</f>
        <v>Totvs Large Enterprise Tecnologia S.a.</v>
      </c>
      <c r="T985" s="33">
        <f>IFERROR(__xludf.DUMMYFUNCTION("""COMPUTED_VALUE"""),0.5)</f>
        <v>0.5</v>
      </c>
      <c r="U985" s="4" t="str">
        <f>IFERROR(__xludf.DUMMYFUNCTION("""COMPUTED_VALUE"""),"Totvs Large Enterprise Tecnologia S.a.")</f>
        <v>Totvs Large Enterprise Tecnologia S.a.</v>
      </c>
      <c r="V985" s="33">
        <f>IFERROR(__xludf.DUMMYFUNCTION("""COMPUTED_VALUE"""),0.5)</f>
        <v>0.5</v>
      </c>
      <c r="W985" s="4" t="str">
        <f>IFERROR(__xludf.DUMMYFUNCTION("""COMPUTED_VALUE"""),"Totvs Large Enterprise Tecnologia S.a.")</f>
        <v>Totvs Large Enterprise Tecnologia S.a.</v>
      </c>
      <c r="X985" s="33">
        <f>IFERROR(__xludf.DUMMYFUNCTION("""COMPUTED_VALUE"""),0.875)</f>
        <v>0.875</v>
      </c>
    </row>
    <row r="986">
      <c r="K986" s="4" t="str">
        <f>IFERROR(__xludf.DUMMYFUNCTION("""COMPUTED_VALUE"""),"GRUPO WAY SUSHI")</f>
        <v>GRUPO WAY SUSHI</v>
      </c>
      <c r="L986" s="32">
        <f>IFERROR(__xludf.DUMMYFUNCTION("""COMPUTED_VALUE"""),8.0)</f>
        <v>8</v>
      </c>
      <c r="M986" s="4" t="str">
        <f>IFERROR(__xludf.DUMMYFUNCTION("""COMPUTED_VALUE"""),"Cardápio Web")</f>
        <v>Cardápio Web</v>
      </c>
      <c r="N986" s="33">
        <f>IFERROR(__xludf.DUMMYFUNCTION("""COMPUTED_VALUE"""),0.875)</f>
        <v>0.875</v>
      </c>
      <c r="O986" s="4" t="str">
        <f>IFERROR(__xludf.DUMMYFUNCTION("""COMPUTED_VALUE"""),"Cardápio Web")</f>
        <v>Cardápio Web</v>
      </c>
      <c r="P986" s="33">
        <f>IFERROR(__xludf.DUMMYFUNCTION("""COMPUTED_VALUE"""),1.0)</f>
        <v>1</v>
      </c>
      <c r="Q986" s="4" t="str">
        <f>IFERROR(__xludf.DUMMYFUNCTION("""COMPUTED_VALUE"""),"Cardápio Web")</f>
        <v>Cardápio Web</v>
      </c>
      <c r="R986" s="33">
        <f>IFERROR(__xludf.DUMMYFUNCTION("""COMPUTED_VALUE"""),1.0)</f>
        <v>1</v>
      </c>
      <c r="S986" s="4" t="str">
        <f>IFERROR(__xludf.DUMMYFUNCTION("""COMPUTED_VALUE"""),"Cardápio Web")</f>
        <v>Cardápio Web</v>
      </c>
      <c r="T986" s="33">
        <f>IFERROR(__xludf.DUMMYFUNCTION("""COMPUTED_VALUE"""),0.875)</f>
        <v>0.875</v>
      </c>
      <c r="U986" s="4" t="str">
        <f>IFERROR(__xludf.DUMMYFUNCTION("""COMPUTED_VALUE"""),"Cardápio Web")</f>
        <v>Cardápio Web</v>
      </c>
      <c r="V986" s="33">
        <f>IFERROR(__xludf.DUMMYFUNCTION("""COMPUTED_VALUE"""),0.75)</f>
        <v>0.75</v>
      </c>
      <c r="W986" s="4" t="str">
        <f>IFERROR(__xludf.DUMMYFUNCTION("""COMPUTED_VALUE"""),"Cardápio Web")</f>
        <v>Cardápio Web</v>
      </c>
      <c r="X986" s="33">
        <f>IFERROR(__xludf.DUMMYFUNCTION("""COMPUTED_VALUE"""),0.875)</f>
        <v>0.875</v>
      </c>
    </row>
    <row r="987">
      <c r="K987" s="4" t="str">
        <f>IFERROR(__xludf.DUMMYFUNCTION("""COMPUTED_VALUE"""),"GRUPO XIQUE XIQUE")</f>
        <v>GRUPO XIQUE XIQUE</v>
      </c>
      <c r="L987" s="32">
        <f>IFERROR(__xludf.DUMMYFUNCTION("""COMPUTED_VALUE"""),8.0)</f>
        <v>8</v>
      </c>
      <c r="M987" s="4" t="str">
        <f>IFERROR(__xludf.DUMMYFUNCTION("""COMPUTED_VALUE"""),"Cloudfy")</f>
        <v>Cloudfy</v>
      </c>
      <c r="N987" s="33">
        <f>IFERROR(__xludf.DUMMYFUNCTION("""COMPUTED_VALUE"""),1.0)</f>
        <v>1</v>
      </c>
      <c r="O987" s="4" t="str">
        <f>IFERROR(__xludf.DUMMYFUNCTION("""COMPUTED_VALUE"""),"Cloudfy")</f>
        <v>Cloudfy</v>
      </c>
      <c r="P987" s="33">
        <f>IFERROR(__xludf.DUMMYFUNCTION("""COMPUTED_VALUE"""),0.75)</f>
        <v>0.75</v>
      </c>
      <c r="Q987" s="4" t="str">
        <f>IFERROR(__xludf.DUMMYFUNCTION("""COMPUTED_VALUE"""),"Cloudfy")</f>
        <v>Cloudfy</v>
      </c>
      <c r="R987" s="33">
        <f>IFERROR(__xludf.DUMMYFUNCTION("""COMPUTED_VALUE"""),0.75)</f>
        <v>0.75</v>
      </c>
      <c r="S987" s="4" t="str">
        <f>IFERROR(__xludf.DUMMYFUNCTION("""COMPUTED_VALUE"""),"Cloudfy")</f>
        <v>Cloudfy</v>
      </c>
      <c r="T987" s="33">
        <f>IFERROR(__xludf.DUMMYFUNCTION("""COMPUTED_VALUE"""),0.75)</f>
        <v>0.75</v>
      </c>
      <c r="U987" s="4" t="str">
        <f>IFERROR(__xludf.DUMMYFUNCTION("""COMPUTED_VALUE"""),"Cloudfy")</f>
        <v>Cloudfy</v>
      </c>
      <c r="V987" s="33">
        <f>IFERROR(__xludf.DUMMYFUNCTION("""COMPUTED_VALUE"""),0.75)</f>
        <v>0.75</v>
      </c>
      <c r="W987" s="4" t="str">
        <f>IFERROR(__xludf.DUMMYFUNCTION("""COMPUTED_VALUE"""),"null")</f>
        <v>null</v>
      </c>
      <c r="X987" s="33">
        <f>IFERROR(__xludf.DUMMYFUNCTION("""COMPUTED_VALUE"""),0.625)</f>
        <v>0.625</v>
      </c>
    </row>
    <row r="988">
      <c r="K988" s="4" t="str">
        <f>IFERROR(__xludf.DUMMYFUNCTION("""COMPUTED_VALUE"""),"HAKKA SUSHI DELIVERY")</f>
        <v>HAKKA SUSHI DELIVERY</v>
      </c>
      <c r="L988" s="32">
        <f>IFERROR(__xludf.DUMMYFUNCTION("""COMPUTED_VALUE"""),8.0)</f>
        <v>8</v>
      </c>
      <c r="M988" s="4" t="str">
        <f>IFERROR(__xludf.DUMMYFUNCTION("""COMPUTED_VALUE"""),"Ncr")</f>
        <v>Ncr</v>
      </c>
      <c r="N988" s="33">
        <f>IFERROR(__xludf.DUMMYFUNCTION("""COMPUTED_VALUE"""),0.625)</f>
        <v>0.625</v>
      </c>
      <c r="O988" s="4" t="str">
        <f>IFERROR(__xludf.DUMMYFUNCTION("""COMPUTED_VALUE"""),"Ncr")</f>
        <v>Ncr</v>
      </c>
      <c r="P988" s="33">
        <f>IFERROR(__xludf.DUMMYFUNCTION("""COMPUTED_VALUE"""),0.75)</f>
        <v>0.75</v>
      </c>
      <c r="Q988" s="4" t="str">
        <f>IFERROR(__xludf.DUMMYFUNCTION("""COMPUTED_VALUE"""),"Ncr")</f>
        <v>Ncr</v>
      </c>
      <c r="R988" s="33">
        <f>IFERROR(__xludf.DUMMYFUNCTION("""COMPUTED_VALUE"""),0.75)</f>
        <v>0.75</v>
      </c>
      <c r="S988" s="4" t="str">
        <f>IFERROR(__xludf.DUMMYFUNCTION("""COMPUTED_VALUE"""),"Ncr")</f>
        <v>Ncr</v>
      </c>
      <c r="T988" s="33">
        <f>IFERROR(__xludf.DUMMYFUNCTION("""COMPUTED_VALUE"""),0.75)</f>
        <v>0.75</v>
      </c>
      <c r="U988" s="4" t="str">
        <f>IFERROR(__xludf.DUMMYFUNCTION("""COMPUTED_VALUE"""),"Ncr")</f>
        <v>Ncr</v>
      </c>
      <c r="V988" s="33">
        <f>IFERROR(__xludf.DUMMYFUNCTION("""COMPUTED_VALUE"""),0.75)</f>
        <v>0.75</v>
      </c>
      <c r="W988" s="4" t="str">
        <f>IFERROR(__xludf.DUMMYFUNCTION("""COMPUTED_VALUE"""),"Ncr")</f>
        <v>Ncr</v>
      </c>
      <c r="X988" s="33">
        <f>IFERROR(__xludf.DUMMYFUNCTION("""COMPUTED_VALUE"""),0.75)</f>
        <v>0.75</v>
      </c>
    </row>
    <row r="989">
      <c r="K989" s="4" t="str">
        <f>IFERROR(__xludf.DUMMYFUNCTION("""COMPUTED_VALUE"""),"HAMBURGUESA")</f>
        <v>HAMBURGUESA</v>
      </c>
      <c r="L989" s="32">
        <f>IFERROR(__xludf.DUMMYFUNCTION("""COMPUTED_VALUE"""),8.0)</f>
        <v>8</v>
      </c>
      <c r="M989" s="4" t="str">
        <f>IFERROR(__xludf.DUMMYFUNCTION("""COMPUTED_VALUE"""),"Saipos Serviços De Software")</f>
        <v>Saipos Serviços De Software</v>
      </c>
      <c r="N989" s="33">
        <f>IFERROR(__xludf.DUMMYFUNCTION("""COMPUTED_VALUE"""),1.0)</f>
        <v>1</v>
      </c>
      <c r="O989" s="4" t="str">
        <f>IFERROR(__xludf.DUMMYFUNCTION("""COMPUTED_VALUE"""),"Saipos Serviços De Software")</f>
        <v>Saipos Serviços De Software</v>
      </c>
      <c r="P989" s="33">
        <f>IFERROR(__xludf.DUMMYFUNCTION("""COMPUTED_VALUE"""),1.0)</f>
        <v>1</v>
      </c>
      <c r="Q989" s="4" t="str">
        <f>IFERROR(__xludf.DUMMYFUNCTION("""COMPUTED_VALUE"""),"Saipos Serviços De Software")</f>
        <v>Saipos Serviços De Software</v>
      </c>
      <c r="R989" s="33">
        <f>IFERROR(__xludf.DUMMYFUNCTION("""COMPUTED_VALUE"""),1.0)</f>
        <v>1</v>
      </c>
      <c r="S989" s="4" t="str">
        <f>IFERROR(__xludf.DUMMYFUNCTION("""COMPUTED_VALUE"""),"Saipos Serviços De Software")</f>
        <v>Saipos Serviços De Software</v>
      </c>
      <c r="T989" s="33">
        <f>IFERROR(__xludf.DUMMYFUNCTION("""COMPUTED_VALUE"""),1.0)</f>
        <v>1</v>
      </c>
      <c r="U989" s="4" t="str">
        <f>IFERROR(__xludf.DUMMYFUNCTION("""COMPUTED_VALUE"""),"Saipos Serviços De Software")</f>
        <v>Saipos Serviços De Software</v>
      </c>
      <c r="V989" s="33">
        <f>IFERROR(__xludf.DUMMYFUNCTION("""COMPUTED_VALUE"""),1.0)</f>
        <v>1</v>
      </c>
      <c r="W989" s="4" t="str">
        <f>IFERROR(__xludf.DUMMYFUNCTION("""COMPUTED_VALUE"""),"Saipos Serviços De Software")</f>
        <v>Saipos Serviços De Software</v>
      </c>
      <c r="X989" s="33">
        <f>IFERROR(__xludf.DUMMYFUNCTION("""COMPUTED_VALUE"""),1.0)</f>
        <v>1</v>
      </c>
    </row>
    <row r="990">
      <c r="K990" s="4" t="str">
        <f>IFERROR(__xludf.DUMMYFUNCTION("""COMPUTED_VALUE"""),"HAPPY PIZZA")</f>
        <v>HAPPY PIZZA</v>
      </c>
      <c r="L990" s="32">
        <f>IFERROR(__xludf.DUMMYFUNCTION("""COMPUTED_VALUE"""),8.0)</f>
        <v>8</v>
      </c>
      <c r="M990" s="4" t="str">
        <f>IFERROR(__xludf.DUMMYFUNCTION("""COMPUTED_VALUE"""),"Saipos Serviços De Software")</f>
        <v>Saipos Serviços De Software</v>
      </c>
      <c r="N990" s="33">
        <f>IFERROR(__xludf.DUMMYFUNCTION("""COMPUTED_VALUE"""),1.0)</f>
        <v>1</v>
      </c>
      <c r="O990" s="4" t="str">
        <f>IFERROR(__xludf.DUMMYFUNCTION("""COMPUTED_VALUE"""),"Saipos Serviços De Software")</f>
        <v>Saipos Serviços De Software</v>
      </c>
      <c r="P990" s="33">
        <f>IFERROR(__xludf.DUMMYFUNCTION("""COMPUTED_VALUE"""),1.0)</f>
        <v>1</v>
      </c>
      <c r="Q990" s="4" t="str">
        <f>IFERROR(__xludf.DUMMYFUNCTION("""COMPUTED_VALUE"""),"Saipos Serviços De Software")</f>
        <v>Saipos Serviços De Software</v>
      </c>
      <c r="R990" s="33">
        <f>IFERROR(__xludf.DUMMYFUNCTION("""COMPUTED_VALUE"""),0.875)</f>
        <v>0.875</v>
      </c>
      <c r="S990" s="4" t="str">
        <f>IFERROR(__xludf.DUMMYFUNCTION("""COMPUTED_VALUE"""),"Saipos Serviços De Software")</f>
        <v>Saipos Serviços De Software</v>
      </c>
      <c r="T990" s="33">
        <f>IFERROR(__xludf.DUMMYFUNCTION("""COMPUTED_VALUE"""),0.875)</f>
        <v>0.875</v>
      </c>
      <c r="U990" s="4" t="str">
        <f>IFERROR(__xludf.DUMMYFUNCTION("""COMPUTED_VALUE"""),"Saipos Serviços De Software")</f>
        <v>Saipos Serviços De Software</v>
      </c>
      <c r="V990" s="33">
        <f>IFERROR(__xludf.DUMMYFUNCTION("""COMPUTED_VALUE"""),0.875)</f>
        <v>0.875</v>
      </c>
      <c r="W990" s="4" t="str">
        <f>IFERROR(__xludf.DUMMYFUNCTION("""COMPUTED_VALUE"""),"Saipos Serviços De Software")</f>
        <v>Saipos Serviços De Software</v>
      </c>
      <c r="X990" s="33">
        <f>IFERROR(__xludf.DUMMYFUNCTION("""COMPUTED_VALUE"""),0.875)</f>
        <v>0.875</v>
      </c>
    </row>
    <row r="991">
      <c r="K991" s="4" t="str">
        <f>IFERROR(__xludf.DUMMYFUNCTION("""COMPUTED_VALUE"""),"HIPERIDEAL - CONTA MARCA")</f>
        <v>HIPERIDEAL - CONTA MARCA</v>
      </c>
      <c r="L991" s="32">
        <f>IFERROR(__xludf.DUMMYFUNCTION("""COMPUTED_VALUE"""),8.0)</f>
        <v>8</v>
      </c>
      <c r="M991" s="4" t="str">
        <f>IFERROR(__xludf.DUMMYFUNCTION("""COMPUTED_VALUE"""),"null")</f>
        <v>null</v>
      </c>
      <c r="N991" s="33">
        <f>IFERROR(__xludf.DUMMYFUNCTION("""COMPUTED_VALUE"""),1.0)</f>
        <v>1</v>
      </c>
      <c r="O991" s="4" t="str">
        <f>IFERROR(__xludf.DUMMYFUNCTION("""COMPUTED_VALUE"""),"null")</f>
        <v>null</v>
      </c>
      <c r="P991" s="33">
        <f>IFERROR(__xludf.DUMMYFUNCTION("""COMPUTED_VALUE"""),0.5)</f>
        <v>0.5</v>
      </c>
      <c r="Q991" s="4" t="str">
        <f>IFERROR(__xludf.DUMMYFUNCTION("""COMPUTED_VALUE"""),"null")</f>
        <v>null</v>
      </c>
      <c r="R991" s="33">
        <f>IFERROR(__xludf.DUMMYFUNCTION("""COMPUTED_VALUE"""),0.5)</f>
        <v>0.5</v>
      </c>
      <c r="S991" s="4" t="str">
        <f>IFERROR(__xludf.DUMMYFUNCTION("""COMPUTED_VALUE"""),"null")</f>
        <v>null</v>
      </c>
      <c r="T991" s="33">
        <f>IFERROR(__xludf.DUMMYFUNCTION("""COMPUTED_VALUE"""),0.5)</f>
        <v>0.5</v>
      </c>
      <c r="U991" s="4" t="str">
        <f>IFERROR(__xludf.DUMMYFUNCTION("""COMPUTED_VALUE"""),"null")</f>
        <v>null</v>
      </c>
      <c r="V991" s="33">
        <f>IFERROR(__xludf.DUMMYFUNCTION("""COMPUTED_VALUE"""),0.5)</f>
        <v>0.5</v>
      </c>
      <c r="W991" s="4" t="str">
        <f>IFERROR(__xludf.DUMMYFUNCTION("""COMPUTED_VALUE"""),"N/A (Not found)")</f>
        <v>N/A (Not found)</v>
      </c>
      <c r="X991" s="33">
        <f>IFERROR(__xludf.DUMMYFUNCTION("""COMPUTED_VALUE"""),1.0)</f>
        <v>1</v>
      </c>
    </row>
    <row r="992">
      <c r="K992" s="4" t="str">
        <f>IFERROR(__xludf.DUMMYFUNCTION("""COMPUTED_VALUE"""),"HIPERZOO - CONTA PAI")</f>
        <v>HIPERZOO - CONTA PAI</v>
      </c>
      <c r="L992" s="32">
        <f>IFERROR(__xludf.DUMMYFUNCTION("""COMPUTED_VALUE"""),8.0)</f>
        <v>8</v>
      </c>
      <c r="M992" s="4" t="str">
        <f>IFERROR(__xludf.DUMMYFUNCTION("""COMPUTED_VALUE"""),"N/A (Not found)")</f>
        <v>N/A (Not found)</v>
      </c>
      <c r="N992" s="33">
        <f>IFERROR(__xludf.DUMMYFUNCTION("""COMPUTED_VALUE"""),1.0)</f>
        <v>1</v>
      </c>
      <c r="O992" s="4" t="str">
        <f>IFERROR(__xludf.DUMMYFUNCTION("""COMPUTED_VALUE"""),"N/A (Not found)")</f>
        <v>N/A (Not found)</v>
      </c>
      <c r="P992" s="33">
        <f>IFERROR(__xludf.DUMMYFUNCTION("""COMPUTED_VALUE"""),1.0)</f>
        <v>1</v>
      </c>
      <c r="Q992" s="4" t="str">
        <f>IFERROR(__xludf.DUMMYFUNCTION("""COMPUTED_VALUE"""),"N/A (Not found)")</f>
        <v>N/A (Not found)</v>
      </c>
      <c r="R992" s="33">
        <f>IFERROR(__xludf.DUMMYFUNCTION("""COMPUTED_VALUE"""),1.0)</f>
        <v>1</v>
      </c>
      <c r="S992" s="4" t="str">
        <f>IFERROR(__xludf.DUMMYFUNCTION("""COMPUTED_VALUE"""),"N/A (Not found)")</f>
        <v>N/A (Not found)</v>
      </c>
      <c r="T992" s="33">
        <f>IFERROR(__xludf.DUMMYFUNCTION("""COMPUTED_VALUE"""),1.0)</f>
        <v>1</v>
      </c>
      <c r="U992" s="4" t="str">
        <f>IFERROR(__xludf.DUMMYFUNCTION("""COMPUTED_VALUE"""),"N/A (Not found)")</f>
        <v>N/A (Not found)</v>
      </c>
      <c r="V992" s="33">
        <f>IFERROR(__xludf.DUMMYFUNCTION("""COMPUTED_VALUE"""),1.0)</f>
        <v>1</v>
      </c>
      <c r="W992" s="4" t="str">
        <f>IFERROR(__xludf.DUMMYFUNCTION("""COMPUTED_VALUE"""),"N/A (Not found)")</f>
        <v>N/A (Not found)</v>
      </c>
      <c r="X992" s="33">
        <f>IFERROR(__xludf.DUMMYFUNCTION("""COMPUTED_VALUE"""),1.0)</f>
        <v>1</v>
      </c>
    </row>
    <row r="993">
      <c r="K993" s="4" t="str">
        <f>IFERROR(__xludf.DUMMYFUNCTION("""COMPUTED_VALUE"""),"HOLY PIZZA FORTALEZA")</f>
        <v>HOLY PIZZA FORTALEZA</v>
      </c>
      <c r="L993" s="32">
        <f>IFERROR(__xludf.DUMMYFUNCTION("""COMPUTED_VALUE"""),8.0)</f>
        <v>8</v>
      </c>
      <c r="M993" s="4" t="str">
        <f>IFERROR(__xludf.DUMMYFUNCTION("""COMPUTED_VALUE"""),"Anota Ai Solucoes Digitais S/a")</f>
        <v>Anota Ai Solucoes Digitais S/a</v>
      </c>
      <c r="N993" s="33">
        <f>IFERROR(__xludf.DUMMYFUNCTION("""COMPUTED_VALUE"""),0.625)</f>
        <v>0.625</v>
      </c>
      <c r="O993" s="4" t="str">
        <f>IFERROR(__xludf.DUMMYFUNCTION("""COMPUTED_VALUE"""),"Anota Ai Solucoes Digitais S/a")</f>
        <v>Anota Ai Solucoes Digitais S/a</v>
      </c>
      <c r="P993" s="33">
        <f>IFERROR(__xludf.DUMMYFUNCTION("""COMPUTED_VALUE"""),0.625)</f>
        <v>0.625</v>
      </c>
      <c r="Q993" s="4" t="str">
        <f>IFERROR(__xludf.DUMMYFUNCTION("""COMPUTED_VALUE"""),"Anota Ai Solucoes Digitais S/a")</f>
        <v>Anota Ai Solucoes Digitais S/a</v>
      </c>
      <c r="R993" s="33">
        <f>IFERROR(__xludf.DUMMYFUNCTION("""COMPUTED_VALUE"""),0.625)</f>
        <v>0.625</v>
      </c>
      <c r="S993" s="4" t="str">
        <f>IFERROR(__xludf.DUMMYFUNCTION("""COMPUTED_VALUE"""),"Anota Ai Solucoes Digitais S/a")</f>
        <v>Anota Ai Solucoes Digitais S/a</v>
      </c>
      <c r="T993" s="33">
        <f>IFERROR(__xludf.DUMMYFUNCTION("""COMPUTED_VALUE"""),0.625)</f>
        <v>0.625</v>
      </c>
      <c r="U993" s="4" t="str">
        <f>IFERROR(__xludf.DUMMYFUNCTION("""COMPUTED_VALUE"""),"Anota Ai Solucoes Digitais S/a")</f>
        <v>Anota Ai Solucoes Digitais S/a</v>
      </c>
      <c r="V993" s="33">
        <f>IFERROR(__xludf.DUMMYFUNCTION("""COMPUTED_VALUE"""),0.625)</f>
        <v>0.625</v>
      </c>
      <c r="W993" s="4" t="str">
        <f>IFERROR(__xludf.DUMMYFUNCTION("""COMPUTED_VALUE"""),"Anota Ai Solucoes Digitais S/a")</f>
        <v>Anota Ai Solucoes Digitais S/a</v>
      </c>
      <c r="X993" s="33">
        <f>IFERROR(__xludf.DUMMYFUNCTION("""COMPUTED_VALUE"""),0.625)</f>
        <v>0.625</v>
      </c>
    </row>
    <row r="994">
      <c r="K994" s="4" t="str">
        <f>IFERROR(__xludf.DUMMYFUNCTION("""COMPUTED_VALUE"""),"HORTISUL CONTA PAI")</f>
        <v>HORTISUL CONTA PAI</v>
      </c>
      <c r="L994" s="32">
        <f>IFERROR(__xludf.DUMMYFUNCTION("""COMPUTED_VALUE"""),8.0)</f>
        <v>8</v>
      </c>
      <c r="M994" s="4" t="str">
        <f>IFERROR(__xludf.DUMMYFUNCTION("""COMPUTED_VALUE"""),"N/A (Not found)")</f>
        <v>N/A (Not found)</v>
      </c>
      <c r="N994" s="33">
        <f>IFERROR(__xludf.DUMMYFUNCTION("""COMPUTED_VALUE"""),1.0)</f>
        <v>1</v>
      </c>
      <c r="O994" s="4" t="str">
        <f>IFERROR(__xludf.DUMMYFUNCTION("""COMPUTED_VALUE"""),"N/A (Not found)")</f>
        <v>N/A (Not found)</v>
      </c>
      <c r="P994" s="33">
        <f>IFERROR(__xludf.DUMMYFUNCTION("""COMPUTED_VALUE"""),1.0)</f>
        <v>1</v>
      </c>
      <c r="Q994" s="4" t="str">
        <f>IFERROR(__xludf.DUMMYFUNCTION("""COMPUTED_VALUE"""),"N/A (Not found)")</f>
        <v>N/A (Not found)</v>
      </c>
      <c r="R994" s="33">
        <f>IFERROR(__xludf.DUMMYFUNCTION("""COMPUTED_VALUE"""),1.0)</f>
        <v>1</v>
      </c>
      <c r="S994" s="4" t="str">
        <f>IFERROR(__xludf.DUMMYFUNCTION("""COMPUTED_VALUE"""),"N/A (Not found)")</f>
        <v>N/A (Not found)</v>
      </c>
      <c r="T994" s="33">
        <f>IFERROR(__xludf.DUMMYFUNCTION("""COMPUTED_VALUE"""),1.0)</f>
        <v>1</v>
      </c>
      <c r="U994" s="4" t="str">
        <f>IFERROR(__xludf.DUMMYFUNCTION("""COMPUTED_VALUE"""),"N/A (Not found)")</f>
        <v>N/A (Not found)</v>
      </c>
      <c r="V994" s="33">
        <f>IFERROR(__xludf.DUMMYFUNCTION("""COMPUTED_VALUE"""),1.0)</f>
        <v>1</v>
      </c>
      <c r="W994" s="4" t="str">
        <f>IFERROR(__xludf.DUMMYFUNCTION("""COMPUTED_VALUE"""),"N/A (Not found)")</f>
        <v>N/A (Not found)</v>
      </c>
      <c r="X994" s="33">
        <f>IFERROR(__xludf.DUMMYFUNCTION("""COMPUTED_VALUE"""),1.0)</f>
        <v>1</v>
      </c>
    </row>
    <row r="995">
      <c r="K995" s="4" t="str">
        <f>IFERROR(__xludf.DUMMYFUNCTION("""COMPUTED_VALUE"""),"JACK GARAGE")</f>
        <v>JACK GARAGE</v>
      </c>
      <c r="L995" s="32">
        <f>IFERROR(__xludf.DUMMYFUNCTION("""COMPUTED_VALUE"""),8.0)</f>
        <v>8</v>
      </c>
      <c r="M995" s="4" t="str">
        <f>IFERROR(__xludf.DUMMYFUNCTION("""COMPUTED_VALUE"""),"Ncr")</f>
        <v>Ncr</v>
      </c>
      <c r="N995" s="33">
        <f>IFERROR(__xludf.DUMMYFUNCTION("""COMPUTED_VALUE"""),0.75)</f>
        <v>0.75</v>
      </c>
      <c r="O995" s="4" t="str">
        <f>IFERROR(__xludf.DUMMYFUNCTION("""COMPUTED_VALUE"""),"null")</f>
        <v>null</v>
      </c>
      <c r="P995" s="33">
        <f>IFERROR(__xludf.DUMMYFUNCTION("""COMPUTED_VALUE"""),0.5)</f>
        <v>0.5</v>
      </c>
      <c r="Q995" s="4" t="str">
        <f>IFERROR(__xludf.DUMMYFUNCTION("""COMPUTED_VALUE"""),"Food Plus")</f>
        <v>Food Plus</v>
      </c>
      <c r="R995" s="33">
        <f>IFERROR(__xludf.DUMMYFUNCTION("""COMPUTED_VALUE"""),0.625)</f>
        <v>0.625</v>
      </c>
      <c r="S995" s="4" t="str">
        <f>IFERROR(__xludf.DUMMYFUNCTION("""COMPUTED_VALUE"""),"Food Plus")</f>
        <v>Food Plus</v>
      </c>
      <c r="T995" s="33">
        <f>IFERROR(__xludf.DUMMYFUNCTION("""COMPUTED_VALUE"""),0.625)</f>
        <v>0.625</v>
      </c>
      <c r="U995" s="4" t="str">
        <f>IFERROR(__xludf.DUMMYFUNCTION("""COMPUTED_VALUE"""),"Food Plus")</f>
        <v>Food Plus</v>
      </c>
      <c r="V995" s="33">
        <f>IFERROR(__xludf.DUMMYFUNCTION("""COMPUTED_VALUE"""),0.625)</f>
        <v>0.625</v>
      </c>
      <c r="W995" s="4" t="str">
        <f>IFERROR(__xludf.DUMMYFUNCTION("""COMPUTED_VALUE"""),"Food Plus")</f>
        <v>Food Plus</v>
      </c>
      <c r="X995" s="33">
        <f>IFERROR(__xludf.DUMMYFUNCTION("""COMPUTED_VALUE"""),0.75)</f>
        <v>0.75</v>
      </c>
    </row>
    <row r="996">
      <c r="K996" s="4" t="str">
        <f>IFERROR(__xludf.DUMMYFUNCTION("""COMPUTED_VALUE"""),"JESUS PIZZA - CONTA MARCA")</f>
        <v>JESUS PIZZA - CONTA MARCA</v>
      </c>
      <c r="L996" s="32">
        <f>IFERROR(__xludf.DUMMYFUNCTION("""COMPUTED_VALUE"""),8.0)</f>
        <v>8</v>
      </c>
      <c r="M996" s="4" t="str">
        <f>IFERROR(__xludf.DUMMYFUNCTION("""COMPUTED_VALUE"""),"Grk Soluções Informatica Eireli")</f>
        <v>Grk Soluções Informatica Eireli</v>
      </c>
      <c r="N996" s="33">
        <f>IFERROR(__xludf.DUMMYFUNCTION("""COMPUTED_VALUE"""),1.0)</f>
        <v>1</v>
      </c>
      <c r="O996" s="4" t="str">
        <f>IFERROR(__xludf.DUMMYFUNCTION("""COMPUTED_VALUE"""),"Grk Soluções Informatica Eireli")</f>
        <v>Grk Soluções Informatica Eireli</v>
      </c>
      <c r="P996" s="33">
        <f>IFERROR(__xludf.DUMMYFUNCTION("""COMPUTED_VALUE"""),1.0)</f>
        <v>1</v>
      </c>
      <c r="Q996" s="4" t="str">
        <f>IFERROR(__xludf.DUMMYFUNCTION("""COMPUTED_VALUE"""),"Grk Soluções Informatica Eireli")</f>
        <v>Grk Soluções Informatica Eireli</v>
      </c>
      <c r="R996" s="33">
        <f>IFERROR(__xludf.DUMMYFUNCTION("""COMPUTED_VALUE"""),1.0)</f>
        <v>1</v>
      </c>
      <c r="S996" s="4" t="str">
        <f>IFERROR(__xludf.DUMMYFUNCTION("""COMPUTED_VALUE"""),"Grk Soluções Informatica Eireli")</f>
        <v>Grk Soluções Informatica Eireli</v>
      </c>
      <c r="T996" s="33">
        <f>IFERROR(__xludf.DUMMYFUNCTION("""COMPUTED_VALUE"""),1.0)</f>
        <v>1</v>
      </c>
      <c r="U996" s="4" t="str">
        <f>IFERROR(__xludf.DUMMYFUNCTION("""COMPUTED_VALUE"""),"Grk Soluções Informatica Eireli")</f>
        <v>Grk Soluções Informatica Eireli</v>
      </c>
      <c r="V996" s="33">
        <f>IFERROR(__xludf.DUMMYFUNCTION("""COMPUTED_VALUE"""),1.0)</f>
        <v>1</v>
      </c>
      <c r="W996" s="4" t="str">
        <f>IFERROR(__xludf.DUMMYFUNCTION("""COMPUTED_VALUE"""),"Grk Soluções Informatica Eireli")</f>
        <v>Grk Soluções Informatica Eireli</v>
      </c>
      <c r="X996" s="33">
        <f>IFERROR(__xludf.DUMMYFUNCTION("""COMPUTED_VALUE"""),0.875)</f>
        <v>0.875</v>
      </c>
    </row>
    <row r="997">
      <c r="K997" s="4" t="str">
        <f>IFERROR(__xludf.DUMMYFUNCTION("""COMPUTED_VALUE"""),"JSK BURGERS")</f>
        <v>JSK BURGERS</v>
      </c>
      <c r="L997" s="32">
        <f>IFERROR(__xludf.DUMMYFUNCTION("""COMPUTED_VALUE"""),8.0)</f>
        <v>8</v>
      </c>
      <c r="M997" s="4" t="str">
        <f>IFERROR(__xludf.DUMMYFUNCTION("""COMPUTED_VALUE"""),"Vekttor")</f>
        <v>Vekttor</v>
      </c>
      <c r="N997" s="33">
        <f>IFERROR(__xludf.DUMMYFUNCTION("""COMPUTED_VALUE"""),0.75)</f>
        <v>0.75</v>
      </c>
      <c r="O997" s="4" t="str">
        <f>IFERROR(__xludf.DUMMYFUNCTION("""COMPUTED_VALUE"""),"Vekttor")</f>
        <v>Vekttor</v>
      </c>
      <c r="P997" s="33">
        <f>IFERROR(__xludf.DUMMYFUNCTION("""COMPUTED_VALUE"""),0.625)</f>
        <v>0.625</v>
      </c>
      <c r="Q997" s="4" t="str">
        <f>IFERROR(__xludf.DUMMYFUNCTION("""COMPUTED_VALUE"""),"null")</f>
        <v>null</v>
      </c>
      <c r="R997" s="33">
        <f>IFERROR(__xludf.DUMMYFUNCTION("""COMPUTED_VALUE"""),0.625)</f>
        <v>0.625</v>
      </c>
      <c r="S997" s="4" t="str">
        <f>IFERROR(__xludf.DUMMYFUNCTION("""COMPUTED_VALUE"""),"Vekttor")</f>
        <v>Vekttor</v>
      </c>
      <c r="T997" s="33">
        <f>IFERROR(__xludf.DUMMYFUNCTION("""COMPUTED_VALUE"""),0.5)</f>
        <v>0.5</v>
      </c>
      <c r="U997" s="4" t="str">
        <f>IFERROR(__xludf.DUMMYFUNCTION("""COMPUTED_VALUE"""),"Vekttor")</f>
        <v>Vekttor</v>
      </c>
      <c r="V997" s="33">
        <f>IFERROR(__xludf.DUMMYFUNCTION("""COMPUTED_VALUE"""),1.0)</f>
        <v>1</v>
      </c>
      <c r="W997" s="4" t="str">
        <f>IFERROR(__xludf.DUMMYFUNCTION("""COMPUTED_VALUE"""),"Vekttor")</f>
        <v>Vekttor</v>
      </c>
      <c r="X997" s="33">
        <f>IFERROR(__xludf.DUMMYFUNCTION("""COMPUTED_VALUE"""),0.625)</f>
        <v>0.625</v>
      </c>
    </row>
    <row r="998">
      <c r="K998" s="4" t="str">
        <f>IFERROR(__xludf.DUMMYFUNCTION("""COMPUTED_VALUE"""),"KIMURA")</f>
        <v>KIMURA</v>
      </c>
      <c r="L998" s="32">
        <f>IFERROR(__xludf.DUMMYFUNCTION("""COMPUTED_VALUE"""),8.0)</f>
        <v>8</v>
      </c>
      <c r="M998" s="4" t="str">
        <f>IFERROR(__xludf.DUMMYFUNCTION("""COMPUTED_VALUE"""),"Saipos Serviços De Software")</f>
        <v>Saipos Serviços De Software</v>
      </c>
      <c r="N998" s="33">
        <f>IFERROR(__xludf.DUMMYFUNCTION("""COMPUTED_VALUE"""),1.0)</f>
        <v>1</v>
      </c>
      <c r="O998" s="4" t="str">
        <f>IFERROR(__xludf.DUMMYFUNCTION("""COMPUTED_VALUE"""),"Saipos Serviços De Software")</f>
        <v>Saipos Serviços De Software</v>
      </c>
      <c r="P998" s="33">
        <f>IFERROR(__xludf.DUMMYFUNCTION("""COMPUTED_VALUE"""),1.0)</f>
        <v>1</v>
      </c>
      <c r="Q998" s="4" t="str">
        <f>IFERROR(__xludf.DUMMYFUNCTION("""COMPUTED_VALUE"""),"Saipos Serviços De Software")</f>
        <v>Saipos Serviços De Software</v>
      </c>
      <c r="R998" s="33">
        <f>IFERROR(__xludf.DUMMYFUNCTION("""COMPUTED_VALUE"""),1.0)</f>
        <v>1</v>
      </c>
      <c r="S998" s="4" t="str">
        <f>IFERROR(__xludf.DUMMYFUNCTION("""COMPUTED_VALUE"""),"Saipos Serviços De Software")</f>
        <v>Saipos Serviços De Software</v>
      </c>
      <c r="T998" s="33">
        <f>IFERROR(__xludf.DUMMYFUNCTION("""COMPUTED_VALUE"""),1.0)</f>
        <v>1</v>
      </c>
      <c r="U998" s="4" t="str">
        <f>IFERROR(__xludf.DUMMYFUNCTION("""COMPUTED_VALUE"""),"Saipos Serviços De Software")</f>
        <v>Saipos Serviços De Software</v>
      </c>
      <c r="V998" s="33">
        <f>IFERROR(__xludf.DUMMYFUNCTION("""COMPUTED_VALUE"""),1.0)</f>
        <v>1</v>
      </c>
      <c r="W998" s="4" t="str">
        <f>IFERROR(__xludf.DUMMYFUNCTION("""COMPUTED_VALUE"""),"Saipos Serviços De Software")</f>
        <v>Saipos Serviços De Software</v>
      </c>
      <c r="X998" s="33">
        <f>IFERROR(__xludf.DUMMYFUNCTION("""COMPUTED_VALUE"""),1.0)</f>
        <v>1</v>
      </c>
    </row>
    <row r="999">
      <c r="K999" s="4" t="str">
        <f>IFERROR(__xludf.DUMMYFUNCTION("""COMPUTED_VALUE"""),"LETSUSHI")</f>
        <v>LETSUSHI</v>
      </c>
      <c r="L999" s="32">
        <f>IFERROR(__xludf.DUMMYFUNCTION("""COMPUTED_VALUE"""),8.0)</f>
        <v>8</v>
      </c>
      <c r="M999" s="4" t="str">
        <f>IFERROR(__xludf.DUMMYFUNCTION("""COMPUTED_VALUE"""),"Saipos Serviços De Software")</f>
        <v>Saipos Serviços De Software</v>
      </c>
      <c r="N999" s="33">
        <f>IFERROR(__xludf.DUMMYFUNCTION("""COMPUTED_VALUE"""),0.875)</f>
        <v>0.875</v>
      </c>
      <c r="O999" s="4" t="str">
        <f>IFERROR(__xludf.DUMMYFUNCTION("""COMPUTED_VALUE"""),"null")</f>
        <v>null</v>
      </c>
      <c r="P999" s="33">
        <f>IFERROR(__xludf.DUMMYFUNCTION("""COMPUTED_VALUE"""),1.0)</f>
        <v>1</v>
      </c>
      <c r="Q999" s="4" t="str">
        <f>IFERROR(__xludf.DUMMYFUNCTION("""COMPUTED_VALUE"""),"null")</f>
        <v>null</v>
      </c>
      <c r="R999" s="33">
        <f>IFERROR(__xludf.DUMMYFUNCTION("""COMPUTED_VALUE"""),0.875)</f>
        <v>0.875</v>
      </c>
      <c r="S999" s="4" t="str">
        <f>IFERROR(__xludf.DUMMYFUNCTION("""COMPUTED_VALUE"""),"null")</f>
        <v>null</v>
      </c>
      <c r="T999" s="33">
        <f>IFERROR(__xludf.DUMMYFUNCTION("""COMPUTED_VALUE"""),1.0)</f>
        <v>1</v>
      </c>
      <c r="U999" s="4" t="str">
        <f>IFERROR(__xludf.DUMMYFUNCTION("""COMPUTED_VALUE"""),"null")</f>
        <v>null</v>
      </c>
      <c r="V999" s="33">
        <f>IFERROR(__xludf.DUMMYFUNCTION("""COMPUTED_VALUE"""),1.0)</f>
        <v>1</v>
      </c>
      <c r="W999" s="4" t="str">
        <f>IFERROR(__xludf.DUMMYFUNCTION("""COMPUTED_VALUE"""),"null")</f>
        <v>null</v>
      </c>
      <c r="X999" s="33">
        <f>IFERROR(__xludf.DUMMYFUNCTION("""COMPUTED_VALUE"""),1.0)</f>
        <v>1</v>
      </c>
    </row>
    <row r="1000">
      <c r="K1000" s="4" t="str">
        <f>IFERROR(__xludf.DUMMYFUNCTION("""COMPUTED_VALUE"""),"LOCALE")</f>
        <v>LOCALE</v>
      </c>
      <c r="L1000" s="32">
        <f>IFERROR(__xludf.DUMMYFUNCTION("""COMPUTED_VALUE"""),8.0)</f>
        <v>8</v>
      </c>
      <c r="M1000" s="4" t="str">
        <f>IFERROR(__xludf.DUMMYFUNCTION("""COMPUTED_VALUE"""),"Hsm Soluções")</f>
        <v>Hsm Soluções</v>
      </c>
      <c r="N1000" s="33">
        <f>IFERROR(__xludf.DUMMYFUNCTION("""COMPUTED_VALUE"""),0.625)</f>
        <v>0.625</v>
      </c>
      <c r="O1000" s="4" t="str">
        <f>IFERROR(__xludf.DUMMYFUNCTION("""COMPUTED_VALUE"""),"Hsm Soluções")</f>
        <v>Hsm Soluções</v>
      </c>
      <c r="P1000" s="33">
        <f>IFERROR(__xludf.DUMMYFUNCTION("""COMPUTED_VALUE"""),0.5)</f>
        <v>0.5</v>
      </c>
      <c r="Q1000" s="4" t="str">
        <f>IFERROR(__xludf.DUMMYFUNCTION("""COMPUTED_VALUE"""),"Hsm Soluções")</f>
        <v>Hsm Soluções</v>
      </c>
      <c r="R1000" s="33">
        <f>IFERROR(__xludf.DUMMYFUNCTION("""COMPUTED_VALUE"""),0.625)</f>
        <v>0.625</v>
      </c>
      <c r="S1000" s="4" t="str">
        <f>IFERROR(__xludf.DUMMYFUNCTION("""COMPUTED_VALUE"""),"Hsm Soluções")</f>
        <v>Hsm Soluções</v>
      </c>
      <c r="T1000" s="33">
        <f>IFERROR(__xludf.DUMMYFUNCTION("""COMPUTED_VALUE"""),0.625)</f>
        <v>0.625</v>
      </c>
      <c r="U1000" s="4" t="str">
        <f>IFERROR(__xludf.DUMMYFUNCTION("""COMPUTED_VALUE"""),"Hsm Soluções")</f>
        <v>Hsm Soluções</v>
      </c>
      <c r="V1000" s="33">
        <f>IFERROR(__xludf.DUMMYFUNCTION("""COMPUTED_VALUE"""),0.875)</f>
        <v>0.875</v>
      </c>
      <c r="W1000" s="4" t="str">
        <f>IFERROR(__xludf.DUMMYFUNCTION("""COMPUTED_VALUE"""),"Hsm Soluções")</f>
        <v>Hsm Soluções</v>
      </c>
      <c r="X1000" s="33">
        <f>IFERROR(__xludf.DUMMYFUNCTION("""COMPUTED_VALUE"""),0.625)</f>
        <v>0.625</v>
      </c>
    </row>
    <row r="1001">
      <c r="K1001" s="4" t="str">
        <f>IFERROR(__xludf.DUMMYFUNCTION("""COMPUTED_VALUE"""),"MADRUGADAO LANCHES")</f>
        <v>MADRUGADAO LANCHES</v>
      </c>
      <c r="L1001" s="32">
        <f>IFERROR(__xludf.DUMMYFUNCTION("""COMPUTED_VALUE"""),8.0)</f>
        <v>8</v>
      </c>
      <c r="M1001" s="4" t="str">
        <f>IFERROR(__xludf.DUMMYFUNCTION("""COMPUTED_VALUE"""),"Você Pede")</f>
        <v>Você Pede</v>
      </c>
      <c r="N1001" s="33">
        <f>IFERROR(__xludf.DUMMYFUNCTION("""COMPUTED_VALUE"""),0.75)</f>
        <v>0.75</v>
      </c>
      <c r="O1001" s="4" t="str">
        <f>IFERROR(__xludf.DUMMYFUNCTION("""COMPUTED_VALUE"""),"Você Pede")</f>
        <v>Você Pede</v>
      </c>
      <c r="P1001" s="33">
        <f>IFERROR(__xludf.DUMMYFUNCTION("""COMPUTED_VALUE"""),0.75)</f>
        <v>0.75</v>
      </c>
      <c r="Q1001" s="4" t="str">
        <f>IFERROR(__xludf.DUMMYFUNCTION("""COMPUTED_VALUE"""),"Você Pede")</f>
        <v>Você Pede</v>
      </c>
      <c r="R1001" s="33">
        <f>IFERROR(__xludf.DUMMYFUNCTION("""COMPUTED_VALUE"""),0.75)</f>
        <v>0.75</v>
      </c>
      <c r="S1001" s="4" t="str">
        <f>IFERROR(__xludf.DUMMYFUNCTION("""COMPUTED_VALUE"""),"Você Pede")</f>
        <v>Você Pede</v>
      </c>
      <c r="T1001" s="33">
        <f>IFERROR(__xludf.DUMMYFUNCTION("""COMPUTED_VALUE"""),0.75)</f>
        <v>0.75</v>
      </c>
      <c r="U1001" s="4" t="str">
        <f>IFERROR(__xludf.DUMMYFUNCTION("""COMPUTED_VALUE"""),"Você Pede")</f>
        <v>Você Pede</v>
      </c>
      <c r="V1001" s="33">
        <f>IFERROR(__xludf.DUMMYFUNCTION("""COMPUTED_VALUE"""),0.875)</f>
        <v>0.875</v>
      </c>
      <c r="W1001" s="4" t="str">
        <f>IFERROR(__xludf.DUMMYFUNCTION("""COMPUTED_VALUE"""),"Você Pede")</f>
        <v>Você Pede</v>
      </c>
      <c r="X1001" s="33">
        <f>IFERROR(__xludf.DUMMYFUNCTION("""COMPUTED_VALUE"""),0.875)</f>
        <v>0.875</v>
      </c>
    </row>
    <row r="1002">
      <c r="K1002" s="4" t="str">
        <f>IFERROR(__xludf.DUMMYFUNCTION("""COMPUTED_VALUE"""),"MAHA MANDALOUN")</f>
        <v>MAHA MANDALOUN</v>
      </c>
      <c r="L1002" s="32">
        <f>IFERROR(__xludf.DUMMYFUNCTION("""COMPUTED_VALUE"""),8.0)</f>
        <v>8</v>
      </c>
      <c r="M1002" s="4" t="str">
        <f>IFERROR(__xludf.DUMMYFUNCTION("""COMPUTED_VALUE"""),"Stone Co.")</f>
        <v>Stone Co.</v>
      </c>
      <c r="N1002" s="33">
        <f>IFERROR(__xludf.DUMMYFUNCTION("""COMPUTED_VALUE"""),1.0)</f>
        <v>1</v>
      </c>
      <c r="O1002" s="4" t="str">
        <f>IFERROR(__xludf.DUMMYFUNCTION("""COMPUTED_VALUE"""),"Stone Co.")</f>
        <v>Stone Co.</v>
      </c>
      <c r="P1002" s="33">
        <f>IFERROR(__xludf.DUMMYFUNCTION("""COMPUTED_VALUE"""),1.0)</f>
        <v>1</v>
      </c>
      <c r="Q1002" s="4" t="str">
        <f>IFERROR(__xludf.DUMMYFUNCTION("""COMPUTED_VALUE"""),"Stone Co.")</f>
        <v>Stone Co.</v>
      </c>
      <c r="R1002" s="33">
        <f>IFERROR(__xludf.DUMMYFUNCTION("""COMPUTED_VALUE"""),1.0)</f>
        <v>1</v>
      </c>
      <c r="S1002" s="4" t="str">
        <f>IFERROR(__xludf.DUMMYFUNCTION("""COMPUTED_VALUE"""),"Stone Co.")</f>
        <v>Stone Co.</v>
      </c>
      <c r="T1002" s="33">
        <f>IFERROR(__xludf.DUMMYFUNCTION("""COMPUTED_VALUE"""),1.0)</f>
        <v>1</v>
      </c>
      <c r="U1002" s="4" t="str">
        <f>IFERROR(__xludf.DUMMYFUNCTION("""COMPUTED_VALUE"""),"Stone Co.")</f>
        <v>Stone Co.</v>
      </c>
      <c r="V1002" s="33">
        <f>IFERROR(__xludf.DUMMYFUNCTION("""COMPUTED_VALUE"""),0.875)</f>
        <v>0.875</v>
      </c>
      <c r="W1002" s="4" t="str">
        <f>IFERROR(__xludf.DUMMYFUNCTION("""COMPUTED_VALUE"""),"Stone Co.")</f>
        <v>Stone Co.</v>
      </c>
      <c r="X1002" s="33">
        <f>IFERROR(__xludf.DUMMYFUNCTION("""COMPUTED_VALUE"""),0.875)</f>
        <v>0.875</v>
      </c>
    </row>
    <row r="1003">
      <c r="K1003" s="4" t="str">
        <f>IFERROR(__xludf.DUMMYFUNCTION("""COMPUTED_VALUE"""),"MARK HAMBURGUERIA")</f>
        <v>MARK HAMBURGUERIA</v>
      </c>
      <c r="L1003" s="32">
        <f>IFERROR(__xludf.DUMMYFUNCTION("""COMPUTED_VALUE"""),8.0)</f>
        <v>8</v>
      </c>
      <c r="M1003" s="4" t="str">
        <f>IFERROR(__xludf.DUMMYFUNCTION("""COMPUTED_VALUE"""),"Takeat Tecnologia")</f>
        <v>Takeat Tecnologia</v>
      </c>
      <c r="N1003" s="33">
        <f>IFERROR(__xludf.DUMMYFUNCTION("""COMPUTED_VALUE"""),0.875)</f>
        <v>0.875</v>
      </c>
      <c r="O1003" s="4" t="str">
        <f>IFERROR(__xludf.DUMMYFUNCTION("""COMPUTED_VALUE"""),"Takeat Tecnologia")</f>
        <v>Takeat Tecnologia</v>
      </c>
      <c r="P1003" s="33">
        <f>IFERROR(__xludf.DUMMYFUNCTION("""COMPUTED_VALUE"""),0.75)</f>
        <v>0.75</v>
      </c>
      <c r="Q1003" s="4" t="str">
        <f>IFERROR(__xludf.DUMMYFUNCTION("""COMPUTED_VALUE"""),"Takeat Tecnologia")</f>
        <v>Takeat Tecnologia</v>
      </c>
      <c r="R1003" s="33">
        <f>IFERROR(__xludf.DUMMYFUNCTION("""COMPUTED_VALUE"""),0.875)</f>
        <v>0.875</v>
      </c>
      <c r="S1003" s="4" t="str">
        <f>IFERROR(__xludf.DUMMYFUNCTION("""COMPUTED_VALUE"""),"Takeat Tecnologia")</f>
        <v>Takeat Tecnologia</v>
      </c>
      <c r="T1003" s="33">
        <f>IFERROR(__xludf.DUMMYFUNCTION("""COMPUTED_VALUE"""),0.75)</f>
        <v>0.75</v>
      </c>
      <c r="U1003" s="4" t="str">
        <f>IFERROR(__xludf.DUMMYFUNCTION("""COMPUTED_VALUE"""),"Takeat Tecnologia")</f>
        <v>Takeat Tecnologia</v>
      </c>
      <c r="V1003" s="33">
        <f>IFERROR(__xludf.DUMMYFUNCTION("""COMPUTED_VALUE"""),0.75)</f>
        <v>0.75</v>
      </c>
      <c r="W1003" s="4" t="str">
        <f>IFERROR(__xludf.DUMMYFUNCTION("""COMPUTED_VALUE"""),"Takeat Tecnologia")</f>
        <v>Takeat Tecnologia</v>
      </c>
      <c r="X1003" s="33">
        <f>IFERROR(__xludf.DUMMYFUNCTION("""COMPUTED_VALUE"""),0.875)</f>
        <v>0.875</v>
      </c>
    </row>
    <row r="1004">
      <c r="K1004" s="4" t="str">
        <f>IFERROR(__xludf.DUMMYFUNCTION("""COMPUTED_VALUE"""),"MAUI POKE HOUSE")</f>
        <v>MAUI POKE HOUSE</v>
      </c>
      <c r="L1004" s="32">
        <f>IFERROR(__xludf.DUMMYFUNCTION("""COMPUTED_VALUE"""),8.0)</f>
        <v>8</v>
      </c>
      <c r="M1004" s="4" t="str">
        <f>IFERROR(__xludf.DUMMYFUNCTION("""COMPUTED_VALUE"""),"Ncr")</f>
        <v>Ncr</v>
      </c>
      <c r="N1004" s="33">
        <f>IFERROR(__xludf.DUMMYFUNCTION("""COMPUTED_VALUE"""),0.625)</f>
        <v>0.625</v>
      </c>
      <c r="O1004" s="4" t="str">
        <f>IFERROR(__xludf.DUMMYFUNCTION("""COMPUTED_VALUE"""),"Ncr")</f>
        <v>Ncr</v>
      </c>
      <c r="P1004" s="33">
        <f>IFERROR(__xludf.DUMMYFUNCTION("""COMPUTED_VALUE"""),0.625)</f>
        <v>0.625</v>
      </c>
      <c r="Q1004" s="4" t="str">
        <f>IFERROR(__xludf.DUMMYFUNCTION("""COMPUTED_VALUE"""),"Ncr")</f>
        <v>Ncr</v>
      </c>
      <c r="R1004" s="33">
        <f>IFERROR(__xludf.DUMMYFUNCTION("""COMPUTED_VALUE"""),0.625)</f>
        <v>0.625</v>
      </c>
      <c r="S1004" s="4" t="str">
        <f>IFERROR(__xludf.DUMMYFUNCTION("""COMPUTED_VALUE"""),"Ncr")</f>
        <v>Ncr</v>
      </c>
      <c r="T1004" s="33">
        <f>IFERROR(__xludf.DUMMYFUNCTION("""COMPUTED_VALUE"""),0.625)</f>
        <v>0.625</v>
      </c>
      <c r="U1004" s="4" t="str">
        <f>IFERROR(__xludf.DUMMYFUNCTION("""COMPUTED_VALUE"""),"Ncr")</f>
        <v>Ncr</v>
      </c>
      <c r="V1004" s="33">
        <f>IFERROR(__xludf.DUMMYFUNCTION("""COMPUTED_VALUE"""),0.625)</f>
        <v>0.625</v>
      </c>
      <c r="W1004" s="4" t="str">
        <f>IFERROR(__xludf.DUMMYFUNCTION("""COMPUTED_VALUE"""),"Ncr")</f>
        <v>Ncr</v>
      </c>
      <c r="X1004" s="33">
        <f>IFERROR(__xludf.DUMMYFUNCTION("""COMPUTED_VALUE"""),0.625)</f>
        <v>0.625</v>
      </c>
    </row>
    <row r="1005">
      <c r="K1005" s="4" t="str">
        <f>IFERROR(__xludf.DUMMYFUNCTION("""COMPUTED_VALUE"""),"MESTRE DA PIZZA - MARCA")</f>
        <v>MESTRE DA PIZZA - MARCA</v>
      </c>
      <c r="L1005" s="32">
        <f>IFERROR(__xludf.DUMMYFUNCTION("""COMPUTED_VALUE"""),8.0)</f>
        <v>8</v>
      </c>
      <c r="M1005" s="4" t="str">
        <f>IFERROR(__xludf.DUMMYFUNCTION("""COMPUTED_VALUE"""),"Saipos Serviços De Software")</f>
        <v>Saipos Serviços De Software</v>
      </c>
      <c r="N1005" s="33">
        <f>IFERROR(__xludf.DUMMYFUNCTION("""COMPUTED_VALUE"""),1.0)</f>
        <v>1</v>
      </c>
      <c r="O1005" s="4" t="str">
        <f>IFERROR(__xludf.DUMMYFUNCTION("""COMPUTED_VALUE"""),"Saipos Serviços De Software")</f>
        <v>Saipos Serviços De Software</v>
      </c>
      <c r="P1005" s="33">
        <f>IFERROR(__xludf.DUMMYFUNCTION("""COMPUTED_VALUE"""),1.0)</f>
        <v>1</v>
      </c>
      <c r="Q1005" s="4" t="str">
        <f>IFERROR(__xludf.DUMMYFUNCTION("""COMPUTED_VALUE"""),"Saipos Serviços De Software")</f>
        <v>Saipos Serviços De Software</v>
      </c>
      <c r="R1005" s="33">
        <f>IFERROR(__xludf.DUMMYFUNCTION("""COMPUTED_VALUE"""),1.0)</f>
        <v>1</v>
      </c>
      <c r="S1005" s="4" t="str">
        <f>IFERROR(__xludf.DUMMYFUNCTION("""COMPUTED_VALUE"""),"Saipos Serviços De Software")</f>
        <v>Saipos Serviços De Software</v>
      </c>
      <c r="T1005" s="33">
        <f>IFERROR(__xludf.DUMMYFUNCTION("""COMPUTED_VALUE"""),1.0)</f>
        <v>1</v>
      </c>
      <c r="U1005" s="4" t="str">
        <f>IFERROR(__xludf.DUMMYFUNCTION("""COMPUTED_VALUE"""),"Saipos Serviços De Software")</f>
        <v>Saipos Serviços De Software</v>
      </c>
      <c r="V1005" s="33">
        <f>IFERROR(__xludf.DUMMYFUNCTION("""COMPUTED_VALUE"""),1.0)</f>
        <v>1</v>
      </c>
      <c r="W1005" s="4" t="str">
        <f>IFERROR(__xludf.DUMMYFUNCTION("""COMPUTED_VALUE"""),"Saipos Serviços De Software")</f>
        <v>Saipos Serviços De Software</v>
      </c>
      <c r="X1005" s="33">
        <f>IFERROR(__xludf.DUMMYFUNCTION("""COMPUTED_VALUE"""),1.0)</f>
        <v>1</v>
      </c>
    </row>
    <row r="1006">
      <c r="K1006" s="4" t="str">
        <f>IFERROR(__xludf.DUMMYFUNCTION("""COMPUTED_VALUE"""),"MUSS PIZZA")</f>
        <v>MUSS PIZZA</v>
      </c>
      <c r="L1006" s="32">
        <f>IFERROR(__xludf.DUMMYFUNCTION("""COMPUTED_VALUE"""),8.0)</f>
        <v>8</v>
      </c>
      <c r="M1006" s="4" t="str">
        <f>IFERROR(__xludf.DUMMYFUNCTION("""COMPUTED_VALUE"""),"Saipos Serviços De Software")</f>
        <v>Saipos Serviços De Software</v>
      </c>
      <c r="N1006" s="33">
        <f>IFERROR(__xludf.DUMMYFUNCTION("""COMPUTED_VALUE"""),0.875)</f>
        <v>0.875</v>
      </c>
      <c r="O1006" s="4" t="str">
        <f>IFERROR(__xludf.DUMMYFUNCTION("""COMPUTED_VALUE"""),"Saipos Serviços De Software")</f>
        <v>Saipos Serviços De Software</v>
      </c>
      <c r="P1006" s="33">
        <f>IFERROR(__xludf.DUMMYFUNCTION("""COMPUTED_VALUE"""),0.875)</f>
        <v>0.875</v>
      </c>
      <c r="Q1006" s="4" t="str">
        <f>IFERROR(__xludf.DUMMYFUNCTION("""COMPUTED_VALUE"""),"Saipos Serviços De Software")</f>
        <v>Saipos Serviços De Software</v>
      </c>
      <c r="R1006" s="33">
        <f>IFERROR(__xludf.DUMMYFUNCTION("""COMPUTED_VALUE"""),0.875)</f>
        <v>0.875</v>
      </c>
      <c r="S1006" s="4" t="str">
        <f>IFERROR(__xludf.DUMMYFUNCTION("""COMPUTED_VALUE"""),"Saipos Serviços De Software")</f>
        <v>Saipos Serviços De Software</v>
      </c>
      <c r="T1006" s="33">
        <f>IFERROR(__xludf.DUMMYFUNCTION("""COMPUTED_VALUE"""),0.875)</f>
        <v>0.875</v>
      </c>
      <c r="U1006" s="4" t="str">
        <f>IFERROR(__xludf.DUMMYFUNCTION("""COMPUTED_VALUE"""),"Saipos Serviços De Software")</f>
        <v>Saipos Serviços De Software</v>
      </c>
      <c r="V1006" s="33">
        <f>IFERROR(__xludf.DUMMYFUNCTION("""COMPUTED_VALUE"""),0.875)</f>
        <v>0.875</v>
      </c>
      <c r="W1006" s="4" t="str">
        <f>IFERROR(__xludf.DUMMYFUNCTION("""COMPUTED_VALUE"""),"Saipos Serviços De Software")</f>
        <v>Saipos Serviços De Software</v>
      </c>
      <c r="X1006" s="33">
        <f>IFERROR(__xludf.DUMMYFUNCTION("""COMPUTED_VALUE"""),0.75)</f>
        <v>0.75</v>
      </c>
    </row>
    <row r="1007">
      <c r="K1007" s="4" t="str">
        <f>IFERROR(__xludf.DUMMYFUNCTION("""COMPUTED_VALUE"""),"MUSSA")</f>
        <v>MUSSA</v>
      </c>
      <c r="L1007" s="32">
        <f>IFERROR(__xludf.DUMMYFUNCTION("""COMPUTED_VALUE"""),8.0)</f>
        <v>8</v>
      </c>
      <c r="M1007" s="4" t="str">
        <f>IFERROR(__xludf.DUMMYFUNCTION("""COMPUTED_VALUE"""),"null")</f>
        <v>null</v>
      </c>
      <c r="N1007" s="33">
        <f>IFERROR(__xludf.DUMMYFUNCTION("""COMPUTED_VALUE"""),0.875)</f>
        <v>0.875</v>
      </c>
      <c r="O1007" s="4" t="str">
        <f>IFERROR(__xludf.DUMMYFUNCTION("""COMPUTED_VALUE"""),"null")</f>
        <v>null</v>
      </c>
      <c r="P1007" s="33">
        <f>IFERROR(__xludf.DUMMYFUNCTION("""COMPUTED_VALUE"""),0.875)</f>
        <v>0.875</v>
      </c>
      <c r="Q1007" s="4" t="str">
        <f>IFERROR(__xludf.DUMMYFUNCTION("""COMPUTED_VALUE"""),"null")</f>
        <v>null</v>
      </c>
      <c r="R1007" s="33">
        <f>IFERROR(__xludf.DUMMYFUNCTION("""COMPUTED_VALUE"""),0.875)</f>
        <v>0.875</v>
      </c>
      <c r="S1007" s="4" t="str">
        <f>IFERROR(__xludf.DUMMYFUNCTION("""COMPUTED_VALUE"""),"null")</f>
        <v>null</v>
      </c>
      <c r="T1007" s="33">
        <f>IFERROR(__xludf.DUMMYFUNCTION("""COMPUTED_VALUE"""),0.625)</f>
        <v>0.625</v>
      </c>
      <c r="U1007" s="4" t="str">
        <f>IFERROR(__xludf.DUMMYFUNCTION("""COMPUTED_VALUE"""),"Saipos Serviços De Software")</f>
        <v>Saipos Serviços De Software</v>
      </c>
      <c r="V1007" s="33">
        <f>IFERROR(__xludf.DUMMYFUNCTION("""COMPUTED_VALUE"""),0.5)</f>
        <v>0.5</v>
      </c>
      <c r="W1007" s="4" t="str">
        <f>IFERROR(__xludf.DUMMYFUNCTION("""COMPUTED_VALUE"""),"Saipos Serviços De Software")</f>
        <v>Saipos Serviços De Software</v>
      </c>
      <c r="X1007" s="33">
        <f>IFERROR(__xludf.DUMMYFUNCTION("""COMPUTED_VALUE"""),0.875)</f>
        <v>0.875</v>
      </c>
    </row>
    <row r="1008">
      <c r="K1008" s="4" t="str">
        <f>IFERROR(__xludf.DUMMYFUNCTION("""COMPUTED_VALUE"""),"N PET CENTER - CONTA PAI")</f>
        <v>N PET CENTER - CONTA PAI</v>
      </c>
      <c r="L1008" s="32">
        <f>IFERROR(__xludf.DUMMYFUNCTION("""COMPUTED_VALUE"""),8.0)</f>
        <v>8</v>
      </c>
      <c r="M1008" s="4" t="str">
        <f>IFERROR(__xludf.DUMMYFUNCTION("""COMPUTED_VALUE"""),"N/A (Not found)")</f>
        <v>N/A (Not found)</v>
      </c>
      <c r="N1008" s="33">
        <f>IFERROR(__xludf.DUMMYFUNCTION("""COMPUTED_VALUE"""),0.875)</f>
        <v>0.875</v>
      </c>
      <c r="O1008" s="4" t="str">
        <f>IFERROR(__xludf.DUMMYFUNCTION("""COMPUTED_VALUE"""),"N/A (Not found)")</f>
        <v>N/A (Not found)</v>
      </c>
      <c r="P1008" s="33">
        <f>IFERROR(__xludf.DUMMYFUNCTION("""COMPUTED_VALUE"""),0.875)</f>
        <v>0.875</v>
      </c>
      <c r="Q1008" s="4" t="str">
        <f>IFERROR(__xludf.DUMMYFUNCTION("""COMPUTED_VALUE"""),"N/A (Not found)")</f>
        <v>N/A (Not found)</v>
      </c>
      <c r="R1008" s="33">
        <f>IFERROR(__xludf.DUMMYFUNCTION("""COMPUTED_VALUE"""),0.75)</f>
        <v>0.75</v>
      </c>
      <c r="S1008" s="4" t="str">
        <f>IFERROR(__xludf.DUMMYFUNCTION("""COMPUTED_VALUE"""),"N/A (Not found)")</f>
        <v>N/A (Not found)</v>
      </c>
      <c r="T1008" s="33">
        <f>IFERROR(__xludf.DUMMYFUNCTION("""COMPUTED_VALUE"""),0.75)</f>
        <v>0.75</v>
      </c>
      <c r="U1008" s="4" t="str">
        <f>IFERROR(__xludf.DUMMYFUNCTION("""COMPUTED_VALUE"""),"N/A (Not found)")</f>
        <v>N/A (Not found)</v>
      </c>
      <c r="V1008" s="33">
        <f>IFERROR(__xludf.DUMMYFUNCTION("""COMPUTED_VALUE"""),0.625)</f>
        <v>0.625</v>
      </c>
      <c r="W1008" s="4" t="str">
        <f>IFERROR(__xludf.DUMMYFUNCTION("""COMPUTED_VALUE"""),"N/A (Not found)")</f>
        <v>N/A (Not found)</v>
      </c>
      <c r="X1008" s="33">
        <f>IFERROR(__xludf.DUMMYFUNCTION("""COMPUTED_VALUE"""),0.75)</f>
        <v>0.75</v>
      </c>
    </row>
    <row r="1009">
      <c r="K1009" s="4" t="str">
        <f>IFERROR(__xludf.DUMMYFUNCTION("""COMPUTED_VALUE"""),"NAKOMBI")</f>
        <v>NAKOMBI</v>
      </c>
      <c r="L1009" s="32">
        <f>IFERROR(__xludf.DUMMYFUNCTION("""COMPUTED_VALUE"""),8.0)</f>
        <v>8</v>
      </c>
      <c r="M1009" s="4" t="str">
        <f>IFERROR(__xludf.DUMMYFUNCTION("""COMPUTED_VALUE"""),"Saipos Serviços De Software")</f>
        <v>Saipos Serviços De Software</v>
      </c>
      <c r="N1009" s="33">
        <f>IFERROR(__xludf.DUMMYFUNCTION("""COMPUTED_VALUE"""),0.875)</f>
        <v>0.875</v>
      </c>
      <c r="O1009" s="4" t="str">
        <f>IFERROR(__xludf.DUMMYFUNCTION("""COMPUTED_VALUE"""),"Saipos Serviços De Software")</f>
        <v>Saipos Serviços De Software</v>
      </c>
      <c r="P1009" s="33">
        <f>IFERROR(__xludf.DUMMYFUNCTION("""COMPUTED_VALUE"""),0.75)</f>
        <v>0.75</v>
      </c>
      <c r="Q1009" s="4" t="str">
        <f>IFERROR(__xludf.DUMMYFUNCTION("""COMPUTED_VALUE"""),"Saipos Serviços De Software")</f>
        <v>Saipos Serviços De Software</v>
      </c>
      <c r="R1009" s="33">
        <f>IFERROR(__xludf.DUMMYFUNCTION("""COMPUTED_VALUE"""),0.75)</f>
        <v>0.75</v>
      </c>
      <c r="S1009" s="4" t="str">
        <f>IFERROR(__xludf.DUMMYFUNCTION("""COMPUTED_VALUE"""),"Saipos Serviços De Software")</f>
        <v>Saipos Serviços De Software</v>
      </c>
      <c r="T1009" s="33">
        <f>IFERROR(__xludf.DUMMYFUNCTION("""COMPUTED_VALUE"""),0.75)</f>
        <v>0.75</v>
      </c>
      <c r="U1009" s="4" t="str">
        <f>IFERROR(__xludf.DUMMYFUNCTION("""COMPUTED_VALUE"""),"Saipos Serviços De Software")</f>
        <v>Saipos Serviços De Software</v>
      </c>
      <c r="V1009" s="33">
        <f>IFERROR(__xludf.DUMMYFUNCTION("""COMPUTED_VALUE"""),0.75)</f>
        <v>0.75</v>
      </c>
      <c r="W1009" s="4" t="str">
        <f>IFERROR(__xludf.DUMMYFUNCTION("""COMPUTED_VALUE"""),"Saipos Serviços De Software")</f>
        <v>Saipos Serviços De Software</v>
      </c>
      <c r="X1009" s="33">
        <f>IFERROR(__xludf.DUMMYFUNCTION("""COMPUTED_VALUE"""),0.75)</f>
        <v>0.75</v>
      </c>
    </row>
    <row r="1010">
      <c r="K1010" s="4" t="str">
        <f>IFERROR(__xludf.DUMMYFUNCTION("""COMPUTED_VALUE"""),"NOAH SUSHI - JOINVILLE")</f>
        <v>NOAH SUSHI - JOINVILLE</v>
      </c>
      <c r="L1010" s="32">
        <f>IFERROR(__xludf.DUMMYFUNCTION("""COMPUTED_VALUE"""),8.0)</f>
        <v>8</v>
      </c>
      <c r="M1010" s="4" t="str">
        <f>IFERROR(__xludf.DUMMYFUNCTION("""COMPUTED_VALUE"""),"Genuine Sistemas Ltda")</f>
        <v>Genuine Sistemas Ltda</v>
      </c>
      <c r="N1010" s="33">
        <f>IFERROR(__xludf.DUMMYFUNCTION("""COMPUTED_VALUE"""),0.625)</f>
        <v>0.625</v>
      </c>
      <c r="O1010" s="4" t="str">
        <f>IFERROR(__xludf.DUMMYFUNCTION("""COMPUTED_VALUE"""),"Genuine Sistemas Ltda")</f>
        <v>Genuine Sistemas Ltda</v>
      </c>
      <c r="P1010" s="33">
        <f>IFERROR(__xludf.DUMMYFUNCTION("""COMPUTED_VALUE"""),0.625)</f>
        <v>0.625</v>
      </c>
      <c r="Q1010" s="4" t="str">
        <f>IFERROR(__xludf.DUMMYFUNCTION("""COMPUTED_VALUE"""),"Genuine Sistemas Ltda")</f>
        <v>Genuine Sistemas Ltda</v>
      </c>
      <c r="R1010" s="33">
        <f>IFERROR(__xludf.DUMMYFUNCTION("""COMPUTED_VALUE"""),0.625)</f>
        <v>0.625</v>
      </c>
      <c r="S1010" s="4" t="str">
        <f>IFERROR(__xludf.DUMMYFUNCTION("""COMPUTED_VALUE"""),"Genuine Sistemas Ltda")</f>
        <v>Genuine Sistemas Ltda</v>
      </c>
      <c r="T1010" s="33">
        <f>IFERROR(__xludf.DUMMYFUNCTION("""COMPUTED_VALUE"""),0.625)</f>
        <v>0.625</v>
      </c>
      <c r="U1010" s="4" t="str">
        <f>IFERROR(__xludf.DUMMYFUNCTION("""COMPUTED_VALUE"""),"Genuine Sistemas Ltda")</f>
        <v>Genuine Sistemas Ltda</v>
      </c>
      <c r="V1010" s="33">
        <f>IFERROR(__xludf.DUMMYFUNCTION("""COMPUTED_VALUE"""),1.0)</f>
        <v>1</v>
      </c>
      <c r="W1010" s="4" t="str">
        <f>IFERROR(__xludf.DUMMYFUNCTION("""COMPUTED_VALUE"""),"Genuine Sistemas Ltda")</f>
        <v>Genuine Sistemas Ltda</v>
      </c>
      <c r="X1010" s="33">
        <f>IFERROR(__xludf.DUMMYFUNCTION("""COMPUTED_VALUE"""),1.0)</f>
        <v>1</v>
      </c>
    </row>
    <row r="1011">
      <c r="K1011" s="4" t="str">
        <f>IFERROR(__xludf.DUMMYFUNCTION("""COMPUTED_VALUE"""),"O REI DO MACARRAO - UBERLANDIA")</f>
        <v>O REI DO MACARRAO - UBERLANDIA</v>
      </c>
      <c r="L1011" s="32">
        <f>IFERROR(__xludf.DUMMYFUNCTION("""COMPUTED_VALUE"""),8.0)</f>
        <v>8</v>
      </c>
      <c r="M1011" s="4" t="str">
        <f>IFERROR(__xludf.DUMMYFUNCTION("""COMPUTED_VALUE"""),"Saipos Serviços De Software")</f>
        <v>Saipos Serviços De Software</v>
      </c>
      <c r="N1011" s="33">
        <f>IFERROR(__xludf.DUMMYFUNCTION("""COMPUTED_VALUE"""),0.875)</f>
        <v>0.875</v>
      </c>
      <c r="O1011" s="4" t="str">
        <f>IFERROR(__xludf.DUMMYFUNCTION("""COMPUTED_VALUE"""),"Saipos Serviços De Software")</f>
        <v>Saipos Serviços De Software</v>
      </c>
      <c r="P1011" s="33">
        <f>IFERROR(__xludf.DUMMYFUNCTION("""COMPUTED_VALUE"""),0.875)</f>
        <v>0.875</v>
      </c>
      <c r="Q1011" s="4" t="str">
        <f>IFERROR(__xludf.DUMMYFUNCTION("""COMPUTED_VALUE"""),"Saipos Serviços De Software")</f>
        <v>Saipos Serviços De Software</v>
      </c>
      <c r="R1011" s="33">
        <f>IFERROR(__xludf.DUMMYFUNCTION("""COMPUTED_VALUE"""),0.875)</f>
        <v>0.875</v>
      </c>
      <c r="S1011" s="4" t="str">
        <f>IFERROR(__xludf.DUMMYFUNCTION("""COMPUTED_VALUE"""),"Saipos Serviços De Software")</f>
        <v>Saipos Serviços De Software</v>
      </c>
      <c r="T1011" s="33">
        <f>IFERROR(__xludf.DUMMYFUNCTION("""COMPUTED_VALUE"""),0.875)</f>
        <v>0.875</v>
      </c>
      <c r="U1011" s="4" t="str">
        <f>IFERROR(__xludf.DUMMYFUNCTION("""COMPUTED_VALUE"""),"Saipos Serviços De Software")</f>
        <v>Saipos Serviços De Software</v>
      </c>
      <c r="V1011" s="33">
        <f>IFERROR(__xludf.DUMMYFUNCTION("""COMPUTED_VALUE"""),0.75)</f>
        <v>0.75</v>
      </c>
      <c r="W1011" s="4">
        <f>IFERROR(__xludf.DUMMYFUNCTION("""COMPUTED_VALUE"""),88.0)</f>
        <v>88</v>
      </c>
      <c r="X1011" s="33">
        <f>IFERROR(__xludf.DUMMYFUNCTION("""COMPUTED_VALUE"""),0.875)</f>
        <v>0.875</v>
      </c>
    </row>
    <row r="1012">
      <c r="K1012" s="4" t="str">
        <f>IFERROR(__xludf.DUMMYFUNCTION("""COMPUTED_VALUE"""),"PARDAL - CONTA MARCA")</f>
        <v>PARDAL - CONTA MARCA</v>
      </c>
      <c r="L1012" s="32">
        <f>IFERROR(__xludf.DUMMYFUNCTION("""COMPUTED_VALUE"""),8.0)</f>
        <v>8</v>
      </c>
      <c r="M1012" s="4" t="str">
        <f>IFERROR(__xludf.DUMMYFUNCTION("""COMPUTED_VALUE"""),"Syntax Tecnologia")</f>
        <v>Syntax Tecnologia</v>
      </c>
      <c r="N1012" s="33">
        <f>IFERROR(__xludf.DUMMYFUNCTION("""COMPUTED_VALUE"""),0.625)</f>
        <v>0.625</v>
      </c>
      <c r="O1012" s="4" t="str">
        <f>IFERROR(__xludf.DUMMYFUNCTION("""COMPUTED_VALUE"""),"Syntax Tecnologia")</f>
        <v>Syntax Tecnologia</v>
      </c>
      <c r="P1012" s="33">
        <f>IFERROR(__xludf.DUMMYFUNCTION("""COMPUTED_VALUE"""),0.625)</f>
        <v>0.625</v>
      </c>
      <c r="Q1012" s="4" t="str">
        <f>IFERROR(__xludf.DUMMYFUNCTION("""COMPUTED_VALUE"""),"Syntax Tecnologia")</f>
        <v>Syntax Tecnologia</v>
      </c>
      <c r="R1012" s="33">
        <f>IFERROR(__xludf.DUMMYFUNCTION("""COMPUTED_VALUE"""),0.625)</f>
        <v>0.625</v>
      </c>
      <c r="S1012" s="4" t="str">
        <f>IFERROR(__xludf.DUMMYFUNCTION("""COMPUTED_VALUE"""),"Syntax Tecnologia")</f>
        <v>Syntax Tecnologia</v>
      </c>
      <c r="T1012" s="33">
        <f>IFERROR(__xludf.DUMMYFUNCTION("""COMPUTED_VALUE"""),0.625)</f>
        <v>0.625</v>
      </c>
      <c r="U1012" s="4" t="str">
        <f>IFERROR(__xludf.DUMMYFUNCTION("""COMPUTED_VALUE"""),"Syntax Tecnologia")</f>
        <v>Syntax Tecnologia</v>
      </c>
      <c r="V1012" s="33">
        <f>IFERROR(__xludf.DUMMYFUNCTION("""COMPUTED_VALUE"""),0.625)</f>
        <v>0.625</v>
      </c>
      <c r="W1012" s="4" t="str">
        <f>IFERROR(__xludf.DUMMYFUNCTION("""COMPUTED_VALUE"""),"Syntax Tecnologia")</f>
        <v>Syntax Tecnologia</v>
      </c>
      <c r="X1012" s="33">
        <f>IFERROR(__xludf.DUMMYFUNCTION("""COMPUTED_VALUE"""),0.625)</f>
        <v>0.625</v>
      </c>
    </row>
    <row r="1013">
      <c r="K1013" s="4" t="str">
        <f>IFERROR(__xludf.DUMMYFUNCTION("""COMPUTED_VALUE"""),"PARRILEIRO - CONTA MARCA")</f>
        <v>PARRILEIRO - CONTA MARCA</v>
      </c>
      <c r="L1013" s="32">
        <f>IFERROR(__xludf.DUMMYFUNCTION("""COMPUTED_VALUE"""),8.0)</f>
        <v>8</v>
      </c>
      <c r="M1013" s="4" t="str">
        <f>IFERROR(__xludf.DUMMYFUNCTION("""COMPUTED_VALUE"""),"Izzy Way Tecnologia")</f>
        <v>Izzy Way Tecnologia</v>
      </c>
      <c r="N1013" s="33">
        <f>IFERROR(__xludf.DUMMYFUNCTION("""COMPUTED_VALUE"""),1.0)</f>
        <v>1</v>
      </c>
      <c r="O1013" s="4" t="str">
        <f>IFERROR(__xludf.DUMMYFUNCTION("""COMPUTED_VALUE"""),"Izzy Way Tecnologia")</f>
        <v>Izzy Way Tecnologia</v>
      </c>
      <c r="P1013" s="33">
        <f>IFERROR(__xludf.DUMMYFUNCTION("""COMPUTED_VALUE"""),1.0)</f>
        <v>1</v>
      </c>
      <c r="Q1013" s="4" t="str">
        <f>IFERROR(__xludf.DUMMYFUNCTION("""COMPUTED_VALUE"""),"Izzy Way Tecnologia")</f>
        <v>Izzy Way Tecnologia</v>
      </c>
      <c r="R1013" s="33">
        <f>IFERROR(__xludf.DUMMYFUNCTION("""COMPUTED_VALUE"""),1.0)</f>
        <v>1</v>
      </c>
      <c r="S1013" s="4" t="str">
        <f>IFERROR(__xludf.DUMMYFUNCTION("""COMPUTED_VALUE"""),"Izzy Way Tecnologia")</f>
        <v>Izzy Way Tecnologia</v>
      </c>
      <c r="T1013" s="33">
        <f>IFERROR(__xludf.DUMMYFUNCTION("""COMPUTED_VALUE"""),1.0)</f>
        <v>1</v>
      </c>
      <c r="U1013" s="4" t="str">
        <f>IFERROR(__xludf.DUMMYFUNCTION("""COMPUTED_VALUE"""),"Izzy Way Tecnologia")</f>
        <v>Izzy Way Tecnologia</v>
      </c>
      <c r="V1013" s="33">
        <f>IFERROR(__xludf.DUMMYFUNCTION("""COMPUTED_VALUE"""),1.0)</f>
        <v>1</v>
      </c>
      <c r="W1013" s="4" t="str">
        <f>IFERROR(__xludf.DUMMYFUNCTION("""COMPUTED_VALUE"""),"Izzy Way Tecnologia")</f>
        <v>Izzy Way Tecnologia</v>
      </c>
      <c r="X1013" s="33">
        <f>IFERROR(__xludf.DUMMYFUNCTION("""COMPUTED_VALUE"""),1.0)</f>
        <v>1</v>
      </c>
    </row>
    <row r="1014">
      <c r="K1014" s="4" t="str">
        <f>IFERROR(__xludf.DUMMYFUNCTION("""COMPUTED_VALUE"""),"PHARMAPELE - CONTA MARCA")</f>
        <v>PHARMAPELE - CONTA MARCA</v>
      </c>
      <c r="L1014" s="32">
        <f>IFERROR(__xludf.DUMMYFUNCTION("""COMPUTED_VALUE"""),8.0)</f>
        <v>8</v>
      </c>
      <c r="M1014" s="4" t="str">
        <f>IFERROR(__xludf.DUMMYFUNCTION("""COMPUTED_VALUE"""),"N/A (Not found)")</f>
        <v>N/A (Not found)</v>
      </c>
      <c r="N1014" s="33">
        <f>IFERROR(__xludf.DUMMYFUNCTION("""COMPUTED_VALUE"""),0.5)</f>
        <v>0.5</v>
      </c>
      <c r="O1014" s="4" t="str">
        <f>IFERROR(__xludf.DUMMYFUNCTION("""COMPUTED_VALUE"""),"null")</f>
        <v>null</v>
      </c>
      <c r="P1014" s="33">
        <f>IFERROR(__xludf.DUMMYFUNCTION("""COMPUTED_VALUE"""),0.625)</f>
        <v>0.625</v>
      </c>
      <c r="Q1014" s="4" t="str">
        <f>IFERROR(__xludf.DUMMYFUNCTION("""COMPUTED_VALUE"""),"N/A (Not found)")</f>
        <v>N/A (Not found)</v>
      </c>
      <c r="R1014" s="33">
        <f>IFERROR(__xludf.DUMMYFUNCTION("""COMPUTED_VALUE"""),0.625)</f>
        <v>0.625</v>
      </c>
      <c r="S1014" s="4" t="str">
        <f>IFERROR(__xludf.DUMMYFUNCTION("""COMPUTED_VALUE"""),"N/A (Not found)")</f>
        <v>N/A (Not found)</v>
      </c>
      <c r="T1014" s="33">
        <f>IFERROR(__xludf.DUMMYFUNCTION("""COMPUTED_VALUE"""),0.75)</f>
        <v>0.75</v>
      </c>
      <c r="U1014" s="4" t="str">
        <f>IFERROR(__xludf.DUMMYFUNCTION("""COMPUTED_VALUE"""),"null")</f>
        <v>null</v>
      </c>
      <c r="V1014" s="33">
        <f>IFERROR(__xludf.DUMMYFUNCTION("""COMPUTED_VALUE"""),0.75)</f>
        <v>0.75</v>
      </c>
      <c r="W1014" s="4" t="str">
        <f>IFERROR(__xludf.DUMMYFUNCTION("""COMPUTED_VALUE"""),"null")</f>
        <v>null</v>
      </c>
      <c r="X1014" s="33">
        <f>IFERROR(__xludf.DUMMYFUNCTION("""COMPUTED_VALUE"""),0.875)</f>
        <v>0.875</v>
      </c>
    </row>
    <row r="1015">
      <c r="K1015" s="4" t="str">
        <f>IFERROR(__xludf.DUMMYFUNCTION("""COMPUTED_VALUE"""),"PIMP BURGER")</f>
        <v>PIMP BURGER</v>
      </c>
      <c r="L1015" s="32">
        <f>IFERROR(__xludf.DUMMYFUNCTION("""COMPUTED_VALUE"""),8.0)</f>
        <v>8</v>
      </c>
      <c r="M1015" s="4" t="str">
        <f>IFERROR(__xludf.DUMMYFUNCTION("""COMPUTED_VALUE"""),"Saipos Serviços De Software")</f>
        <v>Saipos Serviços De Software</v>
      </c>
      <c r="N1015" s="33">
        <f>IFERROR(__xludf.DUMMYFUNCTION("""COMPUTED_VALUE"""),0.625)</f>
        <v>0.625</v>
      </c>
      <c r="O1015" s="4" t="str">
        <f>IFERROR(__xludf.DUMMYFUNCTION("""COMPUTED_VALUE"""),"Saipos Serviços De Software")</f>
        <v>Saipos Serviços De Software</v>
      </c>
      <c r="P1015" s="33">
        <f>IFERROR(__xludf.DUMMYFUNCTION("""COMPUTED_VALUE"""),0.625)</f>
        <v>0.625</v>
      </c>
      <c r="Q1015" s="4" t="str">
        <f>IFERROR(__xludf.DUMMYFUNCTION("""COMPUTED_VALUE"""),"Saipos Serviços De Software")</f>
        <v>Saipos Serviços De Software</v>
      </c>
      <c r="R1015" s="33">
        <f>IFERROR(__xludf.DUMMYFUNCTION("""COMPUTED_VALUE"""),0.625)</f>
        <v>0.625</v>
      </c>
      <c r="S1015" s="4" t="str">
        <f>IFERROR(__xludf.DUMMYFUNCTION("""COMPUTED_VALUE"""),"Saipos Serviços De Software")</f>
        <v>Saipos Serviços De Software</v>
      </c>
      <c r="T1015" s="33">
        <f>IFERROR(__xludf.DUMMYFUNCTION("""COMPUTED_VALUE"""),1.0)</f>
        <v>1</v>
      </c>
      <c r="U1015" s="4" t="str">
        <f>IFERROR(__xludf.DUMMYFUNCTION("""COMPUTED_VALUE"""),"Saipos Serviços De Software")</f>
        <v>Saipos Serviços De Software</v>
      </c>
      <c r="V1015" s="33">
        <f>IFERROR(__xludf.DUMMYFUNCTION("""COMPUTED_VALUE"""),1.0)</f>
        <v>1</v>
      </c>
      <c r="W1015" s="4" t="str">
        <f>IFERROR(__xludf.DUMMYFUNCTION("""COMPUTED_VALUE"""),"Saipos Serviços De Software")</f>
        <v>Saipos Serviços De Software</v>
      </c>
      <c r="X1015" s="33">
        <f>IFERROR(__xludf.DUMMYFUNCTION("""COMPUTED_VALUE"""),1.0)</f>
        <v>1</v>
      </c>
    </row>
    <row r="1016">
      <c r="K1016" s="4" t="str">
        <f>IFERROR(__xludf.DUMMYFUNCTION("""COMPUTED_VALUE"""),"PITS BURGER")</f>
        <v>PITS BURGER</v>
      </c>
      <c r="L1016" s="32">
        <f>IFERROR(__xludf.DUMMYFUNCTION("""COMPUTED_VALUE"""),8.0)</f>
        <v>8</v>
      </c>
      <c r="M1016" s="4" t="str">
        <f>IFERROR(__xludf.DUMMYFUNCTION("""COMPUTED_VALUE"""),"Eclética Tecnologia")</f>
        <v>Eclética Tecnologia</v>
      </c>
      <c r="N1016" s="33">
        <f>IFERROR(__xludf.DUMMYFUNCTION("""COMPUTED_VALUE"""),1.0)</f>
        <v>1</v>
      </c>
      <c r="O1016" s="4" t="str">
        <f>IFERROR(__xludf.DUMMYFUNCTION("""COMPUTED_VALUE"""),"Eclética Tecnologia")</f>
        <v>Eclética Tecnologia</v>
      </c>
      <c r="P1016" s="33">
        <f>IFERROR(__xludf.DUMMYFUNCTION("""COMPUTED_VALUE"""),0.875)</f>
        <v>0.875</v>
      </c>
      <c r="Q1016" s="4" t="str">
        <f>IFERROR(__xludf.DUMMYFUNCTION("""COMPUTED_VALUE"""),"Eclética Tecnologia")</f>
        <v>Eclética Tecnologia</v>
      </c>
      <c r="R1016" s="33">
        <f>IFERROR(__xludf.DUMMYFUNCTION("""COMPUTED_VALUE"""),0.875)</f>
        <v>0.875</v>
      </c>
      <c r="S1016" s="4" t="str">
        <f>IFERROR(__xludf.DUMMYFUNCTION("""COMPUTED_VALUE"""),"Eclética Tecnologia")</f>
        <v>Eclética Tecnologia</v>
      </c>
      <c r="T1016" s="33">
        <f>IFERROR(__xludf.DUMMYFUNCTION("""COMPUTED_VALUE"""),0.875)</f>
        <v>0.875</v>
      </c>
      <c r="U1016" s="4" t="str">
        <f>IFERROR(__xludf.DUMMYFUNCTION("""COMPUTED_VALUE"""),"Eclética Tecnologia")</f>
        <v>Eclética Tecnologia</v>
      </c>
      <c r="V1016" s="33">
        <f>IFERROR(__xludf.DUMMYFUNCTION("""COMPUTED_VALUE"""),0.875)</f>
        <v>0.875</v>
      </c>
      <c r="W1016" s="4" t="str">
        <f>IFERROR(__xludf.DUMMYFUNCTION("""COMPUTED_VALUE"""),"Eclética Tecnologia")</f>
        <v>Eclética Tecnologia</v>
      </c>
      <c r="X1016" s="33">
        <f>IFERROR(__xludf.DUMMYFUNCTION("""COMPUTED_VALUE"""),0.75)</f>
        <v>0.75</v>
      </c>
    </row>
    <row r="1017">
      <c r="K1017" s="4" t="str">
        <f>IFERROR(__xludf.DUMMYFUNCTION("""COMPUTED_VALUE"""),"PIZZA FOR FUN")</f>
        <v>PIZZA FOR FUN</v>
      </c>
      <c r="L1017" s="32">
        <f>IFERROR(__xludf.DUMMYFUNCTION("""COMPUTED_VALUE"""),8.0)</f>
        <v>8</v>
      </c>
      <c r="M1017" s="4" t="str">
        <f>IFERROR(__xludf.DUMMYFUNCTION("""COMPUTED_VALUE"""),"Eclética Tecnologia")</f>
        <v>Eclética Tecnologia</v>
      </c>
      <c r="N1017" s="33">
        <f>IFERROR(__xludf.DUMMYFUNCTION("""COMPUTED_VALUE"""),0.875)</f>
        <v>0.875</v>
      </c>
      <c r="O1017" s="4" t="str">
        <f>IFERROR(__xludf.DUMMYFUNCTION("""COMPUTED_VALUE"""),"Eclética Tecnologia")</f>
        <v>Eclética Tecnologia</v>
      </c>
      <c r="P1017" s="33">
        <f>IFERROR(__xludf.DUMMYFUNCTION("""COMPUTED_VALUE"""),0.75)</f>
        <v>0.75</v>
      </c>
      <c r="Q1017" s="4" t="str">
        <f>IFERROR(__xludf.DUMMYFUNCTION("""COMPUTED_VALUE"""),"Eclética Tecnologia")</f>
        <v>Eclética Tecnologia</v>
      </c>
      <c r="R1017" s="33">
        <f>IFERROR(__xludf.DUMMYFUNCTION("""COMPUTED_VALUE"""),0.75)</f>
        <v>0.75</v>
      </c>
      <c r="S1017" s="4" t="str">
        <f>IFERROR(__xludf.DUMMYFUNCTION("""COMPUTED_VALUE"""),"Eclética Tecnologia")</f>
        <v>Eclética Tecnologia</v>
      </c>
      <c r="T1017" s="33">
        <f>IFERROR(__xludf.DUMMYFUNCTION("""COMPUTED_VALUE"""),0.875)</f>
        <v>0.875</v>
      </c>
      <c r="U1017" s="4" t="str">
        <f>IFERROR(__xludf.DUMMYFUNCTION("""COMPUTED_VALUE"""),"Eclética Tecnologia")</f>
        <v>Eclética Tecnologia</v>
      </c>
      <c r="V1017" s="33">
        <f>IFERROR(__xludf.DUMMYFUNCTION("""COMPUTED_VALUE"""),0.875)</f>
        <v>0.875</v>
      </c>
      <c r="W1017" s="4" t="str">
        <f>IFERROR(__xludf.DUMMYFUNCTION("""COMPUTED_VALUE"""),"Eclética Tecnologia")</f>
        <v>Eclética Tecnologia</v>
      </c>
      <c r="X1017" s="33">
        <f>IFERROR(__xludf.DUMMYFUNCTION("""COMPUTED_VALUE"""),0.875)</f>
        <v>0.875</v>
      </c>
    </row>
    <row r="1018">
      <c r="K1018" s="4" t="str">
        <f>IFERROR(__xludf.DUMMYFUNCTION("""COMPUTED_VALUE"""),"PIZZARIA ARMAZEM SAO GONCALO - CONTA MARCA")</f>
        <v>PIZZARIA ARMAZEM SAO GONCALO - CONTA MARCA</v>
      </c>
      <c r="L1018" s="32">
        <f>IFERROR(__xludf.DUMMYFUNCTION("""COMPUTED_VALUE"""),8.0)</f>
        <v>8</v>
      </c>
      <c r="M1018" s="4" t="str">
        <f>IFERROR(__xludf.DUMMYFUNCTION("""COMPUTED_VALUE"""),"Ncr")</f>
        <v>Ncr</v>
      </c>
      <c r="N1018" s="33">
        <f>IFERROR(__xludf.DUMMYFUNCTION("""COMPUTED_VALUE"""),0.625)</f>
        <v>0.625</v>
      </c>
      <c r="O1018" s="4" t="str">
        <f>IFERROR(__xludf.DUMMYFUNCTION("""COMPUTED_VALUE"""),"Ncr")</f>
        <v>Ncr</v>
      </c>
      <c r="P1018" s="33">
        <f>IFERROR(__xludf.DUMMYFUNCTION("""COMPUTED_VALUE"""),0.875)</f>
        <v>0.875</v>
      </c>
      <c r="Q1018" s="4" t="str">
        <f>IFERROR(__xludf.DUMMYFUNCTION("""COMPUTED_VALUE"""),"Ncr")</f>
        <v>Ncr</v>
      </c>
      <c r="R1018" s="33">
        <f>IFERROR(__xludf.DUMMYFUNCTION("""COMPUTED_VALUE"""),1.0)</f>
        <v>1</v>
      </c>
      <c r="S1018" s="4" t="str">
        <f>IFERROR(__xludf.DUMMYFUNCTION("""COMPUTED_VALUE"""),"Ncr")</f>
        <v>Ncr</v>
      </c>
      <c r="T1018" s="33">
        <f>IFERROR(__xludf.DUMMYFUNCTION("""COMPUTED_VALUE"""),1.0)</f>
        <v>1</v>
      </c>
      <c r="U1018" s="4" t="str">
        <f>IFERROR(__xludf.DUMMYFUNCTION("""COMPUTED_VALUE"""),"Ncr")</f>
        <v>Ncr</v>
      </c>
      <c r="V1018" s="33">
        <f>IFERROR(__xludf.DUMMYFUNCTION("""COMPUTED_VALUE"""),1.0)</f>
        <v>1</v>
      </c>
      <c r="W1018" s="4" t="str">
        <f>IFERROR(__xludf.DUMMYFUNCTION("""COMPUTED_VALUE"""),"Ncr")</f>
        <v>Ncr</v>
      </c>
      <c r="X1018" s="33">
        <f>IFERROR(__xludf.DUMMYFUNCTION("""COMPUTED_VALUE"""),1.0)</f>
        <v>1</v>
      </c>
    </row>
    <row r="1019">
      <c r="K1019" s="4" t="str">
        <f>IFERROR(__xludf.DUMMYFUNCTION("""COMPUTED_VALUE"""),"PIZZARIA LA PIETA")</f>
        <v>PIZZARIA LA PIETA</v>
      </c>
      <c r="L1019" s="32">
        <f>IFERROR(__xludf.DUMMYFUNCTION("""COMPUTED_VALUE"""),8.0)</f>
        <v>8</v>
      </c>
      <c r="M1019" s="4" t="str">
        <f>IFERROR(__xludf.DUMMYFUNCTION("""COMPUTED_VALUE"""),"Saipos Serviços De Software")</f>
        <v>Saipos Serviços De Software</v>
      </c>
      <c r="N1019" s="33">
        <f>IFERROR(__xludf.DUMMYFUNCTION("""COMPUTED_VALUE"""),1.0)</f>
        <v>1</v>
      </c>
      <c r="O1019" s="4" t="str">
        <f>IFERROR(__xludf.DUMMYFUNCTION("""COMPUTED_VALUE"""),"Saipos Serviços De Software")</f>
        <v>Saipos Serviços De Software</v>
      </c>
      <c r="P1019" s="33">
        <f>IFERROR(__xludf.DUMMYFUNCTION("""COMPUTED_VALUE"""),0.875)</f>
        <v>0.875</v>
      </c>
      <c r="Q1019" s="4" t="str">
        <f>IFERROR(__xludf.DUMMYFUNCTION("""COMPUTED_VALUE"""),"Saipos Serviços De Software")</f>
        <v>Saipos Serviços De Software</v>
      </c>
      <c r="R1019" s="33">
        <f>IFERROR(__xludf.DUMMYFUNCTION("""COMPUTED_VALUE"""),1.0)</f>
        <v>1</v>
      </c>
      <c r="S1019" s="4" t="str">
        <f>IFERROR(__xludf.DUMMYFUNCTION("""COMPUTED_VALUE"""),"Saipos Serviços De Software")</f>
        <v>Saipos Serviços De Software</v>
      </c>
      <c r="T1019" s="33">
        <f>IFERROR(__xludf.DUMMYFUNCTION("""COMPUTED_VALUE"""),0.875)</f>
        <v>0.875</v>
      </c>
      <c r="U1019" s="4" t="str">
        <f>IFERROR(__xludf.DUMMYFUNCTION("""COMPUTED_VALUE"""),"Saipos Serviços De Software")</f>
        <v>Saipos Serviços De Software</v>
      </c>
      <c r="V1019" s="33">
        <f>IFERROR(__xludf.DUMMYFUNCTION("""COMPUTED_VALUE"""),0.875)</f>
        <v>0.875</v>
      </c>
      <c r="W1019" s="4" t="str">
        <f>IFERROR(__xludf.DUMMYFUNCTION("""COMPUTED_VALUE"""),"Saipos Serviços De Software")</f>
        <v>Saipos Serviços De Software</v>
      </c>
      <c r="X1019" s="33">
        <f>IFERROR(__xludf.DUMMYFUNCTION("""COMPUTED_VALUE"""),0.625)</f>
        <v>0.625</v>
      </c>
    </row>
    <row r="1020">
      <c r="K1020" s="4" t="str">
        <f>IFERROR(__xludf.DUMMYFUNCTION("""COMPUTED_VALUE"""),"PIZZARIA MATUTA")</f>
        <v>PIZZARIA MATUTA</v>
      </c>
      <c r="L1020" s="32">
        <f>IFERROR(__xludf.DUMMYFUNCTION("""COMPUTED_VALUE"""),8.0)</f>
        <v>8</v>
      </c>
      <c r="M1020" s="4" t="str">
        <f>IFERROR(__xludf.DUMMYFUNCTION("""COMPUTED_VALUE"""),"Saipos Serviços De Software")</f>
        <v>Saipos Serviços De Software</v>
      </c>
      <c r="N1020" s="33">
        <f>IFERROR(__xludf.DUMMYFUNCTION("""COMPUTED_VALUE"""),1.0)</f>
        <v>1</v>
      </c>
      <c r="O1020" s="4" t="str">
        <f>IFERROR(__xludf.DUMMYFUNCTION("""COMPUTED_VALUE"""),"Saipos Serviços De Software")</f>
        <v>Saipos Serviços De Software</v>
      </c>
      <c r="P1020" s="33">
        <f>IFERROR(__xludf.DUMMYFUNCTION("""COMPUTED_VALUE"""),1.0)</f>
        <v>1</v>
      </c>
      <c r="Q1020" s="4" t="str">
        <f>IFERROR(__xludf.DUMMYFUNCTION("""COMPUTED_VALUE"""),"Saipos Serviços De Software")</f>
        <v>Saipos Serviços De Software</v>
      </c>
      <c r="R1020" s="33">
        <f>IFERROR(__xludf.DUMMYFUNCTION("""COMPUTED_VALUE"""),1.0)</f>
        <v>1</v>
      </c>
      <c r="S1020" s="4" t="str">
        <f>IFERROR(__xludf.DUMMYFUNCTION("""COMPUTED_VALUE"""),"Saipos Serviços De Software")</f>
        <v>Saipos Serviços De Software</v>
      </c>
      <c r="T1020" s="33">
        <f>IFERROR(__xludf.DUMMYFUNCTION("""COMPUTED_VALUE"""),1.0)</f>
        <v>1</v>
      </c>
      <c r="U1020" s="4" t="str">
        <f>IFERROR(__xludf.DUMMYFUNCTION("""COMPUTED_VALUE"""),"Saipos Serviços De Software")</f>
        <v>Saipos Serviços De Software</v>
      </c>
      <c r="V1020" s="33">
        <f>IFERROR(__xludf.DUMMYFUNCTION("""COMPUTED_VALUE"""),1.0)</f>
        <v>1</v>
      </c>
      <c r="W1020" s="4" t="str">
        <f>IFERROR(__xludf.DUMMYFUNCTION("""COMPUTED_VALUE"""),"Saipos Serviços De Software")</f>
        <v>Saipos Serviços De Software</v>
      </c>
      <c r="X1020" s="33">
        <f>IFERROR(__xludf.DUMMYFUNCTION("""COMPUTED_VALUE"""),1.0)</f>
        <v>1</v>
      </c>
    </row>
    <row r="1021">
      <c r="K1021" s="4" t="str">
        <f>IFERROR(__xludf.DUMMYFUNCTION("""COMPUTED_VALUE"""),"PIZZARIA MISTER GIUSEPPE")</f>
        <v>PIZZARIA MISTER GIUSEPPE</v>
      </c>
      <c r="L1021" s="32">
        <f>IFERROR(__xludf.DUMMYFUNCTION("""COMPUTED_VALUE"""),8.0)</f>
        <v>8</v>
      </c>
      <c r="M1021" s="4" t="str">
        <f>IFERROR(__xludf.DUMMYFUNCTION("""COMPUTED_VALUE"""),"Saipos Serviços De Software")</f>
        <v>Saipos Serviços De Software</v>
      </c>
      <c r="N1021" s="33">
        <f>IFERROR(__xludf.DUMMYFUNCTION("""COMPUTED_VALUE"""),1.0)</f>
        <v>1</v>
      </c>
      <c r="O1021" s="4" t="str">
        <f>IFERROR(__xludf.DUMMYFUNCTION("""COMPUTED_VALUE"""),"Saipos Serviços De Software")</f>
        <v>Saipos Serviços De Software</v>
      </c>
      <c r="P1021" s="33">
        <f>IFERROR(__xludf.DUMMYFUNCTION("""COMPUTED_VALUE"""),1.0)</f>
        <v>1</v>
      </c>
      <c r="Q1021" s="4" t="str">
        <f>IFERROR(__xludf.DUMMYFUNCTION("""COMPUTED_VALUE"""),"Saipos Serviços De Software")</f>
        <v>Saipos Serviços De Software</v>
      </c>
      <c r="R1021" s="33">
        <f>IFERROR(__xludf.DUMMYFUNCTION("""COMPUTED_VALUE"""),1.0)</f>
        <v>1</v>
      </c>
      <c r="S1021" s="4" t="str">
        <f>IFERROR(__xludf.DUMMYFUNCTION("""COMPUTED_VALUE"""),"Saipos Serviços De Software")</f>
        <v>Saipos Serviços De Software</v>
      </c>
      <c r="T1021" s="33">
        <f>IFERROR(__xludf.DUMMYFUNCTION("""COMPUTED_VALUE"""),1.0)</f>
        <v>1</v>
      </c>
      <c r="U1021" s="4" t="str">
        <f>IFERROR(__xludf.DUMMYFUNCTION("""COMPUTED_VALUE"""),"Saipos Serviços De Software")</f>
        <v>Saipos Serviços De Software</v>
      </c>
      <c r="V1021" s="33">
        <f>IFERROR(__xludf.DUMMYFUNCTION("""COMPUTED_VALUE"""),1.0)</f>
        <v>1</v>
      </c>
      <c r="W1021" s="4" t="str">
        <f>IFERROR(__xludf.DUMMYFUNCTION("""COMPUTED_VALUE"""),"Saipos Serviços De Software")</f>
        <v>Saipos Serviços De Software</v>
      </c>
      <c r="X1021" s="33">
        <f>IFERROR(__xludf.DUMMYFUNCTION("""COMPUTED_VALUE"""),1.0)</f>
        <v>1</v>
      </c>
    </row>
    <row r="1022">
      <c r="K1022" s="4" t="str">
        <f>IFERROR(__xludf.DUMMYFUNCTION("""COMPUTED_VALUE"""),"PLIM ENTREGA")</f>
        <v>PLIM ENTREGA</v>
      </c>
      <c r="L1022" s="32">
        <f>IFERROR(__xludf.DUMMYFUNCTION("""COMPUTED_VALUE"""),8.0)</f>
        <v>8</v>
      </c>
      <c r="M1022" s="4" t="str">
        <f>IFERROR(__xludf.DUMMYFUNCTION("""COMPUTED_VALUE"""),"Eclética Tecnologia")</f>
        <v>Eclética Tecnologia</v>
      </c>
      <c r="N1022" s="33">
        <f>IFERROR(__xludf.DUMMYFUNCTION("""COMPUTED_VALUE"""),1.0)</f>
        <v>1</v>
      </c>
      <c r="O1022" s="4" t="str">
        <f>IFERROR(__xludf.DUMMYFUNCTION("""COMPUTED_VALUE"""),"Eclética Tecnologia")</f>
        <v>Eclética Tecnologia</v>
      </c>
      <c r="P1022" s="33">
        <f>IFERROR(__xludf.DUMMYFUNCTION("""COMPUTED_VALUE"""),0.875)</f>
        <v>0.875</v>
      </c>
      <c r="Q1022" s="4" t="str">
        <f>IFERROR(__xludf.DUMMYFUNCTION("""COMPUTED_VALUE"""),"Eclética Tecnologia")</f>
        <v>Eclética Tecnologia</v>
      </c>
      <c r="R1022" s="33">
        <f>IFERROR(__xludf.DUMMYFUNCTION("""COMPUTED_VALUE"""),0.75)</f>
        <v>0.75</v>
      </c>
      <c r="S1022" s="4" t="str">
        <f>IFERROR(__xludf.DUMMYFUNCTION("""COMPUTED_VALUE"""),"Eclética Tecnologia")</f>
        <v>Eclética Tecnologia</v>
      </c>
      <c r="T1022" s="33">
        <f>IFERROR(__xludf.DUMMYFUNCTION("""COMPUTED_VALUE"""),0.625)</f>
        <v>0.625</v>
      </c>
      <c r="U1022" s="4" t="str">
        <f>IFERROR(__xludf.DUMMYFUNCTION("""COMPUTED_VALUE"""),"Saipos Serviços De Software")</f>
        <v>Saipos Serviços De Software</v>
      </c>
      <c r="V1022" s="33">
        <f>IFERROR(__xludf.DUMMYFUNCTION("""COMPUTED_VALUE"""),0.875)</f>
        <v>0.875</v>
      </c>
      <c r="W1022" s="4" t="str">
        <f>IFERROR(__xludf.DUMMYFUNCTION("""COMPUTED_VALUE"""),"Saipos Serviços De Software")</f>
        <v>Saipos Serviços De Software</v>
      </c>
      <c r="X1022" s="33">
        <f>IFERROR(__xludf.DUMMYFUNCTION("""COMPUTED_VALUE"""),0.875)</f>
        <v>0.875</v>
      </c>
    </row>
    <row r="1023">
      <c r="K1023" s="4" t="str">
        <f>IFERROR(__xludf.DUMMYFUNCTION("""COMPUTED_VALUE"""),"PRINCIPIA - CONTA MARCA")</f>
        <v>PRINCIPIA - CONTA MARCA</v>
      </c>
      <c r="L1023" s="32">
        <f>IFERROR(__xludf.DUMMYFUNCTION("""COMPUTED_VALUE"""),8.0)</f>
        <v>8</v>
      </c>
      <c r="M1023" s="4" t="str">
        <f>IFERROR(__xludf.DUMMYFUNCTION("""COMPUTED_VALUE"""),"null")</f>
        <v>null</v>
      </c>
      <c r="N1023" s="33">
        <f>IFERROR(__xludf.DUMMYFUNCTION("""COMPUTED_VALUE"""),1.0)</f>
        <v>1</v>
      </c>
      <c r="O1023" s="4" t="str">
        <f>IFERROR(__xludf.DUMMYFUNCTION("""COMPUTED_VALUE"""),"null")</f>
        <v>null</v>
      </c>
      <c r="P1023" s="33">
        <f>IFERROR(__xludf.DUMMYFUNCTION("""COMPUTED_VALUE"""),1.0)</f>
        <v>1</v>
      </c>
      <c r="Q1023" s="4" t="str">
        <f>IFERROR(__xludf.DUMMYFUNCTION("""COMPUTED_VALUE"""),"null")</f>
        <v>null</v>
      </c>
      <c r="R1023" s="33">
        <f>IFERROR(__xludf.DUMMYFUNCTION("""COMPUTED_VALUE"""),1.0)</f>
        <v>1</v>
      </c>
      <c r="S1023" s="4" t="str">
        <f>IFERROR(__xludf.DUMMYFUNCTION("""COMPUTED_VALUE"""),"null")</f>
        <v>null</v>
      </c>
      <c r="T1023" s="33">
        <f>IFERROR(__xludf.DUMMYFUNCTION("""COMPUTED_VALUE"""),0.875)</f>
        <v>0.875</v>
      </c>
      <c r="U1023" s="4" t="str">
        <f>IFERROR(__xludf.DUMMYFUNCTION("""COMPUTED_VALUE"""),"N/A (Not found)")</f>
        <v>N/A (Not found)</v>
      </c>
      <c r="V1023" s="33">
        <f>IFERROR(__xludf.DUMMYFUNCTION("""COMPUTED_VALUE"""),0.875)</f>
        <v>0.875</v>
      </c>
      <c r="W1023" s="4" t="str">
        <f>IFERROR(__xludf.DUMMYFUNCTION("""COMPUTED_VALUE"""),"null")</f>
        <v>null</v>
      </c>
      <c r="X1023" s="33">
        <f>IFERROR(__xludf.DUMMYFUNCTION("""COMPUTED_VALUE"""),0.75)</f>
        <v>0.75</v>
      </c>
    </row>
    <row r="1024">
      <c r="K1024" s="4" t="str">
        <f>IFERROR(__xludf.DUMMYFUNCTION("""COMPUTED_VALUE"""),"REDE ATACADAO MS FARMA - CONTA MARCA")</f>
        <v>REDE ATACADAO MS FARMA - CONTA MARCA</v>
      </c>
      <c r="L1024" s="32">
        <f>IFERROR(__xludf.DUMMYFUNCTION("""COMPUTED_VALUE"""),8.0)</f>
        <v>8</v>
      </c>
      <c r="M1024" s="4" t="str">
        <f>IFERROR(__xludf.DUMMYFUNCTION("""COMPUTED_VALUE"""),"N/A (Not found)")</f>
        <v>N/A (Not found)</v>
      </c>
      <c r="N1024" s="33">
        <f>IFERROR(__xludf.DUMMYFUNCTION("""COMPUTED_VALUE"""),1.0)</f>
        <v>1</v>
      </c>
      <c r="O1024" s="4" t="str">
        <f>IFERROR(__xludf.DUMMYFUNCTION("""COMPUTED_VALUE"""),"N/A (Not found)")</f>
        <v>N/A (Not found)</v>
      </c>
      <c r="P1024" s="33">
        <f>IFERROR(__xludf.DUMMYFUNCTION("""COMPUTED_VALUE"""),1.0)</f>
        <v>1</v>
      </c>
      <c r="Q1024" s="4" t="str">
        <f>IFERROR(__xludf.DUMMYFUNCTION("""COMPUTED_VALUE"""),"N/A (Not found)")</f>
        <v>N/A (Not found)</v>
      </c>
      <c r="R1024" s="33">
        <f>IFERROR(__xludf.DUMMYFUNCTION("""COMPUTED_VALUE"""),1.0)</f>
        <v>1</v>
      </c>
      <c r="S1024" s="4" t="str">
        <f>IFERROR(__xludf.DUMMYFUNCTION("""COMPUTED_VALUE"""),"N/A (Not found)")</f>
        <v>N/A (Not found)</v>
      </c>
      <c r="T1024" s="33">
        <f>IFERROR(__xludf.DUMMYFUNCTION("""COMPUTED_VALUE"""),1.0)</f>
        <v>1</v>
      </c>
      <c r="U1024" s="4" t="str">
        <f>IFERROR(__xludf.DUMMYFUNCTION("""COMPUTED_VALUE"""),"N/A (Not found)")</f>
        <v>N/A (Not found)</v>
      </c>
      <c r="V1024" s="33">
        <f>IFERROR(__xludf.DUMMYFUNCTION("""COMPUTED_VALUE"""),1.0)</f>
        <v>1</v>
      </c>
      <c r="W1024" s="4" t="str">
        <f>IFERROR(__xludf.DUMMYFUNCTION("""COMPUTED_VALUE"""),"N/A (Not found)")</f>
        <v>N/A (Not found)</v>
      </c>
      <c r="X1024" s="33">
        <f>IFERROR(__xludf.DUMMYFUNCTION("""COMPUTED_VALUE"""),1.0)</f>
        <v>1</v>
      </c>
    </row>
    <row r="1025">
      <c r="K1025" s="4" t="str">
        <f>IFERROR(__xludf.DUMMYFUNCTION("""COMPUTED_VALUE"""),"REDE ECONOMIA FEIRA NOVA - CONTA GRUPO")</f>
        <v>REDE ECONOMIA FEIRA NOVA - CONTA GRUPO</v>
      </c>
      <c r="L1025" s="32">
        <f>IFERROR(__xludf.DUMMYFUNCTION("""COMPUTED_VALUE"""),8.0)</f>
        <v>8</v>
      </c>
      <c r="M1025" s="4" t="str">
        <f>IFERROR(__xludf.DUMMYFUNCTION("""COMPUTED_VALUE"""),"N/A (Not found)")</f>
        <v>N/A (Not found)</v>
      </c>
      <c r="N1025" s="33">
        <f>IFERROR(__xludf.DUMMYFUNCTION("""COMPUTED_VALUE"""),1.0)</f>
        <v>1</v>
      </c>
      <c r="O1025" s="4" t="str">
        <f>IFERROR(__xludf.DUMMYFUNCTION("""COMPUTED_VALUE"""),"N/A (Not found)")</f>
        <v>N/A (Not found)</v>
      </c>
      <c r="P1025" s="33">
        <f>IFERROR(__xludf.DUMMYFUNCTION("""COMPUTED_VALUE"""),1.0)</f>
        <v>1</v>
      </c>
      <c r="Q1025" s="4" t="str">
        <f>IFERROR(__xludf.DUMMYFUNCTION("""COMPUTED_VALUE"""),"N/A (Not found)")</f>
        <v>N/A (Not found)</v>
      </c>
      <c r="R1025" s="33">
        <f>IFERROR(__xludf.DUMMYFUNCTION("""COMPUTED_VALUE"""),1.0)</f>
        <v>1</v>
      </c>
      <c r="S1025" s="4" t="str">
        <f>IFERROR(__xludf.DUMMYFUNCTION("""COMPUTED_VALUE"""),"N/A (Not found)")</f>
        <v>N/A (Not found)</v>
      </c>
      <c r="T1025" s="33">
        <f>IFERROR(__xludf.DUMMYFUNCTION("""COMPUTED_VALUE"""),1.0)</f>
        <v>1</v>
      </c>
      <c r="U1025" s="4" t="str">
        <f>IFERROR(__xludf.DUMMYFUNCTION("""COMPUTED_VALUE"""),"N/A (Not found)")</f>
        <v>N/A (Not found)</v>
      </c>
      <c r="V1025" s="33">
        <f>IFERROR(__xludf.DUMMYFUNCTION("""COMPUTED_VALUE"""),1.0)</f>
        <v>1</v>
      </c>
      <c r="W1025" s="4" t="str">
        <f>IFERROR(__xludf.DUMMYFUNCTION("""COMPUTED_VALUE"""),"N/A (Not found)")</f>
        <v>N/A (Not found)</v>
      </c>
      <c r="X1025" s="33">
        <f>IFERROR(__xludf.DUMMYFUNCTION("""COMPUTED_VALUE"""),1.0)</f>
        <v>1</v>
      </c>
    </row>
    <row r="1026">
      <c r="K1026" s="4" t="str">
        <f>IFERROR(__xludf.DUMMYFUNCTION("""COMPUTED_VALUE"""),"REDE GOURMET")</f>
        <v>REDE GOURMET</v>
      </c>
      <c r="L1026" s="32">
        <f>IFERROR(__xludf.DUMMYFUNCTION("""COMPUTED_VALUE"""),8.0)</f>
        <v>8</v>
      </c>
      <c r="M1026" s="4" t="str">
        <f>IFERROR(__xludf.DUMMYFUNCTION("""COMPUTED_VALUE"""),"Ncr")</f>
        <v>Ncr</v>
      </c>
      <c r="N1026" s="33">
        <f>IFERROR(__xludf.DUMMYFUNCTION("""COMPUTED_VALUE"""),1.0)</f>
        <v>1</v>
      </c>
      <c r="O1026" s="4" t="str">
        <f>IFERROR(__xludf.DUMMYFUNCTION("""COMPUTED_VALUE"""),"Ncr")</f>
        <v>Ncr</v>
      </c>
      <c r="P1026" s="33">
        <f>IFERROR(__xludf.DUMMYFUNCTION("""COMPUTED_VALUE"""),1.0)</f>
        <v>1</v>
      </c>
      <c r="Q1026" s="4" t="str">
        <f>IFERROR(__xludf.DUMMYFUNCTION("""COMPUTED_VALUE"""),"Ncr")</f>
        <v>Ncr</v>
      </c>
      <c r="R1026" s="33">
        <f>IFERROR(__xludf.DUMMYFUNCTION("""COMPUTED_VALUE"""),1.0)</f>
        <v>1</v>
      </c>
      <c r="S1026" s="4" t="str">
        <f>IFERROR(__xludf.DUMMYFUNCTION("""COMPUTED_VALUE"""),"Ncr")</f>
        <v>Ncr</v>
      </c>
      <c r="T1026" s="33">
        <f>IFERROR(__xludf.DUMMYFUNCTION("""COMPUTED_VALUE"""),1.0)</f>
        <v>1</v>
      </c>
      <c r="U1026" s="4" t="str">
        <f>IFERROR(__xludf.DUMMYFUNCTION("""COMPUTED_VALUE"""),"Ncr")</f>
        <v>Ncr</v>
      </c>
      <c r="V1026" s="33">
        <f>IFERROR(__xludf.DUMMYFUNCTION("""COMPUTED_VALUE"""),1.0)</f>
        <v>1</v>
      </c>
      <c r="W1026" s="4" t="str">
        <f>IFERROR(__xludf.DUMMYFUNCTION("""COMPUTED_VALUE"""),"Ncr")</f>
        <v>Ncr</v>
      </c>
      <c r="X1026" s="33">
        <f>IFERROR(__xludf.DUMMYFUNCTION("""COMPUTED_VALUE"""),1.0)</f>
        <v>1</v>
      </c>
    </row>
    <row r="1027">
      <c r="K1027" s="4" t="str">
        <f>IFERROR(__xludf.DUMMYFUNCTION("""COMPUTED_VALUE"""),"REDECOMPRAS - CONTA GRUPO")</f>
        <v>REDECOMPRAS - CONTA GRUPO</v>
      </c>
      <c r="L1027" s="32">
        <f>IFERROR(__xludf.DUMMYFUNCTION("""COMPUTED_VALUE"""),8.0)</f>
        <v>8</v>
      </c>
      <c r="M1027" s="4" t="str">
        <f>IFERROR(__xludf.DUMMYFUNCTION("""COMPUTED_VALUE"""),"N/A (Not found)")</f>
        <v>N/A (Not found)</v>
      </c>
      <c r="N1027" s="33">
        <f>IFERROR(__xludf.DUMMYFUNCTION("""COMPUTED_VALUE"""),0.875)</f>
        <v>0.875</v>
      </c>
      <c r="O1027" s="4" t="str">
        <f>IFERROR(__xludf.DUMMYFUNCTION("""COMPUTED_VALUE"""),"N/A (Not found)")</f>
        <v>N/A (Not found)</v>
      </c>
      <c r="P1027" s="33">
        <f>IFERROR(__xludf.DUMMYFUNCTION("""COMPUTED_VALUE"""),1.0)</f>
        <v>1</v>
      </c>
      <c r="Q1027" s="4" t="str">
        <f>IFERROR(__xludf.DUMMYFUNCTION("""COMPUTED_VALUE"""),"N/A (Not found)")</f>
        <v>N/A (Not found)</v>
      </c>
      <c r="R1027" s="33">
        <f>IFERROR(__xludf.DUMMYFUNCTION("""COMPUTED_VALUE"""),1.0)</f>
        <v>1</v>
      </c>
      <c r="S1027" s="4" t="str">
        <f>IFERROR(__xludf.DUMMYFUNCTION("""COMPUTED_VALUE"""),"N/A (Not found)")</f>
        <v>N/A (Not found)</v>
      </c>
      <c r="T1027" s="33">
        <f>IFERROR(__xludf.DUMMYFUNCTION("""COMPUTED_VALUE"""),1.0)</f>
        <v>1</v>
      </c>
      <c r="U1027" s="4" t="str">
        <f>IFERROR(__xludf.DUMMYFUNCTION("""COMPUTED_VALUE"""),"N/A (Not found)")</f>
        <v>N/A (Not found)</v>
      </c>
      <c r="V1027" s="33">
        <f>IFERROR(__xludf.DUMMYFUNCTION("""COMPUTED_VALUE"""),1.0)</f>
        <v>1</v>
      </c>
      <c r="W1027" s="4" t="str">
        <f>IFERROR(__xludf.DUMMYFUNCTION("""COMPUTED_VALUE"""),"N/A (Not found)")</f>
        <v>N/A (Not found)</v>
      </c>
      <c r="X1027" s="33">
        <f>IFERROR(__xludf.DUMMYFUNCTION("""COMPUTED_VALUE"""),1.0)</f>
        <v>1</v>
      </c>
    </row>
    <row r="1028">
      <c r="K1028" s="4" t="str">
        <f>IFERROR(__xludf.DUMMYFUNCTION("""COMPUTED_VALUE"""),"REI DO ACAI CURITIBA")</f>
        <v>REI DO ACAI CURITIBA</v>
      </c>
      <c r="L1028" s="32">
        <f>IFERROR(__xludf.DUMMYFUNCTION("""COMPUTED_VALUE"""),8.0)</f>
        <v>8</v>
      </c>
      <c r="M1028" s="4" t="str">
        <f>IFERROR(__xludf.DUMMYFUNCTION("""COMPUTED_VALUE"""),"Consumer Soluções Em Tecnologia Ltda")</f>
        <v>Consumer Soluções Em Tecnologia Ltda</v>
      </c>
      <c r="N1028" s="33">
        <f>IFERROR(__xludf.DUMMYFUNCTION("""COMPUTED_VALUE"""),1.0)</f>
        <v>1</v>
      </c>
      <c r="O1028" s="4" t="str">
        <f>IFERROR(__xludf.DUMMYFUNCTION("""COMPUTED_VALUE"""),"Consumer Soluções Em Tecnologia Ltda")</f>
        <v>Consumer Soluções Em Tecnologia Ltda</v>
      </c>
      <c r="P1028" s="33">
        <f>IFERROR(__xludf.DUMMYFUNCTION("""COMPUTED_VALUE"""),0.625)</f>
        <v>0.625</v>
      </c>
      <c r="Q1028" s="4" t="str">
        <f>IFERROR(__xludf.DUMMYFUNCTION("""COMPUTED_VALUE"""),"null")</f>
        <v>null</v>
      </c>
      <c r="R1028" s="33">
        <f>IFERROR(__xludf.DUMMYFUNCTION("""COMPUTED_VALUE"""),0.625)</f>
        <v>0.625</v>
      </c>
      <c r="S1028" s="4" t="str">
        <f>IFERROR(__xludf.DUMMYFUNCTION("""COMPUTED_VALUE"""),"null")</f>
        <v>null</v>
      </c>
      <c r="T1028" s="33">
        <f>IFERROR(__xludf.DUMMYFUNCTION("""COMPUTED_VALUE"""),0.625)</f>
        <v>0.625</v>
      </c>
      <c r="U1028" s="4" t="str">
        <f>IFERROR(__xludf.DUMMYFUNCTION("""COMPUTED_VALUE"""),"Consumer Soluções Em Tecnologia Ltda")</f>
        <v>Consumer Soluções Em Tecnologia Ltda</v>
      </c>
      <c r="V1028" s="33">
        <f>IFERROR(__xludf.DUMMYFUNCTION("""COMPUTED_VALUE"""),0.5)</f>
        <v>0.5</v>
      </c>
      <c r="W1028" s="4" t="str">
        <f>IFERROR(__xludf.DUMMYFUNCTION("""COMPUTED_VALUE"""),"Consumer Soluções Em Tecnologia Ltda")</f>
        <v>Consumer Soluções Em Tecnologia Ltda</v>
      </c>
      <c r="X1028" s="33">
        <f>IFERROR(__xludf.DUMMYFUNCTION("""COMPUTED_VALUE"""),0.75)</f>
        <v>0.75</v>
      </c>
    </row>
    <row r="1029">
      <c r="K1029" s="4" t="str">
        <f>IFERROR(__xludf.DUMMYFUNCTION("""COMPUTED_VALUE"""),"ROMERO BURGER - MARCA")</f>
        <v>ROMERO BURGER - MARCA</v>
      </c>
      <c r="L1029" s="32">
        <f>IFERROR(__xludf.DUMMYFUNCTION("""COMPUTED_VALUE"""),8.0)</f>
        <v>8</v>
      </c>
      <c r="M1029" s="4" t="str">
        <f>IFERROR(__xludf.DUMMYFUNCTION("""COMPUTED_VALUE"""),"null")</f>
        <v>null</v>
      </c>
      <c r="N1029" s="33">
        <f>IFERROR(__xludf.DUMMYFUNCTION("""COMPUTED_VALUE"""),0.5)</f>
        <v>0.5</v>
      </c>
      <c r="O1029" s="4" t="str">
        <f>IFERROR(__xludf.DUMMYFUNCTION("""COMPUTED_VALUE"""),"null")</f>
        <v>null</v>
      </c>
      <c r="P1029" s="33">
        <f>IFERROR(__xludf.DUMMYFUNCTION("""COMPUTED_VALUE"""),0.625)</f>
        <v>0.625</v>
      </c>
      <c r="Q1029" s="4" t="str">
        <f>IFERROR(__xludf.DUMMYFUNCTION("""COMPUTED_VALUE"""),"Glow")</f>
        <v>Glow</v>
      </c>
      <c r="R1029" s="33">
        <f>IFERROR(__xludf.DUMMYFUNCTION("""COMPUTED_VALUE"""),0.375)</f>
        <v>0.375</v>
      </c>
      <c r="S1029" s="4" t="str">
        <f>IFERROR(__xludf.DUMMYFUNCTION("""COMPUTED_VALUE"""),"Glow")</f>
        <v>Glow</v>
      </c>
      <c r="T1029" s="33">
        <f>IFERROR(__xludf.DUMMYFUNCTION("""COMPUTED_VALUE"""),0.375)</f>
        <v>0.375</v>
      </c>
      <c r="U1029" s="4" t="str">
        <f>IFERROR(__xludf.DUMMYFUNCTION("""COMPUTED_VALUE"""),"Glow")</f>
        <v>Glow</v>
      </c>
      <c r="V1029" s="33">
        <f>IFERROR(__xludf.DUMMYFUNCTION("""COMPUTED_VALUE"""),0.375)</f>
        <v>0.375</v>
      </c>
      <c r="W1029" s="4" t="str">
        <f>IFERROR(__xludf.DUMMYFUNCTION("""COMPUTED_VALUE"""),"Saipos Serviços De Software")</f>
        <v>Saipos Serviços De Software</v>
      </c>
      <c r="X1029" s="33">
        <f>IFERROR(__xludf.DUMMYFUNCTION("""COMPUTED_VALUE"""),0.625)</f>
        <v>0.625</v>
      </c>
    </row>
    <row r="1030">
      <c r="K1030" s="4" t="str">
        <f>IFERROR(__xludf.DUMMYFUNCTION("""COMPUTED_VALUE"""),"ROYAL SUPERMERCADOS - CONTA PAI")</f>
        <v>ROYAL SUPERMERCADOS - CONTA PAI</v>
      </c>
      <c r="L1030" s="32">
        <f>IFERROR(__xludf.DUMMYFUNCTION("""COMPUTED_VALUE"""),8.0)</f>
        <v>8</v>
      </c>
      <c r="M1030" s="4" t="str">
        <f>IFERROR(__xludf.DUMMYFUNCTION("""COMPUTED_VALUE"""),"N/A (Not found)")</f>
        <v>N/A (Not found)</v>
      </c>
      <c r="N1030" s="33">
        <f>IFERROR(__xludf.DUMMYFUNCTION("""COMPUTED_VALUE"""),1.0)</f>
        <v>1</v>
      </c>
      <c r="O1030" s="4" t="str">
        <f>IFERROR(__xludf.DUMMYFUNCTION("""COMPUTED_VALUE"""),"N/A (Not found)")</f>
        <v>N/A (Not found)</v>
      </c>
      <c r="P1030" s="33">
        <f>IFERROR(__xludf.DUMMYFUNCTION("""COMPUTED_VALUE"""),1.0)</f>
        <v>1</v>
      </c>
      <c r="Q1030" s="4" t="str">
        <f>IFERROR(__xludf.DUMMYFUNCTION("""COMPUTED_VALUE"""),"N/A (Not found)")</f>
        <v>N/A (Not found)</v>
      </c>
      <c r="R1030" s="33">
        <f>IFERROR(__xludf.DUMMYFUNCTION("""COMPUTED_VALUE"""),1.0)</f>
        <v>1</v>
      </c>
      <c r="S1030" s="4" t="str">
        <f>IFERROR(__xludf.DUMMYFUNCTION("""COMPUTED_VALUE"""),"N/A (Not found)")</f>
        <v>N/A (Not found)</v>
      </c>
      <c r="T1030" s="33">
        <f>IFERROR(__xludf.DUMMYFUNCTION("""COMPUTED_VALUE"""),1.0)</f>
        <v>1</v>
      </c>
      <c r="U1030" s="4" t="str">
        <f>IFERROR(__xludf.DUMMYFUNCTION("""COMPUTED_VALUE"""),"N/A (Not found)")</f>
        <v>N/A (Not found)</v>
      </c>
      <c r="V1030" s="33">
        <f>IFERROR(__xludf.DUMMYFUNCTION("""COMPUTED_VALUE"""),1.0)</f>
        <v>1</v>
      </c>
      <c r="W1030" s="4" t="str">
        <f>IFERROR(__xludf.DUMMYFUNCTION("""COMPUTED_VALUE"""),"N/A (Not found)")</f>
        <v>N/A (Not found)</v>
      </c>
      <c r="X1030" s="33">
        <f>IFERROR(__xludf.DUMMYFUNCTION("""COMPUTED_VALUE"""),1.0)</f>
        <v>1</v>
      </c>
    </row>
    <row r="1031">
      <c r="K1031" s="4" t="str">
        <f>IFERROR(__xludf.DUMMYFUNCTION("""COMPUTED_VALUE"""),"RUSTIK EXPRESS HAMBURGUERIA")</f>
        <v>RUSTIK EXPRESS HAMBURGUERIA</v>
      </c>
      <c r="L1031" s="32">
        <f>IFERROR(__xludf.DUMMYFUNCTION("""COMPUTED_VALUE"""),8.0)</f>
        <v>8</v>
      </c>
      <c r="M1031" s="4" t="str">
        <f>IFERROR(__xludf.DUMMYFUNCTION("""COMPUTED_VALUE"""),"null")</f>
        <v>null</v>
      </c>
      <c r="N1031" s="33">
        <f>IFERROR(__xludf.DUMMYFUNCTION("""COMPUTED_VALUE"""),0.875)</f>
        <v>0.875</v>
      </c>
      <c r="O1031" s="4" t="str">
        <f>IFERROR(__xludf.DUMMYFUNCTION("""COMPUTED_VALUE"""),"Saipos Serviços De Software")</f>
        <v>Saipos Serviços De Software</v>
      </c>
      <c r="P1031" s="33">
        <f>IFERROR(__xludf.DUMMYFUNCTION("""COMPUTED_VALUE"""),1.0)</f>
        <v>1</v>
      </c>
      <c r="Q1031" s="4" t="str">
        <f>IFERROR(__xludf.DUMMYFUNCTION("""COMPUTED_VALUE"""),"Saipos Serviços De Software")</f>
        <v>Saipos Serviços De Software</v>
      </c>
      <c r="R1031" s="33">
        <f>IFERROR(__xludf.DUMMYFUNCTION("""COMPUTED_VALUE"""),1.0)</f>
        <v>1</v>
      </c>
      <c r="S1031" s="4" t="str">
        <f>IFERROR(__xludf.DUMMYFUNCTION("""COMPUTED_VALUE"""),"Saipos Serviços De Software")</f>
        <v>Saipos Serviços De Software</v>
      </c>
      <c r="T1031" s="33">
        <f>IFERROR(__xludf.DUMMYFUNCTION("""COMPUTED_VALUE"""),1.0)</f>
        <v>1</v>
      </c>
      <c r="U1031" s="4" t="str">
        <f>IFERROR(__xludf.DUMMYFUNCTION("""COMPUTED_VALUE"""),"Saipos Serviços De Software")</f>
        <v>Saipos Serviços De Software</v>
      </c>
      <c r="V1031" s="33">
        <f>IFERROR(__xludf.DUMMYFUNCTION("""COMPUTED_VALUE"""),1.0)</f>
        <v>1</v>
      </c>
      <c r="W1031" s="4" t="str">
        <f>IFERROR(__xludf.DUMMYFUNCTION("""COMPUTED_VALUE"""),"Saipos Serviços De Software")</f>
        <v>Saipos Serviços De Software</v>
      </c>
      <c r="X1031" s="33">
        <f>IFERROR(__xludf.DUMMYFUNCTION("""COMPUTED_VALUE"""),0.875)</f>
        <v>0.875</v>
      </c>
    </row>
    <row r="1032">
      <c r="K1032" s="4" t="str">
        <f>IFERROR(__xludf.DUMMYFUNCTION("""COMPUTED_VALUE"""),"SEO PASTEL - CONTA MARCA")</f>
        <v>SEO PASTEL - CONTA MARCA</v>
      </c>
      <c r="L1032" s="32">
        <f>IFERROR(__xludf.DUMMYFUNCTION("""COMPUTED_VALUE"""),8.0)</f>
        <v>8</v>
      </c>
      <c r="M1032" s="4" t="str">
        <f>IFERROR(__xludf.DUMMYFUNCTION("""COMPUTED_VALUE"""),"Menew - Linx")</f>
        <v>Menew - Linx</v>
      </c>
      <c r="N1032" s="33">
        <f>IFERROR(__xludf.DUMMYFUNCTION("""COMPUTED_VALUE"""),0.625)</f>
        <v>0.625</v>
      </c>
      <c r="O1032" s="4" t="str">
        <f>IFERROR(__xludf.DUMMYFUNCTION("""COMPUTED_VALUE"""),"Menew - Linx")</f>
        <v>Menew - Linx</v>
      </c>
      <c r="P1032" s="33">
        <f>IFERROR(__xludf.DUMMYFUNCTION("""COMPUTED_VALUE"""),0.625)</f>
        <v>0.625</v>
      </c>
      <c r="Q1032" s="4" t="str">
        <f>IFERROR(__xludf.DUMMYFUNCTION("""COMPUTED_VALUE"""),"Menew - Linx")</f>
        <v>Menew - Linx</v>
      </c>
      <c r="R1032" s="33">
        <f>IFERROR(__xludf.DUMMYFUNCTION("""COMPUTED_VALUE"""),0.625)</f>
        <v>0.625</v>
      </c>
      <c r="S1032" s="4" t="str">
        <f>IFERROR(__xludf.DUMMYFUNCTION("""COMPUTED_VALUE"""),"Menew - Linx")</f>
        <v>Menew - Linx</v>
      </c>
      <c r="T1032" s="33">
        <f>IFERROR(__xludf.DUMMYFUNCTION("""COMPUTED_VALUE"""),0.625)</f>
        <v>0.625</v>
      </c>
      <c r="U1032" s="4" t="str">
        <f>IFERROR(__xludf.DUMMYFUNCTION("""COMPUTED_VALUE"""),"Menew - Linx")</f>
        <v>Menew - Linx</v>
      </c>
      <c r="V1032" s="33">
        <f>IFERROR(__xludf.DUMMYFUNCTION("""COMPUTED_VALUE"""),0.625)</f>
        <v>0.625</v>
      </c>
      <c r="W1032" s="4" t="str">
        <f>IFERROR(__xludf.DUMMYFUNCTION("""COMPUTED_VALUE"""),"Menew - Linx")</f>
        <v>Menew - Linx</v>
      </c>
      <c r="X1032" s="33">
        <f>IFERROR(__xludf.DUMMYFUNCTION("""COMPUTED_VALUE"""),1.0)</f>
        <v>1</v>
      </c>
    </row>
    <row r="1033">
      <c r="K1033" s="4" t="str">
        <f>IFERROR(__xludf.DUMMYFUNCTION("""COMPUTED_VALUE"""),"SINA CASUAL BURGUER - CONTA MARCA - CONTRATO")</f>
        <v>SINA CASUAL BURGUER - CONTA MARCA - CONTRATO</v>
      </c>
      <c r="L1033" s="32">
        <f>IFERROR(__xludf.DUMMYFUNCTION("""COMPUTED_VALUE"""),8.0)</f>
        <v>8</v>
      </c>
      <c r="M1033" s="4" t="str">
        <f>IFERROR(__xludf.DUMMYFUNCTION("""COMPUTED_VALUE"""),"Cloudfy")</f>
        <v>Cloudfy</v>
      </c>
      <c r="N1033" s="33">
        <f>IFERROR(__xludf.DUMMYFUNCTION("""COMPUTED_VALUE"""),1.0)</f>
        <v>1</v>
      </c>
      <c r="O1033" s="4" t="str">
        <f>IFERROR(__xludf.DUMMYFUNCTION("""COMPUTED_VALUE"""),"Cloudfy")</f>
        <v>Cloudfy</v>
      </c>
      <c r="P1033" s="33">
        <f>IFERROR(__xludf.DUMMYFUNCTION("""COMPUTED_VALUE"""),1.0)</f>
        <v>1</v>
      </c>
      <c r="Q1033" s="4" t="str">
        <f>IFERROR(__xludf.DUMMYFUNCTION("""COMPUTED_VALUE"""),"Cloudfy")</f>
        <v>Cloudfy</v>
      </c>
      <c r="R1033" s="33">
        <f>IFERROR(__xludf.DUMMYFUNCTION("""COMPUTED_VALUE"""),0.875)</f>
        <v>0.875</v>
      </c>
      <c r="S1033" s="4" t="str">
        <f>IFERROR(__xludf.DUMMYFUNCTION("""COMPUTED_VALUE"""),"Cloudfy")</f>
        <v>Cloudfy</v>
      </c>
      <c r="T1033" s="33">
        <f>IFERROR(__xludf.DUMMYFUNCTION("""COMPUTED_VALUE"""),1.0)</f>
        <v>1</v>
      </c>
      <c r="U1033" s="4" t="str">
        <f>IFERROR(__xludf.DUMMYFUNCTION("""COMPUTED_VALUE"""),"Cloudfy")</f>
        <v>Cloudfy</v>
      </c>
      <c r="V1033" s="33">
        <f>IFERROR(__xludf.DUMMYFUNCTION("""COMPUTED_VALUE"""),1.0)</f>
        <v>1</v>
      </c>
      <c r="W1033" s="4" t="str">
        <f>IFERROR(__xludf.DUMMYFUNCTION("""COMPUTED_VALUE"""),"Cloudfy")</f>
        <v>Cloudfy</v>
      </c>
      <c r="X1033" s="33">
        <f>IFERROR(__xludf.DUMMYFUNCTION("""COMPUTED_VALUE"""),1.0)</f>
        <v>1</v>
      </c>
    </row>
    <row r="1034">
      <c r="K1034" s="4" t="str">
        <f>IFERROR(__xludf.DUMMYFUNCTION("""COMPUTED_VALUE"""),"SINA CASUAL BURGUER - CP")</f>
        <v>SINA CASUAL BURGUER - CP</v>
      </c>
      <c r="L1034" s="32">
        <f>IFERROR(__xludf.DUMMYFUNCTION("""COMPUTED_VALUE"""),8.0)</f>
        <v>8</v>
      </c>
      <c r="M1034" s="4" t="str">
        <f>IFERROR(__xludf.DUMMYFUNCTION("""COMPUTED_VALUE"""),"Cloudfy")</f>
        <v>Cloudfy</v>
      </c>
      <c r="N1034" s="33">
        <f>IFERROR(__xludf.DUMMYFUNCTION("""COMPUTED_VALUE"""),1.0)</f>
        <v>1</v>
      </c>
      <c r="O1034" s="4" t="str">
        <f>IFERROR(__xludf.DUMMYFUNCTION("""COMPUTED_VALUE"""),"Cloudfy")</f>
        <v>Cloudfy</v>
      </c>
      <c r="P1034" s="33">
        <f>IFERROR(__xludf.DUMMYFUNCTION("""COMPUTED_VALUE"""),1.0)</f>
        <v>1</v>
      </c>
      <c r="Q1034" s="4" t="str">
        <f>IFERROR(__xludf.DUMMYFUNCTION("""COMPUTED_VALUE"""),"Cloudfy")</f>
        <v>Cloudfy</v>
      </c>
      <c r="R1034" s="33">
        <f>IFERROR(__xludf.DUMMYFUNCTION("""COMPUTED_VALUE"""),0.875)</f>
        <v>0.875</v>
      </c>
      <c r="S1034" s="4" t="str">
        <f>IFERROR(__xludf.DUMMYFUNCTION("""COMPUTED_VALUE"""),"Cloudfy")</f>
        <v>Cloudfy</v>
      </c>
      <c r="T1034" s="33">
        <f>IFERROR(__xludf.DUMMYFUNCTION("""COMPUTED_VALUE"""),1.0)</f>
        <v>1</v>
      </c>
      <c r="U1034" s="4" t="str">
        <f>IFERROR(__xludf.DUMMYFUNCTION("""COMPUTED_VALUE"""),"Cloudfy")</f>
        <v>Cloudfy</v>
      </c>
      <c r="V1034" s="33">
        <f>IFERROR(__xludf.DUMMYFUNCTION("""COMPUTED_VALUE"""),1.0)</f>
        <v>1</v>
      </c>
      <c r="W1034" s="4" t="str">
        <f>IFERROR(__xludf.DUMMYFUNCTION("""COMPUTED_VALUE"""),"Cloudfy")</f>
        <v>Cloudfy</v>
      </c>
      <c r="X1034" s="33">
        <f>IFERROR(__xludf.DUMMYFUNCTION("""COMPUTED_VALUE"""),1.0)</f>
        <v>1</v>
      </c>
    </row>
    <row r="1035">
      <c r="K1035" s="4" t="str">
        <f>IFERROR(__xludf.DUMMYFUNCTION("""COMPUTED_VALUE"""),"SOL E NEVE CONTA PAI")</f>
        <v>SOL E NEVE CONTA PAI</v>
      </c>
      <c r="L1035" s="32">
        <f>IFERROR(__xludf.DUMMYFUNCTION("""COMPUTED_VALUE"""),8.0)</f>
        <v>8</v>
      </c>
      <c r="M1035" s="4" t="str">
        <f>IFERROR(__xludf.DUMMYFUNCTION("""COMPUTED_VALUE"""),"Syntax Tecnologia")</f>
        <v>Syntax Tecnologia</v>
      </c>
      <c r="N1035" s="33">
        <f>IFERROR(__xludf.DUMMYFUNCTION("""COMPUTED_VALUE"""),0.75)</f>
        <v>0.75</v>
      </c>
      <c r="O1035" s="4" t="str">
        <f>IFERROR(__xludf.DUMMYFUNCTION("""COMPUTED_VALUE"""),"Syntax Tecnologia")</f>
        <v>Syntax Tecnologia</v>
      </c>
      <c r="P1035" s="33">
        <f>IFERROR(__xludf.DUMMYFUNCTION("""COMPUTED_VALUE"""),0.625)</f>
        <v>0.625</v>
      </c>
      <c r="Q1035" s="4" t="str">
        <f>IFERROR(__xludf.DUMMYFUNCTION("""COMPUTED_VALUE"""),"Syntax Tecnologia")</f>
        <v>Syntax Tecnologia</v>
      </c>
      <c r="R1035" s="33">
        <f>IFERROR(__xludf.DUMMYFUNCTION("""COMPUTED_VALUE"""),0.5)</f>
        <v>0.5</v>
      </c>
      <c r="S1035" s="4" t="str">
        <f>IFERROR(__xludf.DUMMYFUNCTION("""COMPUTED_VALUE"""),"null")</f>
        <v>null</v>
      </c>
      <c r="T1035" s="33">
        <f>IFERROR(__xludf.DUMMYFUNCTION("""COMPUTED_VALUE"""),0.5)</f>
        <v>0.5</v>
      </c>
      <c r="U1035" s="4" t="str">
        <f>IFERROR(__xludf.DUMMYFUNCTION("""COMPUTED_VALUE"""),"null")</f>
        <v>null</v>
      </c>
      <c r="V1035" s="33">
        <f>IFERROR(__xludf.DUMMYFUNCTION("""COMPUTED_VALUE"""),0.5)</f>
        <v>0.5</v>
      </c>
      <c r="W1035" s="4" t="str">
        <f>IFERROR(__xludf.DUMMYFUNCTION("""COMPUTED_VALUE"""),"Syntax Tecnologia")</f>
        <v>Syntax Tecnologia</v>
      </c>
      <c r="X1035" s="33">
        <f>IFERROR(__xludf.DUMMYFUNCTION("""COMPUTED_VALUE"""),0.5)</f>
        <v>0.5</v>
      </c>
    </row>
    <row r="1036">
      <c r="K1036" s="4" t="str">
        <f>IFERROR(__xludf.DUMMYFUNCTION("""COMPUTED_VALUE"""),"SR ESCONDIDINHO")</f>
        <v>SR ESCONDIDINHO</v>
      </c>
      <c r="L1036" s="32">
        <f>IFERROR(__xludf.DUMMYFUNCTION("""COMPUTED_VALUE"""),8.0)</f>
        <v>8</v>
      </c>
      <c r="M1036" s="4" t="str">
        <f>IFERROR(__xludf.DUMMYFUNCTION("""COMPUTED_VALUE"""),"Você Pede")</f>
        <v>Você Pede</v>
      </c>
      <c r="N1036" s="33">
        <f>IFERROR(__xludf.DUMMYFUNCTION("""COMPUTED_VALUE"""),0.875)</f>
        <v>0.875</v>
      </c>
      <c r="O1036" s="4" t="str">
        <f>IFERROR(__xludf.DUMMYFUNCTION("""COMPUTED_VALUE"""),"Você Pede")</f>
        <v>Você Pede</v>
      </c>
      <c r="P1036" s="33">
        <f>IFERROR(__xludf.DUMMYFUNCTION("""COMPUTED_VALUE"""),0.875)</f>
        <v>0.875</v>
      </c>
      <c r="Q1036" s="4" t="str">
        <f>IFERROR(__xludf.DUMMYFUNCTION("""COMPUTED_VALUE"""),"Você Pede")</f>
        <v>Você Pede</v>
      </c>
      <c r="R1036" s="33">
        <f>IFERROR(__xludf.DUMMYFUNCTION("""COMPUTED_VALUE"""),0.875)</f>
        <v>0.875</v>
      </c>
      <c r="S1036" s="4" t="str">
        <f>IFERROR(__xludf.DUMMYFUNCTION("""COMPUTED_VALUE"""),"Você Pede")</f>
        <v>Você Pede</v>
      </c>
      <c r="T1036" s="33">
        <f>IFERROR(__xludf.DUMMYFUNCTION("""COMPUTED_VALUE"""),1.0)</f>
        <v>1</v>
      </c>
      <c r="U1036" s="4" t="str">
        <f>IFERROR(__xludf.DUMMYFUNCTION("""COMPUTED_VALUE"""),"Você Pede")</f>
        <v>Você Pede</v>
      </c>
      <c r="V1036" s="33">
        <f>IFERROR(__xludf.DUMMYFUNCTION("""COMPUTED_VALUE"""),0.75)</f>
        <v>0.75</v>
      </c>
      <c r="W1036" s="4" t="str">
        <f>IFERROR(__xludf.DUMMYFUNCTION("""COMPUTED_VALUE"""),"Você Pede")</f>
        <v>Você Pede</v>
      </c>
      <c r="X1036" s="33">
        <f>IFERROR(__xludf.DUMMYFUNCTION("""COMPUTED_VALUE"""),0.875)</f>
        <v>0.875</v>
      </c>
    </row>
    <row r="1037">
      <c r="K1037" s="4" t="str">
        <f>IFERROR(__xludf.DUMMYFUNCTION("""COMPUTED_VALUE"""),"SUPERMERCADO SOBERANO - CONTA GRUPO")</f>
        <v>SUPERMERCADO SOBERANO - CONTA GRUPO</v>
      </c>
      <c r="L1037" s="32">
        <f>IFERROR(__xludf.DUMMYFUNCTION("""COMPUTED_VALUE"""),8.0)</f>
        <v>8</v>
      </c>
      <c r="M1037" s="4" t="str">
        <f>IFERROR(__xludf.DUMMYFUNCTION("""COMPUTED_VALUE"""),"N/A (Not found)")</f>
        <v>N/A (Not found)</v>
      </c>
      <c r="N1037" s="33">
        <f>IFERROR(__xludf.DUMMYFUNCTION("""COMPUTED_VALUE"""),1.0)</f>
        <v>1</v>
      </c>
      <c r="O1037" s="4" t="str">
        <f>IFERROR(__xludf.DUMMYFUNCTION("""COMPUTED_VALUE"""),"N/A (Not found)")</f>
        <v>N/A (Not found)</v>
      </c>
      <c r="P1037" s="33">
        <f>IFERROR(__xludf.DUMMYFUNCTION("""COMPUTED_VALUE"""),1.0)</f>
        <v>1</v>
      </c>
      <c r="Q1037" s="4" t="str">
        <f>IFERROR(__xludf.DUMMYFUNCTION("""COMPUTED_VALUE"""),"N/A (Not found)")</f>
        <v>N/A (Not found)</v>
      </c>
      <c r="R1037" s="33">
        <f>IFERROR(__xludf.DUMMYFUNCTION("""COMPUTED_VALUE"""),1.0)</f>
        <v>1</v>
      </c>
      <c r="S1037" s="4" t="str">
        <f>IFERROR(__xludf.DUMMYFUNCTION("""COMPUTED_VALUE"""),"N/A (Not found)")</f>
        <v>N/A (Not found)</v>
      </c>
      <c r="T1037" s="33">
        <f>IFERROR(__xludf.DUMMYFUNCTION("""COMPUTED_VALUE"""),1.0)</f>
        <v>1</v>
      </c>
      <c r="U1037" s="4" t="str">
        <f>IFERROR(__xludf.DUMMYFUNCTION("""COMPUTED_VALUE"""),"N/A (Not found)")</f>
        <v>N/A (Not found)</v>
      </c>
      <c r="V1037" s="33">
        <f>IFERROR(__xludf.DUMMYFUNCTION("""COMPUTED_VALUE"""),1.0)</f>
        <v>1</v>
      </c>
      <c r="W1037" s="4" t="str">
        <f>IFERROR(__xludf.DUMMYFUNCTION("""COMPUTED_VALUE"""),"N/A (Not found)")</f>
        <v>N/A (Not found)</v>
      </c>
      <c r="X1037" s="33">
        <f>IFERROR(__xludf.DUMMYFUNCTION("""COMPUTED_VALUE"""),1.0)</f>
        <v>1</v>
      </c>
    </row>
    <row r="1038">
      <c r="K1038" s="4" t="str">
        <f>IFERROR(__xludf.DUMMYFUNCTION("""COMPUTED_VALUE"""),"SUPERMERCADO X - CONTA PAI")</f>
        <v>SUPERMERCADO X - CONTA PAI</v>
      </c>
      <c r="L1038" s="32">
        <f>IFERROR(__xludf.DUMMYFUNCTION("""COMPUTED_VALUE"""),8.0)</f>
        <v>8</v>
      </c>
      <c r="M1038" s="4" t="str">
        <f>IFERROR(__xludf.DUMMYFUNCTION("""COMPUTED_VALUE"""),"N/A (Not found)")</f>
        <v>N/A (Not found)</v>
      </c>
      <c r="N1038" s="33">
        <f>IFERROR(__xludf.DUMMYFUNCTION("""COMPUTED_VALUE"""),1.0)</f>
        <v>1</v>
      </c>
      <c r="O1038" s="4" t="str">
        <f>IFERROR(__xludf.DUMMYFUNCTION("""COMPUTED_VALUE"""),"N/A (Not found)")</f>
        <v>N/A (Not found)</v>
      </c>
      <c r="P1038" s="33">
        <f>IFERROR(__xludf.DUMMYFUNCTION("""COMPUTED_VALUE"""),0.875)</f>
        <v>0.875</v>
      </c>
      <c r="Q1038" s="4" t="str">
        <f>IFERROR(__xludf.DUMMYFUNCTION("""COMPUTED_VALUE"""),"N/A (Not found)")</f>
        <v>N/A (Not found)</v>
      </c>
      <c r="R1038" s="33">
        <f>IFERROR(__xludf.DUMMYFUNCTION("""COMPUTED_VALUE"""),0.875)</f>
        <v>0.875</v>
      </c>
      <c r="S1038" s="4" t="str">
        <f>IFERROR(__xludf.DUMMYFUNCTION("""COMPUTED_VALUE"""),"N/A (Not found)")</f>
        <v>N/A (Not found)</v>
      </c>
      <c r="T1038" s="33">
        <f>IFERROR(__xludf.DUMMYFUNCTION("""COMPUTED_VALUE"""),0.875)</f>
        <v>0.875</v>
      </c>
      <c r="U1038" s="4" t="str">
        <f>IFERROR(__xludf.DUMMYFUNCTION("""COMPUTED_VALUE"""),"N/A (Not found)")</f>
        <v>N/A (Not found)</v>
      </c>
      <c r="V1038" s="33">
        <f>IFERROR(__xludf.DUMMYFUNCTION("""COMPUTED_VALUE"""),0.875)</f>
        <v>0.875</v>
      </c>
      <c r="W1038" s="4" t="str">
        <f>IFERROR(__xludf.DUMMYFUNCTION("""COMPUTED_VALUE"""),"N/A (Not found)")</f>
        <v>N/A (Not found)</v>
      </c>
      <c r="X1038" s="33">
        <f>IFERROR(__xludf.DUMMYFUNCTION("""COMPUTED_VALUE"""),0.875)</f>
        <v>0.875</v>
      </c>
    </row>
    <row r="1039">
      <c r="K1039" s="4" t="str">
        <f>IFERROR(__xludf.DUMMYFUNCTION("""COMPUTED_VALUE"""),"SUPERMERCADOS CAMPEAO - CONTA PAI")</f>
        <v>SUPERMERCADOS CAMPEAO - CONTA PAI</v>
      </c>
      <c r="L1039" s="32">
        <f>IFERROR(__xludf.DUMMYFUNCTION("""COMPUTED_VALUE"""),8.0)</f>
        <v>8</v>
      </c>
      <c r="M1039" s="4" t="str">
        <f>IFERROR(__xludf.DUMMYFUNCTION("""COMPUTED_VALUE"""),"N/A (Not found)")</f>
        <v>N/A (Not found)</v>
      </c>
      <c r="N1039" s="33">
        <f>IFERROR(__xludf.DUMMYFUNCTION("""COMPUTED_VALUE"""),1.0)</f>
        <v>1</v>
      </c>
      <c r="O1039" s="4" t="str">
        <f>IFERROR(__xludf.DUMMYFUNCTION("""COMPUTED_VALUE"""),"N/A (Not found)")</f>
        <v>N/A (Not found)</v>
      </c>
      <c r="P1039" s="33">
        <f>IFERROR(__xludf.DUMMYFUNCTION("""COMPUTED_VALUE"""),1.0)</f>
        <v>1</v>
      </c>
      <c r="Q1039" s="4" t="str">
        <f>IFERROR(__xludf.DUMMYFUNCTION("""COMPUTED_VALUE"""),"N/A (Not found)")</f>
        <v>N/A (Not found)</v>
      </c>
      <c r="R1039" s="33">
        <f>IFERROR(__xludf.DUMMYFUNCTION("""COMPUTED_VALUE"""),1.0)</f>
        <v>1</v>
      </c>
      <c r="S1039" s="4" t="str">
        <f>IFERROR(__xludf.DUMMYFUNCTION("""COMPUTED_VALUE"""),"N/A (Not found)")</f>
        <v>N/A (Not found)</v>
      </c>
      <c r="T1039" s="33">
        <f>IFERROR(__xludf.DUMMYFUNCTION("""COMPUTED_VALUE"""),1.0)</f>
        <v>1</v>
      </c>
      <c r="U1039" s="4" t="str">
        <f>IFERROR(__xludf.DUMMYFUNCTION("""COMPUTED_VALUE"""),"N/A (Not found)")</f>
        <v>N/A (Not found)</v>
      </c>
      <c r="V1039" s="33">
        <f>IFERROR(__xludf.DUMMYFUNCTION("""COMPUTED_VALUE"""),1.0)</f>
        <v>1</v>
      </c>
      <c r="W1039" s="4" t="str">
        <f>IFERROR(__xludf.DUMMYFUNCTION("""COMPUTED_VALUE"""),"N/A (Not found)")</f>
        <v>N/A (Not found)</v>
      </c>
      <c r="X1039" s="33">
        <f>IFERROR(__xludf.DUMMYFUNCTION("""COMPUTED_VALUE"""),1.0)</f>
        <v>1</v>
      </c>
    </row>
    <row r="1040">
      <c r="K1040" s="4" t="str">
        <f>IFERROR(__xludf.DUMMYFUNCTION("""COMPUTED_VALUE"""),"SUSHI NAMOTO - CONTA PAI")</f>
        <v>SUSHI NAMOTO - CONTA PAI</v>
      </c>
      <c r="L1040" s="32">
        <f>IFERROR(__xludf.DUMMYFUNCTION("""COMPUTED_VALUE"""),8.0)</f>
        <v>8</v>
      </c>
      <c r="M1040" s="4" t="str">
        <f>IFERROR(__xludf.DUMMYFUNCTION("""COMPUTED_VALUE"""),"Opdv")</f>
        <v>Opdv</v>
      </c>
      <c r="N1040" s="33">
        <f>IFERROR(__xludf.DUMMYFUNCTION("""COMPUTED_VALUE"""),1.0)</f>
        <v>1</v>
      </c>
      <c r="O1040" s="4" t="str">
        <f>IFERROR(__xludf.DUMMYFUNCTION("""COMPUTED_VALUE"""),"Opdv")</f>
        <v>Opdv</v>
      </c>
      <c r="P1040" s="33">
        <f>IFERROR(__xludf.DUMMYFUNCTION("""COMPUTED_VALUE"""),1.0)</f>
        <v>1</v>
      </c>
      <c r="Q1040" s="4" t="str">
        <f>IFERROR(__xludf.DUMMYFUNCTION("""COMPUTED_VALUE"""),"Opdv")</f>
        <v>Opdv</v>
      </c>
      <c r="R1040" s="33">
        <f>IFERROR(__xludf.DUMMYFUNCTION("""COMPUTED_VALUE"""),1.0)</f>
        <v>1</v>
      </c>
      <c r="S1040" s="4" t="str">
        <f>IFERROR(__xludf.DUMMYFUNCTION("""COMPUTED_VALUE"""),"Opdv")</f>
        <v>Opdv</v>
      </c>
      <c r="T1040" s="33">
        <f>IFERROR(__xludf.DUMMYFUNCTION("""COMPUTED_VALUE"""),1.0)</f>
        <v>1</v>
      </c>
      <c r="U1040" s="4" t="str">
        <f>IFERROR(__xludf.DUMMYFUNCTION("""COMPUTED_VALUE"""),"Opdv")</f>
        <v>Opdv</v>
      </c>
      <c r="V1040" s="33">
        <f>IFERROR(__xludf.DUMMYFUNCTION("""COMPUTED_VALUE"""),1.0)</f>
        <v>1</v>
      </c>
      <c r="W1040" s="4" t="str">
        <f>IFERROR(__xludf.DUMMYFUNCTION("""COMPUTED_VALUE"""),"Saipos Serviços De Software")</f>
        <v>Saipos Serviços De Software</v>
      </c>
      <c r="X1040" s="33">
        <f>IFERROR(__xludf.DUMMYFUNCTION("""COMPUTED_VALUE"""),0.625)</f>
        <v>0.625</v>
      </c>
    </row>
    <row r="1041">
      <c r="K1041" s="4" t="str">
        <f>IFERROR(__xludf.DUMMYFUNCTION("""COMPUTED_VALUE"""),"TAIKO - CONTA PAI")</f>
        <v>TAIKO - CONTA PAI</v>
      </c>
      <c r="L1041" s="32">
        <f>IFERROR(__xludf.DUMMYFUNCTION("""COMPUTED_VALUE"""),8.0)</f>
        <v>8</v>
      </c>
      <c r="M1041" s="4" t="str">
        <f>IFERROR(__xludf.DUMMYFUNCTION("""COMPUTED_VALUE"""),"Cardápio Web")</f>
        <v>Cardápio Web</v>
      </c>
      <c r="N1041" s="33">
        <f>IFERROR(__xludf.DUMMYFUNCTION("""COMPUTED_VALUE"""),0.75)</f>
        <v>0.75</v>
      </c>
      <c r="O1041" s="4" t="str">
        <f>IFERROR(__xludf.DUMMYFUNCTION("""COMPUTED_VALUE"""),"Cardápio Web")</f>
        <v>Cardápio Web</v>
      </c>
      <c r="P1041" s="33">
        <f>IFERROR(__xludf.DUMMYFUNCTION("""COMPUTED_VALUE"""),0.75)</f>
        <v>0.75</v>
      </c>
      <c r="Q1041" s="4" t="str">
        <f>IFERROR(__xludf.DUMMYFUNCTION("""COMPUTED_VALUE"""),"Cardápio Web")</f>
        <v>Cardápio Web</v>
      </c>
      <c r="R1041" s="33">
        <f>IFERROR(__xludf.DUMMYFUNCTION("""COMPUTED_VALUE"""),0.75)</f>
        <v>0.75</v>
      </c>
      <c r="S1041" s="4" t="str">
        <f>IFERROR(__xludf.DUMMYFUNCTION("""COMPUTED_VALUE"""),"Cardápio Web")</f>
        <v>Cardápio Web</v>
      </c>
      <c r="T1041" s="33">
        <f>IFERROR(__xludf.DUMMYFUNCTION("""COMPUTED_VALUE"""),0.5)</f>
        <v>0.5</v>
      </c>
      <c r="U1041" s="4" t="str">
        <f>IFERROR(__xludf.DUMMYFUNCTION("""COMPUTED_VALUE"""),"Cardápio Web")</f>
        <v>Cardápio Web</v>
      </c>
      <c r="V1041" s="33">
        <f>IFERROR(__xludf.DUMMYFUNCTION("""COMPUTED_VALUE"""),0.5)</f>
        <v>0.5</v>
      </c>
      <c r="W1041" s="4" t="str">
        <f>IFERROR(__xludf.DUMMYFUNCTION("""COMPUTED_VALUE"""),"Cardápio Web")</f>
        <v>Cardápio Web</v>
      </c>
      <c r="X1041" s="33">
        <f>IFERROR(__xludf.DUMMYFUNCTION("""COMPUTED_VALUE"""),0.75)</f>
        <v>0.75</v>
      </c>
    </row>
    <row r="1042">
      <c r="K1042" s="4" t="str">
        <f>IFERROR(__xludf.DUMMYFUNCTION("""COMPUTED_VALUE"""),"TARTA BURGUER")</f>
        <v>TARTA BURGUER</v>
      </c>
      <c r="L1042" s="32">
        <f>IFERROR(__xludf.DUMMYFUNCTION("""COMPUTED_VALUE"""),8.0)</f>
        <v>8</v>
      </c>
      <c r="M1042" s="4" t="str">
        <f>IFERROR(__xludf.DUMMYFUNCTION("""COMPUTED_VALUE"""),"Consumer Soluções Em Tecnologia Ltda")</f>
        <v>Consumer Soluções Em Tecnologia Ltda</v>
      </c>
      <c r="N1042" s="33">
        <f>IFERROR(__xludf.DUMMYFUNCTION("""COMPUTED_VALUE"""),1.0)</f>
        <v>1</v>
      </c>
      <c r="O1042" s="4" t="str">
        <f>IFERROR(__xludf.DUMMYFUNCTION("""COMPUTED_VALUE"""),"Consumer Soluções Em Tecnologia Ltda")</f>
        <v>Consumer Soluções Em Tecnologia Ltda</v>
      </c>
      <c r="P1042" s="33">
        <f>IFERROR(__xludf.DUMMYFUNCTION("""COMPUTED_VALUE"""),0.75)</f>
        <v>0.75</v>
      </c>
      <c r="Q1042" s="4" t="str">
        <f>IFERROR(__xludf.DUMMYFUNCTION("""COMPUTED_VALUE"""),"Consumer Soluções Em Tecnologia Ltda")</f>
        <v>Consumer Soluções Em Tecnologia Ltda</v>
      </c>
      <c r="R1042" s="33">
        <f>IFERROR(__xludf.DUMMYFUNCTION("""COMPUTED_VALUE"""),0.625)</f>
        <v>0.625</v>
      </c>
      <c r="S1042" s="4" t="str">
        <f>IFERROR(__xludf.DUMMYFUNCTION("""COMPUTED_VALUE"""),"Consumer Soluções Em Tecnologia Ltda")</f>
        <v>Consumer Soluções Em Tecnologia Ltda</v>
      </c>
      <c r="T1042" s="33">
        <f>IFERROR(__xludf.DUMMYFUNCTION("""COMPUTED_VALUE"""),0.75)</f>
        <v>0.75</v>
      </c>
      <c r="U1042" s="4" t="str">
        <f>IFERROR(__xludf.DUMMYFUNCTION("""COMPUTED_VALUE"""),"Consumer Soluções Em Tecnologia Ltda")</f>
        <v>Consumer Soluções Em Tecnologia Ltda</v>
      </c>
      <c r="V1042" s="33">
        <f>IFERROR(__xludf.DUMMYFUNCTION("""COMPUTED_VALUE"""),0.75)</f>
        <v>0.75</v>
      </c>
      <c r="W1042" s="4" t="str">
        <f>IFERROR(__xludf.DUMMYFUNCTION("""COMPUTED_VALUE"""),"Consumer Soluções Em Tecnologia Ltda")</f>
        <v>Consumer Soluções Em Tecnologia Ltda</v>
      </c>
      <c r="X1042" s="33">
        <f>IFERROR(__xludf.DUMMYFUNCTION("""COMPUTED_VALUE"""),0.75)</f>
        <v>0.75</v>
      </c>
    </row>
    <row r="1043">
      <c r="K1043" s="4" t="str">
        <f>IFERROR(__xludf.DUMMYFUNCTION("""COMPUTED_VALUE"""),"TEXAS GRILL - BELLA DONNA")</f>
        <v>TEXAS GRILL - BELLA DONNA</v>
      </c>
      <c r="L1043" s="32">
        <f>IFERROR(__xludf.DUMMYFUNCTION("""COMPUTED_VALUE"""),8.0)</f>
        <v>8</v>
      </c>
      <c r="M1043" s="4" t="str">
        <f>IFERROR(__xludf.DUMMYFUNCTION("""COMPUTED_VALUE"""),"Solução Sistemas")</f>
        <v>Solução Sistemas</v>
      </c>
      <c r="N1043" s="33">
        <f>IFERROR(__xludf.DUMMYFUNCTION("""COMPUTED_VALUE"""),0.625)</f>
        <v>0.625</v>
      </c>
      <c r="O1043" s="4" t="str">
        <f>IFERROR(__xludf.DUMMYFUNCTION("""COMPUTED_VALUE"""),"Solução Sistemas")</f>
        <v>Solução Sistemas</v>
      </c>
      <c r="P1043" s="33">
        <f>IFERROR(__xludf.DUMMYFUNCTION("""COMPUTED_VALUE"""),0.625)</f>
        <v>0.625</v>
      </c>
      <c r="Q1043" s="4" t="str">
        <f>IFERROR(__xludf.DUMMYFUNCTION("""COMPUTED_VALUE"""),"Solução Sistemas")</f>
        <v>Solução Sistemas</v>
      </c>
      <c r="R1043" s="33">
        <f>IFERROR(__xludf.DUMMYFUNCTION("""COMPUTED_VALUE"""),0.75)</f>
        <v>0.75</v>
      </c>
      <c r="S1043" s="4" t="str">
        <f>IFERROR(__xludf.DUMMYFUNCTION("""COMPUTED_VALUE"""),"Solução Sistemas")</f>
        <v>Solução Sistemas</v>
      </c>
      <c r="T1043" s="33">
        <f>IFERROR(__xludf.DUMMYFUNCTION("""COMPUTED_VALUE"""),0.5)</f>
        <v>0.5</v>
      </c>
      <c r="U1043" s="4" t="str">
        <f>IFERROR(__xludf.DUMMYFUNCTION("""COMPUTED_VALUE"""),"Parseint Desenvolvimento De Sistemas Ltda")</f>
        <v>Parseint Desenvolvimento De Sistemas Ltda</v>
      </c>
      <c r="V1043" s="33">
        <f>IFERROR(__xludf.DUMMYFUNCTION("""COMPUTED_VALUE"""),0.75)</f>
        <v>0.75</v>
      </c>
      <c r="W1043" s="4" t="str">
        <f>IFERROR(__xludf.DUMMYFUNCTION("""COMPUTED_VALUE"""),"Parseint Desenvolvimento De Sistemas Ltda")</f>
        <v>Parseint Desenvolvimento De Sistemas Ltda</v>
      </c>
      <c r="X1043" s="33">
        <f>IFERROR(__xludf.DUMMYFUNCTION("""COMPUTED_VALUE"""),0.75)</f>
        <v>0.75</v>
      </c>
    </row>
    <row r="1044">
      <c r="K1044" s="4" t="str">
        <f>IFERROR(__xludf.DUMMYFUNCTION("""COMPUTED_VALUE"""),"THE BLACK BEEF")</f>
        <v>THE BLACK BEEF</v>
      </c>
      <c r="L1044" s="32">
        <f>IFERROR(__xludf.DUMMYFUNCTION("""COMPUTED_VALUE"""),8.0)</f>
        <v>8</v>
      </c>
      <c r="M1044" s="4" t="str">
        <f>IFERROR(__xludf.DUMMYFUNCTION("""COMPUTED_VALUE"""),"Stone Co.")</f>
        <v>Stone Co.</v>
      </c>
      <c r="N1044" s="33">
        <f>IFERROR(__xludf.DUMMYFUNCTION("""COMPUTED_VALUE"""),0.75)</f>
        <v>0.75</v>
      </c>
      <c r="O1044" s="4" t="str">
        <f>IFERROR(__xludf.DUMMYFUNCTION("""COMPUTED_VALUE"""),"Stone Co.")</f>
        <v>Stone Co.</v>
      </c>
      <c r="P1044" s="33">
        <f>IFERROR(__xludf.DUMMYFUNCTION("""COMPUTED_VALUE"""),0.75)</f>
        <v>0.75</v>
      </c>
      <c r="Q1044" s="4" t="str">
        <f>IFERROR(__xludf.DUMMYFUNCTION("""COMPUTED_VALUE"""),"Stone Co.")</f>
        <v>Stone Co.</v>
      </c>
      <c r="R1044" s="33">
        <f>IFERROR(__xludf.DUMMYFUNCTION("""COMPUTED_VALUE"""),0.75)</f>
        <v>0.75</v>
      </c>
      <c r="S1044" s="4" t="str">
        <f>IFERROR(__xludf.DUMMYFUNCTION("""COMPUTED_VALUE"""),"Stone Co.")</f>
        <v>Stone Co.</v>
      </c>
      <c r="T1044" s="33">
        <f>IFERROR(__xludf.DUMMYFUNCTION("""COMPUTED_VALUE"""),0.75)</f>
        <v>0.75</v>
      </c>
      <c r="U1044" s="4" t="str">
        <f>IFERROR(__xludf.DUMMYFUNCTION("""COMPUTED_VALUE"""),"Stone Co.")</f>
        <v>Stone Co.</v>
      </c>
      <c r="V1044" s="33">
        <f>IFERROR(__xludf.DUMMYFUNCTION("""COMPUTED_VALUE"""),0.75)</f>
        <v>0.75</v>
      </c>
      <c r="W1044" s="4" t="str">
        <f>IFERROR(__xludf.DUMMYFUNCTION("""COMPUTED_VALUE"""),"Stone Co.")</f>
        <v>Stone Co.</v>
      </c>
      <c r="X1044" s="33">
        <f>IFERROR(__xludf.DUMMYFUNCTION("""COMPUTED_VALUE"""),0.75)</f>
        <v>0.75</v>
      </c>
    </row>
    <row r="1045">
      <c r="K1045" s="4" t="str">
        <f>IFERROR(__xludf.DUMMYFUNCTION("""COMPUTED_VALUE"""),"TO GO CONGELADOS")</f>
        <v>TO GO CONGELADOS</v>
      </c>
      <c r="L1045" s="32">
        <f>IFERROR(__xludf.DUMMYFUNCTION("""COMPUTED_VALUE"""),8.0)</f>
        <v>8</v>
      </c>
      <c r="M1045" s="4" t="str">
        <f>IFERROR(__xludf.DUMMYFUNCTION("""COMPUTED_VALUE"""),"Gama Tecnologias Ltda")</f>
        <v>Gama Tecnologias Ltda</v>
      </c>
      <c r="N1045" s="33">
        <f>IFERROR(__xludf.DUMMYFUNCTION("""COMPUTED_VALUE"""),0.75)</f>
        <v>0.75</v>
      </c>
      <c r="O1045" s="4" t="str">
        <f>IFERROR(__xludf.DUMMYFUNCTION("""COMPUTED_VALUE"""),"Gama Tecnologias Ltda")</f>
        <v>Gama Tecnologias Ltda</v>
      </c>
      <c r="P1045" s="33">
        <f>IFERROR(__xludf.DUMMYFUNCTION("""COMPUTED_VALUE"""),0.75)</f>
        <v>0.75</v>
      </c>
      <c r="Q1045" s="4" t="str">
        <f>IFERROR(__xludf.DUMMYFUNCTION("""COMPUTED_VALUE"""),"Gama Tecnologias Ltda")</f>
        <v>Gama Tecnologias Ltda</v>
      </c>
      <c r="R1045" s="33">
        <f>IFERROR(__xludf.DUMMYFUNCTION("""COMPUTED_VALUE"""),0.625)</f>
        <v>0.625</v>
      </c>
      <c r="S1045" s="4" t="str">
        <f>IFERROR(__xludf.DUMMYFUNCTION("""COMPUTED_VALUE"""),"Gama Tecnologias Ltda")</f>
        <v>Gama Tecnologias Ltda</v>
      </c>
      <c r="T1045" s="33">
        <f>IFERROR(__xludf.DUMMYFUNCTION("""COMPUTED_VALUE"""),0.5)</f>
        <v>0.5</v>
      </c>
      <c r="U1045" s="4" t="str">
        <f>IFERROR(__xludf.DUMMYFUNCTION("""COMPUTED_VALUE"""),"null")</f>
        <v>null</v>
      </c>
      <c r="V1045" s="33">
        <f>IFERROR(__xludf.DUMMYFUNCTION("""COMPUTED_VALUE"""),0.5)</f>
        <v>0.5</v>
      </c>
      <c r="W1045" s="4" t="str">
        <f>IFERROR(__xludf.DUMMYFUNCTION("""COMPUTED_VALUE"""),"Gama Tecnologias Ltda")</f>
        <v>Gama Tecnologias Ltda</v>
      </c>
      <c r="X1045" s="33">
        <f>IFERROR(__xludf.DUMMYFUNCTION("""COMPUTED_VALUE"""),0.5)</f>
        <v>0.5</v>
      </c>
    </row>
    <row r="1046">
      <c r="K1046" s="4" t="str">
        <f>IFERROR(__xludf.DUMMYFUNCTION("""COMPUTED_VALUE"""),"ULTRA POPULAR - VENTIN - CONTA MARCA")</f>
        <v>ULTRA POPULAR - VENTIN - CONTA MARCA</v>
      </c>
      <c r="L1046" s="32">
        <f>IFERROR(__xludf.DUMMYFUNCTION("""COMPUTED_VALUE"""),8.0)</f>
        <v>8</v>
      </c>
      <c r="M1046" s="4" t="str">
        <f>IFERROR(__xludf.DUMMYFUNCTION("""COMPUTED_VALUE"""),"N/A (Not found)")</f>
        <v>N/A (Not found)</v>
      </c>
      <c r="N1046" s="33">
        <f>IFERROR(__xludf.DUMMYFUNCTION("""COMPUTED_VALUE"""),0.875)</f>
        <v>0.875</v>
      </c>
      <c r="O1046" s="4" t="str">
        <f>IFERROR(__xludf.DUMMYFUNCTION("""COMPUTED_VALUE"""),"N/A (Not found)")</f>
        <v>N/A (Not found)</v>
      </c>
      <c r="P1046" s="33">
        <f>IFERROR(__xludf.DUMMYFUNCTION("""COMPUTED_VALUE"""),0.875)</f>
        <v>0.875</v>
      </c>
      <c r="Q1046" s="4" t="str">
        <f>IFERROR(__xludf.DUMMYFUNCTION("""COMPUTED_VALUE"""),"N/A (Not found)")</f>
        <v>N/A (Not found)</v>
      </c>
      <c r="R1046" s="33">
        <f>IFERROR(__xludf.DUMMYFUNCTION("""COMPUTED_VALUE"""),1.0)</f>
        <v>1</v>
      </c>
      <c r="S1046" s="4" t="str">
        <f>IFERROR(__xludf.DUMMYFUNCTION("""COMPUTED_VALUE"""),"N/A (Not found)")</f>
        <v>N/A (Not found)</v>
      </c>
      <c r="T1046" s="33">
        <f>IFERROR(__xludf.DUMMYFUNCTION("""COMPUTED_VALUE"""),1.0)</f>
        <v>1</v>
      </c>
      <c r="U1046" s="4" t="str">
        <f>IFERROR(__xludf.DUMMYFUNCTION("""COMPUTED_VALUE"""),"N/A (Not found)")</f>
        <v>N/A (Not found)</v>
      </c>
      <c r="V1046" s="33">
        <f>IFERROR(__xludf.DUMMYFUNCTION("""COMPUTED_VALUE"""),1.0)</f>
        <v>1</v>
      </c>
      <c r="W1046" s="4" t="str">
        <f>IFERROR(__xludf.DUMMYFUNCTION("""COMPUTED_VALUE"""),"N/A (Not found)")</f>
        <v>N/A (Not found)</v>
      </c>
      <c r="X1046" s="33">
        <f>IFERROR(__xludf.DUMMYFUNCTION("""COMPUTED_VALUE"""),1.0)</f>
        <v>1</v>
      </c>
    </row>
    <row r="1047">
      <c r="K1047" s="4" t="str">
        <f>IFERROR(__xludf.DUMMYFUNCTION("""COMPUTED_VALUE"""),"ULTRAPOPULAR GRUPO MGSP")</f>
        <v>ULTRAPOPULAR GRUPO MGSP</v>
      </c>
      <c r="L1047" s="32">
        <f>IFERROR(__xludf.DUMMYFUNCTION("""COMPUTED_VALUE"""),8.0)</f>
        <v>8</v>
      </c>
      <c r="M1047" s="4" t="str">
        <f>IFERROR(__xludf.DUMMYFUNCTION("""COMPUTED_VALUE"""),"N/A (Not found)")</f>
        <v>N/A (Not found)</v>
      </c>
      <c r="N1047" s="33">
        <f>IFERROR(__xludf.DUMMYFUNCTION("""COMPUTED_VALUE"""),0.75)</f>
        <v>0.75</v>
      </c>
      <c r="O1047" s="4" t="str">
        <f>IFERROR(__xludf.DUMMYFUNCTION("""COMPUTED_VALUE"""),"N/A (Not found)")</f>
        <v>N/A (Not found)</v>
      </c>
      <c r="P1047" s="33">
        <f>IFERROR(__xludf.DUMMYFUNCTION("""COMPUTED_VALUE"""),0.75)</f>
        <v>0.75</v>
      </c>
      <c r="Q1047" s="4" t="str">
        <f>IFERROR(__xludf.DUMMYFUNCTION("""COMPUTED_VALUE"""),"N/A (Not found)")</f>
        <v>N/A (Not found)</v>
      </c>
      <c r="R1047" s="33">
        <f>IFERROR(__xludf.DUMMYFUNCTION("""COMPUTED_VALUE"""),0.75)</f>
        <v>0.75</v>
      </c>
      <c r="S1047" s="4" t="str">
        <f>IFERROR(__xludf.DUMMYFUNCTION("""COMPUTED_VALUE"""),"N/A (Not found)")</f>
        <v>N/A (Not found)</v>
      </c>
      <c r="T1047" s="33">
        <f>IFERROR(__xludf.DUMMYFUNCTION("""COMPUTED_VALUE"""),1.0)</f>
        <v>1</v>
      </c>
      <c r="U1047" s="4" t="str">
        <f>IFERROR(__xludf.DUMMYFUNCTION("""COMPUTED_VALUE"""),"N/A (Not found)")</f>
        <v>N/A (Not found)</v>
      </c>
      <c r="V1047" s="33">
        <f>IFERROR(__xludf.DUMMYFUNCTION("""COMPUTED_VALUE"""),1.0)</f>
        <v>1</v>
      </c>
      <c r="W1047" s="4" t="str">
        <f>IFERROR(__xludf.DUMMYFUNCTION("""COMPUTED_VALUE"""),"N/A (Not found)")</f>
        <v>N/A (Not found)</v>
      </c>
      <c r="X1047" s="33">
        <f>IFERROR(__xludf.DUMMYFUNCTION("""COMPUTED_VALUE"""),1.0)</f>
        <v>1</v>
      </c>
    </row>
    <row r="1048">
      <c r="K1048" s="4" t="str">
        <f>IFERROR(__xludf.DUMMYFUNCTION("""COMPUTED_VALUE"""),"VILLAGE PIZZARIA")</f>
        <v>VILLAGE PIZZARIA</v>
      </c>
      <c r="L1048" s="32">
        <f>IFERROR(__xludf.DUMMYFUNCTION("""COMPUTED_VALUE"""),8.0)</f>
        <v>8</v>
      </c>
      <c r="M1048" s="4" t="str">
        <f>IFERROR(__xludf.DUMMYFUNCTION("""COMPUTED_VALUE"""),"Netcontroll Xmenu")</f>
        <v>Netcontroll Xmenu</v>
      </c>
      <c r="N1048" s="33">
        <f>IFERROR(__xludf.DUMMYFUNCTION("""COMPUTED_VALUE"""),0.875)</f>
        <v>0.875</v>
      </c>
      <c r="O1048" s="4" t="str">
        <f>IFERROR(__xludf.DUMMYFUNCTION("""COMPUTED_VALUE"""),"Netcontroll Xmenu")</f>
        <v>Netcontroll Xmenu</v>
      </c>
      <c r="P1048" s="33">
        <f>IFERROR(__xludf.DUMMYFUNCTION("""COMPUTED_VALUE"""),0.75)</f>
        <v>0.75</v>
      </c>
      <c r="Q1048" s="4" t="str">
        <f>IFERROR(__xludf.DUMMYFUNCTION("""COMPUTED_VALUE"""),"Netcontroll Xmenu")</f>
        <v>Netcontroll Xmenu</v>
      </c>
      <c r="R1048" s="33">
        <f>IFERROR(__xludf.DUMMYFUNCTION("""COMPUTED_VALUE"""),0.625)</f>
        <v>0.625</v>
      </c>
      <c r="S1048" s="4" t="str">
        <f>IFERROR(__xludf.DUMMYFUNCTION("""COMPUTED_VALUE"""),"Netcontroll Xmenu")</f>
        <v>Netcontroll Xmenu</v>
      </c>
      <c r="T1048" s="33">
        <f>IFERROR(__xludf.DUMMYFUNCTION("""COMPUTED_VALUE"""),0.75)</f>
        <v>0.75</v>
      </c>
      <c r="U1048" s="4" t="str">
        <f>IFERROR(__xludf.DUMMYFUNCTION("""COMPUTED_VALUE"""),"Netcontroll Xmenu")</f>
        <v>Netcontroll Xmenu</v>
      </c>
      <c r="V1048" s="33">
        <f>IFERROR(__xludf.DUMMYFUNCTION("""COMPUTED_VALUE"""),0.875)</f>
        <v>0.875</v>
      </c>
      <c r="W1048" s="4" t="str">
        <f>IFERROR(__xludf.DUMMYFUNCTION("""COMPUTED_VALUE"""),"Netcontroll Xmenu")</f>
        <v>Netcontroll Xmenu</v>
      </c>
      <c r="X1048" s="33">
        <f>IFERROR(__xludf.DUMMYFUNCTION("""COMPUTED_VALUE"""),0.625)</f>
        <v>0.625</v>
      </c>
    </row>
    <row r="1049">
      <c r="K1049" s="4" t="str">
        <f>IFERROR(__xludf.DUMMYFUNCTION("""COMPUTED_VALUE"""),"BENDITO BURGUER")</f>
        <v>BENDITO BURGUER</v>
      </c>
      <c r="L1049" s="32">
        <f>IFERROR(__xludf.DUMMYFUNCTION("""COMPUTED_VALUE"""),7.0)</f>
        <v>7</v>
      </c>
      <c r="M1049" s="4" t="str">
        <f>IFERROR(__xludf.DUMMYFUNCTION("""COMPUTED_VALUE"""),"null")</f>
        <v>null</v>
      </c>
      <c r="N1049" s="33">
        <f>IFERROR(__xludf.DUMMYFUNCTION("""COMPUTED_VALUE"""),0.2857142857142857)</f>
        <v>0.2857142857</v>
      </c>
      <c r="O1049" s="4" t="str">
        <f>IFERROR(__xludf.DUMMYFUNCTION("""COMPUTED_VALUE"""),"null")</f>
        <v>null</v>
      </c>
      <c r="P1049" s="33">
        <f>IFERROR(__xludf.DUMMYFUNCTION("""COMPUTED_VALUE"""),0.42857142857142855)</f>
        <v>0.4285714286</v>
      </c>
      <c r="Q1049" s="4" t="str">
        <f>IFERROR(__xludf.DUMMYFUNCTION("""COMPUTED_VALUE"""),"null")</f>
        <v>null</v>
      </c>
      <c r="R1049" s="33">
        <f>IFERROR(__xludf.DUMMYFUNCTION("""COMPUTED_VALUE"""),0.42857142857142855)</f>
        <v>0.4285714286</v>
      </c>
      <c r="S1049" s="4" t="str">
        <f>IFERROR(__xludf.DUMMYFUNCTION("""COMPUTED_VALUE"""),"Saipos Serviços De Software")</f>
        <v>Saipos Serviços De Software</v>
      </c>
      <c r="T1049" s="33">
        <f>IFERROR(__xludf.DUMMYFUNCTION("""COMPUTED_VALUE"""),0.2857142857142857)</f>
        <v>0.2857142857</v>
      </c>
      <c r="U1049" s="4" t="str">
        <f>IFERROR(__xludf.DUMMYFUNCTION("""COMPUTED_VALUE"""),"Saipos Serviços De Software")</f>
        <v>Saipos Serviços De Software</v>
      </c>
      <c r="V1049" s="33">
        <f>IFERROR(__xludf.DUMMYFUNCTION("""COMPUTED_VALUE"""),0.2857142857142857)</f>
        <v>0.2857142857</v>
      </c>
      <c r="W1049" s="4" t="str">
        <f>IFERROR(__xludf.DUMMYFUNCTION("""COMPUTED_VALUE"""),"Saipos Serviços De Software")</f>
        <v>Saipos Serviços De Software</v>
      </c>
      <c r="X1049" s="33">
        <f>IFERROR(__xludf.DUMMYFUNCTION("""COMPUTED_VALUE"""),0.2857142857142857)</f>
        <v>0.2857142857</v>
      </c>
    </row>
    <row r="1050">
      <c r="K1050" s="4" t="str">
        <f>IFERROR(__xludf.DUMMYFUNCTION("""COMPUTED_VALUE"""),"QUERO PIZZA")</f>
        <v>QUERO PIZZA</v>
      </c>
      <c r="L1050" s="32">
        <f>IFERROR(__xludf.DUMMYFUNCTION("""COMPUTED_VALUE"""),7.0)</f>
        <v>7</v>
      </c>
      <c r="M1050" s="4" t="str">
        <f>IFERROR(__xludf.DUMMYFUNCTION("""COMPUTED_VALUE"""),"Anota Ai Solucoes Digitais S/a")</f>
        <v>Anota Ai Solucoes Digitais S/a</v>
      </c>
      <c r="N1050" s="33">
        <f>IFERROR(__xludf.DUMMYFUNCTION("""COMPUTED_VALUE"""),0.2857142857142857)</f>
        <v>0.2857142857</v>
      </c>
      <c r="O1050" s="4" t="str">
        <f>IFERROR(__xludf.DUMMYFUNCTION("""COMPUTED_VALUE"""),"null")</f>
        <v>null</v>
      </c>
      <c r="P1050" s="33">
        <f>IFERROR(__xludf.DUMMYFUNCTION("""COMPUTED_VALUE"""),0.42857142857142855)</f>
        <v>0.4285714286</v>
      </c>
      <c r="Q1050" s="4" t="str">
        <f>IFERROR(__xludf.DUMMYFUNCTION("""COMPUTED_VALUE"""),"null")</f>
        <v>null</v>
      </c>
      <c r="R1050" s="33">
        <f>IFERROR(__xludf.DUMMYFUNCTION("""COMPUTED_VALUE"""),0.5714285714285714)</f>
        <v>0.5714285714</v>
      </c>
      <c r="S1050" s="4" t="str">
        <f>IFERROR(__xludf.DUMMYFUNCTION("""COMPUTED_VALUE"""),"null")</f>
        <v>null</v>
      </c>
      <c r="T1050" s="33">
        <f>IFERROR(__xludf.DUMMYFUNCTION("""COMPUTED_VALUE"""),0.42857142857142855)</f>
        <v>0.4285714286</v>
      </c>
      <c r="U1050" s="4" t="str">
        <f>IFERROR(__xludf.DUMMYFUNCTION("""COMPUTED_VALUE"""),"Anota Ai Solucoes Digitais S/a")</f>
        <v>Anota Ai Solucoes Digitais S/a</v>
      </c>
      <c r="V1050" s="33">
        <f>IFERROR(__xludf.DUMMYFUNCTION("""COMPUTED_VALUE"""),0.2857142857142857)</f>
        <v>0.2857142857</v>
      </c>
      <c r="W1050" s="4" t="str">
        <f>IFERROR(__xludf.DUMMYFUNCTION("""COMPUTED_VALUE"""),"Anota Ai Solucoes Digitais S/a")</f>
        <v>Anota Ai Solucoes Digitais S/a</v>
      </c>
      <c r="X1050" s="33">
        <f>IFERROR(__xludf.DUMMYFUNCTION("""COMPUTED_VALUE"""),0.2857142857142857)</f>
        <v>0.2857142857</v>
      </c>
    </row>
    <row r="1051">
      <c r="K1051" s="4" t="str">
        <f>IFERROR(__xludf.DUMMYFUNCTION("""COMPUTED_VALUE"""),"STREET BURGER")</f>
        <v>STREET BURGER</v>
      </c>
      <c r="L1051" s="32">
        <f>IFERROR(__xludf.DUMMYFUNCTION("""COMPUTED_VALUE"""),7.0)</f>
        <v>7</v>
      </c>
      <c r="M1051" s="4" t="str">
        <f>IFERROR(__xludf.DUMMYFUNCTION("""COMPUTED_VALUE"""),"null")</f>
        <v>null</v>
      </c>
      <c r="N1051" s="33">
        <f>IFERROR(__xludf.DUMMYFUNCTION("""COMPUTED_VALUE"""),0.42857142857142855)</f>
        <v>0.4285714286</v>
      </c>
      <c r="O1051" s="4" t="str">
        <f>IFERROR(__xludf.DUMMYFUNCTION("""COMPUTED_VALUE"""),"null")</f>
        <v>null</v>
      </c>
      <c r="P1051" s="33">
        <f>IFERROR(__xludf.DUMMYFUNCTION("""COMPUTED_VALUE"""),0.42857142857142855)</f>
        <v>0.4285714286</v>
      </c>
      <c r="Q1051" s="4" t="str">
        <f>IFERROR(__xludf.DUMMYFUNCTION("""COMPUTED_VALUE"""),"null")</f>
        <v>null</v>
      </c>
      <c r="R1051" s="33">
        <f>IFERROR(__xludf.DUMMYFUNCTION("""COMPUTED_VALUE"""),0.42857142857142855)</f>
        <v>0.4285714286</v>
      </c>
      <c r="S1051" s="4" t="str">
        <f>IFERROR(__xludf.DUMMYFUNCTION("""COMPUTED_VALUE"""),"null")</f>
        <v>null</v>
      </c>
      <c r="T1051" s="33">
        <f>IFERROR(__xludf.DUMMYFUNCTION("""COMPUTED_VALUE"""),0.5714285714285714)</f>
        <v>0.5714285714</v>
      </c>
      <c r="U1051" s="4" t="str">
        <f>IFERROR(__xludf.DUMMYFUNCTION("""COMPUTED_VALUE"""),"null")</f>
        <v>null</v>
      </c>
      <c r="V1051" s="33">
        <f>IFERROR(__xludf.DUMMYFUNCTION("""COMPUTED_VALUE"""),0.2857142857142857)</f>
        <v>0.2857142857</v>
      </c>
      <c r="W1051" s="4" t="str">
        <f>IFERROR(__xludf.DUMMYFUNCTION("""COMPUTED_VALUE"""),"null")</f>
        <v>null</v>
      </c>
      <c r="X1051" s="33">
        <f>IFERROR(__xludf.DUMMYFUNCTION("""COMPUTED_VALUE"""),0.42857142857142855)</f>
        <v>0.4285714286</v>
      </c>
    </row>
    <row r="1052">
      <c r="K1052" s="4" t="str">
        <f>IFERROR(__xludf.DUMMYFUNCTION("""COMPUTED_VALUE"""),"DROGARIA ULTRA POPULAR")</f>
        <v>DROGARIA ULTRA POPULAR</v>
      </c>
      <c r="L1052" s="32">
        <f>IFERROR(__xludf.DUMMYFUNCTION("""COMPUTED_VALUE"""),7.0)</f>
        <v>7</v>
      </c>
      <c r="M1052" s="4" t="str">
        <f>IFERROR(__xludf.DUMMYFUNCTION("""COMPUTED_VALUE"""),"N/A (Not found)")</f>
        <v>N/A (Not found)</v>
      </c>
      <c r="N1052" s="33">
        <f>IFERROR(__xludf.DUMMYFUNCTION("""COMPUTED_VALUE"""),0.5714285714285714)</f>
        <v>0.5714285714</v>
      </c>
      <c r="O1052" s="4" t="str">
        <f>IFERROR(__xludf.DUMMYFUNCTION("""COMPUTED_VALUE"""),"N/A (Not found)")</f>
        <v>N/A (Not found)</v>
      </c>
      <c r="P1052" s="33">
        <f>IFERROR(__xludf.DUMMYFUNCTION("""COMPUTED_VALUE"""),0.5714285714285714)</f>
        <v>0.5714285714</v>
      </c>
      <c r="Q1052" s="4" t="str">
        <f>IFERROR(__xludf.DUMMYFUNCTION("""COMPUTED_VALUE"""),"N/A (Not found)")</f>
        <v>N/A (Not found)</v>
      </c>
      <c r="R1052" s="33">
        <f>IFERROR(__xludf.DUMMYFUNCTION("""COMPUTED_VALUE"""),0.5714285714285714)</f>
        <v>0.5714285714</v>
      </c>
      <c r="S1052" s="4" t="str">
        <f>IFERROR(__xludf.DUMMYFUNCTION("""COMPUTED_VALUE"""),"N/A (Not found)")</f>
        <v>N/A (Not found)</v>
      </c>
      <c r="T1052" s="33">
        <f>IFERROR(__xludf.DUMMYFUNCTION("""COMPUTED_VALUE"""),0.8571428571428571)</f>
        <v>0.8571428571</v>
      </c>
      <c r="U1052" s="4" t="str">
        <f>IFERROR(__xludf.DUMMYFUNCTION("""COMPUTED_VALUE"""),"N/A (Not found)")</f>
        <v>N/A (Not found)</v>
      </c>
      <c r="V1052" s="33">
        <f>IFERROR(__xludf.DUMMYFUNCTION("""COMPUTED_VALUE"""),1.0)</f>
        <v>1</v>
      </c>
      <c r="W1052" s="4" t="str">
        <f>IFERROR(__xludf.DUMMYFUNCTION("""COMPUTED_VALUE"""),"N/A (Not found)")</f>
        <v>N/A (Not found)</v>
      </c>
      <c r="X1052" s="33">
        <f>IFERROR(__xludf.DUMMYFUNCTION("""COMPUTED_VALUE"""),1.0)</f>
        <v>1</v>
      </c>
    </row>
    <row r="1053">
      <c r="K1053" s="4" t="str">
        <f>IFERROR(__xludf.DUMMYFUNCTION("""COMPUTED_VALUE"""),"ACAI PRIME")</f>
        <v>ACAI PRIME</v>
      </c>
      <c r="L1053" s="32">
        <f>IFERROR(__xludf.DUMMYFUNCTION("""COMPUTED_VALUE"""),7.0)</f>
        <v>7</v>
      </c>
      <c r="M1053" s="4" t="str">
        <f>IFERROR(__xludf.DUMMYFUNCTION("""COMPUTED_VALUE"""),"null")</f>
        <v>null</v>
      </c>
      <c r="N1053" s="33">
        <f>IFERROR(__xludf.DUMMYFUNCTION("""COMPUTED_VALUE"""),0.42857142857142855)</f>
        <v>0.4285714286</v>
      </c>
      <c r="O1053" s="4" t="str">
        <f>IFERROR(__xludf.DUMMYFUNCTION("""COMPUTED_VALUE"""),"null")</f>
        <v>null</v>
      </c>
      <c r="P1053" s="33">
        <f>IFERROR(__xludf.DUMMYFUNCTION("""COMPUTED_VALUE"""),0.2857142857142857)</f>
        <v>0.2857142857</v>
      </c>
      <c r="Q1053" s="4" t="str">
        <f>IFERROR(__xludf.DUMMYFUNCTION("""COMPUTED_VALUE"""),"null")</f>
        <v>null</v>
      </c>
      <c r="R1053" s="33">
        <f>IFERROR(__xludf.DUMMYFUNCTION("""COMPUTED_VALUE"""),0.42857142857142855)</f>
        <v>0.4285714286</v>
      </c>
      <c r="S1053" s="4" t="str">
        <f>IFERROR(__xludf.DUMMYFUNCTION("""COMPUTED_VALUE"""),"null")</f>
        <v>null</v>
      </c>
      <c r="T1053" s="33">
        <f>IFERROR(__xludf.DUMMYFUNCTION("""COMPUTED_VALUE"""),0.42857142857142855)</f>
        <v>0.4285714286</v>
      </c>
      <c r="U1053" s="4" t="str">
        <f>IFERROR(__xludf.DUMMYFUNCTION("""COMPUTED_VALUE"""),"null")</f>
        <v>null</v>
      </c>
      <c r="V1053" s="33">
        <f>IFERROR(__xludf.DUMMYFUNCTION("""COMPUTED_VALUE"""),0.42857142857142855)</f>
        <v>0.4285714286</v>
      </c>
      <c r="W1053" s="4" t="str">
        <f>IFERROR(__xludf.DUMMYFUNCTION("""COMPUTED_VALUE"""),"null")</f>
        <v>null</v>
      </c>
      <c r="X1053" s="33">
        <f>IFERROR(__xludf.DUMMYFUNCTION("""COMPUTED_VALUE"""),0.2857142857142857)</f>
        <v>0.2857142857</v>
      </c>
    </row>
    <row r="1054">
      <c r="K1054" s="4" t="str">
        <f>IFERROR(__xludf.DUMMYFUNCTION("""COMPUTED_VALUE"""),"DROGARIA PRO SAUDE")</f>
        <v>DROGARIA PRO SAUDE</v>
      </c>
      <c r="L1054" s="32">
        <f>IFERROR(__xludf.DUMMYFUNCTION("""COMPUTED_VALUE"""),7.0)</f>
        <v>7</v>
      </c>
      <c r="M1054" s="4" t="str">
        <f>IFERROR(__xludf.DUMMYFUNCTION("""COMPUTED_VALUE"""),"N/A (Not found)")</f>
        <v>N/A (Not found)</v>
      </c>
      <c r="N1054" s="33">
        <f>IFERROR(__xludf.DUMMYFUNCTION("""COMPUTED_VALUE"""),0.8571428571428571)</f>
        <v>0.8571428571</v>
      </c>
      <c r="O1054" s="4" t="str">
        <f>IFERROR(__xludf.DUMMYFUNCTION("""COMPUTED_VALUE"""),"N/A (Not found)")</f>
        <v>N/A (Not found)</v>
      </c>
      <c r="P1054" s="33">
        <f>IFERROR(__xludf.DUMMYFUNCTION("""COMPUTED_VALUE"""),1.0)</f>
        <v>1</v>
      </c>
      <c r="Q1054" s="4" t="str">
        <f>IFERROR(__xludf.DUMMYFUNCTION("""COMPUTED_VALUE"""),"N/A (Not found)")</f>
        <v>N/A (Not found)</v>
      </c>
      <c r="R1054" s="33">
        <f>IFERROR(__xludf.DUMMYFUNCTION("""COMPUTED_VALUE"""),1.0)</f>
        <v>1</v>
      </c>
      <c r="S1054" s="4" t="str">
        <f>IFERROR(__xludf.DUMMYFUNCTION("""COMPUTED_VALUE"""),"N/A (Not found)")</f>
        <v>N/A (Not found)</v>
      </c>
      <c r="T1054" s="33">
        <f>IFERROR(__xludf.DUMMYFUNCTION("""COMPUTED_VALUE"""),1.0)</f>
        <v>1</v>
      </c>
      <c r="U1054" s="4" t="str">
        <f>IFERROR(__xludf.DUMMYFUNCTION("""COMPUTED_VALUE"""),"N/A (Not found)")</f>
        <v>N/A (Not found)</v>
      </c>
      <c r="V1054" s="33">
        <f>IFERROR(__xludf.DUMMYFUNCTION("""COMPUTED_VALUE"""),0.8571428571428571)</f>
        <v>0.8571428571</v>
      </c>
      <c r="W1054" s="4" t="str">
        <f>IFERROR(__xludf.DUMMYFUNCTION("""COMPUTED_VALUE"""),"N/A (Not found)")</f>
        <v>N/A (Not found)</v>
      </c>
      <c r="X1054" s="33">
        <f>IFERROR(__xludf.DUMMYFUNCTION("""COMPUTED_VALUE"""),0.8571428571428571)</f>
        <v>0.8571428571</v>
      </c>
    </row>
    <row r="1055">
      <c r="K1055" s="4" t="str">
        <f>IFERROR(__xludf.DUMMYFUNCTION("""COMPUTED_VALUE"""),"SUPER FARMA")</f>
        <v>SUPER FARMA</v>
      </c>
      <c r="L1055" s="32">
        <f>IFERROR(__xludf.DUMMYFUNCTION("""COMPUTED_VALUE"""),7.0)</f>
        <v>7</v>
      </c>
      <c r="M1055" s="4" t="str">
        <f>IFERROR(__xludf.DUMMYFUNCTION("""COMPUTED_VALUE"""),"null")</f>
        <v>null</v>
      </c>
      <c r="N1055" s="33">
        <f>IFERROR(__xludf.DUMMYFUNCTION("""COMPUTED_VALUE"""),0.5714285714285714)</f>
        <v>0.5714285714</v>
      </c>
      <c r="O1055" s="4" t="str">
        <f>IFERROR(__xludf.DUMMYFUNCTION("""COMPUTED_VALUE"""),"null")</f>
        <v>null</v>
      </c>
      <c r="P1055" s="33">
        <f>IFERROR(__xludf.DUMMYFUNCTION("""COMPUTED_VALUE"""),0.5714285714285714)</f>
        <v>0.5714285714</v>
      </c>
      <c r="Q1055" s="4" t="str">
        <f>IFERROR(__xludf.DUMMYFUNCTION("""COMPUTED_VALUE"""),"null")</f>
        <v>null</v>
      </c>
      <c r="R1055" s="33">
        <f>IFERROR(__xludf.DUMMYFUNCTION("""COMPUTED_VALUE"""),0.5714285714285714)</f>
        <v>0.5714285714</v>
      </c>
      <c r="S1055" s="4" t="str">
        <f>IFERROR(__xludf.DUMMYFUNCTION("""COMPUTED_VALUE"""),"N/A (Not found)")</f>
        <v>N/A (Not found)</v>
      </c>
      <c r="T1055" s="33">
        <f>IFERROR(__xludf.DUMMYFUNCTION("""COMPUTED_VALUE"""),0.7142857142857143)</f>
        <v>0.7142857143</v>
      </c>
      <c r="U1055" s="4" t="str">
        <f>IFERROR(__xludf.DUMMYFUNCTION("""COMPUTED_VALUE"""),"N/A (Not found)")</f>
        <v>N/A (Not found)</v>
      </c>
      <c r="V1055" s="33">
        <f>IFERROR(__xludf.DUMMYFUNCTION("""COMPUTED_VALUE"""),0.8571428571428571)</f>
        <v>0.8571428571</v>
      </c>
      <c r="W1055" s="4" t="str">
        <f>IFERROR(__xludf.DUMMYFUNCTION("""COMPUTED_VALUE"""),"N/A (Not found)")</f>
        <v>N/A (Not found)</v>
      </c>
      <c r="X1055" s="33">
        <f>IFERROR(__xludf.DUMMYFUNCTION("""COMPUTED_VALUE"""),1.0)</f>
        <v>1</v>
      </c>
    </row>
    <row r="1056">
      <c r="K1056" s="4" t="str">
        <f>IFERROR(__xludf.DUMMYFUNCTION("""COMPUTED_VALUE"""),"LUCAS LANCHES")</f>
        <v>LUCAS LANCHES</v>
      </c>
      <c r="L1056" s="32">
        <f>IFERROR(__xludf.DUMMYFUNCTION("""COMPUTED_VALUE"""),7.0)</f>
        <v>7</v>
      </c>
      <c r="M1056" s="4" t="str">
        <f>IFERROR(__xludf.DUMMYFUNCTION("""COMPUTED_VALUE"""),"null")</f>
        <v>null</v>
      </c>
      <c r="N1056" s="33">
        <f>IFERROR(__xludf.DUMMYFUNCTION("""COMPUTED_VALUE"""),0.2857142857142857)</f>
        <v>0.2857142857</v>
      </c>
      <c r="O1056" s="4" t="str">
        <f>IFERROR(__xludf.DUMMYFUNCTION("""COMPUTED_VALUE"""),"null")</f>
        <v>null</v>
      </c>
      <c r="P1056" s="33">
        <f>IFERROR(__xludf.DUMMYFUNCTION("""COMPUTED_VALUE"""),0.42857142857142855)</f>
        <v>0.4285714286</v>
      </c>
      <c r="Q1056" s="4" t="str">
        <f>IFERROR(__xludf.DUMMYFUNCTION("""COMPUTED_VALUE"""),"Anota Ai Solucoes Digitais S/a")</f>
        <v>Anota Ai Solucoes Digitais S/a</v>
      </c>
      <c r="R1056" s="33">
        <f>IFERROR(__xludf.DUMMYFUNCTION("""COMPUTED_VALUE"""),0.42857142857142855)</f>
        <v>0.4285714286</v>
      </c>
      <c r="S1056" s="4" t="str">
        <f>IFERROR(__xludf.DUMMYFUNCTION("""COMPUTED_VALUE"""),"null")</f>
        <v>null</v>
      </c>
      <c r="T1056" s="33">
        <f>IFERROR(__xludf.DUMMYFUNCTION("""COMPUTED_VALUE"""),0.5714285714285714)</f>
        <v>0.5714285714</v>
      </c>
      <c r="U1056" s="4" t="str">
        <f>IFERROR(__xludf.DUMMYFUNCTION("""COMPUTED_VALUE"""),"Saipos Serviços De Software")</f>
        <v>Saipos Serviços De Software</v>
      </c>
      <c r="V1056" s="33">
        <f>IFERROR(__xludf.DUMMYFUNCTION("""COMPUTED_VALUE"""),0.2857142857142857)</f>
        <v>0.2857142857</v>
      </c>
      <c r="W1056" s="4" t="str">
        <f>IFERROR(__xludf.DUMMYFUNCTION("""COMPUTED_VALUE"""),"Saipos Serviços De Software")</f>
        <v>Saipos Serviços De Software</v>
      </c>
      <c r="X1056" s="33">
        <f>IFERROR(__xludf.DUMMYFUNCTION("""COMPUTED_VALUE"""),0.2857142857142857)</f>
        <v>0.2857142857</v>
      </c>
    </row>
    <row r="1057">
      <c r="K1057" s="4" t="str">
        <f>IFERROR(__xludf.DUMMYFUNCTION("""COMPUTED_VALUE"""),"SMASH BURGER")</f>
        <v>SMASH BURGER</v>
      </c>
      <c r="L1057" s="32">
        <f>IFERROR(__xludf.DUMMYFUNCTION("""COMPUTED_VALUE"""),7.0)</f>
        <v>7</v>
      </c>
      <c r="M1057" s="4" t="str">
        <f>IFERROR(__xludf.DUMMYFUNCTION("""COMPUTED_VALUE"""),"Mp Multipedidos")</f>
        <v>Mp Multipedidos</v>
      </c>
      <c r="N1057" s="33">
        <f>IFERROR(__xludf.DUMMYFUNCTION("""COMPUTED_VALUE"""),0.14285714285714285)</f>
        <v>0.1428571429</v>
      </c>
      <c r="O1057" s="4" t="str">
        <f>IFERROR(__xludf.DUMMYFUNCTION("""COMPUTED_VALUE"""),"Mp Multipedidos")</f>
        <v>Mp Multipedidos</v>
      </c>
      <c r="P1057" s="33">
        <f>IFERROR(__xludf.DUMMYFUNCTION("""COMPUTED_VALUE"""),0.14285714285714285)</f>
        <v>0.1428571429</v>
      </c>
      <c r="Q1057" s="4" t="str">
        <f>IFERROR(__xludf.DUMMYFUNCTION("""COMPUTED_VALUE"""),"Mp Multipedidos")</f>
        <v>Mp Multipedidos</v>
      </c>
      <c r="R1057" s="33">
        <f>IFERROR(__xludf.DUMMYFUNCTION("""COMPUTED_VALUE"""),0.14285714285714285)</f>
        <v>0.1428571429</v>
      </c>
      <c r="S1057" s="4" t="str">
        <f>IFERROR(__xludf.DUMMYFUNCTION("""COMPUTED_VALUE"""),"Mp Multipedidos")</f>
        <v>Mp Multipedidos</v>
      </c>
      <c r="T1057" s="33">
        <f>IFERROR(__xludf.DUMMYFUNCTION("""COMPUTED_VALUE"""),0.14285714285714285)</f>
        <v>0.1428571429</v>
      </c>
      <c r="U1057" s="4" t="str">
        <f>IFERROR(__xludf.DUMMYFUNCTION("""COMPUTED_VALUE"""),"Mp Multipedidos")</f>
        <v>Mp Multipedidos</v>
      </c>
      <c r="V1057" s="33">
        <f>IFERROR(__xludf.DUMMYFUNCTION("""COMPUTED_VALUE"""),0.14285714285714285)</f>
        <v>0.1428571429</v>
      </c>
      <c r="W1057" s="4" t="str">
        <f>IFERROR(__xludf.DUMMYFUNCTION("""COMPUTED_VALUE"""),"Mp Multipedidos")</f>
        <v>Mp Multipedidos</v>
      </c>
      <c r="X1057" s="33">
        <f>IFERROR(__xludf.DUMMYFUNCTION("""COMPUTED_VALUE"""),0.14285714285714285)</f>
        <v>0.1428571429</v>
      </c>
    </row>
    <row r="1058">
      <c r="K1058" s="4" t="str">
        <f>IFERROR(__xludf.DUMMYFUNCTION("""COMPUTED_VALUE"""),"MR FRITZ")</f>
        <v>MR FRITZ</v>
      </c>
      <c r="L1058" s="32">
        <f>IFERROR(__xludf.DUMMYFUNCTION("""COMPUTED_VALUE"""),7.0)</f>
        <v>7</v>
      </c>
      <c r="M1058" s="4" t="str">
        <f>IFERROR(__xludf.DUMMYFUNCTION("""COMPUTED_VALUE"""),"Connectplug")</f>
        <v>Connectplug</v>
      </c>
      <c r="N1058" s="33">
        <f>IFERROR(__xludf.DUMMYFUNCTION("""COMPUTED_VALUE"""),1.0)</f>
        <v>1</v>
      </c>
      <c r="O1058" s="4" t="str">
        <f>IFERROR(__xludf.DUMMYFUNCTION("""COMPUTED_VALUE"""),"Connectplug")</f>
        <v>Connectplug</v>
      </c>
      <c r="P1058" s="33">
        <f>IFERROR(__xludf.DUMMYFUNCTION("""COMPUTED_VALUE"""),0.8571428571428571)</f>
        <v>0.8571428571</v>
      </c>
      <c r="Q1058" s="4" t="str">
        <f>IFERROR(__xludf.DUMMYFUNCTION("""COMPUTED_VALUE"""),"Connectplug")</f>
        <v>Connectplug</v>
      </c>
      <c r="R1058" s="33">
        <f>IFERROR(__xludf.DUMMYFUNCTION("""COMPUTED_VALUE"""),0.8571428571428571)</f>
        <v>0.8571428571</v>
      </c>
      <c r="S1058" s="4" t="str">
        <f>IFERROR(__xludf.DUMMYFUNCTION("""COMPUTED_VALUE"""),"Connectplug")</f>
        <v>Connectplug</v>
      </c>
      <c r="T1058" s="33">
        <f>IFERROR(__xludf.DUMMYFUNCTION("""COMPUTED_VALUE"""),0.8571428571428571)</f>
        <v>0.8571428571</v>
      </c>
      <c r="U1058" s="4" t="str">
        <f>IFERROR(__xludf.DUMMYFUNCTION("""COMPUTED_VALUE"""),"Connectplug")</f>
        <v>Connectplug</v>
      </c>
      <c r="V1058" s="33">
        <f>IFERROR(__xludf.DUMMYFUNCTION("""COMPUTED_VALUE"""),0.8571428571428571)</f>
        <v>0.8571428571</v>
      </c>
      <c r="W1058" s="4" t="str">
        <f>IFERROR(__xludf.DUMMYFUNCTION("""COMPUTED_VALUE"""),"Connectplug")</f>
        <v>Connectplug</v>
      </c>
      <c r="X1058" s="33">
        <f>IFERROR(__xludf.DUMMYFUNCTION("""COMPUTED_VALUE"""),0.8571428571428571)</f>
        <v>0.8571428571</v>
      </c>
    </row>
    <row r="1059">
      <c r="K1059" s="4" t="str">
        <f>IFERROR(__xludf.DUMMYFUNCTION("""COMPUTED_VALUE"""),"LA CASA DA PIZZA")</f>
        <v>LA CASA DA PIZZA</v>
      </c>
      <c r="L1059" s="32">
        <f>IFERROR(__xludf.DUMMYFUNCTION("""COMPUTED_VALUE"""),7.0)</f>
        <v>7</v>
      </c>
      <c r="M1059" s="4" t="str">
        <f>IFERROR(__xludf.DUMMYFUNCTION("""COMPUTED_VALUE"""),"Anota Ai Solucoes Digitais S/a")</f>
        <v>Anota Ai Solucoes Digitais S/a</v>
      </c>
      <c r="N1059" s="33">
        <f>IFERROR(__xludf.DUMMYFUNCTION("""COMPUTED_VALUE"""),0.42857142857142855)</f>
        <v>0.4285714286</v>
      </c>
      <c r="O1059" s="4" t="str">
        <f>IFERROR(__xludf.DUMMYFUNCTION("""COMPUTED_VALUE"""),"Anota Ai Solucoes Digitais S/a")</f>
        <v>Anota Ai Solucoes Digitais S/a</v>
      </c>
      <c r="P1059" s="33">
        <f>IFERROR(__xludf.DUMMYFUNCTION("""COMPUTED_VALUE"""),0.42857142857142855)</f>
        <v>0.4285714286</v>
      </c>
      <c r="Q1059" s="4" t="str">
        <f>IFERROR(__xludf.DUMMYFUNCTION("""COMPUTED_VALUE"""),"Anota Ai Solucoes Digitais S/a")</f>
        <v>Anota Ai Solucoes Digitais S/a</v>
      </c>
      <c r="R1059" s="33">
        <f>IFERROR(__xludf.DUMMYFUNCTION("""COMPUTED_VALUE"""),0.42857142857142855)</f>
        <v>0.4285714286</v>
      </c>
      <c r="S1059" s="4" t="str">
        <f>IFERROR(__xludf.DUMMYFUNCTION("""COMPUTED_VALUE"""),"Anota Ai Solucoes Digitais S/a")</f>
        <v>Anota Ai Solucoes Digitais S/a</v>
      </c>
      <c r="T1059" s="33">
        <f>IFERROR(__xludf.DUMMYFUNCTION("""COMPUTED_VALUE"""),0.42857142857142855)</f>
        <v>0.4285714286</v>
      </c>
      <c r="U1059" s="4" t="str">
        <f>IFERROR(__xludf.DUMMYFUNCTION("""COMPUTED_VALUE"""),"Anota Ai Solucoes Digitais S/a")</f>
        <v>Anota Ai Solucoes Digitais S/a</v>
      </c>
      <c r="V1059" s="33">
        <f>IFERROR(__xludf.DUMMYFUNCTION("""COMPUTED_VALUE"""),0.42857142857142855)</f>
        <v>0.4285714286</v>
      </c>
      <c r="W1059" s="4" t="str">
        <f>IFERROR(__xludf.DUMMYFUNCTION("""COMPUTED_VALUE"""),"Anota Ai Solucoes Digitais S/a")</f>
        <v>Anota Ai Solucoes Digitais S/a</v>
      </c>
      <c r="X1059" s="33">
        <f>IFERROR(__xludf.DUMMYFUNCTION("""COMPUTED_VALUE"""),0.2857142857142857)</f>
        <v>0.2857142857</v>
      </c>
    </row>
    <row r="1060">
      <c r="K1060" s="4" t="str">
        <f>IFERROR(__xludf.DUMMYFUNCTION("""COMPUTED_VALUE"""),"ACAI MAIS SABOR")</f>
        <v>ACAI MAIS SABOR</v>
      </c>
      <c r="L1060" s="32">
        <f>IFERROR(__xludf.DUMMYFUNCTION("""COMPUTED_VALUE"""),7.0)</f>
        <v>7</v>
      </c>
      <c r="M1060" s="4" t="str">
        <f>IFERROR(__xludf.DUMMYFUNCTION("""COMPUTED_VALUE"""),"null")</f>
        <v>null</v>
      </c>
      <c r="N1060" s="33">
        <f>IFERROR(__xludf.DUMMYFUNCTION("""COMPUTED_VALUE"""),0.2857142857142857)</f>
        <v>0.2857142857</v>
      </c>
      <c r="O1060" s="4" t="str">
        <f>IFERROR(__xludf.DUMMYFUNCTION("""COMPUTED_VALUE"""),"Saipos Serviços De Software")</f>
        <v>Saipos Serviços De Software</v>
      </c>
      <c r="P1060" s="33">
        <f>IFERROR(__xludf.DUMMYFUNCTION("""COMPUTED_VALUE"""),0.42857142857142855)</f>
        <v>0.4285714286</v>
      </c>
      <c r="Q1060" s="4" t="str">
        <f>IFERROR(__xludf.DUMMYFUNCTION("""COMPUTED_VALUE"""),"Saipos Serviços De Software")</f>
        <v>Saipos Serviços De Software</v>
      </c>
      <c r="R1060" s="33">
        <f>IFERROR(__xludf.DUMMYFUNCTION("""COMPUTED_VALUE"""),0.42857142857142855)</f>
        <v>0.4285714286</v>
      </c>
      <c r="S1060" s="4" t="str">
        <f>IFERROR(__xludf.DUMMYFUNCTION("""COMPUTED_VALUE"""),"Saipos Serviços De Software")</f>
        <v>Saipos Serviços De Software</v>
      </c>
      <c r="T1060" s="33">
        <f>IFERROR(__xludf.DUMMYFUNCTION("""COMPUTED_VALUE"""),0.42857142857142855)</f>
        <v>0.4285714286</v>
      </c>
      <c r="U1060" s="4" t="str">
        <f>IFERROR(__xludf.DUMMYFUNCTION("""COMPUTED_VALUE"""),"Saipos Serviços De Software")</f>
        <v>Saipos Serviços De Software</v>
      </c>
      <c r="V1060" s="33">
        <f>IFERROR(__xludf.DUMMYFUNCTION("""COMPUTED_VALUE"""),0.42857142857142855)</f>
        <v>0.4285714286</v>
      </c>
      <c r="W1060" s="4" t="str">
        <f>IFERROR(__xludf.DUMMYFUNCTION("""COMPUTED_VALUE"""),"Saipos Serviços De Software")</f>
        <v>Saipos Serviços De Software</v>
      </c>
      <c r="X1060" s="33">
        <f>IFERROR(__xludf.DUMMYFUNCTION("""COMPUTED_VALUE"""),0.42857142857142855)</f>
        <v>0.4285714286</v>
      </c>
    </row>
    <row r="1061">
      <c r="K1061" s="4" t="str">
        <f>IFERROR(__xludf.DUMMYFUNCTION("""COMPUTED_VALUE"""),"BORA ACAI")</f>
        <v>BORA ACAI</v>
      </c>
      <c r="L1061" s="32">
        <f>IFERROR(__xludf.DUMMYFUNCTION("""COMPUTED_VALUE"""),7.0)</f>
        <v>7</v>
      </c>
      <c r="M1061" s="4" t="str">
        <f>IFERROR(__xludf.DUMMYFUNCTION("""COMPUTED_VALUE"""),"null")</f>
        <v>null</v>
      </c>
      <c r="N1061" s="33">
        <f>IFERROR(__xludf.DUMMYFUNCTION("""COMPUTED_VALUE"""),0.42857142857142855)</f>
        <v>0.4285714286</v>
      </c>
      <c r="O1061" s="4" t="str">
        <f>IFERROR(__xludf.DUMMYFUNCTION("""COMPUTED_VALUE"""),"null")</f>
        <v>null</v>
      </c>
      <c r="P1061" s="33">
        <f>IFERROR(__xludf.DUMMYFUNCTION("""COMPUTED_VALUE"""),0.5714285714285714)</f>
        <v>0.5714285714</v>
      </c>
      <c r="Q1061" s="4" t="str">
        <f>IFERROR(__xludf.DUMMYFUNCTION("""COMPUTED_VALUE"""),"Saipos Serviços De Software")</f>
        <v>Saipos Serviços De Software</v>
      </c>
      <c r="R1061" s="33">
        <f>IFERROR(__xludf.DUMMYFUNCTION("""COMPUTED_VALUE"""),0.2857142857142857)</f>
        <v>0.2857142857</v>
      </c>
      <c r="S1061" s="4" t="str">
        <f>IFERROR(__xludf.DUMMYFUNCTION("""COMPUTED_VALUE"""),"null")</f>
        <v>null</v>
      </c>
      <c r="T1061" s="33">
        <f>IFERROR(__xludf.DUMMYFUNCTION("""COMPUTED_VALUE"""),0.42857142857142855)</f>
        <v>0.4285714286</v>
      </c>
      <c r="U1061" s="4" t="str">
        <f>IFERROR(__xludf.DUMMYFUNCTION("""COMPUTED_VALUE"""),"null")</f>
        <v>null</v>
      </c>
      <c r="V1061" s="33">
        <f>IFERROR(__xludf.DUMMYFUNCTION("""COMPUTED_VALUE"""),0.42857142857142855)</f>
        <v>0.4285714286</v>
      </c>
      <c r="W1061" s="4" t="str">
        <f>IFERROR(__xludf.DUMMYFUNCTION("""COMPUTED_VALUE"""),"null")</f>
        <v>null</v>
      </c>
      <c r="X1061" s="33">
        <f>IFERROR(__xludf.DUMMYFUNCTION("""COMPUTED_VALUE"""),0.8571428571428571)</f>
        <v>0.8571428571</v>
      </c>
    </row>
    <row r="1062">
      <c r="K1062" s="4" t="str">
        <f>IFERROR(__xludf.DUMMYFUNCTION("""COMPUTED_VALUE"""),"DROGARIA BEM ESTAR")</f>
        <v>DROGARIA BEM ESTAR</v>
      </c>
      <c r="L1062" s="32">
        <f>IFERROR(__xludf.DUMMYFUNCTION("""COMPUTED_VALUE"""),7.0)</f>
        <v>7</v>
      </c>
      <c r="M1062" s="4" t="str">
        <f>IFERROR(__xludf.DUMMYFUNCTION("""COMPUTED_VALUE"""),"N/A (Not found)")</f>
        <v>N/A (Not found)</v>
      </c>
      <c r="N1062" s="33">
        <f>IFERROR(__xludf.DUMMYFUNCTION("""COMPUTED_VALUE"""),0.7142857142857143)</f>
        <v>0.7142857143</v>
      </c>
      <c r="O1062" s="4" t="str">
        <f>IFERROR(__xludf.DUMMYFUNCTION("""COMPUTED_VALUE"""),"N/A (Not found)")</f>
        <v>N/A (Not found)</v>
      </c>
      <c r="P1062" s="33">
        <f>IFERROR(__xludf.DUMMYFUNCTION("""COMPUTED_VALUE"""),0.7142857142857143)</f>
        <v>0.7142857143</v>
      </c>
      <c r="Q1062" s="4" t="str">
        <f>IFERROR(__xludf.DUMMYFUNCTION("""COMPUTED_VALUE"""),"N/A (Not found)")</f>
        <v>N/A (Not found)</v>
      </c>
      <c r="R1062" s="33">
        <f>IFERROR(__xludf.DUMMYFUNCTION("""COMPUTED_VALUE"""),0.8571428571428571)</f>
        <v>0.8571428571</v>
      </c>
      <c r="S1062" s="4" t="str">
        <f>IFERROR(__xludf.DUMMYFUNCTION("""COMPUTED_VALUE"""),"N/A (Not found)")</f>
        <v>N/A (Not found)</v>
      </c>
      <c r="T1062" s="33">
        <f>IFERROR(__xludf.DUMMYFUNCTION("""COMPUTED_VALUE"""),0.7142857142857143)</f>
        <v>0.7142857143</v>
      </c>
      <c r="U1062" s="4" t="str">
        <f>IFERROR(__xludf.DUMMYFUNCTION("""COMPUTED_VALUE"""),"N/A (Not found)")</f>
        <v>N/A (Not found)</v>
      </c>
      <c r="V1062" s="33">
        <f>IFERROR(__xludf.DUMMYFUNCTION("""COMPUTED_VALUE"""),0.7142857142857143)</f>
        <v>0.7142857143</v>
      </c>
      <c r="W1062" s="4" t="str">
        <f>IFERROR(__xludf.DUMMYFUNCTION("""COMPUTED_VALUE"""),"N/A (Not found)")</f>
        <v>N/A (Not found)</v>
      </c>
      <c r="X1062" s="33">
        <f>IFERROR(__xludf.DUMMYFUNCTION("""COMPUTED_VALUE"""),0.8571428571428571)</f>
        <v>0.8571428571</v>
      </c>
    </row>
    <row r="1063">
      <c r="K1063" s="4" t="str">
        <f>IFERROR(__xludf.DUMMYFUNCTION("""COMPUTED_VALUE"""),"IMPERIO BURGUER")</f>
        <v>IMPERIO BURGUER</v>
      </c>
      <c r="L1063" s="32">
        <f>IFERROR(__xludf.DUMMYFUNCTION("""COMPUTED_VALUE"""),7.0)</f>
        <v>7</v>
      </c>
      <c r="M1063" s="4" t="str">
        <f>IFERROR(__xludf.DUMMYFUNCTION("""COMPUTED_VALUE"""),"null")</f>
        <v>null</v>
      </c>
      <c r="N1063" s="33">
        <f>IFERROR(__xludf.DUMMYFUNCTION("""COMPUTED_VALUE"""),0.2857142857142857)</f>
        <v>0.2857142857</v>
      </c>
      <c r="O1063" s="4" t="str">
        <f>IFERROR(__xludf.DUMMYFUNCTION("""COMPUTED_VALUE"""),"null")</f>
        <v>null</v>
      </c>
      <c r="P1063" s="33">
        <f>IFERROR(__xludf.DUMMYFUNCTION("""COMPUTED_VALUE"""),0.2857142857142857)</f>
        <v>0.2857142857</v>
      </c>
      <c r="Q1063" s="4" t="str">
        <f>IFERROR(__xludf.DUMMYFUNCTION("""COMPUTED_VALUE"""),"null")</f>
        <v>null</v>
      </c>
      <c r="R1063" s="33">
        <f>IFERROR(__xludf.DUMMYFUNCTION("""COMPUTED_VALUE"""),0.42857142857142855)</f>
        <v>0.4285714286</v>
      </c>
      <c r="S1063" s="4" t="str">
        <f>IFERROR(__xludf.DUMMYFUNCTION("""COMPUTED_VALUE"""),"One Solucoes")</f>
        <v>One Solucoes</v>
      </c>
      <c r="T1063" s="33">
        <f>IFERROR(__xludf.DUMMYFUNCTION("""COMPUTED_VALUE"""),0.14285714285714285)</f>
        <v>0.1428571429</v>
      </c>
      <c r="U1063" s="4" t="str">
        <f>IFERROR(__xludf.DUMMYFUNCTION("""COMPUTED_VALUE"""),"null")</f>
        <v>null</v>
      </c>
      <c r="V1063" s="33">
        <f>IFERROR(__xludf.DUMMYFUNCTION("""COMPUTED_VALUE"""),0.42857142857142855)</f>
        <v>0.4285714286</v>
      </c>
      <c r="W1063" s="4" t="str">
        <f>IFERROR(__xludf.DUMMYFUNCTION("""COMPUTED_VALUE"""),"null")</f>
        <v>null</v>
      </c>
      <c r="X1063" s="33">
        <f>IFERROR(__xludf.DUMMYFUNCTION("""COMPUTED_VALUE"""),0.5714285714285714)</f>
        <v>0.5714285714</v>
      </c>
    </row>
    <row r="1064">
      <c r="K1064" s="4" t="str">
        <f>IFERROR(__xludf.DUMMYFUNCTION("""COMPUTED_VALUE"""),"CANTINHO DO PASTEL")</f>
        <v>CANTINHO DO PASTEL</v>
      </c>
      <c r="L1064" s="32">
        <f>IFERROR(__xludf.DUMMYFUNCTION("""COMPUTED_VALUE"""),7.0)</f>
        <v>7</v>
      </c>
      <c r="M1064" s="4" t="str">
        <f>IFERROR(__xludf.DUMMYFUNCTION("""COMPUTED_VALUE"""),"Saipos Serviços De Software")</f>
        <v>Saipos Serviços De Software</v>
      </c>
      <c r="N1064" s="33">
        <f>IFERROR(__xludf.DUMMYFUNCTION("""COMPUTED_VALUE"""),0.2857142857142857)</f>
        <v>0.2857142857</v>
      </c>
      <c r="O1064" s="4" t="str">
        <f>IFERROR(__xludf.DUMMYFUNCTION("""COMPUTED_VALUE"""),"Saipos Serviços De Software")</f>
        <v>Saipos Serviços De Software</v>
      </c>
      <c r="P1064" s="33">
        <f>IFERROR(__xludf.DUMMYFUNCTION("""COMPUTED_VALUE"""),0.2857142857142857)</f>
        <v>0.2857142857</v>
      </c>
      <c r="Q1064" s="4" t="str">
        <f>IFERROR(__xludf.DUMMYFUNCTION("""COMPUTED_VALUE"""),"Saipos Serviços De Software")</f>
        <v>Saipos Serviços De Software</v>
      </c>
      <c r="R1064" s="33">
        <f>IFERROR(__xludf.DUMMYFUNCTION("""COMPUTED_VALUE"""),0.42857142857142855)</f>
        <v>0.4285714286</v>
      </c>
      <c r="S1064" s="4" t="str">
        <f>IFERROR(__xludf.DUMMYFUNCTION("""COMPUTED_VALUE"""),"Saipos Serviços De Software")</f>
        <v>Saipos Serviços De Software</v>
      </c>
      <c r="T1064" s="33">
        <f>IFERROR(__xludf.DUMMYFUNCTION("""COMPUTED_VALUE"""),0.2857142857142857)</f>
        <v>0.2857142857</v>
      </c>
      <c r="U1064" s="4" t="str">
        <f>IFERROR(__xludf.DUMMYFUNCTION("""COMPUTED_VALUE"""),"Saipos Serviços De Software")</f>
        <v>Saipos Serviços De Software</v>
      </c>
      <c r="V1064" s="33">
        <f>IFERROR(__xludf.DUMMYFUNCTION("""COMPUTED_VALUE"""),0.42857142857142855)</f>
        <v>0.4285714286</v>
      </c>
      <c r="W1064" s="4" t="str">
        <f>IFERROR(__xludf.DUMMYFUNCTION("""COMPUTED_VALUE"""),"Saipos Serviços De Software")</f>
        <v>Saipos Serviços De Software</v>
      </c>
      <c r="X1064" s="33">
        <f>IFERROR(__xludf.DUMMYFUNCTION("""COMPUTED_VALUE"""),0.42857142857142855)</f>
        <v>0.4285714286</v>
      </c>
    </row>
    <row r="1065">
      <c r="K1065" s="4" t="str">
        <f>IFERROR(__xludf.DUMMYFUNCTION("""COMPUTED_VALUE"""),"ACAI DA PRACA")</f>
        <v>ACAI DA PRACA</v>
      </c>
      <c r="L1065" s="32">
        <f>IFERROR(__xludf.DUMMYFUNCTION("""COMPUTED_VALUE"""),7.0)</f>
        <v>7</v>
      </c>
      <c r="M1065" s="4" t="str">
        <f>IFERROR(__xludf.DUMMYFUNCTION("""COMPUTED_VALUE"""),"Instadelivery")</f>
        <v>Instadelivery</v>
      </c>
      <c r="N1065" s="33">
        <f>IFERROR(__xludf.DUMMYFUNCTION("""COMPUTED_VALUE"""),0.2857142857142857)</f>
        <v>0.2857142857</v>
      </c>
      <c r="O1065" s="4" t="str">
        <f>IFERROR(__xludf.DUMMYFUNCTION("""COMPUTED_VALUE"""),"Cardápio Web")</f>
        <v>Cardápio Web</v>
      </c>
      <c r="P1065" s="33">
        <f>IFERROR(__xludf.DUMMYFUNCTION("""COMPUTED_VALUE"""),0.2857142857142857)</f>
        <v>0.2857142857</v>
      </c>
      <c r="Q1065" s="4" t="str">
        <f>IFERROR(__xludf.DUMMYFUNCTION("""COMPUTED_VALUE"""),"Saipos Serviços De Software")</f>
        <v>Saipos Serviços De Software</v>
      </c>
      <c r="R1065" s="33">
        <f>IFERROR(__xludf.DUMMYFUNCTION("""COMPUTED_VALUE"""),0.42857142857142855)</f>
        <v>0.4285714286</v>
      </c>
      <c r="S1065" s="4" t="str">
        <f>IFERROR(__xludf.DUMMYFUNCTION("""COMPUTED_VALUE"""),"Saipos Serviços De Software")</f>
        <v>Saipos Serviços De Software</v>
      </c>
      <c r="T1065" s="33">
        <f>IFERROR(__xludf.DUMMYFUNCTION("""COMPUTED_VALUE"""),0.42857142857142855)</f>
        <v>0.4285714286</v>
      </c>
      <c r="U1065" s="4" t="str">
        <f>IFERROR(__xludf.DUMMYFUNCTION("""COMPUTED_VALUE"""),"Saipos Serviços De Software")</f>
        <v>Saipos Serviços De Software</v>
      </c>
      <c r="V1065" s="33">
        <f>IFERROR(__xludf.DUMMYFUNCTION("""COMPUTED_VALUE"""),0.42857142857142855)</f>
        <v>0.4285714286</v>
      </c>
      <c r="W1065" s="4" t="str">
        <f>IFERROR(__xludf.DUMMYFUNCTION("""COMPUTED_VALUE"""),"Saipos Serviços De Software")</f>
        <v>Saipos Serviços De Software</v>
      </c>
      <c r="X1065" s="33">
        <f>IFERROR(__xludf.DUMMYFUNCTION("""COMPUTED_VALUE"""),0.42857142857142855)</f>
        <v>0.4285714286</v>
      </c>
    </row>
    <row r="1066">
      <c r="K1066" s="4" t="str">
        <f>IFERROR(__xludf.DUMMYFUNCTION("""COMPUTED_VALUE"""),"REI DO SALGADO")</f>
        <v>REI DO SALGADO</v>
      </c>
      <c r="L1066" s="32">
        <f>IFERROR(__xludf.DUMMYFUNCTION("""COMPUTED_VALUE"""),7.0)</f>
        <v>7</v>
      </c>
      <c r="M1066" s="4" t="str">
        <f>IFERROR(__xludf.DUMMYFUNCTION("""COMPUTED_VALUE"""),"Saipos Serviços De Software")</f>
        <v>Saipos Serviços De Software</v>
      </c>
      <c r="N1066" s="33">
        <f>IFERROR(__xludf.DUMMYFUNCTION("""COMPUTED_VALUE"""),0.42857142857142855)</f>
        <v>0.4285714286</v>
      </c>
      <c r="O1066" s="4" t="str">
        <f>IFERROR(__xludf.DUMMYFUNCTION("""COMPUTED_VALUE"""),"Saipos Serviços De Software")</f>
        <v>Saipos Serviços De Software</v>
      </c>
      <c r="P1066" s="33">
        <f>IFERROR(__xludf.DUMMYFUNCTION("""COMPUTED_VALUE"""),0.42857142857142855)</f>
        <v>0.4285714286</v>
      </c>
      <c r="Q1066" s="4" t="str">
        <f>IFERROR(__xludf.DUMMYFUNCTION("""COMPUTED_VALUE"""),"Saipos Serviços De Software")</f>
        <v>Saipos Serviços De Software</v>
      </c>
      <c r="R1066" s="33">
        <f>IFERROR(__xludf.DUMMYFUNCTION("""COMPUTED_VALUE"""),0.5714285714285714)</f>
        <v>0.5714285714</v>
      </c>
      <c r="S1066" s="4" t="str">
        <f>IFERROR(__xludf.DUMMYFUNCTION("""COMPUTED_VALUE"""),"Saipos Serviços De Software")</f>
        <v>Saipos Serviços De Software</v>
      </c>
      <c r="T1066" s="33">
        <f>IFERROR(__xludf.DUMMYFUNCTION("""COMPUTED_VALUE"""),0.5714285714285714)</f>
        <v>0.5714285714</v>
      </c>
      <c r="U1066" s="4" t="str">
        <f>IFERROR(__xludf.DUMMYFUNCTION("""COMPUTED_VALUE"""),"Saipos Serviços De Software")</f>
        <v>Saipos Serviços De Software</v>
      </c>
      <c r="V1066" s="33">
        <f>IFERROR(__xludf.DUMMYFUNCTION("""COMPUTED_VALUE"""),0.5714285714285714)</f>
        <v>0.5714285714</v>
      </c>
      <c r="W1066" s="4" t="str">
        <f>IFERROR(__xludf.DUMMYFUNCTION("""COMPUTED_VALUE"""),"Saipos Serviços De Software")</f>
        <v>Saipos Serviços De Software</v>
      </c>
      <c r="X1066" s="33">
        <f>IFERROR(__xludf.DUMMYFUNCTION("""COMPUTED_VALUE"""),0.5714285714285714)</f>
        <v>0.5714285714</v>
      </c>
    </row>
    <row r="1067">
      <c r="K1067" s="4" t="str">
        <f>IFERROR(__xludf.DUMMYFUNCTION("""COMPUTED_VALUE"""),"BLACK PIZZA")</f>
        <v>BLACK PIZZA</v>
      </c>
      <c r="L1067" s="32">
        <f>IFERROR(__xludf.DUMMYFUNCTION("""COMPUTED_VALUE"""),7.0)</f>
        <v>7</v>
      </c>
      <c r="M1067" s="4" t="str">
        <f>IFERROR(__xludf.DUMMYFUNCTION("""COMPUTED_VALUE"""),"Cardápio Web")</f>
        <v>Cardápio Web</v>
      </c>
      <c r="N1067" s="33">
        <f>IFERROR(__xludf.DUMMYFUNCTION("""COMPUTED_VALUE"""),0.42857142857142855)</f>
        <v>0.4285714286</v>
      </c>
      <c r="O1067" s="4" t="str">
        <f>IFERROR(__xludf.DUMMYFUNCTION("""COMPUTED_VALUE"""),"Cardápio Web")</f>
        <v>Cardápio Web</v>
      </c>
      <c r="P1067" s="33">
        <f>IFERROR(__xludf.DUMMYFUNCTION("""COMPUTED_VALUE"""),0.42857142857142855)</f>
        <v>0.4285714286</v>
      </c>
      <c r="Q1067" s="4" t="str">
        <f>IFERROR(__xludf.DUMMYFUNCTION("""COMPUTED_VALUE"""),"Cardápio Web")</f>
        <v>Cardápio Web</v>
      </c>
      <c r="R1067" s="33">
        <f>IFERROR(__xludf.DUMMYFUNCTION("""COMPUTED_VALUE"""),0.42857142857142855)</f>
        <v>0.4285714286</v>
      </c>
      <c r="S1067" s="4" t="str">
        <f>IFERROR(__xludf.DUMMYFUNCTION("""COMPUTED_VALUE"""),"Cardápio Web")</f>
        <v>Cardápio Web</v>
      </c>
      <c r="T1067" s="33">
        <f>IFERROR(__xludf.DUMMYFUNCTION("""COMPUTED_VALUE"""),0.8571428571428571)</f>
        <v>0.8571428571</v>
      </c>
      <c r="U1067" s="4" t="str">
        <f>IFERROR(__xludf.DUMMYFUNCTION("""COMPUTED_VALUE"""),"Cardápio Web")</f>
        <v>Cardápio Web</v>
      </c>
      <c r="V1067" s="33">
        <f>IFERROR(__xludf.DUMMYFUNCTION("""COMPUTED_VALUE"""),0.8571428571428571)</f>
        <v>0.8571428571</v>
      </c>
      <c r="W1067" s="4" t="str">
        <f>IFERROR(__xludf.DUMMYFUNCTION("""COMPUTED_VALUE"""),"Cardápio Web")</f>
        <v>Cardápio Web</v>
      </c>
      <c r="X1067" s="33">
        <f>IFERROR(__xludf.DUMMYFUNCTION("""COMPUTED_VALUE"""),0.8571428571428571)</f>
        <v>0.8571428571</v>
      </c>
    </row>
    <row r="1068">
      <c r="K1068" s="4" t="str">
        <f>IFERROR(__xludf.DUMMYFUNCTION("""COMPUTED_VALUE"""),"PREMIUM ACAI")</f>
        <v>PREMIUM ACAI</v>
      </c>
      <c r="L1068" s="32">
        <f>IFERROR(__xludf.DUMMYFUNCTION("""COMPUTED_VALUE"""),7.0)</f>
        <v>7</v>
      </c>
      <c r="M1068" s="4" t="str">
        <f>IFERROR(__xludf.DUMMYFUNCTION("""COMPUTED_VALUE"""),"Saipos Serviços De Software")</f>
        <v>Saipos Serviços De Software</v>
      </c>
      <c r="N1068" s="33">
        <f>IFERROR(__xludf.DUMMYFUNCTION("""COMPUTED_VALUE"""),0.5714285714285714)</f>
        <v>0.5714285714</v>
      </c>
      <c r="O1068" s="4" t="str">
        <f>IFERROR(__xludf.DUMMYFUNCTION("""COMPUTED_VALUE"""),"Saipos Serviços De Software")</f>
        <v>Saipos Serviços De Software</v>
      </c>
      <c r="P1068" s="33">
        <f>IFERROR(__xludf.DUMMYFUNCTION("""COMPUTED_VALUE"""),0.5714285714285714)</f>
        <v>0.5714285714</v>
      </c>
      <c r="Q1068" s="4" t="str">
        <f>IFERROR(__xludf.DUMMYFUNCTION("""COMPUTED_VALUE"""),"Saipos Serviços De Software")</f>
        <v>Saipos Serviços De Software</v>
      </c>
      <c r="R1068" s="33">
        <f>IFERROR(__xludf.DUMMYFUNCTION("""COMPUTED_VALUE"""),0.42857142857142855)</f>
        <v>0.4285714286</v>
      </c>
      <c r="S1068" s="4" t="str">
        <f>IFERROR(__xludf.DUMMYFUNCTION("""COMPUTED_VALUE"""),"Saipos Serviços De Software")</f>
        <v>Saipos Serviços De Software</v>
      </c>
      <c r="T1068" s="33">
        <f>IFERROR(__xludf.DUMMYFUNCTION("""COMPUTED_VALUE"""),0.42857142857142855)</f>
        <v>0.4285714286</v>
      </c>
      <c r="U1068" s="4" t="str">
        <f>IFERROR(__xludf.DUMMYFUNCTION("""COMPUTED_VALUE"""),"Saipos Serviços De Software")</f>
        <v>Saipos Serviços De Software</v>
      </c>
      <c r="V1068" s="33">
        <f>IFERROR(__xludf.DUMMYFUNCTION("""COMPUTED_VALUE"""),0.42857142857142855)</f>
        <v>0.4285714286</v>
      </c>
      <c r="W1068" s="4" t="str">
        <f>IFERROR(__xludf.DUMMYFUNCTION("""COMPUTED_VALUE"""),"Saipos Serviços De Software")</f>
        <v>Saipos Serviços De Software</v>
      </c>
      <c r="X1068" s="33">
        <f>IFERROR(__xludf.DUMMYFUNCTION("""COMPUTED_VALUE"""),0.42857142857142855)</f>
        <v>0.4285714286</v>
      </c>
    </row>
    <row r="1069">
      <c r="K1069" s="4" t="str">
        <f>IFERROR(__xludf.DUMMYFUNCTION("""COMPUTED_VALUE"""),"MASTER PIZZA")</f>
        <v>MASTER PIZZA</v>
      </c>
      <c r="L1069" s="32">
        <f>IFERROR(__xludf.DUMMYFUNCTION("""COMPUTED_VALUE"""),7.0)</f>
        <v>7</v>
      </c>
      <c r="M1069" s="4" t="str">
        <f>IFERROR(__xludf.DUMMYFUNCTION("""COMPUTED_VALUE"""),"null")</f>
        <v>null</v>
      </c>
      <c r="N1069" s="33">
        <f>IFERROR(__xludf.DUMMYFUNCTION("""COMPUTED_VALUE"""),0.2857142857142857)</f>
        <v>0.2857142857</v>
      </c>
      <c r="O1069" s="4" t="str">
        <f>IFERROR(__xludf.DUMMYFUNCTION("""COMPUTED_VALUE"""),"null")</f>
        <v>null</v>
      </c>
      <c r="P1069" s="33">
        <f>IFERROR(__xludf.DUMMYFUNCTION("""COMPUTED_VALUE"""),0.2857142857142857)</f>
        <v>0.2857142857</v>
      </c>
      <c r="Q1069" s="4" t="str">
        <f>IFERROR(__xludf.DUMMYFUNCTION("""COMPUTED_VALUE"""),"null")</f>
        <v>null</v>
      </c>
      <c r="R1069" s="33">
        <f>IFERROR(__xludf.DUMMYFUNCTION("""COMPUTED_VALUE"""),0.2857142857142857)</f>
        <v>0.2857142857</v>
      </c>
      <c r="S1069" s="4" t="str">
        <f>IFERROR(__xludf.DUMMYFUNCTION("""COMPUTED_VALUE"""),"Schneider Software")</f>
        <v>Schneider Software</v>
      </c>
      <c r="T1069" s="33">
        <f>IFERROR(__xludf.DUMMYFUNCTION("""COMPUTED_VALUE"""),0.14285714285714285)</f>
        <v>0.1428571429</v>
      </c>
      <c r="U1069" s="4" t="str">
        <f>IFERROR(__xludf.DUMMYFUNCTION("""COMPUTED_VALUE"""),"Schneider Software")</f>
        <v>Schneider Software</v>
      </c>
      <c r="V1069" s="33">
        <f>IFERROR(__xludf.DUMMYFUNCTION("""COMPUTED_VALUE"""),0.14285714285714285)</f>
        <v>0.1428571429</v>
      </c>
      <c r="W1069" s="4" t="str">
        <f>IFERROR(__xludf.DUMMYFUNCTION("""COMPUTED_VALUE"""),"null")</f>
        <v>null</v>
      </c>
      <c r="X1069" s="33">
        <f>IFERROR(__xludf.DUMMYFUNCTION("""COMPUTED_VALUE"""),0.2857142857142857)</f>
        <v>0.2857142857</v>
      </c>
    </row>
    <row r="1070">
      <c r="K1070" s="4" t="str">
        <f>IFERROR(__xludf.DUMMYFUNCTION("""COMPUTED_VALUE"""),"PIZZARIA VENEZA")</f>
        <v>PIZZARIA VENEZA</v>
      </c>
      <c r="L1070" s="32">
        <f>IFERROR(__xludf.DUMMYFUNCTION("""COMPUTED_VALUE"""),7.0)</f>
        <v>7</v>
      </c>
      <c r="M1070" s="4" t="str">
        <f>IFERROR(__xludf.DUMMYFUNCTION("""COMPUTED_VALUE"""),"Cardápio Web")</f>
        <v>Cardápio Web</v>
      </c>
      <c r="N1070" s="33">
        <f>IFERROR(__xludf.DUMMYFUNCTION("""COMPUTED_VALUE"""),0.42857142857142855)</f>
        <v>0.4285714286</v>
      </c>
      <c r="O1070" s="4" t="str">
        <f>IFERROR(__xludf.DUMMYFUNCTION("""COMPUTED_VALUE"""),"Cardápio Web")</f>
        <v>Cardápio Web</v>
      </c>
      <c r="P1070" s="33">
        <f>IFERROR(__xludf.DUMMYFUNCTION("""COMPUTED_VALUE"""),0.42857142857142855)</f>
        <v>0.4285714286</v>
      </c>
      <c r="Q1070" s="4" t="str">
        <f>IFERROR(__xludf.DUMMYFUNCTION("""COMPUTED_VALUE"""),"Cardápio Web")</f>
        <v>Cardápio Web</v>
      </c>
      <c r="R1070" s="33">
        <f>IFERROR(__xludf.DUMMYFUNCTION("""COMPUTED_VALUE"""),0.42857142857142855)</f>
        <v>0.4285714286</v>
      </c>
      <c r="S1070" s="4" t="str">
        <f>IFERROR(__xludf.DUMMYFUNCTION("""COMPUTED_VALUE"""),"Cardápio Web")</f>
        <v>Cardápio Web</v>
      </c>
      <c r="T1070" s="33">
        <f>IFERROR(__xludf.DUMMYFUNCTION("""COMPUTED_VALUE"""),0.2857142857142857)</f>
        <v>0.2857142857</v>
      </c>
      <c r="U1070" s="4" t="str">
        <f>IFERROR(__xludf.DUMMYFUNCTION("""COMPUTED_VALUE"""),"Cardápio Web")</f>
        <v>Cardápio Web</v>
      </c>
      <c r="V1070" s="33">
        <f>IFERROR(__xludf.DUMMYFUNCTION("""COMPUTED_VALUE"""),0.2857142857142857)</f>
        <v>0.2857142857</v>
      </c>
      <c r="W1070" s="4" t="str">
        <f>IFERROR(__xludf.DUMMYFUNCTION("""COMPUTED_VALUE"""),"Cardápio Web")</f>
        <v>Cardápio Web</v>
      </c>
      <c r="X1070" s="33">
        <f>IFERROR(__xludf.DUMMYFUNCTION("""COMPUTED_VALUE"""),0.2857142857142857)</f>
        <v>0.2857142857</v>
      </c>
    </row>
    <row r="1071">
      <c r="K1071" s="4" t="str">
        <f>IFERROR(__xludf.DUMMYFUNCTION("""COMPUTED_VALUE"""),"FORNEIRO PIZZARIA")</f>
        <v>FORNEIRO PIZZARIA</v>
      </c>
      <c r="L1071" s="32">
        <f>IFERROR(__xludf.DUMMYFUNCTION("""COMPUTED_VALUE"""),7.0)</f>
        <v>7</v>
      </c>
      <c r="M1071" s="4" t="str">
        <f>IFERROR(__xludf.DUMMYFUNCTION("""COMPUTED_VALUE"""),"Freedom Tecnologia Ltda")</f>
        <v>Freedom Tecnologia Ltda</v>
      </c>
      <c r="N1071" s="33">
        <f>IFERROR(__xludf.DUMMYFUNCTION("""COMPUTED_VALUE"""),0.8571428571428571)</f>
        <v>0.8571428571</v>
      </c>
      <c r="O1071" s="4" t="str">
        <f>IFERROR(__xludf.DUMMYFUNCTION("""COMPUTED_VALUE"""),"Freedom Tecnologia Ltda")</f>
        <v>Freedom Tecnologia Ltda</v>
      </c>
      <c r="P1071" s="33">
        <f>IFERROR(__xludf.DUMMYFUNCTION("""COMPUTED_VALUE"""),0.7142857142857143)</f>
        <v>0.7142857143</v>
      </c>
      <c r="Q1071" s="4" t="str">
        <f>IFERROR(__xludf.DUMMYFUNCTION("""COMPUTED_VALUE"""),"Freedom Tecnologia Ltda")</f>
        <v>Freedom Tecnologia Ltda</v>
      </c>
      <c r="R1071" s="33">
        <f>IFERROR(__xludf.DUMMYFUNCTION("""COMPUTED_VALUE"""),0.8571428571428571)</f>
        <v>0.8571428571</v>
      </c>
      <c r="S1071" s="4" t="str">
        <f>IFERROR(__xludf.DUMMYFUNCTION("""COMPUTED_VALUE"""),"Freedom Tecnologia Ltda")</f>
        <v>Freedom Tecnologia Ltda</v>
      </c>
      <c r="T1071" s="33">
        <f>IFERROR(__xludf.DUMMYFUNCTION("""COMPUTED_VALUE"""),0.7142857142857143)</f>
        <v>0.7142857143</v>
      </c>
      <c r="U1071" s="4" t="str">
        <f>IFERROR(__xludf.DUMMYFUNCTION("""COMPUTED_VALUE"""),"Freedom Tecnologia Ltda")</f>
        <v>Freedom Tecnologia Ltda</v>
      </c>
      <c r="V1071" s="33">
        <f>IFERROR(__xludf.DUMMYFUNCTION("""COMPUTED_VALUE"""),0.8571428571428571)</f>
        <v>0.8571428571</v>
      </c>
      <c r="W1071" s="4" t="str">
        <f>IFERROR(__xludf.DUMMYFUNCTION("""COMPUTED_VALUE"""),"Freedom Tecnologia Ltda")</f>
        <v>Freedom Tecnologia Ltda</v>
      </c>
      <c r="X1071" s="33">
        <f>IFERROR(__xludf.DUMMYFUNCTION("""COMPUTED_VALUE"""),0.8571428571428571)</f>
        <v>0.8571428571</v>
      </c>
    </row>
    <row r="1072">
      <c r="K1072" s="4" t="str">
        <f>IFERROR(__xludf.DUMMYFUNCTION("""COMPUTED_VALUE"""),"NA BRASA BURGER")</f>
        <v>NA BRASA BURGER</v>
      </c>
      <c r="L1072" s="32">
        <f>IFERROR(__xludf.DUMMYFUNCTION("""COMPUTED_VALUE"""),7.0)</f>
        <v>7</v>
      </c>
      <c r="M1072" s="4" t="str">
        <f>IFERROR(__xludf.DUMMYFUNCTION("""COMPUTED_VALUE"""),"Saipos Serviços De Software")</f>
        <v>Saipos Serviços De Software</v>
      </c>
      <c r="N1072" s="33">
        <f>IFERROR(__xludf.DUMMYFUNCTION("""COMPUTED_VALUE"""),0.42857142857142855)</f>
        <v>0.4285714286</v>
      </c>
      <c r="O1072" s="4" t="str">
        <f>IFERROR(__xludf.DUMMYFUNCTION("""COMPUTED_VALUE"""),"Saipos Serviços De Software")</f>
        <v>Saipos Serviços De Software</v>
      </c>
      <c r="P1072" s="33">
        <f>IFERROR(__xludf.DUMMYFUNCTION("""COMPUTED_VALUE"""),0.42857142857142855)</f>
        <v>0.4285714286</v>
      </c>
      <c r="Q1072" s="4" t="str">
        <f>IFERROR(__xludf.DUMMYFUNCTION("""COMPUTED_VALUE"""),"Saipos Serviços De Software")</f>
        <v>Saipos Serviços De Software</v>
      </c>
      <c r="R1072" s="33">
        <f>IFERROR(__xludf.DUMMYFUNCTION("""COMPUTED_VALUE"""),0.42857142857142855)</f>
        <v>0.4285714286</v>
      </c>
      <c r="S1072" s="4" t="str">
        <f>IFERROR(__xludf.DUMMYFUNCTION("""COMPUTED_VALUE"""),"Saipos Serviços De Software")</f>
        <v>Saipos Serviços De Software</v>
      </c>
      <c r="T1072" s="33">
        <f>IFERROR(__xludf.DUMMYFUNCTION("""COMPUTED_VALUE"""),0.42857142857142855)</f>
        <v>0.4285714286</v>
      </c>
      <c r="U1072" s="4" t="str">
        <f>IFERROR(__xludf.DUMMYFUNCTION("""COMPUTED_VALUE"""),"Saipos Serviços De Software")</f>
        <v>Saipos Serviços De Software</v>
      </c>
      <c r="V1072" s="33">
        <f>IFERROR(__xludf.DUMMYFUNCTION("""COMPUTED_VALUE"""),0.42857142857142855)</f>
        <v>0.4285714286</v>
      </c>
      <c r="W1072" s="4" t="str">
        <f>IFERROR(__xludf.DUMMYFUNCTION("""COMPUTED_VALUE"""),"Saipos Serviços De Software")</f>
        <v>Saipos Serviços De Software</v>
      </c>
      <c r="X1072" s="33">
        <f>IFERROR(__xludf.DUMMYFUNCTION("""COMPUTED_VALUE"""),0.42857142857142855)</f>
        <v>0.4285714286</v>
      </c>
    </row>
    <row r="1073">
      <c r="K1073" s="4" t="str">
        <f>IFERROR(__xludf.DUMMYFUNCTION("""COMPUTED_VALUE"""),"A PIZZA")</f>
        <v>A PIZZA</v>
      </c>
      <c r="L1073" s="32">
        <f>IFERROR(__xludf.DUMMYFUNCTION("""COMPUTED_VALUE"""),7.0)</f>
        <v>7</v>
      </c>
      <c r="M1073" s="4" t="str">
        <f>IFERROR(__xludf.DUMMYFUNCTION("""COMPUTED_VALUE"""),"Vuca Solution")</f>
        <v>Vuca Solution</v>
      </c>
      <c r="N1073" s="33">
        <f>IFERROR(__xludf.DUMMYFUNCTION("""COMPUTED_VALUE"""),0.5714285714285714)</f>
        <v>0.5714285714</v>
      </c>
      <c r="O1073" s="4" t="str">
        <f>IFERROR(__xludf.DUMMYFUNCTION("""COMPUTED_VALUE"""),"Vuca Solution")</f>
        <v>Vuca Solution</v>
      </c>
      <c r="P1073" s="33">
        <f>IFERROR(__xludf.DUMMYFUNCTION("""COMPUTED_VALUE"""),0.5714285714285714)</f>
        <v>0.5714285714</v>
      </c>
      <c r="Q1073" s="4" t="str">
        <f>IFERROR(__xludf.DUMMYFUNCTION("""COMPUTED_VALUE"""),"Vuca Solution")</f>
        <v>Vuca Solution</v>
      </c>
      <c r="R1073" s="33">
        <f>IFERROR(__xludf.DUMMYFUNCTION("""COMPUTED_VALUE"""),0.5714285714285714)</f>
        <v>0.5714285714</v>
      </c>
      <c r="S1073" s="4" t="str">
        <f>IFERROR(__xludf.DUMMYFUNCTION("""COMPUTED_VALUE"""),"Vuca Solution")</f>
        <v>Vuca Solution</v>
      </c>
      <c r="T1073" s="33">
        <f>IFERROR(__xludf.DUMMYFUNCTION("""COMPUTED_VALUE"""),0.5714285714285714)</f>
        <v>0.5714285714</v>
      </c>
      <c r="U1073" s="4" t="str">
        <f>IFERROR(__xludf.DUMMYFUNCTION("""COMPUTED_VALUE"""),"Vuca Solution")</f>
        <v>Vuca Solution</v>
      </c>
      <c r="V1073" s="33">
        <f>IFERROR(__xludf.DUMMYFUNCTION("""COMPUTED_VALUE"""),0.5714285714285714)</f>
        <v>0.5714285714</v>
      </c>
      <c r="W1073" s="4" t="str">
        <f>IFERROR(__xludf.DUMMYFUNCTION("""COMPUTED_VALUE"""),"Vuca Solution")</f>
        <v>Vuca Solution</v>
      </c>
      <c r="X1073" s="33">
        <f>IFERROR(__xludf.DUMMYFUNCTION("""COMPUTED_VALUE"""),0.5714285714285714)</f>
        <v>0.5714285714</v>
      </c>
    </row>
    <row r="1074">
      <c r="K1074" s="4" t="str">
        <f>IFERROR(__xludf.DUMMYFUNCTION("""COMPUTED_VALUE"""),"SUSHI IN KASA")</f>
        <v>SUSHI IN KASA</v>
      </c>
      <c r="L1074" s="32">
        <f>IFERROR(__xludf.DUMMYFUNCTION("""COMPUTED_VALUE"""),7.0)</f>
        <v>7</v>
      </c>
      <c r="M1074" s="4" t="str">
        <f>IFERROR(__xludf.DUMMYFUNCTION("""COMPUTED_VALUE"""),"Prefiro Delivery")</f>
        <v>Prefiro Delivery</v>
      </c>
      <c r="N1074" s="33">
        <f>IFERROR(__xludf.DUMMYFUNCTION("""COMPUTED_VALUE"""),0.7142857142857143)</f>
        <v>0.7142857143</v>
      </c>
      <c r="O1074" s="4" t="str">
        <f>IFERROR(__xludf.DUMMYFUNCTION("""COMPUTED_VALUE"""),"Prefiro Delivery")</f>
        <v>Prefiro Delivery</v>
      </c>
      <c r="P1074" s="33">
        <f>IFERROR(__xludf.DUMMYFUNCTION("""COMPUTED_VALUE"""),0.7142857142857143)</f>
        <v>0.7142857143</v>
      </c>
      <c r="Q1074" s="4" t="str">
        <f>IFERROR(__xludf.DUMMYFUNCTION("""COMPUTED_VALUE"""),"Prefiro Delivery")</f>
        <v>Prefiro Delivery</v>
      </c>
      <c r="R1074" s="33">
        <f>IFERROR(__xludf.DUMMYFUNCTION("""COMPUTED_VALUE"""),0.7142857142857143)</f>
        <v>0.7142857143</v>
      </c>
      <c r="S1074" s="4" t="str">
        <f>IFERROR(__xludf.DUMMYFUNCTION("""COMPUTED_VALUE"""),"Prefiro Delivery")</f>
        <v>Prefiro Delivery</v>
      </c>
      <c r="T1074" s="33">
        <f>IFERROR(__xludf.DUMMYFUNCTION("""COMPUTED_VALUE"""),0.5714285714285714)</f>
        <v>0.5714285714</v>
      </c>
      <c r="U1074" s="4" t="str">
        <f>IFERROR(__xludf.DUMMYFUNCTION("""COMPUTED_VALUE"""),"Prefiro Delivery")</f>
        <v>Prefiro Delivery</v>
      </c>
      <c r="V1074" s="33">
        <f>IFERROR(__xludf.DUMMYFUNCTION("""COMPUTED_VALUE"""),0.5714285714285714)</f>
        <v>0.5714285714</v>
      </c>
      <c r="W1074" s="4" t="str">
        <f>IFERROR(__xludf.DUMMYFUNCTION("""COMPUTED_VALUE"""),"Prefiro Delivery")</f>
        <v>Prefiro Delivery</v>
      </c>
      <c r="X1074" s="33">
        <f>IFERROR(__xludf.DUMMYFUNCTION("""COMPUTED_VALUE"""),0.5714285714285714)</f>
        <v>0.5714285714</v>
      </c>
    </row>
    <row r="1075">
      <c r="K1075" s="4" t="str">
        <f>IFERROR(__xludf.DUMMYFUNCTION("""COMPUTED_VALUE"""),"TROPICAL SUSHI")</f>
        <v>TROPICAL SUSHI</v>
      </c>
      <c r="L1075" s="32">
        <f>IFERROR(__xludf.DUMMYFUNCTION("""COMPUTED_VALUE"""),7.0)</f>
        <v>7</v>
      </c>
      <c r="M1075" s="4" t="str">
        <f>IFERROR(__xludf.DUMMYFUNCTION("""COMPUTED_VALUE"""),"Saipos Serviços De Software")</f>
        <v>Saipos Serviços De Software</v>
      </c>
      <c r="N1075" s="33">
        <f>IFERROR(__xludf.DUMMYFUNCTION("""COMPUTED_VALUE"""),0.8571428571428571)</f>
        <v>0.8571428571</v>
      </c>
      <c r="O1075" s="4" t="str">
        <f>IFERROR(__xludf.DUMMYFUNCTION("""COMPUTED_VALUE"""),"Saipos Serviços De Software")</f>
        <v>Saipos Serviços De Software</v>
      </c>
      <c r="P1075" s="33">
        <f>IFERROR(__xludf.DUMMYFUNCTION("""COMPUTED_VALUE"""),0.8571428571428571)</f>
        <v>0.8571428571</v>
      </c>
      <c r="Q1075" s="4" t="str">
        <f>IFERROR(__xludf.DUMMYFUNCTION("""COMPUTED_VALUE"""),"Saipos Serviços De Software")</f>
        <v>Saipos Serviços De Software</v>
      </c>
      <c r="R1075" s="33">
        <f>IFERROR(__xludf.DUMMYFUNCTION("""COMPUTED_VALUE"""),0.8571428571428571)</f>
        <v>0.8571428571</v>
      </c>
      <c r="S1075" s="4" t="str">
        <f>IFERROR(__xludf.DUMMYFUNCTION("""COMPUTED_VALUE"""),"Saipos Serviços De Software")</f>
        <v>Saipos Serviços De Software</v>
      </c>
      <c r="T1075" s="33">
        <f>IFERROR(__xludf.DUMMYFUNCTION("""COMPUTED_VALUE"""),0.8571428571428571)</f>
        <v>0.8571428571</v>
      </c>
      <c r="U1075" s="4" t="str">
        <f>IFERROR(__xludf.DUMMYFUNCTION("""COMPUTED_VALUE"""),"Saipos Serviços De Software")</f>
        <v>Saipos Serviços De Software</v>
      </c>
      <c r="V1075" s="33">
        <f>IFERROR(__xludf.DUMMYFUNCTION("""COMPUTED_VALUE"""),0.8571428571428571)</f>
        <v>0.8571428571</v>
      </c>
      <c r="W1075" s="4" t="str">
        <f>IFERROR(__xludf.DUMMYFUNCTION("""COMPUTED_VALUE"""),"Saipos Serviços De Software")</f>
        <v>Saipos Serviços De Software</v>
      </c>
      <c r="X1075" s="33">
        <f>IFERROR(__xludf.DUMMYFUNCTION("""COMPUTED_VALUE"""),0.5714285714285714)</f>
        <v>0.5714285714</v>
      </c>
    </row>
    <row r="1076">
      <c r="K1076" s="4" t="str">
        <f>IFERROR(__xludf.DUMMYFUNCTION("""COMPUTED_VALUE"""),"PARADA OBRIGATORIA")</f>
        <v>PARADA OBRIGATORIA</v>
      </c>
      <c r="L1076" s="32">
        <f>IFERROR(__xludf.DUMMYFUNCTION("""COMPUTED_VALUE"""),7.0)</f>
        <v>7</v>
      </c>
      <c r="M1076" s="4" t="str">
        <f>IFERROR(__xludf.DUMMYFUNCTION("""COMPUTED_VALUE"""),"Cervantes Tecnologia")</f>
        <v>Cervantes Tecnologia</v>
      </c>
      <c r="N1076" s="33">
        <f>IFERROR(__xludf.DUMMYFUNCTION("""COMPUTED_VALUE"""),0.2857142857142857)</f>
        <v>0.2857142857</v>
      </c>
      <c r="O1076" s="4" t="str">
        <f>IFERROR(__xludf.DUMMYFUNCTION("""COMPUTED_VALUE"""),"null")</f>
        <v>null</v>
      </c>
      <c r="P1076" s="33">
        <f>IFERROR(__xludf.DUMMYFUNCTION("""COMPUTED_VALUE"""),0.2857142857142857)</f>
        <v>0.2857142857</v>
      </c>
      <c r="Q1076" s="4" t="str">
        <f>IFERROR(__xludf.DUMMYFUNCTION("""COMPUTED_VALUE"""),"null")</f>
        <v>null</v>
      </c>
      <c r="R1076" s="33">
        <f>IFERROR(__xludf.DUMMYFUNCTION("""COMPUTED_VALUE"""),0.2857142857142857)</f>
        <v>0.2857142857</v>
      </c>
      <c r="S1076" s="4" t="str">
        <f>IFERROR(__xludf.DUMMYFUNCTION("""COMPUTED_VALUE"""),"null")</f>
        <v>null</v>
      </c>
      <c r="T1076" s="33">
        <f>IFERROR(__xludf.DUMMYFUNCTION("""COMPUTED_VALUE"""),0.42857142857142855)</f>
        <v>0.4285714286</v>
      </c>
      <c r="U1076" s="4" t="str">
        <f>IFERROR(__xludf.DUMMYFUNCTION("""COMPUTED_VALUE"""),"null")</f>
        <v>null</v>
      </c>
      <c r="V1076" s="33">
        <f>IFERROR(__xludf.DUMMYFUNCTION("""COMPUTED_VALUE"""),0.42857142857142855)</f>
        <v>0.4285714286</v>
      </c>
      <c r="W1076" s="4" t="str">
        <f>IFERROR(__xludf.DUMMYFUNCTION("""COMPUTED_VALUE"""),"null")</f>
        <v>null</v>
      </c>
      <c r="X1076" s="33">
        <f>IFERROR(__xludf.DUMMYFUNCTION("""COMPUTED_VALUE"""),0.5714285714285714)</f>
        <v>0.5714285714</v>
      </c>
    </row>
    <row r="1077">
      <c r="K1077" s="4" t="str">
        <f>IFERROR(__xludf.DUMMYFUNCTION("""COMPUTED_VALUE"""),"ORIGINAL BURGUER")</f>
        <v>ORIGINAL BURGUER</v>
      </c>
      <c r="L1077" s="32">
        <f>IFERROR(__xludf.DUMMYFUNCTION("""COMPUTED_VALUE"""),7.0)</f>
        <v>7</v>
      </c>
      <c r="M1077" s="4" t="str">
        <f>IFERROR(__xludf.DUMMYFUNCTION("""COMPUTED_VALUE"""),"null")</f>
        <v>null</v>
      </c>
      <c r="N1077" s="33">
        <f>IFERROR(__xludf.DUMMYFUNCTION("""COMPUTED_VALUE"""),0.42857142857142855)</f>
        <v>0.4285714286</v>
      </c>
      <c r="O1077" s="4" t="str">
        <f>IFERROR(__xludf.DUMMYFUNCTION("""COMPUTED_VALUE"""),"Anota Ai Solucoes Digitais S/a")</f>
        <v>Anota Ai Solucoes Digitais S/a</v>
      </c>
      <c r="P1077" s="33">
        <f>IFERROR(__xludf.DUMMYFUNCTION("""COMPUTED_VALUE"""),0.2857142857142857)</f>
        <v>0.2857142857</v>
      </c>
      <c r="Q1077" s="4" t="str">
        <f>IFERROR(__xludf.DUMMYFUNCTION("""COMPUTED_VALUE"""),"null")</f>
        <v>null</v>
      </c>
      <c r="R1077" s="33">
        <f>IFERROR(__xludf.DUMMYFUNCTION("""COMPUTED_VALUE"""),0.42857142857142855)</f>
        <v>0.4285714286</v>
      </c>
      <c r="S1077" s="4" t="str">
        <f>IFERROR(__xludf.DUMMYFUNCTION("""COMPUTED_VALUE"""),"null")</f>
        <v>null</v>
      </c>
      <c r="T1077" s="33">
        <f>IFERROR(__xludf.DUMMYFUNCTION("""COMPUTED_VALUE"""),0.7142857142857143)</f>
        <v>0.7142857143</v>
      </c>
      <c r="U1077" s="4" t="str">
        <f>IFERROR(__xludf.DUMMYFUNCTION("""COMPUTED_VALUE"""),"Saipos Serviços De Software")</f>
        <v>Saipos Serviços De Software</v>
      </c>
      <c r="V1077" s="33">
        <f>IFERROR(__xludf.DUMMYFUNCTION("""COMPUTED_VALUE"""),0.42857142857142855)</f>
        <v>0.4285714286</v>
      </c>
      <c r="W1077" s="4" t="str">
        <f>IFERROR(__xludf.DUMMYFUNCTION("""COMPUTED_VALUE"""),"Saipos Serviços De Software")</f>
        <v>Saipos Serviços De Software</v>
      </c>
      <c r="X1077" s="33">
        <f>IFERROR(__xludf.DUMMYFUNCTION("""COMPUTED_VALUE"""),0.42857142857142855)</f>
        <v>0.4285714286</v>
      </c>
    </row>
    <row r="1078">
      <c r="K1078" s="4" t="str">
        <f>IFERROR(__xludf.DUMMYFUNCTION("""COMPUTED_VALUE"""),"SUPREMA PIZZARIA")</f>
        <v>SUPREMA PIZZARIA</v>
      </c>
      <c r="L1078" s="32">
        <f>IFERROR(__xludf.DUMMYFUNCTION("""COMPUTED_VALUE"""),7.0)</f>
        <v>7</v>
      </c>
      <c r="M1078" s="4" t="str">
        <f>IFERROR(__xludf.DUMMYFUNCTION("""COMPUTED_VALUE"""),"null")</f>
        <v>null</v>
      </c>
      <c r="N1078" s="33">
        <f>IFERROR(__xludf.DUMMYFUNCTION("""COMPUTED_VALUE"""),0.2857142857142857)</f>
        <v>0.2857142857</v>
      </c>
      <c r="O1078" s="4" t="str">
        <f>IFERROR(__xludf.DUMMYFUNCTION("""COMPUTED_VALUE"""),"Saipos Serviços De Software")</f>
        <v>Saipos Serviços De Software</v>
      </c>
      <c r="P1078" s="33">
        <f>IFERROR(__xludf.DUMMYFUNCTION("""COMPUTED_VALUE"""),0.42857142857142855)</f>
        <v>0.4285714286</v>
      </c>
      <c r="Q1078" s="4" t="str">
        <f>IFERROR(__xludf.DUMMYFUNCTION("""COMPUTED_VALUE"""),"Saipos Serviços De Software")</f>
        <v>Saipos Serviços De Software</v>
      </c>
      <c r="R1078" s="33">
        <f>IFERROR(__xludf.DUMMYFUNCTION("""COMPUTED_VALUE"""),0.42857142857142855)</f>
        <v>0.4285714286</v>
      </c>
      <c r="S1078" s="4" t="str">
        <f>IFERROR(__xludf.DUMMYFUNCTION("""COMPUTED_VALUE"""),"Saipos Serviços De Software")</f>
        <v>Saipos Serviços De Software</v>
      </c>
      <c r="T1078" s="33">
        <f>IFERROR(__xludf.DUMMYFUNCTION("""COMPUTED_VALUE"""),0.42857142857142855)</f>
        <v>0.4285714286</v>
      </c>
      <c r="U1078" s="4" t="str">
        <f>IFERROR(__xludf.DUMMYFUNCTION("""COMPUTED_VALUE"""),"Saipos Serviços De Software")</f>
        <v>Saipos Serviços De Software</v>
      </c>
      <c r="V1078" s="33">
        <f>IFERROR(__xludf.DUMMYFUNCTION("""COMPUTED_VALUE"""),0.42857142857142855)</f>
        <v>0.4285714286</v>
      </c>
      <c r="W1078" s="4" t="str">
        <f>IFERROR(__xludf.DUMMYFUNCTION("""COMPUTED_VALUE"""),"Saipos Serviços De Software")</f>
        <v>Saipos Serviços De Software</v>
      </c>
      <c r="X1078" s="33">
        <f>IFERROR(__xludf.DUMMYFUNCTION("""COMPUTED_VALUE"""),0.42857142857142855)</f>
        <v>0.4285714286</v>
      </c>
    </row>
    <row r="1079">
      <c r="K1079" s="4" t="str">
        <f>IFERROR(__xludf.DUMMYFUNCTION("""COMPUTED_VALUE"""),"SAGRADO BOULANGERIE")</f>
        <v>SAGRADO BOULANGERIE</v>
      </c>
      <c r="L1079" s="32">
        <f>IFERROR(__xludf.DUMMYFUNCTION("""COMPUTED_VALUE"""),7.0)</f>
        <v>7</v>
      </c>
      <c r="M1079" s="4" t="str">
        <f>IFERROR(__xludf.DUMMYFUNCTION("""COMPUTED_VALUE"""),"null")</f>
        <v>null</v>
      </c>
      <c r="N1079" s="33">
        <f>IFERROR(__xludf.DUMMYFUNCTION("""COMPUTED_VALUE"""),0.8571428571428571)</f>
        <v>0.8571428571</v>
      </c>
      <c r="O1079" s="4" t="str">
        <f>IFERROR(__xludf.DUMMYFUNCTION("""COMPUTED_VALUE"""),"null")</f>
        <v>null</v>
      </c>
      <c r="P1079" s="33">
        <f>IFERROR(__xludf.DUMMYFUNCTION("""COMPUTED_VALUE"""),0.8571428571428571)</f>
        <v>0.8571428571</v>
      </c>
      <c r="Q1079" s="4" t="str">
        <f>IFERROR(__xludf.DUMMYFUNCTION("""COMPUTED_VALUE"""),"null")</f>
        <v>null</v>
      </c>
      <c r="R1079" s="33">
        <f>IFERROR(__xludf.DUMMYFUNCTION("""COMPUTED_VALUE"""),0.7142857142857143)</f>
        <v>0.7142857143</v>
      </c>
      <c r="S1079" s="4" t="str">
        <f>IFERROR(__xludf.DUMMYFUNCTION("""COMPUTED_VALUE"""),"Saipos Serviços De Software")</f>
        <v>Saipos Serviços De Software</v>
      </c>
      <c r="T1079" s="33">
        <f>IFERROR(__xludf.DUMMYFUNCTION("""COMPUTED_VALUE"""),0.7142857142857143)</f>
        <v>0.7142857143</v>
      </c>
      <c r="U1079" s="4" t="str">
        <f>IFERROR(__xludf.DUMMYFUNCTION("""COMPUTED_VALUE"""),"Saipos Serviços De Software")</f>
        <v>Saipos Serviços De Software</v>
      </c>
      <c r="V1079" s="33">
        <f>IFERROR(__xludf.DUMMYFUNCTION("""COMPUTED_VALUE"""),0.5714285714285714)</f>
        <v>0.5714285714</v>
      </c>
      <c r="W1079" s="4" t="str">
        <f>IFERROR(__xludf.DUMMYFUNCTION("""COMPUTED_VALUE"""),"Saipos Serviços De Software")</f>
        <v>Saipos Serviços De Software</v>
      </c>
      <c r="X1079" s="33">
        <f>IFERROR(__xludf.DUMMYFUNCTION("""COMPUTED_VALUE"""),0.7142857142857143)</f>
        <v>0.7142857143</v>
      </c>
    </row>
    <row r="1080">
      <c r="K1080" s="4" t="str">
        <f>IFERROR(__xludf.DUMMYFUNCTION("""COMPUTED_VALUE"""),"PIMENTA DE CHEIRO")</f>
        <v>PIMENTA DE CHEIRO</v>
      </c>
      <c r="L1080" s="32">
        <f>IFERROR(__xludf.DUMMYFUNCTION("""COMPUTED_VALUE"""),7.0)</f>
        <v>7</v>
      </c>
      <c r="M1080" s="4" t="str">
        <f>IFERROR(__xludf.DUMMYFUNCTION("""COMPUTED_VALUE"""),"Parseint Desenvolvimento De Sistemas Ltda")</f>
        <v>Parseint Desenvolvimento De Sistemas Ltda</v>
      </c>
      <c r="N1080" s="33">
        <f>IFERROR(__xludf.DUMMYFUNCTION("""COMPUTED_VALUE"""),0.7142857142857143)</f>
        <v>0.7142857143</v>
      </c>
      <c r="O1080" s="4" t="str">
        <f>IFERROR(__xludf.DUMMYFUNCTION("""COMPUTED_VALUE"""),"Parseint Desenvolvimento De Sistemas Ltda")</f>
        <v>Parseint Desenvolvimento De Sistemas Ltda</v>
      </c>
      <c r="P1080" s="33">
        <f>IFERROR(__xludf.DUMMYFUNCTION("""COMPUTED_VALUE"""),0.5714285714285714)</f>
        <v>0.5714285714</v>
      </c>
      <c r="Q1080" s="4" t="str">
        <f>IFERROR(__xludf.DUMMYFUNCTION("""COMPUTED_VALUE"""),"Parseint Desenvolvimento De Sistemas Ltda")</f>
        <v>Parseint Desenvolvimento De Sistemas Ltda</v>
      </c>
      <c r="R1080" s="33">
        <f>IFERROR(__xludf.DUMMYFUNCTION("""COMPUTED_VALUE"""),0.5714285714285714)</f>
        <v>0.5714285714</v>
      </c>
      <c r="S1080" s="4" t="str">
        <f>IFERROR(__xludf.DUMMYFUNCTION("""COMPUTED_VALUE"""),"Parseint Desenvolvimento De Sistemas Ltda")</f>
        <v>Parseint Desenvolvimento De Sistemas Ltda</v>
      </c>
      <c r="T1080" s="33">
        <f>IFERROR(__xludf.DUMMYFUNCTION("""COMPUTED_VALUE"""),0.7142857142857143)</f>
        <v>0.7142857143</v>
      </c>
      <c r="U1080" s="4" t="str">
        <f>IFERROR(__xludf.DUMMYFUNCTION("""COMPUTED_VALUE"""),"Parseint Desenvolvimento De Sistemas Ltda")</f>
        <v>Parseint Desenvolvimento De Sistemas Ltda</v>
      </c>
      <c r="V1080" s="33">
        <f>IFERROR(__xludf.DUMMYFUNCTION("""COMPUTED_VALUE"""),0.5714285714285714)</f>
        <v>0.5714285714</v>
      </c>
      <c r="W1080" s="4" t="str">
        <f>IFERROR(__xludf.DUMMYFUNCTION("""COMPUTED_VALUE"""),"Parseint Desenvolvimento De Sistemas Ltda")</f>
        <v>Parseint Desenvolvimento De Sistemas Ltda</v>
      </c>
      <c r="X1080" s="33">
        <f>IFERROR(__xludf.DUMMYFUNCTION("""COMPUTED_VALUE"""),0.7142857142857143)</f>
        <v>0.7142857143</v>
      </c>
    </row>
    <row r="1081">
      <c r="K1081" s="4" t="str">
        <f>IFERROR(__xludf.DUMMYFUNCTION("""COMPUTED_VALUE"""),"BRUTUS BURGER")</f>
        <v>BRUTUS BURGER</v>
      </c>
      <c r="L1081" s="32">
        <f>IFERROR(__xludf.DUMMYFUNCTION("""COMPUTED_VALUE"""),7.0)</f>
        <v>7</v>
      </c>
      <c r="M1081" s="4" t="str">
        <f>IFERROR(__xludf.DUMMYFUNCTION("""COMPUTED_VALUE"""),"Menew - Linx")</f>
        <v>Menew - Linx</v>
      </c>
      <c r="N1081" s="33">
        <f>IFERROR(__xludf.DUMMYFUNCTION("""COMPUTED_VALUE"""),0.8571428571428571)</f>
        <v>0.8571428571</v>
      </c>
      <c r="O1081" s="4" t="str">
        <f>IFERROR(__xludf.DUMMYFUNCTION("""COMPUTED_VALUE"""),"Menew - Linx")</f>
        <v>Menew - Linx</v>
      </c>
      <c r="P1081" s="33">
        <f>IFERROR(__xludf.DUMMYFUNCTION("""COMPUTED_VALUE"""),0.8571428571428571)</f>
        <v>0.8571428571</v>
      </c>
      <c r="Q1081" s="4" t="str">
        <f>IFERROR(__xludf.DUMMYFUNCTION("""COMPUTED_VALUE"""),"Menew - Linx")</f>
        <v>Menew - Linx</v>
      </c>
      <c r="R1081" s="33">
        <f>IFERROR(__xludf.DUMMYFUNCTION("""COMPUTED_VALUE"""),0.8571428571428571)</f>
        <v>0.8571428571</v>
      </c>
      <c r="S1081" s="4" t="str">
        <f>IFERROR(__xludf.DUMMYFUNCTION("""COMPUTED_VALUE"""),"Menew - Linx")</f>
        <v>Menew - Linx</v>
      </c>
      <c r="T1081" s="33">
        <f>IFERROR(__xludf.DUMMYFUNCTION("""COMPUTED_VALUE"""),0.8571428571428571)</f>
        <v>0.8571428571</v>
      </c>
      <c r="U1081" s="4" t="str">
        <f>IFERROR(__xludf.DUMMYFUNCTION("""COMPUTED_VALUE"""),"Menew - Linx")</f>
        <v>Menew - Linx</v>
      </c>
      <c r="V1081" s="33">
        <f>IFERROR(__xludf.DUMMYFUNCTION("""COMPUTED_VALUE"""),0.8571428571428571)</f>
        <v>0.8571428571</v>
      </c>
      <c r="W1081" s="4" t="str">
        <f>IFERROR(__xludf.DUMMYFUNCTION("""COMPUTED_VALUE"""),"Menew - Linx")</f>
        <v>Menew - Linx</v>
      </c>
      <c r="X1081" s="33">
        <f>IFERROR(__xludf.DUMMYFUNCTION("""COMPUTED_VALUE"""),0.8571428571428571)</f>
        <v>0.8571428571</v>
      </c>
    </row>
    <row r="1082">
      <c r="K1082" s="4" t="str">
        <f>IFERROR(__xludf.DUMMYFUNCTION("""COMPUTED_VALUE"""),"101 COXINHA CONTA MARCA")</f>
        <v>101 COXINHA CONTA MARCA</v>
      </c>
      <c r="L1082" s="32">
        <f>IFERROR(__xludf.DUMMYFUNCTION("""COMPUTED_VALUE"""),7.0)</f>
        <v>7</v>
      </c>
      <c r="M1082" s="4" t="str">
        <f>IFERROR(__xludf.DUMMYFUNCTION("""COMPUTED_VALUE"""),"Anove Tecnologia")</f>
        <v>Anove Tecnologia</v>
      </c>
      <c r="N1082" s="33">
        <f>IFERROR(__xludf.DUMMYFUNCTION("""COMPUTED_VALUE"""),1.0)</f>
        <v>1</v>
      </c>
      <c r="O1082" s="4" t="str">
        <f>IFERROR(__xludf.DUMMYFUNCTION("""COMPUTED_VALUE"""),"Anove Tecnologia")</f>
        <v>Anove Tecnologia</v>
      </c>
      <c r="P1082" s="33">
        <f>IFERROR(__xludf.DUMMYFUNCTION("""COMPUTED_VALUE"""),0.7142857142857143)</f>
        <v>0.7142857143</v>
      </c>
      <c r="Q1082" s="4" t="str">
        <f>IFERROR(__xludf.DUMMYFUNCTION("""COMPUTED_VALUE"""),"Anove Tecnologia")</f>
        <v>Anove Tecnologia</v>
      </c>
      <c r="R1082" s="33">
        <f>IFERROR(__xludf.DUMMYFUNCTION("""COMPUTED_VALUE"""),0.5714285714285714)</f>
        <v>0.5714285714</v>
      </c>
      <c r="S1082" s="4" t="str">
        <f>IFERROR(__xludf.DUMMYFUNCTION("""COMPUTED_VALUE"""),"null")</f>
        <v>null</v>
      </c>
      <c r="T1082" s="33">
        <f>IFERROR(__xludf.DUMMYFUNCTION("""COMPUTED_VALUE"""),0.7142857142857143)</f>
        <v>0.7142857143</v>
      </c>
      <c r="U1082" s="4" t="str">
        <f>IFERROR(__xludf.DUMMYFUNCTION("""COMPUTED_VALUE"""),"null")</f>
        <v>null</v>
      </c>
      <c r="V1082" s="33">
        <f>IFERROR(__xludf.DUMMYFUNCTION("""COMPUTED_VALUE"""),0.8571428571428571)</f>
        <v>0.8571428571</v>
      </c>
      <c r="W1082" s="4" t="str">
        <f>IFERROR(__xludf.DUMMYFUNCTION("""COMPUTED_VALUE"""),"Anove Tecnologia")</f>
        <v>Anove Tecnologia</v>
      </c>
      <c r="X1082" s="33">
        <f>IFERROR(__xludf.DUMMYFUNCTION("""COMPUTED_VALUE"""),0.7142857142857143)</f>
        <v>0.7142857143</v>
      </c>
    </row>
    <row r="1083">
      <c r="K1083" s="4" t="str">
        <f>IFERROR(__xludf.DUMMYFUNCTION("""COMPUTED_VALUE"""),"14 BIS")</f>
        <v>14 BIS</v>
      </c>
      <c r="L1083" s="32">
        <f>IFERROR(__xludf.DUMMYFUNCTION("""COMPUTED_VALUE"""),7.0)</f>
        <v>7</v>
      </c>
      <c r="M1083" s="4" t="str">
        <f>IFERROR(__xludf.DUMMYFUNCTION("""COMPUTED_VALUE"""),"Saipos Serviços De Software")</f>
        <v>Saipos Serviços De Software</v>
      </c>
      <c r="N1083" s="33">
        <f>IFERROR(__xludf.DUMMYFUNCTION("""COMPUTED_VALUE"""),1.0)</f>
        <v>1</v>
      </c>
      <c r="O1083" s="4" t="str">
        <f>IFERROR(__xludf.DUMMYFUNCTION("""COMPUTED_VALUE"""),"Saipos Serviços De Software")</f>
        <v>Saipos Serviços De Software</v>
      </c>
      <c r="P1083" s="33">
        <f>IFERROR(__xludf.DUMMYFUNCTION("""COMPUTED_VALUE"""),1.0)</f>
        <v>1</v>
      </c>
      <c r="Q1083" s="4" t="str">
        <f>IFERROR(__xludf.DUMMYFUNCTION("""COMPUTED_VALUE"""),"Saipos Serviços De Software")</f>
        <v>Saipos Serviços De Software</v>
      </c>
      <c r="R1083" s="33">
        <f>IFERROR(__xludf.DUMMYFUNCTION("""COMPUTED_VALUE"""),1.0)</f>
        <v>1</v>
      </c>
      <c r="S1083" s="4" t="str">
        <f>IFERROR(__xludf.DUMMYFUNCTION("""COMPUTED_VALUE"""),"Saipos Serviços De Software")</f>
        <v>Saipos Serviços De Software</v>
      </c>
      <c r="T1083" s="33">
        <f>IFERROR(__xludf.DUMMYFUNCTION("""COMPUTED_VALUE"""),1.0)</f>
        <v>1</v>
      </c>
      <c r="U1083" s="4" t="str">
        <f>IFERROR(__xludf.DUMMYFUNCTION("""COMPUTED_VALUE"""),"Saipos Serviços De Software")</f>
        <v>Saipos Serviços De Software</v>
      </c>
      <c r="V1083" s="33">
        <f>IFERROR(__xludf.DUMMYFUNCTION("""COMPUTED_VALUE"""),1.0)</f>
        <v>1</v>
      </c>
      <c r="W1083" s="4" t="str">
        <f>IFERROR(__xludf.DUMMYFUNCTION("""COMPUTED_VALUE"""),"Saipos Serviços De Software")</f>
        <v>Saipos Serviços De Software</v>
      </c>
      <c r="X1083" s="33">
        <f>IFERROR(__xludf.DUMMYFUNCTION("""COMPUTED_VALUE"""),1.0)</f>
        <v>1</v>
      </c>
    </row>
    <row r="1084">
      <c r="K1084" s="4" t="str">
        <f>IFERROR(__xludf.DUMMYFUNCTION("""COMPUTED_VALUE"""),"389 BURGER")</f>
        <v>389 BURGER</v>
      </c>
      <c r="L1084" s="32">
        <f>IFERROR(__xludf.DUMMYFUNCTION("""COMPUTED_VALUE"""),7.0)</f>
        <v>7</v>
      </c>
      <c r="M1084" s="4" t="str">
        <f>IFERROR(__xludf.DUMMYFUNCTION("""COMPUTED_VALUE"""),"Saipos Serviços De Software")</f>
        <v>Saipos Serviços De Software</v>
      </c>
      <c r="N1084" s="33">
        <f>IFERROR(__xludf.DUMMYFUNCTION("""COMPUTED_VALUE"""),0.7142857142857143)</f>
        <v>0.7142857143</v>
      </c>
      <c r="O1084" s="4" t="str">
        <f>IFERROR(__xludf.DUMMYFUNCTION("""COMPUTED_VALUE"""),"Saipos Serviços De Software")</f>
        <v>Saipos Serviços De Software</v>
      </c>
      <c r="P1084" s="33">
        <f>IFERROR(__xludf.DUMMYFUNCTION("""COMPUTED_VALUE"""),0.8571428571428571)</f>
        <v>0.8571428571</v>
      </c>
      <c r="Q1084" s="4" t="str">
        <f>IFERROR(__xludf.DUMMYFUNCTION("""COMPUTED_VALUE"""),"Saipos Serviços De Software")</f>
        <v>Saipos Serviços De Software</v>
      </c>
      <c r="R1084" s="33">
        <f>IFERROR(__xludf.DUMMYFUNCTION("""COMPUTED_VALUE"""),0.8571428571428571)</f>
        <v>0.8571428571</v>
      </c>
      <c r="S1084" s="4" t="str">
        <f>IFERROR(__xludf.DUMMYFUNCTION("""COMPUTED_VALUE"""),"Saipos Serviços De Software")</f>
        <v>Saipos Serviços De Software</v>
      </c>
      <c r="T1084" s="33">
        <f>IFERROR(__xludf.DUMMYFUNCTION("""COMPUTED_VALUE"""),0.8571428571428571)</f>
        <v>0.8571428571</v>
      </c>
      <c r="U1084" s="4" t="str">
        <f>IFERROR(__xludf.DUMMYFUNCTION("""COMPUTED_VALUE"""),"Saipos Serviços De Software")</f>
        <v>Saipos Serviços De Software</v>
      </c>
      <c r="V1084" s="33">
        <f>IFERROR(__xludf.DUMMYFUNCTION("""COMPUTED_VALUE"""),0.7142857142857143)</f>
        <v>0.7142857143</v>
      </c>
      <c r="W1084" s="4" t="str">
        <f>IFERROR(__xludf.DUMMYFUNCTION("""COMPUTED_VALUE"""),"Saipos Serviços De Software")</f>
        <v>Saipos Serviços De Software</v>
      </c>
      <c r="X1084" s="33">
        <f>IFERROR(__xludf.DUMMYFUNCTION("""COMPUTED_VALUE"""),0.7142857142857143)</f>
        <v>0.7142857143</v>
      </c>
    </row>
    <row r="1085">
      <c r="K1085" s="4" t="str">
        <f>IFERROR(__xludf.DUMMYFUNCTION("""COMPUTED_VALUE"""),"A CASA DA SEVERINA RJ")</f>
        <v>A CASA DA SEVERINA RJ</v>
      </c>
      <c r="L1085" s="32">
        <f>IFERROR(__xludf.DUMMYFUNCTION("""COMPUTED_VALUE"""),7.0)</f>
        <v>7</v>
      </c>
      <c r="M1085" s="4" t="str">
        <f>IFERROR(__xludf.DUMMYFUNCTION("""COMPUTED_VALUE"""),"Takeat Tecnologia")</f>
        <v>Takeat Tecnologia</v>
      </c>
      <c r="N1085" s="33">
        <f>IFERROR(__xludf.DUMMYFUNCTION("""COMPUTED_VALUE"""),1.0)</f>
        <v>1</v>
      </c>
      <c r="O1085" s="4" t="str">
        <f>IFERROR(__xludf.DUMMYFUNCTION("""COMPUTED_VALUE"""),"Takeat Tecnologia")</f>
        <v>Takeat Tecnologia</v>
      </c>
      <c r="P1085" s="33">
        <f>IFERROR(__xludf.DUMMYFUNCTION("""COMPUTED_VALUE"""),0.8571428571428571)</f>
        <v>0.8571428571</v>
      </c>
      <c r="Q1085" s="4" t="str">
        <f>IFERROR(__xludf.DUMMYFUNCTION("""COMPUTED_VALUE"""),"Takeat Tecnologia")</f>
        <v>Takeat Tecnologia</v>
      </c>
      <c r="R1085" s="33">
        <f>IFERROR(__xludf.DUMMYFUNCTION("""COMPUTED_VALUE"""),0.8571428571428571)</f>
        <v>0.8571428571</v>
      </c>
      <c r="S1085" s="4" t="str">
        <f>IFERROR(__xludf.DUMMYFUNCTION("""COMPUTED_VALUE"""),"Takeat Tecnologia")</f>
        <v>Takeat Tecnologia</v>
      </c>
      <c r="T1085" s="33">
        <f>IFERROR(__xludf.DUMMYFUNCTION("""COMPUTED_VALUE"""),0.8571428571428571)</f>
        <v>0.8571428571</v>
      </c>
      <c r="U1085" s="4" t="str">
        <f>IFERROR(__xludf.DUMMYFUNCTION("""COMPUTED_VALUE"""),"Takeat Tecnologia")</f>
        <v>Takeat Tecnologia</v>
      </c>
      <c r="V1085" s="33">
        <f>IFERROR(__xludf.DUMMYFUNCTION("""COMPUTED_VALUE"""),1.0)</f>
        <v>1</v>
      </c>
      <c r="W1085" s="4" t="str">
        <f>IFERROR(__xludf.DUMMYFUNCTION("""COMPUTED_VALUE"""),"Takeat Tecnologia")</f>
        <v>Takeat Tecnologia</v>
      </c>
      <c r="X1085" s="33">
        <f>IFERROR(__xludf.DUMMYFUNCTION("""COMPUTED_VALUE"""),0.8571428571428571)</f>
        <v>0.8571428571</v>
      </c>
    </row>
    <row r="1086">
      <c r="K1086" s="4" t="str">
        <f>IFERROR(__xludf.DUMMYFUNCTION("""COMPUTED_VALUE"""),"A ESPERANCA PIZZARIA")</f>
        <v>A ESPERANCA PIZZARIA</v>
      </c>
      <c r="L1086" s="32">
        <f>IFERROR(__xludf.DUMMYFUNCTION("""COMPUTED_VALUE"""),7.0)</f>
        <v>7</v>
      </c>
      <c r="M1086" s="4" t="str">
        <f>IFERROR(__xludf.DUMMYFUNCTION("""COMPUTED_VALUE"""),"Latech Informatica Ltda")</f>
        <v>Latech Informatica Ltda</v>
      </c>
      <c r="N1086" s="33">
        <f>IFERROR(__xludf.DUMMYFUNCTION("""COMPUTED_VALUE"""),1.0)</f>
        <v>1</v>
      </c>
      <c r="O1086" s="4" t="str">
        <f>IFERROR(__xludf.DUMMYFUNCTION("""COMPUTED_VALUE"""),"Latech Informatica Ltda")</f>
        <v>Latech Informatica Ltda</v>
      </c>
      <c r="P1086" s="33">
        <f>IFERROR(__xludf.DUMMYFUNCTION("""COMPUTED_VALUE"""),1.0)</f>
        <v>1</v>
      </c>
      <c r="Q1086" s="4" t="str">
        <f>IFERROR(__xludf.DUMMYFUNCTION("""COMPUTED_VALUE"""),"Latech Informatica Ltda")</f>
        <v>Latech Informatica Ltda</v>
      </c>
      <c r="R1086" s="33">
        <f>IFERROR(__xludf.DUMMYFUNCTION("""COMPUTED_VALUE"""),1.0)</f>
        <v>1</v>
      </c>
      <c r="S1086" s="4" t="str">
        <f>IFERROR(__xludf.DUMMYFUNCTION("""COMPUTED_VALUE"""),"Latech Informatica Ltda")</f>
        <v>Latech Informatica Ltda</v>
      </c>
      <c r="T1086" s="33">
        <f>IFERROR(__xludf.DUMMYFUNCTION("""COMPUTED_VALUE"""),1.0)</f>
        <v>1</v>
      </c>
      <c r="U1086" s="4" t="str">
        <f>IFERROR(__xludf.DUMMYFUNCTION("""COMPUTED_VALUE"""),"Latech Informatica Ltda")</f>
        <v>Latech Informatica Ltda</v>
      </c>
      <c r="V1086" s="33">
        <f>IFERROR(__xludf.DUMMYFUNCTION("""COMPUTED_VALUE"""),1.0)</f>
        <v>1</v>
      </c>
      <c r="W1086" s="4" t="str">
        <f>IFERROR(__xludf.DUMMYFUNCTION("""COMPUTED_VALUE"""),"Latech Informatica Ltda")</f>
        <v>Latech Informatica Ltda</v>
      </c>
      <c r="X1086" s="33">
        <f>IFERROR(__xludf.DUMMYFUNCTION("""COMPUTED_VALUE"""),1.0)</f>
        <v>1</v>
      </c>
    </row>
    <row r="1087">
      <c r="K1087" s="4" t="str">
        <f>IFERROR(__xludf.DUMMYFUNCTION("""COMPUTED_VALUE"""),"ACAI COM CHANTILLY")</f>
        <v>ACAI COM CHANTILLY</v>
      </c>
      <c r="L1087" s="32">
        <f>IFERROR(__xludf.DUMMYFUNCTION("""COMPUTED_VALUE"""),7.0)</f>
        <v>7</v>
      </c>
      <c r="M1087" s="4" t="str">
        <f>IFERROR(__xludf.DUMMYFUNCTION("""COMPUTED_VALUE"""),"Saipos Serviços De Software")</f>
        <v>Saipos Serviços De Software</v>
      </c>
      <c r="N1087" s="33">
        <f>IFERROR(__xludf.DUMMYFUNCTION("""COMPUTED_VALUE"""),1.0)</f>
        <v>1</v>
      </c>
      <c r="O1087" s="4" t="str">
        <f>IFERROR(__xludf.DUMMYFUNCTION("""COMPUTED_VALUE"""),"Saipos Serviços De Software")</f>
        <v>Saipos Serviços De Software</v>
      </c>
      <c r="P1087" s="33">
        <f>IFERROR(__xludf.DUMMYFUNCTION("""COMPUTED_VALUE"""),1.0)</f>
        <v>1</v>
      </c>
      <c r="Q1087" s="4" t="str">
        <f>IFERROR(__xludf.DUMMYFUNCTION("""COMPUTED_VALUE"""),"Saipos Serviços De Software")</f>
        <v>Saipos Serviços De Software</v>
      </c>
      <c r="R1087" s="33">
        <f>IFERROR(__xludf.DUMMYFUNCTION("""COMPUTED_VALUE"""),1.0)</f>
        <v>1</v>
      </c>
      <c r="S1087" s="4" t="str">
        <f>IFERROR(__xludf.DUMMYFUNCTION("""COMPUTED_VALUE"""),"Saipos Serviços De Software")</f>
        <v>Saipos Serviços De Software</v>
      </c>
      <c r="T1087" s="33">
        <f>IFERROR(__xludf.DUMMYFUNCTION("""COMPUTED_VALUE"""),1.0)</f>
        <v>1</v>
      </c>
      <c r="U1087" s="4" t="str">
        <f>IFERROR(__xludf.DUMMYFUNCTION("""COMPUTED_VALUE"""),"Saipos Serviços De Software")</f>
        <v>Saipos Serviços De Software</v>
      </c>
      <c r="V1087" s="33">
        <f>IFERROR(__xludf.DUMMYFUNCTION("""COMPUTED_VALUE"""),1.0)</f>
        <v>1</v>
      </c>
      <c r="W1087" s="4" t="str">
        <f>IFERROR(__xludf.DUMMYFUNCTION("""COMPUTED_VALUE"""),"Saipos Serviços De Software")</f>
        <v>Saipos Serviços De Software</v>
      </c>
      <c r="X1087" s="33">
        <f>IFERROR(__xludf.DUMMYFUNCTION("""COMPUTED_VALUE"""),1.0)</f>
        <v>1</v>
      </c>
    </row>
    <row r="1088">
      <c r="K1088" s="4" t="str">
        <f>IFERROR(__xludf.DUMMYFUNCTION("""COMPUTED_VALUE"""),"ACAI DA BIA - PALMAS")</f>
        <v>ACAI DA BIA - PALMAS</v>
      </c>
      <c r="L1088" s="32">
        <f>IFERROR(__xludf.DUMMYFUNCTION("""COMPUTED_VALUE"""),7.0)</f>
        <v>7</v>
      </c>
      <c r="M1088" s="4" t="str">
        <f>IFERROR(__xludf.DUMMYFUNCTION("""COMPUTED_VALUE"""),"Saipos Serviços De Software")</f>
        <v>Saipos Serviços De Software</v>
      </c>
      <c r="N1088" s="33">
        <f>IFERROR(__xludf.DUMMYFUNCTION("""COMPUTED_VALUE"""),1.0)</f>
        <v>1</v>
      </c>
      <c r="O1088" s="4" t="str">
        <f>IFERROR(__xludf.DUMMYFUNCTION("""COMPUTED_VALUE"""),"Saipos Serviços De Software")</f>
        <v>Saipos Serviços De Software</v>
      </c>
      <c r="P1088" s="33">
        <f>IFERROR(__xludf.DUMMYFUNCTION("""COMPUTED_VALUE"""),1.0)</f>
        <v>1</v>
      </c>
      <c r="Q1088" s="4" t="str">
        <f>IFERROR(__xludf.DUMMYFUNCTION("""COMPUTED_VALUE"""),"Saipos Serviços De Software")</f>
        <v>Saipos Serviços De Software</v>
      </c>
      <c r="R1088" s="33">
        <f>IFERROR(__xludf.DUMMYFUNCTION("""COMPUTED_VALUE"""),1.0)</f>
        <v>1</v>
      </c>
      <c r="S1088" s="4" t="str">
        <f>IFERROR(__xludf.DUMMYFUNCTION("""COMPUTED_VALUE"""),"Saipos Serviços De Software")</f>
        <v>Saipos Serviços De Software</v>
      </c>
      <c r="T1088" s="33">
        <f>IFERROR(__xludf.DUMMYFUNCTION("""COMPUTED_VALUE"""),1.0)</f>
        <v>1</v>
      </c>
      <c r="U1088" s="4" t="str">
        <f>IFERROR(__xludf.DUMMYFUNCTION("""COMPUTED_VALUE"""),"Saipos Serviços De Software")</f>
        <v>Saipos Serviços De Software</v>
      </c>
      <c r="V1088" s="33">
        <f>IFERROR(__xludf.DUMMYFUNCTION("""COMPUTED_VALUE"""),1.0)</f>
        <v>1</v>
      </c>
      <c r="W1088" s="4" t="str">
        <f>IFERROR(__xludf.DUMMYFUNCTION("""COMPUTED_VALUE"""),"Saipos Serviços De Software")</f>
        <v>Saipos Serviços De Software</v>
      </c>
      <c r="X1088" s="33">
        <f>IFERROR(__xludf.DUMMYFUNCTION("""COMPUTED_VALUE"""),1.0)</f>
        <v>1</v>
      </c>
    </row>
    <row r="1089">
      <c r="K1089" s="4" t="str">
        <f>IFERROR(__xludf.DUMMYFUNCTION("""COMPUTED_VALUE"""),"ACAI DA CIDADE")</f>
        <v>ACAI DA CIDADE</v>
      </c>
      <c r="L1089" s="32">
        <f>IFERROR(__xludf.DUMMYFUNCTION("""COMPUTED_VALUE"""),7.0)</f>
        <v>7</v>
      </c>
      <c r="M1089" s="4" t="str">
        <f>IFERROR(__xludf.DUMMYFUNCTION("""COMPUTED_VALUE"""),"Get Soft Software House Tecnologia Da Informacao Ltda")</f>
        <v>Get Soft Software House Tecnologia Da Informacao Ltda</v>
      </c>
      <c r="N1089" s="33">
        <f>IFERROR(__xludf.DUMMYFUNCTION("""COMPUTED_VALUE"""),0.7142857142857143)</f>
        <v>0.7142857143</v>
      </c>
      <c r="O1089" s="4" t="str">
        <f>IFERROR(__xludf.DUMMYFUNCTION("""COMPUTED_VALUE"""),"Get Soft Software House Tecnologia Da Informacao Ltda")</f>
        <v>Get Soft Software House Tecnologia Da Informacao Ltda</v>
      </c>
      <c r="P1089" s="33">
        <f>IFERROR(__xludf.DUMMYFUNCTION("""COMPUTED_VALUE"""),0.8571428571428571)</f>
        <v>0.8571428571</v>
      </c>
      <c r="Q1089" s="4" t="str">
        <f>IFERROR(__xludf.DUMMYFUNCTION("""COMPUTED_VALUE"""),"Get Soft Software House Tecnologia Da Informacao Ltda")</f>
        <v>Get Soft Software House Tecnologia Da Informacao Ltda</v>
      </c>
      <c r="R1089" s="33">
        <f>IFERROR(__xludf.DUMMYFUNCTION("""COMPUTED_VALUE"""),0.7142857142857143)</f>
        <v>0.7142857143</v>
      </c>
      <c r="S1089" s="4" t="str">
        <f>IFERROR(__xludf.DUMMYFUNCTION("""COMPUTED_VALUE"""),"Get Soft Software House Tecnologia Da Informacao Ltda")</f>
        <v>Get Soft Software House Tecnologia Da Informacao Ltda</v>
      </c>
      <c r="T1089" s="33">
        <f>IFERROR(__xludf.DUMMYFUNCTION("""COMPUTED_VALUE"""),0.8571428571428571)</f>
        <v>0.8571428571</v>
      </c>
      <c r="U1089" s="4" t="str">
        <f>IFERROR(__xludf.DUMMYFUNCTION("""COMPUTED_VALUE"""),"Get Soft Software House Tecnologia Da Informacao Ltda")</f>
        <v>Get Soft Software House Tecnologia Da Informacao Ltda</v>
      </c>
      <c r="V1089" s="33">
        <f>IFERROR(__xludf.DUMMYFUNCTION("""COMPUTED_VALUE"""),0.5714285714285714)</f>
        <v>0.5714285714</v>
      </c>
      <c r="W1089" s="4" t="str">
        <f>IFERROR(__xludf.DUMMYFUNCTION("""COMPUTED_VALUE"""),"Get Soft Software House Tecnologia Da Informacao Ltda")</f>
        <v>Get Soft Software House Tecnologia Da Informacao Ltda</v>
      </c>
      <c r="X1089" s="33">
        <f>IFERROR(__xludf.DUMMYFUNCTION("""COMPUTED_VALUE"""),0.8571428571428571)</f>
        <v>0.8571428571</v>
      </c>
    </row>
    <row r="1090">
      <c r="K1090" s="4" t="str">
        <f>IFERROR(__xludf.DUMMYFUNCTION("""COMPUTED_VALUE"""),"ACAI DA CIDADE - MARCA")</f>
        <v>ACAI DA CIDADE - MARCA</v>
      </c>
      <c r="L1090" s="32">
        <f>IFERROR(__xludf.DUMMYFUNCTION("""COMPUTED_VALUE"""),7.0)</f>
        <v>7</v>
      </c>
      <c r="M1090" s="4" t="str">
        <f>IFERROR(__xludf.DUMMYFUNCTION("""COMPUTED_VALUE"""),"Get Soft Software House Tecnologia Da Informacao Ltda")</f>
        <v>Get Soft Software House Tecnologia Da Informacao Ltda</v>
      </c>
      <c r="N1090" s="33">
        <f>IFERROR(__xludf.DUMMYFUNCTION("""COMPUTED_VALUE"""),0.7142857142857143)</f>
        <v>0.7142857143</v>
      </c>
      <c r="O1090" s="4" t="str">
        <f>IFERROR(__xludf.DUMMYFUNCTION("""COMPUTED_VALUE"""),"Get Soft Software House Tecnologia Da Informacao Ltda")</f>
        <v>Get Soft Software House Tecnologia Da Informacao Ltda</v>
      </c>
      <c r="P1090" s="33">
        <f>IFERROR(__xludf.DUMMYFUNCTION("""COMPUTED_VALUE"""),0.8571428571428571)</f>
        <v>0.8571428571</v>
      </c>
      <c r="Q1090" s="4" t="str">
        <f>IFERROR(__xludf.DUMMYFUNCTION("""COMPUTED_VALUE"""),"Get Soft Software House Tecnologia Da Informacao Ltda")</f>
        <v>Get Soft Software House Tecnologia Da Informacao Ltda</v>
      </c>
      <c r="R1090" s="33">
        <f>IFERROR(__xludf.DUMMYFUNCTION("""COMPUTED_VALUE"""),0.7142857142857143)</f>
        <v>0.7142857143</v>
      </c>
      <c r="S1090" s="4" t="str">
        <f>IFERROR(__xludf.DUMMYFUNCTION("""COMPUTED_VALUE"""),"Get Soft Software House Tecnologia Da Informacao Ltda")</f>
        <v>Get Soft Software House Tecnologia Da Informacao Ltda</v>
      </c>
      <c r="T1090" s="33">
        <f>IFERROR(__xludf.DUMMYFUNCTION("""COMPUTED_VALUE"""),0.8571428571428571)</f>
        <v>0.8571428571</v>
      </c>
      <c r="U1090" s="4" t="str">
        <f>IFERROR(__xludf.DUMMYFUNCTION("""COMPUTED_VALUE"""),"Get Soft Software House Tecnologia Da Informacao Ltda")</f>
        <v>Get Soft Software House Tecnologia Da Informacao Ltda</v>
      </c>
      <c r="V1090" s="33">
        <f>IFERROR(__xludf.DUMMYFUNCTION("""COMPUTED_VALUE"""),0.5714285714285714)</f>
        <v>0.5714285714</v>
      </c>
      <c r="W1090" s="4" t="str">
        <f>IFERROR(__xludf.DUMMYFUNCTION("""COMPUTED_VALUE"""),"Get Soft Software House Tecnologia Da Informacao Ltda")</f>
        <v>Get Soft Software House Tecnologia Da Informacao Ltda</v>
      </c>
      <c r="X1090" s="33">
        <f>IFERROR(__xludf.DUMMYFUNCTION("""COMPUTED_VALUE"""),0.8571428571428571)</f>
        <v>0.8571428571</v>
      </c>
    </row>
    <row r="1091">
      <c r="K1091" s="4" t="str">
        <f>IFERROR(__xludf.DUMMYFUNCTION("""COMPUTED_VALUE"""),"APOLLO GRILL - MARCA")</f>
        <v>APOLLO GRILL - MARCA</v>
      </c>
      <c r="L1091" s="32">
        <f>IFERROR(__xludf.DUMMYFUNCTION("""COMPUTED_VALUE"""),7.0)</f>
        <v>7</v>
      </c>
      <c r="M1091" s="4" t="str">
        <f>IFERROR(__xludf.DUMMYFUNCTION("""COMPUTED_VALUE"""),"Stone Co.")</f>
        <v>Stone Co.</v>
      </c>
      <c r="N1091" s="33">
        <f>IFERROR(__xludf.DUMMYFUNCTION("""COMPUTED_VALUE"""),0.8571428571428571)</f>
        <v>0.8571428571</v>
      </c>
      <c r="O1091" s="4" t="str">
        <f>IFERROR(__xludf.DUMMYFUNCTION("""COMPUTED_VALUE"""),"Stone Co.")</f>
        <v>Stone Co.</v>
      </c>
      <c r="P1091" s="33">
        <f>IFERROR(__xludf.DUMMYFUNCTION("""COMPUTED_VALUE"""),0.8571428571428571)</f>
        <v>0.8571428571</v>
      </c>
      <c r="Q1091" s="4" t="str">
        <f>IFERROR(__xludf.DUMMYFUNCTION("""COMPUTED_VALUE"""),"Stone Co.")</f>
        <v>Stone Co.</v>
      </c>
      <c r="R1091" s="33">
        <f>IFERROR(__xludf.DUMMYFUNCTION("""COMPUTED_VALUE"""),1.0)</f>
        <v>1</v>
      </c>
      <c r="S1091" s="4" t="str">
        <f>IFERROR(__xludf.DUMMYFUNCTION("""COMPUTED_VALUE"""),"Stone Co.")</f>
        <v>Stone Co.</v>
      </c>
      <c r="T1091" s="33">
        <f>IFERROR(__xludf.DUMMYFUNCTION("""COMPUTED_VALUE"""),1.0)</f>
        <v>1</v>
      </c>
      <c r="U1091" s="4" t="str">
        <f>IFERROR(__xludf.DUMMYFUNCTION("""COMPUTED_VALUE"""),"Stone Co.")</f>
        <v>Stone Co.</v>
      </c>
      <c r="V1091" s="33">
        <f>IFERROR(__xludf.DUMMYFUNCTION("""COMPUTED_VALUE"""),1.0)</f>
        <v>1</v>
      </c>
      <c r="W1091" s="4" t="str">
        <f>IFERROR(__xludf.DUMMYFUNCTION("""COMPUTED_VALUE"""),"Stone Co.")</f>
        <v>Stone Co.</v>
      </c>
      <c r="X1091" s="33">
        <f>IFERROR(__xludf.DUMMYFUNCTION("""COMPUTED_VALUE"""),1.0)</f>
        <v>1</v>
      </c>
    </row>
    <row r="1092">
      <c r="K1092" s="4" t="str">
        <f>IFERROR(__xludf.DUMMYFUNCTION("""COMPUTED_VALUE"""),"ASAHI RESTAURANTE E PIZZARIA")</f>
        <v>ASAHI RESTAURANTE E PIZZARIA</v>
      </c>
      <c r="L1092" s="32">
        <f>IFERROR(__xludf.DUMMYFUNCTION("""COMPUTED_VALUE"""),7.0)</f>
        <v>7</v>
      </c>
      <c r="M1092" s="4" t="str">
        <f>IFERROR(__xludf.DUMMYFUNCTION("""COMPUTED_VALUE"""),"Bitbar")</f>
        <v>Bitbar</v>
      </c>
      <c r="N1092" s="33">
        <f>IFERROR(__xludf.DUMMYFUNCTION("""COMPUTED_VALUE"""),1.0)</f>
        <v>1</v>
      </c>
      <c r="O1092" s="4" t="str">
        <f>IFERROR(__xludf.DUMMYFUNCTION("""COMPUTED_VALUE"""),"Bitbar")</f>
        <v>Bitbar</v>
      </c>
      <c r="P1092" s="33">
        <f>IFERROR(__xludf.DUMMYFUNCTION("""COMPUTED_VALUE"""),0.7142857142857143)</f>
        <v>0.7142857143</v>
      </c>
      <c r="Q1092" s="4" t="str">
        <f>IFERROR(__xludf.DUMMYFUNCTION("""COMPUTED_VALUE"""),"Bitbar")</f>
        <v>Bitbar</v>
      </c>
      <c r="R1092" s="33">
        <f>IFERROR(__xludf.DUMMYFUNCTION("""COMPUTED_VALUE"""),0.8571428571428571)</f>
        <v>0.8571428571</v>
      </c>
      <c r="S1092" s="4" t="str">
        <f>IFERROR(__xludf.DUMMYFUNCTION("""COMPUTED_VALUE"""),"Bitbar")</f>
        <v>Bitbar</v>
      </c>
      <c r="T1092" s="33">
        <f>IFERROR(__xludf.DUMMYFUNCTION("""COMPUTED_VALUE"""),0.7142857142857143)</f>
        <v>0.7142857143</v>
      </c>
      <c r="U1092" s="4" t="str">
        <f>IFERROR(__xludf.DUMMYFUNCTION("""COMPUTED_VALUE"""),"null")</f>
        <v>null</v>
      </c>
      <c r="V1092" s="33">
        <f>IFERROR(__xludf.DUMMYFUNCTION("""COMPUTED_VALUE"""),0.7142857142857143)</f>
        <v>0.7142857143</v>
      </c>
      <c r="W1092" s="4" t="str">
        <f>IFERROR(__xludf.DUMMYFUNCTION("""COMPUTED_VALUE"""),"null")</f>
        <v>null</v>
      </c>
      <c r="X1092" s="33">
        <f>IFERROR(__xludf.DUMMYFUNCTION("""COMPUTED_VALUE"""),0.7142857142857143)</f>
        <v>0.7142857143</v>
      </c>
    </row>
    <row r="1093">
      <c r="K1093" s="4" t="str">
        <f>IFERROR(__xludf.DUMMYFUNCTION("""COMPUTED_VALUE"""),"ATELIE DO ACAI - CONTA MARCA")</f>
        <v>ATELIE DO ACAI - CONTA MARCA</v>
      </c>
      <c r="L1093" s="32">
        <f>IFERROR(__xludf.DUMMYFUNCTION("""COMPUTED_VALUE"""),7.0)</f>
        <v>7</v>
      </c>
      <c r="M1093" s="4" t="str">
        <f>IFERROR(__xludf.DUMMYFUNCTION("""COMPUTED_VALUE"""),"Suitable Tecnologia E Gestao")</f>
        <v>Suitable Tecnologia E Gestao</v>
      </c>
      <c r="N1093" s="33">
        <f>IFERROR(__xludf.DUMMYFUNCTION("""COMPUTED_VALUE"""),1.0)</f>
        <v>1</v>
      </c>
      <c r="O1093" s="4" t="str">
        <f>IFERROR(__xludf.DUMMYFUNCTION("""COMPUTED_VALUE"""),"Suitable Tecnologia E Gestao")</f>
        <v>Suitable Tecnologia E Gestao</v>
      </c>
      <c r="P1093" s="33">
        <f>IFERROR(__xludf.DUMMYFUNCTION("""COMPUTED_VALUE"""),1.0)</f>
        <v>1</v>
      </c>
      <c r="Q1093" s="4" t="str">
        <f>IFERROR(__xludf.DUMMYFUNCTION("""COMPUTED_VALUE"""),"Suitable Tecnologia E Gestao")</f>
        <v>Suitable Tecnologia E Gestao</v>
      </c>
      <c r="R1093" s="33">
        <f>IFERROR(__xludf.DUMMYFUNCTION("""COMPUTED_VALUE"""),1.0)</f>
        <v>1</v>
      </c>
      <c r="S1093" s="4" t="str">
        <f>IFERROR(__xludf.DUMMYFUNCTION("""COMPUTED_VALUE"""),"Suitable Tecnologia E Gestao")</f>
        <v>Suitable Tecnologia E Gestao</v>
      </c>
      <c r="T1093" s="33">
        <f>IFERROR(__xludf.DUMMYFUNCTION("""COMPUTED_VALUE"""),1.0)</f>
        <v>1</v>
      </c>
      <c r="U1093" s="4" t="str">
        <f>IFERROR(__xludf.DUMMYFUNCTION("""COMPUTED_VALUE"""),"Suitable Tecnologia E Gestao")</f>
        <v>Suitable Tecnologia E Gestao</v>
      </c>
      <c r="V1093" s="33">
        <f>IFERROR(__xludf.DUMMYFUNCTION("""COMPUTED_VALUE"""),1.0)</f>
        <v>1</v>
      </c>
      <c r="W1093" s="4" t="str">
        <f>IFERROR(__xludf.DUMMYFUNCTION("""COMPUTED_VALUE"""),"Suitable Tecnologia E Gestao")</f>
        <v>Suitable Tecnologia E Gestao</v>
      </c>
      <c r="X1093" s="33">
        <f>IFERROR(__xludf.DUMMYFUNCTION("""COMPUTED_VALUE"""),1.0)</f>
        <v>1</v>
      </c>
    </row>
    <row r="1094">
      <c r="K1094" s="4" t="str">
        <f>IFERROR(__xludf.DUMMYFUNCTION("""COMPUTED_VALUE"""),"AYUMI SUPERMERCADOS - CONTA GRUPO")</f>
        <v>AYUMI SUPERMERCADOS - CONTA GRUPO</v>
      </c>
      <c r="L1094" s="32">
        <f>IFERROR(__xludf.DUMMYFUNCTION("""COMPUTED_VALUE"""),7.0)</f>
        <v>7</v>
      </c>
      <c r="M1094" s="4" t="str">
        <f>IFERROR(__xludf.DUMMYFUNCTION("""COMPUTED_VALUE"""),"N/A (Not found)")</f>
        <v>N/A (Not found)</v>
      </c>
      <c r="N1094" s="33">
        <f>IFERROR(__xludf.DUMMYFUNCTION("""COMPUTED_VALUE"""),0.8571428571428571)</f>
        <v>0.8571428571</v>
      </c>
      <c r="O1094" s="4" t="str">
        <f>IFERROR(__xludf.DUMMYFUNCTION("""COMPUTED_VALUE"""),"N/A (Not found)")</f>
        <v>N/A (Not found)</v>
      </c>
      <c r="P1094" s="33">
        <f>IFERROR(__xludf.DUMMYFUNCTION("""COMPUTED_VALUE"""),1.0)</f>
        <v>1</v>
      </c>
      <c r="Q1094" s="4" t="str">
        <f>IFERROR(__xludf.DUMMYFUNCTION("""COMPUTED_VALUE"""),"N/A (Not found)")</f>
        <v>N/A (Not found)</v>
      </c>
      <c r="R1094" s="33">
        <f>IFERROR(__xludf.DUMMYFUNCTION("""COMPUTED_VALUE"""),1.0)</f>
        <v>1</v>
      </c>
      <c r="S1094" s="4" t="str">
        <f>IFERROR(__xludf.DUMMYFUNCTION("""COMPUTED_VALUE"""),"N/A (Not found)")</f>
        <v>N/A (Not found)</v>
      </c>
      <c r="T1094" s="33">
        <f>IFERROR(__xludf.DUMMYFUNCTION("""COMPUTED_VALUE"""),1.0)</f>
        <v>1</v>
      </c>
      <c r="U1094" s="4" t="str">
        <f>IFERROR(__xludf.DUMMYFUNCTION("""COMPUTED_VALUE"""),"N/A (Not found)")</f>
        <v>N/A (Not found)</v>
      </c>
      <c r="V1094" s="33">
        <f>IFERROR(__xludf.DUMMYFUNCTION("""COMPUTED_VALUE"""),1.0)</f>
        <v>1</v>
      </c>
      <c r="W1094" s="4" t="str">
        <f>IFERROR(__xludf.DUMMYFUNCTION("""COMPUTED_VALUE"""),"N/A (Not found)")</f>
        <v>N/A (Not found)</v>
      </c>
      <c r="X1094" s="33">
        <f>IFERROR(__xludf.DUMMYFUNCTION("""COMPUTED_VALUE"""),1.0)</f>
        <v>1</v>
      </c>
    </row>
    <row r="1095">
      <c r="K1095" s="4" t="str">
        <f>IFERROR(__xludf.DUMMYFUNCTION("""COMPUTED_VALUE"""),"BABY BEEF EXPRESS")</f>
        <v>BABY BEEF EXPRESS</v>
      </c>
      <c r="L1095" s="32">
        <f>IFERROR(__xludf.DUMMYFUNCTION("""COMPUTED_VALUE"""),7.0)</f>
        <v>7</v>
      </c>
      <c r="M1095" s="4" t="str">
        <f>IFERROR(__xludf.DUMMYFUNCTION("""COMPUTED_VALUE"""),"L&amp;f Tecnologia Sistemas E Comercio Ltda")</f>
        <v>L&amp;f Tecnologia Sistemas E Comercio Ltda</v>
      </c>
      <c r="N1095" s="33">
        <f>IFERROR(__xludf.DUMMYFUNCTION("""COMPUTED_VALUE"""),1.0)</f>
        <v>1</v>
      </c>
      <c r="O1095" s="4" t="str">
        <f>IFERROR(__xludf.DUMMYFUNCTION("""COMPUTED_VALUE"""),"L&amp;f Tecnologia Sistemas E Comercio Ltda")</f>
        <v>L&amp;f Tecnologia Sistemas E Comercio Ltda</v>
      </c>
      <c r="P1095" s="33">
        <f>IFERROR(__xludf.DUMMYFUNCTION("""COMPUTED_VALUE"""),0.5714285714285714)</f>
        <v>0.5714285714</v>
      </c>
      <c r="Q1095" s="4" t="str">
        <f>IFERROR(__xludf.DUMMYFUNCTION("""COMPUTED_VALUE"""),"L&amp;f Tecnologia Sistemas E Comercio Ltda")</f>
        <v>L&amp;f Tecnologia Sistemas E Comercio Ltda</v>
      </c>
      <c r="R1095" s="33">
        <f>IFERROR(__xludf.DUMMYFUNCTION("""COMPUTED_VALUE"""),0.5714285714285714)</f>
        <v>0.5714285714</v>
      </c>
      <c r="S1095" s="4" t="str">
        <f>IFERROR(__xludf.DUMMYFUNCTION("""COMPUTED_VALUE"""),"null")</f>
        <v>null</v>
      </c>
      <c r="T1095" s="33">
        <f>IFERROR(__xludf.DUMMYFUNCTION("""COMPUTED_VALUE"""),0.7142857142857143)</f>
        <v>0.7142857143</v>
      </c>
      <c r="U1095" s="4" t="str">
        <f>IFERROR(__xludf.DUMMYFUNCTION("""COMPUTED_VALUE"""),"L&amp;f Tecnologia Sistemas E Comercio Ltda")</f>
        <v>L&amp;f Tecnologia Sistemas E Comercio Ltda</v>
      </c>
      <c r="V1095" s="33">
        <f>IFERROR(__xludf.DUMMYFUNCTION("""COMPUTED_VALUE"""),0.5714285714285714)</f>
        <v>0.5714285714</v>
      </c>
      <c r="W1095" s="4" t="str">
        <f>IFERROR(__xludf.DUMMYFUNCTION("""COMPUTED_VALUE"""),"null")</f>
        <v>null</v>
      </c>
      <c r="X1095" s="33">
        <f>IFERROR(__xludf.DUMMYFUNCTION("""COMPUTED_VALUE"""),0.5714285714285714)</f>
        <v>0.5714285714</v>
      </c>
    </row>
    <row r="1096">
      <c r="K1096" s="4" t="str">
        <f>IFERROR(__xludf.DUMMYFUNCTION("""COMPUTED_VALUE"""),"BAR DA PRACA")</f>
        <v>BAR DA PRACA</v>
      </c>
      <c r="L1096" s="32">
        <f>IFERROR(__xludf.DUMMYFUNCTION("""COMPUTED_VALUE"""),7.0)</f>
        <v>7</v>
      </c>
      <c r="M1096" s="4" t="str">
        <f>IFERROR(__xludf.DUMMYFUNCTION("""COMPUTED_VALUE"""),"Eclética Tecnologia")</f>
        <v>Eclética Tecnologia</v>
      </c>
      <c r="N1096" s="33">
        <f>IFERROR(__xludf.DUMMYFUNCTION("""COMPUTED_VALUE"""),0.5714285714285714)</f>
        <v>0.5714285714</v>
      </c>
      <c r="O1096" s="4" t="str">
        <f>IFERROR(__xludf.DUMMYFUNCTION("""COMPUTED_VALUE"""),"null")</f>
        <v>null</v>
      </c>
      <c r="P1096" s="33">
        <f>IFERROR(__xludf.DUMMYFUNCTION("""COMPUTED_VALUE"""),0.7142857142857143)</f>
        <v>0.7142857143</v>
      </c>
      <c r="Q1096" s="4" t="str">
        <f>IFERROR(__xludf.DUMMYFUNCTION("""COMPUTED_VALUE"""),"null")</f>
        <v>null</v>
      </c>
      <c r="R1096" s="33">
        <f>IFERROR(__xludf.DUMMYFUNCTION("""COMPUTED_VALUE"""),0.42857142857142855)</f>
        <v>0.4285714286</v>
      </c>
      <c r="S1096" s="4" t="str">
        <f>IFERROR(__xludf.DUMMYFUNCTION("""COMPUTED_VALUE"""),"null")</f>
        <v>null</v>
      </c>
      <c r="T1096" s="33">
        <f>IFERROR(__xludf.DUMMYFUNCTION("""COMPUTED_VALUE"""),0.7142857142857143)</f>
        <v>0.7142857143</v>
      </c>
      <c r="U1096" s="4" t="str">
        <f>IFERROR(__xludf.DUMMYFUNCTION("""COMPUTED_VALUE"""),"null")</f>
        <v>null</v>
      </c>
      <c r="V1096" s="33">
        <f>IFERROR(__xludf.DUMMYFUNCTION("""COMPUTED_VALUE"""),0.42857142857142855)</f>
        <v>0.4285714286</v>
      </c>
      <c r="W1096" s="4" t="str">
        <f>IFERROR(__xludf.DUMMYFUNCTION("""COMPUTED_VALUE"""),"Eclética Tecnologia")</f>
        <v>Eclética Tecnologia</v>
      </c>
      <c r="X1096" s="33">
        <f>IFERROR(__xludf.DUMMYFUNCTION("""COMPUTED_VALUE"""),0.5714285714285714)</f>
        <v>0.5714285714</v>
      </c>
    </row>
    <row r="1097">
      <c r="K1097" s="4" t="str">
        <f>IFERROR(__xludf.DUMMYFUNCTION("""COMPUTED_VALUE"""),"BELLA SUSHI")</f>
        <v>BELLA SUSHI</v>
      </c>
      <c r="L1097" s="32">
        <f>IFERROR(__xludf.DUMMYFUNCTION("""COMPUTED_VALUE"""),7.0)</f>
        <v>7</v>
      </c>
      <c r="M1097" s="4" t="str">
        <f>IFERROR(__xludf.DUMMYFUNCTION("""COMPUTED_VALUE"""),"Winfood")</f>
        <v>Winfood</v>
      </c>
      <c r="N1097" s="33">
        <f>IFERROR(__xludf.DUMMYFUNCTION("""COMPUTED_VALUE"""),0.7142857142857143)</f>
        <v>0.7142857143</v>
      </c>
      <c r="O1097" s="4" t="str">
        <f>IFERROR(__xludf.DUMMYFUNCTION("""COMPUTED_VALUE"""),"Winfood")</f>
        <v>Winfood</v>
      </c>
      <c r="P1097" s="33">
        <f>IFERROR(__xludf.DUMMYFUNCTION("""COMPUTED_VALUE"""),0.7142857142857143)</f>
        <v>0.7142857143</v>
      </c>
      <c r="Q1097" s="4" t="str">
        <f>IFERROR(__xludf.DUMMYFUNCTION("""COMPUTED_VALUE"""),"Winfood")</f>
        <v>Winfood</v>
      </c>
      <c r="R1097" s="33">
        <f>IFERROR(__xludf.DUMMYFUNCTION("""COMPUTED_VALUE"""),0.7142857142857143)</f>
        <v>0.7142857143</v>
      </c>
      <c r="S1097" s="4" t="str">
        <f>IFERROR(__xludf.DUMMYFUNCTION("""COMPUTED_VALUE"""),"Winfood")</f>
        <v>Winfood</v>
      </c>
      <c r="T1097" s="33">
        <f>IFERROR(__xludf.DUMMYFUNCTION("""COMPUTED_VALUE"""),0.7142857142857143)</f>
        <v>0.7142857143</v>
      </c>
      <c r="U1097" s="4" t="str">
        <f>IFERROR(__xludf.DUMMYFUNCTION("""COMPUTED_VALUE"""),"Winfood")</f>
        <v>Winfood</v>
      </c>
      <c r="V1097" s="33">
        <f>IFERROR(__xludf.DUMMYFUNCTION("""COMPUTED_VALUE"""),0.5714285714285714)</f>
        <v>0.5714285714</v>
      </c>
      <c r="W1097" s="4" t="str">
        <f>IFERROR(__xludf.DUMMYFUNCTION("""COMPUTED_VALUE"""),"Winfood")</f>
        <v>Winfood</v>
      </c>
      <c r="X1097" s="33">
        <f>IFERROR(__xludf.DUMMYFUNCTION("""COMPUTED_VALUE"""),0.42857142857142855)</f>
        <v>0.4285714286</v>
      </c>
    </row>
    <row r="1098">
      <c r="K1098" s="4" t="str">
        <f>IFERROR(__xludf.DUMMYFUNCTION("""COMPUTED_VALUE"""),"BELSHOP PERFUMARIA E COSMETICOS - CONTA GRUPO")</f>
        <v>BELSHOP PERFUMARIA E COSMETICOS - CONTA GRUPO</v>
      </c>
      <c r="L1098" s="32">
        <f>IFERROR(__xludf.DUMMYFUNCTION("""COMPUTED_VALUE"""),7.0)</f>
        <v>7</v>
      </c>
      <c r="M1098" s="4" t="str">
        <f>IFERROR(__xludf.DUMMYFUNCTION("""COMPUTED_VALUE"""),"N/A (Not found)")</f>
        <v>N/A (Not found)</v>
      </c>
      <c r="N1098" s="33">
        <f>IFERROR(__xludf.DUMMYFUNCTION("""COMPUTED_VALUE"""),0.5714285714285714)</f>
        <v>0.5714285714</v>
      </c>
      <c r="O1098" s="4" t="str">
        <f>IFERROR(__xludf.DUMMYFUNCTION("""COMPUTED_VALUE"""),"null")</f>
        <v>null</v>
      </c>
      <c r="P1098" s="33">
        <f>IFERROR(__xludf.DUMMYFUNCTION("""COMPUTED_VALUE"""),0.5714285714285714)</f>
        <v>0.5714285714</v>
      </c>
      <c r="Q1098" s="4" t="str">
        <f>IFERROR(__xludf.DUMMYFUNCTION("""COMPUTED_VALUE"""),"N/A (Not found)")</f>
        <v>N/A (Not found)</v>
      </c>
      <c r="R1098" s="33">
        <f>IFERROR(__xludf.DUMMYFUNCTION("""COMPUTED_VALUE"""),0.7142857142857143)</f>
        <v>0.7142857143</v>
      </c>
      <c r="S1098" s="4" t="str">
        <f>IFERROR(__xludf.DUMMYFUNCTION("""COMPUTED_VALUE"""),"N/A (Not found)")</f>
        <v>N/A (Not found)</v>
      </c>
      <c r="T1098" s="33">
        <f>IFERROR(__xludf.DUMMYFUNCTION("""COMPUTED_VALUE"""),0.5714285714285714)</f>
        <v>0.5714285714</v>
      </c>
      <c r="U1098" s="4" t="str">
        <f>IFERROR(__xludf.DUMMYFUNCTION("""COMPUTED_VALUE"""),"N/A (Not found)")</f>
        <v>N/A (Not found)</v>
      </c>
      <c r="V1098" s="33">
        <f>IFERROR(__xludf.DUMMYFUNCTION("""COMPUTED_VALUE"""),0.7142857142857143)</f>
        <v>0.7142857143</v>
      </c>
      <c r="W1098" s="4" t="str">
        <f>IFERROR(__xludf.DUMMYFUNCTION("""COMPUTED_VALUE"""),"N/A (Not found)")</f>
        <v>N/A (Not found)</v>
      </c>
      <c r="X1098" s="33">
        <f>IFERROR(__xludf.DUMMYFUNCTION("""COMPUTED_VALUE"""),0.7142857142857143)</f>
        <v>0.7142857143</v>
      </c>
    </row>
    <row r="1099">
      <c r="K1099" s="4" t="str">
        <f>IFERROR(__xludf.DUMMYFUNCTION("""COMPUTED_VALUE"""),"BENDITTA PARMEGIANA CAMBUI")</f>
        <v>BENDITTA PARMEGIANA CAMBUI</v>
      </c>
      <c r="L1099" s="32">
        <f>IFERROR(__xludf.DUMMYFUNCTION("""COMPUTED_VALUE"""),7.0)</f>
        <v>7</v>
      </c>
      <c r="M1099" s="4" t="str">
        <f>IFERROR(__xludf.DUMMYFUNCTION("""COMPUTED_VALUE"""),"Saipos Serviços De Software")</f>
        <v>Saipos Serviços De Software</v>
      </c>
      <c r="N1099" s="33">
        <f>IFERROR(__xludf.DUMMYFUNCTION("""COMPUTED_VALUE"""),0.8571428571428571)</f>
        <v>0.8571428571</v>
      </c>
      <c r="O1099" s="4" t="str">
        <f>IFERROR(__xludf.DUMMYFUNCTION("""COMPUTED_VALUE"""),"Saipos Serviços De Software")</f>
        <v>Saipos Serviços De Software</v>
      </c>
      <c r="P1099" s="33">
        <f>IFERROR(__xludf.DUMMYFUNCTION("""COMPUTED_VALUE"""),0.8571428571428571)</f>
        <v>0.8571428571</v>
      </c>
      <c r="Q1099" s="4" t="str">
        <f>IFERROR(__xludf.DUMMYFUNCTION("""COMPUTED_VALUE"""),"Saipos Serviços De Software")</f>
        <v>Saipos Serviços De Software</v>
      </c>
      <c r="R1099" s="33">
        <f>IFERROR(__xludf.DUMMYFUNCTION("""COMPUTED_VALUE"""),0.8571428571428571)</f>
        <v>0.8571428571</v>
      </c>
      <c r="S1099" s="4" t="str">
        <f>IFERROR(__xludf.DUMMYFUNCTION("""COMPUTED_VALUE"""),"Saipos Serviços De Software")</f>
        <v>Saipos Serviços De Software</v>
      </c>
      <c r="T1099" s="33">
        <f>IFERROR(__xludf.DUMMYFUNCTION("""COMPUTED_VALUE"""),0.8571428571428571)</f>
        <v>0.8571428571</v>
      </c>
      <c r="U1099" s="4" t="str">
        <f>IFERROR(__xludf.DUMMYFUNCTION("""COMPUTED_VALUE"""),"Saipos Serviços De Software")</f>
        <v>Saipos Serviços De Software</v>
      </c>
      <c r="V1099" s="33">
        <f>IFERROR(__xludf.DUMMYFUNCTION("""COMPUTED_VALUE"""),0.8571428571428571)</f>
        <v>0.8571428571</v>
      </c>
      <c r="W1099" s="4" t="str">
        <f>IFERROR(__xludf.DUMMYFUNCTION("""COMPUTED_VALUE"""),"Saipos Serviços De Software")</f>
        <v>Saipos Serviços De Software</v>
      </c>
      <c r="X1099" s="33">
        <f>IFERROR(__xludf.DUMMYFUNCTION("""COMPUTED_VALUE"""),1.0)</f>
        <v>1</v>
      </c>
    </row>
    <row r="1100">
      <c r="K1100" s="4" t="str">
        <f>IFERROR(__xludf.DUMMYFUNCTION("""COMPUTED_VALUE"""),"BENVINDA")</f>
        <v>BENVINDA</v>
      </c>
      <c r="L1100" s="32">
        <f>IFERROR(__xludf.DUMMYFUNCTION("""COMPUTED_VALUE"""),7.0)</f>
        <v>7</v>
      </c>
      <c r="M1100" s="4" t="str">
        <f>IFERROR(__xludf.DUMMYFUNCTION("""COMPUTED_VALUE"""),"L&amp;f Tecnologia Sistemas E Comercio Ltda")</f>
        <v>L&amp;f Tecnologia Sistemas E Comercio Ltda</v>
      </c>
      <c r="N1100" s="33">
        <f>IFERROR(__xludf.DUMMYFUNCTION("""COMPUTED_VALUE"""),0.8571428571428571)</f>
        <v>0.8571428571</v>
      </c>
      <c r="O1100" s="4" t="str">
        <f>IFERROR(__xludf.DUMMYFUNCTION("""COMPUTED_VALUE"""),"L&amp;f Tecnologia Sistemas E Comercio Ltda")</f>
        <v>L&amp;f Tecnologia Sistemas E Comercio Ltda</v>
      </c>
      <c r="P1100" s="33">
        <f>IFERROR(__xludf.DUMMYFUNCTION("""COMPUTED_VALUE"""),1.0)</f>
        <v>1</v>
      </c>
      <c r="Q1100" s="4" t="str">
        <f>IFERROR(__xludf.DUMMYFUNCTION("""COMPUTED_VALUE"""),"null")</f>
        <v>null</v>
      </c>
      <c r="R1100" s="33">
        <f>IFERROR(__xludf.DUMMYFUNCTION("""COMPUTED_VALUE"""),1.0)</f>
        <v>1</v>
      </c>
      <c r="S1100" s="4" t="str">
        <f>IFERROR(__xludf.DUMMYFUNCTION("""COMPUTED_VALUE"""),"null")</f>
        <v>null</v>
      </c>
      <c r="T1100" s="33">
        <f>IFERROR(__xludf.DUMMYFUNCTION("""COMPUTED_VALUE"""),0.8571428571428571)</f>
        <v>0.8571428571</v>
      </c>
      <c r="U1100" s="4" t="str">
        <f>IFERROR(__xludf.DUMMYFUNCTION("""COMPUTED_VALUE"""),"null")</f>
        <v>null</v>
      </c>
      <c r="V1100" s="33">
        <f>IFERROR(__xludf.DUMMYFUNCTION("""COMPUTED_VALUE"""),0.8571428571428571)</f>
        <v>0.8571428571</v>
      </c>
      <c r="W1100" s="4" t="str">
        <f>IFERROR(__xludf.DUMMYFUNCTION("""COMPUTED_VALUE"""),"null")</f>
        <v>null</v>
      </c>
      <c r="X1100" s="33">
        <f>IFERROR(__xludf.DUMMYFUNCTION("""COMPUTED_VALUE"""),0.8571428571428571)</f>
        <v>0.8571428571</v>
      </c>
    </row>
    <row r="1101">
      <c r="K1101" s="4" t="str">
        <f>IFERROR(__xludf.DUMMYFUNCTION("""COMPUTED_VALUE"""),"BEST - UBERLANDIA")</f>
        <v>BEST - UBERLANDIA</v>
      </c>
      <c r="L1101" s="32">
        <f>IFERROR(__xludf.DUMMYFUNCTION("""COMPUTED_VALUE"""),7.0)</f>
        <v>7</v>
      </c>
      <c r="M1101" s="4" t="str">
        <f>IFERROR(__xludf.DUMMYFUNCTION("""COMPUTED_VALUE"""),"Saipos Serviços De Software")</f>
        <v>Saipos Serviços De Software</v>
      </c>
      <c r="N1101" s="33">
        <f>IFERROR(__xludf.DUMMYFUNCTION("""COMPUTED_VALUE"""),1.0)</f>
        <v>1</v>
      </c>
      <c r="O1101" s="4" t="str">
        <f>IFERROR(__xludf.DUMMYFUNCTION("""COMPUTED_VALUE"""),"null")</f>
        <v>null</v>
      </c>
      <c r="P1101" s="33">
        <f>IFERROR(__xludf.DUMMYFUNCTION("""COMPUTED_VALUE"""),0.7142857142857143)</f>
        <v>0.7142857143</v>
      </c>
      <c r="Q1101" s="4" t="str">
        <f>IFERROR(__xludf.DUMMYFUNCTION("""COMPUTED_VALUE"""),"null")</f>
        <v>null</v>
      </c>
      <c r="R1101" s="33">
        <f>IFERROR(__xludf.DUMMYFUNCTION("""COMPUTED_VALUE"""),0.7142857142857143)</f>
        <v>0.7142857143</v>
      </c>
      <c r="S1101" s="4" t="str">
        <f>IFERROR(__xludf.DUMMYFUNCTION("""COMPUTED_VALUE"""),"null")</f>
        <v>null</v>
      </c>
      <c r="T1101" s="33">
        <f>IFERROR(__xludf.DUMMYFUNCTION("""COMPUTED_VALUE"""),0.8571428571428571)</f>
        <v>0.8571428571</v>
      </c>
      <c r="U1101" s="4" t="str">
        <f>IFERROR(__xludf.DUMMYFUNCTION("""COMPUTED_VALUE"""),"null")</f>
        <v>null</v>
      </c>
      <c r="V1101" s="33">
        <f>IFERROR(__xludf.DUMMYFUNCTION("""COMPUTED_VALUE"""),0.8571428571428571)</f>
        <v>0.8571428571</v>
      </c>
      <c r="W1101" s="4" t="str">
        <f>IFERROR(__xludf.DUMMYFUNCTION("""COMPUTED_VALUE"""),"null")</f>
        <v>null</v>
      </c>
      <c r="X1101" s="33">
        <f>IFERROR(__xludf.DUMMYFUNCTION("""COMPUTED_VALUE"""),0.7142857142857143)</f>
        <v>0.7142857143</v>
      </c>
    </row>
    <row r="1102">
      <c r="K1102" s="4" t="str">
        <f>IFERROR(__xludf.DUMMYFUNCTION("""COMPUTED_VALUE"""),"BOLOS ROSA")</f>
        <v>BOLOS ROSA</v>
      </c>
      <c r="L1102" s="32">
        <f>IFERROR(__xludf.DUMMYFUNCTION("""COMPUTED_VALUE"""),7.0)</f>
        <v>7</v>
      </c>
      <c r="M1102" s="4" t="str">
        <f>IFERROR(__xludf.DUMMYFUNCTION("""COMPUTED_VALUE"""),"Cardápio Web")</f>
        <v>Cardápio Web</v>
      </c>
      <c r="N1102" s="33">
        <f>IFERROR(__xludf.DUMMYFUNCTION("""COMPUTED_VALUE"""),1.0)</f>
        <v>1</v>
      </c>
      <c r="O1102" s="4" t="str">
        <f>IFERROR(__xludf.DUMMYFUNCTION("""COMPUTED_VALUE"""),"Cardápio Web")</f>
        <v>Cardápio Web</v>
      </c>
      <c r="P1102" s="33">
        <f>IFERROR(__xludf.DUMMYFUNCTION("""COMPUTED_VALUE"""),1.0)</f>
        <v>1</v>
      </c>
      <c r="Q1102" s="4" t="str">
        <f>IFERROR(__xludf.DUMMYFUNCTION("""COMPUTED_VALUE"""),"Cardápio Web")</f>
        <v>Cardápio Web</v>
      </c>
      <c r="R1102" s="33">
        <f>IFERROR(__xludf.DUMMYFUNCTION("""COMPUTED_VALUE"""),1.0)</f>
        <v>1</v>
      </c>
      <c r="S1102" s="4" t="str">
        <f>IFERROR(__xludf.DUMMYFUNCTION("""COMPUTED_VALUE"""),"Cardápio Web")</f>
        <v>Cardápio Web</v>
      </c>
      <c r="T1102" s="33">
        <f>IFERROR(__xludf.DUMMYFUNCTION("""COMPUTED_VALUE"""),1.0)</f>
        <v>1</v>
      </c>
      <c r="U1102" s="4" t="str">
        <f>IFERROR(__xludf.DUMMYFUNCTION("""COMPUTED_VALUE"""),"Cardápio Web")</f>
        <v>Cardápio Web</v>
      </c>
      <c r="V1102" s="33">
        <f>IFERROR(__xludf.DUMMYFUNCTION("""COMPUTED_VALUE"""),1.0)</f>
        <v>1</v>
      </c>
      <c r="W1102" s="4" t="str">
        <f>IFERROR(__xludf.DUMMYFUNCTION("""COMPUTED_VALUE"""),"Cardápio Web")</f>
        <v>Cardápio Web</v>
      </c>
      <c r="X1102" s="33">
        <f>IFERROR(__xludf.DUMMYFUNCTION("""COMPUTED_VALUE"""),1.0)</f>
        <v>1</v>
      </c>
    </row>
    <row r="1103">
      <c r="K1103" s="4" t="str">
        <f>IFERROR(__xludf.DUMMYFUNCTION("""COMPUTED_VALUE"""),"BORGER BURGER - CONTA PAI")</f>
        <v>BORGER BURGER - CONTA PAI</v>
      </c>
      <c r="L1103" s="32">
        <f>IFERROR(__xludf.DUMMYFUNCTION("""COMPUTED_VALUE"""),7.0)</f>
        <v>7</v>
      </c>
      <c r="M1103" s="4" t="str">
        <f>IFERROR(__xludf.DUMMYFUNCTION("""COMPUTED_VALUE"""),"E-deploy Retail")</f>
        <v>E-deploy Retail</v>
      </c>
      <c r="N1103" s="33">
        <f>IFERROR(__xludf.DUMMYFUNCTION("""COMPUTED_VALUE"""),0.8571428571428571)</f>
        <v>0.8571428571</v>
      </c>
      <c r="O1103" s="4" t="str">
        <f>IFERROR(__xludf.DUMMYFUNCTION("""COMPUTED_VALUE"""),"E-deploy Retail")</f>
        <v>E-deploy Retail</v>
      </c>
      <c r="P1103" s="33">
        <f>IFERROR(__xludf.DUMMYFUNCTION("""COMPUTED_VALUE"""),0.5714285714285714)</f>
        <v>0.5714285714</v>
      </c>
      <c r="Q1103" s="4" t="str">
        <f>IFERROR(__xludf.DUMMYFUNCTION("""COMPUTED_VALUE"""),"E-deploy Retail")</f>
        <v>E-deploy Retail</v>
      </c>
      <c r="R1103" s="33">
        <f>IFERROR(__xludf.DUMMYFUNCTION("""COMPUTED_VALUE"""),0.5714285714285714)</f>
        <v>0.5714285714</v>
      </c>
      <c r="S1103" s="4" t="str">
        <f>IFERROR(__xludf.DUMMYFUNCTION("""COMPUTED_VALUE"""),"null")</f>
        <v>null</v>
      </c>
      <c r="T1103" s="33">
        <f>IFERROR(__xludf.DUMMYFUNCTION("""COMPUTED_VALUE"""),0.5714285714285714)</f>
        <v>0.5714285714</v>
      </c>
      <c r="U1103" s="4" t="str">
        <f>IFERROR(__xludf.DUMMYFUNCTION("""COMPUTED_VALUE"""),"null")</f>
        <v>null</v>
      </c>
      <c r="V1103" s="33">
        <f>IFERROR(__xludf.DUMMYFUNCTION("""COMPUTED_VALUE"""),0.5714285714285714)</f>
        <v>0.5714285714</v>
      </c>
      <c r="W1103" s="4" t="str">
        <f>IFERROR(__xludf.DUMMYFUNCTION("""COMPUTED_VALUE"""),"E-deploy Retail")</f>
        <v>E-deploy Retail</v>
      </c>
      <c r="X1103" s="33">
        <f>IFERROR(__xludf.DUMMYFUNCTION("""COMPUTED_VALUE"""),0.5714285714285714)</f>
        <v>0.5714285714</v>
      </c>
    </row>
    <row r="1104">
      <c r="K1104" s="4" t="str">
        <f>IFERROR(__xludf.DUMMYFUNCTION("""COMPUTED_VALUE"""),"BOTECO HELENA")</f>
        <v>BOTECO HELENA</v>
      </c>
      <c r="L1104" s="32">
        <f>IFERROR(__xludf.DUMMYFUNCTION("""COMPUTED_VALUE"""),7.0)</f>
        <v>7</v>
      </c>
      <c r="M1104" s="4" t="str">
        <f>IFERROR(__xludf.DUMMYFUNCTION("""COMPUTED_VALUE"""),"Saipos Serviços De Software")</f>
        <v>Saipos Serviços De Software</v>
      </c>
      <c r="N1104" s="33">
        <f>IFERROR(__xludf.DUMMYFUNCTION("""COMPUTED_VALUE"""),1.0)</f>
        <v>1</v>
      </c>
      <c r="O1104" s="4" t="str">
        <f>IFERROR(__xludf.DUMMYFUNCTION("""COMPUTED_VALUE"""),"Saipos Serviços De Software")</f>
        <v>Saipos Serviços De Software</v>
      </c>
      <c r="P1104" s="33">
        <f>IFERROR(__xludf.DUMMYFUNCTION("""COMPUTED_VALUE"""),1.0)</f>
        <v>1</v>
      </c>
      <c r="Q1104" s="4" t="str">
        <f>IFERROR(__xludf.DUMMYFUNCTION("""COMPUTED_VALUE"""),"Saipos Serviços De Software")</f>
        <v>Saipos Serviços De Software</v>
      </c>
      <c r="R1104" s="33">
        <f>IFERROR(__xludf.DUMMYFUNCTION("""COMPUTED_VALUE"""),1.0)</f>
        <v>1</v>
      </c>
      <c r="S1104" s="4" t="str">
        <f>IFERROR(__xludf.DUMMYFUNCTION("""COMPUTED_VALUE"""),"Saipos Serviços De Software")</f>
        <v>Saipos Serviços De Software</v>
      </c>
      <c r="T1104" s="33">
        <f>IFERROR(__xludf.DUMMYFUNCTION("""COMPUTED_VALUE"""),1.0)</f>
        <v>1</v>
      </c>
      <c r="U1104" s="4" t="str">
        <f>IFERROR(__xludf.DUMMYFUNCTION("""COMPUTED_VALUE"""),"Saipos Serviços De Software")</f>
        <v>Saipos Serviços De Software</v>
      </c>
      <c r="V1104" s="33">
        <f>IFERROR(__xludf.DUMMYFUNCTION("""COMPUTED_VALUE"""),1.0)</f>
        <v>1</v>
      </c>
      <c r="W1104" s="4" t="str">
        <f>IFERROR(__xludf.DUMMYFUNCTION("""COMPUTED_VALUE"""),"Saipos Serviços De Software")</f>
        <v>Saipos Serviços De Software</v>
      </c>
      <c r="X1104" s="33">
        <f>IFERROR(__xludf.DUMMYFUNCTION("""COMPUTED_VALUE"""),1.0)</f>
        <v>1</v>
      </c>
    </row>
    <row r="1105">
      <c r="K1105" s="4" t="str">
        <f>IFERROR(__xludf.DUMMYFUNCTION("""COMPUTED_VALUE"""),"BOTEQUIM SAO PAULO")</f>
        <v>BOTEQUIM SAO PAULO</v>
      </c>
      <c r="L1105" s="32">
        <f>IFERROR(__xludf.DUMMYFUNCTION("""COMPUTED_VALUE"""),7.0)</f>
        <v>7</v>
      </c>
      <c r="M1105" s="4" t="str">
        <f>IFERROR(__xludf.DUMMYFUNCTION("""COMPUTED_VALUE"""),"Ncr")</f>
        <v>Ncr</v>
      </c>
      <c r="N1105" s="33">
        <f>IFERROR(__xludf.DUMMYFUNCTION("""COMPUTED_VALUE"""),1.0)</f>
        <v>1</v>
      </c>
      <c r="O1105" s="4" t="str">
        <f>IFERROR(__xludf.DUMMYFUNCTION("""COMPUTED_VALUE"""),"Ncr")</f>
        <v>Ncr</v>
      </c>
      <c r="P1105" s="33">
        <f>IFERROR(__xludf.DUMMYFUNCTION("""COMPUTED_VALUE"""),0.7142857142857143)</f>
        <v>0.7142857143</v>
      </c>
      <c r="Q1105" s="4" t="str">
        <f>IFERROR(__xludf.DUMMYFUNCTION("""COMPUTED_VALUE"""),"Ncr")</f>
        <v>Ncr</v>
      </c>
      <c r="R1105" s="33">
        <f>IFERROR(__xludf.DUMMYFUNCTION("""COMPUTED_VALUE"""),0.8571428571428571)</f>
        <v>0.8571428571</v>
      </c>
      <c r="S1105" s="4" t="str">
        <f>IFERROR(__xludf.DUMMYFUNCTION("""COMPUTED_VALUE"""),"Ncr")</f>
        <v>Ncr</v>
      </c>
      <c r="T1105" s="33">
        <f>IFERROR(__xludf.DUMMYFUNCTION("""COMPUTED_VALUE"""),0.7142857142857143)</f>
        <v>0.7142857143</v>
      </c>
      <c r="U1105" s="4" t="str">
        <f>IFERROR(__xludf.DUMMYFUNCTION("""COMPUTED_VALUE"""),"Ncr")</f>
        <v>Ncr</v>
      </c>
      <c r="V1105" s="33">
        <f>IFERROR(__xludf.DUMMYFUNCTION("""COMPUTED_VALUE"""),0.8571428571428571)</f>
        <v>0.8571428571</v>
      </c>
      <c r="W1105" s="4" t="str">
        <f>IFERROR(__xludf.DUMMYFUNCTION("""COMPUTED_VALUE"""),"Ncr")</f>
        <v>Ncr</v>
      </c>
      <c r="X1105" s="33">
        <f>IFERROR(__xludf.DUMMYFUNCTION("""COMPUTED_VALUE"""),0.8571428571428571)</f>
        <v>0.8571428571</v>
      </c>
    </row>
    <row r="1106">
      <c r="K1106" s="4" t="str">
        <f>IFERROR(__xludf.DUMMYFUNCTION("""COMPUTED_VALUE"""),"BRABOS HAMBURGUERIA")</f>
        <v>BRABOS HAMBURGUERIA</v>
      </c>
      <c r="L1106" s="32">
        <f>IFERROR(__xludf.DUMMYFUNCTION("""COMPUTED_VALUE"""),7.0)</f>
        <v>7</v>
      </c>
      <c r="M1106" s="4" t="str">
        <f>IFERROR(__xludf.DUMMYFUNCTION("""COMPUTED_VALUE"""),"Yooga")</f>
        <v>Yooga</v>
      </c>
      <c r="N1106" s="33">
        <f>IFERROR(__xludf.DUMMYFUNCTION("""COMPUTED_VALUE"""),0.8571428571428571)</f>
        <v>0.8571428571</v>
      </c>
      <c r="O1106" s="4" t="str">
        <f>IFERROR(__xludf.DUMMYFUNCTION("""COMPUTED_VALUE"""),"Yooga")</f>
        <v>Yooga</v>
      </c>
      <c r="P1106" s="33">
        <f>IFERROR(__xludf.DUMMYFUNCTION("""COMPUTED_VALUE"""),0.8571428571428571)</f>
        <v>0.8571428571</v>
      </c>
      <c r="Q1106" s="4" t="str">
        <f>IFERROR(__xludf.DUMMYFUNCTION("""COMPUTED_VALUE"""),"Yooga")</f>
        <v>Yooga</v>
      </c>
      <c r="R1106" s="33">
        <f>IFERROR(__xludf.DUMMYFUNCTION("""COMPUTED_VALUE"""),0.7142857142857143)</f>
        <v>0.7142857143</v>
      </c>
      <c r="S1106" s="4" t="str">
        <f>IFERROR(__xludf.DUMMYFUNCTION("""COMPUTED_VALUE"""),"Yooga")</f>
        <v>Yooga</v>
      </c>
      <c r="T1106" s="33">
        <f>IFERROR(__xludf.DUMMYFUNCTION("""COMPUTED_VALUE"""),0.8571428571428571)</f>
        <v>0.8571428571</v>
      </c>
      <c r="U1106" s="4" t="str">
        <f>IFERROR(__xludf.DUMMYFUNCTION("""COMPUTED_VALUE"""),"Yooga")</f>
        <v>Yooga</v>
      </c>
      <c r="V1106" s="33">
        <f>IFERROR(__xludf.DUMMYFUNCTION("""COMPUTED_VALUE"""),0.8571428571428571)</f>
        <v>0.8571428571</v>
      </c>
      <c r="W1106" s="4" t="str">
        <f>IFERROR(__xludf.DUMMYFUNCTION("""COMPUTED_VALUE"""),"Yooga")</f>
        <v>Yooga</v>
      </c>
      <c r="X1106" s="33">
        <f>IFERROR(__xludf.DUMMYFUNCTION("""COMPUTED_VALUE"""),1.0)</f>
        <v>1</v>
      </c>
    </row>
    <row r="1107">
      <c r="K1107" s="4" t="str">
        <f>IFERROR(__xludf.DUMMYFUNCTION("""COMPUTED_VALUE"""),"BUM BRINQUEDOS - CONTA GRUPO")</f>
        <v>BUM BRINQUEDOS - CONTA GRUPO</v>
      </c>
      <c r="L1107" s="32">
        <f>IFERROR(__xludf.DUMMYFUNCTION("""COMPUTED_VALUE"""),7.0)</f>
        <v>7</v>
      </c>
      <c r="M1107" s="4" t="str">
        <f>IFERROR(__xludf.DUMMYFUNCTION("""COMPUTED_VALUE"""),"null")</f>
        <v>null</v>
      </c>
      <c r="N1107" s="33">
        <f>IFERROR(__xludf.DUMMYFUNCTION("""COMPUTED_VALUE"""),0.5714285714285714)</f>
        <v>0.5714285714</v>
      </c>
      <c r="O1107" s="4" t="str">
        <f>IFERROR(__xludf.DUMMYFUNCTION("""COMPUTED_VALUE"""),"N/A (Not found)")</f>
        <v>N/A (Not found)</v>
      </c>
      <c r="P1107" s="33">
        <f>IFERROR(__xludf.DUMMYFUNCTION("""COMPUTED_VALUE"""),0.8571428571428571)</f>
        <v>0.8571428571</v>
      </c>
      <c r="Q1107" s="4" t="str">
        <f>IFERROR(__xludf.DUMMYFUNCTION("""COMPUTED_VALUE"""),"N/A (Not found)")</f>
        <v>N/A (Not found)</v>
      </c>
      <c r="R1107" s="33">
        <f>IFERROR(__xludf.DUMMYFUNCTION("""COMPUTED_VALUE"""),0.7142857142857143)</f>
        <v>0.7142857143</v>
      </c>
      <c r="S1107" s="4" t="str">
        <f>IFERROR(__xludf.DUMMYFUNCTION("""COMPUTED_VALUE"""),"null")</f>
        <v>null</v>
      </c>
      <c r="T1107" s="33">
        <f>IFERROR(__xludf.DUMMYFUNCTION("""COMPUTED_VALUE"""),0.5714285714285714)</f>
        <v>0.5714285714</v>
      </c>
      <c r="U1107" s="4" t="str">
        <f>IFERROR(__xludf.DUMMYFUNCTION("""COMPUTED_VALUE"""),"N/A (Not found)")</f>
        <v>N/A (Not found)</v>
      </c>
      <c r="V1107" s="33">
        <f>IFERROR(__xludf.DUMMYFUNCTION("""COMPUTED_VALUE"""),0.8571428571428571)</f>
        <v>0.8571428571</v>
      </c>
      <c r="W1107" s="4" t="str">
        <f>IFERROR(__xludf.DUMMYFUNCTION("""COMPUTED_VALUE"""),"N/A (Not found)")</f>
        <v>N/A (Not found)</v>
      </c>
      <c r="X1107" s="33">
        <f>IFERROR(__xludf.DUMMYFUNCTION("""COMPUTED_VALUE"""),0.5714285714285714)</f>
        <v>0.5714285714</v>
      </c>
    </row>
    <row r="1108">
      <c r="K1108" s="4" t="str">
        <f>IFERROR(__xludf.DUMMYFUNCTION("""COMPUTED_VALUE"""),"BURGER CIA - CONTA PAI")</f>
        <v>BURGER CIA - CONTA PAI</v>
      </c>
      <c r="L1108" s="32">
        <f>IFERROR(__xludf.DUMMYFUNCTION("""COMPUTED_VALUE"""),7.0)</f>
        <v>7</v>
      </c>
      <c r="M1108" s="4" t="str">
        <f>IFERROR(__xludf.DUMMYFUNCTION("""COMPUTED_VALUE"""),"Cardápio Web")</f>
        <v>Cardápio Web</v>
      </c>
      <c r="N1108" s="33">
        <f>IFERROR(__xludf.DUMMYFUNCTION("""COMPUTED_VALUE"""),1.0)</f>
        <v>1</v>
      </c>
      <c r="O1108" s="4" t="str">
        <f>IFERROR(__xludf.DUMMYFUNCTION("""COMPUTED_VALUE"""),"Cardápio Web")</f>
        <v>Cardápio Web</v>
      </c>
      <c r="P1108" s="33">
        <f>IFERROR(__xludf.DUMMYFUNCTION("""COMPUTED_VALUE"""),1.0)</f>
        <v>1</v>
      </c>
      <c r="Q1108" s="4" t="str">
        <f>IFERROR(__xludf.DUMMYFUNCTION("""COMPUTED_VALUE"""),"Cardápio Web")</f>
        <v>Cardápio Web</v>
      </c>
      <c r="R1108" s="33">
        <f>IFERROR(__xludf.DUMMYFUNCTION("""COMPUTED_VALUE"""),0.8571428571428571)</f>
        <v>0.8571428571</v>
      </c>
      <c r="S1108" s="4" t="str">
        <f>IFERROR(__xludf.DUMMYFUNCTION("""COMPUTED_VALUE"""),"Cardápio Web")</f>
        <v>Cardápio Web</v>
      </c>
      <c r="T1108" s="33">
        <f>IFERROR(__xludf.DUMMYFUNCTION("""COMPUTED_VALUE"""),1.0)</f>
        <v>1</v>
      </c>
      <c r="U1108" s="4" t="str">
        <f>IFERROR(__xludf.DUMMYFUNCTION("""COMPUTED_VALUE"""),"Cardápio Web")</f>
        <v>Cardápio Web</v>
      </c>
      <c r="V1108" s="33">
        <f>IFERROR(__xludf.DUMMYFUNCTION("""COMPUTED_VALUE"""),1.0)</f>
        <v>1</v>
      </c>
      <c r="W1108" s="4" t="str">
        <f>IFERROR(__xludf.DUMMYFUNCTION("""COMPUTED_VALUE"""),"Cardápio Web")</f>
        <v>Cardápio Web</v>
      </c>
      <c r="X1108" s="33">
        <f>IFERROR(__xludf.DUMMYFUNCTION("""COMPUTED_VALUE"""),1.0)</f>
        <v>1</v>
      </c>
    </row>
    <row r="1109">
      <c r="K1109" s="4" t="str">
        <f>IFERROR(__xludf.DUMMYFUNCTION("""COMPUTED_VALUE"""),"CAMAROES")</f>
        <v>CAMAROES</v>
      </c>
      <c r="L1109" s="32">
        <f>IFERROR(__xludf.DUMMYFUNCTION("""COMPUTED_VALUE"""),7.0)</f>
        <v>7</v>
      </c>
      <c r="M1109" s="4" t="str">
        <f>IFERROR(__xludf.DUMMYFUNCTION("""COMPUTED_VALUE"""),"Ncr")</f>
        <v>Ncr</v>
      </c>
      <c r="N1109" s="33">
        <f>IFERROR(__xludf.DUMMYFUNCTION("""COMPUTED_VALUE"""),0.42857142857142855)</f>
        <v>0.4285714286</v>
      </c>
      <c r="O1109" s="4" t="str">
        <f>IFERROR(__xludf.DUMMYFUNCTION("""COMPUTED_VALUE"""),"Ncr")</f>
        <v>Ncr</v>
      </c>
      <c r="P1109" s="33">
        <f>IFERROR(__xludf.DUMMYFUNCTION("""COMPUTED_VALUE"""),0.42857142857142855)</f>
        <v>0.4285714286</v>
      </c>
      <c r="Q1109" s="4" t="str">
        <f>IFERROR(__xludf.DUMMYFUNCTION("""COMPUTED_VALUE"""),"null")</f>
        <v>null</v>
      </c>
      <c r="R1109" s="33">
        <f>IFERROR(__xludf.DUMMYFUNCTION("""COMPUTED_VALUE"""),0.7142857142857143)</f>
        <v>0.7142857143</v>
      </c>
      <c r="S1109" s="4" t="str">
        <f>IFERROR(__xludf.DUMMYFUNCTION("""COMPUTED_VALUE"""),"null")</f>
        <v>null</v>
      </c>
      <c r="T1109" s="33">
        <f>IFERROR(__xludf.DUMMYFUNCTION("""COMPUTED_VALUE"""),0.5714285714285714)</f>
        <v>0.5714285714</v>
      </c>
      <c r="U1109" s="4" t="str">
        <f>IFERROR(__xludf.DUMMYFUNCTION("""COMPUTED_VALUE"""),"null")</f>
        <v>null</v>
      </c>
      <c r="V1109" s="33">
        <f>IFERROR(__xludf.DUMMYFUNCTION("""COMPUTED_VALUE"""),0.5714285714285714)</f>
        <v>0.5714285714</v>
      </c>
      <c r="W1109" s="4" t="str">
        <f>IFERROR(__xludf.DUMMYFUNCTION("""COMPUTED_VALUE"""),"Venditx Ltda")</f>
        <v>Venditx Ltda</v>
      </c>
      <c r="X1109" s="33">
        <f>IFERROR(__xludf.DUMMYFUNCTION("""COMPUTED_VALUE"""),0.5714285714285714)</f>
        <v>0.5714285714</v>
      </c>
    </row>
    <row r="1110">
      <c r="K1110" s="4" t="str">
        <f>IFERROR(__xludf.DUMMYFUNCTION("""COMPUTED_VALUE"""),"CAO VEIO")</f>
        <v>CAO VEIO</v>
      </c>
      <c r="L1110" s="32">
        <f>IFERROR(__xludf.DUMMYFUNCTION("""COMPUTED_VALUE"""),7.0)</f>
        <v>7</v>
      </c>
      <c r="M1110" s="4" t="str">
        <f>IFERROR(__xludf.DUMMYFUNCTION("""COMPUTED_VALUE"""),"Hsm Soluções")</f>
        <v>Hsm Soluções</v>
      </c>
      <c r="N1110" s="33">
        <f>IFERROR(__xludf.DUMMYFUNCTION("""COMPUTED_VALUE"""),0.42857142857142855)</f>
        <v>0.4285714286</v>
      </c>
      <c r="O1110" s="4" t="str">
        <f>IFERROR(__xludf.DUMMYFUNCTION("""COMPUTED_VALUE"""),"null")</f>
        <v>null</v>
      </c>
      <c r="P1110" s="33">
        <f>IFERROR(__xludf.DUMMYFUNCTION("""COMPUTED_VALUE"""),0.5714285714285714)</f>
        <v>0.5714285714</v>
      </c>
      <c r="Q1110" s="4" t="str">
        <f>IFERROR(__xludf.DUMMYFUNCTION("""COMPUTED_VALUE"""),"null")</f>
        <v>null</v>
      </c>
      <c r="R1110" s="33">
        <f>IFERROR(__xludf.DUMMYFUNCTION("""COMPUTED_VALUE"""),0.7142857142857143)</f>
        <v>0.7142857143</v>
      </c>
      <c r="S1110" s="4" t="str">
        <f>IFERROR(__xludf.DUMMYFUNCTION("""COMPUTED_VALUE"""),"Menew - Linx")</f>
        <v>Menew - Linx</v>
      </c>
      <c r="T1110" s="33">
        <f>IFERROR(__xludf.DUMMYFUNCTION("""COMPUTED_VALUE"""),0.2857142857142857)</f>
        <v>0.2857142857</v>
      </c>
      <c r="U1110" s="4" t="str">
        <f>IFERROR(__xludf.DUMMYFUNCTION("""COMPUTED_VALUE"""),"null")</f>
        <v>null</v>
      </c>
      <c r="V1110" s="33">
        <f>IFERROR(__xludf.DUMMYFUNCTION("""COMPUTED_VALUE"""),0.42857142857142855)</f>
        <v>0.4285714286</v>
      </c>
      <c r="W1110" s="4" t="str">
        <f>IFERROR(__xludf.DUMMYFUNCTION("""COMPUTED_VALUE"""),"Menew - Linx")</f>
        <v>Menew - Linx</v>
      </c>
      <c r="X1110" s="33">
        <f>IFERROR(__xludf.DUMMYFUNCTION("""COMPUTED_VALUE"""),0.2857142857142857)</f>
        <v>0.2857142857</v>
      </c>
    </row>
    <row r="1111">
      <c r="K1111" s="4" t="str">
        <f>IFERROR(__xludf.DUMMYFUNCTION("""COMPUTED_VALUE"""),"CASA DA PIZZA SP")</f>
        <v>CASA DA PIZZA SP</v>
      </c>
      <c r="L1111" s="32">
        <f>IFERROR(__xludf.DUMMYFUNCTION("""COMPUTED_VALUE"""),7.0)</f>
        <v>7</v>
      </c>
      <c r="M1111" s="4" t="str">
        <f>IFERROR(__xludf.DUMMYFUNCTION("""COMPUTED_VALUE"""),"Ncr")</f>
        <v>Ncr</v>
      </c>
      <c r="N1111" s="33">
        <f>IFERROR(__xludf.DUMMYFUNCTION("""COMPUTED_VALUE"""),1.0)</f>
        <v>1</v>
      </c>
      <c r="O1111" s="4" t="str">
        <f>IFERROR(__xludf.DUMMYFUNCTION("""COMPUTED_VALUE"""),"Ncr")</f>
        <v>Ncr</v>
      </c>
      <c r="P1111" s="33">
        <f>IFERROR(__xludf.DUMMYFUNCTION("""COMPUTED_VALUE"""),1.0)</f>
        <v>1</v>
      </c>
      <c r="Q1111" s="4" t="str">
        <f>IFERROR(__xludf.DUMMYFUNCTION("""COMPUTED_VALUE"""),"Ncr")</f>
        <v>Ncr</v>
      </c>
      <c r="R1111" s="33">
        <f>IFERROR(__xludf.DUMMYFUNCTION("""COMPUTED_VALUE"""),1.0)</f>
        <v>1</v>
      </c>
      <c r="S1111" s="4" t="str">
        <f>IFERROR(__xludf.DUMMYFUNCTION("""COMPUTED_VALUE"""),"Ncr")</f>
        <v>Ncr</v>
      </c>
      <c r="T1111" s="33">
        <f>IFERROR(__xludf.DUMMYFUNCTION("""COMPUTED_VALUE"""),1.0)</f>
        <v>1</v>
      </c>
      <c r="U1111" s="4" t="str">
        <f>IFERROR(__xludf.DUMMYFUNCTION("""COMPUTED_VALUE"""),"Ncr")</f>
        <v>Ncr</v>
      </c>
      <c r="V1111" s="33">
        <f>IFERROR(__xludf.DUMMYFUNCTION("""COMPUTED_VALUE"""),1.0)</f>
        <v>1</v>
      </c>
      <c r="W1111" s="4" t="str">
        <f>IFERROR(__xludf.DUMMYFUNCTION("""COMPUTED_VALUE"""),"Ncr")</f>
        <v>Ncr</v>
      </c>
      <c r="X1111" s="33">
        <f>IFERROR(__xludf.DUMMYFUNCTION("""COMPUTED_VALUE"""),1.0)</f>
        <v>1</v>
      </c>
    </row>
    <row r="1112">
      <c r="K1112" s="4" t="str">
        <f>IFERROR(__xludf.DUMMYFUNCTION("""COMPUTED_VALUE"""),"CASA PREMIUM ROTISSERIE E CAFE")</f>
        <v>CASA PREMIUM ROTISSERIE E CAFE</v>
      </c>
      <c r="L1112" s="32">
        <f>IFERROR(__xludf.DUMMYFUNCTION("""COMPUTED_VALUE"""),7.0)</f>
        <v>7</v>
      </c>
      <c r="M1112" s="4" t="str">
        <f>IFERROR(__xludf.DUMMYFUNCTION("""COMPUTED_VALUE"""),"Saipos Serviços De Software")</f>
        <v>Saipos Serviços De Software</v>
      </c>
      <c r="N1112" s="33">
        <f>IFERROR(__xludf.DUMMYFUNCTION("""COMPUTED_VALUE"""),1.0)</f>
        <v>1</v>
      </c>
      <c r="O1112" s="4" t="str">
        <f>IFERROR(__xludf.DUMMYFUNCTION("""COMPUTED_VALUE"""),"Saipos Serviços De Software")</f>
        <v>Saipos Serviços De Software</v>
      </c>
      <c r="P1112" s="33">
        <f>IFERROR(__xludf.DUMMYFUNCTION("""COMPUTED_VALUE"""),1.0)</f>
        <v>1</v>
      </c>
      <c r="Q1112" s="4" t="str">
        <f>IFERROR(__xludf.DUMMYFUNCTION("""COMPUTED_VALUE"""),"Saipos Serviços De Software")</f>
        <v>Saipos Serviços De Software</v>
      </c>
      <c r="R1112" s="33">
        <f>IFERROR(__xludf.DUMMYFUNCTION("""COMPUTED_VALUE"""),1.0)</f>
        <v>1</v>
      </c>
      <c r="S1112" s="4" t="str">
        <f>IFERROR(__xludf.DUMMYFUNCTION("""COMPUTED_VALUE"""),"Saipos Serviços De Software")</f>
        <v>Saipos Serviços De Software</v>
      </c>
      <c r="T1112" s="33">
        <f>IFERROR(__xludf.DUMMYFUNCTION("""COMPUTED_VALUE"""),1.0)</f>
        <v>1</v>
      </c>
      <c r="U1112" s="4" t="str">
        <f>IFERROR(__xludf.DUMMYFUNCTION("""COMPUTED_VALUE"""),"Saipos Serviços De Software")</f>
        <v>Saipos Serviços De Software</v>
      </c>
      <c r="V1112" s="33">
        <f>IFERROR(__xludf.DUMMYFUNCTION("""COMPUTED_VALUE"""),1.0)</f>
        <v>1</v>
      </c>
      <c r="W1112" s="4" t="str">
        <f>IFERROR(__xludf.DUMMYFUNCTION("""COMPUTED_VALUE"""),"Saipos Serviços De Software")</f>
        <v>Saipos Serviços De Software</v>
      </c>
      <c r="X1112" s="33">
        <f>IFERROR(__xludf.DUMMYFUNCTION("""COMPUTED_VALUE"""),1.0)</f>
        <v>1</v>
      </c>
    </row>
    <row r="1113">
      <c r="K1113" s="4" t="str">
        <f>IFERROR(__xludf.DUMMYFUNCTION("""COMPUTED_VALUE"""),"CENORADAS BOLO DE CENOURA")</f>
        <v>CENORADAS BOLO DE CENOURA</v>
      </c>
      <c r="L1113" s="32">
        <f>IFERROR(__xludf.DUMMYFUNCTION("""COMPUTED_VALUE"""),7.0)</f>
        <v>7</v>
      </c>
      <c r="M1113" s="4" t="str">
        <f>IFERROR(__xludf.DUMMYFUNCTION("""COMPUTED_VALUE"""),"null")</f>
        <v>null</v>
      </c>
      <c r="N1113" s="33">
        <f>IFERROR(__xludf.DUMMYFUNCTION("""COMPUTED_VALUE"""),0.7142857142857143)</f>
        <v>0.7142857143</v>
      </c>
      <c r="O1113" s="4" t="str">
        <f>IFERROR(__xludf.DUMMYFUNCTION("""COMPUTED_VALUE"""),"Nox Automação")</f>
        <v>Nox Automação</v>
      </c>
      <c r="P1113" s="33">
        <f>IFERROR(__xludf.DUMMYFUNCTION("""COMPUTED_VALUE"""),0.7142857142857143)</f>
        <v>0.7142857143</v>
      </c>
      <c r="Q1113" s="4" t="str">
        <f>IFERROR(__xludf.DUMMYFUNCTION("""COMPUTED_VALUE"""),"Nox Automação")</f>
        <v>Nox Automação</v>
      </c>
      <c r="R1113" s="33">
        <f>IFERROR(__xludf.DUMMYFUNCTION("""COMPUTED_VALUE"""),0.5714285714285714)</f>
        <v>0.5714285714</v>
      </c>
      <c r="S1113" s="4" t="str">
        <f>IFERROR(__xludf.DUMMYFUNCTION("""COMPUTED_VALUE"""),"null")</f>
        <v>null</v>
      </c>
      <c r="T1113" s="33">
        <f>IFERROR(__xludf.DUMMYFUNCTION("""COMPUTED_VALUE"""),0.8571428571428571)</f>
        <v>0.8571428571</v>
      </c>
      <c r="U1113" s="4" t="str">
        <f>IFERROR(__xludf.DUMMYFUNCTION("""COMPUTED_VALUE"""),"null")</f>
        <v>null</v>
      </c>
      <c r="V1113" s="33">
        <f>IFERROR(__xludf.DUMMYFUNCTION("""COMPUTED_VALUE"""),0.7142857142857143)</f>
        <v>0.7142857143</v>
      </c>
      <c r="W1113" s="4" t="str">
        <f>IFERROR(__xludf.DUMMYFUNCTION("""COMPUTED_VALUE"""),"null")</f>
        <v>null</v>
      </c>
      <c r="X1113" s="33">
        <f>IFERROR(__xludf.DUMMYFUNCTION("""COMPUTED_VALUE"""),1.0)</f>
        <v>1</v>
      </c>
    </row>
    <row r="1114">
      <c r="K1114" s="4" t="str">
        <f>IFERROR(__xludf.DUMMYFUNCTION("""COMPUTED_VALUE"""),"CHEF VERGE")</f>
        <v>CHEF VERGE</v>
      </c>
      <c r="L1114" s="32">
        <f>IFERROR(__xludf.DUMMYFUNCTION("""COMPUTED_VALUE"""),7.0)</f>
        <v>7</v>
      </c>
      <c r="M1114" s="4" t="str">
        <f>IFERROR(__xludf.DUMMYFUNCTION("""COMPUTED_VALUE"""),"E-deploy Retail")</f>
        <v>E-deploy Retail</v>
      </c>
      <c r="N1114" s="33">
        <f>IFERROR(__xludf.DUMMYFUNCTION("""COMPUTED_VALUE"""),0.8571428571428571)</f>
        <v>0.8571428571</v>
      </c>
      <c r="O1114" s="4" t="str">
        <f>IFERROR(__xludf.DUMMYFUNCTION("""COMPUTED_VALUE"""),"E-deploy Retail")</f>
        <v>E-deploy Retail</v>
      </c>
      <c r="P1114" s="33">
        <f>IFERROR(__xludf.DUMMYFUNCTION("""COMPUTED_VALUE"""),0.8571428571428571)</f>
        <v>0.8571428571</v>
      </c>
      <c r="Q1114" s="4" t="str">
        <f>IFERROR(__xludf.DUMMYFUNCTION("""COMPUTED_VALUE"""),"E-deploy Retail")</f>
        <v>E-deploy Retail</v>
      </c>
      <c r="R1114" s="33">
        <f>IFERROR(__xludf.DUMMYFUNCTION("""COMPUTED_VALUE"""),0.5714285714285714)</f>
        <v>0.5714285714</v>
      </c>
      <c r="S1114" s="4" t="str">
        <f>IFERROR(__xludf.DUMMYFUNCTION("""COMPUTED_VALUE"""),"E-deploy Retail")</f>
        <v>E-deploy Retail</v>
      </c>
      <c r="T1114" s="33">
        <f>IFERROR(__xludf.DUMMYFUNCTION("""COMPUTED_VALUE"""),0.7142857142857143)</f>
        <v>0.7142857143</v>
      </c>
      <c r="U1114" s="4" t="str">
        <f>IFERROR(__xludf.DUMMYFUNCTION("""COMPUTED_VALUE"""),"null")</f>
        <v>null</v>
      </c>
      <c r="V1114" s="33">
        <f>IFERROR(__xludf.DUMMYFUNCTION("""COMPUTED_VALUE"""),0.5714285714285714)</f>
        <v>0.5714285714</v>
      </c>
      <c r="W1114" s="4" t="str">
        <f>IFERROR(__xludf.DUMMYFUNCTION("""COMPUTED_VALUE"""),"null")</f>
        <v>null</v>
      </c>
      <c r="X1114" s="33">
        <f>IFERROR(__xludf.DUMMYFUNCTION("""COMPUTED_VALUE"""),0.42857142857142855)</f>
        <v>0.4285714286</v>
      </c>
    </row>
    <row r="1115">
      <c r="K1115" s="4" t="str">
        <f>IFERROR(__xludf.DUMMYFUNCTION("""COMPUTED_VALUE"""),"CHURRASCARIA SAO JUDAS TADEU")</f>
        <v>CHURRASCARIA SAO JUDAS TADEU</v>
      </c>
      <c r="L1115" s="32">
        <f>IFERROR(__xludf.DUMMYFUNCTION("""COMPUTED_VALUE"""),7.0)</f>
        <v>7</v>
      </c>
      <c r="M1115" s="4" t="str">
        <f>IFERROR(__xludf.DUMMYFUNCTION("""COMPUTED_VALUE"""),"Grk Soluções Informatica Eireli")</f>
        <v>Grk Soluções Informatica Eireli</v>
      </c>
      <c r="N1115" s="33">
        <f>IFERROR(__xludf.DUMMYFUNCTION("""COMPUTED_VALUE"""),0.7142857142857143)</f>
        <v>0.7142857143</v>
      </c>
      <c r="O1115" s="4" t="str">
        <f>IFERROR(__xludf.DUMMYFUNCTION("""COMPUTED_VALUE"""),"Grk Soluções Informatica Eireli")</f>
        <v>Grk Soluções Informatica Eireli</v>
      </c>
      <c r="P1115" s="33">
        <f>IFERROR(__xludf.DUMMYFUNCTION("""COMPUTED_VALUE"""),0.7142857142857143)</f>
        <v>0.7142857143</v>
      </c>
      <c r="Q1115" s="4" t="str">
        <f>IFERROR(__xludf.DUMMYFUNCTION("""COMPUTED_VALUE"""),"Grk Soluções Informatica Eireli")</f>
        <v>Grk Soluções Informatica Eireli</v>
      </c>
      <c r="R1115" s="33">
        <f>IFERROR(__xludf.DUMMYFUNCTION("""COMPUTED_VALUE"""),0.7142857142857143)</f>
        <v>0.7142857143</v>
      </c>
      <c r="S1115" s="4" t="str">
        <f>IFERROR(__xludf.DUMMYFUNCTION("""COMPUTED_VALUE"""),"Grk Soluções Informatica Eireli")</f>
        <v>Grk Soluções Informatica Eireli</v>
      </c>
      <c r="T1115" s="33">
        <f>IFERROR(__xludf.DUMMYFUNCTION("""COMPUTED_VALUE"""),0.7142857142857143)</f>
        <v>0.7142857143</v>
      </c>
      <c r="U1115" s="4" t="str">
        <f>IFERROR(__xludf.DUMMYFUNCTION("""COMPUTED_VALUE"""),"Grk Soluções Informatica Eireli")</f>
        <v>Grk Soluções Informatica Eireli</v>
      </c>
      <c r="V1115" s="33">
        <f>IFERROR(__xludf.DUMMYFUNCTION("""COMPUTED_VALUE"""),0.7142857142857143)</f>
        <v>0.7142857143</v>
      </c>
      <c r="W1115" s="4" t="str">
        <f>IFERROR(__xludf.DUMMYFUNCTION("""COMPUTED_VALUE"""),"Grk Soluções Informatica Eireli")</f>
        <v>Grk Soluções Informatica Eireli</v>
      </c>
      <c r="X1115" s="33">
        <f>IFERROR(__xludf.DUMMYFUNCTION("""COMPUTED_VALUE"""),0.7142857142857143)</f>
        <v>0.7142857143</v>
      </c>
    </row>
    <row r="1116">
      <c r="K1116" s="4" t="str">
        <f>IFERROR(__xludf.DUMMYFUNCTION("""COMPUTED_VALUE"""),"CIA DAS PIZZAS")</f>
        <v>CIA DAS PIZZAS</v>
      </c>
      <c r="L1116" s="32">
        <f>IFERROR(__xludf.DUMMYFUNCTION("""COMPUTED_VALUE"""),7.0)</f>
        <v>7</v>
      </c>
      <c r="M1116" s="4" t="str">
        <f>IFERROR(__xludf.DUMMYFUNCTION("""COMPUTED_VALUE"""),"Lexsis Sistemas")</f>
        <v>Lexsis Sistemas</v>
      </c>
      <c r="N1116" s="33">
        <f>IFERROR(__xludf.DUMMYFUNCTION("""COMPUTED_VALUE"""),0.5714285714285714)</f>
        <v>0.5714285714</v>
      </c>
      <c r="O1116" s="4" t="str">
        <f>IFERROR(__xludf.DUMMYFUNCTION("""COMPUTED_VALUE"""),"Lexsis Sistemas")</f>
        <v>Lexsis Sistemas</v>
      </c>
      <c r="P1116" s="33">
        <f>IFERROR(__xludf.DUMMYFUNCTION("""COMPUTED_VALUE"""),0.5714285714285714)</f>
        <v>0.5714285714</v>
      </c>
      <c r="Q1116" s="4" t="str">
        <f>IFERROR(__xludf.DUMMYFUNCTION("""COMPUTED_VALUE"""),"Lexsis Sistemas")</f>
        <v>Lexsis Sistemas</v>
      </c>
      <c r="R1116" s="33">
        <f>IFERROR(__xludf.DUMMYFUNCTION("""COMPUTED_VALUE"""),0.5714285714285714)</f>
        <v>0.5714285714</v>
      </c>
      <c r="S1116" s="4" t="str">
        <f>IFERROR(__xludf.DUMMYFUNCTION("""COMPUTED_VALUE"""),"Lexsis Sistemas")</f>
        <v>Lexsis Sistemas</v>
      </c>
      <c r="T1116" s="33">
        <f>IFERROR(__xludf.DUMMYFUNCTION("""COMPUTED_VALUE"""),0.5714285714285714)</f>
        <v>0.5714285714</v>
      </c>
      <c r="U1116" s="4" t="str">
        <f>IFERROR(__xludf.DUMMYFUNCTION("""COMPUTED_VALUE"""),"Lexsis Sistemas")</f>
        <v>Lexsis Sistemas</v>
      </c>
      <c r="V1116" s="33">
        <f>IFERROR(__xludf.DUMMYFUNCTION("""COMPUTED_VALUE"""),0.5714285714285714)</f>
        <v>0.5714285714</v>
      </c>
      <c r="W1116" s="4" t="str">
        <f>IFERROR(__xludf.DUMMYFUNCTION("""COMPUTED_VALUE"""),"Lexsis Sistemas")</f>
        <v>Lexsis Sistemas</v>
      </c>
      <c r="X1116" s="33">
        <f>IFERROR(__xludf.DUMMYFUNCTION("""COMPUTED_VALUE"""),0.5714285714285714)</f>
        <v>0.5714285714</v>
      </c>
    </row>
    <row r="1117">
      <c r="K1117" s="4" t="str">
        <f>IFERROR(__xludf.DUMMYFUNCTION("""COMPUTED_VALUE"""),"COME COME PIZZARIA HAMBURGUERIA")</f>
        <v>COME COME PIZZARIA HAMBURGUERIA</v>
      </c>
      <c r="L1117" s="32">
        <f>IFERROR(__xludf.DUMMYFUNCTION("""COMPUTED_VALUE"""),7.0)</f>
        <v>7</v>
      </c>
      <c r="M1117" s="4" t="str">
        <f>IFERROR(__xludf.DUMMYFUNCTION("""COMPUTED_VALUE"""),"Saipos Serviços De Software")</f>
        <v>Saipos Serviços De Software</v>
      </c>
      <c r="N1117" s="33">
        <f>IFERROR(__xludf.DUMMYFUNCTION("""COMPUTED_VALUE"""),0.8571428571428571)</f>
        <v>0.8571428571</v>
      </c>
      <c r="O1117" s="4" t="str">
        <f>IFERROR(__xludf.DUMMYFUNCTION("""COMPUTED_VALUE"""),"Saipos Serviços De Software")</f>
        <v>Saipos Serviços De Software</v>
      </c>
      <c r="P1117" s="33">
        <f>IFERROR(__xludf.DUMMYFUNCTION("""COMPUTED_VALUE"""),0.8571428571428571)</f>
        <v>0.8571428571</v>
      </c>
      <c r="Q1117" s="4" t="str">
        <f>IFERROR(__xludf.DUMMYFUNCTION("""COMPUTED_VALUE"""),"Saipos Serviços De Software")</f>
        <v>Saipos Serviços De Software</v>
      </c>
      <c r="R1117" s="33">
        <f>IFERROR(__xludf.DUMMYFUNCTION("""COMPUTED_VALUE"""),0.8571428571428571)</f>
        <v>0.8571428571</v>
      </c>
      <c r="S1117" s="4" t="str">
        <f>IFERROR(__xludf.DUMMYFUNCTION("""COMPUTED_VALUE"""),"Saipos Serviços De Software")</f>
        <v>Saipos Serviços De Software</v>
      </c>
      <c r="T1117" s="33">
        <f>IFERROR(__xludf.DUMMYFUNCTION("""COMPUTED_VALUE"""),1.0)</f>
        <v>1</v>
      </c>
      <c r="U1117" s="4" t="str">
        <f>IFERROR(__xludf.DUMMYFUNCTION("""COMPUTED_VALUE"""),"Saipos Serviços De Software")</f>
        <v>Saipos Serviços De Software</v>
      </c>
      <c r="V1117" s="33">
        <f>IFERROR(__xludf.DUMMYFUNCTION("""COMPUTED_VALUE"""),1.0)</f>
        <v>1</v>
      </c>
      <c r="W1117" s="4" t="str">
        <f>IFERROR(__xludf.DUMMYFUNCTION("""COMPUTED_VALUE"""),"Saipos Serviços De Software")</f>
        <v>Saipos Serviços De Software</v>
      </c>
      <c r="X1117" s="33">
        <f>IFERROR(__xludf.DUMMYFUNCTION("""COMPUTED_VALUE"""),1.0)</f>
        <v>1</v>
      </c>
    </row>
    <row r="1118">
      <c r="K1118" s="4" t="str">
        <f>IFERROR(__xludf.DUMMYFUNCTION("""COMPUTED_VALUE"""),"DELIKATA")</f>
        <v>DELIKATA</v>
      </c>
      <c r="L1118" s="32">
        <f>IFERROR(__xludf.DUMMYFUNCTION("""COMPUTED_VALUE"""),7.0)</f>
        <v>7</v>
      </c>
      <c r="M1118" s="4" t="str">
        <f>IFERROR(__xludf.DUMMYFUNCTION("""COMPUTED_VALUE"""),"Connectplug")</f>
        <v>Connectplug</v>
      </c>
      <c r="N1118" s="33">
        <f>IFERROR(__xludf.DUMMYFUNCTION("""COMPUTED_VALUE"""),1.0)</f>
        <v>1</v>
      </c>
      <c r="O1118" s="4" t="str">
        <f>IFERROR(__xludf.DUMMYFUNCTION("""COMPUTED_VALUE"""),"Connectplug")</f>
        <v>Connectplug</v>
      </c>
      <c r="P1118" s="33">
        <f>IFERROR(__xludf.DUMMYFUNCTION("""COMPUTED_VALUE"""),1.0)</f>
        <v>1</v>
      </c>
      <c r="Q1118" s="4" t="str">
        <f>IFERROR(__xludf.DUMMYFUNCTION("""COMPUTED_VALUE"""),"Connectplug")</f>
        <v>Connectplug</v>
      </c>
      <c r="R1118" s="33">
        <f>IFERROR(__xludf.DUMMYFUNCTION("""COMPUTED_VALUE"""),0.8571428571428571)</f>
        <v>0.8571428571</v>
      </c>
      <c r="S1118" s="4" t="str">
        <f>IFERROR(__xludf.DUMMYFUNCTION("""COMPUTED_VALUE"""),"Saipos Serviços De Software")</f>
        <v>Saipos Serviços De Software</v>
      </c>
      <c r="T1118" s="33">
        <f>IFERROR(__xludf.DUMMYFUNCTION("""COMPUTED_VALUE"""),1.0)</f>
        <v>1</v>
      </c>
      <c r="U1118" s="4" t="str">
        <f>IFERROR(__xludf.DUMMYFUNCTION("""COMPUTED_VALUE"""),"Saipos Serviços De Software")</f>
        <v>Saipos Serviços De Software</v>
      </c>
      <c r="V1118" s="33">
        <f>IFERROR(__xludf.DUMMYFUNCTION("""COMPUTED_VALUE"""),1.0)</f>
        <v>1</v>
      </c>
      <c r="W1118" s="4" t="str">
        <f>IFERROR(__xludf.DUMMYFUNCTION("""COMPUTED_VALUE"""),"Saipos Serviços De Software")</f>
        <v>Saipos Serviços De Software</v>
      </c>
      <c r="X1118" s="33">
        <f>IFERROR(__xludf.DUMMYFUNCTION("""COMPUTED_VALUE"""),1.0)</f>
        <v>1</v>
      </c>
    </row>
    <row r="1119">
      <c r="K1119" s="4" t="str">
        <f>IFERROR(__xludf.DUMMYFUNCTION("""COMPUTED_VALUE"""),"DI LIANA RESTAURANTE")</f>
        <v>DI LIANA RESTAURANTE</v>
      </c>
      <c r="L1119" s="32">
        <f>IFERROR(__xludf.DUMMYFUNCTION("""COMPUTED_VALUE"""),7.0)</f>
        <v>7</v>
      </c>
      <c r="M1119" s="4" t="str">
        <f>IFERROR(__xludf.DUMMYFUNCTION("""COMPUTED_VALUE"""),"Linked Gourmet Solucoes Para Restaurantes S.a")</f>
        <v>Linked Gourmet Solucoes Para Restaurantes S.a</v>
      </c>
      <c r="N1119" s="33">
        <f>IFERROR(__xludf.DUMMYFUNCTION("""COMPUTED_VALUE"""),0.7142857142857143)</f>
        <v>0.7142857143</v>
      </c>
      <c r="O1119" s="4" t="str">
        <f>IFERROR(__xludf.DUMMYFUNCTION("""COMPUTED_VALUE"""),"null")</f>
        <v>null</v>
      </c>
      <c r="P1119" s="33">
        <f>IFERROR(__xludf.DUMMYFUNCTION("""COMPUTED_VALUE"""),0.8571428571428571)</f>
        <v>0.8571428571</v>
      </c>
      <c r="Q1119" s="4" t="str">
        <f>IFERROR(__xludf.DUMMYFUNCTION("""COMPUTED_VALUE"""),"null")</f>
        <v>null</v>
      </c>
      <c r="R1119" s="33">
        <f>IFERROR(__xludf.DUMMYFUNCTION("""COMPUTED_VALUE"""),0.5714285714285714)</f>
        <v>0.5714285714</v>
      </c>
      <c r="S1119" s="4" t="str">
        <f>IFERROR(__xludf.DUMMYFUNCTION("""COMPUTED_VALUE"""),"Linked Gourmet Solucoes Para Restaurantes S.a")</f>
        <v>Linked Gourmet Solucoes Para Restaurantes S.a</v>
      </c>
      <c r="T1119" s="33">
        <f>IFERROR(__xludf.DUMMYFUNCTION("""COMPUTED_VALUE"""),0.5714285714285714)</f>
        <v>0.5714285714</v>
      </c>
      <c r="U1119" s="4" t="str">
        <f>IFERROR(__xludf.DUMMYFUNCTION("""COMPUTED_VALUE"""),"null")</f>
        <v>null</v>
      </c>
      <c r="V1119" s="33">
        <f>IFERROR(__xludf.DUMMYFUNCTION("""COMPUTED_VALUE"""),0.7142857142857143)</f>
        <v>0.7142857143</v>
      </c>
      <c r="W1119" s="4" t="str">
        <f>IFERROR(__xludf.DUMMYFUNCTION("""COMPUTED_VALUE"""),"null")</f>
        <v>null</v>
      </c>
      <c r="X1119" s="33">
        <f>IFERROR(__xludf.DUMMYFUNCTION("""COMPUTED_VALUE"""),0.8571428571428571)</f>
        <v>0.8571428571</v>
      </c>
    </row>
    <row r="1120">
      <c r="K1120" s="4" t="str">
        <f>IFERROR(__xludf.DUMMYFUNCTION("""COMPUTED_VALUE"""),"DINIZ SUPERMERCADOS- SUPER ECONOMICO- CONTA PAI")</f>
        <v>DINIZ SUPERMERCADOS- SUPER ECONOMICO- CONTA PAI</v>
      </c>
      <c r="L1120" s="32">
        <f>IFERROR(__xludf.DUMMYFUNCTION("""COMPUTED_VALUE"""),7.0)</f>
        <v>7</v>
      </c>
      <c r="M1120" s="4" t="str">
        <f>IFERROR(__xludf.DUMMYFUNCTION("""COMPUTED_VALUE"""),"N/A (Not found)")</f>
        <v>N/A (Not found)</v>
      </c>
      <c r="N1120" s="33">
        <f>IFERROR(__xludf.DUMMYFUNCTION("""COMPUTED_VALUE"""),0.8571428571428571)</f>
        <v>0.8571428571</v>
      </c>
      <c r="O1120" s="4" t="str">
        <f>IFERROR(__xludf.DUMMYFUNCTION("""COMPUTED_VALUE"""),"N/A (Not found)")</f>
        <v>N/A (Not found)</v>
      </c>
      <c r="P1120" s="33">
        <f>IFERROR(__xludf.DUMMYFUNCTION("""COMPUTED_VALUE"""),0.8571428571428571)</f>
        <v>0.8571428571</v>
      </c>
      <c r="Q1120" s="4" t="str">
        <f>IFERROR(__xludf.DUMMYFUNCTION("""COMPUTED_VALUE"""),"N/A (Not found)")</f>
        <v>N/A (Not found)</v>
      </c>
      <c r="R1120" s="33">
        <f>IFERROR(__xludf.DUMMYFUNCTION("""COMPUTED_VALUE"""),0.8571428571428571)</f>
        <v>0.8571428571</v>
      </c>
      <c r="S1120" s="4" t="str">
        <f>IFERROR(__xludf.DUMMYFUNCTION("""COMPUTED_VALUE"""),"N/A (Not found)")</f>
        <v>N/A (Not found)</v>
      </c>
      <c r="T1120" s="33">
        <f>IFERROR(__xludf.DUMMYFUNCTION("""COMPUTED_VALUE"""),0.7142857142857143)</f>
        <v>0.7142857143</v>
      </c>
      <c r="U1120" s="4" t="str">
        <f>IFERROR(__xludf.DUMMYFUNCTION("""COMPUTED_VALUE"""),"N/A (Not found)")</f>
        <v>N/A (Not found)</v>
      </c>
      <c r="V1120" s="33">
        <f>IFERROR(__xludf.DUMMYFUNCTION("""COMPUTED_VALUE"""),0.7142857142857143)</f>
        <v>0.7142857143</v>
      </c>
      <c r="W1120" s="4" t="str">
        <f>IFERROR(__xludf.DUMMYFUNCTION("""COMPUTED_VALUE"""),"N/A (Not found)")</f>
        <v>N/A (Not found)</v>
      </c>
      <c r="X1120" s="33">
        <f>IFERROR(__xludf.DUMMYFUNCTION("""COMPUTED_VALUE"""),0.8571428571428571)</f>
        <v>0.8571428571</v>
      </c>
    </row>
    <row r="1121">
      <c r="K1121" s="4" t="str">
        <f>IFERROR(__xludf.DUMMYFUNCTION("""COMPUTED_VALUE"""),"DOM BOLINHA - CONTA PAI")</f>
        <v>DOM BOLINHA - CONTA PAI</v>
      </c>
      <c r="L1121" s="32">
        <f>IFERROR(__xludf.DUMMYFUNCTION("""COMPUTED_VALUE"""),7.0)</f>
        <v>7</v>
      </c>
      <c r="M1121" s="4" t="str">
        <f>IFERROR(__xludf.DUMMYFUNCTION("""COMPUTED_VALUE"""),"Ncr")</f>
        <v>Ncr</v>
      </c>
      <c r="N1121" s="33">
        <f>IFERROR(__xludf.DUMMYFUNCTION("""COMPUTED_VALUE"""),1.0)</f>
        <v>1</v>
      </c>
      <c r="O1121" s="4" t="str">
        <f>IFERROR(__xludf.DUMMYFUNCTION("""COMPUTED_VALUE"""),"Ncr")</f>
        <v>Ncr</v>
      </c>
      <c r="P1121" s="33">
        <f>IFERROR(__xludf.DUMMYFUNCTION("""COMPUTED_VALUE"""),1.0)</f>
        <v>1</v>
      </c>
      <c r="Q1121" s="4" t="str">
        <f>IFERROR(__xludf.DUMMYFUNCTION("""COMPUTED_VALUE"""),"Ncr")</f>
        <v>Ncr</v>
      </c>
      <c r="R1121" s="33">
        <f>IFERROR(__xludf.DUMMYFUNCTION("""COMPUTED_VALUE"""),1.0)</f>
        <v>1</v>
      </c>
      <c r="S1121" s="4" t="str">
        <f>IFERROR(__xludf.DUMMYFUNCTION("""COMPUTED_VALUE"""),"Ncr")</f>
        <v>Ncr</v>
      </c>
      <c r="T1121" s="33">
        <f>IFERROR(__xludf.DUMMYFUNCTION("""COMPUTED_VALUE"""),0.8571428571428571)</f>
        <v>0.8571428571</v>
      </c>
      <c r="U1121" s="4" t="str">
        <f>IFERROR(__xludf.DUMMYFUNCTION("""COMPUTED_VALUE"""),"Ncr")</f>
        <v>Ncr</v>
      </c>
      <c r="V1121" s="33">
        <f>IFERROR(__xludf.DUMMYFUNCTION("""COMPUTED_VALUE"""),1.0)</f>
        <v>1</v>
      </c>
      <c r="W1121" s="4" t="str">
        <f>IFERROR(__xludf.DUMMYFUNCTION("""COMPUTED_VALUE"""),"Ncr")</f>
        <v>Ncr</v>
      </c>
      <c r="X1121" s="33">
        <f>IFERROR(__xludf.DUMMYFUNCTION("""COMPUTED_VALUE"""),0.8571428571428571)</f>
        <v>0.8571428571</v>
      </c>
    </row>
    <row r="1122">
      <c r="K1122" s="4" t="str">
        <f>IFERROR(__xludf.DUMMYFUNCTION("""COMPUTED_VALUE"""),"DON PEPE DI NAPOLI")</f>
        <v>DON PEPE DI NAPOLI</v>
      </c>
      <c r="L1122" s="32">
        <f>IFERROR(__xludf.DUMMYFUNCTION("""COMPUTED_VALUE"""),7.0)</f>
        <v>7</v>
      </c>
      <c r="M1122" s="4" t="str">
        <f>IFERROR(__xludf.DUMMYFUNCTION("""COMPUTED_VALUE"""),"Lasertech Sistemas Ltda Me")</f>
        <v>Lasertech Sistemas Ltda Me</v>
      </c>
      <c r="N1122" s="33">
        <f>IFERROR(__xludf.DUMMYFUNCTION("""COMPUTED_VALUE"""),0.5714285714285714)</f>
        <v>0.5714285714</v>
      </c>
      <c r="O1122" s="4" t="str">
        <f>IFERROR(__xludf.DUMMYFUNCTION("""COMPUTED_VALUE"""),"Lasertech Sistemas Ltda Me")</f>
        <v>Lasertech Sistemas Ltda Me</v>
      </c>
      <c r="P1122" s="33">
        <f>IFERROR(__xludf.DUMMYFUNCTION("""COMPUTED_VALUE"""),0.5714285714285714)</f>
        <v>0.5714285714</v>
      </c>
      <c r="Q1122" s="4" t="str">
        <f>IFERROR(__xludf.DUMMYFUNCTION("""COMPUTED_VALUE"""),"Lasertech Sistemas Ltda Me")</f>
        <v>Lasertech Sistemas Ltda Me</v>
      </c>
      <c r="R1122" s="33">
        <f>IFERROR(__xludf.DUMMYFUNCTION("""COMPUTED_VALUE"""),0.5714285714285714)</f>
        <v>0.5714285714</v>
      </c>
      <c r="S1122" s="4" t="str">
        <f>IFERROR(__xludf.DUMMYFUNCTION("""COMPUTED_VALUE"""),"null")</f>
        <v>null</v>
      </c>
      <c r="T1122" s="33">
        <f>IFERROR(__xludf.DUMMYFUNCTION("""COMPUTED_VALUE"""),0.5714285714285714)</f>
        <v>0.5714285714</v>
      </c>
      <c r="U1122" s="4" t="str">
        <f>IFERROR(__xludf.DUMMYFUNCTION("""COMPUTED_VALUE"""),"Lasertech Sistemas Ltda Me")</f>
        <v>Lasertech Sistemas Ltda Me</v>
      </c>
      <c r="V1122" s="33">
        <f>IFERROR(__xludf.DUMMYFUNCTION("""COMPUTED_VALUE"""),0.8571428571428571)</f>
        <v>0.8571428571</v>
      </c>
      <c r="W1122" s="4" t="str">
        <f>IFERROR(__xludf.DUMMYFUNCTION("""COMPUTED_VALUE"""),"null")</f>
        <v>null</v>
      </c>
      <c r="X1122" s="33">
        <f>IFERROR(__xludf.DUMMYFUNCTION("""COMPUTED_VALUE"""),0.7142857142857143)</f>
        <v>0.7142857143</v>
      </c>
    </row>
    <row r="1123">
      <c r="K1123" s="4" t="str">
        <f>IFERROR(__xludf.DUMMYFUNCTION("""COMPUTED_VALUE"""),"DROGARIA POVAO - CONTA MARCA")</f>
        <v>DROGARIA POVAO - CONTA MARCA</v>
      </c>
      <c r="L1123" s="32">
        <f>IFERROR(__xludf.DUMMYFUNCTION("""COMPUTED_VALUE"""),7.0)</f>
        <v>7</v>
      </c>
      <c r="M1123" s="4" t="str">
        <f>IFERROR(__xludf.DUMMYFUNCTION("""COMPUTED_VALUE"""),"N/A (Not found)")</f>
        <v>N/A (Not found)</v>
      </c>
      <c r="N1123" s="33">
        <f>IFERROR(__xludf.DUMMYFUNCTION("""COMPUTED_VALUE"""),0.8571428571428571)</f>
        <v>0.8571428571</v>
      </c>
      <c r="O1123" s="4" t="str">
        <f>IFERROR(__xludf.DUMMYFUNCTION("""COMPUTED_VALUE"""),"N/A (Not found)")</f>
        <v>N/A (Not found)</v>
      </c>
      <c r="P1123" s="33">
        <f>IFERROR(__xludf.DUMMYFUNCTION("""COMPUTED_VALUE"""),0.7142857142857143)</f>
        <v>0.7142857143</v>
      </c>
      <c r="Q1123" s="4" t="str">
        <f>IFERROR(__xludf.DUMMYFUNCTION("""COMPUTED_VALUE"""),"N/A (Not found)")</f>
        <v>N/A (Not found)</v>
      </c>
      <c r="R1123" s="33">
        <f>IFERROR(__xludf.DUMMYFUNCTION("""COMPUTED_VALUE"""),0.7142857142857143)</f>
        <v>0.7142857143</v>
      </c>
      <c r="S1123" s="4" t="str">
        <f>IFERROR(__xludf.DUMMYFUNCTION("""COMPUTED_VALUE"""),"N/A (Not found)")</f>
        <v>N/A (Not found)</v>
      </c>
      <c r="T1123" s="33">
        <f>IFERROR(__xludf.DUMMYFUNCTION("""COMPUTED_VALUE"""),0.7142857142857143)</f>
        <v>0.7142857143</v>
      </c>
      <c r="U1123" s="4" t="str">
        <f>IFERROR(__xludf.DUMMYFUNCTION("""COMPUTED_VALUE"""),"N/A (Not found)")</f>
        <v>N/A (Not found)</v>
      </c>
      <c r="V1123" s="33">
        <f>IFERROR(__xludf.DUMMYFUNCTION("""COMPUTED_VALUE"""),0.8571428571428571)</f>
        <v>0.8571428571</v>
      </c>
      <c r="W1123" s="4" t="str">
        <f>IFERROR(__xludf.DUMMYFUNCTION("""COMPUTED_VALUE"""),"N/A (Not found)")</f>
        <v>N/A (Not found)</v>
      </c>
      <c r="X1123" s="33">
        <f>IFERROR(__xludf.DUMMYFUNCTION("""COMPUTED_VALUE"""),1.0)</f>
        <v>1</v>
      </c>
    </row>
    <row r="1124">
      <c r="K1124" s="4" t="str">
        <f>IFERROR(__xludf.DUMMYFUNCTION("""COMPUTED_VALUE"""),"DROGARIAS CONCEITO - LOJAS LOUZADA - CONTA MARCA")</f>
        <v>DROGARIAS CONCEITO - LOJAS LOUZADA - CONTA MARCA</v>
      </c>
      <c r="L1124" s="32">
        <f>IFERROR(__xludf.DUMMYFUNCTION("""COMPUTED_VALUE"""),7.0)</f>
        <v>7</v>
      </c>
      <c r="M1124" s="4" t="str">
        <f>IFERROR(__xludf.DUMMYFUNCTION("""COMPUTED_VALUE"""),"N/A (Not found)")</f>
        <v>N/A (Not found)</v>
      </c>
      <c r="N1124" s="33">
        <f>IFERROR(__xludf.DUMMYFUNCTION("""COMPUTED_VALUE"""),1.0)</f>
        <v>1</v>
      </c>
      <c r="O1124" s="4" t="str">
        <f>IFERROR(__xludf.DUMMYFUNCTION("""COMPUTED_VALUE"""),"N/A (Not found)")</f>
        <v>N/A (Not found)</v>
      </c>
      <c r="P1124" s="33">
        <f>IFERROR(__xludf.DUMMYFUNCTION("""COMPUTED_VALUE"""),1.0)</f>
        <v>1</v>
      </c>
      <c r="Q1124" s="4" t="str">
        <f>IFERROR(__xludf.DUMMYFUNCTION("""COMPUTED_VALUE"""),"N/A (Not found)")</f>
        <v>N/A (Not found)</v>
      </c>
      <c r="R1124" s="33">
        <f>IFERROR(__xludf.DUMMYFUNCTION("""COMPUTED_VALUE"""),1.0)</f>
        <v>1</v>
      </c>
      <c r="S1124" s="4" t="str">
        <f>IFERROR(__xludf.DUMMYFUNCTION("""COMPUTED_VALUE"""),"N/A (Not found)")</f>
        <v>N/A (Not found)</v>
      </c>
      <c r="T1124" s="33">
        <f>IFERROR(__xludf.DUMMYFUNCTION("""COMPUTED_VALUE"""),1.0)</f>
        <v>1</v>
      </c>
      <c r="U1124" s="4" t="str">
        <f>IFERROR(__xludf.DUMMYFUNCTION("""COMPUTED_VALUE"""),"N/A (Not found)")</f>
        <v>N/A (Not found)</v>
      </c>
      <c r="V1124" s="33">
        <f>IFERROR(__xludf.DUMMYFUNCTION("""COMPUTED_VALUE"""),1.0)</f>
        <v>1</v>
      </c>
      <c r="W1124" s="4" t="str">
        <f>IFERROR(__xludf.DUMMYFUNCTION("""COMPUTED_VALUE"""),"N/A (Not found)")</f>
        <v>N/A (Not found)</v>
      </c>
      <c r="X1124" s="33">
        <f>IFERROR(__xludf.DUMMYFUNCTION("""COMPUTED_VALUE"""),0.8571428571428571)</f>
        <v>0.8571428571</v>
      </c>
    </row>
    <row r="1125">
      <c r="K1125" s="4" t="str">
        <f>IFERROR(__xludf.DUMMYFUNCTION("""COMPUTED_VALUE"""),"DROGARIAS CUMANI GRUPO FLAVIO ROSA - CONTA MARCA")</f>
        <v>DROGARIAS CUMANI GRUPO FLAVIO ROSA - CONTA MARCA</v>
      </c>
      <c r="L1125" s="32">
        <f>IFERROR(__xludf.DUMMYFUNCTION("""COMPUTED_VALUE"""),7.0)</f>
        <v>7</v>
      </c>
      <c r="M1125" s="4" t="str">
        <f>IFERROR(__xludf.DUMMYFUNCTION("""COMPUTED_VALUE"""),"N/A (Not found)")</f>
        <v>N/A (Not found)</v>
      </c>
      <c r="N1125" s="33">
        <f>IFERROR(__xludf.DUMMYFUNCTION("""COMPUTED_VALUE"""),1.0)</f>
        <v>1</v>
      </c>
      <c r="O1125" s="4" t="str">
        <f>IFERROR(__xludf.DUMMYFUNCTION("""COMPUTED_VALUE"""),"N/A (Not found)")</f>
        <v>N/A (Not found)</v>
      </c>
      <c r="P1125" s="33">
        <f>IFERROR(__xludf.DUMMYFUNCTION("""COMPUTED_VALUE"""),1.0)</f>
        <v>1</v>
      </c>
      <c r="Q1125" s="4" t="str">
        <f>IFERROR(__xludf.DUMMYFUNCTION("""COMPUTED_VALUE"""),"N/A (Not found)")</f>
        <v>N/A (Not found)</v>
      </c>
      <c r="R1125" s="33">
        <f>IFERROR(__xludf.DUMMYFUNCTION("""COMPUTED_VALUE"""),1.0)</f>
        <v>1</v>
      </c>
      <c r="S1125" s="4" t="str">
        <f>IFERROR(__xludf.DUMMYFUNCTION("""COMPUTED_VALUE"""),"N/A (Not found)")</f>
        <v>N/A (Not found)</v>
      </c>
      <c r="T1125" s="33">
        <f>IFERROR(__xludf.DUMMYFUNCTION("""COMPUTED_VALUE"""),1.0)</f>
        <v>1</v>
      </c>
      <c r="U1125" s="4" t="str">
        <f>IFERROR(__xludf.DUMMYFUNCTION("""COMPUTED_VALUE"""),"N/A (Not found)")</f>
        <v>N/A (Not found)</v>
      </c>
      <c r="V1125" s="33">
        <f>IFERROR(__xludf.DUMMYFUNCTION("""COMPUTED_VALUE"""),1.0)</f>
        <v>1</v>
      </c>
      <c r="W1125" s="4" t="str">
        <f>IFERROR(__xludf.DUMMYFUNCTION("""COMPUTED_VALUE"""),"N/A (Not found)")</f>
        <v>N/A (Not found)</v>
      </c>
      <c r="X1125" s="33">
        <f>IFERROR(__xludf.DUMMYFUNCTION("""COMPUTED_VALUE"""),1.0)</f>
        <v>1</v>
      </c>
    </row>
    <row r="1126">
      <c r="K1126" s="4" t="str">
        <f>IFERROR(__xludf.DUMMYFUNCTION("""COMPUTED_VALUE"""),"DROGARIAS MAX- CONTA PAI")</f>
        <v>DROGARIAS MAX- CONTA PAI</v>
      </c>
      <c r="L1126" s="32">
        <f>IFERROR(__xludf.DUMMYFUNCTION("""COMPUTED_VALUE"""),7.0)</f>
        <v>7</v>
      </c>
      <c r="M1126" s="4" t="str">
        <f>IFERROR(__xludf.DUMMYFUNCTION("""COMPUTED_VALUE"""),"N/A (Not found)")</f>
        <v>N/A (Not found)</v>
      </c>
      <c r="N1126" s="33">
        <f>IFERROR(__xludf.DUMMYFUNCTION("""COMPUTED_VALUE"""),1.0)</f>
        <v>1</v>
      </c>
      <c r="O1126" s="4" t="str">
        <f>IFERROR(__xludf.DUMMYFUNCTION("""COMPUTED_VALUE"""),"N/A (Not found)")</f>
        <v>N/A (Not found)</v>
      </c>
      <c r="P1126" s="33">
        <f>IFERROR(__xludf.DUMMYFUNCTION("""COMPUTED_VALUE"""),1.0)</f>
        <v>1</v>
      </c>
      <c r="Q1126" s="4" t="str">
        <f>IFERROR(__xludf.DUMMYFUNCTION("""COMPUTED_VALUE"""),"N/A (Not found)")</f>
        <v>N/A (Not found)</v>
      </c>
      <c r="R1126" s="33">
        <f>IFERROR(__xludf.DUMMYFUNCTION("""COMPUTED_VALUE"""),1.0)</f>
        <v>1</v>
      </c>
      <c r="S1126" s="4" t="str">
        <f>IFERROR(__xludf.DUMMYFUNCTION("""COMPUTED_VALUE"""),"N/A (Not found)")</f>
        <v>N/A (Not found)</v>
      </c>
      <c r="T1126" s="33">
        <f>IFERROR(__xludf.DUMMYFUNCTION("""COMPUTED_VALUE"""),0.7142857142857143)</f>
        <v>0.7142857143</v>
      </c>
      <c r="U1126" s="4" t="str">
        <f>IFERROR(__xludf.DUMMYFUNCTION("""COMPUTED_VALUE"""),"N/A (Not found)")</f>
        <v>N/A (Not found)</v>
      </c>
      <c r="V1126" s="33">
        <f>IFERROR(__xludf.DUMMYFUNCTION("""COMPUTED_VALUE"""),0.5714285714285714)</f>
        <v>0.5714285714</v>
      </c>
      <c r="W1126" s="4" t="str">
        <f>IFERROR(__xludf.DUMMYFUNCTION("""COMPUTED_VALUE"""),"N/A (Not found)")</f>
        <v>N/A (Not found)</v>
      </c>
      <c r="X1126" s="33">
        <f>IFERROR(__xludf.DUMMYFUNCTION("""COMPUTED_VALUE"""),0.7142857142857143)</f>
        <v>0.7142857143</v>
      </c>
    </row>
    <row r="1127">
      <c r="K1127" s="4" t="str">
        <f>IFERROR(__xludf.DUMMYFUNCTION("""COMPUTED_VALUE"""),"EAT ASIA - MARCA")</f>
        <v>EAT ASIA - MARCA</v>
      </c>
      <c r="L1127" s="32">
        <f>IFERROR(__xludf.DUMMYFUNCTION("""COMPUTED_VALUE"""),7.0)</f>
        <v>7</v>
      </c>
      <c r="M1127" s="4" t="str">
        <f>IFERROR(__xludf.DUMMYFUNCTION("""COMPUTED_VALUE"""),"Saipos Serviços De Software")</f>
        <v>Saipos Serviços De Software</v>
      </c>
      <c r="N1127" s="33">
        <f>IFERROR(__xludf.DUMMYFUNCTION("""COMPUTED_VALUE"""),0.5714285714285714)</f>
        <v>0.5714285714</v>
      </c>
      <c r="O1127" s="4" t="str">
        <f>IFERROR(__xludf.DUMMYFUNCTION("""COMPUTED_VALUE"""),"Saipos Serviços De Software")</f>
        <v>Saipos Serviços De Software</v>
      </c>
      <c r="P1127" s="33">
        <f>IFERROR(__xludf.DUMMYFUNCTION("""COMPUTED_VALUE"""),0.42857142857142855)</f>
        <v>0.4285714286</v>
      </c>
      <c r="Q1127" s="4" t="str">
        <f>IFERROR(__xludf.DUMMYFUNCTION("""COMPUTED_VALUE"""),"Saipos Serviços De Software")</f>
        <v>Saipos Serviços De Software</v>
      </c>
      <c r="R1127" s="33">
        <f>IFERROR(__xludf.DUMMYFUNCTION("""COMPUTED_VALUE"""),0.42857142857142855)</f>
        <v>0.4285714286</v>
      </c>
      <c r="S1127" s="4" t="str">
        <f>IFERROR(__xludf.DUMMYFUNCTION("""COMPUTED_VALUE"""),"Saipos Serviços De Software")</f>
        <v>Saipos Serviços De Software</v>
      </c>
      <c r="T1127" s="33">
        <f>IFERROR(__xludf.DUMMYFUNCTION("""COMPUTED_VALUE"""),0.42857142857142855)</f>
        <v>0.4285714286</v>
      </c>
      <c r="U1127" s="4" t="str">
        <f>IFERROR(__xludf.DUMMYFUNCTION("""COMPUTED_VALUE"""),"Saipos Serviços De Software")</f>
        <v>Saipos Serviços De Software</v>
      </c>
      <c r="V1127" s="33">
        <f>IFERROR(__xludf.DUMMYFUNCTION("""COMPUTED_VALUE"""),0.42857142857142855)</f>
        <v>0.4285714286</v>
      </c>
      <c r="W1127" s="4" t="str">
        <f>IFERROR(__xludf.DUMMYFUNCTION("""COMPUTED_VALUE"""),"null")</f>
        <v>null</v>
      </c>
      <c r="X1127" s="33">
        <f>IFERROR(__xludf.DUMMYFUNCTION("""COMPUTED_VALUE"""),0.42857142857142855)</f>
        <v>0.4285714286</v>
      </c>
    </row>
    <row r="1128">
      <c r="K1128" s="4" t="str">
        <f>IFERROR(__xludf.DUMMYFUNCTION("""COMPUTED_VALUE"""),"EMPORIO DO PAO - RUI BARBOSA CONTA MARCA")</f>
        <v>EMPORIO DO PAO - RUI BARBOSA CONTA MARCA</v>
      </c>
      <c r="L1128" s="32">
        <f>IFERROR(__xludf.DUMMYFUNCTION("""COMPUTED_VALUE"""),7.0)</f>
        <v>7</v>
      </c>
      <c r="M1128" s="4" t="str">
        <f>IFERROR(__xludf.DUMMYFUNCTION("""COMPUTED_VALUE"""),"Stone Co.")</f>
        <v>Stone Co.</v>
      </c>
      <c r="N1128" s="33">
        <f>IFERROR(__xludf.DUMMYFUNCTION("""COMPUTED_VALUE"""),1.0)</f>
        <v>1</v>
      </c>
      <c r="O1128" s="4" t="str">
        <f>IFERROR(__xludf.DUMMYFUNCTION("""COMPUTED_VALUE"""),"Stone Co.")</f>
        <v>Stone Co.</v>
      </c>
      <c r="P1128" s="33">
        <f>IFERROR(__xludf.DUMMYFUNCTION("""COMPUTED_VALUE"""),1.0)</f>
        <v>1</v>
      </c>
      <c r="Q1128" s="4" t="str">
        <f>IFERROR(__xludf.DUMMYFUNCTION("""COMPUTED_VALUE"""),"Stone Co.")</f>
        <v>Stone Co.</v>
      </c>
      <c r="R1128" s="33">
        <f>IFERROR(__xludf.DUMMYFUNCTION("""COMPUTED_VALUE"""),1.0)</f>
        <v>1</v>
      </c>
      <c r="S1128" s="4" t="str">
        <f>IFERROR(__xludf.DUMMYFUNCTION("""COMPUTED_VALUE"""),"Stone Co.")</f>
        <v>Stone Co.</v>
      </c>
      <c r="T1128" s="33">
        <f>IFERROR(__xludf.DUMMYFUNCTION("""COMPUTED_VALUE"""),1.0)</f>
        <v>1</v>
      </c>
      <c r="U1128" s="4" t="str">
        <f>IFERROR(__xludf.DUMMYFUNCTION("""COMPUTED_VALUE"""),"Stone Co.")</f>
        <v>Stone Co.</v>
      </c>
      <c r="V1128" s="33">
        <f>IFERROR(__xludf.DUMMYFUNCTION("""COMPUTED_VALUE"""),0.8571428571428571)</f>
        <v>0.8571428571</v>
      </c>
      <c r="W1128" s="4" t="str">
        <f>IFERROR(__xludf.DUMMYFUNCTION("""COMPUTED_VALUE"""),"Stone Co.")</f>
        <v>Stone Co.</v>
      </c>
      <c r="X1128" s="33">
        <f>IFERROR(__xludf.DUMMYFUNCTION("""COMPUTED_VALUE"""),0.8571428571428571)</f>
        <v>0.8571428571</v>
      </c>
    </row>
    <row r="1129">
      <c r="K1129" s="4" t="str">
        <f>IFERROR(__xludf.DUMMYFUNCTION("""COMPUTED_VALUE"""),"EMPORIO VEGAS RESTAURANTE")</f>
        <v>EMPORIO VEGAS RESTAURANTE</v>
      </c>
      <c r="L1129" s="32">
        <f>IFERROR(__xludf.DUMMYFUNCTION("""COMPUTED_VALUE"""),7.0)</f>
        <v>7</v>
      </c>
      <c r="M1129" s="4" t="str">
        <f>IFERROR(__xludf.DUMMYFUNCTION("""COMPUTED_VALUE"""),"Consumer Soluções Em Tecnologia Ltda")</f>
        <v>Consumer Soluções Em Tecnologia Ltda</v>
      </c>
      <c r="N1129" s="33">
        <f>IFERROR(__xludf.DUMMYFUNCTION("""COMPUTED_VALUE"""),0.5714285714285714)</f>
        <v>0.5714285714</v>
      </c>
      <c r="O1129" s="4" t="str">
        <f>IFERROR(__xludf.DUMMYFUNCTION("""COMPUTED_VALUE"""),"null")</f>
        <v>null</v>
      </c>
      <c r="P1129" s="33">
        <f>IFERROR(__xludf.DUMMYFUNCTION("""COMPUTED_VALUE"""),0.42857142857142855)</f>
        <v>0.4285714286</v>
      </c>
      <c r="Q1129" s="4" t="str">
        <f>IFERROR(__xludf.DUMMYFUNCTION("""COMPUTED_VALUE"""),"Saipos Serviços De Software")</f>
        <v>Saipos Serviços De Software</v>
      </c>
      <c r="R1129" s="33">
        <f>IFERROR(__xludf.DUMMYFUNCTION("""COMPUTED_VALUE"""),1.0)</f>
        <v>1</v>
      </c>
      <c r="S1129" s="4" t="str">
        <f>IFERROR(__xludf.DUMMYFUNCTION("""COMPUTED_VALUE"""),"Saipos Serviços De Software")</f>
        <v>Saipos Serviços De Software</v>
      </c>
      <c r="T1129" s="33">
        <f>IFERROR(__xludf.DUMMYFUNCTION("""COMPUTED_VALUE"""),0.8571428571428571)</f>
        <v>0.8571428571</v>
      </c>
      <c r="U1129" s="4" t="str">
        <f>IFERROR(__xludf.DUMMYFUNCTION("""COMPUTED_VALUE"""),"Saipos Serviços De Software")</f>
        <v>Saipos Serviços De Software</v>
      </c>
      <c r="V1129" s="33">
        <f>IFERROR(__xludf.DUMMYFUNCTION("""COMPUTED_VALUE"""),0.8571428571428571)</f>
        <v>0.8571428571</v>
      </c>
      <c r="W1129" s="4" t="str">
        <f>IFERROR(__xludf.DUMMYFUNCTION("""COMPUTED_VALUE"""),"Saipos Serviços De Software")</f>
        <v>Saipos Serviços De Software</v>
      </c>
      <c r="X1129" s="33">
        <f>IFERROR(__xludf.DUMMYFUNCTION("""COMPUTED_VALUE"""),1.0)</f>
        <v>1</v>
      </c>
    </row>
    <row r="1130">
      <c r="K1130" s="4" t="str">
        <f>IFERROR(__xludf.DUMMYFUNCTION("""COMPUTED_VALUE"""),"ESTRELA DO LAR - CONTA")</f>
        <v>ESTRELA DO LAR - CONTA</v>
      </c>
      <c r="L1130" s="32">
        <f>IFERROR(__xludf.DUMMYFUNCTION("""COMPUTED_VALUE"""),7.0)</f>
        <v>7</v>
      </c>
      <c r="M1130" s="4" t="str">
        <f>IFERROR(__xludf.DUMMYFUNCTION("""COMPUTED_VALUE"""),"N/A (Not found)")</f>
        <v>N/A (Not found)</v>
      </c>
      <c r="N1130" s="33">
        <f>IFERROR(__xludf.DUMMYFUNCTION("""COMPUTED_VALUE"""),1.0)</f>
        <v>1</v>
      </c>
      <c r="O1130" s="4" t="str">
        <f>IFERROR(__xludf.DUMMYFUNCTION("""COMPUTED_VALUE"""),"N/A (Not found)")</f>
        <v>N/A (Not found)</v>
      </c>
      <c r="P1130" s="33">
        <f>IFERROR(__xludf.DUMMYFUNCTION("""COMPUTED_VALUE"""),0.8571428571428571)</f>
        <v>0.8571428571</v>
      </c>
      <c r="Q1130" s="4" t="str">
        <f>IFERROR(__xludf.DUMMYFUNCTION("""COMPUTED_VALUE"""),"N/A (Not found)")</f>
        <v>N/A (Not found)</v>
      </c>
      <c r="R1130" s="33">
        <f>IFERROR(__xludf.DUMMYFUNCTION("""COMPUTED_VALUE"""),0.8571428571428571)</f>
        <v>0.8571428571</v>
      </c>
      <c r="S1130" s="4" t="str">
        <f>IFERROR(__xludf.DUMMYFUNCTION("""COMPUTED_VALUE"""),"N/A (Not found)")</f>
        <v>N/A (Not found)</v>
      </c>
      <c r="T1130" s="33">
        <f>IFERROR(__xludf.DUMMYFUNCTION("""COMPUTED_VALUE"""),0.7142857142857143)</f>
        <v>0.7142857143</v>
      </c>
      <c r="U1130" s="4" t="str">
        <f>IFERROR(__xludf.DUMMYFUNCTION("""COMPUTED_VALUE"""),"N/A (Not found)")</f>
        <v>N/A (Not found)</v>
      </c>
      <c r="V1130" s="33">
        <f>IFERROR(__xludf.DUMMYFUNCTION("""COMPUTED_VALUE"""),0.8571428571428571)</f>
        <v>0.8571428571</v>
      </c>
      <c r="W1130" s="4" t="str">
        <f>IFERROR(__xludf.DUMMYFUNCTION("""COMPUTED_VALUE"""),"N/A (Not found)")</f>
        <v>N/A (Not found)</v>
      </c>
      <c r="X1130" s="33">
        <f>IFERROR(__xludf.DUMMYFUNCTION("""COMPUTED_VALUE"""),0.8571428571428571)</f>
        <v>0.8571428571</v>
      </c>
    </row>
    <row r="1131">
      <c r="K1131" s="4" t="str">
        <f>IFERROR(__xludf.DUMMYFUNCTION("""COMPUTED_VALUE"""),"FARMACIAS MED FARMA - CONTA MARCA")</f>
        <v>FARMACIAS MED FARMA - CONTA MARCA</v>
      </c>
      <c r="L1131" s="32">
        <f>IFERROR(__xludf.DUMMYFUNCTION("""COMPUTED_VALUE"""),7.0)</f>
        <v>7</v>
      </c>
      <c r="M1131" s="4" t="str">
        <f>IFERROR(__xludf.DUMMYFUNCTION("""COMPUTED_VALUE"""),"N/A (Not found)")</f>
        <v>N/A (Not found)</v>
      </c>
      <c r="N1131" s="33">
        <f>IFERROR(__xludf.DUMMYFUNCTION("""COMPUTED_VALUE"""),0.7142857142857143)</f>
        <v>0.7142857143</v>
      </c>
      <c r="O1131" s="4" t="str">
        <f>IFERROR(__xludf.DUMMYFUNCTION("""COMPUTED_VALUE"""),"N/A (Not found)")</f>
        <v>N/A (Not found)</v>
      </c>
      <c r="P1131" s="33">
        <f>IFERROR(__xludf.DUMMYFUNCTION("""COMPUTED_VALUE"""),0.7142857142857143)</f>
        <v>0.7142857143</v>
      </c>
      <c r="Q1131" s="4" t="str">
        <f>IFERROR(__xludf.DUMMYFUNCTION("""COMPUTED_VALUE"""),"N/A (Not found)")</f>
        <v>N/A (Not found)</v>
      </c>
      <c r="R1131" s="33">
        <f>IFERROR(__xludf.DUMMYFUNCTION("""COMPUTED_VALUE"""),1.0)</f>
        <v>1</v>
      </c>
      <c r="S1131" s="4" t="str">
        <f>IFERROR(__xludf.DUMMYFUNCTION("""COMPUTED_VALUE"""),"N/A (Not found)")</f>
        <v>N/A (Not found)</v>
      </c>
      <c r="T1131" s="33">
        <f>IFERROR(__xludf.DUMMYFUNCTION("""COMPUTED_VALUE"""),1.0)</f>
        <v>1</v>
      </c>
      <c r="U1131" s="4" t="str">
        <f>IFERROR(__xludf.DUMMYFUNCTION("""COMPUTED_VALUE"""),"N/A (Not found)")</f>
        <v>N/A (Not found)</v>
      </c>
      <c r="V1131" s="33">
        <f>IFERROR(__xludf.DUMMYFUNCTION("""COMPUTED_VALUE"""),1.0)</f>
        <v>1</v>
      </c>
      <c r="W1131" s="4" t="str">
        <f>IFERROR(__xludf.DUMMYFUNCTION("""COMPUTED_VALUE"""),"N/A (Not found)")</f>
        <v>N/A (Not found)</v>
      </c>
      <c r="X1131" s="33">
        <f>IFERROR(__xludf.DUMMYFUNCTION("""COMPUTED_VALUE"""),1.0)</f>
        <v>1</v>
      </c>
    </row>
    <row r="1132">
      <c r="K1132" s="4" t="str">
        <f>IFERROR(__xludf.DUMMYFUNCTION("""COMPUTED_VALUE"""),"FEIJOADA NUU BALDE")</f>
        <v>FEIJOADA NUU BALDE</v>
      </c>
      <c r="L1132" s="32">
        <f>IFERROR(__xludf.DUMMYFUNCTION("""COMPUTED_VALUE"""),7.0)</f>
        <v>7</v>
      </c>
      <c r="M1132" s="4" t="str">
        <f>IFERROR(__xludf.DUMMYFUNCTION("""COMPUTED_VALUE"""),"Saipos Serviços De Software")</f>
        <v>Saipos Serviços De Software</v>
      </c>
      <c r="N1132" s="33">
        <f>IFERROR(__xludf.DUMMYFUNCTION("""COMPUTED_VALUE"""),1.0)</f>
        <v>1</v>
      </c>
      <c r="O1132" s="4" t="str">
        <f>IFERROR(__xludf.DUMMYFUNCTION("""COMPUTED_VALUE"""),"Saipos Serviços De Software")</f>
        <v>Saipos Serviços De Software</v>
      </c>
      <c r="P1132" s="33">
        <f>IFERROR(__xludf.DUMMYFUNCTION("""COMPUTED_VALUE"""),0.8571428571428571)</f>
        <v>0.8571428571</v>
      </c>
      <c r="Q1132" s="4" t="str">
        <f>IFERROR(__xludf.DUMMYFUNCTION("""COMPUTED_VALUE"""),"Saipos Serviços De Software")</f>
        <v>Saipos Serviços De Software</v>
      </c>
      <c r="R1132" s="33">
        <f>IFERROR(__xludf.DUMMYFUNCTION("""COMPUTED_VALUE"""),1.0)</f>
        <v>1</v>
      </c>
      <c r="S1132" s="4" t="str">
        <f>IFERROR(__xludf.DUMMYFUNCTION("""COMPUTED_VALUE"""),"Saipos Serviços De Software")</f>
        <v>Saipos Serviços De Software</v>
      </c>
      <c r="T1132" s="33">
        <f>IFERROR(__xludf.DUMMYFUNCTION("""COMPUTED_VALUE"""),0.8571428571428571)</f>
        <v>0.8571428571</v>
      </c>
      <c r="U1132" s="4" t="str">
        <f>IFERROR(__xludf.DUMMYFUNCTION("""COMPUTED_VALUE"""),"Saipos Serviços De Software")</f>
        <v>Saipos Serviços De Software</v>
      </c>
      <c r="V1132" s="33">
        <f>IFERROR(__xludf.DUMMYFUNCTION("""COMPUTED_VALUE"""),1.0)</f>
        <v>1</v>
      </c>
      <c r="W1132" s="4" t="str">
        <f>IFERROR(__xludf.DUMMYFUNCTION("""COMPUTED_VALUE"""),"Saipos Serviços De Software")</f>
        <v>Saipos Serviços De Software</v>
      </c>
      <c r="X1132" s="33">
        <f>IFERROR(__xludf.DUMMYFUNCTION("""COMPUTED_VALUE"""),1.0)</f>
        <v>1</v>
      </c>
    </row>
    <row r="1133">
      <c r="K1133" s="4" t="str">
        <f>IFERROR(__xludf.DUMMYFUNCTION("""COMPUTED_VALUE"""),"FOLD NYC PIZZA STYLE")</f>
        <v>FOLD NYC PIZZA STYLE</v>
      </c>
      <c r="L1133" s="32">
        <f>IFERROR(__xludf.DUMMYFUNCTION("""COMPUTED_VALUE"""),7.0)</f>
        <v>7</v>
      </c>
      <c r="M1133" s="4" t="str">
        <f>IFERROR(__xludf.DUMMYFUNCTION("""COMPUTED_VALUE"""),"Opdv")</f>
        <v>Opdv</v>
      </c>
      <c r="N1133" s="33">
        <f>IFERROR(__xludf.DUMMYFUNCTION("""COMPUTED_VALUE"""),1.0)</f>
        <v>1</v>
      </c>
      <c r="O1133" s="4" t="str">
        <f>IFERROR(__xludf.DUMMYFUNCTION("""COMPUTED_VALUE"""),"Opdv")</f>
        <v>Opdv</v>
      </c>
      <c r="P1133" s="33">
        <f>IFERROR(__xludf.DUMMYFUNCTION("""COMPUTED_VALUE"""),0.7142857142857143)</f>
        <v>0.7142857143</v>
      </c>
      <c r="Q1133" s="4" t="str">
        <f>IFERROR(__xludf.DUMMYFUNCTION("""COMPUTED_VALUE"""),"Opdv")</f>
        <v>Opdv</v>
      </c>
      <c r="R1133" s="33">
        <f>IFERROR(__xludf.DUMMYFUNCTION("""COMPUTED_VALUE"""),0.5714285714285714)</f>
        <v>0.5714285714</v>
      </c>
      <c r="S1133" s="4" t="str">
        <f>IFERROR(__xludf.DUMMYFUNCTION("""COMPUTED_VALUE"""),"null")</f>
        <v>null</v>
      </c>
      <c r="T1133" s="33">
        <f>IFERROR(__xludf.DUMMYFUNCTION("""COMPUTED_VALUE"""),0.5714285714285714)</f>
        <v>0.5714285714</v>
      </c>
      <c r="U1133" s="4" t="str">
        <f>IFERROR(__xludf.DUMMYFUNCTION("""COMPUTED_VALUE"""),"null")</f>
        <v>null</v>
      </c>
      <c r="V1133" s="33">
        <f>IFERROR(__xludf.DUMMYFUNCTION("""COMPUTED_VALUE"""),0.5714285714285714)</f>
        <v>0.5714285714</v>
      </c>
      <c r="W1133" s="4" t="str">
        <f>IFERROR(__xludf.DUMMYFUNCTION("""COMPUTED_VALUE"""),"null")</f>
        <v>null</v>
      </c>
      <c r="X1133" s="33">
        <f>IFERROR(__xludf.DUMMYFUNCTION("""COMPUTED_VALUE"""),0.5714285714285714)</f>
        <v>0.5714285714</v>
      </c>
    </row>
    <row r="1134">
      <c r="K1134" s="4" t="str">
        <f>IFERROR(__xludf.DUMMYFUNCTION("""COMPUTED_VALUE"""),"FRANGO DO GAUCHO - CONTA MARCA")</f>
        <v>FRANGO DO GAUCHO - CONTA MARCA</v>
      </c>
      <c r="L1134" s="32">
        <f>IFERROR(__xludf.DUMMYFUNCTION("""COMPUTED_VALUE"""),7.0)</f>
        <v>7</v>
      </c>
      <c r="M1134" s="4" t="str">
        <f>IFERROR(__xludf.DUMMYFUNCTION("""COMPUTED_VALUE"""),"Saipos Serviços De Software")</f>
        <v>Saipos Serviços De Software</v>
      </c>
      <c r="N1134" s="33">
        <f>IFERROR(__xludf.DUMMYFUNCTION("""COMPUTED_VALUE"""),1.0)</f>
        <v>1</v>
      </c>
      <c r="O1134" s="4" t="str">
        <f>IFERROR(__xludf.DUMMYFUNCTION("""COMPUTED_VALUE"""),"Saipos Serviços De Software")</f>
        <v>Saipos Serviços De Software</v>
      </c>
      <c r="P1134" s="33">
        <f>IFERROR(__xludf.DUMMYFUNCTION("""COMPUTED_VALUE"""),1.0)</f>
        <v>1</v>
      </c>
      <c r="Q1134" s="4" t="str">
        <f>IFERROR(__xludf.DUMMYFUNCTION("""COMPUTED_VALUE"""),"Saipos Serviços De Software")</f>
        <v>Saipos Serviços De Software</v>
      </c>
      <c r="R1134" s="33">
        <f>IFERROR(__xludf.DUMMYFUNCTION("""COMPUTED_VALUE"""),1.0)</f>
        <v>1</v>
      </c>
      <c r="S1134" s="4" t="str">
        <f>IFERROR(__xludf.DUMMYFUNCTION("""COMPUTED_VALUE"""),"Saipos Serviços De Software")</f>
        <v>Saipos Serviços De Software</v>
      </c>
      <c r="T1134" s="33">
        <f>IFERROR(__xludf.DUMMYFUNCTION("""COMPUTED_VALUE"""),1.0)</f>
        <v>1</v>
      </c>
      <c r="U1134" s="4" t="str">
        <f>IFERROR(__xludf.DUMMYFUNCTION("""COMPUTED_VALUE"""),"Saipos Serviços De Software")</f>
        <v>Saipos Serviços De Software</v>
      </c>
      <c r="V1134" s="33">
        <f>IFERROR(__xludf.DUMMYFUNCTION("""COMPUTED_VALUE"""),1.0)</f>
        <v>1</v>
      </c>
      <c r="W1134" s="4" t="str">
        <f>IFERROR(__xludf.DUMMYFUNCTION("""COMPUTED_VALUE"""),"Saipos Serviços De Software")</f>
        <v>Saipos Serviços De Software</v>
      </c>
      <c r="X1134" s="33">
        <f>IFERROR(__xludf.DUMMYFUNCTION("""COMPUTED_VALUE"""),1.0)</f>
        <v>1</v>
      </c>
    </row>
    <row r="1135">
      <c r="K1135" s="4" t="str">
        <f>IFERROR(__xludf.DUMMYFUNCTION("""COMPUTED_VALUE"""),"FRITADOS")</f>
        <v>FRITADOS</v>
      </c>
      <c r="L1135" s="32">
        <f>IFERROR(__xludf.DUMMYFUNCTION("""COMPUTED_VALUE"""),7.0)</f>
        <v>7</v>
      </c>
      <c r="M1135" s="4" t="str">
        <f>IFERROR(__xludf.DUMMYFUNCTION("""COMPUTED_VALUE"""),"Saipos Serviços De Software")</f>
        <v>Saipos Serviços De Software</v>
      </c>
      <c r="N1135" s="33">
        <f>IFERROR(__xludf.DUMMYFUNCTION("""COMPUTED_VALUE"""),1.0)</f>
        <v>1</v>
      </c>
      <c r="O1135" s="4" t="str">
        <f>IFERROR(__xludf.DUMMYFUNCTION("""COMPUTED_VALUE"""),"Saipos Serviços De Software")</f>
        <v>Saipos Serviços De Software</v>
      </c>
      <c r="P1135" s="33">
        <f>IFERROR(__xludf.DUMMYFUNCTION("""COMPUTED_VALUE"""),1.0)</f>
        <v>1</v>
      </c>
      <c r="Q1135" s="4" t="str">
        <f>IFERROR(__xludf.DUMMYFUNCTION("""COMPUTED_VALUE"""),"Saipos Serviços De Software")</f>
        <v>Saipos Serviços De Software</v>
      </c>
      <c r="R1135" s="33">
        <f>IFERROR(__xludf.DUMMYFUNCTION("""COMPUTED_VALUE"""),1.0)</f>
        <v>1</v>
      </c>
      <c r="S1135" s="4" t="str">
        <f>IFERROR(__xludf.DUMMYFUNCTION("""COMPUTED_VALUE"""),"Saipos Serviços De Software")</f>
        <v>Saipos Serviços De Software</v>
      </c>
      <c r="T1135" s="33">
        <f>IFERROR(__xludf.DUMMYFUNCTION("""COMPUTED_VALUE"""),1.0)</f>
        <v>1</v>
      </c>
      <c r="U1135" s="4" t="str">
        <f>IFERROR(__xludf.DUMMYFUNCTION("""COMPUTED_VALUE"""),"Saipos Serviços De Software")</f>
        <v>Saipos Serviços De Software</v>
      </c>
      <c r="V1135" s="33">
        <f>IFERROR(__xludf.DUMMYFUNCTION("""COMPUTED_VALUE"""),0.8571428571428571)</f>
        <v>0.8571428571</v>
      </c>
      <c r="W1135" s="4" t="str">
        <f>IFERROR(__xludf.DUMMYFUNCTION("""COMPUTED_VALUE"""),"null")</f>
        <v>null</v>
      </c>
      <c r="X1135" s="33">
        <f>IFERROR(__xludf.DUMMYFUNCTION("""COMPUTED_VALUE"""),0.5714285714285714)</f>
        <v>0.5714285714</v>
      </c>
    </row>
    <row r="1136">
      <c r="K1136" s="4" t="str">
        <f>IFERROR(__xludf.DUMMYFUNCTION("""COMPUTED_VALUE"""),"GALETERIA ANDRADE - CONTA PAI")</f>
        <v>GALETERIA ANDRADE - CONTA PAI</v>
      </c>
      <c r="L1136" s="32">
        <f>IFERROR(__xludf.DUMMYFUNCTION("""COMPUTED_VALUE"""),7.0)</f>
        <v>7</v>
      </c>
      <c r="M1136" s="4" t="str">
        <f>IFERROR(__xludf.DUMMYFUNCTION("""COMPUTED_VALUE"""),"Saipos Serviços De Software")</f>
        <v>Saipos Serviços De Software</v>
      </c>
      <c r="N1136" s="33">
        <f>IFERROR(__xludf.DUMMYFUNCTION("""COMPUTED_VALUE"""),0.7142857142857143)</f>
        <v>0.7142857143</v>
      </c>
      <c r="O1136" s="4" t="str">
        <f>IFERROR(__xludf.DUMMYFUNCTION("""COMPUTED_VALUE"""),"Saipos Serviços De Software")</f>
        <v>Saipos Serviços De Software</v>
      </c>
      <c r="P1136" s="33">
        <f>IFERROR(__xludf.DUMMYFUNCTION("""COMPUTED_VALUE"""),0.7142857142857143)</f>
        <v>0.7142857143</v>
      </c>
      <c r="Q1136" s="4" t="str">
        <f>IFERROR(__xludf.DUMMYFUNCTION("""COMPUTED_VALUE"""),"Saipos Serviços De Software")</f>
        <v>Saipos Serviços De Software</v>
      </c>
      <c r="R1136" s="33">
        <f>IFERROR(__xludf.DUMMYFUNCTION("""COMPUTED_VALUE"""),1.0)</f>
        <v>1</v>
      </c>
      <c r="S1136" s="4" t="str">
        <f>IFERROR(__xludf.DUMMYFUNCTION("""COMPUTED_VALUE"""),"Saipos Serviços De Software")</f>
        <v>Saipos Serviços De Software</v>
      </c>
      <c r="T1136" s="33">
        <f>IFERROR(__xludf.DUMMYFUNCTION("""COMPUTED_VALUE"""),1.0)</f>
        <v>1</v>
      </c>
      <c r="U1136" s="4" t="str">
        <f>IFERROR(__xludf.DUMMYFUNCTION("""COMPUTED_VALUE"""),"Saipos Serviços De Software")</f>
        <v>Saipos Serviços De Software</v>
      </c>
      <c r="V1136" s="33">
        <f>IFERROR(__xludf.DUMMYFUNCTION("""COMPUTED_VALUE"""),1.0)</f>
        <v>1</v>
      </c>
      <c r="W1136" s="4" t="str">
        <f>IFERROR(__xludf.DUMMYFUNCTION("""COMPUTED_VALUE"""),"Saipos Serviços De Software")</f>
        <v>Saipos Serviços De Software</v>
      </c>
      <c r="X1136" s="33">
        <f>IFERROR(__xludf.DUMMYFUNCTION("""COMPUTED_VALUE"""),1.0)</f>
        <v>1</v>
      </c>
    </row>
    <row r="1137">
      <c r="K1137" s="4" t="str">
        <f>IFERROR(__xludf.DUMMYFUNCTION("""COMPUTED_VALUE"""),"GELATERIA MODERNA")</f>
        <v>GELATERIA MODERNA</v>
      </c>
      <c r="L1137" s="32">
        <f>IFERROR(__xludf.DUMMYFUNCTION("""COMPUTED_VALUE"""),7.0)</f>
        <v>7</v>
      </c>
      <c r="M1137" s="4" t="str">
        <f>IFERROR(__xludf.DUMMYFUNCTION("""COMPUTED_VALUE"""),"Totvs Large Enterprise Tecnologia S.a.")</f>
        <v>Totvs Large Enterprise Tecnologia S.a.</v>
      </c>
      <c r="N1137" s="33">
        <f>IFERROR(__xludf.DUMMYFUNCTION("""COMPUTED_VALUE"""),1.0)</f>
        <v>1</v>
      </c>
      <c r="O1137" s="4" t="str">
        <f>IFERROR(__xludf.DUMMYFUNCTION("""COMPUTED_VALUE"""),"Totvs Large Enterprise Tecnologia S.a.")</f>
        <v>Totvs Large Enterprise Tecnologia S.a.</v>
      </c>
      <c r="P1137" s="33">
        <f>IFERROR(__xludf.DUMMYFUNCTION("""COMPUTED_VALUE"""),0.7142857142857143)</f>
        <v>0.7142857143</v>
      </c>
      <c r="Q1137" s="4" t="str">
        <f>IFERROR(__xludf.DUMMYFUNCTION("""COMPUTED_VALUE"""),"Totvs Large Enterprise Tecnologia S.a.")</f>
        <v>Totvs Large Enterprise Tecnologia S.a.</v>
      </c>
      <c r="R1137" s="33">
        <f>IFERROR(__xludf.DUMMYFUNCTION("""COMPUTED_VALUE"""),0.7142857142857143)</f>
        <v>0.7142857143</v>
      </c>
      <c r="S1137" s="4" t="str">
        <f>IFERROR(__xludf.DUMMYFUNCTION("""COMPUTED_VALUE"""),"Idealle Sistemas")</f>
        <v>Idealle Sistemas</v>
      </c>
      <c r="T1137" s="33">
        <f>IFERROR(__xludf.DUMMYFUNCTION("""COMPUTED_VALUE"""),0.7142857142857143)</f>
        <v>0.7142857143</v>
      </c>
      <c r="U1137" s="4" t="str">
        <f>IFERROR(__xludf.DUMMYFUNCTION("""COMPUTED_VALUE"""),"Idealle Sistemas")</f>
        <v>Idealle Sistemas</v>
      </c>
      <c r="V1137" s="33">
        <f>IFERROR(__xludf.DUMMYFUNCTION("""COMPUTED_VALUE"""),0.5714285714285714)</f>
        <v>0.5714285714</v>
      </c>
      <c r="W1137" s="4" t="str">
        <f>IFERROR(__xludf.DUMMYFUNCTION("""COMPUTED_VALUE"""),"Idealle Sistemas")</f>
        <v>Idealle Sistemas</v>
      </c>
      <c r="X1137" s="33">
        <f>IFERROR(__xludf.DUMMYFUNCTION("""COMPUTED_VALUE"""),0.5714285714285714)</f>
        <v>0.5714285714</v>
      </c>
    </row>
    <row r="1138">
      <c r="K1138" s="4" t="str">
        <f>IFERROR(__xludf.DUMMYFUNCTION("""COMPUTED_VALUE"""),"GIL LANCHES E PORCOES - MARCA")</f>
        <v>GIL LANCHES E PORCOES - MARCA</v>
      </c>
      <c r="L1138" s="32">
        <f>IFERROR(__xludf.DUMMYFUNCTION("""COMPUTED_VALUE"""),7.0)</f>
        <v>7</v>
      </c>
      <c r="M1138" s="4" t="str">
        <f>IFERROR(__xludf.DUMMYFUNCTION("""COMPUTED_VALUE"""),"Consumer Soluções Em Tecnologia Ltda")</f>
        <v>Consumer Soluções Em Tecnologia Ltda</v>
      </c>
      <c r="N1138" s="33">
        <f>IFERROR(__xludf.DUMMYFUNCTION("""COMPUTED_VALUE"""),1.0)</f>
        <v>1</v>
      </c>
      <c r="O1138" s="4" t="str">
        <f>IFERROR(__xludf.DUMMYFUNCTION("""COMPUTED_VALUE"""),"null")</f>
        <v>null</v>
      </c>
      <c r="P1138" s="33">
        <f>IFERROR(__xludf.DUMMYFUNCTION("""COMPUTED_VALUE"""),0.5714285714285714)</f>
        <v>0.5714285714</v>
      </c>
      <c r="Q1138" s="4" t="str">
        <f>IFERROR(__xludf.DUMMYFUNCTION("""COMPUTED_VALUE"""),"null")</f>
        <v>null</v>
      </c>
      <c r="R1138" s="33">
        <f>IFERROR(__xludf.DUMMYFUNCTION("""COMPUTED_VALUE"""),0.7142857142857143)</f>
        <v>0.7142857143</v>
      </c>
      <c r="S1138" s="4" t="str">
        <f>IFERROR(__xludf.DUMMYFUNCTION("""COMPUTED_VALUE"""),"null")</f>
        <v>null</v>
      </c>
      <c r="T1138" s="33">
        <f>IFERROR(__xludf.DUMMYFUNCTION("""COMPUTED_VALUE"""),0.5714285714285714)</f>
        <v>0.5714285714</v>
      </c>
      <c r="U1138" s="4" t="str">
        <f>IFERROR(__xludf.DUMMYFUNCTION("""COMPUTED_VALUE"""),"null")</f>
        <v>null</v>
      </c>
      <c r="V1138" s="33">
        <f>IFERROR(__xludf.DUMMYFUNCTION("""COMPUTED_VALUE"""),0.5714285714285714)</f>
        <v>0.5714285714</v>
      </c>
      <c r="W1138" s="4" t="str">
        <f>IFERROR(__xludf.DUMMYFUNCTION("""COMPUTED_VALUE"""),"Consumer Soluções Em Tecnologia Ltda")</f>
        <v>Consumer Soluções Em Tecnologia Ltda</v>
      </c>
      <c r="X1138" s="33">
        <f>IFERROR(__xludf.DUMMYFUNCTION("""COMPUTED_VALUE"""),1.0)</f>
        <v>1</v>
      </c>
    </row>
    <row r="1139">
      <c r="K1139" s="4" t="str">
        <f>IFERROR(__xludf.DUMMYFUNCTION("""COMPUTED_VALUE"""),"GRUPO CHURRASCARIA NATIVAS GRILL")</f>
        <v>GRUPO CHURRASCARIA NATIVAS GRILL</v>
      </c>
      <c r="L1139" s="32">
        <f>IFERROR(__xludf.DUMMYFUNCTION("""COMPUTED_VALUE"""),7.0)</f>
        <v>7</v>
      </c>
      <c r="M1139" s="4" t="str">
        <f>IFERROR(__xludf.DUMMYFUNCTION("""COMPUTED_VALUE"""),"Jaxtech")</f>
        <v>Jaxtech</v>
      </c>
      <c r="N1139" s="33">
        <f>IFERROR(__xludf.DUMMYFUNCTION("""COMPUTED_VALUE"""),1.0)</f>
        <v>1</v>
      </c>
      <c r="O1139" s="4" t="str">
        <f>IFERROR(__xludf.DUMMYFUNCTION("""COMPUTED_VALUE"""),"Jaxtech")</f>
        <v>Jaxtech</v>
      </c>
      <c r="P1139" s="33">
        <f>IFERROR(__xludf.DUMMYFUNCTION("""COMPUTED_VALUE"""),1.0)</f>
        <v>1</v>
      </c>
      <c r="Q1139" s="4" t="str">
        <f>IFERROR(__xludf.DUMMYFUNCTION("""COMPUTED_VALUE"""),"Jaxtech")</f>
        <v>Jaxtech</v>
      </c>
      <c r="R1139" s="33">
        <f>IFERROR(__xludf.DUMMYFUNCTION("""COMPUTED_VALUE"""),1.0)</f>
        <v>1</v>
      </c>
      <c r="S1139" s="4" t="str">
        <f>IFERROR(__xludf.DUMMYFUNCTION("""COMPUTED_VALUE"""),"Jaxtech")</f>
        <v>Jaxtech</v>
      </c>
      <c r="T1139" s="33">
        <f>IFERROR(__xludf.DUMMYFUNCTION("""COMPUTED_VALUE"""),1.0)</f>
        <v>1</v>
      </c>
      <c r="U1139" s="4" t="str">
        <f>IFERROR(__xludf.DUMMYFUNCTION("""COMPUTED_VALUE"""),"Jaxtech")</f>
        <v>Jaxtech</v>
      </c>
      <c r="V1139" s="33">
        <f>IFERROR(__xludf.DUMMYFUNCTION("""COMPUTED_VALUE"""),1.0)</f>
        <v>1</v>
      </c>
      <c r="W1139" s="4" t="str">
        <f>IFERROR(__xludf.DUMMYFUNCTION("""COMPUTED_VALUE"""),"Jaxtech")</f>
        <v>Jaxtech</v>
      </c>
      <c r="X1139" s="33">
        <f>IFERROR(__xludf.DUMMYFUNCTION("""COMPUTED_VALUE"""),1.0)</f>
        <v>1</v>
      </c>
    </row>
    <row r="1140">
      <c r="K1140" s="4" t="str">
        <f>IFERROR(__xludf.DUMMYFUNCTION("""COMPUTED_VALUE"""),"GRUPO FUJI")</f>
        <v>GRUPO FUJI</v>
      </c>
      <c r="L1140" s="32">
        <f>IFERROR(__xludf.DUMMYFUNCTION("""COMPUTED_VALUE"""),7.0)</f>
        <v>7</v>
      </c>
      <c r="M1140" s="4" t="str">
        <f>IFERROR(__xludf.DUMMYFUNCTION("""COMPUTED_VALUE"""),"Yooga")</f>
        <v>Yooga</v>
      </c>
      <c r="N1140" s="33">
        <f>IFERROR(__xludf.DUMMYFUNCTION("""COMPUTED_VALUE"""),0.8571428571428571)</f>
        <v>0.8571428571</v>
      </c>
      <c r="O1140" s="4" t="str">
        <f>IFERROR(__xludf.DUMMYFUNCTION("""COMPUTED_VALUE"""),"Yooga")</f>
        <v>Yooga</v>
      </c>
      <c r="P1140" s="33">
        <f>IFERROR(__xludf.DUMMYFUNCTION("""COMPUTED_VALUE"""),0.8571428571428571)</f>
        <v>0.8571428571</v>
      </c>
      <c r="Q1140" s="4" t="str">
        <f>IFERROR(__xludf.DUMMYFUNCTION("""COMPUTED_VALUE"""),"Yooga")</f>
        <v>Yooga</v>
      </c>
      <c r="R1140" s="33">
        <f>IFERROR(__xludf.DUMMYFUNCTION("""COMPUTED_VALUE"""),1.0)</f>
        <v>1</v>
      </c>
      <c r="S1140" s="4" t="str">
        <f>IFERROR(__xludf.DUMMYFUNCTION("""COMPUTED_VALUE"""),"Yooga")</f>
        <v>Yooga</v>
      </c>
      <c r="T1140" s="33">
        <f>IFERROR(__xludf.DUMMYFUNCTION("""COMPUTED_VALUE"""),1.0)</f>
        <v>1</v>
      </c>
      <c r="U1140" s="4" t="str">
        <f>IFERROR(__xludf.DUMMYFUNCTION("""COMPUTED_VALUE"""),"Yooga")</f>
        <v>Yooga</v>
      </c>
      <c r="V1140" s="33">
        <f>IFERROR(__xludf.DUMMYFUNCTION("""COMPUTED_VALUE"""),1.0)</f>
        <v>1</v>
      </c>
      <c r="W1140" s="4" t="str">
        <f>IFERROR(__xludf.DUMMYFUNCTION("""COMPUTED_VALUE"""),"Yooga")</f>
        <v>Yooga</v>
      </c>
      <c r="X1140" s="33">
        <f>IFERROR(__xludf.DUMMYFUNCTION("""COMPUTED_VALUE"""),1.0)</f>
        <v>1</v>
      </c>
    </row>
    <row r="1141">
      <c r="K1141" s="4" t="str">
        <f>IFERROR(__xludf.DUMMYFUNCTION("""COMPUTED_VALUE"""),"GRUPO HOT PIZZA SUL")</f>
        <v>GRUPO HOT PIZZA SUL</v>
      </c>
      <c r="L1141" s="32">
        <f>IFERROR(__xludf.DUMMYFUNCTION("""COMPUTED_VALUE"""),7.0)</f>
        <v>7</v>
      </c>
      <c r="M1141" s="4" t="str">
        <f>IFERROR(__xludf.DUMMYFUNCTION("""COMPUTED_VALUE"""),"Agilizup Solucoes Ltda")</f>
        <v>Agilizup Solucoes Ltda</v>
      </c>
      <c r="N1141" s="33">
        <f>IFERROR(__xludf.DUMMYFUNCTION("""COMPUTED_VALUE"""),1.0)</f>
        <v>1</v>
      </c>
      <c r="O1141" s="4" t="str">
        <f>IFERROR(__xludf.DUMMYFUNCTION("""COMPUTED_VALUE"""),"Agilizup Solucoes Ltda")</f>
        <v>Agilizup Solucoes Ltda</v>
      </c>
      <c r="P1141" s="33">
        <f>IFERROR(__xludf.DUMMYFUNCTION("""COMPUTED_VALUE"""),1.0)</f>
        <v>1</v>
      </c>
      <c r="Q1141" s="4" t="str">
        <f>IFERROR(__xludf.DUMMYFUNCTION("""COMPUTED_VALUE"""),"Agilizup Solucoes Ltda")</f>
        <v>Agilizup Solucoes Ltda</v>
      </c>
      <c r="R1141" s="33">
        <f>IFERROR(__xludf.DUMMYFUNCTION("""COMPUTED_VALUE"""),1.0)</f>
        <v>1</v>
      </c>
      <c r="S1141" s="4" t="str">
        <f>IFERROR(__xludf.DUMMYFUNCTION("""COMPUTED_VALUE"""),"Agilizup Solucoes Ltda")</f>
        <v>Agilizup Solucoes Ltda</v>
      </c>
      <c r="T1141" s="33">
        <f>IFERROR(__xludf.DUMMYFUNCTION("""COMPUTED_VALUE"""),1.0)</f>
        <v>1</v>
      </c>
      <c r="U1141" s="4" t="str">
        <f>IFERROR(__xludf.DUMMYFUNCTION("""COMPUTED_VALUE"""),"Agilizup Solucoes Ltda")</f>
        <v>Agilizup Solucoes Ltda</v>
      </c>
      <c r="V1141" s="33">
        <f>IFERROR(__xludf.DUMMYFUNCTION("""COMPUTED_VALUE"""),1.0)</f>
        <v>1</v>
      </c>
      <c r="W1141" s="4" t="str">
        <f>IFERROR(__xludf.DUMMYFUNCTION("""COMPUTED_VALUE"""),"Agilizup Solucoes Ltda")</f>
        <v>Agilizup Solucoes Ltda</v>
      </c>
      <c r="X1141" s="33">
        <f>IFERROR(__xludf.DUMMYFUNCTION("""COMPUTED_VALUE"""),0.7142857142857143)</f>
        <v>0.7142857143</v>
      </c>
    </row>
    <row r="1142">
      <c r="K1142" s="4" t="str">
        <f>IFERROR(__xludf.DUMMYFUNCTION("""COMPUTED_VALUE"""),"GRUPO KATSUMI")</f>
        <v>GRUPO KATSUMI</v>
      </c>
      <c r="L1142" s="32">
        <f>IFERROR(__xludf.DUMMYFUNCTION("""COMPUTED_VALUE"""),7.0)</f>
        <v>7</v>
      </c>
      <c r="M1142" s="4" t="str">
        <f>IFERROR(__xludf.DUMMYFUNCTION("""COMPUTED_VALUE"""),"Saipos Serviços De Software")</f>
        <v>Saipos Serviços De Software</v>
      </c>
      <c r="N1142" s="33">
        <f>IFERROR(__xludf.DUMMYFUNCTION("""COMPUTED_VALUE"""),1.0)</f>
        <v>1</v>
      </c>
      <c r="O1142" s="4" t="str">
        <f>IFERROR(__xludf.DUMMYFUNCTION("""COMPUTED_VALUE"""),"Saipos Serviços De Software")</f>
        <v>Saipos Serviços De Software</v>
      </c>
      <c r="P1142" s="33">
        <f>IFERROR(__xludf.DUMMYFUNCTION("""COMPUTED_VALUE"""),1.0)</f>
        <v>1</v>
      </c>
      <c r="Q1142" s="4" t="str">
        <f>IFERROR(__xludf.DUMMYFUNCTION("""COMPUTED_VALUE"""),"Saipos Serviços De Software")</f>
        <v>Saipos Serviços De Software</v>
      </c>
      <c r="R1142" s="33">
        <f>IFERROR(__xludf.DUMMYFUNCTION("""COMPUTED_VALUE"""),1.0)</f>
        <v>1</v>
      </c>
      <c r="S1142" s="4" t="str">
        <f>IFERROR(__xludf.DUMMYFUNCTION("""COMPUTED_VALUE"""),"Saipos Serviços De Software")</f>
        <v>Saipos Serviços De Software</v>
      </c>
      <c r="T1142" s="33">
        <f>IFERROR(__xludf.DUMMYFUNCTION("""COMPUTED_VALUE"""),1.0)</f>
        <v>1</v>
      </c>
      <c r="U1142" s="4" t="str">
        <f>IFERROR(__xludf.DUMMYFUNCTION("""COMPUTED_VALUE"""),"Saipos Serviços De Software")</f>
        <v>Saipos Serviços De Software</v>
      </c>
      <c r="V1142" s="33">
        <f>IFERROR(__xludf.DUMMYFUNCTION("""COMPUTED_VALUE"""),1.0)</f>
        <v>1</v>
      </c>
      <c r="W1142" s="4" t="str">
        <f>IFERROR(__xludf.DUMMYFUNCTION("""COMPUTED_VALUE"""),"Saipos Serviços De Software")</f>
        <v>Saipos Serviços De Software</v>
      </c>
      <c r="X1142" s="33">
        <f>IFERROR(__xludf.DUMMYFUNCTION("""COMPUTED_VALUE"""),1.0)</f>
        <v>1</v>
      </c>
    </row>
    <row r="1143">
      <c r="K1143" s="4" t="str">
        <f>IFERROR(__xludf.DUMMYFUNCTION("""COMPUTED_VALUE"""),"GRUPO MEDIEVAL")</f>
        <v>GRUPO MEDIEVAL</v>
      </c>
      <c r="L1143" s="32">
        <f>IFERROR(__xludf.DUMMYFUNCTION("""COMPUTED_VALUE"""),7.0)</f>
        <v>7</v>
      </c>
      <c r="M1143" s="4" t="str">
        <f>IFERROR(__xludf.DUMMYFUNCTION("""COMPUTED_VALUE"""),"Saipos Serviços De Software")</f>
        <v>Saipos Serviços De Software</v>
      </c>
      <c r="N1143" s="33">
        <f>IFERROR(__xludf.DUMMYFUNCTION("""COMPUTED_VALUE"""),1.0)</f>
        <v>1</v>
      </c>
      <c r="O1143" s="4" t="str">
        <f>IFERROR(__xludf.DUMMYFUNCTION("""COMPUTED_VALUE"""),"Saipos Serviços De Software")</f>
        <v>Saipos Serviços De Software</v>
      </c>
      <c r="P1143" s="33">
        <f>IFERROR(__xludf.DUMMYFUNCTION("""COMPUTED_VALUE"""),1.0)</f>
        <v>1</v>
      </c>
      <c r="Q1143" s="4" t="str">
        <f>IFERROR(__xludf.DUMMYFUNCTION("""COMPUTED_VALUE"""),"Saipos Serviços De Software")</f>
        <v>Saipos Serviços De Software</v>
      </c>
      <c r="R1143" s="33">
        <f>IFERROR(__xludf.DUMMYFUNCTION("""COMPUTED_VALUE"""),1.0)</f>
        <v>1</v>
      </c>
      <c r="S1143" s="4" t="str">
        <f>IFERROR(__xludf.DUMMYFUNCTION("""COMPUTED_VALUE"""),"Saipos Serviços De Software")</f>
        <v>Saipos Serviços De Software</v>
      </c>
      <c r="T1143" s="33">
        <f>IFERROR(__xludf.DUMMYFUNCTION("""COMPUTED_VALUE"""),1.0)</f>
        <v>1</v>
      </c>
      <c r="U1143" s="4" t="str">
        <f>IFERROR(__xludf.DUMMYFUNCTION("""COMPUTED_VALUE"""),"Saipos Serviços De Software")</f>
        <v>Saipos Serviços De Software</v>
      </c>
      <c r="V1143" s="33">
        <f>IFERROR(__xludf.DUMMYFUNCTION("""COMPUTED_VALUE"""),1.0)</f>
        <v>1</v>
      </c>
      <c r="W1143" s="4" t="str">
        <f>IFERROR(__xludf.DUMMYFUNCTION("""COMPUTED_VALUE"""),"Saipos Serviços De Software")</f>
        <v>Saipos Serviços De Software</v>
      </c>
      <c r="X1143" s="33">
        <f>IFERROR(__xludf.DUMMYFUNCTION("""COMPUTED_VALUE"""),1.0)</f>
        <v>1</v>
      </c>
    </row>
    <row r="1144">
      <c r="K1144" s="4" t="str">
        <f>IFERROR(__xludf.DUMMYFUNCTION("""COMPUTED_VALUE"""),"GRUPO MIQUEIAS FAST FOOD")</f>
        <v>GRUPO MIQUEIAS FAST FOOD</v>
      </c>
      <c r="L1144" s="32">
        <f>IFERROR(__xludf.DUMMYFUNCTION("""COMPUTED_VALUE"""),7.0)</f>
        <v>7</v>
      </c>
      <c r="M1144" s="4" t="str">
        <f>IFERROR(__xludf.DUMMYFUNCTION("""COMPUTED_VALUE"""),"Vuca Solution")</f>
        <v>Vuca Solution</v>
      </c>
      <c r="N1144" s="33">
        <f>IFERROR(__xludf.DUMMYFUNCTION("""COMPUTED_VALUE"""),1.0)</f>
        <v>1</v>
      </c>
      <c r="O1144" s="4" t="str">
        <f>IFERROR(__xludf.DUMMYFUNCTION("""COMPUTED_VALUE"""),"Vuca Solution")</f>
        <v>Vuca Solution</v>
      </c>
      <c r="P1144" s="33">
        <f>IFERROR(__xludf.DUMMYFUNCTION("""COMPUTED_VALUE"""),1.0)</f>
        <v>1</v>
      </c>
      <c r="Q1144" s="4" t="str">
        <f>IFERROR(__xludf.DUMMYFUNCTION("""COMPUTED_VALUE"""),"Vuca Solution")</f>
        <v>Vuca Solution</v>
      </c>
      <c r="R1144" s="33">
        <f>IFERROR(__xludf.DUMMYFUNCTION("""COMPUTED_VALUE"""),1.0)</f>
        <v>1</v>
      </c>
      <c r="S1144" s="4" t="str">
        <f>IFERROR(__xludf.DUMMYFUNCTION("""COMPUTED_VALUE"""),"Vuca Solution")</f>
        <v>Vuca Solution</v>
      </c>
      <c r="T1144" s="33">
        <f>IFERROR(__xludf.DUMMYFUNCTION("""COMPUTED_VALUE"""),1.0)</f>
        <v>1</v>
      </c>
      <c r="U1144" s="4" t="str">
        <f>IFERROR(__xludf.DUMMYFUNCTION("""COMPUTED_VALUE"""),"Vuca Solution")</f>
        <v>Vuca Solution</v>
      </c>
      <c r="V1144" s="33">
        <f>IFERROR(__xludf.DUMMYFUNCTION("""COMPUTED_VALUE"""),1.0)</f>
        <v>1</v>
      </c>
      <c r="W1144" s="4" t="str">
        <f>IFERROR(__xludf.DUMMYFUNCTION("""COMPUTED_VALUE"""),"Vuca Solution")</f>
        <v>Vuca Solution</v>
      </c>
      <c r="X1144" s="33">
        <f>IFERROR(__xludf.DUMMYFUNCTION("""COMPUTED_VALUE"""),1.0)</f>
        <v>1</v>
      </c>
    </row>
    <row r="1145">
      <c r="K1145" s="4" t="str">
        <f>IFERROR(__xludf.DUMMYFUNCTION("""COMPUTED_VALUE"""),"GRUPO NORI - ES")</f>
        <v>GRUPO NORI - ES</v>
      </c>
      <c r="L1145" s="32">
        <f>IFERROR(__xludf.DUMMYFUNCTION("""COMPUTED_VALUE"""),7.0)</f>
        <v>7</v>
      </c>
      <c r="M1145" s="4" t="str">
        <f>IFERROR(__xludf.DUMMYFUNCTION("""COMPUTED_VALUE"""),"Gcom - Gestao Em Tecnologia De Informacao Eireli")</f>
        <v>Gcom - Gestao Em Tecnologia De Informacao Eireli</v>
      </c>
      <c r="N1145" s="33">
        <f>IFERROR(__xludf.DUMMYFUNCTION("""COMPUTED_VALUE"""),0.7142857142857143)</f>
        <v>0.7142857143</v>
      </c>
      <c r="O1145" s="4" t="str">
        <f>IFERROR(__xludf.DUMMYFUNCTION("""COMPUTED_VALUE"""),"Gcom - Gestao Em Tecnologia De Informacao Eireli")</f>
        <v>Gcom - Gestao Em Tecnologia De Informacao Eireli</v>
      </c>
      <c r="P1145" s="33">
        <f>IFERROR(__xludf.DUMMYFUNCTION("""COMPUTED_VALUE"""),0.7142857142857143)</f>
        <v>0.7142857143</v>
      </c>
      <c r="Q1145" s="4" t="str">
        <f>IFERROR(__xludf.DUMMYFUNCTION("""COMPUTED_VALUE"""),"Gcom - Gestao Em Tecnologia De Informacao Eireli")</f>
        <v>Gcom - Gestao Em Tecnologia De Informacao Eireli</v>
      </c>
      <c r="R1145" s="33">
        <f>IFERROR(__xludf.DUMMYFUNCTION("""COMPUTED_VALUE"""),0.7142857142857143)</f>
        <v>0.7142857143</v>
      </c>
      <c r="S1145" s="4" t="str">
        <f>IFERROR(__xludf.DUMMYFUNCTION("""COMPUTED_VALUE"""),"Gcom - Gestao Em Tecnologia De Informacao Eireli")</f>
        <v>Gcom - Gestao Em Tecnologia De Informacao Eireli</v>
      </c>
      <c r="T1145" s="33">
        <f>IFERROR(__xludf.DUMMYFUNCTION("""COMPUTED_VALUE"""),0.5714285714285714)</f>
        <v>0.5714285714</v>
      </c>
      <c r="U1145" s="4" t="str">
        <f>IFERROR(__xludf.DUMMYFUNCTION("""COMPUTED_VALUE"""),"null")</f>
        <v>null</v>
      </c>
      <c r="V1145" s="33">
        <f>IFERROR(__xludf.DUMMYFUNCTION("""COMPUTED_VALUE"""),0.8571428571428571)</f>
        <v>0.8571428571</v>
      </c>
      <c r="W1145" s="4" t="str">
        <f>IFERROR(__xludf.DUMMYFUNCTION("""COMPUTED_VALUE"""),"null")</f>
        <v>null</v>
      </c>
      <c r="X1145" s="33">
        <f>IFERROR(__xludf.DUMMYFUNCTION("""COMPUTED_VALUE"""),0.5714285714285714)</f>
        <v>0.5714285714</v>
      </c>
    </row>
    <row r="1146">
      <c r="K1146" s="4" t="str">
        <f>IFERROR(__xludf.DUMMYFUNCTION("""COMPUTED_VALUE"""),"GRUPO PIZZA E CIA")</f>
        <v>GRUPO PIZZA E CIA</v>
      </c>
      <c r="L1146" s="32">
        <f>IFERROR(__xludf.DUMMYFUNCTION("""COMPUTED_VALUE"""),7.0)</f>
        <v>7</v>
      </c>
      <c r="M1146" s="4" t="str">
        <f>IFERROR(__xludf.DUMMYFUNCTION("""COMPUTED_VALUE"""),"Parseint Desenvolvimento De Sistemas Ltda")</f>
        <v>Parseint Desenvolvimento De Sistemas Ltda</v>
      </c>
      <c r="N1146" s="33">
        <f>IFERROR(__xludf.DUMMYFUNCTION("""COMPUTED_VALUE"""),1.0)</f>
        <v>1</v>
      </c>
      <c r="O1146" s="4" t="str">
        <f>IFERROR(__xludf.DUMMYFUNCTION("""COMPUTED_VALUE"""),"Parseint Desenvolvimento De Sistemas Ltda")</f>
        <v>Parseint Desenvolvimento De Sistemas Ltda</v>
      </c>
      <c r="P1146" s="33">
        <f>IFERROR(__xludf.DUMMYFUNCTION("""COMPUTED_VALUE"""),1.0)</f>
        <v>1</v>
      </c>
      <c r="Q1146" s="4" t="str">
        <f>IFERROR(__xludf.DUMMYFUNCTION("""COMPUTED_VALUE"""),"Parseint Desenvolvimento De Sistemas Ltda")</f>
        <v>Parseint Desenvolvimento De Sistemas Ltda</v>
      </c>
      <c r="R1146" s="33">
        <f>IFERROR(__xludf.DUMMYFUNCTION("""COMPUTED_VALUE"""),0.8571428571428571)</f>
        <v>0.8571428571</v>
      </c>
      <c r="S1146" s="4" t="str">
        <f>IFERROR(__xludf.DUMMYFUNCTION("""COMPUTED_VALUE"""),"Parseint Desenvolvimento De Sistemas Ltda")</f>
        <v>Parseint Desenvolvimento De Sistemas Ltda</v>
      </c>
      <c r="T1146" s="33">
        <f>IFERROR(__xludf.DUMMYFUNCTION("""COMPUTED_VALUE"""),0.8571428571428571)</f>
        <v>0.8571428571</v>
      </c>
      <c r="U1146" s="4" t="str">
        <f>IFERROR(__xludf.DUMMYFUNCTION("""COMPUTED_VALUE"""),"Parseint Desenvolvimento De Sistemas Ltda")</f>
        <v>Parseint Desenvolvimento De Sistemas Ltda</v>
      </c>
      <c r="V1146" s="33">
        <f>IFERROR(__xludf.DUMMYFUNCTION("""COMPUTED_VALUE"""),0.8571428571428571)</f>
        <v>0.8571428571</v>
      </c>
      <c r="W1146" s="4" t="str">
        <f>IFERROR(__xludf.DUMMYFUNCTION("""COMPUTED_VALUE"""),"Parseint Desenvolvimento De Sistemas Ltda")</f>
        <v>Parseint Desenvolvimento De Sistemas Ltda</v>
      </c>
      <c r="X1146" s="33">
        <f>IFERROR(__xludf.DUMMYFUNCTION("""COMPUTED_VALUE"""),1.0)</f>
        <v>1</v>
      </c>
    </row>
    <row r="1147">
      <c r="K1147" s="4" t="str">
        <f>IFERROR(__xludf.DUMMYFUNCTION("""COMPUTED_VALUE"""),"GRUPO REI DA FEIJOADA MARMITEX")</f>
        <v>GRUPO REI DA FEIJOADA MARMITEX</v>
      </c>
      <c r="L1147" s="32">
        <f>IFERROR(__xludf.DUMMYFUNCTION("""COMPUTED_VALUE"""),7.0)</f>
        <v>7</v>
      </c>
      <c r="M1147" s="4" t="str">
        <f>IFERROR(__xludf.DUMMYFUNCTION("""COMPUTED_VALUE"""),"Saipos Serviços De Software")</f>
        <v>Saipos Serviços De Software</v>
      </c>
      <c r="N1147" s="33">
        <f>IFERROR(__xludf.DUMMYFUNCTION("""COMPUTED_VALUE"""),0.7142857142857143)</f>
        <v>0.7142857143</v>
      </c>
      <c r="O1147" s="4" t="str">
        <f>IFERROR(__xludf.DUMMYFUNCTION("""COMPUTED_VALUE"""),"Saipos Serviços De Software")</f>
        <v>Saipos Serviços De Software</v>
      </c>
      <c r="P1147" s="33">
        <f>IFERROR(__xludf.DUMMYFUNCTION("""COMPUTED_VALUE"""),0.7142857142857143)</f>
        <v>0.7142857143</v>
      </c>
      <c r="Q1147" s="4" t="str">
        <f>IFERROR(__xludf.DUMMYFUNCTION("""COMPUTED_VALUE"""),"Saipos Serviços De Software")</f>
        <v>Saipos Serviços De Software</v>
      </c>
      <c r="R1147" s="33">
        <f>IFERROR(__xludf.DUMMYFUNCTION("""COMPUTED_VALUE"""),0.7142857142857143)</f>
        <v>0.7142857143</v>
      </c>
      <c r="S1147" s="4" t="str">
        <f>IFERROR(__xludf.DUMMYFUNCTION("""COMPUTED_VALUE"""),"Saipos Serviços De Software")</f>
        <v>Saipos Serviços De Software</v>
      </c>
      <c r="T1147" s="33">
        <f>IFERROR(__xludf.DUMMYFUNCTION("""COMPUTED_VALUE"""),0.7142857142857143)</f>
        <v>0.7142857143</v>
      </c>
      <c r="U1147" s="4" t="str">
        <f>IFERROR(__xludf.DUMMYFUNCTION("""COMPUTED_VALUE"""),"Saipos Serviços De Software")</f>
        <v>Saipos Serviços De Software</v>
      </c>
      <c r="V1147" s="33">
        <f>IFERROR(__xludf.DUMMYFUNCTION("""COMPUTED_VALUE"""),0.8571428571428571)</f>
        <v>0.8571428571</v>
      </c>
      <c r="W1147" s="4" t="str">
        <f>IFERROR(__xludf.DUMMYFUNCTION("""COMPUTED_VALUE"""),"Saipos Serviços De Software")</f>
        <v>Saipos Serviços De Software</v>
      </c>
      <c r="X1147" s="33">
        <f>IFERROR(__xludf.DUMMYFUNCTION("""COMPUTED_VALUE"""),1.0)</f>
        <v>1</v>
      </c>
    </row>
    <row r="1148">
      <c r="K1148" s="4" t="str">
        <f>IFERROR(__xludf.DUMMYFUNCTION("""COMPUTED_VALUE"""),"GRUPO RICCO BURGER")</f>
        <v>GRUPO RICCO BURGER</v>
      </c>
      <c r="L1148" s="32">
        <f>IFERROR(__xludf.DUMMYFUNCTION("""COMPUTED_VALUE"""),7.0)</f>
        <v>7</v>
      </c>
      <c r="M1148" s="4" t="str">
        <f>IFERROR(__xludf.DUMMYFUNCTION("""COMPUTED_VALUE"""),"Vuca Solution")</f>
        <v>Vuca Solution</v>
      </c>
      <c r="N1148" s="33">
        <f>IFERROR(__xludf.DUMMYFUNCTION("""COMPUTED_VALUE"""),0.8571428571428571)</f>
        <v>0.8571428571</v>
      </c>
      <c r="O1148" s="4" t="str">
        <f>IFERROR(__xludf.DUMMYFUNCTION("""COMPUTED_VALUE"""),"Vuca Solution")</f>
        <v>Vuca Solution</v>
      </c>
      <c r="P1148" s="33">
        <f>IFERROR(__xludf.DUMMYFUNCTION("""COMPUTED_VALUE"""),0.8571428571428571)</f>
        <v>0.8571428571</v>
      </c>
      <c r="Q1148" s="4" t="str">
        <f>IFERROR(__xludf.DUMMYFUNCTION("""COMPUTED_VALUE"""),"Vuca Solution")</f>
        <v>Vuca Solution</v>
      </c>
      <c r="R1148" s="33">
        <f>IFERROR(__xludf.DUMMYFUNCTION("""COMPUTED_VALUE"""),0.8571428571428571)</f>
        <v>0.8571428571</v>
      </c>
      <c r="S1148" s="4" t="str">
        <f>IFERROR(__xludf.DUMMYFUNCTION("""COMPUTED_VALUE"""),"Vuca Solution")</f>
        <v>Vuca Solution</v>
      </c>
      <c r="T1148" s="33">
        <f>IFERROR(__xludf.DUMMYFUNCTION("""COMPUTED_VALUE"""),1.0)</f>
        <v>1</v>
      </c>
      <c r="U1148" s="4" t="str">
        <f>IFERROR(__xludf.DUMMYFUNCTION("""COMPUTED_VALUE"""),"Vuca Solution")</f>
        <v>Vuca Solution</v>
      </c>
      <c r="V1148" s="33">
        <f>IFERROR(__xludf.DUMMYFUNCTION("""COMPUTED_VALUE"""),1.0)</f>
        <v>1</v>
      </c>
      <c r="W1148" s="4" t="str">
        <f>IFERROR(__xludf.DUMMYFUNCTION("""COMPUTED_VALUE"""),"Vuca Solution")</f>
        <v>Vuca Solution</v>
      </c>
      <c r="X1148" s="33">
        <f>IFERROR(__xludf.DUMMYFUNCTION("""COMPUTED_VALUE"""),1.0)</f>
        <v>1</v>
      </c>
    </row>
    <row r="1149">
      <c r="K1149" s="4" t="str">
        <f>IFERROR(__xludf.DUMMYFUNCTION("""COMPUTED_VALUE"""),"GRUPO TAIKSU")</f>
        <v>GRUPO TAIKSU</v>
      </c>
      <c r="L1149" s="32">
        <f>IFERROR(__xludf.DUMMYFUNCTION("""COMPUTED_VALUE"""),7.0)</f>
        <v>7</v>
      </c>
      <c r="M1149" s="4" t="str">
        <f>IFERROR(__xludf.DUMMYFUNCTION("""COMPUTED_VALUE"""),"Saipos Serviços De Software")</f>
        <v>Saipos Serviços De Software</v>
      </c>
      <c r="N1149" s="33">
        <f>IFERROR(__xludf.DUMMYFUNCTION("""COMPUTED_VALUE"""),0.8571428571428571)</f>
        <v>0.8571428571</v>
      </c>
      <c r="O1149" s="4" t="str">
        <f>IFERROR(__xludf.DUMMYFUNCTION("""COMPUTED_VALUE"""),"Saipos Serviços De Software")</f>
        <v>Saipos Serviços De Software</v>
      </c>
      <c r="P1149" s="33">
        <f>IFERROR(__xludf.DUMMYFUNCTION("""COMPUTED_VALUE"""),0.7142857142857143)</f>
        <v>0.7142857143</v>
      </c>
      <c r="Q1149" s="4" t="str">
        <f>IFERROR(__xludf.DUMMYFUNCTION("""COMPUTED_VALUE"""),"Saipos Serviços De Software")</f>
        <v>Saipos Serviços De Software</v>
      </c>
      <c r="R1149" s="33">
        <f>IFERROR(__xludf.DUMMYFUNCTION("""COMPUTED_VALUE"""),0.8571428571428571)</f>
        <v>0.8571428571</v>
      </c>
      <c r="S1149" s="4" t="str">
        <f>IFERROR(__xludf.DUMMYFUNCTION("""COMPUTED_VALUE"""),"Saipos Serviços De Software")</f>
        <v>Saipos Serviços De Software</v>
      </c>
      <c r="T1149" s="33">
        <f>IFERROR(__xludf.DUMMYFUNCTION("""COMPUTED_VALUE"""),0.7142857142857143)</f>
        <v>0.7142857143</v>
      </c>
      <c r="U1149" s="4" t="str">
        <f>IFERROR(__xludf.DUMMYFUNCTION("""COMPUTED_VALUE"""),"Saipos Serviços De Software")</f>
        <v>Saipos Serviços De Software</v>
      </c>
      <c r="V1149" s="33">
        <f>IFERROR(__xludf.DUMMYFUNCTION("""COMPUTED_VALUE"""),0.8571428571428571)</f>
        <v>0.8571428571</v>
      </c>
      <c r="W1149" s="4" t="str">
        <f>IFERROR(__xludf.DUMMYFUNCTION("""COMPUTED_VALUE"""),"Saipos Serviços De Software")</f>
        <v>Saipos Serviços De Software</v>
      </c>
      <c r="X1149" s="33">
        <f>IFERROR(__xludf.DUMMYFUNCTION("""COMPUTED_VALUE"""),0.8571428571428571)</f>
        <v>0.8571428571</v>
      </c>
    </row>
    <row r="1150">
      <c r="K1150" s="4" t="str">
        <f>IFERROR(__xludf.DUMMYFUNCTION("""COMPUTED_VALUE"""),"GRUPO TONIN - CONTA GRUPO")</f>
        <v>GRUPO TONIN - CONTA GRUPO</v>
      </c>
      <c r="L1150" s="32">
        <f>IFERROR(__xludf.DUMMYFUNCTION("""COMPUTED_VALUE"""),7.0)</f>
        <v>7</v>
      </c>
      <c r="M1150" s="4" t="str">
        <f>IFERROR(__xludf.DUMMYFUNCTION("""COMPUTED_VALUE"""),"null")</f>
        <v>null</v>
      </c>
      <c r="N1150" s="33">
        <f>IFERROR(__xludf.DUMMYFUNCTION("""COMPUTED_VALUE"""),1.0)</f>
        <v>1</v>
      </c>
      <c r="O1150" s="4" t="str">
        <f>IFERROR(__xludf.DUMMYFUNCTION("""COMPUTED_VALUE"""),"null")</f>
        <v>null</v>
      </c>
      <c r="P1150" s="33">
        <f>IFERROR(__xludf.DUMMYFUNCTION("""COMPUTED_VALUE"""),1.0)</f>
        <v>1</v>
      </c>
      <c r="Q1150" s="4" t="str">
        <f>IFERROR(__xludf.DUMMYFUNCTION("""COMPUTED_VALUE"""),"null")</f>
        <v>null</v>
      </c>
      <c r="R1150" s="33">
        <f>IFERROR(__xludf.DUMMYFUNCTION("""COMPUTED_VALUE"""),0.8571428571428571)</f>
        <v>0.8571428571</v>
      </c>
      <c r="S1150" s="4" t="str">
        <f>IFERROR(__xludf.DUMMYFUNCTION("""COMPUTED_VALUE"""),"N/A (Not found)")</f>
        <v>N/A (Not found)</v>
      </c>
      <c r="T1150" s="33">
        <f>IFERROR(__xludf.DUMMYFUNCTION("""COMPUTED_VALUE"""),0.5714285714285714)</f>
        <v>0.5714285714</v>
      </c>
      <c r="U1150" s="4" t="str">
        <f>IFERROR(__xludf.DUMMYFUNCTION("""COMPUTED_VALUE"""),"N/A (Not found)")</f>
        <v>N/A (Not found)</v>
      </c>
      <c r="V1150" s="33">
        <f>IFERROR(__xludf.DUMMYFUNCTION("""COMPUTED_VALUE"""),1.0)</f>
        <v>1</v>
      </c>
      <c r="W1150" s="4" t="str">
        <f>IFERROR(__xludf.DUMMYFUNCTION("""COMPUTED_VALUE"""),"N/A (Not found)")</f>
        <v>N/A (Not found)</v>
      </c>
      <c r="X1150" s="33">
        <f>IFERROR(__xludf.DUMMYFUNCTION("""COMPUTED_VALUE"""),1.0)</f>
        <v>1</v>
      </c>
    </row>
    <row r="1151">
      <c r="K1151" s="4" t="str">
        <f>IFERROR(__xludf.DUMMYFUNCTION("""COMPUTED_VALUE"""),"HAMBURGUERIA ESTACAO")</f>
        <v>HAMBURGUERIA ESTACAO</v>
      </c>
      <c r="L1151" s="32">
        <f>IFERROR(__xludf.DUMMYFUNCTION("""COMPUTED_VALUE"""),7.0)</f>
        <v>7</v>
      </c>
      <c r="M1151" s="4" t="str">
        <f>IFERROR(__xludf.DUMMYFUNCTION("""COMPUTED_VALUE"""),"Saipos Serviços De Software")</f>
        <v>Saipos Serviços De Software</v>
      </c>
      <c r="N1151" s="33">
        <f>IFERROR(__xludf.DUMMYFUNCTION("""COMPUTED_VALUE"""),0.7142857142857143)</f>
        <v>0.7142857143</v>
      </c>
      <c r="O1151" s="4" t="str">
        <f>IFERROR(__xludf.DUMMYFUNCTION("""COMPUTED_VALUE"""),"Saipos Serviços De Software")</f>
        <v>Saipos Serviços De Software</v>
      </c>
      <c r="P1151" s="33">
        <f>IFERROR(__xludf.DUMMYFUNCTION("""COMPUTED_VALUE"""),0.7142857142857143)</f>
        <v>0.7142857143</v>
      </c>
      <c r="Q1151" s="4" t="str">
        <f>IFERROR(__xludf.DUMMYFUNCTION("""COMPUTED_VALUE"""),"Saipos Serviços De Software")</f>
        <v>Saipos Serviços De Software</v>
      </c>
      <c r="R1151" s="33">
        <f>IFERROR(__xludf.DUMMYFUNCTION("""COMPUTED_VALUE"""),0.7142857142857143)</f>
        <v>0.7142857143</v>
      </c>
      <c r="S1151" s="4" t="str">
        <f>IFERROR(__xludf.DUMMYFUNCTION("""COMPUTED_VALUE"""),"Saipos Serviços De Software")</f>
        <v>Saipos Serviços De Software</v>
      </c>
      <c r="T1151" s="33">
        <f>IFERROR(__xludf.DUMMYFUNCTION("""COMPUTED_VALUE"""),0.7142857142857143)</f>
        <v>0.7142857143</v>
      </c>
      <c r="U1151" s="4" t="str">
        <f>IFERROR(__xludf.DUMMYFUNCTION("""COMPUTED_VALUE"""),"Saipos Serviços De Software")</f>
        <v>Saipos Serviços De Software</v>
      </c>
      <c r="V1151" s="33">
        <f>IFERROR(__xludf.DUMMYFUNCTION("""COMPUTED_VALUE"""),1.0)</f>
        <v>1</v>
      </c>
      <c r="W1151" s="4" t="str">
        <f>IFERROR(__xludf.DUMMYFUNCTION("""COMPUTED_VALUE"""),"Saipos Serviços De Software")</f>
        <v>Saipos Serviços De Software</v>
      </c>
      <c r="X1151" s="33">
        <f>IFERROR(__xludf.DUMMYFUNCTION("""COMPUTED_VALUE"""),1.0)</f>
        <v>1</v>
      </c>
    </row>
    <row r="1152">
      <c r="K1152" s="4" t="str">
        <f>IFERROR(__xludf.DUMMYFUNCTION("""COMPUTED_VALUE"""),"HAYA FALAFEL")</f>
        <v>HAYA FALAFEL</v>
      </c>
      <c r="L1152" s="32">
        <f>IFERROR(__xludf.DUMMYFUNCTION("""COMPUTED_VALUE"""),7.0)</f>
        <v>7</v>
      </c>
      <c r="M1152" s="4" t="str">
        <f>IFERROR(__xludf.DUMMYFUNCTION("""COMPUTED_VALUE"""),"Hubster")</f>
        <v>Hubster</v>
      </c>
      <c r="N1152" s="33">
        <f>IFERROR(__xludf.DUMMYFUNCTION("""COMPUTED_VALUE"""),0.7142857142857143)</f>
        <v>0.7142857143</v>
      </c>
      <c r="O1152" s="4" t="str">
        <f>IFERROR(__xludf.DUMMYFUNCTION("""COMPUTED_VALUE"""),"Hubster")</f>
        <v>Hubster</v>
      </c>
      <c r="P1152" s="33">
        <f>IFERROR(__xludf.DUMMYFUNCTION("""COMPUTED_VALUE"""),0.5714285714285714)</f>
        <v>0.5714285714</v>
      </c>
      <c r="Q1152" s="4" t="str">
        <f>IFERROR(__xludf.DUMMYFUNCTION("""COMPUTED_VALUE"""),"null")</f>
        <v>null</v>
      </c>
      <c r="R1152" s="33">
        <f>IFERROR(__xludf.DUMMYFUNCTION("""COMPUTED_VALUE"""),0.42857142857142855)</f>
        <v>0.4285714286</v>
      </c>
      <c r="S1152" s="4" t="str">
        <f>IFERROR(__xludf.DUMMYFUNCTION("""COMPUTED_VALUE"""),"T4l Tecnologia Ltda Me")</f>
        <v>T4l Tecnologia Ltda Me</v>
      </c>
      <c r="T1152" s="33">
        <f>IFERROR(__xludf.DUMMYFUNCTION("""COMPUTED_VALUE"""),0.42857142857142855)</f>
        <v>0.4285714286</v>
      </c>
      <c r="U1152" s="4" t="str">
        <f>IFERROR(__xludf.DUMMYFUNCTION("""COMPUTED_VALUE"""),"T4l Tecnologia Ltda Me")</f>
        <v>T4l Tecnologia Ltda Me</v>
      </c>
      <c r="V1152" s="33">
        <f>IFERROR(__xludf.DUMMYFUNCTION("""COMPUTED_VALUE"""),0.42857142857142855)</f>
        <v>0.4285714286</v>
      </c>
      <c r="W1152" s="4" t="str">
        <f>IFERROR(__xludf.DUMMYFUNCTION("""COMPUTED_VALUE"""),"T4l Tecnologia Ltda Me")</f>
        <v>T4l Tecnologia Ltda Me</v>
      </c>
      <c r="X1152" s="33">
        <f>IFERROR(__xludf.DUMMYFUNCTION("""COMPUTED_VALUE"""),0.42857142857142855)</f>
        <v>0.4285714286</v>
      </c>
    </row>
    <row r="1153">
      <c r="K1153" s="4" t="str">
        <f>IFERROR(__xludf.DUMMYFUNCTION("""COMPUTED_VALUE"""),"HIPER MOREIRA - CONTA GRUPO")</f>
        <v>HIPER MOREIRA - CONTA GRUPO</v>
      </c>
      <c r="L1153" s="32">
        <f>IFERROR(__xludf.DUMMYFUNCTION("""COMPUTED_VALUE"""),7.0)</f>
        <v>7</v>
      </c>
      <c r="M1153" s="4" t="str">
        <f>IFERROR(__xludf.DUMMYFUNCTION("""COMPUTED_VALUE"""),"N/A (Not found)")</f>
        <v>N/A (Not found)</v>
      </c>
      <c r="N1153" s="33">
        <f>IFERROR(__xludf.DUMMYFUNCTION("""COMPUTED_VALUE"""),0.8571428571428571)</f>
        <v>0.8571428571</v>
      </c>
      <c r="O1153" s="4" t="str">
        <f>IFERROR(__xludf.DUMMYFUNCTION("""COMPUTED_VALUE"""),"N/A (Not found)")</f>
        <v>N/A (Not found)</v>
      </c>
      <c r="P1153" s="33">
        <f>IFERROR(__xludf.DUMMYFUNCTION("""COMPUTED_VALUE"""),0.8571428571428571)</f>
        <v>0.8571428571</v>
      </c>
      <c r="Q1153" s="4" t="str">
        <f>IFERROR(__xludf.DUMMYFUNCTION("""COMPUTED_VALUE"""),"N/A (Not found)")</f>
        <v>N/A (Not found)</v>
      </c>
      <c r="R1153" s="33">
        <f>IFERROR(__xludf.DUMMYFUNCTION("""COMPUTED_VALUE"""),1.0)</f>
        <v>1</v>
      </c>
      <c r="S1153" s="4" t="str">
        <f>IFERROR(__xludf.DUMMYFUNCTION("""COMPUTED_VALUE"""),"N/A (Not found)")</f>
        <v>N/A (Not found)</v>
      </c>
      <c r="T1153" s="33">
        <f>IFERROR(__xludf.DUMMYFUNCTION("""COMPUTED_VALUE"""),1.0)</f>
        <v>1</v>
      </c>
      <c r="U1153" s="4" t="str">
        <f>IFERROR(__xludf.DUMMYFUNCTION("""COMPUTED_VALUE"""),"N/A (Not found)")</f>
        <v>N/A (Not found)</v>
      </c>
      <c r="V1153" s="33">
        <f>IFERROR(__xludf.DUMMYFUNCTION("""COMPUTED_VALUE"""),1.0)</f>
        <v>1</v>
      </c>
      <c r="W1153" s="4" t="str">
        <f>IFERROR(__xludf.DUMMYFUNCTION("""COMPUTED_VALUE"""),"N/A (Not found)")</f>
        <v>N/A (Not found)</v>
      </c>
      <c r="X1153" s="33">
        <f>IFERROR(__xludf.DUMMYFUNCTION("""COMPUTED_VALUE"""),1.0)</f>
        <v>1</v>
      </c>
    </row>
    <row r="1154">
      <c r="K1154" s="4" t="str">
        <f>IFERROR(__xludf.DUMMYFUNCTION("""COMPUTED_VALUE"""),"HIPER SELECT SUPERMERCADOS - CONTA GRUPO")</f>
        <v>HIPER SELECT SUPERMERCADOS - CONTA GRUPO</v>
      </c>
      <c r="L1154" s="32">
        <f>IFERROR(__xludf.DUMMYFUNCTION("""COMPUTED_VALUE"""),7.0)</f>
        <v>7</v>
      </c>
      <c r="M1154" s="4" t="str">
        <f>IFERROR(__xludf.DUMMYFUNCTION("""COMPUTED_VALUE"""),"N/A (Not found)")</f>
        <v>N/A (Not found)</v>
      </c>
      <c r="N1154" s="33">
        <f>IFERROR(__xludf.DUMMYFUNCTION("""COMPUTED_VALUE"""),0.8571428571428571)</f>
        <v>0.8571428571</v>
      </c>
      <c r="O1154" s="4" t="str">
        <f>IFERROR(__xludf.DUMMYFUNCTION("""COMPUTED_VALUE"""),"N/A (Not found)")</f>
        <v>N/A (Not found)</v>
      </c>
      <c r="P1154" s="33">
        <f>IFERROR(__xludf.DUMMYFUNCTION("""COMPUTED_VALUE"""),0.8571428571428571)</f>
        <v>0.8571428571</v>
      </c>
      <c r="Q1154" s="4" t="str">
        <f>IFERROR(__xludf.DUMMYFUNCTION("""COMPUTED_VALUE"""),"N/A (Not found)")</f>
        <v>N/A (Not found)</v>
      </c>
      <c r="R1154" s="33">
        <f>IFERROR(__xludf.DUMMYFUNCTION("""COMPUTED_VALUE"""),0.8571428571428571)</f>
        <v>0.8571428571</v>
      </c>
      <c r="S1154" s="4" t="str">
        <f>IFERROR(__xludf.DUMMYFUNCTION("""COMPUTED_VALUE"""),"N/A (Not found)")</f>
        <v>N/A (Not found)</v>
      </c>
      <c r="T1154" s="33">
        <f>IFERROR(__xludf.DUMMYFUNCTION("""COMPUTED_VALUE"""),0.8571428571428571)</f>
        <v>0.8571428571</v>
      </c>
      <c r="U1154" s="4" t="str">
        <f>IFERROR(__xludf.DUMMYFUNCTION("""COMPUTED_VALUE"""),"N/A (Not found)")</f>
        <v>N/A (Not found)</v>
      </c>
      <c r="V1154" s="33">
        <f>IFERROR(__xludf.DUMMYFUNCTION("""COMPUTED_VALUE"""),0.8571428571428571)</f>
        <v>0.8571428571</v>
      </c>
      <c r="W1154" s="4" t="str">
        <f>IFERROR(__xludf.DUMMYFUNCTION("""COMPUTED_VALUE"""),"N/A (Not found)")</f>
        <v>N/A (Not found)</v>
      </c>
      <c r="X1154" s="33">
        <f>IFERROR(__xludf.DUMMYFUNCTION("""COMPUTED_VALUE"""),0.8571428571428571)</f>
        <v>0.8571428571</v>
      </c>
    </row>
    <row r="1155">
      <c r="K1155" s="4" t="str">
        <f>IFERROR(__xludf.DUMMYFUNCTION("""COMPUTED_VALUE"""),"HOT DOG DO MAX")</f>
        <v>HOT DOG DO MAX</v>
      </c>
      <c r="L1155" s="32">
        <f>IFERROR(__xludf.DUMMYFUNCTION("""COMPUTED_VALUE"""),7.0)</f>
        <v>7</v>
      </c>
      <c r="M1155" s="4" t="str">
        <f>IFERROR(__xludf.DUMMYFUNCTION("""COMPUTED_VALUE"""),"Netcontroll Xmenu")</f>
        <v>Netcontroll Xmenu</v>
      </c>
      <c r="N1155" s="33">
        <f>IFERROR(__xludf.DUMMYFUNCTION("""COMPUTED_VALUE"""),0.5714285714285714)</f>
        <v>0.5714285714</v>
      </c>
      <c r="O1155" s="4" t="str">
        <f>IFERROR(__xludf.DUMMYFUNCTION("""COMPUTED_VALUE"""),"Netcontroll Xmenu")</f>
        <v>Netcontroll Xmenu</v>
      </c>
      <c r="P1155" s="33">
        <f>IFERROR(__xludf.DUMMYFUNCTION("""COMPUTED_VALUE"""),0.8571428571428571)</f>
        <v>0.8571428571</v>
      </c>
      <c r="Q1155" s="4" t="str">
        <f>IFERROR(__xludf.DUMMYFUNCTION("""COMPUTED_VALUE"""),"Netcontroll Xmenu")</f>
        <v>Netcontroll Xmenu</v>
      </c>
      <c r="R1155" s="33">
        <f>IFERROR(__xludf.DUMMYFUNCTION("""COMPUTED_VALUE"""),0.8571428571428571)</f>
        <v>0.8571428571</v>
      </c>
      <c r="S1155" s="4" t="str">
        <f>IFERROR(__xludf.DUMMYFUNCTION("""COMPUTED_VALUE"""),"Netcontroll Xmenu")</f>
        <v>Netcontroll Xmenu</v>
      </c>
      <c r="T1155" s="33">
        <f>IFERROR(__xludf.DUMMYFUNCTION("""COMPUTED_VALUE"""),0.8571428571428571)</f>
        <v>0.8571428571</v>
      </c>
      <c r="U1155" s="4" t="str">
        <f>IFERROR(__xludf.DUMMYFUNCTION("""COMPUTED_VALUE"""),"null")</f>
        <v>null</v>
      </c>
      <c r="V1155" s="33">
        <f>IFERROR(__xludf.DUMMYFUNCTION("""COMPUTED_VALUE"""),0.8571428571428571)</f>
        <v>0.8571428571</v>
      </c>
      <c r="W1155" s="4" t="str">
        <f>IFERROR(__xludf.DUMMYFUNCTION("""COMPUTED_VALUE"""),"null")</f>
        <v>null</v>
      </c>
      <c r="X1155" s="33">
        <f>IFERROR(__xludf.DUMMYFUNCTION("""COMPUTED_VALUE"""),0.8571428571428571)</f>
        <v>0.8571428571</v>
      </c>
    </row>
    <row r="1156">
      <c r="K1156" s="4" t="str">
        <f>IFERROR(__xludf.DUMMYFUNCTION("""COMPUTED_VALUE"""),"HOT DOG DONT STOP - SANTA FELICIDADE- CM")</f>
        <v>HOT DOG DONT STOP - SANTA FELICIDADE- CM</v>
      </c>
      <c r="L1156" s="32">
        <f>IFERROR(__xludf.DUMMYFUNCTION("""COMPUTED_VALUE"""),7.0)</f>
        <v>7</v>
      </c>
      <c r="M1156" s="4" t="str">
        <f>IFERROR(__xludf.DUMMYFUNCTION("""COMPUTED_VALUE"""),"Cardápio Web")</f>
        <v>Cardápio Web</v>
      </c>
      <c r="N1156" s="33">
        <f>IFERROR(__xludf.DUMMYFUNCTION("""COMPUTED_VALUE"""),0.5714285714285714)</f>
        <v>0.5714285714</v>
      </c>
      <c r="O1156" s="4" t="str">
        <f>IFERROR(__xludf.DUMMYFUNCTION("""COMPUTED_VALUE"""),"Cardápio Web")</f>
        <v>Cardápio Web</v>
      </c>
      <c r="P1156" s="33">
        <f>IFERROR(__xludf.DUMMYFUNCTION("""COMPUTED_VALUE"""),0.5714285714285714)</f>
        <v>0.5714285714</v>
      </c>
      <c r="Q1156" s="4" t="str">
        <f>IFERROR(__xludf.DUMMYFUNCTION("""COMPUTED_VALUE"""),"Cardápio Web")</f>
        <v>Cardápio Web</v>
      </c>
      <c r="R1156" s="33">
        <f>IFERROR(__xludf.DUMMYFUNCTION("""COMPUTED_VALUE"""),0.5714285714285714)</f>
        <v>0.5714285714</v>
      </c>
      <c r="S1156" s="4" t="str">
        <f>IFERROR(__xludf.DUMMYFUNCTION("""COMPUTED_VALUE"""),"Cardápio Web")</f>
        <v>Cardápio Web</v>
      </c>
      <c r="T1156" s="33">
        <f>IFERROR(__xludf.DUMMYFUNCTION("""COMPUTED_VALUE"""),0.5714285714285714)</f>
        <v>0.5714285714</v>
      </c>
      <c r="U1156" s="4" t="str">
        <f>IFERROR(__xludf.DUMMYFUNCTION("""COMPUTED_VALUE"""),"Cardápio Web")</f>
        <v>Cardápio Web</v>
      </c>
      <c r="V1156" s="33">
        <f>IFERROR(__xludf.DUMMYFUNCTION("""COMPUTED_VALUE"""),0.5714285714285714)</f>
        <v>0.5714285714</v>
      </c>
      <c r="W1156" s="4" t="str">
        <f>IFERROR(__xludf.DUMMYFUNCTION("""COMPUTED_VALUE"""),"null")</f>
        <v>null</v>
      </c>
      <c r="X1156" s="33">
        <f>IFERROR(__xludf.DUMMYFUNCTION("""COMPUTED_VALUE"""),0.5714285714285714)</f>
        <v>0.5714285714</v>
      </c>
    </row>
    <row r="1157">
      <c r="K1157" s="4" t="str">
        <f>IFERROR(__xludf.DUMMYFUNCTION("""COMPUTED_VALUE"""),"JOHNS BURGUER")</f>
        <v>JOHNS BURGUER</v>
      </c>
      <c r="L1157" s="32">
        <f>IFERROR(__xludf.DUMMYFUNCTION("""COMPUTED_VALUE"""),7.0)</f>
        <v>7</v>
      </c>
      <c r="M1157" s="4" t="str">
        <f>IFERROR(__xludf.DUMMYFUNCTION("""COMPUTED_VALUE"""),"Eclética Tecnologia")</f>
        <v>Eclética Tecnologia</v>
      </c>
      <c r="N1157" s="33">
        <f>IFERROR(__xludf.DUMMYFUNCTION("""COMPUTED_VALUE"""),1.0)</f>
        <v>1</v>
      </c>
      <c r="O1157" s="4" t="str">
        <f>IFERROR(__xludf.DUMMYFUNCTION("""COMPUTED_VALUE"""),"Eclética Tecnologia")</f>
        <v>Eclética Tecnologia</v>
      </c>
      <c r="P1157" s="33">
        <f>IFERROR(__xludf.DUMMYFUNCTION("""COMPUTED_VALUE"""),0.8571428571428571)</f>
        <v>0.8571428571</v>
      </c>
      <c r="Q1157" s="4" t="str">
        <f>IFERROR(__xludf.DUMMYFUNCTION("""COMPUTED_VALUE"""),"Eclética Tecnologia")</f>
        <v>Eclética Tecnologia</v>
      </c>
      <c r="R1157" s="33">
        <f>IFERROR(__xludf.DUMMYFUNCTION("""COMPUTED_VALUE"""),0.7142857142857143)</f>
        <v>0.7142857143</v>
      </c>
      <c r="S1157" s="4" t="str">
        <f>IFERROR(__xludf.DUMMYFUNCTION("""COMPUTED_VALUE"""),"Eclética Tecnologia")</f>
        <v>Eclética Tecnologia</v>
      </c>
      <c r="T1157" s="33">
        <f>IFERROR(__xludf.DUMMYFUNCTION("""COMPUTED_VALUE"""),0.8571428571428571)</f>
        <v>0.8571428571</v>
      </c>
      <c r="U1157" s="4" t="str">
        <f>IFERROR(__xludf.DUMMYFUNCTION("""COMPUTED_VALUE"""),"Eclética Tecnologia")</f>
        <v>Eclética Tecnologia</v>
      </c>
      <c r="V1157" s="33">
        <f>IFERROR(__xludf.DUMMYFUNCTION("""COMPUTED_VALUE"""),0.7142857142857143)</f>
        <v>0.7142857143</v>
      </c>
      <c r="W1157" s="4" t="str">
        <f>IFERROR(__xludf.DUMMYFUNCTION("""COMPUTED_VALUE"""),"Eclética Tecnologia")</f>
        <v>Eclética Tecnologia</v>
      </c>
      <c r="X1157" s="33">
        <f>IFERROR(__xludf.DUMMYFUNCTION("""COMPUTED_VALUE"""),0.7142857142857143)</f>
        <v>0.7142857143</v>
      </c>
    </row>
    <row r="1158">
      <c r="K1158" s="4" t="str">
        <f>IFERROR(__xludf.DUMMYFUNCTION("""COMPUTED_VALUE"""),"JURASSIC CONTA")</f>
        <v>JURASSIC CONTA</v>
      </c>
      <c r="L1158" s="32">
        <f>IFERROR(__xludf.DUMMYFUNCTION("""COMPUTED_VALUE"""),7.0)</f>
        <v>7</v>
      </c>
      <c r="M1158" s="4" t="str">
        <f>IFERROR(__xludf.DUMMYFUNCTION("""COMPUTED_VALUE"""),"Cardápio Web")</f>
        <v>Cardápio Web</v>
      </c>
      <c r="N1158" s="33">
        <f>IFERROR(__xludf.DUMMYFUNCTION("""COMPUTED_VALUE"""),0.7142857142857143)</f>
        <v>0.7142857143</v>
      </c>
      <c r="O1158" s="4" t="str">
        <f>IFERROR(__xludf.DUMMYFUNCTION("""COMPUTED_VALUE"""),"Cardápio Web")</f>
        <v>Cardápio Web</v>
      </c>
      <c r="P1158" s="33">
        <f>IFERROR(__xludf.DUMMYFUNCTION("""COMPUTED_VALUE"""),0.7142857142857143)</f>
        <v>0.7142857143</v>
      </c>
      <c r="Q1158" s="4" t="str">
        <f>IFERROR(__xludf.DUMMYFUNCTION("""COMPUTED_VALUE"""),"Cardápio Web")</f>
        <v>Cardápio Web</v>
      </c>
      <c r="R1158" s="33">
        <f>IFERROR(__xludf.DUMMYFUNCTION("""COMPUTED_VALUE"""),0.7142857142857143)</f>
        <v>0.7142857143</v>
      </c>
      <c r="S1158" s="4" t="str">
        <f>IFERROR(__xludf.DUMMYFUNCTION("""COMPUTED_VALUE"""),"Cardápio Web")</f>
        <v>Cardápio Web</v>
      </c>
      <c r="T1158" s="33">
        <f>IFERROR(__xludf.DUMMYFUNCTION("""COMPUTED_VALUE"""),0.5714285714285714)</f>
        <v>0.5714285714</v>
      </c>
      <c r="U1158" s="4" t="str">
        <f>IFERROR(__xludf.DUMMYFUNCTION("""COMPUTED_VALUE"""),"Cardápio Web")</f>
        <v>Cardápio Web</v>
      </c>
      <c r="V1158" s="33">
        <f>IFERROR(__xludf.DUMMYFUNCTION("""COMPUTED_VALUE"""),0.7142857142857143)</f>
        <v>0.7142857143</v>
      </c>
      <c r="W1158" s="4" t="str">
        <f>IFERROR(__xludf.DUMMYFUNCTION("""COMPUTED_VALUE"""),"Cardápio Web")</f>
        <v>Cardápio Web</v>
      </c>
      <c r="X1158" s="33">
        <f>IFERROR(__xludf.DUMMYFUNCTION("""COMPUTED_VALUE"""),0.7142857142857143)</f>
        <v>0.7142857143</v>
      </c>
    </row>
    <row r="1159">
      <c r="K1159" s="4" t="str">
        <f>IFERROR(__xludf.DUMMYFUNCTION("""COMPUTED_VALUE"""),"KAISHI MOGI")</f>
        <v>KAISHI MOGI</v>
      </c>
      <c r="L1159" s="32">
        <f>IFERROR(__xludf.DUMMYFUNCTION("""COMPUTED_VALUE"""),7.0)</f>
        <v>7</v>
      </c>
      <c r="M1159" s="4" t="str">
        <f>IFERROR(__xludf.DUMMYFUNCTION("""COMPUTED_VALUE"""),"Cheff Solutions Tecnologia Brasil")</f>
        <v>Cheff Solutions Tecnologia Brasil</v>
      </c>
      <c r="N1159" s="33">
        <f>IFERROR(__xludf.DUMMYFUNCTION("""COMPUTED_VALUE"""),1.0)</f>
        <v>1</v>
      </c>
      <c r="O1159" s="4" t="str">
        <f>IFERROR(__xludf.DUMMYFUNCTION("""COMPUTED_VALUE"""),"Cheff Solutions Tecnologia Brasil")</f>
        <v>Cheff Solutions Tecnologia Brasil</v>
      </c>
      <c r="P1159" s="33">
        <f>IFERROR(__xludf.DUMMYFUNCTION("""COMPUTED_VALUE"""),0.8571428571428571)</f>
        <v>0.8571428571</v>
      </c>
      <c r="Q1159" s="4" t="str">
        <f>IFERROR(__xludf.DUMMYFUNCTION("""COMPUTED_VALUE"""),"Cheff Solutions Tecnologia Brasil")</f>
        <v>Cheff Solutions Tecnologia Brasil</v>
      </c>
      <c r="R1159" s="33">
        <f>IFERROR(__xludf.DUMMYFUNCTION("""COMPUTED_VALUE"""),1.0)</f>
        <v>1</v>
      </c>
      <c r="S1159" s="4" t="str">
        <f>IFERROR(__xludf.DUMMYFUNCTION("""COMPUTED_VALUE"""),"Cheff Solutions Tecnologia Brasil")</f>
        <v>Cheff Solutions Tecnologia Brasil</v>
      </c>
      <c r="T1159" s="33">
        <f>IFERROR(__xludf.DUMMYFUNCTION("""COMPUTED_VALUE"""),0.7142857142857143)</f>
        <v>0.7142857143</v>
      </c>
      <c r="U1159" s="4" t="str">
        <f>IFERROR(__xludf.DUMMYFUNCTION("""COMPUTED_VALUE"""),"Cheff Solutions Tecnologia Brasil")</f>
        <v>Cheff Solutions Tecnologia Brasil</v>
      </c>
      <c r="V1159" s="33">
        <f>IFERROR(__xludf.DUMMYFUNCTION("""COMPUTED_VALUE"""),1.0)</f>
        <v>1</v>
      </c>
      <c r="W1159" s="4" t="str">
        <f>IFERROR(__xludf.DUMMYFUNCTION("""COMPUTED_VALUE"""),"Cheff Solutions Tecnologia Brasil")</f>
        <v>Cheff Solutions Tecnologia Brasil</v>
      </c>
      <c r="X1159" s="33">
        <f>IFERROR(__xludf.DUMMYFUNCTION("""COMPUTED_VALUE"""),1.0)</f>
        <v>1</v>
      </c>
    </row>
    <row r="1160">
      <c r="K1160" s="4" t="str">
        <f>IFERROR(__xludf.DUMMYFUNCTION("""COMPUTED_VALUE"""),"KIJAPA")</f>
        <v>KIJAPA</v>
      </c>
      <c r="L1160" s="32">
        <f>IFERROR(__xludf.DUMMYFUNCTION("""COMPUTED_VALUE"""),7.0)</f>
        <v>7</v>
      </c>
      <c r="M1160" s="4" t="str">
        <f>IFERROR(__xludf.DUMMYFUNCTION("""COMPUTED_VALUE"""),"Saipos Serviços De Software")</f>
        <v>Saipos Serviços De Software</v>
      </c>
      <c r="N1160" s="33">
        <f>IFERROR(__xludf.DUMMYFUNCTION("""COMPUTED_VALUE"""),0.5714285714285714)</f>
        <v>0.5714285714</v>
      </c>
      <c r="O1160" s="4" t="str">
        <f>IFERROR(__xludf.DUMMYFUNCTION("""COMPUTED_VALUE"""),"Saipos Serviços De Software")</f>
        <v>Saipos Serviços De Software</v>
      </c>
      <c r="P1160" s="33">
        <f>IFERROR(__xludf.DUMMYFUNCTION("""COMPUTED_VALUE"""),0.5714285714285714)</f>
        <v>0.5714285714</v>
      </c>
      <c r="Q1160" s="4" t="str">
        <f>IFERROR(__xludf.DUMMYFUNCTION("""COMPUTED_VALUE"""),"Saipos Serviços De Software")</f>
        <v>Saipos Serviços De Software</v>
      </c>
      <c r="R1160" s="33">
        <f>IFERROR(__xludf.DUMMYFUNCTION("""COMPUTED_VALUE"""),0.5714285714285714)</f>
        <v>0.5714285714</v>
      </c>
      <c r="S1160" s="4" t="str">
        <f>IFERROR(__xludf.DUMMYFUNCTION("""COMPUTED_VALUE"""),"Saipos Serviços De Software")</f>
        <v>Saipos Serviços De Software</v>
      </c>
      <c r="T1160" s="33">
        <f>IFERROR(__xludf.DUMMYFUNCTION("""COMPUTED_VALUE"""),0.5714285714285714)</f>
        <v>0.5714285714</v>
      </c>
      <c r="U1160" s="4" t="str">
        <f>IFERROR(__xludf.DUMMYFUNCTION("""COMPUTED_VALUE"""),"Saipos Serviços De Software")</f>
        <v>Saipos Serviços De Software</v>
      </c>
      <c r="V1160" s="33">
        <f>IFERROR(__xludf.DUMMYFUNCTION("""COMPUTED_VALUE"""),0.5714285714285714)</f>
        <v>0.5714285714</v>
      </c>
      <c r="W1160" s="4" t="str">
        <f>IFERROR(__xludf.DUMMYFUNCTION("""COMPUTED_VALUE"""),"Saipos Serviços De Software")</f>
        <v>Saipos Serviços De Software</v>
      </c>
      <c r="X1160" s="33">
        <f>IFERROR(__xludf.DUMMYFUNCTION("""COMPUTED_VALUE"""),0.5714285714285714)</f>
        <v>0.5714285714</v>
      </c>
    </row>
    <row r="1161">
      <c r="K1161" s="4" t="str">
        <f>IFERROR(__xludf.DUMMYFUNCTION("""COMPUTED_VALUE"""),"KOMBINA FELICE - BC - CONTA MARCA")</f>
        <v>KOMBINA FELICE - BC - CONTA MARCA</v>
      </c>
      <c r="L1161" s="32">
        <f>IFERROR(__xludf.DUMMYFUNCTION("""COMPUTED_VALUE"""),7.0)</f>
        <v>7</v>
      </c>
      <c r="M1161" s="4" t="str">
        <f>IFERROR(__xludf.DUMMYFUNCTION("""COMPUTED_VALUE"""),"Totvs Large Enterprise Tecnologia S.a.")</f>
        <v>Totvs Large Enterprise Tecnologia S.a.</v>
      </c>
      <c r="N1161" s="33">
        <f>IFERROR(__xludf.DUMMYFUNCTION("""COMPUTED_VALUE"""),0.7142857142857143)</f>
        <v>0.7142857143</v>
      </c>
      <c r="O1161" s="4" t="str">
        <f>IFERROR(__xludf.DUMMYFUNCTION("""COMPUTED_VALUE"""),"Totvs Large Enterprise Tecnologia S.a.")</f>
        <v>Totvs Large Enterprise Tecnologia S.a.</v>
      </c>
      <c r="P1161" s="33">
        <f>IFERROR(__xludf.DUMMYFUNCTION("""COMPUTED_VALUE"""),0.5714285714285714)</f>
        <v>0.5714285714</v>
      </c>
      <c r="Q1161" s="4" t="str">
        <f>IFERROR(__xludf.DUMMYFUNCTION("""COMPUTED_VALUE"""),"Totvs Large Enterprise Tecnologia S.a.")</f>
        <v>Totvs Large Enterprise Tecnologia S.a.</v>
      </c>
      <c r="R1161" s="33">
        <f>IFERROR(__xludf.DUMMYFUNCTION("""COMPUTED_VALUE"""),0.7142857142857143)</f>
        <v>0.7142857143</v>
      </c>
      <c r="S1161" s="4" t="str">
        <f>IFERROR(__xludf.DUMMYFUNCTION("""COMPUTED_VALUE"""),"Totvs Large Enterprise Tecnologia S.a.")</f>
        <v>Totvs Large Enterprise Tecnologia S.a.</v>
      </c>
      <c r="T1161" s="33">
        <f>IFERROR(__xludf.DUMMYFUNCTION("""COMPUTED_VALUE"""),0.7142857142857143)</f>
        <v>0.7142857143</v>
      </c>
      <c r="U1161" s="4" t="str">
        <f>IFERROR(__xludf.DUMMYFUNCTION("""COMPUTED_VALUE"""),"Totvs Large Enterprise Tecnologia S.a.")</f>
        <v>Totvs Large Enterprise Tecnologia S.a.</v>
      </c>
      <c r="V1161" s="33">
        <f>IFERROR(__xludf.DUMMYFUNCTION("""COMPUTED_VALUE"""),0.5714285714285714)</f>
        <v>0.5714285714</v>
      </c>
      <c r="W1161" s="4" t="str">
        <f>IFERROR(__xludf.DUMMYFUNCTION("""COMPUTED_VALUE"""),"Totvs Large Enterprise Tecnologia S.a.")</f>
        <v>Totvs Large Enterprise Tecnologia S.a.</v>
      </c>
      <c r="X1161" s="33">
        <f>IFERROR(__xludf.DUMMYFUNCTION("""COMPUTED_VALUE"""),0.8571428571428571)</f>
        <v>0.8571428571</v>
      </c>
    </row>
    <row r="1162">
      <c r="K1162" s="4" t="str">
        <f>IFERROR(__xludf.DUMMYFUNCTION("""COMPUTED_VALUE"""),"LACA BURGUER")</f>
        <v>LACA BURGUER</v>
      </c>
      <c r="L1162" s="32">
        <f>IFERROR(__xludf.DUMMYFUNCTION("""COMPUTED_VALUE"""),7.0)</f>
        <v>7</v>
      </c>
      <c r="M1162" s="4" t="str">
        <f>IFERROR(__xludf.DUMMYFUNCTION("""COMPUTED_VALUE"""),"L&amp;f Tecnologia Sistemas E Comercio Ltda")</f>
        <v>L&amp;f Tecnologia Sistemas E Comercio Ltda</v>
      </c>
      <c r="N1162" s="33">
        <f>IFERROR(__xludf.DUMMYFUNCTION("""COMPUTED_VALUE"""),0.5714285714285714)</f>
        <v>0.5714285714</v>
      </c>
      <c r="O1162" s="4" t="str">
        <f>IFERROR(__xludf.DUMMYFUNCTION("""COMPUTED_VALUE"""),"L&amp;f Tecnologia Sistemas E Comercio Ltda")</f>
        <v>L&amp;f Tecnologia Sistemas E Comercio Ltda</v>
      </c>
      <c r="P1162" s="33">
        <f>IFERROR(__xludf.DUMMYFUNCTION("""COMPUTED_VALUE"""),0.8571428571428571)</f>
        <v>0.8571428571</v>
      </c>
      <c r="Q1162" s="4" t="str">
        <f>IFERROR(__xludf.DUMMYFUNCTION("""COMPUTED_VALUE"""),"L&amp;f Tecnologia Sistemas E Comercio Ltda")</f>
        <v>L&amp;f Tecnologia Sistemas E Comercio Ltda</v>
      </c>
      <c r="R1162" s="33">
        <f>IFERROR(__xludf.DUMMYFUNCTION("""COMPUTED_VALUE"""),0.5714285714285714)</f>
        <v>0.5714285714</v>
      </c>
      <c r="S1162" s="4" t="str">
        <f>IFERROR(__xludf.DUMMYFUNCTION("""COMPUTED_VALUE"""),"L&amp;f Tecnologia Sistemas E Comercio Ltda")</f>
        <v>L&amp;f Tecnologia Sistemas E Comercio Ltda</v>
      </c>
      <c r="T1162" s="33">
        <f>IFERROR(__xludf.DUMMYFUNCTION("""COMPUTED_VALUE"""),0.5714285714285714)</f>
        <v>0.5714285714</v>
      </c>
      <c r="U1162" s="4" t="str">
        <f>IFERROR(__xludf.DUMMYFUNCTION("""COMPUTED_VALUE"""),"null")</f>
        <v>null</v>
      </c>
      <c r="V1162" s="33">
        <f>IFERROR(__xludf.DUMMYFUNCTION("""COMPUTED_VALUE"""),0.5714285714285714)</f>
        <v>0.5714285714</v>
      </c>
      <c r="W1162" s="4" t="str">
        <f>IFERROR(__xludf.DUMMYFUNCTION("""COMPUTED_VALUE"""),"L&amp;f Tecnologia Sistemas E Comercio Ltda")</f>
        <v>L&amp;f Tecnologia Sistemas E Comercio Ltda</v>
      </c>
      <c r="X1162" s="33">
        <f>IFERROR(__xludf.DUMMYFUNCTION("""COMPUTED_VALUE"""),0.7142857142857143)</f>
        <v>0.7142857143</v>
      </c>
    </row>
    <row r="1163">
      <c r="K1163" s="4" t="str">
        <f>IFERROR(__xludf.DUMMYFUNCTION("""COMPUTED_VALUE"""),"LAGOSTINNE JAPA")</f>
        <v>LAGOSTINNE JAPA</v>
      </c>
      <c r="L1163" s="32">
        <f>IFERROR(__xludf.DUMMYFUNCTION("""COMPUTED_VALUE"""),7.0)</f>
        <v>7</v>
      </c>
      <c r="M1163" s="4" t="str">
        <f>IFERROR(__xludf.DUMMYFUNCTION("""COMPUTED_VALUE"""),"Cardápio Web")</f>
        <v>Cardápio Web</v>
      </c>
      <c r="N1163" s="33">
        <f>IFERROR(__xludf.DUMMYFUNCTION("""COMPUTED_VALUE"""),0.5714285714285714)</f>
        <v>0.5714285714</v>
      </c>
      <c r="O1163" s="4" t="str">
        <f>IFERROR(__xludf.DUMMYFUNCTION("""COMPUTED_VALUE"""),"Cardápio Web")</f>
        <v>Cardápio Web</v>
      </c>
      <c r="P1163" s="33">
        <f>IFERROR(__xludf.DUMMYFUNCTION("""COMPUTED_VALUE"""),0.5714285714285714)</f>
        <v>0.5714285714</v>
      </c>
      <c r="Q1163" s="4" t="str">
        <f>IFERROR(__xludf.DUMMYFUNCTION("""COMPUTED_VALUE"""),"Cardápio Web")</f>
        <v>Cardápio Web</v>
      </c>
      <c r="R1163" s="33">
        <f>IFERROR(__xludf.DUMMYFUNCTION("""COMPUTED_VALUE"""),0.5714285714285714)</f>
        <v>0.5714285714</v>
      </c>
      <c r="S1163" s="4" t="str">
        <f>IFERROR(__xludf.DUMMYFUNCTION("""COMPUTED_VALUE"""),"Cardápio Web")</f>
        <v>Cardápio Web</v>
      </c>
      <c r="T1163" s="33">
        <f>IFERROR(__xludf.DUMMYFUNCTION("""COMPUTED_VALUE"""),0.5714285714285714)</f>
        <v>0.5714285714</v>
      </c>
      <c r="U1163" s="4" t="str">
        <f>IFERROR(__xludf.DUMMYFUNCTION("""COMPUTED_VALUE"""),"Cardápio Web")</f>
        <v>Cardápio Web</v>
      </c>
      <c r="V1163" s="33">
        <f>IFERROR(__xludf.DUMMYFUNCTION("""COMPUTED_VALUE"""),0.5714285714285714)</f>
        <v>0.5714285714</v>
      </c>
      <c r="W1163" s="4" t="str">
        <f>IFERROR(__xludf.DUMMYFUNCTION("""COMPUTED_VALUE"""),"Cardápio Web")</f>
        <v>Cardápio Web</v>
      </c>
      <c r="X1163" s="33">
        <f>IFERROR(__xludf.DUMMYFUNCTION("""COMPUTED_VALUE"""),0.5714285714285714)</f>
        <v>0.5714285714</v>
      </c>
    </row>
    <row r="1164">
      <c r="K1164" s="4" t="str">
        <f>IFERROR(__xludf.DUMMYFUNCTION("""COMPUTED_VALUE"""),"LE BATATA SUICA")</f>
        <v>LE BATATA SUICA</v>
      </c>
      <c r="L1164" s="32">
        <f>IFERROR(__xludf.DUMMYFUNCTION("""COMPUTED_VALUE"""),7.0)</f>
        <v>7</v>
      </c>
      <c r="M1164" s="4" t="str">
        <f>IFERROR(__xludf.DUMMYFUNCTION("""COMPUTED_VALUE"""),"Saipos Serviços De Software")</f>
        <v>Saipos Serviços De Software</v>
      </c>
      <c r="N1164" s="33">
        <f>IFERROR(__xludf.DUMMYFUNCTION("""COMPUTED_VALUE"""),1.0)</f>
        <v>1</v>
      </c>
      <c r="O1164" s="4" t="str">
        <f>IFERROR(__xludf.DUMMYFUNCTION("""COMPUTED_VALUE"""),"Saipos Serviços De Software")</f>
        <v>Saipos Serviços De Software</v>
      </c>
      <c r="P1164" s="33">
        <f>IFERROR(__xludf.DUMMYFUNCTION("""COMPUTED_VALUE"""),1.0)</f>
        <v>1</v>
      </c>
      <c r="Q1164" s="4" t="str">
        <f>IFERROR(__xludf.DUMMYFUNCTION("""COMPUTED_VALUE"""),"Saipos Serviços De Software")</f>
        <v>Saipos Serviços De Software</v>
      </c>
      <c r="R1164" s="33">
        <f>IFERROR(__xludf.DUMMYFUNCTION("""COMPUTED_VALUE"""),1.0)</f>
        <v>1</v>
      </c>
      <c r="S1164" s="4" t="str">
        <f>IFERROR(__xludf.DUMMYFUNCTION("""COMPUTED_VALUE"""),"Saipos Serviços De Software")</f>
        <v>Saipos Serviços De Software</v>
      </c>
      <c r="T1164" s="33">
        <f>IFERROR(__xludf.DUMMYFUNCTION("""COMPUTED_VALUE"""),1.0)</f>
        <v>1</v>
      </c>
      <c r="U1164" s="4" t="str">
        <f>IFERROR(__xludf.DUMMYFUNCTION("""COMPUTED_VALUE"""),"Saipos Serviços De Software")</f>
        <v>Saipos Serviços De Software</v>
      </c>
      <c r="V1164" s="33">
        <f>IFERROR(__xludf.DUMMYFUNCTION("""COMPUTED_VALUE"""),1.0)</f>
        <v>1</v>
      </c>
      <c r="W1164" s="4" t="str">
        <f>IFERROR(__xludf.DUMMYFUNCTION("""COMPUTED_VALUE"""),"Saipos Serviços De Software")</f>
        <v>Saipos Serviços De Software</v>
      </c>
      <c r="X1164" s="33">
        <f>IFERROR(__xludf.DUMMYFUNCTION("""COMPUTED_VALUE"""),1.0)</f>
        <v>1</v>
      </c>
    </row>
    <row r="1165">
      <c r="K1165" s="4" t="str">
        <f>IFERROR(__xludf.DUMMYFUNCTION("""COMPUTED_VALUE"""),"LE PAIN QUOTIDIEN")</f>
        <v>LE PAIN QUOTIDIEN</v>
      </c>
      <c r="L1165" s="32">
        <f>IFERROR(__xludf.DUMMYFUNCTION("""COMPUTED_VALUE"""),7.0)</f>
        <v>7</v>
      </c>
      <c r="M1165" s="4" t="str">
        <f>IFERROR(__xludf.DUMMYFUNCTION("""COMPUTED_VALUE"""),"Teknisa Service Ltda")</f>
        <v>Teknisa Service Ltda</v>
      </c>
      <c r="N1165" s="33">
        <f>IFERROR(__xludf.DUMMYFUNCTION("""COMPUTED_VALUE"""),0.8571428571428571)</f>
        <v>0.8571428571</v>
      </c>
      <c r="O1165" s="4" t="str">
        <f>IFERROR(__xludf.DUMMYFUNCTION("""COMPUTED_VALUE"""),"Teknisa Service Ltda")</f>
        <v>Teknisa Service Ltda</v>
      </c>
      <c r="P1165" s="33">
        <f>IFERROR(__xludf.DUMMYFUNCTION("""COMPUTED_VALUE"""),0.7142857142857143)</f>
        <v>0.7142857143</v>
      </c>
      <c r="Q1165" s="4" t="str">
        <f>IFERROR(__xludf.DUMMYFUNCTION("""COMPUTED_VALUE"""),"Teknisa Service Ltda")</f>
        <v>Teknisa Service Ltda</v>
      </c>
      <c r="R1165" s="33">
        <f>IFERROR(__xludf.DUMMYFUNCTION("""COMPUTED_VALUE"""),0.8571428571428571)</f>
        <v>0.8571428571</v>
      </c>
      <c r="S1165" s="4" t="str">
        <f>IFERROR(__xludf.DUMMYFUNCTION("""COMPUTED_VALUE"""),"Teknisa Service Ltda")</f>
        <v>Teknisa Service Ltda</v>
      </c>
      <c r="T1165" s="33">
        <f>IFERROR(__xludf.DUMMYFUNCTION("""COMPUTED_VALUE"""),0.7142857142857143)</f>
        <v>0.7142857143</v>
      </c>
      <c r="U1165" s="4" t="str">
        <f>IFERROR(__xludf.DUMMYFUNCTION("""COMPUTED_VALUE"""),"Teknisa Service Ltda")</f>
        <v>Teknisa Service Ltda</v>
      </c>
      <c r="V1165" s="33">
        <f>IFERROR(__xludf.DUMMYFUNCTION("""COMPUTED_VALUE"""),1.0)</f>
        <v>1</v>
      </c>
      <c r="W1165" s="4" t="str">
        <f>IFERROR(__xludf.DUMMYFUNCTION("""COMPUTED_VALUE"""),"Teknisa Service Ltda")</f>
        <v>Teknisa Service Ltda</v>
      </c>
      <c r="X1165" s="33">
        <f>IFERROR(__xludf.DUMMYFUNCTION("""COMPUTED_VALUE"""),0.8571428571428571)</f>
        <v>0.8571428571</v>
      </c>
    </row>
    <row r="1166">
      <c r="K1166" s="4" t="str">
        <f>IFERROR(__xludf.DUMMYFUNCTION("""COMPUTED_VALUE"""),"LECKER BNU - CONTA MARCA")</f>
        <v>LECKER BNU - CONTA MARCA</v>
      </c>
      <c r="L1166" s="32">
        <f>IFERROR(__xludf.DUMMYFUNCTION("""COMPUTED_VALUE"""),7.0)</f>
        <v>7</v>
      </c>
      <c r="M1166" s="4" t="str">
        <f>IFERROR(__xludf.DUMMYFUNCTION("""COMPUTED_VALUE"""),"Deeliv")</f>
        <v>Deeliv</v>
      </c>
      <c r="N1166" s="33">
        <f>IFERROR(__xludf.DUMMYFUNCTION("""COMPUTED_VALUE"""),1.0)</f>
        <v>1</v>
      </c>
      <c r="O1166" s="4" t="str">
        <f>IFERROR(__xludf.DUMMYFUNCTION("""COMPUTED_VALUE"""),"Deeliv")</f>
        <v>Deeliv</v>
      </c>
      <c r="P1166" s="33">
        <f>IFERROR(__xludf.DUMMYFUNCTION("""COMPUTED_VALUE"""),0.5714285714285714)</f>
        <v>0.5714285714</v>
      </c>
      <c r="Q1166" s="4" t="str">
        <f>IFERROR(__xludf.DUMMYFUNCTION("""COMPUTED_VALUE"""),"null")</f>
        <v>null</v>
      </c>
      <c r="R1166" s="33">
        <f>IFERROR(__xludf.DUMMYFUNCTION("""COMPUTED_VALUE"""),0.7142857142857143)</f>
        <v>0.7142857143</v>
      </c>
      <c r="S1166" s="4" t="str">
        <f>IFERROR(__xludf.DUMMYFUNCTION("""COMPUTED_VALUE"""),"Deeliv")</f>
        <v>Deeliv</v>
      </c>
      <c r="T1166" s="33">
        <f>IFERROR(__xludf.DUMMYFUNCTION("""COMPUTED_VALUE"""),0.5714285714285714)</f>
        <v>0.5714285714</v>
      </c>
      <c r="U1166" s="4" t="str">
        <f>IFERROR(__xludf.DUMMYFUNCTION("""COMPUTED_VALUE"""),"Deeliv")</f>
        <v>Deeliv</v>
      </c>
      <c r="V1166" s="33">
        <f>IFERROR(__xludf.DUMMYFUNCTION("""COMPUTED_VALUE"""),0.5714285714285714)</f>
        <v>0.5714285714</v>
      </c>
      <c r="W1166" s="4" t="str">
        <f>IFERROR(__xludf.DUMMYFUNCTION("""COMPUTED_VALUE"""),"null")</f>
        <v>null</v>
      </c>
      <c r="X1166" s="33">
        <f>IFERROR(__xludf.DUMMYFUNCTION("""COMPUTED_VALUE"""),0.7142857142857143)</f>
        <v>0.7142857143</v>
      </c>
    </row>
    <row r="1167">
      <c r="K1167" s="4" t="str">
        <f>IFERROR(__xludf.DUMMYFUNCTION("""COMPUTED_VALUE"""),"LETS ACAI - PIZZA PAI")</f>
        <v>LETS ACAI - PIZZA PAI</v>
      </c>
      <c r="L1167" s="32">
        <f>IFERROR(__xludf.DUMMYFUNCTION("""COMPUTED_VALUE"""),7.0)</f>
        <v>7</v>
      </c>
      <c r="M1167" s="4" t="str">
        <f>IFERROR(__xludf.DUMMYFUNCTION("""COMPUTED_VALUE"""),"Netcontroll Xmenu")</f>
        <v>Netcontroll Xmenu</v>
      </c>
      <c r="N1167" s="33">
        <f>IFERROR(__xludf.DUMMYFUNCTION("""COMPUTED_VALUE"""),0.8571428571428571)</f>
        <v>0.8571428571</v>
      </c>
      <c r="O1167" s="4" t="str">
        <f>IFERROR(__xludf.DUMMYFUNCTION("""COMPUTED_VALUE"""),"Netcontroll Xmenu")</f>
        <v>Netcontroll Xmenu</v>
      </c>
      <c r="P1167" s="33">
        <f>IFERROR(__xludf.DUMMYFUNCTION("""COMPUTED_VALUE"""),1.0)</f>
        <v>1</v>
      </c>
      <c r="Q1167" s="4" t="str">
        <f>IFERROR(__xludf.DUMMYFUNCTION("""COMPUTED_VALUE"""),"Netcontroll Xmenu")</f>
        <v>Netcontroll Xmenu</v>
      </c>
      <c r="R1167" s="33">
        <f>IFERROR(__xludf.DUMMYFUNCTION("""COMPUTED_VALUE"""),1.0)</f>
        <v>1</v>
      </c>
      <c r="S1167" s="4" t="str">
        <f>IFERROR(__xludf.DUMMYFUNCTION("""COMPUTED_VALUE"""),"Netcontroll Xmenu")</f>
        <v>Netcontroll Xmenu</v>
      </c>
      <c r="T1167" s="33">
        <f>IFERROR(__xludf.DUMMYFUNCTION("""COMPUTED_VALUE"""),1.0)</f>
        <v>1</v>
      </c>
      <c r="U1167" s="4" t="str">
        <f>IFERROR(__xludf.DUMMYFUNCTION("""COMPUTED_VALUE"""),"Netcontroll Xmenu")</f>
        <v>Netcontroll Xmenu</v>
      </c>
      <c r="V1167" s="33">
        <f>IFERROR(__xludf.DUMMYFUNCTION("""COMPUTED_VALUE"""),1.0)</f>
        <v>1</v>
      </c>
      <c r="W1167" s="4" t="str">
        <f>IFERROR(__xludf.DUMMYFUNCTION("""COMPUTED_VALUE"""),"Netcontroll Xmenu")</f>
        <v>Netcontroll Xmenu</v>
      </c>
      <c r="X1167" s="33">
        <f>IFERROR(__xludf.DUMMYFUNCTION("""COMPUTED_VALUE"""),1.0)</f>
        <v>1</v>
      </c>
    </row>
    <row r="1168">
      <c r="K1168" s="4" t="str">
        <f>IFERROR(__xludf.DUMMYFUNCTION("""COMPUTED_VALUE"""),"MADRUGAO CONTA MARCA")</f>
        <v>MADRUGAO CONTA MARCA</v>
      </c>
      <c r="L1168" s="32">
        <f>IFERROR(__xludf.DUMMYFUNCTION("""COMPUTED_VALUE"""),7.0)</f>
        <v>7</v>
      </c>
      <c r="M1168" s="4" t="str">
        <f>IFERROR(__xludf.DUMMYFUNCTION("""COMPUTED_VALUE"""),"Consumer Soluções Em Tecnologia Ltda")</f>
        <v>Consumer Soluções Em Tecnologia Ltda</v>
      </c>
      <c r="N1168" s="33">
        <f>IFERROR(__xludf.DUMMYFUNCTION("""COMPUTED_VALUE"""),0.8571428571428571)</f>
        <v>0.8571428571</v>
      </c>
      <c r="O1168" s="4" t="str">
        <f>IFERROR(__xludf.DUMMYFUNCTION("""COMPUTED_VALUE"""),"Consumer Soluções Em Tecnologia Ltda")</f>
        <v>Consumer Soluções Em Tecnologia Ltda</v>
      </c>
      <c r="P1168" s="33">
        <f>IFERROR(__xludf.DUMMYFUNCTION("""COMPUTED_VALUE"""),0.8571428571428571)</f>
        <v>0.8571428571</v>
      </c>
      <c r="Q1168" s="4" t="str">
        <f>IFERROR(__xludf.DUMMYFUNCTION("""COMPUTED_VALUE"""),"Consumer Soluções Em Tecnologia Ltda")</f>
        <v>Consumer Soluções Em Tecnologia Ltda</v>
      </c>
      <c r="R1168" s="33">
        <f>IFERROR(__xludf.DUMMYFUNCTION("""COMPUTED_VALUE"""),0.7142857142857143)</f>
        <v>0.7142857143</v>
      </c>
      <c r="S1168" s="4" t="str">
        <f>IFERROR(__xludf.DUMMYFUNCTION("""COMPUTED_VALUE"""),"Consumer Soluções Em Tecnologia Ltda")</f>
        <v>Consumer Soluções Em Tecnologia Ltda</v>
      </c>
      <c r="T1168" s="33">
        <f>IFERROR(__xludf.DUMMYFUNCTION("""COMPUTED_VALUE"""),0.7142857142857143)</f>
        <v>0.7142857143</v>
      </c>
      <c r="U1168" s="4" t="str">
        <f>IFERROR(__xludf.DUMMYFUNCTION("""COMPUTED_VALUE"""),"Consumer Soluções Em Tecnologia Ltda")</f>
        <v>Consumer Soluções Em Tecnologia Ltda</v>
      </c>
      <c r="V1168" s="33">
        <f>IFERROR(__xludf.DUMMYFUNCTION("""COMPUTED_VALUE"""),0.7142857142857143)</f>
        <v>0.7142857143</v>
      </c>
      <c r="W1168" s="4" t="str">
        <f>IFERROR(__xludf.DUMMYFUNCTION("""COMPUTED_VALUE"""),"Consumer Soluções Em Tecnologia Ltda")</f>
        <v>Consumer Soluções Em Tecnologia Ltda</v>
      </c>
      <c r="X1168" s="33">
        <f>IFERROR(__xludf.DUMMYFUNCTION("""COMPUTED_VALUE"""),0.8571428571428571)</f>
        <v>0.8571428571</v>
      </c>
    </row>
    <row r="1169">
      <c r="K1169" s="4" t="str">
        <f>IFERROR(__xludf.DUMMYFUNCTION("""COMPUTED_VALUE"""),"MAEDA SUSHI - COMIDA JAPONESA")</f>
        <v>MAEDA SUSHI - COMIDA JAPONESA</v>
      </c>
      <c r="L1169" s="32">
        <f>IFERROR(__xludf.DUMMYFUNCTION("""COMPUTED_VALUE"""),7.0)</f>
        <v>7</v>
      </c>
      <c r="M1169" s="4" t="str">
        <f>IFERROR(__xludf.DUMMYFUNCTION("""COMPUTED_VALUE"""),"Saipos Serviços De Software")</f>
        <v>Saipos Serviços De Software</v>
      </c>
      <c r="N1169" s="33">
        <f>IFERROR(__xludf.DUMMYFUNCTION("""COMPUTED_VALUE"""),1.0)</f>
        <v>1</v>
      </c>
      <c r="O1169" s="4" t="str">
        <f>IFERROR(__xludf.DUMMYFUNCTION("""COMPUTED_VALUE"""),"Saipos Serviços De Software")</f>
        <v>Saipos Serviços De Software</v>
      </c>
      <c r="P1169" s="33">
        <f>IFERROR(__xludf.DUMMYFUNCTION("""COMPUTED_VALUE"""),1.0)</f>
        <v>1</v>
      </c>
      <c r="Q1169" s="4" t="str">
        <f>IFERROR(__xludf.DUMMYFUNCTION("""COMPUTED_VALUE"""),"Saipos Serviços De Software")</f>
        <v>Saipos Serviços De Software</v>
      </c>
      <c r="R1169" s="33">
        <f>IFERROR(__xludf.DUMMYFUNCTION("""COMPUTED_VALUE"""),1.0)</f>
        <v>1</v>
      </c>
      <c r="S1169" s="4" t="str">
        <f>IFERROR(__xludf.DUMMYFUNCTION("""COMPUTED_VALUE"""),"Saipos Serviços De Software")</f>
        <v>Saipos Serviços De Software</v>
      </c>
      <c r="T1169" s="33">
        <f>IFERROR(__xludf.DUMMYFUNCTION("""COMPUTED_VALUE"""),1.0)</f>
        <v>1</v>
      </c>
      <c r="U1169" s="4" t="str">
        <f>IFERROR(__xludf.DUMMYFUNCTION("""COMPUTED_VALUE"""),"Saipos Serviços De Software")</f>
        <v>Saipos Serviços De Software</v>
      </c>
      <c r="V1169" s="33">
        <f>IFERROR(__xludf.DUMMYFUNCTION("""COMPUTED_VALUE"""),1.0)</f>
        <v>1</v>
      </c>
      <c r="W1169" s="4" t="str">
        <f>IFERROR(__xludf.DUMMYFUNCTION("""COMPUTED_VALUE"""),"Saipos Serviços De Software")</f>
        <v>Saipos Serviços De Software</v>
      </c>
      <c r="X1169" s="33">
        <f>IFERROR(__xludf.DUMMYFUNCTION("""COMPUTED_VALUE"""),1.0)</f>
        <v>1</v>
      </c>
    </row>
    <row r="1170">
      <c r="K1170" s="4" t="str">
        <f>IFERROR(__xludf.DUMMYFUNCTION("""COMPUTED_VALUE"""),"MAKIS PLACE")</f>
        <v>MAKIS PLACE</v>
      </c>
      <c r="L1170" s="32">
        <f>IFERROR(__xludf.DUMMYFUNCTION("""COMPUTED_VALUE"""),7.0)</f>
        <v>7</v>
      </c>
      <c r="M1170" s="4" t="str">
        <f>IFERROR(__xludf.DUMMYFUNCTION("""COMPUTED_VALUE"""),"null")</f>
        <v>null</v>
      </c>
      <c r="N1170" s="33">
        <f>IFERROR(__xludf.DUMMYFUNCTION("""COMPUTED_VALUE"""),0.5714285714285714)</f>
        <v>0.5714285714</v>
      </c>
      <c r="O1170" s="4" t="str">
        <f>IFERROR(__xludf.DUMMYFUNCTION("""COMPUTED_VALUE"""),"null")</f>
        <v>null</v>
      </c>
      <c r="P1170" s="33">
        <f>IFERROR(__xludf.DUMMYFUNCTION("""COMPUTED_VALUE"""),0.5714285714285714)</f>
        <v>0.5714285714</v>
      </c>
      <c r="Q1170" s="4" t="str">
        <f>IFERROR(__xludf.DUMMYFUNCTION("""COMPUTED_VALUE"""),"null")</f>
        <v>null</v>
      </c>
      <c r="R1170" s="33">
        <f>IFERROR(__xludf.DUMMYFUNCTION("""COMPUTED_VALUE"""),0.5714285714285714)</f>
        <v>0.5714285714</v>
      </c>
      <c r="S1170" s="4" t="str">
        <f>IFERROR(__xludf.DUMMYFUNCTION("""COMPUTED_VALUE"""),"null")</f>
        <v>null</v>
      </c>
      <c r="T1170" s="33">
        <f>IFERROR(__xludf.DUMMYFUNCTION("""COMPUTED_VALUE"""),0.5714285714285714)</f>
        <v>0.5714285714</v>
      </c>
      <c r="U1170" s="4" t="str">
        <f>IFERROR(__xludf.DUMMYFUNCTION("""COMPUTED_VALUE"""),"null")</f>
        <v>null</v>
      </c>
      <c r="V1170" s="33">
        <f>IFERROR(__xludf.DUMMYFUNCTION("""COMPUTED_VALUE"""),0.42857142857142855)</f>
        <v>0.4285714286</v>
      </c>
      <c r="W1170" s="4" t="str">
        <f>IFERROR(__xludf.DUMMYFUNCTION("""COMPUTED_VALUE"""),"Cardápio Web")</f>
        <v>Cardápio Web</v>
      </c>
      <c r="X1170" s="33">
        <f>IFERROR(__xludf.DUMMYFUNCTION("""COMPUTED_VALUE"""),0.2857142857142857)</f>
        <v>0.2857142857</v>
      </c>
    </row>
    <row r="1171">
      <c r="K1171" s="4" t="str">
        <f>IFERROR(__xludf.DUMMYFUNCTION("""COMPUTED_VALUE"""),"MALIBU BURGER ANGUS")</f>
        <v>MALIBU BURGER ANGUS</v>
      </c>
      <c r="L1171" s="32">
        <f>IFERROR(__xludf.DUMMYFUNCTION("""COMPUTED_VALUE"""),7.0)</f>
        <v>7</v>
      </c>
      <c r="M1171" s="4" t="str">
        <f>IFERROR(__xludf.DUMMYFUNCTION("""COMPUTED_VALUE"""),"Vekttor")</f>
        <v>Vekttor</v>
      </c>
      <c r="N1171" s="33">
        <f>IFERROR(__xludf.DUMMYFUNCTION("""COMPUTED_VALUE"""),1.0)</f>
        <v>1</v>
      </c>
      <c r="O1171" s="4" t="str">
        <f>IFERROR(__xludf.DUMMYFUNCTION("""COMPUTED_VALUE"""),"Vekttor")</f>
        <v>Vekttor</v>
      </c>
      <c r="P1171" s="33">
        <f>IFERROR(__xludf.DUMMYFUNCTION("""COMPUTED_VALUE"""),0.8571428571428571)</f>
        <v>0.8571428571</v>
      </c>
      <c r="Q1171" s="4" t="str">
        <f>IFERROR(__xludf.DUMMYFUNCTION("""COMPUTED_VALUE"""),"Vekttor")</f>
        <v>Vekttor</v>
      </c>
      <c r="R1171" s="33">
        <f>IFERROR(__xludf.DUMMYFUNCTION("""COMPUTED_VALUE"""),1.0)</f>
        <v>1</v>
      </c>
      <c r="S1171" s="4" t="str">
        <f>IFERROR(__xludf.DUMMYFUNCTION("""COMPUTED_VALUE"""),"Vekttor")</f>
        <v>Vekttor</v>
      </c>
      <c r="T1171" s="33">
        <f>IFERROR(__xludf.DUMMYFUNCTION("""COMPUTED_VALUE"""),0.8571428571428571)</f>
        <v>0.8571428571</v>
      </c>
      <c r="U1171" s="4" t="str">
        <f>IFERROR(__xludf.DUMMYFUNCTION("""COMPUTED_VALUE"""),"Vekttor")</f>
        <v>Vekttor</v>
      </c>
      <c r="V1171" s="33">
        <f>IFERROR(__xludf.DUMMYFUNCTION("""COMPUTED_VALUE"""),0.7142857142857143)</f>
        <v>0.7142857143</v>
      </c>
      <c r="W1171" s="4" t="str">
        <f>IFERROR(__xludf.DUMMYFUNCTION("""COMPUTED_VALUE"""),"Vekttor")</f>
        <v>Vekttor</v>
      </c>
      <c r="X1171" s="33">
        <f>IFERROR(__xludf.DUMMYFUNCTION("""COMPUTED_VALUE"""),1.0)</f>
        <v>1</v>
      </c>
    </row>
    <row r="1172">
      <c r="K1172" s="4" t="str">
        <f>IFERROR(__xludf.DUMMYFUNCTION("""COMPUTED_VALUE"""),"PIZZARIA TOURAO")</f>
        <v>PIZZARIA TOURAO</v>
      </c>
      <c r="L1172" s="32">
        <f>IFERROR(__xludf.DUMMYFUNCTION("""COMPUTED_VALUE"""),7.0)</f>
        <v>7</v>
      </c>
      <c r="M1172" s="4" t="str">
        <f>IFERROR(__xludf.DUMMYFUNCTION("""COMPUTED_VALUE"""),"Saipos Serviços De Software")</f>
        <v>Saipos Serviços De Software</v>
      </c>
      <c r="N1172" s="33">
        <f>IFERROR(__xludf.DUMMYFUNCTION("""COMPUTED_VALUE"""),0.7142857142857143)</f>
        <v>0.7142857143</v>
      </c>
      <c r="O1172" s="4" t="str">
        <f>IFERROR(__xludf.DUMMYFUNCTION("""COMPUTED_VALUE"""),"Saipos Serviços De Software")</f>
        <v>Saipos Serviços De Software</v>
      </c>
      <c r="P1172" s="33">
        <f>IFERROR(__xludf.DUMMYFUNCTION("""COMPUTED_VALUE"""),0.7142857142857143)</f>
        <v>0.7142857143</v>
      </c>
      <c r="Q1172" s="4" t="str">
        <f>IFERROR(__xludf.DUMMYFUNCTION("""COMPUTED_VALUE"""),"Saipos Serviços De Software")</f>
        <v>Saipos Serviços De Software</v>
      </c>
      <c r="R1172" s="33">
        <f>IFERROR(__xludf.DUMMYFUNCTION("""COMPUTED_VALUE"""),0.7142857142857143)</f>
        <v>0.7142857143</v>
      </c>
      <c r="S1172" s="4" t="str">
        <f>IFERROR(__xludf.DUMMYFUNCTION("""COMPUTED_VALUE"""),"Saipos Serviços De Software")</f>
        <v>Saipos Serviços De Software</v>
      </c>
      <c r="T1172" s="33">
        <f>IFERROR(__xludf.DUMMYFUNCTION("""COMPUTED_VALUE"""),0.7142857142857143)</f>
        <v>0.7142857143</v>
      </c>
      <c r="U1172" s="4" t="str">
        <f>IFERROR(__xludf.DUMMYFUNCTION("""COMPUTED_VALUE"""),"Saipos Serviços De Software")</f>
        <v>Saipos Serviços De Software</v>
      </c>
      <c r="V1172" s="33">
        <f>IFERROR(__xludf.DUMMYFUNCTION("""COMPUTED_VALUE"""),0.5714285714285714)</f>
        <v>0.5714285714</v>
      </c>
      <c r="W1172" s="4" t="str">
        <f>IFERROR(__xludf.DUMMYFUNCTION("""COMPUTED_VALUE"""),"Saipos Serviços De Software")</f>
        <v>Saipos Serviços De Software</v>
      </c>
      <c r="X1172" s="33">
        <f>IFERROR(__xludf.DUMMYFUNCTION("""COMPUTED_VALUE"""),0.5714285714285714)</f>
        <v>0.5714285714</v>
      </c>
    </row>
    <row r="1173">
      <c r="K1173" s="4" t="str">
        <f>IFERROR(__xludf.DUMMYFUNCTION("""COMPUTED_VALUE"""),"MARMITARIABH")</f>
        <v>MARMITARIABH</v>
      </c>
      <c r="L1173" s="32">
        <f>IFERROR(__xludf.DUMMYFUNCTION("""COMPUTED_VALUE"""),7.0)</f>
        <v>7</v>
      </c>
      <c r="M1173" s="4" t="str">
        <f>IFERROR(__xludf.DUMMYFUNCTION("""COMPUTED_VALUE"""),"Eclética Tecnologia")</f>
        <v>Eclética Tecnologia</v>
      </c>
      <c r="N1173" s="33">
        <f>IFERROR(__xludf.DUMMYFUNCTION("""COMPUTED_VALUE"""),1.0)</f>
        <v>1</v>
      </c>
      <c r="O1173" s="4" t="str">
        <f>IFERROR(__xludf.DUMMYFUNCTION("""COMPUTED_VALUE"""),"Eclética Tecnologia")</f>
        <v>Eclética Tecnologia</v>
      </c>
      <c r="P1173" s="33">
        <f>IFERROR(__xludf.DUMMYFUNCTION("""COMPUTED_VALUE"""),0.8571428571428571)</f>
        <v>0.8571428571</v>
      </c>
      <c r="Q1173" s="4" t="str">
        <f>IFERROR(__xludf.DUMMYFUNCTION("""COMPUTED_VALUE"""),"Eclética Tecnologia")</f>
        <v>Eclética Tecnologia</v>
      </c>
      <c r="R1173" s="33">
        <f>IFERROR(__xludf.DUMMYFUNCTION("""COMPUTED_VALUE"""),0.7142857142857143)</f>
        <v>0.7142857143</v>
      </c>
      <c r="S1173" s="4" t="str">
        <f>IFERROR(__xludf.DUMMYFUNCTION("""COMPUTED_VALUE"""),"Eclética Tecnologia")</f>
        <v>Eclética Tecnologia</v>
      </c>
      <c r="T1173" s="33">
        <f>IFERROR(__xludf.DUMMYFUNCTION("""COMPUTED_VALUE"""),0.8571428571428571)</f>
        <v>0.8571428571</v>
      </c>
      <c r="U1173" s="4" t="str">
        <f>IFERROR(__xludf.DUMMYFUNCTION("""COMPUTED_VALUE"""),"Eclética Tecnologia")</f>
        <v>Eclética Tecnologia</v>
      </c>
      <c r="V1173" s="33">
        <f>IFERROR(__xludf.DUMMYFUNCTION("""COMPUTED_VALUE"""),0.8571428571428571)</f>
        <v>0.8571428571</v>
      </c>
      <c r="W1173" s="4" t="str">
        <f>IFERROR(__xludf.DUMMYFUNCTION("""COMPUTED_VALUE"""),"Eclética Tecnologia")</f>
        <v>Eclética Tecnologia</v>
      </c>
      <c r="X1173" s="33">
        <f>IFERROR(__xludf.DUMMYFUNCTION("""COMPUTED_VALUE"""),0.8571428571428571)</f>
        <v>0.8571428571</v>
      </c>
    </row>
    <row r="1174">
      <c r="K1174" s="4" t="str">
        <f>IFERROR(__xludf.DUMMYFUNCTION("""COMPUTED_VALUE"""),"MEGA LANCHES FLORIANOPOLIS")</f>
        <v>MEGA LANCHES FLORIANOPOLIS</v>
      </c>
      <c r="L1174" s="32">
        <f>IFERROR(__xludf.DUMMYFUNCTION("""COMPUTED_VALUE"""),7.0)</f>
        <v>7</v>
      </c>
      <c r="M1174" s="4" t="str">
        <f>IFERROR(__xludf.DUMMYFUNCTION("""COMPUTED_VALUE"""),"Saipos Serviços De Software")</f>
        <v>Saipos Serviços De Software</v>
      </c>
      <c r="N1174" s="33">
        <f>IFERROR(__xludf.DUMMYFUNCTION("""COMPUTED_VALUE"""),1.0)</f>
        <v>1</v>
      </c>
      <c r="O1174" s="4" t="str">
        <f>IFERROR(__xludf.DUMMYFUNCTION("""COMPUTED_VALUE"""),"Saipos Serviços De Software")</f>
        <v>Saipos Serviços De Software</v>
      </c>
      <c r="P1174" s="33">
        <f>IFERROR(__xludf.DUMMYFUNCTION("""COMPUTED_VALUE"""),0.7142857142857143)</f>
        <v>0.7142857143</v>
      </c>
      <c r="Q1174" s="4" t="str">
        <f>IFERROR(__xludf.DUMMYFUNCTION("""COMPUTED_VALUE"""),"Saipos Serviços De Software")</f>
        <v>Saipos Serviços De Software</v>
      </c>
      <c r="R1174" s="33">
        <f>IFERROR(__xludf.DUMMYFUNCTION("""COMPUTED_VALUE"""),1.0)</f>
        <v>1</v>
      </c>
      <c r="S1174" s="4" t="str">
        <f>IFERROR(__xludf.DUMMYFUNCTION("""COMPUTED_VALUE"""),"Saipos Serviços De Software")</f>
        <v>Saipos Serviços De Software</v>
      </c>
      <c r="T1174" s="33">
        <f>IFERROR(__xludf.DUMMYFUNCTION("""COMPUTED_VALUE"""),1.0)</f>
        <v>1</v>
      </c>
      <c r="U1174" s="4" t="str">
        <f>IFERROR(__xludf.DUMMYFUNCTION("""COMPUTED_VALUE"""),"Saipos Serviços De Software")</f>
        <v>Saipos Serviços De Software</v>
      </c>
      <c r="V1174" s="33">
        <f>IFERROR(__xludf.DUMMYFUNCTION("""COMPUTED_VALUE"""),1.0)</f>
        <v>1</v>
      </c>
      <c r="W1174" s="4" t="str">
        <f>IFERROR(__xludf.DUMMYFUNCTION("""COMPUTED_VALUE"""),"Saipos Serviços De Software")</f>
        <v>Saipos Serviços De Software</v>
      </c>
      <c r="X1174" s="33">
        <f>IFERROR(__xludf.DUMMYFUNCTION("""COMPUTED_VALUE"""),1.0)</f>
        <v>1</v>
      </c>
    </row>
    <row r="1175">
      <c r="K1175" s="4" t="str">
        <f>IFERROR(__xludf.DUMMYFUNCTION("""COMPUTED_VALUE"""),"MISTER DONUTS")</f>
        <v>MISTER DONUTS</v>
      </c>
      <c r="L1175" s="32">
        <f>IFERROR(__xludf.DUMMYFUNCTION("""COMPUTED_VALUE"""),7.0)</f>
        <v>7</v>
      </c>
      <c r="M1175" s="4" t="str">
        <f>IFERROR(__xludf.DUMMYFUNCTION("""COMPUTED_VALUE"""),"Ncr")</f>
        <v>Ncr</v>
      </c>
      <c r="N1175" s="33">
        <f>IFERROR(__xludf.DUMMYFUNCTION("""COMPUTED_VALUE"""),0.5714285714285714)</f>
        <v>0.5714285714</v>
      </c>
      <c r="O1175" s="4" t="str">
        <f>IFERROR(__xludf.DUMMYFUNCTION("""COMPUTED_VALUE"""),"Ncr")</f>
        <v>Ncr</v>
      </c>
      <c r="P1175" s="33">
        <f>IFERROR(__xludf.DUMMYFUNCTION("""COMPUTED_VALUE"""),0.5714285714285714)</f>
        <v>0.5714285714</v>
      </c>
      <c r="Q1175" s="4" t="str">
        <f>IFERROR(__xludf.DUMMYFUNCTION("""COMPUTED_VALUE"""),"Ncr")</f>
        <v>Ncr</v>
      </c>
      <c r="R1175" s="33">
        <f>IFERROR(__xludf.DUMMYFUNCTION("""COMPUTED_VALUE"""),0.5714285714285714)</f>
        <v>0.5714285714</v>
      </c>
      <c r="S1175" s="4" t="str">
        <f>IFERROR(__xludf.DUMMYFUNCTION("""COMPUTED_VALUE"""),"Ncr")</f>
        <v>Ncr</v>
      </c>
      <c r="T1175" s="33">
        <f>IFERROR(__xludf.DUMMYFUNCTION("""COMPUTED_VALUE"""),0.5714285714285714)</f>
        <v>0.5714285714</v>
      </c>
      <c r="U1175" s="4" t="str">
        <f>IFERROR(__xludf.DUMMYFUNCTION("""COMPUTED_VALUE"""),"Ncr")</f>
        <v>Ncr</v>
      </c>
      <c r="V1175" s="33">
        <f>IFERROR(__xludf.DUMMYFUNCTION("""COMPUTED_VALUE"""),0.5714285714285714)</f>
        <v>0.5714285714</v>
      </c>
      <c r="W1175" s="4" t="str">
        <f>IFERROR(__xludf.DUMMYFUNCTION("""COMPUTED_VALUE"""),"Ncr")</f>
        <v>Ncr</v>
      </c>
      <c r="X1175" s="33">
        <f>IFERROR(__xludf.DUMMYFUNCTION("""COMPUTED_VALUE"""),0.5714285714285714)</f>
        <v>0.5714285714</v>
      </c>
    </row>
    <row r="1176">
      <c r="K1176" s="4" t="str">
        <f>IFERROR(__xludf.DUMMYFUNCTION("""COMPUTED_VALUE"""),"MONTE CARLO")</f>
        <v>MONTE CARLO</v>
      </c>
      <c r="L1176" s="32">
        <f>IFERROR(__xludf.DUMMYFUNCTION("""COMPUTED_VALUE"""),7.0)</f>
        <v>7</v>
      </c>
      <c r="M1176" s="4" t="str">
        <f>IFERROR(__xludf.DUMMYFUNCTION("""COMPUTED_VALUE"""),"Solução Sistemas")</f>
        <v>Solução Sistemas</v>
      </c>
      <c r="N1176" s="33">
        <f>IFERROR(__xludf.DUMMYFUNCTION("""COMPUTED_VALUE"""),0.42857142857142855)</f>
        <v>0.4285714286</v>
      </c>
      <c r="O1176" s="4" t="str">
        <f>IFERROR(__xludf.DUMMYFUNCTION("""COMPUTED_VALUE"""),"null")</f>
        <v>null</v>
      </c>
      <c r="P1176" s="33">
        <f>IFERROR(__xludf.DUMMYFUNCTION("""COMPUTED_VALUE"""),0.42857142857142855)</f>
        <v>0.4285714286</v>
      </c>
      <c r="Q1176" s="4" t="str">
        <f>IFERROR(__xludf.DUMMYFUNCTION("""COMPUTED_VALUE"""),"null")</f>
        <v>null</v>
      </c>
      <c r="R1176" s="33">
        <f>IFERROR(__xludf.DUMMYFUNCTION("""COMPUTED_VALUE"""),0.42857142857142855)</f>
        <v>0.4285714286</v>
      </c>
      <c r="S1176" s="4" t="str">
        <f>IFERROR(__xludf.DUMMYFUNCTION("""COMPUTED_VALUE"""),"Proabakus Desenvolvimento De Sistemas Ltda")</f>
        <v>Proabakus Desenvolvimento De Sistemas Ltda</v>
      </c>
      <c r="T1176" s="33">
        <f>IFERROR(__xludf.DUMMYFUNCTION("""COMPUTED_VALUE"""),0.2857142857142857)</f>
        <v>0.2857142857</v>
      </c>
      <c r="U1176" s="4" t="str">
        <f>IFERROR(__xludf.DUMMYFUNCTION("""COMPUTED_VALUE"""),"Proabakus Desenvolvimento De Sistemas Ltda")</f>
        <v>Proabakus Desenvolvimento De Sistemas Ltda</v>
      </c>
      <c r="V1176" s="33">
        <f>IFERROR(__xludf.DUMMYFUNCTION("""COMPUTED_VALUE"""),0.2857142857142857)</f>
        <v>0.2857142857</v>
      </c>
      <c r="W1176" s="4" t="str">
        <f>IFERROR(__xludf.DUMMYFUNCTION("""COMPUTED_VALUE"""),"null")</f>
        <v>null</v>
      </c>
      <c r="X1176" s="33">
        <f>IFERROR(__xludf.DUMMYFUNCTION("""COMPUTED_VALUE"""),0.42857142857142855)</f>
        <v>0.4285714286</v>
      </c>
    </row>
    <row r="1177">
      <c r="K1177" s="4" t="str">
        <f>IFERROR(__xludf.DUMMYFUNCTION("""COMPUTED_VALUE"""),"MR TEXAS PIZZA PAN")</f>
        <v>MR TEXAS PIZZA PAN</v>
      </c>
      <c r="L1177" s="32">
        <f>IFERROR(__xludf.DUMMYFUNCTION("""COMPUTED_VALUE"""),7.0)</f>
        <v>7</v>
      </c>
      <c r="M1177" s="4" t="str">
        <f>IFERROR(__xludf.DUMMYFUNCTION("""COMPUTED_VALUE"""),"Eclética Tecnologia")</f>
        <v>Eclética Tecnologia</v>
      </c>
      <c r="N1177" s="33">
        <f>IFERROR(__xludf.DUMMYFUNCTION("""COMPUTED_VALUE"""),1.0)</f>
        <v>1</v>
      </c>
      <c r="O1177" s="4" t="str">
        <f>IFERROR(__xludf.DUMMYFUNCTION("""COMPUTED_VALUE"""),"Eclética Tecnologia")</f>
        <v>Eclética Tecnologia</v>
      </c>
      <c r="P1177" s="33">
        <f>IFERROR(__xludf.DUMMYFUNCTION("""COMPUTED_VALUE"""),1.0)</f>
        <v>1</v>
      </c>
      <c r="Q1177" s="4" t="str">
        <f>IFERROR(__xludf.DUMMYFUNCTION("""COMPUTED_VALUE"""),"Eclética Tecnologia")</f>
        <v>Eclética Tecnologia</v>
      </c>
      <c r="R1177" s="33">
        <f>IFERROR(__xludf.DUMMYFUNCTION("""COMPUTED_VALUE"""),1.0)</f>
        <v>1</v>
      </c>
      <c r="S1177" s="4" t="str">
        <f>IFERROR(__xludf.DUMMYFUNCTION("""COMPUTED_VALUE"""),"Eclética Tecnologia")</f>
        <v>Eclética Tecnologia</v>
      </c>
      <c r="T1177" s="33">
        <f>IFERROR(__xludf.DUMMYFUNCTION("""COMPUTED_VALUE"""),1.0)</f>
        <v>1</v>
      </c>
      <c r="U1177" s="4" t="str">
        <f>IFERROR(__xludf.DUMMYFUNCTION("""COMPUTED_VALUE"""),"Eclética Tecnologia")</f>
        <v>Eclética Tecnologia</v>
      </c>
      <c r="V1177" s="33">
        <f>IFERROR(__xludf.DUMMYFUNCTION("""COMPUTED_VALUE"""),1.0)</f>
        <v>1</v>
      </c>
      <c r="W1177" s="4" t="str">
        <f>IFERROR(__xludf.DUMMYFUNCTION("""COMPUTED_VALUE"""),"Eclética Tecnologia")</f>
        <v>Eclética Tecnologia</v>
      </c>
      <c r="X1177" s="33">
        <f>IFERROR(__xludf.DUMMYFUNCTION("""COMPUTED_VALUE"""),1.0)</f>
        <v>1</v>
      </c>
    </row>
    <row r="1178">
      <c r="K1178" s="4" t="str">
        <f>IFERROR(__xludf.DUMMYFUNCTION("""COMPUTED_VALUE"""),"MULTIMARKET BRAGA CENTRAL - CONTA PAI")</f>
        <v>MULTIMARKET BRAGA CENTRAL - CONTA PAI</v>
      </c>
      <c r="L1178" s="32">
        <f>IFERROR(__xludf.DUMMYFUNCTION("""COMPUTED_VALUE"""),7.0)</f>
        <v>7</v>
      </c>
      <c r="M1178" s="4" t="str">
        <f>IFERROR(__xludf.DUMMYFUNCTION("""COMPUTED_VALUE"""),"N/A (Not found)")</f>
        <v>N/A (Not found)</v>
      </c>
      <c r="N1178" s="33">
        <f>IFERROR(__xludf.DUMMYFUNCTION("""COMPUTED_VALUE"""),1.0)</f>
        <v>1</v>
      </c>
      <c r="O1178" s="4" t="str">
        <f>IFERROR(__xludf.DUMMYFUNCTION("""COMPUTED_VALUE"""),"N/A (Not found)")</f>
        <v>N/A (Not found)</v>
      </c>
      <c r="P1178" s="33">
        <f>IFERROR(__xludf.DUMMYFUNCTION("""COMPUTED_VALUE"""),1.0)</f>
        <v>1</v>
      </c>
      <c r="Q1178" s="4" t="str">
        <f>IFERROR(__xludf.DUMMYFUNCTION("""COMPUTED_VALUE"""),"N/A (Not found)")</f>
        <v>N/A (Not found)</v>
      </c>
      <c r="R1178" s="33">
        <f>IFERROR(__xludf.DUMMYFUNCTION("""COMPUTED_VALUE"""),1.0)</f>
        <v>1</v>
      </c>
      <c r="S1178" s="4" t="str">
        <f>IFERROR(__xludf.DUMMYFUNCTION("""COMPUTED_VALUE"""),"N/A (Not found)")</f>
        <v>N/A (Not found)</v>
      </c>
      <c r="T1178" s="33">
        <f>IFERROR(__xludf.DUMMYFUNCTION("""COMPUTED_VALUE"""),1.0)</f>
        <v>1</v>
      </c>
      <c r="U1178" s="4" t="str">
        <f>IFERROR(__xludf.DUMMYFUNCTION("""COMPUTED_VALUE"""),"N/A (Not found)")</f>
        <v>N/A (Not found)</v>
      </c>
      <c r="V1178" s="33">
        <f>IFERROR(__xludf.DUMMYFUNCTION("""COMPUTED_VALUE"""),1.0)</f>
        <v>1</v>
      </c>
      <c r="W1178" s="4" t="str">
        <f>IFERROR(__xludf.DUMMYFUNCTION("""COMPUTED_VALUE"""),"N/A (Not found)")</f>
        <v>N/A (Not found)</v>
      </c>
      <c r="X1178" s="33">
        <f>IFERROR(__xludf.DUMMYFUNCTION("""COMPUTED_VALUE"""),1.0)</f>
        <v>1</v>
      </c>
    </row>
    <row r="1179">
      <c r="K1179" s="4" t="str">
        <f>IFERROR(__xludf.DUMMYFUNCTION("""COMPUTED_VALUE"""),"NELIMELL SORVETES")</f>
        <v>NELIMELL SORVETES</v>
      </c>
      <c r="L1179" s="32">
        <f>IFERROR(__xludf.DUMMYFUNCTION("""COMPUTED_VALUE"""),7.0)</f>
        <v>7</v>
      </c>
      <c r="M1179" s="4" t="str">
        <f>IFERROR(__xludf.DUMMYFUNCTION("""COMPUTED_VALUE"""),"Soluções Web Araçatuba Ltda")</f>
        <v>Soluções Web Araçatuba Ltda</v>
      </c>
      <c r="N1179" s="33">
        <f>IFERROR(__xludf.DUMMYFUNCTION("""COMPUTED_VALUE"""),0.7142857142857143)</f>
        <v>0.7142857143</v>
      </c>
      <c r="O1179" s="4" t="str">
        <f>IFERROR(__xludf.DUMMYFUNCTION("""COMPUTED_VALUE"""),"Soluções Web Araçatuba Ltda")</f>
        <v>Soluções Web Araçatuba Ltda</v>
      </c>
      <c r="P1179" s="33">
        <f>IFERROR(__xludf.DUMMYFUNCTION("""COMPUTED_VALUE"""),0.7142857142857143)</f>
        <v>0.7142857143</v>
      </c>
      <c r="Q1179" s="4" t="str">
        <f>IFERROR(__xludf.DUMMYFUNCTION("""COMPUTED_VALUE"""),"Soluções Web Araçatuba Ltda")</f>
        <v>Soluções Web Araçatuba Ltda</v>
      </c>
      <c r="R1179" s="33">
        <f>IFERROR(__xludf.DUMMYFUNCTION("""COMPUTED_VALUE"""),0.7142857142857143)</f>
        <v>0.7142857143</v>
      </c>
      <c r="S1179" s="4" t="str">
        <f>IFERROR(__xludf.DUMMYFUNCTION("""COMPUTED_VALUE"""),"Soluções Web Araçatuba Ltda")</f>
        <v>Soluções Web Araçatuba Ltda</v>
      </c>
      <c r="T1179" s="33">
        <f>IFERROR(__xludf.DUMMYFUNCTION("""COMPUTED_VALUE"""),0.7142857142857143)</f>
        <v>0.7142857143</v>
      </c>
      <c r="U1179" s="4" t="str">
        <f>IFERROR(__xludf.DUMMYFUNCTION("""COMPUTED_VALUE"""),"Soluções Web Araçatuba Ltda")</f>
        <v>Soluções Web Araçatuba Ltda</v>
      </c>
      <c r="V1179" s="33">
        <f>IFERROR(__xludf.DUMMYFUNCTION("""COMPUTED_VALUE"""),0.8571428571428571)</f>
        <v>0.8571428571</v>
      </c>
      <c r="W1179" s="4" t="str">
        <f>IFERROR(__xludf.DUMMYFUNCTION("""COMPUTED_VALUE"""),"Soluções Web Araçatuba Ltda")</f>
        <v>Soluções Web Araçatuba Ltda</v>
      </c>
      <c r="X1179" s="33">
        <f>IFERROR(__xludf.DUMMYFUNCTION("""COMPUTED_VALUE"""),1.0)</f>
        <v>1</v>
      </c>
    </row>
    <row r="1180">
      <c r="K1180" s="4" t="str">
        <f>IFERROR(__xludf.DUMMYFUNCTION("""COMPUTED_VALUE"""),"O DOM DA PIZZA")</f>
        <v>O DOM DA PIZZA</v>
      </c>
      <c r="L1180" s="32">
        <f>IFERROR(__xludf.DUMMYFUNCTION("""COMPUTED_VALUE"""),7.0)</f>
        <v>7</v>
      </c>
      <c r="M1180" s="4" t="str">
        <f>IFERROR(__xludf.DUMMYFUNCTION("""COMPUTED_VALUE"""),"Premio Sistemas Ltda")</f>
        <v>Premio Sistemas Ltda</v>
      </c>
      <c r="N1180" s="33">
        <f>IFERROR(__xludf.DUMMYFUNCTION("""COMPUTED_VALUE"""),1.0)</f>
        <v>1</v>
      </c>
      <c r="O1180" s="4" t="str">
        <f>IFERROR(__xludf.DUMMYFUNCTION("""COMPUTED_VALUE"""),"Premio Sistemas Ltda")</f>
        <v>Premio Sistemas Ltda</v>
      </c>
      <c r="P1180" s="33">
        <f>IFERROR(__xludf.DUMMYFUNCTION("""COMPUTED_VALUE"""),0.7142857142857143)</f>
        <v>0.7142857143</v>
      </c>
      <c r="Q1180" s="4" t="str">
        <f>IFERROR(__xludf.DUMMYFUNCTION("""COMPUTED_VALUE"""),"Premio Sistemas Ltda")</f>
        <v>Premio Sistemas Ltda</v>
      </c>
      <c r="R1180" s="33">
        <f>IFERROR(__xludf.DUMMYFUNCTION("""COMPUTED_VALUE"""),0.7142857142857143)</f>
        <v>0.7142857143</v>
      </c>
      <c r="S1180" s="4" t="str">
        <f>IFERROR(__xludf.DUMMYFUNCTION("""COMPUTED_VALUE"""),"Premio Sistemas Ltda")</f>
        <v>Premio Sistemas Ltda</v>
      </c>
      <c r="T1180" s="33">
        <f>IFERROR(__xludf.DUMMYFUNCTION("""COMPUTED_VALUE"""),0.5714285714285714)</f>
        <v>0.5714285714</v>
      </c>
      <c r="U1180" s="4" t="str">
        <f>IFERROR(__xludf.DUMMYFUNCTION("""COMPUTED_VALUE"""),"Premio Sistemas Ltda")</f>
        <v>Premio Sistemas Ltda</v>
      </c>
      <c r="V1180" s="33">
        <f>IFERROR(__xludf.DUMMYFUNCTION("""COMPUTED_VALUE"""),0.42857142857142855)</f>
        <v>0.4285714286</v>
      </c>
      <c r="W1180" s="4" t="str">
        <f>IFERROR(__xludf.DUMMYFUNCTION("""COMPUTED_VALUE"""),"Premio Sistemas Ltda")</f>
        <v>Premio Sistemas Ltda</v>
      </c>
      <c r="X1180" s="33">
        <f>IFERROR(__xludf.DUMMYFUNCTION("""COMPUTED_VALUE"""),0.42857142857142855)</f>
        <v>0.4285714286</v>
      </c>
    </row>
    <row r="1181">
      <c r="K1181" s="4" t="str">
        <f>IFERROR(__xludf.DUMMYFUNCTION("""COMPUTED_VALUE"""),"PANAS")</f>
        <v>PANAS</v>
      </c>
      <c r="L1181" s="32">
        <f>IFERROR(__xludf.DUMMYFUNCTION("""COMPUTED_VALUE"""),7.0)</f>
        <v>7</v>
      </c>
      <c r="M1181" s="4" t="str">
        <f>IFERROR(__xludf.DUMMYFUNCTION("""COMPUTED_VALUE"""),"Lexsis Sistemas")</f>
        <v>Lexsis Sistemas</v>
      </c>
      <c r="N1181" s="33">
        <f>IFERROR(__xludf.DUMMYFUNCTION("""COMPUTED_VALUE"""),0.7142857142857143)</f>
        <v>0.7142857143</v>
      </c>
      <c r="O1181" s="4" t="str">
        <f>IFERROR(__xludf.DUMMYFUNCTION("""COMPUTED_VALUE"""),"Lexsis Sistemas")</f>
        <v>Lexsis Sistemas</v>
      </c>
      <c r="P1181" s="33">
        <f>IFERROR(__xludf.DUMMYFUNCTION("""COMPUTED_VALUE"""),0.7142857142857143)</f>
        <v>0.7142857143</v>
      </c>
      <c r="Q1181" s="4" t="str">
        <f>IFERROR(__xludf.DUMMYFUNCTION("""COMPUTED_VALUE"""),"Lexsis Sistemas")</f>
        <v>Lexsis Sistemas</v>
      </c>
      <c r="R1181" s="33">
        <f>IFERROR(__xludf.DUMMYFUNCTION("""COMPUTED_VALUE"""),1.0)</f>
        <v>1</v>
      </c>
      <c r="S1181" s="4" t="str">
        <f>IFERROR(__xludf.DUMMYFUNCTION("""COMPUTED_VALUE"""),"Lexsis Sistemas")</f>
        <v>Lexsis Sistemas</v>
      </c>
      <c r="T1181" s="33">
        <f>IFERROR(__xludf.DUMMYFUNCTION("""COMPUTED_VALUE"""),0.8571428571428571)</f>
        <v>0.8571428571</v>
      </c>
      <c r="U1181" s="4" t="str">
        <f>IFERROR(__xludf.DUMMYFUNCTION("""COMPUTED_VALUE"""),"Lexsis Sistemas")</f>
        <v>Lexsis Sistemas</v>
      </c>
      <c r="V1181" s="33">
        <f>IFERROR(__xludf.DUMMYFUNCTION("""COMPUTED_VALUE"""),0.7142857142857143)</f>
        <v>0.7142857143</v>
      </c>
      <c r="W1181" s="4" t="str">
        <f>IFERROR(__xludf.DUMMYFUNCTION("""COMPUTED_VALUE"""),"Lexsis Sistemas")</f>
        <v>Lexsis Sistemas</v>
      </c>
      <c r="X1181" s="33">
        <f>IFERROR(__xludf.DUMMYFUNCTION("""COMPUTED_VALUE"""),0.7142857142857143)</f>
        <v>0.7142857143</v>
      </c>
    </row>
    <row r="1182">
      <c r="K1182" s="4" t="str">
        <f>IFERROR(__xludf.DUMMYFUNCTION("""COMPUTED_VALUE"""),"PARMEGIANA PIZZAS E MASSAS")</f>
        <v>PARMEGIANA PIZZAS E MASSAS</v>
      </c>
      <c r="L1182" s="32">
        <f>IFERROR(__xludf.DUMMYFUNCTION("""COMPUTED_VALUE"""),7.0)</f>
        <v>7</v>
      </c>
      <c r="M1182" s="4" t="str">
        <f>IFERROR(__xludf.DUMMYFUNCTION("""COMPUTED_VALUE"""),"Saipos Serviços De Software")</f>
        <v>Saipos Serviços De Software</v>
      </c>
      <c r="N1182" s="33">
        <f>IFERROR(__xludf.DUMMYFUNCTION("""COMPUTED_VALUE"""),1.0)</f>
        <v>1</v>
      </c>
      <c r="O1182" s="4" t="str">
        <f>IFERROR(__xludf.DUMMYFUNCTION("""COMPUTED_VALUE"""),"Saipos Serviços De Software")</f>
        <v>Saipos Serviços De Software</v>
      </c>
      <c r="P1182" s="33">
        <f>IFERROR(__xludf.DUMMYFUNCTION("""COMPUTED_VALUE"""),1.0)</f>
        <v>1</v>
      </c>
      <c r="Q1182" s="4" t="str">
        <f>IFERROR(__xludf.DUMMYFUNCTION("""COMPUTED_VALUE"""),"Saipos Serviços De Software")</f>
        <v>Saipos Serviços De Software</v>
      </c>
      <c r="R1182" s="33">
        <f>IFERROR(__xludf.DUMMYFUNCTION("""COMPUTED_VALUE"""),1.0)</f>
        <v>1</v>
      </c>
      <c r="S1182" s="4" t="str">
        <f>IFERROR(__xludf.DUMMYFUNCTION("""COMPUTED_VALUE"""),"Saipos Serviços De Software")</f>
        <v>Saipos Serviços De Software</v>
      </c>
      <c r="T1182" s="33">
        <f>IFERROR(__xludf.DUMMYFUNCTION("""COMPUTED_VALUE"""),1.0)</f>
        <v>1</v>
      </c>
      <c r="U1182" s="4" t="str">
        <f>IFERROR(__xludf.DUMMYFUNCTION("""COMPUTED_VALUE"""),"Saipos Serviços De Software")</f>
        <v>Saipos Serviços De Software</v>
      </c>
      <c r="V1182" s="33">
        <f>IFERROR(__xludf.DUMMYFUNCTION("""COMPUTED_VALUE"""),1.0)</f>
        <v>1</v>
      </c>
      <c r="W1182" s="4" t="str">
        <f>IFERROR(__xludf.DUMMYFUNCTION("""COMPUTED_VALUE"""),"Saipos Serviços De Software")</f>
        <v>Saipos Serviços De Software</v>
      </c>
      <c r="X1182" s="33">
        <f>IFERROR(__xludf.DUMMYFUNCTION("""COMPUTED_VALUE"""),0.8571428571428571)</f>
        <v>0.8571428571</v>
      </c>
    </row>
    <row r="1183">
      <c r="K1183" s="4" t="str">
        <f>IFERROR(__xludf.DUMMYFUNCTION("""COMPUTED_VALUE"""),"PEDE SUSHI")</f>
        <v>PEDE SUSHI</v>
      </c>
      <c r="L1183" s="32">
        <f>IFERROR(__xludf.DUMMYFUNCTION("""COMPUTED_VALUE"""),7.0)</f>
        <v>7</v>
      </c>
      <c r="M1183" s="4" t="str">
        <f>IFERROR(__xludf.DUMMYFUNCTION("""COMPUTED_VALUE"""),"Anota Ai Solucoes Digitais S/a")</f>
        <v>Anota Ai Solucoes Digitais S/a</v>
      </c>
      <c r="N1183" s="33">
        <f>IFERROR(__xludf.DUMMYFUNCTION("""COMPUTED_VALUE"""),0.42857142857142855)</f>
        <v>0.4285714286</v>
      </c>
      <c r="O1183" s="4" t="str">
        <f>IFERROR(__xludf.DUMMYFUNCTION("""COMPUTED_VALUE"""),"Anota Ai Solucoes Digitais S/a")</f>
        <v>Anota Ai Solucoes Digitais S/a</v>
      </c>
      <c r="P1183" s="33">
        <f>IFERROR(__xludf.DUMMYFUNCTION("""COMPUTED_VALUE"""),0.42857142857142855)</f>
        <v>0.4285714286</v>
      </c>
      <c r="Q1183" s="4" t="str">
        <f>IFERROR(__xludf.DUMMYFUNCTION("""COMPUTED_VALUE"""),"Anota Ai Solucoes Digitais S/a")</f>
        <v>Anota Ai Solucoes Digitais S/a</v>
      </c>
      <c r="R1183" s="33">
        <f>IFERROR(__xludf.DUMMYFUNCTION("""COMPUTED_VALUE"""),0.42857142857142855)</f>
        <v>0.4285714286</v>
      </c>
      <c r="S1183" s="4" t="str">
        <f>IFERROR(__xludf.DUMMYFUNCTION("""COMPUTED_VALUE"""),"Anota Ai Solucoes Digitais S/a")</f>
        <v>Anota Ai Solucoes Digitais S/a</v>
      </c>
      <c r="T1183" s="33">
        <f>IFERROR(__xludf.DUMMYFUNCTION("""COMPUTED_VALUE"""),0.42857142857142855)</f>
        <v>0.4285714286</v>
      </c>
      <c r="U1183" s="4" t="str">
        <f>IFERROR(__xludf.DUMMYFUNCTION("""COMPUTED_VALUE"""),"Anota Ai Solucoes Digitais S/a")</f>
        <v>Anota Ai Solucoes Digitais S/a</v>
      </c>
      <c r="V1183" s="33">
        <f>IFERROR(__xludf.DUMMYFUNCTION("""COMPUTED_VALUE"""),0.42857142857142855)</f>
        <v>0.4285714286</v>
      </c>
      <c r="W1183" s="4" t="str">
        <f>IFERROR(__xludf.DUMMYFUNCTION("""COMPUTED_VALUE"""),"Anota Ai Solucoes Digitais S/a")</f>
        <v>Anota Ai Solucoes Digitais S/a</v>
      </c>
      <c r="X1183" s="33">
        <f>IFERROR(__xludf.DUMMYFUNCTION("""COMPUTED_VALUE"""),0.42857142857142855)</f>
        <v>0.4285714286</v>
      </c>
    </row>
    <row r="1184">
      <c r="K1184" s="4" t="str">
        <f>IFERROR(__xludf.DUMMYFUNCTION("""COMPUTED_VALUE"""),"PEPPERONI - CONTA MARCA")</f>
        <v>PEPPERONI - CONTA MARCA</v>
      </c>
      <c r="L1184" s="32">
        <f>IFERROR(__xludf.DUMMYFUNCTION("""COMPUTED_VALUE"""),7.0)</f>
        <v>7</v>
      </c>
      <c r="M1184" s="4" t="str">
        <f>IFERROR(__xludf.DUMMYFUNCTION("""COMPUTED_VALUE"""),"Anove Tecnologia")</f>
        <v>Anove Tecnologia</v>
      </c>
      <c r="N1184" s="33">
        <f>IFERROR(__xludf.DUMMYFUNCTION("""COMPUTED_VALUE"""),0.7142857142857143)</f>
        <v>0.7142857143</v>
      </c>
      <c r="O1184" s="4" t="str">
        <f>IFERROR(__xludf.DUMMYFUNCTION("""COMPUTED_VALUE"""),"Anove Tecnologia")</f>
        <v>Anove Tecnologia</v>
      </c>
      <c r="P1184" s="33">
        <f>IFERROR(__xludf.DUMMYFUNCTION("""COMPUTED_VALUE"""),0.7142857142857143)</f>
        <v>0.7142857143</v>
      </c>
      <c r="Q1184" s="4" t="str">
        <f>IFERROR(__xludf.DUMMYFUNCTION("""COMPUTED_VALUE"""),"Anove Tecnologia")</f>
        <v>Anove Tecnologia</v>
      </c>
      <c r="R1184" s="33">
        <f>IFERROR(__xludf.DUMMYFUNCTION("""COMPUTED_VALUE"""),0.7142857142857143)</f>
        <v>0.7142857143</v>
      </c>
      <c r="S1184" s="4" t="str">
        <f>IFERROR(__xludf.DUMMYFUNCTION("""COMPUTED_VALUE"""),"Anove Tecnologia")</f>
        <v>Anove Tecnologia</v>
      </c>
      <c r="T1184" s="33">
        <f>IFERROR(__xludf.DUMMYFUNCTION("""COMPUTED_VALUE"""),0.5714285714285714)</f>
        <v>0.5714285714</v>
      </c>
      <c r="U1184" s="4" t="str">
        <f>IFERROR(__xludf.DUMMYFUNCTION("""COMPUTED_VALUE"""),"Anove Tecnologia")</f>
        <v>Anove Tecnologia</v>
      </c>
      <c r="V1184" s="33">
        <f>IFERROR(__xludf.DUMMYFUNCTION("""COMPUTED_VALUE"""),0.42857142857142855)</f>
        <v>0.4285714286</v>
      </c>
      <c r="W1184" s="4" t="str">
        <f>IFERROR(__xludf.DUMMYFUNCTION("""COMPUTED_VALUE"""),"Anove Tecnologia")</f>
        <v>Anove Tecnologia</v>
      </c>
      <c r="X1184" s="33">
        <f>IFERROR(__xludf.DUMMYFUNCTION("""COMPUTED_VALUE"""),0.7142857142857143)</f>
        <v>0.7142857143</v>
      </c>
    </row>
    <row r="1185">
      <c r="K1185" s="4" t="str">
        <f>IFERROR(__xludf.DUMMYFUNCTION("""COMPUTED_VALUE"""),"PICANHA MANIA MANAUS")</f>
        <v>PICANHA MANIA MANAUS</v>
      </c>
      <c r="L1185" s="32">
        <f>IFERROR(__xludf.DUMMYFUNCTION("""COMPUTED_VALUE"""),7.0)</f>
        <v>7</v>
      </c>
      <c r="M1185" s="4" t="str">
        <f>IFERROR(__xludf.DUMMYFUNCTION("""COMPUTED_VALUE"""),"Picanha Mania")</f>
        <v>Picanha Mania</v>
      </c>
      <c r="N1185" s="33">
        <f>IFERROR(__xludf.DUMMYFUNCTION("""COMPUTED_VALUE"""),0.8571428571428571)</f>
        <v>0.8571428571</v>
      </c>
      <c r="O1185" s="4" t="str">
        <f>IFERROR(__xludf.DUMMYFUNCTION("""COMPUTED_VALUE"""),"Picanha Mania")</f>
        <v>Picanha Mania</v>
      </c>
      <c r="P1185" s="33">
        <f>IFERROR(__xludf.DUMMYFUNCTION("""COMPUTED_VALUE"""),0.8571428571428571)</f>
        <v>0.8571428571</v>
      </c>
      <c r="Q1185" s="4" t="str">
        <f>IFERROR(__xludf.DUMMYFUNCTION("""COMPUTED_VALUE"""),"Picanha Mania")</f>
        <v>Picanha Mania</v>
      </c>
      <c r="R1185" s="33">
        <f>IFERROR(__xludf.DUMMYFUNCTION("""COMPUTED_VALUE"""),0.8571428571428571)</f>
        <v>0.8571428571</v>
      </c>
      <c r="S1185" s="4" t="str">
        <f>IFERROR(__xludf.DUMMYFUNCTION("""COMPUTED_VALUE"""),"Picanha Mania")</f>
        <v>Picanha Mania</v>
      </c>
      <c r="T1185" s="33">
        <f>IFERROR(__xludf.DUMMYFUNCTION("""COMPUTED_VALUE"""),0.8571428571428571)</f>
        <v>0.8571428571</v>
      </c>
      <c r="U1185" s="4" t="str">
        <f>IFERROR(__xludf.DUMMYFUNCTION("""COMPUTED_VALUE"""),"Picanha Mania")</f>
        <v>Picanha Mania</v>
      </c>
      <c r="V1185" s="33">
        <f>IFERROR(__xludf.DUMMYFUNCTION("""COMPUTED_VALUE"""),0.8571428571428571)</f>
        <v>0.8571428571</v>
      </c>
      <c r="W1185" s="4" t="str">
        <f>IFERROR(__xludf.DUMMYFUNCTION("""COMPUTED_VALUE"""),"Picanha Mania")</f>
        <v>Picanha Mania</v>
      </c>
      <c r="X1185" s="33">
        <f>IFERROR(__xludf.DUMMYFUNCTION("""COMPUTED_VALUE"""),1.0)</f>
        <v>1</v>
      </c>
    </row>
    <row r="1186">
      <c r="K1186" s="4" t="str">
        <f>IFERROR(__xludf.DUMMYFUNCTION("""COMPUTED_VALUE"""),"PICANHA MIX - RIO BRANCOAC")</f>
        <v>PICANHA MIX - RIO BRANCOAC</v>
      </c>
      <c r="L1186" s="32">
        <f>IFERROR(__xludf.DUMMYFUNCTION("""COMPUTED_VALUE"""),7.0)</f>
        <v>7</v>
      </c>
      <c r="M1186" s="4" t="str">
        <f>IFERROR(__xludf.DUMMYFUNCTION("""COMPUTED_VALUE"""),"Saipos Serviços De Software")</f>
        <v>Saipos Serviços De Software</v>
      </c>
      <c r="N1186" s="33">
        <f>IFERROR(__xludf.DUMMYFUNCTION("""COMPUTED_VALUE"""),1.0)</f>
        <v>1</v>
      </c>
      <c r="O1186" s="4" t="str">
        <f>IFERROR(__xludf.DUMMYFUNCTION("""COMPUTED_VALUE"""),"Saipos Serviços De Software")</f>
        <v>Saipos Serviços De Software</v>
      </c>
      <c r="P1186" s="33">
        <f>IFERROR(__xludf.DUMMYFUNCTION("""COMPUTED_VALUE"""),1.0)</f>
        <v>1</v>
      </c>
      <c r="Q1186" s="4" t="str">
        <f>IFERROR(__xludf.DUMMYFUNCTION("""COMPUTED_VALUE"""),"Saipos Serviços De Software")</f>
        <v>Saipos Serviços De Software</v>
      </c>
      <c r="R1186" s="33">
        <f>IFERROR(__xludf.DUMMYFUNCTION("""COMPUTED_VALUE"""),1.0)</f>
        <v>1</v>
      </c>
      <c r="S1186" s="4" t="str">
        <f>IFERROR(__xludf.DUMMYFUNCTION("""COMPUTED_VALUE"""),"Saipos Serviços De Software")</f>
        <v>Saipos Serviços De Software</v>
      </c>
      <c r="T1186" s="33">
        <f>IFERROR(__xludf.DUMMYFUNCTION("""COMPUTED_VALUE"""),1.0)</f>
        <v>1</v>
      </c>
      <c r="U1186" s="4" t="str">
        <f>IFERROR(__xludf.DUMMYFUNCTION("""COMPUTED_VALUE"""),"Saipos Serviços De Software")</f>
        <v>Saipos Serviços De Software</v>
      </c>
      <c r="V1186" s="33">
        <f>IFERROR(__xludf.DUMMYFUNCTION("""COMPUTED_VALUE"""),1.0)</f>
        <v>1</v>
      </c>
      <c r="W1186" s="4" t="str">
        <f>IFERROR(__xludf.DUMMYFUNCTION("""COMPUTED_VALUE"""),"Saipos Serviços De Software")</f>
        <v>Saipos Serviços De Software</v>
      </c>
      <c r="X1186" s="33">
        <f>IFERROR(__xludf.DUMMYFUNCTION("""COMPUTED_VALUE"""),1.0)</f>
        <v>1</v>
      </c>
    </row>
    <row r="1187">
      <c r="K1187" s="4" t="str">
        <f>IFERROR(__xludf.DUMMYFUNCTION("""COMPUTED_VALUE"""),"PIZZA 1")</f>
        <v>PIZZA 1</v>
      </c>
      <c r="L1187" s="32">
        <f>IFERROR(__xludf.DUMMYFUNCTION("""COMPUTED_VALUE"""),7.0)</f>
        <v>7</v>
      </c>
      <c r="M1187" s="4" t="str">
        <f>IFERROR(__xludf.DUMMYFUNCTION("""COMPUTED_VALUE"""),"Saipos Serviços De Software")</f>
        <v>Saipos Serviços De Software</v>
      </c>
      <c r="N1187" s="33">
        <f>IFERROR(__xludf.DUMMYFUNCTION("""COMPUTED_VALUE"""),0.5714285714285714)</f>
        <v>0.5714285714</v>
      </c>
      <c r="O1187" s="4" t="str">
        <f>IFERROR(__xludf.DUMMYFUNCTION("""COMPUTED_VALUE"""),"Saipos Serviços De Software")</f>
        <v>Saipos Serviços De Software</v>
      </c>
      <c r="P1187" s="33">
        <f>IFERROR(__xludf.DUMMYFUNCTION("""COMPUTED_VALUE"""),0.5714285714285714)</f>
        <v>0.5714285714</v>
      </c>
      <c r="Q1187" s="4" t="str">
        <f>IFERROR(__xludf.DUMMYFUNCTION("""COMPUTED_VALUE"""),"Saipos Serviços De Software")</f>
        <v>Saipos Serviços De Software</v>
      </c>
      <c r="R1187" s="33">
        <f>IFERROR(__xludf.DUMMYFUNCTION("""COMPUTED_VALUE"""),0.5714285714285714)</f>
        <v>0.5714285714</v>
      </c>
      <c r="S1187" s="4" t="str">
        <f>IFERROR(__xludf.DUMMYFUNCTION("""COMPUTED_VALUE"""),"Saipos Serviços De Software")</f>
        <v>Saipos Serviços De Software</v>
      </c>
      <c r="T1187" s="33">
        <f>IFERROR(__xludf.DUMMYFUNCTION("""COMPUTED_VALUE"""),0.42857142857142855)</f>
        <v>0.4285714286</v>
      </c>
      <c r="U1187" s="4" t="str">
        <f>IFERROR(__xludf.DUMMYFUNCTION("""COMPUTED_VALUE"""),"Saipos Serviços De Software")</f>
        <v>Saipos Serviços De Software</v>
      </c>
      <c r="V1187" s="33">
        <f>IFERROR(__xludf.DUMMYFUNCTION("""COMPUTED_VALUE"""),0.42857142857142855)</f>
        <v>0.4285714286</v>
      </c>
      <c r="W1187" s="4" t="str">
        <f>IFERROR(__xludf.DUMMYFUNCTION("""COMPUTED_VALUE"""),"Saipos Serviços De Software")</f>
        <v>Saipos Serviços De Software</v>
      </c>
      <c r="X1187" s="33">
        <f>IFERROR(__xludf.DUMMYFUNCTION("""COMPUTED_VALUE"""),0.42857142857142855)</f>
        <v>0.4285714286</v>
      </c>
    </row>
    <row r="1188">
      <c r="K1188" s="4" t="str">
        <f>IFERROR(__xludf.DUMMYFUNCTION("""COMPUTED_VALUE"""),"PIZZA AMERICANA")</f>
        <v>PIZZA AMERICANA</v>
      </c>
      <c r="L1188" s="32">
        <f>IFERROR(__xludf.DUMMYFUNCTION("""COMPUTED_VALUE"""),7.0)</f>
        <v>7</v>
      </c>
      <c r="M1188" s="4" t="str">
        <f>IFERROR(__xludf.DUMMYFUNCTION("""COMPUTED_VALUE"""),"Menew - Linx")</f>
        <v>Menew - Linx</v>
      </c>
      <c r="N1188" s="33">
        <f>IFERROR(__xludf.DUMMYFUNCTION("""COMPUTED_VALUE"""),0.8571428571428571)</f>
        <v>0.8571428571</v>
      </c>
      <c r="O1188" s="4" t="str">
        <f>IFERROR(__xludf.DUMMYFUNCTION("""COMPUTED_VALUE"""),"Menew - Linx")</f>
        <v>Menew - Linx</v>
      </c>
      <c r="P1188" s="33">
        <f>IFERROR(__xludf.DUMMYFUNCTION("""COMPUTED_VALUE"""),0.8571428571428571)</f>
        <v>0.8571428571</v>
      </c>
      <c r="Q1188" s="4" t="str">
        <f>IFERROR(__xludf.DUMMYFUNCTION("""COMPUTED_VALUE"""),"Menew - Linx")</f>
        <v>Menew - Linx</v>
      </c>
      <c r="R1188" s="33">
        <f>IFERROR(__xludf.DUMMYFUNCTION("""COMPUTED_VALUE"""),0.7142857142857143)</f>
        <v>0.7142857143</v>
      </c>
      <c r="S1188" s="4" t="str">
        <f>IFERROR(__xludf.DUMMYFUNCTION("""COMPUTED_VALUE"""),"Noah Sistemas Ltda")</f>
        <v>Noah Sistemas Ltda</v>
      </c>
      <c r="T1188" s="33">
        <f>IFERROR(__xludf.DUMMYFUNCTION("""COMPUTED_VALUE"""),0.7142857142857143)</f>
        <v>0.7142857143</v>
      </c>
      <c r="U1188" s="4" t="str">
        <f>IFERROR(__xludf.DUMMYFUNCTION("""COMPUTED_VALUE"""),"Noah Sistemas Ltda")</f>
        <v>Noah Sistemas Ltda</v>
      </c>
      <c r="V1188" s="33">
        <f>IFERROR(__xludf.DUMMYFUNCTION("""COMPUTED_VALUE"""),0.8571428571428571)</f>
        <v>0.8571428571</v>
      </c>
      <c r="W1188" s="4" t="str">
        <f>IFERROR(__xludf.DUMMYFUNCTION("""COMPUTED_VALUE"""),"Noah Sistemas Ltda")</f>
        <v>Noah Sistemas Ltda</v>
      </c>
      <c r="X1188" s="33">
        <f>IFERROR(__xludf.DUMMYFUNCTION("""COMPUTED_VALUE"""),0.5714285714285714)</f>
        <v>0.5714285714</v>
      </c>
    </row>
    <row r="1189">
      <c r="K1189" s="4" t="str">
        <f>IFERROR(__xludf.DUMMYFUNCTION("""COMPUTED_VALUE"""),"PIZZARIA ARMAZEM SAO GONCALO")</f>
        <v>PIZZARIA ARMAZEM SAO GONCALO</v>
      </c>
      <c r="L1189" s="32">
        <f>IFERROR(__xludf.DUMMYFUNCTION("""COMPUTED_VALUE"""),7.0)</f>
        <v>7</v>
      </c>
      <c r="M1189" s="4" t="str">
        <f>IFERROR(__xludf.DUMMYFUNCTION("""COMPUTED_VALUE"""),"Ncr")</f>
        <v>Ncr</v>
      </c>
      <c r="N1189" s="33">
        <f>IFERROR(__xludf.DUMMYFUNCTION("""COMPUTED_VALUE"""),0.7142857142857143)</f>
        <v>0.7142857143</v>
      </c>
      <c r="O1189" s="4" t="str">
        <f>IFERROR(__xludf.DUMMYFUNCTION("""COMPUTED_VALUE"""),"Ncr")</f>
        <v>Ncr</v>
      </c>
      <c r="P1189" s="33">
        <f>IFERROR(__xludf.DUMMYFUNCTION("""COMPUTED_VALUE"""),0.8571428571428571)</f>
        <v>0.8571428571</v>
      </c>
      <c r="Q1189" s="4" t="str">
        <f>IFERROR(__xludf.DUMMYFUNCTION("""COMPUTED_VALUE"""),"Ncr")</f>
        <v>Ncr</v>
      </c>
      <c r="R1189" s="33">
        <f>IFERROR(__xludf.DUMMYFUNCTION("""COMPUTED_VALUE"""),1.0)</f>
        <v>1</v>
      </c>
      <c r="S1189" s="4" t="str">
        <f>IFERROR(__xludf.DUMMYFUNCTION("""COMPUTED_VALUE"""),"Ncr")</f>
        <v>Ncr</v>
      </c>
      <c r="T1189" s="33">
        <f>IFERROR(__xludf.DUMMYFUNCTION("""COMPUTED_VALUE"""),1.0)</f>
        <v>1</v>
      </c>
      <c r="U1189" s="4" t="str">
        <f>IFERROR(__xludf.DUMMYFUNCTION("""COMPUTED_VALUE"""),"Ncr")</f>
        <v>Ncr</v>
      </c>
      <c r="V1189" s="33">
        <f>IFERROR(__xludf.DUMMYFUNCTION("""COMPUTED_VALUE"""),1.0)</f>
        <v>1</v>
      </c>
      <c r="W1189" s="4" t="str">
        <f>IFERROR(__xludf.DUMMYFUNCTION("""COMPUTED_VALUE"""),"Ncr")</f>
        <v>Ncr</v>
      </c>
      <c r="X1189" s="33">
        <f>IFERROR(__xludf.DUMMYFUNCTION("""COMPUTED_VALUE"""),1.0)</f>
        <v>1</v>
      </c>
    </row>
    <row r="1190">
      <c r="K1190" s="4" t="str">
        <f>IFERROR(__xludf.DUMMYFUNCTION("""COMPUTED_VALUE"""),"GRUPO PIZZARIA SICILIANA")</f>
        <v>GRUPO PIZZARIA SICILIANA</v>
      </c>
      <c r="L1190" s="32">
        <f>IFERROR(__xludf.DUMMYFUNCTION("""COMPUTED_VALUE"""),7.0)</f>
        <v>7</v>
      </c>
      <c r="M1190" s="4" t="str">
        <f>IFERROR(__xludf.DUMMYFUNCTION("""COMPUTED_VALUE"""),"Cityfoods Ltda")</f>
        <v>Cityfoods Ltda</v>
      </c>
      <c r="N1190" s="33">
        <f>IFERROR(__xludf.DUMMYFUNCTION("""COMPUTED_VALUE"""),0.8571428571428571)</f>
        <v>0.8571428571</v>
      </c>
      <c r="O1190" s="4" t="str">
        <f>IFERROR(__xludf.DUMMYFUNCTION("""COMPUTED_VALUE"""),"null")</f>
        <v>null</v>
      </c>
      <c r="P1190" s="33">
        <f>IFERROR(__xludf.DUMMYFUNCTION("""COMPUTED_VALUE"""),0.5714285714285714)</f>
        <v>0.5714285714</v>
      </c>
      <c r="Q1190" s="4" t="str">
        <f>IFERROR(__xludf.DUMMYFUNCTION("""COMPUTED_VALUE"""),"Cityfoods Ltda")</f>
        <v>Cityfoods Ltda</v>
      </c>
      <c r="R1190" s="33">
        <f>IFERROR(__xludf.DUMMYFUNCTION("""COMPUTED_VALUE"""),0.5714285714285714)</f>
        <v>0.5714285714</v>
      </c>
      <c r="S1190" s="4" t="str">
        <f>IFERROR(__xludf.DUMMYFUNCTION("""COMPUTED_VALUE"""),"Cityfoods Ltda")</f>
        <v>Cityfoods Ltda</v>
      </c>
      <c r="T1190" s="33">
        <f>IFERROR(__xludf.DUMMYFUNCTION("""COMPUTED_VALUE"""),0.7142857142857143)</f>
        <v>0.7142857143</v>
      </c>
      <c r="U1190" s="4" t="str">
        <f>IFERROR(__xludf.DUMMYFUNCTION("""COMPUTED_VALUE"""),"Cityfoods Ltda")</f>
        <v>Cityfoods Ltda</v>
      </c>
      <c r="V1190" s="33">
        <f>IFERROR(__xludf.DUMMYFUNCTION("""COMPUTED_VALUE"""),1.0)</f>
        <v>1</v>
      </c>
      <c r="W1190" s="4" t="str">
        <f>IFERROR(__xludf.DUMMYFUNCTION("""COMPUTED_VALUE"""),"Cityfoods Ltda")</f>
        <v>Cityfoods Ltda</v>
      </c>
      <c r="X1190" s="33">
        <f>IFERROR(__xludf.DUMMYFUNCTION("""COMPUTED_VALUE"""),0.5714285714285714)</f>
        <v>0.5714285714</v>
      </c>
    </row>
    <row r="1191">
      <c r="K1191" s="4" t="str">
        <f>IFERROR(__xludf.DUMMYFUNCTION("""COMPUTED_VALUE"""),"PIZZARIA CAMELO")</f>
        <v>PIZZARIA CAMELO</v>
      </c>
      <c r="L1191" s="32">
        <f>IFERROR(__xludf.DUMMYFUNCTION("""COMPUTED_VALUE"""),7.0)</f>
        <v>7</v>
      </c>
      <c r="M1191" s="4" t="str">
        <f>IFERROR(__xludf.DUMMYFUNCTION("""COMPUTED_VALUE"""),"Ncr")</f>
        <v>Ncr</v>
      </c>
      <c r="N1191" s="33">
        <f>IFERROR(__xludf.DUMMYFUNCTION("""COMPUTED_VALUE"""),0.5714285714285714)</f>
        <v>0.5714285714</v>
      </c>
      <c r="O1191" s="4" t="str">
        <f>IFERROR(__xludf.DUMMYFUNCTION("""COMPUTED_VALUE"""),"Ncr")</f>
        <v>Ncr</v>
      </c>
      <c r="P1191" s="33">
        <f>IFERROR(__xludf.DUMMYFUNCTION("""COMPUTED_VALUE"""),0.8571428571428571)</f>
        <v>0.8571428571</v>
      </c>
      <c r="Q1191" s="4" t="str">
        <f>IFERROR(__xludf.DUMMYFUNCTION("""COMPUTED_VALUE"""),"Ncr")</f>
        <v>Ncr</v>
      </c>
      <c r="R1191" s="33">
        <f>IFERROR(__xludf.DUMMYFUNCTION("""COMPUTED_VALUE"""),0.8571428571428571)</f>
        <v>0.8571428571</v>
      </c>
      <c r="S1191" s="4" t="str">
        <f>IFERROR(__xludf.DUMMYFUNCTION("""COMPUTED_VALUE"""),"Ncr")</f>
        <v>Ncr</v>
      </c>
      <c r="T1191" s="33">
        <f>IFERROR(__xludf.DUMMYFUNCTION("""COMPUTED_VALUE"""),0.8571428571428571)</f>
        <v>0.8571428571</v>
      </c>
      <c r="U1191" s="4" t="str">
        <f>IFERROR(__xludf.DUMMYFUNCTION("""COMPUTED_VALUE"""),"Ncr")</f>
        <v>Ncr</v>
      </c>
      <c r="V1191" s="33">
        <f>IFERROR(__xludf.DUMMYFUNCTION("""COMPUTED_VALUE"""),1.0)</f>
        <v>1</v>
      </c>
      <c r="W1191" s="4" t="str">
        <f>IFERROR(__xludf.DUMMYFUNCTION("""COMPUTED_VALUE"""),"Ncr")</f>
        <v>Ncr</v>
      </c>
      <c r="X1191" s="33">
        <f>IFERROR(__xludf.DUMMYFUNCTION("""COMPUTED_VALUE"""),1.0)</f>
        <v>1</v>
      </c>
    </row>
    <row r="1192">
      <c r="K1192" s="4" t="str">
        <f>IFERROR(__xludf.DUMMYFUNCTION("""COMPUTED_VALUE"""),"PIZZARIA E ESFIHARIA VILA VELHA")</f>
        <v>PIZZARIA E ESFIHARIA VILA VELHA</v>
      </c>
      <c r="L1192" s="32">
        <f>IFERROR(__xludf.DUMMYFUNCTION("""COMPUTED_VALUE"""),7.0)</f>
        <v>7</v>
      </c>
      <c r="M1192" s="4" t="str">
        <f>IFERROR(__xludf.DUMMYFUNCTION("""COMPUTED_VALUE"""),"Cityfoods Ltda")</f>
        <v>Cityfoods Ltda</v>
      </c>
      <c r="N1192" s="33">
        <f>IFERROR(__xludf.DUMMYFUNCTION("""COMPUTED_VALUE"""),0.7142857142857143)</f>
        <v>0.7142857143</v>
      </c>
      <c r="O1192" s="4" t="str">
        <f>IFERROR(__xludf.DUMMYFUNCTION("""COMPUTED_VALUE"""),"Cityfoods Ltda")</f>
        <v>Cityfoods Ltda</v>
      </c>
      <c r="P1192" s="33">
        <f>IFERROR(__xludf.DUMMYFUNCTION("""COMPUTED_VALUE"""),0.7142857142857143)</f>
        <v>0.7142857143</v>
      </c>
      <c r="Q1192" s="4" t="str">
        <f>IFERROR(__xludf.DUMMYFUNCTION("""COMPUTED_VALUE"""),"Cityfoods Ltda")</f>
        <v>Cityfoods Ltda</v>
      </c>
      <c r="R1192" s="33">
        <f>IFERROR(__xludf.DUMMYFUNCTION("""COMPUTED_VALUE"""),0.5714285714285714)</f>
        <v>0.5714285714</v>
      </c>
      <c r="S1192" s="4" t="str">
        <f>IFERROR(__xludf.DUMMYFUNCTION("""COMPUTED_VALUE"""),"Cityfoods Ltda")</f>
        <v>Cityfoods Ltda</v>
      </c>
      <c r="T1192" s="33">
        <f>IFERROR(__xludf.DUMMYFUNCTION("""COMPUTED_VALUE"""),0.7142857142857143)</f>
        <v>0.7142857143</v>
      </c>
      <c r="U1192" s="4" t="str">
        <f>IFERROR(__xludf.DUMMYFUNCTION("""COMPUTED_VALUE"""),"Cityfoods Ltda")</f>
        <v>Cityfoods Ltda</v>
      </c>
      <c r="V1192" s="33">
        <f>IFERROR(__xludf.DUMMYFUNCTION("""COMPUTED_VALUE"""),0.7142857142857143)</f>
        <v>0.7142857143</v>
      </c>
      <c r="W1192" s="4" t="str">
        <f>IFERROR(__xludf.DUMMYFUNCTION("""COMPUTED_VALUE"""),"Cityfoods Ltda")</f>
        <v>Cityfoods Ltda</v>
      </c>
      <c r="X1192" s="33">
        <f>IFERROR(__xludf.DUMMYFUNCTION("""COMPUTED_VALUE"""),0.5714285714285714)</f>
        <v>0.5714285714</v>
      </c>
    </row>
    <row r="1193">
      <c r="K1193" s="4" t="str">
        <f>IFERROR(__xludf.DUMMYFUNCTION("""COMPUTED_VALUE"""),"PIZZARIA GUANABARA - MARCA")</f>
        <v>PIZZARIA GUANABARA - MARCA</v>
      </c>
      <c r="L1193" s="32">
        <f>IFERROR(__xludf.DUMMYFUNCTION("""COMPUTED_VALUE"""),7.0)</f>
        <v>7</v>
      </c>
      <c r="M1193" s="4" t="str">
        <f>IFERROR(__xludf.DUMMYFUNCTION("""COMPUTED_VALUE"""),"Mp Multipedidos")</f>
        <v>Mp Multipedidos</v>
      </c>
      <c r="N1193" s="33">
        <f>IFERROR(__xludf.DUMMYFUNCTION("""COMPUTED_VALUE"""),1.0)</f>
        <v>1</v>
      </c>
      <c r="O1193" s="4" t="str">
        <f>IFERROR(__xludf.DUMMYFUNCTION("""COMPUTED_VALUE"""),"Mp Multipedidos")</f>
        <v>Mp Multipedidos</v>
      </c>
      <c r="P1193" s="33">
        <f>IFERROR(__xludf.DUMMYFUNCTION("""COMPUTED_VALUE"""),1.0)</f>
        <v>1</v>
      </c>
      <c r="Q1193" s="4" t="str">
        <f>IFERROR(__xludf.DUMMYFUNCTION("""COMPUTED_VALUE"""),"Mp Multipedidos")</f>
        <v>Mp Multipedidos</v>
      </c>
      <c r="R1193" s="33">
        <f>IFERROR(__xludf.DUMMYFUNCTION("""COMPUTED_VALUE"""),1.0)</f>
        <v>1</v>
      </c>
      <c r="S1193" s="4" t="str">
        <f>IFERROR(__xludf.DUMMYFUNCTION("""COMPUTED_VALUE"""),"Mp Multipedidos")</f>
        <v>Mp Multipedidos</v>
      </c>
      <c r="T1193" s="33">
        <f>IFERROR(__xludf.DUMMYFUNCTION("""COMPUTED_VALUE"""),1.0)</f>
        <v>1</v>
      </c>
      <c r="U1193" s="4" t="str">
        <f>IFERROR(__xludf.DUMMYFUNCTION("""COMPUTED_VALUE"""),"Mp Multipedidos")</f>
        <v>Mp Multipedidos</v>
      </c>
      <c r="V1193" s="33">
        <f>IFERROR(__xludf.DUMMYFUNCTION("""COMPUTED_VALUE"""),1.0)</f>
        <v>1</v>
      </c>
      <c r="W1193" s="4" t="str">
        <f>IFERROR(__xludf.DUMMYFUNCTION("""COMPUTED_VALUE"""),"Mp Multipedidos")</f>
        <v>Mp Multipedidos</v>
      </c>
      <c r="X1193" s="33">
        <f>IFERROR(__xludf.DUMMYFUNCTION("""COMPUTED_VALUE"""),1.0)</f>
        <v>1</v>
      </c>
    </row>
    <row r="1194">
      <c r="K1194" s="4" t="str">
        <f>IFERROR(__xludf.DUMMYFUNCTION("""COMPUTED_VALUE"""),"PIZZARIA O FORNO RIO")</f>
        <v>PIZZARIA O FORNO RIO</v>
      </c>
      <c r="L1194" s="32">
        <f>IFERROR(__xludf.DUMMYFUNCTION("""COMPUTED_VALUE"""),7.0)</f>
        <v>7</v>
      </c>
      <c r="M1194" s="4" t="str">
        <f>IFERROR(__xludf.DUMMYFUNCTION("""COMPUTED_VALUE"""),"Opdv")</f>
        <v>Opdv</v>
      </c>
      <c r="N1194" s="33">
        <f>IFERROR(__xludf.DUMMYFUNCTION("""COMPUTED_VALUE"""),1.0)</f>
        <v>1</v>
      </c>
      <c r="O1194" s="4" t="str">
        <f>IFERROR(__xludf.DUMMYFUNCTION("""COMPUTED_VALUE"""),"Opdv")</f>
        <v>Opdv</v>
      </c>
      <c r="P1194" s="33">
        <f>IFERROR(__xludf.DUMMYFUNCTION("""COMPUTED_VALUE"""),1.0)</f>
        <v>1</v>
      </c>
      <c r="Q1194" s="4" t="str">
        <f>IFERROR(__xludf.DUMMYFUNCTION("""COMPUTED_VALUE"""),"Opdv")</f>
        <v>Opdv</v>
      </c>
      <c r="R1194" s="33">
        <f>IFERROR(__xludf.DUMMYFUNCTION("""COMPUTED_VALUE"""),1.0)</f>
        <v>1</v>
      </c>
      <c r="S1194" s="4" t="str">
        <f>IFERROR(__xludf.DUMMYFUNCTION("""COMPUTED_VALUE"""),"Opdv")</f>
        <v>Opdv</v>
      </c>
      <c r="T1194" s="33">
        <f>IFERROR(__xludf.DUMMYFUNCTION("""COMPUTED_VALUE"""),0.5714285714285714)</f>
        <v>0.5714285714</v>
      </c>
      <c r="U1194" s="4" t="str">
        <f>IFERROR(__xludf.DUMMYFUNCTION("""COMPUTED_VALUE"""),"Saipos Serviços De Software")</f>
        <v>Saipos Serviços De Software</v>
      </c>
      <c r="V1194" s="33">
        <f>IFERROR(__xludf.DUMMYFUNCTION("""COMPUTED_VALUE"""),0.8571428571428571)</f>
        <v>0.8571428571</v>
      </c>
      <c r="W1194" s="4" t="str">
        <f>IFERROR(__xludf.DUMMYFUNCTION("""COMPUTED_VALUE"""),"Saipos Serviços De Software")</f>
        <v>Saipos Serviços De Software</v>
      </c>
      <c r="X1194" s="33">
        <f>IFERROR(__xludf.DUMMYFUNCTION("""COMPUTED_VALUE"""),0.7142857142857143)</f>
        <v>0.7142857143</v>
      </c>
    </row>
    <row r="1195">
      <c r="K1195" s="4" t="str">
        <f>IFERROR(__xludf.DUMMYFUNCTION("""COMPUTED_VALUE"""),"POKE LUAU")</f>
        <v>POKE LUAU</v>
      </c>
      <c r="L1195" s="32">
        <f>IFERROR(__xludf.DUMMYFUNCTION("""COMPUTED_VALUE"""),7.0)</f>
        <v>7</v>
      </c>
      <c r="M1195" s="4" t="str">
        <f>IFERROR(__xludf.DUMMYFUNCTION("""COMPUTED_VALUE"""),"Saipos Serviços De Software")</f>
        <v>Saipos Serviços De Software</v>
      </c>
      <c r="N1195" s="33">
        <f>IFERROR(__xludf.DUMMYFUNCTION("""COMPUTED_VALUE"""),0.7142857142857143)</f>
        <v>0.7142857143</v>
      </c>
      <c r="O1195" s="4" t="str">
        <f>IFERROR(__xludf.DUMMYFUNCTION("""COMPUTED_VALUE"""),"Saipos Serviços De Software")</f>
        <v>Saipos Serviços De Software</v>
      </c>
      <c r="P1195" s="33">
        <f>IFERROR(__xludf.DUMMYFUNCTION("""COMPUTED_VALUE"""),0.5714285714285714)</f>
        <v>0.5714285714</v>
      </c>
      <c r="Q1195" s="4" t="str">
        <f>IFERROR(__xludf.DUMMYFUNCTION("""COMPUTED_VALUE"""),"Saipos Serviços De Software")</f>
        <v>Saipos Serviços De Software</v>
      </c>
      <c r="R1195" s="33">
        <f>IFERROR(__xludf.DUMMYFUNCTION("""COMPUTED_VALUE"""),0.5714285714285714)</f>
        <v>0.5714285714</v>
      </c>
      <c r="S1195" s="4" t="str">
        <f>IFERROR(__xludf.DUMMYFUNCTION("""COMPUTED_VALUE"""),"Saipos Serviços De Software")</f>
        <v>Saipos Serviços De Software</v>
      </c>
      <c r="T1195" s="33">
        <f>IFERROR(__xludf.DUMMYFUNCTION("""COMPUTED_VALUE"""),0.5714285714285714)</f>
        <v>0.5714285714</v>
      </c>
      <c r="U1195" s="4" t="str">
        <f>IFERROR(__xludf.DUMMYFUNCTION("""COMPUTED_VALUE"""),"Saipos Serviços De Software")</f>
        <v>Saipos Serviços De Software</v>
      </c>
      <c r="V1195" s="33">
        <f>IFERROR(__xludf.DUMMYFUNCTION("""COMPUTED_VALUE"""),0.7142857142857143)</f>
        <v>0.7142857143</v>
      </c>
      <c r="W1195" s="4" t="str">
        <f>IFERROR(__xludf.DUMMYFUNCTION("""COMPUTED_VALUE"""),"Saipos Serviços De Software")</f>
        <v>Saipos Serviços De Software</v>
      </c>
      <c r="X1195" s="33">
        <f>IFERROR(__xludf.DUMMYFUNCTION("""COMPUTED_VALUE"""),0.7142857142857143)</f>
        <v>0.7142857143</v>
      </c>
    </row>
    <row r="1196">
      <c r="K1196" s="4" t="str">
        <f>IFERROR(__xludf.DUMMYFUNCTION("""COMPUTED_VALUE"""),"PORTELA BOLOS E DOCES")</f>
        <v>PORTELA BOLOS E DOCES</v>
      </c>
      <c r="L1196" s="32">
        <f>IFERROR(__xludf.DUMMYFUNCTION("""COMPUTED_VALUE"""),7.0)</f>
        <v>7</v>
      </c>
      <c r="M1196" s="4" t="str">
        <f>IFERROR(__xludf.DUMMYFUNCTION("""COMPUTED_VALUE"""),"Eclética Tecnologia")</f>
        <v>Eclética Tecnologia</v>
      </c>
      <c r="N1196" s="33">
        <f>IFERROR(__xludf.DUMMYFUNCTION("""COMPUTED_VALUE"""),1.0)</f>
        <v>1</v>
      </c>
      <c r="O1196" s="4" t="str">
        <f>IFERROR(__xludf.DUMMYFUNCTION("""COMPUTED_VALUE"""),"Eclética Tecnologia")</f>
        <v>Eclética Tecnologia</v>
      </c>
      <c r="P1196" s="33">
        <f>IFERROR(__xludf.DUMMYFUNCTION("""COMPUTED_VALUE"""),0.8571428571428571)</f>
        <v>0.8571428571</v>
      </c>
      <c r="Q1196" s="4" t="str">
        <f>IFERROR(__xludf.DUMMYFUNCTION("""COMPUTED_VALUE"""),"Eclética Tecnologia")</f>
        <v>Eclética Tecnologia</v>
      </c>
      <c r="R1196" s="33">
        <f>IFERROR(__xludf.DUMMYFUNCTION("""COMPUTED_VALUE"""),0.8571428571428571)</f>
        <v>0.8571428571</v>
      </c>
      <c r="S1196" s="4" t="str">
        <f>IFERROR(__xludf.DUMMYFUNCTION("""COMPUTED_VALUE"""),"Eclética Tecnologia")</f>
        <v>Eclética Tecnologia</v>
      </c>
      <c r="T1196" s="33">
        <f>IFERROR(__xludf.DUMMYFUNCTION("""COMPUTED_VALUE"""),0.8571428571428571)</f>
        <v>0.8571428571</v>
      </c>
      <c r="U1196" s="4" t="str">
        <f>IFERROR(__xludf.DUMMYFUNCTION("""COMPUTED_VALUE"""),"Eclética Tecnologia")</f>
        <v>Eclética Tecnologia</v>
      </c>
      <c r="V1196" s="33">
        <f>IFERROR(__xludf.DUMMYFUNCTION("""COMPUTED_VALUE"""),0.7142857142857143)</f>
        <v>0.7142857143</v>
      </c>
      <c r="W1196" s="4" t="str">
        <f>IFERROR(__xludf.DUMMYFUNCTION("""COMPUTED_VALUE"""),"Eclética Tecnologia")</f>
        <v>Eclética Tecnologia</v>
      </c>
      <c r="X1196" s="33">
        <f>IFERROR(__xludf.DUMMYFUNCTION("""COMPUTED_VALUE"""),0.7142857142857143)</f>
        <v>0.7142857143</v>
      </c>
    </row>
    <row r="1197">
      <c r="K1197" s="4" t="str">
        <f>IFERROR(__xludf.DUMMYFUNCTION("""COMPUTED_VALUE"""),"PRIME HAMBURGUERIA")</f>
        <v>PRIME HAMBURGUERIA</v>
      </c>
      <c r="L1197" s="32">
        <f>IFERROR(__xludf.DUMMYFUNCTION("""COMPUTED_VALUE"""),7.0)</f>
        <v>7</v>
      </c>
      <c r="M1197" s="4" t="str">
        <f>IFERROR(__xludf.DUMMYFUNCTION("""COMPUTED_VALUE"""),"Yooga")</f>
        <v>Yooga</v>
      </c>
      <c r="N1197" s="33">
        <f>IFERROR(__xludf.DUMMYFUNCTION("""COMPUTED_VALUE"""),1.0)</f>
        <v>1</v>
      </c>
      <c r="O1197" s="4" t="str">
        <f>IFERROR(__xludf.DUMMYFUNCTION("""COMPUTED_VALUE"""),"Yooga")</f>
        <v>Yooga</v>
      </c>
      <c r="P1197" s="33">
        <f>IFERROR(__xludf.DUMMYFUNCTION("""COMPUTED_VALUE"""),1.0)</f>
        <v>1</v>
      </c>
      <c r="Q1197" s="4" t="str">
        <f>IFERROR(__xludf.DUMMYFUNCTION("""COMPUTED_VALUE"""),"Yooga")</f>
        <v>Yooga</v>
      </c>
      <c r="R1197" s="33">
        <f>IFERROR(__xludf.DUMMYFUNCTION("""COMPUTED_VALUE"""),1.0)</f>
        <v>1</v>
      </c>
      <c r="S1197" s="4" t="str">
        <f>IFERROR(__xludf.DUMMYFUNCTION("""COMPUTED_VALUE"""),"Yooga")</f>
        <v>Yooga</v>
      </c>
      <c r="T1197" s="33">
        <f>IFERROR(__xludf.DUMMYFUNCTION("""COMPUTED_VALUE"""),1.0)</f>
        <v>1</v>
      </c>
      <c r="U1197" s="4" t="str">
        <f>IFERROR(__xludf.DUMMYFUNCTION("""COMPUTED_VALUE"""),"Yooga")</f>
        <v>Yooga</v>
      </c>
      <c r="V1197" s="33">
        <f>IFERROR(__xludf.DUMMYFUNCTION("""COMPUTED_VALUE"""),1.0)</f>
        <v>1</v>
      </c>
      <c r="W1197" s="4" t="str">
        <f>IFERROR(__xludf.DUMMYFUNCTION("""COMPUTED_VALUE"""),"Yooga")</f>
        <v>Yooga</v>
      </c>
      <c r="X1197" s="33">
        <f>IFERROR(__xludf.DUMMYFUNCTION("""COMPUTED_VALUE"""),1.0)</f>
        <v>1</v>
      </c>
    </row>
    <row r="1198">
      <c r="K1198" s="4" t="str">
        <f>IFERROR(__xludf.DUMMYFUNCTION("""COMPUTED_VALUE"""),"QUINTAL DA PIZZA - CONTA PAI")</f>
        <v>QUINTAL DA PIZZA - CONTA PAI</v>
      </c>
      <c r="L1198" s="32">
        <f>IFERROR(__xludf.DUMMYFUNCTION("""COMPUTED_VALUE"""),7.0)</f>
        <v>7</v>
      </c>
      <c r="M1198" s="4" t="str">
        <f>IFERROR(__xludf.DUMMYFUNCTION("""COMPUTED_VALUE"""),"Saipos Serviços De Software")</f>
        <v>Saipos Serviços De Software</v>
      </c>
      <c r="N1198" s="33">
        <f>IFERROR(__xludf.DUMMYFUNCTION("""COMPUTED_VALUE"""),0.8571428571428571)</f>
        <v>0.8571428571</v>
      </c>
      <c r="O1198" s="4" t="str">
        <f>IFERROR(__xludf.DUMMYFUNCTION("""COMPUTED_VALUE"""),"Saipos Serviços De Software")</f>
        <v>Saipos Serviços De Software</v>
      </c>
      <c r="P1198" s="33">
        <f>IFERROR(__xludf.DUMMYFUNCTION("""COMPUTED_VALUE"""),0.8571428571428571)</f>
        <v>0.8571428571</v>
      </c>
      <c r="Q1198" s="4" t="str">
        <f>IFERROR(__xludf.DUMMYFUNCTION("""COMPUTED_VALUE"""),"Saipos Serviços De Software")</f>
        <v>Saipos Serviços De Software</v>
      </c>
      <c r="R1198" s="33">
        <f>IFERROR(__xludf.DUMMYFUNCTION("""COMPUTED_VALUE"""),0.8571428571428571)</f>
        <v>0.8571428571</v>
      </c>
      <c r="S1198" s="4" t="str">
        <f>IFERROR(__xludf.DUMMYFUNCTION("""COMPUTED_VALUE"""),"Saipos Serviços De Software")</f>
        <v>Saipos Serviços De Software</v>
      </c>
      <c r="T1198" s="33">
        <f>IFERROR(__xludf.DUMMYFUNCTION("""COMPUTED_VALUE"""),1.0)</f>
        <v>1</v>
      </c>
      <c r="U1198" s="4" t="str">
        <f>IFERROR(__xludf.DUMMYFUNCTION("""COMPUTED_VALUE"""),"Saipos Serviços De Software")</f>
        <v>Saipos Serviços De Software</v>
      </c>
      <c r="V1198" s="33">
        <f>IFERROR(__xludf.DUMMYFUNCTION("""COMPUTED_VALUE"""),1.0)</f>
        <v>1</v>
      </c>
      <c r="W1198" s="4" t="str">
        <f>IFERROR(__xludf.DUMMYFUNCTION("""COMPUTED_VALUE"""),"Saipos Serviços De Software")</f>
        <v>Saipos Serviços De Software</v>
      </c>
      <c r="X1198" s="33">
        <f>IFERROR(__xludf.DUMMYFUNCTION("""COMPUTED_VALUE"""),1.0)</f>
        <v>1</v>
      </c>
    </row>
    <row r="1199">
      <c r="K1199" s="4" t="str">
        <f>IFERROR(__xludf.DUMMYFUNCTION("""COMPUTED_VALUE"""),"RACOES RENATA - MARCA")</f>
        <v>RACOES RENATA - MARCA</v>
      </c>
      <c r="L1199" s="32">
        <f>IFERROR(__xludf.DUMMYFUNCTION("""COMPUTED_VALUE"""),7.0)</f>
        <v>7</v>
      </c>
      <c r="M1199" s="4" t="str">
        <f>IFERROR(__xludf.DUMMYFUNCTION("""COMPUTED_VALUE"""),"N/A (Not found)")</f>
        <v>N/A (Not found)</v>
      </c>
      <c r="N1199" s="33">
        <f>IFERROR(__xludf.DUMMYFUNCTION("""COMPUTED_VALUE"""),1.0)</f>
        <v>1</v>
      </c>
      <c r="O1199" s="4" t="str">
        <f>IFERROR(__xludf.DUMMYFUNCTION("""COMPUTED_VALUE"""),"N/A (Not found)")</f>
        <v>N/A (Not found)</v>
      </c>
      <c r="P1199" s="33">
        <f>IFERROR(__xludf.DUMMYFUNCTION("""COMPUTED_VALUE"""),1.0)</f>
        <v>1</v>
      </c>
      <c r="Q1199" s="4" t="str">
        <f>IFERROR(__xludf.DUMMYFUNCTION("""COMPUTED_VALUE"""),"N/A (Not found)")</f>
        <v>N/A (Not found)</v>
      </c>
      <c r="R1199" s="33">
        <f>IFERROR(__xludf.DUMMYFUNCTION("""COMPUTED_VALUE"""),1.0)</f>
        <v>1</v>
      </c>
      <c r="S1199" s="4" t="str">
        <f>IFERROR(__xludf.DUMMYFUNCTION("""COMPUTED_VALUE"""),"N/A (Not found)")</f>
        <v>N/A (Not found)</v>
      </c>
      <c r="T1199" s="33">
        <f>IFERROR(__xludf.DUMMYFUNCTION("""COMPUTED_VALUE"""),1.0)</f>
        <v>1</v>
      </c>
      <c r="U1199" s="4" t="str">
        <f>IFERROR(__xludf.DUMMYFUNCTION("""COMPUTED_VALUE"""),"N/A (Not found)")</f>
        <v>N/A (Not found)</v>
      </c>
      <c r="V1199" s="33">
        <f>IFERROR(__xludf.DUMMYFUNCTION("""COMPUTED_VALUE"""),0.8571428571428571)</f>
        <v>0.8571428571</v>
      </c>
      <c r="W1199" s="4" t="str">
        <f>IFERROR(__xludf.DUMMYFUNCTION("""COMPUTED_VALUE"""),"N/A (Not found)")</f>
        <v>N/A (Not found)</v>
      </c>
      <c r="X1199" s="33">
        <f>IFERROR(__xludf.DUMMYFUNCTION("""COMPUTED_VALUE"""),0.8571428571428571)</f>
        <v>0.8571428571</v>
      </c>
    </row>
    <row r="1200">
      <c r="K1200" s="4" t="str">
        <f>IFERROR(__xludf.DUMMYFUNCTION("""COMPUTED_VALUE"""),"REDE FARMA FARMACIA - CONTA PAI")</f>
        <v>REDE FARMA FARMACIA - CONTA PAI</v>
      </c>
      <c r="L1200" s="32">
        <f>IFERROR(__xludf.DUMMYFUNCTION("""COMPUTED_VALUE"""),7.0)</f>
        <v>7</v>
      </c>
      <c r="M1200" s="4" t="str">
        <f>IFERROR(__xludf.DUMMYFUNCTION("""COMPUTED_VALUE"""),"N/A (Not found)")</f>
        <v>N/A (Not found)</v>
      </c>
      <c r="N1200" s="33">
        <f>IFERROR(__xludf.DUMMYFUNCTION("""COMPUTED_VALUE"""),1.0)</f>
        <v>1</v>
      </c>
      <c r="O1200" s="4" t="str">
        <f>IFERROR(__xludf.DUMMYFUNCTION("""COMPUTED_VALUE"""),"N/A (Not found)")</f>
        <v>N/A (Not found)</v>
      </c>
      <c r="P1200" s="33">
        <f>IFERROR(__xludf.DUMMYFUNCTION("""COMPUTED_VALUE"""),1.0)</f>
        <v>1</v>
      </c>
      <c r="Q1200" s="4" t="str">
        <f>IFERROR(__xludf.DUMMYFUNCTION("""COMPUTED_VALUE"""),"N/A (Not found)")</f>
        <v>N/A (Not found)</v>
      </c>
      <c r="R1200" s="33">
        <f>IFERROR(__xludf.DUMMYFUNCTION("""COMPUTED_VALUE"""),1.0)</f>
        <v>1</v>
      </c>
      <c r="S1200" s="4" t="str">
        <f>IFERROR(__xludf.DUMMYFUNCTION("""COMPUTED_VALUE"""),"N/A (Not found)")</f>
        <v>N/A (Not found)</v>
      </c>
      <c r="T1200" s="33">
        <f>IFERROR(__xludf.DUMMYFUNCTION("""COMPUTED_VALUE"""),1.0)</f>
        <v>1</v>
      </c>
      <c r="U1200" s="4" t="str">
        <f>IFERROR(__xludf.DUMMYFUNCTION("""COMPUTED_VALUE"""),"N/A (Not found)")</f>
        <v>N/A (Not found)</v>
      </c>
      <c r="V1200" s="33">
        <f>IFERROR(__xludf.DUMMYFUNCTION("""COMPUTED_VALUE"""),1.0)</f>
        <v>1</v>
      </c>
      <c r="W1200" s="4" t="str">
        <f>IFERROR(__xludf.DUMMYFUNCTION("""COMPUTED_VALUE"""),"N/A (Not found)")</f>
        <v>N/A (Not found)</v>
      </c>
      <c r="X1200" s="33">
        <f>IFERROR(__xludf.DUMMYFUNCTION("""COMPUTED_VALUE"""),1.0)</f>
        <v>1</v>
      </c>
    </row>
    <row r="1201">
      <c r="K1201" s="4" t="str">
        <f>IFERROR(__xludf.DUMMYFUNCTION("""COMPUTED_VALUE"""),"RICHESSE")</f>
        <v>RICHESSE</v>
      </c>
      <c r="L1201" s="32">
        <f>IFERROR(__xludf.DUMMYFUNCTION("""COMPUTED_VALUE"""),7.0)</f>
        <v>7</v>
      </c>
      <c r="M1201" s="4" t="str">
        <f>IFERROR(__xludf.DUMMYFUNCTION("""COMPUTED_VALUE"""),"Totvs Large Enterprise Tecnologia S.a.")</f>
        <v>Totvs Large Enterprise Tecnologia S.a.</v>
      </c>
      <c r="N1201" s="33">
        <f>IFERROR(__xludf.DUMMYFUNCTION("""COMPUTED_VALUE"""),1.0)</f>
        <v>1</v>
      </c>
      <c r="O1201" s="4" t="str">
        <f>IFERROR(__xludf.DUMMYFUNCTION("""COMPUTED_VALUE"""),"null")</f>
        <v>null</v>
      </c>
      <c r="P1201" s="33">
        <f>IFERROR(__xludf.DUMMYFUNCTION("""COMPUTED_VALUE"""),0.5714285714285714)</f>
        <v>0.5714285714</v>
      </c>
      <c r="Q1201" s="4" t="str">
        <f>IFERROR(__xludf.DUMMYFUNCTION("""COMPUTED_VALUE"""),"null")</f>
        <v>null</v>
      </c>
      <c r="R1201" s="33">
        <f>IFERROR(__xludf.DUMMYFUNCTION("""COMPUTED_VALUE"""),0.5714285714285714)</f>
        <v>0.5714285714</v>
      </c>
      <c r="S1201" s="4" t="str">
        <f>IFERROR(__xludf.DUMMYFUNCTION("""COMPUTED_VALUE"""),"null")</f>
        <v>null</v>
      </c>
      <c r="T1201" s="33">
        <f>IFERROR(__xludf.DUMMYFUNCTION("""COMPUTED_VALUE"""),0.5714285714285714)</f>
        <v>0.5714285714</v>
      </c>
      <c r="U1201" s="4" t="str">
        <f>IFERROR(__xludf.DUMMYFUNCTION("""COMPUTED_VALUE"""),"null")</f>
        <v>null</v>
      </c>
      <c r="V1201" s="33">
        <f>IFERROR(__xludf.DUMMYFUNCTION("""COMPUTED_VALUE"""),0.5714285714285714)</f>
        <v>0.5714285714</v>
      </c>
      <c r="W1201" s="4" t="str">
        <f>IFERROR(__xludf.DUMMYFUNCTION("""COMPUTED_VALUE"""),"null")</f>
        <v>null</v>
      </c>
      <c r="X1201" s="33">
        <f>IFERROR(__xludf.DUMMYFUNCTION("""COMPUTED_VALUE"""),0.7142857142857143)</f>
        <v>0.7142857143</v>
      </c>
    </row>
    <row r="1202">
      <c r="K1202" s="4" t="str">
        <f>IFERROR(__xludf.DUMMYFUNCTION("""COMPUTED_VALUE"""),"SANTA ARENA REST E PIZZARIA")</f>
        <v>SANTA ARENA REST E PIZZARIA</v>
      </c>
      <c r="L1202" s="32">
        <f>IFERROR(__xludf.DUMMYFUNCTION("""COMPUTED_VALUE"""),7.0)</f>
        <v>7</v>
      </c>
      <c r="M1202" s="4" t="str">
        <f>IFERROR(__xludf.DUMMYFUNCTION("""COMPUTED_VALUE"""),"null")</f>
        <v>null</v>
      </c>
      <c r="N1202" s="33">
        <f>IFERROR(__xludf.DUMMYFUNCTION("""COMPUTED_VALUE"""),1.0)</f>
        <v>1</v>
      </c>
      <c r="O1202" s="4" t="str">
        <f>IFERROR(__xludf.DUMMYFUNCTION("""COMPUTED_VALUE"""),"Saipos Serviços De Software")</f>
        <v>Saipos Serviços De Software</v>
      </c>
      <c r="P1202" s="33">
        <f>IFERROR(__xludf.DUMMYFUNCTION("""COMPUTED_VALUE"""),1.0)</f>
        <v>1</v>
      </c>
      <c r="Q1202" s="4" t="str">
        <f>IFERROR(__xludf.DUMMYFUNCTION("""COMPUTED_VALUE"""),"Saipos Serviços De Software")</f>
        <v>Saipos Serviços De Software</v>
      </c>
      <c r="R1202" s="33">
        <f>IFERROR(__xludf.DUMMYFUNCTION("""COMPUTED_VALUE"""),1.0)</f>
        <v>1</v>
      </c>
      <c r="S1202" s="4" t="str">
        <f>IFERROR(__xludf.DUMMYFUNCTION("""COMPUTED_VALUE"""),"Saipos Serviços De Software")</f>
        <v>Saipos Serviços De Software</v>
      </c>
      <c r="T1202" s="33">
        <f>IFERROR(__xludf.DUMMYFUNCTION("""COMPUTED_VALUE"""),1.0)</f>
        <v>1</v>
      </c>
      <c r="U1202" s="4" t="str">
        <f>IFERROR(__xludf.DUMMYFUNCTION("""COMPUTED_VALUE"""),"Saipos Serviços De Software")</f>
        <v>Saipos Serviços De Software</v>
      </c>
      <c r="V1202" s="33">
        <f>IFERROR(__xludf.DUMMYFUNCTION("""COMPUTED_VALUE"""),1.0)</f>
        <v>1</v>
      </c>
      <c r="W1202" s="4" t="str">
        <f>IFERROR(__xludf.DUMMYFUNCTION("""COMPUTED_VALUE"""),"Saipos Serviços De Software")</f>
        <v>Saipos Serviços De Software</v>
      </c>
      <c r="X1202" s="33">
        <f>IFERROR(__xludf.DUMMYFUNCTION("""COMPUTED_VALUE"""),1.0)</f>
        <v>1</v>
      </c>
    </row>
    <row r="1203">
      <c r="K1203" s="4" t="str">
        <f>IFERROR(__xludf.DUMMYFUNCTION("""COMPUTED_VALUE"""),"SANTA PASTELARIA CONTA MARCA")</f>
        <v>SANTA PASTELARIA CONTA MARCA</v>
      </c>
      <c r="L1203" s="32">
        <f>IFERROR(__xludf.DUMMYFUNCTION("""COMPUTED_VALUE"""),7.0)</f>
        <v>7</v>
      </c>
      <c r="M1203" s="4" t="str">
        <f>IFERROR(__xludf.DUMMYFUNCTION("""COMPUTED_VALUE"""),"Consumer Soluções Em Tecnologia Ltda")</f>
        <v>Consumer Soluções Em Tecnologia Ltda</v>
      </c>
      <c r="N1203" s="33">
        <f>IFERROR(__xludf.DUMMYFUNCTION("""COMPUTED_VALUE"""),0.7142857142857143)</f>
        <v>0.7142857143</v>
      </c>
      <c r="O1203" s="4" t="str">
        <f>IFERROR(__xludf.DUMMYFUNCTION("""COMPUTED_VALUE"""),"null")</f>
        <v>null</v>
      </c>
      <c r="P1203" s="33">
        <f>IFERROR(__xludf.DUMMYFUNCTION("""COMPUTED_VALUE"""),0.5714285714285714)</f>
        <v>0.5714285714</v>
      </c>
      <c r="Q1203" s="4" t="str">
        <f>IFERROR(__xludf.DUMMYFUNCTION("""COMPUTED_VALUE"""),"Consumer Soluções Em Tecnologia Ltda")</f>
        <v>Consumer Soluções Em Tecnologia Ltda</v>
      </c>
      <c r="R1203" s="33">
        <f>IFERROR(__xludf.DUMMYFUNCTION("""COMPUTED_VALUE"""),0.5714285714285714)</f>
        <v>0.5714285714</v>
      </c>
      <c r="S1203" s="4" t="str">
        <f>IFERROR(__xludf.DUMMYFUNCTION("""COMPUTED_VALUE"""),"Consumer Soluções Em Tecnologia Ltda")</f>
        <v>Consumer Soluções Em Tecnologia Ltda</v>
      </c>
      <c r="T1203" s="33">
        <f>IFERROR(__xludf.DUMMYFUNCTION("""COMPUTED_VALUE"""),0.5714285714285714)</f>
        <v>0.5714285714</v>
      </c>
      <c r="U1203" s="4" t="str">
        <f>IFERROR(__xludf.DUMMYFUNCTION("""COMPUTED_VALUE"""),"Consumer Soluções Em Tecnologia Ltda")</f>
        <v>Consumer Soluções Em Tecnologia Ltda</v>
      </c>
      <c r="V1203" s="33">
        <f>IFERROR(__xludf.DUMMYFUNCTION("""COMPUTED_VALUE"""),0.5714285714285714)</f>
        <v>0.5714285714</v>
      </c>
      <c r="W1203" s="4" t="str">
        <f>IFERROR(__xludf.DUMMYFUNCTION("""COMPUTED_VALUE"""),"null")</f>
        <v>null</v>
      </c>
      <c r="X1203" s="33">
        <f>IFERROR(__xludf.DUMMYFUNCTION("""COMPUTED_VALUE"""),0.42857142857142855)</f>
        <v>0.4285714286</v>
      </c>
    </row>
    <row r="1204">
      <c r="K1204" s="4" t="str">
        <f>IFERROR(__xludf.DUMMYFUNCTION("""COMPUTED_VALUE"""),"SHOW DE SABOR - COMIDA CASEIRA")</f>
        <v>SHOW DE SABOR - COMIDA CASEIRA</v>
      </c>
      <c r="L1204" s="32">
        <f>IFERROR(__xludf.DUMMYFUNCTION("""COMPUTED_VALUE"""),7.0)</f>
        <v>7</v>
      </c>
      <c r="M1204" s="4" t="str">
        <f>IFERROR(__xludf.DUMMYFUNCTION("""COMPUTED_VALUE"""),"Saipos Serviços De Software")</f>
        <v>Saipos Serviços De Software</v>
      </c>
      <c r="N1204" s="33">
        <f>IFERROR(__xludf.DUMMYFUNCTION("""COMPUTED_VALUE"""),1.0)</f>
        <v>1</v>
      </c>
      <c r="O1204" s="4" t="str">
        <f>IFERROR(__xludf.DUMMYFUNCTION("""COMPUTED_VALUE"""),"Saipos Serviços De Software")</f>
        <v>Saipos Serviços De Software</v>
      </c>
      <c r="P1204" s="33">
        <f>IFERROR(__xludf.DUMMYFUNCTION("""COMPUTED_VALUE"""),1.0)</f>
        <v>1</v>
      </c>
      <c r="Q1204" s="4" t="str">
        <f>IFERROR(__xludf.DUMMYFUNCTION("""COMPUTED_VALUE"""),"Saipos Serviços De Software")</f>
        <v>Saipos Serviços De Software</v>
      </c>
      <c r="R1204" s="33">
        <f>IFERROR(__xludf.DUMMYFUNCTION("""COMPUTED_VALUE"""),1.0)</f>
        <v>1</v>
      </c>
      <c r="S1204" s="4" t="str">
        <f>IFERROR(__xludf.DUMMYFUNCTION("""COMPUTED_VALUE"""),"Saipos Serviços De Software")</f>
        <v>Saipos Serviços De Software</v>
      </c>
      <c r="T1204" s="33">
        <f>IFERROR(__xludf.DUMMYFUNCTION("""COMPUTED_VALUE"""),1.0)</f>
        <v>1</v>
      </c>
      <c r="U1204" s="4" t="str">
        <f>IFERROR(__xludf.DUMMYFUNCTION("""COMPUTED_VALUE"""),"Saipos Serviços De Software")</f>
        <v>Saipos Serviços De Software</v>
      </c>
      <c r="V1204" s="33">
        <f>IFERROR(__xludf.DUMMYFUNCTION("""COMPUTED_VALUE"""),1.0)</f>
        <v>1</v>
      </c>
      <c r="W1204" s="4" t="str">
        <f>IFERROR(__xludf.DUMMYFUNCTION("""COMPUTED_VALUE"""),"Saipos Serviços De Software")</f>
        <v>Saipos Serviços De Software</v>
      </c>
      <c r="X1204" s="33">
        <f>IFERROR(__xludf.DUMMYFUNCTION("""COMPUTED_VALUE"""),1.0)</f>
        <v>1</v>
      </c>
    </row>
    <row r="1205">
      <c r="K1205" s="4" t="str">
        <f>IFERROR(__xludf.DUMMYFUNCTION("""COMPUTED_VALUE"""),"SINGULAR FOODS - CONTA MARCA")</f>
        <v>SINGULAR FOODS - CONTA MARCA</v>
      </c>
      <c r="L1205" s="32">
        <f>IFERROR(__xludf.DUMMYFUNCTION("""COMPUTED_VALUE"""),7.0)</f>
        <v>7</v>
      </c>
      <c r="M1205" s="4" t="str">
        <f>IFERROR(__xludf.DUMMYFUNCTION("""COMPUTED_VALUE"""),"Menew - Linx")</f>
        <v>Menew - Linx</v>
      </c>
      <c r="N1205" s="33">
        <f>IFERROR(__xludf.DUMMYFUNCTION("""COMPUTED_VALUE"""),0.5714285714285714)</f>
        <v>0.5714285714</v>
      </c>
      <c r="O1205" s="4" t="str">
        <f>IFERROR(__xludf.DUMMYFUNCTION("""COMPUTED_VALUE"""),"Menew - Linx")</f>
        <v>Menew - Linx</v>
      </c>
      <c r="P1205" s="33">
        <f>IFERROR(__xludf.DUMMYFUNCTION("""COMPUTED_VALUE"""),1.0)</f>
        <v>1</v>
      </c>
      <c r="Q1205" s="4" t="str">
        <f>IFERROR(__xludf.DUMMYFUNCTION("""COMPUTED_VALUE"""),"Menew - Linx")</f>
        <v>Menew - Linx</v>
      </c>
      <c r="R1205" s="33">
        <f>IFERROR(__xludf.DUMMYFUNCTION("""COMPUTED_VALUE"""),0.8571428571428571)</f>
        <v>0.8571428571</v>
      </c>
      <c r="S1205" s="4" t="str">
        <f>IFERROR(__xludf.DUMMYFUNCTION("""COMPUTED_VALUE"""),"Menew - Linx")</f>
        <v>Menew - Linx</v>
      </c>
      <c r="T1205" s="33">
        <f>IFERROR(__xludf.DUMMYFUNCTION("""COMPUTED_VALUE"""),0.7142857142857143)</f>
        <v>0.7142857143</v>
      </c>
      <c r="U1205" s="4" t="str">
        <f>IFERROR(__xludf.DUMMYFUNCTION("""COMPUTED_VALUE"""),"Menew - Linx")</f>
        <v>Menew - Linx</v>
      </c>
      <c r="V1205" s="33">
        <f>IFERROR(__xludf.DUMMYFUNCTION("""COMPUTED_VALUE"""),0.7142857142857143)</f>
        <v>0.7142857143</v>
      </c>
      <c r="W1205" s="4" t="str">
        <f>IFERROR(__xludf.DUMMYFUNCTION("""COMPUTED_VALUE"""),"Menew - Linx")</f>
        <v>Menew - Linx</v>
      </c>
      <c r="X1205" s="33">
        <f>IFERROR(__xludf.DUMMYFUNCTION("""COMPUTED_VALUE"""),0.7142857142857143)</f>
        <v>0.7142857143</v>
      </c>
    </row>
    <row r="1206">
      <c r="K1206" s="4" t="str">
        <f>IFERROR(__xludf.DUMMYFUNCTION("""COMPUTED_VALUE"""),"SORVETERIA DOCE CASCAO - CONTA PAI")</f>
        <v>SORVETERIA DOCE CASCAO - CONTA PAI</v>
      </c>
      <c r="L1206" s="32">
        <f>IFERROR(__xludf.DUMMYFUNCTION("""COMPUTED_VALUE"""),7.0)</f>
        <v>7</v>
      </c>
      <c r="M1206" s="4" t="str">
        <f>IFERROR(__xludf.DUMMYFUNCTION("""COMPUTED_VALUE"""),"Rjk Sistemas Ltda Me")</f>
        <v>Rjk Sistemas Ltda Me</v>
      </c>
      <c r="N1206" s="33">
        <f>IFERROR(__xludf.DUMMYFUNCTION("""COMPUTED_VALUE"""),0.5714285714285714)</f>
        <v>0.5714285714</v>
      </c>
      <c r="O1206" s="4" t="str">
        <f>IFERROR(__xludf.DUMMYFUNCTION("""COMPUTED_VALUE"""),"Rjk Sistemas Ltda Me")</f>
        <v>Rjk Sistemas Ltda Me</v>
      </c>
      <c r="P1206" s="33">
        <f>IFERROR(__xludf.DUMMYFUNCTION("""COMPUTED_VALUE"""),0.5714285714285714)</f>
        <v>0.5714285714</v>
      </c>
      <c r="Q1206" s="4" t="str">
        <f>IFERROR(__xludf.DUMMYFUNCTION("""COMPUTED_VALUE"""),"Rjk Sistemas Ltda Me")</f>
        <v>Rjk Sistemas Ltda Me</v>
      </c>
      <c r="R1206" s="33">
        <f>IFERROR(__xludf.DUMMYFUNCTION("""COMPUTED_VALUE"""),0.5714285714285714)</f>
        <v>0.5714285714</v>
      </c>
      <c r="S1206" s="4" t="str">
        <f>IFERROR(__xludf.DUMMYFUNCTION("""COMPUTED_VALUE"""),"Rjk Sistemas Ltda Me")</f>
        <v>Rjk Sistemas Ltda Me</v>
      </c>
      <c r="T1206" s="33">
        <f>IFERROR(__xludf.DUMMYFUNCTION("""COMPUTED_VALUE"""),0.5714285714285714)</f>
        <v>0.5714285714</v>
      </c>
      <c r="U1206" s="4" t="str">
        <f>IFERROR(__xludf.DUMMYFUNCTION("""COMPUTED_VALUE"""),"Rjk Sistemas Ltda Me")</f>
        <v>Rjk Sistemas Ltda Me</v>
      </c>
      <c r="V1206" s="33">
        <f>IFERROR(__xludf.DUMMYFUNCTION("""COMPUTED_VALUE"""),0.5714285714285714)</f>
        <v>0.5714285714</v>
      </c>
      <c r="W1206" s="4" t="str">
        <f>IFERROR(__xludf.DUMMYFUNCTION("""COMPUTED_VALUE"""),"Rjk Sistemas Ltda Me")</f>
        <v>Rjk Sistemas Ltda Me</v>
      </c>
      <c r="X1206" s="33">
        <f>IFERROR(__xludf.DUMMYFUNCTION("""COMPUTED_VALUE"""),0.42857142857142855)</f>
        <v>0.4285714286</v>
      </c>
    </row>
    <row r="1207">
      <c r="K1207" s="4" t="str">
        <f>IFERROR(__xludf.DUMMYFUNCTION("""COMPUTED_VALUE"""),"SPETTARIA CIA")</f>
        <v>SPETTARIA CIA</v>
      </c>
      <c r="L1207" s="32">
        <f>IFERROR(__xludf.DUMMYFUNCTION("""COMPUTED_VALUE"""),7.0)</f>
        <v>7</v>
      </c>
      <c r="M1207" s="4" t="str">
        <f>IFERROR(__xludf.DUMMYFUNCTION("""COMPUTED_VALUE"""),"Yooga")</f>
        <v>Yooga</v>
      </c>
      <c r="N1207" s="33">
        <f>IFERROR(__xludf.DUMMYFUNCTION("""COMPUTED_VALUE"""),0.7142857142857143)</f>
        <v>0.7142857143</v>
      </c>
      <c r="O1207" s="4" t="str">
        <f>IFERROR(__xludf.DUMMYFUNCTION("""COMPUTED_VALUE"""),"Yooga")</f>
        <v>Yooga</v>
      </c>
      <c r="P1207" s="33">
        <f>IFERROR(__xludf.DUMMYFUNCTION("""COMPUTED_VALUE"""),0.7142857142857143)</f>
        <v>0.7142857143</v>
      </c>
      <c r="Q1207" s="4" t="str">
        <f>IFERROR(__xludf.DUMMYFUNCTION("""COMPUTED_VALUE"""),"Yooga")</f>
        <v>Yooga</v>
      </c>
      <c r="R1207" s="33">
        <f>IFERROR(__xludf.DUMMYFUNCTION("""COMPUTED_VALUE"""),1.0)</f>
        <v>1</v>
      </c>
      <c r="S1207" s="4" t="str">
        <f>IFERROR(__xludf.DUMMYFUNCTION("""COMPUTED_VALUE"""),"Yooga")</f>
        <v>Yooga</v>
      </c>
      <c r="T1207" s="33">
        <f>IFERROR(__xludf.DUMMYFUNCTION("""COMPUTED_VALUE"""),1.0)</f>
        <v>1</v>
      </c>
      <c r="U1207" s="4" t="str">
        <f>IFERROR(__xludf.DUMMYFUNCTION("""COMPUTED_VALUE"""),"Yooga")</f>
        <v>Yooga</v>
      </c>
      <c r="V1207" s="33">
        <f>IFERROR(__xludf.DUMMYFUNCTION("""COMPUTED_VALUE"""),1.0)</f>
        <v>1</v>
      </c>
      <c r="W1207" s="4" t="str">
        <f>IFERROR(__xludf.DUMMYFUNCTION("""COMPUTED_VALUE"""),"Yooga")</f>
        <v>Yooga</v>
      </c>
      <c r="X1207" s="33">
        <f>IFERROR(__xludf.DUMMYFUNCTION("""COMPUTED_VALUE"""),1.0)</f>
        <v>1</v>
      </c>
    </row>
    <row r="1208">
      <c r="K1208" s="4" t="str">
        <f>IFERROR(__xludf.DUMMYFUNCTION("""COMPUTED_VALUE"""),"SR FORNERIA")</f>
        <v>SR FORNERIA</v>
      </c>
      <c r="L1208" s="32">
        <f>IFERROR(__xludf.DUMMYFUNCTION("""COMPUTED_VALUE"""),7.0)</f>
        <v>7</v>
      </c>
      <c r="M1208" s="4" t="str">
        <f>IFERROR(__xludf.DUMMYFUNCTION("""COMPUTED_VALUE"""),"Food Plus")</f>
        <v>Food Plus</v>
      </c>
      <c r="N1208" s="33">
        <f>IFERROR(__xludf.DUMMYFUNCTION("""COMPUTED_VALUE"""),0.8571428571428571)</f>
        <v>0.8571428571</v>
      </c>
      <c r="O1208" s="4" t="str">
        <f>IFERROR(__xludf.DUMMYFUNCTION("""COMPUTED_VALUE"""),"Food Plus")</f>
        <v>Food Plus</v>
      </c>
      <c r="P1208" s="33">
        <f>IFERROR(__xludf.DUMMYFUNCTION("""COMPUTED_VALUE"""),0.8571428571428571)</f>
        <v>0.8571428571</v>
      </c>
      <c r="Q1208" s="4" t="str">
        <f>IFERROR(__xludf.DUMMYFUNCTION("""COMPUTED_VALUE"""),"Food Plus")</f>
        <v>Food Plus</v>
      </c>
      <c r="R1208" s="33">
        <f>IFERROR(__xludf.DUMMYFUNCTION("""COMPUTED_VALUE"""),0.7142857142857143)</f>
        <v>0.7142857143</v>
      </c>
      <c r="S1208" s="4" t="str">
        <f>IFERROR(__xludf.DUMMYFUNCTION("""COMPUTED_VALUE"""),"Food Plus")</f>
        <v>Food Plus</v>
      </c>
      <c r="T1208" s="33">
        <f>IFERROR(__xludf.DUMMYFUNCTION("""COMPUTED_VALUE"""),0.7142857142857143)</f>
        <v>0.7142857143</v>
      </c>
      <c r="U1208" s="4" t="str">
        <f>IFERROR(__xludf.DUMMYFUNCTION("""COMPUTED_VALUE"""),"Food Plus")</f>
        <v>Food Plus</v>
      </c>
      <c r="V1208" s="33">
        <f>IFERROR(__xludf.DUMMYFUNCTION("""COMPUTED_VALUE"""),0.7142857142857143)</f>
        <v>0.7142857143</v>
      </c>
      <c r="W1208" s="4" t="str">
        <f>IFERROR(__xludf.DUMMYFUNCTION("""COMPUTED_VALUE"""),"Food Plus")</f>
        <v>Food Plus</v>
      </c>
      <c r="X1208" s="33">
        <f>IFERROR(__xludf.DUMMYFUNCTION("""COMPUTED_VALUE"""),0.8571428571428571)</f>
        <v>0.8571428571</v>
      </c>
    </row>
    <row r="1209">
      <c r="K1209" s="4" t="str">
        <f>IFERROR(__xludf.DUMMYFUNCTION("""COMPUTED_VALUE"""),"SUPEMERCADO GUANABARA RS - CONTA GRUPO")</f>
        <v>SUPEMERCADO GUANABARA RS - CONTA GRUPO</v>
      </c>
      <c r="L1209" s="32">
        <f>IFERROR(__xludf.DUMMYFUNCTION("""COMPUTED_VALUE"""),7.0)</f>
        <v>7</v>
      </c>
      <c r="M1209" s="4" t="str">
        <f>IFERROR(__xludf.DUMMYFUNCTION("""COMPUTED_VALUE"""),"N/A (Not found)")</f>
        <v>N/A (Not found)</v>
      </c>
      <c r="N1209" s="33">
        <f>IFERROR(__xludf.DUMMYFUNCTION("""COMPUTED_VALUE"""),0.8571428571428571)</f>
        <v>0.8571428571</v>
      </c>
      <c r="O1209" s="4" t="str">
        <f>IFERROR(__xludf.DUMMYFUNCTION("""COMPUTED_VALUE"""),"N/A (Not found)")</f>
        <v>N/A (Not found)</v>
      </c>
      <c r="P1209" s="33">
        <f>IFERROR(__xludf.DUMMYFUNCTION("""COMPUTED_VALUE"""),0.8571428571428571)</f>
        <v>0.8571428571</v>
      </c>
      <c r="Q1209" s="4" t="str">
        <f>IFERROR(__xludf.DUMMYFUNCTION("""COMPUTED_VALUE"""),"N/A (Not found)")</f>
        <v>N/A (Not found)</v>
      </c>
      <c r="R1209" s="33">
        <f>IFERROR(__xludf.DUMMYFUNCTION("""COMPUTED_VALUE"""),1.0)</f>
        <v>1</v>
      </c>
      <c r="S1209" s="4" t="str">
        <f>IFERROR(__xludf.DUMMYFUNCTION("""COMPUTED_VALUE"""),"N/A (Not found)")</f>
        <v>N/A (Not found)</v>
      </c>
      <c r="T1209" s="33">
        <f>IFERROR(__xludf.DUMMYFUNCTION("""COMPUTED_VALUE"""),0.5714285714285714)</f>
        <v>0.5714285714</v>
      </c>
      <c r="U1209" s="4" t="str">
        <f>IFERROR(__xludf.DUMMYFUNCTION("""COMPUTED_VALUE"""),"N/A (Not found)")</f>
        <v>N/A (Not found)</v>
      </c>
      <c r="V1209" s="33">
        <f>IFERROR(__xludf.DUMMYFUNCTION("""COMPUTED_VALUE"""),1.0)</f>
        <v>1</v>
      </c>
      <c r="W1209" s="4" t="str">
        <f>IFERROR(__xludf.DUMMYFUNCTION("""COMPUTED_VALUE"""),"Osuper Sistemas Ltda")</f>
        <v>Osuper Sistemas Ltda</v>
      </c>
      <c r="X1209" s="33">
        <f>IFERROR(__xludf.DUMMYFUNCTION("""COMPUTED_VALUE"""),0.7142857142857143)</f>
        <v>0.7142857143</v>
      </c>
    </row>
    <row r="1210">
      <c r="K1210" s="4" t="str">
        <f>IFERROR(__xludf.DUMMYFUNCTION("""COMPUTED_VALUE"""),"SUPER COMPRAS - CONTA PAI")</f>
        <v>SUPER COMPRAS - CONTA PAI</v>
      </c>
      <c r="L1210" s="32">
        <f>IFERROR(__xludf.DUMMYFUNCTION("""COMPUTED_VALUE"""),7.0)</f>
        <v>7</v>
      </c>
      <c r="M1210" s="4" t="str">
        <f>IFERROR(__xludf.DUMMYFUNCTION("""COMPUTED_VALUE"""),"N/A (Not found)")</f>
        <v>N/A (Not found)</v>
      </c>
      <c r="N1210" s="33">
        <f>IFERROR(__xludf.DUMMYFUNCTION("""COMPUTED_VALUE"""),0.8571428571428571)</f>
        <v>0.8571428571</v>
      </c>
      <c r="O1210" s="4" t="str">
        <f>IFERROR(__xludf.DUMMYFUNCTION("""COMPUTED_VALUE"""),"N/A (Not found)")</f>
        <v>N/A (Not found)</v>
      </c>
      <c r="P1210" s="33">
        <f>IFERROR(__xludf.DUMMYFUNCTION("""COMPUTED_VALUE"""),0.8571428571428571)</f>
        <v>0.8571428571</v>
      </c>
      <c r="Q1210" s="4" t="str">
        <f>IFERROR(__xludf.DUMMYFUNCTION("""COMPUTED_VALUE"""),"N/A (Not found)")</f>
        <v>N/A (Not found)</v>
      </c>
      <c r="R1210" s="33">
        <f>IFERROR(__xludf.DUMMYFUNCTION("""COMPUTED_VALUE"""),0.7142857142857143)</f>
        <v>0.7142857143</v>
      </c>
      <c r="S1210" s="4" t="str">
        <f>IFERROR(__xludf.DUMMYFUNCTION("""COMPUTED_VALUE"""),"N/A (Not found)")</f>
        <v>N/A (Not found)</v>
      </c>
      <c r="T1210" s="33">
        <f>IFERROR(__xludf.DUMMYFUNCTION("""COMPUTED_VALUE"""),0.7142857142857143)</f>
        <v>0.7142857143</v>
      </c>
      <c r="U1210" s="4" t="str">
        <f>IFERROR(__xludf.DUMMYFUNCTION("""COMPUTED_VALUE"""),"N/A (Not found)")</f>
        <v>N/A (Not found)</v>
      </c>
      <c r="V1210" s="33">
        <f>IFERROR(__xludf.DUMMYFUNCTION("""COMPUTED_VALUE"""),0.7142857142857143)</f>
        <v>0.7142857143</v>
      </c>
      <c r="W1210" s="4" t="str">
        <f>IFERROR(__xludf.DUMMYFUNCTION("""COMPUTED_VALUE"""),"N/A (Not found)")</f>
        <v>N/A (Not found)</v>
      </c>
      <c r="X1210" s="33">
        <f>IFERROR(__xludf.DUMMYFUNCTION("""COMPUTED_VALUE"""),0.7142857142857143)</f>
        <v>0.7142857143</v>
      </c>
    </row>
    <row r="1211">
      <c r="K1211" s="4" t="str">
        <f>IFERROR(__xludf.DUMMYFUNCTION("""COMPUTED_VALUE"""),"SUPERMERCADO JACOMAR - CONTA PAI")</f>
        <v>SUPERMERCADO JACOMAR - CONTA PAI</v>
      </c>
      <c r="L1211" s="32">
        <f>IFERROR(__xludf.DUMMYFUNCTION("""COMPUTED_VALUE"""),7.0)</f>
        <v>7</v>
      </c>
      <c r="M1211" s="4" t="str">
        <f>IFERROR(__xludf.DUMMYFUNCTION("""COMPUTED_VALUE"""),"N/A (Not found)")</f>
        <v>N/A (Not found)</v>
      </c>
      <c r="N1211" s="33">
        <f>IFERROR(__xludf.DUMMYFUNCTION("""COMPUTED_VALUE"""),1.0)</f>
        <v>1</v>
      </c>
      <c r="O1211" s="4" t="str">
        <f>IFERROR(__xludf.DUMMYFUNCTION("""COMPUTED_VALUE"""),"N/A (Not found)")</f>
        <v>N/A (Not found)</v>
      </c>
      <c r="P1211" s="33">
        <f>IFERROR(__xludf.DUMMYFUNCTION("""COMPUTED_VALUE"""),1.0)</f>
        <v>1</v>
      </c>
      <c r="Q1211" s="4" t="str">
        <f>IFERROR(__xludf.DUMMYFUNCTION("""COMPUTED_VALUE"""),"N/A (Not found)")</f>
        <v>N/A (Not found)</v>
      </c>
      <c r="R1211" s="33">
        <f>IFERROR(__xludf.DUMMYFUNCTION("""COMPUTED_VALUE"""),1.0)</f>
        <v>1</v>
      </c>
      <c r="S1211" s="4" t="str">
        <f>IFERROR(__xludf.DUMMYFUNCTION("""COMPUTED_VALUE"""),"N/A (Not found)")</f>
        <v>N/A (Not found)</v>
      </c>
      <c r="T1211" s="33">
        <f>IFERROR(__xludf.DUMMYFUNCTION("""COMPUTED_VALUE"""),1.0)</f>
        <v>1</v>
      </c>
      <c r="U1211" s="4" t="str">
        <f>IFERROR(__xludf.DUMMYFUNCTION("""COMPUTED_VALUE"""),"N/A (Not found)")</f>
        <v>N/A (Not found)</v>
      </c>
      <c r="V1211" s="33">
        <f>IFERROR(__xludf.DUMMYFUNCTION("""COMPUTED_VALUE"""),1.0)</f>
        <v>1</v>
      </c>
      <c r="W1211" s="4" t="str">
        <f>IFERROR(__xludf.DUMMYFUNCTION("""COMPUTED_VALUE"""),"N/A (Not found)")</f>
        <v>N/A (Not found)</v>
      </c>
      <c r="X1211" s="33">
        <f>IFERROR(__xludf.DUMMYFUNCTION("""COMPUTED_VALUE"""),1.0)</f>
        <v>1</v>
      </c>
    </row>
    <row r="1212">
      <c r="K1212" s="4" t="str">
        <f>IFERROR(__xludf.DUMMYFUNCTION("""COMPUTED_VALUE"""),"SUPERMERCADO VIOLETA - CONTA GRUPO")</f>
        <v>SUPERMERCADO VIOLETA - CONTA GRUPO</v>
      </c>
      <c r="L1212" s="32">
        <f>IFERROR(__xludf.DUMMYFUNCTION("""COMPUTED_VALUE"""),7.0)</f>
        <v>7</v>
      </c>
      <c r="M1212" s="4" t="str">
        <f>IFERROR(__xludf.DUMMYFUNCTION("""COMPUTED_VALUE"""),"N/A (Not found)")</f>
        <v>N/A (Not found)</v>
      </c>
      <c r="N1212" s="33">
        <f>IFERROR(__xludf.DUMMYFUNCTION("""COMPUTED_VALUE"""),1.0)</f>
        <v>1</v>
      </c>
      <c r="O1212" s="4" t="str">
        <f>IFERROR(__xludf.DUMMYFUNCTION("""COMPUTED_VALUE"""),"N/A (Not found)")</f>
        <v>N/A (Not found)</v>
      </c>
      <c r="P1212" s="33">
        <f>IFERROR(__xludf.DUMMYFUNCTION("""COMPUTED_VALUE"""),1.0)</f>
        <v>1</v>
      </c>
      <c r="Q1212" s="4" t="str">
        <f>IFERROR(__xludf.DUMMYFUNCTION("""COMPUTED_VALUE"""),"N/A (Not found)")</f>
        <v>N/A (Not found)</v>
      </c>
      <c r="R1212" s="33">
        <f>IFERROR(__xludf.DUMMYFUNCTION("""COMPUTED_VALUE"""),1.0)</f>
        <v>1</v>
      </c>
      <c r="S1212" s="4" t="str">
        <f>IFERROR(__xludf.DUMMYFUNCTION("""COMPUTED_VALUE"""),"N/A (Not found)")</f>
        <v>N/A (Not found)</v>
      </c>
      <c r="T1212" s="33">
        <f>IFERROR(__xludf.DUMMYFUNCTION("""COMPUTED_VALUE"""),1.0)</f>
        <v>1</v>
      </c>
      <c r="U1212" s="4" t="str">
        <f>IFERROR(__xludf.DUMMYFUNCTION("""COMPUTED_VALUE"""),"N/A (Not found)")</f>
        <v>N/A (Not found)</v>
      </c>
      <c r="V1212" s="33">
        <f>IFERROR(__xludf.DUMMYFUNCTION("""COMPUTED_VALUE"""),1.0)</f>
        <v>1</v>
      </c>
      <c r="W1212" s="4" t="str">
        <f>IFERROR(__xludf.DUMMYFUNCTION("""COMPUTED_VALUE"""),"N/A (Not found)")</f>
        <v>N/A (Not found)</v>
      </c>
      <c r="X1212" s="33">
        <f>IFERROR(__xludf.DUMMYFUNCTION("""COMPUTED_VALUE"""),1.0)</f>
        <v>1</v>
      </c>
    </row>
    <row r="1213">
      <c r="K1213" s="4" t="str">
        <f>IFERROR(__xludf.DUMMYFUNCTION("""COMPUTED_VALUE"""),"T MAKI CLUB")</f>
        <v>T MAKI CLUB</v>
      </c>
      <c r="L1213" s="32">
        <f>IFERROR(__xludf.DUMMYFUNCTION("""COMPUTED_VALUE"""),7.0)</f>
        <v>7</v>
      </c>
      <c r="M1213" s="4" t="str">
        <f>IFERROR(__xludf.DUMMYFUNCTION("""COMPUTED_VALUE"""),"Jaxtech")</f>
        <v>Jaxtech</v>
      </c>
      <c r="N1213" s="33">
        <f>IFERROR(__xludf.DUMMYFUNCTION("""COMPUTED_VALUE"""),1.0)</f>
        <v>1</v>
      </c>
      <c r="O1213" s="4" t="str">
        <f>IFERROR(__xludf.DUMMYFUNCTION("""COMPUTED_VALUE"""),"Jaxtech")</f>
        <v>Jaxtech</v>
      </c>
      <c r="P1213" s="33">
        <f>IFERROR(__xludf.DUMMYFUNCTION("""COMPUTED_VALUE"""),1.0)</f>
        <v>1</v>
      </c>
      <c r="Q1213" s="4" t="str">
        <f>IFERROR(__xludf.DUMMYFUNCTION("""COMPUTED_VALUE"""),"Jaxtech")</f>
        <v>Jaxtech</v>
      </c>
      <c r="R1213" s="33">
        <f>IFERROR(__xludf.DUMMYFUNCTION("""COMPUTED_VALUE"""),1.0)</f>
        <v>1</v>
      </c>
      <c r="S1213" s="4" t="str">
        <f>IFERROR(__xludf.DUMMYFUNCTION("""COMPUTED_VALUE"""),"Jaxtech")</f>
        <v>Jaxtech</v>
      </c>
      <c r="T1213" s="33">
        <f>IFERROR(__xludf.DUMMYFUNCTION("""COMPUTED_VALUE"""),0.7142857142857143)</f>
        <v>0.7142857143</v>
      </c>
      <c r="U1213" s="4" t="str">
        <f>IFERROR(__xludf.DUMMYFUNCTION("""COMPUTED_VALUE"""),"Jaxtech")</f>
        <v>Jaxtech</v>
      </c>
      <c r="V1213" s="33">
        <f>IFERROR(__xludf.DUMMYFUNCTION("""COMPUTED_VALUE"""),0.8571428571428571)</f>
        <v>0.8571428571</v>
      </c>
      <c r="W1213" s="4" t="str">
        <f>IFERROR(__xludf.DUMMYFUNCTION("""COMPUTED_VALUE"""),"Jaxtech")</f>
        <v>Jaxtech</v>
      </c>
      <c r="X1213" s="33">
        <f>IFERROR(__xludf.DUMMYFUNCTION("""COMPUTED_VALUE"""),0.7142857142857143)</f>
        <v>0.7142857143</v>
      </c>
    </row>
    <row r="1214">
      <c r="K1214" s="4" t="str">
        <f>IFERROR(__xludf.DUMMYFUNCTION("""COMPUTED_VALUE"""),"TEXAS PICANHARIA")</f>
        <v>TEXAS PICANHARIA</v>
      </c>
      <c r="L1214" s="32">
        <f>IFERROR(__xludf.DUMMYFUNCTION("""COMPUTED_VALUE"""),7.0)</f>
        <v>7</v>
      </c>
      <c r="M1214" s="4" t="str">
        <f>IFERROR(__xludf.DUMMYFUNCTION("""COMPUTED_VALUE"""),"Proabakus Desenvolvimento De Sistemas Ltda")</f>
        <v>Proabakus Desenvolvimento De Sistemas Ltda</v>
      </c>
      <c r="N1214" s="33">
        <f>IFERROR(__xludf.DUMMYFUNCTION("""COMPUTED_VALUE"""),0.5714285714285714)</f>
        <v>0.5714285714</v>
      </c>
      <c r="O1214" s="4" t="str">
        <f>IFERROR(__xludf.DUMMYFUNCTION("""COMPUTED_VALUE"""),"null")</f>
        <v>null</v>
      </c>
      <c r="P1214" s="33">
        <f>IFERROR(__xludf.DUMMYFUNCTION("""COMPUTED_VALUE"""),0.5714285714285714)</f>
        <v>0.5714285714</v>
      </c>
      <c r="Q1214" s="4" t="str">
        <f>IFERROR(__xludf.DUMMYFUNCTION("""COMPUTED_VALUE"""),"Saipos Serviços De Software")</f>
        <v>Saipos Serviços De Software</v>
      </c>
      <c r="R1214" s="33">
        <f>IFERROR(__xludf.DUMMYFUNCTION("""COMPUTED_VALUE"""),0.7142857142857143)</f>
        <v>0.7142857143</v>
      </c>
      <c r="S1214" s="4" t="str">
        <f>IFERROR(__xludf.DUMMYFUNCTION("""COMPUTED_VALUE"""),"null")</f>
        <v>null</v>
      </c>
      <c r="T1214" s="33">
        <f>IFERROR(__xludf.DUMMYFUNCTION("""COMPUTED_VALUE"""),0.42857142857142855)</f>
        <v>0.4285714286</v>
      </c>
      <c r="U1214" s="4" t="str">
        <f>IFERROR(__xludf.DUMMYFUNCTION("""COMPUTED_VALUE"""),"null")</f>
        <v>null</v>
      </c>
      <c r="V1214" s="33">
        <f>IFERROR(__xludf.DUMMYFUNCTION("""COMPUTED_VALUE"""),0.5714285714285714)</f>
        <v>0.5714285714</v>
      </c>
      <c r="W1214" s="4" t="str">
        <f>IFERROR(__xludf.DUMMYFUNCTION("""COMPUTED_VALUE"""),"null")</f>
        <v>null</v>
      </c>
      <c r="X1214" s="33">
        <f>IFERROR(__xludf.DUMMYFUNCTION("""COMPUTED_VALUE"""),0.42857142857142855)</f>
        <v>0.4285714286</v>
      </c>
    </row>
    <row r="1215">
      <c r="K1215" s="4" t="str">
        <f>IFERROR(__xludf.DUMMYFUNCTION("""COMPUTED_VALUE"""),"THE DONUTS")</f>
        <v>THE DONUTS</v>
      </c>
      <c r="L1215" s="32">
        <f>IFERROR(__xludf.DUMMYFUNCTION("""COMPUTED_VALUE"""),7.0)</f>
        <v>7</v>
      </c>
      <c r="M1215" s="4" t="str">
        <f>IFERROR(__xludf.DUMMYFUNCTION("""COMPUTED_VALUE"""),"Stone Co.")</f>
        <v>Stone Co.</v>
      </c>
      <c r="N1215" s="33">
        <f>IFERROR(__xludf.DUMMYFUNCTION("""COMPUTED_VALUE"""),0.7142857142857143)</f>
        <v>0.7142857143</v>
      </c>
      <c r="O1215" s="4" t="str">
        <f>IFERROR(__xludf.DUMMYFUNCTION("""COMPUTED_VALUE"""),"Stone Co.")</f>
        <v>Stone Co.</v>
      </c>
      <c r="P1215" s="33">
        <f>IFERROR(__xludf.DUMMYFUNCTION("""COMPUTED_VALUE"""),0.5714285714285714)</f>
        <v>0.5714285714</v>
      </c>
      <c r="Q1215" s="4" t="str">
        <f>IFERROR(__xludf.DUMMYFUNCTION("""COMPUTED_VALUE"""),"Stone Co.")</f>
        <v>Stone Co.</v>
      </c>
      <c r="R1215" s="33">
        <f>IFERROR(__xludf.DUMMYFUNCTION("""COMPUTED_VALUE"""),0.7142857142857143)</f>
        <v>0.7142857143</v>
      </c>
      <c r="S1215" s="4" t="str">
        <f>IFERROR(__xludf.DUMMYFUNCTION("""COMPUTED_VALUE"""),"Stone Co.")</f>
        <v>Stone Co.</v>
      </c>
      <c r="T1215" s="33">
        <f>IFERROR(__xludf.DUMMYFUNCTION("""COMPUTED_VALUE"""),0.8571428571428571)</f>
        <v>0.8571428571</v>
      </c>
      <c r="U1215" s="4" t="str">
        <f>IFERROR(__xludf.DUMMYFUNCTION("""COMPUTED_VALUE"""),"Stone Co.")</f>
        <v>Stone Co.</v>
      </c>
      <c r="V1215" s="33">
        <f>IFERROR(__xludf.DUMMYFUNCTION("""COMPUTED_VALUE"""),0.8571428571428571)</f>
        <v>0.8571428571</v>
      </c>
      <c r="W1215" s="4" t="str">
        <f>IFERROR(__xludf.DUMMYFUNCTION("""COMPUTED_VALUE"""),"Stone Co.")</f>
        <v>Stone Co.</v>
      </c>
      <c r="X1215" s="33">
        <f>IFERROR(__xludf.DUMMYFUNCTION("""COMPUTED_VALUE"""),0.8571428571428571)</f>
        <v>0.8571428571</v>
      </c>
    </row>
    <row r="1216">
      <c r="K1216" s="4" t="str">
        <f>IFERROR(__xludf.DUMMYFUNCTION("""COMPUTED_VALUE"""),"THE LAST BURGER - CONTA PAI")</f>
        <v>THE LAST BURGER - CONTA PAI</v>
      </c>
      <c r="L1216" s="32">
        <f>IFERROR(__xludf.DUMMYFUNCTION("""COMPUTED_VALUE"""),7.0)</f>
        <v>7</v>
      </c>
      <c r="M1216" s="4" t="str">
        <f>IFERROR(__xludf.DUMMYFUNCTION("""COMPUTED_VALUE"""),"Saipos Serviços De Software")</f>
        <v>Saipos Serviços De Software</v>
      </c>
      <c r="N1216" s="33">
        <f>IFERROR(__xludf.DUMMYFUNCTION("""COMPUTED_VALUE"""),1.0)</f>
        <v>1</v>
      </c>
      <c r="O1216" s="4" t="str">
        <f>IFERROR(__xludf.DUMMYFUNCTION("""COMPUTED_VALUE"""),"Saipos Serviços De Software")</f>
        <v>Saipos Serviços De Software</v>
      </c>
      <c r="P1216" s="33">
        <f>IFERROR(__xludf.DUMMYFUNCTION("""COMPUTED_VALUE"""),1.0)</f>
        <v>1</v>
      </c>
      <c r="Q1216" s="4" t="str">
        <f>IFERROR(__xludf.DUMMYFUNCTION("""COMPUTED_VALUE"""),"Saipos Serviços De Software")</f>
        <v>Saipos Serviços De Software</v>
      </c>
      <c r="R1216" s="33">
        <f>IFERROR(__xludf.DUMMYFUNCTION("""COMPUTED_VALUE"""),1.0)</f>
        <v>1</v>
      </c>
      <c r="S1216" s="4" t="str">
        <f>IFERROR(__xludf.DUMMYFUNCTION("""COMPUTED_VALUE"""),"Saipos Serviços De Software")</f>
        <v>Saipos Serviços De Software</v>
      </c>
      <c r="T1216" s="33">
        <f>IFERROR(__xludf.DUMMYFUNCTION("""COMPUTED_VALUE"""),1.0)</f>
        <v>1</v>
      </c>
      <c r="U1216" s="4" t="str">
        <f>IFERROR(__xludf.DUMMYFUNCTION("""COMPUTED_VALUE"""),"Saipos Serviços De Software")</f>
        <v>Saipos Serviços De Software</v>
      </c>
      <c r="V1216" s="33">
        <f>IFERROR(__xludf.DUMMYFUNCTION("""COMPUTED_VALUE"""),0.8571428571428571)</f>
        <v>0.8571428571</v>
      </c>
      <c r="W1216" s="4" t="str">
        <f>IFERROR(__xludf.DUMMYFUNCTION("""COMPUTED_VALUE"""),"Saipos Serviços De Software")</f>
        <v>Saipos Serviços De Software</v>
      </c>
      <c r="X1216" s="33">
        <f>IFERROR(__xludf.DUMMYFUNCTION("""COMPUTED_VALUE"""),0.7142857142857143)</f>
        <v>0.7142857143</v>
      </c>
    </row>
    <row r="1217">
      <c r="K1217" s="4" t="str">
        <f>IFERROR(__xludf.DUMMYFUNCTION("""COMPUTED_VALUE"""),"TIO BAK - MARCA")</f>
        <v>TIO BAK - MARCA</v>
      </c>
      <c r="L1217" s="32">
        <f>IFERROR(__xludf.DUMMYFUNCTION("""COMPUTED_VALUE"""),7.0)</f>
        <v>7</v>
      </c>
      <c r="M1217" s="4" t="str">
        <f>IFERROR(__xludf.DUMMYFUNCTION("""COMPUTED_VALUE"""),"Saipos Serviços De Software")</f>
        <v>Saipos Serviços De Software</v>
      </c>
      <c r="N1217" s="33">
        <f>IFERROR(__xludf.DUMMYFUNCTION("""COMPUTED_VALUE"""),0.7142857142857143)</f>
        <v>0.7142857143</v>
      </c>
      <c r="O1217" s="4" t="str">
        <f>IFERROR(__xludf.DUMMYFUNCTION("""COMPUTED_VALUE"""),"Saipos Serviços De Software")</f>
        <v>Saipos Serviços De Software</v>
      </c>
      <c r="P1217" s="33">
        <f>IFERROR(__xludf.DUMMYFUNCTION("""COMPUTED_VALUE"""),0.7142857142857143)</f>
        <v>0.7142857143</v>
      </c>
      <c r="Q1217" s="4" t="str">
        <f>IFERROR(__xludf.DUMMYFUNCTION("""COMPUTED_VALUE"""),"Saipos Serviços De Software")</f>
        <v>Saipos Serviços De Software</v>
      </c>
      <c r="R1217" s="33">
        <f>IFERROR(__xludf.DUMMYFUNCTION("""COMPUTED_VALUE"""),0.7142857142857143)</f>
        <v>0.7142857143</v>
      </c>
      <c r="S1217" s="4" t="str">
        <f>IFERROR(__xludf.DUMMYFUNCTION("""COMPUTED_VALUE"""),"Saipos Serviços De Software")</f>
        <v>Saipos Serviços De Software</v>
      </c>
      <c r="T1217" s="33">
        <f>IFERROR(__xludf.DUMMYFUNCTION("""COMPUTED_VALUE"""),0.7142857142857143)</f>
        <v>0.7142857143</v>
      </c>
      <c r="U1217" s="4" t="str">
        <f>IFERROR(__xludf.DUMMYFUNCTION("""COMPUTED_VALUE"""),"Saipos Serviços De Software")</f>
        <v>Saipos Serviços De Software</v>
      </c>
      <c r="V1217" s="33">
        <f>IFERROR(__xludf.DUMMYFUNCTION("""COMPUTED_VALUE"""),0.8571428571428571)</f>
        <v>0.8571428571</v>
      </c>
      <c r="W1217" s="4" t="str">
        <f>IFERROR(__xludf.DUMMYFUNCTION("""COMPUTED_VALUE"""),"Saipos Serviços De Software")</f>
        <v>Saipos Serviços De Software</v>
      </c>
      <c r="X1217" s="33">
        <f>IFERROR(__xludf.DUMMYFUNCTION("""COMPUTED_VALUE"""),0.8571428571428571)</f>
        <v>0.8571428571</v>
      </c>
    </row>
    <row r="1218">
      <c r="K1218" s="4" t="str">
        <f>IFERROR(__xludf.DUMMYFUNCTION("""COMPUTED_VALUE"""),"TORTERIA - TORTA, QUICHE E SOBREMESA")</f>
        <v>TORTERIA - TORTA, QUICHE E SOBREMESA</v>
      </c>
      <c r="L1218" s="32">
        <f>IFERROR(__xludf.DUMMYFUNCTION("""COMPUTED_VALUE"""),7.0)</f>
        <v>7</v>
      </c>
      <c r="M1218" s="4" t="str">
        <f>IFERROR(__xludf.DUMMYFUNCTION("""COMPUTED_VALUE"""),"Takeat Tecnologia")</f>
        <v>Takeat Tecnologia</v>
      </c>
      <c r="N1218" s="33">
        <f>IFERROR(__xludf.DUMMYFUNCTION("""COMPUTED_VALUE"""),0.5714285714285714)</f>
        <v>0.5714285714</v>
      </c>
      <c r="O1218" s="4" t="str">
        <f>IFERROR(__xludf.DUMMYFUNCTION("""COMPUTED_VALUE"""),"Takeat Tecnologia")</f>
        <v>Takeat Tecnologia</v>
      </c>
      <c r="P1218" s="33">
        <f>IFERROR(__xludf.DUMMYFUNCTION("""COMPUTED_VALUE"""),0.8571428571428571)</f>
        <v>0.8571428571</v>
      </c>
      <c r="Q1218" s="4" t="str">
        <f>IFERROR(__xludf.DUMMYFUNCTION("""COMPUTED_VALUE"""),"Takeat Tecnologia")</f>
        <v>Takeat Tecnologia</v>
      </c>
      <c r="R1218" s="33">
        <f>IFERROR(__xludf.DUMMYFUNCTION("""COMPUTED_VALUE"""),0.8571428571428571)</f>
        <v>0.8571428571</v>
      </c>
      <c r="S1218" s="4" t="str">
        <f>IFERROR(__xludf.DUMMYFUNCTION("""COMPUTED_VALUE"""),"Takeat Tecnologia")</f>
        <v>Takeat Tecnologia</v>
      </c>
      <c r="T1218" s="33">
        <f>IFERROR(__xludf.DUMMYFUNCTION("""COMPUTED_VALUE"""),1.0)</f>
        <v>1</v>
      </c>
      <c r="U1218" s="4" t="str">
        <f>IFERROR(__xludf.DUMMYFUNCTION("""COMPUTED_VALUE"""),"Takeat Tecnologia")</f>
        <v>Takeat Tecnologia</v>
      </c>
      <c r="V1218" s="33">
        <f>IFERROR(__xludf.DUMMYFUNCTION("""COMPUTED_VALUE"""),1.0)</f>
        <v>1</v>
      </c>
      <c r="W1218" s="4" t="str">
        <f>IFERROR(__xludf.DUMMYFUNCTION("""COMPUTED_VALUE"""),"Takeat Tecnologia")</f>
        <v>Takeat Tecnologia</v>
      </c>
      <c r="X1218" s="33">
        <f>IFERROR(__xludf.DUMMYFUNCTION("""COMPUTED_VALUE"""),0.8571428571428571)</f>
        <v>0.8571428571</v>
      </c>
    </row>
    <row r="1219">
      <c r="K1219" s="4" t="str">
        <f>IFERROR(__xludf.DUMMYFUNCTION("""COMPUTED_VALUE"""),"UATA")</f>
        <v>UATA</v>
      </c>
      <c r="L1219" s="32">
        <f>IFERROR(__xludf.DUMMYFUNCTION("""COMPUTED_VALUE"""),7.0)</f>
        <v>7</v>
      </c>
      <c r="M1219" s="4" t="str">
        <f>IFERROR(__xludf.DUMMYFUNCTION("""COMPUTED_VALUE"""),"Ncr")</f>
        <v>Ncr</v>
      </c>
      <c r="N1219" s="33">
        <f>IFERROR(__xludf.DUMMYFUNCTION("""COMPUTED_VALUE"""),1.0)</f>
        <v>1</v>
      </c>
      <c r="O1219" s="4" t="str">
        <f>IFERROR(__xludf.DUMMYFUNCTION("""COMPUTED_VALUE"""),"Ncr")</f>
        <v>Ncr</v>
      </c>
      <c r="P1219" s="33">
        <f>IFERROR(__xludf.DUMMYFUNCTION("""COMPUTED_VALUE"""),1.0)</f>
        <v>1</v>
      </c>
      <c r="Q1219" s="4" t="str">
        <f>IFERROR(__xludf.DUMMYFUNCTION("""COMPUTED_VALUE"""),"Ncr")</f>
        <v>Ncr</v>
      </c>
      <c r="R1219" s="33">
        <f>IFERROR(__xludf.DUMMYFUNCTION("""COMPUTED_VALUE"""),1.0)</f>
        <v>1</v>
      </c>
      <c r="S1219" s="4" t="str">
        <f>IFERROR(__xludf.DUMMYFUNCTION("""COMPUTED_VALUE"""),"Ncr")</f>
        <v>Ncr</v>
      </c>
      <c r="T1219" s="33">
        <f>IFERROR(__xludf.DUMMYFUNCTION("""COMPUTED_VALUE"""),1.0)</f>
        <v>1</v>
      </c>
      <c r="U1219" s="4" t="str">
        <f>IFERROR(__xludf.DUMMYFUNCTION("""COMPUTED_VALUE"""),"Ncr")</f>
        <v>Ncr</v>
      </c>
      <c r="V1219" s="33">
        <f>IFERROR(__xludf.DUMMYFUNCTION("""COMPUTED_VALUE"""),1.0)</f>
        <v>1</v>
      </c>
      <c r="W1219" s="4" t="str">
        <f>IFERROR(__xludf.DUMMYFUNCTION("""COMPUTED_VALUE"""),"Ncr")</f>
        <v>Ncr</v>
      </c>
      <c r="X1219" s="33">
        <f>IFERROR(__xludf.DUMMYFUNCTION("""COMPUTED_VALUE"""),0.8571428571428571)</f>
        <v>0.8571428571</v>
      </c>
    </row>
    <row r="1220">
      <c r="K1220" s="4" t="str">
        <f>IFERROR(__xludf.DUMMYFUNCTION("""COMPUTED_VALUE"""),"UBERABA SUPERMERCADOS - CONTA PAI")</f>
        <v>UBERABA SUPERMERCADOS - CONTA PAI</v>
      </c>
      <c r="L1220" s="32">
        <f>IFERROR(__xludf.DUMMYFUNCTION("""COMPUTED_VALUE"""),7.0)</f>
        <v>7</v>
      </c>
      <c r="M1220" s="4" t="str">
        <f>IFERROR(__xludf.DUMMYFUNCTION("""COMPUTED_VALUE"""),"N/A (Not found)")</f>
        <v>N/A (Not found)</v>
      </c>
      <c r="N1220" s="33">
        <f>IFERROR(__xludf.DUMMYFUNCTION("""COMPUTED_VALUE"""),1.0)</f>
        <v>1</v>
      </c>
      <c r="O1220" s="4" t="str">
        <f>IFERROR(__xludf.DUMMYFUNCTION("""COMPUTED_VALUE"""),"N/A (Not found)")</f>
        <v>N/A (Not found)</v>
      </c>
      <c r="P1220" s="33">
        <f>IFERROR(__xludf.DUMMYFUNCTION("""COMPUTED_VALUE"""),1.0)</f>
        <v>1</v>
      </c>
      <c r="Q1220" s="4" t="str">
        <f>IFERROR(__xludf.DUMMYFUNCTION("""COMPUTED_VALUE"""),"N/A (Not found)")</f>
        <v>N/A (Not found)</v>
      </c>
      <c r="R1220" s="33">
        <f>IFERROR(__xludf.DUMMYFUNCTION("""COMPUTED_VALUE"""),1.0)</f>
        <v>1</v>
      </c>
      <c r="S1220" s="4" t="str">
        <f>IFERROR(__xludf.DUMMYFUNCTION("""COMPUTED_VALUE"""),"N/A (Not found)")</f>
        <v>N/A (Not found)</v>
      </c>
      <c r="T1220" s="33">
        <f>IFERROR(__xludf.DUMMYFUNCTION("""COMPUTED_VALUE"""),1.0)</f>
        <v>1</v>
      </c>
      <c r="U1220" s="4" t="str">
        <f>IFERROR(__xludf.DUMMYFUNCTION("""COMPUTED_VALUE"""),"N/A (Not found)")</f>
        <v>N/A (Not found)</v>
      </c>
      <c r="V1220" s="33">
        <f>IFERROR(__xludf.DUMMYFUNCTION("""COMPUTED_VALUE"""),1.0)</f>
        <v>1</v>
      </c>
      <c r="W1220" s="4" t="str">
        <f>IFERROR(__xludf.DUMMYFUNCTION("""COMPUTED_VALUE"""),"N/A (Not found)")</f>
        <v>N/A (Not found)</v>
      </c>
      <c r="X1220" s="33">
        <f>IFERROR(__xludf.DUMMYFUNCTION("""COMPUTED_VALUE"""),1.0)</f>
        <v>1</v>
      </c>
    </row>
    <row r="1221">
      <c r="K1221" s="4" t="str">
        <f>IFERROR(__xludf.DUMMYFUNCTION("""COMPUTED_VALUE"""),"VANIA GOURMET MOSSORO - CONTA PAI")</f>
        <v>VANIA GOURMET MOSSORO - CONTA PAI</v>
      </c>
      <c r="L1221" s="32">
        <f>IFERROR(__xludf.DUMMYFUNCTION("""COMPUTED_VALUE"""),7.0)</f>
        <v>7</v>
      </c>
      <c r="M1221" s="4" t="str">
        <f>IFERROR(__xludf.DUMMYFUNCTION("""COMPUTED_VALUE"""),"Saipos Serviços De Software")</f>
        <v>Saipos Serviços De Software</v>
      </c>
      <c r="N1221" s="33">
        <f>IFERROR(__xludf.DUMMYFUNCTION("""COMPUTED_VALUE"""),0.7142857142857143)</f>
        <v>0.7142857143</v>
      </c>
      <c r="O1221" s="4" t="str">
        <f>IFERROR(__xludf.DUMMYFUNCTION("""COMPUTED_VALUE"""),"Saipos Serviços De Software")</f>
        <v>Saipos Serviços De Software</v>
      </c>
      <c r="P1221" s="33">
        <f>IFERROR(__xludf.DUMMYFUNCTION("""COMPUTED_VALUE"""),0.7142857142857143)</f>
        <v>0.7142857143</v>
      </c>
      <c r="Q1221" s="4" t="str">
        <f>IFERROR(__xludf.DUMMYFUNCTION("""COMPUTED_VALUE"""),"Saipos Serviços De Software")</f>
        <v>Saipos Serviços De Software</v>
      </c>
      <c r="R1221" s="33">
        <f>IFERROR(__xludf.DUMMYFUNCTION("""COMPUTED_VALUE"""),0.7142857142857143)</f>
        <v>0.7142857143</v>
      </c>
      <c r="S1221" s="4" t="str">
        <f>IFERROR(__xludf.DUMMYFUNCTION("""COMPUTED_VALUE"""),"Saipos Serviços De Software")</f>
        <v>Saipos Serviços De Software</v>
      </c>
      <c r="T1221" s="33">
        <f>IFERROR(__xludf.DUMMYFUNCTION("""COMPUTED_VALUE"""),0.7142857142857143)</f>
        <v>0.7142857143</v>
      </c>
      <c r="U1221" s="4" t="str">
        <f>IFERROR(__xludf.DUMMYFUNCTION("""COMPUTED_VALUE"""),"Saipos Serviços De Software")</f>
        <v>Saipos Serviços De Software</v>
      </c>
      <c r="V1221" s="33">
        <f>IFERROR(__xludf.DUMMYFUNCTION("""COMPUTED_VALUE"""),0.8571428571428571)</f>
        <v>0.8571428571</v>
      </c>
      <c r="W1221" s="4" t="str">
        <f>IFERROR(__xludf.DUMMYFUNCTION("""COMPUTED_VALUE"""),"Saipos Serviços De Software")</f>
        <v>Saipos Serviços De Software</v>
      </c>
      <c r="X1221" s="33">
        <f>IFERROR(__xludf.DUMMYFUNCTION("""COMPUTED_VALUE"""),1.0)</f>
        <v>1</v>
      </c>
    </row>
    <row r="1222">
      <c r="K1222" s="4" t="str">
        <f>IFERROR(__xludf.DUMMYFUNCTION("""COMPUTED_VALUE"""),"VILA CANCELLI")</f>
        <v>VILA CANCELLI</v>
      </c>
      <c r="L1222" s="32">
        <f>IFERROR(__xludf.DUMMYFUNCTION("""COMPUTED_VALUE"""),7.0)</f>
        <v>7</v>
      </c>
      <c r="M1222" s="4" t="str">
        <f>IFERROR(__xludf.DUMMYFUNCTION("""COMPUTED_VALUE"""),"null")</f>
        <v>null</v>
      </c>
      <c r="N1222" s="33">
        <f>IFERROR(__xludf.DUMMYFUNCTION("""COMPUTED_VALUE"""),0.8571428571428571)</f>
        <v>0.8571428571</v>
      </c>
      <c r="O1222" s="4" t="str">
        <f>IFERROR(__xludf.DUMMYFUNCTION("""COMPUTED_VALUE"""),"Cardápio Web")</f>
        <v>Cardápio Web</v>
      </c>
      <c r="P1222" s="33">
        <f>IFERROR(__xludf.DUMMYFUNCTION("""COMPUTED_VALUE"""),0.5714285714285714)</f>
        <v>0.5714285714</v>
      </c>
      <c r="Q1222" s="4" t="str">
        <f>IFERROR(__xludf.DUMMYFUNCTION("""COMPUTED_VALUE"""),"Cardápio Web")</f>
        <v>Cardápio Web</v>
      </c>
      <c r="R1222" s="33">
        <f>IFERROR(__xludf.DUMMYFUNCTION("""COMPUTED_VALUE"""),0.5714285714285714)</f>
        <v>0.5714285714</v>
      </c>
      <c r="S1222" s="4" t="str">
        <f>IFERROR(__xludf.DUMMYFUNCTION("""COMPUTED_VALUE"""),"Cardápio Web")</f>
        <v>Cardápio Web</v>
      </c>
      <c r="T1222" s="33">
        <f>IFERROR(__xludf.DUMMYFUNCTION("""COMPUTED_VALUE"""),0.7142857142857143)</f>
        <v>0.7142857143</v>
      </c>
      <c r="U1222" s="4" t="str">
        <f>IFERROR(__xludf.DUMMYFUNCTION("""COMPUTED_VALUE"""),"Cardápio Web")</f>
        <v>Cardápio Web</v>
      </c>
      <c r="V1222" s="33">
        <f>IFERROR(__xludf.DUMMYFUNCTION("""COMPUTED_VALUE"""),0.5714285714285714)</f>
        <v>0.5714285714</v>
      </c>
      <c r="W1222" s="4" t="str">
        <f>IFERROR(__xludf.DUMMYFUNCTION("""COMPUTED_VALUE"""),"Cardápio Web")</f>
        <v>Cardápio Web</v>
      </c>
      <c r="X1222" s="33">
        <f>IFERROR(__xludf.DUMMYFUNCTION("""COMPUTED_VALUE"""),0.8571428571428571)</f>
        <v>0.8571428571</v>
      </c>
    </row>
    <row r="1223">
      <c r="K1223" s="4" t="str">
        <f>IFERROR(__xludf.DUMMYFUNCTION("""COMPUTED_VALUE"""),"SPACE BURGER")</f>
        <v>SPACE BURGER</v>
      </c>
      <c r="L1223" s="32">
        <f>IFERROR(__xludf.DUMMYFUNCTION("""COMPUTED_VALUE"""),6.0)</f>
        <v>6</v>
      </c>
      <c r="M1223" s="4" t="str">
        <f>IFERROR(__xludf.DUMMYFUNCTION("""COMPUTED_VALUE"""),"null")</f>
        <v>null</v>
      </c>
      <c r="N1223" s="33">
        <f>IFERROR(__xludf.DUMMYFUNCTION("""COMPUTED_VALUE"""),0.5)</f>
        <v>0.5</v>
      </c>
      <c r="O1223" s="4" t="str">
        <f>IFERROR(__xludf.DUMMYFUNCTION("""COMPUTED_VALUE"""),"null")</f>
        <v>null</v>
      </c>
      <c r="P1223" s="33">
        <f>IFERROR(__xludf.DUMMYFUNCTION("""COMPUTED_VALUE"""),0.5)</f>
        <v>0.5</v>
      </c>
      <c r="Q1223" s="4" t="str">
        <f>IFERROR(__xludf.DUMMYFUNCTION("""COMPUTED_VALUE"""),"null")</f>
        <v>null</v>
      </c>
      <c r="R1223" s="33">
        <f>IFERROR(__xludf.DUMMYFUNCTION("""COMPUTED_VALUE"""),0.5)</f>
        <v>0.5</v>
      </c>
      <c r="S1223" s="4" t="str">
        <f>IFERROR(__xludf.DUMMYFUNCTION("""COMPUTED_VALUE"""),"null")</f>
        <v>null</v>
      </c>
      <c r="T1223" s="33">
        <f>IFERROR(__xludf.DUMMYFUNCTION("""COMPUTED_VALUE"""),0.5)</f>
        <v>0.5</v>
      </c>
      <c r="U1223" s="4" t="str">
        <f>IFERROR(__xludf.DUMMYFUNCTION("""COMPUTED_VALUE"""),"null")</f>
        <v>null</v>
      </c>
      <c r="V1223" s="33">
        <f>IFERROR(__xludf.DUMMYFUNCTION("""COMPUTED_VALUE"""),0.3333333333333333)</f>
        <v>0.3333333333</v>
      </c>
      <c r="W1223" s="4" t="str">
        <f>IFERROR(__xludf.DUMMYFUNCTION("""COMPUTED_VALUE"""),"null")</f>
        <v>null</v>
      </c>
      <c r="X1223" s="33">
        <f>IFERROR(__xludf.DUMMYFUNCTION("""COMPUTED_VALUE"""),0.3333333333333333)</f>
        <v>0.3333333333</v>
      </c>
    </row>
    <row r="1224">
      <c r="K1224" s="4" t="str">
        <f>IFERROR(__xludf.DUMMYFUNCTION("""COMPUTED_VALUE"""),"ACAI EXPRESS")</f>
        <v>ACAI EXPRESS</v>
      </c>
      <c r="L1224" s="32">
        <f>IFERROR(__xludf.DUMMYFUNCTION("""COMPUTED_VALUE"""),6.0)</f>
        <v>6</v>
      </c>
      <c r="M1224" s="4" t="str">
        <f>IFERROR(__xludf.DUMMYFUNCTION("""COMPUTED_VALUE"""),"null")</f>
        <v>null</v>
      </c>
      <c r="N1224" s="33">
        <f>IFERROR(__xludf.DUMMYFUNCTION("""COMPUTED_VALUE"""),0.6666666666666666)</f>
        <v>0.6666666667</v>
      </c>
      <c r="O1224" s="4" t="str">
        <f>IFERROR(__xludf.DUMMYFUNCTION("""COMPUTED_VALUE"""),"null")</f>
        <v>null</v>
      </c>
      <c r="P1224" s="33">
        <f>IFERROR(__xludf.DUMMYFUNCTION("""COMPUTED_VALUE"""),0.6666666666666666)</f>
        <v>0.6666666667</v>
      </c>
      <c r="Q1224" s="4" t="str">
        <f>IFERROR(__xludf.DUMMYFUNCTION("""COMPUTED_VALUE"""),"null")</f>
        <v>null</v>
      </c>
      <c r="R1224" s="33">
        <f>IFERROR(__xludf.DUMMYFUNCTION("""COMPUTED_VALUE"""),0.6666666666666666)</f>
        <v>0.6666666667</v>
      </c>
      <c r="S1224" s="4" t="str">
        <f>IFERROR(__xludf.DUMMYFUNCTION("""COMPUTED_VALUE"""),"null")</f>
        <v>null</v>
      </c>
      <c r="T1224" s="33">
        <f>IFERROR(__xludf.DUMMYFUNCTION("""COMPUTED_VALUE"""),0.5)</f>
        <v>0.5</v>
      </c>
      <c r="U1224" s="4" t="str">
        <f>IFERROR(__xludf.DUMMYFUNCTION("""COMPUTED_VALUE"""),"Instadelivery")</f>
        <v>Instadelivery</v>
      </c>
      <c r="V1224" s="33">
        <f>IFERROR(__xludf.DUMMYFUNCTION("""COMPUTED_VALUE"""),0.5)</f>
        <v>0.5</v>
      </c>
      <c r="W1224" s="4" t="str">
        <f>IFERROR(__xludf.DUMMYFUNCTION("""COMPUTED_VALUE"""),"Instadelivery")</f>
        <v>Instadelivery</v>
      </c>
      <c r="X1224" s="33">
        <f>IFERROR(__xludf.DUMMYFUNCTION("""COMPUTED_VALUE"""),0.5)</f>
        <v>0.5</v>
      </c>
    </row>
    <row r="1225">
      <c r="K1225" s="4" t="str">
        <f>IFERROR(__xludf.DUMMYFUNCTION("""COMPUTED_VALUE"""),"DOM PIZZARIA")</f>
        <v>DOM PIZZARIA</v>
      </c>
      <c r="L1225" s="32">
        <f>IFERROR(__xludf.DUMMYFUNCTION("""COMPUTED_VALUE"""),6.0)</f>
        <v>6</v>
      </c>
      <c r="M1225" s="4" t="str">
        <f>IFERROR(__xludf.DUMMYFUNCTION("""COMPUTED_VALUE"""),"null")</f>
        <v>null</v>
      </c>
      <c r="N1225" s="33">
        <f>IFERROR(__xludf.DUMMYFUNCTION("""COMPUTED_VALUE"""),0.3333333333333333)</f>
        <v>0.3333333333</v>
      </c>
      <c r="O1225" s="4" t="str">
        <f>IFERROR(__xludf.DUMMYFUNCTION("""COMPUTED_VALUE"""),"null")</f>
        <v>null</v>
      </c>
      <c r="P1225" s="33">
        <f>IFERROR(__xludf.DUMMYFUNCTION("""COMPUTED_VALUE"""),0.5)</f>
        <v>0.5</v>
      </c>
      <c r="Q1225" s="4" t="str">
        <f>IFERROR(__xludf.DUMMYFUNCTION("""COMPUTED_VALUE"""),"null")</f>
        <v>null</v>
      </c>
      <c r="R1225" s="33">
        <f>IFERROR(__xludf.DUMMYFUNCTION("""COMPUTED_VALUE"""),0.3333333333333333)</f>
        <v>0.3333333333</v>
      </c>
      <c r="S1225" s="4" t="str">
        <f>IFERROR(__xludf.DUMMYFUNCTION("""COMPUTED_VALUE"""),"Anota Ai Solucoes Digitais S/a")</f>
        <v>Anota Ai Solucoes Digitais S/a</v>
      </c>
      <c r="T1225" s="33">
        <f>IFERROR(__xludf.DUMMYFUNCTION("""COMPUTED_VALUE"""),0.16666666666666666)</f>
        <v>0.1666666667</v>
      </c>
      <c r="U1225" s="4" t="str">
        <f>IFERROR(__xludf.DUMMYFUNCTION("""COMPUTED_VALUE"""),"null")</f>
        <v>null</v>
      </c>
      <c r="V1225" s="33">
        <f>IFERROR(__xludf.DUMMYFUNCTION("""COMPUTED_VALUE"""),0.3333333333333333)</f>
        <v>0.3333333333</v>
      </c>
      <c r="W1225" s="4" t="str">
        <f>IFERROR(__xludf.DUMMYFUNCTION("""COMPUTED_VALUE"""),"null")</f>
        <v>null</v>
      </c>
      <c r="X1225" s="33">
        <f>IFERROR(__xludf.DUMMYFUNCTION("""COMPUTED_VALUE"""),0.3333333333333333)</f>
        <v>0.3333333333</v>
      </c>
    </row>
    <row r="1226">
      <c r="K1226" s="4" t="str">
        <f>IFERROR(__xludf.DUMMYFUNCTION("""COMPUTED_VALUE"""),"BRASA BURGER")</f>
        <v>BRASA BURGER</v>
      </c>
      <c r="L1226" s="32">
        <f>IFERROR(__xludf.DUMMYFUNCTION("""COMPUTED_VALUE"""),6.0)</f>
        <v>6</v>
      </c>
      <c r="M1226" s="4" t="str">
        <f>IFERROR(__xludf.DUMMYFUNCTION("""COMPUTED_VALUE"""),"Saipos Serviços De Software")</f>
        <v>Saipos Serviços De Software</v>
      </c>
      <c r="N1226" s="33">
        <f>IFERROR(__xludf.DUMMYFUNCTION("""COMPUTED_VALUE"""),0.3333333333333333)</f>
        <v>0.3333333333</v>
      </c>
      <c r="O1226" s="4" t="str">
        <f>IFERROR(__xludf.DUMMYFUNCTION("""COMPUTED_VALUE"""),"Saipos Serviços De Software")</f>
        <v>Saipos Serviços De Software</v>
      </c>
      <c r="P1226" s="33">
        <f>IFERROR(__xludf.DUMMYFUNCTION("""COMPUTED_VALUE"""),0.3333333333333333)</f>
        <v>0.3333333333</v>
      </c>
      <c r="Q1226" s="4" t="str">
        <f>IFERROR(__xludf.DUMMYFUNCTION("""COMPUTED_VALUE"""),"Saipos Serviços De Software")</f>
        <v>Saipos Serviços De Software</v>
      </c>
      <c r="R1226" s="33">
        <f>IFERROR(__xludf.DUMMYFUNCTION("""COMPUTED_VALUE"""),0.3333333333333333)</f>
        <v>0.3333333333</v>
      </c>
      <c r="S1226" s="4" t="str">
        <f>IFERROR(__xludf.DUMMYFUNCTION("""COMPUTED_VALUE"""),"Saipos Serviços De Software")</f>
        <v>Saipos Serviços De Software</v>
      </c>
      <c r="T1226" s="33">
        <f>IFERROR(__xludf.DUMMYFUNCTION("""COMPUTED_VALUE"""),0.16666666666666666)</f>
        <v>0.1666666667</v>
      </c>
      <c r="U1226" s="4" t="str">
        <f>IFERROR(__xludf.DUMMYFUNCTION("""COMPUTED_VALUE"""),"Saipos Serviços De Software")</f>
        <v>Saipos Serviços De Software</v>
      </c>
      <c r="V1226" s="33">
        <f>IFERROR(__xludf.DUMMYFUNCTION("""COMPUTED_VALUE"""),0.16666666666666666)</f>
        <v>0.1666666667</v>
      </c>
      <c r="W1226" s="4" t="str">
        <f>IFERROR(__xludf.DUMMYFUNCTION("""COMPUTED_VALUE"""),"Saipos Serviços De Software")</f>
        <v>Saipos Serviços De Software</v>
      </c>
      <c r="X1226" s="33">
        <f>IFERROR(__xludf.DUMMYFUNCTION("""COMPUTED_VALUE"""),0.3333333333333333)</f>
        <v>0.3333333333</v>
      </c>
    </row>
    <row r="1227">
      <c r="K1227" s="4" t="str">
        <f>IFERROR(__xludf.DUMMYFUNCTION("""COMPUTED_VALUE"""),"PIT STOP LANCHES")</f>
        <v>PIT STOP LANCHES</v>
      </c>
      <c r="L1227" s="32">
        <f>IFERROR(__xludf.DUMMYFUNCTION("""COMPUTED_VALUE"""),6.0)</f>
        <v>6</v>
      </c>
      <c r="M1227" s="4" t="str">
        <f>IFERROR(__xludf.DUMMYFUNCTION("""COMPUTED_VALUE"""),"null")</f>
        <v>null</v>
      </c>
      <c r="N1227" s="33">
        <f>IFERROR(__xludf.DUMMYFUNCTION("""COMPUTED_VALUE"""),0.3333333333333333)</f>
        <v>0.3333333333</v>
      </c>
      <c r="O1227" s="4" t="str">
        <f>IFERROR(__xludf.DUMMYFUNCTION("""COMPUTED_VALUE"""),"null")</f>
        <v>null</v>
      </c>
      <c r="P1227" s="33">
        <f>IFERROR(__xludf.DUMMYFUNCTION("""COMPUTED_VALUE"""),0.3333333333333333)</f>
        <v>0.3333333333</v>
      </c>
      <c r="Q1227" s="4" t="str">
        <f>IFERROR(__xludf.DUMMYFUNCTION("""COMPUTED_VALUE"""),"Saipos Serviços De Software")</f>
        <v>Saipos Serviços De Software</v>
      </c>
      <c r="R1227" s="33">
        <f>IFERROR(__xludf.DUMMYFUNCTION("""COMPUTED_VALUE"""),0.3333333333333333)</f>
        <v>0.3333333333</v>
      </c>
      <c r="S1227" s="4" t="str">
        <f>IFERROR(__xludf.DUMMYFUNCTION("""COMPUTED_VALUE"""),"Saipos Serviços De Software")</f>
        <v>Saipos Serviços De Software</v>
      </c>
      <c r="T1227" s="33">
        <f>IFERROR(__xludf.DUMMYFUNCTION("""COMPUTED_VALUE"""),0.5)</f>
        <v>0.5</v>
      </c>
      <c r="U1227" s="4" t="str">
        <f>IFERROR(__xludf.DUMMYFUNCTION("""COMPUTED_VALUE"""),"Saipos Serviços De Software")</f>
        <v>Saipos Serviços De Software</v>
      </c>
      <c r="V1227" s="33">
        <f>IFERROR(__xludf.DUMMYFUNCTION("""COMPUTED_VALUE"""),0.5)</f>
        <v>0.5</v>
      </c>
      <c r="W1227" s="4" t="str">
        <f>IFERROR(__xludf.DUMMYFUNCTION("""COMPUTED_VALUE"""),"Saipos Serviços De Software")</f>
        <v>Saipos Serviços De Software</v>
      </c>
      <c r="X1227" s="33">
        <f>IFERROR(__xludf.DUMMYFUNCTION("""COMPUTED_VALUE"""),0.5)</f>
        <v>0.5</v>
      </c>
    </row>
    <row r="1228">
      <c r="K1228" s="4" t="str">
        <f>IFERROR(__xludf.DUMMYFUNCTION("""COMPUTED_VALUE"""),"CANTINHO DO SABOR")</f>
        <v>CANTINHO DO SABOR</v>
      </c>
      <c r="L1228" s="32">
        <f>IFERROR(__xludf.DUMMYFUNCTION("""COMPUTED_VALUE"""),6.0)</f>
        <v>6</v>
      </c>
      <c r="M1228" s="4" t="str">
        <f>IFERROR(__xludf.DUMMYFUNCTION("""COMPUTED_VALUE"""),"null")</f>
        <v>null</v>
      </c>
      <c r="N1228" s="33">
        <f>IFERROR(__xludf.DUMMYFUNCTION("""COMPUTED_VALUE"""),0.3333333333333333)</f>
        <v>0.3333333333</v>
      </c>
      <c r="O1228" s="4" t="str">
        <f>IFERROR(__xludf.DUMMYFUNCTION("""COMPUTED_VALUE"""),"null")</f>
        <v>null</v>
      </c>
      <c r="P1228" s="33">
        <f>IFERROR(__xludf.DUMMYFUNCTION("""COMPUTED_VALUE"""),0.5)</f>
        <v>0.5</v>
      </c>
      <c r="Q1228" s="4" t="str">
        <f>IFERROR(__xludf.DUMMYFUNCTION("""COMPUTED_VALUE"""),"null")</f>
        <v>null</v>
      </c>
      <c r="R1228" s="33">
        <f>IFERROR(__xludf.DUMMYFUNCTION("""COMPUTED_VALUE"""),0.5)</f>
        <v>0.5</v>
      </c>
      <c r="S1228" s="4" t="str">
        <f>IFERROR(__xludf.DUMMYFUNCTION("""COMPUTED_VALUE"""),"null")</f>
        <v>null</v>
      </c>
      <c r="T1228" s="33">
        <f>IFERROR(__xludf.DUMMYFUNCTION("""COMPUTED_VALUE"""),0.5)</f>
        <v>0.5</v>
      </c>
      <c r="U1228" s="4" t="str">
        <f>IFERROR(__xludf.DUMMYFUNCTION("""COMPUTED_VALUE"""),"null")</f>
        <v>null</v>
      </c>
      <c r="V1228" s="33">
        <f>IFERROR(__xludf.DUMMYFUNCTION("""COMPUTED_VALUE"""),0.6666666666666666)</f>
        <v>0.6666666667</v>
      </c>
      <c r="W1228" s="4" t="str">
        <f>IFERROR(__xludf.DUMMYFUNCTION("""COMPUTED_VALUE"""),"Instadelivery")</f>
        <v>Instadelivery</v>
      </c>
      <c r="X1228" s="33">
        <f>IFERROR(__xludf.DUMMYFUNCTION("""COMPUTED_VALUE"""),0.3333333333333333)</f>
        <v>0.3333333333</v>
      </c>
    </row>
    <row r="1229">
      <c r="K1229" s="4" t="str">
        <f>IFERROR(__xludf.DUMMYFUNCTION("""COMPUTED_VALUE"""),"HOUSE BURGER")</f>
        <v>HOUSE BURGER</v>
      </c>
      <c r="L1229" s="32">
        <f>IFERROR(__xludf.DUMMYFUNCTION("""COMPUTED_VALUE"""),6.0)</f>
        <v>6</v>
      </c>
      <c r="M1229" s="4" t="str">
        <f>IFERROR(__xludf.DUMMYFUNCTION("""COMPUTED_VALUE"""),"Anota Ai Solucoes Digitais S/a")</f>
        <v>Anota Ai Solucoes Digitais S/a</v>
      </c>
      <c r="N1229" s="33">
        <f>IFERROR(__xludf.DUMMYFUNCTION("""COMPUTED_VALUE"""),0.5)</f>
        <v>0.5</v>
      </c>
      <c r="O1229" s="4" t="str">
        <f>IFERROR(__xludf.DUMMYFUNCTION("""COMPUTED_VALUE"""),"Anota Ai Solucoes Digitais S/a")</f>
        <v>Anota Ai Solucoes Digitais S/a</v>
      </c>
      <c r="P1229" s="33">
        <f>IFERROR(__xludf.DUMMYFUNCTION("""COMPUTED_VALUE"""),0.5)</f>
        <v>0.5</v>
      </c>
      <c r="Q1229" s="4" t="str">
        <f>IFERROR(__xludf.DUMMYFUNCTION("""COMPUTED_VALUE"""),"Anota Ai Solucoes Digitais S/a")</f>
        <v>Anota Ai Solucoes Digitais S/a</v>
      </c>
      <c r="R1229" s="33">
        <f>IFERROR(__xludf.DUMMYFUNCTION("""COMPUTED_VALUE"""),0.5)</f>
        <v>0.5</v>
      </c>
      <c r="S1229" s="4" t="str">
        <f>IFERROR(__xludf.DUMMYFUNCTION("""COMPUTED_VALUE"""),"null")</f>
        <v>null</v>
      </c>
      <c r="T1229" s="33">
        <f>IFERROR(__xludf.DUMMYFUNCTION("""COMPUTED_VALUE"""),0.3333333333333333)</f>
        <v>0.3333333333</v>
      </c>
      <c r="U1229" s="4" t="str">
        <f>IFERROR(__xludf.DUMMYFUNCTION("""COMPUTED_VALUE"""),"null")</f>
        <v>null</v>
      </c>
      <c r="V1229" s="33">
        <f>IFERROR(__xludf.DUMMYFUNCTION("""COMPUTED_VALUE"""),0.3333333333333333)</f>
        <v>0.3333333333</v>
      </c>
      <c r="W1229" s="4" t="str">
        <f>IFERROR(__xludf.DUMMYFUNCTION("""COMPUTED_VALUE"""),"Anota Ai Solucoes Digitais S/a")</f>
        <v>Anota Ai Solucoes Digitais S/a</v>
      </c>
      <c r="X1229" s="33">
        <f>IFERROR(__xludf.DUMMYFUNCTION("""COMPUTED_VALUE"""),0.5)</f>
        <v>0.5</v>
      </c>
    </row>
    <row r="1230">
      <c r="K1230" s="4" t="str">
        <f>IFERROR(__xludf.DUMMYFUNCTION("""COMPUTED_VALUE"""),"ACAI DA FELICIDADE")</f>
        <v>ACAI DA FELICIDADE</v>
      </c>
      <c r="L1230" s="32">
        <f>IFERROR(__xludf.DUMMYFUNCTION("""COMPUTED_VALUE"""),6.0)</f>
        <v>6</v>
      </c>
      <c r="M1230" s="4" t="str">
        <f>IFERROR(__xludf.DUMMYFUNCTION("""COMPUTED_VALUE"""),"Saipos Serviços De Software")</f>
        <v>Saipos Serviços De Software</v>
      </c>
      <c r="N1230" s="33">
        <f>IFERROR(__xludf.DUMMYFUNCTION("""COMPUTED_VALUE"""),0.3333333333333333)</f>
        <v>0.3333333333</v>
      </c>
      <c r="O1230" s="4" t="str">
        <f>IFERROR(__xludf.DUMMYFUNCTION("""COMPUTED_VALUE"""),"null")</f>
        <v>null</v>
      </c>
      <c r="P1230" s="33">
        <f>IFERROR(__xludf.DUMMYFUNCTION("""COMPUTED_VALUE"""),0.5)</f>
        <v>0.5</v>
      </c>
      <c r="Q1230" s="4" t="str">
        <f>IFERROR(__xludf.DUMMYFUNCTION("""COMPUTED_VALUE"""),"null")</f>
        <v>null</v>
      </c>
      <c r="R1230" s="33">
        <f>IFERROR(__xludf.DUMMYFUNCTION("""COMPUTED_VALUE"""),0.5)</f>
        <v>0.5</v>
      </c>
      <c r="S1230" s="4" t="str">
        <f>IFERROR(__xludf.DUMMYFUNCTION("""COMPUTED_VALUE"""),"null")</f>
        <v>null</v>
      </c>
      <c r="T1230" s="33">
        <f>IFERROR(__xludf.DUMMYFUNCTION("""COMPUTED_VALUE"""),0.5)</f>
        <v>0.5</v>
      </c>
      <c r="U1230" s="4" t="str">
        <f>IFERROR(__xludf.DUMMYFUNCTION("""COMPUTED_VALUE"""),"null")</f>
        <v>null</v>
      </c>
      <c r="V1230" s="33">
        <f>IFERROR(__xludf.DUMMYFUNCTION("""COMPUTED_VALUE"""),0.3333333333333333)</f>
        <v>0.3333333333</v>
      </c>
      <c r="W1230" s="4" t="str">
        <f>IFERROR(__xludf.DUMMYFUNCTION("""COMPUTED_VALUE"""),"Saipos Serviços De Software")</f>
        <v>Saipos Serviços De Software</v>
      </c>
      <c r="X1230" s="33">
        <f>IFERROR(__xludf.DUMMYFUNCTION("""COMPUTED_VALUE"""),0.3333333333333333)</f>
        <v>0.3333333333</v>
      </c>
    </row>
    <row r="1231">
      <c r="K1231" s="4" t="str">
        <f>IFERROR(__xludf.DUMMYFUNCTION("""COMPUTED_VALUE"""),"DOCE ENCANTO")</f>
        <v>DOCE ENCANTO</v>
      </c>
      <c r="L1231" s="32">
        <f>IFERROR(__xludf.DUMMYFUNCTION("""COMPUTED_VALUE"""),6.0)</f>
        <v>6</v>
      </c>
      <c r="M1231" s="4" t="str">
        <f>IFERROR(__xludf.DUMMYFUNCTION("""COMPUTED_VALUE"""),"null")</f>
        <v>null</v>
      </c>
      <c r="N1231" s="33">
        <f>IFERROR(__xludf.DUMMYFUNCTION("""COMPUTED_VALUE"""),0.6666666666666666)</f>
        <v>0.6666666667</v>
      </c>
      <c r="O1231" s="4" t="str">
        <f>IFERROR(__xludf.DUMMYFUNCTION("""COMPUTED_VALUE"""),"Instadelivery")</f>
        <v>Instadelivery</v>
      </c>
      <c r="P1231" s="33">
        <f>IFERROR(__xludf.DUMMYFUNCTION("""COMPUTED_VALUE"""),0.3333333333333333)</f>
        <v>0.3333333333</v>
      </c>
      <c r="Q1231" s="4" t="str">
        <f>IFERROR(__xludf.DUMMYFUNCTION("""COMPUTED_VALUE"""),"null")</f>
        <v>null</v>
      </c>
      <c r="R1231" s="33">
        <f>IFERROR(__xludf.DUMMYFUNCTION("""COMPUTED_VALUE"""),0.6666666666666666)</f>
        <v>0.6666666667</v>
      </c>
      <c r="S1231" s="4" t="str">
        <f>IFERROR(__xludf.DUMMYFUNCTION("""COMPUTED_VALUE"""),"null")</f>
        <v>null</v>
      </c>
      <c r="T1231" s="33">
        <f>IFERROR(__xludf.DUMMYFUNCTION("""COMPUTED_VALUE"""),0.6666666666666666)</f>
        <v>0.6666666667</v>
      </c>
      <c r="U1231" s="4" t="str">
        <f>IFERROR(__xludf.DUMMYFUNCTION("""COMPUTED_VALUE"""),"null")</f>
        <v>null</v>
      </c>
      <c r="V1231" s="33">
        <f>IFERROR(__xludf.DUMMYFUNCTION("""COMPUTED_VALUE"""),0.5)</f>
        <v>0.5</v>
      </c>
      <c r="W1231" s="4" t="str">
        <f>IFERROR(__xludf.DUMMYFUNCTION("""COMPUTED_VALUE"""),"null")</f>
        <v>null</v>
      </c>
      <c r="X1231" s="33">
        <f>IFERROR(__xludf.DUMMYFUNCTION("""COMPUTED_VALUE"""),0.6666666666666666)</f>
        <v>0.6666666667</v>
      </c>
    </row>
    <row r="1232">
      <c r="K1232" s="4" t="str">
        <f>IFERROR(__xludf.DUMMYFUNCTION("""COMPUTED_VALUE"""),"SABOR DE CASA")</f>
        <v>SABOR DE CASA</v>
      </c>
      <c r="L1232" s="32">
        <f>IFERROR(__xludf.DUMMYFUNCTION("""COMPUTED_VALUE"""),6.0)</f>
        <v>6</v>
      </c>
      <c r="M1232" s="4" t="str">
        <f>IFERROR(__xludf.DUMMYFUNCTION("""COMPUTED_VALUE"""),"null")</f>
        <v>null</v>
      </c>
      <c r="N1232" s="33">
        <f>IFERROR(__xludf.DUMMYFUNCTION("""COMPUTED_VALUE"""),0.3333333333333333)</f>
        <v>0.3333333333</v>
      </c>
      <c r="O1232" s="4" t="str">
        <f>IFERROR(__xludf.DUMMYFUNCTION("""COMPUTED_VALUE"""),"null")</f>
        <v>null</v>
      </c>
      <c r="P1232" s="33">
        <f>IFERROR(__xludf.DUMMYFUNCTION("""COMPUTED_VALUE"""),0.3333333333333333)</f>
        <v>0.3333333333</v>
      </c>
      <c r="Q1232" s="4" t="str">
        <f>IFERROR(__xludf.DUMMYFUNCTION("""COMPUTED_VALUE"""),"Cardápio Web")</f>
        <v>Cardápio Web</v>
      </c>
      <c r="R1232" s="33">
        <f>IFERROR(__xludf.DUMMYFUNCTION("""COMPUTED_VALUE"""),0.16666666666666666)</f>
        <v>0.1666666667</v>
      </c>
      <c r="S1232" s="4" t="str">
        <f>IFERROR(__xludf.DUMMYFUNCTION("""COMPUTED_VALUE"""),"null")</f>
        <v>null</v>
      </c>
      <c r="T1232" s="33">
        <f>IFERROR(__xludf.DUMMYFUNCTION("""COMPUTED_VALUE"""),0.3333333333333333)</f>
        <v>0.3333333333</v>
      </c>
      <c r="U1232" s="4" t="str">
        <f>IFERROR(__xludf.DUMMYFUNCTION("""COMPUTED_VALUE"""),"null")</f>
        <v>null</v>
      </c>
      <c r="V1232" s="33">
        <f>IFERROR(__xludf.DUMMYFUNCTION("""COMPUTED_VALUE"""),0.3333333333333333)</f>
        <v>0.3333333333</v>
      </c>
      <c r="W1232" s="4" t="str">
        <f>IFERROR(__xludf.DUMMYFUNCTION("""COMPUTED_VALUE"""),"null")</f>
        <v>null</v>
      </c>
      <c r="X1232" s="33">
        <f>IFERROR(__xludf.DUMMYFUNCTION("""COMPUTED_VALUE"""),0.3333333333333333)</f>
        <v>0.3333333333</v>
      </c>
    </row>
    <row r="1233">
      <c r="K1233" s="4" t="str">
        <f>IFERROR(__xludf.DUMMYFUNCTION("""COMPUTED_VALUE"""),"ACAI DA VILLA")</f>
        <v>ACAI DA VILLA</v>
      </c>
      <c r="L1233" s="32">
        <f>IFERROR(__xludf.DUMMYFUNCTION("""COMPUTED_VALUE"""),6.0)</f>
        <v>6</v>
      </c>
      <c r="M1233" s="4" t="str">
        <f>IFERROR(__xludf.DUMMYFUNCTION("""COMPUTED_VALUE"""),"null")</f>
        <v>null</v>
      </c>
      <c r="N1233" s="33">
        <f>IFERROR(__xludf.DUMMYFUNCTION("""COMPUTED_VALUE"""),0.8333333333333334)</f>
        <v>0.8333333333</v>
      </c>
      <c r="O1233" s="4" t="str">
        <f>IFERROR(__xludf.DUMMYFUNCTION("""COMPUTED_VALUE"""),"null")</f>
        <v>null</v>
      </c>
      <c r="P1233" s="33">
        <f>IFERROR(__xludf.DUMMYFUNCTION("""COMPUTED_VALUE"""),0.6666666666666666)</f>
        <v>0.6666666667</v>
      </c>
      <c r="Q1233" s="4" t="str">
        <f>IFERROR(__xludf.DUMMYFUNCTION("""COMPUTED_VALUE"""),"null")</f>
        <v>null</v>
      </c>
      <c r="R1233" s="33">
        <f>IFERROR(__xludf.DUMMYFUNCTION("""COMPUTED_VALUE"""),0.3333333333333333)</f>
        <v>0.3333333333</v>
      </c>
      <c r="S1233" s="4" t="str">
        <f>IFERROR(__xludf.DUMMYFUNCTION("""COMPUTED_VALUE"""),"Saipos Serviços De Software")</f>
        <v>Saipos Serviços De Software</v>
      </c>
      <c r="T1233" s="33">
        <f>IFERROR(__xludf.DUMMYFUNCTION("""COMPUTED_VALUE"""),0.3333333333333333)</f>
        <v>0.3333333333</v>
      </c>
      <c r="U1233" s="4" t="str">
        <f>IFERROR(__xludf.DUMMYFUNCTION("""COMPUTED_VALUE"""),"Saipos Serviços De Software")</f>
        <v>Saipos Serviços De Software</v>
      </c>
      <c r="V1233" s="33">
        <f>IFERROR(__xludf.DUMMYFUNCTION("""COMPUTED_VALUE"""),0.3333333333333333)</f>
        <v>0.3333333333</v>
      </c>
      <c r="W1233" s="4" t="str">
        <f>IFERROR(__xludf.DUMMYFUNCTION("""COMPUTED_VALUE"""),"Saipos Serviços De Software")</f>
        <v>Saipos Serviços De Software</v>
      </c>
      <c r="X1233" s="33">
        <f>IFERROR(__xludf.DUMMYFUNCTION("""COMPUTED_VALUE"""),0.3333333333333333)</f>
        <v>0.3333333333</v>
      </c>
    </row>
    <row r="1234">
      <c r="K1234" s="4" t="str">
        <f>IFERROR(__xludf.DUMMYFUNCTION("""COMPUTED_VALUE"""),"BLACK BURGER")</f>
        <v>BLACK BURGER</v>
      </c>
      <c r="L1234" s="32">
        <f>IFERROR(__xludf.DUMMYFUNCTION("""COMPUTED_VALUE"""),6.0)</f>
        <v>6</v>
      </c>
      <c r="M1234" s="4" t="str">
        <f>IFERROR(__xludf.DUMMYFUNCTION("""COMPUTED_VALUE"""),"null")</f>
        <v>null</v>
      </c>
      <c r="N1234" s="33">
        <f>IFERROR(__xludf.DUMMYFUNCTION("""COMPUTED_VALUE"""),0.3333333333333333)</f>
        <v>0.3333333333</v>
      </c>
      <c r="O1234" s="4" t="str">
        <f>IFERROR(__xludf.DUMMYFUNCTION("""COMPUTED_VALUE"""),"Saipos Serviços De Software")</f>
        <v>Saipos Serviços De Software</v>
      </c>
      <c r="P1234" s="33">
        <f>IFERROR(__xludf.DUMMYFUNCTION("""COMPUTED_VALUE"""),0.5)</f>
        <v>0.5</v>
      </c>
      <c r="Q1234" s="4" t="str">
        <f>IFERROR(__xludf.DUMMYFUNCTION("""COMPUTED_VALUE"""),"Saipos Serviços De Software")</f>
        <v>Saipos Serviços De Software</v>
      </c>
      <c r="R1234" s="33">
        <f>IFERROR(__xludf.DUMMYFUNCTION("""COMPUTED_VALUE"""),0.5)</f>
        <v>0.5</v>
      </c>
      <c r="S1234" s="4" t="str">
        <f>IFERROR(__xludf.DUMMYFUNCTION("""COMPUTED_VALUE"""),"Saipos Serviços De Software")</f>
        <v>Saipos Serviços De Software</v>
      </c>
      <c r="T1234" s="33">
        <f>IFERROR(__xludf.DUMMYFUNCTION("""COMPUTED_VALUE"""),0.3333333333333333)</f>
        <v>0.3333333333</v>
      </c>
      <c r="U1234" s="4" t="str">
        <f>IFERROR(__xludf.DUMMYFUNCTION("""COMPUTED_VALUE"""),"Saipos Serviços De Software")</f>
        <v>Saipos Serviços De Software</v>
      </c>
      <c r="V1234" s="33">
        <f>IFERROR(__xludf.DUMMYFUNCTION("""COMPUTED_VALUE"""),0.3333333333333333)</f>
        <v>0.3333333333</v>
      </c>
      <c r="W1234" s="4" t="str">
        <f>IFERROR(__xludf.DUMMYFUNCTION("""COMPUTED_VALUE"""),"null")</f>
        <v>null</v>
      </c>
      <c r="X1234" s="33">
        <f>IFERROR(__xludf.DUMMYFUNCTION("""COMPUTED_VALUE"""),0.3333333333333333)</f>
        <v>0.3333333333</v>
      </c>
    </row>
    <row r="1235">
      <c r="K1235" s="4" t="str">
        <f>IFERROR(__xludf.DUMMYFUNCTION("""COMPUTED_VALUE"""),"NA BRASA HAMBURGUERIA")</f>
        <v>NA BRASA HAMBURGUERIA</v>
      </c>
      <c r="L1235" s="32">
        <f>IFERROR(__xludf.DUMMYFUNCTION("""COMPUTED_VALUE"""),6.0)</f>
        <v>6</v>
      </c>
      <c r="M1235" s="4" t="str">
        <f>IFERROR(__xludf.DUMMYFUNCTION("""COMPUTED_VALUE"""),"null")</f>
        <v>null</v>
      </c>
      <c r="N1235" s="33">
        <f>IFERROR(__xludf.DUMMYFUNCTION("""COMPUTED_VALUE"""),1.0)</f>
        <v>1</v>
      </c>
      <c r="O1235" s="4" t="str">
        <f>IFERROR(__xludf.DUMMYFUNCTION("""COMPUTED_VALUE"""),"null")</f>
        <v>null</v>
      </c>
      <c r="P1235" s="33">
        <f>IFERROR(__xludf.DUMMYFUNCTION("""COMPUTED_VALUE"""),1.0)</f>
        <v>1</v>
      </c>
      <c r="Q1235" s="4" t="str">
        <f>IFERROR(__xludf.DUMMYFUNCTION("""COMPUTED_VALUE"""),"null")</f>
        <v>null</v>
      </c>
      <c r="R1235" s="33">
        <f>IFERROR(__xludf.DUMMYFUNCTION("""COMPUTED_VALUE"""),0.6666666666666666)</f>
        <v>0.6666666667</v>
      </c>
      <c r="S1235" s="4" t="str">
        <f>IFERROR(__xludf.DUMMYFUNCTION("""COMPUTED_VALUE"""),"null")</f>
        <v>null</v>
      </c>
      <c r="T1235" s="33">
        <f>IFERROR(__xludf.DUMMYFUNCTION("""COMPUTED_VALUE"""),0.5)</f>
        <v>0.5</v>
      </c>
      <c r="U1235" s="4" t="str">
        <f>IFERROR(__xludf.DUMMYFUNCTION("""COMPUTED_VALUE"""),"Saipos Serviços De Software")</f>
        <v>Saipos Serviços De Software</v>
      </c>
      <c r="V1235" s="33">
        <f>IFERROR(__xludf.DUMMYFUNCTION("""COMPUTED_VALUE"""),0.6666666666666666)</f>
        <v>0.6666666667</v>
      </c>
      <c r="W1235" s="4" t="str">
        <f>IFERROR(__xludf.DUMMYFUNCTION("""COMPUTED_VALUE"""),"Saipos Serviços De Software")</f>
        <v>Saipos Serviços De Software</v>
      </c>
      <c r="X1235" s="33">
        <f>IFERROR(__xludf.DUMMYFUNCTION("""COMPUTED_VALUE"""),0.6666666666666666)</f>
        <v>0.6666666667</v>
      </c>
    </row>
    <row r="1236">
      <c r="K1236" s="4" t="str">
        <f>IFERROR(__xludf.DUMMYFUNCTION("""COMPUTED_VALUE"""),"ARABIS ESFIHARIA")</f>
        <v>ARABIS ESFIHARIA</v>
      </c>
      <c r="L1236" s="32">
        <f>IFERROR(__xludf.DUMMYFUNCTION("""COMPUTED_VALUE"""),6.0)</f>
        <v>6</v>
      </c>
      <c r="M1236" s="4" t="str">
        <f>IFERROR(__xludf.DUMMYFUNCTION("""COMPUTED_VALUE"""),"Rw Informática Ltda")</f>
        <v>Rw Informática Ltda</v>
      </c>
      <c r="N1236" s="33">
        <f>IFERROR(__xludf.DUMMYFUNCTION("""COMPUTED_VALUE"""),0.8333333333333334)</f>
        <v>0.8333333333</v>
      </c>
      <c r="O1236" s="4" t="str">
        <f>IFERROR(__xludf.DUMMYFUNCTION("""COMPUTED_VALUE"""),"Rw Informática Ltda")</f>
        <v>Rw Informática Ltda</v>
      </c>
      <c r="P1236" s="33">
        <f>IFERROR(__xludf.DUMMYFUNCTION("""COMPUTED_VALUE"""),0.6666666666666666)</f>
        <v>0.6666666667</v>
      </c>
      <c r="Q1236" s="4" t="str">
        <f>IFERROR(__xludf.DUMMYFUNCTION("""COMPUTED_VALUE"""),"Rw Informática Ltda")</f>
        <v>Rw Informática Ltda</v>
      </c>
      <c r="R1236" s="33">
        <f>IFERROR(__xludf.DUMMYFUNCTION("""COMPUTED_VALUE"""),0.6666666666666666)</f>
        <v>0.6666666667</v>
      </c>
      <c r="S1236" s="4" t="str">
        <f>IFERROR(__xludf.DUMMYFUNCTION("""COMPUTED_VALUE"""),"Rw Informática Ltda")</f>
        <v>Rw Informática Ltda</v>
      </c>
      <c r="T1236" s="33">
        <f>IFERROR(__xludf.DUMMYFUNCTION("""COMPUTED_VALUE"""),0.6666666666666666)</f>
        <v>0.6666666667</v>
      </c>
      <c r="U1236" s="4" t="str">
        <f>IFERROR(__xludf.DUMMYFUNCTION("""COMPUTED_VALUE"""),"Rw Informática Ltda")</f>
        <v>Rw Informática Ltda</v>
      </c>
      <c r="V1236" s="33">
        <f>IFERROR(__xludf.DUMMYFUNCTION("""COMPUTED_VALUE"""),0.6666666666666666)</f>
        <v>0.6666666667</v>
      </c>
      <c r="W1236" s="4" t="str">
        <f>IFERROR(__xludf.DUMMYFUNCTION("""COMPUTED_VALUE"""),"Rw Informática Ltda")</f>
        <v>Rw Informática Ltda</v>
      </c>
      <c r="X1236" s="33">
        <f>IFERROR(__xludf.DUMMYFUNCTION("""COMPUTED_VALUE"""),0.8333333333333334)</f>
        <v>0.8333333333</v>
      </c>
    </row>
    <row r="1237">
      <c r="K1237" s="4" t="str">
        <f>IFERROR(__xludf.DUMMYFUNCTION("""COMPUTED_VALUE"""),"CASA DO FRANGO")</f>
        <v>CASA DO FRANGO</v>
      </c>
      <c r="L1237" s="32">
        <f>IFERROR(__xludf.DUMMYFUNCTION("""COMPUTED_VALUE"""),6.0)</f>
        <v>6</v>
      </c>
      <c r="M1237" s="4" t="str">
        <f>IFERROR(__xludf.DUMMYFUNCTION("""COMPUTED_VALUE"""),"Saipos Serviços De Software")</f>
        <v>Saipos Serviços De Software</v>
      </c>
      <c r="N1237" s="33">
        <f>IFERROR(__xludf.DUMMYFUNCTION("""COMPUTED_VALUE"""),0.8333333333333334)</f>
        <v>0.8333333333</v>
      </c>
      <c r="O1237" s="4" t="str">
        <f>IFERROR(__xludf.DUMMYFUNCTION("""COMPUTED_VALUE"""),"Saipos Serviços De Software")</f>
        <v>Saipos Serviços De Software</v>
      </c>
      <c r="P1237" s="33">
        <f>IFERROR(__xludf.DUMMYFUNCTION("""COMPUTED_VALUE"""),0.8333333333333334)</f>
        <v>0.8333333333</v>
      </c>
      <c r="Q1237" s="4" t="str">
        <f>IFERROR(__xludf.DUMMYFUNCTION("""COMPUTED_VALUE"""),"Saipos Serviços De Software")</f>
        <v>Saipos Serviços De Software</v>
      </c>
      <c r="R1237" s="33">
        <f>IFERROR(__xludf.DUMMYFUNCTION("""COMPUTED_VALUE"""),0.8333333333333334)</f>
        <v>0.8333333333</v>
      </c>
      <c r="S1237" s="4" t="str">
        <f>IFERROR(__xludf.DUMMYFUNCTION("""COMPUTED_VALUE"""),"Saipos Serviços De Software")</f>
        <v>Saipos Serviços De Software</v>
      </c>
      <c r="T1237" s="33">
        <f>IFERROR(__xludf.DUMMYFUNCTION("""COMPUTED_VALUE"""),0.8333333333333334)</f>
        <v>0.8333333333</v>
      </c>
      <c r="U1237" s="4" t="str">
        <f>IFERROR(__xludf.DUMMYFUNCTION("""COMPUTED_VALUE"""),"Saipos Serviços De Software")</f>
        <v>Saipos Serviços De Software</v>
      </c>
      <c r="V1237" s="33">
        <f>IFERROR(__xludf.DUMMYFUNCTION("""COMPUTED_VALUE"""),0.8333333333333334)</f>
        <v>0.8333333333</v>
      </c>
      <c r="W1237" s="4" t="str">
        <f>IFERROR(__xludf.DUMMYFUNCTION("""COMPUTED_VALUE"""),"Saipos Serviços De Software")</f>
        <v>Saipos Serviços De Software</v>
      </c>
      <c r="X1237" s="33">
        <f>IFERROR(__xludf.DUMMYFUNCTION("""COMPUTED_VALUE"""),0.8333333333333334)</f>
        <v>0.8333333333</v>
      </c>
    </row>
    <row r="1238">
      <c r="K1238" s="4" t="str">
        <f>IFERROR(__xludf.DUMMYFUNCTION("""COMPUTED_VALUE"""),"SUPREMA PIZZA")</f>
        <v>SUPREMA PIZZA</v>
      </c>
      <c r="L1238" s="32">
        <f>IFERROR(__xludf.DUMMYFUNCTION("""COMPUTED_VALUE"""),6.0)</f>
        <v>6</v>
      </c>
      <c r="M1238" s="4" t="str">
        <f>IFERROR(__xludf.DUMMYFUNCTION("""COMPUTED_VALUE"""),"Mp Multipedidos")</f>
        <v>Mp Multipedidos</v>
      </c>
      <c r="N1238" s="33">
        <f>IFERROR(__xludf.DUMMYFUNCTION("""COMPUTED_VALUE"""),0.3333333333333333)</f>
        <v>0.3333333333</v>
      </c>
      <c r="O1238" s="4" t="str">
        <f>IFERROR(__xludf.DUMMYFUNCTION("""COMPUTED_VALUE"""),"Mp Multipedidos")</f>
        <v>Mp Multipedidos</v>
      </c>
      <c r="P1238" s="33">
        <f>IFERROR(__xludf.DUMMYFUNCTION("""COMPUTED_VALUE"""),0.3333333333333333)</f>
        <v>0.3333333333</v>
      </c>
      <c r="Q1238" s="4" t="str">
        <f>IFERROR(__xludf.DUMMYFUNCTION("""COMPUTED_VALUE"""),"Saipos Serviços De Software")</f>
        <v>Saipos Serviços De Software</v>
      </c>
      <c r="R1238" s="33">
        <f>IFERROR(__xludf.DUMMYFUNCTION("""COMPUTED_VALUE"""),0.3333333333333333)</f>
        <v>0.3333333333</v>
      </c>
      <c r="S1238" s="4" t="str">
        <f>IFERROR(__xludf.DUMMYFUNCTION("""COMPUTED_VALUE"""),"Saipos Serviços De Software")</f>
        <v>Saipos Serviços De Software</v>
      </c>
      <c r="T1238" s="33">
        <f>IFERROR(__xludf.DUMMYFUNCTION("""COMPUTED_VALUE"""),0.3333333333333333)</f>
        <v>0.3333333333</v>
      </c>
      <c r="U1238" s="4" t="str">
        <f>IFERROR(__xludf.DUMMYFUNCTION("""COMPUTED_VALUE"""),"Saipos Serviços De Software")</f>
        <v>Saipos Serviços De Software</v>
      </c>
      <c r="V1238" s="33">
        <f>IFERROR(__xludf.DUMMYFUNCTION("""COMPUTED_VALUE"""),0.3333333333333333)</f>
        <v>0.3333333333</v>
      </c>
      <c r="W1238" s="4" t="str">
        <f>IFERROR(__xludf.DUMMYFUNCTION("""COMPUTED_VALUE"""),"Saipos Serviços De Software")</f>
        <v>Saipos Serviços De Software</v>
      </c>
      <c r="X1238" s="33">
        <f>IFERROR(__xludf.DUMMYFUNCTION("""COMPUTED_VALUE"""),0.3333333333333333)</f>
        <v>0.3333333333</v>
      </c>
    </row>
    <row r="1239">
      <c r="K1239" s="4" t="str">
        <f>IFERROR(__xludf.DUMMYFUNCTION("""COMPUTED_VALUE"""),"PASTEL MANIA")</f>
        <v>PASTEL MANIA</v>
      </c>
      <c r="L1239" s="32">
        <f>IFERROR(__xludf.DUMMYFUNCTION("""COMPUTED_VALUE"""),6.0)</f>
        <v>6</v>
      </c>
      <c r="M1239" s="4" t="str">
        <f>IFERROR(__xludf.DUMMYFUNCTION("""COMPUTED_VALUE"""),"null")</f>
        <v>null</v>
      </c>
      <c r="N1239" s="33">
        <f>IFERROR(__xludf.DUMMYFUNCTION("""COMPUTED_VALUE"""),0.5)</f>
        <v>0.5</v>
      </c>
      <c r="O1239" s="4" t="str">
        <f>IFERROR(__xludf.DUMMYFUNCTION("""COMPUTED_VALUE"""),"null")</f>
        <v>null</v>
      </c>
      <c r="P1239" s="33">
        <f>IFERROR(__xludf.DUMMYFUNCTION("""COMPUTED_VALUE"""),0.5)</f>
        <v>0.5</v>
      </c>
      <c r="Q1239" s="4" t="str">
        <f>IFERROR(__xludf.DUMMYFUNCTION("""COMPUTED_VALUE"""),"null")</f>
        <v>null</v>
      </c>
      <c r="R1239" s="33">
        <f>IFERROR(__xludf.DUMMYFUNCTION("""COMPUTED_VALUE"""),0.5)</f>
        <v>0.5</v>
      </c>
      <c r="S1239" s="4" t="str">
        <f>IFERROR(__xludf.DUMMYFUNCTION("""COMPUTED_VALUE"""),"null")</f>
        <v>null</v>
      </c>
      <c r="T1239" s="33">
        <f>IFERROR(__xludf.DUMMYFUNCTION("""COMPUTED_VALUE"""),0.5)</f>
        <v>0.5</v>
      </c>
      <c r="U1239" s="4" t="str">
        <f>IFERROR(__xludf.DUMMYFUNCTION("""COMPUTED_VALUE"""),"Yooga")</f>
        <v>Yooga</v>
      </c>
      <c r="V1239" s="33">
        <f>IFERROR(__xludf.DUMMYFUNCTION("""COMPUTED_VALUE"""),0.3333333333333333)</f>
        <v>0.3333333333</v>
      </c>
      <c r="W1239" s="4" t="str">
        <f>IFERROR(__xludf.DUMMYFUNCTION("""COMPUTED_VALUE"""),"null")</f>
        <v>null</v>
      </c>
      <c r="X1239" s="33">
        <f>IFERROR(__xludf.DUMMYFUNCTION("""COMPUTED_VALUE"""),0.3333333333333333)</f>
        <v>0.3333333333</v>
      </c>
    </row>
    <row r="1240">
      <c r="K1240" s="4" t="str">
        <f>IFERROR(__xludf.DUMMYFUNCTION("""COMPUTED_VALUE"""),"HAMBURGUERIA")</f>
        <v>HAMBURGUERIA</v>
      </c>
      <c r="L1240" s="32">
        <f>IFERROR(__xludf.DUMMYFUNCTION("""COMPUTED_VALUE"""),6.0)</f>
        <v>6</v>
      </c>
      <c r="M1240" s="4" t="str">
        <f>IFERROR(__xludf.DUMMYFUNCTION("""COMPUTED_VALUE"""),"null")</f>
        <v>null</v>
      </c>
      <c r="N1240" s="33">
        <f>IFERROR(__xludf.DUMMYFUNCTION("""COMPUTED_VALUE"""),0.5)</f>
        <v>0.5</v>
      </c>
      <c r="O1240" s="4" t="str">
        <f>IFERROR(__xludf.DUMMYFUNCTION("""COMPUTED_VALUE"""),"null")</f>
        <v>null</v>
      </c>
      <c r="P1240" s="33">
        <f>IFERROR(__xludf.DUMMYFUNCTION("""COMPUTED_VALUE"""),0.8333333333333334)</f>
        <v>0.8333333333</v>
      </c>
      <c r="Q1240" s="4" t="str">
        <f>IFERROR(__xludf.DUMMYFUNCTION("""COMPUTED_VALUE"""),"null")</f>
        <v>null</v>
      </c>
      <c r="R1240" s="33">
        <f>IFERROR(__xludf.DUMMYFUNCTION("""COMPUTED_VALUE"""),0.8333333333333334)</f>
        <v>0.8333333333</v>
      </c>
      <c r="S1240" s="4" t="str">
        <f>IFERROR(__xludf.DUMMYFUNCTION("""COMPUTED_VALUE"""),"Saipos Serviços De Software")</f>
        <v>Saipos Serviços De Software</v>
      </c>
      <c r="T1240" s="33">
        <f>IFERROR(__xludf.DUMMYFUNCTION("""COMPUTED_VALUE"""),0.5)</f>
        <v>0.5</v>
      </c>
      <c r="U1240" s="4" t="str">
        <f>IFERROR(__xludf.DUMMYFUNCTION("""COMPUTED_VALUE"""),"Saipos Serviços De Software")</f>
        <v>Saipos Serviços De Software</v>
      </c>
      <c r="V1240" s="33">
        <f>IFERROR(__xludf.DUMMYFUNCTION("""COMPUTED_VALUE"""),0.5)</f>
        <v>0.5</v>
      </c>
      <c r="W1240" s="4" t="str">
        <f>IFERROR(__xludf.DUMMYFUNCTION("""COMPUTED_VALUE"""),"Saipos Serviços De Software")</f>
        <v>Saipos Serviços De Software</v>
      </c>
      <c r="X1240" s="33">
        <f>IFERROR(__xludf.DUMMYFUNCTION("""COMPUTED_VALUE"""),0.5)</f>
        <v>0.5</v>
      </c>
    </row>
    <row r="1241">
      <c r="K1241" s="4" t="str">
        <f>IFERROR(__xludf.DUMMYFUNCTION("""COMPUTED_VALUE"""),"BRASEIRO")</f>
        <v>BRASEIRO</v>
      </c>
      <c r="L1241" s="32">
        <f>IFERROR(__xludf.DUMMYFUNCTION("""COMPUTED_VALUE"""),6.0)</f>
        <v>6</v>
      </c>
      <c r="M1241" s="4" t="str">
        <f>IFERROR(__xludf.DUMMYFUNCTION("""COMPUTED_VALUE"""),"Anota Ai Solucoes Digitais S/a")</f>
        <v>Anota Ai Solucoes Digitais S/a</v>
      </c>
      <c r="N1241" s="33">
        <f>IFERROR(__xludf.DUMMYFUNCTION("""COMPUTED_VALUE"""),0.3333333333333333)</f>
        <v>0.3333333333</v>
      </c>
      <c r="O1241" s="4" t="str">
        <f>IFERROR(__xludf.DUMMYFUNCTION("""COMPUTED_VALUE"""),"Anota Ai Solucoes Digitais S/a")</f>
        <v>Anota Ai Solucoes Digitais S/a</v>
      </c>
      <c r="P1241" s="33">
        <f>IFERROR(__xludf.DUMMYFUNCTION("""COMPUTED_VALUE"""),0.3333333333333333)</f>
        <v>0.3333333333</v>
      </c>
      <c r="Q1241" s="4" t="str">
        <f>IFERROR(__xludf.DUMMYFUNCTION("""COMPUTED_VALUE"""),"null")</f>
        <v>null</v>
      </c>
      <c r="R1241" s="33">
        <f>IFERROR(__xludf.DUMMYFUNCTION("""COMPUTED_VALUE"""),0.3333333333333333)</f>
        <v>0.3333333333</v>
      </c>
      <c r="S1241" s="4" t="str">
        <f>IFERROR(__xludf.DUMMYFUNCTION("""COMPUTED_VALUE"""),"null")</f>
        <v>null</v>
      </c>
      <c r="T1241" s="33">
        <f>IFERROR(__xludf.DUMMYFUNCTION("""COMPUTED_VALUE"""),0.3333333333333333)</f>
        <v>0.3333333333</v>
      </c>
      <c r="U1241" s="4" t="str">
        <f>IFERROR(__xludf.DUMMYFUNCTION("""COMPUTED_VALUE"""),"null")</f>
        <v>null</v>
      </c>
      <c r="V1241" s="33">
        <f>IFERROR(__xludf.DUMMYFUNCTION("""COMPUTED_VALUE"""),0.3333333333333333)</f>
        <v>0.3333333333</v>
      </c>
      <c r="W1241" s="4" t="str">
        <f>IFERROR(__xludf.DUMMYFUNCTION("""COMPUTED_VALUE"""),"null")</f>
        <v>null</v>
      </c>
      <c r="X1241" s="33">
        <f>IFERROR(__xludf.DUMMYFUNCTION("""COMPUTED_VALUE"""),0.5)</f>
        <v>0.5</v>
      </c>
    </row>
    <row r="1242">
      <c r="K1242" s="4" t="str">
        <f>IFERROR(__xludf.DUMMYFUNCTION("""COMPUTED_VALUE"""),"ARTESANO BURGUER")</f>
        <v>ARTESANO BURGUER</v>
      </c>
      <c r="L1242" s="32">
        <f>IFERROR(__xludf.DUMMYFUNCTION("""COMPUTED_VALUE"""),6.0)</f>
        <v>6</v>
      </c>
      <c r="M1242" s="4" t="str">
        <f>IFERROR(__xludf.DUMMYFUNCTION("""COMPUTED_VALUE"""),"Beefood - Sistema Para Restaurantes")</f>
        <v>Beefood - Sistema Para Restaurantes</v>
      </c>
      <c r="N1242" s="33">
        <f>IFERROR(__xludf.DUMMYFUNCTION("""COMPUTED_VALUE"""),0.5)</f>
        <v>0.5</v>
      </c>
      <c r="O1242" s="4" t="str">
        <f>IFERROR(__xludf.DUMMYFUNCTION("""COMPUTED_VALUE"""),"null")</f>
        <v>null</v>
      </c>
      <c r="P1242" s="33">
        <f>IFERROR(__xludf.DUMMYFUNCTION("""COMPUTED_VALUE"""),0.8333333333333334)</f>
        <v>0.8333333333</v>
      </c>
      <c r="Q1242" s="4" t="str">
        <f>IFERROR(__xludf.DUMMYFUNCTION("""COMPUTED_VALUE"""),"null")</f>
        <v>null</v>
      </c>
      <c r="R1242" s="33">
        <f>IFERROR(__xludf.DUMMYFUNCTION("""COMPUTED_VALUE"""),0.8333333333333334)</f>
        <v>0.8333333333</v>
      </c>
      <c r="S1242" s="4" t="str">
        <f>IFERROR(__xludf.DUMMYFUNCTION("""COMPUTED_VALUE"""),"null")</f>
        <v>null</v>
      </c>
      <c r="T1242" s="33">
        <f>IFERROR(__xludf.DUMMYFUNCTION("""COMPUTED_VALUE"""),0.6666666666666666)</f>
        <v>0.6666666667</v>
      </c>
      <c r="U1242" s="4" t="str">
        <f>IFERROR(__xludf.DUMMYFUNCTION("""COMPUTED_VALUE"""),"null")</f>
        <v>null</v>
      </c>
      <c r="V1242" s="33">
        <f>IFERROR(__xludf.DUMMYFUNCTION("""COMPUTED_VALUE"""),0.6666666666666666)</f>
        <v>0.6666666667</v>
      </c>
      <c r="W1242" s="4" t="str">
        <f>IFERROR(__xludf.DUMMYFUNCTION("""COMPUTED_VALUE"""),"null")</f>
        <v>null</v>
      </c>
      <c r="X1242" s="33">
        <f>IFERROR(__xludf.DUMMYFUNCTION("""COMPUTED_VALUE"""),0.5)</f>
        <v>0.5</v>
      </c>
    </row>
    <row r="1243">
      <c r="K1243" s="4" t="str">
        <f>IFERROR(__xludf.DUMMYFUNCTION("""COMPUTED_VALUE"""),"DROGARIA REIS MAGOS")</f>
        <v>DROGARIA REIS MAGOS</v>
      </c>
      <c r="L1243" s="32">
        <f>IFERROR(__xludf.DUMMYFUNCTION("""COMPUTED_VALUE"""),6.0)</f>
        <v>6</v>
      </c>
      <c r="M1243" s="4" t="str">
        <f>IFERROR(__xludf.DUMMYFUNCTION("""COMPUTED_VALUE"""),"N/A (Not found)")</f>
        <v>N/A (Not found)</v>
      </c>
      <c r="N1243" s="33">
        <f>IFERROR(__xludf.DUMMYFUNCTION("""COMPUTED_VALUE"""),1.0)</f>
        <v>1</v>
      </c>
      <c r="O1243" s="4" t="str">
        <f>IFERROR(__xludf.DUMMYFUNCTION("""COMPUTED_VALUE"""),"N/A (Not found)")</f>
        <v>N/A (Not found)</v>
      </c>
      <c r="P1243" s="33">
        <f>IFERROR(__xludf.DUMMYFUNCTION("""COMPUTED_VALUE"""),1.0)</f>
        <v>1</v>
      </c>
      <c r="Q1243" s="4" t="str">
        <f>IFERROR(__xludf.DUMMYFUNCTION("""COMPUTED_VALUE"""),"N/A (Not found)")</f>
        <v>N/A (Not found)</v>
      </c>
      <c r="R1243" s="33">
        <f>IFERROR(__xludf.DUMMYFUNCTION("""COMPUTED_VALUE"""),1.0)</f>
        <v>1</v>
      </c>
      <c r="S1243" s="4" t="str">
        <f>IFERROR(__xludf.DUMMYFUNCTION("""COMPUTED_VALUE"""),"N/A (Not found)")</f>
        <v>N/A (Not found)</v>
      </c>
      <c r="T1243" s="33">
        <f>IFERROR(__xludf.DUMMYFUNCTION("""COMPUTED_VALUE"""),1.0)</f>
        <v>1</v>
      </c>
      <c r="U1243" s="4" t="str">
        <f>IFERROR(__xludf.DUMMYFUNCTION("""COMPUTED_VALUE"""),"N/A (Not found)")</f>
        <v>N/A (Not found)</v>
      </c>
      <c r="V1243" s="33">
        <f>IFERROR(__xludf.DUMMYFUNCTION("""COMPUTED_VALUE"""),1.0)</f>
        <v>1</v>
      </c>
      <c r="W1243" s="4" t="str">
        <f>IFERROR(__xludf.DUMMYFUNCTION("""COMPUTED_VALUE"""),"N/A (Not found)")</f>
        <v>N/A (Not found)</v>
      </c>
      <c r="X1243" s="33">
        <f>IFERROR(__xludf.DUMMYFUNCTION("""COMPUTED_VALUE"""),1.0)</f>
        <v>1</v>
      </c>
    </row>
    <row r="1244">
      <c r="K1244" s="4" t="str">
        <f>IFERROR(__xludf.DUMMYFUNCTION("""COMPUTED_VALUE"""),"CHAO GOIANO HAMBURGUER, HOT DOG E MARMITAS")</f>
        <v>CHAO GOIANO HAMBURGUER, HOT DOG E MARMITAS</v>
      </c>
      <c r="L1244" s="32">
        <f>IFERROR(__xludf.DUMMYFUNCTION("""COMPUTED_VALUE"""),6.0)</f>
        <v>6</v>
      </c>
      <c r="M1244" s="4" t="str">
        <f>IFERROR(__xludf.DUMMYFUNCTION("""COMPUTED_VALUE"""),"Saipos Serviços De Software")</f>
        <v>Saipos Serviços De Software</v>
      </c>
      <c r="N1244" s="33">
        <f>IFERROR(__xludf.DUMMYFUNCTION("""COMPUTED_VALUE"""),1.0)</f>
        <v>1</v>
      </c>
      <c r="O1244" s="4" t="str">
        <f>IFERROR(__xludf.DUMMYFUNCTION("""COMPUTED_VALUE"""),"Saipos Serviços De Software")</f>
        <v>Saipos Serviços De Software</v>
      </c>
      <c r="P1244" s="33">
        <f>IFERROR(__xludf.DUMMYFUNCTION("""COMPUTED_VALUE"""),0.8333333333333334)</f>
        <v>0.8333333333</v>
      </c>
      <c r="Q1244" s="4" t="str">
        <f>IFERROR(__xludf.DUMMYFUNCTION("""COMPUTED_VALUE"""),"Saipos Serviços De Software")</f>
        <v>Saipos Serviços De Software</v>
      </c>
      <c r="R1244" s="33">
        <f>IFERROR(__xludf.DUMMYFUNCTION("""COMPUTED_VALUE"""),1.0)</f>
        <v>1</v>
      </c>
      <c r="S1244" s="4" t="str">
        <f>IFERROR(__xludf.DUMMYFUNCTION("""COMPUTED_VALUE"""),"null")</f>
        <v>null</v>
      </c>
      <c r="T1244" s="33">
        <f>IFERROR(__xludf.DUMMYFUNCTION("""COMPUTED_VALUE"""),0.5)</f>
        <v>0.5</v>
      </c>
      <c r="U1244" s="4" t="str">
        <f>IFERROR(__xludf.DUMMYFUNCTION("""COMPUTED_VALUE"""),"null")</f>
        <v>null</v>
      </c>
      <c r="V1244" s="33">
        <f>IFERROR(__xludf.DUMMYFUNCTION("""COMPUTED_VALUE"""),0.5)</f>
        <v>0.5</v>
      </c>
      <c r="W1244" s="4" t="str">
        <f>IFERROR(__xludf.DUMMYFUNCTION("""COMPUTED_VALUE"""),"null")</f>
        <v>null</v>
      </c>
      <c r="X1244" s="33">
        <f>IFERROR(__xludf.DUMMYFUNCTION("""COMPUTED_VALUE"""),0.5)</f>
        <v>0.5</v>
      </c>
    </row>
    <row r="1245">
      <c r="K1245" s="4" t="str">
        <f>IFERROR(__xludf.DUMMYFUNCTION("""COMPUTED_VALUE"""),"BURGER NA BRASA")</f>
        <v>BURGER NA BRASA</v>
      </c>
      <c r="L1245" s="32">
        <f>IFERROR(__xludf.DUMMYFUNCTION("""COMPUTED_VALUE"""),6.0)</f>
        <v>6</v>
      </c>
      <c r="M1245" s="4" t="str">
        <f>IFERROR(__xludf.DUMMYFUNCTION("""COMPUTED_VALUE"""),"Anota Ai Solucoes Digitais S/a")</f>
        <v>Anota Ai Solucoes Digitais S/a</v>
      </c>
      <c r="N1245" s="33">
        <f>IFERROR(__xludf.DUMMYFUNCTION("""COMPUTED_VALUE"""),0.3333333333333333)</f>
        <v>0.3333333333</v>
      </c>
      <c r="O1245" s="4" t="str">
        <f>IFERROR(__xludf.DUMMYFUNCTION("""COMPUTED_VALUE"""),"Anota Ai Solucoes Digitais S/a")</f>
        <v>Anota Ai Solucoes Digitais S/a</v>
      </c>
      <c r="P1245" s="33">
        <f>IFERROR(__xludf.DUMMYFUNCTION("""COMPUTED_VALUE"""),0.5)</f>
        <v>0.5</v>
      </c>
      <c r="Q1245" s="4" t="str">
        <f>IFERROR(__xludf.DUMMYFUNCTION("""COMPUTED_VALUE"""),"Anota Ai Solucoes Digitais S/a")</f>
        <v>Anota Ai Solucoes Digitais S/a</v>
      </c>
      <c r="R1245" s="33">
        <f>IFERROR(__xludf.DUMMYFUNCTION("""COMPUTED_VALUE"""),0.5)</f>
        <v>0.5</v>
      </c>
      <c r="S1245" s="4" t="str">
        <f>IFERROR(__xludf.DUMMYFUNCTION("""COMPUTED_VALUE"""),"Anota Ai Solucoes Digitais S/a")</f>
        <v>Anota Ai Solucoes Digitais S/a</v>
      </c>
      <c r="T1245" s="33">
        <f>IFERROR(__xludf.DUMMYFUNCTION("""COMPUTED_VALUE"""),0.5)</f>
        <v>0.5</v>
      </c>
      <c r="U1245" s="4" t="str">
        <f>IFERROR(__xludf.DUMMYFUNCTION("""COMPUTED_VALUE"""),"Anota Ai Solucoes Digitais S/a")</f>
        <v>Anota Ai Solucoes Digitais S/a</v>
      </c>
      <c r="V1245" s="33">
        <f>IFERROR(__xludf.DUMMYFUNCTION("""COMPUTED_VALUE"""),0.5)</f>
        <v>0.5</v>
      </c>
      <c r="W1245" s="4" t="str">
        <f>IFERROR(__xludf.DUMMYFUNCTION("""COMPUTED_VALUE"""),"Anota Ai Solucoes Digitais S/a")</f>
        <v>Anota Ai Solucoes Digitais S/a</v>
      </c>
      <c r="X1245" s="33">
        <f>IFERROR(__xludf.DUMMYFUNCTION("""COMPUTED_VALUE"""),0.5)</f>
        <v>0.5</v>
      </c>
    </row>
    <row r="1246">
      <c r="K1246" s="4" t="str">
        <f>IFERROR(__xludf.DUMMYFUNCTION("""COMPUTED_VALUE"""),"PASTEL E CIA")</f>
        <v>PASTEL E CIA</v>
      </c>
      <c r="L1246" s="32">
        <f>IFERROR(__xludf.DUMMYFUNCTION("""COMPUTED_VALUE"""),6.0)</f>
        <v>6</v>
      </c>
      <c r="M1246" s="4" t="str">
        <f>IFERROR(__xludf.DUMMYFUNCTION("""COMPUTED_VALUE"""),"null")</f>
        <v>null</v>
      </c>
      <c r="N1246" s="33">
        <f>IFERROR(__xludf.DUMMYFUNCTION("""COMPUTED_VALUE"""),0.5)</f>
        <v>0.5</v>
      </c>
      <c r="O1246" s="4" t="str">
        <f>IFERROR(__xludf.DUMMYFUNCTION("""COMPUTED_VALUE"""),"null")</f>
        <v>null</v>
      </c>
      <c r="P1246" s="33">
        <f>IFERROR(__xludf.DUMMYFUNCTION("""COMPUTED_VALUE"""),0.6666666666666666)</f>
        <v>0.6666666667</v>
      </c>
      <c r="Q1246" s="4" t="str">
        <f>IFERROR(__xludf.DUMMYFUNCTION("""COMPUTED_VALUE"""),"null")</f>
        <v>null</v>
      </c>
      <c r="R1246" s="33">
        <f>IFERROR(__xludf.DUMMYFUNCTION("""COMPUTED_VALUE"""),0.6666666666666666)</f>
        <v>0.6666666667</v>
      </c>
      <c r="S1246" s="4" t="str">
        <f>IFERROR(__xludf.DUMMYFUNCTION("""COMPUTED_VALUE"""),"null")</f>
        <v>null</v>
      </c>
      <c r="T1246" s="33">
        <f>IFERROR(__xludf.DUMMYFUNCTION("""COMPUTED_VALUE"""),0.3333333333333333)</f>
        <v>0.3333333333</v>
      </c>
      <c r="U1246" s="4" t="str">
        <f>IFERROR(__xludf.DUMMYFUNCTION("""COMPUTED_VALUE"""),"null")</f>
        <v>null</v>
      </c>
      <c r="V1246" s="33">
        <f>IFERROR(__xludf.DUMMYFUNCTION("""COMPUTED_VALUE"""),0.3333333333333333)</f>
        <v>0.3333333333</v>
      </c>
      <c r="W1246" s="4" t="str">
        <f>IFERROR(__xludf.DUMMYFUNCTION("""COMPUTED_VALUE"""),"Sagres Automação Comercial")</f>
        <v>Sagres Automação Comercial</v>
      </c>
      <c r="X1246" s="33">
        <f>IFERROR(__xludf.DUMMYFUNCTION("""COMPUTED_VALUE"""),0.16666666666666666)</f>
        <v>0.1666666667</v>
      </c>
    </row>
    <row r="1247">
      <c r="K1247" s="4" t="str">
        <f>IFERROR(__xludf.DUMMYFUNCTION("""COMPUTED_VALUE"""),"MEGA ACAI")</f>
        <v>MEGA ACAI</v>
      </c>
      <c r="L1247" s="32">
        <f>IFERROR(__xludf.DUMMYFUNCTION("""COMPUTED_VALUE"""),6.0)</f>
        <v>6</v>
      </c>
      <c r="M1247" s="4" t="str">
        <f>IFERROR(__xludf.DUMMYFUNCTION("""COMPUTED_VALUE"""),"Anota Ai Solucoes Digitais S/a")</f>
        <v>Anota Ai Solucoes Digitais S/a</v>
      </c>
      <c r="N1247" s="33">
        <f>IFERROR(__xludf.DUMMYFUNCTION("""COMPUTED_VALUE"""),0.16666666666666666)</f>
        <v>0.1666666667</v>
      </c>
      <c r="O1247" s="4" t="str">
        <f>IFERROR(__xludf.DUMMYFUNCTION("""COMPUTED_VALUE"""),"Anota Ai Solucoes Digitais S/a")</f>
        <v>Anota Ai Solucoes Digitais S/a</v>
      </c>
      <c r="P1247" s="33">
        <f>IFERROR(__xludf.DUMMYFUNCTION("""COMPUTED_VALUE"""),0.16666666666666666)</f>
        <v>0.1666666667</v>
      </c>
      <c r="Q1247" s="4" t="str">
        <f>IFERROR(__xludf.DUMMYFUNCTION("""COMPUTED_VALUE"""),"null")</f>
        <v>null</v>
      </c>
      <c r="R1247" s="33">
        <f>IFERROR(__xludf.DUMMYFUNCTION("""COMPUTED_VALUE"""),0.5)</f>
        <v>0.5</v>
      </c>
      <c r="S1247" s="4" t="str">
        <f>IFERROR(__xludf.DUMMYFUNCTION("""COMPUTED_VALUE"""),"null")</f>
        <v>null</v>
      </c>
      <c r="T1247" s="33">
        <f>IFERROR(__xludf.DUMMYFUNCTION("""COMPUTED_VALUE"""),0.5)</f>
        <v>0.5</v>
      </c>
      <c r="U1247" s="4" t="str">
        <f>IFERROR(__xludf.DUMMYFUNCTION("""COMPUTED_VALUE"""),"null")</f>
        <v>null</v>
      </c>
      <c r="V1247" s="33">
        <f>IFERROR(__xludf.DUMMYFUNCTION("""COMPUTED_VALUE"""),0.5)</f>
        <v>0.5</v>
      </c>
      <c r="W1247" s="4" t="str">
        <f>IFERROR(__xludf.DUMMYFUNCTION("""COMPUTED_VALUE"""),"null")</f>
        <v>null</v>
      </c>
      <c r="X1247" s="33">
        <f>IFERROR(__xludf.DUMMYFUNCTION("""COMPUTED_VALUE"""),0.3333333333333333)</f>
        <v>0.3333333333</v>
      </c>
    </row>
    <row r="1248">
      <c r="K1248" s="4" t="str">
        <f>IFERROR(__xludf.DUMMYFUNCTION("""COMPUTED_VALUE"""),"PIZZARIA MANA")</f>
        <v>PIZZARIA MANA</v>
      </c>
      <c r="L1248" s="32">
        <f>IFERROR(__xludf.DUMMYFUNCTION("""COMPUTED_VALUE"""),6.0)</f>
        <v>6</v>
      </c>
      <c r="M1248" s="4" t="str">
        <f>IFERROR(__xludf.DUMMYFUNCTION("""COMPUTED_VALUE"""),"Cardápio Web")</f>
        <v>Cardápio Web</v>
      </c>
      <c r="N1248" s="33">
        <f>IFERROR(__xludf.DUMMYFUNCTION("""COMPUTED_VALUE"""),0.3333333333333333)</f>
        <v>0.3333333333</v>
      </c>
      <c r="O1248" s="4" t="str">
        <f>IFERROR(__xludf.DUMMYFUNCTION("""COMPUTED_VALUE"""),"null")</f>
        <v>null</v>
      </c>
      <c r="P1248" s="33">
        <f>IFERROR(__xludf.DUMMYFUNCTION("""COMPUTED_VALUE"""),0.3333333333333333)</f>
        <v>0.3333333333</v>
      </c>
      <c r="Q1248" s="4" t="str">
        <f>IFERROR(__xludf.DUMMYFUNCTION("""COMPUTED_VALUE"""),"null")</f>
        <v>null</v>
      </c>
      <c r="R1248" s="33">
        <f>IFERROR(__xludf.DUMMYFUNCTION("""COMPUTED_VALUE"""),0.3333333333333333)</f>
        <v>0.3333333333</v>
      </c>
      <c r="S1248" s="4" t="str">
        <f>IFERROR(__xludf.DUMMYFUNCTION("""COMPUTED_VALUE"""),"Cardápio Web")</f>
        <v>Cardápio Web</v>
      </c>
      <c r="T1248" s="33">
        <f>IFERROR(__xludf.DUMMYFUNCTION("""COMPUTED_VALUE"""),0.3333333333333333)</f>
        <v>0.3333333333</v>
      </c>
      <c r="U1248" s="4" t="str">
        <f>IFERROR(__xludf.DUMMYFUNCTION("""COMPUTED_VALUE"""),"null")</f>
        <v>null</v>
      </c>
      <c r="V1248" s="33">
        <f>IFERROR(__xludf.DUMMYFUNCTION("""COMPUTED_VALUE"""),0.3333333333333333)</f>
        <v>0.3333333333</v>
      </c>
      <c r="W1248" s="4" t="str">
        <f>IFERROR(__xludf.DUMMYFUNCTION("""COMPUTED_VALUE"""),"null")</f>
        <v>null</v>
      </c>
      <c r="X1248" s="33">
        <f>IFERROR(__xludf.DUMMYFUNCTION("""COMPUTED_VALUE"""),0.3333333333333333)</f>
        <v>0.3333333333</v>
      </c>
    </row>
    <row r="1249">
      <c r="K1249" s="4" t="str">
        <f>IFERROR(__xludf.DUMMYFUNCTION("""COMPUTED_VALUE"""),"FINI")</f>
        <v>FINI</v>
      </c>
      <c r="L1249" s="32">
        <f>IFERROR(__xludf.DUMMYFUNCTION("""COMPUTED_VALUE"""),6.0)</f>
        <v>6</v>
      </c>
      <c r="M1249" s="4" t="str">
        <f>IFERROR(__xludf.DUMMYFUNCTION("""COMPUTED_VALUE"""),"Stone Co.")</f>
        <v>Stone Co.</v>
      </c>
      <c r="N1249" s="33">
        <f>IFERROR(__xludf.DUMMYFUNCTION("""COMPUTED_VALUE"""),0.8333333333333334)</f>
        <v>0.8333333333</v>
      </c>
      <c r="O1249" s="4" t="str">
        <f>IFERROR(__xludf.DUMMYFUNCTION("""COMPUTED_VALUE"""),"Stone Co.")</f>
        <v>Stone Co.</v>
      </c>
      <c r="P1249" s="33">
        <f>IFERROR(__xludf.DUMMYFUNCTION("""COMPUTED_VALUE"""),0.8333333333333334)</f>
        <v>0.8333333333</v>
      </c>
      <c r="Q1249" s="4" t="str">
        <f>IFERROR(__xludf.DUMMYFUNCTION("""COMPUTED_VALUE"""),"Stone Co.")</f>
        <v>Stone Co.</v>
      </c>
      <c r="R1249" s="33">
        <f>IFERROR(__xludf.DUMMYFUNCTION("""COMPUTED_VALUE"""),0.6666666666666666)</f>
        <v>0.6666666667</v>
      </c>
      <c r="S1249" s="4" t="str">
        <f>IFERROR(__xludf.DUMMYFUNCTION("""COMPUTED_VALUE"""),"Stone Co.")</f>
        <v>Stone Co.</v>
      </c>
      <c r="T1249" s="33">
        <f>IFERROR(__xludf.DUMMYFUNCTION("""COMPUTED_VALUE"""),0.5)</f>
        <v>0.5</v>
      </c>
      <c r="U1249" s="4" t="str">
        <f>IFERROR(__xludf.DUMMYFUNCTION("""COMPUTED_VALUE"""),"Stone Co.")</f>
        <v>Stone Co.</v>
      </c>
      <c r="V1249" s="33">
        <f>IFERROR(__xludf.DUMMYFUNCTION("""COMPUTED_VALUE"""),0.5)</f>
        <v>0.5</v>
      </c>
      <c r="W1249" s="4" t="str">
        <f>IFERROR(__xludf.DUMMYFUNCTION("""COMPUTED_VALUE"""),"null")</f>
        <v>null</v>
      </c>
      <c r="X1249" s="33">
        <f>IFERROR(__xludf.DUMMYFUNCTION("""COMPUTED_VALUE"""),0.6666666666666666)</f>
        <v>0.6666666667</v>
      </c>
    </row>
    <row r="1250">
      <c r="K1250" s="4" t="str">
        <f>IFERROR(__xludf.DUMMYFUNCTION("""COMPUTED_VALUE"""),"DROGARIA CIDADE")</f>
        <v>DROGARIA CIDADE</v>
      </c>
      <c r="L1250" s="32">
        <f>IFERROR(__xludf.DUMMYFUNCTION("""COMPUTED_VALUE"""),6.0)</f>
        <v>6</v>
      </c>
      <c r="M1250" s="4" t="str">
        <f>IFERROR(__xludf.DUMMYFUNCTION("""COMPUTED_VALUE"""),"null")</f>
        <v>null</v>
      </c>
      <c r="N1250" s="33">
        <f>IFERROR(__xludf.DUMMYFUNCTION("""COMPUTED_VALUE"""),1.0)</f>
        <v>1</v>
      </c>
      <c r="O1250" s="4" t="str">
        <f>IFERROR(__xludf.DUMMYFUNCTION("""COMPUTED_VALUE"""),"null")</f>
        <v>null</v>
      </c>
      <c r="P1250" s="33">
        <f>IFERROR(__xludf.DUMMYFUNCTION("""COMPUTED_VALUE"""),1.0)</f>
        <v>1</v>
      </c>
      <c r="Q1250" s="4" t="str">
        <f>IFERROR(__xludf.DUMMYFUNCTION("""COMPUTED_VALUE"""),"N/A (Not found)")</f>
        <v>N/A (Not found)</v>
      </c>
      <c r="R1250" s="33">
        <f>IFERROR(__xludf.DUMMYFUNCTION("""COMPUTED_VALUE"""),0.8333333333333334)</f>
        <v>0.8333333333</v>
      </c>
      <c r="S1250" s="4" t="str">
        <f>IFERROR(__xludf.DUMMYFUNCTION("""COMPUTED_VALUE"""),"N/A (Not found)")</f>
        <v>N/A (Not found)</v>
      </c>
      <c r="T1250" s="33">
        <f>IFERROR(__xludf.DUMMYFUNCTION("""COMPUTED_VALUE"""),1.0)</f>
        <v>1</v>
      </c>
      <c r="U1250" s="4" t="str">
        <f>IFERROR(__xludf.DUMMYFUNCTION("""COMPUTED_VALUE"""),"N/A (Not found)")</f>
        <v>N/A (Not found)</v>
      </c>
      <c r="V1250" s="33">
        <f>IFERROR(__xludf.DUMMYFUNCTION("""COMPUTED_VALUE"""),1.0)</f>
        <v>1</v>
      </c>
      <c r="W1250" s="4" t="str">
        <f>IFERROR(__xludf.DUMMYFUNCTION("""COMPUTED_VALUE"""),"N/A (Not found)")</f>
        <v>N/A (Not found)</v>
      </c>
      <c r="X1250" s="33">
        <f>IFERROR(__xludf.DUMMYFUNCTION("""COMPUTED_VALUE"""),1.0)</f>
        <v>1</v>
      </c>
    </row>
    <row r="1251">
      <c r="K1251" s="4" t="str">
        <f>IFERROR(__xludf.DUMMYFUNCTION("""COMPUTED_VALUE"""),"DOCES MOMENTOS")</f>
        <v>DOCES MOMENTOS</v>
      </c>
      <c r="L1251" s="32">
        <f>IFERROR(__xludf.DUMMYFUNCTION("""COMPUTED_VALUE"""),6.0)</f>
        <v>6</v>
      </c>
      <c r="M1251" s="4" t="str">
        <f>IFERROR(__xludf.DUMMYFUNCTION("""COMPUTED_VALUE"""),"Cloudfy")</f>
        <v>Cloudfy</v>
      </c>
      <c r="N1251" s="33">
        <f>IFERROR(__xludf.DUMMYFUNCTION("""COMPUTED_VALUE"""),0.6666666666666666)</f>
        <v>0.6666666667</v>
      </c>
      <c r="O1251" s="4" t="str">
        <f>IFERROR(__xludf.DUMMYFUNCTION("""COMPUTED_VALUE"""),"Cloudfy")</f>
        <v>Cloudfy</v>
      </c>
      <c r="P1251" s="33">
        <f>IFERROR(__xludf.DUMMYFUNCTION("""COMPUTED_VALUE"""),0.6666666666666666)</f>
        <v>0.6666666667</v>
      </c>
      <c r="Q1251" s="4" t="str">
        <f>IFERROR(__xludf.DUMMYFUNCTION("""COMPUTED_VALUE"""),"Cloudfy")</f>
        <v>Cloudfy</v>
      </c>
      <c r="R1251" s="33">
        <f>IFERROR(__xludf.DUMMYFUNCTION("""COMPUTED_VALUE"""),0.6666666666666666)</f>
        <v>0.6666666667</v>
      </c>
      <c r="S1251" s="4" t="str">
        <f>IFERROR(__xludf.DUMMYFUNCTION("""COMPUTED_VALUE"""),"Cloudfy")</f>
        <v>Cloudfy</v>
      </c>
      <c r="T1251" s="33">
        <f>IFERROR(__xludf.DUMMYFUNCTION("""COMPUTED_VALUE"""),0.6666666666666666)</f>
        <v>0.6666666667</v>
      </c>
      <c r="U1251" s="4" t="str">
        <f>IFERROR(__xludf.DUMMYFUNCTION("""COMPUTED_VALUE"""),"Cloudfy")</f>
        <v>Cloudfy</v>
      </c>
      <c r="V1251" s="33">
        <f>IFERROR(__xludf.DUMMYFUNCTION("""COMPUTED_VALUE"""),0.6666666666666666)</f>
        <v>0.6666666667</v>
      </c>
      <c r="W1251" s="4" t="str">
        <f>IFERROR(__xludf.DUMMYFUNCTION("""COMPUTED_VALUE"""),"Cloudfy")</f>
        <v>Cloudfy</v>
      </c>
      <c r="X1251" s="33">
        <f>IFERROR(__xludf.DUMMYFUNCTION("""COMPUTED_VALUE"""),0.6666666666666666)</f>
        <v>0.6666666667</v>
      </c>
    </row>
    <row r="1252">
      <c r="K1252" s="4" t="str">
        <f>IFERROR(__xludf.DUMMYFUNCTION("""COMPUTED_VALUE"""),"ACAI BRASIL")</f>
        <v>ACAI BRASIL</v>
      </c>
      <c r="L1252" s="32">
        <f>IFERROR(__xludf.DUMMYFUNCTION("""COMPUTED_VALUE"""),6.0)</f>
        <v>6</v>
      </c>
      <c r="M1252" s="4" t="str">
        <f>IFERROR(__xludf.DUMMYFUNCTION("""COMPUTED_VALUE"""),"Stone Co.")</f>
        <v>Stone Co.</v>
      </c>
      <c r="N1252" s="33">
        <f>IFERROR(__xludf.DUMMYFUNCTION("""COMPUTED_VALUE"""),0.3333333333333333)</f>
        <v>0.3333333333</v>
      </c>
      <c r="O1252" s="4" t="str">
        <f>IFERROR(__xludf.DUMMYFUNCTION("""COMPUTED_VALUE"""),"Cardápio Web")</f>
        <v>Cardápio Web</v>
      </c>
      <c r="P1252" s="33">
        <f>IFERROR(__xludf.DUMMYFUNCTION("""COMPUTED_VALUE"""),0.3333333333333333)</f>
        <v>0.3333333333</v>
      </c>
      <c r="Q1252" s="4" t="str">
        <f>IFERROR(__xludf.DUMMYFUNCTION("""COMPUTED_VALUE"""),"Cardápio Web")</f>
        <v>Cardápio Web</v>
      </c>
      <c r="R1252" s="33">
        <f>IFERROR(__xludf.DUMMYFUNCTION("""COMPUTED_VALUE"""),0.3333333333333333)</f>
        <v>0.3333333333</v>
      </c>
      <c r="S1252" s="4" t="str">
        <f>IFERROR(__xludf.DUMMYFUNCTION("""COMPUTED_VALUE"""),"Cardápio Web")</f>
        <v>Cardápio Web</v>
      </c>
      <c r="T1252" s="33">
        <f>IFERROR(__xludf.DUMMYFUNCTION("""COMPUTED_VALUE"""),0.3333333333333333)</f>
        <v>0.3333333333</v>
      </c>
      <c r="U1252" s="4" t="str">
        <f>IFERROR(__xludf.DUMMYFUNCTION("""COMPUTED_VALUE"""),"Cardápio Web")</f>
        <v>Cardápio Web</v>
      </c>
      <c r="V1252" s="33">
        <f>IFERROR(__xludf.DUMMYFUNCTION("""COMPUTED_VALUE"""),0.3333333333333333)</f>
        <v>0.3333333333</v>
      </c>
      <c r="W1252" s="4" t="str">
        <f>IFERROR(__xludf.DUMMYFUNCTION("""COMPUTED_VALUE"""),"Cardápio Web")</f>
        <v>Cardápio Web</v>
      </c>
      <c r="X1252" s="33">
        <f>IFERROR(__xludf.DUMMYFUNCTION("""COMPUTED_VALUE"""),0.3333333333333333)</f>
        <v>0.3333333333</v>
      </c>
    </row>
    <row r="1253">
      <c r="K1253" s="4" t="str">
        <f>IFERROR(__xludf.DUMMYFUNCTION("""COMPUTED_VALUE"""),"POINT DA PIZZA")</f>
        <v>POINT DA PIZZA</v>
      </c>
      <c r="L1253" s="32">
        <f>IFERROR(__xludf.DUMMYFUNCTION("""COMPUTED_VALUE"""),6.0)</f>
        <v>6</v>
      </c>
      <c r="M1253" s="4" t="str">
        <f>IFERROR(__xludf.DUMMYFUNCTION("""COMPUTED_VALUE"""),"Freedom Tecnologia Ltda")</f>
        <v>Freedom Tecnologia Ltda</v>
      </c>
      <c r="N1253" s="33">
        <f>IFERROR(__xludf.DUMMYFUNCTION("""COMPUTED_VALUE"""),0.16666666666666666)</f>
        <v>0.1666666667</v>
      </c>
      <c r="O1253" s="4" t="str">
        <f>IFERROR(__xludf.DUMMYFUNCTION("""COMPUTED_VALUE"""),"null")</f>
        <v>null</v>
      </c>
      <c r="P1253" s="33">
        <f>IFERROR(__xludf.DUMMYFUNCTION("""COMPUTED_VALUE"""),0.3333333333333333)</f>
        <v>0.3333333333</v>
      </c>
      <c r="Q1253" s="4" t="str">
        <f>IFERROR(__xludf.DUMMYFUNCTION("""COMPUTED_VALUE"""),"null")</f>
        <v>null</v>
      </c>
      <c r="R1253" s="33">
        <f>IFERROR(__xludf.DUMMYFUNCTION("""COMPUTED_VALUE"""),0.5)</f>
        <v>0.5</v>
      </c>
      <c r="S1253" s="4" t="str">
        <f>IFERROR(__xludf.DUMMYFUNCTION("""COMPUTED_VALUE"""),"null")</f>
        <v>null</v>
      </c>
      <c r="T1253" s="33">
        <f>IFERROR(__xludf.DUMMYFUNCTION("""COMPUTED_VALUE"""),0.5)</f>
        <v>0.5</v>
      </c>
      <c r="U1253" s="4" t="str">
        <f>IFERROR(__xludf.DUMMYFUNCTION("""COMPUTED_VALUE"""),"Freedom Tecnologia Ltda")</f>
        <v>Freedom Tecnologia Ltda</v>
      </c>
      <c r="V1253" s="33">
        <f>IFERROR(__xludf.DUMMYFUNCTION("""COMPUTED_VALUE"""),0.16666666666666666)</f>
        <v>0.1666666667</v>
      </c>
      <c r="W1253" s="4" t="str">
        <f>IFERROR(__xludf.DUMMYFUNCTION("""COMPUTED_VALUE"""),"null")</f>
        <v>null</v>
      </c>
      <c r="X1253" s="33">
        <f>IFERROR(__xludf.DUMMYFUNCTION("""COMPUTED_VALUE"""),0.3333333333333333)</f>
        <v>0.3333333333</v>
      </c>
    </row>
    <row r="1254">
      <c r="K1254" s="4" t="str">
        <f>IFERROR(__xludf.DUMMYFUNCTION("""COMPUTED_VALUE"""),"SABOR MINEIRO")</f>
        <v>SABOR MINEIRO</v>
      </c>
      <c r="L1254" s="32">
        <f>IFERROR(__xludf.DUMMYFUNCTION("""COMPUTED_VALUE"""),6.0)</f>
        <v>6</v>
      </c>
      <c r="M1254" s="4" t="str">
        <f>IFERROR(__xludf.DUMMYFUNCTION("""COMPUTED_VALUE"""),"null")</f>
        <v>null</v>
      </c>
      <c r="N1254" s="33">
        <f>IFERROR(__xludf.DUMMYFUNCTION("""COMPUTED_VALUE"""),0.5)</f>
        <v>0.5</v>
      </c>
      <c r="O1254" s="4" t="str">
        <f>IFERROR(__xludf.DUMMYFUNCTION("""COMPUTED_VALUE"""),"null")</f>
        <v>null</v>
      </c>
      <c r="P1254" s="33">
        <f>IFERROR(__xludf.DUMMYFUNCTION("""COMPUTED_VALUE"""),0.3333333333333333)</f>
        <v>0.3333333333</v>
      </c>
      <c r="Q1254" s="4" t="str">
        <f>IFERROR(__xludf.DUMMYFUNCTION("""COMPUTED_VALUE"""),"null")</f>
        <v>null</v>
      </c>
      <c r="R1254" s="33">
        <f>IFERROR(__xludf.DUMMYFUNCTION("""COMPUTED_VALUE"""),0.5)</f>
        <v>0.5</v>
      </c>
      <c r="S1254" s="4" t="str">
        <f>IFERROR(__xludf.DUMMYFUNCTION("""COMPUTED_VALUE"""),"null")</f>
        <v>null</v>
      </c>
      <c r="T1254" s="33">
        <f>IFERROR(__xludf.DUMMYFUNCTION("""COMPUTED_VALUE"""),0.3333333333333333)</f>
        <v>0.3333333333</v>
      </c>
      <c r="U1254" s="4" t="str">
        <f>IFERROR(__xludf.DUMMYFUNCTION("""COMPUTED_VALUE"""),"Anota Ai Solucoes Digitais S/a")</f>
        <v>Anota Ai Solucoes Digitais S/a</v>
      </c>
      <c r="V1254" s="33">
        <f>IFERROR(__xludf.DUMMYFUNCTION("""COMPUTED_VALUE"""),0.3333333333333333)</f>
        <v>0.3333333333</v>
      </c>
      <c r="W1254" s="4" t="str">
        <f>IFERROR(__xludf.DUMMYFUNCTION("""COMPUTED_VALUE"""),"Anota Ai Solucoes Digitais S/a")</f>
        <v>Anota Ai Solucoes Digitais S/a</v>
      </c>
      <c r="X1254" s="33">
        <f>IFERROR(__xludf.DUMMYFUNCTION("""COMPUTED_VALUE"""),0.3333333333333333)</f>
        <v>0.3333333333</v>
      </c>
    </row>
    <row r="1255">
      <c r="K1255" s="4" t="str">
        <f>IFERROR(__xludf.DUMMYFUNCTION("""COMPUTED_VALUE"""),"REI DO PASTEL")</f>
        <v>REI DO PASTEL</v>
      </c>
      <c r="L1255" s="32">
        <f>IFERROR(__xludf.DUMMYFUNCTION("""COMPUTED_VALUE"""),6.0)</f>
        <v>6</v>
      </c>
      <c r="M1255" s="4" t="str">
        <f>IFERROR(__xludf.DUMMYFUNCTION("""COMPUTED_VALUE"""),"null")</f>
        <v>null</v>
      </c>
      <c r="N1255" s="33">
        <f>IFERROR(__xludf.DUMMYFUNCTION("""COMPUTED_VALUE"""),0.3333333333333333)</f>
        <v>0.3333333333</v>
      </c>
      <c r="O1255" s="4" t="str">
        <f>IFERROR(__xludf.DUMMYFUNCTION("""COMPUTED_VALUE"""),"null")</f>
        <v>null</v>
      </c>
      <c r="P1255" s="33">
        <f>IFERROR(__xludf.DUMMYFUNCTION("""COMPUTED_VALUE"""),0.3333333333333333)</f>
        <v>0.3333333333</v>
      </c>
      <c r="Q1255" s="4" t="str">
        <f>IFERROR(__xludf.DUMMYFUNCTION("""COMPUTED_VALUE"""),"null")</f>
        <v>null</v>
      </c>
      <c r="R1255" s="33">
        <f>IFERROR(__xludf.DUMMYFUNCTION("""COMPUTED_VALUE"""),0.3333333333333333)</f>
        <v>0.3333333333</v>
      </c>
      <c r="S1255" s="4" t="str">
        <f>IFERROR(__xludf.DUMMYFUNCTION("""COMPUTED_VALUE"""),"Saipos Serviços De Software")</f>
        <v>Saipos Serviços De Software</v>
      </c>
      <c r="T1255" s="33">
        <f>IFERROR(__xludf.DUMMYFUNCTION("""COMPUTED_VALUE"""),0.3333333333333333)</f>
        <v>0.3333333333</v>
      </c>
      <c r="U1255" s="4" t="str">
        <f>IFERROR(__xludf.DUMMYFUNCTION("""COMPUTED_VALUE"""),"null")</f>
        <v>null</v>
      </c>
      <c r="V1255" s="33">
        <f>IFERROR(__xludf.DUMMYFUNCTION("""COMPUTED_VALUE"""),0.3333333333333333)</f>
        <v>0.3333333333</v>
      </c>
      <c r="W1255" s="4" t="str">
        <f>IFERROR(__xludf.DUMMYFUNCTION("""COMPUTED_VALUE"""),"null")</f>
        <v>null</v>
      </c>
      <c r="X1255" s="33">
        <f>IFERROR(__xludf.DUMMYFUNCTION("""COMPUTED_VALUE"""),0.3333333333333333)</f>
        <v>0.3333333333</v>
      </c>
    </row>
    <row r="1256">
      <c r="K1256" s="4" t="str">
        <f>IFERROR(__xludf.DUMMYFUNCTION("""COMPUTED_VALUE"""),"MARMITA EXPRESS")</f>
        <v>MARMITA EXPRESS</v>
      </c>
      <c r="L1256" s="32">
        <f>IFERROR(__xludf.DUMMYFUNCTION("""COMPUTED_VALUE"""),6.0)</f>
        <v>6</v>
      </c>
      <c r="M1256" s="4" t="str">
        <f>IFERROR(__xludf.DUMMYFUNCTION("""COMPUTED_VALUE"""),"null")</f>
        <v>null</v>
      </c>
      <c r="N1256" s="33">
        <f>IFERROR(__xludf.DUMMYFUNCTION("""COMPUTED_VALUE"""),0.3333333333333333)</f>
        <v>0.3333333333</v>
      </c>
      <c r="O1256" s="4" t="str">
        <f>IFERROR(__xludf.DUMMYFUNCTION("""COMPUTED_VALUE"""),"Saipos Serviços De Software")</f>
        <v>Saipos Serviços De Software</v>
      </c>
      <c r="P1256" s="33">
        <f>IFERROR(__xludf.DUMMYFUNCTION("""COMPUTED_VALUE"""),0.3333333333333333)</f>
        <v>0.3333333333</v>
      </c>
      <c r="Q1256" s="4" t="str">
        <f>IFERROR(__xludf.DUMMYFUNCTION("""COMPUTED_VALUE"""),"null")</f>
        <v>null</v>
      </c>
      <c r="R1256" s="33">
        <f>IFERROR(__xludf.DUMMYFUNCTION("""COMPUTED_VALUE"""),0.5)</f>
        <v>0.5</v>
      </c>
      <c r="S1256" s="4" t="str">
        <f>IFERROR(__xludf.DUMMYFUNCTION("""COMPUTED_VALUE"""),"null")</f>
        <v>null</v>
      </c>
      <c r="T1256" s="33">
        <f>IFERROR(__xludf.DUMMYFUNCTION("""COMPUTED_VALUE"""),0.5)</f>
        <v>0.5</v>
      </c>
      <c r="U1256" s="4" t="str">
        <f>IFERROR(__xludf.DUMMYFUNCTION("""COMPUTED_VALUE"""),"Saipos Serviços De Software")</f>
        <v>Saipos Serviços De Software</v>
      </c>
      <c r="V1256" s="33">
        <f>IFERROR(__xludf.DUMMYFUNCTION("""COMPUTED_VALUE"""),0.5)</f>
        <v>0.5</v>
      </c>
      <c r="W1256" s="4" t="str">
        <f>IFERROR(__xludf.DUMMYFUNCTION("""COMPUTED_VALUE"""),"Saipos Serviços De Software")</f>
        <v>Saipos Serviços De Software</v>
      </c>
      <c r="X1256" s="33">
        <f>IFERROR(__xludf.DUMMYFUNCTION("""COMPUTED_VALUE"""),0.5)</f>
        <v>0.5</v>
      </c>
    </row>
    <row r="1257">
      <c r="K1257" s="4" t="str">
        <f>IFERROR(__xludf.DUMMYFUNCTION("""COMPUTED_VALUE"""),"STREET BURGUER")</f>
        <v>STREET BURGUER</v>
      </c>
      <c r="L1257" s="32">
        <f>IFERROR(__xludf.DUMMYFUNCTION("""COMPUTED_VALUE"""),6.0)</f>
        <v>6</v>
      </c>
      <c r="M1257" s="4" t="str">
        <f>IFERROR(__xludf.DUMMYFUNCTION("""COMPUTED_VALUE"""),"null")</f>
        <v>null</v>
      </c>
      <c r="N1257" s="33">
        <f>IFERROR(__xludf.DUMMYFUNCTION("""COMPUTED_VALUE"""),0.3333333333333333)</f>
        <v>0.3333333333</v>
      </c>
      <c r="O1257" s="4" t="str">
        <f>IFERROR(__xludf.DUMMYFUNCTION("""COMPUTED_VALUE"""),"null")</f>
        <v>null</v>
      </c>
      <c r="P1257" s="33">
        <f>IFERROR(__xludf.DUMMYFUNCTION("""COMPUTED_VALUE"""),0.3333333333333333)</f>
        <v>0.3333333333</v>
      </c>
      <c r="Q1257" s="4" t="str">
        <f>IFERROR(__xludf.DUMMYFUNCTION("""COMPUTED_VALUE"""),"null")</f>
        <v>null</v>
      </c>
      <c r="R1257" s="33">
        <f>IFERROR(__xludf.DUMMYFUNCTION("""COMPUTED_VALUE"""),0.3333333333333333)</f>
        <v>0.3333333333</v>
      </c>
      <c r="S1257" s="4" t="str">
        <f>IFERROR(__xludf.DUMMYFUNCTION("""COMPUTED_VALUE"""),"Instadelivery")</f>
        <v>Instadelivery</v>
      </c>
      <c r="T1257" s="33">
        <f>IFERROR(__xludf.DUMMYFUNCTION("""COMPUTED_VALUE"""),0.16666666666666666)</f>
        <v>0.1666666667</v>
      </c>
      <c r="U1257" s="4" t="str">
        <f>IFERROR(__xludf.DUMMYFUNCTION("""COMPUTED_VALUE"""),"Instadelivery")</f>
        <v>Instadelivery</v>
      </c>
      <c r="V1257" s="33">
        <f>IFERROR(__xludf.DUMMYFUNCTION("""COMPUTED_VALUE"""),0.16666666666666666)</f>
        <v>0.1666666667</v>
      </c>
      <c r="W1257" s="4" t="str">
        <f>IFERROR(__xludf.DUMMYFUNCTION("""COMPUTED_VALUE"""),"Instadelivery")</f>
        <v>Instadelivery</v>
      </c>
      <c r="X1257" s="33">
        <f>IFERROR(__xludf.DUMMYFUNCTION("""COMPUTED_VALUE"""),0.16666666666666666)</f>
        <v>0.1666666667</v>
      </c>
    </row>
    <row r="1258">
      <c r="K1258" s="4" t="str">
        <f>IFERROR(__xludf.DUMMYFUNCTION("""COMPUTED_VALUE"""),"PORTO BURGER")</f>
        <v>PORTO BURGER</v>
      </c>
      <c r="L1258" s="32">
        <f>IFERROR(__xludf.DUMMYFUNCTION("""COMPUTED_VALUE"""),6.0)</f>
        <v>6</v>
      </c>
      <c r="M1258" s="4" t="str">
        <f>IFERROR(__xludf.DUMMYFUNCTION("""COMPUTED_VALUE"""),"Saipos Serviços De Software")</f>
        <v>Saipos Serviços De Software</v>
      </c>
      <c r="N1258" s="33">
        <f>IFERROR(__xludf.DUMMYFUNCTION("""COMPUTED_VALUE"""),1.0)</f>
        <v>1</v>
      </c>
      <c r="O1258" s="4" t="str">
        <f>IFERROR(__xludf.DUMMYFUNCTION("""COMPUTED_VALUE"""),"Saipos Serviços De Software")</f>
        <v>Saipos Serviços De Software</v>
      </c>
      <c r="P1258" s="33">
        <f>IFERROR(__xludf.DUMMYFUNCTION("""COMPUTED_VALUE"""),1.0)</f>
        <v>1</v>
      </c>
      <c r="Q1258" s="4" t="str">
        <f>IFERROR(__xludf.DUMMYFUNCTION("""COMPUTED_VALUE"""),"Saipos Serviços De Software")</f>
        <v>Saipos Serviços De Software</v>
      </c>
      <c r="R1258" s="33">
        <f>IFERROR(__xludf.DUMMYFUNCTION("""COMPUTED_VALUE"""),1.0)</f>
        <v>1</v>
      </c>
      <c r="S1258" s="4" t="str">
        <f>IFERROR(__xludf.DUMMYFUNCTION("""COMPUTED_VALUE"""),"Saipos Serviços De Software")</f>
        <v>Saipos Serviços De Software</v>
      </c>
      <c r="T1258" s="33">
        <f>IFERROR(__xludf.DUMMYFUNCTION("""COMPUTED_VALUE"""),0.6666666666666666)</f>
        <v>0.6666666667</v>
      </c>
      <c r="U1258" s="4" t="str">
        <f>IFERROR(__xludf.DUMMYFUNCTION("""COMPUTED_VALUE"""),"null")</f>
        <v>null</v>
      </c>
      <c r="V1258" s="33">
        <f>IFERROR(__xludf.DUMMYFUNCTION("""COMPUTED_VALUE"""),0.5)</f>
        <v>0.5</v>
      </c>
      <c r="W1258" s="4" t="str">
        <f>IFERROR(__xludf.DUMMYFUNCTION("""COMPUTED_VALUE"""),"Saipos Serviços De Software")</f>
        <v>Saipos Serviços De Software</v>
      </c>
      <c r="X1258" s="33">
        <f>IFERROR(__xludf.DUMMYFUNCTION("""COMPUTED_VALUE"""),0.8333333333333334)</f>
        <v>0.8333333333</v>
      </c>
    </row>
    <row r="1259">
      <c r="K1259" s="4" t="str">
        <f>IFERROR(__xludf.DUMMYFUNCTION("""COMPUTED_VALUE"""),"DIVINA PIZZA")</f>
        <v>DIVINA PIZZA</v>
      </c>
      <c r="L1259" s="32">
        <f>IFERROR(__xludf.DUMMYFUNCTION("""COMPUTED_VALUE"""),6.0)</f>
        <v>6</v>
      </c>
      <c r="M1259" s="4" t="str">
        <f>IFERROR(__xludf.DUMMYFUNCTION("""COMPUTED_VALUE"""),"Saipos Serviços De Software")</f>
        <v>Saipos Serviços De Software</v>
      </c>
      <c r="N1259" s="33">
        <f>IFERROR(__xludf.DUMMYFUNCTION("""COMPUTED_VALUE"""),0.3333333333333333)</f>
        <v>0.3333333333</v>
      </c>
      <c r="O1259" s="4" t="str">
        <f>IFERROR(__xludf.DUMMYFUNCTION("""COMPUTED_VALUE"""),"Saipos Serviços De Software")</f>
        <v>Saipos Serviços De Software</v>
      </c>
      <c r="P1259" s="33">
        <f>IFERROR(__xludf.DUMMYFUNCTION("""COMPUTED_VALUE"""),0.3333333333333333)</f>
        <v>0.3333333333</v>
      </c>
      <c r="Q1259" s="4" t="str">
        <f>IFERROR(__xludf.DUMMYFUNCTION("""COMPUTED_VALUE"""),"Saipos Serviços De Software")</f>
        <v>Saipos Serviços De Software</v>
      </c>
      <c r="R1259" s="33">
        <f>IFERROR(__xludf.DUMMYFUNCTION("""COMPUTED_VALUE"""),0.3333333333333333)</f>
        <v>0.3333333333</v>
      </c>
      <c r="S1259" s="4" t="str">
        <f>IFERROR(__xludf.DUMMYFUNCTION("""COMPUTED_VALUE"""),"Saipos Serviços De Software")</f>
        <v>Saipos Serviços De Software</v>
      </c>
      <c r="T1259" s="33">
        <f>IFERROR(__xludf.DUMMYFUNCTION("""COMPUTED_VALUE"""),0.5)</f>
        <v>0.5</v>
      </c>
      <c r="U1259" s="4" t="str">
        <f>IFERROR(__xludf.DUMMYFUNCTION("""COMPUTED_VALUE"""),"Saipos Serviços De Software")</f>
        <v>Saipos Serviços De Software</v>
      </c>
      <c r="V1259" s="33">
        <f>IFERROR(__xludf.DUMMYFUNCTION("""COMPUTED_VALUE"""),0.5)</f>
        <v>0.5</v>
      </c>
      <c r="W1259" s="4" t="str">
        <f>IFERROR(__xludf.DUMMYFUNCTION("""COMPUTED_VALUE"""),"Saipos Serviços De Software")</f>
        <v>Saipos Serviços De Software</v>
      </c>
      <c r="X1259" s="33">
        <f>IFERROR(__xludf.DUMMYFUNCTION("""COMPUTED_VALUE"""),0.5)</f>
        <v>0.5</v>
      </c>
    </row>
    <row r="1260">
      <c r="K1260" s="4" t="str">
        <f>IFERROR(__xludf.DUMMYFUNCTION("""COMPUTED_VALUE"""),"REI DAS MARMITAS")</f>
        <v>REI DAS MARMITAS</v>
      </c>
      <c r="L1260" s="32">
        <f>IFERROR(__xludf.DUMMYFUNCTION("""COMPUTED_VALUE"""),6.0)</f>
        <v>6</v>
      </c>
      <c r="M1260" s="4" t="str">
        <f>IFERROR(__xludf.DUMMYFUNCTION("""COMPUTED_VALUE"""),"Beefood - Sistema Para Restaurantes")</f>
        <v>Beefood - Sistema Para Restaurantes</v>
      </c>
      <c r="N1260" s="33">
        <f>IFERROR(__xludf.DUMMYFUNCTION("""COMPUTED_VALUE"""),0.3333333333333333)</f>
        <v>0.3333333333</v>
      </c>
      <c r="O1260" s="4" t="str">
        <f>IFERROR(__xludf.DUMMYFUNCTION("""COMPUTED_VALUE"""),"null")</f>
        <v>null</v>
      </c>
      <c r="P1260" s="33">
        <f>IFERROR(__xludf.DUMMYFUNCTION("""COMPUTED_VALUE"""),0.3333333333333333)</f>
        <v>0.3333333333</v>
      </c>
      <c r="Q1260" s="4" t="str">
        <f>IFERROR(__xludf.DUMMYFUNCTION("""COMPUTED_VALUE"""),"null")</f>
        <v>null</v>
      </c>
      <c r="R1260" s="33">
        <f>IFERROR(__xludf.DUMMYFUNCTION("""COMPUTED_VALUE"""),0.6666666666666666)</f>
        <v>0.6666666667</v>
      </c>
      <c r="S1260" s="4" t="str">
        <f>IFERROR(__xludf.DUMMYFUNCTION("""COMPUTED_VALUE"""),"null")</f>
        <v>null</v>
      </c>
      <c r="T1260" s="33">
        <f>IFERROR(__xludf.DUMMYFUNCTION("""COMPUTED_VALUE"""),0.3333333333333333)</f>
        <v>0.3333333333</v>
      </c>
      <c r="U1260" s="4" t="str">
        <f>IFERROR(__xludf.DUMMYFUNCTION("""COMPUTED_VALUE"""),"null")</f>
        <v>null</v>
      </c>
      <c r="V1260" s="33">
        <f>IFERROR(__xludf.DUMMYFUNCTION("""COMPUTED_VALUE"""),0.3333333333333333)</f>
        <v>0.3333333333</v>
      </c>
      <c r="W1260" s="4" t="str">
        <f>IFERROR(__xludf.DUMMYFUNCTION("""COMPUTED_VALUE"""),"Saipos Serviços De Software")</f>
        <v>Saipos Serviços De Software</v>
      </c>
      <c r="X1260" s="33">
        <f>IFERROR(__xludf.DUMMYFUNCTION("""COMPUTED_VALUE"""),0.5)</f>
        <v>0.5</v>
      </c>
    </row>
    <row r="1261">
      <c r="K1261" s="4" t="str">
        <f>IFERROR(__xludf.DUMMYFUNCTION("""COMPUTED_VALUE"""),"DROGARIA MAIS SAUDE")</f>
        <v>DROGARIA MAIS SAUDE</v>
      </c>
      <c r="L1261" s="32">
        <f>IFERROR(__xludf.DUMMYFUNCTION("""COMPUTED_VALUE"""),6.0)</f>
        <v>6</v>
      </c>
      <c r="M1261" s="4" t="str">
        <f>IFERROR(__xludf.DUMMYFUNCTION("""COMPUTED_VALUE"""),"null")</f>
        <v>null</v>
      </c>
      <c r="N1261" s="33">
        <f>IFERROR(__xludf.DUMMYFUNCTION("""COMPUTED_VALUE"""),0.5)</f>
        <v>0.5</v>
      </c>
      <c r="O1261" s="4" t="str">
        <f>IFERROR(__xludf.DUMMYFUNCTION("""COMPUTED_VALUE"""),"null")</f>
        <v>null</v>
      </c>
      <c r="P1261" s="33">
        <f>IFERROR(__xludf.DUMMYFUNCTION("""COMPUTED_VALUE"""),0.5)</f>
        <v>0.5</v>
      </c>
      <c r="Q1261" s="4" t="str">
        <f>IFERROR(__xludf.DUMMYFUNCTION("""COMPUTED_VALUE"""),"null")</f>
        <v>null</v>
      </c>
      <c r="R1261" s="33">
        <f>IFERROR(__xludf.DUMMYFUNCTION("""COMPUTED_VALUE"""),0.5)</f>
        <v>0.5</v>
      </c>
      <c r="S1261" s="4" t="str">
        <f>IFERROR(__xludf.DUMMYFUNCTION("""COMPUTED_VALUE"""),"null")</f>
        <v>null</v>
      </c>
      <c r="T1261" s="33">
        <f>IFERROR(__xludf.DUMMYFUNCTION("""COMPUTED_VALUE"""),0.5)</f>
        <v>0.5</v>
      </c>
      <c r="U1261" s="4" t="str">
        <f>IFERROR(__xludf.DUMMYFUNCTION("""COMPUTED_VALUE"""),"N/A (Not found)")</f>
        <v>N/A (Not found)</v>
      </c>
      <c r="V1261" s="33">
        <f>IFERROR(__xludf.DUMMYFUNCTION("""COMPUTED_VALUE"""),1.0)</f>
        <v>1</v>
      </c>
      <c r="W1261" s="4" t="str">
        <f>IFERROR(__xludf.DUMMYFUNCTION("""COMPUTED_VALUE"""),"N/A (Not found)")</f>
        <v>N/A (Not found)</v>
      </c>
      <c r="X1261" s="33">
        <f>IFERROR(__xludf.DUMMYFUNCTION("""COMPUTED_VALUE"""),1.0)</f>
        <v>1</v>
      </c>
    </row>
    <row r="1262">
      <c r="K1262" s="4" t="str">
        <f>IFERROR(__xludf.DUMMYFUNCTION("""COMPUTED_VALUE"""),"REI DO LANCHE")</f>
        <v>REI DO LANCHE</v>
      </c>
      <c r="L1262" s="32">
        <f>IFERROR(__xludf.DUMMYFUNCTION("""COMPUTED_VALUE"""),6.0)</f>
        <v>6</v>
      </c>
      <c r="M1262" s="4" t="str">
        <f>IFERROR(__xludf.DUMMYFUNCTION("""COMPUTED_VALUE"""),"Anota Ai Solucoes Digitais S/a")</f>
        <v>Anota Ai Solucoes Digitais S/a</v>
      </c>
      <c r="N1262" s="33">
        <f>IFERROR(__xludf.DUMMYFUNCTION("""COMPUTED_VALUE"""),0.16666666666666666)</f>
        <v>0.1666666667</v>
      </c>
      <c r="O1262" s="4" t="str">
        <f>IFERROR(__xludf.DUMMYFUNCTION("""COMPUTED_VALUE"""),"null")</f>
        <v>null</v>
      </c>
      <c r="P1262" s="33">
        <f>IFERROR(__xludf.DUMMYFUNCTION("""COMPUTED_VALUE"""),0.3333333333333333)</f>
        <v>0.3333333333</v>
      </c>
      <c r="Q1262" s="4" t="str">
        <f>IFERROR(__xludf.DUMMYFUNCTION("""COMPUTED_VALUE"""),"null")</f>
        <v>null</v>
      </c>
      <c r="R1262" s="33">
        <f>IFERROR(__xludf.DUMMYFUNCTION("""COMPUTED_VALUE"""),0.6666666666666666)</f>
        <v>0.6666666667</v>
      </c>
      <c r="S1262" s="4" t="str">
        <f>IFERROR(__xludf.DUMMYFUNCTION("""COMPUTED_VALUE"""),"null")</f>
        <v>null</v>
      </c>
      <c r="T1262" s="33">
        <f>IFERROR(__xludf.DUMMYFUNCTION("""COMPUTED_VALUE"""),0.8333333333333334)</f>
        <v>0.8333333333</v>
      </c>
      <c r="U1262" s="4" t="str">
        <f>IFERROR(__xludf.DUMMYFUNCTION("""COMPUTED_VALUE"""),"null")</f>
        <v>null</v>
      </c>
      <c r="V1262" s="33">
        <f>IFERROR(__xludf.DUMMYFUNCTION("""COMPUTED_VALUE"""),0.6666666666666666)</f>
        <v>0.6666666667</v>
      </c>
      <c r="W1262" s="4" t="str">
        <f>IFERROR(__xludf.DUMMYFUNCTION("""COMPUTED_VALUE"""),"null")</f>
        <v>null</v>
      </c>
      <c r="X1262" s="33">
        <f>IFERROR(__xludf.DUMMYFUNCTION("""COMPUTED_VALUE"""),0.6666666666666666)</f>
        <v>0.6666666667</v>
      </c>
    </row>
    <row r="1263">
      <c r="K1263" s="4" t="str">
        <f>IFERROR(__xludf.DUMMYFUNCTION("""COMPUTED_VALUE"""),"SANTO ACAI")</f>
        <v>SANTO ACAI</v>
      </c>
      <c r="L1263" s="32">
        <f>IFERROR(__xludf.DUMMYFUNCTION("""COMPUTED_VALUE"""),6.0)</f>
        <v>6</v>
      </c>
      <c r="M1263" s="4" t="str">
        <f>IFERROR(__xludf.DUMMYFUNCTION("""COMPUTED_VALUE"""),"Saipos Serviços De Software")</f>
        <v>Saipos Serviços De Software</v>
      </c>
      <c r="N1263" s="33">
        <f>IFERROR(__xludf.DUMMYFUNCTION("""COMPUTED_VALUE"""),0.5)</f>
        <v>0.5</v>
      </c>
      <c r="O1263" s="4" t="str">
        <f>IFERROR(__xludf.DUMMYFUNCTION("""COMPUTED_VALUE"""),"Saipos Serviços De Software")</f>
        <v>Saipos Serviços De Software</v>
      </c>
      <c r="P1263" s="33">
        <f>IFERROR(__xludf.DUMMYFUNCTION("""COMPUTED_VALUE"""),0.5)</f>
        <v>0.5</v>
      </c>
      <c r="Q1263" s="4" t="str">
        <f>IFERROR(__xludf.DUMMYFUNCTION("""COMPUTED_VALUE"""),"Saipos Serviços De Software")</f>
        <v>Saipos Serviços De Software</v>
      </c>
      <c r="R1263" s="33">
        <f>IFERROR(__xludf.DUMMYFUNCTION("""COMPUTED_VALUE"""),0.5)</f>
        <v>0.5</v>
      </c>
      <c r="S1263" s="4" t="str">
        <f>IFERROR(__xludf.DUMMYFUNCTION("""COMPUTED_VALUE"""),"Saipos Serviços De Software")</f>
        <v>Saipos Serviços De Software</v>
      </c>
      <c r="T1263" s="33">
        <f>IFERROR(__xludf.DUMMYFUNCTION("""COMPUTED_VALUE"""),0.5)</f>
        <v>0.5</v>
      </c>
      <c r="U1263" s="4" t="str">
        <f>IFERROR(__xludf.DUMMYFUNCTION("""COMPUTED_VALUE"""),"Saipos Serviços De Software")</f>
        <v>Saipos Serviços De Software</v>
      </c>
      <c r="V1263" s="33">
        <f>IFERROR(__xludf.DUMMYFUNCTION("""COMPUTED_VALUE"""),0.5)</f>
        <v>0.5</v>
      </c>
      <c r="W1263" s="4" t="str">
        <f>IFERROR(__xludf.DUMMYFUNCTION("""COMPUTED_VALUE"""),"Saipos Serviços De Software")</f>
        <v>Saipos Serviços De Software</v>
      </c>
      <c r="X1263" s="33">
        <f>IFERROR(__xludf.DUMMYFUNCTION("""COMPUTED_VALUE"""),0.5)</f>
        <v>0.5</v>
      </c>
    </row>
    <row r="1264">
      <c r="K1264" s="4" t="str">
        <f>IFERROR(__xludf.DUMMYFUNCTION("""COMPUTED_VALUE"""),"GOLD BURGER")</f>
        <v>GOLD BURGER</v>
      </c>
      <c r="L1264" s="32">
        <f>IFERROR(__xludf.DUMMYFUNCTION("""COMPUTED_VALUE"""),6.0)</f>
        <v>6</v>
      </c>
      <c r="M1264" s="4" t="str">
        <f>IFERROR(__xludf.DUMMYFUNCTION("""COMPUTED_VALUE"""),"Consumer Soluções Em Tecnologia Ltda")</f>
        <v>Consumer Soluções Em Tecnologia Ltda</v>
      </c>
      <c r="N1264" s="33">
        <f>IFERROR(__xludf.DUMMYFUNCTION("""COMPUTED_VALUE"""),0.6666666666666666)</f>
        <v>0.6666666667</v>
      </c>
      <c r="O1264" s="4" t="str">
        <f>IFERROR(__xludf.DUMMYFUNCTION("""COMPUTED_VALUE"""),"Consumer Soluções Em Tecnologia Ltda")</f>
        <v>Consumer Soluções Em Tecnologia Ltda</v>
      </c>
      <c r="P1264" s="33">
        <f>IFERROR(__xludf.DUMMYFUNCTION("""COMPUTED_VALUE"""),0.5)</f>
        <v>0.5</v>
      </c>
      <c r="Q1264" s="4" t="str">
        <f>IFERROR(__xludf.DUMMYFUNCTION("""COMPUTED_VALUE"""),"Consumer Soluções Em Tecnologia Ltda")</f>
        <v>Consumer Soluções Em Tecnologia Ltda</v>
      </c>
      <c r="R1264" s="33">
        <f>IFERROR(__xludf.DUMMYFUNCTION("""COMPUTED_VALUE"""),0.5)</f>
        <v>0.5</v>
      </c>
      <c r="S1264" s="4" t="str">
        <f>IFERROR(__xludf.DUMMYFUNCTION("""COMPUTED_VALUE"""),"Cardápio Web")</f>
        <v>Cardápio Web</v>
      </c>
      <c r="T1264" s="33">
        <f>IFERROR(__xludf.DUMMYFUNCTION("""COMPUTED_VALUE"""),0.3333333333333333)</f>
        <v>0.3333333333</v>
      </c>
      <c r="U1264" s="4" t="str">
        <f>IFERROR(__xludf.DUMMYFUNCTION("""COMPUTED_VALUE"""),"Consumer Soluções Em Tecnologia Ltda")</f>
        <v>Consumer Soluções Em Tecnologia Ltda</v>
      </c>
      <c r="V1264" s="33">
        <f>IFERROR(__xludf.DUMMYFUNCTION("""COMPUTED_VALUE"""),0.6666666666666666)</f>
        <v>0.6666666667</v>
      </c>
      <c r="W1264" s="4" t="str">
        <f>IFERROR(__xludf.DUMMYFUNCTION("""COMPUTED_VALUE"""),"Consumer Soluções Em Tecnologia Ltda")</f>
        <v>Consumer Soluções Em Tecnologia Ltda</v>
      </c>
      <c r="X1264" s="33">
        <f>IFERROR(__xludf.DUMMYFUNCTION("""COMPUTED_VALUE"""),0.5)</f>
        <v>0.5</v>
      </c>
    </row>
    <row r="1265">
      <c r="K1265" s="4" t="str">
        <f>IFERROR(__xludf.DUMMYFUNCTION("""COMPUTED_VALUE"""),"REI DO HAMBURGUER")</f>
        <v>REI DO HAMBURGUER</v>
      </c>
      <c r="L1265" s="32">
        <f>IFERROR(__xludf.DUMMYFUNCTION("""COMPUTED_VALUE"""),6.0)</f>
        <v>6</v>
      </c>
      <c r="M1265" s="4" t="str">
        <f>IFERROR(__xludf.DUMMYFUNCTION("""COMPUTED_VALUE"""),"null")</f>
        <v>null</v>
      </c>
      <c r="N1265" s="33">
        <f>IFERROR(__xludf.DUMMYFUNCTION("""COMPUTED_VALUE"""),0.5)</f>
        <v>0.5</v>
      </c>
      <c r="O1265" s="4" t="str">
        <f>IFERROR(__xludf.DUMMYFUNCTION("""COMPUTED_VALUE"""),"null")</f>
        <v>null</v>
      </c>
      <c r="P1265" s="33">
        <f>IFERROR(__xludf.DUMMYFUNCTION("""COMPUTED_VALUE"""),0.6666666666666666)</f>
        <v>0.6666666667</v>
      </c>
      <c r="Q1265" s="4" t="str">
        <f>IFERROR(__xludf.DUMMYFUNCTION("""COMPUTED_VALUE"""),"null")</f>
        <v>null</v>
      </c>
      <c r="R1265" s="33">
        <f>IFERROR(__xludf.DUMMYFUNCTION("""COMPUTED_VALUE"""),1.0)</f>
        <v>1</v>
      </c>
      <c r="S1265" s="4" t="str">
        <f>IFERROR(__xludf.DUMMYFUNCTION("""COMPUTED_VALUE"""),"null")</f>
        <v>null</v>
      </c>
      <c r="T1265" s="33">
        <f>IFERROR(__xludf.DUMMYFUNCTION("""COMPUTED_VALUE"""),0.8333333333333334)</f>
        <v>0.8333333333</v>
      </c>
      <c r="U1265" s="4" t="str">
        <f>IFERROR(__xludf.DUMMYFUNCTION("""COMPUTED_VALUE"""),"null")</f>
        <v>null</v>
      </c>
      <c r="V1265" s="33">
        <f>IFERROR(__xludf.DUMMYFUNCTION("""COMPUTED_VALUE"""),0.6666666666666666)</f>
        <v>0.6666666667</v>
      </c>
      <c r="W1265" s="4" t="str">
        <f>IFERROR(__xludf.DUMMYFUNCTION("""COMPUTED_VALUE"""),"null")</f>
        <v>null</v>
      </c>
      <c r="X1265" s="33">
        <f>IFERROR(__xludf.DUMMYFUNCTION("""COMPUTED_VALUE"""),0.5)</f>
        <v>0.5</v>
      </c>
    </row>
    <row r="1266">
      <c r="K1266" s="4" t="str">
        <f>IFERROR(__xludf.DUMMYFUNCTION("""COMPUTED_VALUE"""),"SUPREMO ACAI")</f>
        <v>SUPREMO ACAI</v>
      </c>
      <c r="L1266" s="32">
        <f>IFERROR(__xludf.DUMMYFUNCTION("""COMPUTED_VALUE"""),6.0)</f>
        <v>6</v>
      </c>
      <c r="M1266" s="4" t="str">
        <f>IFERROR(__xludf.DUMMYFUNCTION("""COMPUTED_VALUE"""),"null")</f>
        <v>null</v>
      </c>
      <c r="N1266" s="33">
        <f>IFERROR(__xludf.DUMMYFUNCTION("""COMPUTED_VALUE"""),0.5)</f>
        <v>0.5</v>
      </c>
      <c r="O1266" s="4" t="str">
        <f>IFERROR(__xludf.DUMMYFUNCTION("""COMPUTED_VALUE"""),"null")</f>
        <v>null</v>
      </c>
      <c r="P1266" s="33">
        <f>IFERROR(__xludf.DUMMYFUNCTION("""COMPUTED_VALUE"""),0.3333333333333333)</f>
        <v>0.3333333333</v>
      </c>
      <c r="Q1266" s="4" t="str">
        <f>IFERROR(__xludf.DUMMYFUNCTION("""COMPUTED_VALUE"""),"null")</f>
        <v>null</v>
      </c>
      <c r="R1266" s="33">
        <f>IFERROR(__xludf.DUMMYFUNCTION("""COMPUTED_VALUE"""),0.6666666666666666)</f>
        <v>0.6666666667</v>
      </c>
      <c r="S1266" s="4" t="str">
        <f>IFERROR(__xludf.DUMMYFUNCTION("""COMPUTED_VALUE"""),"Instadelivery")</f>
        <v>Instadelivery</v>
      </c>
      <c r="T1266" s="33">
        <f>IFERROR(__xludf.DUMMYFUNCTION("""COMPUTED_VALUE"""),0.3333333333333333)</f>
        <v>0.3333333333</v>
      </c>
      <c r="U1266" s="4" t="str">
        <f>IFERROR(__xludf.DUMMYFUNCTION("""COMPUTED_VALUE"""),"null")</f>
        <v>null</v>
      </c>
      <c r="V1266" s="33">
        <f>IFERROR(__xludf.DUMMYFUNCTION("""COMPUTED_VALUE"""),0.3333333333333333)</f>
        <v>0.3333333333</v>
      </c>
      <c r="W1266" s="4" t="str">
        <f>IFERROR(__xludf.DUMMYFUNCTION("""COMPUTED_VALUE"""),"null")</f>
        <v>null</v>
      </c>
      <c r="X1266" s="33">
        <f>IFERROR(__xludf.DUMMYFUNCTION("""COMPUTED_VALUE"""),0.3333333333333333)</f>
        <v>0.3333333333</v>
      </c>
    </row>
    <row r="1267">
      <c r="K1267" s="4" t="str">
        <f>IFERROR(__xludf.DUMMYFUNCTION("""COMPUTED_VALUE"""),"IKIGAI SUSHI")</f>
        <v>IKIGAI SUSHI</v>
      </c>
      <c r="L1267" s="32">
        <f>IFERROR(__xludf.DUMMYFUNCTION("""COMPUTED_VALUE"""),6.0)</f>
        <v>6</v>
      </c>
      <c r="M1267" s="4" t="str">
        <f>IFERROR(__xludf.DUMMYFUNCTION("""COMPUTED_VALUE"""),"null")</f>
        <v>null</v>
      </c>
      <c r="N1267" s="33">
        <f>IFERROR(__xludf.DUMMYFUNCTION("""COMPUTED_VALUE"""),0.6666666666666666)</f>
        <v>0.6666666667</v>
      </c>
      <c r="O1267" s="4" t="str">
        <f>IFERROR(__xludf.DUMMYFUNCTION("""COMPUTED_VALUE"""),"null")</f>
        <v>null</v>
      </c>
      <c r="P1267" s="33">
        <f>IFERROR(__xludf.DUMMYFUNCTION("""COMPUTED_VALUE"""),0.5)</f>
        <v>0.5</v>
      </c>
      <c r="Q1267" s="4" t="str">
        <f>IFERROR(__xludf.DUMMYFUNCTION("""COMPUTED_VALUE"""),"null")</f>
        <v>null</v>
      </c>
      <c r="R1267" s="33">
        <f>IFERROR(__xludf.DUMMYFUNCTION("""COMPUTED_VALUE"""),0.5)</f>
        <v>0.5</v>
      </c>
      <c r="S1267" s="4" t="str">
        <f>IFERROR(__xludf.DUMMYFUNCTION("""COMPUTED_VALUE"""),"null")</f>
        <v>null</v>
      </c>
      <c r="T1267" s="33">
        <f>IFERROR(__xludf.DUMMYFUNCTION("""COMPUTED_VALUE"""),0.3333333333333333)</f>
        <v>0.3333333333</v>
      </c>
      <c r="U1267" s="4" t="str">
        <f>IFERROR(__xludf.DUMMYFUNCTION("""COMPUTED_VALUE"""),"Saipos Serviços De Software")</f>
        <v>Saipos Serviços De Software</v>
      </c>
      <c r="V1267" s="33">
        <f>IFERROR(__xludf.DUMMYFUNCTION("""COMPUTED_VALUE"""),0.3333333333333333)</f>
        <v>0.3333333333</v>
      </c>
      <c r="W1267" s="4" t="str">
        <f>IFERROR(__xludf.DUMMYFUNCTION("""COMPUTED_VALUE"""),"null")</f>
        <v>null</v>
      </c>
      <c r="X1267" s="33">
        <f>IFERROR(__xludf.DUMMYFUNCTION("""COMPUTED_VALUE"""),0.3333333333333333)</f>
        <v>0.3333333333</v>
      </c>
    </row>
    <row r="1268">
      <c r="K1268" s="4" t="str">
        <f>IFERROR(__xludf.DUMMYFUNCTION("""COMPUTED_VALUE"""),"PIZZARIA QUERO MAIS")</f>
        <v>PIZZARIA QUERO MAIS</v>
      </c>
      <c r="L1268" s="32">
        <f>IFERROR(__xludf.DUMMYFUNCTION("""COMPUTED_VALUE"""),6.0)</f>
        <v>6</v>
      </c>
      <c r="M1268" s="4" t="str">
        <f>IFERROR(__xludf.DUMMYFUNCTION("""COMPUTED_VALUE"""),"Anove Tecnologia")</f>
        <v>Anove Tecnologia</v>
      </c>
      <c r="N1268" s="33">
        <f>IFERROR(__xludf.DUMMYFUNCTION("""COMPUTED_VALUE"""),0.3333333333333333)</f>
        <v>0.3333333333</v>
      </c>
      <c r="O1268" s="4" t="str">
        <f>IFERROR(__xludf.DUMMYFUNCTION("""COMPUTED_VALUE"""),"Anove Tecnologia")</f>
        <v>Anove Tecnologia</v>
      </c>
      <c r="P1268" s="33">
        <f>IFERROR(__xludf.DUMMYFUNCTION("""COMPUTED_VALUE"""),0.3333333333333333)</f>
        <v>0.3333333333</v>
      </c>
      <c r="Q1268" s="4" t="str">
        <f>IFERROR(__xludf.DUMMYFUNCTION("""COMPUTED_VALUE"""),"Anove Tecnologia")</f>
        <v>Anove Tecnologia</v>
      </c>
      <c r="R1268" s="33">
        <f>IFERROR(__xludf.DUMMYFUNCTION("""COMPUTED_VALUE"""),0.3333333333333333)</f>
        <v>0.3333333333</v>
      </c>
      <c r="S1268" s="4" t="str">
        <f>IFERROR(__xludf.DUMMYFUNCTION("""COMPUTED_VALUE"""),"null")</f>
        <v>null</v>
      </c>
      <c r="T1268" s="33">
        <f>IFERROR(__xludf.DUMMYFUNCTION("""COMPUTED_VALUE"""),0.5)</f>
        <v>0.5</v>
      </c>
      <c r="U1268" s="4" t="str">
        <f>IFERROR(__xludf.DUMMYFUNCTION("""COMPUTED_VALUE"""),"Anove Tecnologia")</f>
        <v>Anove Tecnologia</v>
      </c>
      <c r="V1268" s="33">
        <f>IFERROR(__xludf.DUMMYFUNCTION("""COMPUTED_VALUE"""),0.3333333333333333)</f>
        <v>0.3333333333</v>
      </c>
      <c r="W1268" s="4" t="str">
        <f>IFERROR(__xludf.DUMMYFUNCTION("""COMPUTED_VALUE"""),"Anove Tecnologia")</f>
        <v>Anove Tecnologia</v>
      </c>
      <c r="X1268" s="33">
        <f>IFERROR(__xludf.DUMMYFUNCTION("""COMPUTED_VALUE"""),0.3333333333333333)</f>
        <v>0.3333333333</v>
      </c>
    </row>
    <row r="1269">
      <c r="K1269" s="4" t="str">
        <f>IFERROR(__xludf.DUMMYFUNCTION("""COMPUTED_VALUE"""),"CASA DO SALGADO")</f>
        <v>CASA DO SALGADO</v>
      </c>
      <c r="L1269" s="32">
        <f>IFERROR(__xludf.DUMMYFUNCTION("""COMPUTED_VALUE"""),6.0)</f>
        <v>6</v>
      </c>
      <c r="M1269" s="4" t="str">
        <f>IFERROR(__xludf.DUMMYFUNCTION("""COMPUTED_VALUE"""),"Takeat Tecnologia")</f>
        <v>Takeat Tecnologia</v>
      </c>
      <c r="N1269" s="33">
        <f>IFERROR(__xludf.DUMMYFUNCTION("""COMPUTED_VALUE"""),0.5)</f>
        <v>0.5</v>
      </c>
      <c r="O1269" s="4" t="str">
        <f>IFERROR(__xludf.DUMMYFUNCTION("""COMPUTED_VALUE"""),"null")</f>
        <v>null</v>
      </c>
      <c r="P1269" s="33">
        <f>IFERROR(__xludf.DUMMYFUNCTION("""COMPUTED_VALUE"""),0.5)</f>
        <v>0.5</v>
      </c>
      <c r="Q1269" s="4" t="str">
        <f>IFERROR(__xludf.DUMMYFUNCTION("""COMPUTED_VALUE"""),"null")</f>
        <v>null</v>
      </c>
      <c r="R1269" s="33">
        <f>IFERROR(__xludf.DUMMYFUNCTION("""COMPUTED_VALUE"""),0.6666666666666666)</f>
        <v>0.6666666667</v>
      </c>
      <c r="S1269" s="4" t="str">
        <f>IFERROR(__xludf.DUMMYFUNCTION("""COMPUTED_VALUE"""),"null")</f>
        <v>null</v>
      </c>
      <c r="T1269" s="33">
        <f>IFERROR(__xludf.DUMMYFUNCTION("""COMPUTED_VALUE"""),0.8333333333333334)</f>
        <v>0.8333333333</v>
      </c>
      <c r="U1269" s="4" t="str">
        <f>IFERROR(__xludf.DUMMYFUNCTION("""COMPUTED_VALUE"""),"null")</f>
        <v>null</v>
      </c>
      <c r="V1269" s="33">
        <f>IFERROR(__xludf.DUMMYFUNCTION("""COMPUTED_VALUE"""),0.5)</f>
        <v>0.5</v>
      </c>
      <c r="W1269" s="4" t="str">
        <f>IFERROR(__xludf.DUMMYFUNCTION("""COMPUTED_VALUE"""),"Takeat Tecnologia")</f>
        <v>Takeat Tecnologia</v>
      </c>
      <c r="X1269" s="33">
        <f>IFERROR(__xludf.DUMMYFUNCTION("""COMPUTED_VALUE"""),0.5)</f>
        <v>0.5</v>
      </c>
    </row>
    <row r="1270">
      <c r="K1270" s="4" t="str">
        <f>IFERROR(__xludf.DUMMYFUNCTION("""COMPUTED_VALUE"""),"NA BRASA BURGUER")</f>
        <v>NA BRASA BURGUER</v>
      </c>
      <c r="L1270" s="32">
        <f>IFERROR(__xludf.DUMMYFUNCTION("""COMPUTED_VALUE"""),6.0)</f>
        <v>6</v>
      </c>
      <c r="M1270" s="4" t="str">
        <f>IFERROR(__xludf.DUMMYFUNCTION("""COMPUTED_VALUE"""),"Instadelivery")</f>
        <v>Instadelivery</v>
      </c>
      <c r="N1270" s="33">
        <f>IFERROR(__xludf.DUMMYFUNCTION("""COMPUTED_VALUE"""),0.3333333333333333)</f>
        <v>0.3333333333</v>
      </c>
      <c r="O1270" s="4" t="str">
        <f>IFERROR(__xludf.DUMMYFUNCTION("""COMPUTED_VALUE"""),"Instadelivery")</f>
        <v>Instadelivery</v>
      </c>
      <c r="P1270" s="33">
        <f>IFERROR(__xludf.DUMMYFUNCTION("""COMPUTED_VALUE"""),0.3333333333333333)</f>
        <v>0.3333333333</v>
      </c>
      <c r="Q1270" s="4" t="str">
        <f>IFERROR(__xludf.DUMMYFUNCTION("""COMPUTED_VALUE"""),"null")</f>
        <v>null</v>
      </c>
      <c r="R1270" s="33">
        <f>IFERROR(__xludf.DUMMYFUNCTION("""COMPUTED_VALUE"""),0.5)</f>
        <v>0.5</v>
      </c>
      <c r="S1270" s="4" t="str">
        <f>IFERROR(__xludf.DUMMYFUNCTION("""COMPUTED_VALUE"""),"Instadelivery")</f>
        <v>Instadelivery</v>
      </c>
      <c r="T1270" s="33">
        <f>IFERROR(__xludf.DUMMYFUNCTION("""COMPUTED_VALUE"""),0.3333333333333333)</f>
        <v>0.3333333333</v>
      </c>
      <c r="U1270" s="4" t="str">
        <f>IFERROR(__xludf.DUMMYFUNCTION("""COMPUTED_VALUE"""),"Instadelivery")</f>
        <v>Instadelivery</v>
      </c>
      <c r="V1270" s="33">
        <f>IFERROR(__xludf.DUMMYFUNCTION("""COMPUTED_VALUE"""),0.3333333333333333)</f>
        <v>0.3333333333</v>
      </c>
      <c r="W1270" s="4" t="str">
        <f>IFERROR(__xludf.DUMMYFUNCTION("""COMPUTED_VALUE"""),"Instadelivery")</f>
        <v>Instadelivery</v>
      </c>
      <c r="X1270" s="33">
        <f>IFERROR(__xludf.DUMMYFUNCTION("""COMPUTED_VALUE"""),0.3333333333333333)</f>
        <v>0.3333333333</v>
      </c>
    </row>
    <row r="1271">
      <c r="K1271" s="4" t="str">
        <f>IFERROR(__xludf.DUMMYFUNCTION("""COMPUTED_VALUE"""),"SMASH BURGUER")</f>
        <v>SMASH BURGUER</v>
      </c>
      <c r="L1271" s="32">
        <f>IFERROR(__xludf.DUMMYFUNCTION("""COMPUTED_VALUE"""),6.0)</f>
        <v>6</v>
      </c>
      <c r="M1271" s="4" t="str">
        <f>IFERROR(__xludf.DUMMYFUNCTION("""COMPUTED_VALUE"""),"null")</f>
        <v>null</v>
      </c>
      <c r="N1271" s="33">
        <f>IFERROR(__xludf.DUMMYFUNCTION("""COMPUTED_VALUE"""),0.3333333333333333)</f>
        <v>0.3333333333</v>
      </c>
      <c r="O1271" s="4" t="str">
        <f>IFERROR(__xludf.DUMMYFUNCTION("""COMPUTED_VALUE"""),"null")</f>
        <v>null</v>
      </c>
      <c r="P1271" s="33">
        <f>IFERROR(__xludf.DUMMYFUNCTION("""COMPUTED_VALUE"""),0.3333333333333333)</f>
        <v>0.3333333333</v>
      </c>
      <c r="Q1271" s="4" t="str">
        <f>IFERROR(__xludf.DUMMYFUNCTION("""COMPUTED_VALUE"""),"null")</f>
        <v>null</v>
      </c>
      <c r="R1271" s="33">
        <f>IFERROR(__xludf.DUMMYFUNCTION("""COMPUTED_VALUE"""),0.5)</f>
        <v>0.5</v>
      </c>
      <c r="S1271" s="4" t="str">
        <f>IFERROR(__xludf.DUMMYFUNCTION("""COMPUTED_VALUE"""),"null")</f>
        <v>null</v>
      </c>
      <c r="T1271" s="33">
        <f>IFERROR(__xludf.DUMMYFUNCTION("""COMPUTED_VALUE"""),0.5)</f>
        <v>0.5</v>
      </c>
      <c r="U1271" s="4" t="str">
        <f>IFERROR(__xludf.DUMMYFUNCTION("""COMPUTED_VALUE"""),"null")</f>
        <v>null</v>
      </c>
      <c r="V1271" s="33">
        <f>IFERROR(__xludf.DUMMYFUNCTION("""COMPUTED_VALUE"""),0.5)</f>
        <v>0.5</v>
      </c>
      <c r="W1271" s="4" t="str">
        <f>IFERROR(__xludf.DUMMYFUNCTION("""COMPUTED_VALUE"""),"null")</f>
        <v>null</v>
      </c>
      <c r="X1271" s="33">
        <f>IFERROR(__xludf.DUMMYFUNCTION("""COMPUTED_VALUE"""),0.6666666666666666)</f>
        <v>0.6666666667</v>
      </c>
    </row>
    <row r="1272">
      <c r="K1272" s="4" t="str">
        <f>IFERROR(__xludf.DUMMYFUNCTION("""COMPUTED_VALUE"""),"TOP ACAI")</f>
        <v>TOP ACAI</v>
      </c>
      <c r="L1272" s="32">
        <f>IFERROR(__xludf.DUMMYFUNCTION("""COMPUTED_VALUE"""),6.0)</f>
        <v>6</v>
      </c>
      <c r="M1272" s="4" t="str">
        <f>IFERROR(__xludf.DUMMYFUNCTION("""COMPUTED_VALUE"""),"Saipos Serviços De Software")</f>
        <v>Saipos Serviços De Software</v>
      </c>
      <c r="N1272" s="33">
        <f>IFERROR(__xludf.DUMMYFUNCTION("""COMPUTED_VALUE"""),0.5)</f>
        <v>0.5</v>
      </c>
      <c r="O1272" s="4" t="str">
        <f>IFERROR(__xludf.DUMMYFUNCTION("""COMPUTED_VALUE"""),"Saipos Serviços De Software")</f>
        <v>Saipos Serviços De Software</v>
      </c>
      <c r="P1272" s="33">
        <f>IFERROR(__xludf.DUMMYFUNCTION("""COMPUTED_VALUE"""),0.5)</f>
        <v>0.5</v>
      </c>
      <c r="Q1272" s="4" t="str">
        <f>IFERROR(__xludf.DUMMYFUNCTION("""COMPUTED_VALUE"""),"null")</f>
        <v>null</v>
      </c>
      <c r="R1272" s="33">
        <f>IFERROR(__xludf.DUMMYFUNCTION("""COMPUTED_VALUE"""),0.3333333333333333)</f>
        <v>0.3333333333</v>
      </c>
      <c r="S1272" s="4" t="str">
        <f>IFERROR(__xludf.DUMMYFUNCTION("""COMPUTED_VALUE"""),"null")</f>
        <v>null</v>
      </c>
      <c r="T1272" s="33">
        <f>IFERROR(__xludf.DUMMYFUNCTION("""COMPUTED_VALUE"""),0.3333333333333333)</f>
        <v>0.3333333333</v>
      </c>
      <c r="U1272" s="4" t="str">
        <f>IFERROR(__xludf.DUMMYFUNCTION("""COMPUTED_VALUE"""),"null")</f>
        <v>null</v>
      </c>
      <c r="V1272" s="33">
        <f>IFERROR(__xludf.DUMMYFUNCTION("""COMPUTED_VALUE"""),0.3333333333333333)</f>
        <v>0.3333333333</v>
      </c>
      <c r="W1272" s="4" t="str">
        <f>IFERROR(__xludf.DUMMYFUNCTION("""COMPUTED_VALUE"""),"null")</f>
        <v>null</v>
      </c>
      <c r="X1272" s="33">
        <f>IFERROR(__xludf.DUMMYFUNCTION("""COMPUTED_VALUE"""),0.5)</f>
        <v>0.5</v>
      </c>
    </row>
    <row r="1273">
      <c r="K1273" s="4" t="str">
        <f>IFERROR(__xludf.DUMMYFUNCTION("""COMPUTED_VALUE"""),"RED BURGER")</f>
        <v>RED BURGER</v>
      </c>
      <c r="L1273" s="32">
        <f>IFERROR(__xludf.DUMMYFUNCTION("""COMPUTED_VALUE"""),6.0)</f>
        <v>6</v>
      </c>
      <c r="M1273" s="4" t="str">
        <f>IFERROR(__xludf.DUMMYFUNCTION("""COMPUTED_VALUE"""),"Menew - Linx")</f>
        <v>Menew - Linx</v>
      </c>
      <c r="N1273" s="33">
        <f>IFERROR(__xludf.DUMMYFUNCTION("""COMPUTED_VALUE"""),0.8333333333333334)</f>
        <v>0.8333333333</v>
      </c>
      <c r="O1273" s="4" t="str">
        <f>IFERROR(__xludf.DUMMYFUNCTION("""COMPUTED_VALUE"""),"Menew - Linx")</f>
        <v>Menew - Linx</v>
      </c>
      <c r="P1273" s="33">
        <f>IFERROR(__xludf.DUMMYFUNCTION("""COMPUTED_VALUE"""),0.8333333333333334)</f>
        <v>0.8333333333</v>
      </c>
      <c r="Q1273" s="4" t="str">
        <f>IFERROR(__xludf.DUMMYFUNCTION("""COMPUTED_VALUE"""),"Menew - Linx")</f>
        <v>Menew - Linx</v>
      </c>
      <c r="R1273" s="33">
        <f>IFERROR(__xludf.DUMMYFUNCTION("""COMPUTED_VALUE"""),0.8333333333333334)</f>
        <v>0.8333333333</v>
      </c>
      <c r="S1273" s="4" t="str">
        <f>IFERROR(__xludf.DUMMYFUNCTION("""COMPUTED_VALUE"""),"Menew - Linx")</f>
        <v>Menew - Linx</v>
      </c>
      <c r="T1273" s="33">
        <f>IFERROR(__xludf.DUMMYFUNCTION("""COMPUTED_VALUE"""),0.8333333333333334)</f>
        <v>0.8333333333</v>
      </c>
      <c r="U1273" s="4" t="str">
        <f>IFERROR(__xludf.DUMMYFUNCTION("""COMPUTED_VALUE"""),"Menew - Linx")</f>
        <v>Menew - Linx</v>
      </c>
      <c r="V1273" s="33">
        <f>IFERROR(__xludf.DUMMYFUNCTION("""COMPUTED_VALUE"""),0.8333333333333334)</f>
        <v>0.8333333333</v>
      </c>
      <c r="W1273" s="4" t="str">
        <f>IFERROR(__xludf.DUMMYFUNCTION("""COMPUTED_VALUE"""),"Menew - Linx")</f>
        <v>Menew - Linx</v>
      </c>
      <c r="X1273" s="33">
        <f>IFERROR(__xludf.DUMMYFUNCTION("""COMPUTED_VALUE"""),0.8333333333333334)</f>
        <v>0.8333333333</v>
      </c>
    </row>
    <row r="1274">
      <c r="K1274" s="4" t="str">
        <f>IFERROR(__xludf.DUMMYFUNCTION("""COMPUTED_VALUE"""),"GRUPO HAKIM")</f>
        <v>GRUPO HAKIM</v>
      </c>
      <c r="L1274" s="32">
        <f>IFERROR(__xludf.DUMMYFUNCTION("""COMPUTED_VALUE"""),6.0)</f>
        <v>6</v>
      </c>
      <c r="M1274" s="4" t="str">
        <f>IFERROR(__xludf.DUMMYFUNCTION("""COMPUTED_VALUE"""),"Gama Tecnologias Ltda")</f>
        <v>Gama Tecnologias Ltda</v>
      </c>
      <c r="N1274" s="33">
        <f>IFERROR(__xludf.DUMMYFUNCTION("""COMPUTED_VALUE"""),0.5)</f>
        <v>0.5</v>
      </c>
      <c r="O1274" s="4" t="str">
        <f>IFERROR(__xludf.DUMMYFUNCTION("""COMPUTED_VALUE"""),"Gama Tecnologias Ltda")</f>
        <v>Gama Tecnologias Ltda</v>
      </c>
      <c r="P1274" s="33">
        <f>IFERROR(__xludf.DUMMYFUNCTION("""COMPUTED_VALUE"""),0.5)</f>
        <v>0.5</v>
      </c>
      <c r="Q1274" s="4" t="str">
        <f>IFERROR(__xludf.DUMMYFUNCTION("""COMPUTED_VALUE"""),"Gama Tecnologias Ltda")</f>
        <v>Gama Tecnologias Ltda</v>
      </c>
      <c r="R1274" s="33">
        <f>IFERROR(__xludf.DUMMYFUNCTION("""COMPUTED_VALUE"""),0.5)</f>
        <v>0.5</v>
      </c>
      <c r="S1274" s="4" t="str">
        <f>IFERROR(__xludf.DUMMYFUNCTION("""COMPUTED_VALUE"""),"Gama Tecnologias Ltda")</f>
        <v>Gama Tecnologias Ltda</v>
      </c>
      <c r="T1274" s="33">
        <f>IFERROR(__xludf.DUMMYFUNCTION("""COMPUTED_VALUE"""),0.5)</f>
        <v>0.5</v>
      </c>
      <c r="U1274" s="4" t="str">
        <f>IFERROR(__xludf.DUMMYFUNCTION("""COMPUTED_VALUE"""),"Gama Tecnologias Ltda")</f>
        <v>Gama Tecnologias Ltda</v>
      </c>
      <c r="V1274" s="33">
        <f>IFERROR(__xludf.DUMMYFUNCTION("""COMPUTED_VALUE"""),0.3333333333333333)</f>
        <v>0.3333333333</v>
      </c>
      <c r="W1274" s="4" t="str">
        <f>IFERROR(__xludf.DUMMYFUNCTION("""COMPUTED_VALUE"""),"Gama Tecnologias Ltda")</f>
        <v>Gama Tecnologias Ltda</v>
      </c>
      <c r="X1274" s="33">
        <f>IFERROR(__xludf.DUMMYFUNCTION("""COMPUTED_VALUE"""),0.3333333333333333)</f>
        <v>0.3333333333</v>
      </c>
    </row>
    <row r="1275">
      <c r="K1275" s="4" t="str">
        <f>IFERROR(__xludf.DUMMYFUNCTION("""COMPUTED_VALUE"""),"CALZOON")</f>
        <v>CALZOON</v>
      </c>
      <c r="L1275" s="32">
        <f>IFERROR(__xludf.DUMMYFUNCTION("""COMPUTED_VALUE"""),6.0)</f>
        <v>6</v>
      </c>
      <c r="M1275" s="4" t="str">
        <f>IFERROR(__xludf.DUMMYFUNCTION("""COMPUTED_VALUE"""),"Yooga")</f>
        <v>Yooga</v>
      </c>
      <c r="N1275" s="33">
        <f>IFERROR(__xludf.DUMMYFUNCTION("""COMPUTED_VALUE"""),0.6666666666666666)</f>
        <v>0.6666666667</v>
      </c>
      <c r="O1275" s="4" t="str">
        <f>IFERROR(__xludf.DUMMYFUNCTION("""COMPUTED_VALUE"""),"Yooga")</f>
        <v>Yooga</v>
      </c>
      <c r="P1275" s="33">
        <f>IFERROR(__xludf.DUMMYFUNCTION("""COMPUTED_VALUE"""),0.6666666666666666)</f>
        <v>0.6666666667</v>
      </c>
      <c r="Q1275" s="4" t="str">
        <f>IFERROR(__xludf.DUMMYFUNCTION("""COMPUTED_VALUE"""),"null")</f>
        <v>null</v>
      </c>
      <c r="R1275" s="33">
        <f>IFERROR(__xludf.DUMMYFUNCTION("""COMPUTED_VALUE"""),0.5)</f>
        <v>0.5</v>
      </c>
      <c r="S1275" s="4" t="str">
        <f>IFERROR(__xludf.DUMMYFUNCTION("""COMPUTED_VALUE"""),"null")</f>
        <v>null</v>
      </c>
      <c r="T1275" s="33">
        <f>IFERROR(__xludf.DUMMYFUNCTION("""COMPUTED_VALUE"""),0.5)</f>
        <v>0.5</v>
      </c>
      <c r="U1275" s="4" t="str">
        <f>IFERROR(__xludf.DUMMYFUNCTION("""COMPUTED_VALUE"""),"null")</f>
        <v>null</v>
      </c>
      <c r="V1275" s="33">
        <f>IFERROR(__xludf.DUMMYFUNCTION("""COMPUTED_VALUE"""),0.6666666666666666)</f>
        <v>0.6666666667</v>
      </c>
      <c r="W1275" s="4" t="str">
        <f>IFERROR(__xludf.DUMMYFUNCTION("""COMPUTED_VALUE"""),"null")</f>
        <v>null</v>
      </c>
      <c r="X1275" s="33">
        <f>IFERROR(__xludf.DUMMYFUNCTION("""COMPUTED_VALUE"""),0.8333333333333334)</f>
        <v>0.8333333333</v>
      </c>
    </row>
    <row r="1276">
      <c r="K1276" s="4" t="str">
        <f>IFERROR(__xludf.DUMMYFUNCTION("""COMPUTED_VALUE"""),"LEO LANCHES")</f>
        <v>LEO LANCHES</v>
      </c>
      <c r="L1276" s="32">
        <f>IFERROR(__xludf.DUMMYFUNCTION("""COMPUTED_VALUE"""),6.0)</f>
        <v>6</v>
      </c>
      <c r="M1276" s="4" t="str">
        <f>IFERROR(__xludf.DUMMYFUNCTION("""COMPUTED_VALUE"""),"Anota Ai Solucoes Digitais S/a")</f>
        <v>Anota Ai Solucoes Digitais S/a</v>
      </c>
      <c r="N1276" s="33">
        <f>IFERROR(__xludf.DUMMYFUNCTION("""COMPUTED_VALUE"""),0.16666666666666666)</f>
        <v>0.1666666667</v>
      </c>
      <c r="O1276" s="4" t="str">
        <f>IFERROR(__xludf.DUMMYFUNCTION("""COMPUTED_VALUE"""),"null")</f>
        <v>null</v>
      </c>
      <c r="P1276" s="33">
        <f>IFERROR(__xludf.DUMMYFUNCTION("""COMPUTED_VALUE"""),0.3333333333333333)</f>
        <v>0.3333333333</v>
      </c>
      <c r="Q1276" s="4" t="str">
        <f>IFERROR(__xludf.DUMMYFUNCTION("""COMPUTED_VALUE"""),"null")</f>
        <v>null</v>
      </c>
      <c r="R1276" s="33">
        <f>IFERROR(__xludf.DUMMYFUNCTION("""COMPUTED_VALUE"""),0.16666666666666666)</f>
        <v>0.1666666667</v>
      </c>
      <c r="S1276" s="4" t="str">
        <f>IFERROR(__xludf.DUMMYFUNCTION("""COMPUTED_VALUE"""),"null")</f>
        <v>null</v>
      </c>
      <c r="T1276" s="33">
        <f>IFERROR(__xludf.DUMMYFUNCTION("""COMPUTED_VALUE"""),0.5)</f>
        <v>0.5</v>
      </c>
      <c r="U1276" s="4" t="str">
        <f>IFERROR(__xludf.DUMMYFUNCTION("""COMPUTED_VALUE"""),"null")</f>
        <v>null</v>
      </c>
      <c r="V1276" s="33">
        <f>IFERROR(__xludf.DUMMYFUNCTION("""COMPUTED_VALUE"""),0.3333333333333333)</f>
        <v>0.3333333333</v>
      </c>
      <c r="W1276" s="4" t="str">
        <f>IFERROR(__xludf.DUMMYFUNCTION("""COMPUTED_VALUE"""),"null")</f>
        <v>null</v>
      </c>
      <c r="X1276" s="33">
        <f>IFERROR(__xludf.DUMMYFUNCTION("""COMPUTED_VALUE"""),0.3333333333333333)</f>
        <v>0.3333333333</v>
      </c>
    </row>
    <row r="1277">
      <c r="K1277" s="4" t="str">
        <f>IFERROR(__xludf.DUMMYFUNCTION("""COMPUTED_VALUE"""),"PIZZARIA VITORIA")</f>
        <v>PIZZARIA VITORIA</v>
      </c>
      <c r="L1277" s="32">
        <f>IFERROR(__xludf.DUMMYFUNCTION("""COMPUTED_VALUE"""),6.0)</f>
        <v>6</v>
      </c>
      <c r="M1277" s="4" t="str">
        <f>IFERROR(__xludf.DUMMYFUNCTION("""COMPUTED_VALUE"""),"Mp Multipedidos")</f>
        <v>Mp Multipedidos</v>
      </c>
      <c r="N1277" s="33">
        <f>IFERROR(__xludf.DUMMYFUNCTION("""COMPUTED_VALUE"""),0.3333333333333333)</f>
        <v>0.3333333333</v>
      </c>
      <c r="O1277" s="4" t="str">
        <f>IFERROR(__xludf.DUMMYFUNCTION("""COMPUTED_VALUE"""),"Mp Multipedidos")</f>
        <v>Mp Multipedidos</v>
      </c>
      <c r="P1277" s="33">
        <f>IFERROR(__xludf.DUMMYFUNCTION("""COMPUTED_VALUE"""),0.3333333333333333)</f>
        <v>0.3333333333</v>
      </c>
      <c r="Q1277" s="4" t="str">
        <f>IFERROR(__xludf.DUMMYFUNCTION("""COMPUTED_VALUE"""),"Mp Multipedidos")</f>
        <v>Mp Multipedidos</v>
      </c>
      <c r="R1277" s="33">
        <f>IFERROR(__xludf.DUMMYFUNCTION("""COMPUTED_VALUE"""),0.3333333333333333)</f>
        <v>0.3333333333</v>
      </c>
      <c r="S1277" s="4" t="str">
        <f>IFERROR(__xludf.DUMMYFUNCTION("""COMPUTED_VALUE"""),"Mp Multipedidos")</f>
        <v>Mp Multipedidos</v>
      </c>
      <c r="T1277" s="33">
        <f>IFERROR(__xludf.DUMMYFUNCTION("""COMPUTED_VALUE"""),0.3333333333333333)</f>
        <v>0.3333333333</v>
      </c>
      <c r="U1277" s="4" t="str">
        <f>IFERROR(__xludf.DUMMYFUNCTION("""COMPUTED_VALUE"""),"null")</f>
        <v>null</v>
      </c>
      <c r="V1277" s="33">
        <f>IFERROR(__xludf.DUMMYFUNCTION("""COMPUTED_VALUE"""),0.5)</f>
        <v>0.5</v>
      </c>
      <c r="W1277" s="4" t="str">
        <f>IFERROR(__xludf.DUMMYFUNCTION("""COMPUTED_VALUE"""),"null")</f>
        <v>null</v>
      </c>
      <c r="X1277" s="33">
        <f>IFERROR(__xludf.DUMMYFUNCTION("""COMPUTED_VALUE"""),0.5)</f>
        <v>0.5</v>
      </c>
    </row>
    <row r="1278">
      <c r="K1278" s="4" t="str">
        <f>IFERROR(__xludf.DUMMYFUNCTION("""COMPUTED_VALUE"""),"SABOR EXPRESS")</f>
        <v>SABOR EXPRESS</v>
      </c>
      <c r="L1278" s="32">
        <f>IFERROR(__xludf.DUMMYFUNCTION("""COMPUTED_VALUE"""),6.0)</f>
        <v>6</v>
      </c>
      <c r="M1278" s="4" t="str">
        <f>IFERROR(__xludf.DUMMYFUNCTION("""COMPUTED_VALUE"""),"Consumer Soluções Em Tecnologia Ltda")</f>
        <v>Consumer Soluções Em Tecnologia Ltda</v>
      </c>
      <c r="N1278" s="33">
        <f>IFERROR(__xludf.DUMMYFUNCTION("""COMPUTED_VALUE"""),0.6666666666666666)</f>
        <v>0.6666666667</v>
      </c>
      <c r="O1278" s="4" t="str">
        <f>IFERROR(__xludf.DUMMYFUNCTION("""COMPUTED_VALUE"""),"Consumer Soluções Em Tecnologia Ltda")</f>
        <v>Consumer Soluções Em Tecnologia Ltda</v>
      </c>
      <c r="P1278" s="33">
        <f>IFERROR(__xludf.DUMMYFUNCTION("""COMPUTED_VALUE"""),0.6666666666666666)</f>
        <v>0.6666666667</v>
      </c>
      <c r="Q1278" s="4" t="str">
        <f>IFERROR(__xludf.DUMMYFUNCTION("""COMPUTED_VALUE"""),"null")</f>
        <v>null</v>
      </c>
      <c r="R1278" s="33">
        <f>IFERROR(__xludf.DUMMYFUNCTION("""COMPUTED_VALUE"""),0.5)</f>
        <v>0.5</v>
      </c>
      <c r="S1278" s="4" t="str">
        <f>IFERROR(__xludf.DUMMYFUNCTION("""COMPUTED_VALUE"""),"null")</f>
        <v>null</v>
      </c>
      <c r="T1278" s="33">
        <f>IFERROR(__xludf.DUMMYFUNCTION("""COMPUTED_VALUE"""),0.5)</f>
        <v>0.5</v>
      </c>
      <c r="U1278" s="4" t="str">
        <f>IFERROR(__xludf.DUMMYFUNCTION("""COMPUTED_VALUE"""),"Consumer Soluções Em Tecnologia Ltda")</f>
        <v>Consumer Soluções Em Tecnologia Ltda</v>
      </c>
      <c r="V1278" s="33">
        <f>IFERROR(__xludf.DUMMYFUNCTION("""COMPUTED_VALUE"""),0.5)</f>
        <v>0.5</v>
      </c>
      <c r="W1278" s="4" t="str">
        <f>IFERROR(__xludf.DUMMYFUNCTION("""COMPUTED_VALUE"""),"Consumer Soluções Em Tecnologia Ltda")</f>
        <v>Consumer Soluções Em Tecnologia Ltda</v>
      </c>
      <c r="X1278" s="33">
        <f>IFERROR(__xludf.DUMMYFUNCTION("""COMPUTED_VALUE"""),0.5)</f>
        <v>0.5</v>
      </c>
    </row>
    <row r="1279">
      <c r="K1279" s="4" t="str">
        <f>IFERROR(__xludf.DUMMYFUNCTION("""COMPUTED_VALUE"""),"PRIME PIZZARIA")</f>
        <v>PRIME PIZZARIA</v>
      </c>
      <c r="L1279" s="32">
        <f>IFERROR(__xludf.DUMMYFUNCTION("""COMPUTED_VALUE"""),6.0)</f>
        <v>6</v>
      </c>
      <c r="M1279" s="4" t="str">
        <f>IFERROR(__xludf.DUMMYFUNCTION("""COMPUTED_VALUE"""),"null")</f>
        <v>null</v>
      </c>
      <c r="N1279" s="33">
        <f>IFERROR(__xludf.DUMMYFUNCTION("""COMPUTED_VALUE"""),0.3333333333333333)</f>
        <v>0.3333333333</v>
      </c>
      <c r="O1279" s="4" t="str">
        <f>IFERROR(__xludf.DUMMYFUNCTION("""COMPUTED_VALUE"""),"Wls Solucoes Empresariais Ltda")</f>
        <v>Wls Solucoes Empresariais Ltda</v>
      </c>
      <c r="P1279" s="33">
        <f>IFERROR(__xludf.DUMMYFUNCTION("""COMPUTED_VALUE"""),0.3333333333333333)</f>
        <v>0.3333333333</v>
      </c>
      <c r="Q1279" s="4" t="str">
        <f>IFERROR(__xludf.DUMMYFUNCTION("""COMPUTED_VALUE"""),"Wls Solucoes Empresariais Ltda")</f>
        <v>Wls Solucoes Empresariais Ltda</v>
      </c>
      <c r="R1279" s="33">
        <f>IFERROR(__xludf.DUMMYFUNCTION("""COMPUTED_VALUE"""),0.3333333333333333)</f>
        <v>0.3333333333</v>
      </c>
      <c r="S1279" s="4" t="str">
        <f>IFERROR(__xludf.DUMMYFUNCTION("""COMPUTED_VALUE"""),"Wls Solucoes Empresariais Ltda")</f>
        <v>Wls Solucoes Empresariais Ltda</v>
      </c>
      <c r="T1279" s="33">
        <f>IFERROR(__xludf.DUMMYFUNCTION("""COMPUTED_VALUE"""),0.5)</f>
        <v>0.5</v>
      </c>
      <c r="U1279" s="4" t="str">
        <f>IFERROR(__xludf.DUMMYFUNCTION("""COMPUTED_VALUE"""),"null")</f>
        <v>null</v>
      </c>
      <c r="V1279" s="33">
        <f>IFERROR(__xludf.DUMMYFUNCTION("""COMPUTED_VALUE"""),0.5)</f>
        <v>0.5</v>
      </c>
      <c r="W1279" s="4" t="str">
        <f>IFERROR(__xludf.DUMMYFUNCTION("""COMPUTED_VALUE"""),"null")</f>
        <v>null</v>
      </c>
      <c r="X1279" s="33">
        <f>IFERROR(__xludf.DUMMYFUNCTION("""COMPUTED_VALUE"""),0.6666666666666666)</f>
        <v>0.6666666667</v>
      </c>
    </row>
    <row r="1280">
      <c r="K1280" s="4" t="str">
        <f>IFERROR(__xludf.DUMMYFUNCTION("""COMPUTED_VALUE"""),"TJ BURGUER")</f>
        <v>TJ BURGUER</v>
      </c>
      <c r="L1280" s="32">
        <f>IFERROR(__xludf.DUMMYFUNCTION("""COMPUTED_VALUE"""),6.0)</f>
        <v>6</v>
      </c>
      <c r="M1280" s="4" t="str">
        <f>IFERROR(__xludf.DUMMYFUNCTION("""COMPUTED_VALUE"""),"Saipos Serviços De Software")</f>
        <v>Saipos Serviços De Software</v>
      </c>
      <c r="N1280" s="33">
        <f>IFERROR(__xludf.DUMMYFUNCTION("""COMPUTED_VALUE"""),0.6666666666666666)</f>
        <v>0.6666666667</v>
      </c>
      <c r="O1280" s="4" t="str">
        <f>IFERROR(__xludf.DUMMYFUNCTION("""COMPUTED_VALUE"""),"Saipos Serviços De Software")</f>
        <v>Saipos Serviços De Software</v>
      </c>
      <c r="P1280" s="33">
        <f>IFERROR(__xludf.DUMMYFUNCTION("""COMPUTED_VALUE"""),0.8333333333333334)</f>
        <v>0.8333333333</v>
      </c>
      <c r="Q1280" s="4" t="str">
        <f>IFERROR(__xludf.DUMMYFUNCTION("""COMPUTED_VALUE"""),"Saipos Serviços De Software")</f>
        <v>Saipos Serviços De Software</v>
      </c>
      <c r="R1280" s="33">
        <f>IFERROR(__xludf.DUMMYFUNCTION("""COMPUTED_VALUE"""),0.8333333333333334)</f>
        <v>0.8333333333</v>
      </c>
      <c r="S1280" s="4" t="str">
        <f>IFERROR(__xludf.DUMMYFUNCTION("""COMPUTED_VALUE"""),"Saipos Serviços De Software")</f>
        <v>Saipos Serviços De Software</v>
      </c>
      <c r="T1280" s="33">
        <f>IFERROR(__xludf.DUMMYFUNCTION("""COMPUTED_VALUE"""),0.8333333333333334)</f>
        <v>0.8333333333</v>
      </c>
      <c r="U1280" s="4" t="str">
        <f>IFERROR(__xludf.DUMMYFUNCTION("""COMPUTED_VALUE"""),"Saipos Serviços De Software")</f>
        <v>Saipos Serviços De Software</v>
      </c>
      <c r="V1280" s="33">
        <f>IFERROR(__xludf.DUMMYFUNCTION("""COMPUTED_VALUE"""),0.8333333333333334)</f>
        <v>0.8333333333</v>
      </c>
      <c r="W1280" s="4" t="str">
        <f>IFERROR(__xludf.DUMMYFUNCTION("""COMPUTED_VALUE"""),"Saipos Serviços De Software")</f>
        <v>Saipos Serviços De Software</v>
      </c>
      <c r="X1280" s="33">
        <f>IFERROR(__xludf.DUMMYFUNCTION("""COMPUTED_VALUE"""),0.8333333333333334)</f>
        <v>0.8333333333</v>
      </c>
    </row>
    <row r="1281">
      <c r="K1281" s="4" t="str">
        <f>IFERROR(__xludf.DUMMYFUNCTION("""COMPUTED_VALUE"""),"BELLA MASSA")</f>
        <v>BELLA MASSA</v>
      </c>
      <c r="L1281" s="32">
        <f>IFERROR(__xludf.DUMMYFUNCTION("""COMPUTED_VALUE"""),6.0)</f>
        <v>6</v>
      </c>
      <c r="M1281" s="4" t="str">
        <f>IFERROR(__xludf.DUMMYFUNCTION("""COMPUTED_VALUE"""),"Grsoft")</f>
        <v>Grsoft</v>
      </c>
      <c r="N1281" s="33">
        <f>IFERROR(__xludf.DUMMYFUNCTION("""COMPUTED_VALUE"""),0.3333333333333333)</f>
        <v>0.3333333333</v>
      </c>
      <c r="O1281" s="4" t="str">
        <f>IFERROR(__xludf.DUMMYFUNCTION("""COMPUTED_VALUE"""),"Grsoft")</f>
        <v>Grsoft</v>
      </c>
      <c r="P1281" s="33">
        <f>IFERROR(__xludf.DUMMYFUNCTION("""COMPUTED_VALUE"""),0.3333333333333333)</f>
        <v>0.3333333333</v>
      </c>
      <c r="Q1281" s="4" t="str">
        <f>IFERROR(__xludf.DUMMYFUNCTION("""COMPUTED_VALUE"""),"Grsoft")</f>
        <v>Grsoft</v>
      </c>
      <c r="R1281" s="33">
        <f>IFERROR(__xludf.DUMMYFUNCTION("""COMPUTED_VALUE"""),0.3333333333333333)</f>
        <v>0.3333333333</v>
      </c>
      <c r="S1281" s="4" t="str">
        <f>IFERROR(__xludf.DUMMYFUNCTION("""COMPUTED_VALUE"""),"Grsoft")</f>
        <v>Grsoft</v>
      </c>
      <c r="T1281" s="33">
        <f>IFERROR(__xludf.DUMMYFUNCTION("""COMPUTED_VALUE"""),0.3333333333333333)</f>
        <v>0.3333333333</v>
      </c>
      <c r="U1281" s="4" t="str">
        <f>IFERROR(__xludf.DUMMYFUNCTION("""COMPUTED_VALUE"""),"Grsoft")</f>
        <v>Grsoft</v>
      </c>
      <c r="V1281" s="33">
        <f>IFERROR(__xludf.DUMMYFUNCTION("""COMPUTED_VALUE"""),0.3333333333333333)</f>
        <v>0.3333333333</v>
      </c>
      <c r="W1281" s="4" t="str">
        <f>IFERROR(__xludf.DUMMYFUNCTION("""COMPUTED_VALUE"""),"Grsoft")</f>
        <v>Grsoft</v>
      </c>
      <c r="X1281" s="33">
        <f>IFERROR(__xludf.DUMMYFUNCTION("""COMPUTED_VALUE"""),0.3333333333333333)</f>
        <v>0.3333333333</v>
      </c>
    </row>
    <row r="1282">
      <c r="K1282" s="4" t="str">
        <f>IFERROR(__xludf.DUMMYFUNCTION("""COMPUTED_VALUE"""),"PIZZARIA PREDILETA")</f>
        <v>PIZZARIA PREDILETA</v>
      </c>
      <c r="L1282" s="32">
        <f>IFERROR(__xludf.DUMMYFUNCTION("""COMPUTED_VALUE"""),6.0)</f>
        <v>6</v>
      </c>
      <c r="M1282" s="4" t="str">
        <f>IFERROR(__xludf.DUMMYFUNCTION("""COMPUTED_VALUE"""),"Saipos Serviços De Software")</f>
        <v>Saipos Serviços De Software</v>
      </c>
      <c r="N1282" s="33">
        <f>IFERROR(__xludf.DUMMYFUNCTION("""COMPUTED_VALUE"""),0.8333333333333334)</f>
        <v>0.8333333333</v>
      </c>
      <c r="O1282" s="4" t="str">
        <f>IFERROR(__xludf.DUMMYFUNCTION("""COMPUTED_VALUE"""),"Saipos Serviços De Software")</f>
        <v>Saipos Serviços De Software</v>
      </c>
      <c r="P1282" s="33">
        <f>IFERROR(__xludf.DUMMYFUNCTION("""COMPUTED_VALUE"""),0.8333333333333334)</f>
        <v>0.8333333333</v>
      </c>
      <c r="Q1282" s="4" t="str">
        <f>IFERROR(__xludf.DUMMYFUNCTION("""COMPUTED_VALUE"""),"Saipos Serviços De Software")</f>
        <v>Saipos Serviços De Software</v>
      </c>
      <c r="R1282" s="33">
        <f>IFERROR(__xludf.DUMMYFUNCTION("""COMPUTED_VALUE"""),0.8333333333333334)</f>
        <v>0.8333333333</v>
      </c>
      <c r="S1282" s="4" t="str">
        <f>IFERROR(__xludf.DUMMYFUNCTION("""COMPUTED_VALUE"""),"Saipos Serviços De Software")</f>
        <v>Saipos Serviços De Software</v>
      </c>
      <c r="T1282" s="33">
        <f>IFERROR(__xludf.DUMMYFUNCTION("""COMPUTED_VALUE"""),0.8333333333333334)</f>
        <v>0.8333333333</v>
      </c>
      <c r="U1282" s="4" t="str">
        <f>IFERROR(__xludf.DUMMYFUNCTION("""COMPUTED_VALUE"""),"Saipos Serviços De Software")</f>
        <v>Saipos Serviços De Software</v>
      </c>
      <c r="V1282" s="33">
        <f>IFERROR(__xludf.DUMMYFUNCTION("""COMPUTED_VALUE"""),0.8333333333333334)</f>
        <v>0.8333333333</v>
      </c>
      <c r="W1282" s="4" t="str">
        <f>IFERROR(__xludf.DUMMYFUNCTION("""COMPUTED_VALUE"""),"Saipos Serviços De Software")</f>
        <v>Saipos Serviços De Software</v>
      </c>
      <c r="X1282" s="33">
        <f>IFERROR(__xludf.DUMMYFUNCTION("""COMPUTED_VALUE"""),0.8333333333333334)</f>
        <v>0.8333333333</v>
      </c>
    </row>
    <row r="1283">
      <c r="K1283" s="4" t="str">
        <f>IFERROR(__xludf.DUMMYFUNCTION("""COMPUTED_VALUE"""),"DOCE MAGIA")</f>
        <v>DOCE MAGIA</v>
      </c>
      <c r="L1283" s="32">
        <f>IFERROR(__xludf.DUMMYFUNCTION("""COMPUTED_VALUE"""),6.0)</f>
        <v>6</v>
      </c>
      <c r="M1283" s="4" t="str">
        <f>IFERROR(__xludf.DUMMYFUNCTION("""COMPUTED_VALUE"""),"T4l Tecnologia Ltda Me")</f>
        <v>T4l Tecnologia Ltda Me</v>
      </c>
      <c r="N1283" s="33">
        <f>IFERROR(__xludf.DUMMYFUNCTION("""COMPUTED_VALUE"""),0.8333333333333334)</f>
        <v>0.8333333333</v>
      </c>
      <c r="O1283" s="4" t="str">
        <f>IFERROR(__xludf.DUMMYFUNCTION("""COMPUTED_VALUE"""),"T4l Tecnologia Ltda Me")</f>
        <v>T4l Tecnologia Ltda Me</v>
      </c>
      <c r="P1283" s="33">
        <f>IFERROR(__xludf.DUMMYFUNCTION("""COMPUTED_VALUE"""),0.8333333333333334)</f>
        <v>0.8333333333</v>
      </c>
      <c r="Q1283" s="4" t="str">
        <f>IFERROR(__xludf.DUMMYFUNCTION("""COMPUTED_VALUE"""),"T4l Tecnologia Ltda Me")</f>
        <v>T4l Tecnologia Ltda Me</v>
      </c>
      <c r="R1283" s="33">
        <f>IFERROR(__xludf.DUMMYFUNCTION("""COMPUTED_VALUE"""),0.8333333333333334)</f>
        <v>0.8333333333</v>
      </c>
      <c r="S1283" s="4" t="str">
        <f>IFERROR(__xludf.DUMMYFUNCTION("""COMPUTED_VALUE"""),"T4l Tecnologia Ltda Me")</f>
        <v>T4l Tecnologia Ltda Me</v>
      </c>
      <c r="T1283" s="33">
        <f>IFERROR(__xludf.DUMMYFUNCTION("""COMPUTED_VALUE"""),0.8333333333333334)</f>
        <v>0.8333333333</v>
      </c>
      <c r="U1283" s="4" t="str">
        <f>IFERROR(__xludf.DUMMYFUNCTION("""COMPUTED_VALUE"""),"T4l Tecnologia Ltda Me")</f>
        <v>T4l Tecnologia Ltda Me</v>
      </c>
      <c r="V1283" s="33">
        <f>IFERROR(__xludf.DUMMYFUNCTION("""COMPUTED_VALUE"""),0.8333333333333334)</f>
        <v>0.8333333333</v>
      </c>
      <c r="W1283" s="4" t="str">
        <f>IFERROR(__xludf.DUMMYFUNCTION("""COMPUTED_VALUE"""),"T4l Tecnologia Ltda Me")</f>
        <v>T4l Tecnologia Ltda Me</v>
      </c>
      <c r="X1283" s="33">
        <f>IFERROR(__xludf.DUMMYFUNCTION("""COMPUTED_VALUE"""),0.8333333333333334)</f>
        <v>0.8333333333</v>
      </c>
    </row>
    <row r="1284">
      <c r="K1284" s="4" t="str">
        <f>IFERROR(__xludf.DUMMYFUNCTION("""COMPUTED_VALUE"""),"BENDITA MARMITA")</f>
        <v>BENDITA MARMITA</v>
      </c>
      <c r="L1284" s="32">
        <f>IFERROR(__xludf.DUMMYFUNCTION("""COMPUTED_VALUE"""),6.0)</f>
        <v>6</v>
      </c>
      <c r="M1284" s="4" t="str">
        <f>IFERROR(__xludf.DUMMYFUNCTION("""COMPUTED_VALUE"""),"null")</f>
        <v>null</v>
      </c>
      <c r="N1284" s="33">
        <f>IFERROR(__xludf.DUMMYFUNCTION("""COMPUTED_VALUE"""),0.5)</f>
        <v>0.5</v>
      </c>
      <c r="O1284" s="4" t="str">
        <f>IFERROR(__xludf.DUMMYFUNCTION("""COMPUTED_VALUE"""),"Saipos Serviços De Software")</f>
        <v>Saipos Serviços De Software</v>
      </c>
      <c r="P1284" s="33">
        <f>IFERROR(__xludf.DUMMYFUNCTION("""COMPUTED_VALUE"""),0.3333333333333333)</f>
        <v>0.3333333333</v>
      </c>
      <c r="Q1284" s="4" t="str">
        <f>IFERROR(__xludf.DUMMYFUNCTION("""COMPUTED_VALUE"""),"Saipos Serviços De Software")</f>
        <v>Saipos Serviços De Software</v>
      </c>
      <c r="R1284" s="33">
        <f>IFERROR(__xludf.DUMMYFUNCTION("""COMPUTED_VALUE"""),0.3333333333333333)</f>
        <v>0.3333333333</v>
      </c>
      <c r="S1284" s="4" t="str">
        <f>IFERROR(__xludf.DUMMYFUNCTION("""COMPUTED_VALUE"""),"null")</f>
        <v>null</v>
      </c>
      <c r="T1284" s="33">
        <f>IFERROR(__xludf.DUMMYFUNCTION("""COMPUTED_VALUE"""),0.5)</f>
        <v>0.5</v>
      </c>
      <c r="U1284" s="4" t="str">
        <f>IFERROR(__xludf.DUMMYFUNCTION("""COMPUTED_VALUE"""),"null")</f>
        <v>null</v>
      </c>
      <c r="V1284" s="33">
        <f>IFERROR(__xludf.DUMMYFUNCTION("""COMPUTED_VALUE"""),0.3333333333333333)</f>
        <v>0.3333333333</v>
      </c>
      <c r="W1284" s="4" t="str">
        <f>IFERROR(__xludf.DUMMYFUNCTION("""COMPUTED_VALUE"""),"null")</f>
        <v>null</v>
      </c>
      <c r="X1284" s="33">
        <f>IFERROR(__xludf.DUMMYFUNCTION("""COMPUTED_VALUE"""),0.5)</f>
        <v>0.5</v>
      </c>
    </row>
    <row r="1285">
      <c r="K1285" s="4" t="str">
        <f>IFERROR(__xludf.DUMMYFUNCTION("""COMPUTED_VALUE"""),"JJ LANCHES")</f>
        <v>JJ LANCHES</v>
      </c>
      <c r="L1285" s="32">
        <f>IFERROR(__xludf.DUMMYFUNCTION("""COMPUTED_VALUE"""),6.0)</f>
        <v>6</v>
      </c>
      <c r="M1285" s="4" t="str">
        <f>IFERROR(__xludf.DUMMYFUNCTION("""COMPUTED_VALUE"""),"Instadelivery")</f>
        <v>Instadelivery</v>
      </c>
      <c r="N1285" s="33">
        <f>IFERROR(__xludf.DUMMYFUNCTION("""COMPUTED_VALUE"""),0.3333333333333333)</f>
        <v>0.3333333333</v>
      </c>
      <c r="O1285" s="4" t="str">
        <f>IFERROR(__xludf.DUMMYFUNCTION("""COMPUTED_VALUE"""),"Anota Ai Solucoes Digitais S/a")</f>
        <v>Anota Ai Solucoes Digitais S/a</v>
      </c>
      <c r="P1285" s="33">
        <f>IFERROR(__xludf.DUMMYFUNCTION("""COMPUTED_VALUE"""),0.5)</f>
        <v>0.5</v>
      </c>
      <c r="Q1285" s="4" t="str">
        <f>IFERROR(__xludf.DUMMYFUNCTION("""COMPUTED_VALUE"""),"null")</f>
        <v>null</v>
      </c>
      <c r="R1285" s="33">
        <f>IFERROR(__xludf.DUMMYFUNCTION("""COMPUTED_VALUE"""),0.3333333333333333)</f>
        <v>0.3333333333</v>
      </c>
      <c r="S1285" s="4" t="str">
        <f>IFERROR(__xludf.DUMMYFUNCTION("""COMPUTED_VALUE"""),"null")</f>
        <v>null</v>
      </c>
      <c r="T1285" s="33">
        <f>IFERROR(__xludf.DUMMYFUNCTION("""COMPUTED_VALUE"""),0.3333333333333333)</f>
        <v>0.3333333333</v>
      </c>
      <c r="U1285" s="4" t="str">
        <f>IFERROR(__xludf.DUMMYFUNCTION("""COMPUTED_VALUE"""),"null")</f>
        <v>null</v>
      </c>
      <c r="V1285" s="33">
        <f>IFERROR(__xludf.DUMMYFUNCTION("""COMPUTED_VALUE"""),0.3333333333333333)</f>
        <v>0.3333333333</v>
      </c>
      <c r="W1285" s="4" t="str">
        <f>IFERROR(__xludf.DUMMYFUNCTION("""COMPUTED_VALUE"""),"null")</f>
        <v>null</v>
      </c>
      <c r="X1285" s="33">
        <f>IFERROR(__xludf.DUMMYFUNCTION("""COMPUTED_VALUE"""),0.3333333333333333)</f>
        <v>0.3333333333</v>
      </c>
    </row>
    <row r="1286">
      <c r="K1286" s="4" t="str">
        <f>IFERROR(__xludf.DUMMYFUNCTION("""COMPUTED_VALUE"""),"AMERICAN PIZZA")</f>
        <v>AMERICAN PIZZA</v>
      </c>
      <c r="L1286" s="32">
        <f>IFERROR(__xludf.DUMMYFUNCTION("""COMPUTED_VALUE"""),6.0)</f>
        <v>6</v>
      </c>
      <c r="M1286" s="4" t="str">
        <f>IFERROR(__xludf.DUMMYFUNCTION("""COMPUTED_VALUE"""),"Cardápio Web")</f>
        <v>Cardápio Web</v>
      </c>
      <c r="N1286" s="33">
        <f>IFERROR(__xludf.DUMMYFUNCTION("""COMPUTED_VALUE"""),0.8333333333333334)</f>
        <v>0.8333333333</v>
      </c>
      <c r="O1286" s="4" t="str">
        <f>IFERROR(__xludf.DUMMYFUNCTION("""COMPUTED_VALUE"""),"Cardápio Web")</f>
        <v>Cardápio Web</v>
      </c>
      <c r="P1286" s="33">
        <f>IFERROR(__xludf.DUMMYFUNCTION("""COMPUTED_VALUE"""),0.8333333333333334)</f>
        <v>0.8333333333</v>
      </c>
      <c r="Q1286" s="4" t="str">
        <f>IFERROR(__xludf.DUMMYFUNCTION("""COMPUTED_VALUE"""),"Cardápio Web")</f>
        <v>Cardápio Web</v>
      </c>
      <c r="R1286" s="33">
        <f>IFERROR(__xludf.DUMMYFUNCTION("""COMPUTED_VALUE"""),0.8333333333333334)</f>
        <v>0.8333333333</v>
      </c>
      <c r="S1286" s="4" t="str">
        <f>IFERROR(__xludf.DUMMYFUNCTION("""COMPUTED_VALUE"""),"Cardápio Web")</f>
        <v>Cardápio Web</v>
      </c>
      <c r="T1286" s="33">
        <f>IFERROR(__xludf.DUMMYFUNCTION("""COMPUTED_VALUE"""),0.8333333333333334)</f>
        <v>0.8333333333</v>
      </c>
      <c r="U1286" s="4" t="str">
        <f>IFERROR(__xludf.DUMMYFUNCTION("""COMPUTED_VALUE"""),"Cardápio Web")</f>
        <v>Cardápio Web</v>
      </c>
      <c r="V1286" s="33">
        <f>IFERROR(__xludf.DUMMYFUNCTION("""COMPUTED_VALUE"""),0.8333333333333334)</f>
        <v>0.8333333333</v>
      </c>
      <c r="W1286" s="4" t="str">
        <f>IFERROR(__xludf.DUMMYFUNCTION("""COMPUTED_VALUE"""),"Cardápio Web")</f>
        <v>Cardápio Web</v>
      </c>
      <c r="X1286" s="33">
        <f>IFERROR(__xludf.DUMMYFUNCTION("""COMPUTED_VALUE"""),0.8333333333333334)</f>
        <v>0.8333333333</v>
      </c>
    </row>
    <row r="1287">
      <c r="K1287" s="4" t="str">
        <f>IFERROR(__xludf.DUMMYFUNCTION("""COMPUTED_VALUE"""),"O SHEIK")</f>
        <v>O SHEIK</v>
      </c>
      <c r="L1287" s="32">
        <f>IFERROR(__xludf.DUMMYFUNCTION("""COMPUTED_VALUE"""),6.0)</f>
        <v>6</v>
      </c>
      <c r="M1287" s="4" t="str">
        <f>IFERROR(__xludf.DUMMYFUNCTION("""COMPUTED_VALUE"""),"Saipos Serviços De Software")</f>
        <v>Saipos Serviços De Software</v>
      </c>
      <c r="N1287" s="33">
        <f>IFERROR(__xludf.DUMMYFUNCTION("""COMPUTED_VALUE"""),0.5)</f>
        <v>0.5</v>
      </c>
      <c r="O1287" s="4" t="str">
        <f>IFERROR(__xludf.DUMMYFUNCTION("""COMPUTED_VALUE"""),"Saipos Serviços De Software")</f>
        <v>Saipos Serviços De Software</v>
      </c>
      <c r="P1287" s="33">
        <f>IFERROR(__xludf.DUMMYFUNCTION("""COMPUTED_VALUE"""),0.5)</f>
        <v>0.5</v>
      </c>
      <c r="Q1287" s="4" t="str">
        <f>IFERROR(__xludf.DUMMYFUNCTION("""COMPUTED_VALUE"""),"Saipos Serviços De Software")</f>
        <v>Saipos Serviços De Software</v>
      </c>
      <c r="R1287" s="33">
        <f>IFERROR(__xludf.DUMMYFUNCTION("""COMPUTED_VALUE"""),0.5)</f>
        <v>0.5</v>
      </c>
      <c r="S1287" s="4" t="str">
        <f>IFERROR(__xludf.DUMMYFUNCTION("""COMPUTED_VALUE"""),"Cardápio Web")</f>
        <v>Cardápio Web</v>
      </c>
      <c r="T1287" s="33">
        <f>IFERROR(__xludf.DUMMYFUNCTION("""COMPUTED_VALUE"""),0.3333333333333333)</f>
        <v>0.3333333333</v>
      </c>
      <c r="U1287" s="4" t="str">
        <f>IFERROR(__xludf.DUMMYFUNCTION("""COMPUTED_VALUE"""),"Cardápio Web")</f>
        <v>Cardápio Web</v>
      </c>
      <c r="V1287" s="33">
        <f>IFERROR(__xludf.DUMMYFUNCTION("""COMPUTED_VALUE"""),0.3333333333333333)</f>
        <v>0.3333333333</v>
      </c>
      <c r="W1287" s="4" t="str">
        <f>IFERROR(__xludf.DUMMYFUNCTION("""COMPUTED_VALUE"""),"null")</f>
        <v>null</v>
      </c>
      <c r="X1287" s="33">
        <f>IFERROR(__xludf.DUMMYFUNCTION("""COMPUTED_VALUE"""),0.3333333333333333)</f>
        <v>0.3333333333</v>
      </c>
    </row>
    <row r="1288">
      <c r="K1288" s="4" t="str">
        <f>IFERROR(__xludf.DUMMYFUNCTION("""COMPUTED_VALUE"""),"OISHI SUSHI")</f>
        <v>OISHI SUSHI</v>
      </c>
      <c r="L1288" s="32">
        <f>IFERROR(__xludf.DUMMYFUNCTION("""COMPUTED_VALUE"""),6.0)</f>
        <v>6</v>
      </c>
      <c r="M1288" s="4" t="str">
        <f>IFERROR(__xludf.DUMMYFUNCTION("""COMPUTED_VALUE"""),"Saipos Serviços De Software")</f>
        <v>Saipos Serviços De Software</v>
      </c>
      <c r="N1288" s="33">
        <f>IFERROR(__xludf.DUMMYFUNCTION("""COMPUTED_VALUE"""),0.6666666666666666)</f>
        <v>0.6666666667</v>
      </c>
      <c r="O1288" s="4" t="str">
        <f>IFERROR(__xludf.DUMMYFUNCTION("""COMPUTED_VALUE"""),"Saipos Serviços De Software")</f>
        <v>Saipos Serviços De Software</v>
      </c>
      <c r="P1288" s="33">
        <f>IFERROR(__xludf.DUMMYFUNCTION("""COMPUTED_VALUE"""),0.8333333333333334)</f>
        <v>0.8333333333</v>
      </c>
      <c r="Q1288" s="4" t="str">
        <f>IFERROR(__xludf.DUMMYFUNCTION("""COMPUTED_VALUE"""),"Saipos Serviços De Software")</f>
        <v>Saipos Serviços De Software</v>
      </c>
      <c r="R1288" s="33">
        <f>IFERROR(__xludf.DUMMYFUNCTION("""COMPUTED_VALUE"""),0.8333333333333334)</f>
        <v>0.8333333333</v>
      </c>
      <c r="S1288" s="4" t="str">
        <f>IFERROR(__xludf.DUMMYFUNCTION("""COMPUTED_VALUE"""),"Saipos Serviços De Software")</f>
        <v>Saipos Serviços De Software</v>
      </c>
      <c r="T1288" s="33">
        <f>IFERROR(__xludf.DUMMYFUNCTION("""COMPUTED_VALUE"""),0.8333333333333334)</f>
        <v>0.8333333333</v>
      </c>
      <c r="U1288" s="4" t="str">
        <f>IFERROR(__xludf.DUMMYFUNCTION("""COMPUTED_VALUE"""),"null")</f>
        <v>null</v>
      </c>
      <c r="V1288" s="33">
        <f>IFERROR(__xludf.DUMMYFUNCTION("""COMPUTED_VALUE"""),0.5)</f>
        <v>0.5</v>
      </c>
      <c r="W1288" s="4" t="str">
        <f>IFERROR(__xludf.DUMMYFUNCTION("""COMPUTED_VALUE"""),"null")</f>
        <v>null</v>
      </c>
      <c r="X1288" s="33">
        <f>IFERROR(__xludf.DUMMYFUNCTION("""COMPUTED_VALUE"""),0.5)</f>
        <v>0.5</v>
      </c>
    </row>
    <row r="1289">
      <c r="K1289" s="4" t="str">
        <f>IFERROR(__xludf.DUMMYFUNCTION("""COMPUTED_VALUE"""),"FARMACIA FENELON - CONTA PAI")</f>
        <v>FARMACIA FENELON - CONTA PAI</v>
      </c>
      <c r="L1289" s="32">
        <f>IFERROR(__xludf.DUMMYFUNCTION("""COMPUTED_VALUE"""),6.0)</f>
        <v>6</v>
      </c>
      <c r="M1289" s="4" t="str">
        <f>IFERROR(__xludf.DUMMYFUNCTION("""COMPUTED_VALUE"""),"N/A (Not found)")</f>
        <v>N/A (Not found)</v>
      </c>
      <c r="N1289" s="33">
        <f>IFERROR(__xludf.DUMMYFUNCTION("""COMPUTED_VALUE"""),1.0)</f>
        <v>1</v>
      </c>
      <c r="O1289" s="4" t="str">
        <f>IFERROR(__xludf.DUMMYFUNCTION("""COMPUTED_VALUE"""),"N/A (Not found)")</f>
        <v>N/A (Not found)</v>
      </c>
      <c r="P1289" s="33">
        <f>IFERROR(__xludf.DUMMYFUNCTION("""COMPUTED_VALUE"""),1.0)</f>
        <v>1</v>
      </c>
      <c r="Q1289" s="4" t="str">
        <f>IFERROR(__xludf.DUMMYFUNCTION("""COMPUTED_VALUE"""),"N/A (Not found)")</f>
        <v>N/A (Not found)</v>
      </c>
      <c r="R1289" s="33">
        <f>IFERROR(__xludf.DUMMYFUNCTION("""COMPUTED_VALUE"""),1.0)</f>
        <v>1</v>
      </c>
      <c r="S1289" s="4" t="str">
        <f>IFERROR(__xludf.DUMMYFUNCTION("""COMPUTED_VALUE"""),"N/A (Not found)")</f>
        <v>N/A (Not found)</v>
      </c>
      <c r="T1289" s="33">
        <f>IFERROR(__xludf.DUMMYFUNCTION("""COMPUTED_VALUE"""),1.0)</f>
        <v>1</v>
      </c>
      <c r="U1289" s="4" t="str">
        <f>IFERROR(__xludf.DUMMYFUNCTION("""COMPUTED_VALUE"""),"N/A (Not found)")</f>
        <v>N/A (Not found)</v>
      </c>
      <c r="V1289" s="33">
        <f>IFERROR(__xludf.DUMMYFUNCTION("""COMPUTED_VALUE"""),1.0)</f>
        <v>1</v>
      </c>
      <c r="W1289" s="4" t="str">
        <f>IFERROR(__xludf.DUMMYFUNCTION("""COMPUTED_VALUE"""),"N/A (Not found)")</f>
        <v>N/A (Not found)</v>
      </c>
      <c r="X1289" s="33">
        <f>IFERROR(__xludf.DUMMYFUNCTION("""COMPUTED_VALUE"""),1.0)</f>
        <v>1</v>
      </c>
    </row>
    <row r="1290">
      <c r="K1290" s="4" t="str">
        <f>IFERROR(__xludf.DUMMYFUNCTION("""COMPUTED_VALUE"""),"LEGITIMO BURGER")</f>
        <v>LEGITIMO BURGER</v>
      </c>
      <c r="L1290" s="32">
        <f>IFERROR(__xludf.DUMMYFUNCTION("""COMPUTED_VALUE"""),6.0)</f>
        <v>6</v>
      </c>
      <c r="M1290" s="4" t="str">
        <f>IFERROR(__xludf.DUMMYFUNCTION("""COMPUTED_VALUE"""),"Eclética Tecnologia")</f>
        <v>Eclética Tecnologia</v>
      </c>
      <c r="N1290" s="33">
        <f>IFERROR(__xludf.DUMMYFUNCTION("""COMPUTED_VALUE"""),0.8333333333333334)</f>
        <v>0.8333333333</v>
      </c>
      <c r="O1290" s="4" t="str">
        <f>IFERROR(__xludf.DUMMYFUNCTION("""COMPUTED_VALUE"""),"Eclética Tecnologia")</f>
        <v>Eclética Tecnologia</v>
      </c>
      <c r="P1290" s="33">
        <f>IFERROR(__xludf.DUMMYFUNCTION("""COMPUTED_VALUE"""),0.8333333333333334)</f>
        <v>0.8333333333</v>
      </c>
      <c r="Q1290" s="4" t="str">
        <f>IFERROR(__xludf.DUMMYFUNCTION("""COMPUTED_VALUE"""),"Eclética Tecnologia")</f>
        <v>Eclética Tecnologia</v>
      </c>
      <c r="R1290" s="33">
        <f>IFERROR(__xludf.DUMMYFUNCTION("""COMPUTED_VALUE"""),0.8333333333333334)</f>
        <v>0.8333333333</v>
      </c>
      <c r="S1290" s="4" t="str">
        <f>IFERROR(__xludf.DUMMYFUNCTION("""COMPUTED_VALUE"""),"Eclética Tecnologia")</f>
        <v>Eclética Tecnologia</v>
      </c>
      <c r="T1290" s="33">
        <f>IFERROR(__xludf.DUMMYFUNCTION("""COMPUTED_VALUE"""),0.8333333333333334)</f>
        <v>0.8333333333</v>
      </c>
      <c r="U1290" s="4" t="str">
        <f>IFERROR(__xludf.DUMMYFUNCTION("""COMPUTED_VALUE"""),"Eclética Tecnologia")</f>
        <v>Eclética Tecnologia</v>
      </c>
      <c r="V1290" s="33">
        <f>IFERROR(__xludf.DUMMYFUNCTION("""COMPUTED_VALUE"""),0.8333333333333334)</f>
        <v>0.8333333333</v>
      </c>
      <c r="W1290" s="4" t="str">
        <f>IFERROR(__xludf.DUMMYFUNCTION("""COMPUTED_VALUE"""),"Eclética Tecnologia")</f>
        <v>Eclética Tecnologia</v>
      </c>
      <c r="X1290" s="33">
        <f>IFERROR(__xludf.DUMMYFUNCTION("""COMPUTED_VALUE"""),0.8333333333333334)</f>
        <v>0.8333333333</v>
      </c>
    </row>
    <row r="1291">
      <c r="K1291" s="4" t="str">
        <f>IFERROR(__xludf.DUMMYFUNCTION("""COMPUTED_VALUE"""),"TUCANOS ACAI")</f>
        <v>TUCANOS ACAI</v>
      </c>
      <c r="L1291" s="32">
        <f>IFERROR(__xludf.DUMMYFUNCTION("""COMPUTED_VALUE"""),6.0)</f>
        <v>6</v>
      </c>
      <c r="M1291" s="4" t="str">
        <f>IFERROR(__xludf.DUMMYFUNCTION("""COMPUTED_VALUE"""),"Consumer Soluções Em Tecnologia Ltda")</f>
        <v>Consumer Soluções Em Tecnologia Ltda</v>
      </c>
      <c r="N1291" s="33">
        <f>IFERROR(__xludf.DUMMYFUNCTION("""COMPUTED_VALUE"""),0.6666666666666666)</f>
        <v>0.6666666667</v>
      </c>
      <c r="O1291" s="4" t="str">
        <f>IFERROR(__xludf.DUMMYFUNCTION("""COMPUTED_VALUE"""),"Saipos Serviços De Software")</f>
        <v>Saipos Serviços De Software</v>
      </c>
      <c r="P1291" s="33">
        <f>IFERROR(__xludf.DUMMYFUNCTION("""COMPUTED_VALUE"""),0.8333333333333334)</f>
        <v>0.8333333333</v>
      </c>
      <c r="Q1291" s="4" t="str">
        <f>IFERROR(__xludf.DUMMYFUNCTION("""COMPUTED_VALUE"""),"Saipos Serviços De Software")</f>
        <v>Saipos Serviços De Software</v>
      </c>
      <c r="R1291" s="33">
        <f>IFERROR(__xludf.DUMMYFUNCTION("""COMPUTED_VALUE"""),0.8333333333333334)</f>
        <v>0.8333333333</v>
      </c>
      <c r="S1291" s="4" t="str">
        <f>IFERROR(__xludf.DUMMYFUNCTION("""COMPUTED_VALUE"""),"Saipos Serviços De Software")</f>
        <v>Saipos Serviços De Software</v>
      </c>
      <c r="T1291" s="33">
        <f>IFERROR(__xludf.DUMMYFUNCTION("""COMPUTED_VALUE"""),0.8333333333333334)</f>
        <v>0.8333333333</v>
      </c>
      <c r="U1291" s="4" t="str">
        <f>IFERROR(__xludf.DUMMYFUNCTION("""COMPUTED_VALUE"""),"Saipos Serviços De Software")</f>
        <v>Saipos Serviços De Software</v>
      </c>
      <c r="V1291" s="33">
        <f>IFERROR(__xludf.DUMMYFUNCTION("""COMPUTED_VALUE"""),0.6666666666666666)</f>
        <v>0.6666666667</v>
      </c>
      <c r="W1291" s="4" t="str">
        <f>IFERROR(__xludf.DUMMYFUNCTION("""COMPUTED_VALUE"""),"Saipos Serviços De Software")</f>
        <v>Saipos Serviços De Software</v>
      </c>
      <c r="X1291" s="33">
        <f>IFERROR(__xludf.DUMMYFUNCTION("""COMPUTED_VALUE"""),0.8333333333333334)</f>
        <v>0.8333333333</v>
      </c>
    </row>
    <row r="1292">
      <c r="K1292" s="4" t="str">
        <f>IFERROR(__xludf.DUMMYFUNCTION("""COMPUTED_VALUE"""),"FRANGO CHIC")</f>
        <v>FRANGO CHIC</v>
      </c>
      <c r="L1292" s="32">
        <f>IFERROR(__xludf.DUMMYFUNCTION("""COMPUTED_VALUE"""),6.0)</f>
        <v>6</v>
      </c>
      <c r="M1292" s="4" t="str">
        <f>IFERROR(__xludf.DUMMYFUNCTION("""COMPUTED_VALUE"""),"Ncr")</f>
        <v>Ncr</v>
      </c>
      <c r="N1292" s="33">
        <f>IFERROR(__xludf.DUMMYFUNCTION("""COMPUTED_VALUE"""),0.8333333333333334)</f>
        <v>0.8333333333</v>
      </c>
      <c r="O1292" s="4" t="str">
        <f>IFERROR(__xludf.DUMMYFUNCTION("""COMPUTED_VALUE"""),"Ncr")</f>
        <v>Ncr</v>
      </c>
      <c r="P1292" s="33">
        <f>IFERROR(__xludf.DUMMYFUNCTION("""COMPUTED_VALUE"""),0.8333333333333334)</f>
        <v>0.8333333333</v>
      </c>
      <c r="Q1292" s="4" t="str">
        <f>IFERROR(__xludf.DUMMYFUNCTION("""COMPUTED_VALUE"""),"Ncr")</f>
        <v>Ncr</v>
      </c>
      <c r="R1292" s="33">
        <f>IFERROR(__xludf.DUMMYFUNCTION("""COMPUTED_VALUE"""),0.8333333333333334)</f>
        <v>0.8333333333</v>
      </c>
      <c r="S1292" s="4" t="str">
        <f>IFERROR(__xludf.DUMMYFUNCTION("""COMPUTED_VALUE"""),"Ncr")</f>
        <v>Ncr</v>
      </c>
      <c r="T1292" s="33">
        <f>IFERROR(__xludf.DUMMYFUNCTION("""COMPUTED_VALUE"""),0.8333333333333334)</f>
        <v>0.8333333333</v>
      </c>
      <c r="U1292" s="4" t="str">
        <f>IFERROR(__xludf.DUMMYFUNCTION("""COMPUTED_VALUE"""),"Ncr")</f>
        <v>Ncr</v>
      </c>
      <c r="V1292" s="33">
        <f>IFERROR(__xludf.DUMMYFUNCTION("""COMPUTED_VALUE"""),0.8333333333333334)</f>
        <v>0.8333333333</v>
      </c>
      <c r="W1292" s="4" t="str">
        <f>IFERROR(__xludf.DUMMYFUNCTION("""COMPUTED_VALUE"""),"Ncr")</f>
        <v>Ncr</v>
      </c>
      <c r="X1292" s="33">
        <f>IFERROR(__xludf.DUMMYFUNCTION("""COMPUTED_VALUE"""),0.6666666666666666)</f>
        <v>0.6666666667</v>
      </c>
    </row>
    <row r="1293">
      <c r="K1293" s="4" t="str">
        <f>IFERROR(__xludf.DUMMYFUNCTION("""COMPUTED_VALUE"""),"PIZZA CLUB")</f>
        <v>PIZZA CLUB</v>
      </c>
      <c r="L1293" s="32">
        <f>IFERROR(__xludf.DUMMYFUNCTION("""COMPUTED_VALUE"""),6.0)</f>
        <v>6</v>
      </c>
      <c r="M1293" s="4" t="str">
        <f>IFERROR(__xludf.DUMMYFUNCTION("""COMPUTED_VALUE"""),"null")</f>
        <v>null</v>
      </c>
      <c r="N1293" s="33">
        <f>IFERROR(__xludf.DUMMYFUNCTION("""COMPUTED_VALUE"""),0.3333333333333333)</f>
        <v>0.3333333333</v>
      </c>
      <c r="O1293" s="4" t="str">
        <f>IFERROR(__xludf.DUMMYFUNCTION("""COMPUTED_VALUE"""),"null")</f>
        <v>null</v>
      </c>
      <c r="P1293" s="33">
        <f>IFERROR(__xludf.DUMMYFUNCTION("""COMPUTED_VALUE"""),0.3333333333333333)</f>
        <v>0.3333333333</v>
      </c>
      <c r="Q1293" s="4" t="str">
        <f>IFERROR(__xludf.DUMMYFUNCTION("""COMPUTED_VALUE"""),"null")</f>
        <v>null</v>
      </c>
      <c r="R1293" s="33">
        <f>IFERROR(__xludf.DUMMYFUNCTION("""COMPUTED_VALUE"""),0.5)</f>
        <v>0.5</v>
      </c>
      <c r="S1293" s="4" t="str">
        <f>IFERROR(__xludf.DUMMYFUNCTION("""COMPUTED_VALUE"""),"Vedas Automação Comercial")</f>
        <v>Vedas Automação Comercial</v>
      </c>
      <c r="T1293" s="33">
        <f>IFERROR(__xludf.DUMMYFUNCTION("""COMPUTED_VALUE"""),0.3333333333333333)</f>
        <v>0.3333333333</v>
      </c>
      <c r="U1293" s="4" t="str">
        <f>IFERROR(__xludf.DUMMYFUNCTION("""COMPUTED_VALUE"""),"null")</f>
        <v>null</v>
      </c>
      <c r="V1293" s="33">
        <f>IFERROR(__xludf.DUMMYFUNCTION("""COMPUTED_VALUE"""),0.3333333333333333)</f>
        <v>0.3333333333</v>
      </c>
      <c r="W1293" s="4" t="str">
        <f>IFERROR(__xludf.DUMMYFUNCTION("""COMPUTED_VALUE"""),"Sagres Automação Comercial")</f>
        <v>Sagres Automação Comercial</v>
      </c>
      <c r="X1293" s="33">
        <f>IFERROR(__xludf.DUMMYFUNCTION("""COMPUTED_VALUE"""),0.5)</f>
        <v>0.5</v>
      </c>
    </row>
    <row r="1294">
      <c r="K1294" s="4" t="str">
        <f>IFERROR(__xludf.DUMMYFUNCTION("""COMPUTED_VALUE"""),"PIZZA RIO")</f>
        <v>PIZZA RIO</v>
      </c>
      <c r="L1294" s="32">
        <f>IFERROR(__xludf.DUMMYFUNCTION("""COMPUTED_VALUE"""),6.0)</f>
        <v>6</v>
      </c>
      <c r="M1294" s="4" t="str">
        <f>IFERROR(__xludf.DUMMYFUNCTION("""COMPUTED_VALUE"""),"Saipos Serviços De Software")</f>
        <v>Saipos Serviços De Software</v>
      </c>
      <c r="N1294" s="33">
        <f>IFERROR(__xludf.DUMMYFUNCTION("""COMPUTED_VALUE"""),0.6666666666666666)</f>
        <v>0.6666666667</v>
      </c>
      <c r="O1294" s="4" t="str">
        <f>IFERROR(__xludf.DUMMYFUNCTION("""COMPUTED_VALUE"""),"Saipos Serviços De Software")</f>
        <v>Saipos Serviços De Software</v>
      </c>
      <c r="P1294" s="33">
        <f>IFERROR(__xludf.DUMMYFUNCTION("""COMPUTED_VALUE"""),0.6666666666666666)</f>
        <v>0.6666666667</v>
      </c>
      <c r="Q1294" s="4" t="str">
        <f>IFERROR(__xludf.DUMMYFUNCTION("""COMPUTED_VALUE"""),"Saipos Serviços De Software")</f>
        <v>Saipos Serviços De Software</v>
      </c>
      <c r="R1294" s="33">
        <f>IFERROR(__xludf.DUMMYFUNCTION("""COMPUTED_VALUE"""),0.6666666666666666)</f>
        <v>0.6666666667</v>
      </c>
      <c r="S1294" s="4" t="str">
        <f>IFERROR(__xludf.DUMMYFUNCTION("""COMPUTED_VALUE"""),"Saipos Serviços De Software")</f>
        <v>Saipos Serviços De Software</v>
      </c>
      <c r="T1294" s="33">
        <f>IFERROR(__xludf.DUMMYFUNCTION("""COMPUTED_VALUE"""),0.6666666666666666)</f>
        <v>0.6666666667</v>
      </c>
      <c r="U1294" s="4" t="str">
        <f>IFERROR(__xludf.DUMMYFUNCTION("""COMPUTED_VALUE"""),"Saipos Serviços De Software")</f>
        <v>Saipos Serviços De Software</v>
      </c>
      <c r="V1294" s="33">
        <f>IFERROR(__xludf.DUMMYFUNCTION("""COMPUTED_VALUE"""),0.6666666666666666)</f>
        <v>0.6666666667</v>
      </c>
      <c r="W1294" s="4" t="str">
        <f>IFERROR(__xludf.DUMMYFUNCTION("""COMPUTED_VALUE"""),"Saipos Serviços De Software")</f>
        <v>Saipos Serviços De Software</v>
      </c>
      <c r="X1294" s="33">
        <f>IFERROR(__xludf.DUMMYFUNCTION("""COMPUTED_VALUE"""),0.6666666666666666)</f>
        <v>0.6666666667</v>
      </c>
    </row>
    <row r="1295">
      <c r="K1295" s="4" t="str">
        <f>IFERROR(__xludf.DUMMYFUNCTION("""COMPUTED_VALUE"""),"ROASTED POTATO")</f>
        <v>ROASTED POTATO</v>
      </c>
      <c r="L1295" s="32">
        <f>IFERROR(__xludf.DUMMYFUNCTION("""COMPUTED_VALUE"""),6.0)</f>
        <v>6</v>
      </c>
      <c r="M1295" s="4" t="str">
        <f>IFERROR(__xludf.DUMMYFUNCTION("""COMPUTED_VALUE"""),"Frg Informática")</f>
        <v>Frg Informática</v>
      </c>
      <c r="N1295" s="33">
        <f>IFERROR(__xludf.DUMMYFUNCTION("""COMPUTED_VALUE"""),0.5)</f>
        <v>0.5</v>
      </c>
      <c r="O1295" s="4" t="str">
        <f>IFERROR(__xludf.DUMMYFUNCTION("""COMPUTED_VALUE"""),"Frg Informática")</f>
        <v>Frg Informática</v>
      </c>
      <c r="P1295" s="33">
        <f>IFERROR(__xludf.DUMMYFUNCTION("""COMPUTED_VALUE"""),0.5)</f>
        <v>0.5</v>
      </c>
      <c r="Q1295" s="4" t="str">
        <f>IFERROR(__xludf.DUMMYFUNCTION("""COMPUTED_VALUE"""),"Frg Informática")</f>
        <v>Frg Informática</v>
      </c>
      <c r="R1295" s="33">
        <f>IFERROR(__xludf.DUMMYFUNCTION("""COMPUTED_VALUE"""),0.5)</f>
        <v>0.5</v>
      </c>
      <c r="S1295" s="4" t="str">
        <f>IFERROR(__xludf.DUMMYFUNCTION("""COMPUTED_VALUE"""),"null")</f>
        <v>null</v>
      </c>
      <c r="T1295" s="33">
        <f>IFERROR(__xludf.DUMMYFUNCTION("""COMPUTED_VALUE"""),0.5)</f>
        <v>0.5</v>
      </c>
      <c r="U1295" s="4" t="str">
        <f>IFERROR(__xludf.DUMMYFUNCTION("""COMPUTED_VALUE"""),"Frg Informática")</f>
        <v>Frg Informática</v>
      </c>
      <c r="V1295" s="33">
        <f>IFERROR(__xludf.DUMMYFUNCTION("""COMPUTED_VALUE"""),0.3333333333333333)</f>
        <v>0.3333333333</v>
      </c>
      <c r="W1295" s="4" t="str">
        <f>IFERROR(__xludf.DUMMYFUNCTION("""COMPUTED_VALUE"""),"Sagres Automação Comercial")</f>
        <v>Sagres Automação Comercial</v>
      </c>
      <c r="X1295" s="33">
        <f>IFERROR(__xludf.DUMMYFUNCTION("""COMPUTED_VALUE"""),0.5)</f>
        <v>0.5</v>
      </c>
    </row>
    <row r="1296">
      <c r="K1296" s="4" t="str">
        <f>IFERROR(__xludf.DUMMYFUNCTION("""COMPUTED_VALUE"""),"68 LA PIZZERIA")</f>
        <v>68 LA PIZZERIA</v>
      </c>
      <c r="L1296" s="32">
        <f>IFERROR(__xludf.DUMMYFUNCTION("""COMPUTED_VALUE"""),6.0)</f>
        <v>6</v>
      </c>
      <c r="M1296" s="4" t="str">
        <f>IFERROR(__xludf.DUMMYFUNCTION("""COMPUTED_VALUE"""),"Saipos Serviços De Software")</f>
        <v>Saipos Serviços De Software</v>
      </c>
      <c r="N1296" s="33">
        <f>IFERROR(__xludf.DUMMYFUNCTION("""COMPUTED_VALUE"""),1.0)</f>
        <v>1</v>
      </c>
      <c r="O1296" s="4" t="str">
        <f>IFERROR(__xludf.DUMMYFUNCTION("""COMPUTED_VALUE"""),"Saipos Serviços De Software")</f>
        <v>Saipos Serviços De Software</v>
      </c>
      <c r="P1296" s="33">
        <f>IFERROR(__xludf.DUMMYFUNCTION("""COMPUTED_VALUE"""),1.0)</f>
        <v>1</v>
      </c>
      <c r="Q1296" s="4" t="str">
        <f>IFERROR(__xludf.DUMMYFUNCTION("""COMPUTED_VALUE"""),"Saipos Serviços De Software")</f>
        <v>Saipos Serviços De Software</v>
      </c>
      <c r="R1296" s="33">
        <f>IFERROR(__xludf.DUMMYFUNCTION("""COMPUTED_VALUE"""),1.0)</f>
        <v>1</v>
      </c>
      <c r="S1296" s="4" t="str">
        <f>IFERROR(__xludf.DUMMYFUNCTION("""COMPUTED_VALUE"""),"Saipos Serviços De Software")</f>
        <v>Saipos Serviços De Software</v>
      </c>
      <c r="T1296" s="33">
        <f>IFERROR(__xludf.DUMMYFUNCTION("""COMPUTED_VALUE"""),1.0)</f>
        <v>1</v>
      </c>
      <c r="U1296" s="4" t="str">
        <f>IFERROR(__xludf.DUMMYFUNCTION("""COMPUTED_VALUE"""),"Saipos Serviços De Software")</f>
        <v>Saipos Serviços De Software</v>
      </c>
      <c r="V1296" s="33">
        <f>IFERROR(__xludf.DUMMYFUNCTION("""COMPUTED_VALUE"""),1.0)</f>
        <v>1</v>
      </c>
      <c r="W1296" s="4" t="str">
        <f>IFERROR(__xludf.DUMMYFUNCTION("""COMPUTED_VALUE"""),"Saipos Serviços De Software")</f>
        <v>Saipos Serviços De Software</v>
      </c>
      <c r="X1296" s="33">
        <f>IFERROR(__xludf.DUMMYFUNCTION("""COMPUTED_VALUE"""),1.0)</f>
        <v>1</v>
      </c>
    </row>
    <row r="1297">
      <c r="K1297" s="4" t="str">
        <f>IFERROR(__xludf.DUMMYFUNCTION("""COMPUTED_VALUE"""),"A PORTO PIZZARIA")</f>
        <v>A PORTO PIZZARIA</v>
      </c>
      <c r="L1297" s="32">
        <f>IFERROR(__xludf.DUMMYFUNCTION("""COMPUTED_VALUE"""),6.0)</f>
        <v>6</v>
      </c>
      <c r="M1297" s="4" t="str">
        <f>IFERROR(__xludf.DUMMYFUNCTION("""COMPUTED_VALUE"""),"Suitable Tecnologia E Gestao")</f>
        <v>Suitable Tecnologia E Gestao</v>
      </c>
      <c r="N1297" s="33">
        <f>IFERROR(__xludf.DUMMYFUNCTION("""COMPUTED_VALUE"""),0.8333333333333334)</f>
        <v>0.8333333333</v>
      </c>
      <c r="O1297" s="4" t="str">
        <f>IFERROR(__xludf.DUMMYFUNCTION("""COMPUTED_VALUE"""),"Suitable Tecnologia E Gestao")</f>
        <v>Suitable Tecnologia E Gestao</v>
      </c>
      <c r="P1297" s="33">
        <f>IFERROR(__xludf.DUMMYFUNCTION("""COMPUTED_VALUE"""),0.8333333333333334)</f>
        <v>0.8333333333</v>
      </c>
      <c r="Q1297" s="4" t="str">
        <f>IFERROR(__xludf.DUMMYFUNCTION("""COMPUTED_VALUE"""),"Suitable Tecnologia E Gestao")</f>
        <v>Suitable Tecnologia E Gestao</v>
      </c>
      <c r="R1297" s="33">
        <f>IFERROR(__xludf.DUMMYFUNCTION("""COMPUTED_VALUE"""),1.0)</f>
        <v>1</v>
      </c>
      <c r="S1297" s="4" t="str">
        <f>IFERROR(__xludf.DUMMYFUNCTION("""COMPUTED_VALUE"""),"Suitable Tecnologia E Gestao")</f>
        <v>Suitable Tecnologia E Gestao</v>
      </c>
      <c r="T1297" s="33">
        <f>IFERROR(__xludf.DUMMYFUNCTION("""COMPUTED_VALUE"""),1.0)</f>
        <v>1</v>
      </c>
      <c r="U1297" s="4" t="str">
        <f>IFERROR(__xludf.DUMMYFUNCTION("""COMPUTED_VALUE"""),"Suitable Tecnologia E Gestao")</f>
        <v>Suitable Tecnologia E Gestao</v>
      </c>
      <c r="V1297" s="33">
        <f>IFERROR(__xludf.DUMMYFUNCTION("""COMPUTED_VALUE"""),0.6666666666666666)</f>
        <v>0.6666666667</v>
      </c>
      <c r="W1297" s="4" t="str">
        <f>IFERROR(__xludf.DUMMYFUNCTION("""COMPUTED_VALUE"""),"Suitable Tecnologia E Gestao")</f>
        <v>Suitable Tecnologia E Gestao</v>
      </c>
      <c r="X1297" s="33">
        <f>IFERROR(__xludf.DUMMYFUNCTION("""COMPUTED_VALUE"""),0.5)</f>
        <v>0.5</v>
      </c>
    </row>
    <row r="1298">
      <c r="K1298" s="4" t="str">
        <f>IFERROR(__xludf.DUMMYFUNCTION("""COMPUTED_VALUE"""),"ACAI BEAT")</f>
        <v>ACAI BEAT</v>
      </c>
      <c r="L1298" s="32">
        <f>IFERROR(__xludf.DUMMYFUNCTION("""COMPUTED_VALUE"""),6.0)</f>
        <v>6</v>
      </c>
      <c r="M1298" s="4" t="str">
        <f>IFERROR(__xludf.DUMMYFUNCTION("""COMPUTED_VALUE"""),"Cardápio Web")</f>
        <v>Cardápio Web</v>
      </c>
      <c r="N1298" s="33">
        <f>IFERROR(__xludf.DUMMYFUNCTION("""COMPUTED_VALUE"""),0.6666666666666666)</f>
        <v>0.6666666667</v>
      </c>
      <c r="O1298" s="4" t="str">
        <f>IFERROR(__xludf.DUMMYFUNCTION("""COMPUTED_VALUE"""),"Cardápio Web")</f>
        <v>Cardápio Web</v>
      </c>
      <c r="P1298" s="33">
        <f>IFERROR(__xludf.DUMMYFUNCTION("""COMPUTED_VALUE"""),0.6666666666666666)</f>
        <v>0.6666666667</v>
      </c>
      <c r="Q1298" s="4" t="str">
        <f>IFERROR(__xludf.DUMMYFUNCTION("""COMPUTED_VALUE"""),"null")</f>
        <v>null</v>
      </c>
      <c r="R1298" s="33">
        <f>IFERROR(__xludf.DUMMYFUNCTION("""COMPUTED_VALUE"""),0.6666666666666666)</f>
        <v>0.6666666667</v>
      </c>
      <c r="S1298" s="4" t="str">
        <f>IFERROR(__xludf.DUMMYFUNCTION("""COMPUTED_VALUE"""),"Cardápio Web")</f>
        <v>Cardápio Web</v>
      </c>
      <c r="T1298" s="33">
        <f>IFERROR(__xludf.DUMMYFUNCTION("""COMPUTED_VALUE"""),0.5)</f>
        <v>0.5</v>
      </c>
      <c r="U1298" s="4" t="str">
        <f>IFERROR(__xludf.DUMMYFUNCTION("""COMPUTED_VALUE"""),"Cardápio Web")</f>
        <v>Cardápio Web</v>
      </c>
      <c r="V1298" s="33">
        <f>IFERROR(__xludf.DUMMYFUNCTION("""COMPUTED_VALUE"""),0.6666666666666666)</f>
        <v>0.6666666667</v>
      </c>
      <c r="W1298" s="4" t="str">
        <f>IFERROR(__xludf.DUMMYFUNCTION("""COMPUTED_VALUE"""),"Cardápio Web")</f>
        <v>Cardápio Web</v>
      </c>
      <c r="X1298" s="33">
        <f>IFERROR(__xludf.DUMMYFUNCTION("""COMPUTED_VALUE"""),0.6666666666666666)</f>
        <v>0.6666666667</v>
      </c>
    </row>
    <row r="1299">
      <c r="K1299" s="4" t="str">
        <f>IFERROR(__xludf.DUMMYFUNCTION("""COMPUTED_VALUE"""),"ACAI CAPIXABA")</f>
        <v>ACAI CAPIXABA</v>
      </c>
      <c r="L1299" s="32">
        <f>IFERROR(__xludf.DUMMYFUNCTION("""COMPUTED_VALUE"""),6.0)</f>
        <v>6</v>
      </c>
      <c r="M1299" s="4" t="str">
        <f>IFERROR(__xludf.DUMMYFUNCTION("""COMPUTED_VALUE"""),"Yooga")</f>
        <v>Yooga</v>
      </c>
      <c r="N1299" s="33">
        <f>IFERROR(__xludf.DUMMYFUNCTION("""COMPUTED_VALUE"""),0.8333333333333334)</f>
        <v>0.8333333333</v>
      </c>
      <c r="O1299" s="4" t="str">
        <f>IFERROR(__xludf.DUMMYFUNCTION("""COMPUTED_VALUE"""),"Yooga")</f>
        <v>Yooga</v>
      </c>
      <c r="P1299" s="33">
        <f>IFERROR(__xludf.DUMMYFUNCTION("""COMPUTED_VALUE"""),0.6666666666666666)</f>
        <v>0.6666666667</v>
      </c>
      <c r="Q1299" s="4" t="str">
        <f>IFERROR(__xludf.DUMMYFUNCTION("""COMPUTED_VALUE"""),"Yooga")</f>
        <v>Yooga</v>
      </c>
      <c r="R1299" s="33">
        <f>IFERROR(__xludf.DUMMYFUNCTION("""COMPUTED_VALUE"""),0.8333333333333334)</f>
        <v>0.8333333333</v>
      </c>
      <c r="S1299" s="4" t="str">
        <f>IFERROR(__xludf.DUMMYFUNCTION("""COMPUTED_VALUE"""),"Yooga")</f>
        <v>Yooga</v>
      </c>
      <c r="T1299" s="33">
        <f>IFERROR(__xludf.DUMMYFUNCTION("""COMPUTED_VALUE"""),0.8333333333333334)</f>
        <v>0.8333333333</v>
      </c>
      <c r="U1299" s="4" t="str">
        <f>IFERROR(__xludf.DUMMYFUNCTION("""COMPUTED_VALUE"""),"Yooga")</f>
        <v>Yooga</v>
      </c>
      <c r="V1299" s="33">
        <f>IFERROR(__xludf.DUMMYFUNCTION("""COMPUTED_VALUE"""),0.8333333333333334)</f>
        <v>0.8333333333</v>
      </c>
      <c r="W1299" s="4" t="str">
        <f>IFERROR(__xludf.DUMMYFUNCTION("""COMPUTED_VALUE"""),"Yooga")</f>
        <v>Yooga</v>
      </c>
      <c r="X1299" s="33">
        <f>IFERROR(__xludf.DUMMYFUNCTION("""COMPUTED_VALUE"""),0.6666666666666666)</f>
        <v>0.6666666667</v>
      </c>
    </row>
    <row r="1300">
      <c r="K1300" s="4" t="str">
        <f>IFERROR(__xludf.DUMMYFUNCTION("""COMPUTED_VALUE"""),"ACAI DO BODEGA - CONTA PAI")</f>
        <v>ACAI DO BODEGA - CONTA PAI</v>
      </c>
      <c r="L1300" s="32">
        <f>IFERROR(__xludf.DUMMYFUNCTION("""COMPUTED_VALUE"""),6.0)</f>
        <v>6</v>
      </c>
      <c r="M1300" s="4" t="str">
        <f>IFERROR(__xludf.DUMMYFUNCTION("""COMPUTED_VALUE"""),"null")</f>
        <v>null</v>
      </c>
      <c r="N1300" s="33">
        <f>IFERROR(__xludf.DUMMYFUNCTION("""COMPUTED_VALUE"""),0.5)</f>
        <v>0.5</v>
      </c>
      <c r="O1300" s="4" t="str">
        <f>IFERROR(__xludf.DUMMYFUNCTION("""COMPUTED_VALUE"""),"null")</f>
        <v>null</v>
      </c>
      <c r="P1300" s="33">
        <f>IFERROR(__xludf.DUMMYFUNCTION("""COMPUTED_VALUE"""),0.5)</f>
        <v>0.5</v>
      </c>
      <c r="Q1300" s="4" t="str">
        <f>IFERROR(__xludf.DUMMYFUNCTION("""COMPUTED_VALUE"""),"null")</f>
        <v>null</v>
      </c>
      <c r="R1300" s="33">
        <f>IFERROR(__xludf.DUMMYFUNCTION("""COMPUTED_VALUE"""),0.5)</f>
        <v>0.5</v>
      </c>
      <c r="S1300" s="4" t="str">
        <f>IFERROR(__xludf.DUMMYFUNCTION("""COMPUTED_VALUE"""),"null")</f>
        <v>null</v>
      </c>
      <c r="T1300" s="33">
        <f>IFERROR(__xludf.DUMMYFUNCTION("""COMPUTED_VALUE"""),0.5)</f>
        <v>0.5</v>
      </c>
      <c r="U1300" s="4" t="str">
        <f>IFERROR(__xludf.DUMMYFUNCTION("""COMPUTED_VALUE"""),"Saipos Serviços De Software")</f>
        <v>Saipos Serviços De Software</v>
      </c>
      <c r="V1300" s="33">
        <f>IFERROR(__xludf.DUMMYFUNCTION("""COMPUTED_VALUE"""),1.0)</f>
        <v>1</v>
      </c>
      <c r="W1300" s="4" t="str">
        <f>IFERROR(__xludf.DUMMYFUNCTION("""COMPUTED_VALUE"""),"Saipos Serviços De Software")</f>
        <v>Saipos Serviços De Software</v>
      </c>
      <c r="X1300" s="33">
        <f>IFERROR(__xludf.DUMMYFUNCTION("""COMPUTED_VALUE"""),1.0)</f>
        <v>1</v>
      </c>
    </row>
    <row r="1301">
      <c r="K1301" s="4" t="str">
        <f>IFERROR(__xludf.DUMMYFUNCTION("""COMPUTED_VALUE"""),"ACAI GRANOLA CONTA PAI")</f>
        <v>ACAI GRANOLA CONTA PAI</v>
      </c>
      <c r="L1301" s="32">
        <f>IFERROR(__xludf.DUMMYFUNCTION("""COMPUTED_VALUE"""),6.0)</f>
        <v>6</v>
      </c>
      <c r="M1301" s="4" t="str">
        <f>IFERROR(__xludf.DUMMYFUNCTION("""COMPUTED_VALUE"""),"Alpha Logo")</f>
        <v>Alpha Logo</v>
      </c>
      <c r="N1301" s="33">
        <f>IFERROR(__xludf.DUMMYFUNCTION("""COMPUTED_VALUE"""),1.0)</f>
        <v>1</v>
      </c>
      <c r="O1301" s="4" t="str">
        <f>IFERROR(__xludf.DUMMYFUNCTION("""COMPUTED_VALUE"""),"Alpha Logo")</f>
        <v>Alpha Logo</v>
      </c>
      <c r="P1301" s="33">
        <f>IFERROR(__xludf.DUMMYFUNCTION("""COMPUTED_VALUE"""),1.0)</f>
        <v>1</v>
      </c>
      <c r="Q1301" s="4" t="str">
        <f>IFERROR(__xludf.DUMMYFUNCTION("""COMPUTED_VALUE"""),"Alpha Logo")</f>
        <v>Alpha Logo</v>
      </c>
      <c r="R1301" s="33">
        <f>IFERROR(__xludf.DUMMYFUNCTION("""COMPUTED_VALUE"""),1.0)</f>
        <v>1</v>
      </c>
      <c r="S1301" s="4" t="str">
        <f>IFERROR(__xludf.DUMMYFUNCTION("""COMPUTED_VALUE"""),"Alpha Logo")</f>
        <v>Alpha Logo</v>
      </c>
      <c r="T1301" s="33">
        <f>IFERROR(__xludf.DUMMYFUNCTION("""COMPUTED_VALUE"""),1.0)</f>
        <v>1</v>
      </c>
      <c r="U1301" s="4" t="str">
        <f>IFERROR(__xludf.DUMMYFUNCTION("""COMPUTED_VALUE"""),"Alpha Logo")</f>
        <v>Alpha Logo</v>
      </c>
      <c r="V1301" s="33">
        <f>IFERROR(__xludf.DUMMYFUNCTION("""COMPUTED_VALUE"""),0.8333333333333334)</f>
        <v>0.8333333333</v>
      </c>
      <c r="W1301" s="4" t="str">
        <f>IFERROR(__xludf.DUMMYFUNCTION("""COMPUTED_VALUE"""),"Alpha Logo")</f>
        <v>Alpha Logo</v>
      </c>
      <c r="X1301" s="33">
        <f>IFERROR(__xludf.DUMMYFUNCTION("""COMPUTED_VALUE"""),0.8333333333333334)</f>
        <v>0.8333333333</v>
      </c>
    </row>
    <row r="1302">
      <c r="K1302" s="4" t="str">
        <f>IFERROR(__xludf.DUMMYFUNCTION("""COMPUTED_VALUE"""),"ACHAPA")</f>
        <v>ACHAPA</v>
      </c>
      <c r="L1302" s="32">
        <f>IFERROR(__xludf.DUMMYFUNCTION("""COMPUTED_VALUE"""),6.0)</f>
        <v>6</v>
      </c>
      <c r="M1302" s="4" t="str">
        <f>IFERROR(__xludf.DUMMYFUNCTION("""COMPUTED_VALUE"""),"Altec Sistemas")</f>
        <v>Altec Sistemas</v>
      </c>
      <c r="N1302" s="33">
        <f>IFERROR(__xludf.DUMMYFUNCTION("""COMPUTED_VALUE"""),1.0)</f>
        <v>1</v>
      </c>
      <c r="O1302" s="4" t="str">
        <f>IFERROR(__xludf.DUMMYFUNCTION("""COMPUTED_VALUE"""),"Altec Sistemas")</f>
        <v>Altec Sistemas</v>
      </c>
      <c r="P1302" s="33">
        <f>IFERROR(__xludf.DUMMYFUNCTION("""COMPUTED_VALUE"""),1.0)</f>
        <v>1</v>
      </c>
      <c r="Q1302" s="4" t="str">
        <f>IFERROR(__xludf.DUMMYFUNCTION("""COMPUTED_VALUE"""),"Altec Sistemas")</f>
        <v>Altec Sistemas</v>
      </c>
      <c r="R1302" s="33">
        <f>IFERROR(__xludf.DUMMYFUNCTION("""COMPUTED_VALUE"""),1.0)</f>
        <v>1</v>
      </c>
      <c r="S1302" s="4" t="str">
        <f>IFERROR(__xludf.DUMMYFUNCTION("""COMPUTED_VALUE"""),"Altec Sistemas")</f>
        <v>Altec Sistemas</v>
      </c>
      <c r="T1302" s="33">
        <f>IFERROR(__xludf.DUMMYFUNCTION("""COMPUTED_VALUE"""),1.0)</f>
        <v>1</v>
      </c>
      <c r="U1302" s="4" t="str">
        <f>IFERROR(__xludf.DUMMYFUNCTION("""COMPUTED_VALUE"""),"Altec Sistemas")</f>
        <v>Altec Sistemas</v>
      </c>
      <c r="V1302" s="33">
        <f>IFERROR(__xludf.DUMMYFUNCTION("""COMPUTED_VALUE"""),1.0)</f>
        <v>1</v>
      </c>
      <c r="W1302" s="4" t="str">
        <f>IFERROR(__xludf.DUMMYFUNCTION("""COMPUTED_VALUE"""),"Altec Sistemas")</f>
        <v>Altec Sistemas</v>
      </c>
      <c r="X1302" s="33">
        <f>IFERROR(__xludf.DUMMYFUNCTION("""COMPUTED_VALUE"""),0.8333333333333334)</f>
        <v>0.8333333333</v>
      </c>
    </row>
    <row r="1303">
      <c r="K1303" s="4" t="str">
        <f>IFERROR(__xludf.DUMMYFUNCTION("""COMPUTED_VALUE"""),"GRUPO ACHAPA")</f>
        <v>GRUPO ACHAPA</v>
      </c>
      <c r="L1303" s="32">
        <f>IFERROR(__xludf.DUMMYFUNCTION("""COMPUTED_VALUE"""),6.0)</f>
        <v>6</v>
      </c>
      <c r="M1303" s="4" t="str">
        <f>IFERROR(__xludf.DUMMYFUNCTION("""COMPUTED_VALUE"""),"Altec Sistemas")</f>
        <v>Altec Sistemas</v>
      </c>
      <c r="N1303" s="33">
        <f>IFERROR(__xludf.DUMMYFUNCTION("""COMPUTED_VALUE"""),1.0)</f>
        <v>1</v>
      </c>
      <c r="O1303" s="4" t="str">
        <f>IFERROR(__xludf.DUMMYFUNCTION("""COMPUTED_VALUE"""),"Altec Sistemas")</f>
        <v>Altec Sistemas</v>
      </c>
      <c r="P1303" s="33">
        <f>IFERROR(__xludf.DUMMYFUNCTION("""COMPUTED_VALUE"""),1.0)</f>
        <v>1</v>
      </c>
      <c r="Q1303" s="4" t="str">
        <f>IFERROR(__xludf.DUMMYFUNCTION("""COMPUTED_VALUE"""),"Altec Sistemas")</f>
        <v>Altec Sistemas</v>
      </c>
      <c r="R1303" s="33">
        <f>IFERROR(__xludf.DUMMYFUNCTION("""COMPUTED_VALUE"""),1.0)</f>
        <v>1</v>
      </c>
      <c r="S1303" s="4" t="str">
        <f>IFERROR(__xludf.DUMMYFUNCTION("""COMPUTED_VALUE"""),"Altec Sistemas")</f>
        <v>Altec Sistemas</v>
      </c>
      <c r="T1303" s="33">
        <f>IFERROR(__xludf.DUMMYFUNCTION("""COMPUTED_VALUE"""),1.0)</f>
        <v>1</v>
      </c>
      <c r="U1303" s="4" t="str">
        <f>IFERROR(__xludf.DUMMYFUNCTION("""COMPUTED_VALUE"""),"Altec Sistemas")</f>
        <v>Altec Sistemas</v>
      </c>
      <c r="V1303" s="33">
        <f>IFERROR(__xludf.DUMMYFUNCTION("""COMPUTED_VALUE"""),1.0)</f>
        <v>1</v>
      </c>
      <c r="W1303" s="4" t="str">
        <f>IFERROR(__xludf.DUMMYFUNCTION("""COMPUTED_VALUE"""),"Altec Sistemas")</f>
        <v>Altec Sistemas</v>
      </c>
      <c r="X1303" s="33">
        <f>IFERROR(__xludf.DUMMYFUNCTION("""COMPUTED_VALUE"""),0.8333333333333334)</f>
        <v>0.8333333333</v>
      </c>
    </row>
    <row r="1304">
      <c r="K1304" s="4" t="str">
        <f>IFERROR(__xludf.DUMMYFUNCTION("""COMPUTED_VALUE"""),"AKKI ATACADISTA - CONTA GRUPO")</f>
        <v>AKKI ATACADISTA - CONTA GRUPO</v>
      </c>
      <c r="L1304" s="32">
        <f>IFERROR(__xludf.DUMMYFUNCTION("""COMPUTED_VALUE"""),6.0)</f>
        <v>6</v>
      </c>
      <c r="M1304" s="4" t="str">
        <f>IFERROR(__xludf.DUMMYFUNCTION("""COMPUTED_VALUE"""),"N/A (Not found)")</f>
        <v>N/A (Not found)</v>
      </c>
      <c r="N1304" s="33">
        <f>IFERROR(__xludf.DUMMYFUNCTION("""COMPUTED_VALUE"""),0.8333333333333334)</f>
        <v>0.8333333333</v>
      </c>
      <c r="O1304" s="4" t="str">
        <f>IFERROR(__xludf.DUMMYFUNCTION("""COMPUTED_VALUE"""),"N/A (Not found)")</f>
        <v>N/A (Not found)</v>
      </c>
      <c r="P1304" s="33">
        <f>IFERROR(__xludf.DUMMYFUNCTION("""COMPUTED_VALUE"""),1.0)</f>
        <v>1</v>
      </c>
      <c r="Q1304" s="4" t="str">
        <f>IFERROR(__xludf.DUMMYFUNCTION("""COMPUTED_VALUE"""),"N/A (Not found)")</f>
        <v>N/A (Not found)</v>
      </c>
      <c r="R1304" s="33">
        <f>IFERROR(__xludf.DUMMYFUNCTION("""COMPUTED_VALUE"""),1.0)</f>
        <v>1</v>
      </c>
      <c r="S1304" s="4" t="str">
        <f>IFERROR(__xludf.DUMMYFUNCTION("""COMPUTED_VALUE"""),"N/A (Not found)")</f>
        <v>N/A (Not found)</v>
      </c>
      <c r="T1304" s="33">
        <f>IFERROR(__xludf.DUMMYFUNCTION("""COMPUTED_VALUE"""),1.0)</f>
        <v>1</v>
      </c>
      <c r="U1304" s="4" t="str">
        <f>IFERROR(__xludf.DUMMYFUNCTION("""COMPUTED_VALUE"""),"N/A (Not found)")</f>
        <v>N/A (Not found)</v>
      </c>
      <c r="V1304" s="33">
        <f>IFERROR(__xludf.DUMMYFUNCTION("""COMPUTED_VALUE"""),1.0)</f>
        <v>1</v>
      </c>
      <c r="W1304" s="4" t="str">
        <f>IFERROR(__xludf.DUMMYFUNCTION("""COMPUTED_VALUE"""),"N/A (Not found)")</f>
        <v>N/A (Not found)</v>
      </c>
      <c r="X1304" s="33">
        <f>IFERROR(__xludf.DUMMYFUNCTION("""COMPUTED_VALUE"""),1.0)</f>
        <v>1</v>
      </c>
    </row>
    <row r="1305">
      <c r="K1305" s="4" t="str">
        <f>IFERROR(__xludf.DUMMYFUNCTION("""COMPUTED_VALUE"""),"AMERICAN CHICKEN RIO BRANCO")</f>
        <v>AMERICAN CHICKEN RIO BRANCO</v>
      </c>
      <c r="L1305" s="32">
        <f>IFERROR(__xludf.DUMMYFUNCTION("""COMPUTED_VALUE"""),6.0)</f>
        <v>6</v>
      </c>
      <c r="M1305" s="4" t="str">
        <f>IFERROR(__xludf.DUMMYFUNCTION("""COMPUTED_VALUE"""),"Saipos Serviços De Software")</f>
        <v>Saipos Serviços De Software</v>
      </c>
      <c r="N1305" s="33">
        <f>IFERROR(__xludf.DUMMYFUNCTION("""COMPUTED_VALUE"""),1.0)</f>
        <v>1</v>
      </c>
      <c r="O1305" s="4" t="str">
        <f>IFERROR(__xludf.DUMMYFUNCTION("""COMPUTED_VALUE"""),"Saipos Serviços De Software")</f>
        <v>Saipos Serviços De Software</v>
      </c>
      <c r="P1305" s="33">
        <f>IFERROR(__xludf.DUMMYFUNCTION("""COMPUTED_VALUE"""),1.0)</f>
        <v>1</v>
      </c>
      <c r="Q1305" s="4" t="str">
        <f>IFERROR(__xludf.DUMMYFUNCTION("""COMPUTED_VALUE"""),"Saipos Serviços De Software")</f>
        <v>Saipos Serviços De Software</v>
      </c>
      <c r="R1305" s="33">
        <f>IFERROR(__xludf.DUMMYFUNCTION("""COMPUTED_VALUE"""),1.0)</f>
        <v>1</v>
      </c>
      <c r="S1305" s="4" t="str">
        <f>IFERROR(__xludf.DUMMYFUNCTION("""COMPUTED_VALUE"""),"Saipos Serviços De Software")</f>
        <v>Saipos Serviços De Software</v>
      </c>
      <c r="T1305" s="33">
        <f>IFERROR(__xludf.DUMMYFUNCTION("""COMPUTED_VALUE"""),1.0)</f>
        <v>1</v>
      </c>
      <c r="U1305" s="4" t="str">
        <f>IFERROR(__xludf.DUMMYFUNCTION("""COMPUTED_VALUE"""),"Saipos Serviços De Software")</f>
        <v>Saipos Serviços De Software</v>
      </c>
      <c r="V1305" s="33">
        <f>IFERROR(__xludf.DUMMYFUNCTION("""COMPUTED_VALUE"""),1.0)</f>
        <v>1</v>
      </c>
      <c r="W1305" s="4" t="str">
        <f>IFERROR(__xludf.DUMMYFUNCTION("""COMPUTED_VALUE"""),"Saipos Serviços De Software")</f>
        <v>Saipos Serviços De Software</v>
      </c>
      <c r="X1305" s="33">
        <f>IFERROR(__xludf.DUMMYFUNCTION("""COMPUTED_VALUE"""),1.0)</f>
        <v>1</v>
      </c>
    </row>
    <row r="1306">
      <c r="K1306" s="4" t="str">
        <f>IFERROR(__xludf.DUMMYFUNCTION("""COMPUTED_VALUE"""),"AMPM IPIRANGA - MERCADO")</f>
        <v>AMPM IPIRANGA - MERCADO</v>
      </c>
      <c r="L1306" s="32">
        <f>IFERROR(__xludf.DUMMYFUNCTION("""COMPUTED_VALUE"""),6.0)</f>
        <v>6</v>
      </c>
      <c r="M1306" s="4" t="str">
        <f>IFERROR(__xludf.DUMMYFUNCTION("""COMPUTED_VALUE"""),"N/A (Not found)")</f>
        <v>N/A (Not found)</v>
      </c>
      <c r="N1306" s="33">
        <f>IFERROR(__xludf.DUMMYFUNCTION("""COMPUTED_VALUE"""),0.6666666666666666)</f>
        <v>0.6666666667</v>
      </c>
      <c r="O1306" s="4" t="str">
        <f>IFERROR(__xludf.DUMMYFUNCTION("""COMPUTED_VALUE"""),"N/A (Not found)")</f>
        <v>N/A (Not found)</v>
      </c>
      <c r="P1306" s="33">
        <f>IFERROR(__xludf.DUMMYFUNCTION("""COMPUTED_VALUE"""),0.8333333333333334)</f>
        <v>0.8333333333</v>
      </c>
      <c r="Q1306" s="4" t="str">
        <f>IFERROR(__xludf.DUMMYFUNCTION("""COMPUTED_VALUE"""),"N/A (Not found)")</f>
        <v>N/A (Not found)</v>
      </c>
      <c r="R1306" s="33">
        <f>IFERROR(__xludf.DUMMYFUNCTION("""COMPUTED_VALUE"""),0.6666666666666666)</f>
        <v>0.6666666667</v>
      </c>
      <c r="S1306" s="4" t="str">
        <f>IFERROR(__xludf.DUMMYFUNCTION("""COMPUTED_VALUE"""),"null")</f>
        <v>null</v>
      </c>
      <c r="T1306" s="33">
        <f>IFERROR(__xludf.DUMMYFUNCTION("""COMPUTED_VALUE"""),0.6666666666666666)</f>
        <v>0.6666666667</v>
      </c>
      <c r="U1306" s="4" t="str">
        <f>IFERROR(__xludf.DUMMYFUNCTION("""COMPUTED_VALUE"""),"null")</f>
        <v>null</v>
      </c>
      <c r="V1306" s="33">
        <f>IFERROR(__xludf.DUMMYFUNCTION("""COMPUTED_VALUE"""),0.6666666666666666)</f>
        <v>0.6666666667</v>
      </c>
      <c r="W1306" s="4" t="str">
        <f>IFERROR(__xludf.DUMMYFUNCTION("""COMPUTED_VALUE"""),"null")</f>
        <v>null</v>
      </c>
      <c r="X1306" s="33">
        <f>IFERROR(__xludf.DUMMYFUNCTION("""COMPUTED_VALUE"""),0.6666666666666666)</f>
        <v>0.6666666667</v>
      </c>
    </row>
    <row r="1307">
      <c r="K1307" s="4" t="str">
        <f>IFERROR(__xludf.DUMMYFUNCTION("""COMPUTED_VALUE"""),"ARALDI - JOINVILLE")</f>
        <v>ARALDI - JOINVILLE</v>
      </c>
      <c r="L1307" s="32">
        <f>IFERROR(__xludf.DUMMYFUNCTION("""COMPUTED_VALUE"""),6.0)</f>
        <v>6</v>
      </c>
      <c r="M1307" s="4" t="str">
        <f>IFERROR(__xludf.DUMMYFUNCTION("""COMPUTED_VALUE"""),"Cityfoods Ltda")</f>
        <v>Cityfoods Ltda</v>
      </c>
      <c r="N1307" s="33">
        <f>IFERROR(__xludf.DUMMYFUNCTION("""COMPUTED_VALUE"""),0.6666666666666666)</f>
        <v>0.6666666667</v>
      </c>
      <c r="O1307" s="4" t="str">
        <f>IFERROR(__xludf.DUMMYFUNCTION("""COMPUTED_VALUE"""),"null")</f>
        <v>null</v>
      </c>
      <c r="P1307" s="33">
        <f>IFERROR(__xludf.DUMMYFUNCTION("""COMPUTED_VALUE"""),0.5)</f>
        <v>0.5</v>
      </c>
      <c r="Q1307" s="4" t="str">
        <f>IFERROR(__xludf.DUMMYFUNCTION("""COMPUTED_VALUE"""),"Cityfoods Ltda")</f>
        <v>Cityfoods Ltda</v>
      </c>
      <c r="R1307" s="33">
        <f>IFERROR(__xludf.DUMMYFUNCTION("""COMPUTED_VALUE"""),0.5)</f>
        <v>0.5</v>
      </c>
      <c r="S1307" s="4" t="str">
        <f>IFERROR(__xludf.DUMMYFUNCTION("""COMPUTED_VALUE"""),"Cityfoods Ltda")</f>
        <v>Cityfoods Ltda</v>
      </c>
      <c r="T1307" s="33">
        <f>IFERROR(__xludf.DUMMYFUNCTION("""COMPUTED_VALUE"""),0.3333333333333333)</f>
        <v>0.3333333333</v>
      </c>
      <c r="U1307" s="4" t="str">
        <f>IFERROR(__xludf.DUMMYFUNCTION("""COMPUTED_VALUE"""),"null")</f>
        <v>null</v>
      </c>
      <c r="V1307" s="33">
        <f>IFERROR(__xludf.DUMMYFUNCTION("""COMPUTED_VALUE"""),0.5)</f>
        <v>0.5</v>
      </c>
      <c r="W1307" s="4" t="str">
        <f>IFERROR(__xludf.DUMMYFUNCTION("""COMPUTED_VALUE"""),"Cityfoods Ltda")</f>
        <v>Cityfoods Ltda</v>
      </c>
      <c r="X1307" s="33">
        <f>IFERROR(__xludf.DUMMYFUNCTION("""COMPUTED_VALUE"""),0.5)</f>
        <v>0.5</v>
      </c>
    </row>
    <row r="1308">
      <c r="K1308" s="4" t="str">
        <f>IFERROR(__xludf.DUMMYFUNCTION("""COMPUTED_VALUE"""),"ARMAZEM DO GRAO - CONTA PAI")</f>
        <v>ARMAZEM DO GRAO - CONTA PAI</v>
      </c>
      <c r="L1308" s="32">
        <f>IFERROR(__xludf.DUMMYFUNCTION("""COMPUTED_VALUE"""),6.0)</f>
        <v>6</v>
      </c>
      <c r="M1308" s="4" t="str">
        <f>IFERROR(__xludf.DUMMYFUNCTION("""COMPUTED_VALUE"""),"N/A (Not found)")</f>
        <v>N/A (Not found)</v>
      </c>
      <c r="N1308" s="33">
        <f>IFERROR(__xludf.DUMMYFUNCTION("""COMPUTED_VALUE"""),0.8333333333333334)</f>
        <v>0.8333333333</v>
      </c>
      <c r="O1308" s="4" t="str">
        <f>IFERROR(__xludf.DUMMYFUNCTION("""COMPUTED_VALUE"""),"N/A (Not found)")</f>
        <v>N/A (Not found)</v>
      </c>
      <c r="P1308" s="33">
        <f>IFERROR(__xludf.DUMMYFUNCTION("""COMPUTED_VALUE"""),0.8333333333333334)</f>
        <v>0.8333333333</v>
      </c>
      <c r="Q1308" s="4" t="str">
        <f>IFERROR(__xludf.DUMMYFUNCTION("""COMPUTED_VALUE"""),"N/A (Not found)")</f>
        <v>N/A (Not found)</v>
      </c>
      <c r="R1308" s="33">
        <f>IFERROR(__xludf.DUMMYFUNCTION("""COMPUTED_VALUE"""),0.8333333333333334)</f>
        <v>0.8333333333</v>
      </c>
      <c r="S1308" s="4" t="str">
        <f>IFERROR(__xludf.DUMMYFUNCTION("""COMPUTED_VALUE"""),"null")</f>
        <v>null</v>
      </c>
      <c r="T1308" s="33">
        <f>IFERROR(__xludf.DUMMYFUNCTION("""COMPUTED_VALUE"""),0.5)</f>
        <v>0.5</v>
      </c>
      <c r="U1308" s="4" t="str">
        <f>IFERROR(__xludf.DUMMYFUNCTION("""COMPUTED_VALUE"""),"null")</f>
        <v>null</v>
      </c>
      <c r="V1308" s="33">
        <f>IFERROR(__xludf.DUMMYFUNCTION("""COMPUTED_VALUE"""),0.5)</f>
        <v>0.5</v>
      </c>
      <c r="W1308" s="4" t="str">
        <f>IFERROR(__xludf.DUMMYFUNCTION("""COMPUTED_VALUE"""),"N/A (Not found)")</f>
        <v>N/A (Not found)</v>
      </c>
      <c r="X1308" s="33">
        <f>IFERROR(__xludf.DUMMYFUNCTION("""COMPUTED_VALUE"""),0.6666666666666666)</f>
        <v>0.6666666667</v>
      </c>
    </row>
    <row r="1309">
      <c r="K1309" s="4" t="str">
        <f>IFERROR(__xludf.DUMMYFUNCTION("""COMPUTED_VALUE"""),"ATRIUM SUSHI")</f>
        <v>ATRIUM SUSHI</v>
      </c>
      <c r="L1309" s="32">
        <f>IFERROR(__xludf.DUMMYFUNCTION("""COMPUTED_VALUE"""),6.0)</f>
        <v>6</v>
      </c>
      <c r="M1309" s="4" t="str">
        <f>IFERROR(__xludf.DUMMYFUNCTION("""COMPUTED_VALUE"""),"Saipos Serviços De Software")</f>
        <v>Saipos Serviços De Software</v>
      </c>
      <c r="N1309" s="33">
        <f>IFERROR(__xludf.DUMMYFUNCTION("""COMPUTED_VALUE"""),1.0)</f>
        <v>1</v>
      </c>
      <c r="O1309" s="4" t="str">
        <f>IFERROR(__xludf.DUMMYFUNCTION("""COMPUTED_VALUE"""),"Saipos Serviços De Software")</f>
        <v>Saipos Serviços De Software</v>
      </c>
      <c r="P1309" s="33">
        <f>IFERROR(__xludf.DUMMYFUNCTION("""COMPUTED_VALUE"""),1.0)</f>
        <v>1</v>
      </c>
      <c r="Q1309" s="4" t="str">
        <f>IFERROR(__xludf.DUMMYFUNCTION("""COMPUTED_VALUE"""),"Saipos Serviços De Software")</f>
        <v>Saipos Serviços De Software</v>
      </c>
      <c r="R1309" s="33">
        <f>IFERROR(__xludf.DUMMYFUNCTION("""COMPUTED_VALUE"""),1.0)</f>
        <v>1</v>
      </c>
      <c r="S1309" s="4" t="str">
        <f>IFERROR(__xludf.DUMMYFUNCTION("""COMPUTED_VALUE"""),"Saipos Serviços De Software")</f>
        <v>Saipos Serviços De Software</v>
      </c>
      <c r="T1309" s="33">
        <f>IFERROR(__xludf.DUMMYFUNCTION("""COMPUTED_VALUE"""),1.0)</f>
        <v>1</v>
      </c>
      <c r="U1309" s="4" t="str">
        <f>IFERROR(__xludf.DUMMYFUNCTION("""COMPUTED_VALUE"""),"Saipos Serviços De Software")</f>
        <v>Saipos Serviços De Software</v>
      </c>
      <c r="V1309" s="33">
        <f>IFERROR(__xludf.DUMMYFUNCTION("""COMPUTED_VALUE"""),1.0)</f>
        <v>1</v>
      </c>
      <c r="W1309" s="4" t="str">
        <f>IFERROR(__xludf.DUMMYFUNCTION("""COMPUTED_VALUE"""),"Saipos Serviços De Software")</f>
        <v>Saipos Serviços De Software</v>
      </c>
      <c r="X1309" s="33">
        <f>IFERROR(__xludf.DUMMYFUNCTION("""COMPUTED_VALUE"""),1.0)</f>
        <v>1</v>
      </c>
    </row>
    <row r="1310">
      <c r="K1310" s="4" t="str">
        <f>IFERROR(__xludf.DUMMYFUNCTION("""COMPUTED_VALUE"""),"AZILADOS CONTA MARCA")</f>
        <v>AZILADOS CONTA MARCA</v>
      </c>
      <c r="L1310" s="32">
        <f>IFERROR(__xludf.DUMMYFUNCTION("""COMPUTED_VALUE"""),6.0)</f>
        <v>6</v>
      </c>
      <c r="M1310" s="4" t="str">
        <f>IFERROR(__xludf.DUMMYFUNCTION("""COMPUTED_VALUE"""),"Berp Sistemas")</f>
        <v>Berp Sistemas</v>
      </c>
      <c r="N1310" s="33">
        <f>IFERROR(__xludf.DUMMYFUNCTION("""COMPUTED_VALUE"""),1.0)</f>
        <v>1</v>
      </c>
      <c r="O1310" s="4" t="str">
        <f>IFERROR(__xludf.DUMMYFUNCTION("""COMPUTED_VALUE"""),"Berp Sistemas")</f>
        <v>Berp Sistemas</v>
      </c>
      <c r="P1310" s="33">
        <f>IFERROR(__xludf.DUMMYFUNCTION("""COMPUTED_VALUE"""),1.0)</f>
        <v>1</v>
      </c>
      <c r="Q1310" s="4" t="str">
        <f>IFERROR(__xludf.DUMMYFUNCTION("""COMPUTED_VALUE"""),"Berp Sistemas")</f>
        <v>Berp Sistemas</v>
      </c>
      <c r="R1310" s="33">
        <f>IFERROR(__xludf.DUMMYFUNCTION("""COMPUTED_VALUE"""),1.0)</f>
        <v>1</v>
      </c>
      <c r="S1310" s="4" t="str">
        <f>IFERROR(__xludf.DUMMYFUNCTION("""COMPUTED_VALUE"""),"Berp Sistemas")</f>
        <v>Berp Sistemas</v>
      </c>
      <c r="T1310" s="33">
        <f>IFERROR(__xludf.DUMMYFUNCTION("""COMPUTED_VALUE"""),1.0)</f>
        <v>1</v>
      </c>
      <c r="U1310" s="4" t="str">
        <f>IFERROR(__xludf.DUMMYFUNCTION("""COMPUTED_VALUE"""),"Berp Sistemas")</f>
        <v>Berp Sistemas</v>
      </c>
      <c r="V1310" s="33">
        <f>IFERROR(__xludf.DUMMYFUNCTION("""COMPUTED_VALUE"""),1.0)</f>
        <v>1</v>
      </c>
      <c r="W1310" s="4" t="str">
        <f>IFERROR(__xludf.DUMMYFUNCTION("""COMPUTED_VALUE"""),"Berp Sistemas")</f>
        <v>Berp Sistemas</v>
      </c>
      <c r="X1310" s="33">
        <f>IFERROR(__xludf.DUMMYFUNCTION("""COMPUTED_VALUE"""),1.0)</f>
        <v>1</v>
      </c>
    </row>
    <row r="1311">
      <c r="K1311" s="4" t="str">
        <f>IFERROR(__xludf.DUMMYFUNCTION("""COMPUTED_VALUE"""),"BALCONE CONTA MARCA")</f>
        <v>BALCONE CONTA MARCA</v>
      </c>
      <c r="L1311" s="32">
        <f>IFERROR(__xludf.DUMMYFUNCTION("""COMPUTED_VALUE"""),6.0)</f>
        <v>6</v>
      </c>
      <c r="M1311" s="4" t="str">
        <f>IFERROR(__xludf.DUMMYFUNCTION("""COMPUTED_VALUE"""),"Opdv")</f>
        <v>Opdv</v>
      </c>
      <c r="N1311" s="33">
        <f>IFERROR(__xludf.DUMMYFUNCTION("""COMPUTED_VALUE"""),1.0)</f>
        <v>1</v>
      </c>
      <c r="O1311" s="4" t="str">
        <f>IFERROR(__xludf.DUMMYFUNCTION("""COMPUTED_VALUE"""),"Opdv")</f>
        <v>Opdv</v>
      </c>
      <c r="P1311" s="33">
        <f>IFERROR(__xludf.DUMMYFUNCTION("""COMPUTED_VALUE"""),1.0)</f>
        <v>1</v>
      </c>
      <c r="Q1311" s="4" t="str">
        <f>IFERROR(__xludf.DUMMYFUNCTION("""COMPUTED_VALUE"""),"Opdv")</f>
        <v>Opdv</v>
      </c>
      <c r="R1311" s="33">
        <f>IFERROR(__xludf.DUMMYFUNCTION("""COMPUTED_VALUE"""),1.0)</f>
        <v>1</v>
      </c>
      <c r="S1311" s="4" t="str">
        <f>IFERROR(__xludf.DUMMYFUNCTION("""COMPUTED_VALUE"""),"Opdv")</f>
        <v>Opdv</v>
      </c>
      <c r="T1311" s="33">
        <f>IFERROR(__xludf.DUMMYFUNCTION("""COMPUTED_VALUE"""),1.0)</f>
        <v>1</v>
      </c>
      <c r="U1311" s="4" t="str">
        <f>IFERROR(__xludf.DUMMYFUNCTION("""COMPUTED_VALUE"""),"Opdv")</f>
        <v>Opdv</v>
      </c>
      <c r="V1311" s="33">
        <f>IFERROR(__xludf.DUMMYFUNCTION("""COMPUTED_VALUE"""),0.8333333333333334)</f>
        <v>0.8333333333</v>
      </c>
      <c r="W1311" s="4" t="str">
        <f>IFERROR(__xludf.DUMMYFUNCTION("""COMPUTED_VALUE"""),"Saipos Serviços De Software")</f>
        <v>Saipos Serviços De Software</v>
      </c>
      <c r="X1311" s="33">
        <f>IFERROR(__xludf.DUMMYFUNCTION("""COMPUTED_VALUE"""),0.6666666666666666)</f>
        <v>0.6666666667</v>
      </c>
    </row>
    <row r="1312">
      <c r="K1312" s="4" t="str">
        <f>IFERROR(__xludf.DUMMYFUNCTION("""COMPUTED_VALUE"""),"BAR DO JUAREZ")</f>
        <v>BAR DO JUAREZ</v>
      </c>
      <c r="L1312" s="32">
        <f>IFERROR(__xludf.DUMMYFUNCTION("""COMPUTED_VALUE"""),6.0)</f>
        <v>6</v>
      </c>
      <c r="M1312" s="4" t="str">
        <f>IFERROR(__xludf.DUMMYFUNCTION("""COMPUTED_VALUE"""),"Cheff Solutions Tecnologia Brasil")</f>
        <v>Cheff Solutions Tecnologia Brasil</v>
      </c>
      <c r="N1312" s="33">
        <f>IFERROR(__xludf.DUMMYFUNCTION("""COMPUTED_VALUE"""),1.0)</f>
        <v>1</v>
      </c>
      <c r="O1312" s="4" t="str">
        <f>IFERROR(__xludf.DUMMYFUNCTION("""COMPUTED_VALUE"""),"Cheff Solutions Tecnologia Brasil")</f>
        <v>Cheff Solutions Tecnologia Brasil</v>
      </c>
      <c r="P1312" s="33">
        <f>IFERROR(__xludf.DUMMYFUNCTION("""COMPUTED_VALUE"""),1.0)</f>
        <v>1</v>
      </c>
      <c r="Q1312" s="4" t="str">
        <f>IFERROR(__xludf.DUMMYFUNCTION("""COMPUTED_VALUE"""),"Cheff Solutions Tecnologia Brasil")</f>
        <v>Cheff Solutions Tecnologia Brasil</v>
      </c>
      <c r="R1312" s="33">
        <f>IFERROR(__xludf.DUMMYFUNCTION("""COMPUTED_VALUE"""),1.0)</f>
        <v>1</v>
      </c>
      <c r="S1312" s="4" t="str">
        <f>IFERROR(__xludf.DUMMYFUNCTION("""COMPUTED_VALUE"""),"Cheff Solutions Tecnologia Brasil")</f>
        <v>Cheff Solutions Tecnologia Brasil</v>
      </c>
      <c r="T1312" s="33">
        <f>IFERROR(__xludf.DUMMYFUNCTION("""COMPUTED_VALUE"""),1.0)</f>
        <v>1</v>
      </c>
      <c r="U1312" s="4" t="str">
        <f>IFERROR(__xludf.DUMMYFUNCTION("""COMPUTED_VALUE"""),"Cheff Solutions Tecnologia Brasil")</f>
        <v>Cheff Solutions Tecnologia Brasil</v>
      </c>
      <c r="V1312" s="33">
        <f>IFERROR(__xludf.DUMMYFUNCTION("""COMPUTED_VALUE"""),1.0)</f>
        <v>1</v>
      </c>
      <c r="W1312" s="4" t="str">
        <f>IFERROR(__xludf.DUMMYFUNCTION("""COMPUTED_VALUE"""),"Cheff Solutions Tecnologia Brasil")</f>
        <v>Cheff Solutions Tecnologia Brasil</v>
      </c>
      <c r="X1312" s="33">
        <f>IFERROR(__xludf.DUMMYFUNCTION("""COMPUTED_VALUE"""),1.0)</f>
        <v>1</v>
      </c>
    </row>
    <row r="1313">
      <c r="K1313" s="4" t="str">
        <f>IFERROR(__xludf.DUMMYFUNCTION("""COMPUTED_VALUE"""),"CHE BARBARO")</f>
        <v>CHE BARBARO</v>
      </c>
      <c r="L1313" s="32">
        <f>IFERROR(__xludf.DUMMYFUNCTION("""COMPUTED_VALUE"""),6.0)</f>
        <v>6</v>
      </c>
      <c r="M1313" s="4" t="str">
        <f>IFERROR(__xludf.DUMMYFUNCTION("""COMPUTED_VALUE"""),"Ncr")</f>
        <v>Ncr</v>
      </c>
      <c r="N1313" s="33">
        <f>IFERROR(__xludf.DUMMYFUNCTION("""COMPUTED_VALUE"""),0.6666666666666666)</f>
        <v>0.6666666667</v>
      </c>
      <c r="O1313" s="4" t="str">
        <f>IFERROR(__xludf.DUMMYFUNCTION("""COMPUTED_VALUE"""),"Ncr")</f>
        <v>Ncr</v>
      </c>
      <c r="P1313" s="33">
        <f>IFERROR(__xludf.DUMMYFUNCTION("""COMPUTED_VALUE"""),0.6666666666666666)</f>
        <v>0.6666666667</v>
      </c>
      <c r="Q1313" s="4" t="str">
        <f>IFERROR(__xludf.DUMMYFUNCTION("""COMPUTED_VALUE"""),"Ncr")</f>
        <v>Ncr</v>
      </c>
      <c r="R1313" s="33">
        <f>IFERROR(__xludf.DUMMYFUNCTION("""COMPUTED_VALUE"""),0.5)</f>
        <v>0.5</v>
      </c>
      <c r="S1313" s="4" t="str">
        <f>IFERROR(__xludf.DUMMYFUNCTION("""COMPUTED_VALUE"""),"Ncr")</f>
        <v>Ncr</v>
      </c>
      <c r="T1313" s="33">
        <f>IFERROR(__xludf.DUMMYFUNCTION("""COMPUTED_VALUE"""),0.6666666666666666)</f>
        <v>0.6666666667</v>
      </c>
      <c r="U1313" s="4" t="str">
        <f>IFERROR(__xludf.DUMMYFUNCTION("""COMPUTED_VALUE"""),"Ncr")</f>
        <v>Ncr</v>
      </c>
      <c r="V1313" s="33">
        <f>IFERROR(__xludf.DUMMYFUNCTION("""COMPUTED_VALUE"""),0.8333333333333334)</f>
        <v>0.8333333333</v>
      </c>
      <c r="W1313" s="4" t="str">
        <f>IFERROR(__xludf.DUMMYFUNCTION("""COMPUTED_VALUE"""),"Ncr")</f>
        <v>Ncr</v>
      </c>
      <c r="X1313" s="33">
        <f>IFERROR(__xludf.DUMMYFUNCTION("""COMPUTED_VALUE"""),0.5)</f>
        <v>0.5</v>
      </c>
    </row>
    <row r="1314">
      <c r="K1314" s="4" t="str">
        <f>IFERROR(__xludf.DUMMYFUNCTION("""COMPUTED_VALUE"""),"BARRIGAS LANCHES")</f>
        <v>BARRIGAS LANCHES</v>
      </c>
      <c r="L1314" s="32">
        <f>IFERROR(__xludf.DUMMYFUNCTION("""COMPUTED_VALUE"""),6.0)</f>
        <v>6</v>
      </c>
      <c r="M1314" s="4" t="str">
        <f>IFERROR(__xludf.DUMMYFUNCTION("""COMPUTED_VALUE"""),"Premio Sistemas Ltda")</f>
        <v>Premio Sistemas Ltda</v>
      </c>
      <c r="N1314" s="33">
        <f>IFERROR(__xludf.DUMMYFUNCTION("""COMPUTED_VALUE"""),1.0)</f>
        <v>1</v>
      </c>
      <c r="O1314" s="4" t="str">
        <f>IFERROR(__xludf.DUMMYFUNCTION("""COMPUTED_VALUE"""),"Premio Sistemas Ltda")</f>
        <v>Premio Sistemas Ltda</v>
      </c>
      <c r="P1314" s="33">
        <f>IFERROR(__xludf.DUMMYFUNCTION("""COMPUTED_VALUE"""),1.0)</f>
        <v>1</v>
      </c>
      <c r="Q1314" s="4" t="str">
        <f>IFERROR(__xludf.DUMMYFUNCTION("""COMPUTED_VALUE"""),"Premio Sistemas Ltda")</f>
        <v>Premio Sistemas Ltda</v>
      </c>
      <c r="R1314" s="33">
        <f>IFERROR(__xludf.DUMMYFUNCTION("""COMPUTED_VALUE"""),1.0)</f>
        <v>1</v>
      </c>
      <c r="S1314" s="4" t="str">
        <f>IFERROR(__xludf.DUMMYFUNCTION("""COMPUTED_VALUE"""),"null")</f>
        <v>null</v>
      </c>
      <c r="T1314" s="33">
        <f>IFERROR(__xludf.DUMMYFUNCTION("""COMPUTED_VALUE"""),0.6666666666666666)</f>
        <v>0.6666666667</v>
      </c>
      <c r="U1314" s="4" t="str">
        <f>IFERROR(__xludf.DUMMYFUNCTION("""COMPUTED_VALUE"""),"Premio Sistemas Ltda")</f>
        <v>Premio Sistemas Ltda</v>
      </c>
      <c r="V1314" s="33">
        <f>IFERROR(__xludf.DUMMYFUNCTION("""COMPUTED_VALUE"""),0.6666666666666666)</f>
        <v>0.6666666667</v>
      </c>
      <c r="W1314" s="4" t="str">
        <f>IFERROR(__xludf.DUMMYFUNCTION("""COMPUTED_VALUE"""),"Premio Sistemas Ltda")</f>
        <v>Premio Sistemas Ltda</v>
      </c>
      <c r="X1314" s="33">
        <f>IFERROR(__xludf.DUMMYFUNCTION("""COMPUTED_VALUE"""),1.0)</f>
        <v>1</v>
      </c>
    </row>
    <row r="1315">
      <c r="K1315" s="4" t="str">
        <f>IFERROR(__xludf.DUMMYFUNCTION("""COMPUTED_VALUE"""),"BE HAPPY CONTA MARCA")</f>
        <v>BE HAPPY CONTA MARCA</v>
      </c>
      <c r="L1315" s="32">
        <f>IFERROR(__xludf.DUMMYFUNCTION("""COMPUTED_VALUE"""),6.0)</f>
        <v>6</v>
      </c>
      <c r="M1315" s="4" t="str">
        <f>IFERROR(__xludf.DUMMYFUNCTION("""COMPUTED_VALUE"""),"Saipos Serviços De Software")</f>
        <v>Saipos Serviços De Software</v>
      </c>
      <c r="N1315" s="33">
        <f>IFERROR(__xludf.DUMMYFUNCTION("""COMPUTED_VALUE"""),0.8333333333333334)</f>
        <v>0.8333333333</v>
      </c>
      <c r="O1315" s="4" t="str">
        <f>IFERROR(__xludf.DUMMYFUNCTION("""COMPUTED_VALUE"""),"Saipos Serviços De Software")</f>
        <v>Saipos Serviços De Software</v>
      </c>
      <c r="P1315" s="33">
        <f>IFERROR(__xludf.DUMMYFUNCTION("""COMPUTED_VALUE"""),0.8333333333333334)</f>
        <v>0.8333333333</v>
      </c>
      <c r="Q1315" s="4" t="str">
        <f>IFERROR(__xludf.DUMMYFUNCTION("""COMPUTED_VALUE"""),"Saipos Serviços De Software")</f>
        <v>Saipos Serviços De Software</v>
      </c>
      <c r="R1315" s="33">
        <f>IFERROR(__xludf.DUMMYFUNCTION("""COMPUTED_VALUE"""),0.8333333333333334)</f>
        <v>0.8333333333</v>
      </c>
      <c r="S1315" s="4" t="str">
        <f>IFERROR(__xludf.DUMMYFUNCTION("""COMPUTED_VALUE"""),"Saipos Serviços De Software")</f>
        <v>Saipos Serviços De Software</v>
      </c>
      <c r="T1315" s="33">
        <f>IFERROR(__xludf.DUMMYFUNCTION("""COMPUTED_VALUE"""),1.0)</f>
        <v>1</v>
      </c>
      <c r="U1315" s="4" t="str">
        <f>IFERROR(__xludf.DUMMYFUNCTION("""COMPUTED_VALUE"""),"Saipos Serviços De Software")</f>
        <v>Saipos Serviços De Software</v>
      </c>
      <c r="V1315" s="33">
        <f>IFERROR(__xludf.DUMMYFUNCTION("""COMPUTED_VALUE"""),0.8333333333333334)</f>
        <v>0.8333333333</v>
      </c>
      <c r="W1315" s="4" t="str">
        <f>IFERROR(__xludf.DUMMYFUNCTION("""COMPUTED_VALUE"""),"Saipos Serviços De Software")</f>
        <v>Saipos Serviços De Software</v>
      </c>
      <c r="X1315" s="33">
        <f>IFERROR(__xludf.DUMMYFUNCTION("""COMPUTED_VALUE"""),0.8333333333333334)</f>
        <v>0.8333333333</v>
      </c>
    </row>
    <row r="1316">
      <c r="K1316" s="4" t="str">
        <f>IFERROR(__xludf.DUMMYFUNCTION("""COMPUTED_VALUE"""),"BIG LANCHES MATO GROSSO DO SUL")</f>
        <v>BIG LANCHES MATO GROSSO DO SUL</v>
      </c>
      <c r="L1316" s="32">
        <f>IFERROR(__xludf.DUMMYFUNCTION("""COMPUTED_VALUE"""),6.0)</f>
        <v>6</v>
      </c>
      <c r="M1316" s="4" t="str">
        <f>IFERROR(__xludf.DUMMYFUNCTION("""COMPUTED_VALUE"""),"Softsa Sistemas De Informação Ltda")</f>
        <v>Softsa Sistemas De Informação Ltda</v>
      </c>
      <c r="N1316" s="33">
        <f>IFERROR(__xludf.DUMMYFUNCTION("""COMPUTED_VALUE"""),1.0)</f>
        <v>1</v>
      </c>
      <c r="O1316" s="4" t="str">
        <f>IFERROR(__xludf.DUMMYFUNCTION("""COMPUTED_VALUE"""),"Softsa Sistemas De Informação Ltda")</f>
        <v>Softsa Sistemas De Informação Ltda</v>
      </c>
      <c r="P1316" s="33">
        <f>IFERROR(__xludf.DUMMYFUNCTION("""COMPUTED_VALUE"""),1.0)</f>
        <v>1</v>
      </c>
      <c r="Q1316" s="4" t="str">
        <f>IFERROR(__xludf.DUMMYFUNCTION("""COMPUTED_VALUE"""),"Softsa Sistemas De Informação Ltda")</f>
        <v>Softsa Sistemas De Informação Ltda</v>
      </c>
      <c r="R1316" s="33">
        <f>IFERROR(__xludf.DUMMYFUNCTION("""COMPUTED_VALUE"""),1.0)</f>
        <v>1</v>
      </c>
      <c r="S1316" s="4" t="str">
        <f>IFERROR(__xludf.DUMMYFUNCTION("""COMPUTED_VALUE"""),"Softsa Sistemas De Informação Ltda")</f>
        <v>Softsa Sistemas De Informação Ltda</v>
      </c>
      <c r="T1316" s="33">
        <f>IFERROR(__xludf.DUMMYFUNCTION("""COMPUTED_VALUE"""),1.0)</f>
        <v>1</v>
      </c>
      <c r="U1316" s="4" t="str">
        <f>IFERROR(__xludf.DUMMYFUNCTION("""COMPUTED_VALUE"""),"Softsa Sistemas De Informação Ltda")</f>
        <v>Softsa Sistemas De Informação Ltda</v>
      </c>
      <c r="V1316" s="33">
        <f>IFERROR(__xludf.DUMMYFUNCTION("""COMPUTED_VALUE"""),0.6666666666666666)</f>
        <v>0.6666666667</v>
      </c>
      <c r="W1316" s="4" t="str">
        <f>IFERROR(__xludf.DUMMYFUNCTION("""COMPUTED_VALUE"""),"Softsa Sistemas De Informação Ltda")</f>
        <v>Softsa Sistemas De Informação Ltda</v>
      </c>
      <c r="X1316" s="33">
        <f>IFERROR(__xludf.DUMMYFUNCTION("""COMPUTED_VALUE"""),0.8333333333333334)</f>
        <v>0.8333333333</v>
      </c>
    </row>
    <row r="1317">
      <c r="K1317" s="4" t="str">
        <f>IFERROR(__xludf.DUMMYFUNCTION("""COMPUTED_VALUE"""),"BIG MARKET - CONTA PAI")</f>
        <v>BIG MARKET - CONTA PAI</v>
      </c>
      <c r="L1317" s="32">
        <f>IFERROR(__xludf.DUMMYFUNCTION("""COMPUTED_VALUE"""),6.0)</f>
        <v>6</v>
      </c>
      <c r="M1317" s="4" t="str">
        <f>IFERROR(__xludf.DUMMYFUNCTION("""COMPUTED_VALUE"""),"N/A (Not found)")</f>
        <v>N/A (Not found)</v>
      </c>
      <c r="N1317" s="33">
        <f>IFERROR(__xludf.DUMMYFUNCTION("""COMPUTED_VALUE"""),1.0)</f>
        <v>1</v>
      </c>
      <c r="O1317" s="4" t="str">
        <f>IFERROR(__xludf.DUMMYFUNCTION("""COMPUTED_VALUE"""),"N/A (Not found)")</f>
        <v>N/A (Not found)</v>
      </c>
      <c r="P1317" s="33">
        <f>IFERROR(__xludf.DUMMYFUNCTION("""COMPUTED_VALUE"""),1.0)</f>
        <v>1</v>
      </c>
      <c r="Q1317" s="4" t="str">
        <f>IFERROR(__xludf.DUMMYFUNCTION("""COMPUTED_VALUE"""),"N/A (Not found)")</f>
        <v>N/A (Not found)</v>
      </c>
      <c r="R1317" s="33">
        <f>IFERROR(__xludf.DUMMYFUNCTION("""COMPUTED_VALUE"""),1.0)</f>
        <v>1</v>
      </c>
      <c r="S1317" s="4" t="str">
        <f>IFERROR(__xludf.DUMMYFUNCTION("""COMPUTED_VALUE"""),"N/A (Not found)")</f>
        <v>N/A (Not found)</v>
      </c>
      <c r="T1317" s="33">
        <f>IFERROR(__xludf.DUMMYFUNCTION("""COMPUTED_VALUE"""),1.0)</f>
        <v>1</v>
      </c>
      <c r="U1317" s="4" t="str">
        <f>IFERROR(__xludf.DUMMYFUNCTION("""COMPUTED_VALUE"""),"N/A (Not found)")</f>
        <v>N/A (Not found)</v>
      </c>
      <c r="V1317" s="33">
        <f>IFERROR(__xludf.DUMMYFUNCTION("""COMPUTED_VALUE"""),1.0)</f>
        <v>1</v>
      </c>
      <c r="W1317" s="4" t="str">
        <f>IFERROR(__xludf.DUMMYFUNCTION("""COMPUTED_VALUE"""),"N/A (Not found)")</f>
        <v>N/A (Not found)</v>
      </c>
      <c r="X1317" s="33">
        <f>IFERROR(__xludf.DUMMYFUNCTION("""COMPUTED_VALUE"""),1.0)</f>
        <v>1</v>
      </c>
    </row>
    <row r="1318">
      <c r="K1318" s="4" t="str">
        <f>IFERROR(__xludf.DUMMYFUNCTION("""COMPUTED_VALUE"""),"BISTROGONOFE")</f>
        <v>BISTROGONOFE</v>
      </c>
      <c r="L1318" s="32">
        <f>IFERROR(__xludf.DUMMYFUNCTION("""COMPUTED_VALUE"""),6.0)</f>
        <v>6</v>
      </c>
      <c r="M1318" s="4" t="str">
        <f>IFERROR(__xludf.DUMMYFUNCTION("""COMPUTED_VALUE"""),"Saipos Serviços De Software")</f>
        <v>Saipos Serviços De Software</v>
      </c>
      <c r="N1318" s="33">
        <f>IFERROR(__xludf.DUMMYFUNCTION("""COMPUTED_VALUE"""),0.8333333333333334)</f>
        <v>0.8333333333</v>
      </c>
      <c r="O1318" s="4" t="str">
        <f>IFERROR(__xludf.DUMMYFUNCTION("""COMPUTED_VALUE"""),"null")</f>
        <v>null</v>
      </c>
      <c r="P1318" s="33">
        <f>IFERROR(__xludf.DUMMYFUNCTION("""COMPUTED_VALUE"""),0.8333333333333334)</f>
        <v>0.8333333333</v>
      </c>
      <c r="Q1318" s="4" t="str">
        <f>IFERROR(__xludf.DUMMYFUNCTION("""COMPUTED_VALUE"""),"null")</f>
        <v>null</v>
      </c>
      <c r="R1318" s="33">
        <f>IFERROR(__xludf.DUMMYFUNCTION("""COMPUTED_VALUE"""),0.6666666666666666)</f>
        <v>0.6666666667</v>
      </c>
      <c r="S1318" s="4" t="str">
        <f>IFERROR(__xludf.DUMMYFUNCTION("""COMPUTED_VALUE"""),"null")</f>
        <v>null</v>
      </c>
      <c r="T1318" s="33">
        <f>IFERROR(__xludf.DUMMYFUNCTION("""COMPUTED_VALUE"""),0.8333333333333334)</f>
        <v>0.8333333333</v>
      </c>
      <c r="U1318" s="4" t="str">
        <f>IFERROR(__xludf.DUMMYFUNCTION("""COMPUTED_VALUE"""),"null")</f>
        <v>null</v>
      </c>
      <c r="V1318" s="33">
        <f>IFERROR(__xludf.DUMMYFUNCTION("""COMPUTED_VALUE"""),0.8333333333333334)</f>
        <v>0.8333333333</v>
      </c>
      <c r="W1318" s="4" t="str">
        <f>IFERROR(__xludf.DUMMYFUNCTION("""COMPUTED_VALUE"""),"null")</f>
        <v>null</v>
      </c>
      <c r="X1318" s="33">
        <f>IFERROR(__xludf.DUMMYFUNCTION("""COMPUTED_VALUE"""),1.0)</f>
        <v>1</v>
      </c>
    </row>
    <row r="1319">
      <c r="K1319" s="4" t="str">
        <f>IFERROR(__xludf.DUMMYFUNCTION("""COMPUTED_VALUE"""),"BLAUS LANCHES 14 DE MARCO")</f>
        <v>BLAUS LANCHES 14 DE MARCO</v>
      </c>
      <c r="L1319" s="32">
        <f>IFERROR(__xludf.DUMMYFUNCTION("""COMPUTED_VALUE"""),6.0)</f>
        <v>6</v>
      </c>
      <c r="M1319" s="4" t="str">
        <f>IFERROR(__xludf.DUMMYFUNCTION("""COMPUTED_VALUE"""),"Proabakus Desenvolvimento De Sistemas Ltda")</f>
        <v>Proabakus Desenvolvimento De Sistemas Ltda</v>
      </c>
      <c r="N1319" s="33">
        <f>IFERROR(__xludf.DUMMYFUNCTION("""COMPUTED_VALUE"""),0.8333333333333334)</f>
        <v>0.8333333333</v>
      </c>
      <c r="O1319" s="4" t="str">
        <f>IFERROR(__xludf.DUMMYFUNCTION("""COMPUTED_VALUE"""),"Proabakus Desenvolvimento De Sistemas Ltda")</f>
        <v>Proabakus Desenvolvimento De Sistemas Ltda</v>
      </c>
      <c r="P1319" s="33">
        <f>IFERROR(__xludf.DUMMYFUNCTION("""COMPUTED_VALUE"""),0.8333333333333334)</f>
        <v>0.8333333333</v>
      </c>
      <c r="Q1319" s="4" t="str">
        <f>IFERROR(__xludf.DUMMYFUNCTION("""COMPUTED_VALUE"""),"Proabakus Desenvolvimento De Sistemas Ltda")</f>
        <v>Proabakus Desenvolvimento De Sistemas Ltda</v>
      </c>
      <c r="R1319" s="33">
        <f>IFERROR(__xludf.DUMMYFUNCTION("""COMPUTED_VALUE"""),0.6666666666666666)</f>
        <v>0.6666666667</v>
      </c>
      <c r="S1319" s="4" t="str">
        <f>IFERROR(__xludf.DUMMYFUNCTION("""COMPUTED_VALUE"""),"Proabakus Desenvolvimento De Sistemas Ltda")</f>
        <v>Proabakus Desenvolvimento De Sistemas Ltda</v>
      </c>
      <c r="T1319" s="33">
        <f>IFERROR(__xludf.DUMMYFUNCTION("""COMPUTED_VALUE"""),0.6666666666666666)</f>
        <v>0.6666666667</v>
      </c>
      <c r="U1319" s="4" t="str">
        <f>IFERROR(__xludf.DUMMYFUNCTION("""COMPUTED_VALUE"""),"Proabakus Desenvolvimento De Sistemas Ltda")</f>
        <v>Proabakus Desenvolvimento De Sistemas Ltda</v>
      </c>
      <c r="V1319" s="33">
        <f>IFERROR(__xludf.DUMMYFUNCTION("""COMPUTED_VALUE"""),0.6666666666666666)</f>
        <v>0.6666666667</v>
      </c>
      <c r="W1319" s="4" t="str">
        <f>IFERROR(__xludf.DUMMYFUNCTION("""COMPUTED_VALUE"""),"Proabakus Desenvolvimento De Sistemas Ltda")</f>
        <v>Proabakus Desenvolvimento De Sistemas Ltda</v>
      </c>
      <c r="X1319" s="33">
        <f>IFERROR(__xludf.DUMMYFUNCTION("""COMPUTED_VALUE"""),1.0)</f>
        <v>1</v>
      </c>
    </row>
    <row r="1320">
      <c r="K1320" s="4" t="str">
        <f>IFERROR(__xludf.DUMMYFUNCTION("""COMPUTED_VALUE"""),"BOX MINEIRO")</f>
        <v>BOX MINEIRO</v>
      </c>
      <c r="L1320" s="32">
        <f>IFERROR(__xludf.DUMMYFUNCTION("""COMPUTED_VALUE"""),6.0)</f>
        <v>6</v>
      </c>
      <c r="M1320" s="4" t="str">
        <f>IFERROR(__xludf.DUMMYFUNCTION("""COMPUTED_VALUE"""),"Cardápio Web")</f>
        <v>Cardápio Web</v>
      </c>
      <c r="N1320" s="33">
        <f>IFERROR(__xludf.DUMMYFUNCTION("""COMPUTED_VALUE"""),0.6666666666666666)</f>
        <v>0.6666666667</v>
      </c>
      <c r="O1320" s="4" t="str">
        <f>IFERROR(__xludf.DUMMYFUNCTION("""COMPUTED_VALUE"""),"Cardápio Web")</f>
        <v>Cardápio Web</v>
      </c>
      <c r="P1320" s="33">
        <f>IFERROR(__xludf.DUMMYFUNCTION("""COMPUTED_VALUE"""),0.5)</f>
        <v>0.5</v>
      </c>
      <c r="Q1320" s="4" t="str">
        <f>IFERROR(__xludf.DUMMYFUNCTION("""COMPUTED_VALUE"""),"Cardápio Web")</f>
        <v>Cardápio Web</v>
      </c>
      <c r="R1320" s="33">
        <f>IFERROR(__xludf.DUMMYFUNCTION("""COMPUTED_VALUE"""),0.5)</f>
        <v>0.5</v>
      </c>
      <c r="S1320" s="4" t="str">
        <f>IFERROR(__xludf.DUMMYFUNCTION("""COMPUTED_VALUE"""),"Cardápio Web")</f>
        <v>Cardápio Web</v>
      </c>
      <c r="T1320" s="33">
        <f>IFERROR(__xludf.DUMMYFUNCTION("""COMPUTED_VALUE"""),0.8333333333333334)</f>
        <v>0.8333333333</v>
      </c>
      <c r="U1320" s="4" t="str">
        <f>IFERROR(__xludf.DUMMYFUNCTION("""COMPUTED_VALUE"""),"Cardápio Web")</f>
        <v>Cardápio Web</v>
      </c>
      <c r="V1320" s="33">
        <f>IFERROR(__xludf.DUMMYFUNCTION("""COMPUTED_VALUE"""),0.8333333333333334)</f>
        <v>0.8333333333</v>
      </c>
      <c r="W1320" s="4" t="str">
        <f>IFERROR(__xludf.DUMMYFUNCTION("""COMPUTED_VALUE"""),"Cardápio Web")</f>
        <v>Cardápio Web</v>
      </c>
      <c r="X1320" s="33">
        <f>IFERROR(__xludf.DUMMYFUNCTION("""COMPUTED_VALUE"""),0.8333333333333334)</f>
        <v>0.8333333333</v>
      </c>
    </row>
    <row r="1321">
      <c r="K1321" s="4" t="str">
        <f>IFERROR(__xludf.DUMMYFUNCTION("""COMPUTED_VALUE"""),"BRATZA PIZZARIA")</f>
        <v>BRATZA PIZZARIA</v>
      </c>
      <c r="L1321" s="32">
        <f>IFERROR(__xludf.DUMMYFUNCTION("""COMPUTED_VALUE"""),6.0)</f>
        <v>6</v>
      </c>
      <c r="M1321" s="4" t="str">
        <f>IFERROR(__xludf.DUMMYFUNCTION("""COMPUTED_VALUE"""),"Saipos Serviços De Software")</f>
        <v>Saipos Serviços De Software</v>
      </c>
      <c r="N1321" s="33">
        <f>IFERROR(__xludf.DUMMYFUNCTION("""COMPUTED_VALUE"""),1.0)</f>
        <v>1</v>
      </c>
      <c r="O1321" s="4" t="str">
        <f>IFERROR(__xludf.DUMMYFUNCTION("""COMPUTED_VALUE"""),"Saipos Serviços De Software")</f>
        <v>Saipos Serviços De Software</v>
      </c>
      <c r="P1321" s="33">
        <f>IFERROR(__xludf.DUMMYFUNCTION("""COMPUTED_VALUE"""),0.8333333333333334)</f>
        <v>0.8333333333</v>
      </c>
      <c r="Q1321" s="4" t="str">
        <f>IFERROR(__xludf.DUMMYFUNCTION("""COMPUTED_VALUE"""),"Saipos Serviços De Software")</f>
        <v>Saipos Serviços De Software</v>
      </c>
      <c r="R1321" s="33">
        <f>IFERROR(__xludf.DUMMYFUNCTION("""COMPUTED_VALUE"""),1.0)</f>
        <v>1</v>
      </c>
      <c r="S1321" s="4" t="str">
        <f>IFERROR(__xludf.DUMMYFUNCTION("""COMPUTED_VALUE"""),"Saipos Serviços De Software")</f>
        <v>Saipos Serviços De Software</v>
      </c>
      <c r="T1321" s="33">
        <f>IFERROR(__xludf.DUMMYFUNCTION("""COMPUTED_VALUE"""),1.0)</f>
        <v>1</v>
      </c>
      <c r="U1321" s="4" t="str">
        <f>IFERROR(__xludf.DUMMYFUNCTION("""COMPUTED_VALUE"""),"Saipos Serviços De Software")</f>
        <v>Saipos Serviços De Software</v>
      </c>
      <c r="V1321" s="33">
        <f>IFERROR(__xludf.DUMMYFUNCTION("""COMPUTED_VALUE"""),1.0)</f>
        <v>1</v>
      </c>
      <c r="W1321" s="4" t="str">
        <f>IFERROR(__xludf.DUMMYFUNCTION("""COMPUTED_VALUE"""),"Saipos Serviços De Software")</f>
        <v>Saipos Serviços De Software</v>
      </c>
      <c r="X1321" s="33">
        <f>IFERROR(__xludf.DUMMYFUNCTION("""COMPUTED_VALUE"""),1.0)</f>
        <v>1</v>
      </c>
    </row>
    <row r="1322">
      <c r="K1322" s="4" t="str">
        <f>IFERROR(__xludf.DUMMYFUNCTION("""COMPUTED_VALUE"""),"BREVITA - BIXIGA")</f>
        <v>BREVITA - BIXIGA</v>
      </c>
      <c r="L1322" s="32">
        <f>IFERROR(__xludf.DUMMYFUNCTION("""COMPUTED_VALUE"""),6.0)</f>
        <v>6</v>
      </c>
      <c r="M1322" s="4" t="str">
        <f>IFERROR(__xludf.DUMMYFUNCTION("""COMPUTED_VALUE"""),"Eclética Tecnologia")</f>
        <v>Eclética Tecnologia</v>
      </c>
      <c r="N1322" s="33">
        <f>IFERROR(__xludf.DUMMYFUNCTION("""COMPUTED_VALUE"""),0.8333333333333334)</f>
        <v>0.8333333333</v>
      </c>
      <c r="O1322" s="4" t="str">
        <f>IFERROR(__xludf.DUMMYFUNCTION("""COMPUTED_VALUE"""),"Eclética Tecnologia")</f>
        <v>Eclética Tecnologia</v>
      </c>
      <c r="P1322" s="33">
        <f>IFERROR(__xludf.DUMMYFUNCTION("""COMPUTED_VALUE"""),0.6666666666666666)</f>
        <v>0.6666666667</v>
      </c>
      <c r="Q1322" s="4" t="str">
        <f>IFERROR(__xludf.DUMMYFUNCTION("""COMPUTED_VALUE"""),"Eclética Tecnologia")</f>
        <v>Eclética Tecnologia</v>
      </c>
      <c r="R1322" s="33">
        <f>IFERROR(__xludf.DUMMYFUNCTION("""COMPUTED_VALUE"""),0.8333333333333334)</f>
        <v>0.8333333333</v>
      </c>
      <c r="S1322" s="4" t="str">
        <f>IFERROR(__xludf.DUMMYFUNCTION("""COMPUTED_VALUE"""),"Eclética Tecnologia")</f>
        <v>Eclética Tecnologia</v>
      </c>
      <c r="T1322" s="33">
        <f>IFERROR(__xludf.DUMMYFUNCTION("""COMPUTED_VALUE"""),0.5)</f>
        <v>0.5</v>
      </c>
      <c r="U1322" s="4" t="str">
        <f>IFERROR(__xludf.DUMMYFUNCTION("""COMPUTED_VALUE"""),"Eclética Tecnologia")</f>
        <v>Eclética Tecnologia</v>
      </c>
      <c r="V1322" s="33">
        <f>IFERROR(__xludf.DUMMYFUNCTION("""COMPUTED_VALUE"""),0.8333333333333334)</f>
        <v>0.8333333333</v>
      </c>
      <c r="W1322" s="4" t="str">
        <f>IFERROR(__xludf.DUMMYFUNCTION("""COMPUTED_VALUE"""),"null")</f>
        <v>null</v>
      </c>
      <c r="X1322" s="33">
        <f>IFERROR(__xludf.DUMMYFUNCTION("""COMPUTED_VALUE"""),0.8333333333333334)</f>
        <v>0.8333333333</v>
      </c>
    </row>
    <row r="1323">
      <c r="K1323" s="4" t="str">
        <f>IFERROR(__xludf.DUMMYFUNCTION("""COMPUTED_VALUE"""),"BTS BURGUER")</f>
        <v>BTS BURGUER</v>
      </c>
      <c r="L1323" s="32">
        <f>IFERROR(__xludf.DUMMYFUNCTION("""COMPUTED_VALUE"""),6.0)</f>
        <v>6</v>
      </c>
      <c r="M1323" s="4" t="str">
        <f>IFERROR(__xludf.DUMMYFUNCTION("""COMPUTED_VALUE"""),"Menew - Linx")</f>
        <v>Menew - Linx</v>
      </c>
      <c r="N1323" s="33">
        <f>IFERROR(__xludf.DUMMYFUNCTION("""COMPUTED_VALUE"""),1.0)</f>
        <v>1</v>
      </c>
      <c r="O1323" s="4" t="str">
        <f>IFERROR(__xludf.DUMMYFUNCTION("""COMPUTED_VALUE"""),"Menew - Linx")</f>
        <v>Menew - Linx</v>
      </c>
      <c r="P1323" s="33">
        <f>IFERROR(__xludf.DUMMYFUNCTION("""COMPUTED_VALUE"""),1.0)</f>
        <v>1</v>
      </c>
      <c r="Q1323" s="4" t="str">
        <f>IFERROR(__xludf.DUMMYFUNCTION("""COMPUTED_VALUE"""),"Menew - Linx")</f>
        <v>Menew - Linx</v>
      </c>
      <c r="R1323" s="33">
        <f>IFERROR(__xludf.DUMMYFUNCTION("""COMPUTED_VALUE"""),1.0)</f>
        <v>1</v>
      </c>
      <c r="S1323" s="4" t="str">
        <f>IFERROR(__xludf.DUMMYFUNCTION("""COMPUTED_VALUE"""),"Menew - Linx")</f>
        <v>Menew - Linx</v>
      </c>
      <c r="T1323" s="33">
        <f>IFERROR(__xludf.DUMMYFUNCTION("""COMPUTED_VALUE"""),1.0)</f>
        <v>1</v>
      </c>
      <c r="U1323" s="4" t="str">
        <f>IFERROR(__xludf.DUMMYFUNCTION("""COMPUTED_VALUE"""),"Menew - Linx")</f>
        <v>Menew - Linx</v>
      </c>
      <c r="V1323" s="33">
        <f>IFERROR(__xludf.DUMMYFUNCTION("""COMPUTED_VALUE"""),1.0)</f>
        <v>1</v>
      </c>
      <c r="W1323" s="4" t="str">
        <f>IFERROR(__xludf.DUMMYFUNCTION("""COMPUTED_VALUE"""),"Menew - Linx")</f>
        <v>Menew - Linx</v>
      </c>
      <c r="X1323" s="33">
        <f>IFERROR(__xludf.DUMMYFUNCTION("""COMPUTED_VALUE"""),1.0)</f>
        <v>1</v>
      </c>
    </row>
    <row r="1324">
      <c r="K1324" s="4" t="str">
        <f>IFERROR(__xludf.DUMMYFUNCTION("""COMPUTED_VALUE"""),"BURGER SURF E KAW")</f>
        <v>BURGER SURF E KAW</v>
      </c>
      <c r="L1324" s="32">
        <f>IFERROR(__xludf.DUMMYFUNCTION("""COMPUTED_VALUE"""),6.0)</f>
        <v>6</v>
      </c>
      <c r="M1324" s="4" t="str">
        <f>IFERROR(__xludf.DUMMYFUNCTION("""COMPUTED_VALUE"""),"null")</f>
        <v>null</v>
      </c>
      <c r="N1324" s="33">
        <f>IFERROR(__xludf.DUMMYFUNCTION("""COMPUTED_VALUE"""),0.5)</f>
        <v>0.5</v>
      </c>
      <c r="O1324" s="4" t="str">
        <f>IFERROR(__xludf.DUMMYFUNCTION("""COMPUTED_VALUE"""),"Cardápio Web")</f>
        <v>Cardápio Web</v>
      </c>
      <c r="P1324" s="33">
        <f>IFERROR(__xludf.DUMMYFUNCTION("""COMPUTED_VALUE"""),0.5)</f>
        <v>0.5</v>
      </c>
      <c r="Q1324" s="4" t="str">
        <f>IFERROR(__xludf.DUMMYFUNCTION("""COMPUTED_VALUE"""),"Cardápio Web")</f>
        <v>Cardápio Web</v>
      </c>
      <c r="R1324" s="33">
        <f>IFERROR(__xludf.DUMMYFUNCTION("""COMPUTED_VALUE"""),0.5)</f>
        <v>0.5</v>
      </c>
      <c r="S1324" s="4" t="str">
        <f>IFERROR(__xludf.DUMMYFUNCTION("""COMPUTED_VALUE"""),"Cardápio Web")</f>
        <v>Cardápio Web</v>
      </c>
      <c r="T1324" s="33">
        <f>IFERROR(__xludf.DUMMYFUNCTION("""COMPUTED_VALUE"""),0.5)</f>
        <v>0.5</v>
      </c>
      <c r="U1324" s="4" t="str">
        <f>IFERROR(__xludf.DUMMYFUNCTION("""COMPUTED_VALUE"""),"Saipos Serviços De Software")</f>
        <v>Saipos Serviços De Software</v>
      </c>
      <c r="V1324" s="33">
        <f>IFERROR(__xludf.DUMMYFUNCTION("""COMPUTED_VALUE"""),0.5)</f>
        <v>0.5</v>
      </c>
      <c r="W1324" s="4" t="str">
        <f>IFERROR(__xludf.DUMMYFUNCTION("""COMPUTED_VALUE"""),"Saipos Serviços De Software")</f>
        <v>Saipos Serviços De Software</v>
      </c>
      <c r="X1324" s="33">
        <f>IFERROR(__xludf.DUMMYFUNCTION("""COMPUTED_VALUE"""),0.5)</f>
        <v>0.5</v>
      </c>
    </row>
    <row r="1325">
      <c r="K1325" s="4" t="str">
        <f>IFERROR(__xludf.DUMMYFUNCTION("""COMPUTED_VALUE"""),"BURGUER DO ENGENHEIRO-MARCA")</f>
        <v>BURGUER DO ENGENHEIRO-MARCA</v>
      </c>
      <c r="L1325" s="32">
        <f>IFERROR(__xludf.DUMMYFUNCTION("""COMPUTED_VALUE"""),6.0)</f>
        <v>6</v>
      </c>
      <c r="M1325" s="4" t="str">
        <f>IFERROR(__xludf.DUMMYFUNCTION("""COMPUTED_VALUE"""),"Consumer Soluções Em Tecnologia Ltda")</f>
        <v>Consumer Soluções Em Tecnologia Ltda</v>
      </c>
      <c r="N1325" s="33">
        <f>IFERROR(__xludf.DUMMYFUNCTION("""COMPUTED_VALUE"""),0.8333333333333334)</f>
        <v>0.8333333333</v>
      </c>
      <c r="O1325" s="4" t="str">
        <f>IFERROR(__xludf.DUMMYFUNCTION("""COMPUTED_VALUE"""),"Consumer Soluções Em Tecnologia Ltda")</f>
        <v>Consumer Soluções Em Tecnologia Ltda</v>
      </c>
      <c r="P1325" s="33">
        <f>IFERROR(__xludf.DUMMYFUNCTION("""COMPUTED_VALUE"""),0.8333333333333334)</f>
        <v>0.8333333333</v>
      </c>
      <c r="Q1325" s="4" t="str">
        <f>IFERROR(__xludf.DUMMYFUNCTION("""COMPUTED_VALUE"""),"Consumer Soluções Em Tecnologia Ltda")</f>
        <v>Consumer Soluções Em Tecnologia Ltda</v>
      </c>
      <c r="R1325" s="33">
        <f>IFERROR(__xludf.DUMMYFUNCTION("""COMPUTED_VALUE"""),0.8333333333333334)</f>
        <v>0.8333333333</v>
      </c>
      <c r="S1325" s="4" t="str">
        <f>IFERROR(__xludf.DUMMYFUNCTION("""COMPUTED_VALUE"""),"Consumer Soluções Em Tecnologia Ltda")</f>
        <v>Consumer Soluções Em Tecnologia Ltda</v>
      </c>
      <c r="T1325" s="33">
        <f>IFERROR(__xludf.DUMMYFUNCTION("""COMPUTED_VALUE"""),0.3333333333333333)</f>
        <v>0.3333333333</v>
      </c>
      <c r="U1325" s="4" t="str">
        <f>IFERROR(__xludf.DUMMYFUNCTION("""COMPUTED_VALUE"""),"Consumer Soluções Em Tecnologia Ltda")</f>
        <v>Consumer Soluções Em Tecnologia Ltda</v>
      </c>
      <c r="V1325" s="33">
        <f>IFERROR(__xludf.DUMMYFUNCTION("""COMPUTED_VALUE"""),0.3333333333333333)</f>
        <v>0.3333333333</v>
      </c>
      <c r="W1325" s="4" t="str">
        <f>IFERROR(__xludf.DUMMYFUNCTION("""COMPUTED_VALUE"""),"Consumer Soluções Em Tecnologia Ltda")</f>
        <v>Consumer Soluções Em Tecnologia Ltda</v>
      </c>
      <c r="X1325" s="33">
        <f>IFERROR(__xludf.DUMMYFUNCTION("""COMPUTED_VALUE"""),0.3333333333333333)</f>
        <v>0.3333333333</v>
      </c>
    </row>
    <row r="1326">
      <c r="K1326" s="4" t="str">
        <f>IFERROR(__xludf.DUMMYFUNCTION("""COMPUTED_VALUE"""),"CANDREVA BAR")</f>
        <v>CANDREVA BAR</v>
      </c>
      <c r="L1326" s="32">
        <f>IFERROR(__xludf.DUMMYFUNCTION("""COMPUTED_VALUE"""),6.0)</f>
        <v>6</v>
      </c>
      <c r="M1326" s="4" t="str">
        <f>IFERROR(__xludf.DUMMYFUNCTION("""COMPUTED_VALUE"""),"Ncr")</f>
        <v>Ncr</v>
      </c>
      <c r="N1326" s="33">
        <f>IFERROR(__xludf.DUMMYFUNCTION("""COMPUTED_VALUE"""),1.0)</f>
        <v>1</v>
      </c>
      <c r="O1326" s="4" t="str">
        <f>IFERROR(__xludf.DUMMYFUNCTION("""COMPUTED_VALUE"""),"Ncr")</f>
        <v>Ncr</v>
      </c>
      <c r="P1326" s="33">
        <f>IFERROR(__xludf.DUMMYFUNCTION("""COMPUTED_VALUE"""),1.0)</f>
        <v>1</v>
      </c>
      <c r="Q1326" s="4" t="str">
        <f>IFERROR(__xludf.DUMMYFUNCTION("""COMPUTED_VALUE"""),"Ncr")</f>
        <v>Ncr</v>
      </c>
      <c r="R1326" s="33">
        <f>IFERROR(__xludf.DUMMYFUNCTION("""COMPUTED_VALUE"""),0.8333333333333334)</f>
        <v>0.8333333333</v>
      </c>
      <c r="S1326" s="4" t="str">
        <f>IFERROR(__xludf.DUMMYFUNCTION("""COMPUTED_VALUE"""),"Ncr")</f>
        <v>Ncr</v>
      </c>
      <c r="T1326" s="33">
        <f>IFERROR(__xludf.DUMMYFUNCTION("""COMPUTED_VALUE"""),0.6666666666666666)</f>
        <v>0.6666666667</v>
      </c>
      <c r="U1326" s="4" t="str">
        <f>IFERROR(__xludf.DUMMYFUNCTION("""COMPUTED_VALUE"""),"Ncr")</f>
        <v>Ncr</v>
      </c>
      <c r="V1326" s="33">
        <f>IFERROR(__xludf.DUMMYFUNCTION("""COMPUTED_VALUE"""),0.8333333333333334)</f>
        <v>0.8333333333</v>
      </c>
      <c r="W1326" s="4" t="str">
        <f>IFERROR(__xludf.DUMMYFUNCTION("""COMPUTED_VALUE"""),"Ncr")</f>
        <v>Ncr</v>
      </c>
      <c r="X1326" s="33">
        <f>IFERROR(__xludf.DUMMYFUNCTION("""COMPUTED_VALUE"""),0.6666666666666666)</f>
        <v>0.6666666667</v>
      </c>
    </row>
    <row r="1327">
      <c r="K1327" s="4" t="str">
        <f>IFERROR(__xludf.DUMMYFUNCTION("""COMPUTED_VALUE"""),"CAPITAO HAMBURGUERIA")</f>
        <v>CAPITAO HAMBURGUERIA</v>
      </c>
      <c r="L1327" s="32">
        <f>IFERROR(__xludf.DUMMYFUNCTION("""COMPUTED_VALUE"""),6.0)</f>
        <v>6</v>
      </c>
      <c r="M1327" s="4" t="str">
        <f>IFERROR(__xludf.DUMMYFUNCTION("""COMPUTED_VALUE"""),"Cainelli Automação Comercial")</f>
        <v>Cainelli Automação Comercial</v>
      </c>
      <c r="N1327" s="33">
        <f>IFERROR(__xludf.DUMMYFUNCTION("""COMPUTED_VALUE"""),0.6666666666666666)</f>
        <v>0.6666666667</v>
      </c>
      <c r="O1327" s="4" t="str">
        <f>IFERROR(__xludf.DUMMYFUNCTION("""COMPUTED_VALUE"""),"Cainelli Automação Comercial")</f>
        <v>Cainelli Automação Comercial</v>
      </c>
      <c r="P1327" s="33">
        <f>IFERROR(__xludf.DUMMYFUNCTION("""COMPUTED_VALUE"""),0.6666666666666666)</f>
        <v>0.6666666667</v>
      </c>
      <c r="Q1327" s="4" t="str">
        <f>IFERROR(__xludf.DUMMYFUNCTION("""COMPUTED_VALUE"""),"Cainelli Automação Comercial")</f>
        <v>Cainelli Automação Comercial</v>
      </c>
      <c r="R1327" s="33">
        <f>IFERROR(__xludf.DUMMYFUNCTION("""COMPUTED_VALUE"""),0.6666666666666666)</f>
        <v>0.6666666667</v>
      </c>
      <c r="S1327" s="4" t="str">
        <f>IFERROR(__xludf.DUMMYFUNCTION("""COMPUTED_VALUE"""),"Cainelli Automação Comercial")</f>
        <v>Cainelli Automação Comercial</v>
      </c>
      <c r="T1327" s="33">
        <f>IFERROR(__xludf.DUMMYFUNCTION("""COMPUTED_VALUE"""),0.3333333333333333)</f>
        <v>0.3333333333</v>
      </c>
      <c r="U1327" s="4" t="str">
        <f>IFERROR(__xludf.DUMMYFUNCTION("""COMPUTED_VALUE"""),"Saipos Serviços De Software")</f>
        <v>Saipos Serviços De Software</v>
      </c>
      <c r="V1327" s="33">
        <f>IFERROR(__xludf.DUMMYFUNCTION("""COMPUTED_VALUE"""),0.8333333333333334)</f>
        <v>0.8333333333</v>
      </c>
      <c r="W1327" s="4" t="str">
        <f>IFERROR(__xludf.DUMMYFUNCTION("""COMPUTED_VALUE"""),"Saipos Serviços De Software")</f>
        <v>Saipos Serviços De Software</v>
      </c>
      <c r="X1327" s="33">
        <f>IFERROR(__xludf.DUMMYFUNCTION("""COMPUTED_VALUE"""),0.8333333333333334)</f>
        <v>0.8333333333</v>
      </c>
    </row>
    <row r="1328">
      <c r="K1328" s="4" t="str">
        <f>IFERROR(__xludf.DUMMYFUNCTION("""COMPUTED_VALUE"""),"CAPRESE PIZZA - CONTA PAI - OFICIAL")</f>
        <v>CAPRESE PIZZA - CONTA PAI - OFICIAL</v>
      </c>
      <c r="L1328" s="32">
        <f>IFERROR(__xludf.DUMMYFUNCTION("""COMPUTED_VALUE"""),6.0)</f>
        <v>6</v>
      </c>
      <c r="M1328" s="4" t="str">
        <f>IFERROR(__xludf.DUMMYFUNCTION("""COMPUTED_VALUE"""),"Saipos Serviços De Software")</f>
        <v>Saipos Serviços De Software</v>
      </c>
      <c r="N1328" s="33">
        <f>IFERROR(__xludf.DUMMYFUNCTION("""COMPUTED_VALUE"""),0.6666666666666666)</f>
        <v>0.6666666667</v>
      </c>
      <c r="O1328" s="4" t="str">
        <f>IFERROR(__xludf.DUMMYFUNCTION("""COMPUTED_VALUE"""),"Saipos Serviços De Software")</f>
        <v>Saipos Serviços De Software</v>
      </c>
      <c r="P1328" s="33">
        <f>IFERROR(__xludf.DUMMYFUNCTION("""COMPUTED_VALUE"""),0.6666666666666666)</f>
        <v>0.6666666667</v>
      </c>
      <c r="Q1328" s="4" t="str">
        <f>IFERROR(__xludf.DUMMYFUNCTION("""COMPUTED_VALUE"""),"Saipos Serviços De Software")</f>
        <v>Saipos Serviços De Software</v>
      </c>
      <c r="R1328" s="33">
        <f>IFERROR(__xludf.DUMMYFUNCTION("""COMPUTED_VALUE"""),0.6666666666666666)</f>
        <v>0.6666666667</v>
      </c>
      <c r="S1328" s="4" t="str">
        <f>IFERROR(__xludf.DUMMYFUNCTION("""COMPUTED_VALUE"""),"Saipos Serviços De Software")</f>
        <v>Saipos Serviços De Software</v>
      </c>
      <c r="T1328" s="33">
        <f>IFERROR(__xludf.DUMMYFUNCTION("""COMPUTED_VALUE"""),0.6666666666666666)</f>
        <v>0.6666666667</v>
      </c>
      <c r="U1328" s="4" t="str">
        <f>IFERROR(__xludf.DUMMYFUNCTION("""COMPUTED_VALUE"""),"Saipos Serviços De Software")</f>
        <v>Saipos Serviços De Software</v>
      </c>
      <c r="V1328" s="33">
        <f>IFERROR(__xludf.DUMMYFUNCTION("""COMPUTED_VALUE"""),0.6666666666666666)</f>
        <v>0.6666666667</v>
      </c>
      <c r="W1328" s="4" t="str">
        <f>IFERROR(__xludf.DUMMYFUNCTION("""COMPUTED_VALUE"""),"Saipos Serviços De Software")</f>
        <v>Saipos Serviços De Software</v>
      </c>
      <c r="X1328" s="33">
        <f>IFERROR(__xludf.DUMMYFUNCTION("""COMPUTED_VALUE"""),0.6666666666666666)</f>
        <v>0.6666666667</v>
      </c>
    </row>
    <row r="1329">
      <c r="K1329" s="4" t="str">
        <f>IFERROR(__xludf.DUMMYFUNCTION("""COMPUTED_VALUE"""),"CARECA")</f>
        <v>CARECA</v>
      </c>
      <c r="L1329" s="32">
        <f>IFERROR(__xludf.DUMMYFUNCTION("""COMPUTED_VALUE"""),6.0)</f>
        <v>6</v>
      </c>
      <c r="M1329" s="4" t="str">
        <f>IFERROR(__xludf.DUMMYFUNCTION("""COMPUTED_VALUE"""),"Cardápio Web")</f>
        <v>Cardápio Web</v>
      </c>
      <c r="N1329" s="33">
        <f>IFERROR(__xludf.DUMMYFUNCTION("""COMPUTED_VALUE"""),0.5)</f>
        <v>0.5</v>
      </c>
      <c r="O1329" s="4" t="str">
        <f>IFERROR(__xludf.DUMMYFUNCTION("""COMPUTED_VALUE"""),"Cardápio Web")</f>
        <v>Cardápio Web</v>
      </c>
      <c r="P1329" s="33">
        <f>IFERROR(__xludf.DUMMYFUNCTION("""COMPUTED_VALUE"""),0.5)</f>
        <v>0.5</v>
      </c>
      <c r="Q1329" s="4" t="str">
        <f>IFERROR(__xludf.DUMMYFUNCTION("""COMPUTED_VALUE"""),"Cardápio Web")</f>
        <v>Cardápio Web</v>
      </c>
      <c r="R1329" s="33">
        <f>IFERROR(__xludf.DUMMYFUNCTION("""COMPUTED_VALUE"""),0.5)</f>
        <v>0.5</v>
      </c>
      <c r="S1329" s="4" t="str">
        <f>IFERROR(__xludf.DUMMYFUNCTION("""COMPUTED_VALUE"""),"Cardápio Web")</f>
        <v>Cardápio Web</v>
      </c>
      <c r="T1329" s="33">
        <f>IFERROR(__xludf.DUMMYFUNCTION("""COMPUTED_VALUE"""),0.5)</f>
        <v>0.5</v>
      </c>
      <c r="U1329" s="4" t="str">
        <f>IFERROR(__xludf.DUMMYFUNCTION("""COMPUTED_VALUE"""),"Cardápio Web")</f>
        <v>Cardápio Web</v>
      </c>
      <c r="V1329" s="33">
        <f>IFERROR(__xludf.DUMMYFUNCTION("""COMPUTED_VALUE"""),0.5)</f>
        <v>0.5</v>
      </c>
      <c r="W1329" s="4" t="str">
        <f>IFERROR(__xludf.DUMMYFUNCTION("""COMPUTED_VALUE"""),"Cardápio Web")</f>
        <v>Cardápio Web</v>
      </c>
      <c r="X1329" s="33">
        <f>IFERROR(__xludf.DUMMYFUNCTION("""COMPUTED_VALUE"""),0.5)</f>
        <v>0.5</v>
      </c>
    </row>
    <row r="1330">
      <c r="K1330" s="4" t="str">
        <f>IFERROR(__xludf.DUMMYFUNCTION("""COMPUTED_VALUE"""),"CARNEIRO DO ORDONES - CONTA MARCA")</f>
        <v>CARNEIRO DO ORDONES - CONTA MARCA</v>
      </c>
      <c r="L1330" s="32">
        <f>IFERROR(__xludf.DUMMYFUNCTION("""COMPUTED_VALUE"""),6.0)</f>
        <v>6</v>
      </c>
      <c r="M1330" s="4" t="str">
        <f>IFERROR(__xludf.DUMMYFUNCTION("""COMPUTED_VALUE"""),"Solução Sistemas")</f>
        <v>Solução Sistemas</v>
      </c>
      <c r="N1330" s="33">
        <f>IFERROR(__xludf.DUMMYFUNCTION("""COMPUTED_VALUE"""),0.8333333333333334)</f>
        <v>0.8333333333</v>
      </c>
      <c r="O1330" s="4" t="str">
        <f>IFERROR(__xludf.DUMMYFUNCTION("""COMPUTED_VALUE"""),"Solução Sistemas")</f>
        <v>Solução Sistemas</v>
      </c>
      <c r="P1330" s="33">
        <f>IFERROR(__xludf.DUMMYFUNCTION("""COMPUTED_VALUE"""),0.6666666666666666)</f>
        <v>0.6666666667</v>
      </c>
      <c r="Q1330" s="4" t="str">
        <f>IFERROR(__xludf.DUMMYFUNCTION("""COMPUTED_VALUE"""),"null")</f>
        <v>null</v>
      </c>
      <c r="R1330" s="33">
        <f>IFERROR(__xludf.DUMMYFUNCTION("""COMPUTED_VALUE"""),0.5)</f>
        <v>0.5</v>
      </c>
      <c r="S1330" s="4" t="str">
        <f>IFERROR(__xludf.DUMMYFUNCTION("""COMPUTED_VALUE"""),"Solução Sistemas")</f>
        <v>Solução Sistemas</v>
      </c>
      <c r="T1330" s="33">
        <f>IFERROR(__xludf.DUMMYFUNCTION("""COMPUTED_VALUE"""),0.5)</f>
        <v>0.5</v>
      </c>
      <c r="U1330" s="4" t="str">
        <f>IFERROR(__xludf.DUMMYFUNCTION("""COMPUTED_VALUE"""),"Solução Sistemas")</f>
        <v>Solução Sistemas</v>
      </c>
      <c r="V1330" s="33">
        <f>IFERROR(__xludf.DUMMYFUNCTION("""COMPUTED_VALUE"""),0.5)</f>
        <v>0.5</v>
      </c>
      <c r="W1330" s="4" t="str">
        <f>IFERROR(__xludf.DUMMYFUNCTION("""COMPUTED_VALUE"""),"null")</f>
        <v>null</v>
      </c>
      <c r="X1330" s="33">
        <f>IFERROR(__xludf.DUMMYFUNCTION("""COMPUTED_VALUE"""),0.3333333333333333)</f>
        <v>0.3333333333</v>
      </c>
    </row>
    <row r="1331">
      <c r="K1331" s="4" t="str">
        <f>IFERROR(__xludf.DUMMYFUNCTION("""COMPUTED_VALUE"""),"CAROLLA PIZZA DOC")</f>
        <v>CAROLLA PIZZA DOC</v>
      </c>
      <c r="L1331" s="32">
        <f>IFERROR(__xludf.DUMMYFUNCTION("""COMPUTED_VALUE"""),6.0)</f>
        <v>6</v>
      </c>
      <c r="M1331" s="4" t="str">
        <f>IFERROR(__xludf.DUMMYFUNCTION("""COMPUTED_VALUE"""),"null")</f>
        <v>null</v>
      </c>
      <c r="N1331" s="33">
        <f>IFERROR(__xludf.DUMMYFUNCTION("""COMPUTED_VALUE"""),0.3333333333333333)</f>
        <v>0.3333333333</v>
      </c>
      <c r="O1331" s="4" t="str">
        <f>IFERROR(__xludf.DUMMYFUNCTION("""COMPUTED_VALUE"""),"Cloudfy")</f>
        <v>Cloudfy</v>
      </c>
      <c r="P1331" s="33">
        <f>IFERROR(__xludf.DUMMYFUNCTION("""COMPUTED_VALUE"""),0.5)</f>
        <v>0.5</v>
      </c>
      <c r="Q1331" s="4" t="str">
        <f>IFERROR(__xludf.DUMMYFUNCTION("""COMPUTED_VALUE"""),"Cloudfy")</f>
        <v>Cloudfy</v>
      </c>
      <c r="R1331" s="33">
        <f>IFERROR(__xludf.DUMMYFUNCTION("""COMPUTED_VALUE"""),0.5)</f>
        <v>0.5</v>
      </c>
      <c r="S1331" s="4" t="str">
        <f>IFERROR(__xludf.DUMMYFUNCTION("""COMPUTED_VALUE"""),"Ncr")</f>
        <v>Ncr</v>
      </c>
      <c r="T1331" s="33">
        <f>IFERROR(__xludf.DUMMYFUNCTION("""COMPUTED_VALUE"""),0.5)</f>
        <v>0.5</v>
      </c>
      <c r="U1331" s="4" t="str">
        <f>IFERROR(__xludf.DUMMYFUNCTION("""COMPUTED_VALUE"""),"Cloudfy")</f>
        <v>Cloudfy</v>
      </c>
      <c r="V1331" s="33">
        <f>IFERROR(__xludf.DUMMYFUNCTION("""COMPUTED_VALUE"""),0.5)</f>
        <v>0.5</v>
      </c>
      <c r="W1331" s="4" t="str">
        <f>IFERROR(__xludf.DUMMYFUNCTION("""COMPUTED_VALUE"""),"Cloudfy")</f>
        <v>Cloudfy</v>
      </c>
      <c r="X1331" s="33">
        <f>IFERROR(__xludf.DUMMYFUNCTION("""COMPUTED_VALUE"""),0.5)</f>
        <v>0.5</v>
      </c>
    </row>
    <row r="1332">
      <c r="K1332" s="4" t="str">
        <f>IFERROR(__xludf.DUMMYFUNCTION("""COMPUTED_VALUE"""),"CASA DA ESFIHA- CULINARIA ARABE")</f>
        <v>CASA DA ESFIHA- CULINARIA ARABE</v>
      </c>
      <c r="L1332" s="32">
        <f>IFERROR(__xludf.DUMMYFUNCTION("""COMPUTED_VALUE"""),6.0)</f>
        <v>6</v>
      </c>
      <c r="M1332" s="4" t="str">
        <f>IFERROR(__xludf.DUMMYFUNCTION("""COMPUTED_VALUE"""),"Ncr")</f>
        <v>Ncr</v>
      </c>
      <c r="N1332" s="33">
        <f>IFERROR(__xludf.DUMMYFUNCTION("""COMPUTED_VALUE"""),0.5)</f>
        <v>0.5</v>
      </c>
      <c r="O1332" s="4" t="str">
        <f>IFERROR(__xludf.DUMMYFUNCTION("""COMPUTED_VALUE"""),"Ncr")</f>
        <v>Ncr</v>
      </c>
      <c r="P1332" s="33">
        <f>IFERROR(__xludf.DUMMYFUNCTION("""COMPUTED_VALUE"""),0.5)</f>
        <v>0.5</v>
      </c>
      <c r="Q1332" s="4" t="str">
        <f>IFERROR(__xludf.DUMMYFUNCTION("""COMPUTED_VALUE"""),"Ncr")</f>
        <v>Ncr</v>
      </c>
      <c r="R1332" s="33">
        <f>IFERROR(__xludf.DUMMYFUNCTION("""COMPUTED_VALUE"""),0.5)</f>
        <v>0.5</v>
      </c>
      <c r="S1332" s="4" t="str">
        <f>IFERROR(__xludf.DUMMYFUNCTION("""COMPUTED_VALUE"""),"Ncr")</f>
        <v>Ncr</v>
      </c>
      <c r="T1332" s="33">
        <f>IFERROR(__xludf.DUMMYFUNCTION("""COMPUTED_VALUE"""),0.6666666666666666)</f>
        <v>0.6666666667</v>
      </c>
      <c r="U1332" s="4" t="str">
        <f>IFERROR(__xludf.DUMMYFUNCTION("""COMPUTED_VALUE"""),"Ncr")</f>
        <v>Ncr</v>
      </c>
      <c r="V1332" s="33">
        <f>IFERROR(__xludf.DUMMYFUNCTION("""COMPUTED_VALUE"""),0.6666666666666666)</f>
        <v>0.6666666667</v>
      </c>
      <c r="W1332" s="4" t="str">
        <f>IFERROR(__xludf.DUMMYFUNCTION("""COMPUTED_VALUE"""),"Ncr")</f>
        <v>Ncr</v>
      </c>
      <c r="X1332" s="33">
        <f>IFERROR(__xludf.DUMMYFUNCTION("""COMPUTED_VALUE"""),0.6666666666666666)</f>
        <v>0.6666666667</v>
      </c>
    </row>
    <row r="1333">
      <c r="K1333" s="4" t="str">
        <f>IFERROR(__xludf.DUMMYFUNCTION("""COMPUTED_VALUE"""),"CASERATTO - GRUPO")</f>
        <v>CASERATTO - GRUPO</v>
      </c>
      <c r="L1333" s="32">
        <f>IFERROR(__xludf.DUMMYFUNCTION("""COMPUTED_VALUE"""),6.0)</f>
        <v>6</v>
      </c>
      <c r="M1333" s="4" t="str">
        <f>IFERROR(__xludf.DUMMYFUNCTION("""COMPUTED_VALUE"""),"null")</f>
        <v>null</v>
      </c>
      <c r="N1333" s="33">
        <f>IFERROR(__xludf.DUMMYFUNCTION("""COMPUTED_VALUE"""),0.9)</f>
        <v>0.9</v>
      </c>
      <c r="O1333" s="4" t="str">
        <f>IFERROR(__xludf.DUMMYFUNCTION("""COMPUTED_VALUE"""),"Vuca Solution")</f>
        <v>Vuca Solution</v>
      </c>
      <c r="P1333" s="33">
        <f>IFERROR(__xludf.DUMMYFUNCTION("""COMPUTED_VALUE"""),0.8)</f>
        <v>0.8</v>
      </c>
      <c r="Q1333" s="4" t="str">
        <f>IFERROR(__xludf.DUMMYFUNCTION("""COMPUTED_VALUE"""),"Vuca Solution")</f>
        <v>Vuca Solution</v>
      </c>
      <c r="R1333" s="33">
        <f>IFERROR(__xludf.DUMMYFUNCTION("""COMPUTED_VALUE"""),0.8)</f>
        <v>0.8</v>
      </c>
      <c r="S1333" s="4" t="str">
        <f>IFERROR(__xludf.DUMMYFUNCTION("""COMPUTED_VALUE"""),"Vuca Solution")</f>
        <v>Vuca Solution</v>
      </c>
      <c r="T1333" s="33">
        <f>IFERROR(__xludf.DUMMYFUNCTION("""COMPUTED_VALUE"""),0.8)</f>
        <v>0.8</v>
      </c>
      <c r="U1333" s="4" t="str">
        <f>IFERROR(__xludf.DUMMYFUNCTION("""COMPUTED_VALUE"""),"Vuca Solution")</f>
        <v>Vuca Solution</v>
      </c>
      <c r="V1333" s="33">
        <f>IFERROR(__xludf.DUMMYFUNCTION("""COMPUTED_VALUE"""),0.9)</f>
        <v>0.9</v>
      </c>
      <c r="W1333" s="4" t="str">
        <f>IFERROR(__xludf.DUMMYFUNCTION("""COMPUTED_VALUE"""),"Vuca Solution")</f>
        <v>Vuca Solution</v>
      </c>
      <c r="X1333" s="33">
        <f>IFERROR(__xludf.DUMMYFUNCTION("""COMPUTED_VALUE"""),0.9)</f>
        <v>0.9</v>
      </c>
    </row>
    <row r="1334">
      <c r="K1334" s="4" t="str">
        <f>IFERROR(__xludf.DUMMYFUNCTION("""COMPUTED_VALUE"""),"CATERETE BAR E RESTAURANTE")</f>
        <v>CATERETE BAR E RESTAURANTE</v>
      </c>
      <c r="L1334" s="32">
        <f>IFERROR(__xludf.DUMMYFUNCTION("""COMPUTED_VALUE"""),6.0)</f>
        <v>6</v>
      </c>
      <c r="M1334" s="4" t="str">
        <f>IFERROR(__xludf.DUMMYFUNCTION("""COMPUTED_VALUE"""),"Fire Sistemas")</f>
        <v>Fire Sistemas</v>
      </c>
      <c r="N1334" s="33">
        <f>IFERROR(__xludf.DUMMYFUNCTION("""COMPUTED_VALUE"""),1.0)</f>
        <v>1</v>
      </c>
      <c r="O1334" s="4" t="str">
        <f>IFERROR(__xludf.DUMMYFUNCTION("""COMPUTED_VALUE"""),"Fire Sistemas")</f>
        <v>Fire Sistemas</v>
      </c>
      <c r="P1334" s="33">
        <f>IFERROR(__xludf.DUMMYFUNCTION("""COMPUTED_VALUE"""),1.0)</f>
        <v>1</v>
      </c>
      <c r="Q1334" s="4" t="str">
        <f>IFERROR(__xludf.DUMMYFUNCTION("""COMPUTED_VALUE"""),"Fire Sistemas")</f>
        <v>Fire Sistemas</v>
      </c>
      <c r="R1334" s="33">
        <f>IFERROR(__xludf.DUMMYFUNCTION("""COMPUTED_VALUE"""),1.0)</f>
        <v>1</v>
      </c>
      <c r="S1334" s="4" t="str">
        <f>IFERROR(__xludf.DUMMYFUNCTION("""COMPUTED_VALUE"""),"Fire Sistemas")</f>
        <v>Fire Sistemas</v>
      </c>
      <c r="T1334" s="33">
        <f>IFERROR(__xludf.DUMMYFUNCTION("""COMPUTED_VALUE"""),1.0)</f>
        <v>1</v>
      </c>
      <c r="U1334" s="4" t="str">
        <f>IFERROR(__xludf.DUMMYFUNCTION("""COMPUTED_VALUE"""),"Fire Sistemas")</f>
        <v>Fire Sistemas</v>
      </c>
      <c r="V1334" s="33">
        <f>IFERROR(__xludf.DUMMYFUNCTION("""COMPUTED_VALUE"""),1.0)</f>
        <v>1</v>
      </c>
      <c r="W1334" s="4" t="str">
        <f>IFERROR(__xludf.DUMMYFUNCTION("""COMPUTED_VALUE"""),"Fire Sistemas")</f>
        <v>Fire Sistemas</v>
      </c>
      <c r="X1334" s="33">
        <f>IFERROR(__xludf.DUMMYFUNCTION("""COMPUTED_VALUE"""),1.0)</f>
        <v>1</v>
      </c>
    </row>
    <row r="1335">
      <c r="K1335" s="4" t="str">
        <f>IFERROR(__xludf.DUMMYFUNCTION("""COMPUTED_VALUE"""),"CENTER SHOP - CONTA PAI")</f>
        <v>CENTER SHOP - CONTA PAI</v>
      </c>
      <c r="L1335" s="32">
        <f>IFERROR(__xludf.DUMMYFUNCTION("""COMPUTED_VALUE"""),6.0)</f>
        <v>6</v>
      </c>
      <c r="M1335" s="4" t="str">
        <f>IFERROR(__xludf.DUMMYFUNCTION("""COMPUTED_VALUE"""),"N/A (Not found)")</f>
        <v>N/A (Not found)</v>
      </c>
      <c r="N1335" s="33">
        <f>IFERROR(__xludf.DUMMYFUNCTION("""COMPUTED_VALUE"""),1.0)</f>
        <v>1</v>
      </c>
      <c r="O1335" s="4" t="str">
        <f>IFERROR(__xludf.DUMMYFUNCTION("""COMPUTED_VALUE"""),"N/A (Not found)")</f>
        <v>N/A (Not found)</v>
      </c>
      <c r="P1335" s="33">
        <f>IFERROR(__xludf.DUMMYFUNCTION("""COMPUTED_VALUE"""),0.8333333333333334)</f>
        <v>0.8333333333</v>
      </c>
      <c r="Q1335" s="4" t="str">
        <f>IFERROR(__xludf.DUMMYFUNCTION("""COMPUTED_VALUE"""),"N/A (Not found)")</f>
        <v>N/A (Not found)</v>
      </c>
      <c r="R1335" s="33">
        <f>IFERROR(__xludf.DUMMYFUNCTION("""COMPUTED_VALUE"""),0.8333333333333334)</f>
        <v>0.8333333333</v>
      </c>
      <c r="S1335" s="4" t="str">
        <f>IFERROR(__xludf.DUMMYFUNCTION("""COMPUTED_VALUE"""),"N/A (Not found)")</f>
        <v>N/A (Not found)</v>
      </c>
      <c r="T1335" s="33">
        <f>IFERROR(__xludf.DUMMYFUNCTION("""COMPUTED_VALUE"""),0.8333333333333334)</f>
        <v>0.8333333333</v>
      </c>
      <c r="U1335" s="4" t="str">
        <f>IFERROR(__xludf.DUMMYFUNCTION("""COMPUTED_VALUE"""),"N/A (Not found)")</f>
        <v>N/A (Not found)</v>
      </c>
      <c r="V1335" s="33">
        <f>IFERROR(__xludf.DUMMYFUNCTION("""COMPUTED_VALUE"""),0.8333333333333334)</f>
        <v>0.8333333333</v>
      </c>
      <c r="W1335" s="4" t="str">
        <f>IFERROR(__xludf.DUMMYFUNCTION("""COMPUTED_VALUE"""),"N/A (Not found)")</f>
        <v>N/A (Not found)</v>
      </c>
      <c r="X1335" s="33">
        <f>IFERROR(__xludf.DUMMYFUNCTION("""COMPUTED_VALUE"""),0.8333333333333334)</f>
        <v>0.8333333333</v>
      </c>
    </row>
    <row r="1336">
      <c r="K1336" s="4" t="str">
        <f>IFERROR(__xludf.DUMMYFUNCTION("""COMPUTED_VALUE"""),"CHOPP TIME")</f>
        <v>CHOPP TIME</v>
      </c>
      <c r="L1336" s="32">
        <f>IFERROR(__xludf.DUMMYFUNCTION("""COMPUTED_VALUE"""),6.0)</f>
        <v>6</v>
      </c>
      <c r="M1336" s="4" t="str">
        <f>IFERROR(__xludf.DUMMYFUNCTION("""COMPUTED_VALUE"""),"Swfast Sistemas")</f>
        <v>Swfast Sistemas</v>
      </c>
      <c r="N1336" s="33">
        <f>IFERROR(__xludf.DUMMYFUNCTION("""COMPUTED_VALUE"""),0.5)</f>
        <v>0.5</v>
      </c>
      <c r="O1336" s="4" t="str">
        <f>IFERROR(__xludf.DUMMYFUNCTION("""COMPUTED_VALUE"""),"Swfast Sistemas")</f>
        <v>Swfast Sistemas</v>
      </c>
      <c r="P1336" s="33">
        <f>IFERROR(__xludf.DUMMYFUNCTION("""COMPUTED_VALUE"""),0.5)</f>
        <v>0.5</v>
      </c>
      <c r="Q1336" s="4" t="str">
        <f>IFERROR(__xludf.DUMMYFUNCTION("""COMPUTED_VALUE"""),"Swfast Sistemas")</f>
        <v>Swfast Sistemas</v>
      </c>
      <c r="R1336" s="33">
        <f>IFERROR(__xludf.DUMMYFUNCTION("""COMPUTED_VALUE"""),0.5)</f>
        <v>0.5</v>
      </c>
      <c r="S1336" s="4" t="str">
        <f>IFERROR(__xludf.DUMMYFUNCTION("""COMPUTED_VALUE"""),"Swfast Sistemas")</f>
        <v>Swfast Sistemas</v>
      </c>
      <c r="T1336" s="33">
        <f>IFERROR(__xludf.DUMMYFUNCTION("""COMPUTED_VALUE"""),0.5)</f>
        <v>0.5</v>
      </c>
      <c r="U1336" s="4" t="str">
        <f>IFERROR(__xludf.DUMMYFUNCTION("""COMPUTED_VALUE"""),"Swfast Sistemas")</f>
        <v>Swfast Sistemas</v>
      </c>
      <c r="V1336" s="33">
        <f>IFERROR(__xludf.DUMMYFUNCTION("""COMPUTED_VALUE"""),0.5)</f>
        <v>0.5</v>
      </c>
      <c r="W1336" s="4" t="str">
        <f>IFERROR(__xludf.DUMMYFUNCTION("""COMPUTED_VALUE"""),"Swfast Sistemas")</f>
        <v>Swfast Sistemas</v>
      </c>
      <c r="X1336" s="33">
        <f>IFERROR(__xludf.DUMMYFUNCTION("""COMPUTED_VALUE"""),0.5)</f>
        <v>0.5</v>
      </c>
    </row>
    <row r="1337">
      <c r="K1337" s="4" t="str">
        <f>IFERROR(__xludf.DUMMYFUNCTION("""COMPUTED_VALUE"""),"CONECTA KITCHEN")</f>
        <v>CONECTA KITCHEN</v>
      </c>
      <c r="L1337" s="32">
        <f>IFERROR(__xludf.DUMMYFUNCTION("""COMPUTED_VALUE"""),6.0)</f>
        <v>6</v>
      </c>
      <c r="M1337" s="4" t="str">
        <f>IFERROR(__xludf.DUMMYFUNCTION("""COMPUTED_VALUE"""),"null")</f>
        <v>null</v>
      </c>
      <c r="N1337" s="33">
        <f>IFERROR(__xludf.DUMMYFUNCTION("""COMPUTED_VALUE"""),0.6666666666666666)</f>
        <v>0.6666666667</v>
      </c>
      <c r="O1337" s="4" t="str">
        <f>IFERROR(__xludf.DUMMYFUNCTION("""COMPUTED_VALUE"""),"null")</f>
        <v>null</v>
      </c>
      <c r="P1337" s="33">
        <f>IFERROR(__xludf.DUMMYFUNCTION("""COMPUTED_VALUE"""),0.5)</f>
        <v>0.5</v>
      </c>
      <c r="Q1337" s="4" t="str">
        <f>IFERROR(__xludf.DUMMYFUNCTION("""COMPUTED_VALUE"""),"Saipos Serviços De Software")</f>
        <v>Saipos Serviços De Software</v>
      </c>
      <c r="R1337" s="33">
        <f>IFERROR(__xludf.DUMMYFUNCTION("""COMPUTED_VALUE"""),0.5)</f>
        <v>0.5</v>
      </c>
      <c r="S1337" s="4" t="str">
        <f>IFERROR(__xludf.DUMMYFUNCTION("""COMPUTED_VALUE"""),"Saipos Serviços De Software")</f>
        <v>Saipos Serviços De Software</v>
      </c>
      <c r="T1337" s="33">
        <f>IFERROR(__xludf.DUMMYFUNCTION("""COMPUTED_VALUE"""),0.5)</f>
        <v>0.5</v>
      </c>
      <c r="U1337" s="4" t="str">
        <f>IFERROR(__xludf.DUMMYFUNCTION("""COMPUTED_VALUE"""),"Saipos Serviços De Software")</f>
        <v>Saipos Serviços De Software</v>
      </c>
      <c r="V1337" s="33">
        <f>IFERROR(__xludf.DUMMYFUNCTION("""COMPUTED_VALUE"""),0.5)</f>
        <v>0.5</v>
      </c>
      <c r="W1337" s="4" t="str">
        <f>IFERROR(__xludf.DUMMYFUNCTION("""COMPUTED_VALUE"""),"Saipos Serviços De Software")</f>
        <v>Saipos Serviços De Software</v>
      </c>
      <c r="X1337" s="33">
        <f>IFERROR(__xludf.DUMMYFUNCTION("""COMPUTED_VALUE"""),0.5)</f>
        <v>0.5</v>
      </c>
    </row>
    <row r="1338">
      <c r="K1338" s="4" t="str">
        <f>IFERROR(__xludf.DUMMYFUNCTION("""COMPUTED_VALUE"""),"CONTA PAI - REDE MELHOR FARMACIAS SAUVEL")</f>
        <v>CONTA PAI - REDE MELHOR FARMACIAS SAUVEL</v>
      </c>
      <c r="L1338" s="32">
        <f>IFERROR(__xludf.DUMMYFUNCTION("""COMPUTED_VALUE"""),6.0)</f>
        <v>6</v>
      </c>
      <c r="M1338" s="4" t="str">
        <f>IFERROR(__xludf.DUMMYFUNCTION("""COMPUTED_VALUE"""),"N/A (Not found)")</f>
        <v>N/A (Not found)</v>
      </c>
      <c r="N1338" s="33">
        <f>IFERROR(__xludf.DUMMYFUNCTION("""COMPUTED_VALUE"""),1.0)</f>
        <v>1</v>
      </c>
      <c r="O1338" s="4" t="str">
        <f>IFERROR(__xludf.DUMMYFUNCTION("""COMPUTED_VALUE"""),"N/A (Not found)")</f>
        <v>N/A (Not found)</v>
      </c>
      <c r="P1338" s="33">
        <f>IFERROR(__xludf.DUMMYFUNCTION("""COMPUTED_VALUE"""),1.0)</f>
        <v>1</v>
      </c>
      <c r="Q1338" s="4" t="str">
        <f>IFERROR(__xludf.DUMMYFUNCTION("""COMPUTED_VALUE"""),"N/A (Not found)")</f>
        <v>N/A (Not found)</v>
      </c>
      <c r="R1338" s="33">
        <f>IFERROR(__xludf.DUMMYFUNCTION("""COMPUTED_VALUE"""),1.0)</f>
        <v>1</v>
      </c>
      <c r="S1338" s="4" t="str">
        <f>IFERROR(__xludf.DUMMYFUNCTION("""COMPUTED_VALUE"""),"null")</f>
        <v>null</v>
      </c>
      <c r="T1338" s="33">
        <f>IFERROR(__xludf.DUMMYFUNCTION("""COMPUTED_VALUE"""),0.8333333333333334)</f>
        <v>0.8333333333</v>
      </c>
      <c r="U1338" s="4" t="str">
        <f>IFERROR(__xludf.DUMMYFUNCTION("""COMPUTED_VALUE"""),"null")</f>
        <v>null</v>
      </c>
      <c r="V1338" s="33">
        <f>IFERROR(__xludf.DUMMYFUNCTION("""COMPUTED_VALUE"""),0.8333333333333334)</f>
        <v>0.8333333333</v>
      </c>
      <c r="W1338" s="4" t="str">
        <f>IFERROR(__xludf.DUMMYFUNCTION("""COMPUTED_VALUE"""),"null")</f>
        <v>null</v>
      </c>
      <c r="X1338" s="33">
        <f>IFERROR(__xludf.DUMMYFUNCTION("""COMPUTED_VALUE"""),0.8333333333333334)</f>
        <v>0.8333333333</v>
      </c>
    </row>
    <row r="1339">
      <c r="K1339" s="4" t="str">
        <f>IFERROR(__xludf.DUMMYFUNCTION("""COMPUTED_VALUE"""),"COWTELO BURGER")</f>
        <v>COWTELO BURGER</v>
      </c>
      <c r="L1339" s="32">
        <f>IFERROR(__xludf.DUMMYFUNCTION("""COMPUTED_VALUE"""),6.0)</f>
        <v>6</v>
      </c>
      <c r="M1339" s="4" t="str">
        <f>IFERROR(__xludf.DUMMYFUNCTION("""COMPUTED_VALUE"""),"Saipos Serviços De Software")</f>
        <v>Saipos Serviços De Software</v>
      </c>
      <c r="N1339" s="33">
        <f>IFERROR(__xludf.DUMMYFUNCTION("""COMPUTED_VALUE"""),1.0)</f>
        <v>1</v>
      </c>
      <c r="O1339" s="4" t="str">
        <f>IFERROR(__xludf.DUMMYFUNCTION("""COMPUTED_VALUE"""),"Saipos Serviços De Software")</f>
        <v>Saipos Serviços De Software</v>
      </c>
      <c r="P1339" s="33">
        <f>IFERROR(__xludf.DUMMYFUNCTION("""COMPUTED_VALUE"""),1.0)</f>
        <v>1</v>
      </c>
      <c r="Q1339" s="4" t="str">
        <f>IFERROR(__xludf.DUMMYFUNCTION("""COMPUTED_VALUE"""),"Saipos Serviços De Software")</f>
        <v>Saipos Serviços De Software</v>
      </c>
      <c r="R1339" s="33">
        <f>IFERROR(__xludf.DUMMYFUNCTION("""COMPUTED_VALUE"""),1.0)</f>
        <v>1</v>
      </c>
      <c r="S1339" s="4" t="str">
        <f>IFERROR(__xludf.DUMMYFUNCTION("""COMPUTED_VALUE"""),"Saipos Serviços De Software")</f>
        <v>Saipos Serviços De Software</v>
      </c>
      <c r="T1339" s="33">
        <f>IFERROR(__xludf.DUMMYFUNCTION("""COMPUTED_VALUE"""),1.0)</f>
        <v>1</v>
      </c>
      <c r="U1339" s="4" t="str">
        <f>IFERROR(__xludf.DUMMYFUNCTION("""COMPUTED_VALUE"""),"Saipos Serviços De Software")</f>
        <v>Saipos Serviços De Software</v>
      </c>
      <c r="V1339" s="33">
        <f>IFERROR(__xludf.DUMMYFUNCTION("""COMPUTED_VALUE"""),1.0)</f>
        <v>1</v>
      </c>
      <c r="W1339" s="4" t="str">
        <f>IFERROR(__xludf.DUMMYFUNCTION("""COMPUTED_VALUE"""),"Saipos Serviços De Software")</f>
        <v>Saipos Serviços De Software</v>
      </c>
      <c r="X1339" s="33">
        <f>IFERROR(__xludf.DUMMYFUNCTION("""COMPUTED_VALUE"""),0.8333333333333334)</f>
        <v>0.8333333333</v>
      </c>
    </row>
    <row r="1340">
      <c r="K1340" s="4" t="str">
        <f>IFERROR(__xludf.DUMMYFUNCTION("""COMPUTED_VALUE"""),"CRIMINAL BURGUER")</f>
        <v>CRIMINAL BURGUER</v>
      </c>
      <c r="L1340" s="32">
        <f>IFERROR(__xludf.DUMMYFUNCTION("""COMPUTED_VALUE"""),6.0)</f>
        <v>6</v>
      </c>
      <c r="M1340" s="4" t="str">
        <f>IFERROR(__xludf.DUMMYFUNCTION("""COMPUTED_VALUE"""),"Gula.menu Tecnologia Ltda.")</f>
        <v>Gula.menu Tecnologia Ltda.</v>
      </c>
      <c r="N1340" s="33">
        <f>IFERROR(__xludf.DUMMYFUNCTION("""COMPUTED_VALUE"""),1.0)</f>
        <v>1</v>
      </c>
      <c r="O1340" s="4" t="str">
        <f>IFERROR(__xludf.DUMMYFUNCTION("""COMPUTED_VALUE"""),"Gula.menu Tecnologia Ltda.")</f>
        <v>Gula.menu Tecnologia Ltda.</v>
      </c>
      <c r="P1340" s="33">
        <f>IFERROR(__xludf.DUMMYFUNCTION("""COMPUTED_VALUE"""),1.0)</f>
        <v>1</v>
      </c>
      <c r="Q1340" s="4" t="str">
        <f>IFERROR(__xludf.DUMMYFUNCTION("""COMPUTED_VALUE"""),"Gula.menu Tecnologia Ltda.")</f>
        <v>Gula.menu Tecnologia Ltda.</v>
      </c>
      <c r="R1340" s="33">
        <f>IFERROR(__xludf.DUMMYFUNCTION("""COMPUTED_VALUE"""),0.8333333333333334)</f>
        <v>0.8333333333</v>
      </c>
      <c r="S1340" s="4" t="str">
        <f>IFERROR(__xludf.DUMMYFUNCTION("""COMPUTED_VALUE"""),"Gula.menu Tecnologia Ltda.")</f>
        <v>Gula.menu Tecnologia Ltda.</v>
      </c>
      <c r="T1340" s="33">
        <f>IFERROR(__xludf.DUMMYFUNCTION("""COMPUTED_VALUE"""),0.8333333333333334)</f>
        <v>0.8333333333</v>
      </c>
      <c r="U1340" s="4" t="str">
        <f>IFERROR(__xludf.DUMMYFUNCTION("""COMPUTED_VALUE"""),"Gula.menu Tecnologia Ltda.")</f>
        <v>Gula.menu Tecnologia Ltda.</v>
      </c>
      <c r="V1340" s="33">
        <f>IFERROR(__xludf.DUMMYFUNCTION("""COMPUTED_VALUE"""),0.8333333333333334)</f>
        <v>0.8333333333</v>
      </c>
      <c r="W1340" s="4" t="str">
        <f>IFERROR(__xludf.DUMMYFUNCTION("""COMPUTED_VALUE"""),"Gula.menu Tecnologia Ltda.")</f>
        <v>Gula.menu Tecnologia Ltda.</v>
      </c>
      <c r="X1340" s="33">
        <f>IFERROR(__xludf.DUMMYFUNCTION("""COMPUTED_VALUE"""),0.8333333333333334)</f>
        <v>0.8333333333</v>
      </c>
    </row>
    <row r="1341">
      <c r="K1341" s="4" t="str">
        <f>IFERROR(__xludf.DUMMYFUNCTION("""COMPUTED_VALUE"""),"CUMBUCA")</f>
        <v>CUMBUCA</v>
      </c>
      <c r="L1341" s="32">
        <f>IFERROR(__xludf.DUMMYFUNCTION("""COMPUTED_VALUE"""),6.0)</f>
        <v>6</v>
      </c>
      <c r="M1341" s="4" t="str">
        <f>IFERROR(__xludf.DUMMYFUNCTION("""COMPUTED_VALUE"""),"Saipos Serviços De Software")</f>
        <v>Saipos Serviços De Software</v>
      </c>
      <c r="N1341" s="33">
        <f>IFERROR(__xludf.DUMMYFUNCTION("""COMPUTED_VALUE"""),0.6666666666666666)</f>
        <v>0.6666666667</v>
      </c>
      <c r="O1341" s="4" t="str">
        <f>IFERROR(__xludf.DUMMYFUNCTION("""COMPUTED_VALUE"""),"Saipos Serviços De Software")</f>
        <v>Saipos Serviços De Software</v>
      </c>
      <c r="P1341" s="33">
        <f>IFERROR(__xludf.DUMMYFUNCTION("""COMPUTED_VALUE"""),0.6666666666666666)</f>
        <v>0.6666666667</v>
      </c>
      <c r="Q1341" s="4" t="str">
        <f>IFERROR(__xludf.DUMMYFUNCTION("""COMPUTED_VALUE"""),"Saipos Serviços De Software")</f>
        <v>Saipos Serviços De Software</v>
      </c>
      <c r="R1341" s="33">
        <f>IFERROR(__xludf.DUMMYFUNCTION("""COMPUTED_VALUE"""),0.6666666666666666)</f>
        <v>0.6666666667</v>
      </c>
      <c r="S1341" s="4" t="str">
        <f>IFERROR(__xludf.DUMMYFUNCTION("""COMPUTED_VALUE"""),"Saipos Serviços De Software")</f>
        <v>Saipos Serviços De Software</v>
      </c>
      <c r="T1341" s="33">
        <f>IFERROR(__xludf.DUMMYFUNCTION("""COMPUTED_VALUE"""),0.6666666666666666)</f>
        <v>0.6666666667</v>
      </c>
      <c r="U1341" s="4" t="str">
        <f>IFERROR(__xludf.DUMMYFUNCTION("""COMPUTED_VALUE"""),"Saipos Serviços De Software")</f>
        <v>Saipos Serviços De Software</v>
      </c>
      <c r="V1341" s="33">
        <f>IFERROR(__xludf.DUMMYFUNCTION("""COMPUTED_VALUE"""),1.0)</f>
        <v>1</v>
      </c>
      <c r="W1341" s="4" t="str">
        <f>IFERROR(__xludf.DUMMYFUNCTION("""COMPUTED_VALUE"""),"Saipos Serviços De Software")</f>
        <v>Saipos Serviços De Software</v>
      </c>
      <c r="X1341" s="33">
        <f>IFERROR(__xludf.DUMMYFUNCTION("""COMPUTED_VALUE"""),1.0)</f>
        <v>1</v>
      </c>
    </row>
    <row r="1342">
      <c r="K1342" s="4" t="str">
        <f>IFERROR(__xludf.DUMMYFUNCTION("""COMPUTED_VALUE"""),"CUPIM BAR 1")</f>
        <v>CUPIM BAR 1</v>
      </c>
      <c r="L1342" s="32">
        <f>IFERROR(__xludf.DUMMYFUNCTION("""COMPUTED_VALUE"""),6.0)</f>
        <v>6</v>
      </c>
      <c r="M1342" s="4" t="str">
        <f>IFERROR(__xludf.DUMMYFUNCTION("""COMPUTED_VALUE"""),"Fire Sistemas")</f>
        <v>Fire Sistemas</v>
      </c>
      <c r="N1342" s="33">
        <f>IFERROR(__xludf.DUMMYFUNCTION("""COMPUTED_VALUE"""),0.6666666666666666)</f>
        <v>0.6666666667</v>
      </c>
      <c r="O1342" s="4" t="str">
        <f>IFERROR(__xludf.DUMMYFUNCTION("""COMPUTED_VALUE"""),"Fire Sistemas")</f>
        <v>Fire Sistemas</v>
      </c>
      <c r="P1342" s="33">
        <f>IFERROR(__xludf.DUMMYFUNCTION("""COMPUTED_VALUE"""),0.6666666666666666)</f>
        <v>0.6666666667</v>
      </c>
      <c r="Q1342" s="4" t="str">
        <f>IFERROR(__xludf.DUMMYFUNCTION("""COMPUTED_VALUE"""),"Fire Sistemas")</f>
        <v>Fire Sistemas</v>
      </c>
      <c r="R1342" s="33">
        <f>IFERROR(__xludf.DUMMYFUNCTION("""COMPUTED_VALUE"""),0.6666666666666666)</f>
        <v>0.6666666667</v>
      </c>
      <c r="S1342" s="4" t="str">
        <f>IFERROR(__xludf.DUMMYFUNCTION("""COMPUTED_VALUE"""),"Fire Sistemas")</f>
        <v>Fire Sistemas</v>
      </c>
      <c r="T1342" s="33">
        <f>IFERROR(__xludf.DUMMYFUNCTION("""COMPUTED_VALUE"""),0.6666666666666666)</f>
        <v>0.6666666667</v>
      </c>
      <c r="U1342" s="4" t="str">
        <f>IFERROR(__xludf.DUMMYFUNCTION("""COMPUTED_VALUE"""),"Fire Sistemas")</f>
        <v>Fire Sistemas</v>
      </c>
      <c r="V1342" s="33">
        <f>IFERROR(__xludf.DUMMYFUNCTION("""COMPUTED_VALUE"""),0.6666666666666666)</f>
        <v>0.6666666667</v>
      </c>
      <c r="W1342" s="4" t="str">
        <f>IFERROR(__xludf.DUMMYFUNCTION("""COMPUTED_VALUE"""),"Fire Sistemas")</f>
        <v>Fire Sistemas</v>
      </c>
      <c r="X1342" s="33">
        <f>IFERROR(__xludf.DUMMYFUNCTION("""COMPUTED_VALUE"""),0.6666666666666666)</f>
        <v>0.6666666667</v>
      </c>
    </row>
    <row r="1343">
      <c r="K1343" s="4" t="str">
        <f>IFERROR(__xludf.DUMMYFUNCTION("""COMPUTED_VALUE"""),"DIVINUS")</f>
        <v>DIVINUS</v>
      </c>
      <c r="L1343" s="32">
        <f>IFERROR(__xludf.DUMMYFUNCTION("""COMPUTED_VALUE"""),6.0)</f>
        <v>6</v>
      </c>
      <c r="M1343" s="4" t="str">
        <f>IFERROR(__xludf.DUMMYFUNCTION("""COMPUTED_VALUE"""),"Saipos Serviços De Software")</f>
        <v>Saipos Serviços De Software</v>
      </c>
      <c r="N1343" s="33">
        <f>IFERROR(__xludf.DUMMYFUNCTION("""COMPUTED_VALUE"""),1.0)</f>
        <v>1</v>
      </c>
      <c r="O1343" s="4" t="str">
        <f>IFERROR(__xludf.DUMMYFUNCTION("""COMPUTED_VALUE"""),"Saipos Serviços De Software")</f>
        <v>Saipos Serviços De Software</v>
      </c>
      <c r="P1343" s="33">
        <f>IFERROR(__xludf.DUMMYFUNCTION("""COMPUTED_VALUE"""),1.0)</f>
        <v>1</v>
      </c>
      <c r="Q1343" s="4" t="str">
        <f>IFERROR(__xludf.DUMMYFUNCTION("""COMPUTED_VALUE"""),"null")</f>
        <v>null</v>
      </c>
      <c r="R1343" s="33">
        <f>IFERROR(__xludf.DUMMYFUNCTION("""COMPUTED_VALUE"""),0.5)</f>
        <v>0.5</v>
      </c>
      <c r="S1343" s="4" t="str">
        <f>IFERROR(__xludf.DUMMYFUNCTION("""COMPUTED_VALUE"""),"null")</f>
        <v>null</v>
      </c>
      <c r="T1343" s="33">
        <f>IFERROR(__xludf.DUMMYFUNCTION("""COMPUTED_VALUE"""),0.5)</f>
        <v>0.5</v>
      </c>
      <c r="U1343" s="4" t="str">
        <f>IFERROR(__xludf.DUMMYFUNCTION("""COMPUTED_VALUE"""),"null")</f>
        <v>null</v>
      </c>
      <c r="V1343" s="33">
        <f>IFERROR(__xludf.DUMMYFUNCTION("""COMPUTED_VALUE"""),0.5)</f>
        <v>0.5</v>
      </c>
      <c r="W1343" s="4" t="str">
        <f>IFERROR(__xludf.DUMMYFUNCTION("""COMPUTED_VALUE"""),"null")</f>
        <v>null</v>
      </c>
      <c r="X1343" s="33">
        <f>IFERROR(__xludf.DUMMYFUNCTION("""COMPUTED_VALUE"""),0.6666666666666666)</f>
        <v>0.6666666667</v>
      </c>
    </row>
    <row r="1344">
      <c r="K1344" s="4" t="str">
        <f>IFERROR(__xludf.DUMMYFUNCTION("""COMPUTED_VALUE"""),"DOG DO JUNINHO - CONTA MARCA")</f>
        <v>DOG DO JUNINHO - CONTA MARCA</v>
      </c>
      <c r="L1344" s="32">
        <f>IFERROR(__xludf.DUMMYFUNCTION("""COMPUTED_VALUE"""),6.0)</f>
        <v>6</v>
      </c>
      <c r="M1344" s="4" t="str">
        <f>IFERROR(__xludf.DUMMYFUNCTION("""COMPUTED_VALUE"""),"Stone Co.")</f>
        <v>Stone Co.</v>
      </c>
      <c r="N1344" s="33">
        <f>IFERROR(__xludf.DUMMYFUNCTION("""COMPUTED_VALUE"""),1.0)</f>
        <v>1</v>
      </c>
      <c r="O1344" s="4" t="str">
        <f>IFERROR(__xludf.DUMMYFUNCTION("""COMPUTED_VALUE"""),"Stone Co.")</f>
        <v>Stone Co.</v>
      </c>
      <c r="P1344" s="33">
        <f>IFERROR(__xludf.DUMMYFUNCTION("""COMPUTED_VALUE"""),1.0)</f>
        <v>1</v>
      </c>
      <c r="Q1344" s="4" t="str">
        <f>IFERROR(__xludf.DUMMYFUNCTION("""COMPUTED_VALUE"""),"Stone Co.")</f>
        <v>Stone Co.</v>
      </c>
      <c r="R1344" s="33">
        <f>IFERROR(__xludf.DUMMYFUNCTION("""COMPUTED_VALUE"""),1.0)</f>
        <v>1</v>
      </c>
      <c r="S1344" s="4" t="str">
        <f>IFERROR(__xludf.DUMMYFUNCTION("""COMPUTED_VALUE"""),"Stone Co.")</f>
        <v>Stone Co.</v>
      </c>
      <c r="T1344" s="33">
        <f>IFERROR(__xludf.DUMMYFUNCTION("""COMPUTED_VALUE"""),1.0)</f>
        <v>1</v>
      </c>
      <c r="U1344" s="4" t="str">
        <f>IFERROR(__xludf.DUMMYFUNCTION("""COMPUTED_VALUE"""),"Stone Co.")</f>
        <v>Stone Co.</v>
      </c>
      <c r="V1344" s="33">
        <f>IFERROR(__xludf.DUMMYFUNCTION("""COMPUTED_VALUE"""),1.0)</f>
        <v>1</v>
      </c>
      <c r="W1344" s="4" t="str">
        <f>IFERROR(__xludf.DUMMYFUNCTION("""COMPUTED_VALUE"""),"Stone Co.")</f>
        <v>Stone Co.</v>
      </c>
      <c r="X1344" s="33">
        <f>IFERROR(__xludf.DUMMYFUNCTION("""COMPUTED_VALUE"""),1.0)</f>
        <v>1</v>
      </c>
    </row>
    <row r="1345">
      <c r="K1345" s="4" t="str">
        <f>IFERROR(__xludf.DUMMYFUNCTION("""COMPUTED_VALUE"""),"DOM BOX")</f>
        <v>DOM BOX</v>
      </c>
      <c r="L1345" s="32">
        <f>IFERROR(__xludf.DUMMYFUNCTION("""COMPUTED_VALUE"""),6.0)</f>
        <v>6</v>
      </c>
      <c r="M1345" s="4" t="str">
        <f>IFERROR(__xludf.DUMMYFUNCTION("""COMPUTED_VALUE"""),"Saipos Serviços De Software")</f>
        <v>Saipos Serviços De Software</v>
      </c>
      <c r="N1345" s="33">
        <f>IFERROR(__xludf.DUMMYFUNCTION("""COMPUTED_VALUE"""),0.8333333333333334)</f>
        <v>0.8333333333</v>
      </c>
      <c r="O1345" s="4" t="str">
        <f>IFERROR(__xludf.DUMMYFUNCTION("""COMPUTED_VALUE"""),"Cardápio Web")</f>
        <v>Cardápio Web</v>
      </c>
      <c r="P1345" s="33">
        <f>IFERROR(__xludf.DUMMYFUNCTION("""COMPUTED_VALUE"""),0.5)</f>
        <v>0.5</v>
      </c>
      <c r="Q1345" s="4" t="str">
        <f>IFERROR(__xludf.DUMMYFUNCTION("""COMPUTED_VALUE"""),"Cardápio Web")</f>
        <v>Cardápio Web</v>
      </c>
      <c r="R1345" s="33">
        <f>IFERROR(__xludf.DUMMYFUNCTION("""COMPUTED_VALUE"""),0.5)</f>
        <v>0.5</v>
      </c>
      <c r="S1345" s="4" t="str">
        <f>IFERROR(__xludf.DUMMYFUNCTION("""COMPUTED_VALUE"""),"Cardápio Web")</f>
        <v>Cardápio Web</v>
      </c>
      <c r="T1345" s="33">
        <f>IFERROR(__xludf.DUMMYFUNCTION("""COMPUTED_VALUE"""),0.5)</f>
        <v>0.5</v>
      </c>
      <c r="U1345" s="4" t="str">
        <f>IFERROR(__xludf.DUMMYFUNCTION("""COMPUTED_VALUE"""),"Cardápio Web")</f>
        <v>Cardápio Web</v>
      </c>
      <c r="V1345" s="33">
        <f>IFERROR(__xludf.DUMMYFUNCTION("""COMPUTED_VALUE"""),0.5)</f>
        <v>0.5</v>
      </c>
      <c r="W1345" s="4" t="str">
        <f>IFERROR(__xludf.DUMMYFUNCTION("""COMPUTED_VALUE"""),"null")</f>
        <v>null</v>
      </c>
      <c r="X1345" s="33">
        <f>IFERROR(__xludf.DUMMYFUNCTION("""COMPUTED_VALUE"""),0.5)</f>
        <v>0.5</v>
      </c>
    </row>
    <row r="1346">
      <c r="K1346" s="4" t="str">
        <f>IFERROR(__xludf.DUMMYFUNCTION("""COMPUTED_VALUE"""),"DOM QUIXOTE HAMBURGUERIA ARTESANAL")</f>
        <v>DOM QUIXOTE HAMBURGUERIA ARTESANAL</v>
      </c>
      <c r="L1346" s="32">
        <f>IFERROR(__xludf.DUMMYFUNCTION("""COMPUTED_VALUE"""),6.0)</f>
        <v>6</v>
      </c>
      <c r="M1346" s="4" t="str">
        <f>IFERROR(__xludf.DUMMYFUNCTION("""COMPUTED_VALUE"""),"Saipos Serviços De Software")</f>
        <v>Saipos Serviços De Software</v>
      </c>
      <c r="N1346" s="33">
        <f>IFERROR(__xludf.DUMMYFUNCTION("""COMPUTED_VALUE"""),1.0)</f>
        <v>1</v>
      </c>
      <c r="O1346" s="4" t="str">
        <f>IFERROR(__xludf.DUMMYFUNCTION("""COMPUTED_VALUE"""),"Saipos Serviços De Software")</f>
        <v>Saipos Serviços De Software</v>
      </c>
      <c r="P1346" s="33">
        <f>IFERROR(__xludf.DUMMYFUNCTION("""COMPUTED_VALUE"""),1.0)</f>
        <v>1</v>
      </c>
      <c r="Q1346" s="4" t="str">
        <f>IFERROR(__xludf.DUMMYFUNCTION("""COMPUTED_VALUE"""),"Saipos Serviços De Software")</f>
        <v>Saipos Serviços De Software</v>
      </c>
      <c r="R1346" s="33">
        <f>IFERROR(__xludf.DUMMYFUNCTION("""COMPUTED_VALUE"""),1.0)</f>
        <v>1</v>
      </c>
      <c r="S1346" s="4" t="str">
        <f>IFERROR(__xludf.DUMMYFUNCTION("""COMPUTED_VALUE"""),"Saipos Serviços De Software")</f>
        <v>Saipos Serviços De Software</v>
      </c>
      <c r="T1346" s="33">
        <f>IFERROR(__xludf.DUMMYFUNCTION("""COMPUTED_VALUE"""),1.0)</f>
        <v>1</v>
      </c>
      <c r="U1346" s="4" t="str">
        <f>IFERROR(__xludf.DUMMYFUNCTION("""COMPUTED_VALUE"""),"Saipos Serviços De Software")</f>
        <v>Saipos Serviços De Software</v>
      </c>
      <c r="V1346" s="33">
        <f>IFERROR(__xludf.DUMMYFUNCTION("""COMPUTED_VALUE"""),1.0)</f>
        <v>1</v>
      </c>
      <c r="W1346" s="4" t="str">
        <f>IFERROR(__xludf.DUMMYFUNCTION("""COMPUTED_VALUE"""),"Saipos Serviços De Software")</f>
        <v>Saipos Serviços De Software</v>
      </c>
      <c r="X1346" s="33">
        <f>IFERROR(__xludf.DUMMYFUNCTION("""COMPUTED_VALUE"""),1.0)</f>
        <v>1</v>
      </c>
    </row>
    <row r="1347">
      <c r="K1347" s="4" t="str">
        <f>IFERROR(__xludf.DUMMYFUNCTION("""COMPUTED_VALUE"""),"DON BARON")</f>
        <v>DON BARON</v>
      </c>
      <c r="L1347" s="32">
        <f>IFERROR(__xludf.DUMMYFUNCTION("""COMPUTED_VALUE"""),6.0)</f>
        <v>6</v>
      </c>
      <c r="M1347" s="4" t="str">
        <f>IFERROR(__xludf.DUMMYFUNCTION("""COMPUTED_VALUE"""),"Saipos Serviços De Software")</f>
        <v>Saipos Serviços De Software</v>
      </c>
      <c r="N1347" s="33">
        <f>IFERROR(__xludf.DUMMYFUNCTION("""COMPUTED_VALUE"""),0.8333333333333334)</f>
        <v>0.8333333333</v>
      </c>
      <c r="O1347" s="4" t="str">
        <f>IFERROR(__xludf.DUMMYFUNCTION("""COMPUTED_VALUE"""),"Saipos Serviços De Software")</f>
        <v>Saipos Serviços De Software</v>
      </c>
      <c r="P1347" s="33">
        <f>IFERROR(__xludf.DUMMYFUNCTION("""COMPUTED_VALUE"""),0.8333333333333334)</f>
        <v>0.8333333333</v>
      </c>
      <c r="Q1347" s="4" t="str">
        <f>IFERROR(__xludf.DUMMYFUNCTION("""COMPUTED_VALUE"""),"Saipos Serviços De Software")</f>
        <v>Saipos Serviços De Software</v>
      </c>
      <c r="R1347" s="33">
        <f>IFERROR(__xludf.DUMMYFUNCTION("""COMPUTED_VALUE"""),1.0)</f>
        <v>1</v>
      </c>
      <c r="S1347" s="4" t="str">
        <f>IFERROR(__xludf.DUMMYFUNCTION("""COMPUTED_VALUE"""),"Saipos Serviços De Software")</f>
        <v>Saipos Serviços De Software</v>
      </c>
      <c r="T1347" s="33">
        <f>IFERROR(__xludf.DUMMYFUNCTION("""COMPUTED_VALUE"""),0.8333333333333334)</f>
        <v>0.8333333333</v>
      </c>
      <c r="U1347" s="4" t="str">
        <f>IFERROR(__xludf.DUMMYFUNCTION("""COMPUTED_VALUE"""),"Saipos Serviços De Software")</f>
        <v>Saipos Serviços De Software</v>
      </c>
      <c r="V1347" s="33">
        <f>IFERROR(__xludf.DUMMYFUNCTION("""COMPUTED_VALUE"""),0.8333333333333334)</f>
        <v>0.8333333333</v>
      </c>
      <c r="W1347" s="4" t="str">
        <f>IFERROR(__xludf.DUMMYFUNCTION("""COMPUTED_VALUE"""),"Saipos Serviços De Software")</f>
        <v>Saipos Serviços De Software</v>
      </c>
      <c r="X1347" s="33">
        <f>IFERROR(__xludf.DUMMYFUNCTION("""COMPUTED_VALUE"""),0.8333333333333334)</f>
        <v>0.8333333333</v>
      </c>
    </row>
    <row r="1348">
      <c r="K1348" s="4" t="str">
        <f>IFERROR(__xludf.DUMMYFUNCTION("""COMPUTED_VALUE"""),"DONA BAUNILHA - GRUPO FRANQUEADORA")</f>
        <v>DONA BAUNILHA - GRUPO FRANQUEADORA</v>
      </c>
      <c r="L1348" s="32">
        <f>IFERROR(__xludf.DUMMYFUNCTION("""COMPUTED_VALUE"""),6.0)</f>
        <v>6</v>
      </c>
      <c r="M1348" s="4" t="str">
        <f>IFERROR(__xludf.DUMMYFUNCTION("""COMPUTED_VALUE"""),"Stone Co.")</f>
        <v>Stone Co.</v>
      </c>
      <c r="N1348" s="33">
        <f>IFERROR(__xludf.DUMMYFUNCTION("""COMPUTED_VALUE"""),1.0)</f>
        <v>1</v>
      </c>
      <c r="O1348" s="4" t="str">
        <f>IFERROR(__xludf.DUMMYFUNCTION("""COMPUTED_VALUE"""),"Stone Co.")</f>
        <v>Stone Co.</v>
      </c>
      <c r="P1348" s="33">
        <f>IFERROR(__xludf.DUMMYFUNCTION("""COMPUTED_VALUE"""),1.0)</f>
        <v>1</v>
      </c>
      <c r="Q1348" s="4" t="str">
        <f>IFERROR(__xludf.DUMMYFUNCTION("""COMPUTED_VALUE"""),"Stone Co.")</f>
        <v>Stone Co.</v>
      </c>
      <c r="R1348" s="33">
        <f>IFERROR(__xludf.DUMMYFUNCTION("""COMPUTED_VALUE"""),1.0)</f>
        <v>1</v>
      </c>
      <c r="S1348" s="4" t="str">
        <f>IFERROR(__xludf.DUMMYFUNCTION("""COMPUTED_VALUE"""),"Stone Co.")</f>
        <v>Stone Co.</v>
      </c>
      <c r="T1348" s="33">
        <f>IFERROR(__xludf.DUMMYFUNCTION("""COMPUTED_VALUE"""),1.0)</f>
        <v>1</v>
      </c>
      <c r="U1348" s="4" t="str">
        <f>IFERROR(__xludf.DUMMYFUNCTION("""COMPUTED_VALUE"""),"Stone Co.")</f>
        <v>Stone Co.</v>
      </c>
      <c r="V1348" s="33">
        <f>IFERROR(__xludf.DUMMYFUNCTION("""COMPUTED_VALUE"""),1.0)</f>
        <v>1</v>
      </c>
      <c r="W1348" s="4" t="str">
        <f>IFERROR(__xludf.DUMMYFUNCTION("""COMPUTED_VALUE"""),"Stone Co.")</f>
        <v>Stone Co.</v>
      </c>
      <c r="X1348" s="33">
        <f>IFERROR(__xludf.DUMMYFUNCTION("""COMPUTED_VALUE"""),1.0)</f>
        <v>1</v>
      </c>
    </row>
    <row r="1349">
      <c r="K1349" s="4" t="str">
        <f>IFERROR(__xludf.DUMMYFUNCTION("""COMPUTED_VALUE"""),"DOUTOR FARMA - CONTA MARCA")</f>
        <v>DOUTOR FARMA - CONTA MARCA</v>
      </c>
      <c r="L1349" s="32">
        <f>IFERROR(__xludf.DUMMYFUNCTION("""COMPUTED_VALUE"""),6.0)</f>
        <v>6</v>
      </c>
      <c r="M1349" s="4" t="str">
        <f>IFERROR(__xludf.DUMMYFUNCTION("""COMPUTED_VALUE"""),"N/A (Not found)")</f>
        <v>N/A (Not found)</v>
      </c>
      <c r="N1349" s="33">
        <f>IFERROR(__xludf.DUMMYFUNCTION("""COMPUTED_VALUE"""),1.0)</f>
        <v>1</v>
      </c>
      <c r="O1349" s="4" t="str">
        <f>IFERROR(__xludf.DUMMYFUNCTION("""COMPUTED_VALUE"""),"N/A (Not found)")</f>
        <v>N/A (Not found)</v>
      </c>
      <c r="P1349" s="33">
        <f>IFERROR(__xludf.DUMMYFUNCTION("""COMPUTED_VALUE"""),1.0)</f>
        <v>1</v>
      </c>
      <c r="Q1349" s="4" t="str">
        <f>IFERROR(__xludf.DUMMYFUNCTION("""COMPUTED_VALUE"""),"N/A (Not found)")</f>
        <v>N/A (Not found)</v>
      </c>
      <c r="R1349" s="33">
        <f>IFERROR(__xludf.DUMMYFUNCTION("""COMPUTED_VALUE"""),1.0)</f>
        <v>1</v>
      </c>
      <c r="S1349" s="4" t="str">
        <f>IFERROR(__xludf.DUMMYFUNCTION("""COMPUTED_VALUE"""),"N/A (Not found)")</f>
        <v>N/A (Not found)</v>
      </c>
      <c r="T1349" s="33">
        <f>IFERROR(__xludf.DUMMYFUNCTION("""COMPUTED_VALUE"""),1.0)</f>
        <v>1</v>
      </c>
      <c r="U1349" s="4" t="str">
        <f>IFERROR(__xludf.DUMMYFUNCTION("""COMPUTED_VALUE"""),"N/A (Not found)")</f>
        <v>N/A (Not found)</v>
      </c>
      <c r="V1349" s="33">
        <f>IFERROR(__xludf.DUMMYFUNCTION("""COMPUTED_VALUE"""),1.0)</f>
        <v>1</v>
      </c>
      <c r="W1349" s="4" t="str">
        <f>IFERROR(__xludf.DUMMYFUNCTION("""COMPUTED_VALUE"""),"N/A (Not found)")</f>
        <v>N/A (Not found)</v>
      </c>
      <c r="X1349" s="33">
        <f>IFERROR(__xludf.DUMMYFUNCTION("""COMPUTED_VALUE"""),1.0)</f>
        <v>1</v>
      </c>
    </row>
    <row r="1350">
      <c r="K1350" s="4" t="str">
        <f>IFERROR(__xludf.DUMMYFUNCTION("""COMPUTED_VALUE"""),"FECOFAR CONTA GRUPO")</f>
        <v>FECOFAR CONTA GRUPO</v>
      </c>
      <c r="L1350" s="32">
        <f>IFERROR(__xludf.DUMMYFUNCTION("""COMPUTED_VALUE"""),6.0)</f>
        <v>6</v>
      </c>
      <c r="M1350" s="4" t="str">
        <f>IFERROR(__xludf.DUMMYFUNCTION("""COMPUTED_VALUE"""),"N/A (Not found)")</f>
        <v>N/A (Not found)</v>
      </c>
      <c r="N1350" s="33">
        <f>IFERROR(__xludf.DUMMYFUNCTION("""COMPUTED_VALUE"""),1.0)</f>
        <v>1</v>
      </c>
      <c r="O1350" s="4" t="str">
        <f>IFERROR(__xludf.DUMMYFUNCTION("""COMPUTED_VALUE"""),"N/A (Not found)")</f>
        <v>N/A (Not found)</v>
      </c>
      <c r="P1350" s="33">
        <f>IFERROR(__xludf.DUMMYFUNCTION("""COMPUTED_VALUE"""),1.0)</f>
        <v>1</v>
      </c>
      <c r="Q1350" s="4" t="str">
        <f>IFERROR(__xludf.DUMMYFUNCTION("""COMPUTED_VALUE"""),"N/A (Not found)")</f>
        <v>N/A (Not found)</v>
      </c>
      <c r="R1350" s="33">
        <f>IFERROR(__xludf.DUMMYFUNCTION("""COMPUTED_VALUE"""),1.0)</f>
        <v>1</v>
      </c>
      <c r="S1350" s="4" t="str">
        <f>IFERROR(__xludf.DUMMYFUNCTION("""COMPUTED_VALUE"""),"N/A (Not found)")</f>
        <v>N/A (Not found)</v>
      </c>
      <c r="T1350" s="33">
        <f>IFERROR(__xludf.DUMMYFUNCTION("""COMPUTED_VALUE"""),1.0)</f>
        <v>1</v>
      </c>
      <c r="U1350" s="4" t="str">
        <f>IFERROR(__xludf.DUMMYFUNCTION("""COMPUTED_VALUE"""),"N/A (Not found)")</f>
        <v>N/A (Not found)</v>
      </c>
      <c r="V1350" s="33">
        <f>IFERROR(__xludf.DUMMYFUNCTION("""COMPUTED_VALUE"""),1.0)</f>
        <v>1</v>
      </c>
      <c r="W1350" s="4" t="str">
        <f>IFERROR(__xludf.DUMMYFUNCTION("""COMPUTED_VALUE"""),"null")</f>
        <v>null</v>
      </c>
      <c r="X1350" s="33">
        <f>IFERROR(__xludf.DUMMYFUNCTION("""COMPUTED_VALUE"""),0.5)</f>
        <v>0.5</v>
      </c>
    </row>
    <row r="1351">
      <c r="K1351" s="4" t="str">
        <f>IFERROR(__xludf.DUMMYFUNCTION("""COMPUTED_VALUE"""),"DROGARIA MAX CENTRO - CONTA MARCA")</f>
        <v>DROGARIA MAX CENTRO - CONTA MARCA</v>
      </c>
      <c r="L1351" s="32">
        <f>IFERROR(__xludf.DUMMYFUNCTION("""COMPUTED_VALUE"""),6.0)</f>
        <v>6</v>
      </c>
      <c r="M1351" s="4" t="str">
        <f>IFERROR(__xludf.DUMMYFUNCTION("""COMPUTED_VALUE"""),"N/A (Not found)")</f>
        <v>N/A (Not found)</v>
      </c>
      <c r="N1351" s="33">
        <f>IFERROR(__xludf.DUMMYFUNCTION("""COMPUTED_VALUE"""),1.0)</f>
        <v>1</v>
      </c>
      <c r="O1351" s="4" t="str">
        <f>IFERROR(__xludf.DUMMYFUNCTION("""COMPUTED_VALUE"""),"N/A (Not found)")</f>
        <v>N/A (Not found)</v>
      </c>
      <c r="P1351" s="33">
        <f>IFERROR(__xludf.DUMMYFUNCTION("""COMPUTED_VALUE"""),1.0)</f>
        <v>1</v>
      </c>
      <c r="Q1351" s="4" t="str">
        <f>IFERROR(__xludf.DUMMYFUNCTION("""COMPUTED_VALUE"""),"N/A (Not found)")</f>
        <v>N/A (Not found)</v>
      </c>
      <c r="R1351" s="33">
        <f>IFERROR(__xludf.DUMMYFUNCTION("""COMPUTED_VALUE"""),1.0)</f>
        <v>1</v>
      </c>
      <c r="S1351" s="4" t="str">
        <f>IFERROR(__xludf.DUMMYFUNCTION("""COMPUTED_VALUE"""),"N/A (Not found)")</f>
        <v>N/A (Not found)</v>
      </c>
      <c r="T1351" s="33">
        <f>IFERROR(__xludf.DUMMYFUNCTION("""COMPUTED_VALUE"""),1.0)</f>
        <v>1</v>
      </c>
      <c r="U1351" s="4" t="str">
        <f>IFERROR(__xludf.DUMMYFUNCTION("""COMPUTED_VALUE"""),"N/A (Not found)")</f>
        <v>N/A (Not found)</v>
      </c>
      <c r="V1351" s="33">
        <f>IFERROR(__xludf.DUMMYFUNCTION("""COMPUTED_VALUE"""),1.0)</f>
        <v>1</v>
      </c>
      <c r="W1351" s="4" t="str">
        <f>IFERROR(__xludf.DUMMYFUNCTION("""COMPUTED_VALUE"""),"N/A (Not found)")</f>
        <v>N/A (Not found)</v>
      </c>
      <c r="X1351" s="33">
        <f>IFERROR(__xludf.DUMMYFUNCTION("""COMPUTED_VALUE"""),1.0)</f>
        <v>1</v>
      </c>
    </row>
    <row r="1352">
      <c r="K1352" s="4" t="str">
        <f>IFERROR(__xludf.DUMMYFUNCTION("""COMPUTED_VALUE"""),"DROGARIA PRINCIPAL DO PECHINCHA - CONTA MARCA")</f>
        <v>DROGARIA PRINCIPAL DO PECHINCHA - CONTA MARCA</v>
      </c>
      <c r="L1352" s="32">
        <f>IFERROR(__xludf.DUMMYFUNCTION("""COMPUTED_VALUE"""),6.0)</f>
        <v>6</v>
      </c>
      <c r="M1352" s="4" t="str">
        <f>IFERROR(__xludf.DUMMYFUNCTION("""COMPUTED_VALUE"""),"N/A (Not found)")</f>
        <v>N/A (Not found)</v>
      </c>
      <c r="N1352" s="33">
        <f>IFERROR(__xludf.DUMMYFUNCTION("""COMPUTED_VALUE"""),1.0)</f>
        <v>1</v>
      </c>
      <c r="O1352" s="4" t="str">
        <f>IFERROR(__xludf.DUMMYFUNCTION("""COMPUTED_VALUE"""),"N/A (Not found)")</f>
        <v>N/A (Not found)</v>
      </c>
      <c r="P1352" s="33">
        <f>IFERROR(__xludf.DUMMYFUNCTION("""COMPUTED_VALUE"""),1.0)</f>
        <v>1</v>
      </c>
      <c r="Q1352" s="4" t="str">
        <f>IFERROR(__xludf.DUMMYFUNCTION("""COMPUTED_VALUE"""),"N/A (Not found)")</f>
        <v>N/A (Not found)</v>
      </c>
      <c r="R1352" s="33">
        <f>IFERROR(__xludf.DUMMYFUNCTION("""COMPUTED_VALUE"""),0.8333333333333334)</f>
        <v>0.8333333333</v>
      </c>
      <c r="S1352" s="4" t="str">
        <f>IFERROR(__xludf.DUMMYFUNCTION("""COMPUTED_VALUE"""),"N/A (Not found)")</f>
        <v>N/A (Not found)</v>
      </c>
      <c r="T1352" s="33">
        <f>IFERROR(__xludf.DUMMYFUNCTION("""COMPUTED_VALUE"""),1.0)</f>
        <v>1</v>
      </c>
      <c r="U1352" s="4" t="str">
        <f>IFERROR(__xludf.DUMMYFUNCTION("""COMPUTED_VALUE"""),"null")</f>
        <v>null</v>
      </c>
      <c r="V1352" s="33">
        <f>IFERROR(__xludf.DUMMYFUNCTION("""COMPUTED_VALUE"""),0.6666666666666666)</f>
        <v>0.6666666667</v>
      </c>
      <c r="W1352" s="4" t="str">
        <f>IFERROR(__xludf.DUMMYFUNCTION("""COMPUTED_VALUE"""),"N/A (Not found)")</f>
        <v>N/A (Not found)</v>
      </c>
      <c r="X1352" s="33">
        <f>IFERROR(__xludf.DUMMYFUNCTION("""COMPUTED_VALUE"""),0.6666666666666666)</f>
        <v>0.6666666667</v>
      </c>
    </row>
    <row r="1353">
      <c r="K1353" s="4" t="str">
        <f>IFERROR(__xludf.DUMMYFUNCTION("""COMPUTED_VALUE"""),"DROGARIAS ATUAL GR ITAGUAI - CONTA MARCA")</f>
        <v>DROGARIAS ATUAL GR ITAGUAI - CONTA MARCA</v>
      </c>
      <c r="L1353" s="32">
        <f>IFERROR(__xludf.DUMMYFUNCTION("""COMPUTED_VALUE"""),6.0)</f>
        <v>6</v>
      </c>
      <c r="M1353" s="4" t="str">
        <f>IFERROR(__xludf.DUMMYFUNCTION("""COMPUTED_VALUE"""),"N/A (Not found)")</f>
        <v>N/A (Not found)</v>
      </c>
      <c r="N1353" s="33">
        <f>IFERROR(__xludf.DUMMYFUNCTION("""COMPUTED_VALUE"""),1.0)</f>
        <v>1</v>
      </c>
      <c r="O1353" s="4" t="str">
        <f>IFERROR(__xludf.DUMMYFUNCTION("""COMPUTED_VALUE"""),"N/A (Not found)")</f>
        <v>N/A (Not found)</v>
      </c>
      <c r="P1353" s="33">
        <f>IFERROR(__xludf.DUMMYFUNCTION("""COMPUTED_VALUE"""),1.0)</f>
        <v>1</v>
      </c>
      <c r="Q1353" s="4" t="str">
        <f>IFERROR(__xludf.DUMMYFUNCTION("""COMPUTED_VALUE"""),"N/A (Not found)")</f>
        <v>N/A (Not found)</v>
      </c>
      <c r="R1353" s="33">
        <f>IFERROR(__xludf.DUMMYFUNCTION("""COMPUTED_VALUE"""),1.0)</f>
        <v>1</v>
      </c>
      <c r="S1353" s="4" t="str">
        <f>IFERROR(__xludf.DUMMYFUNCTION("""COMPUTED_VALUE"""),"N/A (Not found)")</f>
        <v>N/A (Not found)</v>
      </c>
      <c r="T1353" s="33">
        <f>IFERROR(__xludf.DUMMYFUNCTION("""COMPUTED_VALUE"""),1.0)</f>
        <v>1</v>
      </c>
      <c r="U1353" s="4" t="str">
        <f>IFERROR(__xludf.DUMMYFUNCTION("""COMPUTED_VALUE"""),"N/A (Not found)")</f>
        <v>N/A (Not found)</v>
      </c>
      <c r="V1353" s="33">
        <f>IFERROR(__xludf.DUMMYFUNCTION("""COMPUTED_VALUE"""),1.0)</f>
        <v>1</v>
      </c>
      <c r="W1353" s="4" t="str">
        <f>IFERROR(__xludf.DUMMYFUNCTION("""COMPUTED_VALUE"""),"N/A (Not found)")</f>
        <v>N/A (Not found)</v>
      </c>
      <c r="X1353" s="33">
        <f>IFERROR(__xludf.DUMMYFUNCTION("""COMPUTED_VALUE"""),1.0)</f>
        <v>1</v>
      </c>
    </row>
    <row r="1354">
      <c r="K1354" s="4" t="str">
        <f>IFERROR(__xludf.DUMMYFUNCTION("""COMPUTED_VALUE"""),"DROGARIAS FARMA HALL - CONTA PAI")</f>
        <v>DROGARIAS FARMA HALL - CONTA PAI</v>
      </c>
      <c r="L1354" s="32">
        <f>IFERROR(__xludf.DUMMYFUNCTION("""COMPUTED_VALUE"""),6.0)</f>
        <v>6</v>
      </c>
      <c r="M1354" s="4" t="str">
        <f>IFERROR(__xludf.DUMMYFUNCTION("""COMPUTED_VALUE"""),"N/A (Not found)")</f>
        <v>N/A (Not found)</v>
      </c>
      <c r="N1354" s="33">
        <f>IFERROR(__xludf.DUMMYFUNCTION("""COMPUTED_VALUE"""),1.0)</f>
        <v>1</v>
      </c>
      <c r="O1354" s="4" t="str">
        <f>IFERROR(__xludf.DUMMYFUNCTION("""COMPUTED_VALUE"""),"N/A (Not found)")</f>
        <v>N/A (Not found)</v>
      </c>
      <c r="P1354" s="33">
        <f>IFERROR(__xludf.DUMMYFUNCTION("""COMPUTED_VALUE"""),1.0)</f>
        <v>1</v>
      </c>
      <c r="Q1354" s="4" t="str">
        <f>IFERROR(__xludf.DUMMYFUNCTION("""COMPUTED_VALUE"""),"N/A (Not found)")</f>
        <v>N/A (Not found)</v>
      </c>
      <c r="R1354" s="33">
        <f>IFERROR(__xludf.DUMMYFUNCTION("""COMPUTED_VALUE"""),1.0)</f>
        <v>1</v>
      </c>
      <c r="S1354" s="4" t="str">
        <f>IFERROR(__xludf.DUMMYFUNCTION("""COMPUTED_VALUE"""),"N/A (Not found)")</f>
        <v>N/A (Not found)</v>
      </c>
      <c r="T1354" s="33">
        <f>IFERROR(__xludf.DUMMYFUNCTION("""COMPUTED_VALUE"""),1.0)</f>
        <v>1</v>
      </c>
      <c r="U1354" s="4" t="str">
        <f>IFERROR(__xludf.DUMMYFUNCTION("""COMPUTED_VALUE"""),"N/A (Not found)")</f>
        <v>N/A (Not found)</v>
      </c>
      <c r="V1354" s="33">
        <f>IFERROR(__xludf.DUMMYFUNCTION("""COMPUTED_VALUE"""),1.0)</f>
        <v>1</v>
      </c>
      <c r="W1354" s="4" t="str">
        <f>IFERROR(__xludf.DUMMYFUNCTION("""COMPUTED_VALUE"""),"N/A (Not found)")</f>
        <v>N/A (Not found)</v>
      </c>
      <c r="X1354" s="33">
        <f>IFERROR(__xludf.DUMMYFUNCTION("""COMPUTED_VALUE"""),0.8333333333333334)</f>
        <v>0.8333333333</v>
      </c>
    </row>
    <row r="1355">
      <c r="K1355" s="4" t="str">
        <f>IFERROR(__xludf.DUMMYFUNCTION("""COMPUTED_VALUE"""),"DROGARIAS POVAO - CONTA PAI")</f>
        <v>DROGARIAS POVAO - CONTA PAI</v>
      </c>
      <c r="L1355" s="32">
        <f>IFERROR(__xludf.DUMMYFUNCTION("""COMPUTED_VALUE"""),6.0)</f>
        <v>6</v>
      </c>
      <c r="M1355" s="4" t="str">
        <f>IFERROR(__xludf.DUMMYFUNCTION("""COMPUTED_VALUE"""),"N/A (Not found)")</f>
        <v>N/A (Not found)</v>
      </c>
      <c r="N1355" s="33">
        <f>IFERROR(__xludf.DUMMYFUNCTION("""COMPUTED_VALUE"""),1.0)</f>
        <v>1</v>
      </c>
      <c r="O1355" s="4" t="str">
        <f>IFERROR(__xludf.DUMMYFUNCTION("""COMPUTED_VALUE"""),"N/A (Not found)")</f>
        <v>N/A (Not found)</v>
      </c>
      <c r="P1355" s="33">
        <f>IFERROR(__xludf.DUMMYFUNCTION("""COMPUTED_VALUE"""),1.0)</f>
        <v>1</v>
      </c>
      <c r="Q1355" s="4" t="str">
        <f>IFERROR(__xludf.DUMMYFUNCTION("""COMPUTED_VALUE"""),"N/A (Not found)")</f>
        <v>N/A (Not found)</v>
      </c>
      <c r="R1355" s="33">
        <f>IFERROR(__xludf.DUMMYFUNCTION("""COMPUTED_VALUE"""),1.0)</f>
        <v>1</v>
      </c>
      <c r="S1355" s="4" t="str">
        <f>IFERROR(__xludf.DUMMYFUNCTION("""COMPUTED_VALUE"""),"N/A (Not found)")</f>
        <v>N/A (Not found)</v>
      </c>
      <c r="T1355" s="33">
        <f>IFERROR(__xludf.DUMMYFUNCTION("""COMPUTED_VALUE"""),1.0)</f>
        <v>1</v>
      </c>
      <c r="U1355" s="4" t="str">
        <f>IFERROR(__xludf.DUMMYFUNCTION("""COMPUTED_VALUE"""),"N/A (Not found)")</f>
        <v>N/A (Not found)</v>
      </c>
      <c r="V1355" s="33">
        <f>IFERROR(__xludf.DUMMYFUNCTION("""COMPUTED_VALUE"""),1.0)</f>
        <v>1</v>
      </c>
      <c r="W1355" s="4" t="str">
        <f>IFERROR(__xludf.DUMMYFUNCTION("""COMPUTED_VALUE"""),"N/A (Not found)")</f>
        <v>N/A (Not found)</v>
      </c>
      <c r="X1355" s="33">
        <f>IFERROR(__xludf.DUMMYFUNCTION("""COMPUTED_VALUE"""),1.0)</f>
        <v>1</v>
      </c>
    </row>
    <row r="1356">
      <c r="K1356" s="4" t="str">
        <f>IFERROR(__xludf.DUMMYFUNCTION("""COMPUTED_VALUE"""),"DROGAVEN - CONTA MARCA")</f>
        <v>DROGAVEN - CONTA MARCA</v>
      </c>
      <c r="L1356" s="32">
        <f>IFERROR(__xludf.DUMMYFUNCTION("""COMPUTED_VALUE"""),6.0)</f>
        <v>6</v>
      </c>
      <c r="M1356" s="4" t="str">
        <f>IFERROR(__xludf.DUMMYFUNCTION("""COMPUTED_VALUE"""),"N/A (Not found)")</f>
        <v>N/A (Not found)</v>
      </c>
      <c r="N1356" s="33">
        <f>IFERROR(__xludf.DUMMYFUNCTION("""COMPUTED_VALUE"""),0.6666666666666666)</f>
        <v>0.6666666667</v>
      </c>
      <c r="O1356" s="4" t="str">
        <f>IFERROR(__xludf.DUMMYFUNCTION("""COMPUTED_VALUE"""),"N/A (Not found)")</f>
        <v>N/A (Not found)</v>
      </c>
      <c r="P1356" s="33">
        <f>IFERROR(__xludf.DUMMYFUNCTION("""COMPUTED_VALUE"""),1.0)</f>
        <v>1</v>
      </c>
      <c r="Q1356" s="4" t="str">
        <f>IFERROR(__xludf.DUMMYFUNCTION("""COMPUTED_VALUE"""),"N/A (Not found)")</f>
        <v>N/A (Not found)</v>
      </c>
      <c r="R1356" s="33">
        <f>IFERROR(__xludf.DUMMYFUNCTION("""COMPUTED_VALUE"""),1.0)</f>
        <v>1</v>
      </c>
      <c r="S1356" s="4" t="str">
        <f>IFERROR(__xludf.DUMMYFUNCTION("""COMPUTED_VALUE"""),"N/A (Not found)")</f>
        <v>N/A (Not found)</v>
      </c>
      <c r="T1356" s="33">
        <f>IFERROR(__xludf.DUMMYFUNCTION("""COMPUTED_VALUE"""),1.0)</f>
        <v>1</v>
      </c>
      <c r="U1356" s="4" t="str">
        <f>IFERROR(__xludf.DUMMYFUNCTION("""COMPUTED_VALUE"""),"N/A (Not found)")</f>
        <v>N/A (Not found)</v>
      </c>
      <c r="V1356" s="33">
        <f>IFERROR(__xludf.DUMMYFUNCTION("""COMPUTED_VALUE"""),1.0)</f>
        <v>1</v>
      </c>
      <c r="W1356" s="4" t="str">
        <f>IFERROR(__xludf.DUMMYFUNCTION("""COMPUTED_VALUE"""),"N/A (Not found)")</f>
        <v>N/A (Not found)</v>
      </c>
      <c r="X1356" s="33">
        <f>IFERROR(__xludf.DUMMYFUNCTION("""COMPUTED_VALUE"""),1.0)</f>
        <v>1</v>
      </c>
    </row>
    <row r="1357">
      <c r="K1357" s="4" t="str">
        <f>IFERROR(__xludf.DUMMYFUNCTION("""COMPUTED_VALUE"""),"DUBABAI")</f>
        <v>DUBABAI</v>
      </c>
      <c r="L1357" s="32">
        <f>IFERROR(__xludf.DUMMYFUNCTION("""COMPUTED_VALUE"""),6.0)</f>
        <v>6</v>
      </c>
      <c r="M1357" s="4" t="str">
        <f>IFERROR(__xludf.DUMMYFUNCTION("""COMPUTED_VALUE"""),"Saipos Serviços De Software")</f>
        <v>Saipos Serviços De Software</v>
      </c>
      <c r="N1357" s="33">
        <f>IFERROR(__xludf.DUMMYFUNCTION("""COMPUTED_VALUE"""),0.8333333333333334)</f>
        <v>0.8333333333</v>
      </c>
      <c r="O1357" s="4" t="str">
        <f>IFERROR(__xludf.DUMMYFUNCTION("""COMPUTED_VALUE"""),"Saipos Serviços De Software")</f>
        <v>Saipos Serviços De Software</v>
      </c>
      <c r="P1357" s="33">
        <f>IFERROR(__xludf.DUMMYFUNCTION("""COMPUTED_VALUE"""),0.8333333333333334)</f>
        <v>0.8333333333</v>
      </c>
      <c r="Q1357" s="4" t="str">
        <f>IFERROR(__xludf.DUMMYFUNCTION("""COMPUTED_VALUE"""),"Saipos Serviços De Software")</f>
        <v>Saipos Serviços De Software</v>
      </c>
      <c r="R1357" s="33">
        <f>IFERROR(__xludf.DUMMYFUNCTION("""COMPUTED_VALUE"""),0.8333333333333334)</f>
        <v>0.8333333333</v>
      </c>
      <c r="S1357" s="4" t="str">
        <f>IFERROR(__xludf.DUMMYFUNCTION("""COMPUTED_VALUE"""),"Saipos Serviços De Software")</f>
        <v>Saipos Serviços De Software</v>
      </c>
      <c r="T1357" s="33">
        <f>IFERROR(__xludf.DUMMYFUNCTION("""COMPUTED_VALUE"""),1.0)</f>
        <v>1</v>
      </c>
      <c r="U1357" s="4" t="str">
        <f>IFERROR(__xludf.DUMMYFUNCTION("""COMPUTED_VALUE"""),"Saipos Serviços De Software")</f>
        <v>Saipos Serviços De Software</v>
      </c>
      <c r="V1357" s="33">
        <f>IFERROR(__xludf.DUMMYFUNCTION("""COMPUTED_VALUE"""),0.8333333333333334)</f>
        <v>0.8333333333</v>
      </c>
      <c r="W1357" s="4" t="str">
        <f>IFERROR(__xludf.DUMMYFUNCTION("""COMPUTED_VALUE"""),"Saipos Serviços De Software")</f>
        <v>Saipos Serviços De Software</v>
      </c>
      <c r="X1357" s="33">
        <f>IFERROR(__xludf.DUMMYFUNCTION("""COMPUTED_VALUE"""),0.6666666666666666)</f>
        <v>0.6666666667</v>
      </c>
    </row>
    <row r="1358">
      <c r="K1358" s="4" t="str">
        <f>IFERROR(__xludf.DUMMYFUNCTION("""COMPUTED_VALUE"""),"DUDU AMAZONAS RESTAURANTE GRILL")</f>
        <v>DUDU AMAZONAS RESTAURANTE GRILL</v>
      </c>
      <c r="L1358" s="32">
        <f>IFERROR(__xludf.DUMMYFUNCTION("""COMPUTED_VALUE"""),6.0)</f>
        <v>6</v>
      </c>
      <c r="M1358" s="4" t="str">
        <f>IFERROR(__xludf.DUMMYFUNCTION("""COMPUTED_VALUE"""),"Nuc Tecnologia")</f>
        <v>Nuc Tecnologia</v>
      </c>
      <c r="N1358" s="33">
        <f>IFERROR(__xludf.DUMMYFUNCTION("""COMPUTED_VALUE"""),1.0)</f>
        <v>1</v>
      </c>
      <c r="O1358" s="4" t="str">
        <f>IFERROR(__xludf.DUMMYFUNCTION("""COMPUTED_VALUE"""),"Nuc Tecnologia")</f>
        <v>Nuc Tecnologia</v>
      </c>
      <c r="P1358" s="33">
        <f>IFERROR(__xludf.DUMMYFUNCTION("""COMPUTED_VALUE"""),0.6666666666666666)</f>
        <v>0.6666666667</v>
      </c>
      <c r="Q1358" s="4" t="str">
        <f>IFERROR(__xludf.DUMMYFUNCTION("""COMPUTED_VALUE"""),"null")</f>
        <v>null</v>
      </c>
      <c r="R1358" s="33">
        <f>IFERROR(__xludf.DUMMYFUNCTION("""COMPUTED_VALUE"""),1.0)</f>
        <v>1</v>
      </c>
      <c r="S1358" s="4" t="str">
        <f>IFERROR(__xludf.DUMMYFUNCTION("""COMPUTED_VALUE"""),"null")</f>
        <v>null</v>
      </c>
      <c r="T1358" s="33">
        <f>IFERROR(__xludf.DUMMYFUNCTION("""COMPUTED_VALUE"""),1.0)</f>
        <v>1</v>
      </c>
      <c r="U1358" s="4" t="str">
        <f>IFERROR(__xludf.DUMMYFUNCTION("""COMPUTED_VALUE"""),"null")</f>
        <v>null</v>
      </c>
      <c r="V1358" s="33">
        <f>IFERROR(__xludf.DUMMYFUNCTION("""COMPUTED_VALUE"""),1.0)</f>
        <v>1</v>
      </c>
      <c r="W1358" s="4" t="str">
        <f>IFERROR(__xludf.DUMMYFUNCTION("""COMPUTED_VALUE"""),"null")</f>
        <v>null</v>
      </c>
      <c r="X1358" s="33">
        <f>IFERROR(__xludf.DUMMYFUNCTION("""COMPUTED_VALUE"""),1.0)</f>
        <v>1</v>
      </c>
    </row>
    <row r="1359">
      <c r="K1359" s="4" t="str">
        <f>IFERROR(__xludf.DUMMYFUNCTION("""COMPUTED_VALUE"""),"EKY ESPETARIA CONSELHEIRO")</f>
        <v>EKY ESPETARIA CONSELHEIRO</v>
      </c>
      <c r="L1359" s="32">
        <f>IFERROR(__xludf.DUMMYFUNCTION("""COMPUTED_VALUE"""),6.0)</f>
        <v>6</v>
      </c>
      <c r="M1359" s="4" t="str">
        <f>IFERROR(__xludf.DUMMYFUNCTION("""COMPUTED_VALUE"""),"Ncr")</f>
        <v>Ncr</v>
      </c>
      <c r="N1359" s="33">
        <f>IFERROR(__xludf.DUMMYFUNCTION("""COMPUTED_VALUE"""),0.5)</f>
        <v>0.5</v>
      </c>
      <c r="O1359" s="4" t="str">
        <f>IFERROR(__xludf.DUMMYFUNCTION("""COMPUTED_VALUE"""),"Ncr")</f>
        <v>Ncr</v>
      </c>
      <c r="P1359" s="33">
        <f>IFERROR(__xludf.DUMMYFUNCTION("""COMPUTED_VALUE"""),0.5)</f>
        <v>0.5</v>
      </c>
      <c r="Q1359" s="4" t="str">
        <f>IFERROR(__xludf.DUMMYFUNCTION("""COMPUTED_VALUE"""),"Ncr")</f>
        <v>Ncr</v>
      </c>
      <c r="R1359" s="33">
        <f>IFERROR(__xludf.DUMMYFUNCTION("""COMPUTED_VALUE"""),0.5)</f>
        <v>0.5</v>
      </c>
      <c r="S1359" s="4" t="str">
        <f>IFERROR(__xludf.DUMMYFUNCTION("""COMPUTED_VALUE"""),"Ncr")</f>
        <v>Ncr</v>
      </c>
      <c r="T1359" s="33">
        <f>IFERROR(__xludf.DUMMYFUNCTION("""COMPUTED_VALUE"""),0.5)</f>
        <v>0.5</v>
      </c>
      <c r="U1359" s="4" t="str">
        <f>IFERROR(__xludf.DUMMYFUNCTION("""COMPUTED_VALUE"""),"Saipos Serviços De Software")</f>
        <v>Saipos Serviços De Software</v>
      </c>
      <c r="V1359" s="33">
        <f>IFERROR(__xludf.DUMMYFUNCTION("""COMPUTED_VALUE"""),0.5)</f>
        <v>0.5</v>
      </c>
      <c r="W1359" s="4" t="str">
        <f>IFERROR(__xludf.DUMMYFUNCTION("""COMPUTED_VALUE"""),"Saipos Serviços De Software")</f>
        <v>Saipos Serviços De Software</v>
      </c>
      <c r="X1359" s="33">
        <f>IFERROR(__xludf.DUMMYFUNCTION("""COMPUTED_VALUE"""),0.5)</f>
        <v>0.5</v>
      </c>
    </row>
    <row r="1360">
      <c r="K1360" s="4" t="str">
        <f>IFERROR(__xludf.DUMMYFUNCTION("""COMPUTED_VALUE"""),"EL PADRE FLORIPA - CONTA MARCA")</f>
        <v>EL PADRE FLORIPA - CONTA MARCA</v>
      </c>
      <c r="L1360" s="32">
        <f>IFERROR(__xludf.DUMMYFUNCTION("""COMPUTED_VALUE"""),6.0)</f>
        <v>6</v>
      </c>
      <c r="M1360" s="4" t="str">
        <f>IFERROR(__xludf.DUMMYFUNCTION("""COMPUTED_VALUE"""),"Suitable Tecnologia E Gestao")</f>
        <v>Suitable Tecnologia E Gestao</v>
      </c>
      <c r="N1360" s="33">
        <f>IFERROR(__xludf.DUMMYFUNCTION("""COMPUTED_VALUE"""),1.0)</f>
        <v>1</v>
      </c>
      <c r="O1360" s="4" t="str">
        <f>IFERROR(__xludf.DUMMYFUNCTION("""COMPUTED_VALUE"""),"Suitable Tecnologia E Gestao")</f>
        <v>Suitable Tecnologia E Gestao</v>
      </c>
      <c r="P1360" s="33">
        <f>IFERROR(__xludf.DUMMYFUNCTION("""COMPUTED_VALUE"""),0.6666666666666666)</f>
        <v>0.6666666667</v>
      </c>
      <c r="Q1360" s="4" t="str">
        <f>IFERROR(__xludf.DUMMYFUNCTION("""COMPUTED_VALUE"""),"Suitable Tecnologia E Gestao")</f>
        <v>Suitable Tecnologia E Gestao</v>
      </c>
      <c r="R1360" s="33">
        <f>IFERROR(__xludf.DUMMYFUNCTION("""COMPUTED_VALUE"""),0.6666666666666666)</f>
        <v>0.6666666667</v>
      </c>
      <c r="S1360" s="4" t="str">
        <f>IFERROR(__xludf.DUMMYFUNCTION("""COMPUTED_VALUE"""),"Suitable Tecnologia E Gestao")</f>
        <v>Suitable Tecnologia E Gestao</v>
      </c>
      <c r="T1360" s="33">
        <f>IFERROR(__xludf.DUMMYFUNCTION("""COMPUTED_VALUE"""),0.5)</f>
        <v>0.5</v>
      </c>
      <c r="U1360" s="4" t="str">
        <f>IFERROR(__xludf.DUMMYFUNCTION("""COMPUTED_VALUE"""),"null")</f>
        <v>null</v>
      </c>
      <c r="V1360" s="33">
        <f>IFERROR(__xludf.DUMMYFUNCTION("""COMPUTED_VALUE"""),0.5)</f>
        <v>0.5</v>
      </c>
      <c r="W1360" s="4" t="str">
        <f>IFERROR(__xludf.DUMMYFUNCTION("""COMPUTED_VALUE"""),"null")</f>
        <v>null</v>
      </c>
      <c r="X1360" s="33">
        <f>IFERROR(__xludf.DUMMYFUNCTION("""COMPUTED_VALUE"""),0.5)</f>
        <v>0.5</v>
      </c>
    </row>
    <row r="1361">
      <c r="K1361" s="4" t="str">
        <f>IFERROR(__xludf.DUMMYFUNCTION("""COMPUTED_VALUE"""),"ELITE PIZZA")</f>
        <v>ELITE PIZZA</v>
      </c>
      <c r="L1361" s="32">
        <f>IFERROR(__xludf.DUMMYFUNCTION("""COMPUTED_VALUE"""),6.0)</f>
        <v>6</v>
      </c>
      <c r="M1361" s="4" t="str">
        <f>IFERROR(__xludf.DUMMYFUNCTION("""COMPUTED_VALUE"""),"Brendi")</f>
        <v>Brendi</v>
      </c>
      <c r="N1361" s="33">
        <f>IFERROR(__xludf.DUMMYFUNCTION("""COMPUTED_VALUE"""),0.8333333333333334)</f>
        <v>0.8333333333</v>
      </c>
      <c r="O1361" s="4" t="str">
        <f>IFERROR(__xludf.DUMMYFUNCTION("""COMPUTED_VALUE"""),"Brendi")</f>
        <v>Brendi</v>
      </c>
      <c r="P1361" s="33">
        <f>IFERROR(__xludf.DUMMYFUNCTION("""COMPUTED_VALUE"""),0.5)</f>
        <v>0.5</v>
      </c>
      <c r="Q1361" s="4" t="str">
        <f>IFERROR(__xludf.DUMMYFUNCTION("""COMPUTED_VALUE"""),"Saipos Serviços De Software")</f>
        <v>Saipos Serviços De Software</v>
      </c>
      <c r="R1361" s="33">
        <f>IFERROR(__xludf.DUMMYFUNCTION("""COMPUTED_VALUE"""),0.6666666666666666)</f>
        <v>0.6666666667</v>
      </c>
      <c r="S1361" s="4" t="str">
        <f>IFERROR(__xludf.DUMMYFUNCTION("""COMPUTED_VALUE"""),"Saipos Serviços De Software")</f>
        <v>Saipos Serviços De Software</v>
      </c>
      <c r="T1361" s="33">
        <f>IFERROR(__xludf.DUMMYFUNCTION("""COMPUTED_VALUE"""),0.8333333333333334)</f>
        <v>0.8333333333</v>
      </c>
      <c r="U1361" s="4" t="str">
        <f>IFERROR(__xludf.DUMMYFUNCTION("""COMPUTED_VALUE"""),"Saipos Serviços De Software")</f>
        <v>Saipos Serviços De Software</v>
      </c>
      <c r="V1361" s="33">
        <f>IFERROR(__xludf.DUMMYFUNCTION("""COMPUTED_VALUE"""),0.8333333333333334)</f>
        <v>0.8333333333</v>
      </c>
      <c r="W1361" s="4" t="str">
        <f>IFERROR(__xludf.DUMMYFUNCTION("""COMPUTED_VALUE"""),"Saipos Serviços De Software")</f>
        <v>Saipos Serviços De Software</v>
      </c>
      <c r="X1361" s="33">
        <f>IFERROR(__xludf.DUMMYFUNCTION("""COMPUTED_VALUE"""),0.8333333333333334)</f>
        <v>0.8333333333</v>
      </c>
    </row>
    <row r="1362">
      <c r="K1362" s="4" t="str">
        <f>IFERROR(__xludf.DUMMYFUNCTION("""COMPUTED_VALUE"""),"ESFIHA CHIC")</f>
        <v>ESFIHA CHIC</v>
      </c>
      <c r="L1362" s="32">
        <f>IFERROR(__xludf.DUMMYFUNCTION("""COMPUTED_VALUE"""),6.0)</f>
        <v>6</v>
      </c>
      <c r="M1362" s="4" t="str">
        <f>IFERROR(__xludf.DUMMYFUNCTION("""COMPUTED_VALUE"""),"Garcom Web")</f>
        <v>Garcom Web</v>
      </c>
      <c r="N1362" s="33">
        <f>IFERROR(__xludf.DUMMYFUNCTION("""COMPUTED_VALUE"""),0.5)</f>
        <v>0.5</v>
      </c>
      <c r="O1362" s="4" t="str">
        <f>IFERROR(__xludf.DUMMYFUNCTION("""COMPUTED_VALUE"""),"Garcom Web")</f>
        <v>Garcom Web</v>
      </c>
      <c r="P1362" s="33">
        <f>IFERROR(__xludf.DUMMYFUNCTION("""COMPUTED_VALUE"""),0.5)</f>
        <v>0.5</v>
      </c>
      <c r="Q1362" s="4" t="str">
        <f>IFERROR(__xludf.DUMMYFUNCTION("""COMPUTED_VALUE"""),"Garcom Web")</f>
        <v>Garcom Web</v>
      </c>
      <c r="R1362" s="33">
        <f>IFERROR(__xludf.DUMMYFUNCTION("""COMPUTED_VALUE"""),0.5)</f>
        <v>0.5</v>
      </c>
      <c r="S1362" s="4" t="str">
        <f>IFERROR(__xludf.DUMMYFUNCTION("""COMPUTED_VALUE"""),"Garcom Web")</f>
        <v>Garcom Web</v>
      </c>
      <c r="T1362" s="33">
        <f>IFERROR(__xludf.DUMMYFUNCTION("""COMPUTED_VALUE"""),0.6666666666666666)</f>
        <v>0.6666666667</v>
      </c>
      <c r="U1362" s="4" t="str">
        <f>IFERROR(__xludf.DUMMYFUNCTION("""COMPUTED_VALUE"""),"Garcom Web")</f>
        <v>Garcom Web</v>
      </c>
      <c r="V1362" s="33">
        <f>IFERROR(__xludf.DUMMYFUNCTION("""COMPUTED_VALUE"""),0.6666666666666666)</f>
        <v>0.6666666667</v>
      </c>
      <c r="W1362" s="4" t="str">
        <f>IFERROR(__xludf.DUMMYFUNCTION("""COMPUTED_VALUE"""),"Garcom Web")</f>
        <v>Garcom Web</v>
      </c>
      <c r="X1362" s="33">
        <f>IFERROR(__xludf.DUMMYFUNCTION("""COMPUTED_VALUE"""),0.6666666666666666)</f>
        <v>0.6666666667</v>
      </c>
    </row>
    <row r="1363">
      <c r="K1363" s="4" t="str">
        <f>IFERROR(__xludf.DUMMYFUNCTION("""COMPUTED_VALUE"""),"ESFIHAS DOZZA")</f>
        <v>ESFIHAS DOZZA</v>
      </c>
      <c r="L1363" s="32">
        <f>IFERROR(__xludf.DUMMYFUNCTION("""COMPUTED_VALUE"""),6.0)</f>
        <v>6</v>
      </c>
      <c r="M1363" s="4" t="str">
        <f>IFERROR(__xludf.DUMMYFUNCTION("""COMPUTED_VALUE"""),"Eclética Tecnologia")</f>
        <v>Eclética Tecnologia</v>
      </c>
      <c r="N1363" s="33">
        <f>IFERROR(__xludf.DUMMYFUNCTION("""COMPUTED_VALUE"""),1.0)</f>
        <v>1</v>
      </c>
      <c r="O1363" s="4" t="str">
        <f>IFERROR(__xludf.DUMMYFUNCTION("""COMPUTED_VALUE"""),"Eclética Tecnologia")</f>
        <v>Eclética Tecnologia</v>
      </c>
      <c r="P1363" s="33">
        <f>IFERROR(__xludf.DUMMYFUNCTION("""COMPUTED_VALUE"""),0.6666666666666666)</f>
        <v>0.6666666667</v>
      </c>
      <c r="Q1363" s="4" t="str">
        <f>IFERROR(__xludf.DUMMYFUNCTION("""COMPUTED_VALUE"""),"Eclética Tecnologia")</f>
        <v>Eclética Tecnologia</v>
      </c>
      <c r="R1363" s="33">
        <f>IFERROR(__xludf.DUMMYFUNCTION("""COMPUTED_VALUE"""),0.8333333333333334)</f>
        <v>0.8333333333</v>
      </c>
      <c r="S1363" s="4" t="str">
        <f>IFERROR(__xludf.DUMMYFUNCTION("""COMPUTED_VALUE"""),"Eclética Tecnologia")</f>
        <v>Eclética Tecnologia</v>
      </c>
      <c r="T1363" s="33">
        <f>IFERROR(__xludf.DUMMYFUNCTION("""COMPUTED_VALUE"""),0.8333333333333334)</f>
        <v>0.8333333333</v>
      </c>
      <c r="U1363" s="4" t="str">
        <f>IFERROR(__xludf.DUMMYFUNCTION("""COMPUTED_VALUE"""),"Eclética Tecnologia")</f>
        <v>Eclética Tecnologia</v>
      </c>
      <c r="V1363" s="33">
        <f>IFERROR(__xludf.DUMMYFUNCTION("""COMPUTED_VALUE"""),0.8333333333333334)</f>
        <v>0.8333333333</v>
      </c>
      <c r="W1363" s="4" t="str">
        <f>IFERROR(__xludf.DUMMYFUNCTION("""COMPUTED_VALUE"""),"Eclética Tecnologia")</f>
        <v>Eclética Tecnologia</v>
      </c>
      <c r="X1363" s="33">
        <f>IFERROR(__xludf.DUMMYFUNCTION("""COMPUTED_VALUE"""),0.8333333333333334)</f>
        <v>0.8333333333</v>
      </c>
    </row>
    <row r="1364">
      <c r="K1364" s="4" t="str">
        <f>IFERROR(__xludf.DUMMYFUNCTION("""COMPUTED_VALUE"""),"ESPETAO SAL PARRILA - MARCA")</f>
        <v>ESPETAO SAL PARRILA - MARCA</v>
      </c>
      <c r="L1364" s="32">
        <f>IFERROR(__xludf.DUMMYFUNCTION("""COMPUTED_VALUE"""),6.0)</f>
        <v>6</v>
      </c>
      <c r="M1364" s="4" t="str">
        <f>IFERROR(__xludf.DUMMYFUNCTION("""COMPUTED_VALUE"""),"Saipos Serviços De Software")</f>
        <v>Saipos Serviços De Software</v>
      </c>
      <c r="N1364" s="33">
        <f>IFERROR(__xludf.DUMMYFUNCTION("""COMPUTED_VALUE"""),0.5)</f>
        <v>0.5</v>
      </c>
      <c r="O1364" s="4" t="str">
        <f>IFERROR(__xludf.DUMMYFUNCTION("""COMPUTED_VALUE"""),"Saipos Serviços De Software")</f>
        <v>Saipos Serviços De Software</v>
      </c>
      <c r="P1364" s="33">
        <f>IFERROR(__xludf.DUMMYFUNCTION("""COMPUTED_VALUE"""),0.5)</f>
        <v>0.5</v>
      </c>
      <c r="Q1364" s="4" t="str">
        <f>IFERROR(__xludf.DUMMYFUNCTION("""COMPUTED_VALUE"""),"Saipos Serviços De Software")</f>
        <v>Saipos Serviços De Software</v>
      </c>
      <c r="R1364" s="33">
        <f>IFERROR(__xludf.DUMMYFUNCTION("""COMPUTED_VALUE"""),0.5)</f>
        <v>0.5</v>
      </c>
      <c r="S1364" s="4" t="str">
        <f>IFERROR(__xludf.DUMMYFUNCTION("""COMPUTED_VALUE"""),"Saipos Serviços De Software")</f>
        <v>Saipos Serviços De Software</v>
      </c>
      <c r="T1364" s="33">
        <f>IFERROR(__xludf.DUMMYFUNCTION("""COMPUTED_VALUE"""),0.5)</f>
        <v>0.5</v>
      </c>
      <c r="U1364" s="4" t="str">
        <f>IFERROR(__xludf.DUMMYFUNCTION("""COMPUTED_VALUE"""),"Saipos Serviços De Software")</f>
        <v>Saipos Serviços De Software</v>
      </c>
      <c r="V1364" s="33">
        <f>IFERROR(__xludf.DUMMYFUNCTION("""COMPUTED_VALUE"""),0.5)</f>
        <v>0.5</v>
      </c>
      <c r="W1364" s="4" t="str">
        <f>IFERROR(__xludf.DUMMYFUNCTION("""COMPUTED_VALUE"""),"Saipos Serviços De Software")</f>
        <v>Saipos Serviços De Software</v>
      </c>
      <c r="X1364" s="33">
        <f>IFERROR(__xludf.DUMMYFUNCTION("""COMPUTED_VALUE"""),1.0)</f>
        <v>1</v>
      </c>
    </row>
    <row r="1365">
      <c r="K1365" s="4" t="str">
        <f>IFERROR(__xludf.DUMMYFUNCTION("""COMPUTED_VALUE"""),"ESTACAO DA PRAIA")</f>
        <v>ESTACAO DA PRAIA</v>
      </c>
      <c r="L1365" s="32">
        <f>IFERROR(__xludf.DUMMYFUNCTION("""COMPUTED_VALUE"""),6.0)</f>
        <v>6</v>
      </c>
      <c r="M1365" s="4" t="str">
        <f>IFERROR(__xludf.DUMMYFUNCTION("""COMPUTED_VALUE"""),"Takeat Tecnologia")</f>
        <v>Takeat Tecnologia</v>
      </c>
      <c r="N1365" s="33">
        <f>IFERROR(__xludf.DUMMYFUNCTION("""COMPUTED_VALUE"""),0.5)</f>
        <v>0.5</v>
      </c>
      <c r="O1365" s="4" t="str">
        <f>IFERROR(__xludf.DUMMYFUNCTION("""COMPUTED_VALUE"""),"Takeat Tecnologia")</f>
        <v>Takeat Tecnologia</v>
      </c>
      <c r="P1365" s="33">
        <f>IFERROR(__xludf.DUMMYFUNCTION("""COMPUTED_VALUE"""),0.5)</f>
        <v>0.5</v>
      </c>
      <c r="Q1365" s="4" t="str">
        <f>IFERROR(__xludf.DUMMYFUNCTION("""COMPUTED_VALUE"""),"Takeat Tecnologia")</f>
        <v>Takeat Tecnologia</v>
      </c>
      <c r="R1365" s="33">
        <f>IFERROR(__xludf.DUMMYFUNCTION("""COMPUTED_VALUE"""),0.5)</f>
        <v>0.5</v>
      </c>
      <c r="S1365" s="4" t="str">
        <f>IFERROR(__xludf.DUMMYFUNCTION("""COMPUTED_VALUE"""),"Takeat Tecnologia")</f>
        <v>Takeat Tecnologia</v>
      </c>
      <c r="T1365" s="33">
        <f>IFERROR(__xludf.DUMMYFUNCTION("""COMPUTED_VALUE"""),0.5)</f>
        <v>0.5</v>
      </c>
      <c r="U1365" s="4" t="str">
        <f>IFERROR(__xludf.DUMMYFUNCTION("""COMPUTED_VALUE"""),"Takeat Tecnologia")</f>
        <v>Takeat Tecnologia</v>
      </c>
      <c r="V1365" s="33">
        <f>IFERROR(__xludf.DUMMYFUNCTION("""COMPUTED_VALUE"""),0.5)</f>
        <v>0.5</v>
      </c>
      <c r="W1365" s="4" t="str">
        <f>IFERROR(__xludf.DUMMYFUNCTION("""COMPUTED_VALUE"""),"Takeat Tecnologia")</f>
        <v>Takeat Tecnologia</v>
      </c>
      <c r="X1365" s="33">
        <f>IFERROR(__xludf.DUMMYFUNCTION("""COMPUTED_VALUE"""),0.5)</f>
        <v>0.5</v>
      </c>
    </row>
    <row r="1366">
      <c r="K1366" s="4" t="str">
        <f>IFERROR(__xludf.DUMMYFUNCTION("""COMPUTED_VALUE"""),"ESTACAO DAS PIZZAS - UNIDADE GUANABARA LOJAS PROPRIAS")</f>
        <v>ESTACAO DAS PIZZAS - UNIDADE GUANABARA LOJAS PROPRIAS</v>
      </c>
      <c r="L1366" s="32">
        <f>IFERROR(__xludf.DUMMYFUNCTION("""COMPUTED_VALUE"""),6.0)</f>
        <v>6</v>
      </c>
      <c r="M1366" s="4" t="str">
        <f>IFERROR(__xludf.DUMMYFUNCTION("""COMPUTED_VALUE"""),"Agilizup Solucoes Ltda")</f>
        <v>Agilizup Solucoes Ltda</v>
      </c>
      <c r="N1366" s="33">
        <f>IFERROR(__xludf.DUMMYFUNCTION("""COMPUTED_VALUE"""),1.0)</f>
        <v>1</v>
      </c>
      <c r="O1366" s="4" t="str">
        <f>IFERROR(__xludf.DUMMYFUNCTION("""COMPUTED_VALUE"""),"Agilizup Solucoes Ltda")</f>
        <v>Agilizup Solucoes Ltda</v>
      </c>
      <c r="P1366" s="33">
        <f>IFERROR(__xludf.DUMMYFUNCTION("""COMPUTED_VALUE"""),1.0)</f>
        <v>1</v>
      </c>
      <c r="Q1366" s="4" t="str">
        <f>IFERROR(__xludf.DUMMYFUNCTION("""COMPUTED_VALUE"""),"Agilizup Solucoes Ltda")</f>
        <v>Agilizup Solucoes Ltda</v>
      </c>
      <c r="R1366" s="33">
        <f>IFERROR(__xludf.DUMMYFUNCTION("""COMPUTED_VALUE"""),0.8333333333333334)</f>
        <v>0.8333333333</v>
      </c>
      <c r="S1366" s="4" t="str">
        <f>IFERROR(__xludf.DUMMYFUNCTION("""COMPUTED_VALUE"""),"Agilizup Solucoes Ltda")</f>
        <v>Agilizup Solucoes Ltda</v>
      </c>
      <c r="T1366" s="33">
        <f>IFERROR(__xludf.DUMMYFUNCTION("""COMPUTED_VALUE"""),0.8333333333333334)</f>
        <v>0.8333333333</v>
      </c>
      <c r="U1366" s="4" t="str">
        <f>IFERROR(__xludf.DUMMYFUNCTION("""COMPUTED_VALUE"""),"Agilizup Solucoes Ltda")</f>
        <v>Agilizup Solucoes Ltda</v>
      </c>
      <c r="V1366" s="33">
        <f>IFERROR(__xludf.DUMMYFUNCTION("""COMPUTED_VALUE"""),0.8333333333333334)</f>
        <v>0.8333333333</v>
      </c>
      <c r="W1366" s="4" t="str">
        <f>IFERROR(__xludf.DUMMYFUNCTION("""COMPUTED_VALUE"""),"Agilizup Solucoes Ltda")</f>
        <v>Agilizup Solucoes Ltda</v>
      </c>
      <c r="X1366" s="33">
        <f>IFERROR(__xludf.DUMMYFUNCTION("""COMPUTED_VALUE"""),1.0)</f>
        <v>1</v>
      </c>
    </row>
    <row r="1367">
      <c r="K1367" s="4" t="str">
        <f>IFERROR(__xludf.DUMMYFUNCTION("""COMPUTED_VALUE"""),"GRUPO Z")</f>
        <v>GRUPO Z</v>
      </c>
      <c r="L1367" s="32">
        <f>IFERROR(__xludf.DUMMYFUNCTION("""COMPUTED_VALUE"""),6.0)</f>
        <v>6</v>
      </c>
      <c r="M1367" s="4" t="str">
        <f>IFERROR(__xludf.DUMMYFUNCTION("""COMPUTED_VALUE"""),"null")</f>
        <v>null</v>
      </c>
      <c r="N1367" s="33">
        <f>IFERROR(__xludf.DUMMYFUNCTION("""COMPUTED_VALUE"""),0.5)</f>
        <v>0.5</v>
      </c>
      <c r="O1367" s="4" t="str">
        <f>IFERROR(__xludf.DUMMYFUNCTION("""COMPUTED_VALUE"""),"null")</f>
        <v>null</v>
      </c>
      <c r="P1367" s="33">
        <f>IFERROR(__xludf.DUMMYFUNCTION("""COMPUTED_VALUE"""),0.3333333333333333)</f>
        <v>0.3333333333</v>
      </c>
      <c r="Q1367" s="4" t="str">
        <f>IFERROR(__xludf.DUMMYFUNCTION("""COMPUTED_VALUE"""),"null")</f>
        <v>null</v>
      </c>
      <c r="R1367" s="33">
        <f>IFERROR(__xludf.DUMMYFUNCTION("""COMPUTED_VALUE"""),0.6666666666666666)</f>
        <v>0.6666666667</v>
      </c>
      <c r="S1367" s="4" t="str">
        <f>IFERROR(__xludf.DUMMYFUNCTION("""COMPUTED_VALUE"""),"null")</f>
        <v>null</v>
      </c>
      <c r="T1367" s="33">
        <f>IFERROR(__xludf.DUMMYFUNCTION("""COMPUTED_VALUE"""),0.5)</f>
        <v>0.5</v>
      </c>
      <c r="U1367" s="4" t="str">
        <f>IFERROR(__xludf.DUMMYFUNCTION("""COMPUTED_VALUE"""),"null")</f>
        <v>null</v>
      </c>
      <c r="V1367" s="33">
        <f>IFERROR(__xludf.DUMMYFUNCTION("""COMPUTED_VALUE"""),0.5)</f>
        <v>0.5</v>
      </c>
      <c r="W1367" s="4" t="str">
        <f>IFERROR(__xludf.DUMMYFUNCTION("""COMPUTED_VALUE"""),"null")</f>
        <v>null</v>
      </c>
      <c r="X1367" s="33">
        <f>IFERROR(__xludf.DUMMYFUNCTION("""COMPUTED_VALUE"""),0.5)</f>
        <v>0.5</v>
      </c>
    </row>
    <row r="1368">
      <c r="K1368" s="4" t="str">
        <f>IFERROR(__xludf.DUMMYFUNCTION("""COMPUTED_VALUE"""),"FABRICA DO PASTEL- CP")</f>
        <v>FABRICA DO PASTEL- CP</v>
      </c>
      <c r="L1368" s="32">
        <f>IFERROR(__xludf.DUMMYFUNCTION("""COMPUTED_VALUE"""),6.0)</f>
        <v>6</v>
      </c>
      <c r="M1368" s="4" t="str">
        <f>IFERROR(__xludf.DUMMYFUNCTION("""COMPUTED_VALUE"""),"Consumer Soluções Em Tecnologia Ltda")</f>
        <v>Consumer Soluções Em Tecnologia Ltda</v>
      </c>
      <c r="N1368" s="33">
        <f>IFERROR(__xludf.DUMMYFUNCTION("""COMPUTED_VALUE"""),1.0)</f>
        <v>1</v>
      </c>
      <c r="O1368" s="4" t="str">
        <f>IFERROR(__xludf.DUMMYFUNCTION("""COMPUTED_VALUE"""),"null")</f>
        <v>null</v>
      </c>
      <c r="P1368" s="33">
        <f>IFERROR(__xludf.DUMMYFUNCTION("""COMPUTED_VALUE"""),0.5)</f>
        <v>0.5</v>
      </c>
      <c r="Q1368" s="4" t="str">
        <f>IFERROR(__xludf.DUMMYFUNCTION("""COMPUTED_VALUE"""),"null")</f>
        <v>null</v>
      </c>
      <c r="R1368" s="33">
        <f>IFERROR(__xludf.DUMMYFUNCTION("""COMPUTED_VALUE"""),0.6666666666666666)</f>
        <v>0.6666666667</v>
      </c>
      <c r="S1368" s="4" t="str">
        <f>IFERROR(__xludf.DUMMYFUNCTION("""COMPUTED_VALUE"""),"null")</f>
        <v>null</v>
      </c>
      <c r="T1368" s="33">
        <f>IFERROR(__xludf.DUMMYFUNCTION("""COMPUTED_VALUE"""),0.5)</f>
        <v>0.5</v>
      </c>
      <c r="U1368" s="4" t="str">
        <f>IFERROR(__xludf.DUMMYFUNCTION("""COMPUTED_VALUE"""),"null")</f>
        <v>null</v>
      </c>
      <c r="V1368" s="33">
        <f>IFERROR(__xludf.DUMMYFUNCTION("""COMPUTED_VALUE"""),0.8333333333333334)</f>
        <v>0.8333333333</v>
      </c>
      <c r="W1368" s="4" t="str">
        <f>IFERROR(__xludf.DUMMYFUNCTION("""COMPUTED_VALUE"""),"Consumer Soluções Em Tecnologia Ltda")</f>
        <v>Consumer Soluções Em Tecnologia Ltda</v>
      </c>
      <c r="X1368" s="33">
        <f>IFERROR(__xludf.DUMMYFUNCTION("""COMPUTED_VALUE"""),0.6666666666666666)</f>
        <v>0.6666666667</v>
      </c>
    </row>
    <row r="1369">
      <c r="K1369" s="4" t="str">
        <f>IFERROR(__xludf.DUMMYFUNCTION("""COMPUTED_VALUE"""),"FARMA NOBRE - CENTRO - CONTA MARCA")</f>
        <v>FARMA NOBRE - CENTRO - CONTA MARCA</v>
      </c>
      <c r="L1369" s="32">
        <f>IFERROR(__xludf.DUMMYFUNCTION("""COMPUTED_VALUE"""),6.0)</f>
        <v>6</v>
      </c>
      <c r="M1369" s="4" t="str">
        <f>IFERROR(__xludf.DUMMYFUNCTION("""COMPUTED_VALUE"""),"null")</f>
        <v>null</v>
      </c>
      <c r="N1369" s="33">
        <f>IFERROR(__xludf.DUMMYFUNCTION("""COMPUTED_VALUE"""),0.6666666666666666)</f>
        <v>0.6666666667</v>
      </c>
      <c r="O1369" s="4" t="str">
        <f>IFERROR(__xludf.DUMMYFUNCTION("""COMPUTED_VALUE"""),"N/A (Not found)")</f>
        <v>N/A (Not found)</v>
      </c>
      <c r="P1369" s="33">
        <f>IFERROR(__xludf.DUMMYFUNCTION("""COMPUTED_VALUE"""),1.0)</f>
        <v>1</v>
      </c>
      <c r="Q1369" s="4" t="str">
        <f>IFERROR(__xludf.DUMMYFUNCTION("""COMPUTED_VALUE"""),"N/A (Not found)")</f>
        <v>N/A (Not found)</v>
      </c>
      <c r="R1369" s="33">
        <f>IFERROR(__xludf.DUMMYFUNCTION("""COMPUTED_VALUE"""),1.0)</f>
        <v>1</v>
      </c>
      <c r="S1369" s="4" t="str">
        <f>IFERROR(__xludf.DUMMYFUNCTION("""COMPUTED_VALUE"""),"N/A (Not found)")</f>
        <v>N/A (Not found)</v>
      </c>
      <c r="T1369" s="33">
        <f>IFERROR(__xludf.DUMMYFUNCTION("""COMPUTED_VALUE"""),1.0)</f>
        <v>1</v>
      </c>
      <c r="U1369" s="4" t="str">
        <f>IFERROR(__xludf.DUMMYFUNCTION("""COMPUTED_VALUE"""),"N/A (Not found)")</f>
        <v>N/A (Not found)</v>
      </c>
      <c r="V1369" s="33">
        <f>IFERROR(__xludf.DUMMYFUNCTION("""COMPUTED_VALUE"""),1.0)</f>
        <v>1</v>
      </c>
      <c r="W1369" s="4" t="str">
        <f>IFERROR(__xludf.DUMMYFUNCTION("""COMPUTED_VALUE"""),"N/A (Not found)")</f>
        <v>N/A (Not found)</v>
      </c>
      <c r="X1369" s="33">
        <f>IFERROR(__xludf.DUMMYFUNCTION("""COMPUTED_VALUE"""),1.0)</f>
        <v>1</v>
      </c>
    </row>
    <row r="1370">
      <c r="K1370" s="4" t="str">
        <f>IFERROR(__xludf.DUMMYFUNCTION("""COMPUTED_VALUE"""),"FARMACIA CAMBOINHAS - CONTA MARCA")</f>
        <v>FARMACIA CAMBOINHAS - CONTA MARCA</v>
      </c>
      <c r="L1370" s="32">
        <f>IFERROR(__xludf.DUMMYFUNCTION("""COMPUTED_VALUE"""),6.0)</f>
        <v>6</v>
      </c>
      <c r="M1370" s="4" t="str">
        <f>IFERROR(__xludf.DUMMYFUNCTION("""COMPUTED_VALUE"""),"N/A (Not found)")</f>
        <v>N/A (Not found)</v>
      </c>
      <c r="N1370" s="33">
        <f>IFERROR(__xludf.DUMMYFUNCTION("""COMPUTED_VALUE"""),0.6666666666666666)</f>
        <v>0.6666666667</v>
      </c>
      <c r="O1370" s="4" t="str">
        <f>IFERROR(__xludf.DUMMYFUNCTION("""COMPUTED_VALUE"""),"N/A (Not found)")</f>
        <v>N/A (Not found)</v>
      </c>
      <c r="P1370" s="33">
        <f>IFERROR(__xludf.DUMMYFUNCTION("""COMPUTED_VALUE"""),0.6666666666666666)</f>
        <v>0.6666666667</v>
      </c>
      <c r="Q1370" s="4" t="str">
        <f>IFERROR(__xludf.DUMMYFUNCTION("""COMPUTED_VALUE"""),"N/A (Not found)")</f>
        <v>N/A (Not found)</v>
      </c>
      <c r="R1370" s="33">
        <f>IFERROR(__xludf.DUMMYFUNCTION("""COMPUTED_VALUE"""),0.6666666666666666)</f>
        <v>0.6666666667</v>
      </c>
      <c r="S1370" s="4" t="str">
        <f>IFERROR(__xludf.DUMMYFUNCTION("""COMPUTED_VALUE"""),"N/A (Not found)")</f>
        <v>N/A (Not found)</v>
      </c>
      <c r="T1370" s="33">
        <f>IFERROR(__xludf.DUMMYFUNCTION("""COMPUTED_VALUE"""),0.8333333333333334)</f>
        <v>0.8333333333</v>
      </c>
      <c r="U1370" s="4" t="str">
        <f>IFERROR(__xludf.DUMMYFUNCTION("""COMPUTED_VALUE"""),"N/A (Not found)")</f>
        <v>N/A (Not found)</v>
      </c>
      <c r="V1370" s="33">
        <f>IFERROR(__xludf.DUMMYFUNCTION("""COMPUTED_VALUE"""),0.8333333333333334)</f>
        <v>0.8333333333</v>
      </c>
      <c r="W1370" s="4" t="str">
        <f>IFERROR(__xludf.DUMMYFUNCTION("""COMPUTED_VALUE"""),"N/A (Not found)")</f>
        <v>N/A (Not found)</v>
      </c>
      <c r="X1370" s="33">
        <f>IFERROR(__xludf.DUMMYFUNCTION("""COMPUTED_VALUE"""),1.0)</f>
        <v>1</v>
      </c>
    </row>
    <row r="1371">
      <c r="K1371" s="4" t="str">
        <f>IFERROR(__xludf.DUMMYFUNCTION("""COMPUTED_VALUE"""),"FARMACIAS SANTO ANDRE - CONTA PAI")</f>
        <v>FARMACIAS SANTO ANDRE - CONTA PAI</v>
      </c>
      <c r="L1371" s="32">
        <f>IFERROR(__xludf.DUMMYFUNCTION("""COMPUTED_VALUE"""),6.0)</f>
        <v>6</v>
      </c>
      <c r="M1371" s="4" t="str">
        <f>IFERROR(__xludf.DUMMYFUNCTION("""COMPUTED_VALUE"""),"N/A (Not found)")</f>
        <v>N/A (Not found)</v>
      </c>
      <c r="N1371" s="33">
        <f>IFERROR(__xludf.DUMMYFUNCTION("""COMPUTED_VALUE"""),1.0)</f>
        <v>1</v>
      </c>
      <c r="O1371" s="4" t="str">
        <f>IFERROR(__xludf.DUMMYFUNCTION("""COMPUTED_VALUE"""),"N/A (Not found)")</f>
        <v>N/A (Not found)</v>
      </c>
      <c r="P1371" s="33">
        <f>IFERROR(__xludf.DUMMYFUNCTION("""COMPUTED_VALUE"""),1.0)</f>
        <v>1</v>
      </c>
      <c r="Q1371" s="4" t="str">
        <f>IFERROR(__xludf.DUMMYFUNCTION("""COMPUTED_VALUE"""),"N/A (Not found)")</f>
        <v>N/A (Not found)</v>
      </c>
      <c r="R1371" s="33">
        <f>IFERROR(__xludf.DUMMYFUNCTION("""COMPUTED_VALUE"""),1.0)</f>
        <v>1</v>
      </c>
      <c r="S1371" s="4" t="str">
        <f>IFERROR(__xludf.DUMMYFUNCTION("""COMPUTED_VALUE"""),"N/A (Not found)")</f>
        <v>N/A (Not found)</v>
      </c>
      <c r="T1371" s="33">
        <f>IFERROR(__xludf.DUMMYFUNCTION("""COMPUTED_VALUE"""),1.0)</f>
        <v>1</v>
      </c>
      <c r="U1371" s="4" t="str">
        <f>IFERROR(__xludf.DUMMYFUNCTION("""COMPUTED_VALUE"""),"N/A (Not found)")</f>
        <v>N/A (Not found)</v>
      </c>
      <c r="V1371" s="33">
        <f>IFERROR(__xludf.DUMMYFUNCTION("""COMPUTED_VALUE"""),1.0)</f>
        <v>1</v>
      </c>
      <c r="W1371" s="4" t="str">
        <f>IFERROR(__xludf.DUMMYFUNCTION("""COMPUTED_VALUE"""),"N/A (Not found)")</f>
        <v>N/A (Not found)</v>
      </c>
      <c r="X1371" s="33">
        <f>IFERROR(__xludf.DUMMYFUNCTION("""COMPUTED_VALUE"""),1.0)</f>
        <v>1</v>
      </c>
    </row>
    <row r="1372">
      <c r="K1372" s="4" t="str">
        <f>IFERROR(__xludf.DUMMYFUNCTION("""COMPUTED_VALUE"""),"FICHIPS FOOD")</f>
        <v>FICHIPS FOOD</v>
      </c>
      <c r="L1372" s="32">
        <f>IFERROR(__xludf.DUMMYFUNCTION("""COMPUTED_VALUE"""),6.0)</f>
        <v>6</v>
      </c>
      <c r="M1372" s="4" t="str">
        <f>IFERROR(__xludf.DUMMYFUNCTION("""COMPUTED_VALUE"""),"Stone Co.")</f>
        <v>Stone Co.</v>
      </c>
      <c r="N1372" s="33">
        <f>IFERROR(__xludf.DUMMYFUNCTION("""COMPUTED_VALUE"""),1.0)</f>
        <v>1</v>
      </c>
      <c r="O1372" s="4" t="str">
        <f>IFERROR(__xludf.DUMMYFUNCTION("""COMPUTED_VALUE"""),"Stone Co.")</f>
        <v>Stone Co.</v>
      </c>
      <c r="P1372" s="33">
        <f>IFERROR(__xludf.DUMMYFUNCTION("""COMPUTED_VALUE"""),1.0)</f>
        <v>1</v>
      </c>
      <c r="Q1372" s="4" t="str">
        <f>IFERROR(__xludf.DUMMYFUNCTION("""COMPUTED_VALUE"""),"Stone Co.")</f>
        <v>Stone Co.</v>
      </c>
      <c r="R1372" s="33">
        <f>IFERROR(__xludf.DUMMYFUNCTION("""COMPUTED_VALUE"""),1.0)</f>
        <v>1</v>
      </c>
      <c r="S1372" s="4" t="str">
        <f>IFERROR(__xludf.DUMMYFUNCTION("""COMPUTED_VALUE"""),"Stone Co.")</f>
        <v>Stone Co.</v>
      </c>
      <c r="T1372" s="33">
        <f>IFERROR(__xludf.DUMMYFUNCTION("""COMPUTED_VALUE"""),1.0)</f>
        <v>1</v>
      </c>
      <c r="U1372" s="4" t="str">
        <f>IFERROR(__xludf.DUMMYFUNCTION("""COMPUTED_VALUE"""),"Stone Co.")</f>
        <v>Stone Co.</v>
      </c>
      <c r="V1372" s="33">
        <f>IFERROR(__xludf.DUMMYFUNCTION("""COMPUTED_VALUE"""),0.8333333333333334)</f>
        <v>0.8333333333</v>
      </c>
      <c r="W1372" s="4" t="str">
        <f>IFERROR(__xludf.DUMMYFUNCTION("""COMPUTED_VALUE"""),"Stone Co.")</f>
        <v>Stone Co.</v>
      </c>
      <c r="X1372" s="33">
        <f>IFERROR(__xludf.DUMMYFUNCTION("""COMPUTED_VALUE"""),0.6666666666666666)</f>
        <v>0.6666666667</v>
      </c>
    </row>
    <row r="1373">
      <c r="K1373" s="4" t="str">
        <f>IFERROR(__xludf.DUMMYFUNCTION("""COMPUTED_VALUE"""),"FISHBOWL POKE SUSHI")</f>
        <v>FISHBOWL POKE SUSHI</v>
      </c>
      <c r="L1373" s="32">
        <f>IFERROR(__xludf.DUMMYFUNCTION("""COMPUTED_VALUE"""),6.0)</f>
        <v>6</v>
      </c>
      <c r="M1373" s="4" t="str">
        <f>IFERROR(__xludf.DUMMYFUNCTION("""COMPUTED_VALUE"""),"Totvs Large Enterprise Tecnologia S.a.")</f>
        <v>Totvs Large Enterprise Tecnologia S.a.</v>
      </c>
      <c r="N1373" s="33">
        <f>IFERROR(__xludf.DUMMYFUNCTION("""COMPUTED_VALUE"""),0.8333333333333334)</f>
        <v>0.8333333333</v>
      </c>
      <c r="O1373" s="4" t="str">
        <f>IFERROR(__xludf.DUMMYFUNCTION("""COMPUTED_VALUE"""),"Totvs Large Enterprise Tecnologia S.a.")</f>
        <v>Totvs Large Enterprise Tecnologia S.a.</v>
      </c>
      <c r="P1373" s="33">
        <f>IFERROR(__xludf.DUMMYFUNCTION("""COMPUTED_VALUE"""),0.8333333333333334)</f>
        <v>0.8333333333</v>
      </c>
      <c r="Q1373" s="4" t="str">
        <f>IFERROR(__xludf.DUMMYFUNCTION("""COMPUTED_VALUE"""),"Totvs Large Enterprise Tecnologia S.a.")</f>
        <v>Totvs Large Enterprise Tecnologia S.a.</v>
      </c>
      <c r="R1373" s="33">
        <f>IFERROR(__xludf.DUMMYFUNCTION("""COMPUTED_VALUE"""),1.0)</f>
        <v>1</v>
      </c>
      <c r="S1373" s="4" t="str">
        <f>IFERROR(__xludf.DUMMYFUNCTION("""COMPUTED_VALUE"""),"Totvs Large Enterprise Tecnologia S.a.")</f>
        <v>Totvs Large Enterprise Tecnologia S.a.</v>
      </c>
      <c r="T1373" s="33">
        <f>IFERROR(__xludf.DUMMYFUNCTION("""COMPUTED_VALUE"""),1.0)</f>
        <v>1</v>
      </c>
      <c r="U1373" s="4" t="str">
        <f>IFERROR(__xludf.DUMMYFUNCTION("""COMPUTED_VALUE"""),"null")</f>
        <v>null</v>
      </c>
      <c r="V1373" s="33">
        <f>IFERROR(__xludf.DUMMYFUNCTION("""COMPUTED_VALUE"""),0.5)</f>
        <v>0.5</v>
      </c>
      <c r="W1373" s="4" t="str">
        <f>IFERROR(__xludf.DUMMYFUNCTION("""COMPUTED_VALUE"""),"Totvs Large Enterprise Tecnologia S.a.")</f>
        <v>Totvs Large Enterprise Tecnologia S.a.</v>
      </c>
      <c r="X1373" s="33">
        <f>IFERROR(__xludf.DUMMYFUNCTION("""COMPUTED_VALUE"""),0.8333333333333334)</f>
        <v>0.8333333333</v>
      </c>
    </row>
    <row r="1374">
      <c r="K1374" s="4" t="str">
        <f>IFERROR(__xludf.DUMMYFUNCTION("""COMPUTED_VALUE"""),"FORNERIA ANCHIETA")</f>
        <v>FORNERIA ANCHIETA</v>
      </c>
      <c r="L1374" s="32">
        <f>IFERROR(__xludf.DUMMYFUNCTION("""COMPUTED_VALUE"""),6.0)</f>
        <v>6</v>
      </c>
      <c r="M1374" s="4" t="str">
        <f>IFERROR(__xludf.DUMMYFUNCTION("""COMPUTED_VALUE"""),"null")</f>
        <v>null</v>
      </c>
      <c r="N1374" s="33">
        <f>IFERROR(__xludf.DUMMYFUNCTION("""COMPUTED_VALUE"""),0.5)</f>
        <v>0.5</v>
      </c>
      <c r="O1374" s="4" t="str">
        <f>IFERROR(__xludf.DUMMYFUNCTION("""COMPUTED_VALUE"""),"null")</f>
        <v>null</v>
      </c>
      <c r="P1374" s="33">
        <f>IFERROR(__xludf.DUMMYFUNCTION("""COMPUTED_VALUE"""),0.5)</f>
        <v>0.5</v>
      </c>
      <c r="Q1374" s="4" t="str">
        <f>IFERROR(__xludf.DUMMYFUNCTION("""COMPUTED_VALUE"""),"null")</f>
        <v>null</v>
      </c>
      <c r="R1374" s="33">
        <f>IFERROR(__xludf.DUMMYFUNCTION("""COMPUTED_VALUE"""),0.5)</f>
        <v>0.5</v>
      </c>
      <c r="S1374" s="4" t="str">
        <f>IFERROR(__xludf.DUMMYFUNCTION("""COMPUTED_VALUE"""),"null")</f>
        <v>null</v>
      </c>
      <c r="T1374" s="33">
        <f>IFERROR(__xludf.DUMMYFUNCTION("""COMPUTED_VALUE"""),0.5)</f>
        <v>0.5</v>
      </c>
      <c r="U1374" s="4" t="str">
        <f>IFERROR(__xludf.DUMMYFUNCTION("""COMPUTED_VALUE"""),"null")</f>
        <v>null</v>
      </c>
      <c r="V1374" s="33">
        <f>IFERROR(__xludf.DUMMYFUNCTION("""COMPUTED_VALUE"""),0.5)</f>
        <v>0.5</v>
      </c>
      <c r="W1374" s="4" t="str">
        <f>IFERROR(__xludf.DUMMYFUNCTION("""COMPUTED_VALUE"""),"Agilizup Solucoes Ltda")</f>
        <v>Agilizup Solucoes Ltda</v>
      </c>
      <c r="X1374" s="33">
        <f>IFERROR(__xludf.DUMMYFUNCTION("""COMPUTED_VALUE"""),0.5)</f>
        <v>0.5</v>
      </c>
    </row>
    <row r="1375">
      <c r="K1375" s="4" t="str">
        <f>IFERROR(__xludf.DUMMYFUNCTION("""COMPUTED_VALUE"""),"FRANCOS PIZZA")</f>
        <v>FRANCOS PIZZA</v>
      </c>
      <c r="L1375" s="32">
        <f>IFERROR(__xludf.DUMMYFUNCTION("""COMPUTED_VALUE"""),6.0)</f>
        <v>6</v>
      </c>
      <c r="M1375" s="4" t="str">
        <f>IFERROR(__xludf.DUMMYFUNCTION("""COMPUTED_VALUE"""),"Vekttor")</f>
        <v>Vekttor</v>
      </c>
      <c r="N1375" s="33">
        <f>IFERROR(__xludf.DUMMYFUNCTION("""COMPUTED_VALUE"""),1.0)</f>
        <v>1</v>
      </c>
      <c r="O1375" s="4" t="str">
        <f>IFERROR(__xludf.DUMMYFUNCTION("""COMPUTED_VALUE"""),"Vekttor")</f>
        <v>Vekttor</v>
      </c>
      <c r="P1375" s="33">
        <f>IFERROR(__xludf.DUMMYFUNCTION("""COMPUTED_VALUE"""),0.8333333333333334)</f>
        <v>0.8333333333</v>
      </c>
      <c r="Q1375" s="4" t="str">
        <f>IFERROR(__xludf.DUMMYFUNCTION("""COMPUTED_VALUE"""),"Vekttor")</f>
        <v>Vekttor</v>
      </c>
      <c r="R1375" s="33">
        <f>IFERROR(__xludf.DUMMYFUNCTION("""COMPUTED_VALUE"""),0.8333333333333334)</f>
        <v>0.8333333333</v>
      </c>
      <c r="S1375" s="4" t="str">
        <f>IFERROR(__xludf.DUMMYFUNCTION("""COMPUTED_VALUE"""),"Vekttor")</f>
        <v>Vekttor</v>
      </c>
      <c r="T1375" s="33">
        <f>IFERROR(__xludf.DUMMYFUNCTION("""COMPUTED_VALUE"""),0.8333333333333334)</f>
        <v>0.8333333333</v>
      </c>
      <c r="U1375" s="4" t="str">
        <f>IFERROR(__xludf.DUMMYFUNCTION("""COMPUTED_VALUE"""),"Vekttor")</f>
        <v>Vekttor</v>
      </c>
      <c r="V1375" s="33">
        <f>IFERROR(__xludf.DUMMYFUNCTION("""COMPUTED_VALUE"""),0.8333333333333334)</f>
        <v>0.8333333333</v>
      </c>
      <c r="W1375" s="4" t="str">
        <f>IFERROR(__xludf.DUMMYFUNCTION("""COMPUTED_VALUE"""),"Vekttor")</f>
        <v>Vekttor</v>
      </c>
      <c r="X1375" s="33">
        <f>IFERROR(__xludf.DUMMYFUNCTION("""COMPUTED_VALUE"""),0.8333333333333334)</f>
        <v>0.8333333333</v>
      </c>
    </row>
    <row r="1376">
      <c r="K1376" s="4" t="str">
        <f>IFERROR(__xludf.DUMMYFUNCTION("""COMPUTED_VALUE"""),"FRANGAO DA DUQUE")</f>
        <v>FRANGAO DA DUQUE</v>
      </c>
      <c r="L1376" s="32">
        <f>IFERROR(__xludf.DUMMYFUNCTION("""COMPUTED_VALUE"""),6.0)</f>
        <v>6</v>
      </c>
      <c r="M1376" s="4" t="str">
        <f>IFERROR(__xludf.DUMMYFUNCTION("""COMPUTED_VALUE"""),"Saipos Serviços De Software")</f>
        <v>Saipos Serviços De Software</v>
      </c>
      <c r="N1376" s="33">
        <f>IFERROR(__xludf.DUMMYFUNCTION("""COMPUTED_VALUE"""),0.5)</f>
        <v>0.5</v>
      </c>
      <c r="O1376" s="4" t="str">
        <f>IFERROR(__xludf.DUMMYFUNCTION("""COMPUTED_VALUE"""),"Saipos Serviços De Software")</f>
        <v>Saipos Serviços De Software</v>
      </c>
      <c r="P1376" s="33">
        <f>IFERROR(__xludf.DUMMYFUNCTION("""COMPUTED_VALUE"""),0.5)</f>
        <v>0.5</v>
      </c>
      <c r="Q1376" s="4" t="str">
        <f>IFERROR(__xludf.DUMMYFUNCTION("""COMPUTED_VALUE"""),"Saipos Serviços De Software")</f>
        <v>Saipos Serviços De Software</v>
      </c>
      <c r="R1376" s="33">
        <f>IFERROR(__xludf.DUMMYFUNCTION("""COMPUTED_VALUE"""),0.5)</f>
        <v>0.5</v>
      </c>
      <c r="S1376" s="4" t="str">
        <f>IFERROR(__xludf.DUMMYFUNCTION("""COMPUTED_VALUE"""),"Saipos Serviços De Software")</f>
        <v>Saipos Serviços De Software</v>
      </c>
      <c r="T1376" s="33">
        <f>IFERROR(__xludf.DUMMYFUNCTION("""COMPUTED_VALUE"""),0.5)</f>
        <v>0.5</v>
      </c>
      <c r="U1376" s="4" t="str">
        <f>IFERROR(__xludf.DUMMYFUNCTION("""COMPUTED_VALUE"""),"Saipos Serviços De Software")</f>
        <v>Saipos Serviços De Software</v>
      </c>
      <c r="V1376" s="33">
        <f>IFERROR(__xludf.DUMMYFUNCTION("""COMPUTED_VALUE"""),0.5)</f>
        <v>0.5</v>
      </c>
      <c r="W1376" s="4" t="str">
        <f>IFERROR(__xludf.DUMMYFUNCTION("""COMPUTED_VALUE"""),"Saipos Serviços De Software")</f>
        <v>Saipos Serviços De Software</v>
      </c>
      <c r="X1376" s="33">
        <f>IFERROR(__xludf.DUMMYFUNCTION("""COMPUTED_VALUE"""),0.5)</f>
        <v>0.5</v>
      </c>
    </row>
    <row r="1377">
      <c r="K1377" s="4" t="str">
        <f>IFERROR(__xludf.DUMMYFUNCTION("""COMPUTED_VALUE"""),"FRESH ITALY - CONTA PAI")</f>
        <v>FRESH ITALY - CONTA PAI</v>
      </c>
      <c r="L1377" s="32">
        <f>IFERROR(__xludf.DUMMYFUNCTION("""COMPUTED_VALUE"""),6.0)</f>
        <v>6</v>
      </c>
      <c r="M1377" s="4" t="str">
        <f>IFERROR(__xludf.DUMMYFUNCTION("""COMPUTED_VALUE"""),"Vuca Solution")</f>
        <v>Vuca Solution</v>
      </c>
      <c r="N1377" s="33">
        <f>IFERROR(__xludf.DUMMYFUNCTION("""COMPUTED_VALUE"""),0.6666666666666666)</f>
        <v>0.6666666667</v>
      </c>
      <c r="O1377" s="4" t="str">
        <f>IFERROR(__xludf.DUMMYFUNCTION("""COMPUTED_VALUE"""),"Vuca Solution")</f>
        <v>Vuca Solution</v>
      </c>
      <c r="P1377" s="33">
        <f>IFERROR(__xludf.DUMMYFUNCTION("""COMPUTED_VALUE"""),0.5)</f>
        <v>0.5</v>
      </c>
      <c r="Q1377" s="4" t="str">
        <f>IFERROR(__xludf.DUMMYFUNCTION("""COMPUTED_VALUE"""),"Anota Ai Solucoes Digitais S/a")</f>
        <v>Anota Ai Solucoes Digitais S/a</v>
      </c>
      <c r="R1377" s="33">
        <f>IFERROR(__xludf.DUMMYFUNCTION("""COMPUTED_VALUE"""),0.6666666666666666)</f>
        <v>0.6666666667</v>
      </c>
      <c r="S1377" s="4" t="str">
        <f>IFERROR(__xludf.DUMMYFUNCTION("""COMPUTED_VALUE"""),"Anota Ai Solucoes Digitais S/a")</f>
        <v>Anota Ai Solucoes Digitais S/a</v>
      </c>
      <c r="T1377" s="33">
        <f>IFERROR(__xludf.DUMMYFUNCTION("""COMPUTED_VALUE"""),0.6666666666666666)</f>
        <v>0.6666666667</v>
      </c>
      <c r="U1377" s="4" t="str">
        <f>IFERROR(__xludf.DUMMYFUNCTION("""COMPUTED_VALUE"""),"Anota Ai Solucoes Digitais S/a")</f>
        <v>Anota Ai Solucoes Digitais S/a</v>
      </c>
      <c r="V1377" s="33">
        <f>IFERROR(__xludf.DUMMYFUNCTION("""COMPUTED_VALUE"""),0.6666666666666666)</f>
        <v>0.6666666667</v>
      </c>
      <c r="W1377" s="4" t="str">
        <f>IFERROR(__xludf.DUMMYFUNCTION("""COMPUTED_VALUE"""),"Anota Ai Solucoes Digitais S/a")</f>
        <v>Anota Ai Solucoes Digitais S/a</v>
      </c>
      <c r="X1377" s="33">
        <f>IFERROR(__xludf.DUMMYFUNCTION("""COMPUTED_VALUE"""),0.5)</f>
        <v>0.5</v>
      </c>
    </row>
    <row r="1378">
      <c r="K1378" s="4" t="str">
        <f>IFERROR(__xludf.DUMMYFUNCTION("""COMPUTED_VALUE"""),"FRUTARIA PITAYA")</f>
        <v>FRUTARIA PITAYA</v>
      </c>
      <c r="L1378" s="32">
        <f>IFERROR(__xludf.DUMMYFUNCTION("""COMPUTED_VALUE"""),6.0)</f>
        <v>6</v>
      </c>
      <c r="M1378" s="4" t="str">
        <f>IFERROR(__xludf.DUMMYFUNCTION("""COMPUTED_VALUE"""),"Ncr")</f>
        <v>Ncr</v>
      </c>
      <c r="N1378" s="33">
        <f>IFERROR(__xludf.DUMMYFUNCTION("""COMPUTED_VALUE"""),0.8333333333333334)</f>
        <v>0.8333333333</v>
      </c>
      <c r="O1378" s="4" t="str">
        <f>IFERROR(__xludf.DUMMYFUNCTION("""COMPUTED_VALUE"""),"Ncr")</f>
        <v>Ncr</v>
      </c>
      <c r="P1378" s="33">
        <f>IFERROR(__xludf.DUMMYFUNCTION("""COMPUTED_VALUE"""),0.8333333333333334)</f>
        <v>0.8333333333</v>
      </c>
      <c r="Q1378" s="4" t="str">
        <f>IFERROR(__xludf.DUMMYFUNCTION("""COMPUTED_VALUE"""),"Ncr")</f>
        <v>Ncr</v>
      </c>
      <c r="R1378" s="33">
        <f>IFERROR(__xludf.DUMMYFUNCTION("""COMPUTED_VALUE"""),1.0)</f>
        <v>1</v>
      </c>
      <c r="S1378" s="4" t="str">
        <f>IFERROR(__xludf.DUMMYFUNCTION("""COMPUTED_VALUE"""),"Ncr")</f>
        <v>Ncr</v>
      </c>
      <c r="T1378" s="33">
        <f>IFERROR(__xludf.DUMMYFUNCTION("""COMPUTED_VALUE"""),0.8333333333333334)</f>
        <v>0.8333333333</v>
      </c>
      <c r="U1378" s="4" t="str">
        <f>IFERROR(__xludf.DUMMYFUNCTION("""COMPUTED_VALUE"""),"Ncr")</f>
        <v>Ncr</v>
      </c>
      <c r="V1378" s="33">
        <f>IFERROR(__xludf.DUMMYFUNCTION("""COMPUTED_VALUE"""),0.8333333333333334)</f>
        <v>0.8333333333</v>
      </c>
      <c r="W1378" s="4" t="str">
        <f>IFERROR(__xludf.DUMMYFUNCTION("""COMPUTED_VALUE"""),"Ncr")</f>
        <v>Ncr</v>
      </c>
      <c r="X1378" s="33">
        <f>IFERROR(__xludf.DUMMYFUNCTION("""COMPUTED_VALUE"""),0.8333333333333334)</f>
        <v>0.8333333333</v>
      </c>
    </row>
    <row r="1379">
      <c r="K1379" s="4" t="str">
        <f>IFERROR(__xludf.DUMMYFUNCTION("""COMPUTED_VALUE"""),"GALLETO DO SUL - CONTA MARCA")</f>
        <v>GALLETO DO SUL - CONTA MARCA</v>
      </c>
      <c r="L1379" s="32">
        <f>IFERROR(__xludf.DUMMYFUNCTION("""COMPUTED_VALUE"""),6.0)</f>
        <v>6</v>
      </c>
      <c r="M1379" s="4" t="str">
        <f>IFERROR(__xludf.DUMMYFUNCTION("""COMPUTED_VALUE"""),"Saipos Serviços De Software")</f>
        <v>Saipos Serviços De Software</v>
      </c>
      <c r="N1379" s="33">
        <f>IFERROR(__xludf.DUMMYFUNCTION("""COMPUTED_VALUE"""),1.0)</f>
        <v>1</v>
      </c>
      <c r="O1379" s="4" t="str">
        <f>IFERROR(__xludf.DUMMYFUNCTION("""COMPUTED_VALUE"""),"Saipos Serviços De Software")</f>
        <v>Saipos Serviços De Software</v>
      </c>
      <c r="P1379" s="33">
        <f>IFERROR(__xludf.DUMMYFUNCTION("""COMPUTED_VALUE"""),1.0)</f>
        <v>1</v>
      </c>
      <c r="Q1379" s="4" t="str">
        <f>IFERROR(__xludf.DUMMYFUNCTION("""COMPUTED_VALUE"""),"Saipos Serviços De Software")</f>
        <v>Saipos Serviços De Software</v>
      </c>
      <c r="R1379" s="33">
        <f>IFERROR(__xludf.DUMMYFUNCTION("""COMPUTED_VALUE"""),1.0)</f>
        <v>1</v>
      </c>
      <c r="S1379" s="4" t="str">
        <f>IFERROR(__xludf.DUMMYFUNCTION("""COMPUTED_VALUE"""),"Saipos Serviços De Software")</f>
        <v>Saipos Serviços De Software</v>
      </c>
      <c r="T1379" s="33">
        <f>IFERROR(__xludf.DUMMYFUNCTION("""COMPUTED_VALUE"""),1.0)</f>
        <v>1</v>
      </c>
      <c r="U1379" s="4" t="str">
        <f>IFERROR(__xludf.DUMMYFUNCTION("""COMPUTED_VALUE"""),"Saipos Serviços De Software")</f>
        <v>Saipos Serviços De Software</v>
      </c>
      <c r="V1379" s="33">
        <f>IFERROR(__xludf.DUMMYFUNCTION("""COMPUTED_VALUE"""),1.0)</f>
        <v>1</v>
      </c>
      <c r="W1379" s="4" t="str">
        <f>IFERROR(__xludf.DUMMYFUNCTION("""COMPUTED_VALUE"""),"Saipos Serviços De Software")</f>
        <v>Saipos Serviços De Software</v>
      </c>
      <c r="X1379" s="33">
        <f>IFERROR(__xludf.DUMMYFUNCTION("""COMPUTED_VALUE"""),1.0)</f>
        <v>1</v>
      </c>
    </row>
    <row r="1380">
      <c r="K1380" s="4" t="str">
        <f>IFERROR(__xludf.DUMMYFUNCTION("""COMPUTED_VALUE"""),"GAUCHO MALLET GRILL")</f>
        <v>GAUCHO MALLET GRILL</v>
      </c>
      <c r="L1380" s="32">
        <f>IFERROR(__xludf.DUMMYFUNCTION("""COMPUTED_VALUE"""),6.0)</f>
        <v>6</v>
      </c>
      <c r="M1380" s="4" t="str">
        <f>IFERROR(__xludf.DUMMYFUNCTION("""COMPUTED_VALUE"""),"Unitak Tecnologia")</f>
        <v>Unitak Tecnologia</v>
      </c>
      <c r="N1380" s="33">
        <f>IFERROR(__xludf.DUMMYFUNCTION("""COMPUTED_VALUE"""),1.0)</f>
        <v>1</v>
      </c>
      <c r="O1380" s="4" t="str">
        <f>IFERROR(__xludf.DUMMYFUNCTION("""COMPUTED_VALUE"""),"Unitak Tecnologia")</f>
        <v>Unitak Tecnologia</v>
      </c>
      <c r="P1380" s="33">
        <f>IFERROR(__xludf.DUMMYFUNCTION("""COMPUTED_VALUE"""),1.0)</f>
        <v>1</v>
      </c>
      <c r="Q1380" s="4" t="str">
        <f>IFERROR(__xludf.DUMMYFUNCTION("""COMPUTED_VALUE"""),"Unitak Tecnologia")</f>
        <v>Unitak Tecnologia</v>
      </c>
      <c r="R1380" s="33">
        <f>IFERROR(__xludf.DUMMYFUNCTION("""COMPUTED_VALUE"""),0.8333333333333334)</f>
        <v>0.8333333333</v>
      </c>
      <c r="S1380" s="4" t="str">
        <f>IFERROR(__xludf.DUMMYFUNCTION("""COMPUTED_VALUE"""),"Unitak Tecnologia")</f>
        <v>Unitak Tecnologia</v>
      </c>
      <c r="T1380" s="33">
        <f>IFERROR(__xludf.DUMMYFUNCTION("""COMPUTED_VALUE"""),0.5)</f>
        <v>0.5</v>
      </c>
      <c r="U1380" s="4" t="str">
        <f>IFERROR(__xludf.DUMMYFUNCTION("""COMPUTED_VALUE"""),"null")</f>
        <v>null</v>
      </c>
      <c r="V1380" s="33">
        <f>IFERROR(__xludf.DUMMYFUNCTION("""COMPUTED_VALUE"""),0.6666666666666666)</f>
        <v>0.6666666667</v>
      </c>
      <c r="W1380" s="4" t="str">
        <f>IFERROR(__xludf.DUMMYFUNCTION("""COMPUTED_VALUE"""),"null")</f>
        <v>null</v>
      </c>
      <c r="X1380" s="33">
        <f>IFERROR(__xludf.DUMMYFUNCTION("""COMPUTED_VALUE"""),0.6666666666666666)</f>
        <v>0.6666666667</v>
      </c>
    </row>
    <row r="1381">
      <c r="K1381" s="4" t="str">
        <f>IFERROR(__xludf.DUMMYFUNCTION("""COMPUTED_VALUE"""),"GLORIOSO BURGUER - CONTA PAI")</f>
        <v>GLORIOSO BURGUER - CONTA PAI</v>
      </c>
      <c r="L1381" s="32">
        <f>IFERROR(__xludf.DUMMYFUNCTION("""COMPUTED_VALUE"""),6.0)</f>
        <v>6</v>
      </c>
      <c r="M1381" s="4" t="str">
        <f>IFERROR(__xludf.DUMMYFUNCTION("""COMPUTED_VALUE"""),"Eclética Tecnologia")</f>
        <v>Eclética Tecnologia</v>
      </c>
      <c r="N1381" s="33">
        <f>IFERROR(__xludf.DUMMYFUNCTION("""COMPUTED_VALUE"""),1.0)</f>
        <v>1</v>
      </c>
      <c r="O1381" s="4" t="str">
        <f>IFERROR(__xludf.DUMMYFUNCTION("""COMPUTED_VALUE"""),"Eclética Tecnologia")</f>
        <v>Eclética Tecnologia</v>
      </c>
      <c r="P1381" s="33">
        <f>IFERROR(__xludf.DUMMYFUNCTION("""COMPUTED_VALUE"""),0.8333333333333334)</f>
        <v>0.8333333333</v>
      </c>
      <c r="Q1381" s="4" t="str">
        <f>IFERROR(__xludf.DUMMYFUNCTION("""COMPUTED_VALUE"""),"Eclética Tecnologia")</f>
        <v>Eclética Tecnologia</v>
      </c>
      <c r="R1381" s="33">
        <f>IFERROR(__xludf.DUMMYFUNCTION("""COMPUTED_VALUE"""),0.8333333333333334)</f>
        <v>0.8333333333</v>
      </c>
      <c r="S1381" s="4" t="str">
        <f>IFERROR(__xludf.DUMMYFUNCTION("""COMPUTED_VALUE"""),"Eclética Tecnologia")</f>
        <v>Eclética Tecnologia</v>
      </c>
      <c r="T1381" s="33">
        <f>IFERROR(__xludf.DUMMYFUNCTION("""COMPUTED_VALUE"""),1.0)</f>
        <v>1</v>
      </c>
      <c r="U1381" s="4" t="str">
        <f>IFERROR(__xludf.DUMMYFUNCTION("""COMPUTED_VALUE"""),"Eclética Tecnologia")</f>
        <v>Eclética Tecnologia</v>
      </c>
      <c r="V1381" s="33">
        <f>IFERROR(__xludf.DUMMYFUNCTION("""COMPUTED_VALUE"""),0.8333333333333334)</f>
        <v>0.8333333333</v>
      </c>
      <c r="W1381" s="4" t="str">
        <f>IFERROR(__xludf.DUMMYFUNCTION("""COMPUTED_VALUE"""),"Eclética Tecnologia")</f>
        <v>Eclética Tecnologia</v>
      </c>
      <c r="X1381" s="33">
        <f>IFERROR(__xludf.DUMMYFUNCTION("""COMPUTED_VALUE"""),1.0)</f>
        <v>1</v>
      </c>
    </row>
    <row r="1382">
      <c r="K1382" s="4" t="str">
        <f>IFERROR(__xludf.DUMMYFUNCTION("""COMPUTED_VALUE"""),"GORDAO LANCHES - NORTE SUL")</f>
        <v>GORDAO LANCHES - NORTE SUL</v>
      </c>
      <c r="L1382" s="32">
        <f>IFERROR(__xludf.DUMMYFUNCTION("""COMPUTED_VALUE"""),6.0)</f>
        <v>6</v>
      </c>
      <c r="M1382" s="4" t="str">
        <f>IFERROR(__xludf.DUMMYFUNCTION("""COMPUTED_VALUE"""),"Chs Certificacao Digital E Tecnologia Ltda")</f>
        <v>Chs Certificacao Digital E Tecnologia Ltda</v>
      </c>
      <c r="N1382" s="33">
        <f>IFERROR(__xludf.DUMMYFUNCTION("""COMPUTED_VALUE"""),1.0)</f>
        <v>1</v>
      </c>
      <c r="O1382" s="4" t="str">
        <f>IFERROR(__xludf.DUMMYFUNCTION("""COMPUTED_VALUE"""),"Chs Certificacao Digital E Tecnologia Ltda")</f>
        <v>Chs Certificacao Digital E Tecnologia Ltda</v>
      </c>
      <c r="P1382" s="33">
        <f>IFERROR(__xludf.DUMMYFUNCTION("""COMPUTED_VALUE"""),0.8333333333333334)</f>
        <v>0.8333333333</v>
      </c>
      <c r="Q1382" s="4" t="str">
        <f>IFERROR(__xludf.DUMMYFUNCTION("""COMPUTED_VALUE"""),"Chs Certificacao Digital E Tecnologia Ltda")</f>
        <v>Chs Certificacao Digital E Tecnologia Ltda</v>
      </c>
      <c r="R1382" s="33">
        <f>IFERROR(__xludf.DUMMYFUNCTION("""COMPUTED_VALUE"""),0.8333333333333334)</f>
        <v>0.8333333333</v>
      </c>
      <c r="S1382" s="4" t="str">
        <f>IFERROR(__xludf.DUMMYFUNCTION("""COMPUTED_VALUE"""),"Chs Certificacao Digital E Tecnologia Ltda")</f>
        <v>Chs Certificacao Digital E Tecnologia Ltda</v>
      </c>
      <c r="T1382" s="33">
        <f>IFERROR(__xludf.DUMMYFUNCTION("""COMPUTED_VALUE"""),0.8333333333333334)</f>
        <v>0.8333333333</v>
      </c>
      <c r="U1382" s="4" t="str">
        <f>IFERROR(__xludf.DUMMYFUNCTION("""COMPUTED_VALUE"""),"Chs Certificacao Digital E Tecnologia Ltda")</f>
        <v>Chs Certificacao Digital E Tecnologia Ltda</v>
      </c>
      <c r="V1382" s="33">
        <f>IFERROR(__xludf.DUMMYFUNCTION("""COMPUTED_VALUE"""),1.0)</f>
        <v>1</v>
      </c>
      <c r="W1382" s="4" t="str">
        <f>IFERROR(__xludf.DUMMYFUNCTION("""COMPUTED_VALUE"""),"Chs Certificacao Digital E Tecnologia Ltda")</f>
        <v>Chs Certificacao Digital E Tecnologia Ltda</v>
      </c>
      <c r="X1382" s="33">
        <f>IFERROR(__xludf.DUMMYFUNCTION("""COMPUTED_VALUE"""),0.6666666666666666)</f>
        <v>0.6666666667</v>
      </c>
    </row>
    <row r="1383">
      <c r="K1383" s="4" t="str">
        <f>IFERROR(__xludf.DUMMYFUNCTION("""COMPUTED_VALUE"""),"GRACCO BURGER")</f>
        <v>GRACCO BURGER</v>
      </c>
      <c r="L1383" s="32">
        <f>IFERROR(__xludf.DUMMYFUNCTION("""COMPUTED_VALUE"""),6.0)</f>
        <v>6</v>
      </c>
      <c r="M1383" s="4" t="str">
        <f>IFERROR(__xludf.DUMMYFUNCTION("""COMPUTED_VALUE"""),"Sagres Automação Comercial")</f>
        <v>Sagres Automação Comercial</v>
      </c>
      <c r="N1383" s="33">
        <f>IFERROR(__xludf.DUMMYFUNCTION("""COMPUTED_VALUE"""),1.0)</f>
        <v>1</v>
      </c>
      <c r="O1383" s="4" t="str">
        <f>IFERROR(__xludf.DUMMYFUNCTION("""COMPUTED_VALUE"""),"Sagres Automação Comercial")</f>
        <v>Sagres Automação Comercial</v>
      </c>
      <c r="P1383" s="33">
        <f>IFERROR(__xludf.DUMMYFUNCTION("""COMPUTED_VALUE"""),0.8333333333333334)</f>
        <v>0.8333333333</v>
      </c>
      <c r="Q1383" s="4" t="str">
        <f>IFERROR(__xludf.DUMMYFUNCTION("""COMPUTED_VALUE"""),"Sagres Automação Comercial")</f>
        <v>Sagres Automação Comercial</v>
      </c>
      <c r="R1383" s="33">
        <f>IFERROR(__xludf.DUMMYFUNCTION("""COMPUTED_VALUE"""),1.0)</f>
        <v>1</v>
      </c>
      <c r="S1383" s="4" t="str">
        <f>IFERROR(__xludf.DUMMYFUNCTION("""COMPUTED_VALUE"""),"Sagres Automação Comercial")</f>
        <v>Sagres Automação Comercial</v>
      </c>
      <c r="T1383" s="33">
        <f>IFERROR(__xludf.DUMMYFUNCTION("""COMPUTED_VALUE"""),0.8333333333333334)</f>
        <v>0.8333333333</v>
      </c>
      <c r="U1383" s="4" t="str">
        <f>IFERROR(__xludf.DUMMYFUNCTION("""COMPUTED_VALUE"""),"Sagres Automação Comercial")</f>
        <v>Sagres Automação Comercial</v>
      </c>
      <c r="V1383" s="33">
        <f>IFERROR(__xludf.DUMMYFUNCTION("""COMPUTED_VALUE"""),1.0)</f>
        <v>1</v>
      </c>
      <c r="W1383" s="4" t="str">
        <f>IFERROR(__xludf.DUMMYFUNCTION("""COMPUTED_VALUE"""),"Sagres Automação Comercial")</f>
        <v>Sagres Automação Comercial</v>
      </c>
      <c r="X1383" s="33">
        <f>IFERROR(__xludf.DUMMYFUNCTION("""COMPUTED_VALUE"""),0.8333333333333334)</f>
        <v>0.8333333333</v>
      </c>
    </row>
    <row r="1384">
      <c r="K1384" s="4" t="str">
        <f>IFERROR(__xludf.DUMMYFUNCTION("""COMPUTED_VALUE"""),"GREGOS E CIA")</f>
        <v>GREGOS E CIA</v>
      </c>
      <c r="L1384" s="32">
        <f>IFERROR(__xludf.DUMMYFUNCTION("""COMPUTED_VALUE"""),6.0)</f>
        <v>6</v>
      </c>
      <c r="M1384" s="4" t="str">
        <f>IFERROR(__xludf.DUMMYFUNCTION("""COMPUTED_VALUE"""),"Consumer Soluções Em Tecnologia Ltda")</f>
        <v>Consumer Soluções Em Tecnologia Ltda</v>
      </c>
      <c r="N1384" s="33">
        <f>IFERROR(__xludf.DUMMYFUNCTION("""COMPUTED_VALUE"""),0.6666666666666666)</f>
        <v>0.6666666667</v>
      </c>
      <c r="O1384" s="4" t="str">
        <f>IFERROR(__xludf.DUMMYFUNCTION("""COMPUTED_VALUE"""),"null")</f>
        <v>null</v>
      </c>
      <c r="P1384" s="33">
        <f>IFERROR(__xludf.DUMMYFUNCTION("""COMPUTED_VALUE"""),0.8333333333333334)</f>
        <v>0.8333333333</v>
      </c>
      <c r="Q1384" s="4" t="str">
        <f>IFERROR(__xludf.DUMMYFUNCTION("""COMPUTED_VALUE"""),"null")</f>
        <v>null</v>
      </c>
      <c r="R1384" s="33">
        <f>IFERROR(__xludf.DUMMYFUNCTION("""COMPUTED_VALUE"""),1.0)</f>
        <v>1</v>
      </c>
      <c r="S1384" s="4" t="str">
        <f>IFERROR(__xludf.DUMMYFUNCTION("""COMPUTED_VALUE"""),"null")</f>
        <v>null</v>
      </c>
      <c r="T1384" s="33">
        <f>IFERROR(__xludf.DUMMYFUNCTION("""COMPUTED_VALUE"""),1.0)</f>
        <v>1</v>
      </c>
      <c r="U1384" s="4" t="str">
        <f>IFERROR(__xludf.DUMMYFUNCTION("""COMPUTED_VALUE"""),"null")</f>
        <v>null</v>
      </c>
      <c r="V1384" s="33">
        <f>IFERROR(__xludf.DUMMYFUNCTION("""COMPUTED_VALUE"""),0.6666666666666666)</f>
        <v>0.6666666667</v>
      </c>
      <c r="W1384" s="4" t="str">
        <f>IFERROR(__xludf.DUMMYFUNCTION("""COMPUTED_VALUE"""),"Consumer Soluções Em Tecnologia Ltda")</f>
        <v>Consumer Soluções Em Tecnologia Ltda</v>
      </c>
      <c r="X1384" s="33">
        <f>IFERROR(__xludf.DUMMYFUNCTION("""COMPUTED_VALUE"""),0.5)</f>
        <v>0.5</v>
      </c>
    </row>
    <row r="1385">
      <c r="K1385" s="4" t="str">
        <f>IFERROR(__xludf.DUMMYFUNCTION("""COMPUTED_VALUE"""),"GROSS BURGER - MARCA")</f>
        <v>GROSS BURGER - MARCA</v>
      </c>
      <c r="L1385" s="32">
        <f>IFERROR(__xludf.DUMMYFUNCTION("""COMPUTED_VALUE"""),6.0)</f>
        <v>6</v>
      </c>
      <c r="M1385" s="4" t="str">
        <f>IFERROR(__xludf.DUMMYFUNCTION("""COMPUTED_VALUE"""),"Bbifood")</f>
        <v>Bbifood</v>
      </c>
      <c r="N1385" s="33">
        <f>IFERROR(__xludf.DUMMYFUNCTION("""COMPUTED_VALUE"""),0.6666666666666666)</f>
        <v>0.6666666667</v>
      </c>
      <c r="O1385" s="4" t="str">
        <f>IFERROR(__xludf.DUMMYFUNCTION("""COMPUTED_VALUE"""),"Bbifood")</f>
        <v>Bbifood</v>
      </c>
      <c r="P1385" s="33">
        <f>IFERROR(__xludf.DUMMYFUNCTION("""COMPUTED_VALUE"""),0.6666666666666666)</f>
        <v>0.6666666667</v>
      </c>
      <c r="Q1385" s="4" t="str">
        <f>IFERROR(__xludf.DUMMYFUNCTION("""COMPUTED_VALUE"""),"Bbifood")</f>
        <v>Bbifood</v>
      </c>
      <c r="R1385" s="33">
        <f>IFERROR(__xludf.DUMMYFUNCTION("""COMPUTED_VALUE"""),0.6666666666666666)</f>
        <v>0.6666666667</v>
      </c>
      <c r="S1385" s="4" t="str">
        <f>IFERROR(__xludf.DUMMYFUNCTION("""COMPUTED_VALUE"""),"Bbifood")</f>
        <v>Bbifood</v>
      </c>
      <c r="T1385" s="33">
        <f>IFERROR(__xludf.DUMMYFUNCTION("""COMPUTED_VALUE"""),0.6666666666666666)</f>
        <v>0.6666666667</v>
      </c>
      <c r="U1385" s="4" t="str">
        <f>IFERROR(__xludf.DUMMYFUNCTION("""COMPUTED_VALUE"""),"Bbifood")</f>
        <v>Bbifood</v>
      </c>
      <c r="V1385" s="33">
        <f>IFERROR(__xludf.DUMMYFUNCTION("""COMPUTED_VALUE"""),0.8333333333333334)</f>
        <v>0.8333333333</v>
      </c>
      <c r="W1385" s="4" t="str">
        <f>IFERROR(__xludf.DUMMYFUNCTION("""COMPUTED_VALUE"""),"Bbifood")</f>
        <v>Bbifood</v>
      </c>
      <c r="X1385" s="33">
        <f>IFERROR(__xludf.DUMMYFUNCTION("""COMPUTED_VALUE"""),1.0)</f>
        <v>1</v>
      </c>
    </row>
    <row r="1386">
      <c r="K1386" s="4" t="str">
        <f>IFERROR(__xludf.DUMMYFUNCTION("""COMPUTED_VALUE"""),"GRPF GROUP")</f>
        <v>GRPF GROUP</v>
      </c>
      <c r="L1386" s="32">
        <f>IFERROR(__xludf.DUMMYFUNCTION("""COMPUTED_VALUE"""),6.0)</f>
        <v>6</v>
      </c>
      <c r="M1386" s="4" t="str">
        <f>IFERROR(__xludf.DUMMYFUNCTION("""COMPUTED_VALUE"""),"Saipos Serviços De Software")</f>
        <v>Saipos Serviços De Software</v>
      </c>
      <c r="N1386" s="33">
        <f>IFERROR(__xludf.DUMMYFUNCTION("""COMPUTED_VALUE"""),1.0)</f>
        <v>1</v>
      </c>
      <c r="O1386" s="4" t="str">
        <f>IFERROR(__xludf.DUMMYFUNCTION("""COMPUTED_VALUE"""),"Saipos Serviços De Software")</f>
        <v>Saipos Serviços De Software</v>
      </c>
      <c r="P1386" s="33">
        <f>IFERROR(__xludf.DUMMYFUNCTION("""COMPUTED_VALUE"""),1.0)</f>
        <v>1</v>
      </c>
      <c r="Q1386" s="4" t="str">
        <f>IFERROR(__xludf.DUMMYFUNCTION("""COMPUTED_VALUE"""),"Saipos Serviços De Software")</f>
        <v>Saipos Serviços De Software</v>
      </c>
      <c r="R1386" s="33">
        <f>IFERROR(__xludf.DUMMYFUNCTION("""COMPUTED_VALUE"""),1.0)</f>
        <v>1</v>
      </c>
      <c r="S1386" s="4" t="str">
        <f>IFERROR(__xludf.DUMMYFUNCTION("""COMPUTED_VALUE"""),"Saipos Serviços De Software")</f>
        <v>Saipos Serviços De Software</v>
      </c>
      <c r="T1386" s="33">
        <f>IFERROR(__xludf.DUMMYFUNCTION("""COMPUTED_VALUE"""),1.0)</f>
        <v>1</v>
      </c>
      <c r="U1386" s="4" t="str">
        <f>IFERROR(__xludf.DUMMYFUNCTION("""COMPUTED_VALUE"""),"Saipos Serviços De Software")</f>
        <v>Saipos Serviços De Software</v>
      </c>
      <c r="V1386" s="33">
        <f>IFERROR(__xludf.DUMMYFUNCTION("""COMPUTED_VALUE"""),1.0)</f>
        <v>1</v>
      </c>
      <c r="W1386" s="4" t="str">
        <f>IFERROR(__xludf.DUMMYFUNCTION("""COMPUTED_VALUE"""),"Saipos Serviços De Software")</f>
        <v>Saipos Serviços De Software</v>
      </c>
      <c r="X1386" s="33">
        <f>IFERROR(__xludf.DUMMYFUNCTION("""COMPUTED_VALUE"""),1.0)</f>
        <v>1</v>
      </c>
    </row>
    <row r="1387">
      <c r="K1387" s="4" t="str">
        <f>IFERROR(__xludf.DUMMYFUNCTION("""COMPUTED_VALUE"""),"GRUPO ALYSSON MULLER")</f>
        <v>GRUPO ALYSSON MULLER</v>
      </c>
      <c r="L1387" s="32">
        <f>IFERROR(__xludf.DUMMYFUNCTION("""COMPUTED_VALUE"""),6.0)</f>
        <v>6</v>
      </c>
      <c r="M1387" s="4" t="str">
        <f>IFERROR(__xludf.DUMMYFUNCTION("""COMPUTED_VALUE"""),"Bitbar")</f>
        <v>Bitbar</v>
      </c>
      <c r="N1387" s="33">
        <f>IFERROR(__xludf.DUMMYFUNCTION("""COMPUTED_VALUE"""),1.0)</f>
        <v>1</v>
      </c>
      <c r="O1387" s="4" t="str">
        <f>IFERROR(__xludf.DUMMYFUNCTION("""COMPUTED_VALUE"""),"Bitbar")</f>
        <v>Bitbar</v>
      </c>
      <c r="P1387" s="33">
        <f>IFERROR(__xludf.DUMMYFUNCTION("""COMPUTED_VALUE"""),1.0)</f>
        <v>1</v>
      </c>
      <c r="Q1387" s="4" t="str">
        <f>IFERROR(__xludf.DUMMYFUNCTION("""COMPUTED_VALUE"""),"Bitbar")</f>
        <v>Bitbar</v>
      </c>
      <c r="R1387" s="33">
        <f>IFERROR(__xludf.DUMMYFUNCTION("""COMPUTED_VALUE"""),0.8333333333333334)</f>
        <v>0.8333333333</v>
      </c>
      <c r="S1387" s="4" t="str">
        <f>IFERROR(__xludf.DUMMYFUNCTION("""COMPUTED_VALUE"""),"Bitbar")</f>
        <v>Bitbar</v>
      </c>
      <c r="T1387" s="33">
        <f>IFERROR(__xludf.DUMMYFUNCTION("""COMPUTED_VALUE"""),0.8333333333333334)</f>
        <v>0.8333333333</v>
      </c>
      <c r="U1387" s="4" t="str">
        <f>IFERROR(__xludf.DUMMYFUNCTION("""COMPUTED_VALUE"""),"Bitbar")</f>
        <v>Bitbar</v>
      </c>
      <c r="V1387" s="33">
        <f>IFERROR(__xludf.DUMMYFUNCTION("""COMPUTED_VALUE"""),1.0)</f>
        <v>1</v>
      </c>
      <c r="W1387" s="4" t="str">
        <f>IFERROR(__xludf.DUMMYFUNCTION("""COMPUTED_VALUE"""),"Bitbar")</f>
        <v>Bitbar</v>
      </c>
      <c r="X1387" s="33">
        <f>IFERROR(__xludf.DUMMYFUNCTION("""COMPUTED_VALUE"""),1.0)</f>
        <v>1</v>
      </c>
    </row>
    <row r="1388">
      <c r="K1388" s="4" t="str">
        <f>IFERROR(__xludf.DUMMYFUNCTION("""COMPUTED_VALUE"""),"GRUPO BACO")</f>
        <v>GRUPO BACO</v>
      </c>
      <c r="L1388" s="32">
        <f>IFERROR(__xludf.DUMMYFUNCTION("""COMPUTED_VALUE"""),6.0)</f>
        <v>6</v>
      </c>
      <c r="M1388" s="4" t="str">
        <f>IFERROR(__xludf.DUMMYFUNCTION("""COMPUTED_VALUE"""),"null")</f>
        <v>null</v>
      </c>
      <c r="N1388" s="33">
        <f>IFERROR(__xludf.DUMMYFUNCTION("""COMPUTED_VALUE"""),0.5)</f>
        <v>0.5</v>
      </c>
      <c r="O1388" s="4" t="str">
        <f>IFERROR(__xludf.DUMMYFUNCTION("""COMPUTED_VALUE"""),"null")</f>
        <v>null</v>
      </c>
      <c r="P1388" s="33">
        <f>IFERROR(__xludf.DUMMYFUNCTION("""COMPUTED_VALUE"""),0.5)</f>
        <v>0.5</v>
      </c>
      <c r="Q1388" s="4" t="str">
        <f>IFERROR(__xludf.DUMMYFUNCTION("""COMPUTED_VALUE"""),"Teknisa Service Ltda")</f>
        <v>Teknisa Service Ltda</v>
      </c>
      <c r="R1388" s="33">
        <f>IFERROR(__xludf.DUMMYFUNCTION("""COMPUTED_VALUE"""),0.8333333333333334)</f>
        <v>0.8333333333</v>
      </c>
      <c r="S1388" s="4" t="str">
        <f>IFERROR(__xludf.DUMMYFUNCTION("""COMPUTED_VALUE"""),"null")</f>
        <v>null</v>
      </c>
      <c r="T1388" s="33">
        <f>IFERROR(__xludf.DUMMYFUNCTION("""COMPUTED_VALUE"""),0.5)</f>
        <v>0.5</v>
      </c>
      <c r="U1388" s="4" t="str">
        <f>IFERROR(__xludf.DUMMYFUNCTION("""COMPUTED_VALUE"""),"Teknisa Service Ltda")</f>
        <v>Teknisa Service Ltda</v>
      </c>
      <c r="V1388" s="33">
        <f>IFERROR(__xludf.DUMMYFUNCTION("""COMPUTED_VALUE"""),0.8333333333333334)</f>
        <v>0.8333333333</v>
      </c>
      <c r="W1388" s="4" t="str">
        <f>IFERROR(__xludf.DUMMYFUNCTION("""COMPUTED_VALUE"""),"Teknisa Service Ltda")</f>
        <v>Teknisa Service Ltda</v>
      </c>
      <c r="X1388" s="33">
        <f>IFERROR(__xludf.DUMMYFUNCTION("""COMPUTED_VALUE"""),1.0)</f>
        <v>1</v>
      </c>
    </row>
    <row r="1389">
      <c r="K1389" s="4" t="str">
        <f>IFERROR(__xludf.DUMMYFUNCTION("""COMPUTED_VALUE"""),"GRUPO BASTOS")</f>
        <v>GRUPO BASTOS</v>
      </c>
      <c r="L1389" s="32">
        <f>IFERROR(__xludf.DUMMYFUNCTION("""COMPUTED_VALUE"""),6.0)</f>
        <v>6</v>
      </c>
      <c r="M1389" s="4" t="str">
        <f>IFERROR(__xludf.DUMMYFUNCTION("""COMPUTED_VALUE"""),"Saipos Serviços De Software")</f>
        <v>Saipos Serviços De Software</v>
      </c>
      <c r="N1389" s="33">
        <f>IFERROR(__xludf.DUMMYFUNCTION("""COMPUTED_VALUE"""),1.0)</f>
        <v>1</v>
      </c>
      <c r="O1389" s="4" t="str">
        <f>IFERROR(__xludf.DUMMYFUNCTION("""COMPUTED_VALUE"""),"Saipos Serviços De Software")</f>
        <v>Saipos Serviços De Software</v>
      </c>
      <c r="P1389" s="33">
        <f>IFERROR(__xludf.DUMMYFUNCTION("""COMPUTED_VALUE"""),0.8333333333333334)</f>
        <v>0.8333333333</v>
      </c>
      <c r="Q1389" s="4" t="str">
        <f>IFERROR(__xludf.DUMMYFUNCTION("""COMPUTED_VALUE"""),"Saipos Serviços De Software")</f>
        <v>Saipos Serviços De Software</v>
      </c>
      <c r="R1389" s="33">
        <f>IFERROR(__xludf.DUMMYFUNCTION("""COMPUTED_VALUE"""),0.8333333333333334)</f>
        <v>0.8333333333</v>
      </c>
      <c r="S1389" s="4" t="str">
        <f>IFERROR(__xludf.DUMMYFUNCTION("""COMPUTED_VALUE"""),"Saipos Serviços De Software")</f>
        <v>Saipos Serviços De Software</v>
      </c>
      <c r="T1389" s="33">
        <f>IFERROR(__xludf.DUMMYFUNCTION("""COMPUTED_VALUE"""),0.8333333333333334)</f>
        <v>0.8333333333</v>
      </c>
      <c r="U1389" s="4" t="str">
        <f>IFERROR(__xludf.DUMMYFUNCTION("""COMPUTED_VALUE"""),"Saipos Serviços De Software")</f>
        <v>Saipos Serviços De Software</v>
      </c>
      <c r="V1389" s="33">
        <f>IFERROR(__xludf.DUMMYFUNCTION("""COMPUTED_VALUE"""),0.8333333333333334)</f>
        <v>0.8333333333</v>
      </c>
      <c r="W1389" s="4" t="str">
        <f>IFERROR(__xludf.DUMMYFUNCTION("""COMPUTED_VALUE"""),"Saipos Serviços De Software")</f>
        <v>Saipos Serviços De Software</v>
      </c>
      <c r="X1389" s="33">
        <f>IFERROR(__xludf.DUMMYFUNCTION("""COMPUTED_VALUE"""),0.8333333333333334)</f>
        <v>0.8333333333</v>
      </c>
    </row>
    <row r="1390">
      <c r="K1390" s="4" t="str">
        <f>IFERROR(__xludf.DUMMYFUNCTION("""COMPUTED_VALUE"""),"GRUPO CANTINHO DA PIZZA")</f>
        <v>GRUPO CANTINHO DA PIZZA</v>
      </c>
      <c r="L1390" s="32">
        <f>IFERROR(__xludf.DUMMYFUNCTION("""COMPUTED_VALUE"""),6.0)</f>
        <v>6</v>
      </c>
      <c r="M1390" s="4" t="str">
        <f>IFERROR(__xludf.DUMMYFUNCTION("""COMPUTED_VALUE"""),"null")</f>
        <v>null</v>
      </c>
      <c r="N1390" s="33">
        <f>IFERROR(__xludf.DUMMYFUNCTION("""COMPUTED_VALUE"""),1.0)</f>
        <v>1</v>
      </c>
      <c r="O1390" s="4" t="str">
        <f>IFERROR(__xludf.DUMMYFUNCTION("""COMPUTED_VALUE"""),"null")</f>
        <v>null</v>
      </c>
      <c r="P1390" s="33">
        <f>IFERROR(__xludf.DUMMYFUNCTION("""COMPUTED_VALUE"""),1.0)</f>
        <v>1</v>
      </c>
      <c r="Q1390" s="4" t="str">
        <f>IFERROR(__xludf.DUMMYFUNCTION("""COMPUTED_VALUE"""),"Saipos Serviços De Software")</f>
        <v>Saipos Serviços De Software</v>
      </c>
      <c r="R1390" s="33">
        <f>IFERROR(__xludf.DUMMYFUNCTION("""COMPUTED_VALUE"""),0.6666666666666666)</f>
        <v>0.6666666667</v>
      </c>
      <c r="S1390" s="4" t="str">
        <f>IFERROR(__xludf.DUMMYFUNCTION("""COMPUTED_VALUE"""),"Saipos Serviços De Software")</f>
        <v>Saipos Serviços De Software</v>
      </c>
      <c r="T1390" s="33">
        <f>IFERROR(__xludf.DUMMYFUNCTION("""COMPUTED_VALUE"""),1.0)</f>
        <v>1</v>
      </c>
      <c r="U1390" s="4" t="str">
        <f>IFERROR(__xludf.DUMMYFUNCTION("""COMPUTED_VALUE"""),"Saipos Serviços De Software")</f>
        <v>Saipos Serviços De Software</v>
      </c>
      <c r="V1390" s="33">
        <f>IFERROR(__xludf.DUMMYFUNCTION("""COMPUTED_VALUE"""),0.8333333333333334)</f>
        <v>0.8333333333</v>
      </c>
      <c r="W1390" s="4" t="str">
        <f>IFERROR(__xludf.DUMMYFUNCTION("""COMPUTED_VALUE"""),"Saipos Serviços De Software")</f>
        <v>Saipos Serviços De Software</v>
      </c>
      <c r="X1390" s="33">
        <f>IFERROR(__xludf.DUMMYFUNCTION("""COMPUTED_VALUE"""),0.6666666666666666)</f>
        <v>0.6666666667</v>
      </c>
    </row>
    <row r="1391">
      <c r="K1391" s="4" t="str">
        <f>IFERROR(__xludf.DUMMYFUNCTION("""COMPUTED_VALUE"""),"GRUPO CEVAR")</f>
        <v>GRUPO CEVAR</v>
      </c>
      <c r="L1391" s="32">
        <f>IFERROR(__xludf.DUMMYFUNCTION("""COMPUTED_VALUE"""),6.0)</f>
        <v>6</v>
      </c>
      <c r="M1391" s="4" t="str">
        <f>IFERROR(__xludf.DUMMYFUNCTION("""COMPUTED_VALUE"""),"Teknisa Service Ltda")</f>
        <v>Teknisa Service Ltda</v>
      </c>
      <c r="N1391" s="33">
        <f>IFERROR(__xludf.DUMMYFUNCTION("""COMPUTED_VALUE"""),0.5)</f>
        <v>0.5</v>
      </c>
      <c r="O1391" s="4" t="str">
        <f>IFERROR(__xludf.DUMMYFUNCTION("""COMPUTED_VALUE"""),"Cloudfy")</f>
        <v>Cloudfy</v>
      </c>
      <c r="P1391" s="33">
        <f>IFERROR(__xludf.DUMMYFUNCTION("""COMPUTED_VALUE"""),0.5)</f>
        <v>0.5</v>
      </c>
      <c r="Q1391" s="4" t="str">
        <f>IFERROR(__xludf.DUMMYFUNCTION("""COMPUTED_VALUE"""),"Cloudfy")</f>
        <v>Cloudfy</v>
      </c>
      <c r="R1391" s="33">
        <f>IFERROR(__xludf.DUMMYFUNCTION("""COMPUTED_VALUE"""),0.5)</f>
        <v>0.5</v>
      </c>
      <c r="S1391" s="4" t="str">
        <f>IFERROR(__xludf.DUMMYFUNCTION("""COMPUTED_VALUE"""),"Teknisa Service Ltda")</f>
        <v>Teknisa Service Ltda</v>
      </c>
      <c r="T1391" s="33">
        <f>IFERROR(__xludf.DUMMYFUNCTION("""COMPUTED_VALUE"""),0.5)</f>
        <v>0.5</v>
      </c>
      <c r="U1391" s="4" t="str">
        <f>IFERROR(__xludf.DUMMYFUNCTION("""COMPUTED_VALUE"""),"Cloudfy")</f>
        <v>Cloudfy</v>
      </c>
      <c r="V1391" s="33">
        <f>IFERROR(__xludf.DUMMYFUNCTION("""COMPUTED_VALUE"""),0.6666666666666666)</f>
        <v>0.6666666667</v>
      </c>
      <c r="W1391" s="4" t="str">
        <f>IFERROR(__xludf.DUMMYFUNCTION("""COMPUTED_VALUE"""),"null")</f>
        <v>null</v>
      </c>
      <c r="X1391" s="33">
        <f>IFERROR(__xludf.DUMMYFUNCTION("""COMPUTED_VALUE"""),0.5)</f>
        <v>0.5</v>
      </c>
    </row>
    <row r="1392">
      <c r="K1392" s="4" t="str">
        <f>IFERROR(__xludf.DUMMYFUNCTION("""COMPUTED_VALUE"""),"GRUPO CUPIM BAR_ BELO")</f>
        <v>GRUPO CUPIM BAR_ BELO</v>
      </c>
      <c r="L1392" s="32">
        <f>IFERROR(__xludf.DUMMYFUNCTION("""COMPUTED_VALUE"""),6.0)</f>
        <v>6</v>
      </c>
      <c r="M1392" s="4" t="str">
        <f>IFERROR(__xludf.DUMMYFUNCTION("""COMPUTED_VALUE"""),"Fire Sistemas")</f>
        <v>Fire Sistemas</v>
      </c>
      <c r="N1392" s="33">
        <f>IFERROR(__xludf.DUMMYFUNCTION("""COMPUTED_VALUE"""),0.6666666666666666)</f>
        <v>0.6666666667</v>
      </c>
      <c r="O1392" s="4" t="str">
        <f>IFERROR(__xludf.DUMMYFUNCTION("""COMPUTED_VALUE"""),"Fire Sistemas")</f>
        <v>Fire Sistemas</v>
      </c>
      <c r="P1392" s="33">
        <f>IFERROR(__xludf.DUMMYFUNCTION("""COMPUTED_VALUE"""),0.6666666666666666)</f>
        <v>0.6666666667</v>
      </c>
      <c r="Q1392" s="4" t="str">
        <f>IFERROR(__xludf.DUMMYFUNCTION("""COMPUTED_VALUE"""),"Fire Sistemas")</f>
        <v>Fire Sistemas</v>
      </c>
      <c r="R1392" s="33">
        <f>IFERROR(__xludf.DUMMYFUNCTION("""COMPUTED_VALUE"""),0.6666666666666666)</f>
        <v>0.6666666667</v>
      </c>
      <c r="S1392" s="4" t="str">
        <f>IFERROR(__xludf.DUMMYFUNCTION("""COMPUTED_VALUE"""),"Fire Sistemas")</f>
        <v>Fire Sistemas</v>
      </c>
      <c r="T1392" s="33">
        <f>IFERROR(__xludf.DUMMYFUNCTION("""COMPUTED_VALUE"""),0.6666666666666666)</f>
        <v>0.6666666667</v>
      </c>
      <c r="U1392" s="4" t="str">
        <f>IFERROR(__xludf.DUMMYFUNCTION("""COMPUTED_VALUE"""),"Fire Sistemas")</f>
        <v>Fire Sistemas</v>
      </c>
      <c r="V1392" s="33">
        <f>IFERROR(__xludf.DUMMYFUNCTION("""COMPUTED_VALUE"""),0.6666666666666666)</f>
        <v>0.6666666667</v>
      </c>
      <c r="W1392" s="4" t="str">
        <f>IFERROR(__xludf.DUMMYFUNCTION("""COMPUTED_VALUE"""),"Fire Sistemas")</f>
        <v>Fire Sistemas</v>
      </c>
      <c r="X1392" s="33">
        <f>IFERROR(__xludf.DUMMYFUNCTION("""COMPUTED_VALUE"""),0.6666666666666666)</f>
        <v>0.6666666667</v>
      </c>
    </row>
    <row r="1393">
      <c r="K1393" s="4" t="str">
        <f>IFERROR(__xludf.DUMMYFUNCTION("""COMPUTED_VALUE"""),"GRUPO FREDS PIZZA")</f>
        <v>GRUPO FREDS PIZZA</v>
      </c>
      <c r="L1393" s="32">
        <f>IFERROR(__xludf.DUMMYFUNCTION("""COMPUTED_VALUE"""),6.0)</f>
        <v>6</v>
      </c>
      <c r="M1393" s="4" t="str">
        <f>IFERROR(__xludf.DUMMYFUNCTION("""COMPUTED_VALUE"""),"Saipos Serviços De Software")</f>
        <v>Saipos Serviços De Software</v>
      </c>
      <c r="N1393" s="33">
        <f>IFERROR(__xludf.DUMMYFUNCTION("""COMPUTED_VALUE"""),0.8333333333333334)</f>
        <v>0.8333333333</v>
      </c>
      <c r="O1393" s="4" t="str">
        <f>IFERROR(__xludf.DUMMYFUNCTION("""COMPUTED_VALUE"""),"Saipos Serviços De Software")</f>
        <v>Saipos Serviços De Software</v>
      </c>
      <c r="P1393" s="33">
        <f>IFERROR(__xludf.DUMMYFUNCTION("""COMPUTED_VALUE"""),0.8333333333333334)</f>
        <v>0.8333333333</v>
      </c>
      <c r="Q1393" s="4" t="str">
        <f>IFERROR(__xludf.DUMMYFUNCTION("""COMPUTED_VALUE"""),"Saipos Serviços De Software")</f>
        <v>Saipos Serviços De Software</v>
      </c>
      <c r="R1393" s="33">
        <f>IFERROR(__xludf.DUMMYFUNCTION("""COMPUTED_VALUE"""),0.8333333333333334)</f>
        <v>0.8333333333</v>
      </c>
      <c r="S1393" s="4" t="str">
        <f>IFERROR(__xludf.DUMMYFUNCTION("""COMPUTED_VALUE"""),"Saipos Serviços De Software")</f>
        <v>Saipos Serviços De Software</v>
      </c>
      <c r="T1393" s="33">
        <f>IFERROR(__xludf.DUMMYFUNCTION("""COMPUTED_VALUE"""),0.8333333333333334)</f>
        <v>0.8333333333</v>
      </c>
      <c r="U1393" s="4" t="str">
        <f>IFERROR(__xludf.DUMMYFUNCTION("""COMPUTED_VALUE"""),"Saipos Serviços De Software")</f>
        <v>Saipos Serviços De Software</v>
      </c>
      <c r="V1393" s="33">
        <f>IFERROR(__xludf.DUMMYFUNCTION("""COMPUTED_VALUE"""),1.0)</f>
        <v>1</v>
      </c>
      <c r="W1393" s="4" t="str">
        <f>IFERROR(__xludf.DUMMYFUNCTION("""COMPUTED_VALUE"""),"Saipos Serviços De Software")</f>
        <v>Saipos Serviços De Software</v>
      </c>
      <c r="X1393" s="33">
        <f>IFERROR(__xludf.DUMMYFUNCTION("""COMPUTED_VALUE"""),0.8333333333333334)</f>
        <v>0.8333333333</v>
      </c>
    </row>
    <row r="1394">
      <c r="K1394" s="4" t="str">
        <f>IFERROR(__xludf.DUMMYFUNCTION("""COMPUTED_VALUE"""),"GRUPO LE PINGUE")</f>
        <v>GRUPO LE PINGUE</v>
      </c>
      <c r="L1394" s="32">
        <f>IFERROR(__xludf.DUMMYFUNCTION("""COMPUTED_VALUE"""),6.0)</f>
        <v>6</v>
      </c>
      <c r="M1394" s="4" t="str">
        <f>IFERROR(__xludf.DUMMYFUNCTION("""COMPUTED_VALUE"""),"Ncr")</f>
        <v>Ncr</v>
      </c>
      <c r="N1394" s="33">
        <f>IFERROR(__xludf.DUMMYFUNCTION("""COMPUTED_VALUE"""),0.8333333333333334)</f>
        <v>0.8333333333</v>
      </c>
      <c r="O1394" s="4" t="str">
        <f>IFERROR(__xludf.DUMMYFUNCTION("""COMPUTED_VALUE"""),"Ncr")</f>
        <v>Ncr</v>
      </c>
      <c r="P1394" s="33">
        <f>IFERROR(__xludf.DUMMYFUNCTION("""COMPUTED_VALUE"""),0.8333333333333334)</f>
        <v>0.8333333333</v>
      </c>
      <c r="Q1394" s="4" t="str">
        <f>IFERROR(__xludf.DUMMYFUNCTION("""COMPUTED_VALUE"""),"Ncr")</f>
        <v>Ncr</v>
      </c>
      <c r="R1394" s="33">
        <f>IFERROR(__xludf.DUMMYFUNCTION("""COMPUTED_VALUE"""),0.8333333333333334)</f>
        <v>0.8333333333</v>
      </c>
      <c r="S1394" s="4" t="str">
        <f>IFERROR(__xludf.DUMMYFUNCTION("""COMPUTED_VALUE"""),"Ncr")</f>
        <v>Ncr</v>
      </c>
      <c r="T1394" s="33">
        <f>IFERROR(__xludf.DUMMYFUNCTION("""COMPUTED_VALUE"""),0.6666666666666666)</f>
        <v>0.6666666667</v>
      </c>
      <c r="U1394" s="4" t="str">
        <f>IFERROR(__xludf.DUMMYFUNCTION("""COMPUTED_VALUE"""),"null")</f>
        <v>null</v>
      </c>
      <c r="V1394" s="33">
        <f>IFERROR(__xludf.DUMMYFUNCTION("""COMPUTED_VALUE"""),0.5)</f>
        <v>0.5</v>
      </c>
      <c r="W1394" s="4" t="str">
        <f>IFERROR(__xludf.DUMMYFUNCTION("""COMPUTED_VALUE"""),"null")</f>
        <v>null</v>
      </c>
      <c r="X1394" s="33">
        <f>IFERROR(__xludf.DUMMYFUNCTION("""COMPUTED_VALUE"""),0.5)</f>
        <v>0.5</v>
      </c>
    </row>
    <row r="1395">
      <c r="K1395" s="4" t="str">
        <f>IFERROR(__xludf.DUMMYFUNCTION("""COMPUTED_VALUE"""),"GRUPO O FI DE VO")</f>
        <v>GRUPO O FI DE VO</v>
      </c>
      <c r="L1395" s="32">
        <f>IFERROR(__xludf.DUMMYFUNCTION("""COMPUTED_VALUE"""),6.0)</f>
        <v>6</v>
      </c>
      <c r="M1395" s="4" t="str">
        <f>IFERROR(__xludf.DUMMYFUNCTION("""COMPUTED_VALUE"""),"Saipos Serviços De Software")</f>
        <v>Saipos Serviços De Software</v>
      </c>
      <c r="N1395" s="33">
        <f>IFERROR(__xludf.DUMMYFUNCTION("""COMPUTED_VALUE"""),0.3333333333333333)</f>
        <v>0.3333333333</v>
      </c>
      <c r="O1395" s="4" t="str">
        <f>IFERROR(__xludf.DUMMYFUNCTION("""COMPUTED_VALUE"""),"Saipos Serviços De Software")</f>
        <v>Saipos Serviços De Software</v>
      </c>
      <c r="P1395" s="33">
        <f>IFERROR(__xludf.DUMMYFUNCTION("""COMPUTED_VALUE"""),0.3333333333333333)</f>
        <v>0.3333333333</v>
      </c>
      <c r="Q1395" s="4" t="str">
        <f>IFERROR(__xludf.DUMMYFUNCTION("""COMPUTED_VALUE"""),"Saipos Serviços De Software")</f>
        <v>Saipos Serviços De Software</v>
      </c>
      <c r="R1395" s="33">
        <f>IFERROR(__xludf.DUMMYFUNCTION("""COMPUTED_VALUE"""),0.5)</f>
        <v>0.5</v>
      </c>
      <c r="S1395" s="4" t="str">
        <f>IFERROR(__xludf.DUMMYFUNCTION("""COMPUTED_VALUE"""),"Saipos Serviços De Software")</f>
        <v>Saipos Serviços De Software</v>
      </c>
      <c r="T1395" s="33">
        <f>IFERROR(__xludf.DUMMYFUNCTION("""COMPUTED_VALUE"""),0.3333333333333333)</f>
        <v>0.3333333333</v>
      </c>
      <c r="U1395" s="4" t="str">
        <f>IFERROR(__xludf.DUMMYFUNCTION("""COMPUTED_VALUE"""),"Saipos Serviços De Software")</f>
        <v>Saipos Serviços De Software</v>
      </c>
      <c r="V1395" s="33">
        <f>IFERROR(__xludf.DUMMYFUNCTION("""COMPUTED_VALUE"""),0.5)</f>
        <v>0.5</v>
      </c>
      <c r="W1395" s="4" t="str">
        <f>IFERROR(__xludf.DUMMYFUNCTION("""COMPUTED_VALUE"""),"null")</f>
        <v>null</v>
      </c>
      <c r="X1395" s="33">
        <f>IFERROR(__xludf.DUMMYFUNCTION("""COMPUTED_VALUE"""),0.3333333333333333)</f>
        <v>0.3333333333</v>
      </c>
    </row>
    <row r="1396">
      <c r="K1396" s="4" t="str">
        <f>IFERROR(__xludf.DUMMYFUNCTION("""COMPUTED_VALUE"""),"GRUPO PALUDI")</f>
        <v>GRUPO PALUDI</v>
      </c>
      <c r="L1396" s="32">
        <f>IFERROR(__xludf.DUMMYFUNCTION("""COMPUTED_VALUE"""),6.0)</f>
        <v>6</v>
      </c>
      <c r="M1396" s="4" t="str">
        <f>IFERROR(__xludf.DUMMYFUNCTION("""COMPUTED_VALUE"""),"null")</f>
        <v>null</v>
      </c>
      <c r="N1396" s="33">
        <f>IFERROR(__xludf.DUMMYFUNCTION("""COMPUTED_VALUE"""),0.6666666666666666)</f>
        <v>0.6666666667</v>
      </c>
      <c r="O1396" s="4" t="str">
        <f>IFERROR(__xludf.DUMMYFUNCTION("""COMPUTED_VALUE"""),"null")</f>
        <v>null</v>
      </c>
      <c r="P1396" s="33">
        <f>IFERROR(__xludf.DUMMYFUNCTION("""COMPUTED_VALUE"""),0.6666666666666666)</f>
        <v>0.6666666667</v>
      </c>
      <c r="Q1396" s="4" t="str">
        <f>IFERROR(__xludf.DUMMYFUNCTION("""COMPUTED_VALUE"""),"Netcontroll Xmenu")</f>
        <v>Netcontroll Xmenu</v>
      </c>
      <c r="R1396" s="33">
        <f>IFERROR(__xludf.DUMMYFUNCTION("""COMPUTED_VALUE"""),0.8333333333333334)</f>
        <v>0.8333333333</v>
      </c>
      <c r="S1396" s="4" t="str">
        <f>IFERROR(__xludf.DUMMYFUNCTION("""COMPUTED_VALUE"""),"Netcontroll Xmenu")</f>
        <v>Netcontroll Xmenu</v>
      </c>
      <c r="T1396" s="33">
        <f>IFERROR(__xludf.DUMMYFUNCTION("""COMPUTED_VALUE"""),0.8333333333333334)</f>
        <v>0.8333333333</v>
      </c>
      <c r="U1396" s="4" t="str">
        <f>IFERROR(__xludf.DUMMYFUNCTION("""COMPUTED_VALUE"""),"Netcontroll Xmenu")</f>
        <v>Netcontroll Xmenu</v>
      </c>
      <c r="V1396" s="33">
        <f>IFERROR(__xludf.DUMMYFUNCTION("""COMPUTED_VALUE"""),1.0)</f>
        <v>1</v>
      </c>
      <c r="W1396" s="4" t="str">
        <f>IFERROR(__xludf.DUMMYFUNCTION("""COMPUTED_VALUE"""),"Netcontroll Xmenu")</f>
        <v>Netcontroll Xmenu</v>
      </c>
      <c r="X1396" s="33">
        <f>IFERROR(__xludf.DUMMYFUNCTION("""COMPUTED_VALUE"""),0.8333333333333334)</f>
        <v>0.8333333333</v>
      </c>
    </row>
    <row r="1397">
      <c r="K1397" s="4" t="str">
        <f>IFERROR(__xludf.DUMMYFUNCTION("""COMPUTED_VALUE"""),"GRUPO PIZZA URBANA")</f>
        <v>GRUPO PIZZA URBANA</v>
      </c>
      <c r="L1397" s="32">
        <f>IFERROR(__xludf.DUMMYFUNCTION("""COMPUTED_VALUE"""),6.0)</f>
        <v>6</v>
      </c>
      <c r="M1397" s="4" t="str">
        <f>IFERROR(__xludf.DUMMYFUNCTION("""COMPUTED_VALUE"""),"Saipos Serviços De Software")</f>
        <v>Saipos Serviços De Software</v>
      </c>
      <c r="N1397" s="33">
        <f>IFERROR(__xludf.DUMMYFUNCTION("""COMPUTED_VALUE"""),1.0)</f>
        <v>1</v>
      </c>
      <c r="O1397" s="4" t="str">
        <f>IFERROR(__xludf.DUMMYFUNCTION("""COMPUTED_VALUE"""),"Saipos Serviços De Software")</f>
        <v>Saipos Serviços De Software</v>
      </c>
      <c r="P1397" s="33">
        <f>IFERROR(__xludf.DUMMYFUNCTION("""COMPUTED_VALUE"""),1.0)</f>
        <v>1</v>
      </c>
      <c r="Q1397" s="4" t="str">
        <f>IFERROR(__xludf.DUMMYFUNCTION("""COMPUTED_VALUE"""),"Saipos Serviços De Software")</f>
        <v>Saipos Serviços De Software</v>
      </c>
      <c r="R1397" s="33">
        <f>IFERROR(__xludf.DUMMYFUNCTION("""COMPUTED_VALUE"""),1.0)</f>
        <v>1</v>
      </c>
      <c r="S1397" s="4" t="str">
        <f>IFERROR(__xludf.DUMMYFUNCTION("""COMPUTED_VALUE"""),"Saipos Serviços De Software")</f>
        <v>Saipos Serviços De Software</v>
      </c>
      <c r="T1397" s="33">
        <f>IFERROR(__xludf.DUMMYFUNCTION("""COMPUTED_VALUE"""),1.0)</f>
        <v>1</v>
      </c>
      <c r="U1397" s="4" t="str">
        <f>IFERROR(__xludf.DUMMYFUNCTION("""COMPUTED_VALUE"""),"Saipos Serviços De Software")</f>
        <v>Saipos Serviços De Software</v>
      </c>
      <c r="V1397" s="33">
        <f>IFERROR(__xludf.DUMMYFUNCTION("""COMPUTED_VALUE"""),1.0)</f>
        <v>1</v>
      </c>
      <c r="W1397" s="4" t="str">
        <f>IFERROR(__xludf.DUMMYFUNCTION("""COMPUTED_VALUE"""),"Saipos Serviços De Software")</f>
        <v>Saipos Serviços De Software</v>
      </c>
      <c r="X1397" s="33">
        <f>IFERROR(__xludf.DUMMYFUNCTION("""COMPUTED_VALUE"""),1.0)</f>
        <v>1</v>
      </c>
    </row>
    <row r="1398">
      <c r="K1398" s="4" t="str">
        <f>IFERROR(__xludf.DUMMYFUNCTION("""COMPUTED_VALUE"""),"GRUPO ROCKY")</f>
        <v>GRUPO ROCKY</v>
      </c>
      <c r="L1398" s="32">
        <f>IFERROR(__xludf.DUMMYFUNCTION("""COMPUTED_VALUE"""),6.0)</f>
        <v>6</v>
      </c>
      <c r="M1398" s="4" t="str">
        <f>IFERROR(__xludf.DUMMYFUNCTION("""COMPUTED_VALUE"""),"Saipos Serviços De Software")</f>
        <v>Saipos Serviços De Software</v>
      </c>
      <c r="N1398" s="33">
        <f>IFERROR(__xludf.DUMMYFUNCTION("""COMPUTED_VALUE"""),0.8333333333333334)</f>
        <v>0.8333333333</v>
      </c>
      <c r="O1398" s="4" t="str">
        <f>IFERROR(__xludf.DUMMYFUNCTION("""COMPUTED_VALUE"""),"Saipos Serviços De Software")</f>
        <v>Saipos Serviços De Software</v>
      </c>
      <c r="P1398" s="33">
        <f>IFERROR(__xludf.DUMMYFUNCTION("""COMPUTED_VALUE"""),0.8333333333333334)</f>
        <v>0.8333333333</v>
      </c>
      <c r="Q1398" s="4" t="str">
        <f>IFERROR(__xludf.DUMMYFUNCTION("""COMPUTED_VALUE"""),"Saipos Serviços De Software")</f>
        <v>Saipos Serviços De Software</v>
      </c>
      <c r="R1398" s="33">
        <f>IFERROR(__xludf.DUMMYFUNCTION("""COMPUTED_VALUE"""),0.8333333333333334)</f>
        <v>0.8333333333</v>
      </c>
      <c r="S1398" s="4" t="str">
        <f>IFERROR(__xludf.DUMMYFUNCTION("""COMPUTED_VALUE"""),"Saipos Serviços De Software")</f>
        <v>Saipos Serviços De Software</v>
      </c>
      <c r="T1398" s="33">
        <f>IFERROR(__xludf.DUMMYFUNCTION("""COMPUTED_VALUE"""),0.8333333333333334)</f>
        <v>0.8333333333</v>
      </c>
      <c r="U1398" s="4" t="str">
        <f>IFERROR(__xludf.DUMMYFUNCTION("""COMPUTED_VALUE"""),"Saipos Serviços De Software")</f>
        <v>Saipos Serviços De Software</v>
      </c>
      <c r="V1398" s="33">
        <f>IFERROR(__xludf.DUMMYFUNCTION("""COMPUTED_VALUE"""),0.8333333333333334)</f>
        <v>0.8333333333</v>
      </c>
      <c r="W1398" s="4" t="str">
        <f>IFERROR(__xludf.DUMMYFUNCTION("""COMPUTED_VALUE"""),"Saipos Serviços De Software")</f>
        <v>Saipos Serviços De Software</v>
      </c>
      <c r="X1398" s="33">
        <f>IFERROR(__xludf.DUMMYFUNCTION("""COMPUTED_VALUE"""),1.0)</f>
        <v>1</v>
      </c>
    </row>
    <row r="1399">
      <c r="K1399" s="4" t="str">
        <f>IFERROR(__xludf.DUMMYFUNCTION("""COMPUTED_VALUE"""),"GRUPO SALZBURG")</f>
        <v>GRUPO SALZBURG</v>
      </c>
      <c r="L1399" s="32">
        <f>IFERROR(__xludf.DUMMYFUNCTION("""COMPUTED_VALUE"""),6.0)</f>
        <v>6</v>
      </c>
      <c r="M1399" s="4" t="str">
        <f>IFERROR(__xludf.DUMMYFUNCTION("""COMPUTED_VALUE"""),"Saipos Serviços De Software")</f>
        <v>Saipos Serviços De Software</v>
      </c>
      <c r="N1399" s="33">
        <f>IFERROR(__xludf.DUMMYFUNCTION("""COMPUTED_VALUE"""),0.6666666666666666)</f>
        <v>0.6666666667</v>
      </c>
      <c r="O1399" s="4" t="str">
        <f>IFERROR(__xludf.DUMMYFUNCTION("""COMPUTED_VALUE"""),"Saipos Serviços De Software")</f>
        <v>Saipos Serviços De Software</v>
      </c>
      <c r="P1399" s="33">
        <f>IFERROR(__xludf.DUMMYFUNCTION("""COMPUTED_VALUE"""),0.6666666666666666)</f>
        <v>0.6666666667</v>
      </c>
      <c r="Q1399" s="4" t="str">
        <f>IFERROR(__xludf.DUMMYFUNCTION("""COMPUTED_VALUE"""),"Saipos Serviços De Software")</f>
        <v>Saipos Serviços De Software</v>
      </c>
      <c r="R1399" s="33">
        <f>IFERROR(__xludf.DUMMYFUNCTION("""COMPUTED_VALUE"""),0.6666666666666666)</f>
        <v>0.6666666667</v>
      </c>
      <c r="S1399" s="4" t="str">
        <f>IFERROR(__xludf.DUMMYFUNCTION("""COMPUTED_VALUE"""),"Saipos Serviços De Software")</f>
        <v>Saipos Serviços De Software</v>
      </c>
      <c r="T1399" s="33">
        <f>IFERROR(__xludf.DUMMYFUNCTION("""COMPUTED_VALUE"""),0.6666666666666666)</f>
        <v>0.6666666667</v>
      </c>
      <c r="U1399" s="4" t="str">
        <f>IFERROR(__xludf.DUMMYFUNCTION("""COMPUTED_VALUE"""),"Saipos Serviços De Software")</f>
        <v>Saipos Serviços De Software</v>
      </c>
      <c r="V1399" s="33">
        <f>IFERROR(__xludf.DUMMYFUNCTION("""COMPUTED_VALUE"""),0.6666666666666666)</f>
        <v>0.6666666667</v>
      </c>
      <c r="W1399" s="4" t="str">
        <f>IFERROR(__xludf.DUMMYFUNCTION("""COMPUTED_VALUE"""),"Saipos Serviços De Software")</f>
        <v>Saipos Serviços De Software</v>
      </c>
      <c r="X1399" s="33">
        <f>IFERROR(__xludf.DUMMYFUNCTION("""COMPUTED_VALUE"""),0.6666666666666666)</f>
        <v>0.6666666667</v>
      </c>
    </row>
    <row r="1400">
      <c r="K1400" s="4" t="str">
        <f>IFERROR(__xludf.DUMMYFUNCTION("""COMPUTED_VALUE"""),"GRUPO SR SHIITAKE VERGUEIRO")</f>
        <v>GRUPO SR SHIITAKE VERGUEIRO</v>
      </c>
      <c r="L1400" s="32">
        <f>IFERROR(__xludf.DUMMYFUNCTION("""COMPUTED_VALUE"""),6.0)</f>
        <v>6</v>
      </c>
      <c r="M1400" s="4" t="str">
        <f>IFERROR(__xludf.DUMMYFUNCTION("""COMPUTED_VALUE"""),"Zip Software")</f>
        <v>Zip Software</v>
      </c>
      <c r="N1400" s="33">
        <f>IFERROR(__xludf.DUMMYFUNCTION("""COMPUTED_VALUE"""),1.0)</f>
        <v>1</v>
      </c>
      <c r="O1400" s="4" t="str">
        <f>IFERROR(__xludf.DUMMYFUNCTION("""COMPUTED_VALUE"""),"Zip Software")</f>
        <v>Zip Software</v>
      </c>
      <c r="P1400" s="33">
        <f>IFERROR(__xludf.DUMMYFUNCTION("""COMPUTED_VALUE"""),1.0)</f>
        <v>1</v>
      </c>
      <c r="Q1400" s="4" t="str">
        <f>IFERROR(__xludf.DUMMYFUNCTION("""COMPUTED_VALUE"""),"Zip Software")</f>
        <v>Zip Software</v>
      </c>
      <c r="R1400" s="33">
        <f>IFERROR(__xludf.DUMMYFUNCTION("""COMPUTED_VALUE"""),1.0)</f>
        <v>1</v>
      </c>
      <c r="S1400" s="4" t="str">
        <f>IFERROR(__xludf.DUMMYFUNCTION("""COMPUTED_VALUE"""),"Zip Software")</f>
        <v>Zip Software</v>
      </c>
      <c r="T1400" s="33">
        <f>IFERROR(__xludf.DUMMYFUNCTION("""COMPUTED_VALUE"""),1.0)</f>
        <v>1</v>
      </c>
      <c r="U1400" s="4" t="str">
        <f>IFERROR(__xludf.DUMMYFUNCTION("""COMPUTED_VALUE"""),"Zip Software")</f>
        <v>Zip Software</v>
      </c>
      <c r="V1400" s="33">
        <f>IFERROR(__xludf.DUMMYFUNCTION("""COMPUTED_VALUE"""),1.0)</f>
        <v>1</v>
      </c>
      <c r="W1400" s="4" t="str">
        <f>IFERROR(__xludf.DUMMYFUNCTION("""COMPUTED_VALUE"""),"Zip Software")</f>
        <v>Zip Software</v>
      </c>
      <c r="X1400" s="33">
        <f>IFERROR(__xludf.DUMMYFUNCTION("""COMPUTED_VALUE"""),1.0)</f>
        <v>1</v>
      </c>
    </row>
    <row r="1401">
      <c r="K1401" s="4" t="str">
        <f>IFERROR(__xludf.DUMMYFUNCTION("""COMPUTED_VALUE"""),"GUGU LANCHES - MATO GROSSO DO SUL")</f>
        <v>GUGU LANCHES - MATO GROSSO DO SUL</v>
      </c>
      <c r="L1401" s="32">
        <f>IFERROR(__xludf.DUMMYFUNCTION("""COMPUTED_VALUE"""),6.0)</f>
        <v>6</v>
      </c>
      <c r="M1401" s="4" t="str">
        <f>IFERROR(__xludf.DUMMYFUNCTION("""COMPUTED_VALUE"""),"Softsa Sistemas De Informação Ltda")</f>
        <v>Softsa Sistemas De Informação Ltda</v>
      </c>
      <c r="N1401" s="33">
        <f>IFERROR(__xludf.DUMMYFUNCTION("""COMPUTED_VALUE"""),1.0)</f>
        <v>1</v>
      </c>
      <c r="O1401" s="4" t="str">
        <f>IFERROR(__xludf.DUMMYFUNCTION("""COMPUTED_VALUE"""),"Softsa Sistemas De Informação Ltda")</f>
        <v>Softsa Sistemas De Informação Ltda</v>
      </c>
      <c r="P1401" s="33">
        <f>IFERROR(__xludf.DUMMYFUNCTION("""COMPUTED_VALUE"""),1.0)</f>
        <v>1</v>
      </c>
      <c r="Q1401" s="4" t="str">
        <f>IFERROR(__xludf.DUMMYFUNCTION("""COMPUTED_VALUE"""),"Softsa Sistemas De Informação Ltda")</f>
        <v>Softsa Sistemas De Informação Ltda</v>
      </c>
      <c r="R1401" s="33">
        <f>IFERROR(__xludf.DUMMYFUNCTION("""COMPUTED_VALUE"""),1.0)</f>
        <v>1</v>
      </c>
      <c r="S1401" s="4" t="str">
        <f>IFERROR(__xludf.DUMMYFUNCTION("""COMPUTED_VALUE"""),"Softsa Sistemas De Informação Ltda")</f>
        <v>Softsa Sistemas De Informação Ltda</v>
      </c>
      <c r="T1401" s="33">
        <f>IFERROR(__xludf.DUMMYFUNCTION("""COMPUTED_VALUE"""),1.0)</f>
        <v>1</v>
      </c>
      <c r="U1401" s="4" t="str">
        <f>IFERROR(__xludf.DUMMYFUNCTION("""COMPUTED_VALUE"""),"Softsa Sistemas De Informação Ltda")</f>
        <v>Softsa Sistemas De Informação Ltda</v>
      </c>
      <c r="V1401" s="33">
        <f>IFERROR(__xludf.DUMMYFUNCTION("""COMPUTED_VALUE"""),0.8333333333333334)</f>
        <v>0.8333333333</v>
      </c>
      <c r="W1401" s="4" t="str">
        <f>IFERROR(__xludf.DUMMYFUNCTION("""COMPUTED_VALUE"""),"Softsa Sistemas De Informação Ltda")</f>
        <v>Softsa Sistemas De Informação Ltda</v>
      </c>
      <c r="X1401" s="33">
        <f>IFERROR(__xludf.DUMMYFUNCTION("""COMPUTED_VALUE"""),1.0)</f>
        <v>1</v>
      </c>
    </row>
    <row r="1402">
      <c r="K1402" s="4" t="str">
        <f>IFERROR(__xludf.DUMMYFUNCTION("""COMPUTED_VALUE"""),"GUNMA")</f>
        <v>GUNMA</v>
      </c>
      <c r="L1402" s="32">
        <f>IFERROR(__xludf.DUMMYFUNCTION("""COMPUTED_VALUE"""),6.0)</f>
        <v>6</v>
      </c>
      <c r="M1402" s="4" t="str">
        <f>IFERROR(__xludf.DUMMYFUNCTION("""COMPUTED_VALUE"""),"Saipos Serviços De Software")</f>
        <v>Saipos Serviços De Software</v>
      </c>
      <c r="N1402" s="33">
        <f>IFERROR(__xludf.DUMMYFUNCTION("""COMPUTED_VALUE"""),0.8333333333333334)</f>
        <v>0.8333333333</v>
      </c>
      <c r="O1402" s="4" t="str">
        <f>IFERROR(__xludf.DUMMYFUNCTION("""COMPUTED_VALUE"""),"Saipos Serviços De Software")</f>
        <v>Saipos Serviços De Software</v>
      </c>
      <c r="P1402" s="33">
        <f>IFERROR(__xludf.DUMMYFUNCTION("""COMPUTED_VALUE"""),0.8333333333333334)</f>
        <v>0.8333333333</v>
      </c>
      <c r="Q1402" s="4" t="str">
        <f>IFERROR(__xludf.DUMMYFUNCTION("""COMPUTED_VALUE"""),"Saipos Serviços De Software")</f>
        <v>Saipos Serviços De Software</v>
      </c>
      <c r="R1402" s="33">
        <f>IFERROR(__xludf.DUMMYFUNCTION("""COMPUTED_VALUE"""),0.6666666666666666)</f>
        <v>0.6666666667</v>
      </c>
      <c r="S1402" s="4" t="str">
        <f>IFERROR(__xludf.DUMMYFUNCTION("""COMPUTED_VALUE"""),"Saipos Serviços De Software")</f>
        <v>Saipos Serviços De Software</v>
      </c>
      <c r="T1402" s="33">
        <f>IFERROR(__xludf.DUMMYFUNCTION("""COMPUTED_VALUE"""),0.8333333333333334)</f>
        <v>0.8333333333</v>
      </c>
      <c r="U1402" s="4" t="str">
        <f>IFERROR(__xludf.DUMMYFUNCTION("""COMPUTED_VALUE"""),"Saipos Serviços De Software")</f>
        <v>Saipos Serviços De Software</v>
      </c>
      <c r="V1402" s="33">
        <f>IFERROR(__xludf.DUMMYFUNCTION("""COMPUTED_VALUE"""),0.6666666666666666)</f>
        <v>0.6666666667</v>
      </c>
      <c r="W1402" s="4" t="str">
        <f>IFERROR(__xludf.DUMMYFUNCTION("""COMPUTED_VALUE"""),"Saipos Serviços De Software")</f>
        <v>Saipos Serviços De Software</v>
      </c>
      <c r="X1402" s="33">
        <f>IFERROR(__xludf.DUMMYFUNCTION("""COMPUTED_VALUE"""),0.8333333333333334)</f>
        <v>0.8333333333</v>
      </c>
    </row>
    <row r="1403">
      <c r="K1403" s="4" t="str">
        <f>IFERROR(__xludf.DUMMYFUNCTION("""COMPUTED_VALUE"""),"HIATARI SUSHI")</f>
        <v>HIATARI SUSHI</v>
      </c>
      <c r="L1403" s="32">
        <f>IFERROR(__xludf.DUMMYFUNCTION("""COMPUTED_VALUE"""),6.0)</f>
        <v>6</v>
      </c>
      <c r="M1403" s="4" t="str">
        <f>IFERROR(__xludf.DUMMYFUNCTION("""COMPUTED_VALUE"""),"Saipos Serviços De Software")</f>
        <v>Saipos Serviços De Software</v>
      </c>
      <c r="N1403" s="33">
        <f>IFERROR(__xludf.DUMMYFUNCTION("""COMPUTED_VALUE"""),0.8333333333333334)</f>
        <v>0.8333333333</v>
      </c>
      <c r="O1403" s="4" t="str">
        <f>IFERROR(__xludf.DUMMYFUNCTION("""COMPUTED_VALUE"""),"Saipos Serviços De Software")</f>
        <v>Saipos Serviços De Software</v>
      </c>
      <c r="P1403" s="33">
        <f>IFERROR(__xludf.DUMMYFUNCTION("""COMPUTED_VALUE"""),0.8333333333333334)</f>
        <v>0.8333333333</v>
      </c>
      <c r="Q1403" s="4" t="str">
        <f>IFERROR(__xludf.DUMMYFUNCTION("""COMPUTED_VALUE"""),"Saipos Serviços De Software")</f>
        <v>Saipos Serviços De Software</v>
      </c>
      <c r="R1403" s="33">
        <f>IFERROR(__xludf.DUMMYFUNCTION("""COMPUTED_VALUE"""),0.8333333333333334)</f>
        <v>0.8333333333</v>
      </c>
      <c r="S1403" s="4" t="str">
        <f>IFERROR(__xludf.DUMMYFUNCTION("""COMPUTED_VALUE"""),"Saipos Serviços De Software")</f>
        <v>Saipos Serviços De Software</v>
      </c>
      <c r="T1403" s="33">
        <f>IFERROR(__xludf.DUMMYFUNCTION("""COMPUTED_VALUE"""),0.8333333333333334)</f>
        <v>0.8333333333</v>
      </c>
      <c r="U1403" s="4" t="str">
        <f>IFERROR(__xludf.DUMMYFUNCTION("""COMPUTED_VALUE"""),"Saipos Serviços De Software")</f>
        <v>Saipos Serviços De Software</v>
      </c>
      <c r="V1403" s="33">
        <f>IFERROR(__xludf.DUMMYFUNCTION("""COMPUTED_VALUE"""),0.8333333333333334)</f>
        <v>0.8333333333</v>
      </c>
      <c r="W1403" s="4" t="str">
        <f>IFERROR(__xludf.DUMMYFUNCTION("""COMPUTED_VALUE"""),"Saipos Serviços De Software")</f>
        <v>Saipos Serviços De Software</v>
      </c>
      <c r="X1403" s="33">
        <f>IFERROR(__xludf.DUMMYFUNCTION("""COMPUTED_VALUE"""),0.8333333333333334)</f>
        <v>0.8333333333</v>
      </c>
    </row>
    <row r="1404">
      <c r="K1404" s="4" t="str">
        <f>IFERROR(__xludf.DUMMYFUNCTION("""COMPUTED_VALUE"""),"HOT DOG YRACEMA")</f>
        <v>HOT DOG YRACEMA</v>
      </c>
      <c r="L1404" s="32">
        <f>IFERROR(__xludf.DUMMYFUNCTION("""COMPUTED_VALUE"""),6.0)</f>
        <v>6</v>
      </c>
      <c r="M1404" s="4" t="str">
        <f>IFERROR(__xludf.DUMMYFUNCTION("""COMPUTED_VALUE"""),"Xd People Ltda")</f>
        <v>Xd People Ltda</v>
      </c>
      <c r="N1404" s="33">
        <f>IFERROR(__xludf.DUMMYFUNCTION("""COMPUTED_VALUE"""),1.0)</f>
        <v>1</v>
      </c>
      <c r="O1404" s="4" t="str">
        <f>IFERROR(__xludf.DUMMYFUNCTION("""COMPUTED_VALUE"""),"Xd People Ltda")</f>
        <v>Xd People Ltda</v>
      </c>
      <c r="P1404" s="33">
        <f>IFERROR(__xludf.DUMMYFUNCTION("""COMPUTED_VALUE"""),1.0)</f>
        <v>1</v>
      </c>
      <c r="Q1404" s="4" t="str">
        <f>IFERROR(__xludf.DUMMYFUNCTION("""COMPUTED_VALUE"""),"Xd People Ltda")</f>
        <v>Xd People Ltda</v>
      </c>
      <c r="R1404" s="33">
        <f>IFERROR(__xludf.DUMMYFUNCTION("""COMPUTED_VALUE"""),1.0)</f>
        <v>1</v>
      </c>
      <c r="S1404" s="4" t="str">
        <f>IFERROR(__xludf.DUMMYFUNCTION("""COMPUTED_VALUE"""),"Xd People Ltda")</f>
        <v>Xd People Ltda</v>
      </c>
      <c r="T1404" s="33">
        <f>IFERROR(__xludf.DUMMYFUNCTION("""COMPUTED_VALUE"""),1.0)</f>
        <v>1</v>
      </c>
      <c r="U1404" s="4" t="str">
        <f>IFERROR(__xludf.DUMMYFUNCTION("""COMPUTED_VALUE"""),"Xd People Ltda")</f>
        <v>Xd People Ltda</v>
      </c>
      <c r="V1404" s="33">
        <f>IFERROR(__xludf.DUMMYFUNCTION("""COMPUTED_VALUE"""),1.0)</f>
        <v>1</v>
      </c>
      <c r="W1404" s="4" t="str">
        <f>IFERROR(__xludf.DUMMYFUNCTION("""COMPUTED_VALUE"""),"Xd People Ltda")</f>
        <v>Xd People Ltda</v>
      </c>
      <c r="X1404" s="33">
        <f>IFERROR(__xludf.DUMMYFUNCTION("""COMPUTED_VALUE"""),1.0)</f>
        <v>1</v>
      </c>
    </row>
    <row r="1405">
      <c r="K1405" s="4" t="str">
        <f>IFERROR(__xludf.DUMMYFUNCTION("""COMPUTED_VALUE"""),"HOT DOG YRACEMA - CP")</f>
        <v>HOT DOG YRACEMA - CP</v>
      </c>
      <c r="L1405" s="32">
        <f>IFERROR(__xludf.DUMMYFUNCTION("""COMPUTED_VALUE"""),6.0)</f>
        <v>6</v>
      </c>
      <c r="M1405" s="4" t="str">
        <f>IFERROR(__xludf.DUMMYFUNCTION("""COMPUTED_VALUE"""),"Xd People Ltda")</f>
        <v>Xd People Ltda</v>
      </c>
      <c r="N1405" s="33">
        <f>IFERROR(__xludf.DUMMYFUNCTION("""COMPUTED_VALUE"""),1.0)</f>
        <v>1</v>
      </c>
      <c r="O1405" s="4" t="str">
        <f>IFERROR(__xludf.DUMMYFUNCTION("""COMPUTED_VALUE"""),"Xd People Ltda")</f>
        <v>Xd People Ltda</v>
      </c>
      <c r="P1405" s="33">
        <f>IFERROR(__xludf.DUMMYFUNCTION("""COMPUTED_VALUE"""),1.0)</f>
        <v>1</v>
      </c>
      <c r="Q1405" s="4" t="str">
        <f>IFERROR(__xludf.DUMMYFUNCTION("""COMPUTED_VALUE"""),"Xd People Ltda")</f>
        <v>Xd People Ltda</v>
      </c>
      <c r="R1405" s="33">
        <f>IFERROR(__xludf.DUMMYFUNCTION("""COMPUTED_VALUE"""),1.0)</f>
        <v>1</v>
      </c>
      <c r="S1405" s="4" t="str">
        <f>IFERROR(__xludf.DUMMYFUNCTION("""COMPUTED_VALUE"""),"Xd People Ltda")</f>
        <v>Xd People Ltda</v>
      </c>
      <c r="T1405" s="33">
        <f>IFERROR(__xludf.DUMMYFUNCTION("""COMPUTED_VALUE"""),1.0)</f>
        <v>1</v>
      </c>
      <c r="U1405" s="4" t="str">
        <f>IFERROR(__xludf.DUMMYFUNCTION("""COMPUTED_VALUE"""),"Xd People Ltda")</f>
        <v>Xd People Ltda</v>
      </c>
      <c r="V1405" s="33">
        <f>IFERROR(__xludf.DUMMYFUNCTION("""COMPUTED_VALUE"""),1.0)</f>
        <v>1</v>
      </c>
      <c r="W1405" s="4" t="str">
        <f>IFERROR(__xludf.DUMMYFUNCTION("""COMPUTED_VALUE"""),"Xd People Ltda")</f>
        <v>Xd People Ltda</v>
      </c>
      <c r="X1405" s="33">
        <f>IFERROR(__xludf.DUMMYFUNCTION("""COMPUTED_VALUE"""),1.0)</f>
        <v>1</v>
      </c>
    </row>
    <row r="1406">
      <c r="K1406" s="4" t="str">
        <f>IFERROR(__xludf.DUMMYFUNCTION("""COMPUTED_VALUE"""),"IAPOIS ACAI")</f>
        <v>IAPOIS ACAI</v>
      </c>
      <c r="L1406" s="32">
        <f>IFERROR(__xludf.DUMMYFUNCTION("""COMPUTED_VALUE"""),6.0)</f>
        <v>6</v>
      </c>
      <c r="M1406" s="4" t="str">
        <f>IFERROR(__xludf.DUMMYFUNCTION("""COMPUTED_VALUE"""),"Saipos Serviços De Software")</f>
        <v>Saipos Serviços De Software</v>
      </c>
      <c r="N1406" s="33">
        <f>IFERROR(__xludf.DUMMYFUNCTION("""COMPUTED_VALUE"""),0.5)</f>
        <v>0.5</v>
      </c>
      <c r="O1406" s="4" t="str">
        <f>IFERROR(__xludf.DUMMYFUNCTION("""COMPUTED_VALUE"""),"Saipos Serviços De Software")</f>
        <v>Saipos Serviços De Software</v>
      </c>
      <c r="P1406" s="33">
        <f>IFERROR(__xludf.DUMMYFUNCTION("""COMPUTED_VALUE"""),0.5)</f>
        <v>0.5</v>
      </c>
      <c r="Q1406" s="4" t="str">
        <f>IFERROR(__xludf.DUMMYFUNCTION("""COMPUTED_VALUE"""),"Saipos Serviços De Software")</f>
        <v>Saipos Serviços De Software</v>
      </c>
      <c r="R1406" s="33">
        <f>IFERROR(__xludf.DUMMYFUNCTION("""COMPUTED_VALUE"""),0.5)</f>
        <v>0.5</v>
      </c>
      <c r="S1406" s="4" t="str">
        <f>IFERROR(__xludf.DUMMYFUNCTION("""COMPUTED_VALUE"""),"Saipos Serviços De Software")</f>
        <v>Saipos Serviços De Software</v>
      </c>
      <c r="T1406" s="33">
        <f>IFERROR(__xludf.DUMMYFUNCTION("""COMPUTED_VALUE"""),0.6666666666666666)</f>
        <v>0.6666666667</v>
      </c>
      <c r="U1406" s="4" t="str">
        <f>IFERROR(__xludf.DUMMYFUNCTION("""COMPUTED_VALUE"""),"Saipos Serviços De Software")</f>
        <v>Saipos Serviços De Software</v>
      </c>
      <c r="V1406" s="33">
        <f>IFERROR(__xludf.DUMMYFUNCTION("""COMPUTED_VALUE"""),0.6666666666666666)</f>
        <v>0.6666666667</v>
      </c>
      <c r="W1406" s="4" t="str">
        <f>IFERROR(__xludf.DUMMYFUNCTION("""COMPUTED_VALUE"""),"Saipos Serviços De Software")</f>
        <v>Saipos Serviços De Software</v>
      </c>
      <c r="X1406" s="33">
        <f>IFERROR(__xludf.DUMMYFUNCTION("""COMPUTED_VALUE"""),1.0)</f>
        <v>1</v>
      </c>
    </row>
    <row r="1407">
      <c r="K1407" s="4" t="str">
        <f>IFERROR(__xludf.DUMMYFUNCTION("""COMPUTED_VALUE"""),"IFOME PICANHA BURGERS - CONTA PAI")</f>
        <v>IFOME PICANHA BURGERS - CONTA PAI</v>
      </c>
      <c r="L1407" s="32">
        <f>IFERROR(__xludf.DUMMYFUNCTION("""COMPUTED_VALUE"""),6.0)</f>
        <v>6</v>
      </c>
      <c r="M1407" s="4" t="str">
        <f>IFERROR(__xludf.DUMMYFUNCTION("""COMPUTED_VALUE"""),"Ncr")</f>
        <v>Ncr</v>
      </c>
      <c r="N1407" s="33">
        <f>IFERROR(__xludf.DUMMYFUNCTION("""COMPUTED_VALUE"""),1.0)</f>
        <v>1</v>
      </c>
      <c r="O1407" s="4" t="str">
        <f>IFERROR(__xludf.DUMMYFUNCTION("""COMPUTED_VALUE"""),"Ncr")</f>
        <v>Ncr</v>
      </c>
      <c r="P1407" s="33">
        <f>IFERROR(__xludf.DUMMYFUNCTION("""COMPUTED_VALUE"""),1.0)</f>
        <v>1</v>
      </c>
      <c r="Q1407" s="4" t="str">
        <f>IFERROR(__xludf.DUMMYFUNCTION("""COMPUTED_VALUE"""),"Ncr")</f>
        <v>Ncr</v>
      </c>
      <c r="R1407" s="33">
        <f>IFERROR(__xludf.DUMMYFUNCTION("""COMPUTED_VALUE"""),1.0)</f>
        <v>1</v>
      </c>
      <c r="S1407" s="4" t="str">
        <f>IFERROR(__xludf.DUMMYFUNCTION("""COMPUTED_VALUE"""),"Ncr")</f>
        <v>Ncr</v>
      </c>
      <c r="T1407" s="33">
        <f>IFERROR(__xludf.DUMMYFUNCTION("""COMPUTED_VALUE"""),1.0)</f>
        <v>1</v>
      </c>
      <c r="U1407" s="4" t="str">
        <f>IFERROR(__xludf.DUMMYFUNCTION("""COMPUTED_VALUE"""),"Ncr")</f>
        <v>Ncr</v>
      </c>
      <c r="V1407" s="33">
        <f>IFERROR(__xludf.DUMMYFUNCTION("""COMPUTED_VALUE"""),1.0)</f>
        <v>1</v>
      </c>
      <c r="W1407" s="4" t="str">
        <f>IFERROR(__xludf.DUMMYFUNCTION("""COMPUTED_VALUE"""),"Ncr")</f>
        <v>Ncr</v>
      </c>
      <c r="X1407" s="33">
        <f>IFERROR(__xludf.DUMMYFUNCTION("""COMPUTED_VALUE"""),1.0)</f>
        <v>1</v>
      </c>
    </row>
    <row r="1408">
      <c r="K1408" s="4" t="str">
        <f>IFERROR(__xludf.DUMMYFUNCTION("""COMPUTED_VALUE"""),"ITS BURGUER - HAMBURGUERIA - L")</f>
        <v>ITS BURGUER - HAMBURGUERIA - L</v>
      </c>
      <c r="L1408" s="32">
        <f>IFERROR(__xludf.DUMMYFUNCTION("""COMPUTED_VALUE"""),6.0)</f>
        <v>6</v>
      </c>
      <c r="M1408" s="4" t="str">
        <f>IFERROR(__xludf.DUMMYFUNCTION("""COMPUTED_VALUE"""),"Saipos Serviços De Software")</f>
        <v>Saipos Serviços De Software</v>
      </c>
      <c r="N1408" s="33">
        <f>IFERROR(__xludf.DUMMYFUNCTION("""COMPUTED_VALUE"""),0.6666666666666666)</f>
        <v>0.6666666667</v>
      </c>
      <c r="O1408" s="4" t="str">
        <f>IFERROR(__xludf.DUMMYFUNCTION("""COMPUTED_VALUE"""),"Saipos Serviços De Software")</f>
        <v>Saipos Serviços De Software</v>
      </c>
      <c r="P1408" s="33">
        <f>IFERROR(__xludf.DUMMYFUNCTION("""COMPUTED_VALUE"""),0.6666666666666666)</f>
        <v>0.6666666667</v>
      </c>
      <c r="Q1408" s="4" t="str">
        <f>IFERROR(__xludf.DUMMYFUNCTION("""COMPUTED_VALUE"""),"Saipos Serviços De Software")</f>
        <v>Saipos Serviços De Software</v>
      </c>
      <c r="R1408" s="33">
        <f>IFERROR(__xludf.DUMMYFUNCTION("""COMPUTED_VALUE"""),1.0)</f>
        <v>1</v>
      </c>
      <c r="S1408" s="4" t="str">
        <f>IFERROR(__xludf.DUMMYFUNCTION("""COMPUTED_VALUE"""),"Saipos Serviços De Software")</f>
        <v>Saipos Serviços De Software</v>
      </c>
      <c r="T1408" s="33">
        <f>IFERROR(__xludf.DUMMYFUNCTION("""COMPUTED_VALUE"""),1.0)</f>
        <v>1</v>
      </c>
      <c r="U1408" s="4" t="str">
        <f>IFERROR(__xludf.DUMMYFUNCTION("""COMPUTED_VALUE"""),"Saipos Serviços De Software")</f>
        <v>Saipos Serviços De Software</v>
      </c>
      <c r="V1408" s="33">
        <f>IFERROR(__xludf.DUMMYFUNCTION("""COMPUTED_VALUE"""),1.0)</f>
        <v>1</v>
      </c>
      <c r="W1408" s="4" t="str">
        <f>IFERROR(__xludf.DUMMYFUNCTION("""COMPUTED_VALUE"""),"Saipos Serviços De Software")</f>
        <v>Saipos Serviços De Software</v>
      </c>
      <c r="X1408" s="33">
        <f>IFERROR(__xludf.DUMMYFUNCTION("""COMPUTED_VALUE"""),1.0)</f>
        <v>1</v>
      </c>
    </row>
    <row r="1409">
      <c r="K1409" s="4" t="str">
        <f>IFERROR(__xludf.DUMMYFUNCTION("""COMPUTED_VALUE"""),"ITZZA")</f>
        <v>ITZZA</v>
      </c>
      <c r="L1409" s="32">
        <f>IFERROR(__xludf.DUMMYFUNCTION("""COMPUTED_VALUE"""),6.0)</f>
        <v>6</v>
      </c>
      <c r="M1409" s="4" t="str">
        <f>IFERROR(__xludf.DUMMYFUNCTION("""COMPUTED_VALUE"""),"Altec Sistemas")</f>
        <v>Altec Sistemas</v>
      </c>
      <c r="N1409" s="33">
        <f>IFERROR(__xludf.DUMMYFUNCTION("""COMPUTED_VALUE"""),0.3333333333333333)</f>
        <v>0.3333333333</v>
      </c>
      <c r="O1409" s="4" t="str">
        <f>IFERROR(__xludf.DUMMYFUNCTION("""COMPUTED_VALUE"""),"Altec Sistemas")</f>
        <v>Altec Sistemas</v>
      </c>
      <c r="P1409" s="33">
        <f>IFERROR(__xludf.DUMMYFUNCTION("""COMPUTED_VALUE"""),0.3333333333333333)</f>
        <v>0.3333333333</v>
      </c>
      <c r="Q1409" s="4" t="str">
        <f>IFERROR(__xludf.DUMMYFUNCTION("""COMPUTED_VALUE"""),"Altec Sistemas")</f>
        <v>Altec Sistemas</v>
      </c>
      <c r="R1409" s="33">
        <f>IFERROR(__xludf.DUMMYFUNCTION("""COMPUTED_VALUE"""),0.6666666666666666)</f>
        <v>0.6666666667</v>
      </c>
      <c r="S1409" s="4" t="str">
        <f>IFERROR(__xludf.DUMMYFUNCTION("""COMPUTED_VALUE"""),"Altec Sistemas")</f>
        <v>Altec Sistemas</v>
      </c>
      <c r="T1409" s="33">
        <f>IFERROR(__xludf.DUMMYFUNCTION("""COMPUTED_VALUE"""),0.8333333333333334)</f>
        <v>0.8333333333</v>
      </c>
      <c r="U1409" s="4" t="str">
        <f>IFERROR(__xludf.DUMMYFUNCTION("""COMPUTED_VALUE"""),"Altec Sistemas")</f>
        <v>Altec Sistemas</v>
      </c>
      <c r="V1409" s="33">
        <f>IFERROR(__xludf.DUMMYFUNCTION("""COMPUTED_VALUE"""),0.6666666666666666)</f>
        <v>0.6666666667</v>
      </c>
      <c r="W1409" s="4" t="str">
        <f>IFERROR(__xludf.DUMMYFUNCTION("""COMPUTED_VALUE"""),"Altec Sistemas")</f>
        <v>Altec Sistemas</v>
      </c>
      <c r="X1409" s="33">
        <f>IFERROR(__xludf.DUMMYFUNCTION("""COMPUTED_VALUE"""),0.6666666666666666)</f>
        <v>0.6666666667</v>
      </c>
    </row>
    <row r="1410">
      <c r="K1410" s="4" t="str">
        <f>IFERROR(__xludf.DUMMYFUNCTION("""COMPUTED_VALUE"""),"GRUPO IZU")</f>
        <v>GRUPO IZU</v>
      </c>
      <c r="L1410" s="32">
        <f>IFERROR(__xludf.DUMMYFUNCTION("""COMPUTED_VALUE"""),6.0)</f>
        <v>6</v>
      </c>
      <c r="M1410" s="4" t="str">
        <f>IFERROR(__xludf.DUMMYFUNCTION("""COMPUTED_VALUE"""),"Ncr")</f>
        <v>Ncr</v>
      </c>
      <c r="N1410" s="33">
        <f>IFERROR(__xludf.DUMMYFUNCTION("""COMPUTED_VALUE"""),0.8333333333333334)</f>
        <v>0.8333333333</v>
      </c>
      <c r="O1410" s="4" t="str">
        <f>IFERROR(__xludf.DUMMYFUNCTION("""COMPUTED_VALUE"""),"Ncr")</f>
        <v>Ncr</v>
      </c>
      <c r="P1410" s="33">
        <f>IFERROR(__xludf.DUMMYFUNCTION("""COMPUTED_VALUE"""),0.5)</f>
        <v>0.5</v>
      </c>
      <c r="Q1410" s="4" t="str">
        <f>IFERROR(__xludf.DUMMYFUNCTION("""COMPUTED_VALUE"""),"Lad Sistemas")</f>
        <v>Lad Sistemas</v>
      </c>
      <c r="R1410" s="33">
        <f>IFERROR(__xludf.DUMMYFUNCTION("""COMPUTED_VALUE"""),0.5)</f>
        <v>0.5</v>
      </c>
      <c r="S1410" s="4" t="str">
        <f>IFERROR(__xludf.DUMMYFUNCTION("""COMPUTED_VALUE"""),"Lad Sistemas")</f>
        <v>Lad Sistemas</v>
      </c>
      <c r="T1410" s="33">
        <f>IFERROR(__xludf.DUMMYFUNCTION("""COMPUTED_VALUE"""),0.5)</f>
        <v>0.5</v>
      </c>
      <c r="U1410" s="4" t="str">
        <f>IFERROR(__xludf.DUMMYFUNCTION("""COMPUTED_VALUE"""),"Lad Sistemas")</f>
        <v>Lad Sistemas</v>
      </c>
      <c r="V1410" s="33">
        <f>IFERROR(__xludf.DUMMYFUNCTION("""COMPUTED_VALUE"""),0.5)</f>
        <v>0.5</v>
      </c>
      <c r="W1410" s="4" t="str">
        <f>IFERROR(__xludf.DUMMYFUNCTION("""COMPUTED_VALUE"""),"Lad Sistemas")</f>
        <v>Lad Sistemas</v>
      </c>
      <c r="X1410" s="33">
        <f>IFERROR(__xludf.DUMMYFUNCTION("""COMPUTED_VALUE"""),0.8333333333333334)</f>
        <v>0.8333333333</v>
      </c>
    </row>
    <row r="1411">
      <c r="K1411" s="4" t="str">
        <f>IFERROR(__xludf.DUMMYFUNCTION("""COMPUTED_VALUE"""),"JANGA")</f>
        <v>JANGA</v>
      </c>
      <c r="L1411" s="32">
        <f>IFERROR(__xludf.DUMMYFUNCTION("""COMPUTED_VALUE"""),6.0)</f>
        <v>6</v>
      </c>
      <c r="M1411" s="4" t="str">
        <f>IFERROR(__xludf.DUMMYFUNCTION("""COMPUTED_VALUE"""),"Teknisa Service Ltda")</f>
        <v>Teknisa Service Ltda</v>
      </c>
      <c r="N1411" s="33">
        <f>IFERROR(__xludf.DUMMYFUNCTION("""COMPUTED_VALUE"""),0.5)</f>
        <v>0.5</v>
      </c>
      <c r="O1411" s="4" t="str">
        <f>IFERROR(__xludf.DUMMYFUNCTION("""COMPUTED_VALUE"""),"Cloudfy")</f>
        <v>Cloudfy</v>
      </c>
      <c r="P1411" s="33">
        <f>IFERROR(__xludf.DUMMYFUNCTION("""COMPUTED_VALUE"""),0.5)</f>
        <v>0.5</v>
      </c>
      <c r="Q1411" s="4" t="str">
        <f>IFERROR(__xludf.DUMMYFUNCTION("""COMPUTED_VALUE"""),"Cloudfy")</f>
        <v>Cloudfy</v>
      </c>
      <c r="R1411" s="33">
        <f>IFERROR(__xludf.DUMMYFUNCTION("""COMPUTED_VALUE"""),0.5)</f>
        <v>0.5</v>
      </c>
      <c r="S1411" s="4" t="str">
        <f>IFERROR(__xludf.DUMMYFUNCTION("""COMPUTED_VALUE"""),"Teknisa Service Ltda")</f>
        <v>Teknisa Service Ltda</v>
      </c>
      <c r="T1411" s="33">
        <f>IFERROR(__xludf.DUMMYFUNCTION("""COMPUTED_VALUE"""),0.5)</f>
        <v>0.5</v>
      </c>
      <c r="U1411" s="4" t="str">
        <f>IFERROR(__xludf.DUMMYFUNCTION("""COMPUTED_VALUE"""),"Cloudfy")</f>
        <v>Cloudfy</v>
      </c>
      <c r="V1411" s="33">
        <f>IFERROR(__xludf.DUMMYFUNCTION("""COMPUTED_VALUE"""),0.6666666666666666)</f>
        <v>0.6666666667</v>
      </c>
      <c r="W1411" s="4" t="str">
        <f>IFERROR(__xludf.DUMMYFUNCTION("""COMPUTED_VALUE"""),"null")</f>
        <v>null</v>
      </c>
      <c r="X1411" s="33">
        <f>IFERROR(__xludf.DUMMYFUNCTION("""COMPUTED_VALUE"""),0.5)</f>
        <v>0.5</v>
      </c>
    </row>
    <row r="1412">
      <c r="K1412" s="4" t="str">
        <f>IFERROR(__xludf.DUMMYFUNCTION("""COMPUTED_VALUE"""),"JUN JAPANESE FOOD")</f>
        <v>JUN JAPANESE FOOD</v>
      </c>
      <c r="L1412" s="32">
        <f>IFERROR(__xludf.DUMMYFUNCTION("""COMPUTED_VALUE"""),6.0)</f>
        <v>6</v>
      </c>
      <c r="M1412" s="4" t="str">
        <f>IFERROR(__xludf.DUMMYFUNCTION("""COMPUTED_VALUE"""),"null")</f>
        <v>null</v>
      </c>
      <c r="N1412" s="33">
        <f>IFERROR(__xludf.DUMMYFUNCTION("""COMPUTED_VALUE"""),0.6666666666666666)</f>
        <v>0.6666666667</v>
      </c>
      <c r="O1412" s="4" t="str">
        <f>IFERROR(__xludf.DUMMYFUNCTION("""COMPUTED_VALUE"""),"null")</f>
        <v>null</v>
      </c>
      <c r="P1412" s="33">
        <f>IFERROR(__xludf.DUMMYFUNCTION("""COMPUTED_VALUE"""),0.5)</f>
        <v>0.5</v>
      </c>
      <c r="Q1412" s="4" t="str">
        <f>IFERROR(__xludf.DUMMYFUNCTION("""COMPUTED_VALUE"""),"null")</f>
        <v>null</v>
      </c>
      <c r="R1412" s="33">
        <f>IFERROR(__xludf.DUMMYFUNCTION("""COMPUTED_VALUE"""),0.6666666666666666)</f>
        <v>0.6666666667</v>
      </c>
      <c r="S1412" s="4" t="str">
        <f>IFERROR(__xludf.DUMMYFUNCTION("""COMPUTED_VALUE"""),"null")</f>
        <v>null</v>
      </c>
      <c r="T1412" s="33">
        <f>IFERROR(__xludf.DUMMYFUNCTION("""COMPUTED_VALUE"""),0.5)</f>
        <v>0.5</v>
      </c>
      <c r="U1412" s="4" t="str">
        <f>IFERROR(__xludf.DUMMYFUNCTION("""COMPUTED_VALUE"""),"Swfast Sistemas")</f>
        <v>Swfast Sistemas</v>
      </c>
      <c r="V1412" s="33">
        <f>IFERROR(__xludf.DUMMYFUNCTION("""COMPUTED_VALUE"""),0.6666666666666666)</f>
        <v>0.6666666667</v>
      </c>
      <c r="W1412" s="4" t="str">
        <f>IFERROR(__xludf.DUMMYFUNCTION("""COMPUTED_VALUE"""),"Saipos Serviços De Software")</f>
        <v>Saipos Serviços De Software</v>
      </c>
      <c r="X1412" s="33">
        <f>IFERROR(__xludf.DUMMYFUNCTION("""COMPUTED_VALUE"""),0.6666666666666666)</f>
        <v>0.6666666667</v>
      </c>
    </row>
    <row r="1413">
      <c r="K1413" s="4" t="str">
        <f>IFERROR(__xludf.DUMMYFUNCTION("""COMPUTED_VALUE"""),"JUST BURGER HAMBURGUERIA E LANCHES")</f>
        <v>JUST BURGER HAMBURGUERIA E LANCHES</v>
      </c>
      <c r="L1413" s="32">
        <f>IFERROR(__xludf.DUMMYFUNCTION("""COMPUTED_VALUE"""),6.0)</f>
        <v>6</v>
      </c>
      <c r="M1413" s="4" t="str">
        <f>IFERROR(__xludf.DUMMYFUNCTION("""COMPUTED_VALUE"""),"Saipos Serviços De Software")</f>
        <v>Saipos Serviços De Software</v>
      </c>
      <c r="N1413" s="33">
        <f>IFERROR(__xludf.DUMMYFUNCTION("""COMPUTED_VALUE"""),1.0)</f>
        <v>1</v>
      </c>
      <c r="O1413" s="4" t="str">
        <f>IFERROR(__xludf.DUMMYFUNCTION("""COMPUTED_VALUE"""),"Saipos Serviços De Software")</f>
        <v>Saipos Serviços De Software</v>
      </c>
      <c r="P1413" s="33">
        <f>IFERROR(__xludf.DUMMYFUNCTION("""COMPUTED_VALUE"""),0.8333333333333334)</f>
        <v>0.8333333333</v>
      </c>
      <c r="Q1413" s="4" t="str">
        <f>IFERROR(__xludf.DUMMYFUNCTION("""COMPUTED_VALUE"""),"Saipos Serviços De Software")</f>
        <v>Saipos Serviços De Software</v>
      </c>
      <c r="R1413" s="33">
        <f>IFERROR(__xludf.DUMMYFUNCTION("""COMPUTED_VALUE"""),0.8333333333333334)</f>
        <v>0.8333333333</v>
      </c>
      <c r="S1413" s="4" t="str">
        <f>IFERROR(__xludf.DUMMYFUNCTION("""COMPUTED_VALUE"""),"Saipos Serviços De Software")</f>
        <v>Saipos Serviços De Software</v>
      </c>
      <c r="T1413" s="33">
        <f>IFERROR(__xludf.DUMMYFUNCTION("""COMPUTED_VALUE"""),0.8333333333333334)</f>
        <v>0.8333333333</v>
      </c>
      <c r="U1413" s="4" t="str">
        <f>IFERROR(__xludf.DUMMYFUNCTION("""COMPUTED_VALUE"""),"Saipos Serviços De Software")</f>
        <v>Saipos Serviços De Software</v>
      </c>
      <c r="V1413" s="33">
        <f>IFERROR(__xludf.DUMMYFUNCTION("""COMPUTED_VALUE"""),0.8333333333333334)</f>
        <v>0.8333333333</v>
      </c>
      <c r="W1413" s="4" t="str">
        <f>IFERROR(__xludf.DUMMYFUNCTION("""COMPUTED_VALUE"""),"Saipos Serviços De Software")</f>
        <v>Saipos Serviços De Software</v>
      </c>
      <c r="X1413" s="33">
        <f>IFERROR(__xludf.DUMMYFUNCTION("""COMPUTED_VALUE"""),0.8333333333333334)</f>
        <v>0.8333333333</v>
      </c>
    </row>
    <row r="1414">
      <c r="K1414" s="4" t="str">
        <f>IFERROR(__xludf.DUMMYFUNCTION("""COMPUTED_VALUE"""),"KING TEMAKI CHO CWB CP")</f>
        <v>KING TEMAKI CHO CWB CP</v>
      </c>
      <c r="L1414" s="32">
        <f>IFERROR(__xludf.DUMMYFUNCTION("""COMPUTED_VALUE"""),6.0)</f>
        <v>6</v>
      </c>
      <c r="M1414" s="4" t="str">
        <f>IFERROR(__xludf.DUMMYFUNCTION("""COMPUTED_VALUE"""),"Cloudfy")</f>
        <v>Cloudfy</v>
      </c>
      <c r="N1414" s="33">
        <f>IFERROR(__xludf.DUMMYFUNCTION("""COMPUTED_VALUE"""),1.0)</f>
        <v>1</v>
      </c>
      <c r="O1414" s="4" t="str">
        <f>IFERROR(__xludf.DUMMYFUNCTION("""COMPUTED_VALUE"""),"Cloudfy")</f>
        <v>Cloudfy</v>
      </c>
      <c r="P1414" s="33">
        <f>IFERROR(__xludf.DUMMYFUNCTION("""COMPUTED_VALUE"""),1.0)</f>
        <v>1</v>
      </c>
      <c r="Q1414" s="4" t="str">
        <f>IFERROR(__xludf.DUMMYFUNCTION("""COMPUTED_VALUE"""),"Cloudfy")</f>
        <v>Cloudfy</v>
      </c>
      <c r="R1414" s="33">
        <f>IFERROR(__xludf.DUMMYFUNCTION("""COMPUTED_VALUE"""),1.0)</f>
        <v>1</v>
      </c>
      <c r="S1414" s="4" t="str">
        <f>IFERROR(__xludf.DUMMYFUNCTION("""COMPUTED_VALUE"""),"Cloudfy")</f>
        <v>Cloudfy</v>
      </c>
      <c r="T1414" s="33">
        <f>IFERROR(__xludf.DUMMYFUNCTION("""COMPUTED_VALUE"""),1.0)</f>
        <v>1</v>
      </c>
      <c r="U1414" s="4" t="str">
        <f>IFERROR(__xludf.DUMMYFUNCTION("""COMPUTED_VALUE"""),"Cloudfy")</f>
        <v>Cloudfy</v>
      </c>
      <c r="V1414" s="33">
        <f>IFERROR(__xludf.DUMMYFUNCTION("""COMPUTED_VALUE"""),1.0)</f>
        <v>1</v>
      </c>
      <c r="W1414" s="4" t="str">
        <f>IFERROR(__xludf.DUMMYFUNCTION("""COMPUTED_VALUE"""),"Cloudfy")</f>
        <v>Cloudfy</v>
      </c>
      <c r="X1414" s="33">
        <f>IFERROR(__xludf.DUMMYFUNCTION("""COMPUTED_VALUE"""),1.0)</f>
        <v>1</v>
      </c>
    </row>
    <row r="1415">
      <c r="K1415" s="4" t="str">
        <f>IFERROR(__xludf.DUMMYFUNCTION("""COMPUTED_VALUE"""),"KOMBURGER")</f>
        <v>KOMBURGER</v>
      </c>
      <c r="L1415" s="32">
        <f>IFERROR(__xludf.DUMMYFUNCTION("""COMPUTED_VALUE"""),6.0)</f>
        <v>6</v>
      </c>
      <c r="M1415" s="4" t="str">
        <f>IFERROR(__xludf.DUMMYFUNCTION("""COMPUTED_VALUE"""),"Saipos Serviços De Software")</f>
        <v>Saipos Serviços De Software</v>
      </c>
      <c r="N1415" s="33">
        <f>IFERROR(__xludf.DUMMYFUNCTION("""COMPUTED_VALUE"""),1.0)</f>
        <v>1</v>
      </c>
      <c r="O1415" s="4" t="str">
        <f>IFERROR(__xludf.DUMMYFUNCTION("""COMPUTED_VALUE"""),"null")</f>
        <v>null</v>
      </c>
      <c r="P1415" s="33">
        <f>IFERROR(__xludf.DUMMYFUNCTION("""COMPUTED_VALUE"""),0.5)</f>
        <v>0.5</v>
      </c>
      <c r="Q1415" s="4" t="str">
        <f>IFERROR(__xludf.DUMMYFUNCTION("""COMPUTED_VALUE"""),"null")</f>
        <v>null</v>
      </c>
      <c r="R1415" s="33">
        <f>IFERROR(__xludf.DUMMYFUNCTION("""COMPUTED_VALUE"""),0.6666666666666666)</f>
        <v>0.6666666667</v>
      </c>
      <c r="S1415" s="4" t="str">
        <f>IFERROR(__xludf.DUMMYFUNCTION("""COMPUTED_VALUE"""),"null")</f>
        <v>null</v>
      </c>
      <c r="T1415" s="33">
        <f>IFERROR(__xludf.DUMMYFUNCTION("""COMPUTED_VALUE"""),0.6666666666666666)</f>
        <v>0.6666666667</v>
      </c>
      <c r="U1415" s="4" t="str">
        <f>IFERROR(__xludf.DUMMYFUNCTION("""COMPUTED_VALUE"""),"null")</f>
        <v>null</v>
      </c>
      <c r="V1415" s="33">
        <f>IFERROR(__xludf.DUMMYFUNCTION("""COMPUTED_VALUE"""),0.6666666666666666)</f>
        <v>0.6666666667</v>
      </c>
      <c r="W1415" s="4" t="str">
        <f>IFERROR(__xludf.DUMMYFUNCTION("""COMPUTED_VALUE"""),"null")</f>
        <v>null</v>
      </c>
      <c r="X1415" s="33">
        <f>IFERROR(__xludf.DUMMYFUNCTION("""COMPUTED_VALUE"""),1.0)</f>
        <v>1</v>
      </c>
    </row>
    <row r="1416">
      <c r="K1416" s="4" t="str">
        <f>IFERROR(__xludf.DUMMYFUNCTION("""COMPUTED_VALUE"""),"LAMBRETA 79")</f>
        <v>LAMBRETA 79</v>
      </c>
      <c r="L1416" s="32">
        <f>IFERROR(__xludf.DUMMYFUNCTION("""COMPUTED_VALUE"""),6.0)</f>
        <v>6</v>
      </c>
      <c r="M1416" s="4" t="str">
        <f>IFERROR(__xludf.DUMMYFUNCTION("""COMPUTED_VALUE"""),"Menew - Linx")</f>
        <v>Menew - Linx</v>
      </c>
      <c r="N1416" s="33">
        <f>IFERROR(__xludf.DUMMYFUNCTION("""COMPUTED_VALUE"""),0.3333333333333333)</f>
        <v>0.3333333333</v>
      </c>
      <c r="O1416" s="4" t="str">
        <f>IFERROR(__xludf.DUMMYFUNCTION("""COMPUTED_VALUE"""),"Menew - Linx")</f>
        <v>Menew - Linx</v>
      </c>
      <c r="P1416" s="33">
        <f>IFERROR(__xludf.DUMMYFUNCTION("""COMPUTED_VALUE"""),0.5)</f>
        <v>0.5</v>
      </c>
      <c r="Q1416" s="4" t="str">
        <f>IFERROR(__xludf.DUMMYFUNCTION("""COMPUTED_VALUE"""),"Menew - Linx")</f>
        <v>Menew - Linx</v>
      </c>
      <c r="R1416" s="33">
        <f>IFERROR(__xludf.DUMMYFUNCTION("""COMPUTED_VALUE"""),0.5)</f>
        <v>0.5</v>
      </c>
      <c r="S1416" s="4" t="str">
        <f>IFERROR(__xludf.DUMMYFUNCTION("""COMPUTED_VALUE"""),"Saipos Serviços De Software")</f>
        <v>Saipos Serviços De Software</v>
      </c>
      <c r="T1416" s="33">
        <f>IFERROR(__xludf.DUMMYFUNCTION("""COMPUTED_VALUE"""),0.5)</f>
        <v>0.5</v>
      </c>
      <c r="U1416" s="4" t="str">
        <f>IFERROR(__xludf.DUMMYFUNCTION("""COMPUTED_VALUE"""),"Saipos Serviços De Software")</f>
        <v>Saipos Serviços De Software</v>
      </c>
      <c r="V1416" s="33">
        <f>IFERROR(__xludf.DUMMYFUNCTION("""COMPUTED_VALUE"""),0.5)</f>
        <v>0.5</v>
      </c>
      <c r="W1416" s="4" t="str">
        <f>IFERROR(__xludf.DUMMYFUNCTION("""COMPUTED_VALUE"""),"Saipos Serviços De Software")</f>
        <v>Saipos Serviços De Software</v>
      </c>
      <c r="X1416" s="33">
        <f>IFERROR(__xludf.DUMMYFUNCTION("""COMPUTED_VALUE"""),0.5)</f>
        <v>0.5</v>
      </c>
    </row>
    <row r="1417">
      <c r="K1417" s="4" t="str">
        <f>IFERROR(__xludf.DUMMYFUNCTION("""COMPUTED_VALUE"""),"LE DEPANNEUR DELICATESSEN")</f>
        <v>LE DEPANNEUR DELICATESSEN</v>
      </c>
      <c r="L1417" s="32">
        <f>IFERROR(__xludf.DUMMYFUNCTION("""COMPUTED_VALUE"""),6.0)</f>
        <v>6</v>
      </c>
      <c r="M1417" s="4" t="str">
        <f>IFERROR(__xludf.DUMMYFUNCTION("""COMPUTED_VALUE"""),"Ncr")</f>
        <v>Ncr</v>
      </c>
      <c r="N1417" s="33">
        <f>IFERROR(__xludf.DUMMYFUNCTION("""COMPUTED_VALUE"""),0.8333333333333334)</f>
        <v>0.8333333333</v>
      </c>
      <c r="O1417" s="4" t="str">
        <f>IFERROR(__xludf.DUMMYFUNCTION("""COMPUTED_VALUE"""),"Ncr")</f>
        <v>Ncr</v>
      </c>
      <c r="P1417" s="33">
        <f>IFERROR(__xludf.DUMMYFUNCTION("""COMPUTED_VALUE"""),0.8333333333333334)</f>
        <v>0.8333333333</v>
      </c>
      <c r="Q1417" s="4" t="str">
        <f>IFERROR(__xludf.DUMMYFUNCTION("""COMPUTED_VALUE"""),"Ncr")</f>
        <v>Ncr</v>
      </c>
      <c r="R1417" s="33">
        <f>IFERROR(__xludf.DUMMYFUNCTION("""COMPUTED_VALUE"""),0.8333333333333334)</f>
        <v>0.8333333333</v>
      </c>
      <c r="S1417" s="4" t="str">
        <f>IFERROR(__xludf.DUMMYFUNCTION("""COMPUTED_VALUE"""),"Ncr")</f>
        <v>Ncr</v>
      </c>
      <c r="T1417" s="33">
        <f>IFERROR(__xludf.DUMMYFUNCTION("""COMPUTED_VALUE"""),0.8333333333333334)</f>
        <v>0.8333333333</v>
      </c>
      <c r="U1417" s="4" t="str">
        <f>IFERROR(__xludf.DUMMYFUNCTION("""COMPUTED_VALUE"""),"Ncr")</f>
        <v>Ncr</v>
      </c>
      <c r="V1417" s="33">
        <f>IFERROR(__xludf.DUMMYFUNCTION("""COMPUTED_VALUE"""),0.8333333333333334)</f>
        <v>0.8333333333</v>
      </c>
      <c r="W1417" s="4" t="str">
        <f>IFERROR(__xludf.DUMMYFUNCTION("""COMPUTED_VALUE"""),"Ncr")</f>
        <v>Ncr</v>
      </c>
      <c r="X1417" s="33">
        <f>IFERROR(__xludf.DUMMYFUNCTION("""COMPUTED_VALUE"""),0.8333333333333334)</f>
        <v>0.8333333333</v>
      </c>
    </row>
    <row r="1418">
      <c r="K1418" s="4" t="str">
        <f>IFERROR(__xludf.DUMMYFUNCTION("""COMPUTED_VALUE"""),"LEVE MIRIN")</f>
        <v>LEVE MIRIN</v>
      </c>
      <c r="L1418" s="32">
        <f>IFERROR(__xludf.DUMMYFUNCTION("""COMPUTED_VALUE"""),6.0)</f>
        <v>6</v>
      </c>
      <c r="M1418" s="4" t="str">
        <f>IFERROR(__xludf.DUMMYFUNCTION("""COMPUTED_VALUE"""),"Saipos Serviços De Software")</f>
        <v>Saipos Serviços De Software</v>
      </c>
      <c r="N1418" s="33">
        <f>IFERROR(__xludf.DUMMYFUNCTION("""COMPUTED_VALUE"""),1.0)</f>
        <v>1</v>
      </c>
      <c r="O1418" s="4" t="str">
        <f>IFERROR(__xludf.DUMMYFUNCTION("""COMPUTED_VALUE"""),"Saipos Serviços De Software")</f>
        <v>Saipos Serviços De Software</v>
      </c>
      <c r="P1418" s="33">
        <f>IFERROR(__xludf.DUMMYFUNCTION("""COMPUTED_VALUE"""),0.5)</f>
        <v>0.5</v>
      </c>
      <c r="Q1418" s="4" t="str">
        <f>IFERROR(__xludf.DUMMYFUNCTION("""COMPUTED_VALUE"""),"Saipos Serviços De Software")</f>
        <v>Saipos Serviços De Software</v>
      </c>
      <c r="R1418" s="33">
        <f>IFERROR(__xludf.DUMMYFUNCTION("""COMPUTED_VALUE"""),0.8333333333333334)</f>
        <v>0.8333333333</v>
      </c>
      <c r="S1418" s="4" t="str">
        <f>IFERROR(__xludf.DUMMYFUNCTION("""COMPUTED_VALUE"""),"Saipos Serviços De Software")</f>
        <v>Saipos Serviços De Software</v>
      </c>
      <c r="T1418" s="33">
        <f>IFERROR(__xludf.DUMMYFUNCTION("""COMPUTED_VALUE"""),0.6666666666666666)</f>
        <v>0.6666666667</v>
      </c>
      <c r="U1418" s="4" t="str">
        <f>IFERROR(__xludf.DUMMYFUNCTION("""COMPUTED_VALUE"""),"Saipos Serviços De Software")</f>
        <v>Saipos Serviços De Software</v>
      </c>
      <c r="V1418" s="33">
        <f>IFERROR(__xludf.DUMMYFUNCTION("""COMPUTED_VALUE"""),0.6666666666666666)</f>
        <v>0.6666666667</v>
      </c>
      <c r="W1418" s="4" t="str">
        <f>IFERROR(__xludf.DUMMYFUNCTION("""COMPUTED_VALUE"""),"Saipos Serviços De Software")</f>
        <v>Saipos Serviços De Software</v>
      </c>
      <c r="X1418" s="33">
        <f>IFERROR(__xludf.DUMMYFUNCTION("""COMPUTED_VALUE"""),0.6666666666666666)</f>
        <v>0.6666666667</v>
      </c>
    </row>
    <row r="1419">
      <c r="K1419" s="4" t="str">
        <f>IFERROR(__xludf.DUMMYFUNCTION("""COMPUTED_VALUE"""),"LEVE SUSHI")</f>
        <v>LEVE SUSHI</v>
      </c>
      <c r="L1419" s="32">
        <f>IFERROR(__xludf.DUMMYFUNCTION("""COMPUTED_VALUE"""),6.0)</f>
        <v>6</v>
      </c>
      <c r="M1419" s="4" t="str">
        <f>IFERROR(__xludf.DUMMYFUNCTION("""COMPUTED_VALUE"""),"Saipos Serviços De Software")</f>
        <v>Saipos Serviços De Software</v>
      </c>
      <c r="N1419" s="33">
        <f>IFERROR(__xludf.DUMMYFUNCTION("""COMPUTED_VALUE"""),1.0)</f>
        <v>1</v>
      </c>
      <c r="O1419" s="4" t="str">
        <f>IFERROR(__xludf.DUMMYFUNCTION("""COMPUTED_VALUE"""),"null")</f>
        <v>null</v>
      </c>
      <c r="P1419" s="33">
        <f>IFERROR(__xludf.DUMMYFUNCTION("""COMPUTED_VALUE"""),0.5)</f>
        <v>0.5</v>
      </c>
      <c r="Q1419" s="4" t="str">
        <f>IFERROR(__xludf.DUMMYFUNCTION("""COMPUTED_VALUE"""),"Saipos Serviços De Software")</f>
        <v>Saipos Serviços De Software</v>
      </c>
      <c r="R1419" s="33">
        <f>IFERROR(__xludf.DUMMYFUNCTION("""COMPUTED_VALUE"""),0.8333333333333334)</f>
        <v>0.8333333333</v>
      </c>
      <c r="S1419" s="4" t="str">
        <f>IFERROR(__xludf.DUMMYFUNCTION("""COMPUTED_VALUE"""),"Saipos Serviços De Software")</f>
        <v>Saipos Serviços De Software</v>
      </c>
      <c r="T1419" s="33">
        <f>IFERROR(__xludf.DUMMYFUNCTION("""COMPUTED_VALUE"""),0.6666666666666666)</f>
        <v>0.6666666667</v>
      </c>
      <c r="U1419" s="4" t="str">
        <f>IFERROR(__xludf.DUMMYFUNCTION("""COMPUTED_VALUE"""),"Saipos Serviços De Software")</f>
        <v>Saipos Serviços De Software</v>
      </c>
      <c r="V1419" s="33">
        <f>IFERROR(__xludf.DUMMYFUNCTION("""COMPUTED_VALUE"""),0.6666666666666666)</f>
        <v>0.6666666667</v>
      </c>
      <c r="W1419" s="4" t="str">
        <f>IFERROR(__xludf.DUMMYFUNCTION("""COMPUTED_VALUE"""),"Saipos Serviços De Software")</f>
        <v>Saipos Serviços De Software</v>
      </c>
      <c r="X1419" s="33">
        <f>IFERROR(__xludf.DUMMYFUNCTION("""COMPUTED_VALUE"""),0.6666666666666666)</f>
        <v>0.6666666667</v>
      </c>
    </row>
    <row r="1420">
      <c r="K1420" s="4" t="str">
        <f>IFERROR(__xludf.DUMMYFUNCTION("""COMPUTED_VALUE"""),"LL QUENTINHA - M")</f>
        <v>LL QUENTINHA - M</v>
      </c>
      <c r="L1420" s="32">
        <f>IFERROR(__xludf.DUMMYFUNCTION("""COMPUTED_VALUE"""),6.0)</f>
        <v>6</v>
      </c>
      <c r="M1420" s="4" t="str">
        <f>IFERROR(__xludf.DUMMYFUNCTION("""COMPUTED_VALUE"""),"Saipos Serviços De Software")</f>
        <v>Saipos Serviços De Software</v>
      </c>
      <c r="N1420" s="33">
        <f>IFERROR(__xludf.DUMMYFUNCTION("""COMPUTED_VALUE"""),0.8333333333333334)</f>
        <v>0.8333333333</v>
      </c>
      <c r="O1420" s="4" t="str">
        <f>IFERROR(__xludf.DUMMYFUNCTION("""COMPUTED_VALUE"""),"Saipos Serviços De Software")</f>
        <v>Saipos Serviços De Software</v>
      </c>
      <c r="P1420" s="33">
        <f>IFERROR(__xludf.DUMMYFUNCTION("""COMPUTED_VALUE"""),0.8333333333333334)</f>
        <v>0.8333333333</v>
      </c>
      <c r="Q1420" s="4" t="str">
        <f>IFERROR(__xludf.DUMMYFUNCTION("""COMPUTED_VALUE"""),"Saipos Serviços De Software")</f>
        <v>Saipos Serviços De Software</v>
      </c>
      <c r="R1420" s="33">
        <f>IFERROR(__xludf.DUMMYFUNCTION("""COMPUTED_VALUE"""),0.8333333333333334)</f>
        <v>0.8333333333</v>
      </c>
      <c r="S1420" s="4" t="str">
        <f>IFERROR(__xludf.DUMMYFUNCTION("""COMPUTED_VALUE"""),"Saipos Serviços De Software")</f>
        <v>Saipos Serviços De Software</v>
      </c>
      <c r="T1420" s="33">
        <f>IFERROR(__xludf.DUMMYFUNCTION("""COMPUTED_VALUE"""),0.8333333333333334)</f>
        <v>0.8333333333</v>
      </c>
      <c r="U1420" s="4" t="str">
        <f>IFERROR(__xludf.DUMMYFUNCTION("""COMPUTED_VALUE"""),"Saipos Serviços De Software")</f>
        <v>Saipos Serviços De Software</v>
      </c>
      <c r="V1420" s="33">
        <f>IFERROR(__xludf.DUMMYFUNCTION("""COMPUTED_VALUE"""),0.8333333333333334)</f>
        <v>0.8333333333</v>
      </c>
      <c r="W1420" s="4" t="str">
        <f>IFERROR(__xludf.DUMMYFUNCTION("""COMPUTED_VALUE"""),"Saipos Serviços De Software")</f>
        <v>Saipos Serviços De Software</v>
      </c>
      <c r="X1420" s="33">
        <f>IFERROR(__xludf.DUMMYFUNCTION("""COMPUTED_VALUE"""),1.0)</f>
        <v>1</v>
      </c>
    </row>
    <row r="1421">
      <c r="K1421" s="4" t="str">
        <f>IFERROR(__xludf.DUMMYFUNCTION("""COMPUTED_VALUE"""),"LOV PIZZA - CONTA MARCA")</f>
        <v>LOV PIZZA - CONTA MARCA</v>
      </c>
      <c r="L1421" s="32">
        <f>IFERROR(__xludf.DUMMYFUNCTION("""COMPUTED_VALUE"""),6.0)</f>
        <v>6</v>
      </c>
      <c r="M1421" s="4" t="str">
        <f>IFERROR(__xludf.DUMMYFUNCTION("""COMPUTED_VALUE"""),"Saipos Serviços De Software")</f>
        <v>Saipos Serviços De Software</v>
      </c>
      <c r="N1421" s="33">
        <f>IFERROR(__xludf.DUMMYFUNCTION("""COMPUTED_VALUE"""),1.0)</f>
        <v>1</v>
      </c>
      <c r="O1421" s="4" t="str">
        <f>IFERROR(__xludf.DUMMYFUNCTION("""COMPUTED_VALUE"""),"Saipos Serviços De Software")</f>
        <v>Saipos Serviços De Software</v>
      </c>
      <c r="P1421" s="33">
        <f>IFERROR(__xludf.DUMMYFUNCTION("""COMPUTED_VALUE"""),1.0)</f>
        <v>1</v>
      </c>
      <c r="Q1421" s="4" t="str">
        <f>IFERROR(__xludf.DUMMYFUNCTION("""COMPUTED_VALUE"""),"Saipos Serviços De Software")</f>
        <v>Saipos Serviços De Software</v>
      </c>
      <c r="R1421" s="33">
        <f>IFERROR(__xludf.DUMMYFUNCTION("""COMPUTED_VALUE"""),1.0)</f>
        <v>1</v>
      </c>
      <c r="S1421" s="4" t="str">
        <f>IFERROR(__xludf.DUMMYFUNCTION("""COMPUTED_VALUE"""),"Saipos Serviços De Software")</f>
        <v>Saipos Serviços De Software</v>
      </c>
      <c r="T1421" s="33">
        <f>IFERROR(__xludf.DUMMYFUNCTION("""COMPUTED_VALUE"""),1.0)</f>
        <v>1</v>
      </c>
      <c r="U1421" s="4" t="str">
        <f>IFERROR(__xludf.DUMMYFUNCTION("""COMPUTED_VALUE"""),"Saipos Serviços De Software")</f>
        <v>Saipos Serviços De Software</v>
      </c>
      <c r="V1421" s="33">
        <f>IFERROR(__xludf.DUMMYFUNCTION("""COMPUTED_VALUE"""),1.0)</f>
        <v>1</v>
      </c>
      <c r="W1421" s="4" t="str">
        <f>IFERROR(__xludf.DUMMYFUNCTION("""COMPUTED_VALUE"""),"Saipos Serviços De Software")</f>
        <v>Saipos Serviços De Software</v>
      </c>
      <c r="X1421" s="33">
        <f>IFERROR(__xludf.DUMMYFUNCTION("""COMPUTED_VALUE"""),1.0)</f>
        <v>1</v>
      </c>
    </row>
    <row r="1422">
      <c r="K1422" s="4" t="str">
        <f>IFERROR(__xludf.DUMMYFUNCTION("""COMPUTED_VALUE"""),"MADE IN CHINA - CONTA MARCA")</f>
        <v>MADE IN CHINA - CONTA MARCA</v>
      </c>
      <c r="L1422" s="32">
        <f>IFERROR(__xludf.DUMMYFUNCTION("""COMPUTED_VALUE"""),6.0)</f>
        <v>6</v>
      </c>
      <c r="M1422" s="4" t="str">
        <f>IFERROR(__xludf.DUMMYFUNCTION("""COMPUTED_VALUE"""),"Saipos Serviços De Software")</f>
        <v>Saipos Serviços De Software</v>
      </c>
      <c r="N1422" s="33">
        <f>IFERROR(__xludf.DUMMYFUNCTION("""COMPUTED_VALUE"""),1.0)</f>
        <v>1</v>
      </c>
      <c r="O1422" s="4" t="str">
        <f>IFERROR(__xludf.DUMMYFUNCTION("""COMPUTED_VALUE"""),"Saipos Serviços De Software")</f>
        <v>Saipos Serviços De Software</v>
      </c>
      <c r="P1422" s="33">
        <f>IFERROR(__xludf.DUMMYFUNCTION("""COMPUTED_VALUE"""),1.0)</f>
        <v>1</v>
      </c>
      <c r="Q1422" s="4" t="str">
        <f>IFERROR(__xludf.DUMMYFUNCTION("""COMPUTED_VALUE"""),"Saipos Serviços De Software")</f>
        <v>Saipos Serviços De Software</v>
      </c>
      <c r="R1422" s="33">
        <f>IFERROR(__xludf.DUMMYFUNCTION("""COMPUTED_VALUE"""),1.0)</f>
        <v>1</v>
      </c>
      <c r="S1422" s="4" t="str">
        <f>IFERROR(__xludf.DUMMYFUNCTION("""COMPUTED_VALUE"""),"Saipos Serviços De Software")</f>
        <v>Saipos Serviços De Software</v>
      </c>
      <c r="T1422" s="33">
        <f>IFERROR(__xludf.DUMMYFUNCTION("""COMPUTED_VALUE"""),1.0)</f>
        <v>1</v>
      </c>
      <c r="U1422" s="4" t="str">
        <f>IFERROR(__xludf.DUMMYFUNCTION("""COMPUTED_VALUE"""),"Saipos Serviços De Software")</f>
        <v>Saipos Serviços De Software</v>
      </c>
      <c r="V1422" s="33">
        <f>IFERROR(__xludf.DUMMYFUNCTION("""COMPUTED_VALUE"""),1.0)</f>
        <v>1</v>
      </c>
      <c r="W1422" s="4" t="str">
        <f>IFERROR(__xludf.DUMMYFUNCTION("""COMPUTED_VALUE"""),"Saipos Serviços De Software")</f>
        <v>Saipos Serviços De Software</v>
      </c>
      <c r="X1422" s="33">
        <f>IFERROR(__xludf.DUMMYFUNCTION("""COMPUTED_VALUE"""),1.0)</f>
        <v>1</v>
      </c>
    </row>
    <row r="1423">
      <c r="K1423" s="4" t="str">
        <f>IFERROR(__xludf.DUMMYFUNCTION("""COMPUTED_VALUE"""),"MARIPOSA")</f>
        <v>MARIPOSA</v>
      </c>
      <c r="L1423" s="32">
        <f>IFERROR(__xludf.DUMMYFUNCTION("""COMPUTED_VALUE"""),6.0)</f>
        <v>6</v>
      </c>
      <c r="M1423" s="4" t="str">
        <f>IFERROR(__xludf.DUMMYFUNCTION("""COMPUTED_VALUE"""),"null")</f>
        <v>null</v>
      </c>
      <c r="N1423" s="33">
        <f>IFERROR(__xludf.DUMMYFUNCTION("""COMPUTED_VALUE"""),0.5)</f>
        <v>0.5</v>
      </c>
      <c r="O1423" s="4" t="str">
        <f>IFERROR(__xludf.DUMMYFUNCTION("""COMPUTED_VALUE"""),"Ncr")</f>
        <v>Ncr</v>
      </c>
      <c r="P1423" s="33">
        <f>IFERROR(__xludf.DUMMYFUNCTION("""COMPUTED_VALUE"""),0.5)</f>
        <v>0.5</v>
      </c>
      <c r="Q1423" s="4" t="str">
        <f>IFERROR(__xludf.DUMMYFUNCTION("""COMPUTED_VALUE"""),"Ncr")</f>
        <v>Ncr</v>
      </c>
      <c r="R1423" s="33">
        <f>IFERROR(__xludf.DUMMYFUNCTION("""COMPUTED_VALUE"""),0.5)</f>
        <v>0.5</v>
      </c>
      <c r="S1423" s="4" t="str">
        <f>IFERROR(__xludf.DUMMYFUNCTION("""COMPUTED_VALUE"""),"Ncr")</f>
        <v>Ncr</v>
      </c>
      <c r="T1423" s="33">
        <f>IFERROR(__xludf.DUMMYFUNCTION("""COMPUTED_VALUE"""),0.6666666666666666)</f>
        <v>0.6666666667</v>
      </c>
      <c r="U1423" s="4" t="str">
        <f>IFERROR(__xludf.DUMMYFUNCTION("""COMPUTED_VALUE"""),"Ncr")</f>
        <v>Ncr</v>
      </c>
      <c r="V1423" s="33">
        <f>IFERROR(__xludf.DUMMYFUNCTION("""COMPUTED_VALUE"""),0.5)</f>
        <v>0.5</v>
      </c>
      <c r="W1423" s="4" t="str">
        <f>IFERROR(__xludf.DUMMYFUNCTION("""COMPUTED_VALUE"""),"Ncr")</f>
        <v>Ncr</v>
      </c>
      <c r="X1423" s="33">
        <f>IFERROR(__xludf.DUMMYFUNCTION("""COMPUTED_VALUE"""),0.5)</f>
        <v>0.5</v>
      </c>
    </row>
    <row r="1424">
      <c r="K1424" s="4" t="str">
        <f>IFERROR(__xludf.DUMMYFUNCTION("""COMPUTED_VALUE"""),"MERCADAO PET - CONTA PAI")</f>
        <v>MERCADAO PET - CONTA PAI</v>
      </c>
      <c r="L1424" s="32">
        <f>IFERROR(__xludf.DUMMYFUNCTION("""COMPUTED_VALUE"""),6.0)</f>
        <v>6</v>
      </c>
      <c r="M1424" s="4" t="str">
        <f>IFERROR(__xludf.DUMMYFUNCTION("""COMPUTED_VALUE"""),"N/A (Not found)")</f>
        <v>N/A (Not found)</v>
      </c>
      <c r="N1424" s="33">
        <f>IFERROR(__xludf.DUMMYFUNCTION("""COMPUTED_VALUE"""),1.0)</f>
        <v>1</v>
      </c>
      <c r="O1424" s="4" t="str">
        <f>IFERROR(__xludf.DUMMYFUNCTION("""COMPUTED_VALUE"""),"N/A (Not found)")</f>
        <v>N/A (Not found)</v>
      </c>
      <c r="P1424" s="33">
        <f>IFERROR(__xludf.DUMMYFUNCTION("""COMPUTED_VALUE"""),1.0)</f>
        <v>1</v>
      </c>
      <c r="Q1424" s="4" t="str">
        <f>IFERROR(__xludf.DUMMYFUNCTION("""COMPUTED_VALUE"""),"N/A (Not found)")</f>
        <v>N/A (Not found)</v>
      </c>
      <c r="R1424" s="33">
        <f>IFERROR(__xludf.DUMMYFUNCTION("""COMPUTED_VALUE"""),1.0)</f>
        <v>1</v>
      </c>
      <c r="S1424" s="4" t="str">
        <f>IFERROR(__xludf.DUMMYFUNCTION("""COMPUTED_VALUE"""),"N/A (Not found)")</f>
        <v>N/A (Not found)</v>
      </c>
      <c r="T1424" s="33">
        <f>IFERROR(__xludf.DUMMYFUNCTION("""COMPUTED_VALUE"""),1.0)</f>
        <v>1</v>
      </c>
      <c r="U1424" s="4" t="str">
        <f>IFERROR(__xludf.DUMMYFUNCTION("""COMPUTED_VALUE"""),"N/A (Not found)")</f>
        <v>N/A (Not found)</v>
      </c>
      <c r="V1424" s="33">
        <f>IFERROR(__xludf.DUMMYFUNCTION("""COMPUTED_VALUE"""),1.0)</f>
        <v>1</v>
      </c>
      <c r="W1424" s="4" t="str">
        <f>IFERROR(__xludf.DUMMYFUNCTION("""COMPUTED_VALUE"""),"N/A (Not found)")</f>
        <v>N/A (Not found)</v>
      </c>
      <c r="X1424" s="33">
        <f>IFERROR(__xludf.DUMMYFUNCTION("""COMPUTED_VALUE"""),1.0)</f>
        <v>1</v>
      </c>
    </row>
    <row r="1425">
      <c r="K1425" s="4" t="str">
        <f>IFERROR(__xludf.DUMMYFUNCTION("""COMPUTED_VALUE"""),"MERCADO BELLA VILLA - CONTA PAI")</f>
        <v>MERCADO BELLA VILLA - CONTA PAI</v>
      </c>
      <c r="L1425" s="32">
        <f>IFERROR(__xludf.DUMMYFUNCTION("""COMPUTED_VALUE"""),6.0)</f>
        <v>6</v>
      </c>
      <c r="M1425" s="4" t="str">
        <f>IFERROR(__xludf.DUMMYFUNCTION("""COMPUTED_VALUE"""),"N/A (Not found)")</f>
        <v>N/A (Not found)</v>
      </c>
      <c r="N1425" s="33">
        <f>IFERROR(__xludf.DUMMYFUNCTION("""COMPUTED_VALUE"""),1.0)</f>
        <v>1</v>
      </c>
      <c r="O1425" s="4" t="str">
        <f>IFERROR(__xludf.DUMMYFUNCTION("""COMPUTED_VALUE"""),"N/A (Not found)")</f>
        <v>N/A (Not found)</v>
      </c>
      <c r="P1425" s="33">
        <f>IFERROR(__xludf.DUMMYFUNCTION("""COMPUTED_VALUE"""),1.0)</f>
        <v>1</v>
      </c>
      <c r="Q1425" s="4" t="str">
        <f>IFERROR(__xludf.DUMMYFUNCTION("""COMPUTED_VALUE"""),"N/A (Not found)")</f>
        <v>N/A (Not found)</v>
      </c>
      <c r="R1425" s="33">
        <f>IFERROR(__xludf.DUMMYFUNCTION("""COMPUTED_VALUE"""),1.0)</f>
        <v>1</v>
      </c>
      <c r="S1425" s="4" t="str">
        <f>IFERROR(__xludf.DUMMYFUNCTION("""COMPUTED_VALUE"""),"N/A (Not found)")</f>
        <v>N/A (Not found)</v>
      </c>
      <c r="T1425" s="33">
        <f>IFERROR(__xludf.DUMMYFUNCTION("""COMPUTED_VALUE"""),1.0)</f>
        <v>1</v>
      </c>
      <c r="U1425" s="4" t="str">
        <f>IFERROR(__xludf.DUMMYFUNCTION("""COMPUTED_VALUE"""),"N/A (Not found)")</f>
        <v>N/A (Not found)</v>
      </c>
      <c r="V1425" s="33">
        <f>IFERROR(__xludf.DUMMYFUNCTION("""COMPUTED_VALUE"""),1.0)</f>
        <v>1</v>
      </c>
      <c r="W1425" s="4" t="str">
        <f>IFERROR(__xludf.DUMMYFUNCTION("""COMPUTED_VALUE"""),"N/A (Not found)")</f>
        <v>N/A (Not found)</v>
      </c>
      <c r="X1425" s="33">
        <f>IFERROR(__xludf.DUMMYFUNCTION("""COMPUTED_VALUE"""),1.0)</f>
        <v>1</v>
      </c>
    </row>
    <row r="1426">
      <c r="K1426" s="4" t="str">
        <f>IFERROR(__xludf.DUMMYFUNCTION("""COMPUTED_VALUE"""),"MINHA FARMA - CONTA MARCA")</f>
        <v>MINHA FARMA - CONTA MARCA</v>
      </c>
      <c r="L1426" s="32">
        <f>IFERROR(__xludf.DUMMYFUNCTION("""COMPUTED_VALUE"""),6.0)</f>
        <v>6</v>
      </c>
      <c r="M1426" s="4" t="str">
        <f>IFERROR(__xludf.DUMMYFUNCTION("""COMPUTED_VALUE"""),"N/A (Not found)")</f>
        <v>N/A (Not found)</v>
      </c>
      <c r="N1426" s="33">
        <f>IFERROR(__xludf.DUMMYFUNCTION("""COMPUTED_VALUE"""),1.0)</f>
        <v>1</v>
      </c>
      <c r="O1426" s="4" t="str">
        <f>IFERROR(__xludf.DUMMYFUNCTION("""COMPUTED_VALUE"""),"N/A (Not found)")</f>
        <v>N/A (Not found)</v>
      </c>
      <c r="P1426" s="33">
        <f>IFERROR(__xludf.DUMMYFUNCTION("""COMPUTED_VALUE"""),0.8333333333333334)</f>
        <v>0.8333333333</v>
      </c>
      <c r="Q1426" s="4" t="str">
        <f>IFERROR(__xludf.DUMMYFUNCTION("""COMPUTED_VALUE"""),"N/A (Not found)")</f>
        <v>N/A (Not found)</v>
      </c>
      <c r="R1426" s="33">
        <f>IFERROR(__xludf.DUMMYFUNCTION("""COMPUTED_VALUE"""),0.6666666666666666)</f>
        <v>0.6666666667</v>
      </c>
      <c r="S1426" s="4" t="str">
        <f>IFERROR(__xludf.DUMMYFUNCTION("""COMPUTED_VALUE"""),"null")</f>
        <v>null</v>
      </c>
      <c r="T1426" s="33">
        <f>IFERROR(__xludf.DUMMYFUNCTION("""COMPUTED_VALUE"""),0.6666666666666666)</f>
        <v>0.6666666667</v>
      </c>
      <c r="U1426" s="4" t="str">
        <f>IFERROR(__xludf.DUMMYFUNCTION("""COMPUTED_VALUE"""),"null")</f>
        <v>null</v>
      </c>
      <c r="V1426" s="33">
        <f>IFERROR(__xludf.DUMMYFUNCTION("""COMPUTED_VALUE"""),1.0)</f>
        <v>1</v>
      </c>
      <c r="W1426" s="4" t="str">
        <f>IFERROR(__xludf.DUMMYFUNCTION("""COMPUTED_VALUE"""),"null")</f>
        <v>null</v>
      </c>
      <c r="X1426" s="33">
        <f>IFERROR(__xludf.DUMMYFUNCTION("""COMPUTED_VALUE"""),1.0)</f>
        <v>1</v>
      </c>
    </row>
    <row r="1427">
      <c r="K1427" s="4" t="str">
        <f>IFERROR(__xludf.DUMMYFUNCTION("""COMPUTED_VALUE"""),"MR CHENEY")</f>
        <v>MR CHENEY</v>
      </c>
      <c r="L1427" s="32">
        <f>IFERROR(__xludf.DUMMYFUNCTION("""COMPUTED_VALUE"""),6.0)</f>
        <v>6</v>
      </c>
      <c r="M1427" s="4" t="str">
        <f>IFERROR(__xludf.DUMMYFUNCTION("""COMPUTED_VALUE"""),"Mimic")</f>
        <v>Mimic</v>
      </c>
      <c r="N1427" s="33">
        <f>IFERROR(__xludf.DUMMYFUNCTION("""COMPUTED_VALUE"""),0.5)</f>
        <v>0.5</v>
      </c>
      <c r="O1427" s="4" t="str">
        <f>IFERROR(__xludf.DUMMYFUNCTION("""COMPUTED_VALUE"""),"null")</f>
        <v>null</v>
      </c>
      <c r="P1427" s="33">
        <f>IFERROR(__xludf.DUMMYFUNCTION("""COMPUTED_VALUE"""),0.8333333333333334)</f>
        <v>0.8333333333</v>
      </c>
      <c r="Q1427" s="4" t="str">
        <f>IFERROR(__xludf.DUMMYFUNCTION("""COMPUTED_VALUE"""),"null")</f>
        <v>null</v>
      </c>
      <c r="R1427" s="33">
        <f>IFERROR(__xludf.DUMMYFUNCTION("""COMPUTED_VALUE"""),0.8333333333333334)</f>
        <v>0.8333333333</v>
      </c>
      <c r="S1427" s="4" t="str">
        <f>IFERROR(__xludf.DUMMYFUNCTION("""COMPUTED_VALUE"""),"null")</f>
        <v>null</v>
      </c>
      <c r="T1427" s="33">
        <f>IFERROR(__xludf.DUMMYFUNCTION("""COMPUTED_VALUE"""),0.8333333333333334)</f>
        <v>0.8333333333</v>
      </c>
      <c r="U1427" s="4" t="str">
        <f>IFERROR(__xludf.DUMMYFUNCTION("""COMPUTED_VALUE"""),"null")</f>
        <v>null</v>
      </c>
      <c r="V1427" s="33">
        <f>IFERROR(__xludf.DUMMYFUNCTION("""COMPUTED_VALUE"""),0.8333333333333334)</f>
        <v>0.8333333333</v>
      </c>
      <c r="W1427" s="4" t="str">
        <f>IFERROR(__xludf.DUMMYFUNCTION("""COMPUTED_VALUE"""),"null")</f>
        <v>null</v>
      </c>
      <c r="X1427" s="33">
        <f>IFERROR(__xludf.DUMMYFUNCTION("""COMPUTED_VALUE"""),0.6666666666666666)</f>
        <v>0.6666666667</v>
      </c>
    </row>
    <row r="1428">
      <c r="K1428" s="4" t="str">
        <f>IFERROR(__xludf.DUMMYFUNCTION("""COMPUTED_VALUE"""),"NAKAJYMA SUSHI")</f>
        <v>NAKAJYMA SUSHI</v>
      </c>
      <c r="L1428" s="32">
        <f>IFERROR(__xludf.DUMMYFUNCTION("""COMPUTED_VALUE"""),6.0)</f>
        <v>6</v>
      </c>
      <c r="M1428" s="4" t="str">
        <f>IFERROR(__xludf.DUMMYFUNCTION("""COMPUTED_VALUE"""),"Mobility Sistemas")</f>
        <v>Mobility Sistemas</v>
      </c>
      <c r="N1428" s="33">
        <f>IFERROR(__xludf.DUMMYFUNCTION("""COMPUTED_VALUE"""),1.0)</f>
        <v>1</v>
      </c>
      <c r="O1428" s="4" t="str">
        <f>IFERROR(__xludf.DUMMYFUNCTION("""COMPUTED_VALUE"""),"Mobility Sistemas")</f>
        <v>Mobility Sistemas</v>
      </c>
      <c r="P1428" s="33">
        <f>IFERROR(__xludf.DUMMYFUNCTION("""COMPUTED_VALUE"""),1.0)</f>
        <v>1</v>
      </c>
      <c r="Q1428" s="4" t="str">
        <f>IFERROR(__xludf.DUMMYFUNCTION("""COMPUTED_VALUE"""),"Mobility Sistemas")</f>
        <v>Mobility Sistemas</v>
      </c>
      <c r="R1428" s="33">
        <f>IFERROR(__xludf.DUMMYFUNCTION("""COMPUTED_VALUE"""),1.0)</f>
        <v>1</v>
      </c>
      <c r="S1428" s="4" t="str">
        <f>IFERROR(__xludf.DUMMYFUNCTION("""COMPUTED_VALUE"""),"Mobility Sistemas")</f>
        <v>Mobility Sistemas</v>
      </c>
      <c r="T1428" s="33">
        <f>IFERROR(__xludf.DUMMYFUNCTION("""COMPUTED_VALUE"""),1.0)</f>
        <v>1</v>
      </c>
      <c r="U1428" s="4" t="str">
        <f>IFERROR(__xludf.DUMMYFUNCTION("""COMPUTED_VALUE"""),"Mobility Sistemas")</f>
        <v>Mobility Sistemas</v>
      </c>
      <c r="V1428" s="33">
        <f>IFERROR(__xludf.DUMMYFUNCTION("""COMPUTED_VALUE"""),1.0)</f>
        <v>1</v>
      </c>
      <c r="W1428" s="4" t="str">
        <f>IFERROR(__xludf.DUMMYFUNCTION("""COMPUTED_VALUE"""),"Mobility Sistemas")</f>
        <v>Mobility Sistemas</v>
      </c>
      <c r="X1428" s="33">
        <f>IFERROR(__xludf.DUMMYFUNCTION("""COMPUTED_VALUE"""),1.0)</f>
        <v>1</v>
      </c>
    </row>
    <row r="1429">
      <c r="K1429" s="4" t="str">
        <f>IFERROR(__xludf.DUMMYFUNCTION("""COMPUTED_VALUE"""),"NAMAJO")</f>
        <v>NAMAJO</v>
      </c>
      <c r="L1429" s="32">
        <f>IFERROR(__xludf.DUMMYFUNCTION("""COMPUTED_VALUE"""),6.0)</f>
        <v>6</v>
      </c>
      <c r="M1429" s="4" t="str">
        <f>IFERROR(__xludf.DUMMYFUNCTION("""COMPUTED_VALUE"""),"Saipos Serviços De Software")</f>
        <v>Saipos Serviços De Software</v>
      </c>
      <c r="N1429" s="33">
        <f>IFERROR(__xludf.DUMMYFUNCTION("""COMPUTED_VALUE"""),1.0)</f>
        <v>1</v>
      </c>
      <c r="O1429" s="4" t="str">
        <f>IFERROR(__xludf.DUMMYFUNCTION("""COMPUTED_VALUE"""),"Saipos Serviços De Software")</f>
        <v>Saipos Serviços De Software</v>
      </c>
      <c r="P1429" s="33">
        <f>IFERROR(__xludf.DUMMYFUNCTION("""COMPUTED_VALUE"""),1.0)</f>
        <v>1</v>
      </c>
      <c r="Q1429" s="4" t="str">
        <f>IFERROR(__xludf.DUMMYFUNCTION("""COMPUTED_VALUE"""),"Saipos Serviços De Software")</f>
        <v>Saipos Serviços De Software</v>
      </c>
      <c r="R1429" s="33">
        <f>IFERROR(__xludf.DUMMYFUNCTION("""COMPUTED_VALUE"""),1.0)</f>
        <v>1</v>
      </c>
      <c r="S1429" s="4" t="str">
        <f>IFERROR(__xludf.DUMMYFUNCTION("""COMPUTED_VALUE"""),"Saipos Serviços De Software")</f>
        <v>Saipos Serviços De Software</v>
      </c>
      <c r="T1429" s="33">
        <f>IFERROR(__xludf.DUMMYFUNCTION("""COMPUTED_VALUE"""),1.0)</f>
        <v>1</v>
      </c>
      <c r="U1429" s="4" t="str">
        <f>IFERROR(__xludf.DUMMYFUNCTION("""COMPUTED_VALUE"""),"Saipos Serviços De Software")</f>
        <v>Saipos Serviços De Software</v>
      </c>
      <c r="V1429" s="33">
        <f>IFERROR(__xludf.DUMMYFUNCTION("""COMPUTED_VALUE"""),1.0)</f>
        <v>1</v>
      </c>
      <c r="W1429" s="4" t="str">
        <f>IFERROR(__xludf.DUMMYFUNCTION("""COMPUTED_VALUE"""),"Saipos Serviços De Software")</f>
        <v>Saipos Serviços De Software</v>
      </c>
      <c r="X1429" s="33">
        <f>IFERROR(__xludf.DUMMYFUNCTION("""COMPUTED_VALUE"""),1.0)</f>
        <v>1</v>
      </c>
    </row>
    <row r="1430">
      <c r="K1430" s="4" t="str">
        <f>IFERROR(__xludf.DUMMYFUNCTION("""COMPUTED_VALUE"""),"NAT SUSHI TEMAKERIA")</f>
        <v>NAT SUSHI TEMAKERIA</v>
      </c>
      <c r="L1430" s="32">
        <f>IFERROR(__xludf.DUMMYFUNCTION("""COMPUTED_VALUE"""),6.0)</f>
        <v>6</v>
      </c>
      <c r="M1430" s="4" t="str">
        <f>IFERROR(__xludf.DUMMYFUNCTION("""COMPUTED_VALUE"""),"Consumer Soluções Em Tecnologia Ltda")</f>
        <v>Consumer Soluções Em Tecnologia Ltda</v>
      </c>
      <c r="N1430" s="33">
        <f>IFERROR(__xludf.DUMMYFUNCTION("""COMPUTED_VALUE"""),1.0)</f>
        <v>1</v>
      </c>
      <c r="O1430" s="4" t="str">
        <f>IFERROR(__xludf.DUMMYFUNCTION("""COMPUTED_VALUE"""),"null")</f>
        <v>null</v>
      </c>
      <c r="P1430" s="33">
        <f>IFERROR(__xludf.DUMMYFUNCTION("""COMPUTED_VALUE"""),0.5)</f>
        <v>0.5</v>
      </c>
      <c r="Q1430" s="4" t="str">
        <f>IFERROR(__xludf.DUMMYFUNCTION("""COMPUTED_VALUE"""),"null")</f>
        <v>null</v>
      </c>
      <c r="R1430" s="33">
        <f>IFERROR(__xludf.DUMMYFUNCTION("""COMPUTED_VALUE"""),0.5)</f>
        <v>0.5</v>
      </c>
      <c r="S1430" s="4" t="str">
        <f>IFERROR(__xludf.DUMMYFUNCTION("""COMPUTED_VALUE"""),"Takeat Tecnologia")</f>
        <v>Takeat Tecnologia</v>
      </c>
      <c r="T1430" s="33">
        <f>IFERROR(__xludf.DUMMYFUNCTION("""COMPUTED_VALUE"""),0.5)</f>
        <v>0.5</v>
      </c>
      <c r="U1430" s="4" t="str">
        <f>IFERROR(__xludf.DUMMYFUNCTION("""COMPUTED_VALUE"""),"null")</f>
        <v>null</v>
      </c>
      <c r="V1430" s="33">
        <f>IFERROR(__xludf.DUMMYFUNCTION("""COMPUTED_VALUE"""),0.6666666666666666)</f>
        <v>0.6666666667</v>
      </c>
      <c r="W1430" s="4" t="str">
        <f>IFERROR(__xludf.DUMMYFUNCTION("""COMPUTED_VALUE"""),"null")</f>
        <v>null</v>
      </c>
      <c r="X1430" s="33">
        <f>IFERROR(__xludf.DUMMYFUNCTION("""COMPUTED_VALUE"""),1.0)</f>
        <v>1</v>
      </c>
    </row>
    <row r="1431">
      <c r="K1431" s="4" t="str">
        <f>IFERROR(__xludf.DUMMYFUNCTION("""COMPUTED_VALUE"""),"NAUS RESTAURANTE")</f>
        <v>NAUS RESTAURANTE</v>
      </c>
      <c r="L1431" s="32">
        <f>IFERROR(__xludf.DUMMYFUNCTION("""COMPUTED_VALUE"""),6.0)</f>
        <v>6</v>
      </c>
      <c r="M1431" s="4" t="str">
        <f>IFERROR(__xludf.DUMMYFUNCTION("""COMPUTED_VALUE"""),"Netcontroll Xmenu")</f>
        <v>Netcontroll Xmenu</v>
      </c>
      <c r="N1431" s="33">
        <f>IFERROR(__xludf.DUMMYFUNCTION("""COMPUTED_VALUE"""),0.6666666666666666)</f>
        <v>0.6666666667</v>
      </c>
      <c r="O1431" s="4" t="str">
        <f>IFERROR(__xludf.DUMMYFUNCTION("""COMPUTED_VALUE"""),"Netcontroll Xmenu")</f>
        <v>Netcontroll Xmenu</v>
      </c>
      <c r="P1431" s="33">
        <f>IFERROR(__xludf.DUMMYFUNCTION("""COMPUTED_VALUE"""),0.6666666666666666)</f>
        <v>0.6666666667</v>
      </c>
      <c r="Q1431" s="4" t="str">
        <f>IFERROR(__xludf.DUMMYFUNCTION("""COMPUTED_VALUE"""),"Netcontroll Xmenu")</f>
        <v>Netcontroll Xmenu</v>
      </c>
      <c r="R1431" s="33">
        <f>IFERROR(__xludf.DUMMYFUNCTION("""COMPUTED_VALUE"""),0.6666666666666666)</f>
        <v>0.6666666667</v>
      </c>
      <c r="S1431" s="4" t="str">
        <f>IFERROR(__xludf.DUMMYFUNCTION("""COMPUTED_VALUE"""),"Netcontroll Xmenu")</f>
        <v>Netcontroll Xmenu</v>
      </c>
      <c r="T1431" s="33">
        <f>IFERROR(__xludf.DUMMYFUNCTION("""COMPUTED_VALUE"""),0.6666666666666666)</f>
        <v>0.6666666667</v>
      </c>
      <c r="U1431" s="4" t="str">
        <f>IFERROR(__xludf.DUMMYFUNCTION("""COMPUTED_VALUE"""),"Netcontroll Xmenu")</f>
        <v>Netcontroll Xmenu</v>
      </c>
      <c r="V1431" s="33">
        <f>IFERROR(__xludf.DUMMYFUNCTION("""COMPUTED_VALUE"""),0.6666666666666666)</f>
        <v>0.6666666667</v>
      </c>
      <c r="W1431" s="4" t="str">
        <f>IFERROR(__xludf.DUMMYFUNCTION("""COMPUTED_VALUE"""),"Netcontroll Xmenu")</f>
        <v>Netcontroll Xmenu</v>
      </c>
      <c r="X1431" s="33">
        <f>IFERROR(__xludf.DUMMYFUNCTION("""COMPUTED_VALUE"""),0.6666666666666666)</f>
        <v>0.6666666667</v>
      </c>
    </row>
    <row r="1432">
      <c r="K1432" s="4" t="str">
        <f>IFERROR(__xludf.DUMMYFUNCTION("""COMPUTED_VALUE"""),"NEW HAKATA")</f>
        <v>NEW HAKATA</v>
      </c>
      <c r="L1432" s="32">
        <f>IFERROR(__xludf.DUMMYFUNCTION("""COMPUTED_VALUE"""),6.0)</f>
        <v>6</v>
      </c>
      <c r="M1432" s="4" t="str">
        <f>IFERROR(__xludf.DUMMYFUNCTION("""COMPUTED_VALUE"""),"Totvs Large Enterprise Tecnologia S.a.")</f>
        <v>Totvs Large Enterprise Tecnologia S.a.</v>
      </c>
      <c r="N1432" s="33">
        <f>IFERROR(__xludf.DUMMYFUNCTION("""COMPUTED_VALUE"""),0.5)</f>
        <v>0.5</v>
      </c>
      <c r="O1432" s="4" t="str">
        <f>IFERROR(__xludf.DUMMYFUNCTION("""COMPUTED_VALUE"""),"Totvs Large Enterprise Tecnologia S.a.")</f>
        <v>Totvs Large Enterprise Tecnologia S.a.</v>
      </c>
      <c r="P1432" s="33">
        <f>IFERROR(__xludf.DUMMYFUNCTION("""COMPUTED_VALUE"""),0.5)</f>
        <v>0.5</v>
      </c>
      <c r="Q1432" s="4" t="str">
        <f>IFERROR(__xludf.DUMMYFUNCTION("""COMPUTED_VALUE"""),"Totvs Large Enterprise Tecnologia S.a.")</f>
        <v>Totvs Large Enterprise Tecnologia S.a.</v>
      </c>
      <c r="R1432" s="33">
        <f>IFERROR(__xludf.DUMMYFUNCTION("""COMPUTED_VALUE"""),0.5)</f>
        <v>0.5</v>
      </c>
      <c r="S1432" s="4" t="str">
        <f>IFERROR(__xludf.DUMMYFUNCTION("""COMPUTED_VALUE"""),"Totvs Large Enterprise Tecnologia S.a.")</f>
        <v>Totvs Large Enterprise Tecnologia S.a.</v>
      </c>
      <c r="T1432" s="33">
        <f>IFERROR(__xludf.DUMMYFUNCTION("""COMPUTED_VALUE"""),0.5)</f>
        <v>0.5</v>
      </c>
      <c r="U1432" s="4" t="str">
        <f>IFERROR(__xludf.DUMMYFUNCTION("""COMPUTED_VALUE"""),"Totvs Large Enterprise Tecnologia S.a.")</f>
        <v>Totvs Large Enterprise Tecnologia S.a.</v>
      </c>
      <c r="V1432" s="33">
        <f>IFERROR(__xludf.DUMMYFUNCTION("""COMPUTED_VALUE"""),0.5)</f>
        <v>0.5</v>
      </c>
      <c r="W1432" s="4" t="str">
        <f>IFERROR(__xludf.DUMMYFUNCTION("""COMPUTED_VALUE"""),"Totvs Large Enterprise Tecnologia S.a.")</f>
        <v>Totvs Large Enterprise Tecnologia S.a.</v>
      </c>
      <c r="X1432" s="33">
        <f>IFERROR(__xludf.DUMMYFUNCTION("""COMPUTED_VALUE"""),0.5)</f>
        <v>0.5</v>
      </c>
    </row>
    <row r="1433">
      <c r="K1433" s="4" t="str">
        <f>IFERROR(__xludf.DUMMYFUNCTION("""COMPUTED_VALUE"""),"NINE NINE BURGER")</f>
        <v>NINE NINE BURGER</v>
      </c>
      <c r="L1433" s="32">
        <f>IFERROR(__xludf.DUMMYFUNCTION("""COMPUTED_VALUE"""),6.0)</f>
        <v>6</v>
      </c>
      <c r="M1433" s="4" t="str">
        <f>IFERROR(__xludf.DUMMYFUNCTION("""COMPUTED_VALUE"""),"Eclética Tecnologia")</f>
        <v>Eclética Tecnologia</v>
      </c>
      <c r="N1433" s="33">
        <f>IFERROR(__xludf.DUMMYFUNCTION("""COMPUTED_VALUE"""),0.8333333333333334)</f>
        <v>0.8333333333</v>
      </c>
      <c r="O1433" s="4" t="str">
        <f>IFERROR(__xludf.DUMMYFUNCTION("""COMPUTED_VALUE"""),"Eclética Tecnologia")</f>
        <v>Eclética Tecnologia</v>
      </c>
      <c r="P1433" s="33">
        <f>IFERROR(__xludf.DUMMYFUNCTION("""COMPUTED_VALUE"""),0.8333333333333334)</f>
        <v>0.8333333333</v>
      </c>
      <c r="Q1433" s="4" t="str">
        <f>IFERROR(__xludf.DUMMYFUNCTION("""COMPUTED_VALUE"""),"Eclética Tecnologia")</f>
        <v>Eclética Tecnologia</v>
      </c>
      <c r="R1433" s="33">
        <f>IFERROR(__xludf.DUMMYFUNCTION("""COMPUTED_VALUE"""),0.8333333333333334)</f>
        <v>0.8333333333</v>
      </c>
      <c r="S1433" s="4" t="str">
        <f>IFERROR(__xludf.DUMMYFUNCTION("""COMPUTED_VALUE"""),"Eclética Tecnologia")</f>
        <v>Eclética Tecnologia</v>
      </c>
      <c r="T1433" s="33">
        <f>IFERROR(__xludf.DUMMYFUNCTION("""COMPUTED_VALUE"""),0.8333333333333334)</f>
        <v>0.8333333333</v>
      </c>
      <c r="U1433" s="4" t="str">
        <f>IFERROR(__xludf.DUMMYFUNCTION("""COMPUTED_VALUE"""),"Eclética Tecnologia")</f>
        <v>Eclética Tecnologia</v>
      </c>
      <c r="V1433" s="33">
        <f>IFERROR(__xludf.DUMMYFUNCTION("""COMPUTED_VALUE"""),0.8333333333333334)</f>
        <v>0.8333333333</v>
      </c>
      <c r="W1433" s="4" t="str">
        <f>IFERROR(__xludf.DUMMYFUNCTION("""COMPUTED_VALUE"""),"Eclética Tecnologia")</f>
        <v>Eclética Tecnologia</v>
      </c>
      <c r="X1433" s="33">
        <f>IFERROR(__xludf.DUMMYFUNCTION("""COMPUTED_VALUE"""),0.8333333333333334)</f>
        <v>0.8333333333</v>
      </c>
    </row>
    <row r="1434">
      <c r="K1434" s="4" t="str">
        <f>IFERROR(__xludf.DUMMYFUNCTION("""COMPUTED_VALUE"""),"NITBURGER")</f>
        <v>NITBURGER</v>
      </c>
      <c r="L1434" s="32">
        <f>IFERROR(__xludf.DUMMYFUNCTION("""COMPUTED_VALUE"""),6.0)</f>
        <v>6</v>
      </c>
      <c r="M1434" s="4" t="str">
        <f>IFERROR(__xludf.DUMMYFUNCTION("""COMPUTED_VALUE"""),"Saipos Serviços De Software")</f>
        <v>Saipos Serviços De Software</v>
      </c>
      <c r="N1434" s="33">
        <f>IFERROR(__xludf.DUMMYFUNCTION("""COMPUTED_VALUE"""),1.0)</f>
        <v>1</v>
      </c>
      <c r="O1434" s="4" t="str">
        <f>IFERROR(__xludf.DUMMYFUNCTION("""COMPUTED_VALUE"""),"Saipos Serviços De Software")</f>
        <v>Saipos Serviços De Software</v>
      </c>
      <c r="P1434" s="33">
        <f>IFERROR(__xludf.DUMMYFUNCTION("""COMPUTED_VALUE"""),1.0)</f>
        <v>1</v>
      </c>
      <c r="Q1434" s="4" t="str">
        <f>IFERROR(__xludf.DUMMYFUNCTION("""COMPUTED_VALUE"""),"Saipos Serviços De Software")</f>
        <v>Saipos Serviços De Software</v>
      </c>
      <c r="R1434" s="33">
        <f>IFERROR(__xludf.DUMMYFUNCTION("""COMPUTED_VALUE"""),1.0)</f>
        <v>1</v>
      </c>
      <c r="S1434" s="4" t="str">
        <f>IFERROR(__xludf.DUMMYFUNCTION("""COMPUTED_VALUE"""),"Saipos Serviços De Software")</f>
        <v>Saipos Serviços De Software</v>
      </c>
      <c r="T1434" s="33">
        <f>IFERROR(__xludf.DUMMYFUNCTION("""COMPUTED_VALUE"""),1.0)</f>
        <v>1</v>
      </c>
      <c r="U1434" s="4" t="str">
        <f>IFERROR(__xludf.DUMMYFUNCTION("""COMPUTED_VALUE"""),"Saipos Serviços De Software")</f>
        <v>Saipos Serviços De Software</v>
      </c>
      <c r="V1434" s="33">
        <f>IFERROR(__xludf.DUMMYFUNCTION("""COMPUTED_VALUE"""),1.0)</f>
        <v>1</v>
      </c>
      <c r="W1434" s="4" t="str">
        <f>IFERROR(__xludf.DUMMYFUNCTION("""COMPUTED_VALUE"""),"Saipos Serviços De Software")</f>
        <v>Saipos Serviços De Software</v>
      </c>
      <c r="X1434" s="33">
        <f>IFERROR(__xludf.DUMMYFUNCTION("""COMPUTED_VALUE"""),1.0)</f>
        <v>1</v>
      </c>
    </row>
    <row r="1435">
      <c r="K1435" s="4" t="str">
        <f>IFERROR(__xludf.DUMMYFUNCTION("""COMPUTED_VALUE"""),"OX STEAKHOUSE - CONTA MARCA")</f>
        <v>OX STEAKHOUSE - CONTA MARCA</v>
      </c>
      <c r="L1435" s="32">
        <f>IFERROR(__xludf.DUMMYFUNCTION("""COMPUTED_VALUE"""),6.0)</f>
        <v>6</v>
      </c>
      <c r="M1435" s="4" t="str">
        <f>IFERROR(__xludf.DUMMYFUNCTION("""COMPUTED_VALUE"""),"Lexsis Sistemas")</f>
        <v>Lexsis Sistemas</v>
      </c>
      <c r="N1435" s="33">
        <f>IFERROR(__xludf.DUMMYFUNCTION("""COMPUTED_VALUE"""),1.0)</f>
        <v>1</v>
      </c>
      <c r="O1435" s="4" t="str">
        <f>IFERROR(__xludf.DUMMYFUNCTION("""COMPUTED_VALUE"""),"Lexsis Sistemas")</f>
        <v>Lexsis Sistemas</v>
      </c>
      <c r="P1435" s="33">
        <f>IFERROR(__xludf.DUMMYFUNCTION("""COMPUTED_VALUE"""),1.0)</f>
        <v>1</v>
      </c>
      <c r="Q1435" s="4" t="str">
        <f>IFERROR(__xludf.DUMMYFUNCTION("""COMPUTED_VALUE"""),"Lexsis Sistemas")</f>
        <v>Lexsis Sistemas</v>
      </c>
      <c r="R1435" s="33">
        <f>IFERROR(__xludf.DUMMYFUNCTION("""COMPUTED_VALUE"""),1.0)</f>
        <v>1</v>
      </c>
      <c r="S1435" s="4" t="str">
        <f>IFERROR(__xludf.DUMMYFUNCTION("""COMPUTED_VALUE"""),"Lexsis Sistemas")</f>
        <v>Lexsis Sistemas</v>
      </c>
      <c r="T1435" s="33">
        <f>IFERROR(__xludf.DUMMYFUNCTION("""COMPUTED_VALUE"""),1.0)</f>
        <v>1</v>
      </c>
      <c r="U1435" s="4" t="str">
        <f>IFERROR(__xludf.DUMMYFUNCTION("""COMPUTED_VALUE"""),"Lexsis Sistemas")</f>
        <v>Lexsis Sistemas</v>
      </c>
      <c r="V1435" s="33">
        <f>IFERROR(__xludf.DUMMYFUNCTION("""COMPUTED_VALUE"""),1.0)</f>
        <v>1</v>
      </c>
      <c r="W1435" s="4" t="str">
        <f>IFERROR(__xludf.DUMMYFUNCTION("""COMPUTED_VALUE"""),"Lexsis Sistemas")</f>
        <v>Lexsis Sistemas</v>
      </c>
      <c r="X1435" s="33">
        <f>IFERROR(__xludf.DUMMYFUNCTION("""COMPUTED_VALUE"""),0.8333333333333334)</f>
        <v>0.8333333333</v>
      </c>
    </row>
    <row r="1436">
      <c r="K1436" s="4" t="str">
        <f>IFERROR(__xludf.DUMMYFUNCTION("""COMPUTED_VALUE"""),"PANELA VELHA TERESINA")</f>
        <v>PANELA VELHA TERESINA</v>
      </c>
      <c r="L1436" s="32">
        <f>IFERROR(__xludf.DUMMYFUNCTION("""COMPUTED_VALUE"""),6.0)</f>
        <v>6</v>
      </c>
      <c r="M1436" s="4" t="str">
        <f>IFERROR(__xludf.DUMMYFUNCTION("""COMPUTED_VALUE"""),"Saipos Serviços De Software")</f>
        <v>Saipos Serviços De Software</v>
      </c>
      <c r="N1436" s="33">
        <f>IFERROR(__xludf.DUMMYFUNCTION("""COMPUTED_VALUE"""),0.6666666666666666)</f>
        <v>0.6666666667</v>
      </c>
      <c r="O1436" s="4" t="str">
        <f>IFERROR(__xludf.DUMMYFUNCTION("""COMPUTED_VALUE"""),"Saipos Serviços De Software")</f>
        <v>Saipos Serviços De Software</v>
      </c>
      <c r="P1436" s="33">
        <f>IFERROR(__xludf.DUMMYFUNCTION("""COMPUTED_VALUE"""),0.6666666666666666)</f>
        <v>0.6666666667</v>
      </c>
      <c r="Q1436" s="4" t="str">
        <f>IFERROR(__xludf.DUMMYFUNCTION("""COMPUTED_VALUE"""),"Saipos Serviços De Software")</f>
        <v>Saipos Serviços De Software</v>
      </c>
      <c r="R1436" s="33">
        <f>IFERROR(__xludf.DUMMYFUNCTION("""COMPUTED_VALUE"""),1.0)</f>
        <v>1</v>
      </c>
      <c r="S1436" s="4" t="str">
        <f>IFERROR(__xludf.DUMMYFUNCTION("""COMPUTED_VALUE"""),"Saipos Serviços De Software")</f>
        <v>Saipos Serviços De Software</v>
      </c>
      <c r="T1436" s="33">
        <f>IFERROR(__xludf.DUMMYFUNCTION("""COMPUTED_VALUE"""),1.0)</f>
        <v>1</v>
      </c>
      <c r="U1436" s="4" t="str">
        <f>IFERROR(__xludf.DUMMYFUNCTION("""COMPUTED_VALUE"""),"Saipos Serviços De Software")</f>
        <v>Saipos Serviços De Software</v>
      </c>
      <c r="V1436" s="33">
        <f>IFERROR(__xludf.DUMMYFUNCTION("""COMPUTED_VALUE"""),1.0)</f>
        <v>1</v>
      </c>
      <c r="W1436" s="4" t="str">
        <f>IFERROR(__xludf.DUMMYFUNCTION("""COMPUTED_VALUE"""),"Saipos Serviços De Software")</f>
        <v>Saipos Serviços De Software</v>
      </c>
      <c r="X1436" s="33">
        <f>IFERROR(__xludf.DUMMYFUNCTION("""COMPUTED_VALUE"""),1.0)</f>
        <v>1</v>
      </c>
    </row>
    <row r="1437">
      <c r="K1437" s="4" t="str">
        <f>IFERROR(__xludf.DUMMYFUNCTION("""COMPUTED_VALUE"""),"PAPA SUSHI - JOINVILLE")</f>
        <v>PAPA SUSHI - JOINVILLE</v>
      </c>
      <c r="L1437" s="32">
        <f>IFERROR(__xludf.DUMMYFUNCTION("""COMPUTED_VALUE"""),6.0)</f>
        <v>6</v>
      </c>
      <c r="M1437" s="4" t="str">
        <f>IFERROR(__xludf.DUMMYFUNCTION("""COMPUTED_VALUE"""),"Mp Multipedidos")</f>
        <v>Mp Multipedidos</v>
      </c>
      <c r="N1437" s="33">
        <f>IFERROR(__xludf.DUMMYFUNCTION("""COMPUTED_VALUE"""),0.5)</f>
        <v>0.5</v>
      </c>
      <c r="O1437" s="4" t="str">
        <f>IFERROR(__xludf.DUMMYFUNCTION("""COMPUTED_VALUE"""),"Mp Multipedidos")</f>
        <v>Mp Multipedidos</v>
      </c>
      <c r="P1437" s="33">
        <f>IFERROR(__xludf.DUMMYFUNCTION("""COMPUTED_VALUE"""),0.5)</f>
        <v>0.5</v>
      </c>
      <c r="Q1437" s="4" t="str">
        <f>IFERROR(__xludf.DUMMYFUNCTION("""COMPUTED_VALUE"""),"Mp Multipedidos")</f>
        <v>Mp Multipedidos</v>
      </c>
      <c r="R1437" s="33">
        <f>IFERROR(__xludf.DUMMYFUNCTION("""COMPUTED_VALUE"""),0.5)</f>
        <v>0.5</v>
      </c>
      <c r="S1437" s="4" t="str">
        <f>IFERROR(__xludf.DUMMYFUNCTION("""COMPUTED_VALUE"""),"Mp Multipedidos")</f>
        <v>Mp Multipedidos</v>
      </c>
      <c r="T1437" s="33">
        <f>IFERROR(__xludf.DUMMYFUNCTION("""COMPUTED_VALUE"""),0.5)</f>
        <v>0.5</v>
      </c>
      <c r="U1437" s="4" t="str">
        <f>IFERROR(__xludf.DUMMYFUNCTION("""COMPUTED_VALUE"""),"Mp Multipedidos")</f>
        <v>Mp Multipedidos</v>
      </c>
      <c r="V1437" s="33">
        <f>IFERROR(__xludf.DUMMYFUNCTION("""COMPUTED_VALUE"""),1.0)</f>
        <v>1</v>
      </c>
      <c r="W1437" s="4" t="str">
        <f>IFERROR(__xludf.DUMMYFUNCTION("""COMPUTED_VALUE"""),"Mp Multipedidos")</f>
        <v>Mp Multipedidos</v>
      </c>
      <c r="X1437" s="33">
        <f>IFERROR(__xludf.DUMMYFUNCTION("""COMPUTED_VALUE"""),1.0)</f>
        <v>1</v>
      </c>
    </row>
    <row r="1438">
      <c r="K1438" s="4" t="str">
        <f>IFERROR(__xludf.DUMMYFUNCTION("""COMPUTED_VALUE"""),"PARMECA")</f>
        <v>PARMECA</v>
      </c>
      <c r="L1438" s="32">
        <f>IFERROR(__xludf.DUMMYFUNCTION("""COMPUTED_VALUE"""),6.0)</f>
        <v>6</v>
      </c>
      <c r="M1438" s="4" t="str">
        <f>IFERROR(__xludf.DUMMYFUNCTION("""COMPUTED_VALUE"""),"Saipos Serviços De Software")</f>
        <v>Saipos Serviços De Software</v>
      </c>
      <c r="N1438" s="33">
        <f>IFERROR(__xludf.DUMMYFUNCTION("""COMPUTED_VALUE"""),0.6666666666666666)</f>
        <v>0.6666666667</v>
      </c>
      <c r="O1438" s="4" t="str">
        <f>IFERROR(__xludf.DUMMYFUNCTION("""COMPUTED_VALUE"""),"Saipos Serviços De Software")</f>
        <v>Saipos Serviços De Software</v>
      </c>
      <c r="P1438" s="33">
        <f>IFERROR(__xludf.DUMMYFUNCTION("""COMPUTED_VALUE"""),0.6666666666666666)</f>
        <v>0.6666666667</v>
      </c>
      <c r="Q1438" s="4" t="str">
        <f>IFERROR(__xludf.DUMMYFUNCTION("""COMPUTED_VALUE"""),"Saipos Serviços De Software")</f>
        <v>Saipos Serviços De Software</v>
      </c>
      <c r="R1438" s="33">
        <f>IFERROR(__xludf.DUMMYFUNCTION("""COMPUTED_VALUE"""),0.6666666666666666)</f>
        <v>0.6666666667</v>
      </c>
      <c r="S1438" s="4" t="str">
        <f>IFERROR(__xludf.DUMMYFUNCTION("""COMPUTED_VALUE"""),"Saipos Serviços De Software")</f>
        <v>Saipos Serviços De Software</v>
      </c>
      <c r="T1438" s="33">
        <f>IFERROR(__xludf.DUMMYFUNCTION("""COMPUTED_VALUE"""),0.6666666666666666)</f>
        <v>0.6666666667</v>
      </c>
      <c r="U1438" s="4" t="str">
        <f>IFERROR(__xludf.DUMMYFUNCTION("""COMPUTED_VALUE"""),"Saipos Serviços De Software")</f>
        <v>Saipos Serviços De Software</v>
      </c>
      <c r="V1438" s="33">
        <f>IFERROR(__xludf.DUMMYFUNCTION("""COMPUTED_VALUE"""),1.0)</f>
        <v>1</v>
      </c>
      <c r="W1438" s="4" t="str">
        <f>IFERROR(__xludf.DUMMYFUNCTION("""COMPUTED_VALUE"""),"Saipos Serviços De Software")</f>
        <v>Saipos Serviços De Software</v>
      </c>
      <c r="X1438" s="33">
        <f>IFERROR(__xludf.DUMMYFUNCTION("""COMPUTED_VALUE"""),1.0)</f>
        <v>1</v>
      </c>
    </row>
    <row r="1439">
      <c r="K1439" s="4" t="str">
        <f>IFERROR(__xludf.DUMMYFUNCTION("""COMPUTED_VALUE"""),"PASTELANCHE - PARNAMIRIM")</f>
        <v>PASTELANCHE - PARNAMIRIM</v>
      </c>
      <c r="L1439" s="32">
        <f>IFERROR(__xludf.DUMMYFUNCTION("""COMPUTED_VALUE"""),6.0)</f>
        <v>6</v>
      </c>
      <c r="M1439" s="4" t="str">
        <f>IFERROR(__xludf.DUMMYFUNCTION("""COMPUTED_VALUE"""),"Solução Sistemas")</f>
        <v>Solução Sistemas</v>
      </c>
      <c r="N1439" s="33">
        <f>IFERROR(__xludf.DUMMYFUNCTION("""COMPUTED_VALUE"""),0.5)</f>
        <v>0.5</v>
      </c>
      <c r="O1439" s="4" t="str">
        <f>IFERROR(__xludf.DUMMYFUNCTION("""COMPUTED_VALUE"""),"Solução Sistemas")</f>
        <v>Solução Sistemas</v>
      </c>
      <c r="P1439" s="33">
        <f>IFERROR(__xludf.DUMMYFUNCTION("""COMPUTED_VALUE"""),0.5)</f>
        <v>0.5</v>
      </c>
      <c r="Q1439" s="4" t="str">
        <f>IFERROR(__xludf.DUMMYFUNCTION("""COMPUTED_VALUE"""),"Netcontroll Xmenu")</f>
        <v>Netcontroll Xmenu</v>
      </c>
      <c r="R1439" s="33">
        <f>IFERROR(__xludf.DUMMYFUNCTION("""COMPUTED_VALUE"""),0.3333333333333333)</f>
        <v>0.3333333333</v>
      </c>
      <c r="S1439" s="4" t="str">
        <f>IFERROR(__xludf.DUMMYFUNCTION("""COMPUTED_VALUE"""),"Netcontroll Xmenu")</f>
        <v>Netcontroll Xmenu</v>
      </c>
      <c r="T1439" s="33">
        <f>IFERROR(__xludf.DUMMYFUNCTION("""COMPUTED_VALUE"""),0.3333333333333333)</f>
        <v>0.3333333333</v>
      </c>
      <c r="U1439" s="4" t="str">
        <f>IFERROR(__xludf.DUMMYFUNCTION("""COMPUTED_VALUE"""),"Netcontroll Xmenu")</f>
        <v>Netcontroll Xmenu</v>
      </c>
      <c r="V1439" s="33">
        <f>IFERROR(__xludf.DUMMYFUNCTION("""COMPUTED_VALUE"""),0.3333333333333333)</f>
        <v>0.3333333333</v>
      </c>
      <c r="W1439" s="4" t="str">
        <f>IFERROR(__xludf.DUMMYFUNCTION("""COMPUTED_VALUE"""),"Solução Sistemas")</f>
        <v>Solução Sistemas</v>
      </c>
      <c r="X1439" s="33">
        <f>IFERROR(__xludf.DUMMYFUNCTION("""COMPUTED_VALUE"""),0.5)</f>
        <v>0.5</v>
      </c>
    </row>
    <row r="1440">
      <c r="K1440" s="4" t="str">
        <f>IFERROR(__xludf.DUMMYFUNCTION("""COMPUTED_VALUE"""),"PASTO E PIZZAS")</f>
        <v>PASTO E PIZZAS</v>
      </c>
      <c r="L1440" s="32">
        <f>IFERROR(__xludf.DUMMYFUNCTION("""COMPUTED_VALUE"""),6.0)</f>
        <v>6</v>
      </c>
      <c r="M1440" s="4" t="str">
        <f>IFERROR(__xludf.DUMMYFUNCTION("""COMPUTED_VALUE"""),"Solução Sistemas")</f>
        <v>Solução Sistemas</v>
      </c>
      <c r="N1440" s="33">
        <f>IFERROR(__xludf.DUMMYFUNCTION("""COMPUTED_VALUE"""),1.0)</f>
        <v>1</v>
      </c>
      <c r="O1440" s="4" t="str">
        <f>IFERROR(__xludf.DUMMYFUNCTION("""COMPUTED_VALUE"""),"Solução Sistemas")</f>
        <v>Solução Sistemas</v>
      </c>
      <c r="P1440" s="33">
        <f>IFERROR(__xludf.DUMMYFUNCTION("""COMPUTED_VALUE"""),0.8333333333333334)</f>
        <v>0.8333333333</v>
      </c>
      <c r="Q1440" s="4" t="str">
        <f>IFERROR(__xludf.DUMMYFUNCTION("""COMPUTED_VALUE"""),"null")</f>
        <v>null</v>
      </c>
      <c r="R1440" s="33">
        <f>IFERROR(__xludf.DUMMYFUNCTION("""COMPUTED_VALUE"""),0.6666666666666666)</f>
        <v>0.6666666667</v>
      </c>
      <c r="S1440" s="4" t="str">
        <f>IFERROR(__xludf.DUMMYFUNCTION("""COMPUTED_VALUE"""),"null")</f>
        <v>null</v>
      </c>
      <c r="T1440" s="33">
        <f>IFERROR(__xludf.DUMMYFUNCTION("""COMPUTED_VALUE"""),0.5)</f>
        <v>0.5</v>
      </c>
      <c r="U1440" s="4" t="str">
        <f>IFERROR(__xludf.DUMMYFUNCTION("""COMPUTED_VALUE"""),"Solução Sistemas")</f>
        <v>Solução Sistemas</v>
      </c>
      <c r="V1440" s="33">
        <f>IFERROR(__xludf.DUMMYFUNCTION("""COMPUTED_VALUE"""),0.5)</f>
        <v>0.5</v>
      </c>
      <c r="W1440" s="4" t="str">
        <f>IFERROR(__xludf.DUMMYFUNCTION("""COMPUTED_VALUE"""),"Solução Sistemas")</f>
        <v>Solução Sistemas</v>
      </c>
      <c r="X1440" s="33">
        <f>IFERROR(__xludf.DUMMYFUNCTION("""COMPUTED_VALUE"""),1.0)</f>
        <v>1</v>
      </c>
    </row>
    <row r="1441">
      <c r="K1441" s="4" t="str">
        <f>IFERROR(__xludf.DUMMYFUNCTION("""COMPUTED_VALUE"""),"PATI POKE POKE")</f>
        <v>PATI POKE POKE</v>
      </c>
      <c r="L1441" s="32">
        <f>IFERROR(__xludf.DUMMYFUNCTION("""COMPUTED_VALUE"""),6.0)</f>
        <v>6</v>
      </c>
      <c r="M1441" s="4" t="str">
        <f>IFERROR(__xludf.DUMMYFUNCTION("""COMPUTED_VALUE"""),"Connectplug")</f>
        <v>Connectplug</v>
      </c>
      <c r="N1441" s="33">
        <f>IFERROR(__xludf.DUMMYFUNCTION("""COMPUTED_VALUE"""),1.0)</f>
        <v>1</v>
      </c>
      <c r="O1441" s="4" t="str">
        <f>IFERROR(__xludf.DUMMYFUNCTION("""COMPUTED_VALUE"""),"null")</f>
        <v>null</v>
      </c>
      <c r="P1441" s="33">
        <f>IFERROR(__xludf.DUMMYFUNCTION("""COMPUTED_VALUE"""),1.0)</f>
        <v>1</v>
      </c>
      <c r="Q1441" s="4" t="str">
        <f>IFERROR(__xludf.DUMMYFUNCTION("""COMPUTED_VALUE"""),"null")</f>
        <v>null</v>
      </c>
      <c r="R1441" s="33">
        <f>IFERROR(__xludf.DUMMYFUNCTION("""COMPUTED_VALUE"""),0.6666666666666666)</f>
        <v>0.6666666667</v>
      </c>
      <c r="S1441" s="4" t="str">
        <f>IFERROR(__xludf.DUMMYFUNCTION("""COMPUTED_VALUE"""),"null")</f>
        <v>null</v>
      </c>
      <c r="T1441" s="33">
        <f>IFERROR(__xludf.DUMMYFUNCTION("""COMPUTED_VALUE"""),0.8333333333333334)</f>
        <v>0.8333333333</v>
      </c>
      <c r="U1441" s="4" t="str">
        <f>IFERROR(__xludf.DUMMYFUNCTION("""COMPUTED_VALUE"""),"null")</f>
        <v>null</v>
      </c>
      <c r="V1441" s="33">
        <f>IFERROR(__xludf.DUMMYFUNCTION("""COMPUTED_VALUE"""),0.6666666666666666)</f>
        <v>0.6666666667</v>
      </c>
      <c r="W1441" s="4" t="str">
        <f>IFERROR(__xludf.DUMMYFUNCTION("""COMPUTED_VALUE"""),"null")</f>
        <v>null</v>
      </c>
      <c r="X1441" s="33">
        <f>IFERROR(__xludf.DUMMYFUNCTION("""COMPUTED_VALUE"""),0.6666666666666666)</f>
        <v>0.6666666667</v>
      </c>
    </row>
    <row r="1442">
      <c r="K1442" s="4" t="str">
        <f>IFERROR(__xludf.DUMMYFUNCTION("""COMPUTED_VALUE"""),"PEIXE AO CUBO - CONTA MARCA")</f>
        <v>PEIXE AO CUBO - CONTA MARCA</v>
      </c>
      <c r="L1442" s="32">
        <f>IFERROR(__xludf.DUMMYFUNCTION("""COMPUTED_VALUE"""),6.0)</f>
        <v>6</v>
      </c>
      <c r="M1442" s="4" t="str">
        <f>IFERROR(__xludf.DUMMYFUNCTION("""COMPUTED_VALUE"""),"Cloudfy")</f>
        <v>Cloudfy</v>
      </c>
      <c r="N1442" s="33">
        <f>IFERROR(__xludf.DUMMYFUNCTION("""COMPUTED_VALUE"""),1.0)</f>
        <v>1</v>
      </c>
      <c r="O1442" s="4" t="str">
        <f>IFERROR(__xludf.DUMMYFUNCTION("""COMPUTED_VALUE"""),"Cloudfy")</f>
        <v>Cloudfy</v>
      </c>
      <c r="P1442" s="33">
        <f>IFERROR(__xludf.DUMMYFUNCTION("""COMPUTED_VALUE"""),0.8333333333333334)</f>
        <v>0.8333333333</v>
      </c>
      <c r="Q1442" s="4" t="str">
        <f>IFERROR(__xludf.DUMMYFUNCTION("""COMPUTED_VALUE"""),"Cloudfy")</f>
        <v>Cloudfy</v>
      </c>
      <c r="R1442" s="33">
        <f>IFERROR(__xludf.DUMMYFUNCTION("""COMPUTED_VALUE"""),1.0)</f>
        <v>1</v>
      </c>
      <c r="S1442" s="4" t="str">
        <f>IFERROR(__xludf.DUMMYFUNCTION("""COMPUTED_VALUE"""),"Cloudfy")</f>
        <v>Cloudfy</v>
      </c>
      <c r="T1442" s="33">
        <f>IFERROR(__xludf.DUMMYFUNCTION("""COMPUTED_VALUE"""),0.8333333333333334)</f>
        <v>0.8333333333</v>
      </c>
      <c r="U1442" s="4" t="str">
        <f>IFERROR(__xludf.DUMMYFUNCTION("""COMPUTED_VALUE"""),"Cloudfy")</f>
        <v>Cloudfy</v>
      </c>
      <c r="V1442" s="33">
        <f>IFERROR(__xludf.DUMMYFUNCTION("""COMPUTED_VALUE"""),1.0)</f>
        <v>1</v>
      </c>
      <c r="W1442" s="4" t="str">
        <f>IFERROR(__xludf.DUMMYFUNCTION("""COMPUTED_VALUE"""),"Cloudfy")</f>
        <v>Cloudfy</v>
      </c>
      <c r="X1442" s="33">
        <f>IFERROR(__xludf.DUMMYFUNCTION("""COMPUTED_VALUE"""),0.6666666666666666)</f>
        <v>0.6666666667</v>
      </c>
    </row>
    <row r="1443">
      <c r="K1443" s="4" t="str">
        <f>IFERROR(__xludf.DUMMYFUNCTION("""COMPUTED_VALUE"""),"PETCEN - CONTA PAI")</f>
        <v>PETCEN - CONTA PAI</v>
      </c>
      <c r="L1443" s="32">
        <f>IFERROR(__xludf.DUMMYFUNCTION("""COMPUTED_VALUE"""),6.0)</f>
        <v>6</v>
      </c>
      <c r="M1443" s="4" t="str">
        <f>IFERROR(__xludf.DUMMYFUNCTION("""COMPUTED_VALUE"""),"N/A (Not found)")</f>
        <v>N/A (Not found)</v>
      </c>
      <c r="N1443" s="33">
        <f>IFERROR(__xludf.DUMMYFUNCTION("""COMPUTED_VALUE"""),1.0)</f>
        <v>1</v>
      </c>
      <c r="O1443" s="4" t="str">
        <f>IFERROR(__xludf.DUMMYFUNCTION("""COMPUTED_VALUE"""),"N/A (Not found)")</f>
        <v>N/A (Not found)</v>
      </c>
      <c r="P1443" s="33">
        <f>IFERROR(__xludf.DUMMYFUNCTION("""COMPUTED_VALUE"""),1.0)</f>
        <v>1</v>
      </c>
      <c r="Q1443" s="4" t="str">
        <f>IFERROR(__xludf.DUMMYFUNCTION("""COMPUTED_VALUE"""),"N/A (Not found)")</f>
        <v>N/A (Not found)</v>
      </c>
      <c r="R1443" s="33">
        <f>IFERROR(__xludf.DUMMYFUNCTION("""COMPUTED_VALUE"""),1.0)</f>
        <v>1</v>
      </c>
      <c r="S1443" s="4" t="str">
        <f>IFERROR(__xludf.DUMMYFUNCTION("""COMPUTED_VALUE"""),"N/A (Not found)")</f>
        <v>N/A (Not found)</v>
      </c>
      <c r="T1443" s="33">
        <f>IFERROR(__xludf.DUMMYFUNCTION("""COMPUTED_VALUE"""),1.0)</f>
        <v>1</v>
      </c>
      <c r="U1443" s="4" t="str">
        <f>IFERROR(__xludf.DUMMYFUNCTION("""COMPUTED_VALUE"""),"N/A (Not found)")</f>
        <v>N/A (Not found)</v>
      </c>
      <c r="V1443" s="33">
        <f>IFERROR(__xludf.DUMMYFUNCTION("""COMPUTED_VALUE"""),1.0)</f>
        <v>1</v>
      </c>
      <c r="W1443" s="4" t="str">
        <f>IFERROR(__xludf.DUMMYFUNCTION("""COMPUTED_VALUE"""),"N/A (Not found)")</f>
        <v>N/A (Not found)</v>
      </c>
      <c r="X1443" s="33">
        <f>IFERROR(__xludf.DUMMYFUNCTION("""COMPUTED_VALUE"""),1.0)</f>
        <v>1</v>
      </c>
    </row>
    <row r="1444">
      <c r="K1444" s="4" t="str">
        <f>IFERROR(__xludf.DUMMYFUNCTION("""COMPUTED_VALUE"""),"PETNIVA - CONTA PAI")</f>
        <v>PETNIVA - CONTA PAI</v>
      </c>
      <c r="L1444" s="32">
        <f>IFERROR(__xludf.DUMMYFUNCTION("""COMPUTED_VALUE"""),6.0)</f>
        <v>6</v>
      </c>
      <c r="M1444" s="4" t="str">
        <f>IFERROR(__xludf.DUMMYFUNCTION("""COMPUTED_VALUE"""),"null")</f>
        <v>null</v>
      </c>
      <c r="N1444" s="33">
        <f>IFERROR(__xludf.DUMMYFUNCTION("""COMPUTED_VALUE"""),1.0)</f>
        <v>1</v>
      </c>
      <c r="O1444" s="4" t="str">
        <f>IFERROR(__xludf.DUMMYFUNCTION("""COMPUTED_VALUE"""),"null")</f>
        <v>null</v>
      </c>
      <c r="P1444" s="33">
        <f>IFERROR(__xludf.DUMMYFUNCTION("""COMPUTED_VALUE"""),0.8333333333333334)</f>
        <v>0.8333333333</v>
      </c>
      <c r="Q1444" s="4" t="str">
        <f>IFERROR(__xludf.DUMMYFUNCTION("""COMPUTED_VALUE"""),"N/A (Not found)")</f>
        <v>N/A (Not found)</v>
      </c>
      <c r="R1444" s="33">
        <f>IFERROR(__xludf.DUMMYFUNCTION("""COMPUTED_VALUE"""),0.8333333333333334)</f>
        <v>0.8333333333</v>
      </c>
      <c r="S1444" s="4" t="str">
        <f>IFERROR(__xludf.DUMMYFUNCTION("""COMPUTED_VALUE"""),"N/A (Not found)")</f>
        <v>N/A (Not found)</v>
      </c>
      <c r="T1444" s="33">
        <f>IFERROR(__xludf.DUMMYFUNCTION("""COMPUTED_VALUE"""),1.0)</f>
        <v>1</v>
      </c>
      <c r="U1444" s="4" t="str">
        <f>IFERROR(__xludf.DUMMYFUNCTION("""COMPUTED_VALUE"""),"N/A (Not found)")</f>
        <v>N/A (Not found)</v>
      </c>
      <c r="V1444" s="33">
        <f>IFERROR(__xludf.DUMMYFUNCTION("""COMPUTED_VALUE"""),1.0)</f>
        <v>1</v>
      </c>
      <c r="W1444" s="4" t="str">
        <f>IFERROR(__xludf.DUMMYFUNCTION("""COMPUTED_VALUE"""),"N/A (Not found)")</f>
        <v>N/A (Not found)</v>
      </c>
      <c r="X1444" s="33">
        <f>IFERROR(__xludf.DUMMYFUNCTION("""COMPUTED_VALUE"""),1.0)</f>
        <v>1</v>
      </c>
    </row>
    <row r="1445">
      <c r="K1445" s="4" t="str">
        <f>IFERROR(__xludf.DUMMYFUNCTION("""COMPUTED_VALUE"""),"PIZZADOG")</f>
        <v>PIZZADOG</v>
      </c>
      <c r="L1445" s="32">
        <f>IFERROR(__xludf.DUMMYFUNCTION("""COMPUTED_VALUE"""),6.0)</f>
        <v>6</v>
      </c>
      <c r="M1445" s="4" t="str">
        <f>IFERROR(__xludf.DUMMYFUNCTION("""COMPUTED_VALUE"""),"Yooga")</f>
        <v>Yooga</v>
      </c>
      <c r="N1445" s="33">
        <f>IFERROR(__xludf.DUMMYFUNCTION("""COMPUTED_VALUE"""),0.5)</f>
        <v>0.5</v>
      </c>
      <c r="O1445" s="4" t="str">
        <f>IFERROR(__xludf.DUMMYFUNCTION("""COMPUTED_VALUE"""),"Yooga")</f>
        <v>Yooga</v>
      </c>
      <c r="P1445" s="33">
        <f>IFERROR(__xludf.DUMMYFUNCTION("""COMPUTED_VALUE"""),0.6666666666666666)</f>
        <v>0.6666666667</v>
      </c>
      <c r="Q1445" s="4" t="str">
        <f>IFERROR(__xludf.DUMMYFUNCTION("""COMPUTED_VALUE"""),"Yooga")</f>
        <v>Yooga</v>
      </c>
      <c r="R1445" s="33">
        <f>IFERROR(__xludf.DUMMYFUNCTION("""COMPUTED_VALUE"""),0.6666666666666666)</f>
        <v>0.6666666667</v>
      </c>
      <c r="S1445" s="4" t="str">
        <f>IFERROR(__xludf.DUMMYFUNCTION("""COMPUTED_VALUE"""),"Yooga")</f>
        <v>Yooga</v>
      </c>
      <c r="T1445" s="33">
        <f>IFERROR(__xludf.DUMMYFUNCTION("""COMPUTED_VALUE"""),0.5)</f>
        <v>0.5</v>
      </c>
      <c r="U1445" s="4" t="str">
        <f>IFERROR(__xludf.DUMMYFUNCTION("""COMPUTED_VALUE"""),"Yooga")</f>
        <v>Yooga</v>
      </c>
      <c r="V1445" s="33">
        <f>IFERROR(__xludf.DUMMYFUNCTION("""COMPUTED_VALUE"""),0.8333333333333334)</f>
        <v>0.8333333333</v>
      </c>
      <c r="W1445" s="4" t="str">
        <f>IFERROR(__xludf.DUMMYFUNCTION("""COMPUTED_VALUE"""),"Yooga")</f>
        <v>Yooga</v>
      </c>
      <c r="X1445" s="33">
        <f>IFERROR(__xludf.DUMMYFUNCTION("""COMPUTED_VALUE"""),0.6666666666666666)</f>
        <v>0.6666666667</v>
      </c>
    </row>
    <row r="1446">
      <c r="K1446" s="4" t="str">
        <f>IFERROR(__xludf.DUMMYFUNCTION("""COMPUTED_VALUE"""),"PIZZARIA ARTICO")</f>
        <v>PIZZARIA ARTICO</v>
      </c>
      <c r="L1446" s="32">
        <f>IFERROR(__xludf.DUMMYFUNCTION("""COMPUTED_VALUE"""),6.0)</f>
        <v>6</v>
      </c>
      <c r="M1446" s="4" t="str">
        <f>IFERROR(__xludf.DUMMYFUNCTION("""COMPUTED_VALUE"""),"Saipos Serviços De Software")</f>
        <v>Saipos Serviços De Software</v>
      </c>
      <c r="N1446" s="33">
        <f>IFERROR(__xludf.DUMMYFUNCTION("""COMPUTED_VALUE"""),1.0)</f>
        <v>1</v>
      </c>
      <c r="O1446" s="4" t="str">
        <f>IFERROR(__xludf.DUMMYFUNCTION("""COMPUTED_VALUE"""),"Saipos Serviços De Software")</f>
        <v>Saipos Serviços De Software</v>
      </c>
      <c r="P1446" s="33">
        <f>IFERROR(__xludf.DUMMYFUNCTION("""COMPUTED_VALUE"""),1.0)</f>
        <v>1</v>
      </c>
      <c r="Q1446" s="4" t="str">
        <f>IFERROR(__xludf.DUMMYFUNCTION("""COMPUTED_VALUE"""),"Saipos Serviços De Software")</f>
        <v>Saipos Serviços De Software</v>
      </c>
      <c r="R1446" s="33">
        <f>IFERROR(__xludf.DUMMYFUNCTION("""COMPUTED_VALUE"""),1.0)</f>
        <v>1</v>
      </c>
      <c r="S1446" s="4" t="str">
        <f>IFERROR(__xludf.DUMMYFUNCTION("""COMPUTED_VALUE"""),"Saipos Serviços De Software")</f>
        <v>Saipos Serviços De Software</v>
      </c>
      <c r="T1446" s="33">
        <f>IFERROR(__xludf.DUMMYFUNCTION("""COMPUTED_VALUE"""),1.0)</f>
        <v>1</v>
      </c>
      <c r="U1446" s="4" t="str">
        <f>IFERROR(__xludf.DUMMYFUNCTION("""COMPUTED_VALUE"""),"Saipos Serviços De Software")</f>
        <v>Saipos Serviços De Software</v>
      </c>
      <c r="V1446" s="33">
        <f>IFERROR(__xludf.DUMMYFUNCTION("""COMPUTED_VALUE"""),0.8333333333333334)</f>
        <v>0.8333333333</v>
      </c>
      <c r="W1446" s="4" t="str">
        <f>IFERROR(__xludf.DUMMYFUNCTION("""COMPUTED_VALUE"""),"Saipos Serviços De Software")</f>
        <v>Saipos Serviços De Software</v>
      </c>
      <c r="X1446" s="33">
        <f>IFERROR(__xludf.DUMMYFUNCTION("""COMPUTED_VALUE"""),1.0)</f>
        <v>1</v>
      </c>
    </row>
    <row r="1447">
      <c r="K1447" s="4" t="str">
        <f>IFERROR(__xludf.DUMMYFUNCTION("""COMPUTED_VALUE"""),"PIZZARIA DINAPOLI")</f>
        <v>PIZZARIA DINAPOLI</v>
      </c>
      <c r="L1447" s="32">
        <f>IFERROR(__xludf.DUMMYFUNCTION("""COMPUTED_VALUE"""),6.0)</f>
        <v>6</v>
      </c>
      <c r="M1447" s="4" t="str">
        <f>IFERROR(__xludf.DUMMYFUNCTION("""COMPUTED_VALUE"""),"Saipos Serviços De Software")</f>
        <v>Saipos Serviços De Software</v>
      </c>
      <c r="N1447" s="33">
        <f>IFERROR(__xludf.DUMMYFUNCTION("""COMPUTED_VALUE"""),1.0)</f>
        <v>1</v>
      </c>
      <c r="O1447" s="4" t="str">
        <f>IFERROR(__xludf.DUMMYFUNCTION("""COMPUTED_VALUE"""),"Saipos Serviços De Software")</f>
        <v>Saipos Serviços De Software</v>
      </c>
      <c r="P1447" s="33">
        <f>IFERROR(__xludf.DUMMYFUNCTION("""COMPUTED_VALUE"""),1.0)</f>
        <v>1</v>
      </c>
      <c r="Q1447" s="4" t="str">
        <f>IFERROR(__xludf.DUMMYFUNCTION("""COMPUTED_VALUE"""),"Saipos Serviços De Software")</f>
        <v>Saipos Serviços De Software</v>
      </c>
      <c r="R1447" s="33">
        <f>IFERROR(__xludf.DUMMYFUNCTION("""COMPUTED_VALUE"""),1.0)</f>
        <v>1</v>
      </c>
      <c r="S1447" s="4" t="str">
        <f>IFERROR(__xludf.DUMMYFUNCTION("""COMPUTED_VALUE"""),"Saipos Serviços De Software")</f>
        <v>Saipos Serviços De Software</v>
      </c>
      <c r="T1447" s="33">
        <f>IFERROR(__xludf.DUMMYFUNCTION("""COMPUTED_VALUE"""),1.0)</f>
        <v>1</v>
      </c>
      <c r="U1447" s="4" t="str">
        <f>IFERROR(__xludf.DUMMYFUNCTION("""COMPUTED_VALUE"""),"Saipos Serviços De Software")</f>
        <v>Saipos Serviços De Software</v>
      </c>
      <c r="V1447" s="33">
        <f>IFERROR(__xludf.DUMMYFUNCTION("""COMPUTED_VALUE"""),1.0)</f>
        <v>1</v>
      </c>
      <c r="W1447" s="4" t="str">
        <f>IFERROR(__xludf.DUMMYFUNCTION("""COMPUTED_VALUE"""),"Saipos Serviços De Software")</f>
        <v>Saipos Serviços De Software</v>
      </c>
      <c r="X1447" s="33">
        <f>IFERROR(__xludf.DUMMYFUNCTION("""COMPUTED_VALUE"""),1.0)</f>
        <v>1</v>
      </c>
    </row>
    <row r="1448">
      <c r="K1448" s="4" t="str">
        <f>IFERROR(__xludf.DUMMYFUNCTION("""COMPUTED_VALUE"""),"PIZZARIA DO BABBO")</f>
        <v>PIZZARIA DO BABBO</v>
      </c>
      <c r="L1448" s="32">
        <f>IFERROR(__xludf.DUMMYFUNCTION("""COMPUTED_VALUE"""),6.0)</f>
        <v>6</v>
      </c>
      <c r="M1448" s="4" t="str">
        <f>IFERROR(__xludf.DUMMYFUNCTION("""COMPUTED_VALUE"""),"Freedom Tecnologia Ltda")</f>
        <v>Freedom Tecnologia Ltda</v>
      </c>
      <c r="N1448" s="33">
        <f>IFERROR(__xludf.DUMMYFUNCTION("""COMPUTED_VALUE"""),1.0)</f>
        <v>1</v>
      </c>
      <c r="O1448" s="4" t="str">
        <f>IFERROR(__xludf.DUMMYFUNCTION("""COMPUTED_VALUE"""),"Freedom Tecnologia Ltda")</f>
        <v>Freedom Tecnologia Ltda</v>
      </c>
      <c r="P1448" s="33">
        <f>IFERROR(__xludf.DUMMYFUNCTION("""COMPUTED_VALUE"""),1.0)</f>
        <v>1</v>
      </c>
      <c r="Q1448" s="4" t="str">
        <f>IFERROR(__xludf.DUMMYFUNCTION("""COMPUTED_VALUE"""),"Freedom Tecnologia Ltda")</f>
        <v>Freedom Tecnologia Ltda</v>
      </c>
      <c r="R1448" s="33">
        <f>IFERROR(__xludf.DUMMYFUNCTION("""COMPUTED_VALUE"""),1.0)</f>
        <v>1</v>
      </c>
      <c r="S1448" s="4" t="str">
        <f>IFERROR(__xludf.DUMMYFUNCTION("""COMPUTED_VALUE"""),"Saipos Serviços De Software")</f>
        <v>Saipos Serviços De Software</v>
      </c>
      <c r="T1448" s="33">
        <f>IFERROR(__xludf.DUMMYFUNCTION("""COMPUTED_VALUE"""),0.5)</f>
        <v>0.5</v>
      </c>
      <c r="U1448" s="4" t="str">
        <f>IFERROR(__xludf.DUMMYFUNCTION("""COMPUTED_VALUE"""),"Saipos Serviços De Software")</f>
        <v>Saipos Serviços De Software</v>
      </c>
      <c r="V1448" s="33">
        <f>IFERROR(__xludf.DUMMYFUNCTION("""COMPUTED_VALUE"""),0.5)</f>
        <v>0.5</v>
      </c>
      <c r="W1448" s="4" t="str">
        <f>IFERROR(__xludf.DUMMYFUNCTION("""COMPUTED_VALUE"""),"Saipos Serviços De Software")</f>
        <v>Saipos Serviços De Software</v>
      </c>
      <c r="X1448" s="33">
        <f>IFERROR(__xludf.DUMMYFUNCTION("""COMPUTED_VALUE"""),0.5)</f>
        <v>0.5</v>
      </c>
    </row>
    <row r="1449">
      <c r="K1449" s="4" t="str">
        <f>IFERROR(__xludf.DUMMYFUNCTION("""COMPUTED_VALUE"""),"PIZZARIA DO DUDU")</f>
        <v>PIZZARIA DO DUDU</v>
      </c>
      <c r="L1449" s="32">
        <f>IFERROR(__xludf.DUMMYFUNCTION("""COMPUTED_VALUE"""),6.0)</f>
        <v>6</v>
      </c>
      <c r="M1449" s="4" t="str">
        <f>IFERROR(__xludf.DUMMYFUNCTION("""COMPUTED_VALUE"""),"Luol Informática E Tecnologia")</f>
        <v>Luol Informática E Tecnologia</v>
      </c>
      <c r="N1449" s="33">
        <f>IFERROR(__xludf.DUMMYFUNCTION("""COMPUTED_VALUE"""),1.0)</f>
        <v>1</v>
      </c>
      <c r="O1449" s="4" t="str">
        <f>IFERROR(__xludf.DUMMYFUNCTION("""COMPUTED_VALUE"""),"Luol Informática E Tecnologia")</f>
        <v>Luol Informática E Tecnologia</v>
      </c>
      <c r="P1449" s="33">
        <f>IFERROR(__xludf.DUMMYFUNCTION("""COMPUTED_VALUE"""),1.0)</f>
        <v>1</v>
      </c>
      <c r="Q1449" s="4" t="str">
        <f>IFERROR(__xludf.DUMMYFUNCTION("""COMPUTED_VALUE"""),"Luol Informática E Tecnologia")</f>
        <v>Luol Informática E Tecnologia</v>
      </c>
      <c r="R1449" s="33">
        <f>IFERROR(__xludf.DUMMYFUNCTION("""COMPUTED_VALUE"""),1.0)</f>
        <v>1</v>
      </c>
      <c r="S1449" s="4" t="str">
        <f>IFERROR(__xludf.DUMMYFUNCTION("""COMPUTED_VALUE"""),"Luol Informática E Tecnologia")</f>
        <v>Luol Informática E Tecnologia</v>
      </c>
      <c r="T1449" s="33">
        <f>IFERROR(__xludf.DUMMYFUNCTION("""COMPUTED_VALUE"""),1.0)</f>
        <v>1</v>
      </c>
      <c r="U1449" s="4" t="str">
        <f>IFERROR(__xludf.DUMMYFUNCTION("""COMPUTED_VALUE"""),"Luol Informática E Tecnologia")</f>
        <v>Luol Informática E Tecnologia</v>
      </c>
      <c r="V1449" s="33">
        <f>IFERROR(__xludf.DUMMYFUNCTION("""COMPUTED_VALUE"""),0.6666666666666666)</f>
        <v>0.6666666667</v>
      </c>
      <c r="W1449" s="4" t="str">
        <f>IFERROR(__xludf.DUMMYFUNCTION("""COMPUTED_VALUE"""),"Luol Informática E Tecnologia")</f>
        <v>Luol Informática E Tecnologia</v>
      </c>
      <c r="X1449" s="33">
        <f>IFERROR(__xludf.DUMMYFUNCTION("""COMPUTED_VALUE"""),1.0)</f>
        <v>1</v>
      </c>
    </row>
    <row r="1450">
      <c r="K1450" s="4" t="str">
        <f>IFERROR(__xludf.DUMMYFUNCTION("""COMPUTED_VALUE"""),"PIZZARIA LA CANTINELLA")</f>
        <v>PIZZARIA LA CANTINELLA</v>
      </c>
      <c r="L1450" s="32">
        <f>IFERROR(__xludf.DUMMYFUNCTION("""COMPUTED_VALUE"""),6.0)</f>
        <v>6</v>
      </c>
      <c r="M1450" s="4" t="str">
        <f>IFERROR(__xludf.DUMMYFUNCTION("""COMPUTED_VALUE"""),"Grk Soluções Informatica Eireli")</f>
        <v>Grk Soluções Informatica Eireli</v>
      </c>
      <c r="N1450" s="33">
        <f>IFERROR(__xludf.DUMMYFUNCTION("""COMPUTED_VALUE"""),1.0)</f>
        <v>1</v>
      </c>
      <c r="O1450" s="4" t="str">
        <f>IFERROR(__xludf.DUMMYFUNCTION("""COMPUTED_VALUE"""),"Grk Soluções Informatica Eireli")</f>
        <v>Grk Soluções Informatica Eireli</v>
      </c>
      <c r="P1450" s="33">
        <f>IFERROR(__xludf.DUMMYFUNCTION("""COMPUTED_VALUE"""),1.0)</f>
        <v>1</v>
      </c>
      <c r="Q1450" s="4" t="str">
        <f>IFERROR(__xludf.DUMMYFUNCTION("""COMPUTED_VALUE"""),"Grk Soluções Informatica Eireli")</f>
        <v>Grk Soluções Informatica Eireli</v>
      </c>
      <c r="R1450" s="33">
        <f>IFERROR(__xludf.DUMMYFUNCTION("""COMPUTED_VALUE"""),1.0)</f>
        <v>1</v>
      </c>
      <c r="S1450" s="4" t="str">
        <f>IFERROR(__xludf.DUMMYFUNCTION("""COMPUTED_VALUE"""),"Grk Soluções Informatica Eireli")</f>
        <v>Grk Soluções Informatica Eireli</v>
      </c>
      <c r="T1450" s="33">
        <f>IFERROR(__xludf.DUMMYFUNCTION("""COMPUTED_VALUE"""),0.8333333333333334)</f>
        <v>0.8333333333</v>
      </c>
      <c r="U1450" s="4" t="str">
        <f>IFERROR(__xludf.DUMMYFUNCTION("""COMPUTED_VALUE"""),"Grk Soluções Informatica Eireli")</f>
        <v>Grk Soluções Informatica Eireli</v>
      </c>
      <c r="V1450" s="33">
        <f>IFERROR(__xludf.DUMMYFUNCTION("""COMPUTED_VALUE"""),1.0)</f>
        <v>1</v>
      </c>
      <c r="W1450" s="4" t="str">
        <f>IFERROR(__xludf.DUMMYFUNCTION("""COMPUTED_VALUE"""),"Grk Soluções Informatica Eireli")</f>
        <v>Grk Soluções Informatica Eireli</v>
      </c>
      <c r="X1450" s="33">
        <f>IFERROR(__xludf.DUMMYFUNCTION("""COMPUTED_VALUE"""),1.0)</f>
        <v>1</v>
      </c>
    </row>
    <row r="1451">
      <c r="K1451" s="4" t="str">
        <f>IFERROR(__xludf.DUMMYFUNCTION("""COMPUTED_VALUE"""),"PIZZARIA PATUSCO CONTA PAI")</f>
        <v>PIZZARIA PATUSCO CONTA PAI</v>
      </c>
      <c r="L1451" s="32">
        <f>IFERROR(__xludf.DUMMYFUNCTION("""COMPUTED_VALUE"""),6.0)</f>
        <v>6</v>
      </c>
      <c r="M1451" s="4" t="str">
        <f>IFERROR(__xludf.DUMMYFUNCTION("""COMPUTED_VALUE"""),"Saipos Serviços De Software")</f>
        <v>Saipos Serviços De Software</v>
      </c>
      <c r="N1451" s="33">
        <f>IFERROR(__xludf.DUMMYFUNCTION("""COMPUTED_VALUE"""),0.5)</f>
        <v>0.5</v>
      </c>
      <c r="O1451" s="4" t="str">
        <f>IFERROR(__xludf.DUMMYFUNCTION("""COMPUTED_VALUE"""),"Saipos Serviços De Software")</f>
        <v>Saipos Serviços De Software</v>
      </c>
      <c r="P1451" s="33">
        <f>IFERROR(__xludf.DUMMYFUNCTION("""COMPUTED_VALUE"""),0.5)</f>
        <v>0.5</v>
      </c>
      <c r="Q1451" s="4" t="str">
        <f>IFERROR(__xludf.DUMMYFUNCTION("""COMPUTED_VALUE"""),"Saipos Serviços De Software")</f>
        <v>Saipos Serviços De Software</v>
      </c>
      <c r="R1451" s="33">
        <f>IFERROR(__xludf.DUMMYFUNCTION("""COMPUTED_VALUE"""),0.5)</f>
        <v>0.5</v>
      </c>
      <c r="S1451" s="4" t="str">
        <f>IFERROR(__xludf.DUMMYFUNCTION("""COMPUTED_VALUE"""),"Saipos Serviços De Software")</f>
        <v>Saipos Serviços De Software</v>
      </c>
      <c r="T1451" s="33">
        <f>IFERROR(__xludf.DUMMYFUNCTION("""COMPUTED_VALUE"""),0.5)</f>
        <v>0.5</v>
      </c>
      <c r="U1451" s="4" t="str">
        <f>IFERROR(__xludf.DUMMYFUNCTION("""COMPUTED_VALUE"""),"Saipos Serviços De Software")</f>
        <v>Saipos Serviços De Software</v>
      </c>
      <c r="V1451" s="33">
        <f>IFERROR(__xludf.DUMMYFUNCTION("""COMPUTED_VALUE"""),0.5)</f>
        <v>0.5</v>
      </c>
      <c r="W1451" s="4" t="str">
        <f>IFERROR(__xludf.DUMMYFUNCTION("""COMPUTED_VALUE"""),"Saipos Serviços De Software")</f>
        <v>Saipos Serviços De Software</v>
      </c>
      <c r="X1451" s="33">
        <f>IFERROR(__xludf.DUMMYFUNCTION("""COMPUTED_VALUE"""),1.0)</f>
        <v>1</v>
      </c>
    </row>
    <row r="1452">
      <c r="K1452" s="4" t="str">
        <f>IFERROR(__xludf.DUMMYFUNCTION("""COMPUTED_VALUE"""),"PLANETA PIZZA PETISCOS REFEICOES")</f>
        <v>PLANETA PIZZA PETISCOS REFEICOES</v>
      </c>
      <c r="L1452" s="32">
        <f>IFERROR(__xludf.DUMMYFUNCTION("""COMPUTED_VALUE"""),6.0)</f>
        <v>6</v>
      </c>
      <c r="M1452" s="4" t="str">
        <f>IFERROR(__xludf.DUMMYFUNCTION("""COMPUTED_VALUE"""),"Cardápio Web")</f>
        <v>Cardápio Web</v>
      </c>
      <c r="N1452" s="33">
        <f>IFERROR(__xludf.DUMMYFUNCTION("""COMPUTED_VALUE"""),0.8333333333333334)</f>
        <v>0.8333333333</v>
      </c>
      <c r="O1452" s="4" t="str">
        <f>IFERROR(__xludf.DUMMYFUNCTION("""COMPUTED_VALUE"""),"Cardápio Web")</f>
        <v>Cardápio Web</v>
      </c>
      <c r="P1452" s="33">
        <f>IFERROR(__xludf.DUMMYFUNCTION("""COMPUTED_VALUE"""),0.6666666666666666)</f>
        <v>0.6666666667</v>
      </c>
      <c r="Q1452" s="4" t="str">
        <f>IFERROR(__xludf.DUMMYFUNCTION("""COMPUTED_VALUE"""),"Cardápio Web")</f>
        <v>Cardápio Web</v>
      </c>
      <c r="R1452" s="33">
        <f>IFERROR(__xludf.DUMMYFUNCTION("""COMPUTED_VALUE"""),0.5)</f>
        <v>0.5</v>
      </c>
      <c r="S1452" s="4" t="str">
        <f>IFERROR(__xludf.DUMMYFUNCTION("""COMPUTED_VALUE"""),"Cardápio Web")</f>
        <v>Cardápio Web</v>
      </c>
      <c r="T1452" s="33">
        <f>IFERROR(__xludf.DUMMYFUNCTION("""COMPUTED_VALUE"""),0.6666666666666666)</f>
        <v>0.6666666667</v>
      </c>
      <c r="U1452" s="4" t="str">
        <f>IFERROR(__xludf.DUMMYFUNCTION("""COMPUTED_VALUE"""),"Cardápio Web")</f>
        <v>Cardápio Web</v>
      </c>
      <c r="V1452" s="33">
        <f>IFERROR(__xludf.DUMMYFUNCTION("""COMPUTED_VALUE"""),0.6666666666666666)</f>
        <v>0.6666666667</v>
      </c>
      <c r="W1452" s="4" t="str">
        <f>IFERROR(__xludf.DUMMYFUNCTION("""COMPUTED_VALUE"""),"Cardápio Web")</f>
        <v>Cardápio Web</v>
      </c>
      <c r="X1452" s="33">
        <f>IFERROR(__xludf.DUMMYFUNCTION("""COMPUTED_VALUE"""),0.6666666666666666)</f>
        <v>0.6666666667</v>
      </c>
    </row>
    <row r="1453">
      <c r="K1453" s="4" t="str">
        <f>IFERROR(__xludf.DUMMYFUNCTION("""COMPUTED_VALUE"""),"PORTEIRA STEAKHOUSE - MANAUS")</f>
        <v>PORTEIRA STEAKHOUSE - MANAUS</v>
      </c>
      <c r="L1453" s="32">
        <f>IFERROR(__xludf.DUMMYFUNCTION("""COMPUTED_VALUE"""),6.0)</f>
        <v>6</v>
      </c>
      <c r="M1453" s="4" t="str">
        <f>IFERROR(__xludf.DUMMYFUNCTION("""COMPUTED_VALUE"""),"Saipos Serviços De Software")</f>
        <v>Saipos Serviços De Software</v>
      </c>
      <c r="N1453" s="33">
        <f>IFERROR(__xludf.DUMMYFUNCTION("""COMPUTED_VALUE"""),1.0)</f>
        <v>1</v>
      </c>
      <c r="O1453" s="4" t="str">
        <f>IFERROR(__xludf.DUMMYFUNCTION("""COMPUTED_VALUE"""),"Saipos Serviços De Software")</f>
        <v>Saipos Serviços De Software</v>
      </c>
      <c r="P1453" s="33">
        <f>IFERROR(__xludf.DUMMYFUNCTION("""COMPUTED_VALUE"""),1.0)</f>
        <v>1</v>
      </c>
      <c r="Q1453" s="4" t="str">
        <f>IFERROR(__xludf.DUMMYFUNCTION("""COMPUTED_VALUE"""),"Saipos Serviços De Software")</f>
        <v>Saipos Serviços De Software</v>
      </c>
      <c r="R1453" s="33">
        <f>IFERROR(__xludf.DUMMYFUNCTION("""COMPUTED_VALUE"""),1.0)</f>
        <v>1</v>
      </c>
      <c r="S1453" s="4" t="str">
        <f>IFERROR(__xludf.DUMMYFUNCTION("""COMPUTED_VALUE"""),"Saipos Serviços De Software")</f>
        <v>Saipos Serviços De Software</v>
      </c>
      <c r="T1453" s="33">
        <f>IFERROR(__xludf.DUMMYFUNCTION("""COMPUTED_VALUE"""),1.0)</f>
        <v>1</v>
      </c>
      <c r="U1453" s="4" t="str">
        <f>IFERROR(__xludf.DUMMYFUNCTION("""COMPUTED_VALUE"""),"Saipos Serviços De Software")</f>
        <v>Saipos Serviços De Software</v>
      </c>
      <c r="V1453" s="33">
        <f>IFERROR(__xludf.DUMMYFUNCTION("""COMPUTED_VALUE"""),1.0)</f>
        <v>1</v>
      </c>
      <c r="W1453" s="4" t="str">
        <f>IFERROR(__xludf.DUMMYFUNCTION("""COMPUTED_VALUE"""),"Saipos Serviços De Software")</f>
        <v>Saipos Serviços De Software</v>
      </c>
      <c r="X1453" s="33">
        <f>IFERROR(__xludf.DUMMYFUNCTION("""COMPUTED_VALUE"""),1.0)</f>
        <v>1</v>
      </c>
    </row>
    <row r="1454">
      <c r="K1454" s="4" t="str">
        <f>IFERROR(__xludf.DUMMYFUNCTION("""COMPUTED_VALUE"""),"PRAINHA")</f>
        <v>PRAINHA</v>
      </c>
      <c r="L1454" s="32">
        <f>IFERROR(__xludf.DUMMYFUNCTION("""COMPUTED_VALUE"""),6.0)</f>
        <v>6</v>
      </c>
      <c r="M1454" s="4" t="str">
        <f>IFERROR(__xludf.DUMMYFUNCTION("""COMPUTED_VALUE"""),"Hubster")</f>
        <v>Hubster</v>
      </c>
      <c r="N1454" s="33">
        <f>IFERROR(__xludf.DUMMYFUNCTION("""COMPUTED_VALUE"""),0.8333333333333334)</f>
        <v>0.8333333333</v>
      </c>
      <c r="O1454" s="4" t="str">
        <f>IFERROR(__xludf.DUMMYFUNCTION("""COMPUTED_VALUE"""),"Hubster")</f>
        <v>Hubster</v>
      </c>
      <c r="P1454" s="33">
        <f>IFERROR(__xludf.DUMMYFUNCTION("""COMPUTED_VALUE"""),0.5)</f>
        <v>0.5</v>
      </c>
      <c r="Q1454" s="4" t="str">
        <f>IFERROR(__xludf.DUMMYFUNCTION("""COMPUTED_VALUE"""),"null")</f>
        <v>null</v>
      </c>
      <c r="R1454" s="33">
        <f>IFERROR(__xludf.DUMMYFUNCTION("""COMPUTED_VALUE"""),0.6666666666666666)</f>
        <v>0.6666666667</v>
      </c>
      <c r="S1454" s="4" t="str">
        <f>IFERROR(__xludf.DUMMYFUNCTION("""COMPUTED_VALUE"""),"null")</f>
        <v>null</v>
      </c>
      <c r="T1454" s="33">
        <f>IFERROR(__xludf.DUMMYFUNCTION("""COMPUTED_VALUE"""),0.8333333333333334)</f>
        <v>0.8333333333</v>
      </c>
      <c r="U1454" s="4" t="str">
        <f>IFERROR(__xludf.DUMMYFUNCTION("""COMPUTED_VALUE"""),"null")</f>
        <v>null</v>
      </c>
      <c r="V1454" s="33">
        <f>IFERROR(__xludf.DUMMYFUNCTION("""COMPUTED_VALUE"""),1.0)</f>
        <v>1</v>
      </c>
      <c r="W1454" s="4" t="str">
        <f>IFERROR(__xludf.DUMMYFUNCTION("""COMPUTED_VALUE"""),"null")</f>
        <v>null</v>
      </c>
      <c r="X1454" s="33">
        <f>IFERROR(__xludf.DUMMYFUNCTION("""COMPUTED_VALUE"""),1.0)</f>
        <v>1</v>
      </c>
    </row>
    <row r="1455">
      <c r="K1455" s="4" t="str">
        <f>IFERROR(__xludf.DUMMYFUNCTION("""COMPUTED_VALUE"""),"PRATO FINO - ARAXA")</f>
        <v>PRATO FINO - ARAXA</v>
      </c>
      <c r="L1455" s="32">
        <f>IFERROR(__xludf.DUMMYFUNCTION("""COMPUTED_VALUE"""),6.0)</f>
        <v>6</v>
      </c>
      <c r="M1455" s="4" t="str">
        <f>IFERROR(__xludf.DUMMYFUNCTION("""COMPUTED_VALUE"""),"null")</f>
        <v>null</v>
      </c>
      <c r="N1455" s="33">
        <f>IFERROR(__xludf.DUMMYFUNCTION("""COMPUTED_VALUE"""),0.8333333333333334)</f>
        <v>0.8333333333</v>
      </c>
      <c r="O1455" s="4" t="str">
        <f>IFERROR(__xludf.DUMMYFUNCTION("""COMPUTED_VALUE"""),"null")</f>
        <v>null</v>
      </c>
      <c r="P1455" s="33">
        <f>IFERROR(__xludf.DUMMYFUNCTION("""COMPUTED_VALUE"""),1.0)</f>
        <v>1</v>
      </c>
      <c r="Q1455" s="4" t="str">
        <f>IFERROR(__xludf.DUMMYFUNCTION("""COMPUTED_VALUE"""),"Saipos Serviços De Software")</f>
        <v>Saipos Serviços De Software</v>
      </c>
      <c r="R1455" s="33">
        <f>IFERROR(__xludf.DUMMYFUNCTION("""COMPUTED_VALUE"""),0.8333333333333334)</f>
        <v>0.8333333333</v>
      </c>
      <c r="S1455" s="4" t="str">
        <f>IFERROR(__xludf.DUMMYFUNCTION("""COMPUTED_VALUE"""),"Saipos Serviços De Software")</f>
        <v>Saipos Serviços De Software</v>
      </c>
      <c r="T1455" s="33">
        <f>IFERROR(__xludf.DUMMYFUNCTION("""COMPUTED_VALUE"""),1.0)</f>
        <v>1</v>
      </c>
      <c r="U1455" s="4" t="str">
        <f>IFERROR(__xludf.DUMMYFUNCTION("""COMPUTED_VALUE"""),"Saipos Serviços De Software")</f>
        <v>Saipos Serviços De Software</v>
      </c>
      <c r="V1455" s="33">
        <f>IFERROR(__xludf.DUMMYFUNCTION("""COMPUTED_VALUE"""),1.0)</f>
        <v>1</v>
      </c>
      <c r="W1455" s="4" t="str">
        <f>IFERROR(__xludf.DUMMYFUNCTION("""COMPUTED_VALUE"""),"Saipos Serviços De Software")</f>
        <v>Saipos Serviços De Software</v>
      </c>
      <c r="X1455" s="33">
        <f>IFERROR(__xludf.DUMMYFUNCTION("""COMPUTED_VALUE"""),1.0)</f>
        <v>1</v>
      </c>
    </row>
    <row r="1456">
      <c r="K1456" s="4" t="str">
        <f>IFERROR(__xludf.DUMMYFUNCTION("""COMPUTED_VALUE"""),"PROCAMPO PET STORE - MATRIZ CONTA MARCA")</f>
        <v>PROCAMPO PET STORE - MATRIZ CONTA MARCA</v>
      </c>
      <c r="L1456" s="32">
        <f>IFERROR(__xludf.DUMMYFUNCTION("""COMPUTED_VALUE"""),6.0)</f>
        <v>6</v>
      </c>
      <c r="M1456" s="4" t="str">
        <f>IFERROR(__xludf.DUMMYFUNCTION("""COMPUTED_VALUE"""),"N/A (Not found)")</f>
        <v>N/A (Not found)</v>
      </c>
      <c r="N1456" s="33">
        <f>IFERROR(__xludf.DUMMYFUNCTION("""COMPUTED_VALUE"""),0.6666666666666666)</f>
        <v>0.6666666667</v>
      </c>
      <c r="O1456" s="4" t="str">
        <f>IFERROR(__xludf.DUMMYFUNCTION("""COMPUTED_VALUE"""),"N/A (Not found)")</f>
        <v>N/A (Not found)</v>
      </c>
      <c r="P1456" s="33">
        <f>IFERROR(__xludf.DUMMYFUNCTION("""COMPUTED_VALUE"""),0.6666666666666666)</f>
        <v>0.6666666667</v>
      </c>
      <c r="Q1456" s="4" t="str">
        <f>IFERROR(__xludf.DUMMYFUNCTION("""COMPUTED_VALUE"""),"N/A (Not found)")</f>
        <v>N/A (Not found)</v>
      </c>
      <c r="R1456" s="33">
        <f>IFERROR(__xludf.DUMMYFUNCTION("""COMPUTED_VALUE"""),0.6666666666666666)</f>
        <v>0.6666666667</v>
      </c>
      <c r="S1456" s="4" t="str">
        <f>IFERROR(__xludf.DUMMYFUNCTION("""COMPUTED_VALUE"""),"N/A (Not found)")</f>
        <v>N/A (Not found)</v>
      </c>
      <c r="T1456" s="33">
        <f>IFERROR(__xludf.DUMMYFUNCTION("""COMPUTED_VALUE"""),1.0)</f>
        <v>1</v>
      </c>
      <c r="U1456" s="4" t="str">
        <f>IFERROR(__xludf.DUMMYFUNCTION("""COMPUTED_VALUE"""),"N/A (Not found)")</f>
        <v>N/A (Not found)</v>
      </c>
      <c r="V1456" s="33">
        <f>IFERROR(__xludf.DUMMYFUNCTION("""COMPUTED_VALUE"""),1.0)</f>
        <v>1</v>
      </c>
      <c r="W1456" s="4" t="str">
        <f>IFERROR(__xludf.DUMMYFUNCTION("""COMPUTED_VALUE"""),"N/A (Not found)")</f>
        <v>N/A (Not found)</v>
      </c>
      <c r="X1456" s="33">
        <f>IFERROR(__xludf.DUMMYFUNCTION("""COMPUTED_VALUE"""),1.0)</f>
        <v>1</v>
      </c>
    </row>
    <row r="1457">
      <c r="K1457" s="4" t="str">
        <f>IFERROR(__xludf.DUMMYFUNCTION("""COMPUTED_VALUE"""),"GRUPO QG JEITINHO CASEIRO")</f>
        <v>GRUPO QG JEITINHO CASEIRO</v>
      </c>
      <c r="L1457" s="32">
        <f>IFERROR(__xludf.DUMMYFUNCTION("""COMPUTED_VALUE"""),6.0)</f>
        <v>6</v>
      </c>
      <c r="M1457" s="4" t="str">
        <f>IFERROR(__xludf.DUMMYFUNCTION("""COMPUTED_VALUE"""),"Stone Co.")</f>
        <v>Stone Co.</v>
      </c>
      <c r="N1457" s="33">
        <f>IFERROR(__xludf.DUMMYFUNCTION("""COMPUTED_VALUE"""),0.8333333333333334)</f>
        <v>0.8333333333</v>
      </c>
      <c r="O1457" s="4" t="str">
        <f>IFERROR(__xludf.DUMMYFUNCTION("""COMPUTED_VALUE"""),"Stone Co.")</f>
        <v>Stone Co.</v>
      </c>
      <c r="P1457" s="33">
        <f>IFERROR(__xludf.DUMMYFUNCTION("""COMPUTED_VALUE"""),0.8333333333333334)</f>
        <v>0.8333333333</v>
      </c>
      <c r="Q1457" s="4" t="str">
        <f>IFERROR(__xludf.DUMMYFUNCTION("""COMPUTED_VALUE"""),"Stone Co.")</f>
        <v>Stone Co.</v>
      </c>
      <c r="R1457" s="33">
        <f>IFERROR(__xludf.DUMMYFUNCTION("""COMPUTED_VALUE"""),0.8333333333333334)</f>
        <v>0.8333333333</v>
      </c>
      <c r="S1457" s="4" t="str">
        <f>IFERROR(__xludf.DUMMYFUNCTION("""COMPUTED_VALUE"""),"Stone Co.")</f>
        <v>Stone Co.</v>
      </c>
      <c r="T1457" s="33">
        <f>IFERROR(__xludf.DUMMYFUNCTION("""COMPUTED_VALUE"""),0.8333333333333334)</f>
        <v>0.8333333333</v>
      </c>
      <c r="U1457" s="4" t="str">
        <f>IFERROR(__xludf.DUMMYFUNCTION("""COMPUTED_VALUE"""),"Stone Co.")</f>
        <v>Stone Co.</v>
      </c>
      <c r="V1457" s="33">
        <f>IFERROR(__xludf.DUMMYFUNCTION("""COMPUTED_VALUE"""),0.8333333333333334)</f>
        <v>0.8333333333</v>
      </c>
      <c r="W1457" s="4" t="str">
        <f>IFERROR(__xludf.DUMMYFUNCTION("""COMPUTED_VALUE"""),"Stone Co.")</f>
        <v>Stone Co.</v>
      </c>
      <c r="X1457" s="33">
        <f>IFERROR(__xludf.DUMMYFUNCTION("""COMPUTED_VALUE"""),0.8333333333333334)</f>
        <v>0.8333333333</v>
      </c>
    </row>
    <row r="1458">
      <c r="K1458" s="4" t="str">
        <f>IFERROR(__xludf.DUMMYFUNCTION("""COMPUTED_VALUE"""),"QUE PANKEKA")</f>
        <v>QUE PANKEKA</v>
      </c>
      <c r="L1458" s="32">
        <f>IFERROR(__xludf.DUMMYFUNCTION("""COMPUTED_VALUE"""),6.0)</f>
        <v>6</v>
      </c>
      <c r="M1458" s="4" t="str">
        <f>IFERROR(__xludf.DUMMYFUNCTION("""COMPUTED_VALUE"""),"Saipos Serviços De Software")</f>
        <v>Saipos Serviços De Software</v>
      </c>
      <c r="N1458" s="33">
        <f>IFERROR(__xludf.DUMMYFUNCTION("""COMPUTED_VALUE"""),1.0)</f>
        <v>1</v>
      </c>
      <c r="O1458" s="4" t="str">
        <f>IFERROR(__xludf.DUMMYFUNCTION("""COMPUTED_VALUE"""),"Saipos Serviços De Software")</f>
        <v>Saipos Serviços De Software</v>
      </c>
      <c r="P1458" s="33">
        <f>IFERROR(__xludf.DUMMYFUNCTION("""COMPUTED_VALUE"""),1.0)</f>
        <v>1</v>
      </c>
      <c r="Q1458" s="4" t="str">
        <f>IFERROR(__xludf.DUMMYFUNCTION("""COMPUTED_VALUE"""),"Saipos Serviços De Software")</f>
        <v>Saipos Serviços De Software</v>
      </c>
      <c r="R1458" s="33">
        <f>IFERROR(__xludf.DUMMYFUNCTION("""COMPUTED_VALUE"""),0.5)</f>
        <v>0.5</v>
      </c>
      <c r="S1458" s="4" t="str">
        <f>IFERROR(__xludf.DUMMYFUNCTION("""COMPUTED_VALUE"""),"Saipos Serviços De Software")</f>
        <v>Saipos Serviços De Software</v>
      </c>
      <c r="T1458" s="33">
        <f>IFERROR(__xludf.DUMMYFUNCTION("""COMPUTED_VALUE"""),0.5)</f>
        <v>0.5</v>
      </c>
      <c r="U1458" s="4" t="str">
        <f>IFERROR(__xludf.DUMMYFUNCTION("""COMPUTED_VALUE"""),"Saipos Serviços De Software")</f>
        <v>Saipos Serviços De Software</v>
      </c>
      <c r="V1458" s="33">
        <f>IFERROR(__xludf.DUMMYFUNCTION("""COMPUTED_VALUE"""),0.5)</f>
        <v>0.5</v>
      </c>
      <c r="W1458" s="4" t="str">
        <f>IFERROR(__xludf.DUMMYFUNCTION("""COMPUTED_VALUE"""),"Saipos Serviços De Software")</f>
        <v>Saipos Serviços De Software</v>
      </c>
      <c r="X1458" s="33">
        <f>IFERROR(__xludf.DUMMYFUNCTION("""COMPUTED_VALUE"""),0.5)</f>
        <v>0.5</v>
      </c>
    </row>
    <row r="1459">
      <c r="K1459" s="4" t="str">
        <f>IFERROR(__xludf.DUMMYFUNCTION("""COMPUTED_VALUE"""),"QUERO PIZZA - MANAUS")</f>
        <v>QUERO PIZZA - MANAUS</v>
      </c>
      <c r="L1459" s="32">
        <f>IFERROR(__xludf.DUMMYFUNCTION("""COMPUTED_VALUE"""),6.0)</f>
        <v>6</v>
      </c>
      <c r="M1459" s="4" t="str">
        <f>IFERROR(__xludf.DUMMYFUNCTION("""COMPUTED_VALUE"""),"null")</f>
        <v>null</v>
      </c>
      <c r="N1459" s="33">
        <f>IFERROR(__xludf.DUMMYFUNCTION("""COMPUTED_VALUE"""),0.8333333333333334)</f>
        <v>0.8333333333</v>
      </c>
      <c r="O1459" s="4" t="str">
        <f>IFERROR(__xludf.DUMMYFUNCTION("""COMPUTED_VALUE"""),"null")</f>
        <v>null</v>
      </c>
      <c r="P1459" s="33">
        <f>IFERROR(__xludf.DUMMYFUNCTION("""COMPUTED_VALUE"""),1.0)</f>
        <v>1</v>
      </c>
      <c r="Q1459" s="4" t="str">
        <f>IFERROR(__xludf.DUMMYFUNCTION("""COMPUTED_VALUE"""),"null")</f>
        <v>null</v>
      </c>
      <c r="R1459" s="33">
        <f>IFERROR(__xludf.DUMMYFUNCTION("""COMPUTED_VALUE"""),1.0)</f>
        <v>1</v>
      </c>
      <c r="S1459" s="4" t="str">
        <f>IFERROR(__xludf.DUMMYFUNCTION("""COMPUTED_VALUE"""),"Suitable Tecnologia E Gestao")</f>
        <v>Suitable Tecnologia E Gestao</v>
      </c>
      <c r="T1459" s="33">
        <f>IFERROR(__xludf.DUMMYFUNCTION("""COMPUTED_VALUE"""),0.8333333333333334)</f>
        <v>0.8333333333</v>
      </c>
      <c r="U1459" s="4" t="str">
        <f>IFERROR(__xludf.DUMMYFUNCTION("""COMPUTED_VALUE"""),"Suitable Tecnologia E Gestao")</f>
        <v>Suitable Tecnologia E Gestao</v>
      </c>
      <c r="V1459" s="33">
        <f>IFERROR(__xludf.DUMMYFUNCTION("""COMPUTED_VALUE"""),0.8333333333333334)</f>
        <v>0.8333333333</v>
      </c>
      <c r="W1459" s="4" t="str">
        <f>IFERROR(__xludf.DUMMYFUNCTION("""COMPUTED_VALUE"""),"Suitable Tecnologia E Gestao")</f>
        <v>Suitable Tecnologia E Gestao</v>
      </c>
      <c r="X1459" s="33">
        <f>IFERROR(__xludf.DUMMYFUNCTION("""COMPUTED_VALUE"""),0.8333333333333334)</f>
        <v>0.8333333333</v>
      </c>
    </row>
    <row r="1460">
      <c r="K1460" s="4" t="str">
        <f>IFERROR(__xludf.DUMMYFUNCTION("""COMPUTED_VALUE"""),"QUINTA DA OLIVA")</f>
        <v>QUINTA DA OLIVA</v>
      </c>
      <c r="L1460" s="32">
        <f>IFERROR(__xludf.DUMMYFUNCTION("""COMPUTED_VALUE"""),6.0)</f>
        <v>6</v>
      </c>
      <c r="M1460" s="4" t="str">
        <f>IFERROR(__xludf.DUMMYFUNCTION("""COMPUTED_VALUE"""),"Junsoft Tecnologia")</f>
        <v>Junsoft Tecnologia</v>
      </c>
      <c r="N1460" s="33">
        <f>IFERROR(__xludf.DUMMYFUNCTION("""COMPUTED_VALUE"""),0.8333333333333334)</f>
        <v>0.8333333333</v>
      </c>
      <c r="O1460" s="4" t="str">
        <f>IFERROR(__xludf.DUMMYFUNCTION("""COMPUTED_VALUE"""),"null")</f>
        <v>null</v>
      </c>
      <c r="P1460" s="33">
        <f>IFERROR(__xludf.DUMMYFUNCTION("""COMPUTED_VALUE"""),0.5)</f>
        <v>0.5</v>
      </c>
      <c r="Q1460" s="4" t="str">
        <f>IFERROR(__xludf.DUMMYFUNCTION("""COMPUTED_VALUE"""),"null")</f>
        <v>null</v>
      </c>
      <c r="R1460" s="33">
        <f>IFERROR(__xludf.DUMMYFUNCTION("""COMPUTED_VALUE"""),0.6666666666666666)</f>
        <v>0.6666666667</v>
      </c>
      <c r="S1460" s="4" t="str">
        <f>IFERROR(__xludf.DUMMYFUNCTION("""COMPUTED_VALUE"""),"null")</f>
        <v>null</v>
      </c>
      <c r="T1460" s="33">
        <f>IFERROR(__xludf.DUMMYFUNCTION("""COMPUTED_VALUE"""),0.5)</f>
        <v>0.5</v>
      </c>
      <c r="U1460" s="4" t="str">
        <f>IFERROR(__xludf.DUMMYFUNCTION("""COMPUTED_VALUE"""),"null")</f>
        <v>null</v>
      </c>
      <c r="V1460" s="33">
        <f>IFERROR(__xludf.DUMMYFUNCTION("""COMPUTED_VALUE"""),0.5)</f>
        <v>0.5</v>
      </c>
      <c r="W1460" s="4" t="str">
        <f>IFERROR(__xludf.DUMMYFUNCTION("""COMPUTED_VALUE"""),"Junsoft Tecnologia")</f>
        <v>Junsoft Tecnologia</v>
      </c>
      <c r="X1460" s="33">
        <f>IFERROR(__xludf.DUMMYFUNCTION("""COMPUTED_VALUE"""),0.8333333333333334)</f>
        <v>0.8333333333</v>
      </c>
    </row>
    <row r="1461">
      <c r="K1461" s="4" t="str">
        <f>IFERROR(__xludf.DUMMYFUNCTION("""COMPUTED_VALUE"""),"REDE CONFIANCA - DIVINO PIZZAS E MASSAS")</f>
        <v>REDE CONFIANCA - DIVINO PIZZAS E MASSAS</v>
      </c>
      <c r="L1461" s="32">
        <f>IFERROR(__xludf.DUMMYFUNCTION("""COMPUTED_VALUE"""),6.0)</f>
        <v>6</v>
      </c>
      <c r="M1461" s="4" t="str">
        <f>IFERROR(__xludf.DUMMYFUNCTION("""COMPUTED_VALUE"""),"Winfood")</f>
        <v>Winfood</v>
      </c>
      <c r="N1461" s="33">
        <f>IFERROR(__xludf.DUMMYFUNCTION("""COMPUTED_VALUE"""),1.0)</f>
        <v>1</v>
      </c>
      <c r="O1461" s="4" t="str">
        <f>IFERROR(__xludf.DUMMYFUNCTION("""COMPUTED_VALUE"""),"Winfood")</f>
        <v>Winfood</v>
      </c>
      <c r="P1461" s="33">
        <f>IFERROR(__xludf.DUMMYFUNCTION("""COMPUTED_VALUE"""),1.0)</f>
        <v>1</v>
      </c>
      <c r="Q1461" s="4" t="str">
        <f>IFERROR(__xludf.DUMMYFUNCTION("""COMPUTED_VALUE"""),"Winfood")</f>
        <v>Winfood</v>
      </c>
      <c r="R1461" s="33">
        <f>IFERROR(__xludf.DUMMYFUNCTION("""COMPUTED_VALUE"""),0.8333333333333334)</f>
        <v>0.8333333333</v>
      </c>
      <c r="S1461" s="4" t="str">
        <f>IFERROR(__xludf.DUMMYFUNCTION("""COMPUTED_VALUE"""),"Winfood")</f>
        <v>Winfood</v>
      </c>
      <c r="T1461" s="33">
        <f>IFERROR(__xludf.DUMMYFUNCTION("""COMPUTED_VALUE"""),0.8333333333333334)</f>
        <v>0.8333333333</v>
      </c>
      <c r="U1461" s="4" t="str">
        <f>IFERROR(__xludf.DUMMYFUNCTION("""COMPUTED_VALUE"""),"Winfood")</f>
        <v>Winfood</v>
      </c>
      <c r="V1461" s="33">
        <f>IFERROR(__xludf.DUMMYFUNCTION("""COMPUTED_VALUE"""),0.5)</f>
        <v>0.5</v>
      </c>
      <c r="W1461" s="4" t="str">
        <f>IFERROR(__xludf.DUMMYFUNCTION("""COMPUTED_VALUE"""),"Winfood")</f>
        <v>Winfood</v>
      </c>
      <c r="X1461" s="33">
        <f>IFERROR(__xludf.DUMMYFUNCTION("""COMPUTED_VALUE"""),0.5)</f>
        <v>0.5</v>
      </c>
    </row>
    <row r="1462">
      <c r="K1462" s="4" t="str">
        <f>IFERROR(__xludf.DUMMYFUNCTION("""COMPUTED_VALUE"""),"REDE VAREJAO - CONTA GRUPO")</f>
        <v>REDE VAREJAO - CONTA GRUPO</v>
      </c>
      <c r="L1462" s="32">
        <f>IFERROR(__xludf.DUMMYFUNCTION("""COMPUTED_VALUE"""),6.0)</f>
        <v>6</v>
      </c>
      <c r="M1462" s="4" t="str">
        <f>IFERROR(__xludf.DUMMYFUNCTION("""COMPUTED_VALUE"""),"N/A (Not found)")</f>
        <v>N/A (Not found)</v>
      </c>
      <c r="N1462" s="33">
        <f>IFERROR(__xludf.DUMMYFUNCTION("""COMPUTED_VALUE"""),1.0)</f>
        <v>1</v>
      </c>
      <c r="O1462" s="4" t="str">
        <f>IFERROR(__xludf.DUMMYFUNCTION("""COMPUTED_VALUE"""),"N/A (Not found)")</f>
        <v>N/A (Not found)</v>
      </c>
      <c r="P1462" s="33">
        <f>IFERROR(__xludf.DUMMYFUNCTION("""COMPUTED_VALUE"""),1.0)</f>
        <v>1</v>
      </c>
      <c r="Q1462" s="4" t="str">
        <f>IFERROR(__xludf.DUMMYFUNCTION("""COMPUTED_VALUE"""),"N/A (Not found)")</f>
        <v>N/A (Not found)</v>
      </c>
      <c r="R1462" s="33">
        <f>IFERROR(__xludf.DUMMYFUNCTION("""COMPUTED_VALUE"""),1.0)</f>
        <v>1</v>
      </c>
      <c r="S1462" s="4" t="str">
        <f>IFERROR(__xludf.DUMMYFUNCTION("""COMPUTED_VALUE"""),"N/A (Not found)")</f>
        <v>N/A (Not found)</v>
      </c>
      <c r="T1462" s="33">
        <f>IFERROR(__xludf.DUMMYFUNCTION("""COMPUTED_VALUE"""),1.0)</f>
        <v>1</v>
      </c>
      <c r="U1462" s="4" t="str">
        <f>IFERROR(__xludf.DUMMYFUNCTION("""COMPUTED_VALUE"""),"N/A (Not found)")</f>
        <v>N/A (Not found)</v>
      </c>
      <c r="V1462" s="33">
        <f>IFERROR(__xludf.DUMMYFUNCTION("""COMPUTED_VALUE"""),1.0)</f>
        <v>1</v>
      </c>
      <c r="W1462" s="4" t="str">
        <f>IFERROR(__xludf.DUMMYFUNCTION("""COMPUTED_VALUE"""),"N/A (Not found)")</f>
        <v>N/A (Not found)</v>
      </c>
      <c r="X1462" s="33">
        <f>IFERROR(__xludf.DUMMYFUNCTION("""COMPUTED_VALUE"""),1.0)</f>
        <v>1</v>
      </c>
    </row>
    <row r="1463">
      <c r="K1463" s="4" t="str">
        <f>IFERROR(__xludf.DUMMYFUNCTION("""COMPUTED_VALUE"""),"REDEFARMES - CONTA PAI")</f>
        <v>REDEFARMES - CONTA PAI</v>
      </c>
      <c r="L1463" s="32">
        <f>IFERROR(__xludf.DUMMYFUNCTION("""COMPUTED_VALUE"""),6.0)</f>
        <v>6</v>
      </c>
      <c r="M1463" s="4" t="str">
        <f>IFERROR(__xludf.DUMMYFUNCTION("""COMPUTED_VALUE"""),"null")</f>
        <v>null</v>
      </c>
      <c r="N1463" s="33">
        <f>IFERROR(__xludf.DUMMYFUNCTION("""COMPUTED_VALUE"""),1.0)</f>
        <v>1</v>
      </c>
      <c r="O1463" s="4" t="str">
        <f>IFERROR(__xludf.DUMMYFUNCTION("""COMPUTED_VALUE"""),"null")</f>
        <v>null</v>
      </c>
      <c r="P1463" s="33">
        <f>IFERROR(__xludf.DUMMYFUNCTION("""COMPUTED_VALUE"""),1.0)</f>
        <v>1</v>
      </c>
      <c r="Q1463" s="4" t="str">
        <f>IFERROR(__xludf.DUMMYFUNCTION("""COMPUTED_VALUE"""),"null")</f>
        <v>null</v>
      </c>
      <c r="R1463" s="33">
        <f>IFERROR(__xludf.DUMMYFUNCTION("""COMPUTED_VALUE"""),1.0)</f>
        <v>1</v>
      </c>
      <c r="S1463" s="4" t="str">
        <f>IFERROR(__xludf.DUMMYFUNCTION("""COMPUTED_VALUE"""),"null")</f>
        <v>null</v>
      </c>
      <c r="T1463" s="33">
        <f>IFERROR(__xludf.DUMMYFUNCTION("""COMPUTED_VALUE"""),0.8333333333333334)</f>
        <v>0.8333333333</v>
      </c>
      <c r="U1463" s="4" t="str">
        <f>IFERROR(__xludf.DUMMYFUNCTION("""COMPUTED_VALUE"""),"N/A (Not found)")</f>
        <v>N/A (Not found)</v>
      </c>
      <c r="V1463" s="33">
        <f>IFERROR(__xludf.DUMMYFUNCTION("""COMPUTED_VALUE"""),1.0)</f>
        <v>1</v>
      </c>
      <c r="W1463" s="4" t="str">
        <f>IFERROR(__xludf.DUMMYFUNCTION("""COMPUTED_VALUE"""),"N/A (Not found)")</f>
        <v>N/A (Not found)</v>
      </c>
      <c r="X1463" s="33">
        <f>IFERROR(__xludf.DUMMYFUNCTION("""COMPUTED_VALUE"""),0.8333333333333334)</f>
        <v>0.8333333333</v>
      </c>
    </row>
    <row r="1464">
      <c r="K1464" s="4" t="str">
        <f>IFERROR(__xludf.DUMMYFUNCTION("""COMPUTED_VALUE"""),"RENDE MAIS SUPERMERCADOS - CONTA GRUPO")</f>
        <v>RENDE MAIS SUPERMERCADOS - CONTA GRUPO</v>
      </c>
      <c r="L1464" s="32">
        <f>IFERROR(__xludf.DUMMYFUNCTION("""COMPUTED_VALUE"""),6.0)</f>
        <v>6</v>
      </c>
      <c r="M1464" s="4" t="str">
        <f>IFERROR(__xludf.DUMMYFUNCTION("""COMPUTED_VALUE"""),"N/A (Not found)")</f>
        <v>N/A (Not found)</v>
      </c>
      <c r="N1464" s="33">
        <f>IFERROR(__xludf.DUMMYFUNCTION("""COMPUTED_VALUE"""),1.0)</f>
        <v>1</v>
      </c>
      <c r="O1464" s="4" t="str">
        <f>IFERROR(__xludf.DUMMYFUNCTION("""COMPUTED_VALUE"""),"N/A (Not found)")</f>
        <v>N/A (Not found)</v>
      </c>
      <c r="P1464" s="33">
        <f>IFERROR(__xludf.DUMMYFUNCTION("""COMPUTED_VALUE"""),1.0)</f>
        <v>1</v>
      </c>
      <c r="Q1464" s="4" t="str">
        <f>IFERROR(__xludf.DUMMYFUNCTION("""COMPUTED_VALUE"""),"N/A (Not found)")</f>
        <v>N/A (Not found)</v>
      </c>
      <c r="R1464" s="33">
        <f>IFERROR(__xludf.DUMMYFUNCTION("""COMPUTED_VALUE"""),1.0)</f>
        <v>1</v>
      </c>
      <c r="S1464" s="4" t="str">
        <f>IFERROR(__xludf.DUMMYFUNCTION("""COMPUTED_VALUE"""),"N/A (Not found)")</f>
        <v>N/A (Not found)</v>
      </c>
      <c r="T1464" s="33">
        <f>IFERROR(__xludf.DUMMYFUNCTION("""COMPUTED_VALUE"""),1.0)</f>
        <v>1</v>
      </c>
      <c r="U1464" s="4" t="str">
        <f>IFERROR(__xludf.DUMMYFUNCTION("""COMPUTED_VALUE"""),"N/A (Not found)")</f>
        <v>N/A (Not found)</v>
      </c>
      <c r="V1464" s="33">
        <f>IFERROR(__xludf.DUMMYFUNCTION("""COMPUTED_VALUE"""),1.0)</f>
        <v>1</v>
      </c>
      <c r="W1464" s="4" t="str">
        <f>IFERROR(__xludf.DUMMYFUNCTION("""COMPUTED_VALUE"""),"N/A (Not found)")</f>
        <v>N/A (Not found)</v>
      </c>
      <c r="X1464" s="33">
        <f>IFERROR(__xludf.DUMMYFUNCTION("""COMPUTED_VALUE"""),1.0)</f>
        <v>1</v>
      </c>
    </row>
    <row r="1465">
      <c r="K1465" s="4" t="str">
        <f>IFERROR(__xludf.DUMMYFUNCTION("""COMPUTED_VALUE"""),"RESTAURANTE PIZZARIA INTEGRALE")</f>
        <v>RESTAURANTE PIZZARIA INTEGRALE</v>
      </c>
      <c r="L1465" s="32">
        <f>IFERROR(__xludf.DUMMYFUNCTION("""COMPUTED_VALUE"""),6.0)</f>
        <v>6</v>
      </c>
      <c r="M1465" s="4" t="str">
        <f>IFERROR(__xludf.DUMMYFUNCTION("""COMPUTED_VALUE"""),"Saipos Serviços De Software")</f>
        <v>Saipos Serviços De Software</v>
      </c>
      <c r="N1465" s="33">
        <f>IFERROR(__xludf.DUMMYFUNCTION("""COMPUTED_VALUE"""),1.0)</f>
        <v>1</v>
      </c>
      <c r="O1465" s="4" t="str">
        <f>IFERROR(__xludf.DUMMYFUNCTION("""COMPUTED_VALUE"""),"Saipos Serviços De Software")</f>
        <v>Saipos Serviços De Software</v>
      </c>
      <c r="P1465" s="33">
        <f>IFERROR(__xludf.DUMMYFUNCTION("""COMPUTED_VALUE"""),1.0)</f>
        <v>1</v>
      </c>
      <c r="Q1465" s="4" t="str">
        <f>IFERROR(__xludf.DUMMYFUNCTION("""COMPUTED_VALUE"""),"Saipos Serviços De Software")</f>
        <v>Saipos Serviços De Software</v>
      </c>
      <c r="R1465" s="33">
        <f>IFERROR(__xludf.DUMMYFUNCTION("""COMPUTED_VALUE"""),1.0)</f>
        <v>1</v>
      </c>
      <c r="S1465" s="4" t="str">
        <f>IFERROR(__xludf.DUMMYFUNCTION("""COMPUTED_VALUE"""),"Saipos Serviços De Software")</f>
        <v>Saipos Serviços De Software</v>
      </c>
      <c r="T1465" s="33">
        <f>IFERROR(__xludf.DUMMYFUNCTION("""COMPUTED_VALUE"""),1.0)</f>
        <v>1</v>
      </c>
      <c r="U1465" s="4" t="str">
        <f>IFERROR(__xludf.DUMMYFUNCTION("""COMPUTED_VALUE"""),"Saipos Serviços De Software")</f>
        <v>Saipos Serviços De Software</v>
      </c>
      <c r="V1465" s="33">
        <f>IFERROR(__xludf.DUMMYFUNCTION("""COMPUTED_VALUE"""),1.0)</f>
        <v>1</v>
      </c>
      <c r="W1465" s="4" t="str">
        <f>IFERROR(__xludf.DUMMYFUNCTION("""COMPUTED_VALUE"""),"Saipos Serviços De Software")</f>
        <v>Saipos Serviços De Software</v>
      </c>
      <c r="X1465" s="33">
        <f>IFERROR(__xludf.DUMMYFUNCTION("""COMPUTED_VALUE"""),1.0)</f>
        <v>1</v>
      </c>
    </row>
    <row r="1466">
      <c r="K1466" s="4" t="str">
        <f>IFERROR(__xludf.DUMMYFUNCTION("""COMPUTED_VALUE"""),"ROMA PIZZA CONTA MARCA")</f>
        <v>ROMA PIZZA CONTA MARCA</v>
      </c>
      <c r="L1466" s="32">
        <f>IFERROR(__xludf.DUMMYFUNCTION("""COMPUTED_VALUE"""),6.0)</f>
        <v>6</v>
      </c>
      <c r="M1466" s="4" t="str">
        <f>IFERROR(__xludf.DUMMYFUNCTION("""COMPUTED_VALUE"""),"Eclética Tecnologia")</f>
        <v>Eclética Tecnologia</v>
      </c>
      <c r="N1466" s="33">
        <f>IFERROR(__xludf.DUMMYFUNCTION("""COMPUTED_VALUE"""),1.0)</f>
        <v>1</v>
      </c>
      <c r="O1466" s="4" t="str">
        <f>IFERROR(__xludf.DUMMYFUNCTION("""COMPUTED_VALUE"""),"Eclética Tecnologia")</f>
        <v>Eclética Tecnologia</v>
      </c>
      <c r="P1466" s="33">
        <f>IFERROR(__xludf.DUMMYFUNCTION("""COMPUTED_VALUE"""),1.0)</f>
        <v>1</v>
      </c>
      <c r="Q1466" s="4" t="str">
        <f>IFERROR(__xludf.DUMMYFUNCTION("""COMPUTED_VALUE"""),"Eclética Tecnologia")</f>
        <v>Eclética Tecnologia</v>
      </c>
      <c r="R1466" s="33">
        <f>IFERROR(__xludf.DUMMYFUNCTION("""COMPUTED_VALUE"""),1.0)</f>
        <v>1</v>
      </c>
      <c r="S1466" s="4" t="str">
        <f>IFERROR(__xludf.DUMMYFUNCTION("""COMPUTED_VALUE"""),"null")</f>
        <v>null</v>
      </c>
      <c r="T1466" s="33">
        <f>IFERROR(__xludf.DUMMYFUNCTION("""COMPUTED_VALUE"""),0.5)</f>
        <v>0.5</v>
      </c>
      <c r="U1466" s="4" t="str">
        <f>IFERROR(__xludf.DUMMYFUNCTION("""COMPUTED_VALUE"""),"null")</f>
        <v>null</v>
      </c>
      <c r="V1466" s="33">
        <f>IFERROR(__xludf.DUMMYFUNCTION("""COMPUTED_VALUE"""),0.5)</f>
        <v>0.5</v>
      </c>
      <c r="W1466" s="4" t="str">
        <f>IFERROR(__xludf.DUMMYFUNCTION("""COMPUTED_VALUE"""),"null")</f>
        <v>null</v>
      </c>
      <c r="X1466" s="33">
        <f>IFERROR(__xludf.DUMMYFUNCTION("""COMPUTED_VALUE"""),0.5)</f>
        <v>0.5</v>
      </c>
    </row>
    <row r="1467">
      <c r="K1467" s="4" t="str">
        <f>IFERROR(__xludf.DUMMYFUNCTION("""COMPUTED_VALUE"""),"RUSTY BURGER - HAMBURGUERIA")</f>
        <v>RUSTY BURGER - HAMBURGUERIA</v>
      </c>
      <c r="L1467" s="32">
        <f>IFERROR(__xludf.DUMMYFUNCTION("""COMPUTED_VALUE"""),6.0)</f>
        <v>6</v>
      </c>
      <c r="M1467" s="4" t="str">
        <f>IFERROR(__xludf.DUMMYFUNCTION("""COMPUTED_VALUE"""),"Saipos Serviços De Software")</f>
        <v>Saipos Serviços De Software</v>
      </c>
      <c r="N1467" s="33">
        <f>IFERROR(__xludf.DUMMYFUNCTION("""COMPUTED_VALUE"""),0.8333333333333334)</f>
        <v>0.8333333333</v>
      </c>
      <c r="O1467" s="4" t="str">
        <f>IFERROR(__xludf.DUMMYFUNCTION("""COMPUTED_VALUE"""),"Saipos Serviços De Software")</f>
        <v>Saipos Serviços De Software</v>
      </c>
      <c r="P1467" s="33">
        <f>IFERROR(__xludf.DUMMYFUNCTION("""COMPUTED_VALUE"""),0.8333333333333334)</f>
        <v>0.8333333333</v>
      </c>
      <c r="Q1467" s="4" t="str">
        <f>IFERROR(__xludf.DUMMYFUNCTION("""COMPUTED_VALUE"""),"Saipos Serviços De Software")</f>
        <v>Saipos Serviços De Software</v>
      </c>
      <c r="R1467" s="33">
        <f>IFERROR(__xludf.DUMMYFUNCTION("""COMPUTED_VALUE"""),0.8333333333333334)</f>
        <v>0.8333333333</v>
      </c>
      <c r="S1467" s="4" t="str">
        <f>IFERROR(__xludf.DUMMYFUNCTION("""COMPUTED_VALUE"""),"Saipos Serviços De Software")</f>
        <v>Saipos Serviços De Software</v>
      </c>
      <c r="T1467" s="33">
        <f>IFERROR(__xludf.DUMMYFUNCTION("""COMPUTED_VALUE"""),1.0)</f>
        <v>1</v>
      </c>
      <c r="U1467" s="4" t="str">
        <f>IFERROR(__xludf.DUMMYFUNCTION("""COMPUTED_VALUE"""),"Saipos Serviços De Software")</f>
        <v>Saipos Serviços De Software</v>
      </c>
      <c r="V1467" s="33">
        <f>IFERROR(__xludf.DUMMYFUNCTION("""COMPUTED_VALUE"""),1.0)</f>
        <v>1</v>
      </c>
      <c r="W1467" s="4" t="str">
        <f>IFERROR(__xludf.DUMMYFUNCTION("""COMPUTED_VALUE"""),"Saipos Serviços De Software")</f>
        <v>Saipos Serviços De Software</v>
      </c>
      <c r="X1467" s="33">
        <f>IFERROR(__xludf.DUMMYFUNCTION("""COMPUTED_VALUE"""),1.0)</f>
        <v>1</v>
      </c>
    </row>
    <row r="1468">
      <c r="K1468" s="4" t="str">
        <f>IFERROR(__xludf.DUMMYFUNCTION("""COMPUTED_VALUE"""),"SAIKOU SUSHI EXPRESS")</f>
        <v>SAIKOU SUSHI EXPRESS</v>
      </c>
      <c r="L1468" s="32">
        <f>IFERROR(__xludf.DUMMYFUNCTION("""COMPUTED_VALUE"""),6.0)</f>
        <v>6</v>
      </c>
      <c r="M1468" s="4" t="str">
        <f>IFERROR(__xludf.DUMMYFUNCTION("""COMPUTED_VALUE"""),"Garcom Web")</f>
        <v>Garcom Web</v>
      </c>
      <c r="N1468" s="33">
        <f>IFERROR(__xludf.DUMMYFUNCTION("""COMPUTED_VALUE"""),1.0)</f>
        <v>1</v>
      </c>
      <c r="O1468" s="4" t="str">
        <f>IFERROR(__xludf.DUMMYFUNCTION("""COMPUTED_VALUE"""),"Garcom Web")</f>
        <v>Garcom Web</v>
      </c>
      <c r="P1468" s="33">
        <f>IFERROR(__xludf.DUMMYFUNCTION("""COMPUTED_VALUE"""),0.8333333333333334)</f>
        <v>0.8333333333</v>
      </c>
      <c r="Q1468" s="4" t="str">
        <f>IFERROR(__xludf.DUMMYFUNCTION("""COMPUTED_VALUE"""),"Garcom Web")</f>
        <v>Garcom Web</v>
      </c>
      <c r="R1468" s="33">
        <f>IFERROR(__xludf.DUMMYFUNCTION("""COMPUTED_VALUE"""),1.0)</f>
        <v>1</v>
      </c>
      <c r="S1468" s="4" t="str">
        <f>IFERROR(__xludf.DUMMYFUNCTION("""COMPUTED_VALUE"""),"Garcom Web")</f>
        <v>Garcom Web</v>
      </c>
      <c r="T1468" s="33">
        <f>IFERROR(__xludf.DUMMYFUNCTION("""COMPUTED_VALUE"""),0.8333333333333334)</f>
        <v>0.8333333333</v>
      </c>
      <c r="U1468" s="4" t="str">
        <f>IFERROR(__xludf.DUMMYFUNCTION("""COMPUTED_VALUE"""),"Garcom Web")</f>
        <v>Garcom Web</v>
      </c>
      <c r="V1468" s="33">
        <f>IFERROR(__xludf.DUMMYFUNCTION("""COMPUTED_VALUE"""),1.0)</f>
        <v>1</v>
      </c>
      <c r="W1468" s="4" t="str">
        <f>IFERROR(__xludf.DUMMYFUNCTION("""COMPUTED_VALUE"""),"Garcom Web")</f>
        <v>Garcom Web</v>
      </c>
      <c r="X1468" s="33">
        <f>IFERROR(__xludf.DUMMYFUNCTION("""COMPUTED_VALUE"""),1.0)</f>
        <v>1</v>
      </c>
    </row>
    <row r="1469">
      <c r="K1469" s="4" t="str">
        <f>IFERROR(__xludf.DUMMYFUNCTION("""COMPUTED_VALUE"""),"SANDYS BURGER")</f>
        <v>SANDYS BURGER</v>
      </c>
      <c r="L1469" s="32">
        <f>IFERROR(__xludf.DUMMYFUNCTION("""COMPUTED_VALUE"""),6.0)</f>
        <v>6</v>
      </c>
      <c r="M1469" s="4" t="str">
        <f>IFERROR(__xludf.DUMMYFUNCTION("""COMPUTED_VALUE"""),"Saipos Serviços De Software")</f>
        <v>Saipos Serviços De Software</v>
      </c>
      <c r="N1469" s="33">
        <f>IFERROR(__xludf.DUMMYFUNCTION("""COMPUTED_VALUE"""),0.8333333333333334)</f>
        <v>0.8333333333</v>
      </c>
      <c r="O1469" s="4" t="str">
        <f>IFERROR(__xludf.DUMMYFUNCTION("""COMPUTED_VALUE"""),"Saipos Serviços De Software")</f>
        <v>Saipos Serviços De Software</v>
      </c>
      <c r="P1469" s="33">
        <f>IFERROR(__xludf.DUMMYFUNCTION("""COMPUTED_VALUE"""),0.8333333333333334)</f>
        <v>0.8333333333</v>
      </c>
      <c r="Q1469" s="4" t="str">
        <f>IFERROR(__xludf.DUMMYFUNCTION("""COMPUTED_VALUE"""),"Saipos Serviços De Software")</f>
        <v>Saipos Serviços De Software</v>
      </c>
      <c r="R1469" s="33">
        <f>IFERROR(__xludf.DUMMYFUNCTION("""COMPUTED_VALUE"""),0.8333333333333334)</f>
        <v>0.8333333333</v>
      </c>
      <c r="S1469" s="4" t="str">
        <f>IFERROR(__xludf.DUMMYFUNCTION("""COMPUTED_VALUE"""),"Saipos Serviços De Software")</f>
        <v>Saipos Serviços De Software</v>
      </c>
      <c r="T1469" s="33">
        <f>IFERROR(__xludf.DUMMYFUNCTION("""COMPUTED_VALUE"""),0.8333333333333334)</f>
        <v>0.8333333333</v>
      </c>
      <c r="U1469" s="4" t="str">
        <f>IFERROR(__xludf.DUMMYFUNCTION("""COMPUTED_VALUE"""),"Saipos Serviços De Software")</f>
        <v>Saipos Serviços De Software</v>
      </c>
      <c r="V1469" s="33">
        <f>IFERROR(__xludf.DUMMYFUNCTION("""COMPUTED_VALUE"""),0.8333333333333334)</f>
        <v>0.8333333333</v>
      </c>
      <c r="W1469" s="4" t="str">
        <f>IFERROR(__xludf.DUMMYFUNCTION("""COMPUTED_VALUE"""),"Saipos Serviços De Software")</f>
        <v>Saipos Serviços De Software</v>
      </c>
      <c r="X1469" s="33">
        <f>IFERROR(__xludf.DUMMYFUNCTION("""COMPUTED_VALUE"""),0.8333333333333334)</f>
        <v>0.8333333333</v>
      </c>
    </row>
    <row r="1470">
      <c r="K1470" s="4" t="str">
        <f>IFERROR(__xludf.DUMMYFUNCTION("""COMPUTED_VALUE"""),"SHOYU SUSHI DELIVERY - CONTA MARCA")</f>
        <v>SHOYU SUSHI DELIVERY - CONTA MARCA</v>
      </c>
      <c r="L1470" s="32">
        <f>IFERROR(__xludf.DUMMYFUNCTION("""COMPUTED_VALUE"""),6.0)</f>
        <v>6</v>
      </c>
      <c r="M1470" s="4" t="str">
        <f>IFERROR(__xludf.DUMMYFUNCTION("""COMPUTED_VALUE"""),"Saipos Serviços De Software")</f>
        <v>Saipos Serviços De Software</v>
      </c>
      <c r="N1470" s="33">
        <f>IFERROR(__xludf.DUMMYFUNCTION("""COMPUTED_VALUE"""),1.0)</f>
        <v>1</v>
      </c>
      <c r="O1470" s="4" t="str">
        <f>IFERROR(__xludf.DUMMYFUNCTION("""COMPUTED_VALUE"""),"Saipos Serviços De Software")</f>
        <v>Saipos Serviços De Software</v>
      </c>
      <c r="P1470" s="33">
        <f>IFERROR(__xludf.DUMMYFUNCTION("""COMPUTED_VALUE"""),1.0)</f>
        <v>1</v>
      </c>
      <c r="Q1470" s="4" t="str">
        <f>IFERROR(__xludf.DUMMYFUNCTION("""COMPUTED_VALUE"""),"Saipos Serviços De Software")</f>
        <v>Saipos Serviços De Software</v>
      </c>
      <c r="R1470" s="33">
        <f>IFERROR(__xludf.DUMMYFUNCTION("""COMPUTED_VALUE"""),1.0)</f>
        <v>1</v>
      </c>
      <c r="S1470" s="4" t="str">
        <f>IFERROR(__xludf.DUMMYFUNCTION("""COMPUTED_VALUE"""),"Saipos Serviços De Software")</f>
        <v>Saipos Serviços De Software</v>
      </c>
      <c r="T1470" s="33">
        <f>IFERROR(__xludf.DUMMYFUNCTION("""COMPUTED_VALUE"""),1.0)</f>
        <v>1</v>
      </c>
      <c r="U1470" s="4" t="str">
        <f>IFERROR(__xludf.DUMMYFUNCTION("""COMPUTED_VALUE"""),"Saipos Serviços De Software")</f>
        <v>Saipos Serviços De Software</v>
      </c>
      <c r="V1470" s="33">
        <f>IFERROR(__xludf.DUMMYFUNCTION("""COMPUTED_VALUE"""),1.0)</f>
        <v>1</v>
      </c>
      <c r="W1470" s="4" t="str">
        <f>IFERROR(__xludf.DUMMYFUNCTION("""COMPUTED_VALUE"""),"Saipos Serviços De Software")</f>
        <v>Saipos Serviços De Software</v>
      </c>
      <c r="X1470" s="33">
        <f>IFERROR(__xludf.DUMMYFUNCTION("""COMPUTED_VALUE"""),1.0)</f>
        <v>1</v>
      </c>
    </row>
    <row r="1471">
      <c r="K1471" s="4" t="str">
        <f>IFERROR(__xludf.DUMMYFUNCTION("""COMPUTED_VALUE"""),"SO PIZZAS - RONDONIA")</f>
        <v>SO PIZZAS - RONDONIA</v>
      </c>
      <c r="L1471" s="32">
        <f>IFERROR(__xludf.DUMMYFUNCTION("""COMPUTED_VALUE"""),6.0)</f>
        <v>6</v>
      </c>
      <c r="M1471" s="4" t="str">
        <f>IFERROR(__xludf.DUMMYFUNCTION("""COMPUTED_VALUE"""),"Will Express Imports Streaming Servicos Digitais Ltda")</f>
        <v>Will Express Imports Streaming Servicos Digitais Ltda</v>
      </c>
      <c r="N1471" s="33">
        <f>IFERROR(__xludf.DUMMYFUNCTION("""COMPUTED_VALUE"""),0.5)</f>
        <v>0.5</v>
      </c>
      <c r="O1471" s="4" t="str">
        <f>IFERROR(__xludf.DUMMYFUNCTION("""COMPUTED_VALUE"""),"Suitable Tecnologia E Gestao")</f>
        <v>Suitable Tecnologia E Gestao</v>
      </c>
      <c r="P1471" s="33">
        <f>IFERROR(__xludf.DUMMYFUNCTION("""COMPUTED_VALUE"""),0.8333333333333334)</f>
        <v>0.8333333333</v>
      </c>
      <c r="Q1471" s="4" t="str">
        <f>IFERROR(__xludf.DUMMYFUNCTION("""COMPUTED_VALUE"""),"Suitable Tecnologia E Gestao")</f>
        <v>Suitable Tecnologia E Gestao</v>
      </c>
      <c r="R1471" s="33">
        <f>IFERROR(__xludf.DUMMYFUNCTION("""COMPUTED_VALUE"""),0.8333333333333334)</f>
        <v>0.8333333333</v>
      </c>
      <c r="S1471" s="4" t="str">
        <f>IFERROR(__xludf.DUMMYFUNCTION("""COMPUTED_VALUE"""),"Suitable Tecnologia E Gestao")</f>
        <v>Suitable Tecnologia E Gestao</v>
      </c>
      <c r="T1471" s="33">
        <f>IFERROR(__xludf.DUMMYFUNCTION("""COMPUTED_VALUE"""),0.8333333333333334)</f>
        <v>0.8333333333</v>
      </c>
      <c r="U1471" s="4" t="str">
        <f>IFERROR(__xludf.DUMMYFUNCTION("""COMPUTED_VALUE"""),"Suitable Tecnologia E Gestao")</f>
        <v>Suitable Tecnologia E Gestao</v>
      </c>
      <c r="V1471" s="33">
        <f>IFERROR(__xludf.DUMMYFUNCTION("""COMPUTED_VALUE"""),0.6666666666666666)</f>
        <v>0.6666666667</v>
      </c>
      <c r="W1471" s="4" t="str">
        <f>IFERROR(__xludf.DUMMYFUNCTION("""COMPUTED_VALUE"""),"Suitable Tecnologia E Gestao")</f>
        <v>Suitable Tecnologia E Gestao</v>
      </c>
      <c r="X1471" s="33">
        <f>IFERROR(__xludf.DUMMYFUNCTION("""COMPUTED_VALUE"""),0.6666666666666666)</f>
        <v>0.6666666667</v>
      </c>
    </row>
    <row r="1472">
      <c r="K1472" s="4" t="str">
        <f>IFERROR(__xludf.DUMMYFUNCTION("""COMPUTED_VALUE"""),"SPAZIO PIZZA PE")</f>
        <v>SPAZIO PIZZA PE</v>
      </c>
      <c r="L1472" s="32">
        <f>IFERROR(__xludf.DUMMYFUNCTION("""COMPUTED_VALUE"""),6.0)</f>
        <v>6</v>
      </c>
      <c r="M1472" s="4" t="str">
        <f>IFERROR(__xludf.DUMMYFUNCTION("""COMPUTED_VALUE"""),"Saipos Serviços De Software")</f>
        <v>Saipos Serviços De Software</v>
      </c>
      <c r="N1472" s="33">
        <f>IFERROR(__xludf.DUMMYFUNCTION("""COMPUTED_VALUE"""),0.3333333333333333)</f>
        <v>0.3333333333</v>
      </c>
      <c r="O1472" s="4" t="str">
        <f>IFERROR(__xludf.DUMMYFUNCTION("""COMPUTED_VALUE"""),"Saipos Serviços De Software")</f>
        <v>Saipos Serviços De Software</v>
      </c>
      <c r="P1472" s="33">
        <f>IFERROR(__xludf.DUMMYFUNCTION("""COMPUTED_VALUE"""),0.3333333333333333)</f>
        <v>0.3333333333</v>
      </c>
      <c r="Q1472" s="4" t="str">
        <f>IFERROR(__xludf.DUMMYFUNCTION("""COMPUTED_VALUE"""),"Saipos Serviços De Software")</f>
        <v>Saipos Serviços De Software</v>
      </c>
      <c r="R1472" s="33">
        <f>IFERROR(__xludf.DUMMYFUNCTION("""COMPUTED_VALUE"""),0.3333333333333333)</f>
        <v>0.3333333333</v>
      </c>
      <c r="S1472" s="4" t="str">
        <f>IFERROR(__xludf.DUMMYFUNCTION("""COMPUTED_VALUE"""),"Saipos Serviços De Software")</f>
        <v>Saipos Serviços De Software</v>
      </c>
      <c r="T1472" s="33">
        <f>IFERROR(__xludf.DUMMYFUNCTION("""COMPUTED_VALUE"""),0.3333333333333333)</f>
        <v>0.3333333333</v>
      </c>
      <c r="U1472" s="4" t="str">
        <f>IFERROR(__xludf.DUMMYFUNCTION("""COMPUTED_VALUE"""),"Saipos Serviços De Software")</f>
        <v>Saipos Serviços De Software</v>
      </c>
      <c r="V1472" s="33">
        <f>IFERROR(__xludf.DUMMYFUNCTION("""COMPUTED_VALUE"""),0.3333333333333333)</f>
        <v>0.3333333333</v>
      </c>
      <c r="W1472" s="4" t="str">
        <f>IFERROR(__xludf.DUMMYFUNCTION("""COMPUTED_VALUE"""),"Saipos Serviços De Software")</f>
        <v>Saipos Serviços De Software</v>
      </c>
      <c r="X1472" s="33">
        <f>IFERROR(__xludf.DUMMYFUNCTION("""COMPUTED_VALUE"""),0.3333333333333333)</f>
        <v>0.3333333333</v>
      </c>
    </row>
    <row r="1473">
      <c r="K1473" s="4" t="str">
        <f>IFERROR(__xludf.DUMMYFUNCTION("""COMPUTED_VALUE"""),"SPLASH PIZZA")</f>
        <v>SPLASH PIZZA</v>
      </c>
      <c r="L1473" s="32">
        <f>IFERROR(__xludf.DUMMYFUNCTION("""COMPUTED_VALUE"""),6.0)</f>
        <v>6</v>
      </c>
      <c r="M1473" s="4" t="str">
        <f>IFERROR(__xludf.DUMMYFUNCTION("""COMPUTED_VALUE"""),"Saipos Serviços De Software")</f>
        <v>Saipos Serviços De Software</v>
      </c>
      <c r="N1473" s="33">
        <f>IFERROR(__xludf.DUMMYFUNCTION("""COMPUTED_VALUE"""),1.0)</f>
        <v>1</v>
      </c>
      <c r="O1473" s="4" t="str">
        <f>IFERROR(__xludf.DUMMYFUNCTION("""COMPUTED_VALUE"""),"Saipos Serviços De Software")</f>
        <v>Saipos Serviços De Software</v>
      </c>
      <c r="P1473" s="33">
        <f>IFERROR(__xludf.DUMMYFUNCTION("""COMPUTED_VALUE"""),1.0)</f>
        <v>1</v>
      </c>
      <c r="Q1473" s="4" t="str">
        <f>IFERROR(__xludf.DUMMYFUNCTION("""COMPUTED_VALUE"""),"Saipos Serviços De Software")</f>
        <v>Saipos Serviços De Software</v>
      </c>
      <c r="R1473" s="33">
        <f>IFERROR(__xludf.DUMMYFUNCTION("""COMPUTED_VALUE"""),1.0)</f>
        <v>1</v>
      </c>
      <c r="S1473" s="4" t="str">
        <f>IFERROR(__xludf.DUMMYFUNCTION("""COMPUTED_VALUE"""),"Saipos Serviços De Software")</f>
        <v>Saipos Serviços De Software</v>
      </c>
      <c r="T1473" s="33">
        <f>IFERROR(__xludf.DUMMYFUNCTION("""COMPUTED_VALUE"""),1.0)</f>
        <v>1</v>
      </c>
      <c r="U1473" s="4" t="str">
        <f>IFERROR(__xludf.DUMMYFUNCTION("""COMPUTED_VALUE"""),"Saipos Serviços De Software")</f>
        <v>Saipos Serviços De Software</v>
      </c>
      <c r="V1473" s="33">
        <f>IFERROR(__xludf.DUMMYFUNCTION("""COMPUTED_VALUE"""),1.0)</f>
        <v>1</v>
      </c>
      <c r="W1473" s="4" t="str">
        <f>IFERROR(__xludf.DUMMYFUNCTION("""COMPUTED_VALUE"""),"Saipos Serviços De Software")</f>
        <v>Saipos Serviços De Software</v>
      </c>
      <c r="X1473" s="33">
        <f>IFERROR(__xludf.DUMMYFUNCTION("""COMPUTED_VALUE"""),1.0)</f>
        <v>1</v>
      </c>
    </row>
    <row r="1474">
      <c r="K1474" s="4" t="str">
        <f>IFERROR(__xludf.DUMMYFUNCTION("""COMPUTED_VALUE"""),"SR ANTONINI - MARCA")</f>
        <v>SR ANTONINI - MARCA</v>
      </c>
      <c r="L1474" s="32">
        <f>IFERROR(__xludf.DUMMYFUNCTION("""COMPUTED_VALUE"""),6.0)</f>
        <v>6</v>
      </c>
      <c r="M1474" s="4" t="str">
        <f>IFERROR(__xludf.DUMMYFUNCTION("""COMPUTED_VALUE"""),"Cardápio Web")</f>
        <v>Cardápio Web</v>
      </c>
      <c r="N1474" s="33">
        <f>IFERROR(__xludf.DUMMYFUNCTION("""COMPUTED_VALUE"""),1.0)</f>
        <v>1</v>
      </c>
      <c r="O1474" s="4" t="str">
        <f>IFERROR(__xludf.DUMMYFUNCTION("""COMPUTED_VALUE"""),"Cardápio Web")</f>
        <v>Cardápio Web</v>
      </c>
      <c r="P1474" s="33">
        <f>IFERROR(__xludf.DUMMYFUNCTION("""COMPUTED_VALUE"""),1.0)</f>
        <v>1</v>
      </c>
      <c r="Q1474" s="4" t="str">
        <f>IFERROR(__xludf.DUMMYFUNCTION("""COMPUTED_VALUE"""),"Cardápio Web")</f>
        <v>Cardápio Web</v>
      </c>
      <c r="R1474" s="33">
        <f>IFERROR(__xludf.DUMMYFUNCTION("""COMPUTED_VALUE"""),1.0)</f>
        <v>1</v>
      </c>
      <c r="S1474" s="4" t="str">
        <f>IFERROR(__xludf.DUMMYFUNCTION("""COMPUTED_VALUE"""),"Cardápio Web")</f>
        <v>Cardápio Web</v>
      </c>
      <c r="T1474" s="33">
        <f>IFERROR(__xludf.DUMMYFUNCTION("""COMPUTED_VALUE"""),1.0)</f>
        <v>1</v>
      </c>
      <c r="U1474" s="4" t="str">
        <f>IFERROR(__xludf.DUMMYFUNCTION("""COMPUTED_VALUE"""),"null")</f>
        <v>null</v>
      </c>
      <c r="V1474" s="33">
        <f>IFERROR(__xludf.DUMMYFUNCTION("""COMPUTED_VALUE"""),1.0)</f>
        <v>1</v>
      </c>
      <c r="W1474" s="4" t="str">
        <f>IFERROR(__xludf.DUMMYFUNCTION("""COMPUTED_VALUE"""),"null")</f>
        <v>null</v>
      </c>
      <c r="X1474" s="33">
        <f>IFERROR(__xludf.DUMMYFUNCTION("""COMPUTED_VALUE"""),1.0)</f>
        <v>1</v>
      </c>
    </row>
    <row r="1475">
      <c r="K1475" s="4" t="str">
        <f>IFERROR(__xludf.DUMMYFUNCTION("""COMPUTED_VALUE"""),"SUPERMERCADO ESTRELA OESTE PAULISTA - CONTA PAI")</f>
        <v>SUPERMERCADO ESTRELA OESTE PAULISTA - CONTA PAI</v>
      </c>
      <c r="L1475" s="32">
        <f>IFERROR(__xludf.DUMMYFUNCTION("""COMPUTED_VALUE"""),6.0)</f>
        <v>6</v>
      </c>
      <c r="M1475" s="4" t="str">
        <f>IFERROR(__xludf.DUMMYFUNCTION("""COMPUTED_VALUE"""),"N/A (Not found)")</f>
        <v>N/A (Not found)</v>
      </c>
      <c r="N1475" s="33">
        <f>IFERROR(__xludf.DUMMYFUNCTION("""COMPUTED_VALUE"""),1.0)</f>
        <v>1</v>
      </c>
      <c r="O1475" s="4" t="str">
        <f>IFERROR(__xludf.DUMMYFUNCTION("""COMPUTED_VALUE"""),"N/A (Not found)")</f>
        <v>N/A (Not found)</v>
      </c>
      <c r="P1475" s="33">
        <f>IFERROR(__xludf.DUMMYFUNCTION("""COMPUTED_VALUE"""),1.0)</f>
        <v>1</v>
      </c>
      <c r="Q1475" s="4" t="str">
        <f>IFERROR(__xludf.DUMMYFUNCTION("""COMPUTED_VALUE"""),"N/A (Not found)")</f>
        <v>N/A (Not found)</v>
      </c>
      <c r="R1475" s="33">
        <f>IFERROR(__xludf.DUMMYFUNCTION("""COMPUTED_VALUE"""),1.0)</f>
        <v>1</v>
      </c>
      <c r="S1475" s="4" t="str">
        <f>IFERROR(__xludf.DUMMYFUNCTION("""COMPUTED_VALUE"""),"N/A (Not found)")</f>
        <v>N/A (Not found)</v>
      </c>
      <c r="T1475" s="33">
        <f>IFERROR(__xludf.DUMMYFUNCTION("""COMPUTED_VALUE"""),1.0)</f>
        <v>1</v>
      </c>
      <c r="U1475" s="4" t="str">
        <f>IFERROR(__xludf.DUMMYFUNCTION("""COMPUTED_VALUE"""),"N/A (Not found)")</f>
        <v>N/A (Not found)</v>
      </c>
      <c r="V1475" s="33">
        <f>IFERROR(__xludf.DUMMYFUNCTION("""COMPUTED_VALUE"""),1.0)</f>
        <v>1</v>
      </c>
      <c r="W1475" s="4" t="str">
        <f>IFERROR(__xludf.DUMMYFUNCTION("""COMPUTED_VALUE"""),"N/A (Not found)")</f>
        <v>N/A (Not found)</v>
      </c>
      <c r="X1475" s="33">
        <f>IFERROR(__xludf.DUMMYFUNCTION("""COMPUTED_VALUE"""),1.0)</f>
        <v>1</v>
      </c>
    </row>
    <row r="1476">
      <c r="K1476" s="4" t="str">
        <f>IFERROR(__xludf.DUMMYFUNCTION("""COMPUTED_VALUE"""),"SUPERMERCADO JUMA - CONTA MARCA")</f>
        <v>SUPERMERCADO JUMA - CONTA MARCA</v>
      </c>
      <c r="L1476" s="32">
        <f>IFERROR(__xludf.DUMMYFUNCTION("""COMPUTED_VALUE"""),6.0)</f>
        <v>6</v>
      </c>
      <c r="M1476" s="4" t="str">
        <f>IFERROR(__xludf.DUMMYFUNCTION("""COMPUTED_VALUE"""),"N/A (Not found)")</f>
        <v>N/A (Not found)</v>
      </c>
      <c r="N1476" s="33">
        <f>IFERROR(__xludf.DUMMYFUNCTION("""COMPUTED_VALUE"""),1.0)</f>
        <v>1</v>
      </c>
      <c r="O1476" s="4" t="str">
        <f>IFERROR(__xludf.DUMMYFUNCTION("""COMPUTED_VALUE"""),"N/A (Not found)")</f>
        <v>N/A (Not found)</v>
      </c>
      <c r="P1476" s="33">
        <f>IFERROR(__xludf.DUMMYFUNCTION("""COMPUTED_VALUE"""),1.0)</f>
        <v>1</v>
      </c>
      <c r="Q1476" s="4" t="str">
        <f>IFERROR(__xludf.DUMMYFUNCTION("""COMPUTED_VALUE"""),"N/A (Not found)")</f>
        <v>N/A (Not found)</v>
      </c>
      <c r="R1476" s="33">
        <f>IFERROR(__xludf.DUMMYFUNCTION("""COMPUTED_VALUE"""),1.0)</f>
        <v>1</v>
      </c>
      <c r="S1476" s="4" t="str">
        <f>IFERROR(__xludf.DUMMYFUNCTION("""COMPUTED_VALUE"""),"N/A (Not found)")</f>
        <v>N/A (Not found)</v>
      </c>
      <c r="T1476" s="33">
        <f>IFERROR(__xludf.DUMMYFUNCTION("""COMPUTED_VALUE"""),1.0)</f>
        <v>1</v>
      </c>
      <c r="U1476" s="4" t="str">
        <f>IFERROR(__xludf.DUMMYFUNCTION("""COMPUTED_VALUE"""),"N/A (Not found)")</f>
        <v>N/A (Not found)</v>
      </c>
      <c r="V1476" s="33">
        <f>IFERROR(__xludf.DUMMYFUNCTION("""COMPUTED_VALUE"""),1.0)</f>
        <v>1</v>
      </c>
      <c r="W1476" s="4" t="str">
        <f>IFERROR(__xludf.DUMMYFUNCTION("""COMPUTED_VALUE"""),"N/A (Not found)")</f>
        <v>N/A (Not found)</v>
      </c>
      <c r="X1476" s="33">
        <f>IFERROR(__xludf.DUMMYFUNCTION("""COMPUTED_VALUE"""),1.0)</f>
        <v>1</v>
      </c>
    </row>
    <row r="1477">
      <c r="K1477" s="4" t="str">
        <f>IFERROR(__xludf.DUMMYFUNCTION("""COMPUTED_VALUE"""),"SUPERMERCADO VILA DAS FRUTAS - CONTA PAI")</f>
        <v>SUPERMERCADO VILA DAS FRUTAS - CONTA PAI</v>
      </c>
      <c r="L1477" s="32">
        <f>IFERROR(__xludf.DUMMYFUNCTION("""COMPUTED_VALUE"""),6.0)</f>
        <v>6</v>
      </c>
      <c r="M1477" s="4" t="str">
        <f>IFERROR(__xludf.DUMMYFUNCTION("""COMPUTED_VALUE"""),"N/A (Not found)")</f>
        <v>N/A (Not found)</v>
      </c>
      <c r="N1477" s="33">
        <f>IFERROR(__xludf.DUMMYFUNCTION("""COMPUTED_VALUE"""),1.0)</f>
        <v>1</v>
      </c>
      <c r="O1477" s="4" t="str">
        <f>IFERROR(__xludf.DUMMYFUNCTION("""COMPUTED_VALUE"""),"N/A (Not found)")</f>
        <v>N/A (Not found)</v>
      </c>
      <c r="P1477" s="33">
        <f>IFERROR(__xludf.DUMMYFUNCTION("""COMPUTED_VALUE"""),1.0)</f>
        <v>1</v>
      </c>
      <c r="Q1477" s="4" t="str">
        <f>IFERROR(__xludf.DUMMYFUNCTION("""COMPUTED_VALUE"""),"N/A (Not found)")</f>
        <v>N/A (Not found)</v>
      </c>
      <c r="R1477" s="33">
        <f>IFERROR(__xludf.DUMMYFUNCTION("""COMPUTED_VALUE"""),1.0)</f>
        <v>1</v>
      </c>
      <c r="S1477" s="4" t="str">
        <f>IFERROR(__xludf.DUMMYFUNCTION("""COMPUTED_VALUE"""),"N/A (Not found)")</f>
        <v>N/A (Not found)</v>
      </c>
      <c r="T1477" s="33">
        <f>IFERROR(__xludf.DUMMYFUNCTION("""COMPUTED_VALUE"""),1.0)</f>
        <v>1</v>
      </c>
      <c r="U1477" s="4" t="str">
        <f>IFERROR(__xludf.DUMMYFUNCTION("""COMPUTED_VALUE"""),"N/A (Not found)")</f>
        <v>N/A (Not found)</v>
      </c>
      <c r="V1477" s="33">
        <f>IFERROR(__xludf.DUMMYFUNCTION("""COMPUTED_VALUE"""),1.0)</f>
        <v>1</v>
      </c>
      <c r="W1477" s="4" t="str">
        <f>IFERROR(__xludf.DUMMYFUNCTION("""COMPUTED_VALUE"""),"N/A (Not found)")</f>
        <v>N/A (Not found)</v>
      </c>
      <c r="X1477" s="33">
        <f>IFERROR(__xludf.DUMMYFUNCTION("""COMPUTED_VALUE"""),1.0)</f>
        <v>1</v>
      </c>
    </row>
    <row r="1478">
      <c r="K1478" s="4" t="str">
        <f>IFERROR(__xludf.DUMMYFUNCTION("""COMPUTED_VALUE"""),"SUPERTEM - CONTA MARCA")</f>
        <v>SUPERTEM - CONTA MARCA</v>
      </c>
      <c r="L1478" s="32">
        <f>IFERROR(__xludf.DUMMYFUNCTION("""COMPUTED_VALUE"""),6.0)</f>
        <v>6</v>
      </c>
      <c r="M1478" s="4" t="str">
        <f>IFERROR(__xludf.DUMMYFUNCTION("""COMPUTED_VALUE"""),"N/A (Not found)")</f>
        <v>N/A (Not found)</v>
      </c>
      <c r="N1478" s="33">
        <f>IFERROR(__xludf.DUMMYFUNCTION("""COMPUTED_VALUE"""),0.8333333333333334)</f>
        <v>0.8333333333</v>
      </c>
      <c r="O1478" s="4" t="str">
        <f>IFERROR(__xludf.DUMMYFUNCTION("""COMPUTED_VALUE"""),"N/A (Not found)")</f>
        <v>N/A (Not found)</v>
      </c>
      <c r="P1478" s="33">
        <f>IFERROR(__xludf.DUMMYFUNCTION("""COMPUTED_VALUE"""),0.8333333333333334)</f>
        <v>0.8333333333</v>
      </c>
      <c r="Q1478" s="4" t="str">
        <f>IFERROR(__xludf.DUMMYFUNCTION("""COMPUTED_VALUE"""),"N/A (Not found)")</f>
        <v>N/A (Not found)</v>
      </c>
      <c r="R1478" s="33">
        <f>IFERROR(__xludf.DUMMYFUNCTION("""COMPUTED_VALUE"""),0.8333333333333334)</f>
        <v>0.8333333333</v>
      </c>
      <c r="S1478" s="4" t="str">
        <f>IFERROR(__xludf.DUMMYFUNCTION("""COMPUTED_VALUE"""),"N/A (Not found)")</f>
        <v>N/A (Not found)</v>
      </c>
      <c r="T1478" s="33">
        <f>IFERROR(__xludf.DUMMYFUNCTION("""COMPUTED_VALUE"""),0.8333333333333334)</f>
        <v>0.8333333333</v>
      </c>
      <c r="U1478" s="4" t="str">
        <f>IFERROR(__xludf.DUMMYFUNCTION("""COMPUTED_VALUE"""),"N/A (Not found)")</f>
        <v>N/A (Not found)</v>
      </c>
      <c r="V1478" s="33">
        <f>IFERROR(__xludf.DUMMYFUNCTION("""COMPUTED_VALUE"""),1.0)</f>
        <v>1</v>
      </c>
      <c r="W1478" s="4" t="str">
        <f>IFERROR(__xludf.DUMMYFUNCTION("""COMPUTED_VALUE"""),"N/A (Not found)")</f>
        <v>N/A (Not found)</v>
      </c>
      <c r="X1478" s="33">
        <f>IFERROR(__xludf.DUMMYFUNCTION("""COMPUTED_VALUE"""),1.0)</f>
        <v>1</v>
      </c>
    </row>
    <row r="1479">
      <c r="K1479" s="4" t="str">
        <f>IFERROR(__xludf.DUMMYFUNCTION("""COMPUTED_VALUE"""),"SUSHI HEALTHY")</f>
        <v>SUSHI HEALTHY</v>
      </c>
      <c r="L1479" s="32">
        <f>IFERROR(__xludf.DUMMYFUNCTION("""COMPUTED_VALUE"""),6.0)</f>
        <v>6</v>
      </c>
      <c r="M1479" s="4" t="str">
        <f>IFERROR(__xludf.DUMMYFUNCTION("""COMPUTED_VALUE"""),"Cardápio Web")</f>
        <v>Cardápio Web</v>
      </c>
      <c r="N1479" s="33">
        <f>IFERROR(__xludf.DUMMYFUNCTION("""COMPUTED_VALUE"""),1.0)</f>
        <v>1</v>
      </c>
      <c r="O1479" s="4" t="str">
        <f>IFERROR(__xludf.DUMMYFUNCTION("""COMPUTED_VALUE"""),"Cardápio Web")</f>
        <v>Cardápio Web</v>
      </c>
      <c r="P1479" s="33">
        <f>IFERROR(__xludf.DUMMYFUNCTION("""COMPUTED_VALUE"""),1.0)</f>
        <v>1</v>
      </c>
      <c r="Q1479" s="4" t="str">
        <f>IFERROR(__xludf.DUMMYFUNCTION("""COMPUTED_VALUE"""),"Cardápio Web")</f>
        <v>Cardápio Web</v>
      </c>
      <c r="R1479" s="33">
        <f>IFERROR(__xludf.DUMMYFUNCTION("""COMPUTED_VALUE"""),1.0)</f>
        <v>1</v>
      </c>
      <c r="S1479" s="4" t="str">
        <f>IFERROR(__xludf.DUMMYFUNCTION("""COMPUTED_VALUE"""),"Cardápio Web")</f>
        <v>Cardápio Web</v>
      </c>
      <c r="T1479" s="33">
        <f>IFERROR(__xludf.DUMMYFUNCTION("""COMPUTED_VALUE"""),1.0)</f>
        <v>1</v>
      </c>
      <c r="U1479" s="4" t="str">
        <f>IFERROR(__xludf.DUMMYFUNCTION("""COMPUTED_VALUE"""),"Cardápio Web")</f>
        <v>Cardápio Web</v>
      </c>
      <c r="V1479" s="33">
        <f>IFERROR(__xludf.DUMMYFUNCTION("""COMPUTED_VALUE"""),1.0)</f>
        <v>1</v>
      </c>
      <c r="W1479" s="4" t="str">
        <f>IFERROR(__xludf.DUMMYFUNCTION("""COMPUTED_VALUE"""),"Cardápio Web")</f>
        <v>Cardápio Web</v>
      </c>
      <c r="X1479" s="33">
        <f>IFERROR(__xludf.DUMMYFUNCTION("""COMPUTED_VALUE"""),1.0)</f>
        <v>1</v>
      </c>
    </row>
    <row r="1480">
      <c r="K1480" s="4" t="str">
        <f>IFERROR(__xludf.DUMMYFUNCTION("""COMPUTED_VALUE"""),"SUSHI NAJUKA - MARCA")</f>
        <v>SUSHI NAJUKA - MARCA</v>
      </c>
      <c r="L1480" s="32">
        <f>IFERROR(__xludf.DUMMYFUNCTION("""COMPUTED_VALUE"""),6.0)</f>
        <v>6</v>
      </c>
      <c r="M1480" s="4" t="str">
        <f>IFERROR(__xludf.DUMMYFUNCTION("""COMPUTED_VALUE"""),"null")</f>
        <v>null</v>
      </c>
      <c r="N1480" s="33">
        <f>IFERROR(__xludf.DUMMYFUNCTION("""COMPUTED_VALUE"""),0.5)</f>
        <v>0.5</v>
      </c>
      <c r="O1480" s="4" t="str">
        <f>IFERROR(__xludf.DUMMYFUNCTION("""COMPUTED_VALUE"""),"null")</f>
        <v>null</v>
      </c>
      <c r="P1480" s="33">
        <f>IFERROR(__xludf.DUMMYFUNCTION("""COMPUTED_VALUE"""),0.5)</f>
        <v>0.5</v>
      </c>
      <c r="Q1480" s="4" t="str">
        <f>IFERROR(__xludf.DUMMYFUNCTION("""COMPUTED_VALUE"""),"null")</f>
        <v>null</v>
      </c>
      <c r="R1480" s="33">
        <f>IFERROR(__xludf.DUMMYFUNCTION("""COMPUTED_VALUE"""),0.5)</f>
        <v>0.5</v>
      </c>
      <c r="S1480" s="4" t="str">
        <f>IFERROR(__xludf.DUMMYFUNCTION("""COMPUTED_VALUE"""),"null")</f>
        <v>null</v>
      </c>
      <c r="T1480" s="33">
        <f>IFERROR(__xludf.DUMMYFUNCTION("""COMPUTED_VALUE"""),0.5)</f>
        <v>0.5</v>
      </c>
      <c r="U1480" s="4" t="str">
        <f>IFERROR(__xludf.DUMMYFUNCTION("""COMPUTED_VALUE"""),"null")</f>
        <v>null</v>
      </c>
      <c r="V1480" s="33">
        <f>IFERROR(__xludf.DUMMYFUNCTION("""COMPUTED_VALUE"""),0.5)</f>
        <v>0.5</v>
      </c>
      <c r="W1480" s="4" t="str">
        <f>IFERROR(__xludf.DUMMYFUNCTION("""COMPUTED_VALUE"""),"Cardápio Web")</f>
        <v>Cardápio Web</v>
      </c>
      <c r="X1480" s="33">
        <f>IFERROR(__xludf.DUMMYFUNCTION("""COMPUTED_VALUE"""),1.0)</f>
        <v>1</v>
      </c>
    </row>
    <row r="1481">
      <c r="K1481" s="4" t="str">
        <f>IFERROR(__xludf.DUMMYFUNCTION("""COMPUTED_VALUE"""),"SUSHICHIC")</f>
        <v>SUSHICHIC</v>
      </c>
      <c r="L1481" s="32">
        <f>IFERROR(__xludf.DUMMYFUNCTION("""COMPUTED_VALUE"""),6.0)</f>
        <v>6</v>
      </c>
      <c r="M1481" s="4" t="str">
        <f>IFERROR(__xludf.DUMMYFUNCTION("""COMPUTED_VALUE"""),"null")</f>
        <v>null</v>
      </c>
      <c r="N1481" s="33">
        <f>IFERROR(__xludf.DUMMYFUNCTION("""COMPUTED_VALUE"""),0.5)</f>
        <v>0.5</v>
      </c>
      <c r="O1481" s="4" t="str">
        <f>IFERROR(__xludf.DUMMYFUNCTION("""COMPUTED_VALUE"""),"null")</f>
        <v>null</v>
      </c>
      <c r="P1481" s="33">
        <f>IFERROR(__xludf.DUMMYFUNCTION("""COMPUTED_VALUE"""),0.6666666666666666)</f>
        <v>0.6666666667</v>
      </c>
      <c r="Q1481" s="4" t="str">
        <f>IFERROR(__xludf.DUMMYFUNCTION("""COMPUTED_VALUE"""),"null")</f>
        <v>null</v>
      </c>
      <c r="R1481" s="33">
        <f>IFERROR(__xludf.DUMMYFUNCTION("""COMPUTED_VALUE"""),0.5)</f>
        <v>0.5</v>
      </c>
      <c r="S1481" s="4" t="str">
        <f>IFERROR(__xludf.DUMMYFUNCTION("""COMPUTED_VALUE"""),"null")</f>
        <v>null</v>
      </c>
      <c r="T1481" s="33">
        <f>IFERROR(__xludf.DUMMYFUNCTION("""COMPUTED_VALUE"""),0.6666666666666666)</f>
        <v>0.6666666667</v>
      </c>
      <c r="U1481" s="4" t="str">
        <f>IFERROR(__xludf.DUMMYFUNCTION("""COMPUTED_VALUE"""),"null")</f>
        <v>null</v>
      </c>
      <c r="V1481" s="33">
        <f>IFERROR(__xludf.DUMMYFUNCTION("""COMPUTED_VALUE"""),0.6666666666666666)</f>
        <v>0.6666666667</v>
      </c>
      <c r="W1481" s="4" t="str">
        <f>IFERROR(__xludf.DUMMYFUNCTION("""COMPUTED_VALUE"""),"Saipos Serviços De Software")</f>
        <v>Saipos Serviços De Software</v>
      </c>
      <c r="X1481" s="33">
        <f>IFERROR(__xludf.DUMMYFUNCTION("""COMPUTED_VALUE"""),0.8333333333333334)</f>
        <v>0.8333333333</v>
      </c>
    </row>
    <row r="1482">
      <c r="K1482" s="4" t="str">
        <f>IFERROR(__xludf.DUMMYFUNCTION("""COMPUTED_VALUE"""),"TEMPERO DA MAMA - CONTA MARCA")</f>
        <v>TEMPERO DA MAMA - CONTA MARCA</v>
      </c>
      <c r="L1482" s="32">
        <f>IFERROR(__xludf.DUMMYFUNCTION("""COMPUTED_VALUE"""),6.0)</f>
        <v>6</v>
      </c>
      <c r="M1482" s="4" t="str">
        <f>IFERROR(__xludf.DUMMYFUNCTION("""COMPUTED_VALUE"""),"Saipos Serviços De Software")</f>
        <v>Saipos Serviços De Software</v>
      </c>
      <c r="N1482" s="33">
        <f>IFERROR(__xludf.DUMMYFUNCTION("""COMPUTED_VALUE"""),1.0)</f>
        <v>1</v>
      </c>
      <c r="O1482" s="4" t="str">
        <f>IFERROR(__xludf.DUMMYFUNCTION("""COMPUTED_VALUE"""),"Saipos Serviços De Software")</f>
        <v>Saipos Serviços De Software</v>
      </c>
      <c r="P1482" s="33">
        <f>IFERROR(__xludf.DUMMYFUNCTION("""COMPUTED_VALUE"""),1.0)</f>
        <v>1</v>
      </c>
      <c r="Q1482" s="4" t="str">
        <f>IFERROR(__xludf.DUMMYFUNCTION("""COMPUTED_VALUE"""),"Saipos Serviços De Software")</f>
        <v>Saipos Serviços De Software</v>
      </c>
      <c r="R1482" s="33">
        <f>IFERROR(__xludf.DUMMYFUNCTION("""COMPUTED_VALUE"""),1.0)</f>
        <v>1</v>
      </c>
      <c r="S1482" s="4" t="str">
        <f>IFERROR(__xludf.DUMMYFUNCTION("""COMPUTED_VALUE"""),"Saipos Serviços De Software")</f>
        <v>Saipos Serviços De Software</v>
      </c>
      <c r="T1482" s="33">
        <f>IFERROR(__xludf.DUMMYFUNCTION("""COMPUTED_VALUE"""),1.0)</f>
        <v>1</v>
      </c>
      <c r="U1482" s="4" t="str">
        <f>IFERROR(__xludf.DUMMYFUNCTION("""COMPUTED_VALUE"""),"Saipos Serviços De Software")</f>
        <v>Saipos Serviços De Software</v>
      </c>
      <c r="V1482" s="33">
        <f>IFERROR(__xludf.DUMMYFUNCTION("""COMPUTED_VALUE"""),1.0)</f>
        <v>1</v>
      </c>
      <c r="W1482" s="4" t="str">
        <f>IFERROR(__xludf.DUMMYFUNCTION("""COMPUTED_VALUE"""),"Saipos Serviços De Software")</f>
        <v>Saipos Serviços De Software</v>
      </c>
      <c r="X1482" s="33">
        <f>IFERROR(__xludf.DUMMYFUNCTION("""COMPUTED_VALUE"""),1.0)</f>
        <v>1</v>
      </c>
    </row>
    <row r="1483">
      <c r="K1483" s="4" t="str">
        <f>IFERROR(__xludf.DUMMYFUNCTION("""COMPUTED_VALUE"""),"THE CHEFS HAMBURGUERIA - CONTA MARCA")</f>
        <v>THE CHEFS HAMBURGUERIA - CONTA MARCA</v>
      </c>
      <c r="L1483" s="32">
        <f>IFERROR(__xludf.DUMMYFUNCTION("""COMPUTED_VALUE"""),6.0)</f>
        <v>6</v>
      </c>
      <c r="M1483" s="4" t="str">
        <f>IFERROR(__xludf.DUMMYFUNCTION("""COMPUTED_VALUE"""),"Saipos Serviços De Software")</f>
        <v>Saipos Serviços De Software</v>
      </c>
      <c r="N1483" s="33">
        <f>IFERROR(__xludf.DUMMYFUNCTION("""COMPUTED_VALUE"""),1.0)</f>
        <v>1</v>
      </c>
      <c r="O1483" s="4" t="str">
        <f>IFERROR(__xludf.DUMMYFUNCTION("""COMPUTED_VALUE"""),"Saipos Serviços De Software")</f>
        <v>Saipos Serviços De Software</v>
      </c>
      <c r="P1483" s="33">
        <f>IFERROR(__xludf.DUMMYFUNCTION("""COMPUTED_VALUE"""),1.0)</f>
        <v>1</v>
      </c>
      <c r="Q1483" s="4" t="str">
        <f>IFERROR(__xludf.DUMMYFUNCTION("""COMPUTED_VALUE"""),"Saipos Serviços De Software")</f>
        <v>Saipos Serviços De Software</v>
      </c>
      <c r="R1483" s="33">
        <f>IFERROR(__xludf.DUMMYFUNCTION("""COMPUTED_VALUE"""),1.0)</f>
        <v>1</v>
      </c>
      <c r="S1483" s="4" t="str">
        <f>IFERROR(__xludf.DUMMYFUNCTION("""COMPUTED_VALUE"""),"Saipos Serviços De Software")</f>
        <v>Saipos Serviços De Software</v>
      </c>
      <c r="T1483" s="33">
        <f>IFERROR(__xludf.DUMMYFUNCTION("""COMPUTED_VALUE"""),1.0)</f>
        <v>1</v>
      </c>
      <c r="U1483" s="4" t="str">
        <f>IFERROR(__xludf.DUMMYFUNCTION("""COMPUTED_VALUE"""),"Saipos Serviços De Software")</f>
        <v>Saipos Serviços De Software</v>
      </c>
      <c r="V1483" s="33">
        <f>IFERROR(__xludf.DUMMYFUNCTION("""COMPUTED_VALUE"""),1.0)</f>
        <v>1</v>
      </c>
      <c r="W1483" s="4" t="str">
        <f>IFERROR(__xludf.DUMMYFUNCTION("""COMPUTED_VALUE"""),"Saipos Serviços De Software")</f>
        <v>Saipos Serviços De Software</v>
      </c>
      <c r="X1483" s="33">
        <f>IFERROR(__xludf.DUMMYFUNCTION("""COMPUTED_VALUE"""),1.0)</f>
        <v>1</v>
      </c>
    </row>
    <row r="1484">
      <c r="K1484" s="4" t="str">
        <f>IFERROR(__xludf.DUMMYFUNCTION("""COMPUTED_VALUE"""),"THE DOG SAPOPEMBA - MARCA")</f>
        <v>THE DOG SAPOPEMBA - MARCA</v>
      </c>
      <c r="L1484" s="32">
        <f>IFERROR(__xludf.DUMMYFUNCTION("""COMPUTED_VALUE"""),6.0)</f>
        <v>6</v>
      </c>
      <c r="M1484" s="4" t="str">
        <f>IFERROR(__xludf.DUMMYFUNCTION("""COMPUTED_VALUE"""),"N/A (Not found)")</f>
        <v>N/A (Not found)</v>
      </c>
      <c r="N1484" s="33">
        <f>IFERROR(__xludf.DUMMYFUNCTION("""COMPUTED_VALUE"""),1.0)</f>
        <v>1</v>
      </c>
      <c r="O1484" s="4" t="str">
        <f>IFERROR(__xludf.DUMMYFUNCTION("""COMPUTED_VALUE"""),"N/A (Not found)")</f>
        <v>N/A (Not found)</v>
      </c>
      <c r="P1484" s="33">
        <f>IFERROR(__xludf.DUMMYFUNCTION("""COMPUTED_VALUE"""),1.0)</f>
        <v>1</v>
      </c>
      <c r="Q1484" s="4" t="str">
        <f>IFERROR(__xludf.DUMMYFUNCTION("""COMPUTED_VALUE"""),"N/A (Not found)")</f>
        <v>N/A (Not found)</v>
      </c>
      <c r="R1484" s="33">
        <f>IFERROR(__xludf.DUMMYFUNCTION("""COMPUTED_VALUE"""),1.0)</f>
        <v>1</v>
      </c>
      <c r="S1484" s="4" t="str">
        <f>IFERROR(__xludf.DUMMYFUNCTION("""COMPUTED_VALUE"""),"N/A (Not found)")</f>
        <v>N/A (Not found)</v>
      </c>
      <c r="T1484" s="33">
        <f>IFERROR(__xludf.DUMMYFUNCTION("""COMPUTED_VALUE"""),1.0)</f>
        <v>1</v>
      </c>
      <c r="U1484" s="4" t="str">
        <f>IFERROR(__xludf.DUMMYFUNCTION("""COMPUTED_VALUE"""),"N/A (Not found)")</f>
        <v>N/A (Not found)</v>
      </c>
      <c r="V1484" s="33">
        <f>IFERROR(__xludf.DUMMYFUNCTION("""COMPUTED_VALUE"""),1.0)</f>
        <v>1</v>
      </c>
      <c r="W1484" s="4" t="str">
        <f>IFERROR(__xludf.DUMMYFUNCTION("""COMPUTED_VALUE"""),"N/A (Not found)")</f>
        <v>N/A (Not found)</v>
      </c>
      <c r="X1484" s="33">
        <f>IFERROR(__xludf.DUMMYFUNCTION("""COMPUTED_VALUE"""),1.0)</f>
        <v>1</v>
      </c>
    </row>
    <row r="1485">
      <c r="K1485" s="4" t="str">
        <f>IFERROR(__xludf.DUMMYFUNCTION("""COMPUTED_VALUE"""),"THE POKE - CONTA MARCA")</f>
        <v>THE POKE - CONTA MARCA</v>
      </c>
      <c r="L1485" s="32">
        <f>IFERROR(__xludf.DUMMYFUNCTION("""COMPUTED_VALUE"""),6.0)</f>
        <v>6</v>
      </c>
      <c r="M1485" s="4" t="str">
        <f>IFERROR(__xludf.DUMMYFUNCTION("""COMPUTED_VALUE"""),"Teknisa Service Ltda")</f>
        <v>Teknisa Service Ltda</v>
      </c>
      <c r="N1485" s="33">
        <f>IFERROR(__xludf.DUMMYFUNCTION("""COMPUTED_VALUE"""),0.5)</f>
        <v>0.5</v>
      </c>
      <c r="O1485" s="4" t="str">
        <f>IFERROR(__xludf.DUMMYFUNCTION("""COMPUTED_VALUE"""),"Teknisa Service Ltda")</f>
        <v>Teknisa Service Ltda</v>
      </c>
      <c r="P1485" s="33">
        <f>IFERROR(__xludf.DUMMYFUNCTION("""COMPUTED_VALUE"""),0.5)</f>
        <v>0.5</v>
      </c>
      <c r="Q1485" s="4" t="str">
        <f>IFERROR(__xludf.DUMMYFUNCTION("""COMPUTED_VALUE"""),"Teknisa Service Ltda")</f>
        <v>Teknisa Service Ltda</v>
      </c>
      <c r="R1485" s="33">
        <f>IFERROR(__xludf.DUMMYFUNCTION("""COMPUTED_VALUE"""),0.5)</f>
        <v>0.5</v>
      </c>
      <c r="S1485" s="4" t="str">
        <f>IFERROR(__xludf.DUMMYFUNCTION("""COMPUTED_VALUE"""),"Teknisa Service Ltda")</f>
        <v>Teknisa Service Ltda</v>
      </c>
      <c r="T1485" s="33">
        <f>IFERROR(__xludf.DUMMYFUNCTION("""COMPUTED_VALUE"""),0.5)</f>
        <v>0.5</v>
      </c>
      <c r="U1485" s="4" t="str">
        <f>IFERROR(__xludf.DUMMYFUNCTION("""COMPUTED_VALUE"""),"Teknisa Service Ltda")</f>
        <v>Teknisa Service Ltda</v>
      </c>
      <c r="V1485" s="33">
        <f>IFERROR(__xludf.DUMMYFUNCTION("""COMPUTED_VALUE"""),0.5)</f>
        <v>0.5</v>
      </c>
      <c r="W1485" s="4" t="str">
        <f>IFERROR(__xludf.DUMMYFUNCTION("""COMPUTED_VALUE"""),"Teknisa Service Ltda")</f>
        <v>Teknisa Service Ltda</v>
      </c>
      <c r="X1485" s="33">
        <f>IFERROR(__xludf.DUMMYFUNCTION("""COMPUTED_VALUE"""),0.5)</f>
        <v>0.5</v>
      </c>
    </row>
    <row r="1486">
      <c r="K1486" s="4" t="str">
        <f>IFERROR(__xludf.DUMMYFUNCTION("""COMPUTED_VALUE"""),"TOMAZ E JAYME- CULINARIA DO PARA")</f>
        <v>TOMAZ E JAYME- CULINARIA DO PARA</v>
      </c>
      <c r="L1486" s="32">
        <f>IFERROR(__xludf.DUMMYFUNCTION("""COMPUTED_VALUE"""),6.0)</f>
        <v>6</v>
      </c>
      <c r="M1486" s="4" t="str">
        <f>IFERROR(__xludf.DUMMYFUNCTION("""COMPUTED_VALUE"""),"Swfast Sistemas")</f>
        <v>Swfast Sistemas</v>
      </c>
      <c r="N1486" s="33">
        <f>IFERROR(__xludf.DUMMYFUNCTION("""COMPUTED_VALUE"""),0.8333333333333334)</f>
        <v>0.8333333333</v>
      </c>
      <c r="O1486" s="4" t="str">
        <f>IFERROR(__xludf.DUMMYFUNCTION("""COMPUTED_VALUE"""),"Swfast Sistemas")</f>
        <v>Swfast Sistemas</v>
      </c>
      <c r="P1486" s="33">
        <f>IFERROR(__xludf.DUMMYFUNCTION("""COMPUTED_VALUE"""),0.8333333333333334)</f>
        <v>0.8333333333</v>
      </c>
      <c r="Q1486" s="4" t="str">
        <f>IFERROR(__xludf.DUMMYFUNCTION("""COMPUTED_VALUE"""),"Swfast Sistemas")</f>
        <v>Swfast Sistemas</v>
      </c>
      <c r="R1486" s="33">
        <f>IFERROR(__xludf.DUMMYFUNCTION("""COMPUTED_VALUE"""),0.8333333333333334)</f>
        <v>0.8333333333</v>
      </c>
      <c r="S1486" s="4" t="str">
        <f>IFERROR(__xludf.DUMMYFUNCTION("""COMPUTED_VALUE"""),"Swfast Sistemas")</f>
        <v>Swfast Sistemas</v>
      </c>
      <c r="T1486" s="33">
        <f>IFERROR(__xludf.DUMMYFUNCTION("""COMPUTED_VALUE"""),0.6666666666666666)</f>
        <v>0.6666666667</v>
      </c>
      <c r="U1486" s="4" t="str">
        <f>IFERROR(__xludf.DUMMYFUNCTION("""COMPUTED_VALUE"""),"Swfast Sistemas")</f>
        <v>Swfast Sistemas</v>
      </c>
      <c r="V1486" s="33">
        <f>IFERROR(__xludf.DUMMYFUNCTION("""COMPUTED_VALUE"""),0.6666666666666666)</f>
        <v>0.6666666667</v>
      </c>
      <c r="W1486" s="4" t="str">
        <f>IFERROR(__xludf.DUMMYFUNCTION("""COMPUTED_VALUE"""),"Swfast Sistemas")</f>
        <v>Swfast Sistemas</v>
      </c>
      <c r="X1486" s="33">
        <f>IFERROR(__xludf.DUMMYFUNCTION("""COMPUTED_VALUE"""),1.0)</f>
        <v>1</v>
      </c>
    </row>
    <row r="1487">
      <c r="K1487" s="4" t="str">
        <f>IFERROR(__xludf.DUMMYFUNCTION("""COMPUTED_VALUE"""),"TOP FROZEN AM")</f>
        <v>TOP FROZEN AM</v>
      </c>
      <c r="L1487" s="32">
        <f>IFERROR(__xludf.DUMMYFUNCTION("""COMPUTED_VALUE"""),6.0)</f>
        <v>6</v>
      </c>
      <c r="M1487" s="4" t="str">
        <f>IFERROR(__xludf.DUMMYFUNCTION("""COMPUTED_VALUE"""),"Grandchef Desenvolvimento De Sistemas Ltda")</f>
        <v>Grandchef Desenvolvimento De Sistemas Ltda</v>
      </c>
      <c r="N1487" s="33">
        <f>IFERROR(__xludf.DUMMYFUNCTION("""COMPUTED_VALUE"""),0.5)</f>
        <v>0.5</v>
      </c>
      <c r="O1487" s="4" t="str">
        <f>IFERROR(__xludf.DUMMYFUNCTION("""COMPUTED_VALUE"""),"Grandchef Desenvolvimento De Sistemas Ltda")</f>
        <v>Grandchef Desenvolvimento De Sistemas Ltda</v>
      </c>
      <c r="P1487" s="33">
        <f>IFERROR(__xludf.DUMMYFUNCTION("""COMPUTED_VALUE"""),0.5)</f>
        <v>0.5</v>
      </c>
      <c r="Q1487" s="4" t="str">
        <f>IFERROR(__xludf.DUMMYFUNCTION("""COMPUTED_VALUE"""),"null")</f>
        <v>null</v>
      </c>
      <c r="R1487" s="33">
        <f>IFERROR(__xludf.DUMMYFUNCTION("""COMPUTED_VALUE"""),0.6666666666666666)</f>
        <v>0.6666666667</v>
      </c>
      <c r="S1487" s="4" t="str">
        <f>IFERROR(__xludf.DUMMYFUNCTION("""COMPUTED_VALUE"""),"null")</f>
        <v>null</v>
      </c>
      <c r="T1487" s="33">
        <f>IFERROR(__xludf.DUMMYFUNCTION("""COMPUTED_VALUE"""),0.6666666666666666)</f>
        <v>0.6666666667</v>
      </c>
      <c r="U1487" s="4" t="str">
        <f>IFERROR(__xludf.DUMMYFUNCTION("""COMPUTED_VALUE"""),"Grandchef Desenvolvimento De Sistemas Ltda")</f>
        <v>Grandchef Desenvolvimento De Sistemas Ltda</v>
      </c>
      <c r="V1487" s="33">
        <f>IFERROR(__xludf.DUMMYFUNCTION("""COMPUTED_VALUE"""),0.5)</f>
        <v>0.5</v>
      </c>
      <c r="W1487" s="4" t="str">
        <f>IFERROR(__xludf.DUMMYFUNCTION("""COMPUTED_VALUE"""),"null")</f>
        <v>null</v>
      </c>
      <c r="X1487" s="33">
        <f>IFERROR(__xludf.DUMMYFUNCTION("""COMPUTED_VALUE"""),0.5)</f>
        <v>0.5</v>
      </c>
    </row>
    <row r="1488">
      <c r="K1488" s="4" t="str">
        <f>IFERROR(__xludf.DUMMYFUNCTION("""COMPUTED_VALUE"""),"TORTELLE ESFIHARIA")</f>
        <v>TORTELLE ESFIHARIA</v>
      </c>
      <c r="L1488" s="32">
        <f>IFERROR(__xludf.DUMMYFUNCTION("""COMPUTED_VALUE"""),6.0)</f>
        <v>6</v>
      </c>
      <c r="M1488" s="4" t="str">
        <f>IFERROR(__xludf.DUMMYFUNCTION("""COMPUTED_VALUE"""),"Saipos Serviços De Software")</f>
        <v>Saipos Serviços De Software</v>
      </c>
      <c r="N1488" s="33">
        <f>IFERROR(__xludf.DUMMYFUNCTION("""COMPUTED_VALUE"""),0.8333333333333334)</f>
        <v>0.8333333333</v>
      </c>
      <c r="O1488" s="4" t="str">
        <f>IFERROR(__xludf.DUMMYFUNCTION("""COMPUTED_VALUE"""),"Saipos Serviços De Software")</f>
        <v>Saipos Serviços De Software</v>
      </c>
      <c r="P1488" s="33">
        <f>IFERROR(__xludf.DUMMYFUNCTION("""COMPUTED_VALUE"""),0.8333333333333334)</f>
        <v>0.8333333333</v>
      </c>
      <c r="Q1488" s="4" t="str">
        <f>IFERROR(__xludf.DUMMYFUNCTION("""COMPUTED_VALUE"""),"Saipos Serviços De Software")</f>
        <v>Saipos Serviços De Software</v>
      </c>
      <c r="R1488" s="33">
        <f>IFERROR(__xludf.DUMMYFUNCTION("""COMPUTED_VALUE"""),1.0)</f>
        <v>1</v>
      </c>
      <c r="S1488" s="4" t="str">
        <f>IFERROR(__xludf.DUMMYFUNCTION("""COMPUTED_VALUE"""),"Saipos Serviços De Software")</f>
        <v>Saipos Serviços De Software</v>
      </c>
      <c r="T1488" s="33">
        <f>IFERROR(__xludf.DUMMYFUNCTION("""COMPUTED_VALUE"""),1.0)</f>
        <v>1</v>
      </c>
      <c r="U1488" s="4" t="str">
        <f>IFERROR(__xludf.DUMMYFUNCTION("""COMPUTED_VALUE"""),"Saipos Serviços De Software")</f>
        <v>Saipos Serviços De Software</v>
      </c>
      <c r="V1488" s="33">
        <f>IFERROR(__xludf.DUMMYFUNCTION("""COMPUTED_VALUE"""),1.0)</f>
        <v>1</v>
      </c>
      <c r="W1488" s="4" t="str">
        <f>IFERROR(__xludf.DUMMYFUNCTION("""COMPUTED_VALUE"""),"Saipos Serviços De Software")</f>
        <v>Saipos Serviços De Software</v>
      </c>
      <c r="X1488" s="33">
        <f>IFERROR(__xludf.DUMMYFUNCTION("""COMPUTED_VALUE"""),1.0)</f>
        <v>1</v>
      </c>
    </row>
    <row r="1489">
      <c r="K1489" s="4" t="str">
        <f>IFERROR(__xludf.DUMMYFUNCTION("""COMPUTED_VALUE"""),"GRUPO TRADISSA BURGER")</f>
        <v>GRUPO TRADISSA BURGER</v>
      </c>
      <c r="L1489" s="32">
        <f>IFERROR(__xludf.DUMMYFUNCTION("""COMPUTED_VALUE"""),6.0)</f>
        <v>6</v>
      </c>
      <c r="M1489" s="4" t="str">
        <f>IFERROR(__xludf.DUMMYFUNCTION("""COMPUTED_VALUE"""),"Saipos Serviços De Software")</f>
        <v>Saipos Serviços De Software</v>
      </c>
      <c r="N1489" s="33">
        <f>IFERROR(__xludf.DUMMYFUNCTION("""COMPUTED_VALUE"""),0.8333333333333334)</f>
        <v>0.8333333333</v>
      </c>
      <c r="O1489" s="4" t="str">
        <f>IFERROR(__xludf.DUMMYFUNCTION("""COMPUTED_VALUE"""),"Saipos Serviços De Software")</f>
        <v>Saipos Serviços De Software</v>
      </c>
      <c r="P1489" s="33">
        <f>IFERROR(__xludf.DUMMYFUNCTION("""COMPUTED_VALUE"""),0.8333333333333334)</f>
        <v>0.8333333333</v>
      </c>
      <c r="Q1489" s="4" t="str">
        <f>IFERROR(__xludf.DUMMYFUNCTION("""COMPUTED_VALUE"""),"Saipos Serviços De Software")</f>
        <v>Saipos Serviços De Software</v>
      </c>
      <c r="R1489" s="33">
        <f>IFERROR(__xludf.DUMMYFUNCTION("""COMPUTED_VALUE"""),1.0)</f>
        <v>1</v>
      </c>
      <c r="S1489" s="4" t="str">
        <f>IFERROR(__xludf.DUMMYFUNCTION("""COMPUTED_VALUE"""),"Saipos Serviços De Software")</f>
        <v>Saipos Serviços De Software</v>
      </c>
      <c r="T1489" s="33">
        <f>IFERROR(__xludf.DUMMYFUNCTION("""COMPUTED_VALUE"""),0.6666666666666666)</f>
        <v>0.6666666667</v>
      </c>
      <c r="U1489" s="4" t="str">
        <f>IFERROR(__xludf.DUMMYFUNCTION("""COMPUTED_VALUE"""),"Saipos Serviços De Software")</f>
        <v>Saipos Serviços De Software</v>
      </c>
      <c r="V1489" s="33">
        <f>IFERROR(__xludf.DUMMYFUNCTION("""COMPUTED_VALUE"""),1.0)</f>
        <v>1</v>
      </c>
      <c r="W1489" s="4" t="str">
        <f>IFERROR(__xludf.DUMMYFUNCTION("""COMPUTED_VALUE"""),"Saipos Serviços De Software")</f>
        <v>Saipos Serviços De Software</v>
      </c>
      <c r="X1489" s="33">
        <f>IFERROR(__xludf.DUMMYFUNCTION("""COMPUTED_VALUE"""),1.0)</f>
        <v>1</v>
      </c>
    </row>
    <row r="1490">
      <c r="K1490" s="4" t="str">
        <f>IFERROR(__xludf.DUMMYFUNCTION("""COMPUTED_VALUE"""),"TRAGGA")</f>
        <v>TRAGGA</v>
      </c>
      <c r="L1490" s="32">
        <f>IFERROR(__xludf.DUMMYFUNCTION("""COMPUTED_VALUE"""),6.0)</f>
        <v>6</v>
      </c>
      <c r="M1490" s="4" t="str">
        <f>IFERROR(__xludf.DUMMYFUNCTION("""COMPUTED_VALUE"""),"Ncr")</f>
        <v>Ncr</v>
      </c>
      <c r="N1490" s="33">
        <f>IFERROR(__xludf.DUMMYFUNCTION("""COMPUTED_VALUE"""),1.0)</f>
        <v>1</v>
      </c>
      <c r="O1490" s="4" t="str">
        <f>IFERROR(__xludf.DUMMYFUNCTION("""COMPUTED_VALUE"""),"Ncr")</f>
        <v>Ncr</v>
      </c>
      <c r="P1490" s="33">
        <f>IFERROR(__xludf.DUMMYFUNCTION("""COMPUTED_VALUE"""),1.0)</f>
        <v>1</v>
      </c>
      <c r="Q1490" s="4" t="str">
        <f>IFERROR(__xludf.DUMMYFUNCTION("""COMPUTED_VALUE"""),"Ncr")</f>
        <v>Ncr</v>
      </c>
      <c r="R1490" s="33">
        <f>IFERROR(__xludf.DUMMYFUNCTION("""COMPUTED_VALUE"""),1.0)</f>
        <v>1</v>
      </c>
      <c r="S1490" s="4" t="str">
        <f>IFERROR(__xludf.DUMMYFUNCTION("""COMPUTED_VALUE"""),"Ncr")</f>
        <v>Ncr</v>
      </c>
      <c r="T1490" s="33">
        <f>IFERROR(__xludf.DUMMYFUNCTION("""COMPUTED_VALUE"""),1.0)</f>
        <v>1</v>
      </c>
      <c r="U1490" s="4" t="str">
        <f>IFERROR(__xludf.DUMMYFUNCTION("""COMPUTED_VALUE"""),"Ncr")</f>
        <v>Ncr</v>
      </c>
      <c r="V1490" s="33">
        <f>IFERROR(__xludf.DUMMYFUNCTION("""COMPUTED_VALUE"""),1.0)</f>
        <v>1</v>
      </c>
      <c r="W1490" s="4" t="str">
        <f>IFERROR(__xludf.DUMMYFUNCTION("""COMPUTED_VALUE"""),"Ncr")</f>
        <v>Ncr</v>
      </c>
      <c r="X1490" s="33">
        <f>IFERROR(__xludf.DUMMYFUNCTION("""COMPUTED_VALUE"""),1.0)</f>
        <v>1</v>
      </c>
    </row>
    <row r="1491">
      <c r="K1491" s="4" t="str">
        <f>IFERROR(__xludf.DUMMYFUNCTION("""COMPUTED_VALUE"""),"TRATTO HAMBURGUERIA - JOINVILLE")</f>
        <v>TRATTO HAMBURGUERIA - JOINVILLE</v>
      </c>
      <c r="L1491" s="32">
        <f>IFERROR(__xludf.DUMMYFUNCTION("""COMPUTED_VALUE"""),6.0)</f>
        <v>6</v>
      </c>
      <c r="M1491" s="4" t="str">
        <f>IFERROR(__xludf.DUMMYFUNCTION("""COMPUTED_VALUE"""),"null")</f>
        <v>null</v>
      </c>
      <c r="N1491" s="33">
        <f>IFERROR(__xludf.DUMMYFUNCTION("""COMPUTED_VALUE"""),1.0)</f>
        <v>1</v>
      </c>
      <c r="O1491" s="4" t="str">
        <f>IFERROR(__xludf.DUMMYFUNCTION("""COMPUTED_VALUE"""),"null")</f>
        <v>null</v>
      </c>
      <c r="P1491" s="33">
        <f>IFERROR(__xludf.DUMMYFUNCTION("""COMPUTED_VALUE"""),0.6666666666666666)</f>
        <v>0.6666666667</v>
      </c>
      <c r="Q1491" s="4" t="str">
        <f>IFERROR(__xludf.DUMMYFUNCTION("""COMPUTED_VALUE"""),"Saipos Serviços De Software")</f>
        <v>Saipos Serviços De Software</v>
      </c>
      <c r="R1491" s="33">
        <f>IFERROR(__xludf.DUMMYFUNCTION("""COMPUTED_VALUE"""),0.5)</f>
        <v>0.5</v>
      </c>
      <c r="S1491" s="4" t="str">
        <f>IFERROR(__xludf.DUMMYFUNCTION("""COMPUTED_VALUE"""),"Saipos Serviços De Software")</f>
        <v>Saipos Serviços De Software</v>
      </c>
      <c r="T1491" s="33">
        <f>IFERROR(__xludf.DUMMYFUNCTION("""COMPUTED_VALUE"""),0.5)</f>
        <v>0.5</v>
      </c>
      <c r="U1491" s="4" t="str">
        <f>IFERROR(__xludf.DUMMYFUNCTION("""COMPUTED_VALUE"""),"Saipos Serviços De Software")</f>
        <v>Saipos Serviços De Software</v>
      </c>
      <c r="V1491" s="33">
        <f>IFERROR(__xludf.DUMMYFUNCTION("""COMPUTED_VALUE"""),0.5)</f>
        <v>0.5</v>
      </c>
      <c r="W1491" s="4" t="str">
        <f>IFERROR(__xludf.DUMMYFUNCTION("""COMPUTED_VALUE"""),"Saipos Serviços De Software")</f>
        <v>Saipos Serviços De Software</v>
      </c>
      <c r="X1491" s="33">
        <f>IFERROR(__xludf.DUMMYFUNCTION("""COMPUTED_VALUE"""),1.0)</f>
        <v>1</v>
      </c>
    </row>
    <row r="1492">
      <c r="K1492" s="4" t="str">
        <f>IFERROR(__xludf.DUMMYFUNCTION("""COMPUTED_VALUE"""),"TROPEIRAO DA GEGE - CONTA PAI")</f>
        <v>TROPEIRAO DA GEGE - CONTA PAI</v>
      </c>
      <c r="L1492" s="32">
        <f>IFERROR(__xludf.DUMMYFUNCTION("""COMPUTED_VALUE"""),6.0)</f>
        <v>6</v>
      </c>
      <c r="M1492" s="4" t="str">
        <f>IFERROR(__xludf.DUMMYFUNCTION("""COMPUTED_VALUE"""),"Saipos Serviços De Software")</f>
        <v>Saipos Serviços De Software</v>
      </c>
      <c r="N1492" s="33">
        <f>IFERROR(__xludf.DUMMYFUNCTION("""COMPUTED_VALUE"""),1.0)</f>
        <v>1</v>
      </c>
      <c r="O1492" s="4" t="str">
        <f>IFERROR(__xludf.DUMMYFUNCTION("""COMPUTED_VALUE"""),"Saipos Serviços De Software")</f>
        <v>Saipos Serviços De Software</v>
      </c>
      <c r="P1492" s="33">
        <f>IFERROR(__xludf.DUMMYFUNCTION("""COMPUTED_VALUE"""),1.0)</f>
        <v>1</v>
      </c>
      <c r="Q1492" s="4" t="str">
        <f>IFERROR(__xludf.DUMMYFUNCTION("""COMPUTED_VALUE"""),"Saipos Serviços De Software")</f>
        <v>Saipos Serviços De Software</v>
      </c>
      <c r="R1492" s="33">
        <f>IFERROR(__xludf.DUMMYFUNCTION("""COMPUTED_VALUE"""),1.0)</f>
        <v>1</v>
      </c>
      <c r="S1492" s="4" t="str">
        <f>IFERROR(__xludf.DUMMYFUNCTION("""COMPUTED_VALUE"""),"Saipos Serviços De Software")</f>
        <v>Saipos Serviços De Software</v>
      </c>
      <c r="T1492" s="33">
        <f>IFERROR(__xludf.DUMMYFUNCTION("""COMPUTED_VALUE"""),1.0)</f>
        <v>1</v>
      </c>
      <c r="U1492" s="4" t="str">
        <f>IFERROR(__xludf.DUMMYFUNCTION("""COMPUTED_VALUE"""),"Saipos Serviços De Software")</f>
        <v>Saipos Serviços De Software</v>
      </c>
      <c r="V1492" s="33">
        <f>IFERROR(__xludf.DUMMYFUNCTION("""COMPUTED_VALUE"""),1.0)</f>
        <v>1</v>
      </c>
      <c r="W1492" s="4" t="str">
        <f>IFERROR(__xludf.DUMMYFUNCTION("""COMPUTED_VALUE"""),"Saipos Serviços De Software")</f>
        <v>Saipos Serviços De Software</v>
      </c>
      <c r="X1492" s="33">
        <f>IFERROR(__xludf.DUMMYFUNCTION("""COMPUTED_VALUE"""),1.0)</f>
        <v>1</v>
      </c>
    </row>
    <row r="1493">
      <c r="K1493" s="4" t="str">
        <f>IFERROR(__xludf.DUMMYFUNCTION("""COMPUTED_VALUE"""),"TUDO NO FRANCES")</f>
        <v>TUDO NO FRANCES</v>
      </c>
      <c r="L1493" s="32">
        <f>IFERROR(__xludf.DUMMYFUNCTION("""COMPUTED_VALUE"""),6.0)</f>
        <v>6</v>
      </c>
      <c r="M1493" s="4" t="str">
        <f>IFERROR(__xludf.DUMMYFUNCTION("""COMPUTED_VALUE"""),"Hubster")</f>
        <v>Hubster</v>
      </c>
      <c r="N1493" s="33">
        <f>IFERROR(__xludf.DUMMYFUNCTION("""COMPUTED_VALUE"""),1.0)</f>
        <v>1</v>
      </c>
      <c r="O1493" s="4" t="str">
        <f>IFERROR(__xludf.DUMMYFUNCTION("""COMPUTED_VALUE"""),"Hubster")</f>
        <v>Hubster</v>
      </c>
      <c r="P1493" s="33">
        <f>IFERROR(__xludf.DUMMYFUNCTION("""COMPUTED_VALUE"""),1.0)</f>
        <v>1</v>
      </c>
      <c r="Q1493" s="4" t="str">
        <f>IFERROR(__xludf.DUMMYFUNCTION("""COMPUTED_VALUE"""),"Hubster")</f>
        <v>Hubster</v>
      </c>
      <c r="R1493" s="33">
        <f>IFERROR(__xludf.DUMMYFUNCTION("""COMPUTED_VALUE"""),1.0)</f>
        <v>1</v>
      </c>
      <c r="S1493" s="4" t="str">
        <f>IFERROR(__xludf.DUMMYFUNCTION("""COMPUTED_VALUE"""),"Hubster")</f>
        <v>Hubster</v>
      </c>
      <c r="T1493" s="33">
        <f>IFERROR(__xludf.DUMMYFUNCTION("""COMPUTED_VALUE"""),1.0)</f>
        <v>1</v>
      </c>
      <c r="U1493" s="4" t="str">
        <f>IFERROR(__xludf.DUMMYFUNCTION("""COMPUTED_VALUE"""),"Hubster")</f>
        <v>Hubster</v>
      </c>
      <c r="V1493" s="33">
        <f>IFERROR(__xludf.DUMMYFUNCTION("""COMPUTED_VALUE"""),1.0)</f>
        <v>1</v>
      </c>
      <c r="W1493" s="4" t="str">
        <f>IFERROR(__xludf.DUMMYFUNCTION("""COMPUTED_VALUE"""),"Hubster")</f>
        <v>Hubster</v>
      </c>
      <c r="X1493" s="33">
        <f>IFERROR(__xludf.DUMMYFUNCTION("""COMPUTED_VALUE"""),1.0)</f>
        <v>1</v>
      </c>
    </row>
    <row r="1494">
      <c r="K1494" s="4" t="str">
        <f>IFERROR(__xludf.DUMMYFUNCTION("""COMPUTED_VALUE"""),"TWO BROTHERS CE")</f>
        <v>TWO BROTHERS CE</v>
      </c>
      <c r="L1494" s="32">
        <f>IFERROR(__xludf.DUMMYFUNCTION("""COMPUTED_VALUE"""),6.0)</f>
        <v>6</v>
      </c>
      <c r="M1494" s="4" t="str">
        <f>IFERROR(__xludf.DUMMYFUNCTION("""COMPUTED_VALUE"""),"Saipos Serviços De Software")</f>
        <v>Saipos Serviços De Software</v>
      </c>
      <c r="N1494" s="33">
        <f>IFERROR(__xludf.DUMMYFUNCTION("""COMPUTED_VALUE"""),0.8333333333333334)</f>
        <v>0.8333333333</v>
      </c>
      <c r="O1494" s="4" t="str">
        <f>IFERROR(__xludf.DUMMYFUNCTION("""COMPUTED_VALUE"""),"Saipos Serviços De Software")</f>
        <v>Saipos Serviços De Software</v>
      </c>
      <c r="P1494" s="33">
        <f>IFERROR(__xludf.DUMMYFUNCTION("""COMPUTED_VALUE"""),0.6666666666666666)</f>
        <v>0.6666666667</v>
      </c>
      <c r="Q1494" s="4" t="str">
        <f>IFERROR(__xludf.DUMMYFUNCTION("""COMPUTED_VALUE"""),"Saipos Serviços De Software")</f>
        <v>Saipos Serviços De Software</v>
      </c>
      <c r="R1494" s="33">
        <f>IFERROR(__xludf.DUMMYFUNCTION("""COMPUTED_VALUE"""),0.8333333333333334)</f>
        <v>0.8333333333</v>
      </c>
      <c r="S1494" s="4" t="str">
        <f>IFERROR(__xludf.DUMMYFUNCTION("""COMPUTED_VALUE"""),"Saipos Serviços De Software")</f>
        <v>Saipos Serviços De Software</v>
      </c>
      <c r="T1494" s="33">
        <f>IFERROR(__xludf.DUMMYFUNCTION("""COMPUTED_VALUE"""),0.6666666666666666)</f>
        <v>0.6666666667</v>
      </c>
      <c r="U1494" s="4" t="str">
        <f>IFERROR(__xludf.DUMMYFUNCTION("""COMPUTED_VALUE"""),"Saipos Serviços De Software")</f>
        <v>Saipos Serviços De Software</v>
      </c>
      <c r="V1494" s="33">
        <f>IFERROR(__xludf.DUMMYFUNCTION("""COMPUTED_VALUE"""),0.6666666666666666)</f>
        <v>0.6666666667</v>
      </c>
      <c r="W1494" s="4" t="str">
        <f>IFERROR(__xludf.DUMMYFUNCTION("""COMPUTED_VALUE"""),"Saipos Serviços De Software")</f>
        <v>Saipos Serviços De Software</v>
      </c>
      <c r="X1494" s="33">
        <f>IFERROR(__xludf.DUMMYFUNCTION("""COMPUTED_VALUE"""),0.8333333333333334)</f>
        <v>0.8333333333</v>
      </c>
    </row>
    <row r="1495">
      <c r="K1495" s="4" t="str">
        <f>IFERROR(__xludf.DUMMYFUNCTION("""COMPUTED_VALUE"""),"ULTRAPOPULAR - PERDIZES - CONTA MARCA")</f>
        <v>ULTRAPOPULAR - PERDIZES - CONTA MARCA</v>
      </c>
      <c r="L1495" s="32">
        <f>IFERROR(__xludf.DUMMYFUNCTION("""COMPUTED_VALUE"""),6.0)</f>
        <v>6</v>
      </c>
      <c r="M1495" s="4" t="str">
        <f>IFERROR(__xludf.DUMMYFUNCTION("""COMPUTED_VALUE"""),"N/A (Not found)")</f>
        <v>N/A (Not found)</v>
      </c>
      <c r="N1495" s="33">
        <f>IFERROR(__xludf.DUMMYFUNCTION("""COMPUTED_VALUE"""),0.6666666666666666)</f>
        <v>0.6666666667</v>
      </c>
      <c r="O1495" s="4" t="str">
        <f>IFERROR(__xludf.DUMMYFUNCTION("""COMPUTED_VALUE"""),"N/A (Not found)")</f>
        <v>N/A (Not found)</v>
      </c>
      <c r="P1495" s="33">
        <f>IFERROR(__xludf.DUMMYFUNCTION("""COMPUTED_VALUE"""),0.6666666666666666)</f>
        <v>0.6666666667</v>
      </c>
      <c r="Q1495" s="4" t="str">
        <f>IFERROR(__xludf.DUMMYFUNCTION("""COMPUTED_VALUE"""),"N/A (Not found)")</f>
        <v>N/A (Not found)</v>
      </c>
      <c r="R1495" s="33">
        <f>IFERROR(__xludf.DUMMYFUNCTION("""COMPUTED_VALUE"""),0.6666666666666666)</f>
        <v>0.6666666667</v>
      </c>
      <c r="S1495" s="4" t="str">
        <f>IFERROR(__xludf.DUMMYFUNCTION("""COMPUTED_VALUE"""),"N/A (Not found)")</f>
        <v>N/A (Not found)</v>
      </c>
      <c r="T1495" s="33">
        <f>IFERROR(__xludf.DUMMYFUNCTION("""COMPUTED_VALUE"""),0.8333333333333334)</f>
        <v>0.8333333333</v>
      </c>
      <c r="U1495" s="4" t="str">
        <f>IFERROR(__xludf.DUMMYFUNCTION("""COMPUTED_VALUE"""),"N/A (Not found)")</f>
        <v>N/A (Not found)</v>
      </c>
      <c r="V1495" s="33">
        <f>IFERROR(__xludf.DUMMYFUNCTION("""COMPUTED_VALUE"""),1.0)</f>
        <v>1</v>
      </c>
      <c r="W1495" s="4" t="str">
        <f>IFERROR(__xludf.DUMMYFUNCTION("""COMPUTED_VALUE"""),"N/A (Not found)")</f>
        <v>N/A (Not found)</v>
      </c>
      <c r="X1495" s="33">
        <f>IFERROR(__xludf.DUMMYFUNCTION("""COMPUTED_VALUE"""),1.0)</f>
        <v>1</v>
      </c>
    </row>
    <row r="1496">
      <c r="K1496" s="4" t="str">
        <f>IFERROR(__xludf.DUMMYFUNCTION("""COMPUTED_VALUE"""),"VACA BURGER")</f>
        <v>VACA BURGER</v>
      </c>
      <c r="L1496" s="32">
        <f>IFERROR(__xludf.DUMMYFUNCTION("""COMPUTED_VALUE"""),6.0)</f>
        <v>6</v>
      </c>
      <c r="M1496" s="4" t="str">
        <f>IFERROR(__xludf.DUMMYFUNCTION("""COMPUTED_VALUE"""),"Cardápio Web")</f>
        <v>Cardápio Web</v>
      </c>
      <c r="N1496" s="33">
        <f>IFERROR(__xludf.DUMMYFUNCTION("""COMPUTED_VALUE"""),1.0)</f>
        <v>1</v>
      </c>
      <c r="O1496" s="4" t="str">
        <f>IFERROR(__xludf.DUMMYFUNCTION("""COMPUTED_VALUE"""),"Cardápio Web")</f>
        <v>Cardápio Web</v>
      </c>
      <c r="P1496" s="33">
        <f>IFERROR(__xludf.DUMMYFUNCTION("""COMPUTED_VALUE"""),1.0)</f>
        <v>1</v>
      </c>
      <c r="Q1496" s="4" t="str">
        <f>IFERROR(__xludf.DUMMYFUNCTION("""COMPUTED_VALUE"""),"Cardápio Web")</f>
        <v>Cardápio Web</v>
      </c>
      <c r="R1496" s="33">
        <f>IFERROR(__xludf.DUMMYFUNCTION("""COMPUTED_VALUE"""),1.0)</f>
        <v>1</v>
      </c>
      <c r="S1496" s="4" t="str">
        <f>IFERROR(__xludf.DUMMYFUNCTION("""COMPUTED_VALUE"""),"Cardápio Web")</f>
        <v>Cardápio Web</v>
      </c>
      <c r="T1496" s="33">
        <f>IFERROR(__xludf.DUMMYFUNCTION("""COMPUTED_VALUE"""),1.0)</f>
        <v>1</v>
      </c>
      <c r="U1496" s="4" t="str">
        <f>IFERROR(__xludf.DUMMYFUNCTION("""COMPUTED_VALUE"""),"Cardápio Web")</f>
        <v>Cardápio Web</v>
      </c>
      <c r="V1496" s="33">
        <f>IFERROR(__xludf.DUMMYFUNCTION("""COMPUTED_VALUE"""),1.0)</f>
        <v>1</v>
      </c>
      <c r="W1496" s="4" t="str">
        <f>IFERROR(__xludf.DUMMYFUNCTION("""COMPUTED_VALUE"""),"Cardápio Web")</f>
        <v>Cardápio Web</v>
      </c>
      <c r="X1496" s="33">
        <f>IFERROR(__xludf.DUMMYFUNCTION("""COMPUTED_VALUE"""),1.0)</f>
        <v>1</v>
      </c>
    </row>
    <row r="1497">
      <c r="K1497" s="4" t="str">
        <f>IFERROR(__xludf.DUMMYFUNCTION("""COMPUTED_VALUE"""),"CHAPA QUENTE BURGUER")</f>
        <v>CHAPA QUENTE BURGUER</v>
      </c>
      <c r="L1497" s="32">
        <f>IFERROR(__xludf.DUMMYFUNCTION("""COMPUTED_VALUE"""),5.0)</f>
        <v>5</v>
      </c>
      <c r="M1497" s="4" t="str">
        <f>IFERROR(__xludf.DUMMYFUNCTION("""COMPUTED_VALUE"""),"Mp Multipedidos")</f>
        <v>Mp Multipedidos</v>
      </c>
      <c r="N1497" s="33">
        <f>IFERROR(__xludf.DUMMYFUNCTION("""COMPUTED_VALUE"""),0.4)</f>
        <v>0.4</v>
      </c>
      <c r="O1497" s="4" t="str">
        <f>IFERROR(__xludf.DUMMYFUNCTION("""COMPUTED_VALUE"""),"Mp Multipedidos")</f>
        <v>Mp Multipedidos</v>
      </c>
      <c r="P1497" s="33">
        <f>IFERROR(__xludf.DUMMYFUNCTION("""COMPUTED_VALUE"""),0.4)</f>
        <v>0.4</v>
      </c>
      <c r="Q1497" s="4" t="str">
        <f>IFERROR(__xludf.DUMMYFUNCTION("""COMPUTED_VALUE"""),"Mp Multipedidos")</f>
        <v>Mp Multipedidos</v>
      </c>
      <c r="R1497" s="33">
        <f>IFERROR(__xludf.DUMMYFUNCTION("""COMPUTED_VALUE"""),0.4)</f>
        <v>0.4</v>
      </c>
      <c r="S1497" s="4" t="str">
        <f>IFERROR(__xludf.DUMMYFUNCTION("""COMPUTED_VALUE"""),"Mp Multipedidos")</f>
        <v>Mp Multipedidos</v>
      </c>
      <c r="T1497" s="33">
        <f>IFERROR(__xludf.DUMMYFUNCTION("""COMPUTED_VALUE"""),0.4)</f>
        <v>0.4</v>
      </c>
      <c r="U1497" s="4" t="str">
        <f>IFERROR(__xludf.DUMMYFUNCTION("""COMPUTED_VALUE"""),"Mp Multipedidos")</f>
        <v>Mp Multipedidos</v>
      </c>
      <c r="V1497" s="33">
        <f>IFERROR(__xludf.DUMMYFUNCTION("""COMPUTED_VALUE"""),0.4)</f>
        <v>0.4</v>
      </c>
      <c r="W1497" s="4" t="str">
        <f>IFERROR(__xludf.DUMMYFUNCTION("""COMPUTED_VALUE"""),"Mp Multipedidos")</f>
        <v>Mp Multipedidos</v>
      </c>
      <c r="X1497" s="33">
        <f>IFERROR(__xludf.DUMMYFUNCTION("""COMPUTED_VALUE"""),0.4)</f>
        <v>0.4</v>
      </c>
    </row>
    <row r="1498">
      <c r="K1498" s="4" t="str">
        <f>IFERROR(__xludf.DUMMYFUNCTION("""COMPUTED_VALUE"""),"LA PASTA")</f>
        <v>LA PASTA</v>
      </c>
      <c r="L1498" s="32">
        <f>IFERROR(__xludf.DUMMYFUNCTION("""COMPUTED_VALUE"""),5.0)</f>
        <v>5</v>
      </c>
      <c r="M1498" s="4" t="str">
        <f>IFERROR(__xludf.DUMMYFUNCTION("""COMPUTED_VALUE"""),"Saipos Serviços De Software")</f>
        <v>Saipos Serviços De Software</v>
      </c>
      <c r="N1498" s="33">
        <f>IFERROR(__xludf.DUMMYFUNCTION("""COMPUTED_VALUE"""),0.6)</f>
        <v>0.6</v>
      </c>
      <c r="O1498" s="4" t="str">
        <f>IFERROR(__xludf.DUMMYFUNCTION("""COMPUTED_VALUE"""),"Saipos Serviços De Software")</f>
        <v>Saipos Serviços De Software</v>
      </c>
      <c r="P1498" s="33">
        <f>IFERROR(__xludf.DUMMYFUNCTION("""COMPUTED_VALUE"""),0.6)</f>
        <v>0.6</v>
      </c>
      <c r="Q1498" s="4" t="str">
        <f>IFERROR(__xludf.DUMMYFUNCTION("""COMPUTED_VALUE"""),"Saipos Serviços De Software")</f>
        <v>Saipos Serviços De Software</v>
      </c>
      <c r="R1498" s="33">
        <f>IFERROR(__xludf.DUMMYFUNCTION("""COMPUTED_VALUE"""),0.6)</f>
        <v>0.6</v>
      </c>
      <c r="S1498" s="4" t="str">
        <f>IFERROR(__xludf.DUMMYFUNCTION("""COMPUTED_VALUE"""),"Saipos Serviços De Software")</f>
        <v>Saipos Serviços De Software</v>
      </c>
      <c r="T1498" s="33">
        <f>IFERROR(__xludf.DUMMYFUNCTION("""COMPUTED_VALUE"""),0.6)</f>
        <v>0.6</v>
      </c>
      <c r="U1498" s="4" t="str">
        <f>IFERROR(__xludf.DUMMYFUNCTION("""COMPUTED_VALUE"""),"Saipos Serviços De Software")</f>
        <v>Saipos Serviços De Software</v>
      </c>
      <c r="V1498" s="33">
        <f>IFERROR(__xludf.DUMMYFUNCTION("""COMPUTED_VALUE"""),0.8)</f>
        <v>0.8</v>
      </c>
      <c r="W1498" s="4" t="str">
        <f>IFERROR(__xludf.DUMMYFUNCTION("""COMPUTED_VALUE"""),"Saipos Serviços De Software")</f>
        <v>Saipos Serviços De Software</v>
      </c>
      <c r="X1498" s="33">
        <f>IFERROR(__xludf.DUMMYFUNCTION("""COMPUTED_VALUE"""),0.8)</f>
        <v>0.8</v>
      </c>
    </row>
    <row r="1499">
      <c r="K1499" s="4" t="str">
        <f>IFERROR(__xludf.DUMMYFUNCTION("""COMPUTED_VALUE"""),"ALECRIM RESTAURANTE")</f>
        <v>ALECRIM RESTAURANTE</v>
      </c>
      <c r="L1499" s="32">
        <f>IFERROR(__xludf.DUMMYFUNCTION("""COMPUTED_VALUE"""),5.0)</f>
        <v>5</v>
      </c>
      <c r="M1499" s="4" t="str">
        <f>IFERROR(__xludf.DUMMYFUNCTION("""COMPUTED_VALUE"""),"Kcms")</f>
        <v>Kcms</v>
      </c>
      <c r="N1499" s="33">
        <f>IFERROR(__xludf.DUMMYFUNCTION("""COMPUTED_VALUE"""),0.4)</f>
        <v>0.4</v>
      </c>
      <c r="O1499" s="4" t="str">
        <f>IFERROR(__xludf.DUMMYFUNCTION("""COMPUTED_VALUE"""),"Kcms")</f>
        <v>Kcms</v>
      </c>
      <c r="P1499" s="33">
        <f>IFERROR(__xludf.DUMMYFUNCTION("""COMPUTED_VALUE"""),0.4)</f>
        <v>0.4</v>
      </c>
      <c r="Q1499" s="4" t="str">
        <f>IFERROR(__xludf.DUMMYFUNCTION("""COMPUTED_VALUE"""),"Kcms")</f>
        <v>Kcms</v>
      </c>
      <c r="R1499" s="33">
        <f>IFERROR(__xludf.DUMMYFUNCTION("""COMPUTED_VALUE"""),0.4)</f>
        <v>0.4</v>
      </c>
      <c r="S1499" s="4" t="str">
        <f>IFERROR(__xludf.DUMMYFUNCTION("""COMPUTED_VALUE"""),"Ajx Automação")</f>
        <v>Ajx Automação</v>
      </c>
      <c r="T1499" s="33">
        <f>IFERROR(__xludf.DUMMYFUNCTION("""COMPUTED_VALUE"""),0.2)</f>
        <v>0.2</v>
      </c>
      <c r="U1499" s="4" t="str">
        <f>IFERROR(__xludf.DUMMYFUNCTION("""COMPUTED_VALUE"""),"Ajx Automação")</f>
        <v>Ajx Automação</v>
      </c>
      <c r="V1499" s="33">
        <f>IFERROR(__xludf.DUMMYFUNCTION("""COMPUTED_VALUE"""),0.2)</f>
        <v>0.2</v>
      </c>
      <c r="W1499" s="4" t="str">
        <f>IFERROR(__xludf.DUMMYFUNCTION("""COMPUTED_VALUE"""),"Ajx Automação")</f>
        <v>Ajx Automação</v>
      </c>
      <c r="X1499" s="33">
        <f>IFERROR(__xludf.DUMMYFUNCTION("""COMPUTED_VALUE"""),0.2)</f>
        <v>0.2</v>
      </c>
    </row>
    <row r="1500">
      <c r="K1500" s="4" t="str">
        <f>IFERROR(__xludf.DUMMYFUNCTION("""COMPUTED_VALUE"""),"PE DE ACAI")</f>
        <v>PE DE ACAI</v>
      </c>
      <c r="L1500" s="32">
        <f>IFERROR(__xludf.DUMMYFUNCTION("""COMPUTED_VALUE"""),5.0)</f>
        <v>5</v>
      </c>
      <c r="M1500" s="4" t="str">
        <f>IFERROR(__xludf.DUMMYFUNCTION("""COMPUTED_VALUE"""),"null")</f>
        <v>null</v>
      </c>
      <c r="N1500" s="33">
        <f>IFERROR(__xludf.DUMMYFUNCTION("""COMPUTED_VALUE"""),0.6)</f>
        <v>0.6</v>
      </c>
      <c r="O1500" s="4" t="str">
        <f>IFERROR(__xludf.DUMMYFUNCTION("""COMPUTED_VALUE"""),"null")</f>
        <v>null</v>
      </c>
      <c r="P1500" s="33">
        <f>IFERROR(__xludf.DUMMYFUNCTION("""COMPUTED_VALUE"""),0.4)</f>
        <v>0.4</v>
      </c>
      <c r="Q1500" s="4" t="str">
        <f>IFERROR(__xludf.DUMMYFUNCTION("""COMPUTED_VALUE"""),"null")</f>
        <v>null</v>
      </c>
      <c r="R1500" s="33">
        <f>IFERROR(__xludf.DUMMYFUNCTION("""COMPUTED_VALUE"""),0.4)</f>
        <v>0.4</v>
      </c>
      <c r="S1500" s="4" t="str">
        <f>IFERROR(__xludf.DUMMYFUNCTION("""COMPUTED_VALUE"""),"Brendi")</f>
        <v>Brendi</v>
      </c>
      <c r="T1500" s="33">
        <f>IFERROR(__xludf.DUMMYFUNCTION("""COMPUTED_VALUE"""),0.2)</f>
        <v>0.2</v>
      </c>
      <c r="U1500" s="4" t="str">
        <f>IFERROR(__xludf.DUMMYFUNCTION("""COMPUTED_VALUE"""),"Saipos Serviços De Software")</f>
        <v>Saipos Serviços De Software</v>
      </c>
      <c r="V1500" s="33">
        <f>IFERROR(__xludf.DUMMYFUNCTION("""COMPUTED_VALUE"""),0.4)</f>
        <v>0.4</v>
      </c>
      <c r="W1500" s="4" t="str">
        <f>IFERROR(__xludf.DUMMYFUNCTION("""COMPUTED_VALUE"""),"Saipos Serviços De Software")</f>
        <v>Saipos Serviços De Software</v>
      </c>
      <c r="X1500" s="33">
        <f>IFERROR(__xludf.DUMMYFUNCTION("""COMPUTED_VALUE"""),0.4)</f>
        <v>0.4</v>
      </c>
    </row>
    <row r="1501">
      <c r="K1501" s="4" t="str">
        <f>IFERROR(__xludf.DUMMYFUNCTION("""COMPUTED_VALUE"""),"DIVINA MARMITARIA")</f>
        <v>DIVINA MARMITARIA</v>
      </c>
      <c r="L1501" s="32">
        <f>IFERROR(__xludf.DUMMYFUNCTION("""COMPUTED_VALUE"""),5.0)</f>
        <v>5</v>
      </c>
      <c r="M1501" s="4" t="str">
        <f>IFERROR(__xludf.DUMMYFUNCTION("""COMPUTED_VALUE"""),"Sistemas Na Web")</f>
        <v>Sistemas Na Web</v>
      </c>
      <c r="N1501" s="33">
        <f>IFERROR(__xludf.DUMMYFUNCTION("""COMPUTED_VALUE"""),0.4)</f>
        <v>0.4</v>
      </c>
      <c r="O1501" s="4" t="str">
        <f>IFERROR(__xludf.DUMMYFUNCTION("""COMPUTED_VALUE"""),"Resulti Sistemas")</f>
        <v>Resulti Sistemas</v>
      </c>
      <c r="P1501" s="33">
        <f>IFERROR(__xludf.DUMMYFUNCTION("""COMPUTED_VALUE"""),0.2)</f>
        <v>0.2</v>
      </c>
      <c r="Q1501" s="4" t="str">
        <f>IFERROR(__xludf.DUMMYFUNCTION("""COMPUTED_VALUE"""),"Sistemas Na Web")</f>
        <v>Sistemas Na Web</v>
      </c>
      <c r="R1501" s="33">
        <f>IFERROR(__xludf.DUMMYFUNCTION("""COMPUTED_VALUE"""),0.4)</f>
        <v>0.4</v>
      </c>
      <c r="S1501" s="4" t="str">
        <f>IFERROR(__xludf.DUMMYFUNCTION("""COMPUTED_VALUE"""),"null")</f>
        <v>null</v>
      </c>
      <c r="T1501" s="33">
        <f>IFERROR(__xludf.DUMMYFUNCTION("""COMPUTED_VALUE"""),0.4)</f>
        <v>0.4</v>
      </c>
      <c r="U1501" s="4" t="str">
        <f>IFERROR(__xludf.DUMMYFUNCTION("""COMPUTED_VALUE"""),"null")</f>
        <v>null</v>
      </c>
      <c r="V1501" s="33">
        <f>IFERROR(__xludf.DUMMYFUNCTION("""COMPUTED_VALUE"""),0.4)</f>
        <v>0.4</v>
      </c>
      <c r="W1501" s="4" t="str">
        <f>IFERROR(__xludf.DUMMYFUNCTION("""COMPUTED_VALUE"""),"null")</f>
        <v>null</v>
      </c>
      <c r="X1501" s="33">
        <f>IFERROR(__xludf.DUMMYFUNCTION("""COMPUTED_VALUE"""),0.6)</f>
        <v>0.6</v>
      </c>
    </row>
    <row r="1502">
      <c r="K1502" s="4" t="str">
        <f>IFERROR(__xludf.DUMMYFUNCTION("""COMPUTED_VALUE"""),"DROGARIA MENOR PRECO")</f>
        <v>DROGARIA MENOR PRECO</v>
      </c>
      <c r="L1502" s="32">
        <f>IFERROR(__xludf.DUMMYFUNCTION("""COMPUTED_VALUE"""),5.0)</f>
        <v>5</v>
      </c>
      <c r="M1502" s="4" t="str">
        <f>IFERROR(__xludf.DUMMYFUNCTION("""COMPUTED_VALUE"""),"N/A (Not found)")</f>
        <v>N/A (Not found)</v>
      </c>
      <c r="N1502" s="33">
        <f>IFERROR(__xludf.DUMMYFUNCTION("""COMPUTED_VALUE"""),0.8)</f>
        <v>0.8</v>
      </c>
      <c r="O1502" s="4" t="str">
        <f>IFERROR(__xludf.DUMMYFUNCTION("""COMPUTED_VALUE"""),"N/A (Not found)")</f>
        <v>N/A (Not found)</v>
      </c>
      <c r="P1502" s="33">
        <f>IFERROR(__xludf.DUMMYFUNCTION("""COMPUTED_VALUE"""),0.8)</f>
        <v>0.8</v>
      </c>
      <c r="Q1502" s="4" t="str">
        <f>IFERROR(__xludf.DUMMYFUNCTION("""COMPUTED_VALUE"""),"N/A (Not found)")</f>
        <v>N/A (Not found)</v>
      </c>
      <c r="R1502" s="33">
        <f>IFERROR(__xludf.DUMMYFUNCTION("""COMPUTED_VALUE"""),0.6)</f>
        <v>0.6</v>
      </c>
      <c r="S1502" s="4" t="str">
        <f>IFERROR(__xludf.DUMMYFUNCTION("""COMPUTED_VALUE"""),"N/A (Not found)")</f>
        <v>N/A (Not found)</v>
      </c>
      <c r="T1502" s="33">
        <f>IFERROR(__xludf.DUMMYFUNCTION("""COMPUTED_VALUE"""),0.6)</f>
        <v>0.6</v>
      </c>
      <c r="U1502" s="4" t="str">
        <f>IFERROR(__xludf.DUMMYFUNCTION("""COMPUTED_VALUE"""),"N/A (Not found)")</f>
        <v>N/A (Not found)</v>
      </c>
      <c r="V1502" s="33">
        <f>IFERROR(__xludf.DUMMYFUNCTION("""COMPUTED_VALUE"""),0.6)</f>
        <v>0.6</v>
      </c>
      <c r="W1502" s="4" t="str">
        <f>IFERROR(__xludf.DUMMYFUNCTION("""COMPUTED_VALUE"""),"N/A (Not found)")</f>
        <v>N/A (Not found)</v>
      </c>
      <c r="X1502" s="33">
        <f>IFERROR(__xludf.DUMMYFUNCTION("""COMPUTED_VALUE"""),0.8)</f>
        <v>0.8</v>
      </c>
    </row>
    <row r="1503">
      <c r="K1503" s="4" t="str">
        <f>IFERROR(__xludf.DUMMYFUNCTION("""COMPUTED_VALUE"""),"EMPORIO DA PIZZA")</f>
        <v>EMPORIO DA PIZZA</v>
      </c>
      <c r="L1503" s="32">
        <f>IFERROR(__xludf.DUMMYFUNCTION("""COMPUTED_VALUE"""),5.0)</f>
        <v>5</v>
      </c>
      <c r="M1503" s="4" t="str">
        <f>IFERROR(__xludf.DUMMYFUNCTION("""COMPUTED_VALUE"""),"Cardápio Web")</f>
        <v>Cardápio Web</v>
      </c>
      <c r="N1503" s="33">
        <f>IFERROR(__xludf.DUMMYFUNCTION("""COMPUTED_VALUE"""),0.4)</f>
        <v>0.4</v>
      </c>
      <c r="O1503" s="4" t="str">
        <f>IFERROR(__xludf.DUMMYFUNCTION("""COMPUTED_VALUE"""),"Cardápio Web")</f>
        <v>Cardápio Web</v>
      </c>
      <c r="P1503" s="33">
        <f>IFERROR(__xludf.DUMMYFUNCTION("""COMPUTED_VALUE"""),0.4)</f>
        <v>0.4</v>
      </c>
      <c r="Q1503" s="4" t="str">
        <f>IFERROR(__xludf.DUMMYFUNCTION("""COMPUTED_VALUE"""),"Cardápio Web")</f>
        <v>Cardápio Web</v>
      </c>
      <c r="R1503" s="33">
        <f>IFERROR(__xludf.DUMMYFUNCTION("""COMPUTED_VALUE"""),0.6)</f>
        <v>0.6</v>
      </c>
      <c r="S1503" s="4" t="str">
        <f>IFERROR(__xludf.DUMMYFUNCTION("""COMPUTED_VALUE"""),"Cardápio Web")</f>
        <v>Cardápio Web</v>
      </c>
      <c r="T1503" s="33">
        <f>IFERROR(__xludf.DUMMYFUNCTION("""COMPUTED_VALUE"""),0.6)</f>
        <v>0.6</v>
      </c>
      <c r="U1503" s="4" t="str">
        <f>IFERROR(__xludf.DUMMYFUNCTION("""COMPUTED_VALUE"""),"Cardápio Web")</f>
        <v>Cardápio Web</v>
      </c>
      <c r="V1503" s="33">
        <f>IFERROR(__xludf.DUMMYFUNCTION("""COMPUTED_VALUE"""),0.8)</f>
        <v>0.8</v>
      </c>
      <c r="W1503" s="4" t="str">
        <f>IFERROR(__xludf.DUMMYFUNCTION("""COMPUTED_VALUE"""),"Cardápio Web")</f>
        <v>Cardápio Web</v>
      </c>
      <c r="X1503" s="33">
        <f>IFERROR(__xludf.DUMMYFUNCTION("""COMPUTED_VALUE"""),0.8)</f>
        <v>0.8</v>
      </c>
    </row>
    <row r="1504">
      <c r="K1504" s="4" t="str">
        <f>IFERROR(__xludf.DUMMYFUNCTION("""COMPUTED_VALUE"""),"PIZZARIA BELLA PIZZA")</f>
        <v>PIZZARIA BELLA PIZZA</v>
      </c>
      <c r="L1504" s="32">
        <f>IFERROR(__xludf.DUMMYFUNCTION("""COMPUTED_VALUE"""),5.0)</f>
        <v>5</v>
      </c>
      <c r="M1504" s="4" t="str">
        <f>IFERROR(__xludf.DUMMYFUNCTION("""COMPUTED_VALUE"""),"Saipos Serviços De Software")</f>
        <v>Saipos Serviços De Software</v>
      </c>
      <c r="N1504" s="33">
        <f>IFERROR(__xludf.DUMMYFUNCTION("""COMPUTED_VALUE"""),0.4)</f>
        <v>0.4</v>
      </c>
      <c r="O1504" s="4" t="str">
        <f>IFERROR(__xludf.DUMMYFUNCTION("""COMPUTED_VALUE"""),"Saipos Serviços De Software")</f>
        <v>Saipos Serviços De Software</v>
      </c>
      <c r="P1504" s="33">
        <f>IFERROR(__xludf.DUMMYFUNCTION("""COMPUTED_VALUE"""),0.4)</f>
        <v>0.4</v>
      </c>
      <c r="Q1504" s="4" t="str">
        <f>IFERROR(__xludf.DUMMYFUNCTION("""COMPUTED_VALUE"""),"null")</f>
        <v>null</v>
      </c>
      <c r="R1504" s="33">
        <f>IFERROR(__xludf.DUMMYFUNCTION("""COMPUTED_VALUE"""),0.4)</f>
        <v>0.4</v>
      </c>
      <c r="S1504" s="4" t="str">
        <f>IFERROR(__xludf.DUMMYFUNCTION("""COMPUTED_VALUE"""),"Saipos Serviços De Software")</f>
        <v>Saipos Serviços De Software</v>
      </c>
      <c r="T1504" s="33">
        <f>IFERROR(__xludf.DUMMYFUNCTION("""COMPUTED_VALUE"""),0.4)</f>
        <v>0.4</v>
      </c>
      <c r="U1504" s="4" t="str">
        <f>IFERROR(__xludf.DUMMYFUNCTION("""COMPUTED_VALUE"""),"null")</f>
        <v>null</v>
      </c>
      <c r="V1504" s="33">
        <f>IFERROR(__xludf.DUMMYFUNCTION("""COMPUTED_VALUE"""),0.4)</f>
        <v>0.4</v>
      </c>
      <c r="W1504" s="4" t="str">
        <f>IFERROR(__xludf.DUMMYFUNCTION("""COMPUTED_VALUE"""),"null")</f>
        <v>null</v>
      </c>
      <c r="X1504" s="33">
        <f>IFERROR(__xludf.DUMMYFUNCTION("""COMPUTED_VALUE"""),0.4)</f>
        <v>0.4</v>
      </c>
    </row>
    <row r="1505">
      <c r="K1505" s="4" t="str">
        <f>IFERROR(__xludf.DUMMYFUNCTION("""COMPUTED_VALUE"""),"A CASA DA FEIJOADA")</f>
        <v>A CASA DA FEIJOADA</v>
      </c>
      <c r="L1505" s="32">
        <f>IFERROR(__xludf.DUMMYFUNCTION("""COMPUTED_VALUE"""),5.0)</f>
        <v>5</v>
      </c>
      <c r="M1505" s="4" t="str">
        <f>IFERROR(__xludf.DUMMYFUNCTION("""COMPUTED_VALUE"""),"Saipos Serviços De Software")</f>
        <v>Saipos Serviços De Software</v>
      </c>
      <c r="N1505" s="33">
        <f>IFERROR(__xludf.DUMMYFUNCTION("""COMPUTED_VALUE"""),0.8)</f>
        <v>0.8</v>
      </c>
      <c r="O1505" s="4" t="str">
        <f>IFERROR(__xludf.DUMMYFUNCTION("""COMPUTED_VALUE"""),"Saipos Serviços De Software")</f>
        <v>Saipos Serviços De Software</v>
      </c>
      <c r="P1505" s="33">
        <f>IFERROR(__xludf.DUMMYFUNCTION("""COMPUTED_VALUE"""),0.8)</f>
        <v>0.8</v>
      </c>
      <c r="Q1505" s="4" t="str">
        <f>IFERROR(__xludf.DUMMYFUNCTION("""COMPUTED_VALUE"""),"Saipos Serviços De Software")</f>
        <v>Saipos Serviços De Software</v>
      </c>
      <c r="R1505" s="33">
        <f>IFERROR(__xludf.DUMMYFUNCTION("""COMPUTED_VALUE"""),0.8)</f>
        <v>0.8</v>
      </c>
      <c r="S1505" s="4" t="str">
        <f>IFERROR(__xludf.DUMMYFUNCTION("""COMPUTED_VALUE"""),"Saipos Serviços De Software")</f>
        <v>Saipos Serviços De Software</v>
      </c>
      <c r="T1505" s="33">
        <f>IFERROR(__xludf.DUMMYFUNCTION("""COMPUTED_VALUE"""),0.8)</f>
        <v>0.8</v>
      </c>
      <c r="U1505" s="4" t="str">
        <f>IFERROR(__xludf.DUMMYFUNCTION("""COMPUTED_VALUE"""),"Saipos Serviços De Software")</f>
        <v>Saipos Serviços De Software</v>
      </c>
      <c r="V1505" s="33">
        <f>IFERROR(__xludf.DUMMYFUNCTION("""COMPUTED_VALUE"""),0.8)</f>
        <v>0.8</v>
      </c>
      <c r="W1505" s="4" t="str">
        <f>IFERROR(__xludf.DUMMYFUNCTION("""COMPUTED_VALUE"""),"Saipos Serviços De Software")</f>
        <v>Saipos Serviços De Software</v>
      </c>
      <c r="X1505" s="33">
        <f>IFERROR(__xludf.DUMMYFUNCTION("""COMPUTED_VALUE"""),0.6)</f>
        <v>0.6</v>
      </c>
    </row>
    <row r="1506">
      <c r="K1506" s="4" t="str">
        <f>IFERROR(__xludf.DUMMYFUNCTION("""COMPUTED_VALUE"""),"PIZZA DELIVERY")</f>
        <v>PIZZA DELIVERY</v>
      </c>
      <c r="L1506" s="32">
        <f>IFERROR(__xludf.DUMMYFUNCTION("""COMPUTED_VALUE"""),5.0)</f>
        <v>5</v>
      </c>
      <c r="M1506" s="4" t="str">
        <f>IFERROR(__xludf.DUMMYFUNCTION("""COMPUTED_VALUE"""),"Saipos Serviços De Software")</f>
        <v>Saipos Serviços De Software</v>
      </c>
      <c r="N1506" s="33">
        <f>IFERROR(__xludf.DUMMYFUNCTION("""COMPUTED_VALUE"""),0.6)</f>
        <v>0.6</v>
      </c>
      <c r="O1506" s="4" t="str">
        <f>IFERROR(__xludf.DUMMYFUNCTION("""COMPUTED_VALUE"""),"null")</f>
        <v>null</v>
      </c>
      <c r="P1506" s="33">
        <f>IFERROR(__xludf.DUMMYFUNCTION("""COMPUTED_VALUE"""),0.4)</f>
        <v>0.4</v>
      </c>
      <c r="Q1506" s="4" t="str">
        <f>IFERROR(__xludf.DUMMYFUNCTION("""COMPUTED_VALUE"""),"Saipos Serviços De Software")</f>
        <v>Saipos Serviços De Software</v>
      </c>
      <c r="R1506" s="33">
        <f>IFERROR(__xludf.DUMMYFUNCTION("""COMPUTED_VALUE"""),0.6)</f>
        <v>0.6</v>
      </c>
      <c r="S1506" s="4" t="str">
        <f>IFERROR(__xludf.DUMMYFUNCTION("""COMPUTED_VALUE"""),"null")</f>
        <v>null</v>
      </c>
      <c r="T1506" s="33">
        <f>IFERROR(__xludf.DUMMYFUNCTION("""COMPUTED_VALUE"""),0.6)</f>
        <v>0.6</v>
      </c>
      <c r="U1506" s="4" t="str">
        <f>IFERROR(__xludf.DUMMYFUNCTION("""COMPUTED_VALUE"""),"null")</f>
        <v>null</v>
      </c>
      <c r="V1506" s="33">
        <f>IFERROR(__xludf.DUMMYFUNCTION("""COMPUTED_VALUE"""),0.6)</f>
        <v>0.6</v>
      </c>
      <c r="W1506" s="4" t="str">
        <f>IFERROR(__xludf.DUMMYFUNCTION("""COMPUTED_VALUE"""),"Saipos Serviços De Software")</f>
        <v>Saipos Serviços De Software</v>
      </c>
      <c r="X1506" s="33">
        <f>IFERROR(__xludf.DUMMYFUNCTION("""COMPUTED_VALUE"""),0.6)</f>
        <v>0.6</v>
      </c>
    </row>
    <row r="1507">
      <c r="K1507" s="4" t="str">
        <f>IFERROR(__xludf.DUMMYFUNCTION("""COMPUTED_VALUE"""),"TEMPERO CASEIRO")</f>
        <v>TEMPERO CASEIRO</v>
      </c>
      <c r="L1507" s="32">
        <f>IFERROR(__xludf.DUMMYFUNCTION("""COMPUTED_VALUE"""),5.0)</f>
        <v>5</v>
      </c>
      <c r="M1507" s="4" t="str">
        <f>IFERROR(__xludf.DUMMYFUNCTION("""COMPUTED_VALUE"""),"null")</f>
        <v>null</v>
      </c>
      <c r="N1507" s="33">
        <f>IFERROR(__xludf.DUMMYFUNCTION("""COMPUTED_VALUE"""),0.8)</f>
        <v>0.8</v>
      </c>
      <c r="O1507" s="4" t="str">
        <f>IFERROR(__xludf.DUMMYFUNCTION("""COMPUTED_VALUE"""),"null")</f>
        <v>null</v>
      </c>
      <c r="P1507" s="33">
        <f>IFERROR(__xludf.DUMMYFUNCTION("""COMPUTED_VALUE"""),0.6)</f>
        <v>0.6</v>
      </c>
      <c r="Q1507" s="4" t="str">
        <f>IFERROR(__xludf.DUMMYFUNCTION("""COMPUTED_VALUE"""),"null")</f>
        <v>null</v>
      </c>
      <c r="R1507" s="33">
        <f>IFERROR(__xludf.DUMMYFUNCTION("""COMPUTED_VALUE"""),0.6)</f>
        <v>0.6</v>
      </c>
      <c r="S1507" s="4" t="str">
        <f>IFERROR(__xludf.DUMMYFUNCTION("""COMPUTED_VALUE"""),"null")</f>
        <v>null</v>
      </c>
      <c r="T1507" s="33">
        <f>IFERROR(__xludf.DUMMYFUNCTION("""COMPUTED_VALUE"""),0.4)</f>
        <v>0.4</v>
      </c>
      <c r="U1507" s="4" t="str">
        <f>IFERROR(__xludf.DUMMYFUNCTION("""COMPUTED_VALUE"""),"null")</f>
        <v>null</v>
      </c>
      <c r="V1507" s="33">
        <f>IFERROR(__xludf.DUMMYFUNCTION("""COMPUTED_VALUE"""),0.4)</f>
        <v>0.4</v>
      </c>
      <c r="W1507" s="4" t="str">
        <f>IFERROR(__xludf.DUMMYFUNCTION("""COMPUTED_VALUE"""),"null")</f>
        <v>null</v>
      </c>
      <c r="X1507" s="33">
        <f>IFERROR(__xludf.DUMMYFUNCTION("""COMPUTED_VALUE"""),0.6)</f>
        <v>0.6</v>
      </c>
    </row>
    <row r="1508">
      <c r="K1508" s="4" t="str">
        <f>IFERROR(__xludf.DUMMYFUNCTION("""COMPUTED_VALUE"""),"FARMACIAS ASSOCIADAS")</f>
        <v>FARMACIAS ASSOCIADAS</v>
      </c>
      <c r="L1508" s="32">
        <f>IFERROR(__xludf.DUMMYFUNCTION("""COMPUTED_VALUE"""),5.0)</f>
        <v>5</v>
      </c>
      <c r="M1508" s="4" t="str">
        <f>IFERROR(__xludf.DUMMYFUNCTION("""COMPUTED_VALUE"""),"N/A (Not found)")</f>
        <v>N/A (Not found)</v>
      </c>
      <c r="N1508" s="33">
        <f>IFERROR(__xludf.DUMMYFUNCTION("""COMPUTED_VALUE"""),0.6)</f>
        <v>0.6</v>
      </c>
      <c r="O1508" s="4" t="str">
        <f>IFERROR(__xludf.DUMMYFUNCTION("""COMPUTED_VALUE"""),"null")</f>
        <v>null</v>
      </c>
      <c r="P1508" s="33">
        <f>IFERROR(__xludf.DUMMYFUNCTION("""COMPUTED_VALUE"""),0.6)</f>
        <v>0.6</v>
      </c>
      <c r="Q1508" s="4" t="str">
        <f>IFERROR(__xludf.DUMMYFUNCTION("""COMPUTED_VALUE"""),"null")</f>
        <v>null</v>
      </c>
      <c r="R1508" s="33">
        <f>IFERROR(__xludf.DUMMYFUNCTION("""COMPUTED_VALUE"""),0.6)</f>
        <v>0.6</v>
      </c>
      <c r="S1508" s="4" t="str">
        <f>IFERROR(__xludf.DUMMYFUNCTION("""COMPUTED_VALUE"""),"null")</f>
        <v>null</v>
      </c>
      <c r="T1508" s="33">
        <f>IFERROR(__xludf.DUMMYFUNCTION("""COMPUTED_VALUE"""),0.6)</f>
        <v>0.6</v>
      </c>
      <c r="U1508" s="4" t="str">
        <f>IFERROR(__xludf.DUMMYFUNCTION("""COMPUTED_VALUE"""),"N/A (Not found)")</f>
        <v>N/A (Not found)</v>
      </c>
      <c r="V1508" s="33">
        <f>IFERROR(__xludf.DUMMYFUNCTION("""COMPUTED_VALUE"""),0.6)</f>
        <v>0.6</v>
      </c>
      <c r="W1508" s="4" t="str">
        <f>IFERROR(__xludf.DUMMYFUNCTION("""COMPUTED_VALUE"""),"N/A (Not found)")</f>
        <v>N/A (Not found)</v>
      </c>
      <c r="X1508" s="33">
        <f>IFERROR(__xludf.DUMMYFUNCTION("""COMPUTED_VALUE"""),0.8)</f>
        <v>0.8</v>
      </c>
    </row>
    <row r="1509">
      <c r="K1509" s="4" t="str">
        <f>IFERROR(__xludf.DUMMYFUNCTION("""COMPUTED_VALUE"""),"AMERICAN BURGUER")</f>
        <v>AMERICAN BURGUER</v>
      </c>
      <c r="L1509" s="32">
        <f>IFERROR(__xludf.DUMMYFUNCTION("""COMPUTED_VALUE"""),5.0)</f>
        <v>5</v>
      </c>
      <c r="M1509" s="4" t="str">
        <f>IFERROR(__xludf.DUMMYFUNCTION("""COMPUTED_VALUE"""),"null")</f>
        <v>null</v>
      </c>
      <c r="N1509" s="33">
        <f>IFERROR(__xludf.DUMMYFUNCTION("""COMPUTED_VALUE"""),0.4)</f>
        <v>0.4</v>
      </c>
      <c r="O1509" s="4" t="str">
        <f>IFERROR(__xludf.DUMMYFUNCTION("""COMPUTED_VALUE"""),"null")</f>
        <v>null</v>
      </c>
      <c r="P1509" s="33">
        <f>IFERROR(__xludf.DUMMYFUNCTION("""COMPUTED_VALUE"""),0.4)</f>
        <v>0.4</v>
      </c>
      <c r="Q1509" s="4" t="str">
        <f>IFERROR(__xludf.DUMMYFUNCTION("""COMPUTED_VALUE"""),"null")</f>
        <v>null</v>
      </c>
      <c r="R1509" s="33">
        <f>IFERROR(__xludf.DUMMYFUNCTION("""COMPUTED_VALUE"""),0.6)</f>
        <v>0.6</v>
      </c>
      <c r="S1509" s="4" t="str">
        <f>IFERROR(__xludf.DUMMYFUNCTION("""COMPUTED_VALUE"""),"null")</f>
        <v>null</v>
      </c>
      <c r="T1509" s="33">
        <f>IFERROR(__xludf.DUMMYFUNCTION("""COMPUTED_VALUE"""),0.6)</f>
        <v>0.6</v>
      </c>
      <c r="U1509" s="4" t="str">
        <f>IFERROR(__xludf.DUMMYFUNCTION("""COMPUTED_VALUE"""),"null")</f>
        <v>null</v>
      </c>
      <c r="V1509" s="33">
        <f>IFERROR(__xludf.DUMMYFUNCTION("""COMPUTED_VALUE"""),0.6)</f>
        <v>0.6</v>
      </c>
      <c r="W1509" s="4" t="str">
        <f>IFERROR(__xludf.DUMMYFUNCTION("""COMPUTED_VALUE"""),"null")</f>
        <v>null</v>
      </c>
      <c r="X1509" s="33">
        <f>IFERROR(__xludf.DUMMYFUNCTION("""COMPUTED_VALUE"""),0.4)</f>
        <v>0.4</v>
      </c>
    </row>
    <row r="1510">
      <c r="K1510" s="4" t="str">
        <f>IFERROR(__xludf.DUMMYFUNCTION("""COMPUTED_VALUE"""),"ANDRE LANCHES")</f>
        <v>ANDRE LANCHES</v>
      </c>
      <c r="L1510" s="32">
        <f>IFERROR(__xludf.DUMMYFUNCTION("""COMPUTED_VALUE"""),5.0)</f>
        <v>5</v>
      </c>
      <c r="M1510" s="4" t="str">
        <f>IFERROR(__xludf.DUMMYFUNCTION("""COMPUTED_VALUE"""),"Cloudfy")</f>
        <v>Cloudfy</v>
      </c>
      <c r="N1510" s="33">
        <f>IFERROR(__xludf.DUMMYFUNCTION("""COMPUTED_VALUE"""),0.6)</f>
        <v>0.6</v>
      </c>
      <c r="O1510" s="4" t="str">
        <f>IFERROR(__xludf.DUMMYFUNCTION("""COMPUTED_VALUE"""),"Cloudfy")</f>
        <v>Cloudfy</v>
      </c>
      <c r="P1510" s="33">
        <f>IFERROR(__xludf.DUMMYFUNCTION("""COMPUTED_VALUE"""),0.6)</f>
        <v>0.6</v>
      </c>
      <c r="Q1510" s="4" t="str">
        <f>IFERROR(__xludf.DUMMYFUNCTION("""COMPUTED_VALUE"""),"Cloudfy")</f>
        <v>Cloudfy</v>
      </c>
      <c r="R1510" s="33">
        <f>IFERROR(__xludf.DUMMYFUNCTION("""COMPUTED_VALUE"""),0.6)</f>
        <v>0.6</v>
      </c>
      <c r="S1510" s="4" t="str">
        <f>IFERROR(__xludf.DUMMYFUNCTION("""COMPUTED_VALUE"""),"Cloudfy")</f>
        <v>Cloudfy</v>
      </c>
      <c r="T1510" s="33">
        <f>IFERROR(__xludf.DUMMYFUNCTION("""COMPUTED_VALUE"""),0.8)</f>
        <v>0.8</v>
      </c>
      <c r="U1510" s="4" t="str">
        <f>IFERROR(__xludf.DUMMYFUNCTION("""COMPUTED_VALUE"""),"Cloudfy")</f>
        <v>Cloudfy</v>
      </c>
      <c r="V1510" s="33">
        <f>IFERROR(__xludf.DUMMYFUNCTION("""COMPUTED_VALUE"""),0.8)</f>
        <v>0.8</v>
      </c>
      <c r="W1510" s="4" t="str">
        <f>IFERROR(__xludf.DUMMYFUNCTION("""COMPUTED_VALUE"""),"Cloudfy")</f>
        <v>Cloudfy</v>
      </c>
      <c r="X1510" s="33">
        <f>IFERROR(__xludf.DUMMYFUNCTION("""COMPUTED_VALUE"""),0.8)</f>
        <v>0.8</v>
      </c>
    </row>
    <row r="1511">
      <c r="K1511" s="4" t="str">
        <f>IFERROR(__xludf.DUMMYFUNCTION("""COMPUTED_VALUE"""),"NA BRASA")</f>
        <v>NA BRASA</v>
      </c>
      <c r="L1511" s="32">
        <f>IFERROR(__xludf.DUMMYFUNCTION("""COMPUTED_VALUE"""),5.0)</f>
        <v>5</v>
      </c>
      <c r="M1511" s="4" t="str">
        <f>IFERROR(__xludf.DUMMYFUNCTION("""COMPUTED_VALUE"""),"null")</f>
        <v>null</v>
      </c>
      <c r="N1511" s="33">
        <f>IFERROR(__xludf.DUMMYFUNCTION("""COMPUTED_VALUE"""),0.6)</f>
        <v>0.6</v>
      </c>
      <c r="O1511" s="4" t="str">
        <f>IFERROR(__xludf.DUMMYFUNCTION("""COMPUTED_VALUE"""),"Starway Sistemas")</f>
        <v>Starway Sistemas</v>
      </c>
      <c r="P1511" s="33">
        <f>IFERROR(__xludf.DUMMYFUNCTION("""COMPUTED_VALUE"""),0.4)</f>
        <v>0.4</v>
      </c>
      <c r="Q1511" s="4" t="str">
        <f>IFERROR(__xludf.DUMMYFUNCTION("""COMPUTED_VALUE"""),"Starway Sistemas")</f>
        <v>Starway Sistemas</v>
      </c>
      <c r="R1511" s="33">
        <f>IFERROR(__xludf.DUMMYFUNCTION("""COMPUTED_VALUE"""),0.4)</f>
        <v>0.4</v>
      </c>
      <c r="S1511" s="4" t="str">
        <f>IFERROR(__xludf.DUMMYFUNCTION("""COMPUTED_VALUE"""),"null")</f>
        <v>null</v>
      </c>
      <c r="T1511" s="33">
        <f>IFERROR(__xludf.DUMMYFUNCTION("""COMPUTED_VALUE"""),0.4)</f>
        <v>0.4</v>
      </c>
      <c r="U1511" s="4" t="str">
        <f>IFERROR(__xludf.DUMMYFUNCTION("""COMPUTED_VALUE"""),"null")</f>
        <v>null</v>
      </c>
      <c r="V1511" s="33">
        <f>IFERROR(__xludf.DUMMYFUNCTION("""COMPUTED_VALUE"""),0.4)</f>
        <v>0.4</v>
      </c>
      <c r="W1511" s="4" t="str">
        <f>IFERROR(__xludf.DUMMYFUNCTION("""COMPUTED_VALUE"""),"null")</f>
        <v>null</v>
      </c>
      <c r="X1511" s="33">
        <f>IFERROR(__xludf.DUMMYFUNCTION("""COMPUTED_VALUE"""),0.4)</f>
        <v>0.4</v>
      </c>
    </row>
    <row r="1512">
      <c r="K1512" s="4" t="str">
        <f>IFERROR(__xludf.DUMMYFUNCTION("""COMPUTED_VALUE"""),"CHAPA QUENTE LANCHES")</f>
        <v>CHAPA QUENTE LANCHES</v>
      </c>
      <c r="L1512" s="32">
        <f>IFERROR(__xludf.DUMMYFUNCTION("""COMPUTED_VALUE"""),5.0)</f>
        <v>5</v>
      </c>
      <c r="M1512" s="4" t="str">
        <f>IFERROR(__xludf.DUMMYFUNCTION("""COMPUTED_VALUE"""),"Menew - Linx")</f>
        <v>Menew - Linx</v>
      </c>
      <c r="N1512" s="33">
        <f>IFERROR(__xludf.DUMMYFUNCTION("""COMPUTED_VALUE"""),0.2)</f>
        <v>0.2</v>
      </c>
      <c r="O1512" s="4" t="str">
        <f>IFERROR(__xludf.DUMMYFUNCTION("""COMPUTED_VALUE"""),"Menew - Linx")</f>
        <v>Menew - Linx</v>
      </c>
      <c r="P1512" s="33">
        <f>IFERROR(__xludf.DUMMYFUNCTION("""COMPUTED_VALUE"""),0.2)</f>
        <v>0.2</v>
      </c>
      <c r="Q1512" s="4" t="str">
        <f>IFERROR(__xludf.DUMMYFUNCTION("""COMPUTED_VALUE"""),"Menew - Linx")</f>
        <v>Menew - Linx</v>
      </c>
      <c r="R1512" s="33">
        <f>IFERROR(__xludf.DUMMYFUNCTION("""COMPUTED_VALUE"""),0.2)</f>
        <v>0.2</v>
      </c>
      <c r="S1512" s="4" t="str">
        <f>IFERROR(__xludf.DUMMYFUNCTION("""COMPUTED_VALUE"""),"Menew - Linx")</f>
        <v>Menew - Linx</v>
      </c>
      <c r="T1512" s="33">
        <f>IFERROR(__xludf.DUMMYFUNCTION("""COMPUTED_VALUE"""),0.2)</f>
        <v>0.2</v>
      </c>
      <c r="U1512" s="4" t="str">
        <f>IFERROR(__xludf.DUMMYFUNCTION("""COMPUTED_VALUE"""),"Menew - Linx")</f>
        <v>Menew - Linx</v>
      </c>
      <c r="V1512" s="33">
        <f>IFERROR(__xludf.DUMMYFUNCTION("""COMPUTED_VALUE"""),0.2)</f>
        <v>0.2</v>
      </c>
      <c r="W1512" s="4" t="str">
        <f>IFERROR(__xludf.DUMMYFUNCTION("""COMPUTED_VALUE"""),"Menew - Linx")</f>
        <v>Menew - Linx</v>
      </c>
      <c r="X1512" s="33">
        <f>IFERROR(__xludf.DUMMYFUNCTION("""COMPUTED_VALUE"""),0.2)</f>
        <v>0.2</v>
      </c>
    </row>
    <row r="1513">
      <c r="K1513" s="4" t="str">
        <f>IFERROR(__xludf.DUMMYFUNCTION("""COMPUTED_VALUE"""),"ALEMAO LANCHES")</f>
        <v>ALEMAO LANCHES</v>
      </c>
      <c r="L1513" s="32">
        <f>IFERROR(__xludf.DUMMYFUNCTION("""COMPUTED_VALUE"""),5.0)</f>
        <v>5</v>
      </c>
      <c r="M1513" s="4" t="str">
        <f>IFERROR(__xludf.DUMMYFUNCTION("""COMPUTED_VALUE"""),"G A De Cavalcanti Junior &amp; Cia Ltda Me")</f>
        <v>G A De Cavalcanti Junior &amp; Cia Ltda Me</v>
      </c>
      <c r="N1513" s="33">
        <f>IFERROR(__xludf.DUMMYFUNCTION("""COMPUTED_VALUE"""),0.2)</f>
        <v>0.2</v>
      </c>
      <c r="O1513" s="4" t="str">
        <f>IFERROR(__xludf.DUMMYFUNCTION("""COMPUTED_VALUE"""),"G A De Cavalcanti Junior &amp; Cia Ltda Me")</f>
        <v>G A De Cavalcanti Junior &amp; Cia Ltda Me</v>
      </c>
      <c r="P1513" s="33">
        <f>IFERROR(__xludf.DUMMYFUNCTION("""COMPUTED_VALUE"""),0.2)</f>
        <v>0.2</v>
      </c>
      <c r="Q1513" s="4" t="str">
        <f>IFERROR(__xludf.DUMMYFUNCTION("""COMPUTED_VALUE"""),"null")</f>
        <v>null</v>
      </c>
      <c r="R1513" s="33">
        <f>IFERROR(__xludf.DUMMYFUNCTION("""COMPUTED_VALUE"""),0.6)</f>
        <v>0.6</v>
      </c>
      <c r="S1513" s="4" t="str">
        <f>IFERROR(__xludf.DUMMYFUNCTION("""COMPUTED_VALUE"""),"null")</f>
        <v>null</v>
      </c>
      <c r="T1513" s="33">
        <f>IFERROR(__xludf.DUMMYFUNCTION("""COMPUTED_VALUE"""),0.6)</f>
        <v>0.6</v>
      </c>
      <c r="U1513" s="4" t="str">
        <f>IFERROR(__xludf.DUMMYFUNCTION("""COMPUTED_VALUE"""),"null")</f>
        <v>null</v>
      </c>
      <c r="V1513" s="33">
        <f>IFERROR(__xludf.DUMMYFUNCTION("""COMPUTED_VALUE"""),0.6)</f>
        <v>0.6</v>
      </c>
      <c r="W1513" s="4" t="str">
        <f>IFERROR(__xludf.DUMMYFUNCTION("""COMPUTED_VALUE"""),"null")</f>
        <v>null</v>
      </c>
      <c r="X1513" s="33">
        <f>IFERROR(__xludf.DUMMYFUNCTION("""COMPUTED_VALUE"""),0.6)</f>
        <v>0.6</v>
      </c>
    </row>
    <row r="1514">
      <c r="K1514" s="4" t="str">
        <f>IFERROR(__xludf.DUMMYFUNCTION("""COMPUTED_VALUE"""),"PIZZARIA DO ALEMAO")</f>
        <v>PIZZARIA DO ALEMAO</v>
      </c>
      <c r="L1514" s="32">
        <f>IFERROR(__xludf.DUMMYFUNCTION("""COMPUTED_VALUE"""),5.0)</f>
        <v>5</v>
      </c>
      <c r="M1514" s="4" t="str">
        <f>IFERROR(__xludf.DUMMYFUNCTION("""COMPUTED_VALUE"""),"Saipos Serviços De Software")</f>
        <v>Saipos Serviços De Software</v>
      </c>
      <c r="N1514" s="33">
        <f>IFERROR(__xludf.DUMMYFUNCTION("""COMPUTED_VALUE"""),0.2)</f>
        <v>0.2</v>
      </c>
      <c r="O1514" s="4" t="str">
        <f>IFERROR(__xludf.DUMMYFUNCTION("""COMPUTED_VALUE"""),"Saipos Serviços De Software")</f>
        <v>Saipos Serviços De Software</v>
      </c>
      <c r="P1514" s="33">
        <f>IFERROR(__xludf.DUMMYFUNCTION("""COMPUTED_VALUE"""),0.2)</f>
        <v>0.2</v>
      </c>
      <c r="Q1514" s="4" t="str">
        <f>IFERROR(__xludf.DUMMYFUNCTION("""COMPUTED_VALUE"""),"Saipos Serviços De Software")</f>
        <v>Saipos Serviços De Software</v>
      </c>
      <c r="R1514" s="33">
        <f>IFERROR(__xludf.DUMMYFUNCTION("""COMPUTED_VALUE"""),0.2)</f>
        <v>0.2</v>
      </c>
      <c r="S1514" s="4" t="str">
        <f>IFERROR(__xludf.DUMMYFUNCTION("""COMPUTED_VALUE"""),"null")</f>
        <v>null</v>
      </c>
      <c r="T1514" s="33">
        <f>IFERROR(__xludf.DUMMYFUNCTION("""COMPUTED_VALUE"""),0.2)</f>
        <v>0.2</v>
      </c>
      <c r="U1514" s="4" t="str">
        <f>IFERROR(__xludf.DUMMYFUNCTION("""COMPUTED_VALUE"""),"Saipos Serviços De Software")</f>
        <v>Saipos Serviços De Software</v>
      </c>
      <c r="V1514" s="33">
        <f>IFERROR(__xludf.DUMMYFUNCTION("""COMPUTED_VALUE"""),0.2)</f>
        <v>0.2</v>
      </c>
      <c r="W1514" s="4" t="str">
        <f>IFERROR(__xludf.DUMMYFUNCTION("""COMPUTED_VALUE"""),"Saipos Serviços De Software")</f>
        <v>Saipos Serviços De Software</v>
      </c>
      <c r="X1514" s="33">
        <f>IFERROR(__xludf.DUMMYFUNCTION("""COMPUTED_VALUE"""),0.2)</f>
        <v>0.2</v>
      </c>
    </row>
    <row r="1515">
      <c r="K1515" s="4" t="str">
        <f>IFERROR(__xludf.DUMMYFUNCTION("""COMPUTED_VALUE"""),"CANTINHO DA MARMITA")</f>
        <v>CANTINHO DA MARMITA</v>
      </c>
      <c r="L1515" s="32">
        <f>IFERROR(__xludf.DUMMYFUNCTION("""COMPUTED_VALUE"""),5.0)</f>
        <v>5</v>
      </c>
      <c r="M1515" s="4" t="str">
        <f>IFERROR(__xludf.DUMMYFUNCTION("""COMPUTED_VALUE"""),"Anota Ai Solucoes Digitais S/a")</f>
        <v>Anota Ai Solucoes Digitais S/a</v>
      </c>
      <c r="N1515" s="33">
        <f>IFERROR(__xludf.DUMMYFUNCTION("""COMPUTED_VALUE"""),0.4)</f>
        <v>0.4</v>
      </c>
      <c r="O1515" s="4" t="str">
        <f>IFERROR(__xludf.DUMMYFUNCTION("""COMPUTED_VALUE"""),"null")</f>
        <v>null</v>
      </c>
      <c r="P1515" s="33">
        <f>IFERROR(__xludf.DUMMYFUNCTION("""COMPUTED_VALUE"""),0.6)</f>
        <v>0.6</v>
      </c>
      <c r="Q1515" s="4" t="str">
        <f>IFERROR(__xludf.DUMMYFUNCTION("""COMPUTED_VALUE"""),"null")</f>
        <v>null</v>
      </c>
      <c r="R1515" s="33">
        <f>IFERROR(__xludf.DUMMYFUNCTION("""COMPUTED_VALUE"""),0.4)</f>
        <v>0.4</v>
      </c>
      <c r="S1515" s="4" t="str">
        <f>IFERROR(__xludf.DUMMYFUNCTION("""COMPUTED_VALUE"""),"Anota Ai Solucoes Digitais S/a")</f>
        <v>Anota Ai Solucoes Digitais S/a</v>
      </c>
      <c r="T1515" s="33">
        <f>IFERROR(__xludf.DUMMYFUNCTION("""COMPUTED_VALUE"""),0.4)</f>
        <v>0.4</v>
      </c>
      <c r="U1515" s="4" t="str">
        <f>IFERROR(__xludf.DUMMYFUNCTION("""COMPUTED_VALUE"""),"Anota Ai Solucoes Digitais S/a")</f>
        <v>Anota Ai Solucoes Digitais S/a</v>
      </c>
      <c r="V1515" s="33">
        <f>IFERROR(__xludf.DUMMYFUNCTION("""COMPUTED_VALUE"""),0.4)</f>
        <v>0.4</v>
      </c>
      <c r="W1515" s="4" t="str">
        <f>IFERROR(__xludf.DUMMYFUNCTION("""COMPUTED_VALUE"""),"Anota Ai Solucoes Digitais S/a")</f>
        <v>Anota Ai Solucoes Digitais S/a</v>
      </c>
      <c r="X1515" s="33">
        <f>IFERROR(__xludf.DUMMYFUNCTION("""COMPUTED_VALUE"""),0.4)</f>
        <v>0.4</v>
      </c>
    </row>
    <row r="1516">
      <c r="K1516" s="4" t="str">
        <f>IFERROR(__xludf.DUMMYFUNCTION("""COMPUTED_VALUE"""),"RECANTO DO ACAI")</f>
        <v>RECANTO DO ACAI</v>
      </c>
      <c r="L1516" s="32">
        <f>IFERROR(__xludf.DUMMYFUNCTION("""COMPUTED_VALUE"""),5.0)</f>
        <v>5</v>
      </c>
      <c r="M1516" s="4" t="str">
        <f>IFERROR(__xludf.DUMMYFUNCTION("""COMPUTED_VALUE"""),"null")</f>
        <v>null</v>
      </c>
      <c r="N1516" s="33">
        <f>IFERROR(__xludf.DUMMYFUNCTION("""COMPUTED_VALUE"""),0.6)</f>
        <v>0.6</v>
      </c>
      <c r="O1516" s="4" t="str">
        <f>IFERROR(__xludf.DUMMYFUNCTION("""COMPUTED_VALUE"""),"null")</f>
        <v>null</v>
      </c>
      <c r="P1516" s="33">
        <f>IFERROR(__xludf.DUMMYFUNCTION("""COMPUTED_VALUE"""),0.6)</f>
        <v>0.6</v>
      </c>
      <c r="Q1516" s="4" t="str">
        <f>IFERROR(__xludf.DUMMYFUNCTION("""COMPUTED_VALUE"""),"null")</f>
        <v>null</v>
      </c>
      <c r="R1516" s="33">
        <f>IFERROR(__xludf.DUMMYFUNCTION("""COMPUTED_VALUE"""),0.6)</f>
        <v>0.6</v>
      </c>
      <c r="S1516" s="4" t="str">
        <f>IFERROR(__xludf.DUMMYFUNCTION("""COMPUTED_VALUE"""),"null")</f>
        <v>null</v>
      </c>
      <c r="T1516" s="33">
        <f>IFERROR(__xludf.DUMMYFUNCTION("""COMPUTED_VALUE"""),0.4)</f>
        <v>0.4</v>
      </c>
      <c r="U1516" s="4" t="str">
        <f>IFERROR(__xludf.DUMMYFUNCTION("""COMPUTED_VALUE"""),"Instadelivery")</f>
        <v>Instadelivery</v>
      </c>
      <c r="V1516" s="33">
        <f>IFERROR(__xludf.DUMMYFUNCTION("""COMPUTED_VALUE"""),0.4)</f>
        <v>0.4</v>
      </c>
      <c r="W1516" s="4" t="str">
        <f>IFERROR(__xludf.DUMMYFUNCTION("""COMPUTED_VALUE"""),"Instadelivery")</f>
        <v>Instadelivery</v>
      </c>
      <c r="X1516" s="33">
        <f>IFERROR(__xludf.DUMMYFUNCTION("""COMPUTED_VALUE"""),0.4)</f>
        <v>0.4</v>
      </c>
    </row>
    <row r="1517">
      <c r="K1517" s="4" t="str">
        <f>IFERROR(__xludf.DUMMYFUNCTION("""COMPUTED_VALUE"""),"MEGA LANCHES")</f>
        <v>MEGA LANCHES</v>
      </c>
      <c r="L1517" s="32">
        <f>IFERROR(__xludf.DUMMYFUNCTION("""COMPUTED_VALUE"""),5.0)</f>
        <v>5</v>
      </c>
      <c r="M1517" s="4" t="str">
        <f>IFERROR(__xludf.DUMMYFUNCTION("""COMPUTED_VALUE"""),"Saipos Serviços De Software")</f>
        <v>Saipos Serviços De Software</v>
      </c>
      <c r="N1517" s="33">
        <f>IFERROR(__xludf.DUMMYFUNCTION("""COMPUTED_VALUE"""),0.4)</f>
        <v>0.4</v>
      </c>
      <c r="O1517" s="4" t="str">
        <f>IFERROR(__xludf.DUMMYFUNCTION("""COMPUTED_VALUE"""),"Saipos Serviços De Software")</f>
        <v>Saipos Serviços De Software</v>
      </c>
      <c r="P1517" s="33">
        <f>IFERROR(__xludf.DUMMYFUNCTION("""COMPUTED_VALUE"""),0.4)</f>
        <v>0.4</v>
      </c>
      <c r="Q1517" s="4" t="str">
        <f>IFERROR(__xludf.DUMMYFUNCTION("""COMPUTED_VALUE"""),"Saipos Serviços De Software")</f>
        <v>Saipos Serviços De Software</v>
      </c>
      <c r="R1517" s="33">
        <f>IFERROR(__xludf.DUMMYFUNCTION("""COMPUTED_VALUE"""),0.4)</f>
        <v>0.4</v>
      </c>
      <c r="S1517" s="4" t="str">
        <f>IFERROR(__xludf.DUMMYFUNCTION("""COMPUTED_VALUE"""),"Saipos Serviços De Software")</f>
        <v>Saipos Serviços De Software</v>
      </c>
      <c r="T1517" s="33">
        <f>IFERROR(__xludf.DUMMYFUNCTION("""COMPUTED_VALUE"""),0.4)</f>
        <v>0.4</v>
      </c>
      <c r="U1517" s="4" t="str">
        <f>IFERROR(__xludf.DUMMYFUNCTION("""COMPUTED_VALUE"""),"null")</f>
        <v>null</v>
      </c>
      <c r="V1517" s="33">
        <f>IFERROR(__xludf.DUMMYFUNCTION("""COMPUTED_VALUE"""),0.4)</f>
        <v>0.4</v>
      </c>
      <c r="W1517" s="4" t="str">
        <f>IFERROR(__xludf.DUMMYFUNCTION("""COMPUTED_VALUE"""),"null")</f>
        <v>null</v>
      </c>
      <c r="X1517" s="33">
        <f>IFERROR(__xludf.DUMMYFUNCTION("""COMPUTED_VALUE"""),0.4)</f>
        <v>0.4</v>
      </c>
    </row>
    <row r="1518">
      <c r="K1518" s="4" t="str">
        <f>IFERROR(__xludf.DUMMYFUNCTION("""COMPUTED_VALUE"""),"DROGARIA MAIS BRASIL")</f>
        <v>DROGARIA MAIS BRASIL</v>
      </c>
      <c r="L1518" s="32">
        <f>IFERROR(__xludf.DUMMYFUNCTION("""COMPUTED_VALUE"""),5.0)</f>
        <v>5</v>
      </c>
      <c r="M1518" s="4" t="str">
        <f>IFERROR(__xludf.DUMMYFUNCTION("""COMPUTED_VALUE"""),"N/A (Not found)")</f>
        <v>N/A (Not found)</v>
      </c>
      <c r="N1518" s="33">
        <f>IFERROR(__xludf.DUMMYFUNCTION("""COMPUTED_VALUE"""),0.6)</f>
        <v>0.6</v>
      </c>
      <c r="O1518" s="4" t="str">
        <f>IFERROR(__xludf.DUMMYFUNCTION("""COMPUTED_VALUE"""),"N/A (Not found)")</f>
        <v>N/A (Not found)</v>
      </c>
      <c r="P1518" s="33">
        <f>IFERROR(__xludf.DUMMYFUNCTION("""COMPUTED_VALUE"""),0.8)</f>
        <v>0.8</v>
      </c>
      <c r="Q1518" s="4" t="str">
        <f>IFERROR(__xludf.DUMMYFUNCTION("""COMPUTED_VALUE"""),"N/A (Not found)")</f>
        <v>N/A (Not found)</v>
      </c>
      <c r="R1518" s="33">
        <f>IFERROR(__xludf.DUMMYFUNCTION("""COMPUTED_VALUE"""),0.8)</f>
        <v>0.8</v>
      </c>
      <c r="S1518" s="4" t="str">
        <f>IFERROR(__xludf.DUMMYFUNCTION("""COMPUTED_VALUE"""),"N/A (Not found)")</f>
        <v>N/A (Not found)</v>
      </c>
      <c r="T1518" s="33">
        <f>IFERROR(__xludf.DUMMYFUNCTION("""COMPUTED_VALUE"""),1.0)</f>
        <v>1</v>
      </c>
      <c r="U1518" s="4" t="str">
        <f>IFERROR(__xludf.DUMMYFUNCTION("""COMPUTED_VALUE"""),"N/A (Not found)")</f>
        <v>N/A (Not found)</v>
      </c>
      <c r="V1518" s="33">
        <f>IFERROR(__xludf.DUMMYFUNCTION("""COMPUTED_VALUE"""),1.0)</f>
        <v>1</v>
      </c>
      <c r="W1518" s="4" t="str">
        <f>IFERROR(__xludf.DUMMYFUNCTION("""COMPUTED_VALUE"""),"N/A (Not found)")</f>
        <v>N/A (Not found)</v>
      </c>
      <c r="X1518" s="33">
        <f>IFERROR(__xludf.DUMMYFUNCTION("""COMPUTED_VALUE"""),1.0)</f>
        <v>1</v>
      </c>
    </row>
    <row r="1519">
      <c r="K1519" s="4" t="str">
        <f>IFERROR(__xludf.DUMMYFUNCTION("""COMPUTED_VALUE"""),"SABOR NORDESTINO")</f>
        <v>SABOR NORDESTINO</v>
      </c>
      <c r="L1519" s="32">
        <f>IFERROR(__xludf.DUMMYFUNCTION("""COMPUTED_VALUE"""),5.0)</f>
        <v>5</v>
      </c>
      <c r="M1519" s="4" t="str">
        <f>IFERROR(__xludf.DUMMYFUNCTION("""COMPUTED_VALUE"""),"Netcontroll Xmenu")</f>
        <v>Netcontroll Xmenu</v>
      </c>
      <c r="N1519" s="33">
        <f>IFERROR(__xludf.DUMMYFUNCTION("""COMPUTED_VALUE"""),0.6666666666666666)</f>
        <v>0.6666666667</v>
      </c>
      <c r="O1519" s="4" t="str">
        <f>IFERROR(__xludf.DUMMYFUNCTION("""COMPUTED_VALUE"""),"Netcontroll Xmenu")</f>
        <v>Netcontroll Xmenu</v>
      </c>
      <c r="P1519" s="33">
        <f>IFERROR(__xludf.DUMMYFUNCTION("""COMPUTED_VALUE"""),0.6666666666666666)</f>
        <v>0.6666666667</v>
      </c>
      <c r="Q1519" s="4" t="str">
        <f>IFERROR(__xludf.DUMMYFUNCTION("""COMPUTED_VALUE"""),"Netcontroll Xmenu")</f>
        <v>Netcontroll Xmenu</v>
      </c>
      <c r="R1519" s="33">
        <f>IFERROR(__xludf.DUMMYFUNCTION("""COMPUTED_VALUE"""),0.6666666666666666)</f>
        <v>0.6666666667</v>
      </c>
      <c r="S1519" s="4" t="str">
        <f>IFERROR(__xludf.DUMMYFUNCTION("""COMPUTED_VALUE"""),"Netcontroll Xmenu")</f>
        <v>Netcontroll Xmenu</v>
      </c>
      <c r="T1519" s="33">
        <f>IFERROR(__xludf.DUMMYFUNCTION("""COMPUTED_VALUE"""),0.6666666666666666)</f>
        <v>0.6666666667</v>
      </c>
      <c r="U1519" s="4" t="str">
        <f>IFERROR(__xludf.DUMMYFUNCTION("""COMPUTED_VALUE"""),"Netcontroll Xmenu")</f>
        <v>Netcontroll Xmenu</v>
      </c>
      <c r="V1519" s="33">
        <f>IFERROR(__xludf.DUMMYFUNCTION("""COMPUTED_VALUE"""),0.6666666666666666)</f>
        <v>0.6666666667</v>
      </c>
      <c r="W1519" s="4" t="str">
        <f>IFERROR(__xludf.DUMMYFUNCTION("""COMPUTED_VALUE"""),"Netcontroll Xmenu")</f>
        <v>Netcontroll Xmenu</v>
      </c>
      <c r="X1519" s="33">
        <f>IFERROR(__xludf.DUMMYFUNCTION("""COMPUTED_VALUE"""),0.6666666666666666)</f>
        <v>0.6666666667</v>
      </c>
    </row>
    <row r="1520">
      <c r="K1520" s="4" t="str">
        <f>IFERROR(__xludf.DUMMYFUNCTION("""COMPUTED_VALUE"""),"SANTO BURGER")</f>
        <v>SANTO BURGER</v>
      </c>
      <c r="L1520" s="32">
        <f>IFERROR(__xludf.DUMMYFUNCTION("""COMPUTED_VALUE"""),5.0)</f>
        <v>5</v>
      </c>
      <c r="M1520" s="4" t="str">
        <f>IFERROR(__xludf.DUMMYFUNCTION("""COMPUTED_VALUE"""),"Saipos Serviços De Software")</f>
        <v>Saipos Serviços De Software</v>
      </c>
      <c r="N1520" s="33">
        <f>IFERROR(__xludf.DUMMYFUNCTION("""COMPUTED_VALUE"""),0.2)</f>
        <v>0.2</v>
      </c>
      <c r="O1520" s="4" t="str">
        <f>IFERROR(__xludf.DUMMYFUNCTION("""COMPUTED_VALUE"""),"Saipos Serviços De Software")</f>
        <v>Saipos Serviços De Software</v>
      </c>
      <c r="P1520" s="33">
        <f>IFERROR(__xludf.DUMMYFUNCTION("""COMPUTED_VALUE"""),0.2)</f>
        <v>0.2</v>
      </c>
      <c r="Q1520" s="4" t="str">
        <f>IFERROR(__xludf.DUMMYFUNCTION("""COMPUTED_VALUE"""),"Saipos Serviços De Software")</f>
        <v>Saipos Serviços De Software</v>
      </c>
      <c r="R1520" s="33">
        <f>IFERROR(__xludf.DUMMYFUNCTION("""COMPUTED_VALUE"""),0.2)</f>
        <v>0.2</v>
      </c>
      <c r="S1520" s="4" t="str">
        <f>IFERROR(__xludf.DUMMYFUNCTION("""COMPUTED_VALUE"""),"Saipos Serviços De Software")</f>
        <v>Saipos Serviços De Software</v>
      </c>
      <c r="T1520" s="33">
        <f>IFERROR(__xludf.DUMMYFUNCTION("""COMPUTED_VALUE"""),0.2)</f>
        <v>0.2</v>
      </c>
      <c r="U1520" s="4" t="str">
        <f>IFERROR(__xludf.DUMMYFUNCTION("""COMPUTED_VALUE"""),"null")</f>
        <v>null</v>
      </c>
      <c r="V1520" s="33">
        <f>IFERROR(__xludf.DUMMYFUNCTION("""COMPUTED_VALUE"""),0.4)</f>
        <v>0.4</v>
      </c>
      <c r="W1520" s="4" t="str">
        <f>IFERROR(__xludf.DUMMYFUNCTION("""COMPUTED_VALUE"""),"Saipos Serviços De Software")</f>
        <v>Saipos Serviços De Software</v>
      </c>
      <c r="X1520" s="33">
        <f>IFERROR(__xludf.DUMMYFUNCTION("""COMPUTED_VALUE"""),0.4)</f>
        <v>0.4</v>
      </c>
    </row>
    <row r="1521">
      <c r="K1521" s="4" t="str">
        <f>IFERROR(__xludf.DUMMYFUNCTION("""COMPUTED_VALUE"""),"PARADA DO ACAI")</f>
        <v>PARADA DO ACAI</v>
      </c>
      <c r="L1521" s="32">
        <f>IFERROR(__xludf.DUMMYFUNCTION("""COMPUTED_VALUE"""),5.0)</f>
        <v>5</v>
      </c>
      <c r="M1521" s="4" t="str">
        <f>IFERROR(__xludf.DUMMYFUNCTION("""COMPUTED_VALUE"""),"M-du Tecnologia")</f>
        <v>M-du Tecnologia</v>
      </c>
      <c r="N1521" s="33">
        <f>IFERROR(__xludf.DUMMYFUNCTION("""COMPUTED_VALUE"""),0.4)</f>
        <v>0.4</v>
      </c>
      <c r="O1521" s="4" t="str">
        <f>IFERROR(__xludf.DUMMYFUNCTION("""COMPUTED_VALUE"""),"M-du Tecnologia")</f>
        <v>M-du Tecnologia</v>
      </c>
      <c r="P1521" s="33">
        <f>IFERROR(__xludf.DUMMYFUNCTION("""COMPUTED_VALUE"""),0.4)</f>
        <v>0.4</v>
      </c>
      <c r="Q1521" s="4" t="str">
        <f>IFERROR(__xludf.DUMMYFUNCTION("""COMPUTED_VALUE"""),"M-du Tecnologia")</f>
        <v>M-du Tecnologia</v>
      </c>
      <c r="R1521" s="33">
        <f>IFERROR(__xludf.DUMMYFUNCTION("""COMPUTED_VALUE"""),0.4)</f>
        <v>0.4</v>
      </c>
      <c r="S1521" s="4" t="str">
        <f>IFERROR(__xludf.DUMMYFUNCTION("""COMPUTED_VALUE"""),"M-du Tecnologia")</f>
        <v>M-du Tecnologia</v>
      </c>
      <c r="T1521" s="33">
        <f>IFERROR(__xludf.DUMMYFUNCTION("""COMPUTED_VALUE"""),0.4)</f>
        <v>0.4</v>
      </c>
      <c r="U1521" s="4" t="str">
        <f>IFERROR(__xludf.DUMMYFUNCTION("""COMPUTED_VALUE"""),"M-du Tecnologia")</f>
        <v>M-du Tecnologia</v>
      </c>
      <c r="V1521" s="33">
        <f>IFERROR(__xludf.DUMMYFUNCTION("""COMPUTED_VALUE"""),0.4)</f>
        <v>0.4</v>
      </c>
      <c r="W1521" s="4" t="str">
        <f>IFERROR(__xludf.DUMMYFUNCTION("""COMPUTED_VALUE"""),"M-du Tecnologia")</f>
        <v>M-du Tecnologia</v>
      </c>
      <c r="X1521" s="33">
        <f>IFERROR(__xludf.DUMMYFUNCTION("""COMPUTED_VALUE"""),0.4)</f>
        <v>0.4</v>
      </c>
    </row>
    <row r="1522">
      <c r="K1522" s="4" t="str">
        <f>IFERROR(__xludf.DUMMYFUNCTION("""COMPUTED_VALUE"""),"PIZZARIA FAVORITA")</f>
        <v>PIZZARIA FAVORITA</v>
      </c>
      <c r="L1522" s="32">
        <f>IFERROR(__xludf.DUMMYFUNCTION("""COMPUTED_VALUE"""),5.0)</f>
        <v>5</v>
      </c>
      <c r="M1522" s="4" t="str">
        <f>IFERROR(__xludf.DUMMYFUNCTION("""COMPUTED_VALUE"""),"null")</f>
        <v>null</v>
      </c>
      <c r="N1522" s="33">
        <f>IFERROR(__xludf.DUMMYFUNCTION("""COMPUTED_VALUE"""),0.4)</f>
        <v>0.4</v>
      </c>
      <c r="O1522" s="4" t="str">
        <f>IFERROR(__xludf.DUMMYFUNCTION("""COMPUTED_VALUE"""),"null")</f>
        <v>null</v>
      </c>
      <c r="P1522" s="33">
        <f>IFERROR(__xludf.DUMMYFUNCTION("""COMPUTED_VALUE"""),0.4)</f>
        <v>0.4</v>
      </c>
      <c r="Q1522" s="4" t="str">
        <f>IFERROR(__xludf.DUMMYFUNCTION("""COMPUTED_VALUE"""),"null")</f>
        <v>null</v>
      </c>
      <c r="R1522" s="33">
        <f>IFERROR(__xludf.DUMMYFUNCTION("""COMPUTED_VALUE"""),0.2)</f>
        <v>0.2</v>
      </c>
      <c r="S1522" s="4" t="str">
        <f>IFERROR(__xludf.DUMMYFUNCTION("""COMPUTED_VALUE"""),"null")</f>
        <v>null</v>
      </c>
      <c r="T1522" s="33">
        <f>IFERROR(__xludf.DUMMYFUNCTION("""COMPUTED_VALUE"""),0.2)</f>
        <v>0.2</v>
      </c>
      <c r="U1522" s="4" t="str">
        <f>IFERROR(__xludf.DUMMYFUNCTION("""COMPUTED_VALUE"""),"Anota Ai Solucoes Digitais S/a")</f>
        <v>Anota Ai Solucoes Digitais S/a</v>
      </c>
      <c r="V1522" s="33">
        <f>IFERROR(__xludf.DUMMYFUNCTION("""COMPUTED_VALUE"""),0.2)</f>
        <v>0.2</v>
      </c>
      <c r="W1522" s="4" t="str">
        <f>IFERROR(__xludf.DUMMYFUNCTION("""COMPUTED_VALUE"""),"Anota Ai Solucoes Digitais S/a")</f>
        <v>Anota Ai Solucoes Digitais S/a</v>
      </c>
      <c r="X1522" s="33">
        <f>IFERROR(__xludf.DUMMYFUNCTION("""COMPUTED_VALUE"""),0.2)</f>
        <v>0.2</v>
      </c>
    </row>
    <row r="1523">
      <c r="K1523" s="4" t="str">
        <f>IFERROR(__xludf.DUMMYFUNCTION("""COMPUTED_VALUE"""),"ACAI UP")</f>
        <v>ACAI UP</v>
      </c>
      <c r="L1523" s="32">
        <f>IFERROR(__xludf.DUMMYFUNCTION("""COMPUTED_VALUE"""),5.0)</f>
        <v>5</v>
      </c>
      <c r="M1523" s="4" t="str">
        <f>IFERROR(__xludf.DUMMYFUNCTION("""COMPUTED_VALUE"""),"null")</f>
        <v>null</v>
      </c>
      <c r="N1523" s="33">
        <f>IFERROR(__xludf.DUMMYFUNCTION("""COMPUTED_VALUE"""),0.6)</f>
        <v>0.6</v>
      </c>
      <c r="O1523" s="4" t="str">
        <f>IFERROR(__xludf.DUMMYFUNCTION("""COMPUTED_VALUE"""),"Saipos Serviços De Software")</f>
        <v>Saipos Serviços De Software</v>
      </c>
      <c r="P1523" s="33">
        <f>IFERROR(__xludf.DUMMYFUNCTION("""COMPUTED_VALUE"""),0.4)</f>
        <v>0.4</v>
      </c>
      <c r="Q1523" s="4" t="str">
        <f>IFERROR(__xludf.DUMMYFUNCTION("""COMPUTED_VALUE"""),"Saipos Serviços De Software")</f>
        <v>Saipos Serviços De Software</v>
      </c>
      <c r="R1523" s="33">
        <f>IFERROR(__xludf.DUMMYFUNCTION("""COMPUTED_VALUE"""),0.6)</f>
        <v>0.6</v>
      </c>
      <c r="S1523" s="4" t="str">
        <f>IFERROR(__xludf.DUMMYFUNCTION("""COMPUTED_VALUE"""),"Saipos Serviços De Software")</f>
        <v>Saipos Serviços De Software</v>
      </c>
      <c r="T1523" s="33">
        <f>IFERROR(__xludf.DUMMYFUNCTION("""COMPUTED_VALUE"""),0.6)</f>
        <v>0.6</v>
      </c>
      <c r="U1523" s="4" t="str">
        <f>IFERROR(__xludf.DUMMYFUNCTION("""COMPUTED_VALUE"""),"Saipos Serviços De Software")</f>
        <v>Saipos Serviços De Software</v>
      </c>
      <c r="V1523" s="33">
        <f>IFERROR(__xludf.DUMMYFUNCTION("""COMPUTED_VALUE"""),0.6)</f>
        <v>0.6</v>
      </c>
      <c r="W1523" s="4" t="str">
        <f>IFERROR(__xludf.DUMMYFUNCTION("""COMPUTED_VALUE"""),"Saipos Serviços De Software")</f>
        <v>Saipos Serviços De Software</v>
      </c>
      <c r="X1523" s="33">
        <f>IFERROR(__xludf.DUMMYFUNCTION("""COMPUTED_VALUE"""),0.6)</f>
        <v>0.6</v>
      </c>
    </row>
    <row r="1524">
      <c r="K1524" s="4" t="str">
        <f>IFERROR(__xludf.DUMMYFUNCTION("""COMPUTED_VALUE"""),"BIG BURGER")</f>
        <v>BIG BURGER</v>
      </c>
      <c r="L1524" s="32">
        <f>IFERROR(__xludf.DUMMYFUNCTION("""COMPUTED_VALUE"""),5.0)</f>
        <v>5</v>
      </c>
      <c r="M1524" s="4" t="str">
        <f>IFERROR(__xludf.DUMMYFUNCTION("""COMPUTED_VALUE"""),"null")</f>
        <v>null</v>
      </c>
      <c r="N1524" s="33">
        <f>IFERROR(__xludf.DUMMYFUNCTION("""COMPUTED_VALUE"""),0.6)</f>
        <v>0.6</v>
      </c>
      <c r="O1524" s="4" t="str">
        <f>IFERROR(__xludf.DUMMYFUNCTION("""COMPUTED_VALUE"""),"null")</f>
        <v>null</v>
      </c>
      <c r="P1524" s="33">
        <f>IFERROR(__xludf.DUMMYFUNCTION("""COMPUTED_VALUE"""),0.6)</f>
        <v>0.6</v>
      </c>
      <c r="Q1524" s="4" t="str">
        <f>IFERROR(__xludf.DUMMYFUNCTION("""COMPUTED_VALUE"""),"Anota Ai Solucoes Digitais S/a")</f>
        <v>Anota Ai Solucoes Digitais S/a</v>
      </c>
      <c r="R1524" s="33">
        <f>IFERROR(__xludf.DUMMYFUNCTION("""COMPUTED_VALUE"""),0.4)</f>
        <v>0.4</v>
      </c>
      <c r="S1524" s="4" t="str">
        <f>IFERROR(__xludf.DUMMYFUNCTION("""COMPUTED_VALUE"""),"null")</f>
        <v>null</v>
      </c>
      <c r="T1524" s="33">
        <f>IFERROR(__xludf.DUMMYFUNCTION("""COMPUTED_VALUE"""),0.2)</f>
        <v>0.2</v>
      </c>
      <c r="U1524" s="4" t="str">
        <f>IFERROR(__xludf.DUMMYFUNCTION("""COMPUTED_VALUE"""),"null")</f>
        <v>null</v>
      </c>
      <c r="V1524" s="33">
        <f>IFERROR(__xludf.DUMMYFUNCTION("""COMPUTED_VALUE"""),0.6)</f>
        <v>0.6</v>
      </c>
      <c r="W1524" s="4" t="str">
        <f>IFERROR(__xludf.DUMMYFUNCTION("""COMPUTED_VALUE"""),"null")</f>
        <v>null</v>
      </c>
      <c r="X1524" s="33">
        <f>IFERROR(__xludf.DUMMYFUNCTION("""COMPUTED_VALUE"""),0.6)</f>
        <v>0.6</v>
      </c>
    </row>
    <row r="1525">
      <c r="K1525" s="4" t="str">
        <f>IFERROR(__xludf.DUMMYFUNCTION("""COMPUTED_VALUE"""),"TEMPERO DE FAMILIA")</f>
        <v>TEMPERO DE FAMILIA</v>
      </c>
      <c r="L1525" s="32">
        <f>IFERROR(__xludf.DUMMYFUNCTION("""COMPUTED_VALUE"""),5.0)</f>
        <v>5</v>
      </c>
      <c r="M1525" s="4" t="str">
        <f>IFERROR(__xludf.DUMMYFUNCTION("""COMPUTED_VALUE"""),"No Mercado Representacoes Ltda")</f>
        <v>No Mercado Representacoes Ltda</v>
      </c>
      <c r="N1525" s="33">
        <f>IFERROR(__xludf.DUMMYFUNCTION("""COMPUTED_VALUE"""),0.2)</f>
        <v>0.2</v>
      </c>
      <c r="O1525" s="4" t="str">
        <f>IFERROR(__xludf.DUMMYFUNCTION("""COMPUTED_VALUE"""),"null")</f>
        <v>null</v>
      </c>
      <c r="P1525" s="33">
        <f>IFERROR(__xludf.DUMMYFUNCTION("""COMPUTED_VALUE"""),0.4)</f>
        <v>0.4</v>
      </c>
      <c r="Q1525" s="4" t="str">
        <f>IFERROR(__xludf.DUMMYFUNCTION("""COMPUTED_VALUE"""),"null")</f>
        <v>null</v>
      </c>
      <c r="R1525" s="33">
        <f>IFERROR(__xludf.DUMMYFUNCTION("""COMPUTED_VALUE"""),0.6)</f>
        <v>0.6</v>
      </c>
      <c r="S1525" s="4" t="str">
        <f>IFERROR(__xludf.DUMMYFUNCTION("""COMPUTED_VALUE"""),"null")</f>
        <v>null</v>
      </c>
      <c r="T1525" s="33">
        <f>IFERROR(__xludf.DUMMYFUNCTION("""COMPUTED_VALUE"""),0.4)</f>
        <v>0.4</v>
      </c>
      <c r="U1525" s="4" t="str">
        <f>IFERROR(__xludf.DUMMYFUNCTION("""COMPUTED_VALUE"""),"null")</f>
        <v>null</v>
      </c>
      <c r="V1525" s="33">
        <f>IFERROR(__xludf.DUMMYFUNCTION("""COMPUTED_VALUE"""),0.4)</f>
        <v>0.4</v>
      </c>
      <c r="W1525" s="4" t="str">
        <f>IFERROR(__xludf.DUMMYFUNCTION("""COMPUTED_VALUE"""),"Saipos Serviços De Software")</f>
        <v>Saipos Serviços De Software</v>
      </c>
      <c r="X1525" s="33">
        <f>IFERROR(__xludf.DUMMYFUNCTION("""COMPUTED_VALUE"""),0.4)</f>
        <v>0.4</v>
      </c>
    </row>
    <row r="1526">
      <c r="K1526" s="4" t="str">
        <f>IFERROR(__xludf.DUMMYFUNCTION("""COMPUTED_VALUE"""),"BROTHERS BURGUER")</f>
        <v>BROTHERS BURGUER</v>
      </c>
      <c r="L1526" s="32">
        <f>IFERROR(__xludf.DUMMYFUNCTION("""COMPUTED_VALUE"""),5.0)</f>
        <v>5</v>
      </c>
      <c r="M1526" s="4" t="str">
        <f>IFERROR(__xludf.DUMMYFUNCTION("""COMPUTED_VALUE"""),"null")</f>
        <v>null</v>
      </c>
      <c r="N1526" s="33">
        <f>IFERROR(__xludf.DUMMYFUNCTION("""COMPUTED_VALUE"""),0.4)</f>
        <v>0.4</v>
      </c>
      <c r="O1526" s="4" t="str">
        <f>IFERROR(__xludf.DUMMYFUNCTION("""COMPUTED_VALUE"""),"Brendi")</f>
        <v>Brendi</v>
      </c>
      <c r="P1526" s="33">
        <f>IFERROR(__xludf.DUMMYFUNCTION("""COMPUTED_VALUE"""),0.2)</f>
        <v>0.2</v>
      </c>
      <c r="Q1526" s="4" t="str">
        <f>IFERROR(__xludf.DUMMYFUNCTION("""COMPUTED_VALUE"""),"Brendi")</f>
        <v>Brendi</v>
      </c>
      <c r="R1526" s="33">
        <f>IFERROR(__xludf.DUMMYFUNCTION("""COMPUTED_VALUE"""),0.2)</f>
        <v>0.2</v>
      </c>
      <c r="S1526" s="4" t="str">
        <f>IFERROR(__xludf.DUMMYFUNCTION("""COMPUTED_VALUE"""),"null")</f>
        <v>null</v>
      </c>
      <c r="T1526" s="33">
        <f>IFERROR(__xludf.DUMMYFUNCTION("""COMPUTED_VALUE"""),0.4)</f>
        <v>0.4</v>
      </c>
      <c r="U1526" s="4" t="str">
        <f>IFERROR(__xludf.DUMMYFUNCTION("""COMPUTED_VALUE"""),"Brendi")</f>
        <v>Brendi</v>
      </c>
      <c r="V1526" s="33">
        <f>IFERROR(__xludf.DUMMYFUNCTION("""COMPUTED_VALUE"""),0.2)</f>
        <v>0.2</v>
      </c>
      <c r="W1526" s="4" t="str">
        <f>IFERROR(__xludf.DUMMYFUNCTION("""COMPUTED_VALUE"""),"Brendi")</f>
        <v>Brendi</v>
      </c>
      <c r="X1526" s="33">
        <f>IFERROR(__xludf.DUMMYFUNCTION("""COMPUTED_VALUE"""),0.2)</f>
        <v>0.2</v>
      </c>
    </row>
    <row r="1527">
      <c r="K1527" s="4" t="str">
        <f>IFERROR(__xludf.DUMMYFUNCTION("""COMPUTED_VALUE"""),"PIZZARIA")</f>
        <v>PIZZARIA</v>
      </c>
      <c r="L1527" s="32">
        <f>IFERROR(__xludf.DUMMYFUNCTION("""COMPUTED_VALUE"""),5.0)</f>
        <v>5</v>
      </c>
      <c r="M1527" s="4" t="str">
        <f>IFERROR(__xludf.DUMMYFUNCTION("""COMPUTED_VALUE"""),"Mp Multipedidos")</f>
        <v>Mp Multipedidos</v>
      </c>
      <c r="N1527" s="33">
        <f>IFERROR(__xludf.DUMMYFUNCTION("""COMPUTED_VALUE"""),0.2)</f>
        <v>0.2</v>
      </c>
      <c r="O1527" s="4" t="str">
        <f>IFERROR(__xludf.DUMMYFUNCTION("""COMPUTED_VALUE"""),"null")</f>
        <v>null</v>
      </c>
      <c r="P1527" s="33">
        <f>IFERROR(__xludf.DUMMYFUNCTION("""COMPUTED_VALUE"""),0.4)</f>
        <v>0.4</v>
      </c>
      <c r="Q1527" s="4" t="str">
        <f>IFERROR(__xludf.DUMMYFUNCTION("""COMPUTED_VALUE"""),"null")</f>
        <v>null</v>
      </c>
      <c r="R1527" s="33">
        <f>IFERROR(__xludf.DUMMYFUNCTION("""COMPUTED_VALUE"""),0.8)</f>
        <v>0.8</v>
      </c>
      <c r="S1527" s="4" t="str">
        <f>IFERROR(__xludf.DUMMYFUNCTION("""COMPUTED_VALUE"""),"null")</f>
        <v>null</v>
      </c>
      <c r="T1527" s="33">
        <f>IFERROR(__xludf.DUMMYFUNCTION("""COMPUTED_VALUE"""),0.4)</f>
        <v>0.4</v>
      </c>
      <c r="U1527" s="4" t="str">
        <f>IFERROR(__xludf.DUMMYFUNCTION("""COMPUTED_VALUE"""),"Mp Multipedidos")</f>
        <v>Mp Multipedidos</v>
      </c>
      <c r="V1527" s="33">
        <f>IFERROR(__xludf.DUMMYFUNCTION("""COMPUTED_VALUE"""),0.2)</f>
        <v>0.2</v>
      </c>
      <c r="W1527" s="4" t="str">
        <f>IFERROR(__xludf.DUMMYFUNCTION("""COMPUTED_VALUE"""),"null")</f>
        <v>null</v>
      </c>
      <c r="X1527" s="33">
        <f>IFERROR(__xludf.DUMMYFUNCTION("""COMPUTED_VALUE"""),0.4)</f>
        <v>0.4</v>
      </c>
    </row>
    <row r="1528">
      <c r="K1528" s="4" t="str">
        <f>IFERROR(__xludf.DUMMYFUNCTION("""COMPUTED_VALUE"""),"BAR DO ZE")</f>
        <v>BAR DO ZE</v>
      </c>
      <c r="L1528" s="32">
        <f>IFERROR(__xludf.DUMMYFUNCTION("""COMPUTED_VALUE"""),5.0)</f>
        <v>5</v>
      </c>
      <c r="M1528" s="4" t="str">
        <f>IFERROR(__xludf.DUMMYFUNCTION("""COMPUTED_VALUE"""),"null")</f>
        <v>null</v>
      </c>
      <c r="N1528" s="33">
        <f>IFERROR(__xludf.DUMMYFUNCTION("""COMPUTED_VALUE"""),0.8)</f>
        <v>0.8</v>
      </c>
      <c r="O1528" s="4" t="str">
        <f>IFERROR(__xludf.DUMMYFUNCTION("""COMPUTED_VALUE"""),"null")</f>
        <v>null</v>
      </c>
      <c r="P1528" s="33">
        <f>IFERROR(__xludf.DUMMYFUNCTION("""COMPUTED_VALUE"""),0.8)</f>
        <v>0.8</v>
      </c>
      <c r="Q1528" s="4" t="str">
        <f>IFERROR(__xludf.DUMMYFUNCTION("""COMPUTED_VALUE"""),"null")</f>
        <v>null</v>
      </c>
      <c r="R1528" s="33">
        <f>IFERROR(__xludf.DUMMYFUNCTION("""COMPUTED_VALUE"""),0.8)</f>
        <v>0.8</v>
      </c>
      <c r="S1528" s="4" t="str">
        <f>IFERROR(__xludf.DUMMYFUNCTION("""COMPUTED_VALUE"""),"null")</f>
        <v>null</v>
      </c>
      <c r="T1528" s="33">
        <f>IFERROR(__xludf.DUMMYFUNCTION("""COMPUTED_VALUE"""),0.8)</f>
        <v>0.8</v>
      </c>
      <c r="U1528" s="4" t="str">
        <f>IFERROR(__xludf.DUMMYFUNCTION("""COMPUTED_VALUE"""),"null")</f>
        <v>null</v>
      </c>
      <c r="V1528" s="33">
        <f>IFERROR(__xludf.DUMMYFUNCTION("""COMPUTED_VALUE"""),0.8)</f>
        <v>0.8</v>
      </c>
      <c r="W1528" s="4" t="str">
        <f>IFERROR(__xludf.DUMMYFUNCTION("""COMPUTED_VALUE"""),"Saipos Serviços De Software")</f>
        <v>Saipos Serviços De Software</v>
      </c>
      <c r="X1528" s="33">
        <f>IFERROR(__xludf.DUMMYFUNCTION("""COMPUTED_VALUE"""),0.8)</f>
        <v>0.8</v>
      </c>
    </row>
    <row r="1529">
      <c r="K1529" s="4" t="str">
        <f>IFERROR(__xludf.DUMMYFUNCTION("""COMPUTED_VALUE"""),"FARMACIA PRECO BAIXO")</f>
        <v>FARMACIA PRECO BAIXO</v>
      </c>
      <c r="L1529" s="32">
        <f>IFERROR(__xludf.DUMMYFUNCTION("""COMPUTED_VALUE"""),5.0)</f>
        <v>5</v>
      </c>
      <c r="M1529" s="4" t="str">
        <f>IFERROR(__xludf.DUMMYFUNCTION("""COMPUTED_VALUE"""),"N/A (Not found)")</f>
        <v>N/A (Not found)</v>
      </c>
      <c r="N1529" s="33">
        <f>IFERROR(__xludf.DUMMYFUNCTION("""COMPUTED_VALUE"""),0.8)</f>
        <v>0.8</v>
      </c>
      <c r="O1529" s="4" t="str">
        <f>IFERROR(__xludf.DUMMYFUNCTION("""COMPUTED_VALUE"""),"N/A (Not found)")</f>
        <v>N/A (Not found)</v>
      </c>
      <c r="P1529" s="33">
        <f>IFERROR(__xludf.DUMMYFUNCTION("""COMPUTED_VALUE"""),0.8)</f>
        <v>0.8</v>
      </c>
      <c r="Q1529" s="4" t="str">
        <f>IFERROR(__xludf.DUMMYFUNCTION("""COMPUTED_VALUE"""),"N/A (Not found)")</f>
        <v>N/A (Not found)</v>
      </c>
      <c r="R1529" s="33">
        <f>IFERROR(__xludf.DUMMYFUNCTION("""COMPUTED_VALUE"""),1.0)</f>
        <v>1</v>
      </c>
      <c r="S1529" s="4" t="str">
        <f>IFERROR(__xludf.DUMMYFUNCTION("""COMPUTED_VALUE"""),"N/A (Not found)")</f>
        <v>N/A (Not found)</v>
      </c>
      <c r="T1529" s="33">
        <f>IFERROR(__xludf.DUMMYFUNCTION("""COMPUTED_VALUE"""),0.8)</f>
        <v>0.8</v>
      </c>
      <c r="U1529" s="4" t="str">
        <f>IFERROR(__xludf.DUMMYFUNCTION("""COMPUTED_VALUE"""),"N/A (Not found)")</f>
        <v>N/A (Not found)</v>
      </c>
      <c r="V1529" s="33">
        <f>IFERROR(__xludf.DUMMYFUNCTION("""COMPUTED_VALUE"""),0.8)</f>
        <v>0.8</v>
      </c>
      <c r="W1529" s="4" t="str">
        <f>IFERROR(__xludf.DUMMYFUNCTION("""COMPUTED_VALUE"""),"N/A (Not found)")</f>
        <v>N/A (Not found)</v>
      </c>
      <c r="X1529" s="33">
        <f>IFERROR(__xludf.DUMMYFUNCTION("""COMPUTED_VALUE"""),0.8)</f>
        <v>0.8</v>
      </c>
    </row>
    <row r="1530">
      <c r="K1530" s="4" t="str">
        <f>IFERROR(__xludf.DUMMYFUNCTION("""COMPUTED_VALUE"""),"MARMITARIA EXPRESS")</f>
        <v>MARMITARIA EXPRESS</v>
      </c>
      <c r="L1530" s="32">
        <f>IFERROR(__xludf.DUMMYFUNCTION("""COMPUTED_VALUE"""),5.0)</f>
        <v>5</v>
      </c>
      <c r="M1530" s="4" t="str">
        <f>IFERROR(__xludf.DUMMYFUNCTION("""COMPUTED_VALUE"""),"Saipos Serviços De Software")</f>
        <v>Saipos Serviços De Software</v>
      </c>
      <c r="N1530" s="33">
        <f>IFERROR(__xludf.DUMMYFUNCTION("""COMPUTED_VALUE"""),0.4)</f>
        <v>0.4</v>
      </c>
      <c r="O1530" s="4" t="str">
        <f>IFERROR(__xludf.DUMMYFUNCTION("""COMPUTED_VALUE"""),"Saipos Serviços De Software")</f>
        <v>Saipos Serviços De Software</v>
      </c>
      <c r="P1530" s="33">
        <f>IFERROR(__xludf.DUMMYFUNCTION("""COMPUTED_VALUE"""),0.4)</f>
        <v>0.4</v>
      </c>
      <c r="Q1530" s="4" t="str">
        <f>IFERROR(__xludf.DUMMYFUNCTION("""COMPUTED_VALUE"""),"Saipos Serviços De Software")</f>
        <v>Saipos Serviços De Software</v>
      </c>
      <c r="R1530" s="33">
        <f>IFERROR(__xludf.DUMMYFUNCTION("""COMPUTED_VALUE"""),0.4)</f>
        <v>0.4</v>
      </c>
      <c r="S1530" s="4" t="str">
        <f>IFERROR(__xludf.DUMMYFUNCTION("""COMPUTED_VALUE"""),"Saipos Serviços De Software")</f>
        <v>Saipos Serviços De Software</v>
      </c>
      <c r="T1530" s="33">
        <f>IFERROR(__xludf.DUMMYFUNCTION("""COMPUTED_VALUE"""),0.4)</f>
        <v>0.4</v>
      </c>
      <c r="U1530" s="4" t="str">
        <f>IFERROR(__xludf.DUMMYFUNCTION("""COMPUTED_VALUE"""),"null")</f>
        <v>null</v>
      </c>
      <c r="V1530" s="33">
        <f>IFERROR(__xludf.DUMMYFUNCTION("""COMPUTED_VALUE"""),0.4)</f>
        <v>0.4</v>
      </c>
      <c r="W1530" s="4" t="str">
        <f>IFERROR(__xludf.DUMMYFUNCTION("""COMPUTED_VALUE"""),"null")</f>
        <v>null</v>
      </c>
      <c r="X1530" s="33">
        <f>IFERROR(__xludf.DUMMYFUNCTION("""COMPUTED_VALUE"""),0.4)</f>
        <v>0.4</v>
      </c>
    </row>
    <row r="1531">
      <c r="K1531" s="4" t="str">
        <f>IFERROR(__xludf.DUMMYFUNCTION("""COMPUTED_VALUE"""),"BENGO ACAI")</f>
        <v>BENGO ACAI</v>
      </c>
      <c r="L1531" s="32">
        <f>IFERROR(__xludf.DUMMYFUNCTION("""COMPUTED_VALUE"""),5.0)</f>
        <v>5</v>
      </c>
      <c r="M1531" s="4" t="str">
        <f>IFERROR(__xludf.DUMMYFUNCTION("""COMPUTED_VALUE"""),"Wls Solucoes Empresariais Ltda")</f>
        <v>Wls Solucoes Empresariais Ltda</v>
      </c>
      <c r="N1531" s="33">
        <f>IFERROR(__xludf.DUMMYFUNCTION("""COMPUTED_VALUE"""),0.4)</f>
        <v>0.4</v>
      </c>
      <c r="O1531" s="4" t="str">
        <f>IFERROR(__xludf.DUMMYFUNCTION("""COMPUTED_VALUE"""),"Wls Solucoes Empresariais Ltda")</f>
        <v>Wls Solucoes Empresariais Ltda</v>
      </c>
      <c r="P1531" s="33">
        <f>IFERROR(__xludf.DUMMYFUNCTION("""COMPUTED_VALUE"""),0.4)</f>
        <v>0.4</v>
      </c>
      <c r="Q1531" s="4" t="str">
        <f>IFERROR(__xludf.DUMMYFUNCTION("""COMPUTED_VALUE"""),"Wls Solucoes Empresariais Ltda")</f>
        <v>Wls Solucoes Empresariais Ltda</v>
      </c>
      <c r="R1531" s="33">
        <f>IFERROR(__xludf.DUMMYFUNCTION("""COMPUTED_VALUE"""),0.4)</f>
        <v>0.4</v>
      </c>
      <c r="S1531" s="4" t="str">
        <f>IFERROR(__xludf.DUMMYFUNCTION("""COMPUTED_VALUE"""),"Wls Solucoes Empresariais Ltda")</f>
        <v>Wls Solucoes Empresariais Ltda</v>
      </c>
      <c r="T1531" s="33">
        <f>IFERROR(__xludf.DUMMYFUNCTION("""COMPUTED_VALUE"""),0.4)</f>
        <v>0.4</v>
      </c>
      <c r="U1531" s="4" t="str">
        <f>IFERROR(__xludf.DUMMYFUNCTION("""COMPUTED_VALUE"""),"null")</f>
        <v>null</v>
      </c>
      <c r="V1531" s="33">
        <f>IFERROR(__xludf.DUMMYFUNCTION("""COMPUTED_VALUE"""),0.4)</f>
        <v>0.4</v>
      </c>
      <c r="W1531" s="4" t="str">
        <f>IFERROR(__xludf.DUMMYFUNCTION("""COMPUTED_VALUE"""),"Cardápio Web")</f>
        <v>Cardápio Web</v>
      </c>
      <c r="X1531" s="33">
        <f>IFERROR(__xludf.DUMMYFUNCTION("""COMPUTED_VALUE"""),0.4)</f>
        <v>0.4</v>
      </c>
    </row>
    <row r="1532">
      <c r="K1532" s="4" t="str">
        <f>IFERROR(__xludf.DUMMYFUNCTION("""COMPUTED_VALUE"""),"BURGUER HOUSE")</f>
        <v>BURGUER HOUSE</v>
      </c>
      <c r="L1532" s="32">
        <f>IFERROR(__xludf.DUMMYFUNCTION("""COMPUTED_VALUE"""),5.0)</f>
        <v>5</v>
      </c>
      <c r="M1532" s="4" t="str">
        <f>IFERROR(__xludf.DUMMYFUNCTION("""COMPUTED_VALUE"""),"null")</f>
        <v>null</v>
      </c>
      <c r="N1532" s="33">
        <f>IFERROR(__xludf.DUMMYFUNCTION("""COMPUTED_VALUE"""),0.2)</f>
        <v>0.2</v>
      </c>
      <c r="O1532" s="4" t="str">
        <f>IFERROR(__xludf.DUMMYFUNCTION("""COMPUTED_VALUE"""),"null")</f>
        <v>null</v>
      </c>
      <c r="P1532" s="33">
        <f>IFERROR(__xludf.DUMMYFUNCTION("""COMPUTED_VALUE"""),0.4)</f>
        <v>0.4</v>
      </c>
      <c r="Q1532" s="4" t="str">
        <f>IFERROR(__xludf.DUMMYFUNCTION("""COMPUTED_VALUE"""),"null")</f>
        <v>null</v>
      </c>
      <c r="R1532" s="33">
        <f>IFERROR(__xludf.DUMMYFUNCTION("""COMPUTED_VALUE"""),0.4)</f>
        <v>0.4</v>
      </c>
      <c r="S1532" s="4" t="str">
        <f>IFERROR(__xludf.DUMMYFUNCTION("""COMPUTED_VALUE"""),"null")</f>
        <v>null</v>
      </c>
      <c r="T1532" s="33">
        <f>IFERROR(__xludf.DUMMYFUNCTION("""COMPUTED_VALUE"""),0.2)</f>
        <v>0.2</v>
      </c>
      <c r="U1532" s="4" t="str">
        <f>IFERROR(__xludf.DUMMYFUNCTION("""COMPUTED_VALUE"""),"Cardápio Web")</f>
        <v>Cardápio Web</v>
      </c>
      <c r="V1532" s="33">
        <f>IFERROR(__xludf.DUMMYFUNCTION("""COMPUTED_VALUE"""),0.2)</f>
        <v>0.2</v>
      </c>
      <c r="W1532" s="4" t="str">
        <f>IFERROR(__xludf.DUMMYFUNCTION("""COMPUTED_VALUE"""),"Cardápio Web")</f>
        <v>Cardápio Web</v>
      </c>
      <c r="X1532" s="33">
        <f>IFERROR(__xludf.DUMMYFUNCTION("""COMPUTED_VALUE"""),0.2)</f>
        <v>0.2</v>
      </c>
    </row>
    <row r="1533">
      <c r="K1533" s="4" t="str">
        <f>IFERROR(__xludf.DUMMYFUNCTION("""COMPUTED_VALUE"""),"BONNA PIZZA")</f>
        <v>BONNA PIZZA</v>
      </c>
      <c r="L1533" s="32">
        <f>IFERROR(__xludf.DUMMYFUNCTION("""COMPUTED_VALUE"""),5.0)</f>
        <v>5</v>
      </c>
      <c r="M1533" s="4" t="str">
        <f>IFERROR(__xludf.DUMMYFUNCTION("""COMPUTED_VALUE"""),"Cardápio Web")</f>
        <v>Cardápio Web</v>
      </c>
      <c r="N1533" s="33">
        <f>IFERROR(__xludf.DUMMYFUNCTION("""COMPUTED_VALUE"""),0.2)</f>
        <v>0.2</v>
      </c>
      <c r="O1533" s="4" t="str">
        <f>IFERROR(__xludf.DUMMYFUNCTION("""COMPUTED_VALUE"""),"null")</f>
        <v>null</v>
      </c>
      <c r="P1533" s="33">
        <f>IFERROR(__xludf.DUMMYFUNCTION("""COMPUTED_VALUE"""),0.6)</f>
        <v>0.6</v>
      </c>
      <c r="Q1533" s="4" t="str">
        <f>IFERROR(__xludf.DUMMYFUNCTION("""COMPUTED_VALUE"""),"null")</f>
        <v>null</v>
      </c>
      <c r="R1533" s="33">
        <f>IFERROR(__xludf.DUMMYFUNCTION("""COMPUTED_VALUE"""),0.4)</f>
        <v>0.4</v>
      </c>
      <c r="S1533" s="4" t="str">
        <f>IFERROR(__xludf.DUMMYFUNCTION("""COMPUTED_VALUE"""),"Cardápio Web")</f>
        <v>Cardápio Web</v>
      </c>
      <c r="T1533" s="33">
        <f>IFERROR(__xludf.DUMMYFUNCTION("""COMPUTED_VALUE"""),0.2)</f>
        <v>0.2</v>
      </c>
      <c r="U1533" s="4" t="str">
        <f>IFERROR(__xludf.DUMMYFUNCTION("""COMPUTED_VALUE"""),"Cardápio Web")</f>
        <v>Cardápio Web</v>
      </c>
      <c r="V1533" s="33">
        <f>IFERROR(__xludf.DUMMYFUNCTION("""COMPUTED_VALUE"""),0.2)</f>
        <v>0.2</v>
      </c>
      <c r="W1533" s="4" t="str">
        <f>IFERROR(__xludf.DUMMYFUNCTION("""COMPUTED_VALUE"""),"Cardápio Web")</f>
        <v>Cardápio Web</v>
      </c>
      <c r="X1533" s="33">
        <f>IFERROR(__xludf.DUMMYFUNCTION("""COMPUTED_VALUE"""),0.2)</f>
        <v>0.2</v>
      </c>
    </row>
    <row r="1534">
      <c r="K1534" s="4" t="str">
        <f>IFERROR(__xludf.DUMMYFUNCTION("""COMPUTED_VALUE"""),"LA CASA DE ACAI")</f>
        <v>LA CASA DE ACAI</v>
      </c>
      <c r="L1534" s="32">
        <f>IFERROR(__xludf.DUMMYFUNCTION("""COMPUTED_VALUE"""),5.0)</f>
        <v>5</v>
      </c>
      <c r="M1534" s="4" t="str">
        <f>IFERROR(__xludf.DUMMYFUNCTION("""COMPUTED_VALUE"""),"Saipos Serviços De Software")</f>
        <v>Saipos Serviços De Software</v>
      </c>
      <c r="N1534" s="33">
        <f>IFERROR(__xludf.DUMMYFUNCTION("""COMPUTED_VALUE"""),0.4)</f>
        <v>0.4</v>
      </c>
      <c r="O1534" s="4" t="str">
        <f>IFERROR(__xludf.DUMMYFUNCTION("""COMPUTED_VALUE"""),"Saipos Serviços De Software")</f>
        <v>Saipos Serviços De Software</v>
      </c>
      <c r="P1534" s="33">
        <f>IFERROR(__xludf.DUMMYFUNCTION("""COMPUTED_VALUE"""),0.4)</f>
        <v>0.4</v>
      </c>
      <c r="Q1534" s="4" t="str">
        <f>IFERROR(__xludf.DUMMYFUNCTION("""COMPUTED_VALUE"""),"null")</f>
        <v>null</v>
      </c>
      <c r="R1534" s="33">
        <f>IFERROR(__xludf.DUMMYFUNCTION("""COMPUTED_VALUE"""),0.6)</f>
        <v>0.6</v>
      </c>
      <c r="S1534" s="4" t="str">
        <f>IFERROR(__xludf.DUMMYFUNCTION("""COMPUTED_VALUE"""),"null")</f>
        <v>null</v>
      </c>
      <c r="T1534" s="33">
        <f>IFERROR(__xludf.DUMMYFUNCTION("""COMPUTED_VALUE"""),0.6)</f>
        <v>0.6</v>
      </c>
      <c r="U1534" s="4" t="str">
        <f>IFERROR(__xludf.DUMMYFUNCTION("""COMPUTED_VALUE"""),"null")</f>
        <v>null</v>
      </c>
      <c r="V1534" s="33">
        <f>IFERROR(__xludf.DUMMYFUNCTION("""COMPUTED_VALUE"""),0.4)</f>
        <v>0.4</v>
      </c>
      <c r="W1534" s="4" t="str">
        <f>IFERROR(__xludf.DUMMYFUNCTION("""COMPUTED_VALUE"""),"null")</f>
        <v>null</v>
      </c>
      <c r="X1534" s="33">
        <f>IFERROR(__xludf.DUMMYFUNCTION("""COMPUTED_VALUE"""),0.4)</f>
        <v>0.4</v>
      </c>
    </row>
    <row r="1535">
      <c r="K1535" s="4" t="str">
        <f>IFERROR(__xludf.DUMMYFUNCTION("""COMPUTED_VALUE"""),"HOUSE BURGER 190")</f>
        <v>HOUSE BURGER 190</v>
      </c>
      <c r="L1535" s="32">
        <f>IFERROR(__xludf.DUMMYFUNCTION("""COMPUTED_VALUE"""),5.0)</f>
        <v>5</v>
      </c>
      <c r="M1535" s="4" t="str">
        <f>IFERROR(__xludf.DUMMYFUNCTION("""COMPUTED_VALUE"""),"Takeat Tecnologia")</f>
        <v>Takeat Tecnologia</v>
      </c>
      <c r="N1535" s="33">
        <f>IFERROR(__xludf.DUMMYFUNCTION("""COMPUTED_VALUE"""),0.8)</f>
        <v>0.8</v>
      </c>
      <c r="O1535" s="4" t="str">
        <f>IFERROR(__xludf.DUMMYFUNCTION("""COMPUTED_VALUE"""),"Takeat Tecnologia")</f>
        <v>Takeat Tecnologia</v>
      </c>
      <c r="P1535" s="33">
        <f>IFERROR(__xludf.DUMMYFUNCTION("""COMPUTED_VALUE"""),0.6)</f>
        <v>0.6</v>
      </c>
      <c r="Q1535" s="4" t="str">
        <f>IFERROR(__xludf.DUMMYFUNCTION("""COMPUTED_VALUE"""),"Takeat Tecnologia")</f>
        <v>Takeat Tecnologia</v>
      </c>
      <c r="R1535" s="33">
        <f>IFERROR(__xludf.DUMMYFUNCTION("""COMPUTED_VALUE"""),0.6)</f>
        <v>0.6</v>
      </c>
      <c r="S1535" s="4" t="str">
        <f>IFERROR(__xludf.DUMMYFUNCTION("""COMPUTED_VALUE"""),"Takeat Tecnologia")</f>
        <v>Takeat Tecnologia</v>
      </c>
      <c r="T1535" s="33">
        <f>IFERROR(__xludf.DUMMYFUNCTION("""COMPUTED_VALUE"""),0.6)</f>
        <v>0.6</v>
      </c>
      <c r="U1535" s="4" t="str">
        <f>IFERROR(__xludf.DUMMYFUNCTION("""COMPUTED_VALUE"""),"Takeat Tecnologia")</f>
        <v>Takeat Tecnologia</v>
      </c>
      <c r="V1535" s="33">
        <f>IFERROR(__xludf.DUMMYFUNCTION("""COMPUTED_VALUE"""),0.6)</f>
        <v>0.6</v>
      </c>
      <c r="W1535" s="4" t="str">
        <f>IFERROR(__xludf.DUMMYFUNCTION("""COMPUTED_VALUE"""),"Takeat Tecnologia")</f>
        <v>Takeat Tecnologia</v>
      </c>
      <c r="X1535" s="33">
        <f>IFERROR(__xludf.DUMMYFUNCTION("""COMPUTED_VALUE"""),0.4)</f>
        <v>0.4</v>
      </c>
    </row>
    <row r="1536">
      <c r="K1536" s="4" t="str">
        <f>IFERROR(__xludf.DUMMYFUNCTION("""COMPUTED_VALUE"""),"CASA DO PASTEL")</f>
        <v>CASA DO PASTEL</v>
      </c>
      <c r="L1536" s="32">
        <f>IFERROR(__xludf.DUMMYFUNCTION("""COMPUTED_VALUE"""),5.0)</f>
        <v>5</v>
      </c>
      <c r="M1536" s="4" t="str">
        <f>IFERROR(__xludf.DUMMYFUNCTION("""COMPUTED_VALUE"""),"Brendi")</f>
        <v>Brendi</v>
      </c>
      <c r="N1536" s="33">
        <f>IFERROR(__xludf.DUMMYFUNCTION("""COMPUTED_VALUE"""),0.2)</f>
        <v>0.2</v>
      </c>
      <c r="O1536" s="4" t="str">
        <f>IFERROR(__xludf.DUMMYFUNCTION("""COMPUTED_VALUE"""),"Brendi")</f>
        <v>Brendi</v>
      </c>
      <c r="P1536" s="33">
        <f>IFERROR(__xludf.DUMMYFUNCTION("""COMPUTED_VALUE"""),0.2)</f>
        <v>0.2</v>
      </c>
      <c r="Q1536" s="4" t="str">
        <f>IFERROR(__xludf.DUMMYFUNCTION("""COMPUTED_VALUE"""),"Brendi")</f>
        <v>Brendi</v>
      </c>
      <c r="R1536" s="33">
        <f>IFERROR(__xludf.DUMMYFUNCTION("""COMPUTED_VALUE"""),0.2)</f>
        <v>0.2</v>
      </c>
      <c r="S1536" s="4" t="str">
        <f>IFERROR(__xludf.DUMMYFUNCTION("""COMPUTED_VALUE"""),"Brendi")</f>
        <v>Brendi</v>
      </c>
      <c r="T1536" s="33">
        <f>IFERROR(__xludf.DUMMYFUNCTION("""COMPUTED_VALUE"""),0.2)</f>
        <v>0.2</v>
      </c>
      <c r="U1536" s="4" t="str">
        <f>IFERROR(__xludf.DUMMYFUNCTION("""COMPUTED_VALUE"""),"Brendi")</f>
        <v>Brendi</v>
      </c>
      <c r="V1536" s="33">
        <f>IFERROR(__xludf.DUMMYFUNCTION("""COMPUTED_VALUE"""),0.2)</f>
        <v>0.2</v>
      </c>
      <c r="W1536" s="4" t="str">
        <f>IFERROR(__xludf.DUMMYFUNCTION("""COMPUTED_VALUE"""),"Brendi")</f>
        <v>Brendi</v>
      </c>
      <c r="X1536" s="33">
        <f>IFERROR(__xludf.DUMMYFUNCTION("""COMPUTED_VALUE"""),0.2)</f>
        <v>0.2</v>
      </c>
    </row>
    <row r="1537">
      <c r="K1537" s="4" t="str">
        <f>IFERROR(__xludf.DUMMYFUNCTION("""COMPUTED_VALUE"""),"PIZZARIA BELLA MASSA")</f>
        <v>PIZZARIA BELLA MASSA</v>
      </c>
      <c r="L1537" s="32">
        <f>IFERROR(__xludf.DUMMYFUNCTION("""COMPUTED_VALUE"""),5.0)</f>
        <v>5</v>
      </c>
      <c r="M1537" s="4" t="str">
        <f>IFERROR(__xludf.DUMMYFUNCTION("""COMPUTED_VALUE"""),"Saipos Serviços De Software")</f>
        <v>Saipos Serviços De Software</v>
      </c>
      <c r="N1537" s="33">
        <f>IFERROR(__xludf.DUMMYFUNCTION("""COMPUTED_VALUE"""),0.4)</f>
        <v>0.4</v>
      </c>
      <c r="O1537" s="4" t="str">
        <f>IFERROR(__xludf.DUMMYFUNCTION("""COMPUTED_VALUE"""),"Saipos Serviços De Software")</f>
        <v>Saipos Serviços De Software</v>
      </c>
      <c r="P1537" s="33">
        <f>IFERROR(__xludf.DUMMYFUNCTION("""COMPUTED_VALUE"""),0.4)</f>
        <v>0.4</v>
      </c>
      <c r="Q1537" s="4" t="str">
        <f>IFERROR(__xludf.DUMMYFUNCTION("""COMPUTED_VALUE"""),"Saipos Serviços De Software")</f>
        <v>Saipos Serviços De Software</v>
      </c>
      <c r="R1537" s="33">
        <f>IFERROR(__xludf.DUMMYFUNCTION("""COMPUTED_VALUE"""),0.4)</f>
        <v>0.4</v>
      </c>
      <c r="S1537" s="4" t="str">
        <f>IFERROR(__xludf.DUMMYFUNCTION("""COMPUTED_VALUE"""),"Saipos Serviços De Software")</f>
        <v>Saipos Serviços De Software</v>
      </c>
      <c r="T1537" s="33">
        <f>IFERROR(__xludf.DUMMYFUNCTION("""COMPUTED_VALUE"""),0.4)</f>
        <v>0.4</v>
      </c>
      <c r="U1537" s="4" t="str">
        <f>IFERROR(__xludf.DUMMYFUNCTION("""COMPUTED_VALUE"""),"Saipos Serviços De Software")</f>
        <v>Saipos Serviços De Software</v>
      </c>
      <c r="V1537" s="33">
        <f>IFERROR(__xludf.DUMMYFUNCTION("""COMPUTED_VALUE"""),0.4)</f>
        <v>0.4</v>
      </c>
      <c r="W1537" s="4" t="str">
        <f>IFERROR(__xludf.DUMMYFUNCTION("""COMPUTED_VALUE"""),"Saipos Serviços De Software")</f>
        <v>Saipos Serviços De Software</v>
      </c>
      <c r="X1537" s="33">
        <f>IFERROR(__xludf.DUMMYFUNCTION("""COMPUTED_VALUE"""),0.4)</f>
        <v>0.4</v>
      </c>
    </row>
    <row r="1538">
      <c r="K1538" s="4" t="str">
        <f>IFERROR(__xludf.DUMMYFUNCTION("""COMPUTED_VALUE"""),"ACAI ZERO GRAU")</f>
        <v>ACAI ZERO GRAU</v>
      </c>
      <c r="L1538" s="32">
        <f>IFERROR(__xludf.DUMMYFUNCTION("""COMPUTED_VALUE"""),5.0)</f>
        <v>5</v>
      </c>
      <c r="M1538" s="4" t="str">
        <f>IFERROR(__xludf.DUMMYFUNCTION("""COMPUTED_VALUE"""),"null")</f>
        <v>null</v>
      </c>
      <c r="N1538" s="33">
        <f>IFERROR(__xludf.DUMMYFUNCTION("""COMPUTED_VALUE"""),0.4)</f>
        <v>0.4</v>
      </c>
      <c r="O1538" s="4" t="str">
        <f>IFERROR(__xludf.DUMMYFUNCTION("""COMPUTED_VALUE"""),"null")</f>
        <v>null</v>
      </c>
      <c r="P1538" s="33">
        <f>IFERROR(__xludf.DUMMYFUNCTION("""COMPUTED_VALUE"""),0.4)</f>
        <v>0.4</v>
      </c>
      <c r="Q1538" s="4" t="str">
        <f>IFERROR(__xludf.DUMMYFUNCTION("""COMPUTED_VALUE"""),"null")</f>
        <v>null</v>
      </c>
      <c r="R1538" s="33">
        <f>IFERROR(__xludf.DUMMYFUNCTION("""COMPUTED_VALUE"""),0.4)</f>
        <v>0.4</v>
      </c>
      <c r="S1538" s="4" t="str">
        <f>IFERROR(__xludf.DUMMYFUNCTION("""COMPUTED_VALUE"""),"null")</f>
        <v>null</v>
      </c>
      <c r="T1538" s="33">
        <f>IFERROR(__xludf.DUMMYFUNCTION("""COMPUTED_VALUE"""),0.4)</f>
        <v>0.4</v>
      </c>
      <c r="U1538" s="4" t="str">
        <f>IFERROR(__xludf.DUMMYFUNCTION("""COMPUTED_VALUE"""),"Anota Ai Solucoes Digitais S/a")</f>
        <v>Anota Ai Solucoes Digitais S/a</v>
      </c>
      <c r="V1538" s="33">
        <f>IFERROR(__xludf.DUMMYFUNCTION("""COMPUTED_VALUE"""),0.2)</f>
        <v>0.2</v>
      </c>
      <c r="W1538" s="4" t="str">
        <f>IFERROR(__xludf.DUMMYFUNCTION("""COMPUTED_VALUE"""),"Anota Ai Solucoes Digitais S/a")</f>
        <v>Anota Ai Solucoes Digitais S/a</v>
      </c>
      <c r="X1538" s="33">
        <f>IFERROR(__xludf.DUMMYFUNCTION("""COMPUTED_VALUE"""),0.2)</f>
        <v>0.2</v>
      </c>
    </row>
    <row r="1539">
      <c r="K1539" s="4" t="str">
        <f>IFERROR(__xludf.DUMMYFUNCTION("""COMPUTED_VALUE"""),"DROGARIA MAIS POPULAR")</f>
        <v>DROGARIA MAIS POPULAR</v>
      </c>
      <c r="L1539" s="32">
        <f>IFERROR(__xludf.DUMMYFUNCTION("""COMPUTED_VALUE"""),5.0)</f>
        <v>5</v>
      </c>
      <c r="M1539" s="4" t="str">
        <f>IFERROR(__xludf.DUMMYFUNCTION("""COMPUTED_VALUE"""),"null")</f>
        <v>null</v>
      </c>
      <c r="N1539" s="33">
        <f>IFERROR(__xludf.DUMMYFUNCTION("""COMPUTED_VALUE"""),0.6)</f>
        <v>0.6</v>
      </c>
      <c r="O1539" s="4" t="str">
        <f>IFERROR(__xludf.DUMMYFUNCTION("""COMPUTED_VALUE"""),"null")</f>
        <v>null</v>
      </c>
      <c r="P1539" s="33">
        <f>IFERROR(__xludf.DUMMYFUNCTION("""COMPUTED_VALUE"""),0.8)</f>
        <v>0.8</v>
      </c>
      <c r="Q1539" s="4" t="str">
        <f>IFERROR(__xludf.DUMMYFUNCTION("""COMPUTED_VALUE"""),"N/A (Not found)")</f>
        <v>N/A (Not found)</v>
      </c>
      <c r="R1539" s="33">
        <f>IFERROR(__xludf.DUMMYFUNCTION("""COMPUTED_VALUE"""),0.8)</f>
        <v>0.8</v>
      </c>
      <c r="S1539" s="4" t="str">
        <f>IFERROR(__xludf.DUMMYFUNCTION("""COMPUTED_VALUE"""),"null")</f>
        <v>null</v>
      </c>
      <c r="T1539" s="33">
        <f>IFERROR(__xludf.DUMMYFUNCTION("""COMPUTED_VALUE"""),0.6)</f>
        <v>0.6</v>
      </c>
      <c r="U1539" s="4" t="str">
        <f>IFERROR(__xludf.DUMMYFUNCTION("""COMPUTED_VALUE"""),"N/A (Not found)")</f>
        <v>N/A (Not found)</v>
      </c>
      <c r="V1539" s="33">
        <f>IFERROR(__xludf.DUMMYFUNCTION("""COMPUTED_VALUE"""),1.0)</f>
        <v>1</v>
      </c>
      <c r="W1539" s="4" t="str">
        <f>IFERROR(__xludf.DUMMYFUNCTION("""COMPUTED_VALUE"""),"N/A (Not found)")</f>
        <v>N/A (Not found)</v>
      </c>
      <c r="X1539" s="33">
        <f>IFERROR(__xludf.DUMMYFUNCTION("""COMPUTED_VALUE"""),0.6)</f>
        <v>0.6</v>
      </c>
    </row>
    <row r="1540">
      <c r="K1540" s="4" t="str">
        <f>IFERROR(__xludf.DUMMYFUNCTION("""COMPUTED_VALUE"""),"PEDRINHO LANCHES")</f>
        <v>PEDRINHO LANCHES</v>
      </c>
      <c r="L1540" s="32">
        <f>IFERROR(__xludf.DUMMYFUNCTION("""COMPUTED_VALUE"""),5.0)</f>
        <v>5</v>
      </c>
      <c r="M1540" s="4" t="str">
        <f>IFERROR(__xludf.DUMMYFUNCTION("""COMPUTED_VALUE"""),"Menew - Linx")</f>
        <v>Menew - Linx</v>
      </c>
      <c r="N1540" s="33">
        <f>IFERROR(__xludf.DUMMYFUNCTION("""COMPUTED_VALUE"""),0.2)</f>
        <v>0.2</v>
      </c>
      <c r="O1540" s="4" t="str">
        <f>IFERROR(__xludf.DUMMYFUNCTION("""COMPUTED_VALUE"""),"Menew - Linx")</f>
        <v>Menew - Linx</v>
      </c>
      <c r="P1540" s="33">
        <f>IFERROR(__xludf.DUMMYFUNCTION("""COMPUTED_VALUE"""),0.2)</f>
        <v>0.2</v>
      </c>
      <c r="Q1540" s="4" t="str">
        <f>IFERROR(__xludf.DUMMYFUNCTION("""COMPUTED_VALUE"""),"Menew - Linx")</f>
        <v>Menew - Linx</v>
      </c>
      <c r="R1540" s="33">
        <f>IFERROR(__xludf.DUMMYFUNCTION("""COMPUTED_VALUE"""),0.2)</f>
        <v>0.2</v>
      </c>
      <c r="S1540" s="4" t="str">
        <f>IFERROR(__xludf.DUMMYFUNCTION("""COMPUTED_VALUE"""),"null")</f>
        <v>null</v>
      </c>
      <c r="T1540" s="33">
        <f>IFERROR(__xludf.DUMMYFUNCTION("""COMPUTED_VALUE"""),0.4)</f>
        <v>0.4</v>
      </c>
      <c r="U1540" s="4" t="str">
        <f>IFERROR(__xludf.DUMMYFUNCTION("""COMPUTED_VALUE"""),"Menew - Linx")</f>
        <v>Menew - Linx</v>
      </c>
      <c r="V1540" s="33">
        <f>IFERROR(__xludf.DUMMYFUNCTION("""COMPUTED_VALUE"""),0.2)</f>
        <v>0.2</v>
      </c>
      <c r="W1540" s="4" t="str">
        <f>IFERROR(__xludf.DUMMYFUNCTION("""COMPUTED_VALUE"""),"null")</f>
        <v>null</v>
      </c>
      <c r="X1540" s="33">
        <f>IFERROR(__xludf.DUMMYFUNCTION("""COMPUTED_VALUE"""),0.6)</f>
        <v>0.6</v>
      </c>
    </row>
    <row r="1541">
      <c r="K1541" s="4" t="str">
        <f>IFERROR(__xludf.DUMMYFUNCTION("""COMPUTED_VALUE"""),"PRIME BURGER")</f>
        <v>PRIME BURGER</v>
      </c>
      <c r="L1541" s="32">
        <f>IFERROR(__xludf.DUMMYFUNCTION("""COMPUTED_VALUE"""),5.0)</f>
        <v>5</v>
      </c>
      <c r="M1541" s="4" t="str">
        <f>IFERROR(__xludf.DUMMYFUNCTION("""COMPUTED_VALUE"""),"Anota Ai Solucoes Digitais S/a")</f>
        <v>Anota Ai Solucoes Digitais S/a</v>
      </c>
      <c r="N1541" s="33">
        <f>IFERROR(__xludf.DUMMYFUNCTION("""COMPUTED_VALUE"""),0.4)</f>
        <v>0.4</v>
      </c>
      <c r="O1541" s="4" t="str">
        <f>IFERROR(__xludf.DUMMYFUNCTION("""COMPUTED_VALUE"""),"Anota Ai Solucoes Digitais S/a")</f>
        <v>Anota Ai Solucoes Digitais S/a</v>
      </c>
      <c r="P1541" s="33">
        <f>IFERROR(__xludf.DUMMYFUNCTION("""COMPUTED_VALUE"""),0.6)</f>
        <v>0.6</v>
      </c>
      <c r="Q1541" s="4" t="str">
        <f>IFERROR(__xludf.DUMMYFUNCTION("""COMPUTED_VALUE"""),"Anota Ai Solucoes Digitais S/a")</f>
        <v>Anota Ai Solucoes Digitais S/a</v>
      </c>
      <c r="R1541" s="33">
        <f>IFERROR(__xludf.DUMMYFUNCTION("""COMPUTED_VALUE"""),0.6)</f>
        <v>0.6</v>
      </c>
      <c r="S1541" s="4" t="str">
        <f>IFERROR(__xludf.DUMMYFUNCTION("""COMPUTED_VALUE"""),"Anota Ai Solucoes Digitais S/a")</f>
        <v>Anota Ai Solucoes Digitais S/a</v>
      </c>
      <c r="T1541" s="33">
        <f>IFERROR(__xludf.DUMMYFUNCTION("""COMPUTED_VALUE"""),0.4)</f>
        <v>0.4</v>
      </c>
      <c r="U1541" s="4" t="str">
        <f>IFERROR(__xludf.DUMMYFUNCTION("""COMPUTED_VALUE"""),"Anota Ai Solucoes Digitais S/a")</f>
        <v>Anota Ai Solucoes Digitais S/a</v>
      </c>
      <c r="V1541" s="33">
        <f>IFERROR(__xludf.DUMMYFUNCTION("""COMPUTED_VALUE"""),0.6)</f>
        <v>0.6</v>
      </c>
      <c r="W1541" s="4" t="str">
        <f>IFERROR(__xludf.DUMMYFUNCTION("""COMPUTED_VALUE"""),"Anota Ai Solucoes Digitais S/a")</f>
        <v>Anota Ai Solucoes Digitais S/a</v>
      </c>
      <c r="X1541" s="33">
        <f>IFERROR(__xludf.DUMMYFUNCTION("""COMPUTED_VALUE"""),0.6)</f>
        <v>0.6</v>
      </c>
    </row>
    <row r="1542">
      <c r="K1542" s="4" t="str">
        <f>IFERROR(__xludf.DUMMYFUNCTION("""COMPUTED_VALUE"""),"SUPER BURGER")</f>
        <v>SUPER BURGER</v>
      </c>
      <c r="L1542" s="32">
        <f>IFERROR(__xludf.DUMMYFUNCTION("""COMPUTED_VALUE"""),5.0)</f>
        <v>5</v>
      </c>
      <c r="M1542" s="4" t="str">
        <f>IFERROR(__xludf.DUMMYFUNCTION("""COMPUTED_VALUE"""),"Consumer Soluções Em Tecnologia Ltda")</f>
        <v>Consumer Soluções Em Tecnologia Ltda</v>
      </c>
      <c r="N1542" s="33">
        <f>IFERROR(__xludf.DUMMYFUNCTION("""COMPUTED_VALUE"""),0.4)</f>
        <v>0.4</v>
      </c>
      <c r="O1542" s="4" t="str">
        <f>IFERROR(__xludf.DUMMYFUNCTION("""COMPUTED_VALUE"""),"Expresso Delivery")</f>
        <v>Expresso Delivery</v>
      </c>
      <c r="P1542" s="33">
        <f>IFERROR(__xludf.DUMMYFUNCTION("""COMPUTED_VALUE"""),0.2)</f>
        <v>0.2</v>
      </c>
      <c r="Q1542" s="4" t="str">
        <f>IFERROR(__xludf.DUMMYFUNCTION("""COMPUTED_VALUE"""),"Saipos Serviços De Software")</f>
        <v>Saipos Serviços De Software</v>
      </c>
      <c r="R1542" s="33">
        <f>IFERROR(__xludf.DUMMYFUNCTION("""COMPUTED_VALUE"""),0.6)</f>
        <v>0.6</v>
      </c>
      <c r="S1542" s="4" t="str">
        <f>IFERROR(__xludf.DUMMYFUNCTION("""COMPUTED_VALUE"""),"null")</f>
        <v>null</v>
      </c>
      <c r="T1542" s="33">
        <f>IFERROR(__xludf.DUMMYFUNCTION("""COMPUTED_VALUE"""),0.4)</f>
        <v>0.4</v>
      </c>
      <c r="U1542" s="4" t="str">
        <f>IFERROR(__xludf.DUMMYFUNCTION("""COMPUTED_VALUE"""),"null")</f>
        <v>null</v>
      </c>
      <c r="V1542" s="33">
        <f>IFERROR(__xludf.DUMMYFUNCTION("""COMPUTED_VALUE"""),0.4)</f>
        <v>0.4</v>
      </c>
      <c r="W1542" s="4" t="str">
        <f>IFERROR(__xludf.DUMMYFUNCTION("""COMPUTED_VALUE"""),"null")</f>
        <v>null</v>
      </c>
      <c r="X1542" s="33">
        <f>IFERROR(__xludf.DUMMYFUNCTION("""COMPUTED_VALUE"""),0.4)</f>
        <v>0.4</v>
      </c>
    </row>
    <row r="1543">
      <c r="K1543" s="4" t="str">
        <f>IFERROR(__xludf.DUMMYFUNCTION("""COMPUTED_VALUE"""),"RESTAURANTE PANELA DE OURO")</f>
        <v>RESTAURANTE PANELA DE OURO</v>
      </c>
      <c r="L1543" s="32">
        <f>IFERROR(__xludf.DUMMYFUNCTION("""COMPUTED_VALUE"""),5.0)</f>
        <v>5</v>
      </c>
      <c r="M1543" s="4" t="str">
        <f>IFERROR(__xludf.DUMMYFUNCTION("""COMPUTED_VALUE"""),"Saipos Serviços De Software")</f>
        <v>Saipos Serviços De Software</v>
      </c>
      <c r="N1543" s="33">
        <f>IFERROR(__xludf.DUMMYFUNCTION("""COMPUTED_VALUE"""),0.4)</f>
        <v>0.4</v>
      </c>
      <c r="O1543" s="4" t="str">
        <f>IFERROR(__xludf.DUMMYFUNCTION("""COMPUTED_VALUE"""),"null")</f>
        <v>null</v>
      </c>
      <c r="P1543" s="33">
        <f>IFERROR(__xludf.DUMMYFUNCTION("""COMPUTED_VALUE"""),0.6)</f>
        <v>0.6</v>
      </c>
      <c r="Q1543" s="4" t="str">
        <f>IFERROR(__xludf.DUMMYFUNCTION("""COMPUTED_VALUE"""),"Saipos Serviços De Software")</f>
        <v>Saipos Serviços De Software</v>
      </c>
      <c r="R1543" s="33">
        <f>IFERROR(__xludf.DUMMYFUNCTION("""COMPUTED_VALUE"""),0.4)</f>
        <v>0.4</v>
      </c>
      <c r="S1543" s="4" t="str">
        <f>IFERROR(__xludf.DUMMYFUNCTION("""COMPUTED_VALUE"""),"Consumer Soluções Em Tecnologia Ltda")</f>
        <v>Consumer Soluções Em Tecnologia Ltda</v>
      </c>
      <c r="T1543" s="33">
        <f>IFERROR(__xludf.DUMMYFUNCTION("""COMPUTED_VALUE"""),0.4)</f>
        <v>0.4</v>
      </c>
      <c r="U1543" s="4" t="str">
        <f>IFERROR(__xludf.DUMMYFUNCTION("""COMPUTED_VALUE"""),"null")</f>
        <v>null</v>
      </c>
      <c r="V1543" s="33">
        <f>IFERROR(__xludf.DUMMYFUNCTION("""COMPUTED_VALUE"""),0.6)</f>
        <v>0.6</v>
      </c>
      <c r="W1543" s="4" t="str">
        <f>IFERROR(__xludf.DUMMYFUNCTION("""COMPUTED_VALUE"""),"Saipos Serviços De Software")</f>
        <v>Saipos Serviços De Software</v>
      </c>
      <c r="X1543" s="33">
        <f>IFERROR(__xludf.DUMMYFUNCTION("""COMPUTED_VALUE"""),0.4)</f>
        <v>0.4</v>
      </c>
    </row>
    <row r="1544">
      <c r="K1544" s="4" t="str">
        <f>IFERROR(__xludf.DUMMYFUNCTION("""COMPUTED_VALUE"""),"SUSHI EXPRESS")</f>
        <v>SUSHI EXPRESS</v>
      </c>
      <c r="L1544" s="32">
        <f>IFERROR(__xludf.DUMMYFUNCTION("""COMPUTED_VALUE"""),5.0)</f>
        <v>5</v>
      </c>
      <c r="M1544" s="4" t="str">
        <f>IFERROR(__xludf.DUMMYFUNCTION("""COMPUTED_VALUE"""),"null")</f>
        <v>null</v>
      </c>
      <c r="N1544" s="33">
        <f>IFERROR(__xludf.DUMMYFUNCTION("""COMPUTED_VALUE"""),0.6)</f>
        <v>0.6</v>
      </c>
      <c r="O1544" s="4" t="str">
        <f>IFERROR(__xludf.DUMMYFUNCTION("""COMPUTED_VALUE"""),"null")</f>
        <v>null</v>
      </c>
      <c r="P1544" s="33">
        <f>IFERROR(__xludf.DUMMYFUNCTION("""COMPUTED_VALUE"""),0.8)</f>
        <v>0.8</v>
      </c>
      <c r="Q1544" s="4" t="str">
        <f>IFERROR(__xludf.DUMMYFUNCTION("""COMPUTED_VALUE"""),"null")</f>
        <v>null</v>
      </c>
      <c r="R1544" s="33">
        <f>IFERROR(__xludf.DUMMYFUNCTION("""COMPUTED_VALUE"""),0.4)</f>
        <v>0.4</v>
      </c>
      <c r="S1544" s="4" t="str">
        <f>IFERROR(__xludf.DUMMYFUNCTION("""COMPUTED_VALUE"""),"Anota Ai Solucoes Digitais S/a")</f>
        <v>Anota Ai Solucoes Digitais S/a</v>
      </c>
      <c r="T1544" s="33">
        <f>IFERROR(__xludf.DUMMYFUNCTION("""COMPUTED_VALUE"""),0.2)</f>
        <v>0.2</v>
      </c>
      <c r="U1544" s="4" t="str">
        <f>IFERROR(__xludf.DUMMYFUNCTION("""COMPUTED_VALUE"""),"Anota Ai Solucoes Digitais S/a")</f>
        <v>Anota Ai Solucoes Digitais S/a</v>
      </c>
      <c r="V1544" s="33">
        <f>IFERROR(__xludf.DUMMYFUNCTION("""COMPUTED_VALUE"""),0.2)</f>
        <v>0.2</v>
      </c>
      <c r="W1544" s="4" t="str">
        <f>IFERROR(__xludf.DUMMYFUNCTION("""COMPUTED_VALUE"""),"Brendi")</f>
        <v>Brendi</v>
      </c>
      <c r="X1544" s="33">
        <f>IFERROR(__xludf.DUMMYFUNCTION("""COMPUTED_VALUE"""),0.4)</f>
        <v>0.4</v>
      </c>
    </row>
    <row r="1545">
      <c r="K1545" s="4" t="str">
        <f>IFERROR(__xludf.DUMMYFUNCTION("""COMPUTED_VALUE"""),"FRESH POKE")</f>
        <v>FRESH POKE</v>
      </c>
      <c r="L1545" s="32">
        <f>IFERROR(__xludf.DUMMYFUNCTION("""COMPUTED_VALUE"""),5.0)</f>
        <v>5</v>
      </c>
      <c r="M1545" s="4" t="str">
        <f>IFERROR(__xludf.DUMMYFUNCTION("""COMPUTED_VALUE"""),"T4l Tecnologia Ltda Me")</f>
        <v>T4l Tecnologia Ltda Me</v>
      </c>
      <c r="N1545" s="33">
        <f>IFERROR(__xludf.DUMMYFUNCTION("""COMPUTED_VALUE"""),0.8)</f>
        <v>0.8</v>
      </c>
      <c r="O1545" s="4" t="str">
        <f>IFERROR(__xludf.DUMMYFUNCTION("""COMPUTED_VALUE"""),"T4l Tecnologia Ltda Me")</f>
        <v>T4l Tecnologia Ltda Me</v>
      </c>
      <c r="P1545" s="33">
        <f>IFERROR(__xludf.DUMMYFUNCTION("""COMPUTED_VALUE"""),0.8)</f>
        <v>0.8</v>
      </c>
      <c r="Q1545" s="4" t="str">
        <f>IFERROR(__xludf.DUMMYFUNCTION("""COMPUTED_VALUE"""),"T4l Tecnologia Ltda Me")</f>
        <v>T4l Tecnologia Ltda Me</v>
      </c>
      <c r="R1545" s="33">
        <f>IFERROR(__xludf.DUMMYFUNCTION("""COMPUTED_VALUE"""),0.8)</f>
        <v>0.8</v>
      </c>
      <c r="S1545" s="4" t="str">
        <f>IFERROR(__xludf.DUMMYFUNCTION("""COMPUTED_VALUE"""),"T4l Tecnologia Ltda Me")</f>
        <v>T4l Tecnologia Ltda Me</v>
      </c>
      <c r="T1545" s="33">
        <f>IFERROR(__xludf.DUMMYFUNCTION("""COMPUTED_VALUE"""),0.8)</f>
        <v>0.8</v>
      </c>
      <c r="U1545" s="4" t="str">
        <f>IFERROR(__xludf.DUMMYFUNCTION("""COMPUTED_VALUE"""),"T4l Tecnologia Ltda Me")</f>
        <v>T4l Tecnologia Ltda Me</v>
      </c>
      <c r="V1545" s="33">
        <f>IFERROR(__xludf.DUMMYFUNCTION("""COMPUTED_VALUE"""),0.8)</f>
        <v>0.8</v>
      </c>
      <c r="W1545" s="4" t="str">
        <f>IFERROR(__xludf.DUMMYFUNCTION("""COMPUTED_VALUE"""),"T4l Tecnologia Ltda Me")</f>
        <v>T4l Tecnologia Ltda Me</v>
      </c>
      <c r="X1545" s="33">
        <f>IFERROR(__xludf.DUMMYFUNCTION("""COMPUTED_VALUE"""),0.8)</f>
        <v>0.8</v>
      </c>
    </row>
    <row r="1546">
      <c r="K1546" s="4" t="str">
        <f>IFERROR(__xludf.DUMMYFUNCTION("""COMPUTED_VALUE"""),"ACAI DA HORA")</f>
        <v>ACAI DA HORA</v>
      </c>
      <c r="L1546" s="32">
        <f>IFERROR(__xludf.DUMMYFUNCTION("""COMPUTED_VALUE"""),5.0)</f>
        <v>5</v>
      </c>
      <c r="M1546" s="4" t="str">
        <f>IFERROR(__xludf.DUMMYFUNCTION("""COMPUTED_VALUE"""),"null")</f>
        <v>null</v>
      </c>
      <c r="N1546" s="33">
        <f>IFERROR(__xludf.DUMMYFUNCTION("""COMPUTED_VALUE"""),0.6)</f>
        <v>0.6</v>
      </c>
      <c r="O1546" s="4" t="str">
        <f>IFERROR(__xludf.DUMMYFUNCTION("""COMPUTED_VALUE"""),"null")</f>
        <v>null</v>
      </c>
      <c r="P1546" s="33">
        <f>IFERROR(__xludf.DUMMYFUNCTION("""COMPUTED_VALUE"""),0.4)</f>
        <v>0.4</v>
      </c>
      <c r="Q1546" s="4" t="str">
        <f>IFERROR(__xludf.DUMMYFUNCTION("""COMPUTED_VALUE"""),"null")</f>
        <v>null</v>
      </c>
      <c r="R1546" s="33">
        <f>IFERROR(__xludf.DUMMYFUNCTION("""COMPUTED_VALUE"""),0.4)</f>
        <v>0.4</v>
      </c>
      <c r="S1546" s="4" t="str">
        <f>IFERROR(__xludf.DUMMYFUNCTION("""COMPUTED_VALUE"""),"null")</f>
        <v>null</v>
      </c>
      <c r="T1546" s="33">
        <f>IFERROR(__xludf.DUMMYFUNCTION("""COMPUTED_VALUE"""),0.4)</f>
        <v>0.4</v>
      </c>
      <c r="U1546" s="4" t="str">
        <f>IFERROR(__xludf.DUMMYFUNCTION("""COMPUTED_VALUE"""),"null")</f>
        <v>null</v>
      </c>
      <c r="V1546" s="33">
        <f>IFERROR(__xludf.DUMMYFUNCTION("""COMPUTED_VALUE"""),0.4)</f>
        <v>0.4</v>
      </c>
      <c r="W1546" s="4" t="str">
        <f>IFERROR(__xludf.DUMMYFUNCTION("""COMPUTED_VALUE"""),"Consumer Soluções Em Tecnologia Ltda")</f>
        <v>Consumer Soluções Em Tecnologia Ltda</v>
      </c>
      <c r="X1546" s="33">
        <f>IFERROR(__xludf.DUMMYFUNCTION("""COMPUTED_VALUE"""),0.2)</f>
        <v>0.2</v>
      </c>
    </row>
    <row r="1547">
      <c r="K1547" s="4" t="str">
        <f>IFERROR(__xludf.DUMMYFUNCTION("""COMPUTED_VALUE"""),"ACAI GOURMET")</f>
        <v>ACAI GOURMET</v>
      </c>
      <c r="L1547" s="32">
        <f>IFERROR(__xludf.DUMMYFUNCTION("""COMPUTED_VALUE"""),5.0)</f>
        <v>5</v>
      </c>
      <c r="M1547" s="4" t="str">
        <f>IFERROR(__xludf.DUMMYFUNCTION("""COMPUTED_VALUE"""),"Saipos Serviços De Software")</f>
        <v>Saipos Serviços De Software</v>
      </c>
      <c r="N1547" s="33">
        <f>IFERROR(__xludf.DUMMYFUNCTION("""COMPUTED_VALUE"""),0.4)</f>
        <v>0.4</v>
      </c>
      <c r="O1547" s="4" t="str">
        <f>IFERROR(__xludf.DUMMYFUNCTION("""COMPUTED_VALUE"""),"Saipos Serviços De Software")</f>
        <v>Saipos Serviços De Software</v>
      </c>
      <c r="P1547" s="33">
        <f>IFERROR(__xludf.DUMMYFUNCTION("""COMPUTED_VALUE"""),0.4)</f>
        <v>0.4</v>
      </c>
      <c r="Q1547" s="4" t="str">
        <f>IFERROR(__xludf.DUMMYFUNCTION("""COMPUTED_VALUE"""),"Saipos Serviços De Software")</f>
        <v>Saipos Serviços De Software</v>
      </c>
      <c r="R1547" s="33">
        <f>IFERROR(__xludf.DUMMYFUNCTION("""COMPUTED_VALUE"""),0.4)</f>
        <v>0.4</v>
      </c>
      <c r="S1547" s="4" t="str">
        <f>IFERROR(__xludf.DUMMYFUNCTION("""COMPUTED_VALUE"""),"Saipos Serviços De Software")</f>
        <v>Saipos Serviços De Software</v>
      </c>
      <c r="T1547" s="33">
        <f>IFERROR(__xludf.DUMMYFUNCTION("""COMPUTED_VALUE"""),0.4)</f>
        <v>0.4</v>
      </c>
      <c r="U1547" s="4" t="str">
        <f>IFERROR(__xludf.DUMMYFUNCTION("""COMPUTED_VALUE"""),"null")</f>
        <v>null</v>
      </c>
      <c r="V1547" s="33">
        <f>IFERROR(__xludf.DUMMYFUNCTION("""COMPUTED_VALUE"""),0.4)</f>
        <v>0.4</v>
      </c>
      <c r="W1547" s="4" t="str">
        <f>IFERROR(__xludf.DUMMYFUNCTION("""COMPUTED_VALUE"""),"Saipos Serviços De Software")</f>
        <v>Saipos Serviços De Software</v>
      </c>
      <c r="X1547" s="33">
        <f>IFERROR(__xludf.DUMMYFUNCTION("""COMPUTED_VALUE"""),0.4)</f>
        <v>0.4</v>
      </c>
    </row>
    <row r="1548">
      <c r="K1548" s="4" t="str">
        <f>IFERROR(__xludf.DUMMYFUNCTION("""COMPUTED_VALUE"""),"IMPERIO DAS BEBIDAS")</f>
        <v>IMPERIO DAS BEBIDAS</v>
      </c>
      <c r="L1548" s="32">
        <f>IFERROR(__xludf.DUMMYFUNCTION("""COMPUTED_VALUE"""),5.0)</f>
        <v>5</v>
      </c>
      <c r="M1548" s="4" t="str">
        <f>IFERROR(__xludf.DUMMYFUNCTION("""COMPUTED_VALUE"""),"null")</f>
        <v>null</v>
      </c>
      <c r="N1548" s="33">
        <f>IFERROR(__xludf.DUMMYFUNCTION("""COMPUTED_VALUE"""),0.8)</f>
        <v>0.8</v>
      </c>
      <c r="O1548" s="4" t="str">
        <f>IFERROR(__xludf.DUMMYFUNCTION("""COMPUTED_VALUE"""),"null")</f>
        <v>null</v>
      </c>
      <c r="P1548" s="33">
        <f>IFERROR(__xludf.DUMMYFUNCTION("""COMPUTED_VALUE"""),0.6)</f>
        <v>0.6</v>
      </c>
      <c r="Q1548" s="4" t="str">
        <f>IFERROR(__xludf.DUMMYFUNCTION("""COMPUTED_VALUE"""),"N/A (Not found)")</f>
        <v>N/A (Not found)</v>
      </c>
      <c r="R1548" s="33">
        <f>IFERROR(__xludf.DUMMYFUNCTION("""COMPUTED_VALUE"""),0.6)</f>
        <v>0.6</v>
      </c>
      <c r="S1548" s="4" t="str">
        <f>IFERROR(__xludf.DUMMYFUNCTION("""COMPUTED_VALUE"""),"N/A (Not found)")</f>
        <v>N/A (Not found)</v>
      </c>
      <c r="T1548" s="33">
        <f>IFERROR(__xludf.DUMMYFUNCTION("""COMPUTED_VALUE"""),0.6)</f>
        <v>0.6</v>
      </c>
      <c r="U1548" s="4" t="str">
        <f>IFERROR(__xludf.DUMMYFUNCTION("""COMPUTED_VALUE"""),"N/A (Not found)")</f>
        <v>N/A (Not found)</v>
      </c>
      <c r="V1548" s="33">
        <f>IFERROR(__xludf.DUMMYFUNCTION("""COMPUTED_VALUE"""),0.6)</f>
        <v>0.6</v>
      </c>
      <c r="W1548" s="4" t="str">
        <f>IFERROR(__xludf.DUMMYFUNCTION("""COMPUTED_VALUE"""),"N/A (Not found)")</f>
        <v>N/A (Not found)</v>
      </c>
      <c r="X1548" s="33">
        <f>IFERROR(__xludf.DUMMYFUNCTION("""COMPUTED_VALUE"""),0.8)</f>
        <v>0.8</v>
      </c>
    </row>
    <row r="1549">
      <c r="K1549" s="4" t="str">
        <f>IFERROR(__xludf.DUMMYFUNCTION("""COMPUTED_VALUE"""),"DROGARIA MAIS BARATO")</f>
        <v>DROGARIA MAIS BARATO</v>
      </c>
      <c r="L1549" s="32">
        <f>IFERROR(__xludf.DUMMYFUNCTION("""COMPUTED_VALUE"""),5.0)</f>
        <v>5</v>
      </c>
      <c r="M1549" s="4" t="str">
        <f>IFERROR(__xludf.DUMMYFUNCTION("""COMPUTED_VALUE"""),"N/A (Not found)")</f>
        <v>N/A (Not found)</v>
      </c>
      <c r="N1549" s="33">
        <f>IFERROR(__xludf.DUMMYFUNCTION("""COMPUTED_VALUE"""),0.8)</f>
        <v>0.8</v>
      </c>
      <c r="O1549" s="4" t="str">
        <f>IFERROR(__xludf.DUMMYFUNCTION("""COMPUTED_VALUE"""),"N/A (Not found)")</f>
        <v>N/A (Not found)</v>
      </c>
      <c r="P1549" s="33">
        <f>IFERROR(__xludf.DUMMYFUNCTION("""COMPUTED_VALUE"""),0.8)</f>
        <v>0.8</v>
      </c>
      <c r="Q1549" s="4" t="str">
        <f>IFERROR(__xludf.DUMMYFUNCTION("""COMPUTED_VALUE"""),"N/A (Not found)")</f>
        <v>N/A (Not found)</v>
      </c>
      <c r="R1549" s="33">
        <f>IFERROR(__xludf.DUMMYFUNCTION("""COMPUTED_VALUE"""),1.0)</f>
        <v>1</v>
      </c>
      <c r="S1549" s="4" t="str">
        <f>IFERROR(__xludf.DUMMYFUNCTION("""COMPUTED_VALUE"""),"N/A (Not found)")</f>
        <v>N/A (Not found)</v>
      </c>
      <c r="T1549" s="33">
        <f>IFERROR(__xludf.DUMMYFUNCTION("""COMPUTED_VALUE"""),1.0)</f>
        <v>1</v>
      </c>
      <c r="U1549" s="4" t="str">
        <f>IFERROR(__xludf.DUMMYFUNCTION("""COMPUTED_VALUE"""),"N/A (Not found)")</f>
        <v>N/A (Not found)</v>
      </c>
      <c r="V1549" s="33">
        <f>IFERROR(__xludf.DUMMYFUNCTION("""COMPUTED_VALUE"""),0.8)</f>
        <v>0.8</v>
      </c>
      <c r="W1549" s="4" t="str">
        <f>IFERROR(__xludf.DUMMYFUNCTION("""COMPUTED_VALUE"""),"N/A (Not found)")</f>
        <v>N/A (Not found)</v>
      </c>
      <c r="X1549" s="33">
        <f>IFERROR(__xludf.DUMMYFUNCTION("""COMPUTED_VALUE"""),0.8)</f>
        <v>0.8</v>
      </c>
    </row>
    <row r="1550">
      <c r="K1550" s="4" t="str">
        <f>IFERROR(__xludf.DUMMYFUNCTION("""COMPUTED_VALUE"""),"PONTO DA PIZZA")</f>
        <v>PONTO DA PIZZA</v>
      </c>
      <c r="L1550" s="32">
        <f>IFERROR(__xludf.DUMMYFUNCTION("""COMPUTED_VALUE"""),5.0)</f>
        <v>5</v>
      </c>
      <c r="M1550" s="4" t="str">
        <f>IFERROR(__xludf.DUMMYFUNCTION("""COMPUTED_VALUE"""),"null")</f>
        <v>null</v>
      </c>
      <c r="N1550" s="33">
        <f>IFERROR(__xludf.DUMMYFUNCTION("""COMPUTED_VALUE"""),0.4)</f>
        <v>0.4</v>
      </c>
      <c r="O1550" s="4" t="str">
        <f>IFERROR(__xludf.DUMMYFUNCTION("""COMPUTED_VALUE"""),"null")</f>
        <v>null</v>
      </c>
      <c r="P1550" s="33">
        <f>IFERROR(__xludf.DUMMYFUNCTION("""COMPUTED_VALUE"""),0.6)</f>
        <v>0.6</v>
      </c>
      <c r="Q1550" s="4" t="str">
        <f>IFERROR(__xludf.DUMMYFUNCTION("""COMPUTED_VALUE"""),"Instadelivery")</f>
        <v>Instadelivery</v>
      </c>
      <c r="R1550" s="33">
        <f>IFERROR(__xludf.DUMMYFUNCTION("""COMPUTED_VALUE"""),0.4)</f>
        <v>0.4</v>
      </c>
      <c r="S1550" s="4" t="str">
        <f>IFERROR(__xludf.DUMMYFUNCTION("""COMPUTED_VALUE"""),"Solução Sistemas")</f>
        <v>Solução Sistemas</v>
      </c>
      <c r="T1550" s="33">
        <f>IFERROR(__xludf.DUMMYFUNCTION("""COMPUTED_VALUE"""),0.2)</f>
        <v>0.2</v>
      </c>
      <c r="U1550" s="4" t="str">
        <f>IFERROR(__xludf.DUMMYFUNCTION("""COMPUTED_VALUE"""),"Instadelivery")</f>
        <v>Instadelivery</v>
      </c>
      <c r="V1550" s="33">
        <f>IFERROR(__xludf.DUMMYFUNCTION("""COMPUTED_VALUE"""),0.4)</f>
        <v>0.4</v>
      </c>
      <c r="W1550" s="4" t="str">
        <f>IFERROR(__xludf.DUMMYFUNCTION("""COMPUTED_VALUE"""),"Instadelivery")</f>
        <v>Instadelivery</v>
      </c>
      <c r="X1550" s="33">
        <f>IFERROR(__xludf.DUMMYFUNCTION("""COMPUTED_VALUE"""),0.4)</f>
        <v>0.4</v>
      </c>
    </row>
    <row r="1551">
      <c r="K1551" s="4" t="str">
        <f>IFERROR(__xludf.DUMMYFUNCTION("""COMPUTED_VALUE"""),"PIZZARIA CASA DA PIZZA")</f>
        <v>PIZZARIA CASA DA PIZZA</v>
      </c>
      <c r="L1551" s="32">
        <f>IFERROR(__xludf.DUMMYFUNCTION("""COMPUTED_VALUE"""),5.0)</f>
        <v>5</v>
      </c>
      <c r="M1551" s="4" t="str">
        <f>IFERROR(__xludf.DUMMYFUNCTION("""COMPUTED_VALUE"""),"Saipos Serviços De Software")</f>
        <v>Saipos Serviços De Software</v>
      </c>
      <c r="N1551" s="33">
        <f>IFERROR(__xludf.DUMMYFUNCTION("""COMPUTED_VALUE"""),0.4)</f>
        <v>0.4</v>
      </c>
      <c r="O1551" s="4" t="str">
        <f>IFERROR(__xludf.DUMMYFUNCTION("""COMPUTED_VALUE"""),"Saipos Serviços De Software")</f>
        <v>Saipos Serviços De Software</v>
      </c>
      <c r="P1551" s="33">
        <f>IFERROR(__xludf.DUMMYFUNCTION("""COMPUTED_VALUE"""),0.4)</f>
        <v>0.4</v>
      </c>
      <c r="Q1551" s="4" t="str">
        <f>IFERROR(__xludf.DUMMYFUNCTION("""COMPUTED_VALUE"""),"Saipos Serviços De Software")</f>
        <v>Saipos Serviços De Software</v>
      </c>
      <c r="R1551" s="33">
        <f>IFERROR(__xludf.DUMMYFUNCTION("""COMPUTED_VALUE"""),0.4)</f>
        <v>0.4</v>
      </c>
      <c r="S1551" s="4" t="str">
        <f>IFERROR(__xludf.DUMMYFUNCTION("""COMPUTED_VALUE"""),"Saipos Serviços De Software")</f>
        <v>Saipos Serviços De Software</v>
      </c>
      <c r="T1551" s="33">
        <f>IFERROR(__xludf.DUMMYFUNCTION("""COMPUTED_VALUE"""),0.4)</f>
        <v>0.4</v>
      </c>
      <c r="U1551" s="4" t="str">
        <f>IFERROR(__xludf.DUMMYFUNCTION("""COMPUTED_VALUE"""),"Saipos Serviços De Software")</f>
        <v>Saipos Serviços De Software</v>
      </c>
      <c r="V1551" s="33">
        <f>IFERROR(__xludf.DUMMYFUNCTION("""COMPUTED_VALUE"""),0.4)</f>
        <v>0.4</v>
      </c>
      <c r="W1551" s="4" t="str">
        <f>IFERROR(__xludf.DUMMYFUNCTION("""COMPUTED_VALUE"""),"Saipos Serviços De Software")</f>
        <v>Saipos Serviços De Software</v>
      </c>
      <c r="X1551" s="33">
        <f>IFERROR(__xludf.DUMMYFUNCTION("""COMPUTED_VALUE"""),0.4)</f>
        <v>0.4</v>
      </c>
    </row>
    <row r="1552">
      <c r="K1552" s="4" t="str">
        <f>IFERROR(__xludf.DUMMYFUNCTION("""COMPUTED_VALUE"""),"CHUNKY CHUNKS COOKIES")</f>
        <v>CHUNKY CHUNKS COOKIES</v>
      </c>
      <c r="L1552" s="32">
        <f>IFERROR(__xludf.DUMMYFUNCTION("""COMPUTED_VALUE"""),5.0)</f>
        <v>5</v>
      </c>
      <c r="M1552" s="4" t="str">
        <f>IFERROR(__xludf.DUMMYFUNCTION("""COMPUTED_VALUE"""),"Connectplug")</f>
        <v>Connectplug</v>
      </c>
      <c r="N1552" s="33">
        <f>IFERROR(__xludf.DUMMYFUNCTION("""COMPUTED_VALUE"""),0.6)</f>
        <v>0.6</v>
      </c>
      <c r="O1552" s="4" t="str">
        <f>IFERROR(__xludf.DUMMYFUNCTION("""COMPUTED_VALUE"""),"Connectplug")</f>
        <v>Connectplug</v>
      </c>
      <c r="P1552" s="33">
        <f>IFERROR(__xludf.DUMMYFUNCTION("""COMPUTED_VALUE"""),0.8)</f>
        <v>0.8</v>
      </c>
      <c r="Q1552" s="4" t="str">
        <f>IFERROR(__xludf.DUMMYFUNCTION("""COMPUTED_VALUE"""),"Connectplug")</f>
        <v>Connectplug</v>
      </c>
      <c r="R1552" s="33">
        <f>IFERROR(__xludf.DUMMYFUNCTION("""COMPUTED_VALUE"""),0.6)</f>
        <v>0.6</v>
      </c>
      <c r="S1552" s="4" t="str">
        <f>IFERROR(__xludf.DUMMYFUNCTION("""COMPUTED_VALUE"""),"Connectplug")</f>
        <v>Connectplug</v>
      </c>
      <c r="T1552" s="33">
        <f>IFERROR(__xludf.DUMMYFUNCTION("""COMPUTED_VALUE"""),0.6)</f>
        <v>0.6</v>
      </c>
      <c r="U1552" s="4" t="str">
        <f>IFERROR(__xludf.DUMMYFUNCTION("""COMPUTED_VALUE"""),"Connectplug")</f>
        <v>Connectplug</v>
      </c>
      <c r="V1552" s="33">
        <f>IFERROR(__xludf.DUMMYFUNCTION("""COMPUTED_VALUE"""),0.6)</f>
        <v>0.6</v>
      </c>
      <c r="W1552" s="4" t="str">
        <f>IFERROR(__xludf.DUMMYFUNCTION("""COMPUTED_VALUE"""),"Connectplug")</f>
        <v>Connectplug</v>
      </c>
      <c r="X1552" s="33">
        <f>IFERROR(__xludf.DUMMYFUNCTION("""COMPUTED_VALUE"""),0.8)</f>
        <v>0.8</v>
      </c>
    </row>
    <row r="1553">
      <c r="K1553" s="4" t="str">
        <f>IFERROR(__xludf.DUMMYFUNCTION("""COMPUTED_VALUE"""),"FARMACIA BRASIL POUPALAR")</f>
        <v>FARMACIA BRASIL POUPALAR</v>
      </c>
      <c r="L1553" s="32">
        <f>IFERROR(__xludf.DUMMYFUNCTION("""COMPUTED_VALUE"""),5.0)</f>
        <v>5</v>
      </c>
      <c r="M1553" s="4" t="str">
        <f>IFERROR(__xludf.DUMMYFUNCTION("""COMPUTED_VALUE"""),"N/A (Not found)")</f>
        <v>N/A (Not found)</v>
      </c>
      <c r="N1553" s="33">
        <f>IFERROR(__xludf.DUMMYFUNCTION("""COMPUTED_VALUE"""),0.6)</f>
        <v>0.6</v>
      </c>
      <c r="O1553" s="4" t="str">
        <f>IFERROR(__xludf.DUMMYFUNCTION("""COMPUTED_VALUE"""),"N/A (Not found)")</f>
        <v>N/A (Not found)</v>
      </c>
      <c r="P1553" s="33">
        <f>IFERROR(__xludf.DUMMYFUNCTION("""COMPUTED_VALUE"""),0.8)</f>
        <v>0.8</v>
      </c>
      <c r="Q1553" s="4" t="str">
        <f>IFERROR(__xludf.DUMMYFUNCTION("""COMPUTED_VALUE"""),"N/A (Not found)")</f>
        <v>N/A (Not found)</v>
      </c>
      <c r="R1553" s="33">
        <f>IFERROR(__xludf.DUMMYFUNCTION("""COMPUTED_VALUE"""),0.6)</f>
        <v>0.6</v>
      </c>
      <c r="S1553" s="4" t="str">
        <f>IFERROR(__xludf.DUMMYFUNCTION("""COMPUTED_VALUE"""),"N/A (Not found)")</f>
        <v>N/A (Not found)</v>
      </c>
      <c r="T1553" s="33">
        <f>IFERROR(__xludf.DUMMYFUNCTION("""COMPUTED_VALUE"""),1.0)</f>
        <v>1</v>
      </c>
      <c r="U1553" s="4" t="str">
        <f>IFERROR(__xludf.DUMMYFUNCTION("""COMPUTED_VALUE"""),"N/A (Not found)")</f>
        <v>N/A (Not found)</v>
      </c>
      <c r="V1553" s="33">
        <f>IFERROR(__xludf.DUMMYFUNCTION("""COMPUTED_VALUE"""),1.0)</f>
        <v>1</v>
      </c>
      <c r="W1553" s="4" t="str">
        <f>IFERROR(__xludf.DUMMYFUNCTION("""COMPUTED_VALUE"""),"N/A (Not found)")</f>
        <v>N/A (Not found)</v>
      </c>
      <c r="X1553" s="33">
        <f>IFERROR(__xludf.DUMMYFUNCTION("""COMPUTED_VALUE"""),1.0)</f>
        <v>1</v>
      </c>
    </row>
    <row r="1554">
      <c r="K1554" s="4" t="str">
        <f>IFERROR(__xludf.DUMMYFUNCTION("""COMPUTED_VALUE"""),"EMPORIO BEER")</f>
        <v>EMPORIO BEER</v>
      </c>
      <c r="L1554" s="32">
        <f>IFERROR(__xludf.DUMMYFUNCTION("""COMPUTED_VALUE"""),5.0)</f>
        <v>5</v>
      </c>
      <c r="M1554" s="4" t="str">
        <f>IFERROR(__xludf.DUMMYFUNCTION("""COMPUTED_VALUE"""),"N/A (Not found)")</f>
        <v>N/A (Not found)</v>
      </c>
      <c r="N1554" s="33">
        <f>IFERROR(__xludf.DUMMYFUNCTION("""COMPUTED_VALUE"""),0.4)</f>
        <v>0.4</v>
      </c>
      <c r="O1554" s="4" t="str">
        <f>IFERROR(__xludf.DUMMYFUNCTION("""COMPUTED_VALUE"""),"N/A (Not found)")</f>
        <v>N/A (Not found)</v>
      </c>
      <c r="P1554" s="33">
        <f>IFERROR(__xludf.DUMMYFUNCTION("""COMPUTED_VALUE"""),0.4)</f>
        <v>0.4</v>
      </c>
      <c r="Q1554" s="4" t="str">
        <f>IFERROR(__xludf.DUMMYFUNCTION("""COMPUTED_VALUE"""),"null")</f>
        <v>null</v>
      </c>
      <c r="R1554" s="33">
        <f>IFERROR(__xludf.DUMMYFUNCTION("""COMPUTED_VALUE"""),0.6)</f>
        <v>0.6</v>
      </c>
      <c r="S1554" s="4" t="str">
        <f>IFERROR(__xludf.DUMMYFUNCTION("""COMPUTED_VALUE"""),"N/A (Not found)")</f>
        <v>N/A (Not found)</v>
      </c>
      <c r="T1554" s="33">
        <f>IFERROR(__xludf.DUMMYFUNCTION("""COMPUTED_VALUE"""),0.6)</f>
        <v>0.6</v>
      </c>
      <c r="U1554" s="4" t="str">
        <f>IFERROR(__xludf.DUMMYFUNCTION("""COMPUTED_VALUE"""),"N/A (Not found)")</f>
        <v>N/A (Not found)</v>
      </c>
      <c r="V1554" s="33">
        <f>IFERROR(__xludf.DUMMYFUNCTION("""COMPUTED_VALUE"""),0.6)</f>
        <v>0.6</v>
      </c>
      <c r="W1554" s="4" t="str">
        <f>IFERROR(__xludf.DUMMYFUNCTION("""COMPUTED_VALUE"""),"N/A (Not found)")</f>
        <v>N/A (Not found)</v>
      </c>
      <c r="X1554" s="33">
        <f>IFERROR(__xludf.DUMMYFUNCTION("""COMPUTED_VALUE"""),0.6)</f>
        <v>0.6</v>
      </c>
    </row>
    <row r="1555">
      <c r="K1555" s="4" t="str">
        <f>IFERROR(__xludf.DUMMYFUNCTION("""COMPUTED_VALUE"""),"BIG PIZZA")</f>
        <v>BIG PIZZA</v>
      </c>
      <c r="L1555" s="32">
        <f>IFERROR(__xludf.DUMMYFUNCTION("""COMPUTED_VALUE"""),5.0)</f>
        <v>5</v>
      </c>
      <c r="M1555" s="4" t="str">
        <f>IFERROR(__xludf.DUMMYFUNCTION("""COMPUTED_VALUE"""),"null")</f>
        <v>null</v>
      </c>
      <c r="N1555" s="33">
        <f>IFERROR(__xludf.DUMMYFUNCTION("""COMPUTED_VALUE"""),0.6)</f>
        <v>0.6</v>
      </c>
      <c r="O1555" s="4" t="str">
        <f>IFERROR(__xludf.DUMMYFUNCTION("""COMPUTED_VALUE"""),"Anota Ai Solucoes Digitais S/a")</f>
        <v>Anota Ai Solucoes Digitais S/a</v>
      </c>
      <c r="P1555" s="33">
        <f>IFERROR(__xludf.DUMMYFUNCTION("""COMPUTED_VALUE"""),0.4)</f>
        <v>0.4</v>
      </c>
      <c r="Q1555" s="4" t="str">
        <f>IFERROR(__xludf.DUMMYFUNCTION("""COMPUTED_VALUE"""),"null")</f>
        <v>null</v>
      </c>
      <c r="R1555" s="33">
        <f>IFERROR(__xludf.DUMMYFUNCTION("""COMPUTED_VALUE"""),0.6)</f>
        <v>0.6</v>
      </c>
      <c r="S1555" s="4" t="str">
        <f>IFERROR(__xludf.DUMMYFUNCTION("""COMPUTED_VALUE"""),"null")</f>
        <v>null</v>
      </c>
      <c r="T1555" s="33">
        <f>IFERROR(__xludf.DUMMYFUNCTION("""COMPUTED_VALUE"""),0.6)</f>
        <v>0.6</v>
      </c>
      <c r="U1555" s="4" t="str">
        <f>IFERROR(__xludf.DUMMYFUNCTION("""COMPUTED_VALUE"""),"null")</f>
        <v>null</v>
      </c>
      <c r="V1555" s="33">
        <f>IFERROR(__xludf.DUMMYFUNCTION("""COMPUTED_VALUE"""),0.6)</f>
        <v>0.6</v>
      </c>
      <c r="W1555" s="4" t="str">
        <f>IFERROR(__xludf.DUMMYFUNCTION("""COMPUTED_VALUE"""),"null")</f>
        <v>null</v>
      </c>
      <c r="X1555" s="33">
        <f>IFERROR(__xludf.DUMMYFUNCTION("""COMPUTED_VALUE"""),0.4)</f>
        <v>0.4</v>
      </c>
    </row>
    <row r="1556">
      <c r="K1556" s="4" t="str">
        <f>IFERROR(__xludf.DUMMYFUNCTION("""COMPUTED_VALUE"""),"BRUTUS BURGUER")</f>
        <v>BRUTUS BURGUER</v>
      </c>
      <c r="L1556" s="32">
        <f>IFERROR(__xludf.DUMMYFUNCTION("""COMPUTED_VALUE"""),5.0)</f>
        <v>5</v>
      </c>
      <c r="M1556" s="4" t="str">
        <f>IFERROR(__xludf.DUMMYFUNCTION("""COMPUTED_VALUE"""),"null")</f>
        <v>null</v>
      </c>
      <c r="N1556" s="33">
        <f>IFERROR(__xludf.DUMMYFUNCTION("""COMPUTED_VALUE"""),0.2)</f>
        <v>0.2</v>
      </c>
      <c r="O1556" s="4" t="str">
        <f>IFERROR(__xludf.DUMMYFUNCTION("""COMPUTED_VALUE"""),"Consumer Soluções Em Tecnologia Ltda")</f>
        <v>Consumer Soluções Em Tecnologia Ltda</v>
      </c>
      <c r="P1556" s="33">
        <f>IFERROR(__xludf.DUMMYFUNCTION("""COMPUTED_VALUE"""),0.4)</f>
        <v>0.4</v>
      </c>
      <c r="Q1556" s="4" t="str">
        <f>IFERROR(__xludf.DUMMYFUNCTION("""COMPUTED_VALUE"""),"Consumer Soluções Em Tecnologia Ltda")</f>
        <v>Consumer Soluções Em Tecnologia Ltda</v>
      </c>
      <c r="R1556" s="33">
        <f>IFERROR(__xludf.DUMMYFUNCTION("""COMPUTED_VALUE"""),0.4)</f>
        <v>0.4</v>
      </c>
      <c r="S1556" s="4" t="str">
        <f>IFERROR(__xludf.DUMMYFUNCTION("""COMPUTED_VALUE"""),"null")</f>
        <v>null</v>
      </c>
      <c r="T1556" s="33">
        <f>IFERROR(__xludf.DUMMYFUNCTION("""COMPUTED_VALUE"""),0.2)</f>
        <v>0.2</v>
      </c>
      <c r="U1556" s="4" t="str">
        <f>IFERROR(__xludf.DUMMYFUNCTION("""COMPUTED_VALUE"""),"Consumer Soluções Em Tecnologia Ltda")</f>
        <v>Consumer Soluções Em Tecnologia Ltda</v>
      </c>
      <c r="V1556" s="33">
        <f>IFERROR(__xludf.DUMMYFUNCTION("""COMPUTED_VALUE"""),0.4)</f>
        <v>0.4</v>
      </c>
      <c r="W1556" s="4" t="str">
        <f>IFERROR(__xludf.DUMMYFUNCTION("""COMPUTED_VALUE"""),"null")</f>
        <v>null</v>
      </c>
      <c r="X1556" s="33">
        <f>IFERROR(__xludf.DUMMYFUNCTION("""COMPUTED_VALUE"""),0.2)</f>
        <v>0.2</v>
      </c>
    </row>
    <row r="1557">
      <c r="K1557" s="4" t="str">
        <f>IFERROR(__xludf.DUMMYFUNCTION("""COMPUTED_VALUE"""),"RESTAURANTE BOM SABOR")</f>
        <v>RESTAURANTE BOM SABOR</v>
      </c>
      <c r="L1557" s="32">
        <f>IFERROR(__xludf.DUMMYFUNCTION("""COMPUTED_VALUE"""),5.0)</f>
        <v>5</v>
      </c>
      <c r="M1557" s="4" t="str">
        <f>IFERROR(__xludf.DUMMYFUNCTION("""COMPUTED_VALUE"""),"null")</f>
        <v>null</v>
      </c>
      <c r="N1557" s="33">
        <f>IFERROR(__xludf.DUMMYFUNCTION("""COMPUTED_VALUE"""),0.6)</f>
        <v>0.6</v>
      </c>
      <c r="O1557" s="4" t="str">
        <f>IFERROR(__xludf.DUMMYFUNCTION("""COMPUTED_VALUE"""),"null")</f>
        <v>null</v>
      </c>
      <c r="P1557" s="33">
        <f>IFERROR(__xludf.DUMMYFUNCTION("""COMPUTED_VALUE"""),0.6)</f>
        <v>0.6</v>
      </c>
      <c r="Q1557" s="4" t="str">
        <f>IFERROR(__xludf.DUMMYFUNCTION("""COMPUTED_VALUE"""),"Instadelivery")</f>
        <v>Instadelivery</v>
      </c>
      <c r="R1557" s="33">
        <f>IFERROR(__xludf.DUMMYFUNCTION("""COMPUTED_VALUE"""),0.4)</f>
        <v>0.4</v>
      </c>
      <c r="S1557" s="4" t="str">
        <f>IFERROR(__xludf.DUMMYFUNCTION("""COMPUTED_VALUE"""),"null")</f>
        <v>null</v>
      </c>
      <c r="T1557" s="33">
        <f>IFERROR(__xludf.DUMMYFUNCTION("""COMPUTED_VALUE"""),0.4)</f>
        <v>0.4</v>
      </c>
      <c r="U1557" s="4" t="str">
        <f>IFERROR(__xludf.DUMMYFUNCTION("""COMPUTED_VALUE"""),"null")</f>
        <v>null</v>
      </c>
      <c r="V1557" s="33">
        <f>IFERROR(__xludf.DUMMYFUNCTION("""COMPUTED_VALUE"""),0.4)</f>
        <v>0.4</v>
      </c>
      <c r="W1557" s="4" t="str">
        <f>IFERROR(__xludf.DUMMYFUNCTION("""COMPUTED_VALUE"""),"null")</f>
        <v>null</v>
      </c>
      <c r="X1557" s="33">
        <f>IFERROR(__xludf.DUMMYFUNCTION("""COMPUTED_VALUE"""),0.2)</f>
        <v>0.2</v>
      </c>
    </row>
    <row r="1558">
      <c r="K1558" s="4" t="str">
        <f>IFERROR(__xludf.DUMMYFUNCTION("""COMPUTED_VALUE"""),"FARMACIA DO POVO")</f>
        <v>FARMACIA DO POVO</v>
      </c>
      <c r="L1558" s="32">
        <f>IFERROR(__xludf.DUMMYFUNCTION("""COMPUTED_VALUE"""),5.0)</f>
        <v>5</v>
      </c>
      <c r="M1558" s="4" t="str">
        <f>IFERROR(__xludf.DUMMYFUNCTION("""COMPUTED_VALUE"""),"N/A (Not found)")</f>
        <v>N/A (Not found)</v>
      </c>
      <c r="N1558" s="33">
        <f>IFERROR(__xludf.DUMMYFUNCTION("""COMPUTED_VALUE"""),0.6)</f>
        <v>0.6</v>
      </c>
      <c r="O1558" s="4" t="str">
        <f>IFERROR(__xludf.DUMMYFUNCTION("""COMPUTED_VALUE"""),"N/A (Not found)")</f>
        <v>N/A (Not found)</v>
      </c>
      <c r="P1558" s="33">
        <f>IFERROR(__xludf.DUMMYFUNCTION("""COMPUTED_VALUE"""),0.8)</f>
        <v>0.8</v>
      </c>
      <c r="Q1558" s="4" t="str">
        <f>IFERROR(__xludf.DUMMYFUNCTION("""COMPUTED_VALUE"""),"N/A (Not found)")</f>
        <v>N/A (Not found)</v>
      </c>
      <c r="R1558" s="33">
        <f>IFERROR(__xludf.DUMMYFUNCTION("""COMPUTED_VALUE"""),0.8)</f>
        <v>0.8</v>
      </c>
      <c r="S1558" s="4" t="str">
        <f>IFERROR(__xludf.DUMMYFUNCTION("""COMPUTED_VALUE"""),"N/A (Not found)")</f>
        <v>N/A (Not found)</v>
      </c>
      <c r="T1558" s="33">
        <f>IFERROR(__xludf.DUMMYFUNCTION("""COMPUTED_VALUE"""),1.0)</f>
        <v>1</v>
      </c>
      <c r="U1558" s="4" t="str">
        <f>IFERROR(__xludf.DUMMYFUNCTION("""COMPUTED_VALUE"""),"N/A (Not found)")</f>
        <v>N/A (Not found)</v>
      </c>
      <c r="V1558" s="33">
        <f>IFERROR(__xludf.DUMMYFUNCTION("""COMPUTED_VALUE"""),0.8)</f>
        <v>0.8</v>
      </c>
      <c r="W1558" s="4" t="str">
        <f>IFERROR(__xludf.DUMMYFUNCTION("""COMPUTED_VALUE"""),"N/A (Not found)")</f>
        <v>N/A (Not found)</v>
      </c>
      <c r="X1558" s="33">
        <f>IFERROR(__xludf.DUMMYFUNCTION("""COMPUTED_VALUE"""),0.6)</f>
        <v>0.6</v>
      </c>
    </row>
    <row r="1559">
      <c r="K1559" s="4" t="str">
        <f>IFERROR(__xludf.DUMMYFUNCTION("""COMPUTED_VALUE"""),"BROTHERS BURGER")</f>
        <v>BROTHERS BURGER</v>
      </c>
      <c r="L1559" s="32">
        <f>IFERROR(__xludf.DUMMYFUNCTION("""COMPUTED_VALUE"""),5.0)</f>
        <v>5</v>
      </c>
      <c r="M1559" s="4" t="str">
        <f>IFERROR(__xludf.DUMMYFUNCTION("""COMPUTED_VALUE"""),"Yooga")</f>
        <v>Yooga</v>
      </c>
      <c r="N1559" s="33">
        <f>IFERROR(__xludf.DUMMYFUNCTION("""COMPUTED_VALUE"""),0.2)</f>
        <v>0.2</v>
      </c>
      <c r="O1559" s="4" t="str">
        <f>IFERROR(__xludf.DUMMYFUNCTION("""COMPUTED_VALUE"""),"Yooga")</f>
        <v>Yooga</v>
      </c>
      <c r="P1559" s="33">
        <f>IFERROR(__xludf.DUMMYFUNCTION("""COMPUTED_VALUE"""),0.2)</f>
        <v>0.2</v>
      </c>
      <c r="Q1559" s="4" t="str">
        <f>IFERROR(__xludf.DUMMYFUNCTION("""COMPUTED_VALUE"""),"Yooga")</f>
        <v>Yooga</v>
      </c>
      <c r="R1559" s="33">
        <f>IFERROR(__xludf.DUMMYFUNCTION("""COMPUTED_VALUE"""),0.2)</f>
        <v>0.2</v>
      </c>
      <c r="S1559" s="4" t="str">
        <f>IFERROR(__xludf.DUMMYFUNCTION("""COMPUTED_VALUE"""),"Yooga")</f>
        <v>Yooga</v>
      </c>
      <c r="T1559" s="33">
        <f>IFERROR(__xludf.DUMMYFUNCTION("""COMPUTED_VALUE"""),0.2)</f>
        <v>0.2</v>
      </c>
      <c r="U1559" s="4" t="str">
        <f>IFERROR(__xludf.DUMMYFUNCTION("""COMPUTED_VALUE"""),"Yooga")</f>
        <v>Yooga</v>
      </c>
      <c r="V1559" s="33">
        <f>IFERROR(__xludf.DUMMYFUNCTION("""COMPUTED_VALUE"""),0.2)</f>
        <v>0.2</v>
      </c>
      <c r="W1559" s="4" t="str">
        <f>IFERROR(__xludf.DUMMYFUNCTION("""COMPUTED_VALUE"""),"null")</f>
        <v>null</v>
      </c>
      <c r="X1559" s="33">
        <f>IFERROR(__xludf.DUMMYFUNCTION("""COMPUTED_VALUE"""),0.4)</f>
        <v>0.4</v>
      </c>
    </row>
    <row r="1560">
      <c r="K1560" s="4" t="str">
        <f>IFERROR(__xludf.DUMMYFUNCTION("""COMPUTED_VALUE"""),"PIZZACOM")</f>
        <v>PIZZACOM</v>
      </c>
      <c r="L1560" s="32">
        <f>IFERROR(__xludf.DUMMYFUNCTION("""COMPUTED_VALUE"""),5.0)</f>
        <v>5</v>
      </c>
      <c r="M1560" s="4" t="str">
        <f>IFERROR(__xludf.DUMMYFUNCTION("""COMPUTED_VALUE"""),"null")</f>
        <v>null</v>
      </c>
      <c r="N1560" s="33">
        <f>IFERROR(__xludf.DUMMYFUNCTION("""COMPUTED_VALUE"""),0.4)</f>
        <v>0.4</v>
      </c>
      <c r="O1560" s="4" t="str">
        <f>IFERROR(__xludf.DUMMYFUNCTION("""COMPUTED_VALUE"""),"Expresso Delivery")</f>
        <v>Expresso Delivery</v>
      </c>
      <c r="P1560" s="33">
        <f>IFERROR(__xludf.DUMMYFUNCTION("""COMPUTED_VALUE"""),0.2)</f>
        <v>0.2</v>
      </c>
      <c r="Q1560" s="4" t="str">
        <f>IFERROR(__xludf.DUMMYFUNCTION("""COMPUTED_VALUE"""),"Expresso Delivery")</f>
        <v>Expresso Delivery</v>
      </c>
      <c r="R1560" s="33">
        <f>IFERROR(__xludf.DUMMYFUNCTION("""COMPUTED_VALUE"""),0.2)</f>
        <v>0.2</v>
      </c>
      <c r="S1560" s="4" t="str">
        <f>IFERROR(__xludf.DUMMYFUNCTION("""COMPUTED_VALUE"""),"null")</f>
        <v>null</v>
      </c>
      <c r="T1560" s="33">
        <f>IFERROR(__xludf.DUMMYFUNCTION("""COMPUTED_VALUE"""),0.4)</f>
        <v>0.4</v>
      </c>
      <c r="U1560" s="4" t="str">
        <f>IFERROR(__xludf.DUMMYFUNCTION("""COMPUTED_VALUE"""),"null")</f>
        <v>null</v>
      </c>
      <c r="V1560" s="33">
        <f>IFERROR(__xludf.DUMMYFUNCTION("""COMPUTED_VALUE"""),0.4)</f>
        <v>0.4</v>
      </c>
      <c r="W1560" s="4" t="str">
        <f>IFERROR(__xludf.DUMMYFUNCTION("""COMPUTED_VALUE"""),"Expresso Delivery")</f>
        <v>Expresso Delivery</v>
      </c>
      <c r="X1560" s="33">
        <f>IFERROR(__xludf.DUMMYFUNCTION("""COMPUTED_VALUE"""),0.2)</f>
        <v>0.2</v>
      </c>
    </row>
    <row r="1561">
      <c r="K1561" s="4" t="str">
        <f>IFERROR(__xludf.DUMMYFUNCTION("""COMPUTED_VALUE"""),"PARAISO DO ACAI")</f>
        <v>PARAISO DO ACAI</v>
      </c>
      <c r="L1561" s="32">
        <f>IFERROR(__xludf.DUMMYFUNCTION("""COMPUTED_VALUE"""),5.0)</f>
        <v>5</v>
      </c>
      <c r="M1561" s="4" t="str">
        <f>IFERROR(__xludf.DUMMYFUNCTION("""COMPUTED_VALUE"""),"Mp Multipedidos")</f>
        <v>Mp Multipedidos</v>
      </c>
      <c r="N1561" s="33">
        <f>IFERROR(__xludf.DUMMYFUNCTION("""COMPUTED_VALUE"""),0.2)</f>
        <v>0.2</v>
      </c>
      <c r="O1561" s="4" t="str">
        <f>IFERROR(__xludf.DUMMYFUNCTION("""COMPUTED_VALUE"""),"Mp Multipedidos")</f>
        <v>Mp Multipedidos</v>
      </c>
      <c r="P1561" s="33">
        <f>IFERROR(__xludf.DUMMYFUNCTION("""COMPUTED_VALUE"""),0.2)</f>
        <v>0.2</v>
      </c>
      <c r="Q1561" s="4" t="str">
        <f>IFERROR(__xludf.DUMMYFUNCTION("""COMPUTED_VALUE"""),"Mp Multipedidos")</f>
        <v>Mp Multipedidos</v>
      </c>
      <c r="R1561" s="33">
        <f>IFERROR(__xludf.DUMMYFUNCTION("""COMPUTED_VALUE"""),0.2)</f>
        <v>0.2</v>
      </c>
      <c r="S1561" s="4" t="str">
        <f>IFERROR(__xludf.DUMMYFUNCTION("""COMPUTED_VALUE"""),"Mp Multipedidos")</f>
        <v>Mp Multipedidos</v>
      </c>
      <c r="T1561" s="33">
        <f>IFERROR(__xludf.DUMMYFUNCTION("""COMPUTED_VALUE"""),0.2)</f>
        <v>0.2</v>
      </c>
      <c r="U1561" s="4" t="str">
        <f>IFERROR(__xludf.DUMMYFUNCTION("""COMPUTED_VALUE"""),"Mp Multipedidos")</f>
        <v>Mp Multipedidos</v>
      </c>
      <c r="V1561" s="33">
        <f>IFERROR(__xludf.DUMMYFUNCTION("""COMPUTED_VALUE"""),0.2)</f>
        <v>0.2</v>
      </c>
      <c r="W1561" s="4" t="str">
        <f>IFERROR(__xludf.DUMMYFUNCTION("""COMPUTED_VALUE"""),"Mp Multipedidos")</f>
        <v>Mp Multipedidos</v>
      </c>
      <c r="X1561" s="33">
        <f>IFERROR(__xludf.DUMMYFUNCTION("""COMPUTED_VALUE"""),0.2)</f>
        <v>0.2</v>
      </c>
    </row>
    <row r="1562">
      <c r="K1562" s="4" t="str">
        <f>IFERROR(__xludf.DUMMYFUNCTION("""COMPUTED_VALUE"""),"POINT DO PASTEL")</f>
        <v>POINT DO PASTEL</v>
      </c>
      <c r="L1562" s="32">
        <f>IFERROR(__xludf.DUMMYFUNCTION("""COMPUTED_VALUE"""),5.0)</f>
        <v>5</v>
      </c>
      <c r="M1562" s="4" t="str">
        <f>IFERROR(__xludf.DUMMYFUNCTION("""COMPUTED_VALUE"""),"Anota Ai Solucoes Digitais S/a")</f>
        <v>Anota Ai Solucoes Digitais S/a</v>
      </c>
      <c r="N1562" s="33">
        <f>IFERROR(__xludf.DUMMYFUNCTION("""COMPUTED_VALUE"""),0.4)</f>
        <v>0.4</v>
      </c>
      <c r="O1562" s="4" t="str">
        <f>IFERROR(__xludf.DUMMYFUNCTION("""COMPUTED_VALUE"""),"Anota Ai Solucoes Digitais S/a")</f>
        <v>Anota Ai Solucoes Digitais S/a</v>
      </c>
      <c r="P1562" s="33">
        <f>IFERROR(__xludf.DUMMYFUNCTION("""COMPUTED_VALUE"""),0.4)</f>
        <v>0.4</v>
      </c>
      <c r="Q1562" s="4" t="str">
        <f>IFERROR(__xludf.DUMMYFUNCTION("""COMPUTED_VALUE"""),"Anota Ai Solucoes Digitais S/a")</f>
        <v>Anota Ai Solucoes Digitais S/a</v>
      </c>
      <c r="R1562" s="33">
        <f>IFERROR(__xludf.DUMMYFUNCTION("""COMPUTED_VALUE"""),0.4)</f>
        <v>0.4</v>
      </c>
      <c r="S1562" s="4" t="str">
        <f>IFERROR(__xludf.DUMMYFUNCTION("""COMPUTED_VALUE"""),"Anota Ai Solucoes Digitais S/a")</f>
        <v>Anota Ai Solucoes Digitais S/a</v>
      </c>
      <c r="T1562" s="33">
        <f>IFERROR(__xludf.DUMMYFUNCTION("""COMPUTED_VALUE"""),0.4)</f>
        <v>0.4</v>
      </c>
      <c r="U1562" s="4" t="str">
        <f>IFERROR(__xludf.DUMMYFUNCTION("""COMPUTED_VALUE"""),"Anota Ai Solucoes Digitais S/a")</f>
        <v>Anota Ai Solucoes Digitais S/a</v>
      </c>
      <c r="V1562" s="33">
        <f>IFERROR(__xludf.DUMMYFUNCTION("""COMPUTED_VALUE"""),0.4)</f>
        <v>0.4</v>
      </c>
      <c r="W1562" s="4" t="str">
        <f>IFERROR(__xludf.DUMMYFUNCTION("""COMPUTED_VALUE"""),"Anota Ai Solucoes Digitais S/a")</f>
        <v>Anota Ai Solucoes Digitais S/a</v>
      </c>
      <c r="X1562" s="33">
        <f>IFERROR(__xludf.DUMMYFUNCTION("""COMPUTED_VALUE"""),0.4)</f>
        <v>0.4</v>
      </c>
    </row>
    <row r="1563">
      <c r="K1563" s="4" t="str">
        <f>IFERROR(__xludf.DUMMYFUNCTION("""COMPUTED_VALUE"""),"ACAI BOCA ROXA")</f>
        <v>ACAI BOCA ROXA</v>
      </c>
      <c r="L1563" s="32">
        <f>IFERROR(__xludf.DUMMYFUNCTION("""COMPUTED_VALUE"""),5.0)</f>
        <v>5</v>
      </c>
      <c r="M1563" s="4" t="str">
        <f>IFERROR(__xludf.DUMMYFUNCTION("""COMPUTED_VALUE"""),"Dual Sete Sistemas E Tecnologia")</f>
        <v>Dual Sete Sistemas E Tecnologia</v>
      </c>
      <c r="N1563" s="33">
        <f>IFERROR(__xludf.DUMMYFUNCTION("""COMPUTED_VALUE"""),0.2)</f>
        <v>0.2</v>
      </c>
      <c r="O1563" s="4" t="str">
        <f>IFERROR(__xludf.DUMMYFUNCTION("""COMPUTED_VALUE"""),"Instadelivery")</f>
        <v>Instadelivery</v>
      </c>
      <c r="P1563" s="33">
        <f>IFERROR(__xludf.DUMMYFUNCTION("""COMPUTED_VALUE"""),0.4)</f>
        <v>0.4</v>
      </c>
      <c r="Q1563" s="4" t="str">
        <f>IFERROR(__xludf.DUMMYFUNCTION("""COMPUTED_VALUE"""),"Instadelivery")</f>
        <v>Instadelivery</v>
      </c>
      <c r="R1563" s="33">
        <f>IFERROR(__xludf.DUMMYFUNCTION("""COMPUTED_VALUE"""),0.4)</f>
        <v>0.4</v>
      </c>
      <c r="S1563" s="4" t="str">
        <f>IFERROR(__xludf.DUMMYFUNCTION("""COMPUTED_VALUE"""),"Instadelivery")</f>
        <v>Instadelivery</v>
      </c>
      <c r="T1563" s="33">
        <f>IFERROR(__xludf.DUMMYFUNCTION("""COMPUTED_VALUE"""),0.4)</f>
        <v>0.4</v>
      </c>
      <c r="U1563" s="4" t="str">
        <f>IFERROR(__xludf.DUMMYFUNCTION("""COMPUTED_VALUE"""),"Instadelivery")</f>
        <v>Instadelivery</v>
      </c>
      <c r="V1563" s="33">
        <f>IFERROR(__xludf.DUMMYFUNCTION("""COMPUTED_VALUE"""),0.4)</f>
        <v>0.4</v>
      </c>
      <c r="W1563" s="4" t="str">
        <f>IFERROR(__xludf.DUMMYFUNCTION("""COMPUTED_VALUE"""),"Instadelivery")</f>
        <v>Instadelivery</v>
      </c>
      <c r="X1563" s="33">
        <f>IFERROR(__xludf.DUMMYFUNCTION("""COMPUTED_VALUE"""),0.4)</f>
        <v>0.4</v>
      </c>
    </row>
    <row r="1564">
      <c r="K1564" s="4" t="str">
        <f>IFERROR(__xludf.DUMMYFUNCTION("""COMPUTED_VALUE"""),"FRATELLI PIZZARIA")</f>
        <v>FRATELLI PIZZARIA</v>
      </c>
      <c r="L1564" s="32">
        <f>IFERROR(__xludf.DUMMYFUNCTION("""COMPUTED_VALUE"""),5.0)</f>
        <v>5</v>
      </c>
      <c r="M1564" s="4" t="str">
        <f>IFERROR(__xludf.DUMMYFUNCTION("""COMPUTED_VALUE"""),"Saipos Serviços De Software")</f>
        <v>Saipos Serviços De Software</v>
      </c>
      <c r="N1564" s="33">
        <f>IFERROR(__xludf.DUMMYFUNCTION("""COMPUTED_VALUE"""),0.4)</f>
        <v>0.4</v>
      </c>
      <c r="O1564" s="4" t="str">
        <f>IFERROR(__xludf.DUMMYFUNCTION("""COMPUTED_VALUE"""),"Saipos Serviços De Software")</f>
        <v>Saipos Serviços De Software</v>
      </c>
      <c r="P1564" s="33">
        <f>IFERROR(__xludf.DUMMYFUNCTION("""COMPUTED_VALUE"""),0.4)</f>
        <v>0.4</v>
      </c>
      <c r="Q1564" s="4" t="str">
        <f>IFERROR(__xludf.DUMMYFUNCTION("""COMPUTED_VALUE"""),"Saipos Serviços De Software")</f>
        <v>Saipos Serviços De Software</v>
      </c>
      <c r="R1564" s="33">
        <f>IFERROR(__xludf.DUMMYFUNCTION("""COMPUTED_VALUE"""),0.4)</f>
        <v>0.4</v>
      </c>
      <c r="S1564" s="4" t="str">
        <f>IFERROR(__xludf.DUMMYFUNCTION("""COMPUTED_VALUE"""),"Saipos Serviços De Software")</f>
        <v>Saipos Serviços De Software</v>
      </c>
      <c r="T1564" s="33">
        <f>IFERROR(__xludf.DUMMYFUNCTION("""COMPUTED_VALUE"""),0.4)</f>
        <v>0.4</v>
      </c>
      <c r="U1564" s="4" t="str">
        <f>IFERROR(__xludf.DUMMYFUNCTION("""COMPUTED_VALUE"""),"Saipos Serviços De Software")</f>
        <v>Saipos Serviços De Software</v>
      </c>
      <c r="V1564" s="33">
        <f>IFERROR(__xludf.DUMMYFUNCTION("""COMPUTED_VALUE"""),0.4)</f>
        <v>0.4</v>
      </c>
      <c r="W1564" s="4" t="str">
        <f>IFERROR(__xludf.DUMMYFUNCTION("""COMPUTED_VALUE"""),"Saipos Serviços De Software")</f>
        <v>Saipos Serviços De Software</v>
      </c>
      <c r="X1564" s="33">
        <f>IFERROR(__xludf.DUMMYFUNCTION("""COMPUTED_VALUE"""),0.4)</f>
        <v>0.4</v>
      </c>
    </row>
    <row r="1565">
      <c r="K1565" s="4" t="str">
        <f>IFERROR(__xludf.DUMMYFUNCTION("""COMPUTED_VALUE"""),"UNIVERSO DO ACAI")</f>
        <v>UNIVERSO DO ACAI</v>
      </c>
      <c r="L1565" s="32">
        <f>IFERROR(__xludf.DUMMYFUNCTION("""COMPUTED_VALUE"""),5.0)</f>
        <v>5</v>
      </c>
      <c r="M1565" s="4" t="str">
        <f>IFERROR(__xludf.DUMMYFUNCTION("""COMPUTED_VALUE"""),"Cardápio Web")</f>
        <v>Cardápio Web</v>
      </c>
      <c r="N1565" s="33">
        <f>IFERROR(__xludf.DUMMYFUNCTION("""COMPUTED_VALUE"""),0.4)</f>
        <v>0.4</v>
      </c>
      <c r="O1565" s="4" t="str">
        <f>IFERROR(__xludf.DUMMYFUNCTION("""COMPUTED_VALUE"""),"Cardápio Web")</f>
        <v>Cardápio Web</v>
      </c>
      <c r="P1565" s="33">
        <f>IFERROR(__xludf.DUMMYFUNCTION("""COMPUTED_VALUE"""),0.4)</f>
        <v>0.4</v>
      </c>
      <c r="Q1565" s="4" t="str">
        <f>IFERROR(__xludf.DUMMYFUNCTION("""COMPUTED_VALUE"""),"Cardápio Web")</f>
        <v>Cardápio Web</v>
      </c>
      <c r="R1565" s="33">
        <f>IFERROR(__xludf.DUMMYFUNCTION("""COMPUTED_VALUE"""),0.4)</f>
        <v>0.4</v>
      </c>
      <c r="S1565" s="4" t="str">
        <f>IFERROR(__xludf.DUMMYFUNCTION("""COMPUTED_VALUE"""),"Cardápio Web")</f>
        <v>Cardápio Web</v>
      </c>
      <c r="T1565" s="33">
        <f>IFERROR(__xludf.DUMMYFUNCTION("""COMPUTED_VALUE"""),0.4)</f>
        <v>0.4</v>
      </c>
      <c r="U1565" s="4" t="str">
        <f>IFERROR(__xludf.DUMMYFUNCTION("""COMPUTED_VALUE"""),"Cardápio Web")</f>
        <v>Cardápio Web</v>
      </c>
      <c r="V1565" s="33">
        <f>IFERROR(__xludf.DUMMYFUNCTION("""COMPUTED_VALUE"""),0.4)</f>
        <v>0.4</v>
      </c>
      <c r="W1565" s="4" t="str">
        <f>IFERROR(__xludf.DUMMYFUNCTION("""COMPUTED_VALUE"""),"Cardápio Web")</f>
        <v>Cardápio Web</v>
      </c>
      <c r="X1565" s="33">
        <f>IFERROR(__xludf.DUMMYFUNCTION("""COMPUTED_VALUE"""),0.4)</f>
        <v>0.4</v>
      </c>
    </row>
    <row r="1566">
      <c r="K1566" s="4" t="str">
        <f>IFERROR(__xludf.DUMMYFUNCTION("""COMPUTED_VALUE"""),"MATSU SUSHI")</f>
        <v>MATSU SUSHI</v>
      </c>
      <c r="L1566" s="32">
        <f>IFERROR(__xludf.DUMMYFUNCTION("""COMPUTED_VALUE"""),5.0)</f>
        <v>5</v>
      </c>
      <c r="M1566" s="4" t="str">
        <f>IFERROR(__xludf.DUMMYFUNCTION("""COMPUTED_VALUE"""),"null")</f>
        <v>null</v>
      </c>
      <c r="N1566" s="33">
        <f>IFERROR(__xludf.DUMMYFUNCTION("""COMPUTED_VALUE"""),0.4)</f>
        <v>0.4</v>
      </c>
      <c r="O1566" s="4" t="str">
        <f>IFERROR(__xludf.DUMMYFUNCTION("""COMPUTED_VALUE"""),"null")</f>
        <v>null</v>
      </c>
      <c r="P1566" s="33">
        <f>IFERROR(__xludf.DUMMYFUNCTION("""COMPUTED_VALUE"""),0.4)</f>
        <v>0.4</v>
      </c>
      <c r="Q1566" s="4" t="str">
        <f>IFERROR(__xludf.DUMMYFUNCTION("""COMPUTED_VALUE"""),"null")</f>
        <v>null</v>
      </c>
      <c r="R1566" s="33">
        <f>IFERROR(__xludf.DUMMYFUNCTION("""COMPUTED_VALUE"""),0.4)</f>
        <v>0.4</v>
      </c>
      <c r="S1566" s="4" t="str">
        <f>IFERROR(__xludf.DUMMYFUNCTION("""COMPUTED_VALUE"""),"null")</f>
        <v>null</v>
      </c>
      <c r="T1566" s="33">
        <f>IFERROR(__xludf.DUMMYFUNCTION("""COMPUTED_VALUE"""),0.4)</f>
        <v>0.4</v>
      </c>
      <c r="U1566" s="4" t="str">
        <f>IFERROR(__xludf.DUMMYFUNCTION("""COMPUTED_VALUE"""),"null")</f>
        <v>null</v>
      </c>
      <c r="V1566" s="33">
        <f>IFERROR(__xludf.DUMMYFUNCTION("""COMPUTED_VALUE"""),0.6)</f>
        <v>0.6</v>
      </c>
      <c r="W1566" s="4" t="str">
        <f>IFERROR(__xludf.DUMMYFUNCTION("""COMPUTED_VALUE"""),"Menew - Linx")</f>
        <v>Menew - Linx</v>
      </c>
      <c r="X1566" s="33">
        <f>IFERROR(__xludf.DUMMYFUNCTION("""COMPUTED_VALUE"""),0.2)</f>
        <v>0.2</v>
      </c>
    </row>
    <row r="1567">
      <c r="K1567" s="4" t="str">
        <f>IFERROR(__xludf.DUMMYFUNCTION("""COMPUTED_VALUE"""),"HOT DOG EXPRESSO MOVE ENTREGA GRATIS 4KM")</f>
        <v>HOT DOG EXPRESSO MOVE ENTREGA GRATIS 4KM</v>
      </c>
      <c r="L1567" s="32">
        <f>IFERROR(__xludf.DUMMYFUNCTION("""COMPUTED_VALUE"""),5.0)</f>
        <v>5</v>
      </c>
      <c r="M1567" s="4" t="str">
        <f>IFERROR(__xludf.DUMMYFUNCTION("""COMPUTED_VALUE"""),"Cloudfy")</f>
        <v>Cloudfy</v>
      </c>
      <c r="N1567" s="33">
        <f>IFERROR(__xludf.DUMMYFUNCTION("""COMPUTED_VALUE"""),1.0)</f>
        <v>1</v>
      </c>
      <c r="O1567" s="4" t="str">
        <f>IFERROR(__xludf.DUMMYFUNCTION("""COMPUTED_VALUE"""),"Cloudfy")</f>
        <v>Cloudfy</v>
      </c>
      <c r="P1567" s="33">
        <f>IFERROR(__xludf.DUMMYFUNCTION("""COMPUTED_VALUE"""),1.0)</f>
        <v>1</v>
      </c>
      <c r="Q1567" s="4" t="str">
        <f>IFERROR(__xludf.DUMMYFUNCTION("""COMPUTED_VALUE"""),"Cloudfy")</f>
        <v>Cloudfy</v>
      </c>
      <c r="R1567" s="33">
        <f>IFERROR(__xludf.DUMMYFUNCTION("""COMPUTED_VALUE"""),0.8)</f>
        <v>0.8</v>
      </c>
      <c r="S1567" s="4" t="str">
        <f>IFERROR(__xludf.DUMMYFUNCTION("""COMPUTED_VALUE"""),"null")</f>
        <v>null</v>
      </c>
      <c r="T1567" s="33">
        <f>IFERROR(__xludf.DUMMYFUNCTION("""COMPUTED_VALUE"""),1.0)</f>
        <v>1</v>
      </c>
      <c r="U1567" s="4" t="str">
        <f>IFERROR(__xludf.DUMMYFUNCTION("""COMPUTED_VALUE"""),"null")</f>
        <v>null</v>
      </c>
      <c r="V1567" s="33">
        <f>IFERROR(__xludf.DUMMYFUNCTION("""COMPUTED_VALUE"""),0.8)</f>
        <v>0.8</v>
      </c>
      <c r="W1567" s="4" t="str">
        <f>IFERROR(__xludf.DUMMYFUNCTION("""COMPUTED_VALUE"""),"null")</f>
        <v>null</v>
      </c>
      <c r="X1567" s="33">
        <f>IFERROR(__xludf.DUMMYFUNCTION("""COMPUTED_VALUE"""),0.8)</f>
        <v>0.8</v>
      </c>
    </row>
    <row r="1568">
      <c r="K1568" s="4" t="str">
        <f>IFERROR(__xludf.DUMMYFUNCTION("""COMPUTED_VALUE"""),"TOKYO SUSHI")</f>
        <v>TOKYO SUSHI</v>
      </c>
      <c r="L1568" s="32">
        <f>IFERROR(__xludf.DUMMYFUNCTION("""COMPUTED_VALUE"""),5.0)</f>
        <v>5</v>
      </c>
      <c r="M1568" s="4" t="str">
        <f>IFERROR(__xludf.DUMMYFUNCTION("""COMPUTED_VALUE"""),"Anota Ai Solucoes Digitais S/a")</f>
        <v>Anota Ai Solucoes Digitais S/a</v>
      </c>
      <c r="N1568" s="33">
        <f>IFERROR(__xludf.DUMMYFUNCTION("""COMPUTED_VALUE"""),0.4)</f>
        <v>0.4</v>
      </c>
      <c r="O1568" s="4" t="str">
        <f>IFERROR(__xludf.DUMMYFUNCTION("""COMPUTED_VALUE"""),"Anota Ai Solucoes Digitais S/a")</f>
        <v>Anota Ai Solucoes Digitais S/a</v>
      </c>
      <c r="P1568" s="33">
        <f>IFERROR(__xludf.DUMMYFUNCTION("""COMPUTED_VALUE"""),0.4)</f>
        <v>0.4</v>
      </c>
      <c r="Q1568" s="4" t="str">
        <f>IFERROR(__xludf.DUMMYFUNCTION("""COMPUTED_VALUE"""),"Anota Ai Solucoes Digitais S/a")</f>
        <v>Anota Ai Solucoes Digitais S/a</v>
      </c>
      <c r="R1568" s="33">
        <f>IFERROR(__xludf.DUMMYFUNCTION("""COMPUTED_VALUE"""),0.4)</f>
        <v>0.4</v>
      </c>
      <c r="S1568" s="4" t="str">
        <f>IFERROR(__xludf.DUMMYFUNCTION("""COMPUTED_VALUE"""),"Anota Ai Solucoes Digitais S/a")</f>
        <v>Anota Ai Solucoes Digitais S/a</v>
      </c>
      <c r="T1568" s="33">
        <f>IFERROR(__xludf.DUMMYFUNCTION("""COMPUTED_VALUE"""),0.4)</f>
        <v>0.4</v>
      </c>
      <c r="U1568" s="4" t="str">
        <f>IFERROR(__xludf.DUMMYFUNCTION("""COMPUTED_VALUE"""),"null")</f>
        <v>null</v>
      </c>
      <c r="V1568" s="33">
        <f>IFERROR(__xludf.DUMMYFUNCTION("""COMPUTED_VALUE"""),0.4)</f>
        <v>0.4</v>
      </c>
      <c r="W1568" s="4" t="str">
        <f>IFERROR(__xludf.DUMMYFUNCTION("""COMPUTED_VALUE"""),"Anota Ai Solucoes Digitais S/a")</f>
        <v>Anota Ai Solucoes Digitais S/a</v>
      </c>
      <c r="X1568" s="33">
        <f>IFERROR(__xludf.DUMMYFUNCTION("""COMPUTED_VALUE"""),0.4)</f>
        <v>0.4</v>
      </c>
    </row>
    <row r="1569">
      <c r="K1569" s="4" t="str">
        <f>IFERROR(__xludf.DUMMYFUNCTION("""COMPUTED_VALUE"""),"DONA VIOLETA ACAI E SORVETES")</f>
        <v>DONA VIOLETA ACAI E SORVETES</v>
      </c>
      <c r="L1569" s="32">
        <f>IFERROR(__xludf.DUMMYFUNCTION("""COMPUTED_VALUE"""),5.0)</f>
        <v>5</v>
      </c>
      <c r="M1569" s="4" t="str">
        <f>IFERROR(__xludf.DUMMYFUNCTION("""COMPUTED_VALUE"""),"Junsoft Tecnologia")</f>
        <v>Junsoft Tecnologia</v>
      </c>
      <c r="N1569" s="33">
        <f>IFERROR(__xludf.DUMMYFUNCTION("""COMPUTED_VALUE"""),0.8)</f>
        <v>0.8</v>
      </c>
      <c r="O1569" s="4" t="str">
        <f>IFERROR(__xludf.DUMMYFUNCTION("""COMPUTED_VALUE"""),"Junsoft Tecnologia")</f>
        <v>Junsoft Tecnologia</v>
      </c>
      <c r="P1569" s="33">
        <f>IFERROR(__xludf.DUMMYFUNCTION("""COMPUTED_VALUE"""),0.8)</f>
        <v>0.8</v>
      </c>
      <c r="Q1569" s="4" t="str">
        <f>IFERROR(__xludf.DUMMYFUNCTION("""COMPUTED_VALUE"""),"Junsoft Tecnologia")</f>
        <v>Junsoft Tecnologia</v>
      </c>
      <c r="R1569" s="33">
        <f>IFERROR(__xludf.DUMMYFUNCTION("""COMPUTED_VALUE"""),0.8)</f>
        <v>0.8</v>
      </c>
      <c r="S1569" s="4" t="str">
        <f>IFERROR(__xludf.DUMMYFUNCTION("""COMPUTED_VALUE"""),"null")</f>
        <v>null</v>
      </c>
      <c r="T1569" s="33">
        <f>IFERROR(__xludf.DUMMYFUNCTION("""COMPUTED_VALUE"""),0.6)</f>
        <v>0.6</v>
      </c>
      <c r="U1569" s="4" t="str">
        <f>IFERROR(__xludf.DUMMYFUNCTION("""COMPUTED_VALUE"""),"null")</f>
        <v>null</v>
      </c>
      <c r="V1569" s="33">
        <f>IFERROR(__xludf.DUMMYFUNCTION("""COMPUTED_VALUE"""),0.8)</f>
        <v>0.8</v>
      </c>
      <c r="W1569" s="4" t="str">
        <f>IFERROR(__xludf.DUMMYFUNCTION("""COMPUTED_VALUE"""),"null")</f>
        <v>null</v>
      </c>
      <c r="X1569" s="33">
        <f>IFERROR(__xludf.DUMMYFUNCTION("""COMPUTED_VALUE"""),0.4)</f>
        <v>0.4</v>
      </c>
    </row>
    <row r="1570">
      <c r="K1570" s="4" t="str">
        <f>IFERROR(__xludf.DUMMYFUNCTION("""COMPUTED_VALUE"""),"PIZZARIA MASTER")</f>
        <v>PIZZARIA MASTER</v>
      </c>
      <c r="L1570" s="32">
        <f>IFERROR(__xludf.DUMMYFUNCTION("""COMPUTED_VALUE"""),5.0)</f>
        <v>5</v>
      </c>
      <c r="M1570" s="4" t="str">
        <f>IFERROR(__xludf.DUMMYFUNCTION("""COMPUTED_VALUE"""),"Anota Ai Solucoes Digitais S/a")</f>
        <v>Anota Ai Solucoes Digitais S/a</v>
      </c>
      <c r="N1570" s="33">
        <f>IFERROR(__xludf.DUMMYFUNCTION("""COMPUTED_VALUE"""),0.4)</f>
        <v>0.4</v>
      </c>
      <c r="O1570" s="4" t="str">
        <f>IFERROR(__xludf.DUMMYFUNCTION("""COMPUTED_VALUE"""),"Anota Ai Solucoes Digitais S/a")</f>
        <v>Anota Ai Solucoes Digitais S/a</v>
      </c>
      <c r="P1570" s="33">
        <f>IFERROR(__xludf.DUMMYFUNCTION("""COMPUTED_VALUE"""),0.6)</f>
        <v>0.6</v>
      </c>
      <c r="Q1570" s="4" t="str">
        <f>IFERROR(__xludf.DUMMYFUNCTION("""COMPUTED_VALUE"""),"Anota Ai Solucoes Digitais S/a")</f>
        <v>Anota Ai Solucoes Digitais S/a</v>
      </c>
      <c r="R1570" s="33">
        <f>IFERROR(__xludf.DUMMYFUNCTION("""COMPUTED_VALUE"""),0.4)</f>
        <v>0.4</v>
      </c>
      <c r="S1570" s="4" t="str">
        <f>IFERROR(__xludf.DUMMYFUNCTION("""COMPUTED_VALUE"""),"Anota Ai Solucoes Digitais S/a")</f>
        <v>Anota Ai Solucoes Digitais S/a</v>
      </c>
      <c r="T1570" s="33">
        <f>IFERROR(__xludf.DUMMYFUNCTION("""COMPUTED_VALUE"""),0.6)</f>
        <v>0.6</v>
      </c>
      <c r="U1570" s="4" t="str">
        <f>IFERROR(__xludf.DUMMYFUNCTION("""COMPUTED_VALUE"""),"null")</f>
        <v>null</v>
      </c>
      <c r="V1570" s="33">
        <f>IFERROR(__xludf.DUMMYFUNCTION("""COMPUTED_VALUE"""),0.4)</f>
        <v>0.4</v>
      </c>
      <c r="W1570" s="4" t="str">
        <f>IFERROR(__xludf.DUMMYFUNCTION("""COMPUTED_VALUE"""),"Anota Ai Solucoes Digitais S/a")</f>
        <v>Anota Ai Solucoes Digitais S/a</v>
      </c>
      <c r="X1570" s="33">
        <f>IFERROR(__xludf.DUMMYFUNCTION("""COMPUTED_VALUE"""),0.4)</f>
        <v>0.4</v>
      </c>
    </row>
    <row r="1571">
      <c r="K1571" s="4" t="str">
        <f>IFERROR(__xludf.DUMMYFUNCTION("""COMPUTED_VALUE"""),"ACAI DA PRAIA")</f>
        <v>ACAI DA PRAIA</v>
      </c>
      <c r="L1571" s="32">
        <f>IFERROR(__xludf.DUMMYFUNCTION("""COMPUTED_VALUE"""),5.0)</f>
        <v>5</v>
      </c>
      <c r="M1571" s="4" t="str">
        <f>IFERROR(__xludf.DUMMYFUNCTION("""COMPUTED_VALUE"""),"Syntax Tecnologia")</f>
        <v>Syntax Tecnologia</v>
      </c>
      <c r="N1571" s="33">
        <f>IFERROR(__xludf.DUMMYFUNCTION("""COMPUTED_VALUE"""),0.6)</f>
        <v>0.6</v>
      </c>
      <c r="O1571" s="4" t="str">
        <f>IFERROR(__xludf.DUMMYFUNCTION("""COMPUTED_VALUE"""),"Syntax Tecnologia")</f>
        <v>Syntax Tecnologia</v>
      </c>
      <c r="P1571" s="33">
        <f>IFERROR(__xludf.DUMMYFUNCTION("""COMPUTED_VALUE"""),0.6)</f>
        <v>0.6</v>
      </c>
      <c r="Q1571" s="4" t="str">
        <f>IFERROR(__xludf.DUMMYFUNCTION("""COMPUTED_VALUE"""),"Syntax Tecnologia")</f>
        <v>Syntax Tecnologia</v>
      </c>
      <c r="R1571" s="33">
        <f>IFERROR(__xludf.DUMMYFUNCTION("""COMPUTED_VALUE"""),0.6)</f>
        <v>0.6</v>
      </c>
      <c r="S1571" s="4" t="str">
        <f>IFERROR(__xludf.DUMMYFUNCTION("""COMPUTED_VALUE"""),"Syntax Tecnologia")</f>
        <v>Syntax Tecnologia</v>
      </c>
      <c r="T1571" s="33">
        <f>IFERROR(__xludf.DUMMYFUNCTION("""COMPUTED_VALUE"""),0.8)</f>
        <v>0.8</v>
      </c>
      <c r="U1571" s="4" t="str">
        <f>IFERROR(__xludf.DUMMYFUNCTION("""COMPUTED_VALUE"""),"Syntax Tecnologia")</f>
        <v>Syntax Tecnologia</v>
      </c>
      <c r="V1571" s="33">
        <f>IFERROR(__xludf.DUMMYFUNCTION("""COMPUTED_VALUE"""),0.8)</f>
        <v>0.8</v>
      </c>
      <c r="W1571" s="4" t="str">
        <f>IFERROR(__xludf.DUMMYFUNCTION("""COMPUTED_VALUE"""),"Syntax Tecnologia")</f>
        <v>Syntax Tecnologia</v>
      </c>
      <c r="X1571" s="33">
        <f>IFERROR(__xludf.DUMMYFUNCTION("""COMPUTED_VALUE"""),0.8)</f>
        <v>0.8</v>
      </c>
    </row>
    <row r="1572">
      <c r="K1572" s="4" t="str">
        <f>IFERROR(__xludf.DUMMYFUNCTION("""COMPUTED_VALUE"""),"PIZZA MANIA")</f>
        <v>PIZZA MANIA</v>
      </c>
      <c r="L1572" s="32">
        <f>IFERROR(__xludf.DUMMYFUNCTION("""COMPUTED_VALUE"""),5.0)</f>
        <v>5</v>
      </c>
      <c r="M1572" s="4" t="str">
        <f>IFERROR(__xludf.DUMMYFUNCTION("""COMPUTED_VALUE"""),"Consumer Soluções Em Tecnologia Ltda")</f>
        <v>Consumer Soluções Em Tecnologia Ltda</v>
      </c>
      <c r="N1572" s="33">
        <f>IFERROR(__xludf.DUMMYFUNCTION("""COMPUTED_VALUE"""),0.4)</f>
        <v>0.4</v>
      </c>
      <c r="O1572" s="4" t="str">
        <f>IFERROR(__xludf.DUMMYFUNCTION("""COMPUTED_VALUE"""),"Simsoft Rp Tecnologia")</f>
        <v>Simsoft Rp Tecnologia</v>
      </c>
      <c r="P1572" s="33">
        <f>IFERROR(__xludf.DUMMYFUNCTION("""COMPUTED_VALUE"""),0.2)</f>
        <v>0.2</v>
      </c>
      <c r="Q1572" s="4" t="str">
        <f>IFERROR(__xludf.DUMMYFUNCTION("""COMPUTED_VALUE"""),"Simsoft Rp Tecnologia")</f>
        <v>Simsoft Rp Tecnologia</v>
      </c>
      <c r="R1572" s="33">
        <f>IFERROR(__xludf.DUMMYFUNCTION("""COMPUTED_VALUE"""),0.2)</f>
        <v>0.2</v>
      </c>
      <c r="S1572" s="4" t="str">
        <f>IFERROR(__xludf.DUMMYFUNCTION("""COMPUTED_VALUE"""),"Consumer Soluções Em Tecnologia Ltda")</f>
        <v>Consumer Soluções Em Tecnologia Ltda</v>
      </c>
      <c r="T1572" s="33">
        <f>IFERROR(__xludf.DUMMYFUNCTION("""COMPUTED_VALUE"""),0.4)</f>
        <v>0.4</v>
      </c>
      <c r="U1572" s="4" t="str">
        <f>IFERROR(__xludf.DUMMYFUNCTION("""COMPUTED_VALUE"""),"Consumer Soluções Em Tecnologia Ltda")</f>
        <v>Consumer Soluções Em Tecnologia Ltda</v>
      </c>
      <c r="V1572" s="33">
        <f>IFERROR(__xludf.DUMMYFUNCTION("""COMPUTED_VALUE"""),0.4)</f>
        <v>0.4</v>
      </c>
      <c r="W1572" s="4" t="str">
        <f>IFERROR(__xludf.DUMMYFUNCTION("""COMPUTED_VALUE"""),"Consumer Soluções Em Tecnologia Ltda")</f>
        <v>Consumer Soluções Em Tecnologia Ltda</v>
      </c>
      <c r="X1572" s="33">
        <f>IFERROR(__xludf.DUMMYFUNCTION("""COMPUTED_VALUE"""),0.4)</f>
        <v>0.4</v>
      </c>
    </row>
    <row r="1573">
      <c r="K1573" s="4" t="str">
        <f>IFERROR(__xludf.DUMMYFUNCTION("""COMPUTED_VALUE"""),"GOOD BURGER")</f>
        <v>GOOD BURGER</v>
      </c>
      <c r="L1573" s="32">
        <f>IFERROR(__xludf.DUMMYFUNCTION("""COMPUTED_VALUE"""),5.0)</f>
        <v>5</v>
      </c>
      <c r="M1573" s="4" t="str">
        <f>IFERROR(__xludf.DUMMYFUNCTION("""COMPUTED_VALUE"""),"null")</f>
        <v>null</v>
      </c>
      <c r="N1573" s="33">
        <f>IFERROR(__xludf.DUMMYFUNCTION("""COMPUTED_VALUE"""),0.6)</f>
        <v>0.6</v>
      </c>
      <c r="O1573" s="4" t="str">
        <f>IFERROR(__xludf.DUMMYFUNCTION("""COMPUTED_VALUE"""),"null")</f>
        <v>null</v>
      </c>
      <c r="P1573" s="33">
        <f>IFERROR(__xludf.DUMMYFUNCTION("""COMPUTED_VALUE"""),0.8)</f>
        <v>0.8</v>
      </c>
      <c r="Q1573" s="4" t="str">
        <f>IFERROR(__xludf.DUMMYFUNCTION("""COMPUTED_VALUE"""),"null")</f>
        <v>null</v>
      </c>
      <c r="R1573" s="33">
        <f>IFERROR(__xludf.DUMMYFUNCTION("""COMPUTED_VALUE"""),0.8)</f>
        <v>0.8</v>
      </c>
      <c r="S1573" s="4" t="str">
        <f>IFERROR(__xludf.DUMMYFUNCTION("""COMPUTED_VALUE"""),"null")</f>
        <v>null</v>
      </c>
      <c r="T1573" s="33">
        <f>IFERROR(__xludf.DUMMYFUNCTION("""COMPUTED_VALUE"""),0.8)</f>
        <v>0.8</v>
      </c>
      <c r="U1573" s="4" t="str">
        <f>IFERROR(__xludf.DUMMYFUNCTION("""COMPUTED_VALUE"""),"null")</f>
        <v>null</v>
      </c>
      <c r="V1573" s="33">
        <f>IFERROR(__xludf.DUMMYFUNCTION("""COMPUTED_VALUE"""),0.8)</f>
        <v>0.8</v>
      </c>
      <c r="W1573" s="4" t="str">
        <f>IFERROR(__xludf.DUMMYFUNCTION("""COMPUTED_VALUE"""),"null")</f>
        <v>null</v>
      </c>
      <c r="X1573" s="33">
        <f>IFERROR(__xludf.DUMMYFUNCTION("""COMPUTED_VALUE"""),0.6)</f>
        <v>0.6</v>
      </c>
    </row>
    <row r="1574">
      <c r="K1574" s="4" t="str">
        <f>IFERROR(__xludf.DUMMYFUNCTION("""COMPUTED_VALUE"""),"MADRUGA LANCHES")</f>
        <v>MADRUGA LANCHES</v>
      </c>
      <c r="L1574" s="32">
        <f>IFERROR(__xludf.DUMMYFUNCTION("""COMPUTED_VALUE"""),5.0)</f>
        <v>5</v>
      </c>
      <c r="M1574" s="4" t="str">
        <f>IFERROR(__xludf.DUMMYFUNCTION("""COMPUTED_VALUE"""),"Yooga")</f>
        <v>Yooga</v>
      </c>
      <c r="N1574" s="33">
        <f>IFERROR(__xludf.DUMMYFUNCTION("""COMPUTED_VALUE"""),0.2)</f>
        <v>0.2</v>
      </c>
      <c r="O1574" s="4" t="str">
        <f>IFERROR(__xludf.DUMMYFUNCTION("""COMPUTED_VALUE"""),"Yooga")</f>
        <v>Yooga</v>
      </c>
      <c r="P1574" s="33">
        <f>IFERROR(__xludf.DUMMYFUNCTION("""COMPUTED_VALUE"""),0.2)</f>
        <v>0.2</v>
      </c>
      <c r="Q1574" s="4" t="str">
        <f>IFERROR(__xludf.DUMMYFUNCTION("""COMPUTED_VALUE"""),"Yooga")</f>
        <v>Yooga</v>
      </c>
      <c r="R1574" s="33">
        <f>IFERROR(__xludf.DUMMYFUNCTION("""COMPUTED_VALUE"""),0.2)</f>
        <v>0.2</v>
      </c>
      <c r="S1574" s="4" t="str">
        <f>IFERROR(__xludf.DUMMYFUNCTION("""COMPUTED_VALUE"""),"Yooga")</f>
        <v>Yooga</v>
      </c>
      <c r="T1574" s="33">
        <f>IFERROR(__xludf.DUMMYFUNCTION("""COMPUTED_VALUE"""),0.2)</f>
        <v>0.2</v>
      </c>
      <c r="U1574" s="4" t="str">
        <f>IFERROR(__xludf.DUMMYFUNCTION("""COMPUTED_VALUE"""),"null")</f>
        <v>null</v>
      </c>
      <c r="V1574" s="33">
        <f>IFERROR(__xludf.DUMMYFUNCTION("""COMPUTED_VALUE"""),0.4)</f>
        <v>0.4</v>
      </c>
      <c r="W1574" s="4" t="str">
        <f>IFERROR(__xludf.DUMMYFUNCTION("""COMPUTED_VALUE"""),"Yooga")</f>
        <v>Yooga</v>
      </c>
      <c r="X1574" s="33">
        <f>IFERROR(__xludf.DUMMYFUNCTION("""COMPUTED_VALUE"""),0.2)</f>
        <v>0.2</v>
      </c>
    </row>
    <row r="1575">
      <c r="K1575" s="4" t="str">
        <f>IFERROR(__xludf.DUMMYFUNCTION("""COMPUTED_VALUE"""),"A FEIJOADA")</f>
        <v>A FEIJOADA</v>
      </c>
      <c r="L1575" s="32">
        <f>IFERROR(__xludf.DUMMYFUNCTION("""COMPUTED_VALUE"""),5.0)</f>
        <v>5</v>
      </c>
      <c r="M1575" s="4" t="str">
        <f>IFERROR(__xludf.DUMMYFUNCTION("""COMPUTED_VALUE"""),"Eclética Tecnologia")</f>
        <v>Eclética Tecnologia</v>
      </c>
      <c r="N1575" s="33">
        <f>IFERROR(__xludf.DUMMYFUNCTION("""COMPUTED_VALUE"""),0.8)</f>
        <v>0.8</v>
      </c>
      <c r="O1575" s="4" t="str">
        <f>IFERROR(__xludf.DUMMYFUNCTION("""COMPUTED_VALUE"""),"Eclética Tecnologia")</f>
        <v>Eclética Tecnologia</v>
      </c>
      <c r="P1575" s="33">
        <f>IFERROR(__xludf.DUMMYFUNCTION("""COMPUTED_VALUE"""),0.8)</f>
        <v>0.8</v>
      </c>
      <c r="Q1575" s="4" t="str">
        <f>IFERROR(__xludf.DUMMYFUNCTION("""COMPUTED_VALUE"""),"Eclética Tecnologia")</f>
        <v>Eclética Tecnologia</v>
      </c>
      <c r="R1575" s="33">
        <f>IFERROR(__xludf.DUMMYFUNCTION("""COMPUTED_VALUE"""),0.8)</f>
        <v>0.8</v>
      </c>
      <c r="S1575" s="4" t="str">
        <f>IFERROR(__xludf.DUMMYFUNCTION("""COMPUTED_VALUE"""),"Eclética Tecnologia")</f>
        <v>Eclética Tecnologia</v>
      </c>
      <c r="T1575" s="33">
        <f>IFERROR(__xludf.DUMMYFUNCTION("""COMPUTED_VALUE"""),0.6)</f>
        <v>0.6</v>
      </c>
      <c r="U1575" s="4" t="str">
        <f>IFERROR(__xludf.DUMMYFUNCTION("""COMPUTED_VALUE"""),"null")</f>
        <v>null</v>
      </c>
      <c r="V1575" s="33">
        <f>IFERROR(__xludf.DUMMYFUNCTION("""COMPUTED_VALUE"""),0.6)</f>
        <v>0.6</v>
      </c>
      <c r="W1575" s="4" t="str">
        <f>IFERROR(__xludf.DUMMYFUNCTION("""COMPUTED_VALUE"""),"null")</f>
        <v>null</v>
      </c>
      <c r="X1575" s="33">
        <f>IFERROR(__xludf.DUMMYFUNCTION("""COMPUTED_VALUE"""),0.8)</f>
        <v>0.8</v>
      </c>
    </row>
    <row r="1576">
      <c r="K1576" s="4" t="str">
        <f>IFERROR(__xludf.DUMMYFUNCTION("""COMPUTED_VALUE"""),"HAMBURGUERIA TEXAS")</f>
        <v>HAMBURGUERIA TEXAS</v>
      </c>
      <c r="L1576" s="32">
        <f>IFERROR(__xludf.DUMMYFUNCTION("""COMPUTED_VALUE"""),5.0)</f>
        <v>5</v>
      </c>
      <c r="M1576" s="4" t="str">
        <f>IFERROR(__xludf.DUMMYFUNCTION("""COMPUTED_VALUE"""),"Saipos Serviços De Software")</f>
        <v>Saipos Serviços De Software</v>
      </c>
      <c r="N1576" s="33">
        <f>IFERROR(__xludf.DUMMYFUNCTION("""COMPUTED_VALUE"""),0.6)</f>
        <v>0.6</v>
      </c>
      <c r="O1576" s="4" t="str">
        <f>IFERROR(__xludf.DUMMYFUNCTION("""COMPUTED_VALUE"""),"Saipos Serviços De Software")</f>
        <v>Saipos Serviços De Software</v>
      </c>
      <c r="P1576" s="33">
        <f>IFERROR(__xludf.DUMMYFUNCTION("""COMPUTED_VALUE"""),0.6)</f>
        <v>0.6</v>
      </c>
      <c r="Q1576" s="4" t="str">
        <f>IFERROR(__xludf.DUMMYFUNCTION("""COMPUTED_VALUE"""),"Saipos Serviços De Software")</f>
        <v>Saipos Serviços De Software</v>
      </c>
      <c r="R1576" s="33">
        <f>IFERROR(__xludf.DUMMYFUNCTION("""COMPUTED_VALUE"""),0.6)</f>
        <v>0.6</v>
      </c>
      <c r="S1576" s="4" t="str">
        <f>IFERROR(__xludf.DUMMYFUNCTION("""COMPUTED_VALUE"""),"null")</f>
        <v>null</v>
      </c>
      <c r="T1576" s="33">
        <f>IFERROR(__xludf.DUMMYFUNCTION("""COMPUTED_VALUE"""),0.6)</f>
        <v>0.6</v>
      </c>
      <c r="U1576" s="4" t="str">
        <f>IFERROR(__xludf.DUMMYFUNCTION("""COMPUTED_VALUE"""),"null")</f>
        <v>null</v>
      </c>
      <c r="V1576" s="33">
        <f>IFERROR(__xludf.DUMMYFUNCTION("""COMPUTED_VALUE"""),0.6)</f>
        <v>0.6</v>
      </c>
      <c r="W1576" s="4" t="str">
        <f>IFERROR(__xludf.DUMMYFUNCTION("""COMPUTED_VALUE"""),"null")</f>
        <v>null</v>
      </c>
      <c r="X1576" s="33">
        <f>IFERROR(__xludf.DUMMYFUNCTION("""COMPUTED_VALUE"""),0.8)</f>
        <v>0.8</v>
      </c>
    </row>
    <row r="1577">
      <c r="K1577" s="4" t="str">
        <f>IFERROR(__xludf.DUMMYFUNCTION("""COMPUTED_VALUE"""),"CASA DO ESPETO")</f>
        <v>CASA DO ESPETO</v>
      </c>
      <c r="L1577" s="32">
        <f>IFERROR(__xludf.DUMMYFUNCTION("""COMPUTED_VALUE"""),5.0)</f>
        <v>5</v>
      </c>
      <c r="M1577" s="4" t="str">
        <f>IFERROR(__xludf.DUMMYFUNCTION("""COMPUTED_VALUE"""),"null")</f>
        <v>null</v>
      </c>
      <c r="N1577" s="33">
        <f>IFERROR(__xludf.DUMMYFUNCTION("""COMPUTED_VALUE"""),0.4)</f>
        <v>0.4</v>
      </c>
      <c r="O1577" s="4" t="str">
        <f>IFERROR(__xludf.DUMMYFUNCTION("""COMPUTED_VALUE"""),"null")</f>
        <v>null</v>
      </c>
      <c r="P1577" s="33">
        <f>IFERROR(__xludf.DUMMYFUNCTION("""COMPUTED_VALUE"""),0.4)</f>
        <v>0.4</v>
      </c>
      <c r="Q1577" s="4" t="str">
        <f>IFERROR(__xludf.DUMMYFUNCTION("""COMPUTED_VALUE"""),"null")</f>
        <v>null</v>
      </c>
      <c r="R1577" s="33">
        <f>IFERROR(__xludf.DUMMYFUNCTION("""COMPUTED_VALUE"""),0.4)</f>
        <v>0.4</v>
      </c>
      <c r="S1577" s="4" t="str">
        <f>IFERROR(__xludf.DUMMYFUNCTION("""COMPUTED_VALUE"""),"null")</f>
        <v>null</v>
      </c>
      <c r="T1577" s="33">
        <f>IFERROR(__xludf.DUMMYFUNCTION("""COMPUTED_VALUE"""),0.6)</f>
        <v>0.6</v>
      </c>
      <c r="U1577" s="4" t="str">
        <f>IFERROR(__xludf.DUMMYFUNCTION("""COMPUTED_VALUE"""),"null")</f>
        <v>null</v>
      </c>
      <c r="V1577" s="33">
        <f>IFERROR(__xludf.DUMMYFUNCTION("""COMPUTED_VALUE"""),0.4)</f>
        <v>0.4</v>
      </c>
      <c r="W1577" s="4" t="str">
        <f>IFERROR(__xludf.DUMMYFUNCTION("""COMPUTED_VALUE"""),"Mp Multipedidos")</f>
        <v>Mp Multipedidos</v>
      </c>
      <c r="X1577" s="33">
        <f>IFERROR(__xludf.DUMMYFUNCTION("""COMPUTED_VALUE"""),0.4)</f>
        <v>0.4</v>
      </c>
    </row>
    <row r="1578">
      <c r="K1578" s="4" t="str">
        <f>IFERROR(__xludf.DUMMYFUNCTION("""COMPUTED_VALUE"""),"TEXAS GRILL PIZZARIA")</f>
        <v>TEXAS GRILL PIZZARIA</v>
      </c>
      <c r="L1578" s="32">
        <f>IFERROR(__xludf.DUMMYFUNCTION("""COMPUTED_VALUE"""),5.0)</f>
        <v>5</v>
      </c>
      <c r="M1578" s="4" t="str">
        <f>IFERROR(__xludf.DUMMYFUNCTION("""COMPUTED_VALUE"""),"Linen Sistemas")</f>
        <v>Linen Sistemas</v>
      </c>
      <c r="N1578" s="33">
        <f>IFERROR(__xludf.DUMMYFUNCTION("""COMPUTED_VALUE"""),0.8)</f>
        <v>0.8</v>
      </c>
      <c r="O1578" s="4" t="str">
        <f>IFERROR(__xludf.DUMMYFUNCTION("""COMPUTED_VALUE"""),"Linen Sistemas")</f>
        <v>Linen Sistemas</v>
      </c>
      <c r="P1578" s="33">
        <f>IFERROR(__xludf.DUMMYFUNCTION("""COMPUTED_VALUE"""),1.0)</f>
        <v>1</v>
      </c>
      <c r="Q1578" s="4" t="str">
        <f>IFERROR(__xludf.DUMMYFUNCTION("""COMPUTED_VALUE"""),"null")</f>
        <v>null</v>
      </c>
      <c r="R1578" s="33">
        <f>IFERROR(__xludf.DUMMYFUNCTION("""COMPUTED_VALUE"""),1.0)</f>
        <v>1</v>
      </c>
      <c r="S1578" s="4" t="str">
        <f>IFERROR(__xludf.DUMMYFUNCTION("""COMPUTED_VALUE"""),"null")</f>
        <v>null</v>
      </c>
      <c r="T1578" s="33">
        <f>IFERROR(__xludf.DUMMYFUNCTION("""COMPUTED_VALUE"""),1.0)</f>
        <v>1</v>
      </c>
      <c r="U1578" s="4" t="str">
        <f>IFERROR(__xludf.DUMMYFUNCTION("""COMPUTED_VALUE"""),"null")</f>
        <v>null</v>
      </c>
      <c r="V1578" s="33">
        <f>IFERROR(__xludf.DUMMYFUNCTION("""COMPUTED_VALUE"""),1.0)</f>
        <v>1</v>
      </c>
      <c r="W1578" s="4" t="str">
        <f>IFERROR(__xludf.DUMMYFUNCTION("""COMPUTED_VALUE"""),"null")</f>
        <v>null</v>
      </c>
      <c r="X1578" s="33">
        <f>IFERROR(__xludf.DUMMYFUNCTION("""COMPUTED_VALUE"""),1.0)</f>
        <v>1</v>
      </c>
    </row>
    <row r="1579">
      <c r="K1579" s="4" t="str">
        <f>IFERROR(__xludf.DUMMYFUNCTION("""COMPUTED_VALUE"""),"BIG LANCHES")</f>
        <v>BIG LANCHES</v>
      </c>
      <c r="L1579" s="32">
        <f>IFERROR(__xludf.DUMMYFUNCTION("""COMPUTED_VALUE"""),5.0)</f>
        <v>5</v>
      </c>
      <c r="M1579" s="4" t="str">
        <f>IFERROR(__xludf.DUMMYFUNCTION("""COMPUTED_VALUE"""),"null")</f>
        <v>null</v>
      </c>
      <c r="N1579" s="33">
        <f>IFERROR(__xludf.DUMMYFUNCTION("""COMPUTED_VALUE"""),0.2)</f>
        <v>0.2</v>
      </c>
      <c r="O1579" s="4" t="str">
        <f>IFERROR(__xludf.DUMMYFUNCTION("""COMPUTED_VALUE"""),"Anota Ai Solucoes Digitais S/a")</f>
        <v>Anota Ai Solucoes Digitais S/a</v>
      </c>
      <c r="P1579" s="33">
        <f>IFERROR(__xludf.DUMMYFUNCTION("""COMPUTED_VALUE"""),0.4)</f>
        <v>0.4</v>
      </c>
      <c r="Q1579" s="4" t="str">
        <f>IFERROR(__xludf.DUMMYFUNCTION("""COMPUTED_VALUE"""),"Anota Ai Solucoes Digitais S/a")</f>
        <v>Anota Ai Solucoes Digitais S/a</v>
      </c>
      <c r="R1579" s="33">
        <f>IFERROR(__xludf.DUMMYFUNCTION("""COMPUTED_VALUE"""),0.4)</f>
        <v>0.4</v>
      </c>
      <c r="S1579" s="4" t="str">
        <f>IFERROR(__xludf.DUMMYFUNCTION("""COMPUTED_VALUE"""),"null")</f>
        <v>null</v>
      </c>
      <c r="T1579" s="33">
        <f>IFERROR(__xludf.DUMMYFUNCTION("""COMPUTED_VALUE"""),0.2)</f>
        <v>0.2</v>
      </c>
      <c r="U1579" s="4" t="str">
        <f>IFERROR(__xludf.DUMMYFUNCTION("""COMPUTED_VALUE"""),"null")</f>
        <v>null</v>
      </c>
      <c r="V1579" s="33">
        <f>IFERROR(__xludf.DUMMYFUNCTION("""COMPUTED_VALUE"""),0.2)</f>
        <v>0.2</v>
      </c>
      <c r="W1579" s="4" t="str">
        <f>IFERROR(__xludf.DUMMYFUNCTION("""COMPUTED_VALUE"""),"null")</f>
        <v>null</v>
      </c>
      <c r="X1579" s="33">
        <f>IFERROR(__xludf.DUMMYFUNCTION("""COMPUTED_VALUE"""),0.2)</f>
        <v>0.2</v>
      </c>
    </row>
    <row r="1580">
      <c r="K1580" s="4" t="str">
        <f>IFERROR(__xludf.DUMMYFUNCTION("""COMPUTED_VALUE"""),"EMPORIO BURGUER")</f>
        <v>EMPORIO BURGUER</v>
      </c>
      <c r="L1580" s="32">
        <f>IFERROR(__xludf.DUMMYFUNCTION("""COMPUTED_VALUE"""),5.0)</f>
        <v>5</v>
      </c>
      <c r="M1580" s="4" t="str">
        <f>IFERROR(__xludf.DUMMYFUNCTION("""COMPUTED_VALUE"""),"Consumer Soluções Em Tecnologia Ltda")</f>
        <v>Consumer Soluções Em Tecnologia Ltda</v>
      </c>
      <c r="N1580" s="33">
        <f>IFERROR(__xludf.DUMMYFUNCTION("""COMPUTED_VALUE"""),0.6)</f>
        <v>0.6</v>
      </c>
      <c r="O1580" s="4" t="str">
        <f>IFERROR(__xludf.DUMMYFUNCTION("""COMPUTED_VALUE"""),"Consumer Soluções Em Tecnologia Ltda")</f>
        <v>Consumer Soluções Em Tecnologia Ltda</v>
      </c>
      <c r="P1580" s="33">
        <f>IFERROR(__xludf.DUMMYFUNCTION("""COMPUTED_VALUE"""),0.6)</f>
        <v>0.6</v>
      </c>
      <c r="Q1580" s="4" t="str">
        <f>IFERROR(__xludf.DUMMYFUNCTION("""COMPUTED_VALUE"""),"Consumer Soluções Em Tecnologia Ltda")</f>
        <v>Consumer Soluções Em Tecnologia Ltda</v>
      </c>
      <c r="R1580" s="33">
        <f>IFERROR(__xludf.DUMMYFUNCTION("""COMPUTED_VALUE"""),0.6)</f>
        <v>0.6</v>
      </c>
      <c r="S1580" s="4" t="str">
        <f>IFERROR(__xludf.DUMMYFUNCTION("""COMPUTED_VALUE"""),"Consumer Soluções Em Tecnologia Ltda")</f>
        <v>Consumer Soluções Em Tecnologia Ltda</v>
      </c>
      <c r="T1580" s="33">
        <f>IFERROR(__xludf.DUMMYFUNCTION("""COMPUTED_VALUE"""),0.6)</f>
        <v>0.6</v>
      </c>
      <c r="U1580" s="4" t="str">
        <f>IFERROR(__xludf.DUMMYFUNCTION("""COMPUTED_VALUE"""),"null")</f>
        <v>null</v>
      </c>
      <c r="V1580" s="33">
        <f>IFERROR(__xludf.DUMMYFUNCTION("""COMPUTED_VALUE"""),0.8)</f>
        <v>0.8</v>
      </c>
      <c r="W1580" s="4" t="str">
        <f>IFERROR(__xludf.DUMMYFUNCTION("""COMPUTED_VALUE"""),"Cardápio Web")</f>
        <v>Cardápio Web</v>
      </c>
      <c r="X1580" s="33">
        <f>IFERROR(__xludf.DUMMYFUNCTION("""COMPUTED_VALUE"""),0.6)</f>
        <v>0.6</v>
      </c>
    </row>
    <row r="1581">
      <c r="K1581" s="4" t="str">
        <f>IFERROR(__xludf.DUMMYFUNCTION("""COMPUTED_VALUE"""),"SABOR NA BRASA")</f>
        <v>SABOR NA BRASA</v>
      </c>
      <c r="L1581" s="32">
        <f>IFERROR(__xludf.DUMMYFUNCTION("""COMPUTED_VALUE"""),5.0)</f>
        <v>5</v>
      </c>
      <c r="M1581" s="4" t="str">
        <f>IFERROR(__xludf.DUMMYFUNCTION("""COMPUTED_VALUE"""),"Consumer Soluções Em Tecnologia Ltda")</f>
        <v>Consumer Soluções Em Tecnologia Ltda</v>
      </c>
      <c r="N1581" s="33">
        <f>IFERROR(__xludf.DUMMYFUNCTION("""COMPUTED_VALUE"""),0.2)</f>
        <v>0.2</v>
      </c>
      <c r="O1581" s="4" t="str">
        <f>IFERROR(__xludf.DUMMYFUNCTION("""COMPUTED_VALUE"""),"Consumer Soluções Em Tecnologia Ltda")</f>
        <v>Consumer Soluções Em Tecnologia Ltda</v>
      </c>
      <c r="P1581" s="33">
        <f>IFERROR(__xludf.DUMMYFUNCTION("""COMPUTED_VALUE"""),0.2)</f>
        <v>0.2</v>
      </c>
      <c r="Q1581" s="4" t="str">
        <f>IFERROR(__xludf.DUMMYFUNCTION("""COMPUTED_VALUE"""),"Consumer Soluções Em Tecnologia Ltda")</f>
        <v>Consumer Soluções Em Tecnologia Ltda</v>
      </c>
      <c r="R1581" s="33">
        <f>IFERROR(__xludf.DUMMYFUNCTION("""COMPUTED_VALUE"""),0.2)</f>
        <v>0.2</v>
      </c>
      <c r="S1581" s="4" t="str">
        <f>IFERROR(__xludf.DUMMYFUNCTION("""COMPUTED_VALUE"""),"Consumer Soluções Em Tecnologia Ltda")</f>
        <v>Consumer Soluções Em Tecnologia Ltda</v>
      </c>
      <c r="T1581" s="33">
        <f>IFERROR(__xludf.DUMMYFUNCTION("""COMPUTED_VALUE"""),0.2)</f>
        <v>0.2</v>
      </c>
      <c r="U1581" s="4" t="str">
        <f>IFERROR(__xludf.DUMMYFUNCTION("""COMPUTED_VALUE"""),"Consumer Soluções Em Tecnologia Ltda")</f>
        <v>Consumer Soluções Em Tecnologia Ltda</v>
      </c>
      <c r="V1581" s="33">
        <f>IFERROR(__xludf.DUMMYFUNCTION("""COMPUTED_VALUE"""),0.2)</f>
        <v>0.2</v>
      </c>
      <c r="W1581" s="4" t="str">
        <f>IFERROR(__xludf.DUMMYFUNCTION("""COMPUTED_VALUE"""),"null")</f>
        <v>null</v>
      </c>
      <c r="X1581" s="33">
        <f>IFERROR(__xludf.DUMMYFUNCTION("""COMPUTED_VALUE"""),0.4)</f>
        <v>0.4</v>
      </c>
    </row>
    <row r="1582">
      <c r="K1582" s="4" t="str">
        <f>IFERROR(__xludf.DUMMYFUNCTION("""COMPUTED_VALUE"""),"BRUTUS PIZZARIA")</f>
        <v>BRUTUS PIZZARIA</v>
      </c>
      <c r="L1582" s="32">
        <f>IFERROR(__xludf.DUMMYFUNCTION("""COMPUTED_VALUE"""),5.0)</f>
        <v>5</v>
      </c>
      <c r="M1582" s="4" t="str">
        <f>IFERROR(__xludf.DUMMYFUNCTION("""COMPUTED_VALUE"""),"Gestor Tecnologia E Gestão Empresarial Ltda")</f>
        <v>Gestor Tecnologia E Gestão Empresarial Ltda</v>
      </c>
      <c r="N1582" s="33">
        <f>IFERROR(__xludf.DUMMYFUNCTION("""COMPUTED_VALUE"""),0.4)</f>
        <v>0.4</v>
      </c>
      <c r="O1582" s="4" t="str">
        <f>IFERROR(__xludf.DUMMYFUNCTION("""COMPUTED_VALUE"""),"null")</f>
        <v>null</v>
      </c>
      <c r="P1582" s="33">
        <f>IFERROR(__xludf.DUMMYFUNCTION("""COMPUTED_VALUE"""),0.4)</f>
        <v>0.4</v>
      </c>
      <c r="Q1582" s="4" t="str">
        <f>IFERROR(__xludf.DUMMYFUNCTION("""COMPUTED_VALUE"""),"Gestor Tecnologia E Gestão Empresarial Ltda")</f>
        <v>Gestor Tecnologia E Gestão Empresarial Ltda</v>
      </c>
      <c r="R1582" s="33">
        <f>IFERROR(__xludf.DUMMYFUNCTION("""COMPUTED_VALUE"""),0.2)</f>
        <v>0.2</v>
      </c>
      <c r="S1582" s="4" t="str">
        <f>IFERROR(__xludf.DUMMYFUNCTION("""COMPUTED_VALUE"""),"null")</f>
        <v>null</v>
      </c>
      <c r="T1582" s="33">
        <f>IFERROR(__xludf.DUMMYFUNCTION("""COMPUTED_VALUE"""),0.6)</f>
        <v>0.6</v>
      </c>
      <c r="U1582" s="4" t="str">
        <f>IFERROR(__xludf.DUMMYFUNCTION("""COMPUTED_VALUE"""),"null")</f>
        <v>null</v>
      </c>
      <c r="V1582" s="33">
        <f>IFERROR(__xludf.DUMMYFUNCTION("""COMPUTED_VALUE"""),0.8)</f>
        <v>0.8</v>
      </c>
      <c r="W1582" s="4" t="str">
        <f>IFERROR(__xludf.DUMMYFUNCTION("""COMPUTED_VALUE"""),"Agilizup Solucoes Ltda")</f>
        <v>Agilizup Solucoes Ltda</v>
      </c>
      <c r="X1582" s="33">
        <f>IFERROR(__xludf.DUMMYFUNCTION("""COMPUTED_VALUE"""),0.4)</f>
        <v>0.4</v>
      </c>
    </row>
    <row r="1583">
      <c r="K1583" s="4" t="str">
        <f>IFERROR(__xludf.DUMMYFUNCTION("""COMPUTED_VALUE"""),"BURGUER")</f>
        <v>BURGUER</v>
      </c>
      <c r="L1583" s="32">
        <f>IFERROR(__xludf.DUMMYFUNCTION("""COMPUTED_VALUE"""),5.0)</f>
        <v>5</v>
      </c>
      <c r="M1583" s="4" t="str">
        <f>IFERROR(__xludf.DUMMYFUNCTION("""COMPUTED_VALUE"""),"Saipos Serviços De Software")</f>
        <v>Saipos Serviços De Software</v>
      </c>
      <c r="N1583" s="33">
        <f>IFERROR(__xludf.DUMMYFUNCTION("""COMPUTED_VALUE"""),0.4)</f>
        <v>0.4</v>
      </c>
      <c r="O1583" s="4" t="str">
        <f>IFERROR(__xludf.DUMMYFUNCTION("""COMPUTED_VALUE"""),"Saipos Serviços De Software")</f>
        <v>Saipos Serviços De Software</v>
      </c>
      <c r="P1583" s="33">
        <f>IFERROR(__xludf.DUMMYFUNCTION("""COMPUTED_VALUE"""),0.4)</f>
        <v>0.4</v>
      </c>
      <c r="Q1583" s="4" t="str">
        <f>IFERROR(__xludf.DUMMYFUNCTION("""COMPUTED_VALUE"""),"null")</f>
        <v>null</v>
      </c>
      <c r="R1583" s="33">
        <f>IFERROR(__xludf.DUMMYFUNCTION("""COMPUTED_VALUE"""),0.8)</f>
        <v>0.8</v>
      </c>
      <c r="S1583" s="4" t="str">
        <f>IFERROR(__xludf.DUMMYFUNCTION("""COMPUTED_VALUE"""),"null")</f>
        <v>null</v>
      </c>
      <c r="T1583" s="33">
        <f>IFERROR(__xludf.DUMMYFUNCTION("""COMPUTED_VALUE"""),0.6)</f>
        <v>0.6</v>
      </c>
      <c r="U1583" s="4" t="str">
        <f>IFERROR(__xludf.DUMMYFUNCTION("""COMPUTED_VALUE"""),"null")</f>
        <v>null</v>
      </c>
      <c r="V1583" s="33">
        <f>IFERROR(__xludf.DUMMYFUNCTION("""COMPUTED_VALUE"""),0.6)</f>
        <v>0.6</v>
      </c>
      <c r="W1583" s="4" t="str">
        <f>IFERROR(__xludf.DUMMYFUNCTION("""COMPUTED_VALUE"""),"null")</f>
        <v>null</v>
      </c>
      <c r="X1583" s="33">
        <f>IFERROR(__xludf.DUMMYFUNCTION("""COMPUTED_VALUE"""),1.0)</f>
        <v>1</v>
      </c>
    </row>
    <row r="1584">
      <c r="K1584" s="4" t="str">
        <f>IFERROR(__xludf.DUMMYFUNCTION("""COMPUTED_VALUE"""),"430 GRADI PIZZA NAPOLETANA")</f>
        <v>430 GRADI PIZZA NAPOLETANA</v>
      </c>
      <c r="L1584" s="32">
        <f>IFERROR(__xludf.DUMMYFUNCTION("""COMPUTED_VALUE"""),5.0)</f>
        <v>5</v>
      </c>
      <c r="M1584" s="4" t="str">
        <f>IFERROR(__xludf.DUMMYFUNCTION("""COMPUTED_VALUE"""),"Stone Co.")</f>
        <v>Stone Co.</v>
      </c>
      <c r="N1584" s="33">
        <f>IFERROR(__xludf.DUMMYFUNCTION("""COMPUTED_VALUE"""),0.6)</f>
        <v>0.6</v>
      </c>
      <c r="O1584" s="4" t="str">
        <f>IFERROR(__xludf.DUMMYFUNCTION("""COMPUTED_VALUE"""),"Stone Co.")</f>
        <v>Stone Co.</v>
      </c>
      <c r="P1584" s="33">
        <f>IFERROR(__xludf.DUMMYFUNCTION("""COMPUTED_VALUE"""),0.6)</f>
        <v>0.6</v>
      </c>
      <c r="Q1584" s="4" t="str">
        <f>IFERROR(__xludf.DUMMYFUNCTION("""COMPUTED_VALUE"""),"Stone Co.")</f>
        <v>Stone Co.</v>
      </c>
      <c r="R1584" s="33">
        <f>IFERROR(__xludf.DUMMYFUNCTION("""COMPUTED_VALUE"""),0.6)</f>
        <v>0.6</v>
      </c>
      <c r="S1584" s="4" t="str">
        <f>IFERROR(__xludf.DUMMYFUNCTION("""COMPUTED_VALUE"""),"Stone Co.")</f>
        <v>Stone Co.</v>
      </c>
      <c r="T1584" s="33">
        <f>IFERROR(__xludf.DUMMYFUNCTION("""COMPUTED_VALUE"""),0.6)</f>
        <v>0.6</v>
      </c>
      <c r="U1584" s="4" t="str">
        <f>IFERROR(__xludf.DUMMYFUNCTION("""COMPUTED_VALUE"""),"Stone Co.")</f>
        <v>Stone Co.</v>
      </c>
      <c r="V1584" s="33">
        <f>IFERROR(__xludf.DUMMYFUNCTION("""COMPUTED_VALUE"""),0.6)</f>
        <v>0.6</v>
      </c>
      <c r="W1584" s="4" t="str">
        <f>IFERROR(__xludf.DUMMYFUNCTION("""COMPUTED_VALUE"""),"Stone Co.")</f>
        <v>Stone Co.</v>
      </c>
      <c r="X1584" s="33">
        <f>IFERROR(__xludf.DUMMYFUNCTION("""COMPUTED_VALUE"""),0.4)</f>
        <v>0.4</v>
      </c>
    </row>
    <row r="1585">
      <c r="K1585" s="4" t="str">
        <f>IFERROR(__xludf.DUMMYFUNCTION("""COMPUTED_VALUE"""),"CENTRAL DA PIZZA")</f>
        <v>CENTRAL DA PIZZA</v>
      </c>
      <c r="L1585" s="32">
        <f>IFERROR(__xludf.DUMMYFUNCTION("""COMPUTED_VALUE"""),5.0)</f>
        <v>5</v>
      </c>
      <c r="M1585" s="4" t="str">
        <f>IFERROR(__xludf.DUMMYFUNCTION("""COMPUTED_VALUE"""),"Mp Multipedidos")</f>
        <v>Mp Multipedidos</v>
      </c>
      <c r="N1585" s="33">
        <f>IFERROR(__xludf.DUMMYFUNCTION("""COMPUTED_VALUE"""),0.4)</f>
        <v>0.4</v>
      </c>
      <c r="O1585" s="4" t="str">
        <f>IFERROR(__xludf.DUMMYFUNCTION("""COMPUTED_VALUE"""),"Mp Multipedidos")</f>
        <v>Mp Multipedidos</v>
      </c>
      <c r="P1585" s="33">
        <f>IFERROR(__xludf.DUMMYFUNCTION("""COMPUTED_VALUE"""),0.4)</f>
        <v>0.4</v>
      </c>
      <c r="Q1585" s="4" t="str">
        <f>IFERROR(__xludf.DUMMYFUNCTION("""COMPUTED_VALUE"""),"Saipos Serviços De Software")</f>
        <v>Saipos Serviços De Software</v>
      </c>
      <c r="R1585" s="33">
        <f>IFERROR(__xludf.DUMMYFUNCTION("""COMPUTED_VALUE"""),0.4)</f>
        <v>0.4</v>
      </c>
      <c r="S1585" s="4" t="str">
        <f>IFERROR(__xludf.DUMMYFUNCTION("""COMPUTED_VALUE"""),"Saipos Serviços De Software")</f>
        <v>Saipos Serviços De Software</v>
      </c>
      <c r="T1585" s="33">
        <f>IFERROR(__xludf.DUMMYFUNCTION("""COMPUTED_VALUE"""),0.4)</f>
        <v>0.4</v>
      </c>
      <c r="U1585" s="4" t="str">
        <f>IFERROR(__xludf.DUMMYFUNCTION("""COMPUTED_VALUE"""),"Mp Multipedidos")</f>
        <v>Mp Multipedidos</v>
      </c>
      <c r="V1585" s="33">
        <f>IFERROR(__xludf.DUMMYFUNCTION("""COMPUTED_VALUE"""),0.4)</f>
        <v>0.4</v>
      </c>
      <c r="W1585" s="4" t="str">
        <f>IFERROR(__xludf.DUMMYFUNCTION("""COMPUTED_VALUE"""),"Mp Multipedidos")</f>
        <v>Mp Multipedidos</v>
      </c>
      <c r="X1585" s="33">
        <f>IFERROR(__xludf.DUMMYFUNCTION("""COMPUTED_VALUE"""),0.4)</f>
        <v>0.4</v>
      </c>
    </row>
    <row r="1586">
      <c r="K1586" s="4" t="str">
        <f>IFERROR(__xludf.DUMMYFUNCTION("""COMPUTED_VALUE"""),"SPACE BURGUER")</f>
        <v>SPACE BURGUER</v>
      </c>
      <c r="L1586" s="32">
        <f>IFERROR(__xludf.DUMMYFUNCTION("""COMPUTED_VALUE"""),5.0)</f>
        <v>5</v>
      </c>
      <c r="M1586" s="4" t="str">
        <f>IFERROR(__xludf.DUMMYFUNCTION("""COMPUTED_VALUE"""),"Anota Ai Solucoes Digitais S/a")</f>
        <v>Anota Ai Solucoes Digitais S/a</v>
      </c>
      <c r="N1586" s="33">
        <f>IFERROR(__xludf.DUMMYFUNCTION("""COMPUTED_VALUE"""),0.4)</f>
        <v>0.4</v>
      </c>
      <c r="O1586" s="4" t="str">
        <f>IFERROR(__xludf.DUMMYFUNCTION("""COMPUTED_VALUE"""),"Anota Ai Solucoes Digitais S/a")</f>
        <v>Anota Ai Solucoes Digitais S/a</v>
      </c>
      <c r="P1586" s="33">
        <f>IFERROR(__xludf.DUMMYFUNCTION("""COMPUTED_VALUE"""),0.4)</f>
        <v>0.4</v>
      </c>
      <c r="Q1586" s="4" t="str">
        <f>IFERROR(__xludf.DUMMYFUNCTION("""COMPUTED_VALUE"""),"Anota Ai Solucoes Digitais S/a")</f>
        <v>Anota Ai Solucoes Digitais S/a</v>
      </c>
      <c r="R1586" s="33">
        <f>IFERROR(__xludf.DUMMYFUNCTION("""COMPUTED_VALUE"""),0.4)</f>
        <v>0.4</v>
      </c>
      <c r="S1586" s="4" t="str">
        <f>IFERROR(__xludf.DUMMYFUNCTION("""COMPUTED_VALUE"""),"Anota Ai Solucoes Digitais S/a")</f>
        <v>Anota Ai Solucoes Digitais S/a</v>
      </c>
      <c r="T1586" s="33">
        <f>IFERROR(__xludf.DUMMYFUNCTION("""COMPUTED_VALUE"""),0.2)</f>
        <v>0.2</v>
      </c>
      <c r="U1586" s="4" t="str">
        <f>IFERROR(__xludf.DUMMYFUNCTION("""COMPUTED_VALUE"""),"Anota Ai Solucoes Digitais S/a")</f>
        <v>Anota Ai Solucoes Digitais S/a</v>
      </c>
      <c r="V1586" s="33">
        <f>IFERROR(__xludf.DUMMYFUNCTION("""COMPUTED_VALUE"""),0.4)</f>
        <v>0.4</v>
      </c>
      <c r="W1586" s="4" t="str">
        <f>IFERROR(__xludf.DUMMYFUNCTION("""COMPUTED_VALUE"""),"Anota Ai Solucoes Digitais S/a")</f>
        <v>Anota Ai Solucoes Digitais S/a</v>
      </c>
      <c r="X1586" s="33">
        <f>IFERROR(__xludf.DUMMYFUNCTION("""COMPUTED_VALUE"""),0.4)</f>
        <v>0.4</v>
      </c>
    </row>
    <row r="1587">
      <c r="K1587" s="4" t="str">
        <f>IFERROR(__xludf.DUMMYFUNCTION("""COMPUTED_VALUE"""),"BOKAS - CONTA MARCA")</f>
        <v>BOKAS - CONTA MARCA</v>
      </c>
      <c r="L1587" s="32">
        <f>IFERROR(__xludf.DUMMYFUNCTION("""COMPUTED_VALUE"""),5.0)</f>
        <v>5</v>
      </c>
      <c r="M1587" s="4" t="str">
        <f>IFERROR(__xludf.DUMMYFUNCTION("""COMPUTED_VALUE"""),"Bitbar")</f>
        <v>Bitbar</v>
      </c>
      <c r="N1587" s="33">
        <f>IFERROR(__xludf.DUMMYFUNCTION("""COMPUTED_VALUE"""),0.8)</f>
        <v>0.8</v>
      </c>
      <c r="O1587" s="4" t="str">
        <f>IFERROR(__xludf.DUMMYFUNCTION("""COMPUTED_VALUE"""),"Bitbar")</f>
        <v>Bitbar</v>
      </c>
      <c r="P1587" s="33">
        <f>IFERROR(__xludf.DUMMYFUNCTION("""COMPUTED_VALUE"""),0.8)</f>
        <v>0.8</v>
      </c>
      <c r="Q1587" s="4" t="str">
        <f>IFERROR(__xludf.DUMMYFUNCTION("""COMPUTED_VALUE"""),"Bitbar")</f>
        <v>Bitbar</v>
      </c>
      <c r="R1587" s="33">
        <f>IFERROR(__xludf.DUMMYFUNCTION("""COMPUTED_VALUE"""),0.8)</f>
        <v>0.8</v>
      </c>
      <c r="S1587" s="4" t="str">
        <f>IFERROR(__xludf.DUMMYFUNCTION("""COMPUTED_VALUE"""),"Bitbar")</f>
        <v>Bitbar</v>
      </c>
      <c r="T1587" s="33">
        <f>IFERROR(__xludf.DUMMYFUNCTION("""COMPUTED_VALUE"""),0.6)</f>
        <v>0.6</v>
      </c>
      <c r="U1587" s="4" t="str">
        <f>IFERROR(__xludf.DUMMYFUNCTION("""COMPUTED_VALUE"""),"Bitbar")</f>
        <v>Bitbar</v>
      </c>
      <c r="V1587" s="33">
        <f>IFERROR(__xludf.DUMMYFUNCTION("""COMPUTED_VALUE"""),0.6)</f>
        <v>0.6</v>
      </c>
      <c r="W1587" s="4" t="str">
        <f>IFERROR(__xludf.DUMMYFUNCTION("""COMPUTED_VALUE"""),"Bitbar")</f>
        <v>Bitbar</v>
      </c>
      <c r="X1587" s="33">
        <f>IFERROR(__xludf.DUMMYFUNCTION("""COMPUTED_VALUE"""),0.6)</f>
        <v>0.6</v>
      </c>
    </row>
    <row r="1588">
      <c r="K1588" s="4" t="str">
        <f>IFERROR(__xludf.DUMMYFUNCTION("""COMPUTED_VALUE"""),"TIO SAM")</f>
        <v>TIO SAM</v>
      </c>
      <c r="L1588" s="32">
        <f>IFERROR(__xludf.DUMMYFUNCTION("""COMPUTED_VALUE"""),5.0)</f>
        <v>5</v>
      </c>
      <c r="M1588" s="4" t="str">
        <f>IFERROR(__xludf.DUMMYFUNCTION("""COMPUTED_VALUE"""),"Saipos Serviços De Software")</f>
        <v>Saipos Serviços De Software</v>
      </c>
      <c r="N1588" s="33">
        <f>IFERROR(__xludf.DUMMYFUNCTION("""COMPUTED_VALUE"""),0.4)</f>
        <v>0.4</v>
      </c>
      <c r="O1588" s="4" t="str">
        <f>IFERROR(__xludf.DUMMYFUNCTION("""COMPUTED_VALUE"""),"Saipos Serviços De Software")</f>
        <v>Saipos Serviços De Software</v>
      </c>
      <c r="P1588" s="33">
        <f>IFERROR(__xludf.DUMMYFUNCTION("""COMPUTED_VALUE"""),0.8)</f>
        <v>0.8</v>
      </c>
      <c r="Q1588" s="4" t="str">
        <f>IFERROR(__xludf.DUMMYFUNCTION("""COMPUTED_VALUE"""),"Saipos Serviços De Software")</f>
        <v>Saipos Serviços De Software</v>
      </c>
      <c r="R1588" s="33">
        <f>IFERROR(__xludf.DUMMYFUNCTION("""COMPUTED_VALUE"""),0.8)</f>
        <v>0.8</v>
      </c>
      <c r="S1588" s="4" t="str">
        <f>IFERROR(__xludf.DUMMYFUNCTION("""COMPUTED_VALUE"""),"Saipos Serviços De Software")</f>
        <v>Saipos Serviços De Software</v>
      </c>
      <c r="T1588" s="33">
        <f>IFERROR(__xludf.DUMMYFUNCTION("""COMPUTED_VALUE"""),0.6)</f>
        <v>0.6</v>
      </c>
      <c r="U1588" s="4" t="str">
        <f>IFERROR(__xludf.DUMMYFUNCTION("""COMPUTED_VALUE"""),"Saipos Serviços De Software")</f>
        <v>Saipos Serviços De Software</v>
      </c>
      <c r="V1588" s="33">
        <f>IFERROR(__xludf.DUMMYFUNCTION("""COMPUTED_VALUE"""),0.6)</f>
        <v>0.6</v>
      </c>
      <c r="W1588" s="4" t="str">
        <f>IFERROR(__xludf.DUMMYFUNCTION("""COMPUTED_VALUE"""),"Saipos Serviços De Software")</f>
        <v>Saipos Serviços De Software</v>
      </c>
      <c r="X1588" s="33">
        <f>IFERROR(__xludf.DUMMYFUNCTION("""COMPUTED_VALUE"""),0.6)</f>
        <v>0.6</v>
      </c>
    </row>
    <row r="1589">
      <c r="K1589" s="4" t="str">
        <f>IFERROR(__xludf.DUMMYFUNCTION("""COMPUTED_VALUE"""),"PIZZA CRUSH")</f>
        <v>PIZZA CRUSH</v>
      </c>
      <c r="L1589" s="32">
        <f>IFERROR(__xludf.DUMMYFUNCTION("""COMPUTED_VALUE"""),5.0)</f>
        <v>5</v>
      </c>
      <c r="M1589" s="4" t="str">
        <f>IFERROR(__xludf.DUMMYFUNCTION("""COMPUTED_VALUE"""),"Glow")</f>
        <v>Glow</v>
      </c>
      <c r="N1589" s="33">
        <f>IFERROR(__xludf.DUMMYFUNCTION("""COMPUTED_VALUE"""),0.8)</f>
        <v>0.8</v>
      </c>
      <c r="O1589" s="4" t="str">
        <f>IFERROR(__xludf.DUMMYFUNCTION("""COMPUTED_VALUE"""),"null")</f>
        <v>null</v>
      </c>
      <c r="P1589" s="33">
        <f>IFERROR(__xludf.DUMMYFUNCTION("""COMPUTED_VALUE"""),0.6)</f>
        <v>0.6</v>
      </c>
      <c r="Q1589" s="4" t="str">
        <f>IFERROR(__xludf.DUMMYFUNCTION("""COMPUTED_VALUE"""),"null")</f>
        <v>null</v>
      </c>
      <c r="R1589" s="33">
        <f>IFERROR(__xludf.DUMMYFUNCTION("""COMPUTED_VALUE"""),0.6)</f>
        <v>0.6</v>
      </c>
      <c r="S1589" s="4" t="str">
        <f>IFERROR(__xludf.DUMMYFUNCTION("""COMPUTED_VALUE"""),"null")</f>
        <v>null</v>
      </c>
      <c r="T1589" s="33">
        <f>IFERROR(__xludf.DUMMYFUNCTION("""COMPUTED_VALUE"""),0.6)</f>
        <v>0.6</v>
      </c>
      <c r="U1589" s="4" t="str">
        <f>IFERROR(__xludf.DUMMYFUNCTION("""COMPUTED_VALUE"""),"null")</f>
        <v>null</v>
      </c>
      <c r="V1589" s="33">
        <f>IFERROR(__xludf.DUMMYFUNCTION("""COMPUTED_VALUE"""),0.6)</f>
        <v>0.6</v>
      </c>
      <c r="W1589" s="4" t="str">
        <f>IFERROR(__xludf.DUMMYFUNCTION("""COMPUTED_VALUE"""),"null")</f>
        <v>null</v>
      </c>
      <c r="X1589" s="33">
        <f>IFERROR(__xludf.DUMMYFUNCTION("""COMPUTED_VALUE"""),0.8)</f>
        <v>0.8</v>
      </c>
    </row>
    <row r="1590">
      <c r="K1590" s="4" t="str">
        <f>IFERROR(__xludf.DUMMYFUNCTION("""COMPUTED_VALUE"""),"SUCO BAGACO")</f>
        <v>SUCO BAGACO</v>
      </c>
      <c r="L1590" s="32">
        <f>IFERROR(__xludf.DUMMYFUNCTION("""COMPUTED_VALUE"""),5.0)</f>
        <v>5</v>
      </c>
      <c r="M1590" s="4" t="str">
        <f>IFERROR(__xludf.DUMMYFUNCTION("""COMPUTED_VALUE"""),"null")</f>
        <v>null</v>
      </c>
      <c r="N1590" s="33">
        <f>IFERROR(__xludf.DUMMYFUNCTION("""COMPUTED_VALUE"""),0.6)</f>
        <v>0.6</v>
      </c>
      <c r="O1590" s="4" t="str">
        <f>IFERROR(__xludf.DUMMYFUNCTION("""COMPUTED_VALUE"""),"null")</f>
        <v>null</v>
      </c>
      <c r="P1590" s="33">
        <f>IFERROR(__xludf.DUMMYFUNCTION("""COMPUTED_VALUE"""),0.6)</f>
        <v>0.6</v>
      </c>
      <c r="Q1590" s="4" t="str">
        <f>IFERROR(__xludf.DUMMYFUNCTION("""COMPUTED_VALUE"""),"Frg Informática")</f>
        <v>Frg Informática</v>
      </c>
      <c r="R1590" s="33">
        <f>IFERROR(__xludf.DUMMYFUNCTION("""COMPUTED_VALUE"""),0.8)</f>
        <v>0.8</v>
      </c>
      <c r="S1590" s="4" t="str">
        <f>IFERROR(__xludf.DUMMYFUNCTION("""COMPUTED_VALUE"""),"Frg Informática")</f>
        <v>Frg Informática</v>
      </c>
      <c r="T1590" s="33">
        <f>IFERROR(__xludf.DUMMYFUNCTION("""COMPUTED_VALUE"""),1.0)</f>
        <v>1</v>
      </c>
      <c r="U1590" s="4" t="str">
        <f>IFERROR(__xludf.DUMMYFUNCTION("""COMPUTED_VALUE"""),"null")</f>
        <v>null</v>
      </c>
      <c r="V1590" s="33">
        <f>IFERROR(__xludf.DUMMYFUNCTION("""COMPUTED_VALUE"""),0.6)</f>
        <v>0.6</v>
      </c>
      <c r="W1590" s="4" t="str">
        <f>IFERROR(__xludf.DUMMYFUNCTION("""COMPUTED_VALUE"""),"null")</f>
        <v>null</v>
      </c>
      <c r="X1590" s="33">
        <f>IFERROR(__xludf.DUMMYFUNCTION("""COMPUTED_VALUE"""),0.6)</f>
        <v>0.6</v>
      </c>
    </row>
    <row r="1591">
      <c r="K1591" s="4" t="str">
        <f>IFERROR(__xludf.DUMMYFUNCTION("""COMPUTED_VALUE"""),"MISTER PIZZA")</f>
        <v>MISTER PIZZA</v>
      </c>
      <c r="L1591" s="32">
        <f>IFERROR(__xludf.DUMMYFUNCTION("""COMPUTED_VALUE"""),5.0)</f>
        <v>5</v>
      </c>
      <c r="M1591" s="4" t="str">
        <f>IFERROR(__xludf.DUMMYFUNCTION("""COMPUTED_VALUE"""),"F-rest Sistema Para Food Service Ltda")</f>
        <v>F-rest Sistema Para Food Service Ltda</v>
      </c>
      <c r="N1591" s="33">
        <f>IFERROR(__xludf.DUMMYFUNCTION("""COMPUTED_VALUE"""),0.4)</f>
        <v>0.4</v>
      </c>
      <c r="O1591" s="4" t="str">
        <f>IFERROR(__xludf.DUMMYFUNCTION("""COMPUTED_VALUE"""),"F-rest Sistema Para Food Service Ltda")</f>
        <v>F-rest Sistema Para Food Service Ltda</v>
      </c>
      <c r="P1591" s="33">
        <f>IFERROR(__xludf.DUMMYFUNCTION("""COMPUTED_VALUE"""),0.4)</f>
        <v>0.4</v>
      </c>
      <c r="Q1591" s="4" t="str">
        <f>IFERROR(__xludf.DUMMYFUNCTION("""COMPUTED_VALUE"""),"F-rest Sistema Para Food Service Ltda")</f>
        <v>F-rest Sistema Para Food Service Ltda</v>
      </c>
      <c r="R1591" s="33">
        <f>IFERROR(__xludf.DUMMYFUNCTION("""COMPUTED_VALUE"""),0.4)</f>
        <v>0.4</v>
      </c>
      <c r="S1591" s="4" t="str">
        <f>IFERROR(__xludf.DUMMYFUNCTION("""COMPUTED_VALUE"""),"F-rest Sistema Para Food Service Ltda")</f>
        <v>F-rest Sistema Para Food Service Ltda</v>
      </c>
      <c r="T1591" s="33">
        <f>IFERROR(__xludf.DUMMYFUNCTION("""COMPUTED_VALUE"""),0.4)</f>
        <v>0.4</v>
      </c>
      <c r="U1591" s="4" t="str">
        <f>IFERROR(__xludf.DUMMYFUNCTION("""COMPUTED_VALUE"""),"F-rest Sistema Para Food Service Ltda")</f>
        <v>F-rest Sistema Para Food Service Ltda</v>
      </c>
      <c r="V1591" s="33">
        <f>IFERROR(__xludf.DUMMYFUNCTION("""COMPUTED_VALUE"""),0.4)</f>
        <v>0.4</v>
      </c>
      <c r="W1591" s="4" t="str">
        <f>IFERROR(__xludf.DUMMYFUNCTION("""COMPUTED_VALUE"""),"F-rest Sistema Para Food Service Ltda")</f>
        <v>F-rest Sistema Para Food Service Ltda</v>
      </c>
      <c r="X1591" s="33">
        <f>IFERROR(__xludf.DUMMYFUNCTION("""COMPUTED_VALUE"""),0.4)</f>
        <v>0.4</v>
      </c>
    </row>
    <row r="1592">
      <c r="K1592" s="4" t="str">
        <f>IFERROR(__xludf.DUMMYFUNCTION("""COMPUTED_VALUE"""),"CASA DA FEIJOADA")</f>
        <v>CASA DA FEIJOADA</v>
      </c>
      <c r="L1592" s="32">
        <f>IFERROR(__xludf.DUMMYFUNCTION("""COMPUTED_VALUE"""),5.0)</f>
        <v>5</v>
      </c>
      <c r="M1592" s="4" t="str">
        <f>IFERROR(__xludf.DUMMYFUNCTION("""COMPUTED_VALUE"""),"Expresso Delivery")</f>
        <v>Expresso Delivery</v>
      </c>
      <c r="N1592" s="33">
        <f>IFERROR(__xludf.DUMMYFUNCTION("""COMPUTED_VALUE"""),0.4)</f>
        <v>0.4</v>
      </c>
      <c r="O1592" s="4" t="str">
        <f>IFERROR(__xludf.DUMMYFUNCTION("""COMPUTED_VALUE"""),"Expresso Delivery")</f>
        <v>Expresso Delivery</v>
      </c>
      <c r="P1592" s="33">
        <f>IFERROR(__xludf.DUMMYFUNCTION("""COMPUTED_VALUE"""),0.4)</f>
        <v>0.4</v>
      </c>
      <c r="Q1592" s="4" t="str">
        <f>IFERROR(__xludf.DUMMYFUNCTION("""COMPUTED_VALUE"""),"Saipos Serviços De Software")</f>
        <v>Saipos Serviços De Software</v>
      </c>
      <c r="R1592" s="33">
        <f>IFERROR(__xludf.DUMMYFUNCTION("""COMPUTED_VALUE"""),0.4)</f>
        <v>0.4</v>
      </c>
      <c r="S1592" s="4" t="str">
        <f>IFERROR(__xludf.DUMMYFUNCTION("""COMPUTED_VALUE"""),"null")</f>
        <v>null</v>
      </c>
      <c r="T1592" s="33">
        <f>IFERROR(__xludf.DUMMYFUNCTION("""COMPUTED_VALUE"""),0.4)</f>
        <v>0.4</v>
      </c>
      <c r="U1592" s="4" t="str">
        <f>IFERROR(__xludf.DUMMYFUNCTION("""COMPUTED_VALUE"""),"null")</f>
        <v>null</v>
      </c>
      <c r="V1592" s="33">
        <f>IFERROR(__xludf.DUMMYFUNCTION("""COMPUTED_VALUE"""),0.4)</f>
        <v>0.4</v>
      </c>
      <c r="W1592" s="4" t="str">
        <f>IFERROR(__xludf.DUMMYFUNCTION("""COMPUTED_VALUE"""),"null")</f>
        <v>null</v>
      </c>
      <c r="X1592" s="33">
        <f>IFERROR(__xludf.DUMMYFUNCTION("""COMPUTED_VALUE"""),0.4)</f>
        <v>0.4</v>
      </c>
    </row>
    <row r="1593">
      <c r="K1593" s="4" t="str">
        <f>IFERROR(__xludf.DUMMYFUNCTION("""COMPUTED_VALUE"""),"THE HOUSE BURGUER")</f>
        <v>THE HOUSE BURGUER</v>
      </c>
      <c r="L1593" s="32">
        <f>IFERROR(__xludf.DUMMYFUNCTION("""COMPUTED_VALUE"""),5.0)</f>
        <v>5</v>
      </c>
      <c r="M1593" s="4" t="str">
        <f>IFERROR(__xludf.DUMMYFUNCTION("""COMPUTED_VALUE"""),"null")</f>
        <v>null</v>
      </c>
      <c r="N1593" s="33">
        <f>IFERROR(__xludf.DUMMYFUNCTION("""COMPUTED_VALUE"""),0.6)</f>
        <v>0.6</v>
      </c>
      <c r="O1593" s="4" t="str">
        <f>IFERROR(__xludf.DUMMYFUNCTION("""COMPUTED_VALUE"""),"null")</f>
        <v>null</v>
      </c>
      <c r="P1593" s="33">
        <f>IFERROR(__xludf.DUMMYFUNCTION("""COMPUTED_VALUE"""),0.6)</f>
        <v>0.6</v>
      </c>
      <c r="Q1593" s="4" t="str">
        <f>IFERROR(__xludf.DUMMYFUNCTION("""COMPUTED_VALUE"""),"Yooga")</f>
        <v>Yooga</v>
      </c>
      <c r="R1593" s="33">
        <f>IFERROR(__xludf.DUMMYFUNCTION("""COMPUTED_VALUE"""),0.2)</f>
        <v>0.2</v>
      </c>
      <c r="S1593" s="4" t="str">
        <f>IFERROR(__xludf.DUMMYFUNCTION("""COMPUTED_VALUE"""),"null")</f>
        <v>null</v>
      </c>
      <c r="T1593" s="33">
        <f>IFERROR(__xludf.DUMMYFUNCTION("""COMPUTED_VALUE"""),0.4)</f>
        <v>0.4</v>
      </c>
      <c r="U1593" s="4" t="str">
        <f>IFERROR(__xludf.DUMMYFUNCTION("""COMPUTED_VALUE"""),"null")</f>
        <v>null</v>
      </c>
      <c r="V1593" s="33">
        <f>IFERROR(__xludf.DUMMYFUNCTION("""COMPUTED_VALUE"""),0.4)</f>
        <v>0.4</v>
      </c>
      <c r="W1593" s="4" t="str">
        <f>IFERROR(__xludf.DUMMYFUNCTION("""COMPUTED_VALUE"""),"null")</f>
        <v>null</v>
      </c>
      <c r="X1593" s="33">
        <f>IFERROR(__xludf.DUMMYFUNCTION("""COMPUTED_VALUE"""),0.4)</f>
        <v>0.4</v>
      </c>
    </row>
    <row r="1594">
      <c r="K1594" s="4" t="str">
        <f>IFERROR(__xludf.DUMMYFUNCTION("""COMPUTED_VALUE"""),"NOSTRA PIZZA")</f>
        <v>NOSTRA PIZZA</v>
      </c>
      <c r="L1594" s="32">
        <f>IFERROR(__xludf.DUMMYFUNCTION("""COMPUTED_VALUE"""),5.0)</f>
        <v>5</v>
      </c>
      <c r="M1594" s="4" t="str">
        <f>IFERROR(__xludf.DUMMYFUNCTION("""COMPUTED_VALUE"""),"Saipos Serviços De Software")</f>
        <v>Saipos Serviços De Software</v>
      </c>
      <c r="N1594" s="33">
        <f>IFERROR(__xludf.DUMMYFUNCTION("""COMPUTED_VALUE"""),0.4)</f>
        <v>0.4</v>
      </c>
      <c r="O1594" s="4" t="str">
        <f>IFERROR(__xludf.DUMMYFUNCTION("""COMPUTED_VALUE"""),"Saipos Serviços De Software")</f>
        <v>Saipos Serviços De Software</v>
      </c>
      <c r="P1594" s="33">
        <f>IFERROR(__xludf.DUMMYFUNCTION("""COMPUTED_VALUE"""),0.4)</f>
        <v>0.4</v>
      </c>
      <c r="Q1594" s="4" t="str">
        <f>IFERROR(__xludf.DUMMYFUNCTION("""COMPUTED_VALUE"""),"Saipos Serviços De Software")</f>
        <v>Saipos Serviços De Software</v>
      </c>
      <c r="R1594" s="33">
        <f>IFERROR(__xludf.DUMMYFUNCTION("""COMPUTED_VALUE"""),0.4)</f>
        <v>0.4</v>
      </c>
      <c r="S1594" s="4" t="str">
        <f>IFERROR(__xludf.DUMMYFUNCTION("""COMPUTED_VALUE"""),"Saipos Serviços De Software")</f>
        <v>Saipos Serviços De Software</v>
      </c>
      <c r="T1594" s="33">
        <f>IFERROR(__xludf.DUMMYFUNCTION("""COMPUTED_VALUE"""),0.4)</f>
        <v>0.4</v>
      </c>
      <c r="U1594" s="4" t="str">
        <f>IFERROR(__xludf.DUMMYFUNCTION("""COMPUTED_VALUE"""),"Saipos Serviços De Software")</f>
        <v>Saipos Serviços De Software</v>
      </c>
      <c r="V1594" s="33">
        <f>IFERROR(__xludf.DUMMYFUNCTION("""COMPUTED_VALUE"""),0.4)</f>
        <v>0.4</v>
      </c>
      <c r="W1594" s="4" t="str">
        <f>IFERROR(__xludf.DUMMYFUNCTION("""COMPUTED_VALUE"""),"Saipos Serviços De Software")</f>
        <v>Saipos Serviços De Software</v>
      </c>
      <c r="X1594" s="33">
        <f>IFERROR(__xludf.DUMMYFUNCTION("""COMPUTED_VALUE"""),0.4)</f>
        <v>0.4</v>
      </c>
    </row>
    <row r="1595">
      <c r="K1595" s="4" t="str">
        <f>IFERROR(__xludf.DUMMYFUNCTION("""COMPUTED_VALUE"""),"ACAI PREMIUM")</f>
        <v>ACAI PREMIUM</v>
      </c>
      <c r="L1595" s="32">
        <f>IFERROR(__xludf.DUMMYFUNCTION("""COMPUTED_VALUE"""),5.0)</f>
        <v>5</v>
      </c>
      <c r="M1595" s="4" t="str">
        <f>IFERROR(__xludf.DUMMYFUNCTION("""COMPUTED_VALUE"""),"null")</f>
        <v>null</v>
      </c>
      <c r="N1595" s="33">
        <f>IFERROR(__xludf.DUMMYFUNCTION("""COMPUTED_VALUE"""),0.2)</f>
        <v>0.2</v>
      </c>
      <c r="O1595" s="4" t="str">
        <f>IFERROR(__xludf.DUMMYFUNCTION("""COMPUTED_VALUE"""),"null")</f>
        <v>null</v>
      </c>
      <c r="P1595" s="33">
        <f>IFERROR(__xludf.DUMMYFUNCTION("""COMPUTED_VALUE"""),0.2)</f>
        <v>0.2</v>
      </c>
      <c r="Q1595" s="4" t="str">
        <f>IFERROR(__xludf.DUMMYFUNCTION("""COMPUTED_VALUE"""),"null")</f>
        <v>null</v>
      </c>
      <c r="R1595" s="33">
        <f>IFERROR(__xludf.DUMMYFUNCTION("""COMPUTED_VALUE"""),0.4)</f>
        <v>0.4</v>
      </c>
      <c r="S1595" s="4" t="str">
        <f>IFERROR(__xludf.DUMMYFUNCTION("""COMPUTED_VALUE"""),"Instadelivery")</f>
        <v>Instadelivery</v>
      </c>
      <c r="T1595" s="33">
        <f>IFERROR(__xludf.DUMMYFUNCTION("""COMPUTED_VALUE"""),0.2)</f>
        <v>0.2</v>
      </c>
      <c r="U1595" s="4" t="str">
        <f>IFERROR(__xludf.DUMMYFUNCTION("""COMPUTED_VALUE"""),"Instadelivery")</f>
        <v>Instadelivery</v>
      </c>
      <c r="V1595" s="33">
        <f>IFERROR(__xludf.DUMMYFUNCTION("""COMPUTED_VALUE"""),0.2)</f>
        <v>0.2</v>
      </c>
      <c r="W1595" s="4" t="str">
        <f>IFERROR(__xludf.DUMMYFUNCTION("""COMPUTED_VALUE"""),"Instadelivery")</f>
        <v>Instadelivery</v>
      </c>
      <c r="X1595" s="33">
        <f>IFERROR(__xludf.DUMMYFUNCTION("""COMPUTED_VALUE"""),0.2)</f>
        <v>0.2</v>
      </c>
    </row>
    <row r="1596">
      <c r="K1596" s="4" t="str">
        <f>IFERROR(__xludf.DUMMYFUNCTION("""COMPUTED_VALUE"""),"GOSTOSAO LANCHES")</f>
        <v>GOSTOSAO LANCHES</v>
      </c>
      <c r="L1596" s="32">
        <f>IFERROR(__xludf.DUMMYFUNCTION("""COMPUTED_VALUE"""),5.0)</f>
        <v>5</v>
      </c>
      <c r="M1596" s="4" t="str">
        <f>IFERROR(__xludf.DUMMYFUNCTION("""COMPUTED_VALUE"""),"null")</f>
        <v>null</v>
      </c>
      <c r="N1596" s="33">
        <f>IFERROR(__xludf.DUMMYFUNCTION("""COMPUTED_VALUE"""),0.4)</f>
        <v>0.4</v>
      </c>
      <c r="O1596" s="4" t="str">
        <f>IFERROR(__xludf.DUMMYFUNCTION("""COMPUTED_VALUE"""),"null")</f>
        <v>null</v>
      </c>
      <c r="P1596" s="33">
        <f>IFERROR(__xludf.DUMMYFUNCTION("""COMPUTED_VALUE"""),0.4)</f>
        <v>0.4</v>
      </c>
      <c r="Q1596" s="4" t="str">
        <f>IFERROR(__xludf.DUMMYFUNCTION("""COMPUTED_VALUE"""),"Vekttor")</f>
        <v>Vekttor</v>
      </c>
      <c r="R1596" s="33">
        <f>IFERROR(__xludf.DUMMYFUNCTION("""COMPUTED_VALUE"""),0.6)</f>
        <v>0.6</v>
      </c>
      <c r="S1596" s="4" t="str">
        <f>IFERROR(__xludf.DUMMYFUNCTION("""COMPUTED_VALUE"""),"null")</f>
        <v>null</v>
      </c>
      <c r="T1596" s="33">
        <f>IFERROR(__xludf.DUMMYFUNCTION("""COMPUTED_VALUE"""),0.4)</f>
        <v>0.4</v>
      </c>
      <c r="U1596" s="4" t="str">
        <f>IFERROR(__xludf.DUMMYFUNCTION("""COMPUTED_VALUE"""),"null")</f>
        <v>null</v>
      </c>
      <c r="V1596" s="33">
        <f>IFERROR(__xludf.DUMMYFUNCTION("""COMPUTED_VALUE"""),0.4)</f>
        <v>0.4</v>
      </c>
      <c r="W1596" s="4" t="str">
        <f>IFERROR(__xludf.DUMMYFUNCTION("""COMPUTED_VALUE"""),"Vekttor")</f>
        <v>Vekttor</v>
      </c>
      <c r="X1596" s="33">
        <f>IFERROR(__xludf.DUMMYFUNCTION("""COMPUTED_VALUE"""),0.6)</f>
        <v>0.6</v>
      </c>
    </row>
    <row r="1597">
      <c r="K1597" s="4" t="str">
        <f>IFERROR(__xludf.DUMMYFUNCTION("""COMPUTED_VALUE"""),"PIZZARIA MAGNATA")</f>
        <v>PIZZARIA MAGNATA</v>
      </c>
      <c r="L1597" s="32">
        <f>IFERROR(__xludf.DUMMYFUNCTION("""COMPUTED_VALUE"""),5.0)</f>
        <v>5</v>
      </c>
      <c r="M1597" s="4" t="str">
        <f>IFERROR(__xludf.DUMMYFUNCTION("""COMPUTED_VALUE"""),"Saipos Serviços De Software")</f>
        <v>Saipos Serviços De Software</v>
      </c>
      <c r="N1597" s="33">
        <f>IFERROR(__xludf.DUMMYFUNCTION("""COMPUTED_VALUE"""),0.8)</f>
        <v>0.8</v>
      </c>
      <c r="O1597" s="4" t="str">
        <f>IFERROR(__xludf.DUMMYFUNCTION("""COMPUTED_VALUE"""),"Saipos Serviços De Software")</f>
        <v>Saipos Serviços De Software</v>
      </c>
      <c r="P1597" s="33">
        <f>IFERROR(__xludf.DUMMYFUNCTION("""COMPUTED_VALUE"""),0.8)</f>
        <v>0.8</v>
      </c>
      <c r="Q1597" s="4" t="str">
        <f>IFERROR(__xludf.DUMMYFUNCTION("""COMPUTED_VALUE"""),"Saipos Serviços De Software")</f>
        <v>Saipos Serviços De Software</v>
      </c>
      <c r="R1597" s="33">
        <f>IFERROR(__xludf.DUMMYFUNCTION("""COMPUTED_VALUE"""),0.8)</f>
        <v>0.8</v>
      </c>
      <c r="S1597" s="4" t="str">
        <f>IFERROR(__xludf.DUMMYFUNCTION("""COMPUTED_VALUE"""),"Saipos Serviços De Software")</f>
        <v>Saipos Serviços De Software</v>
      </c>
      <c r="T1597" s="33">
        <f>IFERROR(__xludf.DUMMYFUNCTION("""COMPUTED_VALUE"""),0.8)</f>
        <v>0.8</v>
      </c>
      <c r="U1597" s="4" t="str">
        <f>IFERROR(__xludf.DUMMYFUNCTION("""COMPUTED_VALUE"""),"Saipos Serviços De Software")</f>
        <v>Saipos Serviços De Software</v>
      </c>
      <c r="V1597" s="33">
        <f>IFERROR(__xludf.DUMMYFUNCTION("""COMPUTED_VALUE"""),0.8)</f>
        <v>0.8</v>
      </c>
      <c r="W1597" s="4" t="str">
        <f>IFERROR(__xludf.DUMMYFUNCTION("""COMPUTED_VALUE"""),"Saipos Serviços De Software")</f>
        <v>Saipos Serviços De Software</v>
      </c>
      <c r="X1597" s="33">
        <f>IFERROR(__xludf.DUMMYFUNCTION("""COMPUTED_VALUE"""),0.8)</f>
        <v>0.8</v>
      </c>
    </row>
    <row r="1598">
      <c r="K1598" s="4" t="str">
        <f>IFERROR(__xludf.DUMMYFUNCTION("""COMPUTED_VALUE"""),"ACAI DA LAMA")</f>
        <v>ACAI DA LAMA</v>
      </c>
      <c r="L1598" s="32">
        <f>IFERROR(__xludf.DUMMYFUNCTION("""COMPUTED_VALUE"""),5.0)</f>
        <v>5</v>
      </c>
      <c r="M1598" s="4" t="str">
        <f>IFERROR(__xludf.DUMMYFUNCTION("""COMPUTED_VALUE"""),"Hubster")</f>
        <v>Hubster</v>
      </c>
      <c r="N1598" s="33">
        <f>IFERROR(__xludf.DUMMYFUNCTION("""COMPUTED_VALUE"""),1.0)</f>
        <v>1</v>
      </c>
      <c r="O1598" s="4" t="str">
        <f>IFERROR(__xludf.DUMMYFUNCTION("""COMPUTED_VALUE"""),"Hubster")</f>
        <v>Hubster</v>
      </c>
      <c r="P1598" s="33">
        <f>IFERROR(__xludf.DUMMYFUNCTION("""COMPUTED_VALUE"""),1.0)</f>
        <v>1</v>
      </c>
      <c r="Q1598" s="4" t="str">
        <f>IFERROR(__xludf.DUMMYFUNCTION("""COMPUTED_VALUE"""),"Hubster")</f>
        <v>Hubster</v>
      </c>
      <c r="R1598" s="33">
        <f>IFERROR(__xludf.DUMMYFUNCTION("""COMPUTED_VALUE"""),1.0)</f>
        <v>1</v>
      </c>
      <c r="S1598" s="4" t="str">
        <f>IFERROR(__xludf.DUMMYFUNCTION("""COMPUTED_VALUE"""),"Hubster")</f>
        <v>Hubster</v>
      </c>
      <c r="T1598" s="33">
        <f>IFERROR(__xludf.DUMMYFUNCTION("""COMPUTED_VALUE"""),1.0)</f>
        <v>1</v>
      </c>
      <c r="U1598" s="4" t="str">
        <f>IFERROR(__xludf.DUMMYFUNCTION("""COMPUTED_VALUE"""),"Hubster")</f>
        <v>Hubster</v>
      </c>
      <c r="V1598" s="33">
        <f>IFERROR(__xludf.DUMMYFUNCTION("""COMPUTED_VALUE"""),1.0)</f>
        <v>1</v>
      </c>
      <c r="W1598" s="4" t="str">
        <f>IFERROR(__xludf.DUMMYFUNCTION("""COMPUTED_VALUE"""),"Hubster")</f>
        <v>Hubster</v>
      </c>
      <c r="X1598" s="33">
        <f>IFERROR(__xludf.DUMMYFUNCTION("""COMPUTED_VALUE"""),0.8333333333333334)</f>
        <v>0.8333333333</v>
      </c>
    </row>
    <row r="1599">
      <c r="K1599" s="4" t="str">
        <f>IFERROR(__xludf.DUMMYFUNCTION("""COMPUTED_VALUE"""),"PADARIA CENTER PAO")</f>
        <v>PADARIA CENTER PAO</v>
      </c>
      <c r="L1599" s="32">
        <f>IFERROR(__xludf.DUMMYFUNCTION("""COMPUTED_VALUE"""),5.0)</f>
        <v>5</v>
      </c>
      <c r="M1599" s="4" t="str">
        <f>IFERROR(__xludf.DUMMYFUNCTION("""COMPUTED_VALUE"""),"null")</f>
        <v>null</v>
      </c>
      <c r="N1599" s="33">
        <f>IFERROR(__xludf.DUMMYFUNCTION("""COMPUTED_VALUE"""),0.6)</f>
        <v>0.6</v>
      </c>
      <c r="O1599" s="4" t="str">
        <f>IFERROR(__xludf.DUMMYFUNCTION("""COMPUTED_VALUE"""),"Linear Sistemas Ltda")</f>
        <v>Linear Sistemas Ltda</v>
      </c>
      <c r="P1599" s="33">
        <f>IFERROR(__xludf.DUMMYFUNCTION("""COMPUTED_VALUE"""),0.8)</f>
        <v>0.8</v>
      </c>
      <c r="Q1599" s="4" t="str">
        <f>IFERROR(__xludf.DUMMYFUNCTION("""COMPUTED_VALUE"""),"Linear Sistemas Ltda")</f>
        <v>Linear Sistemas Ltda</v>
      </c>
      <c r="R1599" s="33">
        <f>IFERROR(__xludf.DUMMYFUNCTION("""COMPUTED_VALUE"""),0.6)</f>
        <v>0.6</v>
      </c>
      <c r="S1599" s="4" t="str">
        <f>IFERROR(__xludf.DUMMYFUNCTION("""COMPUTED_VALUE"""),"Linear Sistemas Ltda")</f>
        <v>Linear Sistemas Ltda</v>
      </c>
      <c r="T1599" s="33">
        <f>IFERROR(__xludf.DUMMYFUNCTION("""COMPUTED_VALUE"""),0.6)</f>
        <v>0.6</v>
      </c>
      <c r="U1599" s="4" t="str">
        <f>IFERROR(__xludf.DUMMYFUNCTION("""COMPUTED_VALUE"""),"Linear Sistemas Ltda")</f>
        <v>Linear Sistemas Ltda</v>
      </c>
      <c r="V1599" s="33">
        <f>IFERROR(__xludf.DUMMYFUNCTION("""COMPUTED_VALUE"""),0.6)</f>
        <v>0.6</v>
      </c>
      <c r="W1599" s="4" t="str">
        <f>IFERROR(__xludf.DUMMYFUNCTION("""COMPUTED_VALUE"""),"Linear Sistemas Ltda")</f>
        <v>Linear Sistemas Ltda</v>
      </c>
      <c r="X1599" s="33">
        <f>IFERROR(__xludf.DUMMYFUNCTION("""COMPUTED_VALUE"""),0.6)</f>
        <v>0.6</v>
      </c>
    </row>
    <row r="1600">
      <c r="K1600" s="4" t="str">
        <f>IFERROR(__xludf.DUMMYFUNCTION("""COMPUTED_VALUE"""),"KAMI SUSHI")</f>
        <v>KAMI SUSHI</v>
      </c>
      <c r="L1600" s="32">
        <f>IFERROR(__xludf.DUMMYFUNCTION("""COMPUTED_VALUE"""),5.0)</f>
        <v>5</v>
      </c>
      <c r="M1600" s="4" t="str">
        <f>IFERROR(__xludf.DUMMYFUNCTION("""COMPUTED_VALUE"""),"Suitable Tecnologia E Gestao")</f>
        <v>Suitable Tecnologia E Gestao</v>
      </c>
      <c r="N1600" s="33">
        <f>IFERROR(__xludf.DUMMYFUNCTION("""COMPUTED_VALUE"""),0.6)</f>
        <v>0.6</v>
      </c>
      <c r="O1600" s="4" t="str">
        <f>IFERROR(__xludf.DUMMYFUNCTION("""COMPUTED_VALUE"""),"Suitable Tecnologia E Gestao")</f>
        <v>Suitable Tecnologia E Gestao</v>
      </c>
      <c r="P1600" s="33">
        <f>IFERROR(__xludf.DUMMYFUNCTION("""COMPUTED_VALUE"""),0.6)</f>
        <v>0.6</v>
      </c>
      <c r="Q1600" s="4" t="str">
        <f>IFERROR(__xludf.DUMMYFUNCTION("""COMPUTED_VALUE"""),"Suitable Tecnologia E Gestao")</f>
        <v>Suitable Tecnologia E Gestao</v>
      </c>
      <c r="R1600" s="33">
        <f>IFERROR(__xludf.DUMMYFUNCTION("""COMPUTED_VALUE"""),0.6)</f>
        <v>0.6</v>
      </c>
      <c r="S1600" s="4" t="str">
        <f>IFERROR(__xludf.DUMMYFUNCTION("""COMPUTED_VALUE"""),"Suitable Tecnologia E Gestao")</f>
        <v>Suitable Tecnologia E Gestao</v>
      </c>
      <c r="T1600" s="33">
        <f>IFERROR(__xludf.DUMMYFUNCTION("""COMPUTED_VALUE"""),0.6)</f>
        <v>0.6</v>
      </c>
      <c r="U1600" s="4" t="str">
        <f>IFERROR(__xludf.DUMMYFUNCTION("""COMPUTED_VALUE"""),"Suitable Tecnologia E Gestao")</f>
        <v>Suitable Tecnologia E Gestao</v>
      </c>
      <c r="V1600" s="33">
        <f>IFERROR(__xludf.DUMMYFUNCTION("""COMPUTED_VALUE"""),0.6)</f>
        <v>0.6</v>
      </c>
      <c r="W1600" s="4" t="str">
        <f>IFERROR(__xludf.DUMMYFUNCTION("""COMPUTED_VALUE"""),"Suitable Tecnologia E Gestao")</f>
        <v>Suitable Tecnologia E Gestao</v>
      </c>
      <c r="X1600" s="33">
        <f>IFERROR(__xludf.DUMMYFUNCTION("""COMPUTED_VALUE"""),0.6)</f>
        <v>0.6</v>
      </c>
    </row>
    <row r="1601">
      <c r="K1601" s="4" t="str">
        <f>IFERROR(__xludf.DUMMYFUNCTION("""COMPUTED_VALUE"""),"BURGER GRILL")</f>
        <v>BURGER GRILL</v>
      </c>
      <c r="L1601" s="32">
        <f>IFERROR(__xludf.DUMMYFUNCTION("""COMPUTED_VALUE"""),5.0)</f>
        <v>5</v>
      </c>
      <c r="M1601" s="4" t="str">
        <f>IFERROR(__xludf.DUMMYFUNCTION("""COMPUTED_VALUE"""),"null")</f>
        <v>null</v>
      </c>
      <c r="N1601" s="33">
        <f>IFERROR(__xludf.DUMMYFUNCTION("""COMPUTED_VALUE"""),0.4)</f>
        <v>0.4</v>
      </c>
      <c r="O1601" s="4" t="str">
        <f>IFERROR(__xludf.DUMMYFUNCTION("""COMPUTED_VALUE"""),"null")</f>
        <v>null</v>
      </c>
      <c r="P1601" s="33">
        <f>IFERROR(__xludf.DUMMYFUNCTION("""COMPUTED_VALUE"""),0.8)</f>
        <v>0.8</v>
      </c>
      <c r="Q1601" s="4" t="str">
        <f>IFERROR(__xludf.DUMMYFUNCTION("""COMPUTED_VALUE"""),"null")</f>
        <v>null</v>
      </c>
      <c r="R1601" s="33">
        <f>IFERROR(__xludf.DUMMYFUNCTION("""COMPUTED_VALUE"""),0.6)</f>
        <v>0.6</v>
      </c>
      <c r="S1601" s="4" t="str">
        <f>IFERROR(__xludf.DUMMYFUNCTION("""COMPUTED_VALUE"""),"null")</f>
        <v>null</v>
      </c>
      <c r="T1601" s="33">
        <f>IFERROR(__xludf.DUMMYFUNCTION("""COMPUTED_VALUE"""),0.6)</f>
        <v>0.6</v>
      </c>
      <c r="U1601" s="4" t="str">
        <f>IFERROR(__xludf.DUMMYFUNCTION("""COMPUTED_VALUE"""),"null")</f>
        <v>null</v>
      </c>
      <c r="V1601" s="33">
        <f>IFERROR(__xludf.DUMMYFUNCTION("""COMPUTED_VALUE"""),0.4)</f>
        <v>0.4</v>
      </c>
      <c r="W1601" s="4" t="str">
        <f>IFERROR(__xludf.DUMMYFUNCTION("""COMPUTED_VALUE"""),"null")</f>
        <v>null</v>
      </c>
      <c r="X1601" s="33">
        <f>IFERROR(__xludf.DUMMYFUNCTION("""COMPUTED_VALUE"""),0.6)</f>
        <v>0.6</v>
      </c>
    </row>
    <row r="1602">
      <c r="K1602" s="4" t="str">
        <f>IFERROR(__xludf.DUMMYFUNCTION("""COMPUTED_VALUE"""),"ACAI ON")</f>
        <v>ACAI ON</v>
      </c>
      <c r="L1602" s="32">
        <f>IFERROR(__xludf.DUMMYFUNCTION("""COMPUTED_VALUE"""),5.0)</f>
        <v>5</v>
      </c>
      <c r="M1602" s="4" t="str">
        <f>IFERROR(__xludf.DUMMYFUNCTION("""COMPUTED_VALUE"""),"null")</f>
        <v>null</v>
      </c>
      <c r="N1602" s="33">
        <f>IFERROR(__xludf.DUMMYFUNCTION("""COMPUTED_VALUE"""),0.6)</f>
        <v>0.6</v>
      </c>
      <c r="O1602" s="4" t="str">
        <f>IFERROR(__xludf.DUMMYFUNCTION("""COMPUTED_VALUE"""),"Saipos Serviços De Software")</f>
        <v>Saipos Serviços De Software</v>
      </c>
      <c r="P1602" s="33">
        <f>IFERROR(__xludf.DUMMYFUNCTION("""COMPUTED_VALUE"""),0.4)</f>
        <v>0.4</v>
      </c>
      <c r="Q1602" s="4" t="str">
        <f>IFERROR(__xludf.DUMMYFUNCTION("""COMPUTED_VALUE"""),"Saipos Serviços De Software")</f>
        <v>Saipos Serviços De Software</v>
      </c>
      <c r="R1602" s="33">
        <f>IFERROR(__xludf.DUMMYFUNCTION("""COMPUTED_VALUE"""),0.2)</f>
        <v>0.2</v>
      </c>
      <c r="S1602" s="4" t="str">
        <f>IFERROR(__xludf.DUMMYFUNCTION("""COMPUTED_VALUE"""),"Saipos Serviços De Software")</f>
        <v>Saipos Serviços De Software</v>
      </c>
      <c r="T1602" s="33">
        <f>IFERROR(__xludf.DUMMYFUNCTION("""COMPUTED_VALUE"""),0.4)</f>
        <v>0.4</v>
      </c>
      <c r="U1602" s="4" t="str">
        <f>IFERROR(__xludf.DUMMYFUNCTION("""COMPUTED_VALUE"""),"Saipos Serviços De Software")</f>
        <v>Saipos Serviços De Software</v>
      </c>
      <c r="V1602" s="33">
        <f>IFERROR(__xludf.DUMMYFUNCTION("""COMPUTED_VALUE"""),0.4)</f>
        <v>0.4</v>
      </c>
      <c r="W1602" s="4" t="str">
        <f>IFERROR(__xludf.DUMMYFUNCTION("""COMPUTED_VALUE"""),"Saipos Serviços De Software")</f>
        <v>Saipos Serviços De Software</v>
      </c>
      <c r="X1602" s="33">
        <f>IFERROR(__xludf.DUMMYFUNCTION("""COMPUTED_VALUE"""),0.4)</f>
        <v>0.4</v>
      </c>
    </row>
    <row r="1603">
      <c r="K1603" s="4" t="str">
        <f>IFERROR(__xludf.DUMMYFUNCTION("""COMPUTED_VALUE"""),"SUSHI AGORA")</f>
        <v>SUSHI AGORA</v>
      </c>
      <c r="L1603" s="32">
        <f>IFERROR(__xludf.DUMMYFUNCTION("""COMPUTED_VALUE"""),5.0)</f>
        <v>5</v>
      </c>
      <c r="M1603" s="4" t="str">
        <f>IFERROR(__xludf.DUMMYFUNCTION("""COMPUTED_VALUE"""),"Saipos Serviços De Software")</f>
        <v>Saipos Serviços De Software</v>
      </c>
      <c r="N1603" s="33">
        <f>IFERROR(__xludf.DUMMYFUNCTION("""COMPUTED_VALUE"""),1.0)</f>
        <v>1</v>
      </c>
      <c r="O1603" s="4" t="str">
        <f>IFERROR(__xludf.DUMMYFUNCTION("""COMPUTED_VALUE"""),"Saipos Serviços De Software")</f>
        <v>Saipos Serviços De Software</v>
      </c>
      <c r="P1603" s="33">
        <f>IFERROR(__xludf.DUMMYFUNCTION("""COMPUTED_VALUE"""),1.0)</f>
        <v>1</v>
      </c>
      <c r="Q1603" s="4" t="str">
        <f>IFERROR(__xludf.DUMMYFUNCTION("""COMPUTED_VALUE"""),"Saipos Serviços De Software")</f>
        <v>Saipos Serviços De Software</v>
      </c>
      <c r="R1603" s="33">
        <f>IFERROR(__xludf.DUMMYFUNCTION("""COMPUTED_VALUE"""),1.0)</f>
        <v>1</v>
      </c>
      <c r="S1603" s="4" t="str">
        <f>IFERROR(__xludf.DUMMYFUNCTION("""COMPUTED_VALUE"""),"Saipos Serviços De Software")</f>
        <v>Saipos Serviços De Software</v>
      </c>
      <c r="T1603" s="33">
        <f>IFERROR(__xludf.DUMMYFUNCTION("""COMPUTED_VALUE"""),1.0)</f>
        <v>1</v>
      </c>
      <c r="U1603" s="4" t="str">
        <f>IFERROR(__xludf.DUMMYFUNCTION("""COMPUTED_VALUE"""),"Saipos Serviços De Software")</f>
        <v>Saipos Serviços De Software</v>
      </c>
      <c r="V1603" s="33">
        <f>IFERROR(__xludf.DUMMYFUNCTION("""COMPUTED_VALUE"""),1.0)</f>
        <v>1</v>
      </c>
      <c r="W1603" s="4" t="str">
        <f>IFERROR(__xludf.DUMMYFUNCTION("""COMPUTED_VALUE"""),"Saipos Serviços De Software")</f>
        <v>Saipos Serviços De Software</v>
      </c>
      <c r="X1603" s="33">
        <f>IFERROR(__xludf.DUMMYFUNCTION("""COMPUTED_VALUE"""),1.0)</f>
        <v>1</v>
      </c>
    </row>
    <row r="1604">
      <c r="K1604" s="4" t="str">
        <f>IFERROR(__xludf.DUMMYFUNCTION("""COMPUTED_VALUE"""),"PADARIA REAL")</f>
        <v>PADARIA REAL</v>
      </c>
      <c r="L1604" s="32">
        <f>IFERROR(__xludf.DUMMYFUNCTION("""COMPUTED_VALUE"""),5.0)</f>
        <v>5</v>
      </c>
      <c r="M1604" s="4" t="str">
        <f>IFERROR(__xludf.DUMMYFUNCTION("""COMPUTED_VALUE"""),"null")</f>
        <v>null</v>
      </c>
      <c r="N1604" s="33">
        <f>IFERROR(__xludf.DUMMYFUNCTION("""COMPUTED_VALUE"""),0.6)</f>
        <v>0.6</v>
      </c>
      <c r="O1604" s="4" t="str">
        <f>IFERROR(__xludf.DUMMYFUNCTION("""COMPUTED_VALUE"""),"Happybiz")</f>
        <v>Happybiz</v>
      </c>
      <c r="P1604" s="33">
        <f>IFERROR(__xludf.DUMMYFUNCTION("""COMPUTED_VALUE"""),0.4)</f>
        <v>0.4</v>
      </c>
      <c r="Q1604" s="4" t="str">
        <f>IFERROR(__xludf.DUMMYFUNCTION("""COMPUTED_VALUE"""),"Happybiz")</f>
        <v>Happybiz</v>
      </c>
      <c r="R1604" s="33">
        <f>IFERROR(__xludf.DUMMYFUNCTION("""COMPUTED_VALUE"""),0.4)</f>
        <v>0.4</v>
      </c>
      <c r="S1604" s="4" t="str">
        <f>IFERROR(__xludf.DUMMYFUNCTION("""COMPUTED_VALUE"""),"null")</f>
        <v>null</v>
      </c>
      <c r="T1604" s="33">
        <f>IFERROR(__xludf.DUMMYFUNCTION("""COMPUTED_VALUE"""),0.6)</f>
        <v>0.6</v>
      </c>
      <c r="U1604" s="4" t="str">
        <f>IFERROR(__xludf.DUMMYFUNCTION("""COMPUTED_VALUE"""),"null")</f>
        <v>null</v>
      </c>
      <c r="V1604" s="33">
        <f>IFERROR(__xludf.DUMMYFUNCTION("""COMPUTED_VALUE"""),0.8)</f>
        <v>0.8</v>
      </c>
      <c r="W1604" s="4" t="str">
        <f>IFERROR(__xludf.DUMMYFUNCTION("""COMPUTED_VALUE"""),"Happybiz")</f>
        <v>Happybiz</v>
      </c>
      <c r="X1604" s="33">
        <f>IFERROR(__xludf.DUMMYFUNCTION("""COMPUTED_VALUE"""),0.4)</f>
        <v>0.4</v>
      </c>
    </row>
    <row r="1605">
      <c r="K1605" s="4" t="str">
        <f>IFERROR(__xludf.DUMMYFUNCTION("""COMPUTED_VALUE"""),"KANPAI SUSHI")</f>
        <v>KANPAI SUSHI</v>
      </c>
      <c r="L1605" s="32">
        <f>IFERROR(__xludf.DUMMYFUNCTION("""COMPUTED_VALUE"""),5.0)</f>
        <v>5</v>
      </c>
      <c r="M1605" s="4" t="str">
        <f>IFERROR(__xludf.DUMMYFUNCTION("""COMPUTED_VALUE"""),"Cardápio Web")</f>
        <v>Cardápio Web</v>
      </c>
      <c r="N1605" s="33">
        <f>IFERROR(__xludf.DUMMYFUNCTION("""COMPUTED_VALUE"""),0.6)</f>
        <v>0.6</v>
      </c>
      <c r="O1605" s="4" t="str">
        <f>IFERROR(__xludf.DUMMYFUNCTION("""COMPUTED_VALUE"""),"Cardápio Web")</f>
        <v>Cardápio Web</v>
      </c>
      <c r="P1605" s="33">
        <f>IFERROR(__xludf.DUMMYFUNCTION("""COMPUTED_VALUE"""),0.8)</f>
        <v>0.8</v>
      </c>
      <c r="Q1605" s="4" t="str">
        <f>IFERROR(__xludf.DUMMYFUNCTION("""COMPUTED_VALUE"""),"Cardápio Web")</f>
        <v>Cardápio Web</v>
      </c>
      <c r="R1605" s="33">
        <f>IFERROR(__xludf.DUMMYFUNCTION("""COMPUTED_VALUE"""),0.8)</f>
        <v>0.8</v>
      </c>
      <c r="S1605" s="4" t="str">
        <f>IFERROR(__xludf.DUMMYFUNCTION("""COMPUTED_VALUE"""),"Cardápio Web")</f>
        <v>Cardápio Web</v>
      </c>
      <c r="T1605" s="33">
        <f>IFERROR(__xludf.DUMMYFUNCTION("""COMPUTED_VALUE"""),0.8)</f>
        <v>0.8</v>
      </c>
      <c r="U1605" s="4" t="str">
        <f>IFERROR(__xludf.DUMMYFUNCTION("""COMPUTED_VALUE"""),"Cardápio Web")</f>
        <v>Cardápio Web</v>
      </c>
      <c r="V1605" s="33">
        <f>IFERROR(__xludf.DUMMYFUNCTION("""COMPUTED_VALUE"""),0.8)</f>
        <v>0.8</v>
      </c>
      <c r="W1605" s="4" t="str">
        <f>IFERROR(__xludf.DUMMYFUNCTION("""COMPUTED_VALUE"""),"Cardápio Web")</f>
        <v>Cardápio Web</v>
      </c>
      <c r="X1605" s="33">
        <f>IFERROR(__xludf.DUMMYFUNCTION("""COMPUTED_VALUE"""),0.8)</f>
        <v>0.8</v>
      </c>
    </row>
    <row r="1606">
      <c r="K1606" s="4" t="str">
        <f>IFERROR(__xludf.DUMMYFUNCTION("""COMPUTED_VALUE"""),"A LASANHARIA MARCA")</f>
        <v>A LASANHARIA MARCA</v>
      </c>
      <c r="L1606" s="32">
        <f>IFERROR(__xludf.DUMMYFUNCTION("""COMPUTED_VALUE"""),5.0)</f>
        <v>5</v>
      </c>
      <c r="M1606" s="4" t="str">
        <f>IFERROR(__xludf.DUMMYFUNCTION("""COMPUTED_VALUE"""),"Cardápio Web")</f>
        <v>Cardápio Web</v>
      </c>
      <c r="N1606" s="33">
        <f>IFERROR(__xludf.DUMMYFUNCTION("""COMPUTED_VALUE"""),0.6)</f>
        <v>0.6</v>
      </c>
      <c r="O1606" s="4" t="str">
        <f>IFERROR(__xludf.DUMMYFUNCTION("""COMPUTED_VALUE"""),"Cardápio Web")</f>
        <v>Cardápio Web</v>
      </c>
      <c r="P1606" s="33">
        <f>IFERROR(__xludf.DUMMYFUNCTION("""COMPUTED_VALUE"""),0.6)</f>
        <v>0.6</v>
      </c>
      <c r="Q1606" s="4" t="str">
        <f>IFERROR(__xludf.DUMMYFUNCTION("""COMPUTED_VALUE"""),"Cardápio Web")</f>
        <v>Cardápio Web</v>
      </c>
      <c r="R1606" s="33">
        <f>IFERROR(__xludf.DUMMYFUNCTION("""COMPUTED_VALUE"""),0.6)</f>
        <v>0.6</v>
      </c>
      <c r="S1606" s="4" t="str">
        <f>IFERROR(__xludf.DUMMYFUNCTION("""COMPUTED_VALUE"""),"Cardápio Web")</f>
        <v>Cardápio Web</v>
      </c>
      <c r="T1606" s="33">
        <f>IFERROR(__xludf.DUMMYFUNCTION("""COMPUTED_VALUE"""),1.0)</f>
        <v>1</v>
      </c>
      <c r="U1606" s="4" t="str">
        <f>IFERROR(__xludf.DUMMYFUNCTION("""COMPUTED_VALUE"""),"Cardápio Web")</f>
        <v>Cardápio Web</v>
      </c>
      <c r="V1606" s="33">
        <f>IFERROR(__xludf.DUMMYFUNCTION("""COMPUTED_VALUE"""),1.0)</f>
        <v>1</v>
      </c>
      <c r="W1606" s="4" t="str">
        <f>IFERROR(__xludf.DUMMYFUNCTION("""COMPUTED_VALUE"""),"Cardápio Web")</f>
        <v>Cardápio Web</v>
      </c>
      <c r="X1606" s="33">
        <f>IFERROR(__xludf.DUMMYFUNCTION("""COMPUTED_VALUE"""),1.0)</f>
        <v>1</v>
      </c>
    </row>
    <row r="1607">
      <c r="K1607" s="4" t="str">
        <f>IFERROR(__xludf.DUMMYFUNCTION("""COMPUTED_VALUE"""),"ACAI AJU")</f>
        <v>ACAI AJU</v>
      </c>
      <c r="L1607" s="32">
        <f>IFERROR(__xludf.DUMMYFUNCTION("""COMPUTED_VALUE"""),5.0)</f>
        <v>5</v>
      </c>
      <c r="M1607" s="4" t="str">
        <f>IFERROR(__xludf.DUMMYFUNCTION("""COMPUTED_VALUE"""),"Menew - Linx")</f>
        <v>Menew - Linx</v>
      </c>
      <c r="N1607" s="33">
        <f>IFERROR(__xludf.DUMMYFUNCTION("""COMPUTED_VALUE"""),0.6)</f>
        <v>0.6</v>
      </c>
      <c r="O1607" s="4" t="str">
        <f>IFERROR(__xludf.DUMMYFUNCTION("""COMPUTED_VALUE"""),"Menew - Linx")</f>
        <v>Menew - Linx</v>
      </c>
      <c r="P1607" s="33">
        <f>IFERROR(__xludf.DUMMYFUNCTION("""COMPUTED_VALUE"""),0.8)</f>
        <v>0.8</v>
      </c>
      <c r="Q1607" s="4" t="str">
        <f>IFERROR(__xludf.DUMMYFUNCTION("""COMPUTED_VALUE"""),"Menew - Linx")</f>
        <v>Menew - Linx</v>
      </c>
      <c r="R1607" s="33">
        <f>IFERROR(__xludf.DUMMYFUNCTION("""COMPUTED_VALUE"""),0.8)</f>
        <v>0.8</v>
      </c>
      <c r="S1607" s="4" t="str">
        <f>IFERROR(__xludf.DUMMYFUNCTION("""COMPUTED_VALUE"""),"Menew - Linx")</f>
        <v>Menew - Linx</v>
      </c>
      <c r="T1607" s="33">
        <f>IFERROR(__xludf.DUMMYFUNCTION("""COMPUTED_VALUE"""),0.6)</f>
        <v>0.6</v>
      </c>
      <c r="U1607" s="4" t="str">
        <f>IFERROR(__xludf.DUMMYFUNCTION("""COMPUTED_VALUE"""),"null")</f>
        <v>null</v>
      </c>
      <c r="V1607" s="33">
        <f>IFERROR(__xludf.DUMMYFUNCTION("""COMPUTED_VALUE"""),0.4)</f>
        <v>0.4</v>
      </c>
      <c r="W1607" s="4" t="str">
        <f>IFERROR(__xludf.DUMMYFUNCTION("""COMPUTED_VALUE"""),"null")</f>
        <v>null</v>
      </c>
      <c r="X1607" s="33">
        <f>IFERROR(__xludf.DUMMYFUNCTION("""COMPUTED_VALUE"""),0.6)</f>
        <v>0.6</v>
      </c>
    </row>
    <row r="1608">
      <c r="K1608" s="4" t="str">
        <f>IFERROR(__xludf.DUMMYFUNCTION("""COMPUTED_VALUE"""),"ACAI CARE")</f>
        <v>ACAI CARE</v>
      </c>
      <c r="L1608" s="32">
        <f>IFERROR(__xludf.DUMMYFUNCTION("""COMPUTED_VALUE"""),5.0)</f>
        <v>5</v>
      </c>
      <c r="M1608" s="4" t="str">
        <f>IFERROR(__xludf.DUMMYFUNCTION("""COMPUTED_VALUE"""),"Saipos Serviços De Software")</f>
        <v>Saipos Serviços De Software</v>
      </c>
      <c r="N1608" s="33">
        <f>IFERROR(__xludf.DUMMYFUNCTION("""COMPUTED_VALUE"""),1.0)</f>
        <v>1</v>
      </c>
      <c r="O1608" s="4" t="str">
        <f>IFERROR(__xludf.DUMMYFUNCTION("""COMPUTED_VALUE"""),"Saipos Serviços De Software")</f>
        <v>Saipos Serviços De Software</v>
      </c>
      <c r="P1608" s="33">
        <f>IFERROR(__xludf.DUMMYFUNCTION("""COMPUTED_VALUE"""),1.0)</f>
        <v>1</v>
      </c>
      <c r="Q1608" s="4" t="str">
        <f>IFERROR(__xludf.DUMMYFUNCTION("""COMPUTED_VALUE"""),"Saipos Serviços De Software")</f>
        <v>Saipos Serviços De Software</v>
      </c>
      <c r="R1608" s="33">
        <f>IFERROR(__xludf.DUMMYFUNCTION("""COMPUTED_VALUE"""),1.0)</f>
        <v>1</v>
      </c>
      <c r="S1608" s="4" t="str">
        <f>IFERROR(__xludf.DUMMYFUNCTION("""COMPUTED_VALUE"""),"Saipos Serviços De Software")</f>
        <v>Saipos Serviços De Software</v>
      </c>
      <c r="T1608" s="33">
        <f>IFERROR(__xludf.DUMMYFUNCTION("""COMPUTED_VALUE"""),0.8)</f>
        <v>0.8</v>
      </c>
      <c r="U1608" s="4" t="str">
        <f>IFERROR(__xludf.DUMMYFUNCTION("""COMPUTED_VALUE"""),"Saipos Serviços De Software")</f>
        <v>Saipos Serviços De Software</v>
      </c>
      <c r="V1608" s="33">
        <f>IFERROR(__xludf.DUMMYFUNCTION("""COMPUTED_VALUE"""),0.8)</f>
        <v>0.8</v>
      </c>
      <c r="W1608" s="4" t="str">
        <f>IFERROR(__xludf.DUMMYFUNCTION("""COMPUTED_VALUE"""),"Saipos Serviços De Software")</f>
        <v>Saipos Serviços De Software</v>
      </c>
      <c r="X1608" s="33">
        <f>IFERROR(__xludf.DUMMYFUNCTION("""COMPUTED_VALUE"""),0.6)</f>
        <v>0.6</v>
      </c>
    </row>
    <row r="1609">
      <c r="K1609" s="4" t="str">
        <f>IFERROR(__xludf.DUMMYFUNCTION("""COMPUTED_VALUE"""),"ACAI DOS GEMEOS")</f>
        <v>ACAI DOS GEMEOS</v>
      </c>
      <c r="L1609" s="32">
        <f>IFERROR(__xludf.DUMMYFUNCTION("""COMPUTED_VALUE"""),5.0)</f>
        <v>5</v>
      </c>
      <c r="M1609" s="4" t="str">
        <f>IFERROR(__xludf.DUMMYFUNCTION("""COMPUTED_VALUE"""),"Saipos Serviços De Software")</f>
        <v>Saipos Serviços De Software</v>
      </c>
      <c r="N1609" s="33">
        <f>IFERROR(__xludf.DUMMYFUNCTION("""COMPUTED_VALUE"""),1.0)</f>
        <v>1</v>
      </c>
      <c r="O1609" s="4" t="str">
        <f>IFERROR(__xludf.DUMMYFUNCTION("""COMPUTED_VALUE"""),"Saipos Serviços De Software")</f>
        <v>Saipos Serviços De Software</v>
      </c>
      <c r="P1609" s="33">
        <f>IFERROR(__xludf.DUMMYFUNCTION("""COMPUTED_VALUE"""),1.0)</f>
        <v>1</v>
      </c>
      <c r="Q1609" s="4" t="str">
        <f>IFERROR(__xludf.DUMMYFUNCTION("""COMPUTED_VALUE"""),"Saipos Serviços De Software")</f>
        <v>Saipos Serviços De Software</v>
      </c>
      <c r="R1609" s="33">
        <f>IFERROR(__xludf.DUMMYFUNCTION("""COMPUTED_VALUE"""),1.0)</f>
        <v>1</v>
      </c>
      <c r="S1609" s="4" t="str">
        <f>IFERROR(__xludf.DUMMYFUNCTION("""COMPUTED_VALUE"""),"Saipos Serviços De Software")</f>
        <v>Saipos Serviços De Software</v>
      </c>
      <c r="T1609" s="33">
        <f>IFERROR(__xludf.DUMMYFUNCTION("""COMPUTED_VALUE"""),1.0)</f>
        <v>1</v>
      </c>
      <c r="U1609" s="4" t="str">
        <f>IFERROR(__xludf.DUMMYFUNCTION("""COMPUTED_VALUE"""),"Saipos Serviços De Software")</f>
        <v>Saipos Serviços De Software</v>
      </c>
      <c r="V1609" s="33">
        <f>IFERROR(__xludf.DUMMYFUNCTION("""COMPUTED_VALUE"""),1.0)</f>
        <v>1</v>
      </c>
      <c r="W1609" s="4" t="str">
        <f>IFERROR(__xludf.DUMMYFUNCTION("""COMPUTED_VALUE"""),"Saipos Serviços De Software")</f>
        <v>Saipos Serviços De Software</v>
      </c>
      <c r="X1609" s="33">
        <f>IFERROR(__xludf.DUMMYFUNCTION("""COMPUTED_VALUE"""),1.0)</f>
        <v>1</v>
      </c>
    </row>
    <row r="1610">
      <c r="K1610" s="4" t="str">
        <f>IFERROR(__xludf.DUMMYFUNCTION("""COMPUTED_VALUE"""),"ACAI LEGAL - MANAUS")</f>
        <v>ACAI LEGAL - MANAUS</v>
      </c>
      <c r="L1610" s="32">
        <f>IFERROR(__xludf.DUMMYFUNCTION("""COMPUTED_VALUE"""),5.0)</f>
        <v>5</v>
      </c>
      <c r="M1610" s="4" t="str">
        <f>IFERROR(__xludf.DUMMYFUNCTION("""COMPUTED_VALUE"""),"Cardápio Web")</f>
        <v>Cardápio Web</v>
      </c>
      <c r="N1610" s="33">
        <f>IFERROR(__xludf.DUMMYFUNCTION("""COMPUTED_VALUE"""),1.0)</f>
        <v>1</v>
      </c>
      <c r="O1610" s="4" t="str">
        <f>IFERROR(__xludf.DUMMYFUNCTION("""COMPUTED_VALUE"""),"Cardápio Web")</f>
        <v>Cardápio Web</v>
      </c>
      <c r="P1610" s="33">
        <f>IFERROR(__xludf.DUMMYFUNCTION("""COMPUTED_VALUE"""),1.0)</f>
        <v>1</v>
      </c>
      <c r="Q1610" s="4" t="str">
        <f>IFERROR(__xludf.DUMMYFUNCTION("""COMPUTED_VALUE"""),"Cardápio Web")</f>
        <v>Cardápio Web</v>
      </c>
      <c r="R1610" s="33">
        <f>IFERROR(__xludf.DUMMYFUNCTION("""COMPUTED_VALUE"""),0.8)</f>
        <v>0.8</v>
      </c>
      <c r="S1610" s="4" t="str">
        <f>IFERROR(__xludf.DUMMYFUNCTION("""COMPUTED_VALUE"""),"Cardápio Web")</f>
        <v>Cardápio Web</v>
      </c>
      <c r="T1610" s="33">
        <f>IFERROR(__xludf.DUMMYFUNCTION("""COMPUTED_VALUE"""),1.0)</f>
        <v>1</v>
      </c>
      <c r="U1610" s="4" t="str">
        <f>IFERROR(__xludf.DUMMYFUNCTION("""COMPUTED_VALUE"""),"Cardápio Web")</f>
        <v>Cardápio Web</v>
      </c>
      <c r="V1610" s="33">
        <f>IFERROR(__xludf.DUMMYFUNCTION("""COMPUTED_VALUE"""),1.0)</f>
        <v>1</v>
      </c>
      <c r="W1610" s="4" t="str">
        <f>IFERROR(__xludf.DUMMYFUNCTION("""COMPUTED_VALUE"""),"Cardápio Web")</f>
        <v>Cardápio Web</v>
      </c>
      <c r="X1610" s="33">
        <f>IFERROR(__xludf.DUMMYFUNCTION("""COMPUTED_VALUE"""),0.8)</f>
        <v>0.8</v>
      </c>
    </row>
    <row r="1611">
      <c r="K1611" s="4" t="str">
        <f>IFERROR(__xludf.DUMMYFUNCTION("""COMPUTED_VALUE"""),"ACAI PODI - RIBEIRAO PRETO")</f>
        <v>ACAI PODI - RIBEIRAO PRETO</v>
      </c>
      <c r="L1611" s="32">
        <f>IFERROR(__xludf.DUMMYFUNCTION("""COMPUTED_VALUE"""),5.0)</f>
        <v>5</v>
      </c>
      <c r="M1611" s="4" t="str">
        <f>IFERROR(__xludf.DUMMYFUNCTION("""COMPUTED_VALUE"""),"Saipos Serviços De Software")</f>
        <v>Saipos Serviços De Software</v>
      </c>
      <c r="N1611" s="33">
        <f>IFERROR(__xludf.DUMMYFUNCTION("""COMPUTED_VALUE"""),1.0)</f>
        <v>1</v>
      </c>
      <c r="O1611" s="4" t="str">
        <f>IFERROR(__xludf.DUMMYFUNCTION("""COMPUTED_VALUE"""),"Saipos Serviços De Software")</f>
        <v>Saipos Serviços De Software</v>
      </c>
      <c r="P1611" s="33">
        <f>IFERROR(__xludf.DUMMYFUNCTION("""COMPUTED_VALUE"""),1.0)</f>
        <v>1</v>
      </c>
      <c r="Q1611" s="4" t="str">
        <f>IFERROR(__xludf.DUMMYFUNCTION("""COMPUTED_VALUE"""),"Saipos Serviços De Software")</f>
        <v>Saipos Serviços De Software</v>
      </c>
      <c r="R1611" s="33">
        <f>IFERROR(__xludf.DUMMYFUNCTION("""COMPUTED_VALUE"""),1.0)</f>
        <v>1</v>
      </c>
      <c r="S1611" s="4" t="str">
        <f>IFERROR(__xludf.DUMMYFUNCTION("""COMPUTED_VALUE"""),"Saipos Serviços De Software")</f>
        <v>Saipos Serviços De Software</v>
      </c>
      <c r="T1611" s="33">
        <f>IFERROR(__xludf.DUMMYFUNCTION("""COMPUTED_VALUE"""),1.0)</f>
        <v>1</v>
      </c>
      <c r="U1611" s="4" t="str">
        <f>IFERROR(__xludf.DUMMYFUNCTION("""COMPUTED_VALUE"""),"Saipos Serviços De Software")</f>
        <v>Saipos Serviços De Software</v>
      </c>
      <c r="V1611" s="33">
        <f>IFERROR(__xludf.DUMMYFUNCTION("""COMPUTED_VALUE"""),1.0)</f>
        <v>1</v>
      </c>
      <c r="W1611" s="4" t="str">
        <f>IFERROR(__xludf.DUMMYFUNCTION("""COMPUTED_VALUE"""),"Saipos Serviços De Software")</f>
        <v>Saipos Serviços De Software</v>
      </c>
      <c r="X1611" s="33">
        <f>IFERROR(__xludf.DUMMYFUNCTION("""COMPUTED_VALUE"""),1.0)</f>
        <v>1</v>
      </c>
    </row>
    <row r="1612">
      <c r="K1612" s="4" t="str">
        <f>IFERROR(__xludf.DUMMYFUNCTION("""COMPUTED_VALUE"""),"ACAI PRIME CUIABA")</f>
        <v>ACAI PRIME CUIABA</v>
      </c>
      <c r="L1612" s="32">
        <f>IFERROR(__xludf.DUMMYFUNCTION("""COMPUTED_VALUE"""),5.0)</f>
        <v>5</v>
      </c>
      <c r="M1612" s="4" t="str">
        <f>IFERROR(__xludf.DUMMYFUNCTION("""COMPUTED_VALUE"""),"Menu Integrado")</f>
        <v>Menu Integrado</v>
      </c>
      <c r="N1612" s="33">
        <f>IFERROR(__xludf.DUMMYFUNCTION("""COMPUTED_VALUE"""),0.6)</f>
        <v>0.6</v>
      </c>
      <c r="O1612" s="4" t="str">
        <f>IFERROR(__xludf.DUMMYFUNCTION("""COMPUTED_VALUE"""),"Menu Integrado")</f>
        <v>Menu Integrado</v>
      </c>
      <c r="P1612" s="33">
        <f>IFERROR(__xludf.DUMMYFUNCTION("""COMPUTED_VALUE"""),0.6)</f>
        <v>0.6</v>
      </c>
      <c r="Q1612" s="4" t="str">
        <f>IFERROR(__xludf.DUMMYFUNCTION("""COMPUTED_VALUE"""),"Menu Integrado")</f>
        <v>Menu Integrado</v>
      </c>
      <c r="R1612" s="33">
        <f>IFERROR(__xludf.DUMMYFUNCTION("""COMPUTED_VALUE"""),0.6)</f>
        <v>0.6</v>
      </c>
      <c r="S1612" s="4" t="str">
        <f>IFERROR(__xludf.DUMMYFUNCTION("""COMPUTED_VALUE"""),"Menu Integrado")</f>
        <v>Menu Integrado</v>
      </c>
      <c r="T1612" s="33">
        <f>IFERROR(__xludf.DUMMYFUNCTION("""COMPUTED_VALUE"""),0.6)</f>
        <v>0.6</v>
      </c>
      <c r="U1612" s="4" t="str">
        <f>IFERROR(__xludf.DUMMYFUNCTION("""COMPUTED_VALUE"""),"Menu Integrado")</f>
        <v>Menu Integrado</v>
      </c>
      <c r="V1612" s="33">
        <f>IFERROR(__xludf.DUMMYFUNCTION("""COMPUTED_VALUE"""),0.6)</f>
        <v>0.6</v>
      </c>
      <c r="W1612" s="4" t="str">
        <f>IFERROR(__xludf.DUMMYFUNCTION("""COMPUTED_VALUE"""),"Menu Integrado")</f>
        <v>Menu Integrado</v>
      </c>
      <c r="X1612" s="33">
        <f>IFERROR(__xludf.DUMMYFUNCTION("""COMPUTED_VALUE"""),0.6)</f>
        <v>0.6</v>
      </c>
    </row>
    <row r="1613">
      <c r="K1613" s="4" t="str">
        <f>IFERROR(__xludf.DUMMYFUNCTION("""COMPUTED_VALUE"""),"ADONAI CONTA GRUPO")</f>
        <v>ADONAI CONTA GRUPO</v>
      </c>
      <c r="L1613" s="32">
        <f>IFERROR(__xludf.DUMMYFUNCTION("""COMPUTED_VALUE"""),5.0)</f>
        <v>5</v>
      </c>
      <c r="M1613" s="4" t="str">
        <f>IFERROR(__xludf.DUMMYFUNCTION("""COMPUTED_VALUE"""),"N/A (Not found)")</f>
        <v>N/A (Not found)</v>
      </c>
      <c r="N1613" s="33">
        <f>IFERROR(__xludf.DUMMYFUNCTION("""COMPUTED_VALUE"""),1.0)</f>
        <v>1</v>
      </c>
      <c r="O1613" s="4" t="str">
        <f>IFERROR(__xludf.DUMMYFUNCTION("""COMPUTED_VALUE"""),"N/A (Not found)")</f>
        <v>N/A (Not found)</v>
      </c>
      <c r="P1613" s="33">
        <f>IFERROR(__xludf.DUMMYFUNCTION("""COMPUTED_VALUE"""),1.0)</f>
        <v>1</v>
      </c>
      <c r="Q1613" s="4" t="str">
        <f>IFERROR(__xludf.DUMMYFUNCTION("""COMPUTED_VALUE"""),"N/A (Not found)")</f>
        <v>N/A (Not found)</v>
      </c>
      <c r="R1613" s="33">
        <f>IFERROR(__xludf.DUMMYFUNCTION("""COMPUTED_VALUE"""),1.0)</f>
        <v>1</v>
      </c>
      <c r="S1613" s="4" t="str">
        <f>IFERROR(__xludf.DUMMYFUNCTION("""COMPUTED_VALUE"""),"N/A (Not found)")</f>
        <v>N/A (Not found)</v>
      </c>
      <c r="T1613" s="33">
        <f>IFERROR(__xludf.DUMMYFUNCTION("""COMPUTED_VALUE"""),1.0)</f>
        <v>1</v>
      </c>
      <c r="U1613" s="4" t="str">
        <f>IFERROR(__xludf.DUMMYFUNCTION("""COMPUTED_VALUE"""),"N/A (Not found)")</f>
        <v>N/A (Not found)</v>
      </c>
      <c r="V1613" s="33">
        <f>IFERROR(__xludf.DUMMYFUNCTION("""COMPUTED_VALUE"""),1.0)</f>
        <v>1</v>
      </c>
      <c r="W1613" s="4" t="str">
        <f>IFERROR(__xludf.DUMMYFUNCTION("""COMPUTED_VALUE"""),"N/A (Not found)")</f>
        <v>N/A (Not found)</v>
      </c>
      <c r="X1613" s="33">
        <f>IFERROR(__xludf.DUMMYFUNCTION("""COMPUTED_VALUE"""),1.0)</f>
        <v>1</v>
      </c>
    </row>
    <row r="1614">
      <c r="K1614" s="4" t="str">
        <f>IFERROR(__xludf.DUMMYFUNCTION("""COMPUTED_VALUE"""),"ALEMAO BURGER")</f>
        <v>ALEMAO BURGER</v>
      </c>
      <c r="L1614" s="32">
        <f>IFERROR(__xludf.DUMMYFUNCTION("""COMPUTED_VALUE"""),5.0)</f>
        <v>5</v>
      </c>
      <c r="M1614" s="4" t="str">
        <f>IFERROR(__xludf.DUMMYFUNCTION("""COMPUTED_VALUE"""),"Eclética Tecnologia")</f>
        <v>Eclética Tecnologia</v>
      </c>
      <c r="N1614" s="33">
        <f>IFERROR(__xludf.DUMMYFUNCTION("""COMPUTED_VALUE"""),1.0)</f>
        <v>1</v>
      </c>
      <c r="O1614" s="4" t="str">
        <f>IFERROR(__xludf.DUMMYFUNCTION("""COMPUTED_VALUE"""),"Eclética Tecnologia")</f>
        <v>Eclética Tecnologia</v>
      </c>
      <c r="P1614" s="33">
        <f>IFERROR(__xludf.DUMMYFUNCTION("""COMPUTED_VALUE"""),1.0)</f>
        <v>1</v>
      </c>
      <c r="Q1614" s="4" t="str">
        <f>IFERROR(__xludf.DUMMYFUNCTION("""COMPUTED_VALUE"""),"Eclética Tecnologia")</f>
        <v>Eclética Tecnologia</v>
      </c>
      <c r="R1614" s="33">
        <f>IFERROR(__xludf.DUMMYFUNCTION("""COMPUTED_VALUE"""),1.0)</f>
        <v>1</v>
      </c>
      <c r="S1614" s="4" t="str">
        <f>IFERROR(__xludf.DUMMYFUNCTION("""COMPUTED_VALUE"""),"Eclética Tecnologia")</f>
        <v>Eclética Tecnologia</v>
      </c>
      <c r="T1614" s="33">
        <f>IFERROR(__xludf.DUMMYFUNCTION("""COMPUTED_VALUE"""),1.0)</f>
        <v>1</v>
      </c>
      <c r="U1614" s="4" t="str">
        <f>IFERROR(__xludf.DUMMYFUNCTION("""COMPUTED_VALUE"""),"Eclética Tecnologia")</f>
        <v>Eclética Tecnologia</v>
      </c>
      <c r="V1614" s="33">
        <f>IFERROR(__xludf.DUMMYFUNCTION("""COMPUTED_VALUE"""),0.8)</f>
        <v>0.8</v>
      </c>
      <c r="W1614" s="4" t="str">
        <f>IFERROR(__xludf.DUMMYFUNCTION("""COMPUTED_VALUE"""),"Eclética Tecnologia")</f>
        <v>Eclética Tecnologia</v>
      </c>
      <c r="X1614" s="33">
        <f>IFERROR(__xludf.DUMMYFUNCTION("""COMPUTED_VALUE"""),0.6)</f>
        <v>0.6</v>
      </c>
    </row>
    <row r="1615">
      <c r="K1615" s="4" t="str">
        <f>IFERROR(__xludf.DUMMYFUNCTION("""COMPUTED_VALUE"""),"ALMOCO DA DINDA- CONTA GRUPO")</f>
        <v>ALMOCO DA DINDA- CONTA GRUPO</v>
      </c>
      <c r="L1615" s="32">
        <f>IFERROR(__xludf.DUMMYFUNCTION("""COMPUTED_VALUE"""),5.0)</f>
        <v>5</v>
      </c>
      <c r="M1615" s="4" t="str">
        <f>IFERROR(__xludf.DUMMYFUNCTION("""COMPUTED_VALUE"""),"Multi Paladares Comércio De Alimentos Ltda")</f>
        <v>Multi Paladares Comércio De Alimentos Ltda</v>
      </c>
      <c r="N1615" s="33">
        <f>IFERROR(__xludf.DUMMYFUNCTION("""COMPUTED_VALUE"""),1.0)</f>
        <v>1</v>
      </c>
      <c r="O1615" s="4" t="str">
        <f>IFERROR(__xludf.DUMMYFUNCTION("""COMPUTED_VALUE"""),"Multi Paladares Comércio De Alimentos Ltda")</f>
        <v>Multi Paladares Comércio De Alimentos Ltda</v>
      </c>
      <c r="P1615" s="33">
        <f>IFERROR(__xludf.DUMMYFUNCTION("""COMPUTED_VALUE"""),1.0)</f>
        <v>1</v>
      </c>
      <c r="Q1615" s="4" t="str">
        <f>IFERROR(__xludf.DUMMYFUNCTION("""COMPUTED_VALUE"""),"Multi Paladares Comércio De Alimentos Ltda")</f>
        <v>Multi Paladares Comércio De Alimentos Ltda</v>
      </c>
      <c r="R1615" s="33">
        <f>IFERROR(__xludf.DUMMYFUNCTION("""COMPUTED_VALUE"""),1.0)</f>
        <v>1</v>
      </c>
      <c r="S1615" s="4" t="str">
        <f>IFERROR(__xludf.DUMMYFUNCTION("""COMPUTED_VALUE"""),"Multi Paladares Comércio De Alimentos Ltda")</f>
        <v>Multi Paladares Comércio De Alimentos Ltda</v>
      </c>
      <c r="T1615" s="33">
        <f>IFERROR(__xludf.DUMMYFUNCTION("""COMPUTED_VALUE"""),1.0)</f>
        <v>1</v>
      </c>
      <c r="U1615" s="4" t="str">
        <f>IFERROR(__xludf.DUMMYFUNCTION("""COMPUTED_VALUE"""),"Multi Paladares Comércio De Alimentos Ltda")</f>
        <v>Multi Paladares Comércio De Alimentos Ltda</v>
      </c>
      <c r="V1615" s="33">
        <f>IFERROR(__xludf.DUMMYFUNCTION("""COMPUTED_VALUE"""),1.0)</f>
        <v>1</v>
      </c>
      <c r="W1615" s="4" t="str">
        <f>IFERROR(__xludf.DUMMYFUNCTION("""COMPUTED_VALUE"""),"Multi Paladares Comércio De Alimentos Ltda")</f>
        <v>Multi Paladares Comércio De Alimentos Ltda</v>
      </c>
      <c r="X1615" s="33">
        <f>IFERROR(__xludf.DUMMYFUNCTION("""COMPUTED_VALUE"""),0.6)</f>
        <v>0.6</v>
      </c>
    </row>
    <row r="1616">
      <c r="K1616" s="4" t="str">
        <f>IFERROR(__xludf.DUMMYFUNCTION("""COMPUTED_VALUE"""),"ALPHA POINT")</f>
        <v>ALPHA POINT</v>
      </c>
      <c r="L1616" s="32">
        <f>IFERROR(__xludf.DUMMYFUNCTION("""COMPUTED_VALUE"""),5.0)</f>
        <v>5</v>
      </c>
      <c r="M1616" s="4" t="str">
        <f>IFERROR(__xludf.DUMMYFUNCTION("""COMPUTED_VALUE"""),"Glow")</f>
        <v>Glow</v>
      </c>
      <c r="N1616" s="33">
        <f>IFERROR(__xludf.DUMMYFUNCTION("""COMPUTED_VALUE"""),1.0)</f>
        <v>1</v>
      </c>
      <c r="O1616" s="4" t="str">
        <f>IFERROR(__xludf.DUMMYFUNCTION("""COMPUTED_VALUE"""),"Glow")</f>
        <v>Glow</v>
      </c>
      <c r="P1616" s="33">
        <f>IFERROR(__xludf.DUMMYFUNCTION("""COMPUTED_VALUE"""),0.8)</f>
        <v>0.8</v>
      </c>
      <c r="Q1616" s="4" t="str">
        <f>IFERROR(__xludf.DUMMYFUNCTION("""COMPUTED_VALUE"""),"Glow")</f>
        <v>Glow</v>
      </c>
      <c r="R1616" s="33">
        <f>IFERROR(__xludf.DUMMYFUNCTION("""COMPUTED_VALUE"""),1.0)</f>
        <v>1</v>
      </c>
      <c r="S1616" s="4" t="str">
        <f>IFERROR(__xludf.DUMMYFUNCTION("""COMPUTED_VALUE"""),"Glow")</f>
        <v>Glow</v>
      </c>
      <c r="T1616" s="33">
        <f>IFERROR(__xludf.DUMMYFUNCTION("""COMPUTED_VALUE"""),1.0)</f>
        <v>1</v>
      </c>
      <c r="U1616" s="4" t="str">
        <f>IFERROR(__xludf.DUMMYFUNCTION("""COMPUTED_VALUE"""),"Glow")</f>
        <v>Glow</v>
      </c>
      <c r="V1616" s="33">
        <f>IFERROR(__xludf.DUMMYFUNCTION("""COMPUTED_VALUE"""),0.8)</f>
        <v>0.8</v>
      </c>
      <c r="W1616" s="4" t="str">
        <f>IFERROR(__xludf.DUMMYFUNCTION("""COMPUTED_VALUE"""),"Glow")</f>
        <v>Glow</v>
      </c>
      <c r="X1616" s="33">
        <f>IFERROR(__xludf.DUMMYFUNCTION("""COMPUTED_VALUE"""),0.6)</f>
        <v>0.6</v>
      </c>
    </row>
    <row r="1617">
      <c r="K1617" s="4" t="str">
        <f>IFERROR(__xludf.DUMMYFUNCTION("""COMPUTED_VALUE"""),"AMERICAN ORIGINAL - CONTA MARCA")</f>
        <v>AMERICAN ORIGINAL - CONTA MARCA</v>
      </c>
      <c r="L1617" s="32">
        <f>IFERROR(__xludf.DUMMYFUNCTION("""COMPUTED_VALUE"""),5.0)</f>
        <v>5</v>
      </c>
      <c r="M1617" s="4" t="str">
        <f>IFERROR(__xludf.DUMMYFUNCTION("""COMPUTED_VALUE"""),"Saipos Serviços De Software")</f>
        <v>Saipos Serviços De Software</v>
      </c>
      <c r="N1617" s="33">
        <f>IFERROR(__xludf.DUMMYFUNCTION("""COMPUTED_VALUE"""),1.0)</f>
        <v>1</v>
      </c>
      <c r="O1617" s="4" t="str">
        <f>IFERROR(__xludf.DUMMYFUNCTION("""COMPUTED_VALUE"""),"Saipos Serviços De Software")</f>
        <v>Saipos Serviços De Software</v>
      </c>
      <c r="P1617" s="33">
        <f>IFERROR(__xludf.DUMMYFUNCTION("""COMPUTED_VALUE"""),0.8)</f>
        <v>0.8</v>
      </c>
      <c r="Q1617" s="4" t="str">
        <f>IFERROR(__xludf.DUMMYFUNCTION("""COMPUTED_VALUE"""),"null")</f>
        <v>null</v>
      </c>
      <c r="R1617" s="33">
        <f>IFERROR(__xludf.DUMMYFUNCTION("""COMPUTED_VALUE"""),1.0)</f>
        <v>1</v>
      </c>
      <c r="S1617" s="4" t="str">
        <f>IFERROR(__xludf.DUMMYFUNCTION("""COMPUTED_VALUE"""),"null")</f>
        <v>null</v>
      </c>
      <c r="T1617" s="33">
        <f>IFERROR(__xludf.DUMMYFUNCTION("""COMPUTED_VALUE"""),1.0)</f>
        <v>1</v>
      </c>
      <c r="U1617" s="4" t="str">
        <f>IFERROR(__xludf.DUMMYFUNCTION("""COMPUTED_VALUE"""),"null")</f>
        <v>null</v>
      </c>
      <c r="V1617" s="33">
        <f>IFERROR(__xludf.DUMMYFUNCTION("""COMPUTED_VALUE"""),1.0)</f>
        <v>1</v>
      </c>
      <c r="W1617" s="4" t="str">
        <f>IFERROR(__xludf.DUMMYFUNCTION("""COMPUTED_VALUE"""),"null")</f>
        <v>null</v>
      </c>
      <c r="X1617" s="33">
        <f>IFERROR(__xludf.DUMMYFUNCTION("""COMPUTED_VALUE"""),1.0)</f>
        <v>1</v>
      </c>
    </row>
    <row r="1618">
      <c r="K1618" s="4" t="str">
        <f>IFERROR(__xludf.DUMMYFUNCTION("""COMPUTED_VALUE"""),"ARLINDO PIZZA TERESINA")</f>
        <v>ARLINDO PIZZA TERESINA</v>
      </c>
      <c r="L1618" s="32">
        <f>IFERROR(__xludf.DUMMYFUNCTION("""COMPUTED_VALUE"""),5.0)</f>
        <v>5</v>
      </c>
      <c r="M1618" s="4" t="str">
        <f>IFERROR(__xludf.DUMMYFUNCTION("""COMPUTED_VALUE"""),"Saipos Serviços De Software")</f>
        <v>Saipos Serviços De Software</v>
      </c>
      <c r="N1618" s="33">
        <f>IFERROR(__xludf.DUMMYFUNCTION("""COMPUTED_VALUE"""),1.0)</f>
        <v>1</v>
      </c>
      <c r="O1618" s="4" t="str">
        <f>IFERROR(__xludf.DUMMYFUNCTION("""COMPUTED_VALUE"""),"Saipos Serviços De Software")</f>
        <v>Saipos Serviços De Software</v>
      </c>
      <c r="P1618" s="33">
        <f>IFERROR(__xludf.DUMMYFUNCTION("""COMPUTED_VALUE"""),1.0)</f>
        <v>1</v>
      </c>
      <c r="Q1618" s="4" t="str">
        <f>IFERROR(__xludf.DUMMYFUNCTION("""COMPUTED_VALUE"""),"Saipos Serviços De Software")</f>
        <v>Saipos Serviços De Software</v>
      </c>
      <c r="R1618" s="33">
        <f>IFERROR(__xludf.DUMMYFUNCTION("""COMPUTED_VALUE"""),1.0)</f>
        <v>1</v>
      </c>
      <c r="S1618" s="4" t="str">
        <f>IFERROR(__xludf.DUMMYFUNCTION("""COMPUTED_VALUE"""),"Saipos Serviços De Software")</f>
        <v>Saipos Serviços De Software</v>
      </c>
      <c r="T1618" s="33">
        <f>IFERROR(__xludf.DUMMYFUNCTION("""COMPUTED_VALUE"""),1.0)</f>
        <v>1</v>
      </c>
      <c r="U1618" s="4" t="str">
        <f>IFERROR(__xludf.DUMMYFUNCTION("""COMPUTED_VALUE"""),"Saipos Serviços De Software")</f>
        <v>Saipos Serviços De Software</v>
      </c>
      <c r="V1618" s="33">
        <f>IFERROR(__xludf.DUMMYFUNCTION("""COMPUTED_VALUE"""),1.0)</f>
        <v>1</v>
      </c>
      <c r="W1618" s="4" t="str">
        <f>IFERROR(__xludf.DUMMYFUNCTION("""COMPUTED_VALUE"""),"Saipos Serviços De Software")</f>
        <v>Saipos Serviços De Software</v>
      </c>
      <c r="X1618" s="33">
        <f>IFERROR(__xludf.DUMMYFUNCTION("""COMPUTED_VALUE"""),1.0)</f>
        <v>1</v>
      </c>
    </row>
    <row r="1619">
      <c r="K1619" s="4" t="str">
        <f>IFERROR(__xludf.DUMMYFUNCTION("""COMPUTED_VALUE"""),"ARLINDOS PIZZA CONTA PAI")</f>
        <v>ARLINDOS PIZZA CONTA PAI</v>
      </c>
      <c r="L1619" s="32">
        <f>IFERROR(__xludf.DUMMYFUNCTION("""COMPUTED_VALUE"""),5.0)</f>
        <v>5</v>
      </c>
      <c r="M1619" s="4" t="str">
        <f>IFERROR(__xludf.DUMMYFUNCTION("""COMPUTED_VALUE"""),"Menew - Linx")</f>
        <v>Menew - Linx</v>
      </c>
      <c r="N1619" s="33">
        <f>IFERROR(__xludf.DUMMYFUNCTION("""COMPUTED_VALUE"""),0.8)</f>
        <v>0.8</v>
      </c>
      <c r="O1619" s="4" t="str">
        <f>IFERROR(__xludf.DUMMYFUNCTION("""COMPUTED_VALUE"""),"Menew - Linx")</f>
        <v>Menew - Linx</v>
      </c>
      <c r="P1619" s="33">
        <f>IFERROR(__xludf.DUMMYFUNCTION("""COMPUTED_VALUE"""),0.6)</f>
        <v>0.6</v>
      </c>
      <c r="Q1619" s="4" t="str">
        <f>IFERROR(__xludf.DUMMYFUNCTION("""COMPUTED_VALUE"""),"Saipos Serviços De Software")</f>
        <v>Saipos Serviços De Software</v>
      </c>
      <c r="R1619" s="33">
        <f>IFERROR(__xludf.DUMMYFUNCTION("""COMPUTED_VALUE"""),0.8)</f>
        <v>0.8</v>
      </c>
      <c r="S1619" s="4" t="str">
        <f>IFERROR(__xludf.DUMMYFUNCTION("""COMPUTED_VALUE"""),"Saipos Serviços De Software")</f>
        <v>Saipos Serviços De Software</v>
      </c>
      <c r="T1619" s="33">
        <f>IFERROR(__xludf.DUMMYFUNCTION("""COMPUTED_VALUE"""),1.0)</f>
        <v>1</v>
      </c>
      <c r="U1619" s="4" t="str">
        <f>IFERROR(__xludf.DUMMYFUNCTION("""COMPUTED_VALUE"""),"Saipos Serviços De Software")</f>
        <v>Saipos Serviços De Software</v>
      </c>
      <c r="V1619" s="33">
        <f>IFERROR(__xludf.DUMMYFUNCTION("""COMPUTED_VALUE"""),1.0)</f>
        <v>1</v>
      </c>
      <c r="W1619" s="4" t="str">
        <f>IFERROR(__xludf.DUMMYFUNCTION("""COMPUTED_VALUE"""),"Saipos Serviços De Software")</f>
        <v>Saipos Serviços De Software</v>
      </c>
      <c r="X1619" s="33">
        <f>IFERROR(__xludf.DUMMYFUNCTION("""COMPUTED_VALUE"""),1.0)</f>
        <v>1</v>
      </c>
    </row>
    <row r="1620">
      <c r="K1620" s="4" t="str">
        <f>IFERROR(__xludf.DUMMYFUNCTION("""COMPUTED_VALUE"""),"ARNALDOS LANCHES - NIVEL MARCA")</f>
        <v>ARNALDOS LANCHES - NIVEL MARCA</v>
      </c>
      <c r="L1620" s="32">
        <f>IFERROR(__xludf.DUMMYFUNCTION("""COMPUTED_VALUE"""),5.0)</f>
        <v>5</v>
      </c>
      <c r="M1620" s="4" t="str">
        <f>IFERROR(__xludf.DUMMYFUNCTION("""COMPUTED_VALUE"""),"Sagres Automação Comercial")</f>
        <v>Sagres Automação Comercial</v>
      </c>
      <c r="N1620" s="33">
        <f>IFERROR(__xludf.DUMMYFUNCTION("""COMPUTED_VALUE"""),1.0)</f>
        <v>1</v>
      </c>
      <c r="O1620" s="4" t="str">
        <f>IFERROR(__xludf.DUMMYFUNCTION("""COMPUTED_VALUE"""),"Sagres Automação Comercial")</f>
        <v>Sagres Automação Comercial</v>
      </c>
      <c r="P1620" s="33">
        <f>IFERROR(__xludf.DUMMYFUNCTION("""COMPUTED_VALUE"""),0.8)</f>
        <v>0.8</v>
      </c>
      <c r="Q1620" s="4" t="str">
        <f>IFERROR(__xludf.DUMMYFUNCTION("""COMPUTED_VALUE"""),"Sagres Automação Comercial")</f>
        <v>Sagres Automação Comercial</v>
      </c>
      <c r="R1620" s="33">
        <f>IFERROR(__xludf.DUMMYFUNCTION("""COMPUTED_VALUE"""),0.8)</f>
        <v>0.8</v>
      </c>
      <c r="S1620" s="4" t="str">
        <f>IFERROR(__xludf.DUMMYFUNCTION("""COMPUTED_VALUE"""),"Sagres Automação Comercial")</f>
        <v>Sagres Automação Comercial</v>
      </c>
      <c r="T1620" s="33">
        <f>IFERROR(__xludf.DUMMYFUNCTION("""COMPUTED_VALUE"""),0.8)</f>
        <v>0.8</v>
      </c>
      <c r="U1620" s="4" t="str">
        <f>IFERROR(__xludf.DUMMYFUNCTION("""COMPUTED_VALUE"""),"Sagres Automação Comercial")</f>
        <v>Sagres Automação Comercial</v>
      </c>
      <c r="V1620" s="33">
        <f>IFERROR(__xludf.DUMMYFUNCTION("""COMPUTED_VALUE"""),0.8)</f>
        <v>0.8</v>
      </c>
      <c r="W1620" s="4" t="str">
        <f>IFERROR(__xludf.DUMMYFUNCTION("""COMPUTED_VALUE"""),"Sagres Automação Comercial")</f>
        <v>Sagres Automação Comercial</v>
      </c>
      <c r="X1620" s="33">
        <f>IFERROR(__xludf.DUMMYFUNCTION("""COMPUTED_VALUE"""),1.0)</f>
        <v>1</v>
      </c>
    </row>
    <row r="1621">
      <c r="K1621" s="4" t="str">
        <f>IFERROR(__xludf.DUMMYFUNCTION("""COMPUTED_VALUE"""),"ART FINA SUSHI - CONTA PAI")</f>
        <v>ART FINA SUSHI - CONTA PAI</v>
      </c>
      <c r="L1621" s="32">
        <f>IFERROR(__xludf.DUMMYFUNCTION("""COMPUTED_VALUE"""),5.0)</f>
        <v>5</v>
      </c>
      <c r="M1621" s="4" t="str">
        <f>IFERROR(__xludf.DUMMYFUNCTION("""COMPUTED_VALUE"""),"null")</f>
        <v>null</v>
      </c>
      <c r="N1621" s="33">
        <f>IFERROR(__xludf.DUMMYFUNCTION("""COMPUTED_VALUE"""),0.4)</f>
        <v>0.4</v>
      </c>
      <c r="O1621" s="4" t="str">
        <f>IFERROR(__xludf.DUMMYFUNCTION("""COMPUTED_VALUE"""),"null")</f>
        <v>null</v>
      </c>
      <c r="P1621" s="33">
        <f>IFERROR(__xludf.DUMMYFUNCTION("""COMPUTED_VALUE"""),0.4)</f>
        <v>0.4</v>
      </c>
      <c r="Q1621" s="4" t="str">
        <f>IFERROR(__xludf.DUMMYFUNCTION("""COMPUTED_VALUE"""),"null")</f>
        <v>null</v>
      </c>
      <c r="R1621" s="33">
        <f>IFERROR(__xludf.DUMMYFUNCTION("""COMPUTED_VALUE"""),0.4)</f>
        <v>0.4</v>
      </c>
      <c r="S1621" s="4" t="str">
        <f>IFERROR(__xludf.DUMMYFUNCTION("""COMPUTED_VALUE"""),"null")</f>
        <v>null</v>
      </c>
      <c r="T1621" s="33">
        <f>IFERROR(__xludf.DUMMYFUNCTION("""COMPUTED_VALUE"""),0.6)</f>
        <v>0.6</v>
      </c>
      <c r="U1621" s="4" t="str">
        <f>IFERROR(__xludf.DUMMYFUNCTION("""COMPUTED_VALUE"""),"Noah Sistemas Ltda")</f>
        <v>Noah Sistemas Ltda</v>
      </c>
      <c r="V1621" s="33">
        <f>IFERROR(__xludf.DUMMYFUNCTION("""COMPUTED_VALUE"""),0.4)</f>
        <v>0.4</v>
      </c>
      <c r="W1621" s="4" t="str">
        <f>IFERROR(__xludf.DUMMYFUNCTION("""COMPUTED_VALUE"""),"Noah Sistemas Ltda")</f>
        <v>Noah Sistemas Ltda</v>
      </c>
      <c r="X1621" s="33">
        <f>IFERROR(__xludf.DUMMYFUNCTION("""COMPUTED_VALUE"""),0.6)</f>
        <v>0.6</v>
      </c>
    </row>
    <row r="1622">
      <c r="K1622" s="4" t="str">
        <f>IFERROR(__xludf.DUMMYFUNCTION("""COMPUTED_VALUE"""),"ARTE PIZZA TAUBATE")</f>
        <v>ARTE PIZZA TAUBATE</v>
      </c>
      <c r="L1622" s="32">
        <f>IFERROR(__xludf.DUMMYFUNCTION("""COMPUTED_VALUE"""),5.0)</f>
        <v>5</v>
      </c>
      <c r="M1622" s="4" t="str">
        <f>IFERROR(__xludf.DUMMYFUNCTION("""COMPUTED_VALUE"""),"Saipos Serviços De Software")</f>
        <v>Saipos Serviços De Software</v>
      </c>
      <c r="N1622" s="33">
        <f>IFERROR(__xludf.DUMMYFUNCTION("""COMPUTED_VALUE"""),1.0)</f>
        <v>1</v>
      </c>
      <c r="O1622" s="4" t="str">
        <f>IFERROR(__xludf.DUMMYFUNCTION("""COMPUTED_VALUE"""),"Saipos Serviços De Software")</f>
        <v>Saipos Serviços De Software</v>
      </c>
      <c r="P1622" s="33">
        <f>IFERROR(__xludf.DUMMYFUNCTION("""COMPUTED_VALUE"""),1.0)</f>
        <v>1</v>
      </c>
      <c r="Q1622" s="4" t="str">
        <f>IFERROR(__xludf.DUMMYFUNCTION("""COMPUTED_VALUE"""),"Saipos Serviços De Software")</f>
        <v>Saipos Serviços De Software</v>
      </c>
      <c r="R1622" s="33">
        <f>IFERROR(__xludf.DUMMYFUNCTION("""COMPUTED_VALUE"""),1.0)</f>
        <v>1</v>
      </c>
      <c r="S1622" s="4" t="str">
        <f>IFERROR(__xludf.DUMMYFUNCTION("""COMPUTED_VALUE"""),"Saipos Serviços De Software")</f>
        <v>Saipos Serviços De Software</v>
      </c>
      <c r="T1622" s="33">
        <f>IFERROR(__xludf.DUMMYFUNCTION("""COMPUTED_VALUE"""),0.8)</f>
        <v>0.8</v>
      </c>
      <c r="U1622" s="4" t="str">
        <f>IFERROR(__xludf.DUMMYFUNCTION("""COMPUTED_VALUE"""),"Saipos Serviços De Software")</f>
        <v>Saipos Serviços De Software</v>
      </c>
      <c r="V1622" s="33">
        <f>IFERROR(__xludf.DUMMYFUNCTION("""COMPUTED_VALUE"""),0.8)</f>
        <v>0.8</v>
      </c>
      <c r="W1622" s="4" t="str">
        <f>IFERROR(__xludf.DUMMYFUNCTION("""COMPUTED_VALUE"""),"Saipos Serviços De Software")</f>
        <v>Saipos Serviços De Software</v>
      </c>
      <c r="X1622" s="33">
        <f>IFERROR(__xludf.DUMMYFUNCTION("""COMPUTED_VALUE"""),0.8)</f>
        <v>0.8</v>
      </c>
    </row>
    <row r="1623">
      <c r="K1623" s="4" t="str">
        <f>IFERROR(__xludf.DUMMYFUNCTION("""COMPUTED_VALUE"""),"ASSADOS FRITOS")</f>
        <v>ASSADOS FRITOS</v>
      </c>
      <c r="L1623" s="32">
        <f>IFERROR(__xludf.DUMMYFUNCTION("""COMPUTED_VALUE"""),5.0)</f>
        <v>5</v>
      </c>
      <c r="M1623" s="4" t="str">
        <f>IFERROR(__xludf.DUMMYFUNCTION("""COMPUTED_VALUE"""),"Saipos Serviços De Software")</f>
        <v>Saipos Serviços De Software</v>
      </c>
      <c r="N1623" s="33">
        <f>IFERROR(__xludf.DUMMYFUNCTION("""COMPUTED_VALUE"""),1.0)</f>
        <v>1</v>
      </c>
      <c r="O1623" s="4" t="str">
        <f>IFERROR(__xludf.DUMMYFUNCTION("""COMPUTED_VALUE"""),"Saipos Serviços De Software")</f>
        <v>Saipos Serviços De Software</v>
      </c>
      <c r="P1623" s="33">
        <f>IFERROR(__xludf.DUMMYFUNCTION("""COMPUTED_VALUE"""),1.0)</f>
        <v>1</v>
      </c>
      <c r="Q1623" s="4" t="str">
        <f>IFERROR(__xludf.DUMMYFUNCTION("""COMPUTED_VALUE"""),"Saipos Serviços De Software")</f>
        <v>Saipos Serviços De Software</v>
      </c>
      <c r="R1623" s="33">
        <f>IFERROR(__xludf.DUMMYFUNCTION("""COMPUTED_VALUE"""),1.0)</f>
        <v>1</v>
      </c>
      <c r="S1623" s="4" t="str">
        <f>IFERROR(__xludf.DUMMYFUNCTION("""COMPUTED_VALUE"""),"Saipos Serviços De Software")</f>
        <v>Saipos Serviços De Software</v>
      </c>
      <c r="T1623" s="33">
        <f>IFERROR(__xludf.DUMMYFUNCTION("""COMPUTED_VALUE"""),1.0)</f>
        <v>1</v>
      </c>
      <c r="U1623" s="4" t="str">
        <f>IFERROR(__xludf.DUMMYFUNCTION("""COMPUTED_VALUE"""),"Saipos Serviços De Software")</f>
        <v>Saipos Serviços De Software</v>
      </c>
      <c r="V1623" s="33">
        <f>IFERROR(__xludf.DUMMYFUNCTION("""COMPUTED_VALUE"""),1.0)</f>
        <v>1</v>
      </c>
      <c r="W1623" s="4" t="str">
        <f>IFERROR(__xludf.DUMMYFUNCTION("""COMPUTED_VALUE"""),"Saipos Serviços De Software")</f>
        <v>Saipos Serviços De Software</v>
      </c>
      <c r="X1623" s="33">
        <f>IFERROR(__xludf.DUMMYFUNCTION("""COMPUTED_VALUE"""),1.0)</f>
        <v>1</v>
      </c>
    </row>
    <row r="1624">
      <c r="K1624" s="4" t="str">
        <f>IFERROR(__xludf.DUMMYFUNCTION("""COMPUTED_VALUE"""),"BABBO PIZZERIA")</f>
        <v>BABBO PIZZERIA</v>
      </c>
      <c r="L1624" s="32">
        <f>IFERROR(__xludf.DUMMYFUNCTION("""COMPUTED_VALUE"""),5.0)</f>
        <v>5</v>
      </c>
      <c r="M1624" s="4" t="str">
        <f>IFERROR(__xludf.DUMMYFUNCTION("""COMPUTED_VALUE"""),"Cardápio Web")</f>
        <v>Cardápio Web</v>
      </c>
      <c r="N1624" s="33">
        <f>IFERROR(__xludf.DUMMYFUNCTION("""COMPUTED_VALUE"""),1.0)</f>
        <v>1</v>
      </c>
      <c r="O1624" s="4" t="str">
        <f>IFERROR(__xludf.DUMMYFUNCTION("""COMPUTED_VALUE"""),"Cardápio Web")</f>
        <v>Cardápio Web</v>
      </c>
      <c r="P1624" s="33">
        <f>IFERROR(__xludf.DUMMYFUNCTION("""COMPUTED_VALUE"""),1.0)</f>
        <v>1</v>
      </c>
      <c r="Q1624" s="4" t="str">
        <f>IFERROR(__xludf.DUMMYFUNCTION("""COMPUTED_VALUE"""),"Cardápio Web")</f>
        <v>Cardápio Web</v>
      </c>
      <c r="R1624" s="33">
        <f>IFERROR(__xludf.DUMMYFUNCTION("""COMPUTED_VALUE"""),1.0)</f>
        <v>1</v>
      </c>
      <c r="S1624" s="4" t="str">
        <f>IFERROR(__xludf.DUMMYFUNCTION("""COMPUTED_VALUE"""),"Cardápio Web")</f>
        <v>Cardápio Web</v>
      </c>
      <c r="T1624" s="33">
        <f>IFERROR(__xludf.DUMMYFUNCTION("""COMPUTED_VALUE"""),1.0)</f>
        <v>1</v>
      </c>
      <c r="U1624" s="4" t="str">
        <f>IFERROR(__xludf.DUMMYFUNCTION("""COMPUTED_VALUE"""),"Cardápio Web")</f>
        <v>Cardápio Web</v>
      </c>
      <c r="V1624" s="33">
        <f>IFERROR(__xludf.DUMMYFUNCTION("""COMPUTED_VALUE"""),1.0)</f>
        <v>1</v>
      </c>
      <c r="W1624" s="4" t="str">
        <f>IFERROR(__xludf.DUMMYFUNCTION("""COMPUTED_VALUE"""),"Cardápio Web")</f>
        <v>Cardápio Web</v>
      </c>
      <c r="X1624" s="33">
        <f>IFERROR(__xludf.DUMMYFUNCTION("""COMPUTED_VALUE"""),1.0)</f>
        <v>1</v>
      </c>
    </row>
    <row r="1625">
      <c r="K1625" s="4" t="str">
        <f>IFERROR(__xludf.DUMMYFUNCTION("""COMPUTED_VALUE"""),"BB DOG")</f>
        <v>BB DOG</v>
      </c>
      <c r="L1625" s="32">
        <f>IFERROR(__xludf.DUMMYFUNCTION("""COMPUTED_VALUE"""),5.0)</f>
        <v>5</v>
      </c>
      <c r="M1625" s="4" t="str">
        <f>IFERROR(__xludf.DUMMYFUNCTION("""COMPUTED_VALUE"""),"Saipos Serviços De Software")</f>
        <v>Saipos Serviços De Software</v>
      </c>
      <c r="N1625" s="33">
        <f>IFERROR(__xludf.DUMMYFUNCTION("""COMPUTED_VALUE"""),1.0)</f>
        <v>1</v>
      </c>
      <c r="O1625" s="4" t="str">
        <f>IFERROR(__xludf.DUMMYFUNCTION("""COMPUTED_VALUE"""),"Saipos Serviços De Software")</f>
        <v>Saipos Serviços De Software</v>
      </c>
      <c r="P1625" s="33">
        <f>IFERROR(__xludf.DUMMYFUNCTION("""COMPUTED_VALUE"""),1.0)</f>
        <v>1</v>
      </c>
      <c r="Q1625" s="4" t="str">
        <f>IFERROR(__xludf.DUMMYFUNCTION("""COMPUTED_VALUE"""),"Saipos Serviços De Software")</f>
        <v>Saipos Serviços De Software</v>
      </c>
      <c r="R1625" s="33">
        <f>IFERROR(__xludf.DUMMYFUNCTION("""COMPUTED_VALUE"""),1.0)</f>
        <v>1</v>
      </c>
      <c r="S1625" s="4" t="str">
        <f>IFERROR(__xludf.DUMMYFUNCTION("""COMPUTED_VALUE"""),"Saipos Serviços De Software")</f>
        <v>Saipos Serviços De Software</v>
      </c>
      <c r="T1625" s="33">
        <f>IFERROR(__xludf.DUMMYFUNCTION("""COMPUTED_VALUE"""),1.0)</f>
        <v>1</v>
      </c>
      <c r="U1625" s="4" t="str">
        <f>IFERROR(__xludf.DUMMYFUNCTION("""COMPUTED_VALUE"""),"Saipos Serviços De Software")</f>
        <v>Saipos Serviços De Software</v>
      </c>
      <c r="V1625" s="33">
        <f>IFERROR(__xludf.DUMMYFUNCTION("""COMPUTED_VALUE"""),1.0)</f>
        <v>1</v>
      </c>
      <c r="W1625" s="4" t="str">
        <f>IFERROR(__xludf.DUMMYFUNCTION("""COMPUTED_VALUE"""),"Saipos Serviços De Software")</f>
        <v>Saipos Serviços De Software</v>
      </c>
      <c r="X1625" s="33">
        <f>IFERROR(__xludf.DUMMYFUNCTION("""COMPUTED_VALUE"""),1.0)</f>
        <v>1</v>
      </c>
    </row>
    <row r="1626">
      <c r="K1626" s="4" t="str">
        <f>IFERROR(__xludf.DUMMYFUNCTION("""COMPUTED_VALUE"""),"BEDUINO")</f>
        <v>BEDUINO</v>
      </c>
      <c r="L1626" s="32">
        <f>IFERROR(__xludf.DUMMYFUNCTION("""COMPUTED_VALUE"""),5.0)</f>
        <v>5</v>
      </c>
      <c r="M1626" s="4" t="str">
        <f>IFERROR(__xludf.DUMMYFUNCTION("""COMPUTED_VALUE"""),"null")</f>
        <v>null</v>
      </c>
      <c r="N1626" s="33">
        <f>IFERROR(__xludf.DUMMYFUNCTION("""COMPUTED_VALUE"""),0.6)</f>
        <v>0.6</v>
      </c>
      <c r="O1626" s="4" t="str">
        <f>IFERROR(__xludf.DUMMYFUNCTION("""COMPUTED_VALUE"""),"null")</f>
        <v>null</v>
      </c>
      <c r="P1626" s="33">
        <f>IFERROR(__xludf.DUMMYFUNCTION("""COMPUTED_VALUE"""),0.6)</f>
        <v>0.6</v>
      </c>
      <c r="Q1626" s="4" t="str">
        <f>IFERROR(__xludf.DUMMYFUNCTION("""COMPUTED_VALUE"""),"null")</f>
        <v>null</v>
      </c>
      <c r="R1626" s="33">
        <f>IFERROR(__xludf.DUMMYFUNCTION("""COMPUTED_VALUE"""),0.6)</f>
        <v>0.6</v>
      </c>
      <c r="S1626" s="4" t="str">
        <f>IFERROR(__xludf.DUMMYFUNCTION("""COMPUTED_VALUE"""),"null")</f>
        <v>null</v>
      </c>
      <c r="T1626" s="33">
        <f>IFERROR(__xludf.DUMMYFUNCTION("""COMPUTED_VALUE"""),0.6)</f>
        <v>0.6</v>
      </c>
      <c r="U1626" s="4" t="str">
        <f>IFERROR(__xludf.DUMMYFUNCTION("""COMPUTED_VALUE"""),"Saipos Serviços De Software")</f>
        <v>Saipos Serviços De Software</v>
      </c>
      <c r="V1626" s="33">
        <f>IFERROR(__xludf.DUMMYFUNCTION("""COMPUTED_VALUE"""),0.8)</f>
        <v>0.8</v>
      </c>
      <c r="W1626" s="4" t="str">
        <f>IFERROR(__xludf.DUMMYFUNCTION("""COMPUTED_VALUE"""),"Saipos Serviços De Software")</f>
        <v>Saipos Serviços De Software</v>
      </c>
      <c r="X1626" s="33">
        <f>IFERROR(__xludf.DUMMYFUNCTION("""COMPUTED_VALUE"""),1.0)</f>
        <v>1</v>
      </c>
    </row>
    <row r="1627">
      <c r="K1627" s="4" t="str">
        <f>IFERROR(__xludf.DUMMYFUNCTION("""COMPUTED_VALUE"""),"BEMDITO BURGER- MARCA")</f>
        <v>BEMDITO BURGER- MARCA</v>
      </c>
      <c r="L1627" s="32">
        <f>IFERROR(__xludf.DUMMYFUNCTION("""COMPUTED_VALUE"""),5.0)</f>
        <v>5</v>
      </c>
      <c r="M1627" s="4" t="str">
        <f>IFERROR(__xludf.DUMMYFUNCTION("""COMPUTED_VALUE"""),"Consumer Soluções Em Tecnologia Ltda")</f>
        <v>Consumer Soluções Em Tecnologia Ltda</v>
      </c>
      <c r="N1627" s="33">
        <f>IFERROR(__xludf.DUMMYFUNCTION("""COMPUTED_VALUE"""),0.6)</f>
        <v>0.6</v>
      </c>
      <c r="O1627" s="4" t="str">
        <f>IFERROR(__xludf.DUMMYFUNCTION("""COMPUTED_VALUE"""),"Consumer Soluções Em Tecnologia Ltda")</f>
        <v>Consumer Soluções Em Tecnologia Ltda</v>
      </c>
      <c r="P1627" s="33">
        <f>IFERROR(__xludf.DUMMYFUNCTION("""COMPUTED_VALUE"""),0.6)</f>
        <v>0.6</v>
      </c>
      <c r="Q1627" s="4" t="str">
        <f>IFERROR(__xludf.DUMMYFUNCTION("""COMPUTED_VALUE"""),"Consumer Soluções Em Tecnologia Ltda")</f>
        <v>Consumer Soluções Em Tecnologia Ltda</v>
      </c>
      <c r="R1627" s="33">
        <f>IFERROR(__xludf.DUMMYFUNCTION("""COMPUTED_VALUE"""),0.6)</f>
        <v>0.6</v>
      </c>
      <c r="S1627" s="4" t="str">
        <f>IFERROR(__xludf.DUMMYFUNCTION("""COMPUTED_VALUE"""),"Consumer Soluções Em Tecnologia Ltda")</f>
        <v>Consumer Soluções Em Tecnologia Ltda</v>
      </c>
      <c r="T1627" s="33">
        <f>IFERROR(__xludf.DUMMYFUNCTION("""COMPUTED_VALUE"""),0.6)</f>
        <v>0.6</v>
      </c>
      <c r="U1627" s="4" t="str">
        <f>IFERROR(__xludf.DUMMYFUNCTION("""COMPUTED_VALUE"""),"Consumer Soluções Em Tecnologia Ltda")</f>
        <v>Consumer Soluções Em Tecnologia Ltda</v>
      </c>
      <c r="V1627" s="33">
        <f>IFERROR(__xludf.DUMMYFUNCTION("""COMPUTED_VALUE"""),0.6)</f>
        <v>0.6</v>
      </c>
      <c r="W1627" s="4" t="str">
        <f>IFERROR(__xludf.DUMMYFUNCTION("""COMPUTED_VALUE"""),"Consumer Soluções Em Tecnologia Ltda")</f>
        <v>Consumer Soluções Em Tecnologia Ltda</v>
      </c>
      <c r="X1627" s="33">
        <f>IFERROR(__xludf.DUMMYFUNCTION("""COMPUTED_VALUE"""),0.6)</f>
        <v>0.6</v>
      </c>
    </row>
    <row r="1628">
      <c r="K1628" s="4" t="str">
        <f>IFERROR(__xludf.DUMMYFUNCTION("""COMPUTED_VALUE"""),"BENCA - CONTA PAI")</f>
        <v>BENCA - CONTA PAI</v>
      </c>
      <c r="L1628" s="32">
        <f>IFERROR(__xludf.DUMMYFUNCTION("""COMPUTED_VALUE"""),5.0)</f>
        <v>5</v>
      </c>
      <c r="M1628" s="4" t="str">
        <f>IFERROR(__xludf.DUMMYFUNCTION("""COMPUTED_VALUE"""),"Cardápio Web")</f>
        <v>Cardápio Web</v>
      </c>
      <c r="N1628" s="33">
        <f>IFERROR(__xludf.DUMMYFUNCTION("""COMPUTED_VALUE"""),0.8)</f>
        <v>0.8</v>
      </c>
      <c r="O1628" s="4" t="str">
        <f>IFERROR(__xludf.DUMMYFUNCTION("""COMPUTED_VALUE"""),"Cardápio Web")</f>
        <v>Cardápio Web</v>
      </c>
      <c r="P1628" s="33">
        <f>IFERROR(__xludf.DUMMYFUNCTION("""COMPUTED_VALUE"""),0.8)</f>
        <v>0.8</v>
      </c>
      <c r="Q1628" s="4" t="str">
        <f>IFERROR(__xludf.DUMMYFUNCTION("""COMPUTED_VALUE"""),"Cardápio Web")</f>
        <v>Cardápio Web</v>
      </c>
      <c r="R1628" s="33">
        <f>IFERROR(__xludf.DUMMYFUNCTION("""COMPUTED_VALUE"""),0.8)</f>
        <v>0.8</v>
      </c>
      <c r="S1628" s="4" t="str">
        <f>IFERROR(__xludf.DUMMYFUNCTION("""COMPUTED_VALUE"""),"Cardápio Web")</f>
        <v>Cardápio Web</v>
      </c>
      <c r="T1628" s="33">
        <f>IFERROR(__xludf.DUMMYFUNCTION("""COMPUTED_VALUE"""),0.8)</f>
        <v>0.8</v>
      </c>
      <c r="U1628" s="4" t="str">
        <f>IFERROR(__xludf.DUMMYFUNCTION("""COMPUTED_VALUE"""),"Cardápio Web")</f>
        <v>Cardápio Web</v>
      </c>
      <c r="V1628" s="33">
        <f>IFERROR(__xludf.DUMMYFUNCTION("""COMPUTED_VALUE"""),1.0)</f>
        <v>1</v>
      </c>
      <c r="W1628" s="4" t="str">
        <f>IFERROR(__xludf.DUMMYFUNCTION("""COMPUTED_VALUE"""),"Cardápio Web")</f>
        <v>Cardápio Web</v>
      </c>
      <c r="X1628" s="33">
        <f>IFERROR(__xludf.DUMMYFUNCTION("""COMPUTED_VALUE"""),1.0)</f>
        <v>1</v>
      </c>
    </row>
    <row r="1629">
      <c r="K1629" s="4" t="str">
        <f>IFERROR(__xludf.DUMMYFUNCTION("""COMPUTED_VALUE"""),"BENDITA ESFIHA")</f>
        <v>BENDITA ESFIHA</v>
      </c>
      <c r="L1629" s="32">
        <f>IFERROR(__xludf.DUMMYFUNCTION("""COMPUTED_VALUE"""),5.0)</f>
        <v>5</v>
      </c>
      <c r="M1629" s="4" t="str">
        <f>IFERROR(__xludf.DUMMYFUNCTION("""COMPUTED_VALUE"""),"Eclética Tecnologia")</f>
        <v>Eclética Tecnologia</v>
      </c>
      <c r="N1629" s="33">
        <f>IFERROR(__xludf.DUMMYFUNCTION("""COMPUTED_VALUE"""),0.6)</f>
        <v>0.6</v>
      </c>
      <c r="O1629" s="4" t="str">
        <f>IFERROR(__xludf.DUMMYFUNCTION("""COMPUTED_VALUE"""),"Eclética Tecnologia")</f>
        <v>Eclética Tecnologia</v>
      </c>
      <c r="P1629" s="33">
        <f>IFERROR(__xludf.DUMMYFUNCTION("""COMPUTED_VALUE"""),0.6)</f>
        <v>0.6</v>
      </c>
      <c r="Q1629" s="4" t="str">
        <f>IFERROR(__xludf.DUMMYFUNCTION("""COMPUTED_VALUE"""),"Eclética Tecnologia")</f>
        <v>Eclética Tecnologia</v>
      </c>
      <c r="R1629" s="33">
        <f>IFERROR(__xludf.DUMMYFUNCTION("""COMPUTED_VALUE"""),0.6)</f>
        <v>0.6</v>
      </c>
      <c r="S1629" s="4" t="str">
        <f>IFERROR(__xludf.DUMMYFUNCTION("""COMPUTED_VALUE"""),"Eclética Tecnologia")</f>
        <v>Eclética Tecnologia</v>
      </c>
      <c r="T1629" s="33">
        <f>IFERROR(__xludf.DUMMYFUNCTION("""COMPUTED_VALUE"""),0.6)</f>
        <v>0.6</v>
      </c>
      <c r="U1629" s="4" t="str">
        <f>IFERROR(__xludf.DUMMYFUNCTION("""COMPUTED_VALUE"""),"Eclética Tecnologia")</f>
        <v>Eclética Tecnologia</v>
      </c>
      <c r="V1629" s="33">
        <f>IFERROR(__xludf.DUMMYFUNCTION("""COMPUTED_VALUE"""),0.6)</f>
        <v>0.6</v>
      </c>
      <c r="W1629" s="4" t="str">
        <f>IFERROR(__xludf.DUMMYFUNCTION("""COMPUTED_VALUE"""),"Eclética Tecnologia")</f>
        <v>Eclética Tecnologia</v>
      </c>
      <c r="X1629" s="33">
        <f>IFERROR(__xludf.DUMMYFUNCTION("""COMPUTED_VALUE"""),0.6)</f>
        <v>0.6</v>
      </c>
    </row>
    <row r="1630">
      <c r="K1630" s="4" t="str">
        <f>IFERROR(__xludf.DUMMYFUNCTION("""COMPUTED_VALUE"""),"GRUPO PICUI")</f>
        <v>GRUPO PICUI</v>
      </c>
      <c r="L1630" s="32">
        <f>IFERROR(__xludf.DUMMYFUNCTION("""COMPUTED_VALUE"""),5.0)</f>
        <v>5</v>
      </c>
      <c r="M1630" s="4" t="str">
        <f>IFERROR(__xludf.DUMMYFUNCTION("""COMPUTED_VALUE"""),"Saipos Serviços De Software")</f>
        <v>Saipos Serviços De Software</v>
      </c>
      <c r="N1630" s="33">
        <f>IFERROR(__xludf.DUMMYFUNCTION("""COMPUTED_VALUE"""),1.0)</f>
        <v>1</v>
      </c>
      <c r="O1630" s="4" t="str">
        <f>IFERROR(__xludf.DUMMYFUNCTION("""COMPUTED_VALUE"""),"Saipos Serviços De Software")</f>
        <v>Saipos Serviços De Software</v>
      </c>
      <c r="P1630" s="33">
        <f>IFERROR(__xludf.DUMMYFUNCTION("""COMPUTED_VALUE"""),1.0)</f>
        <v>1</v>
      </c>
      <c r="Q1630" s="4" t="str">
        <f>IFERROR(__xludf.DUMMYFUNCTION("""COMPUTED_VALUE"""),"Saipos Serviços De Software")</f>
        <v>Saipos Serviços De Software</v>
      </c>
      <c r="R1630" s="33">
        <f>IFERROR(__xludf.DUMMYFUNCTION("""COMPUTED_VALUE"""),1.0)</f>
        <v>1</v>
      </c>
      <c r="S1630" s="4" t="str">
        <f>IFERROR(__xludf.DUMMYFUNCTION("""COMPUTED_VALUE"""),"Saipos Serviços De Software")</f>
        <v>Saipos Serviços De Software</v>
      </c>
      <c r="T1630" s="33">
        <f>IFERROR(__xludf.DUMMYFUNCTION("""COMPUTED_VALUE"""),1.0)</f>
        <v>1</v>
      </c>
      <c r="U1630" s="4" t="str">
        <f>IFERROR(__xludf.DUMMYFUNCTION("""COMPUTED_VALUE"""),"Saipos Serviços De Software")</f>
        <v>Saipos Serviços De Software</v>
      </c>
      <c r="V1630" s="33">
        <f>IFERROR(__xludf.DUMMYFUNCTION("""COMPUTED_VALUE"""),1.0)</f>
        <v>1</v>
      </c>
      <c r="W1630" s="4" t="str">
        <f>IFERROR(__xludf.DUMMYFUNCTION("""COMPUTED_VALUE"""),"Saipos Serviços De Software")</f>
        <v>Saipos Serviços De Software</v>
      </c>
      <c r="X1630" s="33">
        <f>IFERROR(__xludf.DUMMYFUNCTION("""COMPUTED_VALUE"""),1.0)</f>
        <v>1</v>
      </c>
    </row>
    <row r="1631">
      <c r="K1631" s="4" t="str">
        <f>IFERROR(__xludf.DUMMYFUNCTION("""COMPUTED_VALUE"""),"BEST BURGER CO - CONTA MARCA")</f>
        <v>BEST BURGER CO - CONTA MARCA</v>
      </c>
      <c r="L1631" s="32">
        <f>IFERROR(__xludf.DUMMYFUNCTION("""COMPUTED_VALUE"""),5.0)</f>
        <v>5</v>
      </c>
      <c r="M1631" s="4" t="str">
        <f>IFERROR(__xludf.DUMMYFUNCTION("""COMPUTED_VALUE"""),"Eclética Tecnologia")</f>
        <v>Eclética Tecnologia</v>
      </c>
      <c r="N1631" s="33">
        <f>IFERROR(__xludf.DUMMYFUNCTION("""COMPUTED_VALUE"""),0.8)</f>
        <v>0.8</v>
      </c>
      <c r="O1631" s="4" t="str">
        <f>IFERROR(__xludf.DUMMYFUNCTION("""COMPUTED_VALUE"""),"Eclética Tecnologia")</f>
        <v>Eclética Tecnologia</v>
      </c>
      <c r="P1631" s="33">
        <f>IFERROR(__xludf.DUMMYFUNCTION("""COMPUTED_VALUE"""),0.8)</f>
        <v>0.8</v>
      </c>
      <c r="Q1631" s="4" t="str">
        <f>IFERROR(__xludf.DUMMYFUNCTION("""COMPUTED_VALUE"""),"Eclética Tecnologia")</f>
        <v>Eclética Tecnologia</v>
      </c>
      <c r="R1631" s="33">
        <f>IFERROR(__xludf.DUMMYFUNCTION("""COMPUTED_VALUE"""),0.8)</f>
        <v>0.8</v>
      </c>
      <c r="S1631" s="4" t="str">
        <f>IFERROR(__xludf.DUMMYFUNCTION("""COMPUTED_VALUE"""),"Eclética Tecnologia")</f>
        <v>Eclética Tecnologia</v>
      </c>
      <c r="T1631" s="33">
        <f>IFERROR(__xludf.DUMMYFUNCTION("""COMPUTED_VALUE"""),0.8)</f>
        <v>0.8</v>
      </c>
      <c r="U1631" s="4" t="str">
        <f>IFERROR(__xludf.DUMMYFUNCTION("""COMPUTED_VALUE"""),"Eclética Tecnologia")</f>
        <v>Eclética Tecnologia</v>
      </c>
      <c r="V1631" s="33">
        <f>IFERROR(__xludf.DUMMYFUNCTION("""COMPUTED_VALUE"""),0.8)</f>
        <v>0.8</v>
      </c>
      <c r="W1631" s="4" t="str">
        <f>IFERROR(__xludf.DUMMYFUNCTION("""COMPUTED_VALUE"""),"Eclética Tecnologia")</f>
        <v>Eclética Tecnologia</v>
      </c>
      <c r="X1631" s="33">
        <f>IFERROR(__xludf.DUMMYFUNCTION("""COMPUTED_VALUE"""),0.8)</f>
        <v>0.8</v>
      </c>
    </row>
    <row r="1632">
      <c r="K1632" s="4" t="str">
        <f>IFERROR(__xludf.DUMMYFUNCTION("""COMPUTED_VALUE"""),"BIG KAHUNA BURGER")</f>
        <v>BIG KAHUNA BURGER</v>
      </c>
      <c r="L1632" s="32">
        <f>IFERROR(__xludf.DUMMYFUNCTION("""COMPUTED_VALUE"""),5.0)</f>
        <v>5</v>
      </c>
      <c r="M1632" s="4" t="str">
        <f>IFERROR(__xludf.DUMMYFUNCTION("""COMPUTED_VALUE"""),"T4l Tecnologia Ltda Me")</f>
        <v>T4l Tecnologia Ltda Me</v>
      </c>
      <c r="N1632" s="33">
        <f>IFERROR(__xludf.DUMMYFUNCTION("""COMPUTED_VALUE"""),1.0)</f>
        <v>1</v>
      </c>
      <c r="O1632" s="4" t="str">
        <f>IFERROR(__xludf.DUMMYFUNCTION("""COMPUTED_VALUE"""),"T4l Tecnologia Ltda Me")</f>
        <v>T4l Tecnologia Ltda Me</v>
      </c>
      <c r="P1632" s="33">
        <f>IFERROR(__xludf.DUMMYFUNCTION("""COMPUTED_VALUE"""),1.0)</f>
        <v>1</v>
      </c>
      <c r="Q1632" s="4" t="str">
        <f>IFERROR(__xludf.DUMMYFUNCTION("""COMPUTED_VALUE"""),"T4l Tecnologia Ltda Me")</f>
        <v>T4l Tecnologia Ltda Me</v>
      </c>
      <c r="R1632" s="33">
        <f>IFERROR(__xludf.DUMMYFUNCTION("""COMPUTED_VALUE"""),0.8571428571428571)</f>
        <v>0.8571428571</v>
      </c>
      <c r="S1632" s="4" t="str">
        <f>IFERROR(__xludf.DUMMYFUNCTION("""COMPUTED_VALUE"""),"Saipos Serviços De Software")</f>
        <v>Saipos Serviços De Software</v>
      </c>
      <c r="T1632" s="33">
        <f>IFERROR(__xludf.DUMMYFUNCTION("""COMPUTED_VALUE"""),1.0)</f>
        <v>1</v>
      </c>
      <c r="U1632" s="4" t="str">
        <f>IFERROR(__xludf.DUMMYFUNCTION("""COMPUTED_VALUE"""),"Saipos Serviços De Software")</f>
        <v>Saipos Serviços De Software</v>
      </c>
      <c r="V1632" s="33">
        <f>IFERROR(__xludf.DUMMYFUNCTION("""COMPUTED_VALUE"""),1.0)</f>
        <v>1</v>
      </c>
      <c r="W1632" s="4" t="str">
        <f>IFERROR(__xludf.DUMMYFUNCTION("""COMPUTED_VALUE"""),"Saipos Serviços De Software")</f>
        <v>Saipos Serviços De Software</v>
      </c>
      <c r="X1632" s="33">
        <f>IFERROR(__xludf.DUMMYFUNCTION("""COMPUTED_VALUE"""),1.0)</f>
        <v>1</v>
      </c>
    </row>
    <row r="1633">
      <c r="K1633" s="4" t="str">
        <f>IFERROR(__xludf.DUMMYFUNCTION("""COMPUTED_VALUE"""),"BISTRO DO SABOR XIS E A LA MINUTAS")</f>
        <v>BISTRO DO SABOR XIS E A LA MINUTAS</v>
      </c>
      <c r="L1633" s="32">
        <f>IFERROR(__xludf.DUMMYFUNCTION("""COMPUTED_VALUE"""),5.0)</f>
        <v>5</v>
      </c>
      <c r="M1633" s="4" t="str">
        <f>IFERROR(__xludf.DUMMYFUNCTION("""COMPUTED_VALUE"""),"Saipos Serviços De Software")</f>
        <v>Saipos Serviços De Software</v>
      </c>
      <c r="N1633" s="33">
        <f>IFERROR(__xludf.DUMMYFUNCTION("""COMPUTED_VALUE"""),1.0)</f>
        <v>1</v>
      </c>
      <c r="O1633" s="4" t="str">
        <f>IFERROR(__xludf.DUMMYFUNCTION("""COMPUTED_VALUE"""),"Saipos Serviços De Software")</f>
        <v>Saipos Serviços De Software</v>
      </c>
      <c r="P1633" s="33">
        <f>IFERROR(__xludf.DUMMYFUNCTION("""COMPUTED_VALUE"""),1.0)</f>
        <v>1</v>
      </c>
      <c r="Q1633" s="4" t="str">
        <f>IFERROR(__xludf.DUMMYFUNCTION("""COMPUTED_VALUE"""),"Saipos Serviços De Software")</f>
        <v>Saipos Serviços De Software</v>
      </c>
      <c r="R1633" s="33">
        <f>IFERROR(__xludf.DUMMYFUNCTION("""COMPUTED_VALUE"""),1.0)</f>
        <v>1</v>
      </c>
      <c r="S1633" s="4" t="str">
        <f>IFERROR(__xludf.DUMMYFUNCTION("""COMPUTED_VALUE"""),"Saipos Serviços De Software")</f>
        <v>Saipos Serviços De Software</v>
      </c>
      <c r="T1633" s="33">
        <f>IFERROR(__xludf.DUMMYFUNCTION("""COMPUTED_VALUE"""),1.0)</f>
        <v>1</v>
      </c>
      <c r="U1633" s="4" t="str">
        <f>IFERROR(__xludf.DUMMYFUNCTION("""COMPUTED_VALUE"""),"Saipos Serviços De Software")</f>
        <v>Saipos Serviços De Software</v>
      </c>
      <c r="V1633" s="33">
        <f>IFERROR(__xludf.DUMMYFUNCTION("""COMPUTED_VALUE"""),1.0)</f>
        <v>1</v>
      </c>
      <c r="W1633" s="4" t="str">
        <f>IFERROR(__xludf.DUMMYFUNCTION("""COMPUTED_VALUE"""),"Saipos Serviços De Software")</f>
        <v>Saipos Serviços De Software</v>
      </c>
      <c r="X1633" s="33">
        <f>IFERROR(__xludf.DUMMYFUNCTION("""COMPUTED_VALUE"""),1.0)</f>
        <v>1</v>
      </c>
    </row>
    <row r="1634">
      <c r="K1634" s="4" t="str">
        <f>IFERROR(__xludf.DUMMYFUNCTION("""COMPUTED_VALUE"""),"BM BURGER NA BRASA - CONTA MARCA")</f>
        <v>BM BURGER NA BRASA - CONTA MARCA</v>
      </c>
      <c r="L1634" s="32">
        <f>IFERROR(__xludf.DUMMYFUNCTION("""COMPUTED_VALUE"""),5.0)</f>
        <v>5</v>
      </c>
      <c r="M1634" s="4" t="str">
        <f>IFERROR(__xludf.DUMMYFUNCTION("""COMPUTED_VALUE"""),"Saipos Serviços De Software")</f>
        <v>Saipos Serviços De Software</v>
      </c>
      <c r="N1634" s="33">
        <f>IFERROR(__xludf.DUMMYFUNCTION("""COMPUTED_VALUE"""),0.6)</f>
        <v>0.6</v>
      </c>
      <c r="O1634" s="4" t="str">
        <f>IFERROR(__xludf.DUMMYFUNCTION("""COMPUTED_VALUE"""),"Saipos Serviços De Software")</f>
        <v>Saipos Serviços De Software</v>
      </c>
      <c r="P1634" s="33">
        <f>IFERROR(__xludf.DUMMYFUNCTION("""COMPUTED_VALUE"""),0.6)</f>
        <v>0.6</v>
      </c>
      <c r="Q1634" s="4" t="str">
        <f>IFERROR(__xludf.DUMMYFUNCTION("""COMPUTED_VALUE"""),"Saipos Serviços De Software")</f>
        <v>Saipos Serviços De Software</v>
      </c>
      <c r="R1634" s="33">
        <f>IFERROR(__xludf.DUMMYFUNCTION("""COMPUTED_VALUE"""),0.6)</f>
        <v>0.6</v>
      </c>
      <c r="S1634" s="4" t="str">
        <f>IFERROR(__xludf.DUMMYFUNCTION("""COMPUTED_VALUE"""),"Saipos Serviços De Software")</f>
        <v>Saipos Serviços De Software</v>
      </c>
      <c r="T1634" s="33">
        <f>IFERROR(__xludf.DUMMYFUNCTION("""COMPUTED_VALUE"""),0.6)</f>
        <v>0.6</v>
      </c>
      <c r="U1634" s="4" t="str">
        <f>IFERROR(__xludf.DUMMYFUNCTION("""COMPUTED_VALUE"""),"Saipos Serviços De Software")</f>
        <v>Saipos Serviços De Software</v>
      </c>
      <c r="V1634" s="33">
        <f>IFERROR(__xludf.DUMMYFUNCTION("""COMPUTED_VALUE"""),0.6)</f>
        <v>0.6</v>
      </c>
      <c r="W1634" s="4" t="str">
        <f>IFERROR(__xludf.DUMMYFUNCTION("""COMPUTED_VALUE"""),"Saipos Serviços De Software")</f>
        <v>Saipos Serviços De Software</v>
      </c>
      <c r="X1634" s="33">
        <f>IFERROR(__xludf.DUMMYFUNCTION("""COMPUTED_VALUE"""),1.0)</f>
        <v>1</v>
      </c>
    </row>
    <row r="1635">
      <c r="K1635" s="4" t="str">
        <f>IFERROR(__xludf.DUMMYFUNCTION("""COMPUTED_VALUE"""),"GRUPO OAHU")</f>
        <v>GRUPO OAHU</v>
      </c>
      <c r="L1635" s="32">
        <f>IFERROR(__xludf.DUMMYFUNCTION("""COMPUTED_VALUE"""),5.0)</f>
        <v>5</v>
      </c>
      <c r="M1635" s="4" t="str">
        <f>IFERROR(__xludf.DUMMYFUNCTION("""COMPUTED_VALUE"""),"Netcontroll Xmenu")</f>
        <v>Netcontroll Xmenu</v>
      </c>
      <c r="N1635" s="33">
        <f>IFERROR(__xludf.DUMMYFUNCTION("""COMPUTED_VALUE"""),0.8)</f>
        <v>0.8</v>
      </c>
      <c r="O1635" s="4" t="str">
        <f>IFERROR(__xludf.DUMMYFUNCTION("""COMPUTED_VALUE"""),"Netcontroll Xmenu")</f>
        <v>Netcontroll Xmenu</v>
      </c>
      <c r="P1635" s="33">
        <f>IFERROR(__xludf.DUMMYFUNCTION("""COMPUTED_VALUE"""),0.8)</f>
        <v>0.8</v>
      </c>
      <c r="Q1635" s="4" t="str">
        <f>IFERROR(__xludf.DUMMYFUNCTION("""COMPUTED_VALUE"""),"Netcontroll Xmenu")</f>
        <v>Netcontroll Xmenu</v>
      </c>
      <c r="R1635" s="33">
        <f>IFERROR(__xludf.DUMMYFUNCTION("""COMPUTED_VALUE"""),0.8)</f>
        <v>0.8</v>
      </c>
      <c r="S1635" s="4" t="str">
        <f>IFERROR(__xludf.DUMMYFUNCTION("""COMPUTED_VALUE"""),"Netcontroll Xmenu")</f>
        <v>Netcontroll Xmenu</v>
      </c>
      <c r="T1635" s="33">
        <f>IFERROR(__xludf.DUMMYFUNCTION("""COMPUTED_VALUE"""),1.0)</f>
        <v>1</v>
      </c>
      <c r="U1635" s="4" t="str">
        <f>IFERROR(__xludf.DUMMYFUNCTION("""COMPUTED_VALUE"""),"Netcontroll Xmenu")</f>
        <v>Netcontroll Xmenu</v>
      </c>
      <c r="V1635" s="33">
        <f>IFERROR(__xludf.DUMMYFUNCTION("""COMPUTED_VALUE"""),0.8)</f>
        <v>0.8</v>
      </c>
      <c r="W1635" s="4" t="str">
        <f>IFERROR(__xludf.DUMMYFUNCTION("""COMPUTED_VALUE"""),"Netcontroll Xmenu")</f>
        <v>Netcontroll Xmenu</v>
      </c>
      <c r="X1635" s="33">
        <f>IFERROR(__xludf.DUMMYFUNCTION("""COMPUTED_VALUE"""),0.8)</f>
        <v>0.8</v>
      </c>
    </row>
    <row r="1636">
      <c r="K1636" s="4" t="str">
        <f>IFERROR(__xludf.DUMMYFUNCTION("""COMPUTED_VALUE"""),"BRAGA LANCHES - CONTA GRUPO")</f>
        <v>BRAGA LANCHES - CONTA GRUPO</v>
      </c>
      <c r="L1636" s="32">
        <f>IFERROR(__xludf.DUMMYFUNCTION("""COMPUTED_VALUE"""),5.0)</f>
        <v>5</v>
      </c>
      <c r="M1636" s="4" t="str">
        <f>IFERROR(__xludf.DUMMYFUNCTION("""COMPUTED_VALUE"""),"Saipos Serviços De Software")</f>
        <v>Saipos Serviços De Software</v>
      </c>
      <c r="N1636" s="33">
        <f>IFERROR(__xludf.DUMMYFUNCTION("""COMPUTED_VALUE"""),1.0)</f>
        <v>1</v>
      </c>
      <c r="O1636" s="4" t="str">
        <f>IFERROR(__xludf.DUMMYFUNCTION("""COMPUTED_VALUE"""),"Saipos Serviços De Software")</f>
        <v>Saipos Serviços De Software</v>
      </c>
      <c r="P1636" s="33">
        <f>IFERROR(__xludf.DUMMYFUNCTION("""COMPUTED_VALUE"""),1.0)</f>
        <v>1</v>
      </c>
      <c r="Q1636" s="4" t="str">
        <f>IFERROR(__xludf.DUMMYFUNCTION("""COMPUTED_VALUE"""),"Saipos Serviços De Software")</f>
        <v>Saipos Serviços De Software</v>
      </c>
      <c r="R1636" s="33">
        <f>IFERROR(__xludf.DUMMYFUNCTION("""COMPUTED_VALUE"""),1.0)</f>
        <v>1</v>
      </c>
      <c r="S1636" s="4" t="str">
        <f>IFERROR(__xludf.DUMMYFUNCTION("""COMPUTED_VALUE"""),"Saipos Serviços De Software")</f>
        <v>Saipos Serviços De Software</v>
      </c>
      <c r="T1636" s="33">
        <f>IFERROR(__xludf.DUMMYFUNCTION("""COMPUTED_VALUE"""),1.0)</f>
        <v>1</v>
      </c>
      <c r="U1636" s="4" t="str">
        <f>IFERROR(__xludf.DUMMYFUNCTION("""COMPUTED_VALUE"""),"Saipos Serviços De Software")</f>
        <v>Saipos Serviços De Software</v>
      </c>
      <c r="V1636" s="33">
        <f>IFERROR(__xludf.DUMMYFUNCTION("""COMPUTED_VALUE"""),1.0)</f>
        <v>1</v>
      </c>
      <c r="W1636" s="4" t="str">
        <f>IFERROR(__xludf.DUMMYFUNCTION("""COMPUTED_VALUE"""),"Saipos Serviços De Software")</f>
        <v>Saipos Serviços De Software</v>
      </c>
      <c r="X1636" s="33">
        <f>IFERROR(__xludf.DUMMYFUNCTION("""COMPUTED_VALUE"""),1.0)</f>
        <v>1</v>
      </c>
    </row>
    <row r="1637">
      <c r="K1637" s="4" t="str">
        <f>IFERROR(__xludf.DUMMYFUNCTION("""COMPUTED_VALUE"""),"BREAD PIDE - CONTA GRUPO")</f>
        <v>BREAD PIDE - CONTA GRUPO</v>
      </c>
      <c r="L1637" s="32">
        <f>IFERROR(__xludf.DUMMYFUNCTION("""COMPUTED_VALUE"""),5.0)</f>
        <v>5</v>
      </c>
      <c r="M1637" s="4" t="str">
        <f>IFERROR(__xludf.DUMMYFUNCTION("""COMPUTED_VALUE"""),"null")</f>
        <v>null</v>
      </c>
      <c r="N1637" s="33">
        <f>IFERROR(__xludf.DUMMYFUNCTION("""COMPUTED_VALUE"""),0.6)</f>
        <v>0.6</v>
      </c>
      <c r="O1637" s="4" t="str">
        <f>IFERROR(__xludf.DUMMYFUNCTION("""COMPUTED_VALUE"""),"Cloudfy")</f>
        <v>Cloudfy</v>
      </c>
      <c r="P1637" s="33">
        <f>IFERROR(__xludf.DUMMYFUNCTION("""COMPUTED_VALUE"""),0.8)</f>
        <v>0.8</v>
      </c>
      <c r="Q1637" s="4" t="str">
        <f>IFERROR(__xludf.DUMMYFUNCTION("""COMPUTED_VALUE"""),"Cloudfy")</f>
        <v>Cloudfy</v>
      </c>
      <c r="R1637" s="33">
        <f>IFERROR(__xludf.DUMMYFUNCTION("""COMPUTED_VALUE"""),0.8)</f>
        <v>0.8</v>
      </c>
      <c r="S1637" s="4" t="str">
        <f>IFERROR(__xludf.DUMMYFUNCTION("""COMPUTED_VALUE"""),"Cloudfy")</f>
        <v>Cloudfy</v>
      </c>
      <c r="T1637" s="33">
        <f>IFERROR(__xludf.DUMMYFUNCTION("""COMPUTED_VALUE"""),0.8)</f>
        <v>0.8</v>
      </c>
      <c r="U1637" s="4" t="str">
        <f>IFERROR(__xludf.DUMMYFUNCTION("""COMPUTED_VALUE"""),"Cloudfy")</f>
        <v>Cloudfy</v>
      </c>
      <c r="V1637" s="33">
        <f>IFERROR(__xludf.DUMMYFUNCTION("""COMPUTED_VALUE"""),0.8)</f>
        <v>0.8</v>
      </c>
      <c r="W1637" s="4" t="str">
        <f>IFERROR(__xludf.DUMMYFUNCTION("""COMPUTED_VALUE"""),"Cloudfy")</f>
        <v>Cloudfy</v>
      </c>
      <c r="X1637" s="33">
        <f>IFERROR(__xludf.DUMMYFUNCTION("""COMPUTED_VALUE"""),1.0)</f>
        <v>1</v>
      </c>
    </row>
    <row r="1638">
      <c r="K1638" s="4" t="str">
        <f>IFERROR(__xludf.DUMMYFUNCTION("""COMPUTED_VALUE"""),"BRIZ BURGUER - CONTA MARCA")</f>
        <v>BRIZ BURGUER - CONTA MARCA</v>
      </c>
      <c r="L1638" s="32">
        <f>IFERROR(__xludf.DUMMYFUNCTION("""COMPUTED_VALUE"""),5.0)</f>
        <v>5</v>
      </c>
      <c r="M1638" s="4" t="str">
        <f>IFERROR(__xludf.DUMMYFUNCTION("""COMPUTED_VALUE"""),"Parseint Desenvolvimento De Sistemas Ltda")</f>
        <v>Parseint Desenvolvimento De Sistemas Ltda</v>
      </c>
      <c r="N1638" s="33">
        <f>IFERROR(__xludf.DUMMYFUNCTION("""COMPUTED_VALUE"""),1.0)</f>
        <v>1</v>
      </c>
      <c r="O1638" s="4" t="str">
        <f>IFERROR(__xludf.DUMMYFUNCTION("""COMPUTED_VALUE"""),"Parseint Desenvolvimento De Sistemas Ltda")</f>
        <v>Parseint Desenvolvimento De Sistemas Ltda</v>
      </c>
      <c r="P1638" s="33">
        <f>IFERROR(__xludf.DUMMYFUNCTION("""COMPUTED_VALUE"""),1.0)</f>
        <v>1</v>
      </c>
      <c r="Q1638" s="4" t="str">
        <f>IFERROR(__xludf.DUMMYFUNCTION("""COMPUTED_VALUE"""),"Parseint Desenvolvimento De Sistemas Ltda")</f>
        <v>Parseint Desenvolvimento De Sistemas Ltda</v>
      </c>
      <c r="R1638" s="33">
        <f>IFERROR(__xludf.DUMMYFUNCTION("""COMPUTED_VALUE"""),0.8)</f>
        <v>0.8</v>
      </c>
      <c r="S1638" s="4" t="str">
        <f>IFERROR(__xludf.DUMMYFUNCTION("""COMPUTED_VALUE"""),"Parseint Desenvolvimento De Sistemas Ltda")</f>
        <v>Parseint Desenvolvimento De Sistemas Ltda</v>
      </c>
      <c r="T1638" s="33">
        <f>IFERROR(__xludf.DUMMYFUNCTION("""COMPUTED_VALUE"""),0.8)</f>
        <v>0.8</v>
      </c>
      <c r="U1638" s="4" t="str">
        <f>IFERROR(__xludf.DUMMYFUNCTION("""COMPUTED_VALUE"""),"Parseint Desenvolvimento De Sistemas Ltda")</f>
        <v>Parseint Desenvolvimento De Sistemas Ltda</v>
      </c>
      <c r="V1638" s="33">
        <f>IFERROR(__xludf.DUMMYFUNCTION("""COMPUTED_VALUE"""),0.6)</f>
        <v>0.6</v>
      </c>
      <c r="W1638" s="4" t="str">
        <f>IFERROR(__xludf.DUMMYFUNCTION("""COMPUTED_VALUE"""),"Parseint Desenvolvimento De Sistemas Ltda")</f>
        <v>Parseint Desenvolvimento De Sistemas Ltda</v>
      </c>
      <c r="X1638" s="33">
        <f>IFERROR(__xludf.DUMMYFUNCTION("""COMPUTED_VALUE"""),0.6)</f>
        <v>0.6</v>
      </c>
    </row>
    <row r="1639">
      <c r="K1639" s="4" t="str">
        <f>IFERROR(__xludf.DUMMYFUNCTION("""COMPUTED_VALUE"""),"BRONCO BURGER")</f>
        <v>BRONCO BURGER</v>
      </c>
      <c r="L1639" s="32">
        <f>IFERROR(__xludf.DUMMYFUNCTION("""COMPUTED_VALUE"""),5.0)</f>
        <v>5</v>
      </c>
      <c r="M1639" s="4" t="str">
        <f>IFERROR(__xludf.DUMMYFUNCTION("""COMPUTED_VALUE"""),"Ncr")</f>
        <v>Ncr</v>
      </c>
      <c r="N1639" s="33">
        <f>IFERROR(__xludf.DUMMYFUNCTION("""COMPUTED_VALUE"""),1.0)</f>
        <v>1</v>
      </c>
      <c r="O1639" s="4" t="str">
        <f>IFERROR(__xludf.DUMMYFUNCTION("""COMPUTED_VALUE"""),"Ncr")</f>
        <v>Ncr</v>
      </c>
      <c r="P1639" s="33">
        <f>IFERROR(__xludf.DUMMYFUNCTION("""COMPUTED_VALUE"""),1.0)</f>
        <v>1</v>
      </c>
      <c r="Q1639" s="4" t="str">
        <f>IFERROR(__xludf.DUMMYFUNCTION("""COMPUTED_VALUE"""),"Ncr")</f>
        <v>Ncr</v>
      </c>
      <c r="R1639" s="33">
        <f>IFERROR(__xludf.DUMMYFUNCTION("""COMPUTED_VALUE"""),1.0)</f>
        <v>1</v>
      </c>
      <c r="S1639" s="4" t="str">
        <f>IFERROR(__xludf.DUMMYFUNCTION("""COMPUTED_VALUE"""),"Ncr")</f>
        <v>Ncr</v>
      </c>
      <c r="T1639" s="33">
        <f>IFERROR(__xludf.DUMMYFUNCTION("""COMPUTED_VALUE"""),1.0)</f>
        <v>1</v>
      </c>
      <c r="U1639" s="4" t="str">
        <f>IFERROR(__xludf.DUMMYFUNCTION("""COMPUTED_VALUE"""),"Ncr")</f>
        <v>Ncr</v>
      </c>
      <c r="V1639" s="33">
        <f>IFERROR(__xludf.DUMMYFUNCTION("""COMPUTED_VALUE"""),1.0)</f>
        <v>1</v>
      </c>
      <c r="W1639" s="4" t="str">
        <f>IFERROR(__xludf.DUMMYFUNCTION("""COMPUTED_VALUE"""),"Ncr")</f>
        <v>Ncr</v>
      </c>
      <c r="X1639" s="33">
        <f>IFERROR(__xludf.DUMMYFUNCTION("""COMPUTED_VALUE"""),1.0)</f>
        <v>1</v>
      </c>
    </row>
    <row r="1640">
      <c r="K1640" s="4" t="str">
        <f>IFERROR(__xludf.DUMMYFUNCTION("""COMPUTED_VALUE"""),"BROTO PIZZA")</f>
        <v>BROTO PIZZA</v>
      </c>
      <c r="L1640" s="32">
        <f>IFERROR(__xludf.DUMMYFUNCTION("""COMPUTED_VALUE"""),5.0)</f>
        <v>5</v>
      </c>
      <c r="M1640" s="4" t="str">
        <f>IFERROR(__xludf.DUMMYFUNCTION("""COMPUTED_VALUE"""),"Saipos Serviços De Software")</f>
        <v>Saipos Serviços De Software</v>
      </c>
      <c r="N1640" s="33">
        <f>IFERROR(__xludf.DUMMYFUNCTION("""COMPUTED_VALUE"""),1.0)</f>
        <v>1</v>
      </c>
      <c r="O1640" s="4" t="str">
        <f>IFERROR(__xludf.DUMMYFUNCTION("""COMPUTED_VALUE"""),"Saipos Serviços De Software")</f>
        <v>Saipos Serviços De Software</v>
      </c>
      <c r="P1640" s="33">
        <f>IFERROR(__xludf.DUMMYFUNCTION("""COMPUTED_VALUE"""),1.0)</f>
        <v>1</v>
      </c>
      <c r="Q1640" s="4" t="str">
        <f>IFERROR(__xludf.DUMMYFUNCTION("""COMPUTED_VALUE"""),"Saipos Serviços De Software")</f>
        <v>Saipos Serviços De Software</v>
      </c>
      <c r="R1640" s="33">
        <f>IFERROR(__xludf.DUMMYFUNCTION("""COMPUTED_VALUE"""),1.0)</f>
        <v>1</v>
      </c>
      <c r="S1640" s="4" t="str">
        <f>IFERROR(__xludf.DUMMYFUNCTION("""COMPUTED_VALUE"""),"Saipos Serviços De Software")</f>
        <v>Saipos Serviços De Software</v>
      </c>
      <c r="T1640" s="33">
        <f>IFERROR(__xludf.DUMMYFUNCTION("""COMPUTED_VALUE"""),1.0)</f>
        <v>1</v>
      </c>
      <c r="U1640" s="4" t="str">
        <f>IFERROR(__xludf.DUMMYFUNCTION("""COMPUTED_VALUE"""),"Saipos Serviços De Software")</f>
        <v>Saipos Serviços De Software</v>
      </c>
      <c r="V1640" s="33">
        <f>IFERROR(__xludf.DUMMYFUNCTION("""COMPUTED_VALUE"""),1.0)</f>
        <v>1</v>
      </c>
      <c r="W1640" s="4" t="str">
        <f>IFERROR(__xludf.DUMMYFUNCTION("""COMPUTED_VALUE"""),"Saipos Serviços De Software")</f>
        <v>Saipos Serviços De Software</v>
      </c>
      <c r="X1640" s="33">
        <f>IFERROR(__xludf.DUMMYFUNCTION("""COMPUTED_VALUE"""),1.0)</f>
        <v>1</v>
      </c>
    </row>
    <row r="1641">
      <c r="K1641" s="4" t="str">
        <f>IFERROR(__xludf.DUMMYFUNCTION("""COMPUTED_VALUE"""),"GRUPO SANTA HORA FLORIPA")</f>
        <v>GRUPO SANTA HORA FLORIPA</v>
      </c>
      <c r="L1641" s="32">
        <f>IFERROR(__xludf.DUMMYFUNCTION("""COMPUTED_VALUE"""),5.0)</f>
        <v>5</v>
      </c>
      <c r="M1641" s="4" t="str">
        <f>IFERROR(__xludf.DUMMYFUNCTION("""COMPUTED_VALUE"""),"Saipos Serviços De Software")</f>
        <v>Saipos Serviços De Software</v>
      </c>
      <c r="N1641" s="33">
        <f>IFERROR(__xludf.DUMMYFUNCTION("""COMPUTED_VALUE"""),0.8)</f>
        <v>0.8</v>
      </c>
      <c r="O1641" s="4" t="str">
        <f>IFERROR(__xludf.DUMMYFUNCTION("""COMPUTED_VALUE"""),"Saipos Serviços De Software")</f>
        <v>Saipos Serviços De Software</v>
      </c>
      <c r="P1641" s="33">
        <f>IFERROR(__xludf.DUMMYFUNCTION("""COMPUTED_VALUE"""),1.0)</f>
        <v>1</v>
      </c>
      <c r="Q1641" s="4" t="str">
        <f>IFERROR(__xludf.DUMMYFUNCTION("""COMPUTED_VALUE"""),"Saipos Serviços De Software")</f>
        <v>Saipos Serviços De Software</v>
      </c>
      <c r="R1641" s="33">
        <f>IFERROR(__xludf.DUMMYFUNCTION("""COMPUTED_VALUE"""),1.0)</f>
        <v>1</v>
      </c>
      <c r="S1641" s="4" t="str">
        <f>IFERROR(__xludf.DUMMYFUNCTION("""COMPUTED_VALUE"""),"Saipos Serviços De Software")</f>
        <v>Saipos Serviços De Software</v>
      </c>
      <c r="T1641" s="33">
        <f>IFERROR(__xludf.DUMMYFUNCTION("""COMPUTED_VALUE"""),1.0)</f>
        <v>1</v>
      </c>
      <c r="U1641" s="4" t="str">
        <f>IFERROR(__xludf.DUMMYFUNCTION("""COMPUTED_VALUE"""),"Saipos Serviços De Software")</f>
        <v>Saipos Serviços De Software</v>
      </c>
      <c r="V1641" s="33">
        <f>IFERROR(__xludf.DUMMYFUNCTION("""COMPUTED_VALUE"""),1.0)</f>
        <v>1</v>
      </c>
      <c r="W1641" s="4" t="str">
        <f>IFERROR(__xludf.DUMMYFUNCTION("""COMPUTED_VALUE"""),"Saipos Serviços De Software")</f>
        <v>Saipos Serviços De Software</v>
      </c>
      <c r="X1641" s="33">
        <f>IFERROR(__xludf.DUMMYFUNCTION("""COMPUTED_VALUE"""),1.0)</f>
        <v>1</v>
      </c>
    </row>
    <row r="1642">
      <c r="K1642" s="4" t="str">
        <f>IFERROR(__xludf.DUMMYFUNCTION("""COMPUTED_VALUE"""),"BURGUER GAME HAMBURGUERIA")</f>
        <v>BURGUER GAME HAMBURGUERIA</v>
      </c>
      <c r="L1642" s="32">
        <f>IFERROR(__xludf.DUMMYFUNCTION("""COMPUTED_VALUE"""),5.0)</f>
        <v>5</v>
      </c>
      <c r="M1642" s="4" t="str">
        <f>IFERROR(__xludf.DUMMYFUNCTION("""COMPUTED_VALUE"""),"Saipos Serviços De Software")</f>
        <v>Saipos Serviços De Software</v>
      </c>
      <c r="N1642" s="33">
        <f>IFERROR(__xludf.DUMMYFUNCTION("""COMPUTED_VALUE"""),1.0)</f>
        <v>1</v>
      </c>
      <c r="O1642" s="4" t="str">
        <f>IFERROR(__xludf.DUMMYFUNCTION("""COMPUTED_VALUE"""),"Saipos Serviços De Software")</f>
        <v>Saipos Serviços De Software</v>
      </c>
      <c r="P1642" s="33">
        <f>IFERROR(__xludf.DUMMYFUNCTION("""COMPUTED_VALUE"""),1.0)</f>
        <v>1</v>
      </c>
      <c r="Q1642" s="4" t="str">
        <f>IFERROR(__xludf.DUMMYFUNCTION("""COMPUTED_VALUE"""),"Saipos Serviços De Software")</f>
        <v>Saipos Serviços De Software</v>
      </c>
      <c r="R1642" s="33">
        <f>IFERROR(__xludf.DUMMYFUNCTION("""COMPUTED_VALUE"""),1.0)</f>
        <v>1</v>
      </c>
      <c r="S1642" s="4" t="str">
        <f>IFERROR(__xludf.DUMMYFUNCTION("""COMPUTED_VALUE"""),"Saipos Serviços De Software")</f>
        <v>Saipos Serviços De Software</v>
      </c>
      <c r="T1642" s="33">
        <f>IFERROR(__xludf.DUMMYFUNCTION("""COMPUTED_VALUE"""),1.0)</f>
        <v>1</v>
      </c>
      <c r="U1642" s="4" t="str">
        <f>IFERROR(__xludf.DUMMYFUNCTION("""COMPUTED_VALUE"""),"Saipos Serviços De Software")</f>
        <v>Saipos Serviços De Software</v>
      </c>
      <c r="V1642" s="33">
        <f>IFERROR(__xludf.DUMMYFUNCTION("""COMPUTED_VALUE"""),1.0)</f>
        <v>1</v>
      </c>
      <c r="W1642" s="4" t="str">
        <f>IFERROR(__xludf.DUMMYFUNCTION("""COMPUTED_VALUE"""),"Saipos Serviços De Software")</f>
        <v>Saipos Serviços De Software</v>
      </c>
      <c r="X1642" s="33">
        <f>IFERROR(__xludf.DUMMYFUNCTION("""COMPUTED_VALUE"""),0.6)</f>
        <v>0.6</v>
      </c>
    </row>
    <row r="1643">
      <c r="K1643" s="4" t="str">
        <f>IFERROR(__xludf.DUMMYFUNCTION("""COMPUTED_VALUE"""),"BURGUERLAND HAMBURGUERIA - MARCA")</f>
        <v>BURGUERLAND HAMBURGUERIA - MARCA</v>
      </c>
      <c r="L1643" s="32">
        <f>IFERROR(__xludf.DUMMYFUNCTION("""COMPUTED_VALUE"""),5.0)</f>
        <v>5</v>
      </c>
      <c r="M1643" s="4" t="str">
        <f>IFERROR(__xludf.DUMMYFUNCTION("""COMPUTED_VALUE"""),"Saipos Serviços De Software")</f>
        <v>Saipos Serviços De Software</v>
      </c>
      <c r="N1643" s="33">
        <f>IFERROR(__xludf.DUMMYFUNCTION("""COMPUTED_VALUE"""),1.0)</f>
        <v>1</v>
      </c>
      <c r="O1643" s="4" t="str">
        <f>IFERROR(__xludf.DUMMYFUNCTION("""COMPUTED_VALUE"""),"Saipos Serviços De Software")</f>
        <v>Saipos Serviços De Software</v>
      </c>
      <c r="P1643" s="33">
        <f>IFERROR(__xludf.DUMMYFUNCTION("""COMPUTED_VALUE"""),1.0)</f>
        <v>1</v>
      </c>
      <c r="Q1643" s="4" t="str">
        <f>IFERROR(__xludf.DUMMYFUNCTION("""COMPUTED_VALUE"""),"Saipos Serviços De Software")</f>
        <v>Saipos Serviços De Software</v>
      </c>
      <c r="R1643" s="33">
        <f>IFERROR(__xludf.DUMMYFUNCTION("""COMPUTED_VALUE"""),1.0)</f>
        <v>1</v>
      </c>
      <c r="S1643" s="4" t="str">
        <f>IFERROR(__xludf.DUMMYFUNCTION("""COMPUTED_VALUE"""),"Saipos Serviços De Software")</f>
        <v>Saipos Serviços De Software</v>
      </c>
      <c r="T1643" s="33">
        <f>IFERROR(__xludf.DUMMYFUNCTION("""COMPUTED_VALUE"""),1.0)</f>
        <v>1</v>
      </c>
      <c r="U1643" s="4" t="str">
        <f>IFERROR(__xludf.DUMMYFUNCTION("""COMPUTED_VALUE"""),"Saipos Serviços De Software")</f>
        <v>Saipos Serviços De Software</v>
      </c>
      <c r="V1643" s="33">
        <f>IFERROR(__xludf.DUMMYFUNCTION("""COMPUTED_VALUE"""),1.0)</f>
        <v>1</v>
      </c>
      <c r="W1643" s="4" t="str">
        <f>IFERROR(__xludf.DUMMYFUNCTION("""COMPUTED_VALUE"""),"Saipos Serviços De Software")</f>
        <v>Saipos Serviços De Software</v>
      </c>
      <c r="X1643" s="33">
        <f>IFERROR(__xludf.DUMMYFUNCTION("""COMPUTED_VALUE"""),0.8)</f>
        <v>0.8</v>
      </c>
    </row>
    <row r="1644">
      <c r="K1644" s="4" t="str">
        <f>IFERROR(__xludf.DUMMYFUNCTION("""COMPUTED_VALUE"""),"CACHORRO DO BIGODE")</f>
        <v>CACHORRO DO BIGODE</v>
      </c>
      <c r="L1644" s="32">
        <f>IFERROR(__xludf.DUMMYFUNCTION("""COMPUTED_VALUE"""),5.0)</f>
        <v>5</v>
      </c>
      <c r="M1644" s="4" t="str">
        <f>IFERROR(__xludf.DUMMYFUNCTION("""COMPUTED_VALUE"""),"Opdv")</f>
        <v>Opdv</v>
      </c>
      <c r="N1644" s="33">
        <f>IFERROR(__xludf.DUMMYFUNCTION("""COMPUTED_VALUE"""),0.8)</f>
        <v>0.8</v>
      </c>
      <c r="O1644" s="4" t="str">
        <f>IFERROR(__xludf.DUMMYFUNCTION("""COMPUTED_VALUE"""),"Opdv")</f>
        <v>Opdv</v>
      </c>
      <c r="P1644" s="33">
        <f>IFERROR(__xludf.DUMMYFUNCTION("""COMPUTED_VALUE"""),0.8)</f>
        <v>0.8</v>
      </c>
      <c r="Q1644" s="4" t="str">
        <f>IFERROR(__xludf.DUMMYFUNCTION("""COMPUTED_VALUE"""),"Opdv")</f>
        <v>Opdv</v>
      </c>
      <c r="R1644" s="33">
        <f>IFERROR(__xludf.DUMMYFUNCTION("""COMPUTED_VALUE"""),0.6)</f>
        <v>0.6</v>
      </c>
      <c r="S1644" s="4" t="str">
        <f>IFERROR(__xludf.DUMMYFUNCTION("""COMPUTED_VALUE"""),"Saipos Serviços De Software")</f>
        <v>Saipos Serviços De Software</v>
      </c>
      <c r="T1644" s="33">
        <f>IFERROR(__xludf.DUMMYFUNCTION("""COMPUTED_VALUE"""),0.6)</f>
        <v>0.6</v>
      </c>
      <c r="U1644" s="4" t="str">
        <f>IFERROR(__xludf.DUMMYFUNCTION("""COMPUTED_VALUE"""),"Saipos Serviços De Software")</f>
        <v>Saipos Serviços De Software</v>
      </c>
      <c r="V1644" s="33">
        <f>IFERROR(__xludf.DUMMYFUNCTION("""COMPUTED_VALUE"""),0.6)</f>
        <v>0.6</v>
      </c>
      <c r="W1644" s="4" t="str">
        <f>IFERROR(__xludf.DUMMYFUNCTION("""COMPUTED_VALUE"""),"Saipos Serviços De Software")</f>
        <v>Saipos Serviços De Software</v>
      </c>
      <c r="X1644" s="33">
        <f>IFERROR(__xludf.DUMMYFUNCTION("""COMPUTED_VALUE"""),0.6)</f>
        <v>0.6</v>
      </c>
    </row>
    <row r="1645">
      <c r="K1645" s="4" t="str">
        <f>IFERROR(__xludf.DUMMYFUNCTION("""COMPUTED_VALUE"""),"CAES CIA - CONTA MARCA")</f>
        <v>CAES CIA - CONTA MARCA</v>
      </c>
      <c r="L1645" s="32">
        <f>IFERROR(__xludf.DUMMYFUNCTION("""COMPUTED_VALUE"""),5.0)</f>
        <v>5</v>
      </c>
      <c r="M1645" s="4" t="str">
        <f>IFERROR(__xludf.DUMMYFUNCTION("""COMPUTED_VALUE"""),"N/A (Not found)")</f>
        <v>N/A (Not found)</v>
      </c>
      <c r="N1645" s="33">
        <f>IFERROR(__xludf.DUMMYFUNCTION("""COMPUTED_VALUE"""),1.0)</f>
        <v>1</v>
      </c>
      <c r="O1645" s="4" t="str">
        <f>IFERROR(__xludf.DUMMYFUNCTION("""COMPUTED_VALUE"""),"N/A (Not found)")</f>
        <v>N/A (Not found)</v>
      </c>
      <c r="P1645" s="33">
        <f>IFERROR(__xludf.DUMMYFUNCTION("""COMPUTED_VALUE"""),1.0)</f>
        <v>1</v>
      </c>
      <c r="Q1645" s="4" t="str">
        <f>IFERROR(__xludf.DUMMYFUNCTION("""COMPUTED_VALUE"""),"N/A (Not found)")</f>
        <v>N/A (Not found)</v>
      </c>
      <c r="R1645" s="33">
        <f>IFERROR(__xludf.DUMMYFUNCTION("""COMPUTED_VALUE"""),1.0)</f>
        <v>1</v>
      </c>
      <c r="S1645" s="4" t="str">
        <f>IFERROR(__xludf.DUMMYFUNCTION("""COMPUTED_VALUE"""),"N/A (Not found)")</f>
        <v>N/A (Not found)</v>
      </c>
      <c r="T1645" s="33">
        <f>IFERROR(__xludf.DUMMYFUNCTION("""COMPUTED_VALUE"""),1.0)</f>
        <v>1</v>
      </c>
      <c r="U1645" s="4" t="str">
        <f>IFERROR(__xludf.DUMMYFUNCTION("""COMPUTED_VALUE"""),"N/A (Not found)")</f>
        <v>N/A (Not found)</v>
      </c>
      <c r="V1645" s="33">
        <f>IFERROR(__xludf.DUMMYFUNCTION("""COMPUTED_VALUE"""),1.0)</f>
        <v>1</v>
      </c>
      <c r="W1645" s="4" t="str">
        <f>IFERROR(__xludf.DUMMYFUNCTION("""COMPUTED_VALUE"""),"N/A (Not found)")</f>
        <v>N/A (Not found)</v>
      </c>
      <c r="X1645" s="33">
        <f>IFERROR(__xludf.DUMMYFUNCTION("""COMPUTED_VALUE"""),1.0)</f>
        <v>1</v>
      </c>
    </row>
    <row r="1646">
      <c r="K1646" s="4" t="str">
        <f>IFERROR(__xludf.DUMMYFUNCTION("""COMPUTED_VALUE"""),"CALENZANO")</f>
        <v>CALENZANO</v>
      </c>
      <c r="L1646" s="32">
        <f>IFERROR(__xludf.DUMMYFUNCTION("""COMPUTED_VALUE"""),5.0)</f>
        <v>5</v>
      </c>
      <c r="M1646" s="4" t="str">
        <f>IFERROR(__xludf.DUMMYFUNCTION("""COMPUTED_VALUE"""),"Saipos Serviços De Software")</f>
        <v>Saipos Serviços De Software</v>
      </c>
      <c r="N1646" s="33">
        <f>IFERROR(__xludf.DUMMYFUNCTION("""COMPUTED_VALUE"""),1.0)</f>
        <v>1</v>
      </c>
      <c r="O1646" s="4" t="str">
        <f>IFERROR(__xludf.DUMMYFUNCTION("""COMPUTED_VALUE"""),"Saipos Serviços De Software")</f>
        <v>Saipos Serviços De Software</v>
      </c>
      <c r="P1646" s="33">
        <f>IFERROR(__xludf.DUMMYFUNCTION("""COMPUTED_VALUE"""),1.0)</f>
        <v>1</v>
      </c>
      <c r="Q1646" s="4" t="str">
        <f>IFERROR(__xludf.DUMMYFUNCTION("""COMPUTED_VALUE"""),"Saipos Serviços De Software")</f>
        <v>Saipos Serviços De Software</v>
      </c>
      <c r="R1646" s="33">
        <f>IFERROR(__xludf.DUMMYFUNCTION("""COMPUTED_VALUE"""),1.0)</f>
        <v>1</v>
      </c>
      <c r="S1646" s="4" t="str">
        <f>IFERROR(__xludf.DUMMYFUNCTION("""COMPUTED_VALUE"""),"Saipos Serviços De Software")</f>
        <v>Saipos Serviços De Software</v>
      </c>
      <c r="T1646" s="33">
        <f>IFERROR(__xludf.DUMMYFUNCTION("""COMPUTED_VALUE"""),1.0)</f>
        <v>1</v>
      </c>
      <c r="U1646" s="4" t="str">
        <f>IFERROR(__xludf.DUMMYFUNCTION("""COMPUTED_VALUE"""),"Saipos Serviços De Software")</f>
        <v>Saipos Serviços De Software</v>
      </c>
      <c r="V1646" s="33">
        <f>IFERROR(__xludf.DUMMYFUNCTION("""COMPUTED_VALUE"""),1.0)</f>
        <v>1</v>
      </c>
      <c r="W1646" s="4" t="str">
        <f>IFERROR(__xludf.DUMMYFUNCTION("""COMPUTED_VALUE"""),"Saipos Serviços De Software")</f>
        <v>Saipos Serviços De Software</v>
      </c>
      <c r="X1646" s="33">
        <f>IFERROR(__xludf.DUMMYFUNCTION("""COMPUTED_VALUE"""),1.0)</f>
        <v>1</v>
      </c>
    </row>
    <row r="1647">
      <c r="K1647" s="4" t="str">
        <f>IFERROR(__xludf.DUMMYFUNCTION("""COMPUTED_VALUE"""),"CALENZANO PIZZARIAS")</f>
        <v>CALENZANO PIZZARIAS</v>
      </c>
      <c r="L1647" s="32">
        <f>IFERROR(__xludf.DUMMYFUNCTION("""COMPUTED_VALUE"""),5.0)</f>
        <v>5</v>
      </c>
      <c r="M1647" s="4" t="str">
        <f>IFERROR(__xludf.DUMMYFUNCTION("""COMPUTED_VALUE"""),"Saipos Serviços De Software")</f>
        <v>Saipos Serviços De Software</v>
      </c>
      <c r="N1647" s="33">
        <f>IFERROR(__xludf.DUMMYFUNCTION("""COMPUTED_VALUE"""),1.0)</f>
        <v>1</v>
      </c>
      <c r="O1647" s="4" t="str">
        <f>IFERROR(__xludf.DUMMYFUNCTION("""COMPUTED_VALUE"""),"Saipos Serviços De Software")</f>
        <v>Saipos Serviços De Software</v>
      </c>
      <c r="P1647" s="33">
        <f>IFERROR(__xludf.DUMMYFUNCTION("""COMPUTED_VALUE"""),1.0)</f>
        <v>1</v>
      </c>
      <c r="Q1647" s="4" t="str">
        <f>IFERROR(__xludf.DUMMYFUNCTION("""COMPUTED_VALUE"""),"Saipos Serviços De Software")</f>
        <v>Saipos Serviços De Software</v>
      </c>
      <c r="R1647" s="33">
        <f>IFERROR(__xludf.DUMMYFUNCTION("""COMPUTED_VALUE"""),1.0)</f>
        <v>1</v>
      </c>
      <c r="S1647" s="4" t="str">
        <f>IFERROR(__xludf.DUMMYFUNCTION("""COMPUTED_VALUE"""),"Saipos Serviços De Software")</f>
        <v>Saipos Serviços De Software</v>
      </c>
      <c r="T1647" s="33">
        <f>IFERROR(__xludf.DUMMYFUNCTION("""COMPUTED_VALUE"""),1.0)</f>
        <v>1</v>
      </c>
      <c r="U1647" s="4" t="str">
        <f>IFERROR(__xludf.DUMMYFUNCTION("""COMPUTED_VALUE"""),"Saipos Serviços De Software")</f>
        <v>Saipos Serviços De Software</v>
      </c>
      <c r="V1647" s="33">
        <f>IFERROR(__xludf.DUMMYFUNCTION("""COMPUTED_VALUE"""),1.0)</f>
        <v>1</v>
      </c>
      <c r="W1647" s="4" t="str">
        <f>IFERROR(__xludf.DUMMYFUNCTION("""COMPUTED_VALUE"""),"Saipos Serviços De Software")</f>
        <v>Saipos Serviços De Software</v>
      </c>
      <c r="X1647" s="33">
        <f>IFERROR(__xludf.DUMMYFUNCTION("""COMPUTED_VALUE"""),1.0)</f>
        <v>1</v>
      </c>
    </row>
    <row r="1648">
      <c r="K1648" s="4" t="str">
        <f>IFERROR(__xludf.DUMMYFUNCTION("""COMPUTED_VALUE"""),"CANTINA GHIOTTO")</f>
        <v>CANTINA GHIOTTO</v>
      </c>
      <c r="L1648" s="32">
        <f>IFERROR(__xludf.DUMMYFUNCTION("""COMPUTED_VALUE"""),5.0)</f>
        <v>5</v>
      </c>
      <c r="M1648" s="4" t="str">
        <f>IFERROR(__xludf.DUMMYFUNCTION("""COMPUTED_VALUE"""),"Saipos Serviços De Software")</f>
        <v>Saipos Serviços De Software</v>
      </c>
      <c r="N1648" s="33">
        <f>IFERROR(__xludf.DUMMYFUNCTION("""COMPUTED_VALUE"""),1.0)</f>
        <v>1</v>
      </c>
      <c r="O1648" s="4" t="str">
        <f>IFERROR(__xludf.DUMMYFUNCTION("""COMPUTED_VALUE"""),"Saipos Serviços De Software")</f>
        <v>Saipos Serviços De Software</v>
      </c>
      <c r="P1648" s="33">
        <f>IFERROR(__xludf.DUMMYFUNCTION("""COMPUTED_VALUE"""),1.0)</f>
        <v>1</v>
      </c>
      <c r="Q1648" s="4" t="str">
        <f>IFERROR(__xludf.DUMMYFUNCTION("""COMPUTED_VALUE"""),"Saipos Serviços De Software")</f>
        <v>Saipos Serviços De Software</v>
      </c>
      <c r="R1648" s="33">
        <f>IFERROR(__xludf.DUMMYFUNCTION("""COMPUTED_VALUE"""),1.0)</f>
        <v>1</v>
      </c>
      <c r="S1648" s="4" t="str">
        <f>IFERROR(__xludf.DUMMYFUNCTION("""COMPUTED_VALUE"""),"Saipos Serviços De Software")</f>
        <v>Saipos Serviços De Software</v>
      </c>
      <c r="T1648" s="33">
        <f>IFERROR(__xludf.DUMMYFUNCTION("""COMPUTED_VALUE"""),1.0)</f>
        <v>1</v>
      </c>
      <c r="U1648" s="4" t="str">
        <f>IFERROR(__xludf.DUMMYFUNCTION("""COMPUTED_VALUE"""),"Saipos Serviços De Software")</f>
        <v>Saipos Serviços De Software</v>
      </c>
      <c r="V1648" s="33">
        <f>IFERROR(__xludf.DUMMYFUNCTION("""COMPUTED_VALUE"""),1.0)</f>
        <v>1</v>
      </c>
      <c r="W1648" s="4" t="str">
        <f>IFERROR(__xludf.DUMMYFUNCTION("""COMPUTED_VALUE"""),"Saipos Serviços De Software")</f>
        <v>Saipos Serviços De Software</v>
      </c>
      <c r="X1648" s="33">
        <f>IFERROR(__xludf.DUMMYFUNCTION("""COMPUTED_VALUE"""),1.0)</f>
        <v>1</v>
      </c>
    </row>
    <row r="1649">
      <c r="K1649" s="4" t="str">
        <f>IFERROR(__xludf.DUMMYFUNCTION("""COMPUTED_VALUE"""),"CASA DO COUVERT")</f>
        <v>CASA DO COUVERT</v>
      </c>
      <c r="L1649" s="32">
        <f>IFERROR(__xludf.DUMMYFUNCTION("""COMPUTED_VALUE"""),5.0)</f>
        <v>5</v>
      </c>
      <c r="M1649" s="4" t="str">
        <f>IFERROR(__xludf.DUMMYFUNCTION("""COMPUTED_VALUE"""),"Menew - Linx")</f>
        <v>Menew - Linx</v>
      </c>
      <c r="N1649" s="33">
        <f>IFERROR(__xludf.DUMMYFUNCTION("""COMPUTED_VALUE"""),1.0)</f>
        <v>1</v>
      </c>
      <c r="O1649" s="4" t="str">
        <f>IFERROR(__xludf.DUMMYFUNCTION("""COMPUTED_VALUE"""),"Menew - Linx")</f>
        <v>Menew - Linx</v>
      </c>
      <c r="P1649" s="33">
        <f>IFERROR(__xludf.DUMMYFUNCTION("""COMPUTED_VALUE"""),1.0)</f>
        <v>1</v>
      </c>
      <c r="Q1649" s="4" t="str">
        <f>IFERROR(__xludf.DUMMYFUNCTION("""COMPUTED_VALUE"""),"Menew - Linx")</f>
        <v>Menew - Linx</v>
      </c>
      <c r="R1649" s="33">
        <f>IFERROR(__xludf.DUMMYFUNCTION("""COMPUTED_VALUE"""),0.8)</f>
        <v>0.8</v>
      </c>
      <c r="S1649" s="4" t="str">
        <f>IFERROR(__xludf.DUMMYFUNCTION("""COMPUTED_VALUE"""),"Menew - Linx")</f>
        <v>Menew - Linx</v>
      </c>
      <c r="T1649" s="33">
        <f>IFERROR(__xludf.DUMMYFUNCTION("""COMPUTED_VALUE"""),1.0)</f>
        <v>1</v>
      </c>
      <c r="U1649" s="4" t="str">
        <f>IFERROR(__xludf.DUMMYFUNCTION("""COMPUTED_VALUE"""),"Menew - Linx")</f>
        <v>Menew - Linx</v>
      </c>
      <c r="V1649" s="33">
        <f>IFERROR(__xludf.DUMMYFUNCTION("""COMPUTED_VALUE"""),1.0)</f>
        <v>1</v>
      </c>
      <c r="W1649" s="4" t="str">
        <f>IFERROR(__xludf.DUMMYFUNCTION("""COMPUTED_VALUE"""),"Menew - Linx")</f>
        <v>Menew - Linx</v>
      </c>
      <c r="X1649" s="33">
        <f>IFERROR(__xludf.DUMMYFUNCTION("""COMPUTED_VALUE"""),0.6)</f>
        <v>0.6</v>
      </c>
    </row>
    <row r="1650">
      <c r="K1650" s="4" t="str">
        <f>IFERROR(__xludf.DUMMYFUNCTION("""COMPUTED_VALUE"""),"CASA TURCA")</f>
        <v>CASA TURCA</v>
      </c>
      <c r="L1650" s="32">
        <f>IFERROR(__xludf.DUMMYFUNCTION("""COMPUTED_VALUE"""),5.0)</f>
        <v>5</v>
      </c>
      <c r="M1650" s="4" t="str">
        <f>IFERROR(__xludf.DUMMYFUNCTION("""COMPUTED_VALUE"""),"Hubster")</f>
        <v>Hubster</v>
      </c>
      <c r="N1650" s="33">
        <f>IFERROR(__xludf.DUMMYFUNCTION("""COMPUTED_VALUE"""),1.0)</f>
        <v>1</v>
      </c>
      <c r="O1650" s="4" t="str">
        <f>IFERROR(__xludf.DUMMYFUNCTION("""COMPUTED_VALUE"""),"Hubster")</f>
        <v>Hubster</v>
      </c>
      <c r="P1650" s="33">
        <f>IFERROR(__xludf.DUMMYFUNCTION("""COMPUTED_VALUE"""),1.0)</f>
        <v>1</v>
      </c>
      <c r="Q1650" s="4" t="str">
        <f>IFERROR(__xludf.DUMMYFUNCTION("""COMPUTED_VALUE"""),"Hubster")</f>
        <v>Hubster</v>
      </c>
      <c r="R1650" s="33">
        <f>IFERROR(__xludf.DUMMYFUNCTION("""COMPUTED_VALUE"""),1.0)</f>
        <v>1</v>
      </c>
      <c r="S1650" s="4" t="str">
        <f>IFERROR(__xludf.DUMMYFUNCTION("""COMPUTED_VALUE"""),"Hubster")</f>
        <v>Hubster</v>
      </c>
      <c r="T1650" s="33">
        <f>IFERROR(__xludf.DUMMYFUNCTION("""COMPUTED_VALUE"""),0.8)</f>
        <v>0.8</v>
      </c>
      <c r="U1650" s="4" t="str">
        <f>IFERROR(__xludf.DUMMYFUNCTION("""COMPUTED_VALUE"""),"Hubster")</f>
        <v>Hubster</v>
      </c>
      <c r="V1650" s="33">
        <f>IFERROR(__xludf.DUMMYFUNCTION("""COMPUTED_VALUE"""),1.0)</f>
        <v>1</v>
      </c>
      <c r="W1650" s="4" t="str">
        <f>IFERROR(__xludf.DUMMYFUNCTION("""COMPUTED_VALUE"""),"Hubster")</f>
        <v>Hubster</v>
      </c>
      <c r="X1650" s="33">
        <f>IFERROR(__xludf.DUMMYFUNCTION("""COMPUTED_VALUE"""),0.8)</f>
        <v>0.8</v>
      </c>
    </row>
    <row r="1651">
      <c r="K1651" s="4" t="str">
        <f>IFERROR(__xludf.DUMMYFUNCTION("""COMPUTED_VALUE"""),"CAZA DA PIZZA CUIABA")</f>
        <v>CAZA DA PIZZA CUIABA</v>
      </c>
      <c r="L1651" s="32">
        <f>IFERROR(__xludf.DUMMYFUNCTION("""COMPUTED_VALUE"""),5.0)</f>
        <v>5</v>
      </c>
      <c r="M1651" s="4" t="str">
        <f>IFERROR(__xludf.DUMMYFUNCTION("""COMPUTED_VALUE"""),"null")</f>
        <v>null</v>
      </c>
      <c r="N1651" s="33">
        <f>IFERROR(__xludf.DUMMYFUNCTION("""COMPUTED_VALUE"""),1.0)</f>
        <v>1</v>
      </c>
      <c r="O1651" s="4" t="str">
        <f>IFERROR(__xludf.DUMMYFUNCTION("""COMPUTED_VALUE"""),"Gestor Food")</f>
        <v>Gestor Food</v>
      </c>
      <c r="P1651" s="33">
        <f>IFERROR(__xludf.DUMMYFUNCTION("""COMPUTED_VALUE"""),0.8)</f>
        <v>0.8</v>
      </c>
      <c r="Q1651" s="4" t="str">
        <f>IFERROR(__xludf.DUMMYFUNCTION("""COMPUTED_VALUE"""),"Gestor Food")</f>
        <v>Gestor Food</v>
      </c>
      <c r="R1651" s="33">
        <f>IFERROR(__xludf.DUMMYFUNCTION("""COMPUTED_VALUE"""),1.0)</f>
        <v>1</v>
      </c>
      <c r="S1651" s="4" t="str">
        <f>IFERROR(__xludf.DUMMYFUNCTION("""COMPUTED_VALUE"""),"null")</f>
        <v>null</v>
      </c>
      <c r="T1651" s="33">
        <f>IFERROR(__xludf.DUMMYFUNCTION("""COMPUTED_VALUE"""),0.6)</f>
        <v>0.6</v>
      </c>
      <c r="U1651" s="4" t="str">
        <f>IFERROR(__xludf.DUMMYFUNCTION("""COMPUTED_VALUE"""),"null")</f>
        <v>null</v>
      </c>
      <c r="V1651" s="33">
        <f>IFERROR(__xludf.DUMMYFUNCTION("""COMPUTED_VALUE"""),0.6)</f>
        <v>0.6</v>
      </c>
      <c r="W1651" s="4" t="str">
        <f>IFERROR(__xludf.DUMMYFUNCTION("""COMPUTED_VALUE"""),"null")</f>
        <v>null</v>
      </c>
      <c r="X1651" s="33">
        <f>IFERROR(__xludf.DUMMYFUNCTION("""COMPUTED_VALUE"""),0.4)</f>
        <v>0.4</v>
      </c>
    </row>
    <row r="1652">
      <c r="K1652" s="4" t="str">
        <f>IFERROR(__xludf.DUMMYFUNCTION("""COMPUTED_VALUE"""),"CHARLES DOG")</f>
        <v>CHARLES DOG</v>
      </c>
      <c r="L1652" s="32">
        <f>IFERROR(__xludf.DUMMYFUNCTION("""COMPUTED_VALUE"""),5.0)</f>
        <v>5</v>
      </c>
      <c r="M1652" s="4" t="str">
        <f>IFERROR(__xludf.DUMMYFUNCTION("""COMPUTED_VALUE"""),"Eclética Tecnologia")</f>
        <v>Eclética Tecnologia</v>
      </c>
      <c r="N1652" s="33">
        <f>IFERROR(__xludf.DUMMYFUNCTION("""COMPUTED_VALUE"""),0.8)</f>
        <v>0.8</v>
      </c>
      <c r="O1652" s="4" t="str">
        <f>IFERROR(__xludf.DUMMYFUNCTION("""COMPUTED_VALUE"""),"Eclética Tecnologia")</f>
        <v>Eclética Tecnologia</v>
      </c>
      <c r="P1652" s="33">
        <f>IFERROR(__xludf.DUMMYFUNCTION("""COMPUTED_VALUE"""),0.8)</f>
        <v>0.8</v>
      </c>
      <c r="Q1652" s="4" t="str">
        <f>IFERROR(__xludf.DUMMYFUNCTION("""COMPUTED_VALUE"""),"Eclética Tecnologia")</f>
        <v>Eclética Tecnologia</v>
      </c>
      <c r="R1652" s="33">
        <f>IFERROR(__xludf.DUMMYFUNCTION("""COMPUTED_VALUE"""),1.0)</f>
        <v>1</v>
      </c>
      <c r="S1652" s="4" t="str">
        <f>IFERROR(__xludf.DUMMYFUNCTION("""COMPUTED_VALUE"""),"Eclética Tecnologia")</f>
        <v>Eclética Tecnologia</v>
      </c>
      <c r="T1652" s="33">
        <f>IFERROR(__xludf.DUMMYFUNCTION("""COMPUTED_VALUE"""),1.0)</f>
        <v>1</v>
      </c>
      <c r="U1652" s="4" t="str">
        <f>IFERROR(__xludf.DUMMYFUNCTION("""COMPUTED_VALUE"""),"Eclética Tecnologia")</f>
        <v>Eclética Tecnologia</v>
      </c>
      <c r="V1652" s="33">
        <f>IFERROR(__xludf.DUMMYFUNCTION("""COMPUTED_VALUE"""),0.8)</f>
        <v>0.8</v>
      </c>
      <c r="W1652" s="4" t="str">
        <f>IFERROR(__xludf.DUMMYFUNCTION("""COMPUTED_VALUE"""),"Eclética Tecnologia")</f>
        <v>Eclética Tecnologia</v>
      </c>
      <c r="X1652" s="33">
        <f>IFERROR(__xludf.DUMMYFUNCTION("""COMPUTED_VALUE"""),0.8)</f>
        <v>0.8</v>
      </c>
    </row>
    <row r="1653">
      <c r="K1653" s="4" t="str">
        <f>IFERROR(__xludf.DUMMYFUNCTION("""COMPUTED_VALUE"""),"CHEF FANTONI")</f>
        <v>CHEF FANTONI</v>
      </c>
      <c r="L1653" s="32">
        <f>IFERROR(__xludf.DUMMYFUNCTION("""COMPUTED_VALUE"""),5.0)</f>
        <v>5</v>
      </c>
      <c r="M1653" s="4" t="str">
        <f>IFERROR(__xludf.DUMMYFUNCTION("""COMPUTED_VALUE"""),"Delivoro")</f>
        <v>Delivoro</v>
      </c>
      <c r="N1653" s="33">
        <f>IFERROR(__xludf.DUMMYFUNCTION("""COMPUTED_VALUE"""),1.0)</f>
        <v>1</v>
      </c>
      <c r="O1653" s="4" t="str">
        <f>IFERROR(__xludf.DUMMYFUNCTION("""COMPUTED_VALUE"""),"Delivoro")</f>
        <v>Delivoro</v>
      </c>
      <c r="P1653" s="33">
        <f>IFERROR(__xludf.DUMMYFUNCTION("""COMPUTED_VALUE"""),0.8)</f>
        <v>0.8</v>
      </c>
      <c r="Q1653" s="4" t="str">
        <f>IFERROR(__xludf.DUMMYFUNCTION("""COMPUTED_VALUE"""),"Delivoro")</f>
        <v>Delivoro</v>
      </c>
      <c r="R1653" s="33">
        <f>IFERROR(__xludf.DUMMYFUNCTION("""COMPUTED_VALUE"""),0.8)</f>
        <v>0.8</v>
      </c>
      <c r="S1653" s="4" t="str">
        <f>IFERROR(__xludf.DUMMYFUNCTION("""COMPUTED_VALUE"""),"Delivoro")</f>
        <v>Delivoro</v>
      </c>
      <c r="T1653" s="33">
        <f>IFERROR(__xludf.DUMMYFUNCTION("""COMPUTED_VALUE"""),0.8)</f>
        <v>0.8</v>
      </c>
      <c r="U1653" s="4" t="str">
        <f>IFERROR(__xludf.DUMMYFUNCTION("""COMPUTED_VALUE"""),"Delivoro")</f>
        <v>Delivoro</v>
      </c>
      <c r="V1653" s="33">
        <f>IFERROR(__xludf.DUMMYFUNCTION("""COMPUTED_VALUE"""),0.8)</f>
        <v>0.8</v>
      </c>
      <c r="W1653" s="4" t="str">
        <f>IFERROR(__xludf.DUMMYFUNCTION("""COMPUTED_VALUE"""),"Delivoro")</f>
        <v>Delivoro</v>
      </c>
      <c r="X1653" s="33">
        <f>IFERROR(__xludf.DUMMYFUNCTION("""COMPUTED_VALUE"""),0.8)</f>
        <v>0.8</v>
      </c>
    </row>
    <row r="1654">
      <c r="K1654" s="4" t="str">
        <f>IFERROR(__xludf.DUMMYFUNCTION("""COMPUTED_VALUE"""),"CHEF WALDEMAR")</f>
        <v>CHEF WALDEMAR</v>
      </c>
      <c r="L1654" s="32">
        <f>IFERROR(__xludf.DUMMYFUNCTION("""COMPUTED_VALUE"""),5.0)</f>
        <v>5</v>
      </c>
      <c r="M1654" s="4" t="str">
        <f>IFERROR(__xludf.DUMMYFUNCTION("""COMPUTED_VALUE"""),"Ksi Tecnologia")</f>
        <v>Ksi Tecnologia</v>
      </c>
      <c r="N1654" s="33">
        <f>IFERROR(__xludf.DUMMYFUNCTION("""COMPUTED_VALUE"""),1.0)</f>
        <v>1</v>
      </c>
      <c r="O1654" s="4" t="str">
        <f>IFERROR(__xludf.DUMMYFUNCTION("""COMPUTED_VALUE"""),"Ksi Tecnologia")</f>
        <v>Ksi Tecnologia</v>
      </c>
      <c r="P1654" s="33">
        <f>IFERROR(__xludf.DUMMYFUNCTION("""COMPUTED_VALUE"""),1.0)</f>
        <v>1</v>
      </c>
      <c r="Q1654" s="4" t="str">
        <f>IFERROR(__xludf.DUMMYFUNCTION("""COMPUTED_VALUE"""),"Ksi Tecnologia")</f>
        <v>Ksi Tecnologia</v>
      </c>
      <c r="R1654" s="33">
        <f>IFERROR(__xludf.DUMMYFUNCTION("""COMPUTED_VALUE"""),0.8)</f>
        <v>0.8</v>
      </c>
      <c r="S1654" s="4" t="str">
        <f>IFERROR(__xludf.DUMMYFUNCTION("""COMPUTED_VALUE"""),"Ksi Tecnologia")</f>
        <v>Ksi Tecnologia</v>
      </c>
      <c r="T1654" s="33">
        <f>IFERROR(__xludf.DUMMYFUNCTION("""COMPUTED_VALUE"""),1.0)</f>
        <v>1</v>
      </c>
      <c r="U1654" s="4" t="str">
        <f>IFERROR(__xludf.DUMMYFUNCTION("""COMPUTED_VALUE"""),"Ksi Tecnologia")</f>
        <v>Ksi Tecnologia</v>
      </c>
      <c r="V1654" s="33">
        <f>IFERROR(__xludf.DUMMYFUNCTION("""COMPUTED_VALUE"""),1.0)</f>
        <v>1</v>
      </c>
      <c r="W1654" s="4" t="str">
        <f>IFERROR(__xludf.DUMMYFUNCTION("""COMPUTED_VALUE"""),"Ksi Tecnologia")</f>
        <v>Ksi Tecnologia</v>
      </c>
      <c r="X1654" s="33">
        <f>IFERROR(__xludf.DUMMYFUNCTION("""COMPUTED_VALUE"""),1.0)</f>
        <v>1</v>
      </c>
    </row>
    <row r="1655">
      <c r="K1655" s="4" t="str">
        <f>IFERROR(__xludf.DUMMYFUNCTION("""COMPUTED_VALUE"""),"CHICKEN BEER")</f>
        <v>CHICKEN BEER</v>
      </c>
      <c r="L1655" s="32">
        <f>IFERROR(__xludf.DUMMYFUNCTION("""COMPUTED_VALUE"""),5.0)</f>
        <v>5</v>
      </c>
      <c r="M1655" s="4" t="str">
        <f>IFERROR(__xludf.DUMMYFUNCTION("""COMPUTED_VALUE"""),"Latech Informatica Ltda")</f>
        <v>Latech Informatica Ltda</v>
      </c>
      <c r="N1655" s="33">
        <f>IFERROR(__xludf.DUMMYFUNCTION("""COMPUTED_VALUE"""),0.8)</f>
        <v>0.8</v>
      </c>
      <c r="O1655" s="4" t="str">
        <f>IFERROR(__xludf.DUMMYFUNCTION("""COMPUTED_VALUE"""),"Latech Informatica Ltda")</f>
        <v>Latech Informatica Ltda</v>
      </c>
      <c r="P1655" s="33">
        <f>IFERROR(__xludf.DUMMYFUNCTION("""COMPUTED_VALUE"""),0.8)</f>
        <v>0.8</v>
      </c>
      <c r="Q1655" s="4" t="str">
        <f>IFERROR(__xludf.DUMMYFUNCTION("""COMPUTED_VALUE"""),"Latech Informatica Ltda")</f>
        <v>Latech Informatica Ltda</v>
      </c>
      <c r="R1655" s="33">
        <f>IFERROR(__xludf.DUMMYFUNCTION("""COMPUTED_VALUE"""),0.8)</f>
        <v>0.8</v>
      </c>
      <c r="S1655" s="4" t="str">
        <f>IFERROR(__xludf.DUMMYFUNCTION("""COMPUTED_VALUE"""),"Latech Informatica Ltda")</f>
        <v>Latech Informatica Ltda</v>
      </c>
      <c r="T1655" s="33">
        <f>IFERROR(__xludf.DUMMYFUNCTION("""COMPUTED_VALUE"""),0.8)</f>
        <v>0.8</v>
      </c>
      <c r="U1655" s="4" t="str">
        <f>IFERROR(__xludf.DUMMYFUNCTION("""COMPUTED_VALUE"""),"Latech Informatica Ltda")</f>
        <v>Latech Informatica Ltda</v>
      </c>
      <c r="V1655" s="33">
        <f>IFERROR(__xludf.DUMMYFUNCTION("""COMPUTED_VALUE"""),0.8)</f>
        <v>0.8</v>
      </c>
      <c r="W1655" s="4" t="str">
        <f>IFERROR(__xludf.DUMMYFUNCTION("""COMPUTED_VALUE"""),"Latech Informatica Ltda")</f>
        <v>Latech Informatica Ltda</v>
      </c>
      <c r="X1655" s="33">
        <f>IFERROR(__xludf.DUMMYFUNCTION("""COMPUTED_VALUE"""),0.8)</f>
        <v>0.8</v>
      </c>
    </row>
    <row r="1656">
      <c r="K1656" s="4" t="str">
        <f>IFERROR(__xludf.DUMMYFUNCTION("""COMPUTED_VALUE"""),"CHUN-LI - CONTA PAI")</f>
        <v>CHUN-LI - CONTA PAI</v>
      </c>
      <c r="L1656" s="32">
        <f>IFERROR(__xludf.DUMMYFUNCTION("""COMPUTED_VALUE"""),5.0)</f>
        <v>5</v>
      </c>
      <c r="M1656" s="4" t="str">
        <f>IFERROR(__xludf.DUMMYFUNCTION("""COMPUTED_VALUE"""),"Eclética Tecnologia")</f>
        <v>Eclética Tecnologia</v>
      </c>
      <c r="N1656" s="33">
        <f>IFERROR(__xludf.DUMMYFUNCTION("""COMPUTED_VALUE"""),1.0)</f>
        <v>1</v>
      </c>
      <c r="O1656" s="4" t="str">
        <f>IFERROR(__xludf.DUMMYFUNCTION("""COMPUTED_VALUE"""),"null")</f>
        <v>null</v>
      </c>
      <c r="P1656" s="33">
        <f>IFERROR(__xludf.DUMMYFUNCTION("""COMPUTED_VALUE"""),0.6)</f>
        <v>0.6</v>
      </c>
      <c r="Q1656" s="4" t="str">
        <f>IFERROR(__xludf.DUMMYFUNCTION("""COMPUTED_VALUE"""),"null")</f>
        <v>null</v>
      </c>
      <c r="R1656" s="33">
        <f>IFERROR(__xludf.DUMMYFUNCTION("""COMPUTED_VALUE"""),0.6)</f>
        <v>0.6</v>
      </c>
      <c r="S1656" s="4" t="str">
        <f>IFERROR(__xludf.DUMMYFUNCTION("""COMPUTED_VALUE"""),"Eclética Tecnologia")</f>
        <v>Eclética Tecnologia</v>
      </c>
      <c r="T1656" s="33">
        <f>IFERROR(__xludf.DUMMYFUNCTION("""COMPUTED_VALUE"""),0.8)</f>
        <v>0.8</v>
      </c>
      <c r="U1656" s="4" t="str">
        <f>IFERROR(__xludf.DUMMYFUNCTION("""COMPUTED_VALUE"""),"Eclética Tecnologia")</f>
        <v>Eclética Tecnologia</v>
      </c>
      <c r="V1656" s="33">
        <f>IFERROR(__xludf.DUMMYFUNCTION("""COMPUTED_VALUE"""),0.6)</f>
        <v>0.6</v>
      </c>
      <c r="W1656" s="4" t="str">
        <f>IFERROR(__xludf.DUMMYFUNCTION("""COMPUTED_VALUE"""),"Eclética Tecnologia")</f>
        <v>Eclética Tecnologia</v>
      </c>
      <c r="X1656" s="33">
        <f>IFERROR(__xludf.DUMMYFUNCTION("""COMPUTED_VALUE"""),0.6)</f>
        <v>0.6</v>
      </c>
    </row>
    <row r="1657">
      <c r="K1657" s="4" t="str">
        <f>IFERROR(__xludf.DUMMYFUNCTION("""COMPUTED_VALUE"""),"CIA PAULISTA")</f>
        <v>CIA PAULISTA</v>
      </c>
      <c r="L1657" s="32">
        <f>IFERROR(__xludf.DUMMYFUNCTION("""COMPUTED_VALUE"""),5.0)</f>
        <v>5</v>
      </c>
      <c r="M1657" s="4" t="str">
        <f>IFERROR(__xludf.DUMMYFUNCTION("""COMPUTED_VALUE"""),"null")</f>
        <v>null</v>
      </c>
      <c r="N1657" s="33">
        <f>IFERROR(__xludf.DUMMYFUNCTION("""COMPUTED_VALUE"""),0.4)</f>
        <v>0.4</v>
      </c>
      <c r="O1657" s="4" t="str">
        <f>IFERROR(__xludf.DUMMYFUNCTION("""COMPUTED_VALUE"""),"null")</f>
        <v>null</v>
      </c>
      <c r="P1657" s="33">
        <f>IFERROR(__xludf.DUMMYFUNCTION("""COMPUTED_VALUE"""),0.4)</f>
        <v>0.4</v>
      </c>
      <c r="Q1657" s="4" t="str">
        <f>IFERROR(__xludf.DUMMYFUNCTION("""COMPUTED_VALUE"""),"null")</f>
        <v>null</v>
      </c>
      <c r="R1657" s="33">
        <f>IFERROR(__xludf.DUMMYFUNCTION("""COMPUTED_VALUE"""),0.4)</f>
        <v>0.4</v>
      </c>
      <c r="S1657" s="4" t="str">
        <f>IFERROR(__xludf.DUMMYFUNCTION("""COMPUTED_VALUE"""),"Saipos Serviços De Software")</f>
        <v>Saipos Serviços De Software</v>
      </c>
      <c r="T1657" s="33">
        <f>IFERROR(__xludf.DUMMYFUNCTION("""COMPUTED_VALUE"""),0.4)</f>
        <v>0.4</v>
      </c>
      <c r="U1657" s="4" t="str">
        <f>IFERROR(__xludf.DUMMYFUNCTION("""COMPUTED_VALUE"""),"Saipos Serviços De Software")</f>
        <v>Saipos Serviços De Software</v>
      </c>
      <c r="V1657" s="33">
        <f>IFERROR(__xludf.DUMMYFUNCTION("""COMPUTED_VALUE"""),0.6)</f>
        <v>0.6</v>
      </c>
      <c r="W1657" s="4" t="str">
        <f>IFERROR(__xludf.DUMMYFUNCTION("""COMPUTED_VALUE"""),"Saipos Serviços De Software")</f>
        <v>Saipos Serviços De Software</v>
      </c>
      <c r="X1657" s="33">
        <f>IFERROR(__xludf.DUMMYFUNCTION("""COMPUTED_VALUE"""),0.6)</f>
        <v>0.6</v>
      </c>
    </row>
    <row r="1658">
      <c r="K1658" s="4" t="str">
        <f>IFERROR(__xludf.DUMMYFUNCTION("""COMPUTED_VALUE"""),"CLASSEFARMA DROGARIAS ABC - GRUPO")</f>
        <v>CLASSEFARMA DROGARIAS ABC - GRUPO</v>
      </c>
      <c r="L1658" s="32">
        <f>IFERROR(__xludf.DUMMYFUNCTION("""COMPUTED_VALUE"""),5.0)</f>
        <v>5</v>
      </c>
      <c r="M1658" s="4" t="str">
        <f>IFERROR(__xludf.DUMMYFUNCTION("""COMPUTED_VALUE"""),"N/A (Not found)")</f>
        <v>N/A (Not found)</v>
      </c>
      <c r="N1658" s="33">
        <f>IFERROR(__xludf.DUMMYFUNCTION("""COMPUTED_VALUE"""),1.0)</f>
        <v>1</v>
      </c>
      <c r="O1658" s="4" t="str">
        <f>IFERROR(__xludf.DUMMYFUNCTION("""COMPUTED_VALUE"""),"N/A (Not found)")</f>
        <v>N/A (Not found)</v>
      </c>
      <c r="P1658" s="33">
        <f>IFERROR(__xludf.DUMMYFUNCTION("""COMPUTED_VALUE"""),1.0)</f>
        <v>1</v>
      </c>
      <c r="Q1658" s="4" t="str">
        <f>IFERROR(__xludf.DUMMYFUNCTION("""COMPUTED_VALUE"""),"N/A (Not found)")</f>
        <v>N/A (Not found)</v>
      </c>
      <c r="R1658" s="33">
        <f>IFERROR(__xludf.DUMMYFUNCTION("""COMPUTED_VALUE"""),1.0)</f>
        <v>1</v>
      </c>
      <c r="S1658" s="4" t="str">
        <f>IFERROR(__xludf.DUMMYFUNCTION("""COMPUTED_VALUE"""),"N/A (Not found)")</f>
        <v>N/A (Not found)</v>
      </c>
      <c r="T1658" s="33">
        <f>IFERROR(__xludf.DUMMYFUNCTION("""COMPUTED_VALUE"""),1.0)</f>
        <v>1</v>
      </c>
      <c r="U1658" s="4" t="str">
        <f>IFERROR(__xludf.DUMMYFUNCTION("""COMPUTED_VALUE"""),"N/A (Not found)")</f>
        <v>N/A (Not found)</v>
      </c>
      <c r="V1658" s="33">
        <f>IFERROR(__xludf.DUMMYFUNCTION("""COMPUTED_VALUE"""),1.0)</f>
        <v>1</v>
      </c>
      <c r="W1658" s="4" t="str">
        <f>IFERROR(__xludf.DUMMYFUNCTION("""COMPUTED_VALUE"""),"null")</f>
        <v>null</v>
      </c>
      <c r="X1658" s="33">
        <f>IFERROR(__xludf.DUMMYFUNCTION("""COMPUTED_VALUE"""),0.8)</f>
        <v>0.8</v>
      </c>
    </row>
    <row r="1659">
      <c r="K1659" s="4" t="str">
        <f>IFERROR(__xludf.DUMMYFUNCTION("""COMPUTED_VALUE"""),"CLUBE DA PIZZA DELIVERY")</f>
        <v>CLUBE DA PIZZA DELIVERY</v>
      </c>
      <c r="L1659" s="32">
        <f>IFERROR(__xludf.DUMMYFUNCTION("""COMPUTED_VALUE"""),5.0)</f>
        <v>5</v>
      </c>
      <c r="M1659" s="4" t="str">
        <f>IFERROR(__xludf.DUMMYFUNCTION("""COMPUTED_VALUE"""),"Cityfoods Ltda")</f>
        <v>Cityfoods Ltda</v>
      </c>
      <c r="N1659" s="33">
        <f>IFERROR(__xludf.DUMMYFUNCTION("""COMPUTED_VALUE"""),1.0)</f>
        <v>1</v>
      </c>
      <c r="O1659" s="4" t="str">
        <f>IFERROR(__xludf.DUMMYFUNCTION("""COMPUTED_VALUE"""),"Cityfoods Ltda")</f>
        <v>Cityfoods Ltda</v>
      </c>
      <c r="P1659" s="33">
        <f>IFERROR(__xludf.DUMMYFUNCTION("""COMPUTED_VALUE"""),1.0)</f>
        <v>1</v>
      </c>
      <c r="Q1659" s="4" t="str">
        <f>IFERROR(__xludf.DUMMYFUNCTION("""COMPUTED_VALUE"""),"Cityfoods Ltda")</f>
        <v>Cityfoods Ltda</v>
      </c>
      <c r="R1659" s="33">
        <f>IFERROR(__xludf.DUMMYFUNCTION("""COMPUTED_VALUE"""),1.0)</f>
        <v>1</v>
      </c>
      <c r="S1659" s="4" t="str">
        <f>IFERROR(__xludf.DUMMYFUNCTION("""COMPUTED_VALUE"""),"Cityfoods Ltda")</f>
        <v>Cityfoods Ltda</v>
      </c>
      <c r="T1659" s="33">
        <f>IFERROR(__xludf.DUMMYFUNCTION("""COMPUTED_VALUE"""),1.0)</f>
        <v>1</v>
      </c>
      <c r="U1659" s="4" t="str">
        <f>IFERROR(__xludf.DUMMYFUNCTION("""COMPUTED_VALUE"""),"Cityfoods Ltda")</f>
        <v>Cityfoods Ltda</v>
      </c>
      <c r="V1659" s="33">
        <f>IFERROR(__xludf.DUMMYFUNCTION("""COMPUTED_VALUE"""),1.0)</f>
        <v>1</v>
      </c>
      <c r="W1659" s="4" t="str">
        <f>IFERROR(__xludf.DUMMYFUNCTION("""COMPUTED_VALUE"""),"Cityfoods Ltda")</f>
        <v>Cityfoods Ltda</v>
      </c>
      <c r="X1659" s="33">
        <f>IFERROR(__xludf.DUMMYFUNCTION("""COMPUTED_VALUE"""),1.0)</f>
        <v>1</v>
      </c>
    </row>
    <row r="1660">
      <c r="K1660" s="4" t="str">
        <f>IFERROR(__xludf.DUMMYFUNCTION("""COMPUTED_VALUE"""),"COMIDA CASEIRA DO JORRINHO")</f>
        <v>COMIDA CASEIRA DO JORRINHO</v>
      </c>
      <c r="L1660" s="32">
        <f>IFERROR(__xludf.DUMMYFUNCTION("""COMPUTED_VALUE"""),5.0)</f>
        <v>5</v>
      </c>
      <c r="M1660" s="4" t="str">
        <f>IFERROR(__xludf.DUMMYFUNCTION("""COMPUTED_VALUE"""),"Saipos Serviços De Software")</f>
        <v>Saipos Serviços De Software</v>
      </c>
      <c r="N1660" s="33">
        <f>IFERROR(__xludf.DUMMYFUNCTION("""COMPUTED_VALUE"""),0.8)</f>
        <v>0.8</v>
      </c>
      <c r="O1660" s="4" t="str">
        <f>IFERROR(__xludf.DUMMYFUNCTION("""COMPUTED_VALUE"""),"Saipos Serviços De Software")</f>
        <v>Saipos Serviços De Software</v>
      </c>
      <c r="P1660" s="33">
        <f>IFERROR(__xludf.DUMMYFUNCTION("""COMPUTED_VALUE"""),0.8)</f>
        <v>0.8</v>
      </c>
      <c r="Q1660" s="4" t="str">
        <f>IFERROR(__xludf.DUMMYFUNCTION("""COMPUTED_VALUE"""),"Saipos Serviços De Software")</f>
        <v>Saipos Serviços De Software</v>
      </c>
      <c r="R1660" s="33">
        <f>IFERROR(__xludf.DUMMYFUNCTION("""COMPUTED_VALUE"""),0.8)</f>
        <v>0.8</v>
      </c>
      <c r="S1660" s="4" t="str">
        <f>IFERROR(__xludf.DUMMYFUNCTION("""COMPUTED_VALUE"""),"Saipos Serviços De Software")</f>
        <v>Saipos Serviços De Software</v>
      </c>
      <c r="T1660" s="33">
        <f>IFERROR(__xludf.DUMMYFUNCTION("""COMPUTED_VALUE"""),1.0)</f>
        <v>1</v>
      </c>
      <c r="U1660" s="4" t="str">
        <f>IFERROR(__xludf.DUMMYFUNCTION("""COMPUTED_VALUE"""),"Saipos Serviços De Software")</f>
        <v>Saipos Serviços De Software</v>
      </c>
      <c r="V1660" s="33">
        <f>IFERROR(__xludf.DUMMYFUNCTION("""COMPUTED_VALUE"""),0.8)</f>
        <v>0.8</v>
      </c>
      <c r="W1660" s="4" t="str">
        <f>IFERROR(__xludf.DUMMYFUNCTION("""COMPUTED_VALUE"""),"Saipos Serviços De Software")</f>
        <v>Saipos Serviços De Software</v>
      </c>
      <c r="X1660" s="33">
        <f>IFERROR(__xludf.DUMMYFUNCTION("""COMPUTED_VALUE"""),0.8)</f>
        <v>0.8</v>
      </c>
    </row>
    <row r="1661">
      <c r="K1661" s="4" t="str">
        <f>IFERROR(__xludf.DUMMYFUNCTION("""COMPUTED_VALUE"""),"COMPACTOR MARCA")</f>
        <v>COMPACTOR MARCA</v>
      </c>
      <c r="L1661" s="32">
        <f>IFERROR(__xludf.DUMMYFUNCTION("""COMPUTED_VALUE"""),5.0)</f>
        <v>5</v>
      </c>
      <c r="M1661" s="4" t="str">
        <f>IFERROR(__xludf.DUMMYFUNCTION("""COMPUTED_VALUE"""),"N/A (Not found)")</f>
        <v>N/A (Not found)</v>
      </c>
      <c r="N1661" s="33">
        <f>IFERROR(__xludf.DUMMYFUNCTION("""COMPUTED_VALUE"""),0.6)</f>
        <v>0.6</v>
      </c>
      <c r="O1661" s="4" t="str">
        <f>IFERROR(__xludf.DUMMYFUNCTION("""COMPUTED_VALUE"""),"N/A (Not found)")</f>
        <v>N/A (Not found)</v>
      </c>
      <c r="P1661" s="33">
        <f>IFERROR(__xludf.DUMMYFUNCTION("""COMPUTED_VALUE"""),0.8)</f>
        <v>0.8</v>
      </c>
      <c r="Q1661" s="4" t="str">
        <f>IFERROR(__xludf.DUMMYFUNCTION("""COMPUTED_VALUE"""),"N/A (Not found)")</f>
        <v>N/A (Not found)</v>
      </c>
      <c r="R1661" s="33">
        <f>IFERROR(__xludf.DUMMYFUNCTION("""COMPUTED_VALUE"""),0.6)</f>
        <v>0.6</v>
      </c>
      <c r="S1661" s="4" t="str">
        <f>IFERROR(__xludf.DUMMYFUNCTION("""COMPUTED_VALUE"""),"null")</f>
        <v>null</v>
      </c>
      <c r="T1661" s="33">
        <f>IFERROR(__xludf.DUMMYFUNCTION("""COMPUTED_VALUE"""),0.8)</f>
        <v>0.8</v>
      </c>
      <c r="U1661" s="4" t="str">
        <f>IFERROR(__xludf.DUMMYFUNCTION("""COMPUTED_VALUE"""),"N/A (Not found)")</f>
        <v>N/A (Not found)</v>
      </c>
      <c r="V1661" s="33">
        <f>IFERROR(__xludf.DUMMYFUNCTION("""COMPUTED_VALUE"""),0.6)</f>
        <v>0.6</v>
      </c>
      <c r="W1661" s="4" t="str">
        <f>IFERROR(__xludf.DUMMYFUNCTION("""COMPUTED_VALUE"""),"N/A (Not found)")</f>
        <v>N/A (Not found)</v>
      </c>
      <c r="X1661" s="33">
        <f>IFERROR(__xludf.DUMMYFUNCTION("""COMPUTED_VALUE"""),0.6)</f>
        <v>0.6</v>
      </c>
    </row>
    <row r="1662">
      <c r="K1662" s="4" t="str">
        <f>IFERROR(__xludf.DUMMYFUNCTION("""COMPUTED_VALUE"""),"CONFEITARIA DAMA")</f>
        <v>CONFEITARIA DAMA</v>
      </c>
      <c r="L1662" s="32">
        <f>IFERROR(__xludf.DUMMYFUNCTION("""COMPUTED_VALUE"""),5.0)</f>
        <v>5</v>
      </c>
      <c r="M1662" s="4" t="str">
        <f>IFERROR(__xludf.DUMMYFUNCTION("""COMPUTED_VALUE"""),"null")</f>
        <v>null</v>
      </c>
      <c r="N1662" s="33">
        <f>IFERROR(__xludf.DUMMYFUNCTION("""COMPUTED_VALUE"""),1.0)</f>
        <v>1</v>
      </c>
      <c r="O1662" s="4" t="str">
        <f>IFERROR(__xludf.DUMMYFUNCTION("""COMPUTED_VALUE"""),"null")</f>
        <v>null</v>
      </c>
      <c r="P1662" s="33">
        <f>IFERROR(__xludf.DUMMYFUNCTION("""COMPUTED_VALUE"""),1.0)</f>
        <v>1</v>
      </c>
      <c r="Q1662" s="4" t="str">
        <f>IFERROR(__xludf.DUMMYFUNCTION("""COMPUTED_VALUE"""),"null")</f>
        <v>null</v>
      </c>
      <c r="R1662" s="33">
        <f>IFERROR(__xludf.DUMMYFUNCTION("""COMPUTED_VALUE"""),1.0)</f>
        <v>1</v>
      </c>
      <c r="S1662" s="4" t="str">
        <f>IFERROR(__xludf.DUMMYFUNCTION("""COMPUTED_VALUE"""),"null")</f>
        <v>null</v>
      </c>
      <c r="T1662" s="33">
        <f>IFERROR(__xludf.DUMMYFUNCTION("""COMPUTED_VALUE"""),1.0)</f>
        <v>1</v>
      </c>
      <c r="U1662" s="4" t="str">
        <f>IFERROR(__xludf.DUMMYFUNCTION("""COMPUTED_VALUE"""),"null")</f>
        <v>null</v>
      </c>
      <c r="V1662" s="33">
        <f>IFERROR(__xludf.DUMMYFUNCTION("""COMPUTED_VALUE"""),0.8)</f>
        <v>0.8</v>
      </c>
      <c r="W1662" s="4" t="str">
        <f>IFERROR(__xludf.DUMMYFUNCTION("""COMPUTED_VALUE"""),"Teknisa Service Ltda")</f>
        <v>Teknisa Service Ltda</v>
      </c>
      <c r="X1662" s="33">
        <f>IFERROR(__xludf.DUMMYFUNCTION("""COMPUTED_VALUE"""),1.0)</f>
        <v>1</v>
      </c>
    </row>
    <row r="1663">
      <c r="K1663" s="4" t="str">
        <f>IFERROR(__xludf.DUMMYFUNCTION("""COMPUTED_VALUE"""),"GRUPO CONFEITARIA DAMA")</f>
        <v>GRUPO CONFEITARIA DAMA</v>
      </c>
      <c r="L1663" s="32">
        <f>IFERROR(__xludf.DUMMYFUNCTION("""COMPUTED_VALUE"""),5.0)</f>
        <v>5</v>
      </c>
      <c r="M1663" s="4" t="str">
        <f>IFERROR(__xludf.DUMMYFUNCTION("""COMPUTED_VALUE"""),"null")</f>
        <v>null</v>
      </c>
      <c r="N1663" s="33">
        <f>IFERROR(__xludf.DUMMYFUNCTION("""COMPUTED_VALUE"""),1.0)</f>
        <v>1</v>
      </c>
      <c r="O1663" s="4" t="str">
        <f>IFERROR(__xludf.DUMMYFUNCTION("""COMPUTED_VALUE"""),"null")</f>
        <v>null</v>
      </c>
      <c r="P1663" s="33">
        <f>IFERROR(__xludf.DUMMYFUNCTION("""COMPUTED_VALUE"""),1.0)</f>
        <v>1</v>
      </c>
      <c r="Q1663" s="4" t="str">
        <f>IFERROR(__xludf.DUMMYFUNCTION("""COMPUTED_VALUE"""),"null")</f>
        <v>null</v>
      </c>
      <c r="R1663" s="33">
        <f>IFERROR(__xludf.DUMMYFUNCTION("""COMPUTED_VALUE"""),1.0)</f>
        <v>1</v>
      </c>
      <c r="S1663" s="4" t="str">
        <f>IFERROR(__xludf.DUMMYFUNCTION("""COMPUTED_VALUE"""),"null")</f>
        <v>null</v>
      </c>
      <c r="T1663" s="33">
        <f>IFERROR(__xludf.DUMMYFUNCTION("""COMPUTED_VALUE"""),1.0)</f>
        <v>1</v>
      </c>
      <c r="U1663" s="4" t="str">
        <f>IFERROR(__xludf.DUMMYFUNCTION("""COMPUTED_VALUE"""),"null")</f>
        <v>null</v>
      </c>
      <c r="V1663" s="33">
        <f>IFERROR(__xludf.DUMMYFUNCTION("""COMPUTED_VALUE"""),0.8)</f>
        <v>0.8</v>
      </c>
      <c r="W1663" s="4" t="str">
        <f>IFERROR(__xludf.DUMMYFUNCTION("""COMPUTED_VALUE"""),"Teknisa Service Ltda")</f>
        <v>Teknisa Service Ltda</v>
      </c>
      <c r="X1663" s="33">
        <f>IFERROR(__xludf.DUMMYFUNCTION("""COMPUTED_VALUE"""),1.0)</f>
        <v>1</v>
      </c>
    </row>
    <row r="1664">
      <c r="K1664" s="4" t="str">
        <f>IFERROR(__xludf.DUMMYFUNCTION("""COMPUTED_VALUE"""),"COSTELLA - CP")</f>
        <v>COSTELLA - CP</v>
      </c>
      <c r="L1664" s="32">
        <f>IFERROR(__xludf.DUMMYFUNCTION("""COMPUTED_VALUE"""),5.0)</f>
        <v>5</v>
      </c>
      <c r="M1664" s="4" t="str">
        <f>IFERROR(__xludf.DUMMYFUNCTION("""COMPUTED_VALUE"""),"null")</f>
        <v>null</v>
      </c>
      <c r="N1664" s="33">
        <f>IFERROR(__xludf.DUMMYFUNCTION("""COMPUTED_VALUE"""),1.0)</f>
        <v>1</v>
      </c>
      <c r="O1664" s="4" t="str">
        <f>IFERROR(__xludf.DUMMYFUNCTION("""COMPUTED_VALUE"""),"null")</f>
        <v>null</v>
      </c>
      <c r="P1664" s="33">
        <f>IFERROR(__xludf.DUMMYFUNCTION("""COMPUTED_VALUE"""),1.0)</f>
        <v>1</v>
      </c>
      <c r="Q1664" s="4" t="str">
        <f>IFERROR(__xludf.DUMMYFUNCTION("""COMPUTED_VALUE"""),"null")</f>
        <v>null</v>
      </c>
      <c r="R1664" s="33">
        <f>IFERROR(__xludf.DUMMYFUNCTION("""COMPUTED_VALUE"""),1.0)</f>
        <v>1</v>
      </c>
      <c r="S1664" s="4" t="str">
        <f>IFERROR(__xludf.DUMMYFUNCTION("""COMPUTED_VALUE"""),"null")</f>
        <v>null</v>
      </c>
      <c r="T1664" s="33">
        <f>IFERROR(__xludf.DUMMYFUNCTION("""COMPUTED_VALUE"""),1.0)</f>
        <v>1</v>
      </c>
      <c r="U1664" s="4" t="str">
        <f>IFERROR(__xludf.DUMMYFUNCTION("""COMPUTED_VALUE"""),"null")</f>
        <v>null</v>
      </c>
      <c r="V1664" s="33">
        <f>IFERROR(__xludf.DUMMYFUNCTION("""COMPUTED_VALUE"""),1.0)</f>
        <v>1</v>
      </c>
      <c r="W1664" s="4" t="str">
        <f>IFERROR(__xludf.DUMMYFUNCTION("""COMPUTED_VALUE"""),"Saipos Serviços De Software")</f>
        <v>Saipos Serviços De Software</v>
      </c>
      <c r="X1664" s="33">
        <f>IFERROR(__xludf.DUMMYFUNCTION("""COMPUTED_VALUE"""),1.0)</f>
        <v>1</v>
      </c>
    </row>
    <row r="1665">
      <c r="K1665" s="4" t="str">
        <f>IFERROR(__xludf.DUMMYFUNCTION("""COMPUTED_VALUE"""),"COXINHA DA HORA - CONTA MARCA")</f>
        <v>COXINHA DA HORA - CONTA MARCA</v>
      </c>
      <c r="L1665" s="32">
        <f>IFERROR(__xludf.DUMMYFUNCTION("""COMPUTED_VALUE"""),5.0)</f>
        <v>5</v>
      </c>
      <c r="M1665" s="4" t="str">
        <f>IFERROR(__xludf.DUMMYFUNCTION("""COMPUTED_VALUE"""),"Eclética Tecnologia")</f>
        <v>Eclética Tecnologia</v>
      </c>
      <c r="N1665" s="33">
        <f>IFERROR(__xludf.DUMMYFUNCTION("""COMPUTED_VALUE"""),0.8)</f>
        <v>0.8</v>
      </c>
      <c r="O1665" s="4" t="str">
        <f>IFERROR(__xludf.DUMMYFUNCTION("""COMPUTED_VALUE"""),"Eclética Tecnologia")</f>
        <v>Eclética Tecnologia</v>
      </c>
      <c r="P1665" s="33">
        <f>IFERROR(__xludf.DUMMYFUNCTION("""COMPUTED_VALUE"""),1.0)</f>
        <v>1</v>
      </c>
      <c r="Q1665" s="4" t="str">
        <f>IFERROR(__xludf.DUMMYFUNCTION("""COMPUTED_VALUE"""),"Eclética Tecnologia")</f>
        <v>Eclética Tecnologia</v>
      </c>
      <c r="R1665" s="33">
        <f>IFERROR(__xludf.DUMMYFUNCTION("""COMPUTED_VALUE"""),1.0)</f>
        <v>1</v>
      </c>
      <c r="S1665" s="4" t="str">
        <f>IFERROR(__xludf.DUMMYFUNCTION("""COMPUTED_VALUE"""),"Eclética Tecnologia")</f>
        <v>Eclética Tecnologia</v>
      </c>
      <c r="T1665" s="33">
        <f>IFERROR(__xludf.DUMMYFUNCTION("""COMPUTED_VALUE"""),1.0)</f>
        <v>1</v>
      </c>
      <c r="U1665" s="4" t="str">
        <f>IFERROR(__xludf.DUMMYFUNCTION("""COMPUTED_VALUE"""),"Eclética Tecnologia")</f>
        <v>Eclética Tecnologia</v>
      </c>
      <c r="V1665" s="33">
        <f>IFERROR(__xludf.DUMMYFUNCTION("""COMPUTED_VALUE"""),0.8)</f>
        <v>0.8</v>
      </c>
      <c r="W1665" s="4" t="str">
        <f>IFERROR(__xludf.DUMMYFUNCTION("""COMPUTED_VALUE"""),"Eclética Tecnologia")</f>
        <v>Eclética Tecnologia</v>
      </c>
      <c r="X1665" s="33">
        <f>IFERROR(__xludf.DUMMYFUNCTION("""COMPUTED_VALUE"""),0.6)</f>
        <v>0.6</v>
      </c>
    </row>
    <row r="1666">
      <c r="K1666" s="4" t="str">
        <f>IFERROR(__xludf.DUMMYFUNCTION("""COMPUTED_VALUE"""),"CUPIM DO PAULIM")</f>
        <v>CUPIM DO PAULIM</v>
      </c>
      <c r="L1666" s="32">
        <f>IFERROR(__xludf.DUMMYFUNCTION("""COMPUTED_VALUE"""),5.0)</f>
        <v>5</v>
      </c>
      <c r="M1666" s="4" t="str">
        <f>IFERROR(__xludf.DUMMYFUNCTION("""COMPUTED_VALUE"""),"Totvs Large Enterprise Tecnologia S.a.")</f>
        <v>Totvs Large Enterprise Tecnologia S.a.</v>
      </c>
      <c r="N1666" s="33">
        <f>IFERROR(__xludf.DUMMYFUNCTION("""COMPUTED_VALUE"""),0.8)</f>
        <v>0.8</v>
      </c>
      <c r="O1666" s="4" t="str">
        <f>IFERROR(__xludf.DUMMYFUNCTION("""COMPUTED_VALUE"""),"Takeat Tecnologia")</f>
        <v>Takeat Tecnologia</v>
      </c>
      <c r="P1666" s="33">
        <f>IFERROR(__xludf.DUMMYFUNCTION("""COMPUTED_VALUE"""),0.4)</f>
        <v>0.4</v>
      </c>
      <c r="Q1666" s="4" t="str">
        <f>IFERROR(__xludf.DUMMYFUNCTION("""COMPUTED_VALUE"""),"Takeat Tecnologia")</f>
        <v>Takeat Tecnologia</v>
      </c>
      <c r="R1666" s="33">
        <f>IFERROR(__xludf.DUMMYFUNCTION("""COMPUTED_VALUE"""),0.8)</f>
        <v>0.8</v>
      </c>
      <c r="S1666" s="4" t="str">
        <f>IFERROR(__xludf.DUMMYFUNCTION("""COMPUTED_VALUE"""),"Takeat Tecnologia")</f>
        <v>Takeat Tecnologia</v>
      </c>
      <c r="T1666" s="33">
        <f>IFERROR(__xludf.DUMMYFUNCTION("""COMPUTED_VALUE"""),0.8)</f>
        <v>0.8</v>
      </c>
      <c r="U1666" s="4" t="str">
        <f>IFERROR(__xludf.DUMMYFUNCTION("""COMPUTED_VALUE"""),"Takeat Tecnologia")</f>
        <v>Takeat Tecnologia</v>
      </c>
      <c r="V1666" s="33">
        <f>IFERROR(__xludf.DUMMYFUNCTION("""COMPUTED_VALUE"""),1.0)</f>
        <v>1</v>
      </c>
      <c r="W1666" s="4" t="str">
        <f>IFERROR(__xludf.DUMMYFUNCTION("""COMPUTED_VALUE"""),"Takeat Tecnologia")</f>
        <v>Takeat Tecnologia</v>
      </c>
      <c r="X1666" s="33">
        <f>IFERROR(__xludf.DUMMYFUNCTION("""COMPUTED_VALUE"""),1.0)</f>
        <v>1</v>
      </c>
    </row>
    <row r="1667">
      <c r="K1667" s="4" t="str">
        <f>IFERROR(__xludf.DUMMYFUNCTION("""COMPUTED_VALUE"""),"D ESFIHAS MATRIZ")</f>
        <v>D ESFIHAS MATRIZ</v>
      </c>
      <c r="L1667" s="32">
        <f>IFERROR(__xludf.DUMMYFUNCTION("""COMPUTED_VALUE"""),5.0)</f>
        <v>5</v>
      </c>
      <c r="M1667" s="4" t="str">
        <f>IFERROR(__xludf.DUMMYFUNCTION("""COMPUTED_VALUE"""),"Zip Software")</f>
        <v>Zip Software</v>
      </c>
      <c r="N1667" s="33">
        <f>IFERROR(__xludf.DUMMYFUNCTION("""COMPUTED_VALUE"""),0.6)</f>
        <v>0.6</v>
      </c>
      <c r="O1667" s="4" t="str">
        <f>IFERROR(__xludf.DUMMYFUNCTION("""COMPUTED_VALUE"""),"Zip Software")</f>
        <v>Zip Software</v>
      </c>
      <c r="P1667" s="33">
        <f>IFERROR(__xludf.DUMMYFUNCTION("""COMPUTED_VALUE"""),0.6)</f>
        <v>0.6</v>
      </c>
      <c r="Q1667" s="4" t="str">
        <f>IFERROR(__xludf.DUMMYFUNCTION("""COMPUTED_VALUE"""),"Zip Software")</f>
        <v>Zip Software</v>
      </c>
      <c r="R1667" s="33">
        <f>IFERROR(__xludf.DUMMYFUNCTION("""COMPUTED_VALUE"""),0.8)</f>
        <v>0.8</v>
      </c>
      <c r="S1667" s="4" t="str">
        <f>IFERROR(__xludf.DUMMYFUNCTION("""COMPUTED_VALUE"""),"Zip Software")</f>
        <v>Zip Software</v>
      </c>
      <c r="T1667" s="33">
        <f>IFERROR(__xludf.DUMMYFUNCTION("""COMPUTED_VALUE"""),0.8)</f>
        <v>0.8</v>
      </c>
      <c r="U1667" s="4" t="str">
        <f>IFERROR(__xludf.DUMMYFUNCTION("""COMPUTED_VALUE"""),"Zip Software")</f>
        <v>Zip Software</v>
      </c>
      <c r="V1667" s="33">
        <f>IFERROR(__xludf.DUMMYFUNCTION("""COMPUTED_VALUE"""),0.8)</f>
        <v>0.8</v>
      </c>
      <c r="W1667" s="4" t="str">
        <f>IFERROR(__xludf.DUMMYFUNCTION("""COMPUTED_VALUE"""),"Zip Software")</f>
        <v>Zip Software</v>
      </c>
      <c r="X1667" s="33">
        <f>IFERROR(__xludf.DUMMYFUNCTION("""COMPUTED_VALUE"""),0.8)</f>
        <v>0.8</v>
      </c>
    </row>
    <row r="1668">
      <c r="K1668" s="4" t="str">
        <f>IFERROR(__xludf.DUMMYFUNCTION("""COMPUTED_VALUE"""),"DABOK - KOREAN FOOD")</f>
        <v>DABOK - KOREAN FOOD</v>
      </c>
      <c r="L1668" s="32">
        <f>IFERROR(__xludf.DUMMYFUNCTION("""COMPUTED_VALUE"""),5.0)</f>
        <v>5</v>
      </c>
      <c r="M1668" s="4" t="str">
        <f>IFERROR(__xludf.DUMMYFUNCTION("""COMPUTED_VALUE"""),"Saipos Serviços De Software")</f>
        <v>Saipos Serviços De Software</v>
      </c>
      <c r="N1668" s="33">
        <f>IFERROR(__xludf.DUMMYFUNCTION("""COMPUTED_VALUE"""),1.0)</f>
        <v>1</v>
      </c>
      <c r="O1668" s="4" t="str">
        <f>IFERROR(__xludf.DUMMYFUNCTION("""COMPUTED_VALUE"""),"Saipos Serviços De Software")</f>
        <v>Saipos Serviços De Software</v>
      </c>
      <c r="P1668" s="33">
        <f>IFERROR(__xludf.DUMMYFUNCTION("""COMPUTED_VALUE"""),1.0)</f>
        <v>1</v>
      </c>
      <c r="Q1668" s="4" t="str">
        <f>IFERROR(__xludf.DUMMYFUNCTION("""COMPUTED_VALUE"""),"Saipos Serviços De Software")</f>
        <v>Saipos Serviços De Software</v>
      </c>
      <c r="R1668" s="33">
        <f>IFERROR(__xludf.DUMMYFUNCTION("""COMPUTED_VALUE"""),1.0)</f>
        <v>1</v>
      </c>
      <c r="S1668" s="4" t="str">
        <f>IFERROR(__xludf.DUMMYFUNCTION("""COMPUTED_VALUE"""),"Saipos Serviços De Software")</f>
        <v>Saipos Serviços De Software</v>
      </c>
      <c r="T1668" s="33">
        <f>IFERROR(__xludf.DUMMYFUNCTION("""COMPUTED_VALUE"""),1.0)</f>
        <v>1</v>
      </c>
      <c r="U1668" s="4" t="str">
        <f>IFERROR(__xludf.DUMMYFUNCTION("""COMPUTED_VALUE"""),"Saipos Serviços De Software")</f>
        <v>Saipos Serviços De Software</v>
      </c>
      <c r="V1668" s="33">
        <f>IFERROR(__xludf.DUMMYFUNCTION("""COMPUTED_VALUE"""),1.0)</f>
        <v>1</v>
      </c>
      <c r="W1668" s="4" t="str">
        <f>IFERROR(__xludf.DUMMYFUNCTION("""COMPUTED_VALUE"""),"Saipos Serviços De Software")</f>
        <v>Saipos Serviços De Software</v>
      </c>
      <c r="X1668" s="33">
        <f>IFERROR(__xludf.DUMMYFUNCTION("""COMPUTED_VALUE"""),1.0)</f>
        <v>1</v>
      </c>
    </row>
    <row r="1669">
      <c r="K1669" s="4" t="str">
        <f>IFERROR(__xludf.DUMMYFUNCTION("""COMPUTED_VALUE"""),"KATSUO E DAMON SUSHI")</f>
        <v>KATSUO E DAMON SUSHI</v>
      </c>
      <c r="L1669" s="32">
        <f>IFERROR(__xludf.DUMMYFUNCTION("""COMPUTED_VALUE"""),5.0)</f>
        <v>5</v>
      </c>
      <c r="M1669" s="4" t="str">
        <f>IFERROR(__xludf.DUMMYFUNCTION("""COMPUTED_VALUE"""),"Eclética Tecnologia")</f>
        <v>Eclética Tecnologia</v>
      </c>
      <c r="N1669" s="33">
        <f>IFERROR(__xludf.DUMMYFUNCTION("""COMPUTED_VALUE"""),1.0)</f>
        <v>1</v>
      </c>
      <c r="O1669" s="4" t="str">
        <f>IFERROR(__xludf.DUMMYFUNCTION("""COMPUTED_VALUE"""),"Eclética Tecnologia")</f>
        <v>Eclética Tecnologia</v>
      </c>
      <c r="P1669" s="33">
        <f>IFERROR(__xludf.DUMMYFUNCTION("""COMPUTED_VALUE"""),0.8)</f>
        <v>0.8</v>
      </c>
      <c r="Q1669" s="4" t="str">
        <f>IFERROR(__xludf.DUMMYFUNCTION("""COMPUTED_VALUE"""),"Eclética Tecnologia")</f>
        <v>Eclética Tecnologia</v>
      </c>
      <c r="R1669" s="33">
        <f>IFERROR(__xludf.DUMMYFUNCTION("""COMPUTED_VALUE"""),0.8)</f>
        <v>0.8</v>
      </c>
      <c r="S1669" s="4" t="str">
        <f>IFERROR(__xludf.DUMMYFUNCTION("""COMPUTED_VALUE"""),"null")</f>
        <v>null</v>
      </c>
      <c r="T1669" s="33">
        <f>IFERROR(__xludf.DUMMYFUNCTION("""COMPUTED_VALUE"""),1.0)</f>
        <v>1</v>
      </c>
      <c r="U1669" s="4" t="str">
        <f>IFERROR(__xludf.DUMMYFUNCTION("""COMPUTED_VALUE"""),"null")</f>
        <v>null</v>
      </c>
      <c r="V1669" s="33">
        <f>IFERROR(__xludf.DUMMYFUNCTION("""COMPUTED_VALUE"""),1.0)</f>
        <v>1</v>
      </c>
      <c r="W1669" s="4" t="str">
        <f>IFERROR(__xludf.DUMMYFUNCTION("""COMPUTED_VALUE"""),"null")</f>
        <v>null</v>
      </c>
      <c r="X1669" s="33">
        <f>IFERROR(__xludf.DUMMYFUNCTION("""COMPUTED_VALUE"""),1.0)</f>
        <v>1</v>
      </c>
    </row>
    <row r="1670">
      <c r="K1670" s="4" t="str">
        <f>IFERROR(__xludf.DUMMYFUNCTION("""COMPUTED_VALUE"""),"DBRESCIA")</f>
        <v>DBRESCIA</v>
      </c>
      <c r="L1670" s="32">
        <f>IFERROR(__xludf.DUMMYFUNCTION("""COMPUTED_VALUE"""),5.0)</f>
        <v>5</v>
      </c>
      <c r="M1670" s="4" t="str">
        <f>IFERROR(__xludf.DUMMYFUNCTION("""COMPUTED_VALUE"""),"Saipos Serviços De Software")</f>
        <v>Saipos Serviços De Software</v>
      </c>
      <c r="N1670" s="33">
        <f>IFERROR(__xludf.DUMMYFUNCTION("""COMPUTED_VALUE"""),0.6)</f>
        <v>0.6</v>
      </c>
      <c r="O1670" s="4" t="str">
        <f>IFERROR(__xludf.DUMMYFUNCTION("""COMPUTED_VALUE"""),"Saipos Serviços De Software")</f>
        <v>Saipos Serviços De Software</v>
      </c>
      <c r="P1670" s="33">
        <f>IFERROR(__xludf.DUMMYFUNCTION("""COMPUTED_VALUE"""),0.6)</f>
        <v>0.6</v>
      </c>
      <c r="Q1670" s="4" t="str">
        <f>IFERROR(__xludf.DUMMYFUNCTION("""COMPUTED_VALUE"""),"Saipos Serviços De Software")</f>
        <v>Saipos Serviços De Software</v>
      </c>
      <c r="R1670" s="33">
        <f>IFERROR(__xludf.DUMMYFUNCTION("""COMPUTED_VALUE"""),1.0)</f>
        <v>1</v>
      </c>
      <c r="S1670" s="4" t="str">
        <f>IFERROR(__xludf.DUMMYFUNCTION("""COMPUTED_VALUE"""),"Saipos Serviços De Software")</f>
        <v>Saipos Serviços De Software</v>
      </c>
      <c r="T1670" s="33">
        <f>IFERROR(__xludf.DUMMYFUNCTION("""COMPUTED_VALUE"""),1.0)</f>
        <v>1</v>
      </c>
      <c r="U1670" s="4" t="str">
        <f>IFERROR(__xludf.DUMMYFUNCTION("""COMPUTED_VALUE"""),"Saipos Serviços De Software")</f>
        <v>Saipos Serviços De Software</v>
      </c>
      <c r="V1670" s="33">
        <f>IFERROR(__xludf.DUMMYFUNCTION("""COMPUTED_VALUE"""),1.0)</f>
        <v>1</v>
      </c>
      <c r="W1670" s="4" t="str">
        <f>IFERROR(__xludf.DUMMYFUNCTION("""COMPUTED_VALUE"""),"Saipos Serviços De Software")</f>
        <v>Saipos Serviços De Software</v>
      </c>
      <c r="X1670" s="33">
        <f>IFERROR(__xludf.DUMMYFUNCTION("""COMPUTED_VALUE"""),1.0)</f>
        <v>1</v>
      </c>
    </row>
    <row r="1671">
      <c r="K1671" s="4" t="str">
        <f>IFERROR(__xludf.DUMMYFUNCTION("""COMPUTED_VALUE"""),"DNAPPOLI PIZZARIA")</f>
        <v>DNAPPOLI PIZZARIA</v>
      </c>
      <c r="L1671" s="32">
        <f>IFERROR(__xludf.DUMMYFUNCTION("""COMPUTED_VALUE"""),5.0)</f>
        <v>5</v>
      </c>
      <c r="M1671" s="4" t="str">
        <f>IFERROR(__xludf.DUMMYFUNCTION("""COMPUTED_VALUE"""),"Eclética Tecnologia")</f>
        <v>Eclética Tecnologia</v>
      </c>
      <c r="N1671" s="33">
        <f>IFERROR(__xludf.DUMMYFUNCTION("""COMPUTED_VALUE"""),1.0)</f>
        <v>1</v>
      </c>
      <c r="O1671" s="4" t="str">
        <f>IFERROR(__xludf.DUMMYFUNCTION("""COMPUTED_VALUE"""),"Eclética Tecnologia")</f>
        <v>Eclética Tecnologia</v>
      </c>
      <c r="P1671" s="33">
        <f>IFERROR(__xludf.DUMMYFUNCTION("""COMPUTED_VALUE"""),0.8)</f>
        <v>0.8</v>
      </c>
      <c r="Q1671" s="4" t="str">
        <f>IFERROR(__xludf.DUMMYFUNCTION("""COMPUTED_VALUE"""),"Eclética Tecnologia")</f>
        <v>Eclética Tecnologia</v>
      </c>
      <c r="R1671" s="33">
        <f>IFERROR(__xludf.DUMMYFUNCTION("""COMPUTED_VALUE"""),0.6)</f>
        <v>0.6</v>
      </c>
      <c r="S1671" s="4" t="str">
        <f>IFERROR(__xludf.DUMMYFUNCTION("""COMPUTED_VALUE"""),"Eclética Tecnologia")</f>
        <v>Eclética Tecnologia</v>
      </c>
      <c r="T1671" s="33">
        <f>IFERROR(__xludf.DUMMYFUNCTION("""COMPUTED_VALUE"""),1.0)</f>
        <v>1</v>
      </c>
      <c r="U1671" s="4" t="str">
        <f>IFERROR(__xludf.DUMMYFUNCTION("""COMPUTED_VALUE"""),"Eclética Tecnologia")</f>
        <v>Eclética Tecnologia</v>
      </c>
      <c r="V1671" s="33">
        <f>IFERROR(__xludf.DUMMYFUNCTION("""COMPUTED_VALUE"""),0.8)</f>
        <v>0.8</v>
      </c>
      <c r="W1671" s="4" t="str">
        <f>IFERROR(__xludf.DUMMYFUNCTION("""COMPUTED_VALUE"""),"Eclética Tecnologia")</f>
        <v>Eclética Tecnologia</v>
      </c>
      <c r="X1671" s="33">
        <f>IFERROR(__xludf.DUMMYFUNCTION("""COMPUTED_VALUE"""),1.0)</f>
        <v>1</v>
      </c>
    </row>
    <row r="1672">
      <c r="K1672" s="4" t="str">
        <f>IFERROR(__xludf.DUMMYFUNCTION("""COMPUTED_VALUE"""),"DOCE DOCE")</f>
        <v>DOCE DOCE</v>
      </c>
      <c r="L1672" s="32">
        <f>IFERROR(__xludf.DUMMYFUNCTION("""COMPUTED_VALUE"""),5.0)</f>
        <v>5</v>
      </c>
      <c r="M1672" s="4" t="str">
        <f>IFERROR(__xludf.DUMMYFUNCTION("""COMPUTED_VALUE"""),"null")</f>
        <v>null</v>
      </c>
      <c r="N1672" s="33">
        <f>IFERROR(__xludf.DUMMYFUNCTION("""COMPUTED_VALUE"""),1.0)</f>
        <v>1</v>
      </c>
      <c r="O1672" s="4" t="str">
        <f>IFERROR(__xludf.DUMMYFUNCTION("""COMPUTED_VALUE"""),"null")</f>
        <v>null</v>
      </c>
      <c r="P1672" s="33">
        <f>IFERROR(__xludf.DUMMYFUNCTION("""COMPUTED_VALUE"""),1.0)</f>
        <v>1</v>
      </c>
      <c r="Q1672" s="4" t="str">
        <f>IFERROR(__xludf.DUMMYFUNCTION("""COMPUTED_VALUE"""),"null")</f>
        <v>null</v>
      </c>
      <c r="R1672" s="33">
        <f>IFERROR(__xludf.DUMMYFUNCTION("""COMPUTED_VALUE"""),1.0)</f>
        <v>1</v>
      </c>
      <c r="S1672" s="4" t="str">
        <f>IFERROR(__xludf.DUMMYFUNCTION("""COMPUTED_VALUE"""),"null")</f>
        <v>null</v>
      </c>
      <c r="T1672" s="33">
        <f>IFERROR(__xludf.DUMMYFUNCTION("""COMPUTED_VALUE"""),1.0)</f>
        <v>1</v>
      </c>
      <c r="U1672" s="4" t="str">
        <f>IFERROR(__xludf.DUMMYFUNCTION("""COMPUTED_VALUE"""),"Teknisa Service Ltda")</f>
        <v>Teknisa Service Ltda</v>
      </c>
      <c r="V1672" s="33">
        <f>IFERROR(__xludf.DUMMYFUNCTION("""COMPUTED_VALUE"""),1.0)</f>
        <v>1</v>
      </c>
      <c r="W1672" s="4" t="str">
        <f>IFERROR(__xludf.DUMMYFUNCTION("""COMPUTED_VALUE"""),"Teknisa Service Ltda")</f>
        <v>Teknisa Service Ltda</v>
      </c>
      <c r="X1672" s="33">
        <f>IFERROR(__xludf.DUMMYFUNCTION("""COMPUTED_VALUE"""),0.8)</f>
        <v>0.8</v>
      </c>
    </row>
    <row r="1673">
      <c r="K1673" s="4" t="str">
        <f>IFERROR(__xludf.DUMMYFUNCTION("""COMPUTED_VALUE"""),"DOGAO PET SHOP - CONTA PAI")</f>
        <v>DOGAO PET SHOP - CONTA PAI</v>
      </c>
      <c r="L1673" s="32">
        <f>IFERROR(__xludf.DUMMYFUNCTION("""COMPUTED_VALUE"""),5.0)</f>
        <v>5</v>
      </c>
      <c r="M1673" s="4" t="str">
        <f>IFERROR(__xludf.DUMMYFUNCTION("""COMPUTED_VALUE"""),"N/A (Not found)")</f>
        <v>N/A (Not found)</v>
      </c>
      <c r="N1673" s="33">
        <f>IFERROR(__xludf.DUMMYFUNCTION("""COMPUTED_VALUE"""),1.0)</f>
        <v>1</v>
      </c>
      <c r="O1673" s="4" t="str">
        <f>IFERROR(__xludf.DUMMYFUNCTION("""COMPUTED_VALUE"""),"N/A (Not found)")</f>
        <v>N/A (Not found)</v>
      </c>
      <c r="P1673" s="33">
        <f>IFERROR(__xludf.DUMMYFUNCTION("""COMPUTED_VALUE"""),1.0)</f>
        <v>1</v>
      </c>
      <c r="Q1673" s="4" t="str">
        <f>IFERROR(__xludf.DUMMYFUNCTION("""COMPUTED_VALUE"""),"N/A (Not found)")</f>
        <v>N/A (Not found)</v>
      </c>
      <c r="R1673" s="33">
        <f>IFERROR(__xludf.DUMMYFUNCTION("""COMPUTED_VALUE"""),1.0)</f>
        <v>1</v>
      </c>
      <c r="S1673" s="4" t="str">
        <f>IFERROR(__xludf.DUMMYFUNCTION("""COMPUTED_VALUE"""),"N/A (Not found)")</f>
        <v>N/A (Not found)</v>
      </c>
      <c r="T1673" s="33">
        <f>IFERROR(__xludf.DUMMYFUNCTION("""COMPUTED_VALUE"""),1.0)</f>
        <v>1</v>
      </c>
      <c r="U1673" s="4" t="str">
        <f>IFERROR(__xludf.DUMMYFUNCTION("""COMPUTED_VALUE"""),"N/A (Not found)")</f>
        <v>N/A (Not found)</v>
      </c>
      <c r="V1673" s="33">
        <f>IFERROR(__xludf.DUMMYFUNCTION("""COMPUTED_VALUE"""),1.0)</f>
        <v>1</v>
      </c>
      <c r="W1673" s="4" t="str">
        <f>IFERROR(__xludf.DUMMYFUNCTION("""COMPUTED_VALUE"""),"N/A (Not found)")</f>
        <v>N/A (Not found)</v>
      </c>
      <c r="X1673" s="33">
        <f>IFERROR(__xludf.DUMMYFUNCTION("""COMPUTED_VALUE"""),1.0)</f>
        <v>1</v>
      </c>
    </row>
    <row r="1674">
      <c r="K1674" s="4" t="str">
        <f>IFERROR(__xludf.DUMMYFUNCTION("""COMPUTED_VALUE"""),"DOGAO PIAUI")</f>
        <v>DOGAO PIAUI</v>
      </c>
      <c r="L1674" s="32">
        <f>IFERROR(__xludf.DUMMYFUNCTION("""COMPUTED_VALUE"""),5.0)</f>
        <v>5</v>
      </c>
      <c r="M1674" s="4" t="str">
        <f>IFERROR(__xludf.DUMMYFUNCTION("""COMPUTED_VALUE"""),"Cooknet Automacao Comercial")</f>
        <v>Cooknet Automacao Comercial</v>
      </c>
      <c r="N1674" s="33">
        <f>IFERROR(__xludf.DUMMYFUNCTION("""COMPUTED_VALUE"""),1.0)</f>
        <v>1</v>
      </c>
      <c r="O1674" s="4" t="str">
        <f>IFERROR(__xludf.DUMMYFUNCTION("""COMPUTED_VALUE"""),"Cooknet Automacao Comercial")</f>
        <v>Cooknet Automacao Comercial</v>
      </c>
      <c r="P1674" s="33">
        <f>IFERROR(__xludf.DUMMYFUNCTION("""COMPUTED_VALUE"""),1.0)</f>
        <v>1</v>
      </c>
      <c r="Q1674" s="4" t="str">
        <f>IFERROR(__xludf.DUMMYFUNCTION("""COMPUTED_VALUE"""),"Cooknet Automacao Comercial")</f>
        <v>Cooknet Automacao Comercial</v>
      </c>
      <c r="R1674" s="33">
        <f>IFERROR(__xludf.DUMMYFUNCTION("""COMPUTED_VALUE"""),1.0)</f>
        <v>1</v>
      </c>
      <c r="S1674" s="4" t="str">
        <f>IFERROR(__xludf.DUMMYFUNCTION("""COMPUTED_VALUE"""),"Cooknet Automacao Comercial")</f>
        <v>Cooknet Automacao Comercial</v>
      </c>
      <c r="T1674" s="33">
        <f>IFERROR(__xludf.DUMMYFUNCTION("""COMPUTED_VALUE"""),1.0)</f>
        <v>1</v>
      </c>
      <c r="U1674" s="4" t="str">
        <f>IFERROR(__xludf.DUMMYFUNCTION("""COMPUTED_VALUE"""),"Cooknet Automacao Comercial")</f>
        <v>Cooknet Automacao Comercial</v>
      </c>
      <c r="V1674" s="33">
        <f>IFERROR(__xludf.DUMMYFUNCTION("""COMPUTED_VALUE"""),1.0)</f>
        <v>1</v>
      </c>
      <c r="W1674" s="4" t="str">
        <f>IFERROR(__xludf.DUMMYFUNCTION("""COMPUTED_VALUE"""),"Cooknet Automacao Comercial")</f>
        <v>Cooknet Automacao Comercial</v>
      </c>
      <c r="X1674" s="33">
        <f>IFERROR(__xludf.DUMMYFUNCTION("""COMPUTED_VALUE"""),1.0)</f>
        <v>1</v>
      </c>
    </row>
    <row r="1675">
      <c r="K1675" s="4" t="str">
        <f>IFERROR(__xludf.DUMMYFUNCTION("""COMPUTED_VALUE"""),"DOM RAFAEL PIZZARIA - CONTA MARCA")</f>
        <v>DOM RAFAEL PIZZARIA - CONTA MARCA</v>
      </c>
      <c r="L1675" s="32">
        <f>IFERROR(__xludf.DUMMYFUNCTION("""COMPUTED_VALUE"""),5.0)</f>
        <v>5</v>
      </c>
      <c r="M1675" s="4" t="str">
        <f>IFERROR(__xludf.DUMMYFUNCTION("""COMPUTED_VALUE"""),"Saipos Serviços De Software")</f>
        <v>Saipos Serviços De Software</v>
      </c>
      <c r="N1675" s="33">
        <f>IFERROR(__xludf.DUMMYFUNCTION("""COMPUTED_VALUE"""),1.0)</f>
        <v>1</v>
      </c>
      <c r="O1675" s="4" t="str">
        <f>IFERROR(__xludf.DUMMYFUNCTION("""COMPUTED_VALUE"""),"Saipos Serviços De Software")</f>
        <v>Saipos Serviços De Software</v>
      </c>
      <c r="P1675" s="33">
        <f>IFERROR(__xludf.DUMMYFUNCTION("""COMPUTED_VALUE"""),1.0)</f>
        <v>1</v>
      </c>
      <c r="Q1675" s="4" t="str">
        <f>IFERROR(__xludf.DUMMYFUNCTION("""COMPUTED_VALUE"""),"Saipos Serviços De Software")</f>
        <v>Saipos Serviços De Software</v>
      </c>
      <c r="R1675" s="33">
        <f>IFERROR(__xludf.DUMMYFUNCTION("""COMPUTED_VALUE"""),1.0)</f>
        <v>1</v>
      </c>
      <c r="S1675" s="4" t="str">
        <f>IFERROR(__xludf.DUMMYFUNCTION("""COMPUTED_VALUE"""),"Saipos Serviços De Software")</f>
        <v>Saipos Serviços De Software</v>
      </c>
      <c r="T1675" s="33">
        <f>IFERROR(__xludf.DUMMYFUNCTION("""COMPUTED_VALUE"""),1.0)</f>
        <v>1</v>
      </c>
      <c r="U1675" s="4" t="str">
        <f>IFERROR(__xludf.DUMMYFUNCTION("""COMPUTED_VALUE"""),"Saipos Serviços De Software")</f>
        <v>Saipos Serviços De Software</v>
      </c>
      <c r="V1675" s="33">
        <f>IFERROR(__xludf.DUMMYFUNCTION("""COMPUTED_VALUE"""),1.0)</f>
        <v>1</v>
      </c>
      <c r="W1675" s="4" t="str">
        <f>IFERROR(__xludf.DUMMYFUNCTION("""COMPUTED_VALUE"""),"Saipos Serviços De Software")</f>
        <v>Saipos Serviços De Software</v>
      </c>
      <c r="X1675" s="33">
        <f>IFERROR(__xludf.DUMMYFUNCTION("""COMPUTED_VALUE"""),1.0)</f>
        <v>1</v>
      </c>
    </row>
    <row r="1676">
      <c r="K1676" s="4" t="str">
        <f>IFERROR(__xludf.DUMMYFUNCTION("""COMPUTED_VALUE"""),"DOM VINI SC - CONTA MARCA")</f>
        <v>DOM VINI SC - CONTA MARCA</v>
      </c>
      <c r="L1676" s="32">
        <f>IFERROR(__xludf.DUMMYFUNCTION("""COMPUTED_VALUE"""),5.0)</f>
        <v>5</v>
      </c>
      <c r="M1676" s="4" t="str">
        <f>IFERROR(__xludf.DUMMYFUNCTION("""COMPUTED_VALUE"""),"Saipos Serviços De Software")</f>
        <v>Saipos Serviços De Software</v>
      </c>
      <c r="N1676" s="33">
        <f>IFERROR(__xludf.DUMMYFUNCTION("""COMPUTED_VALUE"""),0.8)</f>
        <v>0.8</v>
      </c>
      <c r="O1676" s="4" t="str">
        <f>IFERROR(__xludf.DUMMYFUNCTION("""COMPUTED_VALUE"""),"Saipos Serviços De Software")</f>
        <v>Saipos Serviços De Software</v>
      </c>
      <c r="P1676" s="33">
        <f>IFERROR(__xludf.DUMMYFUNCTION("""COMPUTED_VALUE"""),0.8)</f>
        <v>0.8</v>
      </c>
      <c r="Q1676" s="4" t="str">
        <f>IFERROR(__xludf.DUMMYFUNCTION("""COMPUTED_VALUE"""),"Saipos Serviços De Software")</f>
        <v>Saipos Serviços De Software</v>
      </c>
      <c r="R1676" s="33">
        <f>IFERROR(__xludf.DUMMYFUNCTION("""COMPUTED_VALUE"""),0.8)</f>
        <v>0.8</v>
      </c>
      <c r="S1676" s="4" t="str">
        <f>IFERROR(__xludf.DUMMYFUNCTION("""COMPUTED_VALUE"""),"Saipos Serviços De Software")</f>
        <v>Saipos Serviços De Software</v>
      </c>
      <c r="T1676" s="33">
        <f>IFERROR(__xludf.DUMMYFUNCTION("""COMPUTED_VALUE"""),0.8)</f>
        <v>0.8</v>
      </c>
      <c r="U1676" s="4" t="str">
        <f>IFERROR(__xludf.DUMMYFUNCTION("""COMPUTED_VALUE"""),"Saipos Serviços De Software")</f>
        <v>Saipos Serviços De Software</v>
      </c>
      <c r="V1676" s="33">
        <f>IFERROR(__xludf.DUMMYFUNCTION("""COMPUTED_VALUE"""),0.8)</f>
        <v>0.8</v>
      </c>
      <c r="W1676" s="4" t="str">
        <f>IFERROR(__xludf.DUMMYFUNCTION("""COMPUTED_VALUE"""),"Saipos Serviços De Software")</f>
        <v>Saipos Serviços De Software</v>
      </c>
      <c r="X1676" s="33">
        <f>IFERROR(__xludf.DUMMYFUNCTION("""COMPUTED_VALUE"""),0.8)</f>
        <v>0.8</v>
      </c>
    </row>
    <row r="1677">
      <c r="K1677" s="4" t="str">
        <f>IFERROR(__xludf.DUMMYFUNCTION("""COMPUTED_VALUE"""),"DON CARLOS")</f>
        <v>DON CARLOS</v>
      </c>
      <c r="L1677" s="32">
        <f>IFERROR(__xludf.DUMMYFUNCTION("""COMPUTED_VALUE"""),5.0)</f>
        <v>5</v>
      </c>
      <c r="M1677" s="4" t="str">
        <f>IFERROR(__xludf.DUMMYFUNCTION("""COMPUTED_VALUE"""),"Noah Sistemas Ltda")</f>
        <v>Noah Sistemas Ltda</v>
      </c>
      <c r="N1677" s="33">
        <f>IFERROR(__xludf.DUMMYFUNCTION("""COMPUTED_VALUE"""),1.0)</f>
        <v>1</v>
      </c>
      <c r="O1677" s="4" t="str">
        <f>IFERROR(__xludf.DUMMYFUNCTION("""COMPUTED_VALUE"""),"Noah Sistemas Ltda")</f>
        <v>Noah Sistemas Ltda</v>
      </c>
      <c r="P1677" s="33">
        <f>IFERROR(__xludf.DUMMYFUNCTION("""COMPUTED_VALUE"""),1.0)</f>
        <v>1</v>
      </c>
      <c r="Q1677" s="4" t="str">
        <f>IFERROR(__xludf.DUMMYFUNCTION("""COMPUTED_VALUE"""),"Noah Sistemas Ltda")</f>
        <v>Noah Sistemas Ltda</v>
      </c>
      <c r="R1677" s="33">
        <f>IFERROR(__xludf.DUMMYFUNCTION("""COMPUTED_VALUE"""),0.8)</f>
        <v>0.8</v>
      </c>
      <c r="S1677" s="4" t="str">
        <f>IFERROR(__xludf.DUMMYFUNCTION("""COMPUTED_VALUE"""),"Noah Sistemas Ltda")</f>
        <v>Noah Sistemas Ltda</v>
      </c>
      <c r="T1677" s="33">
        <f>IFERROR(__xludf.DUMMYFUNCTION("""COMPUTED_VALUE"""),0.8)</f>
        <v>0.8</v>
      </c>
      <c r="U1677" s="4" t="str">
        <f>IFERROR(__xludf.DUMMYFUNCTION("""COMPUTED_VALUE"""),"Noah Sistemas Ltda")</f>
        <v>Noah Sistemas Ltda</v>
      </c>
      <c r="V1677" s="33">
        <f>IFERROR(__xludf.DUMMYFUNCTION("""COMPUTED_VALUE"""),0.6)</f>
        <v>0.6</v>
      </c>
      <c r="W1677" s="4" t="str">
        <f>IFERROR(__xludf.DUMMYFUNCTION("""COMPUTED_VALUE"""),"Cardápio Web")</f>
        <v>Cardápio Web</v>
      </c>
      <c r="X1677" s="33">
        <f>IFERROR(__xludf.DUMMYFUNCTION("""COMPUTED_VALUE"""),0.6)</f>
        <v>0.6</v>
      </c>
    </row>
    <row r="1678">
      <c r="K1678" s="4" t="str">
        <f>IFERROR(__xludf.DUMMYFUNCTION("""COMPUTED_VALUE"""),"DONA FOOD FLOW")</f>
        <v>DONA FOOD FLOW</v>
      </c>
      <c r="L1678" s="32">
        <f>IFERROR(__xludf.DUMMYFUNCTION("""COMPUTED_VALUE"""),5.0)</f>
        <v>5</v>
      </c>
      <c r="M1678" s="4" t="str">
        <f>IFERROR(__xludf.DUMMYFUNCTION("""COMPUTED_VALUE"""),"Cardápio Web")</f>
        <v>Cardápio Web</v>
      </c>
      <c r="N1678" s="33">
        <f>IFERROR(__xludf.DUMMYFUNCTION("""COMPUTED_VALUE"""),0.8)</f>
        <v>0.8</v>
      </c>
      <c r="O1678" s="4" t="str">
        <f>IFERROR(__xludf.DUMMYFUNCTION("""COMPUTED_VALUE"""),"Cardápio Web")</f>
        <v>Cardápio Web</v>
      </c>
      <c r="P1678" s="33">
        <f>IFERROR(__xludf.DUMMYFUNCTION("""COMPUTED_VALUE"""),0.6)</f>
        <v>0.6</v>
      </c>
      <c r="Q1678" s="4" t="str">
        <f>IFERROR(__xludf.DUMMYFUNCTION("""COMPUTED_VALUE"""),"Cardápio Web")</f>
        <v>Cardápio Web</v>
      </c>
      <c r="R1678" s="33">
        <f>IFERROR(__xludf.DUMMYFUNCTION("""COMPUTED_VALUE"""),0.8)</f>
        <v>0.8</v>
      </c>
      <c r="S1678" s="4" t="str">
        <f>IFERROR(__xludf.DUMMYFUNCTION("""COMPUTED_VALUE"""),"Cardápio Web")</f>
        <v>Cardápio Web</v>
      </c>
      <c r="T1678" s="33">
        <f>IFERROR(__xludf.DUMMYFUNCTION("""COMPUTED_VALUE"""),0.6)</f>
        <v>0.6</v>
      </c>
      <c r="U1678" s="4" t="str">
        <f>IFERROR(__xludf.DUMMYFUNCTION("""COMPUTED_VALUE"""),"Cardápio Web")</f>
        <v>Cardápio Web</v>
      </c>
      <c r="V1678" s="33">
        <f>IFERROR(__xludf.DUMMYFUNCTION("""COMPUTED_VALUE"""),0.6)</f>
        <v>0.6</v>
      </c>
      <c r="W1678" s="4" t="str">
        <f>IFERROR(__xludf.DUMMYFUNCTION("""COMPUTED_VALUE"""),"Cardápio Web")</f>
        <v>Cardápio Web</v>
      </c>
      <c r="X1678" s="33">
        <f>IFERROR(__xludf.DUMMYFUNCTION("""COMPUTED_VALUE"""),0.6)</f>
        <v>0.6</v>
      </c>
    </row>
    <row r="1679">
      <c r="K1679" s="4" t="str">
        <f>IFERROR(__xludf.DUMMYFUNCTION("""COMPUTED_VALUE"""),"DOS SERTOES")</f>
        <v>DOS SERTOES</v>
      </c>
      <c r="L1679" s="32">
        <f>IFERROR(__xludf.DUMMYFUNCTION("""COMPUTED_VALUE"""),5.0)</f>
        <v>5</v>
      </c>
      <c r="M1679" s="4" t="str">
        <f>IFERROR(__xludf.DUMMYFUNCTION("""COMPUTED_VALUE"""),"F-rest Sistema Para Food Service Ltda")</f>
        <v>F-rest Sistema Para Food Service Ltda</v>
      </c>
      <c r="N1679" s="33">
        <f>IFERROR(__xludf.DUMMYFUNCTION("""COMPUTED_VALUE"""),1.0)</f>
        <v>1</v>
      </c>
      <c r="O1679" s="4" t="str">
        <f>IFERROR(__xludf.DUMMYFUNCTION("""COMPUTED_VALUE"""),"F-rest Sistema Para Food Service Ltda")</f>
        <v>F-rest Sistema Para Food Service Ltda</v>
      </c>
      <c r="P1679" s="33">
        <f>IFERROR(__xludf.DUMMYFUNCTION("""COMPUTED_VALUE"""),0.8)</f>
        <v>0.8</v>
      </c>
      <c r="Q1679" s="4" t="str">
        <f>IFERROR(__xludf.DUMMYFUNCTION("""COMPUTED_VALUE"""),"F-rest Sistema Para Food Service Ltda")</f>
        <v>F-rest Sistema Para Food Service Ltda</v>
      </c>
      <c r="R1679" s="33">
        <f>IFERROR(__xludf.DUMMYFUNCTION("""COMPUTED_VALUE"""),0.8)</f>
        <v>0.8</v>
      </c>
      <c r="S1679" s="4" t="str">
        <f>IFERROR(__xludf.DUMMYFUNCTION("""COMPUTED_VALUE"""),"F-rest Sistema Para Food Service Ltda")</f>
        <v>F-rest Sistema Para Food Service Ltda</v>
      </c>
      <c r="T1679" s="33">
        <f>IFERROR(__xludf.DUMMYFUNCTION("""COMPUTED_VALUE"""),0.8)</f>
        <v>0.8</v>
      </c>
      <c r="U1679" s="4" t="str">
        <f>IFERROR(__xludf.DUMMYFUNCTION("""COMPUTED_VALUE"""),"F-rest Sistema Para Food Service Ltda")</f>
        <v>F-rest Sistema Para Food Service Ltda</v>
      </c>
      <c r="V1679" s="33">
        <f>IFERROR(__xludf.DUMMYFUNCTION("""COMPUTED_VALUE"""),0.8)</f>
        <v>0.8</v>
      </c>
      <c r="W1679" s="4" t="str">
        <f>IFERROR(__xludf.DUMMYFUNCTION("""COMPUTED_VALUE"""),"F-rest Sistema Para Food Service Ltda")</f>
        <v>F-rest Sistema Para Food Service Ltda</v>
      </c>
      <c r="X1679" s="33">
        <f>IFERROR(__xludf.DUMMYFUNCTION("""COMPUTED_VALUE"""),0.6)</f>
        <v>0.6</v>
      </c>
    </row>
    <row r="1680">
      <c r="K1680" s="4" t="str">
        <f>IFERROR(__xludf.DUMMYFUNCTION("""COMPUTED_VALUE"""),"DROGA LESTE NOVA FARMA - CONTA PAI")</f>
        <v>DROGA LESTE NOVA FARMA - CONTA PAI</v>
      </c>
      <c r="L1680" s="32">
        <f>IFERROR(__xludf.DUMMYFUNCTION("""COMPUTED_VALUE"""),5.0)</f>
        <v>5</v>
      </c>
      <c r="M1680" s="4" t="str">
        <f>IFERROR(__xludf.DUMMYFUNCTION("""COMPUTED_VALUE"""),"N/A (Not found)")</f>
        <v>N/A (Not found)</v>
      </c>
      <c r="N1680" s="33">
        <f>IFERROR(__xludf.DUMMYFUNCTION("""COMPUTED_VALUE"""),1.0)</f>
        <v>1</v>
      </c>
      <c r="O1680" s="4" t="str">
        <f>IFERROR(__xludf.DUMMYFUNCTION("""COMPUTED_VALUE"""),"N/A (Not found)")</f>
        <v>N/A (Not found)</v>
      </c>
      <c r="P1680" s="33">
        <f>IFERROR(__xludf.DUMMYFUNCTION("""COMPUTED_VALUE"""),1.0)</f>
        <v>1</v>
      </c>
      <c r="Q1680" s="4" t="str">
        <f>IFERROR(__xludf.DUMMYFUNCTION("""COMPUTED_VALUE"""),"N/A (Not found)")</f>
        <v>N/A (Not found)</v>
      </c>
      <c r="R1680" s="33">
        <f>IFERROR(__xludf.DUMMYFUNCTION("""COMPUTED_VALUE"""),1.0)</f>
        <v>1</v>
      </c>
      <c r="S1680" s="4" t="str">
        <f>IFERROR(__xludf.DUMMYFUNCTION("""COMPUTED_VALUE"""),"N/A (Not found)")</f>
        <v>N/A (Not found)</v>
      </c>
      <c r="T1680" s="33">
        <f>IFERROR(__xludf.DUMMYFUNCTION("""COMPUTED_VALUE"""),1.0)</f>
        <v>1</v>
      </c>
      <c r="U1680" s="4" t="str">
        <f>IFERROR(__xludf.DUMMYFUNCTION("""COMPUTED_VALUE"""),"N/A (Not found)")</f>
        <v>N/A (Not found)</v>
      </c>
      <c r="V1680" s="33">
        <f>IFERROR(__xludf.DUMMYFUNCTION("""COMPUTED_VALUE"""),1.0)</f>
        <v>1</v>
      </c>
      <c r="W1680" s="4" t="str">
        <f>IFERROR(__xludf.DUMMYFUNCTION("""COMPUTED_VALUE"""),"N/A (Not found)")</f>
        <v>N/A (Not found)</v>
      </c>
      <c r="X1680" s="33">
        <f>IFERROR(__xludf.DUMMYFUNCTION("""COMPUTED_VALUE"""),1.0)</f>
        <v>1</v>
      </c>
    </row>
    <row r="1681">
      <c r="K1681" s="4" t="str">
        <f>IFERROR(__xludf.DUMMYFUNCTION("""COMPUTED_VALUE"""),"DROGABARROS - CONTA PAI")</f>
        <v>DROGABARROS - CONTA PAI</v>
      </c>
      <c r="L1681" s="32">
        <f>IFERROR(__xludf.DUMMYFUNCTION("""COMPUTED_VALUE"""),5.0)</f>
        <v>5</v>
      </c>
      <c r="M1681" s="4" t="str">
        <f>IFERROR(__xludf.DUMMYFUNCTION("""COMPUTED_VALUE"""),"N/A (Not found)")</f>
        <v>N/A (Not found)</v>
      </c>
      <c r="N1681" s="33">
        <f>IFERROR(__xludf.DUMMYFUNCTION("""COMPUTED_VALUE"""),1.0)</f>
        <v>1</v>
      </c>
      <c r="O1681" s="4" t="str">
        <f>IFERROR(__xludf.DUMMYFUNCTION("""COMPUTED_VALUE"""),"N/A (Not found)")</f>
        <v>N/A (Not found)</v>
      </c>
      <c r="P1681" s="33">
        <f>IFERROR(__xludf.DUMMYFUNCTION("""COMPUTED_VALUE"""),1.0)</f>
        <v>1</v>
      </c>
      <c r="Q1681" s="4" t="str">
        <f>IFERROR(__xludf.DUMMYFUNCTION("""COMPUTED_VALUE"""),"N/A (Not found)")</f>
        <v>N/A (Not found)</v>
      </c>
      <c r="R1681" s="33">
        <f>IFERROR(__xludf.DUMMYFUNCTION("""COMPUTED_VALUE"""),1.0)</f>
        <v>1</v>
      </c>
      <c r="S1681" s="4" t="str">
        <f>IFERROR(__xludf.DUMMYFUNCTION("""COMPUTED_VALUE"""),"N/A (Not found)")</f>
        <v>N/A (Not found)</v>
      </c>
      <c r="T1681" s="33">
        <f>IFERROR(__xludf.DUMMYFUNCTION("""COMPUTED_VALUE"""),1.0)</f>
        <v>1</v>
      </c>
      <c r="U1681" s="4" t="str">
        <f>IFERROR(__xludf.DUMMYFUNCTION("""COMPUTED_VALUE"""),"N/A (Not found)")</f>
        <v>N/A (Not found)</v>
      </c>
      <c r="V1681" s="33">
        <f>IFERROR(__xludf.DUMMYFUNCTION("""COMPUTED_VALUE"""),1.0)</f>
        <v>1</v>
      </c>
      <c r="W1681" s="4" t="str">
        <f>IFERROR(__xludf.DUMMYFUNCTION("""COMPUTED_VALUE"""),"N/A (Not found)")</f>
        <v>N/A (Not found)</v>
      </c>
      <c r="X1681" s="33">
        <f>IFERROR(__xludf.DUMMYFUNCTION("""COMPUTED_VALUE"""),1.0)</f>
        <v>1</v>
      </c>
    </row>
    <row r="1682">
      <c r="K1682" s="4" t="str">
        <f>IFERROR(__xludf.DUMMYFUNCTION("""COMPUTED_VALUE"""),"DROGARIA BELLA FARMA - CONTA MARCA")</f>
        <v>DROGARIA BELLA FARMA - CONTA MARCA</v>
      </c>
      <c r="L1682" s="32">
        <f>IFERROR(__xludf.DUMMYFUNCTION("""COMPUTED_VALUE"""),5.0)</f>
        <v>5</v>
      </c>
      <c r="M1682" s="4" t="str">
        <f>IFERROR(__xludf.DUMMYFUNCTION("""COMPUTED_VALUE"""),"N/A (Not found)")</f>
        <v>N/A (Not found)</v>
      </c>
      <c r="N1682" s="33">
        <f>IFERROR(__xludf.DUMMYFUNCTION("""COMPUTED_VALUE"""),0.6)</f>
        <v>0.6</v>
      </c>
      <c r="O1682" s="4" t="str">
        <f>IFERROR(__xludf.DUMMYFUNCTION("""COMPUTED_VALUE"""),"N/A (Not found)")</f>
        <v>N/A (Not found)</v>
      </c>
      <c r="P1682" s="33">
        <f>IFERROR(__xludf.DUMMYFUNCTION("""COMPUTED_VALUE"""),0.6)</f>
        <v>0.6</v>
      </c>
      <c r="Q1682" s="4" t="str">
        <f>IFERROR(__xludf.DUMMYFUNCTION("""COMPUTED_VALUE"""),"N/A (Not found)")</f>
        <v>N/A (Not found)</v>
      </c>
      <c r="R1682" s="33">
        <f>IFERROR(__xludf.DUMMYFUNCTION("""COMPUTED_VALUE"""),0.6)</f>
        <v>0.6</v>
      </c>
      <c r="S1682" s="4" t="str">
        <f>IFERROR(__xludf.DUMMYFUNCTION("""COMPUTED_VALUE"""),"N/A (Not found)")</f>
        <v>N/A (Not found)</v>
      </c>
      <c r="T1682" s="33">
        <f>IFERROR(__xludf.DUMMYFUNCTION("""COMPUTED_VALUE"""),0.6)</f>
        <v>0.6</v>
      </c>
      <c r="U1682" s="4" t="str">
        <f>IFERROR(__xludf.DUMMYFUNCTION("""COMPUTED_VALUE"""),"N/A (Not found)")</f>
        <v>N/A (Not found)</v>
      </c>
      <c r="V1682" s="33">
        <f>IFERROR(__xludf.DUMMYFUNCTION("""COMPUTED_VALUE"""),0.6)</f>
        <v>0.6</v>
      </c>
      <c r="W1682" s="4" t="str">
        <f>IFERROR(__xludf.DUMMYFUNCTION("""COMPUTED_VALUE"""),"N/A (Not found)")</f>
        <v>N/A (Not found)</v>
      </c>
      <c r="X1682" s="33">
        <f>IFERROR(__xludf.DUMMYFUNCTION("""COMPUTED_VALUE"""),1.0)</f>
        <v>1</v>
      </c>
    </row>
    <row r="1683">
      <c r="K1683" s="4" t="str">
        <f>IFERROR(__xludf.DUMMYFUNCTION("""COMPUTED_VALUE"""),"DROGARIA HIPER SAUDE - LOJAS OLIVEIRA - CONTA MARCA")</f>
        <v>DROGARIA HIPER SAUDE - LOJAS OLIVEIRA - CONTA MARCA</v>
      </c>
      <c r="L1683" s="32">
        <f>IFERROR(__xludf.DUMMYFUNCTION("""COMPUTED_VALUE"""),5.0)</f>
        <v>5</v>
      </c>
      <c r="M1683" s="4" t="str">
        <f>IFERROR(__xludf.DUMMYFUNCTION("""COMPUTED_VALUE"""),"N/A (Not found)")</f>
        <v>N/A (Not found)</v>
      </c>
      <c r="N1683" s="33">
        <f>IFERROR(__xludf.DUMMYFUNCTION("""COMPUTED_VALUE"""),0.8)</f>
        <v>0.8</v>
      </c>
      <c r="O1683" s="4" t="str">
        <f>IFERROR(__xludf.DUMMYFUNCTION("""COMPUTED_VALUE"""),"N/A (Not found)")</f>
        <v>N/A (Not found)</v>
      </c>
      <c r="P1683" s="33">
        <f>IFERROR(__xludf.DUMMYFUNCTION("""COMPUTED_VALUE"""),0.8)</f>
        <v>0.8</v>
      </c>
      <c r="Q1683" s="4" t="str">
        <f>IFERROR(__xludf.DUMMYFUNCTION("""COMPUTED_VALUE"""),"N/A (Not found)")</f>
        <v>N/A (Not found)</v>
      </c>
      <c r="R1683" s="33">
        <f>IFERROR(__xludf.DUMMYFUNCTION("""COMPUTED_VALUE"""),1.0)</f>
        <v>1</v>
      </c>
      <c r="S1683" s="4" t="str">
        <f>IFERROR(__xludf.DUMMYFUNCTION("""COMPUTED_VALUE"""),"N/A (Not found)")</f>
        <v>N/A (Not found)</v>
      </c>
      <c r="T1683" s="33">
        <f>IFERROR(__xludf.DUMMYFUNCTION("""COMPUTED_VALUE"""),1.0)</f>
        <v>1</v>
      </c>
      <c r="U1683" s="4" t="str">
        <f>IFERROR(__xludf.DUMMYFUNCTION("""COMPUTED_VALUE"""),"N/A (Not found)")</f>
        <v>N/A (Not found)</v>
      </c>
      <c r="V1683" s="33">
        <f>IFERROR(__xludf.DUMMYFUNCTION("""COMPUTED_VALUE"""),1.0)</f>
        <v>1</v>
      </c>
      <c r="W1683" s="4" t="str">
        <f>IFERROR(__xludf.DUMMYFUNCTION("""COMPUTED_VALUE"""),"N/A (Not found)")</f>
        <v>N/A (Not found)</v>
      </c>
      <c r="X1683" s="33">
        <f>IFERROR(__xludf.DUMMYFUNCTION("""COMPUTED_VALUE"""),0.8)</f>
        <v>0.8</v>
      </c>
    </row>
    <row r="1684">
      <c r="K1684" s="4" t="str">
        <f>IFERROR(__xludf.DUMMYFUNCTION("""COMPUTED_VALUE"""),"DROGARIA SOMOS FARMA - CONTA PAI")</f>
        <v>DROGARIA SOMOS FARMA - CONTA PAI</v>
      </c>
      <c r="L1684" s="32">
        <f>IFERROR(__xludf.DUMMYFUNCTION("""COMPUTED_VALUE"""),5.0)</f>
        <v>5</v>
      </c>
      <c r="M1684" s="4" t="str">
        <f>IFERROR(__xludf.DUMMYFUNCTION("""COMPUTED_VALUE"""),"N/A (Not found)")</f>
        <v>N/A (Not found)</v>
      </c>
      <c r="N1684" s="33">
        <f>IFERROR(__xludf.DUMMYFUNCTION("""COMPUTED_VALUE"""),0.8)</f>
        <v>0.8</v>
      </c>
      <c r="O1684" s="4" t="str">
        <f>IFERROR(__xludf.DUMMYFUNCTION("""COMPUTED_VALUE"""),"N/A (Not found)")</f>
        <v>N/A (Not found)</v>
      </c>
      <c r="P1684" s="33">
        <f>IFERROR(__xludf.DUMMYFUNCTION("""COMPUTED_VALUE"""),1.0)</f>
        <v>1</v>
      </c>
      <c r="Q1684" s="4" t="str">
        <f>IFERROR(__xludf.DUMMYFUNCTION("""COMPUTED_VALUE"""),"N/A (Not found)")</f>
        <v>N/A (Not found)</v>
      </c>
      <c r="R1684" s="33">
        <f>IFERROR(__xludf.DUMMYFUNCTION("""COMPUTED_VALUE"""),0.8)</f>
        <v>0.8</v>
      </c>
      <c r="S1684" s="4" t="str">
        <f>IFERROR(__xludf.DUMMYFUNCTION("""COMPUTED_VALUE"""),"N/A (Not found)")</f>
        <v>N/A (Not found)</v>
      </c>
      <c r="T1684" s="33">
        <f>IFERROR(__xludf.DUMMYFUNCTION("""COMPUTED_VALUE"""),0.8)</f>
        <v>0.8</v>
      </c>
      <c r="U1684" s="4" t="str">
        <f>IFERROR(__xludf.DUMMYFUNCTION("""COMPUTED_VALUE"""),"N/A (Not found)")</f>
        <v>N/A (Not found)</v>
      </c>
      <c r="V1684" s="33">
        <f>IFERROR(__xludf.DUMMYFUNCTION("""COMPUTED_VALUE"""),1.0)</f>
        <v>1</v>
      </c>
      <c r="W1684" s="4" t="str">
        <f>IFERROR(__xludf.DUMMYFUNCTION("""COMPUTED_VALUE"""),"N/A (Not found)")</f>
        <v>N/A (Not found)</v>
      </c>
      <c r="X1684" s="33">
        <f>IFERROR(__xludf.DUMMYFUNCTION("""COMPUTED_VALUE"""),0.6)</f>
        <v>0.6</v>
      </c>
    </row>
    <row r="1685">
      <c r="K1685" s="4" t="str">
        <f>IFERROR(__xludf.DUMMYFUNCTION("""COMPUTED_VALUE"""),"DROGARIAS BIG MASTER - CONTA MARCA")</f>
        <v>DROGARIAS BIG MASTER - CONTA MARCA</v>
      </c>
      <c r="L1685" s="32">
        <f>IFERROR(__xludf.DUMMYFUNCTION("""COMPUTED_VALUE"""),5.0)</f>
        <v>5</v>
      </c>
      <c r="M1685" s="4" t="str">
        <f>IFERROR(__xludf.DUMMYFUNCTION("""COMPUTED_VALUE"""),"N/A (Not found)")</f>
        <v>N/A (Not found)</v>
      </c>
      <c r="N1685" s="33">
        <f>IFERROR(__xludf.DUMMYFUNCTION("""COMPUTED_VALUE"""),0.8)</f>
        <v>0.8</v>
      </c>
      <c r="O1685" s="4" t="str">
        <f>IFERROR(__xludf.DUMMYFUNCTION("""COMPUTED_VALUE"""),"N/A (Not found)")</f>
        <v>N/A (Not found)</v>
      </c>
      <c r="P1685" s="33">
        <f>IFERROR(__xludf.DUMMYFUNCTION("""COMPUTED_VALUE"""),1.0)</f>
        <v>1</v>
      </c>
      <c r="Q1685" s="4" t="str">
        <f>IFERROR(__xludf.DUMMYFUNCTION("""COMPUTED_VALUE"""),"N/A (Not found)")</f>
        <v>N/A (Not found)</v>
      </c>
      <c r="R1685" s="33">
        <f>IFERROR(__xludf.DUMMYFUNCTION("""COMPUTED_VALUE"""),1.0)</f>
        <v>1</v>
      </c>
      <c r="S1685" s="4" t="str">
        <f>IFERROR(__xludf.DUMMYFUNCTION("""COMPUTED_VALUE"""),"N/A (Not found)")</f>
        <v>N/A (Not found)</v>
      </c>
      <c r="T1685" s="33">
        <f>IFERROR(__xludf.DUMMYFUNCTION("""COMPUTED_VALUE"""),1.0)</f>
        <v>1</v>
      </c>
      <c r="U1685" s="4" t="str">
        <f>IFERROR(__xludf.DUMMYFUNCTION("""COMPUTED_VALUE"""),"N/A (Not found)")</f>
        <v>N/A (Not found)</v>
      </c>
      <c r="V1685" s="33">
        <f>IFERROR(__xludf.DUMMYFUNCTION("""COMPUTED_VALUE"""),1.0)</f>
        <v>1</v>
      </c>
      <c r="W1685" s="4" t="str">
        <f>IFERROR(__xludf.DUMMYFUNCTION("""COMPUTED_VALUE"""),"N/A (Not found)")</f>
        <v>N/A (Not found)</v>
      </c>
      <c r="X1685" s="33">
        <f>IFERROR(__xludf.DUMMYFUNCTION("""COMPUTED_VALUE"""),1.0)</f>
        <v>1</v>
      </c>
    </row>
    <row r="1686">
      <c r="K1686" s="4" t="str">
        <f>IFERROR(__xludf.DUMMYFUNCTION("""COMPUTED_VALUE"""),"DROGARIAS BRASILEIRAS BACAXA - CONTA MARCA")</f>
        <v>DROGARIAS BRASILEIRAS BACAXA - CONTA MARCA</v>
      </c>
      <c r="L1686" s="32">
        <f>IFERROR(__xludf.DUMMYFUNCTION("""COMPUTED_VALUE"""),5.0)</f>
        <v>5</v>
      </c>
      <c r="M1686" s="4" t="str">
        <f>IFERROR(__xludf.DUMMYFUNCTION("""COMPUTED_VALUE"""),"N/A (Not found)")</f>
        <v>N/A (Not found)</v>
      </c>
      <c r="N1686" s="33">
        <f>IFERROR(__xludf.DUMMYFUNCTION("""COMPUTED_VALUE"""),1.0)</f>
        <v>1</v>
      </c>
      <c r="O1686" s="4" t="str">
        <f>IFERROR(__xludf.DUMMYFUNCTION("""COMPUTED_VALUE"""),"N/A (Not found)")</f>
        <v>N/A (Not found)</v>
      </c>
      <c r="P1686" s="33">
        <f>IFERROR(__xludf.DUMMYFUNCTION("""COMPUTED_VALUE"""),1.0)</f>
        <v>1</v>
      </c>
      <c r="Q1686" s="4" t="str">
        <f>IFERROR(__xludf.DUMMYFUNCTION("""COMPUTED_VALUE"""),"N/A (Not found)")</f>
        <v>N/A (Not found)</v>
      </c>
      <c r="R1686" s="33">
        <f>IFERROR(__xludf.DUMMYFUNCTION("""COMPUTED_VALUE"""),1.0)</f>
        <v>1</v>
      </c>
      <c r="S1686" s="4" t="str">
        <f>IFERROR(__xludf.DUMMYFUNCTION("""COMPUTED_VALUE"""),"N/A (Not found)")</f>
        <v>N/A (Not found)</v>
      </c>
      <c r="T1686" s="33">
        <f>IFERROR(__xludf.DUMMYFUNCTION("""COMPUTED_VALUE"""),1.0)</f>
        <v>1</v>
      </c>
      <c r="U1686" s="4" t="str">
        <f>IFERROR(__xludf.DUMMYFUNCTION("""COMPUTED_VALUE"""),"N/A (Not found)")</f>
        <v>N/A (Not found)</v>
      </c>
      <c r="V1686" s="33">
        <f>IFERROR(__xludf.DUMMYFUNCTION("""COMPUTED_VALUE"""),1.0)</f>
        <v>1</v>
      </c>
      <c r="W1686" s="4" t="str">
        <f>IFERROR(__xludf.DUMMYFUNCTION("""COMPUTED_VALUE"""),"N/A (Not found)")</f>
        <v>N/A (Not found)</v>
      </c>
      <c r="X1686" s="33">
        <f>IFERROR(__xludf.DUMMYFUNCTION("""COMPUTED_VALUE"""),1.0)</f>
        <v>1</v>
      </c>
    </row>
    <row r="1687">
      <c r="K1687" s="4" t="str">
        <f>IFERROR(__xludf.DUMMYFUNCTION("""COMPUTED_VALUE"""),"DROGARIAS CUMANI GRUPO JOEL CUMANI - CONTA MARCA")</f>
        <v>DROGARIAS CUMANI GRUPO JOEL CUMANI - CONTA MARCA</v>
      </c>
      <c r="L1687" s="32">
        <f>IFERROR(__xludf.DUMMYFUNCTION("""COMPUTED_VALUE"""),5.0)</f>
        <v>5</v>
      </c>
      <c r="M1687" s="4" t="str">
        <f>IFERROR(__xludf.DUMMYFUNCTION("""COMPUTED_VALUE"""),"N/A (Not found)")</f>
        <v>N/A (Not found)</v>
      </c>
      <c r="N1687" s="33">
        <f>IFERROR(__xludf.DUMMYFUNCTION("""COMPUTED_VALUE"""),1.0)</f>
        <v>1</v>
      </c>
      <c r="O1687" s="4" t="str">
        <f>IFERROR(__xludf.DUMMYFUNCTION("""COMPUTED_VALUE"""),"N/A (Not found)")</f>
        <v>N/A (Not found)</v>
      </c>
      <c r="P1687" s="33">
        <f>IFERROR(__xludf.DUMMYFUNCTION("""COMPUTED_VALUE"""),1.0)</f>
        <v>1</v>
      </c>
      <c r="Q1687" s="4" t="str">
        <f>IFERROR(__xludf.DUMMYFUNCTION("""COMPUTED_VALUE"""),"N/A (Not found)")</f>
        <v>N/A (Not found)</v>
      </c>
      <c r="R1687" s="33">
        <f>IFERROR(__xludf.DUMMYFUNCTION("""COMPUTED_VALUE"""),1.0)</f>
        <v>1</v>
      </c>
      <c r="S1687" s="4" t="str">
        <f>IFERROR(__xludf.DUMMYFUNCTION("""COMPUTED_VALUE"""),"N/A (Not found)")</f>
        <v>N/A (Not found)</v>
      </c>
      <c r="T1687" s="33">
        <f>IFERROR(__xludf.DUMMYFUNCTION("""COMPUTED_VALUE"""),1.0)</f>
        <v>1</v>
      </c>
      <c r="U1687" s="4" t="str">
        <f>IFERROR(__xludf.DUMMYFUNCTION("""COMPUTED_VALUE"""),"N/A (Not found)")</f>
        <v>N/A (Not found)</v>
      </c>
      <c r="V1687" s="33">
        <f>IFERROR(__xludf.DUMMYFUNCTION("""COMPUTED_VALUE"""),1.0)</f>
        <v>1</v>
      </c>
      <c r="W1687" s="4" t="str">
        <f>IFERROR(__xludf.DUMMYFUNCTION("""COMPUTED_VALUE"""),"N/A (Not found)")</f>
        <v>N/A (Not found)</v>
      </c>
      <c r="X1687" s="33">
        <f>IFERROR(__xludf.DUMMYFUNCTION("""COMPUTED_VALUE"""),1.0)</f>
        <v>1</v>
      </c>
    </row>
    <row r="1688">
      <c r="K1688" s="4" t="str">
        <f>IFERROR(__xludf.DUMMYFUNCTION("""COMPUTED_VALUE"""),"EGGIES")</f>
        <v>EGGIES</v>
      </c>
      <c r="L1688" s="32">
        <f>IFERROR(__xludf.DUMMYFUNCTION("""COMPUTED_VALUE"""),5.0)</f>
        <v>5</v>
      </c>
      <c r="M1688" s="4" t="str">
        <f>IFERROR(__xludf.DUMMYFUNCTION("""COMPUTED_VALUE"""),"Totvs Large Enterprise Tecnologia S.a.")</f>
        <v>Totvs Large Enterprise Tecnologia S.a.</v>
      </c>
      <c r="N1688" s="33">
        <f>IFERROR(__xludf.DUMMYFUNCTION("""COMPUTED_VALUE"""),0.8)</f>
        <v>0.8</v>
      </c>
      <c r="O1688" s="4" t="str">
        <f>IFERROR(__xludf.DUMMYFUNCTION("""COMPUTED_VALUE"""),"Totvs Large Enterprise Tecnologia S.a.")</f>
        <v>Totvs Large Enterprise Tecnologia S.a.</v>
      </c>
      <c r="P1688" s="33">
        <f>IFERROR(__xludf.DUMMYFUNCTION("""COMPUTED_VALUE"""),0.8)</f>
        <v>0.8</v>
      </c>
      <c r="Q1688" s="4" t="str">
        <f>IFERROR(__xludf.DUMMYFUNCTION("""COMPUTED_VALUE"""),"Totvs Large Enterprise Tecnologia S.a.")</f>
        <v>Totvs Large Enterprise Tecnologia S.a.</v>
      </c>
      <c r="R1688" s="33">
        <f>IFERROR(__xludf.DUMMYFUNCTION("""COMPUTED_VALUE"""),0.8)</f>
        <v>0.8</v>
      </c>
      <c r="S1688" s="4" t="str">
        <f>IFERROR(__xludf.DUMMYFUNCTION("""COMPUTED_VALUE"""),"Totvs Large Enterprise Tecnologia S.a.")</f>
        <v>Totvs Large Enterprise Tecnologia S.a.</v>
      </c>
      <c r="T1688" s="33">
        <f>IFERROR(__xludf.DUMMYFUNCTION("""COMPUTED_VALUE"""),1.0)</f>
        <v>1</v>
      </c>
      <c r="U1688" s="4" t="str">
        <f>IFERROR(__xludf.DUMMYFUNCTION("""COMPUTED_VALUE"""),"Totvs Large Enterprise Tecnologia S.a.")</f>
        <v>Totvs Large Enterprise Tecnologia S.a.</v>
      </c>
      <c r="V1688" s="33">
        <f>IFERROR(__xludf.DUMMYFUNCTION("""COMPUTED_VALUE"""),0.6)</f>
        <v>0.6</v>
      </c>
      <c r="W1688" s="4" t="str">
        <f>IFERROR(__xludf.DUMMYFUNCTION("""COMPUTED_VALUE"""),"Totvs Large Enterprise Tecnologia S.a.")</f>
        <v>Totvs Large Enterprise Tecnologia S.a.</v>
      </c>
      <c r="X1688" s="33">
        <f>IFERROR(__xludf.DUMMYFUNCTION("""COMPUTED_VALUE"""),0.6)</f>
        <v>0.6</v>
      </c>
    </row>
    <row r="1689">
      <c r="K1689" s="4" t="str">
        <f>IFERROR(__xludf.DUMMYFUNCTION("""COMPUTED_VALUE"""),"EL CHANCHO CONTA MARCA")</f>
        <v>EL CHANCHO CONTA MARCA</v>
      </c>
      <c r="L1689" s="32">
        <f>IFERROR(__xludf.DUMMYFUNCTION("""COMPUTED_VALUE"""),5.0)</f>
        <v>5</v>
      </c>
      <c r="M1689" s="4" t="str">
        <f>IFERROR(__xludf.DUMMYFUNCTION("""COMPUTED_VALUE"""),"L&amp;f Tecnologia Sistemas E Comercio Ltda")</f>
        <v>L&amp;f Tecnologia Sistemas E Comercio Ltda</v>
      </c>
      <c r="N1689" s="33">
        <f>IFERROR(__xludf.DUMMYFUNCTION("""COMPUTED_VALUE"""),0.6)</f>
        <v>0.6</v>
      </c>
      <c r="O1689" s="4" t="str">
        <f>IFERROR(__xludf.DUMMYFUNCTION("""COMPUTED_VALUE"""),"L&amp;f Tecnologia Sistemas E Comercio Ltda")</f>
        <v>L&amp;f Tecnologia Sistemas E Comercio Ltda</v>
      </c>
      <c r="P1689" s="33">
        <f>IFERROR(__xludf.DUMMYFUNCTION("""COMPUTED_VALUE"""),0.6)</f>
        <v>0.6</v>
      </c>
      <c r="Q1689" s="4" t="str">
        <f>IFERROR(__xludf.DUMMYFUNCTION("""COMPUTED_VALUE"""),"null")</f>
        <v>null</v>
      </c>
      <c r="R1689" s="33">
        <f>IFERROR(__xludf.DUMMYFUNCTION("""COMPUTED_VALUE"""),0.6)</f>
        <v>0.6</v>
      </c>
      <c r="S1689" s="4" t="str">
        <f>IFERROR(__xludf.DUMMYFUNCTION("""COMPUTED_VALUE"""),"null")</f>
        <v>null</v>
      </c>
      <c r="T1689" s="33">
        <f>IFERROR(__xludf.DUMMYFUNCTION("""COMPUTED_VALUE"""),0.6)</f>
        <v>0.6</v>
      </c>
      <c r="U1689" s="4" t="str">
        <f>IFERROR(__xludf.DUMMYFUNCTION("""COMPUTED_VALUE"""),"null")</f>
        <v>null</v>
      </c>
      <c r="V1689" s="33">
        <f>IFERROR(__xludf.DUMMYFUNCTION("""COMPUTED_VALUE"""),0.4)</f>
        <v>0.4</v>
      </c>
      <c r="W1689" s="4" t="str">
        <f>IFERROR(__xludf.DUMMYFUNCTION("""COMPUTED_VALUE"""),"L&amp;f Tecnologia Sistemas E Comercio Ltda")</f>
        <v>L&amp;f Tecnologia Sistemas E Comercio Ltda</v>
      </c>
      <c r="X1689" s="33">
        <f>IFERROR(__xludf.DUMMYFUNCTION("""COMPUTED_VALUE"""),0.4)</f>
        <v>0.4</v>
      </c>
    </row>
    <row r="1690">
      <c r="K1690" s="4" t="str">
        <f>IFERROR(__xludf.DUMMYFUNCTION("""COMPUTED_VALUE"""),"ESFIHA IMIGRANTES")</f>
        <v>ESFIHA IMIGRANTES</v>
      </c>
      <c r="L1690" s="32">
        <f>IFERROR(__xludf.DUMMYFUNCTION("""COMPUTED_VALUE"""),5.0)</f>
        <v>5</v>
      </c>
      <c r="M1690" s="4" t="str">
        <f>IFERROR(__xludf.DUMMYFUNCTION("""COMPUTED_VALUE"""),"T4l Tecnologia Ltda Me")</f>
        <v>T4l Tecnologia Ltda Me</v>
      </c>
      <c r="N1690" s="33">
        <f>IFERROR(__xludf.DUMMYFUNCTION("""COMPUTED_VALUE"""),1.0)</f>
        <v>1</v>
      </c>
      <c r="O1690" s="4" t="str">
        <f>IFERROR(__xludf.DUMMYFUNCTION("""COMPUTED_VALUE"""),"T4l Tecnologia Ltda Me")</f>
        <v>T4l Tecnologia Ltda Me</v>
      </c>
      <c r="P1690" s="33">
        <f>IFERROR(__xludf.DUMMYFUNCTION("""COMPUTED_VALUE"""),1.0)</f>
        <v>1</v>
      </c>
      <c r="Q1690" s="4" t="str">
        <f>IFERROR(__xludf.DUMMYFUNCTION("""COMPUTED_VALUE"""),"T4l Tecnologia Ltda Me")</f>
        <v>T4l Tecnologia Ltda Me</v>
      </c>
      <c r="R1690" s="33">
        <f>IFERROR(__xludf.DUMMYFUNCTION("""COMPUTED_VALUE"""),1.0)</f>
        <v>1</v>
      </c>
      <c r="S1690" s="4" t="str">
        <f>IFERROR(__xludf.DUMMYFUNCTION("""COMPUTED_VALUE"""),"T4l Tecnologia Ltda Me")</f>
        <v>T4l Tecnologia Ltda Me</v>
      </c>
      <c r="T1690" s="33">
        <f>IFERROR(__xludf.DUMMYFUNCTION("""COMPUTED_VALUE"""),1.0)</f>
        <v>1</v>
      </c>
      <c r="U1690" s="4" t="str">
        <f>IFERROR(__xludf.DUMMYFUNCTION("""COMPUTED_VALUE"""),"T4l Tecnologia Ltda Me")</f>
        <v>T4l Tecnologia Ltda Me</v>
      </c>
      <c r="V1690" s="33">
        <f>IFERROR(__xludf.DUMMYFUNCTION("""COMPUTED_VALUE"""),0.8)</f>
        <v>0.8</v>
      </c>
      <c r="W1690" s="4" t="str">
        <f>IFERROR(__xludf.DUMMYFUNCTION("""COMPUTED_VALUE"""),"T4l Tecnologia Ltda Me")</f>
        <v>T4l Tecnologia Ltda Me</v>
      </c>
      <c r="X1690" s="33">
        <f>IFERROR(__xludf.DUMMYFUNCTION("""COMPUTED_VALUE"""),0.6)</f>
        <v>0.6</v>
      </c>
    </row>
    <row r="1691">
      <c r="K1691" s="4" t="str">
        <f>IFERROR(__xludf.DUMMYFUNCTION("""COMPUTED_VALUE"""),"GRUPO ESFIHA IMIGRANTES")</f>
        <v>GRUPO ESFIHA IMIGRANTES</v>
      </c>
      <c r="L1691" s="32">
        <f>IFERROR(__xludf.DUMMYFUNCTION("""COMPUTED_VALUE"""),5.0)</f>
        <v>5</v>
      </c>
      <c r="M1691" s="4" t="str">
        <f>IFERROR(__xludf.DUMMYFUNCTION("""COMPUTED_VALUE"""),"T4l Tecnologia Ltda Me")</f>
        <v>T4l Tecnologia Ltda Me</v>
      </c>
      <c r="N1691" s="33">
        <f>IFERROR(__xludf.DUMMYFUNCTION("""COMPUTED_VALUE"""),1.0)</f>
        <v>1</v>
      </c>
      <c r="O1691" s="4" t="str">
        <f>IFERROR(__xludf.DUMMYFUNCTION("""COMPUTED_VALUE"""),"T4l Tecnologia Ltda Me")</f>
        <v>T4l Tecnologia Ltda Me</v>
      </c>
      <c r="P1691" s="33">
        <f>IFERROR(__xludf.DUMMYFUNCTION("""COMPUTED_VALUE"""),1.0)</f>
        <v>1</v>
      </c>
      <c r="Q1691" s="4" t="str">
        <f>IFERROR(__xludf.DUMMYFUNCTION("""COMPUTED_VALUE"""),"T4l Tecnologia Ltda Me")</f>
        <v>T4l Tecnologia Ltda Me</v>
      </c>
      <c r="R1691" s="33">
        <f>IFERROR(__xludf.DUMMYFUNCTION("""COMPUTED_VALUE"""),1.0)</f>
        <v>1</v>
      </c>
      <c r="S1691" s="4" t="str">
        <f>IFERROR(__xludf.DUMMYFUNCTION("""COMPUTED_VALUE"""),"T4l Tecnologia Ltda Me")</f>
        <v>T4l Tecnologia Ltda Me</v>
      </c>
      <c r="T1691" s="33">
        <f>IFERROR(__xludf.DUMMYFUNCTION("""COMPUTED_VALUE"""),1.0)</f>
        <v>1</v>
      </c>
      <c r="U1691" s="4" t="str">
        <f>IFERROR(__xludf.DUMMYFUNCTION("""COMPUTED_VALUE"""),"T4l Tecnologia Ltda Me")</f>
        <v>T4l Tecnologia Ltda Me</v>
      </c>
      <c r="V1691" s="33">
        <f>IFERROR(__xludf.DUMMYFUNCTION("""COMPUTED_VALUE"""),0.8)</f>
        <v>0.8</v>
      </c>
      <c r="W1691" s="4" t="str">
        <f>IFERROR(__xludf.DUMMYFUNCTION("""COMPUTED_VALUE"""),"T4l Tecnologia Ltda Me")</f>
        <v>T4l Tecnologia Ltda Me</v>
      </c>
      <c r="X1691" s="33">
        <f>IFERROR(__xludf.DUMMYFUNCTION("""COMPUTED_VALUE"""),0.6)</f>
        <v>0.6</v>
      </c>
    </row>
    <row r="1692">
      <c r="K1692" s="4" t="str">
        <f>IFERROR(__xludf.DUMMYFUNCTION("""COMPUTED_VALUE"""),"ESFIHARIA CANALLE")</f>
        <v>ESFIHARIA CANALLE</v>
      </c>
      <c r="L1692" s="32">
        <f>IFERROR(__xludf.DUMMYFUNCTION("""COMPUTED_VALUE"""),5.0)</f>
        <v>5</v>
      </c>
      <c r="M1692" s="4" t="str">
        <f>IFERROR(__xludf.DUMMYFUNCTION("""COMPUTED_VALUE"""),"Saipos Serviços De Software")</f>
        <v>Saipos Serviços De Software</v>
      </c>
      <c r="N1692" s="33">
        <f>IFERROR(__xludf.DUMMYFUNCTION("""COMPUTED_VALUE"""),0.6)</f>
        <v>0.6</v>
      </c>
      <c r="O1692" s="4" t="str">
        <f>IFERROR(__xludf.DUMMYFUNCTION("""COMPUTED_VALUE"""),"Saipos Serviços De Software")</f>
        <v>Saipos Serviços De Software</v>
      </c>
      <c r="P1692" s="33">
        <f>IFERROR(__xludf.DUMMYFUNCTION("""COMPUTED_VALUE"""),0.8)</f>
        <v>0.8</v>
      </c>
      <c r="Q1692" s="4" t="str">
        <f>IFERROR(__xludf.DUMMYFUNCTION("""COMPUTED_VALUE"""),"Saipos Serviços De Software")</f>
        <v>Saipos Serviços De Software</v>
      </c>
      <c r="R1692" s="33">
        <f>IFERROR(__xludf.DUMMYFUNCTION("""COMPUTED_VALUE"""),1.0)</f>
        <v>1</v>
      </c>
      <c r="S1692" s="4" t="str">
        <f>IFERROR(__xludf.DUMMYFUNCTION("""COMPUTED_VALUE"""),"Saipos Serviços De Software")</f>
        <v>Saipos Serviços De Software</v>
      </c>
      <c r="T1692" s="33">
        <f>IFERROR(__xludf.DUMMYFUNCTION("""COMPUTED_VALUE"""),1.0)</f>
        <v>1</v>
      </c>
      <c r="U1692" s="4" t="str">
        <f>IFERROR(__xludf.DUMMYFUNCTION("""COMPUTED_VALUE"""),"Saipos Serviços De Software")</f>
        <v>Saipos Serviços De Software</v>
      </c>
      <c r="V1692" s="33">
        <f>IFERROR(__xludf.DUMMYFUNCTION("""COMPUTED_VALUE"""),1.0)</f>
        <v>1</v>
      </c>
      <c r="W1692" s="4" t="str">
        <f>IFERROR(__xludf.DUMMYFUNCTION("""COMPUTED_VALUE"""),"Saipos Serviços De Software")</f>
        <v>Saipos Serviços De Software</v>
      </c>
      <c r="X1692" s="33">
        <f>IFERROR(__xludf.DUMMYFUNCTION("""COMPUTED_VALUE"""),1.0)</f>
        <v>1</v>
      </c>
    </row>
    <row r="1693">
      <c r="K1693" s="4" t="str">
        <f>IFERROR(__xludf.DUMMYFUNCTION("""COMPUTED_VALUE"""),"ESFIHARIA MAKTUBS")</f>
        <v>ESFIHARIA MAKTUBS</v>
      </c>
      <c r="L1693" s="32">
        <f>IFERROR(__xludf.DUMMYFUNCTION("""COMPUTED_VALUE"""),5.0)</f>
        <v>5</v>
      </c>
      <c r="M1693" s="4" t="str">
        <f>IFERROR(__xludf.DUMMYFUNCTION("""COMPUTED_VALUE"""),"Mp Multipedidos")</f>
        <v>Mp Multipedidos</v>
      </c>
      <c r="N1693" s="33">
        <f>IFERROR(__xludf.DUMMYFUNCTION("""COMPUTED_VALUE"""),1.0)</f>
        <v>1</v>
      </c>
      <c r="O1693" s="4" t="str">
        <f>IFERROR(__xludf.DUMMYFUNCTION("""COMPUTED_VALUE"""),"Mp Multipedidos")</f>
        <v>Mp Multipedidos</v>
      </c>
      <c r="P1693" s="33">
        <f>IFERROR(__xludf.DUMMYFUNCTION("""COMPUTED_VALUE"""),1.0)</f>
        <v>1</v>
      </c>
      <c r="Q1693" s="4" t="str">
        <f>IFERROR(__xludf.DUMMYFUNCTION("""COMPUTED_VALUE"""),"Mp Multipedidos")</f>
        <v>Mp Multipedidos</v>
      </c>
      <c r="R1693" s="33">
        <f>IFERROR(__xludf.DUMMYFUNCTION("""COMPUTED_VALUE"""),1.0)</f>
        <v>1</v>
      </c>
      <c r="S1693" s="4" t="str">
        <f>IFERROR(__xludf.DUMMYFUNCTION("""COMPUTED_VALUE"""),"Mp Multipedidos")</f>
        <v>Mp Multipedidos</v>
      </c>
      <c r="T1693" s="33">
        <f>IFERROR(__xludf.DUMMYFUNCTION("""COMPUTED_VALUE"""),1.0)</f>
        <v>1</v>
      </c>
      <c r="U1693" s="4" t="str">
        <f>IFERROR(__xludf.DUMMYFUNCTION("""COMPUTED_VALUE"""),"Mp Multipedidos")</f>
        <v>Mp Multipedidos</v>
      </c>
      <c r="V1693" s="33">
        <f>IFERROR(__xludf.DUMMYFUNCTION("""COMPUTED_VALUE"""),1.0)</f>
        <v>1</v>
      </c>
      <c r="W1693" s="4" t="str">
        <f>IFERROR(__xludf.DUMMYFUNCTION("""COMPUTED_VALUE"""),"Mp Multipedidos")</f>
        <v>Mp Multipedidos</v>
      </c>
      <c r="X1693" s="33">
        <f>IFERROR(__xludf.DUMMYFUNCTION("""COMPUTED_VALUE"""),1.0)</f>
        <v>1</v>
      </c>
    </row>
    <row r="1694">
      <c r="K1694" s="4" t="str">
        <f>IFERROR(__xludf.DUMMYFUNCTION("""COMPUTED_VALUE"""),"ESPETINHOS EXCLUSIVO")</f>
        <v>ESPETINHOS EXCLUSIVO</v>
      </c>
      <c r="L1694" s="32">
        <f>IFERROR(__xludf.DUMMYFUNCTION("""COMPUTED_VALUE"""),5.0)</f>
        <v>5</v>
      </c>
      <c r="M1694" s="4" t="str">
        <f>IFERROR(__xludf.DUMMYFUNCTION("""COMPUTED_VALUE"""),"Saipos Serviços De Software")</f>
        <v>Saipos Serviços De Software</v>
      </c>
      <c r="N1694" s="33">
        <f>IFERROR(__xludf.DUMMYFUNCTION("""COMPUTED_VALUE"""),1.0)</f>
        <v>1</v>
      </c>
      <c r="O1694" s="4" t="str">
        <f>IFERROR(__xludf.DUMMYFUNCTION("""COMPUTED_VALUE"""),"Saipos Serviços De Software")</f>
        <v>Saipos Serviços De Software</v>
      </c>
      <c r="P1694" s="33">
        <f>IFERROR(__xludf.DUMMYFUNCTION("""COMPUTED_VALUE"""),1.0)</f>
        <v>1</v>
      </c>
      <c r="Q1694" s="4" t="str">
        <f>IFERROR(__xludf.DUMMYFUNCTION("""COMPUTED_VALUE"""),"Saipos Serviços De Software")</f>
        <v>Saipos Serviços De Software</v>
      </c>
      <c r="R1694" s="33">
        <f>IFERROR(__xludf.DUMMYFUNCTION("""COMPUTED_VALUE"""),1.0)</f>
        <v>1</v>
      </c>
      <c r="S1694" s="4" t="str">
        <f>IFERROR(__xludf.DUMMYFUNCTION("""COMPUTED_VALUE"""),"Saipos Serviços De Software")</f>
        <v>Saipos Serviços De Software</v>
      </c>
      <c r="T1694" s="33">
        <f>IFERROR(__xludf.DUMMYFUNCTION("""COMPUTED_VALUE"""),1.0)</f>
        <v>1</v>
      </c>
      <c r="U1694" s="4" t="str">
        <f>IFERROR(__xludf.DUMMYFUNCTION("""COMPUTED_VALUE"""),"Saipos Serviços De Software")</f>
        <v>Saipos Serviços De Software</v>
      </c>
      <c r="V1694" s="33">
        <f>IFERROR(__xludf.DUMMYFUNCTION("""COMPUTED_VALUE"""),1.0)</f>
        <v>1</v>
      </c>
      <c r="W1694" s="4" t="str">
        <f>IFERROR(__xludf.DUMMYFUNCTION("""COMPUTED_VALUE"""),"Saipos Serviços De Software")</f>
        <v>Saipos Serviços De Software</v>
      </c>
      <c r="X1694" s="33">
        <f>IFERROR(__xludf.DUMMYFUNCTION("""COMPUTED_VALUE"""),1.0)</f>
        <v>1</v>
      </c>
    </row>
    <row r="1695">
      <c r="K1695" s="4" t="str">
        <f>IFERROR(__xludf.DUMMYFUNCTION("""COMPUTED_VALUE"""),"ESPHIRRAS DELIVERY")</f>
        <v>ESPHIRRAS DELIVERY</v>
      </c>
      <c r="L1695" s="32">
        <f>IFERROR(__xludf.DUMMYFUNCTION("""COMPUTED_VALUE"""),5.0)</f>
        <v>5</v>
      </c>
      <c r="M1695" s="4" t="str">
        <f>IFERROR(__xludf.DUMMYFUNCTION("""COMPUTED_VALUE"""),"Saipos Serviços De Software")</f>
        <v>Saipos Serviços De Software</v>
      </c>
      <c r="N1695" s="33">
        <f>IFERROR(__xludf.DUMMYFUNCTION("""COMPUTED_VALUE"""),0.8)</f>
        <v>0.8</v>
      </c>
      <c r="O1695" s="4" t="str">
        <f>IFERROR(__xludf.DUMMYFUNCTION("""COMPUTED_VALUE"""),"Saipos Serviços De Software")</f>
        <v>Saipos Serviços De Software</v>
      </c>
      <c r="P1695" s="33">
        <f>IFERROR(__xludf.DUMMYFUNCTION("""COMPUTED_VALUE"""),0.8)</f>
        <v>0.8</v>
      </c>
      <c r="Q1695" s="4" t="str">
        <f>IFERROR(__xludf.DUMMYFUNCTION("""COMPUTED_VALUE"""),"Saipos Serviços De Software")</f>
        <v>Saipos Serviços De Software</v>
      </c>
      <c r="R1695" s="33">
        <f>IFERROR(__xludf.DUMMYFUNCTION("""COMPUTED_VALUE"""),0.8)</f>
        <v>0.8</v>
      </c>
      <c r="S1695" s="4" t="str">
        <f>IFERROR(__xludf.DUMMYFUNCTION("""COMPUTED_VALUE"""),"Saipos Serviços De Software")</f>
        <v>Saipos Serviços De Software</v>
      </c>
      <c r="T1695" s="33">
        <f>IFERROR(__xludf.DUMMYFUNCTION("""COMPUTED_VALUE"""),0.8)</f>
        <v>0.8</v>
      </c>
      <c r="U1695" s="4" t="str">
        <f>IFERROR(__xludf.DUMMYFUNCTION("""COMPUTED_VALUE"""),"Saipos Serviços De Software")</f>
        <v>Saipos Serviços De Software</v>
      </c>
      <c r="V1695" s="33">
        <f>IFERROR(__xludf.DUMMYFUNCTION("""COMPUTED_VALUE"""),0.6)</f>
        <v>0.6</v>
      </c>
      <c r="W1695" s="4" t="str">
        <f>IFERROR(__xludf.DUMMYFUNCTION("""COMPUTED_VALUE"""),"Saipos Serviços De Software")</f>
        <v>Saipos Serviços De Software</v>
      </c>
      <c r="X1695" s="33">
        <f>IFERROR(__xludf.DUMMYFUNCTION("""COMPUTED_VALUE"""),0.8)</f>
        <v>0.8</v>
      </c>
    </row>
    <row r="1696">
      <c r="K1696" s="4" t="str">
        <f>IFERROR(__xludf.DUMMYFUNCTION("""COMPUTED_VALUE"""),"ESQUINA ARABE ARARAQUARA")</f>
        <v>ESQUINA ARABE ARARAQUARA</v>
      </c>
      <c r="L1696" s="32">
        <f>IFERROR(__xludf.DUMMYFUNCTION("""COMPUTED_VALUE"""),5.0)</f>
        <v>5</v>
      </c>
      <c r="M1696" s="4" t="str">
        <f>IFERROR(__xludf.DUMMYFUNCTION("""COMPUTED_VALUE"""),"Parseint Desenvolvimento De Sistemas Ltda")</f>
        <v>Parseint Desenvolvimento De Sistemas Ltda</v>
      </c>
      <c r="N1696" s="33">
        <f>IFERROR(__xludf.DUMMYFUNCTION("""COMPUTED_VALUE"""),0.4)</f>
        <v>0.4</v>
      </c>
      <c r="O1696" s="4" t="str">
        <f>IFERROR(__xludf.DUMMYFUNCTION("""COMPUTED_VALUE"""),"Parseint Desenvolvimento De Sistemas Ltda")</f>
        <v>Parseint Desenvolvimento De Sistemas Ltda</v>
      </c>
      <c r="P1696" s="33">
        <f>IFERROR(__xludf.DUMMYFUNCTION("""COMPUTED_VALUE"""),0.4)</f>
        <v>0.4</v>
      </c>
      <c r="Q1696" s="4" t="str">
        <f>IFERROR(__xludf.DUMMYFUNCTION("""COMPUTED_VALUE"""),"Parseint Desenvolvimento De Sistemas Ltda")</f>
        <v>Parseint Desenvolvimento De Sistemas Ltda</v>
      </c>
      <c r="R1696" s="33">
        <f>IFERROR(__xludf.DUMMYFUNCTION("""COMPUTED_VALUE"""),0.4)</f>
        <v>0.4</v>
      </c>
      <c r="S1696" s="4" t="str">
        <f>IFERROR(__xludf.DUMMYFUNCTION("""COMPUTED_VALUE"""),"Parseint Desenvolvimento De Sistemas Ltda")</f>
        <v>Parseint Desenvolvimento De Sistemas Ltda</v>
      </c>
      <c r="T1696" s="33">
        <f>IFERROR(__xludf.DUMMYFUNCTION("""COMPUTED_VALUE"""),0.4)</f>
        <v>0.4</v>
      </c>
      <c r="U1696" s="4" t="str">
        <f>IFERROR(__xludf.DUMMYFUNCTION("""COMPUTED_VALUE"""),"Parseint Desenvolvimento De Sistemas Ltda")</f>
        <v>Parseint Desenvolvimento De Sistemas Ltda</v>
      </c>
      <c r="V1696" s="33">
        <f>IFERROR(__xludf.DUMMYFUNCTION("""COMPUTED_VALUE"""),0.4)</f>
        <v>0.4</v>
      </c>
      <c r="W1696" s="4" t="str">
        <f>IFERROR(__xludf.DUMMYFUNCTION("""COMPUTED_VALUE"""),"Parseint Desenvolvimento De Sistemas Ltda")</f>
        <v>Parseint Desenvolvimento De Sistemas Ltda</v>
      </c>
      <c r="X1696" s="33">
        <f>IFERROR(__xludf.DUMMYFUNCTION("""COMPUTED_VALUE"""),0.4)</f>
        <v>0.4</v>
      </c>
    </row>
    <row r="1697">
      <c r="K1697" s="4" t="str">
        <f>IFERROR(__xludf.DUMMYFUNCTION("""COMPUTED_VALUE"""),"ESSENCIA CUIABANA")</f>
        <v>ESSENCIA CUIABANA</v>
      </c>
      <c r="L1697" s="32">
        <f>IFERROR(__xludf.DUMMYFUNCTION("""COMPUTED_VALUE"""),5.0)</f>
        <v>5</v>
      </c>
      <c r="M1697" s="4" t="str">
        <f>IFERROR(__xludf.DUMMYFUNCTION("""COMPUTED_VALUE"""),"Tacto Sistemas")</f>
        <v>Tacto Sistemas</v>
      </c>
      <c r="N1697" s="33">
        <f>IFERROR(__xludf.DUMMYFUNCTION("""COMPUTED_VALUE"""),1.0)</f>
        <v>1</v>
      </c>
      <c r="O1697" s="4" t="str">
        <f>IFERROR(__xludf.DUMMYFUNCTION("""COMPUTED_VALUE"""),"Tacto Sistemas")</f>
        <v>Tacto Sistemas</v>
      </c>
      <c r="P1697" s="33">
        <f>IFERROR(__xludf.DUMMYFUNCTION("""COMPUTED_VALUE"""),1.0)</f>
        <v>1</v>
      </c>
      <c r="Q1697" s="4" t="str">
        <f>IFERROR(__xludf.DUMMYFUNCTION("""COMPUTED_VALUE"""),"Tacto Sistemas")</f>
        <v>Tacto Sistemas</v>
      </c>
      <c r="R1697" s="33">
        <f>IFERROR(__xludf.DUMMYFUNCTION("""COMPUTED_VALUE"""),0.8)</f>
        <v>0.8</v>
      </c>
      <c r="S1697" s="4" t="str">
        <f>IFERROR(__xludf.DUMMYFUNCTION("""COMPUTED_VALUE"""),"Tacto Sistemas")</f>
        <v>Tacto Sistemas</v>
      </c>
      <c r="T1697" s="33">
        <f>IFERROR(__xludf.DUMMYFUNCTION("""COMPUTED_VALUE"""),1.0)</f>
        <v>1</v>
      </c>
      <c r="U1697" s="4" t="str">
        <f>IFERROR(__xludf.DUMMYFUNCTION("""COMPUTED_VALUE"""),"Tacto Sistemas")</f>
        <v>Tacto Sistemas</v>
      </c>
      <c r="V1697" s="33">
        <f>IFERROR(__xludf.DUMMYFUNCTION("""COMPUTED_VALUE"""),1.0)</f>
        <v>1</v>
      </c>
      <c r="W1697" s="4" t="str">
        <f>IFERROR(__xludf.DUMMYFUNCTION("""COMPUTED_VALUE"""),"Tacto Sistemas")</f>
        <v>Tacto Sistemas</v>
      </c>
      <c r="X1697" s="33">
        <f>IFERROR(__xludf.DUMMYFUNCTION("""COMPUTED_VALUE"""),0.6)</f>
        <v>0.6</v>
      </c>
    </row>
    <row r="1698">
      <c r="K1698" s="4" t="str">
        <f>IFERROR(__xludf.DUMMYFUNCTION("""COMPUTED_VALUE"""),"EXCALIBURGER")</f>
        <v>EXCALIBURGER</v>
      </c>
      <c r="L1698" s="32">
        <f>IFERROR(__xludf.DUMMYFUNCTION("""COMPUTED_VALUE"""),5.0)</f>
        <v>5</v>
      </c>
      <c r="M1698" s="4" t="str">
        <f>IFERROR(__xludf.DUMMYFUNCTION("""COMPUTED_VALUE"""),"Saipos Serviços De Software")</f>
        <v>Saipos Serviços De Software</v>
      </c>
      <c r="N1698" s="33">
        <f>IFERROR(__xludf.DUMMYFUNCTION("""COMPUTED_VALUE"""),1.0)</f>
        <v>1</v>
      </c>
      <c r="O1698" s="4" t="str">
        <f>IFERROR(__xludf.DUMMYFUNCTION("""COMPUTED_VALUE"""),"Saipos Serviços De Software")</f>
        <v>Saipos Serviços De Software</v>
      </c>
      <c r="P1698" s="33">
        <f>IFERROR(__xludf.DUMMYFUNCTION("""COMPUTED_VALUE"""),1.0)</f>
        <v>1</v>
      </c>
      <c r="Q1698" s="4" t="str">
        <f>IFERROR(__xludf.DUMMYFUNCTION("""COMPUTED_VALUE"""),"Saipos Serviços De Software")</f>
        <v>Saipos Serviços De Software</v>
      </c>
      <c r="R1698" s="33">
        <f>IFERROR(__xludf.DUMMYFUNCTION("""COMPUTED_VALUE"""),1.0)</f>
        <v>1</v>
      </c>
      <c r="S1698" s="4" t="str">
        <f>IFERROR(__xludf.DUMMYFUNCTION("""COMPUTED_VALUE"""),"Saipos Serviços De Software")</f>
        <v>Saipos Serviços De Software</v>
      </c>
      <c r="T1698" s="33">
        <f>IFERROR(__xludf.DUMMYFUNCTION("""COMPUTED_VALUE"""),1.0)</f>
        <v>1</v>
      </c>
      <c r="U1698" s="4" t="str">
        <f>IFERROR(__xludf.DUMMYFUNCTION("""COMPUTED_VALUE"""),"Saipos Serviços De Software")</f>
        <v>Saipos Serviços De Software</v>
      </c>
      <c r="V1698" s="33">
        <f>IFERROR(__xludf.DUMMYFUNCTION("""COMPUTED_VALUE"""),1.0)</f>
        <v>1</v>
      </c>
      <c r="W1698" s="4" t="str">
        <f>IFERROR(__xludf.DUMMYFUNCTION("""COMPUTED_VALUE"""),"Saipos Serviços De Software")</f>
        <v>Saipos Serviços De Software</v>
      </c>
      <c r="X1698" s="33">
        <f>IFERROR(__xludf.DUMMYFUNCTION("""COMPUTED_VALUE"""),1.0)</f>
        <v>1</v>
      </c>
    </row>
    <row r="1699">
      <c r="K1699" s="4" t="str">
        <f>IFERROR(__xludf.DUMMYFUNCTION("""COMPUTED_VALUE"""),"FABRICA DE BARES")</f>
        <v>FABRICA DE BARES</v>
      </c>
      <c r="L1699" s="32">
        <f>IFERROR(__xludf.DUMMYFUNCTION("""COMPUTED_VALUE"""),5.0)</f>
        <v>5</v>
      </c>
      <c r="M1699" s="4" t="str">
        <f>IFERROR(__xludf.DUMMYFUNCTION("""COMPUTED_VALUE"""),"Zigpay")</f>
        <v>Zigpay</v>
      </c>
      <c r="N1699" s="33">
        <f>IFERROR(__xludf.DUMMYFUNCTION("""COMPUTED_VALUE"""),0.8)</f>
        <v>0.8</v>
      </c>
      <c r="O1699" s="4" t="str">
        <f>IFERROR(__xludf.DUMMYFUNCTION("""COMPUTED_VALUE"""),"Zigpay")</f>
        <v>Zigpay</v>
      </c>
      <c r="P1699" s="33">
        <f>IFERROR(__xludf.DUMMYFUNCTION("""COMPUTED_VALUE"""),0.8)</f>
        <v>0.8</v>
      </c>
      <c r="Q1699" s="4" t="str">
        <f>IFERROR(__xludf.DUMMYFUNCTION("""COMPUTED_VALUE"""),"Zigpay")</f>
        <v>Zigpay</v>
      </c>
      <c r="R1699" s="33">
        <f>IFERROR(__xludf.DUMMYFUNCTION("""COMPUTED_VALUE"""),0.8)</f>
        <v>0.8</v>
      </c>
      <c r="S1699" s="4" t="str">
        <f>IFERROR(__xludf.DUMMYFUNCTION("""COMPUTED_VALUE"""),"Zigpay")</f>
        <v>Zigpay</v>
      </c>
      <c r="T1699" s="33">
        <f>IFERROR(__xludf.DUMMYFUNCTION("""COMPUTED_VALUE"""),0.8)</f>
        <v>0.8</v>
      </c>
      <c r="U1699" s="4" t="str">
        <f>IFERROR(__xludf.DUMMYFUNCTION("""COMPUTED_VALUE"""),"Zigpay")</f>
        <v>Zigpay</v>
      </c>
      <c r="V1699" s="33">
        <f>IFERROR(__xludf.DUMMYFUNCTION("""COMPUTED_VALUE"""),0.8)</f>
        <v>0.8</v>
      </c>
      <c r="W1699" s="4" t="str">
        <f>IFERROR(__xludf.DUMMYFUNCTION("""COMPUTED_VALUE"""),"Zigpay")</f>
        <v>Zigpay</v>
      </c>
      <c r="X1699" s="33">
        <f>IFERROR(__xludf.DUMMYFUNCTION("""COMPUTED_VALUE"""),1.0)</f>
        <v>1</v>
      </c>
    </row>
    <row r="1700">
      <c r="K1700" s="4" t="str">
        <f>IFERROR(__xludf.DUMMYFUNCTION("""COMPUTED_VALUE"""),"FARMACIAS BIGFORT - MARCA")</f>
        <v>FARMACIAS BIGFORT - MARCA</v>
      </c>
      <c r="L1700" s="32">
        <f>IFERROR(__xludf.DUMMYFUNCTION("""COMPUTED_VALUE"""),5.0)</f>
        <v>5</v>
      </c>
      <c r="M1700" s="4" t="str">
        <f>IFERROR(__xludf.DUMMYFUNCTION("""COMPUTED_VALUE"""),"null")</f>
        <v>null</v>
      </c>
      <c r="N1700" s="33">
        <f>IFERROR(__xludf.DUMMYFUNCTION("""COMPUTED_VALUE"""),0.6)</f>
        <v>0.6</v>
      </c>
      <c r="O1700" s="4" t="str">
        <f>IFERROR(__xludf.DUMMYFUNCTION("""COMPUTED_VALUE"""),"N/A (Not found)")</f>
        <v>N/A (Not found)</v>
      </c>
      <c r="P1700" s="33">
        <f>IFERROR(__xludf.DUMMYFUNCTION("""COMPUTED_VALUE"""),0.8)</f>
        <v>0.8</v>
      </c>
      <c r="Q1700" s="4" t="str">
        <f>IFERROR(__xludf.DUMMYFUNCTION("""COMPUTED_VALUE"""),"N/A (Not found)")</f>
        <v>N/A (Not found)</v>
      </c>
      <c r="R1700" s="33">
        <f>IFERROR(__xludf.DUMMYFUNCTION("""COMPUTED_VALUE"""),1.0)</f>
        <v>1</v>
      </c>
      <c r="S1700" s="4" t="str">
        <f>IFERROR(__xludf.DUMMYFUNCTION("""COMPUTED_VALUE"""),"N/A (Not found)")</f>
        <v>N/A (Not found)</v>
      </c>
      <c r="T1700" s="33">
        <f>IFERROR(__xludf.DUMMYFUNCTION("""COMPUTED_VALUE"""),0.8)</f>
        <v>0.8</v>
      </c>
      <c r="U1700" s="4" t="str">
        <f>IFERROR(__xludf.DUMMYFUNCTION("""COMPUTED_VALUE"""),"N/A (Not found)")</f>
        <v>N/A (Not found)</v>
      </c>
      <c r="V1700" s="33">
        <f>IFERROR(__xludf.DUMMYFUNCTION("""COMPUTED_VALUE"""),0.8)</f>
        <v>0.8</v>
      </c>
      <c r="W1700" s="4" t="str">
        <f>IFERROR(__xludf.DUMMYFUNCTION("""COMPUTED_VALUE"""),"N/A (Not found)")</f>
        <v>N/A (Not found)</v>
      </c>
      <c r="X1700" s="33">
        <f>IFERROR(__xludf.DUMMYFUNCTION("""COMPUTED_VALUE"""),0.6)</f>
        <v>0.6</v>
      </c>
    </row>
    <row r="1701">
      <c r="K1701" s="4" t="str">
        <f>IFERROR(__xludf.DUMMYFUNCTION("""COMPUTED_VALUE"""),"FARMANTARTICA - MARCA")</f>
        <v>FARMANTARTICA - MARCA</v>
      </c>
      <c r="L1701" s="32">
        <f>IFERROR(__xludf.DUMMYFUNCTION("""COMPUTED_VALUE"""),5.0)</f>
        <v>5</v>
      </c>
      <c r="M1701" s="4" t="str">
        <f>IFERROR(__xludf.DUMMYFUNCTION("""COMPUTED_VALUE"""),"N/A (Not found)")</f>
        <v>N/A (Not found)</v>
      </c>
      <c r="N1701" s="33">
        <f>IFERROR(__xludf.DUMMYFUNCTION("""COMPUTED_VALUE"""),1.0)</f>
        <v>1</v>
      </c>
      <c r="O1701" s="4" t="str">
        <f>IFERROR(__xludf.DUMMYFUNCTION("""COMPUTED_VALUE"""),"N/A (Not found)")</f>
        <v>N/A (Not found)</v>
      </c>
      <c r="P1701" s="33">
        <f>IFERROR(__xludf.DUMMYFUNCTION("""COMPUTED_VALUE"""),1.0)</f>
        <v>1</v>
      </c>
      <c r="Q1701" s="4" t="str">
        <f>IFERROR(__xludf.DUMMYFUNCTION("""COMPUTED_VALUE"""),"N/A (Not found)")</f>
        <v>N/A (Not found)</v>
      </c>
      <c r="R1701" s="33">
        <f>IFERROR(__xludf.DUMMYFUNCTION("""COMPUTED_VALUE"""),1.0)</f>
        <v>1</v>
      </c>
      <c r="S1701" s="4" t="str">
        <f>IFERROR(__xludf.DUMMYFUNCTION("""COMPUTED_VALUE"""),"N/A (Not found)")</f>
        <v>N/A (Not found)</v>
      </c>
      <c r="T1701" s="33">
        <f>IFERROR(__xludf.DUMMYFUNCTION("""COMPUTED_VALUE"""),1.0)</f>
        <v>1</v>
      </c>
      <c r="U1701" s="4" t="str">
        <f>IFERROR(__xludf.DUMMYFUNCTION("""COMPUTED_VALUE"""),"N/A (Not found)")</f>
        <v>N/A (Not found)</v>
      </c>
      <c r="V1701" s="33">
        <f>IFERROR(__xludf.DUMMYFUNCTION("""COMPUTED_VALUE"""),1.0)</f>
        <v>1</v>
      </c>
      <c r="W1701" s="4" t="str">
        <f>IFERROR(__xludf.DUMMYFUNCTION("""COMPUTED_VALUE"""),"N/A (Not found)")</f>
        <v>N/A (Not found)</v>
      </c>
      <c r="X1701" s="33">
        <f>IFERROR(__xludf.DUMMYFUNCTION("""COMPUTED_VALUE"""),1.0)</f>
        <v>1</v>
      </c>
    </row>
    <row r="1702">
      <c r="K1702" s="4" t="str">
        <f>IFERROR(__xludf.DUMMYFUNCTION("""COMPUTED_VALUE"""),"FAZENDA CHURRASCADA SP")</f>
        <v>FAZENDA CHURRASCADA SP</v>
      </c>
      <c r="L1702" s="32">
        <f>IFERROR(__xludf.DUMMYFUNCTION("""COMPUTED_VALUE"""),5.0)</f>
        <v>5</v>
      </c>
      <c r="M1702" s="4" t="str">
        <f>IFERROR(__xludf.DUMMYFUNCTION("""COMPUTED_VALUE"""),"Zigpay")</f>
        <v>Zigpay</v>
      </c>
      <c r="N1702" s="33">
        <f>IFERROR(__xludf.DUMMYFUNCTION("""COMPUTED_VALUE"""),0.8)</f>
        <v>0.8</v>
      </c>
      <c r="O1702" s="4" t="str">
        <f>IFERROR(__xludf.DUMMYFUNCTION("""COMPUTED_VALUE"""),"Zigpay")</f>
        <v>Zigpay</v>
      </c>
      <c r="P1702" s="33">
        <f>IFERROR(__xludf.DUMMYFUNCTION("""COMPUTED_VALUE"""),0.8)</f>
        <v>0.8</v>
      </c>
      <c r="Q1702" s="4" t="str">
        <f>IFERROR(__xludf.DUMMYFUNCTION("""COMPUTED_VALUE"""),"Zigpay")</f>
        <v>Zigpay</v>
      </c>
      <c r="R1702" s="33">
        <f>IFERROR(__xludf.DUMMYFUNCTION("""COMPUTED_VALUE"""),0.8)</f>
        <v>0.8</v>
      </c>
      <c r="S1702" s="4" t="str">
        <f>IFERROR(__xludf.DUMMYFUNCTION("""COMPUTED_VALUE"""),"Zigpay")</f>
        <v>Zigpay</v>
      </c>
      <c r="T1702" s="33">
        <f>IFERROR(__xludf.DUMMYFUNCTION("""COMPUTED_VALUE"""),0.8)</f>
        <v>0.8</v>
      </c>
      <c r="U1702" s="4" t="str">
        <f>IFERROR(__xludf.DUMMYFUNCTION("""COMPUTED_VALUE"""),"Zigpay")</f>
        <v>Zigpay</v>
      </c>
      <c r="V1702" s="33">
        <f>IFERROR(__xludf.DUMMYFUNCTION("""COMPUTED_VALUE"""),0.6)</f>
        <v>0.6</v>
      </c>
      <c r="W1702" s="4" t="str">
        <f>IFERROR(__xludf.DUMMYFUNCTION("""COMPUTED_VALUE"""),"Zigpay")</f>
        <v>Zigpay</v>
      </c>
      <c r="X1702" s="33">
        <f>IFERROR(__xludf.DUMMYFUNCTION("""COMPUTED_VALUE"""),0.8)</f>
        <v>0.8</v>
      </c>
    </row>
    <row r="1703">
      <c r="K1703" s="4" t="str">
        <f>IFERROR(__xludf.DUMMYFUNCTION("""COMPUTED_VALUE"""),"FERREIRINHA")</f>
        <v>FERREIRINHA</v>
      </c>
      <c r="L1703" s="32">
        <f>IFERROR(__xludf.DUMMYFUNCTION("""COMPUTED_VALUE"""),5.0)</f>
        <v>5</v>
      </c>
      <c r="M1703" s="4" t="str">
        <f>IFERROR(__xludf.DUMMYFUNCTION("""COMPUTED_VALUE"""),"Ncr")</f>
        <v>Ncr</v>
      </c>
      <c r="N1703" s="33">
        <f>IFERROR(__xludf.DUMMYFUNCTION("""COMPUTED_VALUE"""),0.6)</f>
        <v>0.6</v>
      </c>
      <c r="O1703" s="4" t="str">
        <f>IFERROR(__xludf.DUMMYFUNCTION("""COMPUTED_VALUE"""),"null")</f>
        <v>null</v>
      </c>
      <c r="P1703" s="33">
        <f>IFERROR(__xludf.DUMMYFUNCTION("""COMPUTED_VALUE"""),0.4)</f>
        <v>0.4</v>
      </c>
      <c r="Q1703" s="4" t="str">
        <f>IFERROR(__xludf.DUMMYFUNCTION("""COMPUTED_VALUE"""),"Ncr")</f>
        <v>Ncr</v>
      </c>
      <c r="R1703" s="33">
        <f>IFERROR(__xludf.DUMMYFUNCTION("""COMPUTED_VALUE"""),0.6)</f>
        <v>0.6</v>
      </c>
      <c r="S1703" s="4" t="str">
        <f>IFERROR(__xludf.DUMMYFUNCTION("""COMPUTED_VALUE"""),"Ncr")</f>
        <v>Ncr</v>
      </c>
      <c r="T1703" s="33">
        <f>IFERROR(__xludf.DUMMYFUNCTION("""COMPUTED_VALUE"""),0.6)</f>
        <v>0.6</v>
      </c>
      <c r="U1703" s="4" t="str">
        <f>IFERROR(__xludf.DUMMYFUNCTION("""COMPUTED_VALUE"""),"null")</f>
        <v>null</v>
      </c>
      <c r="V1703" s="33">
        <f>IFERROR(__xludf.DUMMYFUNCTION("""COMPUTED_VALUE"""),0.4)</f>
        <v>0.4</v>
      </c>
      <c r="W1703" s="4" t="str">
        <f>IFERROR(__xludf.DUMMYFUNCTION("""COMPUTED_VALUE"""),"Ncr")</f>
        <v>Ncr</v>
      </c>
      <c r="X1703" s="33">
        <f>IFERROR(__xludf.DUMMYFUNCTION("""COMPUTED_VALUE"""),0.8)</f>
        <v>0.8</v>
      </c>
    </row>
    <row r="1704">
      <c r="K1704" s="4" t="str">
        <f>IFERROR(__xludf.DUMMYFUNCTION("""COMPUTED_VALUE"""),"FLAMY")</f>
        <v>FLAMY</v>
      </c>
      <c r="L1704" s="32">
        <f>IFERROR(__xludf.DUMMYFUNCTION("""COMPUTED_VALUE"""),5.0)</f>
        <v>5</v>
      </c>
      <c r="M1704" s="4" t="str">
        <f>IFERROR(__xludf.DUMMYFUNCTION("""COMPUTED_VALUE"""),"Master Soluções Desenvolvimento De Software Ltda Me")</f>
        <v>Master Soluções Desenvolvimento De Software Ltda Me</v>
      </c>
      <c r="N1704" s="33">
        <f>IFERROR(__xludf.DUMMYFUNCTION("""COMPUTED_VALUE"""),0.8)</f>
        <v>0.8</v>
      </c>
      <c r="O1704" s="4" t="str">
        <f>IFERROR(__xludf.DUMMYFUNCTION("""COMPUTED_VALUE"""),"Master Soluções Desenvolvimento De Software Ltda Me")</f>
        <v>Master Soluções Desenvolvimento De Software Ltda Me</v>
      </c>
      <c r="P1704" s="33">
        <f>IFERROR(__xludf.DUMMYFUNCTION("""COMPUTED_VALUE"""),0.8)</f>
        <v>0.8</v>
      </c>
      <c r="Q1704" s="4" t="str">
        <f>IFERROR(__xludf.DUMMYFUNCTION("""COMPUTED_VALUE"""),"Master Soluções Desenvolvimento De Software Ltda Me")</f>
        <v>Master Soluções Desenvolvimento De Software Ltda Me</v>
      </c>
      <c r="R1704" s="33">
        <f>IFERROR(__xludf.DUMMYFUNCTION("""COMPUTED_VALUE"""),0.6)</f>
        <v>0.6</v>
      </c>
      <c r="S1704" s="4" t="str">
        <f>IFERROR(__xludf.DUMMYFUNCTION("""COMPUTED_VALUE"""),"null")</f>
        <v>null</v>
      </c>
      <c r="T1704" s="33">
        <f>IFERROR(__xludf.DUMMYFUNCTION("""COMPUTED_VALUE"""),0.6)</f>
        <v>0.6</v>
      </c>
      <c r="U1704" s="4" t="str">
        <f>IFERROR(__xludf.DUMMYFUNCTION("""COMPUTED_VALUE"""),"null")</f>
        <v>null</v>
      </c>
      <c r="V1704" s="33">
        <f>IFERROR(__xludf.DUMMYFUNCTION("""COMPUTED_VALUE"""),0.4)</f>
        <v>0.4</v>
      </c>
      <c r="W1704" s="4" t="str">
        <f>IFERROR(__xludf.DUMMYFUNCTION("""COMPUTED_VALUE"""),"Cardápio Web")</f>
        <v>Cardápio Web</v>
      </c>
      <c r="X1704" s="33">
        <f>IFERROR(__xludf.DUMMYFUNCTION("""COMPUTED_VALUE"""),0.6)</f>
        <v>0.6</v>
      </c>
    </row>
    <row r="1705">
      <c r="K1705" s="4" t="str">
        <f>IFERROR(__xludf.DUMMYFUNCTION("""COMPUTED_VALUE"""),"FORMIGUEIRO")</f>
        <v>FORMIGUEIRO</v>
      </c>
      <c r="L1705" s="32">
        <f>IFERROR(__xludf.DUMMYFUNCTION("""COMPUTED_VALUE"""),5.0)</f>
        <v>5</v>
      </c>
      <c r="M1705" s="4" t="str">
        <f>IFERROR(__xludf.DUMMYFUNCTION("""COMPUTED_VALUE"""),"Takeat Tecnologia")</f>
        <v>Takeat Tecnologia</v>
      </c>
      <c r="N1705" s="33">
        <f>IFERROR(__xludf.DUMMYFUNCTION("""COMPUTED_VALUE"""),0.6)</f>
        <v>0.6</v>
      </c>
      <c r="O1705" s="4" t="str">
        <f>IFERROR(__xludf.DUMMYFUNCTION("""COMPUTED_VALUE"""),"Takeat Tecnologia")</f>
        <v>Takeat Tecnologia</v>
      </c>
      <c r="P1705" s="33">
        <f>IFERROR(__xludf.DUMMYFUNCTION("""COMPUTED_VALUE"""),0.6)</f>
        <v>0.6</v>
      </c>
      <c r="Q1705" s="4" t="str">
        <f>IFERROR(__xludf.DUMMYFUNCTION("""COMPUTED_VALUE"""),"Takeat Tecnologia")</f>
        <v>Takeat Tecnologia</v>
      </c>
      <c r="R1705" s="33">
        <f>IFERROR(__xludf.DUMMYFUNCTION("""COMPUTED_VALUE"""),0.6)</f>
        <v>0.6</v>
      </c>
      <c r="S1705" s="4" t="str">
        <f>IFERROR(__xludf.DUMMYFUNCTION("""COMPUTED_VALUE"""),"Takeat Tecnologia")</f>
        <v>Takeat Tecnologia</v>
      </c>
      <c r="T1705" s="33">
        <f>IFERROR(__xludf.DUMMYFUNCTION("""COMPUTED_VALUE"""),0.6)</f>
        <v>0.6</v>
      </c>
      <c r="U1705" s="4" t="str">
        <f>IFERROR(__xludf.DUMMYFUNCTION("""COMPUTED_VALUE"""),"Takeat Tecnologia")</f>
        <v>Takeat Tecnologia</v>
      </c>
      <c r="V1705" s="33">
        <f>IFERROR(__xludf.DUMMYFUNCTION("""COMPUTED_VALUE"""),0.6)</f>
        <v>0.6</v>
      </c>
      <c r="W1705" s="4" t="str">
        <f>IFERROR(__xludf.DUMMYFUNCTION("""COMPUTED_VALUE"""),"Takeat Tecnologia")</f>
        <v>Takeat Tecnologia</v>
      </c>
      <c r="X1705" s="33">
        <f>IFERROR(__xludf.DUMMYFUNCTION("""COMPUTED_VALUE"""),0.8)</f>
        <v>0.8</v>
      </c>
    </row>
    <row r="1706">
      <c r="K1706" s="4" t="str">
        <f>IFERROR(__xludf.DUMMYFUNCTION("""COMPUTED_VALUE"""),"FORNAO - CONTA MARCA")</f>
        <v>FORNAO - CONTA MARCA</v>
      </c>
      <c r="L1706" s="32">
        <f>IFERROR(__xludf.DUMMYFUNCTION("""COMPUTED_VALUE"""),5.0)</f>
        <v>5</v>
      </c>
      <c r="M1706" s="4" t="str">
        <f>IFERROR(__xludf.DUMMYFUNCTION("""COMPUTED_VALUE"""),"Saipos Serviços De Software")</f>
        <v>Saipos Serviços De Software</v>
      </c>
      <c r="N1706" s="33">
        <f>IFERROR(__xludf.DUMMYFUNCTION("""COMPUTED_VALUE"""),0.8)</f>
        <v>0.8</v>
      </c>
      <c r="O1706" s="4" t="str">
        <f>IFERROR(__xludf.DUMMYFUNCTION("""COMPUTED_VALUE"""),"Saipos Serviços De Software")</f>
        <v>Saipos Serviços De Software</v>
      </c>
      <c r="P1706" s="33">
        <f>IFERROR(__xludf.DUMMYFUNCTION("""COMPUTED_VALUE"""),0.8)</f>
        <v>0.8</v>
      </c>
      <c r="Q1706" s="4" t="str">
        <f>IFERROR(__xludf.DUMMYFUNCTION("""COMPUTED_VALUE"""),"Saipos Serviços De Software")</f>
        <v>Saipos Serviços De Software</v>
      </c>
      <c r="R1706" s="33">
        <f>IFERROR(__xludf.DUMMYFUNCTION("""COMPUTED_VALUE"""),0.8)</f>
        <v>0.8</v>
      </c>
      <c r="S1706" s="4" t="str">
        <f>IFERROR(__xludf.DUMMYFUNCTION("""COMPUTED_VALUE"""),"Saipos Serviços De Software")</f>
        <v>Saipos Serviços De Software</v>
      </c>
      <c r="T1706" s="33">
        <f>IFERROR(__xludf.DUMMYFUNCTION("""COMPUTED_VALUE"""),0.8)</f>
        <v>0.8</v>
      </c>
      <c r="U1706" s="4" t="str">
        <f>IFERROR(__xludf.DUMMYFUNCTION("""COMPUTED_VALUE"""),"Saipos Serviços De Software")</f>
        <v>Saipos Serviços De Software</v>
      </c>
      <c r="V1706" s="33">
        <f>IFERROR(__xludf.DUMMYFUNCTION("""COMPUTED_VALUE"""),0.8)</f>
        <v>0.8</v>
      </c>
      <c r="W1706" s="4" t="str">
        <f>IFERROR(__xludf.DUMMYFUNCTION("""COMPUTED_VALUE"""),"Saipos Serviços De Software")</f>
        <v>Saipos Serviços De Software</v>
      </c>
      <c r="X1706" s="33">
        <f>IFERROR(__xludf.DUMMYFUNCTION("""COMPUTED_VALUE"""),0.8)</f>
        <v>0.8</v>
      </c>
    </row>
    <row r="1707">
      <c r="K1707" s="4" t="str">
        <f>IFERROR(__xludf.DUMMYFUNCTION("""COMPUTED_VALUE"""),"FRANGO PREDILETO")</f>
        <v>FRANGO PREDILETO</v>
      </c>
      <c r="L1707" s="32">
        <f>IFERROR(__xludf.DUMMYFUNCTION("""COMPUTED_VALUE"""),5.0)</f>
        <v>5</v>
      </c>
      <c r="M1707" s="4" t="str">
        <f>IFERROR(__xludf.DUMMYFUNCTION("""COMPUTED_VALUE"""),"Solução Sistemas")</f>
        <v>Solução Sistemas</v>
      </c>
      <c r="N1707" s="33">
        <f>IFERROR(__xludf.DUMMYFUNCTION("""COMPUTED_VALUE"""),0.8)</f>
        <v>0.8</v>
      </c>
      <c r="O1707" s="4" t="str">
        <f>IFERROR(__xludf.DUMMYFUNCTION("""COMPUTED_VALUE"""),"Solução Sistemas")</f>
        <v>Solução Sistemas</v>
      </c>
      <c r="P1707" s="33">
        <f>IFERROR(__xludf.DUMMYFUNCTION("""COMPUTED_VALUE"""),0.6)</f>
        <v>0.6</v>
      </c>
      <c r="Q1707" s="4" t="str">
        <f>IFERROR(__xludf.DUMMYFUNCTION("""COMPUTED_VALUE"""),"Solução Sistemas")</f>
        <v>Solução Sistemas</v>
      </c>
      <c r="R1707" s="33">
        <f>IFERROR(__xludf.DUMMYFUNCTION("""COMPUTED_VALUE"""),0.6)</f>
        <v>0.6</v>
      </c>
      <c r="S1707" s="4" t="str">
        <f>IFERROR(__xludf.DUMMYFUNCTION("""COMPUTED_VALUE"""),"Solução Sistemas")</f>
        <v>Solução Sistemas</v>
      </c>
      <c r="T1707" s="33">
        <f>IFERROR(__xludf.DUMMYFUNCTION("""COMPUTED_VALUE"""),0.8)</f>
        <v>0.8</v>
      </c>
      <c r="U1707" s="4" t="str">
        <f>IFERROR(__xludf.DUMMYFUNCTION("""COMPUTED_VALUE"""),"null")</f>
        <v>null</v>
      </c>
      <c r="V1707" s="33">
        <f>IFERROR(__xludf.DUMMYFUNCTION("""COMPUTED_VALUE"""),0.4)</f>
        <v>0.4</v>
      </c>
      <c r="W1707" s="4" t="str">
        <f>IFERROR(__xludf.DUMMYFUNCTION("""COMPUTED_VALUE"""),"null")</f>
        <v>null</v>
      </c>
      <c r="X1707" s="33">
        <f>IFERROR(__xludf.DUMMYFUNCTION("""COMPUTED_VALUE"""),0.4)</f>
        <v>0.4</v>
      </c>
    </row>
    <row r="1708">
      <c r="K1708" s="4" t="str">
        <f>IFERROR(__xludf.DUMMYFUNCTION("""COMPUTED_VALUE"""),"FRISABOR")</f>
        <v>FRISABOR</v>
      </c>
      <c r="L1708" s="32">
        <f>IFERROR(__xludf.DUMMYFUNCTION("""COMPUTED_VALUE"""),5.0)</f>
        <v>5</v>
      </c>
      <c r="M1708" s="4" t="str">
        <f>IFERROR(__xludf.DUMMYFUNCTION("""COMPUTED_VALUE"""),"Rajtecnologia")</f>
        <v>Rajtecnologia</v>
      </c>
      <c r="N1708" s="33">
        <f>IFERROR(__xludf.DUMMYFUNCTION("""COMPUTED_VALUE"""),1.0)</f>
        <v>1</v>
      </c>
      <c r="O1708" s="4" t="str">
        <f>IFERROR(__xludf.DUMMYFUNCTION("""COMPUTED_VALUE"""),"Rajtecnologia")</f>
        <v>Rajtecnologia</v>
      </c>
      <c r="P1708" s="33">
        <f>IFERROR(__xludf.DUMMYFUNCTION("""COMPUTED_VALUE"""),1.0)</f>
        <v>1</v>
      </c>
      <c r="Q1708" s="4" t="str">
        <f>IFERROR(__xludf.DUMMYFUNCTION("""COMPUTED_VALUE"""),"Rajtecnologia")</f>
        <v>Rajtecnologia</v>
      </c>
      <c r="R1708" s="33">
        <f>IFERROR(__xludf.DUMMYFUNCTION("""COMPUTED_VALUE"""),1.0)</f>
        <v>1</v>
      </c>
      <c r="S1708" s="4" t="str">
        <f>IFERROR(__xludf.DUMMYFUNCTION("""COMPUTED_VALUE"""),"Rajtecnologia")</f>
        <v>Rajtecnologia</v>
      </c>
      <c r="T1708" s="33">
        <f>IFERROR(__xludf.DUMMYFUNCTION("""COMPUTED_VALUE"""),1.0)</f>
        <v>1</v>
      </c>
      <c r="U1708" s="4" t="str">
        <f>IFERROR(__xludf.DUMMYFUNCTION("""COMPUTED_VALUE"""),"Rajtecnologia")</f>
        <v>Rajtecnologia</v>
      </c>
      <c r="V1708" s="33">
        <f>IFERROR(__xludf.DUMMYFUNCTION("""COMPUTED_VALUE"""),0.8)</f>
        <v>0.8</v>
      </c>
      <c r="W1708" s="4" t="str">
        <f>IFERROR(__xludf.DUMMYFUNCTION("""COMPUTED_VALUE"""),"Rajtecnologia")</f>
        <v>Rajtecnologia</v>
      </c>
      <c r="X1708" s="33">
        <f>IFERROR(__xludf.DUMMYFUNCTION("""COMPUTED_VALUE"""),1.0)</f>
        <v>1</v>
      </c>
    </row>
    <row r="1709">
      <c r="K1709" s="4" t="str">
        <f>IFERROR(__xludf.DUMMYFUNCTION("""COMPUTED_VALUE"""),"FRITIS UBERABA")</f>
        <v>FRITIS UBERABA</v>
      </c>
      <c r="L1709" s="32">
        <f>IFERROR(__xludf.DUMMYFUNCTION("""COMPUTED_VALUE"""),5.0)</f>
        <v>5</v>
      </c>
      <c r="M1709" s="4" t="str">
        <f>IFERROR(__xludf.DUMMYFUNCTION("""COMPUTED_VALUE"""),"Takeat Tecnologia")</f>
        <v>Takeat Tecnologia</v>
      </c>
      <c r="N1709" s="33">
        <f>IFERROR(__xludf.DUMMYFUNCTION("""COMPUTED_VALUE"""),1.0)</f>
        <v>1</v>
      </c>
      <c r="O1709" s="4" t="str">
        <f>IFERROR(__xludf.DUMMYFUNCTION("""COMPUTED_VALUE"""),"Takeat Tecnologia")</f>
        <v>Takeat Tecnologia</v>
      </c>
      <c r="P1709" s="33">
        <f>IFERROR(__xludf.DUMMYFUNCTION("""COMPUTED_VALUE"""),0.6)</f>
        <v>0.6</v>
      </c>
      <c r="Q1709" s="4" t="str">
        <f>IFERROR(__xludf.DUMMYFUNCTION("""COMPUTED_VALUE"""),"Takeat Tecnologia")</f>
        <v>Takeat Tecnologia</v>
      </c>
      <c r="R1709" s="33">
        <f>IFERROR(__xludf.DUMMYFUNCTION("""COMPUTED_VALUE"""),0.6)</f>
        <v>0.6</v>
      </c>
      <c r="S1709" s="4" t="str">
        <f>IFERROR(__xludf.DUMMYFUNCTION("""COMPUTED_VALUE"""),"Consumer Soluções Em Tecnologia Ltda")</f>
        <v>Consumer Soluções Em Tecnologia Ltda</v>
      </c>
      <c r="T1709" s="33">
        <f>IFERROR(__xludf.DUMMYFUNCTION("""COMPUTED_VALUE"""),0.4)</f>
        <v>0.4</v>
      </c>
      <c r="U1709" s="4" t="str">
        <f>IFERROR(__xludf.DUMMYFUNCTION("""COMPUTED_VALUE"""),"null")</f>
        <v>null</v>
      </c>
      <c r="V1709" s="33">
        <f>IFERROR(__xludf.DUMMYFUNCTION("""COMPUTED_VALUE"""),0.6)</f>
        <v>0.6</v>
      </c>
      <c r="W1709" s="4" t="str">
        <f>IFERROR(__xludf.DUMMYFUNCTION("""COMPUTED_VALUE"""),"null")</f>
        <v>null</v>
      </c>
      <c r="X1709" s="33">
        <f>IFERROR(__xludf.DUMMYFUNCTION("""COMPUTED_VALUE"""),0.6)</f>
        <v>0.6</v>
      </c>
    </row>
    <row r="1710">
      <c r="K1710" s="4" t="str">
        <f>IFERROR(__xludf.DUMMYFUNCTION("""COMPUTED_VALUE"""),"FRUTARIA IPIRANGA - SALADAS WRAPS - CONTA MARCA")</f>
        <v>FRUTARIA IPIRANGA - SALADAS WRAPS - CONTA MARCA</v>
      </c>
      <c r="L1710" s="32">
        <f>IFERROR(__xludf.DUMMYFUNCTION("""COMPUTED_VALUE"""),5.0)</f>
        <v>5</v>
      </c>
      <c r="M1710" s="4" t="str">
        <f>IFERROR(__xludf.DUMMYFUNCTION("""COMPUTED_VALUE"""),"Cloudfy")</f>
        <v>Cloudfy</v>
      </c>
      <c r="N1710" s="33">
        <f>IFERROR(__xludf.DUMMYFUNCTION("""COMPUTED_VALUE"""),1.0)</f>
        <v>1</v>
      </c>
      <c r="O1710" s="4" t="str">
        <f>IFERROR(__xludf.DUMMYFUNCTION("""COMPUTED_VALUE"""),"Cloudfy")</f>
        <v>Cloudfy</v>
      </c>
      <c r="P1710" s="33">
        <f>IFERROR(__xludf.DUMMYFUNCTION("""COMPUTED_VALUE"""),1.0)</f>
        <v>1</v>
      </c>
      <c r="Q1710" s="4" t="str">
        <f>IFERROR(__xludf.DUMMYFUNCTION("""COMPUTED_VALUE"""),"Cloudfy")</f>
        <v>Cloudfy</v>
      </c>
      <c r="R1710" s="33">
        <f>IFERROR(__xludf.DUMMYFUNCTION("""COMPUTED_VALUE"""),1.0)</f>
        <v>1</v>
      </c>
      <c r="S1710" s="4" t="str">
        <f>IFERROR(__xludf.DUMMYFUNCTION("""COMPUTED_VALUE"""),"Cloudfy")</f>
        <v>Cloudfy</v>
      </c>
      <c r="T1710" s="33">
        <f>IFERROR(__xludf.DUMMYFUNCTION("""COMPUTED_VALUE"""),1.0)</f>
        <v>1</v>
      </c>
      <c r="U1710" s="4" t="str">
        <f>IFERROR(__xludf.DUMMYFUNCTION("""COMPUTED_VALUE"""),"Cloudfy")</f>
        <v>Cloudfy</v>
      </c>
      <c r="V1710" s="33">
        <f>IFERROR(__xludf.DUMMYFUNCTION("""COMPUTED_VALUE"""),1.0)</f>
        <v>1</v>
      </c>
      <c r="W1710" s="4" t="str">
        <f>IFERROR(__xludf.DUMMYFUNCTION("""COMPUTED_VALUE"""),"Cloudfy")</f>
        <v>Cloudfy</v>
      </c>
      <c r="X1710" s="33">
        <f>IFERROR(__xludf.DUMMYFUNCTION("""COMPUTED_VALUE"""),1.0)</f>
        <v>1</v>
      </c>
    </row>
    <row r="1711">
      <c r="K1711" s="4" t="str">
        <f>IFERROR(__xludf.DUMMYFUNCTION("""COMPUTED_VALUE"""),"GALETERIA ANDRADE -")</f>
        <v>GALETERIA ANDRADE -</v>
      </c>
      <c r="L1711" s="32">
        <f>IFERROR(__xludf.DUMMYFUNCTION("""COMPUTED_VALUE"""),5.0)</f>
        <v>5</v>
      </c>
      <c r="M1711" s="4" t="str">
        <f>IFERROR(__xludf.DUMMYFUNCTION("""COMPUTED_VALUE"""),"Saipos Serviços De Software")</f>
        <v>Saipos Serviços De Software</v>
      </c>
      <c r="N1711" s="33">
        <f>IFERROR(__xludf.DUMMYFUNCTION("""COMPUTED_VALUE"""),0.8)</f>
        <v>0.8</v>
      </c>
      <c r="O1711" s="4" t="str">
        <f>IFERROR(__xludf.DUMMYFUNCTION("""COMPUTED_VALUE"""),"Saipos Serviços De Software")</f>
        <v>Saipos Serviços De Software</v>
      </c>
      <c r="P1711" s="33">
        <f>IFERROR(__xludf.DUMMYFUNCTION("""COMPUTED_VALUE"""),0.8)</f>
        <v>0.8</v>
      </c>
      <c r="Q1711" s="4" t="str">
        <f>IFERROR(__xludf.DUMMYFUNCTION("""COMPUTED_VALUE"""),"Saipos Serviços De Software")</f>
        <v>Saipos Serviços De Software</v>
      </c>
      <c r="R1711" s="33">
        <f>IFERROR(__xludf.DUMMYFUNCTION("""COMPUTED_VALUE"""),1.0)</f>
        <v>1</v>
      </c>
      <c r="S1711" s="4" t="str">
        <f>IFERROR(__xludf.DUMMYFUNCTION("""COMPUTED_VALUE"""),"Saipos Serviços De Software")</f>
        <v>Saipos Serviços De Software</v>
      </c>
      <c r="T1711" s="33">
        <f>IFERROR(__xludf.DUMMYFUNCTION("""COMPUTED_VALUE"""),1.0)</f>
        <v>1</v>
      </c>
      <c r="U1711" s="4" t="str">
        <f>IFERROR(__xludf.DUMMYFUNCTION("""COMPUTED_VALUE"""),"Saipos Serviços De Software")</f>
        <v>Saipos Serviços De Software</v>
      </c>
      <c r="V1711" s="33">
        <f>IFERROR(__xludf.DUMMYFUNCTION("""COMPUTED_VALUE"""),1.0)</f>
        <v>1</v>
      </c>
      <c r="W1711" s="4" t="str">
        <f>IFERROR(__xludf.DUMMYFUNCTION("""COMPUTED_VALUE"""),"Saipos Serviços De Software")</f>
        <v>Saipos Serviços De Software</v>
      </c>
      <c r="X1711" s="33">
        <f>IFERROR(__xludf.DUMMYFUNCTION("""COMPUTED_VALUE"""),1.0)</f>
        <v>1</v>
      </c>
    </row>
    <row r="1712">
      <c r="K1712" s="4" t="str">
        <f>IFERROR(__xludf.DUMMYFUNCTION("""COMPUTED_VALUE"""),"GALETOS")</f>
        <v>GALETOS</v>
      </c>
      <c r="L1712" s="32">
        <f>IFERROR(__xludf.DUMMYFUNCTION("""COMPUTED_VALUE"""),5.0)</f>
        <v>5</v>
      </c>
      <c r="M1712" s="4" t="str">
        <f>IFERROR(__xludf.DUMMYFUNCTION("""COMPUTED_VALUE"""),"Netcontroll Xmenu")</f>
        <v>Netcontroll Xmenu</v>
      </c>
      <c r="N1712" s="33">
        <f>IFERROR(__xludf.DUMMYFUNCTION("""COMPUTED_VALUE"""),1.0)</f>
        <v>1</v>
      </c>
      <c r="O1712" s="4" t="str">
        <f>IFERROR(__xludf.DUMMYFUNCTION("""COMPUTED_VALUE"""),"Netcontroll Xmenu")</f>
        <v>Netcontroll Xmenu</v>
      </c>
      <c r="P1712" s="33">
        <f>IFERROR(__xludf.DUMMYFUNCTION("""COMPUTED_VALUE"""),1.0)</f>
        <v>1</v>
      </c>
      <c r="Q1712" s="4" t="str">
        <f>IFERROR(__xludf.DUMMYFUNCTION("""COMPUTED_VALUE"""),"Netcontroll Xmenu")</f>
        <v>Netcontroll Xmenu</v>
      </c>
      <c r="R1712" s="33">
        <f>IFERROR(__xludf.DUMMYFUNCTION("""COMPUTED_VALUE"""),1.0)</f>
        <v>1</v>
      </c>
      <c r="S1712" s="4" t="str">
        <f>IFERROR(__xludf.DUMMYFUNCTION("""COMPUTED_VALUE"""),"Netcontroll Xmenu")</f>
        <v>Netcontroll Xmenu</v>
      </c>
      <c r="T1712" s="33">
        <f>IFERROR(__xludf.DUMMYFUNCTION("""COMPUTED_VALUE"""),1.0)</f>
        <v>1</v>
      </c>
      <c r="U1712" s="4" t="str">
        <f>IFERROR(__xludf.DUMMYFUNCTION("""COMPUTED_VALUE"""),"Netcontroll Xmenu")</f>
        <v>Netcontroll Xmenu</v>
      </c>
      <c r="V1712" s="33">
        <f>IFERROR(__xludf.DUMMYFUNCTION("""COMPUTED_VALUE"""),1.0)</f>
        <v>1</v>
      </c>
      <c r="W1712" s="4" t="str">
        <f>IFERROR(__xludf.DUMMYFUNCTION("""COMPUTED_VALUE"""),"Netcontroll Xmenu")</f>
        <v>Netcontroll Xmenu</v>
      </c>
      <c r="X1712" s="33">
        <f>IFERROR(__xludf.DUMMYFUNCTION("""COMPUTED_VALUE"""),1.0)</f>
        <v>1</v>
      </c>
    </row>
    <row r="1713">
      <c r="K1713" s="4" t="str">
        <f>IFERROR(__xludf.DUMMYFUNCTION("""COMPUTED_VALUE"""),"GARAGEM BURGUER - ANP")</f>
        <v>GARAGEM BURGUER - ANP</v>
      </c>
      <c r="L1713" s="32">
        <f>IFERROR(__xludf.DUMMYFUNCTION("""COMPUTED_VALUE"""),5.0)</f>
        <v>5</v>
      </c>
      <c r="M1713" s="4" t="str">
        <f>IFERROR(__xludf.DUMMYFUNCTION("""COMPUTED_VALUE"""),"Saipos Serviços De Software")</f>
        <v>Saipos Serviços De Software</v>
      </c>
      <c r="N1713" s="33">
        <f>IFERROR(__xludf.DUMMYFUNCTION("""COMPUTED_VALUE"""),1.0)</f>
        <v>1</v>
      </c>
      <c r="O1713" s="4" t="str">
        <f>IFERROR(__xludf.DUMMYFUNCTION("""COMPUTED_VALUE"""),"Saipos Serviços De Software")</f>
        <v>Saipos Serviços De Software</v>
      </c>
      <c r="P1713" s="33">
        <f>IFERROR(__xludf.DUMMYFUNCTION("""COMPUTED_VALUE"""),1.0)</f>
        <v>1</v>
      </c>
      <c r="Q1713" s="4" t="str">
        <f>IFERROR(__xludf.DUMMYFUNCTION("""COMPUTED_VALUE"""),"Saipos Serviços De Software")</f>
        <v>Saipos Serviços De Software</v>
      </c>
      <c r="R1713" s="33">
        <f>IFERROR(__xludf.DUMMYFUNCTION("""COMPUTED_VALUE"""),1.0)</f>
        <v>1</v>
      </c>
      <c r="S1713" s="4" t="str">
        <f>IFERROR(__xludf.DUMMYFUNCTION("""COMPUTED_VALUE"""),"Saipos Serviços De Software")</f>
        <v>Saipos Serviços De Software</v>
      </c>
      <c r="T1713" s="33">
        <f>IFERROR(__xludf.DUMMYFUNCTION("""COMPUTED_VALUE"""),1.0)</f>
        <v>1</v>
      </c>
      <c r="U1713" s="4" t="str">
        <f>IFERROR(__xludf.DUMMYFUNCTION("""COMPUTED_VALUE"""),"Saipos Serviços De Software")</f>
        <v>Saipos Serviços De Software</v>
      </c>
      <c r="V1713" s="33">
        <f>IFERROR(__xludf.DUMMYFUNCTION("""COMPUTED_VALUE"""),1.0)</f>
        <v>1</v>
      </c>
      <c r="W1713" s="4" t="str">
        <f>IFERROR(__xludf.DUMMYFUNCTION("""COMPUTED_VALUE"""),"Saipos Serviços De Software")</f>
        <v>Saipos Serviços De Software</v>
      </c>
      <c r="X1713" s="33">
        <f>IFERROR(__xludf.DUMMYFUNCTION("""COMPUTED_VALUE"""),1.0)</f>
        <v>1</v>
      </c>
    </row>
    <row r="1714">
      <c r="K1714" s="4" t="str">
        <f>IFERROR(__xludf.DUMMYFUNCTION("""COMPUTED_VALUE"""),"GAUCHINHOS RESTAURANTE - CONTA PAI")</f>
        <v>GAUCHINHOS RESTAURANTE - CONTA PAI</v>
      </c>
      <c r="L1714" s="32">
        <f>IFERROR(__xludf.DUMMYFUNCTION("""COMPUTED_VALUE"""),5.0)</f>
        <v>5</v>
      </c>
      <c r="M1714" s="4" t="str">
        <f>IFERROR(__xludf.DUMMYFUNCTION("""COMPUTED_VALUE"""),"Beefood - Sistema Para Restaurantes")</f>
        <v>Beefood - Sistema Para Restaurantes</v>
      </c>
      <c r="N1714" s="33">
        <f>IFERROR(__xludf.DUMMYFUNCTION("""COMPUTED_VALUE"""),1.0)</f>
        <v>1</v>
      </c>
      <c r="O1714" s="4" t="str">
        <f>IFERROR(__xludf.DUMMYFUNCTION("""COMPUTED_VALUE"""),"Beefood - Sistema Para Restaurantes")</f>
        <v>Beefood - Sistema Para Restaurantes</v>
      </c>
      <c r="P1714" s="33">
        <f>IFERROR(__xludf.DUMMYFUNCTION("""COMPUTED_VALUE"""),1.0)</f>
        <v>1</v>
      </c>
      <c r="Q1714" s="4" t="str">
        <f>IFERROR(__xludf.DUMMYFUNCTION("""COMPUTED_VALUE"""),"Beefood - Sistema Para Restaurantes")</f>
        <v>Beefood - Sistema Para Restaurantes</v>
      </c>
      <c r="R1714" s="33">
        <f>IFERROR(__xludf.DUMMYFUNCTION("""COMPUTED_VALUE"""),0.6)</f>
        <v>0.6</v>
      </c>
      <c r="S1714" s="4" t="str">
        <f>IFERROR(__xludf.DUMMYFUNCTION("""COMPUTED_VALUE"""),"Beefood - Sistema Para Restaurantes")</f>
        <v>Beefood - Sistema Para Restaurantes</v>
      </c>
      <c r="T1714" s="33">
        <f>IFERROR(__xludf.DUMMYFUNCTION("""COMPUTED_VALUE"""),0.6)</f>
        <v>0.6</v>
      </c>
      <c r="U1714" s="4" t="str">
        <f>IFERROR(__xludf.DUMMYFUNCTION("""COMPUTED_VALUE"""),"Beefood - Sistema Para Restaurantes")</f>
        <v>Beefood - Sistema Para Restaurantes</v>
      </c>
      <c r="V1714" s="33">
        <f>IFERROR(__xludf.DUMMYFUNCTION("""COMPUTED_VALUE"""),0.6)</f>
        <v>0.6</v>
      </c>
      <c r="W1714" s="4" t="str">
        <f>IFERROR(__xludf.DUMMYFUNCTION("""COMPUTED_VALUE"""),"Beefood - Sistema Para Restaurantes")</f>
        <v>Beefood - Sistema Para Restaurantes</v>
      </c>
      <c r="X1714" s="33">
        <f>IFERROR(__xludf.DUMMYFUNCTION("""COMPUTED_VALUE"""),0.6)</f>
        <v>0.6</v>
      </c>
    </row>
    <row r="1715">
      <c r="K1715" s="4" t="str">
        <f>IFERROR(__xludf.DUMMYFUNCTION("""COMPUTED_VALUE"""),"GORLAMI PIZZARIA")</f>
        <v>GORLAMI PIZZARIA</v>
      </c>
      <c r="L1715" s="32">
        <f>IFERROR(__xludf.DUMMYFUNCTION("""COMPUTED_VALUE"""),5.0)</f>
        <v>5</v>
      </c>
      <c r="M1715" s="4" t="str">
        <f>IFERROR(__xludf.DUMMYFUNCTION("""COMPUTED_VALUE"""),"Saipos Serviços De Software")</f>
        <v>Saipos Serviços De Software</v>
      </c>
      <c r="N1715" s="33">
        <f>IFERROR(__xludf.DUMMYFUNCTION("""COMPUTED_VALUE"""),0.8)</f>
        <v>0.8</v>
      </c>
      <c r="O1715" s="4" t="str">
        <f>IFERROR(__xludf.DUMMYFUNCTION("""COMPUTED_VALUE"""),"Saipos Serviços De Software")</f>
        <v>Saipos Serviços De Software</v>
      </c>
      <c r="P1715" s="33">
        <f>IFERROR(__xludf.DUMMYFUNCTION("""COMPUTED_VALUE"""),0.8)</f>
        <v>0.8</v>
      </c>
      <c r="Q1715" s="4" t="str">
        <f>IFERROR(__xludf.DUMMYFUNCTION("""COMPUTED_VALUE"""),"Saipos Serviços De Software")</f>
        <v>Saipos Serviços De Software</v>
      </c>
      <c r="R1715" s="33">
        <f>IFERROR(__xludf.DUMMYFUNCTION("""COMPUTED_VALUE"""),0.8)</f>
        <v>0.8</v>
      </c>
      <c r="S1715" s="4" t="str">
        <f>IFERROR(__xludf.DUMMYFUNCTION("""COMPUTED_VALUE"""),"Saipos Serviços De Software")</f>
        <v>Saipos Serviços De Software</v>
      </c>
      <c r="T1715" s="33">
        <f>IFERROR(__xludf.DUMMYFUNCTION("""COMPUTED_VALUE"""),0.8)</f>
        <v>0.8</v>
      </c>
      <c r="U1715" s="4" t="str">
        <f>IFERROR(__xludf.DUMMYFUNCTION("""COMPUTED_VALUE"""),"Saipos Serviços De Software")</f>
        <v>Saipos Serviços De Software</v>
      </c>
      <c r="V1715" s="33">
        <f>IFERROR(__xludf.DUMMYFUNCTION("""COMPUTED_VALUE"""),0.8)</f>
        <v>0.8</v>
      </c>
      <c r="W1715" s="4" t="str">
        <f>IFERROR(__xludf.DUMMYFUNCTION("""COMPUTED_VALUE"""),"Saipos Serviços De Software")</f>
        <v>Saipos Serviços De Software</v>
      </c>
      <c r="X1715" s="33">
        <f>IFERROR(__xludf.DUMMYFUNCTION("""COMPUTED_VALUE"""),0.8)</f>
        <v>0.8</v>
      </c>
    </row>
    <row r="1716">
      <c r="K1716" s="4" t="str">
        <f>IFERROR(__xludf.DUMMYFUNCTION("""COMPUTED_VALUE"""),"GREEN BOWL")</f>
        <v>GREEN BOWL</v>
      </c>
      <c r="L1716" s="32">
        <f>IFERROR(__xludf.DUMMYFUNCTION("""COMPUTED_VALUE"""),5.0)</f>
        <v>5</v>
      </c>
      <c r="M1716" s="4" t="str">
        <f>IFERROR(__xludf.DUMMYFUNCTION("""COMPUTED_VALUE"""),"Saipos Serviços De Software")</f>
        <v>Saipos Serviços De Software</v>
      </c>
      <c r="N1716" s="33">
        <f>IFERROR(__xludf.DUMMYFUNCTION("""COMPUTED_VALUE"""),1.0)</f>
        <v>1</v>
      </c>
      <c r="O1716" s="4" t="str">
        <f>IFERROR(__xludf.DUMMYFUNCTION("""COMPUTED_VALUE"""),"Saipos Serviços De Software")</f>
        <v>Saipos Serviços De Software</v>
      </c>
      <c r="P1716" s="33">
        <f>IFERROR(__xludf.DUMMYFUNCTION("""COMPUTED_VALUE"""),0.8)</f>
        <v>0.8</v>
      </c>
      <c r="Q1716" s="4" t="str">
        <f>IFERROR(__xludf.DUMMYFUNCTION("""COMPUTED_VALUE"""),"Saipos Serviços De Software")</f>
        <v>Saipos Serviços De Software</v>
      </c>
      <c r="R1716" s="33">
        <f>IFERROR(__xludf.DUMMYFUNCTION("""COMPUTED_VALUE"""),0.8)</f>
        <v>0.8</v>
      </c>
      <c r="S1716" s="4" t="str">
        <f>IFERROR(__xludf.DUMMYFUNCTION("""COMPUTED_VALUE"""),"Saipos Serviços De Software")</f>
        <v>Saipos Serviços De Software</v>
      </c>
      <c r="T1716" s="33">
        <f>IFERROR(__xludf.DUMMYFUNCTION("""COMPUTED_VALUE"""),0.8)</f>
        <v>0.8</v>
      </c>
      <c r="U1716" s="4" t="str">
        <f>IFERROR(__xludf.DUMMYFUNCTION("""COMPUTED_VALUE"""),"Saipos Serviços De Software")</f>
        <v>Saipos Serviços De Software</v>
      </c>
      <c r="V1716" s="33">
        <f>IFERROR(__xludf.DUMMYFUNCTION("""COMPUTED_VALUE"""),0.8)</f>
        <v>0.8</v>
      </c>
      <c r="W1716" s="4" t="str">
        <f>IFERROR(__xludf.DUMMYFUNCTION("""COMPUTED_VALUE"""),"Saipos Serviços De Software")</f>
        <v>Saipos Serviços De Software</v>
      </c>
      <c r="X1716" s="33">
        <f>IFERROR(__xludf.DUMMYFUNCTION("""COMPUTED_VALUE"""),0.8)</f>
        <v>0.8</v>
      </c>
    </row>
    <row r="1717">
      <c r="K1717" s="4" t="str">
        <f>IFERROR(__xludf.DUMMYFUNCTION("""COMPUTED_VALUE"""),"GRELHA E PANELA TERESINA")</f>
        <v>GRELHA E PANELA TERESINA</v>
      </c>
      <c r="L1717" s="32">
        <f>IFERROR(__xludf.DUMMYFUNCTION("""COMPUTED_VALUE"""),5.0)</f>
        <v>5</v>
      </c>
      <c r="M1717" s="4" t="str">
        <f>IFERROR(__xludf.DUMMYFUNCTION("""COMPUTED_VALUE"""),"Saipos Serviços De Software")</f>
        <v>Saipos Serviços De Software</v>
      </c>
      <c r="N1717" s="33">
        <f>IFERROR(__xludf.DUMMYFUNCTION("""COMPUTED_VALUE"""),1.0)</f>
        <v>1</v>
      </c>
      <c r="O1717" s="4" t="str">
        <f>IFERROR(__xludf.DUMMYFUNCTION("""COMPUTED_VALUE"""),"Saipos Serviços De Software")</f>
        <v>Saipos Serviços De Software</v>
      </c>
      <c r="P1717" s="33">
        <f>IFERROR(__xludf.DUMMYFUNCTION("""COMPUTED_VALUE"""),1.0)</f>
        <v>1</v>
      </c>
      <c r="Q1717" s="4" t="str">
        <f>IFERROR(__xludf.DUMMYFUNCTION("""COMPUTED_VALUE"""),"Saipos Serviços De Software")</f>
        <v>Saipos Serviços De Software</v>
      </c>
      <c r="R1717" s="33">
        <f>IFERROR(__xludf.DUMMYFUNCTION("""COMPUTED_VALUE"""),1.0)</f>
        <v>1</v>
      </c>
      <c r="S1717" s="4" t="str">
        <f>IFERROR(__xludf.DUMMYFUNCTION("""COMPUTED_VALUE"""),"Saipos Serviços De Software")</f>
        <v>Saipos Serviços De Software</v>
      </c>
      <c r="T1717" s="33">
        <f>IFERROR(__xludf.DUMMYFUNCTION("""COMPUTED_VALUE"""),1.0)</f>
        <v>1</v>
      </c>
      <c r="U1717" s="4" t="str">
        <f>IFERROR(__xludf.DUMMYFUNCTION("""COMPUTED_VALUE"""),"Saipos Serviços De Software")</f>
        <v>Saipos Serviços De Software</v>
      </c>
      <c r="V1717" s="33">
        <f>IFERROR(__xludf.DUMMYFUNCTION("""COMPUTED_VALUE"""),1.0)</f>
        <v>1</v>
      </c>
      <c r="W1717" s="4" t="str">
        <f>IFERROR(__xludf.DUMMYFUNCTION("""COMPUTED_VALUE"""),"Saipos Serviços De Software")</f>
        <v>Saipos Serviços De Software</v>
      </c>
      <c r="X1717" s="33">
        <f>IFERROR(__xludf.DUMMYFUNCTION("""COMPUTED_VALUE"""),1.0)</f>
        <v>1</v>
      </c>
    </row>
    <row r="1718">
      <c r="K1718" s="4" t="str">
        <f>IFERROR(__xludf.DUMMYFUNCTION("""COMPUTED_VALUE"""),"GRIFE DO BAURU - MARCA")</f>
        <v>GRIFE DO BAURU - MARCA</v>
      </c>
      <c r="L1718" s="32">
        <f>IFERROR(__xludf.DUMMYFUNCTION("""COMPUTED_VALUE"""),5.0)</f>
        <v>5</v>
      </c>
      <c r="M1718" s="4" t="str">
        <f>IFERROR(__xludf.DUMMYFUNCTION("""COMPUTED_VALUE"""),"Saipos Serviços De Software")</f>
        <v>Saipos Serviços De Software</v>
      </c>
      <c r="N1718" s="33">
        <f>IFERROR(__xludf.DUMMYFUNCTION("""COMPUTED_VALUE"""),1.0)</f>
        <v>1</v>
      </c>
      <c r="O1718" s="4" t="str">
        <f>IFERROR(__xludf.DUMMYFUNCTION("""COMPUTED_VALUE"""),"Saipos Serviços De Software")</f>
        <v>Saipos Serviços De Software</v>
      </c>
      <c r="P1718" s="33">
        <f>IFERROR(__xludf.DUMMYFUNCTION("""COMPUTED_VALUE"""),1.0)</f>
        <v>1</v>
      </c>
      <c r="Q1718" s="4" t="str">
        <f>IFERROR(__xludf.DUMMYFUNCTION("""COMPUTED_VALUE"""),"Saipos Serviços De Software")</f>
        <v>Saipos Serviços De Software</v>
      </c>
      <c r="R1718" s="33">
        <f>IFERROR(__xludf.DUMMYFUNCTION("""COMPUTED_VALUE"""),1.0)</f>
        <v>1</v>
      </c>
      <c r="S1718" s="4" t="str">
        <f>IFERROR(__xludf.DUMMYFUNCTION("""COMPUTED_VALUE"""),"Saipos Serviços De Software")</f>
        <v>Saipos Serviços De Software</v>
      </c>
      <c r="T1718" s="33">
        <f>IFERROR(__xludf.DUMMYFUNCTION("""COMPUTED_VALUE"""),1.0)</f>
        <v>1</v>
      </c>
      <c r="U1718" s="4" t="str">
        <f>IFERROR(__xludf.DUMMYFUNCTION("""COMPUTED_VALUE"""),"Saipos Serviços De Software")</f>
        <v>Saipos Serviços De Software</v>
      </c>
      <c r="V1718" s="33">
        <f>IFERROR(__xludf.DUMMYFUNCTION("""COMPUTED_VALUE"""),1.0)</f>
        <v>1</v>
      </c>
      <c r="W1718" s="4" t="str">
        <f>IFERROR(__xludf.DUMMYFUNCTION("""COMPUTED_VALUE"""),"Saipos Serviços De Software")</f>
        <v>Saipos Serviços De Software</v>
      </c>
      <c r="X1718" s="33">
        <f>IFERROR(__xludf.DUMMYFUNCTION("""COMPUTED_VALUE"""),1.0)</f>
        <v>1</v>
      </c>
    </row>
    <row r="1719">
      <c r="K1719" s="4" t="str">
        <f>IFERROR(__xludf.DUMMYFUNCTION("""COMPUTED_VALUE"""),"GRUPO - DI LORENZA")</f>
        <v>GRUPO - DI LORENZA</v>
      </c>
      <c r="L1719" s="32">
        <f>IFERROR(__xludf.DUMMYFUNCTION("""COMPUTED_VALUE"""),5.0)</f>
        <v>5</v>
      </c>
      <c r="M1719" s="4" t="str">
        <f>IFERROR(__xludf.DUMMYFUNCTION("""COMPUTED_VALUE"""),"null")</f>
        <v>null</v>
      </c>
      <c r="N1719" s="33">
        <f>IFERROR(__xludf.DUMMYFUNCTION("""COMPUTED_VALUE"""),1.0)</f>
        <v>1</v>
      </c>
      <c r="O1719" s="4" t="str">
        <f>IFERROR(__xludf.DUMMYFUNCTION("""COMPUTED_VALUE"""),"null")</f>
        <v>null</v>
      </c>
      <c r="P1719" s="33">
        <f>IFERROR(__xludf.DUMMYFUNCTION("""COMPUTED_VALUE"""),1.0)</f>
        <v>1</v>
      </c>
      <c r="Q1719" s="4" t="str">
        <f>IFERROR(__xludf.DUMMYFUNCTION("""COMPUTED_VALUE"""),"null")</f>
        <v>null</v>
      </c>
      <c r="R1719" s="33">
        <f>IFERROR(__xludf.DUMMYFUNCTION("""COMPUTED_VALUE"""),1.0)</f>
        <v>1</v>
      </c>
      <c r="S1719" s="4" t="str">
        <f>IFERROR(__xludf.DUMMYFUNCTION("""COMPUTED_VALUE"""),"null")</f>
        <v>null</v>
      </c>
      <c r="T1719" s="33">
        <f>IFERROR(__xludf.DUMMYFUNCTION("""COMPUTED_VALUE"""),1.0)</f>
        <v>1</v>
      </c>
      <c r="U1719" s="4" t="str">
        <f>IFERROR(__xludf.DUMMYFUNCTION("""COMPUTED_VALUE"""),"Saipos Serviços De Software")</f>
        <v>Saipos Serviços De Software</v>
      </c>
      <c r="V1719" s="33">
        <f>IFERROR(__xludf.DUMMYFUNCTION("""COMPUTED_VALUE"""),0.8)</f>
        <v>0.8</v>
      </c>
      <c r="W1719" s="4" t="str">
        <f>IFERROR(__xludf.DUMMYFUNCTION("""COMPUTED_VALUE"""),"Saipos Serviços De Software")</f>
        <v>Saipos Serviços De Software</v>
      </c>
      <c r="X1719" s="33">
        <f>IFERROR(__xludf.DUMMYFUNCTION("""COMPUTED_VALUE"""),1.0)</f>
        <v>1</v>
      </c>
    </row>
    <row r="1720">
      <c r="K1720" s="4" t="str">
        <f>IFERROR(__xludf.DUMMYFUNCTION("""COMPUTED_VALUE"""),"GRUPO - THE PLANT")</f>
        <v>GRUPO - THE PLANT</v>
      </c>
      <c r="L1720" s="32">
        <f>IFERROR(__xludf.DUMMYFUNCTION("""COMPUTED_VALUE"""),5.0)</f>
        <v>5</v>
      </c>
      <c r="M1720" s="4" t="str">
        <f>IFERROR(__xludf.DUMMYFUNCTION("""COMPUTED_VALUE"""),"Ncr")</f>
        <v>Ncr</v>
      </c>
      <c r="N1720" s="33">
        <f>IFERROR(__xludf.DUMMYFUNCTION("""COMPUTED_VALUE"""),1.0)</f>
        <v>1</v>
      </c>
      <c r="O1720" s="4" t="str">
        <f>IFERROR(__xludf.DUMMYFUNCTION("""COMPUTED_VALUE"""),"Ncr")</f>
        <v>Ncr</v>
      </c>
      <c r="P1720" s="33">
        <f>IFERROR(__xludf.DUMMYFUNCTION("""COMPUTED_VALUE"""),1.0)</f>
        <v>1</v>
      </c>
      <c r="Q1720" s="4" t="str">
        <f>IFERROR(__xludf.DUMMYFUNCTION("""COMPUTED_VALUE"""),"Ncr")</f>
        <v>Ncr</v>
      </c>
      <c r="R1720" s="33">
        <f>IFERROR(__xludf.DUMMYFUNCTION("""COMPUTED_VALUE"""),1.0)</f>
        <v>1</v>
      </c>
      <c r="S1720" s="4" t="str">
        <f>IFERROR(__xludf.DUMMYFUNCTION("""COMPUTED_VALUE"""),"Ncr")</f>
        <v>Ncr</v>
      </c>
      <c r="T1720" s="33">
        <f>IFERROR(__xludf.DUMMYFUNCTION("""COMPUTED_VALUE"""),1.0)</f>
        <v>1</v>
      </c>
      <c r="U1720" s="4" t="str">
        <f>IFERROR(__xludf.DUMMYFUNCTION("""COMPUTED_VALUE"""),"Ncr")</f>
        <v>Ncr</v>
      </c>
      <c r="V1720" s="33">
        <f>IFERROR(__xludf.DUMMYFUNCTION("""COMPUTED_VALUE"""),1.0)</f>
        <v>1</v>
      </c>
      <c r="W1720" s="4" t="str">
        <f>IFERROR(__xludf.DUMMYFUNCTION("""COMPUTED_VALUE"""),"Ncr")</f>
        <v>Ncr</v>
      </c>
      <c r="X1720" s="33">
        <f>IFERROR(__xludf.DUMMYFUNCTION("""COMPUTED_VALUE"""),0.8)</f>
        <v>0.8</v>
      </c>
    </row>
    <row r="1721">
      <c r="K1721" s="4" t="str">
        <f>IFERROR(__xludf.DUMMYFUNCTION("""COMPUTED_VALUE"""),"GRUPO BERRY MACAE")</f>
        <v>GRUPO BERRY MACAE</v>
      </c>
      <c r="L1721" s="32">
        <f>IFERROR(__xludf.DUMMYFUNCTION("""COMPUTED_VALUE"""),5.0)</f>
        <v>5</v>
      </c>
      <c r="M1721" s="4" t="str">
        <f>IFERROR(__xludf.DUMMYFUNCTION("""COMPUTED_VALUE"""),"Saipos Serviços De Software")</f>
        <v>Saipos Serviços De Software</v>
      </c>
      <c r="N1721" s="33">
        <f>IFERROR(__xludf.DUMMYFUNCTION("""COMPUTED_VALUE"""),1.0)</f>
        <v>1</v>
      </c>
      <c r="O1721" s="4" t="str">
        <f>IFERROR(__xludf.DUMMYFUNCTION("""COMPUTED_VALUE"""),"Saipos Serviços De Software")</f>
        <v>Saipos Serviços De Software</v>
      </c>
      <c r="P1721" s="33">
        <f>IFERROR(__xludf.DUMMYFUNCTION("""COMPUTED_VALUE"""),1.0)</f>
        <v>1</v>
      </c>
      <c r="Q1721" s="4" t="str">
        <f>IFERROR(__xludf.DUMMYFUNCTION("""COMPUTED_VALUE"""),"Saipos Serviços De Software")</f>
        <v>Saipos Serviços De Software</v>
      </c>
      <c r="R1721" s="33">
        <f>IFERROR(__xludf.DUMMYFUNCTION("""COMPUTED_VALUE"""),1.0)</f>
        <v>1</v>
      </c>
      <c r="S1721" s="4" t="str">
        <f>IFERROR(__xludf.DUMMYFUNCTION("""COMPUTED_VALUE"""),"Saipos Serviços De Software")</f>
        <v>Saipos Serviços De Software</v>
      </c>
      <c r="T1721" s="33">
        <f>IFERROR(__xludf.DUMMYFUNCTION("""COMPUTED_VALUE"""),1.0)</f>
        <v>1</v>
      </c>
      <c r="U1721" s="4" t="str">
        <f>IFERROR(__xludf.DUMMYFUNCTION("""COMPUTED_VALUE"""),"Saipos Serviços De Software")</f>
        <v>Saipos Serviços De Software</v>
      </c>
      <c r="V1721" s="33">
        <f>IFERROR(__xludf.DUMMYFUNCTION("""COMPUTED_VALUE"""),1.0)</f>
        <v>1</v>
      </c>
      <c r="W1721" s="4" t="str">
        <f>IFERROR(__xludf.DUMMYFUNCTION("""COMPUTED_VALUE"""),"Saipos Serviços De Software")</f>
        <v>Saipos Serviços De Software</v>
      </c>
      <c r="X1721" s="33">
        <f>IFERROR(__xludf.DUMMYFUNCTION("""COMPUTED_VALUE"""),1.0)</f>
        <v>1</v>
      </c>
    </row>
    <row r="1722">
      <c r="K1722" s="4" t="str">
        <f>IFERROR(__xludf.DUMMYFUNCTION("""COMPUTED_VALUE"""),"GRUPO BURBOM")</f>
        <v>GRUPO BURBOM</v>
      </c>
      <c r="L1722" s="32">
        <f>IFERROR(__xludf.DUMMYFUNCTION("""COMPUTED_VALUE"""),5.0)</f>
        <v>5</v>
      </c>
      <c r="M1722" s="4" t="str">
        <f>IFERROR(__xludf.DUMMYFUNCTION("""COMPUTED_VALUE"""),"Saipos Serviços De Software")</f>
        <v>Saipos Serviços De Software</v>
      </c>
      <c r="N1722" s="33">
        <f>IFERROR(__xludf.DUMMYFUNCTION("""COMPUTED_VALUE"""),1.0)</f>
        <v>1</v>
      </c>
      <c r="O1722" s="4" t="str">
        <f>IFERROR(__xludf.DUMMYFUNCTION("""COMPUTED_VALUE"""),"Saipos Serviços De Software")</f>
        <v>Saipos Serviços De Software</v>
      </c>
      <c r="P1722" s="33">
        <f>IFERROR(__xludf.DUMMYFUNCTION("""COMPUTED_VALUE"""),1.0)</f>
        <v>1</v>
      </c>
      <c r="Q1722" s="4" t="str">
        <f>IFERROR(__xludf.DUMMYFUNCTION("""COMPUTED_VALUE"""),"Saipos Serviços De Software")</f>
        <v>Saipos Serviços De Software</v>
      </c>
      <c r="R1722" s="33">
        <f>IFERROR(__xludf.DUMMYFUNCTION("""COMPUTED_VALUE"""),1.0)</f>
        <v>1</v>
      </c>
      <c r="S1722" s="4" t="str">
        <f>IFERROR(__xludf.DUMMYFUNCTION("""COMPUTED_VALUE"""),"Saipos Serviços De Software")</f>
        <v>Saipos Serviços De Software</v>
      </c>
      <c r="T1722" s="33">
        <f>IFERROR(__xludf.DUMMYFUNCTION("""COMPUTED_VALUE"""),1.0)</f>
        <v>1</v>
      </c>
      <c r="U1722" s="4" t="str">
        <f>IFERROR(__xludf.DUMMYFUNCTION("""COMPUTED_VALUE"""),"Saipos Serviços De Software")</f>
        <v>Saipos Serviços De Software</v>
      </c>
      <c r="V1722" s="33">
        <f>IFERROR(__xludf.DUMMYFUNCTION("""COMPUTED_VALUE"""),1.0)</f>
        <v>1</v>
      </c>
      <c r="W1722" s="4" t="str">
        <f>IFERROR(__xludf.DUMMYFUNCTION("""COMPUTED_VALUE"""),"Saipos Serviços De Software")</f>
        <v>Saipos Serviços De Software</v>
      </c>
      <c r="X1722" s="33">
        <f>IFERROR(__xludf.DUMMYFUNCTION("""COMPUTED_VALUE"""),1.0)</f>
        <v>1</v>
      </c>
    </row>
    <row r="1723">
      <c r="K1723" s="4" t="str">
        <f>IFERROR(__xludf.DUMMYFUNCTION("""COMPUTED_VALUE"""),"GRUPO BURGUINHO BAURU")</f>
        <v>GRUPO BURGUINHO BAURU</v>
      </c>
      <c r="L1723" s="32">
        <f>IFERROR(__xludf.DUMMYFUNCTION("""COMPUTED_VALUE"""),5.0)</f>
        <v>5</v>
      </c>
      <c r="M1723" s="4" t="str">
        <f>IFERROR(__xludf.DUMMYFUNCTION("""COMPUTED_VALUE"""),"Garcom Web")</f>
        <v>Garcom Web</v>
      </c>
      <c r="N1723" s="33">
        <f>IFERROR(__xludf.DUMMYFUNCTION("""COMPUTED_VALUE"""),0.6)</f>
        <v>0.6</v>
      </c>
      <c r="O1723" s="4" t="str">
        <f>IFERROR(__xludf.DUMMYFUNCTION("""COMPUTED_VALUE"""),"Garcom Web")</f>
        <v>Garcom Web</v>
      </c>
      <c r="P1723" s="33">
        <f>IFERROR(__xludf.DUMMYFUNCTION("""COMPUTED_VALUE"""),0.6)</f>
        <v>0.6</v>
      </c>
      <c r="Q1723" s="4" t="str">
        <f>IFERROR(__xludf.DUMMYFUNCTION("""COMPUTED_VALUE"""),"Garcom Web")</f>
        <v>Garcom Web</v>
      </c>
      <c r="R1723" s="33">
        <f>IFERROR(__xludf.DUMMYFUNCTION("""COMPUTED_VALUE"""),0.6)</f>
        <v>0.6</v>
      </c>
      <c r="S1723" s="4" t="str">
        <f>IFERROR(__xludf.DUMMYFUNCTION("""COMPUTED_VALUE"""),"Garcom Web")</f>
        <v>Garcom Web</v>
      </c>
      <c r="T1723" s="33">
        <f>IFERROR(__xludf.DUMMYFUNCTION("""COMPUTED_VALUE"""),0.6)</f>
        <v>0.6</v>
      </c>
      <c r="U1723" s="4" t="str">
        <f>IFERROR(__xludf.DUMMYFUNCTION("""COMPUTED_VALUE"""),"Garcom Web")</f>
        <v>Garcom Web</v>
      </c>
      <c r="V1723" s="33">
        <f>IFERROR(__xludf.DUMMYFUNCTION("""COMPUTED_VALUE"""),0.6)</f>
        <v>0.6</v>
      </c>
      <c r="W1723" s="4" t="str">
        <f>IFERROR(__xludf.DUMMYFUNCTION("""COMPUTED_VALUE"""),"Garcom Web")</f>
        <v>Garcom Web</v>
      </c>
      <c r="X1723" s="33">
        <f>IFERROR(__xludf.DUMMYFUNCTION("""COMPUTED_VALUE"""),0.6)</f>
        <v>0.6</v>
      </c>
    </row>
    <row r="1724">
      <c r="K1724" s="4" t="str">
        <f>IFERROR(__xludf.DUMMYFUNCTION("""COMPUTED_VALUE"""),"GRUPO COSTA E SOUZA")</f>
        <v>GRUPO COSTA E SOUZA</v>
      </c>
      <c r="L1724" s="32">
        <f>IFERROR(__xludf.DUMMYFUNCTION("""COMPUTED_VALUE"""),5.0)</f>
        <v>5</v>
      </c>
      <c r="M1724" s="4" t="str">
        <f>IFERROR(__xludf.DUMMYFUNCTION("""COMPUTED_VALUE"""),"Saipos Serviços De Software")</f>
        <v>Saipos Serviços De Software</v>
      </c>
      <c r="N1724" s="33">
        <f>IFERROR(__xludf.DUMMYFUNCTION("""COMPUTED_VALUE"""),1.0)</f>
        <v>1</v>
      </c>
      <c r="O1724" s="4" t="str">
        <f>IFERROR(__xludf.DUMMYFUNCTION("""COMPUTED_VALUE"""),"Saipos Serviços De Software")</f>
        <v>Saipos Serviços De Software</v>
      </c>
      <c r="P1724" s="33">
        <f>IFERROR(__xludf.DUMMYFUNCTION("""COMPUTED_VALUE"""),1.0)</f>
        <v>1</v>
      </c>
      <c r="Q1724" s="4" t="str">
        <f>IFERROR(__xludf.DUMMYFUNCTION("""COMPUTED_VALUE"""),"Saipos Serviços De Software")</f>
        <v>Saipos Serviços De Software</v>
      </c>
      <c r="R1724" s="33">
        <f>IFERROR(__xludf.DUMMYFUNCTION("""COMPUTED_VALUE"""),1.0)</f>
        <v>1</v>
      </c>
      <c r="S1724" s="4" t="str">
        <f>IFERROR(__xludf.DUMMYFUNCTION("""COMPUTED_VALUE"""),"Saipos Serviços De Software")</f>
        <v>Saipos Serviços De Software</v>
      </c>
      <c r="T1724" s="33">
        <f>IFERROR(__xludf.DUMMYFUNCTION("""COMPUTED_VALUE"""),1.0)</f>
        <v>1</v>
      </c>
      <c r="U1724" s="4" t="str">
        <f>IFERROR(__xludf.DUMMYFUNCTION("""COMPUTED_VALUE"""),"Saipos Serviços De Software")</f>
        <v>Saipos Serviços De Software</v>
      </c>
      <c r="V1724" s="33">
        <f>IFERROR(__xludf.DUMMYFUNCTION("""COMPUTED_VALUE"""),1.0)</f>
        <v>1</v>
      </c>
      <c r="W1724" s="4" t="str">
        <f>IFERROR(__xludf.DUMMYFUNCTION("""COMPUTED_VALUE"""),"Saipos Serviços De Software")</f>
        <v>Saipos Serviços De Software</v>
      </c>
      <c r="X1724" s="33">
        <f>IFERROR(__xludf.DUMMYFUNCTION("""COMPUTED_VALUE"""),1.0)</f>
        <v>1</v>
      </c>
    </row>
    <row r="1725">
      <c r="K1725" s="4" t="str">
        <f>IFERROR(__xludf.DUMMYFUNCTION("""COMPUTED_VALUE"""),"GRUPO DE ORIGEM")</f>
        <v>GRUPO DE ORIGEM</v>
      </c>
      <c r="L1725" s="32">
        <f>IFERROR(__xludf.DUMMYFUNCTION("""COMPUTED_VALUE"""),5.0)</f>
        <v>5</v>
      </c>
      <c r="M1725" s="4" t="str">
        <f>IFERROR(__xludf.DUMMYFUNCTION("""COMPUTED_VALUE"""),"Menew - Linx")</f>
        <v>Menew - Linx</v>
      </c>
      <c r="N1725" s="33">
        <f>IFERROR(__xludf.DUMMYFUNCTION("""COMPUTED_VALUE"""),1.0)</f>
        <v>1</v>
      </c>
      <c r="O1725" s="4" t="str">
        <f>IFERROR(__xludf.DUMMYFUNCTION("""COMPUTED_VALUE"""),"Menew - Linx")</f>
        <v>Menew - Linx</v>
      </c>
      <c r="P1725" s="33">
        <f>IFERROR(__xludf.DUMMYFUNCTION("""COMPUTED_VALUE"""),1.0)</f>
        <v>1</v>
      </c>
      <c r="Q1725" s="4" t="str">
        <f>IFERROR(__xludf.DUMMYFUNCTION("""COMPUTED_VALUE"""),"Menew - Linx")</f>
        <v>Menew - Linx</v>
      </c>
      <c r="R1725" s="33">
        <f>IFERROR(__xludf.DUMMYFUNCTION("""COMPUTED_VALUE"""),1.0)</f>
        <v>1</v>
      </c>
      <c r="S1725" s="4" t="str">
        <f>IFERROR(__xludf.DUMMYFUNCTION("""COMPUTED_VALUE"""),"Menew - Linx")</f>
        <v>Menew - Linx</v>
      </c>
      <c r="T1725" s="33">
        <f>IFERROR(__xludf.DUMMYFUNCTION("""COMPUTED_VALUE"""),1.0)</f>
        <v>1</v>
      </c>
      <c r="U1725" s="4" t="str">
        <f>IFERROR(__xludf.DUMMYFUNCTION("""COMPUTED_VALUE"""),"Menew - Linx")</f>
        <v>Menew - Linx</v>
      </c>
      <c r="V1725" s="33">
        <f>IFERROR(__xludf.DUMMYFUNCTION("""COMPUTED_VALUE"""),0.6)</f>
        <v>0.6</v>
      </c>
      <c r="W1725" s="4" t="str">
        <f>IFERROR(__xludf.DUMMYFUNCTION("""COMPUTED_VALUE"""),"Menew - Linx")</f>
        <v>Menew - Linx</v>
      </c>
      <c r="X1725" s="33">
        <f>IFERROR(__xludf.DUMMYFUNCTION("""COMPUTED_VALUE"""),0.6)</f>
        <v>0.6</v>
      </c>
    </row>
    <row r="1726">
      <c r="K1726" s="4" t="str">
        <f>IFERROR(__xludf.DUMMYFUNCTION("""COMPUTED_VALUE"""),"GRUPO EMPADINHAS EXPRESS")</f>
        <v>GRUPO EMPADINHAS EXPRESS</v>
      </c>
      <c r="L1726" s="32">
        <f>IFERROR(__xludf.DUMMYFUNCTION("""COMPUTED_VALUE"""),5.0)</f>
        <v>5</v>
      </c>
      <c r="M1726" s="4" t="str">
        <f>IFERROR(__xludf.DUMMYFUNCTION("""COMPUTED_VALUE"""),"Unika Sistemas Ltda")</f>
        <v>Unika Sistemas Ltda</v>
      </c>
      <c r="N1726" s="33">
        <f>IFERROR(__xludf.DUMMYFUNCTION("""COMPUTED_VALUE"""),1.0)</f>
        <v>1</v>
      </c>
      <c r="O1726" s="4" t="str">
        <f>IFERROR(__xludf.DUMMYFUNCTION("""COMPUTED_VALUE"""),"Unika Sistemas Ltda")</f>
        <v>Unika Sistemas Ltda</v>
      </c>
      <c r="P1726" s="33">
        <f>IFERROR(__xludf.DUMMYFUNCTION("""COMPUTED_VALUE"""),0.8)</f>
        <v>0.8</v>
      </c>
      <c r="Q1726" s="4" t="str">
        <f>IFERROR(__xludf.DUMMYFUNCTION("""COMPUTED_VALUE"""),"null")</f>
        <v>null</v>
      </c>
      <c r="R1726" s="33">
        <f>IFERROR(__xludf.DUMMYFUNCTION("""COMPUTED_VALUE"""),0.6)</f>
        <v>0.6</v>
      </c>
      <c r="S1726" s="4" t="str">
        <f>IFERROR(__xludf.DUMMYFUNCTION("""COMPUTED_VALUE"""),"Unika Sistemas Ltda")</f>
        <v>Unika Sistemas Ltda</v>
      </c>
      <c r="T1726" s="33">
        <f>IFERROR(__xludf.DUMMYFUNCTION("""COMPUTED_VALUE"""),0.6)</f>
        <v>0.6</v>
      </c>
      <c r="U1726" s="4" t="str">
        <f>IFERROR(__xludf.DUMMYFUNCTION("""COMPUTED_VALUE"""),"Unika Sistemas Ltda")</f>
        <v>Unika Sistemas Ltda</v>
      </c>
      <c r="V1726" s="33">
        <f>IFERROR(__xludf.DUMMYFUNCTION("""COMPUTED_VALUE"""),0.8)</f>
        <v>0.8</v>
      </c>
      <c r="W1726" s="4" t="str">
        <f>IFERROR(__xludf.DUMMYFUNCTION("""COMPUTED_VALUE"""),"Unika Sistemas Ltda")</f>
        <v>Unika Sistemas Ltda</v>
      </c>
      <c r="X1726" s="33">
        <f>IFERROR(__xludf.DUMMYFUNCTION("""COMPUTED_VALUE"""),0.6)</f>
        <v>0.6</v>
      </c>
    </row>
    <row r="1727">
      <c r="K1727" s="4" t="str">
        <f>IFERROR(__xludf.DUMMYFUNCTION("""COMPUTED_VALUE"""),"GRUPO GALETERIA GAUCHA")</f>
        <v>GRUPO GALETERIA GAUCHA</v>
      </c>
      <c r="L1727" s="32">
        <f>IFERROR(__xludf.DUMMYFUNCTION("""COMPUTED_VALUE"""),5.0)</f>
        <v>5</v>
      </c>
      <c r="M1727" s="4" t="str">
        <f>IFERROR(__xludf.DUMMYFUNCTION("""COMPUTED_VALUE"""),"Cheff Solutions Tecnologia Brasil")</f>
        <v>Cheff Solutions Tecnologia Brasil</v>
      </c>
      <c r="N1727" s="33">
        <f>IFERROR(__xludf.DUMMYFUNCTION("""COMPUTED_VALUE"""),0.6)</f>
        <v>0.6</v>
      </c>
      <c r="O1727" s="4" t="str">
        <f>IFERROR(__xludf.DUMMYFUNCTION("""COMPUTED_VALUE"""),"Cheff Solutions Tecnologia Brasil")</f>
        <v>Cheff Solutions Tecnologia Brasil</v>
      </c>
      <c r="P1727" s="33">
        <f>IFERROR(__xludf.DUMMYFUNCTION("""COMPUTED_VALUE"""),0.6)</f>
        <v>0.6</v>
      </c>
      <c r="Q1727" s="4" t="str">
        <f>IFERROR(__xludf.DUMMYFUNCTION("""COMPUTED_VALUE"""),"Saipos Serviços De Software")</f>
        <v>Saipos Serviços De Software</v>
      </c>
      <c r="R1727" s="33">
        <f>IFERROR(__xludf.DUMMYFUNCTION("""COMPUTED_VALUE"""),1.0)</f>
        <v>1</v>
      </c>
      <c r="S1727" s="4" t="str">
        <f>IFERROR(__xludf.DUMMYFUNCTION("""COMPUTED_VALUE"""),"Saipos Serviços De Software")</f>
        <v>Saipos Serviços De Software</v>
      </c>
      <c r="T1727" s="33">
        <f>IFERROR(__xludf.DUMMYFUNCTION("""COMPUTED_VALUE"""),1.0)</f>
        <v>1</v>
      </c>
      <c r="U1727" s="4" t="str">
        <f>IFERROR(__xludf.DUMMYFUNCTION("""COMPUTED_VALUE"""),"Saipos Serviços De Software")</f>
        <v>Saipos Serviços De Software</v>
      </c>
      <c r="V1727" s="33">
        <f>IFERROR(__xludf.DUMMYFUNCTION("""COMPUTED_VALUE"""),1.0)</f>
        <v>1</v>
      </c>
      <c r="W1727" s="4" t="str">
        <f>IFERROR(__xludf.DUMMYFUNCTION("""COMPUTED_VALUE"""),"Saipos Serviços De Software")</f>
        <v>Saipos Serviços De Software</v>
      </c>
      <c r="X1727" s="33">
        <f>IFERROR(__xludf.DUMMYFUNCTION("""COMPUTED_VALUE"""),1.0)</f>
        <v>1</v>
      </c>
    </row>
    <row r="1728">
      <c r="K1728" s="4" t="str">
        <f>IFERROR(__xludf.DUMMYFUNCTION("""COMPUTED_VALUE"""),"GRUPO HANGUS")</f>
        <v>GRUPO HANGUS</v>
      </c>
      <c r="L1728" s="32">
        <f>IFERROR(__xludf.DUMMYFUNCTION("""COMPUTED_VALUE"""),5.0)</f>
        <v>5</v>
      </c>
      <c r="M1728" s="4" t="str">
        <f>IFERROR(__xludf.DUMMYFUNCTION("""COMPUTED_VALUE"""),"Totvs Large Enterprise Tecnologia S.a.")</f>
        <v>Totvs Large Enterprise Tecnologia S.a.</v>
      </c>
      <c r="N1728" s="33">
        <f>IFERROR(__xludf.DUMMYFUNCTION("""COMPUTED_VALUE"""),0.8)</f>
        <v>0.8</v>
      </c>
      <c r="O1728" s="4" t="str">
        <f>IFERROR(__xludf.DUMMYFUNCTION("""COMPUTED_VALUE"""),"Cardápio Web")</f>
        <v>Cardápio Web</v>
      </c>
      <c r="P1728" s="33">
        <f>IFERROR(__xludf.DUMMYFUNCTION("""COMPUTED_VALUE"""),0.6)</f>
        <v>0.6</v>
      </c>
      <c r="Q1728" s="4" t="str">
        <f>IFERROR(__xludf.DUMMYFUNCTION("""COMPUTED_VALUE"""),"Cardápio Web")</f>
        <v>Cardápio Web</v>
      </c>
      <c r="R1728" s="33">
        <f>IFERROR(__xludf.DUMMYFUNCTION("""COMPUTED_VALUE"""),1.0)</f>
        <v>1</v>
      </c>
      <c r="S1728" s="4" t="str">
        <f>IFERROR(__xludf.DUMMYFUNCTION("""COMPUTED_VALUE"""),"Cardápio Web")</f>
        <v>Cardápio Web</v>
      </c>
      <c r="T1728" s="33">
        <f>IFERROR(__xludf.DUMMYFUNCTION("""COMPUTED_VALUE"""),1.0)</f>
        <v>1</v>
      </c>
      <c r="U1728" s="4" t="str">
        <f>IFERROR(__xludf.DUMMYFUNCTION("""COMPUTED_VALUE"""),"Cardápio Web")</f>
        <v>Cardápio Web</v>
      </c>
      <c r="V1728" s="33">
        <f>IFERROR(__xludf.DUMMYFUNCTION("""COMPUTED_VALUE"""),1.0)</f>
        <v>1</v>
      </c>
      <c r="W1728" s="4" t="str">
        <f>IFERROR(__xludf.DUMMYFUNCTION("""COMPUTED_VALUE"""),"Cardápio Web")</f>
        <v>Cardápio Web</v>
      </c>
      <c r="X1728" s="33">
        <f>IFERROR(__xludf.DUMMYFUNCTION("""COMPUTED_VALUE"""),1.0)</f>
        <v>1</v>
      </c>
    </row>
    <row r="1729">
      <c r="K1729" s="4" t="str">
        <f>IFERROR(__xludf.DUMMYFUNCTION("""COMPUTED_VALUE"""),"GRUPO JAPINHA SUSHI")</f>
        <v>GRUPO JAPINHA SUSHI</v>
      </c>
      <c r="L1729" s="32">
        <f>IFERROR(__xludf.DUMMYFUNCTION("""COMPUTED_VALUE"""),5.0)</f>
        <v>5</v>
      </c>
      <c r="M1729" s="4" t="str">
        <f>IFERROR(__xludf.DUMMYFUNCTION("""COMPUTED_VALUE"""),"Saipos Serviços De Software")</f>
        <v>Saipos Serviços De Software</v>
      </c>
      <c r="N1729" s="33">
        <f>IFERROR(__xludf.DUMMYFUNCTION("""COMPUTED_VALUE"""),0.8)</f>
        <v>0.8</v>
      </c>
      <c r="O1729" s="4" t="str">
        <f>IFERROR(__xludf.DUMMYFUNCTION("""COMPUTED_VALUE"""),"Saipos Serviços De Software")</f>
        <v>Saipos Serviços De Software</v>
      </c>
      <c r="P1729" s="33">
        <f>IFERROR(__xludf.DUMMYFUNCTION("""COMPUTED_VALUE"""),0.8)</f>
        <v>0.8</v>
      </c>
      <c r="Q1729" s="4" t="str">
        <f>IFERROR(__xludf.DUMMYFUNCTION("""COMPUTED_VALUE"""),"Saipos Serviços De Software")</f>
        <v>Saipos Serviços De Software</v>
      </c>
      <c r="R1729" s="33">
        <f>IFERROR(__xludf.DUMMYFUNCTION("""COMPUTED_VALUE"""),0.8)</f>
        <v>0.8</v>
      </c>
      <c r="S1729" s="4" t="str">
        <f>IFERROR(__xludf.DUMMYFUNCTION("""COMPUTED_VALUE"""),"Saipos Serviços De Software")</f>
        <v>Saipos Serviços De Software</v>
      </c>
      <c r="T1729" s="33">
        <f>IFERROR(__xludf.DUMMYFUNCTION("""COMPUTED_VALUE"""),1.0)</f>
        <v>1</v>
      </c>
      <c r="U1729" s="4" t="str">
        <f>IFERROR(__xludf.DUMMYFUNCTION("""COMPUTED_VALUE"""),"Saipos Serviços De Software")</f>
        <v>Saipos Serviços De Software</v>
      </c>
      <c r="V1729" s="33">
        <f>IFERROR(__xludf.DUMMYFUNCTION("""COMPUTED_VALUE"""),1.0)</f>
        <v>1</v>
      </c>
      <c r="W1729" s="4" t="str">
        <f>IFERROR(__xludf.DUMMYFUNCTION("""COMPUTED_VALUE"""),"Saipos Serviços De Software")</f>
        <v>Saipos Serviços De Software</v>
      </c>
      <c r="X1729" s="33">
        <f>IFERROR(__xludf.DUMMYFUNCTION("""COMPUTED_VALUE"""),1.0)</f>
        <v>1</v>
      </c>
    </row>
    <row r="1730">
      <c r="K1730" s="4" t="str">
        <f>IFERROR(__xludf.DUMMYFUNCTION("""COMPUTED_VALUE"""),"GRUPO MARMITARIA")</f>
        <v>GRUPO MARMITARIA</v>
      </c>
      <c r="L1730" s="32">
        <f>IFERROR(__xludf.DUMMYFUNCTION("""COMPUTED_VALUE"""),5.0)</f>
        <v>5</v>
      </c>
      <c r="M1730" s="4" t="str">
        <f>IFERROR(__xludf.DUMMYFUNCTION("""COMPUTED_VALUE"""),"Cardápio Web")</f>
        <v>Cardápio Web</v>
      </c>
      <c r="N1730" s="33">
        <f>IFERROR(__xludf.DUMMYFUNCTION("""COMPUTED_VALUE"""),1.0)</f>
        <v>1</v>
      </c>
      <c r="O1730" s="4" t="str">
        <f>IFERROR(__xludf.DUMMYFUNCTION("""COMPUTED_VALUE"""),"Cardápio Web")</f>
        <v>Cardápio Web</v>
      </c>
      <c r="P1730" s="33">
        <f>IFERROR(__xludf.DUMMYFUNCTION("""COMPUTED_VALUE"""),1.0)</f>
        <v>1</v>
      </c>
      <c r="Q1730" s="4" t="str">
        <f>IFERROR(__xludf.DUMMYFUNCTION("""COMPUTED_VALUE"""),"Cardápio Web")</f>
        <v>Cardápio Web</v>
      </c>
      <c r="R1730" s="33">
        <f>IFERROR(__xludf.DUMMYFUNCTION("""COMPUTED_VALUE"""),1.0)</f>
        <v>1</v>
      </c>
      <c r="S1730" s="4" t="str">
        <f>IFERROR(__xludf.DUMMYFUNCTION("""COMPUTED_VALUE"""),"Cardápio Web")</f>
        <v>Cardápio Web</v>
      </c>
      <c r="T1730" s="33">
        <f>IFERROR(__xludf.DUMMYFUNCTION("""COMPUTED_VALUE"""),1.0)</f>
        <v>1</v>
      </c>
      <c r="U1730" s="4" t="str">
        <f>IFERROR(__xludf.DUMMYFUNCTION("""COMPUTED_VALUE"""),"Cardápio Web")</f>
        <v>Cardápio Web</v>
      </c>
      <c r="V1730" s="33">
        <f>IFERROR(__xludf.DUMMYFUNCTION("""COMPUTED_VALUE"""),0.8)</f>
        <v>0.8</v>
      </c>
      <c r="W1730" s="4" t="str">
        <f>IFERROR(__xludf.DUMMYFUNCTION("""COMPUTED_VALUE"""),"Cardápio Web")</f>
        <v>Cardápio Web</v>
      </c>
      <c r="X1730" s="33">
        <f>IFERROR(__xludf.DUMMYFUNCTION("""COMPUTED_VALUE"""),1.0)</f>
        <v>1</v>
      </c>
    </row>
    <row r="1731">
      <c r="K1731" s="4" t="str">
        <f>IFERROR(__xludf.DUMMYFUNCTION("""COMPUTED_VALUE"""),"GRUPO MIOLA")</f>
        <v>GRUPO MIOLA</v>
      </c>
      <c r="L1731" s="32">
        <f>IFERROR(__xludf.DUMMYFUNCTION("""COMPUTED_VALUE"""),5.0)</f>
        <v>5</v>
      </c>
      <c r="M1731" s="4" t="str">
        <f>IFERROR(__xludf.DUMMYFUNCTION("""COMPUTED_VALUE"""),"Anota Ai Solucoes Digitais S/a")</f>
        <v>Anota Ai Solucoes Digitais S/a</v>
      </c>
      <c r="N1731" s="33">
        <f>IFERROR(__xludf.DUMMYFUNCTION("""COMPUTED_VALUE"""),0.8)</f>
        <v>0.8</v>
      </c>
      <c r="O1731" s="4" t="str">
        <f>IFERROR(__xludf.DUMMYFUNCTION("""COMPUTED_VALUE"""),"Saipos Serviços De Software")</f>
        <v>Saipos Serviços De Software</v>
      </c>
      <c r="P1731" s="33">
        <f>IFERROR(__xludf.DUMMYFUNCTION("""COMPUTED_VALUE"""),0.6)</f>
        <v>0.6</v>
      </c>
      <c r="Q1731" s="4" t="str">
        <f>IFERROR(__xludf.DUMMYFUNCTION("""COMPUTED_VALUE"""),"Saipos Serviços De Software")</f>
        <v>Saipos Serviços De Software</v>
      </c>
      <c r="R1731" s="33">
        <f>IFERROR(__xludf.DUMMYFUNCTION("""COMPUTED_VALUE"""),1.0)</f>
        <v>1</v>
      </c>
      <c r="S1731" s="4" t="str">
        <f>IFERROR(__xludf.DUMMYFUNCTION("""COMPUTED_VALUE"""),"Saipos Serviços De Software")</f>
        <v>Saipos Serviços De Software</v>
      </c>
      <c r="T1731" s="33">
        <f>IFERROR(__xludf.DUMMYFUNCTION("""COMPUTED_VALUE"""),0.8)</f>
        <v>0.8</v>
      </c>
      <c r="U1731" s="4" t="str">
        <f>IFERROR(__xludf.DUMMYFUNCTION("""COMPUTED_VALUE"""),"Saipos Serviços De Software")</f>
        <v>Saipos Serviços De Software</v>
      </c>
      <c r="V1731" s="33">
        <f>IFERROR(__xludf.DUMMYFUNCTION("""COMPUTED_VALUE"""),0.8)</f>
        <v>0.8</v>
      </c>
      <c r="W1731" s="4" t="str">
        <f>IFERROR(__xludf.DUMMYFUNCTION("""COMPUTED_VALUE"""),"Saipos Serviços De Software")</f>
        <v>Saipos Serviços De Software</v>
      </c>
      <c r="X1731" s="33">
        <f>IFERROR(__xludf.DUMMYFUNCTION("""COMPUTED_VALUE"""),0.8)</f>
        <v>0.8</v>
      </c>
    </row>
    <row r="1732">
      <c r="K1732" s="4" t="str">
        <f>IFERROR(__xludf.DUMMYFUNCTION("""COMPUTED_VALUE"""),"GRUPO MIRAI")</f>
        <v>GRUPO MIRAI</v>
      </c>
      <c r="L1732" s="32">
        <f>IFERROR(__xludf.DUMMYFUNCTION("""COMPUTED_VALUE"""),5.0)</f>
        <v>5</v>
      </c>
      <c r="M1732" s="4" t="str">
        <f>IFERROR(__xludf.DUMMYFUNCTION("""COMPUTED_VALUE"""),"Vuca Solution")</f>
        <v>Vuca Solution</v>
      </c>
      <c r="N1732" s="33">
        <f>IFERROR(__xludf.DUMMYFUNCTION("""COMPUTED_VALUE"""),0.6)</f>
        <v>0.6</v>
      </c>
      <c r="O1732" s="4" t="str">
        <f>IFERROR(__xludf.DUMMYFUNCTION("""COMPUTED_VALUE"""),"Vuca Solution")</f>
        <v>Vuca Solution</v>
      </c>
      <c r="P1732" s="33">
        <f>IFERROR(__xludf.DUMMYFUNCTION("""COMPUTED_VALUE"""),0.6)</f>
        <v>0.6</v>
      </c>
      <c r="Q1732" s="4" t="str">
        <f>IFERROR(__xludf.DUMMYFUNCTION("""COMPUTED_VALUE"""),"Vuca Solution")</f>
        <v>Vuca Solution</v>
      </c>
      <c r="R1732" s="33">
        <f>IFERROR(__xludf.DUMMYFUNCTION("""COMPUTED_VALUE"""),0.6)</f>
        <v>0.6</v>
      </c>
      <c r="S1732" s="4" t="str">
        <f>IFERROR(__xludf.DUMMYFUNCTION("""COMPUTED_VALUE"""),"Vuca Solution")</f>
        <v>Vuca Solution</v>
      </c>
      <c r="T1732" s="33">
        <f>IFERROR(__xludf.DUMMYFUNCTION("""COMPUTED_VALUE"""),0.6)</f>
        <v>0.6</v>
      </c>
      <c r="U1732" s="4" t="str">
        <f>IFERROR(__xludf.DUMMYFUNCTION("""COMPUTED_VALUE"""),"Vuca Solution")</f>
        <v>Vuca Solution</v>
      </c>
      <c r="V1732" s="33">
        <f>IFERROR(__xludf.DUMMYFUNCTION("""COMPUTED_VALUE"""),0.6)</f>
        <v>0.6</v>
      </c>
      <c r="W1732" s="4" t="str">
        <f>IFERROR(__xludf.DUMMYFUNCTION("""COMPUTED_VALUE"""),"Vuca Solution")</f>
        <v>Vuca Solution</v>
      </c>
      <c r="X1732" s="33">
        <f>IFERROR(__xludf.DUMMYFUNCTION("""COMPUTED_VALUE"""),0.6)</f>
        <v>0.6</v>
      </c>
    </row>
    <row r="1733">
      <c r="K1733" s="4" t="str">
        <f>IFERROR(__xludf.DUMMYFUNCTION("""COMPUTED_VALUE"""),"GRUPO MUUN SUSHI")</f>
        <v>GRUPO MUUN SUSHI</v>
      </c>
      <c r="L1733" s="32">
        <f>IFERROR(__xludf.DUMMYFUNCTION("""COMPUTED_VALUE"""),5.0)</f>
        <v>5</v>
      </c>
      <c r="M1733" s="4" t="str">
        <f>IFERROR(__xludf.DUMMYFUNCTION("""COMPUTED_VALUE"""),"Cardápio Web")</f>
        <v>Cardápio Web</v>
      </c>
      <c r="N1733" s="33">
        <f>IFERROR(__xludf.DUMMYFUNCTION("""COMPUTED_VALUE"""),0.6)</f>
        <v>0.6</v>
      </c>
      <c r="O1733" s="4" t="str">
        <f>IFERROR(__xludf.DUMMYFUNCTION("""COMPUTED_VALUE"""),"Cardápio Web")</f>
        <v>Cardápio Web</v>
      </c>
      <c r="P1733" s="33">
        <f>IFERROR(__xludf.DUMMYFUNCTION("""COMPUTED_VALUE"""),0.8)</f>
        <v>0.8</v>
      </c>
      <c r="Q1733" s="4" t="str">
        <f>IFERROR(__xludf.DUMMYFUNCTION("""COMPUTED_VALUE"""),"Cardápio Web")</f>
        <v>Cardápio Web</v>
      </c>
      <c r="R1733" s="33">
        <f>IFERROR(__xludf.DUMMYFUNCTION("""COMPUTED_VALUE"""),1.0)</f>
        <v>1</v>
      </c>
      <c r="S1733" s="4" t="str">
        <f>IFERROR(__xludf.DUMMYFUNCTION("""COMPUTED_VALUE"""),"Cardápio Web")</f>
        <v>Cardápio Web</v>
      </c>
      <c r="T1733" s="33">
        <f>IFERROR(__xludf.DUMMYFUNCTION("""COMPUTED_VALUE"""),1.0)</f>
        <v>1</v>
      </c>
      <c r="U1733" s="4" t="str">
        <f>IFERROR(__xludf.DUMMYFUNCTION("""COMPUTED_VALUE"""),"Cardápio Web")</f>
        <v>Cardápio Web</v>
      </c>
      <c r="V1733" s="33">
        <f>IFERROR(__xludf.DUMMYFUNCTION("""COMPUTED_VALUE"""),1.0)</f>
        <v>1</v>
      </c>
      <c r="W1733" s="4" t="str">
        <f>IFERROR(__xludf.DUMMYFUNCTION("""COMPUTED_VALUE"""),"Cardápio Web")</f>
        <v>Cardápio Web</v>
      </c>
      <c r="X1733" s="33">
        <f>IFERROR(__xludf.DUMMYFUNCTION("""COMPUTED_VALUE"""),1.0)</f>
        <v>1</v>
      </c>
    </row>
    <row r="1734">
      <c r="K1734" s="4" t="str">
        <f>IFERROR(__xludf.DUMMYFUNCTION("""COMPUTED_VALUE"""),"GRUPO NORDICOS")</f>
        <v>GRUPO NORDICOS</v>
      </c>
      <c r="L1734" s="32">
        <f>IFERROR(__xludf.DUMMYFUNCTION("""COMPUTED_VALUE"""),5.0)</f>
        <v>5</v>
      </c>
      <c r="M1734" s="4" t="str">
        <f>IFERROR(__xludf.DUMMYFUNCTION("""COMPUTED_VALUE"""),"Saipos Serviços De Software")</f>
        <v>Saipos Serviços De Software</v>
      </c>
      <c r="N1734" s="33">
        <f>IFERROR(__xludf.DUMMYFUNCTION("""COMPUTED_VALUE"""),0.8)</f>
        <v>0.8</v>
      </c>
      <c r="O1734" s="4" t="str">
        <f>IFERROR(__xludf.DUMMYFUNCTION("""COMPUTED_VALUE"""),"Saipos Serviços De Software")</f>
        <v>Saipos Serviços De Software</v>
      </c>
      <c r="P1734" s="33">
        <f>IFERROR(__xludf.DUMMYFUNCTION("""COMPUTED_VALUE"""),1.0)</f>
        <v>1</v>
      </c>
      <c r="Q1734" s="4" t="str">
        <f>IFERROR(__xludf.DUMMYFUNCTION("""COMPUTED_VALUE"""),"Saipos Serviços De Software")</f>
        <v>Saipos Serviços De Software</v>
      </c>
      <c r="R1734" s="33">
        <f>IFERROR(__xludf.DUMMYFUNCTION("""COMPUTED_VALUE"""),1.0)</f>
        <v>1</v>
      </c>
      <c r="S1734" s="4" t="str">
        <f>IFERROR(__xludf.DUMMYFUNCTION("""COMPUTED_VALUE"""),"Saipos Serviços De Software")</f>
        <v>Saipos Serviços De Software</v>
      </c>
      <c r="T1734" s="33">
        <f>IFERROR(__xludf.DUMMYFUNCTION("""COMPUTED_VALUE"""),1.0)</f>
        <v>1</v>
      </c>
      <c r="U1734" s="4" t="str">
        <f>IFERROR(__xludf.DUMMYFUNCTION("""COMPUTED_VALUE"""),"Saipos Serviços De Software")</f>
        <v>Saipos Serviços De Software</v>
      </c>
      <c r="V1734" s="33">
        <f>IFERROR(__xludf.DUMMYFUNCTION("""COMPUTED_VALUE"""),1.0)</f>
        <v>1</v>
      </c>
      <c r="W1734" s="4" t="str">
        <f>IFERROR(__xludf.DUMMYFUNCTION("""COMPUTED_VALUE"""),"Saipos Serviços De Software")</f>
        <v>Saipos Serviços De Software</v>
      </c>
      <c r="X1734" s="33">
        <f>IFERROR(__xludf.DUMMYFUNCTION("""COMPUTED_VALUE"""),1.0)</f>
        <v>1</v>
      </c>
    </row>
    <row r="1735">
      <c r="K1735" s="4" t="str">
        <f>IFERROR(__xludf.DUMMYFUNCTION("""COMPUTED_VALUE"""),"GRUPO OCCA")</f>
        <v>GRUPO OCCA</v>
      </c>
      <c r="L1735" s="32">
        <f>IFERROR(__xludf.DUMMYFUNCTION("""COMPUTED_VALUE"""),5.0)</f>
        <v>5</v>
      </c>
      <c r="M1735" s="4" t="str">
        <f>IFERROR(__xludf.DUMMYFUNCTION("""COMPUTED_VALUE"""),"Real Softwares")</f>
        <v>Real Softwares</v>
      </c>
      <c r="N1735" s="33">
        <f>IFERROR(__xludf.DUMMYFUNCTION("""COMPUTED_VALUE"""),1.0)</f>
        <v>1</v>
      </c>
      <c r="O1735" s="4" t="str">
        <f>IFERROR(__xludf.DUMMYFUNCTION("""COMPUTED_VALUE"""),"Real Softwares")</f>
        <v>Real Softwares</v>
      </c>
      <c r="P1735" s="33">
        <f>IFERROR(__xludf.DUMMYFUNCTION("""COMPUTED_VALUE"""),1.0)</f>
        <v>1</v>
      </c>
      <c r="Q1735" s="4" t="str">
        <f>IFERROR(__xludf.DUMMYFUNCTION("""COMPUTED_VALUE"""),"Real Softwares")</f>
        <v>Real Softwares</v>
      </c>
      <c r="R1735" s="33">
        <f>IFERROR(__xludf.DUMMYFUNCTION("""COMPUTED_VALUE"""),1.0)</f>
        <v>1</v>
      </c>
      <c r="S1735" s="4" t="str">
        <f>IFERROR(__xludf.DUMMYFUNCTION("""COMPUTED_VALUE"""),"Real Softwares")</f>
        <v>Real Softwares</v>
      </c>
      <c r="T1735" s="33">
        <f>IFERROR(__xludf.DUMMYFUNCTION("""COMPUTED_VALUE"""),1.0)</f>
        <v>1</v>
      </c>
      <c r="U1735" s="4" t="str">
        <f>IFERROR(__xludf.DUMMYFUNCTION("""COMPUTED_VALUE"""),"Real Softwares")</f>
        <v>Real Softwares</v>
      </c>
      <c r="V1735" s="33">
        <f>IFERROR(__xludf.DUMMYFUNCTION("""COMPUTED_VALUE"""),1.0)</f>
        <v>1</v>
      </c>
      <c r="W1735" s="4" t="str">
        <f>IFERROR(__xludf.DUMMYFUNCTION("""COMPUTED_VALUE"""),"Real Softwares")</f>
        <v>Real Softwares</v>
      </c>
      <c r="X1735" s="33">
        <f>IFERROR(__xludf.DUMMYFUNCTION("""COMPUTED_VALUE"""),1.0)</f>
        <v>1</v>
      </c>
    </row>
    <row r="1736">
      <c r="K1736" s="4" t="str">
        <f>IFERROR(__xludf.DUMMYFUNCTION("""COMPUTED_VALUE"""),"GRUPO PIZZARIA BOI NA BRASA")</f>
        <v>GRUPO PIZZARIA BOI NA BRASA</v>
      </c>
      <c r="L1736" s="32">
        <f>IFERROR(__xludf.DUMMYFUNCTION("""COMPUTED_VALUE"""),5.0)</f>
        <v>5</v>
      </c>
      <c r="M1736" s="4" t="str">
        <f>IFERROR(__xludf.DUMMYFUNCTION("""COMPUTED_VALUE"""),"Saipos Serviços De Software")</f>
        <v>Saipos Serviços De Software</v>
      </c>
      <c r="N1736" s="33">
        <f>IFERROR(__xludf.DUMMYFUNCTION("""COMPUTED_VALUE"""),0.8)</f>
        <v>0.8</v>
      </c>
      <c r="O1736" s="4" t="str">
        <f>IFERROR(__xludf.DUMMYFUNCTION("""COMPUTED_VALUE"""),"Saipos Serviços De Software")</f>
        <v>Saipos Serviços De Software</v>
      </c>
      <c r="P1736" s="33">
        <f>IFERROR(__xludf.DUMMYFUNCTION("""COMPUTED_VALUE"""),0.8)</f>
        <v>0.8</v>
      </c>
      <c r="Q1736" s="4" t="str">
        <f>IFERROR(__xludf.DUMMYFUNCTION("""COMPUTED_VALUE"""),"Saipos Serviços De Software")</f>
        <v>Saipos Serviços De Software</v>
      </c>
      <c r="R1736" s="33">
        <f>IFERROR(__xludf.DUMMYFUNCTION("""COMPUTED_VALUE"""),0.8)</f>
        <v>0.8</v>
      </c>
      <c r="S1736" s="4" t="str">
        <f>IFERROR(__xludf.DUMMYFUNCTION("""COMPUTED_VALUE"""),"Saipos Serviços De Software")</f>
        <v>Saipos Serviços De Software</v>
      </c>
      <c r="T1736" s="33">
        <f>IFERROR(__xludf.DUMMYFUNCTION("""COMPUTED_VALUE"""),1.0)</f>
        <v>1</v>
      </c>
      <c r="U1736" s="4" t="str">
        <f>IFERROR(__xludf.DUMMYFUNCTION("""COMPUTED_VALUE"""),"Saipos Serviços De Software")</f>
        <v>Saipos Serviços De Software</v>
      </c>
      <c r="V1736" s="33">
        <f>IFERROR(__xludf.DUMMYFUNCTION("""COMPUTED_VALUE"""),0.8)</f>
        <v>0.8</v>
      </c>
      <c r="W1736" s="4" t="str">
        <f>IFERROR(__xludf.DUMMYFUNCTION("""COMPUTED_VALUE"""),"Saipos Serviços De Software")</f>
        <v>Saipos Serviços De Software</v>
      </c>
      <c r="X1736" s="33">
        <f>IFERROR(__xludf.DUMMYFUNCTION("""COMPUTED_VALUE"""),0.8)</f>
        <v>0.8</v>
      </c>
    </row>
    <row r="1737">
      <c r="K1737" s="4" t="str">
        <f>IFERROR(__xludf.DUMMYFUNCTION("""COMPUTED_VALUE"""),"GRUPO PIZZARIA QPIZZA")</f>
        <v>GRUPO PIZZARIA QPIZZA</v>
      </c>
      <c r="L1737" s="32">
        <f>IFERROR(__xludf.DUMMYFUNCTION("""COMPUTED_VALUE"""),5.0)</f>
        <v>5</v>
      </c>
      <c r="M1737" s="4" t="str">
        <f>IFERROR(__xludf.DUMMYFUNCTION("""COMPUTED_VALUE"""),"Saipos Serviços De Software")</f>
        <v>Saipos Serviços De Software</v>
      </c>
      <c r="N1737" s="33">
        <f>IFERROR(__xludf.DUMMYFUNCTION("""COMPUTED_VALUE"""),1.0)</f>
        <v>1</v>
      </c>
      <c r="O1737" s="4" t="str">
        <f>IFERROR(__xludf.DUMMYFUNCTION("""COMPUTED_VALUE"""),"Saipos Serviços De Software")</f>
        <v>Saipos Serviços De Software</v>
      </c>
      <c r="P1737" s="33">
        <f>IFERROR(__xludf.DUMMYFUNCTION("""COMPUTED_VALUE"""),1.0)</f>
        <v>1</v>
      </c>
      <c r="Q1737" s="4" t="str">
        <f>IFERROR(__xludf.DUMMYFUNCTION("""COMPUTED_VALUE"""),"Saipos Serviços De Software")</f>
        <v>Saipos Serviços De Software</v>
      </c>
      <c r="R1737" s="33">
        <f>IFERROR(__xludf.DUMMYFUNCTION("""COMPUTED_VALUE"""),1.0)</f>
        <v>1</v>
      </c>
      <c r="S1737" s="4" t="str">
        <f>IFERROR(__xludf.DUMMYFUNCTION("""COMPUTED_VALUE"""),"Saipos Serviços De Software")</f>
        <v>Saipos Serviços De Software</v>
      </c>
      <c r="T1737" s="33">
        <f>IFERROR(__xludf.DUMMYFUNCTION("""COMPUTED_VALUE"""),1.0)</f>
        <v>1</v>
      </c>
      <c r="U1737" s="4" t="str">
        <f>IFERROR(__xludf.DUMMYFUNCTION("""COMPUTED_VALUE"""),"Saipos Serviços De Software")</f>
        <v>Saipos Serviços De Software</v>
      </c>
      <c r="V1737" s="33">
        <f>IFERROR(__xludf.DUMMYFUNCTION("""COMPUTED_VALUE"""),1.0)</f>
        <v>1</v>
      </c>
      <c r="W1737" s="4" t="str">
        <f>IFERROR(__xludf.DUMMYFUNCTION("""COMPUTED_VALUE"""),"Saipos Serviços De Software")</f>
        <v>Saipos Serviços De Software</v>
      </c>
      <c r="X1737" s="33">
        <f>IFERROR(__xludf.DUMMYFUNCTION("""COMPUTED_VALUE"""),1.0)</f>
        <v>1</v>
      </c>
    </row>
    <row r="1738">
      <c r="K1738" s="4" t="str">
        <f>IFERROR(__xludf.DUMMYFUNCTION("""COMPUTED_VALUE"""),"GRUPO RAIZ BURGER")</f>
        <v>GRUPO RAIZ BURGER</v>
      </c>
      <c r="L1738" s="32">
        <f>IFERROR(__xludf.DUMMYFUNCTION("""COMPUTED_VALUE"""),5.0)</f>
        <v>5</v>
      </c>
      <c r="M1738" s="4" t="str">
        <f>IFERROR(__xludf.DUMMYFUNCTION("""COMPUTED_VALUE"""),"Consumer Soluções Em Tecnologia Ltda")</f>
        <v>Consumer Soluções Em Tecnologia Ltda</v>
      </c>
      <c r="N1738" s="33">
        <f>IFERROR(__xludf.DUMMYFUNCTION("""COMPUTED_VALUE"""),1.0)</f>
        <v>1</v>
      </c>
      <c r="O1738" s="4" t="str">
        <f>IFERROR(__xludf.DUMMYFUNCTION("""COMPUTED_VALUE"""),"Consumer Soluções Em Tecnologia Ltda")</f>
        <v>Consumer Soluções Em Tecnologia Ltda</v>
      </c>
      <c r="P1738" s="33">
        <f>IFERROR(__xludf.DUMMYFUNCTION("""COMPUTED_VALUE"""),1.0)</f>
        <v>1</v>
      </c>
      <c r="Q1738" s="4" t="str">
        <f>IFERROR(__xludf.DUMMYFUNCTION("""COMPUTED_VALUE"""),"Consumer Soluções Em Tecnologia Ltda")</f>
        <v>Consumer Soluções Em Tecnologia Ltda</v>
      </c>
      <c r="R1738" s="33">
        <f>IFERROR(__xludf.DUMMYFUNCTION("""COMPUTED_VALUE"""),1.0)</f>
        <v>1</v>
      </c>
      <c r="S1738" s="4" t="str">
        <f>IFERROR(__xludf.DUMMYFUNCTION("""COMPUTED_VALUE"""),"Consumer Soluções Em Tecnologia Ltda")</f>
        <v>Consumer Soluções Em Tecnologia Ltda</v>
      </c>
      <c r="T1738" s="33">
        <f>IFERROR(__xludf.DUMMYFUNCTION("""COMPUTED_VALUE"""),1.0)</f>
        <v>1</v>
      </c>
      <c r="U1738" s="4" t="str">
        <f>IFERROR(__xludf.DUMMYFUNCTION("""COMPUTED_VALUE"""),"Consumer Soluções Em Tecnologia Ltda")</f>
        <v>Consumer Soluções Em Tecnologia Ltda</v>
      </c>
      <c r="V1738" s="33">
        <f>IFERROR(__xludf.DUMMYFUNCTION("""COMPUTED_VALUE"""),1.0)</f>
        <v>1</v>
      </c>
      <c r="W1738" s="4" t="str">
        <f>IFERROR(__xludf.DUMMYFUNCTION("""COMPUTED_VALUE"""),"Consumer Soluções Em Tecnologia Ltda")</f>
        <v>Consumer Soluções Em Tecnologia Ltda</v>
      </c>
      <c r="X1738" s="33">
        <f>IFERROR(__xludf.DUMMYFUNCTION("""COMPUTED_VALUE"""),1.0)</f>
        <v>1</v>
      </c>
    </row>
    <row r="1739">
      <c r="K1739" s="4" t="str">
        <f>IFERROR(__xludf.DUMMYFUNCTION("""COMPUTED_VALUE"""),"GRUPO RANGAR")</f>
        <v>GRUPO RANGAR</v>
      </c>
      <c r="L1739" s="32">
        <f>IFERROR(__xludf.DUMMYFUNCTION("""COMPUTED_VALUE"""),5.0)</f>
        <v>5</v>
      </c>
      <c r="M1739" s="4" t="str">
        <f>IFERROR(__xludf.DUMMYFUNCTION("""COMPUTED_VALUE"""),"Totvs Large Enterprise Tecnologia S.a.")</f>
        <v>Totvs Large Enterprise Tecnologia S.a.</v>
      </c>
      <c r="N1739" s="33">
        <f>IFERROR(__xludf.DUMMYFUNCTION("""COMPUTED_VALUE"""),0.6)</f>
        <v>0.6</v>
      </c>
      <c r="O1739" s="4" t="str">
        <f>IFERROR(__xludf.DUMMYFUNCTION("""COMPUTED_VALUE"""),"Saipos Serviços De Software")</f>
        <v>Saipos Serviços De Software</v>
      </c>
      <c r="P1739" s="33">
        <f>IFERROR(__xludf.DUMMYFUNCTION("""COMPUTED_VALUE"""),0.6)</f>
        <v>0.6</v>
      </c>
      <c r="Q1739" s="4" t="str">
        <f>IFERROR(__xludf.DUMMYFUNCTION("""COMPUTED_VALUE"""),"Saipos Serviços De Software")</f>
        <v>Saipos Serviços De Software</v>
      </c>
      <c r="R1739" s="33">
        <f>IFERROR(__xludf.DUMMYFUNCTION("""COMPUTED_VALUE"""),0.6)</f>
        <v>0.6</v>
      </c>
      <c r="S1739" s="4" t="str">
        <f>IFERROR(__xludf.DUMMYFUNCTION("""COMPUTED_VALUE"""),"Saipos Serviços De Software")</f>
        <v>Saipos Serviços De Software</v>
      </c>
      <c r="T1739" s="33">
        <f>IFERROR(__xludf.DUMMYFUNCTION("""COMPUTED_VALUE"""),0.6)</f>
        <v>0.6</v>
      </c>
      <c r="U1739" s="4" t="str">
        <f>IFERROR(__xludf.DUMMYFUNCTION("""COMPUTED_VALUE"""),"Saipos Serviços De Software")</f>
        <v>Saipos Serviços De Software</v>
      </c>
      <c r="V1739" s="33">
        <f>IFERROR(__xludf.DUMMYFUNCTION("""COMPUTED_VALUE"""),0.6)</f>
        <v>0.6</v>
      </c>
      <c r="W1739" s="4" t="str">
        <f>IFERROR(__xludf.DUMMYFUNCTION("""COMPUTED_VALUE"""),"Saipos Serviços De Software")</f>
        <v>Saipos Serviços De Software</v>
      </c>
      <c r="X1739" s="33">
        <f>IFERROR(__xludf.DUMMYFUNCTION("""COMPUTED_VALUE"""),0.6)</f>
        <v>0.6</v>
      </c>
    </row>
    <row r="1740">
      <c r="K1740" s="4" t="str">
        <f>IFERROR(__xludf.DUMMYFUNCTION("""COMPUTED_VALUE"""),"GRUPO RISTORANTINO")</f>
        <v>GRUPO RISTORANTINO</v>
      </c>
      <c r="L1740" s="32">
        <f>IFERROR(__xludf.DUMMYFUNCTION("""COMPUTED_VALUE"""),5.0)</f>
        <v>5</v>
      </c>
      <c r="M1740" s="4" t="str">
        <f>IFERROR(__xludf.DUMMYFUNCTION("""COMPUTED_VALUE"""),"Alpha Logo")</f>
        <v>Alpha Logo</v>
      </c>
      <c r="N1740" s="33">
        <f>IFERROR(__xludf.DUMMYFUNCTION("""COMPUTED_VALUE"""),1.0)</f>
        <v>1</v>
      </c>
      <c r="O1740" s="4" t="str">
        <f>IFERROR(__xludf.DUMMYFUNCTION("""COMPUTED_VALUE"""),"Alpha Logo")</f>
        <v>Alpha Logo</v>
      </c>
      <c r="P1740" s="33">
        <f>IFERROR(__xludf.DUMMYFUNCTION("""COMPUTED_VALUE"""),1.0)</f>
        <v>1</v>
      </c>
      <c r="Q1740" s="4" t="str">
        <f>IFERROR(__xludf.DUMMYFUNCTION("""COMPUTED_VALUE"""),"Alpha Logo")</f>
        <v>Alpha Logo</v>
      </c>
      <c r="R1740" s="33">
        <f>IFERROR(__xludf.DUMMYFUNCTION("""COMPUTED_VALUE"""),1.0)</f>
        <v>1</v>
      </c>
      <c r="S1740" s="4" t="str">
        <f>IFERROR(__xludf.DUMMYFUNCTION("""COMPUTED_VALUE"""),"Alpha Logo")</f>
        <v>Alpha Logo</v>
      </c>
      <c r="T1740" s="33">
        <f>IFERROR(__xludf.DUMMYFUNCTION("""COMPUTED_VALUE"""),1.0)</f>
        <v>1</v>
      </c>
      <c r="U1740" s="4" t="str">
        <f>IFERROR(__xludf.DUMMYFUNCTION("""COMPUTED_VALUE"""),"Alpha Logo")</f>
        <v>Alpha Logo</v>
      </c>
      <c r="V1740" s="33">
        <f>IFERROR(__xludf.DUMMYFUNCTION("""COMPUTED_VALUE"""),1.0)</f>
        <v>1</v>
      </c>
      <c r="W1740" s="4" t="str">
        <f>IFERROR(__xludf.DUMMYFUNCTION("""COMPUTED_VALUE"""),"Alpha Logo")</f>
        <v>Alpha Logo</v>
      </c>
      <c r="X1740" s="33">
        <f>IFERROR(__xludf.DUMMYFUNCTION("""COMPUTED_VALUE"""),1.0)</f>
        <v>1</v>
      </c>
    </row>
    <row r="1741">
      <c r="K1741" s="4" t="str">
        <f>IFERROR(__xludf.DUMMYFUNCTION("""COMPUTED_VALUE"""),"GRUPO SPOT BURGUERS")</f>
        <v>GRUPO SPOT BURGUERS</v>
      </c>
      <c r="L1741" s="32">
        <f>IFERROR(__xludf.DUMMYFUNCTION("""COMPUTED_VALUE"""),5.0)</f>
        <v>5</v>
      </c>
      <c r="M1741" s="4" t="str">
        <f>IFERROR(__xludf.DUMMYFUNCTION("""COMPUTED_VALUE"""),"Saipos Serviços De Software")</f>
        <v>Saipos Serviços De Software</v>
      </c>
      <c r="N1741" s="33">
        <f>IFERROR(__xludf.DUMMYFUNCTION("""COMPUTED_VALUE"""),1.0)</f>
        <v>1</v>
      </c>
      <c r="O1741" s="4" t="str">
        <f>IFERROR(__xludf.DUMMYFUNCTION("""COMPUTED_VALUE"""),"Saipos Serviços De Software")</f>
        <v>Saipos Serviços De Software</v>
      </c>
      <c r="P1741" s="33">
        <f>IFERROR(__xludf.DUMMYFUNCTION("""COMPUTED_VALUE"""),1.0)</f>
        <v>1</v>
      </c>
      <c r="Q1741" s="4" t="str">
        <f>IFERROR(__xludf.DUMMYFUNCTION("""COMPUTED_VALUE"""),"Saipos Serviços De Software")</f>
        <v>Saipos Serviços De Software</v>
      </c>
      <c r="R1741" s="33">
        <f>IFERROR(__xludf.DUMMYFUNCTION("""COMPUTED_VALUE"""),1.0)</f>
        <v>1</v>
      </c>
      <c r="S1741" s="4" t="str">
        <f>IFERROR(__xludf.DUMMYFUNCTION("""COMPUTED_VALUE"""),"Saipos Serviços De Software")</f>
        <v>Saipos Serviços De Software</v>
      </c>
      <c r="T1741" s="33">
        <f>IFERROR(__xludf.DUMMYFUNCTION("""COMPUTED_VALUE"""),1.0)</f>
        <v>1</v>
      </c>
      <c r="U1741" s="4" t="str">
        <f>IFERROR(__xludf.DUMMYFUNCTION("""COMPUTED_VALUE"""),"Saipos Serviços De Software")</f>
        <v>Saipos Serviços De Software</v>
      </c>
      <c r="V1741" s="33">
        <f>IFERROR(__xludf.DUMMYFUNCTION("""COMPUTED_VALUE"""),1.0)</f>
        <v>1</v>
      </c>
      <c r="W1741" s="4" t="str">
        <f>IFERROR(__xludf.DUMMYFUNCTION("""COMPUTED_VALUE"""),"Saipos Serviços De Software")</f>
        <v>Saipos Serviços De Software</v>
      </c>
      <c r="X1741" s="33">
        <f>IFERROR(__xludf.DUMMYFUNCTION("""COMPUTED_VALUE"""),1.0)</f>
        <v>1</v>
      </c>
    </row>
    <row r="1742">
      <c r="K1742" s="4" t="str">
        <f>IFERROR(__xludf.DUMMYFUNCTION("""COMPUTED_VALUE"""),"GRUPO SPOT BURGUERS SHAKES")</f>
        <v>GRUPO SPOT BURGUERS SHAKES</v>
      </c>
      <c r="L1742" s="32">
        <f>IFERROR(__xludf.DUMMYFUNCTION("""COMPUTED_VALUE"""),5.0)</f>
        <v>5</v>
      </c>
      <c r="M1742" s="4" t="str">
        <f>IFERROR(__xludf.DUMMYFUNCTION("""COMPUTED_VALUE"""),"Saipos Serviços De Software")</f>
        <v>Saipos Serviços De Software</v>
      </c>
      <c r="N1742" s="33">
        <f>IFERROR(__xludf.DUMMYFUNCTION("""COMPUTED_VALUE"""),1.0)</f>
        <v>1</v>
      </c>
      <c r="O1742" s="4" t="str">
        <f>IFERROR(__xludf.DUMMYFUNCTION("""COMPUTED_VALUE"""),"Saipos Serviços De Software")</f>
        <v>Saipos Serviços De Software</v>
      </c>
      <c r="P1742" s="33">
        <f>IFERROR(__xludf.DUMMYFUNCTION("""COMPUTED_VALUE"""),1.0)</f>
        <v>1</v>
      </c>
      <c r="Q1742" s="4" t="str">
        <f>IFERROR(__xludf.DUMMYFUNCTION("""COMPUTED_VALUE"""),"Saipos Serviços De Software")</f>
        <v>Saipos Serviços De Software</v>
      </c>
      <c r="R1742" s="33">
        <f>IFERROR(__xludf.DUMMYFUNCTION("""COMPUTED_VALUE"""),1.0)</f>
        <v>1</v>
      </c>
      <c r="S1742" s="4" t="str">
        <f>IFERROR(__xludf.DUMMYFUNCTION("""COMPUTED_VALUE"""),"Saipos Serviços De Software")</f>
        <v>Saipos Serviços De Software</v>
      </c>
      <c r="T1742" s="33">
        <f>IFERROR(__xludf.DUMMYFUNCTION("""COMPUTED_VALUE"""),1.0)</f>
        <v>1</v>
      </c>
      <c r="U1742" s="4" t="str">
        <f>IFERROR(__xludf.DUMMYFUNCTION("""COMPUTED_VALUE"""),"Saipos Serviços De Software")</f>
        <v>Saipos Serviços De Software</v>
      </c>
      <c r="V1742" s="33">
        <f>IFERROR(__xludf.DUMMYFUNCTION("""COMPUTED_VALUE"""),1.0)</f>
        <v>1</v>
      </c>
      <c r="W1742" s="4" t="str">
        <f>IFERROR(__xludf.DUMMYFUNCTION("""COMPUTED_VALUE"""),"Saipos Serviços De Software")</f>
        <v>Saipos Serviços De Software</v>
      </c>
      <c r="X1742" s="33">
        <f>IFERROR(__xludf.DUMMYFUNCTION("""COMPUTED_VALUE"""),1.0)</f>
        <v>1</v>
      </c>
    </row>
    <row r="1743">
      <c r="K1743" s="4" t="str">
        <f>IFERROR(__xludf.DUMMYFUNCTION("""COMPUTED_VALUE"""),"GRUPO SUPREMO BURGUER")</f>
        <v>GRUPO SUPREMO BURGUER</v>
      </c>
      <c r="L1743" s="32">
        <f>IFERROR(__xludf.DUMMYFUNCTION("""COMPUTED_VALUE"""),5.0)</f>
        <v>5</v>
      </c>
      <c r="M1743" s="4" t="str">
        <f>IFERROR(__xludf.DUMMYFUNCTION("""COMPUTED_VALUE"""),"Cardápio Web")</f>
        <v>Cardápio Web</v>
      </c>
      <c r="N1743" s="33">
        <f>IFERROR(__xludf.DUMMYFUNCTION("""COMPUTED_VALUE"""),1.0)</f>
        <v>1</v>
      </c>
      <c r="O1743" s="4" t="str">
        <f>IFERROR(__xludf.DUMMYFUNCTION("""COMPUTED_VALUE"""),"Cardápio Web")</f>
        <v>Cardápio Web</v>
      </c>
      <c r="P1743" s="33">
        <f>IFERROR(__xludf.DUMMYFUNCTION("""COMPUTED_VALUE"""),1.0)</f>
        <v>1</v>
      </c>
      <c r="Q1743" s="4" t="str">
        <f>IFERROR(__xludf.DUMMYFUNCTION("""COMPUTED_VALUE"""),"Cardápio Web")</f>
        <v>Cardápio Web</v>
      </c>
      <c r="R1743" s="33">
        <f>IFERROR(__xludf.DUMMYFUNCTION("""COMPUTED_VALUE"""),1.0)</f>
        <v>1</v>
      </c>
      <c r="S1743" s="4" t="str">
        <f>IFERROR(__xludf.DUMMYFUNCTION("""COMPUTED_VALUE"""),"Cardápio Web")</f>
        <v>Cardápio Web</v>
      </c>
      <c r="T1743" s="33">
        <f>IFERROR(__xludf.DUMMYFUNCTION("""COMPUTED_VALUE"""),1.0)</f>
        <v>1</v>
      </c>
      <c r="U1743" s="4" t="str">
        <f>IFERROR(__xludf.DUMMYFUNCTION("""COMPUTED_VALUE"""),"Cardápio Web")</f>
        <v>Cardápio Web</v>
      </c>
      <c r="V1743" s="33">
        <f>IFERROR(__xludf.DUMMYFUNCTION("""COMPUTED_VALUE"""),1.0)</f>
        <v>1</v>
      </c>
      <c r="W1743" s="4" t="str">
        <f>IFERROR(__xludf.DUMMYFUNCTION("""COMPUTED_VALUE"""),"Cardápio Web")</f>
        <v>Cardápio Web</v>
      </c>
      <c r="X1743" s="33">
        <f>IFERROR(__xludf.DUMMYFUNCTION("""COMPUTED_VALUE"""),1.0)</f>
        <v>1</v>
      </c>
    </row>
    <row r="1744">
      <c r="K1744" s="4" t="str">
        <f>IFERROR(__xludf.DUMMYFUNCTION("""COMPUTED_VALUE"""),"GRUPO TAISHO")</f>
        <v>GRUPO TAISHO</v>
      </c>
      <c r="L1744" s="32">
        <f>IFERROR(__xludf.DUMMYFUNCTION("""COMPUTED_VALUE"""),5.0)</f>
        <v>5</v>
      </c>
      <c r="M1744" s="4" t="str">
        <f>IFERROR(__xludf.DUMMYFUNCTION("""COMPUTED_VALUE"""),"Cloudfy")</f>
        <v>Cloudfy</v>
      </c>
      <c r="N1744" s="33">
        <f>IFERROR(__xludf.DUMMYFUNCTION("""COMPUTED_VALUE"""),1.0)</f>
        <v>1</v>
      </c>
      <c r="O1744" s="4" t="str">
        <f>IFERROR(__xludf.DUMMYFUNCTION("""COMPUTED_VALUE"""),"Cloudfy")</f>
        <v>Cloudfy</v>
      </c>
      <c r="P1744" s="33">
        <f>IFERROR(__xludf.DUMMYFUNCTION("""COMPUTED_VALUE"""),1.0)</f>
        <v>1</v>
      </c>
      <c r="Q1744" s="4" t="str">
        <f>IFERROR(__xludf.DUMMYFUNCTION("""COMPUTED_VALUE"""),"Cloudfy")</f>
        <v>Cloudfy</v>
      </c>
      <c r="R1744" s="33">
        <f>IFERROR(__xludf.DUMMYFUNCTION("""COMPUTED_VALUE"""),1.0)</f>
        <v>1</v>
      </c>
      <c r="S1744" s="4" t="str">
        <f>IFERROR(__xludf.DUMMYFUNCTION("""COMPUTED_VALUE"""),"Cloudfy")</f>
        <v>Cloudfy</v>
      </c>
      <c r="T1744" s="33">
        <f>IFERROR(__xludf.DUMMYFUNCTION("""COMPUTED_VALUE"""),1.0)</f>
        <v>1</v>
      </c>
      <c r="U1744" s="4" t="str">
        <f>IFERROR(__xludf.DUMMYFUNCTION("""COMPUTED_VALUE"""),"Cloudfy")</f>
        <v>Cloudfy</v>
      </c>
      <c r="V1744" s="33">
        <f>IFERROR(__xludf.DUMMYFUNCTION("""COMPUTED_VALUE"""),1.0)</f>
        <v>1</v>
      </c>
      <c r="W1744" s="4" t="str">
        <f>IFERROR(__xludf.DUMMYFUNCTION("""COMPUTED_VALUE"""),"Cloudfy")</f>
        <v>Cloudfy</v>
      </c>
      <c r="X1744" s="33">
        <f>IFERROR(__xludf.DUMMYFUNCTION("""COMPUTED_VALUE"""),1.0)</f>
        <v>1</v>
      </c>
    </row>
    <row r="1745">
      <c r="K1745" s="4" t="str">
        <f>IFERROR(__xludf.DUMMYFUNCTION("""COMPUTED_VALUE"""),"GRUPO VEZPA")</f>
        <v>GRUPO VEZPA</v>
      </c>
      <c r="L1745" s="32">
        <f>IFERROR(__xludf.DUMMYFUNCTION("""COMPUTED_VALUE"""),5.0)</f>
        <v>5</v>
      </c>
      <c r="M1745" s="4" t="str">
        <f>IFERROR(__xludf.DUMMYFUNCTION("""COMPUTED_VALUE"""),"Saipos Serviços De Software")</f>
        <v>Saipos Serviços De Software</v>
      </c>
      <c r="N1745" s="33">
        <f>IFERROR(__xludf.DUMMYFUNCTION("""COMPUTED_VALUE"""),0.8)</f>
        <v>0.8</v>
      </c>
      <c r="O1745" s="4" t="str">
        <f>IFERROR(__xludf.DUMMYFUNCTION("""COMPUTED_VALUE"""),"Saipos Serviços De Software")</f>
        <v>Saipos Serviços De Software</v>
      </c>
      <c r="P1745" s="33">
        <f>IFERROR(__xludf.DUMMYFUNCTION("""COMPUTED_VALUE"""),0.8)</f>
        <v>0.8</v>
      </c>
      <c r="Q1745" s="4" t="str">
        <f>IFERROR(__xludf.DUMMYFUNCTION("""COMPUTED_VALUE"""),"Saipos Serviços De Software")</f>
        <v>Saipos Serviços De Software</v>
      </c>
      <c r="R1745" s="33">
        <f>IFERROR(__xludf.DUMMYFUNCTION("""COMPUTED_VALUE"""),0.8)</f>
        <v>0.8</v>
      </c>
      <c r="S1745" s="4" t="str">
        <f>IFERROR(__xludf.DUMMYFUNCTION("""COMPUTED_VALUE"""),"Saipos Serviços De Software")</f>
        <v>Saipos Serviços De Software</v>
      </c>
      <c r="T1745" s="33">
        <f>IFERROR(__xludf.DUMMYFUNCTION("""COMPUTED_VALUE"""),0.6)</f>
        <v>0.6</v>
      </c>
      <c r="U1745" s="4" t="str">
        <f>IFERROR(__xludf.DUMMYFUNCTION("""COMPUTED_VALUE"""),"Saipos Serviços De Software")</f>
        <v>Saipos Serviços De Software</v>
      </c>
      <c r="V1745" s="33">
        <f>IFERROR(__xludf.DUMMYFUNCTION("""COMPUTED_VALUE"""),0.6)</f>
        <v>0.6</v>
      </c>
      <c r="W1745" s="4" t="str">
        <f>IFERROR(__xludf.DUMMYFUNCTION("""COMPUTED_VALUE"""),"Saipos Serviços De Software")</f>
        <v>Saipos Serviços De Software</v>
      </c>
      <c r="X1745" s="33">
        <f>IFERROR(__xludf.DUMMYFUNCTION("""COMPUTED_VALUE"""),0.6)</f>
        <v>0.6</v>
      </c>
    </row>
    <row r="1746">
      <c r="K1746" s="4" t="str">
        <f>IFERROR(__xludf.DUMMYFUNCTION("""COMPUTED_VALUE"""),"GRUPO YAKIMASSA")</f>
        <v>GRUPO YAKIMASSA</v>
      </c>
      <c r="L1746" s="32">
        <f>IFERROR(__xludf.DUMMYFUNCTION("""COMPUTED_VALUE"""),5.0)</f>
        <v>5</v>
      </c>
      <c r="M1746" s="4" t="str">
        <f>IFERROR(__xludf.DUMMYFUNCTION("""COMPUTED_VALUE"""),"Saipos Serviços De Software")</f>
        <v>Saipos Serviços De Software</v>
      </c>
      <c r="N1746" s="33">
        <f>IFERROR(__xludf.DUMMYFUNCTION("""COMPUTED_VALUE"""),0.6)</f>
        <v>0.6</v>
      </c>
      <c r="O1746" s="4" t="str">
        <f>IFERROR(__xludf.DUMMYFUNCTION("""COMPUTED_VALUE"""),"Saipos Serviços De Software")</f>
        <v>Saipos Serviços De Software</v>
      </c>
      <c r="P1746" s="33">
        <f>IFERROR(__xludf.DUMMYFUNCTION("""COMPUTED_VALUE"""),0.6)</f>
        <v>0.6</v>
      </c>
      <c r="Q1746" s="4" t="str">
        <f>IFERROR(__xludf.DUMMYFUNCTION("""COMPUTED_VALUE"""),"Saipos Serviços De Software")</f>
        <v>Saipos Serviços De Software</v>
      </c>
      <c r="R1746" s="33">
        <f>IFERROR(__xludf.DUMMYFUNCTION("""COMPUTED_VALUE"""),0.6)</f>
        <v>0.6</v>
      </c>
      <c r="S1746" s="4" t="str">
        <f>IFERROR(__xludf.DUMMYFUNCTION("""COMPUTED_VALUE"""),"Saipos Serviços De Software")</f>
        <v>Saipos Serviços De Software</v>
      </c>
      <c r="T1746" s="33">
        <f>IFERROR(__xludf.DUMMYFUNCTION("""COMPUTED_VALUE"""),0.6)</f>
        <v>0.6</v>
      </c>
      <c r="U1746" s="4" t="str">
        <f>IFERROR(__xludf.DUMMYFUNCTION("""COMPUTED_VALUE"""),"Saipos Serviços De Software")</f>
        <v>Saipos Serviços De Software</v>
      </c>
      <c r="V1746" s="33">
        <f>IFERROR(__xludf.DUMMYFUNCTION("""COMPUTED_VALUE"""),0.6)</f>
        <v>0.6</v>
      </c>
      <c r="W1746" s="4" t="str">
        <f>IFERROR(__xludf.DUMMYFUNCTION("""COMPUTED_VALUE"""),"Saipos Serviços De Software")</f>
        <v>Saipos Serviços De Software</v>
      </c>
      <c r="X1746" s="33">
        <f>IFERROR(__xludf.DUMMYFUNCTION("""COMPUTED_VALUE"""),0.6)</f>
        <v>0.6</v>
      </c>
    </row>
    <row r="1747">
      <c r="K1747" s="4" t="str">
        <f>IFERROR(__xludf.DUMMYFUNCTION("""COMPUTED_VALUE"""),"GRUPO YURAI SUSHI")</f>
        <v>GRUPO YURAI SUSHI</v>
      </c>
      <c r="L1747" s="32">
        <f>IFERROR(__xludf.DUMMYFUNCTION("""COMPUTED_VALUE"""),5.0)</f>
        <v>5</v>
      </c>
      <c r="M1747" s="4" t="str">
        <f>IFERROR(__xludf.DUMMYFUNCTION("""COMPUTED_VALUE"""),"Saipos Serviços De Software")</f>
        <v>Saipos Serviços De Software</v>
      </c>
      <c r="N1747" s="33">
        <f>IFERROR(__xludf.DUMMYFUNCTION("""COMPUTED_VALUE"""),1.0)</f>
        <v>1</v>
      </c>
      <c r="O1747" s="4" t="str">
        <f>IFERROR(__xludf.DUMMYFUNCTION("""COMPUTED_VALUE"""),"Saipos Serviços De Software")</f>
        <v>Saipos Serviços De Software</v>
      </c>
      <c r="P1747" s="33">
        <f>IFERROR(__xludf.DUMMYFUNCTION("""COMPUTED_VALUE"""),1.0)</f>
        <v>1</v>
      </c>
      <c r="Q1747" s="4" t="str">
        <f>IFERROR(__xludf.DUMMYFUNCTION("""COMPUTED_VALUE"""),"Saipos Serviços De Software")</f>
        <v>Saipos Serviços De Software</v>
      </c>
      <c r="R1747" s="33">
        <f>IFERROR(__xludf.DUMMYFUNCTION("""COMPUTED_VALUE"""),1.0)</f>
        <v>1</v>
      </c>
      <c r="S1747" s="4" t="str">
        <f>IFERROR(__xludf.DUMMYFUNCTION("""COMPUTED_VALUE"""),"Saipos Serviços De Software")</f>
        <v>Saipos Serviços De Software</v>
      </c>
      <c r="T1747" s="33">
        <f>IFERROR(__xludf.DUMMYFUNCTION("""COMPUTED_VALUE"""),1.0)</f>
        <v>1</v>
      </c>
      <c r="U1747" s="4" t="str">
        <f>IFERROR(__xludf.DUMMYFUNCTION("""COMPUTED_VALUE"""),"Saipos Serviços De Software")</f>
        <v>Saipos Serviços De Software</v>
      </c>
      <c r="V1747" s="33">
        <f>IFERROR(__xludf.DUMMYFUNCTION("""COMPUTED_VALUE"""),1.0)</f>
        <v>1</v>
      </c>
      <c r="W1747" s="4" t="str">
        <f>IFERROR(__xludf.DUMMYFUNCTION("""COMPUTED_VALUE"""),"Saipos Serviços De Software")</f>
        <v>Saipos Serviços De Software</v>
      </c>
      <c r="X1747" s="33">
        <f>IFERROR(__xludf.DUMMYFUNCTION("""COMPUTED_VALUE"""),1.0)</f>
        <v>1</v>
      </c>
    </row>
    <row r="1748">
      <c r="K1748" s="4" t="str">
        <f>IFERROR(__xludf.DUMMYFUNCTION("""COMPUTED_VALUE"""),"GUSTTO FORNERIA-")</f>
        <v>GUSTTO FORNERIA-</v>
      </c>
      <c r="L1748" s="32">
        <f>IFERROR(__xludf.DUMMYFUNCTION("""COMPUTED_VALUE"""),5.0)</f>
        <v>5</v>
      </c>
      <c r="M1748" s="4" t="str">
        <f>IFERROR(__xludf.DUMMYFUNCTION("""COMPUTED_VALUE"""),"Netcontroll Xmenu")</f>
        <v>Netcontroll Xmenu</v>
      </c>
      <c r="N1748" s="33">
        <f>IFERROR(__xludf.DUMMYFUNCTION("""COMPUTED_VALUE"""),1.0)</f>
        <v>1</v>
      </c>
      <c r="O1748" s="4" t="str">
        <f>IFERROR(__xludf.DUMMYFUNCTION("""COMPUTED_VALUE"""),"Netcontroll Xmenu")</f>
        <v>Netcontroll Xmenu</v>
      </c>
      <c r="P1748" s="33">
        <f>IFERROR(__xludf.DUMMYFUNCTION("""COMPUTED_VALUE"""),1.0)</f>
        <v>1</v>
      </c>
      <c r="Q1748" s="4" t="str">
        <f>IFERROR(__xludf.DUMMYFUNCTION("""COMPUTED_VALUE"""),"Netcontroll Xmenu")</f>
        <v>Netcontroll Xmenu</v>
      </c>
      <c r="R1748" s="33">
        <f>IFERROR(__xludf.DUMMYFUNCTION("""COMPUTED_VALUE"""),0.8)</f>
        <v>0.8</v>
      </c>
      <c r="S1748" s="4" t="str">
        <f>IFERROR(__xludf.DUMMYFUNCTION("""COMPUTED_VALUE"""),"Netcontroll Xmenu")</f>
        <v>Netcontroll Xmenu</v>
      </c>
      <c r="T1748" s="33">
        <f>IFERROR(__xludf.DUMMYFUNCTION("""COMPUTED_VALUE"""),0.8)</f>
        <v>0.8</v>
      </c>
      <c r="U1748" s="4" t="str">
        <f>IFERROR(__xludf.DUMMYFUNCTION("""COMPUTED_VALUE"""),"Netcontroll Xmenu")</f>
        <v>Netcontroll Xmenu</v>
      </c>
      <c r="V1748" s="33">
        <f>IFERROR(__xludf.DUMMYFUNCTION("""COMPUTED_VALUE"""),0.8)</f>
        <v>0.8</v>
      </c>
      <c r="W1748" s="4" t="str">
        <f>IFERROR(__xludf.DUMMYFUNCTION("""COMPUTED_VALUE"""),"Netcontroll Xmenu")</f>
        <v>Netcontroll Xmenu</v>
      </c>
      <c r="X1748" s="33">
        <f>IFERROR(__xludf.DUMMYFUNCTION("""COMPUTED_VALUE"""),0.8)</f>
        <v>0.8</v>
      </c>
    </row>
    <row r="1749">
      <c r="K1749" s="4" t="str">
        <f>IFERROR(__xludf.DUMMYFUNCTION("""COMPUTED_VALUE"""),"GUTA BATATA SUICA EM CASA CWB")</f>
        <v>GUTA BATATA SUICA EM CASA CWB</v>
      </c>
      <c r="L1749" s="32">
        <f>IFERROR(__xludf.DUMMYFUNCTION("""COMPUTED_VALUE"""),5.0)</f>
        <v>5</v>
      </c>
      <c r="M1749" s="4" t="str">
        <f>IFERROR(__xludf.DUMMYFUNCTION("""COMPUTED_VALUE"""),"Saipos Serviços De Software")</f>
        <v>Saipos Serviços De Software</v>
      </c>
      <c r="N1749" s="33">
        <f>IFERROR(__xludf.DUMMYFUNCTION("""COMPUTED_VALUE"""),0.8)</f>
        <v>0.8</v>
      </c>
      <c r="O1749" s="4" t="str">
        <f>IFERROR(__xludf.DUMMYFUNCTION("""COMPUTED_VALUE"""),"Saipos Serviços De Software")</f>
        <v>Saipos Serviços De Software</v>
      </c>
      <c r="P1749" s="33">
        <f>IFERROR(__xludf.DUMMYFUNCTION("""COMPUTED_VALUE"""),0.8)</f>
        <v>0.8</v>
      </c>
      <c r="Q1749" s="4" t="str">
        <f>IFERROR(__xludf.DUMMYFUNCTION("""COMPUTED_VALUE"""),"Saipos Serviços De Software")</f>
        <v>Saipos Serviços De Software</v>
      </c>
      <c r="R1749" s="33">
        <f>IFERROR(__xludf.DUMMYFUNCTION("""COMPUTED_VALUE"""),0.8)</f>
        <v>0.8</v>
      </c>
      <c r="S1749" s="4" t="str">
        <f>IFERROR(__xludf.DUMMYFUNCTION("""COMPUTED_VALUE"""),"Saipos Serviços De Software")</f>
        <v>Saipos Serviços De Software</v>
      </c>
      <c r="T1749" s="33">
        <f>IFERROR(__xludf.DUMMYFUNCTION("""COMPUTED_VALUE"""),0.8)</f>
        <v>0.8</v>
      </c>
      <c r="U1749" s="4" t="str">
        <f>IFERROR(__xludf.DUMMYFUNCTION("""COMPUTED_VALUE"""),"Saipos Serviços De Software")</f>
        <v>Saipos Serviços De Software</v>
      </c>
      <c r="V1749" s="33">
        <f>IFERROR(__xludf.DUMMYFUNCTION("""COMPUTED_VALUE"""),0.8)</f>
        <v>0.8</v>
      </c>
      <c r="W1749" s="4" t="str">
        <f>IFERROR(__xludf.DUMMYFUNCTION("""COMPUTED_VALUE"""),"Saipos Serviços De Software")</f>
        <v>Saipos Serviços De Software</v>
      </c>
      <c r="X1749" s="33">
        <f>IFERROR(__xludf.DUMMYFUNCTION("""COMPUTED_VALUE"""),0.8)</f>
        <v>0.8</v>
      </c>
    </row>
    <row r="1750">
      <c r="K1750" s="4" t="str">
        <f>IFERROR(__xludf.DUMMYFUNCTION("""COMPUTED_VALUE"""),"GUUD DELIVERY - CONTA PAI")</f>
        <v>GUUD DELIVERY - CONTA PAI</v>
      </c>
      <c r="L1750" s="32">
        <f>IFERROR(__xludf.DUMMYFUNCTION("""COMPUTED_VALUE"""),5.0)</f>
        <v>5</v>
      </c>
      <c r="M1750" s="4" t="str">
        <f>IFERROR(__xludf.DUMMYFUNCTION("""COMPUTED_VALUE"""),"Gama Tecnologias Ltda")</f>
        <v>Gama Tecnologias Ltda</v>
      </c>
      <c r="N1750" s="33">
        <f>IFERROR(__xludf.DUMMYFUNCTION("""COMPUTED_VALUE"""),0.4)</f>
        <v>0.4</v>
      </c>
      <c r="O1750" s="4" t="str">
        <f>IFERROR(__xludf.DUMMYFUNCTION("""COMPUTED_VALUE"""),"Saipos Serviços De Software")</f>
        <v>Saipos Serviços De Software</v>
      </c>
      <c r="P1750" s="33">
        <f>IFERROR(__xludf.DUMMYFUNCTION("""COMPUTED_VALUE"""),0.6)</f>
        <v>0.6</v>
      </c>
      <c r="Q1750" s="4" t="str">
        <f>IFERROR(__xludf.DUMMYFUNCTION("""COMPUTED_VALUE"""),"Saipos Serviços De Software")</f>
        <v>Saipos Serviços De Software</v>
      </c>
      <c r="R1750" s="33">
        <f>IFERROR(__xludf.DUMMYFUNCTION("""COMPUTED_VALUE"""),0.6)</f>
        <v>0.6</v>
      </c>
      <c r="S1750" s="4" t="str">
        <f>IFERROR(__xludf.DUMMYFUNCTION("""COMPUTED_VALUE"""),"Saipos Serviços De Software")</f>
        <v>Saipos Serviços De Software</v>
      </c>
      <c r="T1750" s="33">
        <f>IFERROR(__xludf.DUMMYFUNCTION("""COMPUTED_VALUE"""),0.6)</f>
        <v>0.6</v>
      </c>
      <c r="U1750" s="4" t="str">
        <f>IFERROR(__xludf.DUMMYFUNCTION("""COMPUTED_VALUE"""),"Saipos Serviços De Software")</f>
        <v>Saipos Serviços De Software</v>
      </c>
      <c r="V1750" s="33">
        <f>IFERROR(__xludf.DUMMYFUNCTION("""COMPUTED_VALUE"""),0.6)</f>
        <v>0.6</v>
      </c>
      <c r="W1750" s="4" t="str">
        <f>IFERROR(__xludf.DUMMYFUNCTION("""COMPUTED_VALUE"""),"Saipos Serviços De Software")</f>
        <v>Saipos Serviços De Software</v>
      </c>
      <c r="X1750" s="33">
        <f>IFERROR(__xludf.DUMMYFUNCTION("""COMPUTED_VALUE"""),0.6)</f>
        <v>0.6</v>
      </c>
    </row>
    <row r="1751">
      <c r="K1751" s="4" t="str">
        <f>IFERROR(__xludf.DUMMYFUNCTION("""COMPUTED_VALUE"""),"HAMBURGUERIA CASTELO")</f>
        <v>HAMBURGUERIA CASTELO</v>
      </c>
      <c r="L1751" s="32">
        <f>IFERROR(__xludf.DUMMYFUNCTION("""COMPUTED_VALUE"""),5.0)</f>
        <v>5</v>
      </c>
      <c r="M1751" s="4" t="str">
        <f>IFERROR(__xludf.DUMMYFUNCTION("""COMPUTED_VALUE"""),"Saipos Serviços De Software")</f>
        <v>Saipos Serviços De Software</v>
      </c>
      <c r="N1751" s="33">
        <f>IFERROR(__xludf.DUMMYFUNCTION("""COMPUTED_VALUE"""),1.0)</f>
        <v>1</v>
      </c>
      <c r="O1751" s="4" t="str">
        <f>IFERROR(__xludf.DUMMYFUNCTION("""COMPUTED_VALUE"""),"Saipos Serviços De Software")</f>
        <v>Saipos Serviços De Software</v>
      </c>
      <c r="P1751" s="33">
        <f>IFERROR(__xludf.DUMMYFUNCTION("""COMPUTED_VALUE"""),1.0)</f>
        <v>1</v>
      </c>
      <c r="Q1751" s="4" t="str">
        <f>IFERROR(__xludf.DUMMYFUNCTION("""COMPUTED_VALUE"""),"Saipos Serviços De Software")</f>
        <v>Saipos Serviços De Software</v>
      </c>
      <c r="R1751" s="33">
        <f>IFERROR(__xludf.DUMMYFUNCTION("""COMPUTED_VALUE"""),1.0)</f>
        <v>1</v>
      </c>
      <c r="S1751" s="4" t="str">
        <f>IFERROR(__xludf.DUMMYFUNCTION("""COMPUTED_VALUE"""),"Saipos Serviços De Software")</f>
        <v>Saipos Serviços De Software</v>
      </c>
      <c r="T1751" s="33">
        <f>IFERROR(__xludf.DUMMYFUNCTION("""COMPUTED_VALUE"""),1.0)</f>
        <v>1</v>
      </c>
      <c r="U1751" s="4" t="str">
        <f>IFERROR(__xludf.DUMMYFUNCTION("""COMPUTED_VALUE"""),"Saipos Serviços De Software")</f>
        <v>Saipos Serviços De Software</v>
      </c>
      <c r="V1751" s="33">
        <f>IFERROR(__xludf.DUMMYFUNCTION("""COMPUTED_VALUE"""),1.0)</f>
        <v>1</v>
      </c>
      <c r="W1751" s="4" t="str">
        <f>IFERROR(__xludf.DUMMYFUNCTION("""COMPUTED_VALUE"""),"Saipos Serviços De Software")</f>
        <v>Saipos Serviços De Software</v>
      </c>
      <c r="X1751" s="33">
        <f>IFERROR(__xludf.DUMMYFUNCTION("""COMPUTED_VALUE"""),1.0)</f>
        <v>1</v>
      </c>
    </row>
    <row r="1752">
      <c r="K1752" s="4" t="str">
        <f>IFERROR(__xludf.DUMMYFUNCTION("""COMPUTED_VALUE"""),"HAMBURGUERIA ELITE BURGER")</f>
        <v>HAMBURGUERIA ELITE BURGER</v>
      </c>
      <c r="L1752" s="32">
        <f>IFERROR(__xludf.DUMMYFUNCTION("""COMPUTED_VALUE"""),5.0)</f>
        <v>5</v>
      </c>
      <c r="M1752" s="4" t="str">
        <f>IFERROR(__xludf.DUMMYFUNCTION("""COMPUTED_VALUE"""),"Sagres Automação Comercial")</f>
        <v>Sagres Automação Comercial</v>
      </c>
      <c r="N1752" s="33">
        <f>IFERROR(__xludf.DUMMYFUNCTION("""COMPUTED_VALUE"""),0.6)</f>
        <v>0.6</v>
      </c>
      <c r="O1752" s="4" t="str">
        <f>IFERROR(__xludf.DUMMYFUNCTION("""COMPUTED_VALUE"""),"Sagres Automação Comercial")</f>
        <v>Sagres Automação Comercial</v>
      </c>
      <c r="P1752" s="33">
        <f>IFERROR(__xludf.DUMMYFUNCTION("""COMPUTED_VALUE"""),0.8)</f>
        <v>0.8</v>
      </c>
      <c r="Q1752" s="4" t="str">
        <f>IFERROR(__xludf.DUMMYFUNCTION("""COMPUTED_VALUE"""),"Sagres Automação Comercial")</f>
        <v>Sagres Automação Comercial</v>
      </c>
      <c r="R1752" s="33">
        <f>IFERROR(__xludf.DUMMYFUNCTION("""COMPUTED_VALUE"""),0.8)</f>
        <v>0.8</v>
      </c>
      <c r="S1752" s="4" t="str">
        <f>IFERROR(__xludf.DUMMYFUNCTION("""COMPUTED_VALUE"""),"Sagres Automação Comercial")</f>
        <v>Sagres Automação Comercial</v>
      </c>
      <c r="T1752" s="33">
        <f>IFERROR(__xludf.DUMMYFUNCTION("""COMPUTED_VALUE"""),0.6)</f>
        <v>0.6</v>
      </c>
      <c r="U1752" s="4" t="str">
        <f>IFERROR(__xludf.DUMMYFUNCTION("""COMPUTED_VALUE"""),"Sagres Automação Comercial")</f>
        <v>Sagres Automação Comercial</v>
      </c>
      <c r="V1752" s="33">
        <f>IFERROR(__xludf.DUMMYFUNCTION("""COMPUTED_VALUE"""),1.0)</f>
        <v>1</v>
      </c>
      <c r="W1752" s="4" t="str">
        <f>IFERROR(__xludf.DUMMYFUNCTION("""COMPUTED_VALUE"""),"Sagres Automação Comercial")</f>
        <v>Sagres Automação Comercial</v>
      </c>
      <c r="X1752" s="33">
        <f>IFERROR(__xludf.DUMMYFUNCTION("""COMPUTED_VALUE"""),0.8)</f>
        <v>0.8</v>
      </c>
    </row>
    <row r="1753">
      <c r="K1753" s="4" t="str">
        <f>IFERROR(__xludf.DUMMYFUNCTION("""COMPUTED_VALUE"""),"HASHI DELIVERY - MATO GROSSO DO SUL")</f>
        <v>HASHI DELIVERY - MATO GROSSO DO SUL</v>
      </c>
      <c r="L1753" s="32">
        <f>IFERROR(__xludf.DUMMYFUNCTION("""COMPUTED_VALUE"""),5.0)</f>
        <v>5</v>
      </c>
      <c r="M1753" s="4" t="str">
        <f>IFERROR(__xludf.DUMMYFUNCTION("""COMPUTED_VALUE"""),"Saipos Serviços De Software")</f>
        <v>Saipos Serviços De Software</v>
      </c>
      <c r="N1753" s="33">
        <f>IFERROR(__xludf.DUMMYFUNCTION("""COMPUTED_VALUE"""),1.0)</f>
        <v>1</v>
      </c>
      <c r="O1753" s="4" t="str">
        <f>IFERROR(__xludf.DUMMYFUNCTION("""COMPUTED_VALUE"""),"Saipos Serviços De Software")</f>
        <v>Saipos Serviços De Software</v>
      </c>
      <c r="P1753" s="33">
        <f>IFERROR(__xludf.DUMMYFUNCTION("""COMPUTED_VALUE"""),1.0)</f>
        <v>1</v>
      </c>
      <c r="Q1753" s="4" t="str">
        <f>IFERROR(__xludf.DUMMYFUNCTION("""COMPUTED_VALUE"""),"Saipos Serviços De Software")</f>
        <v>Saipos Serviços De Software</v>
      </c>
      <c r="R1753" s="33">
        <f>IFERROR(__xludf.DUMMYFUNCTION("""COMPUTED_VALUE"""),0.8)</f>
        <v>0.8</v>
      </c>
      <c r="S1753" s="4" t="str">
        <f>IFERROR(__xludf.DUMMYFUNCTION("""COMPUTED_VALUE"""),"Saipos Serviços De Software")</f>
        <v>Saipos Serviços De Software</v>
      </c>
      <c r="T1753" s="33">
        <f>IFERROR(__xludf.DUMMYFUNCTION("""COMPUTED_VALUE"""),0.8)</f>
        <v>0.8</v>
      </c>
      <c r="U1753" s="4" t="str">
        <f>IFERROR(__xludf.DUMMYFUNCTION("""COMPUTED_VALUE"""),"null")</f>
        <v>null</v>
      </c>
      <c r="V1753" s="33">
        <f>IFERROR(__xludf.DUMMYFUNCTION("""COMPUTED_VALUE"""),1.0)</f>
        <v>1</v>
      </c>
      <c r="W1753" s="4" t="str">
        <f>IFERROR(__xludf.DUMMYFUNCTION("""COMPUTED_VALUE"""),"null")</f>
        <v>null</v>
      </c>
      <c r="X1753" s="33">
        <f>IFERROR(__xludf.DUMMYFUNCTION("""COMPUTED_VALUE"""),1.0)</f>
        <v>1</v>
      </c>
    </row>
    <row r="1754">
      <c r="K1754" s="4" t="str">
        <f>IFERROR(__xludf.DUMMYFUNCTION("""COMPUTED_VALUE"""),"HAZAKI SUSHI - CONTA PAI")</f>
        <v>HAZAKI SUSHI - CONTA PAI</v>
      </c>
      <c r="L1754" s="32">
        <f>IFERROR(__xludf.DUMMYFUNCTION("""COMPUTED_VALUE"""),5.0)</f>
        <v>5</v>
      </c>
      <c r="M1754" s="4" t="str">
        <f>IFERROR(__xludf.DUMMYFUNCTION("""COMPUTED_VALUE"""),"Grk Soluções Informatica Eireli")</f>
        <v>Grk Soluções Informatica Eireli</v>
      </c>
      <c r="N1754" s="33">
        <f>IFERROR(__xludf.DUMMYFUNCTION("""COMPUTED_VALUE"""),1.0)</f>
        <v>1</v>
      </c>
      <c r="O1754" s="4" t="str">
        <f>IFERROR(__xludf.DUMMYFUNCTION("""COMPUTED_VALUE"""),"Grk Soluções Informatica Eireli")</f>
        <v>Grk Soluções Informatica Eireli</v>
      </c>
      <c r="P1754" s="33">
        <f>IFERROR(__xludf.DUMMYFUNCTION("""COMPUTED_VALUE"""),1.0)</f>
        <v>1</v>
      </c>
      <c r="Q1754" s="4" t="str">
        <f>IFERROR(__xludf.DUMMYFUNCTION("""COMPUTED_VALUE"""),"Grk Soluções Informatica Eireli")</f>
        <v>Grk Soluções Informatica Eireli</v>
      </c>
      <c r="R1754" s="33">
        <f>IFERROR(__xludf.DUMMYFUNCTION("""COMPUTED_VALUE"""),0.8)</f>
        <v>0.8</v>
      </c>
      <c r="S1754" s="4" t="str">
        <f>IFERROR(__xludf.DUMMYFUNCTION("""COMPUTED_VALUE"""),"Grk Soluções Informatica Eireli")</f>
        <v>Grk Soluções Informatica Eireli</v>
      </c>
      <c r="T1754" s="33">
        <f>IFERROR(__xludf.DUMMYFUNCTION("""COMPUTED_VALUE"""),0.8)</f>
        <v>0.8</v>
      </c>
      <c r="U1754" s="4" t="str">
        <f>IFERROR(__xludf.DUMMYFUNCTION("""COMPUTED_VALUE"""),"Grk Soluções Informatica Eireli")</f>
        <v>Grk Soluções Informatica Eireli</v>
      </c>
      <c r="V1754" s="33">
        <f>IFERROR(__xludf.DUMMYFUNCTION("""COMPUTED_VALUE"""),0.8)</f>
        <v>0.8</v>
      </c>
      <c r="W1754" s="4" t="str">
        <f>IFERROR(__xludf.DUMMYFUNCTION("""COMPUTED_VALUE"""),"Grk Soluções Informatica Eireli")</f>
        <v>Grk Soluções Informatica Eireli</v>
      </c>
      <c r="X1754" s="33">
        <f>IFERROR(__xludf.DUMMYFUNCTION("""COMPUTED_VALUE"""),0.8)</f>
        <v>0.8</v>
      </c>
    </row>
    <row r="1755">
      <c r="K1755" s="4" t="str">
        <f>IFERROR(__xludf.DUMMYFUNCTION("""COMPUTED_VALUE"""),"HIPERMERCADO DAVO")</f>
        <v>HIPERMERCADO DAVO</v>
      </c>
      <c r="L1755" s="32">
        <f>IFERROR(__xludf.DUMMYFUNCTION("""COMPUTED_VALUE"""),5.0)</f>
        <v>5</v>
      </c>
      <c r="M1755" s="4" t="str">
        <f>IFERROR(__xludf.DUMMYFUNCTION("""COMPUTED_VALUE"""),"N/A (Not found)")</f>
        <v>N/A (Not found)</v>
      </c>
      <c r="N1755" s="33">
        <f>IFERROR(__xludf.DUMMYFUNCTION("""COMPUTED_VALUE"""),1.0)</f>
        <v>1</v>
      </c>
      <c r="O1755" s="4" t="str">
        <f>IFERROR(__xludf.DUMMYFUNCTION("""COMPUTED_VALUE"""),"N/A (Not found)")</f>
        <v>N/A (Not found)</v>
      </c>
      <c r="P1755" s="33">
        <f>IFERROR(__xludf.DUMMYFUNCTION("""COMPUTED_VALUE"""),1.0)</f>
        <v>1</v>
      </c>
      <c r="Q1755" s="4" t="str">
        <f>IFERROR(__xludf.DUMMYFUNCTION("""COMPUTED_VALUE"""),"N/A (Not found)")</f>
        <v>N/A (Not found)</v>
      </c>
      <c r="R1755" s="33">
        <f>IFERROR(__xludf.DUMMYFUNCTION("""COMPUTED_VALUE"""),1.0)</f>
        <v>1</v>
      </c>
      <c r="S1755" s="4" t="str">
        <f>IFERROR(__xludf.DUMMYFUNCTION("""COMPUTED_VALUE"""),"N/A (Not found)")</f>
        <v>N/A (Not found)</v>
      </c>
      <c r="T1755" s="33">
        <f>IFERROR(__xludf.DUMMYFUNCTION("""COMPUTED_VALUE"""),1.0)</f>
        <v>1</v>
      </c>
      <c r="U1755" s="4" t="str">
        <f>IFERROR(__xludf.DUMMYFUNCTION("""COMPUTED_VALUE"""),"N/A (Not found)")</f>
        <v>N/A (Not found)</v>
      </c>
      <c r="V1755" s="33">
        <f>IFERROR(__xludf.DUMMYFUNCTION("""COMPUTED_VALUE"""),1.0)</f>
        <v>1</v>
      </c>
      <c r="W1755" s="4" t="str">
        <f>IFERROR(__xludf.DUMMYFUNCTION("""COMPUTED_VALUE"""),"N/A (Not found)")</f>
        <v>N/A (Not found)</v>
      </c>
      <c r="X1755" s="33">
        <f>IFERROR(__xludf.DUMMYFUNCTION("""COMPUTED_VALUE"""),1.0)</f>
        <v>1</v>
      </c>
    </row>
    <row r="1756">
      <c r="K1756" s="4" t="str">
        <f>IFERROR(__xludf.DUMMYFUNCTION("""COMPUTED_VALUE"""),"IHELPU - CONTA MARCA")</f>
        <v>IHELPU - CONTA MARCA</v>
      </c>
      <c r="L1756" s="32">
        <f>IFERROR(__xludf.DUMMYFUNCTION("""COMPUTED_VALUE"""),5.0)</f>
        <v>5</v>
      </c>
      <c r="M1756" s="4" t="str">
        <f>IFERROR(__xludf.DUMMYFUNCTION("""COMPUTED_VALUE"""),"null")</f>
        <v>null</v>
      </c>
      <c r="N1756" s="33">
        <f>IFERROR(__xludf.DUMMYFUNCTION("""COMPUTED_VALUE"""),0.8)</f>
        <v>0.8</v>
      </c>
      <c r="O1756" s="4" t="str">
        <f>IFERROR(__xludf.DUMMYFUNCTION("""COMPUTED_VALUE"""),"null")</f>
        <v>null</v>
      </c>
      <c r="P1756" s="33">
        <f>IFERROR(__xludf.DUMMYFUNCTION("""COMPUTED_VALUE"""),0.6)</f>
        <v>0.6</v>
      </c>
      <c r="Q1756" s="4" t="str">
        <f>IFERROR(__xludf.DUMMYFUNCTION("""COMPUTED_VALUE"""),"null")</f>
        <v>null</v>
      </c>
      <c r="R1756" s="33">
        <f>IFERROR(__xludf.DUMMYFUNCTION("""COMPUTED_VALUE"""),0.6)</f>
        <v>0.6</v>
      </c>
      <c r="S1756" s="4" t="str">
        <f>IFERROR(__xludf.DUMMYFUNCTION("""COMPUTED_VALUE"""),"null")</f>
        <v>null</v>
      </c>
      <c r="T1756" s="33">
        <f>IFERROR(__xludf.DUMMYFUNCTION("""COMPUTED_VALUE"""),0.6)</f>
        <v>0.6</v>
      </c>
      <c r="U1756" s="4" t="str">
        <f>IFERROR(__xludf.DUMMYFUNCTION("""COMPUTED_VALUE"""),"N/A (Not found)")</f>
        <v>N/A (Not found)</v>
      </c>
      <c r="V1756" s="33">
        <f>IFERROR(__xludf.DUMMYFUNCTION("""COMPUTED_VALUE"""),0.8)</f>
        <v>0.8</v>
      </c>
      <c r="W1756" s="4" t="str">
        <f>IFERROR(__xludf.DUMMYFUNCTION("""COMPUTED_VALUE"""),"null")</f>
        <v>null</v>
      </c>
      <c r="X1756" s="33">
        <f>IFERROR(__xludf.DUMMYFUNCTION("""COMPUTED_VALUE"""),0.8)</f>
        <v>0.8</v>
      </c>
    </row>
    <row r="1757">
      <c r="K1757" s="4" t="str">
        <f>IFERROR(__xludf.DUMMYFUNCTION("""COMPUTED_VALUE"""),"IMPERIAL PIZZA")</f>
        <v>IMPERIAL PIZZA</v>
      </c>
      <c r="L1757" s="32">
        <f>IFERROR(__xludf.DUMMYFUNCTION("""COMPUTED_VALUE"""),5.0)</f>
        <v>5</v>
      </c>
      <c r="M1757" s="4" t="str">
        <f>IFERROR(__xludf.DUMMYFUNCTION("""COMPUTED_VALUE"""),"Saipos Serviços De Software")</f>
        <v>Saipos Serviços De Software</v>
      </c>
      <c r="N1757" s="33">
        <f>IFERROR(__xludf.DUMMYFUNCTION("""COMPUTED_VALUE"""),1.0)</f>
        <v>1</v>
      </c>
      <c r="O1757" s="4" t="str">
        <f>IFERROR(__xludf.DUMMYFUNCTION("""COMPUTED_VALUE"""),"Saipos Serviços De Software")</f>
        <v>Saipos Serviços De Software</v>
      </c>
      <c r="P1757" s="33">
        <f>IFERROR(__xludf.DUMMYFUNCTION("""COMPUTED_VALUE"""),1.0)</f>
        <v>1</v>
      </c>
      <c r="Q1757" s="4" t="str">
        <f>IFERROR(__xludf.DUMMYFUNCTION("""COMPUTED_VALUE"""),"Saipos Serviços De Software")</f>
        <v>Saipos Serviços De Software</v>
      </c>
      <c r="R1757" s="33">
        <f>IFERROR(__xludf.DUMMYFUNCTION("""COMPUTED_VALUE"""),1.0)</f>
        <v>1</v>
      </c>
      <c r="S1757" s="4" t="str">
        <f>IFERROR(__xludf.DUMMYFUNCTION("""COMPUTED_VALUE"""),"Saipos Serviços De Software")</f>
        <v>Saipos Serviços De Software</v>
      </c>
      <c r="T1757" s="33">
        <f>IFERROR(__xludf.DUMMYFUNCTION("""COMPUTED_VALUE"""),1.0)</f>
        <v>1</v>
      </c>
      <c r="U1757" s="4" t="str">
        <f>IFERROR(__xludf.DUMMYFUNCTION("""COMPUTED_VALUE"""),"Saipos Serviços De Software")</f>
        <v>Saipos Serviços De Software</v>
      </c>
      <c r="V1757" s="33">
        <f>IFERROR(__xludf.DUMMYFUNCTION("""COMPUTED_VALUE"""),1.0)</f>
        <v>1</v>
      </c>
      <c r="W1757" s="4" t="str">
        <f>IFERROR(__xludf.DUMMYFUNCTION("""COMPUTED_VALUE"""),"Saipos Serviços De Software")</f>
        <v>Saipos Serviços De Software</v>
      </c>
      <c r="X1757" s="33">
        <f>IFERROR(__xludf.DUMMYFUNCTION("""COMPUTED_VALUE"""),1.0)</f>
        <v>1</v>
      </c>
    </row>
    <row r="1758">
      <c r="K1758" s="4" t="str">
        <f>IFERROR(__xludf.DUMMYFUNCTION("""COMPUTED_VALUE"""),"IMPERIO DA PIZZA CONTA PAI")</f>
        <v>IMPERIO DA PIZZA CONTA PAI</v>
      </c>
      <c r="L1758" s="32">
        <f>IFERROR(__xludf.DUMMYFUNCTION("""COMPUTED_VALUE"""),5.0)</f>
        <v>5</v>
      </c>
      <c r="M1758" s="4" t="str">
        <f>IFERROR(__xludf.DUMMYFUNCTION("""COMPUTED_VALUE"""),"Cardápio Web")</f>
        <v>Cardápio Web</v>
      </c>
      <c r="N1758" s="33">
        <f>IFERROR(__xludf.DUMMYFUNCTION("""COMPUTED_VALUE"""),1.0)</f>
        <v>1</v>
      </c>
      <c r="O1758" s="4" t="str">
        <f>IFERROR(__xludf.DUMMYFUNCTION("""COMPUTED_VALUE"""),"Cardápio Web")</f>
        <v>Cardápio Web</v>
      </c>
      <c r="P1758" s="33">
        <f>IFERROR(__xludf.DUMMYFUNCTION("""COMPUTED_VALUE"""),1.0)</f>
        <v>1</v>
      </c>
      <c r="Q1758" s="4" t="str">
        <f>IFERROR(__xludf.DUMMYFUNCTION("""COMPUTED_VALUE"""),"Cardápio Web")</f>
        <v>Cardápio Web</v>
      </c>
      <c r="R1758" s="33">
        <f>IFERROR(__xludf.DUMMYFUNCTION("""COMPUTED_VALUE"""),1.0)</f>
        <v>1</v>
      </c>
      <c r="S1758" s="4" t="str">
        <f>IFERROR(__xludf.DUMMYFUNCTION("""COMPUTED_VALUE"""),"Cardápio Web")</f>
        <v>Cardápio Web</v>
      </c>
      <c r="T1758" s="33">
        <f>IFERROR(__xludf.DUMMYFUNCTION("""COMPUTED_VALUE"""),0.8)</f>
        <v>0.8</v>
      </c>
      <c r="U1758" s="4" t="str">
        <f>IFERROR(__xludf.DUMMYFUNCTION("""COMPUTED_VALUE"""),"null")</f>
        <v>null</v>
      </c>
      <c r="V1758" s="33">
        <f>IFERROR(__xludf.DUMMYFUNCTION("""COMPUTED_VALUE"""),0.6)</f>
        <v>0.6</v>
      </c>
      <c r="W1758" s="4" t="str">
        <f>IFERROR(__xludf.DUMMYFUNCTION("""COMPUTED_VALUE"""),"null")</f>
        <v>null</v>
      </c>
      <c r="X1758" s="33">
        <f>IFERROR(__xludf.DUMMYFUNCTION("""COMPUTED_VALUE"""),0.6)</f>
        <v>0.6</v>
      </c>
    </row>
    <row r="1759">
      <c r="K1759" s="4" t="str">
        <f>IFERROR(__xludf.DUMMYFUNCTION("""COMPUTED_VALUE"""),"JAPA NEW")</f>
        <v>JAPA NEW</v>
      </c>
      <c r="L1759" s="32">
        <f>IFERROR(__xludf.DUMMYFUNCTION("""COMPUTED_VALUE"""),5.0)</f>
        <v>5</v>
      </c>
      <c r="M1759" s="4" t="str">
        <f>IFERROR(__xludf.DUMMYFUNCTION("""COMPUTED_VALUE"""),"Saipos Serviços De Software")</f>
        <v>Saipos Serviços De Software</v>
      </c>
      <c r="N1759" s="33">
        <f>IFERROR(__xludf.DUMMYFUNCTION("""COMPUTED_VALUE"""),1.0)</f>
        <v>1</v>
      </c>
      <c r="O1759" s="4" t="str">
        <f>IFERROR(__xludf.DUMMYFUNCTION("""COMPUTED_VALUE"""),"Saipos Serviços De Software")</f>
        <v>Saipos Serviços De Software</v>
      </c>
      <c r="P1759" s="33">
        <f>IFERROR(__xludf.DUMMYFUNCTION("""COMPUTED_VALUE"""),1.0)</f>
        <v>1</v>
      </c>
      <c r="Q1759" s="4" t="str">
        <f>IFERROR(__xludf.DUMMYFUNCTION("""COMPUTED_VALUE"""),"Saipos Serviços De Software")</f>
        <v>Saipos Serviços De Software</v>
      </c>
      <c r="R1759" s="33">
        <f>IFERROR(__xludf.DUMMYFUNCTION("""COMPUTED_VALUE"""),1.0)</f>
        <v>1</v>
      </c>
      <c r="S1759" s="4" t="str">
        <f>IFERROR(__xludf.DUMMYFUNCTION("""COMPUTED_VALUE"""),"Saipos Serviços De Software")</f>
        <v>Saipos Serviços De Software</v>
      </c>
      <c r="T1759" s="33">
        <f>IFERROR(__xludf.DUMMYFUNCTION("""COMPUTED_VALUE"""),1.0)</f>
        <v>1</v>
      </c>
      <c r="U1759" s="4" t="str">
        <f>IFERROR(__xludf.DUMMYFUNCTION("""COMPUTED_VALUE"""),"Saipos Serviços De Software")</f>
        <v>Saipos Serviços De Software</v>
      </c>
      <c r="V1759" s="33">
        <f>IFERROR(__xludf.DUMMYFUNCTION("""COMPUTED_VALUE"""),1.0)</f>
        <v>1</v>
      </c>
      <c r="W1759" s="4" t="str">
        <f>IFERROR(__xludf.DUMMYFUNCTION("""COMPUTED_VALUE"""),"Saipos Serviços De Software")</f>
        <v>Saipos Serviços De Software</v>
      </c>
      <c r="X1759" s="33">
        <f>IFERROR(__xludf.DUMMYFUNCTION("""COMPUTED_VALUE"""),1.0)</f>
        <v>1</v>
      </c>
    </row>
    <row r="1760">
      <c r="K1760" s="4" t="str">
        <f>IFERROR(__xludf.DUMMYFUNCTION("""COMPUTED_VALUE"""),"JOAOS ALIMENTOS CONTA PAI")</f>
        <v>JOAOS ALIMENTOS CONTA PAI</v>
      </c>
      <c r="L1760" s="32">
        <f>IFERROR(__xludf.DUMMYFUNCTION("""COMPUTED_VALUE"""),5.0)</f>
        <v>5</v>
      </c>
      <c r="M1760" s="4" t="str">
        <f>IFERROR(__xludf.DUMMYFUNCTION("""COMPUTED_VALUE"""),"Agilizup Solucoes Ltda")</f>
        <v>Agilizup Solucoes Ltda</v>
      </c>
      <c r="N1760" s="33">
        <f>IFERROR(__xludf.DUMMYFUNCTION("""COMPUTED_VALUE"""),0.6)</f>
        <v>0.6</v>
      </c>
      <c r="O1760" s="4" t="str">
        <f>IFERROR(__xludf.DUMMYFUNCTION("""COMPUTED_VALUE"""),"Agilizup Solucoes Ltda")</f>
        <v>Agilizup Solucoes Ltda</v>
      </c>
      <c r="P1760" s="33">
        <f>IFERROR(__xludf.DUMMYFUNCTION("""COMPUTED_VALUE"""),0.6)</f>
        <v>0.6</v>
      </c>
      <c r="Q1760" s="4" t="str">
        <f>IFERROR(__xludf.DUMMYFUNCTION("""COMPUTED_VALUE"""),"Agilizup Solucoes Ltda")</f>
        <v>Agilizup Solucoes Ltda</v>
      </c>
      <c r="R1760" s="33">
        <f>IFERROR(__xludf.DUMMYFUNCTION("""COMPUTED_VALUE"""),0.6)</f>
        <v>0.6</v>
      </c>
      <c r="S1760" s="4" t="str">
        <f>IFERROR(__xludf.DUMMYFUNCTION("""COMPUTED_VALUE"""),"null")</f>
        <v>null</v>
      </c>
      <c r="T1760" s="33">
        <f>IFERROR(__xludf.DUMMYFUNCTION("""COMPUTED_VALUE"""),0.8)</f>
        <v>0.8</v>
      </c>
      <c r="U1760" s="4" t="str">
        <f>IFERROR(__xludf.DUMMYFUNCTION("""COMPUTED_VALUE"""),"null")</f>
        <v>null</v>
      </c>
      <c r="V1760" s="33">
        <f>IFERROR(__xludf.DUMMYFUNCTION("""COMPUTED_VALUE"""),0.8)</f>
        <v>0.8</v>
      </c>
      <c r="W1760" s="4" t="str">
        <f>IFERROR(__xludf.DUMMYFUNCTION("""COMPUTED_VALUE"""),"null")</f>
        <v>null</v>
      </c>
      <c r="X1760" s="33">
        <f>IFERROR(__xludf.DUMMYFUNCTION("""COMPUTED_VALUE"""),0.6)</f>
        <v>0.6</v>
      </c>
    </row>
    <row r="1761">
      <c r="K1761" s="4" t="str">
        <f>IFERROR(__xludf.DUMMYFUNCTION("""COMPUTED_VALUE"""),"JON PIZZA CO - MARCA")</f>
        <v>JON PIZZA CO - MARCA</v>
      </c>
      <c r="L1761" s="32">
        <f>IFERROR(__xludf.DUMMYFUNCTION("""COMPUTED_VALUE"""),5.0)</f>
        <v>5</v>
      </c>
      <c r="M1761" s="4" t="str">
        <f>IFERROR(__xludf.DUMMYFUNCTION("""COMPUTED_VALUE"""),"Sagres Automação Comercial")</f>
        <v>Sagres Automação Comercial</v>
      </c>
      <c r="N1761" s="33">
        <f>IFERROR(__xludf.DUMMYFUNCTION("""COMPUTED_VALUE"""),0.8)</f>
        <v>0.8</v>
      </c>
      <c r="O1761" s="4" t="str">
        <f>IFERROR(__xludf.DUMMYFUNCTION("""COMPUTED_VALUE"""),"Sagres Automação Comercial")</f>
        <v>Sagres Automação Comercial</v>
      </c>
      <c r="P1761" s="33">
        <f>IFERROR(__xludf.DUMMYFUNCTION("""COMPUTED_VALUE"""),0.8)</f>
        <v>0.8</v>
      </c>
      <c r="Q1761" s="4" t="str">
        <f>IFERROR(__xludf.DUMMYFUNCTION("""COMPUTED_VALUE"""),"Sagres Automação Comercial")</f>
        <v>Sagres Automação Comercial</v>
      </c>
      <c r="R1761" s="33">
        <f>IFERROR(__xludf.DUMMYFUNCTION("""COMPUTED_VALUE"""),0.6)</f>
        <v>0.6</v>
      </c>
      <c r="S1761" s="4" t="str">
        <f>IFERROR(__xludf.DUMMYFUNCTION("""COMPUTED_VALUE"""),"Sagres Automação Comercial")</f>
        <v>Sagres Automação Comercial</v>
      </c>
      <c r="T1761" s="33">
        <f>IFERROR(__xludf.DUMMYFUNCTION("""COMPUTED_VALUE"""),0.6)</f>
        <v>0.6</v>
      </c>
      <c r="U1761" s="4" t="str">
        <f>IFERROR(__xludf.DUMMYFUNCTION("""COMPUTED_VALUE"""),"Sagres Automação Comercial")</f>
        <v>Sagres Automação Comercial</v>
      </c>
      <c r="V1761" s="33">
        <f>IFERROR(__xludf.DUMMYFUNCTION("""COMPUTED_VALUE"""),0.6)</f>
        <v>0.6</v>
      </c>
      <c r="W1761" s="4" t="str">
        <f>IFERROR(__xludf.DUMMYFUNCTION("""COMPUTED_VALUE"""),"Sagres Automação Comercial")</f>
        <v>Sagres Automação Comercial</v>
      </c>
      <c r="X1761" s="33">
        <f>IFERROR(__xludf.DUMMYFUNCTION("""COMPUTED_VALUE"""),0.8)</f>
        <v>0.8</v>
      </c>
    </row>
    <row r="1762">
      <c r="K1762" s="4" t="str">
        <f>IFERROR(__xludf.DUMMYFUNCTION("""COMPUTED_VALUE"""),"KEBAB SHOP")</f>
        <v>KEBAB SHOP</v>
      </c>
      <c r="L1762" s="32">
        <f>IFERROR(__xludf.DUMMYFUNCTION("""COMPUTED_VALUE"""),5.0)</f>
        <v>5</v>
      </c>
      <c r="M1762" s="4" t="str">
        <f>IFERROR(__xludf.DUMMYFUNCTION("""COMPUTED_VALUE"""),"Noah Sistemas Ltda")</f>
        <v>Noah Sistemas Ltda</v>
      </c>
      <c r="N1762" s="33">
        <f>IFERROR(__xludf.DUMMYFUNCTION("""COMPUTED_VALUE"""),0.8)</f>
        <v>0.8</v>
      </c>
      <c r="O1762" s="4" t="str">
        <f>IFERROR(__xludf.DUMMYFUNCTION("""COMPUTED_VALUE"""),"Noah Sistemas Ltda")</f>
        <v>Noah Sistemas Ltda</v>
      </c>
      <c r="P1762" s="33">
        <f>IFERROR(__xludf.DUMMYFUNCTION("""COMPUTED_VALUE"""),0.8)</f>
        <v>0.8</v>
      </c>
      <c r="Q1762" s="4" t="str">
        <f>IFERROR(__xludf.DUMMYFUNCTION("""COMPUTED_VALUE"""),"Noah Sistemas Ltda")</f>
        <v>Noah Sistemas Ltda</v>
      </c>
      <c r="R1762" s="33">
        <f>IFERROR(__xludf.DUMMYFUNCTION("""COMPUTED_VALUE"""),0.8)</f>
        <v>0.8</v>
      </c>
      <c r="S1762" s="4" t="str">
        <f>IFERROR(__xludf.DUMMYFUNCTION("""COMPUTED_VALUE"""),"Noah Sistemas Ltda")</f>
        <v>Noah Sistemas Ltda</v>
      </c>
      <c r="T1762" s="33">
        <f>IFERROR(__xludf.DUMMYFUNCTION("""COMPUTED_VALUE"""),0.8)</f>
        <v>0.8</v>
      </c>
      <c r="U1762" s="4" t="str">
        <f>IFERROR(__xludf.DUMMYFUNCTION("""COMPUTED_VALUE"""),"Noah Sistemas Ltda")</f>
        <v>Noah Sistemas Ltda</v>
      </c>
      <c r="V1762" s="33">
        <f>IFERROR(__xludf.DUMMYFUNCTION("""COMPUTED_VALUE"""),0.8)</f>
        <v>0.8</v>
      </c>
      <c r="W1762" s="4" t="str">
        <f>IFERROR(__xludf.DUMMYFUNCTION("""COMPUTED_VALUE"""),"Noah Sistemas Ltda")</f>
        <v>Noah Sistemas Ltda</v>
      </c>
      <c r="X1762" s="33">
        <f>IFERROR(__xludf.DUMMYFUNCTION("""COMPUTED_VALUE"""),0.8)</f>
        <v>0.8</v>
      </c>
    </row>
    <row r="1763">
      <c r="K1763" s="4" t="str">
        <f>IFERROR(__xludf.DUMMYFUNCTION("""COMPUTED_VALUE"""),"KIBE DO HASSIB")</f>
        <v>KIBE DO HASSIB</v>
      </c>
      <c r="L1763" s="32">
        <f>IFERROR(__xludf.DUMMYFUNCTION("""COMPUTED_VALUE"""),5.0)</f>
        <v>5</v>
      </c>
      <c r="M1763" s="4" t="str">
        <f>IFERROR(__xludf.DUMMYFUNCTION("""COMPUTED_VALUE"""),"Beefood - Sistema Para Restaurantes")</f>
        <v>Beefood - Sistema Para Restaurantes</v>
      </c>
      <c r="N1763" s="33">
        <f>IFERROR(__xludf.DUMMYFUNCTION("""COMPUTED_VALUE"""),0.6)</f>
        <v>0.6</v>
      </c>
      <c r="O1763" s="4" t="str">
        <f>IFERROR(__xludf.DUMMYFUNCTION("""COMPUTED_VALUE"""),"null")</f>
        <v>null</v>
      </c>
      <c r="P1763" s="33">
        <f>IFERROR(__xludf.DUMMYFUNCTION("""COMPUTED_VALUE"""),0.6)</f>
        <v>0.6</v>
      </c>
      <c r="Q1763" s="4" t="str">
        <f>IFERROR(__xludf.DUMMYFUNCTION("""COMPUTED_VALUE"""),"Beefood - Sistema Para Restaurantes")</f>
        <v>Beefood - Sistema Para Restaurantes</v>
      </c>
      <c r="R1763" s="33">
        <f>IFERROR(__xludf.DUMMYFUNCTION("""COMPUTED_VALUE"""),0.6)</f>
        <v>0.6</v>
      </c>
      <c r="S1763" s="4" t="str">
        <f>IFERROR(__xludf.DUMMYFUNCTION("""COMPUTED_VALUE"""),"null")</f>
        <v>null</v>
      </c>
      <c r="T1763" s="33">
        <f>IFERROR(__xludf.DUMMYFUNCTION("""COMPUTED_VALUE"""),0.6)</f>
        <v>0.6</v>
      </c>
      <c r="U1763" s="4" t="str">
        <f>IFERROR(__xludf.DUMMYFUNCTION("""COMPUTED_VALUE"""),"Beefood - Sistema Para Restaurantes")</f>
        <v>Beefood - Sistema Para Restaurantes</v>
      </c>
      <c r="V1763" s="33">
        <f>IFERROR(__xludf.DUMMYFUNCTION("""COMPUTED_VALUE"""),0.6)</f>
        <v>0.6</v>
      </c>
      <c r="W1763" s="4" t="str">
        <f>IFERROR(__xludf.DUMMYFUNCTION("""COMPUTED_VALUE"""),"Beefood - Sistema Para Restaurantes")</f>
        <v>Beefood - Sistema Para Restaurantes</v>
      </c>
      <c r="X1763" s="33">
        <f>IFERROR(__xludf.DUMMYFUNCTION("""COMPUTED_VALUE"""),0.4)</f>
        <v>0.4</v>
      </c>
    </row>
    <row r="1764">
      <c r="K1764" s="4" t="str">
        <f>IFERROR(__xludf.DUMMYFUNCTION("""COMPUTED_VALUE"""),"KIDELICIA")</f>
        <v>KIDELICIA</v>
      </c>
      <c r="L1764" s="32">
        <f>IFERROR(__xludf.DUMMYFUNCTION("""COMPUTED_VALUE"""),5.0)</f>
        <v>5</v>
      </c>
      <c r="M1764" s="4" t="str">
        <f>IFERROR(__xludf.DUMMYFUNCTION("""COMPUTED_VALUE"""),"Saipos Serviços De Software")</f>
        <v>Saipos Serviços De Software</v>
      </c>
      <c r="N1764" s="33">
        <f>IFERROR(__xludf.DUMMYFUNCTION("""COMPUTED_VALUE"""),1.0)</f>
        <v>1</v>
      </c>
      <c r="O1764" s="4" t="str">
        <f>IFERROR(__xludf.DUMMYFUNCTION("""COMPUTED_VALUE"""),"Saipos Serviços De Software")</f>
        <v>Saipos Serviços De Software</v>
      </c>
      <c r="P1764" s="33">
        <f>IFERROR(__xludf.DUMMYFUNCTION("""COMPUTED_VALUE"""),1.0)</f>
        <v>1</v>
      </c>
      <c r="Q1764" s="4" t="str">
        <f>IFERROR(__xludf.DUMMYFUNCTION("""COMPUTED_VALUE"""),"Saipos Serviços De Software")</f>
        <v>Saipos Serviços De Software</v>
      </c>
      <c r="R1764" s="33">
        <f>IFERROR(__xludf.DUMMYFUNCTION("""COMPUTED_VALUE"""),1.0)</f>
        <v>1</v>
      </c>
      <c r="S1764" s="4" t="str">
        <f>IFERROR(__xludf.DUMMYFUNCTION("""COMPUTED_VALUE"""),"Saipos Serviços De Software")</f>
        <v>Saipos Serviços De Software</v>
      </c>
      <c r="T1764" s="33">
        <f>IFERROR(__xludf.DUMMYFUNCTION("""COMPUTED_VALUE"""),1.0)</f>
        <v>1</v>
      </c>
      <c r="U1764" s="4" t="str">
        <f>IFERROR(__xludf.DUMMYFUNCTION("""COMPUTED_VALUE"""),"Saipos Serviços De Software")</f>
        <v>Saipos Serviços De Software</v>
      </c>
      <c r="V1764" s="33">
        <f>IFERROR(__xludf.DUMMYFUNCTION("""COMPUTED_VALUE"""),1.0)</f>
        <v>1</v>
      </c>
      <c r="W1764" s="4" t="str">
        <f>IFERROR(__xludf.DUMMYFUNCTION("""COMPUTED_VALUE"""),"Saipos Serviços De Software")</f>
        <v>Saipos Serviços De Software</v>
      </c>
      <c r="X1764" s="33">
        <f>IFERROR(__xludf.DUMMYFUNCTION("""COMPUTED_VALUE"""),1.0)</f>
        <v>1</v>
      </c>
    </row>
    <row r="1765">
      <c r="K1765" s="4" t="str">
        <f>IFERROR(__xludf.DUMMYFUNCTION("""COMPUTED_VALUE"""),"KIM JAPA FOOD")</f>
        <v>KIM JAPA FOOD</v>
      </c>
      <c r="L1765" s="32">
        <f>IFERROR(__xludf.DUMMYFUNCTION("""COMPUTED_VALUE"""),5.0)</f>
        <v>5</v>
      </c>
      <c r="M1765" s="4" t="str">
        <f>IFERROR(__xludf.DUMMYFUNCTION("""COMPUTED_VALUE"""),"Saipos Serviços De Software")</f>
        <v>Saipos Serviços De Software</v>
      </c>
      <c r="N1765" s="33">
        <f>IFERROR(__xludf.DUMMYFUNCTION("""COMPUTED_VALUE"""),1.0)</f>
        <v>1</v>
      </c>
      <c r="O1765" s="4" t="str">
        <f>IFERROR(__xludf.DUMMYFUNCTION("""COMPUTED_VALUE"""),"Saipos Serviços De Software")</f>
        <v>Saipos Serviços De Software</v>
      </c>
      <c r="P1765" s="33">
        <f>IFERROR(__xludf.DUMMYFUNCTION("""COMPUTED_VALUE"""),1.0)</f>
        <v>1</v>
      </c>
      <c r="Q1765" s="4" t="str">
        <f>IFERROR(__xludf.DUMMYFUNCTION("""COMPUTED_VALUE"""),"Saipos Serviços De Software")</f>
        <v>Saipos Serviços De Software</v>
      </c>
      <c r="R1765" s="33">
        <f>IFERROR(__xludf.DUMMYFUNCTION("""COMPUTED_VALUE"""),1.0)</f>
        <v>1</v>
      </c>
      <c r="S1765" s="4" t="str">
        <f>IFERROR(__xludf.DUMMYFUNCTION("""COMPUTED_VALUE"""),"Saipos Serviços De Software")</f>
        <v>Saipos Serviços De Software</v>
      </c>
      <c r="T1765" s="33">
        <f>IFERROR(__xludf.DUMMYFUNCTION("""COMPUTED_VALUE"""),1.0)</f>
        <v>1</v>
      </c>
      <c r="U1765" s="4" t="str">
        <f>IFERROR(__xludf.DUMMYFUNCTION("""COMPUTED_VALUE"""),"Saipos Serviços De Software")</f>
        <v>Saipos Serviços De Software</v>
      </c>
      <c r="V1765" s="33">
        <f>IFERROR(__xludf.DUMMYFUNCTION("""COMPUTED_VALUE"""),1.0)</f>
        <v>1</v>
      </c>
      <c r="W1765" s="4" t="str">
        <f>IFERROR(__xludf.DUMMYFUNCTION("""COMPUTED_VALUE"""),"Saipos Serviços De Software")</f>
        <v>Saipos Serviços De Software</v>
      </c>
      <c r="X1765" s="33">
        <f>IFERROR(__xludf.DUMMYFUNCTION("""COMPUTED_VALUE"""),1.0)</f>
        <v>1</v>
      </c>
    </row>
    <row r="1766">
      <c r="K1766" s="4" t="str">
        <f>IFERROR(__xludf.DUMMYFUNCTION("""COMPUTED_VALUE"""),"KINTARU SUSHI - CONTA GRUPO")</f>
        <v>KINTARU SUSHI - CONTA GRUPO</v>
      </c>
      <c r="L1766" s="32">
        <f>IFERROR(__xludf.DUMMYFUNCTION("""COMPUTED_VALUE"""),5.0)</f>
        <v>5</v>
      </c>
      <c r="M1766" s="4">
        <f>IFERROR(__xludf.DUMMYFUNCTION("""COMPUTED_VALUE"""),88.0)</f>
        <v>88</v>
      </c>
      <c r="N1766" s="33">
        <f>IFERROR(__xludf.DUMMYFUNCTION("""COMPUTED_VALUE"""),0.8)</f>
        <v>0.8</v>
      </c>
      <c r="O1766" s="4">
        <f>IFERROR(__xludf.DUMMYFUNCTION("""COMPUTED_VALUE"""),88.0)</f>
        <v>88</v>
      </c>
      <c r="P1766" s="33">
        <f>IFERROR(__xludf.DUMMYFUNCTION("""COMPUTED_VALUE"""),1.0)</f>
        <v>1</v>
      </c>
      <c r="Q1766" s="4">
        <f>IFERROR(__xludf.DUMMYFUNCTION("""COMPUTED_VALUE"""),88.0)</f>
        <v>88</v>
      </c>
      <c r="R1766" s="33">
        <f>IFERROR(__xludf.DUMMYFUNCTION("""COMPUTED_VALUE"""),1.0)</f>
        <v>1</v>
      </c>
      <c r="S1766" s="4">
        <f>IFERROR(__xludf.DUMMYFUNCTION("""COMPUTED_VALUE"""),88.0)</f>
        <v>88</v>
      </c>
      <c r="T1766" s="33">
        <f>IFERROR(__xludf.DUMMYFUNCTION("""COMPUTED_VALUE"""),0.8)</f>
        <v>0.8</v>
      </c>
      <c r="U1766" s="4">
        <f>IFERROR(__xludf.DUMMYFUNCTION("""COMPUTED_VALUE"""),88.0)</f>
        <v>88</v>
      </c>
      <c r="V1766" s="33">
        <f>IFERROR(__xludf.DUMMYFUNCTION("""COMPUTED_VALUE"""),1.0)</f>
        <v>1</v>
      </c>
      <c r="W1766" s="4">
        <f>IFERROR(__xludf.DUMMYFUNCTION("""COMPUTED_VALUE"""),88.0)</f>
        <v>88</v>
      </c>
      <c r="X1766" s="33">
        <f>IFERROR(__xludf.DUMMYFUNCTION("""COMPUTED_VALUE"""),0.6)</f>
        <v>0.6</v>
      </c>
    </row>
    <row r="1767">
      <c r="K1767" s="4" t="str">
        <f>IFERROR(__xludf.DUMMYFUNCTION("""COMPUTED_VALUE"""),"KOMBIS HOT DOG -")</f>
        <v>KOMBIS HOT DOG -</v>
      </c>
      <c r="L1767" s="32">
        <f>IFERROR(__xludf.DUMMYFUNCTION("""COMPUTED_VALUE"""),5.0)</f>
        <v>5</v>
      </c>
      <c r="M1767" s="4" t="str">
        <f>IFERROR(__xludf.DUMMYFUNCTION("""COMPUTED_VALUE"""),"Saipos Serviços De Software")</f>
        <v>Saipos Serviços De Software</v>
      </c>
      <c r="N1767" s="33">
        <f>IFERROR(__xludf.DUMMYFUNCTION("""COMPUTED_VALUE"""),1.0)</f>
        <v>1</v>
      </c>
      <c r="O1767" s="4" t="str">
        <f>IFERROR(__xludf.DUMMYFUNCTION("""COMPUTED_VALUE"""),"Saipos Serviços De Software")</f>
        <v>Saipos Serviços De Software</v>
      </c>
      <c r="P1767" s="33">
        <f>IFERROR(__xludf.DUMMYFUNCTION("""COMPUTED_VALUE"""),1.0)</f>
        <v>1</v>
      </c>
      <c r="Q1767" s="4" t="str">
        <f>IFERROR(__xludf.DUMMYFUNCTION("""COMPUTED_VALUE"""),"Saipos Serviços De Software")</f>
        <v>Saipos Serviços De Software</v>
      </c>
      <c r="R1767" s="33">
        <f>IFERROR(__xludf.DUMMYFUNCTION("""COMPUTED_VALUE"""),1.0)</f>
        <v>1</v>
      </c>
      <c r="S1767" s="4" t="str">
        <f>IFERROR(__xludf.DUMMYFUNCTION("""COMPUTED_VALUE"""),"Saipos Serviços De Software")</f>
        <v>Saipos Serviços De Software</v>
      </c>
      <c r="T1767" s="33">
        <f>IFERROR(__xludf.DUMMYFUNCTION("""COMPUTED_VALUE"""),1.0)</f>
        <v>1</v>
      </c>
      <c r="U1767" s="4" t="str">
        <f>IFERROR(__xludf.DUMMYFUNCTION("""COMPUTED_VALUE"""),"Saipos Serviços De Software")</f>
        <v>Saipos Serviços De Software</v>
      </c>
      <c r="V1767" s="33">
        <f>IFERROR(__xludf.DUMMYFUNCTION("""COMPUTED_VALUE"""),1.0)</f>
        <v>1</v>
      </c>
      <c r="W1767" s="4" t="str">
        <f>IFERROR(__xludf.DUMMYFUNCTION("""COMPUTED_VALUE"""),"Saipos Serviços De Software")</f>
        <v>Saipos Serviços De Software</v>
      </c>
      <c r="X1767" s="33">
        <f>IFERROR(__xludf.DUMMYFUNCTION("""COMPUTED_VALUE"""),1.0)</f>
        <v>1</v>
      </c>
    </row>
    <row r="1768">
      <c r="K1768" s="4" t="str">
        <f>IFERROR(__xludf.DUMMYFUNCTION("""COMPUTED_VALUE"""),"KOMILAO LANCHES - COMBOS DE HAMBURGUER")</f>
        <v>KOMILAO LANCHES - COMBOS DE HAMBURGUER</v>
      </c>
      <c r="L1768" s="32">
        <f>IFERROR(__xludf.DUMMYFUNCTION("""COMPUTED_VALUE"""),5.0)</f>
        <v>5</v>
      </c>
      <c r="M1768" s="4" t="str">
        <f>IFERROR(__xludf.DUMMYFUNCTION("""COMPUTED_VALUE"""),"Cardápio Web")</f>
        <v>Cardápio Web</v>
      </c>
      <c r="N1768" s="33">
        <f>IFERROR(__xludf.DUMMYFUNCTION("""COMPUTED_VALUE"""),1.0)</f>
        <v>1</v>
      </c>
      <c r="O1768" s="4" t="str">
        <f>IFERROR(__xludf.DUMMYFUNCTION("""COMPUTED_VALUE"""),"Cardápio Web")</f>
        <v>Cardápio Web</v>
      </c>
      <c r="P1768" s="33">
        <f>IFERROR(__xludf.DUMMYFUNCTION("""COMPUTED_VALUE"""),1.0)</f>
        <v>1</v>
      </c>
      <c r="Q1768" s="4" t="str">
        <f>IFERROR(__xludf.DUMMYFUNCTION("""COMPUTED_VALUE"""),"Cardápio Web")</f>
        <v>Cardápio Web</v>
      </c>
      <c r="R1768" s="33">
        <f>IFERROR(__xludf.DUMMYFUNCTION("""COMPUTED_VALUE"""),1.0)</f>
        <v>1</v>
      </c>
      <c r="S1768" s="4" t="str">
        <f>IFERROR(__xludf.DUMMYFUNCTION("""COMPUTED_VALUE"""),"Cardápio Web")</f>
        <v>Cardápio Web</v>
      </c>
      <c r="T1768" s="33">
        <f>IFERROR(__xludf.DUMMYFUNCTION("""COMPUTED_VALUE"""),1.0)</f>
        <v>1</v>
      </c>
      <c r="U1768" s="4" t="str">
        <f>IFERROR(__xludf.DUMMYFUNCTION("""COMPUTED_VALUE"""),"Cardápio Web")</f>
        <v>Cardápio Web</v>
      </c>
      <c r="V1768" s="33">
        <f>IFERROR(__xludf.DUMMYFUNCTION("""COMPUTED_VALUE"""),1.0)</f>
        <v>1</v>
      </c>
      <c r="W1768" s="4" t="str">
        <f>IFERROR(__xludf.DUMMYFUNCTION("""COMPUTED_VALUE"""),"Cardápio Web")</f>
        <v>Cardápio Web</v>
      </c>
      <c r="X1768" s="33">
        <f>IFERROR(__xludf.DUMMYFUNCTION("""COMPUTED_VALUE"""),1.0)</f>
        <v>1</v>
      </c>
    </row>
    <row r="1769">
      <c r="K1769" s="4" t="str">
        <f>IFERROR(__xludf.DUMMYFUNCTION("""COMPUTED_VALUE"""),"KORIN - CONTA PAI")</f>
        <v>KORIN - CONTA PAI</v>
      </c>
      <c r="L1769" s="32">
        <f>IFERROR(__xludf.DUMMYFUNCTION("""COMPUTED_VALUE"""),5.0)</f>
        <v>5</v>
      </c>
      <c r="M1769" s="4" t="str">
        <f>IFERROR(__xludf.DUMMYFUNCTION("""COMPUTED_VALUE"""),"N/A (Not found)")</f>
        <v>N/A (Not found)</v>
      </c>
      <c r="N1769" s="33">
        <f>IFERROR(__xludf.DUMMYFUNCTION("""COMPUTED_VALUE"""),1.0)</f>
        <v>1</v>
      </c>
      <c r="O1769" s="4" t="str">
        <f>IFERROR(__xludf.DUMMYFUNCTION("""COMPUTED_VALUE"""),"N/A (Not found)")</f>
        <v>N/A (Not found)</v>
      </c>
      <c r="P1769" s="33">
        <f>IFERROR(__xludf.DUMMYFUNCTION("""COMPUTED_VALUE"""),0.8)</f>
        <v>0.8</v>
      </c>
      <c r="Q1769" s="4" t="str">
        <f>IFERROR(__xludf.DUMMYFUNCTION("""COMPUTED_VALUE"""),"N/A (Not found)")</f>
        <v>N/A (Not found)</v>
      </c>
      <c r="R1769" s="33">
        <f>IFERROR(__xludf.DUMMYFUNCTION("""COMPUTED_VALUE"""),0.6)</f>
        <v>0.6</v>
      </c>
      <c r="S1769" s="4" t="str">
        <f>IFERROR(__xludf.DUMMYFUNCTION("""COMPUTED_VALUE"""),"N/A (Not found)")</f>
        <v>N/A (Not found)</v>
      </c>
      <c r="T1769" s="33">
        <f>IFERROR(__xludf.DUMMYFUNCTION("""COMPUTED_VALUE"""),0.6)</f>
        <v>0.6</v>
      </c>
      <c r="U1769" s="4" t="str">
        <f>IFERROR(__xludf.DUMMYFUNCTION("""COMPUTED_VALUE"""),"N/A (Not found)")</f>
        <v>N/A (Not found)</v>
      </c>
      <c r="V1769" s="33">
        <f>IFERROR(__xludf.DUMMYFUNCTION("""COMPUTED_VALUE"""),0.6)</f>
        <v>0.6</v>
      </c>
      <c r="W1769" s="4" t="str">
        <f>IFERROR(__xludf.DUMMYFUNCTION("""COMPUTED_VALUE"""),"N/A (Not found)")</f>
        <v>N/A (Not found)</v>
      </c>
      <c r="X1769" s="33">
        <f>IFERROR(__xludf.DUMMYFUNCTION("""COMPUTED_VALUE"""),0.6)</f>
        <v>0.6</v>
      </c>
    </row>
    <row r="1770">
      <c r="K1770" s="4" t="str">
        <f>IFERROR(__xludf.DUMMYFUNCTION("""COMPUTED_VALUE"""),"LA BASQUE")</f>
        <v>LA BASQUE</v>
      </c>
      <c r="L1770" s="32">
        <f>IFERROR(__xludf.DUMMYFUNCTION("""COMPUTED_VALUE"""),5.0)</f>
        <v>5</v>
      </c>
      <c r="M1770" s="4" t="str">
        <f>IFERROR(__xludf.DUMMYFUNCTION("""COMPUTED_VALUE"""),"Stone Co.")</f>
        <v>Stone Co.</v>
      </c>
      <c r="N1770" s="33">
        <f>IFERROR(__xludf.DUMMYFUNCTION("""COMPUTED_VALUE"""),0.8)</f>
        <v>0.8</v>
      </c>
      <c r="O1770" s="4" t="str">
        <f>IFERROR(__xludf.DUMMYFUNCTION("""COMPUTED_VALUE"""),"Stone Co.")</f>
        <v>Stone Co.</v>
      </c>
      <c r="P1770" s="33">
        <f>IFERROR(__xludf.DUMMYFUNCTION("""COMPUTED_VALUE"""),0.6)</f>
        <v>0.6</v>
      </c>
      <c r="Q1770" s="4" t="str">
        <f>IFERROR(__xludf.DUMMYFUNCTION("""COMPUTED_VALUE"""),"Stone Co.")</f>
        <v>Stone Co.</v>
      </c>
      <c r="R1770" s="33">
        <f>IFERROR(__xludf.DUMMYFUNCTION("""COMPUTED_VALUE"""),0.6)</f>
        <v>0.6</v>
      </c>
      <c r="S1770" s="4" t="str">
        <f>IFERROR(__xludf.DUMMYFUNCTION("""COMPUTED_VALUE"""),"null")</f>
        <v>null</v>
      </c>
      <c r="T1770" s="33">
        <f>IFERROR(__xludf.DUMMYFUNCTION("""COMPUTED_VALUE"""),0.6)</f>
        <v>0.6</v>
      </c>
      <c r="U1770" s="4" t="str">
        <f>IFERROR(__xludf.DUMMYFUNCTION("""COMPUTED_VALUE"""),"Stone Co.")</f>
        <v>Stone Co.</v>
      </c>
      <c r="V1770" s="33">
        <f>IFERROR(__xludf.DUMMYFUNCTION("""COMPUTED_VALUE"""),0.8)</f>
        <v>0.8</v>
      </c>
      <c r="W1770" s="4" t="str">
        <f>IFERROR(__xludf.DUMMYFUNCTION("""COMPUTED_VALUE"""),"Stone Co.")</f>
        <v>Stone Co.</v>
      </c>
      <c r="X1770" s="33">
        <f>IFERROR(__xludf.DUMMYFUNCTION("""COMPUTED_VALUE"""),0.8)</f>
        <v>0.8</v>
      </c>
    </row>
    <row r="1771">
      <c r="K1771" s="4" t="str">
        <f>IFERROR(__xludf.DUMMYFUNCTION("""COMPUTED_VALUE"""),"LA CANTINA GALETERIA")</f>
        <v>LA CANTINA GALETERIA</v>
      </c>
      <c r="L1771" s="32">
        <f>IFERROR(__xludf.DUMMYFUNCTION("""COMPUTED_VALUE"""),5.0)</f>
        <v>5</v>
      </c>
      <c r="M1771" s="4" t="str">
        <f>IFERROR(__xludf.DUMMYFUNCTION("""COMPUTED_VALUE"""),"Bitbar")</f>
        <v>Bitbar</v>
      </c>
      <c r="N1771" s="33">
        <f>IFERROR(__xludf.DUMMYFUNCTION("""COMPUTED_VALUE"""),0.6)</f>
        <v>0.6</v>
      </c>
      <c r="O1771" s="4" t="str">
        <f>IFERROR(__xludf.DUMMYFUNCTION("""COMPUTED_VALUE"""),"null")</f>
        <v>null</v>
      </c>
      <c r="P1771" s="33">
        <f>IFERROR(__xludf.DUMMYFUNCTION("""COMPUTED_VALUE"""),0.4)</f>
        <v>0.4</v>
      </c>
      <c r="Q1771" s="4" t="str">
        <f>IFERROR(__xludf.DUMMYFUNCTION("""COMPUTED_VALUE"""),"null")</f>
        <v>null</v>
      </c>
      <c r="R1771" s="33">
        <f>IFERROR(__xludf.DUMMYFUNCTION("""COMPUTED_VALUE"""),0.6)</f>
        <v>0.6</v>
      </c>
      <c r="S1771" s="4" t="str">
        <f>IFERROR(__xludf.DUMMYFUNCTION("""COMPUTED_VALUE"""),"null")</f>
        <v>null</v>
      </c>
      <c r="T1771" s="33">
        <f>IFERROR(__xludf.DUMMYFUNCTION("""COMPUTED_VALUE"""),0.4)</f>
        <v>0.4</v>
      </c>
      <c r="U1771" s="4" t="str">
        <f>IFERROR(__xludf.DUMMYFUNCTION("""COMPUTED_VALUE"""),"null")</f>
        <v>null</v>
      </c>
      <c r="V1771" s="33">
        <f>IFERROR(__xludf.DUMMYFUNCTION("""COMPUTED_VALUE"""),0.4)</f>
        <v>0.4</v>
      </c>
      <c r="W1771" s="4" t="str">
        <f>IFERROR(__xludf.DUMMYFUNCTION("""COMPUTED_VALUE"""),"null")</f>
        <v>null</v>
      </c>
      <c r="X1771" s="33">
        <f>IFERROR(__xludf.DUMMYFUNCTION("""COMPUTED_VALUE"""),0.4)</f>
        <v>0.4</v>
      </c>
    </row>
    <row r="1772">
      <c r="K1772" s="4" t="str">
        <f>IFERROR(__xludf.DUMMYFUNCTION("""COMPUTED_VALUE"""),"LA JOELHERIA")</f>
        <v>LA JOELHERIA</v>
      </c>
      <c r="L1772" s="32">
        <f>IFERROR(__xludf.DUMMYFUNCTION("""COMPUTED_VALUE"""),5.0)</f>
        <v>5</v>
      </c>
      <c r="M1772" s="4" t="str">
        <f>IFERROR(__xludf.DUMMYFUNCTION("""COMPUTED_VALUE"""),"Saipos Serviços De Software")</f>
        <v>Saipos Serviços De Software</v>
      </c>
      <c r="N1772" s="33">
        <f>IFERROR(__xludf.DUMMYFUNCTION("""COMPUTED_VALUE"""),1.0)</f>
        <v>1</v>
      </c>
      <c r="O1772" s="4" t="str">
        <f>IFERROR(__xludf.DUMMYFUNCTION("""COMPUTED_VALUE"""),"Saipos Serviços De Software")</f>
        <v>Saipos Serviços De Software</v>
      </c>
      <c r="P1772" s="33">
        <f>IFERROR(__xludf.DUMMYFUNCTION("""COMPUTED_VALUE"""),1.0)</f>
        <v>1</v>
      </c>
      <c r="Q1772" s="4" t="str">
        <f>IFERROR(__xludf.DUMMYFUNCTION("""COMPUTED_VALUE"""),"Saipos Serviços De Software")</f>
        <v>Saipos Serviços De Software</v>
      </c>
      <c r="R1772" s="33">
        <f>IFERROR(__xludf.DUMMYFUNCTION("""COMPUTED_VALUE"""),1.0)</f>
        <v>1</v>
      </c>
      <c r="S1772" s="4" t="str">
        <f>IFERROR(__xludf.DUMMYFUNCTION("""COMPUTED_VALUE"""),"Saipos Serviços De Software")</f>
        <v>Saipos Serviços De Software</v>
      </c>
      <c r="T1772" s="33">
        <f>IFERROR(__xludf.DUMMYFUNCTION("""COMPUTED_VALUE"""),1.0)</f>
        <v>1</v>
      </c>
      <c r="U1772" s="4" t="str">
        <f>IFERROR(__xludf.DUMMYFUNCTION("""COMPUTED_VALUE"""),"Saipos Serviços De Software")</f>
        <v>Saipos Serviços De Software</v>
      </c>
      <c r="V1772" s="33">
        <f>IFERROR(__xludf.DUMMYFUNCTION("""COMPUTED_VALUE"""),1.0)</f>
        <v>1</v>
      </c>
      <c r="W1772" s="4" t="str">
        <f>IFERROR(__xludf.DUMMYFUNCTION("""COMPUTED_VALUE"""),"Saipos Serviços De Software")</f>
        <v>Saipos Serviços De Software</v>
      </c>
      <c r="X1772" s="33">
        <f>IFERROR(__xludf.DUMMYFUNCTION("""COMPUTED_VALUE"""),1.0)</f>
        <v>1</v>
      </c>
    </row>
    <row r="1773">
      <c r="K1773" s="4" t="str">
        <f>IFERROR(__xludf.DUMMYFUNCTION("""COMPUTED_VALUE"""),"LA MOLE")</f>
        <v>LA MOLE</v>
      </c>
      <c r="L1773" s="32">
        <f>IFERROR(__xludf.DUMMYFUNCTION("""COMPUTED_VALUE"""),5.0)</f>
        <v>5</v>
      </c>
      <c r="M1773" s="4" t="str">
        <f>IFERROR(__xludf.DUMMYFUNCTION("""COMPUTED_VALUE"""),"Totvs Large Enterprise Tecnologia S.a.")</f>
        <v>Totvs Large Enterprise Tecnologia S.a.</v>
      </c>
      <c r="N1773" s="33">
        <f>IFERROR(__xludf.DUMMYFUNCTION("""COMPUTED_VALUE"""),0.8)</f>
        <v>0.8</v>
      </c>
      <c r="O1773" s="4" t="str">
        <f>IFERROR(__xludf.DUMMYFUNCTION("""COMPUTED_VALUE"""),"Totvs Large Enterprise Tecnologia S.a.")</f>
        <v>Totvs Large Enterprise Tecnologia S.a.</v>
      </c>
      <c r="P1773" s="33">
        <f>IFERROR(__xludf.DUMMYFUNCTION("""COMPUTED_VALUE"""),0.8)</f>
        <v>0.8</v>
      </c>
      <c r="Q1773" s="4" t="str">
        <f>IFERROR(__xludf.DUMMYFUNCTION("""COMPUTED_VALUE"""),"Totvs Large Enterprise Tecnologia S.a.")</f>
        <v>Totvs Large Enterprise Tecnologia S.a.</v>
      </c>
      <c r="R1773" s="33">
        <f>IFERROR(__xludf.DUMMYFUNCTION("""COMPUTED_VALUE"""),0.6)</f>
        <v>0.6</v>
      </c>
      <c r="S1773" s="4" t="str">
        <f>IFERROR(__xludf.DUMMYFUNCTION("""COMPUTED_VALUE"""),"Totvs Large Enterprise Tecnologia S.a.")</f>
        <v>Totvs Large Enterprise Tecnologia S.a.</v>
      </c>
      <c r="T1773" s="33">
        <f>IFERROR(__xludf.DUMMYFUNCTION("""COMPUTED_VALUE"""),0.8)</f>
        <v>0.8</v>
      </c>
      <c r="U1773" s="4" t="str">
        <f>IFERROR(__xludf.DUMMYFUNCTION("""COMPUTED_VALUE"""),"Totvs Large Enterprise Tecnologia S.a.")</f>
        <v>Totvs Large Enterprise Tecnologia S.a.</v>
      </c>
      <c r="V1773" s="33">
        <f>IFERROR(__xludf.DUMMYFUNCTION("""COMPUTED_VALUE"""),0.6)</f>
        <v>0.6</v>
      </c>
      <c r="W1773" s="4" t="str">
        <f>IFERROR(__xludf.DUMMYFUNCTION("""COMPUTED_VALUE"""),"Totvs Large Enterprise Tecnologia S.a.")</f>
        <v>Totvs Large Enterprise Tecnologia S.a.</v>
      </c>
      <c r="X1773" s="33">
        <f>IFERROR(__xludf.DUMMYFUNCTION("""COMPUTED_VALUE"""),0.6)</f>
        <v>0.6</v>
      </c>
    </row>
    <row r="1774">
      <c r="K1774" s="4" t="str">
        <f>IFERROR(__xludf.DUMMYFUNCTION("""COMPUTED_VALUE"""),"LA PANATA")</f>
        <v>LA PANATA</v>
      </c>
      <c r="L1774" s="32">
        <f>IFERROR(__xludf.DUMMYFUNCTION("""COMPUTED_VALUE"""),5.0)</f>
        <v>5</v>
      </c>
      <c r="M1774" s="4" t="str">
        <f>IFERROR(__xludf.DUMMYFUNCTION("""COMPUTED_VALUE"""),"Noah Sistemas Ltda")</f>
        <v>Noah Sistemas Ltda</v>
      </c>
      <c r="N1774" s="33">
        <f>IFERROR(__xludf.DUMMYFUNCTION("""COMPUTED_VALUE"""),1.0)</f>
        <v>1</v>
      </c>
      <c r="O1774" s="4" t="str">
        <f>IFERROR(__xludf.DUMMYFUNCTION("""COMPUTED_VALUE"""),"Noah Sistemas Ltda")</f>
        <v>Noah Sistemas Ltda</v>
      </c>
      <c r="P1774" s="33">
        <f>IFERROR(__xludf.DUMMYFUNCTION("""COMPUTED_VALUE"""),1.0)</f>
        <v>1</v>
      </c>
      <c r="Q1774" s="4" t="str">
        <f>IFERROR(__xludf.DUMMYFUNCTION("""COMPUTED_VALUE"""),"Noah Sistemas Ltda")</f>
        <v>Noah Sistemas Ltda</v>
      </c>
      <c r="R1774" s="33">
        <f>IFERROR(__xludf.DUMMYFUNCTION("""COMPUTED_VALUE"""),0.8)</f>
        <v>0.8</v>
      </c>
      <c r="S1774" s="4" t="str">
        <f>IFERROR(__xludf.DUMMYFUNCTION("""COMPUTED_VALUE"""),"Noah Sistemas Ltda")</f>
        <v>Noah Sistemas Ltda</v>
      </c>
      <c r="T1774" s="33">
        <f>IFERROR(__xludf.DUMMYFUNCTION("""COMPUTED_VALUE"""),0.8)</f>
        <v>0.8</v>
      </c>
      <c r="U1774" s="4" t="str">
        <f>IFERROR(__xludf.DUMMYFUNCTION("""COMPUTED_VALUE"""),"Noah Sistemas Ltda")</f>
        <v>Noah Sistemas Ltda</v>
      </c>
      <c r="V1774" s="33">
        <f>IFERROR(__xludf.DUMMYFUNCTION("""COMPUTED_VALUE"""),0.6)</f>
        <v>0.6</v>
      </c>
      <c r="W1774" s="4" t="str">
        <f>IFERROR(__xludf.DUMMYFUNCTION("""COMPUTED_VALUE"""),"Noah Sistemas Ltda")</f>
        <v>Noah Sistemas Ltda</v>
      </c>
      <c r="X1774" s="33">
        <f>IFERROR(__xludf.DUMMYFUNCTION("""COMPUTED_VALUE"""),0.6)</f>
        <v>0.6</v>
      </c>
    </row>
    <row r="1775">
      <c r="K1775" s="4" t="str">
        <f>IFERROR(__xludf.DUMMYFUNCTION("""COMPUTED_VALUE"""),"LA TREGUA")</f>
        <v>LA TREGUA</v>
      </c>
      <c r="L1775" s="32">
        <f>IFERROR(__xludf.DUMMYFUNCTION("""COMPUTED_VALUE"""),5.0)</f>
        <v>5</v>
      </c>
      <c r="M1775" s="4" t="str">
        <f>IFERROR(__xludf.DUMMYFUNCTION("""COMPUTED_VALUE"""),"Totvs Large Enterprise Tecnologia S.a.")</f>
        <v>Totvs Large Enterprise Tecnologia S.a.</v>
      </c>
      <c r="N1775" s="33">
        <f>IFERROR(__xludf.DUMMYFUNCTION("""COMPUTED_VALUE"""),1.0)</f>
        <v>1</v>
      </c>
      <c r="O1775" s="4" t="str">
        <f>IFERROR(__xludf.DUMMYFUNCTION("""COMPUTED_VALUE"""),"Totvs Large Enterprise Tecnologia S.a.")</f>
        <v>Totvs Large Enterprise Tecnologia S.a.</v>
      </c>
      <c r="P1775" s="33">
        <f>IFERROR(__xludf.DUMMYFUNCTION("""COMPUTED_VALUE"""),0.8)</f>
        <v>0.8</v>
      </c>
      <c r="Q1775" s="4" t="str">
        <f>IFERROR(__xludf.DUMMYFUNCTION("""COMPUTED_VALUE"""),"Totvs Large Enterprise Tecnologia S.a.")</f>
        <v>Totvs Large Enterprise Tecnologia S.a.</v>
      </c>
      <c r="R1775" s="33">
        <f>IFERROR(__xludf.DUMMYFUNCTION("""COMPUTED_VALUE"""),1.0)</f>
        <v>1</v>
      </c>
      <c r="S1775" s="4" t="str">
        <f>IFERROR(__xludf.DUMMYFUNCTION("""COMPUTED_VALUE"""),"Totvs Large Enterprise Tecnologia S.a.")</f>
        <v>Totvs Large Enterprise Tecnologia S.a.</v>
      </c>
      <c r="T1775" s="33">
        <f>IFERROR(__xludf.DUMMYFUNCTION("""COMPUTED_VALUE"""),0.8)</f>
        <v>0.8</v>
      </c>
      <c r="U1775" s="4" t="str">
        <f>IFERROR(__xludf.DUMMYFUNCTION("""COMPUTED_VALUE"""),"Totvs Large Enterprise Tecnologia S.a.")</f>
        <v>Totvs Large Enterprise Tecnologia S.a.</v>
      </c>
      <c r="V1775" s="33">
        <f>IFERROR(__xludf.DUMMYFUNCTION("""COMPUTED_VALUE"""),1.0)</f>
        <v>1</v>
      </c>
      <c r="W1775" s="4" t="str">
        <f>IFERROR(__xludf.DUMMYFUNCTION("""COMPUTED_VALUE"""),"Totvs Large Enterprise Tecnologia S.a.")</f>
        <v>Totvs Large Enterprise Tecnologia S.a.</v>
      </c>
      <c r="X1775" s="33">
        <f>IFERROR(__xludf.DUMMYFUNCTION("""COMPUTED_VALUE"""),1.0)</f>
        <v>1</v>
      </c>
    </row>
    <row r="1776">
      <c r="K1776" s="4" t="str">
        <f>IFERROR(__xludf.DUMMYFUNCTION("""COMPUTED_VALUE"""),"LA VACA - MANAUS")</f>
        <v>LA VACA - MANAUS</v>
      </c>
      <c r="L1776" s="32">
        <f>IFERROR(__xludf.DUMMYFUNCTION("""COMPUTED_VALUE"""),5.0)</f>
        <v>5</v>
      </c>
      <c r="M1776" s="4" t="str">
        <f>IFERROR(__xludf.DUMMYFUNCTION("""COMPUTED_VALUE"""),"Filialdigital")</f>
        <v>Filialdigital</v>
      </c>
      <c r="N1776" s="33">
        <f>IFERROR(__xludf.DUMMYFUNCTION("""COMPUTED_VALUE"""),0.8)</f>
        <v>0.8</v>
      </c>
      <c r="O1776" s="4" t="str">
        <f>IFERROR(__xludf.DUMMYFUNCTION("""COMPUTED_VALUE"""),"Filialdigital")</f>
        <v>Filialdigital</v>
      </c>
      <c r="P1776" s="33">
        <f>IFERROR(__xludf.DUMMYFUNCTION("""COMPUTED_VALUE"""),0.6)</f>
        <v>0.6</v>
      </c>
      <c r="Q1776" s="4" t="str">
        <f>IFERROR(__xludf.DUMMYFUNCTION("""COMPUTED_VALUE"""),"Filialdigital")</f>
        <v>Filialdigital</v>
      </c>
      <c r="R1776" s="33">
        <f>IFERROR(__xludf.DUMMYFUNCTION("""COMPUTED_VALUE"""),0.8)</f>
        <v>0.8</v>
      </c>
      <c r="S1776" s="4" t="str">
        <f>IFERROR(__xludf.DUMMYFUNCTION("""COMPUTED_VALUE"""),"Filialdigital")</f>
        <v>Filialdigital</v>
      </c>
      <c r="T1776" s="33">
        <f>IFERROR(__xludf.DUMMYFUNCTION("""COMPUTED_VALUE"""),0.8)</f>
        <v>0.8</v>
      </c>
      <c r="U1776" s="4" t="str">
        <f>IFERROR(__xludf.DUMMYFUNCTION("""COMPUTED_VALUE"""),"Filialdigital")</f>
        <v>Filialdigital</v>
      </c>
      <c r="V1776" s="33">
        <f>IFERROR(__xludf.DUMMYFUNCTION("""COMPUTED_VALUE"""),0.8)</f>
        <v>0.8</v>
      </c>
      <c r="W1776" s="4" t="str">
        <f>IFERROR(__xludf.DUMMYFUNCTION("""COMPUTED_VALUE"""),"Filialdigital")</f>
        <v>Filialdigital</v>
      </c>
      <c r="X1776" s="33">
        <f>IFERROR(__xludf.DUMMYFUNCTION("""COMPUTED_VALUE"""),0.8)</f>
        <v>0.8</v>
      </c>
    </row>
    <row r="1777">
      <c r="K1777" s="4" t="str">
        <f>IFERROR(__xludf.DUMMYFUNCTION("""COMPUTED_VALUE"""),"LEPOK - CONTA PAI")</f>
        <v>LEPOK - CONTA PAI</v>
      </c>
      <c r="L1777" s="32">
        <f>IFERROR(__xludf.DUMMYFUNCTION("""COMPUTED_VALUE"""),5.0)</f>
        <v>5</v>
      </c>
      <c r="M1777" s="4" t="str">
        <f>IFERROR(__xludf.DUMMYFUNCTION("""COMPUTED_VALUE"""),"N/A (Not found)")</f>
        <v>N/A (Not found)</v>
      </c>
      <c r="N1777" s="33">
        <f>IFERROR(__xludf.DUMMYFUNCTION("""COMPUTED_VALUE"""),1.0)</f>
        <v>1</v>
      </c>
      <c r="O1777" s="4" t="str">
        <f>IFERROR(__xludf.DUMMYFUNCTION("""COMPUTED_VALUE"""),"N/A (Not found)")</f>
        <v>N/A (Not found)</v>
      </c>
      <c r="P1777" s="33">
        <f>IFERROR(__xludf.DUMMYFUNCTION("""COMPUTED_VALUE"""),1.0)</f>
        <v>1</v>
      </c>
      <c r="Q1777" s="4" t="str">
        <f>IFERROR(__xludf.DUMMYFUNCTION("""COMPUTED_VALUE"""),"N/A (Not found)")</f>
        <v>N/A (Not found)</v>
      </c>
      <c r="R1777" s="33">
        <f>IFERROR(__xludf.DUMMYFUNCTION("""COMPUTED_VALUE"""),1.0)</f>
        <v>1</v>
      </c>
      <c r="S1777" s="4" t="str">
        <f>IFERROR(__xludf.DUMMYFUNCTION("""COMPUTED_VALUE"""),"N/A (Not found)")</f>
        <v>N/A (Not found)</v>
      </c>
      <c r="T1777" s="33">
        <f>IFERROR(__xludf.DUMMYFUNCTION("""COMPUTED_VALUE"""),1.0)</f>
        <v>1</v>
      </c>
      <c r="U1777" s="4" t="str">
        <f>IFERROR(__xludf.DUMMYFUNCTION("""COMPUTED_VALUE"""),"N/A (Not found)")</f>
        <v>N/A (Not found)</v>
      </c>
      <c r="V1777" s="33">
        <f>IFERROR(__xludf.DUMMYFUNCTION("""COMPUTED_VALUE"""),1.0)</f>
        <v>1</v>
      </c>
      <c r="W1777" s="4" t="str">
        <f>IFERROR(__xludf.DUMMYFUNCTION("""COMPUTED_VALUE"""),"N/A (Not found)")</f>
        <v>N/A (Not found)</v>
      </c>
      <c r="X1777" s="33">
        <f>IFERROR(__xludf.DUMMYFUNCTION("""COMPUTED_VALUE"""),1.0)</f>
        <v>1</v>
      </c>
    </row>
    <row r="1778">
      <c r="K1778" s="4" t="str">
        <f>IFERROR(__xludf.DUMMYFUNCTION("""COMPUTED_VALUE"""),"LIBEL KITCHEN")</f>
        <v>LIBEL KITCHEN</v>
      </c>
      <c r="L1778" s="32">
        <f>IFERROR(__xludf.DUMMYFUNCTION("""COMPUTED_VALUE"""),5.0)</f>
        <v>5</v>
      </c>
      <c r="M1778" s="4" t="str">
        <f>IFERROR(__xludf.DUMMYFUNCTION("""COMPUTED_VALUE"""),"Saipos Serviços De Software")</f>
        <v>Saipos Serviços De Software</v>
      </c>
      <c r="N1778" s="33">
        <f>IFERROR(__xludf.DUMMYFUNCTION("""COMPUTED_VALUE"""),1.0)</f>
        <v>1</v>
      </c>
      <c r="O1778" s="4" t="str">
        <f>IFERROR(__xludf.DUMMYFUNCTION("""COMPUTED_VALUE"""),"Saipos Serviços De Software")</f>
        <v>Saipos Serviços De Software</v>
      </c>
      <c r="P1778" s="33">
        <f>IFERROR(__xludf.DUMMYFUNCTION("""COMPUTED_VALUE"""),0.6)</f>
        <v>0.6</v>
      </c>
      <c r="Q1778" s="4" t="str">
        <f>IFERROR(__xludf.DUMMYFUNCTION("""COMPUTED_VALUE"""),"null")</f>
        <v>null</v>
      </c>
      <c r="R1778" s="33">
        <f>IFERROR(__xludf.DUMMYFUNCTION("""COMPUTED_VALUE"""),1.0)</f>
        <v>1</v>
      </c>
      <c r="S1778" s="4" t="str">
        <f>IFERROR(__xludf.DUMMYFUNCTION("""COMPUTED_VALUE"""),"null")</f>
        <v>null</v>
      </c>
      <c r="T1778" s="33">
        <f>IFERROR(__xludf.DUMMYFUNCTION("""COMPUTED_VALUE"""),1.0)</f>
        <v>1</v>
      </c>
      <c r="U1778" s="4" t="str">
        <f>IFERROR(__xludf.DUMMYFUNCTION("""COMPUTED_VALUE"""),"null")</f>
        <v>null</v>
      </c>
      <c r="V1778" s="33">
        <f>IFERROR(__xludf.DUMMYFUNCTION("""COMPUTED_VALUE"""),1.0)</f>
        <v>1</v>
      </c>
      <c r="W1778" s="4" t="str">
        <f>IFERROR(__xludf.DUMMYFUNCTION("""COMPUTED_VALUE"""),"null")</f>
        <v>null</v>
      </c>
      <c r="X1778" s="33">
        <f>IFERROR(__xludf.DUMMYFUNCTION("""COMPUTED_VALUE"""),1.0)</f>
        <v>1</v>
      </c>
    </row>
    <row r="1779">
      <c r="K1779" s="4" t="str">
        <f>IFERROR(__xludf.DUMMYFUNCTION("""COMPUTED_VALUE"""),"LIGIA REFEICOES")</f>
        <v>LIGIA REFEICOES</v>
      </c>
      <c r="L1779" s="32">
        <f>IFERROR(__xludf.DUMMYFUNCTION("""COMPUTED_VALUE"""),5.0)</f>
        <v>5</v>
      </c>
      <c r="M1779" s="4" t="str">
        <f>IFERROR(__xludf.DUMMYFUNCTION("""COMPUTED_VALUE"""),"Alfa Labs")</f>
        <v>Alfa Labs</v>
      </c>
      <c r="N1779" s="33">
        <f>IFERROR(__xludf.DUMMYFUNCTION("""COMPUTED_VALUE"""),0.8)</f>
        <v>0.8</v>
      </c>
      <c r="O1779" s="4" t="str">
        <f>IFERROR(__xludf.DUMMYFUNCTION("""COMPUTED_VALUE"""),"null")</f>
        <v>null</v>
      </c>
      <c r="P1779" s="33">
        <f>IFERROR(__xludf.DUMMYFUNCTION("""COMPUTED_VALUE"""),0.6)</f>
        <v>0.6</v>
      </c>
      <c r="Q1779" s="4" t="str">
        <f>IFERROR(__xludf.DUMMYFUNCTION("""COMPUTED_VALUE"""),"null")</f>
        <v>null</v>
      </c>
      <c r="R1779" s="33">
        <f>IFERROR(__xludf.DUMMYFUNCTION("""COMPUTED_VALUE"""),0.6)</f>
        <v>0.6</v>
      </c>
      <c r="S1779" s="4" t="str">
        <f>IFERROR(__xludf.DUMMYFUNCTION("""COMPUTED_VALUE"""),"null")</f>
        <v>null</v>
      </c>
      <c r="T1779" s="33">
        <f>IFERROR(__xludf.DUMMYFUNCTION("""COMPUTED_VALUE"""),0.6)</f>
        <v>0.6</v>
      </c>
      <c r="U1779" s="4" t="str">
        <f>IFERROR(__xludf.DUMMYFUNCTION("""COMPUTED_VALUE"""),"null")</f>
        <v>null</v>
      </c>
      <c r="V1779" s="33">
        <f>IFERROR(__xludf.DUMMYFUNCTION("""COMPUTED_VALUE"""),0.4)</f>
        <v>0.4</v>
      </c>
      <c r="W1779" s="4" t="str">
        <f>IFERROR(__xludf.DUMMYFUNCTION("""COMPUTED_VALUE"""),"Alfa Labs")</f>
        <v>Alfa Labs</v>
      </c>
      <c r="X1779" s="33">
        <f>IFERROR(__xludf.DUMMYFUNCTION("""COMPUTED_VALUE"""),0.6)</f>
        <v>0.6</v>
      </c>
    </row>
    <row r="1780">
      <c r="K1780" s="4" t="str">
        <f>IFERROR(__xludf.DUMMYFUNCTION("""COMPUTED_VALUE"""),"LIGUE ESFIHA KALIK")</f>
        <v>LIGUE ESFIHA KALIK</v>
      </c>
      <c r="L1780" s="32">
        <f>IFERROR(__xludf.DUMMYFUNCTION("""COMPUTED_VALUE"""),5.0)</f>
        <v>5</v>
      </c>
      <c r="M1780" s="4" t="str">
        <f>IFERROR(__xludf.DUMMYFUNCTION("""COMPUTED_VALUE"""),"Eclética Tecnologia")</f>
        <v>Eclética Tecnologia</v>
      </c>
      <c r="N1780" s="33">
        <f>IFERROR(__xludf.DUMMYFUNCTION("""COMPUTED_VALUE"""),0.6)</f>
        <v>0.6</v>
      </c>
      <c r="O1780" s="4" t="str">
        <f>IFERROR(__xludf.DUMMYFUNCTION("""COMPUTED_VALUE"""),"Eclética Tecnologia")</f>
        <v>Eclética Tecnologia</v>
      </c>
      <c r="P1780" s="33">
        <f>IFERROR(__xludf.DUMMYFUNCTION("""COMPUTED_VALUE"""),0.8)</f>
        <v>0.8</v>
      </c>
      <c r="Q1780" s="4" t="str">
        <f>IFERROR(__xludf.DUMMYFUNCTION("""COMPUTED_VALUE"""),"Eclética Tecnologia")</f>
        <v>Eclética Tecnologia</v>
      </c>
      <c r="R1780" s="33">
        <f>IFERROR(__xludf.DUMMYFUNCTION("""COMPUTED_VALUE"""),0.8)</f>
        <v>0.8</v>
      </c>
      <c r="S1780" s="4" t="str">
        <f>IFERROR(__xludf.DUMMYFUNCTION("""COMPUTED_VALUE"""),"Eclética Tecnologia")</f>
        <v>Eclética Tecnologia</v>
      </c>
      <c r="T1780" s="33">
        <f>IFERROR(__xludf.DUMMYFUNCTION("""COMPUTED_VALUE"""),1.0)</f>
        <v>1</v>
      </c>
      <c r="U1780" s="4" t="str">
        <f>IFERROR(__xludf.DUMMYFUNCTION("""COMPUTED_VALUE"""),"Eclética Tecnologia")</f>
        <v>Eclética Tecnologia</v>
      </c>
      <c r="V1780" s="33">
        <f>IFERROR(__xludf.DUMMYFUNCTION("""COMPUTED_VALUE"""),1.0)</f>
        <v>1</v>
      </c>
      <c r="W1780" s="4" t="str">
        <f>IFERROR(__xludf.DUMMYFUNCTION("""COMPUTED_VALUE"""),"Eclética Tecnologia")</f>
        <v>Eclética Tecnologia</v>
      </c>
      <c r="X1780" s="33">
        <f>IFERROR(__xludf.DUMMYFUNCTION("""COMPUTED_VALUE"""),1.0)</f>
        <v>1</v>
      </c>
    </row>
    <row r="1781">
      <c r="K1781" s="4" t="str">
        <f>IFERROR(__xludf.DUMMYFUNCTION("""COMPUTED_VALUE"""),"LUGS")</f>
        <v>LUGS</v>
      </c>
      <c r="L1781" s="32">
        <f>IFERROR(__xludf.DUMMYFUNCTION("""COMPUTED_VALUE"""),5.0)</f>
        <v>5</v>
      </c>
      <c r="M1781" s="4" t="str">
        <f>IFERROR(__xludf.DUMMYFUNCTION("""COMPUTED_VALUE"""),"null")</f>
        <v>null</v>
      </c>
      <c r="N1781" s="33">
        <f>IFERROR(__xludf.DUMMYFUNCTION("""COMPUTED_VALUE"""),0.6)</f>
        <v>0.6</v>
      </c>
      <c r="O1781" s="4" t="str">
        <f>IFERROR(__xludf.DUMMYFUNCTION("""COMPUTED_VALUE"""),"null")</f>
        <v>null</v>
      </c>
      <c r="P1781" s="33">
        <f>IFERROR(__xludf.DUMMYFUNCTION("""COMPUTED_VALUE"""),0.4)</f>
        <v>0.4</v>
      </c>
      <c r="Q1781" s="4" t="str">
        <f>IFERROR(__xludf.DUMMYFUNCTION("""COMPUTED_VALUE"""),"null")</f>
        <v>null</v>
      </c>
      <c r="R1781" s="33">
        <f>IFERROR(__xludf.DUMMYFUNCTION("""COMPUTED_VALUE"""),0.6)</f>
        <v>0.6</v>
      </c>
      <c r="S1781" s="4" t="str">
        <f>IFERROR(__xludf.DUMMYFUNCTION("""COMPUTED_VALUE"""),"null")</f>
        <v>null</v>
      </c>
      <c r="T1781" s="33">
        <f>IFERROR(__xludf.DUMMYFUNCTION("""COMPUTED_VALUE"""),0.4)</f>
        <v>0.4</v>
      </c>
      <c r="U1781" s="4" t="str">
        <f>IFERROR(__xludf.DUMMYFUNCTION("""COMPUTED_VALUE"""),"Ncr")</f>
        <v>Ncr</v>
      </c>
      <c r="V1781" s="33">
        <f>IFERROR(__xludf.DUMMYFUNCTION("""COMPUTED_VALUE"""),0.4)</f>
        <v>0.4</v>
      </c>
      <c r="W1781" s="4" t="str">
        <f>IFERROR(__xludf.DUMMYFUNCTION("""COMPUTED_VALUE"""),"Ncr")</f>
        <v>Ncr</v>
      </c>
      <c r="X1781" s="33">
        <f>IFERROR(__xludf.DUMMYFUNCTION("""COMPUTED_VALUE"""),0.4)</f>
        <v>0.4</v>
      </c>
    </row>
    <row r="1782">
      <c r="K1782" s="4" t="str">
        <f>IFERROR(__xludf.DUMMYFUNCTION("""COMPUTED_VALUE"""),"LUIGI PASTEIS ARTESANAIS - CONTA MARCA")</f>
        <v>LUIGI PASTEIS ARTESANAIS - CONTA MARCA</v>
      </c>
      <c r="L1782" s="32">
        <f>IFERROR(__xludf.DUMMYFUNCTION("""COMPUTED_VALUE"""),5.0)</f>
        <v>5</v>
      </c>
      <c r="M1782" s="4" t="str">
        <f>IFERROR(__xludf.DUMMYFUNCTION("""COMPUTED_VALUE"""),"Saipos Serviços De Software")</f>
        <v>Saipos Serviços De Software</v>
      </c>
      <c r="N1782" s="33">
        <f>IFERROR(__xludf.DUMMYFUNCTION("""COMPUTED_VALUE"""),1.0)</f>
        <v>1</v>
      </c>
      <c r="O1782" s="4" t="str">
        <f>IFERROR(__xludf.DUMMYFUNCTION("""COMPUTED_VALUE"""),"Saipos Serviços De Software")</f>
        <v>Saipos Serviços De Software</v>
      </c>
      <c r="P1782" s="33">
        <f>IFERROR(__xludf.DUMMYFUNCTION("""COMPUTED_VALUE"""),1.0)</f>
        <v>1</v>
      </c>
      <c r="Q1782" s="4" t="str">
        <f>IFERROR(__xludf.DUMMYFUNCTION("""COMPUTED_VALUE"""),"Saipos Serviços De Software")</f>
        <v>Saipos Serviços De Software</v>
      </c>
      <c r="R1782" s="33">
        <f>IFERROR(__xludf.DUMMYFUNCTION("""COMPUTED_VALUE"""),0.6)</f>
        <v>0.6</v>
      </c>
      <c r="S1782" s="4" t="str">
        <f>IFERROR(__xludf.DUMMYFUNCTION("""COMPUTED_VALUE"""),"Saipos Serviços De Software")</f>
        <v>Saipos Serviços De Software</v>
      </c>
      <c r="T1782" s="33">
        <f>IFERROR(__xludf.DUMMYFUNCTION("""COMPUTED_VALUE"""),0.6)</f>
        <v>0.6</v>
      </c>
      <c r="U1782" s="4" t="str">
        <f>IFERROR(__xludf.DUMMYFUNCTION("""COMPUTED_VALUE"""),"Saipos Serviços De Software")</f>
        <v>Saipos Serviços De Software</v>
      </c>
      <c r="V1782" s="33">
        <f>IFERROR(__xludf.DUMMYFUNCTION("""COMPUTED_VALUE"""),0.6)</f>
        <v>0.6</v>
      </c>
      <c r="W1782" s="4" t="str">
        <f>IFERROR(__xludf.DUMMYFUNCTION("""COMPUTED_VALUE"""),"Saipos Serviços De Software")</f>
        <v>Saipos Serviços De Software</v>
      </c>
      <c r="X1782" s="33">
        <f>IFERROR(__xludf.DUMMYFUNCTION("""COMPUTED_VALUE"""),0.6)</f>
        <v>0.6</v>
      </c>
    </row>
    <row r="1783">
      <c r="K1783" s="4" t="str">
        <f>IFERROR(__xludf.DUMMYFUNCTION("""COMPUTED_VALUE"""),"MAFIA BURGUERS - CONTA PAI")</f>
        <v>MAFIA BURGUERS - CONTA PAI</v>
      </c>
      <c r="L1783" s="32">
        <f>IFERROR(__xludf.DUMMYFUNCTION("""COMPUTED_VALUE"""),5.0)</f>
        <v>5</v>
      </c>
      <c r="M1783" s="4" t="str">
        <f>IFERROR(__xludf.DUMMYFUNCTION("""COMPUTED_VALUE"""),"null")</f>
        <v>null</v>
      </c>
      <c r="N1783" s="33">
        <f>IFERROR(__xludf.DUMMYFUNCTION("""COMPUTED_VALUE"""),1.0)</f>
        <v>1</v>
      </c>
      <c r="O1783" s="4" t="str">
        <f>IFERROR(__xludf.DUMMYFUNCTION("""COMPUTED_VALUE"""),"null")</f>
        <v>null</v>
      </c>
      <c r="P1783" s="33">
        <f>IFERROR(__xludf.DUMMYFUNCTION("""COMPUTED_VALUE"""),1.0)</f>
        <v>1</v>
      </c>
      <c r="Q1783" s="4" t="str">
        <f>IFERROR(__xludf.DUMMYFUNCTION("""COMPUTED_VALUE"""),"null")</f>
        <v>null</v>
      </c>
      <c r="R1783" s="33">
        <f>IFERROR(__xludf.DUMMYFUNCTION("""COMPUTED_VALUE"""),1.0)</f>
        <v>1</v>
      </c>
      <c r="S1783" s="4" t="str">
        <f>IFERROR(__xludf.DUMMYFUNCTION("""COMPUTED_VALUE"""),"Saipos Serviços De Software")</f>
        <v>Saipos Serviços De Software</v>
      </c>
      <c r="T1783" s="33">
        <f>IFERROR(__xludf.DUMMYFUNCTION("""COMPUTED_VALUE"""),1.0)</f>
        <v>1</v>
      </c>
      <c r="U1783" s="4" t="str">
        <f>IFERROR(__xludf.DUMMYFUNCTION("""COMPUTED_VALUE"""),"null")</f>
        <v>null</v>
      </c>
      <c r="V1783" s="33">
        <f>IFERROR(__xludf.DUMMYFUNCTION("""COMPUTED_VALUE"""),1.0)</f>
        <v>1</v>
      </c>
      <c r="W1783" s="4" t="str">
        <f>IFERROR(__xludf.DUMMYFUNCTION("""COMPUTED_VALUE"""),"null")</f>
        <v>null</v>
      </c>
      <c r="X1783" s="33">
        <f>IFERROR(__xludf.DUMMYFUNCTION("""COMPUTED_VALUE"""),1.0)</f>
        <v>1</v>
      </c>
    </row>
    <row r="1784">
      <c r="K1784" s="4" t="str">
        <f>IFERROR(__xludf.DUMMYFUNCTION("""COMPUTED_VALUE"""),"MAGURO SUSHI - L")</f>
        <v>MAGURO SUSHI - L</v>
      </c>
      <c r="L1784" s="32">
        <f>IFERROR(__xludf.DUMMYFUNCTION("""COMPUTED_VALUE"""),5.0)</f>
        <v>5</v>
      </c>
      <c r="M1784" s="4" t="str">
        <f>IFERROR(__xludf.DUMMYFUNCTION("""COMPUTED_VALUE"""),"Saipos Serviços De Software")</f>
        <v>Saipos Serviços De Software</v>
      </c>
      <c r="N1784" s="33">
        <f>IFERROR(__xludf.DUMMYFUNCTION("""COMPUTED_VALUE"""),1.0)</f>
        <v>1</v>
      </c>
      <c r="O1784" s="4" t="str">
        <f>IFERROR(__xludf.DUMMYFUNCTION("""COMPUTED_VALUE"""),"Saipos Serviços De Software")</f>
        <v>Saipos Serviços De Software</v>
      </c>
      <c r="P1784" s="33">
        <f>IFERROR(__xludf.DUMMYFUNCTION("""COMPUTED_VALUE"""),1.0)</f>
        <v>1</v>
      </c>
      <c r="Q1784" s="4" t="str">
        <f>IFERROR(__xludf.DUMMYFUNCTION("""COMPUTED_VALUE"""),"Saipos Serviços De Software")</f>
        <v>Saipos Serviços De Software</v>
      </c>
      <c r="R1784" s="33">
        <f>IFERROR(__xludf.DUMMYFUNCTION("""COMPUTED_VALUE"""),1.0)</f>
        <v>1</v>
      </c>
      <c r="S1784" s="4" t="str">
        <f>IFERROR(__xludf.DUMMYFUNCTION("""COMPUTED_VALUE"""),"Saipos Serviços De Software")</f>
        <v>Saipos Serviços De Software</v>
      </c>
      <c r="T1784" s="33">
        <f>IFERROR(__xludf.DUMMYFUNCTION("""COMPUTED_VALUE"""),1.0)</f>
        <v>1</v>
      </c>
      <c r="U1784" s="4" t="str">
        <f>IFERROR(__xludf.DUMMYFUNCTION("""COMPUTED_VALUE"""),"Saipos Serviços De Software")</f>
        <v>Saipos Serviços De Software</v>
      </c>
      <c r="V1784" s="33">
        <f>IFERROR(__xludf.DUMMYFUNCTION("""COMPUTED_VALUE"""),1.0)</f>
        <v>1</v>
      </c>
      <c r="W1784" s="4" t="str">
        <f>IFERROR(__xludf.DUMMYFUNCTION("""COMPUTED_VALUE"""),"Saipos Serviços De Software")</f>
        <v>Saipos Serviços De Software</v>
      </c>
      <c r="X1784" s="33">
        <f>IFERROR(__xludf.DUMMYFUNCTION("""COMPUTED_VALUE"""),1.0)</f>
        <v>1</v>
      </c>
    </row>
    <row r="1785">
      <c r="K1785" s="4" t="str">
        <f>IFERROR(__xludf.DUMMYFUNCTION("""COMPUTED_VALUE"""),"MAHALO POKE - CONTA MARCA")</f>
        <v>MAHALO POKE - CONTA MARCA</v>
      </c>
      <c r="L1785" s="32">
        <f>IFERROR(__xludf.DUMMYFUNCTION("""COMPUTED_VALUE"""),5.0)</f>
        <v>5</v>
      </c>
      <c r="M1785" s="4" t="str">
        <f>IFERROR(__xludf.DUMMYFUNCTION("""COMPUTED_VALUE"""),"Stone Co.")</f>
        <v>Stone Co.</v>
      </c>
      <c r="N1785" s="33">
        <f>IFERROR(__xludf.DUMMYFUNCTION("""COMPUTED_VALUE"""),0.8)</f>
        <v>0.8</v>
      </c>
      <c r="O1785" s="4" t="str">
        <f>IFERROR(__xludf.DUMMYFUNCTION("""COMPUTED_VALUE"""),"Stone Co.")</f>
        <v>Stone Co.</v>
      </c>
      <c r="P1785" s="33">
        <f>IFERROR(__xludf.DUMMYFUNCTION("""COMPUTED_VALUE"""),0.6)</f>
        <v>0.6</v>
      </c>
      <c r="Q1785" s="4" t="str">
        <f>IFERROR(__xludf.DUMMYFUNCTION("""COMPUTED_VALUE"""),"Stone Co.")</f>
        <v>Stone Co.</v>
      </c>
      <c r="R1785" s="33">
        <f>IFERROR(__xludf.DUMMYFUNCTION("""COMPUTED_VALUE"""),0.6)</f>
        <v>0.6</v>
      </c>
      <c r="S1785" s="4" t="str">
        <f>IFERROR(__xludf.DUMMYFUNCTION("""COMPUTED_VALUE"""),"Stone Co.")</f>
        <v>Stone Co.</v>
      </c>
      <c r="T1785" s="33">
        <f>IFERROR(__xludf.DUMMYFUNCTION("""COMPUTED_VALUE"""),0.6)</f>
        <v>0.6</v>
      </c>
      <c r="U1785" s="4" t="str">
        <f>IFERROR(__xludf.DUMMYFUNCTION("""COMPUTED_VALUE"""),"Stone Co.")</f>
        <v>Stone Co.</v>
      </c>
      <c r="V1785" s="33">
        <f>IFERROR(__xludf.DUMMYFUNCTION("""COMPUTED_VALUE"""),0.6)</f>
        <v>0.6</v>
      </c>
      <c r="W1785" s="4" t="str">
        <f>IFERROR(__xludf.DUMMYFUNCTION("""COMPUTED_VALUE"""),"Stone Co.")</f>
        <v>Stone Co.</v>
      </c>
      <c r="X1785" s="33">
        <f>IFERROR(__xludf.DUMMYFUNCTION("""COMPUTED_VALUE"""),0.4)</f>
        <v>0.4</v>
      </c>
    </row>
    <row r="1786">
      <c r="K1786" s="4" t="str">
        <f>IFERROR(__xludf.DUMMYFUNCTION("""COMPUTED_VALUE"""),"MAIAS PIZZARIA - CONTA PAI")</f>
        <v>MAIAS PIZZARIA - CONTA PAI</v>
      </c>
      <c r="L1786" s="32">
        <f>IFERROR(__xludf.DUMMYFUNCTION("""COMPUTED_VALUE"""),5.0)</f>
        <v>5</v>
      </c>
      <c r="M1786" s="4" t="str">
        <f>IFERROR(__xludf.DUMMYFUNCTION("""COMPUTED_VALUE"""),"Cardápio Web")</f>
        <v>Cardápio Web</v>
      </c>
      <c r="N1786" s="33">
        <f>IFERROR(__xludf.DUMMYFUNCTION("""COMPUTED_VALUE"""),0.8)</f>
        <v>0.8</v>
      </c>
      <c r="O1786" s="4" t="str">
        <f>IFERROR(__xludf.DUMMYFUNCTION("""COMPUTED_VALUE"""),"Cardápio Web")</f>
        <v>Cardápio Web</v>
      </c>
      <c r="P1786" s="33">
        <f>IFERROR(__xludf.DUMMYFUNCTION("""COMPUTED_VALUE"""),0.6)</f>
        <v>0.6</v>
      </c>
      <c r="Q1786" s="4" t="str">
        <f>IFERROR(__xludf.DUMMYFUNCTION("""COMPUTED_VALUE"""),"Cardápio Web")</f>
        <v>Cardápio Web</v>
      </c>
      <c r="R1786" s="33">
        <f>IFERROR(__xludf.DUMMYFUNCTION("""COMPUTED_VALUE"""),0.6)</f>
        <v>0.6</v>
      </c>
      <c r="S1786" s="4" t="str">
        <f>IFERROR(__xludf.DUMMYFUNCTION("""COMPUTED_VALUE"""),"Cardápio Web")</f>
        <v>Cardápio Web</v>
      </c>
      <c r="T1786" s="33">
        <f>IFERROR(__xludf.DUMMYFUNCTION("""COMPUTED_VALUE"""),0.8)</f>
        <v>0.8</v>
      </c>
      <c r="U1786" s="4" t="str">
        <f>IFERROR(__xludf.DUMMYFUNCTION("""COMPUTED_VALUE"""),"Cardápio Web")</f>
        <v>Cardápio Web</v>
      </c>
      <c r="V1786" s="33">
        <f>IFERROR(__xludf.DUMMYFUNCTION("""COMPUTED_VALUE"""),0.8)</f>
        <v>0.8</v>
      </c>
      <c r="W1786" s="4" t="str">
        <f>IFERROR(__xludf.DUMMYFUNCTION("""COMPUTED_VALUE"""),"Cardápio Web")</f>
        <v>Cardápio Web</v>
      </c>
      <c r="X1786" s="33">
        <f>IFERROR(__xludf.DUMMYFUNCTION("""COMPUTED_VALUE"""),0.8)</f>
        <v>0.8</v>
      </c>
    </row>
    <row r="1787">
      <c r="K1787" s="4" t="str">
        <f>IFERROR(__xludf.DUMMYFUNCTION("""COMPUTED_VALUE"""),"MALICE")</f>
        <v>MALICE</v>
      </c>
      <c r="L1787" s="32">
        <f>IFERROR(__xludf.DUMMYFUNCTION("""COMPUTED_VALUE"""),5.0)</f>
        <v>5</v>
      </c>
      <c r="M1787" s="4" t="str">
        <f>IFERROR(__xludf.DUMMYFUNCTION("""COMPUTED_VALUE"""),"Saipos Serviços De Software")</f>
        <v>Saipos Serviços De Software</v>
      </c>
      <c r="N1787" s="33">
        <f>IFERROR(__xludf.DUMMYFUNCTION("""COMPUTED_VALUE"""),1.0)</f>
        <v>1</v>
      </c>
      <c r="O1787" s="4" t="str">
        <f>IFERROR(__xludf.DUMMYFUNCTION("""COMPUTED_VALUE"""),"Saipos Serviços De Software")</f>
        <v>Saipos Serviços De Software</v>
      </c>
      <c r="P1787" s="33">
        <f>IFERROR(__xludf.DUMMYFUNCTION("""COMPUTED_VALUE"""),1.0)</f>
        <v>1</v>
      </c>
      <c r="Q1787" s="4" t="str">
        <f>IFERROR(__xludf.DUMMYFUNCTION("""COMPUTED_VALUE"""),"Saipos Serviços De Software")</f>
        <v>Saipos Serviços De Software</v>
      </c>
      <c r="R1787" s="33">
        <f>IFERROR(__xludf.DUMMYFUNCTION("""COMPUTED_VALUE"""),1.0)</f>
        <v>1</v>
      </c>
      <c r="S1787" s="4" t="str">
        <f>IFERROR(__xludf.DUMMYFUNCTION("""COMPUTED_VALUE"""),"Saipos Serviços De Software")</f>
        <v>Saipos Serviços De Software</v>
      </c>
      <c r="T1787" s="33">
        <f>IFERROR(__xludf.DUMMYFUNCTION("""COMPUTED_VALUE"""),1.0)</f>
        <v>1</v>
      </c>
      <c r="U1787" s="4" t="str">
        <f>IFERROR(__xludf.DUMMYFUNCTION("""COMPUTED_VALUE"""),"Saipos Serviços De Software")</f>
        <v>Saipos Serviços De Software</v>
      </c>
      <c r="V1787" s="33">
        <f>IFERROR(__xludf.DUMMYFUNCTION("""COMPUTED_VALUE"""),1.0)</f>
        <v>1</v>
      </c>
      <c r="W1787" s="4" t="str">
        <f>IFERROR(__xludf.DUMMYFUNCTION("""COMPUTED_VALUE"""),"Saipos Serviços De Software")</f>
        <v>Saipos Serviços De Software</v>
      </c>
      <c r="X1787" s="33">
        <f>IFERROR(__xludf.DUMMYFUNCTION("""COMPUTED_VALUE"""),1.0)</f>
        <v>1</v>
      </c>
    </row>
    <row r="1788">
      <c r="K1788" s="4" t="str">
        <f>IFERROR(__xludf.DUMMYFUNCTION("""COMPUTED_VALUE"""),"MALZ CRAFT BURGUERS")</f>
        <v>MALZ CRAFT BURGUERS</v>
      </c>
      <c r="L1788" s="32">
        <f>IFERROR(__xludf.DUMMYFUNCTION("""COMPUTED_VALUE"""),5.0)</f>
        <v>5</v>
      </c>
      <c r="M1788" s="4" t="str">
        <f>IFERROR(__xludf.DUMMYFUNCTION("""COMPUTED_VALUE"""),"Eclética Tecnologia")</f>
        <v>Eclética Tecnologia</v>
      </c>
      <c r="N1788" s="33">
        <f>IFERROR(__xludf.DUMMYFUNCTION("""COMPUTED_VALUE"""),0.6)</f>
        <v>0.6</v>
      </c>
      <c r="O1788" s="4" t="str">
        <f>IFERROR(__xludf.DUMMYFUNCTION("""COMPUTED_VALUE"""),"Saipos Serviços De Software")</f>
        <v>Saipos Serviços De Software</v>
      </c>
      <c r="P1788" s="33">
        <f>IFERROR(__xludf.DUMMYFUNCTION("""COMPUTED_VALUE"""),0.6)</f>
        <v>0.6</v>
      </c>
      <c r="Q1788" s="4" t="str">
        <f>IFERROR(__xludf.DUMMYFUNCTION("""COMPUTED_VALUE"""),"Saipos Serviços De Software")</f>
        <v>Saipos Serviços De Software</v>
      </c>
      <c r="R1788" s="33">
        <f>IFERROR(__xludf.DUMMYFUNCTION("""COMPUTED_VALUE"""),0.6)</f>
        <v>0.6</v>
      </c>
      <c r="S1788" s="4" t="str">
        <f>IFERROR(__xludf.DUMMYFUNCTION("""COMPUTED_VALUE"""),"Saipos Serviços De Software")</f>
        <v>Saipos Serviços De Software</v>
      </c>
      <c r="T1788" s="33">
        <f>IFERROR(__xludf.DUMMYFUNCTION("""COMPUTED_VALUE"""),0.6)</f>
        <v>0.6</v>
      </c>
      <c r="U1788" s="4" t="str">
        <f>IFERROR(__xludf.DUMMYFUNCTION("""COMPUTED_VALUE"""),"Saipos Serviços De Software")</f>
        <v>Saipos Serviços De Software</v>
      </c>
      <c r="V1788" s="33">
        <f>IFERROR(__xludf.DUMMYFUNCTION("""COMPUTED_VALUE"""),0.8)</f>
        <v>0.8</v>
      </c>
      <c r="W1788" s="4" t="str">
        <f>IFERROR(__xludf.DUMMYFUNCTION("""COMPUTED_VALUE"""),"Saipos Serviços De Software")</f>
        <v>Saipos Serviços De Software</v>
      </c>
      <c r="X1788" s="33">
        <f>IFERROR(__xludf.DUMMYFUNCTION("""COMPUTED_VALUE"""),0.8)</f>
        <v>0.8</v>
      </c>
    </row>
    <row r="1789">
      <c r="K1789" s="4" t="str">
        <f>IFERROR(__xludf.DUMMYFUNCTION("""COMPUTED_VALUE"""),"MAMBEMBE")</f>
        <v>MAMBEMBE</v>
      </c>
      <c r="L1789" s="32">
        <f>IFERROR(__xludf.DUMMYFUNCTION("""COMPUTED_VALUE"""),5.0)</f>
        <v>5</v>
      </c>
      <c r="M1789" s="4" t="str">
        <f>IFERROR(__xludf.DUMMYFUNCTION("""COMPUTED_VALUE"""),"Cloudfy")</f>
        <v>Cloudfy</v>
      </c>
      <c r="N1789" s="33">
        <f>IFERROR(__xludf.DUMMYFUNCTION("""COMPUTED_VALUE"""),1.0)</f>
        <v>1</v>
      </c>
      <c r="O1789" s="4" t="str">
        <f>IFERROR(__xludf.DUMMYFUNCTION("""COMPUTED_VALUE"""),"Cloudfy")</f>
        <v>Cloudfy</v>
      </c>
      <c r="P1789" s="33">
        <f>IFERROR(__xludf.DUMMYFUNCTION("""COMPUTED_VALUE"""),0.8)</f>
        <v>0.8</v>
      </c>
      <c r="Q1789" s="4" t="str">
        <f>IFERROR(__xludf.DUMMYFUNCTION("""COMPUTED_VALUE"""),"Cloudfy")</f>
        <v>Cloudfy</v>
      </c>
      <c r="R1789" s="33">
        <f>IFERROR(__xludf.DUMMYFUNCTION("""COMPUTED_VALUE"""),1.0)</f>
        <v>1</v>
      </c>
      <c r="S1789" s="4" t="str">
        <f>IFERROR(__xludf.DUMMYFUNCTION("""COMPUTED_VALUE"""),"Cloudfy")</f>
        <v>Cloudfy</v>
      </c>
      <c r="T1789" s="33">
        <f>IFERROR(__xludf.DUMMYFUNCTION("""COMPUTED_VALUE"""),1.0)</f>
        <v>1</v>
      </c>
      <c r="U1789" s="4" t="str">
        <f>IFERROR(__xludf.DUMMYFUNCTION("""COMPUTED_VALUE"""),"Cloudfy")</f>
        <v>Cloudfy</v>
      </c>
      <c r="V1789" s="33">
        <f>IFERROR(__xludf.DUMMYFUNCTION("""COMPUTED_VALUE"""),0.8)</f>
        <v>0.8</v>
      </c>
      <c r="W1789" s="4" t="str">
        <f>IFERROR(__xludf.DUMMYFUNCTION("""COMPUTED_VALUE"""),"Cloudfy")</f>
        <v>Cloudfy</v>
      </c>
      <c r="X1789" s="33">
        <f>IFERROR(__xludf.DUMMYFUNCTION("""COMPUTED_VALUE"""),1.0)</f>
        <v>1</v>
      </c>
    </row>
    <row r="1790">
      <c r="K1790" s="4" t="str">
        <f>IFERROR(__xludf.DUMMYFUNCTION("""COMPUTED_VALUE"""),"MANDA BRASA TERESINA")</f>
        <v>MANDA BRASA TERESINA</v>
      </c>
      <c r="L1790" s="32">
        <f>IFERROR(__xludf.DUMMYFUNCTION("""COMPUTED_VALUE"""),5.0)</f>
        <v>5</v>
      </c>
      <c r="M1790" s="4" t="str">
        <f>IFERROR(__xludf.DUMMYFUNCTION("""COMPUTED_VALUE"""),"Saipos Serviços De Software")</f>
        <v>Saipos Serviços De Software</v>
      </c>
      <c r="N1790" s="33">
        <f>IFERROR(__xludf.DUMMYFUNCTION("""COMPUTED_VALUE"""),0.6)</f>
        <v>0.6</v>
      </c>
      <c r="O1790" s="4" t="str">
        <f>IFERROR(__xludf.DUMMYFUNCTION("""COMPUTED_VALUE"""),"Saipos Serviços De Software")</f>
        <v>Saipos Serviços De Software</v>
      </c>
      <c r="P1790" s="33">
        <f>IFERROR(__xludf.DUMMYFUNCTION("""COMPUTED_VALUE"""),0.8)</f>
        <v>0.8</v>
      </c>
      <c r="Q1790" s="4" t="str">
        <f>IFERROR(__xludf.DUMMYFUNCTION("""COMPUTED_VALUE"""),"Saipos Serviços De Software")</f>
        <v>Saipos Serviços De Software</v>
      </c>
      <c r="R1790" s="33">
        <f>IFERROR(__xludf.DUMMYFUNCTION("""COMPUTED_VALUE"""),0.8)</f>
        <v>0.8</v>
      </c>
      <c r="S1790" s="4" t="str">
        <f>IFERROR(__xludf.DUMMYFUNCTION("""COMPUTED_VALUE"""),"Saipos Serviços De Software")</f>
        <v>Saipos Serviços De Software</v>
      </c>
      <c r="T1790" s="33">
        <f>IFERROR(__xludf.DUMMYFUNCTION("""COMPUTED_VALUE"""),0.8)</f>
        <v>0.8</v>
      </c>
      <c r="U1790" s="4" t="str">
        <f>IFERROR(__xludf.DUMMYFUNCTION("""COMPUTED_VALUE"""),"Saipos Serviços De Software")</f>
        <v>Saipos Serviços De Software</v>
      </c>
      <c r="V1790" s="33">
        <f>IFERROR(__xludf.DUMMYFUNCTION("""COMPUTED_VALUE"""),0.8)</f>
        <v>0.8</v>
      </c>
      <c r="W1790" s="4" t="str">
        <f>IFERROR(__xludf.DUMMYFUNCTION("""COMPUTED_VALUE"""),"Saipos Serviços De Software")</f>
        <v>Saipos Serviços De Software</v>
      </c>
      <c r="X1790" s="33">
        <f>IFERROR(__xludf.DUMMYFUNCTION("""COMPUTED_VALUE"""),1.0)</f>
        <v>1</v>
      </c>
    </row>
    <row r="1791">
      <c r="K1791" s="4" t="str">
        <f>IFERROR(__xludf.DUMMYFUNCTION("""COMPUTED_VALUE"""),"MANIOCA POR HELENA RIZZO")</f>
        <v>MANIOCA POR HELENA RIZZO</v>
      </c>
      <c r="L1791" s="32">
        <f>IFERROR(__xludf.DUMMYFUNCTION("""COMPUTED_VALUE"""),5.0)</f>
        <v>5</v>
      </c>
      <c r="M1791" s="4" t="str">
        <f>IFERROR(__xludf.DUMMYFUNCTION("""COMPUTED_VALUE"""),"Oz Technology")</f>
        <v>Oz Technology</v>
      </c>
      <c r="N1791" s="33">
        <f>IFERROR(__xludf.DUMMYFUNCTION("""COMPUTED_VALUE"""),0.8)</f>
        <v>0.8</v>
      </c>
      <c r="O1791" s="4" t="str">
        <f>IFERROR(__xludf.DUMMYFUNCTION("""COMPUTED_VALUE"""),"Oz Technology")</f>
        <v>Oz Technology</v>
      </c>
      <c r="P1791" s="33">
        <f>IFERROR(__xludf.DUMMYFUNCTION("""COMPUTED_VALUE"""),0.6)</f>
        <v>0.6</v>
      </c>
      <c r="Q1791" s="4" t="str">
        <f>IFERROR(__xludf.DUMMYFUNCTION("""COMPUTED_VALUE"""),"E-deploy Retail")</f>
        <v>E-deploy Retail</v>
      </c>
      <c r="R1791" s="33">
        <f>IFERROR(__xludf.DUMMYFUNCTION("""COMPUTED_VALUE"""),0.8)</f>
        <v>0.8</v>
      </c>
      <c r="S1791" s="4" t="str">
        <f>IFERROR(__xludf.DUMMYFUNCTION("""COMPUTED_VALUE"""),"E-deploy Retail")</f>
        <v>E-deploy Retail</v>
      </c>
      <c r="T1791" s="33">
        <f>IFERROR(__xludf.DUMMYFUNCTION("""COMPUTED_VALUE"""),0.8)</f>
        <v>0.8</v>
      </c>
      <c r="U1791" s="4" t="str">
        <f>IFERROR(__xludf.DUMMYFUNCTION("""COMPUTED_VALUE"""),"E-deploy Retail")</f>
        <v>E-deploy Retail</v>
      </c>
      <c r="V1791" s="33">
        <f>IFERROR(__xludf.DUMMYFUNCTION("""COMPUTED_VALUE"""),0.8)</f>
        <v>0.8</v>
      </c>
      <c r="W1791" s="4" t="str">
        <f>IFERROR(__xludf.DUMMYFUNCTION("""COMPUTED_VALUE"""),"E-deploy Retail")</f>
        <v>E-deploy Retail</v>
      </c>
      <c r="X1791" s="33">
        <f>IFERROR(__xludf.DUMMYFUNCTION("""COMPUTED_VALUE"""),0.8)</f>
        <v>0.8</v>
      </c>
    </row>
    <row r="1792">
      <c r="K1792" s="4" t="str">
        <f>IFERROR(__xludf.DUMMYFUNCTION("""COMPUTED_VALUE"""),"MARANATHA AGROPECUARIA - CONTA PAI")</f>
        <v>MARANATHA AGROPECUARIA - CONTA PAI</v>
      </c>
      <c r="L1792" s="32">
        <f>IFERROR(__xludf.DUMMYFUNCTION("""COMPUTED_VALUE"""),5.0)</f>
        <v>5</v>
      </c>
      <c r="M1792" s="4" t="str">
        <f>IFERROR(__xludf.DUMMYFUNCTION("""COMPUTED_VALUE"""),"null")</f>
        <v>null</v>
      </c>
      <c r="N1792" s="33">
        <f>IFERROR(__xludf.DUMMYFUNCTION("""COMPUTED_VALUE"""),1.0)</f>
        <v>1</v>
      </c>
      <c r="O1792" s="4" t="str">
        <f>IFERROR(__xludf.DUMMYFUNCTION("""COMPUTED_VALUE"""),"null")</f>
        <v>null</v>
      </c>
      <c r="P1792" s="33">
        <f>IFERROR(__xludf.DUMMYFUNCTION("""COMPUTED_VALUE"""),0.6)</f>
        <v>0.6</v>
      </c>
      <c r="Q1792" s="4" t="str">
        <f>IFERROR(__xludf.DUMMYFUNCTION("""COMPUTED_VALUE"""),"N/A (Not found)")</f>
        <v>N/A (Not found)</v>
      </c>
      <c r="R1792" s="33">
        <f>IFERROR(__xludf.DUMMYFUNCTION("""COMPUTED_VALUE"""),1.0)</f>
        <v>1</v>
      </c>
      <c r="S1792" s="4" t="str">
        <f>IFERROR(__xludf.DUMMYFUNCTION("""COMPUTED_VALUE"""),"N/A (Not found)")</f>
        <v>N/A (Not found)</v>
      </c>
      <c r="T1792" s="33">
        <f>IFERROR(__xludf.DUMMYFUNCTION("""COMPUTED_VALUE"""),0.8)</f>
        <v>0.8</v>
      </c>
      <c r="U1792" s="4" t="str">
        <f>IFERROR(__xludf.DUMMYFUNCTION("""COMPUTED_VALUE"""),"N/A (Not found)")</f>
        <v>N/A (Not found)</v>
      </c>
      <c r="V1792" s="33">
        <f>IFERROR(__xludf.DUMMYFUNCTION("""COMPUTED_VALUE"""),1.0)</f>
        <v>1</v>
      </c>
      <c r="W1792" s="4" t="str">
        <f>IFERROR(__xludf.DUMMYFUNCTION("""COMPUTED_VALUE"""),"null")</f>
        <v>null</v>
      </c>
      <c r="X1792" s="33">
        <f>IFERROR(__xludf.DUMMYFUNCTION("""COMPUTED_VALUE"""),0.6)</f>
        <v>0.6</v>
      </c>
    </row>
    <row r="1793">
      <c r="K1793" s="4" t="str">
        <f>IFERROR(__xludf.DUMMYFUNCTION("""COMPUTED_VALUE"""),"GRUPO 99 DAMON KATSUO")</f>
        <v>GRUPO 99 DAMON KATSUO</v>
      </c>
      <c r="L1793" s="32">
        <f>IFERROR(__xludf.DUMMYFUNCTION("""COMPUTED_VALUE"""),5.0)</f>
        <v>5</v>
      </c>
      <c r="M1793" s="4" t="str">
        <f>IFERROR(__xludf.DUMMYFUNCTION("""COMPUTED_VALUE"""),"Eclética Tecnologia")</f>
        <v>Eclética Tecnologia</v>
      </c>
      <c r="N1793" s="33">
        <f>IFERROR(__xludf.DUMMYFUNCTION("""COMPUTED_VALUE"""),1.0)</f>
        <v>1</v>
      </c>
      <c r="O1793" s="4" t="str">
        <f>IFERROR(__xludf.DUMMYFUNCTION("""COMPUTED_VALUE"""),"Eclética Tecnologia")</f>
        <v>Eclética Tecnologia</v>
      </c>
      <c r="P1793" s="33">
        <f>IFERROR(__xludf.DUMMYFUNCTION("""COMPUTED_VALUE"""),0.8)</f>
        <v>0.8</v>
      </c>
      <c r="Q1793" s="4" t="str">
        <f>IFERROR(__xludf.DUMMYFUNCTION("""COMPUTED_VALUE"""),"Eclética Tecnologia")</f>
        <v>Eclética Tecnologia</v>
      </c>
      <c r="R1793" s="33">
        <f>IFERROR(__xludf.DUMMYFUNCTION("""COMPUTED_VALUE"""),0.6)</f>
        <v>0.6</v>
      </c>
      <c r="S1793" s="4" t="str">
        <f>IFERROR(__xludf.DUMMYFUNCTION("""COMPUTED_VALUE"""),"null")</f>
        <v>null</v>
      </c>
      <c r="T1793" s="33">
        <f>IFERROR(__xludf.DUMMYFUNCTION("""COMPUTED_VALUE"""),1.0)</f>
        <v>1</v>
      </c>
      <c r="U1793" s="4" t="str">
        <f>IFERROR(__xludf.DUMMYFUNCTION("""COMPUTED_VALUE"""),"null")</f>
        <v>null</v>
      </c>
      <c r="V1793" s="33">
        <f>IFERROR(__xludf.DUMMYFUNCTION("""COMPUTED_VALUE"""),1.0)</f>
        <v>1</v>
      </c>
      <c r="W1793" s="4" t="str">
        <f>IFERROR(__xludf.DUMMYFUNCTION("""COMPUTED_VALUE"""),"null")</f>
        <v>null</v>
      </c>
      <c r="X1793" s="33">
        <f>IFERROR(__xludf.DUMMYFUNCTION("""COMPUTED_VALUE"""),1.0)</f>
        <v>1</v>
      </c>
    </row>
    <row r="1794">
      <c r="K1794" s="4" t="str">
        <f>IFERROR(__xludf.DUMMYFUNCTION("""COMPUTED_VALUE"""),"MARCA CAMARGO FOOD")</f>
        <v>MARCA CAMARGO FOOD</v>
      </c>
      <c r="L1794" s="32">
        <f>IFERROR(__xludf.DUMMYFUNCTION("""COMPUTED_VALUE"""),5.0)</f>
        <v>5</v>
      </c>
      <c r="M1794" s="4" t="str">
        <f>IFERROR(__xludf.DUMMYFUNCTION("""COMPUTED_VALUE"""),"Menew - Linx")</f>
        <v>Menew - Linx</v>
      </c>
      <c r="N1794" s="33">
        <f>IFERROR(__xludf.DUMMYFUNCTION("""COMPUTED_VALUE"""),0.8)</f>
        <v>0.8</v>
      </c>
      <c r="O1794" s="4" t="str">
        <f>IFERROR(__xludf.DUMMYFUNCTION("""COMPUTED_VALUE"""),"Menew - Linx")</f>
        <v>Menew - Linx</v>
      </c>
      <c r="P1794" s="33">
        <f>IFERROR(__xludf.DUMMYFUNCTION("""COMPUTED_VALUE"""),0.8)</f>
        <v>0.8</v>
      </c>
      <c r="Q1794" s="4" t="str">
        <f>IFERROR(__xludf.DUMMYFUNCTION("""COMPUTED_VALUE"""),"Menew - Linx")</f>
        <v>Menew - Linx</v>
      </c>
      <c r="R1794" s="33">
        <f>IFERROR(__xludf.DUMMYFUNCTION("""COMPUTED_VALUE"""),0.8)</f>
        <v>0.8</v>
      </c>
      <c r="S1794" s="4" t="str">
        <f>IFERROR(__xludf.DUMMYFUNCTION("""COMPUTED_VALUE"""),"Menew - Linx")</f>
        <v>Menew - Linx</v>
      </c>
      <c r="T1794" s="33">
        <f>IFERROR(__xludf.DUMMYFUNCTION("""COMPUTED_VALUE"""),0.8)</f>
        <v>0.8</v>
      </c>
      <c r="U1794" s="4" t="str">
        <f>IFERROR(__xludf.DUMMYFUNCTION("""COMPUTED_VALUE"""),"Menew - Linx")</f>
        <v>Menew - Linx</v>
      </c>
      <c r="V1794" s="33">
        <f>IFERROR(__xludf.DUMMYFUNCTION("""COMPUTED_VALUE"""),0.8)</f>
        <v>0.8</v>
      </c>
      <c r="W1794" s="4" t="str">
        <f>IFERROR(__xludf.DUMMYFUNCTION("""COMPUTED_VALUE"""),"Menew - Linx")</f>
        <v>Menew - Linx</v>
      </c>
      <c r="X1794" s="33">
        <f>IFERROR(__xludf.DUMMYFUNCTION("""COMPUTED_VALUE"""),1.0)</f>
        <v>1</v>
      </c>
    </row>
    <row r="1795">
      <c r="K1795" s="4" t="str">
        <f>IFERROR(__xludf.DUMMYFUNCTION("""COMPUTED_VALUE"""),"MARIKOTA PIZZARIA")</f>
        <v>MARIKOTA PIZZARIA</v>
      </c>
      <c r="L1795" s="32">
        <f>IFERROR(__xludf.DUMMYFUNCTION("""COMPUTED_VALUE"""),5.0)</f>
        <v>5</v>
      </c>
      <c r="M1795" s="4" t="str">
        <f>IFERROR(__xludf.DUMMYFUNCTION("""COMPUTED_VALUE"""),"Saipos Serviços De Software")</f>
        <v>Saipos Serviços De Software</v>
      </c>
      <c r="N1795" s="33">
        <f>IFERROR(__xludf.DUMMYFUNCTION("""COMPUTED_VALUE"""),1.0)</f>
        <v>1</v>
      </c>
      <c r="O1795" s="4" t="str">
        <f>IFERROR(__xludf.DUMMYFUNCTION("""COMPUTED_VALUE"""),"Saipos Serviços De Software")</f>
        <v>Saipos Serviços De Software</v>
      </c>
      <c r="P1795" s="33">
        <f>IFERROR(__xludf.DUMMYFUNCTION("""COMPUTED_VALUE"""),1.0)</f>
        <v>1</v>
      </c>
      <c r="Q1795" s="4" t="str">
        <f>IFERROR(__xludf.DUMMYFUNCTION("""COMPUTED_VALUE"""),"Saipos Serviços De Software")</f>
        <v>Saipos Serviços De Software</v>
      </c>
      <c r="R1795" s="33">
        <f>IFERROR(__xludf.DUMMYFUNCTION("""COMPUTED_VALUE"""),0.8)</f>
        <v>0.8</v>
      </c>
      <c r="S1795" s="4" t="str">
        <f>IFERROR(__xludf.DUMMYFUNCTION("""COMPUTED_VALUE"""),"Saipos Serviços De Software")</f>
        <v>Saipos Serviços De Software</v>
      </c>
      <c r="T1795" s="33">
        <f>IFERROR(__xludf.DUMMYFUNCTION("""COMPUTED_VALUE"""),1.0)</f>
        <v>1</v>
      </c>
      <c r="U1795" s="4" t="str">
        <f>IFERROR(__xludf.DUMMYFUNCTION("""COMPUTED_VALUE"""),"Saipos Serviços De Software")</f>
        <v>Saipos Serviços De Software</v>
      </c>
      <c r="V1795" s="33">
        <f>IFERROR(__xludf.DUMMYFUNCTION("""COMPUTED_VALUE"""),1.0)</f>
        <v>1</v>
      </c>
      <c r="W1795" s="4" t="str">
        <f>IFERROR(__xludf.DUMMYFUNCTION("""COMPUTED_VALUE"""),"Saipos Serviços De Software")</f>
        <v>Saipos Serviços De Software</v>
      </c>
      <c r="X1795" s="33">
        <f>IFERROR(__xludf.DUMMYFUNCTION("""COMPUTED_VALUE"""),1.0)</f>
        <v>1</v>
      </c>
    </row>
    <row r="1796">
      <c r="K1796" s="4" t="str">
        <f>IFERROR(__xludf.DUMMYFUNCTION("""COMPUTED_VALUE"""),"MARMITA SAL E PIMENTA")</f>
        <v>MARMITA SAL E PIMENTA</v>
      </c>
      <c r="L1796" s="32">
        <f>IFERROR(__xludf.DUMMYFUNCTION("""COMPUTED_VALUE"""),5.0)</f>
        <v>5</v>
      </c>
      <c r="M1796" s="4" t="str">
        <f>IFERROR(__xludf.DUMMYFUNCTION("""COMPUTED_VALUE"""),"Saipos Serviços De Software")</f>
        <v>Saipos Serviços De Software</v>
      </c>
      <c r="N1796" s="33">
        <f>IFERROR(__xludf.DUMMYFUNCTION("""COMPUTED_VALUE"""),0.8)</f>
        <v>0.8</v>
      </c>
      <c r="O1796" s="4" t="str">
        <f>IFERROR(__xludf.DUMMYFUNCTION("""COMPUTED_VALUE"""),"Saipos Serviços De Software")</f>
        <v>Saipos Serviços De Software</v>
      </c>
      <c r="P1796" s="33">
        <f>IFERROR(__xludf.DUMMYFUNCTION("""COMPUTED_VALUE"""),0.8)</f>
        <v>0.8</v>
      </c>
      <c r="Q1796" s="4" t="str">
        <f>IFERROR(__xludf.DUMMYFUNCTION("""COMPUTED_VALUE"""),"Saipos Serviços De Software")</f>
        <v>Saipos Serviços De Software</v>
      </c>
      <c r="R1796" s="33">
        <f>IFERROR(__xludf.DUMMYFUNCTION("""COMPUTED_VALUE"""),1.0)</f>
        <v>1</v>
      </c>
      <c r="S1796" s="4" t="str">
        <f>IFERROR(__xludf.DUMMYFUNCTION("""COMPUTED_VALUE"""),"Saipos Serviços De Software")</f>
        <v>Saipos Serviços De Software</v>
      </c>
      <c r="T1796" s="33">
        <f>IFERROR(__xludf.DUMMYFUNCTION("""COMPUTED_VALUE"""),0.8)</f>
        <v>0.8</v>
      </c>
      <c r="U1796" s="4" t="str">
        <f>IFERROR(__xludf.DUMMYFUNCTION("""COMPUTED_VALUE"""),"Saipos Serviços De Software")</f>
        <v>Saipos Serviços De Software</v>
      </c>
      <c r="V1796" s="33">
        <f>IFERROR(__xludf.DUMMYFUNCTION("""COMPUTED_VALUE"""),1.0)</f>
        <v>1</v>
      </c>
      <c r="W1796" s="4" t="str">
        <f>IFERROR(__xludf.DUMMYFUNCTION("""COMPUTED_VALUE"""),"Saipos Serviços De Software")</f>
        <v>Saipos Serviços De Software</v>
      </c>
      <c r="X1796" s="33">
        <f>IFERROR(__xludf.DUMMYFUNCTION("""COMPUTED_VALUE"""),0.8)</f>
        <v>0.8</v>
      </c>
    </row>
    <row r="1797">
      <c r="K1797" s="4" t="str">
        <f>IFERROR(__xludf.DUMMYFUNCTION("""COMPUTED_VALUE"""),"MATA NATIVA")</f>
        <v>MATA NATIVA</v>
      </c>
      <c r="L1797" s="32">
        <f>IFERROR(__xludf.DUMMYFUNCTION("""COMPUTED_VALUE"""),5.0)</f>
        <v>5</v>
      </c>
      <c r="M1797" s="4" t="str">
        <f>IFERROR(__xludf.DUMMYFUNCTION("""COMPUTED_VALUE"""),"Dalcatech Automacao E Desenvolvimento De Software Ltda")</f>
        <v>Dalcatech Automacao E Desenvolvimento De Software Ltda</v>
      </c>
      <c r="N1797" s="33">
        <f>IFERROR(__xludf.DUMMYFUNCTION("""COMPUTED_VALUE"""),0.8)</f>
        <v>0.8</v>
      </c>
      <c r="O1797" s="4" t="str">
        <f>IFERROR(__xludf.DUMMYFUNCTION("""COMPUTED_VALUE"""),"Dalcatech Automacao E Desenvolvimento De Software Ltda")</f>
        <v>Dalcatech Automacao E Desenvolvimento De Software Ltda</v>
      </c>
      <c r="P1797" s="33">
        <f>IFERROR(__xludf.DUMMYFUNCTION("""COMPUTED_VALUE"""),0.8)</f>
        <v>0.8</v>
      </c>
      <c r="Q1797" s="4" t="str">
        <f>IFERROR(__xludf.DUMMYFUNCTION("""COMPUTED_VALUE"""),"Dalcatech Automacao E Desenvolvimento De Software Ltda")</f>
        <v>Dalcatech Automacao E Desenvolvimento De Software Ltda</v>
      </c>
      <c r="R1797" s="33">
        <f>IFERROR(__xludf.DUMMYFUNCTION("""COMPUTED_VALUE"""),1.0)</f>
        <v>1</v>
      </c>
      <c r="S1797" s="4" t="str">
        <f>IFERROR(__xludf.DUMMYFUNCTION("""COMPUTED_VALUE"""),"Dalcatech Automacao E Desenvolvimento De Software Ltda")</f>
        <v>Dalcatech Automacao E Desenvolvimento De Software Ltda</v>
      </c>
      <c r="T1797" s="33">
        <f>IFERROR(__xludf.DUMMYFUNCTION("""COMPUTED_VALUE"""),1.0)</f>
        <v>1</v>
      </c>
      <c r="U1797" s="4" t="str">
        <f>IFERROR(__xludf.DUMMYFUNCTION("""COMPUTED_VALUE"""),"Dalcatech Automacao E Desenvolvimento De Software Ltda")</f>
        <v>Dalcatech Automacao E Desenvolvimento De Software Ltda</v>
      </c>
      <c r="V1797" s="33">
        <f>IFERROR(__xludf.DUMMYFUNCTION("""COMPUTED_VALUE"""),1.0)</f>
        <v>1</v>
      </c>
      <c r="W1797" s="4" t="str">
        <f>IFERROR(__xludf.DUMMYFUNCTION("""COMPUTED_VALUE"""),"Dalcatech Automacao E Desenvolvimento De Software Ltda")</f>
        <v>Dalcatech Automacao E Desenvolvimento De Software Ltda</v>
      </c>
      <c r="X1797" s="33">
        <f>IFERROR(__xludf.DUMMYFUNCTION("""COMPUTED_VALUE"""),1.0)</f>
        <v>1</v>
      </c>
    </row>
    <row r="1798">
      <c r="K1798" s="4" t="str">
        <f>IFERROR(__xludf.DUMMYFUNCTION("""COMPUTED_VALUE"""),"MATCH PIZZA CONTA MARCA")</f>
        <v>MATCH PIZZA CONTA MARCA</v>
      </c>
      <c r="L1798" s="32">
        <f>IFERROR(__xludf.DUMMYFUNCTION("""COMPUTED_VALUE"""),5.0)</f>
        <v>5</v>
      </c>
      <c r="M1798" s="4" t="str">
        <f>IFERROR(__xludf.DUMMYFUNCTION("""COMPUTED_VALUE"""),"Saipos Serviços De Software")</f>
        <v>Saipos Serviços De Software</v>
      </c>
      <c r="N1798" s="33">
        <f>IFERROR(__xludf.DUMMYFUNCTION("""COMPUTED_VALUE"""),1.0)</f>
        <v>1</v>
      </c>
      <c r="O1798" s="4" t="str">
        <f>IFERROR(__xludf.DUMMYFUNCTION("""COMPUTED_VALUE"""),"Saipos Serviços De Software")</f>
        <v>Saipos Serviços De Software</v>
      </c>
      <c r="P1798" s="33">
        <f>IFERROR(__xludf.DUMMYFUNCTION("""COMPUTED_VALUE"""),0.8)</f>
        <v>0.8</v>
      </c>
      <c r="Q1798" s="4" t="str">
        <f>IFERROR(__xludf.DUMMYFUNCTION("""COMPUTED_VALUE"""),"Saipos Serviços De Software")</f>
        <v>Saipos Serviços De Software</v>
      </c>
      <c r="R1798" s="33">
        <f>IFERROR(__xludf.DUMMYFUNCTION("""COMPUTED_VALUE"""),0.6)</f>
        <v>0.6</v>
      </c>
      <c r="S1798" s="4" t="str">
        <f>IFERROR(__xludf.DUMMYFUNCTION("""COMPUTED_VALUE"""),"null")</f>
        <v>null</v>
      </c>
      <c r="T1798" s="33">
        <f>IFERROR(__xludf.DUMMYFUNCTION("""COMPUTED_VALUE"""),0.8)</f>
        <v>0.8</v>
      </c>
      <c r="U1798" s="4" t="str">
        <f>IFERROR(__xludf.DUMMYFUNCTION("""COMPUTED_VALUE"""),"null")</f>
        <v>null</v>
      </c>
      <c r="V1798" s="33">
        <f>IFERROR(__xludf.DUMMYFUNCTION("""COMPUTED_VALUE"""),0.8)</f>
        <v>0.8</v>
      </c>
      <c r="W1798" s="4" t="str">
        <f>IFERROR(__xludf.DUMMYFUNCTION("""COMPUTED_VALUE"""),"null")</f>
        <v>null</v>
      </c>
      <c r="X1798" s="33">
        <f>IFERROR(__xludf.DUMMYFUNCTION("""COMPUTED_VALUE"""),0.8)</f>
        <v>0.8</v>
      </c>
    </row>
    <row r="1799">
      <c r="K1799" s="4" t="str">
        <f>IFERROR(__xludf.DUMMYFUNCTION("""COMPUTED_VALUE"""),"MEGGA PIZZA")</f>
        <v>MEGGA PIZZA</v>
      </c>
      <c r="L1799" s="32">
        <f>IFERROR(__xludf.DUMMYFUNCTION("""COMPUTED_VALUE"""),5.0)</f>
        <v>5</v>
      </c>
      <c r="M1799" s="4" t="str">
        <f>IFERROR(__xludf.DUMMYFUNCTION("""COMPUTED_VALUE"""),"Yooga")</f>
        <v>Yooga</v>
      </c>
      <c r="N1799" s="33">
        <f>IFERROR(__xludf.DUMMYFUNCTION("""COMPUTED_VALUE"""),0.6)</f>
        <v>0.6</v>
      </c>
      <c r="O1799" s="4" t="str">
        <f>IFERROR(__xludf.DUMMYFUNCTION("""COMPUTED_VALUE"""),"null")</f>
        <v>null</v>
      </c>
      <c r="P1799" s="33">
        <f>IFERROR(__xludf.DUMMYFUNCTION("""COMPUTED_VALUE"""),0.6)</f>
        <v>0.6</v>
      </c>
      <c r="Q1799" s="4" t="str">
        <f>IFERROR(__xludf.DUMMYFUNCTION("""COMPUTED_VALUE"""),"null")</f>
        <v>null</v>
      </c>
      <c r="R1799" s="33">
        <f>IFERROR(__xludf.DUMMYFUNCTION("""COMPUTED_VALUE"""),0.6)</f>
        <v>0.6</v>
      </c>
      <c r="S1799" s="4" t="str">
        <f>IFERROR(__xludf.DUMMYFUNCTION("""COMPUTED_VALUE"""),"Yooga")</f>
        <v>Yooga</v>
      </c>
      <c r="T1799" s="33">
        <f>IFERROR(__xludf.DUMMYFUNCTION("""COMPUTED_VALUE"""),0.6)</f>
        <v>0.6</v>
      </c>
      <c r="U1799" s="4" t="str">
        <f>IFERROR(__xludf.DUMMYFUNCTION("""COMPUTED_VALUE"""),"Yooga")</f>
        <v>Yooga</v>
      </c>
      <c r="V1799" s="33">
        <f>IFERROR(__xludf.DUMMYFUNCTION("""COMPUTED_VALUE"""),0.8)</f>
        <v>0.8</v>
      </c>
      <c r="W1799" s="4" t="str">
        <f>IFERROR(__xludf.DUMMYFUNCTION("""COMPUTED_VALUE"""),"Yooga")</f>
        <v>Yooga</v>
      </c>
      <c r="X1799" s="33">
        <f>IFERROR(__xludf.DUMMYFUNCTION("""COMPUTED_VALUE"""),0.8)</f>
        <v>0.8</v>
      </c>
    </row>
    <row r="1800">
      <c r="K1800" s="4" t="str">
        <f>IFERROR(__xludf.DUMMYFUNCTION("""COMPUTED_VALUE"""),"MENU POKE")</f>
        <v>MENU POKE</v>
      </c>
      <c r="L1800" s="32">
        <f>IFERROR(__xludf.DUMMYFUNCTION("""COMPUTED_VALUE"""),5.0)</f>
        <v>5</v>
      </c>
      <c r="M1800" s="4" t="str">
        <f>IFERROR(__xludf.DUMMYFUNCTION("""COMPUTED_VALUE"""),"Anota Ai Solucoes Digitais S/a")</f>
        <v>Anota Ai Solucoes Digitais S/a</v>
      </c>
      <c r="N1800" s="33">
        <f>IFERROR(__xludf.DUMMYFUNCTION("""COMPUTED_VALUE"""),0.4)</f>
        <v>0.4</v>
      </c>
      <c r="O1800" s="4" t="str">
        <f>IFERROR(__xludf.DUMMYFUNCTION("""COMPUTED_VALUE"""),"null")</f>
        <v>null</v>
      </c>
      <c r="P1800" s="33">
        <f>IFERROR(__xludf.DUMMYFUNCTION("""COMPUTED_VALUE"""),0.6)</f>
        <v>0.6</v>
      </c>
      <c r="Q1800" s="4" t="str">
        <f>IFERROR(__xludf.DUMMYFUNCTION("""COMPUTED_VALUE"""),"null")</f>
        <v>null</v>
      </c>
      <c r="R1800" s="33">
        <f>IFERROR(__xludf.DUMMYFUNCTION("""COMPUTED_VALUE"""),0.6)</f>
        <v>0.6</v>
      </c>
      <c r="S1800" s="4" t="str">
        <f>IFERROR(__xludf.DUMMYFUNCTION("""COMPUTED_VALUE"""),"Anove Tecnologia")</f>
        <v>Anove Tecnologia</v>
      </c>
      <c r="T1800" s="33">
        <f>IFERROR(__xludf.DUMMYFUNCTION("""COMPUTED_VALUE"""),0.6)</f>
        <v>0.6</v>
      </c>
      <c r="U1800" s="4" t="str">
        <f>IFERROR(__xludf.DUMMYFUNCTION("""COMPUTED_VALUE"""),"Anove Tecnologia")</f>
        <v>Anove Tecnologia</v>
      </c>
      <c r="V1800" s="33">
        <f>IFERROR(__xludf.DUMMYFUNCTION("""COMPUTED_VALUE"""),0.6)</f>
        <v>0.6</v>
      </c>
      <c r="W1800" s="4" t="str">
        <f>IFERROR(__xludf.DUMMYFUNCTION("""COMPUTED_VALUE"""),"Anove Tecnologia")</f>
        <v>Anove Tecnologia</v>
      </c>
      <c r="X1800" s="33">
        <f>IFERROR(__xludf.DUMMYFUNCTION("""COMPUTED_VALUE"""),0.8)</f>
        <v>0.8</v>
      </c>
    </row>
    <row r="1801">
      <c r="K1801" s="4" t="str">
        <f>IFERROR(__xludf.DUMMYFUNCTION("""COMPUTED_VALUE"""),"MERCADAO PET CAPAO REDONDO")</f>
        <v>MERCADAO PET CAPAO REDONDO</v>
      </c>
      <c r="L1801" s="32">
        <f>IFERROR(__xludf.DUMMYFUNCTION("""COMPUTED_VALUE"""),5.0)</f>
        <v>5</v>
      </c>
      <c r="M1801" s="4" t="str">
        <f>IFERROR(__xludf.DUMMYFUNCTION("""COMPUTED_VALUE"""),"N/A (Not found)")</f>
        <v>N/A (Not found)</v>
      </c>
      <c r="N1801" s="33">
        <f>IFERROR(__xludf.DUMMYFUNCTION("""COMPUTED_VALUE"""),1.0)</f>
        <v>1</v>
      </c>
      <c r="O1801" s="4" t="str">
        <f>IFERROR(__xludf.DUMMYFUNCTION("""COMPUTED_VALUE"""),"N/A (Not found)")</f>
        <v>N/A (Not found)</v>
      </c>
      <c r="P1801" s="33">
        <f>IFERROR(__xludf.DUMMYFUNCTION("""COMPUTED_VALUE"""),0.8)</f>
        <v>0.8</v>
      </c>
      <c r="Q1801" s="4" t="str">
        <f>IFERROR(__xludf.DUMMYFUNCTION("""COMPUTED_VALUE"""),"N/A (Not found)")</f>
        <v>N/A (Not found)</v>
      </c>
      <c r="R1801" s="33">
        <f>IFERROR(__xludf.DUMMYFUNCTION("""COMPUTED_VALUE"""),1.0)</f>
        <v>1</v>
      </c>
      <c r="S1801" s="4" t="str">
        <f>IFERROR(__xludf.DUMMYFUNCTION("""COMPUTED_VALUE"""),"N/A (Not found)")</f>
        <v>N/A (Not found)</v>
      </c>
      <c r="T1801" s="33">
        <f>IFERROR(__xludf.DUMMYFUNCTION("""COMPUTED_VALUE"""),1.0)</f>
        <v>1</v>
      </c>
      <c r="U1801" s="4" t="str">
        <f>IFERROR(__xludf.DUMMYFUNCTION("""COMPUTED_VALUE"""),"N/A (Not found)")</f>
        <v>N/A (Not found)</v>
      </c>
      <c r="V1801" s="33">
        <f>IFERROR(__xludf.DUMMYFUNCTION("""COMPUTED_VALUE"""),1.0)</f>
        <v>1</v>
      </c>
      <c r="W1801" s="4" t="str">
        <f>IFERROR(__xludf.DUMMYFUNCTION("""COMPUTED_VALUE"""),"N/A (Not found)")</f>
        <v>N/A (Not found)</v>
      </c>
      <c r="X1801" s="33">
        <f>IFERROR(__xludf.DUMMYFUNCTION("""COMPUTED_VALUE"""),1.0)</f>
        <v>1</v>
      </c>
    </row>
    <row r="1802">
      <c r="K1802" s="4" t="str">
        <f>IFERROR(__xludf.DUMMYFUNCTION("""COMPUTED_VALUE"""),"MIG PASTEIS - CONTA PAI")</f>
        <v>MIG PASTEIS - CONTA PAI</v>
      </c>
      <c r="L1802" s="32">
        <f>IFERROR(__xludf.DUMMYFUNCTION("""COMPUTED_VALUE"""),5.0)</f>
        <v>5</v>
      </c>
      <c r="M1802" s="4" t="str">
        <f>IFERROR(__xludf.DUMMYFUNCTION("""COMPUTED_VALUE"""),"Alloy Tecnologia")</f>
        <v>Alloy Tecnologia</v>
      </c>
      <c r="N1802" s="33">
        <f>IFERROR(__xludf.DUMMYFUNCTION("""COMPUTED_VALUE"""),0.8)</f>
        <v>0.8</v>
      </c>
      <c r="O1802" s="4" t="str">
        <f>IFERROR(__xludf.DUMMYFUNCTION("""COMPUTED_VALUE"""),"Alloy Tecnologia")</f>
        <v>Alloy Tecnologia</v>
      </c>
      <c r="P1802" s="33">
        <f>IFERROR(__xludf.DUMMYFUNCTION("""COMPUTED_VALUE"""),0.6)</f>
        <v>0.6</v>
      </c>
      <c r="Q1802" s="4" t="str">
        <f>IFERROR(__xludf.DUMMYFUNCTION("""COMPUTED_VALUE"""),"Alloy Tecnologia")</f>
        <v>Alloy Tecnologia</v>
      </c>
      <c r="R1802" s="33">
        <f>IFERROR(__xludf.DUMMYFUNCTION("""COMPUTED_VALUE"""),0.6)</f>
        <v>0.6</v>
      </c>
      <c r="S1802" s="4" t="str">
        <f>IFERROR(__xludf.DUMMYFUNCTION("""COMPUTED_VALUE"""),"Alloy Tecnologia")</f>
        <v>Alloy Tecnologia</v>
      </c>
      <c r="T1802" s="33">
        <f>IFERROR(__xludf.DUMMYFUNCTION("""COMPUTED_VALUE"""),0.6)</f>
        <v>0.6</v>
      </c>
      <c r="U1802" s="4" t="str">
        <f>IFERROR(__xludf.DUMMYFUNCTION("""COMPUTED_VALUE"""),"Alloy Tecnologia")</f>
        <v>Alloy Tecnologia</v>
      </c>
      <c r="V1802" s="33">
        <f>IFERROR(__xludf.DUMMYFUNCTION("""COMPUTED_VALUE"""),0.6)</f>
        <v>0.6</v>
      </c>
      <c r="W1802" s="4" t="str">
        <f>IFERROR(__xludf.DUMMYFUNCTION("""COMPUTED_VALUE"""),"null")</f>
        <v>null</v>
      </c>
      <c r="X1802" s="33">
        <f>IFERROR(__xludf.DUMMYFUNCTION("""COMPUTED_VALUE"""),0.6)</f>
        <v>0.6</v>
      </c>
    </row>
    <row r="1803">
      <c r="K1803" s="4" t="str">
        <f>IFERROR(__xludf.DUMMYFUNCTION("""COMPUTED_VALUE"""),"MILLE CUCA")</f>
        <v>MILLE CUCA</v>
      </c>
      <c r="L1803" s="32">
        <f>IFERROR(__xludf.DUMMYFUNCTION("""COMPUTED_VALUE"""),5.0)</f>
        <v>5</v>
      </c>
      <c r="M1803" s="4" t="str">
        <f>IFERROR(__xludf.DUMMYFUNCTION("""COMPUTED_VALUE"""),"Menew - Linx")</f>
        <v>Menew - Linx</v>
      </c>
      <c r="N1803" s="33">
        <f>IFERROR(__xludf.DUMMYFUNCTION("""COMPUTED_VALUE"""),1.0)</f>
        <v>1</v>
      </c>
      <c r="O1803" s="4" t="str">
        <f>IFERROR(__xludf.DUMMYFUNCTION("""COMPUTED_VALUE"""),"Menew - Linx")</f>
        <v>Menew - Linx</v>
      </c>
      <c r="P1803" s="33">
        <f>IFERROR(__xludf.DUMMYFUNCTION("""COMPUTED_VALUE"""),1.0)</f>
        <v>1</v>
      </c>
      <c r="Q1803" s="4" t="str">
        <f>IFERROR(__xludf.DUMMYFUNCTION("""COMPUTED_VALUE"""),"Menew - Linx")</f>
        <v>Menew - Linx</v>
      </c>
      <c r="R1803" s="33">
        <f>IFERROR(__xludf.DUMMYFUNCTION("""COMPUTED_VALUE"""),1.0)</f>
        <v>1</v>
      </c>
      <c r="S1803" s="4" t="str">
        <f>IFERROR(__xludf.DUMMYFUNCTION("""COMPUTED_VALUE"""),"Menew - Linx")</f>
        <v>Menew - Linx</v>
      </c>
      <c r="T1803" s="33">
        <f>IFERROR(__xludf.DUMMYFUNCTION("""COMPUTED_VALUE"""),1.0)</f>
        <v>1</v>
      </c>
      <c r="U1803" s="4" t="str">
        <f>IFERROR(__xludf.DUMMYFUNCTION("""COMPUTED_VALUE"""),"Menew - Linx")</f>
        <v>Menew - Linx</v>
      </c>
      <c r="V1803" s="33">
        <f>IFERROR(__xludf.DUMMYFUNCTION("""COMPUTED_VALUE"""),0.8)</f>
        <v>0.8</v>
      </c>
      <c r="W1803" s="4" t="str">
        <f>IFERROR(__xludf.DUMMYFUNCTION("""COMPUTED_VALUE"""),"Menew - Linx")</f>
        <v>Menew - Linx</v>
      </c>
      <c r="X1803" s="33">
        <f>IFERROR(__xludf.DUMMYFUNCTION("""COMPUTED_VALUE"""),0.8)</f>
        <v>0.8</v>
      </c>
    </row>
    <row r="1804">
      <c r="K1804" s="4" t="str">
        <f>IFERROR(__xludf.DUMMYFUNCTION("""COMPUTED_VALUE"""),"MINUTO BURGER")</f>
        <v>MINUTO BURGER</v>
      </c>
      <c r="L1804" s="32">
        <f>IFERROR(__xludf.DUMMYFUNCTION("""COMPUTED_VALUE"""),5.0)</f>
        <v>5</v>
      </c>
      <c r="M1804" s="4" t="str">
        <f>IFERROR(__xludf.DUMMYFUNCTION("""COMPUTED_VALUE"""),"Select Soft")</f>
        <v>Select Soft</v>
      </c>
      <c r="N1804" s="33">
        <f>IFERROR(__xludf.DUMMYFUNCTION("""COMPUTED_VALUE"""),1.0)</f>
        <v>1</v>
      </c>
      <c r="O1804" s="4" t="str">
        <f>IFERROR(__xludf.DUMMYFUNCTION("""COMPUTED_VALUE"""),"Select Soft")</f>
        <v>Select Soft</v>
      </c>
      <c r="P1804" s="33">
        <f>IFERROR(__xludf.DUMMYFUNCTION("""COMPUTED_VALUE"""),1.0)</f>
        <v>1</v>
      </c>
      <c r="Q1804" s="4" t="str">
        <f>IFERROR(__xludf.DUMMYFUNCTION("""COMPUTED_VALUE"""),"Select Soft")</f>
        <v>Select Soft</v>
      </c>
      <c r="R1804" s="33">
        <f>IFERROR(__xludf.DUMMYFUNCTION("""COMPUTED_VALUE"""),1.0)</f>
        <v>1</v>
      </c>
      <c r="S1804" s="4" t="str">
        <f>IFERROR(__xludf.DUMMYFUNCTION("""COMPUTED_VALUE"""),"Select Soft")</f>
        <v>Select Soft</v>
      </c>
      <c r="T1804" s="33">
        <f>IFERROR(__xludf.DUMMYFUNCTION("""COMPUTED_VALUE"""),1.0)</f>
        <v>1</v>
      </c>
      <c r="U1804" s="4" t="str">
        <f>IFERROR(__xludf.DUMMYFUNCTION("""COMPUTED_VALUE"""),"Select Soft")</f>
        <v>Select Soft</v>
      </c>
      <c r="V1804" s="33">
        <f>IFERROR(__xludf.DUMMYFUNCTION("""COMPUTED_VALUE"""),1.0)</f>
        <v>1</v>
      </c>
      <c r="W1804" s="4" t="str">
        <f>IFERROR(__xludf.DUMMYFUNCTION("""COMPUTED_VALUE"""),"Select Soft")</f>
        <v>Select Soft</v>
      </c>
      <c r="X1804" s="33">
        <f>IFERROR(__xludf.DUMMYFUNCTION("""COMPUTED_VALUE"""),1.0)</f>
        <v>1</v>
      </c>
    </row>
    <row r="1805">
      <c r="K1805" s="4" t="str">
        <f>IFERROR(__xludf.DUMMYFUNCTION("""COMPUTED_VALUE"""),"MOLEJO")</f>
        <v>MOLEJO</v>
      </c>
      <c r="L1805" s="32">
        <f>IFERROR(__xludf.DUMMYFUNCTION("""COMPUTED_VALUE"""),5.0)</f>
        <v>5</v>
      </c>
      <c r="M1805" s="4" t="str">
        <f>IFERROR(__xludf.DUMMYFUNCTION("""COMPUTED_VALUE"""),"Mp Multipedidos")</f>
        <v>Mp Multipedidos</v>
      </c>
      <c r="N1805" s="33">
        <f>IFERROR(__xludf.DUMMYFUNCTION("""COMPUTED_VALUE"""),1.0)</f>
        <v>1</v>
      </c>
      <c r="O1805" s="4" t="str">
        <f>IFERROR(__xludf.DUMMYFUNCTION("""COMPUTED_VALUE"""),"Mp Multipedidos")</f>
        <v>Mp Multipedidos</v>
      </c>
      <c r="P1805" s="33">
        <f>IFERROR(__xludf.DUMMYFUNCTION("""COMPUTED_VALUE"""),1.0)</f>
        <v>1</v>
      </c>
      <c r="Q1805" s="4" t="str">
        <f>IFERROR(__xludf.DUMMYFUNCTION("""COMPUTED_VALUE"""),"Mp Multipedidos")</f>
        <v>Mp Multipedidos</v>
      </c>
      <c r="R1805" s="33">
        <f>IFERROR(__xludf.DUMMYFUNCTION("""COMPUTED_VALUE"""),0.6)</f>
        <v>0.6</v>
      </c>
      <c r="S1805" s="4" t="str">
        <f>IFERROR(__xludf.DUMMYFUNCTION("""COMPUTED_VALUE"""),"Mp Multipedidos")</f>
        <v>Mp Multipedidos</v>
      </c>
      <c r="T1805" s="33">
        <f>IFERROR(__xludf.DUMMYFUNCTION("""COMPUTED_VALUE"""),1.0)</f>
        <v>1</v>
      </c>
      <c r="U1805" s="4" t="str">
        <f>IFERROR(__xludf.DUMMYFUNCTION("""COMPUTED_VALUE"""),"Mp Multipedidos")</f>
        <v>Mp Multipedidos</v>
      </c>
      <c r="V1805" s="33">
        <f>IFERROR(__xludf.DUMMYFUNCTION("""COMPUTED_VALUE"""),1.0)</f>
        <v>1</v>
      </c>
      <c r="W1805" s="4" t="str">
        <f>IFERROR(__xludf.DUMMYFUNCTION("""COMPUTED_VALUE"""),"Mp Multipedidos")</f>
        <v>Mp Multipedidos</v>
      </c>
      <c r="X1805" s="33">
        <f>IFERROR(__xludf.DUMMYFUNCTION("""COMPUTED_VALUE"""),1.0)</f>
        <v>1</v>
      </c>
    </row>
    <row r="1806">
      <c r="K1806" s="4" t="str">
        <f>IFERROR(__xludf.DUMMYFUNCTION("""COMPUTED_VALUE"""),"MOLESKINE GASTROBAR")</f>
        <v>MOLESKINE GASTROBAR</v>
      </c>
      <c r="L1806" s="32">
        <f>IFERROR(__xludf.DUMMYFUNCTION("""COMPUTED_VALUE"""),5.0)</f>
        <v>5</v>
      </c>
      <c r="M1806" s="4" t="str">
        <f>IFERROR(__xludf.DUMMYFUNCTION("""COMPUTED_VALUE"""),"Solução Sistemas")</f>
        <v>Solução Sistemas</v>
      </c>
      <c r="N1806" s="33">
        <f>IFERROR(__xludf.DUMMYFUNCTION("""COMPUTED_VALUE"""),1.0)</f>
        <v>1</v>
      </c>
      <c r="O1806" s="4" t="str">
        <f>IFERROR(__xludf.DUMMYFUNCTION("""COMPUTED_VALUE"""),"null")</f>
        <v>null</v>
      </c>
      <c r="P1806" s="33">
        <f>IFERROR(__xludf.DUMMYFUNCTION("""COMPUTED_VALUE"""),0.6)</f>
        <v>0.6</v>
      </c>
      <c r="Q1806" s="4" t="str">
        <f>IFERROR(__xludf.DUMMYFUNCTION("""COMPUTED_VALUE"""),"null")</f>
        <v>null</v>
      </c>
      <c r="R1806" s="33">
        <f>IFERROR(__xludf.DUMMYFUNCTION("""COMPUTED_VALUE"""),0.6)</f>
        <v>0.6</v>
      </c>
      <c r="S1806" s="4" t="str">
        <f>IFERROR(__xludf.DUMMYFUNCTION("""COMPUTED_VALUE"""),"Solução Sistemas")</f>
        <v>Solução Sistemas</v>
      </c>
      <c r="T1806" s="33">
        <f>IFERROR(__xludf.DUMMYFUNCTION("""COMPUTED_VALUE"""),0.6)</f>
        <v>0.6</v>
      </c>
      <c r="U1806" s="4" t="str">
        <f>IFERROR(__xludf.DUMMYFUNCTION("""COMPUTED_VALUE"""),"null")</f>
        <v>null</v>
      </c>
      <c r="V1806" s="33">
        <f>IFERROR(__xludf.DUMMYFUNCTION("""COMPUTED_VALUE"""),0.6)</f>
        <v>0.6</v>
      </c>
      <c r="W1806" s="4" t="str">
        <f>IFERROR(__xludf.DUMMYFUNCTION("""COMPUTED_VALUE"""),"Solução Sistemas")</f>
        <v>Solução Sistemas</v>
      </c>
      <c r="X1806" s="33">
        <f>IFERROR(__xludf.DUMMYFUNCTION("""COMPUTED_VALUE"""),0.6)</f>
        <v>0.6</v>
      </c>
    </row>
    <row r="1807">
      <c r="K1807" s="4" t="str">
        <f>IFERROR(__xludf.DUMMYFUNCTION("""COMPUTED_VALUE"""),"MOREIRA SUPERMERCADO - CONTA PAI")</f>
        <v>MOREIRA SUPERMERCADO - CONTA PAI</v>
      </c>
      <c r="L1807" s="32">
        <f>IFERROR(__xludf.DUMMYFUNCTION("""COMPUTED_VALUE"""),5.0)</f>
        <v>5</v>
      </c>
      <c r="M1807" s="4" t="str">
        <f>IFERROR(__xludf.DUMMYFUNCTION("""COMPUTED_VALUE"""),"N/A (Not found)")</f>
        <v>N/A (Not found)</v>
      </c>
      <c r="N1807" s="33">
        <f>IFERROR(__xludf.DUMMYFUNCTION("""COMPUTED_VALUE"""),1.0)</f>
        <v>1</v>
      </c>
      <c r="O1807" s="4" t="str">
        <f>IFERROR(__xludf.DUMMYFUNCTION("""COMPUTED_VALUE"""),"N/A (Not found)")</f>
        <v>N/A (Not found)</v>
      </c>
      <c r="P1807" s="33">
        <f>IFERROR(__xludf.DUMMYFUNCTION("""COMPUTED_VALUE"""),0.8)</f>
        <v>0.8</v>
      </c>
      <c r="Q1807" s="4" t="str">
        <f>IFERROR(__xludf.DUMMYFUNCTION("""COMPUTED_VALUE"""),"N/A (Not found)")</f>
        <v>N/A (Not found)</v>
      </c>
      <c r="R1807" s="33">
        <f>IFERROR(__xludf.DUMMYFUNCTION("""COMPUTED_VALUE"""),1.0)</f>
        <v>1</v>
      </c>
      <c r="S1807" s="4" t="str">
        <f>IFERROR(__xludf.DUMMYFUNCTION("""COMPUTED_VALUE"""),"N/A (Not found)")</f>
        <v>N/A (Not found)</v>
      </c>
      <c r="T1807" s="33">
        <f>IFERROR(__xludf.DUMMYFUNCTION("""COMPUTED_VALUE"""),1.0)</f>
        <v>1</v>
      </c>
      <c r="U1807" s="4" t="str">
        <f>IFERROR(__xludf.DUMMYFUNCTION("""COMPUTED_VALUE"""),"N/A (Not found)")</f>
        <v>N/A (Not found)</v>
      </c>
      <c r="V1807" s="33">
        <f>IFERROR(__xludf.DUMMYFUNCTION("""COMPUTED_VALUE"""),1.0)</f>
        <v>1</v>
      </c>
      <c r="W1807" s="4" t="str">
        <f>IFERROR(__xludf.DUMMYFUNCTION("""COMPUTED_VALUE"""),"N/A (Not found)")</f>
        <v>N/A (Not found)</v>
      </c>
      <c r="X1807" s="33">
        <f>IFERROR(__xludf.DUMMYFUNCTION("""COMPUTED_VALUE"""),1.0)</f>
        <v>1</v>
      </c>
    </row>
    <row r="1808">
      <c r="K1808" s="4" t="str">
        <f>IFERROR(__xludf.DUMMYFUNCTION("""COMPUTED_VALUE"""),"MORTADELLA RISTORANTE PIZZERIA")</f>
        <v>MORTADELLA RISTORANTE PIZZERIA</v>
      </c>
      <c r="L1808" s="32">
        <f>IFERROR(__xludf.DUMMYFUNCTION("""COMPUTED_VALUE"""),5.0)</f>
        <v>5</v>
      </c>
      <c r="M1808" s="4" t="str">
        <f>IFERROR(__xludf.DUMMYFUNCTION("""COMPUTED_VALUE"""),"Hubzy")</f>
        <v>Hubzy</v>
      </c>
      <c r="N1808" s="33">
        <f>IFERROR(__xludf.DUMMYFUNCTION("""COMPUTED_VALUE"""),1.0)</f>
        <v>1</v>
      </c>
      <c r="O1808" s="4" t="str">
        <f>IFERROR(__xludf.DUMMYFUNCTION("""COMPUTED_VALUE"""),"Hubzy")</f>
        <v>Hubzy</v>
      </c>
      <c r="P1808" s="33">
        <f>IFERROR(__xludf.DUMMYFUNCTION("""COMPUTED_VALUE"""),0.6)</f>
        <v>0.6</v>
      </c>
      <c r="Q1808" s="4" t="str">
        <f>IFERROR(__xludf.DUMMYFUNCTION("""COMPUTED_VALUE"""),"Hubzy")</f>
        <v>Hubzy</v>
      </c>
      <c r="R1808" s="33">
        <f>IFERROR(__xludf.DUMMYFUNCTION("""COMPUTED_VALUE"""),0.8)</f>
        <v>0.8</v>
      </c>
      <c r="S1808" s="4" t="str">
        <f>IFERROR(__xludf.DUMMYFUNCTION("""COMPUTED_VALUE"""),"Hubzy")</f>
        <v>Hubzy</v>
      </c>
      <c r="T1808" s="33">
        <f>IFERROR(__xludf.DUMMYFUNCTION("""COMPUTED_VALUE"""),1.0)</f>
        <v>1</v>
      </c>
      <c r="U1808" s="4" t="str">
        <f>IFERROR(__xludf.DUMMYFUNCTION("""COMPUTED_VALUE"""),"Hubzy")</f>
        <v>Hubzy</v>
      </c>
      <c r="V1808" s="33">
        <f>IFERROR(__xludf.DUMMYFUNCTION("""COMPUTED_VALUE"""),0.6)</f>
        <v>0.6</v>
      </c>
      <c r="W1808" s="4" t="str">
        <f>IFERROR(__xludf.DUMMYFUNCTION("""COMPUTED_VALUE"""),"Hubzy")</f>
        <v>Hubzy</v>
      </c>
      <c r="X1808" s="33">
        <f>IFERROR(__xludf.DUMMYFUNCTION("""COMPUTED_VALUE"""),1.0)</f>
        <v>1</v>
      </c>
    </row>
    <row r="1809">
      <c r="K1809" s="4" t="str">
        <f>IFERROR(__xludf.DUMMYFUNCTION("""COMPUTED_VALUE"""),"MR BEAN FEIJOADA NO BALDE - CONTA PAI")</f>
        <v>MR BEAN FEIJOADA NO BALDE - CONTA PAI</v>
      </c>
      <c r="L1809" s="32">
        <f>IFERROR(__xludf.DUMMYFUNCTION("""COMPUTED_VALUE"""),5.0)</f>
        <v>5</v>
      </c>
      <c r="M1809" s="4" t="str">
        <f>IFERROR(__xludf.DUMMYFUNCTION("""COMPUTED_VALUE"""),"Saipos Serviços De Software")</f>
        <v>Saipos Serviços De Software</v>
      </c>
      <c r="N1809" s="33">
        <f>IFERROR(__xludf.DUMMYFUNCTION("""COMPUTED_VALUE"""),1.0)</f>
        <v>1</v>
      </c>
      <c r="O1809" s="4" t="str">
        <f>IFERROR(__xludf.DUMMYFUNCTION("""COMPUTED_VALUE"""),"Saipos Serviços De Software")</f>
        <v>Saipos Serviços De Software</v>
      </c>
      <c r="P1809" s="33">
        <f>IFERROR(__xludf.DUMMYFUNCTION("""COMPUTED_VALUE"""),1.0)</f>
        <v>1</v>
      </c>
      <c r="Q1809" s="4" t="str">
        <f>IFERROR(__xludf.DUMMYFUNCTION("""COMPUTED_VALUE"""),"Saipos Serviços De Software")</f>
        <v>Saipos Serviços De Software</v>
      </c>
      <c r="R1809" s="33">
        <f>IFERROR(__xludf.DUMMYFUNCTION("""COMPUTED_VALUE"""),1.0)</f>
        <v>1</v>
      </c>
      <c r="S1809" s="4" t="str">
        <f>IFERROR(__xludf.DUMMYFUNCTION("""COMPUTED_VALUE"""),"Saipos Serviços De Software")</f>
        <v>Saipos Serviços De Software</v>
      </c>
      <c r="T1809" s="33">
        <f>IFERROR(__xludf.DUMMYFUNCTION("""COMPUTED_VALUE"""),1.0)</f>
        <v>1</v>
      </c>
      <c r="U1809" s="4" t="str">
        <f>IFERROR(__xludf.DUMMYFUNCTION("""COMPUTED_VALUE"""),"Saipos Serviços De Software")</f>
        <v>Saipos Serviços De Software</v>
      </c>
      <c r="V1809" s="33">
        <f>IFERROR(__xludf.DUMMYFUNCTION("""COMPUTED_VALUE"""),1.0)</f>
        <v>1</v>
      </c>
      <c r="W1809" s="4" t="str">
        <f>IFERROR(__xludf.DUMMYFUNCTION("""COMPUTED_VALUE"""),"Saipos Serviços De Software")</f>
        <v>Saipos Serviços De Software</v>
      </c>
      <c r="X1809" s="33">
        <f>IFERROR(__xludf.DUMMYFUNCTION("""COMPUTED_VALUE"""),1.0)</f>
        <v>1</v>
      </c>
    </row>
    <row r="1810">
      <c r="K1810" s="4" t="str">
        <f>IFERROR(__xludf.DUMMYFUNCTION("""COMPUTED_VALUE"""),"MUY MASSA")</f>
        <v>MUY MASSA</v>
      </c>
      <c r="L1810" s="32">
        <f>IFERROR(__xludf.DUMMYFUNCTION("""COMPUTED_VALUE"""),5.0)</f>
        <v>5</v>
      </c>
      <c r="M1810" s="4" t="str">
        <f>IFERROR(__xludf.DUMMYFUNCTION("""COMPUTED_VALUE"""),"Consumer Soluções Em Tecnologia Ltda")</f>
        <v>Consumer Soluções Em Tecnologia Ltda</v>
      </c>
      <c r="N1810" s="33">
        <f>IFERROR(__xludf.DUMMYFUNCTION("""COMPUTED_VALUE"""),0.4)</f>
        <v>0.4</v>
      </c>
      <c r="O1810" s="4" t="str">
        <f>IFERROR(__xludf.DUMMYFUNCTION("""COMPUTED_VALUE"""),"null")</f>
        <v>null</v>
      </c>
      <c r="P1810" s="33">
        <f>IFERROR(__xludf.DUMMYFUNCTION("""COMPUTED_VALUE"""),0.6)</f>
        <v>0.6</v>
      </c>
      <c r="Q1810" s="4" t="str">
        <f>IFERROR(__xludf.DUMMYFUNCTION("""COMPUTED_VALUE"""),"null")</f>
        <v>null</v>
      </c>
      <c r="R1810" s="33">
        <f>IFERROR(__xludf.DUMMYFUNCTION("""COMPUTED_VALUE"""),0.6)</f>
        <v>0.6</v>
      </c>
      <c r="S1810" s="4" t="str">
        <f>IFERROR(__xludf.DUMMYFUNCTION("""COMPUTED_VALUE"""),"Saipos Serviços De Software")</f>
        <v>Saipos Serviços De Software</v>
      </c>
      <c r="T1810" s="33">
        <f>IFERROR(__xludf.DUMMYFUNCTION("""COMPUTED_VALUE"""),0.6)</f>
        <v>0.6</v>
      </c>
      <c r="U1810" s="4" t="str">
        <f>IFERROR(__xludf.DUMMYFUNCTION("""COMPUTED_VALUE"""),"Saipos Serviços De Software")</f>
        <v>Saipos Serviços De Software</v>
      </c>
      <c r="V1810" s="33">
        <f>IFERROR(__xludf.DUMMYFUNCTION("""COMPUTED_VALUE"""),0.6)</f>
        <v>0.6</v>
      </c>
      <c r="W1810" s="4" t="str">
        <f>IFERROR(__xludf.DUMMYFUNCTION("""COMPUTED_VALUE"""),"Saipos Serviços De Software")</f>
        <v>Saipos Serviços De Software</v>
      </c>
      <c r="X1810" s="33">
        <f>IFERROR(__xludf.DUMMYFUNCTION("""COMPUTED_VALUE"""),0.6)</f>
        <v>0.6</v>
      </c>
    </row>
    <row r="1811">
      <c r="K1811" s="4" t="str">
        <f>IFERROR(__xludf.DUMMYFUNCTION("""COMPUTED_VALUE"""),"MYSTIC BURGER - CONTA MARCA")</f>
        <v>MYSTIC BURGER - CONTA MARCA</v>
      </c>
      <c r="L1811" s="32">
        <f>IFERROR(__xludf.DUMMYFUNCTION("""COMPUTED_VALUE"""),5.0)</f>
        <v>5</v>
      </c>
      <c r="M1811" s="4" t="str">
        <f>IFERROR(__xludf.DUMMYFUNCTION("""COMPUTED_VALUE"""),"Saipos Serviços De Software")</f>
        <v>Saipos Serviços De Software</v>
      </c>
      <c r="N1811" s="33">
        <f>IFERROR(__xludf.DUMMYFUNCTION("""COMPUTED_VALUE"""),1.0)</f>
        <v>1</v>
      </c>
      <c r="O1811" s="4" t="str">
        <f>IFERROR(__xludf.DUMMYFUNCTION("""COMPUTED_VALUE"""),"Saipos Serviços De Software")</f>
        <v>Saipos Serviços De Software</v>
      </c>
      <c r="P1811" s="33">
        <f>IFERROR(__xludf.DUMMYFUNCTION("""COMPUTED_VALUE"""),1.0)</f>
        <v>1</v>
      </c>
      <c r="Q1811" s="4" t="str">
        <f>IFERROR(__xludf.DUMMYFUNCTION("""COMPUTED_VALUE"""),"Saipos Serviços De Software")</f>
        <v>Saipos Serviços De Software</v>
      </c>
      <c r="R1811" s="33">
        <f>IFERROR(__xludf.DUMMYFUNCTION("""COMPUTED_VALUE"""),1.0)</f>
        <v>1</v>
      </c>
      <c r="S1811" s="4" t="str">
        <f>IFERROR(__xludf.DUMMYFUNCTION("""COMPUTED_VALUE"""),"Saipos Serviços De Software")</f>
        <v>Saipos Serviços De Software</v>
      </c>
      <c r="T1811" s="33">
        <f>IFERROR(__xludf.DUMMYFUNCTION("""COMPUTED_VALUE"""),1.0)</f>
        <v>1</v>
      </c>
      <c r="U1811" s="4" t="str">
        <f>IFERROR(__xludf.DUMMYFUNCTION("""COMPUTED_VALUE"""),"Saipos Serviços De Software")</f>
        <v>Saipos Serviços De Software</v>
      </c>
      <c r="V1811" s="33">
        <f>IFERROR(__xludf.DUMMYFUNCTION("""COMPUTED_VALUE"""),1.0)</f>
        <v>1</v>
      </c>
      <c r="W1811" s="4" t="str">
        <f>IFERROR(__xludf.DUMMYFUNCTION("""COMPUTED_VALUE"""),"Saipos Serviços De Software")</f>
        <v>Saipos Serviços De Software</v>
      </c>
      <c r="X1811" s="33">
        <f>IFERROR(__xludf.DUMMYFUNCTION("""COMPUTED_VALUE"""),1.0)</f>
        <v>1</v>
      </c>
    </row>
    <row r="1812">
      <c r="K1812" s="4" t="str">
        <f>IFERROR(__xludf.DUMMYFUNCTION("""COMPUTED_VALUE"""),"N BURGER")</f>
        <v>N BURGER</v>
      </c>
      <c r="L1812" s="32">
        <f>IFERROR(__xludf.DUMMYFUNCTION("""COMPUTED_VALUE"""),5.0)</f>
        <v>5</v>
      </c>
      <c r="M1812" s="4" t="str">
        <f>IFERROR(__xludf.DUMMYFUNCTION("""COMPUTED_VALUE"""),"Ncr")</f>
        <v>Ncr</v>
      </c>
      <c r="N1812" s="33">
        <f>IFERROR(__xludf.DUMMYFUNCTION("""COMPUTED_VALUE"""),0.6)</f>
        <v>0.6</v>
      </c>
      <c r="O1812" s="4" t="str">
        <f>IFERROR(__xludf.DUMMYFUNCTION("""COMPUTED_VALUE"""),"Altec Sistemas")</f>
        <v>Altec Sistemas</v>
      </c>
      <c r="P1812" s="33">
        <f>IFERROR(__xludf.DUMMYFUNCTION("""COMPUTED_VALUE"""),0.4)</f>
        <v>0.4</v>
      </c>
      <c r="Q1812" s="4" t="str">
        <f>IFERROR(__xludf.DUMMYFUNCTION("""COMPUTED_VALUE"""),"null")</f>
        <v>null</v>
      </c>
      <c r="R1812" s="33">
        <f>IFERROR(__xludf.DUMMYFUNCTION("""COMPUTED_VALUE"""),0.6)</f>
        <v>0.6</v>
      </c>
      <c r="S1812" s="4" t="str">
        <f>IFERROR(__xludf.DUMMYFUNCTION("""COMPUTED_VALUE"""),"Eclética Tecnologia")</f>
        <v>Eclética Tecnologia</v>
      </c>
      <c r="T1812" s="33">
        <f>IFERROR(__xludf.DUMMYFUNCTION("""COMPUTED_VALUE"""),0.8)</f>
        <v>0.8</v>
      </c>
      <c r="U1812" s="4" t="str">
        <f>IFERROR(__xludf.DUMMYFUNCTION("""COMPUTED_VALUE"""),"Eclética Tecnologia")</f>
        <v>Eclética Tecnologia</v>
      </c>
      <c r="V1812" s="33">
        <f>IFERROR(__xludf.DUMMYFUNCTION("""COMPUTED_VALUE"""),0.6)</f>
        <v>0.6</v>
      </c>
      <c r="W1812" s="4" t="str">
        <f>IFERROR(__xludf.DUMMYFUNCTION("""COMPUTED_VALUE"""),"Eclética Tecnologia")</f>
        <v>Eclética Tecnologia</v>
      </c>
      <c r="X1812" s="33">
        <f>IFERROR(__xludf.DUMMYFUNCTION("""COMPUTED_VALUE"""),0.8)</f>
        <v>0.8</v>
      </c>
    </row>
    <row r="1813">
      <c r="K1813" s="4" t="str">
        <f>IFERROR(__xludf.DUMMYFUNCTION("""COMPUTED_VALUE"""),"N SUSHI 1 REAL - CONTA MARCA")</f>
        <v>N SUSHI 1 REAL - CONTA MARCA</v>
      </c>
      <c r="L1813" s="32">
        <f>IFERROR(__xludf.DUMMYFUNCTION("""COMPUTED_VALUE"""),5.0)</f>
        <v>5</v>
      </c>
      <c r="M1813" s="4" t="str">
        <f>IFERROR(__xludf.DUMMYFUNCTION("""COMPUTED_VALUE"""),"Saipos Serviços De Software")</f>
        <v>Saipos Serviços De Software</v>
      </c>
      <c r="N1813" s="33">
        <f>IFERROR(__xludf.DUMMYFUNCTION("""COMPUTED_VALUE"""),1.0)</f>
        <v>1</v>
      </c>
      <c r="O1813" s="4" t="str">
        <f>IFERROR(__xludf.DUMMYFUNCTION("""COMPUTED_VALUE"""),"Saipos Serviços De Software")</f>
        <v>Saipos Serviços De Software</v>
      </c>
      <c r="P1813" s="33">
        <f>IFERROR(__xludf.DUMMYFUNCTION("""COMPUTED_VALUE"""),1.0)</f>
        <v>1</v>
      </c>
      <c r="Q1813" s="4" t="str">
        <f>IFERROR(__xludf.DUMMYFUNCTION("""COMPUTED_VALUE"""),"Saipos Serviços De Software")</f>
        <v>Saipos Serviços De Software</v>
      </c>
      <c r="R1813" s="33">
        <f>IFERROR(__xludf.DUMMYFUNCTION("""COMPUTED_VALUE"""),1.0)</f>
        <v>1</v>
      </c>
      <c r="S1813" s="4" t="str">
        <f>IFERROR(__xludf.DUMMYFUNCTION("""COMPUTED_VALUE"""),"Saipos Serviços De Software")</f>
        <v>Saipos Serviços De Software</v>
      </c>
      <c r="T1813" s="33">
        <f>IFERROR(__xludf.DUMMYFUNCTION("""COMPUTED_VALUE"""),0.8)</f>
        <v>0.8</v>
      </c>
      <c r="U1813" s="4" t="str">
        <f>IFERROR(__xludf.DUMMYFUNCTION("""COMPUTED_VALUE"""),"Saipos Serviços De Software")</f>
        <v>Saipos Serviços De Software</v>
      </c>
      <c r="V1813" s="33">
        <f>IFERROR(__xludf.DUMMYFUNCTION("""COMPUTED_VALUE"""),1.0)</f>
        <v>1</v>
      </c>
      <c r="W1813" s="4" t="str">
        <f>IFERROR(__xludf.DUMMYFUNCTION("""COMPUTED_VALUE"""),"Saipos Serviços De Software")</f>
        <v>Saipos Serviços De Software</v>
      </c>
      <c r="X1813" s="33">
        <f>IFERROR(__xludf.DUMMYFUNCTION("""COMPUTED_VALUE"""),0.8)</f>
        <v>0.8</v>
      </c>
    </row>
    <row r="1814">
      <c r="K1814" s="4" t="str">
        <f>IFERROR(__xludf.DUMMYFUNCTION("""COMPUTED_VALUE"""),"NAKAYOSHI RIBEIRAO PRETO")</f>
        <v>NAKAYOSHI RIBEIRAO PRETO</v>
      </c>
      <c r="L1814" s="32">
        <f>IFERROR(__xludf.DUMMYFUNCTION("""COMPUTED_VALUE"""),5.0)</f>
        <v>5</v>
      </c>
      <c r="M1814" s="4" t="str">
        <f>IFERROR(__xludf.DUMMYFUNCTION("""COMPUTED_VALUE"""),"Lasertech Sistemas Ltda Me")</f>
        <v>Lasertech Sistemas Ltda Me</v>
      </c>
      <c r="N1814" s="33">
        <f>IFERROR(__xludf.DUMMYFUNCTION("""COMPUTED_VALUE"""),1.0)</f>
        <v>1</v>
      </c>
      <c r="O1814" s="4" t="str">
        <f>IFERROR(__xludf.DUMMYFUNCTION("""COMPUTED_VALUE"""),"Lasertech Sistemas Ltda Me")</f>
        <v>Lasertech Sistemas Ltda Me</v>
      </c>
      <c r="P1814" s="33">
        <f>IFERROR(__xludf.DUMMYFUNCTION("""COMPUTED_VALUE"""),1.0)</f>
        <v>1</v>
      </c>
      <c r="Q1814" s="4" t="str">
        <f>IFERROR(__xludf.DUMMYFUNCTION("""COMPUTED_VALUE"""),"Lasertech Sistemas Ltda Me")</f>
        <v>Lasertech Sistemas Ltda Me</v>
      </c>
      <c r="R1814" s="33">
        <f>IFERROR(__xludf.DUMMYFUNCTION("""COMPUTED_VALUE"""),1.0)</f>
        <v>1</v>
      </c>
      <c r="S1814" s="4" t="str">
        <f>IFERROR(__xludf.DUMMYFUNCTION("""COMPUTED_VALUE"""),"Lasertech Sistemas Ltda Me")</f>
        <v>Lasertech Sistemas Ltda Me</v>
      </c>
      <c r="T1814" s="33">
        <f>IFERROR(__xludf.DUMMYFUNCTION("""COMPUTED_VALUE"""),1.0)</f>
        <v>1</v>
      </c>
      <c r="U1814" s="4" t="str">
        <f>IFERROR(__xludf.DUMMYFUNCTION("""COMPUTED_VALUE"""),"Lasertech Sistemas Ltda Me")</f>
        <v>Lasertech Sistemas Ltda Me</v>
      </c>
      <c r="V1814" s="33">
        <f>IFERROR(__xludf.DUMMYFUNCTION("""COMPUTED_VALUE"""),0.8)</f>
        <v>0.8</v>
      </c>
      <c r="W1814" s="4" t="str">
        <f>IFERROR(__xludf.DUMMYFUNCTION("""COMPUTED_VALUE"""),"Lasertech Sistemas Ltda Me")</f>
        <v>Lasertech Sistemas Ltda Me</v>
      </c>
      <c r="X1814" s="33">
        <f>IFERROR(__xludf.DUMMYFUNCTION("""COMPUTED_VALUE"""),0.8)</f>
        <v>0.8</v>
      </c>
    </row>
    <row r="1815">
      <c r="K1815" s="4" t="str">
        <f>IFERROR(__xludf.DUMMYFUNCTION("""COMPUTED_VALUE"""),"NANNAI")</f>
        <v>NANNAI</v>
      </c>
      <c r="L1815" s="32">
        <f>IFERROR(__xludf.DUMMYFUNCTION("""COMPUTED_VALUE"""),5.0)</f>
        <v>5</v>
      </c>
      <c r="M1815" s="4" t="str">
        <f>IFERROR(__xludf.DUMMYFUNCTION("""COMPUTED_VALUE"""),"Saipos Serviços De Software")</f>
        <v>Saipos Serviços De Software</v>
      </c>
      <c r="N1815" s="33">
        <f>IFERROR(__xludf.DUMMYFUNCTION("""COMPUTED_VALUE"""),0.8)</f>
        <v>0.8</v>
      </c>
      <c r="O1815" s="4" t="str">
        <f>IFERROR(__xludf.DUMMYFUNCTION("""COMPUTED_VALUE"""),"Saipos Serviços De Software")</f>
        <v>Saipos Serviços De Software</v>
      </c>
      <c r="P1815" s="33">
        <f>IFERROR(__xludf.DUMMYFUNCTION("""COMPUTED_VALUE"""),0.8)</f>
        <v>0.8</v>
      </c>
      <c r="Q1815" s="4" t="str">
        <f>IFERROR(__xludf.DUMMYFUNCTION("""COMPUTED_VALUE"""),"Saipos Serviços De Software")</f>
        <v>Saipos Serviços De Software</v>
      </c>
      <c r="R1815" s="33">
        <f>IFERROR(__xludf.DUMMYFUNCTION("""COMPUTED_VALUE"""),0.6)</f>
        <v>0.6</v>
      </c>
      <c r="S1815" s="4" t="str">
        <f>IFERROR(__xludf.DUMMYFUNCTION("""COMPUTED_VALUE"""),"Saipos Serviços De Software")</f>
        <v>Saipos Serviços De Software</v>
      </c>
      <c r="T1815" s="33">
        <f>IFERROR(__xludf.DUMMYFUNCTION("""COMPUTED_VALUE"""),0.6)</f>
        <v>0.6</v>
      </c>
      <c r="U1815" s="4" t="str">
        <f>IFERROR(__xludf.DUMMYFUNCTION("""COMPUTED_VALUE"""),"Saipos Serviços De Software")</f>
        <v>Saipos Serviços De Software</v>
      </c>
      <c r="V1815" s="33">
        <f>IFERROR(__xludf.DUMMYFUNCTION("""COMPUTED_VALUE"""),0.8)</f>
        <v>0.8</v>
      </c>
      <c r="W1815" s="4" t="str">
        <f>IFERROR(__xludf.DUMMYFUNCTION("""COMPUTED_VALUE"""),"Saipos Serviços De Software")</f>
        <v>Saipos Serviços De Software</v>
      </c>
      <c r="X1815" s="33">
        <f>IFERROR(__xludf.DUMMYFUNCTION("""COMPUTED_VALUE"""),1.0)</f>
        <v>1</v>
      </c>
    </row>
    <row r="1816">
      <c r="K1816" s="4" t="str">
        <f>IFERROR(__xludf.DUMMYFUNCTION("""COMPUTED_VALUE"""),"NARA LAMEN")</f>
        <v>NARA LAMEN</v>
      </c>
      <c r="L1816" s="32">
        <f>IFERROR(__xludf.DUMMYFUNCTION("""COMPUTED_VALUE"""),5.0)</f>
        <v>5</v>
      </c>
      <c r="M1816" s="4" t="str">
        <f>IFERROR(__xludf.DUMMYFUNCTION("""COMPUTED_VALUE"""),"Eclética Tecnologia")</f>
        <v>Eclética Tecnologia</v>
      </c>
      <c r="N1816" s="33">
        <f>IFERROR(__xludf.DUMMYFUNCTION("""COMPUTED_VALUE"""),0.8)</f>
        <v>0.8</v>
      </c>
      <c r="O1816" s="4" t="str">
        <f>IFERROR(__xludf.DUMMYFUNCTION("""COMPUTED_VALUE"""),"Eclética Tecnologia")</f>
        <v>Eclética Tecnologia</v>
      </c>
      <c r="P1816" s="33">
        <f>IFERROR(__xludf.DUMMYFUNCTION("""COMPUTED_VALUE"""),0.8)</f>
        <v>0.8</v>
      </c>
      <c r="Q1816" s="4" t="str">
        <f>IFERROR(__xludf.DUMMYFUNCTION("""COMPUTED_VALUE"""),"Eclética Tecnologia")</f>
        <v>Eclética Tecnologia</v>
      </c>
      <c r="R1816" s="33">
        <f>IFERROR(__xludf.DUMMYFUNCTION("""COMPUTED_VALUE"""),0.8)</f>
        <v>0.8</v>
      </c>
      <c r="S1816" s="4" t="str">
        <f>IFERROR(__xludf.DUMMYFUNCTION("""COMPUTED_VALUE"""),"Eclética Tecnologia")</f>
        <v>Eclética Tecnologia</v>
      </c>
      <c r="T1816" s="33">
        <f>IFERROR(__xludf.DUMMYFUNCTION("""COMPUTED_VALUE"""),0.6)</f>
        <v>0.6</v>
      </c>
      <c r="U1816" s="4" t="str">
        <f>IFERROR(__xludf.DUMMYFUNCTION("""COMPUTED_VALUE"""),"Eclética Tecnologia")</f>
        <v>Eclética Tecnologia</v>
      </c>
      <c r="V1816" s="33">
        <f>IFERROR(__xludf.DUMMYFUNCTION("""COMPUTED_VALUE"""),0.8)</f>
        <v>0.8</v>
      </c>
      <c r="W1816" s="4" t="str">
        <f>IFERROR(__xludf.DUMMYFUNCTION("""COMPUTED_VALUE"""),"Eclética Tecnologia")</f>
        <v>Eclética Tecnologia</v>
      </c>
      <c r="X1816" s="33">
        <f>IFERROR(__xludf.DUMMYFUNCTION("""COMPUTED_VALUE"""),0.8)</f>
        <v>0.8</v>
      </c>
    </row>
    <row r="1817">
      <c r="K1817" s="4" t="str">
        <f>IFERROR(__xludf.DUMMYFUNCTION("""COMPUTED_VALUE"""),"NATURELA - CONTA MARCA")</f>
        <v>NATURELA - CONTA MARCA</v>
      </c>
      <c r="L1817" s="32">
        <f>IFERROR(__xludf.DUMMYFUNCTION("""COMPUTED_VALUE"""),5.0)</f>
        <v>5</v>
      </c>
      <c r="M1817" s="4" t="str">
        <f>IFERROR(__xludf.DUMMYFUNCTION("""COMPUTED_VALUE"""),"Connectplug")</f>
        <v>Connectplug</v>
      </c>
      <c r="N1817" s="33">
        <f>IFERROR(__xludf.DUMMYFUNCTION("""COMPUTED_VALUE"""),1.0)</f>
        <v>1</v>
      </c>
      <c r="O1817" s="4" t="str">
        <f>IFERROR(__xludf.DUMMYFUNCTION("""COMPUTED_VALUE"""),"Connectplug")</f>
        <v>Connectplug</v>
      </c>
      <c r="P1817" s="33">
        <f>IFERROR(__xludf.DUMMYFUNCTION("""COMPUTED_VALUE"""),0.6)</f>
        <v>0.6</v>
      </c>
      <c r="Q1817" s="4" t="str">
        <f>IFERROR(__xludf.DUMMYFUNCTION("""COMPUTED_VALUE"""),"Connectplug")</f>
        <v>Connectplug</v>
      </c>
      <c r="R1817" s="33">
        <f>IFERROR(__xludf.DUMMYFUNCTION("""COMPUTED_VALUE"""),0.8)</f>
        <v>0.8</v>
      </c>
      <c r="S1817" s="4" t="str">
        <f>IFERROR(__xludf.DUMMYFUNCTION("""COMPUTED_VALUE"""),"Connectplug")</f>
        <v>Connectplug</v>
      </c>
      <c r="T1817" s="33">
        <f>IFERROR(__xludf.DUMMYFUNCTION("""COMPUTED_VALUE"""),0.6)</f>
        <v>0.6</v>
      </c>
      <c r="U1817" s="4" t="str">
        <f>IFERROR(__xludf.DUMMYFUNCTION("""COMPUTED_VALUE"""),"null")</f>
        <v>null</v>
      </c>
      <c r="V1817" s="33">
        <f>IFERROR(__xludf.DUMMYFUNCTION("""COMPUTED_VALUE"""),0.6)</f>
        <v>0.6</v>
      </c>
      <c r="W1817" s="4" t="str">
        <f>IFERROR(__xludf.DUMMYFUNCTION("""COMPUTED_VALUE"""),"null")</f>
        <v>null</v>
      </c>
      <c r="X1817" s="33">
        <f>IFERROR(__xludf.DUMMYFUNCTION("""COMPUTED_VALUE"""),0.6)</f>
        <v>0.6</v>
      </c>
    </row>
    <row r="1818">
      <c r="K1818" s="4" t="str">
        <f>IFERROR(__xludf.DUMMYFUNCTION("""COMPUTED_VALUE"""),"NESTOR PIZZARIA GASTRONOMICA")</f>
        <v>NESTOR PIZZARIA GASTRONOMICA</v>
      </c>
      <c r="L1818" s="32">
        <f>IFERROR(__xludf.DUMMYFUNCTION("""COMPUTED_VALUE"""),5.0)</f>
        <v>5</v>
      </c>
      <c r="M1818" s="4" t="str">
        <f>IFERROR(__xludf.DUMMYFUNCTION("""COMPUTED_VALUE"""),"Grk Soluções Informatica Eireli")</f>
        <v>Grk Soluções Informatica Eireli</v>
      </c>
      <c r="N1818" s="33">
        <f>IFERROR(__xludf.DUMMYFUNCTION("""COMPUTED_VALUE"""),0.4)</f>
        <v>0.4</v>
      </c>
      <c r="O1818" s="4" t="str">
        <f>IFERROR(__xludf.DUMMYFUNCTION("""COMPUTED_VALUE"""),"Grk Soluções Informatica Eireli")</f>
        <v>Grk Soluções Informatica Eireli</v>
      </c>
      <c r="P1818" s="33">
        <f>IFERROR(__xludf.DUMMYFUNCTION("""COMPUTED_VALUE"""),0.4)</f>
        <v>0.4</v>
      </c>
      <c r="Q1818" s="4" t="str">
        <f>IFERROR(__xludf.DUMMYFUNCTION("""COMPUTED_VALUE"""),"Ncr")</f>
        <v>Ncr</v>
      </c>
      <c r="R1818" s="33">
        <f>IFERROR(__xludf.DUMMYFUNCTION("""COMPUTED_VALUE"""),0.4)</f>
        <v>0.4</v>
      </c>
      <c r="S1818" s="4" t="str">
        <f>IFERROR(__xludf.DUMMYFUNCTION("""COMPUTED_VALUE"""),"Ncr")</f>
        <v>Ncr</v>
      </c>
      <c r="T1818" s="33">
        <f>IFERROR(__xludf.DUMMYFUNCTION("""COMPUTED_VALUE"""),0.4)</f>
        <v>0.4</v>
      </c>
      <c r="U1818" s="4" t="str">
        <f>IFERROR(__xludf.DUMMYFUNCTION("""COMPUTED_VALUE"""),"Grk Soluções Informatica Eireli")</f>
        <v>Grk Soluções Informatica Eireli</v>
      </c>
      <c r="V1818" s="33">
        <f>IFERROR(__xludf.DUMMYFUNCTION("""COMPUTED_VALUE"""),0.6)</f>
        <v>0.6</v>
      </c>
      <c r="W1818" s="4" t="str">
        <f>IFERROR(__xludf.DUMMYFUNCTION("""COMPUTED_VALUE"""),"Grk Soluções Informatica Eireli")</f>
        <v>Grk Soluções Informatica Eireli</v>
      </c>
      <c r="X1818" s="33">
        <f>IFERROR(__xludf.DUMMYFUNCTION("""COMPUTED_VALUE"""),0.4)</f>
        <v>0.4</v>
      </c>
    </row>
    <row r="1819">
      <c r="K1819" s="4" t="str">
        <f>IFERROR(__xludf.DUMMYFUNCTION("""COMPUTED_VALUE"""),"NIGHT BURGUER - CONTA PAI")</f>
        <v>NIGHT BURGUER - CONTA PAI</v>
      </c>
      <c r="L1819" s="32">
        <f>IFERROR(__xludf.DUMMYFUNCTION("""COMPUTED_VALUE"""),5.0)</f>
        <v>5</v>
      </c>
      <c r="M1819" s="4" t="str">
        <f>IFERROR(__xludf.DUMMYFUNCTION("""COMPUTED_VALUE"""),"Saipos Serviços De Software")</f>
        <v>Saipos Serviços De Software</v>
      </c>
      <c r="N1819" s="33">
        <f>IFERROR(__xludf.DUMMYFUNCTION("""COMPUTED_VALUE"""),1.0)</f>
        <v>1</v>
      </c>
      <c r="O1819" s="4" t="str">
        <f>IFERROR(__xludf.DUMMYFUNCTION("""COMPUTED_VALUE"""),"Saipos Serviços De Software")</f>
        <v>Saipos Serviços De Software</v>
      </c>
      <c r="P1819" s="33">
        <f>IFERROR(__xludf.DUMMYFUNCTION("""COMPUTED_VALUE"""),1.0)</f>
        <v>1</v>
      </c>
      <c r="Q1819" s="4" t="str">
        <f>IFERROR(__xludf.DUMMYFUNCTION("""COMPUTED_VALUE"""),"Saipos Serviços De Software")</f>
        <v>Saipos Serviços De Software</v>
      </c>
      <c r="R1819" s="33">
        <f>IFERROR(__xludf.DUMMYFUNCTION("""COMPUTED_VALUE"""),1.0)</f>
        <v>1</v>
      </c>
      <c r="S1819" s="4" t="str">
        <f>IFERROR(__xludf.DUMMYFUNCTION("""COMPUTED_VALUE"""),"Saipos Serviços De Software")</f>
        <v>Saipos Serviços De Software</v>
      </c>
      <c r="T1819" s="33">
        <f>IFERROR(__xludf.DUMMYFUNCTION("""COMPUTED_VALUE"""),1.0)</f>
        <v>1</v>
      </c>
      <c r="U1819" s="4" t="str">
        <f>IFERROR(__xludf.DUMMYFUNCTION("""COMPUTED_VALUE"""),"Saipos Serviços De Software")</f>
        <v>Saipos Serviços De Software</v>
      </c>
      <c r="V1819" s="33">
        <f>IFERROR(__xludf.DUMMYFUNCTION("""COMPUTED_VALUE"""),1.0)</f>
        <v>1</v>
      </c>
      <c r="W1819" s="4" t="str">
        <f>IFERROR(__xludf.DUMMYFUNCTION("""COMPUTED_VALUE"""),"Saipos Serviços De Software")</f>
        <v>Saipos Serviços De Software</v>
      </c>
      <c r="X1819" s="33">
        <f>IFERROR(__xludf.DUMMYFUNCTION("""COMPUTED_VALUE"""),0.6)</f>
        <v>0.6</v>
      </c>
    </row>
    <row r="1820">
      <c r="K1820" s="4" t="str">
        <f>IFERROR(__xludf.DUMMYFUNCTION("""COMPUTED_VALUE"""),"NOBRES GOURMET")</f>
        <v>NOBRES GOURMET</v>
      </c>
      <c r="L1820" s="32">
        <f>IFERROR(__xludf.DUMMYFUNCTION("""COMPUTED_VALUE"""),5.0)</f>
        <v>5</v>
      </c>
      <c r="M1820" s="4" t="str">
        <f>IFERROR(__xludf.DUMMYFUNCTION("""COMPUTED_VALUE"""),"Mp Multipedidos")</f>
        <v>Mp Multipedidos</v>
      </c>
      <c r="N1820" s="33">
        <f>IFERROR(__xludf.DUMMYFUNCTION("""COMPUTED_VALUE"""),0.8)</f>
        <v>0.8</v>
      </c>
      <c r="O1820" s="4" t="str">
        <f>IFERROR(__xludf.DUMMYFUNCTION("""COMPUTED_VALUE"""),"Mp Multipedidos")</f>
        <v>Mp Multipedidos</v>
      </c>
      <c r="P1820" s="33">
        <f>IFERROR(__xludf.DUMMYFUNCTION("""COMPUTED_VALUE"""),0.8)</f>
        <v>0.8</v>
      </c>
      <c r="Q1820" s="4" t="str">
        <f>IFERROR(__xludf.DUMMYFUNCTION("""COMPUTED_VALUE"""),"Mp Multipedidos")</f>
        <v>Mp Multipedidos</v>
      </c>
      <c r="R1820" s="33">
        <f>IFERROR(__xludf.DUMMYFUNCTION("""COMPUTED_VALUE"""),0.8)</f>
        <v>0.8</v>
      </c>
      <c r="S1820" s="4" t="str">
        <f>IFERROR(__xludf.DUMMYFUNCTION("""COMPUTED_VALUE"""),"Mp Multipedidos")</f>
        <v>Mp Multipedidos</v>
      </c>
      <c r="T1820" s="33">
        <f>IFERROR(__xludf.DUMMYFUNCTION("""COMPUTED_VALUE"""),1.0)</f>
        <v>1</v>
      </c>
      <c r="U1820" s="4" t="str">
        <f>IFERROR(__xludf.DUMMYFUNCTION("""COMPUTED_VALUE"""),"Mp Multipedidos")</f>
        <v>Mp Multipedidos</v>
      </c>
      <c r="V1820" s="33">
        <f>IFERROR(__xludf.DUMMYFUNCTION("""COMPUTED_VALUE"""),1.0)</f>
        <v>1</v>
      </c>
      <c r="W1820" s="4" t="str">
        <f>IFERROR(__xludf.DUMMYFUNCTION("""COMPUTED_VALUE"""),"Mp Multipedidos")</f>
        <v>Mp Multipedidos</v>
      </c>
      <c r="X1820" s="33">
        <f>IFERROR(__xludf.DUMMYFUNCTION("""COMPUTED_VALUE"""),1.0)</f>
        <v>1</v>
      </c>
    </row>
    <row r="1821">
      <c r="K1821" s="4" t="str">
        <f>IFERROR(__xludf.DUMMYFUNCTION("""COMPUTED_VALUE"""),"NOVA GRILL")</f>
        <v>NOVA GRILL</v>
      </c>
      <c r="L1821" s="32">
        <f>IFERROR(__xludf.DUMMYFUNCTION("""COMPUTED_VALUE"""),5.0)</f>
        <v>5</v>
      </c>
      <c r="M1821" s="4" t="str">
        <f>IFERROR(__xludf.DUMMYFUNCTION("""COMPUTED_VALUE"""),"Connectplug")</f>
        <v>Connectplug</v>
      </c>
      <c r="N1821" s="33">
        <f>IFERROR(__xludf.DUMMYFUNCTION("""COMPUTED_VALUE"""),1.0)</f>
        <v>1</v>
      </c>
      <c r="O1821" s="4" t="str">
        <f>IFERROR(__xludf.DUMMYFUNCTION("""COMPUTED_VALUE"""),"Connectplug")</f>
        <v>Connectplug</v>
      </c>
      <c r="P1821" s="33">
        <f>IFERROR(__xludf.DUMMYFUNCTION("""COMPUTED_VALUE"""),1.0)</f>
        <v>1</v>
      </c>
      <c r="Q1821" s="4" t="str">
        <f>IFERROR(__xludf.DUMMYFUNCTION("""COMPUTED_VALUE"""),"Connectplug")</f>
        <v>Connectplug</v>
      </c>
      <c r="R1821" s="33">
        <f>IFERROR(__xludf.DUMMYFUNCTION("""COMPUTED_VALUE"""),1.0)</f>
        <v>1</v>
      </c>
      <c r="S1821" s="4" t="str">
        <f>IFERROR(__xludf.DUMMYFUNCTION("""COMPUTED_VALUE"""),"Connectplug")</f>
        <v>Connectplug</v>
      </c>
      <c r="T1821" s="33">
        <f>IFERROR(__xludf.DUMMYFUNCTION("""COMPUTED_VALUE"""),1.0)</f>
        <v>1</v>
      </c>
      <c r="U1821" s="4" t="str">
        <f>IFERROR(__xludf.DUMMYFUNCTION("""COMPUTED_VALUE"""),"Connectplug")</f>
        <v>Connectplug</v>
      </c>
      <c r="V1821" s="33">
        <f>IFERROR(__xludf.DUMMYFUNCTION("""COMPUTED_VALUE"""),1.0)</f>
        <v>1</v>
      </c>
      <c r="W1821" s="4" t="str">
        <f>IFERROR(__xludf.DUMMYFUNCTION("""COMPUTED_VALUE"""),"Connectplug")</f>
        <v>Connectplug</v>
      </c>
      <c r="X1821" s="33">
        <f>IFERROR(__xludf.DUMMYFUNCTION("""COMPUTED_VALUE"""),1.0)</f>
        <v>1</v>
      </c>
    </row>
    <row r="1822">
      <c r="K1822" s="4" t="str">
        <f>IFERROR(__xludf.DUMMYFUNCTION("""COMPUTED_VALUE"""),"O BAR")</f>
        <v>O BAR</v>
      </c>
      <c r="L1822" s="32">
        <f>IFERROR(__xludf.DUMMYFUNCTION("""COMPUTED_VALUE"""),5.0)</f>
        <v>5</v>
      </c>
      <c r="M1822" s="4" t="str">
        <f>IFERROR(__xludf.DUMMYFUNCTION("""COMPUTED_VALUE"""),"Netcontroll Xmenu")</f>
        <v>Netcontroll Xmenu</v>
      </c>
      <c r="N1822" s="33">
        <f>IFERROR(__xludf.DUMMYFUNCTION("""COMPUTED_VALUE"""),0.8)</f>
        <v>0.8</v>
      </c>
      <c r="O1822" s="4" t="str">
        <f>IFERROR(__xludf.DUMMYFUNCTION("""COMPUTED_VALUE"""),"Netcontroll Xmenu")</f>
        <v>Netcontroll Xmenu</v>
      </c>
      <c r="P1822" s="33">
        <f>IFERROR(__xludf.DUMMYFUNCTION("""COMPUTED_VALUE"""),1.0)</f>
        <v>1</v>
      </c>
      <c r="Q1822" s="4" t="str">
        <f>IFERROR(__xludf.DUMMYFUNCTION("""COMPUTED_VALUE"""),"Netcontroll Xmenu")</f>
        <v>Netcontroll Xmenu</v>
      </c>
      <c r="R1822" s="33">
        <f>IFERROR(__xludf.DUMMYFUNCTION("""COMPUTED_VALUE"""),1.0)</f>
        <v>1</v>
      </c>
      <c r="S1822" s="4" t="str">
        <f>IFERROR(__xludf.DUMMYFUNCTION("""COMPUTED_VALUE"""),"Netcontroll Xmenu")</f>
        <v>Netcontroll Xmenu</v>
      </c>
      <c r="T1822" s="33">
        <f>IFERROR(__xludf.DUMMYFUNCTION("""COMPUTED_VALUE"""),1.0)</f>
        <v>1</v>
      </c>
      <c r="U1822" s="4" t="str">
        <f>IFERROR(__xludf.DUMMYFUNCTION("""COMPUTED_VALUE"""),"Netcontroll Xmenu")</f>
        <v>Netcontroll Xmenu</v>
      </c>
      <c r="V1822" s="33">
        <f>IFERROR(__xludf.DUMMYFUNCTION("""COMPUTED_VALUE"""),1.0)</f>
        <v>1</v>
      </c>
      <c r="W1822" s="4" t="str">
        <f>IFERROR(__xludf.DUMMYFUNCTION("""COMPUTED_VALUE"""),"Netcontroll Xmenu")</f>
        <v>Netcontroll Xmenu</v>
      </c>
      <c r="X1822" s="33">
        <f>IFERROR(__xludf.DUMMYFUNCTION("""COMPUTED_VALUE"""),1.0)</f>
        <v>1</v>
      </c>
    </row>
    <row r="1823">
      <c r="K1823" s="4" t="str">
        <f>IFERROR(__xludf.DUMMYFUNCTION("""COMPUTED_VALUE"""),"O BOTECO ARGENTINO")</f>
        <v>O BOTECO ARGENTINO</v>
      </c>
      <c r="L1823" s="32">
        <f>IFERROR(__xludf.DUMMYFUNCTION("""COMPUTED_VALUE"""),5.0)</f>
        <v>5</v>
      </c>
      <c r="M1823" s="4" t="str">
        <f>IFERROR(__xludf.DUMMYFUNCTION("""COMPUTED_VALUE"""),"Hubster")</f>
        <v>Hubster</v>
      </c>
      <c r="N1823" s="33">
        <f>IFERROR(__xludf.DUMMYFUNCTION("""COMPUTED_VALUE"""),0.6)</f>
        <v>0.6</v>
      </c>
      <c r="O1823" s="4" t="str">
        <f>IFERROR(__xludf.DUMMYFUNCTION("""COMPUTED_VALUE"""),"Hubster")</f>
        <v>Hubster</v>
      </c>
      <c r="P1823" s="33">
        <f>IFERROR(__xludf.DUMMYFUNCTION("""COMPUTED_VALUE"""),0.6)</f>
        <v>0.6</v>
      </c>
      <c r="Q1823" s="4" t="str">
        <f>IFERROR(__xludf.DUMMYFUNCTION("""COMPUTED_VALUE"""),"Hubster")</f>
        <v>Hubster</v>
      </c>
      <c r="R1823" s="33">
        <f>IFERROR(__xludf.DUMMYFUNCTION("""COMPUTED_VALUE"""),0.6)</f>
        <v>0.6</v>
      </c>
      <c r="S1823" s="4" t="str">
        <f>IFERROR(__xludf.DUMMYFUNCTION("""COMPUTED_VALUE"""),"Hubster")</f>
        <v>Hubster</v>
      </c>
      <c r="T1823" s="33">
        <f>IFERROR(__xludf.DUMMYFUNCTION("""COMPUTED_VALUE"""),0.6)</f>
        <v>0.6</v>
      </c>
      <c r="U1823" s="4" t="str">
        <f>IFERROR(__xludf.DUMMYFUNCTION("""COMPUTED_VALUE"""),"Hubster")</f>
        <v>Hubster</v>
      </c>
      <c r="V1823" s="33">
        <f>IFERROR(__xludf.DUMMYFUNCTION("""COMPUTED_VALUE"""),0.6)</f>
        <v>0.6</v>
      </c>
      <c r="W1823" s="4" t="str">
        <f>IFERROR(__xludf.DUMMYFUNCTION("""COMPUTED_VALUE"""),"Hubster")</f>
        <v>Hubster</v>
      </c>
      <c r="X1823" s="33">
        <f>IFERROR(__xludf.DUMMYFUNCTION("""COMPUTED_VALUE"""),0.6)</f>
        <v>0.6</v>
      </c>
    </row>
    <row r="1824">
      <c r="K1824" s="4" t="str">
        <f>IFERROR(__xludf.DUMMYFUNCTION("""COMPUTED_VALUE"""),"GRUPO VIP SUSHI - ART IN DELIVERY")</f>
        <v>GRUPO VIP SUSHI - ART IN DELIVERY</v>
      </c>
      <c r="L1824" s="32">
        <f>IFERROR(__xludf.DUMMYFUNCTION("""COMPUTED_VALUE"""),5.0)</f>
        <v>5</v>
      </c>
      <c r="M1824" s="4" t="str">
        <f>IFERROR(__xludf.DUMMYFUNCTION("""COMPUTED_VALUE"""),"Saipos Serviços De Software")</f>
        <v>Saipos Serviços De Software</v>
      </c>
      <c r="N1824" s="33">
        <f>IFERROR(__xludf.DUMMYFUNCTION("""COMPUTED_VALUE"""),1.0)</f>
        <v>1</v>
      </c>
      <c r="O1824" s="4" t="str">
        <f>IFERROR(__xludf.DUMMYFUNCTION("""COMPUTED_VALUE"""),"Saipos Serviços De Software")</f>
        <v>Saipos Serviços De Software</v>
      </c>
      <c r="P1824" s="33">
        <f>IFERROR(__xludf.DUMMYFUNCTION("""COMPUTED_VALUE"""),1.0)</f>
        <v>1</v>
      </c>
      <c r="Q1824" s="4" t="str">
        <f>IFERROR(__xludf.DUMMYFUNCTION("""COMPUTED_VALUE"""),"Saipos Serviços De Software")</f>
        <v>Saipos Serviços De Software</v>
      </c>
      <c r="R1824" s="33">
        <f>IFERROR(__xludf.DUMMYFUNCTION("""COMPUTED_VALUE"""),1.0)</f>
        <v>1</v>
      </c>
      <c r="S1824" s="4" t="str">
        <f>IFERROR(__xludf.DUMMYFUNCTION("""COMPUTED_VALUE"""),"Saipos Serviços De Software")</f>
        <v>Saipos Serviços De Software</v>
      </c>
      <c r="T1824" s="33">
        <f>IFERROR(__xludf.DUMMYFUNCTION("""COMPUTED_VALUE"""),1.0)</f>
        <v>1</v>
      </c>
      <c r="U1824" s="4" t="str">
        <f>IFERROR(__xludf.DUMMYFUNCTION("""COMPUTED_VALUE"""),"Saipos Serviços De Software")</f>
        <v>Saipos Serviços De Software</v>
      </c>
      <c r="V1824" s="33">
        <f>IFERROR(__xludf.DUMMYFUNCTION("""COMPUTED_VALUE"""),1.0)</f>
        <v>1</v>
      </c>
      <c r="W1824" s="4" t="str">
        <f>IFERROR(__xludf.DUMMYFUNCTION("""COMPUTED_VALUE"""),"Saipos Serviços De Software")</f>
        <v>Saipos Serviços De Software</v>
      </c>
      <c r="X1824" s="33">
        <f>IFERROR(__xludf.DUMMYFUNCTION("""COMPUTED_VALUE"""),1.0)</f>
        <v>1</v>
      </c>
    </row>
    <row r="1825">
      <c r="K1825" s="4" t="str">
        <f>IFERROR(__xludf.DUMMYFUNCTION("""COMPUTED_VALUE"""),"O MELHOR BAIAO - CONTA MARCA")</f>
        <v>O MELHOR BAIAO - CONTA MARCA</v>
      </c>
      <c r="L1825" s="32">
        <f>IFERROR(__xludf.DUMMYFUNCTION("""COMPUTED_VALUE"""),5.0)</f>
        <v>5</v>
      </c>
      <c r="M1825" s="4" t="str">
        <f>IFERROR(__xludf.DUMMYFUNCTION("""COMPUTED_VALUE"""),"Mp Multipedidos")</f>
        <v>Mp Multipedidos</v>
      </c>
      <c r="N1825" s="33">
        <f>IFERROR(__xludf.DUMMYFUNCTION("""COMPUTED_VALUE"""),1.0)</f>
        <v>1</v>
      </c>
      <c r="O1825" s="4" t="str">
        <f>IFERROR(__xludf.DUMMYFUNCTION("""COMPUTED_VALUE"""),"Mp Multipedidos")</f>
        <v>Mp Multipedidos</v>
      </c>
      <c r="P1825" s="33">
        <f>IFERROR(__xludf.DUMMYFUNCTION("""COMPUTED_VALUE"""),1.0)</f>
        <v>1</v>
      </c>
      <c r="Q1825" s="4" t="str">
        <f>IFERROR(__xludf.DUMMYFUNCTION("""COMPUTED_VALUE"""),"Mp Multipedidos")</f>
        <v>Mp Multipedidos</v>
      </c>
      <c r="R1825" s="33">
        <f>IFERROR(__xludf.DUMMYFUNCTION("""COMPUTED_VALUE"""),1.0)</f>
        <v>1</v>
      </c>
      <c r="S1825" s="4" t="str">
        <f>IFERROR(__xludf.DUMMYFUNCTION("""COMPUTED_VALUE"""),"Mp Multipedidos")</f>
        <v>Mp Multipedidos</v>
      </c>
      <c r="T1825" s="33">
        <f>IFERROR(__xludf.DUMMYFUNCTION("""COMPUTED_VALUE"""),1.0)</f>
        <v>1</v>
      </c>
      <c r="U1825" s="4" t="str">
        <f>IFERROR(__xludf.DUMMYFUNCTION("""COMPUTED_VALUE"""),"Mp Multipedidos")</f>
        <v>Mp Multipedidos</v>
      </c>
      <c r="V1825" s="33">
        <f>IFERROR(__xludf.DUMMYFUNCTION("""COMPUTED_VALUE"""),1.0)</f>
        <v>1</v>
      </c>
      <c r="W1825" s="4" t="str">
        <f>IFERROR(__xludf.DUMMYFUNCTION("""COMPUTED_VALUE"""),"Mp Multipedidos")</f>
        <v>Mp Multipedidos</v>
      </c>
      <c r="X1825" s="33">
        <f>IFERROR(__xludf.DUMMYFUNCTION("""COMPUTED_VALUE"""),1.0)</f>
        <v>1</v>
      </c>
    </row>
    <row r="1826">
      <c r="K1826" s="4" t="str">
        <f>IFERROR(__xludf.DUMMYFUNCTION("""COMPUTED_VALUE"""),"OKANE")</f>
        <v>OKANE</v>
      </c>
      <c r="L1826" s="32">
        <f>IFERROR(__xludf.DUMMYFUNCTION("""COMPUTED_VALUE"""),5.0)</f>
        <v>5</v>
      </c>
      <c r="M1826" s="4" t="str">
        <f>IFERROR(__xludf.DUMMYFUNCTION("""COMPUTED_VALUE"""),"null")</f>
        <v>null</v>
      </c>
      <c r="N1826" s="33">
        <f>IFERROR(__xludf.DUMMYFUNCTION("""COMPUTED_VALUE"""),1.0)</f>
        <v>1</v>
      </c>
      <c r="O1826" s="4" t="str">
        <f>IFERROR(__xludf.DUMMYFUNCTION("""COMPUTED_VALUE"""),"Saipos Serviços De Software")</f>
        <v>Saipos Serviços De Software</v>
      </c>
      <c r="P1826" s="33">
        <f>IFERROR(__xludf.DUMMYFUNCTION("""COMPUTED_VALUE"""),1.0)</f>
        <v>1</v>
      </c>
      <c r="Q1826" s="4" t="str">
        <f>IFERROR(__xludf.DUMMYFUNCTION("""COMPUTED_VALUE"""),"Saipos Serviços De Software")</f>
        <v>Saipos Serviços De Software</v>
      </c>
      <c r="R1826" s="33">
        <f>IFERROR(__xludf.DUMMYFUNCTION("""COMPUTED_VALUE"""),1.0)</f>
        <v>1</v>
      </c>
      <c r="S1826" s="4" t="str">
        <f>IFERROR(__xludf.DUMMYFUNCTION("""COMPUTED_VALUE"""),"Saipos Serviços De Software")</f>
        <v>Saipos Serviços De Software</v>
      </c>
      <c r="T1826" s="33">
        <f>IFERROR(__xludf.DUMMYFUNCTION("""COMPUTED_VALUE"""),1.0)</f>
        <v>1</v>
      </c>
      <c r="U1826" s="4" t="str">
        <f>IFERROR(__xludf.DUMMYFUNCTION("""COMPUTED_VALUE"""),"null")</f>
        <v>null</v>
      </c>
      <c r="V1826" s="33">
        <f>IFERROR(__xludf.DUMMYFUNCTION("""COMPUTED_VALUE"""),1.0)</f>
        <v>1</v>
      </c>
      <c r="W1826" s="4" t="str">
        <f>IFERROR(__xludf.DUMMYFUNCTION("""COMPUTED_VALUE"""),"null")</f>
        <v>null</v>
      </c>
      <c r="X1826" s="33">
        <f>IFERROR(__xludf.DUMMYFUNCTION("""COMPUTED_VALUE"""),1.0)</f>
        <v>1</v>
      </c>
    </row>
    <row r="1827">
      <c r="K1827" s="4" t="str">
        <f>IFERROR(__xludf.DUMMYFUNCTION("""COMPUTED_VALUE"""),"ORIENTE FAST")</f>
        <v>ORIENTE FAST</v>
      </c>
      <c r="L1827" s="32">
        <f>IFERROR(__xludf.DUMMYFUNCTION("""COMPUTED_VALUE"""),5.0)</f>
        <v>5</v>
      </c>
      <c r="M1827" s="4" t="str">
        <f>IFERROR(__xludf.DUMMYFUNCTION("""COMPUTED_VALUE"""),"Ncr")</f>
        <v>Ncr</v>
      </c>
      <c r="N1827" s="33">
        <f>IFERROR(__xludf.DUMMYFUNCTION("""COMPUTED_VALUE"""),0.6)</f>
        <v>0.6</v>
      </c>
      <c r="O1827" s="4" t="str">
        <f>IFERROR(__xludf.DUMMYFUNCTION("""COMPUTED_VALUE"""),"Ncr")</f>
        <v>Ncr</v>
      </c>
      <c r="P1827" s="33">
        <f>IFERROR(__xludf.DUMMYFUNCTION("""COMPUTED_VALUE"""),0.6)</f>
        <v>0.6</v>
      </c>
      <c r="Q1827" s="4" t="str">
        <f>IFERROR(__xludf.DUMMYFUNCTION("""COMPUTED_VALUE"""),"Ncr")</f>
        <v>Ncr</v>
      </c>
      <c r="R1827" s="33">
        <f>IFERROR(__xludf.DUMMYFUNCTION("""COMPUTED_VALUE"""),0.6)</f>
        <v>0.6</v>
      </c>
      <c r="S1827" s="4" t="str">
        <f>IFERROR(__xludf.DUMMYFUNCTION("""COMPUTED_VALUE"""),"Ncr")</f>
        <v>Ncr</v>
      </c>
      <c r="T1827" s="33">
        <f>IFERROR(__xludf.DUMMYFUNCTION("""COMPUTED_VALUE"""),0.6)</f>
        <v>0.6</v>
      </c>
      <c r="U1827" s="4" t="str">
        <f>IFERROR(__xludf.DUMMYFUNCTION("""COMPUTED_VALUE"""),"Ncr")</f>
        <v>Ncr</v>
      </c>
      <c r="V1827" s="33">
        <f>IFERROR(__xludf.DUMMYFUNCTION("""COMPUTED_VALUE"""),0.6)</f>
        <v>0.6</v>
      </c>
      <c r="W1827" s="4" t="str">
        <f>IFERROR(__xludf.DUMMYFUNCTION("""COMPUTED_VALUE"""),"Ncr")</f>
        <v>Ncr</v>
      </c>
      <c r="X1827" s="33">
        <f>IFERROR(__xludf.DUMMYFUNCTION("""COMPUTED_VALUE"""),0.6)</f>
        <v>0.6</v>
      </c>
    </row>
    <row r="1828">
      <c r="K1828" s="4" t="str">
        <f>IFERROR(__xludf.DUMMYFUNCTION("""COMPUTED_VALUE"""),"PADARIA BRASILEIRA")</f>
        <v>PADARIA BRASILEIRA</v>
      </c>
      <c r="L1828" s="32">
        <f>IFERROR(__xludf.DUMMYFUNCTION("""COMPUTED_VALUE"""),5.0)</f>
        <v>5</v>
      </c>
      <c r="M1828" s="4" t="str">
        <f>IFERROR(__xludf.DUMMYFUNCTION("""COMPUTED_VALUE"""),"Wba Gestão Tecnologia E Software Ltda")</f>
        <v>Wba Gestão Tecnologia E Software Ltda</v>
      </c>
      <c r="N1828" s="33">
        <f>IFERROR(__xludf.DUMMYFUNCTION("""COMPUTED_VALUE"""),1.0)</f>
        <v>1</v>
      </c>
      <c r="O1828" s="4" t="str">
        <f>IFERROR(__xludf.DUMMYFUNCTION("""COMPUTED_VALUE"""),"Wba Gestão Tecnologia E Software Ltda")</f>
        <v>Wba Gestão Tecnologia E Software Ltda</v>
      </c>
      <c r="P1828" s="33">
        <f>IFERROR(__xludf.DUMMYFUNCTION("""COMPUTED_VALUE"""),1.0)</f>
        <v>1</v>
      </c>
      <c r="Q1828" s="4" t="str">
        <f>IFERROR(__xludf.DUMMYFUNCTION("""COMPUTED_VALUE"""),"Wba Gestão Tecnologia E Software Ltda")</f>
        <v>Wba Gestão Tecnologia E Software Ltda</v>
      </c>
      <c r="R1828" s="33">
        <f>IFERROR(__xludf.DUMMYFUNCTION("""COMPUTED_VALUE"""),1.0)</f>
        <v>1</v>
      </c>
      <c r="S1828" s="4" t="str">
        <f>IFERROR(__xludf.DUMMYFUNCTION("""COMPUTED_VALUE"""),"Wba Gestão Tecnologia E Software Ltda")</f>
        <v>Wba Gestão Tecnologia E Software Ltda</v>
      </c>
      <c r="T1828" s="33">
        <f>IFERROR(__xludf.DUMMYFUNCTION("""COMPUTED_VALUE"""),1.0)</f>
        <v>1</v>
      </c>
      <c r="U1828" s="4" t="str">
        <f>IFERROR(__xludf.DUMMYFUNCTION("""COMPUTED_VALUE"""),"Wba Gestão Tecnologia E Software Ltda")</f>
        <v>Wba Gestão Tecnologia E Software Ltda</v>
      </c>
      <c r="V1828" s="33">
        <f>IFERROR(__xludf.DUMMYFUNCTION("""COMPUTED_VALUE"""),1.0)</f>
        <v>1</v>
      </c>
      <c r="W1828" s="4" t="str">
        <f>IFERROR(__xludf.DUMMYFUNCTION("""COMPUTED_VALUE"""),"Wba Gestão Tecnologia E Software Ltda")</f>
        <v>Wba Gestão Tecnologia E Software Ltda</v>
      </c>
      <c r="X1828" s="33">
        <f>IFERROR(__xludf.DUMMYFUNCTION("""COMPUTED_VALUE"""),1.0)</f>
        <v>1</v>
      </c>
    </row>
    <row r="1829">
      <c r="K1829" s="4" t="str">
        <f>IFERROR(__xludf.DUMMYFUNCTION("""COMPUTED_VALUE"""),"PADARIA TITA MARCA")</f>
        <v>PADARIA TITA MARCA</v>
      </c>
      <c r="L1829" s="32">
        <f>IFERROR(__xludf.DUMMYFUNCTION("""COMPUTED_VALUE"""),5.0)</f>
        <v>5</v>
      </c>
      <c r="M1829" s="4" t="str">
        <f>IFERROR(__xludf.DUMMYFUNCTION("""COMPUTED_VALUE"""),"T4l Tecnologia Ltda Me")</f>
        <v>T4l Tecnologia Ltda Me</v>
      </c>
      <c r="N1829" s="33">
        <f>IFERROR(__xludf.DUMMYFUNCTION("""COMPUTED_VALUE"""),1.0)</f>
        <v>1</v>
      </c>
      <c r="O1829" s="4" t="str">
        <f>IFERROR(__xludf.DUMMYFUNCTION("""COMPUTED_VALUE"""),"T4l Tecnologia Ltda Me")</f>
        <v>T4l Tecnologia Ltda Me</v>
      </c>
      <c r="P1829" s="33">
        <f>IFERROR(__xludf.DUMMYFUNCTION("""COMPUTED_VALUE"""),1.0)</f>
        <v>1</v>
      </c>
      <c r="Q1829" s="4" t="str">
        <f>IFERROR(__xludf.DUMMYFUNCTION("""COMPUTED_VALUE"""),"T4l Tecnologia Ltda Me")</f>
        <v>T4l Tecnologia Ltda Me</v>
      </c>
      <c r="R1829" s="33">
        <f>IFERROR(__xludf.DUMMYFUNCTION("""COMPUTED_VALUE"""),1.0)</f>
        <v>1</v>
      </c>
      <c r="S1829" s="4" t="str">
        <f>IFERROR(__xludf.DUMMYFUNCTION("""COMPUTED_VALUE"""),"T4l Tecnologia Ltda Me")</f>
        <v>T4l Tecnologia Ltda Me</v>
      </c>
      <c r="T1829" s="33">
        <f>IFERROR(__xludf.DUMMYFUNCTION("""COMPUTED_VALUE"""),1.0)</f>
        <v>1</v>
      </c>
      <c r="U1829" s="4" t="str">
        <f>IFERROR(__xludf.DUMMYFUNCTION("""COMPUTED_VALUE"""),"T4l Tecnologia Ltda Me")</f>
        <v>T4l Tecnologia Ltda Me</v>
      </c>
      <c r="V1829" s="33">
        <f>IFERROR(__xludf.DUMMYFUNCTION("""COMPUTED_VALUE"""),1.0)</f>
        <v>1</v>
      </c>
      <c r="W1829" s="4" t="str">
        <f>IFERROR(__xludf.DUMMYFUNCTION("""COMPUTED_VALUE"""),"T4l Tecnologia Ltda Me")</f>
        <v>T4l Tecnologia Ltda Me</v>
      </c>
      <c r="X1829" s="33">
        <f>IFERROR(__xludf.DUMMYFUNCTION("""COMPUTED_VALUE"""),0.8)</f>
        <v>0.8</v>
      </c>
    </row>
    <row r="1830">
      <c r="K1830" s="4" t="str">
        <f>IFERROR(__xludf.DUMMYFUNCTION("""COMPUTED_VALUE"""),"PANTUCCI - CONTA PAI")</f>
        <v>PANTUCCI - CONTA PAI</v>
      </c>
      <c r="L1830" s="32">
        <f>IFERROR(__xludf.DUMMYFUNCTION("""COMPUTED_VALUE"""),5.0)</f>
        <v>5</v>
      </c>
      <c r="M1830" s="4" t="str">
        <f>IFERROR(__xludf.DUMMYFUNCTION("""COMPUTED_VALUE"""),"Cloudfy")</f>
        <v>Cloudfy</v>
      </c>
      <c r="N1830" s="33">
        <f>IFERROR(__xludf.DUMMYFUNCTION("""COMPUTED_VALUE"""),0.8)</f>
        <v>0.8</v>
      </c>
      <c r="O1830" s="4" t="str">
        <f>IFERROR(__xludf.DUMMYFUNCTION("""COMPUTED_VALUE"""),"Cloudfy")</f>
        <v>Cloudfy</v>
      </c>
      <c r="P1830" s="33">
        <f>IFERROR(__xludf.DUMMYFUNCTION("""COMPUTED_VALUE"""),1.0)</f>
        <v>1</v>
      </c>
      <c r="Q1830" s="4" t="str">
        <f>IFERROR(__xludf.DUMMYFUNCTION("""COMPUTED_VALUE"""),"Cloudfy")</f>
        <v>Cloudfy</v>
      </c>
      <c r="R1830" s="33">
        <f>IFERROR(__xludf.DUMMYFUNCTION("""COMPUTED_VALUE"""),0.8)</f>
        <v>0.8</v>
      </c>
      <c r="S1830" s="4" t="str">
        <f>IFERROR(__xludf.DUMMYFUNCTION("""COMPUTED_VALUE"""),"Cloudfy")</f>
        <v>Cloudfy</v>
      </c>
      <c r="T1830" s="33">
        <f>IFERROR(__xludf.DUMMYFUNCTION("""COMPUTED_VALUE"""),0.8)</f>
        <v>0.8</v>
      </c>
      <c r="U1830" s="4" t="str">
        <f>IFERROR(__xludf.DUMMYFUNCTION("""COMPUTED_VALUE"""),"Cloudfy")</f>
        <v>Cloudfy</v>
      </c>
      <c r="V1830" s="33">
        <f>IFERROR(__xludf.DUMMYFUNCTION("""COMPUTED_VALUE"""),1.0)</f>
        <v>1</v>
      </c>
      <c r="W1830" s="4" t="str">
        <f>IFERROR(__xludf.DUMMYFUNCTION("""COMPUTED_VALUE"""),"Cloudfy")</f>
        <v>Cloudfy</v>
      </c>
      <c r="X1830" s="33">
        <f>IFERROR(__xludf.DUMMYFUNCTION("""COMPUTED_VALUE"""),1.0)</f>
        <v>1</v>
      </c>
    </row>
    <row r="1831">
      <c r="K1831" s="4" t="str">
        <f>IFERROR(__xludf.DUMMYFUNCTION("""COMPUTED_VALUE"""),"PARAISO DOS PASTEIS - BLUMENAU")</f>
        <v>PARAISO DOS PASTEIS - BLUMENAU</v>
      </c>
      <c r="L1831" s="32">
        <f>IFERROR(__xludf.DUMMYFUNCTION("""COMPUTED_VALUE"""),5.0)</f>
        <v>5</v>
      </c>
      <c r="M1831" s="4" t="str">
        <f>IFERROR(__xludf.DUMMYFUNCTION("""COMPUTED_VALUE"""),"Eclética Tecnologia")</f>
        <v>Eclética Tecnologia</v>
      </c>
      <c r="N1831" s="33">
        <f>IFERROR(__xludf.DUMMYFUNCTION("""COMPUTED_VALUE"""),0.6)</f>
        <v>0.6</v>
      </c>
      <c r="O1831" s="4" t="str">
        <f>IFERROR(__xludf.DUMMYFUNCTION("""COMPUTED_VALUE"""),"Eclética Tecnologia")</f>
        <v>Eclética Tecnologia</v>
      </c>
      <c r="P1831" s="33">
        <f>IFERROR(__xludf.DUMMYFUNCTION("""COMPUTED_VALUE"""),0.6)</f>
        <v>0.6</v>
      </c>
      <c r="Q1831" s="4" t="str">
        <f>IFERROR(__xludf.DUMMYFUNCTION("""COMPUTED_VALUE"""),"Eclética Tecnologia")</f>
        <v>Eclética Tecnologia</v>
      </c>
      <c r="R1831" s="33">
        <f>IFERROR(__xludf.DUMMYFUNCTION("""COMPUTED_VALUE"""),0.6)</f>
        <v>0.6</v>
      </c>
      <c r="S1831" s="4" t="str">
        <f>IFERROR(__xludf.DUMMYFUNCTION("""COMPUTED_VALUE"""),"null")</f>
        <v>null</v>
      </c>
      <c r="T1831" s="33">
        <f>IFERROR(__xludf.DUMMYFUNCTION("""COMPUTED_VALUE"""),0.4)</f>
        <v>0.4</v>
      </c>
      <c r="U1831" s="4" t="str">
        <f>IFERROR(__xludf.DUMMYFUNCTION("""COMPUTED_VALUE"""),"null")</f>
        <v>null</v>
      </c>
      <c r="V1831" s="33">
        <f>IFERROR(__xludf.DUMMYFUNCTION("""COMPUTED_VALUE"""),0.4)</f>
        <v>0.4</v>
      </c>
      <c r="W1831" s="4" t="str">
        <f>IFERROR(__xludf.DUMMYFUNCTION("""COMPUTED_VALUE"""),"Eclética Tecnologia")</f>
        <v>Eclética Tecnologia</v>
      </c>
      <c r="X1831" s="33">
        <f>IFERROR(__xludf.DUMMYFUNCTION("""COMPUTED_VALUE"""),0.6)</f>
        <v>0.6</v>
      </c>
    </row>
    <row r="1832">
      <c r="K1832" s="4" t="str">
        <f>IFERROR(__xludf.DUMMYFUNCTION("""COMPUTED_VALUE"""),"PASTEL DE FEIRA SUPER")</f>
        <v>PASTEL DE FEIRA SUPER</v>
      </c>
      <c r="L1832" s="32">
        <f>IFERROR(__xludf.DUMMYFUNCTION("""COMPUTED_VALUE"""),5.0)</f>
        <v>5</v>
      </c>
      <c r="M1832" s="4" t="str">
        <f>IFERROR(__xludf.DUMMYFUNCTION("""COMPUTED_VALUE"""),"Beefood - Sistema Para Restaurantes")</f>
        <v>Beefood - Sistema Para Restaurantes</v>
      </c>
      <c r="N1832" s="33">
        <f>IFERROR(__xludf.DUMMYFUNCTION("""COMPUTED_VALUE"""),1.0)</f>
        <v>1</v>
      </c>
      <c r="O1832" s="4" t="str">
        <f>IFERROR(__xludf.DUMMYFUNCTION("""COMPUTED_VALUE"""),"Beefood - Sistema Para Restaurantes")</f>
        <v>Beefood - Sistema Para Restaurantes</v>
      </c>
      <c r="P1832" s="33">
        <f>IFERROR(__xludf.DUMMYFUNCTION("""COMPUTED_VALUE"""),0.8)</f>
        <v>0.8</v>
      </c>
      <c r="Q1832" s="4" t="str">
        <f>IFERROR(__xludf.DUMMYFUNCTION("""COMPUTED_VALUE"""),"Beefood - Sistema Para Restaurantes")</f>
        <v>Beefood - Sistema Para Restaurantes</v>
      </c>
      <c r="R1832" s="33">
        <f>IFERROR(__xludf.DUMMYFUNCTION("""COMPUTED_VALUE"""),0.8)</f>
        <v>0.8</v>
      </c>
      <c r="S1832" s="4" t="str">
        <f>IFERROR(__xludf.DUMMYFUNCTION("""COMPUTED_VALUE"""),"Beefood - Sistema Para Restaurantes")</f>
        <v>Beefood - Sistema Para Restaurantes</v>
      </c>
      <c r="T1832" s="33">
        <f>IFERROR(__xludf.DUMMYFUNCTION("""COMPUTED_VALUE"""),0.6)</f>
        <v>0.6</v>
      </c>
      <c r="U1832" s="4" t="str">
        <f>IFERROR(__xludf.DUMMYFUNCTION("""COMPUTED_VALUE"""),"Beefood - Sistema Para Restaurantes")</f>
        <v>Beefood - Sistema Para Restaurantes</v>
      </c>
      <c r="V1832" s="33">
        <f>IFERROR(__xludf.DUMMYFUNCTION("""COMPUTED_VALUE"""),0.8)</f>
        <v>0.8</v>
      </c>
      <c r="W1832" s="4" t="str">
        <f>IFERROR(__xludf.DUMMYFUNCTION("""COMPUTED_VALUE"""),"Beefood - Sistema Para Restaurantes")</f>
        <v>Beefood - Sistema Para Restaurantes</v>
      </c>
      <c r="X1832" s="33">
        <f>IFERROR(__xludf.DUMMYFUNCTION("""COMPUTED_VALUE"""),1.0)</f>
        <v>1</v>
      </c>
    </row>
    <row r="1833">
      <c r="K1833" s="4" t="str">
        <f>IFERROR(__xludf.DUMMYFUNCTION("""COMPUTED_VALUE"""),"PASTEL E YAKISSOBA DA MI")</f>
        <v>PASTEL E YAKISSOBA DA MI</v>
      </c>
      <c r="L1833" s="32">
        <f>IFERROR(__xludf.DUMMYFUNCTION("""COMPUTED_VALUE"""),5.0)</f>
        <v>5</v>
      </c>
      <c r="M1833" s="4" t="str">
        <f>IFERROR(__xludf.DUMMYFUNCTION("""COMPUTED_VALUE"""),"Saipos Serviços De Software")</f>
        <v>Saipos Serviços De Software</v>
      </c>
      <c r="N1833" s="33">
        <f>IFERROR(__xludf.DUMMYFUNCTION("""COMPUTED_VALUE"""),0.6)</f>
        <v>0.6</v>
      </c>
      <c r="O1833" s="4" t="str">
        <f>IFERROR(__xludf.DUMMYFUNCTION("""COMPUTED_VALUE"""),"null")</f>
        <v>null</v>
      </c>
      <c r="P1833" s="33">
        <f>IFERROR(__xludf.DUMMYFUNCTION("""COMPUTED_VALUE"""),0.6)</f>
        <v>0.6</v>
      </c>
      <c r="Q1833" s="4" t="str">
        <f>IFERROR(__xludf.DUMMYFUNCTION("""COMPUTED_VALUE"""),"null")</f>
        <v>null</v>
      </c>
      <c r="R1833" s="33">
        <f>IFERROR(__xludf.DUMMYFUNCTION("""COMPUTED_VALUE"""),0.4)</f>
        <v>0.4</v>
      </c>
      <c r="S1833" s="4" t="str">
        <f>IFERROR(__xludf.DUMMYFUNCTION("""COMPUTED_VALUE"""),"null")</f>
        <v>null</v>
      </c>
      <c r="T1833" s="33">
        <f>IFERROR(__xludf.DUMMYFUNCTION("""COMPUTED_VALUE"""),0.4)</f>
        <v>0.4</v>
      </c>
      <c r="U1833" s="4" t="str">
        <f>IFERROR(__xludf.DUMMYFUNCTION("""COMPUTED_VALUE"""),"null")</f>
        <v>null</v>
      </c>
      <c r="V1833" s="33">
        <f>IFERROR(__xludf.DUMMYFUNCTION("""COMPUTED_VALUE"""),0.6)</f>
        <v>0.6</v>
      </c>
      <c r="W1833" s="4" t="str">
        <f>IFERROR(__xludf.DUMMYFUNCTION("""COMPUTED_VALUE"""),"null")</f>
        <v>null</v>
      </c>
      <c r="X1833" s="33">
        <f>IFERROR(__xludf.DUMMYFUNCTION("""COMPUTED_VALUE"""),0.6)</f>
        <v>0.6</v>
      </c>
    </row>
    <row r="1834">
      <c r="K1834" s="4" t="str">
        <f>IFERROR(__xludf.DUMMYFUNCTION("""COMPUTED_VALUE"""),"PASTELARIA DO RAFA")</f>
        <v>PASTELARIA DO RAFA</v>
      </c>
      <c r="L1834" s="32">
        <f>IFERROR(__xludf.DUMMYFUNCTION("""COMPUTED_VALUE"""),5.0)</f>
        <v>5</v>
      </c>
      <c r="M1834" s="4" t="str">
        <f>IFERROR(__xludf.DUMMYFUNCTION("""COMPUTED_VALUE"""),"Ctsi")</f>
        <v>Ctsi</v>
      </c>
      <c r="N1834" s="33">
        <f>IFERROR(__xludf.DUMMYFUNCTION("""COMPUTED_VALUE"""),0.6)</f>
        <v>0.6</v>
      </c>
      <c r="O1834" s="4" t="str">
        <f>IFERROR(__xludf.DUMMYFUNCTION("""COMPUTED_VALUE"""),"Ctsi")</f>
        <v>Ctsi</v>
      </c>
      <c r="P1834" s="33">
        <f>IFERROR(__xludf.DUMMYFUNCTION("""COMPUTED_VALUE"""),0.4)</f>
        <v>0.4</v>
      </c>
      <c r="Q1834" s="4" t="str">
        <f>IFERROR(__xludf.DUMMYFUNCTION("""COMPUTED_VALUE"""),"Ctsi")</f>
        <v>Ctsi</v>
      </c>
      <c r="R1834" s="33">
        <f>IFERROR(__xludf.DUMMYFUNCTION("""COMPUTED_VALUE"""),0.4)</f>
        <v>0.4</v>
      </c>
      <c r="S1834" s="4" t="str">
        <f>IFERROR(__xludf.DUMMYFUNCTION("""COMPUTED_VALUE"""),"null")</f>
        <v>null</v>
      </c>
      <c r="T1834" s="33">
        <f>IFERROR(__xludf.DUMMYFUNCTION("""COMPUTED_VALUE"""),0.4)</f>
        <v>0.4</v>
      </c>
      <c r="U1834" s="4" t="str">
        <f>IFERROR(__xludf.DUMMYFUNCTION("""COMPUTED_VALUE"""),"Netcontroll Xmenu")</f>
        <v>Netcontroll Xmenu</v>
      </c>
      <c r="V1834" s="33">
        <f>IFERROR(__xludf.DUMMYFUNCTION("""COMPUTED_VALUE"""),1.0)</f>
        <v>1</v>
      </c>
      <c r="W1834" s="4" t="str">
        <f>IFERROR(__xludf.DUMMYFUNCTION("""COMPUTED_VALUE"""),"Netcontroll Xmenu")</f>
        <v>Netcontroll Xmenu</v>
      </c>
      <c r="X1834" s="33">
        <f>IFERROR(__xludf.DUMMYFUNCTION("""COMPUTED_VALUE"""),1.0)</f>
        <v>1</v>
      </c>
    </row>
    <row r="1835">
      <c r="K1835" s="4" t="str">
        <f>IFERROR(__xludf.DUMMYFUNCTION("""COMPUTED_VALUE"""),"PECORA NERA")</f>
        <v>PECORA NERA</v>
      </c>
      <c r="L1835" s="32">
        <f>IFERROR(__xludf.DUMMYFUNCTION("""COMPUTED_VALUE"""),5.0)</f>
        <v>5</v>
      </c>
      <c r="M1835" s="4" t="str">
        <f>IFERROR(__xludf.DUMMYFUNCTION("""COMPUTED_VALUE"""),"null")</f>
        <v>null</v>
      </c>
      <c r="N1835" s="33">
        <f>IFERROR(__xludf.DUMMYFUNCTION("""COMPUTED_VALUE"""),0.4)</f>
        <v>0.4</v>
      </c>
      <c r="O1835" s="4" t="str">
        <f>IFERROR(__xludf.DUMMYFUNCTION("""COMPUTED_VALUE"""),"null")</f>
        <v>null</v>
      </c>
      <c r="P1835" s="33">
        <f>IFERROR(__xludf.DUMMYFUNCTION("""COMPUTED_VALUE"""),0.4)</f>
        <v>0.4</v>
      </c>
      <c r="Q1835" s="4" t="str">
        <f>IFERROR(__xludf.DUMMYFUNCTION("""COMPUTED_VALUE"""),"L&amp;f Tecnologia Sistemas E Comercio Ltda")</f>
        <v>L&amp;f Tecnologia Sistemas E Comercio Ltda</v>
      </c>
      <c r="R1835" s="33">
        <f>IFERROR(__xludf.DUMMYFUNCTION("""COMPUTED_VALUE"""),0.6)</f>
        <v>0.6</v>
      </c>
      <c r="S1835" s="4" t="str">
        <f>IFERROR(__xludf.DUMMYFUNCTION("""COMPUTED_VALUE"""),"null")</f>
        <v>null</v>
      </c>
      <c r="T1835" s="33">
        <f>IFERROR(__xludf.DUMMYFUNCTION("""COMPUTED_VALUE"""),0.8)</f>
        <v>0.8</v>
      </c>
      <c r="U1835" s="4" t="str">
        <f>IFERROR(__xludf.DUMMYFUNCTION("""COMPUTED_VALUE"""),"null")</f>
        <v>null</v>
      </c>
      <c r="V1835" s="33">
        <f>IFERROR(__xludf.DUMMYFUNCTION("""COMPUTED_VALUE"""),0.6)</f>
        <v>0.6</v>
      </c>
      <c r="W1835" s="4" t="str">
        <f>IFERROR(__xludf.DUMMYFUNCTION("""COMPUTED_VALUE"""),"null")</f>
        <v>null</v>
      </c>
      <c r="X1835" s="33">
        <f>IFERROR(__xludf.DUMMYFUNCTION("""COMPUTED_VALUE"""),0.4)</f>
        <v>0.4</v>
      </c>
    </row>
    <row r="1836">
      <c r="K1836" s="4" t="str">
        <f>IFERROR(__xludf.DUMMYFUNCTION("""COMPUTED_VALUE"""),"PECORA NERA M")</f>
        <v>PECORA NERA M</v>
      </c>
      <c r="L1836" s="32">
        <f>IFERROR(__xludf.DUMMYFUNCTION("""COMPUTED_VALUE"""),5.0)</f>
        <v>5</v>
      </c>
      <c r="M1836" s="4" t="str">
        <f>IFERROR(__xludf.DUMMYFUNCTION("""COMPUTED_VALUE"""),"null")</f>
        <v>null</v>
      </c>
      <c r="N1836" s="33">
        <f>IFERROR(__xludf.DUMMYFUNCTION("""COMPUTED_VALUE"""),0.4)</f>
        <v>0.4</v>
      </c>
      <c r="O1836" s="4" t="str">
        <f>IFERROR(__xludf.DUMMYFUNCTION("""COMPUTED_VALUE"""),"null")</f>
        <v>null</v>
      </c>
      <c r="P1836" s="33">
        <f>IFERROR(__xludf.DUMMYFUNCTION("""COMPUTED_VALUE"""),0.4)</f>
        <v>0.4</v>
      </c>
      <c r="Q1836" s="4" t="str">
        <f>IFERROR(__xludf.DUMMYFUNCTION("""COMPUTED_VALUE"""),"L&amp;f Tecnologia Sistemas E Comercio Ltda")</f>
        <v>L&amp;f Tecnologia Sistemas E Comercio Ltda</v>
      </c>
      <c r="R1836" s="33">
        <f>IFERROR(__xludf.DUMMYFUNCTION("""COMPUTED_VALUE"""),0.6)</f>
        <v>0.6</v>
      </c>
      <c r="S1836" s="4" t="str">
        <f>IFERROR(__xludf.DUMMYFUNCTION("""COMPUTED_VALUE"""),"null")</f>
        <v>null</v>
      </c>
      <c r="T1836" s="33">
        <f>IFERROR(__xludf.DUMMYFUNCTION("""COMPUTED_VALUE"""),0.8)</f>
        <v>0.8</v>
      </c>
      <c r="U1836" s="4" t="str">
        <f>IFERROR(__xludf.DUMMYFUNCTION("""COMPUTED_VALUE"""),"null")</f>
        <v>null</v>
      </c>
      <c r="V1836" s="33">
        <f>IFERROR(__xludf.DUMMYFUNCTION("""COMPUTED_VALUE"""),0.6)</f>
        <v>0.6</v>
      </c>
      <c r="W1836" s="4" t="str">
        <f>IFERROR(__xludf.DUMMYFUNCTION("""COMPUTED_VALUE"""),"null")</f>
        <v>null</v>
      </c>
      <c r="X1836" s="33">
        <f>IFERROR(__xludf.DUMMYFUNCTION("""COMPUTED_VALUE"""),0.4)</f>
        <v>0.4</v>
      </c>
    </row>
    <row r="1837">
      <c r="K1837" s="4" t="str">
        <f>IFERROR(__xludf.DUMMYFUNCTION("""COMPUTED_VALUE"""),"PEG PESE - CONTA PAI")</f>
        <v>PEG PESE - CONTA PAI</v>
      </c>
      <c r="L1837" s="32">
        <f>IFERROR(__xludf.DUMMYFUNCTION("""COMPUTED_VALUE"""),5.0)</f>
        <v>5</v>
      </c>
      <c r="M1837" s="4" t="str">
        <f>IFERROR(__xludf.DUMMYFUNCTION("""COMPUTED_VALUE"""),"N/A (Not found)")</f>
        <v>N/A (Not found)</v>
      </c>
      <c r="N1837" s="33">
        <f>IFERROR(__xludf.DUMMYFUNCTION("""COMPUTED_VALUE"""),1.0)</f>
        <v>1</v>
      </c>
      <c r="O1837" s="4" t="str">
        <f>IFERROR(__xludf.DUMMYFUNCTION("""COMPUTED_VALUE"""),"N/A (Not found)")</f>
        <v>N/A (Not found)</v>
      </c>
      <c r="P1837" s="33">
        <f>IFERROR(__xludf.DUMMYFUNCTION("""COMPUTED_VALUE"""),1.0)</f>
        <v>1</v>
      </c>
      <c r="Q1837" s="4" t="str">
        <f>IFERROR(__xludf.DUMMYFUNCTION("""COMPUTED_VALUE"""),"N/A (Not found)")</f>
        <v>N/A (Not found)</v>
      </c>
      <c r="R1837" s="33">
        <f>IFERROR(__xludf.DUMMYFUNCTION("""COMPUTED_VALUE"""),1.0)</f>
        <v>1</v>
      </c>
      <c r="S1837" s="4" t="str">
        <f>IFERROR(__xludf.DUMMYFUNCTION("""COMPUTED_VALUE"""),"N/A (Not found)")</f>
        <v>N/A (Not found)</v>
      </c>
      <c r="T1837" s="33">
        <f>IFERROR(__xludf.DUMMYFUNCTION("""COMPUTED_VALUE"""),1.0)</f>
        <v>1</v>
      </c>
      <c r="U1837" s="4" t="str">
        <f>IFERROR(__xludf.DUMMYFUNCTION("""COMPUTED_VALUE"""),"N/A (Not found)")</f>
        <v>N/A (Not found)</v>
      </c>
      <c r="V1837" s="33">
        <f>IFERROR(__xludf.DUMMYFUNCTION("""COMPUTED_VALUE"""),1.0)</f>
        <v>1</v>
      </c>
      <c r="W1837" s="4" t="str">
        <f>IFERROR(__xludf.DUMMYFUNCTION("""COMPUTED_VALUE"""),"N/A (Not found)")</f>
        <v>N/A (Not found)</v>
      </c>
      <c r="X1837" s="33">
        <f>IFERROR(__xludf.DUMMYFUNCTION("""COMPUTED_VALUE"""),1.0)</f>
        <v>1</v>
      </c>
    </row>
    <row r="1838">
      <c r="K1838" s="4" t="str">
        <f>IFERROR(__xludf.DUMMYFUNCTION("""COMPUTED_VALUE"""),"PEIXARIA ZAGAIA")</f>
        <v>PEIXARIA ZAGAIA</v>
      </c>
      <c r="L1838" s="32">
        <f>IFERROR(__xludf.DUMMYFUNCTION("""COMPUTED_VALUE"""),5.0)</f>
        <v>5</v>
      </c>
      <c r="M1838" s="4" t="str">
        <f>IFERROR(__xludf.DUMMYFUNCTION("""COMPUTED_VALUE"""),"Vekttor")</f>
        <v>Vekttor</v>
      </c>
      <c r="N1838" s="33">
        <f>IFERROR(__xludf.DUMMYFUNCTION("""COMPUTED_VALUE"""),1.0)</f>
        <v>1</v>
      </c>
      <c r="O1838" s="4" t="str">
        <f>IFERROR(__xludf.DUMMYFUNCTION("""COMPUTED_VALUE"""),"Vekttor")</f>
        <v>Vekttor</v>
      </c>
      <c r="P1838" s="33">
        <f>IFERROR(__xludf.DUMMYFUNCTION("""COMPUTED_VALUE"""),1.0)</f>
        <v>1</v>
      </c>
      <c r="Q1838" s="4" t="str">
        <f>IFERROR(__xludf.DUMMYFUNCTION("""COMPUTED_VALUE"""),"Vekttor")</f>
        <v>Vekttor</v>
      </c>
      <c r="R1838" s="33">
        <f>IFERROR(__xludf.DUMMYFUNCTION("""COMPUTED_VALUE"""),1.0)</f>
        <v>1</v>
      </c>
      <c r="S1838" s="4" t="str">
        <f>IFERROR(__xludf.DUMMYFUNCTION("""COMPUTED_VALUE"""),"Vekttor")</f>
        <v>Vekttor</v>
      </c>
      <c r="T1838" s="33">
        <f>IFERROR(__xludf.DUMMYFUNCTION("""COMPUTED_VALUE"""),1.0)</f>
        <v>1</v>
      </c>
      <c r="U1838" s="4" t="str">
        <f>IFERROR(__xludf.DUMMYFUNCTION("""COMPUTED_VALUE"""),"Vekttor")</f>
        <v>Vekttor</v>
      </c>
      <c r="V1838" s="33">
        <f>IFERROR(__xludf.DUMMYFUNCTION("""COMPUTED_VALUE"""),1.0)</f>
        <v>1</v>
      </c>
      <c r="W1838" s="4" t="str">
        <f>IFERROR(__xludf.DUMMYFUNCTION("""COMPUTED_VALUE"""),"Vekttor")</f>
        <v>Vekttor</v>
      </c>
      <c r="X1838" s="33">
        <f>IFERROR(__xludf.DUMMYFUNCTION("""COMPUTED_VALUE"""),1.0)</f>
        <v>1</v>
      </c>
    </row>
    <row r="1839">
      <c r="K1839" s="4" t="str">
        <f>IFERROR(__xludf.DUMMYFUNCTION("""COMPUTED_VALUE"""),"PET MAXI - CONTA PAI")</f>
        <v>PET MAXI - CONTA PAI</v>
      </c>
      <c r="L1839" s="32">
        <f>IFERROR(__xludf.DUMMYFUNCTION("""COMPUTED_VALUE"""),5.0)</f>
        <v>5</v>
      </c>
      <c r="M1839" s="4" t="str">
        <f>IFERROR(__xludf.DUMMYFUNCTION("""COMPUTED_VALUE"""),"N/A (Not found)")</f>
        <v>N/A (Not found)</v>
      </c>
      <c r="N1839" s="33">
        <f>IFERROR(__xludf.DUMMYFUNCTION("""COMPUTED_VALUE"""),1.0)</f>
        <v>1</v>
      </c>
      <c r="O1839" s="4" t="str">
        <f>IFERROR(__xludf.DUMMYFUNCTION("""COMPUTED_VALUE"""),"N/A (Not found)")</f>
        <v>N/A (Not found)</v>
      </c>
      <c r="P1839" s="33">
        <f>IFERROR(__xludf.DUMMYFUNCTION("""COMPUTED_VALUE"""),1.0)</f>
        <v>1</v>
      </c>
      <c r="Q1839" s="4" t="str">
        <f>IFERROR(__xludf.DUMMYFUNCTION("""COMPUTED_VALUE"""),"N/A (Not found)")</f>
        <v>N/A (Not found)</v>
      </c>
      <c r="R1839" s="33">
        <f>IFERROR(__xludf.DUMMYFUNCTION("""COMPUTED_VALUE"""),1.0)</f>
        <v>1</v>
      </c>
      <c r="S1839" s="4" t="str">
        <f>IFERROR(__xludf.DUMMYFUNCTION("""COMPUTED_VALUE"""),"N/A (Not found)")</f>
        <v>N/A (Not found)</v>
      </c>
      <c r="T1839" s="33">
        <f>IFERROR(__xludf.DUMMYFUNCTION("""COMPUTED_VALUE"""),1.0)</f>
        <v>1</v>
      </c>
      <c r="U1839" s="4" t="str">
        <f>IFERROR(__xludf.DUMMYFUNCTION("""COMPUTED_VALUE"""),"N/A (Not found)")</f>
        <v>N/A (Not found)</v>
      </c>
      <c r="V1839" s="33">
        <f>IFERROR(__xludf.DUMMYFUNCTION("""COMPUTED_VALUE"""),1.0)</f>
        <v>1</v>
      </c>
      <c r="W1839" s="4" t="str">
        <f>IFERROR(__xludf.DUMMYFUNCTION("""COMPUTED_VALUE"""),"N/A (Not found)")</f>
        <v>N/A (Not found)</v>
      </c>
      <c r="X1839" s="33">
        <f>IFERROR(__xludf.DUMMYFUNCTION("""COMPUTED_VALUE"""),1.0)</f>
        <v>1</v>
      </c>
    </row>
    <row r="1840">
      <c r="K1840" s="4" t="str">
        <f>IFERROR(__xludf.DUMMYFUNCTION("""COMPUTED_VALUE"""),"PIATZA - PIZZAS E MASSAS")</f>
        <v>PIATZA - PIZZAS E MASSAS</v>
      </c>
      <c r="L1840" s="32">
        <f>IFERROR(__xludf.DUMMYFUNCTION("""COMPUTED_VALUE"""),5.0)</f>
        <v>5</v>
      </c>
      <c r="M1840" s="4" t="str">
        <f>IFERROR(__xludf.DUMMYFUNCTION("""COMPUTED_VALUE"""),"Cardápio Web")</f>
        <v>Cardápio Web</v>
      </c>
      <c r="N1840" s="33">
        <f>IFERROR(__xludf.DUMMYFUNCTION("""COMPUTED_VALUE"""),0.6)</f>
        <v>0.6</v>
      </c>
      <c r="O1840" s="4" t="str">
        <f>IFERROR(__xludf.DUMMYFUNCTION("""COMPUTED_VALUE"""),"Cardápio Web")</f>
        <v>Cardápio Web</v>
      </c>
      <c r="P1840" s="33">
        <f>IFERROR(__xludf.DUMMYFUNCTION("""COMPUTED_VALUE"""),0.8)</f>
        <v>0.8</v>
      </c>
      <c r="Q1840" s="4" t="str">
        <f>IFERROR(__xludf.DUMMYFUNCTION("""COMPUTED_VALUE"""),"Cardápio Web")</f>
        <v>Cardápio Web</v>
      </c>
      <c r="R1840" s="33">
        <f>IFERROR(__xludf.DUMMYFUNCTION("""COMPUTED_VALUE"""),0.8)</f>
        <v>0.8</v>
      </c>
      <c r="S1840" s="4" t="str">
        <f>IFERROR(__xludf.DUMMYFUNCTION("""COMPUTED_VALUE"""),"Cardápio Web")</f>
        <v>Cardápio Web</v>
      </c>
      <c r="T1840" s="33">
        <f>IFERROR(__xludf.DUMMYFUNCTION("""COMPUTED_VALUE"""),1.0)</f>
        <v>1</v>
      </c>
      <c r="U1840" s="4" t="str">
        <f>IFERROR(__xludf.DUMMYFUNCTION("""COMPUTED_VALUE"""),"Cardápio Web")</f>
        <v>Cardápio Web</v>
      </c>
      <c r="V1840" s="33">
        <f>IFERROR(__xludf.DUMMYFUNCTION("""COMPUTED_VALUE"""),1.0)</f>
        <v>1</v>
      </c>
      <c r="W1840" s="4" t="str">
        <f>IFERROR(__xludf.DUMMYFUNCTION("""COMPUTED_VALUE"""),"Cardápio Web")</f>
        <v>Cardápio Web</v>
      </c>
      <c r="X1840" s="33">
        <f>IFERROR(__xludf.DUMMYFUNCTION("""COMPUTED_VALUE"""),1.0)</f>
        <v>1</v>
      </c>
    </row>
    <row r="1841">
      <c r="K1841" s="4" t="str">
        <f>IFERROR(__xludf.DUMMYFUNCTION("""COMPUTED_VALUE"""),"PICANHARIA DOS AMIGOS")</f>
        <v>PICANHARIA DOS AMIGOS</v>
      </c>
      <c r="L1841" s="32">
        <f>IFERROR(__xludf.DUMMYFUNCTION("""COMPUTED_VALUE"""),5.0)</f>
        <v>5</v>
      </c>
      <c r="M1841" s="4" t="str">
        <f>IFERROR(__xludf.DUMMYFUNCTION("""COMPUTED_VALUE"""),"Ncr")</f>
        <v>Ncr</v>
      </c>
      <c r="N1841" s="33">
        <f>IFERROR(__xludf.DUMMYFUNCTION("""COMPUTED_VALUE"""),1.0)</f>
        <v>1</v>
      </c>
      <c r="O1841" s="4" t="str">
        <f>IFERROR(__xludf.DUMMYFUNCTION("""COMPUTED_VALUE"""),"Ncr")</f>
        <v>Ncr</v>
      </c>
      <c r="P1841" s="33">
        <f>IFERROR(__xludf.DUMMYFUNCTION("""COMPUTED_VALUE"""),1.0)</f>
        <v>1</v>
      </c>
      <c r="Q1841" s="4" t="str">
        <f>IFERROR(__xludf.DUMMYFUNCTION("""COMPUTED_VALUE"""),"Ncr")</f>
        <v>Ncr</v>
      </c>
      <c r="R1841" s="33">
        <f>IFERROR(__xludf.DUMMYFUNCTION("""COMPUTED_VALUE"""),1.0)</f>
        <v>1</v>
      </c>
      <c r="S1841" s="4" t="str">
        <f>IFERROR(__xludf.DUMMYFUNCTION("""COMPUTED_VALUE"""),"Ncr")</f>
        <v>Ncr</v>
      </c>
      <c r="T1841" s="33">
        <f>IFERROR(__xludf.DUMMYFUNCTION("""COMPUTED_VALUE"""),1.0)</f>
        <v>1</v>
      </c>
      <c r="U1841" s="4" t="str">
        <f>IFERROR(__xludf.DUMMYFUNCTION("""COMPUTED_VALUE"""),"Ncr")</f>
        <v>Ncr</v>
      </c>
      <c r="V1841" s="33">
        <f>IFERROR(__xludf.DUMMYFUNCTION("""COMPUTED_VALUE"""),1.0)</f>
        <v>1</v>
      </c>
      <c r="W1841" s="4" t="str">
        <f>IFERROR(__xludf.DUMMYFUNCTION("""COMPUTED_VALUE"""),"Ncr")</f>
        <v>Ncr</v>
      </c>
      <c r="X1841" s="33">
        <f>IFERROR(__xludf.DUMMYFUNCTION("""COMPUTED_VALUE"""),0.6)</f>
        <v>0.6</v>
      </c>
    </row>
    <row r="1842">
      <c r="K1842" s="4" t="str">
        <f>IFERROR(__xludf.DUMMYFUNCTION("""COMPUTED_VALUE"""),"PIZZA BAROLIO")</f>
        <v>PIZZA BAROLIO</v>
      </c>
      <c r="L1842" s="32">
        <f>IFERROR(__xludf.DUMMYFUNCTION("""COMPUTED_VALUE"""),5.0)</f>
        <v>5</v>
      </c>
      <c r="M1842" s="4" t="str">
        <f>IFERROR(__xludf.DUMMYFUNCTION("""COMPUTED_VALUE"""),"Saipos Serviços De Software")</f>
        <v>Saipos Serviços De Software</v>
      </c>
      <c r="N1842" s="33">
        <f>IFERROR(__xludf.DUMMYFUNCTION("""COMPUTED_VALUE"""),0.8)</f>
        <v>0.8</v>
      </c>
      <c r="O1842" s="4" t="str">
        <f>IFERROR(__xludf.DUMMYFUNCTION("""COMPUTED_VALUE"""),"Saipos Serviços De Software")</f>
        <v>Saipos Serviços De Software</v>
      </c>
      <c r="P1842" s="33">
        <f>IFERROR(__xludf.DUMMYFUNCTION("""COMPUTED_VALUE"""),1.0)</f>
        <v>1</v>
      </c>
      <c r="Q1842" s="4" t="str">
        <f>IFERROR(__xludf.DUMMYFUNCTION("""COMPUTED_VALUE"""),"Saipos Serviços De Software")</f>
        <v>Saipos Serviços De Software</v>
      </c>
      <c r="R1842" s="33">
        <f>IFERROR(__xludf.DUMMYFUNCTION("""COMPUTED_VALUE"""),1.0)</f>
        <v>1</v>
      </c>
      <c r="S1842" s="4" t="str">
        <f>IFERROR(__xludf.DUMMYFUNCTION("""COMPUTED_VALUE"""),"Saipos Serviços De Software")</f>
        <v>Saipos Serviços De Software</v>
      </c>
      <c r="T1842" s="33">
        <f>IFERROR(__xludf.DUMMYFUNCTION("""COMPUTED_VALUE"""),1.0)</f>
        <v>1</v>
      </c>
      <c r="U1842" s="4" t="str">
        <f>IFERROR(__xludf.DUMMYFUNCTION("""COMPUTED_VALUE"""),"Saipos Serviços De Software")</f>
        <v>Saipos Serviços De Software</v>
      </c>
      <c r="V1842" s="33">
        <f>IFERROR(__xludf.DUMMYFUNCTION("""COMPUTED_VALUE"""),1.0)</f>
        <v>1</v>
      </c>
      <c r="W1842" s="4" t="str">
        <f>IFERROR(__xludf.DUMMYFUNCTION("""COMPUTED_VALUE"""),"Saipos Serviços De Software")</f>
        <v>Saipos Serviços De Software</v>
      </c>
      <c r="X1842" s="33">
        <f>IFERROR(__xludf.DUMMYFUNCTION("""COMPUTED_VALUE"""),1.0)</f>
        <v>1</v>
      </c>
    </row>
    <row r="1843">
      <c r="K1843" s="4" t="str">
        <f>IFERROR(__xludf.DUMMYFUNCTION("""COMPUTED_VALUE"""),"PIZZA DA MAFIA")</f>
        <v>PIZZA DA MAFIA</v>
      </c>
      <c r="L1843" s="32">
        <f>IFERROR(__xludf.DUMMYFUNCTION("""COMPUTED_VALUE"""),5.0)</f>
        <v>5</v>
      </c>
      <c r="M1843" s="4" t="str">
        <f>IFERROR(__xludf.DUMMYFUNCTION("""COMPUTED_VALUE"""),"Saipos Serviços De Software")</f>
        <v>Saipos Serviços De Software</v>
      </c>
      <c r="N1843" s="33">
        <f>IFERROR(__xludf.DUMMYFUNCTION("""COMPUTED_VALUE"""),0.6)</f>
        <v>0.6</v>
      </c>
      <c r="O1843" s="4" t="str">
        <f>IFERROR(__xludf.DUMMYFUNCTION("""COMPUTED_VALUE"""),"Saipos Serviços De Software")</f>
        <v>Saipos Serviços De Software</v>
      </c>
      <c r="P1843" s="33">
        <f>IFERROR(__xludf.DUMMYFUNCTION("""COMPUTED_VALUE"""),0.6)</f>
        <v>0.6</v>
      </c>
      <c r="Q1843" s="4" t="str">
        <f>IFERROR(__xludf.DUMMYFUNCTION("""COMPUTED_VALUE"""),"Saipos Serviços De Software")</f>
        <v>Saipos Serviços De Software</v>
      </c>
      <c r="R1843" s="33">
        <f>IFERROR(__xludf.DUMMYFUNCTION("""COMPUTED_VALUE"""),0.8)</f>
        <v>0.8</v>
      </c>
      <c r="S1843" s="4" t="str">
        <f>IFERROR(__xludf.DUMMYFUNCTION("""COMPUTED_VALUE"""),"Saipos Serviços De Software")</f>
        <v>Saipos Serviços De Software</v>
      </c>
      <c r="T1843" s="33">
        <f>IFERROR(__xludf.DUMMYFUNCTION("""COMPUTED_VALUE"""),1.0)</f>
        <v>1</v>
      </c>
      <c r="U1843" s="4" t="str">
        <f>IFERROR(__xludf.DUMMYFUNCTION("""COMPUTED_VALUE"""),"Saipos Serviços De Software")</f>
        <v>Saipos Serviços De Software</v>
      </c>
      <c r="V1843" s="33">
        <f>IFERROR(__xludf.DUMMYFUNCTION("""COMPUTED_VALUE"""),1.0)</f>
        <v>1</v>
      </c>
      <c r="W1843" s="4" t="str">
        <f>IFERROR(__xludf.DUMMYFUNCTION("""COMPUTED_VALUE"""),"Saipos Serviços De Software")</f>
        <v>Saipos Serviços De Software</v>
      </c>
      <c r="X1843" s="33">
        <f>IFERROR(__xludf.DUMMYFUNCTION("""COMPUTED_VALUE"""),1.0)</f>
        <v>1</v>
      </c>
    </row>
    <row r="1844">
      <c r="K1844" s="4" t="str">
        <f>IFERROR(__xludf.DUMMYFUNCTION("""COMPUTED_VALUE"""),"PIZZA E PONTO - MARCA")</f>
        <v>PIZZA E PONTO - MARCA</v>
      </c>
      <c r="L1844" s="32">
        <f>IFERROR(__xludf.DUMMYFUNCTION("""COMPUTED_VALUE"""),5.0)</f>
        <v>5</v>
      </c>
      <c r="M1844" s="4" t="str">
        <f>IFERROR(__xludf.DUMMYFUNCTION("""COMPUTED_VALUE"""),"Saipos Serviços De Software")</f>
        <v>Saipos Serviços De Software</v>
      </c>
      <c r="N1844" s="33">
        <f>IFERROR(__xludf.DUMMYFUNCTION("""COMPUTED_VALUE"""),0.4)</f>
        <v>0.4</v>
      </c>
      <c r="O1844" s="4" t="str">
        <f>IFERROR(__xludf.DUMMYFUNCTION("""COMPUTED_VALUE"""),"Saipos Serviços De Software")</f>
        <v>Saipos Serviços De Software</v>
      </c>
      <c r="P1844" s="33">
        <f>IFERROR(__xludf.DUMMYFUNCTION("""COMPUTED_VALUE"""),0.8)</f>
        <v>0.8</v>
      </c>
      <c r="Q1844" s="4" t="str">
        <f>IFERROR(__xludf.DUMMYFUNCTION("""COMPUTED_VALUE"""),"Saipos Serviços De Software")</f>
        <v>Saipos Serviços De Software</v>
      </c>
      <c r="R1844" s="33">
        <f>IFERROR(__xludf.DUMMYFUNCTION("""COMPUTED_VALUE"""),1.0)</f>
        <v>1</v>
      </c>
      <c r="S1844" s="4" t="str">
        <f>IFERROR(__xludf.DUMMYFUNCTION("""COMPUTED_VALUE"""),"Saipos Serviços De Software")</f>
        <v>Saipos Serviços De Software</v>
      </c>
      <c r="T1844" s="33">
        <f>IFERROR(__xludf.DUMMYFUNCTION("""COMPUTED_VALUE"""),1.0)</f>
        <v>1</v>
      </c>
      <c r="U1844" s="4" t="str">
        <f>IFERROR(__xludf.DUMMYFUNCTION("""COMPUTED_VALUE"""),"Saipos Serviços De Software")</f>
        <v>Saipos Serviços De Software</v>
      </c>
      <c r="V1844" s="33">
        <f>IFERROR(__xludf.DUMMYFUNCTION("""COMPUTED_VALUE"""),1.0)</f>
        <v>1</v>
      </c>
      <c r="W1844" s="4" t="str">
        <f>IFERROR(__xludf.DUMMYFUNCTION("""COMPUTED_VALUE"""),"Saipos Serviços De Software")</f>
        <v>Saipos Serviços De Software</v>
      </c>
      <c r="X1844" s="33">
        <f>IFERROR(__xludf.DUMMYFUNCTION("""COMPUTED_VALUE"""),1.0)</f>
        <v>1</v>
      </c>
    </row>
    <row r="1845">
      <c r="K1845" s="4" t="str">
        <f>IFERROR(__xludf.DUMMYFUNCTION("""COMPUTED_VALUE"""),"PIZZA FDA - CONTA PAI")</f>
        <v>PIZZA FDA - CONTA PAI</v>
      </c>
      <c r="L1845" s="32">
        <f>IFERROR(__xludf.DUMMYFUNCTION("""COMPUTED_VALUE"""),5.0)</f>
        <v>5</v>
      </c>
      <c r="M1845" s="4" t="str">
        <f>IFERROR(__xludf.DUMMYFUNCTION("""COMPUTED_VALUE"""),"Saipos Serviços De Software")</f>
        <v>Saipos Serviços De Software</v>
      </c>
      <c r="N1845" s="33">
        <f>IFERROR(__xludf.DUMMYFUNCTION("""COMPUTED_VALUE"""),1.0)</f>
        <v>1</v>
      </c>
      <c r="O1845" s="4" t="str">
        <f>IFERROR(__xludf.DUMMYFUNCTION("""COMPUTED_VALUE"""),"Saipos Serviços De Software")</f>
        <v>Saipos Serviços De Software</v>
      </c>
      <c r="P1845" s="33">
        <f>IFERROR(__xludf.DUMMYFUNCTION("""COMPUTED_VALUE"""),1.0)</f>
        <v>1</v>
      </c>
      <c r="Q1845" s="4" t="str">
        <f>IFERROR(__xludf.DUMMYFUNCTION("""COMPUTED_VALUE"""),"Saipos Serviços De Software")</f>
        <v>Saipos Serviços De Software</v>
      </c>
      <c r="R1845" s="33">
        <f>IFERROR(__xludf.DUMMYFUNCTION("""COMPUTED_VALUE"""),1.0)</f>
        <v>1</v>
      </c>
      <c r="S1845" s="4" t="str">
        <f>IFERROR(__xludf.DUMMYFUNCTION("""COMPUTED_VALUE"""),"Saipos Serviços De Software")</f>
        <v>Saipos Serviços De Software</v>
      </c>
      <c r="T1845" s="33">
        <f>IFERROR(__xludf.DUMMYFUNCTION("""COMPUTED_VALUE"""),1.0)</f>
        <v>1</v>
      </c>
      <c r="U1845" s="4" t="str">
        <f>IFERROR(__xludf.DUMMYFUNCTION("""COMPUTED_VALUE"""),"Saipos Serviços De Software")</f>
        <v>Saipos Serviços De Software</v>
      </c>
      <c r="V1845" s="33">
        <f>IFERROR(__xludf.DUMMYFUNCTION("""COMPUTED_VALUE"""),1.0)</f>
        <v>1</v>
      </c>
      <c r="W1845" s="4" t="str">
        <f>IFERROR(__xludf.DUMMYFUNCTION("""COMPUTED_VALUE"""),"Saipos Serviços De Software")</f>
        <v>Saipos Serviços De Software</v>
      </c>
      <c r="X1845" s="33">
        <f>IFERROR(__xludf.DUMMYFUNCTION("""COMPUTED_VALUE"""),1.0)</f>
        <v>1</v>
      </c>
    </row>
    <row r="1846">
      <c r="K1846" s="4" t="str">
        <f>IFERROR(__xludf.DUMMYFUNCTION("""COMPUTED_VALUE"""),"PIZZA HYPE")</f>
        <v>PIZZA HYPE</v>
      </c>
      <c r="L1846" s="32">
        <f>IFERROR(__xludf.DUMMYFUNCTION("""COMPUTED_VALUE"""),5.0)</f>
        <v>5</v>
      </c>
      <c r="M1846" s="4" t="str">
        <f>IFERROR(__xludf.DUMMYFUNCTION("""COMPUTED_VALUE"""),"Cardápio Web")</f>
        <v>Cardápio Web</v>
      </c>
      <c r="N1846" s="33">
        <f>IFERROR(__xludf.DUMMYFUNCTION("""COMPUTED_VALUE"""),1.0)</f>
        <v>1</v>
      </c>
      <c r="O1846" s="4" t="str">
        <f>IFERROR(__xludf.DUMMYFUNCTION("""COMPUTED_VALUE"""),"Cardápio Web")</f>
        <v>Cardápio Web</v>
      </c>
      <c r="P1846" s="33">
        <f>IFERROR(__xludf.DUMMYFUNCTION("""COMPUTED_VALUE"""),1.0)</f>
        <v>1</v>
      </c>
      <c r="Q1846" s="4" t="str">
        <f>IFERROR(__xludf.DUMMYFUNCTION("""COMPUTED_VALUE"""),"Cardápio Web")</f>
        <v>Cardápio Web</v>
      </c>
      <c r="R1846" s="33">
        <f>IFERROR(__xludf.DUMMYFUNCTION("""COMPUTED_VALUE"""),1.0)</f>
        <v>1</v>
      </c>
      <c r="S1846" s="4" t="str">
        <f>IFERROR(__xludf.DUMMYFUNCTION("""COMPUTED_VALUE"""),"Cardápio Web")</f>
        <v>Cardápio Web</v>
      </c>
      <c r="T1846" s="33">
        <f>IFERROR(__xludf.DUMMYFUNCTION("""COMPUTED_VALUE"""),1.0)</f>
        <v>1</v>
      </c>
      <c r="U1846" s="4" t="str">
        <f>IFERROR(__xludf.DUMMYFUNCTION("""COMPUTED_VALUE"""),"Cardápio Web")</f>
        <v>Cardápio Web</v>
      </c>
      <c r="V1846" s="33">
        <f>IFERROR(__xludf.DUMMYFUNCTION("""COMPUTED_VALUE"""),1.0)</f>
        <v>1</v>
      </c>
      <c r="W1846" s="4" t="str">
        <f>IFERROR(__xludf.DUMMYFUNCTION("""COMPUTED_VALUE"""),"Cardápio Web")</f>
        <v>Cardápio Web</v>
      </c>
      <c r="X1846" s="33">
        <f>IFERROR(__xludf.DUMMYFUNCTION("""COMPUTED_VALUE"""),1.0)</f>
        <v>1</v>
      </c>
    </row>
    <row r="1847">
      <c r="K1847" s="4" t="str">
        <f>IFERROR(__xludf.DUMMYFUNCTION("""COMPUTED_VALUE"""),"PIZZA LEV MATO GROSSO DO SUL")</f>
        <v>PIZZA LEV MATO GROSSO DO SUL</v>
      </c>
      <c r="L1847" s="32">
        <f>IFERROR(__xludf.DUMMYFUNCTION("""COMPUTED_VALUE"""),5.0)</f>
        <v>5</v>
      </c>
      <c r="M1847" s="4" t="str">
        <f>IFERROR(__xludf.DUMMYFUNCTION("""COMPUTED_VALUE"""),"Suitable Tecnologia E Gestao")</f>
        <v>Suitable Tecnologia E Gestao</v>
      </c>
      <c r="N1847" s="33">
        <f>IFERROR(__xludf.DUMMYFUNCTION("""COMPUTED_VALUE"""),1.0)</f>
        <v>1</v>
      </c>
      <c r="O1847" s="4" t="str">
        <f>IFERROR(__xludf.DUMMYFUNCTION("""COMPUTED_VALUE"""),"Suitable Tecnologia E Gestao")</f>
        <v>Suitable Tecnologia E Gestao</v>
      </c>
      <c r="P1847" s="33">
        <f>IFERROR(__xludf.DUMMYFUNCTION("""COMPUTED_VALUE"""),1.0)</f>
        <v>1</v>
      </c>
      <c r="Q1847" s="4" t="str">
        <f>IFERROR(__xludf.DUMMYFUNCTION("""COMPUTED_VALUE"""),"Suitable Tecnologia E Gestao")</f>
        <v>Suitable Tecnologia E Gestao</v>
      </c>
      <c r="R1847" s="33">
        <f>IFERROR(__xludf.DUMMYFUNCTION("""COMPUTED_VALUE"""),1.0)</f>
        <v>1</v>
      </c>
      <c r="S1847" s="4" t="str">
        <f>IFERROR(__xludf.DUMMYFUNCTION("""COMPUTED_VALUE"""),"Suitable Tecnologia E Gestao")</f>
        <v>Suitable Tecnologia E Gestao</v>
      </c>
      <c r="T1847" s="33">
        <f>IFERROR(__xludf.DUMMYFUNCTION("""COMPUTED_VALUE"""),1.0)</f>
        <v>1</v>
      </c>
      <c r="U1847" s="4" t="str">
        <f>IFERROR(__xludf.DUMMYFUNCTION("""COMPUTED_VALUE"""),"Suitable Tecnologia E Gestao")</f>
        <v>Suitable Tecnologia E Gestao</v>
      </c>
      <c r="V1847" s="33">
        <f>IFERROR(__xludf.DUMMYFUNCTION("""COMPUTED_VALUE"""),1.0)</f>
        <v>1</v>
      </c>
      <c r="W1847" s="4" t="str">
        <f>IFERROR(__xludf.DUMMYFUNCTION("""COMPUTED_VALUE"""),"Suitable Tecnologia E Gestao")</f>
        <v>Suitable Tecnologia E Gestao</v>
      </c>
      <c r="X1847" s="33">
        <f>IFERROR(__xludf.DUMMYFUNCTION("""COMPUTED_VALUE"""),1.0)</f>
        <v>1</v>
      </c>
    </row>
    <row r="1848">
      <c r="K1848" s="4" t="str">
        <f>IFERROR(__xludf.DUMMYFUNCTION("""COMPUTED_VALUE"""),"PIZZARIA AUGUSTA - CONTA MARCA")</f>
        <v>PIZZARIA AUGUSTA - CONTA MARCA</v>
      </c>
      <c r="L1848" s="32">
        <f>IFERROR(__xludf.DUMMYFUNCTION("""COMPUTED_VALUE"""),5.0)</f>
        <v>5</v>
      </c>
      <c r="M1848" s="4" t="str">
        <f>IFERROR(__xludf.DUMMYFUNCTION("""COMPUTED_VALUE"""),"Cloudfy")</f>
        <v>Cloudfy</v>
      </c>
      <c r="N1848" s="33">
        <f>IFERROR(__xludf.DUMMYFUNCTION("""COMPUTED_VALUE"""),0.6)</f>
        <v>0.6</v>
      </c>
      <c r="O1848" s="4" t="str">
        <f>IFERROR(__xludf.DUMMYFUNCTION("""COMPUTED_VALUE"""),"Cloudfy")</f>
        <v>Cloudfy</v>
      </c>
      <c r="P1848" s="33">
        <f>IFERROR(__xludf.DUMMYFUNCTION("""COMPUTED_VALUE"""),0.6)</f>
        <v>0.6</v>
      </c>
      <c r="Q1848" s="4" t="str">
        <f>IFERROR(__xludf.DUMMYFUNCTION("""COMPUTED_VALUE"""),"Saipos Serviços De Software")</f>
        <v>Saipos Serviços De Software</v>
      </c>
      <c r="R1848" s="33">
        <f>IFERROR(__xludf.DUMMYFUNCTION("""COMPUTED_VALUE"""),1.0)</f>
        <v>1</v>
      </c>
      <c r="S1848" s="4" t="str">
        <f>IFERROR(__xludf.DUMMYFUNCTION("""COMPUTED_VALUE"""),"Saipos Serviços De Software")</f>
        <v>Saipos Serviços De Software</v>
      </c>
      <c r="T1848" s="33">
        <f>IFERROR(__xludf.DUMMYFUNCTION("""COMPUTED_VALUE"""),1.0)</f>
        <v>1</v>
      </c>
      <c r="U1848" s="4" t="str">
        <f>IFERROR(__xludf.DUMMYFUNCTION("""COMPUTED_VALUE"""),"Saipos Serviços De Software")</f>
        <v>Saipos Serviços De Software</v>
      </c>
      <c r="V1848" s="33">
        <f>IFERROR(__xludf.DUMMYFUNCTION("""COMPUTED_VALUE"""),1.0)</f>
        <v>1</v>
      </c>
      <c r="W1848" s="4" t="str">
        <f>IFERROR(__xludf.DUMMYFUNCTION("""COMPUTED_VALUE"""),"Saipos Serviços De Software")</f>
        <v>Saipos Serviços De Software</v>
      </c>
      <c r="X1848" s="33">
        <f>IFERROR(__xludf.DUMMYFUNCTION("""COMPUTED_VALUE"""),1.0)</f>
        <v>1</v>
      </c>
    </row>
    <row r="1849">
      <c r="K1849" s="4" t="str">
        <f>IFERROR(__xludf.DUMMYFUNCTION("""COMPUTED_VALUE"""),"PIZZARIA CONQUISTA - MARCA")</f>
        <v>PIZZARIA CONQUISTA - MARCA</v>
      </c>
      <c r="L1849" s="32">
        <f>IFERROR(__xludf.DUMMYFUNCTION("""COMPUTED_VALUE"""),5.0)</f>
        <v>5</v>
      </c>
      <c r="M1849" s="4" t="str">
        <f>IFERROR(__xludf.DUMMYFUNCTION("""COMPUTED_VALUE"""),"Saipos Serviços De Software")</f>
        <v>Saipos Serviços De Software</v>
      </c>
      <c r="N1849" s="33">
        <f>IFERROR(__xludf.DUMMYFUNCTION("""COMPUTED_VALUE"""),1.0)</f>
        <v>1</v>
      </c>
      <c r="O1849" s="4" t="str">
        <f>IFERROR(__xludf.DUMMYFUNCTION("""COMPUTED_VALUE"""),"Saipos Serviços De Software")</f>
        <v>Saipos Serviços De Software</v>
      </c>
      <c r="P1849" s="33">
        <f>IFERROR(__xludf.DUMMYFUNCTION("""COMPUTED_VALUE"""),1.0)</f>
        <v>1</v>
      </c>
      <c r="Q1849" s="4" t="str">
        <f>IFERROR(__xludf.DUMMYFUNCTION("""COMPUTED_VALUE"""),"Saipos Serviços De Software")</f>
        <v>Saipos Serviços De Software</v>
      </c>
      <c r="R1849" s="33">
        <f>IFERROR(__xludf.DUMMYFUNCTION("""COMPUTED_VALUE"""),1.0)</f>
        <v>1</v>
      </c>
      <c r="S1849" s="4" t="str">
        <f>IFERROR(__xludf.DUMMYFUNCTION("""COMPUTED_VALUE"""),"Saipos Serviços De Software")</f>
        <v>Saipos Serviços De Software</v>
      </c>
      <c r="T1849" s="33">
        <f>IFERROR(__xludf.DUMMYFUNCTION("""COMPUTED_VALUE"""),1.0)</f>
        <v>1</v>
      </c>
      <c r="U1849" s="4" t="str">
        <f>IFERROR(__xludf.DUMMYFUNCTION("""COMPUTED_VALUE"""),"Saipos Serviços De Software")</f>
        <v>Saipos Serviços De Software</v>
      </c>
      <c r="V1849" s="33">
        <f>IFERROR(__xludf.DUMMYFUNCTION("""COMPUTED_VALUE"""),1.0)</f>
        <v>1</v>
      </c>
      <c r="W1849" s="4" t="str">
        <f>IFERROR(__xludf.DUMMYFUNCTION("""COMPUTED_VALUE"""),"Saipos Serviços De Software")</f>
        <v>Saipos Serviços De Software</v>
      </c>
      <c r="X1849" s="33">
        <f>IFERROR(__xludf.DUMMYFUNCTION("""COMPUTED_VALUE"""),1.0)</f>
        <v>1</v>
      </c>
    </row>
    <row r="1850">
      <c r="K1850" s="4" t="str">
        <f>IFERROR(__xludf.DUMMYFUNCTION("""COMPUTED_VALUE"""),"PIZZARIA CONTINENTE FLORIANOPOLIS")</f>
        <v>PIZZARIA CONTINENTE FLORIANOPOLIS</v>
      </c>
      <c r="L1850" s="32">
        <f>IFERROR(__xludf.DUMMYFUNCTION("""COMPUTED_VALUE"""),5.0)</f>
        <v>5</v>
      </c>
      <c r="M1850" s="4" t="str">
        <f>IFERROR(__xludf.DUMMYFUNCTION("""COMPUTED_VALUE"""),"Saipos Serviços De Software")</f>
        <v>Saipos Serviços De Software</v>
      </c>
      <c r="N1850" s="33">
        <f>IFERROR(__xludf.DUMMYFUNCTION("""COMPUTED_VALUE"""),1.0)</f>
        <v>1</v>
      </c>
      <c r="O1850" s="4" t="str">
        <f>IFERROR(__xludf.DUMMYFUNCTION("""COMPUTED_VALUE"""),"Saipos Serviços De Software")</f>
        <v>Saipos Serviços De Software</v>
      </c>
      <c r="P1850" s="33">
        <f>IFERROR(__xludf.DUMMYFUNCTION("""COMPUTED_VALUE"""),1.0)</f>
        <v>1</v>
      </c>
      <c r="Q1850" s="4" t="str">
        <f>IFERROR(__xludf.DUMMYFUNCTION("""COMPUTED_VALUE"""),"Saipos Serviços De Software")</f>
        <v>Saipos Serviços De Software</v>
      </c>
      <c r="R1850" s="33">
        <f>IFERROR(__xludf.DUMMYFUNCTION("""COMPUTED_VALUE"""),1.0)</f>
        <v>1</v>
      </c>
      <c r="S1850" s="4" t="str">
        <f>IFERROR(__xludf.DUMMYFUNCTION("""COMPUTED_VALUE"""),"Saipos Serviços De Software")</f>
        <v>Saipos Serviços De Software</v>
      </c>
      <c r="T1850" s="33">
        <f>IFERROR(__xludf.DUMMYFUNCTION("""COMPUTED_VALUE"""),1.0)</f>
        <v>1</v>
      </c>
      <c r="U1850" s="4" t="str">
        <f>IFERROR(__xludf.DUMMYFUNCTION("""COMPUTED_VALUE"""),"Saipos Serviços De Software")</f>
        <v>Saipos Serviços De Software</v>
      </c>
      <c r="V1850" s="33">
        <f>IFERROR(__xludf.DUMMYFUNCTION("""COMPUTED_VALUE"""),1.0)</f>
        <v>1</v>
      </c>
      <c r="W1850" s="4" t="str">
        <f>IFERROR(__xludf.DUMMYFUNCTION("""COMPUTED_VALUE"""),"Saipos Serviços De Software")</f>
        <v>Saipos Serviços De Software</v>
      </c>
      <c r="X1850" s="33">
        <f>IFERROR(__xludf.DUMMYFUNCTION("""COMPUTED_VALUE"""),1.0)</f>
        <v>1</v>
      </c>
    </row>
    <row r="1851">
      <c r="K1851" s="4" t="str">
        <f>IFERROR(__xludf.DUMMYFUNCTION("""COMPUTED_VALUE"""),"PIZZARIA MAIS SABOR OFICIAL")</f>
        <v>PIZZARIA MAIS SABOR OFICIAL</v>
      </c>
      <c r="L1851" s="32">
        <f>IFERROR(__xludf.DUMMYFUNCTION("""COMPUTED_VALUE"""),5.0)</f>
        <v>5</v>
      </c>
      <c r="M1851" s="4" t="str">
        <f>IFERROR(__xludf.DUMMYFUNCTION("""COMPUTED_VALUE"""),"Mp Multipedidos")</f>
        <v>Mp Multipedidos</v>
      </c>
      <c r="N1851" s="33">
        <f>IFERROR(__xludf.DUMMYFUNCTION("""COMPUTED_VALUE"""),0.8)</f>
        <v>0.8</v>
      </c>
      <c r="O1851" s="4" t="str">
        <f>IFERROR(__xludf.DUMMYFUNCTION("""COMPUTED_VALUE"""),"Mp Multipedidos")</f>
        <v>Mp Multipedidos</v>
      </c>
      <c r="P1851" s="33">
        <f>IFERROR(__xludf.DUMMYFUNCTION("""COMPUTED_VALUE"""),0.8)</f>
        <v>0.8</v>
      </c>
      <c r="Q1851" s="4" t="str">
        <f>IFERROR(__xludf.DUMMYFUNCTION("""COMPUTED_VALUE"""),"Mp Multipedidos")</f>
        <v>Mp Multipedidos</v>
      </c>
      <c r="R1851" s="33">
        <f>IFERROR(__xludf.DUMMYFUNCTION("""COMPUTED_VALUE"""),0.8)</f>
        <v>0.8</v>
      </c>
      <c r="S1851" s="4" t="str">
        <f>IFERROR(__xludf.DUMMYFUNCTION("""COMPUTED_VALUE"""),"Mp Multipedidos")</f>
        <v>Mp Multipedidos</v>
      </c>
      <c r="T1851" s="33">
        <f>IFERROR(__xludf.DUMMYFUNCTION("""COMPUTED_VALUE"""),0.8)</f>
        <v>0.8</v>
      </c>
      <c r="U1851" s="4" t="str">
        <f>IFERROR(__xludf.DUMMYFUNCTION("""COMPUTED_VALUE"""),"Mp Multipedidos")</f>
        <v>Mp Multipedidos</v>
      </c>
      <c r="V1851" s="33">
        <f>IFERROR(__xludf.DUMMYFUNCTION("""COMPUTED_VALUE"""),0.8)</f>
        <v>0.8</v>
      </c>
      <c r="W1851" s="4" t="str">
        <f>IFERROR(__xludf.DUMMYFUNCTION("""COMPUTED_VALUE"""),"null")</f>
        <v>null</v>
      </c>
      <c r="X1851" s="33">
        <f>IFERROR(__xludf.DUMMYFUNCTION("""COMPUTED_VALUE"""),1.0)</f>
        <v>1</v>
      </c>
    </row>
    <row r="1852">
      <c r="K1852" s="4" t="str">
        <f>IFERROR(__xludf.DUMMYFUNCTION("""COMPUTED_VALUE"""),"PIZZARIA PERONI")</f>
        <v>PIZZARIA PERONI</v>
      </c>
      <c r="L1852" s="32">
        <f>IFERROR(__xludf.DUMMYFUNCTION("""COMPUTED_VALUE"""),5.0)</f>
        <v>5</v>
      </c>
      <c r="M1852" s="4" t="str">
        <f>IFERROR(__xludf.DUMMYFUNCTION("""COMPUTED_VALUE"""),"null")</f>
        <v>null</v>
      </c>
      <c r="N1852" s="33">
        <f>IFERROR(__xludf.DUMMYFUNCTION("""COMPUTED_VALUE"""),0.6)</f>
        <v>0.6</v>
      </c>
      <c r="O1852" s="4" t="str">
        <f>IFERROR(__xludf.DUMMYFUNCTION("""COMPUTED_VALUE"""),"null")</f>
        <v>null</v>
      </c>
      <c r="P1852" s="33">
        <f>IFERROR(__xludf.DUMMYFUNCTION("""COMPUTED_VALUE"""),0.8)</f>
        <v>0.8</v>
      </c>
      <c r="Q1852" s="4" t="str">
        <f>IFERROR(__xludf.DUMMYFUNCTION("""COMPUTED_VALUE"""),"null")</f>
        <v>null</v>
      </c>
      <c r="R1852" s="33">
        <f>IFERROR(__xludf.DUMMYFUNCTION("""COMPUTED_VALUE"""),0.8)</f>
        <v>0.8</v>
      </c>
      <c r="S1852" s="4" t="str">
        <f>IFERROR(__xludf.DUMMYFUNCTION("""COMPUTED_VALUE"""),"Cityfoods Ltda")</f>
        <v>Cityfoods Ltda</v>
      </c>
      <c r="T1852" s="33">
        <f>IFERROR(__xludf.DUMMYFUNCTION("""COMPUTED_VALUE"""),0.6)</f>
        <v>0.6</v>
      </c>
      <c r="U1852" s="4" t="str">
        <f>IFERROR(__xludf.DUMMYFUNCTION("""COMPUTED_VALUE"""),"Cityfoods Ltda")</f>
        <v>Cityfoods Ltda</v>
      </c>
      <c r="V1852" s="33">
        <f>IFERROR(__xludf.DUMMYFUNCTION("""COMPUTED_VALUE"""),0.6)</f>
        <v>0.6</v>
      </c>
      <c r="W1852" s="4" t="str">
        <f>IFERROR(__xludf.DUMMYFUNCTION("""COMPUTED_VALUE"""),"Cityfoods Ltda")</f>
        <v>Cityfoods Ltda</v>
      </c>
      <c r="X1852" s="33">
        <f>IFERROR(__xludf.DUMMYFUNCTION("""COMPUTED_VALUE"""),0.6)</f>
        <v>0.6</v>
      </c>
    </row>
    <row r="1853">
      <c r="K1853" s="4" t="str">
        <f>IFERROR(__xludf.DUMMYFUNCTION("""COMPUTED_VALUE"""),"PIZZARIA TRE DUARTE")</f>
        <v>PIZZARIA TRE DUARTE</v>
      </c>
      <c r="L1853" s="32">
        <f>IFERROR(__xludf.DUMMYFUNCTION("""COMPUTED_VALUE"""),5.0)</f>
        <v>5</v>
      </c>
      <c r="M1853" s="4" t="str">
        <f>IFERROR(__xludf.DUMMYFUNCTION("""COMPUTED_VALUE"""),"Saipos Serviços De Software")</f>
        <v>Saipos Serviços De Software</v>
      </c>
      <c r="N1853" s="33">
        <f>IFERROR(__xludf.DUMMYFUNCTION("""COMPUTED_VALUE"""),1.0)</f>
        <v>1</v>
      </c>
      <c r="O1853" s="4" t="str">
        <f>IFERROR(__xludf.DUMMYFUNCTION("""COMPUTED_VALUE"""),"Saipos Serviços De Software")</f>
        <v>Saipos Serviços De Software</v>
      </c>
      <c r="P1853" s="33">
        <f>IFERROR(__xludf.DUMMYFUNCTION("""COMPUTED_VALUE"""),1.0)</f>
        <v>1</v>
      </c>
      <c r="Q1853" s="4" t="str">
        <f>IFERROR(__xludf.DUMMYFUNCTION("""COMPUTED_VALUE"""),"Saipos Serviços De Software")</f>
        <v>Saipos Serviços De Software</v>
      </c>
      <c r="R1853" s="33">
        <f>IFERROR(__xludf.DUMMYFUNCTION("""COMPUTED_VALUE"""),1.0)</f>
        <v>1</v>
      </c>
      <c r="S1853" s="4" t="str">
        <f>IFERROR(__xludf.DUMMYFUNCTION("""COMPUTED_VALUE"""),"Saipos Serviços De Software")</f>
        <v>Saipos Serviços De Software</v>
      </c>
      <c r="T1853" s="33">
        <f>IFERROR(__xludf.DUMMYFUNCTION("""COMPUTED_VALUE"""),1.0)</f>
        <v>1</v>
      </c>
      <c r="U1853" s="4" t="str">
        <f>IFERROR(__xludf.DUMMYFUNCTION("""COMPUTED_VALUE"""),"Saipos Serviços De Software")</f>
        <v>Saipos Serviços De Software</v>
      </c>
      <c r="V1853" s="33">
        <f>IFERROR(__xludf.DUMMYFUNCTION("""COMPUTED_VALUE"""),0.8)</f>
        <v>0.8</v>
      </c>
      <c r="W1853" s="4" t="str">
        <f>IFERROR(__xludf.DUMMYFUNCTION("""COMPUTED_VALUE"""),"Saipos Serviços De Software")</f>
        <v>Saipos Serviços De Software</v>
      </c>
      <c r="X1853" s="33">
        <f>IFERROR(__xludf.DUMMYFUNCTION("""COMPUTED_VALUE"""),1.0)</f>
        <v>1</v>
      </c>
    </row>
    <row r="1854">
      <c r="K1854" s="4" t="str">
        <f>IFERROR(__xludf.DUMMYFUNCTION("""COMPUTED_VALUE"""),"PIZZARIA VETRINA - CONTA PAI")</f>
        <v>PIZZARIA VETRINA - CONTA PAI</v>
      </c>
      <c r="L1854" s="32">
        <f>IFERROR(__xludf.DUMMYFUNCTION("""COMPUTED_VALUE"""),5.0)</f>
        <v>5</v>
      </c>
      <c r="M1854" s="4" t="str">
        <f>IFERROR(__xludf.DUMMYFUNCTION("""COMPUTED_VALUE"""),"Consumer Soluções Em Tecnologia Ltda")</f>
        <v>Consumer Soluções Em Tecnologia Ltda</v>
      </c>
      <c r="N1854" s="33">
        <f>IFERROR(__xludf.DUMMYFUNCTION("""COMPUTED_VALUE"""),0.6)</f>
        <v>0.6</v>
      </c>
      <c r="O1854" s="4" t="str">
        <f>IFERROR(__xludf.DUMMYFUNCTION("""COMPUTED_VALUE"""),"Consumer Soluções Em Tecnologia Ltda")</f>
        <v>Consumer Soluções Em Tecnologia Ltda</v>
      </c>
      <c r="P1854" s="33">
        <f>IFERROR(__xludf.DUMMYFUNCTION("""COMPUTED_VALUE"""),0.6)</f>
        <v>0.6</v>
      </c>
      <c r="Q1854" s="4" t="str">
        <f>IFERROR(__xludf.DUMMYFUNCTION("""COMPUTED_VALUE"""),"Consumer Soluções Em Tecnologia Ltda")</f>
        <v>Consumer Soluções Em Tecnologia Ltda</v>
      </c>
      <c r="R1854" s="33">
        <f>IFERROR(__xludf.DUMMYFUNCTION("""COMPUTED_VALUE"""),0.4)</f>
        <v>0.4</v>
      </c>
      <c r="S1854" s="4" t="str">
        <f>IFERROR(__xludf.DUMMYFUNCTION("""COMPUTED_VALUE"""),"Consumer Soluções Em Tecnologia Ltda")</f>
        <v>Consumer Soluções Em Tecnologia Ltda</v>
      </c>
      <c r="T1854" s="33">
        <f>IFERROR(__xludf.DUMMYFUNCTION("""COMPUTED_VALUE"""),0.6)</f>
        <v>0.6</v>
      </c>
      <c r="U1854" s="4" t="str">
        <f>IFERROR(__xludf.DUMMYFUNCTION("""COMPUTED_VALUE"""),"One Solucoes")</f>
        <v>One Solucoes</v>
      </c>
      <c r="V1854" s="33">
        <f>IFERROR(__xludf.DUMMYFUNCTION("""COMPUTED_VALUE"""),0.4)</f>
        <v>0.4</v>
      </c>
      <c r="W1854" s="4" t="str">
        <f>IFERROR(__xludf.DUMMYFUNCTION("""COMPUTED_VALUE"""),"One Solucoes")</f>
        <v>One Solucoes</v>
      </c>
      <c r="X1854" s="33">
        <f>IFERROR(__xludf.DUMMYFUNCTION("""COMPUTED_VALUE"""),0.4)</f>
        <v>0.4</v>
      </c>
    </row>
    <row r="1855">
      <c r="K1855" s="4" t="str">
        <f>IFERROR(__xludf.DUMMYFUNCTION("""COMPUTED_VALUE"""),"PIZZERIA CEZANNE")</f>
        <v>PIZZERIA CEZANNE</v>
      </c>
      <c r="L1855" s="32">
        <f>IFERROR(__xludf.DUMMYFUNCTION("""COMPUTED_VALUE"""),5.0)</f>
        <v>5</v>
      </c>
      <c r="M1855" s="4" t="str">
        <f>IFERROR(__xludf.DUMMYFUNCTION("""COMPUTED_VALUE"""),"Latech Informatica Ltda")</f>
        <v>Latech Informatica Ltda</v>
      </c>
      <c r="N1855" s="33">
        <f>IFERROR(__xludf.DUMMYFUNCTION("""COMPUTED_VALUE"""),1.0)</f>
        <v>1</v>
      </c>
      <c r="O1855" s="4" t="str">
        <f>IFERROR(__xludf.DUMMYFUNCTION("""COMPUTED_VALUE"""),"Latech Informatica Ltda")</f>
        <v>Latech Informatica Ltda</v>
      </c>
      <c r="P1855" s="33">
        <f>IFERROR(__xludf.DUMMYFUNCTION("""COMPUTED_VALUE"""),1.0)</f>
        <v>1</v>
      </c>
      <c r="Q1855" s="4" t="str">
        <f>IFERROR(__xludf.DUMMYFUNCTION("""COMPUTED_VALUE"""),"Latech Informatica Ltda")</f>
        <v>Latech Informatica Ltda</v>
      </c>
      <c r="R1855" s="33">
        <f>IFERROR(__xludf.DUMMYFUNCTION("""COMPUTED_VALUE"""),1.0)</f>
        <v>1</v>
      </c>
      <c r="S1855" s="4" t="str">
        <f>IFERROR(__xludf.DUMMYFUNCTION("""COMPUTED_VALUE"""),"Latech Informatica Ltda")</f>
        <v>Latech Informatica Ltda</v>
      </c>
      <c r="T1855" s="33">
        <f>IFERROR(__xludf.DUMMYFUNCTION("""COMPUTED_VALUE"""),1.0)</f>
        <v>1</v>
      </c>
      <c r="U1855" s="4" t="str">
        <f>IFERROR(__xludf.DUMMYFUNCTION("""COMPUTED_VALUE"""),"Latech Informatica Ltda")</f>
        <v>Latech Informatica Ltda</v>
      </c>
      <c r="V1855" s="33">
        <f>IFERROR(__xludf.DUMMYFUNCTION("""COMPUTED_VALUE"""),1.0)</f>
        <v>1</v>
      </c>
      <c r="W1855" s="4" t="str">
        <f>IFERROR(__xludf.DUMMYFUNCTION("""COMPUTED_VALUE"""),"Latech Informatica Ltda")</f>
        <v>Latech Informatica Ltda</v>
      </c>
      <c r="X1855" s="33">
        <f>IFERROR(__xludf.DUMMYFUNCTION("""COMPUTED_VALUE"""),1.0)</f>
        <v>1</v>
      </c>
    </row>
    <row r="1856">
      <c r="K1856" s="4" t="str">
        <f>IFERROR(__xludf.DUMMYFUNCTION("""COMPUTED_VALUE"""),"POKE TO WOK")</f>
        <v>POKE TO WOK</v>
      </c>
      <c r="L1856" s="32">
        <f>IFERROR(__xludf.DUMMYFUNCTION("""COMPUTED_VALUE"""),5.0)</f>
        <v>5</v>
      </c>
      <c r="M1856" s="4" t="str">
        <f>IFERROR(__xludf.DUMMYFUNCTION("""COMPUTED_VALUE"""),"Cloudfy")</f>
        <v>Cloudfy</v>
      </c>
      <c r="N1856" s="33">
        <f>IFERROR(__xludf.DUMMYFUNCTION("""COMPUTED_VALUE"""),1.0)</f>
        <v>1</v>
      </c>
      <c r="O1856" s="4" t="str">
        <f>IFERROR(__xludf.DUMMYFUNCTION("""COMPUTED_VALUE"""),"Cloudfy")</f>
        <v>Cloudfy</v>
      </c>
      <c r="P1856" s="33">
        <f>IFERROR(__xludf.DUMMYFUNCTION("""COMPUTED_VALUE"""),1.0)</f>
        <v>1</v>
      </c>
      <c r="Q1856" s="4" t="str">
        <f>IFERROR(__xludf.DUMMYFUNCTION("""COMPUTED_VALUE"""),"Cloudfy")</f>
        <v>Cloudfy</v>
      </c>
      <c r="R1856" s="33">
        <f>IFERROR(__xludf.DUMMYFUNCTION("""COMPUTED_VALUE"""),1.0)</f>
        <v>1</v>
      </c>
      <c r="S1856" s="4" t="str">
        <f>IFERROR(__xludf.DUMMYFUNCTION("""COMPUTED_VALUE"""),"Cloudfy")</f>
        <v>Cloudfy</v>
      </c>
      <c r="T1856" s="33">
        <f>IFERROR(__xludf.DUMMYFUNCTION("""COMPUTED_VALUE"""),1.0)</f>
        <v>1</v>
      </c>
      <c r="U1856" s="4" t="str">
        <f>IFERROR(__xludf.DUMMYFUNCTION("""COMPUTED_VALUE"""),"Cloudfy")</f>
        <v>Cloudfy</v>
      </c>
      <c r="V1856" s="33">
        <f>IFERROR(__xludf.DUMMYFUNCTION("""COMPUTED_VALUE"""),1.0)</f>
        <v>1</v>
      </c>
      <c r="W1856" s="4" t="str">
        <f>IFERROR(__xludf.DUMMYFUNCTION("""COMPUTED_VALUE"""),"Cloudfy")</f>
        <v>Cloudfy</v>
      </c>
      <c r="X1856" s="33">
        <f>IFERROR(__xludf.DUMMYFUNCTION("""COMPUTED_VALUE"""),1.0)</f>
        <v>1</v>
      </c>
    </row>
    <row r="1857">
      <c r="K1857" s="4" t="str">
        <f>IFERROR(__xludf.DUMMYFUNCTION("""COMPUTED_VALUE"""),"PORTEIRA PICANHARIA")</f>
        <v>PORTEIRA PICANHARIA</v>
      </c>
      <c r="L1857" s="32">
        <f>IFERROR(__xludf.DUMMYFUNCTION("""COMPUTED_VALUE"""),5.0)</f>
        <v>5</v>
      </c>
      <c r="M1857" s="4" t="str">
        <f>IFERROR(__xludf.DUMMYFUNCTION("""COMPUTED_VALUE"""),"Saipos Serviços De Software")</f>
        <v>Saipos Serviços De Software</v>
      </c>
      <c r="N1857" s="33">
        <f>IFERROR(__xludf.DUMMYFUNCTION("""COMPUTED_VALUE"""),1.0)</f>
        <v>1</v>
      </c>
      <c r="O1857" s="4" t="str">
        <f>IFERROR(__xludf.DUMMYFUNCTION("""COMPUTED_VALUE"""),"Saipos Serviços De Software")</f>
        <v>Saipos Serviços De Software</v>
      </c>
      <c r="P1857" s="33">
        <f>IFERROR(__xludf.DUMMYFUNCTION("""COMPUTED_VALUE"""),1.0)</f>
        <v>1</v>
      </c>
      <c r="Q1857" s="4" t="str">
        <f>IFERROR(__xludf.DUMMYFUNCTION("""COMPUTED_VALUE"""),"Saipos Serviços De Software")</f>
        <v>Saipos Serviços De Software</v>
      </c>
      <c r="R1857" s="33">
        <f>IFERROR(__xludf.DUMMYFUNCTION("""COMPUTED_VALUE"""),1.0)</f>
        <v>1</v>
      </c>
      <c r="S1857" s="4" t="str">
        <f>IFERROR(__xludf.DUMMYFUNCTION("""COMPUTED_VALUE"""),"Saipos Serviços De Software")</f>
        <v>Saipos Serviços De Software</v>
      </c>
      <c r="T1857" s="33">
        <f>IFERROR(__xludf.DUMMYFUNCTION("""COMPUTED_VALUE"""),1.0)</f>
        <v>1</v>
      </c>
      <c r="U1857" s="4" t="str">
        <f>IFERROR(__xludf.DUMMYFUNCTION("""COMPUTED_VALUE"""),"Saipos Serviços De Software")</f>
        <v>Saipos Serviços De Software</v>
      </c>
      <c r="V1857" s="33">
        <f>IFERROR(__xludf.DUMMYFUNCTION("""COMPUTED_VALUE"""),1.0)</f>
        <v>1</v>
      </c>
      <c r="W1857" s="4" t="str">
        <f>IFERROR(__xludf.DUMMYFUNCTION("""COMPUTED_VALUE"""),"Saipos Serviços De Software")</f>
        <v>Saipos Serviços De Software</v>
      </c>
      <c r="X1857" s="33">
        <f>IFERROR(__xludf.DUMMYFUNCTION("""COMPUTED_VALUE"""),1.0)</f>
        <v>1</v>
      </c>
    </row>
    <row r="1858">
      <c r="K1858" s="4" t="str">
        <f>IFERROR(__xludf.DUMMYFUNCTION("""COMPUTED_VALUE"""),"PRADO SUPERMERCADOS - CONTA PAI")</f>
        <v>PRADO SUPERMERCADOS - CONTA PAI</v>
      </c>
      <c r="L1858" s="32">
        <f>IFERROR(__xludf.DUMMYFUNCTION("""COMPUTED_VALUE"""),5.0)</f>
        <v>5</v>
      </c>
      <c r="M1858" s="4" t="str">
        <f>IFERROR(__xludf.DUMMYFUNCTION("""COMPUTED_VALUE"""),"N/A (Not found)")</f>
        <v>N/A (Not found)</v>
      </c>
      <c r="N1858" s="33">
        <f>IFERROR(__xludf.DUMMYFUNCTION("""COMPUTED_VALUE"""),1.0)</f>
        <v>1</v>
      </c>
      <c r="O1858" s="4" t="str">
        <f>IFERROR(__xludf.DUMMYFUNCTION("""COMPUTED_VALUE"""),"N/A (Not found)")</f>
        <v>N/A (Not found)</v>
      </c>
      <c r="P1858" s="33">
        <f>IFERROR(__xludf.DUMMYFUNCTION("""COMPUTED_VALUE"""),1.0)</f>
        <v>1</v>
      </c>
      <c r="Q1858" s="4" t="str">
        <f>IFERROR(__xludf.DUMMYFUNCTION("""COMPUTED_VALUE"""),"N/A (Not found)")</f>
        <v>N/A (Not found)</v>
      </c>
      <c r="R1858" s="33">
        <f>IFERROR(__xludf.DUMMYFUNCTION("""COMPUTED_VALUE"""),1.0)</f>
        <v>1</v>
      </c>
      <c r="S1858" s="4" t="str">
        <f>IFERROR(__xludf.DUMMYFUNCTION("""COMPUTED_VALUE"""),"N/A (Not found)")</f>
        <v>N/A (Not found)</v>
      </c>
      <c r="T1858" s="33">
        <f>IFERROR(__xludf.DUMMYFUNCTION("""COMPUTED_VALUE"""),1.0)</f>
        <v>1</v>
      </c>
      <c r="U1858" s="4" t="str">
        <f>IFERROR(__xludf.DUMMYFUNCTION("""COMPUTED_VALUE"""),"N/A (Not found)")</f>
        <v>N/A (Not found)</v>
      </c>
      <c r="V1858" s="33">
        <f>IFERROR(__xludf.DUMMYFUNCTION("""COMPUTED_VALUE"""),1.0)</f>
        <v>1</v>
      </c>
      <c r="W1858" s="4" t="str">
        <f>IFERROR(__xludf.DUMMYFUNCTION("""COMPUTED_VALUE"""),"N/A (Not found)")</f>
        <v>N/A (Not found)</v>
      </c>
      <c r="X1858" s="33">
        <f>IFERROR(__xludf.DUMMYFUNCTION("""COMPUTED_VALUE"""),1.0)</f>
        <v>1</v>
      </c>
    </row>
    <row r="1859">
      <c r="K1859" s="4" t="str">
        <f>IFERROR(__xludf.DUMMYFUNCTION("""COMPUTED_VALUE"""),"PRATO FINO - CONTA PAI")</f>
        <v>PRATO FINO - CONTA PAI</v>
      </c>
      <c r="L1859" s="32">
        <f>IFERROR(__xludf.DUMMYFUNCTION("""COMPUTED_VALUE"""),5.0)</f>
        <v>5</v>
      </c>
      <c r="M1859" s="4" t="str">
        <f>IFERROR(__xludf.DUMMYFUNCTION("""COMPUTED_VALUE"""),"null")</f>
        <v>null</v>
      </c>
      <c r="N1859" s="33">
        <f>IFERROR(__xludf.DUMMYFUNCTION("""COMPUTED_VALUE"""),0.8)</f>
        <v>0.8</v>
      </c>
      <c r="O1859" s="4" t="str">
        <f>IFERROR(__xludf.DUMMYFUNCTION("""COMPUTED_VALUE"""),"null")</f>
        <v>null</v>
      </c>
      <c r="P1859" s="33">
        <f>IFERROR(__xludf.DUMMYFUNCTION("""COMPUTED_VALUE"""),1.0)</f>
        <v>1</v>
      </c>
      <c r="Q1859" s="4" t="str">
        <f>IFERROR(__xludf.DUMMYFUNCTION("""COMPUTED_VALUE"""),"Saipos Serviços De Software")</f>
        <v>Saipos Serviços De Software</v>
      </c>
      <c r="R1859" s="33">
        <f>IFERROR(__xludf.DUMMYFUNCTION("""COMPUTED_VALUE"""),1.0)</f>
        <v>1</v>
      </c>
      <c r="S1859" s="4" t="str">
        <f>IFERROR(__xludf.DUMMYFUNCTION("""COMPUTED_VALUE"""),"Saipos Serviços De Software")</f>
        <v>Saipos Serviços De Software</v>
      </c>
      <c r="T1859" s="33">
        <f>IFERROR(__xludf.DUMMYFUNCTION("""COMPUTED_VALUE"""),1.0)</f>
        <v>1</v>
      </c>
      <c r="U1859" s="4" t="str">
        <f>IFERROR(__xludf.DUMMYFUNCTION("""COMPUTED_VALUE"""),"Saipos Serviços De Software")</f>
        <v>Saipos Serviços De Software</v>
      </c>
      <c r="V1859" s="33">
        <f>IFERROR(__xludf.DUMMYFUNCTION("""COMPUTED_VALUE"""),1.0)</f>
        <v>1</v>
      </c>
      <c r="W1859" s="4" t="str">
        <f>IFERROR(__xludf.DUMMYFUNCTION("""COMPUTED_VALUE"""),"Saipos Serviços De Software")</f>
        <v>Saipos Serviços De Software</v>
      </c>
      <c r="X1859" s="33">
        <f>IFERROR(__xludf.DUMMYFUNCTION("""COMPUTED_VALUE"""),1.0)</f>
        <v>1</v>
      </c>
    </row>
    <row r="1860">
      <c r="K1860" s="4" t="str">
        <f>IFERROR(__xludf.DUMMYFUNCTION("""COMPUTED_VALUE"""),"PURPLEBERRY ACAI")</f>
        <v>PURPLEBERRY ACAI</v>
      </c>
      <c r="L1860" s="32">
        <f>IFERROR(__xludf.DUMMYFUNCTION("""COMPUTED_VALUE"""),5.0)</f>
        <v>5</v>
      </c>
      <c r="M1860" s="4" t="str">
        <f>IFERROR(__xludf.DUMMYFUNCTION("""COMPUTED_VALUE"""),"Stone Co.")</f>
        <v>Stone Co.</v>
      </c>
      <c r="N1860" s="33">
        <f>IFERROR(__xludf.DUMMYFUNCTION("""COMPUTED_VALUE"""),1.0)</f>
        <v>1</v>
      </c>
      <c r="O1860" s="4" t="str">
        <f>IFERROR(__xludf.DUMMYFUNCTION("""COMPUTED_VALUE"""),"Stone Co.")</f>
        <v>Stone Co.</v>
      </c>
      <c r="P1860" s="33">
        <f>IFERROR(__xludf.DUMMYFUNCTION("""COMPUTED_VALUE"""),1.0)</f>
        <v>1</v>
      </c>
      <c r="Q1860" s="4" t="str">
        <f>IFERROR(__xludf.DUMMYFUNCTION("""COMPUTED_VALUE"""),"Stone Co.")</f>
        <v>Stone Co.</v>
      </c>
      <c r="R1860" s="33">
        <f>IFERROR(__xludf.DUMMYFUNCTION("""COMPUTED_VALUE"""),1.0)</f>
        <v>1</v>
      </c>
      <c r="S1860" s="4" t="str">
        <f>IFERROR(__xludf.DUMMYFUNCTION("""COMPUTED_VALUE"""),"Stone Co.")</f>
        <v>Stone Co.</v>
      </c>
      <c r="T1860" s="33">
        <f>IFERROR(__xludf.DUMMYFUNCTION("""COMPUTED_VALUE"""),1.0)</f>
        <v>1</v>
      </c>
      <c r="U1860" s="4" t="str">
        <f>IFERROR(__xludf.DUMMYFUNCTION("""COMPUTED_VALUE"""),"Stone Co.")</f>
        <v>Stone Co.</v>
      </c>
      <c r="V1860" s="33">
        <f>IFERROR(__xludf.DUMMYFUNCTION("""COMPUTED_VALUE"""),1.0)</f>
        <v>1</v>
      </c>
      <c r="W1860" s="4" t="str">
        <f>IFERROR(__xludf.DUMMYFUNCTION("""COMPUTED_VALUE"""),"Stone Co.")</f>
        <v>Stone Co.</v>
      </c>
      <c r="X1860" s="33">
        <f>IFERROR(__xludf.DUMMYFUNCTION("""COMPUTED_VALUE"""),1.0)</f>
        <v>1</v>
      </c>
    </row>
    <row r="1861">
      <c r="K1861" s="4" t="str">
        <f>IFERROR(__xludf.DUMMYFUNCTION("""COMPUTED_VALUE"""),"QUEIMA PRECO ATACADISTA - CONTA GRUPO")</f>
        <v>QUEIMA PRECO ATACADISTA - CONTA GRUPO</v>
      </c>
      <c r="L1861" s="32">
        <f>IFERROR(__xludf.DUMMYFUNCTION("""COMPUTED_VALUE"""),5.0)</f>
        <v>5</v>
      </c>
      <c r="M1861" s="4" t="str">
        <f>IFERROR(__xludf.DUMMYFUNCTION("""COMPUTED_VALUE"""),"N/A (Not found)")</f>
        <v>N/A (Not found)</v>
      </c>
      <c r="N1861" s="33">
        <f>IFERROR(__xludf.DUMMYFUNCTION("""COMPUTED_VALUE"""),1.0)</f>
        <v>1</v>
      </c>
      <c r="O1861" s="4" t="str">
        <f>IFERROR(__xludf.DUMMYFUNCTION("""COMPUTED_VALUE"""),"N/A (Not found)")</f>
        <v>N/A (Not found)</v>
      </c>
      <c r="P1861" s="33">
        <f>IFERROR(__xludf.DUMMYFUNCTION("""COMPUTED_VALUE"""),1.0)</f>
        <v>1</v>
      </c>
      <c r="Q1861" s="4" t="str">
        <f>IFERROR(__xludf.DUMMYFUNCTION("""COMPUTED_VALUE"""),"N/A (Not found)")</f>
        <v>N/A (Not found)</v>
      </c>
      <c r="R1861" s="33">
        <f>IFERROR(__xludf.DUMMYFUNCTION("""COMPUTED_VALUE"""),1.0)</f>
        <v>1</v>
      </c>
      <c r="S1861" s="4" t="str">
        <f>IFERROR(__xludf.DUMMYFUNCTION("""COMPUTED_VALUE"""),"N/A (Not found)")</f>
        <v>N/A (Not found)</v>
      </c>
      <c r="T1861" s="33">
        <f>IFERROR(__xludf.DUMMYFUNCTION("""COMPUTED_VALUE"""),1.0)</f>
        <v>1</v>
      </c>
      <c r="U1861" s="4" t="str">
        <f>IFERROR(__xludf.DUMMYFUNCTION("""COMPUTED_VALUE"""),"N/A (Not found)")</f>
        <v>N/A (Not found)</v>
      </c>
      <c r="V1861" s="33">
        <f>IFERROR(__xludf.DUMMYFUNCTION("""COMPUTED_VALUE"""),0.8)</f>
        <v>0.8</v>
      </c>
      <c r="W1861" s="4" t="str">
        <f>IFERROR(__xludf.DUMMYFUNCTION("""COMPUTED_VALUE"""),"N/A (Not found)")</f>
        <v>N/A (Not found)</v>
      </c>
      <c r="X1861" s="33">
        <f>IFERROR(__xludf.DUMMYFUNCTION("""COMPUTED_VALUE"""),0.8)</f>
        <v>0.8</v>
      </c>
    </row>
    <row r="1862">
      <c r="K1862" s="4" t="str">
        <f>IFERROR(__xludf.DUMMYFUNCTION("""COMPUTED_VALUE"""),"RAFAELA FONTES CHOCOLATERIA")</f>
        <v>RAFAELA FONTES CHOCOLATERIA</v>
      </c>
      <c r="L1862" s="32">
        <f>IFERROR(__xludf.DUMMYFUNCTION("""COMPUTED_VALUE"""),5.0)</f>
        <v>5</v>
      </c>
      <c r="M1862" s="4" t="str">
        <f>IFERROR(__xludf.DUMMYFUNCTION("""COMPUTED_VALUE"""),"Izzy Way Tecnologia")</f>
        <v>Izzy Way Tecnologia</v>
      </c>
      <c r="N1862" s="33">
        <f>IFERROR(__xludf.DUMMYFUNCTION("""COMPUTED_VALUE"""),0.6)</f>
        <v>0.6</v>
      </c>
      <c r="O1862" s="4" t="str">
        <f>IFERROR(__xludf.DUMMYFUNCTION("""COMPUTED_VALUE"""),"Izzy Way Tecnologia")</f>
        <v>Izzy Way Tecnologia</v>
      </c>
      <c r="P1862" s="33">
        <f>IFERROR(__xludf.DUMMYFUNCTION("""COMPUTED_VALUE"""),0.6)</f>
        <v>0.6</v>
      </c>
      <c r="Q1862" s="4" t="str">
        <f>IFERROR(__xludf.DUMMYFUNCTION("""COMPUTED_VALUE"""),"Izzy Way Tecnologia")</f>
        <v>Izzy Way Tecnologia</v>
      </c>
      <c r="R1862" s="33">
        <f>IFERROR(__xludf.DUMMYFUNCTION("""COMPUTED_VALUE"""),0.6)</f>
        <v>0.6</v>
      </c>
      <c r="S1862" s="4" t="str">
        <f>IFERROR(__xludf.DUMMYFUNCTION("""COMPUTED_VALUE"""),"Izzy Way Tecnologia")</f>
        <v>Izzy Way Tecnologia</v>
      </c>
      <c r="T1862" s="33">
        <f>IFERROR(__xludf.DUMMYFUNCTION("""COMPUTED_VALUE"""),0.6)</f>
        <v>0.6</v>
      </c>
      <c r="U1862" s="4" t="str">
        <f>IFERROR(__xludf.DUMMYFUNCTION("""COMPUTED_VALUE"""),"Izzy Way Tecnologia")</f>
        <v>Izzy Way Tecnologia</v>
      </c>
      <c r="V1862" s="33">
        <f>IFERROR(__xludf.DUMMYFUNCTION("""COMPUTED_VALUE"""),1.0)</f>
        <v>1</v>
      </c>
      <c r="W1862" s="4" t="str">
        <f>IFERROR(__xludf.DUMMYFUNCTION("""COMPUTED_VALUE"""),"Izzy Way Tecnologia")</f>
        <v>Izzy Way Tecnologia</v>
      </c>
      <c r="X1862" s="33">
        <f>IFERROR(__xludf.DUMMYFUNCTION("""COMPUTED_VALUE"""),1.0)</f>
        <v>1</v>
      </c>
    </row>
    <row r="1863">
      <c r="K1863" s="4" t="str">
        <f>IFERROR(__xludf.DUMMYFUNCTION("""COMPUTED_VALUE"""),"RAIZ FORTALEZA")</f>
        <v>RAIZ FORTALEZA</v>
      </c>
      <c r="L1863" s="32">
        <f>IFERROR(__xludf.DUMMYFUNCTION("""COMPUTED_VALUE"""),5.0)</f>
        <v>5</v>
      </c>
      <c r="M1863" s="4" t="str">
        <f>IFERROR(__xludf.DUMMYFUNCTION("""COMPUTED_VALUE"""),"Izzy Way Tecnologia")</f>
        <v>Izzy Way Tecnologia</v>
      </c>
      <c r="N1863" s="33">
        <f>IFERROR(__xludf.DUMMYFUNCTION("""COMPUTED_VALUE"""),0.8)</f>
        <v>0.8</v>
      </c>
      <c r="O1863" s="4" t="str">
        <f>IFERROR(__xludf.DUMMYFUNCTION("""COMPUTED_VALUE"""),"Izzy Way Tecnologia")</f>
        <v>Izzy Way Tecnologia</v>
      </c>
      <c r="P1863" s="33">
        <f>IFERROR(__xludf.DUMMYFUNCTION("""COMPUTED_VALUE"""),0.8)</f>
        <v>0.8</v>
      </c>
      <c r="Q1863" s="4" t="str">
        <f>IFERROR(__xludf.DUMMYFUNCTION("""COMPUTED_VALUE"""),"Izzy Way Tecnologia")</f>
        <v>Izzy Way Tecnologia</v>
      </c>
      <c r="R1863" s="33">
        <f>IFERROR(__xludf.DUMMYFUNCTION("""COMPUTED_VALUE"""),0.8)</f>
        <v>0.8</v>
      </c>
      <c r="S1863" s="4" t="str">
        <f>IFERROR(__xludf.DUMMYFUNCTION("""COMPUTED_VALUE"""),"Izzy Way Tecnologia")</f>
        <v>Izzy Way Tecnologia</v>
      </c>
      <c r="T1863" s="33">
        <f>IFERROR(__xludf.DUMMYFUNCTION("""COMPUTED_VALUE"""),0.8)</f>
        <v>0.8</v>
      </c>
      <c r="U1863" s="4" t="str">
        <f>IFERROR(__xludf.DUMMYFUNCTION("""COMPUTED_VALUE"""),"Izzy Way Tecnologia")</f>
        <v>Izzy Way Tecnologia</v>
      </c>
      <c r="V1863" s="33">
        <f>IFERROR(__xludf.DUMMYFUNCTION("""COMPUTED_VALUE"""),0.8)</f>
        <v>0.8</v>
      </c>
      <c r="W1863" s="4" t="str">
        <f>IFERROR(__xludf.DUMMYFUNCTION("""COMPUTED_VALUE"""),"Izzy Way Tecnologia")</f>
        <v>Izzy Way Tecnologia</v>
      </c>
      <c r="X1863" s="33">
        <f>IFERROR(__xludf.DUMMYFUNCTION("""COMPUTED_VALUE"""),0.8)</f>
        <v>0.8</v>
      </c>
    </row>
    <row r="1864">
      <c r="K1864" s="4" t="str">
        <f>IFERROR(__xludf.DUMMYFUNCTION("""COMPUTED_VALUE"""),"RAZE BURGUER")</f>
        <v>RAZE BURGUER</v>
      </c>
      <c r="L1864" s="32">
        <f>IFERROR(__xludf.DUMMYFUNCTION("""COMPUTED_VALUE"""),5.0)</f>
        <v>5</v>
      </c>
      <c r="M1864" s="4" t="str">
        <f>IFERROR(__xludf.DUMMYFUNCTION("""COMPUTED_VALUE"""),"null")</f>
        <v>null</v>
      </c>
      <c r="N1864" s="33">
        <f>IFERROR(__xludf.DUMMYFUNCTION("""COMPUTED_VALUE"""),0.4)</f>
        <v>0.4</v>
      </c>
      <c r="O1864" s="4" t="str">
        <f>IFERROR(__xludf.DUMMYFUNCTION("""COMPUTED_VALUE"""),"null")</f>
        <v>null</v>
      </c>
      <c r="P1864" s="33">
        <f>IFERROR(__xludf.DUMMYFUNCTION("""COMPUTED_VALUE"""),0.6)</f>
        <v>0.6</v>
      </c>
      <c r="Q1864" s="4" t="str">
        <f>IFERROR(__xludf.DUMMYFUNCTION("""COMPUTED_VALUE"""),"Saipos Serviços De Software")</f>
        <v>Saipos Serviços De Software</v>
      </c>
      <c r="R1864" s="33">
        <f>IFERROR(__xludf.DUMMYFUNCTION("""COMPUTED_VALUE"""),0.8)</f>
        <v>0.8</v>
      </c>
      <c r="S1864" s="4" t="str">
        <f>IFERROR(__xludf.DUMMYFUNCTION("""COMPUTED_VALUE"""),"Saipos Serviços De Software")</f>
        <v>Saipos Serviços De Software</v>
      </c>
      <c r="T1864" s="33">
        <f>IFERROR(__xludf.DUMMYFUNCTION("""COMPUTED_VALUE"""),0.6)</f>
        <v>0.6</v>
      </c>
      <c r="U1864" s="4" t="str">
        <f>IFERROR(__xludf.DUMMYFUNCTION("""COMPUTED_VALUE"""),"Saipos Serviços De Software")</f>
        <v>Saipos Serviços De Software</v>
      </c>
      <c r="V1864" s="33">
        <f>IFERROR(__xludf.DUMMYFUNCTION("""COMPUTED_VALUE"""),0.8)</f>
        <v>0.8</v>
      </c>
      <c r="W1864" s="4" t="str">
        <f>IFERROR(__xludf.DUMMYFUNCTION("""COMPUTED_VALUE"""),"Saipos Serviços De Software")</f>
        <v>Saipos Serviços De Software</v>
      </c>
      <c r="X1864" s="33">
        <f>IFERROR(__xludf.DUMMYFUNCTION("""COMPUTED_VALUE"""),0.8)</f>
        <v>0.8</v>
      </c>
    </row>
    <row r="1865">
      <c r="K1865" s="4" t="str">
        <f>IFERROR(__xludf.DUMMYFUNCTION("""COMPUTED_VALUE"""),"RAZZA PIZZA SAUDAVEL")</f>
        <v>RAZZA PIZZA SAUDAVEL</v>
      </c>
      <c r="L1865" s="32">
        <f>IFERROR(__xludf.DUMMYFUNCTION("""COMPUTED_VALUE"""),5.0)</f>
        <v>5</v>
      </c>
      <c r="M1865" s="4" t="str">
        <f>IFERROR(__xludf.DUMMYFUNCTION("""COMPUTED_VALUE"""),"Saipos Serviços De Software")</f>
        <v>Saipos Serviços De Software</v>
      </c>
      <c r="N1865" s="33">
        <f>IFERROR(__xludf.DUMMYFUNCTION("""COMPUTED_VALUE"""),1.0)</f>
        <v>1</v>
      </c>
      <c r="O1865" s="4" t="str">
        <f>IFERROR(__xludf.DUMMYFUNCTION("""COMPUTED_VALUE"""),"Saipos Serviços De Software")</f>
        <v>Saipos Serviços De Software</v>
      </c>
      <c r="P1865" s="33">
        <f>IFERROR(__xludf.DUMMYFUNCTION("""COMPUTED_VALUE"""),1.0)</f>
        <v>1</v>
      </c>
      <c r="Q1865" s="4" t="str">
        <f>IFERROR(__xludf.DUMMYFUNCTION("""COMPUTED_VALUE"""),"Saipos Serviços De Software")</f>
        <v>Saipos Serviços De Software</v>
      </c>
      <c r="R1865" s="33">
        <f>IFERROR(__xludf.DUMMYFUNCTION("""COMPUTED_VALUE"""),1.0)</f>
        <v>1</v>
      </c>
      <c r="S1865" s="4" t="str">
        <f>IFERROR(__xludf.DUMMYFUNCTION("""COMPUTED_VALUE"""),"Saipos Serviços De Software")</f>
        <v>Saipos Serviços De Software</v>
      </c>
      <c r="T1865" s="33">
        <f>IFERROR(__xludf.DUMMYFUNCTION("""COMPUTED_VALUE"""),1.0)</f>
        <v>1</v>
      </c>
      <c r="U1865" s="4" t="str">
        <f>IFERROR(__xludf.DUMMYFUNCTION("""COMPUTED_VALUE"""),"Saipos Serviços De Software")</f>
        <v>Saipos Serviços De Software</v>
      </c>
      <c r="V1865" s="33">
        <f>IFERROR(__xludf.DUMMYFUNCTION("""COMPUTED_VALUE"""),1.0)</f>
        <v>1</v>
      </c>
      <c r="W1865" s="4" t="str">
        <f>IFERROR(__xludf.DUMMYFUNCTION("""COMPUTED_VALUE"""),"Saipos Serviços De Software")</f>
        <v>Saipos Serviços De Software</v>
      </c>
      <c r="X1865" s="33">
        <f>IFERROR(__xludf.DUMMYFUNCTION("""COMPUTED_VALUE"""),1.0)</f>
        <v>1</v>
      </c>
    </row>
    <row r="1866">
      <c r="K1866" s="4" t="str">
        <f>IFERROR(__xludf.DUMMYFUNCTION("""COMPUTED_VALUE"""),"REI DA COXINHA - PA")</f>
        <v>REI DA COXINHA - PA</v>
      </c>
      <c r="L1866" s="32">
        <f>IFERROR(__xludf.DUMMYFUNCTION("""COMPUTED_VALUE"""),5.0)</f>
        <v>5</v>
      </c>
      <c r="M1866" s="4" t="str">
        <f>IFERROR(__xludf.DUMMYFUNCTION("""COMPUTED_VALUE"""),"null")</f>
        <v>null</v>
      </c>
      <c r="N1866" s="33">
        <f>IFERROR(__xludf.DUMMYFUNCTION("""COMPUTED_VALUE"""),0.8)</f>
        <v>0.8</v>
      </c>
      <c r="O1866" s="4" t="str">
        <f>IFERROR(__xludf.DUMMYFUNCTION("""COMPUTED_VALUE"""),"Saipos Serviços De Software")</f>
        <v>Saipos Serviços De Software</v>
      </c>
      <c r="P1866" s="33">
        <f>IFERROR(__xludf.DUMMYFUNCTION("""COMPUTED_VALUE"""),0.6)</f>
        <v>0.6</v>
      </c>
      <c r="Q1866" s="4" t="str">
        <f>IFERROR(__xludf.DUMMYFUNCTION("""COMPUTED_VALUE"""),"Saipos Serviços De Software")</f>
        <v>Saipos Serviços De Software</v>
      </c>
      <c r="R1866" s="33">
        <f>IFERROR(__xludf.DUMMYFUNCTION("""COMPUTED_VALUE"""),0.8)</f>
        <v>0.8</v>
      </c>
      <c r="S1866" s="4" t="str">
        <f>IFERROR(__xludf.DUMMYFUNCTION("""COMPUTED_VALUE"""),"Saipos Serviços De Software")</f>
        <v>Saipos Serviços De Software</v>
      </c>
      <c r="T1866" s="33">
        <f>IFERROR(__xludf.DUMMYFUNCTION("""COMPUTED_VALUE"""),1.0)</f>
        <v>1</v>
      </c>
      <c r="U1866" s="4" t="str">
        <f>IFERROR(__xludf.DUMMYFUNCTION("""COMPUTED_VALUE"""),"Saipos Serviços De Software")</f>
        <v>Saipos Serviços De Software</v>
      </c>
      <c r="V1866" s="33">
        <f>IFERROR(__xludf.DUMMYFUNCTION("""COMPUTED_VALUE"""),1.0)</f>
        <v>1</v>
      </c>
      <c r="W1866" s="4" t="str">
        <f>IFERROR(__xludf.DUMMYFUNCTION("""COMPUTED_VALUE"""),"Saipos Serviços De Software")</f>
        <v>Saipos Serviços De Software</v>
      </c>
      <c r="X1866" s="33">
        <f>IFERROR(__xludf.DUMMYFUNCTION("""COMPUTED_VALUE"""),1.0)</f>
        <v>1</v>
      </c>
    </row>
    <row r="1867">
      <c r="K1867" s="4" t="str">
        <f>IFERROR(__xludf.DUMMYFUNCTION("""COMPUTED_VALUE"""),"REI DOS ANIMAIS MATRIZ - CONTA MARCA")</f>
        <v>REI DOS ANIMAIS MATRIZ - CONTA MARCA</v>
      </c>
      <c r="L1867" s="32">
        <f>IFERROR(__xludf.DUMMYFUNCTION("""COMPUTED_VALUE"""),5.0)</f>
        <v>5</v>
      </c>
      <c r="M1867" s="4" t="str">
        <f>IFERROR(__xludf.DUMMYFUNCTION("""COMPUTED_VALUE"""),"N/A (Not found)")</f>
        <v>N/A (Not found)</v>
      </c>
      <c r="N1867" s="33">
        <f>IFERROR(__xludf.DUMMYFUNCTION("""COMPUTED_VALUE"""),1.0)</f>
        <v>1</v>
      </c>
      <c r="O1867" s="4" t="str">
        <f>IFERROR(__xludf.DUMMYFUNCTION("""COMPUTED_VALUE"""),"N/A (Not found)")</f>
        <v>N/A (Not found)</v>
      </c>
      <c r="P1867" s="33">
        <f>IFERROR(__xludf.DUMMYFUNCTION("""COMPUTED_VALUE"""),1.0)</f>
        <v>1</v>
      </c>
      <c r="Q1867" s="4" t="str">
        <f>IFERROR(__xludf.DUMMYFUNCTION("""COMPUTED_VALUE"""),"N/A (Not found)")</f>
        <v>N/A (Not found)</v>
      </c>
      <c r="R1867" s="33">
        <f>IFERROR(__xludf.DUMMYFUNCTION("""COMPUTED_VALUE"""),1.0)</f>
        <v>1</v>
      </c>
      <c r="S1867" s="4" t="str">
        <f>IFERROR(__xludf.DUMMYFUNCTION("""COMPUTED_VALUE"""),"N/A (Not found)")</f>
        <v>N/A (Not found)</v>
      </c>
      <c r="T1867" s="33">
        <f>IFERROR(__xludf.DUMMYFUNCTION("""COMPUTED_VALUE"""),1.0)</f>
        <v>1</v>
      </c>
      <c r="U1867" s="4" t="str">
        <f>IFERROR(__xludf.DUMMYFUNCTION("""COMPUTED_VALUE"""),"N/A (Not found)")</f>
        <v>N/A (Not found)</v>
      </c>
      <c r="V1867" s="33">
        <f>IFERROR(__xludf.DUMMYFUNCTION("""COMPUTED_VALUE"""),1.0)</f>
        <v>1</v>
      </c>
      <c r="W1867" s="4" t="str">
        <f>IFERROR(__xludf.DUMMYFUNCTION("""COMPUTED_VALUE"""),"N/A (Not found)")</f>
        <v>N/A (Not found)</v>
      </c>
      <c r="X1867" s="33">
        <f>IFERROR(__xludf.DUMMYFUNCTION("""COMPUTED_VALUE"""),1.0)</f>
        <v>1</v>
      </c>
    </row>
    <row r="1868">
      <c r="K1868" s="4" t="str">
        <f>IFERROR(__xludf.DUMMYFUNCTION("""COMPUTED_VALUE"""),"ROCHA FATIAS PIZZA DELIVERY")</f>
        <v>ROCHA FATIAS PIZZA DELIVERY</v>
      </c>
      <c r="L1868" s="32">
        <f>IFERROR(__xludf.DUMMYFUNCTION("""COMPUTED_VALUE"""),5.0)</f>
        <v>5</v>
      </c>
      <c r="M1868" s="4" t="str">
        <f>IFERROR(__xludf.DUMMYFUNCTION("""COMPUTED_VALUE"""),"Consumer Soluções Em Tecnologia Ltda")</f>
        <v>Consumer Soluções Em Tecnologia Ltda</v>
      </c>
      <c r="N1868" s="33">
        <f>IFERROR(__xludf.DUMMYFUNCTION("""COMPUTED_VALUE"""),1.0)</f>
        <v>1</v>
      </c>
      <c r="O1868" s="4" t="str">
        <f>IFERROR(__xludf.DUMMYFUNCTION("""COMPUTED_VALUE"""),"Consumer Soluções Em Tecnologia Ltda")</f>
        <v>Consumer Soluções Em Tecnologia Ltda</v>
      </c>
      <c r="P1868" s="33">
        <f>IFERROR(__xludf.DUMMYFUNCTION("""COMPUTED_VALUE"""),0.6)</f>
        <v>0.6</v>
      </c>
      <c r="Q1868" s="4" t="str">
        <f>IFERROR(__xludf.DUMMYFUNCTION("""COMPUTED_VALUE"""),"Consumer Soluções Em Tecnologia Ltda")</f>
        <v>Consumer Soluções Em Tecnologia Ltda</v>
      </c>
      <c r="R1868" s="33">
        <f>IFERROR(__xludf.DUMMYFUNCTION("""COMPUTED_VALUE"""),0.6)</f>
        <v>0.6</v>
      </c>
      <c r="S1868" s="4" t="str">
        <f>IFERROR(__xludf.DUMMYFUNCTION("""COMPUTED_VALUE"""),"null")</f>
        <v>null</v>
      </c>
      <c r="T1868" s="33">
        <f>IFERROR(__xludf.DUMMYFUNCTION("""COMPUTED_VALUE"""),0.6)</f>
        <v>0.6</v>
      </c>
      <c r="U1868" s="4" t="str">
        <f>IFERROR(__xludf.DUMMYFUNCTION("""COMPUTED_VALUE"""),"null")</f>
        <v>null</v>
      </c>
      <c r="V1868" s="33">
        <f>IFERROR(__xludf.DUMMYFUNCTION("""COMPUTED_VALUE"""),0.6)</f>
        <v>0.6</v>
      </c>
      <c r="W1868" s="4" t="str">
        <f>IFERROR(__xludf.DUMMYFUNCTION("""COMPUTED_VALUE"""),"Consumer Soluções Em Tecnologia Ltda")</f>
        <v>Consumer Soluções Em Tecnologia Ltda</v>
      </c>
      <c r="X1868" s="33">
        <f>IFERROR(__xludf.DUMMYFUNCTION("""COMPUTED_VALUE"""),0.6)</f>
        <v>0.6</v>
      </c>
    </row>
    <row r="1869">
      <c r="K1869" s="4" t="str">
        <f>IFERROR(__xludf.DUMMYFUNCTION("""COMPUTED_VALUE"""),"SALADERIA MIX ORIGINAL")</f>
        <v>SALADERIA MIX ORIGINAL</v>
      </c>
      <c r="L1869" s="32">
        <f>IFERROR(__xludf.DUMMYFUNCTION("""COMPUTED_VALUE"""),5.0)</f>
        <v>5</v>
      </c>
      <c r="M1869" s="4" t="str">
        <f>IFERROR(__xludf.DUMMYFUNCTION("""COMPUTED_VALUE"""),"Saipos Serviços De Software")</f>
        <v>Saipos Serviços De Software</v>
      </c>
      <c r="N1869" s="33">
        <f>IFERROR(__xludf.DUMMYFUNCTION("""COMPUTED_VALUE"""),1.0)</f>
        <v>1</v>
      </c>
      <c r="O1869" s="4" t="str">
        <f>IFERROR(__xludf.DUMMYFUNCTION("""COMPUTED_VALUE"""),"Saipos Serviços De Software")</f>
        <v>Saipos Serviços De Software</v>
      </c>
      <c r="P1869" s="33">
        <f>IFERROR(__xludf.DUMMYFUNCTION("""COMPUTED_VALUE"""),1.0)</f>
        <v>1</v>
      </c>
      <c r="Q1869" s="4" t="str">
        <f>IFERROR(__xludf.DUMMYFUNCTION("""COMPUTED_VALUE"""),"Saipos Serviços De Software")</f>
        <v>Saipos Serviços De Software</v>
      </c>
      <c r="R1869" s="33">
        <f>IFERROR(__xludf.DUMMYFUNCTION("""COMPUTED_VALUE"""),1.0)</f>
        <v>1</v>
      </c>
      <c r="S1869" s="4" t="str">
        <f>IFERROR(__xludf.DUMMYFUNCTION("""COMPUTED_VALUE"""),"Saipos Serviços De Software")</f>
        <v>Saipos Serviços De Software</v>
      </c>
      <c r="T1869" s="33">
        <f>IFERROR(__xludf.DUMMYFUNCTION("""COMPUTED_VALUE"""),1.0)</f>
        <v>1</v>
      </c>
      <c r="U1869" s="4" t="str">
        <f>IFERROR(__xludf.DUMMYFUNCTION("""COMPUTED_VALUE"""),"Noah Sistemas Ltda")</f>
        <v>Noah Sistemas Ltda</v>
      </c>
      <c r="V1869" s="33">
        <f>IFERROR(__xludf.DUMMYFUNCTION("""COMPUTED_VALUE"""),0.6)</f>
        <v>0.6</v>
      </c>
      <c r="W1869" s="4" t="str">
        <f>IFERROR(__xludf.DUMMYFUNCTION("""COMPUTED_VALUE"""),"Noah Sistemas Ltda")</f>
        <v>Noah Sistemas Ltda</v>
      </c>
      <c r="X1869" s="33">
        <f>IFERROR(__xludf.DUMMYFUNCTION("""COMPUTED_VALUE"""),0.8)</f>
        <v>0.8</v>
      </c>
    </row>
    <row r="1870">
      <c r="K1870" s="4" t="str">
        <f>IFERROR(__xludf.DUMMYFUNCTION("""COMPUTED_VALUE"""),"SAMUKAS BURGER - MARCA")</f>
        <v>SAMUKAS BURGER - MARCA</v>
      </c>
      <c r="L1870" s="32">
        <f>IFERROR(__xludf.DUMMYFUNCTION("""COMPUTED_VALUE"""),5.0)</f>
        <v>5</v>
      </c>
      <c r="M1870" s="4" t="str">
        <f>IFERROR(__xludf.DUMMYFUNCTION("""COMPUTED_VALUE"""),"Saipos Serviços De Software")</f>
        <v>Saipos Serviços De Software</v>
      </c>
      <c r="N1870" s="33">
        <f>IFERROR(__xludf.DUMMYFUNCTION("""COMPUTED_VALUE"""),1.0)</f>
        <v>1</v>
      </c>
      <c r="O1870" s="4" t="str">
        <f>IFERROR(__xludf.DUMMYFUNCTION("""COMPUTED_VALUE"""),"Saipos Serviços De Software")</f>
        <v>Saipos Serviços De Software</v>
      </c>
      <c r="P1870" s="33">
        <f>IFERROR(__xludf.DUMMYFUNCTION("""COMPUTED_VALUE"""),1.0)</f>
        <v>1</v>
      </c>
      <c r="Q1870" s="4" t="str">
        <f>IFERROR(__xludf.DUMMYFUNCTION("""COMPUTED_VALUE"""),"Saipos Serviços De Software")</f>
        <v>Saipos Serviços De Software</v>
      </c>
      <c r="R1870" s="33">
        <f>IFERROR(__xludf.DUMMYFUNCTION("""COMPUTED_VALUE"""),1.0)</f>
        <v>1</v>
      </c>
      <c r="S1870" s="4" t="str">
        <f>IFERROR(__xludf.DUMMYFUNCTION("""COMPUTED_VALUE"""),"Saipos Serviços De Software")</f>
        <v>Saipos Serviços De Software</v>
      </c>
      <c r="T1870" s="33">
        <f>IFERROR(__xludf.DUMMYFUNCTION("""COMPUTED_VALUE"""),1.0)</f>
        <v>1</v>
      </c>
      <c r="U1870" s="4" t="str">
        <f>IFERROR(__xludf.DUMMYFUNCTION("""COMPUTED_VALUE"""),"Saipos Serviços De Software")</f>
        <v>Saipos Serviços De Software</v>
      </c>
      <c r="V1870" s="33">
        <f>IFERROR(__xludf.DUMMYFUNCTION("""COMPUTED_VALUE"""),1.0)</f>
        <v>1</v>
      </c>
      <c r="W1870" s="4" t="str">
        <f>IFERROR(__xludf.DUMMYFUNCTION("""COMPUTED_VALUE"""),"Saipos Serviços De Software")</f>
        <v>Saipos Serviços De Software</v>
      </c>
      <c r="X1870" s="33">
        <f>IFERROR(__xludf.DUMMYFUNCTION("""COMPUTED_VALUE"""),1.0)</f>
        <v>1</v>
      </c>
    </row>
    <row r="1871">
      <c r="K1871" s="4" t="str">
        <f>IFERROR(__xludf.DUMMYFUNCTION("""COMPUTED_VALUE"""),"SANTA COXINHA - CONTA MARCA")</f>
        <v>SANTA COXINHA - CONTA MARCA</v>
      </c>
      <c r="L1871" s="32">
        <f>IFERROR(__xludf.DUMMYFUNCTION("""COMPUTED_VALUE"""),5.0)</f>
        <v>5</v>
      </c>
      <c r="M1871" s="4" t="str">
        <f>IFERROR(__xludf.DUMMYFUNCTION("""COMPUTED_VALUE"""),"Saipos Serviços De Software")</f>
        <v>Saipos Serviços De Software</v>
      </c>
      <c r="N1871" s="33">
        <f>IFERROR(__xludf.DUMMYFUNCTION("""COMPUTED_VALUE"""),1.0)</f>
        <v>1</v>
      </c>
      <c r="O1871" s="4" t="str">
        <f>IFERROR(__xludf.DUMMYFUNCTION("""COMPUTED_VALUE"""),"Saipos Serviços De Software")</f>
        <v>Saipos Serviços De Software</v>
      </c>
      <c r="P1871" s="33">
        <f>IFERROR(__xludf.DUMMYFUNCTION("""COMPUTED_VALUE"""),0.8)</f>
        <v>0.8</v>
      </c>
      <c r="Q1871" s="4" t="str">
        <f>IFERROR(__xludf.DUMMYFUNCTION("""COMPUTED_VALUE"""),"Saipos Serviços De Software")</f>
        <v>Saipos Serviços De Software</v>
      </c>
      <c r="R1871" s="33">
        <f>IFERROR(__xludf.DUMMYFUNCTION("""COMPUTED_VALUE"""),0.8)</f>
        <v>0.8</v>
      </c>
      <c r="S1871" s="4" t="str">
        <f>IFERROR(__xludf.DUMMYFUNCTION("""COMPUTED_VALUE"""),"Saipos Serviços De Software")</f>
        <v>Saipos Serviços De Software</v>
      </c>
      <c r="T1871" s="33">
        <f>IFERROR(__xludf.DUMMYFUNCTION("""COMPUTED_VALUE"""),0.8)</f>
        <v>0.8</v>
      </c>
      <c r="U1871" s="4" t="str">
        <f>IFERROR(__xludf.DUMMYFUNCTION("""COMPUTED_VALUE"""),"Saipos Serviços De Software")</f>
        <v>Saipos Serviços De Software</v>
      </c>
      <c r="V1871" s="33">
        <f>IFERROR(__xludf.DUMMYFUNCTION("""COMPUTED_VALUE"""),0.8)</f>
        <v>0.8</v>
      </c>
      <c r="W1871" s="4" t="str">
        <f>IFERROR(__xludf.DUMMYFUNCTION("""COMPUTED_VALUE"""),"Saipos Serviços De Software")</f>
        <v>Saipos Serviços De Software</v>
      </c>
      <c r="X1871" s="33">
        <f>IFERROR(__xludf.DUMMYFUNCTION("""COMPUTED_VALUE"""),1.0)</f>
        <v>1</v>
      </c>
    </row>
    <row r="1872">
      <c r="K1872" s="4" t="str">
        <f>IFERROR(__xludf.DUMMYFUNCTION("""COMPUTED_VALUE"""),"SANTO BOLINHO")</f>
        <v>SANTO BOLINHO</v>
      </c>
      <c r="L1872" s="32">
        <f>IFERROR(__xludf.DUMMYFUNCTION("""COMPUTED_VALUE"""),5.0)</f>
        <v>5</v>
      </c>
      <c r="M1872" s="4" t="str">
        <f>IFERROR(__xludf.DUMMYFUNCTION("""COMPUTED_VALUE"""),"Saipos Serviços De Software")</f>
        <v>Saipos Serviços De Software</v>
      </c>
      <c r="N1872" s="33">
        <f>IFERROR(__xludf.DUMMYFUNCTION("""COMPUTED_VALUE"""),1.0)</f>
        <v>1</v>
      </c>
      <c r="O1872" s="4" t="str">
        <f>IFERROR(__xludf.DUMMYFUNCTION("""COMPUTED_VALUE"""),"Saipos Serviços De Software")</f>
        <v>Saipos Serviços De Software</v>
      </c>
      <c r="P1872" s="33">
        <f>IFERROR(__xludf.DUMMYFUNCTION("""COMPUTED_VALUE"""),1.0)</f>
        <v>1</v>
      </c>
      <c r="Q1872" s="4" t="str">
        <f>IFERROR(__xludf.DUMMYFUNCTION("""COMPUTED_VALUE"""),"Saipos Serviços De Software")</f>
        <v>Saipos Serviços De Software</v>
      </c>
      <c r="R1872" s="33">
        <f>IFERROR(__xludf.DUMMYFUNCTION("""COMPUTED_VALUE"""),1.0)</f>
        <v>1</v>
      </c>
      <c r="S1872" s="4" t="str">
        <f>IFERROR(__xludf.DUMMYFUNCTION("""COMPUTED_VALUE"""),"Saipos Serviços De Software")</f>
        <v>Saipos Serviços De Software</v>
      </c>
      <c r="T1872" s="33">
        <f>IFERROR(__xludf.DUMMYFUNCTION("""COMPUTED_VALUE"""),1.0)</f>
        <v>1</v>
      </c>
      <c r="U1872" s="4" t="str">
        <f>IFERROR(__xludf.DUMMYFUNCTION("""COMPUTED_VALUE"""),"Saipos Serviços De Software")</f>
        <v>Saipos Serviços De Software</v>
      </c>
      <c r="V1872" s="33">
        <f>IFERROR(__xludf.DUMMYFUNCTION("""COMPUTED_VALUE"""),1.0)</f>
        <v>1</v>
      </c>
      <c r="W1872" s="4" t="str">
        <f>IFERROR(__xludf.DUMMYFUNCTION("""COMPUTED_VALUE"""),"Saipos Serviços De Software")</f>
        <v>Saipos Serviços De Software</v>
      </c>
      <c r="X1872" s="33">
        <f>IFERROR(__xludf.DUMMYFUNCTION("""COMPUTED_VALUE"""),1.0)</f>
        <v>1</v>
      </c>
    </row>
    <row r="1873">
      <c r="K1873" s="4" t="str">
        <f>IFERROR(__xludf.DUMMYFUNCTION("""COMPUTED_VALUE"""),"SANTO GELATO AM")</f>
        <v>SANTO GELATO AM</v>
      </c>
      <c r="L1873" s="32">
        <f>IFERROR(__xludf.DUMMYFUNCTION("""COMPUTED_VALUE"""),5.0)</f>
        <v>5</v>
      </c>
      <c r="M1873" s="4" t="str">
        <f>IFERROR(__xludf.DUMMYFUNCTION("""COMPUTED_VALUE"""),"Noah Sistemas Ltda")</f>
        <v>Noah Sistemas Ltda</v>
      </c>
      <c r="N1873" s="33">
        <f>IFERROR(__xludf.DUMMYFUNCTION("""COMPUTED_VALUE"""),0.8333333333333334)</f>
        <v>0.8333333333</v>
      </c>
      <c r="O1873" s="4" t="str">
        <f>IFERROR(__xludf.DUMMYFUNCTION("""COMPUTED_VALUE"""),"null")</f>
        <v>null</v>
      </c>
      <c r="P1873" s="33">
        <f>IFERROR(__xludf.DUMMYFUNCTION("""COMPUTED_VALUE"""),0.5)</f>
        <v>0.5</v>
      </c>
      <c r="Q1873" s="4" t="str">
        <f>IFERROR(__xludf.DUMMYFUNCTION("""COMPUTED_VALUE"""),"null")</f>
        <v>null</v>
      </c>
      <c r="R1873" s="33">
        <f>IFERROR(__xludf.DUMMYFUNCTION("""COMPUTED_VALUE"""),0.5)</f>
        <v>0.5</v>
      </c>
      <c r="S1873" s="4" t="str">
        <f>IFERROR(__xludf.DUMMYFUNCTION("""COMPUTED_VALUE"""),"null")</f>
        <v>null</v>
      </c>
      <c r="T1873" s="33">
        <f>IFERROR(__xludf.DUMMYFUNCTION("""COMPUTED_VALUE"""),0.6666666666666666)</f>
        <v>0.6666666667</v>
      </c>
      <c r="U1873" s="4" t="str">
        <f>IFERROR(__xludf.DUMMYFUNCTION("""COMPUTED_VALUE"""),"Noah Sistemas Ltda")</f>
        <v>Noah Sistemas Ltda</v>
      </c>
      <c r="V1873" s="33">
        <f>IFERROR(__xludf.DUMMYFUNCTION("""COMPUTED_VALUE"""),0.6666666666666666)</f>
        <v>0.6666666667</v>
      </c>
      <c r="W1873" s="4" t="str">
        <f>IFERROR(__xludf.DUMMYFUNCTION("""COMPUTED_VALUE"""),"null")</f>
        <v>null</v>
      </c>
      <c r="X1873" s="33">
        <f>IFERROR(__xludf.DUMMYFUNCTION("""COMPUTED_VALUE"""),0.5)</f>
        <v>0.5</v>
      </c>
    </row>
    <row r="1874">
      <c r="K1874" s="4" t="str">
        <f>IFERROR(__xludf.DUMMYFUNCTION("""COMPUTED_VALUE"""),"SEU MIYAGI")</f>
        <v>SEU MIYAGI</v>
      </c>
      <c r="L1874" s="32">
        <f>IFERROR(__xludf.DUMMYFUNCTION("""COMPUTED_VALUE"""),5.0)</f>
        <v>5</v>
      </c>
      <c r="M1874" s="4" t="str">
        <f>IFERROR(__xludf.DUMMYFUNCTION("""COMPUTED_VALUE"""),"Netcontroll Xmenu")</f>
        <v>Netcontroll Xmenu</v>
      </c>
      <c r="N1874" s="33">
        <f>IFERROR(__xludf.DUMMYFUNCTION("""COMPUTED_VALUE"""),0.8)</f>
        <v>0.8</v>
      </c>
      <c r="O1874" s="4" t="str">
        <f>IFERROR(__xludf.DUMMYFUNCTION("""COMPUTED_VALUE"""),"Netcontroll Xmenu")</f>
        <v>Netcontroll Xmenu</v>
      </c>
      <c r="P1874" s="33">
        <f>IFERROR(__xludf.DUMMYFUNCTION("""COMPUTED_VALUE"""),0.6)</f>
        <v>0.6</v>
      </c>
      <c r="Q1874" s="4" t="str">
        <f>IFERROR(__xludf.DUMMYFUNCTION("""COMPUTED_VALUE"""),"Netcontroll Xmenu")</f>
        <v>Netcontroll Xmenu</v>
      </c>
      <c r="R1874" s="33">
        <f>IFERROR(__xludf.DUMMYFUNCTION("""COMPUTED_VALUE"""),0.8)</f>
        <v>0.8</v>
      </c>
      <c r="S1874" s="4" t="str">
        <f>IFERROR(__xludf.DUMMYFUNCTION("""COMPUTED_VALUE"""),"Netcontroll Xmenu")</f>
        <v>Netcontroll Xmenu</v>
      </c>
      <c r="T1874" s="33">
        <f>IFERROR(__xludf.DUMMYFUNCTION("""COMPUTED_VALUE"""),0.8)</f>
        <v>0.8</v>
      </c>
      <c r="U1874" s="4" t="str">
        <f>IFERROR(__xludf.DUMMYFUNCTION("""COMPUTED_VALUE"""),"Netcontroll Xmenu")</f>
        <v>Netcontroll Xmenu</v>
      </c>
      <c r="V1874" s="33">
        <f>IFERROR(__xludf.DUMMYFUNCTION("""COMPUTED_VALUE"""),0.8)</f>
        <v>0.8</v>
      </c>
      <c r="W1874" s="4" t="str">
        <f>IFERROR(__xludf.DUMMYFUNCTION("""COMPUTED_VALUE"""),"Netcontroll Xmenu")</f>
        <v>Netcontroll Xmenu</v>
      </c>
      <c r="X1874" s="33">
        <f>IFERROR(__xludf.DUMMYFUNCTION("""COMPUTED_VALUE"""),0.8)</f>
        <v>0.8</v>
      </c>
    </row>
    <row r="1875">
      <c r="K1875" s="4" t="str">
        <f>IFERROR(__xludf.DUMMYFUNCTION("""COMPUTED_VALUE"""),"SHEESH SMASH BURGERS SANDUICHES")</f>
        <v>SHEESH SMASH BURGERS SANDUICHES</v>
      </c>
      <c r="L1875" s="32">
        <f>IFERROR(__xludf.DUMMYFUNCTION("""COMPUTED_VALUE"""),5.0)</f>
        <v>5</v>
      </c>
      <c r="M1875" s="4" t="str">
        <f>IFERROR(__xludf.DUMMYFUNCTION("""COMPUTED_VALUE"""),"Saipos Serviços De Software")</f>
        <v>Saipos Serviços De Software</v>
      </c>
      <c r="N1875" s="33">
        <f>IFERROR(__xludf.DUMMYFUNCTION("""COMPUTED_VALUE"""),0.8)</f>
        <v>0.8</v>
      </c>
      <c r="O1875" s="4" t="str">
        <f>IFERROR(__xludf.DUMMYFUNCTION("""COMPUTED_VALUE"""),"Saipos Serviços De Software")</f>
        <v>Saipos Serviços De Software</v>
      </c>
      <c r="P1875" s="33">
        <f>IFERROR(__xludf.DUMMYFUNCTION("""COMPUTED_VALUE"""),0.8)</f>
        <v>0.8</v>
      </c>
      <c r="Q1875" s="4" t="str">
        <f>IFERROR(__xludf.DUMMYFUNCTION("""COMPUTED_VALUE"""),"Saipos Serviços De Software")</f>
        <v>Saipos Serviços De Software</v>
      </c>
      <c r="R1875" s="33">
        <f>IFERROR(__xludf.DUMMYFUNCTION("""COMPUTED_VALUE"""),1.0)</f>
        <v>1</v>
      </c>
      <c r="S1875" s="4" t="str">
        <f>IFERROR(__xludf.DUMMYFUNCTION("""COMPUTED_VALUE"""),"Saipos Serviços De Software")</f>
        <v>Saipos Serviços De Software</v>
      </c>
      <c r="T1875" s="33">
        <f>IFERROR(__xludf.DUMMYFUNCTION("""COMPUTED_VALUE"""),1.0)</f>
        <v>1</v>
      </c>
      <c r="U1875" s="4" t="str">
        <f>IFERROR(__xludf.DUMMYFUNCTION("""COMPUTED_VALUE"""),"Saipos Serviços De Software")</f>
        <v>Saipos Serviços De Software</v>
      </c>
      <c r="V1875" s="33">
        <f>IFERROR(__xludf.DUMMYFUNCTION("""COMPUTED_VALUE"""),1.0)</f>
        <v>1</v>
      </c>
      <c r="W1875" s="4" t="str">
        <f>IFERROR(__xludf.DUMMYFUNCTION("""COMPUTED_VALUE"""),"Saipos Serviços De Software")</f>
        <v>Saipos Serviços De Software</v>
      </c>
      <c r="X1875" s="33">
        <f>IFERROR(__xludf.DUMMYFUNCTION("""COMPUTED_VALUE"""),0.8)</f>
        <v>0.8</v>
      </c>
    </row>
    <row r="1876">
      <c r="K1876" s="4" t="str">
        <f>IFERROR(__xludf.DUMMYFUNCTION("""COMPUTED_VALUE"""),"SHINKO SUSHI")</f>
        <v>SHINKO SUSHI</v>
      </c>
      <c r="L1876" s="32">
        <f>IFERROR(__xludf.DUMMYFUNCTION("""COMPUTED_VALUE"""),5.0)</f>
        <v>5</v>
      </c>
      <c r="M1876" s="4" t="str">
        <f>IFERROR(__xludf.DUMMYFUNCTION("""COMPUTED_VALUE"""),"Saipos Serviços De Software")</f>
        <v>Saipos Serviços De Software</v>
      </c>
      <c r="N1876" s="33">
        <f>IFERROR(__xludf.DUMMYFUNCTION("""COMPUTED_VALUE"""),1.0)</f>
        <v>1</v>
      </c>
      <c r="O1876" s="4" t="str">
        <f>IFERROR(__xludf.DUMMYFUNCTION("""COMPUTED_VALUE"""),"Saipos Serviços De Software")</f>
        <v>Saipos Serviços De Software</v>
      </c>
      <c r="P1876" s="33">
        <f>IFERROR(__xludf.DUMMYFUNCTION("""COMPUTED_VALUE"""),1.0)</f>
        <v>1</v>
      </c>
      <c r="Q1876" s="4" t="str">
        <f>IFERROR(__xludf.DUMMYFUNCTION("""COMPUTED_VALUE"""),"Saipos Serviços De Software")</f>
        <v>Saipos Serviços De Software</v>
      </c>
      <c r="R1876" s="33">
        <f>IFERROR(__xludf.DUMMYFUNCTION("""COMPUTED_VALUE"""),1.0)</f>
        <v>1</v>
      </c>
      <c r="S1876" s="4" t="str">
        <f>IFERROR(__xludf.DUMMYFUNCTION("""COMPUTED_VALUE"""),"Saipos Serviços De Software")</f>
        <v>Saipos Serviços De Software</v>
      </c>
      <c r="T1876" s="33">
        <f>IFERROR(__xludf.DUMMYFUNCTION("""COMPUTED_VALUE"""),0.8)</f>
        <v>0.8</v>
      </c>
      <c r="U1876" s="4" t="str">
        <f>IFERROR(__xludf.DUMMYFUNCTION("""COMPUTED_VALUE"""),"Saipos Serviços De Software")</f>
        <v>Saipos Serviços De Software</v>
      </c>
      <c r="V1876" s="33">
        <f>IFERROR(__xludf.DUMMYFUNCTION("""COMPUTED_VALUE"""),0.8)</f>
        <v>0.8</v>
      </c>
      <c r="W1876" s="4" t="str">
        <f>IFERROR(__xludf.DUMMYFUNCTION("""COMPUTED_VALUE"""),"Saipos Serviços De Software")</f>
        <v>Saipos Serviços De Software</v>
      </c>
      <c r="X1876" s="33">
        <f>IFERROR(__xludf.DUMMYFUNCTION("""COMPUTED_VALUE"""),0.8)</f>
        <v>0.8</v>
      </c>
    </row>
    <row r="1877">
      <c r="K1877" s="4" t="str">
        <f>IFERROR(__xludf.DUMMYFUNCTION("""COMPUTED_VALUE"""),"SHIRANAI FLORIANOPOLIS - CONTA MARCA")</f>
        <v>SHIRANAI FLORIANOPOLIS - CONTA MARCA</v>
      </c>
      <c r="L1877" s="32">
        <f>IFERROR(__xludf.DUMMYFUNCTION("""COMPUTED_VALUE"""),5.0)</f>
        <v>5</v>
      </c>
      <c r="M1877" s="4" t="str">
        <f>IFERROR(__xludf.DUMMYFUNCTION("""COMPUTED_VALUE"""),"Saipos Serviços De Software")</f>
        <v>Saipos Serviços De Software</v>
      </c>
      <c r="N1877" s="33">
        <f>IFERROR(__xludf.DUMMYFUNCTION("""COMPUTED_VALUE"""),1.0)</f>
        <v>1</v>
      </c>
      <c r="O1877" s="4" t="str">
        <f>IFERROR(__xludf.DUMMYFUNCTION("""COMPUTED_VALUE"""),"Saipos Serviços De Software")</f>
        <v>Saipos Serviços De Software</v>
      </c>
      <c r="P1877" s="33">
        <f>IFERROR(__xludf.DUMMYFUNCTION("""COMPUTED_VALUE"""),1.0)</f>
        <v>1</v>
      </c>
      <c r="Q1877" s="4" t="str">
        <f>IFERROR(__xludf.DUMMYFUNCTION("""COMPUTED_VALUE"""),"Saipos Serviços De Software")</f>
        <v>Saipos Serviços De Software</v>
      </c>
      <c r="R1877" s="33">
        <f>IFERROR(__xludf.DUMMYFUNCTION("""COMPUTED_VALUE"""),1.0)</f>
        <v>1</v>
      </c>
      <c r="S1877" s="4" t="str">
        <f>IFERROR(__xludf.DUMMYFUNCTION("""COMPUTED_VALUE"""),"Saipos Serviços De Software")</f>
        <v>Saipos Serviços De Software</v>
      </c>
      <c r="T1877" s="33">
        <f>IFERROR(__xludf.DUMMYFUNCTION("""COMPUTED_VALUE"""),1.0)</f>
        <v>1</v>
      </c>
      <c r="U1877" s="4" t="str">
        <f>IFERROR(__xludf.DUMMYFUNCTION("""COMPUTED_VALUE"""),"Saipos Serviços De Software")</f>
        <v>Saipos Serviços De Software</v>
      </c>
      <c r="V1877" s="33">
        <f>IFERROR(__xludf.DUMMYFUNCTION("""COMPUTED_VALUE"""),1.0)</f>
        <v>1</v>
      </c>
      <c r="W1877" s="4" t="str">
        <f>IFERROR(__xludf.DUMMYFUNCTION("""COMPUTED_VALUE"""),"Saipos Serviços De Software")</f>
        <v>Saipos Serviços De Software</v>
      </c>
      <c r="X1877" s="33">
        <f>IFERROR(__xludf.DUMMYFUNCTION("""COMPUTED_VALUE"""),1.0)</f>
        <v>1</v>
      </c>
    </row>
    <row r="1878">
      <c r="K1878" s="4" t="str">
        <f>IFERROR(__xludf.DUMMYFUNCTION("""COMPUTED_VALUE"""),"SHOPPER NOW BEBIDAS - CONTA MARCA")</f>
        <v>SHOPPER NOW BEBIDAS - CONTA MARCA</v>
      </c>
      <c r="L1878" s="32">
        <f>IFERROR(__xludf.DUMMYFUNCTION("""COMPUTED_VALUE"""),5.0)</f>
        <v>5</v>
      </c>
      <c r="M1878" s="4" t="str">
        <f>IFERROR(__xludf.DUMMYFUNCTION("""COMPUTED_VALUE"""),"null")</f>
        <v>null</v>
      </c>
      <c r="N1878" s="33">
        <f>IFERROR(__xludf.DUMMYFUNCTION("""COMPUTED_VALUE"""),1.0)</f>
        <v>1</v>
      </c>
      <c r="O1878" s="4" t="str">
        <f>IFERROR(__xludf.DUMMYFUNCTION("""COMPUTED_VALUE"""),"null")</f>
        <v>null</v>
      </c>
      <c r="P1878" s="33">
        <f>IFERROR(__xludf.DUMMYFUNCTION("""COMPUTED_VALUE"""),1.0)</f>
        <v>1</v>
      </c>
      <c r="Q1878" s="4" t="str">
        <f>IFERROR(__xludf.DUMMYFUNCTION("""COMPUTED_VALUE"""),"null")</f>
        <v>null</v>
      </c>
      <c r="R1878" s="33">
        <f>IFERROR(__xludf.DUMMYFUNCTION("""COMPUTED_VALUE"""),0.8)</f>
        <v>0.8</v>
      </c>
      <c r="S1878" s="4" t="str">
        <f>IFERROR(__xludf.DUMMYFUNCTION("""COMPUTED_VALUE"""),"null")</f>
        <v>null</v>
      </c>
      <c r="T1878" s="33">
        <f>IFERROR(__xludf.DUMMYFUNCTION("""COMPUTED_VALUE"""),0.8)</f>
        <v>0.8</v>
      </c>
      <c r="U1878" s="4" t="str">
        <f>IFERROR(__xludf.DUMMYFUNCTION("""COMPUTED_VALUE"""),"N/A (Not found)")</f>
        <v>N/A (Not found)</v>
      </c>
      <c r="V1878" s="33">
        <f>IFERROR(__xludf.DUMMYFUNCTION("""COMPUTED_VALUE"""),0.8)</f>
        <v>0.8</v>
      </c>
      <c r="W1878" s="4" t="str">
        <f>IFERROR(__xludf.DUMMYFUNCTION("""COMPUTED_VALUE"""),"N/A (Not found)")</f>
        <v>N/A (Not found)</v>
      </c>
      <c r="X1878" s="33">
        <f>IFERROR(__xludf.DUMMYFUNCTION("""COMPUTED_VALUE"""),1.0)</f>
        <v>1</v>
      </c>
    </row>
    <row r="1879">
      <c r="K1879" s="4" t="str">
        <f>IFERROR(__xludf.DUMMYFUNCTION("""COMPUTED_VALUE"""),"SISI PIZZA")</f>
        <v>SISI PIZZA</v>
      </c>
      <c r="L1879" s="32">
        <f>IFERROR(__xludf.DUMMYFUNCTION("""COMPUTED_VALUE"""),5.0)</f>
        <v>5</v>
      </c>
      <c r="M1879" s="4" t="str">
        <f>IFERROR(__xludf.DUMMYFUNCTION("""COMPUTED_VALUE"""),"Tech Rao")</f>
        <v>Tech Rao</v>
      </c>
      <c r="N1879" s="33">
        <f>IFERROR(__xludf.DUMMYFUNCTION("""COMPUTED_VALUE"""),0.6)</f>
        <v>0.6</v>
      </c>
      <c r="O1879" s="4" t="str">
        <f>IFERROR(__xludf.DUMMYFUNCTION("""COMPUTED_VALUE"""),"Tech Rao")</f>
        <v>Tech Rao</v>
      </c>
      <c r="P1879" s="33">
        <f>IFERROR(__xludf.DUMMYFUNCTION("""COMPUTED_VALUE"""),0.6)</f>
        <v>0.6</v>
      </c>
      <c r="Q1879" s="4" t="str">
        <f>IFERROR(__xludf.DUMMYFUNCTION("""COMPUTED_VALUE"""),"Tech Rao")</f>
        <v>Tech Rao</v>
      </c>
      <c r="R1879" s="33">
        <f>IFERROR(__xludf.DUMMYFUNCTION("""COMPUTED_VALUE"""),0.6)</f>
        <v>0.6</v>
      </c>
      <c r="S1879" s="4" t="str">
        <f>IFERROR(__xludf.DUMMYFUNCTION("""COMPUTED_VALUE"""),"Tech Rao")</f>
        <v>Tech Rao</v>
      </c>
      <c r="T1879" s="33">
        <f>IFERROR(__xludf.DUMMYFUNCTION("""COMPUTED_VALUE"""),0.6)</f>
        <v>0.6</v>
      </c>
      <c r="U1879" s="4" t="str">
        <f>IFERROR(__xludf.DUMMYFUNCTION("""COMPUTED_VALUE"""),"Tech Rao")</f>
        <v>Tech Rao</v>
      </c>
      <c r="V1879" s="33">
        <f>IFERROR(__xludf.DUMMYFUNCTION("""COMPUTED_VALUE"""),0.6)</f>
        <v>0.6</v>
      </c>
      <c r="W1879" s="4" t="str">
        <f>IFERROR(__xludf.DUMMYFUNCTION("""COMPUTED_VALUE"""),"Saipos Serviços De Software")</f>
        <v>Saipos Serviços De Software</v>
      </c>
      <c r="X1879" s="33">
        <f>IFERROR(__xludf.DUMMYFUNCTION("""COMPUTED_VALUE"""),0.6)</f>
        <v>0.6</v>
      </c>
    </row>
    <row r="1880">
      <c r="K1880" s="4" t="str">
        <f>IFERROR(__xludf.DUMMYFUNCTION("""COMPUTED_VALUE"""),"SIX BURGERS")</f>
        <v>SIX BURGERS</v>
      </c>
      <c r="L1880" s="32">
        <f>IFERROR(__xludf.DUMMYFUNCTION("""COMPUTED_VALUE"""),5.0)</f>
        <v>5</v>
      </c>
      <c r="M1880" s="4" t="str">
        <f>IFERROR(__xludf.DUMMYFUNCTION("""COMPUTED_VALUE"""),"Stone Co.")</f>
        <v>Stone Co.</v>
      </c>
      <c r="N1880" s="33">
        <f>IFERROR(__xludf.DUMMYFUNCTION("""COMPUTED_VALUE"""),0.8)</f>
        <v>0.8</v>
      </c>
      <c r="O1880" s="4" t="str">
        <f>IFERROR(__xludf.DUMMYFUNCTION("""COMPUTED_VALUE"""),"Stone Co.")</f>
        <v>Stone Co.</v>
      </c>
      <c r="P1880" s="33">
        <f>IFERROR(__xludf.DUMMYFUNCTION("""COMPUTED_VALUE"""),0.8)</f>
        <v>0.8</v>
      </c>
      <c r="Q1880" s="4" t="str">
        <f>IFERROR(__xludf.DUMMYFUNCTION("""COMPUTED_VALUE"""),"Stone Co.")</f>
        <v>Stone Co.</v>
      </c>
      <c r="R1880" s="33">
        <f>IFERROR(__xludf.DUMMYFUNCTION("""COMPUTED_VALUE"""),0.8)</f>
        <v>0.8</v>
      </c>
      <c r="S1880" s="4" t="str">
        <f>IFERROR(__xludf.DUMMYFUNCTION("""COMPUTED_VALUE"""),"Stone Co.")</f>
        <v>Stone Co.</v>
      </c>
      <c r="T1880" s="33">
        <f>IFERROR(__xludf.DUMMYFUNCTION("""COMPUTED_VALUE"""),1.0)</f>
        <v>1</v>
      </c>
      <c r="U1880" s="4" t="str">
        <f>IFERROR(__xludf.DUMMYFUNCTION("""COMPUTED_VALUE"""),"Stone Co.")</f>
        <v>Stone Co.</v>
      </c>
      <c r="V1880" s="33">
        <f>IFERROR(__xludf.DUMMYFUNCTION("""COMPUTED_VALUE"""),1.0)</f>
        <v>1</v>
      </c>
      <c r="W1880" s="4" t="str">
        <f>IFERROR(__xludf.DUMMYFUNCTION("""COMPUTED_VALUE"""),"Stone Co.")</f>
        <v>Stone Co.</v>
      </c>
      <c r="X1880" s="33">
        <f>IFERROR(__xludf.DUMMYFUNCTION("""COMPUTED_VALUE"""),1.0)</f>
        <v>1</v>
      </c>
    </row>
    <row r="1881">
      <c r="K1881" s="4" t="str">
        <f>IFERROR(__xludf.DUMMYFUNCTION("""COMPUTED_VALUE"""),"SOHO GRUPO")</f>
        <v>SOHO GRUPO</v>
      </c>
      <c r="L1881" s="32">
        <f>IFERROR(__xludf.DUMMYFUNCTION("""COMPUTED_VALUE"""),5.0)</f>
        <v>5</v>
      </c>
      <c r="M1881" s="4" t="str">
        <f>IFERROR(__xludf.DUMMYFUNCTION("""COMPUTED_VALUE"""),"Ncr")</f>
        <v>Ncr</v>
      </c>
      <c r="N1881" s="33">
        <f>IFERROR(__xludf.DUMMYFUNCTION("""COMPUTED_VALUE"""),0.8)</f>
        <v>0.8</v>
      </c>
      <c r="O1881" s="4" t="str">
        <f>IFERROR(__xludf.DUMMYFUNCTION("""COMPUTED_VALUE"""),"Ncr")</f>
        <v>Ncr</v>
      </c>
      <c r="P1881" s="33">
        <f>IFERROR(__xludf.DUMMYFUNCTION("""COMPUTED_VALUE"""),0.8)</f>
        <v>0.8</v>
      </c>
      <c r="Q1881" s="4" t="str">
        <f>IFERROR(__xludf.DUMMYFUNCTION("""COMPUTED_VALUE"""),"Ncr")</f>
        <v>Ncr</v>
      </c>
      <c r="R1881" s="33">
        <f>IFERROR(__xludf.DUMMYFUNCTION("""COMPUTED_VALUE"""),0.8)</f>
        <v>0.8</v>
      </c>
      <c r="S1881" s="4" t="str">
        <f>IFERROR(__xludf.DUMMYFUNCTION("""COMPUTED_VALUE"""),"Ncr")</f>
        <v>Ncr</v>
      </c>
      <c r="T1881" s="33">
        <f>IFERROR(__xludf.DUMMYFUNCTION("""COMPUTED_VALUE"""),0.8)</f>
        <v>0.8</v>
      </c>
      <c r="U1881" s="4" t="str">
        <f>IFERROR(__xludf.DUMMYFUNCTION("""COMPUTED_VALUE"""),"Ncr")</f>
        <v>Ncr</v>
      </c>
      <c r="V1881" s="33">
        <f>IFERROR(__xludf.DUMMYFUNCTION("""COMPUTED_VALUE"""),0.8)</f>
        <v>0.8</v>
      </c>
      <c r="W1881" s="4" t="str">
        <f>IFERROR(__xludf.DUMMYFUNCTION("""COMPUTED_VALUE"""),"Ncr")</f>
        <v>Ncr</v>
      </c>
      <c r="X1881" s="33">
        <f>IFERROR(__xludf.DUMMYFUNCTION("""COMPUTED_VALUE"""),0.6)</f>
        <v>0.6</v>
      </c>
    </row>
    <row r="1882">
      <c r="K1882" s="4" t="str">
        <f>IFERROR(__xludf.DUMMYFUNCTION("""COMPUTED_VALUE"""),"SUJINHO")</f>
        <v>SUJINHO</v>
      </c>
      <c r="L1882" s="32">
        <f>IFERROR(__xludf.DUMMYFUNCTION("""COMPUTED_VALUE"""),5.0)</f>
        <v>5</v>
      </c>
      <c r="M1882" s="4" t="str">
        <f>IFERROR(__xludf.DUMMYFUNCTION("""COMPUTED_VALUE"""),"Garcom Web")</f>
        <v>Garcom Web</v>
      </c>
      <c r="N1882" s="33">
        <f>IFERROR(__xludf.DUMMYFUNCTION("""COMPUTED_VALUE"""),0.8)</f>
        <v>0.8</v>
      </c>
      <c r="O1882" s="4" t="str">
        <f>IFERROR(__xludf.DUMMYFUNCTION("""COMPUTED_VALUE"""),"Garcom Web")</f>
        <v>Garcom Web</v>
      </c>
      <c r="P1882" s="33">
        <f>IFERROR(__xludf.DUMMYFUNCTION("""COMPUTED_VALUE"""),0.6)</f>
        <v>0.6</v>
      </c>
      <c r="Q1882" s="4" t="str">
        <f>IFERROR(__xludf.DUMMYFUNCTION("""COMPUTED_VALUE"""),"Garcom Web")</f>
        <v>Garcom Web</v>
      </c>
      <c r="R1882" s="33">
        <f>IFERROR(__xludf.DUMMYFUNCTION("""COMPUTED_VALUE"""),0.8)</f>
        <v>0.8</v>
      </c>
      <c r="S1882" s="4" t="str">
        <f>IFERROR(__xludf.DUMMYFUNCTION("""COMPUTED_VALUE"""),"Garcom Web")</f>
        <v>Garcom Web</v>
      </c>
      <c r="T1882" s="33">
        <f>IFERROR(__xludf.DUMMYFUNCTION("""COMPUTED_VALUE"""),0.6)</f>
        <v>0.6</v>
      </c>
      <c r="U1882" s="4" t="str">
        <f>IFERROR(__xludf.DUMMYFUNCTION("""COMPUTED_VALUE"""),"Garcom Web")</f>
        <v>Garcom Web</v>
      </c>
      <c r="V1882" s="33">
        <f>IFERROR(__xludf.DUMMYFUNCTION("""COMPUTED_VALUE"""),0.6)</f>
        <v>0.6</v>
      </c>
      <c r="W1882" s="4" t="str">
        <f>IFERROR(__xludf.DUMMYFUNCTION("""COMPUTED_VALUE"""),"Garcom Web")</f>
        <v>Garcom Web</v>
      </c>
      <c r="X1882" s="33">
        <f>IFERROR(__xludf.DUMMYFUNCTION("""COMPUTED_VALUE"""),0.6)</f>
        <v>0.6</v>
      </c>
    </row>
    <row r="1883">
      <c r="K1883" s="4" t="str">
        <f>IFERROR(__xludf.DUMMYFUNCTION("""COMPUTED_VALUE"""),"SUPERMAGO SUPERMERCADO - CONTA PAI")</f>
        <v>SUPERMAGO SUPERMERCADO - CONTA PAI</v>
      </c>
      <c r="L1883" s="32">
        <f>IFERROR(__xludf.DUMMYFUNCTION("""COMPUTED_VALUE"""),5.0)</f>
        <v>5</v>
      </c>
      <c r="M1883" s="4" t="str">
        <f>IFERROR(__xludf.DUMMYFUNCTION("""COMPUTED_VALUE"""),"N/A (Not found)")</f>
        <v>N/A (Not found)</v>
      </c>
      <c r="N1883" s="33">
        <f>IFERROR(__xludf.DUMMYFUNCTION("""COMPUTED_VALUE"""),1.0)</f>
        <v>1</v>
      </c>
      <c r="O1883" s="4" t="str">
        <f>IFERROR(__xludf.DUMMYFUNCTION("""COMPUTED_VALUE"""),"N/A (Not found)")</f>
        <v>N/A (Not found)</v>
      </c>
      <c r="P1883" s="33">
        <f>IFERROR(__xludf.DUMMYFUNCTION("""COMPUTED_VALUE"""),1.0)</f>
        <v>1</v>
      </c>
      <c r="Q1883" s="4" t="str">
        <f>IFERROR(__xludf.DUMMYFUNCTION("""COMPUTED_VALUE"""),"N/A (Not found)")</f>
        <v>N/A (Not found)</v>
      </c>
      <c r="R1883" s="33">
        <f>IFERROR(__xludf.DUMMYFUNCTION("""COMPUTED_VALUE"""),1.0)</f>
        <v>1</v>
      </c>
      <c r="S1883" s="4" t="str">
        <f>IFERROR(__xludf.DUMMYFUNCTION("""COMPUTED_VALUE"""),"N/A (Not found)")</f>
        <v>N/A (Not found)</v>
      </c>
      <c r="T1883" s="33">
        <f>IFERROR(__xludf.DUMMYFUNCTION("""COMPUTED_VALUE"""),1.0)</f>
        <v>1</v>
      </c>
      <c r="U1883" s="4" t="str">
        <f>IFERROR(__xludf.DUMMYFUNCTION("""COMPUTED_VALUE"""),"N/A (Not found)")</f>
        <v>N/A (Not found)</v>
      </c>
      <c r="V1883" s="33">
        <f>IFERROR(__xludf.DUMMYFUNCTION("""COMPUTED_VALUE"""),1.0)</f>
        <v>1</v>
      </c>
      <c r="W1883" s="4" t="str">
        <f>IFERROR(__xludf.DUMMYFUNCTION("""COMPUTED_VALUE"""),"N/A (Not found)")</f>
        <v>N/A (Not found)</v>
      </c>
      <c r="X1883" s="33">
        <f>IFERROR(__xludf.DUMMYFUNCTION("""COMPUTED_VALUE"""),1.0)</f>
        <v>1</v>
      </c>
    </row>
    <row r="1884">
      <c r="K1884" s="4" t="str">
        <f>IFERROR(__xludf.DUMMYFUNCTION("""COMPUTED_VALUE"""),"SUPERMERCADO UNIA - BADIAO - CONTA GRUPO")</f>
        <v>SUPERMERCADO UNIA - BADIAO - CONTA GRUPO</v>
      </c>
      <c r="L1884" s="32">
        <f>IFERROR(__xludf.DUMMYFUNCTION("""COMPUTED_VALUE"""),5.0)</f>
        <v>5</v>
      </c>
      <c r="M1884" s="4" t="str">
        <f>IFERROR(__xludf.DUMMYFUNCTION("""COMPUTED_VALUE"""),"null")</f>
        <v>null</v>
      </c>
      <c r="N1884" s="33">
        <f>IFERROR(__xludf.DUMMYFUNCTION("""COMPUTED_VALUE"""),1.0)</f>
        <v>1</v>
      </c>
      <c r="O1884" s="4" t="str">
        <f>IFERROR(__xludf.DUMMYFUNCTION("""COMPUTED_VALUE"""),"null")</f>
        <v>null</v>
      </c>
      <c r="P1884" s="33">
        <f>IFERROR(__xludf.DUMMYFUNCTION("""COMPUTED_VALUE"""),1.0)</f>
        <v>1</v>
      </c>
      <c r="Q1884" s="4" t="str">
        <f>IFERROR(__xludf.DUMMYFUNCTION("""COMPUTED_VALUE"""),"null")</f>
        <v>null</v>
      </c>
      <c r="R1884" s="33">
        <f>IFERROR(__xludf.DUMMYFUNCTION("""COMPUTED_VALUE"""),1.0)</f>
        <v>1</v>
      </c>
      <c r="S1884" s="4" t="str">
        <f>IFERROR(__xludf.DUMMYFUNCTION("""COMPUTED_VALUE"""),"N/A (Not found)")</f>
        <v>N/A (Not found)</v>
      </c>
      <c r="T1884" s="33">
        <f>IFERROR(__xludf.DUMMYFUNCTION("""COMPUTED_VALUE"""),1.0)</f>
        <v>1</v>
      </c>
      <c r="U1884" s="4" t="str">
        <f>IFERROR(__xludf.DUMMYFUNCTION("""COMPUTED_VALUE"""),"N/A (Not found)")</f>
        <v>N/A (Not found)</v>
      </c>
      <c r="V1884" s="33">
        <f>IFERROR(__xludf.DUMMYFUNCTION("""COMPUTED_VALUE"""),1.0)</f>
        <v>1</v>
      </c>
      <c r="W1884" s="4" t="str">
        <f>IFERROR(__xludf.DUMMYFUNCTION("""COMPUTED_VALUE"""),"N/A (Not found)")</f>
        <v>N/A (Not found)</v>
      </c>
      <c r="X1884" s="33">
        <f>IFERROR(__xludf.DUMMYFUNCTION("""COMPUTED_VALUE"""),1.0)</f>
        <v>1</v>
      </c>
    </row>
    <row r="1885">
      <c r="K1885" s="4" t="str">
        <f>IFERROR(__xludf.DUMMYFUNCTION("""COMPUTED_VALUE"""),"SUPERMERCADO BELINELLI - CONTA PAI")</f>
        <v>SUPERMERCADO BELINELLI - CONTA PAI</v>
      </c>
      <c r="L1885" s="32">
        <f>IFERROR(__xludf.DUMMYFUNCTION("""COMPUTED_VALUE"""),5.0)</f>
        <v>5</v>
      </c>
      <c r="M1885" s="4" t="str">
        <f>IFERROR(__xludf.DUMMYFUNCTION("""COMPUTED_VALUE"""),"N/A (Not found)")</f>
        <v>N/A (Not found)</v>
      </c>
      <c r="N1885" s="33">
        <f>IFERROR(__xludf.DUMMYFUNCTION("""COMPUTED_VALUE"""),1.0)</f>
        <v>1</v>
      </c>
      <c r="O1885" s="4" t="str">
        <f>IFERROR(__xludf.DUMMYFUNCTION("""COMPUTED_VALUE"""),"N/A (Not found)")</f>
        <v>N/A (Not found)</v>
      </c>
      <c r="P1885" s="33">
        <f>IFERROR(__xludf.DUMMYFUNCTION("""COMPUTED_VALUE"""),1.0)</f>
        <v>1</v>
      </c>
      <c r="Q1885" s="4" t="str">
        <f>IFERROR(__xludf.DUMMYFUNCTION("""COMPUTED_VALUE"""),"N/A (Not found)")</f>
        <v>N/A (Not found)</v>
      </c>
      <c r="R1885" s="33">
        <f>IFERROR(__xludf.DUMMYFUNCTION("""COMPUTED_VALUE"""),1.0)</f>
        <v>1</v>
      </c>
      <c r="S1885" s="4" t="str">
        <f>IFERROR(__xludf.DUMMYFUNCTION("""COMPUTED_VALUE"""),"N/A (Not found)")</f>
        <v>N/A (Not found)</v>
      </c>
      <c r="T1885" s="33">
        <f>IFERROR(__xludf.DUMMYFUNCTION("""COMPUTED_VALUE"""),1.0)</f>
        <v>1</v>
      </c>
      <c r="U1885" s="4" t="str">
        <f>IFERROR(__xludf.DUMMYFUNCTION("""COMPUTED_VALUE"""),"N/A (Not found)")</f>
        <v>N/A (Not found)</v>
      </c>
      <c r="V1885" s="33">
        <f>IFERROR(__xludf.DUMMYFUNCTION("""COMPUTED_VALUE"""),1.0)</f>
        <v>1</v>
      </c>
      <c r="W1885" s="4" t="str">
        <f>IFERROR(__xludf.DUMMYFUNCTION("""COMPUTED_VALUE"""),"N/A (Not found)")</f>
        <v>N/A (Not found)</v>
      </c>
      <c r="X1885" s="33">
        <f>IFERROR(__xludf.DUMMYFUNCTION("""COMPUTED_VALUE"""),1.0)</f>
        <v>1</v>
      </c>
    </row>
    <row r="1886">
      <c r="K1886" s="4" t="str">
        <f>IFERROR(__xludf.DUMMYFUNCTION("""COMPUTED_VALUE"""),"SUPERMERCADOS BONI - CONTA PAI")</f>
        <v>SUPERMERCADOS BONI - CONTA PAI</v>
      </c>
      <c r="L1886" s="32">
        <f>IFERROR(__xludf.DUMMYFUNCTION("""COMPUTED_VALUE"""),5.0)</f>
        <v>5</v>
      </c>
      <c r="M1886" s="4" t="str">
        <f>IFERROR(__xludf.DUMMYFUNCTION("""COMPUTED_VALUE"""),"N/A (Not found)")</f>
        <v>N/A (Not found)</v>
      </c>
      <c r="N1886" s="33">
        <f>IFERROR(__xludf.DUMMYFUNCTION("""COMPUTED_VALUE"""),1.0)</f>
        <v>1</v>
      </c>
      <c r="O1886" s="4" t="str">
        <f>IFERROR(__xludf.DUMMYFUNCTION("""COMPUTED_VALUE"""),"N/A (Not found)")</f>
        <v>N/A (Not found)</v>
      </c>
      <c r="P1886" s="33">
        <f>IFERROR(__xludf.DUMMYFUNCTION("""COMPUTED_VALUE"""),1.0)</f>
        <v>1</v>
      </c>
      <c r="Q1886" s="4" t="str">
        <f>IFERROR(__xludf.DUMMYFUNCTION("""COMPUTED_VALUE"""),"N/A (Not found)")</f>
        <v>N/A (Not found)</v>
      </c>
      <c r="R1886" s="33">
        <f>IFERROR(__xludf.DUMMYFUNCTION("""COMPUTED_VALUE"""),1.0)</f>
        <v>1</v>
      </c>
      <c r="S1886" s="4" t="str">
        <f>IFERROR(__xludf.DUMMYFUNCTION("""COMPUTED_VALUE"""),"N/A (Not found)")</f>
        <v>N/A (Not found)</v>
      </c>
      <c r="T1886" s="33">
        <f>IFERROR(__xludf.DUMMYFUNCTION("""COMPUTED_VALUE"""),1.0)</f>
        <v>1</v>
      </c>
      <c r="U1886" s="4" t="str">
        <f>IFERROR(__xludf.DUMMYFUNCTION("""COMPUTED_VALUE"""),"N/A (Not found)")</f>
        <v>N/A (Not found)</v>
      </c>
      <c r="V1886" s="33">
        <f>IFERROR(__xludf.DUMMYFUNCTION("""COMPUTED_VALUE"""),1.0)</f>
        <v>1</v>
      </c>
      <c r="W1886" s="4" t="str">
        <f>IFERROR(__xludf.DUMMYFUNCTION("""COMPUTED_VALUE"""),"N/A (Not found)")</f>
        <v>N/A (Not found)</v>
      </c>
      <c r="X1886" s="33">
        <f>IFERROR(__xludf.DUMMYFUNCTION("""COMPUTED_VALUE"""),1.0)</f>
        <v>1</v>
      </c>
    </row>
    <row r="1887">
      <c r="K1887" s="4" t="str">
        <f>IFERROR(__xludf.DUMMYFUNCTION("""COMPUTED_VALUE"""),"SUPREMO HAMBURGUERIA ES")</f>
        <v>SUPREMO HAMBURGUERIA ES</v>
      </c>
      <c r="L1887" s="32">
        <f>IFERROR(__xludf.DUMMYFUNCTION("""COMPUTED_VALUE"""),5.0)</f>
        <v>5</v>
      </c>
      <c r="M1887" s="4" t="str">
        <f>IFERROR(__xludf.DUMMYFUNCTION("""COMPUTED_VALUE"""),"Cliente Fiel")</f>
        <v>Cliente Fiel</v>
      </c>
      <c r="N1887" s="33">
        <f>IFERROR(__xludf.DUMMYFUNCTION("""COMPUTED_VALUE"""),0.6)</f>
        <v>0.6</v>
      </c>
      <c r="O1887" s="4" t="str">
        <f>IFERROR(__xludf.DUMMYFUNCTION("""COMPUTED_VALUE"""),"null")</f>
        <v>null</v>
      </c>
      <c r="P1887" s="33">
        <f>IFERROR(__xludf.DUMMYFUNCTION("""COMPUTED_VALUE"""),0.8)</f>
        <v>0.8</v>
      </c>
      <c r="Q1887" s="4" t="str">
        <f>IFERROR(__xludf.DUMMYFUNCTION("""COMPUTED_VALUE"""),"Cliente Fiel")</f>
        <v>Cliente Fiel</v>
      </c>
      <c r="R1887" s="33">
        <f>IFERROR(__xludf.DUMMYFUNCTION("""COMPUTED_VALUE"""),0.8)</f>
        <v>0.8</v>
      </c>
      <c r="S1887" s="4" t="str">
        <f>IFERROR(__xludf.DUMMYFUNCTION("""COMPUTED_VALUE"""),"Cliente Fiel")</f>
        <v>Cliente Fiel</v>
      </c>
      <c r="T1887" s="33">
        <f>IFERROR(__xludf.DUMMYFUNCTION("""COMPUTED_VALUE"""),0.6)</f>
        <v>0.6</v>
      </c>
      <c r="U1887" s="4" t="str">
        <f>IFERROR(__xludf.DUMMYFUNCTION("""COMPUTED_VALUE"""),"Cliente Fiel")</f>
        <v>Cliente Fiel</v>
      </c>
      <c r="V1887" s="33">
        <f>IFERROR(__xludf.DUMMYFUNCTION("""COMPUTED_VALUE"""),0.6)</f>
        <v>0.6</v>
      </c>
      <c r="W1887" s="4" t="str">
        <f>IFERROR(__xludf.DUMMYFUNCTION("""COMPUTED_VALUE"""),"Cliente Fiel")</f>
        <v>Cliente Fiel</v>
      </c>
      <c r="X1887" s="33">
        <f>IFERROR(__xludf.DUMMYFUNCTION("""COMPUTED_VALUE"""),0.8)</f>
        <v>0.8</v>
      </c>
    </row>
    <row r="1888">
      <c r="K1888" s="4" t="str">
        <f>IFERROR(__xludf.DUMMYFUNCTION("""COMPUTED_VALUE"""),"SUSHI RAPIDAO")</f>
        <v>SUSHI RAPIDAO</v>
      </c>
      <c r="L1888" s="32">
        <f>IFERROR(__xludf.DUMMYFUNCTION("""COMPUTED_VALUE"""),5.0)</f>
        <v>5</v>
      </c>
      <c r="M1888" s="4" t="str">
        <f>IFERROR(__xludf.DUMMYFUNCTION("""COMPUTED_VALUE"""),"Hubster")</f>
        <v>Hubster</v>
      </c>
      <c r="N1888" s="33">
        <f>IFERROR(__xludf.DUMMYFUNCTION("""COMPUTED_VALUE"""),0.6)</f>
        <v>0.6</v>
      </c>
      <c r="O1888" s="4" t="str">
        <f>IFERROR(__xludf.DUMMYFUNCTION("""COMPUTED_VALUE"""),"Hubster")</f>
        <v>Hubster</v>
      </c>
      <c r="P1888" s="33">
        <f>IFERROR(__xludf.DUMMYFUNCTION("""COMPUTED_VALUE"""),0.6)</f>
        <v>0.6</v>
      </c>
      <c r="Q1888" s="4" t="str">
        <f>IFERROR(__xludf.DUMMYFUNCTION("""COMPUTED_VALUE"""),"null")</f>
        <v>null</v>
      </c>
      <c r="R1888" s="33">
        <f>IFERROR(__xludf.DUMMYFUNCTION("""COMPUTED_VALUE"""),0.6)</f>
        <v>0.6</v>
      </c>
      <c r="S1888" s="4" t="str">
        <f>IFERROR(__xludf.DUMMYFUNCTION("""COMPUTED_VALUE"""),"null")</f>
        <v>null</v>
      </c>
      <c r="T1888" s="33">
        <f>IFERROR(__xludf.DUMMYFUNCTION("""COMPUTED_VALUE"""),0.6)</f>
        <v>0.6</v>
      </c>
      <c r="U1888" s="4" t="str">
        <f>IFERROR(__xludf.DUMMYFUNCTION("""COMPUTED_VALUE"""),"null")</f>
        <v>null</v>
      </c>
      <c r="V1888" s="33">
        <f>IFERROR(__xludf.DUMMYFUNCTION("""COMPUTED_VALUE"""),0.6)</f>
        <v>0.6</v>
      </c>
      <c r="W1888" s="4" t="str">
        <f>IFERROR(__xludf.DUMMYFUNCTION("""COMPUTED_VALUE"""),"Hubster")</f>
        <v>Hubster</v>
      </c>
      <c r="X1888" s="33">
        <f>IFERROR(__xludf.DUMMYFUNCTION("""COMPUTED_VALUE"""),0.4)</f>
        <v>0.4</v>
      </c>
    </row>
    <row r="1889">
      <c r="K1889" s="4" t="str">
        <f>IFERROR(__xludf.DUMMYFUNCTION("""COMPUTED_VALUE"""),"SUSHI REAL")</f>
        <v>SUSHI REAL</v>
      </c>
      <c r="L1889" s="32">
        <f>IFERROR(__xludf.DUMMYFUNCTION("""COMPUTED_VALUE"""),5.0)</f>
        <v>5</v>
      </c>
      <c r="M1889" s="4" t="str">
        <f>IFERROR(__xludf.DUMMYFUNCTION("""COMPUTED_VALUE"""),"Saipos Serviços De Software")</f>
        <v>Saipos Serviços De Software</v>
      </c>
      <c r="N1889" s="33">
        <f>IFERROR(__xludf.DUMMYFUNCTION("""COMPUTED_VALUE"""),1.0)</f>
        <v>1</v>
      </c>
      <c r="O1889" s="4" t="str">
        <f>IFERROR(__xludf.DUMMYFUNCTION("""COMPUTED_VALUE"""),"Saipos Serviços De Software")</f>
        <v>Saipos Serviços De Software</v>
      </c>
      <c r="P1889" s="33">
        <f>IFERROR(__xludf.DUMMYFUNCTION("""COMPUTED_VALUE"""),1.0)</f>
        <v>1</v>
      </c>
      <c r="Q1889" s="4" t="str">
        <f>IFERROR(__xludf.DUMMYFUNCTION("""COMPUTED_VALUE"""),"Saipos Serviços De Software")</f>
        <v>Saipos Serviços De Software</v>
      </c>
      <c r="R1889" s="33">
        <f>IFERROR(__xludf.DUMMYFUNCTION("""COMPUTED_VALUE"""),1.0)</f>
        <v>1</v>
      </c>
      <c r="S1889" s="4" t="str">
        <f>IFERROR(__xludf.DUMMYFUNCTION("""COMPUTED_VALUE"""),"Saipos Serviços De Software")</f>
        <v>Saipos Serviços De Software</v>
      </c>
      <c r="T1889" s="33">
        <f>IFERROR(__xludf.DUMMYFUNCTION("""COMPUTED_VALUE"""),1.0)</f>
        <v>1</v>
      </c>
      <c r="U1889" s="4" t="str">
        <f>IFERROR(__xludf.DUMMYFUNCTION("""COMPUTED_VALUE"""),"Saipos Serviços De Software")</f>
        <v>Saipos Serviços De Software</v>
      </c>
      <c r="V1889" s="33">
        <f>IFERROR(__xludf.DUMMYFUNCTION("""COMPUTED_VALUE"""),1.0)</f>
        <v>1</v>
      </c>
      <c r="W1889" s="4" t="str">
        <f>IFERROR(__xludf.DUMMYFUNCTION("""COMPUTED_VALUE"""),"Saipos Serviços De Software")</f>
        <v>Saipos Serviços De Software</v>
      </c>
      <c r="X1889" s="33">
        <f>IFERROR(__xludf.DUMMYFUNCTION("""COMPUTED_VALUE"""),1.0)</f>
        <v>1</v>
      </c>
    </row>
    <row r="1890">
      <c r="K1890" s="4" t="str">
        <f>IFERROR(__xludf.DUMMYFUNCTION("""COMPUTED_VALUE"""),"SUSHI X 1 REAL")</f>
        <v>SUSHI X 1 REAL</v>
      </c>
      <c r="L1890" s="32">
        <f>IFERROR(__xludf.DUMMYFUNCTION("""COMPUTED_VALUE"""),5.0)</f>
        <v>5</v>
      </c>
      <c r="M1890" s="4" t="str">
        <f>IFERROR(__xludf.DUMMYFUNCTION("""COMPUTED_VALUE"""),"Saipos Serviços De Software")</f>
        <v>Saipos Serviços De Software</v>
      </c>
      <c r="N1890" s="33">
        <f>IFERROR(__xludf.DUMMYFUNCTION("""COMPUTED_VALUE"""),1.0)</f>
        <v>1</v>
      </c>
      <c r="O1890" s="4" t="str">
        <f>IFERROR(__xludf.DUMMYFUNCTION("""COMPUTED_VALUE"""),"Saipos Serviços De Software")</f>
        <v>Saipos Serviços De Software</v>
      </c>
      <c r="P1890" s="33">
        <f>IFERROR(__xludf.DUMMYFUNCTION("""COMPUTED_VALUE"""),1.0)</f>
        <v>1</v>
      </c>
      <c r="Q1890" s="4" t="str">
        <f>IFERROR(__xludf.DUMMYFUNCTION("""COMPUTED_VALUE"""),"Saipos Serviços De Software")</f>
        <v>Saipos Serviços De Software</v>
      </c>
      <c r="R1890" s="33">
        <f>IFERROR(__xludf.DUMMYFUNCTION("""COMPUTED_VALUE"""),1.0)</f>
        <v>1</v>
      </c>
      <c r="S1890" s="4" t="str">
        <f>IFERROR(__xludf.DUMMYFUNCTION("""COMPUTED_VALUE"""),"Saipos Serviços De Software")</f>
        <v>Saipos Serviços De Software</v>
      </c>
      <c r="T1890" s="33">
        <f>IFERROR(__xludf.DUMMYFUNCTION("""COMPUTED_VALUE"""),1.0)</f>
        <v>1</v>
      </c>
      <c r="U1890" s="4" t="str">
        <f>IFERROR(__xludf.DUMMYFUNCTION("""COMPUTED_VALUE"""),"Saipos Serviços De Software")</f>
        <v>Saipos Serviços De Software</v>
      </c>
      <c r="V1890" s="33">
        <f>IFERROR(__xludf.DUMMYFUNCTION("""COMPUTED_VALUE"""),0.8)</f>
        <v>0.8</v>
      </c>
      <c r="W1890" s="4" t="str">
        <f>IFERROR(__xludf.DUMMYFUNCTION("""COMPUTED_VALUE"""),"Saipos Serviços De Software")</f>
        <v>Saipos Serviços De Software</v>
      </c>
      <c r="X1890" s="33">
        <f>IFERROR(__xludf.DUMMYFUNCTION("""COMPUTED_VALUE"""),0.8)</f>
        <v>0.8</v>
      </c>
    </row>
    <row r="1891">
      <c r="K1891" s="4" t="str">
        <f>IFERROR(__xludf.DUMMYFUNCTION("""COMPUTED_VALUE"""),"SUSHIRUS TERESINA")</f>
        <v>SUSHIRUS TERESINA</v>
      </c>
      <c r="L1891" s="32">
        <f>IFERROR(__xludf.DUMMYFUNCTION("""COMPUTED_VALUE"""),5.0)</f>
        <v>5</v>
      </c>
      <c r="M1891" s="4" t="str">
        <f>IFERROR(__xludf.DUMMYFUNCTION("""COMPUTED_VALUE"""),"Saipos Serviços De Software")</f>
        <v>Saipos Serviços De Software</v>
      </c>
      <c r="N1891" s="33">
        <f>IFERROR(__xludf.DUMMYFUNCTION("""COMPUTED_VALUE"""),1.0)</f>
        <v>1</v>
      </c>
      <c r="O1891" s="4" t="str">
        <f>IFERROR(__xludf.DUMMYFUNCTION("""COMPUTED_VALUE"""),"Saipos Serviços De Software")</f>
        <v>Saipos Serviços De Software</v>
      </c>
      <c r="P1891" s="33">
        <f>IFERROR(__xludf.DUMMYFUNCTION("""COMPUTED_VALUE"""),1.0)</f>
        <v>1</v>
      </c>
      <c r="Q1891" s="4" t="str">
        <f>IFERROR(__xludf.DUMMYFUNCTION("""COMPUTED_VALUE"""),"Saipos Serviços De Software")</f>
        <v>Saipos Serviços De Software</v>
      </c>
      <c r="R1891" s="33">
        <f>IFERROR(__xludf.DUMMYFUNCTION("""COMPUTED_VALUE"""),1.0)</f>
        <v>1</v>
      </c>
      <c r="S1891" s="4" t="str">
        <f>IFERROR(__xludf.DUMMYFUNCTION("""COMPUTED_VALUE"""),"Saipos Serviços De Software")</f>
        <v>Saipos Serviços De Software</v>
      </c>
      <c r="T1891" s="33">
        <f>IFERROR(__xludf.DUMMYFUNCTION("""COMPUTED_VALUE"""),1.0)</f>
        <v>1</v>
      </c>
      <c r="U1891" s="4" t="str">
        <f>IFERROR(__xludf.DUMMYFUNCTION("""COMPUTED_VALUE"""),"Saipos Serviços De Software")</f>
        <v>Saipos Serviços De Software</v>
      </c>
      <c r="V1891" s="33">
        <f>IFERROR(__xludf.DUMMYFUNCTION("""COMPUTED_VALUE"""),1.0)</f>
        <v>1</v>
      </c>
      <c r="W1891" s="4" t="str">
        <f>IFERROR(__xludf.DUMMYFUNCTION("""COMPUTED_VALUE"""),"Saipos Serviços De Software")</f>
        <v>Saipos Serviços De Software</v>
      </c>
      <c r="X1891" s="33">
        <f>IFERROR(__xludf.DUMMYFUNCTION("""COMPUTED_VALUE"""),1.0)</f>
        <v>1</v>
      </c>
    </row>
    <row r="1892">
      <c r="K1892" s="4" t="str">
        <f>IFERROR(__xludf.DUMMYFUNCTION("""COMPUTED_VALUE"""),"SWEETS - MARCA")</f>
        <v>SWEETS - MARCA</v>
      </c>
      <c r="L1892" s="32">
        <f>IFERROR(__xludf.DUMMYFUNCTION("""COMPUTED_VALUE"""),5.0)</f>
        <v>5</v>
      </c>
      <c r="M1892" s="4" t="str">
        <f>IFERROR(__xludf.DUMMYFUNCTION("""COMPUTED_VALUE"""),"null")</f>
        <v>null</v>
      </c>
      <c r="N1892" s="33">
        <f>IFERROR(__xludf.DUMMYFUNCTION("""COMPUTED_VALUE"""),1.0)</f>
        <v>1</v>
      </c>
      <c r="O1892" s="4" t="str">
        <f>IFERROR(__xludf.DUMMYFUNCTION("""COMPUTED_VALUE"""),"null")</f>
        <v>null</v>
      </c>
      <c r="P1892" s="33">
        <f>IFERROR(__xludf.DUMMYFUNCTION("""COMPUTED_VALUE"""),1.0)</f>
        <v>1</v>
      </c>
      <c r="Q1892" s="4" t="str">
        <f>IFERROR(__xludf.DUMMYFUNCTION("""COMPUTED_VALUE"""),"null")</f>
        <v>null</v>
      </c>
      <c r="R1892" s="33">
        <f>IFERROR(__xludf.DUMMYFUNCTION("""COMPUTED_VALUE"""),0.8)</f>
        <v>0.8</v>
      </c>
      <c r="S1892" s="4" t="str">
        <f>IFERROR(__xludf.DUMMYFUNCTION("""COMPUTED_VALUE"""),"null")</f>
        <v>null</v>
      </c>
      <c r="T1892" s="33">
        <f>IFERROR(__xludf.DUMMYFUNCTION("""COMPUTED_VALUE"""),0.8)</f>
        <v>0.8</v>
      </c>
      <c r="U1892" s="4" t="str">
        <f>IFERROR(__xludf.DUMMYFUNCTION("""COMPUTED_VALUE"""),"Teknisa Service Ltda")</f>
        <v>Teknisa Service Ltda</v>
      </c>
      <c r="V1892" s="33">
        <f>IFERROR(__xludf.DUMMYFUNCTION("""COMPUTED_VALUE"""),0.8)</f>
        <v>0.8</v>
      </c>
      <c r="W1892" s="4" t="str">
        <f>IFERROR(__xludf.DUMMYFUNCTION("""COMPUTED_VALUE"""),"Teknisa Service Ltda")</f>
        <v>Teknisa Service Ltda</v>
      </c>
      <c r="X1892" s="33">
        <f>IFERROR(__xludf.DUMMYFUNCTION("""COMPUTED_VALUE"""),1.0)</f>
        <v>1</v>
      </c>
    </row>
    <row r="1893">
      <c r="K1893" s="4" t="str">
        <f>IFERROR(__xludf.DUMMYFUNCTION("""COMPUTED_VALUE"""),"TA ALO PIZZA DELIVERY - CONTA PAI")</f>
        <v>TA ALO PIZZA DELIVERY - CONTA PAI</v>
      </c>
      <c r="L1893" s="32">
        <f>IFERROR(__xludf.DUMMYFUNCTION("""COMPUTED_VALUE"""),5.0)</f>
        <v>5</v>
      </c>
      <c r="M1893" s="4" t="str">
        <f>IFERROR(__xludf.DUMMYFUNCTION("""COMPUTED_VALUE"""),"Netcontroll Xmenu")</f>
        <v>Netcontroll Xmenu</v>
      </c>
      <c r="N1893" s="33">
        <f>IFERROR(__xludf.DUMMYFUNCTION("""COMPUTED_VALUE"""),0.6)</f>
        <v>0.6</v>
      </c>
      <c r="O1893" s="4" t="str">
        <f>IFERROR(__xludf.DUMMYFUNCTION("""COMPUTED_VALUE"""),"Netcontroll Xmenu")</f>
        <v>Netcontroll Xmenu</v>
      </c>
      <c r="P1893" s="33">
        <f>IFERROR(__xludf.DUMMYFUNCTION("""COMPUTED_VALUE"""),0.6)</f>
        <v>0.6</v>
      </c>
      <c r="Q1893" s="4" t="str">
        <f>IFERROR(__xludf.DUMMYFUNCTION("""COMPUTED_VALUE"""),"Saipos Serviços De Software")</f>
        <v>Saipos Serviços De Software</v>
      </c>
      <c r="R1893" s="33">
        <f>IFERROR(__xludf.DUMMYFUNCTION("""COMPUTED_VALUE"""),0.6)</f>
        <v>0.6</v>
      </c>
      <c r="S1893" s="4" t="str">
        <f>IFERROR(__xludf.DUMMYFUNCTION("""COMPUTED_VALUE"""),"Netcontroll Xmenu")</f>
        <v>Netcontroll Xmenu</v>
      </c>
      <c r="T1893" s="33">
        <f>IFERROR(__xludf.DUMMYFUNCTION("""COMPUTED_VALUE"""),0.4)</f>
        <v>0.4</v>
      </c>
      <c r="U1893" s="4" t="str">
        <f>IFERROR(__xludf.DUMMYFUNCTION("""COMPUTED_VALUE"""),"Saipos Serviços De Software")</f>
        <v>Saipos Serviços De Software</v>
      </c>
      <c r="V1893" s="33">
        <f>IFERROR(__xludf.DUMMYFUNCTION("""COMPUTED_VALUE"""),0.6)</f>
        <v>0.6</v>
      </c>
      <c r="W1893" s="4" t="str">
        <f>IFERROR(__xludf.DUMMYFUNCTION("""COMPUTED_VALUE"""),"Saipos Serviços De Software")</f>
        <v>Saipos Serviços De Software</v>
      </c>
      <c r="X1893" s="33">
        <f>IFERROR(__xludf.DUMMYFUNCTION("""COMPUTED_VALUE"""),0.8)</f>
        <v>0.8</v>
      </c>
    </row>
    <row r="1894">
      <c r="K1894" s="4" t="str">
        <f>IFERROR(__xludf.DUMMYFUNCTION("""COMPUTED_VALUE"""),"TAKE A JUICE CONTA MARCA")</f>
        <v>TAKE A JUICE CONTA MARCA</v>
      </c>
      <c r="L1894" s="32">
        <f>IFERROR(__xludf.DUMMYFUNCTION("""COMPUTED_VALUE"""),5.0)</f>
        <v>5</v>
      </c>
      <c r="M1894" s="4" t="str">
        <f>IFERROR(__xludf.DUMMYFUNCTION("""COMPUTED_VALUE"""),"Proabakus Desenvolvimento De Sistemas Ltda")</f>
        <v>Proabakus Desenvolvimento De Sistemas Ltda</v>
      </c>
      <c r="N1894" s="33">
        <f>IFERROR(__xludf.DUMMYFUNCTION("""COMPUTED_VALUE"""),0.8)</f>
        <v>0.8</v>
      </c>
      <c r="O1894" s="4" t="str">
        <f>IFERROR(__xludf.DUMMYFUNCTION("""COMPUTED_VALUE"""),"Agilizup Solucoes Ltda")</f>
        <v>Agilizup Solucoes Ltda</v>
      </c>
      <c r="P1894" s="33">
        <f>IFERROR(__xludf.DUMMYFUNCTION("""COMPUTED_VALUE"""),0.8)</f>
        <v>0.8</v>
      </c>
      <c r="Q1894" s="4" t="str">
        <f>IFERROR(__xludf.DUMMYFUNCTION("""COMPUTED_VALUE"""),"Agilizup Solucoes Ltda")</f>
        <v>Agilizup Solucoes Ltda</v>
      </c>
      <c r="R1894" s="33">
        <f>IFERROR(__xludf.DUMMYFUNCTION("""COMPUTED_VALUE"""),0.8)</f>
        <v>0.8</v>
      </c>
      <c r="S1894" s="4" t="str">
        <f>IFERROR(__xludf.DUMMYFUNCTION("""COMPUTED_VALUE"""),"Agilizup Solucoes Ltda")</f>
        <v>Agilizup Solucoes Ltda</v>
      </c>
      <c r="T1894" s="33">
        <f>IFERROR(__xludf.DUMMYFUNCTION("""COMPUTED_VALUE"""),0.6)</f>
        <v>0.6</v>
      </c>
      <c r="U1894" s="4" t="str">
        <f>IFERROR(__xludf.DUMMYFUNCTION("""COMPUTED_VALUE"""),"Agilizup Solucoes Ltda")</f>
        <v>Agilizup Solucoes Ltda</v>
      </c>
      <c r="V1894" s="33">
        <f>IFERROR(__xludf.DUMMYFUNCTION("""COMPUTED_VALUE"""),0.6)</f>
        <v>0.6</v>
      </c>
      <c r="W1894" s="4" t="str">
        <f>IFERROR(__xludf.DUMMYFUNCTION("""COMPUTED_VALUE"""),"Proabakus Desenvolvimento De Sistemas Ltda")</f>
        <v>Proabakus Desenvolvimento De Sistemas Ltda</v>
      </c>
      <c r="X1894" s="33">
        <f>IFERROR(__xludf.DUMMYFUNCTION("""COMPUTED_VALUE"""),1.0)</f>
        <v>1</v>
      </c>
    </row>
    <row r="1895">
      <c r="K1895" s="4" t="str">
        <f>IFERROR(__xludf.DUMMYFUNCTION("""COMPUTED_VALUE"""),"TAMBAQUI DE BANDA")</f>
        <v>TAMBAQUI DE BANDA</v>
      </c>
      <c r="L1895" s="32">
        <f>IFERROR(__xludf.DUMMYFUNCTION("""COMPUTED_VALUE"""),5.0)</f>
        <v>5</v>
      </c>
      <c r="M1895" s="4" t="str">
        <f>IFERROR(__xludf.DUMMYFUNCTION("""COMPUTED_VALUE"""),"Vekttor")</f>
        <v>Vekttor</v>
      </c>
      <c r="N1895" s="33">
        <f>IFERROR(__xludf.DUMMYFUNCTION("""COMPUTED_VALUE"""),0.8)</f>
        <v>0.8</v>
      </c>
      <c r="O1895" s="4" t="str">
        <f>IFERROR(__xludf.DUMMYFUNCTION("""COMPUTED_VALUE"""),"Vekttor")</f>
        <v>Vekttor</v>
      </c>
      <c r="P1895" s="33">
        <f>IFERROR(__xludf.DUMMYFUNCTION("""COMPUTED_VALUE"""),0.8)</f>
        <v>0.8</v>
      </c>
      <c r="Q1895" s="4" t="str">
        <f>IFERROR(__xludf.DUMMYFUNCTION("""COMPUTED_VALUE"""),"Vekttor")</f>
        <v>Vekttor</v>
      </c>
      <c r="R1895" s="33">
        <f>IFERROR(__xludf.DUMMYFUNCTION("""COMPUTED_VALUE"""),0.8)</f>
        <v>0.8</v>
      </c>
      <c r="S1895" s="4" t="str">
        <f>IFERROR(__xludf.DUMMYFUNCTION("""COMPUTED_VALUE"""),"Vekttor")</f>
        <v>Vekttor</v>
      </c>
      <c r="T1895" s="33">
        <f>IFERROR(__xludf.DUMMYFUNCTION("""COMPUTED_VALUE"""),0.8)</f>
        <v>0.8</v>
      </c>
      <c r="U1895" s="4" t="str">
        <f>IFERROR(__xludf.DUMMYFUNCTION("""COMPUTED_VALUE"""),"Vekttor")</f>
        <v>Vekttor</v>
      </c>
      <c r="V1895" s="33">
        <f>IFERROR(__xludf.DUMMYFUNCTION("""COMPUTED_VALUE"""),0.8)</f>
        <v>0.8</v>
      </c>
      <c r="W1895" s="4" t="str">
        <f>IFERROR(__xludf.DUMMYFUNCTION("""COMPUTED_VALUE"""),"Vekttor")</f>
        <v>Vekttor</v>
      </c>
      <c r="X1895" s="33">
        <f>IFERROR(__xludf.DUMMYFUNCTION("""COMPUTED_VALUE"""),0.6)</f>
        <v>0.6</v>
      </c>
    </row>
    <row r="1896">
      <c r="K1896" s="4" t="str">
        <f>IFERROR(__xludf.DUMMYFUNCTION("""COMPUTED_VALUE"""),"TAMMY PASTELARIA EXPRESS")</f>
        <v>TAMMY PASTELARIA EXPRESS</v>
      </c>
      <c r="L1896" s="32">
        <f>IFERROR(__xludf.DUMMYFUNCTION("""COMPUTED_VALUE"""),5.0)</f>
        <v>5</v>
      </c>
      <c r="M1896" s="4" t="str">
        <f>IFERROR(__xludf.DUMMYFUNCTION("""COMPUTED_VALUE"""),"Teknisa Service Ltda")</f>
        <v>Teknisa Service Ltda</v>
      </c>
      <c r="N1896" s="33">
        <f>IFERROR(__xludf.DUMMYFUNCTION("""COMPUTED_VALUE"""),1.0)</f>
        <v>1</v>
      </c>
      <c r="O1896" s="4" t="str">
        <f>IFERROR(__xludf.DUMMYFUNCTION("""COMPUTED_VALUE"""),"Teknisa Service Ltda")</f>
        <v>Teknisa Service Ltda</v>
      </c>
      <c r="P1896" s="33">
        <f>IFERROR(__xludf.DUMMYFUNCTION("""COMPUTED_VALUE"""),1.0)</f>
        <v>1</v>
      </c>
      <c r="Q1896" s="4" t="str">
        <f>IFERROR(__xludf.DUMMYFUNCTION("""COMPUTED_VALUE"""),"Teknisa Service Ltda")</f>
        <v>Teknisa Service Ltda</v>
      </c>
      <c r="R1896" s="33">
        <f>IFERROR(__xludf.DUMMYFUNCTION("""COMPUTED_VALUE"""),1.0)</f>
        <v>1</v>
      </c>
      <c r="S1896" s="4" t="str">
        <f>IFERROR(__xludf.DUMMYFUNCTION("""COMPUTED_VALUE"""),"null")</f>
        <v>null</v>
      </c>
      <c r="T1896" s="33">
        <f>IFERROR(__xludf.DUMMYFUNCTION("""COMPUTED_VALUE"""),0.6)</f>
        <v>0.6</v>
      </c>
      <c r="U1896" s="4" t="str">
        <f>IFERROR(__xludf.DUMMYFUNCTION("""COMPUTED_VALUE"""),"Teknisa Service Ltda")</f>
        <v>Teknisa Service Ltda</v>
      </c>
      <c r="V1896" s="33">
        <f>IFERROR(__xludf.DUMMYFUNCTION("""COMPUTED_VALUE"""),0.8)</f>
        <v>0.8</v>
      </c>
      <c r="W1896" s="4" t="str">
        <f>IFERROR(__xludf.DUMMYFUNCTION("""COMPUTED_VALUE"""),"Teknisa Service Ltda")</f>
        <v>Teknisa Service Ltda</v>
      </c>
      <c r="X1896" s="33">
        <f>IFERROR(__xludf.DUMMYFUNCTION("""COMPUTED_VALUE"""),1.0)</f>
        <v>1</v>
      </c>
    </row>
    <row r="1897">
      <c r="K1897" s="4" t="str">
        <f>IFERROR(__xludf.DUMMYFUNCTION("""COMPUTED_VALUE"""),"TEMPERO DA GE")</f>
        <v>TEMPERO DA GE</v>
      </c>
      <c r="L1897" s="32">
        <f>IFERROR(__xludf.DUMMYFUNCTION("""COMPUTED_VALUE"""),5.0)</f>
        <v>5</v>
      </c>
      <c r="M1897" s="4" t="str">
        <f>IFERROR(__xludf.DUMMYFUNCTION("""COMPUTED_VALUE"""),"Cardápio Web")</f>
        <v>Cardápio Web</v>
      </c>
      <c r="N1897" s="33">
        <f>IFERROR(__xludf.DUMMYFUNCTION("""COMPUTED_VALUE"""),1.0)</f>
        <v>1</v>
      </c>
      <c r="O1897" s="4" t="str">
        <f>IFERROR(__xludf.DUMMYFUNCTION("""COMPUTED_VALUE"""),"Cardápio Web")</f>
        <v>Cardápio Web</v>
      </c>
      <c r="P1897" s="33">
        <f>IFERROR(__xludf.DUMMYFUNCTION("""COMPUTED_VALUE"""),1.0)</f>
        <v>1</v>
      </c>
      <c r="Q1897" s="4" t="str">
        <f>IFERROR(__xludf.DUMMYFUNCTION("""COMPUTED_VALUE"""),"Cardápio Web")</f>
        <v>Cardápio Web</v>
      </c>
      <c r="R1897" s="33">
        <f>IFERROR(__xludf.DUMMYFUNCTION("""COMPUTED_VALUE"""),1.0)</f>
        <v>1</v>
      </c>
      <c r="S1897" s="4" t="str">
        <f>IFERROR(__xludf.DUMMYFUNCTION("""COMPUTED_VALUE"""),"Cardápio Web")</f>
        <v>Cardápio Web</v>
      </c>
      <c r="T1897" s="33">
        <f>IFERROR(__xludf.DUMMYFUNCTION("""COMPUTED_VALUE"""),1.0)</f>
        <v>1</v>
      </c>
      <c r="U1897" s="4" t="str">
        <f>IFERROR(__xludf.DUMMYFUNCTION("""COMPUTED_VALUE"""),"Cardápio Web")</f>
        <v>Cardápio Web</v>
      </c>
      <c r="V1897" s="33">
        <f>IFERROR(__xludf.DUMMYFUNCTION("""COMPUTED_VALUE"""),0.6)</f>
        <v>0.6</v>
      </c>
      <c r="W1897" s="4" t="str">
        <f>IFERROR(__xludf.DUMMYFUNCTION("""COMPUTED_VALUE"""),"Cardápio Web")</f>
        <v>Cardápio Web</v>
      </c>
      <c r="X1897" s="33">
        <f>IFERROR(__xludf.DUMMYFUNCTION("""COMPUTED_VALUE"""),0.6)</f>
        <v>0.6</v>
      </c>
    </row>
    <row r="1898">
      <c r="K1898" s="4" t="str">
        <f>IFERROR(__xludf.DUMMYFUNCTION("""COMPUTED_VALUE"""),"TERRITORIO DA PIZZA")</f>
        <v>TERRITORIO DA PIZZA</v>
      </c>
      <c r="L1898" s="32">
        <f>IFERROR(__xludf.DUMMYFUNCTION("""COMPUTED_VALUE"""),5.0)</f>
        <v>5</v>
      </c>
      <c r="M1898" s="4" t="str">
        <f>IFERROR(__xludf.DUMMYFUNCTION("""COMPUTED_VALUE"""),"null")</f>
        <v>null</v>
      </c>
      <c r="N1898" s="33">
        <f>IFERROR(__xludf.DUMMYFUNCTION("""COMPUTED_VALUE"""),0.6)</f>
        <v>0.6</v>
      </c>
      <c r="O1898" s="4" t="str">
        <f>IFERROR(__xludf.DUMMYFUNCTION("""COMPUTED_VALUE"""),"null")</f>
        <v>null</v>
      </c>
      <c r="P1898" s="33">
        <f>IFERROR(__xludf.DUMMYFUNCTION("""COMPUTED_VALUE"""),0.6)</f>
        <v>0.6</v>
      </c>
      <c r="Q1898" s="4" t="str">
        <f>IFERROR(__xludf.DUMMYFUNCTION("""COMPUTED_VALUE"""),"Beefood - Sistema Para Restaurantes")</f>
        <v>Beefood - Sistema Para Restaurantes</v>
      </c>
      <c r="R1898" s="33">
        <f>IFERROR(__xludf.DUMMYFUNCTION("""COMPUTED_VALUE"""),0.8)</f>
        <v>0.8</v>
      </c>
      <c r="S1898" s="4" t="str">
        <f>IFERROR(__xludf.DUMMYFUNCTION("""COMPUTED_VALUE"""),"null")</f>
        <v>null</v>
      </c>
      <c r="T1898" s="33">
        <f>IFERROR(__xludf.DUMMYFUNCTION("""COMPUTED_VALUE"""),0.6)</f>
        <v>0.6</v>
      </c>
      <c r="U1898" s="4" t="str">
        <f>IFERROR(__xludf.DUMMYFUNCTION("""COMPUTED_VALUE"""),"null")</f>
        <v>null</v>
      </c>
      <c r="V1898" s="33">
        <f>IFERROR(__xludf.DUMMYFUNCTION("""COMPUTED_VALUE"""),0.6)</f>
        <v>0.6</v>
      </c>
      <c r="W1898" s="4" t="str">
        <f>IFERROR(__xludf.DUMMYFUNCTION("""COMPUTED_VALUE"""),"null")</f>
        <v>null</v>
      </c>
      <c r="X1898" s="33">
        <f>IFERROR(__xludf.DUMMYFUNCTION("""COMPUTED_VALUE"""),0.6)</f>
        <v>0.6</v>
      </c>
    </row>
    <row r="1899">
      <c r="K1899" s="4" t="str">
        <f>IFERROR(__xludf.DUMMYFUNCTION("""COMPUTED_VALUE"""),"TEXAS GRILL")</f>
        <v>TEXAS GRILL</v>
      </c>
      <c r="L1899" s="32">
        <f>IFERROR(__xludf.DUMMYFUNCTION("""COMPUTED_VALUE"""),5.0)</f>
        <v>5</v>
      </c>
      <c r="M1899" s="4" t="str">
        <f>IFERROR(__xludf.DUMMYFUNCTION("""COMPUTED_VALUE"""),"Saipos Serviços De Software")</f>
        <v>Saipos Serviços De Software</v>
      </c>
      <c r="N1899" s="33">
        <f>IFERROR(__xludf.DUMMYFUNCTION("""COMPUTED_VALUE"""),1.0)</f>
        <v>1</v>
      </c>
      <c r="O1899" s="4" t="str">
        <f>IFERROR(__xludf.DUMMYFUNCTION("""COMPUTED_VALUE"""),"Saipos Serviços De Software")</f>
        <v>Saipos Serviços De Software</v>
      </c>
      <c r="P1899" s="33">
        <f>IFERROR(__xludf.DUMMYFUNCTION("""COMPUTED_VALUE"""),1.0)</f>
        <v>1</v>
      </c>
      <c r="Q1899" s="4" t="str">
        <f>IFERROR(__xludf.DUMMYFUNCTION("""COMPUTED_VALUE"""),"Saipos Serviços De Software")</f>
        <v>Saipos Serviços De Software</v>
      </c>
      <c r="R1899" s="33">
        <f>IFERROR(__xludf.DUMMYFUNCTION("""COMPUTED_VALUE"""),1.0)</f>
        <v>1</v>
      </c>
      <c r="S1899" s="4" t="str">
        <f>IFERROR(__xludf.DUMMYFUNCTION("""COMPUTED_VALUE"""),"Saipos Serviços De Software")</f>
        <v>Saipos Serviços De Software</v>
      </c>
      <c r="T1899" s="33">
        <f>IFERROR(__xludf.DUMMYFUNCTION("""COMPUTED_VALUE"""),1.0)</f>
        <v>1</v>
      </c>
      <c r="U1899" s="4" t="str">
        <f>IFERROR(__xludf.DUMMYFUNCTION("""COMPUTED_VALUE"""),"Saipos Serviços De Software")</f>
        <v>Saipos Serviços De Software</v>
      </c>
      <c r="V1899" s="33">
        <f>IFERROR(__xludf.DUMMYFUNCTION("""COMPUTED_VALUE"""),1.0)</f>
        <v>1</v>
      </c>
      <c r="W1899" s="4" t="str">
        <f>IFERROR(__xludf.DUMMYFUNCTION("""COMPUTED_VALUE"""),"Saipos Serviços De Software")</f>
        <v>Saipos Serviços De Software</v>
      </c>
      <c r="X1899" s="33">
        <f>IFERROR(__xludf.DUMMYFUNCTION("""COMPUTED_VALUE"""),1.0)</f>
        <v>1</v>
      </c>
    </row>
    <row r="1900">
      <c r="K1900" s="4" t="str">
        <f>IFERROR(__xludf.DUMMYFUNCTION("""COMPUTED_VALUE"""),"TEXAS LANCHES")</f>
        <v>TEXAS LANCHES</v>
      </c>
      <c r="L1900" s="32">
        <f>IFERROR(__xludf.DUMMYFUNCTION("""COMPUTED_VALUE"""),5.0)</f>
        <v>5</v>
      </c>
      <c r="M1900" s="4" t="str">
        <f>IFERROR(__xludf.DUMMYFUNCTION("""COMPUTED_VALUE"""),"Saipos Serviços De Software")</f>
        <v>Saipos Serviços De Software</v>
      </c>
      <c r="N1900" s="33">
        <f>IFERROR(__xludf.DUMMYFUNCTION("""COMPUTED_VALUE"""),0.4)</f>
        <v>0.4</v>
      </c>
      <c r="O1900" s="4" t="str">
        <f>IFERROR(__xludf.DUMMYFUNCTION("""COMPUTED_VALUE"""),"Saipos Serviços De Software")</f>
        <v>Saipos Serviços De Software</v>
      </c>
      <c r="P1900" s="33">
        <f>IFERROR(__xludf.DUMMYFUNCTION("""COMPUTED_VALUE"""),0.8)</f>
        <v>0.8</v>
      </c>
      <c r="Q1900" s="4" t="str">
        <f>IFERROR(__xludf.DUMMYFUNCTION("""COMPUTED_VALUE"""),"Saipos Serviços De Software")</f>
        <v>Saipos Serviços De Software</v>
      </c>
      <c r="R1900" s="33">
        <f>IFERROR(__xludf.DUMMYFUNCTION("""COMPUTED_VALUE"""),0.8)</f>
        <v>0.8</v>
      </c>
      <c r="S1900" s="4" t="str">
        <f>IFERROR(__xludf.DUMMYFUNCTION("""COMPUTED_VALUE"""),"Saipos Serviços De Software")</f>
        <v>Saipos Serviços De Software</v>
      </c>
      <c r="T1900" s="33">
        <f>IFERROR(__xludf.DUMMYFUNCTION("""COMPUTED_VALUE"""),0.8)</f>
        <v>0.8</v>
      </c>
      <c r="U1900" s="4" t="str">
        <f>IFERROR(__xludf.DUMMYFUNCTION("""COMPUTED_VALUE"""),"Saipos Serviços De Software")</f>
        <v>Saipos Serviços De Software</v>
      </c>
      <c r="V1900" s="33">
        <f>IFERROR(__xludf.DUMMYFUNCTION("""COMPUTED_VALUE"""),0.8)</f>
        <v>0.8</v>
      </c>
      <c r="W1900" s="4" t="str">
        <f>IFERROR(__xludf.DUMMYFUNCTION("""COMPUTED_VALUE"""),"Saipos Serviços De Software")</f>
        <v>Saipos Serviços De Software</v>
      </c>
      <c r="X1900" s="33">
        <f>IFERROR(__xludf.DUMMYFUNCTION("""COMPUTED_VALUE"""),0.8)</f>
        <v>0.8</v>
      </c>
    </row>
    <row r="1901">
      <c r="K1901" s="4" t="str">
        <f>IFERROR(__xludf.DUMMYFUNCTION("""COMPUTED_VALUE"""),"THE CHICKEN - RIBEIRAO PRETO")</f>
        <v>THE CHICKEN - RIBEIRAO PRETO</v>
      </c>
      <c r="L1901" s="32">
        <f>IFERROR(__xludf.DUMMYFUNCTION("""COMPUTED_VALUE"""),5.0)</f>
        <v>5</v>
      </c>
      <c r="M1901" s="4" t="str">
        <f>IFERROR(__xludf.DUMMYFUNCTION("""COMPUTED_VALUE"""),"Swfast Sistemas")</f>
        <v>Swfast Sistemas</v>
      </c>
      <c r="N1901" s="33">
        <f>IFERROR(__xludf.DUMMYFUNCTION("""COMPUTED_VALUE"""),0.8)</f>
        <v>0.8</v>
      </c>
      <c r="O1901" s="4" t="str">
        <f>IFERROR(__xludf.DUMMYFUNCTION("""COMPUTED_VALUE"""),"Swfast Sistemas")</f>
        <v>Swfast Sistemas</v>
      </c>
      <c r="P1901" s="33">
        <f>IFERROR(__xludf.DUMMYFUNCTION("""COMPUTED_VALUE"""),0.8)</f>
        <v>0.8</v>
      </c>
      <c r="Q1901" s="4" t="str">
        <f>IFERROR(__xludf.DUMMYFUNCTION("""COMPUTED_VALUE"""),"Swfast Sistemas")</f>
        <v>Swfast Sistemas</v>
      </c>
      <c r="R1901" s="33">
        <f>IFERROR(__xludf.DUMMYFUNCTION("""COMPUTED_VALUE"""),0.8)</f>
        <v>0.8</v>
      </c>
      <c r="S1901" s="4" t="str">
        <f>IFERROR(__xludf.DUMMYFUNCTION("""COMPUTED_VALUE"""),"Swfast Sistemas")</f>
        <v>Swfast Sistemas</v>
      </c>
      <c r="T1901" s="33">
        <f>IFERROR(__xludf.DUMMYFUNCTION("""COMPUTED_VALUE"""),0.8)</f>
        <v>0.8</v>
      </c>
      <c r="U1901" s="4" t="str">
        <f>IFERROR(__xludf.DUMMYFUNCTION("""COMPUTED_VALUE"""),"Swfast Sistemas")</f>
        <v>Swfast Sistemas</v>
      </c>
      <c r="V1901" s="33">
        <f>IFERROR(__xludf.DUMMYFUNCTION("""COMPUTED_VALUE"""),0.8)</f>
        <v>0.8</v>
      </c>
      <c r="W1901" s="4" t="str">
        <f>IFERROR(__xludf.DUMMYFUNCTION("""COMPUTED_VALUE"""),"Swfast Sistemas")</f>
        <v>Swfast Sistemas</v>
      </c>
      <c r="X1901" s="33">
        <f>IFERROR(__xludf.DUMMYFUNCTION("""COMPUTED_VALUE"""),0.6)</f>
        <v>0.6</v>
      </c>
    </row>
    <row r="1902">
      <c r="K1902" s="4" t="str">
        <f>IFERROR(__xludf.DUMMYFUNCTION("""COMPUTED_VALUE"""),"TITAN RESTAURANTE - MARCA")</f>
        <v>TITAN RESTAURANTE - MARCA</v>
      </c>
      <c r="L1902" s="32">
        <f>IFERROR(__xludf.DUMMYFUNCTION("""COMPUTED_VALUE"""),5.0)</f>
        <v>5</v>
      </c>
      <c r="M1902" s="4" t="str">
        <f>IFERROR(__xludf.DUMMYFUNCTION("""COMPUTED_VALUE"""),"Eclética Tecnologia")</f>
        <v>Eclética Tecnologia</v>
      </c>
      <c r="N1902" s="33">
        <f>IFERROR(__xludf.DUMMYFUNCTION("""COMPUTED_VALUE"""),0.6)</f>
        <v>0.6</v>
      </c>
      <c r="O1902" s="4" t="str">
        <f>IFERROR(__xludf.DUMMYFUNCTION("""COMPUTED_VALUE"""),"Eclética Tecnologia")</f>
        <v>Eclética Tecnologia</v>
      </c>
      <c r="P1902" s="33">
        <f>IFERROR(__xludf.DUMMYFUNCTION("""COMPUTED_VALUE"""),0.6)</f>
        <v>0.6</v>
      </c>
      <c r="Q1902" s="4" t="str">
        <f>IFERROR(__xludf.DUMMYFUNCTION("""COMPUTED_VALUE"""),"Eclética Tecnologia")</f>
        <v>Eclética Tecnologia</v>
      </c>
      <c r="R1902" s="33">
        <f>IFERROR(__xludf.DUMMYFUNCTION("""COMPUTED_VALUE"""),0.8)</f>
        <v>0.8</v>
      </c>
      <c r="S1902" s="4" t="str">
        <f>IFERROR(__xludf.DUMMYFUNCTION("""COMPUTED_VALUE"""),"Eclética Tecnologia")</f>
        <v>Eclética Tecnologia</v>
      </c>
      <c r="T1902" s="33">
        <f>IFERROR(__xludf.DUMMYFUNCTION("""COMPUTED_VALUE"""),0.8)</f>
        <v>0.8</v>
      </c>
      <c r="U1902" s="4" t="str">
        <f>IFERROR(__xludf.DUMMYFUNCTION("""COMPUTED_VALUE"""),"Eclética Tecnologia")</f>
        <v>Eclética Tecnologia</v>
      </c>
      <c r="V1902" s="33">
        <f>IFERROR(__xludf.DUMMYFUNCTION("""COMPUTED_VALUE"""),1.0)</f>
        <v>1</v>
      </c>
      <c r="W1902" s="4" t="str">
        <f>IFERROR(__xludf.DUMMYFUNCTION("""COMPUTED_VALUE"""),"Eclética Tecnologia")</f>
        <v>Eclética Tecnologia</v>
      </c>
      <c r="X1902" s="33">
        <f>IFERROR(__xludf.DUMMYFUNCTION("""COMPUTED_VALUE"""),0.8)</f>
        <v>0.8</v>
      </c>
    </row>
    <row r="1903">
      <c r="K1903" s="4" t="str">
        <f>IFERROR(__xludf.DUMMYFUNCTION("""COMPUTED_VALUE"""),"GRUPO TREMA")</f>
        <v>GRUPO TREMA</v>
      </c>
      <c r="L1903" s="32">
        <f>IFERROR(__xludf.DUMMYFUNCTION("""COMPUTED_VALUE"""),5.0)</f>
        <v>5</v>
      </c>
      <c r="M1903" s="4" t="str">
        <f>IFERROR(__xludf.DUMMYFUNCTION("""COMPUTED_VALUE"""),"Stone Co.")</f>
        <v>Stone Co.</v>
      </c>
      <c r="N1903" s="33">
        <f>IFERROR(__xludf.DUMMYFUNCTION("""COMPUTED_VALUE"""),1.0)</f>
        <v>1</v>
      </c>
      <c r="O1903" s="4" t="str">
        <f>IFERROR(__xludf.DUMMYFUNCTION("""COMPUTED_VALUE"""),"Stone Co.")</f>
        <v>Stone Co.</v>
      </c>
      <c r="P1903" s="33">
        <f>IFERROR(__xludf.DUMMYFUNCTION("""COMPUTED_VALUE"""),1.0)</f>
        <v>1</v>
      </c>
      <c r="Q1903" s="4" t="str">
        <f>IFERROR(__xludf.DUMMYFUNCTION("""COMPUTED_VALUE"""),"Stone Co.")</f>
        <v>Stone Co.</v>
      </c>
      <c r="R1903" s="33">
        <f>IFERROR(__xludf.DUMMYFUNCTION("""COMPUTED_VALUE"""),1.0)</f>
        <v>1</v>
      </c>
      <c r="S1903" s="4" t="str">
        <f>IFERROR(__xludf.DUMMYFUNCTION("""COMPUTED_VALUE"""),"Stone Co.")</f>
        <v>Stone Co.</v>
      </c>
      <c r="T1903" s="33">
        <f>IFERROR(__xludf.DUMMYFUNCTION("""COMPUTED_VALUE"""),1.0)</f>
        <v>1</v>
      </c>
      <c r="U1903" s="4" t="str">
        <f>IFERROR(__xludf.DUMMYFUNCTION("""COMPUTED_VALUE"""),"Stone Co.")</f>
        <v>Stone Co.</v>
      </c>
      <c r="V1903" s="33">
        <f>IFERROR(__xludf.DUMMYFUNCTION("""COMPUTED_VALUE"""),1.0)</f>
        <v>1</v>
      </c>
      <c r="W1903" s="4" t="str">
        <f>IFERROR(__xludf.DUMMYFUNCTION("""COMPUTED_VALUE"""),"Stone Co.")</f>
        <v>Stone Co.</v>
      </c>
      <c r="X1903" s="33">
        <f>IFERROR(__xludf.DUMMYFUNCTION("""COMPUTED_VALUE"""),1.0)</f>
        <v>1</v>
      </c>
    </row>
    <row r="1904">
      <c r="K1904" s="4" t="str">
        <f>IFERROR(__xludf.DUMMYFUNCTION("""COMPUTED_VALUE"""),"TREMA")</f>
        <v>TREMA</v>
      </c>
      <c r="L1904" s="32">
        <f>IFERROR(__xludf.DUMMYFUNCTION("""COMPUTED_VALUE"""),5.0)</f>
        <v>5</v>
      </c>
      <c r="M1904" s="4" t="str">
        <f>IFERROR(__xludf.DUMMYFUNCTION("""COMPUTED_VALUE"""),"Stone Co.")</f>
        <v>Stone Co.</v>
      </c>
      <c r="N1904" s="33">
        <f>IFERROR(__xludf.DUMMYFUNCTION("""COMPUTED_VALUE"""),1.0)</f>
        <v>1</v>
      </c>
      <c r="O1904" s="4" t="str">
        <f>IFERROR(__xludf.DUMMYFUNCTION("""COMPUTED_VALUE"""),"Stone Co.")</f>
        <v>Stone Co.</v>
      </c>
      <c r="P1904" s="33">
        <f>IFERROR(__xludf.DUMMYFUNCTION("""COMPUTED_VALUE"""),1.0)</f>
        <v>1</v>
      </c>
      <c r="Q1904" s="4" t="str">
        <f>IFERROR(__xludf.DUMMYFUNCTION("""COMPUTED_VALUE"""),"Stone Co.")</f>
        <v>Stone Co.</v>
      </c>
      <c r="R1904" s="33">
        <f>IFERROR(__xludf.DUMMYFUNCTION("""COMPUTED_VALUE"""),1.0)</f>
        <v>1</v>
      </c>
      <c r="S1904" s="4" t="str">
        <f>IFERROR(__xludf.DUMMYFUNCTION("""COMPUTED_VALUE"""),"Stone Co.")</f>
        <v>Stone Co.</v>
      </c>
      <c r="T1904" s="33">
        <f>IFERROR(__xludf.DUMMYFUNCTION("""COMPUTED_VALUE"""),1.0)</f>
        <v>1</v>
      </c>
      <c r="U1904" s="4" t="str">
        <f>IFERROR(__xludf.DUMMYFUNCTION("""COMPUTED_VALUE"""),"Stone Co.")</f>
        <v>Stone Co.</v>
      </c>
      <c r="V1904" s="33">
        <f>IFERROR(__xludf.DUMMYFUNCTION("""COMPUTED_VALUE"""),1.0)</f>
        <v>1</v>
      </c>
      <c r="W1904" s="4" t="str">
        <f>IFERROR(__xludf.DUMMYFUNCTION("""COMPUTED_VALUE"""),"Stone Co.")</f>
        <v>Stone Co.</v>
      </c>
      <c r="X1904" s="33">
        <f>IFERROR(__xludf.DUMMYFUNCTION("""COMPUTED_VALUE"""),1.0)</f>
        <v>1</v>
      </c>
    </row>
    <row r="1905">
      <c r="K1905" s="4" t="str">
        <f>IFERROR(__xludf.DUMMYFUNCTION("""COMPUTED_VALUE"""),"TROPICAL LEVE")</f>
        <v>TROPICAL LEVE</v>
      </c>
      <c r="L1905" s="32">
        <f>IFERROR(__xludf.DUMMYFUNCTION("""COMPUTED_VALUE"""),5.0)</f>
        <v>5</v>
      </c>
      <c r="M1905" s="4" t="str">
        <f>IFERROR(__xludf.DUMMYFUNCTION("""COMPUTED_VALUE"""),"Saipos Serviços De Software")</f>
        <v>Saipos Serviços De Software</v>
      </c>
      <c r="N1905" s="33">
        <f>IFERROR(__xludf.DUMMYFUNCTION("""COMPUTED_VALUE"""),0.6)</f>
        <v>0.6</v>
      </c>
      <c r="O1905" s="4" t="str">
        <f>IFERROR(__xludf.DUMMYFUNCTION("""COMPUTED_VALUE"""),"Saipos Serviços De Software")</f>
        <v>Saipos Serviços De Software</v>
      </c>
      <c r="P1905" s="33">
        <f>IFERROR(__xludf.DUMMYFUNCTION("""COMPUTED_VALUE"""),0.6)</f>
        <v>0.6</v>
      </c>
      <c r="Q1905" s="4" t="str">
        <f>IFERROR(__xludf.DUMMYFUNCTION("""COMPUTED_VALUE"""),"Saipos Serviços De Software")</f>
        <v>Saipos Serviços De Software</v>
      </c>
      <c r="R1905" s="33">
        <f>IFERROR(__xludf.DUMMYFUNCTION("""COMPUTED_VALUE"""),0.6)</f>
        <v>0.6</v>
      </c>
      <c r="S1905" s="4" t="str">
        <f>IFERROR(__xludf.DUMMYFUNCTION("""COMPUTED_VALUE"""),"Saipos Serviços De Software")</f>
        <v>Saipos Serviços De Software</v>
      </c>
      <c r="T1905" s="33">
        <f>IFERROR(__xludf.DUMMYFUNCTION("""COMPUTED_VALUE"""),0.6)</f>
        <v>0.6</v>
      </c>
      <c r="U1905" s="4" t="str">
        <f>IFERROR(__xludf.DUMMYFUNCTION("""COMPUTED_VALUE"""),"Saipos Serviços De Software")</f>
        <v>Saipos Serviços De Software</v>
      </c>
      <c r="V1905" s="33">
        <f>IFERROR(__xludf.DUMMYFUNCTION("""COMPUTED_VALUE"""),0.8)</f>
        <v>0.8</v>
      </c>
      <c r="W1905" s="4" t="str">
        <f>IFERROR(__xludf.DUMMYFUNCTION("""COMPUTED_VALUE"""),"Saipos Serviços De Software")</f>
        <v>Saipos Serviços De Software</v>
      </c>
      <c r="X1905" s="33">
        <f>IFERROR(__xludf.DUMMYFUNCTION("""COMPUTED_VALUE"""),1.0)</f>
        <v>1</v>
      </c>
    </row>
    <row r="1906">
      <c r="K1906" s="4" t="str">
        <f>IFERROR(__xludf.DUMMYFUNCTION("""COMPUTED_VALUE"""),"ULTRAFARMA OCEAN FARMA REDE POPULAR - CONTA PAI")</f>
        <v>ULTRAFARMA OCEAN FARMA REDE POPULAR - CONTA PAI</v>
      </c>
      <c r="L1906" s="32">
        <f>IFERROR(__xludf.DUMMYFUNCTION("""COMPUTED_VALUE"""),5.0)</f>
        <v>5</v>
      </c>
      <c r="M1906" s="4" t="str">
        <f>IFERROR(__xludf.DUMMYFUNCTION("""COMPUTED_VALUE"""),"N/A (Not found)")</f>
        <v>N/A (Not found)</v>
      </c>
      <c r="N1906" s="33">
        <f>IFERROR(__xludf.DUMMYFUNCTION("""COMPUTED_VALUE"""),1.0)</f>
        <v>1</v>
      </c>
      <c r="O1906" s="4" t="str">
        <f>IFERROR(__xludf.DUMMYFUNCTION("""COMPUTED_VALUE"""),"N/A (Not found)")</f>
        <v>N/A (Not found)</v>
      </c>
      <c r="P1906" s="33">
        <f>IFERROR(__xludf.DUMMYFUNCTION("""COMPUTED_VALUE"""),1.0)</f>
        <v>1</v>
      </c>
      <c r="Q1906" s="4" t="str">
        <f>IFERROR(__xludf.DUMMYFUNCTION("""COMPUTED_VALUE"""),"N/A (Not found)")</f>
        <v>N/A (Not found)</v>
      </c>
      <c r="R1906" s="33">
        <f>IFERROR(__xludf.DUMMYFUNCTION("""COMPUTED_VALUE"""),1.0)</f>
        <v>1</v>
      </c>
      <c r="S1906" s="4" t="str">
        <f>IFERROR(__xludf.DUMMYFUNCTION("""COMPUTED_VALUE"""),"N/A (Not found)")</f>
        <v>N/A (Not found)</v>
      </c>
      <c r="T1906" s="33">
        <f>IFERROR(__xludf.DUMMYFUNCTION("""COMPUTED_VALUE"""),1.0)</f>
        <v>1</v>
      </c>
      <c r="U1906" s="4" t="str">
        <f>IFERROR(__xludf.DUMMYFUNCTION("""COMPUTED_VALUE"""),"N/A (Not found)")</f>
        <v>N/A (Not found)</v>
      </c>
      <c r="V1906" s="33">
        <f>IFERROR(__xludf.DUMMYFUNCTION("""COMPUTED_VALUE"""),1.0)</f>
        <v>1</v>
      </c>
      <c r="W1906" s="4" t="str">
        <f>IFERROR(__xludf.DUMMYFUNCTION("""COMPUTED_VALUE"""),"N/A (Not found)")</f>
        <v>N/A (Not found)</v>
      </c>
      <c r="X1906" s="33">
        <f>IFERROR(__xludf.DUMMYFUNCTION("""COMPUTED_VALUE"""),1.0)</f>
        <v>1</v>
      </c>
    </row>
    <row r="1907">
      <c r="K1907" s="4" t="str">
        <f>IFERROR(__xludf.DUMMYFUNCTION("""COMPUTED_VALUE"""),"UNIVERSIDADE DA PIZZA")</f>
        <v>UNIVERSIDADE DA PIZZA</v>
      </c>
      <c r="L1907" s="32">
        <f>IFERROR(__xludf.DUMMYFUNCTION("""COMPUTED_VALUE"""),5.0)</f>
        <v>5</v>
      </c>
      <c r="M1907" s="4" t="str">
        <f>IFERROR(__xludf.DUMMYFUNCTION("""COMPUTED_VALUE"""),"Softsa Sistemas De Informação Ltda")</f>
        <v>Softsa Sistemas De Informação Ltda</v>
      </c>
      <c r="N1907" s="33">
        <f>IFERROR(__xludf.DUMMYFUNCTION("""COMPUTED_VALUE"""),1.0)</f>
        <v>1</v>
      </c>
      <c r="O1907" s="4" t="str">
        <f>IFERROR(__xludf.DUMMYFUNCTION("""COMPUTED_VALUE"""),"Softsa Sistemas De Informação Ltda")</f>
        <v>Softsa Sistemas De Informação Ltda</v>
      </c>
      <c r="P1907" s="33">
        <f>IFERROR(__xludf.DUMMYFUNCTION("""COMPUTED_VALUE"""),1.0)</f>
        <v>1</v>
      </c>
      <c r="Q1907" s="4" t="str">
        <f>IFERROR(__xludf.DUMMYFUNCTION("""COMPUTED_VALUE"""),"Softsa Sistemas De Informação Ltda")</f>
        <v>Softsa Sistemas De Informação Ltda</v>
      </c>
      <c r="R1907" s="33">
        <f>IFERROR(__xludf.DUMMYFUNCTION("""COMPUTED_VALUE"""),0.8)</f>
        <v>0.8</v>
      </c>
      <c r="S1907" s="4" t="str">
        <f>IFERROR(__xludf.DUMMYFUNCTION("""COMPUTED_VALUE"""),"Softsa Sistemas De Informação Ltda")</f>
        <v>Softsa Sistemas De Informação Ltda</v>
      </c>
      <c r="T1907" s="33">
        <f>IFERROR(__xludf.DUMMYFUNCTION("""COMPUTED_VALUE"""),0.6)</f>
        <v>0.6</v>
      </c>
      <c r="U1907" s="4" t="str">
        <f>IFERROR(__xludf.DUMMYFUNCTION("""COMPUTED_VALUE"""),"Softsa Sistemas De Informação Ltda")</f>
        <v>Softsa Sistemas De Informação Ltda</v>
      </c>
      <c r="V1907" s="33">
        <f>IFERROR(__xludf.DUMMYFUNCTION("""COMPUTED_VALUE"""),0.8)</f>
        <v>0.8</v>
      </c>
      <c r="W1907" s="4" t="str">
        <f>IFERROR(__xludf.DUMMYFUNCTION("""COMPUTED_VALUE"""),"Softsa Sistemas De Informação Ltda")</f>
        <v>Softsa Sistemas De Informação Ltda</v>
      </c>
      <c r="X1907" s="33">
        <f>IFERROR(__xludf.DUMMYFUNCTION("""COMPUTED_VALUE"""),0.8)</f>
        <v>0.8</v>
      </c>
    </row>
    <row r="1908">
      <c r="K1908" s="4" t="str">
        <f>IFERROR(__xludf.DUMMYFUNCTION("""COMPUTED_VALUE"""),"VAMO RESTAURANTE")</f>
        <v>VAMO RESTAURANTE</v>
      </c>
      <c r="L1908" s="32">
        <f>IFERROR(__xludf.DUMMYFUNCTION("""COMPUTED_VALUE"""),5.0)</f>
        <v>5</v>
      </c>
      <c r="M1908" s="4" t="str">
        <f>IFERROR(__xludf.DUMMYFUNCTION("""COMPUTED_VALUE"""),"F-rest Sistema Para Food Service Ltda")</f>
        <v>F-rest Sistema Para Food Service Ltda</v>
      </c>
      <c r="N1908" s="33">
        <f>IFERROR(__xludf.DUMMYFUNCTION("""COMPUTED_VALUE"""),1.0)</f>
        <v>1</v>
      </c>
      <c r="O1908" s="4" t="str">
        <f>IFERROR(__xludf.DUMMYFUNCTION("""COMPUTED_VALUE"""),"F-rest Sistema Para Food Service Ltda")</f>
        <v>F-rest Sistema Para Food Service Ltda</v>
      </c>
      <c r="P1908" s="33">
        <f>IFERROR(__xludf.DUMMYFUNCTION("""COMPUTED_VALUE"""),0.8)</f>
        <v>0.8</v>
      </c>
      <c r="Q1908" s="4" t="str">
        <f>IFERROR(__xludf.DUMMYFUNCTION("""COMPUTED_VALUE"""),"F-rest Sistema Para Food Service Ltda")</f>
        <v>F-rest Sistema Para Food Service Ltda</v>
      </c>
      <c r="R1908" s="33">
        <f>IFERROR(__xludf.DUMMYFUNCTION("""COMPUTED_VALUE"""),0.8)</f>
        <v>0.8</v>
      </c>
      <c r="S1908" s="4" t="str">
        <f>IFERROR(__xludf.DUMMYFUNCTION("""COMPUTED_VALUE"""),"F-rest Sistema Para Food Service Ltda")</f>
        <v>F-rest Sistema Para Food Service Ltda</v>
      </c>
      <c r="T1908" s="33">
        <f>IFERROR(__xludf.DUMMYFUNCTION("""COMPUTED_VALUE"""),0.6)</f>
        <v>0.6</v>
      </c>
      <c r="U1908" s="4" t="str">
        <f>IFERROR(__xludf.DUMMYFUNCTION("""COMPUTED_VALUE"""),"null")</f>
        <v>null</v>
      </c>
      <c r="V1908" s="33">
        <f>IFERROR(__xludf.DUMMYFUNCTION("""COMPUTED_VALUE"""),0.6)</f>
        <v>0.6</v>
      </c>
      <c r="W1908" s="4" t="str">
        <f>IFERROR(__xludf.DUMMYFUNCTION("""COMPUTED_VALUE"""),"null")</f>
        <v>null</v>
      </c>
      <c r="X1908" s="33">
        <f>IFERROR(__xludf.DUMMYFUNCTION("""COMPUTED_VALUE"""),0.6)</f>
        <v>0.6</v>
      </c>
    </row>
    <row r="1909">
      <c r="K1909" s="4" t="str">
        <f>IFERROR(__xludf.DUMMYFUNCTION("""COMPUTED_VALUE"""),"VENGA")</f>
        <v>VENGA</v>
      </c>
      <c r="L1909" s="32">
        <f>IFERROR(__xludf.DUMMYFUNCTION("""COMPUTED_VALUE"""),5.0)</f>
        <v>5</v>
      </c>
      <c r="M1909" s="4" t="str">
        <f>IFERROR(__xludf.DUMMYFUNCTION("""COMPUTED_VALUE"""),"Ncr")</f>
        <v>Ncr</v>
      </c>
      <c r="N1909" s="33">
        <f>IFERROR(__xludf.DUMMYFUNCTION("""COMPUTED_VALUE"""),0.8)</f>
        <v>0.8</v>
      </c>
      <c r="O1909" s="4" t="str">
        <f>IFERROR(__xludf.DUMMYFUNCTION("""COMPUTED_VALUE"""),"Ncr")</f>
        <v>Ncr</v>
      </c>
      <c r="P1909" s="33">
        <f>IFERROR(__xludf.DUMMYFUNCTION("""COMPUTED_VALUE"""),0.6)</f>
        <v>0.6</v>
      </c>
      <c r="Q1909" s="4" t="str">
        <f>IFERROR(__xludf.DUMMYFUNCTION("""COMPUTED_VALUE"""),"Ncr")</f>
        <v>Ncr</v>
      </c>
      <c r="R1909" s="33">
        <f>IFERROR(__xludf.DUMMYFUNCTION("""COMPUTED_VALUE"""),0.8)</f>
        <v>0.8</v>
      </c>
      <c r="S1909" s="4" t="str">
        <f>IFERROR(__xludf.DUMMYFUNCTION("""COMPUTED_VALUE"""),"Ncr")</f>
        <v>Ncr</v>
      </c>
      <c r="T1909" s="33">
        <f>IFERROR(__xludf.DUMMYFUNCTION("""COMPUTED_VALUE"""),0.6)</f>
        <v>0.6</v>
      </c>
      <c r="U1909" s="4" t="str">
        <f>IFERROR(__xludf.DUMMYFUNCTION("""COMPUTED_VALUE"""),"Ncr")</f>
        <v>Ncr</v>
      </c>
      <c r="V1909" s="33">
        <f>IFERROR(__xludf.DUMMYFUNCTION("""COMPUTED_VALUE"""),0.6)</f>
        <v>0.6</v>
      </c>
      <c r="W1909" s="4" t="str">
        <f>IFERROR(__xludf.DUMMYFUNCTION("""COMPUTED_VALUE"""),"Ncr")</f>
        <v>Ncr</v>
      </c>
      <c r="X1909" s="33">
        <f>IFERROR(__xludf.DUMMYFUNCTION("""COMPUTED_VALUE"""),0.8)</f>
        <v>0.8</v>
      </c>
    </row>
    <row r="1910">
      <c r="K1910" s="4" t="str">
        <f>IFERROR(__xludf.DUMMYFUNCTION("""COMPUTED_VALUE"""),"VERACE PIZZA")</f>
        <v>VERACE PIZZA</v>
      </c>
      <c r="L1910" s="32">
        <f>IFERROR(__xludf.DUMMYFUNCTION("""COMPUTED_VALUE"""),5.0)</f>
        <v>5</v>
      </c>
      <c r="M1910" s="4" t="str">
        <f>IFERROR(__xludf.DUMMYFUNCTION("""COMPUTED_VALUE"""),"Netcontroll Xmenu")</f>
        <v>Netcontroll Xmenu</v>
      </c>
      <c r="N1910" s="33">
        <f>IFERROR(__xludf.DUMMYFUNCTION("""COMPUTED_VALUE"""),0.8)</f>
        <v>0.8</v>
      </c>
      <c r="O1910" s="4" t="str">
        <f>IFERROR(__xludf.DUMMYFUNCTION("""COMPUTED_VALUE"""),"Netcontroll Xmenu")</f>
        <v>Netcontroll Xmenu</v>
      </c>
      <c r="P1910" s="33">
        <f>IFERROR(__xludf.DUMMYFUNCTION("""COMPUTED_VALUE"""),1.0)</f>
        <v>1</v>
      </c>
      <c r="Q1910" s="4" t="str">
        <f>IFERROR(__xludf.DUMMYFUNCTION("""COMPUTED_VALUE"""),"Netcontroll Xmenu")</f>
        <v>Netcontroll Xmenu</v>
      </c>
      <c r="R1910" s="33">
        <f>IFERROR(__xludf.DUMMYFUNCTION("""COMPUTED_VALUE"""),1.0)</f>
        <v>1</v>
      </c>
      <c r="S1910" s="4" t="str">
        <f>IFERROR(__xludf.DUMMYFUNCTION("""COMPUTED_VALUE"""),"Netcontroll Xmenu")</f>
        <v>Netcontroll Xmenu</v>
      </c>
      <c r="T1910" s="33">
        <f>IFERROR(__xludf.DUMMYFUNCTION("""COMPUTED_VALUE"""),1.0)</f>
        <v>1</v>
      </c>
      <c r="U1910" s="4" t="str">
        <f>IFERROR(__xludf.DUMMYFUNCTION("""COMPUTED_VALUE"""),"Netcontroll Xmenu")</f>
        <v>Netcontroll Xmenu</v>
      </c>
      <c r="V1910" s="33">
        <f>IFERROR(__xludf.DUMMYFUNCTION("""COMPUTED_VALUE"""),1.0)</f>
        <v>1</v>
      </c>
      <c r="W1910" s="4" t="str">
        <f>IFERROR(__xludf.DUMMYFUNCTION("""COMPUTED_VALUE"""),"Netcontroll Xmenu")</f>
        <v>Netcontroll Xmenu</v>
      </c>
      <c r="X1910" s="33">
        <f>IFERROR(__xludf.DUMMYFUNCTION("""COMPUTED_VALUE"""),1.0)</f>
        <v>1</v>
      </c>
    </row>
    <row r="1911">
      <c r="K1911" s="4" t="str">
        <f>IFERROR(__xludf.DUMMYFUNCTION("""COMPUTED_VALUE"""),"VERMELHO GRILL MATO GROSSO DO SUL")</f>
        <v>VERMELHO GRILL MATO GROSSO DO SUL</v>
      </c>
      <c r="L1911" s="32">
        <f>IFERROR(__xludf.DUMMYFUNCTION("""COMPUTED_VALUE"""),5.0)</f>
        <v>5</v>
      </c>
      <c r="M1911" s="4" t="str">
        <f>IFERROR(__xludf.DUMMYFUNCTION("""COMPUTED_VALUE"""),"Teknisa Service Ltda")</f>
        <v>Teknisa Service Ltda</v>
      </c>
      <c r="N1911" s="33">
        <f>IFERROR(__xludf.DUMMYFUNCTION("""COMPUTED_VALUE"""),0.8)</f>
        <v>0.8</v>
      </c>
      <c r="O1911" s="4" t="str">
        <f>IFERROR(__xludf.DUMMYFUNCTION("""COMPUTED_VALUE"""),"Teknisa Service Ltda")</f>
        <v>Teknisa Service Ltda</v>
      </c>
      <c r="P1911" s="33">
        <f>IFERROR(__xludf.DUMMYFUNCTION("""COMPUTED_VALUE"""),0.8)</f>
        <v>0.8</v>
      </c>
      <c r="Q1911" s="4" t="str">
        <f>IFERROR(__xludf.DUMMYFUNCTION("""COMPUTED_VALUE"""),"Teknisa Service Ltda")</f>
        <v>Teknisa Service Ltda</v>
      </c>
      <c r="R1911" s="33">
        <f>IFERROR(__xludf.DUMMYFUNCTION("""COMPUTED_VALUE"""),0.6)</f>
        <v>0.6</v>
      </c>
      <c r="S1911" s="4" t="str">
        <f>IFERROR(__xludf.DUMMYFUNCTION("""COMPUTED_VALUE"""),"Teknisa Service Ltda")</f>
        <v>Teknisa Service Ltda</v>
      </c>
      <c r="T1911" s="33">
        <f>IFERROR(__xludf.DUMMYFUNCTION("""COMPUTED_VALUE"""),0.8)</f>
        <v>0.8</v>
      </c>
      <c r="U1911" s="4" t="str">
        <f>IFERROR(__xludf.DUMMYFUNCTION("""COMPUTED_VALUE"""),"Teknisa Service Ltda")</f>
        <v>Teknisa Service Ltda</v>
      </c>
      <c r="V1911" s="33">
        <f>IFERROR(__xludf.DUMMYFUNCTION("""COMPUTED_VALUE"""),0.8)</f>
        <v>0.8</v>
      </c>
      <c r="W1911" s="4" t="str">
        <f>IFERROR(__xludf.DUMMYFUNCTION("""COMPUTED_VALUE"""),"Teknisa Service Ltda")</f>
        <v>Teknisa Service Ltda</v>
      </c>
      <c r="X1911" s="33">
        <f>IFERROR(__xludf.DUMMYFUNCTION("""COMPUTED_VALUE"""),1.0)</f>
        <v>1</v>
      </c>
    </row>
    <row r="1912">
      <c r="K1912" s="4" t="str">
        <f>IFERROR(__xludf.DUMMYFUNCTION("""COMPUTED_VALUE"""),"VICTORIA GRILL")</f>
        <v>VICTORIA GRILL</v>
      </c>
      <c r="L1912" s="32">
        <f>IFERROR(__xludf.DUMMYFUNCTION("""COMPUTED_VALUE"""),5.0)</f>
        <v>5</v>
      </c>
      <c r="M1912" s="4" t="str">
        <f>IFERROR(__xludf.DUMMYFUNCTION("""COMPUTED_VALUE"""),"Instadelivery")</f>
        <v>Instadelivery</v>
      </c>
      <c r="N1912" s="33">
        <f>IFERROR(__xludf.DUMMYFUNCTION("""COMPUTED_VALUE"""),1.0)</f>
        <v>1</v>
      </c>
      <c r="O1912" s="4" t="str">
        <f>IFERROR(__xludf.DUMMYFUNCTION("""COMPUTED_VALUE"""),"Instadelivery")</f>
        <v>Instadelivery</v>
      </c>
      <c r="P1912" s="33">
        <f>IFERROR(__xludf.DUMMYFUNCTION("""COMPUTED_VALUE"""),1.0)</f>
        <v>1</v>
      </c>
      <c r="Q1912" s="4" t="str">
        <f>IFERROR(__xludf.DUMMYFUNCTION("""COMPUTED_VALUE"""),"Instadelivery")</f>
        <v>Instadelivery</v>
      </c>
      <c r="R1912" s="33">
        <f>IFERROR(__xludf.DUMMYFUNCTION("""COMPUTED_VALUE"""),1.0)</f>
        <v>1</v>
      </c>
      <c r="S1912" s="4" t="str">
        <f>IFERROR(__xludf.DUMMYFUNCTION("""COMPUTED_VALUE"""),"Instadelivery")</f>
        <v>Instadelivery</v>
      </c>
      <c r="T1912" s="33">
        <f>IFERROR(__xludf.DUMMYFUNCTION("""COMPUTED_VALUE"""),1.0)</f>
        <v>1</v>
      </c>
      <c r="U1912" s="4" t="str">
        <f>IFERROR(__xludf.DUMMYFUNCTION("""COMPUTED_VALUE"""),"Instadelivery")</f>
        <v>Instadelivery</v>
      </c>
      <c r="V1912" s="33">
        <f>IFERROR(__xludf.DUMMYFUNCTION("""COMPUTED_VALUE"""),1.0)</f>
        <v>1</v>
      </c>
      <c r="W1912" s="4" t="str">
        <f>IFERROR(__xludf.DUMMYFUNCTION("""COMPUTED_VALUE"""),"Instadelivery")</f>
        <v>Instadelivery</v>
      </c>
      <c r="X1912" s="33">
        <f>IFERROR(__xludf.DUMMYFUNCTION("""COMPUTED_VALUE"""),1.0)</f>
        <v>1</v>
      </c>
    </row>
    <row r="1913">
      <c r="K1913" s="4" t="str">
        <f>IFERROR(__xludf.DUMMYFUNCTION("""COMPUTED_VALUE"""),"VIKINGS BURGER")</f>
        <v>VIKINGS BURGER</v>
      </c>
      <c r="L1913" s="32">
        <f>IFERROR(__xludf.DUMMYFUNCTION("""COMPUTED_VALUE"""),5.0)</f>
        <v>5</v>
      </c>
      <c r="M1913" s="4" t="str">
        <f>IFERROR(__xludf.DUMMYFUNCTION("""COMPUTED_VALUE"""),"Saipos Serviços De Software")</f>
        <v>Saipos Serviços De Software</v>
      </c>
      <c r="N1913" s="33">
        <f>IFERROR(__xludf.DUMMYFUNCTION("""COMPUTED_VALUE"""),0.8)</f>
        <v>0.8</v>
      </c>
      <c r="O1913" s="4" t="str">
        <f>IFERROR(__xludf.DUMMYFUNCTION("""COMPUTED_VALUE"""),"Saipos Serviços De Software")</f>
        <v>Saipos Serviços De Software</v>
      </c>
      <c r="P1913" s="33">
        <f>IFERROR(__xludf.DUMMYFUNCTION("""COMPUTED_VALUE"""),0.8)</f>
        <v>0.8</v>
      </c>
      <c r="Q1913" s="4" t="str">
        <f>IFERROR(__xludf.DUMMYFUNCTION("""COMPUTED_VALUE"""),"Saipos Serviços De Software")</f>
        <v>Saipos Serviços De Software</v>
      </c>
      <c r="R1913" s="33">
        <f>IFERROR(__xludf.DUMMYFUNCTION("""COMPUTED_VALUE"""),0.8)</f>
        <v>0.8</v>
      </c>
      <c r="S1913" s="4" t="str">
        <f>IFERROR(__xludf.DUMMYFUNCTION("""COMPUTED_VALUE"""),"Saipos Serviços De Software")</f>
        <v>Saipos Serviços De Software</v>
      </c>
      <c r="T1913" s="33">
        <f>IFERROR(__xludf.DUMMYFUNCTION("""COMPUTED_VALUE"""),0.8)</f>
        <v>0.8</v>
      </c>
      <c r="U1913" s="4" t="str">
        <f>IFERROR(__xludf.DUMMYFUNCTION("""COMPUTED_VALUE"""),"Saipos Serviços De Software")</f>
        <v>Saipos Serviços De Software</v>
      </c>
      <c r="V1913" s="33">
        <f>IFERROR(__xludf.DUMMYFUNCTION("""COMPUTED_VALUE"""),0.8)</f>
        <v>0.8</v>
      </c>
      <c r="W1913" s="4" t="str">
        <f>IFERROR(__xludf.DUMMYFUNCTION("""COMPUTED_VALUE"""),"Saipos Serviços De Software")</f>
        <v>Saipos Serviços De Software</v>
      </c>
      <c r="X1913" s="33">
        <f>IFERROR(__xludf.DUMMYFUNCTION("""COMPUTED_VALUE"""),1.0)</f>
        <v>1</v>
      </c>
    </row>
    <row r="1914">
      <c r="K1914" s="4" t="str">
        <f>IFERROR(__xludf.DUMMYFUNCTION("""COMPUTED_VALUE"""),"VILA GONZAGA - A CASA DO BAIAO DE DOIS")</f>
        <v>VILA GONZAGA - A CASA DO BAIAO DE DOIS</v>
      </c>
      <c r="L1914" s="32">
        <f>IFERROR(__xludf.DUMMYFUNCTION("""COMPUTED_VALUE"""),5.0)</f>
        <v>5</v>
      </c>
      <c r="M1914" s="4" t="str">
        <f>IFERROR(__xludf.DUMMYFUNCTION("""COMPUTED_VALUE"""),"Saipos Serviços De Software")</f>
        <v>Saipos Serviços De Software</v>
      </c>
      <c r="N1914" s="33">
        <f>IFERROR(__xludf.DUMMYFUNCTION("""COMPUTED_VALUE"""),1.0)</f>
        <v>1</v>
      </c>
      <c r="O1914" s="4" t="str">
        <f>IFERROR(__xludf.DUMMYFUNCTION("""COMPUTED_VALUE"""),"Saipos Serviços De Software")</f>
        <v>Saipos Serviços De Software</v>
      </c>
      <c r="P1914" s="33">
        <f>IFERROR(__xludf.DUMMYFUNCTION("""COMPUTED_VALUE"""),1.0)</f>
        <v>1</v>
      </c>
      <c r="Q1914" s="4" t="str">
        <f>IFERROR(__xludf.DUMMYFUNCTION("""COMPUTED_VALUE"""),"Saipos Serviços De Software")</f>
        <v>Saipos Serviços De Software</v>
      </c>
      <c r="R1914" s="33">
        <f>IFERROR(__xludf.DUMMYFUNCTION("""COMPUTED_VALUE"""),1.0)</f>
        <v>1</v>
      </c>
      <c r="S1914" s="4" t="str">
        <f>IFERROR(__xludf.DUMMYFUNCTION("""COMPUTED_VALUE"""),"Saipos Serviços De Software")</f>
        <v>Saipos Serviços De Software</v>
      </c>
      <c r="T1914" s="33">
        <f>IFERROR(__xludf.DUMMYFUNCTION("""COMPUTED_VALUE"""),1.0)</f>
        <v>1</v>
      </c>
      <c r="U1914" s="4" t="str">
        <f>IFERROR(__xludf.DUMMYFUNCTION("""COMPUTED_VALUE"""),"Saipos Serviços De Software")</f>
        <v>Saipos Serviços De Software</v>
      </c>
      <c r="V1914" s="33">
        <f>IFERROR(__xludf.DUMMYFUNCTION("""COMPUTED_VALUE"""),1.0)</f>
        <v>1</v>
      </c>
      <c r="W1914" s="4" t="str">
        <f>IFERROR(__xludf.DUMMYFUNCTION("""COMPUTED_VALUE"""),"Saipos Serviços De Software")</f>
        <v>Saipos Serviços De Software</v>
      </c>
      <c r="X1914" s="33">
        <f>IFERROR(__xludf.DUMMYFUNCTION("""COMPUTED_VALUE"""),1.0)</f>
        <v>1</v>
      </c>
    </row>
    <row r="1915">
      <c r="K1915" s="4" t="str">
        <f>IFERROR(__xludf.DUMMYFUNCTION("""COMPUTED_VALUE"""),"VILLA MIKULIS")</f>
        <v>VILLA MIKULIS</v>
      </c>
      <c r="L1915" s="32">
        <f>IFERROR(__xludf.DUMMYFUNCTION("""COMPUTED_VALUE"""),5.0)</f>
        <v>5</v>
      </c>
      <c r="M1915" s="4" t="str">
        <f>IFERROR(__xludf.DUMMYFUNCTION("""COMPUTED_VALUE"""),"Saipos Serviços De Software")</f>
        <v>Saipos Serviços De Software</v>
      </c>
      <c r="N1915" s="33">
        <f>IFERROR(__xludf.DUMMYFUNCTION("""COMPUTED_VALUE"""),1.0)</f>
        <v>1</v>
      </c>
      <c r="O1915" s="4" t="str">
        <f>IFERROR(__xludf.DUMMYFUNCTION("""COMPUTED_VALUE"""),"Saipos Serviços De Software")</f>
        <v>Saipos Serviços De Software</v>
      </c>
      <c r="P1915" s="33">
        <f>IFERROR(__xludf.DUMMYFUNCTION("""COMPUTED_VALUE"""),1.0)</f>
        <v>1</v>
      </c>
      <c r="Q1915" s="4" t="str">
        <f>IFERROR(__xludf.DUMMYFUNCTION("""COMPUTED_VALUE"""),"Saipos Serviços De Software")</f>
        <v>Saipos Serviços De Software</v>
      </c>
      <c r="R1915" s="33">
        <f>IFERROR(__xludf.DUMMYFUNCTION("""COMPUTED_VALUE"""),1.0)</f>
        <v>1</v>
      </c>
      <c r="S1915" s="4" t="str">
        <f>IFERROR(__xludf.DUMMYFUNCTION("""COMPUTED_VALUE"""),"Saipos Serviços De Software")</f>
        <v>Saipos Serviços De Software</v>
      </c>
      <c r="T1915" s="33">
        <f>IFERROR(__xludf.DUMMYFUNCTION("""COMPUTED_VALUE"""),1.0)</f>
        <v>1</v>
      </c>
      <c r="U1915" s="4" t="str">
        <f>IFERROR(__xludf.DUMMYFUNCTION("""COMPUTED_VALUE"""),"Saipos Serviços De Software")</f>
        <v>Saipos Serviços De Software</v>
      </c>
      <c r="V1915" s="33">
        <f>IFERROR(__xludf.DUMMYFUNCTION("""COMPUTED_VALUE"""),1.0)</f>
        <v>1</v>
      </c>
      <c r="W1915" s="4" t="str">
        <f>IFERROR(__xludf.DUMMYFUNCTION("""COMPUTED_VALUE"""),"Saipos Serviços De Software")</f>
        <v>Saipos Serviços De Software</v>
      </c>
      <c r="X1915" s="33">
        <f>IFERROR(__xludf.DUMMYFUNCTION("""COMPUTED_VALUE"""),1.0)</f>
        <v>1</v>
      </c>
    </row>
    <row r="1916">
      <c r="K1916" s="4" t="str">
        <f>IFERROR(__xludf.DUMMYFUNCTION("""COMPUTED_VALUE"""),"PIZZARIA DA HORA")</f>
        <v>PIZZARIA DA HORA</v>
      </c>
      <c r="L1916" s="32">
        <f>IFERROR(__xludf.DUMMYFUNCTION("""COMPUTED_VALUE"""),4.0)</f>
        <v>4</v>
      </c>
      <c r="M1916" s="4" t="str">
        <f>IFERROR(__xludf.DUMMYFUNCTION("""COMPUTED_VALUE"""),"Mp Multipedidos")</f>
        <v>Mp Multipedidos</v>
      </c>
      <c r="N1916" s="33">
        <f>IFERROR(__xludf.DUMMYFUNCTION("""COMPUTED_VALUE"""),0.25)</f>
        <v>0.25</v>
      </c>
      <c r="O1916" s="4" t="str">
        <f>IFERROR(__xludf.DUMMYFUNCTION("""COMPUTED_VALUE"""),"Mp Multipedidos")</f>
        <v>Mp Multipedidos</v>
      </c>
      <c r="P1916" s="33">
        <f>IFERROR(__xludf.DUMMYFUNCTION("""COMPUTED_VALUE"""),0.25)</f>
        <v>0.25</v>
      </c>
      <c r="Q1916" s="4" t="str">
        <f>IFERROR(__xludf.DUMMYFUNCTION("""COMPUTED_VALUE"""),"Mp Multipedidos")</f>
        <v>Mp Multipedidos</v>
      </c>
      <c r="R1916" s="33">
        <f>IFERROR(__xludf.DUMMYFUNCTION("""COMPUTED_VALUE"""),0.25)</f>
        <v>0.25</v>
      </c>
      <c r="S1916" s="4" t="str">
        <f>IFERROR(__xludf.DUMMYFUNCTION("""COMPUTED_VALUE"""),"Mp Multipedidos")</f>
        <v>Mp Multipedidos</v>
      </c>
      <c r="T1916" s="33">
        <f>IFERROR(__xludf.DUMMYFUNCTION("""COMPUTED_VALUE"""),0.25)</f>
        <v>0.25</v>
      </c>
      <c r="U1916" s="4" t="str">
        <f>IFERROR(__xludf.DUMMYFUNCTION("""COMPUTED_VALUE"""),"null")</f>
        <v>null</v>
      </c>
      <c r="V1916" s="33">
        <f>IFERROR(__xludf.DUMMYFUNCTION("""COMPUTED_VALUE"""),0.5)</f>
        <v>0.5</v>
      </c>
      <c r="W1916" s="4" t="str">
        <f>IFERROR(__xludf.DUMMYFUNCTION("""COMPUTED_VALUE"""),"null")</f>
        <v>null</v>
      </c>
      <c r="X1916" s="33">
        <f>IFERROR(__xludf.DUMMYFUNCTION("""COMPUTED_VALUE"""),0.25)</f>
        <v>0.25</v>
      </c>
    </row>
    <row r="1917">
      <c r="K1917" s="4" t="str">
        <f>IFERROR(__xludf.DUMMYFUNCTION("""COMPUTED_VALUE"""),"VILLA HAMBURGUERIA")</f>
        <v>VILLA HAMBURGUERIA</v>
      </c>
      <c r="L1917" s="32">
        <f>IFERROR(__xludf.DUMMYFUNCTION("""COMPUTED_VALUE"""),4.0)</f>
        <v>4</v>
      </c>
      <c r="M1917" s="4" t="str">
        <f>IFERROR(__xludf.DUMMYFUNCTION("""COMPUTED_VALUE"""),"Saipos Serviços De Software")</f>
        <v>Saipos Serviços De Software</v>
      </c>
      <c r="N1917" s="33">
        <f>IFERROR(__xludf.DUMMYFUNCTION("""COMPUTED_VALUE"""),0.75)</f>
        <v>0.75</v>
      </c>
      <c r="O1917" s="4" t="str">
        <f>IFERROR(__xludf.DUMMYFUNCTION("""COMPUTED_VALUE"""),"Saipos Serviços De Software")</f>
        <v>Saipos Serviços De Software</v>
      </c>
      <c r="P1917" s="33">
        <f>IFERROR(__xludf.DUMMYFUNCTION("""COMPUTED_VALUE"""),0.75)</f>
        <v>0.75</v>
      </c>
      <c r="Q1917" s="4" t="str">
        <f>IFERROR(__xludf.DUMMYFUNCTION("""COMPUTED_VALUE"""),"Saipos Serviços De Software")</f>
        <v>Saipos Serviços De Software</v>
      </c>
      <c r="R1917" s="33">
        <f>IFERROR(__xludf.DUMMYFUNCTION("""COMPUTED_VALUE"""),0.75)</f>
        <v>0.75</v>
      </c>
      <c r="S1917" s="4" t="str">
        <f>IFERROR(__xludf.DUMMYFUNCTION("""COMPUTED_VALUE"""),"Saipos Serviços De Software")</f>
        <v>Saipos Serviços De Software</v>
      </c>
      <c r="T1917" s="33">
        <f>IFERROR(__xludf.DUMMYFUNCTION("""COMPUTED_VALUE"""),0.75)</f>
        <v>0.75</v>
      </c>
      <c r="U1917" s="4" t="str">
        <f>IFERROR(__xludf.DUMMYFUNCTION("""COMPUTED_VALUE"""),"Saipos Serviços De Software")</f>
        <v>Saipos Serviços De Software</v>
      </c>
      <c r="V1917" s="33">
        <f>IFERROR(__xludf.DUMMYFUNCTION("""COMPUTED_VALUE"""),0.75)</f>
        <v>0.75</v>
      </c>
      <c r="W1917" s="4" t="str">
        <f>IFERROR(__xludf.DUMMYFUNCTION("""COMPUTED_VALUE"""),"Saipos Serviços De Software")</f>
        <v>Saipos Serviços De Software</v>
      </c>
      <c r="X1917" s="33">
        <f>IFERROR(__xludf.DUMMYFUNCTION("""COMPUTED_VALUE"""),0.75)</f>
        <v>0.75</v>
      </c>
    </row>
    <row r="1918">
      <c r="K1918" s="4" t="str">
        <f>IFERROR(__xludf.DUMMYFUNCTION("""COMPUTED_VALUE"""),"CASA DO SHAWARMA")</f>
        <v>CASA DO SHAWARMA</v>
      </c>
      <c r="L1918" s="32">
        <f>IFERROR(__xludf.DUMMYFUNCTION("""COMPUTED_VALUE"""),4.0)</f>
        <v>4</v>
      </c>
      <c r="M1918" s="4" t="str">
        <f>IFERROR(__xludf.DUMMYFUNCTION("""COMPUTED_VALUE"""),"Saipos Serviços De Software")</f>
        <v>Saipos Serviços De Software</v>
      </c>
      <c r="N1918" s="33">
        <f>IFERROR(__xludf.DUMMYFUNCTION("""COMPUTED_VALUE"""),0.25)</f>
        <v>0.25</v>
      </c>
      <c r="O1918" s="4" t="str">
        <f>IFERROR(__xludf.DUMMYFUNCTION("""COMPUTED_VALUE"""),"Saipos Serviços De Software")</f>
        <v>Saipos Serviços De Software</v>
      </c>
      <c r="P1918" s="33">
        <f>IFERROR(__xludf.DUMMYFUNCTION("""COMPUTED_VALUE"""),0.25)</f>
        <v>0.25</v>
      </c>
      <c r="Q1918" s="4" t="str">
        <f>IFERROR(__xludf.DUMMYFUNCTION("""COMPUTED_VALUE"""),"Saipos Serviços De Software")</f>
        <v>Saipos Serviços De Software</v>
      </c>
      <c r="R1918" s="33">
        <f>IFERROR(__xludf.DUMMYFUNCTION("""COMPUTED_VALUE"""),0.25)</f>
        <v>0.25</v>
      </c>
      <c r="S1918" s="4" t="str">
        <f>IFERROR(__xludf.DUMMYFUNCTION("""COMPUTED_VALUE"""),"Saipos Serviços De Software")</f>
        <v>Saipos Serviços De Software</v>
      </c>
      <c r="T1918" s="33">
        <f>IFERROR(__xludf.DUMMYFUNCTION("""COMPUTED_VALUE"""),0.25)</f>
        <v>0.25</v>
      </c>
      <c r="U1918" s="4" t="str">
        <f>IFERROR(__xludf.DUMMYFUNCTION("""COMPUTED_VALUE"""),"Saipos Serviços De Software")</f>
        <v>Saipos Serviços De Software</v>
      </c>
      <c r="V1918" s="33">
        <f>IFERROR(__xludf.DUMMYFUNCTION("""COMPUTED_VALUE"""),0.25)</f>
        <v>0.25</v>
      </c>
      <c r="W1918" s="4" t="str">
        <f>IFERROR(__xludf.DUMMYFUNCTION("""COMPUTED_VALUE"""),"Saipos Serviços De Software")</f>
        <v>Saipos Serviços De Software</v>
      </c>
      <c r="X1918" s="33">
        <f>IFERROR(__xludf.DUMMYFUNCTION("""COMPUTED_VALUE"""),0.5)</f>
        <v>0.5</v>
      </c>
    </row>
    <row r="1919">
      <c r="K1919" s="4" t="str">
        <f>IFERROR(__xludf.DUMMYFUNCTION("""COMPUTED_VALUE"""),"FARMACIA MAIS POPULAR")</f>
        <v>FARMACIA MAIS POPULAR</v>
      </c>
      <c r="L1919" s="32">
        <f>IFERROR(__xludf.DUMMYFUNCTION("""COMPUTED_VALUE"""),4.0)</f>
        <v>4</v>
      </c>
      <c r="M1919" s="4" t="str">
        <f>IFERROR(__xludf.DUMMYFUNCTION("""COMPUTED_VALUE"""),"N/A (Not found)")</f>
        <v>N/A (Not found)</v>
      </c>
      <c r="N1919" s="33">
        <f>IFERROR(__xludf.DUMMYFUNCTION("""COMPUTED_VALUE"""),0.75)</f>
        <v>0.75</v>
      </c>
      <c r="O1919" s="4" t="str">
        <f>IFERROR(__xludf.DUMMYFUNCTION("""COMPUTED_VALUE"""),"N/A (Not found)")</f>
        <v>N/A (Not found)</v>
      </c>
      <c r="P1919" s="33">
        <f>IFERROR(__xludf.DUMMYFUNCTION("""COMPUTED_VALUE"""),0.75)</f>
        <v>0.75</v>
      </c>
      <c r="Q1919" s="4" t="str">
        <f>IFERROR(__xludf.DUMMYFUNCTION("""COMPUTED_VALUE"""),"N/A (Not found)")</f>
        <v>N/A (Not found)</v>
      </c>
      <c r="R1919" s="33">
        <f>IFERROR(__xludf.DUMMYFUNCTION("""COMPUTED_VALUE"""),0.75)</f>
        <v>0.75</v>
      </c>
      <c r="S1919" s="4" t="str">
        <f>IFERROR(__xludf.DUMMYFUNCTION("""COMPUTED_VALUE"""),"N/A (Not found)")</f>
        <v>N/A (Not found)</v>
      </c>
      <c r="T1919" s="33">
        <f>IFERROR(__xludf.DUMMYFUNCTION("""COMPUTED_VALUE"""),1.0)</f>
        <v>1</v>
      </c>
      <c r="U1919" s="4" t="str">
        <f>IFERROR(__xludf.DUMMYFUNCTION("""COMPUTED_VALUE"""),"N/A (Not found)")</f>
        <v>N/A (Not found)</v>
      </c>
      <c r="V1919" s="33">
        <f>IFERROR(__xludf.DUMMYFUNCTION("""COMPUTED_VALUE"""),1.0)</f>
        <v>1</v>
      </c>
      <c r="W1919" s="4" t="str">
        <f>IFERROR(__xludf.DUMMYFUNCTION("""COMPUTED_VALUE"""),"N/A (Not found)")</f>
        <v>N/A (Not found)</v>
      </c>
      <c r="X1919" s="33">
        <f>IFERROR(__xludf.DUMMYFUNCTION("""COMPUTED_VALUE"""),1.0)</f>
        <v>1</v>
      </c>
    </row>
    <row r="1920">
      <c r="K1920" s="4" t="str">
        <f>IFERROR(__xludf.DUMMYFUNCTION("""COMPUTED_VALUE"""),"HOPE BURGER")</f>
        <v>HOPE BURGER</v>
      </c>
      <c r="L1920" s="32">
        <f>IFERROR(__xludf.DUMMYFUNCTION("""COMPUTED_VALUE"""),4.0)</f>
        <v>4</v>
      </c>
      <c r="M1920" s="4" t="str">
        <f>IFERROR(__xludf.DUMMYFUNCTION("""COMPUTED_VALUE"""),"null")</f>
        <v>null</v>
      </c>
      <c r="N1920" s="33">
        <f>IFERROR(__xludf.DUMMYFUNCTION("""COMPUTED_VALUE"""),0.5)</f>
        <v>0.5</v>
      </c>
      <c r="O1920" s="4" t="str">
        <f>IFERROR(__xludf.DUMMYFUNCTION("""COMPUTED_VALUE"""),"null")</f>
        <v>null</v>
      </c>
      <c r="P1920" s="33">
        <f>IFERROR(__xludf.DUMMYFUNCTION("""COMPUTED_VALUE"""),0.5)</f>
        <v>0.5</v>
      </c>
      <c r="Q1920" s="4" t="str">
        <f>IFERROR(__xludf.DUMMYFUNCTION("""COMPUTED_VALUE"""),"null")</f>
        <v>null</v>
      </c>
      <c r="R1920" s="33">
        <f>IFERROR(__xludf.DUMMYFUNCTION("""COMPUTED_VALUE"""),0.5)</f>
        <v>0.5</v>
      </c>
      <c r="S1920" s="4" t="str">
        <f>IFERROR(__xludf.DUMMYFUNCTION("""COMPUTED_VALUE"""),"Cardápio Web")</f>
        <v>Cardápio Web</v>
      </c>
      <c r="T1920" s="33">
        <f>IFERROR(__xludf.DUMMYFUNCTION("""COMPUTED_VALUE"""),0.25)</f>
        <v>0.25</v>
      </c>
      <c r="U1920" s="4" t="str">
        <f>IFERROR(__xludf.DUMMYFUNCTION("""COMPUTED_VALUE"""),"Cardápio Web")</f>
        <v>Cardápio Web</v>
      </c>
      <c r="V1920" s="33">
        <f>IFERROR(__xludf.DUMMYFUNCTION("""COMPUTED_VALUE"""),0.25)</f>
        <v>0.25</v>
      </c>
      <c r="W1920" s="4" t="str">
        <f>IFERROR(__xludf.DUMMYFUNCTION("""COMPUTED_VALUE"""),"Cardápio Web")</f>
        <v>Cardápio Web</v>
      </c>
      <c r="X1920" s="33">
        <f>IFERROR(__xludf.DUMMYFUNCTION("""COMPUTED_VALUE"""),0.25)</f>
        <v>0.25</v>
      </c>
    </row>
    <row r="1921">
      <c r="K1921" s="4" t="str">
        <f>IFERROR(__xludf.DUMMYFUNCTION("""COMPUTED_VALUE"""),"THE BEST BURGER")</f>
        <v>THE BEST BURGER</v>
      </c>
      <c r="L1921" s="32">
        <f>IFERROR(__xludf.DUMMYFUNCTION("""COMPUTED_VALUE"""),4.0)</f>
        <v>4</v>
      </c>
      <c r="M1921" s="4" t="str">
        <f>IFERROR(__xludf.DUMMYFUNCTION("""COMPUTED_VALUE"""),"Saipos Serviços De Software")</f>
        <v>Saipos Serviços De Software</v>
      </c>
      <c r="N1921" s="33">
        <f>IFERROR(__xludf.DUMMYFUNCTION("""COMPUTED_VALUE"""),0.25)</f>
        <v>0.25</v>
      </c>
      <c r="O1921" s="4" t="str">
        <f>IFERROR(__xludf.DUMMYFUNCTION("""COMPUTED_VALUE"""),"Saipos Serviços De Software")</f>
        <v>Saipos Serviços De Software</v>
      </c>
      <c r="P1921" s="33">
        <f>IFERROR(__xludf.DUMMYFUNCTION("""COMPUTED_VALUE"""),0.25)</f>
        <v>0.25</v>
      </c>
      <c r="Q1921" s="4" t="str">
        <f>IFERROR(__xludf.DUMMYFUNCTION("""COMPUTED_VALUE"""),"Saipos Serviços De Software")</f>
        <v>Saipos Serviços De Software</v>
      </c>
      <c r="R1921" s="33">
        <f>IFERROR(__xludf.DUMMYFUNCTION("""COMPUTED_VALUE"""),0.25)</f>
        <v>0.25</v>
      </c>
      <c r="S1921" s="4" t="str">
        <f>IFERROR(__xludf.DUMMYFUNCTION("""COMPUTED_VALUE"""),"null")</f>
        <v>null</v>
      </c>
      <c r="T1921" s="33">
        <f>IFERROR(__xludf.DUMMYFUNCTION("""COMPUTED_VALUE"""),0.5)</f>
        <v>0.5</v>
      </c>
      <c r="U1921" s="4" t="str">
        <f>IFERROR(__xludf.DUMMYFUNCTION("""COMPUTED_VALUE"""),"null")</f>
        <v>null</v>
      </c>
      <c r="V1921" s="33">
        <f>IFERROR(__xludf.DUMMYFUNCTION("""COMPUTED_VALUE"""),0.5)</f>
        <v>0.5</v>
      </c>
      <c r="W1921" s="4" t="str">
        <f>IFERROR(__xludf.DUMMYFUNCTION("""COMPUTED_VALUE"""),"Saipos Serviços De Software")</f>
        <v>Saipos Serviços De Software</v>
      </c>
      <c r="X1921" s="33">
        <f>IFERROR(__xludf.DUMMYFUNCTION("""COMPUTED_VALUE"""),0.25)</f>
        <v>0.25</v>
      </c>
    </row>
    <row r="1922">
      <c r="K1922" s="4" t="str">
        <f>IFERROR(__xludf.DUMMYFUNCTION("""COMPUTED_VALUE"""),"NA CHAPA")</f>
        <v>NA CHAPA</v>
      </c>
      <c r="L1922" s="32">
        <f>IFERROR(__xludf.DUMMYFUNCTION("""COMPUTED_VALUE"""),4.0)</f>
        <v>4</v>
      </c>
      <c r="M1922" s="4" t="str">
        <f>IFERROR(__xludf.DUMMYFUNCTION("""COMPUTED_VALUE"""),"Beefood - Sistema Para Restaurantes")</f>
        <v>Beefood - Sistema Para Restaurantes</v>
      </c>
      <c r="N1922" s="33">
        <f>IFERROR(__xludf.DUMMYFUNCTION("""COMPUTED_VALUE"""),0.25)</f>
        <v>0.25</v>
      </c>
      <c r="O1922" s="4" t="str">
        <f>IFERROR(__xludf.DUMMYFUNCTION("""COMPUTED_VALUE"""),"Beefood - Sistema Para Restaurantes")</f>
        <v>Beefood - Sistema Para Restaurantes</v>
      </c>
      <c r="P1922" s="33">
        <f>IFERROR(__xludf.DUMMYFUNCTION("""COMPUTED_VALUE"""),0.25)</f>
        <v>0.25</v>
      </c>
      <c r="Q1922" s="4" t="str">
        <f>IFERROR(__xludf.DUMMYFUNCTION("""COMPUTED_VALUE"""),"Beefood - Sistema Para Restaurantes")</f>
        <v>Beefood - Sistema Para Restaurantes</v>
      </c>
      <c r="R1922" s="33">
        <f>IFERROR(__xludf.DUMMYFUNCTION("""COMPUTED_VALUE"""),0.25)</f>
        <v>0.25</v>
      </c>
      <c r="S1922" s="4" t="str">
        <f>IFERROR(__xludf.DUMMYFUNCTION("""COMPUTED_VALUE"""),"Beefood - Sistema Para Restaurantes")</f>
        <v>Beefood - Sistema Para Restaurantes</v>
      </c>
      <c r="T1922" s="33">
        <f>IFERROR(__xludf.DUMMYFUNCTION("""COMPUTED_VALUE"""),0.25)</f>
        <v>0.25</v>
      </c>
      <c r="U1922" s="4" t="str">
        <f>IFERROR(__xludf.DUMMYFUNCTION("""COMPUTED_VALUE"""),"Beefood - Sistema Para Restaurantes")</f>
        <v>Beefood - Sistema Para Restaurantes</v>
      </c>
      <c r="V1922" s="33">
        <f>IFERROR(__xludf.DUMMYFUNCTION("""COMPUTED_VALUE"""),0.25)</f>
        <v>0.25</v>
      </c>
      <c r="W1922" s="4" t="str">
        <f>IFERROR(__xludf.DUMMYFUNCTION("""COMPUTED_VALUE"""),"Beefood - Sistema Para Restaurantes")</f>
        <v>Beefood - Sistema Para Restaurantes</v>
      </c>
      <c r="X1922" s="33">
        <f>IFERROR(__xludf.DUMMYFUNCTION("""COMPUTED_VALUE"""),0.25)</f>
        <v>0.25</v>
      </c>
    </row>
    <row r="1923">
      <c r="K1923" s="4" t="str">
        <f>IFERROR(__xludf.DUMMYFUNCTION("""COMPUTED_VALUE"""),"BOOM BURGUER")</f>
        <v>BOOM BURGUER</v>
      </c>
      <c r="L1923" s="32">
        <f>IFERROR(__xludf.DUMMYFUNCTION("""COMPUTED_VALUE"""),4.0)</f>
        <v>4</v>
      </c>
      <c r="M1923" s="4" t="str">
        <f>IFERROR(__xludf.DUMMYFUNCTION("""COMPUTED_VALUE"""),"Brendi")</f>
        <v>Brendi</v>
      </c>
      <c r="N1923" s="33">
        <f>IFERROR(__xludf.DUMMYFUNCTION("""COMPUTED_VALUE"""),0.25)</f>
        <v>0.25</v>
      </c>
      <c r="O1923" s="4" t="str">
        <f>IFERROR(__xludf.DUMMYFUNCTION("""COMPUTED_VALUE"""),"null")</f>
        <v>null</v>
      </c>
      <c r="P1923" s="33">
        <f>IFERROR(__xludf.DUMMYFUNCTION("""COMPUTED_VALUE"""),0.5)</f>
        <v>0.5</v>
      </c>
      <c r="Q1923" s="4" t="str">
        <f>IFERROR(__xludf.DUMMYFUNCTION("""COMPUTED_VALUE"""),"null")</f>
        <v>null</v>
      </c>
      <c r="R1923" s="33">
        <f>IFERROR(__xludf.DUMMYFUNCTION("""COMPUTED_VALUE"""),0.5)</f>
        <v>0.5</v>
      </c>
      <c r="S1923" s="4" t="str">
        <f>IFERROR(__xludf.DUMMYFUNCTION("""COMPUTED_VALUE"""),"null")</f>
        <v>null</v>
      </c>
      <c r="T1923" s="33">
        <f>IFERROR(__xludf.DUMMYFUNCTION("""COMPUTED_VALUE"""),0.25)</f>
        <v>0.25</v>
      </c>
      <c r="U1923" s="4" t="str">
        <f>IFERROR(__xludf.DUMMYFUNCTION("""COMPUTED_VALUE"""),"Brendi")</f>
        <v>Brendi</v>
      </c>
      <c r="V1923" s="33">
        <f>IFERROR(__xludf.DUMMYFUNCTION("""COMPUTED_VALUE"""),0.5)</f>
        <v>0.5</v>
      </c>
      <c r="W1923" s="4" t="str">
        <f>IFERROR(__xludf.DUMMYFUNCTION("""COMPUTED_VALUE"""),"Brendi")</f>
        <v>Brendi</v>
      </c>
      <c r="X1923" s="33">
        <f>IFERROR(__xludf.DUMMYFUNCTION("""COMPUTED_VALUE"""),0.5)</f>
        <v>0.5</v>
      </c>
    </row>
    <row r="1924">
      <c r="K1924" s="4" t="str">
        <f>IFERROR(__xludf.DUMMYFUNCTION("""COMPUTED_VALUE"""),"PORTAL DA PIZZA")</f>
        <v>PORTAL DA PIZZA</v>
      </c>
      <c r="L1924" s="32">
        <f>IFERROR(__xludf.DUMMYFUNCTION("""COMPUTED_VALUE"""),4.0)</f>
        <v>4</v>
      </c>
      <c r="M1924" s="4" t="str">
        <f>IFERROR(__xludf.DUMMYFUNCTION("""COMPUTED_VALUE"""),"Eclética Tecnologia")</f>
        <v>Eclética Tecnologia</v>
      </c>
      <c r="N1924" s="33">
        <f>IFERROR(__xludf.DUMMYFUNCTION("""COMPUTED_VALUE"""),0.25)</f>
        <v>0.25</v>
      </c>
      <c r="O1924" s="4" t="str">
        <f>IFERROR(__xludf.DUMMYFUNCTION("""COMPUTED_VALUE"""),"null")</f>
        <v>null</v>
      </c>
      <c r="P1924" s="33">
        <f>IFERROR(__xludf.DUMMYFUNCTION("""COMPUTED_VALUE"""),0.5)</f>
        <v>0.5</v>
      </c>
      <c r="Q1924" s="4" t="str">
        <f>IFERROR(__xludf.DUMMYFUNCTION("""COMPUTED_VALUE"""),"Eclética Tecnologia")</f>
        <v>Eclética Tecnologia</v>
      </c>
      <c r="R1924" s="33">
        <f>IFERROR(__xludf.DUMMYFUNCTION("""COMPUTED_VALUE"""),0.25)</f>
        <v>0.25</v>
      </c>
      <c r="S1924" s="4" t="str">
        <f>IFERROR(__xludf.DUMMYFUNCTION("""COMPUTED_VALUE"""),"Eclética Tecnologia")</f>
        <v>Eclética Tecnologia</v>
      </c>
      <c r="T1924" s="33">
        <f>IFERROR(__xludf.DUMMYFUNCTION("""COMPUTED_VALUE"""),0.25)</f>
        <v>0.25</v>
      </c>
      <c r="U1924" s="4" t="str">
        <f>IFERROR(__xludf.DUMMYFUNCTION("""COMPUTED_VALUE"""),"Eclética Tecnologia")</f>
        <v>Eclética Tecnologia</v>
      </c>
      <c r="V1924" s="33">
        <f>IFERROR(__xludf.DUMMYFUNCTION("""COMPUTED_VALUE"""),0.25)</f>
        <v>0.25</v>
      </c>
      <c r="W1924" s="4" t="str">
        <f>IFERROR(__xludf.DUMMYFUNCTION("""COMPUTED_VALUE"""),"Eclética Tecnologia")</f>
        <v>Eclética Tecnologia</v>
      </c>
      <c r="X1924" s="33">
        <f>IFERROR(__xludf.DUMMYFUNCTION("""COMPUTED_VALUE"""),0.25)</f>
        <v>0.25</v>
      </c>
    </row>
    <row r="1925">
      <c r="K1925" s="4" t="str">
        <f>IFERROR(__xludf.DUMMYFUNCTION("""COMPUTED_VALUE"""),"MEGA LANCHE")</f>
        <v>MEGA LANCHE</v>
      </c>
      <c r="L1925" s="32">
        <f>IFERROR(__xludf.DUMMYFUNCTION("""COMPUTED_VALUE"""),4.0)</f>
        <v>4</v>
      </c>
      <c r="M1925" s="4" t="str">
        <f>IFERROR(__xludf.DUMMYFUNCTION("""COMPUTED_VALUE"""),"Instadelivery")</f>
        <v>Instadelivery</v>
      </c>
      <c r="N1925" s="33">
        <f>IFERROR(__xludf.DUMMYFUNCTION("""COMPUTED_VALUE"""),0.25)</f>
        <v>0.25</v>
      </c>
      <c r="O1925" s="4" t="str">
        <f>IFERROR(__xludf.DUMMYFUNCTION("""COMPUTED_VALUE"""),"null")</f>
        <v>null</v>
      </c>
      <c r="P1925" s="33">
        <f>IFERROR(__xludf.DUMMYFUNCTION("""COMPUTED_VALUE"""),0.5)</f>
        <v>0.5</v>
      </c>
      <c r="Q1925" s="4" t="str">
        <f>IFERROR(__xludf.DUMMYFUNCTION("""COMPUTED_VALUE"""),"Instadelivery")</f>
        <v>Instadelivery</v>
      </c>
      <c r="R1925" s="33">
        <f>IFERROR(__xludf.DUMMYFUNCTION("""COMPUTED_VALUE"""),0.25)</f>
        <v>0.25</v>
      </c>
      <c r="S1925" s="4" t="str">
        <f>IFERROR(__xludf.DUMMYFUNCTION("""COMPUTED_VALUE"""),"Instadelivery")</f>
        <v>Instadelivery</v>
      </c>
      <c r="T1925" s="33">
        <f>IFERROR(__xludf.DUMMYFUNCTION("""COMPUTED_VALUE"""),0.25)</f>
        <v>0.25</v>
      </c>
      <c r="U1925" s="4" t="str">
        <f>IFERROR(__xludf.DUMMYFUNCTION("""COMPUTED_VALUE"""),"Anota Ai Solucoes Digitais S/a")</f>
        <v>Anota Ai Solucoes Digitais S/a</v>
      </c>
      <c r="V1925" s="33">
        <f>IFERROR(__xludf.DUMMYFUNCTION("""COMPUTED_VALUE"""),0.5)</f>
        <v>0.5</v>
      </c>
      <c r="W1925" s="4" t="str">
        <f>IFERROR(__xludf.DUMMYFUNCTION("""COMPUTED_VALUE"""),"Anota Ai Solucoes Digitais S/a")</f>
        <v>Anota Ai Solucoes Digitais S/a</v>
      </c>
      <c r="X1925" s="33">
        <f>IFERROR(__xludf.DUMMYFUNCTION("""COMPUTED_VALUE"""),0.5)</f>
        <v>0.5</v>
      </c>
    </row>
    <row r="1926">
      <c r="K1926" s="4" t="str">
        <f>IFERROR(__xludf.DUMMYFUNCTION("""COMPUTED_VALUE"""),"VARANDA BURGER")</f>
        <v>VARANDA BURGER</v>
      </c>
      <c r="L1926" s="32">
        <f>IFERROR(__xludf.DUMMYFUNCTION("""COMPUTED_VALUE"""),4.0)</f>
        <v>4</v>
      </c>
      <c r="M1926" s="4" t="str">
        <f>IFERROR(__xludf.DUMMYFUNCTION("""COMPUTED_VALUE"""),"Totvs Large Enterprise Tecnologia S.a.")</f>
        <v>Totvs Large Enterprise Tecnologia S.a.</v>
      </c>
      <c r="N1926" s="33">
        <f>IFERROR(__xludf.DUMMYFUNCTION("""COMPUTED_VALUE"""),0.5)</f>
        <v>0.5</v>
      </c>
      <c r="O1926" s="4" t="str">
        <f>IFERROR(__xludf.DUMMYFUNCTION("""COMPUTED_VALUE"""),"null")</f>
        <v>null</v>
      </c>
      <c r="P1926" s="33">
        <f>IFERROR(__xludf.DUMMYFUNCTION("""COMPUTED_VALUE"""),0.5)</f>
        <v>0.5</v>
      </c>
      <c r="Q1926" s="4" t="str">
        <f>IFERROR(__xludf.DUMMYFUNCTION("""COMPUTED_VALUE"""),"Totvs Large Enterprise Tecnologia S.a.")</f>
        <v>Totvs Large Enterprise Tecnologia S.a.</v>
      </c>
      <c r="R1926" s="33">
        <f>IFERROR(__xludf.DUMMYFUNCTION("""COMPUTED_VALUE"""),0.5)</f>
        <v>0.5</v>
      </c>
      <c r="S1926" s="4" t="str">
        <f>IFERROR(__xludf.DUMMYFUNCTION("""COMPUTED_VALUE"""),"Totvs Large Enterprise Tecnologia S.a.")</f>
        <v>Totvs Large Enterprise Tecnologia S.a.</v>
      </c>
      <c r="T1926" s="33">
        <f>IFERROR(__xludf.DUMMYFUNCTION("""COMPUTED_VALUE"""),0.5)</f>
        <v>0.5</v>
      </c>
      <c r="U1926" s="4" t="str">
        <f>IFERROR(__xludf.DUMMYFUNCTION("""COMPUTED_VALUE"""),"Totvs Large Enterprise Tecnologia S.a.")</f>
        <v>Totvs Large Enterprise Tecnologia S.a.</v>
      </c>
      <c r="V1926" s="33">
        <f>IFERROR(__xludf.DUMMYFUNCTION("""COMPUTED_VALUE"""),0.5)</f>
        <v>0.5</v>
      </c>
      <c r="W1926" s="4" t="str">
        <f>IFERROR(__xludf.DUMMYFUNCTION("""COMPUTED_VALUE"""),"Totvs Large Enterprise Tecnologia S.a.")</f>
        <v>Totvs Large Enterprise Tecnologia S.a.</v>
      </c>
      <c r="X1926" s="33">
        <f>IFERROR(__xludf.DUMMYFUNCTION("""COMPUTED_VALUE"""),0.5)</f>
        <v>0.5</v>
      </c>
    </row>
    <row r="1927">
      <c r="K1927" s="4" t="str">
        <f>IFERROR(__xludf.DUMMYFUNCTION("""COMPUTED_VALUE"""),"PIZZARIA CALIFORNIA")</f>
        <v>PIZZARIA CALIFORNIA</v>
      </c>
      <c r="L1927" s="32">
        <f>IFERROR(__xludf.DUMMYFUNCTION("""COMPUTED_VALUE"""),4.0)</f>
        <v>4</v>
      </c>
      <c r="M1927" s="4" t="str">
        <f>IFERROR(__xludf.DUMMYFUNCTION("""COMPUTED_VALUE"""),"Expresso Delivery")</f>
        <v>Expresso Delivery</v>
      </c>
      <c r="N1927" s="33">
        <f>IFERROR(__xludf.DUMMYFUNCTION("""COMPUTED_VALUE"""),0.25)</f>
        <v>0.25</v>
      </c>
      <c r="O1927" s="4" t="str">
        <f>IFERROR(__xludf.DUMMYFUNCTION("""COMPUTED_VALUE"""),"Expresso Delivery")</f>
        <v>Expresso Delivery</v>
      </c>
      <c r="P1927" s="33">
        <f>IFERROR(__xludf.DUMMYFUNCTION("""COMPUTED_VALUE"""),0.25)</f>
        <v>0.25</v>
      </c>
      <c r="Q1927" s="4" t="str">
        <f>IFERROR(__xludf.DUMMYFUNCTION("""COMPUTED_VALUE"""),"Expresso Delivery")</f>
        <v>Expresso Delivery</v>
      </c>
      <c r="R1927" s="33">
        <f>IFERROR(__xludf.DUMMYFUNCTION("""COMPUTED_VALUE"""),0.25)</f>
        <v>0.25</v>
      </c>
      <c r="S1927" s="4" t="str">
        <f>IFERROR(__xludf.DUMMYFUNCTION("""COMPUTED_VALUE"""),"Expresso Delivery")</f>
        <v>Expresso Delivery</v>
      </c>
      <c r="T1927" s="33">
        <f>IFERROR(__xludf.DUMMYFUNCTION("""COMPUTED_VALUE"""),0.25)</f>
        <v>0.25</v>
      </c>
      <c r="U1927" s="4" t="str">
        <f>IFERROR(__xludf.DUMMYFUNCTION("""COMPUTED_VALUE"""),"Expresso Delivery")</f>
        <v>Expresso Delivery</v>
      </c>
      <c r="V1927" s="33">
        <f>IFERROR(__xludf.DUMMYFUNCTION("""COMPUTED_VALUE"""),0.25)</f>
        <v>0.25</v>
      </c>
      <c r="W1927" s="4" t="str">
        <f>IFERROR(__xludf.DUMMYFUNCTION("""COMPUTED_VALUE"""),"Expresso Delivery")</f>
        <v>Expresso Delivery</v>
      </c>
      <c r="X1927" s="33">
        <f>IFERROR(__xludf.DUMMYFUNCTION("""COMPUTED_VALUE"""),0.25)</f>
        <v>0.25</v>
      </c>
    </row>
    <row r="1928">
      <c r="K1928" s="4" t="str">
        <f>IFERROR(__xludf.DUMMYFUNCTION("""COMPUTED_VALUE"""),"KYOTO SUSHI")</f>
        <v>KYOTO SUSHI</v>
      </c>
      <c r="L1928" s="32">
        <f>IFERROR(__xludf.DUMMYFUNCTION("""COMPUTED_VALUE"""),4.0)</f>
        <v>4</v>
      </c>
      <c r="M1928" s="4" t="str">
        <f>IFERROR(__xludf.DUMMYFUNCTION("""COMPUTED_VALUE"""),"null")</f>
        <v>null</v>
      </c>
      <c r="N1928" s="33">
        <f>IFERROR(__xludf.DUMMYFUNCTION("""COMPUTED_VALUE"""),0.5)</f>
        <v>0.5</v>
      </c>
      <c r="O1928" s="4" t="str">
        <f>IFERROR(__xludf.DUMMYFUNCTION("""COMPUTED_VALUE"""),"null")</f>
        <v>null</v>
      </c>
      <c r="P1928" s="33">
        <f>IFERROR(__xludf.DUMMYFUNCTION("""COMPUTED_VALUE"""),0.75)</f>
        <v>0.75</v>
      </c>
      <c r="Q1928" s="4" t="str">
        <f>IFERROR(__xludf.DUMMYFUNCTION("""COMPUTED_VALUE"""),"null")</f>
        <v>null</v>
      </c>
      <c r="R1928" s="33">
        <f>IFERROR(__xludf.DUMMYFUNCTION("""COMPUTED_VALUE"""),0.75)</f>
        <v>0.75</v>
      </c>
      <c r="S1928" s="4" t="str">
        <f>IFERROR(__xludf.DUMMYFUNCTION("""COMPUTED_VALUE"""),"null")</f>
        <v>null</v>
      </c>
      <c r="T1928" s="33">
        <f>IFERROR(__xludf.DUMMYFUNCTION("""COMPUTED_VALUE"""),0.5)</f>
        <v>0.5</v>
      </c>
      <c r="U1928" s="4" t="str">
        <f>IFERROR(__xludf.DUMMYFUNCTION("""COMPUTED_VALUE"""),"null")</f>
        <v>null</v>
      </c>
      <c r="V1928" s="33">
        <f>IFERROR(__xludf.DUMMYFUNCTION("""COMPUTED_VALUE"""),0.25)</f>
        <v>0.25</v>
      </c>
      <c r="W1928" s="4" t="str">
        <f>IFERROR(__xludf.DUMMYFUNCTION("""COMPUTED_VALUE"""),"null")</f>
        <v>null</v>
      </c>
      <c r="X1928" s="33">
        <f>IFERROR(__xludf.DUMMYFUNCTION("""COMPUTED_VALUE"""),0.25)</f>
        <v>0.25</v>
      </c>
    </row>
    <row r="1929">
      <c r="K1929" s="4" t="str">
        <f>IFERROR(__xludf.DUMMYFUNCTION("""COMPUTED_VALUE"""),"VIKINGS BURGUER")</f>
        <v>VIKINGS BURGUER</v>
      </c>
      <c r="L1929" s="32">
        <f>IFERROR(__xludf.DUMMYFUNCTION("""COMPUTED_VALUE"""),4.0)</f>
        <v>4</v>
      </c>
      <c r="M1929" s="4" t="str">
        <f>IFERROR(__xludf.DUMMYFUNCTION("""COMPUTED_VALUE"""),"Fudo Soluciones Sas")</f>
        <v>Fudo Soluciones Sas</v>
      </c>
      <c r="N1929" s="33">
        <f>IFERROR(__xludf.DUMMYFUNCTION("""COMPUTED_VALUE"""),0.25)</f>
        <v>0.25</v>
      </c>
      <c r="O1929" s="4" t="str">
        <f>IFERROR(__xludf.DUMMYFUNCTION("""COMPUTED_VALUE"""),"Fudo Soluciones Sas")</f>
        <v>Fudo Soluciones Sas</v>
      </c>
      <c r="P1929" s="33">
        <f>IFERROR(__xludf.DUMMYFUNCTION("""COMPUTED_VALUE"""),0.25)</f>
        <v>0.25</v>
      </c>
      <c r="Q1929" s="4" t="str">
        <f>IFERROR(__xludf.DUMMYFUNCTION("""COMPUTED_VALUE"""),"Fudo Soluciones Sas")</f>
        <v>Fudo Soluciones Sas</v>
      </c>
      <c r="R1929" s="33">
        <f>IFERROR(__xludf.DUMMYFUNCTION("""COMPUTED_VALUE"""),0.25)</f>
        <v>0.25</v>
      </c>
      <c r="S1929" s="4" t="str">
        <f>IFERROR(__xludf.DUMMYFUNCTION("""COMPUTED_VALUE"""),"null")</f>
        <v>null</v>
      </c>
      <c r="T1929" s="33">
        <f>IFERROR(__xludf.DUMMYFUNCTION("""COMPUTED_VALUE"""),0.25)</f>
        <v>0.25</v>
      </c>
      <c r="U1929" s="4" t="str">
        <f>IFERROR(__xludf.DUMMYFUNCTION("""COMPUTED_VALUE"""),"Fudo Soluciones Sas")</f>
        <v>Fudo Soluciones Sas</v>
      </c>
      <c r="V1929" s="33">
        <f>IFERROR(__xludf.DUMMYFUNCTION("""COMPUTED_VALUE"""),0.25)</f>
        <v>0.25</v>
      </c>
      <c r="W1929" s="4" t="str">
        <f>IFERROR(__xludf.DUMMYFUNCTION("""COMPUTED_VALUE"""),"Fudo Soluciones Sas")</f>
        <v>Fudo Soluciones Sas</v>
      </c>
      <c r="X1929" s="33">
        <f>IFERROR(__xludf.DUMMYFUNCTION("""COMPUTED_VALUE"""),0.25)</f>
        <v>0.25</v>
      </c>
    </row>
    <row r="1930">
      <c r="K1930" s="4" t="str">
        <f>IFERROR(__xludf.DUMMYFUNCTION("""COMPUTED_VALUE"""),"YUME SUSHI")</f>
        <v>YUME SUSHI</v>
      </c>
      <c r="L1930" s="32">
        <f>IFERROR(__xludf.DUMMYFUNCTION("""COMPUTED_VALUE"""),4.0)</f>
        <v>4</v>
      </c>
      <c r="M1930" s="4" t="str">
        <f>IFERROR(__xludf.DUMMYFUNCTION("""COMPUTED_VALUE"""),"null")</f>
        <v>null</v>
      </c>
      <c r="N1930" s="33">
        <f>IFERROR(__xludf.DUMMYFUNCTION("""COMPUTED_VALUE"""),0.5)</f>
        <v>0.5</v>
      </c>
      <c r="O1930" s="4" t="str">
        <f>IFERROR(__xludf.DUMMYFUNCTION("""COMPUTED_VALUE"""),"null")</f>
        <v>null</v>
      </c>
      <c r="P1930" s="33">
        <f>IFERROR(__xludf.DUMMYFUNCTION("""COMPUTED_VALUE"""),0.25)</f>
        <v>0.25</v>
      </c>
      <c r="Q1930" s="4" t="str">
        <f>IFERROR(__xludf.DUMMYFUNCTION("""COMPUTED_VALUE"""),"null")</f>
        <v>null</v>
      </c>
      <c r="R1930" s="33">
        <f>IFERROR(__xludf.DUMMYFUNCTION("""COMPUTED_VALUE"""),0.25)</f>
        <v>0.25</v>
      </c>
      <c r="S1930" s="4" t="str">
        <f>IFERROR(__xludf.DUMMYFUNCTION("""COMPUTED_VALUE"""),"null")</f>
        <v>null</v>
      </c>
      <c r="T1930" s="33">
        <f>IFERROR(__xludf.DUMMYFUNCTION("""COMPUTED_VALUE"""),0.5)</f>
        <v>0.5</v>
      </c>
      <c r="U1930" s="4" t="str">
        <f>IFERROR(__xludf.DUMMYFUNCTION("""COMPUTED_VALUE"""),"Anota Ai Solucoes Digitais S/a")</f>
        <v>Anota Ai Solucoes Digitais S/a</v>
      </c>
      <c r="V1930" s="33">
        <f>IFERROR(__xludf.DUMMYFUNCTION("""COMPUTED_VALUE"""),0.25)</f>
        <v>0.25</v>
      </c>
      <c r="W1930" s="4" t="str">
        <f>IFERROR(__xludf.DUMMYFUNCTION("""COMPUTED_VALUE"""),"null")</f>
        <v>null</v>
      </c>
      <c r="X1930" s="33">
        <f>IFERROR(__xludf.DUMMYFUNCTION("""COMPUTED_VALUE"""),0.5)</f>
        <v>0.5</v>
      </c>
    </row>
    <row r="1931">
      <c r="K1931" s="4" t="str">
        <f>IFERROR(__xludf.DUMMYFUNCTION("""COMPUTED_VALUE"""),"RANCHO BURGER")</f>
        <v>RANCHO BURGER</v>
      </c>
      <c r="L1931" s="32">
        <f>IFERROR(__xludf.DUMMYFUNCTION("""COMPUTED_VALUE"""),4.0)</f>
        <v>4</v>
      </c>
      <c r="M1931" s="4" t="str">
        <f>IFERROR(__xludf.DUMMYFUNCTION("""COMPUTED_VALUE"""),"Vedas Automação Comercial")</f>
        <v>Vedas Automação Comercial</v>
      </c>
      <c r="N1931" s="33">
        <f>IFERROR(__xludf.DUMMYFUNCTION("""COMPUTED_VALUE"""),0.5)</f>
        <v>0.5</v>
      </c>
      <c r="O1931" s="4" t="str">
        <f>IFERROR(__xludf.DUMMYFUNCTION("""COMPUTED_VALUE"""),"Vedas Automação Comercial")</f>
        <v>Vedas Automação Comercial</v>
      </c>
      <c r="P1931" s="33">
        <f>IFERROR(__xludf.DUMMYFUNCTION("""COMPUTED_VALUE"""),0.5)</f>
        <v>0.5</v>
      </c>
      <c r="Q1931" s="4" t="str">
        <f>IFERROR(__xludf.DUMMYFUNCTION("""COMPUTED_VALUE"""),"Anota Ai Solucoes Digitais S/a")</f>
        <v>Anota Ai Solucoes Digitais S/a</v>
      </c>
      <c r="R1931" s="33">
        <f>IFERROR(__xludf.DUMMYFUNCTION("""COMPUTED_VALUE"""),0.25)</f>
        <v>0.25</v>
      </c>
      <c r="S1931" s="4" t="str">
        <f>IFERROR(__xludf.DUMMYFUNCTION("""COMPUTED_VALUE"""),"Anota Ai Solucoes Digitais S/a")</f>
        <v>Anota Ai Solucoes Digitais S/a</v>
      </c>
      <c r="T1931" s="33">
        <f>IFERROR(__xludf.DUMMYFUNCTION("""COMPUTED_VALUE"""),0.25)</f>
        <v>0.25</v>
      </c>
      <c r="U1931" s="4" t="str">
        <f>IFERROR(__xludf.DUMMYFUNCTION("""COMPUTED_VALUE"""),"Vedas Automação Comercial")</f>
        <v>Vedas Automação Comercial</v>
      </c>
      <c r="V1931" s="33">
        <f>IFERROR(__xludf.DUMMYFUNCTION("""COMPUTED_VALUE"""),0.5)</f>
        <v>0.5</v>
      </c>
      <c r="W1931" s="4" t="str">
        <f>IFERROR(__xludf.DUMMYFUNCTION("""COMPUTED_VALUE"""),"Anota Ai Solucoes Digitais S/a")</f>
        <v>Anota Ai Solucoes Digitais S/a</v>
      </c>
      <c r="X1931" s="33">
        <f>IFERROR(__xludf.DUMMYFUNCTION("""COMPUTED_VALUE"""),0.25)</f>
        <v>0.25</v>
      </c>
    </row>
    <row r="1932">
      <c r="K1932" s="4" t="str">
        <f>IFERROR(__xludf.DUMMYFUNCTION("""COMPUTED_VALUE"""),"PIZZARIA DITALIA")</f>
        <v>PIZZARIA DITALIA</v>
      </c>
      <c r="L1932" s="32">
        <f>IFERROR(__xludf.DUMMYFUNCTION("""COMPUTED_VALUE"""),4.0)</f>
        <v>4</v>
      </c>
      <c r="M1932" s="4" t="str">
        <f>IFERROR(__xludf.DUMMYFUNCTION("""COMPUTED_VALUE"""),"Grk Soluções Informatica Eireli")</f>
        <v>Grk Soluções Informatica Eireli</v>
      </c>
      <c r="N1932" s="33">
        <f>IFERROR(__xludf.DUMMYFUNCTION("""COMPUTED_VALUE"""),0.25)</f>
        <v>0.25</v>
      </c>
      <c r="O1932" s="4" t="str">
        <f>IFERROR(__xludf.DUMMYFUNCTION("""COMPUTED_VALUE"""),"Grk Soluções Informatica Eireli")</f>
        <v>Grk Soluções Informatica Eireli</v>
      </c>
      <c r="P1932" s="33">
        <f>IFERROR(__xludf.DUMMYFUNCTION("""COMPUTED_VALUE"""),0.25)</f>
        <v>0.25</v>
      </c>
      <c r="Q1932" s="4" t="str">
        <f>IFERROR(__xludf.DUMMYFUNCTION("""COMPUTED_VALUE"""),"Grk Soluções Informatica Eireli")</f>
        <v>Grk Soluções Informatica Eireli</v>
      </c>
      <c r="R1932" s="33">
        <f>IFERROR(__xludf.DUMMYFUNCTION("""COMPUTED_VALUE"""),0.25)</f>
        <v>0.25</v>
      </c>
      <c r="S1932" s="4" t="str">
        <f>IFERROR(__xludf.DUMMYFUNCTION("""COMPUTED_VALUE"""),"null")</f>
        <v>null</v>
      </c>
      <c r="T1932" s="33">
        <f>IFERROR(__xludf.DUMMYFUNCTION("""COMPUTED_VALUE"""),0.5)</f>
        <v>0.5</v>
      </c>
      <c r="U1932" s="4" t="str">
        <f>IFERROR(__xludf.DUMMYFUNCTION("""COMPUTED_VALUE"""),"null")</f>
        <v>null</v>
      </c>
      <c r="V1932" s="33">
        <f>IFERROR(__xludf.DUMMYFUNCTION("""COMPUTED_VALUE"""),0.5)</f>
        <v>0.5</v>
      </c>
      <c r="W1932" s="4" t="str">
        <f>IFERROR(__xludf.DUMMYFUNCTION("""COMPUTED_VALUE"""),"null")</f>
        <v>null</v>
      </c>
      <c r="X1932" s="33">
        <f>IFERROR(__xludf.DUMMYFUNCTION("""COMPUTED_VALUE"""),0.5)</f>
        <v>0.5</v>
      </c>
    </row>
    <row r="1933">
      <c r="K1933" s="4" t="str">
        <f>IFERROR(__xludf.DUMMYFUNCTION("""COMPUTED_VALUE"""),"SABOR DA CASA")</f>
        <v>SABOR DA CASA</v>
      </c>
      <c r="L1933" s="32">
        <f>IFERROR(__xludf.DUMMYFUNCTION("""COMPUTED_VALUE"""),4.0)</f>
        <v>4</v>
      </c>
      <c r="M1933" s="4" t="str">
        <f>IFERROR(__xludf.DUMMYFUNCTION("""COMPUTED_VALUE"""),"Instadelivery")</f>
        <v>Instadelivery</v>
      </c>
      <c r="N1933" s="33">
        <f>IFERROR(__xludf.DUMMYFUNCTION("""COMPUTED_VALUE"""),0.25)</f>
        <v>0.25</v>
      </c>
      <c r="O1933" s="4" t="str">
        <f>IFERROR(__xludf.DUMMYFUNCTION("""COMPUTED_VALUE"""),"Instadelivery")</f>
        <v>Instadelivery</v>
      </c>
      <c r="P1933" s="33">
        <f>IFERROR(__xludf.DUMMYFUNCTION("""COMPUTED_VALUE"""),0.25)</f>
        <v>0.25</v>
      </c>
      <c r="Q1933" s="4" t="str">
        <f>IFERROR(__xludf.DUMMYFUNCTION("""COMPUTED_VALUE"""),"Instadelivery")</f>
        <v>Instadelivery</v>
      </c>
      <c r="R1933" s="33">
        <f>IFERROR(__xludf.DUMMYFUNCTION("""COMPUTED_VALUE"""),0.25)</f>
        <v>0.25</v>
      </c>
      <c r="S1933" s="4" t="str">
        <f>IFERROR(__xludf.DUMMYFUNCTION("""COMPUTED_VALUE"""),"null")</f>
        <v>null</v>
      </c>
      <c r="T1933" s="33">
        <f>IFERROR(__xludf.DUMMYFUNCTION("""COMPUTED_VALUE"""),0.5)</f>
        <v>0.5</v>
      </c>
      <c r="U1933" s="4" t="str">
        <f>IFERROR(__xludf.DUMMYFUNCTION("""COMPUTED_VALUE"""),"null")</f>
        <v>null</v>
      </c>
      <c r="V1933" s="33">
        <f>IFERROR(__xludf.DUMMYFUNCTION("""COMPUTED_VALUE"""),0.5)</f>
        <v>0.5</v>
      </c>
      <c r="W1933" s="4" t="str">
        <f>IFERROR(__xludf.DUMMYFUNCTION("""COMPUTED_VALUE"""),"null")</f>
        <v>null</v>
      </c>
      <c r="X1933" s="33">
        <f>IFERROR(__xludf.DUMMYFUNCTION("""COMPUTED_VALUE"""),0.5)</f>
        <v>0.5</v>
      </c>
    </row>
    <row r="1934">
      <c r="K1934" s="4" t="str">
        <f>IFERROR(__xludf.DUMMYFUNCTION("""COMPUTED_VALUE"""),"ACAI DA LU")</f>
        <v>ACAI DA LU</v>
      </c>
      <c r="L1934" s="32">
        <f>IFERROR(__xludf.DUMMYFUNCTION("""COMPUTED_VALUE"""),4.0)</f>
        <v>4</v>
      </c>
      <c r="M1934" s="4" t="str">
        <f>IFERROR(__xludf.DUMMYFUNCTION("""COMPUTED_VALUE"""),"null")</f>
        <v>null</v>
      </c>
      <c r="N1934" s="33">
        <f>IFERROR(__xludf.DUMMYFUNCTION("""COMPUTED_VALUE"""),0.5)</f>
        <v>0.5</v>
      </c>
      <c r="O1934" s="4" t="str">
        <f>IFERROR(__xludf.DUMMYFUNCTION("""COMPUTED_VALUE"""),"null")</f>
        <v>null</v>
      </c>
      <c r="P1934" s="33">
        <f>IFERROR(__xludf.DUMMYFUNCTION("""COMPUTED_VALUE"""),0.5)</f>
        <v>0.5</v>
      </c>
      <c r="Q1934" s="4" t="str">
        <f>IFERROR(__xludf.DUMMYFUNCTION("""COMPUTED_VALUE"""),"null")</f>
        <v>null</v>
      </c>
      <c r="R1934" s="33">
        <f>IFERROR(__xludf.DUMMYFUNCTION("""COMPUTED_VALUE"""),0.5)</f>
        <v>0.5</v>
      </c>
      <c r="S1934" s="4" t="str">
        <f>IFERROR(__xludf.DUMMYFUNCTION("""COMPUTED_VALUE"""),"Menu Integrado")</f>
        <v>Menu Integrado</v>
      </c>
      <c r="T1934" s="33">
        <f>IFERROR(__xludf.DUMMYFUNCTION("""COMPUTED_VALUE"""),0.25)</f>
        <v>0.25</v>
      </c>
      <c r="U1934" s="4" t="str">
        <f>IFERROR(__xludf.DUMMYFUNCTION("""COMPUTED_VALUE"""),"Menu Integrado")</f>
        <v>Menu Integrado</v>
      </c>
      <c r="V1934" s="33">
        <f>IFERROR(__xludf.DUMMYFUNCTION("""COMPUTED_VALUE"""),0.25)</f>
        <v>0.25</v>
      </c>
      <c r="W1934" s="4" t="str">
        <f>IFERROR(__xludf.DUMMYFUNCTION("""COMPUTED_VALUE"""),"null")</f>
        <v>null</v>
      </c>
      <c r="X1934" s="33">
        <f>IFERROR(__xludf.DUMMYFUNCTION("""COMPUTED_VALUE"""),0.5)</f>
        <v>0.5</v>
      </c>
    </row>
    <row r="1935">
      <c r="K1935" s="4" t="str">
        <f>IFERROR(__xludf.DUMMYFUNCTION("""COMPUTED_VALUE"""),"FARMA POPULAR")</f>
        <v>FARMA POPULAR</v>
      </c>
      <c r="L1935" s="32">
        <f>IFERROR(__xludf.DUMMYFUNCTION("""COMPUTED_VALUE"""),4.0)</f>
        <v>4</v>
      </c>
      <c r="M1935" s="4" t="str">
        <f>IFERROR(__xludf.DUMMYFUNCTION("""COMPUTED_VALUE"""),"N/A (Not found)")</f>
        <v>N/A (Not found)</v>
      </c>
      <c r="N1935" s="33">
        <f>IFERROR(__xludf.DUMMYFUNCTION("""COMPUTED_VALUE"""),0.5)</f>
        <v>0.5</v>
      </c>
      <c r="O1935" s="4" t="str">
        <f>IFERROR(__xludf.DUMMYFUNCTION("""COMPUTED_VALUE"""),"N/A (Not found)")</f>
        <v>N/A (Not found)</v>
      </c>
      <c r="P1935" s="33">
        <f>IFERROR(__xludf.DUMMYFUNCTION("""COMPUTED_VALUE"""),0.75)</f>
        <v>0.75</v>
      </c>
      <c r="Q1935" s="4" t="str">
        <f>IFERROR(__xludf.DUMMYFUNCTION("""COMPUTED_VALUE"""),"N/A (Not found)")</f>
        <v>N/A (Not found)</v>
      </c>
      <c r="R1935" s="33">
        <f>IFERROR(__xludf.DUMMYFUNCTION("""COMPUTED_VALUE"""),0.75)</f>
        <v>0.75</v>
      </c>
      <c r="S1935" s="4" t="str">
        <f>IFERROR(__xludf.DUMMYFUNCTION("""COMPUTED_VALUE"""),"N/A (Not found)")</f>
        <v>N/A (Not found)</v>
      </c>
      <c r="T1935" s="33">
        <f>IFERROR(__xludf.DUMMYFUNCTION("""COMPUTED_VALUE"""),0.5)</f>
        <v>0.5</v>
      </c>
      <c r="U1935" s="4" t="str">
        <f>IFERROR(__xludf.DUMMYFUNCTION("""COMPUTED_VALUE"""),"N/A (Not found)")</f>
        <v>N/A (Not found)</v>
      </c>
      <c r="V1935" s="33">
        <f>IFERROR(__xludf.DUMMYFUNCTION("""COMPUTED_VALUE"""),0.5)</f>
        <v>0.5</v>
      </c>
      <c r="W1935" s="4" t="str">
        <f>IFERROR(__xludf.DUMMYFUNCTION("""COMPUTED_VALUE"""),"N/A (Not found)")</f>
        <v>N/A (Not found)</v>
      </c>
      <c r="X1935" s="33">
        <f>IFERROR(__xludf.DUMMYFUNCTION("""COMPUTED_VALUE"""),0.75)</f>
        <v>0.75</v>
      </c>
    </row>
    <row r="1936">
      <c r="K1936" s="4" t="str">
        <f>IFERROR(__xludf.DUMMYFUNCTION("""COMPUTED_VALUE"""),"ACAI IMPERIAL")</f>
        <v>ACAI IMPERIAL</v>
      </c>
      <c r="L1936" s="32">
        <f>IFERROR(__xludf.DUMMYFUNCTION("""COMPUTED_VALUE"""),4.0)</f>
        <v>4</v>
      </c>
      <c r="M1936" s="4" t="str">
        <f>IFERROR(__xludf.DUMMYFUNCTION("""COMPUTED_VALUE"""),"null")</f>
        <v>null</v>
      </c>
      <c r="N1936" s="33">
        <f>IFERROR(__xludf.DUMMYFUNCTION("""COMPUTED_VALUE"""),0.5)</f>
        <v>0.5</v>
      </c>
      <c r="O1936" s="4" t="str">
        <f>IFERROR(__xludf.DUMMYFUNCTION("""COMPUTED_VALUE"""),"null")</f>
        <v>null</v>
      </c>
      <c r="P1936" s="33">
        <f>IFERROR(__xludf.DUMMYFUNCTION("""COMPUTED_VALUE"""),0.5)</f>
        <v>0.5</v>
      </c>
      <c r="Q1936" s="4" t="str">
        <f>IFERROR(__xludf.DUMMYFUNCTION("""COMPUTED_VALUE"""),"null")</f>
        <v>null</v>
      </c>
      <c r="R1936" s="33">
        <f>IFERROR(__xludf.DUMMYFUNCTION("""COMPUTED_VALUE"""),0.5)</f>
        <v>0.5</v>
      </c>
      <c r="S1936" s="4" t="str">
        <f>IFERROR(__xludf.DUMMYFUNCTION("""COMPUTED_VALUE"""),"null")</f>
        <v>null</v>
      </c>
      <c r="T1936" s="33">
        <f>IFERROR(__xludf.DUMMYFUNCTION("""COMPUTED_VALUE"""),0.5)</f>
        <v>0.5</v>
      </c>
      <c r="U1936" s="4" t="str">
        <f>IFERROR(__xludf.DUMMYFUNCTION("""COMPUTED_VALUE"""),"null")</f>
        <v>null</v>
      </c>
      <c r="V1936" s="33">
        <f>IFERROR(__xludf.DUMMYFUNCTION("""COMPUTED_VALUE"""),0.25)</f>
        <v>0.25</v>
      </c>
      <c r="W1936" s="4" t="str">
        <f>IFERROR(__xludf.DUMMYFUNCTION("""COMPUTED_VALUE"""),"null")</f>
        <v>null</v>
      </c>
      <c r="X1936" s="33">
        <f>IFERROR(__xludf.DUMMYFUNCTION("""COMPUTED_VALUE"""),0.5)</f>
        <v>0.5</v>
      </c>
    </row>
    <row r="1937">
      <c r="K1937" s="4" t="str">
        <f>IFERROR(__xludf.DUMMYFUNCTION("""COMPUTED_VALUE"""),"FARMACIA DO TRABALHADOR DE ALAGOAS")</f>
        <v>FARMACIA DO TRABALHADOR DE ALAGOAS</v>
      </c>
      <c r="L1937" s="32">
        <f>IFERROR(__xludf.DUMMYFUNCTION("""COMPUTED_VALUE"""),4.0)</f>
        <v>4</v>
      </c>
      <c r="M1937" s="4" t="str">
        <f>IFERROR(__xludf.DUMMYFUNCTION("""COMPUTED_VALUE"""),"null")</f>
        <v>null</v>
      </c>
      <c r="N1937" s="33">
        <f>IFERROR(__xludf.DUMMYFUNCTION("""COMPUTED_VALUE"""),0.5)</f>
        <v>0.5</v>
      </c>
      <c r="O1937" s="4" t="str">
        <f>IFERROR(__xludf.DUMMYFUNCTION("""COMPUTED_VALUE"""),"N/A (Not found)")</f>
        <v>N/A (Not found)</v>
      </c>
      <c r="P1937" s="33">
        <f>IFERROR(__xludf.DUMMYFUNCTION("""COMPUTED_VALUE"""),0.75)</f>
        <v>0.75</v>
      </c>
      <c r="Q1937" s="4" t="str">
        <f>IFERROR(__xludf.DUMMYFUNCTION("""COMPUTED_VALUE"""),"N/A (Not found)")</f>
        <v>N/A (Not found)</v>
      </c>
      <c r="R1937" s="33">
        <f>IFERROR(__xludf.DUMMYFUNCTION("""COMPUTED_VALUE"""),0.75)</f>
        <v>0.75</v>
      </c>
      <c r="S1937" s="4" t="str">
        <f>IFERROR(__xludf.DUMMYFUNCTION("""COMPUTED_VALUE"""),"N/A (Not found)")</f>
        <v>N/A (Not found)</v>
      </c>
      <c r="T1937" s="33">
        <f>IFERROR(__xludf.DUMMYFUNCTION("""COMPUTED_VALUE"""),0.75)</f>
        <v>0.75</v>
      </c>
      <c r="U1937" s="4" t="str">
        <f>IFERROR(__xludf.DUMMYFUNCTION("""COMPUTED_VALUE"""),"N/A (Not found)")</f>
        <v>N/A (Not found)</v>
      </c>
      <c r="V1937" s="33">
        <f>IFERROR(__xludf.DUMMYFUNCTION("""COMPUTED_VALUE"""),0.75)</f>
        <v>0.75</v>
      </c>
      <c r="W1937" s="4" t="str">
        <f>IFERROR(__xludf.DUMMYFUNCTION("""COMPUTED_VALUE"""),"N/A (Not found)")</f>
        <v>N/A (Not found)</v>
      </c>
      <c r="X1937" s="33">
        <f>IFERROR(__xludf.DUMMYFUNCTION("""COMPUTED_VALUE"""),0.75)</f>
        <v>0.75</v>
      </c>
    </row>
    <row r="1938">
      <c r="K1938" s="4" t="str">
        <f>IFERROR(__xludf.DUMMYFUNCTION("""COMPUTED_VALUE"""),"DELICIAS DA JUJU")</f>
        <v>DELICIAS DA JUJU</v>
      </c>
      <c r="L1938" s="32">
        <f>IFERROR(__xludf.DUMMYFUNCTION("""COMPUTED_VALUE"""),4.0)</f>
        <v>4</v>
      </c>
      <c r="M1938" s="4" t="str">
        <f>IFERROR(__xludf.DUMMYFUNCTION("""COMPUTED_VALUE"""),"null")</f>
        <v>null</v>
      </c>
      <c r="N1938" s="33">
        <f>IFERROR(__xludf.DUMMYFUNCTION("""COMPUTED_VALUE"""),0.5)</f>
        <v>0.5</v>
      </c>
      <c r="O1938" s="4" t="str">
        <f>IFERROR(__xludf.DUMMYFUNCTION("""COMPUTED_VALUE"""),"null")</f>
        <v>null</v>
      </c>
      <c r="P1938" s="33">
        <f>IFERROR(__xludf.DUMMYFUNCTION("""COMPUTED_VALUE"""),0.75)</f>
        <v>0.75</v>
      </c>
      <c r="Q1938" s="4" t="str">
        <f>IFERROR(__xludf.DUMMYFUNCTION("""COMPUTED_VALUE"""),"Instadelivery")</f>
        <v>Instadelivery</v>
      </c>
      <c r="R1938" s="33">
        <f>IFERROR(__xludf.DUMMYFUNCTION("""COMPUTED_VALUE"""),0.5)</f>
        <v>0.5</v>
      </c>
      <c r="S1938" s="4" t="str">
        <f>IFERROR(__xludf.DUMMYFUNCTION("""COMPUTED_VALUE"""),"null")</f>
        <v>null</v>
      </c>
      <c r="T1938" s="33">
        <f>IFERROR(__xludf.DUMMYFUNCTION("""COMPUTED_VALUE"""),0.5)</f>
        <v>0.5</v>
      </c>
      <c r="U1938" s="4" t="str">
        <f>IFERROR(__xludf.DUMMYFUNCTION("""COMPUTED_VALUE"""),"null")</f>
        <v>null</v>
      </c>
      <c r="V1938" s="33">
        <f>IFERROR(__xludf.DUMMYFUNCTION("""COMPUTED_VALUE"""),0.5)</f>
        <v>0.5</v>
      </c>
      <c r="W1938" s="4" t="str">
        <f>IFERROR(__xludf.DUMMYFUNCTION("""COMPUTED_VALUE"""),"Instadelivery")</f>
        <v>Instadelivery</v>
      </c>
      <c r="X1938" s="33">
        <f>IFERROR(__xludf.DUMMYFUNCTION("""COMPUTED_VALUE"""),0.5)</f>
        <v>0.5</v>
      </c>
    </row>
    <row r="1939">
      <c r="K1939" s="4" t="str">
        <f>IFERROR(__xludf.DUMMYFUNCTION("""COMPUTED_VALUE"""),"SABOR DE MINAS")</f>
        <v>SABOR DE MINAS</v>
      </c>
      <c r="L1939" s="32">
        <f>IFERROR(__xludf.DUMMYFUNCTION("""COMPUTED_VALUE"""),4.0)</f>
        <v>4</v>
      </c>
      <c r="M1939" s="4" t="str">
        <f>IFERROR(__xludf.DUMMYFUNCTION("""COMPUTED_VALUE"""),"Saipos Serviços De Software")</f>
        <v>Saipos Serviços De Software</v>
      </c>
      <c r="N1939" s="33">
        <f>IFERROR(__xludf.DUMMYFUNCTION("""COMPUTED_VALUE"""),0.5)</f>
        <v>0.5</v>
      </c>
      <c r="O1939" s="4" t="str">
        <f>IFERROR(__xludf.DUMMYFUNCTION("""COMPUTED_VALUE"""),"Saipos Serviços De Software")</f>
        <v>Saipos Serviços De Software</v>
      </c>
      <c r="P1939" s="33">
        <f>IFERROR(__xludf.DUMMYFUNCTION("""COMPUTED_VALUE"""),0.5)</f>
        <v>0.5</v>
      </c>
      <c r="Q1939" s="4" t="str">
        <f>IFERROR(__xludf.DUMMYFUNCTION("""COMPUTED_VALUE"""),"Saipos Serviços De Software")</f>
        <v>Saipos Serviços De Software</v>
      </c>
      <c r="R1939" s="33">
        <f>IFERROR(__xludf.DUMMYFUNCTION("""COMPUTED_VALUE"""),0.5)</f>
        <v>0.5</v>
      </c>
      <c r="S1939" s="4" t="str">
        <f>IFERROR(__xludf.DUMMYFUNCTION("""COMPUTED_VALUE"""),"Ncr")</f>
        <v>Ncr</v>
      </c>
      <c r="T1939" s="33">
        <f>IFERROR(__xludf.DUMMYFUNCTION("""COMPUTED_VALUE"""),0.25)</f>
        <v>0.25</v>
      </c>
      <c r="U1939" s="4" t="str">
        <f>IFERROR(__xludf.DUMMYFUNCTION("""COMPUTED_VALUE"""),"null")</f>
        <v>null</v>
      </c>
      <c r="V1939" s="33">
        <f>IFERROR(__xludf.DUMMYFUNCTION("""COMPUTED_VALUE"""),0.5)</f>
        <v>0.5</v>
      </c>
      <c r="W1939" s="4" t="str">
        <f>IFERROR(__xludf.DUMMYFUNCTION("""COMPUTED_VALUE"""),"null")</f>
        <v>null</v>
      </c>
      <c r="X1939" s="33">
        <f>IFERROR(__xludf.DUMMYFUNCTION("""COMPUTED_VALUE"""),0.5)</f>
        <v>0.5</v>
      </c>
    </row>
    <row r="1940">
      <c r="K1940" s="4" t="str">
        <f>IFERROR(__xludf.DUMMYFUNCTION("""COMPUTED_VALUE"""),"BLACK BURGUER")</f>
        <v>BLACK BURGUER</v>
      </c>
      <c r="L1940" s="32">
        <f>IFERROR(__xludf.DUMMYFUNCTION("""COMPUTED_VALUE"""),4.0)</f>
        <v>4</v>
      </c>
      <c r="M1940" s="4" t="str">
        <f>IFERROR(__xludf.DUMMYFUNCTION("""COMPUTED_VALUE"""),"null")</f>
        <v>null</v>
      </c>
      <c r="N1940" s="33">
        <f>IFERROR(__xludf.DUMMYFUNCTION("""COMPUTED_VALUE"""),0.5)</f>
        <v>0.5</v>
      </c>
      <c r="O1940" s="4" t="str">
        <f>IFERROR(__xludf.DUMMYFUNCTION("""COMPUTED_VALUE"""),"Anota Ai Solucoes Digitais S/a")</f>
        <v>Anota Ai Solucoes Digitais S/a</v>
      </c>
      <c r="P1940" s="33">
        <f>IFERROR(__xludf.DUMMYFUNCTION("""COMPUTED_VALUE"""),0.25)</f>
        <v>0.25</v>
      </c>
      <c r="Q1940" s="4" t="str">
        <f>IFERROR(__xludf.DUMMYFUNCTION("""COMPUTED_VALUE"""),"Anota Ai Solucoes Digitais S/a")</f>
        <v>Anota Ai Solucoes Digitais S/a</v>
      </c>
      <c r="R1940" s="33">
        <f>IFERROR(__xludf.DUMMYFUNCTION("""COMPUTED_VALUE"""),0.25)</f>
        <v>0.25</v>
      </c>
      <c r="S1940" s="4" t="str">
        <f>IFERROR(__xludf.DUMMYFUNCTION("""COMPUTED_VALUE"""),"Anota Ai Solucoes Digitais S/a")</f>
        <v>Anota Ai Solucoes Digitais S/a</v>
      </c>
      <c r="T1940" s="33">
        <f>IFERROR(__xludf.DUMMYFUNCTION("""COMPUTED_VALUE"""),0.25)</f>
        <v>0.25</v>
      </c>
      <c r="U1940" s="4" t="str">
        <f>IFERROR(__xludf.DUMMYFUNCTION("""COMPUTED_VALUE"""),"Anota Ai Solucoes Digitais S/a")</f>
        <v>Anota Ai Solucoes Digitais S/a</v>
      </c>
      <c r="V1940" s="33">
        <f>IFERROR(__xludf.DUMMYFUNCTION("""COMPUTED_VALUE"""),0.25)</f>
        <v>0.25</v>
      </c>
      <c r="W1940" s="4" t="str">
        <f>IFERROR(__xludf.DUMMYFUNCTION("""COMPUTED_VALUE"""),"Anota Ai Solucoes Digitais S/a")</f>
        <v>Anota Ai Solucoes Digitais S/a</v>
      </c>
      <c r="X1940" s="33">
        <f>IFERROR(__xludf.DUMMYFUNCTION("""COMPUTED_VALUE"""),0.25)</f>
        <v>0.25</v>
      </c>
    </row>
    <row r="1941">
      <c r="K1941" s="4" t="str">
        <f>IFERROR(__xludf.DUMMYFUNCTION("""COMPUTED_VALUE"""),"ALOHA ACAI")</f>
        <v>ALOHA ACAI</v>
      </c>
      <c r="L1941" s="32">
        <f>IFERROR(__xludf.DUMMYFUNCTION("""COMPUTED_VALUE"""),4.0)</f>
        <v>4</v>
      </c>
      <c r="M1941" s="4" t="str">
        <f>IFERROR(__xludf.DUMMYFUNCTION("""COMPUTED_VALUE"""),"Connectplug")</f>
        <v>Connectplug</v>
      </c>
      <c r="N1941" s="33">
        <f>IFERROR(__xludf.DUMMYFUNCTION("""COMPUTED_VALUE"""),0.25)</f>
        <v>0.25</v>
      </c>
      <c r="O1941" s="4" t="str">
        <f>IFERROR(__xludf.DUMMYFUNCTION("""COMPUTED_VALUE"""),"Anota Ai Solucoes Digitais S/a")</f>
        <v>Anota Ai Solucoes Digitais S/a</v>
      </c>
      <c r="P1941" s="33">
        <f>IFERROR(__xludf.DUMMYFUNCTION("""COMPUTED_VALUE"""),0.25)</f>
        <v>0.25</v>
      </c>
      <c r="Q1941" s="4" t="str">
        <f>IFERROR(__xludf.DUMMYFUNCTION("""COMPUTED_VALUE"""),"Anota Ai Solucoes Digitais S/a")</f>
        <v>Anota Ai Solucoes Digitais S/a</v>
      </c>
      <c r="R1941" s="33">
        <f>IFERROR(__xludf.DUMMYFUNCTION("""COMPUTED_VALUE"""),0.25)</f>
        <v>0.25</v>
      </c>
      <c r="S1941" s="4" t="str">
        <f>IFERROR(__xludf.DUMMYFUNCTION("""COMPUTED_VALUE"""),"Anota Ai Solucoes Digitais S/a")</f>
        <v>Anota Ai Solucoes Digitais S/a</v>
      </c>
      <c r="T1941" s="33">
        <f>IFERROR(__xludf.DUMMYFUNCTION("""COMPUTED_VALUE"""),0.25)</f>
        <v>0.25</v>
      </c>
      <c r="U1941" s="4" t="str">
        <f>IFERROR(__xludf.DUMMYFUNCTION("""COMPUTED_VALUE"""),"Ccm Pedido Online")</f>
        <v>Ccm Pedido Online</v>
      </c>
      <c r="V1941" s="33">
        <f>IFERROR(__xludf.DUMMYFUNCTION("""COMPUTED_VALUE"""),0.25)</f>
        <v>0.25</v>
      </c>
      <c r="W1941" s="4" t="str">
        <f>IFERROR(__xludf.DUMMYFUNCTION("""COMPUTED_VALUE"""),"Ccm Pedido Online")</f>
        <v>Ccm Pedido Online</v>
      </c>
      <c r="X1941" s="33">
        <f>IFERROR(__xludf.DUMMYFUNCTION("""COMPUTED_VALUE"""),0.25)</f>
        <v>0.25</v>
      </c>
    </row>
    <row r="1942">
      <c r="K1942" s="4" t="str">
        <f>IFERROR(__xludf.DUMMYFUNCTION("""COMPUTED_VALUE"""),"CASA DO LANCHE")</f>
        <v>CASA DO LANCHE</v>
      </c>
      <c r="L1942" s="32">
        <f>IFERROR(__xludf.DUMMYFUNCTION("""COMPUTED_VALUE"""),4.0)</f>
        <v>4</v>
      </c>
      <c r="M1942" s="4" t="str">
        <f>IFERROR(__xludf.DUMMYFUNCTION("""COMPUTED_VALUE"""),"Grsoft")</f>
        <v>Grsoft</v>
      </c>
      <c r="N1942" s="33">
        <f>IFERROR(__xludf.DUMMYFUNCTION("""COMPUTED_VALUE"""),0.25)</f>
        <v>0.25</v>
      </c>
      <c r="O1942" s="4" t="str">
        <f>IFERROR(__xludf.DUMMYFUNCTION("""COMPUTED_VALUE"""),"null")</f>
        <v>null</v>
      </c>
      <c r="P1942" s="33">
        <f>IFERROR(__xludf.DUMMYFUNCTION("""COMPUTED_VALUE"""),0.5)</f>
        <v>0.5</v>
      </c>
      <c r="Q1942" s="4" t="str">
        <f>IFERROR(__xludf.DUMMYFUNCTION("""COMPUTED_VALUE"""),"null")</f>
        <v>null</v>
      </c>
      <c r="R1942" s="33">
        <f>IFERROR(__xludf.DUMMYFUNCTION("""COMPUTED_VALUE"""),0.5)</f>
        <v>0.5</v>
      </c>
      <c r="S1942" s="4" t="str">
        <f>IFERROR(__xludf.DUMMYFUNCTION("""COMPUTED_VALUE"""),"Grsoft")</f>
        <v>Grsoft</v>
      </c>
      <c r="T1942" s="33">
        <f>IFERROR(__xludf.DUMMYFUNCTION("""COMPUTED_VALUE"""),0.25)</f>
        <v>0.25</v>
      </c>
      <c r="U1942" s="4" t="str">
        <f>IFERROR(__xludf.DUMMYFUNCTION("""COMPUTED_VALUE"""),"Grsoft")</f>
        <v>Grsoft</v>
      </c>
      <c r="V1942" s="33">
        <f>IFERROR(__xludf.DUMMYFUNCTION("""COMPUTED_VALUE"""),0.25)</f>
        <v>0.25</v>
      </c>
      <c r="W1942" s="4" t="str">
        <f>IFERROR(__xludf.DUMMYFUNCTION("""COMPUTED_VALUE"""),"Grsoft")</f>
        <v>Grsoft</v>
      </c>
      <c r="X1942" s="33">
        <f>IFERROR(__xludf.DUMMYFUNCTION("""COMPUTED_VALUE"""),0.25)</f>
        <v>0.25</v>
      </c>
    </row>
    <row r="1943">
      <c r="K1943" s="4" t="str">
        <f>IFERROR(__xludf.DUMMYFUNCTION("""COMPUTED_VALUE"""),"SENHORA PIZZA")</f>
        <v>SENHORA PIZZA</v>
      </c>
      <c r="L1943" s="32">
        <f>IFERROR(__xludf.DUMMYFUNCTION("""COMPUTED_VALUE"""),4.0)</f>
        <v>4</v>
      </c>
      <c r="M1943" s="4" t="str">
        <f>IFERROR(__xludf.DUMMYFUNCTION("""COMPUTED_VALUE"""),"Saipos Serviços De Software")</f>
        <v>Saipos Serviços De Software</v>
      </c>
      <c r="N1943" s="33">
        <f>IFERROR(__xludf.DUMMYFUNCTION("""COMPUTED_VALUE"""),0.5)</f>
        <v>0.5</v>
      </c>
      <c r="O1943" s="4" t="str">
        <f>IFERROR(__xludf.DUMMYFUNCTION("""COMPUTED_VALUE"""),"Saipos Serviços De Software")</f>
        <v>Saipos Serviços De Software</v>
      </c>
      <c r="P1943" s="33">
        <f>IFERROR(__xludf.DUMMYFUNCTION("""COMPUTED_VALUE"""),0.5)</f>
        <v>0.5</v>
      </c>
      <c r="Q1943" s="4" t="str">
        <f>IFERROR(__xludf.DUMMYFUNCTION("""COMPUTED_VALUE"""),"Saipos Serviços De Software")</f>
        <v>Saipos Serviços De Software</v>
      </c>
      <c r="R1943" s="33">
        <f>IFERROR(__xludf.DUMMYFUNCTION("""COMPUTED_VALUE"""),0.25)</f>
        <v>0.25</v>
      </c>
      <c r="S1943" s="4" t="str">
        <f>IFERROR(__xludf.DUMMYFUNCTION("""COMPUTED_VALUE"""),"Saipos Serviços De Software")</f>
        <v>Saipos Serviços De Software</v>
      </c>
      <c r="T1943" s="33">
        <f>IFERROR(__xludf.DUMMYFUNCTION("""COMPUTED_VALUE"""),0.25)</f>
        <v>0.25</v>
      </c>
      <c r="U1943" s="4" t="str">
        <f>IFERROR(__xludf.DUMMYFUNCTION("""COMPUTED_VALUE"""),"Saipos Serviços De Software")</f>
        <v>Saipos Serviços De Software</v>
      </c>
      <c r="V1943" s="33">
        <f>IFERROR(__xludf.DUMMYFUNCTION("""COMPUTED_VALUE"""),0.25)</f>
        <v>0.25</v>
      </c>
      <c r="W1943" s="4" t="str">
        <f>IFERROR(__xludf.DUMMYFUNCTION("""COMPUTED_VALUE"""),"Saipos Serviços De Software")</f>
        <v>Saipos Serviços De Software</v>
      </c>
      <c r="X1943" s="33">
        <f>IFERROR(__xludf.DUMMYFUNCTION("""COMPUTED_VALUE"""),0.25)</f>
        <v>0.25</v>
      </c>
    </row>
    <row r="1944">
      <c r="K1944" s="4" t="str">
        <f>IFERROR(__xludf.DUMMYFUNCTION("""COMPUTED_VALUE"""),"XIS DO GAUCHO")</f>
        <v>XIS DO GAUCHO</v>
      </c>
      <c r="L1944" s="32">
        <f>IFERROR(__xludf.DUMMYFUNCTION("""COMPUTED_VALUE"""),4.0)</f>
        <v>4</v>
      </c>
      <c r="M1944" s="4" t="str">
        <f>IFERROR(__xludf.DUMMYFUNCTION("""COMPUTED_VALUE"""),"Saipos Serviços De Software")</f>
        <v>Saipos Serviços De Software</v>
      </c>
      <c r="N1944" s="33">
        <f>IFERROR(__xludf.DUMMYFUNCTION("""COMPUTED_VALUE"""),0.5)</f>
        <v>0.5</v>
      </c>
      <c r="O1944" s="4" t="str">
        <f>IFERROR(__xludf.DUMMYFUNCTION("""COMPUTED_VALUE"""),"Saipos Serviços De Software")</f>
        <v>Saipos Serviços De Software</v>
      </c>
      <c r="P1944" s="33">
        <f>IFERROR(__xludf.DUMMYFUNCTION("""COMPUTED_VALUE"""),0.5)</f>
        <v>0.5</v>
      </c>
      <c r="Q1944" s="4" t="str">
        <f>IFERROR(__xludf.DUMMYFUNCTION("""COMPUTED_VALUE"""),"Saipos Serviços De Software")</f>
        <v>Saipos Serviços De Software</v>
      </c>
      <c r="R1944" s="33">
        <f>IFERROR(__xludf.DUMMYFUNCTION("""COMPUTED_VALUE"""),0.5)</f>
        <v>0.5</v>
      </c>
      <c r="S1944" s="4" t="str">
        <f>IFERROR(__xludf.DUMMYFUNCTION("""COMPUTED_VALUE"""),"Saipos Serviços De Software")</f>
        <v>Saipos Serviços De Software</v>
      </c>
      <c r="T1944" s="33">
        <f>IFERROR(__xludf.DUMMYFUNCTION("""COMPUTED_VALUE"""),0.5)</f>
        <v>0.5</v>
      </c>
      <c r="U1944" s="4" t="str">
        <f>IFERROR(__xludf.DUMMYFUNCTION("""COMPUTED_VALUE"""),"Saipos Serviços De Software")</f>
        <v>Saipos Serviços De Software</v>
      </c>
      <c r="V1944" s="33">
        <f>IFERROR(__xludf.DUMMYFUNCTION("""COMPUTED_VALUE"""),0.75)</f>
        <v>0.75</v>
      </c>
      <c r="W1944" s="4" t="str">
        <f>IFERROR(__xludf.DUMMYFUNCTION("""COMPUTED_VALUE"""),"Saipos Serviços De Software")</f>
        <v>Saipos Serviços De Software</v>
      </c>
      <c r="X1944" s="33">
        <f>IFERROR(__xludf.DUMMYFUNCTION("""COMPUTED_VALUE"""),0.5)</f>
        <v>0.5</v>
      </c>
    </row>
    <row r="1945">
      <c r="K1945" s="4" t="str">
        <f>IFERROR(__xludf.DUMMYFUNCTION("""COMPUTED_VALUE"""),"O ACAI")</f>
        <v>O ACAI</v>
      </c>
      <c r="L1945" s="32">
        <f>IFERROR(__xludf.DUMMYFUNCTION("""COMPUTED_VALUE"""),4.0)</f>
        <v>4</v>
      </c>
      <c r="M1945" s="4" t="str">
        <f>IFERROR(__xludf.DUMMYFUNCTION("""COMPUTED_VALUE"""),"Yooga")</f>
        <v>Yooga</v>
      </c>
      <c r="N1945" s="33">
        <f>IFERROR(__xludf.DUMMYFUNCTION("""COMPUTED_VALUE"""),0.75)</f>
        <v>0.75</v>
      </c>
      <c r="O1945" s="4" t="str">
        <f>IFERROR(__xludf.DUMMYFUNCTION("""COMPUTED_VALUE"""),"null")</f>
        <v>null</v>
      </c>
      <c r="P1945" s="33">
        <f>IFERROR(__xludf.DUMMYFUNCTION("""COMPUTED_VALUE"""),0.5)</f>
        <v>0.5</v>
      </c>
      <c r="Q1945" s="4" t="str">
        <f>IFERROR(__xludf.DUMMYFUNCTION("""COMPUTED_VALUE"""),"null")</f>
        <v>null</v>
      </c>
      <c r="R1945" s="33">
        <f>IFERROR(__xludf.DUMMYFUNCTION("""COMPUTED_VALUE"""),1.0)</f>
        <v>1</v>
      </c>
      <c r="S1945" s="4" t="str">
        <f>IFERROR(__xludf.DUMMYFUNCTION("""COMPUTED_VALUE"""),"null")</f>
        <v>null</v>
      </c>
      <c r="T1945" s="33">
        <f>IFERROR(__xludf.DUMMYFUNCTION("""COMPUTED_VALUE"""),0.5)</f>
        <v>0.5</v>
      </c>
      <c r="U1945" s="4" t="str">
        <f>IFERROR(__xludf.DUMMYFUNCTION("""COMPUTED_VALUE"""),"null")</f>
        <v>null</v>
      </c>
      <c r="V1945" s="33">
        <f>IFERROR(__xludf.DUMMYFUNCTION("""COMPUTED_VALUE"""),1.0)</f>
        <v>1</v>
      </c>
      <c r="W1945" s="4" t="str">
        <f>IFERROR(__xludf.DUMMYFUNCTION("""COMPUTED_VALUE"""),"null")</f>
        <v>null</v>
      </c>
      <c r="X1945" s="33">
        <f>IFERROR(__xludf.DUMMYFUNCTION("""COMPUTED_VALUE"""),1.0)</f>
        <v>1</v>
      </c>
    </row>
    <row r="1946">
      <c r="K1946" s="4" t="str">
        <f>IFERROR(__xludf.DUMMYFUNCTION("""COMPUTED_VALUE"""),"RECANTO DO PASTEL")</f>
        <v>RECANTO DO PASTEL</v>
      </c>
      <c r="L1946" s="32">
        <f>IFERROR(__xludf.DUMMYFUNCTION("""COMPUTED_VALUE"""),4.0)</f>
        <v>4</v>
      </c>
      <c r="M1946" s="4" t="str">
        <f>IFERROR(__xludf.DUMMYFUNCTION("""COMPUTED_VALUE"""),"Ncr")</f>
        <v>Ncr</v>
      </c>
      <c r="N1946" s="33">
        <f>IFERROR(__xludf.DUMMYFUNCTION("""COMPUTED_VALUE"""),0.5)</f>
        <v>0.5</v>
      </c>
      <c r="O1946" s="4" t="str">
        <f>IFERROR(__xludf.DUMMYFUNCTION("""COMPUTED_VALUE"""),"Ncr")</f>
        <v>Ncr</v>
      </c>
      <c r="P1946" s="33">
        <f>IFERROR(__xludf.DUMMYFUNCTION("""COMPUTED_VALUE"""),0.5)</f>
        <v>0.5</v>
      </c>
      <c r="Q1946" s="4" t="str">
        <f>IFERROR(__xludf.DUMMYFUNCTION("""COMPUTED_VALUE"""),"Ncr")</f>
        <v>Ncr</v>
      </c>
      <c r="R1946" s="33">
        <f>IFERROR(__xludf.DUMMYFUNCTION("""COMPUTED_VALUE"""),0.5)</f>
        <v>0.5</v>
      </c>
      <c r="S1946" s="4" t="str">
        <f>IFERROR(__xludf.DUMMYFUNCTION("""COMPUTED_VALUE"""),"Ncr")</f>
        <v>Ncr</v>
      </c>
      <c r="T1946" s="33">
        <f>IFERROR(__xludf.DUMMYFUNCTION("""COMPUTED_VALUE"""),0.5)</f>
        <v>0.5</v>
      </c>
      <c r="U1946" s="4" t="str">
        <f>IFERROR(__xludf.DUMMYFUNCTION("""COMPUTED_VALUE"""),"Ncr")</f>
        <v>Ncr</v>
      </c>
      <c r="V1946" s="33">
        <f>IFERROR(__xludf.DUMMYFUNCTION("""COMPUTED_VALUE"""),0.5)</f>
        <v>0.5</v>
      </c>
      <c r="W1946" s="4" t="str">
        <f>IFERROR(__xludf.DUMMYFUNCTION("""COMPUTED_VALUE"""),"Ncr")</f>
        <v>Ncr</v>
      </c>
      <c r="X1946" s="33">
        <f>IFERROR(__xludf.DUMMYFUNCTION("""COMPUTED_VALUE"""),0.5)</f>
        <v>0.5</v>
      </c>
    </row>
    <row r="1947">
      <c r="K1947" s="4" t="str">
        <f>IFERROR(__xludf.DUMMYFUNCTION("""COMPUTED_VALUE"""),"COMIDA CASEIRA")</f>
        <v>COMIDA CASEIRA</v>
      </c>
      <c r="L1947" s="32">
        <f>IFERROR(__xludf.DUMMYFUNCTION("""COMPUTED_VALUE"""),4.0)</f>
        <v>4</v>
      </c>
      <c r="M1947" s="4" t="str">
        <f>IFERROR(__xludf.DUMMYFUNCTION("""COMPUTED_VALUE"""),"Saipos Serviços De Software")</f>
        <v>Saipos Serviços De Software</v>
      </c>
      <c r="N1947" s="33">
        <f>IFERROR(__xludf.DUMMYFUNCTION("""COMPUTED_VALUE"""),0.25)</f>
        <v>0.25</v>
      </c>
      <c r="O1947" s="4" t="str">
        <f>IFERROR(__xludf.DUMMYFUNCTION("""COMPUTED_VALUE"""),"Saipos Serviços De Software")</f>
        <v>Saipos Serviços De Software</v>
      </c>
      <c r="P1947" s="33">
        <f>IFERROR(__xludf.DUMMYFUNCTION("""COMPUTED_VALUE"""),0.25)</f>
        <v>0.25</v>
      </c>
      <c r="Q1947" s="4" t="str">
        <f>IFERROR(__xludf.DUMMYFUNCTION("""COMPUTED_VALUE"""),"null")</f>
        <v>null</v>
      </c>
      <c r="R1947" s="33">
        <f>IFERROR(__xludf.DUMMYFUNCTION("""COMPUTED_VALUE"""),0.5)</f>
        <v>0.5</v>
      </c>
      <c r="S1947" s="4" t="str">
        <f>IFERROR(__xludf.DUMMYFUNCTION("""COMPUTED_VALUE"""),"null")</f>
        <v>null</v>
      </c>
      <c r="T1947" s="33">
        <f>IFERROR(__xludf.DUMMYFUNCTION("""COMPUTED_VALUE"""),0.75)</f>
        <v>0.75</v>
      </c>
      <c r="U1947" s="4" t="str">
        <f>IFERROR(__xludf.DUMMYFUNCTION("""COMPUTED_VALUE"""),"null")</f>
        <v>null</v>
      </c>
      <c r="V1947" s="33">
        <f>IFERROR(__xludf.DUMMYFUNCTION("""COMPUTED_VALUE"""),0.75)</f>
        <v>0.75</v>
      </c>
      <c r="W1947" s="4" t="str">
        <f>IFERROR(__xludf.DUMMYFUNCTION("""COMPUTED_VALUE"""),"null")</f>
        <v>null</v>
      </c>
      <c r="X1947" s="33">
        <f>IFERROR(__xludf.DUMMYFUNCTION("""COMPUTED_VALUE"""),0.5)</f>
        <v>0.5</v>
      </c>
    </row>
    <row r="1948">
      <c r="K1948" s="4" t="str">
        <f>IFERROR(__xludf.DUMMYFUNCTION("""COMPUTED_VALUE"""),"SUSHI PRIME")</f>
        <v>SUSHI PRIME</v>
      </c>
      <c r="L1948" s="32">
        <f>IFERROR(__xludf.DUMMYFUNCTION("""COMPUTED_VALUE"""),4.0)</f>
        <v>4</v>
      </c>
      <c r="M1948" s="4" t="str">
        <f>IFERROR(__xludf.DUMMYFUNCTION("""COMPUTED_VALUE"""),"null")</f>
        <v>null</v>
      </c>
      <c r="N1948" s="33">
        <f>IFERROR(__xludf.DUMMYFUNCTION("""COMPUTED_VALUE"""),0.75)</f>
        <v>0.75</v>
      </c>
      <c r="O1948" s="4" t="str">
        <f>IFERROR(__xludf.DUMMYFUNCTION("""COMPUTED_VALUE"""),"null")</f>
        <v>null</v>
      </c>
      <c r="P1948" s="33">
        <f>IFERROR(__xludf.DUMMYFUNCTION("""COMPUTED_VALUE"""),0.75)</f>
        <v>0.75</v>
      </c>
      <c r="Q1948" s="4" t="str">
        <f>IFERROR(__xludf.DUMMYFUNCTION("""COMPUTED_VALUE"""),"Saipos Serviços De Software")</f>
        <v>Saipos Serviços De Software</v>
      </c>
      <c r="R1948" s="33">
        <f>IFERROR(__xludf.DUMMYFUNCTION("""COMPUTED_VALUE"""),0.5)</f>
        <v>0.5</v>
      </c>
      <c r="S1948" s="4" t="str">
        <f>IFERROR(__xludf.DUMMYFUNCTION("""COMPUTED_VALUE"""),"Saipos Serviços De Software")</f>
        <v>Saipos Serviços De Software</v>
      </c>
      <c r="T1948" s="33">
        <f>IFERROR(__xludf.DUMMYFUNCTION("""COMPUTED_VALUE"""),0.75)</f>
        <v>0.75</v>
      </c>
      <c r="U1948" s="4" t="str">
        <f>IFERROR(__xludf.DUMMYFUNCTION("""COMPUTED_VALUE"""),"null")</f>
        <v>null</v>
      </c>
      <c r="V1948" s="33">
        <f>IFERROR(__xludf.DUMMYFUNCTION("""COMPUTED_VALUE"""),0.5)</f>
        <v>0.5</v>
      </c>
      <c r="W1948" s="4" t="str">
        <f>IFERROR(__xludf.DUMMYFUNCTION("""COMPUTED_VALUE"""),"Saipos Serviços De Software")</f>
        <v>Saipos Serviços De Software</v>
      </c>
      <c r="X1948" s="33">
        <f>IFERROR(__xludf.DUMMYFUNCTION("""COMPUTED_VALUE"""),0.5)</f>
        <v>0.5</v>
      </c>
    </row>
    <row r="1949">
      <c r="K1949" s="4" t="str">
        <f>IFERROR(__xludf.DUMMYFUNCTION("""COMPUTED_VALUE"""),"KI LANCHES")</f>
        <v>KI LANCHES</v>
      </c>
      <c r="L1949" s="32">
        <f>IFERROR(__xludf.DUMMYFUNCTION("""COMPUTED_VALUE"""),4.0)</f>
        <v>4</v>
      </c>
      <c r="M1949" s="4" t="str">
        <f>IFERROR(__xludf.DUMMYFUNCTION("""COMPUTED_VALUE"""),"null")</f>
        <v>null</v>
      </c>
      <c r="N1949" s="33">
        <f>IFERROR(__xludf.DUMMYFUNCTION("""COMPUTED_VALUE"""),0.75)</f>
        <v>0.75</v>
      </c>
      <c r="O1949" s="4" t="str">
        <f>IFERROR(__xludf.DUMMYFUNCTION("""COMPUTED_VALUE"""),"null")</f>
        <v>null</v>
      </c>
      <c r="P1949" s="33">
        <f>IFERROR(__xludf.DUMMYFUNCTION("""COMPUTED_VALUE"""),0.5)</f>
        <v>0.5</v>
      </c>
      <c r="Q1949" s="4" t="str">
        <f>IFERROR(__xludf.DUMMYFUNCTION("""COMPUTED_VALUE"""),"null")</f>
        <v>null</v>
      </c>
      <c r="R1949" s="33">
        <f>IFERROR(__xludf.DUMMYFUNCTION("""COMPUTED_VALUE"""),0.5)</f>
        <v>0.5</v>
      </c>
      <c r="S1949" s="4" t="str">
        <f>IFERROR(__xludf.DUMMYFUNCTION("""COMPUTED_VALUE"""),"null")</f>
        <v>null</v>
      </c>
      <c r="T1949" s="33">
        <f>IFERROR(__xludf.DUMMYFUNCTION("""COMPUTED_VALUE"""),0.75)</f>
        <v>0.75</v>
      </c>
      <c r="U1949" s="4" t="str">
        <f>IFERROR(__xludf.DUMMYFUNCTION("""COMPUTED_VALUE"""),"null")</f>
        <v>null</v>
      </c>
      <c r="V1949" s="33">
        <f>IFERROR(__xludf.DUMMYFUNCTION("""COMPUTED_VALUE"""),0.75)</f>
        <v>0.75</v>
      </c>
      <c r="W1949" s="4" t="str">
        <f>IFERROR(__xludf.DUMMYFUNCTION("""COMPUTED_VALUE"""),"null")</f>
        <v>null</v>
      </c>
      <c r="X1949" s="33">
        <f>IFERROR(__xludf.DUMMYFUNCTION("""COMPUTED_VALUE"""),0.5)</f>
        <v>0.5</v>
      </c>
    </row>
    <row r="1950">
      <c r="K1950" s="4" t="str">
        <f>IFERROR(__xludf.DUMMYFUNCTION("""COMPUTED_VALUE"""),"PASTEL CIA")</f>
        <v>PASTEL CIA</v>
      </c>
      <c r="L1950" s="32">
        <f>IFERROR(__xludf.DUMMYFUNCTION("""COMPUTED_VALUE"""),4.0)</f>
        <v>4</v>
      </c>
      <c r="M1950" s="4" t="str">
        <f>IFERROR(__xludf.DUMMYFUNCTION("""COMPUTED_VALUE"""),"Consumer Soluções Em Tecnologia Ltda")</f>
        <v>Consumer Soluções Em Tecnologia Ltda</v>
      </c>
      <c r="N1950" s="33">
        <f>IFERROR(__xludf.DUMMYFUNCTION("""COMPUTED_VALUE"""),0.5)</f>
        <v>0.5</v>
      </c>
      <c r="O1950" s="4" t="str">
        <f>IFERROR(__xludf.DUMMYFUNCTION("""COMPUTED_VALUE"""),"Consumer Soluções Em Tecnologia Ltda")</f>
        <v>Consumer Soluções Em Tecnologia Ltda</v>
      </c>
      <c r="P1950" s="33">
        <f>IFERROR(__xludf.DUMMYFUNCTION("""COMPUTED_VALUE"""),0.5)</f>
        <v>0.5</v>
      </c>
      <c r="Q1950" s="4" t="str">
        <f>IFERROR(__xludf.DUMMYFUNCTION("""COMPUTED_VALUE"""),"Mapp Sistemas")</f>
        <v>Mapp Sistemas</v>
      </c>
      <c r="R1950" s="33">
        <f>IFERROR(__xludf.DUMMYFUNCTION("""COMPUTED_VALUE"""),0.5)</f>
        <v>0.5</v>
      </c>
      <c r="S1950" s="4" t="str">
        <f>IFERROR(__xludf.DUMMYFUNCTION("""COMPUTED_VALUE"""),"Consumer Soluções Em Tecnologia Ltda")</f>
        <v>Consumer Soluções Em Tecnologia Ltda</v>
      </c>
      <c r="T1950" s="33">
        <f>IFERROR(__xludf.DUMMYFUNCTION("""COMPUTED_VALUE"""),0.25)</f>
        <v>0.25</v>
      </c>
      <c r="U1950" s="4" t="str">
        <f>IFERROR(__xludf.DUMMYFUNCTION("""COMPUTED_VALUE"""),"Consumer Soluções Em Tecnologia Ltda")</f>
        <v>Consumer Soluções Em Tecnologia Ltda</v>
      </c>
      <c r="V1950" s="33">
        <f>IFERROR(__xludf.DUMMYFUNCTION("""COMPUTED_VALUE"""),0.25)</f>
        <v>0.25</v>
      </c>
      <c r="W1950" s="4" t="str">
        <f>IFERROR(__xludf.DUMMYFUNCTION("""COMPUTED_VALUE"""),"Consumer Soluções Em Tecnologia Ltda")</f>
        <v>Consumer Soluções Em Tecnologia Ltda</v>
      </c>
      <c r="X1950" s="33">
        <f>IFERROR(__xludf.DUMMYFUNCTION("""COMPUTED_VALUE"""),0.5)</f>
        <v>0.5</v>
      </c>
    </row>
    <row r="1951">
      <c r="K1951" s="4" t="str">
        <f>IFERROR(__xludf.DUMMYFUNCTION("""COMPUTED_VALUE"""),"I LOVE BURGER")</f>
        <v>I LOVE BURGER</v>
      </c>
      <c r="L1951" s="32">
        <f>IFERROR(__xludf.DUMMYFUNCTION("""COMPUTED_VALUE"""),4.0)</f>
        <v>4</v>
      </c>
      <c r="M1951" s="4" t="str">
        <f>IFERROR(__xludf.DUMMYFUNCTION("""COMPUTED_VALUE"""),"Eclética Tecnologia")</f>
        <v>Eclética Tecnologia</v>
      </c>
      <c r="N1951" s="33">
        <f>IFERROR(__xludf.DUMMYFUNCTION("""COMPUTED_VALUE"""),0.5)</f>
        <v>0.5</v>
      </c>
      <c r="O1951" s="4" t="str">
        <f>IFERROR(__xludf.DUMMYFUNCTION("""COMPUTED_VALUE"""),"null")</f>
        <v>null</v>
      </c>
      <c r="P1951" s="33">
        <f>IFERROR(__xludf.DUMMYFUNCTION("""COMPUTED_VALUE"""),0.5)</f>
        <v>0.5</v>
      </c>
      <c r="Q1951" s="4" t="str">
        <f>IFERROR(__xludf.DUMMYFUNCTION("""COMPUTED_VALUE"""),"null")</f>
        <v>null</v>
      </c>
      <c r="R1951" s="33">
        <f>IFERROR(__xludf.DUMMYFUNCTION("""COMPUTED_VALUE"""),0.5)</f>
        <v>0.5</v>
      </c>
      <c r="S1951" s="4" t="str">
        <f>IFERROR(__xludf.DUMMYFUNCTION("""COMPUTED_VALUE"""),"null")</f>
        <v>null</v>
      </c>
      <c r="T1951" s="33">
        <f>IFERROR(__xludf.DUMMYFUNCTION("""COMPUTED_VALUE"""),0.75)</f>
        <v>0.75</v>
      </c>
      <c r="U1951" s="4" t="str">
        <f>IFERROR(__xludf.DUMMYFUNCTION("""COMPUTED_VALUE"""),"null")</f>
        <v>null</v>
      </c>
      <c r="V1951" s="33">
        <f>IFERROR(__xludf.DUMMYFUNCTION("""COMPUTED_VALUE"""),0.5)</f>
        <v>0.5</v>
      </c>
      <c r="W1951" s="4" t="str">
        <f>IFERROR(__xludf.DUMMYFUNCTION("""COMPUTED_VALUE"""),"null")</f>
        <v>null</v>
      </c>
      <c r="X1951" s="33">
        <f>IFERROR(__xludf.DUMMYFUNCTION("""COMPUTED_VALUE"""),0.5)</f>
        <v>0.5</v>
      </c>
    </row>
    <row r="1952">
      <c r="K1952" s="4" t="str">
        <f>IFERROR(__xludf.DUMMYFUNCTION("""COMPUTED_VALUE"""),"SABOR DA CASA MARMITARIA")</f>
        <v>SABOR DA CASA MARMITARIA</v>
      </c>
      <c r="L1952" s="32">
        <f>IFERROR(__xludf.DUMMYFUNCTION("""COMPUTED_VALUE"""),4.0)</f>
        <v>4</v>
      </c>
      <c r="M1952" s="4" t="str">
        <f>IFERROR(__xludf.DUMMYFUNCTION("""COMPUTED_VALUE"""),"Dev10 Soluções Em Sotfware Ltda")</f>
        <v>Dev10 Soluções Em Sotfware Ltda</v>
      </c>
      <c r="N1952" s="33">
        <f>IFERROR(__xludf.DUMMYFUNCTION("""COMPUTED_VALUE"""),0.25)</f>
        <v>0.25</v>
      </c>
      <c r="O1952" s="4" t="str">
        <f>IFERROR(__xludf.DUMMYFUNCTION("""COMPUTED_VALUE"""),"Dev10 Soluções Em Sotfware Ltda")</f>
        <v>Dev10 Soluções Em Sotfware Ltda</v>
      </c>
      <c r="P1952" s="33">
        <f>IFERROR(__xludf.DUMMYFUNCTION("""COMPUTED_VALUE"""),0.25)</f>
        <v>0.25</v>
      </c>
      <c r="Q1952" s="4" t="str">
        <f>IFERROR(__xludf.DUMMYFUNCTION("""COMPUTED_VALUE"""),"Dev10 Soluções Em Sotfware Ltda")</f>
        <v>Dev10 Soluções Em Sotfware Ltda</v>
      </c>
      <c r="R1952" s="33">
        <f>IFERROR(__xludf.DUMMYFUNCTION("""COMPUTED_VALUE"""),0.25)</f>
        <v>0.25</v>
      </c>
      <c r="S1952" s="4" t="str">
        <f>IFERROR(__xludf.DUMMYFUNCTION("""COMPUTED_VALUE"""),"Dev10 Soluções Em Sotfware Ltda")</f>
        <v>Dev10 Soluções Em Sotfware Ltda</v>
      </c>
      <c r="T1952" s="33">
        <f>IFERROR(__xludf.DUMMYFUNCTION("""COMPUTED_VALUE"""),0.25)</f>
        <v>0.25</v>
      </c>
      <c r="U1952" s="4" t="str">
        <f>IFERROR(__xludf.DUMMYFUNCTION("""COMPUTED_VALUE"""),"Dev10 Soluções Em Sotfware Ltda")</f>
        <v>Dev10 Soluções Em Sotfware Ltda</v>
      </c>
      <c r="V1952" s="33">
        <f>IFERROR(__xludf.DUMMYFUNCTION("""COMPUTED_VALUE"""),0.25)</f>
        <v>0.25</v>
      </c>
      <c r="W1952" s="4" t="str">
        <f>IFERROR(__xludf.DUMMYFUNCTION("""COMPUTED_VALUE"""),"Dev10 Soluções Em Sotfware Ltda")</f>
        <v>Dev10 Soluções Em Sotfware Ltda</v>
      </c>
      <c r="X1952" s="33">
        <f>IFERROR(__xludf.DUMMYFUNCTION("""COMPUTED_VALUE"""),0.25)</f>
        <v>0.25</v>
      </c>
    </row>
    <row r="1953">
      <c r="K1953" s="4" t="str">
        <f>IFERROR(__xludf.DUMMYFUNCTION("""COMPUTED_VALUE"""),"GULA BURGUER")</f>
        <v>GULA BURGUER</v>
      </c>
      <c r="L1953" s="32">
        <f>IFERROR(__xludf.DUMMYFUNCTION("""COMPUTED_VALUE"""),4.0)</f>
        <v>4</v>
      </c>
      <c r="M1953" s="4" t="str">
        <f>IFERROR(__xludf.DUMMYFUNCTION("""COMPUTED_VALUE"""),"Anota Ai Solucoes Digitais S/a")</f>
        <v>Anota Ai Solucoes Digitais S/a</v>
      </c>
      <c r="N1953" s="33">
        <f>IFERROR(__xludf.DUMMYFUNCTION("""COMPUTED_VALUE"""),0.5)</f>
        <v>0.5</v>
      </c>
      <c r="O1953" s="4" t="str">
        <f>IFERROR(__xludf.DUMMYFUNCTION("""COMPUTED_VALUE"""),"Anota Ai Solucoes Digitais S/a")</f>
        <v>Anota Ai Solucoes Digitais S/a</v>
      </c>
      <c r="P1953" s="33">
        <f>IFERROR(__xludf.DUMMYFUNCTION("""COMPUTED_VALUE"""),0.5)</f>
        <v>0.5</v>
      </c>
      <c r="Q1953" s="4" t="str">
        <f>IFERROR(__xludf.DUMMYFUNCTION("""COMPUTED_VALUE"""),"Instadelivery")</f>
        <v>Instadelivery</v>
      </c>
      <c r="R1953" s="33">
        <f>IFERROR(__xludf.DUMMYFUNCTION("""COMPUTED_VALUE"""),0.25)</f>
        <v>0.25</v>
      </c>
      <c r="S1953" s="4" t="str">
        <f>IFERROR(__xludf.DUMMYFUNCTION("""COMPUTED_VALUE"""),"null")</f>
        <v>null</v>
      </c>
      <c r="T1953" s="33">
        <f>IFERROR(__xludf.DUMMYFUNCTION("""COMPUTED_VALUE"""),0.75)</f>
        <v>0.75</v>
      </c>
      <c r="U1953" s="4" t="str">
        <f>IFERROR(__xludf.DUMMYFUNCTION("""COMPUTED_VALUE"""),"null")</f>
        <v>null</v>
      </c>
      <c r="V1953" s="33">
        <f>IFERROR(__xludf.DUMMYFUNCTION("""COMPUTED_VALUE"""),0.5)</f>
        <v>0.5</v>
      </c>
      <c r="W1953" s="4" t="str">
        <f>IFERROR(__xludf.DUMMYFUNCTION("""COMPUTED_VALUE"""),"null")</f>
        <v>null</v>
      </c>
      <c r="X1953" s="33">
        <f>IFERROR(__xludf.DUMMYFUNCTION("""COMPUTED_VALUE"""),0.5)</f>
        <v>0.5</v>
      </c>
    </row>
    <row r="1954">
      <c r="K1954" s="4" t="str">
        <f>IFERROR(__xludf.DUMMYFUNCTION("""COMPUTED_VALUE"""),"SUPREMO BURGER")</f>
        <v>SUPREMO BURGER</v>
      </c>
      <c r="L1954" s="32">
        <f>IFERROR(__xludf.DUMMYFUNCTION("""COMPUTED_VALUE"""),4.0)</f>
        <v>4</v>
      </c>
      <c r="M1954" s="4" t="str">
        <f>IFERROR(__xludf.DUMMYFUNCTION("""COMPUTED_VALUE"""),"Consumer Soluções Em Tecnologia Ltda")</f>
        <v>Consumer Soluções Em Tecnologia Ltda</v>
      </c>
      <c r="N1954" s="33">
        <f>IFERROR(__xludf.DUMMYFUNCTION("""COMPUTED_VALUE"""),0.25)</f>
        <v>0.25</v>
      </c>
      <c r="O1954" s="4" t="str">
        <f>IFERROR(__xludf.DUMMYFUNCTION("""COMPUTED_VALUE"""),"Consumer Soluções Em Tecnologia Ltda")</f>
        <v>Consumer Soluções Em Tecnologia Ltda</v>
      </c>
      <c r="P1954" s="33">
        <f>IFERROR(__xludf.DUMMYFUNCTION("""COMPUTED_VALUE"""),0.25)</f>
        <v>0.25</v>
      </c>
      <c r="Q1954" s="4" t="str">
        <f>IFERROR(__xludf.DUMMYFUNCTION("""COMPUTED_VALUE"""),"Consumer Soluções Em Tecnologia Ltda")</f>
        <v>Consumer Soluções Em Tecnologia Ltda</v>
      </c>
      <c r="R1954" s="33">
        <f>IFERROR(__xludf.DUMMYFUNCTION("""COMPUTED_VALUE"""),0.25)</f>
        <v>0.25</v>
      </c>
      <c r="S1954" s="4" t="str">
        <f>IFERROR(__xludf.DUMMYFUNCTION("""COMPUTED_VALUE"""),"Consumer Soluções Em Tecnologia Ltda")</f>
        <v>Consumer Soluções Em Tecnologia Ltda</v>
      </c>
      <c r="T1954" s="33">
        <f>IFERROR(__xludf.DUMMYFUNCTION("""COMPUTED_VALUE"""),0.25)</f>
        <v>0.25</v>
      </c>
      <c r="U1954" s="4" t="str">
        <f>IFERROR(__xludf.DUMMYFUNCTION("""COMPUTED_VALUE"""),"Consumer Soluções Em Tecnologia Ltda")</f>
        <v>Consumer Soluções Em Tecnologia Ltda</v>
      </c>
      <c r="V1954" s="33">
        <f>IFERROR(__xludf.DUMMYFUNCTION("""COMPUTED_VALUE"""),0.25)</f>
        <v>0.25</v>
      </c>
      <c r="W1954" s="4" t="str">
        <f>IFERROR(__xludf.DUMMYFUNCTION("""COMPUTED_VALUE"""),"Consumer Soluções Em Tecnologia Ltda")</f>
        <v>Consumer Soluções Em Tecnologia Ltda</v>
      </c>
      <c r="X1954" s="33">
        <f>IFERROR(__xludf.DUMMYFUNCTION("""COMPUTED_VALUE"""),0.25)</f>
        <v>0.25</v>
      </c>
    </row>
    <row r="1955">
      <c r="K1955" s="4" t="str">
        <f>IFERROR(__xludf.DUMMYFUNCTION("""COMPUTED_VALUE"""),"CASA DA PIZZA DELIVERY")</f>
        <v>CASA DA PIZZA DELIVERY</v>
      </c>
      <c r="L1955" s="32">
        <f>IFERROR(__xludf.DUMMYFUNCTION("""COMPUTED_VALUE"""),4.0)</f>
        <v>4</v>
      </c>
      <c r="M1955" s="4" t="str">
        <f>IFERROR(__xludf.DUMMYFUNCTION("""COMPUTED_VALUE"""),"Mp Multipedidos")</f>
        <v>Mp Multipedidos</v>
      </c>
      <c r="N1955" s="33">
        <f>IFERROR(__xludf.DUMMYFUNCTION("""COMPUTED_VALUE"""),0.5)</f>
        <v>0.5</v>
      </c>
      <c r="O1955" s="4" t="str">
        <f>IFERROR(__xludf.DUMMYFUNCTION("""COMPUTED_VALUE"""),"Mp Multipedidos")</f>
        <v>Mp Multipedidos</v>
      </c>
      <c r="P1955" s="33">
        <f>IFERROR(__xludf.DUMMYFUNCTION("""COMPUTED_VALUE"""),0.5)</f>
        <v>0.5</v>
      </c>
      <c r="Q1955" s="4" t="str">
        <f>IFERROR(__xludf.DUMMYFUNCTION("""COMPUTED_VALUE"""),"null")</f>
        <v>null</v>
      </c>
      <c r="R1955" s="33">
        <f>IFERROR(__xludf.DUMMYFUNCTION("""COMPUTED_VALUE"""),0.5)</f>
        <v>0.5</v>
      </c>
      <c r="S1955" s="4" t="str">
        <f>IFERROR(__xludf.DUMMYFUNCTION("""COMPUTED_VALUE"""),"null")</f>
        <v>null</v>
      </c>
      <c r="T1955" s="33">
        <f>IFERROR(__xludf.DUMMYFUNCTION("""COMPUTED_VALUE"""),0.75)</f>
        <v>0.75</v>
      </c>
      <c r="U1955" s="4" t="str">
        <f>IFERROR(__xludf.DUMMYFUNCTION("""COMPUTED_VALUE"""),"null")</f>
        <v>null</v>
      </c>
      <c r="V1955" s="33">
        <f>IFERROR(__xludf.DUMMYFUNCTION("""COMPUTED_VALUE"""),0.5)</f>
        <v>0.5</v>
      </c>
      <c r="W1955" s="4" t="str">
        <f>IFERROR(__xludf.DUMMYFUNCTION("""COMPUTED_VALUE"""),"Mp Multipedidos")</f>
        <v>Mp Multipedidos</v>
      </c>
      <c r="X1955" s="33">
        <f>IFERROR(__xludf.DUMMYFUNCTION("""COMPUTED_VALUE"""),0.5)</f>
        <v>0.5</v>
      </c>
    </row>
    <row r="1956">
      <c r="K1956" s="4" t="str">
        <f>IFERROR(__xludf.DUMMYFUNCTION("""COMPUTED_VALUE"""),"BOB BURGUER")</f>
        <v>BOB BURGUER</v>
      </c>
      <c r="L1956" s="32">
        <f>IFERROR(__xludf.DUMMYFUNCTION("""COMPUTED_VALUE"""),4.0)</f>
        <v>4</v>
      </c>
      <c r="M1956" s="4" t="str">
        <f>IFERROR(__xludf.DUMMYFUNCTION("""COMPUTED_VALUE"""),"null")</f>
        <v>null</v>
      </c>
      <c r="N1956" s="33">
        <f>IFERROR(__xludf.DUMMYFUNCTION("""COMPUTED_VALUE"""),0.25)</f>
        <v>0.25</v>
      </c>
      <c r="O1956" s="4" t="str">
        <f>IFERROR(__xludf.DUMMYFUNCTION("""COMPUTED_VALUE"""),"null")</f>
        <v>null</v>
      </c>
      <c r="P1956" s="33">
        <f>IFERROR(__xludf.DUMMYFUNCTION("""COMPUTED_VALUE"""),0.5)</f>
        <v>0.5</v>
      </c>
      <c r="Q1956" s="4" t="str">
        <f>IFERROR(__xludf.DUMMYFUNCTION("""COMPUTED_VALUE"""),"Anota Ai Solucoes Digitais S/a")</f>
        <v>Anota Ai Solucoes Digitais S/a</v>
      </c>
      <c r="R1956" s="33">
        <f>IFERROR(__xludf.DUMMYFUNCTION("""COMPUTED_VALUE"""),0.5)</f>
        <v>0.5</v>
      </c>
      <c r="S1956" s="4" t="str">
        <f>IFERROR(__xludf.DUMMYFUNCTION("""COMPUTED_VALUE"""),"null")</f>
        <v>null</v>
      </c>
      <c r="T1956" s="33">
        <f>IFERROR(__xludf.DUMMYFUNCTION("""COMPUTED_VALUE"""),0.75)</f>
        <v>0.75</v>
      </c>
      <c r="U1956" s="4" t="str">
        <f>IFERROR(__xludf.DUMMYFUNCTION("""COMPUTED_VALUE"""),"null")</f>
        <v>null</v>
      </c>
      <c r="V1956" s="33">
        <f>IFERROR(__xludf.DUMMYFUNCTION("""COMPUTED_VALUE"""),0.5)</f>
        <v>0.5</v>
      </c>
      <c r="W1956" s="4" t="str">
        <f>IFERROR(__xludf.DUMMYFUNCTION("""COMPUTED_VALUE"""),"null")</f>
        <v>null</v>
      </c>
      <c r="X1956" s="33">
        <f>IFERROR(__xludf.DUMMYFUNCTION("""COMPUTED_VALUE"""),0.75)</f>
        <v>0.75</v>
      </c>
    </row>
    <row r="1957">
      <c r="K1957" s="4" t="str">
        <f>IFERROR(__xludf.DUMMYFUNCTION("""COMPUTED_VALUE"""),"FARMACIA BOM JESUS")</f>
        <v>FARMACIA BOM JESUS</v>
      </c>
      <c r="L1957" s="32">
        <f>IFERROR(__xludf.DUMMYFUNCTION("""COMPUTED_VALUE"""),4.0)</f>
        <v>4</v>
      </c>
      <c r="M1957" s="4" t="str">
        <f>IFERROR(__xludf.DUMMYFUNCTION("""COMPUTED_VALUE"""),"N/A (Not found)")</f>
        <v>N/A (Not found)</v>
      </c>
      <c r="N1957" s="33">
        <f>IFERROR(__xludf.DUMMYFUNCTION("""COMPUTED_VALUE"""),0.75)</f>
        <v>0.75</v>
      </c>
      <c r="O1957" s="4" t="str">
        <f>IFERROR(__xludf.DUMMYFUNCTION("""COMPUTED_VALUE"""),"N/A (Not found)")</f>
        <v>N/A (Not found)</v>
      </c>
      <c r="P1957" s="33">
        <f>IFERROR(__xludf.DUMMYFUNCTION("""COMPUTED_VALUE"""),0.75)</f>
        <v>0.75</v>
      </c>
      <c r="Q1957" s="4" t="str">
        <f>IFERROR(__xludf.DUMMYFUNCTION("""COMPUTED_VALUE"""),"N/A (Not found)")</f>
        <v>N/A (Not found)</v>
      </c>
      <c r="R1957" s="33">
        <f>IFERROR(__xludf.DUMMYFUNCTION("""COMPUTED_VALUE"""),0.75)</f>
        <v>0.75</v>
      </c>
      <c r="S1957" s="4" t="str">
        <f>IFERROR(__xludf.DUMMYFUNCTION("""COMPUTED_VALUE"""),"N/A (Not found)")</f>
        <v>N/A (Not found)</v>
      </c>
      <c r="T1957" s="33">
        <f>IFERROR(__xludf.DUMMYFUNCTION("""COMPUTED_VALUE"""),0.75)</f>
        <v>0.75</v>
      </c>
      <c r="U1957" s="4" t="str">
        <f>IFERROR(__xludf.DUMMYFUNCTION("""COMPUTED_VALUE"""),"N/A (Not found)")</f>
        <v>N/A (Not found)</v>
      </c>
      <c r="V1957" s="33">
        <f>IFERROR(__xludf.DUMMYFUNCTION("""COMPUTED_VALUE"""),1.0)</f>
        <v>1</v>
      </c>
      <c r="W1957" s="4" t="str">
        <f>IFERROR(__xludf.DUMMYFUNCTION("""COMPUTED_VALUE"""),"N/A (Not found)")</f>
        <v>N/A (Not found)</v>
      </c>
      <c r="X1957" s="33">
        <f>IFERROR(__xludf.DUMMYFUNCTION("""COMPUTED_VALUE"""),0.75)</f>
        <v>0.75</v>
      </c>
    </row>
    <row r="1958">
      <c r="K1958" s="4" t="str">
        <f>IFERROR(__xludf.DUMMYFUNCTION("""COMPUTED_VALUE"""),"POLLO LOKO")</f>
        <v>POLLO LOKO</v>
      </c>
      <c r="L1958" s="32">
        <f>IFERROR(__xludf.DUMMYFUNCTION("""COMPUTED_VALUE"""),4.0)</f>
        <v>4</v>
      </c>
      <c r="M1958" s="4" t="str">
        <f>IFERROR(__xludf.DUMMYFUNCTION("""COMPUTED_VALUE"""),"null")</f>
        <v>null</v>
      </c>
      <c r="N1958" s="33">
        <f>IFERROR(__xludf.DUMMYFUNCTION("""COMPUTED_VALUE"""),0.25)</f>
        <v>0.25</v>
      </c>
      <c r="O1958" s="4" t="str">
        <f>IFERROR(__xludf.DUMMYFUNCTION("""COMPUTED_VALUE"""),"Anota Ai Solucoes Digitais S/a")</f>
        <v>Anota Ai Solucoes Digitais S/a</v>
      </c>
      <c r="P1958" s="33">
        <f>IFERROR(__xludf.DUMMYFUNCTION("""COMPUTED_VALUE"""),0.25)</f>
        <v>0.25</v>
      </c>
      <c r="Q1958" s="4" t="str">
        <f>IFERROR(__xludf.DUMMYFUNCTION("""COMPUTED_VALUE"""),"Anota Ai Solucoes Digitais S/a")</f>
        <v>Anota Ai Solucoes Digitais S/a</v>
      </c>
      <c r="R1958" s="33">
        <f>IFERROR(__xludf.DUMMYFUNCTION("""COMPUTED_VALUE"""),0.25)</f>
        <v>0.25</v>
      </c>
      <c r="S1958" s="4" t="str">
        <f>IFERROR(__xludf.DUMMYFUNCTION("""COMPUTED_VALUE"""),"Anota Ai Solucoes Digitais S/a")</f>
        <v>Anota Ai Solucoes Digitais S/a</v>
      </c>
      <c r="T1958" s="33">
        <f>IFERROR(__xludf.DUMMYFUNCTION("""COMPUTED_VALUE"""),0.25)</f>
        <v>0.25</v>
      </c>
      <c r="U1958" s="4" t="str">
        <f>IFERROR(__xludf.DUMMYFUNCTION("""COMPUTED_VALUE"""),"Anota Ai Solucoes Digitais S/a")</f>
        <v>Anota Ai Solucoes Digitais S/a</v>
      </c>
      <c r="V1958" s="33">
        <f>IFERROR(__xludf.DUMMYFUNCTION("""COMPUTED_VALUE"""),0.25)</f>
        <v>0.25</v>
      </c>
      <c r="W1958" s="4" t="str">
        <f>IFERROR(__xludf.DUMMYFUNCTION("""COMPUTED_VALUE"""),"null")</f>
        <v>null</v>
      </c>
      <c r="X1958" s="33">
        <f>IFERROR(__xludf.DUMMYFUNCTION("""COMPUTED_VALUE"""),0.25)</f>
        <v>0.25</v>
      </c>
    </row>
    <row r="1959">
      <c r="K1959" s="4" t="str">
        <f>IFERROR(__xludf.DUMMYFUNCTION("""COMPUTED_VALUE"""),"GARAGEM BURGUER")</f>
        <v>GARAGEM BURGUER</v>
      </c>
      <c r="L1959" s="32">
        <f>IFERROR(__xludf.DUMMYFUNCTION("""COMPUTED_VALUE"""),4.0)</f>
        <v>4</v>
      </c>
      <c r="M1959" s="4" t="str">
        <f>IFERROR(__xludf.DUMMYFUNCTION("""COMPUTED_VALUE"""),"Instadelivery")</f>
        <v>Instadelivery</v>
      </c>
      <c r="N1959" s="33">
        <f>IFERROR(__xludf.DUMMYFUNCTION("""COMPUTED_VALUE"""),0.25)</f>
        <v>0.25</v>
      </c>
      <c r="O1959" s="4" t="str">
        <f>IFERROR(__xludf.DUMMYFUNCTION("""COMPUTED_VALUE"""),"Instadelivery")</f>
        <v>Instadelivery</v>
      </c>
      <c r="P1959" s="33">
        <f>IFERROR(__xludf.DUMMYFUNCTION("""COMPUTED_VALUE"""),0.25)</f>
        <v>0.25</v>
      </c>
      <c r="Q1959" s="4" t="str">
        <f>IFERROR(__xludf.DUMMYFUNCTION("""COMPUTED_VALUE"""),"Instadelivery")</f>
        <v>Instadelivery</v>
      </c>
      <c r="R1959" s="33">
        <f>IFERROR(__xludf.DUMMYFUNCTION("""COMPUTED_VALUE"""),0.25)</f>
        <v>0.25</v>
      </c>
      <c r="S1959" s="4" t="str">
        <f>IFERROR(__xludf.DUMMYFUNCTION("""COMPUTED_VALUE"""),"Instadelivery")</f>
        <v>Instadelivery</v>
      </c>
      <c r="T1959" s="33">
        <f>IFERROR(__xludf.DUMMYFUNCTION("""COMPUTED_VALUE"""),0.25)</f>
        <v>0.25</v>
      </c>
      <c r="U1959" s="4" t="str">
        <f>IFERROR(__xludf.DUMMYFUNCTION("""COMPUTED_VALUE"""),"Instadelivery")</f>
        <v>Instadelivery</v>
      </c>
      <c r="V1959" s="33">
        <f>IFERROR(__xludf.DUMMYFUNCTION("""COMPUTED_VALUE"""),0.25)</f>
        <v>0.25</v>
      </c>
      <c r="W1959" s="4" t="str">
        <f>IFERROR(__xludf.DUMMYFUNCTION("""COMPUTED_VALUE"""),"Instadelivery")</f>
        <v>Instadelivery</v>
      </c>
      <c r="X1959" s="33">
        <f>IFERROR(__xludf.DUMMYFUNCTION("""COMPUTED_VALUE"""),0.25)</f>
        <v>0.25</v>
      </c>
    </row>
    <row r="1960">
      <c r="K1960" s="4" t="str">
        <f>IFERROR(__xludf.DUMMYFUNCTION("""COMPUTED_VALUE"""),"POINT BURGUER")</f>
        <v>POINT BURGUER</v>
      </c>
      <c r="L1960" s="32">
        <f>IFERROR(__xludf.DUMMYFUNCTION("""COMPUTED_VALUE"""),4.0)</f>
        <v>4</v>
      </c>
      <c r="M1960" s="4" t="str">
        <f>IFERROR(__xludf.DUMMYFUNCTION("""COMPUTED_VALUE"""),"Anota Ai Solucoes Digitais S/a")</f>
        <v>Anota Ai Solucoes Digitais S/a</v>
      </c>
      <c r="N1960" s="33">
        <f>IFERROR(__xludf.DUMMYFUNCTION("""COMPUTED_VALUE"""),0.5)</f>
        <v>0.5</v>
      </c>
      <c r="O1960" s="4" t="str">
        <f>IFERROR(__xludf.DUMMYFUNCTION("""COMPUTED_VALUE"""),"Anota Ai Solucoes Digitais S/a")</f>
        <v>Anota Ai Solucoes Digitais S/a</v>
      </c>
      <c r="P1960" s="33">
        <f>IFERROR(__xludf.DUMMYFUNCTION("""COMPUTED_VALUE"""),0.5)</f>
        <v>0.5</v>
      </c>
      <c r="Q1960" s="4" t="str">
        <f>IFERROR(__xludf.DUMMYFUNCTION("""COMPUTED_VALUE"""),"Anota Ai Solucoes Digitais S/a")</f>
        <v>Anota Ai Solucoes Digitais S/a</v>
      </c>
      <c r="R1960" s="33">
        <f>IFERROR(__xludf.DUMMYFUNCTION("""COMPUTED_VALUE"""),0.5)</f>
        <v>0.5</v>
      </c>
      <c r="S1960" s="4" t="str">
        <f>IFERROR(__xludf.DUMMYFUNCTION("""COMPUTED_VALUE"""),"Anota Ai Solucoes Digitais S/a")</f>
        <v>Anota Ai Solucoes Digitais S/a</v>
      </c>
      <c r="T1960" s="33">
        <f>IFERROR(__xludf.DUMMYFUNCTION("""COMPUTED_VALUE"""),0.5)</f>
        <v>0.5</v>
      </c>
      <c r="U1960" s="4" t="str">
        <f>IFERROR(__xludf.DUMMYFUNCTION("""COMPUTED_VALUE"""),"Anota Ai Solucoes Digitais S/a")</f>
        <v>Anota Ai Solucoes Digitais S/a</v>
      </c>
      <c r="V1960" s="33">
        <f>IFERROR(__xludf.DUMMYFUNCTION("""COMPUTED_VALUE"""),0.5)</f>
        <v>0.5</v>
      </c>
      <c r="W1960" s="4" t="str">
        <f>IFERROR(__xludf.DUMMYFUNCTION("""COMPUTED_VALUE"""),"Anota Ai Solucoes Digitais S/a")</f>
        <v>Anota Ai Solucoes Digitais S/a</v>
      </c>
      <c r="X1960" s="33">
        <f>IFERROR(__xludf.DUMMYFUNCTION("""COMPUTED_VALUE"""),0.5)</f>
        <v>0.5</v>
      </c>
    </row>
    <row r="1961">
      <c r="K1961" s="4" t="str">
        <f>IFERROR(__xludf.DUMMYFUNCTION("""COMPUTED_VALUE"""),"CAROL LANCHES")</f>
        <v>CAROL LANCHES</v>
      </c>
      <c r="L1961" s="32">
        <f>IFERROR(__xludf.DUMMYFUNCTION("""COMPUTED_VALUE"""),4.0)</f>
        <v>4</v>
      </c>
      <c r="M1961" s="4" t="str">
        <f>IFERROR(__xludf.DUMMYFUNCTION("""COMPUTED_VALUE"""),"null")</f>
        <v>null</v>
      </c>
      <c r="N1961" s="33">
        <f>IFERROR(__xludf.DUMMYFUNCTION("""COMPUTED_VALUE"""),0.5)</f>
        <v>0.5</v>
      </c>
      <c r="O1961" s="4" t="str">
        <f>IFERROR(__xludf.DUMMYFUNCTION("""COMPUTED_VALUE"""),"null")</f>
        <v>null</v>
      </c>
      <c r="P1961" s="33">
        <f>IFERROR(__xludf.DUMMYFUNCTION("""COMPUTED_VALUE"""),0.5)</f>
        <v>0.5</v>
      </c>
      <c r="Q1961" s="4" t="str">
        <f>IFERROR(__xludf.DUMMYFUNCTION("""COMPUTED_VALUE"""),"null")</f>
        <v>null</v>
      </c>
      <c r="R1961" s="33">
        <f>IFERROR(__xludf.DUMMYFUNCTION("""COMPUTED_VALUE"""),0.75)</f>
        <v>0.75</v>
      </c>
      <c r="S1961" s="4" t="str">
        <f>IFERROR(__xludf.DUMMYFUNCTION("""COMPUTED_VALUE"""),"null")</f>
        <v>null</v>
      </c>
      <c r="T1961" s="33">
        <f>IFERROR(__xludf.DUMMYFUNCTION("""COMPUTED_VALUE"""),0.5)</f>
        <v>0.5</v>
      </c>
      <c r="U1961" s="4" t="str">
        <f>IFERROR(__xludf.DUMMYFUNCTION("""COMPUTED_VALUE"""),"Saipos Serviços De Software")</f>
        <v>Saipos Serviços De Software</v>
      </c>
      <c r="V1961" s="33">
        <f>IFERROR(__xludf.DUMMYFUNCTION("""COMPUTED_VALUE"""),0.5)</f>
        <v>0.5</v>
      </c>
      <c r="W1961" s="4" t="str">
        <f>IFERROR(__xludf.DUMMYFUNCTION("""COMPUTED_VALUE"""),"Saipos Serviços De Software")</f>
        <v>Saipos Serviços De Software</v>
      </c>
      <c r="X1961" s="33">
        <f>IFERROR(__xludf.DUMMYFUNCTION("""COMPUTED_VALUE"""),0.5)</f>
        <v>0.5</v>
      </c>
    </row>
    <row r="1962">
      <c r="K1962" s="4" t="str">
        <f>IFERROR(__xludf.DUMMYFUNCTION("""COMPUTED_VALUE"""),"PIZZARIA ITALIANA")</f>
        <v>PIZZARIA ITALIANA</v>
      </c>
      <c r="L1962" s="32">
        <f>IFERROR(__xludf.DUMMYFUNCTION("""COMPUTED_VALUE"""),4.0)</f>
        <v>4</v>
      </c>
      <c r="M1962" s="4" t="str">
        <f>IFERROR(__xludf.DUMMYFUNCTION("""COMPUTED_VALUE"""),"null")</f>
        <v>null</v>
      </c>
      <c r="N1962" s="33">
        <f>IFERROR(__xludf.DUMMYFUNCTION("""COMPUTED_VALUE"""),0.25)</f>
        <v>0.25</v>
      </c>
      <c r="O1962" s="4" t="str">
        <f>IFERROR(__xludf.DUMMYFUNCTION("""COMPUTED_VALUE"""),"null")</f>
        <v>null</v>
      </c>
      <c r="P1962" s="33">
        <f>IFERROR(__xludf.DUMMYFUNCTION("""COMPUTED_VALUE"""),0.25)</f>
        <v>0.25</v>
      </c>
      <c r="Q1962" s="4" t="str">
        <f>IFERROR(__xludf.DUMMYFUNCTION("""COMPUTED_VALUE"""),"null")</f>
        <v>null</v>
      </c>
      <c r="R1962" s="33">
        <f>IFERROR(__xludf.DUMMYFUNCTION("""COMPUTED_VALUE"""),0.5)</f>
        <v>0.5</v>
      </c>
      <c r="S1962" s="4" t="str">
        <f>IFERROR(__xludf.DUMMYFUNCTION("""COMPUTED_VALUE"""),"null")</f>
        <v>null</v>
      </c>
      <c r="T1962" s="33">
        <f>IFERROR(__xludf.DUMMYFUNCTION("""COMPUTED_VALUE"""),0.25)</f>
        <v>0.25</v>
      </c>
      <c r="U1962" s="4" t="str">
        <f>IFERROR(__xludf.DUMMYFUNCTION("""COMPUTED_VALUE"""),"M-du Tecnologia")</f>
        <v>M-du Tecnologia</v>
      </c>
      <c r="V1962" s="33">
        <f>IFERROR(__xludf.DUMMYFUNCTION("""COMPUTED_VALUE"""),0.25)</f>
        <v>0.25</v>
      </c>
      <c r="W1962" s="4" t="str">
        <f>IFERROR(__xludf.DUMMYFUNCTION("""COMPUTED_VALUE"""),"M-du Tecnologia")</f>
        <v>M-du Tecnologia</v>
      </c>
      <c r="X1962" s="33">
        <f>IFERROR(__xludf.DUMMYFUNCTION("""COMPUTED_VALUE"""),0.25)</f>
        <v>0.25</v>
      </c>
    </row>
    <row r="1963">
      <c r="K1963" s="4" t="str">
        <f>IFERROR(__xludf.DUMMYFUNCTION("""COMPUTED_VALUE"""),"LARICAO LANCHES")</f>
        <v>LARICAO LANCHES</v>
      </c>
      <c r="L1963" s="32">
        <f>IFERROR(__xludf.DUMMYFUNCTION("""COMPUTED_VALUE"""),4.0)</f>
        <v>4</v>
      </c>
      <c r="M1963" s="4" t="str">
        <f>IFERROR(__xludf.DUMMYFUNCTION("""COMPUTED_VALUE"""),"Saipos Serviços De Software")</f>
        <v>Saipos Serviços De Software</v>
      </c>
      <c r="N1963" s="33">
        <f>IFERROR(__xludf.DUMMYFUNCTION("""COMPUTED_VALUE"""),0.5)</f>
        <v>0.5</v>
      </c>
      <c r="O1963" s="4" t="str">
        <f>IFERROR(__xludf.DUMMYFUNCTION("""COMPUTED_VALUE"""),"Saipos Serviços De Software")</f>
        <v>Saipos Serviços De Software</v>
      </c>
      <c r="P1963" s="33">
        <f>IFERROR(__xludf.DUMMYFUNCTION("""COMPUTED_VALUE"""),0.5)</f>
        <v>0.5</v>
      </c>
      <c r="Q1963" s="4" t="str">
        <f>IFERROR(__xludf.DUMMYFUNCTION("""COMPUTED_VALUE"""),"Saipos Serviços De Software")</f>
        <v>Saipos Serviços De Software</v>
      </c>
      <c r="R1963" s="33">
        <f>IFERROR(__xludf.DUMMYFUNCTION("""COMPUTED_VALUE"""),0.5)</f>
        <v>0.5</v>
      </c>
      <c r="S1963" s="4" t="str">
        <f>IFERROR(__xludf.DUMMYFUNCTION("""COMPUTED_VALUE"""),"Saipos Serviços De Software")</f>
        <v>Saipos Serviços De Software</v>
      </c>
      <c r="T1963" s="33">
        <f>IFERROR(__xludf.DUMMYFUNCTION("""COMPUTED_VALUE"""),0.5)</f>
        <v>0.5</v>
      </c>
      <c r="U1963" s="4" t="str">
        <f>IFERROR(__xludf.DUMMYFUNCTION("""COMPUTED_VALUE"""),"Mp Multipedidos")</f>
        <v>Mp Multipedidos</v>
      </c>
      <c r="V1963" s="33">
        <f>IFERROR(__xludf.DUMMYFUNCTION("""COMPUTED_VALUE"""),0.25)</f>
        <v>0.25</v>
      </c>
      <c r="W1963" s="4" t="str">
        <f>IFERROR(__xludf.DUMMYFUNCTION("""COMPUTED_VALUE"""),"Mp Multipedidos")</f>
        <v>Mp Multipedidos</v>
      </c>
      <c r="X1963" s="33">
        <f>IFERROR(__xludf.DUMMYFUNCTION("""COMPUTED_VALUE"""),0.25)</f>
        <v>0.25</v>
      </c>
    </row>
    <row r="1964">
      <c r="K1964" s="4" t="str">
        <f>IFERROR(__xludf.DUMMYFUNCTION("""COMPUTED_VALUE"""),"MK BURGUER")</f>
        <v>MK BURGUER</v>
      </c>
      <c r="L1964" s="32">
        <f>IFERROR(__xludf.DUMMYFUNCTION("""COMPUTED_VALUE"""),4.0)</f>
        <v>4</v>
      </c>
      <c r="M1964" s="4" t="str">
        <f>IFERROR(__xludf.DUMMYFUNCTION("""COMPUTED_VALUE"""),"null")</f>
        <v>null</v>
      </c>
      <c r="N1964" s="33">
        <f>IFERROR(__xludf.DUMMYFUNCTION("""COMPUTED_VALUE"""),0.75)</f>
        <v>0.75</v>
      </c>
      <c r="O1964" s="4" t="str">
        <f>IFERROR(__xludf.DUMMYFUNCTION("""COMPUTED_VALUE"""),"null")</f>
        <v>null</v>
      </c>
      <c r="P1964" s="33">
        <f>IFERROR(__xludf.DUMMYFUNCTION("""COMPUTED_VALUE"""),0.75)</f>
        <v>0.75</v>
      </c>
      <c r="Q1964" s="4" t="str">
        <f>IFERROR(__xludf.DUMMYFUNCTION("""COMPUTED_VALUE"""),"Saipos Serviços De Software")</f>
        <v>Saipos Serviços De Software</v>
      </c>
      <c r="R1964" s="33">
        <f>IFERROR(__xludf.DUMMYFUNCTION("""COMPUTED_VALUE"""),0.25)</f>
        <v>0.25</v>
      </c>
      <c r="S1964" s="4" t="str">
        <f>IFERROR(__xludf.DUMMYFUNCTION("""COMPUTED_VALUE"""),"null")</f>
        <v>null</v>
      </c>
      <c r="T1964" s="33">
        <f>IFERROR(__xludf.DUMMYFUNCTION("""COMPUTED_VALUE"""),0.5)</f>
        <v>0.5</v>
      </c>
      <c r="U1964" s="4" t="str">
        <f>IFERROR(__xludf.DUMMYFUNCTION("""COMPUTED_VALUE"""),"null")</f>
        <v>null</v>
      </c>
      <c r="V1964" s="33">
        <f>IFERROR(__xludf.DUMMYFUNCTION("""COMPUTED_VALUE"""),0.5)</f>
        <v>0.5</v>
      </c>
      <c r="W1964" s="4" t="str">
        <f>IFERROR(__xludf.DUMMYFUNCTION("""COMPUTED_VALUE"""),"null")</f>
        <v>null</v>
      </c>
      <c r="X1964" s="33">
        <f>IFERROR(__xludf.DUMMYFUNCTION("""COMPUTED_VALUE"""),0.5)</f>
        <v>0.5</v>
      </c>
    </row>
    <row r="1965">
      <c r="K1965" s="4" t="str">
        <f>IFERROR(__xludf.DUMMYFUNCTION("""COMPUTED_VALUE"""),"LA CASA DO ACAI")</f>
        <v>LA CASA DO ACAI</v>
      </c>
      <c r="L1965" s="32">
        <f>IFERROR(__xludf.DUMMYFUNCTION("""COMPUTED_VALUE"""),4.0)</f>
        <v>4</v>
      </c>
      <c r="M1965" s="4" t="str">
        <f>IFERROR(__xludf.DUMMYFUNCTION("""COMPUTED_VALUE"""),"null")</f>
        <v>null</v>
      </c>
      <c r="N1965" s="33">
        <f>IFERROR(__xludf.DUMMYFUNCTION("""COMPUTED_VALUE"""),0.5)</f>
        <v>0.5</v>
      </c>
      <c r="O1965" s="4" t="str">
        <f>IFERROR(__xludf.DUMMYFUNCTION("""COMPUTED_VALUE"""),"null")</f>
        <v>null</v>
      </c>
      <c r="P1965" s="33">
        <f>IFERROR(__xludf.DUMMYFUNCTION("""COMPUTED_VALUE"""),0.25)</f>
        <v>0.25</v>
      </c>
      <c r="Q1965" s="4" t="str">
        <f>IFERROR(__xludf.DUMMYFUNCTION("""COMPUTED_VALUE"""),"null")</f>
        <v>null</v>
      </c>
      <c r="R1965" s="33">
        <f>IFERROR(__xludf.DUMMYFUNCTION("""COMPUTED_VALUE"""),0.5)</f>
        <v>0.5</v>
      </c>
      <c r="S1965" s="4" t="str">
        <f>IFERROR(__xludf.DUMMYFUNCTION("""COMPUTED_VALUE"""),"null")</f>
        <v>null</v>
      </c>
      <c r="T1965" s="33">
        <f>IFERROR(__xludf.DUMMYFUNCTION("""COMPUTED_VALUE"""),0.75)</f>
        <v>0.75</v>
      </c>
      <c r="U1965" s="4" t="str">
        <f>IFERROR(__xludf.DUMMYFUNCTION("""COMPUTED_VALUE"""),"null")</f>
        <v>null</v>
      </c>
      <c r="V1965" s="33">
        <f>IFERROR(__xludf.DUMMYFUNCTION("""COMPUTED_VALUE"""),0.5)</f>
        <v>0.5</v>
      </c>
      <c r="W1965" s="4" t="str">
        <f>IFERROR(__xludf.DUMMYFUNCTION("""COMPUTED_VALUE"""),"null")</f>
        <v>null</v>
      </c>
      <c r="X1965" s="33">
        <f>IFERROR(__xludf.DUMMYFUNCTION("""COMPUTED_VALUE"""),0.75)</f>
        <v>0.75</v>
      </c>
    </row>
    <row r="1966">
      <c r="K1966" s="4" t="str">
        <f>IFERROR(__xludf.DUMMYFUNCTION("""COMPUTED_VALUE"""),"PIZZARIA DI MONSTRO")</f>
        <v>PIZZARIA DI MONSTRO</v>
      </c>
      <c r="L1966" s="32">
        <f>IFERROR(__xludf.DUMMYFUNCTION("""COMPUTED_VALUE"""),4.0)</f>
        <v>4</v>
      </c>
      <c r="M1966" s="4" t="str">
        <f>IFERROR(__xludf.DUMMYFUNCTION("""COMPUTED_VALUE"""),"Saipos Serviços De Software")</f>
        <v>Saipos Serviços De Software</v>
      </c>
      <c r="N1966" s="33">
        <f>IFERROR(__xludf.DUMMYFUNCTION("""COMPUTED_VALUE"""),1.0)</f>
        <v>1</v>
      </c>
      <c r="O1966" s="4" t="str">
        <f>IFERROR(__xludf.DUMMYFUNCTION("""COMPUTED_VALUE"""),"Saipos Serviços De Software")</f>
        <v>Saipos Serviços De Software</v>
      </c>
      <c r="P1966" s="33">
        <f>IFERROR(__xludf.DUMMYFUNCTION("""COMPUTED_VALUE"""),1.0)</f>
        <v>1</v>
      </c>
      <c r="Q1966" s="4" t="str">
        <f>IFERROR(__xludf.DUMMYFUNCTION("""COMPUTED_VALUE"""),"Saipos Serviços De Software")</f>
        <v>Saipos Serviços De Software</v>
      </c>
      <c r="R1966" s="33">
        <f>IFERROR(__xludf.DUMMYFUNCTION("""COMPUTED_VALUE"""),1.0)</f>
        <v>1</v>
      </c>
      <c r="S1966" s="4" t="str">
        <f>IFERROR(__xludf.DUMMYFUNCTION("""COMPUTED_VALUE"""),"Saipos Serviços De Software")</f>
        <v>Saipos Serviços De Software</v>
      </c>
      <c r="T1966" s="33">
        <f>IFERROR(__xludf.DUMMYFUNCTION("""COMPUTED_VALUE"""),1.0)</f>
        <v>1</v>
      </c>
      <c r="U1966" s="4" t="str">
        <f>IFERROR(__xludf.DUMMYFUNCTION("""COMPUTED_VALUE"""),"Saipos Serviços De Software")</f>
        <v>Saipos Serviços De Software</v>
      </c>
      <c r="V1966" s="33">
        <f>IFERROR(__xludf.DUMMYFUNCTION("""COMPUTED_VALUE"""),1.0)</f>
        <v>1</v>
      </c>
      <c r="W1966" s="4" t="str">
        <f>IFERROR(__xludf.DUMMYFUNCTION("""COMPUTED_VALUE"""),"Saipos Serviços De Software")</f>
        <v>Saipos Serviços De Software</v>
      </c>
      <c r="X1966" s="33">
        <f>IFERROR(__xludf.DUMMYFUNCTION("""COMPUTED_VALUE"""),0.75)</f>
        <v>0.75</v>
      </c>
    </row>
    <row r="1967">
      <c r="K1967" s="4" t="str">
        <f>IFERROR(__xludf.DUMMYFUNCTION("""COMPUTED_VALUE"""),"HUNGARA LANCHES")</f>
        <v>HUNGARA LANCHES</v>
      </c>
      <c r="L1967" s="32">
        <f>IFERROR(__xludf.DUMMYFUNCTION("""COMPUTED_VALUE"""),4.0)</f>
        <v>4</v>
      </c>
      <c r="M1967" s="4" t="str">
        <f>IFERROR(__xludf.DUMMYFUNCTION("""COMPUTED_VALUE"""),"Parseint Desenvolvimento De Sistemas Ltda")</f>
        <v>Parseint Desenvolvimento De Sistemas Ltda</v>
      </c>
      <c r="N1967" s="33">
        <f>IFERROR(__xludf.DUMMYFUNCTION("""COMPUTED_VALUE"""),0.5)</f>
        <v>0.5</v>
      </c>
      <c r="O1967" s="4" t="str">
        <f>IFERROR(__xludf.DUMMYFUNCTION("""COMPUTED_VALUE"""),"Parseint Desenvolvimento De Sistemas Ltda")</f>
        <v>Parseint Desenvolvimento De Sistemas Ltda</v>
      </c>
      <c r="P1967" s="33">
        <f>IFERROR(__xludf.DUMMYFUNCTION("""COMPUTED_VALUE"""),0.5)</f>
        <v>0.5</v>
      </c>
      <c r="Q1967" s="4" t="str">
        <f>IFERROR(__xludf.DUMMYFUNCTION("""COMPUTED_VALUE"""),"Parseint Desenvolvimento De Sistemas Ltda")</f>
        <v>Parseint Desenvolvimento De Sistemas Ltda</v>
      </c>
      <c r="R1967" s="33">
        <f>IFERROR(__xludf.DUMMYFUNCTION("""COMPUTED_VALUE"""),0.75)</f>
        <v>0.75</v>
      </c>
      <c r="S1967" s="4" t="str">
        <f>IFERROR(__xludf.DUMMYFUNCTION("""COMPUTED_VALUE"""),"Parseint Desenvolvimento De Sistemas Ltda")</f>
        <v>Parseint Desenvolvimento De Sistemas Ltda</v>
      </c>
      <c r="T1967" s="33">
        <f>IFERROR(__xludf.DUMMYFUNCTION("""COMPUTED_VALUE"""),0.5)</f>
        <v>0.5</v>
      </c>
      <c r="U1967" s="4" t="str">
        <f>IFERROR(__xludf.DUMMYFUNCTION("""COMPUTED_VALUE"""),"Parseint Desenvolvimento De Sistemas Ltda")</f>
        <v>Parseint Desenvolvimento De Sistemas Ltda</v>
      </c>
      <c r="V1967" s="33">
        <f>IFERROR(__xludf.DUMMYFUNCTION("""COMPUTED_VALUE"""),0.5)</f>
        <v>0.5</v>
      </c>
      <c r="W1967" s="4" t="str">
        <f>IFERROR(__xludf.DUMMYFUNCTION("""COMPUTED_VALUE"""),"null")</f>
        <v>null</v>
      </c>
      <c r="X1967" s="33">
        <f>IFERROR(__xludf.DUMMYFUNCTION("""COMPUTED_VALUE"""),0.5)</f>
        <v>0.5</v>
      </c>
    </row>
    <row r="1968">
      <c r="K1968" s="4" t="str">
        <f>IFERROR(__xludf.DUMMYFUNCTION("""COMPUTED_VALUE"""),"PIZZARIA FINA FARINA")</f>
        <v>PIZZARIA FINA FARINA</v>
      </c>
      <c r="L1968" s="32">
        <f>IFERROR(__xludf.DUMMYFUNCTION("""COMPUTED_VALUE"""),4.0)</f>
        <v>4</v>
      </c>
      <c r="M1968" s="4" t="str">
        <f>IFERROR(__xludf.DUMMYFUNCTION("""COMPUTED_VALUE"""),"Consumer Soluções Em Tecnologia Ltda")</f>
        <v>Consumer Soluções Em Tecnologia Ltda</v>
      </c>
      <c r="N1968" s="33">
        <f>IFERROR(__xludf.DUMMYFUNCTION("""COMPUTED_VALUE"""),1.0)</f>
        <v>1</v>
      </c>
      <c r="O1968" s="4" t="str">
        <f>IFERROR(__xludf.DUMMYFUNCTION("""COMPUTED_VALUE"""),"Saipos Serviços De Software")</f>
        <v>Saipos Serviços De Software</v>
      </c>
      <c r="P1968" s="33">
        <f>IFERROR(__xludf.DUMMYFUNCTION("""COMPUTED_VALUE"""),0.5)</f>
        <v>0.5</v>
      </c>
      <c r="Q1968" s="4" t="str">
        <f>IFERROR(__xludf.DUMMYFUNCTION("""COMPUTED_VALUE"""),"Saipos Serviços De Software")</f>
        <v>Saipos Serviços De Software</v>
      </c>
      <c r="R1968" s="33">
        <f>IFERROR(__xludf.DUMMYFUNCTION("""COMPUTED_VALUE"""),1.0)</f>
        <v>1</v>
      </c>
      <c r="S1968" s="4" t="str">
        <f>IFERROR(__xludf.DUMMYFUNCTION("""COMPUTED_VALUE"""),"Saipos Serviços De Software")</f>
        <v>Saipos Serviços De Software</v>
      </c>
      <c r="T1968" s="33">
        <f>IFERROR(__xludf.DUMMYFUNCTION("""COMPUTED_VALUE"""),1.0)</f>
        <v>1</v>
      </c>
      <c r="U1968" s="4" t="str">
        <f>IFERROR(__xludf.DUMMYFUNCTION("""COMPUTED_VALUE"""),"Saipos Serviços De Software")</f>
        <v>Saipos Serviços De Software</v>
      </c>
      <c r="V1968" s="33">
        <f>IFERROR(__xludf.DUMMYFUNCTION("""COMPUTED_VALUE"""),1.0)</f>
        <v>1</v>
      </c>
      <c r="W1968" s="4" t="str">
        <f>IFERROR(__xludf.DUMMYFUNCTION("""COMPUTED_VALUE"""),"Saipos Serviços De Software")</f>
        <v>Saipos Serviços De Software</v>
      </c>
      <c r="X1968" s="33">
        <f>IFERROR(__xludf.DUMMYFUNCTION("""COMPUTED_VALUE"""),1.0)</f>
        <v>1</v>
      </c>
    </row>
    <row r="1969">
      <c r="K1969" s="4" t="str">
        <f>IFERROR(__xludf.DUMMYFUNCTION("""COMPUTED_VALUE"""),"PRIME PIZZA")</f>
        <v>PRIME PIZZA</v>
      </c>
      <c r="L1969" s="32">
        <f>IFERROR(__xludf.DUMMYFUNCTION("""COMPUTED_VALUE"""),4.0)</f>
        <v>4</v>
      </c>
      <c r="M1969" s="4" t="str">
        <f>IFERROR(__xludf.DUMMYFUNCTION("""COMPUTED_VALUE"""),"Saipos Serviços De Software")</f>
        <v>Saipos Serviços De Software</v>
      </c>
      <c r="N1969" s="33">
        <f>IFERROR(__xludf.DUMMYFUNCTION("""COMPUTED_VALUE"""),0.25)</f>
        <v>0.25</v>
      </c>
      <c r="O1969" s="4" t="str">
        <f>IFERROR(__xludf.DUMMYFUNCTION("""COMPUTED_VALUE"""),"Saipos Serviços De Software")</f>
        <v>Saipos Serviços De Software</v>
      </c>
      <c r="P1969" s="33">
        <f>IFERROR(__xludf.DUMMYFUNCTION("""COMPUTED_VALUE"""),0.25)</f>
        <v>0.25</v>
      </c>
      <c r="Q1969" s="4" t="str">
        <f>IFERROR(__xludf.DUMMYFUNCTION("""COMPUTED_VALUE"""),"Saipos Serviços De Software")</f>
        <v>Saipos Serviços De Software</v>
      </c>
      <c r="R1969" s="33">
        <f>IFERROR(__xludf.DUMMYFUNCTION("""COMPUTED_VALUE"""),0.25)</f>
        <v>0.25</v>
      </c>
      <c r="S1969" s="4" t="str">
        <f>IFERROR(__xludf.DUMMYFUNCTION("""COMPUTED_VALUE"""),"Saipos Serviços De Software")</f>
        <v>Saipos Serviços De Software</v>
      </c>
      <c r="T1969" s="33">
        <f>IFERROR(__xludf.DUMMYFUNCTION("""COMPUTED_VALUE"""),0.5)</f>
        <v>0.5</v>
      </c>
      <c r="U1969" s="4" t="str">
        <f>IFERROR(__xludf.DUMMYFUNCTION("""COMPUTED_VALUE"""),"Saipos Serviços De Software")</f>
        <v>Saipos Serviços De Software</v>
      </c>
      <c r="V1969" s="33">
        <f>IFERROR(__xludf.DUMMYFUNCTION("""COMPUTED_VALUE"""),0.5)</f>
        <v>0.5</v>
      </c>
      <c r="W1969" s="4" t="str">
        <f>IFERROR(__xludf.DUMMYFUNCTION("""COMPUTED_VALUE"""),"Saipos Serviços De Software")</f>
        <v>Saipos Serviços De Software</v>
      </c>
      <c r="X1969" s="33">
        <f>IFERROR(__xludf.DUMMYFUNCTION("""COMPUTED_VALUE"""),0.5)</f>
        <v>0.5</v>
      </c>
    </row>
    <row r="1970">
      <c r="K1970" s="4" t="str">
        <f>IFERROR(__xludf.DUMMYFUNCTION("""COMPUTED_VALUE"""),"KIKAO LANCHES")</f>
        <v>KIKAO LANCHES</v>
      </c>
      <c r="L1970" s="32">
        <f>IFERROR(__xludf.DUMMYFUNCTION("""COMPUTED_VALUE"""),4.0)</f>
        <v>4</v>
      </c>
      <c r="M1970" s="4" t="str">
        <f>IFERROR(__xludf.DUMMYFUNCTION("""COMPUTED_VALUE"""),"Starway Sistemas")</f>
        <v>Starway Sistemas</v>
      </c>
      <c r="N1970" s="33">
        <f>IFERROR(__xludf.DUMMYFUNCTION("""COMPUTED_VALUE"""),0.5)</f>
        <v>0.5</v>
      </c>
      <c r="O1970" s="4" t="str">
        <f>IFERROR(__xludf.DUMMYFUNCTION("""COMPUTED_VALUE"""),"Starway Sistemas")</f>
        <v>Starway Sistemas</v>
      </c>
      <c r="P1970" s="33">
        <f>IFERROR(__xludf.DUMMYFUNCTION("""COMPUTED_VALUE"""),0.5)</f>
        <v>0.5</v>
      </c>
      <c r="Q1970" s="4" t="str">
        <f>IFERROR(__xludf.DUMMYFUNCTION("""COMPUTED_VALUE"""),"Starway Sistemas")</f>
        <v>Starway Sistemas</v>
      </c>
      <c r="R1970" s="33">
        <f>IFERROR(__xludf.DUMMYFUNCTION("""COMPUTED_VALUE"""),0.5)</f>
        <v>0.5</v>
      </c>
      <c r="S1970" s="4" t="str">
        <f>IFERROR(__xludf.DUMMYFUNCTION("""COMPUTED_VALUE"""),"Starway Sistemas")</f>
        <v>Starway Sistemas</v>
      </c>
      <c r="T1970" s="33">
        <f>IFERROR(__xludf.DUMMYFUNCTION("""COMPUTED_VALUE"""),0.75)</f>
        <v>0.75</v>
      </c>
      <c r="U1970" s="4" t="str">
        <f>IFERROR(__xludf.DUMMYFUNCTION("""COMPUTED_VALUE"""),"Starway Sistemas")</f>
        <v>Starway Sistemas</v>
      </c>
      <c r="V1970" s="33">
        <f>IFERROR(__xludf.DUMMYFUNCTION("""COMPUTED_VALUE"""),0.75)</f>
        <v>0.75</v>
      </c>
      <c r="W1970" s="4" t="str">
        <f>IFERROR(__xludf.DUMMYFUNCTION("""COMPUTED_VALUE"""),"Starway Sistemas")</f>
        <v>Starway Sistemas</v>
      </c>
      <c r="X1970" s="33">
        <f>IFERROR(__xludf.DUMMYFUNCTION("""COMPUTED_VALUE"""),0.75)</f>
        <v>0.75</v>
      </c>
    </row>
    <row r="1971">
      <c r="K1971" s="4" t="str">
        <f>IFERROR(__xludf.DUMMYFUNCTION("""COMPUTED_VALUE"""),"STROGONOFFERIA")</f>
        <v>STROGONOFFERIA</v>
      </c>
      <c r="L1971" s="32">
        <f>IFERROR(__xludf.DUMMYFUNCTION("""COMPUTED_VALUE"""),4.0)</f>
        <v>4</v>
      </c>
      <c r="M1971" s="4" t="str">
        <f>IFERROR(__xludf.DUMMYFUNCTION("""COMPUTED_VALUE"""),"Saipos Serviços De Software")</f>
        <v>Saipos Serviços De Software</v>
      </c>
      <c r="N1971" s="33">
        <f>IFERROR(__xludf.DUMMYFUNCTION("""COMPUTED_VALUE"""),0.75)</f>
        <v>0.75</v>
      </c>
      <c r="O1971" s="4" t="str">
        <f>IFERROR(__xludf.DUMMYFUNCTION("""COMPUTED_VALUE"""),"Saipos Serviços De Software")</f>
        <v>Saipos Serviços De Software</v>
      </c>
      <c r="P1971" s="33">
        <f>IFERROR(__xludf.DUMMYFUNCTION("""COMPUTED_VALUE"""),0.75)</f>
        <v>0.75</v>
      </c>
      <c r="Q1971" s="4" t="str">
        <f>IFERROR(__xludf.DUMMYFUNCTION("""COMPUTED_VALUE"""),"Saipos Serviços De Software")</f>
        <v>Saipos Serviços De Software</v>
      </c>
      <c r="R1971" s="33">
        <f>IFERROR(__xludf.DUMMYFUNCTION("""COMPUTED_VALUE"""),0.75)</f>
        <v>0.75</v>
      </c>
      <c r="S1971" s="4" t="str">
        <f>IFERROR(__xludf.DUMMYFUNCTION("""COMPUTED_VALUE"""),"Saipos Serviços De Software")</f>
        <v>Saipos Serviços De Software</v>
      </c>
      <c r="T1971" s="33">
        <f>IFERROR(__xludf.DUMMYFUNCTION("""COMPUTED_VALUE"""),0.75)</f>
        <v>0.75</v>
      </c>
      <c r="U1971" s="4" t="str">
        <f>IFERROR(__xludf.DUMMYFUNCTION("""COMPUTED_VALUE"""),"Saipos Serviços De Software")</f>
        <v>Saipos Serviços De Software</v>
      </c>
      <c r="V1971" s="33">
        <f>IFERROR(__xludf.DUMMYFUNCTION("""COMPUTED_VALUE"""),0.75)</f>
        <v>0.75</v>
      </c>
      <c r="W1971" s="4" t="str">
        <f>IFERROR(__xludf.DUMMYFUNCTION("""COMPUTED_VALUE"""),"Saipos Serviços De Software")</f>
        <v>Saipos Serviços De Software</v>
      </c>
      <c r="X1971" s="33">
        <f>IFERROR(__xludf.DUMMYFUNCTION("""COMPUTED_VALUE"""),0.75)</f>
        <v>0.75</v>
      </c>
    </row>
    <row r="1972">
      <c r="K1972" s="4" t="str">
        <f>IFERROR(__xludf.DUMMYFUNCTION("""COMPUTED_VALUE"""),"EXPLOSAO DE SABORES")</f>
        <v>EXPLOSAO DE SABORES</v>
      </c>
      <c r="L1972" s="32">
        <f>IFERROR(__xludf.DUMMYFUNCTION("""COMPUTED_VALUE"""),4.0)</f>
        <v>4</v>
      </c>
      <c r="M1972" s="4" t="str">
        <f>IFERROR(__xludf.DUMMYFUNCTION("""COMPUTED_VALUE"""),"Anota Ai Solucoes Digitais S/a")</f>
        <v>Anota Ai Solucoes Digitais S/a</v>
      </c>
      <c r="N1972" s="33">
        <f>IFERROR(__xludf.DUMMYFUNCTION("""COMPUTED_VALUE"""),0.25)</f>
        <v>0.25</v>
      </c>
      <c r="O1972" s="4" t="str">
        <f>IFERROR(__xludf.DUMMYFUNCTION("""COMPUTED_VALUE"""),"Anota Ai Solucoes Digitais S/a")</f>
        <v>Anota Ai Solucoes Digitais S/a</v>
      </c>
      <c r="P1972" s="33">
        <f>IFERROR(__xludf.DUMMYFUNCTION("""COMPUTED_VALUE"""),0.25)</f>
        <v>0.25</v>
      </c>
      <c r="Q1972" s="4" t="str">
        <f>IFERROR(__xludf.DUMMYFUNCTION("""COMPUTED_VALUE"""),"Anota Ai Solucoes Digitais S/a")</f>
        <v>Anota Ai Solucoes Digitais S/a</v>
      </c>
      <c r="R1972" s="33">
        <f>IFERROR(__xludf.DUMMYFUNCTION("""COMPUTED_VALUE"""),0.25)</f>
        <v>0.25</v>
      </c>
      <c r="S1972" s="4" t="str">
        <f>IFERROR(__xludf.DUMMYFUNCTION("""COMPUTED_VALUE"""),"Anota Ai Solucoes Digitais S/a")</f>
        <v>Anota Ai Solucoes Digitais S/a</v>
      </c>
      <c r="T1972" s="33">
        <f>IFERROR(__xludf.DUMMYFUNCTION("""COMPUTED_VALUE"""),0.25)</f>
        <v>0.25</v>
      </c>
      <c r="U1972" s="4" t="str">
        <f>IFERROR(__xludf.DUMMYFUNCTION("""COMPUTED_VALUE"""),"null")</f>
        <v>null</v>
      </c>
      <c r="V1972" s="33">
        <f>IFERROR(__xludf.DUMMYFUNCTION("""COMPUTED_VALUE"""),0.5)</f>
        <v>0.5</v>
      </c>
      <c r="W1972" s="4" t="str">
        <f>IFERROR(__xludf.DUMMYFUNCTION("""COMPUTED_VALUE"""),"Anota Ai Solucoes Digitais S/a")</f>
        <v>Anota Ai Solucoes Digitais S/a</v>
      </c>
      <c r="X1972" s="33">
        <f>IFERROR(__xludf.DUMMYFUNCTION("""COMPUTED_VALUE"""),0.25)</f>
        <v>0.25</v>
      </c>
    </row>
    <row r="1973">
      <c r="K1973" s="4" t="str">
        <f>IFERROR(__xludf.DUMMYFUNCTION("""COMPUTED_VALUE"""),"ACAI DA BIA")</f>
        <v>ACAI DA BIA</v>
      </c>
      <c r="L1973" s="32">
        <f>IFERROR(__xludf.DUMMYFUNCTION("""COMPUTED_VALUE"""),4.0)</f>
        <v>4</v>
      </c>
      <c r="M1973" s="4" t="str">
        <f>IFERROR(__xludf.DUMMYFUNCTION("""COMPUTED_VALUE"""),"null")</f>
        <v>null</v>
      </c>
      <c r="N1973" s="33">
        <f>IFERROR(__xludf.DUMMYFUNCTION("""COMPUTED_VALUE"""),0.25)</f>
        <v>0.25</v>
      </c>
      <c r="O1973" s="4" t="str">
        <f>IFERROR(__xludf.DUMMYFUNCTION("""COMPUTED_VALUE"""),"null")</f>
        <v>null</v>
      </c>
      <c r="P1973" s="33">
        <f>IFERROR(__xludf.DUMMYFUNCTION("""COMPUTED_VALUE"""),0.25)</f>
        <v>0.25</v>
      </c>
      <c r="Q1973" s="4" t="str">
        <f>IFERROR(__xludf.DUMMYFUNCTION("""COMPUTED_VALUE"""),"null")</f>
        <v>null</v>
      </c>
      <c r="R1973" s="33">
        <f>IFERROR(__xludf.DUMMYFUNCTION("""COMPUTED_VALUE"""),0.25)</f>
        <v>0.25</v>
      </c>
      <c r="S1973" s="4" t="str">
        <f>IFERROR(__xludf.DUMMYFUNCTION("""COMPUTED_VALUE"""),"null")</f>
        <v>null</v>
      </c>
      <c r="T1973" s="33">
        <f>IFERROR(__xludf.DUMMYFUNCTION("""COMPUTED_VALUE"""),0.25)</f>
        <v>0.25</v>
      </c>
      <c r="U1973" s="4" t="str">
        <f>IFERROR(__xludf.DUMMYFUNCTION("""COMPUTED_VALUE"""),"Consumer Soluções Em Tecnologia Ltda")</f>
        <v>Consumer Soluções Em Tecnologia Ltda</v>
      </c>
      <c r="V1973" s="33">
        <f>IFERROR(__xludf.DUMMYFUNCTION("""COMPUTED_VALUE"""),0.25)</f>
        <v>0.25</v>
      </c>
      <c r="W1973" s="4" t="str">
        <f>IFERROR(__xludf.DUMMYFUNCTION("""COMPUTED_VALUE"""),"null")</f>
        <v>null</v>
      </c>
      <c r="X1973" s="33">
        <f>IFERROR(__xludf.DUMMYFUNCTION("""COMPUTED_VALUE"""),0.25)</f>
        <v>0.25</v>
      </c>
    </row>
    <row r="1974">
      <c r="K1974" s="4" t="str">
        <f>IFERROR(__xludf.DUMMYFUNCTION("""COMPUTED_VALUE"""),"SUPER PIZZA")</f>
        <v>SUPER PIZZA</v>
      </c>
      <c r="L1974" s="32">
        <f>IFERROR(__xludf.DUMMYFUNCTION("""COMPUTED_VALUE"""),4.0)</f>
        <v>4</v>
      </c>
      <c r="M1974" s="4" t="str">
        <f>IFERROR(__xludf.DUMMYFUNCTION("""COMPUTED_VALUE"""),"Parseint Desenvolvimento De Sistemas Ltda")</f>
        <v>Parseint Desenvolvimento De Sistemas Ltda</v>
      </c>
      <c r="N1974" s="33">
        <f>IFERROR(__xludf.DUMMYFUNCTION("""COMPUTED_VALUE"""),0.25)</f>
        <v>0.25</v>
      </c>
      <c r="O1974" s="4" t="str">
        <f>IFERROR(__xludf.DUMMYFUNCTION("""COMPUTED_VALUE"""),"null")</f>
        <v>null</v>
      </c>
      <c r="P1974" s="33">
        <f>IFERROR(__xludf.DUMMYFUNCTION("""COMPUTED_VALUE"""),0.5)</f>
        <v>0.5</v>
      </c>
      <c r="Q1974" s="4" t="str">
        <f>IFERROR(__xludf.DUMMYFUNCTION("""COMPUTED_VALUE"""),"null")</f>
        <v>null</v>
      </c>
      <c r="R1974" s="33">
        <f>IFERROR(__xludf.DUMMYFUNCTION("""COMPUTED_VALUE"""),0.75)</f>
        <v>0.75</v>
      </c>
      <c r="S1974" s="4" t="str">
        <f>IFERROR(__xludf.DUMMYFUNCTION("""COMPUTED_VALUE"""),"null")</f>
        <v>null</v>
      </c>
      <c r="T1974" s="33">
        <f>IFERROR(__xludf.DUMMYFUNCTION("""COMPUTED_VALUE"""),0.5)</f>
        <v>0.5</v>
      </c>
      <c r="U1974" s="4" t="str">
        <f>IFERROR(__xludf.DUMMYFUNCTION("""COMPUTED_VALUE"""),"null")</f>
        <v>null</v>
      </c>
      <c r="V1974" s="33">
        <f>IFERROR(__xludf.DUMMYFUNCTION("""COMPUTED_VALUE"""),0.5)</f>
        <v>0.5</v>
      </c>
      <c r="W1974" s="4" t="str">
        <f>IFERROR(__xludf.DUMMYFUNCTION("""COMPUTED_VALUE"""),"null")</f>
        <v>null</v>
      </c>
      <c r="X1974" s="33">
        <f>IFERROR(__xludf.DUMMYFUNCTION("""COMPUTED_VALUE"""),0.5)</f>
        <v>0.5</v>
      </c>
    </row>
    <row r="1975">
      <c r="K1975" s="4" t="str">
        <f>IFERROR(__xludf.DUMMYFUNCTION("""COMPUTED_VALUE"""),"ACAI CIA")</f>
        <v>ACAI CIA</v>
      </c>
      <c r="L1975" s="32">
        <f>IFERROR(__xludf.DUMMYFUNCTION("""COMPUTED_VALUE"""),4.0)</f>
        <v>4</v>
      </c>
      <c r="M1975" s="4" t="str">
        <f>IFERROR(__xludf.DUMMYFUNCTION("""COMPUTED_VALUE"""),"Instadelivery")</f>
        <v>Instadelivery</v>
      </c>
      <c r="N1975" s="33">
        <f>IFERROR(__xludf.DUMMYFUNCTION("""COMPUTED_VALUE"""),0.25)</f>
        <v>0.25</v>
      </c>
      <c r="O1975" s="4" t="str">
        <f>IFERROR(__xludf.DUMMYFUNCTION("""COMPUTED_VALUE"""),"null")</f>
        <v>null</v>
      </c>
      <c r="P1975" s="33">
        <f>IFERROR(__xludf.DUMMYFUNCTION("""COMPUTED_VALUE"""),0.25)</f>
        <v>0.25</v>
      </c>
      <c r="Q1975" s="4" t="str">
        <f>IFERROR(__xludf.DUMMYFUNCTION("""COMPUTED_VALUE"""),"Brendi")</f>
        <v>Brendi</v>
      </c>
      <c r="R1975" s="33">
        <f>IFERROR(__xludf.DUMMYFUNCTION("""COMPUTED_VALUE"""),0.25)</f>
        <v>0.25</v>
      </c>
      <c r="S1975" s="4" t="str">
        <f>IFERROR(__xludf.DUMMYFUNCTION("""COMPUTED_VALUE"""),"Brendi")</f>
        <v>Brendi</v>
      </c>
      <c r="T1975" s="33">
        <f>IFERROR(__xludf.DUMMYFUNCTION("""COMPUTED_VALUE"""),0.25)</f>
        <v>0.25</v>
      </c>
      <c r="U1975" s="4" t="str">
        <f>IFERROR(__xludf.DUMMYFUNCTION("""COMPUTED_VALUE"""),"Brendi")</f>
        <v>Brendi</v>
      </c>
      <c r="V1975" s="33">
        <f>IFERROR(__xludf.DUMMYFUNCTION("""COMPUTED_VALUE"""),0.25)</f>
        <v>0.25</v>
      </c>
      <c r="W1975" s="4" t="str">
        <f>IFERROR(__xludf.DUMMYFUNCTION("""COMPUTED_VALUE"""),"Brendi")</f>
        <v>Brendi</v>
      </c>
      <c r="X1975" s="33">
        <f>IFERROR(__xludf.DUMMYFUNCTION("""COMPUTED_VALUE"""),0.25)</f>
        <v>0.25</v>
      </c>
    </row>
    <row r="1976">
      <c r="K1976" s="4" t="str">
        <f>IFERROR(__xludf.DUMMYFUNCTION("""COMPUTED_VALUE"""),"FARMACIA BRASIL POUPA LAR")</f>
        <v>FARMACIA BRASIL POUPA LAR</v>
      </c>
      <c r="L1976" s="32">
        <f>IFERROR(__xludf.DUMMYFUNCTION("""COMPUTED_VALUE"""),4.0)</f>
        <v>4</v>
      </c>
      <c r="M1976" s="4" t="str">
        <f>IFERROR(__xludf.DUMMYFUNCTION("""COMPUTED_VALUE"""),"null")</f>
        <v>null</v>
      </c>
      <c r="N1976" s="33">
        <f>IFERROR(__xludf.DUMMYFUNCTION("""COMPUTED_VALUE"""),0.75)</f>
        <v>0.75</v>
      </c>
      <c r="O1976" s="4" t="str">
        <f>IFERROR(__xludf.DUMMYFUNCTION("""COMPUTED_VALUE"""),"null")</f>
        <v>null</v>
      </c>
      <c r="P1976" s="33">
        <f>IFERROR(__xludf.DUMMYFUNCTION("""COMPUTED_VALUE"""),0.75)</f>
        <v>0.75</v>
      </c>
      <c r="Q1976" s="4" t="str">
        <f>IFERROR(__xludf.DUMMYFUNCTION("""COMPUTED_VALUE"""),"N/A (Not found)")</f>
        <v>N/A (Not found)</v>
      </c>
      <c r="R1976" s="33">
        <f>IFERROR(__xludf.DUMMYFUNCTION("""COMPUTED_VALUE"""),1.0)</f>
        <v>1</v>
      </c>
      <c r="S1976" s="4" t="str">
        <f>IFERROR(__xludf.DUMMYFUNCTION("""COMPUTED_VALUE"""),"N/A (Not found)")</f>
        <v>N/A (Not found)</v>
      </c>
      <c r="T1976" s="33">
        <f>IFERROR(__xludf.DUMMYFUNCTION("""COMPUTED_VALUE"""),0.75)</f>
        <v>0.75</v>
      </c>
      <c r="U1976" s="4" t="str">
        <f>IFERROR(__xludf.DUMMYFUNCTION("""COMPUTED_VALUE"""),"N/A (Not found)")</f>
        <v>N/A (Not found)</v>
      </c>
      <c r="V1976" s="33">
        <f>IFERROR(__xludf.DUMMYFUNCTION("""COMPUTED_VALUE"""),0.5)</f>
        <v>0.5</v>
      </c>
      <c r="W1976" s="4" t="str">
        <f>IFERROR(__xludf.DUMMYFUNCTION("""COMPUTED_VALUE"""),"N/A (Not found)")</f>
        <v>N/A (Not found)</v>
      </c>
      <c r="X1976" s="33">
        <f>IFERROR(__xludf.DUMMYFUNCTION("""COMPUTED_VALUE"""),0.5)</f>
        <v>0.5</v>
      </c>
    </row>
    <row r="1977">
      <c r="K1977" s="4" t="str">
        <f>IFERROR(__xludf.DUMMYFUNCTION("""COMPUTED_VALUE"""),"GOLD ACAI")</f>
        <v>GOLD ACAI</v>
      </c>
      <c r="L1977" s="32">
        <f>IFERROR(__xludf.DUMMYFUNCTION("""COMPUTED_VALUE"""),4.0)</f>
        <v>4</v>
      </c>
      <c r="M1977" s="4" t="str">
        <f>IFERROR(__xludf.DUMMYFUNCTION("""COMPUTED_VALUE"""),"Saipos Serviços De Software")</f>
        <v>Saipos Serviços De Software</v>
      </c>
      <c r="N1977" s="33">
        <f>IFERROR(__xludf.DUMMYFUNCTION("""COMPUTED_VALUE"""),0.75)</f>
        <v>0.75</v>
      </c>
      <c r="O1977" s="4" t="str">
        <f>IFERROR(__xludf.DUMMYFUNCTION("""COMPUTED_VALUE"""),"null")</f>
        <v>null</v>
      </c>
      <c r="P1977" s="33">
        <f>IFERROR(__xludf.DUMMYFUNCTION("""COMPUTED_VALUE"""),0.5)</f>
        <v>0.5</v>
      </c>
      <c r="Q1977" s="4" t="str">
        <f>IFERROR(__xludf.DUMMYFUNCTION("""COMPUTED_VALUE"""),"null")</f>
        <v>null</v>
      </c>
      <c r="R1977" s="33">
        <f>IFERROR(__xludf.DUMMYFUNCTION("""COMPUTED_VALUE"""),1.0)</f>
        <v>1</v>
      </c>
      <c r="S1977" s="4" t="str">
        <f>IFERROR(__xludf.DUMMYFUNCTION("""COMPUTED_VALUE"""),"null")</f>
        <v>null</v>
      </c>
      <c r="T1977" s="33">
        <f>IFERROR(__xludf.DUMMYFUNCTION("""COMPUTED_VALUE"""),1.0)</f>
        <v>1</v>
      </c>
      <c r="U1977" s="4" t="str">
        <f>IFERROR(__xludf.DUMMYFUNCTION("""COMPUTED_VALUE"""),"null")</f>
        <v>null</v>
      </c>
      <c r="V1977" s="33">
        <f>IFERROR(__xludf.DUMMYFUNCTION("""COMPUTED_VALUE"""),0.75)</f>
        <v>0.75</v>
      </c>
      <c r="W1977" s="4" t="str">
        <f>IFERROR(__xludf.DUMMYFUNCTION("""COMPUTED_VALUE"""),"null")</f>
        <v>null</v>
      </c>
      <c r="X1977" s="33">
        <f>IFERROR(__xludf.DUMMYFUNCTION("""COMPUTED_VALUE"""),1.0)</f>
        <v>1</v>
      </c>
    </row>
    <row r="1978">
      <c r="K1978" s="4" t="str">
        <f>IFERROR(__xludf.DUMMYFUNCTION("""COMPUTED_VALUE"""),"ACAI SUPREME")</f>
        <v>ACAI SUPREME</v>
      </c>
      <c r="L1978" s="32">
        <f>IFERROR(__xludf.DUMMYFUNCTION("""COMPUTED_VALUE"""),4.0)</f>
        <v>4</v>
      </c>
      <c r="M1978" s="4" t="str">
        <f>IFERROR(__xludf.DUMMYFUNCTION("""COMPUTED_VALUE"""),"null")</f>
        <v>null</v>
      </c>
      <c r="N1978" s="33">
        <f>IFERROR(__xludf.DUMMYFUNCTION("""COMPUTED_VALUE"""),0.75)</f>
        <v>0.75</v>
      </c>
      <c r="O1978" s="4" t="str">
        <f>IFERROR(__xludf.DUMMYFUNCTION("""COMPUTED_VALUE"""),"Saipos Serviços De Software")</f>
        <v>Saipos Serviços De Software</v>
      </c>
      <c r="P1978" s="33">
        <f>IFERROR(__xludf.DUMMYFUNCTION("""COMPUTED_VALUE"""),0.5)</f>
        <v>0.5</v>
      </c>
      <c r="Q1978" s="4" t="str">
        <f>IFERROR(__xludf.DUMMYFUNCTION("""COMPUTED_VALUE"""),"Saipos Serviços De Software")</f>
        <v>Saipos Serviços De Software</v>
      </c>
      <c r="R1978" s="33">
        <f>IFERROR(__xludf.DUMMYFUNCTION("""COMPUTED_VALUE"""),0.75)</f>
        <v>0.75</v>
      </c>
      <c r="S1978" s="4" t="str">
        <f>IFERROR(__xludf.DUMMYFUNCTION("""COMPUTED_VALUE"""),"Saipos Serviços De Software")</f>
        <v>Saipos Serviços De Software</v>
      </c>
      <c r="T1978" s="33">
        <f>IFERROR(__xludf.DUMMYFUNCTION("""COMPUTED_VALUE"""),0.75)</f>
        <v>0.75</v>
      </c>
      <c r="U1978" s="4" t="str">
        <f>IFERROR(__xludf.DUMMYFUNCTION("""COMPUTED_VALUE"""),"Saipos Serviços De Software")</f>
        <v>Saipos Serviços De Software</v>
      </c>
      <c r="V1978" s="33">
        <f>IFERROR(__xludf.DUMMYFUNCTION("""COMPUTED_VALUE"""),0.75)</f>
        <v>0.75</v>
      </c>
      <c r="W1978" s="4" t="str">
        <f>IFERROR(__xludf.DUMMYFUNCTION("""COMPUTED_VALUE"""),"Saipos Serviços De Software")</f>
        <v>Saipos Serviços De Software</v>
      </c>
      <c r="X1978" s="33">
        <f>IFERROR(__xludf.DUMMYFUNCTION("""COMPUTED_VALUE"""),0.75)</f>
        <v>0.75</v>
      </c>
    </row>
    <row r="1979">
      <c r="K1979" s="4" t="str">
        <f>IFERROR(__xludf.DUMMYFUNCTION("""COMPUTED_VALUE"""),"PURO ACAI")</f>
        <v>PURO ACAI</v>
      </c>
      <c r="L1979" s="32">
        <f>IFERROR(__xludf.DUMMYFUNCTION("""COMPUTED_VALUE"""),4.0)</f>
        <v>4</v>
      </c>
      <c r="M1979" s="4" t="str">
        <f>IFERROR(__xludf.DUMMYFUNCTION("""COMPUTED_VALUE"""),"Cardápio Web")</f>
        <v>Cardápio Web</v>
      </c>
      <c r="N1979" s="33">
        <f>IFERROR(__xludf.DUMMYFUNCTION("""COMPUTED_VALUE"""),0.25)</f>
        <v>0.25</v>
      </c>
      <c r="O1979" s="4" t="str">
        <f>IFERROR(__xludf.DUMMYFUNCTION("""COMPUTED_VALUE"""),"Cardápio Web")</f>
        <v>Cardápio Web</v>
      </c>
      <c r="P1979" s="33">
        <f>IFERROR(__xludf.DUMMYFUNCTION("""COMPUTED_VALUE"""),0.25)</f>
        <v>0.25</v>
      </c>
      <c r="Q1979" s="4" t="str">
        <f>IFERROR(__xludf.DUMMYFUNCTION("""COMPUTED_VALUE"""),"null")</f>
        <v>null</v>
      </c>
      <c r="R1979" s="33">
        <f>IFERROR(__xludf.DUMMYFUNCTION("""COMPUTED_VALUE"""),0.5)</f>
        <v>0.5</v>
      </c>
      <c r="S1979" s="4" t="str">
        <f>IFERROR(__xludf.DUMMYFUNCTION("""COMPUTED_VALUE"""),"null")</f>
        <v>null</v>
      </c>
      <c r="T1979" s="33">
        <f>IFERROR(__xludf.DUMMYFUNCTION("""COMPUTED_VALUE"""),0.5)</f>
        <v>0.5</v>
      </c>
      <c r="U1979" s="4" t="str">
        <f>IFERROR(__xludf.DUMMYFUNCTION("""COMPUTED_VALUE"""),"null")</f>
        <v>null</v>
      </c>
      <c r="V1979" s="33">
        <f>IFERROR(__xludf.DUMMYFUNCTION("""COMPUTED_VALUE"""),0.25)</f>
        <v>0.25</v>
      </c>
      <c r="W1979" s="4" t="str">
        <f>IFERROR(__xludf.DUMMYFUNCTION("""COMPUTED_VALUE"""),"null")</f>
        <v>null</v>
      </c>
      <c r="X1979" s="33">
        <f>IFERROR(__xludf.DUMMYFUNCTION("""COMPUTED_VALUE"""),0.25)</f>
        <v>0.25</v>
      </c>
    </row>
    <row r="1980">
      <c r="K1980" s="4" t="str">
        <f>IFERROR(__xludf.DUMMYFUNCTION("""COMPUTED_VALUE"""),"13BARRA4 HAMBURGUERIA")</f>
        <v>13BARRA4 HAMBURGUERIA</v>
      </c>
      <c r="L1980" s="32">
        <f>IFERROR(__xludf.DUMMYFUNCTION("""COMPUTED_VALUE"""),4.0)</f>
        <v>4</v>
      </c>
      <c r="M1980" s="4" t="str">
        <f>IFERROR(__xludf.DUMMYFUNCTION("""COMPUTED_VALUE"""),"Saipos Serviços De Software")</f>
        <v>Saipos Serviços De Software</v>
      </c>
      <c r="N1980" s="33">
        <f>IFERROR(__xludf.DUMMYFUNCTION("""COMPUTED_VALUE"""),1.0)</f>
        <v>1</v>
      </c>
      <c r="O1980" s="4" t="str">
        <f>IFERROR(__xludf.DUMMYFUNCTION("""COMPUTED_VALUE"""),"Saipos Serviços De Software")</f>
        <v>Saipos Serviços De Software</v>
      </c>
      <c r="P1980" s="33">
        <f>IFERROR(__xludf.DUMMYFUNCTION("""COMPUTED_VALUE"""),1.0)</f>
        <v>1</v>
      </c>
      <c r="Q1980" s="4" t="str">
        <f>IFERROR(__xludf.DUMMYFUNCTION("""COMPUTED_VALUE"""),"Saipos Serviços De Software")</f>
        <v>Saipos Serviços De Software</v>
      </c>
      <c r="R1980" s="33">
        <f>IFERROR(__xludf.DUMMYFUNCTION("""COMPUTED_VALUE"""),0.75)</f>
        <v>0.75</v>
      </c>
      <c r="S1980" s="4" t="str">
        <f>IFERROR(__xludf.DUMMYFUNCTION("""COMPUTED_VALUE"""),"Saipos Serviços De Software")</f>
        <v>Saipos Serviços De Software</v>
      </c>
      <c r="T1980" s="33">
        <f>IFERROR(__xludf.DUMMYFUNCTION("""COMPUTED_VALUE"""),1.0)</f>
        <v>1</v>
      </c>
      <c r="U1980" s="4" t="str">
        <f>IFERROR(__xludf.DUMMYFUNCTION("""COMPUTED_VALUE"""),"Saipos Serviços De Software")</f>
        <v>Saipos Serviços De Software</v>
      </c>
      <c r="V1980" s="33">
        <f>IFERROR(__xludf.DUMMYFUNCTION("""COMPUTED_VALUE"""),0.5)</f>
        <v>0.5</v>
      </c>
      <c r="W1980" s="4" t="str">
        <f>IFERROR(__xludf.DUMMYFUNCTION("""COMPUTED_VALUE"""),"Saipos Serviços De Software")</f>
        <v>Saipos Serviços De Software</v>
      </c>
      <c r="X1980" s="33">
        <f>IFERROR(__xludf.DUMMYFUNCTION("""COMPUTED_VALUE"""),0.75)</f>
        <v>0.75</v>
      </c>
    </row>
    <row r="1981">
      <c r="K1981" s="4" t="str">
        <f>IFERROR(__xludf.DUMMYFUNCTION("""COMPUTED_VALUE"""),"PLANETA PIZZA")</f>
        <v>PLANETA PIZZA</v>
      </c>
      <c r="L1981" s="32">
        <f>IFERROR(__xludf.DUMMYFUNCTION("""COMPUTED_VALUE"""),4.0)</f>
        <v>4</v>
      </c>
      <c r="M1981" s="4" t="str">
        <f>IFERROR(__xludf.DUMMYFUNCTION("""COMPUTED_VALUE"""),"Saipos Serviços De Software")</f>
        <v>Saipos Serviços De Software</v>
      </c>
      <c r="N1981" s="33">
        <f>IFERROR(__xludf.DUMMYFUNCTION("""COMPUTED_VALUE"""),0.5)</f>
        <v>0.5</v>
      </c>
      <c r="O1981" s="4" t="str">
        <f>IFERROR(__xludf.DUMMYFUNCTION("""COMPUTED_VALUE"""),"Saipos Serviços De Software")</f>
        <v>Saipos Serviços De Software</v>
      </c>
      <c r="P1981" s="33">
        <f>IFERROR(__xludf.DUMMYFUNCTION("""COMPUTED_VALUE"""),0.5)</f>
        <v>0.5</v>
      </c>
      <c r="Q1981" s="4" t="str">
        <f>IFERROR(__xludf.DUMMYFUNCTION("""COMPUTED_VALUE"""),"Saipos Serviços De Software")</f>
        <v>Saipos Serviços De Software</v>
      </c>
      <c r="R1981" s="33">
        <f>IFERROR(__xludf.DUMMYFUNCTION("""COMPUTED_VALUE"""),0.5)</f>
        <v>0.5</v>
      </c>
      <c r="S1981" s="4" t="str">
        <f>IFERROR(__xludf.DUMMYFUNCTION("""COMPUTED_VALUE"""),"Saipos Serviços De Software")</f>
        <v>Saipos Serviços De Software</v>
      </c>
      <c r="T1981" s="33">
        <f>IFERROR(__xludf.DUMMYFUNCTION("""COMPUTED_VALUE"""),0.5)</f>
        <v>0.5</v>
      </c>
      <c r="U1981" s="4" t="str">
        <f>IFERROR(__xludf.DUMMYFUNCTION("""COMPUTED_VALUE"""),"Saipos Serviços De Software")</f>
        <v>Saipos Serviços De Software</v>
      </c>
      <c r="V1981" s="33">
        <f>IFERROR(__xludf.DUMMYFUNCTION("""COMPUTED_VALUE"""),0.5)</f>
        <v>0.5</v>
      </c>
      <c r="W1981" s="4" t="str">
        <f>IFERROR(__xludf.DUMMYFUNCTION("""COMPUTED_VALUE"""),"Saipos Serviços De Software")</f>
        <v>Saipos Serviços De Software</v>
      </c>
      <c r="X1981" s="33">
        <f>IFERROR(__xludf.DUMMYFUNCTION("""COMPUTED_VALUE"""),0.5)</f>
        <v>0.5</v>
      </c>
    </row>
    <row r="1982">
      <c r="K1982" s="4" t="str">
        <f>IFERROR(__xludf.DUMMYFUNCTION("""COMPUTED_VALUE"""),"TOKYO SUSHI BAR")</f>
        <v>TOKYO SUSHI BAR</v>
      </c>
      <c r="L1982" s="32">
        <f>IFERROR(__xludf.DUMMYFUNCTION("""COMPUTED_VALUE"""),4.0)</f>
        <v>4</v>
      </c>
      <c r="M1982" s="4" t="str">
        <f>IFERROR(__xludf.DUMMYFUNCTION("""COMPUTED_VALUE"""),"Netcontroll Xmenu")</f>
        <v>Netcontroll Xmenu</v>
      </c>
      <c r="N1982" s="33">
        <f>IFERROR(__xludf.DUMMYFUNCTION("""COMPUTED_VALUE"""),0.25)</f>
        <v>0.25</v>
      </c>
      <c r="O1982" s="4" t="str">
        <f>IFERROR(__xludf.DUMMYFUNCTION("""COMPUTED_VALUE"""),"Netcontroll Xmenu")</f>
        <v>Netcontroll Xmenu</v>
      </c>
      <c r="P1982" s="33">
        <f>IFERROR(__xludf.DUMMYFUNCTION("""COMPUTED_VALUE"""),0.25)</f>
        <v>0.25</v>
      </c>
      <c r="Q1982" s="4" t="str">
        <f>IFERROR(__xludf.DUMMYFUNCTION("""COMPUTED_VALUE"""),"Netcontroll Xmenu")</f>
        <v>Netcontroll Xmenu</v>
      </c>
      <c r="R1982" s="33">
        <f>IFERROR(__xludf.DUMMYFUNCTION("""COMPUTED_VALUE"""),0.25)</f>
        <v>0.25</v>
      </c>
      <c r="S1982" s="4" t="str">
        <f>IFERROR(__xludf.DUMMYFUNCTION("""COMPUTED_VALUE"""),"null")</f>
        <v>null</v>
      </c>
      <c r="T1982" s="33">
        <f>IFERROR(__xludf.DUMMYFUNCTION("""COMPUTED_VALUE"""),0.5)</f>
        <v>0.5</v>
      </c>
      <c r="U1982" s="4" t="str">
        <f>IFERROR(__xludf.DUMMYFUNCTION("""COMPUTED_VALUE"""),"null")</f>
        <v>null</v>
      </c>
      <c r="V1982" s="33">
        <f>IFERROR(__xludf.DUMMYFUNCTION("""COMPUTED_VALUE"""),0.75)</f>
        <v>0.75</v>
      </c>
      <c r="W1982" s="4" t="str">
        <f>IFERROR(__xludf.DUMMYFUNCTION("""COMPUTED_VALUE"""),"null")</f>
        <v>null</v>
      </c>
      <c r="X1982" s="33">
        <f>IFERROR(__xludf.DUMMYFUNCTION("""COMPUTED_VALUE"""),0.75)</f>
        <v>0.75</v>
      </c>
    </row>
    <row r="1983">
      <c r="K1983" s="4" t="str">
        <f>IFERROR(__xludf.DUMMYFUNCTION("""COMPUTED_VALUE"""),"BENDITO BAR")</f>
        <v>BENDITO BAR</v>
      </c>
      <c r="L1983" s="32">
        <f>IFERROR(__xludf.DUMMYFUNCTION("""COMPUTED_VALUE"""),4.0)</f>
        <v>4</v>
      </c>
      <c r="M1983" s="4" t="str">
        <f>IFERROR(__xludf.DUMMYFUNCTION("""COMPUTED_VALUE"""),"Sagres Automação Comercial")</f>
        <v>Sagres Automação Comercial</v>
      </c>
      <c r="N1983" s="33">
        <f>IFERROR(__xludf.DUMMYFUNCTION("""COMPUTED_VALUE"""),0.75)</f>
        <v>0.75</v>
      </c>
      <c r="O1983" s="4" t="str">
        <f>IFERROR(__xludf.DUMMYFUNCTION("""COMPUTED_VALUE"""),"Sagres Automação Comercial")</f>
        <v>Sagres Automação Comercial</v>
      </c>
      <c r="P1983" s="33">
        <f>IFERROR(__xludf.DUMMYFUNCTION("""COMPUTED_VALUE"""),0.5)</f>
        <v>0.5</v>
      </c>
      <c r="Q1983" s="4" t="str">
        <f>IFERROR(__xludf.DUMMYFUNCTION("""COMPUTED_VALUE"""),"Sagres Automação Comercial")</f>
        <v>Sagres Automação Comercial</v>
      </c>
      <c r="R1983" s="33">
        <f>IFERROR(__xludf.DUMMYFUNCTION("""COMPUTED_VALUE"""),0.5)</f>
        <v>0.5</v>
      </c>
      <c r="S1983" s="4" t="str">
        <f>IFERROR(__xludf.DUMMYFUNCTION("""COMPUTED_VALUE"""),"null")</f>
        <v>null</v>
      </c>
      <c r="T1983" s="33">
        <f>IFERROR(__xludf.DUMMYFUNCTION("""COMPUTED_VALUE"""),0.5)</f>
        <v>0.5</v>
      </c>
      <c r="U1983" s="4" t="str">
        <f>IFERROR(__xludf.DUMMYFUNCTION("""COMPUTED_VALUE"""),"null")</f>
        <v>null</v>
      </c>
      <c r="V1983" s="33">
        <f>IFERROR(__xludf.DUMMYFUNCTION("""COMPUTED_VALUE"""),0.5)</f>
        <v>0.5</v>
      </c>
      <c r="W1983" s="4" t="str">
        <f>IFERROR(__xludf.DUMMYFUNCTION("""COMPUTED_VALUE"""),"Sagres Automação Comercial")</f>
        <v>Sagres Automação Comercial</v>
      </c>
      <c r="X1983" s="33">
        <f>IFERROR(__xludf.DUMMYFUNCTION("""COMPUTED_VALUE"""),0.75)</f>
        <v>0.75</v>
      </c>
    </row>
    <row r="1984">
      <c r="K1984" s="4" t="str">
        <f>IFERROR(__xludf.DUMMYFUNCTION("""COMPUTED_VALUE"""),"PASTEL DO GORDINHO")</f>
        <v>PASTEL DO GORDINHO</v>
      </c>
      <c r="L1984" s="32">
        <f>IFERROR(__xludf.DUMMYFUNCTION("""COMPUTED_VALUE"""),4.0)</f>
        <v>4</v>
      </c>
      <c r="M1984" s="4" t="str">
        <f>IFERROR(__xludf.DUMMYFUNCTION("""COMPUTED_VALUE"""),"null")</f>
        <v>null</v>
      </c>
      <c r="N1984" s="33">
        <f>IFERROR(__xludf.DUMMYFUNCTION("""COMPUTED_VALUE"""),0.75)</f>
        <v>0.75</v>
      </c>
      <c r="O1984" s="4" t="str">
        <f>IFERROR(__xludf.DUMMYFUNCTION("""COMPUTED_VALUE"""),"null")</f>
        <v>null</v>
      </c>
      <c r="P1984" s="33">
        <f>IFERROR(__xludf.DUMMYFUNCTION("""COMPUTED_VALUE"""),0.75)</f>
        <v>0.75</v>
      </c>
      <c r="Q1984" s="4" t="str">
        <f>IFERROR(__xludf.DUMMYFUNCTION("""COMPUTED_VALUE"""),"null")</f>
        <v>null</v>
      </c>
      <c r="R1984" s="33">
        <f>IFERROR(__xludf.DUMMYFUNCTION("""COMPUTED_VALUE"""),0.75)</f>
        <v>0.75</v>
      </c>
      <c r="S1984" s="4" t="str">
        <f>IFERROR(__xludf.DUMMYFUNCTION("""COMPUTED_VALUE"""),"Grsoft")</f>
        <v>Grsoft</v>
      </c>
      <c r="T1984" s="33">
        <f>IFERROR(__xludf.DUMMYFUNCTION("""COMPUTED_VALUE"""),0.5)</f>
        <v>0.5</v>
      </c>
      <c r="U1984" s="4" t="str">
        <f>IFERROR(__xludf.DUMMYFUNCTION("""COMPUTED_VALUE"""),"Grsoft")</f>
        <v>Grsoft</v>
      </c>
      <c r="V1984" s="33">
        <f>IFERROR(__xludf.DUMMYFUNCTION("""COMPUTED_VALUE"""),0.5)</f>
        <v>0.5</v>
      </c>
      <c r="W1984" s="4" t="str">
        <f>IFERROR(__xludf.DUMMYFUNCTION("""COMPUTED_VALUE"""),"Grsoft")</f>
        <v>Grsoft</v>
      </c>
      <c r="X1984" s="33">
        <f>IFERROR(__xludf.DUMMYFUNCTION("""COMPUTED_VALUE"""),0.5)</f>
        <v>0.5</v>
      </c>
    </row>
    <row r="1985">
      <c r="K1985" s="4" t="str">
        <f>IFERROR(__xludf.DUMMYFUNCTION("""COMPUTED_VALUE"""),"PIZZARIA 3 IRMAOS")</f>
        <v>PIZZARIA 3 IRMAOS</v>
      </c>
      <c r="L1985" s="32">
        <f>IFERROR(__xludf.DUMMYFUNCTION("""COMPUTED_VALUE"""),4.0)</f>
        <v>4</v>
      </c>
      <c r="M1985" s="4" t="str">
        <f>IFERROR(__xludf.DUMMYFUNCTION("""COMPUTED_VALUE"""),"Saipos Serviços De Software")</f>
        <v>Saipos Serviços De Software</v>
      </c>
      <c r="N1985" s="33">
        <f>IFERROR(__xludf.DUMMYFUNCTION("""COMPUTED_VALUE"""),0.75)</f>
        <v>0.75</v>
      </c>
      <c r="O1985" s="4" t="str">
        <f>IFERROR(__xludf.DUMMYFUNCTION("""COMPUTED_VALUE"""),"Saipos Serviços De Software")</f>
        <v>Saipos Serviços De Software</v>
      </c>
      <c r="P1985" s="33">
        <f>IFERROR(__xludf.DUMMYFUNCTION("""COMPUTED_VALUE"""),0.75)</f>
        <v>0.75</v>
      </c>
      <c r="Q1985" s="4" t="str">
        <f>IFERROR(__xludf.DUMMYFUNCTION("""COMPUTED_VALUE"""),"Saipos Serviços De Software")</f>
        <v>Saipos Serviços De Software</v>
      </c>
      <c r="R1985" s="33">
        <f>IFERROR(__xludf.DUMMYFUNCTION("""COMPUTED_VALUE"""),0.75)</f>
        <v>0.75</v>
      </c>
      <c r="S1985" s="4" t="str">
        <f>IFERROR(__xludf.DUMMYFUNCTION("""COMPUTED_VALUE"""),"Saipos Serviços De Software")</f>
        <v>Saipos Serviços De Software</v>
      </c>
      <c r="T1985" s="33">
        <f>IFERROR(__xludf.DUMMYFUNCTION("""COMPUTED_VALUE"""),0.75)</f>
        <v>0.75</v>
      </c>
      <c r="U1985" s="4" t="str">
        <f>IFERROR(__xludf.DUMMYFUNCTION("""COMPUTED_VALUE"""),"Saipos Serviços De Software")</f>
        <v>Saipos Serviços De Software</v>
      </c>
      <c r="V1985" s="33">
        <f>IFERROR(__xludf.DUMMYFUNCTION("""COMPUTED_VALUE"""),0.75)</f>
        <v>0.75</v>
      </c>
      <c r="W1985" s="4" t="str">
        <f>IFERROR(__xludf.DUMMYFUNCTION("""COMPUTED_VALUE"""),"Saipos Serviços De Software")</f>
        <v>Saipos Serviços De Software</v>
      </c>
      <c r="X1985" s="33">
        <f>IFERROR(__xludf.DUMMYFUNCTION("""COMPUTED_VALUE"""),0.75)</f>
        <v>0.75</v>
      </c>
    </row>
    <row r="1986">
      <c r="K1986" s="4" t="str">
        <f>IFERROR(__xludf.DUMMYFUNCTION("""COMPUTED_VALUE"""),"MEU BURGUER")</f>
        <v>MEU BURGUER</v>
      </c>
      <c r="L1986" s="32">
        <f>IFERROR(__xludf.DUMMYFUNCTION("""COMPUTED_VALUE"""),4.0)</f>
        <v>4</v>
      </c>
      <c r="M1986" s="4" t="str">
        <f>IFERROR(__xludf.DUMMYFUNCTION("""COMPUTED_VALUE"""),"Olaclick")</f>
        <v>Olaclick</v>
      </c>
      <c r="N1986" s="33">
        <f>IFERROR(__xludf.DUMMYFUNCTION("""COMPUTED_VALUE"""),0.5)</f>
        <v>0.5</v>
      </c>
      <c r="O1986" s="4" t="str">
        <f>IFERROR(__xludf.DUMMYFUNCTION("""COMPUTED_VALUE"""),"Olaclick")</f>
        <v>Olaclick</v>
      </c>
      <c r="P1986" s="33">
        <f>IFERROR(__xludf.DUMMYFUNCTION("""COMPUTED_VALUE"""),0.5)</f>
        <v>0.5</v>
      </c>
      <c r="Q1986" s="4" t="str">
        <f>IFERROR(__xludf.DUMMYFUNCTION("""COMPUTED_VALUE"""),"Olaclick")</f>
        <v>Olaclick</v>
      </c>
      <c r="R1986" s="33">
        <f>IFERROR(__xludf.DUMMYFUNCTION("""COMPUTED_VALUE"""),0.5)</f>
        <v>0.5</v>
      </c>
      <c r="S1986" s="4" t="str">
        <f>IFERROR(__xludf.DUMMYFUNCTION("""COMPUTED_VALUE"""),"Olaclick")</f>
        <v>Olaclick</v>
      </c>
      <c r="T1986" s="33">
        <f>IFERROR(__xludf.DUMMYFUNCTION("""COMPUTED_VALUE"""),0.5)</f>
        <v>0.5</v>
      </c>
      <c r="U1986" s="4" t="str">
        <f>IFERROR(__xludf.DUMMYFUNCTION("""COMPUTED_VALUE"""),"Olaclick")</f>
        <v>Olaclick</v>
      </c>
      <c r="V1986" s="33">
        <f>IFERROR(__xludf.DUMMYFUNCTION("""COMPUTED_VALUE"""),0.25)</f>
        <v>0.25</v>
      </c>
      <c r="W1986" s="4" t="str">
        <f>IFERROR(__xludf.DUMMYFUNCTION("""COMPUTED_VALUE"""),"Olaclick")</f>
        <v>Olaclick</v>
      </c>
      <c r="X1986" s="33">
        <f>IFERROR(__xludf.DUMMYFUNCTION("""COMPUTED_VALUE"""),0.25)</f>
        <v>0.25</v>
      </c>
    </row>
    <row r="1987">
      <c r="K1987" s="4" t="str">
        <f>IFERROR(__xludf.DUMMYFUNCTION("""COMPUTED_VALUE"""),"RECANTO DAS MASSAS")</f>
        <v>RECANTO DAS MASSAS</v>
      </c>
      <c r="L1987" s="32">
        <f>IFERROR(__xludf.DUMMYFUNCTION("""COMPUTED_VALUE"""),4.0)</f>
        <v>4</v>
      </c>
      <c r="M1987" s="4" t="str">
        <f>IFERROR(__xludf.DUMMYFUNCTION("""COMPUTED_VALUE"""),"Saipos Serviços De Software")</f>
        <v>Saipos Serviços De Software</v>
      </c>
      <c r="N1987" s="33">
        <f>IFERROR(__xludf.DUMMYFUNCTION("""COMPUTED_VALUE"""),0.75)</f>
        <v>0.75</v>
      </c>
      <c r="O1987" s="4" t="str">
        <f>IFERROR(__xludf.DUMMYFUNCTION("""COMPUTED_VALUE"""),"Saipos Serviços De Software")</f>
        <v>Saipos Serviços De Software</v>
      </c>
      <c r="P1987" s="33">
        <f>IFERROR(__xludf.DUMMYFUNCTION("""COMPUTED_VALUE"""),0.75)</f>
        <v>0.75</v>
      </c>
      <c r="Q1987" s="4" t="str">
        <f>IFERROR(__xludf.DUMMYFUNCTION("""COMPUTED_VALUE"""),"Saipos Serviços De Software")</f>
        <v>Saipos Serviços De Software</v>
      </c>
      <c r="R1987" s="33">
        <f>IFERROR(__xludf.DUMMYFUNCTION("""COMPUTED_VALUE"""),0.75)</f>
        <v>0.75</v>
      </c>
      <c r="S1987" s="4" t="str">
        <f>IFERROR(__xludf.DUMMYFUNCTION("""COMPUTED_VALUE"""),"Saipos Serviços De Software")</f>
        <v>Saipos Serviços De Software</v>
      </c>
      <c r="T1987" s="33">
        <f>IFERROR(__xludf.DUMMYFUNCTION("""COMPUTED_VALUE"""),0.75)</f>
        <v>0.75</v>
      </c>
      <c r="U1987" s="4" t="str">
        <f>IFERROR(__xludf.DUMMYFUNCTION("""COMPUTED_VALUE"""),"Saipos Serviços De Software")</f>
        <v>Saipos Serviços De Software</v>
      </c>
      <c r="V1987" s="33">
        <f>IFERROR(__xludf.DUMMYFUNCTION("""COMPUTED_VALUE"""),0.75)</f>
        <v>0.75</v>
      </c>
      <c r="W1987" s="4" t="str">
        <f>IFERROR(__xludf.DUMMYFUNCTION("""COMPUTED_VALUE"""),"Saipos Serviços De Software")</f>
        <v>Saipos Serviços De Software</v>
      </c>
      <c r="X1987" s="33">
        <f>IFERROR(__xludf.DUMMYFUNCTION("""COMPUTED_VALUE"""),0.75)</f>
        <v>0.75</v>
      </c>
    </row>
    <row r="1988">
      <c r="K1988" s="4" t="str">
        <f>IFERROR(__xludf.DUMMYFUNCTION("""COMPUTED_VALUE"""),"ACAICOM")</f>
        <v>ACAICOM</v>
      </c>
      <c r="L1988" s="32">
        <f>IFERROR(__xludf.DUMMYFUNCTION("""COMPUTED_VALUE"""),4.0)</f>
        <v>4</v>
      </c>
      <c r="M1988" s="4" t="str">
        <f>IFERROR(__xludf.DUMMYFUNCTION("""COMPUTED_VALUE"""),"null")</f>
        <v>null</v>
      </c>
      <c r="N1988" s="33">
        <f>IFERROR(__xludf.DUMMYFUNCTION("""COMPUTED_VALUE"""),0.25)</f>
        <v>0.25</v>
      </c>
      <c r="O1988" s="4" t="str">
        <f>IFERROR(__xludf.DUMMYFUNCTION("""COMPUTED_VALUE"""),"null")</f>
        <v>null</v>
      </c>
      <c r="P1988" s="33">
        <f>IFERROR(__xludf.DUMMYFUNCTION("""COMPUTED_VALUE"""),0.25)</f>
        <v>0.25</v>
      </c>
      <c r="Q1988" s="4" t="str">
        <f>IFERROR(__xludf.DUMMYFUNCTION("""COMPUTED_VALUE"""),"null")</f>
        <v>null</v>
      </c>
      <c r="R1988" s="33">
        <f>IFERROR(__xludf.DUMMYFUNCTION("""COMPUTED_VALUE"""),0.25)</f>
        <v>0.25</v>
      </c>
      <c r="S1988" s="4" t="str">
        <f>IFERROR(__xludf.DUMMYFUNCTION("""COMPUTED_VALUE"""),"null")</f>
        <v>null</v>
      </c>
      <c r="T1988" s="33">
        <f>IFERROR(__xludf.DUMMYFUNCTION("""COMPUTED_VALUE"""),0.25)</f>
        <v>0.25</v>
      </c>
      <c r="U1988" s="4" t="str">
        <f>IFERROR(__xludf.DUMMYFUNCTION("""COMPUTED_VALUE"""),"null")</f>
        <v>null</v>
      </c>
      <c r="V1988" s="33">
        <f>IFERROR(__xludf.DUMMYFUNCTION("""COMPUTED_VALUE"""),0.25)</f>
        <v>0.25</v>
      </c>
      <c r="W1988" s="4" t="str">
        <f>IFERROR(__xludf.DUMMYFUNCTION("""COMPUTED_VALUE"""),"Studio Flex Tecnologia")</f>
        <v>Studio Flex Tecnologia</v>
      </c>
      <c r="X1988" s="33">
        <f>IFERROR(__xludf.DUMMYFUNCTION("""COMPUTED_VALUE"""),0.25)</f>
        <v>0.25</v>
      </c>
    </row>
    <row r="1989">
      <c r="K1989" s="4" t="str">
        <f>IFERROR(__xludf.DUMMYFUNCTION("""COMPUTED_VALUE"""),"PIZZARIA FORNETTO")</f>
        <v>PIZZARIA FORNETTO</v>
      </c>
      <c r="L1989" s="32">
        <f>IFERROR(__xludf.DUMMYFUNCTION("""COMPUTED_VALUE"""),4.0)</f>
        <v>4</v>
      </c>
      <c r="M1989" s="4" t="str">
        <f>IFERROR(__xludf.DUMMYFUNCTION("""COMPUTED_VALUE"""),"null")</f>
        <v>null</v>
      </c>
      <c r="N1989" s="33">
        <f>IFERROR(__xludf.DUMMYFUNCTION("""COMPUTED_VALUE"""),0.5)</f>
        <v>0.5</v>
      </c>
      <c r="O1989" s="4" t="str">
        <f>IFERROR(__xludf.DUMMYFUNCTION("""COMPUTED_VALUE"""),"null")</f>
        <v>null</v>
      </c>
      <c r="P1989" s="33">
        <f>IFERROR(__xludf.DUMMYFUNCTION("""COMPUTED_VALUE"""),0.5)</f>
        <v>0.5</v>
      </c>
      <c r="Q1989" s="4" t="str">
        <f>IFERROR(__xludf.DUMMYFUNCTION("""COMPUTED_VALUE"""),"null")</f>
        <v>null</v>
      </c>
      <c r="R1989" s="33">
        <f>IFERROR(__xludf.DUMMYFUNCTION("""COMPUTED_VALUE"""),0.5)</f>
        <v>0.5</v>
      </c>
      <c r="S1989" s="4" t="str">
        <f>IFERROR(__xludf.DUMMYFUNCTION("""COMPUTED_VALUE"""),"null")</f>
        <v>null</v>
      </c>
      <c r="T1989" s="33">
        <f>IFERROR(__xludf.DUMMYFUNCTION("""COMPUTED_VALUE"""),0.5)</f>
        <v>0.5</v>
      </c>
      <c r="U1989" s="4" t="str">
        <f>IFERROR(__xludf.DUMMYFUNCTION("""COMPUTED_VALUE"""),"Biz System Tecnologia Ltda")</f>
        <v>Biz System Tecnologia Ltda</v>
      </c>
      <c r="V1989" s="33">
        <f>IFERROR(__xludf.DUMMYFUNCTION("""COMPUTED_VALUE"""),0.25)</f>
        <v>0.25</v>
      </c>
      <c r="W1989" s="4" t="str">
        <f>IFERROR(__xludf.DUMMYFUNCTION("""COMPUTED_VALUE"""),"Biz System Tecnologia Ltda")</f>
        <v>Biz System Tecnologia Ltda</v>
      </c>
      <c r="X1989" s="33">
        <f>IFERROR(__xludf.DUMMYFUNCTION("""COMPUTED_VALUE"""),0.25)</f>
        <v>0.25</v>
      </c>
    </row>
    <row r="1990">
      <c r="K1990" s="4" t="str">
        <f>IFERROR(__xludf.DUMMYFUNCTION("""COMPUTED_VALUE"""),"FLY PIZZA")</f>
        <v>FLY PIZZA</v>
      </c>
      <c r="L1990" s="32">
        <f>IFERROR(__xludf.DUMMYFUNCTION("""COMPUTED_VALUE"""),4.0)</f>
        <v>4</v>
      </c>
      <c r="M1990" s="4" t="str">
        <f>IFERROR(__xludf.DUMMYFUNCTION("""COMPUTED_VALUE"""),"Netcontroll Xmenu")</f>
        <v>Netcontroll Xmenu</v>
      </c>
      <c r="N1990" s="33">
        <f>IFERROR(__xludf.DUMMYFUNCTION("""COMPUTED_VALUE"""),0.75)</f>
        <v>0.75</v>
      </c>
      <c r="O1990" s="4" t="str">
        <f>IFERROR(__xludf.DUMMYFUNCTION("""COMPUTED_VALUE"""),"Netcontroll Xmenu")</f>
        <v>Netcontroll Xmenu</v>
      </c>
      <c r="P1990" s="33">
        <f>IFERROR(__xludf.DUMMYFUNCTION("""COMPUTED_VALUE"""),0.5)</f>
        <v>0.5</v>
      </c>
      <c r="Q1990" s="4" t="str">
        <f>IFERROR(__xludf.DUMMYFUNCTION("""COMPUTED_VALUE"""),"Netcontroll Xmenu")</f>
        <v>Netcontroll Xmenu</v>
      </c>
      <c r="R1990" s="33">
        <f>IFERROR(__xludf.DUMMYFUNCTION("""COMPUTED_VALUE"""),0.5)</f>
        <v>0.5</v>
      </c>
      <c r="S1990" s="4" t="str">
        <f>IFERROR(__xludf.DUMMYFUNCTION("""COMPUTED_VALUE"""),"Netcontroll Xmenu")</f>
        <v>Netcontroll Xmenu</v>
      </c>
      <c r="T1990" s="33">
        <f>IFERROR(__xludf.DUMMYFUNCTION("""COMPUTED_VALUE"""),0.5)</f>
        <v>0.5</v>
      </c>
      <c r="U1990" s="4" t="str">
        <f>IFERROR(__xludf.DUMMYFUNCTION("""COMPUTED_VALUE"""),"Netcontroll Xmenu")</f>
        <v>Netcontroll Xmenu</v>
      </c>
      <c r="V1990" s="33">
        <f>IFERROR(__xludf.DUMMYFUNCTION("""COMPUTED_VALUE"""),0.5)</f>
        <v>0.5</v>
      </c>
      <c r="W1990" s="4" t="str">
        <f>IFERROR(__xludf.DUMMYFUNCTION("""COMPUTED_VALUE"""),"null")</f>
        <v>null</v>
      </c>
      <c r="X1990" s="33">
        <f>IFERROR(__xludf.DUMMYFUNCTION("""COMPUTED_VALUE"""),0.75)</f>
        <v>0.75</v>
      </c>
    </row>
    <row r="1991">
      <c r="K1991" s="4" t="str">
        <f>IFERROR(__xludf.DUMMYFUNCTION("""COMPUTED_VALUE"""),"ESQUINA DO LANCHE")</f>
        <v>ESQUINA DO LANCHE</v>
      </c>
      <c r="L1991" s="32">
        <f>IFERROR(__xludf.DUMMYFUNCTION("""COMPUTED_VALUE"""),4.0)</f>
        <v>4</v>
      </c>
      <c r="M1991" s="4" t="str">
        <f>IFERROR(__xludf.DUMMYFUNCTION("""COMPUTED_VALUE"""),"Anota Ai Solucoes Digitais S/a")</f>
        <v>Anota Ai Solucoes Digitais S/a</v>
      </c>
      <c r="N1991" s="33">
        <f>IFERROR(__xludf.DUMMYFUNCTION("""COMPUTED_VALUE"""),0.25)</f>
        <v>0.25</v>
      </c>
      <c r="O1991" s="4" t="str">
        <f>IFERROR(__xludf.DUMMYFUNCTION("""COMPUTED_VALUE"""),"null")</f>
        <v>null</v>
      </c>
      <c r="P1991" s="33">
        <f>IFERROR(__xludf.DUMMYFUNCTION("""COMPUTED_VALUE"""),0.75)</f>
        <v>0.75</v>
      </c>
      <c r="Q1991" s="4" t="str">
        <f>IFERROR(__xludf.DUMMYFUNCTION("""COMPUTED_VALUE"""),"null")</f>
        <v>null</v>
      </c>
      <c r="R1991" s="33">
        <f>IFERROR(__xludf.DUMMYFUNCTION("""COMPUTED_VALUE"""),0.5)</f>
        <v>0.5</v>
      </c>
      <c r="S1991" s="4" t="str">
        <f>IFERROR(__xludf.DUMMYFUNCTION("""COMPUTED_VALUE"""),"null")</f>
        <v>null</v>
      </c>
      <c r="T1991" s="33">
        <f>IFERROR(__xludf.DUMMYFUNCTION("""COMPUTED_VALUE"""),0.5)</f>
        <v>0.5</v>
      </c>
      <c r="U1991" s="4" t="str">
        <f>IFERROR(__xludf.DUMMYFUNCTION("""COMPUTED_VALUE"""),"null")</f>
        <v>null</v>
      </c>
      <c r="V1991" s="33">
        <f>IFERROR(__xludf.DUMMYFUNCTION("""COMPUTED_VALUE"""),0.5)</f>
        <v>0.5</v>
      </c>
      <c r="W1991" s="4" t="str">
        <f>IFERROR(__xludf.DUMMYFUNCTION("""COMPUTED_VALUE"""),"Anota Ai Solucoes Digitais S/a")</f>
        <v>Anota Ai Solucoes Digitais S/a</v>
      </c>
      <c r="X1991" s="33">
        <f>IFERROR(__xludf.DUMMYFUNCTION("""COMPUTED_VALUE"""),0.25)</f>
        <v>0.25</v>
      </c>
    </row>
    <row r="1992">
      <c r="K1992" s="4" t="str">
        <f>IFERROR(__xludf.DUMMYFUNCTION("""COMPUTED_VALUE"""),"MISTER ACAI")</f>
        <v>MISTER ACAI</v>
      </c>
      <c r="L1992" s="32">
        <f>IFERROR(__xludf.DUMMYFUNCTION("""COMPUTED_VALUE"""),4.0)</f>
        <v>4</v>
      </c>
      <c r="M1992" s="4" t="str">
        <f>IFERROR(__xludf.DUMMYFUNCTION("""COMPUTED_VALUE"""),"Saipos Serviços De Software")</f>
        <v>Saipos Serviços De Software</v>
      </c>
      <c r="N1992" s="33">
        <f>IFERROR(__xludf.DUMMYFUNCTION("""COMPUTED_VALUE"""),0.5)</f>
        <v>0.5</v>
      </c>
      <c r="O1992" s="4" t="str">
        <f>IFERROR(__xludf.DUMMYFUNCTION("""COMPUTED_VALUE"""),"Saipos Serviços De Software")</f>
        <v>Saipos Serviços De Software</v>
      </c>
      <c r="P1992" s="33">
        <f>IFERROR(__xludf.DUMMYFUNCTION("""COMPUTED_VALUE"""),0.5)</f>
        <v>0.5</v>
      </c>
      <c r="Q1992" s="4" t="str">
        <f>IFERROR(__xludf.DUMMYFUNCTION("""COMPUTED_VALUE"""),"null")</f>
        <v>null</v>
      </c>
      <c r="R1992" s="33">
        <f>IFERROR(__xludf.DUMMYFUNCTION("""COMPUTED_VALUE"""),0.5)</f>
        <v>0.5</v>
      </c>
      <c r="S1992" s="4" t="str">
        <f>IFERROR(__xludf.DUMMYFUNCTION("""COMPUTED_VALUE"""),"Menu Integrado")</f>
        <v>Menu Integrado</v>
      </c>
      <c r="T1992" s="33">
        <f>IFERROR(__xludf.DUMMYFUNCTION("""COMPUTED_VALUE"""),0.25)</f>
        <v>0.25</v>
      </c>
      <c r="U1992" s="4" t="str">
        <f>IFERROR(__xludf.DUMMYFUNCTION("""COMPUTED_VALUE"""),"Menu Integrado")</f>
        <v>Menu Integrado</v>
      </c>
      <c r="V1992" s="33">
        <f>IFERROR(__xludf.DUMMYFUNCTION("""COMPUTED_VALUE"""),0.25)</f>
        <v>0.25</v>
      </c>
      <c r="W1992" s="4" t="str">
        <f>IFERROR(__xludf.DUMMYFUNCTION("""COMPUTED_VALUE"""),"Menu Integrado")</f>
        <v>Menu Integrado</v>
      </c>
      <c r="X1992" s="33">
        <f>IFERROR(__xludf.DUMMYFUNCTION("""COMPUTED_VALUE"""),0.25)</f>
        <v>0.25</v>
      </c>
    </row>
    <row r="1993">
      <c r="K1993" s="4" t="str">
        <f>IFERROR(__xludf.DUMMYFUNCTION("""COMPUTED_VALUE"""),"CASA DO CHURRASCO")</f>
        <v>CASA DO CHURRASCO</v>
      </c>
      <c r="L1993" s="32">
        <f>IFERROR(__xludf.DUMMYFUNCTION("""COMPUTED_VALUE"""),4.0)</f>
        <v>4</v>
      </c>
      <c r="M1993" s="4" t="str">
        <f>IFERROR(__xludf.DUMMYFUNCTION("""COMPUTED_VALUE"""),"Saipos Serviços De Software")</f>
        <v>Saipos Serviços De Software</v>
      </c>
      <c r="N1993" s="33">
        <f>IFERROR(__xludf.DUMMYFUNCTION("""COMPUTED_VALUE"""),0.75)</f>
        <v>0.75</v>
      </c>
      <c r="O1993" s="4" t="str">
        <f>IFERROR(__xludf.DUMMYFUNCTION("""COMPUTED_VALUE"""),"Saipos Serviços De Software")</f>
        <v>Saipos Serviços De Software</v>
      </c>
      <c r="P1993" s="33">
        <f>IFERROR(__xludf.DUMMYFUNCTION("""COMPUTED_VALUE"""),0.75)</f>
        <v>0.75</v>
      </c>
      <c r="Q1993" s="4" t="str">
        <f>IFERROR(__xludf.DUMMYFUNCTION("""COMPUTED_VALUE"""),"Saipos Serviços De Software")</f>
        <v>Saipos Serviços De Software</v>
      </c>
      <c r="R1993" s="33">
        <f>IFERROR(__xludf.DUMMYFUNCTION("""COMPUTED_VALUE"""),0.75)</f>
        <v>0.75</v>
      </c>
      <c r="S1993" s="4" t="str">
        <f>IFERROR(__xludf.DUMMYFUNCTION("""COMPUTED_VALUE"""),"Saipos Serviços De Software")</f>
        <v>Saipos Serviços De Software</v>
      </c>
      <c r="T1993" s="33">
        <f>IFERROR(__xludf.DUMMYFUNCTION("""COMPUTED_VALUE"""),0.75)</f>
        <v>0.75</v>
      </c>
      <c r="U1993" s="4" t="str">
        <f>IFERROR(__xludf.DUMMYFUNCTION("""COMPUTED_VALUE"""),"Saipos Serviços De Software")</f>
        <v>Saipos Serviços De Software</v>
      </c>
      <c r="V1993" s="33">
        <f>IFERROR(__xludf.DUMMYFUNCTION("""COMPUTED_VALUE"""),0.75)</f>
        <v>0.75</v>
      </c>
      <c r="W1993" s="4" t="str">
        <f>IFERROR(__xludf.DUMMYFUNCTION("""COMPUTED_VALUE"""),"Saipos Serviços De Software")</f>
        <v>Saipos Serviços De Software</v>
      </c>
      <c r="X1993" s="33">
        <f>IFERROR(__xludf.DUMMYFUNCTION("""COMPUTED_VALUE"""),0.75)</f>
        <v>0.75</v>
      </c>
    </row>
    <row r="1994">
      <c r="K1994" s="4" t="str">
        <f>IFERROR(__xludf.DUMMYFUNCTION("""COMPUTED_VALUE"""),"ACAIZEIRO")</f>
        <v>ACAIZEIRO</v>
      </c>
      <c r="L1994" s="32">
        <f>IFERROR(__xludf.DUMMYFUNCTION("""COMPUTED_VALUE"""),4.0)</f>
        <v>4</v>
      </c>
      <c r="M1994" s="4" t="str">
        <f>IFERROR(__xludf.DUMMYFUNCTION("""COMPUTED_VALUE"""),"Saipos Serviços De Software")</f>
        <v>Saipos Serviços De Software</v>
      </c>
      <c r="N1994" s="33">
        <f>IFERROR(__xludf.DUMMYFUNCTION("""COMPUTED_VALUE"""),0.5)</f>
        <v>0.5</v>
      </c>
      <c r="O1994" s="4" t="str">
        <f>IFERROR(__xludf.DUMMYFUNCTION("""COMPUTED_VALUE"""),"Saipos Serviços De Software")</f>
        <v>Saipos Serviços De Software</v>
      </c>
      <c r="P1994" s="33">
        <f>IFERROR(__xludf.DUMMYFUNCTION("""COMPUTED_VALUE"""),0.5)</f>
        <v>0.5</v>
      </c>
      <c r="Q1994" s="4" t="str">
        <f>IFERROR(__xludf.DUMMYFUNCTION("""COMPUTED_VALUE"""),"null")</f>
        <v>null</v>
      </c>
      <c r="R1994" s="33">
        <f>IFERROR(__xludf.DUMMYFUNCTION("""COMPUTED_VALUE"""),0.5)</f>
        <v>0.5</v>
      </c>
      <c r="S1994" s="4" t="str">
        <f>IFERROR(__xludf.DUMMYFUNCTION("""COMPUTED_VALUE"""),"null")</f>
        <v>null</v>
      </c>
      <c r="T1994" s="33">
        <f>IFERROR(__xludf.DUMMYFUNCTION("""COMPUTED_VALUE"""),0.5)</f>
        <v>0.5</v>
      </c>
      <c r="U1994" s="4" t="str">
        <f>IFERROR(__xludf.DUMMYFUNCTION("""COMPUTED_VALUE"""),"null")</f>
        <v>null</v>
      </c>
      <c r="V1994" s="33">
        <f>IFERROR(__xludf.DUMMYFUNCTION("""COMPUTED_VALUE"""),0.5)</f>
        <v>0.5</v>
      </c>
      <c r="W1994" s="4" t="str">
        <f>IFERROR(__xludf.DUMMYFUNCTION("""COMPUTED_VALUE"""),"Saipos Serviços De Software")</f>
        <v>Saipos Serviços De Software</v>
      </c>
      <c r="X1994" s="33">
        <f>IFERROR(__xludf.DUMMYFUNCTION("""COMPUTED_VALUE"""),0.5)</f>
        <v>0.5</v>
      </c>
    </row>
    <row r="1995">
      <c r="K1995" s="4" t="str">
        <f>IFERROR(__xludf.DUMMYFUNCTION("""COMPUTED_VALUE"""),"IMPERIO DA MARMITA")</f>
        <v>IMPERIO DA MARMITA</v>
      </c>
      <c r="L1995" s="32">
        <f>IFERROR(__xludf.DUMMYFUNCTION("""COMPUTED_VALUE"""),4.0)</f>
        <v>4</v>
      </c>
      <c r="M1995" s="4" t="str">
        <f>IFERROR(__xludf.DUMMYFUNCTION("""COMPUTED_VALUE"""),"null")</f>
        <v>null</v>
      </c>
      <c r="N1995" s="33">
        <f>IFERROR(__xludf.DUMMYFUNCTION("""COMPUTED_VALUE"""),0.75)</f>
        <v>0.75</v>
      </c>
      <c r="O1995" s="4" t="str">
        <f>IFERROR(__xludf.DUMMYFUNCTION("""COMPUTED_VALUE"""),"null")</f>
        <v>null</v>
      </c>
      <c r="P1995" s="33">
        <f>IFERROR(__xludf.DUMMYFUNCTION("""COMPUTED_VALUE"""),0.75)</f>
        <v>0.75</v>
      </c>
      <c r="Q1995" s="4" t="str">
        <f>IFERROR(__xludf.DUMMYFUNCTION("""COMPUTED_VALUE"""),"null")</f>
        <v>null</v>
      </c>
      <c r="R1995" s="33">
        <f>IFERROR(__xludf.DUMMYFUNCTION("""COMPUTED_VALUE"""),0.5)</f>
        <v>0.5</v>
      </c>
      <c r="S1995" s="4" t="str">
        <f>IFERROR(__xludf.DUMMYFUNCTION("""COMPUTED_VALUE"""),"null")</f>
        <v>null</v>
      </c>
      <c r="T1995" s="33">
        <f>IFERROR(__xludf.DUMMYFUNCTION("""COMPUTED_VALUE"""),0.25)</f>
        <v>0.25</v>
      </c>
      <c r="U1995" s="4" t="str">
        <f>IFERROR(__xludf.DUMMYFUNCTION("""COMPUTED_VALUE"""),"null")</f>
        <v>null</v>
      </c>
      <c r="V1995" s="33">
        <f>IFERROR(__xludf.DUMMYFUNCTION("""COMPUTED_VALUE"""),0.25)</f>
        <v>0.25</v>
      </c>
      <c r="W1995" s="4" t="str">
        <f>IFERROR(__xludf.DUMMYFUNCTION("""COMPUTED_VALUE"""),"Anota Ai Solucoes Digitais S/a")</f>
        <v>Anota Ai Solucoes Digitais S/a</v>
      </c>
      <c r="X1995" s="33">
        <f>IFERROR(__xludf.DUMMYFUNCTION("""COMPUTED_VALUE"""),0.25)</f>
        <v>0.25</v>
      </c>
    </row>
    <row r="1996">
      <c r="K1996" s="4" t="str">
        <f>IFERROR(__xludf.DUMMYFUNCTION("""COMPUTED_VALUE"""),"DIVINO SABOR")</f>
        <v>DIVINO SABOR</v>
      </c>
      <c r="L1996" s="32">
        <f>IFERROR(__xludf.DUMMYFUNCTION("""COMPUTED_VALUE"""),4.0)</f>
        <v>4</v>
      </c>
      <c r="M1996" s="4" t="str">
        <f>IFERROR(__xludf.DUMMYFUNCTION("""COMPUTED_VALUE"""),"null")</f>
        <v>null</v>
      </c>
      <c r="N1996" s="33">
        <f>IFERROR(__xludf.DUMMYFUNCTION("""COMPUTED_VALUE"""),0.5)</f>
        <v>0.5</v>
      </c>
      <c r="O1996" s="4" t="str">
        <f>IFERROR(__xludf.DUMMYFUNCTION("""COMPUTED_VALUE"""),"null")</f>
        <v>null</v>
      </c>
      <c r="P1996" s="33">
        <f>IFERROR(__xludf.DUMMYFUNCTION("""COMPUTED_VALUE"""),0.5)</f>
        <v>0.5</v>
      </c>
      <c r="Q1996" s="4" t="str">
        <f>IFERROR(__xludf.DUMMYFUNCTION("""COMPUTED_VALUE"""),"Prefiro Delivery")</f>
        <v>Prefiro Delivery</v>
      </c>
      <c r="R1996" s="33">
        <f>IFERROR(__xludf.DUMMYFUNCTION("""COMPUTED_VALUE"""),0.25)</f>
        <v>0.25</v>
      </c>
      <c r="S1996" s="4" t="str">
        <f>IFERROR(__xludf.DUMMYFUNCTION("""COMPUTED_VALUE"""),"Prefiro Delivery")</f>
        <v>Prefiro Delivery</v>
      </c>
      <c r="T1996" s="33">
        <f>IFERROR(__xludf.DUMMYFUNCTION("""COMPUTED_VALUE"""),0.25)</f>
        <v>0.25</v>
      </c>
      <c r="U1996" s="4" t="str">
        <f>IFERROR(__xludf.DUMMYFUNCTION("""COMPUTED_VALUE"""),"null")</f>
        <v>null</v>
      </c>
      <c r="V1996" s="33">
        <f>IFERROR(__xludf.DUMMYFUNCTION("""COMPUTED_VALUE"""),0.5)</f>
        <v>0.5</v>
      </c>
      <c r="W1996" s="4" t="str">
        <f>IFERROR(__xludf.DUMMYFUNCTION("""COMPUTED_VALUE"""),"null")</f>
        <v>null</v>
      </c>
      <c r="X1996" s="33">
        <f>IFERROR(__xludf.DUMMYFUNCTION("""COMPUTED_VALUE"""),0.5)</f>
        <v>0.5</v>
      </c>
    </row>
    <row r="1997">
      <c r="K1997" s="4" t="str">
        <f>IFERROR(__xludf.DUMMYFUNCTION("""COMPUTED_VALUE"""),"YOSHAKE")</f>
        <v>YOSHAKE</v>
      </c>
      <c r="L1997" s="32">
        <f>IFERROR(__xludf.DUMMYFUNCTION("""COMPUTED_VALUE"""),4.0)</f>
        <v>4</v>
      </c>
      <c r="M1997" s="4" t="str">
        <f>IFERROR(__xludf.DUMMYFUNCTION("""COMPUTED_VALUE"""),"Totvs Large Enterprise Tecnologia S.a.")</f>
        <v>Totvs Large Enterprise Tecnologia S.a.</v>
      </c>
      <c r="N1997" s="33">
        <f>IFERROR(__xludf.DUMMYFUNCTION("""COMPUTED_VALUE"""),1.0)</f>
        <v>1</v>
      </c>
      <c r="O1997" s="4" t="str">
        <f>IFERROR(__xludf.DUMMYFUNCTION("""COMPUTED_VALUE"""),"Totvs Large Enterprise Tecnologia S.a.")</f>
        <v>Totvs Large Enterprise Tecnologia S.a.</v>
      </c>
      <c r="P1997" s="33">
        <f>IFERROR(__xludf.DUMMYFUNCTION("""COMPUTED_VALUE"""),0.8333333333333334)</f>
        <v>0.8333333333</v>
      </c>
      <c r="Q1997" s="4" t="str">
        <f>IFERROR(__xludf.DUMMYFUNCTION("""COMPUTED_VALUE"""),"Totvs Large Enterprise Tecnologia S.a.")</f>
        <v>Totvs Large Enterprise Tecnologia S.a.</v>
      </c>
      <c r="R1997" s="33">
        <f>IFERROR(__xludf.DUMMYFUNCTION("""COMPUTED_VALUE"""),0.5)</f>
        <v>0.5</v>
      </c>
      <c r="S1997" s="4" t="str">
        <f>IFERROR(__xludf.DUMMYFUNCTION("""COMPUTED_VALUE"""),"Totvs Large Enterprise Tecnologia S.a.")</f>
        <v>Totvs Large Enterprise Tecnologia S.a.</v>
      </c>
      <c r="T1997" s="33">
        <f>IFERROR(__xludf.DUMMYFUNCTION("""COMPUTED_VALUE"""),0.5)</f>
        <v>0.5</v>
      </c>
      <c r="U1997" s="4" t="str">
        <f>IFERROR(__xludf.DUMMYFUNCTION("""COMPUTED_VALUE"""),"Totvs Large Enterprise Tecnologia S.a.")</f>
        <v>Totvs Large Enterprise Tecnologia S.a.</v>
      </c>
      <c r="V1997" s="33">
        <f>IFERROR(__xludf.DUMMYFUNCTION("""COMPUTED_VALUE"""),0.8333333333333334)</f>
        <v>0.8333333333</v>
      </c>
      <c r="W1997" s="4" t="str">
        <f>IFERROR(__xludf.DUMMYFUNCTION("""COMPUTED_VALUE"""),"Totvs Large Enterprise Tecnologia S.a.")</f>
        <v>Totvs Large Enterprise Tecnologia S.a.</v>
      </c>
      <c r="X1997" s="33">
        <f>IFERROR(__xludf.DUMMYFUNCTION("""COMPUTED_VALUE"""),0.8333333333333334)</f>
        <v>0.8333333333</v>
      </c>
    </row>
    <row r="1998">
      <c r="K1998" s="4" t="str">
        <f>IFERROR(__xludf.DUMMYFUNCTION("""COMPUTED_VALUE"""),"ATELIE DO ACAI E SORVETES")</f>
        <v>ATELIE DO ACAI E SORVETES</v>
      </c>
      <c r="L1998" s="32">
        <f>IFERROR(__xludf.DUMMYFUNCTION("""COMPUTED_VALUE"""),4.0)</f>
        <v>4</v>
      </c>
      <c r="M1998" s="4" t="str">
        <f>IFERROR(__xludf.DUMMYFUNCTION("""COMPUTED_VALUE"""),"Suitable Tecnologia E Gestao")</f>
        <v>Suitable Tecnologia E Gestao</v>
      </c>
      <c r="N1998" s="33">
        <f>IFERROR(__xludf.DUMMYFUNCTION("""COMPUTED_VALUE"""),1.0)</f>
        <v>1</v>
      </c>
      <c r="O1998" s="4" t="str">
        <f>IFERROR(__xludf.DUMMYFUNCTION("""COMPUTED_VALUE"""),"Suitable Tecnologia E Gestao")</f>
        <v>Suitable Tecnologia E Gestao</v>
      </c>
      <c r="P1998" s="33">
        <f>IFERROR(__xludf.DUMMYFUNCTION("""COMPUTED_VALUE"""),1.0)</f>
        <v>1</v>
      </c>
      <c r="Q1998" s="4" t="str">
        <f>IFERROR(__xludf.DUMMYFUNCTION("""COMPUTED_VALUE"""),"Suitable Tecnologia E Gestao")</f>
        <v>Suitable Tecnologia E Gestao</v>
      </c>
      <c r="R1998" s="33">
        <f>IFERROR(__xludf.DUMMYFUNCTION("""COMPUTED_VALUE"""),1.0)</f>
        <v>1</v>
      </c>
      <c r="S1998" s="4" t="str">
        <f>IFERROR(__xludf.DUMMYFUNCTION("""COMPUTED_VALUE"""),"Suitable Tecnologia E Gestao")</f>
        <v>Suitable Tecnologia E Gestao</v>
      </c>
      <c r="T1998" s="33">
        <f>IFERROR(__xludf.DUMMYFUNCTION("""COMPUTED_VALUE"""),1.0)</f>
        <v>1</v>
      </c>
      <c r="U1998" s="4" t="str">
        <f>IFERROR(__xludf.DUMMYFUNCTION("""COMPUTED_VALUE"""),"Suitable Tecnologia E Gestao")</f>
        <v>Suitable Tecnologia E Gestao</v>
      </c>
      <c r="V1998" s="33">
        <f>IFERROR(__xludf.DUMMYFUNCTION("""COMPUTED_VALUE"""),1.0)</f>
        <v>1</v>
      </c>
      <c r="W1998" s="4" t="str">
        <f>IFERROR(__xludf.DUMMYFUNCTION("""COMPUTED_VALUE"""),"Suitable Tecnologia E Gestao")</f>
        <v>Suitable Tecnologia E Gestao</v>
      </c>
      <c r="X1998" s="33">
        <f>IFERROR(__xludf.DUMMYFUNCTION("""COMPUTED_VALUE"""),1.0)</f>
        <v>1</v>
      </c>
    </row>
    <row r="1999">
      <c r="K1999" s="4" t="str">
        <f>IFERROR(__xludf.DUMMYFUNCTION("""COMPUTED_VALUE"""),"LIA SALGADOS")</f>
        <v>LIA SALGADOS</v>
      </c>
      <c r="L1999" s="32">
        <f>IFERROR(__xludf.DUMMYFUNCTION("""COMPUTED_VALUE"""),4.0)</f>
        <v>4</v>
      </c>
      <c r="M1999" s="4" t="str">
        <f>IFERROR(__xludf.DUMMYFUNCTION("""COMPUTED_VALUE"""),"Saipos Serviços De Software")</f>
        <v>Saipos Serviços De Software</v>
      </c>
      <c r="N1999" s="33">
        <f>IFERROR(__xludf.DUMMYFUNCTION("""COMPUTED_VALUE"""),1.0)</f>
        <v>1</v>
      </c>
      <c r="O1999" s="4" t="str">
        <f>IFERROR(__xludf.DUMMYFUNCTION("""COMPUTED_VALUE"""),"Saipos Serviços De Software")</f>
        <v>Saipos Serviços De Software</v>
      </c>
      <c r="P1999" s="33">
        <f>IFERROR(__xludf.DUMMYFUNCTION("""COMPUTED_VALUE"""),1.0)</f>
        <v>1</v>
      </c>
      <c r="Q1999" s="4" t="str">
        <f>IFERROR(__xludf.DUMMYFUNCTION("""COMPUTED_VALUE"""),"Saipos Serviços De Software")</f>
        <v>Saipos Serviços De Software</v>
      </c>
      <c r="R1999" s="33">
        <f>IFERROR(__xludf.DUMMYFUNCTION("""COMPUTED_VALUE"""),1.0)</f>
        <v>1</v>
      </c>
      <c r="S1999" s="4" t="str">
        <f>IFERROR(__xludf.DUMMYFUNCTION("""COMPUTED_VALUE"""),"Saipos Serviços De Software")</f>
        <v>Saipos Serviços De Software</v>
      </c>
      <c r="T1999" s="33">
        <f>IFERROR(__xludf.DUMMYFUNCTION("""COMPUTED_VALUE"""),1.0)</f>
        <v>1</v>
      </c>
      <c r="U1999" s="4" t="str">
        <f>IFERROR(__xludf.DUMMYFUNCTION("""COMPUTED_VALUE"""),"Saipos Serviços De Software")</f>
        <v>Saipos Serviços De Software</v>
      </c>
      <c r="V1999" s="33">
        <f>IFERROR(__xludf.DUMMYFUNCTION("""COMPUTED_VALUE"""),1.0)</f>
        <v>1</v>
      </c>
      <c r="W1999" s="4" t="str">
        <f>IFERROR(__xludf.DUMMYFUNCTION("""COMPUTED_VALUE"""),"Saipos Serviços De Software")</f>
        <v>Saipos Serviços De Software</v>
      </c>
      <c r="X1999" s="33">
        <f>IFERROR(__xludf.DUMMYFUNCTION("""COMPUTED_VALUE"""),1.0)</f>
        <v>1</v>
      </c>
    </row>
    <row r="2000">
      <c r="K2000" s="4" t="str">
        <f>IFERROR(__xludf.DUMMYFUNCTION("""COMPUTED_VALUE"""),"PIZZARIA BRASIL")</f>
        <v>PIZZARIA BRASIL</v>
      </c>
      <c r="L2000" s="32">
        <f>IFERROR(__xludf.DUMMYFUNCTION("""COMPUTED_VALUE"""),4.0)</f>
        <v>4</v>
      </c>
      <c r="M2000" s="4" t="str">
        <f>IFERROR(__xludf.DUMMYFUNCTION("""COMPUTED_VALUE"""),"Saipos Serviços De Software")</f>
        <v>Saipos Serviços De Software</v>
      </c>
      <c r="N2000" s="33">
        <f>IFERROR(__xludf.DUMMYFUNCTION("""COMPUTED_VALUE"""),0.25)</f>
        <v>0.25</v>
      </c>
      <c r="O2000" s="4" t="str">
        <f>IFERROR(__xludf.DUMMYFUNCTION("""COMPUTED_VALUE"""),"Saipos Serviços De Software")</f>
        <v>Saipos Serviços De Software</v>
      </c>
      <c r="P2000" s="33">
        <f>IFERROR(__xludf.DUMMYFUNCTION("""COMPUTED_VALUE"""),0.25)</f>
        <v>0.25</v>
      </c>
      <c r="Q2000" s="4" t="str">
        <f>IFERROR(__xludf.DUMMYFUNCTION("""COMPUTED_VALUE"""),"Saipos Serviços De Software")</f>
        <v>Saipos Serviços De Software</v>
      </c>
      <c r="R2000" s="33">
        <f>IFERROR(__xludf.DUMMYFUNCTION("""COMPUTED_VALUE"""),0.25)</f>
        <v>0.25</v>
      </c>
      <c r="S2000" s="4" t="str">
        <f>IFERROR(__xludf.DUMMYFUNCTION("""COMPUTED_VALUE"""),"Saipos Serviços De Software")</f>
        <v>Saipos Serviços De Software</v>
      </c>
      <c r="T2000" s="33">
        <f>IFERROR(__xludf.DUMMYFUNCTION("""COMPUTED_VALUE"""),0.25)</f>
        <v>0.25</v>
      </c>
      <c r="U2000" s="4" t="str">
        <f>IFERROR(__xludf.DUMMYFUNCTION("""COMPUTED_VALUE"""),"Saipos Serviços De Software")</f>
        <v>Saipos Serviços De Software</v>
      </c>
      <c r="V2000" s="33">
        <f>IFERROR(__xludf.DUMMYFUNCTION("""COMPUTED_VALUE"""),0.25)</f>
        <v>0.25</v>
      </c>
      <c r="W2000" s="4" t="str">
        <f>IFERROR(__xludf.DUMMYFUNCTION("""COMPUTED_VALUE"""),"Saipos Serviços De Software")</f>
        <v>Saipos Serviços De Software</v>
      </c>
      <c r="X2000" s="33">
        <f>IFERROR(__xludf.DUMMYFUNCTION("""COMPUTED_VALUE"""),0.5)</f>
        <v>0.5</v>
      </c>
    </row>
    <row r="2001">
      <c r="K2001" s="4" t="str">
        <f>IFERROR(__xludf.DUMMYFUNCTION("""COMPUTED_VALUE"""),"FABRICA DE SALGADOS")</f>
        <v>FABRICA DE SALGADOS</v>
      </c>
      <c r="L2001" s="32">
        <f>IFERROR(__xludf.DUMMYFUNCTION("""COMPUTED_VALUE"""),4.0)</f>
        <v>4</v>
      </c>
      <c r="M2001" s="4" t="str">
        <f>IFERROR(__xludf.DUMMYFUNCTION("""COMPUTED_VALUE"""),"Anota Ai Solucoes Digitais S/a")</f>
        <v>Anota Ai Solucoes Digitais S/a</v>
      </c>
      <c r="N2001" s="33">
        <f>IFERROR(__xludf.DUMMYFUNCTION("""COMPUTED_VALUE"""),0.5)</f>
        <v>0.5</v>
      </c>
      <c r="O2001" s="4" t="str">
        <f>IFERROR(__xludf.DUMMYFUNCTION("""COMPUTED_VALUE"""),"Saipos Serviços De Software")</f>
        <v>Saipos Serviços De Software</v>
      </c>
      <c r="P2001" s="33">
        <f>IFERROR(__xludf.DUMMYFUNCTION("""COMPUTED_VALUE"""),0.5)</f>
        <v>0.5</v>
      </c>
      <c r="Q2001" s="4" t="str">
        <f>IFERROR(__xludf.DUMMYFUNCTION("""COMPUTED_VALUE"""),"Saipos Serviços De Software")</f>
        <v>Saipos Serviços De Software</v>
      </c>
      <c r="R2001" s="33">
        <f>IFERROR(__xludf.DUMMYFUNCTION("""COMPUTED_VALUE"""),0.5)</f>
        <v>0.5</v>
      </c>
      <c r="S2001" s="4" t="str">
        <f>IFERROR(__xludf.DUMMYFUNCTION("""COMPUTED_VALUE"""),"Saipos Serviços De Software")</f>
        <v>Saipos Serviços De Software</v>
      </c>
      <c r="T2001" s="33">
        <f>IFERROR(__xludf.DUMMYFUNCTION("""COMPUTED_VALUE"""),0.5)</f>
        <v>0.5</v>
      </c>
      <c r="U2001" s="4" t="str">
        <f>IFERROR(__xludf.DUMMYFUNCTION("""COMPUTED_VALUE"""),"null")</f>
        <v>null</v>
      </c>
      <c r="V2001" s="33">
        <f>IFERROR(__xludf.DUMMYFUNCTION("""COMPUTED_VALUE"""),0.5)</f>
        <v>0.5</v>
      </c>
      <c r="W2001" s="4" t="str">
        <f>IFERROR(__xludf.DUMMYFUNCTION("""COMPUTED_VALUE"""),"Saipos Serviços De Software")</f>
        <v>Saipos Serviços De Software</v>
      </c>
      <c r="X2001" s="33">
        <f>IFERROR(__xludf.DUMMYFUNCTION("""COMPUTED_VALUE"""),0.5)</f>
        <v>0.5</v>
      </c>
    </row>
    <row r="2002">
      <c r="K2002" s="4" t="str">
        <f>IFERROR(__xludf.DUMMYFUNCTION("""COMPUTED_VALUE"""),"ZE DO ACAI")</f>
        <v>ZE DO ACAI</v>
      </c>
      <c r="L2002" s="32">
        <f>IFERROR(__xludf.DUMMYFUNCTION("""COMPUTED_VALUE"""),4.0)</f>
        <v>4</v>
      </c>
      <c r="M2002" s="4" t="str">
        <f>IFERROR(__xludf.DUMMYFUNCTION("""COMPUTED_VALUE"""),"Consumer Soluções Em Tecnologia Ltda")</f>
        <v>Consumer Soluções Em Tecnologia Ltda</v>
      </c>
      <c r="N2002" s="33">
        <f>IFERROR(__xludf.DUMMYFUNCTION("""COMPUTED_VALUE"""),0.5)</f>
        <v>0.5</v>
      </c>
      <c r="O2002" s="4" t="str">
        <f>IFERROR(__xludf.DUMMYFUNCTION("""COMPUTED_VALUE"""),"Consumer Soluções Em Tecnologia Ltda")</f>
        <v>Consumer Soluções Em Tecnologia Ltda</v>
      </c>
      <c r="P2002" s="33">
        <f>IFERROR(__xludf.DUMMYFUNCTION("""COMPUTED_VALUE"""),0.5)</f>
        <v>0.5</v>
      </c>
      <c r="Q2002" s="4" t="str">
        <f>IFERROR(__xludf.DUMMYFUNCTION("""COMPUTED_VALUE"""),"Consumer Soluções Em Tecnologia Ltda")</f>
        <v>Consumer Soluções Em Tecnologia Ltda</v>
      </c>
      <c r="R2002" s="33">
        <f>IFERROR(__xludf.DUMMYFUNCTION("""COMPUTED_VALUE"""),0.5)</f>
        <v>0.5</v>
      </c>
      <c r="S2002" s="4" t="str">
        <f>IFERROR(__xludf.DUMMYFUNCTION("""COMPUTED_VALUE"""),"Consumer Soluções Em Tecnologia Ltda")</f>
        <v>Consumer Soluções Em Tecnologia Ltda</v>
      </c>
      <c r="T2002" s="33">
        <f>IFERROR(__xludf.DUMMYFUNCTION("""COMPUTED_VALUE"""),0.75)</f>
        <v>0.75</v>
      </c>
      <c r="U2002" s="4" t="str">
        <f>IFERROR(__xludf.DUMMYFUNCTION("""COMPUTED_VALUE"""),"Consumer Soluções Em Tecnologia Ltda")</f>
        <v>Consumer Soluções Em Tecnologia Ltda</v>
      </c>
      <c r="V2002" s="33">
        <f>IFERROR(__xludf.DUMMYFUNCTION("""COMPUTED_VALUE"""),0.5)</f>
        <v>0.5</v>
      </c>
      <c r="W2002" s="4" t="str">
        <f>IFERROR(__xludf.DUMMYFUNCTION("""COMPUTED_VALUE"""),"Consumer Soluções Em Tecnologia Ltda")</f>
        <v>Consumer Soluções Em Tecnologia Ltda</v>
      </c>
      <c r="X2002" s="33">
        <f>IFERROR(__xludf.DUMMYFUNCTION("""COMPUTED_VALUE"""),0.5)</f>
        <v>0.5</v>
      </c>
    </row>
    <row r="2003">
      <c r="K2003" s="4" t="str">
        <f>IFERROR(__xludf.DUMMYFUNCTION("""COMPUTED_VALUE"""),"ESPETINO - CHURRASQUINHO DOS PAMPAS")</f>
        <v>ESPETINO - CHURRASQUINHO DOS PAMPAS</v>
      </c>
      <c r="L2003" s="32">
        <f>IFERROR(__xludf.DUMMYFUNCTION("""COMPUTED_VALUE"""),4.0)</f>
        <v>4</v>
      </c>
      <c r="M2003" s="4" t="str">
        <f>IFERROR(__xludf.DUMMYFUNCTION("""COMPUTED_VALUE"""),"Proabakus Desenvolvimento De Sistemas Ltda")</f>
        <v>Proabakus Desenvolvimento De Sistemas Ltda</v>
      </c>
      <c r="N2003" s="33">
        <f>IFERROR(__xludf.DUMMYFUNCTION("""COMPUTED_VALUE"""),0.5)</f>
        <v>0.5</v>
      </c>
      <c r="O2003" s="4" t="str">
        <f>IFERROR(__xludf.DUMMYFUNCTION("""COMPUTED_VALUE"""),"Proabakus Desenvolvimento De Sistemas Ltda")</f>
        <v>Proabakus Desenvolvimento De Sistemas Ltda</v>
      </c>
      <c r="P2003" s="33">
        <f>IFERROR(__xludf.DUMMYFUNCTION("""COMPUTED_VALUE"""),0.5)</f>
        <v>0.5</v>
      </c>
      <c r="Q2003" s="4" t="str">
        <f>IFERROR(__xludf.DUMMYFUNCTION("""COMPUTED_VALUE"""),"null")</f>
        <v>null</v>
      </c>
      <c r="R2003" s="33">
        <f>IFERROR(__xludf.DUMMYFUNCTION("""COMPUTED_VALUE"""),1.0)</f>
        <v>1</v>
      </c>
      <c r="S2003" s="4" t="str">
        <f>IFERROR(__xludf.DUMMYFUNCTION("""COMPUTED_VALUE"""),"null")</f>
        <v>null</v>
      </c>
      <c r="T2003" s="33">
        <f>IFERROR(__xludf.DUMMYFUNCTION("""COMPUTED_VALUE"""),0.75)</f>
        <v>0.75</v>
      </c>
      <c r="U2003" s="4" t="str">
        <f>IFERROR(__xludf.DUMMYFUNCTION("""COMPUTED_VALUE"""),"null")</f>
        <v>null</v>
      </c>
      <c r="V2003" s="33">
        <f>IFERROR(__xludf.DUMMYFUNCTION("""COMPUTED_VALUE"""),0.75)</f>
        <v>0.75</v>
      </c>
      <c r="W2003" s="4" t="str">
        <f>IFERROR(__xludf.DUMMYFUNCTION("""COMPUTED_VALUE"""),"Proabakus Desenvolvimento De Sistemas Ltda")</f>
        <v>Proabakus Desenvolvimento De Sistemas Ltda</v>
      </c>
      <c r="X2003" s="33">
        <f>IFERROR(__xludf.DUMMYFUNCTION("""COMPUTED_VALUE"""),0.5)</f>
        <v>0.5</v>
      </c>
    </row>
    <row r="2004">
      <c r="K2004" s="4" t="str">
        <f>IFERROR(__xludf.DUMMYFUNCTION("""COMPUTED_VALUE"""),"PIZZARTE")</f>
        <v>PIZZARTE</v>
      </c>
      <c r="L2004" s="32">
        <f>IFERROR(__xludf.DUMMYFUNCTION("""COMPUTED_VALUE"""),4.0)</f>
        <v>4</v>
      </c>
      <c r="M2004" s="4" t="str">
        <f>IFERROR(__xludf.DUMMYFUNCTION("""COMPUTED_VALUE"""),"Saipos Serviços De Software")</f>
        <v>Saipos Serviços De Software</v>
      </c>
      <c r="N2004" s="33">
        <f>IFERROR(__xludf.DUMMYFUNCTION("""COMPUTED_VALUE"""),0.25)</f>
        <v>0.25</v>
      </c>
      <c r="O2004" s="4" t="str">
        <f>IFERROR(__xludf.DUMMYFUNCTION("""COMPUTED_VALUE"""),"Saipos Serviços De Software")</f>
        <v>Saipos Serviços De Software</v>
      </c>
      <c r="P2004" s="33">
        <f>IFERROR(__xludf.DUMMYFUNCTION("""COMPUTED_VALUE"""),0.25)</f>
        <v>0.25</v>
      </c>
      <c r="Q2004" s="4" t="str">
        <f>IFERROR(__xludf.DUMMYFUNCTION("""COMPUTED_VALUE"""),"Saipos Serviços De Software")</f>
        <v>Saipos Serviços De Software</v>
      </c>
      <c r="R2004" s="33">
        <f>IFERROR(__xludf.DUMMYFUNCTION("""COMPUTED_VALUE"""),0.25)</f>
        <v>0.25</v>
      </c>
      <c r="S2004" s="4" t="str">
        <f>IFERROR(__xludf.DUMMYFUNCTION("""COMPUTED_VALUE"""),"Saipos Serviços De Software")</f>
        <v>Saipos Serviços De Software</v>
      </c>
      <c r="T2004" s="33">
        <f>IFERROR(__xludf.DUMMYFUNCTION("""COMPUTED_VALUE"""),0.25)</f>
        <v>0.25</v>
      </c>
      <c r="U2004" s="4" t="str">
        <f>IFERROR(__xludf.DUMMYFUNCTION("""COMPUTED_VALUE"""),"null")</f>
        <v>null</v>
      </c>
      <c r="V2004" s="33">
        <f>IFERROR(__xludf.DUMMYFUNCTION("""COMPUTED_VALUE"""),0.5)</f>
        <v>0.5</v>
      </c>
      <c r="W2004" s="4" t="str">
        <f>IFERROR(__xludf.DUMMYFUNCTION("""COMPUTED_VALUE"""),"null")</f>
        <v>null</v>
      </c>
      <c r="X2004" s="33">
        <f>IFERROR(__xludf.DUMMYFUNCTION("""COMPUTED_VALUE"""),0.5)</f>
        <v>0.5</v>
      </c>
    </row>
    <row r="2005">
      <c r="K2005" s="4" t="str">
        <f>IFERROR(__xludf.DUMMYFUNCTION("""COMPUTED_VALUE"""),"DIVINA PIZZARIA")</f>
        <v>DIVINA PIZZARIA</v>
      </c>
      <c r="L2005" s="32">
        <f>IFERROR(__xludf.DUMMYFUNCTION("""COMPUTED_VALUE"""),4.0)</f>
        <v>4</v>
      </c>
      <c r="M2005" s="4" t="str">
        <f>IFERROR(__xludf.DUMMYFUNCTION("""COMPUTED_VALUE"""),"null")</f>
        <v>null</v>
      </c>
      <c r="N2005" s="33">
        <f>IFERROR(__xludf.DUMMYFUNCTION("""COMPUTED_VALUE"""),0.5)</f>
        <v>0.5</v>
      </c>
      <c r="O2005" s="4" t="str">
        <f>IFERROR(__xludf.DUMMYFUNCTION("""COMPUTED_VALUE"""),"null")</f>
        <v>null</v>
      </c>
      <c r="P2005" s="33">
        <f>IFERROR(__xludf.DUMMYFUNCTION("""COMPUTED_VALUE"""),0.5)</f>
        <v>0.5</v>
      </c>
      <c r="Q2005" s="4" t="str">
        <f>IFERROR(__xludf.DUMMYFUNCTION("""COMPUTED_VALUE"""),"Vekttor")</f>
        <v>Vekttor</v>
      </c>
      <c r="R2005" s="33">
        <f>IFERROR(__xludf.DUMMYFUNCTION("""COMPUTED_VALUE"""),0.5)</f>
        <v>0.5</v>
      </c>
      <c r="S2005" s="4" t="str">
        <f>IFERROR(__xludf.DUMMYFUNCTION("""COMPUTED_VALUE"""),"Vekttor")</f>
        <v>Vekttor</v>
      </c>
      <c r="T2005" s="33">
        <f>IFERROR(__xludf.DUMMYFUNCTION("""COMPUTED_VALUE"""),0.5)</f>
        <v>0.5</v>
      </c>
      <c r="U2005" s="4" t="str">
        <f>IFERROR(__xludf.DUMMYFUNCTION("""COMPUTED_VALUE"""),"Vekttor")</f>
        <v>Vekttor</v>
      </c>
      <c r="V2005" s="33">
        <f>IFERROR(__xludf.DUMMYFUNCTION("""COMPUTED_VALUE"""),0.5)</f>
        <v>0.5</v>
      </c>
      <c r="W2005" s="4" t="str">
        <f>IFERROR(__xludf.DUMMYFUNCTION("""COMPUTED_VALUE"""),"Vekttor")</f>
        <v>Vekttor</v>
      </c>
      <c r="X2005" s="33">
        <f>IFERROR(__xludf.DUMMYFUNCTION("""COMPUTED_VALUE"""),0.5)</f>
        <v>0.5</v>
      </c>
    </row>
    <row r="2006">
      <c r="K2006" s="4" t="str">
        <f>IFERROR(__xludf.DUMMYFUNCTION("""COMPUTED_VALUE"""),"ACAI LOVERS")</f>
        <v>ACAI LOVERS</v>
      </c>
      <c r="L2006" s="32">
        <f>IFERROR(__xludf.DUMMYFUNCTION("""COMPUTED_VALUE"""),4.0)</f>
        <v>4</v>
      </c>
      <c r="M2006" s="4" t="str">
        <f>IFERROR(__xludf.DUMMYFUNCTION("""COMPUTED_VALUE"""),"null")</f>
        <v>null</v>
      </c>
      <c r="N2006" s="33">
        <f>IFERROR(__xludf.DUMMYFUNCTION("""COMPUTED_VALUE"""),0.75)</f>
        <v>0.75</v>
      </c>
      <c r="O2006" s="4" t="str">
        <f>IFERROR(__xludf.DUMMYFUNCTION("""COMPUTED_VALUE"""),"null")</f>
        <v>null</v>
      </c>
      <c r="P2006" s="33">
        <f>IFERROR(__xludf.DUMMYFUNCTION("""COMPUTED_VALUE"""),1.0)</f>
        <v>1</v>
      </c>
      <c r="Q2006" s="4" t="str">
        <f>IFERROR(__xludf.DUMMYFUNCTION("""COMPUTED_VALUE"""),"null")</f>
        <v>null</v>
      </c>
      <c r="R2006" s="33">
        <f>IFERROR(__xludf.DUMMYFUNCTION("""COMPUTED_VALUE"""),0.5)</f>
        <v>0.5</v>
      </c>
      <c r="S2006" s="4" t="str">
        <f>IFERROR(__xludf.DUMMYFUNCTION("""COMPUTED_VALUE"""),"null")</f>
        <v>null</v>
      </c>
      <c r="T2006" s="33">
        <f>IFERROR(__xludf.DUMMYFUNCTION("""COMPUTED_VALUE"""),0.5)</f>
        <v>0.5</v>
      </c>
      <c r="U2006" s="4" t="str">
        <f>IFERROR(__xludf.DUMMYFUNCTION("""COMPUTED_VALUE"""),"null")</f>
        <v>null</v>
      </c>
      <c r="V2006" s="33">
        <f>IFERROR(__xludf.DUMMYFUNCTION("""COMPUTED_VALUE"""),0.5)</f>
        <v>0.5</v>
      </c>
      <c r="W2006" s="4" t="str">
        <f>IFERROR(__xludf.DUMMYFUNCTION("""COMPUTED_VALUE"""),"Cardápio Web")</f>
        <v>Cardápio Web</v>
      </c>
      <c r="X2006" s="33">
        <f>IFERROR(__xludf.DUMMYFUNCTION("""COMPUTED_VALUE"""),0.25)</f>
        <v>0.25</v>
      </c>
    </row>
    <row r="2007">
      <c r="K2007" s="4" t="str">
        <f>IFERROR(__xludf.DUMMYFUNCTION("""COMPUTED_VALUE"""),"ACAI DO REI")</f>
        <v>ACAI DO REI</v>
      </c>
      <c r="L2007" s="32">
        <f>IFERROR(__xludf.DUMMYFUNCTION("""COMPUTED_VALUE"""),4.0)</f>
        <v>4</v>
      </c>
      <c r="M2007" s="4" t="str">
        <f>IFERROR(__xludf.DUMMYFUNCTION("""COMPUTED_VALUE"""),"Cardápio Web")</f>
        <v>Cardápio Web</v>
      </c>
      <c r="N2007" s="33">
        <f>IFERROR(__xludf.DUMMYFUNCTION("""COMPUTED_VALUE"""),0.5)</f>
        <v>0.5</v>
      </c>
      <c r="O2007" s="4" t="str">
        <f>IFERROR(__xludf.DUMMYFUNCTION("""COMPUTED_VALUE"""),"Cardápio Web")</f>
        <v>Cardápio Web</v>
      </c>
      <c r="P2007" s="33">
        <f>IFERROR(__xludf.DUMMYFUNCTION("""COMPUTED_VALUE"""),0.25)</f>
        <v>0.25</v>
      </c>
      <c r="Q2007" s="4" t="str">
        <f>IFERROR(__xludf.DUMMYFUNCTION("""COMPUTED_VALUE"""),"null")</f>
        <v>null</v>
      </c>
      <c r="R2007" s="33">
        <f>IFERROR(__xludf.DUMMYFUNCTION("""COMPUTED_VALUE"""),0.25)</f>
        <v>0.25</v>
      </c>
      <c r="S2007" s="4" t="str">
        <f>IFERROR(__xludf.DUMMYFUNCTION("""COMPUTED_VALUE"""),"Cardápio Web")</f>
        <v>Cardápio Web</v>
      </c>
      <c r="T2007" s="33">
        <f>IFERROR(__xludf.DUMMYFUNCTION("""COMPUTED_VALUE"""),0.5)</f>
        <v>0.5</v>
      </c>
      <c r="U2007" s="4" t="str">
        <f>IFERROR(__xludf.DUMMYFUNCTION("""COMPUTED_VALUE"""),"Suitable Tecnologia E Gestao")</f>
        <v>Suitable Tecnologia E Gestao</v>
      </c>
      <c r="V2007" s="33">
        <f>IFERROR(__xludf.DUMMYFUNCTION("""COMPUTED_VALUE"""),0.25)</f>
        <v>0.25</v>
      </c>
      <c r="W2007" s="4" t="str">
        <f>IFERROR(__xludf.DUMMYFUNCTION("""COMPUTED_VALUE"""),"Suitable Tecnologia E Gestao")</f>
        <v>Suitable Tecnologia E Gestao</v>
      </c>
      <c r="X2007" s="33">
        <f>IFERROR(__xludf.DUMMYFUNCTION("""COMPUTED_VALUE"""),0.25)</f>
        <v>0.25</v>
      </c>
    </row>
    <row r="2008">
      <c r="K2008" s="4" t="str">
        <f>IFERROR(__xludf.DUMMYFUNCTION("""COMPUTED_VALUE"""),"TERRACO PIZZARIA")</f>
        <v>TERRACO PIZZARIA</v>
      </c>
      <c r="L2008" s="32">
        <f>IFERROR(__xludf.DUMMYFUNCTION("""COMPUTED_VALUE"""),4.0)</f>
        <v>4</v>
      </c>
      <c r="M2008" s="4" t="str">
        <f>IFERROR(__xludf.DUMMYFUNCTION("""COMPUTED_VALUE"""),"Saipos Serviços De Software")</f>
        <v>Saipos Serviços De Software</v>
      </c>
      <c r="N2008" s="33">
        <f>IFERROR(__xludf.DUMMYFUNCTION("""COMPUTED_VALUE"""),0.5)</f>
        <v>0.5</v>
      </c>
      <c r="O2008" s="4" t="str">
        <f>IFERROR(__xludf.DUMMYFUNCTION("""COMPUTED_VALUE"""),"Saipos Serviços De Software")</f>
        <v>Saipos Serviços De Software</v>
      </c>
      <c r="P2008" s="33">
        <f>IFERROR(__xludf.DUMMYFUNCTION("""COMPUTED_VALUE"""),0.5)</f>
        <v>0.5</v>
      </c>
      <c r="Q2008" s="4" t="str">
        <f>IFERROR(__xludf.DUMMYFUNCTION("""COMPUTED_VALUE"""),"Saipos Serviços De Software")</f>
        <v>Saipos Serviços De Software</v>
      </c>
      <c r="R2008" s="33">
        <f>IFERROR(__xludf.DUMMYFUNCTION("""COMPUTED_VALUE"""),0.5)</f>
        <v>0.5</v>
      </c>
      <c r="S2008" s="4" t="str">
        <f>IFERROR(__xludf.DUMMYFUNCTION("""COMPUTED_VALUE"""),"Saipos Serviços De Software")</f>
        <v>Saipos Serviços De Software</v>
      </c>
      <c r="T2008" s="33">
        <f>IFERROR(__xludf.DUMMYFUNCTION("""COMPUTED_VALUE"""),0.5)</f>
        <v>0.5</v>
      </c>
      <c r="U2008" s="4" t="str">
        <f>IFERROR(__xludf.DUMMYFUNCTION("""COMPUTED_VALUE"""),"Saipos Serviços De Software")</f>
        <v>Saipos Serviços De Software</v>
      </c>
      <c r="V2008" s="33">
        <f>IFERROR(__xludf.DUMMYFUNCTION("""COMPUTED_VALUE"""),0.5)</f>
        <v>0.5</v>
      </c>
      <c r="W2008" s="4" t="str">
        <f>IFERROR(__xludf.DUMMYFUNCTION("""COMPUTED_VALUE"""),"Saipos Serviços De Software")</f>
        <v>Saipos Serviços De Software</v>
      </c>
      <c r="X2008" s="33">
        <f>IFERROR(__xludf.DUMMYFUNCTION("""COMPUTED_VALUE"""),0.5)</f>
        <v>0.5</v>
      </c>
    </row>
    <row r="2009">
      <c r="K2009" s="4" t="str">
        <f>IFERROR(__xludf.DUMMYFUNCTION("""COMPUTED_VALUE"""),"HOT DOG MANIA")</f>
        <v>HOT DOG MANIA</v>
      </c>
      <c r="L2009" s="32">
        <f>IFERROR(__xludf.DUMMYFUNCTION("""COMPUTED_VALUE"""),4.0)</f>
        <v>4</v>
      </c>
      <c r="M2009" s="4" t="str">
        <f>IFERROR(__xludf.DUMMYFUNCTION("""COMPUTED_VALUE"""),"null")</f>
        <v>null</v>
      </c>
      <c r="N2009" s="33">
        <f>IFERROR(__xludf.DUMMYFUNCTION("""COMPUTED_VALUE"""),0.5)</f>
        <v>0.5</v>
      </c>
      <c r="O2009" s="4" t="str">
        <f>IFERROR(__xludf.DUMMYFUNCTION("""COMPUTED_VALUE"""),"null")</f>
        <v>null</v>
      </c>
      <c r="P2009" s="33">
        <f>IFERROR(__xludf.DUMMYFUNCTION("""COMPUTED_VALUE"""),0.5)</f>
        <v>0.5</v>
      </c>
      <c r="Q2009" s="4" t="str">
        <f>IFERROR(__xludf.DUMMYFUNCTION("""COMPUTED_VALUE"""),"Vekttor")</f>
        <v>Vekttor</v>
      </c>
      <c r="R2009" s="33">
        <f>IFERROR(__xludf.DUMMYFUNCTION("""COMPUTED_VALUE"""),0.25)</f>
        <v>0.25</v>
      </c>
      <c r="S2009" s="4" t="str">
        <f>IFERROR(__xludf.DUMMYFUNCTION("""COMPUTED_VALUE"""),"null")</f>
        <v>null</v>
      </c>
      <c r="T2009" s="33">
        <f>IFERROR(__xludf.DUMMYFUNCTION("""COMPUTED_VALUE"""),0.5)</f>
        <v>0.5</v>
      </c>
      <c r="U2009" s="4" t="str">
        <f>IFERROR(__xludf.DUMMYFUNCTION("""COMPUTED_VALUE"""),"null")</f>
        <v>null</v>
      </c>
      <c r="V2009" s="33">
        <f>IFERROR(__xludf.DUMMYFUNCTION("""COMPUTED_VALUE"""),0.5)</f>
        <v>0.5</v>
      </c>
      <c r="W2009" s="4" t="str">
        <f>IFERROR(__xludf.DUMMYFUNCTION("""COMPUTED_VALUE"""),"null")</f>
        <v>null</v>
      </c>
      <c r="X2009" s="33">
        <f>IFERROR(__xludf.DUMMYFUNCTION("""COMPUTED_VALUE"""),0.5)</f>
        <v>0.5</v>
      </c>
    </row>
    <row r="2010">
      <c r="K2010" s="4" t="str">
        <f>IFERROR(__xludf.DUMMYFUNCTION("""COMPUTED_VALUE"""),"ACAI DO BAIRRO")</f>
        <v>ACAI DO BAIRRO</v>
      </c>
      <c r="L2010" s="32">
        <f>IFERROR(__xludf.DUMMYFUNCTION("""COMPUTED_VALUE"""),4.0)</f>
        <v>4</v>
      </c>
      <c r="M2010" s="4" t="str">
        <f>IFERROR(__xludf.DUMMYFUNCTION("""COMPUTED_VALUE"""),"Instadelivery")</f>
        <v>Instadelivery</v>
      </c>
      <c r="N2010" s="33">
        <f>IFERROR(__xludf.DUMMYFUNCTION("""COMPUTED_VALUE"""),0.5)</f>
        <v>0.5</v>
      </c>
      <c r="O2010" s="4" t="str">
        <f>IFERROR(__xludf.DUMMYFUNCTION("""COMPUTED_VALUE"""),"Instadelivery")</f>
        <v>Instadelivery</v>
      </c>
      <c r="P2010" s="33">
        <f>IFERROR(__xludf.DUMMYFUNCTION("""COMPUTED_VALUE"""),0.5)</f>
        <v>0.5</v>
      </c>
      <c r="Q2010" s="4" t="str">
        <f>IFERROR(__xludf.DUMMYFUNCTION("""COMPUTED_VALUE"""),"Cardápio Web")</f>
        <v>Cardápio Web</v>
      </c>
      <c r="R2010" s="33">
        <f>IFERROR(__xludf.DUMMYFUNCTION("""COMPUTED_VALUE"""),0.5)</f>
        <v>0.5</v>
      </c>
      <c r="S2010" s="4" t="str">
        <f>IFERROR(__xludf.DUMMYFUNCTION("""COMPUTED_VALUE"""),"null")</f>
        <v>null</v>
      </c>
      <c r="T2010" s="33">
        <f>IFERROR(__xludf.DUMMYFUNCTION("""COMPUTED_VALUE"""),0.5)</f>
        <v>0.5</v>
      </c>
      <c r="U2010" s="4" t="str">
        <f>IFERROR(__xludf.DUMMYFUNCTION("""COMPUTED_VALUE"""),"null")</f>
        <v>null</v>
      </c>
      <c r="V2010" s="33">
        <f>IFERROR(__xludf.DUMMYFUNCTION("""COMPUTED_VALUE"""),0.5)</f>
        <v>0.5</v>
      </c>
      <c r="W2010" s="4" t="str">
        <f>IFERROR(__xludf.DUMMYFUNCTION("""COMPUTED_VALUE"""),"null")</f>
        <v>null</v>
      </c>
      <c r="X2010" s="33">
        <f>IFERROR(__xludf.DUMMYFUNCTION("""COMPUTED_VALUE"""),0.5)</f>
        <v>0.5</v>
      </c>
    </row>
    <row r="2011">
      <c r="K2011" s="4" t="str">
        <f>IFERROR(__xludf.DUMMYFUNCTION("""COMPUTED_VALUE"""),"SUSHI PREMIUM")</f>
        <v>SUSHI PREMIUM</v>
      </c>
      <c r="L2011" s="32">
        <f>IFERROR(__xludf.DUMMYFUNCTION("""COMPUTED_VALUE"""),4.0)</f>
        <v>4</v>
      </c>
      <c r="M2011" s="4" t="str">
        <f>IFERROR(__xludf.DUMMYFUNCTION("""COMPUTED_VALUE"""),"Saipos Serviços De Software")</f>
        <v>Saipos Serviços De Software</v>
      </c>
      <c r="N2011" s="33">
        <f>IFERROR(__xludf.DUMMYFUNCTION("""COMPUTED_VALUE"""),0.5)</f>
        <v>0.5</v>
      </c>
      <c r="O2011" s="4" t="str">
        <f>IFERROR(__xludf.DUMMYFUNCTION("""COMPUTED_VALUE"""),"Saipos Serviços De Software")</f>
        <v>Saipos Serviços De Software</v>
      </c>
      <c r="P2011" s="33">
        <f>IFERROR(__xludf.DUMMYFUNCTION("""COMPUTED_VALUE"""),0.5)</f>
        <v>0.5</v>
      </c>
      <c r="Q2011" s="4" t="str">
        <f>IFERROR(__xludf.DUMMYFUNCTION("""COMPUTED_VALUE"""),"Saipos Serviços De Software")</f>
        <v>Saipos Serviços De Software</v>
      </c>
      <c r="R2011" s="33">
        <f>IFERROR(__xludf.DUMMYFUNCTION("""COMPUTED_VALUE"""),0.5)</f>
        <v>0.5</v>
      </c>
      <c r="S2011" s="4" t="str">
        <f>IFERROR(__xludf.DUMMYFUNCTION("""COMPUTED_VALUE"""),"Saipos Serviços De Software")</f>
        <v>Saipos Serviços De Software</v>
      </c>
      <c r="T2011" s="33">
        <f>IFERROR(__xludf.DUMMYFUNCTION("""COMPUTED_VALUE"""),0.5)</f>
        <v>0.5</v>
      </c>
      <c r="U2011" s="4" t="str">
        <f>IFERROR(__xludf.DUMMYFUNCTION("""COMPUTED_VALUE"""),"Saipos Serviços De Software")</f>
        <v>Saipos Serviços De Software</v>
      </c>
      <c r="V2011" s="33">
        <f>IFERROR(__xludf.DUMMYFUNCTION("""COMPUTED_VALUE"""),0.5)</f>
        <v>0.5</v>
      </c>
      <c r="W2011" s="4" t="str">
        <f>IFERROR(__xludf.DUMMYFUNCTION("""COMPUTED_VALUE"""),"Saipos Serviços De Software")</f>
        <v>Saipos Serviços De Software</v>
      </c>
      <c r="X2011" s="33">
        <f>IFERROR(__xludf.DUMMYFUNCTION("""COMPUTED_VALUE"""),0.5)</f>
        <v>0.5</v>
      </c>
    </row>
    <row r="2012">
      <c r="K2012" s="4" t="str">
        <f>IFERROR(__xludf.DUMMYFUNCTION("""COMPUTED_VALUE"""),"DOGAO LANCHES")</f>
        <v>DOGAO LANCHES</v>
      </c>
      <c r="L2012" s="32">
        <f>IFERROR(__xludf.DUMMYFUNCTION("""COMPUTED_VALUE"""),4.0)</f>
        <v>4</v>
      </c>
      <c r="M2012" s="4" t="str">
        <f>IFERROR(__xludf.DUMMYFUNCTION("""COMPUTED_VALUE"""),"null")</f>
        <v>null</v>
      </c>
      <c r="N2012" s="33">
        <f>IFERROR(__xludf.DUMMYFUNCTION("""COMPUTED_VALUE"""),0.5)</f>
        <v>0.5</v>
      </c>
      <c r="O2012" s="4" t="str">
        <f>IFERROR(__xludf.DUMMYFUNCTION("""COMPUTED_VALUE"""),"null")</f>
        <v>null</v>
      </c>
      <c r="P2012" s="33">
        <f>IFERROR(__xludf.DUMMYFUNCTION("""COMPUTED_VALUE"""),0.5)</f>
        <v>0.5</v>
      </c>
      <c r="Q2012" s="4" t="str">
        <f>IFERROR(__xludf.DUMMYFUNCTION("""COMPUTED_VALUE"""),"null")</f>
        <v>null</v>
      </c>
      <c r="R2012" s="33">
        <f>IFERROR(__xludf.DUMMYFUNCTION("""COMPUTED_VALUE"""),0.5)</f>
        <v>0.5</v>
      </c>
      <c r="S2012" s="4" t="str">
        <f>IFERROR(__xludf.DUMMYFUNCTION("""COMPUTED_VALUE"""),"null")</f>
        <v>null</v>
      </c>
      <c r="T2012" s="33">
        <f>IFERROR(__xludf.DUMMYFUNCTION("""COMPUTED_VALUE"""),0.25)</f>
        <v>0.25</v>
      </c>
      <c r="U2012" s="4" t="str">
        <f>IFERROR(__xludf.DUMMYFUNCTION("""COMPUTED_VALUE"""),"null")</f>
        <v>null</v>
      </c>
      <c r="V2012" s="33">
        <f>IFERROR(__xludf.DUMMYFUNCTION("""COMPUTED_VALUE"""),0.25)</f>
        <v>0.25</v>
      </c>
      <c r="W2012" s="4" t="str">
        <f>IFERROR(__xludf.DUMMYFUNCTION("""COMPUTED_VALUE"""),"Instadelivery")</f>
        <v>Instadelivery</v>
      </c>
      <c r="X2012" s="33">
        <f>IFERROR(__xludf.DUMMYFUNCTION("""COMPUTED_VALUE"""),0.25)</f>
        <v>0.25</v>
      </c>
    </row>
    <row r="2013">
      <c r="K2013" s="4" t="str">
        <f>IFERROR(__xludf.DUMMYFUNCTION("""COMPUTED_VALUE"""),"MERAKI SUSHI")</f>
        <v>MERAKI SUSHI</v>
      </c>
      <c r="L2013" s="32">
        <f>IFERROR(__xludf.DUMMYFUNCTION("""COMPUTED_VALUE"""),4.0)</f>
        <v>4</v>
      </c>
      <c r="M2013" s="4" t="str">
        <f>IFERROR(__xludf.DUMMYFUNCTION("""COMPUTED_VALUE"""),"Anota Ai Solucoes Digitais S/a")</f>
        <v>Anota Ai Solucoes Digitais S/a</v>
      </c>
      <c r="N2013" s="33">
        <f>IFERROR(__xludf.DUMMYFUNCTION("""COMPUTED_VALUE"""),0.25)</f>
        <v>0.25</v>
      </c>
      <c r="O2013" s="4" t="str">
        <f>IFERROR(__xludf.DUMMYFUNCTION("""COMPUTED_VALUE"""),"null")</f>
        <v>null</v>
      </c>
      <c r="P2013" s="33">
        <f>IFERROR(__xludf.DUMMYFUNCTION("""COMPUTED_VALUE"""),0.5)</f>
        <v>0.5</v>
      </c>
      <c r="Q2013" s="4" t="str">
        <f>IFERROR(__xludf.DUMMYFUNCTION("""COMPUTED_VALUE"""),"null")</f>
        <v>null</v>
      </c>
      <c r="R2013" s="33">
        <f>IFERROR(__xludf.DUMMYFUNCTION("""COMPUTED_VALUE"""),0.5)</f>
        <v>0.5</v>
      </c>
      <c r="S2013" s="4" t="str">
        <f>IFERROR(__xludf.DUMMYFUNCTION("""COMPUTED_VALUE"""),"null")</f>
        <v>null</v>
      </c>
      <c r="T2013" s="33">
        <f>IFERROR(__xludf.DUMMYFUNCTION("""COMPUTED_VALUE"""),0.5)</f>
        <v>0.5</v>
      </c>
      <c r="U2013" s="4" t="str">
        <f>IFERROR(__xludf.DUMMYFUNCTION("""COMPUTED_VALUE"""),"Digisat Tecnologia Ltda")</f>
        <v>Digisat Tecnologia Ltda</v>
      </c>
      <c r="V2013" s="33">
        <f>IFERROR(__xludf.DUMMYFUNCTION("""COMPUTED_VALUE"""),0.25)</f>
        <v>0.25</v>
      </c>
      <c r="W2013" s="4" t="str">
        <f>IFERROR(__xludf.DUMMYFUNCTION("""COMPUTED_VALUE"""),"null")</f>
        <v>null</v>
      </c>
      <c r="X2013" s="33">
        <f>IFERROR(__xludf.DUMMYFUNCTION("""COMPUTED_VALUE"""),0.5)</f>
        <v>0.5</v>
      </c>
    </row>
    <row r="2014">
      <c r="K2014" s="4" t="str">
        <f>IFERROR(__xludf.DUMMYFUNCTION("""COMPUTED_VALUE"""),"DROGARIA FAMILIA")</f>
        <v>DROGARIA FAMILIA</v>
      </c>
      <c r="L2014" s="32">
        <f>IFERROR(__xludf.DUMMYFUNCTION("""COMPUTED_VALUE"""),4.0)</f>
        <v>4</v>
      </c>
      <c r="M2014" s="4" t="str">
        <f>IFERROR(__xludf.DUMMYFUNCTION("""COMPUTED_VALUE"""),"N/A (Not found)")</f>
        <v>N/A (Not found)</v>
      </c>
      <c r="N2014" s="33">
        <f>IFERROR(__xludf.DUMMYFUNCTION("""COMPUTED_VALUE"""),0.5)</f>
        <v>0.5</v>
      </c>
      <c r="O2014" s="4" t="str">
        <f>IFERROR(__xludf.DUMMYFUNCTION("""COMPUTED_VALUE"""),"N/A (Not found)")</f>
        <v>N/A (Not found)</v>
      </c>
      <c r="P2014" s="33">
        <f>IFERROR(__xludf.DUMMYFUNCTION("""COMPUTED_VALUE"""),0.75)</f>
        <v>0.75</v>
      </c>
      <c r="Q2014" s="4" t="str">
        <f>IFERROR(__xludf.DUMMYFUNCTION("""COMPUTED_VALUE"""),"N/A (Not found)")</f>
        <v>N/A (Not found)</v>
      </c>
      <c r="R2014" s="33">
        <f>IFERROR(__xludf.DUMMYFUNCTION("""COMPUTED_VALUE"""),0.75)</f>
        <v>0.75</v>
      </c>
      <c r="S2014" s="4" t="str">
        <f>IFERROR(__xludf.DUMMYFUNCTION("""COMPUTED_VALUE"""),"N/A (Not found)")</f>
        <v>N/A (Not found)</v>
      </c>
      <c r="T2014" s="33">
        <f>IFERROR(__xludf.DUMMYFUNCTION("""COMPUTED_VALUE"""),1.0)</f>
        <v>1</v>
      </c>
      <c r="U2014" s="4" t="str">
        <f>IFERROR(__xludf.DUMMYFUNCTION("""COMPUTED_VALUE"""),"N/A (Not found)")</f>
        <v>N/A (Not found)</v>
      </c>
      <c r="V2014" s="33">
        <f>IFERROR(__xludf.DUMMYFUNCTION("""COMPUTED_VALUE"""),0.75)</f>
        <v>0.75</v>
      </c>
      <c r="W2014" s="4" t="str">
        <f>IFERROR(__xludf.DUMMYFUNCTION("""COMPUTED_VALUE"""),"N/A (Not found)")</f>
        <v>N/A (Not found)</v>
      </c>
      <c r="X2014" s="33">
        <f>IFERROR(__xludf.DUMMYFUNCTION("""COMPUTED_VALUE"""),0.75)</f>
        <v>0.75</v>
      </c>
    </row>
    <row r="2015">
      <c r="K2015" s="4" t="str">
        <f>IFERROR(__xludf.DUMMYFUNCTION("""COMPUTED_VALUE"""),"GOHAN SUSHI")</f>
        <v>GOHAN SUSHI</v>
      </c>
      <c r="L2015" s="32">
        <f>IFERROR(__xludf.DUMMYFUNCTION("""COMPUTED_VALUE"""),4.0)</f>
        <v>4</v>
      </c>
      <c r="M2015" s="4" t="str">
        <f>IFERROR(__xludf.DUMMYFUNCTION("""COMPUTED_VALUE"""),"Takeat Tecnologia")</f>
        <v>Takeat Tecnologia</v>
      </c>
      <c r="N2015" s="33">
        <f>IFERROR(__xludf.DUMMYFUNCTION("""COMPUTED_VALUE"""),0.25)</f>
        <v>0.25</v>
      </c>
      <c r="O2015" s="4" t="str">
        <f>IFERROR(__xludf.DUMMYFUNCTION("""COMPUTED_VALUE"""),"Takeat Tecnologia")</f>
        <v>Takeat Tecnologia</v>
      </c>
      <c r="P2015" s="33">
        <f>IFERROR(__xludf.DUMMYFUNCTION("""COMPUTED_VALUE"""),0.25)</f>
        <v>0.25</v>
      </c>
      <c r="Q2015" s="4" t="str">
        <f>IFERROR(__xludf.DUMMYFUNCTION("""COMPUTED_VALUE"""),"Takeat Tecnologia")</f>
        <v>Takeat Tecnologia</v>
      </c>
      <c r="R2015" s="33">
        <f>IFERROR(__xludf.DUMMYFUNCTION("""COMPUTED_VALUE"""),0.25)</f>
        <v>0.25</v>
      </c>
      <c r="S2015" s="4" t="str">
        <f>IFERROR(__xludf.DUMMYFUNCTION("""COMPUTED_VALUE"""),"Saipos Serviços De Software")</f>
        <v>Saipos Serviços De Software</v>
      </c>
      <c r="T2015" s="33">
        <f>IFERROR(__xludf.DUMMYFUNCTION("""COMPUTED_VALUE"""),0.25)</f>
        <v>0.25</v>
      </c>
      <c r="U2015" s="4" t="str">
        <f>IFERROR(__xludf.DUMMYFUNCTION("""COMPUTED_VALUE"""),"Saipos Serviços De Software")</f>
        <v>Saipos Serviços De Software</v>
      </c>
      <c r="V2015" s="33">
        <f>IFERROR(__xludf.DUMMYFUNCTION("""COMPUTED_VALUE"""),0.5)</f>
        <v>0.5</v>
      </c>
      <c r="W2015" s="4" t="str">
        <f>IFERROR(__xludf.DUMMYFUNCTION("""COMPUTED_VALUE"""),"Saipos Serviços De Software")</f>
        <v>Saipos Serviços De Software</v>
      </c>
      <c r="X2015" s="33">
        <f>IFERROR(__xludf.DUMMYFUNCTION("""COMPUTED_VALUE"""),0.5)</f>
        <v>0.5</v>
      </c>
    </row>
    <row r="2016">
      <c r="K2016" s="4" t="str">
        <f>IFERROR(__xludf.DUMMYFUNCTION("""COMPUTED_VALUE"""),"CASA DA PICANHA")</f>
        <v>CASA DA PICANHA</v>
      </c>
      <c r="L2016" s="32">
        <f>IFERROR(__xludf.DUMMYFUNCTION("""COMPUTED_VALUE"""),4.0)</f>
        <v>4</v>
      </c>
      <c r="M2016" s="4" t="str">
        <f>IFERROR(__xludf.DUMMYFUNCTION("""COMPUTED_VALUE"""),"null")</f>
        <v>null</v>
      </c>
      <c r="N2016" s="33">
        <f>IFERROR(__xludf.DUMMYFUNCTION("""COMPUTED_VALUE"""),0.5)</f>
        <v>0.5</v>
      </c>
      <c r="O2016" s="4" t="str">
        <f>IFERROR(__xludf.DUMMYFUNCTION("""COMPUTED_VALUE"""),"null")</f>
        <v>null</v>
      </c>
      <c r="P2016" s="33">
        <f>IFERROR(__xludf.DUMMYFUNCTION("""COMPUTED_VALUE"""),0.5)</f>
        <v>0.5</v>
      </c>
      <c r="Q2016" s="4" t="str">
        <f>IFERROR(__xludf.DUMMYFUNCTION("""COMPUTED_VALUE"""),"Saipos Serviços De Software")</f>
        <v>Saipos Serviços De Software</v>
      </c>
      <c r="R2016" s="33">
        <f>IFERROR(__xludf.DUMMYFUNCTION("""COMPUTED_VALUE"""),0.25)</f>
        <v>0.25</v>
      </c>
      <c r="S2016" s="4" t="str">
        <f>IFERROR(__xludf.DUMMYFUNCTION("""COMPUTED_VALUE"""),"null")</f>
        <v>null</v>
      </c>
      <c r="T2016" s="33">
        <f>IFERROR(__xludf.DUMMYFUNCTION("""COMPUTED_VALUE"""),0.5)</f>
        <v>0.5</v>
      </c>
      <c r="U2016" s="4" t="str">
        <f>IFERROR(__xludf.DUMMYFUNCTION("""COMPUTED_VALUE"""),"null")</f>
        <v>null</v>
      </c>
      <c r="V2016" s="33">
        <f>IFERROR(__xludf.DUMMYFUNCTION("""COMPUTED_VALUE"""),0.5)</f>
        <v>0.5</v>
      </c>
      <c r="W2016" s="4" t="str">
        <f>IFERROR(__xludf.DUMMYFUNCTION("""COMPUTED_VALUE"""),"null")</f>
        <v>null</v>
      </c>
      <c r="X2016" s="33">
        <f>IFERROR(__xludf.DUMMYFUNCTION("""COMPUTED_VALUE"""),0.75)</f>
        <v>0.75</v>
      </c>
    </row>
    <row r="2017">
      <c r="K2017" s="4" t="str">
        <f>IFERROR(__xludf.DUMMYFUNCTION("""COMPUTED_VALUE"""),"FARMACIA PREMIUM")</f>
        <v>FARMACIA PREMIUM</v>
      </c>
      <c r="L2017" s="32">
        <f>IFERROR(__xludf.DUMMYFUNCTION("""COMPUTED_VALUE"""),4.0)</f>
        <v>4</v>
      </c>
      <c r="M2017" s="4" t="str">
        <f>IFERROR(__xludf.DUMMYFUNCTION("""COMPUTED_VALUE"""),"null")</f>
        <v>null</v>
      </c>
      <c r="N2017" s="33">
        <f>IFERROR(__xludf.DUMMYFUNCTION("""COMPUTED_VALUE"""),1.0)</f>
        <v>1</v>
      </c>
      <c r="O2017" s="4" t="str">
        <f>IFERROR(__xludf.DUMMYFUNCTION("""COMPUTED_VALUE"""),"null")</f>
        <v>null</v>
      </c>
      <c r="P2017" s="33">
        <f>IFERROR(__xludf.DUMMYFUNCTION("""COMPUTED_VALUE"""),1.0)</f>
        <v>1</v>
      </c>
      <c r="Q2017" s="4" t="str">
        <f>IFERROR(__xludf.DUMMYFUNCTION("""COMPUTED_VALUE"""),"null")</f>
        <v>null</v>
      </c>
      <c r="R2017" s="33">
        <f>IFERROR(__xludf.DUMMYFUNCTION("""COMPUTED_VALUE"""),1.0)</f>
        <v>1</v>
      </c>
      <c r="S2017" s="4" t="str">
        <f>IFERROR(__xludf.DUMMYFUNCTION("""COMPUTED_VALUE"""),"null")</f>
        <v>null</v>
      </c>
      <c r="T2017" s="33">
        <f>IFERROR(__xludf.DUMMYFUNCTION("""COMPUTED_VALUE"""),1.0)</f>
        <v>1</v>
      </c>
      <c r="U2017" s="4" t="str">
        <f>IFERROR(__xludf.DUMMYFUNCTION("""COMPUTED_VALUE"""),"null")</f>
        <v>null</v>
      </c>
      <c r="V2017" s="33">
        <f>IFERROR(__xludf.DUMMYFUNCTION("""COMPUTED_VALUE"""),0.75)</f>
        <v>0.75</v>
      </c>
      <c r="W2017" s="4" t="str">
        <f>IFERROR(__xludf.DUMMYFUNCTION("""COMPUTED_VALUE"""),"N/A (Not found)")</f>
        <v>N/A (Not found)</v>
      </c>
      <c r="X2017" s="33">
        <f>IFERROR(__xludf.DUMMYFUNCTION("""COMPUTED_VALUE"""),1.0)</f>
        <v>1</v>
      </c>
    </row>
    <row r="2018">
      <c r="K2018" s="4" t="str">
        <f>IFERROR(__xludf.DUMMYFUNCTION("""COMPUTED_VALUE"""),"PIZZARIA IMPERIAL")</f>
        <v>PIZZARIA IMPERIAL</v>
      </c>
      <c r="L2018" s="32">
        <f>IFERROR(__xludf.DUMMYFUNCTION("""COMPUTED_VALUE"""),4.0)</f>
        <v>4</v>
      </c>
      <c r="M2018" s="4" t="str">
        <f>IFERROR(__xludf.DUMMYFUNCTION("""COMPUTED_VALUE"""),"Saipos Serviços De Software")</f>
        <v>Saipos Serviços De Software</v>
      </c>
      <c r="N2018" s="33">
        <f>IFERROR(__xludf.DUMMYFUNCTION("""COMPUTED_VALUE"""),0.25)</f>
        <v>0.25</v>
      </c>
      <c r="O2018" s="4" t="str">
        <f>IFERROR(__xludf.DUMMYFUNCTION("""COMPUTED_VALUE"""),"null")</f>
        <v>null</v>
      </c>
      <c r="P2018" s="33">
        <f>IFERROR(__xludf.DUMMYFUNCTION("""COMPUTED_VALUE"""),0.5)</f>
        <v>0.5</v>
      </c>
      <c r="Q2018" s="4" t="str">
        <f>IFERROR(__xludf.DUMMYFUNCTION("""COMPUTED_VALUE"""),"null")</f>
        <v>null</v>
      </c>
      <c r="R2018" s="33">
        <f>IFERROR(__xludf.DUMMYFUNCTION("""COMPUTED_VALUE"""),0.5)</f>
        <v>0.5</v>
      </c>
      <c r="S2018" s="4" t="str">
        <f>IFERROR(__xludf.DUMMYFUNCTION("""COMPUTED_VALUE"""),"null")</f>
        <v>null</v>
      </c>
      <c r="T2018" s="33">
        <f>IFERROR(__xludf.DUMMYFUNCTION("""COMPUTED_VALUE"""),0.5)</f>
        <v>0.5</v>
      </c>
      <c r="U2018" s="4" t="str">
        <f>IFERROR(__xludf.DUMMYFUNCTION("""COMPUTED_VALUE"""),"Saipos Serviços De Software")</f>
        <v>Saipos Serviços De Software</v>
      </c>
      <c r="V2018" s="33">
        <f>IFERROR(__xludf.DUMMYFUNCTION("""COMPUTED_VALUE"""),0.25)</f>
        <v>0.25</v>
      </c>
      <c r="W2018" s="4" t="str">
        <f>IFERROR(__xludf.DUMMYFUNCTION("""COMPUTED_VALUE"""),"Saipos Serviços De Software")</f>
        <v>Saipos Serviços De Software</v>
      </c>
      <c r="X2018" s="33">
        <f>IFERROR(__xludf.DUMMYFUNCTION("""COMPUTED_VALUE"""),0.25)</f>
        <v>0.25</v>
      </c>
    </row>
    <row r="2019">
      <c r="K2019" s="4" t="str">
        <f>IFERROR(__xludf.DUMMYFUNCTION("""COMPUTED_VALUE"""),"MANIA DE ACAI")</f>
        <v>MANIA DE ACAI</v>
      </c>
      <c r="L2019" s="32">
        <f>IFERROR(__xludf.DUMMYFUNCTION("""COMPUTED_VALUE"""),4.0)</f>
        <v>4</v>
      </c>
      <c r="M2019" s="4" t="str">
        <f>IFERROR(__xludf.DUMMYFUNCTION("""COMPUTED_VALUE"""),"Anota Ai Solucoes Digitais S/a")</f>
        <v>Anota Ai Solucoes Digitais S/a</v>
      </c>
      <c r="N2019" s="33">
        <f>IFERROR(__xludf.DUMMYFUNCTION("""COMPUTED_VALUE"""),0.5)</f>
        <v>0.5</v>
      </c>
      <c r="O2019" s="4" t="str">
        <f>IFERROR(__xludf.DUMMYFUNCTION("""COMPUTED_VALUE"""),"Anota Ai Solucoes Digitais S/a")</f>
        <v>Anota Ai Solucoes Digitais S/a</v>
      </c>
      <c r="P2019" s="33">
        <f>IFERROR(__xludf.DUMMYFUNCTION("""COMPUTED_VALUE"""),0.5)</f>
        <v>0.5</v>
      </c>
      <c r="Q2019" s="4" t="str">
        <f>IFERROR(__xludf.DUMMYFUNCTION("""COMPUTED_VALUE"""),"Anota Ai Solucoes Digitais S/a")</f>
        <v>Anota Ai Solucoes Digitais S/a</v>
      </c>
      <c r="R2019" s="33">
        <f>IFERROR(__xludf.DUMMYFUNCTION("""COMPUTED_VALUE"""),0.5)</f>
        <v>0.5</v>
      </c>
      <c r="S2019" s="4" t="str">
        <f>IFERROR(__xludf.DUMMYFUNCTION("""COMPUTED_VALUE"""),"Anota Ai Solucoes Digitais S/a")</f>
        <v>Anota Ai Solucoes Digitais S/a</v>
      </c>
      <c r="T2019" s="33">
        <f>IFERROR(__xludf.DUMMYFUNCTION("""COMPUTED_VALUE"""),0.5)</f>
        <v>0.5</v>
      </c>
      <c r="U2019" s="4" t="str">
        <f>IFERROR(__xludf.DUMMYFUNCTION("""COMPUTED_VALUE"""),"Anota Ai Solucoes Digitais S/a")</f>
        <v>Anota Ai Solucoes Digitais S/a</v>
      </c>
      <c r="V2019" s="33">
        <f>IFERROR(__xludf.DUMMYFUNCTION("""COMPUTED_VALUE"""),0.25)</f>
        <v>0.25</v>
      </c>
      <c r="W2019" s="4" t="str">
        <f>IFERROR(__xludf.DUMMYFUNCTION("""COMPUTED_VALUE"""),"Anota Ai Solucoes Digitais S/a")</f>
        <v>Anota Ai Solucoes Digitais S/a</v>
      </c>
      <c r="X2019" s="33">
        <f>IFERROR(__xludf.DUMMYFUNCTION("""COMPUTED_VALUE"""),0.25)</f>
        <v>0.25</v>
      </c>
    </row>
    <row r="2020">
      <c r="K2020" s="4" t="str">
        <f>IFERROR(__xludf.DUMMYFUNCTION("""COMPUTED_VALUE"""),"SABOR DO ACAI")</f>
        <v>SABOR DO ACAI</v>
      </c>
      <c r="L2020" s="32">
        <f>IFERROR(__xludf.DUMMYFUNCTION("""COMPUTED_VALUE"""),4.0)</f>
        <v>4</v>
      </c>
      <c r="M2020" s="4" t="str">
        <f>IFERROR(__xludf.DUMMYFUNCTION("""COMPUTED_VALUE"""),"null")</f>
        <v>null</v>
      </c>
      <c r="N2020" s="33">
        <f>IFERROR(__xludf.DUMMYFUNCTION("""COMPUTED_VALUE"""),0.5)</f>
        <v>0.5</v>
      </c>
      <c r="O2020" s="4" t="str">
        <f>IFERROR(__xludf.DUMMYFUNCTION("""COMPUTED_VALUE"""),"null")</f>
        <v>null</v>
      </c>
      <c r="P2020" s="33">
        <f>IFERROR(__xludf.DUMMYFUNCTION("""COMPUTED_VALUE"""),0.5)</f>
        <v>0.5</v>
      </c>
      <c r="Q2020" s="4" t="str">
        <f>IFERROR(__xludf.DUMMYFUNCTION("""COMPUTED_VALUE"""),"null")</f>
        <v>null</v>
      </c>
      <c r="R2020" s="33">
        <f>IFERROR(__xludf.DUMMYFUNCTION("""COMPUTED_VALUE"""),0.5)</f>
        <v>0.5</v>
      </c>
      <c r="S2020" s="4" t="str">
        <f>IFERROR(__xludf.DUMMYFUNCTION("""COMPUTED_VALUE"""),"null")</f>
        <v>null</v>
      </c>
      <c r="T2020" s="33">
        <f>IFERROR(__xludf.DUMMYFUNCTION("""COMPUTED_VALUE"""),0.25)</f>
        <v>0.25</v>
      </c>
      <c r="U2020" s="4" t="str">
        <f>IFERROR(__xludf.DUMMYFUNCTION("""COMPUTED_VALUE"""),"null")</f>
        <v>null</v>
      </c>
      <c r="V2020" s="33">
        <f>IFERROR(__xludf.DUMMYFUNCTION("""COMPUTED_VALUE"""),0.25)</f>
        <v>0.25</v>
      </c>
      <c r="W2020" s="4" t="str">
        <f>IFERROR(__xludf.DUMMYFUNCTION("""COMPUTED_VALUE"""),"Saipos Serviços De Software")</f>
        <v>Saipos Serviços De Software</v>
      </c>
      <c r="X2020" s="33">
        <f>IFERROR(__xludf.DUMMYFUNCTION("""COMPUTED_VALUE"""),0.5)</f>
        <v>0.5</v>
      </c>
    </row>
    <row r="2021">
      <c r="K2021" s="4" t="str">
        <f>IFERROR(__xludf.DUMMYFUNCTION("""COMPUTED_VALUE"""),"KING BURGER")</f>
        <v>KING BURGER</v>
      </c>
      <c r="L2021" s="32">
        <f>IFERROR(__xludf.DUMMYFUNCTION("""COMPUTED_VALUE"""),4.0)</f>
        <v>4</v>
      </c>
      <c r="M2021" s="4" t="str">
        <f>IFERROR(__xludf.DUMMYFUNCTION("""COMPUTED_VALUE"""),"Grk Soluções Informatica Eireli")</f>
        <v>Grk Soluções Informatica Eireli</v>
      </c>
      <c r="N2021" s="33">
        <f>IFERROR(__xludf.DUMMYFUNCTION("""COMPUTED_VALUE"""),0.5)</f>
        <v>0.5</v>
      </c>
      <c r="O2021" s="4" t="str">
        <f>IFERROR(__xludf.DUMMYFUNCTION("""COMPUTED_VALUE"""),"Grk Soluções Informatica Eireli")</f>
        <v>Grk Soluções Informatica Eireli</v>
      </c>
      <c r="P2021" s="33">
        <f>IFERROR(__xludf.DUMMYFUNCTION("""COMPUTED_VALUE"""),0.5)</f>
        <v>0.5</v>
      </c>
      <c r="Q2021" s="4" t="str">
        <f>IFERROR(__xludf.DUMMYFUNCTION("""COMPUTED_VALUE"""),"Grk Soluções Informatica Eireli")</f>
        <v>Grk Soluções Informatica Eireli</v>
      </c>
      <c r="R2021" s="33">
        <f>IFERROR(__xludf.DUMMYFUNCTION("""COMPUTED_VALUE"""),0.5)</f>
        <v>0.5</v>
      </c>
      <c r="S2021" s="4" t="str">
        <f>IFERROR(__xludf.DUMMYFUNCTION("""COMPUTED_VALUE"""),"Grk Soluções Informatica Eireli")</f>
        <v>Grk Soluções Informatica Eireli</v>
      </c>
      <c r="T2021" s="33">
        <f>IFERROR(__xludf.DUMMYFUNCTION("""COMPUTED_VALUE"""),0.5)</f>
        <v>0.5</v>
      </c>
      <c r="U2021" s="4" t="str">
        <f>IFERROR(__xludf.DUMMYFUNCTION("""COMPUTED_VALUE"""),"Grk Soluções Informatica Eireli")</f>
        <v>Grk Soluções Informatica Eireli</v>
      </c>
      <c r="V2021" s="33">
        <f>IFERROR(__xludf.DUMMYFUNCTION("""COMPUTED_VALUE"""),0.5)</f>
        <v>0.5</v>
      </c>
      <c r="W2021" s="4" t="str">
        <f>IFERROR(__xludf.DUMMYFUNCTION("""COMPUTED_VALUE"""),"Grk Soluções Informatica Eireli")</f>
        <v>Grk Soluções Informatica Eireli</v>
      </c>
      <c r="X2021" s="33">
        <f>IFERROR(__xludf.DUMMYFUNCTION("""COMPUTED_VALUE"""),0.5)</f>
        <v>0.5</v>
      </c>
    </row>
    <row r="2022">
      <c r="K2022" s="4" t="str">
        <f>IFERROR(__xludf.DUMMYFUNCTION("""COMPUTED_VALUE"""),"BRASAS BURGUER")</f>
        <v>BRASAS BURGUER</v>
      </c>
      <c r="L2022" s="32">
        <f>IFERROR(__xludf.DUMMYFUNCTION("""COMPUTED_VALUE"""),4.0)</f>
        <v>4</v>
      </c>
      <c r="M2022" s="4" t="str">
        <f>IFERROR(__xludf.DUMMYFUNCTION("""COMPUTED_VALUE"""),"Cardápio Web")</f>
        <v>Cardápio Web</v>
      </c>
      <c r="N2022" s="33">
        <f>IFERROR(__xludf.DUMMYFUNCTION("""COMPUTED_VALUE"""),0.25)</f>
        <v>0.25</v>
      </c>
      <c r="O2022" s="4" t="str">
        <f>IFERROR(__xludf.DUMMYFUNCTION("""COMPUTED_VALUE"""),"null")</f>
        <v>null</v>
      </c>
      <c r="P2022" s="33">
        <f>IFERROR(__xludf.DUMMYFUNCTION("""COMPUTED_VALUE"""),0.5)</f>
        <v>0.5</v>
      </c>
      <c r="Q2022" s="4" t="str">
        <f>IFERROR(__xludf.DUMMYFUNCTION("""COMPUTED_VALUE"""),"Cardápio Web")</f>
        <v>Cardápio Web</v>
      </c>
      <c r="R2022" s="33">
        <f>IFERROR(__xludf.DUMMYFUNCTION("""COMPUTED_VALUE"""),0.25)</f>
        <v>0.25</v>
      </c>
      <c r="S2022" s="4" t="str">
        <f>IFERROR(__xludf.DUMMYFUNCTION("""COMPUTED_VALUE"""),"Cardápio Web")</f>
        <v>Cardápio Web</v>
      </c>
      <c r="T2022" s="33">
        <f>IFERROR(__xludf.DUMMYFUNCTION("""COMPUTED_VALUE"""),0.25)</f>
        <v>0.25</v>
      </c>
      <c r="U2022" s="4" t="str">
        <f>IFERROR(__xludf.DUMMYFUNCTION("""COMPUTED_VALUE"""),"null")</f>
        <v>null</v>
      </c>
      <c r="V2022" s="33">
        <f>IFERROR(__xludf.DUMMYFUNCTION("""COMPUTED_VALUE"""),0.5)</f>
        <v>0.5</v>
      </c>
      <c r="W2022" s="4" t="str">
        <f>IFERROR(__xludf.DUMMYFUNCTION("""COMPUTED_VALUE"""),"Cardápio Web")</f>
        <v>Cardápio Web</v>
      </c>
      <c r="X2022" s="33">
        <f>IFERROR(__xludf.DUMMYFUNCTION("""COMPUTED_VALUE"""),0.25)</f>
        <v>0.25</v>
      </c>
    </row>
    <row r="2023">
      <c r="K2023" s="4" t="str">
        <f>IFERROR(__xludf.DUMMYFUNCTION("""COMPUTED_VALUE"""),"FRANCHIS PADARIA CAFE")</f>
        <v>FRANCHIS PADARIA CAFE</v>
      </c>
      <c r="L2023" s="32">
        <f>IFERROR(__xludf.DUMMYFUNCTION("""COMPUTED_VALUE"""),4.0)</f>
        <v>4</v>
      </c>
      <c r="M2023" s="4" t="str">
        <f>IFERROR(__xludf.DUMMYFUNCTION("""COMPUTED_VALUE"""),"Opdv")</f>
        <v>Opdv</v>
      </c>
      <c r="N2023" s="33">
        <f>IFERROR(__xludf.DUMMYFUNCTION("""COMPUTED_VALUE"""),1.0)</f>
        <v>1</v>
      </c>
      <c r="O2023" s="4" t="str">
        <f>IFERROR(__xludf.DUMMYFUNCTION("""COMPUTED_VALUE"""),"Opdv")</f>
        <v>Opdv</v>
      </c>
      <c r="P2023" s="33">
        <f>IFERROR(__xludf.DUMMYFUNCTION("""COMPUTED_VALUE"""),1.0)</f>
        <v>1</v>
      </c>
      <c r="Q2023" s="4" t="str">
        <f>IFERROR(__xludf.DUMMYFUNCTION("""COMPUTED_VALUE"""),"Opdv")</f>
        <v>Opdv</v>
      </c>
      <c r="R2023" s="33">
        <f>IFERROR(__xludf.DUMMYFUNCTION("""COMPUTED_VALUE"""),1.0)</f>
        <v>1</v>
      </c>
      <c r="S2023" s="4" t="str">
        <f>IFERROR(__xludf.DUMMYFUNCTION("""COMPUTED_VALUE"""),"Opdv")</f>
        <v>Opdv</v>
      </c>
      <c r="T2023" s="33">
        <f>IFERROR(__xludf.DUMMYFUNCTION("""COMPUTED_VALUE"""),1.0)</f>
        <v>1</v>
      </c>
      <c r="U2023" s="4" t="str">
        <f>IFERROR(__xludf.DUMMYFUNCTION("""COMPUTED_VALUE"""),"Opdv")</f>
        <v>Opdv</v>
      </c>
      <c r="V2023" s="33">
        <f>IFERROR(__xludf.DUMMYFUNCTION("""COMPUTED_VALUE"""),1.0)</f>
        <v>1</v>
      </c>
      <c r="W2023" s="4" t="str">
        <f>IFERROR(__xludf.DUMMYFUNCTION("""COMPUTED_VALUE"""),"Opdv")</f>
        <v>Opdv</v>
      </c>
      <c r="X2023" s="33">
        <f>IFERROR(__xludf.DUMMYFUNCTION("""COMPUTED_VALUE"""),1.0)</f>
        <v>1</v>
      </c>
    </row>
    <row r="2024">
      <c r="K2024" s="4" t="str">
        <f>IFERROR(__xludf.DUMMYFUNCTION("""COMPUTED_VALUE"""),"ACAI REAL")</f>
        <v>ACAI REAL</v>
      </c>
      <c r="L2024" s="32">
        <f>IFERROR(__xludf.DUMMYFUNCTION("""COMPUTED_VALUE"""),4.0)</f>
        <v>4</v>
      </c>
      <c r="M2024" s="4" t="str">
        <f>IFERROR(__xludf.DUMMYFUNCTION("""COMPUTED_VALUE"""),"null")</f>
        <v>null</v>
      </c>
      <c r="N2024" s="33">
        <f>IFERROR(__xludf.DUMMYFUNCTION("""COMPUTED_VALUE"""),0.5)</f>
        <v>0.5</v>
      </c>
      <c r="O2024" s="4" t="str">
        <f>IFERROR(__xludf.DUMMYFUNCTION("""COMPUTED_VALUE"""),"null")</f>
        <v>null</v>
      </c>
      <c r="P2024" s="33">
        <f>IFERROR(__xludf.DUMMYFUNCTION("""COMPUTED_VALUE"""),0.5)</f>
        <v>0.5</v>
      </c>
      <c r="Q2024" s="4" t="str">
        <f>IFERROR(__xludf.DUMMYFUNCTION("""COMPUTED_VALUE"""),"null")</f>
        <v>null</v>
      </c>
      <c r="R2024" s="33">
        <f>IFERROR(__xludf.DUMMYFUNCTION("""COMPUTED_VALUE"""),0.75)</f>
        <v>0.75</v>
      </c>
      <c r="S2024" s="4" t="str">
        <f>IFERROR(__xludf.DUMMYFUNCTION("""COMPUTED_VALUE"""),"null")</f>
        <v>null</v>
      </c>
      <c r="T2024" s="33">
        <f>IFERROR(__xludf.DUMMYFUNCTION("""COMPUTED_VALUE"""),0.5)</f>
        <v>0.5</v>
      </c>
      <c r="U2024" s="4" t="str">
        <f>IFERROR(__xludf.DUMMYFUNCTION("""COMPUTED_VALUE"""),"null")</f>
        <v>null</v>
      </c>
      <c r="V2024" s="33">
        <f>IFERROR(__xludf.DUMMYFUNCTION("""COMPUTED_VALUE"""),0.5)</f>
        <v>0.5</v>
      </c>
      <c r="W2024" s="4" t="str">
        <f>IFERROR(__xludf.DUMMYFUNCTION("""COMPUTED_VALUE"""),"Saipos Serviços De Software")</f>
        <v>Saipos Serviços De Software</v>
      </c>
      <c r="X2024" s="33">
        <f>IFERROR(__xludf.DUMMYFUNCTION("""COMPUTED_VALUE"""),0.5)</f>
        <v>0.5</v>
      </c>
    </row>
    <row r="2025">
      <c r="K2025" s="4" t="str">
        <f>IFERROR(__xludf.DUMMYFUNCTION("""COMPUTED_VALUE"""),"FAST PIZZA")</f>
        <v>FAST PIZZA</v>
      </c>
      <c r="L2025" s="32">
        <f>IFERROR(__xludf.DUMMYFUNCTION("""COMPUTED_VALUE"""),4.0)</f>
        <v>4</v>
      </c>
      <c r="M2025" s="4" t="str">
        <f>IFERROR(__xludf.DUMMYFUNCTION("""COMPUTED_VALUE"""),"Connectplug")</f>
        <v>Connectplug</v>
      </c>
      <c r="N2025" s="33">
        <f>IFERROR(__xludf.DUMMYFUNCTION("""COMPUTED_VALUE"""),0.25)</f>
        <v>0.25</v>
      </c>
      <c r="O2025" s="4" t="str">
        <f>IFERROR(__xludf.DUMMYFUNCTION("""COMPUTED_VALUE"""),"null")</f>
        <v>null</v>
      </c>
      <c r="P2025" s="33">
        <f>IFERROR(__xludf.DUMMYFUNCTION("""COMPUTED_VALUE"""),0.75)</f>
        <v>0.75</v>
      </c>
      <c r="Q2025" s="4" t="str">
        <f>IFERROR(__xludf.DUMMYFUNCTION("""COMPUTED_VALUE"""),"Saipos Serviços De Software")</f>
        <v>Saipos Serviços De Software</v>
      </c>
      <c r="R2025" s="33">
        <f>IFERROR(__xludf.DUMMYFUNCTION("""COMPUTED_VALUE"""),0.5)</f>
        <v>0.5</v>
      </c>
      <c r="S2025" s="4" t="str">
        <f>IFERROR(__xludf.DUMMYFUNCTION("""COMPUTED_VALUE"""),"null")</f>
        <v>null</v>
      </c>
      <c r="T2025" s="33">
        <f>IFERROR(__xludf.DUMMYFUNCTION("""COMPUTED_VALUE"""),0.5)</f>
        <v>0.5</v>
      </c>
      <c r="U2025" s="4" t="str">
        <f>IFERROR(__xludf.DUMMYFUNCTION("""COMPUTED_VALUE"""),"null")</f>
        <v>null</v>
      </c>
      <c r="V2025" s="33">
        <f>IFERROR(__xludf.DUMMYFUNCTION("""COMPUTED_VALUE"""),0.5)</f>
        <v>0.5</v>
      </c>
      <c r="W2025" s="4" t="str">
        <f>IFERROR(__xludf.DUMMYFUNCTION("""COMPUTED_VALUE"""),"null")</f>
        <v>null</v>
      </c>
      <c r="X2025" s="33">
        <f>IFERROR(__xludf.DUMMYFUNCTION("""COMPUTED_VALUE"""),0.5)</f>
        <v>0.5</v>
      </c>
    </row>
    <row r="2026">
      <c r="K2026" s="4" t="str">
        <f>IFERROR(__xludf.DUMMYFUNCTION("""COMPUTED_VALUE"""),"LOJA DESATIVADA")</f>
        <v>LOJA DESATIVADA</v>
      </c>
      <c r="L2026" s="32">
        <f>IFERROR(__xludf.DUMMYFUNCTION("""COMPUTED_VALUE"""),4.0)</f>
        <v>4</v>
      </c>
      <c r="M2026" s="4" t="str">
        <f>IFERROR(__xludf.DUMMYFUNCTION("""COMPUTED_VALUE"""),"null")</f>
        <v>null</v>
      </c>
      <c r="N2026" s="33">
        <f>IFERROR(__xludf.DUMMYFUNCTION("""COMPUTED_VALUE"""),0.5)</f>
        <v>0.5</v>
      </c>
      <c r="O2026" s="4" t="str">
        <f>IFERROR(__xludf.DUMMYFUNCTION("""COMPUTED_VALUE"""),"null")</f>
        <v>null</v>
      </c>
      <c r="P2026" s="33">
        <f>IFERROR(__xludf.DUMMYFUNCTION("""COMPUTED_VALUE"""),0.5)</f>
        <v>0.5</v>
      </c>
      <c r="Q2026" s="4" t="str">
        <f>IFERROR(__xludf.DUMMYFUNCTION("""COMPUTED_VALUE"""),"null")</f>
        <v>null</v>
      </c>
      <c r="R2026" s="33">
        <f>IFERROR(__xludf.DUMMYFUNCTION("""COMPUTED_VALUE"""),0.5)</f>
        <v>0.5</v>
      </c>
      <c r="S2026" s="4" t="str">
        <f>IFERROR(__xludf.DUMMYFUNCTION("""COMPUTED_VALUE"""),"null")</f>
        <v>null</v>
      </c>
      <c r="T2026" s="33">
        <f>IFERROR(__xludf.DUMMYFUNCTION("""COMPUTED_VALUE"""),0.5)</f>
        <v>0.5</v>
      </c>
      <c r="U2026" s="4" t="str">
        <f>IFERROR(__xludf.DUMMYFUNCTION("""COMPUTED_VALUE"""),"null")</f>
        <v>null</v>
      </c>
      <c r="V2026" s="33">
        <f>IFERROR(__xludf.DUMMYFUNCTION("""COMPUTED_VALUE"""),0.25)</f>
        <v>0.25</v>
      </c>
      <c r="W2026" s="4" t="str">
        <f>IFERROR(__xludf.DUMMYFUNCTION("""COMPUTED_VALUE"""),"null")</f>
        <v>null</v>
      </c>
      <c r="X2026" s="33">
        <f>IFERROR(__xludf.DUMMYFUNCTION("""COMPUTED_VALUE"""),0.75)</f>
        <v>0.75</v>
      </c>
    </row>
    <row r="2027">
      <c r="K2027" s="4" t="str">
        <f>IFERROR(__xludf.DUMMYFUNCTION("""COMPUTED_VALUE"""),"IMPERIO DA BATATA")</f>
        <v>IMPERIO DA BATATA</v>
      </c>
      <c r="L2027" s="32">
        <f>IFERROR(__xludf.DUMMYFUNCTION("""COMPUTED_VALUE"""),4.0)</f>
        <v>4</v>
      </c>
      <c r="M2027" s="4" t="str">
        <f>IFERROR(__xludf.DUMMYFUNCTION("""COMPUTED_VALUE"""),"Saipos Serviços De Software")</f>
        <v>Saipos Serviços De Software</v>
      </c>
      <c r="N2027" s="33">
        <f>IFERROR(__xludf.DUMMYFUNCTION("""COMPUTED_VALUE"""),0.25)</f>
        <v>0.25</v>
      </c>
      <c r="O2027" s="4" t="str">
        <f>IFERROR(__xludf.DUMMYFUNCTION("""COMPUTED_VALUE"""),"Saipos Serviços De Software")</f>
        <v>Saipos Serviços De Software</v>
      </c>
      <c r="P2027" s="33">
        <f>IFERROR(__xludf.DUMMYFUNCTION("""COMPUTED_VALUE"""),0.25)</f>
        <v>0.25</v>
      </c>
      <c r="Q2027" s="4" t="str">
        <f>IFERROR(__xludf.DUMMYFUNCTION("""COMPUTED_VALUE"""),"null")</f>
        <v>null</v>
      </c>
      <c r="R2027" s="33">
        <f>IFERROR(__xludf.DUMMYFUNCTION("""COMPUTED_VALUE"""),0.5)</f>
        <v>0.5</v>
      </c>
      <c r="S2027" s="4" t="str">
        <f>IFERROR(__xludf.DUMMYFUNCTION("""COMPUTED_VALUE"""),"null")</f>
        <v>null</v>
      </c>
      <c r="T2027" s="33">
        <f>IFERROR(__xludf.DUMMYFUNCTION("""COMPUTED_VALUE"""),0.5)</f>
        <v>0.5</v>
      </c>
      <c r="U2027" s="4" t="str">
        <f>IFERROR(__xludf.DUMMYFUNCTION("""COMPUTED_VALUE"""),"null")</f>
        <v>null</v>
      </c>
      <c r="V2027" s="33">
        <f>IFERROR(__xludf.DUMMYFUNCTION("""COMPUTED_VALUE"""),0.25)</f>
        <v>0.25</v>
      </c>
      <c r="W2027" s="4" t="str">
        <f>IFERROR(__xludf.DUMMYFUNCTION("""COMPUTED_VALUE"""),"null")</f>
        <v>null</v>
      </c>
      <c r="X2027" s="33">
        <f>IFERROR(__xludf.DUMMYFUNCTION("""COMPUTED_VALUE"""),0.5)</f>
        <v>0.5</v>
      </c>
    </row>
    <row r="2028">
      <c r="K2028" s="4" t="str">
        <f>IFERROR(__xludf.DUMMYFUNCTION("""COMPUTED_VALUE"""),"KAIZEN SUSHI")</f>
        <v>KAIZEN SUSHI</v>
      </c>
      <c r="L2028" s="32">
        <f>IFERROR(__xludf.DUMMYFUNCTION("""COMPUTED_VALUE"""),4.0)</f>
        <v>4</v>
      </c>
      <c r="M2028" s="4" t="str">
        <f>IFERROR(__xludf.DUMMYFUNCTION("""COMPUTED_VALUE"""),"Saipos Serviços De Software")</f>
        <v>Saipos Serviços De Software</v>
      </c>
      <c r="N2028" s="33">
        <f>IFERROR(__xludf.DUMMYFUNCTION("""COMPUTED_VALUE"""),0.25)</f>
        <v>0.25</v>
      </c>
      <c r="O2028" s="4" t="str">
        <f>IFERROR(__xludf.DUMMYFUNCTION("""COMPUTED_VALUE"""),"null")</f>
        <v>null</v>
      </c>
      <c r="P2028" s="33">
        <f>IFERROR(__xludf.DUMMYFUNCTION("""COMPUTED_VALUE"""),0.5)</f>
        <v>0.5</v>
      </c>
      <c r="Q2028" s="4" t="str">
        <f>IFERROR(__xludf.DUMMYFUNCTION("""COMPUTED_VALUE"""),"Saipos Serviços De Software")</f>
        <v>Saipos Serviços De Software</v>
      </c>
      <c r="R2028" s="33">
        <f>IFERROR(__xludf.DUMMYFUNCTION("""COMPUTED_VALUE"""),0.25)</f>
        <v>0.25</v>
      </c>
      <c r="S2028" s="4" t="str">
        <f>IFERROR(__xludf.DUMMYFUNCTION("""COMPUTED_VALUE"""),"Saipos Serviços De Software")</f>
        <v>Saipos Serviços De Software</v>
      </c>
      <c r="T2028" s="33">
        <f>IFERROR(__xludf.DUMMYFUNCTION("""COMPUTED_VALUE"""),0.25)</f>
        <v>0.25</v>
      </c>
      <c r="U2028" s="4" t="str">
        <f>IFERROR(__xludf.DUMMYFUNCTION("""COMPUTED_VALUE"""),"Saipos Serviços De Software")</f>
        <v>Saipos Serviços De Software</v>
      </c>
      <c r="V2028" s="33">
        <f>IFERROR(__xludf.DUMMYFUNCTION("""COMPUTED_VALUE"""),0.5)</f>
        <v>0.5</v>
      </c>
      <c r="W2028" s="4" t="str">
        <f>IFERROR(__xludf.DUMMYFUNCTION("""COMPUTED_VALUE"""),"Saipos Serviços De Software")</f>
        <v>Saipos Serviços De Software</v>
      </c>
      <c r="X2028" s="33">
        <f>IFERROR(__xludf.DUMMYFUNCTION("""COMPUTED_VALUE"""),0.5)</f>
        <v>0.5</v>
      </c>
    </row>
    <row r="2029">
      <c r="K2029" s="4" t="str">
        <f>IFERROR(__xludf.DUMMYFUNCTION("""COMPUTED_VALUE"""),"LA BRASA")</f>
        <v>LA BRASA</v>
      </c>
      <c r="L2029" s="32">
        <f>IFERROR(__xludf.DUMMYFUNCTION("""COMPUTED_VALUE"""),4.0)</f>
        <v>4</v>
      </c>
      <c r="M2029" s="4" t="str">
        <f>IFERROR(__xludf.DUMMYFUNCTION("""COMPUTED_VALUE"""),"Suitable Tecnologia E Gestao")</f>
        <v>Suitable Tecnologia E Gestao</v>
      </c>
      <c r="N2029" s="33">
        <f>IFERROR(__xludf.DUMMYFUNCTION("""COMPUTED_VALUE"""),0.25)</f>
        <v>0.25</v>
      </c>
      <c r="O2029" s="4" t="str">
        <f>IFERROR(__xludf.DUMMYFUNCTION("""COMPUTED_VALUE"""),"Suitable Tecnologia E Gestao")</f>
        <v>Suitable Tecnologia E Gestao</v>
      </c>
      <c r="P2029" s="33">
        <f>IFERROR(__xludf.DUMMYFUNCTION("""COMPUTED_VALUE"""),0.25)</f>
        <v>0.25</v>
      </c>
      <c r="Q2029" s="4" t="str">
        <f>IFERROR(__xludf.DUMMYFUNCTION("""COMPUTED_VALUE"""),"Suitable Tecnologia E Gestao")</f>
        <v>Suitable Tecnologia E Gestao</v>
      </c>
      <c r="R2029" s="33">
        <f>IFERROR(__xludf.DUMMYFUNCTION("""COMPUTED_VALUE"""),0.25)</f>
        <v>0.25</v>
      </c>
      <c r="S2029" s="4" t="str">
        <f>IFERROR(__xludf.DUMMYFUNCTION("""COMPUTED_VALUE"""),"Suitable Tecnologia E Gestao")</f>
        <v>Suitable Tecnologia E Gestao</v>
      </c>
      <c r="T2029" s="33">
        <f>IFERROR(__xludf.DUMMYFUNCTION("""COMPUTED_VALUE"""),0.25)</f>
        <v>0.25</v>
      </c>
      <c r="U2029" s="4" t="str">
        <f>IFERROR(__xludf.DUMMYFUNCTION("""COMPUTED_VALUE"""),"null")</f>
        <v>null</v>
      </c>
      <c r="V2029" s="33">
        <f>IFERROR(__xludf.DUMMYFUNCTION("""COMPUTED_VALUE"""),0.5)</f>
        <v>0.5</v>
      </c>
      <c r="W2029" s="4" t="str">
        <f>IFERROR(__xludf.DUMMYFUNCTION("""COMPUTED_VALUE"""),"null")</f>
        <v>null</v>
      </c>
      <c r="X2029" s="33">
        <f>IFERROR(__xludf.DUMMYFUNCTION("""COMPUTED_VALUE"""),0.25)</f>
        <v>0.25</v>
      </c>
    </row>
    <row r="2030">
      <c r="K2030" s="4" t="str">
        <f>IFERROR(__xludf.DUMMYFUNCTION("""COMPUTED_VALUE"""),"MARMITA - MARMITEX")</f>
        <v>MARMITA - MARMITEX</v>
      </c>
      <c r="L2030" s="32">
        <f>IFERROR(__xludf.DUMMYFUNCTION("""COMPUTED_VALUE"""),4.0)</f>
        <v>4</v>
      </c>
      <c r="M2030" s="4" t="str">
        <f>IFERROR(__xludf.DUMMYFUNCTION("""COMPUTED_VALUE"""),"null")</f>
        <v>null</v>
      </c>
      <c r="N2030" s="33">
        <f>IFERROR(__xludf.DUMMYFUNCTION("""COMPUTED_VALUE"""),0.75)</f>
        <v>0.75</v>
      </c>
      <c r="O2030" s="4" t="str">
        <f>IFERROR(__xludf.DUMMYFUNCTION("""COMPUTED_VALUE"""),"null")</f>
        <v>null</v>
      </c>
      <c r="P2030" s="33">
        <f>IFERROR(__xludf.DUMMYFUNCTION("""COMPUTED_VALUE"""),0.75)</f>
        <v>0.75</v>
      </c>
      <c r="Q2030" s="4" t="str">
        <f>IFERROR(__xludf.DUMMYFUNCTION("""COMPUTED_VALUE"""),"null")</f>
        <v>null</v>
      </c>
      <c r="R2030" s="33">
        <f>IFERROR(__xludf.DUMMYFUNCTION("""COMPUTED_VALUE"""),0.75)</f>
        <v>0.75</v>
      </c>
      <c r="S2030" s="4" t="str">
        <f>IFERROR(__xludf.DUMMYFUNCTION("""COMPUTED_VALUE"""),"null")</f>
        <v>null</v>
      </c>
      <c r="T2030" s="33">
        <f>IFERROR(__xludf.DUMMYFUNCTION("""COMPUTED_VALUE"""),0.5)</f>
        <v>0.5</v>
      </c>
      <c r="U2030" s="4" t="str">
        <f>IFERROR(__xludf.DUMMYFUNCTION("""COMPUTED_VALUE"""),"Cardápio Web")</f>
        <v>Cardápio Web</v>
      </c>
      <c r="V2030" s="33">
        <f>IFERROR(__xludf.DUMMYFUNCTION("""COMPUTED_VALUE"""),0.75)</f>
        <v>0.75</v>
      </c>
      <c r="W2030" s="4" t="str">
        <f>IFERROR(__xludf.DUMMYFUNCTION("""COMPUTED_VALUE"""),"Cardápio Web")</f>
        <v>Cardápio Web</v>
      </c>
      <c r="X2030" s="33">
        <f>IFERROR(__xludf.DUMMYFUNCTION("""COMPUTED_VALUE"""),0.5)</f>
        <v>0.5</v>
      </c>
    </row>
    <row r="2031">
      <c r="K2031" s="4" t="str">
        <f>IFERROR(__xludf.DUMMYFUNCTION("""COMPUTED_VALUE"""),"CHAMA BURGUER")</f>
        <v>CHAMA BURGUER</v>
      </c>
      <c r="L2031" s="32">
        <f>IFERROR(__xludf.DUMMYFUNCTION("""COMPUTED_VALUE"""),4.0)</f>
        <v>4</v>
      </c>
      <c r="M2031" s="4" t="str">
        <f>IFERROR(__xludf.DUMMYFUNCTION("""COMPUTED_VALUE"""),"null")</f>
        <v>null</v>
      </c>
      <c r="N2031" s="33">
        <f>IFERROR(__xludf.DUMMYFUNCTION("""COMPUTED_VALUE"""),0.75)</f>
        <v>0.75</v>
      </c>
      <c r="O2031" s="4" t="str">
        <f>IFERROR(__xludf.DUMMYFUNCTION("""COMPUTED_VALUE"""),"null")</f>
        <v>null</v>
      </c>
      <c r="P2031" s="33">
        <f>IFERROR(__xludf.DUMMYFUNCTION("""COMPUTED_VALUE"""),0.75)</f>
        <v>0.75</v>
      </c>
      <c r="Q2031" s="4" t="str">
        <f>IFERROR(__xludf.DUMMYFUNCTION("""COMPUTED_VALUE"""),"null")</f>
        <v>null</v>
      </c>
      <c r="R2031" s="33">
        <f>IFERROR(__xludf.DUMMYFUNCTION("""COMPUTED_VALUE"""),0.5)</f>
        <v>0.5</v>
      </c>
      <c r="S2031" s="4" t="str">
        <f>IFERROR(__xludf.DUMMYFUNCTION("""COMPUTED_VALUE"""),"Suitable Tecnologia E Gestao")</f>
        <v>Suitable Tecnologia E Gestao</v>
      </c>
      <c r="T2031" s="33">
        <f>IFERROR(__xludf.DUMMYFUNCTION("""COMPUTED_VALUE"""),0.25)</f>
        <v>0.25</v>
      </c>
      <c r="U2031" s="4" t="str">
        <f>IFERROR(__xludf.DUMMYFUNCTION("""COMPUTED_VALUE"""),"Suitable Tecnologia E Gestao")</f>
        <v>Suitable Tecnologia E Gestao</v>
      </c>
      <c r="V2031" s="33">
        <f>IFERROR(__xludf.DUMMYFUNCTION("""COMPUTED_VALUE"""),0.25)</f>
        <v>0.25</v>
      </c>
      <c r="W2031" s="4" t="str">
        <f>IFERROR(__xludf.DUMMYFUNCTION("""COMPUTED_VALUE"""),"null")</f>
        <v>null</v>
      </c>
      <c r="X2031" s="33">
        <f>IFERROR(__xludf.DUMMYFUNCTION("""COMPUTED_VALUE"""),0.5)</f>
        <v>0.5</v>
      </c>
    </row>
    <row r="2032">
      <c r="K2032" s="4" t="str">
        <f>IFERROR(__xludf.DUMMYFUNCTION("""COMPUTED_VALUE"""),"TEMPERO DE CASA")</f>
        <v>TEMPERO DE CASA</v>
      </c>
      <c r="L2032" s="32">
        <f>IFERROR(__xludf.DUMMYFUNCTION("""COMPUTED_VALUE"""),4.0)</f>
        <v>4</v>
      </c>
      <c r="M2032" s="4" t="str">
        <f>IFERROR(__xludf.DUMMYFUNCTION("""COMPUTED_VALUE"""),"Consumer Soluções Em Tecnologia Ltda")</f>
        <v>Consumer Soluções Em Tecnologia Ltda</v>
      </c>
      <c r="N2032" s="33">
        <f>IFERROR(__xludf.DUMMYFUNCTION("""COMPUTED_VALUE"""),0.25)</f>
        <v>0.25</v>
      </c>
      <c r="O2032" s="4" t="str">
        <f>IFERROR(__xludf.DUMMYFUNCTION("""COMPUTED_VALUE"""),"Consumer Soluções Em Tecnologia Ltda")</f>
        <v>Consumer Soluções Em Tecnologia Ltda</v>
      </c>
      <c r="P2032" s="33">
        <f>IFERROR(__xludf.DUMMYFUNCTION("""COMPUTED_VALUE"""),0.25)</f>
        <v>0.25</v>
      </c>
      <c r="Q2032" s="4" t="str">
        <f>IFERROR(__xludf.DUMMYFUNCTION("""COMPUTED_VALUE"""),"Saipos Serviços De Software")</f>
        <v>Saipos Serviços De Software</v>
      </c>
      <c r="R2032" s="33">
        <f>IFERROR(__xludf.DUMMYFUNCTION("""COMPUTED_VALUE"""),0.5)</f>
        <v>0.5</v>
      </c>
      <c r="S2032" s="4" t="str">
        <f>IFERROR(__xludf.DUMMYFUNCTION("""COMPUTED_VALUE"""),"null")</f>
        <v>null</v>
      </c>
      <c r="T2032" s="33">
        <f>IFERROR(__xludf.DUMMYFUNCTION("""COMPUTED_VALUE"""),0.5)</f>
        <v>0.5</v>
      </c>
      <c r="U2032" s="4" t="str">
        <f>IFERROR(__xludf.DUMMYFUNCTION("""COMPUTED_VALUE"""),"null")</f>
        <v>null</v>
      </c>
      <c r="V2032" s="33">
        <f>IFERROR(__xludf.DUMMYFUNCTION("""COMPUTED_VALUE"""),0.5)</f>
        <v>0.5</v>
      </c>
      <c r="W2032" s="4" t="str">
        <f>IFERROR(__xludf.DUMMYFUNCTION("""COMPUTED_VALUE"""),"null")</f>
        <v>null</v>
      </c>
      <c r="X2032" s="33">
        <f>IFERROR(__xludf.DUMMYFUNCTION("""COMPUTED_VALUE"""),0.5)</f>
        <v>0.5</v>
      </c>
    </row>
    <row r="2033">
      <c r="K2033" s="4" t="str">
        <f>IFERROR(__xludf.DUMMYFUNCTION("""COMPUTED_VALUE"""),"FARMACIA BRASIL")</f>
        <v>FARMACIA BRASIL</v>
      </c>
      <c r="L2033" s="32">
        <f>IFERROR(__xludf.DUMMYFUNCTION("""COMPUTED_VALUE"""),4.0)</f>
        <v>4</v>
      </c>
      <c r="M2033" s="4" t="str">
        <f>IFERROR(__xludf.DUMMYFUNCTION("""COMPUTED_VALUE"""),"N/A (Not found)")</f>
        <v>N/A (Not found)</v>
      </c>
      <c r="N2033" s="33">
        <f>IFERROR(__xludf.DUMMYFUNCTION("""COMPUTED_VALUE"""),0.75)</f>
        <v>0.75</v>
      </c>
      <c r="O2033" s="4" t="str">
        <f>IFERROR(__xludf.DUMMYFUNCTION("""COMPUTED_VALUE"""),"N/A (Not found)")</f>
        <v>N/A (Not found)</v>
      </c>
      <c r="P2033" s="33">
        <f>IFERROR(__xludf.DUMMYFUNCTION("""COMPUTED_VALUE"""),0.75)</f>
        <v>0.75</v>
      </c>
      <c r="Q2033" s="4" t="str">
        <f>IFERROR(__xludf.DUMMYFUNCTION("""COMPUTED_VALUE"""),"N/A (Not found)")</f>
        <v>N/A (Not found)</v>
      </c>
      <c r="R2033" s="33">
        <f>IFERROR(__xludf.DUMMYFUNCTION("""COMPUTED_VALUE"""),0.75)</f>
        <v>0.75</v>
      </c>
      <c r="S2033" s="4" t="str">
        <f>IFERROR(__xludf.DUMMYFUNCTION("""COMPUTED_VALUE"""),"N/A (Not found)")</f>
        <v>N/A (Not found)</v>
      </c>
      <c r="T2033" s="33">
        <f>IFERROR(__xludf.DUMMYFUNCTION("""COMPUTED_VALUE"""),1.0)</f>
        <v>1</v>
      </c>
      <c r="U2033" s="4" t="str">
        <f>IFERROR(__xludf.DUMMYFUNCTION("""COMPUTED_VALUE"""),"N/A (Not found)")</f>
        <v>N/A (Not found)</v>
      </c>
      <c r="V2033" s="33">
        <f>IFERROR(__xludf.DUMMYFUNCTION("""COMPUTED_VALUE"""),1.0)</f>
        <v>1</v>
      </c>
      <c r="W2033" s="4" t="str">
        <f>IFERROR(__xludf.DUMMYFUNCTION("""COMPUTED_VALUE"""),"N/A (Not found)")</f>
        <v>N/A (Not found)</v>
      </c>
      <c r="X2033" s="33">
        <f>IFERROR(__xludf.DUMMYFUNCTION("""COMPUTED_VALUE"""),1.0)</f>
        <v>1</v>
      </c>
    </row>
    <row r="2034">
      <c r="K2034" s="4" t="str">
        <f>IFERROR(__xludf.DUMMYFUNCTION("""COMPUTED_VALUE"""),"ACAI")</f>
        <v>ACAI</v>
      </c>
      <c r="L2034" s="32">
        <f>IFERROR(__xludf.DUMMYFUNCTION("""COMPUTED_VALUE"""),4.0)</f>
        <v>4</v>
      </c>
      <c r="M2034" s="4" t="str">
        <f>IFERROR(__xludf.DUMMYFUNCTION("""COMPUTED_VALUE"""),"null")</f>
        <v>null</v>
      </c>
      <c r="N2034" s="33">
        <f>IFERROR(__xludf.DUMMYFUNCTION("""COMPUTED_VALUE"""),0.5)</f>
        <v>0.5</v>
      </c>
      <c r="O2034" s="4" t="str">
        <f>IFERROR(__xludf.DUMMYFUNCTION("""COMPUTED_VALUE"""),"null")</f>
        <v>null</v>
      </c>
      <c r="P2034" s="33">
        <f>IFERROR(__xludf.DUMMYFUNCTION("""COMPUTED_VALUE"""),0.5)</f>
        <v>0.5</v>
      </c>
      <c r="Q2034" s="4" t="str">
        <f>IFERROR(__xludf.DUMMYFUNCTION("""COMPUTED_VALUE"""),"null")</f>
        <v>null</v>
      </c>
      <c r="R2034" s="33">
        <f>IFERROR(__xludf.DUMMYFUNCTION("""COMPUTED_VALUE"""),0.5)</f>
        <v>0.5</v>
      </c>
      <c r="S2034" s="4" t="str">
        <f>IFERROR(__xludf.DUMMYFUNCTION("""COMPUTED_VALUE"""),"null")</f>
        <v>null</v>
      </c>
      <c r="T2034" s="33">
        <f>IFERROR(__xludf.DUMMYFUNCTION("""COMPUTED_VALUE"""),0.75)</f>
        <v>0.75</v>
      </c>
      <c r="U2034" s="4" t="str">
        <f>IFERROR(__xludf.DUMMYFUNCTION("""COMPUTED_VALUE"""),"null")</f>
        <v>null</v>
      </c>
      <c r="V2034" s="33">
        <f>IFERROR(__xludf.DUMMYFUNCTION("""COMPUTED_VALUE"""),0.75)</f>
        <v>0.75</v>
      </c>
      <c r="W2034" s="4" t="str">
        <f>IFERROR(__xludf.DUMMYFUNCTION("""COMPUTED_VALUE"""),"Saipos Serviços De Software")</f>
        <v>Saipos Serviços De Software</v>
      </c>
      <c r="X2034" s="33">
        <f>IFERROR(__xludf.DUMMYFUNCTION("""COMPUTED_VALUE"""),0.75)</f>
        <v>0.75</v>
      </c>
    </row>
    <row r="2035">
      <c r="K2035" s="4" t="str">
        <f>IFERROR(__xludf.DUMMYFUNCTION("""COMPUTED_VALUE"""),"VILLA DO ACAI")</f>
        <v>VILLA DO ACAI</v>
      </c>
      <c r="L2035" s="32">
        <f>IFERROR(__xludf.DUMMYFUNCTION("""COMPUTED_VALUE"""),4.0)</f>
        <v>4</v>
      </c>
      <c r="M2035" s="4" t="str">
        <f>IFERROR(__xludf.DUMMYFUNCTION("""COMPUTED_VALUE"""),"Cardápio Web")</f>
        <v>Cardápio Web</v>
      </c>
      <c r="N2035" s="33">
        <f>IFERROR(__xludf.DUMMYFUNCTION("""COMPUTED_VALUE"""),0.5)</f>
        <v>0.5</v>
      </c>
      <c r="O2035" s="4" t="str">
        <f>IFERROR(__xludf.DUMMYFUNCTION("""COMPUTED_VALUE"""),"Cardápio Web")</f>
        <v>Cardápio Web</v>
      </c>
      <c r="P2035" s="33">
        <f>IFERROR(__xludf.DUMMYFUNCTION("""COMPUTED_VALUE"""),0.5)</f>
        <v>0.5</v>
      </c>
      <c r="Q2035" s="4" t="str">
        <f>IFERROR(__xludf.DUMMYFUNCTION("""COMPUTED_VALUE"""),"Cardápio Web")</f>
        <v>Cardápio Web</v>
      </c>
      <c r="R2035" s="33">
        <f>IFERROR(__xludf.DUMMYFUNCTION("""COMPUTED_VALUE"""),0.5)</f>
        <v>0.5</v>
      </c>
      <c r="S2035" s="4" t="str">
        <f>IFERROR(__xludf.DUMMYFUNCTION("""COMPUTED_VALUE"""),"Cardápio Web")</f>
        <v>Cardápio Web</v>
      </c>
      <c r="T2035" s="33">
        <f>IFERROR(__xludf.DUMMYFUNCTION("""COMPUTED_VALUE"""),0.5)</f>
        <v>0.5</v>
      </c>
      <c r="U2035" s="4" t="str">
        <f>IFERROR(__xludf.DUMMYFUNCTION("""COMPUTED_VALUE"""),"Cardápio Web")</f>
        <v>Cardápio Web</v>
      </c>
      <c r="V2035" s="33">
        <f>IFERROR(__xludf.DUMMYFUNCTION("""COMPUTED_VALUE"""),0.5)</f>
        <v>0.5</v>
      </c>
      <c r="W2035" s="4" t="str">
        <f>IFERROR(__xludf.DUMMYFUNCTION("""COMPUTED_VALUE"""),"Cardápio Web")</f>
        <v>Cardápio Web</v>
      </c>
      <c r="X2035" s="33">
        <f>IFERROR(__xludf.DUMMYFUNCTION("""COMPUTED_VALUE"""),0.5)</f>
        <v>0.5</v>
      </c>
    </row>
    <row r="2036">
      <c r="K2036" s="4" t="str">
        <f>IFERROR(__xludf.DUMMYFUNCTION("""COMPUTED_VALUE"""),"DR PIZZA")</f>
        <v>DR PIZZA</v>
      </c>
      <c r="L2036" s="32">
        <f>IFERROR(__xludf.DUMMYFUNCTION("""COMPUTED_VALUE"""),4.0)</f>
        <v>4</v>
      </c>
      <c r="M2036" s="4" t="str">
        <f>IFERROR(__xludf.DUMMYFUNCTION("""COMPUTED_VALUE"""),"null")</f>
        <v>null</v>
      </c>
      <c r="N2036" s="33">
        <f>IFERROR(__xludf.DUMMYFUNCTION("""COMPUTED_VALUE"""),0.5)</f>
        <v>0.5</v>
      </c>
      <c r="O2036" s="4" t="str">
        <f>IFERROR(__xludf.DUMMYFUNCTION("""COMPUTED_VALUE"""),"null")</f>
        <v>null</v>
      </c>
      <c r="P2036" s="33">
        <f>IFERROR(__xludf.DUMMYFUNCTION("""COMPUTED_VALUE"""),0.5)</f>
        <v>0.5</v>
      </c>
      <c r="Q2036" s="4" t="str">
        <f>IFERROR(__xludf.DUMMYFUNCTION("""COMPUTED_VALUE"""),"null")</f>
        <v>null</v>
      </c>
      <c r="R2036" s="33">
        <f>IFERROR(__xludf.DUMMYFUNCTION("""COMPUTED_VALUE"""),0.5)</f>
        <v>0.5</v>
      </c>
      <c r="S2036" s="4" t="str">
        <f>IFERROR(__xludf.DUMMYFUNCTION("""COMPUTED_VALUE"""),"Agilizup Solucoes Ltda")</f>
        <v>Agilizup Solucoes Ltda</v>
      </c>
      <c r="T2036" s="33">
        <f>IFERROR(__xludf.DUMMYFUNCTION("""COMPUTED_VALUE"""),0.25)</f>
        <v>0.25</v>
      </c>
      <c r="U2036" s="4" t="str">
        <f>IFERROR(__xludf.DUMMYFUNCTION("""COMPUTED_VALUE"""),"Agilizup Solucoes Ltda")</f>
        <v>Agilizup Solucoes Ltda</v>
      </c>
      <c r="V2036" s="33">
        <f>IFERROR(__xludf.DUMMYFUNCTION("""COMPUTED_VALUE"""),0.25)</f>
        <v>0.25</v>
      </c>
      <c r="W2036" s="4" t="str">
        <f>IFERROR(__xludf.DUMMYFUNCTION("""COMPUTED_VALUE"""),"Agilizup Solucoes Ltda")</f>
        <v>Agilizup Solucoes Ltda</v>
      </c>
      <c r="X2036" s="33">
        <f>IFERROR(__xludf.DUMMYFUNCTION("""COMPUTED_VALUE"""),0.25)</f>
        <v>0.25</v>
      </c>
    </row>
    <row r="2037">
      <c r="K2037" s="4" t="str">
        <f>IFERROR(__xludf.DUMMYFUNCTION("""COMPUTED_VALUE"""),"AMERICA BURGUER")</f>
        <v>AMERICA BURGUER</v>
      </c>
      <c r="L2037" s="32">
        <f>IFERROR(__xludf.DUMMYFUNCTION("""COMPUTED_VALUE"""),4.0)</f>
        <v>4</v>
      </c>
      <c r="M2037" s="4" t="str">
        <f>IFERROR(__xludf.DUMMYFUNCTION("""COMPUTED_VALUE"""),"Brendi")</f>
        <v>Brendi</v>
      </c>
      <c r="N2037" s="33">
        <f>IFERROR(__xludf.DUMMYFUNCTION("""COMPUTED_VALUE"""),0.25)</f>
        <v>0.25</v>
      </c>
      <c r="O2037" s="4" t="str">
        <f>IFERROR(__xludf.DUMMYFUNCTION("""COMPUTED_VALUE"""),"Brendi")</f>
        <v>Brendi</v>
      </c>
      <c r="P2037" s="33">
        <f>IFERROR(__xludf.DUMMYFUNCTION("""COMPUTED_VALUE"""),0.25)</f>
        <v>0.25</v>
      </c>
      <c r="Q2037" s="4" t="str">
        <f>IFERROR(__xludf.DUMMYFUNCTION("""COMPUTED_VALUE"""),"Brendi")</f>
        <v>Brendi</v>
      </c>
      <c r="R2037" s="33">
        <f>IFERROR(__xludf.DUMMYFUNCTION("""COMPUTED_VALUE"""),0.25)</f>
        <v>0.25</v>
      </c>
      <c r="S2037" s="4" t="str">
        <f>IFERROR(__xludf.DUMMYFUNCTION("""COMPUTED_VALUE"""),"Brendi")</f>
        <v>Brendi</v>
      </c>
      <c r="T2037" s="33">
        <f>IFERROR(__xludf.DUMMYFUNCTION("""COMPUTED_VALUE"""),0.25)</f>
        <v>0.25</v>
      </c>
      <c r="U2037" s="4" t="str">
        <f>IFERROR(__xludf.DUMMYFUNCTION("""COMPUTED_VALUE"""),"Brendi")</f>
        <v>Brendi</v>
      </c>
      <c r="V2037" s="33">
        <f>IFERROR(__xludf.DUMMYFUNCTION("""COMPUTED_VALUE"""),0.25)</f>
        <v>0.25</v>
      </c>
      <c r="W2037" s="4" t="str">
        <f>IFERROR(__xludf.DUMMYFUNCTION("""COMPUTED_VALUE"""),"Brendi")</f>
        <v>Brendi</v>
      </c>
      <c r="X2037" s="33">
        <f>IFERROR(__xludf.DUMMYFUNCTION("""COMPUTED_VALUE"""),0.25)</f>
        <v>0.25</v>
      </c>
    </row>
    <row r="2038">
      <c r="K2038" s="4" t="str">
        <f>IFERROR(__xludf.DUMMYFUNCTION("""COMPUTED_VALUE"""),"DONA MARMITA")</f>
        <v>DONA MARMITA</v>
      </c>
      <c r="L2038" s="32">
        <f>IFERROR(__xludf.DUMMYFUNCTION("""COMPUTED_VALUE"""),4.0)</f>
        <v>4</v>
      </c>
      <c r="M2038" s="4" t="str">
        <f>IFERROR(__xludf.DUMMYFUNCTION("""COMPUTED_VALUE"""),"Saipos Serviços De Software")</f>
        <v>Saipos Serviços De Software</v>
      </c>
      <c r="N2038" s="33">
        <f>IFERROR(__xludf.DUMMYFUNCTION("""COMPUTED_VALUE"""),0.5)</f>
        <v>0.5</v>
      </c>
      <c r="O2038" s="4" t="str">
        <f>IFERROR(__xludf.DUMMYFUNCTION("""COMPUTED_VALUE"""),"Saipos Serviços De Software")</f>
        <v>Saipos Serviços De Software</v>
      </c>
      <c r="P2038" s="33">
        <f>IFERROR(__xludf.DUMMYFUNCTION("""COMPUTED_VALUE"""),0.5)</f>
        <v>0.5</v>
      </c>
      <c r="Q2038" s="4" t="str">
        <f>IFERROR(__xludf.DUMMYFUNCTION("""COMPUTED_VALUE"""),"Saipos Serviços De Software")</f>
        <v>Saipos Serviços De Software</v>
      </c>
      <c r="R2038" s="33">
        <f>IFERROR(__xludf.DUMMYFUNCTION("""COMPUTED_VALUE"""),0.5)</f>
        <v>0.5</v>
      </c>
      <c r="S2038" s="4" t="str">
        <f>IFERROR(__xludf.DUMMYFUNCTION("""COMPUTED_VALUE"""),"null")</f>
        <v>null</v>
      </c>
      <c r="T2038" s="33">
        <f>IFERROR(__xludf.DUMMYFUNCTION("""COMPUTED_VALUE"""),0.75)</f>
        <v>0.75</v>
      </c>
      <c r="U2038" s="4" t="str">
        <f>IFERROR(__xludf.DUMMYFUNCTION("""COMPUTED_VALUE"""),"null")</f>
        <v>null</v>
      </c>
      <c r="V2038" s="33">
        <f>IFERROR(__xludf.DUMMYFUNCTION("""COMPUTED_VALUE"""),0.5)</f>
        <v>0.5</v>
      </c>
      <c r="W2038" s="4" t="str">
        <f>IFERROR(__xludf.DUMMYFUNCTION("""COMPUTED_VALUE"""),"null")</f>
        <v>null</v>
      </c>
      <c r="X2038" s="33">
        <f>IFERROR(__xludf.DUMMYFUNCTION("""COMPUTED_VALUE"""),0.5)</f>
        <v>0.5</v>
      </c>
    </row>
    <row r="2039">
      <c r="K2039" s="4" t="str">
        <f>IFERROR(__xludf.DUMMYFUNCTION("""COMPUTED_VALUE"""),"COXINHA EXPRESS")</f>
        <v>COXINHA EXPRESS</v>
      </c>
      <c r="L2039" s="32">
        <f>IFERROR(__xludf.DUMMYFUNCTION("""COMPUTED_VALUE"""),4.0)</f>
        <v>4</v>
      </c>
      <c r="M2039" s="4" t="str">
        <f>IFERROR(__xludf.DUMMYFUNCTION("""COMPUTED_VALUE"""),"null")</f>
        <v>null</v>
      </c>
      <c r="N2039" s="33">
        <f>IFERROR(__xludf.DUMMYFUNCTION("""COMPUTED_VALUE"""),0.5)</f>
        <v>0.5</v>
      </c>
      <c r="O2039" s="4" t="str">
        <f>IFERROR(__xludf.DUMMYFUNCTION("""COMPUTED_VALUE"""),"null")</f>
        <v>null</v>
      </c>
      <c r="P2039" s="33">
        <f>IFERROR(__xludf.DUMMYFUNCTION("""COMPUTED_VALUE"""),1.0)</f>
        <v>1</v>
      </c>
      <c r="Q2039" s="4" t="str">
        <f>IFERROR(__xludf.DUMMYFUNCTION("""COMPUTED_VALUE"""),"null")</f>
        <v>null</v>
      </c>
      <c r="R2039" s="33">
        <f>IFERROR(__xludf.DUMMYFUNCTION("""COMPUTED_VALUE"""),1.0)</f>
        <v>1</v>
      </c>
      <c r="S2039" s="4" t="str">
        <f>IFERROR(__xludf.DUMMYFUNCTION("""COMPUTED_VALUE"""),"null")</f>
        <v>null</v>
      </c>
      <c r="T2039" s="33">
        <f>IFERROR(__xludf.DUMMYFUNCTION("""COMPUTED_VALUE"""),0.75)</f>
        <v>0.75</v>
      </c>
      <c r="U2039" s="4" t="str">
        <f>IFERROR(__xludf.DUMMYFUNCTION("""COMPUTED_VALUE"""),"Saipos Serviços De Software")</f>
        <v>Saipos Serviços De Software</v>
      </c>
      <c r="V2039" s="33">
        <f>IFERROR(__xludf.DUMMYFUNCTION("""COMPUTED_VALUE"""),0.5)</f>
        <v>0.5</v>
      </c>
      <c r="W2039" s="4" t="str">
        <f>IFERROR(__xludf.DUMMYFUNCTION("""COMPUTED_VALUE"""),"null")</f>
        <v>null</v>
      </c>
      <c r="X2039" s="33">
        <f>IFERROR(__xludf.DUMMYFUNCTION("""COMPUTED_VALUE"""),1.0)</f>
        <v>1</v>
      </c>
    </row>
    <row r="2040">
      <c r="K2040" s="4" t="str">
        <f>IFERROR(__xludf.DUMMYFUNCTION("""COMPUTED_VALUE"""),"TEXAS BURGUER")</f>
        <v>TEXAS BURGUER</v>
      </c>
      <c r="L2040" s="32">
        <f>IFERROR(__xludf.DUMMYFUNCTION("""COMPUTED_VALUE"""),4.0)</f>
        <v>4</v>
      </c>
      <c r="M2040" s="4" t="str">
        <f>IFERROR(__xludf.DUMMYFUNCTION("""COMPUTED_VALUE"""),"Anota Ai Solucoes Digitais S/a")</f>
        <v>Anota Ai Solucoes Digitais S/a</v>
      </c>
      <c r="N2040" s="33">
        <f>IFERROR(__xludf.DUMMYFUNCTION("""COMPUTED_VALUE"""),0.5)</f>
        <v>0.5</v>
      </c>
      <c r="O2040" s="4" t="str">
        <f>IFERROR(__xludf.DUMMYFUNCTION("""COMPUTED_VALUE"""),"Anota Ai Solucoes Digitais S/a")</f>
        <v>Anota Ai Solucoes Digitais S/a</v>
      </c>
      <c r="P2040" s="33">
        <f>IFERROR(__xludf.DUMMYFUNCTION("""COMPUTED_VALUE"""),0.5)</f>
        <v>0.5</v>
      </c>
      <c r="Q2040" s="4" t="str">
        <f>IFERROR(__xludf.DUMMYFUNCTION("""COMPUTED_VALUE"""),"Anota Ai Solucoes Digitais S/a")</f>
        <v>Anota Ai Solucoes Digitais S/a</v>
      </c>
      <c r="R2040" s="33">
        <f>IFERROR(__xludf.DUMMYFUNCTION("""COMPUTED_VALUE"""),0.5)</f>
        <v>0.5</v>
      </c>
      <c r="S2040" s="4" t="str">
        <f>IFERROR(__xludf.DUMMYFUNCTION("""COMPUTED_VALUE"""),"Anota Ai Solucoes Digitais S/a")</f>
        <v>Anota Ai Solucoes Digitais S/a</v>
      </c>
      <c r="T2040" s="33">
        <f>IFERROR(__xludf.DUMMYFUNCTION("""COMPUTED_VALUE"""),0.5)</f>
        <v>0.5</v>
      </c>
      <c r="U2040" s="4" t="str">
        <f>IFERROR(__xludf.DUMMYFUNCTION("""COMPUTED_VALUE"""),"Anota Ai Solucoes Digitais S/a")</f>
        <v>Anota Ai Solucoes Digitais S/a</v>
      </c>
      <c r="V2040" s="33">
        <f>IFERROR(__xludf.DUMMYFUNCTION("""COMPUTED_VALUE"""),0.75)</f>
        <v>0.75</v>
      </c>
      <c r="W2040" s="4" t="str">
        <f>IFERROR(__xludf.DUMMYFUNCTION("""COMPUTED_VALUE"""),"Anota Ai Solucoes Digitais S/a")</f>
        <v>Anota Ai Solucoes Digitais S/a</v>
      </c>
      <c r="X2040" s="33">
        <f>IFERROR(__xludf.DUMMYFUNCTION("""COMPUTED_VALUE"""),0.75)</f>
        <v>0.75</v>
      </c>
    </row>
    <row r="2041">
      <c r="K2041" s="4" t="str">
        <f>IFERROR(__xludf.DUMMYFUNCTION("""COMPUTED_VALUE"""),"VERITA - SAUDAVEL DE VERDADE")</f>
        <v>VERITA - SAUDAVEL DE VERDADE</v>
      </c>
      <c r="L2041" s="32">
        <f>IFERROR(__xludf.DUMMYFUNCTION("""COMPUTED_VALUE"""),4.0)</f>
        <v>4</v>
      </c>
      <c r="M2041" s="4" t="str">
        <f>IFERROR(__xludf.DUMMYFUNCTION("""COMPUTED_VALUE"""),"Teknisa Service Ltda")</f>
        <v>Teknisa Service Ltda</v>
      </c>
      <c r="N2041" s="33">
        <f>IFERROR(__xludf.DUMMYFUNCTION("""COMPUTED_VALUE"""),0.75)</f>
        <v>0.75</v>
      </c>
      <c r="O2041" s="4" t="str">
        <f>IFERROR(__xludf.DUMMYFUNCTION("""COMPUTED_VALUE"""),"Teknisa Service Ltda")</f>
        <v>Teknisa Service Ltda</v>
      </c>
      <c r="P2041" s="33">
        <f>IFERROR(__xludf.DUMMYFUNCTION("""COMPUTED_VALUE"""),1.0)</f>
        <v>1</v>
      </c>
      <c r="Q2041" s="4" t="str">
        <f>IFERROR(__xludf.DUMMYFUNCTION("""COMPUTED_VALUE"""),"Teknisa Service Ltda")</f>
        <v>Teknisa Service Ltda</v>
      </c>
      <c r="R2041" s="33">
        <f>IFERROR(__xludf.DUMMYFUNCTION("""COMPUTED_VALUE"""),0.75)</f>
        <v>0.75</v>
      </c>
      <c r="S2041" s="4" t="str">
        <f>IFERROR(__xludf.DUMMYFUNCTION("""COMPUTED_VALUE"""),"Teknisa Service Ltda")</f>
        <v>Teknisa Service Ltda</v>
      </c>
      <c r="T2041" s="33">
        <f>IFERROR(__xludf.DUMMYFUNCTION("""COMPUTED_VALUE"""),0.75)</f>
        <v>0.75</v>
      </c>
      <c r="U2041" s="4" t="str">
        <f>IFERROR(__xludf.DUMMYFUNCTION("""COMPUTED_VALUE"""),"Teknisa Service Ltda")</f>
        <v>Teknisa Service Ltda</v>
      </c>
      <c r="V2041" s="33">
        <f>IFERROR(__xludf.DUMMYFUNCTION("""COMPUTED_VALUE"""),1.0)</f>
        <v>1</v>
      </c>
      <c r="W2041" s="4" t="str">
        <f>IFERROR(__xludf.DUMMYFUNCTION("""COMPUTED_VALUE"""),"Teknisa Service Ltda")</f>
        <v>Teknisa Service Ltda</v>
      </c>
      <c r="X2041" s="33">
        <f>IFERROR(__xludf.DUMMYFUNCTION("""COMPUTED_VALUE"""),0.75)</f>
        <v>0.75</v>
      </c>
    </row>
    <row r="2042">
      <c r="K2042" s="4" t="str">
        <f>IFERROR(__xludf.DUMMYFUNCTION("""COMPUTED_VALUE"""),"PEDE ACAI")</f>
        <v>PEDE ACAI</v>
      </c>
      <c r="L2042" s="32">
        <f>IFERROR(__xludf.DUMMYFUNCTION("""COMPUTED_VALUE"""),4.0)</f>
        <v>4</v>
      </c>
      <c r="M2042" s="4" t="str">
        <f>IFERROR(__xludf.DUMMYFUNCTION("""COMPUTED_VALUE"""),"Grsoft")</f>
        <v>Grsoft</v>
      </c>
      <c r="N2042" s="33">
        <f>IFERROR(__xludf.DUMMYFUNCTION("""COMPUTED_VALUE"""),0.5)</f>
        <v>0.5</v>
      </c>
      <c r="O2042" s="4" t="str">
        <f>IFERROR(__xludf.DUMMYFUNCTION("""COMPUTED_VALUE"""),"Grsoft")</f>
        <v>Grsoft</v>
      </c>
      <c r="P2042" s="33">
        <f>IFERROR(__xludf.DUMMYFUNCTION("""COMPUTED_VALUE"""),0.5)</f>
        <v>0.5</v>
      </c>
      <c r="Q2042" s="4" t="str">
        <f>IFERROR(__xludf.DUMMYFUNCTION("""COMPUTED_VALUE"""),"Grsoft")</f>
        <v>Grsoft</v>
      </c>
      <c r="R2042" s="33">
        <f>IFERROR(__xludf.DUMMYFUNCTION("""COMPUTED_VALUE"""),0.5)</f>
        <v>0.5</v>
      </c>
      <c r="S2042" s="4" t="str">
        <f>IFERROR(__xludf.DUMMYFUNCTION("""COMPUTED_VALUE"""),"Grsoft")</f>
        <v>Grsoft</v>
      </c>
      <c r="T2042" s="33">
        <f>IFERROR(__xludf.DUMMYFUNCTION("""COMPUTED_VALUE"""),0.5)</f>
        <v>0.5</v>
      </c>
      <c r="U2042" s="4" t="str">
        <f>IFERROR(__xludf.DUMMYFUNCTION("""COMPUTED_VALUE"""),"Grsoft")</f>
        <v>Grsoft</v>
      </c>
      <c r="V2042" s="33">
        <f>IFERROR(__xludf.DUMMYFUNCTION("""COMPUTED_VALUE"""),0.5)</f>
        <v>0.5</v>
      </c>
      <c r="W2042" s="4" t="str">
        <f>IFERROR(__xludf.DUMMYFUNCTION("""COMPUTED_VALUE"""),"Grsoft")</f>
        <v>Grsoft</v>
      </c>
      <c r="X2042" s="33">
        <f>IFERROR(__xludf.DUMMYFUNCTION("""COMPUTED_VALUE"""),0.5)</f>
        <v>0.5</v>
      </c>
    </row>
    <row r="2043">
      <c r="K2043" s="4" t="str">
        <f>IFERROR(__xludf.DUMMYFUNCTION("""COMPUTED_VALUE"""),"ARMAZEM DA PIZZA")</f>
        <v>ARMAZEM DA PIZZA</v>
      </c>
      <c r="L2043" s="32">
        <f>IFERROR(__xludf.DUMMYFUNCTION("""COMPUTED_VALUE"""),4.0)</f>
        <v>4</v>
      </c>
      <c r="M2043" s="4" t="str">
        <f>IFERROR(__xludf.DUMMYFUNCTION("""COMPUTED_VALUE"""),"null")</f>
        <v>null</v>
      </c>
      <c r="N2043" s="33">
        <f>IFERROR(__xludf.DUMMYFUNCTION("""COMPUTED_VALUE"""),0.25)</f>
        <v>0.25</v>
      </c>
      <c r="O2043" s="4" t="str">
        <f>IFERROR(__xludf.DUMMYFUNCTION("""COMPUTED_VALUE"""),"null")</f>
        <v>null</v>
      </c>
      <c r="P2043" s="33">
        <f>IFERROR(__xludf.DUMMYFUNCTION("""COMPUTED_VALUE"""),0.25)</f>
        <v>0.25</v>
      </c>
      <c r="Q2043" s="4" t="str">
        <f>IFERROR(__xludf.DUMMYFUNCTION("""COMPUTED_VALUE"""),"null")</f>
        <v>null</v>
      </c>
      <c r="R2043" s="33">
        <f>IFERROR(__xludf.DUMMYFUNCTION("""COMPUTED_VALUE"""),0.75)</f>
        <v>0.75</v>
      </c>
      <c r="S2043" s="4" t="str">
        <f>IFERROR(__xludf.DUMMYFUNCTION("""COMPUTED_VALUE"""),"null")</f>
        <v>null</v>
      </c>
      <c r="T2043" s="33">
        <f>IFERROR(__xludf.DUMMYFUNCTION("""COMPUTED_VALUE"""),0.5)</f>
        <v>0.5</v>
      </c>
      <c r="U2043" s="4" t="str">
        <f>IFERROR(__xludf.DUMMYFUNCTION("""COMPUTED_VALUE"""),"Mp Multipedidos")</f>
        <v>Mp Multipedidos</v>
      </c>
      <c r="V2043" s="33">
        <f>IFERROR(__xludf.DUMMYFUNCTION("""COMPUTED_VALUE"""),0.25)</f>
        <v>0.25</v>
      </c>
      <c r="W2043" s="4" t="str">
        <f>IFERROR(__xludf.DUMMYFUNCTION("""COMPUTED_VALUE"""),"Mp Multipedidos")</f>
        <v>Mp Multipedidos</v>
      </c>
      <c r="X2043" s="33">
        <f>IFERROR(__xludf.DUMMYFUNCTION("""COMPUTED_VALUE"""),0.25)</f>
        <v>0.25</v>
      </c>
    </row>
    <row r="2044">
      <c r="K2044" s="4" t="str">
        <f>IFERROR(__xludf.DUMMYFUNCTION("""COMPUTED_VALUE"""),"PIZZARIA NAPOLES")</f>
        <v>PIZZARIA NAPOLES</v>
      </c>
      <c r="L2044" s="32">
        <f>IFERROR(__xludf.DUMMYFUNCTION("""COMPUTED_VALUE"""),4.0)</f>
        <v>4</v>
      </c>
      <c r="M2044" s="4" t="str">
        <f>IFERROR(__xludf.DUMMYFUNCTION("""COMPUTED_VALUE"""),"null")</f>
        <v>null</v>
      </c>
      <c r="N2044" s="33">
        <f>IFERROR(__xludf.DUMMYFUNCTION("""COMPUTED_VALUE"""),0.5)</f>
        <v>0.5</v>
      </c>
      <c r="O2044" s="4" t="str">
        <f>IFERROR(__xludf.DUMMYFUNCTION("""COMPUTED_VALUE"""),"null")</f>
        <v>null</v>
      </c>
      <c r="P2044" s="33">
        <f>IFERROR(__xludf.DUMMYFUNCTION("""COMPUTED_VALUE"""),0.5)</f>
        <v>0.5</v>
      </c>
      <c r="Q2044" s="4" t="str">
        <f>IFERROR(__xludf.DUMMYFUNCTION("""COMPUTED_VALUE"""),"null")</f>
        <v>null</v>
      </c>
      <c r="R2044" s="33">
        <f>IFERROR(__xludf.DUMMYFUNCTION("""COMPUTED_VALUE"""),0.5)</f>
        <v>0.5</v>
      </c>
      <c r="S2044" s="4" t="str">
        <f>IFERROR(__xludf.DUMMYFUNCTION("""COMPUTED_VALUE"""),"null")</f>
        <v>null</v>
      </c>
      <c r="T2044" s="33">
        <f>IFERROR(__xludf.DUMMYFUNCTION("""COMPUTED_VALUE"""),0.75)</f>
        <v>0.75</v>
      </c>
      <c r="U2044" s="4" t="str">
        <f>IFERROR(__xludf.DUMMYFUNCTION("""COMPUTED_VALUE"""),"null")</f>
        <v>null</v>
      </c>
      <c r="V2044" s="33">
        <f>IFERROR(__xludf.DUMMYFUNCTION("""COMPUTED_VALUE"""),0.5)</f>
        <v>0.5</v>
      </c>
      <c r="W2044" s="4" t="str">
        <f>IFERROR(__xludf.DUMMYFUNCTION("""COMPUTED_VALUE"""),"Netcontroll Xmenu")</f>
        <v>Netcontroll Xmenu</v>
      </c>
      <c r="X2044" s="33">
        <f>IFERROR(__xludf.DUMMYFUNCTION("""COMPUTED_VALUE"""),0.5)</f>
        <v>0.5</v>
      </c>
    </row>
    <row r="2045">
      <c r="K2045" s="4" t="str">
        <f>IFERROR(__xludf.DUMMYFUNCTION("""COMPUTED_VALUE"""),"PIZZARIA E ESFIHARIA")</f>
        <v>PIZZARIA E ESFIHARIA</v>
      </c>
      <c r="L2045" s="32">
        <f>IFERROR(__xludf.DUMMYFUNCTION("""COMPUTED_VALUE"""),4.0)</f>
        <v>4</v>
      </c>
      <c r="M2045" s="4" t="str">
        <f>IFERROR(__xludf.DUMMYFUNCTION("""COMPUTED_VALUE"""),"Saipos Serviços De Software")</f>
        <v>Saipos Serviços De Software</v>
      </c>
      <c r="N2045" s="33">
        <f>IFERROR(__xludf.DUMMYFUNCTION("""COMPUTED_VALUE"""),0.5)</f>
        <v>0.5</v>
      </c>
      <c r="O2045" s="4" t="str">
        <f>IFERROR(__xludf.DUMMYFUNCTION("""COMPUTED_VALUE"""),"Infototal Technology")</f>
        <v>Infototal Technology</v>
      </c>
      <c r="P2045" s="33">
        <f>IFERROR(__xludf.DUMMYFUNCTION("""COMPUTED_VALUE"""),0.25)</f>
        <v>0.25</v>
      </c>
      <c r="Q2045" s="4" t="str">
        <f>IFERROR(__xludf.DUMMYFUNCTION("""COMPUTED_VALUE"""),"Infototal Technology")</f>
        <v>Infototal Technology</v>
      </c>
      <c r="R2045" s="33">
        <f>IFERROR(__xludf.DUMMYFUNCTION("""COMPUTED_VALUE"""),0.25)</f>
        <v>0.25</v>
      </c>
      <c r="S2045" s="4" t="str">
        <f>IFERROR(__xludf.DUMMYFUNCTION("""COMPUTED_VALUE"""),"Infototal Technology")</f>
        <v>Infototal Technology</v>
      </c>
      <c r="T2045" s="33">
        <f>IFERROR(__xludf.DUMMYFUNCTION("""COMPUTED_VALUE"""),0.25)</f>
        <v>0.25</v>
      </c>
      <c r="U2045" s="4" t="str">
        <f>IFERROR(__xludf.DUMMYFUNCTION("""COMPUTED_VALUE"""),"Infototal Technology")</f>
        <v>Infototal Technology</v>
      </c>
      <c r="V2045" s="33">
        <f>IFERROR(__xludf.DUMMYFUNCTION("""COMPUTED_VALUE"""),0.25)</f>
        <v>0.25</v>
      </c>
      <c r="W2045" s="4" t="str">
        <f>IFERROR(__xludf.DUMMYFUNCTION("""COMPUTED_VALUE"""),"null")</f>
        <v>null</v>
      </c>
      <c r="X2045" s="33">
        <f>IFERROR(__xludf.DUMMYFUNCTION("""COMPUTED_VALUE"""),0.5)</f>
        <v>0.5</v>
      </c>
    </row>
    <row r="2046">
      <c r="K2046" s="4" t="str">
        <f>IFERROR(__xludf.DUMMYFUNCTION("""COMPUTED_VALUE"""),"ACAI FAVORITO")</f>
        <v>ACAI FAVORITO</v>
      </c>
      <c r="L2046" s="32">
        <f>IFERROR(__xludf.DUMMYFUNCTION("""COMPUTED_VALUE"""),4.0)</f>
        <v>4</v>
      </c>
      <c r="M2046" s="4" t="str">
        <f>IFERROR(__xludf.DUMMYFUNCTION("""COMPUTED_VALUE"""),"null")</f>
        <v>null</v>
      </c>
      <c r="N2046" s="33">
        <f>IFERROR(__xludf.DUMMYFUNCTION("""COMPUTED_VALUE"""),0.5)</f>
        <v>0.5</v>
      </c>
      <c r="O2046" s="4" t="str">
        <f>IFERROR(__xludf.DUMMYFUNCTION("""COMPUTED_VALUE"""),"null")</f>
        <v>null</v>
      </c>
      <c r="P2046" s="33">
        <f>IFERROR(__xludf.DUMMYFUNCTION("""COMPUTED_VALUE"""),0.5)</f>
        <v>0.5</v>
      </c>
      <c r="Q2046" s="4" t="str">
        <f>IFERROR(__xludf.DUMMYFUNCTION("""COMPUTED_VALUE"""),"null")</f>
        <v>null</v>
      </c>
      <c r="R2046" s="33">
        <f>IFERROR(__xludf.DUMMYFUNCTION("""COMPUTED_VALUE"""),0.5)</f>
        <v>0.5</v>
      </c>
      <c r="S2046" s="4" t="str">
        <f>IFERROR(__xludf.DUMMYFUNCTION("""COMPUTED_VALUE"""),"Instadelivery")</f>
        <v>Instadelivery</v>
      </c>
      <c r="T2046" s="33">
        <f>IFERROR(__xludf.DUMMYFUNCTION("""COMPUTED_VALUE"""),0.5)</f>
        <v>0.5</v>
      </c>
      <c r="U2046" s="4" t="str">
        <f>IFERROR(__xludf.DUMMYFUNCTION("""COMPUTED_VALUE"""),"Instadelivery")</f>
        <v>Instadelivery</v>
      </c>
      <c r="V2046" s="33">
        <f>IFERROR(__xludf.DUMMYFUNCTION("""COMPUTED_VALUE"""),0.5)</f>
        <v>0.5</v>
      </c>
      <c r="W2046" s="4" t="str">
        <f>IFERROR(__xludf.DUMMYFUNCTION("""COMPUTED_VALUE"""),"Instadelivery")</f>
        <v>Instadelivery</v>
      </c>
      <c r="X2046" s="33">
        <f>IFERROR(__xludf.DUMMYFUNCTION("""COMPUTED_VALUE"""),0.5)</f>
        <v>0.5</v>
      </c>
    </row>
    <row r="2047">
      <c r="K2047" s="4" t="str">
        <f>IFERROR(__xludf.DUMMYFUNCTION("""COMPUTED_VALUE"""),"SENSEI SUSHI")</f>
        <v>SENSEI SUSHI</v>
      </c>
      <c r="L2047" s="32">
        <f>IFERROR(__xludf.DUMMYFUNCTION("""COMPUTED_VALUE"""),4.0)</f>
        <v>4</v>
      </c>
      <c r="M2047" s="4" t="str">
        <f>IFERROR(__xludf.DUMMYFUNCTION("""COMPUTED_VALUE"""),"Consumer Soluções Em Tecnologia Ltda")</f>
        <v>Consumer Soluções Em Tecnologia Ltda</v>
      </c>
      <c r="N2047" s="33">
        <f>IFERROR(__xludf.DUMMYFUNCTION("""COMPUTED_VALUE"""),0.5)</f>
        <v>0.5</v>
      </c>
      <c r="O2047" s="4" t="str">
        <f>IFERROR(__xludf.DUMMYFUNCTION("""COMPUTED_VALUE"""),"null")</f>
        <v>null</v>
      </c>
      <c r="P2047" s="33">
        <f>IFERROR(__xludf.DUMMYFUNCTION("""COMPUTED_VALUE"""),0.5)</f>
        <v>0.5</v>
      </c>
      <c r="Q2047" s="4" t="str">
        <f>IFERROR(__xludf.DUMMYFUNCTION("""COMPUTED_VALUE"""),"Consumer Soluções Em Tecnologia Ltda")</f>
        <v>Consumer Soluções Em Tecnologia Ltda</v>
      </c>
      <c r="R2047" s="33">
        <f>IFERROR(__xludf.DUMMYFUNCTION("""COMPUTED_VALUE"""),0.5)</f>
        <v>0.5</v>
      </c>
      <c r="S2047" s="4" t="str">
        <f>IFERROR(__xludf.DUMMYFUNCTION("""COMPUTED_VALUE"""),"null")</f>
        <v>null</v>
      </c>
      <c r="T2047" s="33">
        <f>IFERROR(__xludf.DUMMYFUNCTION("""COMPUTED_VALUE"""),0.25)</f>
        <v>0.25</v>
      </c>
      <c r="U2047" s="4" t="str">
        <f>IFERROR(__xludf.DUMMYFUNCTION("""COMPUTED_VALUE"""),"null")</f>
        <v>null</v>
      </c>
      <c r="V2047" s="33">
        <f>IFERROR(__xludf.DUMMYFUNCTION("""COMPUTED_VALUE"""),0.25)</f>
        <v>0.25</v>
      </c>
      <c r="W2047" s="4" t="str">
        <f>IFERROR(__xludf.DUMMYFUNCTION("""COMPUTED_VALUE"""),"Consumer Soluções Em Tecnologia Ltda")</f>
        <v>Consumer Soluções Em Tecnologia Ltda</v>
      </c>
      <c r="X2047" s="33">
        <f>IFERROR(__xludf.DUMMYFUNCTION("""COMPUTED_VALUE"""),0.5)</f>
        <v>0.5</v>
      </c>
    </row>
    <row r="2048">
      <c r="K2048" s="4" t="str">
        <f>IFERROR(__xludf.DUMMYFUNCTION("""COMPUTED_VALUE"""),"IMPERIO DO ESPETO")</f>
        <v>IMPERIO DO ESPETO</v>
      </c>
      <c r="L2048" s="32">
        <f>IFERROR(__xludf.DUMMYFUNCTION("""COMPUTED_VALUE"""),4.0)</f>
        <v>4</v>
      </c>
      <c r="M2048" s="4" t="str">
        <f>IFERROR(__xludf.DUMMYFUNCTION("""COMPUTED_VALUE"""),"Netcontroll Xmenu")</f>
        <v>Netcontroll Xmenu</v>
      </c>
      <c r="N2048" s="33">
        <f>IFERROR(__xludf.DUMMYFUNCTION("""COMPUTED_VALUE"""),0.75)</f>
        <v>0.75</v>
      </c>
      <c r="O2048" s="4" t="str">
        <f>IFERROR(__xludf.DUMMYFUNCTION("""COMPUTED_VALUE"""),"Netcontroll Xmenu")</f>
        <v>Netcontroll Xmenu</v>
      </c>
      <c r="P2048" s="33">
        <f>IFERROR(__xludf.DUMMYFUNCTION("""COMPUTED_VALUE"""),0.75)</f>
        <v>0.75</v>
      </c>
      <c r="Q2048" s="4" t="str">
        <f>IFERROR(__xludf.DUMMYFUNCTION("""COMPUTED_VALUE"""),"Netcontroll Xmenu")</f>
        <v>Netcontroll Xmenu</v>
      </c>
      <c r="R2048" s="33">
        <f>IFERROR(__xludf.DUMMYFUNCTION("""COMPUTED_VALUE"""),0.75)</f>
        <v>0.75</v>
      </c>
      <c r="S2048" s="4" t="str">
        <f>IFERROR(__xludf.DUMMYFUNCTION("""COMPUTED_VALUE"""),"null")</f>
        <v>null</v>
      </c>
      <c r="T2048" s="33">
        <f>IFERROR(__xludf.DUMMYFUNCTION("""COMPUTED_VALUE"""),0.5)</f>
        <v>0.5</v>
      </c>
      <c r="U2048" s="4" t="str">
        <f>IFERROR(__xludf.DUMMYFUNCTION("""COMPUTED_VALUE"""),"null")</f>
        <v>null</v>
      </c>
      <c r="V2048" s="33">
        <f>IFERROR(__xludf.DUMMYFUNCTION("""COMPUTED_VALUE"""),0.5)</f>
        <v>0.5</v>
      </c>
      <c r="W2048" s="4" t="str">
        <f>IFERROR(__xludf.DUMMYFUNCTION("""COMPUTED_VALUE"""),"Netcontroll Xmenu")</f>
        <v>Netcontroll Xmenu</v>
      </c>
      <c r="X2048" s="33">
        <f>IFERROR(__xludf.DUMMYFUNCTION("""COMPUTED_VALUE"""),0.75)</f>
        <v>0.75</v>
      </c>
    </row>
    <row r="2049">
      <c r="K2049" s="4" t="str">
        <f>IFERROR(__xludf.DUMMYFUNCTION("""COMPUTED_VALUE"""),"RESTAURANTE AVENIDA")</f>
        <v>RESTAURANTE AVENIDA</v>
      </c>
      <c r="L2049" s="32">
        <f>IFERROR(__xludf.DUMMYFUNCTION("""COMPUTED_VALUE"""),4.0)</f>
        <v>4</v>
      </c>
      <c r="M2049" s="4" t="str">
        <f>IFERROR(__xludf.DUMMYFUNCTION("""COMPUTED_VALUE"""),"Anota Ai Solucoes Digitais S/a")</f>
        <v>Anota Ai Solucoes Digitais S/a</v>
      </c>
      <c r="N2049" s="33">
        <f>IFERROR(__xludf.DUMMYFUNCTION("""COMPUTED_VALUE"""),0.5)</f>
        <v>0.5</v>
      </c>
      <c r="O2049" s="4" t="str">
        <f>IFERROR(__xludf.DUMMYFUNCTION("""COMPUTED_VALUE"""),"Anota Ai Solucoes Digitais S/a")</f>
        <v>Anota Ai Solucoes Digitais S/a</v>
      </c>
      <c r="P2049" s="33">
        <f>IFERROR(__xludf.DUMMYFUNCTION("""COMPUTED_VALUE"""),0.5)</f>
        <v>0.5</v>
      </c>
      <c r="Q2049" s="4" t="str">
        <f>IFERROR(__xludf.DUMMYFUNCTION("""COMPUTED_VALUE"""),"Anota Ai Solucoes Digitais S/a")</f>
        <v>Anota Ai Solucoes Digitais S/a</v>
      </c>
      <c r="R2049" s="33">
        <f>IFERROR(__xludf.DUMMYFUNCTION("""COMPUTED_VALUE"""),0.5)</f>
        <v>0.5</v>
      </c>
      <c r="S2049" s="4" t="str">
        <f>IFERROR(__xludf.DUMMYFUNCTION("""COMPUTED_VALUE"""),"Anota Ai Solucoes Digitais S/a")</f>
        <v>Anota Ai Solucoes Digitais S/a</v>
      </c>
      <c r="T2049" s="33">
        <f>IFERROR(__xludf.DUMMYFUNCTION("""COMPUTED_VALUE"""),0.5)</f>
        <v>0.5</v>
      </c>
      <c r="U2049" s="4" t="str">
        <f>IFERROR(__xludf.DUMMYFUNCTION("""COMPUTED_VALUE"""),"null")</f>
        <v>null</v>
      </c>
      <c r="V2049" s="33">
        <f>IFERROR(__xludf.DUMMYFUNCTION("""COMPUTED_VALUE"""),0.5)</f>
        <v>0.5</v>
      </c>
      <c r="W2049" s="4" t="str">
        <f>IFERROR(__xludf.DUMMYFUNCTION("""COMPUTED_VALUE"""),"null")</f>
        <v>null</v>
      </c>
      <c r="X2049" s="33">
        <f>IFERROR(__xludf.DUMMYFUNCTION("""COMPUTED_VALUE"""),0.5)</f>
        <v>0.5</v>
      </c>
    </row>
    <row r="2050">
      <c r="K2050" s="4" t="str">
        <f>IFERROR(__xludf.DUMMYFUNCTION("""COMPUTED_VALUE"""),"FARMACENTER")</f>
        <v>FARMACENTER</v>
      </c>
      <c r="L2050" s="32">
        <f>IFERROR(__xludf.DUMMYFUNCTION("""COMPUTED_VALUE"""),4.0)</f>
        <v>4</v>
      </c>
      <c r="M2050" s="4" t="str">
        <f>IFERROR(__xludf.DUMMYFUNCTION("""COMPUTED_VALUE"""),"N/A (Not found)")</f>
        <v>N/A (Not found)</v>
      </c>
      <c r="N2050" s="33">
        <f>IFERROR(__xludf.DUMMYFUNCTION("""COMPUTED_VALUE"""),0.5)</f>
        <v>0.5</v>
      </c>
      <c r="O2050" s="4" t="str">
        <f>IFERROR(__xludf.DUMMYFUNCTION("""COMPUTED_VALUE"""),"N/A (Not found)")</f>
        <v>N/A (Not found)</v>
      </c>
      <c r="P2050" s="33">
        <f>IFERROR(__xludf.DUMMYFUNCTION("""COMPUTED_VALUE"""),0.75)</f>
        <v>0.75</v>
      </c>
      <c r="Q2050" s="4" t="str">
        <f>IFERROR(__xludf.DUMMYFUNCTION("""COMPUTED_VALUE"""),"N/A (Not found)")</f>
        <v>N/A (Not found)</v>
      </c>
      <c r="R2050" s="33">
        <f>IFERROR(__xludf.DUMMYFUNCTION("""COMPUTED_VALUE"""),1.0)</f>
        <v>1</v>
      </c>
      <c r="S2050" s="4" t="str">
        <f>IFERROR(__xludf.DUMMYFUNCTION("""COMPUTED_VALUE"""),"N/A (Not found)")</f>
        <v>N/A (Not found)</v>
      </c>
      <c r="T2050" s="33">
        <f>IFERROR(__xludf.DUMMYFUNCTION("""COMPUTED_VALUE"""),0.75)</f>
        <v>0.75</v>
      </c>
      <c r="U2050" s="4" t="str">
        <f>IFERROR(__xludf.DUMMYFUNCTION("""COMPUTED_VALUE"""),"N/A (Not found)")</f>
        <v>N/A (Not found)</v>
      </c>
      <c r="V2050" s="33">
        <f>IFERROR(__xludf.DUMMYFUNCTION("""COMPUTED_VALUE"""),0.75)</f>
        <v>0.75</v>
      </c>
      <c r="W2050" s="4" t="str">
        <f>IFERROR(__xludf.DUMMYFUNCTION("""COMPUTED_VALUE"""),"N/A (Not found)")</f>
        <v>N/A (Not found)</v>
      </c>
      <c r="X2050" s="33">
        <f>IFERROR(__xludf.DUMMYFUNCTION("""COMPUTED_VALUE"""),0.75)</f>
        <v>0.75</v>
      </c>
    </row>
    <row r="2051">
      <c r="K2051" s="4" t="str">
        <f>IFERROR(__xludf.DUMMYFUNCTION("""COMPUTED_VALUE"""),"MARMITARIA DO CHEF")</f>
        <v>MARMITARIA DO CHEF</v>
      </c>
      <c r="L2051" s="32">
        <f>IFERROR(__xludf.DUMMYFUNCTION("""COMPUTED_VALUE"""),4.0)</f>
        <v>4</v>
      </c>
      <c r="M2051" s="4" t="str">
        <f>IFERROR(__xludf.DUMMYFUNCTION("""COMPUTED_VALUE"""),"Gama Tecnologias Ltda")</f>
        <v>Gama Tecnologias Ltda</v>
      </c>
      <c r="N2051" s="33">
        <f>IFERROR(__xludf.DUMMYFUNCTION("""COMPUTED_VALUE"""),0.25)</f>
        <v>0.25</v>
      </c>
      <c r="O2051" s="4" t="str">
        <f>IFERROR(__xludf.DUMMYFUNCTION("""COMPUTED_VALUE"""),"Gama Tecnologias Ltda")</f>
        <v>Gama Tecnologias Ltda</v>
      </c>
      <c r="P2051" s="33">
        <f>IFERROR(__xludf.DUMMYFUNCTION("""COMPUTED_VALUE"""),0.25)</f>
        <v>0.25</v>
      </c>
      <c r="Q2051" s="4" t="str">
        <f>IFERROR(__xludf.DUMMYFUNCTION("""COMPUTED_VALUE"""),"Gama Tecnologias Ltda")</f>
        <v>Gama Tecnologias Ltda</v>
      </c>
      <c r="R2051" s="33">
        <f>IFERROR(__xludf.DUMMYFUNCTION("""COMPUTED_VALUE"""),0.25)</f>
        <v>0.25</v>
      </c>
      <c r="S2051" s="4" t="str">
        <f>IFERROR(__xludf.DUMMYFUNCTION("""COMPUTED_VALUE"""),"Gama Tecnologias Ltda")</f>
        <v>Gama Tecnologias Ltda</v>
      </c>
      <c r="T2051" s="33">
        <f>IFERROR(__xludf.DUMMYFUNCTION("""COMPUTED_VALUE"""),0.25)</f>
        <v>0.25</v>
      </c>
      <c r="U2051" s="4" t="str">
        <f>IFERROR(__xludf.DUMMYFUNCTION("""COMPUTED_VALUE"""),"Gama Tecnologias Ltda")</f>
        <v>Gama Tecnologias Ltda</v>
      </c>
      <c r="V2051" s="33">
        <f>IFERROR(__xludf.DUMMYFUNCTION("""COMPUTED_VALUE"""),0.25)</f>
        <v>0.25</v>
      </c>
      <c r="W2051" s="4" t="str">
        <f>IFERROR(__xludf.DUMMYFUNCTION("""COMPUTED_VALUE"""),"Gama Tecnologias Ltda")</f>
        <v>Gama Tecnologias Ltda</v>
      </c>
      <c r="X2051" s="33">
        <f>IFERROR(__xludf.DUMMYFUNCTION("""COMPUTED_VALUE"""),0.25)</f>
        <v>0.25</v>
      </c>
    </row>
    <row r="2052">
      <c r="K2052" s="4" t="str">
        <f>IFERROR(__xludf.DUMMYFUNCTION("""COMPUTED_VALUE"""),"MEGA PIZZA")</f>
        <v>MEGA PIZZA</v>
      </c>
      <c r="L2052" s="32">
        <f>IFERROR(__xludf.DUMMYFUNCTION("""COMPUTED_VALUE"""),4.0)</f>
        <v>4</v>
      </c>
      <c r="M2052" s="4" t="str">
        <f>IFERROR(__xludf.DUMMYFUNCTION("""COMPUTED_VALUE"""),"Saipos Serviços De Software")</f>
        <v>Saipos Serviços De Software</v>
      </c>
      <c r="N2052" s="33">
        <f>IFERROR(__xludf.DUMMYFUNCTION("""COMPUTED_VALUE"""),0.5)</f>
        <v>0.5</v>
      </c>
      <c r="O2052" s="4" t="str">
        <f>IFERROR(__xludf.DUMMYFUNCTION("""COMPUTED_VALUE"""),"Saipos Serviços De Software")</f>
        <v>Saipos Serviços De Software</v>
      </c>
      <c r="P2052" s="33">
        <f>IFERROR(__xludf.DUMMYFUNCTION("""COMPUTED_VALUE"""),0.5)</f>
        <v>0.5</v>
      </c>
      <c r="Q2052" s="4" t="str">
        <f>IFERROR(__xludf.DUMMYFUNCTION("""COMPUTED_VALUE"""),"Saipos Serviços De Software")</f>
        <v>Saipos Serviços De Software</v>
      </c>
      <c r="R2052" s="33">
        <f>IFERROR(__xludf.DUMMYFUNCTION("""COMPUTED_VALUE"""),0.5)</f>
        <v>0.5</v>
      </c>
      <c r="S2052" s="4" t="str">
        <f>IFERROR(__xludf.DUMMYFUNCTION("""COMPUTED_VALUE"""),"Saipos Serviços De Software")</f>
        <v>Saipos Serviços De Software</v>
      </c>
      <c r="T2052" s="33">
        <f>IFERROR(__xludf.DUMMYFUNCTION("""COMPUTED_VALUE"""),0.75)</f>
        <v>0.75</v>
      </c>
      <c r="U2052" s="4" t="str">
        <f>IFERROR(__xludf.DUMMYFUNCTION("""COMPUTED_VALUE"""),"Saipos Serviços De Software")</f>
        <v>Saipos Serviços De Software</v>
      </c>
      <c r="V2052" s="33">
        <f>IFERROR(__xludf.DUMMYFUNCTION("""COMPUTED_VALUE"""),0.75)</f>
        <v>0.75</v>
      </c>
      <c r="W2052" s="4" t="str">
        <f>IFERROR(__xludf.DUMMYFUNCTION("""COMPUTED_VALUE"""),"Saipos Serviços De Software")</f>
        <v>Saipos Serviços De Software</v>
      </c>
      <c r="X2052" s="33">
        <f>IFERROR(__xludf.DUMMYFUNCTION("""COMPUTED_VALUE"""),0.75)</f>
        <v>0.75</v>
      </c>
    </row>
    <row r="2053">
      <c r="K2053" s="4" t="str">
        <f>IFERROR(__xludf.DUMMYFUNCTION("""COMPUTED_VALUE"""),"DROGARIA TOTAL")</f>
        <v>DROGARIA TOTAL</v>
      </c>
      <c r="L2053" s="32">
        <f>IFERROR(__xludf.DUMMYFUNCTION("""COMPUTED_VALUE"""),4.0)</f>
        <v>4</v>
      </c>
      <c r="M2053" s="4" t="str">
        <f>IFERROR(__xludf.DUMMYFUNCTION("""COMPUTED_VALUE"""),"N/A (Not found)")</f>
        <v>N/A (Not found)</v>
      </c>
      <c r="N2053" s="33">
        <f>IFERROR(__xludf.DUMMYFUNCTION("""COMPUTED_VALUE"""),0.75)</f>
        <v>0.75</v>
      </c>
      <c r="O2053" s="4" t="str">
        <f>IFERROR(__xludf.DUMMYFUNCTION("""COMPUTED_VALUE"""),"N/A (Not found)")</f>
        <v>N/A (Not found)</v>
      </c>
      <c r="P2053" s="33">
        <f>IFERROR(__xludf.DUMMYFUNCTION("""COMPUTED_VALUE"""),0.75)</f>
        <v>0.75</v>
      </c>
      <c r="Q2053" s="4" t="str">
        <f>IFERROR(__xludf.DUMMYFUNCTION("""COMPUTED_VALUE"""),"null")</f>
        <v>null</v>
      </c>
      <c r="R2053" s="33">
        <f>IFERROR(__xludf.DUMMYFUNCTION("""COMPUTED_VALUE"""),0.75)</f>
        <v>0.75</v>
      </c>
      <c r="S2053" s="4" t="str">
        <f>IFERROR(__xludf.DUMMYFUNCTION("""COMPUTED_VALUE"""),"null")</f>
        <v>null</v>
      </c>
      <c r="T2053" s="33">
        <f>IFERROR(__xludf.DUMMYFUNCTION("""COMPUTED_VALUE"""),0.5)</f>
        <v>0.5</v>
      </c>
      <c r="U2053" s="4" t="str">
        <f>IFERROR(__xludf.DUMMYFUNCTION("""COMPUTED_VALUE"""),"N/A (Not found)")</f>
        <v>N/A (Not found)</v>
      </c>
      <c r="V2053" s="33">
        <f>IFERROR(__xludf.DUMMYFUNCTION("""COMPUTED_VALUE"""),0.75)</f>
        <v>0.75</v>
      </c>
      <c r="W2053" s="4" t="str">
        <f>IFERROR(__xludf.DUMMYFUNCTION("""COMPUTED_VALUE"""),"N/A (Not found)")</f>
        <v>N/A (Not found)</v>
      </c>
      <c r="X2053" s="33">
        <f>IFERROR(__xludf.DUMMYFUNCTION("""COMPUTED_VALUE"""),0.75)</f>
        <v>0.75</v>
      </c>
    </row>
    <row r="2054">
      <c r="K2054" s="4" t="str">
        <f>IFERROR(__xludf.DUMMYFUNCTION("""COMPUTED_VALUE"""),"JG BURGER")</f>
        <v>JG BURGER</v>
      </c>
      <c r="L2054" s="32">
        <f>IFERROR(__xludf.DUMMYFUNCTION("""COMPUTED_VALUE"""),4.0)</f>
        <v>4</v>
      </c>
      <c r="M2054" s="4" t="str">
        <f>IFERROR(__xludf.DUMMYFUNCTION("""COMPUTED_VALUE"""),"Beefood - Sistema Para Restaurantes")</f>
        <v>Beefood - Sistema Para Restaurantes</v>
      </c>
      <c r="N2054" s="33">
        <f>IFERROR(__xludf.DUMMYFUNCTION("""COMPUTED_VALUE"""),0.75)</f>
        <v>0.75</v>
      </c>
      <c r="O2054" s="4" t="str">
        <f>IFERROR(__xludf.DUMMYFUNCTION("""COMPUTED_VALUE"""),"Beefood - Sistema Para Restaurantes")</f>
        <v>Beefood - Sistema Para Restaurantes</v>
      </c>
      <c r="P2054" s="33">
        <f>IFERROR(__xludf.DUMMYFUNCTION("""COMPUTED_VALUE"""),1.0)</f>
        <v>1</v>
      </c>
      <c r="Q2054" s="4" t="str">
        <f>IFERROR(__xludf.DUMMYFUNCTION("""COMPUTED_VALUE"""),"Beefood - Sistema Para Restaurantes")</f>
        <v>Beefood - Sistema Para Restaurantes</v>
      </c>
      <c r="R2054" s="33">
        <f>IFERROR(__xludf.DUMMYFUNCTION("""COMPUTED_VALUE"""),1.0)</f>
        <v>1</v>
      </c>
      <c r="S2054" s="4" t="str">
        <f>IFERROR(__xludf.DUMMYFUNCTION("""COMPUTED_VALUE"""),"Beefood - Sistema Para Restaurantes")</f>
        <v>Beefood - Sistema Para Restaurantes</v>
      </c>
      <c r="T2054" s="33">
        <f>IFERROR(__xludf.DUMMYFUNCTION("""COMPUTED_VALUE"""),1.0)</f>
        <v>1</v>
      </c>
      <c r="U2054" s="4" t="str">
        <f>IFERROR(__xludf.DUMMYFUNCTION("""COMPUTED_VALUE"""),"Beefood - Sistema Para Restaurantes")</f>
        <v>Beefood - Sistema Para Restaurantes</v>
      </c>
      <c r="V2054" s="33">
        <f>IFERROR(__xludf.DUMMYFUNCTION("""COMPUTED_VALUE"""),0.75)</f>
        <v>0.75</v>
      </c>
      <c r="W2054" s="4" t="str">
        <f>IFERROR(__xludf.DUMMYFUNCTION("""COMPUTED_VALUE"""),"Beefood - Sistema Para Restaurantes")</f>
        <v>Beefood - Sistema Para Restaurantes</v>
      </c>
      <c r="X2054" s="33">
        <f>IFERROR(__xludf.DUMMYFUNCTION("""COMPUTED_VALUE"""),1.0)</f>
        <v>1</v>
      </c>
    </row>
    <row r="2055">
      <c r="K2055" s="4" t="str">
        <f>IFERROR(__xludf.DUMMYFUNCTION("""COMPUTED_VALUE"""),"OH MY DOG")</f>
        <v>OH MY DOG</v>
      </c>
      <c r="L2055" s="32">
        <f>IFERROR(__xludf.DUMMYFUNCTION("""COMPUTED_VALUE"""),4.0)</f>
        <v>4</v>
      </c>
      <c r="M2055" s="4" t="str">
        <f>IFERROR(__xludf.DUMMYFUNCTION("""COMPUTED_VALUE"""),"null")</f>
        <v>null</v>
      </c>
      <c r="N2055" s="33">
        <f>IFERROR(__xludf.DUMMYFUNCTION("""COMPUTED_VALUE"""),0.5)</f>
        <v>0.5</v>
      </c>
      <c r="O2055" s="4" t="str">
        <f>IFERROR(__xludf.DUMMYFUNCTION("""COMPUTED_VALUE"""),"Saipos Serviços De Software")</f>
        <v>Saipos Serviços De Software</v>
      </c>
      <c r="P2055" s="33">
        <f>IFERROR(__xludf.DUMMYFUNCTION("""COMPUTED_VALUE"""),0.25)</f>
        <v>0.25</v>
      </c>
      <c r="Q2055" s="4" t="str">
        <f>IFERROR(__xludf.DUMMYFUNCTION("""COMPUTED_VALUE"""),"null")</f>
        <v>null</v>
      </c>
      <c r="R2055" s="33">
        <f>IFERROR(__xludf.DUMMYFUNCTION("""COMPUTED_VALUE"""),0.5)</f>
        <v>0.5</v>
      </c>
      <c r="S2055" s="4" t="str">
        <f>IFERROR(__xludf.DUMMYFUNCTION("""COMPUTED_VALUE"""),"Saipos Serviços De Software")</f>
        <v>Saipos Serviços De Software</v>
      </c>
      <c r="T2055" s="33">
        <f>IFERROR(__xludf.DUMMYFUNCTION("""COMPUTED_VALUE"""),0.25)</f>
        <v>0.25</v>
      </c>
      <c r="U2055" s="4" t="str">
        <f>IFERROR(__xludf.DUMMYFUNCTION("""COMPUTED_VALUE"""),"Saipos Serviços De Software")</f>
        <v>Saipos Serviços De Software</v>
      </c>
      <c r="V2055" s="33">
        <f>IFERROR(__xludf.DUMMYFUNCTION("""COMPUTED_VALUE"""),0.25)</f>
        <v>0.25</v>
      </c>
      <c r="W2055" s="4" t="str">
        <f>IFERROR(__xludf.DUMMYFUNCTION("""COMPUTED_VALUE"""),"Saipos Serviços De Software")</f>
        <v>Saipos Serviços De Software</v>
      </c>
      <c r="X2055" s="33">
        <f>IFERROR(__xludf.DUMMYFUNCTION("""COMPUTED_VALUE"""),0.25)</f>
        <v>0.25</v>
      </c>
    </row>
    <row r="2056">
      <c r="K2056" s="4" t="str">
        <f>IFERROR(__xludf.DUMMYFUNCTION("""COMPUTED_VALUE"""),"PIZZARIA AGUA NA BOCA")</f>
        <v>PIZZARIA AGUA NA BOCA</v>
      </c>
      <c r="L2056" s="32">
        <f>IFERROR(__xludf.DUMMYFUNCTION("""COMPUTED_VALUE"""),4.0)</f>
        <v>4</v>
      </c>
      <c r="M2056" s="4" t="str">
        <f>IFERROR(__xludf.DUMMYFUNCTION("""COMPUTED_VALUE"""),"null")</f>
        <v>null</v>
      </c>
      <c r="N2056" s="33">
        <f>IFERROR(__xludf.DUMMYFUNCTION("""COMPUTED_VALUE"""),0.75)</f>
        <v>0.75</v>
      </c>
      <c r="O2056" s="4" t="str">
        <f>IFERROR(__xludf.DUMMYFUNCTION("""COMPUTED_VALUE"""),"null")</f>
        <v>null</v>
      </c>
      <c r="P2056" s="33">
        <f>IFERROR(__xludf.DUMMYFUNCTION("""COMPUTED_VALUE"""),0.75)</f>
        <v>0.75</v>
      </c>
      <c r="Q2056" s="4" t="str">
        <f>IFERROR(__xludf.DUMMYFUNCTION("""COMPUTED_VALUE"""),"null")</f>
        <v>null</v>
      </c>
      <c r="R2056" s="33">
        <f>IFERROR(__xludf.DUMMYFUNCTION("""COMPUTED_VALUE"""),0.5)</f>
        <v>0.5</v>
      </c>
      <c r="S2056" s="4" t="str">
        <f>IFERROR(__xludf.DUMMYFUNCTION("""COMPUTED_VALUE"""),"Cervantes Tecnologia")</f>
        <v>Cervantes Tecnologia</v>
      </c>
      <c r="T2056" s="33">
        <f>IFERROR(__xludf.DUMMYFUNCTION("""COMPUTED_VALUE"""),0.25)</f>
        <v>0.25</v>
      </c>
      <c r="U2056" s="4" t="str">
        <f>IFERROR(__xludf.DUMMYFUNCTION("""COMPUTED_VALUE"""),"null")</f>
        <v>null</v>
      </c>
      <c r="V2056" s="33">
        <f>IFERROR(__xludf.DUMMYFUNCTION("""COMPUTED_VALUE"""),0.5)</f>
        <v>0.5</v>
      </c>
      <c r="W2056" s="4" t="str">
        <f>IFERROR(__xludf.DUMMYFUNCTION("""COMPUTED_VALUE"""),"null")</f>
        <v>null</v>
      </c>
      <c r="X2056" s="33">
        <f>IFERROR(__xludf.DUMMYFUNCTION("""COMPUTED_VALUE"""),0.5)</f>
        <v>0.5</v>
      </c>
    </row>
    <row r="2057">
      <c r="K2057" s="4" t="str">
        <f>IFERROR(__xludf.DUMMYFUNCTION("""COMPUTED_VALUE"""),"ACAI VIP")</f>
        <v>ACAI VIP</v>
      </c>
      <c r="L2057" s="32">
        <f>IFERROR(__xludf.DUMMYFUNCTION("""COMPUTED_VALUE"""),4.0)</f>
        <v>4</v>
      </c>
      <c r="M2057" s="4" t="str">
        <f>IFERROR(__xludf.DUMMYFUNCTION("""COMPUTED_VALUE"""),"Saipos Serviços De Software")</f>
        <v>Saipos Serviços De Software</v>
      </c>
      <c r="N2057" s="33">
        <f>IFERROR(__xludf.DUMMYFUNCTION("""COMPUTED_VALUE"""),0.5)</f>
        <v>0.5</v>
      </c>
      <c r="O2057" s="4" t="str">
        <f>IFERROR(__xludf.DUMMYFUNCTION("""COMPUTED_VALUE"""),"Saipos Serviços De Software")</f>
        <v>Saipos Serviços De Software</v>
      </c>
      <c r="P2057" s="33">
        <f>IFERROR(__xludf.DUMMYFUNCTION("""COMPUTED_VALUE"""),0.5)</f>
        <v>0.5</v>
      </c>
      <c r="Q2057" s="4" t="str">
        <f>IFERROR(__xludf.DUMMYFUNCTION("""COMPUTED_VALUE"""),"Saipos Serviços De Software")</f>
        <v>Saipos Serviços De Software</v>
      </c>
      <c r="R2057" s="33">
        <f>IFERROR(__xludf.DUMMYFUNCTION("""COMPUTED_VALUE"""),0.5)</f>
        <v>0.5</v>
      </c>
      <c r="S2057" s="4" t="str">
        <f>IFERROR(__xludf.DUMMYFUNCTION("""COMPUTED_VALUE"""),"Saipos Serviços De Software")</f>
        <v>Saipos Serviços De Software</v>
      </c>
      <c r="T2057" s="33">
        <f>IFERROR(__xludf.DUMMYFUNCTION("""COMPUTED_VALUE"""),0.5)</f>
        <v>0.5</v>
      </c>
      <c r="U2057" s="4" t="str">
        <f>IFERROR(__xludf.DUMMYFUNCTION("""COMPUTED_VALUE"""),"Saipos Serviços De Software")</f>
        <v>Saipos Serviços De Software</v>
      </c>
      <c r="V2057" s="33">
        <f>IFERROR(__xludf.DUMMYFUNCTION("""COMPUTED_VALUE"""),0.5)</f>
        <v>0.5</v>
      </c>
      <c r="W2057" s="4" t="str">
        <f>IFERROR(__xludf.DUMMYFUNCTION("""COMPUTED_VALUE"""),"Saipos Serviços De Software")</f>
        <v>Saipos Serviços De Software</v>
      </c>
      <c r="X2057" s="33">
        <f>IFERROR(__xludf.DUMMYFUNCTION("""COMPUTED_VALUE"""),0.5)</f>
        <v>0.5</v>
      </c>
    </row>
    <row r="2058">
      <c r="K2058" s="4" t="str">
        <f>IFERROR(__xludf.DUMMYFUNCTION("""COMPUTED_VALUE"""),"ESQUINA DA PIZZA")</f>
        <v>ESQUINA DA PIZZA</v>
      </c>
      <c r="L2058" s="32">
        <f>IFERROR(__xludf.DUMMYFUNCTION("""COMPUTED_VALUE"""),4.0)</f>
        <v>4</v>
      </c>
      <c r="M2058" s="4" t="str">
        <f>IFERROR(__xludf.DUMMYFUNCTION("""COMPUTED_VALUE"""),"Kcms")</f>
        <v>Kcms</v>
      </c>
      <c r="N2058" s="33">
        <f>IFERROR(__xludf.DUMMYFUNCTION("""COMPUTED_VALUE"""),0.25)</f>
        <v>0.25</v>
      </c>
      <c r="O2058" s="4" t="str">
        <f>IFERROR(__xludf.DUMMYFUNCTION("""COMPUTED_VALUE"""),"Kcms")</f>
        <v>Kcms</v>
      </c>
      <c r="P2058" s="33">
        <f>IFERROR(__xludf.DUMMYFUNCTION("""COMPUTED_VALUE"""),0.25)</f>
        <v>0.25</v>
      </c>
      <c r="Q2058" s="4" t="str">
        <f>IFERROR(__xludf.DUMMYFUNCTION("""COMPUTED_VALUE"""),"Kcms")</f>
        <v>Kcms</v>
      </c>
      <c r="R2058" s="33">
        <f>IFERROR(__xludf.DUMMYFUNCTION("""COMPUTED_VALUE"""),0.25)</f>
        <v>0.25</v>
      </c>
      <c r="S2058" s="4" t="str">
        <f>IFERROR(__xludf.DUMMYFUNCTION("""COMPUTED_VALUE"""),"Kcms")</f>
        <v>Kcms</v>
      </c>
      <c r="T2058" s="33">
        <f>IFERROR(__xludf.DUMMYFUNCTION("""COMPUTED_VALUE"""),0.25)</f>
        <v>0.25</v>
      </c>
      <c r="U2058" s="4" t="str">
        <f>IFERROR(__xludf.DUMMYFUNCTION("""COMPUTED_VALUE"""),"Kcms")</f>
        <v>Kcms</v>
      </c>
      <c r="V2058" s="33">
        <f>IFERROR(__xludf.DUMMYFUNCTION("""COMPUTED_VALUE"""),0.25)</f>
        <v>0.25</v>
      </c>
      <c r="W2058" s="4" t="str">
        <f>IFERROR(__xludf.DUMMYFUNCTION("""COMPUTED_VALUE"""),"Kcms")</f>
        <v>Kcms</v>
      </c>
      <c r="X2058" s="33">
        <f>IFERROR(__xludf.DUMMYFUNCTION("""COMPUTED_VALUE"""),0.25)</f>
        <v>0.25</v>
      </c>
    </row>
    <row r="2059">
      <c r="K2059" s="4" t="str">
        <f>IFERROR(__xludf.DUMMYFUNCTION("""COMPUTED_VALUE"""),"ACAILANDIA")</f>
        <v>ACAILANDIA</v>
      </c>
      <c r="L2059" s="32">
        <f>IFERROR(__xludf.DUMMYFUNCTION("""COMPUTED_VALUE"""),4.0)</f>
        <v>4</v>
      </c>
      <c r="M2059" s="4" t="str">
        <f>IFERROR(__xludf.DUMMYFUNCTION("""COMPUTED_VALUE"""),"M-du Tecnologia")</f>
        <v>M-du Tecnologia</v>
      </c>
      <c r="N2059" s="33">
        <f>IFERROR(__xludf.DUMMYFUNCTION("""COMPUTED_VALUE"""),0.25)</f>
        <v>0.25</v>
      </c>
      <c r="O2059" s="4" t="str">
        <f>IFERROR(__xludf.DUMMYFUNCTION("""COMPUTED_VALUE"""),"M-du Tecnologia")</f>
        <v>M-du Tecnologia</v>
      </c>
      <c r="P2059" s="33">
        <f>IFERROR(__xludf.DUMMYFUNCTION("""COMPUTED_VALUE"""),0.25)</f>
        <v>0.25</v>
      </c>
      <c r="Q2059" s="4" t="str">
        <f>IFERROR(__xludf.DUMMYFUNCTION("""COMPUTED_VALUE"""),"null")</f>
        <v>null</v>
      </c>
      <c r="R2059" s="33">
        <f>IFERROR(__xludf.DUMMYFUNCTION("""COMPUTED_VALUE"""),0.5)</f>
        <v>0.5</v>
      </c>
      <c r="S2059" s="4" t="str">
        <f>IFERROR(__xludf.DUMMYFUNCTION("""COMPUTED_VALUE"""),"M-du Tecnologia")</f>
        <v>M-du Tecnologia</v>
      </c>
      <c r="T2059" s="33">
        <f>IFERROR(__xludf.DUMMYFUNCTION("""COMPUTED_VALUE"""),0.25)</f>
        <v>0.25</v>
      </c>
      <c r="U2059" s="4" t="str">
        <f>IFERROR(__xludf.DUMMYFUNCTION("""COMPUTED_VALUE"""),"null")</f>
        <v>null</v>
      </c>
      <c r="V2059" s="33">
        <f>IFERROR(__xludf.DUMMYFUNCTION("""COMPUTED_VALUE"""),0.5)</f>
        <v>0.5</v>
      </c>
      <c r="W2059" s="4" t="str">
        <f>IFERROR(__xludf.DUMMYFUNCTION("""COMPUTED_VALUE"""),"null")</f>
        <v>null</v>
      </c>
      <c r="X2059" s="33">
        <f>IFERROR(__xludf.DUMMYFUNCTION("""COMPUTED_VALUE"""),0.5)</f>
        <v>0.5</v>
      </c>
    </row>
    <row r="2060">
      <c r="K2060" s="4" t="str">
        <f>IFERROR(__xludf.DUMMYFUNCTION("""COMPUTED_VALUE"""),"BENTO SUSHI")</f>
        <v>BENTO SUSHI</v>
      </c>
      <c r="L2060" s="32">
        <f>IFERROR(__xludf.DUMMYFUNCTION("""COMPUTED_VALUE"""),4.0)</f>
        <v>4</v>
      </c>
      <c r="M2060" s="4" t="str">
        <f>IFERROR(__xludf.DUMMYFUNCTION("""COMPUTED_VALUE"""),"Ncr")</f>
        <v>Ncr</v>
      </c>
      <c r="N2060" s="33">
        <f>IFERROR(__xludf.DUMMYFUNCTION("""COMPUTED_VALUE"""),0.5)</f>
        <v>0.5</v>
      </c>
      <c r="O2060" s="4" t="str">
        <f>IFERROR(__xludf.DUMMYFUNCTION("""COMPUTED_VALUE"""),"null")</f>
        <v>null</v>
      </c>
      <c r="P2060" s="33">
        <f>IFERROR(__xludf.DUMMYFUNCTION("""COMPUTED_VALUE"""),0.5)</f>
        <v>0.5</v>
      </c>
      <c r="Q2060" s="4" t="str">
        <f>IFERROR(__xludf.DUMMYFUNCTION("""COMPUTED_VALUE"""),"Ncr")</f>
        <v>Ncr</v>
      </c>
      <c r="R2060" s="33">
        <f>IFERROR(__xludf.DUMMYFUNCTION("""COMPUTED_VALUE"""),0.5)</f>
        <v>0.5</v>
      </c>
      <c r="S2060" s="4" t="str">
        <f>IFERROR(__xludf.DUMMYFUNCTION("""COMPUTED_VALUE"""),"Ncr")</f>
        <v>Ncr</v>
      </c>
      <c r="T2060" s="33">
        <f>IFERROR(__xludf.DUMMYFUNCTION("""COMPUTED_VALUE"""),0.5)</f>
        <v>0.5</v>
      </c>
      <c r="U2060" s="4" t="str">
        <f>IFERROR(__xludf.DUMMYFUNCTION("""COMPUTED_VALUE"""),"Ncr")</f>
        <v>Ncr</v>
      </c>
      <c r="V2060" s="33">
        <f>IFERROR(__xludf.DUMMYFUNCTION("""COMPUTED_VALUE"""),0.5)</f>
        <v>0.5</v>
      </c>
      <c r="W2060" s="4" t="str">
        <f>IFERROR(__xludf.DUMMYFUNCTION("""COMPUTED_VALUE"""),"Ncr")</f>
        <v>Ncr</v>
      </c>
      <c r="X2060" s="33">
        <f>IFERROR(__xludf.DUMMYFUNCTION("""COMPUTED_VALUE"""),0.5)</f>
        <v>0.5</v>
      </c>
    </row>
    <row r="2061">
      <c r="K2061" s="4" t="str">
        <f>IFERROR(__xludf.DUMMYFUNCTION("""COMPUTED_VALUE"""),"DROGARIA DA GENTE")</f>
        <v>DROGARIA DA GENTE</v>
      </c>
      <c r="L2061" s="32">
        <f>IFERROR(__xludf.DUMMYFUNCTION("""COMPUTED_VALUE"""),4.0)</f>
        <v>4</v>
      </c>
      <c r="M2061" s="4" t="str">
        <f>IFERROR(__xludf.DUMMYFUNCTION("""COMPUTED_VALUE"""),"N/A (Not found)")</f>
        <v>N/A (Not found)</v>
      </c>
      <c r="N2061" s="33">
        <f>IFERROR(__xludf.DUMMYFUNCTION("""COMPUTED_VALUE"""),0.75)</f>
        <v>0.75</v>
      </c>
      <c r="O2061" s="4" t="str">
        <f>IFERROR(__xludf.DUMMYFUNCTION("""COMPUTED_VALUE"""),"N/A (Not found)")</f>
        <v>N/A (Not found)</v>
      </c>
      <c r="P2061" s="33">
        <f>IFERROR(__xludf.DUMMYFUNCTION("""COMPUTED_VALUE"""),0.75)</f>
        <v>0.75</v>
      </c>
      <c r="Q2061" s="4" t="str">
        <f>IFERROR(__xludf.DUMMYFUNCTION("""COMPUTED_VALUE"""),"N/A (Not found)")</f>
        <v>N/A (Not found)</v>
      </c>
      <c r="R2061" s="33">
        <f>IFERROR(__xludf.DUMMYFUNCTION("""COMPUTED_VALUE"""),0.75)</f>
        <v>0.75</v>
      </c>
      <c r="S2061" s="4" t="str">
        <f>IFERROR(__xludf.DUMMYFUNCTION("""COMPUTED_VALUE"""),"null")</f>
        <v>null</v>
      </c>
      <c r="T2061" s="33">
        <f>IFERROR(__xludf.DUMMYFUNCTION("""COMPUTED_VALUE"""),0.5)</f>
        <v>0.5</v>
      </c>
      <c r="U2061" s="4" t="str">
        <f>IFERROR(__xludf.DUMMYFUNCTION("""COMPUTED_VALUE"""),"null")</f>
        <v>null</v>
      </c>
      <c r="V2061" s="33">
        <f>IFERROR(__xludf.DUMMYFUNCTION("""COMPUTED_VALUE"""),0.5)</f>
        <v>0.5</v>
      </c>
      <c r="W2061" s="4" t="str">
        <f>IFERROR(__xludf.DUMMYFUNCTION("""COMPUTED_VALUE"""),"N/A (Not found)")</f>
        <v>N/A (Not found)</v>
      </c>
      <c r="X2061" s="33">
        <f>IFERROR(__xludf.DUMMYFUNCTION("""COMPUTED_VALUE"""),0.75)</f>
        <v>0.75</v>
      </c>
    </row>
    <row r="2062">
      <c r="K2062" s="4" t="str">
        <f>IFERROR(__xludf.DUMMYFUNCTION("""COMPUTED_VALUE"""),"PARMEGIANA CROCANTE")</f>
        <v>PARMEGIANA CROCANTE</v>
      </c>
      <c r="L2062" s="32">
        <f>IFERROR(__xludf.DUMMYFUNCTION("""COMPUTED_VALUE"""),4.0)</f>
        <v>4</v>
      </c>
      <c r="M2062" s="4" t="str">
        <f>IFERROR(__xludf.DUMMYFUNCTION("""COMPUTED_VALUE"""),"Ncr")</f>
        <v>Ncr</v>
      </c>
      <c r="N2062" s="33">
        <f>IFERROR(__xludf.DUMMYFUNCTION("""COMPUTED_VALUE"""),0.75)</f>
        <v>0.75</v>
      </c>
      <c r="O2062" s="4" t="str">
        <f>IFERROR(__xludf.DUMMYFUNCTION("""COMPUTED_VALUE"""),"Ncr")</f>
        <v>Ncr</v>
      </c>
      <c r="P2062" s="33">
        <f>IFERROR(__xludf.DUMMYFUNCTION("""COMPUTED_VALUE"""),0.75)</f>
        <v>0.75</v>
      </c>
      <c r="Q2062" s="4" t="str">
        <f>IFERROR(__xludf.DUMMYFUNCTION("""COMPUTED_VALUE"""),"Ncr")</f>
        <v>Ncr</v>
      </c>
      <c r="R2062" s="33">
        <f>IFERROR(__xludf.DUMMYFUNCTION("""COMPUTED_VALUE"""),0.75)</f>
        <v>0.75</v>
      </c>
      <c r="S2062" s="4" t="str">
        <f>IFERROR(__xludf.DUMMYFUNCTION("""COMPUTED_VALUE"""),"Ncr")</f>
        <v>Ncr</v>
      </c>
      <c r="T2062" s="33">
        <f>IFERROR(__xludf.DUMMYFUNCTION("""COMPUTED_VALUE"""),0.5)</f>
        <v>0.5</v>
      </c>
      <c r="U2062" s="4" t="str">
        <f>IFERROR(__xludf.DUMMYFUNCTION("""COMPUTED_VALUE"""),"Ncr")</f>
        <v>Ncr</v>
      </c>
      <c r="V2062" s="33">
        <f>IFERROR(__xludf.DUMMYFUNCTION("""COMPUTED_VALUE"""),0.75)</f>
        <v>0.75</v>
      </c>
      <c r="W2062" s="4" t="str">
        <f>IFERROR(__xludf.DUMMYFUNCTION("""COMPUTED_VALUE"""),"Ncr")</f>
        <v>Ncr</v>
      </c>
      <c r="X2062" s="33">
        <f>IFERROR(__xludf.DUMMYFUNCTION("""COMPUTED_VALUE"""),0.75)</f>
        <v>0.75</v>
      </c>
    </row>
    <row r="2063">
      <c r="K2063" s="4" t="str">
        <f>IFERROR(__xludf.DUMMYFUNCTION("""COMPUTED_VALUE"""),"ALTAS HORAS")</f>
        <v>ALTAS HORAS</v>
      </c>
      <c r="L2063" s="32">
        <f>IFERROR(__xludf.DUMMYFUNCTION("""COMPUTED_VALUE"""),4.0)</f>
        <v>4</v>
      </c>
      <c r="M2063" s="4" t="str">
        <f>IFERROR(__xludf.DUMMYFUNCTION("""COMPUTED_VALUE"""),"null")</f>
        <v>null</v>
      </c>
      <c r="N2063" s="33">
        <f>IFERROR(__xludf.DUMMYFUNCTION("""COMPUTED_VALUE"""),0.5)</f>
        <v>0.5</v>
      </c>
      <c r="O2063" s="4" t="str">
        <f>IFERROR(__xludf.DUMMYFUNCTION("""COMPUTED_VALUE"""),"Anota Ai Solucoes Digitais S/a")</f>
        <v>Anota Ai Solucoes Digitais S/a</v>
      </c>
      <c r="P2063" s="33">
        <f>IFERROR(__xludf.DUMMYFUNCTION("""COMPUTED_VALUE"""),0.25)</f>
        <v>0.25</v>
      </c>
      <c r="Q2063" s="4" t="str">
        <f>IFERROR(__xludf.DUMMYFUNCTION("""COMPUTED_VALUE"""),"null")</f>
        <v>null</v>
      </c>
      <c r="R2063" s="33">
        <f>IFERROR(__xludf.DUMMYFUNCTION("""COMPUTED_VALUE"""),0.5)</f>
        <v>0.5</v>
      </c>
      <c r="S2063" s="4" t="str">
        <f>IFERROR(__xludf.DUMMYFUNCTION("""COMPUTED_VALUE"""),"null")</f>
        <v>null</v>
      </c>
      <c r="T2063" s="33">
        <f>IFERROR(__xludf.DUMMYFUNCTION("""COMPUTED_VALUE"""),0.5)</f>
        <v>0.5</v>
      </c>
      <c r="U2063" s="4" t="str">
        <f>IFERROR(__xludf.DUMMYFUNCTION("""COMPUTED_VALUE"""),"null")</f>
        <v>null</v>
      </c>
      <c r="V2063" s="33">
        <f>IFERROR(__xludf.DUMMYFUNCTION("""COMPUTED_VALUE"""),0.5)</f>
        <v>0.5</v>
      </c>
      <c r="W2063" s="4" t="str">
        <f>IFERROR(__xludf.DUMMYFUNCTION("""COMPUTED_VALUE"""),"null")</f>
        <v>null</v>
      </c>
      <c r="X2063" s="33">
        <f>IFERROR(__xludf.DUMMYFUNCTION("""COMPUTED_VALUE"""),0.5)</f>
        <v>0.5</v>
      </c>
    </row>
    <row r="2064">
      <c r="K2064" s="4" t="str">
        <f>IFERROR(__xludf.DUMMYFUNCTION("""COMPUTED_VALUE"""),"POKE SUSHI")</f>
        <v>POKE SUSHI</v>
      </c>
      <c r="L2064" s="32">
        <f>IFERROR(__xludf.DUMMYFUNCTION("""COMPUTED_VALUE"""),4.0)</f>
        <v>4</v>
      </c>
      <c r="M2064" s="4" t="str">
        <f>IFERROR(__xludf.DUMMYFUNCTION("""COMPUTED_VALUE"""),"Saipos Serviços De Software")</f>
        <v>Saipos Serviços De Software</v>
      </c>
      <c r="N2064" s="33">
        <f>IFERROR(__xludf.DUMMYFUNCTION("""COMPUTED_VALUE"""),0.5)</f>
        <v>0.5</v>
      </c>
      <c r="O2064" s="4" t="str">
        <f>IFERROR(__xludf.DUMMYFUNCTION("""COMPUTED_VALUE"""),"Saipos Serviços De Software")</f>
        <v>Saipos Serviços De Software</v>
      </c>
      <c r="P2064" s="33">
        <f>IFERROR(__xludf.DUMMYFUNCTION("""COMPUTED_VALUE"""),0.5)</f>
        <v>0.5</v>
      </c>
      <c r="Q2064" s="4" t="str">
        <f>IFERROR(__xludf.DUMMYFUNCTION("""COMPUTED_VALUE"""),"Saipos Serviços De Software")</f>
        <v>Saipos Serviços De Software</v>
      </c>
      <c r="R2064" s="33">
        <f>IFERROR(__xludf.DUMMYFUNCTION("""COMPUTED_VALUE"""),0.5)</f>
        <v>0.5</v>
      </c>
      <c r="S2064" s="4" t="str">
        <f>IFERROR(__xludf.DUMMYFUNCTION("""COMPUTED_VALUE"""),"Saipos Serviços De Software")</f>
        <v>Saipos Serviços De Software</v>
      </c>
      <c r="T2064" s="33">
        <f>IFERROR(__xludf.DUMMYFUNCTION("""COMPUTED_VALUE"""),0.5)</f>
        <v>0.5</v>
      </c>
      <c r="U2064" s="4" t="str">
        <f>IFERROR(__xludf.DUMMYFUNCTION("""COMPUTED_VALUE"""),"Saipos Serviços De Software")</f>
        <v>Saipos Serviços De Software</v>
      </c>
      <c r="V2064" s="33">
        <f>IFERROR(__xludf.DUMMYFUNCTION("""COMPUTED_VALUE"""),0.5)</f>
        <v>0.5</v>
      </c>
      <c r="W2064" s="4" t="str">
        <f>IFERROR(__xludf.DUMMYFUNCTION("""COMPUTED_VALUE"""),"Saipos Serviços De Software")</f>
        <v>Saipos Serviços De Software</v>
      </c>
      <c r="X2064" s="33">
        <f>IFERROR(__xludf.DUMMYFUNCTION("""COMPUTED_VALUE"""),0.5)</f>
        <v>0.5</v>
      </c>
    </row>
    <row r="2065">
      <c r="K2065" s="4" t="str">
        <f>IFERROR(__xludf.DUMMYFUNCTION("""COMPUTED_VALUE"""),"CHEF DO ACAI")</f>
        <v>CHEF DO ACAI</v>
      </c>
      <c r="L2065" s="32">
        <f>IFERROR(__xludf.DUMMYFUNCTION("""COMPUTED_VALUE"""),4.0)</f>
        <v>4</v>
      </c>
      <c r="M2065" s="4" t="str">
        <f>IFERROR(__xludf.DUMMYFUNCTION("""COMPUTED_VALUE"""),"Yooga")</f>
        <v>Yooga</v>
      </c>
      <c r="N2065" s="33">
        <f>IFERROR(__xludf.DUMMYFUNCTION("""COMPUTED_VALUE"""),0.25)</f>
        <v>0.25</v>
      </c>
      <c r="O2065" s="4" t="str">
        <f>IFERROR(__xludf.DUMMYFUNCTION("""COMPUTED_VALUE"""),"Yooga")</f>
        <v>Yooga</v>
      </c>
      <c r="P2065" s="33">
        <f>IFERROR(__xludf.DUMMYFUNCTION("""COMPUTED_VALUE"""),0.25)</f>
        <v>0.25</v>
      </c>
      <c r="Q2065" s="4" t="str">
        <f>IFERROR(__xludf.DUMMYFUNCTION("""COMPUTED_VALUE"""),"Yooga")</f>
        <v>Yooga</v>
      </c>
      <c r="R2065" s="33">
        <f>IFERROR(__xludf.DUMMYFUNCTION("""COMPUTED_VALUE"""),0.25)</f>
        <v>0.25</v>
      </c>
      <c r="S2065" s="4" t="str">
        <f>IFERROR(__xludf.DUMMYFUNCTION("""COMPUTED_VALUE"""),"Yooga")</f>
        <v>Yooga</v>
      </c>
      <c r="T2065" s="33">
        <f>IFERROR(__xludf.DUMMYFUNCTION("""COMPUTED_VALUE"""),0.25)</f>
        <v>0.25</v>
      </c>
      <c r="U2065" s="4" t="str">
        <f>IFERROR(__xludf.DUMMYFUNCTION("""COMPUTED_VALUE"""),"Yooga")</f>
        <v>Yooga</v>
      </c>
      <c r="V2065" s="33">
        <f>IFERROR(__xludf.DUMMYFUNCTION("""COMPUTED_VALUE"""),0.25)</f>
        <v>0.25</v>
      </c>
      <c r="W2065" s="4" t="str">
        <f>IFERROR(__xludf.DUMMYFUNCTION("""COMPUTED_VALUE"""),"Yooga")</f>
        <v>Yooga</v>
      </c>
      <c r="X2065" s="33">
        <f>IFERROR(__xludf.DUMMYFUNCTION("""COMPUTED_VALUE"""),0.25)</f>
        <v>0.25</v>
      </c>
    </row>
    <row r="2066">
      <c r="K2066" s="4" t="str">
        <f>IFERROR(__xludf.DUMMYFUNCTION("""COMPUTED_VALUE"""),"TRIBO DO ACAI")</f>
        <v>TRIBO DO ACAI</v>
      </c>
      <c r="L2066" s="32">
        <f>IFERROR(__xludf.DUMMYFUNCTION("""COMPUTED_VALUE"""),4.0)</f>
        <v>4</v>
      </c>
      <c r="M2066" s="4" t="str">
        <f>IFERROR(__xludf.DUMMYFUNCTION("""COMPUTED_VALUE"""),"null")</f>
        <v>null</v>
      </c>
      <c r="N2066" s="33">
        <f>IFERROR(__xludf.DUMMYFUNCTION("""COMPUTED_VALUE"""),0.5)</f>
        <v>0.5</v>
      </c>
      <c r="O2066" s="4" t="str">
        <f>IFERROR(__xludf.DUMMYFUNCTION("""COMPUTED_VALUE"""),"null")</f>
        <v>null</v>
      </c>
      <c r="P2066" s="33">
        <f>IFERROR(__xludf.DUMMYFUNCTION("""COMPUTED_VALUE"""),1.0)</f>
        <v>1</v>
      </c>
      <c r="Q2066" s="4" t="str">
        <f>IFERROR(__xludf.DUMMYFUNCTION("""COMPUTED_VALUE"""),"null")</f>
        <v>null</v>
      </c>
      <c r="R2066" s="33">
        <f>IFERROR(__xludf.DUMMYFUNCTION("""COMPUTED_VALUE"""),0.75)</f>
        <v>0.75</v>
      </c>
      <c r="S2066" s="4" t="str">
        <f>IFERROR(__xludf.DUMMYFUNCTION("""COMPUTED_VALUE"""),"null")</f>
        <v>null</v>
      </c>
      <c r="T2066" s="33">
        <f>IFERROR(__xludf.DUMMYFUNCTION("""COMPUTED_VALUE"""),0.5)</f>
        <v>0.5</v>
      </c>
      <c r="U2066" s="4" t="str">
        <f>IFERROR(__xludf.DUMMYFUNCTION("""COMPUTED_VALUE"""),"null")</f>
        <v>null</v>
      </c>
      <c r="V2066" s="33">
        <f>IFERROR(__xludf.DUMMYFUNCTION("""COMPUTED_VALUE"""),0.5)</f>
        <v>0.5</v>
      </c>
      <c r="W2066" s="4" t="str">
        <f>IFERROR(__xludf.DUMMYFUNCTION("""COMPUTED_VALUE"""),"null")</f>
        <v>null</v>
      </c>
      <c r="X2066" s="33">
        <f>IFERROR(__xludf.DUMMYFUNCTION("""COMPUTED_VALUE"""),0.75)</f>
        <v>0.75</v>
      </c>
    </row>
    <row r="2067">
      <c r="K2067" s="4" t="str">
        <f>IFERROR(__xludf.DUMMYFUNCTION("""COMPUTED_VALUE"""),"SAMURAI SUSHI")</f>
        <v>SAMURAI SUSHI</v>
      </c>
      <c r="L2067" s="32">
        <f>IFERROR(__xludf.DUMMYFUNCTION("""COMPUTED_VALUE"""),4.0)</f>
        <v>4</v>
      </c>
      <c r="M2067" s="4" t="str">
        <f>IFERROR(__xludf.DUMMYFUNCTION("""COMPUTED_VALUE"""),"null")</f>
        <v>null</v>
      </c>
      <c r="N2067" s="33">
        <f>IFERROR(__xludf.DUMMYFUNCTION("""COMPUTED_VALUE"""),0.5)</f>
        <v>0.5</v>
      </c>
      <c r="O2067" s="4" t="str">
        <f>IFERROR(__xludf.DUMMYFUNCTION("""COMPUTED_VALUE"""),"null")</f>
        <v>null</v>
      </c>
      <c r="P2067" s="33">
        <f>IFERROR(__xludf.DUMMYFUNCTION("""COMPUTED_VALUE"""),0.5)</f>
        <v>0.5</v>
      </c>
      <c r="Q2067" s="4" t="str">
        <f>IFERROR(__xludf.DUMMYFUNCTION("""COMPUTED_VALUE"""),"null")</f>
        <v>null</v>
      </c>
      <c r="R2067" s="33">
        <f>IFERROR(__xludf.DUMMYFUNCTION("""COMPUTED_VALUE"""),0.5)</f>
        <v>0.5</v>
      </c>
      <c r="S2067" s="4" t="str">
        <f>IFERROR(__xludf.DUMMYFUNCTION("""COMPUTED_VALUE"""),"null")</f>
        <v>null</v>
      </c>
      <c r="T2067" s="33">
        <f>IFERROR(__xludf.DUMMYFUNCTION("""COMPUTED_VALUE"""),0.5)</f>
        <v>0.5</v>
      </c>
      <c r="U2067" s="4" t="str">
        <f>IFERROR(__xludf.DUMMYFUNCTION("""COMPUTED_VALUE"""),"null")</f>
        <v>null</v>
      </c>
      <c r="V2067" s="33">
        <f>IFERROR(__xludf.DUMMYFUNCTION("""COMPUTED_VALUE"""),0.75)</f>
        <v>0.75</v>
      </c>
      <c r="W2067" s="4" t="str">
        <f>IFERROR(__xludf.DUMMYFUNCTION("""COMPUTED_VALUE"""),"null")</f>
        <v>null</v>
      </c>
      <c r="X2067" s="33">
        <f>IFERROR(__xludf.DUMMYFUNCTION("""COMPUTED_VALUE"""),0.5)</f>
        <v>0.5</v>
      </c>
    </row>
    <row r="2068">
      <c r="K2068" s="4" t="str">
        <f>IFERROR(__xludf.DUMMYFUNCTION("""COMPUTED_VALUE"""),"CANTINHO DO SALGADO")</f>
        <v>CANTINHO DO SALGADO</v>
      </c>
      <c r="L2068" s="32">
        <f>IFERROR(__xludf.DUMMYFUNCTION("""COMPUTED_VALUE"""),4.0)</f>
        <v>4</v>
      </c>
      <c r="M2068" s="4" t="str">
        <f>IFERROR(__xludf.DUMMYFUNCTION("""COMPUTED_VALUE"""),"Saipos Serviços De Software")</f>
        <v>Saipos Serviços De Software</v>
      </c>
      <c r="N2068" s="33">
        <f>IFERROR(__xludf.DUMMYFUNCTION("""COMPUTED_VALUE"""),0.5)</f>
        <v>0.5</v>
      </c>
      <c r="O2068" s="4" t="str">
        <f>IFERROR(__xludf.DUMMYFUNCTION("""COMPUTED_VALUE"""),"Saipos Serviços De Software")</f>
        <v>Saipos Serviços De Software</v>
      </c>
      <c r="P2068" s="33">
        <f>IFERROR(__xludf.DUMMYFUNCTION("""COMPUTED_VALUE"""),0.5)</f>
        <v>0.5</v>
      </c>
      <c r="Q2068" s="4" t="str">
        <f>IFERROR(__xludf.DUMMYFUNCTION("""COMPUTED_VALUE"""),"Saipos Serviços De Software")</f>
        <v>Saipos Serviços De Software</v>
      </c>
      <c r="R2068" s="33">
        <f>IFERROR(__xludf.DUMMYFUNCTION("""COMPUTED_VALUE"""),0.5)</f>
        <v>0.5</v>
      </c>
      <c r="S2068" s="4" t="str">
        <f>IFERROR(__xludf.DUMMYFUNCTION("""COMPUTED_VALUE"""),"null")</f>
        <v>null</v>
      </c>
      <c r="T2068" s="33">
        <f>IFERROR(__xludf.DUMMYFUNCTION("""COMPUTED_VALUE"""),0.5)</f>
        <v>0.5</v>
      </c>
      <c r="U2068" s="4" t="str">
        <f>IFERROR(__xludf.DUMMYFUNCTION("""COMPUTED_VALUE"""),"null")</f>
        <v>null</v>
      </c>
      <c r="V2068" s="33">
        <f>IFERROR(__xludf.DUMMYFUNCTION("""COMPUTED_VALUE"""),0.5)</f>
        <v>0.5</v>
      </c>
      <c r="W2068" s="4" t="str">
        <f>IFERROR(__xludf.DUMMYFUNCTION("""COMPUTED_VALUE"""),"null")</f>
        <v>null</v>
      </c>
      <c r="X2068" s="33">
        <f>IFERROR(__xludf.DUMMYFUNCTION("""COMPUTED_VALUE"""),0.5)</f>
        <v>0.5</v>
      </c>
    </row>
    <row r="2069">
      <c r="K2069" s="4" t="str">
        <f>IFERROR(__xludf.DUMMYFUNCTION("""COMPUTED_VALUE"""),"KINGS BURGUER")</f>
        <v>KINGS BURGUER</v>
      </c>
      <c r="L2069" s="32">
        <f>IFERROR(__xludf.DUMMYFUNCTION("""COMPUTED_VALUE"""),4.0)</f>
        <v>4</v>
      </c>
      <c r="M2069" s="4" t="str">
        <f>IFERROR(__xludf.DUMMYFUNCTION("""COMPUTED_VALUE"""),"null")</f>
        <v>null</v>
      </c>
      <c r="N2069" s="33">
        <f>IFERROR(__xludf.DUMMYFUNCTION("""COMPUTED_VALUE"""),0.25)</f>
        <v>0.25</v>
      </c>
      <c r="O2069" s="4" t="str">
        <f>IFERROR(__xludf.DUMMYFUNCTION("""COMPUTED_VALUE"""),"null")</f>
        <v>null</v>
      </c>
      <c r="P2069" s="33">
        <f>IFERROR(__xludf.DUMMYFUNCTION("""COMPUTED_VALUE"""),0.25)</f>
        <v>0.25</v>
      </c>
      <c r="Q2069" s="4" t="str">
        <f>IFERROR(__xludf.DUMMYFUNCTION("""COMPUTED_VALUE"""),"null")</f>
        <v>null</v>
      </c>
      <c r="R2069" s="33">
        <f>IFERROR(__xludf.DUMMYFUNCTION("""COMPUTED_VALUE"""),0.75)</f>
        <v>0.75</v>
      </c>
      <c r="S2069" s="4" t="str">
        <f>IFERROR(__xludf.DUMMYFUNCTION("""COMPUTED_VALUE"""),"null")</f>
        <v>null</v>
      </c>
      <c r="T2069" s="33">
        <f>IFERROR(__xludf.DUMMYFUNCTION("""COMPUTED_VALUE"""),0.5)</f>
        <v>0.5</v>
      </c>
      <c r="U2069" s="4" t="str">
        <f>IFERROR(__xludf.DUMMYFUNCTION("""COMPUTED_VALUE"""),"null")</f>
        <v>null</v>
      </c>
      <c r="V2069" s="33">
        <f>IFERROR(__xludf.DUMMYFUNCTION("""COMPUTED_VALUE"""),0.75)</f>
        <v>0.75</v>
      </c>
      <c r="W2069" s="4" t="str">
        <f>IFERROR(__xludf.DUMMYFUNCTION("""COMPUTED_VALUE"""),"null")</f>
        <v>null</v>
      </c>
      <c r="X2069" s="33">
        <f>IFERROR(__xludf.DUMMYFUNCTION("""COMPUTED_VALUE"""),0.5)</f>
        <v>0.5</v>
      </c>
    </row>
    <row r="2070">
      <c r="K2070" s="4" t="str">
        <f>IFERROR(__xludf.DUMMYFUNCTION("""COMPUTED_VALUE"""),"SR PIZZA")</f>
        <v>SR PIZZA</v>
      </c>
      <c r="L2070" s="32">
        <f>IFERROR(__xludf.DUMMYFUNCTION("""COMPUTED_VALUE"""),4.0)</f>
        <v>4</v>
      </c>
      <c r="M2070" s="4" t="str">
        <f>IFERROR(__xludf.DUMMYFUNCTION("""COMPUTED_VALUE"""),"Anota Ai Solucoes Digitais S/a")</f>
        <v>Anota Ai Solucoes Digitais S/a</v>
      </c>
      <c r="N2070" s="33">
        <f>IFERROR(__xludf.DUMMYFUNCTION("""COMPUTED_VALUE"""),0.5)</f>
        <v>0.5</v>
      </c>
      <c r="O2070" s="4" t="str">
        <f>IFERROR(__xludf.DUMMYFUNCTION("""COMPUTED_VALUE"""),"Anota Ai Solucoes Digitais S/a")</f>
        <v>Anota Ai Solucoes Digitais S/a</v>
      </c>
      <c r="P2070" s="33">
        <f>IFERROR(__xludf.DUMMYFUNCTION("""COMPUTED_VALUE"""),0.5)</f>
        <v>0.5</v>
      </c>
      <c r="Q2070" s="4" t="str">
        <f>IFERROR(__xludf.DUMMYFUNCTION("""COMPUTED_VALUE"""),"Anota Ai Solucoes Digitais S/a")</f>
        <v>Anota Ai Solucoes Digitais S/a</v>
      </c>
      <c r="R2070" s="33">
        <f>IFERROR(__xludf.DUMMYFUNCTION("""COMPUTED_VALUE"""),0.5)</f>
        <v>0.5</v>
      </c>
      <c r="S2070" s="4" t="str">
        <f>IFERROR(__xludf.DUMMYFUNCTION("""COMPUTED_VALUE"""),"M-du Tecnologia")</f>
        <v>M-du Tecnologia</v>
      </c>
      <c r="T2070" s="33">
        <f>IFERROR(__xludf.DUMMYFUNCTION("""COMPUTED_VALUE"""),0.25)</f>
        <v>0.25</v>
      </c>
      <c r="U2070" s="4" t="str">
        <f>IFERROR(__xludf.DUMMYFUNCTION("""COMPUTED_VALUE"""),"M-du Tecnologia")</f>
        <v>M-du Tecnologia</v>
      </c>
      <c r="V2070" s="33">
        <f>IFERROR(__xludf.DUMMYFUNCTION("""COMPUTED_VALUE"""),0.25)</f>
        <v>0.25</v>
      </c>
      <c r="W2070" s="4" t="str">
        <f>IFERROR(__xludf.DUMMYFUNCTION("""COMPUTED_VALUE"""),"M-du Tecnologia")</f>
        <v>M-du Tecnologia</v>
      </c>
      <c r="X2070" s="33">
        <f>IFERROR(__xludf.DUMMYFUNCTION("""COMPUTED_VALUE"""),0.25)</f>
        <v>0.25</v>
      </c>
    </row>
    <row r="2071">
      <c r="K2071" s="4" t="str">
        <f>IFERROR(__xludf.DUMMYFUNCTION("""COMPUTED_VALUE"""),"CABULOSO BURGUER")</f>
        <v>CABULOSO BURGUER</v>
      </c>
      <c r="L2071" s="32">
        <f>IFERROR(__xludf.DUMMYFUNCTION("""COMPUTED_VALUE"""),4.0)</f>
        <v>4</v>
      </c>
      <c r="M2071" s="4" t="str">
        <f>IFERROR(__xludf.DUMMYFUNCTION("""COMPUTED_VALUE"""),"null")</f>
        <v>null</v>
      </c>
      <c r="N2071" s="33">
        <f>IFERROR(__xludf.DUMMYFUNCTION("""COMPUTED_VALUE"""),0.5)</f>
        <v>0.5</v>
      </c>
      <c r="O2071" s="4" t="str">
        <f>IFERROR(__xludf.DUMMYFUNCTION("""COMPUTED_VALUE"""),"null")</f>
        <v>null</v>
      </c>
      <c r="P2071" s="33">
        <f>IFERROR(__xludf.DUMMYFUNCTION("""COMPUTED_VALUE"""),0.5)</f>
        <v>0.5</v>
      </c>
      <c r="Q2071" s="4" t="str">
        <f>IFERROR(__xludf.DUMMYFUNCTION("""COMPUTED_VALUE"""),"null")</f>
        <v>null</v>
      </c>
      <c r="R2071" s="33">
        <f>IFERROR(__xludf.DUMMYFUNCTION("""COMPUTED_VALUE"""),0.5)</f>
        <v>0.5</v>
      </c>
      <c r="S2071" s="4" t="str">
        <f>IFERROR(__xludf.DUMMYFUNCTION("""COMPUTED_VALUE"""),"null")</f>
        <v>null</v>
      </c>
      <c r="T2071" s="33">
        <f>IFERROR(__xludf.DUMMYFUNCTION("""COMPUTED_VALUE"""),0.5)</f>
        <v>0.5</v>
      </c>
      <c r="U2071" s="4" t="str">
        <f>IFERROR(__xludf.DUMMYFUNCTION("""COMPUTED_VALUE"""),"Saipos Serviços De Software")</f>
        <v>Saipos Serviços De Software</v>
      </c>
      <c r="V2071" s="33">
        <f>IFERROR(__xludf.DUMMYFUNCTION("""COMPUTED_VALUE"""),0.75)</f>
        <v>0.75</v>
      </c>
      <c r="W2071" s="4" t="str">
        <f>IFERROR(__xludf.DUMMYFUNCTION("""COMPUTED_VALUE"""),"Saipos Serviços De Software")</f>
        <v>Saipos Serviços De Software</v>
      </c>
      <c r="X2071" s="33">
        <f>IFERROR(__xludf.DUMMYFUNCTION("""COMPUTED_VALUE"""),0.75)</f>
        <v>0.75</v>
      </c>
    </row>
    <row r="2072">
      <c r="K2072" s="4" t="str">
        <f>IFERROR(__xludf.DUMMYFUNCTION("""COMPUTED_VALUE"""),"BROTHERS HAMBURGUERIA")</f>
        <v>BROTHERS HAMBURGUERIA</v>
      </c>
      <c r="L2072" s="32">
        <f>IFERROR(__xludf.DUMMYFUNCTION("""COMPUTED_VALUE"""),4.0)</f>
        <v>4</v>
      </c>
      <c r="M2072" s="4" t="str">
        <f>IFERROR(__xludf.DUMMYFUNCTION("""COMPUTED_VALUE"""),"null")</f>
        <v>null</v>
      </c>
      <c r="N2072" s="33">
        <f>IFERROR(__xludf.DUMMYFUNCTION("""COMPUTED_VALUE"""),0.5)</f>
        <v>0.5</v>
      </c>
      <c r="O2072" s="4" t="str">
        <f>IFERROR(__xludf.DUMMYFUNCTION("""COMPUTED_VALUE"""),"null")</f>
        <v>null</v>
      </c>
      <c r="P2072" s="33">
        <f>IFERROR(__xludf.DUMMYFUNCTION("""COMPUTED_VALUE"""),0.5)</f>
        <v>0.5</v>
      </c>
      <c r="Q2072" s="4" t="str">
        <f>IFERROR(__xludf.DUMMYFUNCTION("""COMPUTED_VALUE"""),"Hubster")</f>
        <v>Hubster</v>
      </c>
      <c r="R2072" s="33">
        <f>IFERROR(__xludf.DUMMYFUNCTION("""COMPUTED_VALUE"""),0.5)</f>
        <v>0.5</v>
      </c>
      <c r="S2072" s="4" t="str">
        <f>IFERROR(__xludf.DUMMYFUNCTION("""COMPUTED_VALUE"""),"null")</f>
        <v>null</v>
      </c>
      <c r="T2072" s="33">
        <f>IFERROR(__xludf.DUMMYFUNCTION("""COMPUTED_VALUE"""),0.5)</f>
        <v>0.5</v>
      </c>
      <c r="U2072" s="4" t="str">
        <f>IFERROR(__xludf.DUMMYFUNCTION("""COMPUTED_VALUE"""),"Brendi")</f>
        <v>Brendi</v>
      </c>
      <c r="V2072" s="33">
        <f>IFERROR(__xludf.DUMMYFUNCTION("""COMPUTED_VALUE"""),0.25)</f>
        <v>0.25</v>
      </c>
      <c r="W2072" s="4" t="str">
        <f>IFERROR(__xludf.DUMMYFUNCTION("""COMPUTED_VALUE"""),"Brendi")</f>
        <v>Brendi</v>
      </c>
      <c r="X2072" s="33">
        <f>IFERROR(__xludf.DUMMYFUNCTION("""COMPUTED_VALUE"""),0.25)</f>
        <v>0.25</v>
      </c>
    </row>
    <row r="2073">
      <c r="K2073" s="4" t="str">
        <f>IFERROR(__xludf.DUMMYFUNCTION("""COMPUTED_VALUE"""),"SR PASTEL")</f>
        <v>SR PASTEL</v>
      </c>
      <c r="L2073" s="32">
        <f>IFERROR(__xludf.DUMMYFUNCTION("""COMPUTED_VALUE"""),4.0)</f>
        <v>4</v>
      </c>
      <c r="M2073" s="4" t="str">
        <f>IFERROR(__xludf.DUMMYFUNCTION("""COMPUTED_VALUE"""),"Yooga")</f>
        <v>Yooga</v>
      </c>
      <c r="N2073" s="33">
        <f>IFERROR(__xludf.DUMMYFUNCTION("""COMPUTED_VALUE"""),0.25)</f>
        <v>0.25</v>
      </c>
      <c r="O2073" s="4" t="str">
        <f>IFERROR(__xludf.DUMMYFUNCTION("""COMPUTED_VALUE"""),"Anove Tecnologia")</f>
        <v>Anove Tecnologia</v>
      </c>
      <c r="P2073" s="33">
        <f>IFERROR(__xludf.DUMMYFUNCTION("""COMPUTED_VALUE"""),0.25)</f>
        <v>0.25</v>
      </c>
      <c r="Q2073" s="4" t="str">
        <f>IFERROR(__xludf.DUMMYFUNCTION("""COMPUTED_VALUE"""),"Anove Tecnologia")</f>
        <v>Anove Tecnologia</v>
      </c>
      <c r="R2073" s="33">
        <f>IFERROR(__xludf.DUMMYFUNCTION("""COMPUTED_VALUE"""),0.25)</f>
        <v>0.25</v>
      </c>
      <c r="S2073" s="4" t="str">
        <f>IFERROR(__xludf.DUMMYFUNCTION("""COMPUTED_VALUE"""),"null")</f>
        <v>null</v>
      </c>
      <c r="T2073" s="33">
        <f>IFERROR(__xludf.DUMMYFUNCTION("""COMPUTED_VALUE"""),0.75)</f>
        <v>0.75</v>
      </c>
      <c r="U2073" s="4" t="str">
        <f>IFERROR(__xludf.DUMMYFUNCTION("""COMPUTED_VALUE"""),"Anove Tecnologia")</f>
        <v>Anove Tecnologia</v>
      </c>
      <c r="V2073" s="33">
        <f>IFERROR(__xludf.DUMMYFUNCTION("""COMPUTED_VALUE"""),0.25)</f>
        <v>0.25</v>
      </c>
      <c r="W2073" s="4" t="str">
        <f>IFERROR(__xludf.DUMMYFUNCTION("""COMPUTED_VALUE"""),"Anove Tecnologia")</f>
        <v>Anove Tecnologia</v>
      </c>
      <c r="X2073" s="33">
        <f>IFERROR(__xludf.DUMMYFUNCTION("""COMPUTED_VALUE"""),0.25)</f>
        <v>0.25</v>
      </c>
    </row>
    <row r="2074">
      <c r="K2074" s="4" t="str">
        <f>IFERROR(__xludf.DUMMYFUNCTION("""COMPUTED_VALUE"""),"DPRANDINE")</f>
        <v>DPRANDINE</v>
      </c>
      <c r="L2074" s="32">
        <f>IFERROR(__xludf.DUMMYFUNCTION("""COMPUTED_VALUE"""),4.0)</f>
        <v>4</v>
      </c>
      <c r="M2074" s="4" t="str">
        <f>IFERROR(__xludf.DUMMYFUNCTION("""COMPUTED_VALUE"""),"null")</f>
        <v>null</v>
      </c>
      <c r="N2074" s="33">
        <f>IFERROR(__xludf.DUMMYFUNCTION("""COMPUTED_VALUE"""),0.5)</f>
        <v>0.5</v>
      </c>
      <c r="O2074" s="4" t="str">
        <f>IFERROR(__xludf.DUMMYFUNCTION("""COMPUTED_VALUE"""),"null")</f>
        <v>null</v>
      </c>
      <c r="P2074" s="33">
        <f>IFERROR(__xludf.DUMMYFUNCTION("""COMPUTED_VALUE"""),0.75)</f>
        <v>0.75</v>
      </c>
      <c r="Q2074" s="4" t="str">
        <f>IFERROR(__xludf.DUMMYFUNCTION("""COMPUTED_VALUE"""),"null")</f>
        <v>null</v>
      </c>
      <c r="R2074" s="33">
        <f>IFERROR(__xludf.DUMMYFUNCTION("""COMPUTED_VALUE"""),0.75)</f>
        <v>0.75</v>
      </c>
      <c r="S2074" s="4" t="str">
        <f>IFERROR(__xludf.DUMMYFUNCTION("""COMPUTED_VALUE"""),"null")</f>
        <v>null</v>
      </c>
      <c r="T2074" s="33">
        <f>IFERROR(__xludf.DUMMYFUNCTION("""COMPUTED_VALUE"""),0.75)</f>
        <v>0.75</v>
      </c>
      <c r="U2074" s="4" t="str">
        <f>IFERROR(__xludf.DUMMYFUNCTION("""COMPUTED_VALUE"""),"null")</f>
        <v>null</v>
      </c>
      <c r="V2074" s="33">
        <f>IFERROR(__xludf.DUMMYFUNCTION("""COMPUTED_VALUE"""),0.75)</f>
        <v>0.75</v>
      </c>
      <c r="W2074" s="4" t="str">
        <f>IFERROR(__xludf.DUMMYFUNCTION("""COMPUTED_VALUE"""),"Vedas Automação Comercial")</f>
        <v>Vedas Automação Comercial</v>
      </c>
      <c r="X2074" s="33">
        <f>IFERROR(__xludf.DUMMYFUNCTION("""COMPUTED_VALUE"""),1.0)</f>
        <v>1</v>
      </c>
    </row>
    <row r="2075">
      <c r="K2075" s="4" t="str">
        <f>IFERROR(__xludf.DUMMYFUNCTION("""COMPUTED_VALUE"""),"GORDAO LANCHES")</f>
        <v>GORDAO LANCHES</v>
      </c>
      <c r="L2075" s="32">
        <f>IFERROR(__xludf.DUMMYFUNCTION("""COMPUTED_VALUE"""),4.0)</f>
        <v>4</v>
      </c>
      <c r="M2075" s="4" t="str">
        <f>IFERROR(__xludf.DUMMYFUNCTION("""COMPUTED_VALUE"""),"Fs Soluções Em Tecnologia Ltda")</f>
        <v>Fs Soluções Em Tecnologia Ltda</v>
      </c>
      <c r="N2075" s="33">
        <f>IFERROR(__xludf.DUMMYFUNCTION("""COMPUTED_VALUE"""),0.5)</f>
        <v>0.5</v>
      </c>
      <c r="O2075" s="4" t="str">
        <f>IFERROR(__xludf.DUMMYFUNCTION("""COMPUTED_VALUE"""),"Fs Soluções Em Tecnologia Ltda")</f>
        <v>Fs Soluções Em Tecnologia Ltda</v>
      </c>
      <c r="P2075" s="33">
        <f>IFERROR(__xludf.DUMMYFUNCTION("""COMPUTED_VALUE"""),0.5)</f>
        <v>0.5</v>
      </c>
      <c r="Q2075" s="4" t="str">
        <f>IFERROR(__xludf.DUMMYFUNCTION("""COMPUTED_VALUE"""),"Fs Soluções Em Tecnologia Ltda")</f>
        <v>Fs Soluções Em Tecnologia Ltda</v>
      </c>
      <c r="R2075" s="33">
        <f>IFERROR(__xludf.DUMMYFUNCTION("""COMPUTED_VALUE"""),0.25)</f>
        <v>0.25</v>
      </c>
      <c r="S2075" s="4" t="str">
        <f>IFERROR(__xludf.DUMMYFUNCTION("""COMPUTED_VALUE"""),"Fs Soluções Em Tecnologia Ltda")</f>
        <v>Fs Soluções Em Tecnologia Ltda</v>
      </c>
      <c r="T2075" s="33">
        <f>IFERROR(__xludf.DUMMYFUNCTION("""COMPUTED_VALUE"""),0.25)</f>
        <v>0.25</v>
      </c>
      <c r="U2075" s="4" t="str">
        <f>IFERROR(__xludf.DUMMYFUNCTION("""COMPUTED_VALUE"""),"Fs Soluções Em Tecnologia Ltda")</f>
        <v>Fs Soluções Em Tecnologia Ltda</v>
      </c>
      <c r="V2075" s="33">
        <f>IFERROR(__xludf.DUMMYFUNCTION("""COMPUTED_VALUE"""),0.5)</f>
        <v>0.5</v>
      </c>
      <c r="W2075" s="4" t="str">
        <f>IFERROR(__xludf.DUMMYFUNCTION("""COMPUTED_VALUE"""),"Fs Soluções Em Tecnologia Ltda")</f>
        <v>Fs Soluções Em Tecnologia Ltda</v>
      </c>
      <c r="X2075" s="33">
        <f>IFERROR(__xludf.DUMMYFUNCTION("""COMPUTED_VALUE"""),0.5)</f>
        <v>0.5</v>
      </c>
    </row>
    <row r="2076">
      <c r="K2076" s="4" t="str">
        <f>IFERROR(__xludf.DUMMYFUNCTION("""COMPUTED_VALUE"""),"BAIXINHO LANCHES")</f>
        <v>BAIXINHO LANCHES</v>
      </c>
      <c r="L2076" s="32">
        <f>IFERROR(__xludf.DUMMYFUNCTION("""COMPUTED_VALUE"""),4.0)</f>
        <v>4</v>
      </c>
      <c r="M2076" s="4" t="str">
        <f>IFERROR(__xludf.DUMMYFUNCTION("""COMPUTED_VALUE"""),"Cardápio Web")</f>
        <v>Cardápio Web</v>
      </c>
      <c r="N2076" s="33">
        <f>IFERROR(__xludf.DUMMYFUNCTION("""COMPUTED_VALUE"""),0.25)</f>
        <v>0.25</v>
      </c>
      <c r="O2076" s="4" t="str">
        <f>IFERROR(__xludf.DUMMYFUNCTION("""COMPUTED_VALUE"""),"Cardápio Web")</f>
        <v>Cardápio Web</v>
      </c>
      <c r="P2076" s="33">
        <f>IFERROR(__xludf.DUMMYFUNCTION("""COMPUTED_VALUE"""),0.25)</f>
        <v>0.25</v>
      </c>
      <c r="Q2076" s="4" t="str">
        <f>IFERROR(__xludf.DUMMYFUNCTION("""COMPUTED_VALUE"""),"Cardápio Web")</f>
        <v>Cardápio Web</v>
      </c>
      <c r="R2076" s="33">
        <f>IFERROR(__xludf.DUMMYFUNCTION("""COMPUTED_VALUE"""),0.25)</f>
        <v>0.25</v>
      </c>
      <c r="S2076" s="4" t="str">
        <f>IFERROR(__xludf.DUMMYFUNCTION("""COMPUTED_VALUE"""),"Cardápio Web")</f>
        <v>Cardápio Web</v>
      </c>
      <c r="T2076" s="33">
        <f>IFERROR(__xludf.DUMMYFUNCTION("""COMPUTED_VALUE"""),0.25)</f>
        <v>0.25</v>
      </c>
      <c r="U2076" s="4" t="str">
        <f>IFERROR(__xludf.DUMMYFUNCTION("""COMPUTED_VALUE"""),"Cardápio Web")</f>
        <v>Cardápio Web</v>
      </c>
      <c r="V2076" s="33">
        <f>IFERROR(__xludf.DUMMYFUNCTION("""COMPUTED_VALUE"""),0.25)</f>
        <v>0.25</v>
      </c>
      <c r="W2076" s="4" t="str">
        <f>IFERROR(__xludf.DUMMYFUNCTION("""COMPUTED_VALUE"""),"Cardápio Web")</f>
        <v>Cardápio Web</v>
      </c>
      <c r="X2076" s="33">
        <f>IFERROR(__xludf.DUMMYFUNCTION("""COMPUTED_VALUE"""),0.25)</f>
        <v>0.25</v>
      </c>
    </row>
    <row r="2077">
      <c r="K2077" s="4" t="str">
        <f>IFERROR(__xludf.DUMMYFUNCTION("""COMPUTED_VALUE"""),"PLANET BURGER")</f>
        <v>PLANET BURGER</v>
      </c>
      <c r="L2077" s="32">
        <f>IFERROR(__xludf.DUMMYFUNCTION("""COMPUTED_VALUE"""),4.0)</f>
        <v>4</v>
      </c>
      <c r="M2077" s="4" t="str">
        <f>IFERROR(__xludf.DUMMYFUNCTION("""COMPUTED_VALUE"""),"Yooga")</f>
        <v>Yooga</v>
      </c>
      <c r="N2077" s="33">
        <f>IFERROR(__xludf.DUMMYFUNCTION("""COMPUTED_VALUE"""),0.5)</f>
        <v>0.5</v>
      </c>
      <c r="O2077" s="4" t="str">
        <f>IFERROR(__xludf.DUMMYFUNCTION("""COMPUTED_VALUE"""),"Yooga")</f>
        <v>Yooga</v>
      </c>
      <c r="P2077" s="33">
        <f>IFERROR(__xludf.DUMMYFUNCTION("""COMPUTED_VALUE"""),0.5)</f>
        <v>0.5</v>
      </c>
      <c r="Q2077" s="4" t="str">
        <f>IFERROR(__xludf.DUMMYFUNCTION("""COMPUTED_VALUE"""),"Yooga")</f>
        <v>Yooga</v>
      </c>
      <c r="R2077" s="33">
        <f>IFERROR(__xludf.DUMMYFUNCTION("""COMPUTED_VALUE"""),0.5)</f>
        <v>0.5</v>
      </c>
      <c r="S2077" s="4" t="str">
        <f>IFERROR(__xludf.DUMMYFUNCTION("""COMPUTED_VALUE"""),"Yooga")</f>
        <v>Yooga</v>
      </c>
      <c r="T2077" s="33">
        <f>IFERROR(__xludf.DUMMYFUNCTION("""COMPUTED_VALUE"""),0.5)</f>
        <v>0.5</v>
      </c>
      <c r="U2077" s="4" t="str">
        <f>IFERROR(__xludf.DUMMYFUNCTION("""COMPUTED_VALUE"""),"Yooga")</f>
        <v>Yooga</v>
      </c>
      <c r="V2077" s="33">
        <f>IFERROR(__xludf.DUMMYFUNCTION("""COMPUTED_VALUE"""),0.5)</f>
        <v>0.5</v>
      </c>
      <c r="W2077" s="4" t="str">
        <f>IFERROR(__xludf.DUMMYFUNCTION("""COMPUTED_VALUE"""),"null")</f>
        <v>null</v>
      </c>
      <c r="X2077" s="33">
        <f>IFERROR(__xludf.DUMMYFUNCTION("""COMPUTED_VALUE"""),0.75)</f>
        <v>0.75</v>
      </c>
    </row>
    <row r="2078">
      <c r="K2078" s="4" t="str">
        <f>IFERROR(__xludf.DUMMYFUNCTION("""COMPUTED_VALUE"""),"THE BURGUER")</f>
        <v>THE BURGUER</v>
      </c>
      <c r="L2078" s="32">
        <f>IFERROR(__xludf.DUMMYFUNCTION("""COMPUTED_VALUE"""),4.0)</f>
        <v>4</v>
      </c>
      <c r="M2078" s="4" t="str">
        <f>IFERROR(__xludf.DUMMYFUNCTION("""COMPUTED_VALUE"""),"Agilizup Solucoes Ltda")</f>
        <v>Agilizup Solucoes Ltda</v>
      </c>
      <c r="N2078" s="33">
        <f>IFERROR(__xludf.DUMMYFUNCTION("""COMPUTED_VALUE"""),0.25)</f>
        <v>0.25</v>
      </c>
      <c r="O2078" s="4" t="str">
        <f>IFERROR(__xludf.DUMMYFUNCTION("""COMPUTED_VALUE"""),"Agilizup Solucoes Ltda")</f>
        <v>Agilizup Solucoes Ltda</v>
      </c>
      <c r="P2078" s="33">
        <f>IFERROR(__xludf.DUMMYFUNCTION("""COMPUTED_VALUE"""),0.25)</f>
        <v>0.25</v>
      </c>
      <c r="Q2078" s="4" t="str">
        <f>IFERROR(__xludf.DUMMYFUNCTION("""COMPUTED_VALUE"""),"null")</f>
        <v>null</v>
      </c>
      <c r="R2078" s="33">
        <f>IFERROR(__xludf.DUMMYFUNCTION("""COMPUTED_VALUE"""),0.5)</f>
        <v>0.5</v>
      </c>
      <c r="S2078" s="4" t="str">
        <f>IFERROR(__xludf.DUMMYFUNCTION("""COMPUTED_VALUE"""),"null")</f>
        <v>null</v>
      </c>
      <c r="T2078" s="33">
        <f>IFERROR(__xludf.DUMMYFUNCTION("""COMPUTED_VALUE"""),0.5)</f>
        <v>0.5</v>
      </c>
      <c r="U2078" s="4" t="str">
        <f>IFERROR(__xludf.DUMMYFUNCTION("""COMPUTED_VALUE"""),"Agilizup Solucoes Ltda")</f>
        <v>Agilizup Solucoes Ltda</v>
      </c>
      <c r="V2078" s="33">
        <f>IFERROR(__xludf.DUMMYFUNCTION("""COMPUTED_VALUE"""),0.25)</f>
        <v>0.25</v>
      </c>
      <c r="W2078" s="4" t="str">
        <f>IFERROR(__xludf.DUMMYFUNCTION("""COMPUTED_VALUE"""),"null")</f>
        <v>null</v>
      </c>
      <c r="X2078" s="33">
        <f>IFERROR(__xludf.DUMMYFUNCTION("""COMPUTED_VALUE"""),0.5)</f>
        <v>0.5</v>
      </c>
    </row>
    <row r="2079">
      <c r="K2079" s="4" t="str">
        <f>IFERROR(__xludf.DUMMYFUNCTION("""COMPUTED_VALUE"""),"ASTRO BURGUER")</f>
        <v>ASTRO BURGUER</v>
      </c>
      <c r="L2079" s="32">
        <f>IFERROR(__xludf.DUMMYFUNCTION("""COMPUTED_VALUE"""),4.0)</f>
        <v>4</v>
      </c>
      <c r="M2079" s="4" t="str">
        <f>IFERROR(__xludf.DUMMYFUNCTION("""COMPUTED_VALUE"""),"Anota Ai Solucoes Digitais S/a")</f>
        <v>Anota Ai Solucoes Digitais S/a</v>
      </c>
      <c r="N2079" s="33">
        <f>IFERROR(__xludf.DUMMYFUNCTION("""COMPUTED_VALUE"""),0.25)</f>
        <v>0.25</v>
      </c>
      <c r="O2079" s="4" t="str">
        <f>IFERROR(__xludf.DUMMYFUNCTION("""COMPUTED_VALUE"""),"null")</f>
        <v>null</v>
      </c>
      <c r="P2079" s="33">
        <f>IFERROR(__xludf.DUMMYFUNCTION("""COMPUTED_VALUE"""),0.5)</f>
        <v>0.5</v>
      </c>
      <c r="Q2079" s="4" t="str">
        <f>IFERROR(__xludf.DUMMYFUNCTION("""COMPUTED_VALUE"""),"null")</f>
        <v>null</v>
      </c>
      <c r="R2079" s="33">
        <f>IFERROR(__xludf.DUMMYFUNCTION("""COMPUTED_VALUE"""),0.5)</f>
        <v>0.5</v>
      </c>
      <c r="S2079" s="4" t="str">
        <f>IFERROR(__xludf.DUMMYFUNCTION("""COMPUTED_VALUE"""),"Cardápio Web")</f>
        <v>Cardápio Web</v>
      </c>
      <c r="T2079" s="33">
        <f>IFERROR(__xludf.DUMMYFUNCTION("""COMPUTED_VALUE"""),0.5)</f>
        <v>0.5</v>
      </c>
      <c r="U2079" s="4" t="str">
        <f>IFERROR(__xludf.DUMMYFUNCTION("""COMPUTED_VALUE"""),"Cardápio Web")</f>
        <v>Cardápio Web</v>
      </c>
      <c r="V2079" s="33">
        <f>IFERROR(__xludf.DUMMYFUNCTION("""COMPUTED_VALUE"""),0.5)</f>
        <v>0.5</v>
      </c>
      <c r="W2079" s="4" t="str">
        <f>IFERROR(__xludf.DUMMYFUNCTION("""COMPUTED_VALUE"""),"Cardápio Web")</f>
        <v>Cardápio Web</v>
      </c>
      <c r="X2079" s="33">
        <f>IFERROR(__xludf.DUMMYFUNCTION("""COMPUTED_VALUE"""),0.5)</f>
        <v>0.5</v>
      </c>
    </row>
    <row r="2080">
      <c r="K2080" s="4" t="str">
        <f>IFERROR(__xludf.DUMMYFUNCTION("""COMPUTED_VALUE"""),"ON BURGER")</f>
        <v>ON BURGER</v>
      </c>
      <c r="L2080" s="32">
        <f>IFERROR(__xludf.DUMMYFUNCTION("""COMPUTED_VALUE"""),4.0)</f>
        <v>4</v>
      </c>
      <c r="M2080" s="4" t="str">
        <f>IFERROR(__xludf.DUMMYFUNCTION("""COMPUTED_VALUE"""),"Softsa Sistemas De Informação Ltda")</f>
        <v>Softsa Sistemas De Informação Ltda</v>
      </c>
      <c r="N2080" s="33">
        <f>IFERROR(__xludf.DUMMYFUNCTION("""COMPUTED_VALUE"""),0.5)</f>
        <v>0.5</v>
      </c>
      <c r="O2080" s="4" t="str">
        <f>IFERROR(__xludf.DUMMYFUNCTION("""COMPUTED_VALUE"""),"null")</f>
        <v>null</v>
      </c>
      <c r="P2080" s="33">
        <f>IFERROR(__xludf.DUMMYFUNCTION("""COMPUTED_VALUE"""),0.5)</f>
        <v>0.5</v>
      </c>
      <c r="Q2080" s="4" t="str">
        <f>IFERROR(__xludf.DUMMYFUNCTION("""COMPUTED_VALUE"""),"Softsa Sistemas De Informação Ltda")</f>
        <v>Softsa Sistemas De Informação Ltda</v>
      </c>
      <c r="R2080" s="33">
        <f>IFERROR(__xludf.DUMMYFUNCTION("""COMPUTED_VALUE"""),0.5)</f>
        <v>0.5</v>
      </c>
      <c r="S2080" s="4" t="str">
        <f>IFERROR(__xludf.DUMMYFUNCTION("""COMPUTED_VALUE"""),"null")</f>
        <v>null</v>
      </c>
      <c r="T2080" s="33">
        <f>IFERROR(__xludf.DUMMYFUNCTION("""COMPUTED_VALUE"""),0.75)</f>
        <v>0.75</v>
      </c>
      <c r="U2080" s="4" t="str">
        <f>IFERROR(__xludf.DUMMYFUNCTION("""COMPUTED_VALUE"""),"null")</f>
        <v>null</v>
      </c>
      <c r="V2080" s="33">
        <f>IFERROR(__xludf.DUMMYFUNCTION("""COMPUTED_VALUE"""),0.5)</f>
        <v>0.5</v>
      </c>
      <c r="W2080" s="4" t="str">
        <f>IFERROR(__xludf.DUMMYFUNCTION("""COMPUTED_VALUE"""),"Softsa Sistemas De Informação Ltda")</f>
        <v>Softsa Sistemas De Informação Ltda</v>
      </c>
      <c r="X2080" s="33">
        <f>IFERROR(__xludf.DUMMYFUNCTION("""COMPUTED_VALUE"""),0.5)</f>
        <v>0.5</v>
      </c>
    </row>
    <row r="2081">
      <c r="K2081" s="4" t="str">
        <f>IFERROR(__xludf.DUMMYFUNCTION("""COMPUTED_VALUE"""),"MY SUSHI")</f>
        <v>MY SUSHI</v>
      </c>
      <c r="L2081" s="32">
        <f>IFERROR(__xludf.DUMMYFUNCTION("""COMPUTED_VALUE"""),4.0)</f>
        <v>4</v>
      </c>
      <c r="M2081" s="4" t="str">
        <f>IFERROR(__xludf.DUMMYFUNCTION("""COMPUTED_VALUE"""),"Instadelivery")</f>
        <v>Instadelivery</v>
      </c>
      <c r="N2081" s="33">
        <f>IFERROR(__xludf.DUMMYFUNCTION("""COMPUTED_VALUE"""),1.0)</f>
        <v>1</v>
      </c>
      <c r="O2081" s="4" t="str">
        <f>IFERROR(__xludf.DUMMYFUNCTION("""COMPUTED_VALUE"""),"Instadelivery")</f>
        <v>Instadelivery</v>
      </c>
      <c r="P2081" s="33">
        <f>IFERROR(__xludf.DUMMYFUNCTION("""COMPUTED_VALUE"""),1.0)</f>
        <v>1</v>
      </c>
      <c r="Q2081" s="4" t="str">
        <f>IFERROR(__xludf.DUMMYFUNCTION("""COMPUTED_VALUE"""),"Instadelivery")</f>
        <v>Instadelivery</v>
      </c>
      <c r="R2081" s="33">
        <f>IFERROR(__xludf.DUMMYFUNCTION("""COMPUTED_VALUE"""),1.0)</f>
        <v>1</v>
      </c>
      <c r="S2081" s="4" t="str">
        <f>IFERROR(__xludf.DUMMYFUNCTION("""COMPUTED_VALUE"""),"Instadelivery")</f>
        <v>Instadelivery</v>
      </c>
      <c r="T2081" s="33">
        <f>IFERROR(__xludf.DUMMYFUNCTION("""COMPUTED_VALUE"""),1.0)</f>
        <v>1</v>
      </c>
      <c r="U2081" s="4" t="str">
        <f>IFERROR(__xludf.DUMMYFUNCTION("""COMPUTED_VALUE"""),"Instadelivery")</f>
        <v>Instadelivery</v>
      </c>
      <c r="V2081" s="33">
        <f>IFERROR(__xludf.DUMMYFUNCTION("""COMPUTED_VALUE"""),1.0)</f>
        <v>1</v>
      </c>
      <c r="W2081" s="4" t="str">
        <f>IFERROR(__xludf.DUMMYFUNCTION("""COMPUTED_VALUE"""),"Instadelivery")</f>
        <v>Instadelivery</v>
      </c>
      <c r="X2081" s="33">
        <f>IFERROR(__xludf.DUMMYFUNCTION("""COMPUTED_VALUE"""),1.0)</f>
        <v>1</v>
      </c>
    </row>
    <row r="2082">
      <c r="K2082" s="4" t="str">
        <f>IFERROR(__xludf.DUMMYFUNCTION("""COMPUTED_VALUE"""),"EMPORIO DAS BEBIDAS")</f>
        <v>EMPORIO DAS BEBIDAS</v>
      </c>
      <c r="L2082" s="32">
        <f>IFERROR(__xludf.DUMMYFUNCTION("""COMPUTED_VALUE"""),4.0)</f>
        <v>4</v>
      </c>
      <c r="M2082" s="4" t="str">
        <f>IFERROR(__xludf.DUMMYFUNCTION("""COMPUTED_VALUE"""),"N/A (Not found)")</f>
        <v>N/A (Not found)</v>
      </c>
      <c r="N2082" s="33">
        <f>IFERROR(__xludf.DUMMYFUNCTION("""COMPUTED_VALUE"""),0.75)</f>
        <v>0.75</v>
      </c>
      <c r="O2082" s="4" t="str">
        <f>IFERROR(__xludf.DUMMYFUNCTION("""COMPUTED_VALUE"""),"N/A (Not found)")</f>
        <v>N/A (Not found)</v>
      </c>
      <c r="P2082" s="33">
        <f>IFERROR(__xludf.DUMMYFUNCTION("""COMPUTED_VALUE"""),0.75)</f>
        <v>0.75</v>
      </c>
      <c r="Q2082" s="4" t="str">
        <f>IFERROR(__xludf.DUMMYFUNCTION("""COMPUTED_VALUE"""),"N/A (Not found)")</f>
        <v>N/A (Not found)</v>
      </c>
      <c r="R2082" s="33">
        <f>IFERROR(__xludf.DUMMYFUNCTION("""COMPUTED_VALUE"""),0.75)</f>
        <v>0.75</v>
      </c>
      <c r="S2082" s="4" t="str">
        <f>IFERROR(__xludf.DUMMYFUNCTION("""COMPUTED_VALUE"""),"N/A (Not found)")</f>
        <v>N/A (Not found)</v>
      </c>
      <c r="T2082" s="33">
        <f>IFERROR(__xludf.DUMMYFUNCTION("""COMPUTED_VALUE"""),0.75)</f>
        <v>0.75</v>
      </c>
      <c r="U2082" s="4" t="str">
        <f>IFERROR(__xludf.DUMMYFUNCTION("""COMPUTED_VALUE"""),"N/A (Not found)")</f>
        <v>N/A (Not found)</v>
      </c>
      <c r="V2082" s="33">
        <f>IFERROR(__xludf.DUMMYFUNCTION("""COMPUTED_VALUE"""),0.75)</f>
        <v>0.75</v>
      </c>
      <c r="W2082" s="4" t="str">
        <f>IFERROR(__xludf.DUMMYFUNCTION("""COMPUTED_VALUE"""),"N/A (Not found)")</f>
        <v>N/A (Not found)</v>
      </c>
      <c r="X2082" s="33">
        <f>IFERROR(__xludf.DUMMYFUNCTION("""COMPUTED_VALUE"""),0.75)</f>
        <v>0.75</v>
      </c>
    </row>
    <row r="2083">
      <c r="K2083" s="4" t="str">
        <f>IFERROR(__xludf.DUMMYFUNCTION("""COMPUTED_VALUE"""),"ENGENHARIA DA PIZZA")</f>
        <v>ENGENHARIA DA PIZZA</v>
      </c>
      <c r="L2083" s="32">
        <f>IFERROR(__xludf.DUMMYFUNCTION("""COMPUTED_VALUE"""),4.0)</f>
        <v>4</v>
      </c>
      <c r="M2083" s="4" t="str">
        <f>IFERROR(__xludf.DUMMYFUNCTION("""COMPUTED_VALUE"""),"Saipos Serviços De Software")</f>
        <v>Saipos Serviços De Software</v>
      </c>
      <c r="N2083" s="33">
        <f>IFERROR(__xludf.DUMMYFUNCTION("""COMPUTED_VALUE"""),0.75)</f>
        <v>0.75</v>
      </c>
      <c r="O2083" s="4" t="str">
        <f>IFERROR(__xludf.DUMMYFUNCTION("""COMPUTED_VALUE"""),"Saipos Serviços De Software")</f>
        <v>Saipos Serviços De Software</v>
      </c>
      <c r="P2083" s="33">
        <f>IFERROR(__xludf.DUMMYFUNCTION("""COMPUTED_VALUE"""),0.75)</f>
        <v>0.75</v>
      </c>
      <c r="Q2083" s="4" t="str">
        <f>IFERROR(__xludf.DUMMYFUNCTION("""COMPUTED_VALUE"""),"Saipos Serviços De Software")</f>
        <v>Saipos Serviços De Software</v>
      </c>
      <c r="R2083" s="33">
        <f>IFERROR(__xludf.DUMMYFUNCTION("""COMPUTED_VALUE"""),0.75)</f>
        <v>0.75</v>
      </c>
      <c r="S2083" s="4" t="str">
        <f>IFERROR(__xludf.DUMMYFUNCTION("""COMPUTED_VALUE"""),"Saipos Serviços De Software")</f>
        <v>Saipos Serviços De Software</v>
      </c>
      <c r="T2083" s="33">
        <f>IFERROR(__xludf.DUMMYFUNCTION("""COMPUTED_VALUE"""),0.75)</f>
        <v>0.75</v>
      </c>
      <c r="U2083" s="4" t="str">
        <f>IFERROR(__xludf.DUMMYFUNCTION("""COMPUTED_VALUE"""),"Saipos Serviços De Software")</f>
        <v>Saipos Serviços De Software</v>
      </c>
      <c r="V2083" s="33">
        <f>IFERROR(__xludf.DUMMYFUNCTION("""COMPUTED_VALUE"""),0.75)</f>
        <v>0.75</v>
      </c>
      <c r="W2083" s="4" t="str">
        <f>IFERROR(__xludf.DUMMYFUNCTION("""COMPUTED_VALUE"""),"Saipos Serviços De Software")</f>
        <v>Saipos Serviços De Software</v>
      </c>
      <c r="X2083" s="33">
        <f>IFERROR(__xludf.DUMMYFUNCTION("""COMPUTED_VALUE"""),0.75)</f>
        <v>0.75</v>
      </c>
    </row>
    <row r="2084">
      <c r="K2084" s="4" t="str">
        <f>IFERROR(__xludf.DUMMYFUNCTION("""COMPUTED_VALUE"""),"RESTAURANTE SABOR CASEIRO")</f>
        <v>RESTAURANTE SABOR CASEIRO</v>
      </c>
      <c r="L2084" s="32">
        <f>IFERROR(__xludf.DUMMYFUNCTION("""COMPUTED_VALUE"""),4.0)</f>
        <v>4</v>
      </c>
      <c r="M2084" s="4" t="str">
        <f>IFERROR(__xludf.DUMMYFUNCTION("""COMPUTED_VALUE"""),"Anota Ai Solucoes Digitais S/a")</f>
        <v>Anota Ai Solucoes Digitais S/a</v>
      </c>
      <c r="N2084" s="33">
        <f>IFERROR(__xludf.DUMMYFUNCTION("""COMPUTED_VALUE"""),0.75)</f>
        <v>0.75</v>
      </c>
      <c r="O2084" s="4" t="str">
        <f>IFERROR(__xludf.DUMMYFUNCTION("""COMPUTED_VALUE"""),"null")</f>
        <v>null</v>
      </c>
      <c r="P2084" s="33">
        <f>IFERROR(__xludf.DUMMYFUNCTION("""COMPUTED_VALUE"""),0.5)</f>
        <v>0.5</v>
      </c>
      <c r="Q2084" s="4" t="str">
        <f>IFERROR(__xludf.DUMMYFUNCTION("""COMPUTED_VALUE"""),"null")</f>
        <v>null</v>
      </c>
      <c r="R2084" s="33">
        <f>IFERROR(__xludf.DUMMYFUNCTION("""COMPUTED_VALUE"""),0.75)</f>
        <v>0.75</v>
      </c>
      <c r="S2084" s="4" t="str">
        <f>IFERROR(__xludf.DUMMYFUNCTION("""COMPUTED_VALUE"""),"null")</f>
        <v>null</v>
      </c>
      <c r="T2084" s="33">
        <f>IFERROR(__xludf.DUMMYFUNCTION("""COMPUTED_VALUE"""),0.5)</f>
        <v>0.5</v>
      </c>
      <c r="U2084" s="4" t="str">
        <f>IFERROR(__xludf.DUMMYFUNCTION("""COMPUTED_VALUE"""),"null")</f>
        <v>null</v>
      </c>
      <c r="V2084" s="33">
        <f>IFERROR(__xludf.DUMMYFUNCTION("""COMPUTED_VALUE"""),0.5)</f>
        <v>0.5</v>
      </c>
      <c r="W2084" s="4" t="str">
        <f>IFERROR(__xludf.DUMMYFUNCTION("""COMPUTED_VALUE"""),"null")</f>
        <v>null</v>
      </c>
      <c r="X2084" s="33">
        <f>IFERROR(__xludf.DUMMYFUNCTION("""COMPUTED_VALUE"""),0.5)</f>
        <v>0.5</v>
      </c>
    </row>
    <row r="2085">
      <c r="K2085" s="4" t="str">
        <f>IFERROR(__xludf.DUMMYFUNCTION("""COMPUTED_VALUE"""),"DROGARIA ECONOMICA")</f>
        <v>DROGARIA ECONOMICA</v>
      </c>
      <c r="L2085" s="32">
        <f>IFERROR(__xludf.DUMMYFUNCTION("""COMPUTED_VALUE"""),4.0)</f>
        <v>4</v>
      </c>
      <c r="M2085" s="4" t="str">
        <f>IFERROR(__xludf.DUMMYFUNCTION("""COMPUTED_VALUE"""),"N/A (Not found)")</f>
        <v>N/A (Not found)</v>
      </c>
      <c r="N2085" s="33">
        <f>IFERROR(__xludf.DUMMYFUNCTION("""COMPUTED_VALUE"""),0.75)</f>
        <v>0.75</v>
      </c>
      <c r="O2085" s="4" t="str">
        <f>IFERROR(__xludf.DUMMYFUNCTION("""COMPUTED_VALUE"""),"N/A (Not found)")</f>
        <v>N/A (Not found)</v>
      </c>
      <c r="P2085" s="33">
        <f>IFERROR(__xludf.DUMMYFUNCTION("""COMPUTED_VALUE"""),1.0)</f>
        <v>1</v>
      </c>
      <c r="Q2085" s="4" t="str">
        <f>IFERROR(__xludf.DUMMYFUNCTION("""COMPUTED_VALUE"""),"N/A (Not found)")</f>
        <v>N/A (Not found)</v>
      </c>
      <c r="R2085" s="33">
        <f>IFERROR(__xludf.DUMMYFUNCTION("""COMPUTED_VALUE"""),0.75)</f>
        <v>0.75</v>
      </c>
      <c r="S2085" s="4" t="str">
        <f>IFERROR(__xludf.DUMMYFUNCTION("""COMPUTED_VALUE"""),"N/A (Not found)")</f>
        <v>N/A (Not found)</v>
      </c>
      <c r="T2085" s="33">
        <f>IFERROR(__xludf.DUMMYFUNCTION("""COMPUTED_VALUE"""),1.0)</f>
        <v>1</v>
      </c>
      <c r="U2085" s="4" t="str">
        <f>IFERROR(__xludf.DUMMYFUNCTION("""COMPUTED_VALUE"""),"N/A (Not found)")</f>
        <v>N/A (Not found)</v>
      </c>
      <c r="V2085" s="33">
        <f>IFERROR(__xludf.DUMMYFUNCTION("""COMPUTED_VALUE"""),0.75)</f>
        <v>0.75</v>
      </c>
      <c r="W2085" s="4" t="str">
        <f>IFERROR(__xludf.DUMMYFUNCTION("""COMPUTED_VALUE"""),"null")</f>
        <v>null</v>
      </c>
      <c r="X2085" s="33">
        <f>IFERROR(__xludf.DUMMYFUNCTION("""COMPUTED_VALUE"""),0.5)</f>
        <v>0.5</v>
      </c>
    </row>
    <row r="2086">
      <c r="K2086" s="4" t="str">
        <f>IFERROR(__xludf.DUMMYFUNCTION("""COMPUTED_VALUE"""),"PANDA BURGUER")</f>
        <v>PANDA BURGUER</v>
      </c>
      <c r="L2086" s="32">
        <f>IFERROR(__xludf.DUMMYFUNCTION("""COMPUTED_VALUE"""),4.0)</f>
        <v>4</v>
      </c>
      <c r="M2086" s="4" t="str">
        <f>IFERROR(__xludf.DUMMYFUNCTION("""COMPUTED_VALUE"""),"Suitable Tecnologia E Gestao")</f>
        <v>Suitable Tecnologia E Gestao</v>
      </c>
      <c r="N2086" s="33">
        <f>IFERROR(__xludf.DUMMYFUNCTION("""COMPUTED_VALUE"""),0.5)</f>
        <v>0.5</v>
      </c>
      <c r="O2086" s="4" t="str">
        <f>IFERROR(__xludf.DUMMYFUNCTION("""COMPUTED_VALUE"""),"Suitable Tecnologia E Gestao")</f>
        <v>Suitable Tecnologia E Gestao</v>
      </c>
      <c r="P2086" s="33">
        <f>IFERROR(__xludf.DUMMYFUNCTION("""COMPUTED_VALUE"""),0.5)</f>
        <v>0.5</v>
      </c>
      <c r="Q2086" s="4" t="str">
        <f>IFERROR(__xludf.DUMMYFUNCTION("""COMPUTED_VALUE"""),"Suitable Tecnologia E Gestao")</f>
        <v>Suitable Tecnologia E Gestao</v>
      </c>
      <c r="R2086" s="33">
        <f>IFERROR(__xludf.DUMMYFUNCTION("""COMPUTED_VALUE"""),0.5)</f>
        <v>0.5</v>
      </c>
      <c r="S2086" s="4" t="str">
        <f>IFERROR(__xludf.DUMMYFUNCTION("""COMPUTED_VALUE"""),"Suitable Tecnologia E Gestao")</f>
        <v>Suitable Tecnologia E Gestao</v>
      </c>
      <c r="T2086" s="33">
        <f>IFERROR(__xludf.DUMMYFUNCTION("""COMPUTED_VALUE"""),0.5)</f>
        <v>0.5</v>
      </c>
      <c r="U2086" s="4" t="str">
        <f>IFERROR(__xludf.DUMMYFUNCTION("""COMPUTED_VALUE"""),"Suitable Tecnologia E Gestao")</f>
        <v>Suitable Tecnologia E Gestao</v>
      </c>
      <c r="V2086" s="33">
        <f>IFERROR(__xludf.DUMMYFUNCTION("""COMPUTED_VALUE"""),0.25)</f>
        <v>0.25</v>
      </c>
      <c r="W2086" s="4" t="str">
        <f>IFERROR(__xludf.DUMMYFUNCTION("""COMPUTED_VALUE"""),"null")</f>
        <v>null</v>
      </c>
      <c r="X2086" s="33">
        <f>IFERROR(__xludf.DUMMYFUNCTION("""COMPUTED_VALUE"""),0.25)</f>
        <v>0.25</v>
      </c>
    </row>
    <row r="2087">
      <c r="K2087" s="4" t="str">
        <f>IFERROR(__xludf.DUMMYFUNCTION("""COMPUTED_VALUE"""),"ILHA DO ACAI")</f>
        <v>ILHA DO ACAI</v>
      </c>
      <c r="L2087" s="32">
        <f>IFERROR(__xludf.DUMMYFUNCTION("""COMPUTED_VALUE"""),4.0)</f>
        <v>4</v>
      </c>
      <c r="M2087" s="4" t="str">
        <f>IFERROR(__xludf.DUMMYFUNCTION("""COMPUTED_VALUE"""),"Saipos Serviços De Software")</f>
        <v>Saipos Serviços De Software</v>
      </c>
      <c r="N2087" s="33">
        <f>IFERROR(__xludf.DUMMYFUNCTION("""COMPUTED_VALUE"""),0.25)</f>
        <v>0.25</v>
      </c>
      <c r="O2087" s="4" t="str">
        <f>IFERROR(__xludf.DUMMYFUNCTION("""COMPUTED_VALUE"""),"null")</f>
        <v>null</v>
      </c>
      <c r="P2087" s="33">
        <f>IFERROR(__xludf.DUMMYFUNCTION("""COMPUTED_VALUE"""),0.25)</f>
        <v>0.25</v>
      </c>
      <c r="Q2087" s="4" t="str">
        <f>IFERROR(__xludf.DUMMYFUNCTION("""COMPUTED_VALUE"""),"Saipos Serviços De Software")</f>
        <v>Saipos Serviços De Software</v>
      </c>
      <c r="R2087" s="33">
        <f>IFERROR(__xludf.DUMMYFUNCTION("""COMPUTED_VALUE"""),0.25)</f>
        <v>0.25</v>
      </c>
      <c r="S2087" s="4" t="str">
        <f>IFERROR(__xludf.DUMMYFUNCTION("""COMPUTED_VALUE"""),"null")</f>
        <v>null</v>
      </c>
      <c r="T2087" s="33">
        <f>IFERROR(__xludf.DUMMYFUNCTION("""COMPUTED_VALUE"""),0.25)</f>
        <v>0.25</v>
      </c>
      <c r="U2087" s="4" t="str">
        <f>IFERROR(__xludf.DUMMYFUNCTION("""COMPUTED_VALUE"""),"null")</f>
        <v>null</v>
      </c>
      <c r="V2087" s="33">
        <f>IFERROR(__xludf.DUMMYFUNCTION("""COMPUTED_VALUE"""),0.75)</f>
        <v>0.75</v>
      </c>
      <c r="W2087" s="4" t="str">
        <f>IFERROR(__xludf.DUMMYFUNCTION("""COMPUTED_VALUE"""),"null")</f>
        <v>null</v>
      </c>
      <c r="X2087" s="33">
        <f>IFERROR(__xludf.DUMMYFUNCTION("""COMPUTED_VALUE"""),0.25)</f>
        <v>0.25</v>
      </c>
    </row>
    <row r="2088">
      <c r="K2088" s="4" t="str">
        <f>IFERROR(__xludf.DUMMYFUNCTION("""COMPUTED_VALUE"""),"GARAGEM BURGER")</f>
        <v>GARAGEM BURGER</v>
      </c>
      <c r="L2088" s="32">
        <f>IFERROR(__xludf.DUMMYFUNCTION("""COMPUTED_VALUE"""),4.0)</f>
        <v>4</v>
      </c>
      <c r="M2088" s="4" t="str">
        <f>IFERROR(__xludf.DUMMYFUNCTION("""COMPUTED_VALUE"""),"Expresso Delivery")</f>
        <v>Expresso Delivery</v>
      </c>
      <c r="N2088" s="33">
        <f>IFERROR(__xludf.DUMMYFUNCTION("""COMPUTED_VALUE"""),0.25)</f>
        <v>0.25</v>
      </c>
      <c r="O2088" s="4" t="str">
        <f>IFERROR(__xludf.DUMMYFUNCTION("""COMPUTED_VALUE"""),"Expresso Delivery")</f>
        <v>Expresso Delivery</v>
      </c>
      <c r="P2088" s="33">
        <f>IFERROR(__xludf.DUMMYFUNCTION("""COMPUTED_VALUE"""),0.25)</f>
        <v>0.25</v>
      </c>
      <c r="Q2088" s="4" t="str">
        <f>IFERROR(__xludf.DUMMYFUNCTION("""COMPUTED_VALUE"""),"Expresso Delivery")</f>
        <v>Expresso Delivery</v>
      </c>
      <c r="R2088" s="33">
        <f>IFERROR(__xludf.DUMMYFUNCTION("""COMPUTED_VALUE"""),0.25)</f>
        <v>0.25</v>
      </c>
      <c r="S2088" s="4" t="str">
        <f>IFERROR(__xludf.DUMMYFUNCTION("""COMPUTED_VALUE"""),"Expresso Delivery")</f>
        <v>Expresso Delivery</v>
      </c>
      <c r="T2088" s="33">
        <f>IFERROR(__xludf.DUMMYFUNCTION("""COMPUTED_VALUE"""),0.25)</f>
        <v>0.25</v>
      </c>
      <c r="U2088" s="4" t="str">
        <f>IFERROR(__xludf.DUMMYFUNCTION("""COMPUTED_VALUE"""),"Expresso Delivery")</f>
        <v>Expresso Delivery</v>
      </c>
      <c r="V2088" s="33">
        <f>IFERROR(__xludf.DUMMYFUNCTION("""COMPUTED_VALUE"""),0.25)</f>
        <v>0.25</v>
      </c>
      <c r="W2088" s="4" t="str">
        <f>IFERROR(__xludf.DUMMYFUNCTION("""COMPUTED_VALUE"""),"null")</f>
        <v>null</v>
      </c>
      <c r="X2088" s="33">
        <f>IFERROR(__xludf.DUMMYFUNCTION("""COMPUTED_VALUE"""),0.5)</f>
        <v>0.5</v>
      </c>
    </row>
    <row r="2089">
      <c r="K2089" s="4" t="str">
        <f>IFERROR(__xludf.DUMMYFUNCTION("""COMPUTED_VALUE"""),"PIZZA MAIS")</f>
        <v>PIZZA MAIS</v>
      </c>
      <c r="L2089" s="32">
        <f>IFERROR(__xludf.DUMMYFUNCTION("""COMPUTED_VALUE"""),4.0)</f>
        <v>4</v>
      </c>
      <c r="M2089" s="4" t="str">
        <f>IFERROR(__xludf.DUMMYFUNCTION("""COMPUTED_VALUE"""),"Anota Ai Solucoes Digitais S/a")</f>
        <v>Anota Ai Solucoes Digitais S/a</v>
      </c>
      <c r="N2089" s="33">
        <f>IFERROR(__xludf.DUMMYFUNCTION("""COMPUTED_VALUE"""),0.25)</f>
        <v>0.25</v>
      </c>
      <c r="O2089" s="4" t="str">
        <f>IFERROR(__xludf.DUMMYFUNCTION("""COMPUTED_VALUE"""),"Anota Ai Solucoes Digitais S/a")</f>
        <v>Anota Ai Solucoes Digitais S/a</v>
      </c>
      <c r="P2089" s="33">
        <f>IFERROR(__xludf.DUMMYFUNCTION("""COMPUTED_VALUE"""),0.25)</f>
        <v>0.25</v>
      </c>
      <c r="Q2089" s="4" t="str">
        <f>IFERROR(__xludf.DUMMYFUNCTION("""COMPUTED_VALUE"""),"null")</f>
        <v>null</v>
      </c>
      <c r="R2089" s="33">
        <f>IFERROR(__xludf.DUMMYFUNCTION("""COMPUTED_VALUE"""),0.5)</f>
        <v>0.5</v>
      </c>
      <c r="S2089" s="4" t="str">
        <f>IFERROR(__xludf.DUMMYFUNCTION("""COMPUTED_VALUE"""),"null")</f>
        <v>null</v>
      </c>
      <c r="T2089" s="33">
        <f>IFERROR(__xludf.DUMMYFUNCTION("""COMPUTED_VALUE"""),0.25)</f>
        <v>0.25</v>
      </c>
      <c r="U2089" s="4" t="str">
        <f>IFERROR(__xludf.DUMMYFUNCTION("""COMPUTED_VALUE"""),"Anota Ai Solucoes Digitais S/a")</f>
        <v>Anota Ai Solucoes Digitais S/a</v>
      </c>
      <c r="V2089" s="33">
        <f>IFERROR(__xludf.DUMMYFUNCTION("""COMPUTED_VALUE"""),0.25)</f>
        <v>0.25</v>
      </c>
      <c r="W2089" s="4" t="str">
        <f>IFERROR(__xludf.DUMMYFUNCTION("""COMPUTED_VALUE"""),"null")</f>
        <v>null</v>
      </c>
      <c r="X2089" s="33">
        <f>IFERROR(__xludf.DUMMYFUNCTION("""COMPUTED_VALUE"""),0.25)</f>
        <v>0.25</v>
      </c>
    </row>
    <row r="2090">
      <c r="K2090" s="4" t="str">
        <f>IFERROR(__xludf.DUMMYFUNCTION("""COMPUTED_VALUE"""),"REI DOS LANCHES")</f>
        <v>REI DOS LANCHES</v>
      </c>
      <c r="L2090" s="32">
        <f>IFERROR(__xludf.DUMMYFUNCTION("""COMPUTED_VALUE"""),4.0)</f>
        <v>4</v>
      </c>
      <c r="M2090" s="4" t="str">
        <f>IFERROR(__xludf.DUMMYFUNCTION("""COMPUTED_VALUE"""),"Dev10 Soluções Em Sotfware Ltda")</f>
        <v>Dev10 Soluções Em Sotfware Ltda</v>
      </c>
      <c r="N2090" s="33">
        <f>IFERROR(__xludf.DUMMYFUNCTION("""COMPUTED_VALUE"""),0.25)</f>
        <v>0.25</v>
      </c>
      <c r="O2090" s="4" t="str">
        <f>IFERROR(__xludf.DUMMYFUNCTION("""COMPUTED_VALUE"""),"Dev10 Soluções Em Sotfware Ltda")</f>
        <v>Dev10 Soluções Em Sotfware Ltda</v>
      </c>
      <c r="P2090" s="33">
        <f>IFERROR(__xludf.DUMMYFUNCTION("""COMPUTED_VALUE"""),0.25)</f>
        <v>0.25</v>
      </c>
      <c r="Q2090" s="4" t="str">
        <f>IFERROR(__xludf.DUMMYFUNCTION("""COMPUTED_VALUE"""),"Dev10 Soluções Em Sotfware Ltda")</f>
        <v>Dev10 Soluções Em Sotfware Ltda</v>
      </c>
      <c r="R2090" s="33">
        <f>IFERROR(__xludf.DUMMYFUNCTION("""COMPUTED_VALUE"""),0.25)</f>
        <v>0.25</v>
      </c>
      <c r="S2090" s="4" t="str">
        <f>IFERROR(__xludf.DUMMYFUNCTION("""COMPUTED_VALUE"""),"null")</f>
        <v>null</v>
      </c>
      <c r="T2090" s="33">
        <f>IFERROR(__xludf.DUMMYFUNCTION("""COMPUTED_VALUE"""),0.75)</f>
        <v>0.75</v>
      </c>
      <c r="U2090" s="4" t="str">
        <f>IFERROR(__xludf.DUMMYFUNCTION("""COMPUTED_VALUE"""),"Dev10 Soluções Em Sotfware Ltda")</f>
        <v>Dev10 Soluções Em Sotfware Ltda</v>
      </c>
      <c r="V2090" s="33">
        <f>IFERROR(__xludf.DUMMYFUNCTION("""COMPUTED_VALUE"""),0.25)</f>
        <v>0.25</v>
      </c>
      <c r="W2090" s="4" t="str">
        <f>IFERROR(__xludf.DUMMYFUNCTION("""COMPUTED_VALUE"""),"Dev10 Soluções Em Sotfware Ltda")</f>
        <v>Dev10 Soluções Em Sotfware Ltda</v>
      </c>
      <c r="X2090" s="33">
        <f>IFERROR(__xludf.DUMMYFUNCTION("""COMPUTED_VALUE"""),0.25)</f>
        <v>0.25</v>
      </c>
    </row>
    <row r="2091">
      <c r="K2091" s="4" t="str">
        <f>IFERROR(__xludf.DUMMYFUNCTION("""COMPUTED_VALUE"""),"PASTELE")</f>
        <v>PASTELE</v>
      </c>
      <c r="L2091" s="32">
        <f>IFERROR(__xludf.DUMMYFUNCTION("""COMPUTED_VALUE"""),4.0)</f>
        <v>4</v>
      </c>
      <c r="M2091" s="4" t="str">
        <f>IFERROR(__xludf.DUMMYFUNCTION("""COMPUTED_VALUE"""),"null")</f>
        <v>null</v>
      </c>
      <c r="N2091" s="33">
        <f>IFERROR(__xludf.DUMMYFUNCTION("""COMPUTED_VALUE"""),0.5)</f>
        <v>0.5</v>
      </c>
      <c r="O2091" s="4" t="str">
        <f>IFERROR(__xludf.DUMMYFUNCTION("""COMPUTED_VALUE"""),"null")</f>
        <v>null</v>
      </c>
      <c r="P2091" s="33">
        <f>IFERROR(__xludf.DUMMYFUNCTION("""COMPUTED_VALUE"""),0.75)</f>
        <v>0.75</v>
      </c>
      <c r="Q2091" s="4" t="str">
        <f>IFERROR(__xludf.DUMMYFUNCTION("""COMPUTED_VALUE"""),"null")</f>
        <v>null</v>
      </c>
      <c r="R2091" s="33">
        <f>IFERROR(__xludf.DUMMYFUNCTION("""COMPUTED_VALUE"""),0.5)</f>
        <v>0.5</v>
      </c>
      <c r="S2091" s="4" t="str">
        <f>IFERROR(__xludf.DUMMYFUNCTION("""COMPUTED_VALUE"""),"null")</f>
        <v>null</v>
      </c>
      <c r="T2091" s="33">
        <f>IFERROR(__xludf.DUMMYFUNCTION("""COMPUTED_VALUE"""),0.5)</f>
        <v>0.5</v>
      </c>
      <c r="U2091" s="4" t="str">
        <f>IFERROR(__xludf.DUMMYFUNCTION("""COMPUTED_VALUE"""),"Saipos Serviços De Software")</f>
        <v>Saipos Serviços De Software</v>
      </c>
      <c r="V2091" s="33">
        <f>IFERROR(__xludf.DUMMYFUNCTION("""COMPUTED_VALUE"""),0.25)</f>
        <v>0.25</v>
      </c>
      <c r="W2091" s="4" t="str">
        <f>IFERROR(__xludf.DUMMYFUNCTION("""COMPUTED_VALUE"""),"null")</f>
        <v>null</v>
      </c>
      <c r="X2091" s="33">
        <f>IFERROR(__xludf.DUMMYFUNCTION("""COMPUTED_VALUE"""),0.5)</f>
        <v>0.5</v>
      </c>
    </row>
    <row r="2092">
      <c r="K2092" s="4" t="str">
        <f>IFERROR(__xludf.DUMMYFUNCTION("""COMPUTED_VALUE"""),"RN SALGADOS")</f>
        <v>RN SALGADOS</v>
      </c>
      <c r="L2092" s="32">
        <f>IFERROR(__xludf.DUMMYFUNCTION("""COMPUTED_VALUE"""),4.0)</f>
        <v>4</v>
      </c>
      <c r="M2092" s="4" t="str">
        <f>IFERROR(__xludf.DUMMYFUNCTION("""COMPUTED_VALUE"""),"Saipos Serviços De Software")</f>
        <v>Saipos Serviços De Software</v>
      </c>
      <c r="N2092" s="33">
        <f>IFERROR(__xludf.DUMMYFUNCTION("""COMPUTED_VALUE"""),0.75)</f>
        <v>0.75</v>
      </c>
      <c r="O2092" s="4" t="str">
        <f>IFERROR(__xludf.DUMMYFUNCTION("""COMPUTED_VALUE"""),"Saipos Serviços De Software")</f>
        <v>Saipos Serviços De Software</v>
      </c>
      <c r="P2092" s="33">
        <f>IFERROR(__xludf.DUMMYFUNCTION("""COMPUTED_VALUE"""),0.75)</f>
        <v>0.75</v>
      </c>
      <c r="Q2092" s="4" t="str">
        <f>IFERROR(__xludf.DUMMYFUNCTION("""COMPUTED_VALUE"""),"Saipos Serviços De Software")</f>
        <v>Saipos Serviços De Software</v>
      </c>
      <c r="R2092" s="33">
        <f>IFERROR(__xludf.DUMMYFUNCTION("""COMPUTED_VALUE"""),0.75)</f>
        <v>0.75</v>
      </c>
      <c r="S2092" s="4" t="str">
        <f>IFERROR(__xludf.DUMMYFUNCTION("""COMPUTED_VALUE"""),"Saipos Serviços De Software")</f>
        <v>Saipos Serviços De Software</v>
      </c>
      <c r="T2092" s="33">
        <f>IFERROR(__xludf.DUMMYFUNCTION("""COMPUTED_VALUE"""),0.75)</f>
        <v>0.75</v>
      </c>
      <c r="U2092" s="4" t="str">
        <f>IFERROR(__xludf.DUMMYFUNCTION("""COMPUTED_VALUE"""),"Saipos Serviços De Software")</f>
        <v>Saipos Serviços De Software</v>
      </c>
      <c r="V2092" s="33">
        <f>IFERROR(__xludf.DUMMYFUNCTION("""COMPUTED_VALUE"""),0.75)</f>
        <v>0.75</v>
      </c>
      <c r="W2092" s="4" t="str">
        <f>IFERROR(__xludf.DUMMYFUNCTION("""COMPUTED_VALUE"""),"Saipos Serviços De Software")</f>
        <v>Saipos Serviços De Software</v>
      </c>
      <c r="X2092" s="33">
        <f>IFERROR(__xludf.DUMMYFUNCTION("""COMPUTED_VALUE"""),0.75)</f>
        <v>0.75</v>
      </c>
    </row>
    <row r="2093">
      <c r="K2093" s="4" t="str">
        <f>IFERROR(__xludf.DUMMYFUNCTION("""COMPUTED_VALUE"""),"PIZZARIA MAIS SABOR")</f>
        <v>PIZZARIA MAIS SABOR</v>
      </c>
      <c r="L2093" s="32">
        <f>IFERROR(__xludf.DUMMYFUNCTION("""COMPUTED_VALUE"""),4.0)</f>
        <v>4</v>
      </c>
      <c r="M2093" s="4" t="str">
        <f>IFERROR(__xludf.DUMMYFUNCTION("""COMPUTED_VALUE"""),"Brendi")</f>
        <v>Brendi</v>
      </c>
      <c r="N2093" s="33">
        <f>IFERROR(__xludf.DUMMYFUNCTION("""COMPUTED_VALUE"""),0.25)</f>
        <v>0.25</v>
      </c>
      <c r="O2093" s="4" t="str">
        <f>IFERROR(__xludf.DUMMYFUNCTION("""COMPUTED_VALUE"""),"Cardápio Web")</f>
        <v>Cardápio Web</v>
      </c>
      <c r="P2093" s="33">
        <f>IFERROR(__xludf.DUMMYFUNCTION("""COMPUTED_VALUE"""),0.5)</f>
        <v>0.5</v>
      </c>
      <c r="Q2093" s="4" t="str">
        <f>IFERROR(__xludf.DUMMYFUNCTION("""COMPUTED_VALUE"""),"Cardápio Web")</f>
        <v>Cardápio Web</v>
      </c>
      <c r="R2093" s="33">
        <f>IFERROR(__xludf.DUMMYFUNCTION("""COMPUTED_VALUE"""),0.5)</f>
        <v>0.5</v>
      </c>
      <c r="S2093" s="4" t="str">
        <f>IFERROR(__xludf.DUMMYFUNCTION("""COMPUTED_VALUE"""),"Cardápio Web")</f>
        <v>Cardápio Web</v>
      </c>
      <c r="T2093" s="33">
        <f>IFERROR(__xludf.DUMMYFUNCTION("""COMPUTED_VALUE"""),0.5)</f>
        <v>0.5</v>
      </c>
      <c r="U2093" s="4" t="str">
        <f>IFERROR(__xludf.DUMMYFUNCTION("""COMPUTED_VALUE"""),"Cardápio Web")</f>
        <v>Cardápio Web</v>
      </c>
      <c r="V2093" s="33">
        <f>IFERROR(__xludf.DUMMYFUNCTION("""COMPUTED_VALUE"""),0.5)</f>
        <v>0.5</v>
      </c>
      <c r="W2093" s="4" t="str">
        <f>IFERROR(__xludf.DUMMYFUNCTION("""COMPUTED_VALUE"""),"Cardápio Web")</f>
        <v>Cardápio Web</v>
      </c>
      <c r="X2093" s="33">
        <f>IFERROR(__xludf.DUMMYFUNCTION("""COMPUTED_VALUE"""),0.5)</f>
        <v>0.5</v>
      </c>
    </row>
    <row r="2094">
      <c r="K2094" s="4" t="str">
        <f>IFERROR(__xludf.DUMMYFUNCTION("""COMPUTED_VALUE"""),"PIZZA DO FABIO")</f>
        <v>PIZZA DO FABIO</v>
      </c>
      <c r="L2094" s="32">
        <f>IFERROR(__xludf.DUMMYFUNCTION("""COMPUTED_VALUE"""),4.0)</f>
        <v>4</v>
      </c>
      <c r="M2094" s="4" t="str">
        <f>IFERROR(__xludf.DUMMYFUNCTION("""COMPUTED_VALUE"""),"Ncr")</f>
        <v>Ncr</v>
      </c>
      <c r="N2094" s="33">
        <f>IFERROR(__xludf.DUMMYFUNCTION("""COMPUTED_VALUE"""),0.5)</f>
        <v>0.5</v>
      </c>
      <c r="O2094" s="4" t="str">
        <f>IFERROR(__xludf.DUMMYFUNCTION("""COMPUTED_VALUE"""),"Ncr")</f>
        <v>Ncr</v>
      </c>
      <c r="P2094" s="33">
        <f>IFERROR(__xludf.DUMMYFUNCTION("""COMPUTED_VALUE"""),0.5)</f>
        <v>0.5</v>
      </c>
      <c r="Q2094" s="4" t="str">
        <f>IFERROR(__xludf.DUMMYFUNCTION("""COMPUTED_VALUE"""),"Saipos Serviços De Software")</f>
        <v>Saipos Serviços De Software</v>
      </c>
      <c r="R2094" s="33">
        <f>IFERROR(__xludf.DUMMYFUNCTION("""COMPUTED_VALUE"""),0.5)</f>
        <v>0.5</v>
      </c>
      <c r="S2094" s="4" t="str">
        <f>IFERROR(__xludf.DUMMYFUNCTION("""COMPUTED_VALUE"""),"Saipos Serviços De Software")</f>
        <v>Saipos Serviços De Software</v>
      </c>
      <c r="T2094" s="33">
        <f>IFERROR(__xludf.DUMMYFUNCTION("""COMPUTED_VALUE"""),0.5)</f>
        <v>0.5</v>
      </c>
      <c r="U2094" s="4" t="str">
        <f>IFERROR(__xludf.DUMMYFUNCTION("""COMPUTED_VALUE"""),"Saipos Serviços De Software")</f>
        <v>Saipos Serviços De Software</v>
      </c>
      <c r="V2094" s="33">
        <f>IFERROR(__xludf.DUMMYFUNCTION("""COMPUTED_VALUE"""),0.5)</f>
        <v>0.5</v>
      </c>
      <c r="W2094" s="4" t="str">
        <f>IFERROR(__xludf.DUMMYFUNCTION("""COMPUTED_VALUE"""),"Saipos Serviços De Software")</f>
        <v>Saipos Serviços De Software</v>
      </c>
      <c r="X2094" s="33">
        <f>IFERROR(__xludf.DUMMYFUNCTION("""COMPUTED_VALUE"""),0.5)</f>
        <v>0.5</v>
      </c>
    </row>
    <row r="2095">
      <c r="K2095" s="4" t="str">
        <f>IFERROR(__xludf.DUMMYFUNCTION("""COMPUTED_VALUE"""),"RESTAURANTE")</f>
        <v>RESTAURANTE</v>
      </c>
      <c r="L2095" s="32">
        <f>IFERROR(__xludf.DUMMYFUNCTION("""COMPUTED_VALUE"""),4.0)</f>
        <v>4</v>
      </c>
      <c r="M2095" s="4" t="str">
        <f>IFERROR(__xludf.DUMMYFUNCTION("""COMPUTED_VALUE"""),"Anota Ai Solucoes Digitais S/a")</f>
        <v>Anota Ai Solucoes Digitais S/a</v>
      </c>
      <c r="N2095" s="33">
        <f>IFERROR(__xludf.DUMMYFUNCTION("""COMPUTED_VALUE"""),0.25)</f>
        <v>0.25</v>
      </c>
      <c r="O2095" s="4" t="str">
        <f>IFERROR(__xludf.DUMMYFUNCTION("""COMPUTED_VALUE"""),"null")</f>
        <v>null</v>
      </c>
      <c r="P2095" s="33">
        <f>IFERROR(__xludf.DUMMYFUNCTION("""COMPUTED_VALUE"""),0.75)</f>
        <v>0.75</v>
      </c>
      <c r="Q2095" s="4" t="str">
        <f>IFERROR(__xludf.DUMMYFUNCTION("""COMPUTED_VALUE"""),"null")</f>
        <v>null</v>
      </c>
      <c r="R2095" s="33">
        <f>IFERROR(__xludf.DUMMYFUNCTION("""COMPUTED_VALUE"""),0.75)</f>
        <v>0.75</v>
      </c>
      <c r="S2095" s="4" t="str">
        <f>IFERROR(__xludf.DUMMYFUNCTION("""COMPUTED_VALUE"""),"null")</f>
        <v>null</v>
      </c>
      <c r="T2095" s="33">
        <f>IFERROR(__xludf.DUMMYFUNCTION("""COMPUTED_VALUE"""),0.5)</f>
        <v>0.5</v>
      </c>
      <c r="U2095" s="4" t="str">
        <f>IFERROR(__xludf.DUMMYFUNCTION("""COMPUTED_VALUE"""),"null")</f>
        <v>null</v>
      </c>
      <c r="V2095" s="33">
        <f>IFERROR(__xludf.DUMMYFUNCTION("""COMPUTED_VALUE"""),1.0)</f>
        <v>1</v>
      </c>
      <c r="W2095" s="4" t="str">
        <f>IFERROR(__xludf.DUMMYFUNCTION("""COMPUTED_VALUE"""),"null")</f>
        <v>null</v>
      </c>
      <c r="X2095" s="33">
        <f>IFERROR(__xludf.DUMMYFUNCTION("""COMPUTED_VALUE"""),1.0)</f>
        <v>1</v>
      </c>
    </row>
    <row r="2096">
      <c r="K2096" s="4" t="str">
        <f>IFERROR(__xludf.DUMMYFUNCTION("""COMPUTED_VALUE"""),"DIVINO BURGER")</f>
        <v>DIVINO BURGER</v>
      </c>
      <c r="L2096" s="32">
        <f>IFERROR(__xludf.DUMMYFUNCTION("""COMPUTED_VALUE"""),4.0)</f>
        <v>4</v>
      </c>
      <c r="M2096" s="4" t="str">
        <f>IFERROR(__xludf.DUMMYFUNCTION("""COMPUTED_VALUE"""),"Yooga")</f>
        <v>Yooga</v>
      </c>
      <c r="N2096" s="33">
        <f>IFERROR(__xludf.DUMMYFUNCTION("""COMPUTED_VALUE"""),0.5)</f>
        <v>0.5</v>
      </c>
      <c r="O2096" s="4" t="str">
        <f>IFERROR(__xludf.DUMMYFUNCTION("""COMPUTED_VALUE"""),"Yooga")</f>
        <v>Yooga</v>
      </c>
      <c r="P2096" s="33">
        <f>IFERROR(__xludf.DUMMYFUNCTION("""COMPUTED_VALUE"""),0.5)</f>
        <v>0.5</v>
      </c>
      <c r="Q2096" s="4" t="str">
        <f>IFERROR(__xludf.DUMMYFUNCTION("""COMPUTED_VALUE"""),"Yooga")</f>
        <v>Yooga</v>
      </c>
      <c r="R2096" s="33">
        <f>IFERROR(__xludf.DUMMYFUNCTION("""COMPUTED_VALUE"""),0.5)</f>
        <v>0.5</v>
      </c>
      <c r="S2096" s="4" t="str">
        <f>IFERROR(__xludf.DUMMYFUNCTION("""COMPUTED_VALUE"""),"Yooga")</f>
        <v>Yooga</v>
      </c>
      <c r="T2096" s="33">
        <f>IFERROR(__xludf.DUMMYFUNCTION("""COMPUTED_VALUE"""),0.5)</f>
        <v>0.5</v>
      </c>
      <c r="U2096" s="4" t="str">
        <f>IFERROR(__xludf.DUMMYFUNCTION("""COMPUTED_VALUE"""),"Yooga")</f>
        <v>Yooga</v>
      </c>
      <c r="V2096" s="33">
        <f>IFERROR(__xludf.DUMMYFUNCTION("""COMPUTED_VALUE"""),0.5)</f>
        <v>0.5</v>
      </c>
      <c r="W2096" s="4" t="str">
        <f>IFERROR(__xludf.DUMMYFUNCTION("""COMPUTED_VALUE"""),"Yooga")</f>
        <v>Yooga</v>
      </c>
      <c r="X2096" s="33">
        <f>IFERROR(__xludf.DUMMYFUNCTION("""COMPUTED_VALUE"""),0.5)</f>
        <v>0.5</v>
      </c>
    </row>
    <row r="2097">
      <c r="K2097" s="4" t="str">
        <f>IFERROR(__xludf.DUMMYFUNCTION("""COMPUTED_VALUE"""),"DINOS RESTAURANTE")</f>
        <v>DINOS RESTAURANTE</v>
      </c>
      <c r="L2097" s="32">
        <f>IFERROR(__xludf.DUMMYFUNCTION("""COMPUTED_VALUE"""),4.0)</f>
        <v>4</v>
      </c>
      <c r="M2097" s="4" t="str">
        <f>IFERROR(__xludf.DUMMYFUNCTION("""COMPUTED_VALUE"""),"Saipos Serviços De Software")</f>
        <v>Saipos Serviços De Software</v>
      </c>
      <c r="N2097" s="33">
        <f>IFERROR(__xludf.DUMMYFUNCTION("""COMPUTED_VALUE"""),0.75)</f>
        <v>0.75</v>
      </c>
      <c r="O2097" s="4" t="str">
        <f>IFERROR(__xludf.DUMMYFUNCTION("""COMPUTED_VALUE"""),"Saipos Serviços De Software")</f>
        <v>Saipos Serviços De Software</v>
      </c>
      <c r="P2097" s="33">
        <f>IFERROR(__xludf.DUMMYFUNCTION("""COMPUTED_VALUE"""),0.75)</f>
        <v>0.75</v>
      </c>
      <c r="Q2097" s="4" t="str">
        <f>IFERROR(__xludf.DUMMYFUNCTION("""COMPUTED_VALUE"""),"Saipos Serviços De Software")</f>
        <v>Saipos Serviços De Software</v>
      </c>
      <c r="R2097" s="33">
        <f>IFERROR(__xludf.DUMMYFUNCTION("""COMPUTED_VALUE"""),0.75)</f>
        <v>0.75</v>
      </c>
      <c r="S2097" s="4" t="str">
        <f>IFERROR(__xludf.DUMMYFUNCTION("""COMPUTED_VALUE"""),"Saipos Serviços De Software")</f>
        <v>Saipos Serviços De Software</v>
      </c>
      <c r="T2097" s="33">
        <f>IFERROR(__xludf.DUMMYFUNCTION("""COMPUTED_VALUE"""),0.75)</f>
        <v>0.75</v>
      </c>
      <c r="U2097" s="4" t="str">
        <f>IFERROR(__xludf.DUMMYFUNCTION("""COMPUTED_VALUE"""),"Saipos Serviços De Software")</f>
        <v>Saipos Serviços De Software</v>
      </c>
      <c r="V2097" s="33">
        <f>IFERROR(__xludf.DUMMYFUNCTION("""COMPUTED_VALUE"""),0.75)</f>
        <v>0.75</v>
      </c>
      <c r="W2097" s="4" t="str">
        <f>IFERROR(__xludf.DUMMYFUNCTION("""COMPUTED_VALUE"""),"Saipos Serviços De Software")</f>
        <v>Saipos Serviços De Software</v>
      </c>
      <c r="X2097" s="33">
        <f>IFERROR(__xludf.DUMMYFUNCTION("""COMPUTED_VALUE"""),0.75)</f>
        <v>0.75</v>
      </c>
    </row>
    <row r="2098">
      <c r="K2098" s="4" t="str">
        <f>IFERROR(__xludf.DUMMYFUNCTION("""COMPUTED_VALUE"""),"FARMACIA FARMAVIDA")</f>
        <v>FARMACIA FARMAVIDA</v>
      </c>
      <c r="L2098" s="32">
        <f>IFERROR(__xludf.DUMMYFUNCTION("""COMPUTED_VALUE"""),4.0)</f>
        <v>4</v>
      </c>
      <c r="M2098" s="4" t="str">
        <f>IFERROR(__xludf.DUMMYFUNCTION("""COMPUTED_VALUE"""),"N/A (Not found)")</f>
        <v>N/A (Not found)</v>
      </c>
      <c r="N2098" s="33">
        <f>IFERROR(__xludf.DUMMYFUNCTION("""COMPUTED_VALUE"""),1.0)</f>
        <v>1</v>
      </c>
      <c r="O2098" s="4" t="str">
        <f>IFERROR(__xludf.DUMMYFUNCTION("""COMPUTED_VALUE"""),"N/A (Not found)")</f>
        <v>N/A (Not found)</v>
      </c>
      <c r="P2098" s="33">
        <f>IFERROR(__xludf.DUMMYFUNCTION("""COMPUTED_VALUE"""),1.0)</f>
        <v>1</v>
      </c>
      <c r="Q2098" s="4" t="str">
        <f>IFERROR(__xludf.DUMMYFUNCTION("""COMPUTED_VALUE"""),"N/A (Not found)")</f>
        <v>N/A (Not found)</v>
      </c>
      <c r="R2098" s="33">
        <f>IFERROR(__xludf.DUMMYFUNCTION("""COMPUTED_VALUE"""),1.0)</f>
        <v>1</v>
      </c>
      <c r="S2098" s="4" t="str">
        <f>IFERROR(__xludf.DUMMYFUNCTION("""COMPUTED_VALUE"""),"N/A (Not found)")</f>
        <v>N/A (Not found)</v>
      </c>
      <c r="T2098" s="33">
        <f>IFERROR(__xludf.DUMMYFUNCTION("""COMPUTED_VALUE"""),1.0)</f>
        <v>1</v>
      </c>
      <c r="U2098" s="4" t="str">
        <f>IFERROR(__xludf.DUMMYFUNCTION("""COMPUTED_VALUE"""),"N/A (Not found)")</f>
        <v>N/A (Not found)</v>
      </c>
      <c r="V2098" s="33">
        <f>IFERROR(__xludf.DUMMYFUNCTION("""COMPUTED_VALUE"""),1.0)</f>
        <v>1</v>
      </c>
      <c r="W2098" s="4" t="str">
        <f>IFERROR(__xludf.DUMMYFUNCTION("""COMPUTED_VALUE"""),"N/A (Not found)")</f>
        <v>N/A (Not found)</v>
      </c>
      <c r="X2098" s="33">
        <f>IFERROR(__xludf.DUMMYFUNCTION("""COMPUTED_VALUE"""),0.75)</f>
        <v>0.75</v>
      </c>
    </row>
    <row r="2099">
      <c r="K2099" s="4" t="str">
        <f>IFERROR(__xludf.DUMMYFUNCTION("""COMPUTED_VALUE"""),"GORDINHO BURGUER")</f>
        <v>GORDINHO BURGUER</v>
      </c>
      <c r="L2099" s="32">
        <f>IFERROR(__xludf.DUMMYFUNCTION("""COMPUTED_VALUE"""),4.0)</f>
        <v>4</v>
      </c>
      <c r="M2099" s="4" t="str">
        <f>IFERROR(__xludf.DUMMYFUNCTION("""COMPUTED_VALUE"""),"null")</f>
        <v>null</v>
      </c>
      <c r="N2099" s="33">
        <f>IFERROR(__xludf.DUMMYFUNCTION("""COMPUTED_VALUE"""),0.5)</f>
        <v>0.5</v>
      </c>
      <c r="O2099" s="4" t="str">
        <f>IFERROR(__xludf.DUMMYFUNCTION("""COMPUTED_VALUE"""),"null")</f>
        <v>null</v>
      </c>
      <c r="P2099" s="33">
        <f>IFERROR(__xludf.DUMMYFUNCTION("""COMPUTED_VALUE"""),0.75)</f>
        <v>0.75</v>
      </c>
      <c r="Q2099" s="4" t="str">
        <f>IFERROR(__xludf.DUMMYFUNCTION("""COMPUTED_VALUE"""),"null")</f>
        <v>null</v>
      </c>
      <c r="R2099" s="33">
        <f>IFERROR(__xludf.DUMMYFUNCTION("""COMPUTED_VALUE"""),0.5)</f>
        <v>0.5</v>
      </c>
      <c r="S2099" s="4" t="str">
        <f>IFERROR(__xludf.DUMMYFUNCTION("""COMPUTED_VALUE"""),"null")</f>
        <v>null</v>
      </c>
      <c r="T2099" s="33">
        <f>IFERROR(__xludf.DUMMYFUNCTION("""COMPUTED_VALUE"""),0.5)</f>
        <v>0.5</v>
      </c>
      <c r="U2099" s="4" t="str">
        <f>IFERROR(__xludf.DUMMYFUNCTION("""COMPUTED_VALUE"""),"Saipos Serviços De Software")</f>
        <v>Saipos Serviços De Software</v>
      </c>
      <c r="V2099" s="33">
        <f>IFERROR(__xludf.DUMMYFUNCTION("""COMPUTED_VALUE"""),0.5)</f>
        <v>0.5</v>
      </c>
      <c r="W2099" s="4" t="str">
        <f>IFERROR(__xludf.DUMMYFUNCTION("""COMPUTED_VALUE"""),"null")</f>
        <v>null</v>
      </c>
      <c r="X2099" s="33">
        <f>IFERROR(__xludf.DUMMYFUNCTION("""COMPUTED_VALUE"""),0.5)</f>
        <v>0.5</v>
      </c>
    </row>
    <row r="2100">
      <c r="K2100" s="4" t="str">
        <f>IFERROR(__xludf.DUMMYFUNCTION("""COMPUTED_VALUE"""),"IN LOVE BURGER")</f>
        <v>IN LOVE BURGER</v>
      </c>
      <c r="L2100" s="32">
        <f>IFERROR(__xludf.DUMMYFUNCTION("""COMPUTED_VALUE"""),4.0)</f>
        <v>4</v>
      </c>
      <c r="M2100" s="4" t="str">
        <f>IFERROR(__xludf.DUMMYFUNCTION("""COMPUTED_VALUE"""),"null")</f>
        <v>null</v>
      </c>
      <c r="N2100" s="33">
        <f>IFERROR(__xludf.DUMMYFUNCTION("""COMPUTED_VALUE"""),0.6)</f>
        <v>0.6</v>
      </c>
      <c r="O2100" s="4" t="str">
        <f>IFERROR(__xludf.DUMMYFUNCTION("""COMPUTED_VALUE"""),"null")</f>
        <v>null</v>
      </c>
      <c r="P2100" s="33">
        <f>IFERROR(__xludf.DUMMYFUNCTION("""COMPUTED_VALUE"""),0.6)</f>
        <v>0.6</v>
      </c>
      <c r="Q2100" s="4" t="str">
        <f>IFERROR(__xludf.DUMMYFUNCTION("""COMPUTED_VALUE"""),"null")</f>
        <v>null</v>
      </c>
      <c r="R2100" s="33">
        <f>IFERROR(__xludf.DUMMYFUNCTION("""COMPUTED_VALUE"""),0.6)</f>
        <v>0.6</v>
      </c>
      <c r="S2100" s="4" t="str">
        <f>IFERROR(__xludf.DUMMYFUNCTION("""COMPUTED_VALUE"""),"null")</f>
        <v>null</v>
      </c>
      <c r="T2100" s="33">
        <f>IFERROR(__xludf.DUMMYFUNCTION("""COMPUTED_VALUE"""),0.6)</f>
        <v>0.6</v>
      </c>
      <c r="U2100" s="4" t="str">
        <f>IFERROR(__xludf.DUMMYFUNCTION("""COMPUTED_VALUE"""),"null")</f>
        <v>null</v>
      </c>
      <c r="V2100" s="33">
        <f>IFERROR(__xludf.DUMMYFUNCTION("""COMPUTED_VALUE"""),0.4)</f>
        <v>0.4</v>
      </c>
      <c r="W2100" s="4" t="str">
        <f>IFERROR(__xludf.DUMMYFUNCTION("""COMPUTED_VALUE"""),"Saipos Serviços De Software")</f>
        <v>Saipos Serviços De Software</v>
      </c>
      <c r="X2100" s="33">
        <f>IFERROR(__xludf.DUMMYFUNCTION("""COMPUTED_VALUE"""),1.0)</f>
        <v>1</v>
      </c>
    </row>
    <row r="2101">
      <c r="K2101" s="4" t="str">
        <f>IFERROR(__xludf.DUMMYFUNCTION("""COMPUTED_VALUE"""),"PRIME SUSHI")</f>
        <v>PRIME SUSHI</v>
      </c>
      <c r="L2101" s="32">
        <f>IFERROR(__xludf.DUMMYFUNCTION("""COMPUTED_VALUE"""),4.0)</f>
        <v>4</v>
      </c>
      <c r="M2101" s="4" t="str">
        <f>IFERROR(__xludf.DUMMYFUNCTION("""COMPUTED_VALUE"""),"W M Fernandes - Me")</f>
        <v>W M Fernandes - Me</v>
      </c>
      <c r="N2101" s="33">
        <f>IFERROR(__xludf.DUMMYFUNCTION("""COMPUTED_VALUE"""),0.25)</f>
        <v>0.25</v>
      </c>
      <c r="O2101" s="4" t="str">
        <f>IFERROR(__xludf.DUMMYFUNCTION("""COMPUTED_VALUE"""),"W M Fernandes - Me")</f>
        <v>W M Fernandes - Me</v>
      </c>
      <c r="P2101" s="33">
        <f>IFERROR(__xludf.DUMMYFUNCTION("""COMPUTED_VALUE"""),0.25)</f>
        <v>0.25</v>
      </c>
      <c r="Q2101" s="4" t="str">
        <f>IFERROR(__xludf.DUMMYFUNCTION("""COMPUTED_VALUE"""),"W M Fernandes - Me")</f>
        <v>W M Fernandes - Me</v>
      </c>
      <c r="R2101" s="33">
        <f>IFERROR(__xludf.DUMMYFUNCTION("""COMPUTED_VALUE"""),0.25)</f>
        <v>0.25</v>
      </c>
      <c r="S2101" s="4" t="str">
        <f>IFERROR(__xludf.DUMMYFUNCTION("""COMPUTED_VALUE"""),"W M Fernandes - Me")</f>
        <v>W M Fernandes - Me</v>
      </c>
      <c r="T2101" s="33">
        <f>IFERROR(__xludf.DUMMYFUNCTION("""COMPUTED_VALUE"""),0.25)</f>
        <v>0.25</v>
      </c>
      <c r="U2101" s="4" t="str">
        <f>IFERROR(__xludf.DUMMYFUNCTION("""COMPUTED_VALUE"""),"Saipos Serviços De Software")</f>
        <v>Saipos Serviços De Software</v>
      </c>
      <c r="V2101" s="33">
        <f>IFERROR(__xludf.DUMMYFUNCTION("""COMPUTED_VALUE"""),0.5)</f>
        <v>0.5</v>
      </c>
      <c r="W2101" s="4" t="str">
        <f>IFERROR(__xludf.DUMMYFUNCTION("""COMPUTED_VALUE"""),"Saipos Serviços De Software")</f>
        <v>Saipos Serviços De Software</v>
      </c>
      <c r="X2101" s="33">
        <f>IFERROR(__xludf.DUMMYFUNCTION("""COMPUTED_VALUE"""),0.5)</f>
        <v>0.5</v>
      </c>
    </row>
    <row r="2102">
      <c r="K2102" s="4" t="str">
        <f>IFERROR(__xludf.DUMMYFUNCTION("""COMPUTED_VALUE"""),"DIVINA PANQUECA")</f>
        <v>DIVINA PANQUECA</v>
      </c>
      <c r="L2102" s="32">
        <f>IFERROR(__xludf.DUMMYFUNCTION("""COMPUTED_VALUE"""),4.0)</f>
        <v>4</v>
      </c>
      <c r="M2102" s="4" t="str">
        <f>IFERROR(__xludf.DUMMYFUNCTION("""COMPUTED_VALUE"""),"Anove Tecnologia")</f>
        <v>Anove Tecnologia</v>
      </c>
      <c r="N2102" s="33">
        <f>IFERROR(__xludf.DUMMYFUNCTION("""COMPUTED_VALUE"""),0.75)</f>
        <v>0.75</v>
      </c>
      <c r="O2102" s="4" t="str">
        <f>IFERROR(__xludf.DUMMYFUNCTION("""COMPUTED_VALUE"""),"null")</f>
        <v>null</v>
      </c>
      <c r="P2102" s="33">
        <f>IFERROR(__xludf.DUMMYFUNCTION("""COMPUTED_VALUE"""),0.5)</f>
        <v>0.5</v>
      </c>
      <c r="Q2102" s="4" t="str">
        <f>IFERROR(__xludf.DUMMYFUNCTION("""COMPUTED_VALUE"""),"null")</f>
        <v>null</v>
      </c>
      <c r="R2102" s="33">
        <f>IFERROR(__xludf.DUMMYFUNCTION("""COMPUTED_VALUE"""),0.75)</f>
        <v>0.75</v>
      </c>
      <c r="S2102" s="4" t="str">
        <f>IFERROR(__xludf.DUMMYFUNCTION("""COMPUTED_VALUE"""),"null")</f>
        <v>null</v>
      </c>
      <c r="T2102" s="33">
        <f>IFERROR(__xludf.DUMMYFUNCTION("""COMPUTED_VALUE"""),0.75)</f>
        <v>0.75</v>
      </c>
      <c r="U2102" s="4" t="str">
        <f>IFERROR(__xludf.DUMMYFUNCTION("""COMPUTED_VALUE"""),"null")</f>
        <v>null</v>
      </c>
      <c r="V2102" s="33">
        <f>IFERROR(__xludf.DUMMYFUNCTION("""COMPUTED_VALUE"""),0.5)</f>
        <v>0.5</v>
      </c>
      <c r="W2102" s="4" t="str">
        <f>IFERROR(__xludf.DUMMYFUNCTION("""COMPUTED_VALUE"""),"Anove Tecnologia")</f>
        <v>Anove Tecnologia</v>
      </c>
      <c r="X2102" s="33">
        <f>IFERROR(__xludf.DUMMYFUNCTION("""COMPUTED_VALUE"""),0.5)</f>
        <v>0.5</v>
      </c>
    </row>
    <row r="2103">
      <c r="K2103" s="4" t="str">
        <f>IFERROR(__xludf.DUMMYFUNCTION("""COMPUTED_VALUE"""),"FLAKES")</f>
        <v>FLAKES</v>
      </c>
      <c r="L2103" s="32">
        <f>IFERROR(__xludf.DUMMYFUNCTION("""COMPUTED_VALUE"""),4.0)</f>
        <v>4</v>
      </c>
      <c r="M2103" s="4" t="str">
        <f>IFERROR(__xludf.DUMMYFUNCTION("""COMPUTED_VALUE"""),"Ncr")</f>
        <v>Ncr</v>
      </c>
      <c r="N2103" s="33">
        <f>IFERROR(__xludf.DUMMYFUNCTION("""COMPUTED_VALUE"""),0.8)</f>
        <v>0.8</v>
      </c>
      <c r="O2103" s="4" t="str">
        <f>IFERROR(__xludf.DUMMYFUNCTION("""COMPUTED_VALUE"""),"Ncr")</f>
        <v>Ncr</v>
      </c>
      <c r="P2103" s="33">
        <f>IFERROR(__xludf.DUMMYFUNCTION("""COMPUTED_VALUE"""),0.8)</f>
        <v>0.8</v>
      </c>
      <c r="Q2103" s="4" t="str">
        <f>IFERROR(__xludf.DUMMYFUNCTION("""COMPUTED_VALUE"""),"Ncr")</f>
        <v>Ncr</v>
      </c>
      <c r="R2103" s="33">
        <f>IFERROR(__xludf.DUMMYFUNCTION("""COMPUTED_VALUE"""),1.0)</f>
        <v>1</v>
      </c>
      <c r="S2103" s="4" t="str">
        <f>IFERROR(__xludf.DUMMYFUNCTION("""COMPUTED_VALUE"""),"Ncr")</f>
        <v>Ncr</v>
      </c>
      <c r="T2103" s="33">
        <f>IFERROR(__xludf.DUMMYFUNCTION("""COMPUTED_VALUE"""),1.0)</f>
        <v>1</v>
      </c>
      <c r="U2103" s="4" t="str">
        <f>IFERROR(__xludf.DUMMYFUNCTION("""COMPUTED_VALUE"""),"Ncr")</f>
        <v>Ncr</v>
      </c>
      <c r="V2103" s="33">
        <f>IFERROR(__xludf.DUMMYFUNCTION("""COMPUTED_VALUE"""),1.0)</f>
        <v>1</v>
      </c>
      <c r="W2103" s="4" t="str">
        <f>IFERROR(__xludf.DUMMYFUNCTION("""COMPUTED_VALUE"""),"Ncr")</f>
        <v>Ncr</v>
      </c>
      <c r="X2103" s="33">
        <f>IFERROR(__xludf.DUMMYFUNCTION("""COMPUTED_VALUE"""),1.0)</f>
        <v>1</v>
      </c>
    </row>
    <row r="2104">
      <c r="K2104" s="4" t="str">
        <f>IFERROR(__xludf.DUMMYFUNCTION("""COMPUTED_VALUE"""),"SANTO BURGUER")</f>
        <v>SANTO BURGUER</v>
      </c>
      <c r="L2104" s="32">
        <f>IFERROR(__xludf.DUMMYFUNCTION("""COMPUTED_VALUE"""),4.0)</f>
        <v>4</v>
      </c>
      <c r="M2104" s="4" t="str">
        <f>IFERROR(__xludf.DUMMYFUNCTION("""COMPUTED_VALUE"""),"Cardápio Web")</f>
        <v>Cardápio Web</v>
      </c>
      <c r="N2104" s="33">
        <f>IFERROR(__xludf.DUMMYFUNCTION("""COMPUTED_VALUE"""),0.25)</f>
        <v>0.25</v>
      </c>
      <c r="O2104" s="4" t="str">
        <f>IFERROR(__xludf.DUMMYFUNCTION("""COMPUTED_VALUE"""),"Cardápio Web")</f>
        <v>Cardápio Web</v>
      </c>
      <c r="P2104" s="33">
        <f>IFERROR(__xludf.DUMMYFUNCTION("""COMPUTED_VALUE"""),0.25)</f>
        <v>0.25</v>
      </c>
      <c r="Q2104" s="4" t="str">
        <f>IFERROR(__xludf.DUMMYFUNCTION("""COMPUTED_VALUE"""),"null")</f>
        <v>null</v>
      </c>
      <c r="R2104" s="33">
        <f>IFERROR(__xludf.DUMMYFUNCTION("""COMPUTED_VALUE"""),0.5)</f>
        <v>0.5</v>
      </c>
      <c r="S2104" s="4" t="str">
        <f>IFERROR(__xludf.DUMMYFUNCTION("""COMPUTED_VALUE"""),"null")</f>
        <v>null</v>
      </c>
      <c r="T2104" s="33">
        <f>IFERROR(__xludf.DUMMYFUNCTION("""COMPUTED_VALUE"""),0.5)</f>
        <v>0.5</v>
      </c>
      <c r="U2104" s="4" t="str">
        <f>IFERROR(__xludf.DUMMYFUNCTION("""COMPUTED_VALUE"""),"null")</f>
        <v>null</v>
      </c>
      <c r="V2104" s="33">
        <f>IFERROR(__xludf.DUMMYFUNCTION("""COMPUTED_VALUE"""),0.5)</f>
        <v>0.5</v>
      </c>
      <c r="W2104" s="4" t="str">
        <f>IFERROR(__xludf.DUMMYFUNCTION("""COMPUTED_VALUE"""),"null")</f>
        <v>null</v>
      </c>
      <c r="X2104" s="33">
        <f>IFERROR(__xludf.DUMMYFUNCTION("""COMPUTED_VALUE"""),0.5)</f>
        <v>0.5</v>
      </c>
    </row>
    <row r="2105">
      <c r="K2105" s="4" t="str">
        <f>IFERROR(__xludf.DUMMYFUNCTION("""COMPUTED_VALUE"""),"IMPERIO")</f>
        <v>IMPERIO</v>
      </c>
      <c r="L2105" s="32">
        <f>IFERROR(__xludf.DUMMYFUNCTION("""COMPUTED_VALUE"""),4.0)</f>
        <v>4</v>
      </c>
      <c r="M2105" s="4" t="str">
        <f>IFERROR(__xludf.DUMMYFUNCTION("""COMPUTED_VALUE"""),"null")</f>
        <v>null</v>
      </c>
      <c r="N2105" s="33">
        <f>IFERROR(__xludf.DUMMYFUNCTION("""COMPUTED_VALUE"""),0.75)</f>
        <v>0.75</v>
      </c>
      <c r="O2105" s="4" t="str">
        <f>IFERROR(__xludf.DUMMYFUNCTION("""COMPUTED_VALUE"""),"null")</f>
        <v>null</v>
      </c>
      <c r="P2105" s="33">
        <f>IFERROR(__xludf.DUMMYFUNCTION("""COMPUTED_VALUE"""),0.5)</f>
        <v>0.5</v>
      </c>
      <c r="Q2105" s="4" t="str">
        <f>IFERROR(__xludf.DUMMYFUNCTION("""COMPUTED_VALUE"""),"null")</f>
        <v>null</v>
      </c>
      <c r="R2105" s="33">
        <f>IFERROR(__xludf.DUMMYFUNCTION("""COMPUTED_VALUE"""),0.75)</f>
        <v>0.75</v>
      </c>
      <c r="S2105" s="4" t="str">
        <f>IFERROR(__xludf.DUMMYFUNCTION("""COMPUTED_VALUE"""),"Anota Ai Solucoes Digitais S/a")</f>
        <v>Anota Ai Solucoes Digitais S/a</v>
      </c>
      <c r="T2105" s="33">
        <f>IFERROR(__xludf.DUMMYFUNCTION("""COMPUTED_VALUE"""),0.25)</f>
        <v>0.25</v>
      </c>
      <c r="U2105" s="4" t="str">
        <f>IFERROR(__xludf.DUMMYFUNCTION("""COMPUTED_VALUE"""),"Anota Ai Solucoes Digitais S/a")</f>
        <v>Anota Ai Solucoes Digitais S/a</v>
      </c>
      <c r="V2105" s="33">
        <f>IFERROR(__xludf.DUMMYFUNCTION("""COMPUTED_VALUE"""),0.25)</f>
        <v>0.25</v>
      </c>
      <c r="W2105" s="4" t="str">
        <f>IFERROR(__xludf.DUMMYFUNCTION("""COMPUTED_VALUE"""),"Anota Ai Solucoes Digitais S/a")</f>
        <v>Anota Ai Solucoes Digitais S/a</v>
      </c>
      <c r="X2105" s="33">
        <f>IFERROR(__xludf.DUMMYFUNCTION("""COMPUTED_VALUE"""),0.25)</f>
        <v>0.25</v>
      </c>
    </row>
    <row r="2106">
      <c r="K2106" s="4" t="str">
        <f>IFERROR(__xludf.DUMMYFUNCTION("""COMPUTED_VALUE"""),"BATATA RECHEADA NO POTE")</f>
        <v>BATATA RECHEADA NO POTE</v>
      </c>
      <c r="L2106" s="32">
        <f>IFERROR(__xludf.DUMMYFUNCTION("""COMPUTED_VALUE"""),4.0)</f>
        <v>4</v>
      </c>
      <c r="M2106" s="4" t="str">
        <f>IFERROR(__xludf.DUMMYFUNCTION("""COMPUTED_VALUE"""),"Instadelivery")</f>
        <v>Instadelivery</v>
      </c>
      <c r="N2106" s="33">
        <f>IFERROR(__xludf.DUMMYFUNCTION("""COMPUTED_VALUE"""),0.5)</f>
        <v>0.5</v>
      </c>
      <c r="O2106" s="4" t="str">
        <f>IFERROR(__xludf.DUMMYFUNCTION("""COMPUTED_VALUE"""),"null")</f>
        <v>null</v>
      </c>
      <c r="P2106" s="33">
        <f>IFERROR(__xludf.DUMMYFUNCTION("""COMPUTED_VALUE"""),0.5)</f>
        <v>0.5</v>
      </c>
      <c r="Q2106" s="4" t="str">
        <f>IFERROR(__xludf.DUMMYFUNCTION("""COMPUTED_VALUE"""),"null")</f>
        <v>null</v>
      </c>
      <c r="R2106" s="33">
        <f>IFERROR(__xludf.DUMMYFUNCTION("""COMPUTED_VALUE"""),0.5)</f>
        <v>0.5</v>
      </c>
      <c r="S2106" s="4" t="str">
        <f>IFERROR(__xludf.DUMMYFUNCTION("""COMPUTED_VALUE"""),"null")</f>
        <v>null</v>
      </c>
      <c r="T2106" s="33">
        <f>IFERROR(__xludf.DUMMYFUNCTION("""COMPUTED_VALUE"""),0.5)</f>
        <v>0.5</v>
      </c>
      <c r="U2106" s="4" t="str">
        <f>IFERROR(__xludf.DUMMYFUNCTION("""COMPUTED_VALUE"""),"Instadelivery")</f>
        <v>Instadelivery</v>
      </c>
      <c r="V2106" s="33">
        <f>IFERROR(__xludf.DUMMYFUNCTION("""COMPUTED_VALUE"""),0.5)</f>
        <v>0.5</v>
      </c>
      <c r="W2106" s="4" t="str">
        <f>IFERROR(__xludf.DUMMYFUNCTION("""COMPUTED_VALUE"""),"Instadelivery")</f>
        <v>Instadelivery</v>
      </c>
      <c r="X2106" s="33">
        <f>IFERROR(__xludf.DUMMYFUNCTION("""COMPUTED_VALUE"""),0.5)</f>
        <v>0.5</v>
      </c>
    </row>
    <row r="2107">
      <c r="K2107" s="4" t="str">
        <f>IFERROR(__xludf.DUMMYFUNCTION("""COMPUTED_VALUE"""),"FARMAIS")</f>
        <v>FARMAIS</v>
      </c>
      <c r="L2107" s="32">
        <f>IFERROR(__xludf.DUMMYFUNCTION("""COMPUTED_VALUE"""),4.0)</f>
        <v>4</v>
      </c>
      <c r="M2107" s="4" t="str">
        <f>IFERROR(__xludf.DUMMYFUNCTION("""COMPUTED_VALUE"""),"null")</f>
        <v>null</v>
      </c>
      <c r="N2107" s="33">
        <f>IFERROR(__xludf.DUMMYFUNCTION("""COMPUTED_VALUE"""),0.5)</f>
        <v>0.5</v>
      </c>
      <c r="O2107" s="4" t="str">
        <f>IFERROR(__xludf.DUMMYFUNCTION("""COMPUTED_VALUE"""),"null")</f>
        <v>null</v>
      </c>
      <c r="P2107" s="33">
        <f>IFERROR(__xludf.DUMMYFUNCTION("""COMPUTED_VALUE"""),0.5)</f>
        <v>0.5</v>
      </c>
      <c r="Q2107" s="4" t="str">
        <f>IFERROR(__xludf.DUMMYFUNCTION("""COMPUTED_VALUE"""),"null")</f>
        <v>null</v>
      </c>
      <c r="R2107" s="33">
        <f>IFERROR(__xludf.DUMMYFUNCTION("""COMPUTED_VALUE"""),0.5)</f>
        <v>0.5</v>
      </c>
      <c r="S2107" s="4" t="str">
        <f>IFERROR(__xludf.DUMMYFUNCTION("""COMPUTED_VALUE"""),"null")</f>
        <v>null</v>
      </c>
      <c r="T2107" s="33">
        <f>IFERROR(__xludf.DUMMYFUNCTION("""COMPUTED_VALUE"""),0.5)</f>
        <v>0.5</v>
      </c>
      <c r="U2107" s="4" t="str">
        <f>IFERROR(__xludf.DUMMYFUNCTION("""COMPUTED_VALUE"""),"N/A (Not found)")</f>
        <v>N/A (Not found)</v>
      </c>
      <c r="V2107" s="33">
        <f>IFERROR(__xludf.DUMMYFUNCTION("""COMPUTED_VALUE"""),1.0)</f>
        <v>1</v>
      </c>
      <c r="W2107" s="4" t="str">
        <f>IFERROR(__xludf.DUMMYFUNCTION("""COMPUTED_VALUE"""),"N/A (Not found)")</f>
        <v>N/A (Not found)</v>
      </c>
      <c r="X2107" s="33">
        <f>IFERROR(__xludf.DUMMYFUNCTION("""COMPUTED_VALUE"""),0.75)</f>
        <v>0.75</v>
      </c>
    </row>
    <row r="2108">
      <c r="K2108" s="4" t="str">
        <f>IFERROR(__xludf.DUMMYFUNCTION("""COMPUTED_VALUE"""),"DU LANCHES")</f>
        <v>DU LANCHES</v>
      </c>
      <c r="L2108" s="32">
        <f>IFERROR(__xludf.DUMMYFUNCTION("""COMPUTED_VALUE"""),4.0)</f>
        <v>4</v>
      </c>
      <c r="M2108" s="4" t="str">
        <f>IFERROR(__xludf.DUMMYFUNCTION("""COMPUTED_VALUE"""),"Saipos Serviços De Software")</f>
        <v>Saipos Serviços De Software</v>
      </c>
      <c r="N2108" s="33">
        <f>IFERROR(__xludf.DUMMYFUNCTION("""COMPUTED_VALUE"""),0.5)</f>
        <v>0.5</v>
      </c>
      <c r="O2108" s="4" t="str">
        <f>IFERROR(__xludf.DUMMYFUNCTION("""COMPUTED_VALUE"""),"null")</f>
        <v>null</v>
      </c>
      <c r="P2108" s="33">
        <f>IFERROR(__xludf.DUMMYFUNCTION("""COMPUTED_VALUE"""),0.5)</f>
        <v>0.5</v>
      </c>
      <c r="Q2108" s="4" t="str">
        <f>IFERROR(__xludf.DUMMYFUNCTION("""COMPUTED_VALUE"""),"Saipos Serviços De Software")</f>
        <v>Saipos Serviços De Software</v>
      </c>
      <c r="R2108" s="33">
        <f>IFERROR(__xludf.DUMMYFUNCTION("""COMPUTED_VALUE"""),0.5)</f>
        <v>0.5</v>
      </c>
      <c r="S2108" s="4" t="str">
        <f>IFERROR(__xludf.DUMMYFUNCTION("""COMPUTED_VALUE"""),"Saipos Serviços De Software")</f>
        <v>Saipos Serviços De Software</v>
      </c>
      <c r="T2108" s="33">
        <f>IFERROR(__xludf.DUMMYFUNCTION("""COMPUTED_VALUE"""),0.5)</f>
        <v>0.5</v>
      </c>
      <c r="U2108" s="4" t="str">
        <f>IFERROR(__xludf.DUMMYFUNCTION("""COMPUTED_VALUE"""),"null")</f>
        <v>null</v>
      </c>
      <c r="V2108" s="33">
        <f>IFERROR(__xludf.DUMMYFUNCTION("""COMPUTED_VALUE"""),0.5)</f>
        <v>0.5</v>
      </c>
      <c r="W2108" s="4" t="str">
        <f>IFERROR(__xludf.DUMMYFUNCTION("""COMPUTED_VALUE"""),"Saipos Serviços De Software")</f>
        <v>Saipos Serviços De Software</v>
      </c>
      <c r="X2108" s="33">
        <f>IFERROR(__xludf.DUMMYFUNCTION("""COMPUTED_VALUE"""),0.5)</f>
        <v>0.5</v>
      </c>
    </row>
    <row r="2109">
      <c r="K2109" s="4" t="str">
        <f>IFERROR(__xludf.DUMMYFUNCTION("""COMPUTED_VALUE"""),"PIZZARIA SUPIMPA")</f>
        <v>PIZZARIA SUPIMPA</v>
      </c>
      <c r="L2109" s="32">
        <f>IFERROR(__xludf.DUMMYFUNCTION("""COMPUTED_VALUE"""),4.0)</f>
        <v>4</v>
      </c>
      <c r="M2109" s="4" t="str">
        <f>IFERROR(__xludf.DUMMYFUNCTION("""COMPUTED_VALUE"""),"Mp Multipedidos")</f>
        <v>Mp Multipedidos</v>
      </c>
      <c r="N2109" s="33">
        <f>IFERROR(__xludf.DUMMYFUNCTION("""COMPUTED_VALUE"""),0.75)</f>
        <v>0.75</v>
      </c>
      <c r="O2109" s="4" t="str">
        <f>IFERROR(__xludf.DUMMYFUNCTION("""COMPUTED_VALUE"""),"Mp Multipedidos")</f>
        <v>Mp Multipedidos</v>
      </c>
      <c r="P2109" s="33">
        <f>IFERROR(__xludf.DUMMYFUNCTION("""COMPUTED_VALUE"""),0.5)</f>
        <v>0.5</v>
      </c>
      <c r="Q2109" s="4" t="str">
        <f>IFERROR(__xludf.DUMMYFUNCTION("""COMPUTED_VALUE"""),"Mp Multipedidos")</f>
        <v>Mp Multipedidos</v>
      </c>
      <c r="R2109" s="33">
        <f>IFERROR(__xludf.DUMMYFUNCTION("""COMPUTED_VALUE"""),0.75)</f>
        <v>0.75</v>
      </c>
      <c r="S2109" s="4" t="str">
        <f>IFERROR(__xludf.DUMMYFUNCTION("""COMPUTED_VALUE"""),"Mp Multipedidos")</f>
        <v>Mp Multipedidos</v>
      </c>
      <c r="T2109" s="33">
        <f>IFERROR(__xludf.DUMMYFUNCTION("""COMPUTED_VALUE"""),0.75)</f>
        <v>0.75</v>
      </c>
      <c r="U2109" s="4" t="str">
        <f>IFERROR(__xludf.DUMMYFUNCTION("""COMPUTED_VALUE"""),"Mp Multipedidos")</f>
        <v>Mp Multipedidos</v>
      </c>
      <c r="V2109" s="33">
        <f>IFERROR(__xludf.DUMMYFUNCTION("""COMPUTED_VALUE"""),0.5)</f>
        <v>0.5</v>
      </c>
      <c r="W2109" s="4" t="str">
        <f>IFERROR(__xludf.DUMMYFUNCTION("""COMPUTED_VALUE"""),"Mp Multipedidos")</f>
        <v>Mp Multipedidos</v>
      </c>
      <c r="X2109" s="33">
        <f>IFERROR(__xludf.DUMMYFUNCTION("""COMPUTED_VALUE"""),0.5)</f>
        <v>0.5</v>
      </c>
    </row>
    <row r="2110">
      <c r="K2110" s="4" t="str">
        <f>IFERROR(__xludf.DUMMYFUNCTION("""COMPUTED_VALUE"""),"MANGIARE MASSAS ARTESANAIS")</f>
        <v>MANGIARE MASSAS ARTESANAIS</v>
      </c>
      <c r="L2110" s="32">
        <f>IFERROR(__xludf.DUMMYFUNCTION("""COMPUTED_VALUE"""),4.0)</f>
        <v>4</v>
      </c>
      <c r="M2110" s="4" t="str">
        <f>IFERROR(__xludf.DUMMYFUNCTION("""COMPUTED_VALUE"""),"Mp Multipedidos")</f>
        <v>Mp Multipedidos</v>
      </c>
      <c r="N2110" s="33">
        <f>IFERROR(__xludf.DUMMYFUNCTION("""COMPUTED_VALUE"""),0.75)</f>
        <v>0.75</v>
      </c>
      <c r="O2110" s="4" t="str">
        <f>IFERROR(__xludf.DUMMYFUNCTION("""COMPUTED_VALUE"""),"null")</f>
        <v>null</v>
      </c>
      <c r="P2110" s="33">
        <f>IFERROR(__xludf.DUMMYFUNCTION("""COMPUTED_VALUE"""),0.5)</f>
        <v>0.5</v>
      </c>
      <c r="Q2110" s="4" t="str">
        <f>IFERROR(__xludf.DUMMYFUNCTION("""COMPUTED_VALUE"""),"Mp Multipedidos")</f>
        <v>Mp Multipedidos</v>
      </c>
      <c r="R2110" s="33">
        <f>IFERROR(__xludf.DUMMYFUNCTION("""COMPUTED_VALUE"""),0.5)</f>
        <v>0.5</v>
      </c>
      <c r="S2110" s="4" t="str">
        <f>IFERROR(__xludf.DUMMYFUNCTION("""COMPUTED_VALUE"""),"null")</f>
        <v>null</v>
      </c>
      <c r="T2110" s="33">
        <f>IFERROR(__xludf.DUMMYFUNCTION("""COMPUTED_VALUE"""),0.5)</f>
        <v>0.5</v>
      </c>
      <c r="U2110" s="4" t="str">
        <f>IFERROR(__xludf.DUMMYFUNCTION("""COMPUTED_VALUE"""),"null")</f>
        <v>null</v>
      </c>
      <c r="V2110" s="33">
        <f>IFERROR(__xludf.DUMMYFUNCTION("""COMPUTED_VALUE"""),0.5)</f>
        <v>0.5</v>
      </c>
      <c r="W2110" s="4" t="str">
        <f>IFERROR(__xludf.DUMMYFUNCTION("""COMPUTED_VALUE"""),"null")</f>
        <v>null</v>
      </c>
      <c r="X2110" s="33">
        <f>IFERROR(__xludf.DUMMYFUNCTION("""COMPUTED_VALUE"""),0.5)</f>
        <v>0.5</v>
      </c>
    </row>
    <row r="2111">
      <c r="K2111" s="4" t="str">
        <f>IFERROR(__xludf.DUMMYFUNCTION("""COMPUTED_VALUE"""),"BORA PIZZA")</f>
        <v>BORA PIZZA</v>
      </c>
      <c r="L2111" s="32">
        <f>IFERROR(__xludf.DUMMYFUNCTION("""COMPUTED_VALUE"""),4.0)</f>
        <v>4</v>
      </c>
      <c r="M2111" s="4" t="str">
        <f>IFERROR(__xludf.DUMMYFUNCTION("""COMPUTED_VALUE"""),"null")</f>
        <v>null</v>
      </c>
      <c r="N2111" s="33">
        <f>IFERROR(__xludf.DUMMYFUNCTION("""COMPUTED_VALUE"""),0.5)</f>
        <v>0.5</v>
      </c>
      <c r="O2111" s="4" t="str">
        <f>IFERROR(__xludf.DUMMYFUNCTION("""COMPUTED_VALUE"""),"null")</f>
        <v>null</v>
      </c>
      <c r="P2111" s="33">
        <f>IFERROR(__xludf.DUMMYFUNCTION("""COMPUTED_VALUE"""),0.5)</f>
        <v>0.5</v>
      </c>
      <c r="Q2111" s="4" t="str">
        <f>IFERROR(__xludf.DUMMYFUNCTION("""COMPUTED_VALUE"""),"null")</f>
        <v>null</v>
      </c>
      <c r="R2111" s="33">
        <f>IFERROR(__xludf.DUMMYFUNCTION("""COMPUTED_VALUE"""),0.5)</f>
        <v>0.5</v>
      </c>
      <c r="S2111" s="4" t="str">
        <f>IFERROR(__xludf.DUMMYFUNCTION("""COMPUTED_VALUE"""),"null")</f>
        <v>null</v>
      </c>
      <c r="T2111" s="33">
        <f>IFERROR(__xludf.DUMMYFUNCTION("""COMPUTED_VALUE"""),0.5)</f>
        <v>0.5</v>
      </c>
      <c r="U2111" s="4" t="str">
        <f>IFERROR(__xludf.DUMMYFUNCTION("""COMPUTED_VALUE"""),"null")</f>
        <v>null</v>
      </c>
      <c r="V2111" s="33">
        <f>IFERROR(__xludf.DUMMYFUNCTION("""COMPUTED_VALUE"""),0.5)</f>
        <v>0.5</v>
      </c>
      <c r="W2111" s="4" t="str">
        <f>IFERROR(__xludf.DUMMYFUNCTION("""COMPUTED_VALUE"""),"null")</f>
        <v>null</v>
      </c>
      <c r="X2111" s="33">
        <f>IFERROR(__xludf.DUMMYFUNCTION("""COMPUTED_VALUE"""),0.75)</f>
        <v>0.75</v>
      </c>
    </row>
    <row r="2112">
      <c r="K2112" s="4" t="str">
        <f>IFERROR(__xludf.DUMMYFUNCTION("""COMPUTED_VALUE"""),"JACK PIZZA")</f>
        <v>JACK PIZZA</v>
      </c>
      <c r="L2112" s="32">
        <f>IFERROR(__xludf.DUMMYFUNCTION("""COMPUTED_VALUE"""),4.0)</f>
        <v>4</v>
      </c>
      <c r="M2112" s="4" t="str">
        <f>IFERROR(__xludf.DUMMYFUNCTION("""COMPUTED_VALUE"""),"Connectplug")</f>
        <v>Connectplug</v>
      </c>
      <c r="N2112" s="33">
        <f>IFERROR(__xludf.DUMMYFUNCTION("""COMPUTED_VALUE"""),0.75)</f>
        <v>0.75</v>
      </c>
      <c r="O2112" s="4" t="str">
        <f>IFERROR(__xludf.DUMMYFUNCTION("""COMPUTED_VALUE"""),"Connectplug")</f>
        <v>Connectplug</v>
      </c>
      <c r="P2112" s="33">
        <f>IFERROR(__xludf.DUMMYFUNCTION("""COMPUTED_VALUE"""),0.75)</f>
        <v>0.75</v>
      </c>
      <c r="Q2112" s="4" t="str">
        <f>IFERROR(__xludf.DUMMYFUNCTION("""COMPUTED_VALUE"""),"Connectplug")</f>
        <v>Connectplug</v>
      </c>
      <c r="R2112" s="33">
        <f>IFERROR(__xludf.DUMMYFUNCTION("""COMPUTED_VALUE"""),0.75)</f>
        <v>0.75</v>
      </c>
      <c r="S2112" s="4" t="str">
        <f>IFERROR(__xludf.DUMMYFUNCTION("""COMPUTED_VALUE"""),"Connectplug")</f>
        <v>Connectplug</v>
      </c>
      <c r="T2112" s="33">
        <f>IFERROR(__xludf.DUMMYFUNCTION("""COMPUTED_VALUE"""),0.75)</f>
        <v>0.75</v>
      </c>
      <c r="U2112" s="4" t="str">
        <f>IFERROR(__xludf.DUMMYFUNCTION("""COMPUTED_VALUE"""),"Connectplug")</f>
        <v>Connectplug</v>
      </c>
      <c r="V2112" s="33">
        <f>IFERROR(__xludf.DUMMYFUNCTION("""COMPUTED_VALUE"""),0.75)</f>
        <v>0.75</v>
      </c>
      <c r="W2112" s="4" t="str">
        <f>IFERROR(__xludf.DUMMYFUNCTION("""COMPUTED_VALUE"""),"Connectplug")</f>
        <v>Connectplug</v>
      </c>
      <c r="X2112" s="33">
        <f>IFERROR(__xludf.DUMMYFUNCTION("""COMPUTED_VALUE"""),0.75)</f>
        <v>0.75</v>
      </c>
    </row>
    <row r="2113">
      <c r="K2113" s="4" t="str">
        <f>IFERROR(__xludf.DUMMYFUNCTION("""COMPUTED_VALUE"""),"CHICKEN POINT")</f>
        <v>CHICKEN POINT</v>
      </c>
      <c r="L2113" s="32">
        <f>IFERROR(__xludf.DUMMYFUNCTION("""COMPUTED_VALUE"""),4.0)</f>
        <v>4</v>
      </c>
      <c r="M2113" s="4" t="str">
        <f>IFERROR(__xludf.DUMMYFUNCTION("""COMPUTED_VALUE"""),"Saipos Serviços De Software")</f>
        <v>Saipos Serviços De Software</v>
      </c>
      <c r="N2113" s="33">
        <f>IFERROR(__xludf.DUMMYFUNCTION("""COMPUTED_VALUE"""),1.0)</f>
        <v>1</v>
      </c>
      <c r="O2113" s="4" t="str">
        <f>IFERROR(__xludf.DUMMYFUNCTION("""COMPUTED_VALUE"""),"Saipos Serviços De Software")</f>
        <v>Saipos Serviços De Software</v>
      </c>
      <c r="P2113" s="33">
        <f>IFERROR(__xludf.DUMMYFUNCTION("""COMPUTED_VALUE"""),1.0)</f>
        <v>1</v>
      </c>
      <c r="Q2113" s="4" t="str">
        <f>IFERROR(__xludf.DUMMYFUNCTION("""COMPUTED_VALUE"""),"Saipos Serviços De Software")</f>
        <v>Saipos Serviços De Software</v>
      </c>
      <c r="R2113" s="33">
        <f>IFERROR(__xludf.DUMMYFUNCTION("""COMPUTED_VALUE"""),1.0)</f>
        <v>1</v>
      </c>
      <c r="S2113" s="4" t="str">
        <f>IFERROR(__xludf.DUMMYFUNCTION("""COMPUTED_VALUE"""),"Saipos Serviços De Software")</f>
        <v>Saipos Serviços De Software</v>
      </c>
      <c r="T2113" s="33">
        <f>IFERROR(__xludf.DUMMYFUNCTION("""COMPUTED_VALUE"""),1.0)</f>
        <v>1</v>
      </c>
      <c r="U2113" s="4" t="str">
        <f>IFERROR(__xludf.DUMMYFUNCTION("""COMPUTED_VALUE"""),"Saipos Serviços De Software")</f>
        <v>Saipos Serviços De Software</v>
      </c>
      <c r="V2113" s="33">
        <f>IFERROR(__xludf.DUMMYFUNCTION("""COMPUTED_VALUE"""),1.0)</f>
        <v>1</v>
      </c>
      <c r="W2113" s="4" t="str">
        <f>IFERROR(__xludf.DUMMYFUNCTION("""COMPUTED_VALUE"""),"Saipos Serviços De Software")</f>
        <v>Saipos Serviços De Software</v>
      </c>
      <c r="X2113" s="33">
        <f>IFERROR(__xludf.DUMMYFUNCTION("""COMPUTED_VALUE"""),1.0)</f>
        <v>1</v>
      </c>
    </row>
    <row r="2114">
      <c r="K2114" s="4" t="str">
        <f>IFERROR(__xludf.DUMMYFUNCTION("""COMPUTED_VALUE"""),"MARMITARIA PAULISTA")</f>
        <v>MARMITARIA PAULISTA</v>
      </c>
      <c r="L2114" s="32">
        <f>IFERROR(__xludf.DUMMYFUNCTION("""COMPUTED_VALUE"""),4.0)</f>
        <v>4</v>
      </c>
      <c r="M2114" s="4" t="str">
        <f>IFERROR(__xludf.DUMMYFUNCTION("""COMPUTED_VALUE"""),"Saipos Serviços De Software")</f>
        <v>Saipos Serviços De Software</v>
      </c>
      <c r="N2114" s="33">
        <f>IFERROR(__xludf.DUMMYFUNCTION("""COMPUTED_VALUE"""),1.0)</f>
        <v>1</v>
      </c>
      <c r="O2114" s="4" t="str">
        <f>IFERROR(__xludf.DUMMYFUNCTION("""COMPUTED_VALUE"""),"Saipos Serviços De Software")</f>
        <v>Saipos Serviços De Software</v>
      </c>
      <c r="P2114" s="33">
        <f>IFERROR(__xludf.DUMMYFUNCTION("""COMPUTED_VALUE"""),1.0)</f>
        <v>1</v>
      </c>
      <c r="Q2114" s="4" t="str">
        <f>IFERROR(__xludf.DUMMYFUNCTION("""COMPUTED_VALUE"""),"Saipos Serviços De Software")</f>
        <v>Saipos Serviços De Software</v>
      </c>
      <c r="R2114" s="33">
        <f>IFERROR(__xludf.DUMMYFUNCTION("""COMPUTED_VALUE"""),1.0)</f>
        <v>1</v>
      </c>
      <c r="S2114" s="4" t="str">
        <f>IFERROR(__xludf.DUMMYFUNCTION("""COMPUTED_VALUE"""),"Saipos Serviços De Software")</f>
        <v>Saipos Serviços De Software</v>
      </c>
      <c r="T2114" s="33">
        <f>IFERROR(__xludf.DUMMYFUNCTION("""COMPUTED_VALUE"""),1.0)</f>
        <v>1</v>
      </c>
      <c r="U2114" s="4" t="str">
        <f>IFERROR(__xludf.DUMMYFUNCTION("""COMPUTED_VALUE"""),"Saipos Serviços De Software")</f>
        <v>Saipos Serviços De Software</v>
      </c>
      <c r="V2114" s="33">
        <f>IFERROR(__xludf.DUMMYFUNCTION("""COMPUTED_VALUE"""),0.8)</f>
        <v>0.8</v>
      </c>
      <c r="W2114" s="4" t="str">
        <f>IFERROR(__xludf.DUMMYFUNCTION("""COMPUTED_VALUE"""),"Saipos Serviços De Software")</f>
        <v>Saipos Serviços De Software</v>
      </c>
      <c r="X2114" s="33">
        <f>IFERROR(__xludf.DUMMYFUNCTION("""COMPUTED_VALUE"""),0.8)</f>
        <v>0.8</v>
      </c>
    </row>
    <row r="2115">
      <c r="K2115" s="4" t="str">
        <f>IFERROR(__xludf.DUMMYFUNCTION("""COMPUTED_VALUE"""),"PRENSADAO LANCHES")</f>
        <v>PRENSADAO LANCHES</v>
      </c>
      <c r="L2115" s="32">
        <f>IFERROR(__xludf.DUMMYFUNCTION("""COMPUTED_VALUE"""),4.0)</f>
        <v>4</v>
      </c>
      <c r="M2115" s="4" t="str">
        <f>IFERROR(__xludf.DUMMYFUNCTION("""COMPUTED_VALUE"""),"null")</f>
        <v>null</v>
      </c>
      <c r="N2115" s="33">
        <f>IFERROR(__xludf.DUMMYFUNCTION("""COMPUTED_VALUE"""),0.25)</f>
        <v>0.25</v>
      </c>
      <c r="O2115" s="4" t="str">
        <f>IFERROR(__xludf.DUMMYFUNCTION("""COMPUTED_VALUE"""),"null")</f>
        <v>null</v>
      </c>
      <c r="P2115" s="33">
        <f>IFERROR(__xludf.DUMMYFUNCTION("""COMPUTED_VALUE"""),0.5)</f>
        <v>0.5</v>
      </c>
      <c r="Q2115" s="4" t="str">
        <f>IFERROR(__xludf.DUMMYFUNCTION("""COMPUTED_VALUE"""),"null")</f>
        <v>null</v>
      </c>
      <c r="R2115" s="33">
        <f>IFERROR(__xludf.DUMMYFUNCTION("""COMPUTED_VALUE"""),0.5)</f>
        <v>0.5</v>
      </c>
      <c r="S2115" s="4" t="str">
        <f>IFERROR(__xludf.DUMMYFUNCTION("""COMPUTED_VALUE"""),"Rjk Sistemas Ltda Me")</f>
        <v>Rjk Sistemas Ltda Me</v>
      </c>
      <c r="T2115" s="33">
        <f>IFERROR(__xludf.DUMMYFUNCTION("""COMPUTED_VALUE"""),0.25)</f>
        <v>0.25</v>
      </c>
      <c r="U2115" s="4" t="str">
        <f>IFERROR(__xludf.DUMMYFUNCTION("""COMPUTED_VALUE"""),"Rjk Sistemas Ltda Me")</f>
        <v>Rjk Sistemas Ltda Me</v>
      </c>
      <c r="V2115" s="33">
        <f>IFERROR(__xludf.DUMMYFUNCTION("""COMPUTED_VALUE"""),0.25)</f>
        <v>0.25</v>
      </c>
      <c r="W2115" s="4" t="str">
        <f>IFERROR(__xludf.DUMMYFUNCTION("""COMPUTED_VALUE"""),"Rjk Sistemas Ltda Me")</f>
        <v>Rjk Sistemas Ltda Me</v>
      </c>
      <c r="X2115" s="33">
        <f>IFERROR(__xludf.DUMMYFUNCTION("""COMPUTED_VALUE"""),0.25)</f>
        <v>0.25</v>
      </c>
    </row>
    <row r="2116">
      <c r="K2116" s="4" t="str">
        <f>IFERROR(__xludf.DUMMYFUNCTION("""COMPUTED_VALUE"""),"DELICIAS DA VOVO")</f>
        <v>DELICIAS DA VOVO</v>
      </c>
      <c r="L2116" s="32">
        <f>IFERROR(__xludf.DUMMYFUNCTION("""COMPUTED_VALUE"""),4.0)</f>
        <v>4</v>
      </c>
      <c r="M2116" s="4" t="str">
        <f>IFERROR(__xludf.DUMMYFUNCTION("""COMPUTED_VALUE"""),"Dual Sete Sistemas E Tecnologia")</f>
        <v>Dual Sete Sistemas E Tecnologia</v>
      </c>
      <c r="N2116" s="33">
        <f>IFERROR(__xludf.DUMMYFUNCTION("""COMPUTED_VALUE"""),0.25)</f>
        <v>0.25</v>
      </c>
      <c r="O2116" s="4" t="str">
        <f>IFERROR(__xludf.DUMMYFUNCTION("""COMPUTED_VALUE"""),"null")</f>
        <v>null</v>
      </c>
      <c r="P2116" s="33">
        <f>IFERROR(__xludf.DUMMYFUNCTION("""COMPUTED_VALUE"""),0.5)</f>
        <v>0.5</v>
      </c>
      <c r="Q2116" s="4" t="str">
        <f>IFERROR(__xludf.DUMMYFUNCTION("""COMPUTED_VALUE"""),"null")</f>
        <v>null</v>
      </c>
      <c r="R2116" s="33">
        <f>IFERROR(__xludf.DUMMYFUNCTION("""COMPUTED_VALUE"""),0.5)</f>
        <v>0.5</v>
      </c>
      <c r="S2116" s="4" t="str">
        <f>IFERROR(__xludf.DUMMYFUNCTION("""COMPUTED_VALUE"""),"null")</f>
        <v>null</v>
      </c>
      <c r="T2116" s="33">
        <f>IFERROR(__xludf.DUMMYFUNCTION("""COMPUTED_VALUE"""),0.5)</f>
        <v>0.5</v>
      </c>
      <c r="U2116" s="4" t="str">
        <f>IFERROR(__xludf.DUMMYFUNCTION("""COMPUTED_VALUE"""),"null")</f>
        <v>null</v>
      </c>
      <c r="V2116" s="33">
        <f>IFERROR(__xludf.DUMMYFUNCTION("""COMPUTED_VALUE"""),0.5)</f>
        <v>0.5</v>
      </c>
      <c r="W2116" s="4" t="str">
        <f>IFERROR(__xludf.DUMMYFUNCTION("""COMPUTED_VALUE"""),"null")</f>
        <v>null</v>
      </c>
      <c r="X2116" s="33">
        <f>IFERROR(__xludf.DUMMYFUNCTION("""COMPUTED_VALUE"""),0.5)</f>
        <v>0.5</v>
      </c>
    </row>
    <row r="2117">
      <c r="K2117" s="4" t="str">
        <f>IFERROR(__xludf.DUMMYFUNCTION("""COMPUTED_VALUE"""),"PIZZARIA NOVO SABOR")</f>
        <v>PIZZARIA NOVO SABOR</v>
      </c>
      <c r="L2117" s="32">
        <f>IFERROR(__xludf.DUMMYFUNCTION("""COMPUTED_VALUE"""),4.0)</f>
        <v>4</v>
      </c>
      <c r="M2117" s="4" t="str">
        <f>IFERROR(__xludf.DUMMYFUNCTION("""COMPUTED_VALUE"""),"null")</f>
        <v>null</v>
      </c>
      <c r="N2117" s="33">
        <f>IFERROR(__xludf.DUMMYFUNCTION("""COMPUTED_VALUE"""),0.5)</f>
        <v>0.5</v>
      </c>
      <c r="O2117" s="4" t="str">
        <f>IFERROR(__xludf.DUMMYFUNCTION("""COMPUTED_VALUE"""),"Consumer Soluções Em Tecnologia Ltda")</f>
        <v>Consumer Soluções Em Tecnologia Ltda</v>
      </c>
      <c r="P2117" s="33">
        <f>IFERROR(__xludf.DUMMYFUNCTION("""COMPUTED_VALUE"""),0.5)</f>
        <v>0.5</v>
      </c>
      <c r="Q2117" s="4" t="str">
        <f>IFERROR(__xludf.DUMMYFUNCTION("""COMPUTED_VALUE"""),"null")</f>
        <v>null</v>
      </c>
      <c r="R2117" s="33">
        <f>IFERROR(__xludf.DUMMYFUNCTION("""COMPUTED_VALUE"""),0.75)</f>
        <v>0.75</v>
      </c>
      <c r="S2117" s="4" t="str">
        <f>IFERROR(__xludf.DUMMYFUNCTION("""COMPUTED_VALUE"""),"null")</f>
        <v>null</v>
      </c>
      <c r="T2117" s="33">
        <f>IFERROR(__xludf.DUMMYFUNCTION("""COMPUTED_VALUE"""),0.75)</f>
        <v>0.75</v>
      </c>
      <c r="U2117" s="4" t="str">
        <f>IFERROR(__xludf.DUMMYFUNCTION("""COMPUTED_VALUE"""),"null")</f>
        <v>null</v>
      </c>
      <c r="V2117" s="33">
        <f>IFERROR(__xludf.DUMMYFUNCTION("""COMPUTED_VALUE"""),0.5)</f>
        <v>0.5</v>
      </c>
      <c r="W2117" s="4" t="str">
        <f>IFERROR(__xludf.DUMMYFUNCTION("""COMPUTED_VALUE"""),"Consumer Soluções Em Tecnologia Ltda")</f>
        <v>Consumer Soluções Em Tecnologia Ltda</v>
      </c>
      <c r="X2117" s="33">
        <f>IFERROR(__xludf.DUMMYFUNCTION("""COMPUTED_VALUE"""),0.5)</f>
        <v>0.5</v>
      </c>
    </row>
    <row r="2118">
      <c r="K2118" s="4" t="str">
        <f>IFERROR(__xludf.DUMMYFUNCTION("""COMPUTED_VALUE"""),"SAMPA PIZZA")</f>
        <v>SAMPA PIZZA</v>
      </c>
      <c r="L2118" s="32">
        <f>IFERROR(__xludf.DUMMYFUNCTION("""COMPUTED_VALUE"""),4.0)</f>
        <v>4</v>
      </c>
      <c r="M2118" s="4" t="str">
        <f>IFERROR(__xludf.DUMMYFUNCTION("""COMPUTED_VALUE"""),"Totvs Large Enterprise Tecnologia S.a.")</f>
        <v>Totvs Large Enterprise Tecnologia S.a.</v>
      </c>
      <c r="N2118" s="33">
        <f>IFERROR(__xludf.DUMMYFUNCTION("""COMPUTED_VALUE"""),0.5)</f>
        <v>0.5</v>
      </c>
      <c r="O2118" s="4" t="str">
        <f>IFERROR(__xludf.DUMMYFUNCTION("""COMPUTED_VALUE"""),"Totvs Large Enterprise Tecnologia S.a.")</f>
        <v>Totvs Large Enterprise Tecnologia S.a.</v>
      </c>
      <c r="P2118" s="33">
        <f>IFERROR(__xludf.DUMMYFUNCTION("""COMPUTED_VALUE"""),0.5)</f>
        <v>0.5</v>
      </c>
      <c r="Q2118" s="4" t="str">
        <f>IFERROR(__xludf.DUMMYFUNCTION("""COMPUTED_VALUE"""),"Totvs Large Enterprise Tecnologia S.a.")</f>
        <v>Totvs Large Enterprise Tecnologia S.a.</v>
      </c>
      <c r="R2118" s="33">
        <f>IFERROR(__xludf.DUMMYFUNCTION("""COMPUTED_VALUE"""),0.5)</f>
        <v>0.5</v>
      </c>
      <c r="S2118" s="4" t="str">
        <f>IFERROR(__xludf.DUMMYFUNCTION("""COMPUTED_VALUE"""),"Saipos Serviços De Software")</f>
        <v>Saipos Serviços De Software</v>
      </c>
      <c r="T2118" s="33">
        <f>IFERROR(__xludf.DUMMYFUNCTION("""COMPUTED_VALUE"""),0.5)</f>
        <v>0.5</v>
      </c>
      <c r="U2118" s="4" t="str">
        <f>IFERROR(__xludf.DUMMYFUNCTION("""COMPUTED_VALUE"""),"Saipos Serviços De Software")</f>
        <v>Saipos Serviços De Software</v>
      </c>
      <c r="V2118" s="33">
        <f>IFERROR(__xludf.DUMMYFUNCTION("""COMPUTED_VALUE"""),0.5)</f>
        <v>0.5</v>
      </c>
      <c r="W2118" s="4" t="str">
        <f>IFERROR(__xludf.DUMMYFUNCTION("""COMPUTED_VALUE"""),"Netcontroll Xmenu")</f>
        <v>Netcontroll Xmenu</v>
      </c>
      <c r="X2118" s="33">
        <f>IFERROR(__xludf.DUMMYFUNCTION("""COMPUTED_VALUE"""),0.5)</f>
        <v>0.5</v>
      </c>
    </row>
    <row r="2119">
      <c r="K2119" s="4" t="str">
        <f>IFERROR(__xludf.DUMMYFUNCTION("""COMPUTED_VALUE"""),"FARMELHOR")</f>
        <v>FARMELHOR</v>
      </c>
      <c r="L2119" s="32">
        <f>IFERROR(__xludf.DUMMYFUNCTION("""COMPUTED_VALUE"""),4.0)</f>
        <v>4</v>
      </c>
      <c r="M2119" s="4" t="str">
        <f>IFERROR(__xludf.DUMMYFUNCTION("""COMPUTED_VALUE"""),"null")</f>
        <v>null</v>
      </c>
      <c r="N2119" s="33">
        <f>IFERROR(__xludf.DUMMYFUNCTION("""COMPUTED_VALUE"""),0.5)</f>
        <v>0.5</v>
      </c>
      <c r="O2119" s="4" t="str">
        <f>IFERROR(__xludf.DUMMYFUNCTION("""COMPUTED_VALUE"""),"N/A (Not found)")</f>
        <v>N/A (Not found)</v>
      </c>
      <c r="P2119" s="33">
        <f>IFERROR(__xludf.DUMMYFUNCTION("""COMPUTED_VALUE"""),0.5)</f>
        <v>0.5</v>
      </c>
      <c r="Q2119" s="4" t="str">
        <f>IFERROR(__xludf.DUMMYFUNCTION("""COMPUTED_VALUE"""),"N/A (Not found)")</f>
        <v>N/A (Not found)</v>
      </c>
      <c r="R2119" s="33">
        <f>IFERROR(__xludf.DUMMYFUNCTION("""COMPUTED_VALUE"""),0.75)</f>
        <v>0.75</v>
      </c>
      <c r="S2119" s="4" t="str">
        <f>IFERROR(__xludf.DUMMYFUNCTION("""COMPUTED_VALUE"""),"N/A (Not found)")</f>
        <v>N/A (Not found)</v>
      </c>
      <c r="T2119" s="33">
        <f>IFERROR(__xludf.DUMMYFUNCTION("""COMPUTED_VALUE"""),0.75)</f>
        <v>0.75</v>
      </c>
      <c r="U2119" s="4" t="str">
        <f>IFERROR(__xludf.DUMMYFUNCTION("""COMPUTED_VALUE"""),"N/A (Not found)")</f>
        <v>N/A (Not found)</v>
      </c>
      <c r="V2119" s="33">
        <f>IFERROR(__xludf.DUMMYFUNCTION("""COMPUTED_VALUE"""),1.0)</f>
        <v>1</v>
      </c>
      <c r="W2119" s="4" t="str">
        <f>IFERROR(__xludf.DUMMYFUNCTION("""COMPUTED_VALUE"""),"N/A (Not found)")</f>
        <v>N/A (Not found)</v>
      </c>
      <c r="X2119" s="33">
        <f>IFERROR(__xludf.DUMMYFUNCTION("""COMPUTED_VALUE"""),1.0)</f>
        <v>1</v>
      </c>
    </row>
    <row r="2120">
      <c r="K2120" s="4" t="str">
        <f>IFERROR(__xludf.DUMMYFUNCTION("""COMPUTED_VALUE"""),"TEXAS BURGER")</f>
        <v>TEXAS BURGER</v>
      </c>
      <c r="L2120" s="32">
        <f>IFERROR(__xludf.DUMMYFUNCTION("""COMPUTED_VALUE"""),4.0)</f>
        <v>4</v>
      </c>
      <c r="M2120" s="4" t="str">
        <f>IFERROR(__xludf.DUMMYFUNCTION("""COMPUTED_VALUE"""),"Saipos Serviços De Software")</f>
        <v>Saipos Serviços De Software</v>
      </c>
      <c r="N2120" s="33">
        <f>IFERROR(__xludf.DUMMYFUNCTION("""COMPUTED_VALUE"""),0.5)</f>
        <v>0.5</v>
      </c>
      <c r="O2120" s="4" t="str">
        <f>IFERROR(__xludf.DUMMYFUNCTION("""COMPUTED_VALUE"""),"Saipos Serviços De Software")</f>
        <v>Saipos Serviços De Software</v>
      </c>
      <c r="P2120" s="33">
        <f>IFERROR(__xludf.DUMMYFUNCTION("""COMPUTED_VALUE"""),0.5)</f>
        <v>0.5</v>
      </c>
      <c r="Q2120" s="4" t="str">
        <f>IFERROR(__xludf.DUMMYFUNCTION("""COMPUTED_VALUE"""),"Saipos Serviços De Software")</f>
        <v>Saipos Serviços De Software</v>
      </c>
      <c r="R2120" s="33">
        <f>IFERROR(__xludf.DUMMYFUNCTION("""COMPUTED_VALUE"""),0.5)</f>
        <v>0.5</v>
      </c>
      <c r="S2120" s="4" t="str">
        <f>IFERROR(__xludf.DUMMYFUNCTION("""COMPUTED_VALUE"""),"Saipos Serviços De Software")</f>
        <v>Saipos Serviços De Software</v>
      </c>
      <c r="T2120" s="33">
        <f>IFERROR(__xludf.DUMMYFUNCTION("""COMPUTED_VALUE"""),0.5)</f>
        <v>0.5</v>
      </c>
      <c r="U2120" s="4" t="str">
        <f>IFERROR(__xludf.DUMMYFUNCTION("""COMPUTED_VALUE"""),"Saipos Serviços De Software")</f>
        <v>Saipos Serviços De Software</v>
      </c>
      <c r="V2120" s="33">
        <f>IFERROR(__xludf.DUMMYFUNCTION("""COMPUTED_VALUE"""),0.5)</f>
        <v>0.5</v>
      </c>
      <c r="W2120" s="4" t="str">
        <f>IFERROR(__xludf.DUMMYFUNCTION("""COMPUTED_VALUE"""),"Saipos Serviços De Software")</f>
        <v>Saipos Serviços De Software</v>
      </c>
      <c r="X2120" s="33">
        <f>IFERROR(__xludf.DUMMYFUNCTION("""COMPUTED_VALUE"""),0.5)</f>
        <v>0.5</v>
      </c>
    </row>
    <row r="2121">
      <c r="K2121" s="4" t="str">
        <f>IFERROR(__xludf.DUMMYFUNCTION("""COMPUTED_VALUE"""),"KOME SUSHI")</f>
        <v>KOME SUSHI</v>
      </c>
      <c r="L2121" s="32">
        <f>IFERROR(__xludf.DUMMYFUNCTION("""COMPUTED_VALUE"""),4.0)</f>
        <v>4</v>
      </c>
      <c r="M2121" s="4" t="str">
        <f>IFERROR(__xludf.DUMMYFUNCTION("""COMPUTED_VALUE"""),"Suitable Tecnologia E Gestao")</f>
        <v>Suitable Tecnologia E Gestao</v>
      </c>
      <c r="N2121" s="33">
        <f>IFERROR(__xludf.DUMMYFUNCTION("""COMPUTED_VALUE"""),0.5)</f>
        <v>0.5</v>
      </c>
      <c r="O2121" s="4" t="str">
        <f>IFERROR(__xludf.DUMMYFUNCTION("""COMPUTED_VALUE"""),"Suitable Tecnologia E Gestao")</f>
        <v>Suitable Tecnologia E Gestao</v>
      </c>
      <c r="P2121" s="33">
        <f>IFERROR(__xludf.DUMMYFUNCTION("""COMPUTED_VALUE"""),0.5)</f>
        <v>0.5</v>
      </c>
      <c r="Q2121" s="4" t="str">
        <f>IFERROR(__xludf.DUMMYFUNCTION("""COMPUTED_VALUE"""),"Suitable Tecnologia E Gestao")</f>
        <v>Suitable Tecnologia E Gestao</v>
      </c>
      <c r="R2121" s="33">
        <f>IFERROR(__xludf.DUMMYFUNCTION("""COMPUTED_VALUE"""),0.5)</f>
        <v>0.5</v>
      </c>
      <c r="S2121" s="4" t="str">
        <f>IFERROR(__xludf.DUMMYFUNCTION("""COMPUTED_VALUE"""),"Suitable Tecnologia E Gestao")</f>
        <v>Suitable Tecnologia E Gestao</v>
      </c>
      <c r="T2121" s="33">
        <f>IFERROR(__xludf.DUMMYFUNCTION("""COMPUTED_VALUE"""),0.5)</f>
        <v>0.5</v>
      </c>
      <c r="U2121" s="4" t="str">
        <f>IFERROR(__xludf.DUMMYFUNCTION("""COMPUTED_VALUE"""),"Alltech")</f>
        <v>Alltech</v>
      </c>
      <c r="V2121" s="33">
        <f>IFERROR(__xludf.DUMMYFUNCTION("""COMPUTED_VALUE"""),0.5)</f>
        <v>0.5</v>
      </c>
      <c r="W2121" s="4" t="str">
        <f>IFERROR(__xludf.DUMMYFUNCTION("""COMPUTED_VALUE"""),"Alltech")</f>
        <v>Alltech</v>
      </c>
      <c r="X2121" s="33">
        <f>IFERROR(__xludf.DUMMYFUNCTION("""COMPUTED_VALUE"""),0.5)</f>
        <v>0.5</v>
      </c>
    </row>
    <row r="2122">
      <c r="K2122" s="4" t="str">
        <f>IFERROR(__xludf.DUMMYFUNCTION("""COMPUTED_VALUE"""),"FRITO")</f>
        <v>FRITO</v>
      </c>
      <c r="L2122" s="32">
        <f>IFERROR(__xludf.DUMMYFUNCTION("""COMPUTED_VALUE"""),4.0)</f>
        <v>4</v>
      </c>
      <c r="M2122" s="4" t="str">
        <f>IFERROR(__xludf.DUMMYFUNCTION("""COMPUTED_VALUE"""),"Consumer Soluções Em Tecnologia Ltda")</f>
        <v>Consumer Soluções Em Tecnologia Ltda</v>
      </c>
      <c r="N2122" s="33">
        <f>IFERROR(__xludf.DUMMYFUNCTION("""COMPUTED_VALUE"""),0.75)</f>
        <v>0.75</v>
      </c>
      <c r="O2122" s="4" t="str">
        <f>IFERROR(__xludf.DUMMYFUNCTION("""COMPUTED_VALUE"""),"Consumer Soluções Em Tecnologia Ltda")</f>
        <v>Consumer Soluções Em Tecnologia Ltda</v>
      </c>
      <c r="P2122" s="33">
        <f>IFERROR(__xludf.DUMMYFUNCTION("""COMPUTED_VALUE"""),0.5)</f>
        <v>0.5</v>
      </c>
      <c r="Q2122" s="4" t="str">
        <f>IFERROR(__xludf.DUMMYFUNCTION("""COMPUTED_VALUE"""),"Consumer Soluções Em Tecnologia Ltda")</f>
        <v>Consumer Soluções Em Tecnologia Ltda</v>
      </c>
      <c r="R2122" s="33">
        <f>IFERROR(__xludf.DUMMYFUNCTION("""COMPUTED_VALUE"""),0.5)</f>
        <v>0.5</v>
      </c>
      <c r="S2122" s="4" t="str">
        <f>IFERROR(__xludf.DUMMYFUNCTION("""COMPUTED_VALUE"""),"Consumer Soluções Em Tecnologia Ltda")</f>
        <v>Consumer Soluções Em Tecnologia Ltda</v>
      </c>
      <c r="T2122" s="33">
        <f>IFERROR(__xludf.DUMMYFUNCTION("""COMPUTED_VALUE"""),0.5)</f>
        <v>0.5</v>
      </c>
      <c r="U2122" s="4" t="str">
        <f>IFERROR(__xludf.DUMMYFUNCTION("""COMPUTED_VALUE"""),"Consumer Soluções Em Tecnologia Ltda")</f>
        <v>Consumer Soluções Em Tecnologia Ltda</v>
      </c>
      <c r="V2122" s="33">
        <f>IFERROR(__xludf.DUMMYFUNCTION("""COMPUTED_VALUE"""),0.75)</f>
        <v>0.75</v>
      </c>
      <c r="W2122" s="4" t="str">
        <f>IFERROR(__xludf.DUMMYFUNCTION("""COMPUTED_VALUE"""),"Consumer Soluções Em Tecnologia Ltda")</f>
        <v>Consumer Soluções Em Tecnologia Ltda</v>
      </c>
      <c r="X2122" s="33">
        <f>IFERROR(__xludf.DUMMYFUNCTION("""COMPUTED_VALUE"""),0.75)</f>
        <v>0.75</v>
      </c>
    </row>
    <row r="2123">
      <c r="K2123" s="4" t="str">
        <f>IFERROR(__xludf.DUMMYFUNCTION("""COMPUTED_VALUE"""),"NEI LANCHES")</f>
        <v>NEI LANCHES</v>
      </c>
      <c r="L2123" s="32">
        <f>IFERROR(__xludf.DUMMYFUNCTION("""COMPUTED_VALUE"""),4.0)</f>
        <v>4</v>
      </c>
      <c r="M2123" s="4" t="str">
        <f>IFERROR(__xludf.DUMMYFUNCTION("""COMPUTED_VALUE"""),"Cardápio Web")</f>
        <v>Cardápio Web</v>
      </c>
      <c r="N2123" s="33">
        <f>IFERROR(__xludf.DUMMYFUNCTION("""COMPUTED_VALUE"""),0.75)</f>
        <v>0.75</v>
      </c>
      <c r="O2123" s="4" t="str">
        <f>IFERROR(__xludf.DUMMYFUNCTION("""COMPUTED_VALUE"""),"Cardápio Web")</f>
        <v>Cardápio Web</v>
      </c>
      <c r="P2123" s="33">
        <f>IFERROR(__xludf.DUMMYFUNCTION("""COMPUTED_VALUE"""),0.75)</f>
        <v>0.75</v>
      </c>
      <c r="Q2123" s="4" t="str">
        <f>IFERROR(__xludf.DUMMYFUNCTION("""COMPUTED_VALUE"""),"Cardápio Web")</f>
        <v>Cardápio Web</v>
      </c>
      <c r="R2123" s="33">
        <f>IFERROR(__xludf.DUMMYFUNCTION("""COMPUTED_VALUE"""),0.75)</f>
        <v>0.75</v>
      </c>
      <c r="S2123" s="4" t="str">
        <f>IFERROR(__xludf.DUMMYFUNCTION("""COMPUTED_VALUE"""),"Cardápio Web")</f>
        <v>Cardápio Web</v>
      </c>
      <c r="T2123" s="33">
        <f>IFERROR(__xludf.DUMMYFUNCTION("""COMPUTED_VALUE"""),0.75)</f>
        <v>0.75</v>
      </c>
      <c r="U2123" s="4" t="str">
        <f>IFERROR(__xludf.DUMMYFUNCTION("""COMPUTED_VALUE"""),"Cardápio Web")</f>
        <v>Cardápio Web</v>
      </c>
      <c r="V2123" s="33">
        <f>IFERROR(__xludf.DUMMYFUNCTION("""COMPUTED_VALUE"""),0.75)</f>
        <v>0.75</v>
      </c>
      <c r="W2123" s="4" t="str">
        <f>IFERROR(__xludf.DUMMYFUNCTION("""COMPUTED_VALUE"""),"Cardápio Web")</f>
        <v>Cardápio Web</v>
      </c>
      <c r="X2123" s="33">
        <f>IFERROR(__xludf.DUMMYFUNCTION("""COMPUTED_VALUE"""),1.0)</f>
        <v>1</v>
      </c>
    </row>
    <row r="2124">
      <c r="K2124" s="4" t="str">
        <f>IFERROR(__xludf.DUMMYFUNCTION("""COMPUTED_VALUE"""),"OUSHE BURGUER")</f>
        <v>OUSHE BURGUER</v>
      </c>
      <c r="L2124" s="32">
        <f>IFERROR(__xludf.DUMMYFUNCTION("""COMPUTED_VALUE"""),4.0)</f>
        <v>4</v>
      </c>
      <c r="M2124" s="4" t="str">
        <f>IFERROR(__xludf.DUMMYFUNCTION("""COMPUTED_VALUE"""),"Fas Tecnologia")</f>
        <v>Fas Tecnologia</v>
      </c>
      <c r="N2124" s="33">
        <f>IFERROR(__xludf.DUMMYFUNCTION("""COMPUTED_VALUE"""),0.75)</f>
        <v>0.75</v>
      </c>
      <c r="O2124" s="4" t="str">
        <f>IFERROR(__xludf.DUMMYFUNCTION("""COMPUTED_VALUE"""),"Fas Tecnologia")</f>
        <v>Fas Tecnologia</v>
      </c>
      <c r="P2124" s="33">
        <f>IFERROR(__xludf.DUMMYFUNCTION("""COMPUTED_VALUE"""),0.75)</f>
        <v>0.75</v>
      </c>
      <c r="Q2124" s="4" t="str">
        <f>IFERROR(__xludf.DUMMYFUNCTION("""COMPUTED_VALUE"""),"Fas Tecnologia")</f>
        <v>Fas Tecnologia</v>
      </c>
      <c r="R2124" s="33">
        <f>IFERROR(__xludf.DUMMYFUNCTION("""COMPUTED_VALUE"""),0.75)</f>
        <v>0.75</v>
      </c>
      <c r="S2124" s="4" t="str">
        <f>IFERROR(__xludf.DUMMYFUNCTION("""COMPUTED_VALUE"""),"Fas Tecnologia")</f>
        <v>Fas Tecnologia</v>
      </c>
      <c r="T2124" s="33">
        <f>IFERROR(__xludf.DUMMYFUNCTION("""COMPUTED_VALUE"""),0.75)</f>
        <v>0.75</v>
      </c>
      <c r="U2124" s="4" t="str">
        <f>IFERROR(__xludf.DUMMYFUNCTION("""COMPUTED_VALUE"""),"Fas Tecnologia")</f>
        <v>Fas Tecnologia</v>
      </c>
      <c r="V2124" s="33">
        <f>IFERROR(__xludf.DUMMYFUNCTION("""COMPUTED_VALUE"""),0.5)</f>
        <v>0.5</v>
      </c>
      <c r="W2124" s="4" t="str">
        <f>IFERROR(__xludf.DUMMYFUNCTION("""COMPUTED_VALUE"""),"Saipos Serviços De Software")</f>
        <v>Saipos Serviços De Software</v>
      </c>
      <c r="X2124" s="33">
        <f>IFERROR(__xludf.DUMMYFUNCTION("""COMPUTED_VALUE"""),1.0)</f>
        <v>1</v>
      </c>
    </row>
    <row r="2125">
      <c r="K2125" s="4" t="str">
        <f>IFERROR(__xludf.DUMMYFUNCTION("""COMPUTED_VALUE"""),"DOM BURGER")</f>
        <v>DOM BURGER</v>
      </c>
      <c r="L2125" s="32">
        <f>IFERROR(__xludf.DUMMYFUNCTION("""COMPUTED_VALUE"""),4.0)</f>
        <v>4</v>
      </c>
      <c r="M2125" s="4" t="str">
        <f>IFERROR(__xludf.DUMMYFUNCTION("""COMPUTED_VALUE"""),"null")</f>
        <v>null</v>
      </c>
      <c r="N2125" s="33">
        <f>IFERROR(__xludf.DUMMYFUNCTION("""COMPUTED_VALUE"""),0.25)</f>
        <v>0.25</v>
      </c>
      <c r="O2125" s="4" t="str">
        <f>IFERROR(__xludf.DUMMYFUNCTION("""COMPUTED_VALUE"""),"null")</f>
        <v>null</v>
      </c>
      <c r="P2125" s="33">
        <f>IFERROR(__xludf.DUMMYFUNCTION("""COMPUTED_VALUE"""),0.5)</f>
        <v>0.5</v>
      </c>
      <c r="Q2125" s="4" t="str">
        <f>IFERROR(__xludf.DUMMYFUNCTION("""COMPUTED_VALUE"""),"null")</f>
        <v>null</v>
      </c>
      <c r="R2125" s="33">
        <f>IFERROR(__xludf.DUMMYFUNCTION("""COMPUTED_VALUE"""),0.5)</f>
        <v>0.5</v>
      </c>
      <c r="S2125" s="4" t="str">
        <f>IFERROR(__xludf.DUMMYFUNCTION("""COMPUTED_VALUE"""),"Cardápio Web")</f>
        <v>Cardápio Web</v>
      </c>
      <c r="T2125" s="33">
        <f>IFERROR(__xludf.DUMMYFUNCTION("""COMPUTED_VALUE"""),0.25)</f>
        <v>0.25</v>
      </c>
      <c r="U2125" s="4" t="str">
        <f>IFERROR(__xludf.DUMMYFUNCTION("""COMPUTED_VALUE"""),"null")</f>
        <v>null</v>
      </c>
      <c r="V2125" s="33">
        <f>IFERROR(__xludf.DUMMYFUNCTION("""COMPUTED_VALUE"""),0.5)</f>
        <v>0.5</v>
      </c>
      <c r="W2125" s="4" t="str">
        <f>IFERROR(__xludf.DUMMYFUNCTION("""COMPUTED_VALUE"""),"Cardápio Web")</f>
        <v>Cardápio Web</v>
      </c>
      <c r="X2125" s="33">
        <f>IFERROR(__xludf.DUMMYFUNCTION("""COMPUTED_VALUE"""),0.25)</f>
        <v>0.25</v>
      </c>
    </row>
    <row r="2126">
      <c r="K2126" s="4" t="str">
        <f>IFERROR(__xludf.DUMMYFUNCTION("""COMPUTED_VALUE"""),"HAKAY SUSHI")</f>
        <v>HAKAY SUSHI</v>
      </c>
      <c r="L2126" s="32">
        <f>IFERROR(__xludf.DUMMYFUNCTION("""COMPUTED_VALUE"""),4.0)</f>
        <v>4</v>
      </c>
      <c r="M2126" s="4" t="str">
        <f>IFERROR(__xludf.DUMMYFUNCTION("""COMPUTED_VALUE"""),"Eclética Tecnologia")</f>
        <v>Eclética Tecnologia</v>
      </c>
      <c r="N2126" s="33">
        <f>IFERROR(__xludf.DUMMYFUNCTION("""COMPUTED_VALUE"""),0.75)</f>
        <v>0.75</v>
      </c>
      <c r="O2126" s="4" t="str">
        <f>IFERROR(__xludf.DUMMYFUNCTION("""COMPUTED_VALUE"""),"null")</f>
        <v>null</v>
      </c>
      <c r="P2126" s="33">
        <f>IFERROR(__xludf.DUMMYFUNCTION("""COMPUTED_VALUE"""),0.5)</f>
        <v>0.5</v>
      </c>
      <c r="Q2126" s="4" t="str">
        <f>IFERROR(__xludf.DUMMYFUNCTION("""COMPUTED_VALUE"""),"null")</f>
        <v>null</v>
      </c>
      <c r="R2126" s="33">
        <f>IFERROR(__xludf.DUMMYFUNCTION("""COMPUTED_VALUE"""),0.5)</f>
        <v>0.5</v>
      </c>
      <c r="S2126" s="4" t="str">
        <f>IFERROR(__xludf.DUMMYFUNCTION("""COMPUTED_VALUE"""),"null")</f>
        <v>null</v>
      </c>
      <c r="T2126" s="33">
        <f>IFERROR(__xludf.DUMMYFUNCTION("""COMPUTED_VALUE"""),0.5)</f>
        <v>0.5</v>
      </c>
      <c r="U2126" s="4" t="str">
        <f>IFERROR(__xludf.DUMMYFUNCTION("""COMPUTED_VALUE"""),"Eclética Tecnologia")</f>
        <v>Eclética Tecnologia</v>
      </c>
      <c r="V2126" s="33">
        <f>IFERROR(__xludf.DUMMYFUNCTION("""COMPUTED_VALUE"""),0.5)</f>
        <v>0.5</v>
      </c>
      <c r="W2126" s="4" t="str">
        <f>IFERROR(__xludf.DUMMYFUNCTION("""COMPUTED_VALUE"""),"Eclética Tecnologia")</f>
        <v>Eclética Tecnologia</v>
      </c>
      <c r="X2126" s="33">
        <f>IFERROR(__xludf.DUMMYFUNCTION("""COMPUTED_VALUE"""),0.5)</f>
        <v>0.5</v>
      </c>
    </row>
    <row r="2127">
      <c r="K2127" s="4" t="str">
        <f>IFERROR(__xludf.DUMMYFUNCTION("""COMPUTED_VALUE"""),"PIZZARIA NOSTRA CASA")</f>
        <v>PIZZARIA NOSTRA CASA</v>
      </c>
      <c r="L2127" s="32">
        <f>IFERROR(__xludf.DUMMYFUNCTION("""COMPUTED_VALUE"""),4.0)</f>
        <v>4</v>
      </c>
      <c r="M2127" s="4" t="str">
        <f>IFERROR(__xludf.DUMMYFUNCTION("""COMPUTED_VALUE"""),"Cityfoods Ltda")</f>
        <v>Cityfoods Ltda</v>
      </c>
      <c r="N2127" s="33">
        <f>IFERROR(__xludf.DUMMYFUNCTION("""COMPUTED_VALUE"""),0.75)</f>
        <v>0.75</v>
      </c>
      <c r="O2127" s="4" t="str">
        <f>IFERROR(__xludf.DUMMYFUNCTION("""COMPUTED_VALUE"""),"Cityfoods Ltda")</f>
        <v>Cityfoods Ltda</v>
      </c>
      <c r="P2127" s="33">
        <f>IFERROR(__xludf.DUMMYFUNCTION("""COMPUTED_VALUE"""),0.75)</f>
        <v>0.75</v>
      </c>
      <c r="Q2127" s="4" t="str">
        <f>IFERROR(__xludf.DUMMYFUNCTION("""COMPUTED_VALUE"""),"Cityfoods Ltda")</f>
        <v>Cityfoods Ltda</v>
      </c>
      <c r="R2127" s="33">
        <f>IFERROR(__xludf.DUMMYFUNCTION("""COMPUTED_VALUE"""),0.75)</f>
        <v>0.75</v>
      </c>
      <c r="S2127" s="4" t="str">
        <f>IFERROR(__xludf.DUMMYFUNCTION("""COMPUTED_VALUE"""),"Cityfoods Ltda")</f>
        <v>Cityfoods Ltda</v>
      </c>
      <c r="T2127" s="33">
        <f>IFERROR(__xludf.DUMMYFUNCTION("""COMPUTED_VALUE"""),0.75)</f>
        <v>0.75</v>
      </c>
      <c r="U2127" s="4" t="str">
        <f>IFERROR(__xludf.DUMMYFUNCTION("""COMPUTED_VALUE"""),"Cityfoods Ltda")</f>
        <v>Cityfoods Ltda</v>
      </c>
      <c r="V2127" s="33">
        <f>IFERROR(__xludf.DUMMYFUNCTION("""COMPUTED_VALUE"""),0.75)</f>
        <v>0.75</v>
      </c>
      <c r="W2127" s="4" t="str">
        <f>IFERROR(__xludf.DUMMYFUNCTION("""COMPUTED_VALUE"""),"Saipos Serviços De Software")</f>
        <v>Saipos Serviços De Software</v>
      </c>
      <c r="X2127" s="33">
        <f>IFERROR(__xludf.DUMMYFUNCTION("""COMPUTED_VALUE"""),0.5)</f>
        <v>0.5</v>
      </c>
    </row>
    <row r="2128">
      <c r="K2128" s="4" t="str">
        <f>IFERROR(__xludf.DUMMYFUNCTION("""COMPUTED_VALUE"""),"ESTACAO ACAI")</f>
        <v>ESTACAO ACAI</v>
      </c>
      <c r="L2128" s="32">
        <f>IFERROR(__xludf.DUMMYFUNCTION("""COMPUTED_VALUE"""),4.0)</f>
        <v>4</v>
      </c>
      <c r="M2128" s="4" t="str">
        <f>IFERROR(__xludf.DUMMYFUNCTION("""COMPUTED_VALUE"""),"Yooga")</f>
        <v>Yooga</v>
      </c>
      <c r="N2128" s="33">
        <f>IFERROR(__xludf.DUMMYFUNCTION("""COMPUTED_VALUE"""),0.75)</f>
        <v>0.75</v>
      </c>
      <c r="O2128" s="4" t="str">
        <f>IFERROR(__xludf.DUMMYFUNCTION("""COMPUTED_VALUE"""),"Yooga")</f>
        <v>Yooga</v>
      </c>
      <c r="P2128" s="33">
        <f>IFERROR(__xludf.DUMMYFUNCTION("""COMPUTED_VALUE"""),0.75)</f>
        <v>0.75</v>
      </c>
      <c r="Q2128" s="4" t="str">
        <f>IFERROR(__xludf.DUMMYFUNCTION("""COMPUTED_VALUE"""),"Yooga")</f>
        <v>Yooga</v>
      </c>
      <c r="R2128" s="33">
        <f>IFERROR(__xludf.DUMMYFUNCTION("""COMPUTED_VALUE"""),0.75)</f>
        <v>0.75</v>
      </c>
      <c r="S2128" s="4" t="str">
        <f>IFERROR(__xludf.DUMMYFUNCTION("""COMPUTED_VALUE"""),"Yooga")</f>
        <v>Yooga</v>
      </c>
      <c r="T2128" s="33">
        <f>IFERROR(__xludf.DUMMYFUNCTION("""COMPUTED_VALUE"""),0.75)</f>
        <v>0.75</v>
      </c>
      <c r="U2128" s="4" t="str">
        <f>IFERROR(__xludf.DUMMYFUNCTION("""COMPUTED_VALUE"""),"Yooga")</f>
        <v>Yooga</v>
      </c>
      <c r="V2128" s="33">
        <f>IFERROR(__xludf.DUMMYFUNCTION("""COMPUTED_VALUE"""),0.75)</f>
        <v>0.75</v>
      </c>
      <c r="W2128" s="4" t="str">
        <f>IFERROR(__xludf.DUMMYFUNCTION("""COMPUTED_VALUE"""),"Yooga")</f>
        <v>Yooga</v>
      </c>
      <c r="X2128" s="33">
        <f>IFERROR(__xludf.DUMMYFUNCTION("""COMPUTED_VALUE"""),0.75)</f>
        <v>0.75</v>
      </c>
    </row>
    <row r="2129">
      <c r="K2129" s="4" t="str">
        <f>IFERROR(__xludf.DUMMYFUNCTION("""COMPUTED_VALUE"""),"RESTAURANTE DUARTE - SAO MIGUEL")</f>
        <v>RESTAURANTE DUARTE - SAO MIGUEL</v>
      </c>
      <c r="L2129" s="32">
        <f>IFERROR(__xludf.DUMMYFUNCTION("""COMPUTED_VALUE"""),4.0)</f>
        <v>4</v>
      </c>
      <c r="M2129" s="4" t="str">
        <f>IFERROR(__xludf.DUMMYFUNCTION("""COMPUTED_VALUE"""),"Saipos Serviços De Software")</f>
        <v>Saipos Serviços De Software</v>
      </c>
      <c r="N2129" s="33">
        <f>IFERROR(__xludf.DUMMYFUNCTION("""COMPUTED_VALUE"""),1.0)</f>
        <v>1</v>
      </c>
      <c r="O2129" s="4" t="str">
        <f>IFERROR(__xludf.DUMMYFUNCTION("""COMPUTED_VALUE"""),"Saipos Serviços De Software")</f>
        <v>Saipos Serviços De Software</v>
      </c>
      <c r="P2129" s="33">
        <f>IFERROR(__xludf.DUMMYFUNCTION("""COMPUTED_VALUE"""),1.0)</f>
        <v>1</v>
      </c>
      <c r="Q2129" s="4" t="str">
        <f>IFERROR(__xludf.DUMMYFUNCTION("""COMPUTED_VALUE"""),"Saipos Serviços De Software")</f>
        <v>Saipos Serviços De Software</v>
      </c>
      <c r="R2129" s="33">
        <f>IFERROR(__xludf.DUMMYFUNCTION("""COMPUTED_VALUE"""),1.0)</f>
        <v>1</v>
      </c>
      <c r="S2129" s="4" t="str">
        <f>IFERROR(__xludf.DUMMYFUNCTION("""COMPUTED_VALUE"""),"Saipos Serviços De Software")</f>
        <v>Saipos Serviços De Software</v>
      </c>
      <c r="T2129" s="33">
        <f>IFERROR(__xludf.DUMMYFUNCTION("""COMPUTED_VALUE"""),1.0)</f>
        <v>1</v>
      </c>
      <c r="U2129" s="4" t="str">
        <f>IFERROR(__xludf.DUMMYFUNCTION("""COMPUTED_VALUE"""),"Saipos Serviços De Software")</f>
        <v>Saipos Serviços De Software</v>
      </c>
      <c r="V2129" s="33">
        <f>IFERROR(__xludf.DUMMYFUNCTION("""COMPUTED_VALUE"""),1.0)</f>
        <v>1</v>
      </c>
      <c r="W2129" s="4" t="str">
        <f>IFERROR(__xludf.DUMMYFUNCTION("""COMPUTED_VALUE"""),"Saipos Serviços De Software")</f>
        <v>Saipos Serviços De Software</v>
      </c>
      <c r="X2129" s="33">
        <f>IFERROR(__xludf.DUMMYFUNCTION("""COMPUTED_VALUE"""),1.0)</f>
        <v>1</v>
      </c>
    </row>
    <row r="2130">
      <c r="K2130" s="4" t="str">
        <f>IFERROR(__xludf.DUMMYFUNCTION("""COMPUTED_VALUE"""),"DASHI SUSHI")</f>
        <v>DASHI SUSHI</v>
      </c>
      <c r="L2130" s="32">
        <f>IFERROR(__xludf.DUMMYFUNCTION("""COMPUTED_VALUE"""),4.0)</f>
        <v>4</v>
      </c>
      <c r="M2130" s="4" t="str">
        <f>IFERROR(__xludf.DUMMYFUNCTION("""COMPUTED_VALUE"""),"Saipos Serviços De Software")</f>
        <v>Saipos Serviços De Software</v>
      </c>
      <c r="N2130" s="33">
        <f>IFERROR(__xludf.DUMMYFUNCTION("""COMPUTED_VALUE"""),0.75)</f>
        <v>0.75</v>
      </c>
      <c r="O2130" s="4" t="str">
        <f>IFERROR(__xludf.DUMMYFUNCTION("""COMPUTED_VALUE"""),"Saipos Serviços De Software")</f>
        <v>Saipos Serviços De Software</v>
      </c>
      <c r="P2130" s="33">
        <f>IFERROR(__xludf.DUMMYFUNCTION("""COMPUTED_VALUE"""),0.75)</f>
        <v>0.75</v>
      </c>
      <c r="Q2130" s="4" t="str">
        <f>IFERROR(__xludf.DUMMYFUNCTION("""COMPUTED_VALUE"""),"Saipos Serviços De Software")</f>
        <v>Saipos Serviços De Software</v>
      </c>
      <c r="R2130" s="33">
        <f>IFERROR(__xludf.DUMMYFUNCTION("""COMPUTED_VALUE"""),0.75)</f>
        <v>0.75</v>
      </c>
      <c r="S2130" s="4" t="str">
        <f>IFERROR(__xludf.DUMMYFUNCTION("""COMPUTED_VALUE"""),"Saipos Serviços De Software")</f>
        <v>Saipos Serviços De Software</v>
      </c>
      <c r="T2130" s="33">
        <f>IFERROR(__xludf.DUMMYFUNCTION("""COMPUTED_VALUE"""),0.75)</f>
        <v>0.75</v>
      </c>
      <c r="U2130" s="4" t="str">
        <f>IFERROR(__xludf.DUMMYFUNCTION("""COMPUTED_VALUE"""),"Saipos Serviços De Software")</f>
        <v>Saipos Serviços De Software</v>
      </c>
      <c r="V2130" s="33">
        <f>IFERROR(__xludf.DUMMYFUNCTION("""COMPUTED_VALUE"""),0.75)</f>
        <v>0.75</v>
      </c>
      <c r="W2130" s="4" t="str">
        <f>IFERROR(__xludf.DUMMYFUNCTION("""COMPUTED_VALUE"""),"Saipos Serviços De Software")</f>
        <v>Saipos Serviços De Software</v>
      </c>
      <c r="X2130" s="33">
        <f>IFERROR(__xludf.DUMMYFUNCTION("""COMPUTED_VALUE"""),0.75)</f>
        <v>0.75</v>
      </c>
    </row>
    <row r="2131">
      <c r="K2131" s="4" t="str">
        <f>IFERROR(__xludf.DUMMYFUNCTION("""COMPUTED_VALUE"""),"LA GONDOLA")</f>
        <v>LA GONDOLA</v>
      </c>
      <c r="L2131" s="32">
        <f>IFERROR(__xludf.DUMMYFUNCTION("""COMPUTED_VALUE"""),4.0)</f>
        <v>4</v>
      </c>
      <c r="M2131" s="4" t="str">
        <f>IFERROR(__xludf.DUMMYFUNCTION("""COMPUTED_VALUE"""),"S1 Software Ltda")</f>
        <v>S1 Software Ltda</v>
      </c>
      <c r="N2131" s="33">
        <f>IFERROR(__xludf.DUMMYFUNCTION("""COMPUTED_VALUE"""),0.75)</f>
        <v>0.75</v>
      </c>
      <c r="O2131" s="4" t="str">
        <f>IFERROR(__xludf.DUMMYFUNCTION("""COMPUTED_VALUE"""),"S1 Software Ltda")</f>
        <v>S1 Software Ltda</v>
      </c>
      <c r="P2131" s="33">
        <f>IFERROR(__xludf.DUMMYFUNCTION("""COMPUTED_VALUE"""),0.75)</f>
        <v>0.75</v>
      </c>
      <c r="Q2131" s="4" t="str">
        <f>IFERROR(__xludf.DUMMYFUNCTION("""COMPUTED_VALUE"""),"S1 Software Ltda")</f>
        <v>S1 Software Ltda</v>
      </c>
      <c r="R2131" s="33">
        <f>IFERROR(__xludf.DUMMYFUNCTION("""COMPUTED_VALUE"""),0.75)</f>
        <v>0.75</v>
      </c>
      <c r="S2131" s="4" t="str">
        <f>IFERROR(__xludf.DUMMYFUNCTION("""COMPUTED_VALUE"""),"S1 Software Ltda")</f>
        <v>S1 Software Ltda</v>
      </c>
      <c r="T2131" s="33">
        <f>IFERROR(__xludf.DUMMYFUNCTION("""COMPUTED_VALUE"""),0.75)</f>
        <v>0.75</v>
      </c>
      <c r="U2131" s="4" t="str">
        <f>IFERROR(__xludf.DUMMYFUNCTION("""COMPUTED_VALUE"""),"S1 Software Ltda")</f>
        <v>S1 Software Ltda</v>
      </c>
      <c r="V2131" s="33">
        <f>IFERROR(__xludf.DUMMYFUNCTION("""COMPUTED_VALUE"""),0.75)</f>
        <v>0.75</v>
      </c>
      <c r="W2131" s="4" t="str">
        <f>IFERROR(__xludf.DUMMYFUNCTION("""COMPUTED_VALUE"""),"S1 Software Ltda")</f>
        <v>S1 Software Ltda</v>
      </c>
      <c r="X2131" s="33">
        <f>IFERROR(__xludf.DUMMYFUNCTION("""COMPUTED_VALUE"""),0.75)</f>
        <v>0.75</v>
      </c>
    </row>
    <row r="2132">
      <c r="K2132" s="4" t="str">
        <f>IFERROR(__xludf.DUMMYFUNCTION("""COMPUTED_VALUE"""),"HOME BURGER")</f>
        <v>HOME BURGER</v>
      </c>
      <c r="L2132" s="32">
        <f>IFERROR(__xludf.DUMMYFUNCTION("""COMPUTED_VALUE"""),4.0)</f>
        <v>4</v>
      </c>
      <c r="M2132" s="4" t="str">
        <f>IFERROR(__xludf.DUMMYFUNCTION("""COMPUTED_VALUE"""),"null")</f>
        <v>null</v>
      </c>
      <c r="N2132" s="33">
        <f>IFERROR(__xludf.DUMMYFUNCTION("""COMPUTED_VALUE"""),0.5)</f>
        <v>0.5</v>
      </c>
      <c r="O2132" s="4" t="str">
        <f>IFERROR(__xludf.DUMMYFUNCTION("""COMPUTED_VALUE"""),"Saipos Serviços De Software")</f>
        <v>Saipos Serviços De Software</v>
      </c>
      <c r="P2132" s="33">
        <f>IFERROR(__xludf.DUMMYFUNCTION("""COMPUTED_VALUE"""),0.75)</f>
        <v>0.75</v>
      </c>
      <c r="Q2132" s="4" t="str">
        <f>IFERROR(__xludf.DUMMYFUNCTION("""COMPUTED_VALUE"""),"Saipos Serviços De Software")</f>
        <v>Saipos Serviços De Software</v>
      </c>
      <c r="R2132" s="33">
        <f>IFERROR(__xludf.DUMMYFUNCTION("""COMPUTED_VALUE"""),0.75)</f>
        <v>0.75</v>
      </c>
      <c r="S2132" s="4" t="str">
        <f>IFERROR(__xludf.DUMMYFUNCTION("""COMPUTED_VALUE"""),"Saipos Serviços De Software")</f>
        <v>Saipos Serviços De Software</v>
      </c>
      <c r="T2132" s="33">
        <f>IFERROR(__xludf.DUMMYFUNCTION("""COMPUTED_VALUE"""),0.75)</f>
        <v>0.75</v>
      </c>
      <c r="U2132" s="4" t="str">
        <f>IFERROR(__xludf.DUMMYFUNCTION("""COMPUTED_VALUE"""),"Saipos Serviços De Software")</f>
        <v>Saipos Serviços De Software</v>
      </c>
      <c r="V2132" s="33">
        <f>IFERROR(__xludf.DUMMYFUNCTION("""COMPUTED_VALUE"""),0.5)</f>
        <v>0.5</v>
      </c>
      <c r="W2132" s="4" t="str">
        <f>IFERROR(__xludf.DUMMYFUNCTION("""COMPUTED_VALUE"""),"Saipos Serviços De Software")</f>
        <v>Saipos Serviços De Software</v>
      </c>
      <c r="X2132" s="33">
        <f>IFERROR(__xludf.DUMMYFUNCTION("""COMPUTED_VALUE"""),0.5)</f>
        <v>0.5</v>
      </c>
    </row>
    <row r="2133">
      <c r="K2133" s="4" t="str">
        <f>IFERROR(__xludf.DUMMYFUNCTION("""COMPUTED_VALUE"""),"PIZZARIA TARANTELLA")</f>
        <v>PIZZARIA TARANTELLA</v>
      </c>
      <c r="L2133" s="32">
        <f>IFERROR(__xludf.DUMMYFUNCTION("""COMPUTED_VALUE"""),4.0)</f>
        <v>4</v>
      </c>
      <c r="M2133" s="4" t="str">
        <f>IFERROR(__xludf.DUMMYFUNCTION("""COMPUTED_VALUE"""),"null")</f>
        <v>null</v>
      </c>
      <c r="N2133" s="33">
        <f>IFERROR(__xludf.DUMMYFUNCTION("""COMPUTED_VALUE"""),0.5)</f>
        <v>0.5</v>
      </c>
      <c r="O2133" s="4" t="str">
        <f>IFERROR(__xludf.DUMMYFUNCTION("""COMPUTED_VALUE"""),"null")</f>
        <v>null</v>
      </c>
      <c r="P2133" s="33">
        <f>IFERROR(__xludf.DUMMYFUNCTION("""COMPUTED_VALUE"""),0.5)</f>
        <v>0.5</v>
      </c>
      <c r="Q2133" s="4" t="str">
        <f>IFERROR(__xludf.DUMMYFUNCTION("""COMPUTED_VALUE"""),"null")</f>
        <v>null</v>
      </c>
      <c r="R2133" s="33">
        <f>IFERROR(__xludf.DUMMYFUNCTION("""COMPUTED_VALUE"""),0.75)</f>
        <v>0.75</v>
      </c>
      <c r="S2133" s="4" t="str">
        <f>IFERROR(__xludf.DUMMYFUNCTION("""COMPUTED_VALUE"""),"null")</f>
        <v>null</v>
      </c>
      <c r="T2133" s="33">
        <f>IFERROR(__xludf.DUMMYFUNCTION("""COMPUTED_VALUE"""),0.5)</f>
        <v>0.5</v>
      </c>
      <c r="U2133" s="4" t="str">
        <f>IFERROR(__xludf.DUMMYFUNCTION("""COMPUTED_VALUE"""),"Anota Ai Solucoes Digitais S/a")</f>
        <v>Anota Ai Solucoes Digitais S/a</v>
      </c>
      <c r="V2133" s="33">
        <f>IFERROR(__xludf.DUMMYFUNCTION("""COMPUTED_VALUE"""),0.25)</f>
        <v>0.25</v>
      </c>
      <c r="W2133" s="4" t="str">
        <f>IFERROR(__xludf.DUMMYFUNCTION("""COMPUTED_VALUE"""),"Anota Ai Solucoes Digitais S/a")</f>
        <v>Anota Ai Solucoes Digitais S/a</v>
      </c>
      <c r="X2133" s="33">
        <f>IFERROR(__xludf.DUMMYFUNCTION("""COMPUTED_VALUE"""),0.25)</f>
        <v>0.25</v>
      </c>
    </row>
    <row r="2134">
      <c r="K2134" s="4" t="str">
        <f>IFERROR(__xludf.DUMMYFUNCTION("""COMPUTED_VALUE"""),"PIZZARIA CARIOCA")</f>
        <v>PIZZARIA CARIOCA</v>
      </c>
      <c r="L2134" s="32">
        <f>IFERROR(__xludf.DUMMYFUNCTION("""COMPUTED_VALUE"""),4.0)</f>
        <v>4</v>
      </c>
      <c r="M2134" s="4" t="str">
        <f>IFERROR(__xludf.DUMMYFUNCTION("""COMPUTED_VALUE"""),"Suitable Tecnologia E Gestao")</f>
        <v>Suitable Tecnologia E Gestao</v>
      </c>
      <c r="N2134" s="33">
        <f>IFERROR(__xludf.DUMMYFUNCTION("""COMPUTED_VALUE"""),0.75)</f>
        <v>0.75</v>
      </c>
      <c r="O2134" s="4" t="str">
        <f>IFERROR(__xludf.DUMMYFUNCTION("""COMPUTED_VALUE"""),"Suitable Tecnologia E Gestao")</f>
        <v>Suitable Tecnologia E Gestao</v>
      </c>
      <c r="P2134" s="33">
        <f>IFERROR(__xludf.DUMMYFUNCTION("""COMPUTED_VALUE"""),0.75)</f>
        <v>0.75</v>
      </c>
      <c r="Q2134" s="4" t="str">
        <f>IFERROR(__xludf.DUMMYFUNCTION("""COMPUTED_VALUE"""),"Suitable Tecnologia E Gestao")</f>
        <v>Suitable Tecnologia E Gestao</v>
      </c>
      <c r="R2134" s="33">
        <f>IFERROR(__xludf.DUMMYFUNCTION("""COMPUTED_VALUE"""),0.75)</f>
        <v>0.75</v>
      </c>
      <c r="S2134" s="4" t="str">
        <f>IFERROR(__xludf.DUMMYFUNCTION("""COMPUTED_VALUE"""),"Suitable Tecnologia E Gestao")</f>
        <v>Suitable Tecnologia E Gestao</v>
      </c>
      <c r="T2134" s="33">
        <f>IFERROR(__xludf.DUMMYFUNCTION("""COMPUTED_VALUE"""),0.75)</f>
        <v>0.75</v>
      </c>
      <c r="U2134" s="4" t="str">
        <f>IFERROR(__xludf.DUMMYFUNCTION("""COMPUTED_VALUE"""),"Suitable Tecnologia E Gestao")</f>
        <v>Suitable Tecnologia E Gestao</v>
      </c>
      <c r="V2134" s="33">
        <f>IFERROR(__xludf.DUMMYFUNCTION("""COMPUTED_VALUE"""),0.75)</f>
        <v>0.75</v>
      </c>
      <c r="W2134" s="4" t="str">
        <f>IFERROR(__xludf.DUMMYFUNCTION("""COMPUTED_VALUE"""),"Suitable Tecnologia E Gestao")</f>
        <v>Suitable Tecnologia E Gestao</v>
      </c>
      <c r="X2134" s="33">
        <f>IFERROR(__xludf.DUMMYFUNCTION("""COMPUTED_VALUE"""),0.75)</f>
        <v>0.75</v>
      </c>
    </row>
    <row r="2135">
      <c r="K2135" s="4" t="str">
        <f>IFERROR(__xludf.DUMMYFUNCTION("""COMPUTED_VALUE"""),"082 FEIJOADA")</f>
        <v>082 FEIJOADA</v>
      </c>
      <c r="L2135" s="32">
        <f>IFERROR(__xludf.DUMMYFUNCTION("""COMPUTED_VALUE"""),4.0)</f>
        <v>4</v>
      </c>
      <c r="M2135" s="4" t="str">
        <f>IFERROR(__xludf.DUMMYFUNCTION("""COMPUTED_VALUE"""),"null")</f>
        <v>null</v>
      </c>
      <c r="N2135" s="33">
        <f>IFERROR(__xludf.DUMMYFUNCTION("""COMPUTED_VALUE"""),0.5)</f>
        <v>0.5</v>
      </c>
      <c r="O2135" s="4" t="str">
        <f>IFERROR(__xludf.DUMMYFUNCTION("""COMPUTED_VALUE"""),"null")</f>
        <v>null</v>
      </c>
      <c r="P2135" s="33">
        <f>IFERROR(__xludf.DUMMYFUNCTION("""COMPUTED_VALUE"""),0.5)</f>
        <v>0.5</v>
      </c>
      <c r="Q2135" s="4" t="str">
        <f>IFERROR(__xludf.DUMMYFUNCTION("""COMPUTED_VALUE"""),"null")</f>
        <v>null</v>
      </c>
      <c r="R2135" s="33">
        <f>IFERROR(__xludf.DUMMYFUNCTION("""COMPUTED_VALUE"""),0.5)</f>
        <v>0.5</v>
      </c>
      <c r="S2135" s="4" t="str">
        <f>IFERROR(__xludf.DUMMYFUNCTION("""COMPUTED_VALUE"""),"null")</f>
        <v>null</v>
      </c>
      <c r="T2135" s="33">
        <f>IFERROR(__xludf.DUMMYFUNCTION("""COMPUTED_VALUE"""),0.5)</f>
        <v>0.5</v>
      </c>
      <c r="U2135" s="4" t="str">
        <f>IFERROR(__xludf.DUMMYFUNCTION("""COMPUTED_VALUE"""),"null")</f>
        <v>null</v>
      </c>
      <c r="V2135" s="33">
        <f>IFERROR(__xludf.DUMMYFUNCTION("""COMPUTED_VALUE"""),0.5)</f>
        <v>0.5</v>
      </c>
      <c r="W2135" s="4" t="str">
        <f>IFERROR(__xludf.DUMMYFUNCTION("""COMPUTED_VALUE"""),"Cardápio Web")</f>
        <v>Cardápio Web</v>
      </c>
      <c r="X2135" s="33">
        <f>IFERROR(__xludf.DUMMYFUNCTION("""COMPUTED_VALUE"""),1.0)</f>
        <v>1</v>
      </c>
    </row>
    <row r="2136">
      <c r="K2136" s="4" t="str">
        <f>IFERROR(__xludf.DUMMYFUNCTION("""COMPUTED_VALUE"""),"A SABOROSA PIZZARIA - CONTA PAI")</f>
        <v>A SABOROSA PIZZARIA - CONTA PAI</v>
      </c>
      <c r="L2136" s="32">
        <f>IFERROR(__xludf.DUMMYFUNCTION("""COMPUTED_VALUE"""),4.0)</f>
        <v>4</v>
      </c>
      <c r="M2136" s="4" t="str">
        <f>IFERROR(__xludf.DUMMYFUNCTION("""COMPUTED_VALUE"""),"null")</f>
        <v>null</v>
      </c>
      <c r="N2136" s="33">
        <f>IFERROR(__xludf.DUMMYFUNCTION("""COMPUTED_VALUE"""),0.5)</f>
        <v>0.5</v>
      </c>
      <c r="O2136" s="4" t="str">
        <f>IFERROR(__xludf.DUMMYFUNCTION("""COMPUTED_VALUE"""),"null")</f>
        <v>null</v>
      </c>
      <c r="P2136" s="33">
        <f>IFERROR(__xludf.DUMMYFUNCTION("""COMPUTED_VALUE"""),0.5)</f>
        <v>0.5</v>
      </c>
      <c r="Q2136" s="4" t="str">
        <f>IFERROR(__xludf.DUMMYFUNCTION("""COMPUTED_VALUE"""),"null")</f>
        <v>null</v>
      </c>
      <c r="R2136" s="33">
        <f>IFERROR(__xludf.DUMMYFUNCTION("""COMPUTED_VALUE"""),0.5)</f>
        <v>0.5</v>
      </c>
      <c r="S2136" s="4" t="str">
        <f>IFERROR(__xludf.DUMMYFUNCTION("""COMPUTED_VALUE"""),"Saipos Serviços De Software")</f>
        <v>Saipos Serviços De Software</v>
      </c>
      <c r="T2136" s="33">
        <f>IFERROR(__xludf.DUMMYFUNCTION("""COMPUTED_VALUE"""),0.75)</f>
        <v>0.75</v>
      </c>
      <c r="U2136" s="4" t="str">
        <f>IFERROR(__xludf.DUMMYFUNCTION("""COMPUTED_VALUE"""),"Saipos Serviços De Software")</f>
        <v>Saipos Serviços De Software</v>
      </c>
      <c r="V2136" s="33">
        <f>IFERROR(__xludf.DUMMYFUNCTION("""COMPUTED_VALUE"""),1.0)</f>
        <v>1</v>
      </c>
      <c r="W2136" s="4" t="str">
        <f>IFERROR(__xludf.DUMMYFUNCTION("""COMPUTED_VALUE"""),"Saipos Serviços De Software")</f>
        <v>Saipos Serviços De Software</v>
      </c>
      <c r="X2136" s="33">
        <f>IFERROR(__xludf.DUMMYFUNCTION("""COMPUTED_VALUE"""),1.0)</f>
        <v>1</v>
      </c>
    </row>
    <row r="2137">
      <c r="K2137" s="4" t="str">
        <f>IFERROR(__xludf.DUMMYFUNCTION("""COMPUTED_VALUE"""),"A SENHORA PIZZA ZL - CONTA PAI")</f>
        <v>A SENHORA PIZZA ZL - CONTA PAI</v>
      </c>
      <c r="L2137" s="32">
        <f>IFERROR(__xludf.DUMMYFUNCTION("""COMPUTED_VALUE"""),4.0)</f>
        <v>4</v>
      </c>
      <c r="M2137" s="4" t="str">
        <f>IFERROR(__xludf.DUMMYFUNCTION("""COMPUTED_VALUE"""),"null")</f>
        <v>null</v>
      </c>
      <c r="N2137" s="33">
        <f>IFERROR(__xludf.DUMMYFUNCTION("""COMPUTED_VALUE"""),0.5)</f>
        <v>0.5</v>
      </c>
      <c r="O2137" s="4" t="str">
        <f>IFERROR(__xludf.DUMMYFUNCTION("""COMPUTED_VALUE"""),"Ncr")</f>
        <v>Ncr</v>
      </c>
      <c r="P2137" s="33">
        <f>IFERROR(__xludf.DUMMYFUNCTION("""COMPUTED_VALUE"""),1.0)</f>
        <v>1</v>
      </c>
      <c r="Q2137" s="4" t="str">
        <f>IFERROR(__xludf.DUMMYFUNCTION("""COMPUTED_VALUE"""),"Ncr")</f>
        <v>Ncr</v>
      </c>
      <c r="R2137" s="33">
        <f>IFERROR(__xludf.DUMMYFUNCTION("""COMPUTED_VALUE"""),0.75)</f>
        <v>0.75</v>
      </c>
      <c r="S2137" s="4" t="str">
        <f>IFERROR(__xludf.DUMMYFUNCTION("""COMPUTED_VALUE"""),"null")</f>
        <v>null</v>
      </c>
      <c r="T2137" s="33">
        <f>IFERROR(__xludf.DUMMYFUNCTION("""COMPUTED_VALUE"""),0.5)</f>
        <v>0.5</v>
      </c>
      <c r="U2137" s="4" t="str">
        <f>IFERROR(__xludf.DUMMYFUNCTION("""COMPUTED_VALUE"""),"Ncr")</f>
        <v>Ncr</v>
      </c>
      <c r="V2137" s="33">
        <f>IFERROR(__xludf.DUMMYFUNCTION("""COMPUTED_VALUE"""),0.75)</f>
        <v>0.75</v>
      </c>
      <c r="W2137" s="4" t="str">
        <f>IFERROR(__xludf.DUMMYFUNCTION("""COMPUTED_VALUE"""),"Ncr")</f>
        <v>Ncr</v>
      </c>
      <c r="X2137" s="33">
        <f>IFERROR(__xludf.DUMMYFUNCTION("""COMPUTED_VALUE"""),1.0)</f>
        <v>1</v>
      </c>
    </row>
    <row r="2138">
      <c r="K2138" s="4" t="str">
        <f>IFERROR(__xludf.DUMMYFUNCTION("""COMPUTED_VALUE"""),"A TEMAKERIA")</f>
        <v>A TEMAKERIA</v>
      </c>
      <c r="L2138" s="32">
        <f>IFERROR(__xludf.DUMMYFUNCTION("""COMPUTED_VALUE"""),4.0)</f>
        <v>4</v>
      </c>
      <c r="M2138" s="4" t="str">
        <f>IFERROR(__xludf.DUMMYFUNCTION("""COMPUTED_VALUE"""),"Pdvseven Solucoes Em Ti Ltda")</f>
        <v>Pdvseven Solucoes Em Ti Ltda</v>
      </c>
      <c r="N2138" s="33">
        <f>IFERROR(__xludf.DUMMYFUNCTION("""COMPUTED_VALUE"""),1.0)</f>
        <v>1</v>
      </c>
      <c r="O2138" s="4" t="str">
        <f>IFERROR(__xludf.DUMMYFUNCTION("""COMPUTED_VALUE"""),"Pdvseven Solucoes Em Ti Ltda")</f>
        <v>Pdvseven Solucoes Em Ti Ltda</v>
      </c>
      <c r="P2138" s="33">
        <f>IFERROR(__xludf.DUMMYFUNCTION("""COMPUTED_VALUE"""),1.0)</f>
        <v>1</v>
      </c>
      <c r="Q2138" s="4" t="str">
        <f>IFERROR(__xludf.DUMMYFUNCTION("""COMPUTED_VALUE"""),"Pdvseven Solucoes Em Ti Ltda")</f>
        <v>Pdvseven Solucoes Em Ti Ltda</v>
      </c>
      <c r="R2138" s="33">
        <f>IFERROR(__xludf.DUMMYFUNCTION("""COMPUTED_VALUE"""),1.0)</f>
        <v>1</v>
      </c>
      <c r="S2138" s="4" t="str">
        <f>IFERROR(__xludf.DUMMYFUNCTION("""COMPUTED_VALUE"""),"Pdvseven Solucoes Em Ti Ltda")</f>
        <v>Pdvseven Solucoes Em Ti Ltda</v>
      </c>
      <c r="T2138" s="33">
        <f>IFERROR(__xludf.DUMMYFUNCTION("""COMPUTED_VALUE"""),1.0)</f>
        <v>1</v>
      </c>
      <c r="U2138" s="4" t="str">
        <f>IFERROR(__xludf.DUMMYFUNCTION("""COMPUTED_VALUE"""),"Pdvseven Solucoes Em Ti Ltda")</f>
        <v>Pdvseven Solucoes Em Ti Ltda</v>
      </c>
      <c r="V2138" s="33">
        <f>IFERROR(__xludf.DUMMYFUNCTION("""COMPUTED_VALUE"""),1.0)</f>
        <v>1</v>
      </c>
      <c r="W2138" s="4" t="str">
        <f>IFERROR(__xludf.DUMMYFUNCTION("""COMPUTED_VALUE"""),"Pdvseven Solucoes Em Ti Ltda")</f>
        <v>Pdvseven Solucoes Em Ti Ltda</v>
      </c>
      <c r="X2138" s="33">
        <f>IFERROR(__xludf.DUMMYFUNCTION("""COMPUTED_VALUE"""),1.0)</f>
        <v>1</v>
      </c>
    </row>
    <row r="2139">
      <c r="K2139" s="4" t="str">
        <f>IFERROR(__xludf.DUMMYFUNCTION("""COMPUTED_VALUE"""),"ACAI CASCA")</f>
        <v>ACAI CASCA</v>
      </c>
      <c r="L2139" s="32">
        <f>IFERROR(__xludf.DUMMYFUNCTION("""COMPUTED_VALUE"""),4.0)</f>
        <v>4</v>
      </c>
      <c r="M2139" s="4" t="str">
        <f>IFERROR(__xludf.DUMMYFUNCTION("""COMPUTED_VALUE"""),"Cloudfy")</f>
        <v>Cloudfy</v>
      </c>
      <c r="N2139" s="33">
        <f>IFERROR(__xludf.DUMMYFUNCTION("""COMPUTED_VALUE"""),1.0)</f>
        <v>1</v>
      </c>
      <c r="O2139" s="4" t="str">
        <f>IFERROR(__xludf.DUMMYFUNCTION("""COMPUTED_VALUE"""),"Cloudfy")</f>
        <v>Cloudfy</v>
      </c>
      <c r="P2139" s="33">
        <f>IFERROR(__xludf.DUMMYFUNCTION("""COMPUTED_VALUE"""),1.0)</f>
        <v>1</v>
      </c>
      <c r="Q2139" s="4" t="str">
        <f>IFERROR(__xludf.DUMMYFUNCTION("""COMPUTED_VALUE"""),"Cloudfy")</f>
        <v>Cloudfy</v>
      </c>
      <c r="R2139" s="33">
        <f>IFERROR(__xludf.DUMMYFUNCTION("""COMPUTED_VALUE"""),1.0)</f>
        <v>1</v>
      </c>
      <c r="S2139" s="4" t="str">
        <f>IFERROR(__xludf.DUMMYFUNCTION("""COMPUTED_VALUE"""),"Cloudfy")</f>
        <v>Cloudfy</v>
      </c>
      <c r="T2139" s="33">
        <f>IFERROR(__xludf.DUMMYFUNCTION("""COMPUTED_VALUE"""),1.0)</f>
        <v>1</v>
      </c>
      <c r="U2139" s="4" t="str">
        <f>IFERROR(__xludf.DUMMYFUNCTION("""COMPUTED_VALUE"""),"Cloudfy")</f>
        <v>Cloudfy</v>
      </c>
      <c r="V2139" s="33">
        <f>IFERROR(__xludf.DUMMYFUNCTION("""COMPUTED_VALUE"""),1.0)</f>
        <v>1</v>
      </c>
      <c r="W2139" s="4" t="str">
        <f>IFERROR(__xludf.DUMMYFUNCTION("""COMPUTED_VALUE"""),"Cloudfy")</f>
        <v>Cloudfy</v>
      </c>
      <c r="X2139" s="33">
        <f>IFERROR(__xludf.DUMMYFUNCTION("""COMPUTED_VALUE"""),1.0)</f>
        <v>1</v>
      </c>
    </row>
    <row r="2140">
      <c r="K2140" s="4" t="str">
        <f>IFERROR(__xludf.DUMMYFUNCTION("""COMPUTED_VALUE"""),"ACAI DO MAGO - MS")</f>
        <v>ACAI DO MAGO - MS</v>
      </c>
      <c r="L2140" s="32">
        <f>IFERROR(__xludf.DUMMYFUNCTION("""COMPUTED_VALUE"""),4.0)</f>
        <v>4</v>
      </c>
      <c r="M2140" s="4" t="str">
        <f>IFERROR(__xludf.DUMMYFUNCTION("""COMPUTED_VALUE"""),"Saipos Serviços De Software")</f>
        <v>Saipos Serviços De Software</v>
      </c>
      <c r="N2140" s="33">
        <f>IFERROR(__xludf.DUMMYFUNCTION("""COMPUTED_VALUE"""),1.0)</f>
        <v>1</v>
      </c>
      <c r="O2140" s="4" t="str">
        <f>IFERROR(__xludf.DUMMYFUNCTION("""COMPUTED_VALUE"""),"Saipos Serviços De Software")</f>
        <v>Saipos Serviços De Software</v>
      </c>
      <c r="P2140" s="33">
        <f>IFERROR(__xludf.DUMMYFUNCTION("""COMPUTED_VALUE"""),1.0)</f>
        <v>1</v>
      </c>
      <c r="Q2140" s="4" t="str">
        <f>IFERROR(__xludf.DUMMYFUNCTION("""COMPUTED_VALUE"""),"Saipos Serviços De Software")</f>
        <v>Saipos Serviços De Software</v>
      </c>
      <c r="R2140" s="33">
        <f>IFERROR(__xludf.DUMMYFUNCTION("""COMPUTED_VALUE"""),1.0)</f>
        <v>1</v>
      </c>
      <c r="S2140" s="4" t="str">
        <f>IFERROR(__xludf.DUMMYFUNCTION("""COMPUTED_VALUE"""),"Saipos Serviços De Software")</f>
        <v>Saipos Serviços De Software</v>
      </c>
      <c r="T2140" s="33">
        <f>IFERROR(__xludf.DUMMYFUNCTION("""COMPUTED_VALUE"""),1.0)</f>
        <v>1</v>
      </c>
      <c r="U2140" s="4" t="str">
        <f>IFERROR(__xludf.DUMMYFUNCTION("""COMPUTED_VALUE"""),"Saipos Serviços De Software")</f>
        <v>Saipos Serviços De Software</v>
      </c>
      <c r="V2140" s="33">
        <f>IFERROR(__xludf.DUMMYFUNCTION("""COMPUTED_VALUE"""),1.0)</f>
        <v>1</v>
      </c>
      <c r="W2140" s="4" t="str">
        <f>IFERROR(__xludf.DUMMYFUNCTION("""COMPUTED_VALUE"""),"Saipos Serviços De Software")</f>
        <v>Saipos Serviços De Software</v>
      </c>
      <c r="X2140" s="33">
        <f>IFERROR(__xludf.DUMMYFUNCTION("""COMPUTED_VALUE"""),1.0)</f>
        <v>1</v>
      </c>
    </row>
    <row r="2141">
      <c r="K2141" s="4" t="str">
        <f>IFERROR(__xludf.DUMMYFUNCTION("""COMPUTED_VALUE"""),"ACAI FOLIA - MARCA")</f>
        <v>ACAI FOLIA - MARCA</v>
      </c>
      <c r="L2141" s="32">
        <f>IFERROR(__xludf.DUMMYFUNCTION("""COMPUTED_VALUE"""),4.0)</f>
        <v>4</v>
      </c>
      <c r="M2141" s="4" t="str">
        <f>IFERROR(__xludf.DUMMYFUNCTION("""COMPUTED_VALUE"""),"M-du Tecnologia")</f>
        <v>M-du Tecnologia</v>
      </c>
      <c r="N2141" s="33">
        <f>IFERROR(__xludf.DUMMYFUNCTION("""COMPUTED_VALUE"""),0.75)</f>
        <v>0.75</v>
      </c>
      <c r="O2141" s="4" t="str">
        <f>IFERROR(__xludf.DUMMYFUNCTION("""COMPUTED_VALUE"""),"null")</f>
        <v>null</v>
      </c>
      <c r="P2141" s="33">
        <f>IFERROR(__xludf.DUMMYFUNCTION("""COMPUTED_VALUE"""),0.75)</f>
        <v>0.75</v>
      </c>
      <c r="Q2141" s="4" t="str">
        <f>IFERROR(__xludf.DUMMYFUNCTION("""COMPUTED_VALUE"""),"M-du Tecnologia")</f>
        <v>M-du Tecnologia</v>
      </c>
      <c r="R2141" s="33">
        <f>IFERROR(__xludf.DUMMYFUNCTION("""COMPUTED_VALUE"""),0.75)</f>
        <v>0.75</v>
      </c>
      <c r="S2141" s="4" t="str">
        <f>IFERROR(__xludf.DUMMYFUNCTION("""COMPUTED_VALUE"""),"M-du Tecnologia")</f>
        <v>M-du Tecnologia</v>
      </c>
      <c r="T2141" s="33">
        <f>IFERROR(__xludf.DUMMYFUNCTION("""COMPUTED_VALUE"""),0.75)</f>
        <v>0.75</v>
      </c>
      <c r="U2141" s="4" t="str">
        <f>IFERROR(__xludf.DUMMYFUNCTION("""COMPUTED_VALUE"""),"M-du Tecnologia")</f>
        <v>M-du Tecnologia</v>
      </c>
      <c r="V2141" s="33">
        <f>IFERROR(__xludf.DUMMYFUNCTION("""COMPUTED_VALUE"""),1.0)</f>
        <v>1</v>
      </c>
      <c r="W2141" s="4" t="str">
        <f>IFERROR(__xludf.DUMMYFUNCTION("""COMPUTED_VALUE"""),"M-du Tecnologia")</f>
        <v>M-du Tecnologia</v>
      </c>
      <c r="X2141" s="33">
        <f>IFERROR(__xludf.DUMMYFUNCTION("""COMPUTED_VALUE"""),0.75)</f>
        <v>0.75</v>
      </c>
    </row>
    <row r="2142">
      <c r="K2142" s="4" t="str">
        <f>IFERROR(__xludf.DUMMYFUNCTION("""COMPUTED_VALUE"""),"ACAI ONLINE SANTA MONICA - UBERLANDIA")</f>
        <v>ACAI ONLINE SANTA MONICA - UBERLANDIA</v>
      </c>
      <c r="L2142" s="32">
        <f>IFERROR(__xludf.DUMMYFUNCTION("""COMPUTED_VALUE"""),4.0)</f>
        <v>4</v>
      </c>
      <c r="M2142" s="4" t="str">
        <f>IFERROR(__xludf.DUMMYFUNCTION("""COMPUTED_VALUE"""),"Saipos Serviços De Software")</f>
        <v>Saipos Serviços De Software</v>
      </c>
      <c r="N2142" s="33">
        <f>IFERROR(__xludf.DUMMYFUNCTION("""COMPUTED_VALUE"""),0.5)</f>
        <v>0.5</v>
      </c>
      <c r="O2142" s="4" t="str">
        <f>IFERROR(__xludf.DUMMYFUNCTION("""COMPUTED_VALUE"""),"Saipos Serviços De Software")</f>
        <v>Saipos Serviços De Software</v>
      </c>
      <c r="P2142" s="33">
        <f>IFERROR(__xludf.DUMMYFUNCTION("""COMPUTED_VALUE"""),0.5)</f>
        <v>0.5</v>
      </c>
      <c r="Q2142" s="4" t="str">
        <f>IFERROR(__xludf.DUMMYFUNCTION("""COMPUTED_VALUE"""),"Saipos Serviços De Software")</f>
        <v>Saipos Serviços De Software</v>
      </c>
      <c r="R2142" s="33">
        <f>IFERROR(__xludf.DUMMYFUNCTION("""COMPUTED_VALUE"""),0.5)</f>
        <v>0.5</v>
      </c>
      <c r="S2142" s="4" t="str">
        <f>IFERROR(__xludf.DUMMYFUNCTION("""COMPUTED_VALUE"""),"Saipos Serviços De Software")</f>
        <v>Saipos Serviços De Software</v>
      </c>
      <c r="T2142" s="33">
        <f>IFERROR(__xludf.DUMMYFUNCTION("""COMPUTED_VALUE"""),1.0)</f>
        <v>1</v>
      </c>
      <c r="U2142" s="4" t="str">
        <f>IFERROR(__xludf.DUMMYFUNCTION("""COMPUTED_VALUE"""),"Saipos Serviços De Software")</f>
        <v>Saipos Serviços De Software</v>
      </c>
      <c r="V2142" s="33">
        <f>IFERROR(__xludf.DUMMYFUNCTION("""COMPUTED_VALUE"""),1.0)</f>
        <v>1</v>
      </c>
      <c r="W2142" s="4" t="str">
        <f>IFERROR(__xludf.DUMMYFUNCTION("""COMPUTED_VALUE"""),"Saipos Serviços De Software")</f>
        <v>Saipos Serviços De Software</v>
      </c>
      <c r="X2142" s="33">
        <f>IFERROR(__xludf.DUMMYFUNCTION("""COMPUTED_VALUE"""),1.0)</f>
        <v>1</v>
      </c>
    </row>
    <row r="2143">
      <c r="K2143" s="4" t="str">
        <f>IFERROR(__xludf.DUMMYFUNCTION("""COMPUTED_VALUE"""),"ACEITE FORNERIA")</f>
        <v>ACEITE FORNERIA</v>
      </c>
      <c r="L2143" s="32">
        <f>IFERROR(__xludf.DUMMYFUNCTION("""COMPUTED_VALUE"""),4.0)</f>
        <v>4</v>
      </c>
      <c r="M2143" s="4" t="str">
        <f>IFERROR(__xludf.DUMMYFUNCTION("""COMPUTED_VALUE"""),"Ncr")</f>
        <v>Ncr</v>
      </c>
      <c r="N2143" s="33">
        <f>IFERROR(__xludf.DUMMYFUNCTION("""COMPUTED_VALUE"""),1.0)</f>
        <v>1</v>
      </c>
      <c r="O2143" s="4" t="str">
        <f>IFERROR(__xludf.DUMMYFUNCTION("""COMPUTED_VALUE"""),"Ncr")</f>
        <v>Ncr</v>
      </c>
      <c r="P2143" s="33">
        <f>IFERROR(__xludf.DUMMYFUNCTION("""COMPUTED_VALUE"""),1.0)</f>
        <v>1</v>
      </c>
      <c r="Q2143" s="4" t="str">
        <f>IFERROR(__xludf.DUMMYFUNCTION("""COMPUTED_VALUE"""),"Ncr")</f>
        <v>Ncr</v>
      </c>
      <c r="R2143" s="33">
        <f>IFERROR(__xludf.DUMMYFUNCTION("""COMPUTED_VALUE"""),1.0)</f>
        <v>1</v>
      </c>
      <c r="S2143" s="4" t="str">
        <f>IFERROR(__xludf.DUMMYFUNCTION("""COMPUTED_VALUE"""),"Ncr")</f>
        <v>Ncr</v>
      </c>
      <c r="T2143" s="33">
        <f>IFERROR(__xludf.DUMMYFUNCTION("""COMPUTED_VALUE"""),1.0)</f>
        <v>1</v>
      </c>
      <c r="U2143" s="4" t="str">
        <f>IFERROR(__xludf.DUMMYFUNCTION("""COMPUTED_VALUE"""),"Ncr")</f>
        <v>Ncr</v>
      </c>
      <c r="V2143" s="33">
        <f>IFERROR(__xludf.DUMMYFUNCTION("""COMPUTED_VALUE"""),1.0)</f>
        <v>1</v>
      </c>
      <c r="W2143" s="4" t="str">
        <f>IFERROR(__xludf.DUMMYFUNCTION("""COMPUTED_VALUE"""),"Ncr")</f>
        <v>Ncr</v>
      </c>
      <c r="X2143" s="33">
        <f>IFERROR(__xludf.DUMMYFUNCTION("""COMPUTED_VALUE"""),1.0)</f>
        <v>1</v>
      </c>
    </row>
    <row r="2144">
      <c r="K2144" s="4" t="str">
        <f>IFERROR(__xludf.DUMMYFUNCTION("""COMPUTED_VALUE"""),"AGROPECUARIA DO MANE - MARCA")</f>
        <v>AGROPECUARIA DO MANE - MARCA</v>
      </c>
      <c r="L2144" s="32">
        <f>IFERROR(__xludf.DUMMYFUNCTION("""COMPUTED_VALUE"""),4.0)</f>
        <v>4</v>
      </c>
      <c r="M2144" s="4" t="str">
        <f>IFERROR(__xludf.DUMMYFUNCTION("""COMPUTED_VALUE"""),"N/A (Not found)")</f>
        <v>N/A (Not found)</v>
      </c>
      <c r="N2144" s="33">
        <f>IFERROR(__xludf.DUMMYFUNCTION("""COMPUTED_VALUE"""),0.75)</f>
        <v>0.75</v>
      </c>
      <c r="O2144" s="4" t="str">
        <f>IFERROR(__xludf.DUMMYFUNCTION("""COMPUTED_VALUE"""),"N/A (Not found)")</f>
        <v>N/A (Not found)</v>
      </c>
      <c r="P2144" s="33">
        <f>IFERROR(__xludf.DUMMYFUNCTION("""COMPUTED_VALUE"""),0.75)</f>
        <v>0.75</v>
      </c>
      <c r="Q2144" s="4" t="str">
        <f>IFERROR(__xludf.DUMMYFUNCTION("""COMPUTED_VALUE"""),"N/A (Not found)")</f>
        <v>N/A (Not found)</v>
      </c>
      <c r="R2144" s="33">
        <f>IFERROR(__xludf.DUMMYFUNCTION("""COMPUTED_VALUE"""),1.0)</f>
        <v>1</v>
      </c>
      <c r="S2144" s="4" t="str">
        <f>IFERROR(__xludf.DUMMYFUNCTION("""COMPUTED_VALUE"""),"N/A (Not found)")</f>
        <v>N/A (Not found)</v>
      </c>
      <c r="T2144" s="33">
        <f>IFERROR(__xludf.DUMMYFUNCTION("""COMPUTED_VALUE"""),1.0)</f>
        <v>1</v>
      </c>
      <c r="U2144" s="4" t="str">
        <f>IFERROR(__xludf.DUMMYFUNCTION("""COMPUTED_VALUE"""),"N/A (Not found)")</f>
        <v>N/A (Not found)</v>
      </c>
      <c r="V2144" s="33">
        <f>IFERROR(__xludf.DUMMYFUNCTION("""COMPUTED_VALUE"""),1.0)</f>
        <v>1</v>
      </c>
      <c r="W2144" s="4" t="str">
        <f>IFERROR(__xludf.DUMMYFUNCTION("""COMPUTED_VALUE"""),"N/A (Not found)")</f>
        <v>N/A (Not found)</v>
      </c>
      <c r="X2144" s="33">
        <f>IFERROR(__xludf.DUMMYFUNCTION("""COMPUTED_VALUE"""),1.0)</f>
        <v>1</v>
      </c>
    </row>
    <row r="2145">
      <c r="K2145" s="4" t="str">
        <f>IFERROR(__xludf.DUMMYFUNCTION("""COMPUTED_VALUE"""),"AKAI ACAI - CONTA PAI")</f>
        <v>AKAI ACAI - CONTA PAI</v>
      </c>
      <c r="L2145" s="32">
        <f>IFERROR(__xludf.DUMMYFUNCTION("""COMPUTED_VALUE"""),4.0)</f>
        <v>4</v>
      </c>
      <c r="M2145" s="4" t="str">
        <f>IFERROR(__xludf.DUMMYFUNCTION("""COMPUTED_VALUE"""),"null")</f>
        <v>null</v>
      </c>
      <c r="N2145" s="33">
        <f>IFERROR(__xludf.DUMMYFUNCTION("""COMPUTED_VALUE"""),1.0)</f>
        <v>1</v>
      </c>
      <c r="O2145" s="4" t="str">
        <f>IFERROR(__xludf.DUMMYFUNCTION("""COMPUTED_VALUE"""),"null")</f>
        <v>null</v>
      </c>
      <c r="P2145" s="33">
        <f>IFERROR(__xludf.DUMMYFUNCTION("""COMPUTED_VALUE"""),1.0)</f>
        <v>1</v>
      </c>
      <c r="Q2145" s="4" t="str">
        <f>IFERROR(__xludf.DUMMYFUNCTION("""COMPUTED_VALUE"""),"null")</f>
        <v>null</v>
      </c>
      <c r="R2145" s="33">
        <f>IFERROR(__xludf.DUMMYFUNCTION("""COMPUTED_VALUE"""),1.0)</f>
        <v>1</v>
      </c>
      <c r="S2145" s="4" t="str">
        <f>IFERROR(__xludf.DUMMYFUNCTION("""COMPUTED_VALUE"""),"Suitable Tecnologia E Gestao")</f>
        <v>Suitable Tecnologia E Gestao</v>
      </c>
      <c r="T2145" s="33">
        <f>IFERROR(__xludf.DUMMYFUNCTION("""COMPUTED_VALUE"""),1.0)</f>
        <v>1</v>
      </c>
      <c r="U2145" s="4" t="str">
        <f>IFERROR(__xludf.DUMMYFUNCTION("""COMPUTED_VALUE"""),"Suitable Tecnologia E Gestao")</f>
        <v>Suitable Tecnologia E Gestao</v>
      </c>
      <c r="V2145" s="33">
        <f>IFERROR(__xludf.DUMMYFUNCTION("""COMPUTED_VALUE"""),1.0)</f>
        <v>1</v>
      </c>
      <c r="W2145" s="4" t="str">
        <f>IFERROR(__xludf.DUMMYFUNCTION("""COMPUTED_VALUE"""),"Suitable Tecnologia E Gestao")</f>
        <v>Suitable Tecnologia E Gestao</v>
      </c>
      <c r="X2145" s="33">
        <f>IFERROR(__xludf.DUMMYFUNCTION("""COMPUTED_VALUE"""),1.0)</f>
        <v>1</v>
      </c>
    </row>
    <row r="2146">
      <c r="K2146" s="4" t="str">
        <f>IFERROR(__xludf.DUMMYFUNCTION("""COMPUTED_VALUE"""),"AL BADAH")</f>
        <v>AL BADAH</v>
      </c>
      <c r="L2146" s="32">
        <f>IFERROR(__xludf.DUMMYFUNCTION("""COMPUTED_VALUE"""),4.0)</f>
        <v>4</v>
      </c>
      <c r="M2146" s="4" t="str">
        <f>IFERROR(__xludf.DUMMYFUNCTION("""COMPUTED_VALUE"""),"Ncr")</f>
        <v>Ncr</v>
      </c>
      <c r="N2146" s="33">
        <f>IFERROR(__xludf.DUMMYFUNCTION("""COMPUTED_VALUE"""),1.0)</f>
        <v>1</v>
      </c>
      <c r="O2146" s="4" t="str">
        <f>IFERROR(__xludf.DUMMYFUNCTION("""COMPUTED_VALUE"""),"Ncr")</f>
        <v>Ncr</v>
      </c>
      <c r="P2146" s="33">
        <f>IFERROR(__xludf.DUMMYFUNCTION("""COMPUTED_VALUE"""),1.0)</f>
        <v>1</v>
      </c>
      <c r="Q2146" s="4" t="str">
        <f>IFERROR(__xludf.DUMMYFUNCTION("""COMPUTED_VALUE"""),"Ncr")</f>
        <v>Ncr</v>
      </c>
      <c r="R2146" s="33">
        <f>IFERROR(__xludf.DUMMYFUNCTION("""COMPUTED_VALUE"""),1.0)</f>
        <v>1</v>
      </c>
      <c r="S2146" s="4" t="str">
        <f>IFERROR(__xludf.DUMMYFUNCTION("""COMPUTED_VALUE"""),"Ncr")</f>
        <v>Ncr</v>
      </c>
      <c r="T2146" s="33">
        <f>IFERROR(__xludf.DUMMYFUNCTION("""COMPUTED_VALUE"""),1.0)</f>
        <v>1</v>
      </c>
      <c r="U2146" s="4" t="str">
        <f>IFERROR(__xludf.DUMMYFUNCTION("""COMPUTED_VALUE"""),"Ncr")</f>
        <v>Ncr</v>
      </c>
      <c r="V2146" s="33">
        <f>IFERROR(__xludf.DUMMYFUNCTION("""COMPUTED_VALUE"""),1.0)</f>
        <v>1</v>
      </c>
      <c r="W2146" s="4" t="str">
        <f>IFERROR(__xludf.DUMMYFUNCTION("""COMPUTED_VALUE"""),"Ncr")</f>
        <v>Ncr</v>
      </c>
      <c r="X2146" s="33">
        <f>IFERROR(__xludf.DUMMYFUNCTION("""COMPUTED_VALUE"""),1.0)</f>
        <v>1</v>
      </c>
    </row>
    <row r="2147">
      <c r="K2147" s="4" t="str">
        <f>IFERROR(__xludf.DUMMYFUNCTION("""COMPUTED_VALUE"""),"ALEMAO FOOD")</f>
        <v>ALEMAO FOOD</v>
      </c>
      <c r="L2147" s="32">
        <f>IFERROR(__xludf.DUMMYFUNCTION("""COMPUTED_VALUE"""),4.0)</f>
        <v>4</v>
      </c>
      <c r="M2147" s="4" t="str">
        <f>IFERROR(__xludf.DUMMYFUNCTION("""COMPUTED_VALUE"""),"Saipos Serviços De Software")</f>
        <v>Saipos Serviços De Software</v>
      </c>
      <c r="N2147" s="33">
        <f>IFERROR(__xludf.DUMMYFUNCTION("""COMPUTED_VALUE"""),1.0)</f>
        <v>1</v>
      </c>
      <c r="O2147" s="4" t="str">
        <f>IFERROR(__xludf.DUMMYFUNCTION("""COMPUTED_VALUE"""),"Saipos Serviços De Software")</f>
        <v>Saipos Serviços De Software</v>
      </c>
      <c r="P2147" s="33">
        <f>IFERROR(__xludf.DUMMYFUNCTION("""COMPUTED_VALUE"""),1.0)</f>
        <v>1</v>
      </c>
      <c r="Q2147" s="4" t="str">
        <f>IFERROR(__xludf.DUMMYFUNCTION("""COMPUTED_VALUE"""),"Saipos Serviços De Software")</f>
        <v>Saipos Serviços De Software</v>
      </c>
      <c r="R2147" s="33">
        <f>IFERROR(__xludf.DUMMYFUNCTION("""COMPUTED_VALUE"""),1.0)</f>
        <v>1</v>
      </c>
      <c r="S2147" s="4" t="str">
        <f>IFERROR(__xludf.DUMMYFUNCTION("""COMPUTED_VALUE"""),"Saipos Serviços De Software")</f>
        <v>Saipos Serviços De Software</v>
      </c>
      <c r="T2147" s="33">
        <f>IFERROR(__xludf.DUMMYFUNCTION("""COMPUTED_VALUE"""),1.0)</f>
        <v>1</v>
      </c>
      <c r="U2147" s="4" t="str">
        <f>IFERROR(__xludf.DUMMYFUNCTION("""COMPUTED_VALUE"""),"Saipos Serviços De Software")</f>
        <v>Saipos Serviços De Software</v>
      </c>
      <c r="V2147" s="33">
        <f>IFERROR(__xludf.DUMMYFUNCTION("""COMPUTED_VALUE"""),1.0)</f>
        <v>1</v>
      </c>
      <c r="W2147" s="4" t="str">
        <f>IFERROR(__xludf.DUMMYFUNCTION("""COMPUTED_VALUE"""),"Saipos Serviços De Software")</f>
        <v>Saipos Serviços De Software</v>
      </c>
      <c r="X2147" s="33">
        <f>IFERROR(__xludf.DUMMYFUNCTION("""COMPUTED_VALUE"""),1.0)</f>
        <v>1</v>
      </c>
    </row>
    <row r="2148">
      <c r="K2148" s="4" t="str">
        <f>IFERROR(__xludf.DUMMYFUNCTION("""COMPUTED_VALUE"""),"ALEMAO SP")</f>
        <v>ALEMAO SP</v>
      </c>
      <c r="L2148" s="32">
        <f>IFERROR(__xludf.DUMMYFUNCTION("""COMPUTED_VALUE"""),4.0)</f>
        <v>4</v>
      </c>
      <c r="M2148" s="4" t="str">
        <f>IFERROR(__xludf.DUMMYFUNCTION("""COMPUTED_VALUE"""),"Ncr")</f>
        <v>Ncr</v>
      </c>
      <c r="N2148" s="33">
        <f>IFERROR(__xludf.DUMMYFUNCTION("""COMPUTED_VALUE"""),1.0)</f>
        <v>1</v>
      </c>
      <c r="O2148" s="4" t="str">
        <f>IFERROR(__xludf.DUMMYFUNCTION("""COMPUTED_VALUE"""),"Ncr")</f>
        <v>Ncr</v>
      </c>
      <c r="P2148" s="33">
        <f>IFERROR(__xludf.DUMMYFUNCTION("""COMPUTED_VALUE"""),1.0)</f>
        <v>1</v>
      </c>
      <c r="Q2148" s="4" t="str">
        <f>IFERROR(__xludf.DUMMYFUNCTION("""COMPUTED_VALUE"""),"Ncr")</f>
        <v>Ncr</v>
      </c>
      <c r="R2148" s="33">
        <f>IFERROR(__xludf.DUMMYFUNCTION("""COMPUTED_VALUE"""),1.0)</f>
        <v>1</v>
      </c>
      <c r="S2148" s="4" t="str">
        <f>IFERROR(__xludf.DUMMYFUNCTION("""COMPUTED_VALUE"""),"Ncr")</f>
        <v>Ncr</v>
      </c>
      <c r="T2148" s="33">
        <f>IFERROR(__xludf.DUMMYFUNCTION("""COMPUTED_VALUE"""),1.0)</f>
        <v>1</v>
      </c>
      <c r="U2148" s="4" t="str">
        <f>IFERROR(__xludf.DUMMYFUNCTION("""COMPUTED_VALUE"""),"Ncr")</f>
        <v>Ncr</v>
      </c>
      <c r="V2148" s="33">
        <f>IFERROR(__xludf.DUMMYFUNCTION("""COMPUTED_VALUE"""),1.0)</f>
        <v>1</v>
      </c>
      <c r="W2148" s="4" t="str">
        <f>IFERROR(__xludf.DUMMYFUNCTION("""COMPUTED_VALUE"""),"Ncr")</f>
        <v>Ncr</v>
      </c>
      <c r="X2148" s="33">
        <f>IFERROR(__xludf.DUMMYFUNCTION("""COMPUTED_VALUE"""),1.0)</f>
        <v>1</v>
      </c>
    </row>
    <row r="2149">
      <c r="K2149" s="4" t="str">
        <f>IFERROR(__xludf.DUMMYFUNCTION("""COMPUTED_VALUE"""),"GRUPO ALEMAO")</f>
        <v>GRUPO ALEMAO</v>
      </c>
      <c r="L2149" s="32">
        <f>IFERROR(__xludf.DUMMYFUNCTION("""COMPUTED_VALUE"""),4.0)</f>
        <v>4</v>
      </c>
      <c r="M2149" s="4" t="str">
        <f>IFERROR(__xludf.DUMMYFUNCTION("""COMPUTED_VALUE"""),"Ncr")</f>
        <v>Ncr</v>
      </c>
      <c r="N2149" s="33">
        <f>IFERROR(__xludf.DUMMYFUNCTION("""COMPUTED_VALUE"""),1.0)</f>
        <v>1</v>
      </c>
      <c r="O2149" s="4" t="str">
        <f>IFERROR(__xludf.DUMMYFUNCTION("""COMPUTED_VALUE"""),"Ncr")</f>
        <v>Ncr</v>
      </c>
      <c r="P2149" s="33">
        <f>IFERROR(__xludf.DUMMYFUNCTION("""COMPUTED_VALUE"""),1.0)</f>
        <v>1</v>
      </c>
      <c r="Q2149" s="4" t="str">
        <f>IFERROR(__xludf.DUMMYFUNCTION("""COMPUTED_VALUE"""),"Ncr")</f>
        <v>Ncr</v>
      </c>
      <c r="R2149" s="33">
        <f>IFERROR(__xludf.DUMMYFUNCTION("""COMPUTED_VALUE"""),1.0)</f>
        <v>1</v>
      </c>
      <c r="S2149" s="4" t="str">
        <f>IFERROR(__xludf.DUMMYFUNCTION("""COMPUTED_VALUE"""),"Ncr")</f>
        <v>Ncr</v>
      </c>
      <c r="T2149" s="33">
        <f>IFERROR(__xludf.DUMMYFUNCTION("""COMPUTED_VALUE"""),1.0)</f>
        <v>1</v>
      </c>
      <c r="U2149" s="4" t="str">
        <f>IFERROR(__xludf.DUMMYFUNCTION("""COMPUTED_VALUE"""),"Ncr")</f>
        <v>Ncr</v>
      </c>
      <c r="V2149" s="33">
        <f>IFERROR(__xludf.DUMMYFUNCTION("""COMPUTED_VALUE"""),1.0)</f>
        <v>1</v>
      </c>
      <c r="W2149" s="4" t="str">
        <f>IFERROR(__xludf.DUMMYFUNCTION("""COMPUTED_VALUE"""),"Ncr")</f>
        <v>Ncr</v>
      </c>
      <c r="X2149" s="33">
        <f>IFERROR(__xludf.DUMMYFUNCTION("""COMPUTED_VALUE"""),1.0)</f>
        <v>1</v>
      </c>
    </row>
    <row r="2150">
      <c r="K2150" s="4" t="str">
        <f>IFERROR(__xludf.DUMMYFUNCTION("""COMPUTED_VALUE"""),"ALL BADAWI")</f>
        <v>ALL BADAWI</v>
      </c>
      <c r="L2150" s="32">
        <f>IFERROR(__xludf.DUMMYFUNCTION("""COMPUTED_VALUE"""),4.0)</f>
        <v>4</v>
      </c>
      <c r="M2150" s="4" t="str">
        <f>IFERROR(__xludf.DUMMYFUNCTION("""COMPUTED_VALUE"""),"Marchiore It")</f>
        <v>Marchiore It</v>
      </c>
      <c r="N2150" s="33">
        <f>IFERROR(__xludf.DUMMYFUNCTION("""COMPUTED_VALUE"""),1.0)</f>
        <v>1</v>
      </c>
      <c r="O2150" s="4" t="str">
        <f>IFERROR(__xludf.DUMMYFUNCTION("""COMPUTED_VALUE"""),"Marchiore It")</f>
        <v>Marchiore It</v>
      </c>
      <c r="P2150" s="33">
        <f>IFERROR(__xludf.DUMMYFUNCTION("""COMPUTED_VALUE"""),1.0)</f>
        <v>1</v>
      </c>
      <c r="Q2150" s="4" t="str">
        <f>IFERROR(__xludf.DUMMYFUNCTION("""COMPUTED_VALUE"""),"Marchiore It")</f>
        <v>Marchiore It</v>
      </c>
      <c r="R2150" s="33">
        <f>IFERROR(__xludf.DUMMYFUNCTION("""COMPUTED_VALUE"""),1.0)</f>
        <v>1</v>
      </c>
      <c r="S2150" s="4" t="str">
        <f>IFERROR(__xludf.DUMMYFUNCTION("""COMPUTED_VALUE"""),"Marchiore It")</f>
        <v>Marchiore It</v>
      </c>
      <c r="T2150" s="33">
        <f>IFERROR(__xludf.DUMMYFUNCTION("""COMPUTED_VALUE"""),0.75)</f>
        <v>0.75</v>
      </c>
      <c r="U2150" s="4" t="str">
        <f>IFERROR(__xludf.DUMMYFUNCTION("""COMPUTED_VALUE"""),"Marchiore It")</f>
        <v>Marchiore It</v>
      </c>
      <c r="V2150" s="33">
        <f>IFERROR(__xludf.DUMMYFUNCTION("""COMPUTED_VALUE"""),1.0)</f>
        <v>1</v>
      </c>
      <c r="W2150" s="4" t="str">
        <f>IFERROR(__xludf.DUMMYFUNCTION("""COMPUTED_VALUE"""),"Marchiore It")</f>
        <v>Marchiore It</v>
      </c>
      <c r="X2150" s="33">
        <f>IFERROR(__xludf.DUMMYFUNCTION("""COMPUTED_VALUE"""),0.75)</f>
        <v>0.75</v>
      </c>
    </row>
    <row r="2151">
      <c r="K2151" s="4" t="str">
        <f>IFERROR(__xludf.DUMMYFUNCTION("""COMPUTED_VALUE"""),"ALMOCO DA ESQUINA")</f>
        <v>ALMOCO DA ESQUINA</v>
      </c>
      <c r="L2151" s="32">
        <f>IFERROR(__xludf.DUMMYFUNCTION("""COMPUTED_VALUE"""),4.0)</f>
        <v>4</v>
      </c>
      <c r="M2151" s="4" t="str">
        <f>IFERROR(__xludf.DUMMYFUNCTION("""COMPUTED_VALUE"""),"Cardápio Web")</f>
        <v>Cardápio Web</v>
      </c>
      <c r="N2151" s="33">
        <f>IFERROR(__xludf.DUMMYFUNCTION("""COMPUTED_VALUE"""),0.5)</f>
        <v>0.5</v>
      </c>
      <c r="O2151" s="4" t="str">
        <f>IFERROR(__xludf.DUMMYFUNCTION("""COMPUTED_VALUE"""),"Cardápio Web")</f>
        <v>Cardápio Web</v>
      </c>
      <c r="P2151" s="33">
        <f>IFERROR(__xludf.DUMMYFUNCTION("""COMPUTED_VALUE"""),0.5)</f>
        <v>0.5</v>
      </c>
      <c r="Q2151" s="4" t="str">
        <f>IFERROR(__xludf.DUMMYFUNCTION("""COMPUTED_VALUE"""),"Cardápio Web")</f>
        <v>Cardápio Web</v>
      </c>
      <c r="R2151" s="33">
        <f>IFERROR(__xludf.DUMMYFUNCTION("""COMPUTED_VALUE"""),0.75)</f>
        <v>0.75</v>
      </c>
      <c r="S2151" s="4" t="str">
        <f>IFERROR(__xludf.DUMMYFUNCTION("""COMPUTED_VALUE"""),"Cardápio Web")</f>
        <v>Cardápio Web</v>
      </c>
      <c r="T2151" s="33">
        <f>IFERROR(__xludf.DUMMYFUNCTION("""COMPUTED_VALUE"""),0.75)</f>
        <v>0.75</v>
      </c>
      <c r="U2151" s="4" t="str">
        <f>IFERROR(__xludf.DUMMYFUNCTION("""COMPUTED_VALUE"""),"Cardápio Web")</f>
        <v>Cardápio Web</v>
      </c>
      <c r="V2151" s="33">
        <f>IFERROR(__xludf.DUMMYFUNCTION("""COMPUTED_VALUE"""),1.0)</f>
        <v>1</v>
      </c>
      <c r="W2151" s="4" t="str">
        <f>IFERROR(__xludf.DUMMYFUNCTION("""COMPUTED_VALUE"""),"Cardápio Web")</f>
        <v>Cardápio Web</v>
      </c>
      <c r="X2151" s="33">
        <f>IFERROR(__xludf.DUMMYFUNCTION("""COMPUTED_VALUE"""),1.0)</f>
        <v>1</v>
      </c>
    </row>
    <row r="2152">
      <c r="K2152" s="4" t="str">
        <f>IFERROR(__xludf.DUMMYFUNCTION("""COMPUTED_VALUE"""),"ALO JAPA")</f>
        <v>ALO JAPA</v>
      </c>
      <c r="L2152" s="32">
        <f>IFERROR(__xludf.DUMMYFUNCTION("""COMPUTED_VALUE"""),4.0)</f>
        <v>4</v>
      </c>
      <c r="M2152" s="4" t="str">
        <f>IFERROR(__xludf.DUMMYFUNCTION("""COMPUTED_VALUE"""),"Saipos Serviços De Software")</f>
        <v>Saipos Serviços De Software</v>
      </c>
      <c r="N2152" s="33">
        <f>IFERROR(__xludf.DUMMYFUNCTION("""COMPUTED_VALUE"""),1.0)</f>
        <v>1</v>
      </c>
      <c r="O2152" s="4" t="str">
        <f>IFERROR(__xludf.DUMMYFUNCTION("""COMPUTED_VALUE"""),"Saipos Serviços De Software")</f>
        <v>Saipos Serviços De Software</v>
      </c>
      <c r="P2152" s="33">
        <f>IFERROR(__xludf.DUMMYFUNCTION("""COMPUTED_VALUE"""),1.0)</f>
        <v>1</v>
      </c>
      <c r="Q2152" s="4" t="str">
        <f>IFERROR(__xludf.DUMMYFUNCTION("""COMPUTED_VALUE"""),"Saipos Serviços De Software")</f>
        <v>Saipos Serviços De Software</v>
      </c>
      <c r="R2152" s="33">
        <f>IFERROR(__xludf.DUMMYFUNCTION("""COMPUTED_VALUE"""),1.0)</f>
        <v>1</v>
      </c>
      <c r="S2152" s="4" t="str">
        <f>IFERROR(__xludf.DUMMYFUNCTION("""COMPUTED_VALUE"""),"Saipos Serviços De Software")</f>
        <v>Saipos Serviços De Software</v>
      </c>
      <c r="T2152" s="33">
        <f>IFERROR(__xludf.DUMMYFUNCTION("""COMPUTED_VALUE"""),1.0)</f>
        <v>1</v>
      </c>
      <c r="U2152" s="4" t="str">
        <f>IFERROR(__xludf.DUMMYFUNCTION("""COMPUTED_VALUE"""),"Saipos Serviços De Software")</f>
        <v>Saipos Serviços De Software</v>
      </c>
      <c r="V2152" s="33">
        <f>IFERROR(__xludf.DUMMYFUNCTION("""COMPUTED_VALUE"""),1.0)</f>
        <v>1</v>
      </c>
      <c r="W2152" s="4" t="str">
        <f>IFERROR(__xludf.DUMMYFUNCTION("""COMPUTED_VALUE"""),"Saipos Serviços De Software")</f>
        <v>Saipos Serviços De Software</v>
      </c>
      <c r="X2152" s="33">
        <f>IFERROR(__xludf.DUMMYFUNCTION("""COMPUTED_VALUE"""),1.0)</f>
        <v>1</v>
      </c>
    </row>
    <row r="2153">
      <c r="K2153" s="4" t="str">
        <f>IFERROR(__xludf.DUMMYFUNCTION("""COMPUTED_VALUE"""),"ALOHA SUSHI - CONTA MARCA")</f>
        <v>ALOHA SUSHI - CONTA MARCA</v>
      </c>
      <c r="L2153" s="32">
        <f>IFERROR(__xludf.DUMMYFUNCTION("""COMPUTED_VALUE"""),4.0)</f>
        <v>4</v>
      </c>
      <c r="M2153" s="4" t="str">
        <f>IFERROR(__xludf.DUMMYFUNCTION("""COMPUTED_VALUE"""),"Saipos Serviços De Software")</f>
        <v>Saipos Serviços De Software</v>
      </c>
      <c r="N2153" s="33">
        <f>IFERROR(__xludf.DUMMYFUNCTION("""COMPUTED_VALUE"""),1.0)</f>
        <v>1</v>
      </c>
      <c r="O2153" s="4" t="str">
        <f>IFERROR(__xludf.DUMMYFUNCTION("""COMPUTED_VALUE"""),"Saipos Serviços De Software")</f>
        <v>Saipos Serviços De Software</v>
      </c>
      <c r="P2153" s="33">
        <f>IFERROR(__xludf.DUMMYFUNCTION("""COMPUTED_VALUE"""),1.0)</f>
        <v>1</v>
      </c>
      <c r="Q2153" s="4" t="str">
        <f>IFERROR(__xludf.DUMMYFUNCTION("""COMPUTED_VALUE"""),"Saipos Serviços De Software")</f>
        <v>Saipos Serviços De Software</v>
      </c>
      <c r="R2153" s="33">
        <f>IFERROR(__xludf.DUMMYFUNCTION("""COMPUTED_VALUE"""),1.0)</f>
        <v>1</v>
      </c>
      <c r="S2153" s="4" t="str">
        <f>IFERROR(__xludf.DUMMYFUNCTION("""COMPUTED_VALUE"""),"Saipos Serviços De Software")</f>
        <v>Saipos Serviços De Software</v>
      </c>
      <c r="T2153" s="33">
        <f>IFERROR(__xludf.DUMMYFUNCTION("""COMPUTED_VALUE"""),1.0)</f>
        <v>1</v>
      </c>
      <c r="U2153" s="4" t="str">
        <f>IFERROR(__xludf.DUMMYFUNCTION("""COMPUTED_VALUE"""),"Saipos Serviços De Software")</f>
        <v>Saipos Serviços De Software</v>
      </c>
      <c r="V2153" s="33">
        <f>IFERROR(__xludf.DUMMYFUNCTION("""COMPUTED_VALUE"""),1.0)</f>
        <v>1</v>
      </c>
      <c r="W2153" s="4" t="str">
        <f>IFERROR(__xludf.DUMMYFUNCTION("""COMPUTED_VALUE"""),"Saipos Serviços De Software")</f>
        <v>Saipos Serviços De Software</v>
      </c>
      <c r="X2153" s="33">
        <f>IFERROR(__xludf.DUMMYFUNCTION("""COMPUTED_VALUE"""),1.0)</f>
        <v>1</v>
      </c>
    </row>
    <row r="2154">
      <c r="K2154" s="4" t="str">
        <f>IFERROR(__xludf.DUMMYFUNCTION("""COMPUTED_VALUE"""),"AMARETTO GOURMET - UBERLANDIA")</f>
        <v>AMARETTO GOURMET - UBERLANDIA</v>
      </c>
      <c r="L2154" s="32">
        <f>IFERROR(__xludf.DUMMYFUNCTION("""COMPUTED_VALUE"""),4.0)</f>
        <v>4</v>
      </c>
      <c r="M2154" s="4" t="str">
        <f>IFERROR(__xludf.DUMMYFUNCTION("""COMPUTED_VALUE"""),"Saipos Serviços De Software")</f>
        <v>Saipos Serviços De Software</v>
      </c>
      <c r="N2154" s="33">
        <f>IFERROR(__xludf.DUMMYFUNCTION("""COMPUTED_VALUE"""),0.75)</f>
        <v>0.75</v>
      </c>
      <c r="O2154" s="4" t="str">
        <f>IFERROR(__xludf.DUMMYFUNCTION("""COMPUTED_VALUE"""),"Saipos Serviços De Software")</f>
        <v>Saipos Serviços De Software</v>
      </c>
      <c r="P2154" s="33">
        <f>IFERROR(__xludf.DUMMYFUNCTION("""COMPUTED_VALUE"""),0.75)</f>
        <v>0.75</v>
      </c>
      <c r="Q2154" s="4" t="str">
        <f>IFERROR(__xludf.DUMMYFUNCTION("""COMPUTED_VALUE"""),"Saipos Serviços De Software")</f>
        <v>Saipos Serviços De Software</v>
      </c>
      <c r="R2154" s="33">
        <f>IFERROR(__xludf.DUMMYFUNCTION("""COMPUTED_VALUE"""),0.75)</f>
        <v>0.75</v>
      </c>
      <c r="S2154" s="4" t="str">
        <f>IFERROR(__xludf.DUMMYFUNCTION("""COMPUTED_VALUE"""),"Saipos Serviços De Software")</f>
        <v>Saipos Serviços De Software</v>
      </c>
      <c r="T2154" s="33">
        <f>IFERROR(__xludf.DUMMYFUNCTION("""COMPUTED_VALUE"""),0.75)</f>
        <v>0.75</v>
      </c>
      <c r="U2154" s="4" t="str">
        <f>IFERROR(__xludf.DUMMYFUNCTION("""COMPUTED_VALUE"""),"Saipos Serviços De Software")</f>
        <v>Saipos Serviços De Software</v>
      </c>
      <c r="V2154" s="33">
        <f>IFERROR(__xludf.DUMMYFUNCTION("""COMPUTED_VALUE"""),0.75)</f>
        <v>0.75</v>
      </c>
      <c r="W2154" s="4" t="str">
        <f>IFERROR(__xludf.DUMMYFUNCTION("""COMPUTED_VALUE"""),"Saipos Serviços De Software")</f>
        <v>Saipos Serviços De Software</v>
      </c>
      <c r="X2154" s="33">
        <f>IFERROR(__xludf.DUMMYFUNCTION("""COMPUTED_VALUE"""),0.75)</f>
        <v>0.75</v>
      </c>
    </row>
    <row r="2155">
      <c r="K2155" s="4" t="str">
        <f>IFERROR(__xludf.DUMMYFUNCTION("""COMPUTED_VALUE"""),"AMERICAN BULLS - CONTA PAI")</f>
        <v>AMERICAN BULLS - CONTA PAI</v>
      </c>
      <c r="L2155" s="32">
        <f>IFERROR(__xludf.DUMMYFUNCTION("""COMPUTED_VALUE"""),4.0)</f>
        <v>4</v>
      </c>
      <c r="M2155" s="4" t="str">
        <f>IFERROR(__xludf.DUMMYFUNCTION("""COMPUTED_VALUE"""),"Saipos Serviços De Software")</f>
        <v>Saipos Serviços De Software</v>
      </c>
      <c r="N2155" s="33">
        <f>IFERROR(__xludf.DUMMYFUNCTION("""COMPUTED_VALUE"""),1.0)</f>
        <v>1</v>
      </c>
      <c r="O2155" s="4" t="str">
        <f>IFERROR(__xludf.DUMMYFUNCTION("""COMPUTED_VALUE"""),"Saipos Serviços De Software")</f>
        <v>Saipos Serviços De Software</v>
      </c>
      <c r="P2155" s="33">
        <f>IFERROR(__xludf.DUMMYFUNCTION("""COMPUTED_VALUE"""),1.0)</f>
        <v>1</v>
      </c>
      <c r="Q2155" s="4" t="str">
        <f>IFERROR(__xludf.DUMMYFUNCTION("""COMPUTED_VALUE"""),"Saipos Serviços De Software")</f>
        <v>Saipos Serviços De Software</v>
      </c>
      <c r="R2155" s="33">
        <f>IFERROR(__xludf.DUMMYFUNCTION("""COMPUTED_VALUE"""),0.75)</f>
        <v>0.75</v>
      </c>
      <c r="S2155" s="4" t="str">
        <f>IFERROR(__xludf.DUMMYFUNCTION("""COMPUTED_VALUE"""),"Saipos Serviços De Software")</f>
        <v>Saipos Serviços De Software</v>
      </c>
      <c r="T2155" s="33">
        <f>IFERROR(__xludf.DUMMYFUNCTION("""COMPUTED_VALUE"""),1.0)</f>
        <v>1</v>
      </c>
      <c r="U2155" s="4" t="str">
        <f>IFERROR(__xludf.DUMMYFUNCTION("""COMPUTED_VALUE"""),"Saipos Serviços De Software")</f>
        <v>Saipos Serviços De Software</v>
      </c>
      <c r="V2155" s="33">
        <f>IFERROR(__xludf.DUMMYFUNCTION("""COMPUTED_VALUE"""),1.0)</f>
        <v>1</v>
      </c>
      <c r="W2155" s="4" t="str">
        <f>IFERROR(__xludf.DUMMYFUNCTION("""COMPUTED_VALUE"""),"Saipos Serviços De Software")</f>
        <v>Saipos Serviços De Software</v>
      </c>
      <c r="X2155" s="33">
        <f>IFERROR(__xludf.DUMMYFUNCTION("""COMPUTED_VALUE"""),1.0)</f>
        <v>1</v>
      </c>
    </row>
    <row r="2156">
      <c r="K2156" s="4" t="str">
        <f>IFERROR(__xludf.DUMMYFUNCTION("""COMPUTED_VALUE"""),"AMERICAN DAY")</f>
        <v>AMERICAN DAY</v>
      </c>
      <c r="L2156" s="32">
        <f>IFERROR(__xludf.DUMMYFUNCTION("""COMPUTED_VALUE"""),4.0)</f>
        <v>4</v>
      </c>
      <c r="M2156" s="4" t="str">
        <f>IFERROR(__xludf.DUMMYFUNCTION("""COMPUTED_VALUE"""),"Stone Co.")</f>
        <v>Stone Co.</v>
      </c>
      <c r="N2156" s="33">
        <f>IFERROR(__xludf.DUMMYFUNCTION("""COMPUTED_VALUE"""),1.0)</f>
        <v>1</v>
      </c>
      <c r="O2156" s="4" t="str">
        <f>IFERROR(__xludf.DUMMYFUNCTION("""COMPUTED_VALUE"""),"Stone Co.")</f>
        <v>Stone Co.</v>
      </c>
      <c r="P2156" s="33">
        <f>IFERROR(__xludf.DUMMYFUNCTION("""COMPUTED_VALUE"""),1.0)</f>
        <v>1</v>
      </c>
      <c r="Q2156" s="4" t="str">
        <f>IFERROR(__xludf.DUMMYFUNCTION("""COMPUTED_VALUE"""),"Stone Co.")</f>
        <v>Stone Co.</v>
      </c>
      <c r="R2156" s="33">
        <f>IFERROR(__xludf.DUMMYFUNCTION("""COMPUTED_VALUE"""),1.0)</f>
        <v>1</v>
      </c>
      <c r="S2156" s="4" t="str">
        <f>IFERROR(__xludf.DUMMYFUNCTION("""COMPUTED_VALUE"""),"Stone Co.")</f>
        <v>Stone Co.</v>
      </c>
      <c r="T2156" s="33">
        <f>IFERROR(__xludf.DUMMYFUNCTION("""COMPUTED_VALUE"""),1.0)</f>
        <v>1</v>
      </c>
      <c r="U2156" s="4" t="str">
        <f>IFERROR(__xludf.DUMMYFUNCTION("""COMPUTED_VALUE"""),"Stone Co.")</f>
        <v>Stone Co.</v>
      </c>
      <c r="V2156" s="33">
        <f>IFERROR(__xludf.DUMMYFUNCTION("""COMPUTED_VALUE"""),1.0)</f>
        <v>1</v>
      </c>
      <c r="W2156" s="4" t="str">
        <f>IFERROR(__xludf.DUMMYFUNCTION("""COMPUTED_VALUE"""),"Stone Co.")</f>
        <v>Stone Co.</v>
      </c>
      <c r="X2156" s="33">
        <f>IFERROR(__xludf.DUMMYFUNCTION("""COMPUTED_VALUE"""),1.0)</f>
        <v>1</v>
      </c>
    </row>
    <row r="2157">
      <c r="K2157" s="4" t="str">
        <f>IFERROR(__xludf.DUMMYFUNCTION("""COMPUTED_VALUE"""),"AO ZECA FLORIANOPOLIS")</f>
        <v>AO ZECA FLORIANOPOLIS</v>
      </c>
      <c r="L2157" s="32">
        <f>IFERROR(__xludf.DUMMYFUNCTION("""COMPUTED_VALUE"""),4.0)</f>
        <v>4</v>
      </c>
      <c r="M2157" s="4" t="str">
        <f>IFERROR(__xludf.DUMMYFUNCTION("""COMPUTED_VALUE"""),"Opdv")</f>
        <v>Opdv</v>
      </c>
      <c r="N2157" s="33">
        <f>IFERROR(__xludf.DUMMYFUNCTION("""COMPUTED_VALUE"""),1.0)</f>
        <v>1</v>
      </c>
      <c r="O2157" s="4" t="str">
        <f>IFERROR(__xludf.DUMMYFUNCTION("""COMPUTED_VALUE"""),"Opdv")</f>
        <v>Opdv</v>
      </c>
      <c r="P2157" s="33">
        <f>IFERROR(__xludf.DUMMYFUNCTION("""COMPUTED_VALUE"""),1.0)</f>
        <v>1</v>
      </c>
      <c r="Q2157" s="4" t="str">
        <f>IFERROR(__xludf.DUMMYFUNCTION("""COMPUTED_VALUE"""),"Opdv")</f>
        <v>Opdv</v>
      </c>
      <c r="R2157" s="33">
        <f>IFERROR(__xludf.DUMMYFUNCTION("""COMPUTED_VALUE"""),1.0)</f>
        <v>1</v>
      </c>
      <c r="S2157" s="4" t="str">
        <f>IFERROR(__xludf.DUMMYFUNCTION("""COMPUTED_VALUE"""),"Opdv")</f>
        <v>Opdv</v>
      </c>
      <c r="T2157" s="33">
        <f>IFERROR(__xludf.DUMMYFUNCTION("""COMPUTED_VALUE"""),1.0)</f>
        <v>1</v>
      </c>
      <c r="U2157" s="4" t="str">
        <f>IFERROR(__xludf.DUMMYFUNCTION("""COMPUTED_VALUE"""),"Opdv")</f>
        <v>Opdv</v>
      </c>
      <c r="V2157" s="33">
        <f>IFERROR(__xludf.DUMMYFUNCTION("""COMPUTED_VALUE"""),1.0)</f>
        <v>1</v>
      </c>
      <c r="W2157" s="4" t="str">
        <f>IFERROR(__xludf.DUMMYFUNCTION("""COMPUTED_VALUE"""),"Opdv")</f>
        <v>Opdv</v>
      </c>
      <c r="X2157" s="33">
        <f>IFERROR(__xludf.DUMMYFUNCTION("""COMPUTED_VALUE"""),1.0)</f>
        <v>1</v>
      </c>
    </row>
    <row r="2158">
      <c r="K2158" s="4" t="str">
        <f>IFERROR(__xludf.DUMMYFUNCTION("""COMPUTED_VALUE"""),"AROMA DO PARMEGIANA")</f>
        <v>AROMA DO PARMEGIANA</v>
      </c>
      <c r="L2158" s="32">
        <f>IFERROR(__xludf.DUMMYFUNCTION("""COMPUTED_VALUE"""),4.0)</f>
        <v>4</v>
      </c>
      <c r="M2158" s="4" t="str">
        <f>IFERROR(__xludf.DUMMYFUNCTION("""COMPUTED_VALUE"""),"Saipos Serviços De Software")</f>
        <v>Saipos Serviços De Software</v>
      </c>
      <c r="N2158" s="33">
        <f>IFERROR(__xludf.DUMMYFUNCTION("""COMPUTED_VALUE"""),0.75)</f>
        <v>0.75</v>
      </c>
      <c r="O2158" s="4" t="str">
        <f>IFERROR(__xludf.DUMMYFUNCTION("""COMPUTED_VALUE"""),"Saipos Serviços De Software")</f>
        <v>Saipos Serviços De Software</v>
      </c>
      <c r="P2158" s="33">
        <f>IFERROR(__xludf.DUMMYFUNCTION("""COMPUTED_VALUE"""),1.0)</f>
        <v>1</v>
      </c>
      <c r="Q2158" s="4" t="str">
        <f>IFERROR(__xludf.DUMMYFUNCTION("""COMPUTED_VALUE"""),"Saipos Serviços De Software")</f>
        <v>Saipos Serviços De Software</v>
      </c>
      <c r="R2158" s="33">
        <f>IFERROR(__xludf.DUMMYFUNCTION("""COMPUTED_VALUE"""),1.0)</f>
        <v>1</v>
      </c>
      <c r="S2158" s="4" t="str">
        <f>IFERROR(__xludf.DUMMYFUNCTION("""COMPUTED_VALUE"""),"Saipos Serviços De Software")</f>
        <v>Saipos Serviços De Software</v>
      </c>
      <c r="T2158" s="33">
        <f>IFERROR(__xludf.DUMMYFUNCTION("""COMPUTED_VALUE"""),1.0)</f>
        <v>1</v>
      </c>
      <c r="U2158" s="4" t="str">
        <f>IFERROR(__xludf.DUMMYFUNCTION("""COMPUTED_VALUE"""),"Saipos Serviços De Software")</f>
        <v>Saipos Serviços De Software</v>
      </c>
      <c r="V2158" s="33">
        <f>IFERROR(__xludf.DUMMYFUNCTION("""COMPUTED_VALUE"""),1.0)</f>
        <v>1</v>
      </c>
      <c r="W2158" s="4" t="str">
        <f>IFERROR(__xludf.DUMMYFUNCTION("""COMPUTED_VALUE"""),"Saipos Serviços De Software")</f>
        <v>Saipos Serviços De Software</v>
      </c>
      <c r="X2158" s="33">
        <f>IFERROR(__xludf.DUMMYFUNCTION("""COMPUTED_VALUE"""),1.0)</f>
        <v>1</v>
      </c>
    </row>
    <row r="2159">
      <c r="K2159" s="4" t="str">
        <f>IFERROR(__xludf.DUMMYFUNCTION("""COMPUTED_VALUE"""),"ASA RIO")</f>
        <v>ASA RIO</v>
      </c>
      <c r="L2159" s="32">
        <f>IFERROR(__xludf.DUMMYFUNCTION("""COMPUTED_VALUE"""),4.0)</f>
        <v>4</v>
      </c>
      <c r="M2159" s="4" t="str">
        <f>IFERROR(__xludf.DUMMYFUNCTION("""COMPUTED_VALUE"""),"F-rest Sistema Para Food Service Ltda")</f>
        <v>F-rest Sistema Para Food Service Ltda</v>
      </c>
      <c r="N2159" s="33">
        <f>IFERROR(__xludf.DUMMYFUNCTION("""COMPUTED_VALUE"""),0.75)</f>
        <v>0.75</v>
      </c>
      <c r="O2159" s="4" t="str">
        <f>IFERROR(__xludf.DUMMYFUNCTION("""COMPUTED_VALUE"""),"F-rest Sistema Para Food Service Ltda")</f>
        <v>F-rest Sistema Para Food Service Ltda</v>
      </c>
      <c r="P2159" s="33">
        <f>IFERROR(__xludf.DUMMYFUNCTION("""COMPUTED_VALUE"""),1.0)</f>
        <v>1</v>
      </c>
      <c r="Q2159" s="4" t="str">
        <f>IFERROR(__xludf.DUMMYFUNCTION("""COMPUTED_VALUE"""),"F-rest Sistema Para Food Service Ltda")</f>
        <v>F-rest Sistema Para Food Service Ltda</v>
      </c>
      <c r="R2159" s="33">
        <f>IFERROR(__xludf.DUMMYFUNCTION("""COMPUTED_VALUE"""),0.75)</f>
        <v>0.75</v>
      </c>
      <c r="S2159" s="4" t="str">
        <f>IFERROR(__xludf.DUMMYFUNCTION("""COMPUTED_VALUE"""),"F-rest Sistema Para Food Service Ltda")</f>
        <v>F-rest Sistema Para Food Service Ltda</v>
      </c>
      <c r="T2159" s="33">
        <f>IFERROR(__xludf.DUMMYFUNCTION("""COMPUTED_VALUE"""),1.0)</f>
        <v>1</v>
      </c>
      <c r="U2159" s="4" t="str">
        <f>IFERROR(__xludf.DUMMYFUNCTION("""COMPUTED_VALUE"""),"F-rest Sistema Para Food Service Ltda")</f>
        <v>F-rest Sistema Para Food Service Ltda</v>
      </c>
      <c r="V2159" s="33">
        <f>IFERROR(__xludf.DUMMYFUNCTION("""COMPUTED_VALUE"""),0.75)</f>
        <v>0.75</v>
      </c>
      <c r="W2159" s="4" t="str">
        <f>IFERROR(__xludf.DUMMYFUNCTION("""COMPUTED_VALUE"""),"F-rest Sistema Para Food Service Ltda")</f>
        <v>F-rest Sistema Para Food Service Ltda</v>
      </c>
      <c r="X2159" s="33">
        <f>IFERROR(__xludf.DUMMYFUNCTION("""COMPUTED_VALUE"""),1.0)</f>
        <v>1</v>
      </c>
    </row>
    <row r="2160">
      <c r="K2160" s="4" t="str">
        <f>IFERROR(__xludf.DUMMYFUNCTION("""COMPUTED_VALUE"""),"ASALADACLUB")</f>
        <v>ASALADACLUB</v>
      </c>
      <c r="L2160" s="32">
        <f>IFERROR(__xludf.DUMMYFUNCTION("""COMPUTED_VALUE"""),4.0)</f>
        <v>4</v>
      </c>
      <c r="M2160" s="4" t="str">
        <f>IFERROR(__xludf.DUMMYFUNCTION("""COMPUTED_VALUE"""),"Proabakus Desenvolvimento De Sistemas Ltda")</f>
        <v>Proabakus Desenvolvimento De Sistemas Ltda</v>
      </c>
      <c r="N2160" s="33">
        <f>IFERROR(__xludf.DUMMYFUNCTION("""COMPUTED_VALUE"""),0.75)</f>
        <v>0.75</v>
      </c>
      <c r="O2160" s="4" t="str">
        <f>IFERROR(__xludf.DUMMYFUNCTION("""COMPUTED_VALUE"""),"Proabakus Desenvolvimento De Sistemas Ltda")</f>
        <v>Proabakus Desenvolvimento De Sistemas Ltda</v>
      </c>
      <c r="P2160" s="33">
        <f>IFERROR(__xludf.DUMMYFUNCTION("""COMPUTED_VALUE"""),0.75)</f>
        <v>0.75</v>
      </c>
      <c r="Q2160" s="4" t="str">
        <f>IFERROR(__xludf.DUMMYFUNCTION("""COMPUTED_VALUE"""),"Proabakus Desenvolvimento De Sistemas Ltda")</f>
        <v>Proabakus Desenvolvimento De Sistemas Ltda</v>
      </c>
      <c r="R2160" s="33">
        <f>IFERROR(__xludf.DUMMYFUNCTION("""COMPUTED_VALUE"""),0.5)</f>
        <v>0.5</v>
      </c>
      <c r="S2160" s="4" t="str">
        <f>IFERROR(__xludf.DUMMYFUNCTION("""COMPUTED_VALUE"""),"Proabakus Desenvolvimento De Sistemas Ltda")</f>
        <v>Proabakus Desenvolvimento De Sistemas Ltda</v>
      </c>
      <c r="T2160" s="33">
        <f>IFERROR(__xludf.DUMMYFUNCTION("""COMPUTED_VALUE"""),0.5)</f>
        <v>0.5</v>
      </c>
      <c r="U2160" s="4" t="str">
        <f>IFERROR(__xludf.DUMMYFUNCTION("""COMPUTED_VALUE"""),"Proabakus Desenvolvimento De Sistemas Ltda")</f>
        <v>Proabakus Desenvolvimento De Sistemas Ltda</v>
      </c>
      <c r="V2160" s="33">
        <f>IFERROR(__xludf.DUMMYFUNCTION("""COMPUTED_VALUE"""),0.75)</f>
        <v>0.75</v>
      </c>
      <c r="W2160" s="4" t="str">
        <f>IFERROR(__xludf.DUMMYFUNCTION("""COMPUTED_VALUE"""),"Proabakus Desenvolvimento De Sistemas Ltda")</f>
        <v>Proabakus Desenvolvimento De Sistemas Ltda</v>
      </c>
      <c r="X2160" s="33">
        <f>IFERROR(__xludf.DUMMYFUNCTION("""COMPUTED_VALUE"""),0.75)</f>
        <v>0.75</v>
      </c>
    </row>
    <row r="2161">
      <c r="K2161" s="4" t="str">
        <f>IFERROR(__xludf.DUMMYFUNCTION("""COMPUTED_VALUE"""),"ATACADAO DO ACAI")</f>
        <v>ATACADAO DO ACAI</v>
      </c>
      <c r="L2161" s="32">
        <f>IFERROR(__xludf.DUMMYFUNCTION("""COMPUTED_VALUE"""),4.0)</f>
        <v>4</v>
      </c>
      <c r="M2161" s="4" t="str">
        <f>IFERROR(__xludf.DUMMYFUNCTION("""COMPUTED_VALUE"""),"Saipos Serviços De Software")</f>
        <v>Saipos Serviços De Software</v>
      </c>
      <c r="N2161" s="33">
        <f>IFERROR(__xludf.DUMMYFUNCTION("""COMPUTED_VALUE"""),0.75)</f>
        <v>0.75</v>
      </c>
      <c r="O2161" s="4" t="str">
        <f>IFERROR(__xludf.DUMMYFUNCTION("""COMPUTED_VALUE"""),"Saipos Serviços De Software")</f>
        <v>Saipos Serviços De Software</v>
      </c>
      <c r="P2161" s="33">
        <f>IFERROR(__xludf.DUMMYFUNCTION("""COMPUTED_VALUE"""),1.0)</f>
        <v>1</v>
      </c>
      <c r="Q2161" s="4" t="str">
        <f>IFERROR(__xludf.DUMMYFUNCTION("""COMPUTED_VALUE"""),"Saipos Serviços De Software")</f>
        <v>Saipos Serviços De Software</v>
      </c>
      <c r="R2161" s="33">
        <f>IFERROR(__xludf.DUMMYFUNCTION("""COMPUTED_VALUE"""),1.0)</f>
        <v>1</v>
      </c>
      <c r="S2161" s="4" t="str">
        <f>IFERROR(__xludf.DUMMYFUNCTION("""COMPUTED_VALUE"""),"Saipos Serviços De Software")</f>
        <v>Saipos Serviços De Software</v>
      </c>
      <c r="T2161" s="33">
        <f>IFERROR(__xludf.DUMMYFUNCTION("""COMPUTED_VALUE"""),1.0)</f>
        <v>1</v>
      </c>
      <c r="U2161" s="4" t="str">
        <f>IFERROR(__xludf.DUMMYFUNCTION("""COMPUTED_VALUE"""),"Saipos Serviços De Software")</f>
        <v>Saipos Serviços De Software</v>
      </c>
      <c r="V2161" s="33">
        <f>IFERROR(__xludf.DUMMYFUNCTION("""COMPUTED_VALUE"""),1.0)</f>
        <v>1</v>
      </c>
      <c r="W2161" s="4" t="str">
        <f>IFERROR(__xludf.DUMMYFUNCTION("""COMPUTED_VALUE"""),"Saipos Serviços De Software")</f>
        <v>Saipos Serviços De Software</v>
      </c>
      <c r="X2161" s="33">
        <f>IFERROR(__xludf.DUMMYFUNCTION("""COMPUTED_VALUE"""),1.0)</f>
        <v>1</v>
      </c>
    </row>
    <row r="2162">
      <c r="K2162" s="4" t="str">
        <f>IFERROR(__xludf.DUMMYFUNCTION("""COMPUTED_VALUE"""),"ATAKADAO DO SUSHI - CONTA MARCA")</f>
        <v>ATAKADAO DO SUSHI - CONTA MARCA</v>
      </c>
      <c r="L2162" s="32">
        <f>IFERROR(__xludf.DUMMYFUNCTION("""COMPUTED_VALUE"""),4.0)</f>
        <v>4</v>
      </c>
      <c r="M2162" s="4" t="str">
        <f>IFERROR(__xludf.DUMMYFUNCTION("""COMPUTED_VALUE"""),"Saipos Serviços De Software")</f>
        <v>Saipos Serviços De Software</v>
      </c>
      <c r="N2162" s="33">
        <f>IFERROR(__xludf.DUMMYFUNCTION("""COMPUTED_VALUE"""),0.5)</f>
        <v>0.5</v>
      </c>
      <c r="O2162" s="4" t="str">
        <f>IFERROR(__xludf.DUMMYFUNCTION("""COMPUTED_VALUE"""),"Saipos Serviços De Software")</f>
        <v>Saipos Serviços De Software</v>
      </c>
      <c r="P2162" s="33">
        <f>IFERROR(__xludf.DUMMYFUNCTION("""COMPUTED_VALUE"""),0.5)</f>
        <v>0.5</v>
      </c>
      <c r="Q2162" s="4" t="str">
        <f>IFERROR(__xludf.DUMMYFUNCTION("""COMPUTED_VALUE"""),"Saipos Serviços De Software")</f>
        <v>Saipos Serviços De Software</v>
      </c>
      <c r="R2162" s="33">
        <f>IFERROR(__xludf.DUMMYFUNCTION("""COMPUTED_VALUE"""),0.5)</f>
        <v>0.5</v>
      </c>
      <c r="S2162" s="4" t="str">
        <f>IFERROR(__xludf.DUMMYFUNCTION("""COMPUTED_VALUE"""),"Saipos Serviços De Software")</f>
        <v>Saipos Serviços De Software</v>
      </c>
      <c r="T2162" s="33">
        <f>IFERROR(__xludf.DUMMYFUNCTION("""COMPUTED_VALUE"""),0.5)</f>
        <v>0.5</v>
      </c>
      <c r="U2162" s="4" t="str">
        <f>IFERROR(__xludf.DUMMYFUNCTION("""COMPUTED_VALUE"""),"Glow")</f>
        <v>Glow</v>
      </c>
      <c r="V2162" s="33">
        <f>IFERROR(__xludf.DUMMYFUNCTION("""COMPUTED_VALUE"""),0.5)</f>
        <v>0.5</v>
      </c>
      <c r="W2162" s="4" t="str">
        <f>IFERROR(__xludf.DUMMYFUNCTION("""COMPUTED_VALUE"""),"Glow")</f>
        <v>Glow</v>
      </c>
      <c r="X2162" s="33">
        <f>IFERROR(__xludf.DUMMYFUNCTION("""COMPUTED_VALUE"""),0.5)</f>
        <v>0.5</v>
      </c>
    </row>
    <row r="2163">
      <c r="K2163" s="4" t="str">
        <f>IFERROR(__xludf.DUMMYFUNCTION("""COMPUTED_VALUE"""),"AU AU LANCHES")</f>
        <v>AU AU LANCHES</v>
      </c>
      <c r="L2163" s="32">
        <f>IFERROR(__xludf.DUMMYFUNCTION("""COMPUTED_VALUE"""),4.0)</f>
        <v>4</v>
      </c>
      <c r="M2163" s="4" t="str">
        <f>IFERROR(__xludf.DUMMYFUNCTION("""COMPUTED_VALUE"""),"Cloudfy")</f>
        <v>Cloudfy</v>
      </c>
      <c r="N2163" s="33">
        <f>IFERROR(__xludf.DUMMYFUNCTION("""COMPUTED_VALUE"""),1.0)</f>
        <v>1</v>
      </c>
      <c r="O2163" s="4" t="str">
        <f>IFERROR(__xludf.DUMMYFUNCTION("""COMPUTED_VALUE"""),"Cloudfy")</f>
        <v>Cloudfy</v>
      </c>
      <c r="P2163" s="33">
        <f>IFERROR(__xludf.DUMMYFUNCTION("""COMPUTED_VALUE"""),1.0)</f>
        <v>1</v>
      </c>
      <c r="Q2163" s="4" t="str">
        <f>IFERROR(__xludf.DUMMYFUNCTION("""COMPUTED_VALUE"""),"Cloudfy")</f>
        <v>Cloudfy</v>
      </c>
      <c r="R2163" s="33">
        <f>IFERROR(__xludf.DUMMYFUNCTION("""COMPUTED_VALUE"""),1.0)</f>
        <v>1</v>
      </c>
      <c r="S2163" s="4" t="str">
        <f>IFERROR(__xludf.DUMMYFUNCTION("""COMPUTED_VALUE"""),"Cloudfy")</f>
        <v>Cloudfy</v>
      </c>
      <c r="T2163" s="33">
        <f>IFERROR(__xludf.DUMMYFUNCTION("""COMPUTED_VALUE"""),1.0)</f>
        <v>1</v>
      </c>
      <c r="U2163" s="4" t="str">
        <f>IFERROR(__xludf.DUMMYFUNCTION("""COMPUTED_VALUE"""),"Cloudfy")</f>
        <v>Cloudfy</v>
      </c>
      <c r="V2163" s="33">
        <f>IFERROR(__xludf.DUMMYFUNCTION("""COMPUTED_VALUE"""),1.0)</f>
        <v>1</v>
      </c>
      <c r="W2163" s="4" t="str">
        <f>IFERROR(__xludf.DUMMYFUNCTION("""COMPUTED_VALUE"""),"Cloudfy")</f>
        <v>Cloudfy</v>
      </c>
      <c r="X2163" s="33">
        <f>IFERROR(__xludf.DUMMYFUNCTION("""COMPUTED_VALUE"""),1.0)</f>
        <v>1</v>
      </c>
    </row>
    <row r="2164">
      <c r="K2164" s="4" t="str">
        <f>IFERROR(__xludf.DUMMYFUNCTION("""COMPUTED_VALUE"""),"AYUMI LANCHES - LONDRINA")</f>
        <v>AYUMI LANCHES - LONDRINA</v>
      </c>
      <c r="L2164" s="32">
        <f>IFERROR(__xludf.DUMMYFUNCTION("""COMPUTED_VALUE"""),4.0)</f>
        <v>4</v>
      </c>
      <c r="M2164" s="4" t="str">
        <f>IFERROR(__xludf.DUMMYFUNCTION("""COMPUTED_VALUE"""),"Sagres Automação Comercial")</f>
        <v>Sagres Automação Comercial</v>
      </c>
      <c r="N2164" s="33">
        <f>IFERROR(__xludf.DUMMYFUNCTION("""COMPUTED_VALUE"""),1.0)</f>
        <v>1</v>
      </c>
      <c r="O2164" s="4" t="str">
        <f>IFERROR(__xludf.DUMMYFUNCTION("""COMPUTED_VALUE"""),"Sagres Automação Comercial")</f>
        <v>Sagres Automação Comercial</v>
      </c>
      <c r="P2164" s="33">
        <f>IFERROR(__xludf.DUMMYFUNCTION("""COMPUTED_VALUE"""),1.0)</f>
        <v>1</v>
      </c>
      <c r="Q2164" s="4" t="str">
        <f>IFERROR(__xludf.DUMMYFUNCTION("""COMPUTED_VALUE"""),"Sagres Automação Comercial")</f>
        <v>Sagres Automação Comercial</v>
      </c>
      <c r="R2164" s="33">
        <f>IFERROR(__xludf.DUMMYFUNCTION("""COMPUTED_VALUE"""),1.0)</f>
        <v>1</v>
      </c>
      <c r="S2164" s="4" t="str">
        <f>IFERROR(__xludf.DUMMYFUNCTION("""COMPUTED_VALUE"""),"Sagres Automação Comercial")</f>
        <v>Sagres Automação Comercial</v>
      </c>
      <c r="T2164" s="33">
        <f>IFERROR(__xludf.DUMMYFUNCTION("""COMPUTED_VALUE"""),0.75)</f>
        <v>0.75</v>
      </c>
      <c r="U2164" s="4" t="str">
        <f>IFERROR(__xludf.DUMMYFUNCTION("""COMPUTED_VALUE"""),"Sagres Automação Comercial")</f>
        <v>Sagres Automação Comercial</v>
      </c>
      <c r="V2164" s="33">
        <f>IFERROR(__xludf.DUMMYFUNCTION("""COMPUTED_VALUE"""),0.75)</f>
        <v>0.75</v>
      </c>
      <c r="W2164" s="4" t="str">
        <f>IFERROR(__xludf.DUMMYFUNCTION("""COMPUTED_VALUE"""),"Sagres Automação Comercial")</f>
        <v>Sagres Automação Comercial</v>
      </c>
      <c r="X2164" s="33">
        <f>IFERROR(__xludf.DUMMYFUNCTION("""COMPUTED_VALUE"""),1.0)</f>
        <v>1</v>
      </c>
    </row>
    <row r="2165">
      <c r="K2165" s="4" t="str">
        <f>IFERROR(__xludf.DUMMYFUNCTION("""COMPUTED_VALUE"""),"AZU - GRUPO")</f>
        <v>AZU - GRUPO</v>
      </c>
      <c r="L2165" s="32">
        <f>IFERROR(__xludf.DUMMYFUNCTION("""COMPUTED_VALUE"""),4.0)</f>
        <v>4</v>
      </c>
      <c r="M2165" s="4" t="str">
        <f>IFERROR(__xludf.DUMMYFUNCTION("""COMPUTED_VALUE"""),"Gula.menu Tecnologia Ltda.")</f>
        <v>Gula.menu Tecnologia Ltda.</v>
      </c>
      <c r="N2165" s="33">
        <f>IFERROR(__xludf.DUMMYFUNCTION("""COMPUTED_VALUE"""),0.75)</f>
        <v>0.75</v>
      </c>
      <c r="O2165" s="4" t="str">
        <f>IFERROR(__xludf.DUMMYFUNCTION("""COMPUTED_VALUE"""),"Gula.menu Tecnologia Ltda.")</f>
        <v>Gula.menu Tecnologia Ltda.</v>
      </c>
      <c r="P2165" s="33">
        <f>IFERROR(__xludf.DUMMYFUNCTION("""COMPUTED_VALUE"""),0.75)</f>
        <v>0.75</v>
      </c>
      <c r="Q2165" s="4" t="str">
        <f>IFERROR(__xludf.DUMMYFUNCTION("""COMPUTED_VALUE"""),"Gula.menu Tecnologia Ltda.")</f>
        <v>Gula.menu Tecnologia Ltda.</v>
      </c>
      <c r="R2165" s="33">
        <f>IFERROR(__xludf.DUMMYFUNCTION("""COMPUTED_VALUE"""),1.0)</f>
        <v>1</v>
      </c>
      <c r="S2165" s="4" t="str">
        <f>IFERROR(__xludf.DUMMYFUNCTION("""COMPUTED_VALUE"""),"Gula.menu Tecnologia Ltda.")</f>
        <v>Gula.menu Tecnologia Ltda.</v>
      </c>
      <c r="T2165" s="33">
        <f>IFERROR(__xludf.DUMMYFUNCTION("""COMPUTED_VALUE"""),1.0)</f>
        <v>1</v>
      </c>
      <c r="U2165" s="4" t="str">
        <f>IFERROR(__xludf.DUMMYFUNCTION("""COMPUTED_VALUE"""),"Gula.menu Tecnologia Ltda.")</f>
        <v>Gula.menu Tecnologia Ltda.</v>
      </c>
      <c r="V2165" s="33">
        <f>IFERROR(__xludf.DUMMYFUNCTION("""COMPUTED_VALUE"""),1.0)</f>
        <v>1</v>
      </c>
      <c r="W2165" s="4" t="str">
        <f>IFERROR(__xludf.DUMMYFUNCTION("""COMPUTED_VALUE"""),"Gula.menu Tecnologia Ltda.")</f>
        <v>Gula.menu Tecnologia Ltda.</v>
      </c>
      <c r="X2165" s="33">
        <f>IFERROR(__xludf.DUMMYFUNCTION("""COMPUTED_VALUE"""),1.0)</f>
        <v>1</v>
      </c>
    </row>
    <row r="2166">
      <c r="K2166" s="4" t="str">
        <f>IFERROR(__xludf.DUMMYFUNCTION("""COMPUTED_VALUE"""),"BABBO PIZZARIA")</f>
        <v>BABBO PIZZARIA</v>
      </c>
      <c r="L2166" s="32">
        <f>IFERROR(__xludf.DUMMYFUNCTION("""COMPUTED_VALUE"""),4.0)</f>
        <v>4</v>
      </c>
      <c r="M2166" s="4" t="str">
        <f>IFERROR(__xludf.DUMMYFUNCTION("""COMPUTED_VALUE"""),"Latech Informatica Ltda")</f>
        <v>Latech Informatica Ltda</v>
      </c>
      <c r="N2166" s="33">
        <f>IFERROR(__xludf.DUMMYFUNCTION("""COMPUTED_VALUE"""),1.0)</f>
        <v>1</v>
      </c>
      <c r="O2166" s="4" t="str">
        <f>IFERROR(__xludf.DUMMYFUNCTION("""COMPUTED_VALUE"""),"Latech Informatica Ltda")</f>
        <v>Latech Informatica Ltda</v>
      </c>
      <c r="P2166" s="33">
        <f>IFERROR(__xludf.DUMMYFUNCTION("""COMPUTED_VALUE"""),1.0)</f>
        <v>1</v>
      </c>
      <c r="Q2166" s="4" t="str">
        <f>IFERROR(__xludf.DUMMYFUNCTION("""COMPUTED_VALUE"""),"Latech Informatica Ltda")</f>
        <v>Latech Informatica Ltda</v>
      </c>
      <c r="R2166" s="33">
        <f>IFERROR(__xludf.DUMMYFUNCTION("""COMPUTED_VALUE"""),1.0)</f>
        <v>1</v>
      </c>
      <c r="S2166" s="4" t="str">
        <f>IFERROR(__xludf.DUMMYFUNCTION("""COMPUTED_VALUE"""),"Latech Informatica Ltda")</f>
        <v>Latech Informatica Ltda</v>
      </c>
      <c r="T2166" s="33">
        <f>IFERROR(__xludf.DUMMYFUNCTION("""COMPUTED_VALUE"""),1.0)</f>
        <v>1</v>
      </c>
      <c r="U2166" s="4" t="str">
        <f>IFERROR(__xludf.DUMMYFUNCTION("""COMPUTED_VALUE"""),"Latech Informatica Ltda")</f>
        <v>Latech Informatica Ltda</v>
      </c>
      <c r="V2166" s="33">
        <f>IFERROR(__xludf.DUMMYFUNCTION("""COMPUTED_VALUE"""),1.0)</f>
        <v>1</v>
      </c>
      <c r="W2166" s="4" t="str">
        <f>IFERROR(__xludf.DUMMYFUNCTION("""COMPUTED_VALUE"""),"Latech Informatica Ltda")</f>
        <v>Latech Informatica Ltda</v>
      </c>
      <c r="X2166" s="33">
        <f>IFERROR(__xludf.DUMMYFUNCTION("""COMPUTED_VALUE"""),1.0)</f>
        <v>1</v>
      </c>
    </row>
    <row r="2167">
      <c r="K2167" s="4" t="str">
        <f>IFERROR(__xludf.DUMMYFUNCTION("""COMPUTED_VALUE"""),"BACHIR LEBANESE ICE CREAM - CONTA MARCA")</f>
        <v>BACHIR LEBANESE ICE CREAM - CONTA MARCA</v>
      </c>
      <c r="L2167" s="32">
        <f>IFERROR(__xludf.DUMMYFUNCTION("""COMPUTED_VALUE"""),4.0)</f>
        <v>4</v>
      </c>
      <c r="M2167" s="4" t="str">
        <f>IFERROR(__xludf.DUMMYFUNCTION("""COMPUTED_VALUE"""),"Eclética Tecnologia")</f>
        <v>Eclética Tecnologia</v>
      </c>
      <c r="N2167" s="33">
        <f>IFERROR(__xludf.DUMMYFUNCTION("""COMPUTED_VALUE"""),0.75)</f>
        <v>0.75</v>
      </c>
      <c r="O2167" s="4" t="str">
        <f>IFERROR(__xludf.DUMMYFUNCTION("""COMPUTED_VALUE"""),"Eclética Tecnologia")</f>
        <v>Eclética Tecnologia</v>
      </c>
      <c r="P2167" s="33">
        <f>IFERROR(__xludf.DUMMYFUNCTION("""COMPUTED_VALUE"""),1.0)</f>
        <v>1</v>
      </c>
      <c r="Q2167" s="4" t="str">
        <f>IFERROR(__xludf.DUMMYFUNCTION("""COMPUTED_VALUE"""),"Eclética Tecnologia")</f>
        <v>Eclética Tecnologia</v>
      </c>
      <c r="R2167" s="33">
        <f>IFERROR(__xludf.DUMMYFUNCTION("""COMPUTED_VALUE"""),1.0)</f>
        <v>1</v>
      </c>
      <c r="S2167" s="4" t="str">
        <f>IFERROR(__xludf.DUMMYFUNCTION("""COMPUTED_VALUE"""),"Eclética Tecnologia")</f>
        <v>Eclética Tecnologia</v>
      </c>
      <c r="T2167" s="33">
        <f>IFERROR(__xludf.DUMMYFUNCTION("""COMPUTED_VALUE"""),0.75)</f>
        <v>0.75</v>
      </c>
      <c r="U2167" s="4" t="str">
        <f>IFERROR(__xludf.DUMMYFUNCTION("""COMPUTED_VALUE"""),"Eclética Tecnologia")</f>
        <v>Eclética Tecnologia</v>
      </c>
      <c r="V2167" s="33">
        <f>IFERROR(__xludf.DUMMYFUNCTION("""COMPUTED_VALUE"""),0.75)</f>
        <v>0.75</v>
      </c>
      <c r="W2167" s="4" t="str">
        <f>IFERROR(__xludf.DUMMYFUNCTION("""COMPUTED_VALUE"""),"null")</f>
        <v>null</v>
      </c>
      <c r="X2167" s="33">
        <f>IFERROR(__xludf.DUMMYFUNCTION("""COMPUTED_VALUE"""),0.5)</f>
        <v>0.5</v>
      </c>
    </row>
    <row r="2168">
      <c r="K2168" s="4" t="str">
        <f>IFERROR(__xludf.DUMMYFUNCTION("""COMPUTED_VALUE"""),"BACON PARADISE DELIVERY")</f>
        <v>BACON PARADISE DELIVERY</v>
      </c>
      <c r="L2168" s="32">
        <f>IFERROR(__xludf.DUMMYFUNCTION("""COMPUTED_VALUE"""),4.0)</f>
        <v>4</v>
      </c>
      <c r="M2168" s="4" t="str">
        <f>IFERROR(__xludf.DUMMYFUNCTION("""COMPUTED_VALUE"""),"Saipos Serviços De Software")</f>
        <v>Saipos Serviços De Software</v>
      </c>
      <c r="N2168" s="33">
        <f>IFERROR(__xludf.DUMMYFUNCTION("""COMPUTED_VALUE"""),1.0)</f>
        <v>1</v>
      </c>
      <c r="O2168" s="4" t="str">
        <f>IFERROR(__xludf.DUMMYFUNCTION("""COMPUTED_VALUE"""),"Saipos Serviços De Software")</f>
        <v>Saipos Serviços De Software</v>
      </c>
      <c r="P2168" s="33">
        <f>IFERROR(__xludf.DUMMYFUNCTION("""COMPUTED_VALUE"""),1.0)</f>
        <v>1</v>
      </c>
      <c r="Q2168" s="4" t="str">
        <f>IFERROR(__xludf.DUMMYFUNCTION("""COMPUTED_VALUE"""),"Saipos Serviços De Software")</f>
        <v>Saipos Serviços De Software</v>
      </c>
      <c r="R2168" s="33">
        <f>IFERROR(__xludf.DUMMYFUNCTION("""COMPUTED_VALUE"""),1.0)</f>
        <v>1</v>
      </c>
      <c r="S2168" s="4" t="str">
        <f>IFERROR(__xludf.DUMMYFUNCTION("""COMPUTED_VALUE"""),"Saipos Serviços De Software")</f>
        <v>Saipos Serviços De Software</v>
      </c>
      <c r="T2168" s="33">
        <f>IFERROR(__xludf.DUMMYFUNCTION("""COMPUTED_VALUE"""),0.75)</f>
        <v>0.75</v>
      </c>
      <c r="U2168" s="4" t="str">
        <f>IFERROR(__xludf.DUMMYFUNCTION("""COMPUTED_VALUE"""),"Saipos Serviços De Software")</f>
        <v>Saipos Serviços De Software</v>
      </c>
      <c r="V2168" s="33">
        <f>IFERROR(__xludf.DUMMYFUNCTION("""COMPUTED_VALUE"""),0.75)</f>
        <v>0.75</v>
      </c>
      <c r="W2168" s="4" t="str">
        <f>IFERROR(__xludf.DUMMYFUNCTION("""COMPUTED_VALUE"""),"Saipos Serviços De Software")</f>
        <v>Saipos Serviços De Software</v>
      </c>
      <c r="X2168" s="33">
        <f>IFERROR(__xludf.DUMMYFUNCTION("""COMPUTED_VALUE"""),0.75)</f>
        <v>0.75</v>
      </c>
    </row>
    <row r="2169">
      <c r="K2169" s="4" t="str">
        <f>IFERROR(__xludf.DUMMYFUNCTION("""COMPUTED_VALUE"""),"BADAUE")</f>
        <v>BADAUE</v>
      </c>
      <c r="L2169" s="32">
        <f>IFERROR(__xludf.DUMMYFUNCTION("""COMPUTED_VALUE"""),4.0)</f>
        <v>4</v>
      </c>
      <c r="M2169" s="4" t="str">
        <f>IFERROR(__xludf.DUMMYFUNCTION("""COMPUTED_VALUE"""),"Linked Gourmet Solucoes Para Restaurantes S.a")</f>
        <v>Linked Gourmet Solucoes Para Restaurantes S.a</v>
      </c>
      <c r="N2169" s="33">
        <f>IFERROR(__xludf.DUMMYFUNCTION("""COMPUTED_VALUE"""),1.0)</f>
        <v>1</v>
      </c>
      <c r="O2169" s="4" t="str">
        <f>IFERROR(__xludf.DUMMYFUNCTION("""COMPUTED_VALUE"""),"Linked Gourmet Solucoes Para Restaurantes S.a")</f>
        <v>Linked Gourmet Solucoes Para Restaurantes S.a</v>
      </c>
      <c r="P2169" s="33">
        <f>IFERROR(__xludf.DUMMYFUNCTION("""COMPUTED_VALUE"""),1.0)</f>
        <v>1</v>
      </c>
      <c r="Q2169" s="4" t="str">
        <f>IFERROR(__xludf.DUMMYFUNCTION("""COMPUTED_VALUE"""),"Linked Gourmet Solucoes Para Restaurantes S.a")</f>
        <v>Linked Gourmet Solucoes Para Restaurantes S.a</v>
      </c>
      <c r="R2169" s="33">
        <f>IFERROR(__xludf.DUMMYFUNCTION("""COMPUTED_VALUE"""),0.75)</f>
        <v>0.75</v>
      </c>
      <c r="S2169" s="4" t="str">
        <f>IFERROR(__xludf.DUMMYFUNCTION("""COMPUTED_VALUE"""),"Linked Gourmet Solucoes Para Restaurantes S.a")</f>
        <v>Linked Gourmet Solucoes Para Restaurantes S.a</v>
      </c>
      <c r="T2169" s="33">
        <f>IFERROR(__xludf.DUMMYFUNCTION("""COMPUTED_VALUE"""),0.75)</f>
        <v>0.75</v>
      </c>
      <c r="U2169" s="4" t="str">
        <f>IFERROR(__xludf.DUMMYFUNCTION("""COMPUTED_VALUE"""),"Linked Gourmet Solucoes Para Restaurantes S.a")</f>
        <v>Linked Gourmet Solucoes Para Restaurantes S.a</v>
      </c>
      <c r="V2169" s="33">
        <f>IFERROR(__xludf.DUMMYFUNCTION("""COMPUTED_VALUE"""),0.75)</f>
        <v>0.75</v>
      </c>
      <c r="W2169" s="4" t="str">
        <f>IFERROR(__xludf.DUMMYFUNCTION("""COMPUTED_VALUE"""),"null")</f>
        <v>null</v>
      </c>
      <c r="X2169" s="33">
        <f>IFERROR(__xludf.DUMMYFUNCTION("""COMPUTED_VALUE"""),1.0)</f>
        <v>1</v>
      </c>
    </row>
    <row r="2170">
      <c r="K2170" s="4" t="str">
        <f>IFERROR(__xludf.DUMMYFUNCTION("""COMPUTED_VALUE"""),"BANRI")</f>
        <v>BANRI</v>
      </c>
      <c r="L2170" s="32">
        <f>IFERROR(__xludf.DUMMYFUNCTION("""COMPUTED_VALUE"""),4.0)</f>
        <v>4</v>
      </c>
      <c r="M2170" s="4" t="str">
        <f>IFERROR(__xludf.DUMMYFUNCTION("""COMPUTED_VALUE"""),"Hubster")</f>
        <v>Hubster</v>
      </c>
      <c r="N2170" s="33">
        <f>IFERROR(__xludf.DUMMYFUNCTION("""COMPUTED_VALUE"""),0.5)</f>
        <v>0.5</v>
      </c>
      <c r="O2170" s="4" t="str">
        <f>IFERROR(__xludf.DUMMYFUNCTION("""COMPUTED_VALUE"""),"Eclética Tecnologia")</f>
        <v>Eclética Tecnologia</v>
      </c>
      <c r="P2170" s="33">
        <f>IFERROR(__xludf.DUMMYFUNCTION("""COMPUTED_VALUE"""),0.5)</f>
        <v>0.5</v>
      </c>
      <c r="Q2170" s="4" t="str">
        <f>IFERROR(__xludf.DUMMYFUNCTION("""COMPUTED_VALUE"""),"Eclética Tecnologia")</f>
        <v>Eclética Tecnologia</v>
      </c>
      <c r="R2170" s="33">
        <f>IFERROR(__xludf.DUMMYFUNCTION("""COMPUTED_VALUE"""),0.5)</f>
        <v>0.5</v>
      </c>
      <c r="S2170" s="4" t="str">
        <f>IFERROR(__xludf.DUMMYFUNCTION("""COMPUTED_VALUE"""),"Eclética Tecnologia")</f>
        <v>Eclética Tecnologia</v>
      </c>
      <c r="T2170" s="33">
        <f>IFERROR(__xludf.DUMMYFUNCTION("""COMPUTED_VALUE"""),0.75)</f>
        <v>0.75</v>
      </c>
      <c r="U2170" s="4" t="str">
        <f>IFERROR(__xludf.DUMMYFUNCTION("""COMPUTED_VALUE"""),"Eclética Tecnologia")</f>
        <v>Eclética Tecnologia</v>
      </c>
      <c r="V2170" s="33">
        <f>IFERROR(__xludf.DUMMYFUNCTION("""COMPUTED_VALUE"""),0.75)</f>
        <v>0.75</v>
      </c>
      <c r="W2170" s="4" t="str">
        <f>IFERROR(__xludf.DUMMYFUNCTION("""COMPUTED_VALUE"""),"Eclética Tecnologia")</f>
        <v>Eclética Tecnologia</v>
      </c>
      <c r="X2170" s="33">
        <f>IFERROR(__xludf.DUMMYFUNCTION("""COMPUTED_VALUE"""),0.75)</f>
        <v>0.75</v>
      </c>
    </row>
    <row r="2171">
      <c r="K2171" s="4" t="str">
        <f>IFERROR(__xludf.DUMMYFUNCTION("""COMPUTED_VALUE"""),"BAOZI ASIAN STREET FOOD - CONTA MARCA")</f>
        <v>BAOZI ASIAN STREET FOOD - CONTA MARCA</v>
      </c>
      <c r="L2171" s="32">
        <f>IFERROR(__xludf.DUMMYFUNCTION("""COMPUTED_VALUE"""),4.0)</f>
        <v>4</v>
      </c>
      <c r="M2171" s="4" t="str">
        <f>IFERROR(__xludf.DUMMYFUNCTION("""COMPUTED_VALUE"""),"Lexsis Sistemas")</f>
        <v>Lexsis Sistemas</v>
      </c>
      <c r="N2171" s="33">
        <f>IFERROR(__xludf.DUMMYFUNCTION("""COMPUTED_VALUE"""),1.0)</f>
        <v>1</v>
      </c>
      <c r="O2171" s="4" t="str">
        <f>IFERROR(__xludf.DUMMYFUNCTION("""COMPUTED_VALUE"""),"Lexsis Sistemas")</f>
        <v>Lexsis Sistemas</v>
      </c>
      <c r="P2171" s="33">
        <f>IFERROR(__xludf.DUMMYFUNCTION("""COMPUTED_VALUE"""),1.0)</f>
        <v>1</v>
      </c>
      <c r="Q2171" s="4" t="str">
        <f>IFERROR(__xludf.DUMMYFUNCTION("""COMPUTED_VALUE"""),"Lexsis Sistemas")</f>
        <v>Lexsis Sistemas</v>
      </c>
      <c r="R2171" s="33">
        <f>IFERROR(__xludf.DUMMYFUNCTION("""COMPUTED_VALUE"""),1.0)</f>
        <v>1</v>
      </c>
      <c r="S2171" s="4" t="str">
        <f>IFERROR(__xludf.DUMMYFUNCTION("""COMPUTED_VALUE"""),"null")</f>
        <v>null</v>
      </c>
      <c r="T2171" s="33">
        <f>IFERROR(__xludf.DUMMYFUNCTION("""COMPUTED_VALUE"""),0.75)</f>
        <v>0.75</v>
      </c>
      <c r="U2171" s="4" t="str">
        <f>IFERROR(__xludf.DUMMYFUNCTION("""COMPUTED_VALUE"""),"null")</f>
        <v>null</v>
      </c>
      <c r="V2171" s="33">
        <f>IFERROR(__xludf.DUMMYFUNCTION("""COMPUTED_VALUE"""),0.75)</f>
        <v>0.75</v>
      </c>
      <c r="W2171" s="4" t="str">
        <f>IFERROR(__xludf.DUMMYFUNCTION("""COMPUTED_VALUE"""),"null")</f>
        <v>null</v>
      </c>
      <c r="X2171" s="33">
        <f>IFERROR(__xludf.DUMMYFUNCTION("""COMPUTED_VALUE"""),0.75)</f>
        <v>0.75</v>
      </c>
    </row>
    <row r="2172">
      <c r="K2172" s="4" t="str">
        <f>IFERROR(__xludf.DUMMYFUNCTION("""COMPUTED_VALUE"""),"BARBOSA RIBS COSTELARIA")</f>
        <v>BARBOSA RIBS COSTELARIA</v>
      </c>
      <c r="L2172" s="32">
        <f>IFERROR(__xludf.DUMMYFUNCTION("""COMPUTED_VALUE"""),4.0)</f>
        <v>4</v>
      </c>
      <c r="M2172" s="4" t="str">
        <f>IFERROR(__xludf.DUMMYFUNCTION("""COMPUTED_VALUE"""),"Solução Sistemas")</f>
        <v>Solução Sistemas</v>
      </c>
      <c r="N2172" s="33">
        <f>IFERROR(__xludf.DUMMYFUNCTION("""COMPUTED_VALUE"""),0.75)</f>
        <v>0.75</v>
      </c>
      <c r="O2172" s="4" t="str">
        <f>IFERROR(__xludf.DUMMYFUNCTION("""COMPUTED_VALUE"""),"null")</f>
        <v>null</v>
      </c>
      <c r="P2172" s="33">
        <f>IFERROR(__xludf.DUMMYFUNCTION("""COMPUTED_VALUE"""),0.5)</f>
        <v>0.5</v>
      </c>
      <c r="Q2172" s="4" t="str">
        <f>IFERROR(__xludf.DUMMYFUNCTION("""COMPUTED_VALUE"""),"null")</f>
        <v>null</v>
      </c>
      <c r="R2172" s="33">
        <f>IFERROR(__xludf.DUMMYFUNCTION("""COMPUTED_VALUE"""),0.5)</f>
        <v>0.5</v>
      </c>
      <c r="S2172" s="4" t="str">
        <f>IFERROR(__xludf.DUMMYFUNCTION("""COMPUTED_VALUE"""),"Solução Sistemas")</f>
        <v>Solução Sistemas</v>
      </c>
      <c r="T2172" s="33">
        <f>IFERROR(__xludf.DUMMYFUNCTION("""COMPUTED_VALUE"""),0.5)</f>
        <v>0.5</v>
      </c>
      <c r="U2172" s="4" t="str">
        <f>IFERROR(__xludf.DUMMYFUNCTION("""COMPUTED_VALUE"""),"null")</f>
        <v>null</v>
      </c>
      <c r="V2172" s="33">
        <f>IFERROR(__xludf.DUMMYFUNCTION("""COMPUTED_VALUE"""),0.5)</f>
        <v>0.5</v>
      </c>
      <c r="W2172" s="4" t="str">
        <f>IFERROR(__xludf.DUMMYFUNCTION("""COMPUTED_VALUE"""),"null")</f>
        <v>null</v>
      </c>
      <c r="X2172" s="33">
        <f>IFERROR(__xludf.DUMMYFUNCTION("""COMPUTED_VALUE"""),0.75)</f>
        <v>0.75</v>
      </c>
    </row>
    <row r="2173">
      <c r="K2173" s="4" t="str">
        <f>IFERROR(__xludf.DUMMYFUNCTION("""COMPUTED_VALUE"""),"BARLEYS CONTA PAI")</f>
        <v>BARLEYS CONTA PAI</v>
      </c>
      <c r="L2173" s="32">
        <f>IFERROR(__xludf.DUMMYFUNCTION("""COMPUTED_VALUE"""),4.0)</f>
        <v>4</v>
      </c>
      <c r="M2173" s="4" t="str">
        <f>IFERROR(__xludf.DUMMYFUNCTION("""COMPUTED_VALUE"""),"Connectplug")</f>
        <v>Connectplug</v>
      </c>
      <c r="N2173" s="33">
        <f>IFERROR(__xludf.DUMMYFUNCTION("""COMPUTED_VALUE"""),0.75)</f>
        <v>0.75</v>
      </c>
      <c r="O2173" s="4" t="str">
        <f>IFERROR(__xludf.DUMMYFUNCTION("""COMPUTED_VALUE"""),"Connectplug")</f>
        <v>Connectplug</v>
      </c>
      <c r="P2173" s="33">
        <f>IFERROR(__xludf.DUMMYFUNCTION("""COMPUTED_VALUE"""),0.75)</f>
        <v>0.75</v>
      </c>
      <c r="Q2173" s="4" t="str">
        <f>IFERROR(__xludf.DUMMYFUNCTION("""COMPUTED_VALUE"""),"Connectplug")</f>
        <v>Connectplug</v>
      </c>
      <c r="R2173" s="33">
        <f>IFERROR(__xludf.DUMMYFUNCTION("""COMPUTED_VALUE"""),0.75)</f>
        <v>0.75</v>
      </c>
      <c r="S2173" s="4" t="str">
        <f>IFERROR(__xludf.DUMMYFUNCTION("""COMPUTED_VALUE"""),"Connectplug")</f>
        <v>Connectplug</v>
      </c>
      <c r="T2173" s="33">
        <f>IFERROR(__xludf.DUMMYFUNCTION("""COMPUTED_VALUE"""),0.75)</f>
        <v>0.75</v>
      </c>
      <c r="U2173" s="4" t="str">
        <f>IFERROR(__xludf.DUMMYFUNCTION("""COMPUTED_VALUE"""),"Connectplug")</f>
        <v>Connectplug</v>
      </c>
      <c r="V2173" s="33">
        <f>IFERROR(__xludf.DUMMYFUNCTION("""COMPUTED_VALUE"""),0.75)</f>
        <v>0.75</v>
      </c>
      <c r="W2173" s="4" t="str">
        <f>IFERROR(__xludf.DUMMYFUNCTION("""COMPUTED_VALUE"""),"Connectplug")</f>
        <v>Connectplug</v>
      </c>
      <c r="X2173" s="33">
        <f>IFERROR(__xludf.DUMMYFUNCTION("""COMPUTED_VALUE"""),0.75)</f>
        <v>0.75</v>
      </c>
    </row>
    <row r="2174">
      <c r="K2174" s="4" t="str">
        <f>IFERROR(__xludf.DUMMYFUNCTION("""COMPUTED_VALUE"""),"BELLUNO BURGER - CONTA PAI")</f>
        <v>BELLUNO BURGER - CONTA PAI</v>
      </c>
      <c r="L2174" s="32">
        <f>IFERROR(__xludf.DUMMYFUNCTION("""COMPUTED_VALUE"""),4.0)</f>
        <v>4</v>
      </c>
      <c r="M2174" s="4" t="str">
        <f>IFERROR(__xludf.DUMMYFUNCTION("""COMPUTED_VALUE"""),"Cardápio Web")</f>
        <v>Cardápio Web</v>
      </c>
      <c r="N2174" s="33">
        <f>IFERROR(__xludf.DUMMYFUNCTION("""COMPUTED_VALUE"""),1.0)</f>
        <v>1</v>
      </c>
      <c r="O2174" s="4" t="str">
        <f>IFERROR(__xludf.DUMMYFUNCTION("""COMPUTED_VALUE"""),"Cardápio Web")</f>
        <v>Cardápio Web</v>
      </c>
      <c r="P2174" s="33">
        <f>IFERROR(__xludf.DUMMYFUNCTION("""COMPUTED_VALUE"""),0.75)</f>
        <v>0.75</v>
      </c>
      <c r="Q2174" s="4" t="str">
        <f>IFERROR(__xludf.DUMMYFUNCTION("""COMPUTED_VALUE"""),"Cardápio Web")</f>
        <v>Cardápio Web</v>
      </c>
      <c r="R2174" s="33">
        <f>IFERROR(__xludf.DUMMYFUNCTION("""COMPUTED_VALUE"""),0.75)</f>
        <v>0.75</v>
      </c>
      <c r="S2174" s="4" t="str">
        <f>IFERROR(__xludf.DUMMYFUNCTION("""COMPUTED_VALUE"""),"Cardápio Web")</f>
        <v>Cardápio Web</v>
      </c>
      <c r="T2174" s="33">
        <f>IFERROR(__xludf.DUMMYFUNCTION("""COMPUTED_VALUE"""),0.75)</f>
        <v>0.75</v>
      </c>
      <c r="U2174" s="4" t="str">
        <f>IFERROR(__xludf.DUMMYFUNCTION("""COMPUTED_VALUE"""),"Cardápio Web")</f>
        <v>Cardápio Web</v>
      </c>
      <c r="V2174" s="33">
        <f>IFERROR(__xludf.DUMMYFUNCTION("""COMPUTED_VALUE"""),0.75)</f>
        <v>0.75</v>
      </c>
      <c r="W2174" s="4" t="str">
        <f>IFERROR(__xludf.DUMMYFUNCTION("""COMPUTED_VALUE"""),"Cardápio Web")</f>
        <v>Cardápio Web</v>
      </c>
      <c r="X2174" s="33">
        <f>IFERROR(__xludf.DUMMYFUNCTION("""COMPUTED_VALUE"""),0.75)</f>
        <v>0.75</v>
      </c>
    </row>
    <row r="2175">
      <c r="K2175" s="4" t="str">
        <f>IFERROR(__xludf.DUMMYFUNCTION("""COMPUTED_VALUE"""),"BEM TE FAZ FARMACIAS - CONTA PAI")</f>
        <v>BEM TE FAZ FARMACIAS - CONTA PAI</v>
      </c>
      <c r="L2175" s="32">
        <f>IFERROR(__xludf.DUMMYFUNCTION("""COMPUTED_VALUE"""),4.0)</f>
        <v>4</v>
      </c>
      <c r="M2175" s="4" t="str">
        <f>IFERROR(__xludf.DUMMYFUNCTION("""COMPUTED_VALUE"""),"null")</f>
        <v>null</v>
      </c>
      <c r="N2175" s="33">
        <f>IFERROR(__xludf.DUMMYFUNCTION("""COMPUTED_VALUE"""),0.75)</f>
        <v>0.75</v>
      </c>
      <c r="O2175" s="4" t="str">
        <f>IFERROR(__xludf.DUMMYFUNCTION("""COMPUTED_VALUE"""),"null")</f>
        <v>null</v>
      </c>
      <c r="P2175" s="33">
        <f>IFERROR(__xludf.DUMMYFUNCTION("""COMPUTED_VALUE"""),0.75)</f>
        <v>0.75</v>
      </c>
      <c r="Q2175" s="4" t="str">
        <f>IFERROR(__xludf.DUMMYFUNCTION("""COMPUTED_VALUE"""),"null")</f>
        <v>null</v>
      </c>
      <c r="R2175" s="33">
        <f>IFERROR(__xludf.DUMMYFUNCTION("""COMPUTED_VALUE"""),0.75)</f>
        <v>0.75</v>
      </c>
      <c r="S2175" s="4" t="str">
        <f>IFERROR(__xludf.DUMMYFUNCTION("""COMPUTED_VALUE"""),"N/A (Not found)")</f>
        <v>N/A (Not found)</v>
      </c>
      <c r="T2175" s="33">
        <f>IFERROR(__xludf.DUMMYFUNCTION("""COMPUTED_VALUE"""),0.75)</f>
        <v>0.75</v>
      </c>
      <c r="U2175" s="4" t="str">
        <f>IFERROR(__xludf.DUMMYFUNCTION("""COMPUTED_VALUE"""),"N/A (Not found)")</f>
        <v>N/A (Not found)</v>
      </c>
      <c r="V2175" s="33">
        <f>IFERROR(__xludf.DUMMYFUNCTION("""COMPUTED_VALUE"""),0.75)</f>
        <v>0.75</v>
      </c>
      <c r="W2175" s="4" t="str">
        <f>IFERROR(__xludf.DUMMYFUNCTION("""COMPUTED_VALUE"""),"N/A (Not found)")</f>
        <v>N/A (Not found)</v>
      </c>
      <c r="X2175" s="33">
        <f>IFERROR(__xludf.DUMMYFUNCTION("""COMPUTED_VALUE"""),1.0)</f>
        <v>1</v>
      </c>
    </row>
    <row r="2176">
      <c r="K2176" s="4" t="str">
        <f>IFERROR(__xludf.DUMMYFUNCTION("""COMPUTED_VALUE"""),"BEMDITO BURGER")</f>
        <v>BEMDITO BURGER</v>
      </c>
      <c r="L2176" s="32">
        <f>IFERROR(__xludf.DUMMYFUNCTION("""COMPUTED_VALUE"""),4.0)</f>
        <v>4</v>
      </c>
      <c r="M2176" s="4" t="str">
        <f>IFERROR(__xludf.DUMMYFUNCTION("""COMPUTED_VALUE"""),"Anota Ai Solucoes Digitais S/a")</f>
        <v>Anota Ai Solucoes Digitais S/a</v>
      </c>
      <c r="N2176" s="33">
        <f>IFERROR(__xludf.DUMMYFUNCTION("""COMPUTED_VALUE"""),0.5)</f>
        <v>0.5</v>
      </c>
      <c r="O2176" s="4" t="str">
        <f>IFERROR(__xludf.DUMMYFUNCTION("""COMPUTED_VALUE"""),"Anota Ai Solucoes Digitais S/a")</f>
        <v>Anota Ai Solucoes Digitais S/a</v>
      </c>
      <c r="P2176" s="33">
        <f>IFERROR(__xludf.DUMMYFUNCTION("""COMPUTED_VALUE"""),0.5)</f>
        <v>0.5</v>
      </c>
      <c r="Q2176" s="4" t="str">
        <f>IFERROR(__xludf.DUMMYFUNCTION("""COMPUTED_VALUE"""),"Anota Ai Solucoes Digitais S/a")</f>
        <v>Anota Ai Solucoes Digitais S/a</v>
      </c>
      <c r="R2176" s="33">
        <f>IFERROR(__xludf.DUMMYFUNCTION("""COMPUTED_VALUE"""),0.5)</f>
        <v>0.5</v>
      </c>
      <c r="S2176" s="4" t="str">
        <f>IFERROR(__xludf.DUMMYFUNCTION("""COMPUTED_VALUE"""),"Anota Ai Solucoes Digitais S/a")</f>
        <v>Anota Ai Solucoes Digitais S/a</v>
      </c>
      <c r="T2176" s="33">
        <f>IFERROR(__xludf.DUMMYFUNCTION("""COMPUTED_VALUE"""),0.5)</f>
        <v>0.5</v>
      </c>
      <c r="U2176" s="4" t="str">
        <f>IFERROR(__xludf.DUMMYFUNCTION("""COMPUTED_VALUE"""),"Anota Ai Solucoes Digitais S/a")</f>
        <v>Anota Ai Solucoes Digitais S/a</v>
      </c>
      <c r="V2176" s="33">
        <f>IFERROR(__xludf.DUMMYFUNCTION("""COMPUTED_VALUE"""),0.5)</f>
        <v>0.5</v>
      </c>
      <c r="W2176" s="4" t="str">
        <f>IFERROR(__xludf.DUMMYFUNCTION("""COMPUTED_VALUE"""),"Anota Ai Solucoes Digitais S/a")</f>
        <v>Anota Ai Solucoes Digitais S/a</v>
      </c>
      <c r="X2176" s="33">
        <f>IFERROR(__xludf.DUMMYFUNCTION("""COMPUTED_VALUE"""),0.5)</f>
        <v>0.5</v>
      </c>
    </row>
    <row r="2177">
      <c r="K2177" s="4" t="str">
        <f>IFERROR(__xludf.DUMMYFUNCTION("""COMPUTED_VALUE"""),"BEMDOG - SC")</f>
        <v>BEMDOG - SC</v>
      </c>
      <c r="L2177" s="32">
        <f>IFERROR(__xludf.DUMMYFUNCTION("""COMPUTED_VALUE"""),4.0)</f>
        <v>4</v>
      </c>
      <c r="M2177" s="4" t="str">
        <f>IFERROR(__xludf.DUMMYFUNCTION("""COMPUTED_VALUE"""),"Cityfoods Ltda")</f>
        <v>Cityfoods Ltda</v>
      </c>
      <c r="N2177" s="33">
        <f>IFERROR(__xludf.DUMMYFUNCTION("""COMPUTED_VALUE"""),0.75)</f>
        <v>0.75</v>
      </c>
      <c r="O2177" s="4" t="str">
        <f>IFERROR(__xludf.DUMMYFUNCTION("""COMPUTED_VALUE"""),"Cityfoods Ltda")</f>
        <v>Cityfoods Ltda</v>
      </c>
      <c r="P2177" s="33">
        <f>IFERROR(__xludf.DUMMYFUNCTION("""COMPUTED_VALUE"""),0.75)</f>
        <v>0.75</v>
      </c>
      <c r="Q2177" s="4" t="str">
        <f>IFERROR(__xludf.DUMMYFUNCTION("""COMPUTED_VALUE"""),"Cityfoods Ltda")</f>
        <v>Cityfoods Ltda</v>
      </c>
      <c r="R2177" s="33">
        <f>IFERROR(__xludf.DUMMYFUNCTION("""COMPUTED_VALUE"""),0.75)</f>
        <v>0.75</v>
      </c>
      <c r="S2177" s="4" t="str">
        <f>IFERROR(__xludf.DUMMYFUNCTION("""COMPUTED_VALUE"""),"Cityfoods Ltda")</f>
        <v>Cityfoods Ltda</v>
      </c>
      <c r="T2177" s="33">
        <f>IFERROR(__xludf.DUMMYFUNCTION("""COMPUTED_VALUE"""),0.75)</f>
        <v>0.75</v>
      </c>
      <c r="U2177" s="4" t="str">
        <f>IFERROR(__xludf.DUMMYFUNCTION("""COMPUTED_VALUE"""),"Cityfoods Ltda")</f>
        <v>Cityfoods Ltda</v>
      </c>
      <c r="V2177" s="33">
        <f>IFERROR(__xludf.DUMMYFUNCTION("""COMPUTED_VALUE"""),0.75)</f>
        <v>0.75</v>
      </c>
      <c r="W2177" s="4" t="str">
        <f>IFERROR(__xludf.DUMMYFUNCTION("""COMPUTED_VALUE"""),"Cityfoods Ltda")</f>
        <v>Cityfoods Ltda</v>
      </c>
      <c r="X2177" s="33">
        <f>IFERROR(__xludf.DUMMYFUNCTION("""COMPUTED_VALUE"""),0.75)</f>
        <v>0.75</v>
      </c>
    </row>
    <row r="2178">
      <c r="K2178" s="4" t="str">
        <f>IFERROR(__xludf.DUMMYFUNCTION("""COMPUTED_VALUE"""),"BENTS CONTA MARCA")</f>
        <v>BENTS CONTA MARCA</v>
      </c>
      <c r="L2178" s="32">
        <f>IFERROR(__xludf.DUMMYFUNCTION("""COMPUTED_VALUE"""),4.0)</f>
        <v>4</v>
      </c>
      <c r="M2178" s="4" t="str">
        <f>IFERROR(__xludf.DUMMYFUNCTION("""COMPUTED_VALUE"""),"Saipos Serviços De Software")</f>
        <v>Saipos Serviços De Software</v>
      </c>
      <c r="N2178" s="33">
        <f>IFERROR(__xludf.DUMMYFUNCTION("""COMPUTED_VALUE"""),1.0)</f>
        <v>1</v>
      </c>
      <c r="O2178" s="4" t="str">
        <f>IFERROR(__xludf.DUMMYFUNCTION("""COMPUTED_VALUE"""),"Saipos Serviços De Software")</f>
        <v>Saipos Serviços De Software</v>
      </c>
      <c r="P2178" s="33">
        <f>IFERROR(__xludf.DUMMYFUNCTION("""COMPUTED_VALUE"""),0.75)</f>
        <v>0.75</v>
      </c>
      <c r="Q2178" s="4" t="str">
        <f>IFERROR(__xludf.DUMMYFUNCTION("""COMPUTED_VALUE"""),"Saipos Serviços De Software")</f>
        <v>Saipos Serviços De Software</v>
      </c>
      <c r="R2178" s="33">
        <f>IFERROR(__xludf.DUMMYFUNCTION("""COMPUTED_VALUE"""),1.0)</f>
        <v>1</v>
      </c>
      <c r="S2178" s="4" t="str">
        <f>IFERROR(__xludf.DUMMYFUNCTION("""COMPUTED_VALUE"""),"Saipos Serviços De Software")</f>
        <v>Saipos Serviços De Software</v>
      </c>
      <c r="T2178" s="33">
        <f>IFERROR(__xludf.DUMMYFUNCTION("""COMPUTED_VALUE"""),0.75)</f>
        <v>0.75</v>
      </c>
      <c r="U2178" s="4" t="str">
        <f>IFERROR(__xludf.DUMMYFUNCTION("""COMPUTED_VALUE"""),"Saipos Serviços De Software")</f>
        <v>Saipos Serviços De Software</v>
      </c>
      <c r="V2178" s="33">
        <f>IFERROR(__xludf.DUMMYFUNCTION("""COMPUTED_VALUE"""),1.0)</f>
        <v>1</v>
      </c>
      <c r="W2178" s="4" t="str">
        <f>IFERROR(__xludf.DUMMYFUNCTION("""COMPUTED_VALUE"""),"Saipos Serviços De Software")</f>
        <v>Saipos Serviços De Software</v>
      </c>
      <c r="X2178" s="33">
        <f>IFERROR(__xludf.DUMMYFUNCTION("""COMPUTED_VALUE"""),0.5)</f>
        <v>0.5</v>
      </c>
    </row>
    <row r="2179">
      <c r="K2179" s="4" t="str">
        <f>IFERROR(__xludf.DUMMYFUNCTION("""COMPUTED_VALUE"""),"BETOS BAR")</f>
        <v>BETOS BAR</v>
      </c>
      <c r="L2179" s="32">
        <f>IFERROR(__xludf.DUMMYFUNCTION("""COMPUTED_VALUE"""),4.0)</f>
        <v>4</v>
      </c>
      <c r="M2179" s="4" t="str">
        <f>IFERROR(__xludf.DUMMYFUNCTION("""COMPUTED_VALUE"""),"Totvs Large Enterprise Tecnologia S.a.")</f>
        <v>Totvs Large Enterprise Tecnologia S.a.</v>
      </c>
      <c r="N2179" s="33">
        <f>IFERROR(__xludf.DUMMYFUNCTION("""COMPUTED_VALUE"""),0.75)</f>
        <v>0.75</v>
      </c>
      <c r="O2179" s="4" t="str">
        <f>IFERROR(__xludf.DUMMYFUNCTION("""COMPUTED_VALUE"""),"Totvs Large Enterprise Tecnologia S.a.")</f>
        <v>Totvs Large Enterprise Tecnologia S.a.</v>
      </c>
      <c r="P2179" s="33">
        <f>IFERROR(__xludf.DUMMYFUNCTION("""COMPUTED_VALUE"""),1.0)</f>
        <v>1</v>
      </c>
      <c r="Q2179" s="4" t="str">
        <f>IFERROR(__xludf.DUMMYFUNCTION("""COMPUTED_VALUE"""),"Saipos Serviços De Software")</f>
        <v>Saipos Serviços De Software</v>
      </c>
      <c r="R2179" s="33">
        <f>IFERROR(__xludf.DUMMYFUNCTION("""COMPUTED_VALUE"""),0.75)</f>
        <v>0.75</v>
      </c>
      <c r="S2179" s="4" t="str">
        <f>IFERROR(__xludf.DUMMYFUNCTION("""COMPUTED_VALUE"""),"Saipos Serviços De Software")</f>
        <v>Saipos Serviços De Software</v>
      </c>
      <c r="T2179" s="33">
        <f>IFERROR(__xludf.DUMMYFUNCTION("""COMPUTED_VALUE"""),1.0)</f>
        <v>1</v>
      </c>
      <c r="U2179" s="4" t="str">
        <f>IFERROR(__xludf.DUMMYFUNCTION("""COMPUTED_VALUE"""),"Saipos Serviços De Software")</f>
        <v>Saipos Serviços De Software</v>
      </c>
      <c r="V2179" s="33">
        <f>IFERROR(__xludf.DUMMYFUNCTION("""COMPUTED_VALUE"""),1.0)</f>
        <v>1</v>
      </c>
      <c r="W2179" s="4" t="str">
        <f>IFERROR(__xludf.DUMMYFUNCTION("""COMPUTED_VALUE"""),"Saipos Serviços De Software")</f>
        <v>Saipos Serviços De Software</v>
      </c>
      <c r="X2179" s="33">
        <f>IFERROR(__xludf.DUMMYFUNCTION("""COMPUTED_VALUE"""),1.0)</f>
        <v>1</v>
      </c>
    </row>
    <row r="2180">
      <c r="K2180" s="4" t="str">
        <f>IFERROR(__xludf.DUMMYFUNCTION("""COMPUTED_VALUE"""),"BIG HALL")</f>
        <v>BIG HALL</v>
      </c>
      <c r="L2180" s="32">
        <f>IFERROR(__xludf.DUMMYFUNCTION("""COMPUTED_VALUE"""),4.0)</f>
        <v>4</v>
      </c>
      <c r="M2180" s="4" t="str">
        <f>IFERROR(__xludf.DUMMYFUNCTION("""COMPUTED_VALUE"""),"Saipos Serviços De Software")</f>
        <v>Saipos Serviços De Software</v>
      </c>
      <c r="N2180" s="33">
        <f>IFERROR(__xludf.DUMMYFUNCTION("""COMPUTED_VALUE"""),1.0)</f>
        <v>1</v>
      </c>
      <c r="O2180" s="4" t="str">
        <f>IFERROR(__xludf.DUMMYFUNCTION("""COMPUTED_VALUE"""),"Saipos Serviços De Software")</f>
        <v>Saipos Serviços De Software</v>
      </c>
      <c r="P2180" s="33">
        <f>IFERROR(__xludf.DUMMYFUNCTION("""COMPUTED_VALUE"""),1.0)</f>
        <v>1</v>
      </c>
      <c r="Q2180" s="4" t="str">
        <f>IFERROR(__xludf.DUMMYFUNCTION("""COMPUTED_VALUE"""),"Saipos Serviços De Software")</f>
        <v>Saipos Serviços De Software</v>
      </c>
      <c r="R2180" s="33">
        <f>IFERROR(__xludf.DUMMYFUNCTION("""COMPUTED_VALUE"""),1.0)</f>
        <v>1</v>
      </c>
      <c r="S2180" s="4" t="str">
        <f>IFERROR(__xludf.DUMMYFUNCTION("""COMPUTED_VALUE"""),"Saipos Serviços De Software")</f>
        <v>Saipos Serviços De Software</v>
      </c>
      <c r="T2180" s="33">
        <f>IFERROR(__xludf.DUMMYFUNCTION("""COMPUTED_VALUE"""),1.0)</f>
        <v>1</v>
      </c>
      <c r="U2180" s="4" t="str">
        <f>IFERROR(__xludf.DUMMYFUNCTION("""COMPUTED_VALUE"""),"Saipos Serviços De Software")</f>
        <v>Saipos Serviços De Software</v>
      </c>
      <c r="V2180" s="33">
        <f>IFERROR(__xludf.DUMMYFUNCTION("""COMPUTED_VALUE"""),1.0)</f>
        <v>1</v>
      </c>
      <c r="W2180" s="4" t="str">
        <f>IFERROR(__xludf.DUMMYFUNCTION("""COMPUTED_VALUE"""),"Saipos Serviços De Software")</f>
        <v>Saipos Serviços De Software</v>
      </c>
      <c r="X2180" s="33">
        <f>IFERROR(__xludf.DUMMYFUNCTION("""COMPUTED_VALUE"""),1.0)</f>
        <v>1</v>
      </c>
    </row>
    <row r="2181">
      <c r="K2181" s="4" t="str">
        <f>IFERROR(__xludf.DUMMYFUNCTION("""COMPUTED_VALUE"""),"BIG MIX - CONTA PAI")</f>
        <v>BIG MIX - CONTA PAI</v>
      </c>
      <c r="L2181" s="32">
        <f>IFERROR(__xludf.DUMMYFUNCTION("""COMPUTED_VALUE"""),4.0)</f>
        <v>4</v>
      </c>
      <c r="M2181" s="4" t="str">
        <f>IFERROR(__xludf.DUMMYFUNCTION("""COMPUTED_VALUE"""),"null")</f>
        <v>null</v>
      </c>
      <c r="N2181" s="33">
        <f>IFERROR(__xludf.DUMMYFUNCTION("""COMPUTED_VALUE"""),0.75)</f>
        <v>0.75</v>
      </c>
      <c r="O2181" s="4" t="str">
        <f>IFERROR(__xludf.DUMMYFUNCTION("""COMPUTED_VALUE"""),"null")</f>
        <v>null</v>
      </c>
      <c r="P2181" s="33">
        <f>IFERROR(__xludf.DUMMYFUNCTION("""COMPUTED_VALUE"""),0.75)</f>
        <v>0.75</v>
      </c>
      <c r="Q2181" s="4" t="str">
        <f>IFERROR(__xludf.DUMMYFUNCTION("""COMPUTED_VALUE"""),"null")</f>
        <v>null</v>
      </c>
      <c r="R2181" s="33">
        <f>IFERROR(__xludf.DUMMYFUNCTION("""COMPUTED_VALUE"""),0.75)</f>
        <v>0.75</v>
      </c>
      <c r="S2181" s="4" t="str">
        <f>IFERROR(__xludf.DUMMYFUNCTION("""COMPUTED_VALUE"""),"null")</f>
        <v>null</v>
      </c>
      <c r="T2181" s="33">
        <f>IFERROR(__xludf.DUMMYFUNCTION("""COMPUTED_VALUE"""),0.75)</f>
        <v>0.75</v>
      </c>
      <c r="U2181" s="4" t="str">
        <f>IFERROR(__xludf.DUMMYFUNCTION("""COMPUTED_VALUE"""),"Saipos Serviços De Software")</f>
        <v>Saipos Serviços De Software</v>
      </c>
      <c r="V2181" s="33">
        <f>IFERROR(__xludf.DUMMYFUNCTION("""COMPUTED_VALUE"""),1.0)</f>
        <v>1</v>
      </c>
      <c r="W2181" s="4" t="str">
        <f>IFERROR(__xludf.DUMMYFUNCTION("""COMPUTED_VALUE"""),"Saipos Serviços De Software")</f>
        <v>Saipos Serviços De Software</v>
      </c>
      <c r="X2181" s="33">
        <f>IFERROR(__xludf.DUMMYFUNCTION("""COMPUTED_VALUE"""),1.0)</f>
        <v>1</v>
      </c>
    </row>
    <row r="2182">
      <c r="K2182" s="4" t="str">
        <f>IFERROR(__xludf.DUMMYFUNCTION("""COMPUTED_VALUE"""),"BIG MOQUECA BAR E RESTAURANTE")</f>
        <v>BIG MOQUECA BAR E RESTAURANTE</v>
      </c>
      <c r="L2182" s="32">
        <f>IFERROR(__xludf.DUMMYFUNCTION("""COMPUTED_VALUE"""),4.0)</f>
        <v>4</v>
      </c>
      <c r="M2182" s="4" t="str">
        <f>IFERROR(__xludf.DUMMYFUNCTION("""COMPUTED_VALUE"""),"Real Softwares")</f>
        <v>Real Softwares</v>
      </c>
      <c r="N2182" s="33">
        <f>IFERROR(__xludf.DUMMYFUNCTION("""COMPUTED_VALUE"""),0.75)</f>
        <v>0.75</v>
      </c>
      <c r="O2182" s="4" t="str">
        <f>IFERROR(__xludf.DUMMYFUNCTION("""COMPUTED_VALUE"""),"Real Softwares")</f>
        <v>Real Softwares</v>
      </c>
      <c r="P2182" s="33">
        <f>IFERROR(__xludf.DUMMYFUNCTION("""COMPUTED_VALUE"""),0.5)</f>
        <v>0.5</v>
      </c>
      <c r="Q2182" s="4" t="str">
        <f>IFERROR(__xludf.DUMMYFUNCTION("""COMPUTED_VALUE"""),"Real Softwares")</f>
        <v>Real Softwares</v>
      </c>
      <c r="R2182" s="33">
        <f>IFERROR(__xludf.DUMMYFUNCTION("""COMPUTED_VALUE"""),0.5)</f>
        <v>0.5</v>
      </c>
      <c r="S2182" s="4" t="str">
        <f>IFERROR(__xludf.DUMMYFUNCTION("""COMPUTED_VALUE"""),"Real Softwares")</f>
        <v>Real Softwares</v>
      </c>
      <c r="T2182" s="33">
        <f>IFERROR(__xludf.DUMMYFUNCTION("""COMPUTED_VALUE"""),0.5)</f>
        <v>0.5</v>
      </c>
      <c r="U2182" s="4" t="str">
        <f>IFERROR(__xludf.DUMMYFUNCTION("""COMPUTED_VALUE"""),"Real Softwares")</f>
        <v>Real Softwares</v>
      </c>
      <c r="V2182" s="33">
        <f>IFERROR(__xludf.DUMMYFUNCTION("""COMPUTED_VALUE"""),0.5)</f>
        <v>0.5</v>
      </c>
      <c r="W2182" s="4" t="str">
        <f>IFERROR(__xludf.DUMMYFUNCTION("""COMPUTED_VALUE"""),"Real Softwares")</f>
        <v>Real Softwares</v>
      </c>
      <c r="X2182" s="33">
        <f>IFERROR(__xludf.DUMMYFUNCTION("""COMPUTED_VALUE"""),0.5)</f>
        <v>0.5</v>
      </c>
    </row>
    <row r="2183">
      <c r="K2183" s="4" t="str">
        <f>IFERROR(__xludf.DUMMYFUNCTION("""COMPUTED_VALUE"""),"BILLY KING SC - CONTA GRUPO")</f>
        <v>BILLY KING SC - CONTA GRUPO</v>
      </c>
      <c r="L2183" s="32">
        <f>IFERROR(__xludf.DUMMYFUNCTION("""COMPUTED_VALUE"""),4.0)</f>
        <v>4</v>
      </c>
      <c r="M2183" s="4" t="str">
        <f>IFERROR(__xludf.DUMMYFUNCTION("""COMPUTED_VALUE"""),"Cardápio Web")</f>
        <v>Cardápio Web</v>
      </c>
      <c r="N2183" s="33">
        <f>IFERROR(__xludf.DUMMYFUNCTION("""COMPUTED_VALUE"""),0.5)</f>
        <v>0.5</v>
      </c>
      <c r="O2183" s="4" t="str">
        <f>IFERROR(__xludf.DUMMYFUNCTION("""COMPUTED_VALUE"""),"Cardápio Web")</f>
        <v>Cardápio Web</v>
      </c>
      <c r="P2183" s="33">
        <f>IFERROR(__xludf.DUMMYFUNCTION("""COMPUTED_VALUE"""),0.75)</f>
        <v>0.75</v>
      </c>
      <c r="Q2183" s="4" t="str">
        <f>IFERROR(__xludf.DUMMYFUNCTION("""COMPUTED_VALUE"""),"Cardápio Web")</f>
        <v>Cardápio Web</v>
      </c>
      <c r="R2183" s="33">
        <f>IFERROR(__xludf.DUMMYFUNCTION("""COMPUTED_VALUE"""),0.75)</f>
        <v>0.75</v>
      </c>
      <c r="S2183" s="4" t="str">
        <f>IFERROR(__xludf.DUMMYFUNCTION("""COMPUTED_VALUE"""),"Cardápio Web")</f>
        <v>Cardápio Web</v>
      </c>
      <c r="T2183" s="33">
        <f>IFERROR(__xludf.DUMMYFUNCTION("""COMPUTED_VALUE"""),0.75)</f>
        <v>0.75</v>
      </c>
      <c r="U2183" s="4" t="str">
        <f>IFERROR(__xludf.DUMMYFUNCTION("""COMPUTED_VALUE"""),"Cardápio Web")</f>
        <v>Cardápio Web</v>
      </c>
      <c r="V2183" s="33">
        <f>IFERROR(__xludf.DUMMYFUNCTION("""COMPUTED_VALUE"""),1.0)</f>
        <v>1</v>
      </c>
      <c r="W2183" s="4" t="str">
        <f>IFERROR(__xludf.DUMMYFUNCTION("""COMPUTED_VALUE"""),"Cardápio Web")</f>
        <v>Cardápio Web</v>
      </c>
      <c r="X2183" s="33">
        <f>IFERROR(__xludf.DUMMYFUNCTION("""COMPUTED_VALUE"""),1.0)</f>
        <v>1</v>
      </c>
    </row>
    <row r="2184">
      <c r="K2184" s="4" t="str">
        <f>IFERROR(__xludf.DUMMYFUNCTION("""COMPUTED_VALUE"""),"BIPO STEAK VEG HOUSE")</f>
        <v>BIPO STEAK VEG HOUSE</v>
      </c>
      <c r="L2184" s="32">
        <f>IFERROR(__xludf.DUMMYFUNCTION("""COMPUTED_VALUE"""),4.0)</f>
        <v>4</v>
      </c>
      <c r="M2184" s="4" t="str">
        <f>IFERROR(__xludf.DUMMYFUNCTION("""COMPUTED_VALUE"""),"Saipos Serviços De Software")</f>
        <v>Saipos Serviços De Software</v>
      </c>
      <c r="N2184" s="33">
        <f>IFERROR(__xludf.DUMMYFUNCTION("""COMPUTED_VALUE"""),0.75)</f>
        <v>0.75</v>
      </c>
      <c r="O2184" s="4" t="str">
        <f>IFERROR(__xludf.DUMMYFUNCTION("""COMPUTED_VALUE"""),"Saipos Serviços De Software")</f>
        <v>Saipos Serviços De Software</v>
      </c>
      <c r="P2184" s="33">
        <f>IFERROR(__xludf.DUMMYFUNCTION("""COMPUTED_VALUE"""),0.5)</f>
        <v>0.5</v>
      </c>
      <c r="Q2184" s="4" t="str">
        <f>IFERROR(__xludf.DUMMYFUNCTION("""COMPUTED_VALUE"""),"Saipos Serviços De Software")</f>
        <v>Saipos Serviços De Software</v>
      </c>
      <c r="R2184" s="33">
        <f>IFERROR(__xludf.DUMMYFUNCTION("""COMPUTED_VALUE"""),0.75)</f>
        <v>0.75</v>
      </c>
      <c r="S2184" s="4" t="str">
        <f>IFERROR(__xludf.DUMMYFUNCTION("""COMPUTED_VALUE"""),"null")</f>
        <v>null</v>
      </c>
      <c r="T2184" s="33">
        <f>IFERROR(__xludf.DUMMYFUNCTION("""COMPUTED_VALUE"""),0.75)</f>
        <v>0.75</v>
      </c>
      <c r="U2184" s="4" t="str">
        <f>IFERROR(__xludf.DUMMYFUNCTION("""COMPUTED_VALUE"""),"Saipos Serviços De Software")</f>
        <v>Saipos Serviços De Software</v>
      </c>
      <c r="V2184" s="33">
        <f>IFERROR(__xludf.DUMMYFUNCTION("""COMPUTED_VALUE"""),0.75)</f>
        <v>0.75</v>
      </c>
      <c r="W2184" s="4" t="str">
        <f>IFERROR(__xludf.DUMMYFUNCTION("""COMPUTED_VALUE"""),"null")</f>
        <v>null</v>
      </c>
      <c r="X2184" s="33">
        <f>IFERROR(__xludf.DUMMYFUNCTION("""COMPUTED_VALUE"""),0.75)</f>
        <v>0.75</v>
      </c>
    </row>
    <row r="2185">
      <c r="K2185" s="4" t="str">
        <f>IFERROR(__xludf.DUMMYFUNCTION("""COMPUTED_VALUE"""),"BLACKOUT BURGER")</f>
        <v>BLACKOUT BURGER</v>
      </c>
      <c r="L2185" s="32">
        <f>IFERROR(__xludf.DUMMYFUNCTION("""COMPUTED_VALUE"""),4.0)</f>
        <v>4</v>
      </c>
      <c r="M2185" s="4" t="str">
        <f>IFERROR(__xludf.DUMMYFUNCTION("""COMPUTED_VALUE"""),"Totvs Large Enterprise Tecnologia S.a.")</f>
        <v>Totvs Large Enterprise Tecnologia S.a.</v>
      </c>
      <c r="N2185" s="33">
        <f>IFERROR(__xludf.DUMMYFUNCTION("""COMPUTED_VALUE"""),0.75)</f>
        <v>0.75</v>
      </c>
      <c r="O2185" s="4" t="str">
        <f>IFERROR(__xludf.DUMMYFUNCTION("""COMPUTED_VALUE"""),"null")</f>
        <v>null</v>
      </c>
      <c r="P2185" s="33">
        <f>IFERROR(__xludf.DUMMYFUNCTION("""COMPUTED_VALUE"""),0.5)</f>
        <v>0.5</v>
      </c>
      <c r="Q2185" s="4" t="str">
        <f>IFERROR(__xludf.DUMMYFUNCTION("""COMPUTED_VALUE"""),"null")</f>
        <v>null</v>
      </c>
      <c r="R2185" s="33">
        <f>IFERROR(__xludf.DUMMYFUNCTION("""COMPUTED_VALUE"""),0.5)</f>
        <v>0.5</v>
      </c>
      <c r="S2185" s="4" t="str">
        <f>IFERROR(__xludf.DUMMYFUNCTION("""COMPUTED_VALUE"""),"null")</f>
        <v>null</v>
      </c>
      <c r="T2185" s="33">
        <f>IFERROR(__xludf.DUMMYFUNCTION("""COMPUTED_VALUE"""),0.5)</f>
        <v>0.5</v>
      </c>
      <c r="U2185" s="4" t="str">
        <f>IFERROR(__xludf.DUMMYFUNCTION("""COMPUTED_VALUE"""),"Totvs Large Enterprise Tecnologia S.a.")</f>
        <v>Totvs Large Enterprise Tecnologia S.a.</v>
      </c>
      <c r="V2185" s="33">
        <f>IFERROR(__xludf.DUMMYFUNCTION("""COMPUTED_VALUE"""),0.75)</f>
        <v>0.75</v>
      </c>
      <c r="W2185" s="4" t="str">
        <f>IFERROR(__xludf.DUMMYFUNCTION("""COMPUTED_VALUE"""),"Totvs Large Enterprise Tecnologia S.a.")</f>
        <v>Totvs Large Enterprise Tecnologia S.a.</v>
      </c>
      <c r="X2185" s="33">
        <f>IFERROR(__xludf.DUMMYFUNCTION("""COMPUTED_VALUE"""),0.75)</f>
        <v>0.75</v>
      </c>
    </row>
    <row r="2186">
      <c r="K2186" s="4" t="str">
        <f>IFERROR(__xludf.DUMMYFUNCTION("""COMPUTED_VALUE"""),"BLACKROCK BURGER BEER")</f>
        <v>BLACKROCK BURGER BEER</v>
      </c>
      <c r="L2186" s="32">
        <f>IFERROR(__xludf.DUMMYFUNCTION("""COMPUTED_VALUE"""),4.0)</f>
        <v>4</v>
      </c>
      <c r="M2186" s="4" t="str">
        <f>IFERROR(__xludf.DUMMYFUNCTION("""COMPUTED_VALUE"""),"Hubster")</f>
        <v>Hubster</v>
      </c>
      <c r="N2186" s="33">
        <f>IFERROR(__xludf.DUMMYFUNCTION("""COMPUTED_VALUE"""),1.0)</f>
        <v>1</v>
      </c>
      <c r="O2186" s="4" t="str">
        <f>IFERROR(__xludf.DUMMYFUNCTION("""COMPUTED_VALUE"""),"Hubster")</f>
        <v>Hubster</v>
      </c>
      <c r="P2186" s="33">
        <f>IFERROR(__xludf.DUMMYFUNCTION("""COMPUTED_VALUE"""),1.0)</f>
        <v>1</v>
      </c>
      <c r="Q2186" s="4" t="str">
        <f>IFERROR(__xludf.DUMMYFUNCTION("""COMPUTED_VALUE"""),"Hubster")</f>
        <v>Hubster</v>
      </c>
      <c r="R2186" s="33">
        <f>IFERROR(__xludf.DUMMYFUNCTION("""COMPUTED_VALUE"""),1.0)</f>
        <v>1</v>
      </c>
      <c r="S2186" s="4" t="str">
        <f>IFERROR(__xludf.DUMMYFUNCTION("""COMPUTED_VALUE"""),"Hubster")</f>
        <v>Hubster</v>
      </c>
      <c r="T2186" s="33">
        <f>IFERROR(__xludf.DUMMYFUNCTION("""COMPUTED_VALUE"""),1.0)</f>
        <v>1</v>
      </c>
      <c r="U2186" s="4" t="str">
        <f>IFERROR(__xludf.DUMMYFUNCTION("""COMPUTED_VALUE"""),"Hubster")</f>
        <v>Hubster</v>
      </c>
      <c r="V2186" s="33">
        <f>IFERROR(__xludf.DUMMYFUNCTION("""COMPUTED_VALUE"""),1.0)</f>
        <v>1</v>
      </c>
      <c r="W2186" s="4" t="str">
        <f>IFERROR(__xludf.DUMMYFUNCTION("""COMPUTED_VALUE"""),"Hubster")</f>
        <v>Hubster</v>
      </c>
      <c r="X2186" s="33">
        <f>IFERROR(__xludf.DUMMYFUNCTION("""COMPUTED_VALUE"""),1.0)</f>
        <v>1</v>
      </c>
    </row>
    <row r="2187">
      <c r="K2187" s="4" t="str">
        <f>IFERROR(__xludf.DUMMYFUNCTION("""COMPUTED_VALUE"""),"BLUE RIBBON")</f>
        <v>BLUE RIBBON</v>
      </c>
      <c r="L2187" s="32">
        <f>IFERROR(__xludf.DUMMYFUNCTION("""COMPUTED_VALUE"""),4.0)</f>
        <v>4</v>
      </c>
      <c r="M2187" s="4" t="str">
        <f>IFERROR(__xludf.DUMMYFUNCTION("""COMPUTED_VALUE"""),"Cardápio Web")</f>
        <v>Cardápio Web</v>
      </c>
      <c r="N2187" s="33">
        <f>IFERROR(__xludf.DUMMYFUNCTION("""COMPUTED_VALUE"""),0.5)</f>
        <v>0.5</v>
      </c>
      <c r="O2187" s="4" t="str">
        <f>IFERROR(__xludf.DUMMYFUNCTION("""COMPUTED_VALUE"""),"Cardápio Web")</f>
        <v>Cardápio Web</v>
      </c>
      <c r="P2187" s="33">
        <f>IFERROR(__xludf.DUMMYFUNCTION("""COMPUTED_VALUE"""),0.5)</f>
        <v>0.5</v>
      </c>
      <c r="Q2187" s="4" t="str">
        <f>IFERROR(__xludf.DUMMYFUNCTION("""COMPUTED_VALUE"""),"Cardápio Web")</f>
        <v>Cardápio Web</v>
      </c>
      <c r="R2187" s="33">
        <f>IFERROR(__xludf.DUMMYFUNCTION("""COMPUTED_VALUE"""),0.5)</f>
        <v>0.5</v>
      </c>
      <c r="S2187" s="4" t="str">
        <f>IFERROR(__xludf.DUMMYFUNCTION("""COMPUTED_VALUE"""),"Cardápio Web")</f>
        <v>Cardápio Web</v>
      </c>
      <c r="T2187" s="33">
        <f>IFERROR(__xludf.DUMMYFUNCTION("""COMPUTED_VALUE"""),0.5)</f>
        <v>0.5</v>
      </c>
      <c r="U2187" s="4" t="str">
        <f>IFERROR(__xludf.DUMMYFUNCTION("""COMPUTED_VALUE"""),"null")</f>
        <v>null</v>
      </c>
      <c r="V2187" s="33">
        <f>IFERROR(__xludf.DUMMYFUNCTION("""COMPUTED_VALUE"""),0.5)</f>
        <v>0.5</v>
      </c>
      <c r="W2187" s="4" t="str">
        <f>IFERROR(__xludf.DUMMYFUNCTION("""COMPUTED_VALUE"""),"null")</f>
        <v>null</v>
      </c>
      <c r="X2187" s="33">
        <f>IFERROR(__xludf.DUMMYFUNCTION("""COMPUTED_VALUE"""),0.75)</f>
        <v>0.75</v>
      </c>
    </row>
    <row r="2188">
      <c r="K2188" s="4" t="str">
        <f>IFERROR(__xludf.DUMMYFUNCTION("""COMPUTED_VALUE"""),"BM LANCHES CONTA-PAI")</f>
        <v>BM LANCHES CONTA-PAI</v>
      </c>
      <c r="L2188" s="32">
        <f>IFERROR(__xludf.DUMMYFUNCTION("""COMPUTED_VALUE"""),4.0)</f>
        <v>4</v>
      </c>
      <c r="M2188" s="4" t="str">
        <f>IFERROR(__xludf.DUMMYFUNCTION("""COMPUTED_VALUE"""),"Saipos Serviços De Software")</f>
        <v>Saipos Serviços De Software</v>
      </c>
      <c r="N2188" s="33">
        <f>IFERROR(__xludf.DUMMYFUNCTION("""COMPUTED_VALUE"""),1.0)</f>
        <v>1</v>
      </c>
      <c r="O2188" s="4" t="str">
        <f>IFERROR(__xludf.DUMMYFUNCTION("""COMPUTED_VALUE"""),"Saipos Serviços De Software")</f>
        <v>Saipos Serviços De Software</v>
      </c>
      <c r="P2188" s="33">
        <f>IFERROR(__xludf.DUMMYFUNCTION("""COMPUTED_VALUE"""),1.0)</f>
        <v>1</v>
      </c>
      <c r="Q2188" s="4" t="str">
        <f>IFERROR(__xludf.DUMMYFUNCTION("""COMPUTED_VALUE"""),"Saipos Serviços De Software")</f>
        <v>Saipos Serviços De Software</v>
      </c>
      <c r="R2188" s="33">
        <f>IFERROR(__xludf.DUMMYFUNCTION("""COMPUTED_VALUE"""),1.0)</f>
        <v>1</v>
      </c>
      <c r="S2188" s="4" t="str">
        <f>IFERROR(__xludf.DUMMYFUNCTION("""COMPUTED_VALUE"""),"Saipos Serviços De Software")</f>
        <v>Saipos Serviços De Software</v>
      </c>
      <c r="T2188" s="33">
        <f>IFERROR(__xludf.DUMMYFUNCTION("""COMPUTED_VALUE"""),0.75)</f>
        <v>0.75</v>
      </c>
      <c r="U2188" s="4" t="str">
        <f>IFERROR(__xludf.DUMMYFUNCTION("""COMPUTED_VALUE"""),"Saipos Serviços De Software")</f>
        <v>Saipos Serviços De Software</v>
      </c>
      <c r="V2188" s="33">
        <f>IFERROR(__xludf.DUMMYFUNCTION("""COMPUTED_VALUE"""),0.75)</f>
        <v>0.75</v>
      </c>
      <c r="W2188" s="4" t="str">
        <f>IFERROR(__xludf.DUMMYFUNCTION("""COMPUTED_VALUE"""),"Saipos Serviços De Software")</f>
        <v>Saipos Serviços De Software</v>
      </c>
      <c r="X2188" s="33">
        <f>IFERROR(__xludf.DUMMYFUNCTION("""COMPUTED_VALUE"""),0.75)</f>
        <v>0.75</v>
      </c>
    </row>
    <row r="2189">
      <c r="K2189" s="4" t="str">
        <f>IFERROR(__xludf.DUMMYFUNCTION("""COMPUTED_VALUE"""),"BOCATTINO")</f>
        <v>BOCATTINO</v>
      </c>
      <c r="L2189" s="32">
        <f>IFERROR(__xludf.DUMMYFUNCTION("""COMPUTED_VALUE"""),4.0)</f>
        <v>4</v>
      </c>
      <c r="M2189" s="4" t="str">
        <f>IFERROR(__xludf.DUMMYFUNCTION("""COMPUTED_VALUE"""),"Proabakus Desenvolvimento De Sistemas Ltda")</f>
        <v>Proabakus Desenvolvimento De Sistemas Ltda</v>
      </c>
      <c r="N2189" s="33">
        <f>IFERROR(__xludf.DUMMYFUNCTION("""COMPUTED_VALUE"""),1.0)</f>
        <v>1</v>
      </c>
      <c r="O2189" s="4" t="str">
        <f>IFERROR(__xludf.DUMMYFUNCTION("""COMPUTED_VALUE"""),"Proabakus Desenvolvimento De Sistemas Ltda")</f>
        <v>Proabakus Desenvolvimento De Sistemas Ltda</v>
      </c>
      <c r="P2189" s="33">
        <f>IFERROR(__xludf.DUMMYFUNCTION("""COMPUTED_VALUE"""),1.0)</f>
        <v>1</v>
      </c>
      <c r="Q2189" s="4" t="str">
        <f>IFERROR(__xludf.DUMMYFUNCTION("""COMPUTED_VALUE"""),"Proabakus Desenvolvimento De Sistemas Ltda")</f>
        <v>Proabakus Desenvolvimento De Sistemas Ltda</v>
      </c>
      <c r="R2189" s="33">
        <f>IFERROR(__xludf.DUMMYFUNCTION("""COMPUTED_VALUE"""),1.0)</f>
        <v>1</v>
      </c>
      <c r="S2189" s="4" t="str">
        <f>IFERROR(__xludf.DUMMYFUNCTION("""COMPUTED_VALUE"""),"Proabakus Desenvolvimento De Sistemas Ltda")</f>
        <v>Proabakus Desenvolvimento De Sistemas Ltda</v>
      </c>
      <c r="T2189" s="33">
        <f>IFERROR(__xludf.DUMMYFUNCTION("""COMPUTED_VALUE"""),0.75)</f>
        <v>0.75</v>
      </c>
      <c r="U2189" s="4" t="str">
        <f>IFERROR(__xludf.DUMMYFUNCTION("""COMPUTED_VALUE"""),"Proabakus Desenvolvimento De Sistemas Ltda")</f>
        <v>Proabakus Desenvolvimento De Sistemas Ltda</v>
      </c>
      <c r="V2189" s="33">
        <f>IFERROR(__xludf.DUMMYFUNCTION("""COMPUTED_VALUE"""),0.75)</f>
        <v>0.75</v>
      </c>
      <c r="W2189" s="4" t="str">
        <f>IFERROR(__xludf.DUMMYFUNCTION("""COMPUTED_VALUE"""),"Proabakus Desenvolvimento De Sistemas Ltda")</f>
        <v>Proabakus Desenvolvimento De Sistemas Ltda</v>
      </c>
      <c r="X2189" s="33">
        <f>IFERROR(__xludf.DUMMYFUNCTION("""COMPUTED_VALUE"""),0.75)</f>
        <v>0.75</v>
      </c>
    </row>
    <row r="2190">
      <c r="K2190" s="4" t="str">
        <f>IFERROR(__xludf.DUMMYFUNCTION("""COMPUTED_VALUE"""),"BOI DE OURO")</f>
        <v>BOI DE OURO</v>
      </c>
      <c r="L2190" s="32">
        <f>IFERROR(__xludf.DUMMYFUNCTION("""COMPUTED_VALUE"""),4.0)</f>
        <v>4</v>
      </c>
      <c r="M2190" s="4" t="str">
        <f>IFERROR(__xludf.DUMMYFUNCTION("""COMPUTED_VALUE"""),"Lad Sistemas")</f>
        <v>Lad Sistemas</v>
      </c>
      <c r="N2190" s="33">
        <f>IFERROR(__xludf.DUMMYFUNCTION("""COMPUTED_VALUE"""),0.75)</f>
        <v>0.75</v>
      </c>
      <c r="O2190" s="4" t="str">
        <f>IFERROR(__xludf.DUMMYFUNCTION("""COMPUTED_VALUE"""),"Lad Sistemas")</f>
        <v>Lad Sistemas</v>
      </c>
      <c r="P2190" s="33">
        <f>IFERROR(__xludf.DUMMYFUNCTION("""COMPUTED_VALUE"""),0.75)</f>
        <v>0.75</v>
      </c>
      <c r="Q2190" s="4" t="str">
        <f>IFERROR(__xludf.DUMMYFUNCTION("""COMPUTED_VALUE"""),"Lad Sistemas")</f>
        <v>Lad Sistemas</v>
      </c>
      <c r="R2190" s="33">
        <f>IFERROR(__xludf.DUMMYFUNCTION("""COMPUTED_VALUE"""),0.5)</f>
        <v>0.5</v>
      </c>
      <c r="S2190" s="4" t="str">
        <f>IFERROR(__xludf.DUMMYFUNCTION("""COMPUTED_VALUE"""),"Lad Sistemas")</f>
        <v>Lad Sistemas</v>
      </c>
      <c r="T2190" s="33">
        <f>IFERROR(__xludf.DUMMYFUNCTION("""COMPUTED_VALUE"""),0.5)</f>
        <v>0.5</v>
      </c>
      <c r="U2190" s="4" t="str">
        <f>IFERROR(__xludf.DUMMYFUNCTION("""COMPUTED_VALUE"""),"null")</f>
        <v>null</v>
      </c>
      <c r="V2190" s="33">
        <f>IFERROR(__xludf.DUMMYFUNCTION("""COMPUTED_VALUE"""),0.5)</f>
        <v>0.5</v>
      </c>
      <c r="W2190" s="4" t="str">
        <f>IFERROR(__xludf.DUMMYFUNCTION("""COMPUTED_VALUE"""),"Lad Sistemas")</f>
        <v>Lad Sistemas</v>
      </c>
      <c r="X2190" s="33">
        <f>IFERROR(__xludf.DUMMYFUNCTION("""COMPUTED_VALUE"""),0.75)</f>
        <v>0.75</v>
      </c>
    </row>
    <row r="2191">
      <c r="K2191" s="4" t="str">
        <f>IFERROR(__xludf.DUMMYFUNCTION("""COMPUTED_VALUE"""),"BOIZAO SUPERMERCADOS - CONTA PAI")</f>
        <v>BOIZAO SUPERMERCADOS - CONTA PAI</v>
      </c>
      <c r="L2191" s="32">
        <f>IFERROR(__xludf.DUMMYFUNCTION("""COMPUTED_VALUE"""),4.0)</f>
        <v>4</v>
      </c>
      <c r="M2191" s="4" t="str">
        <f>IFERROR(__xludf.DUMMYFUNCTION("""COMPUTED_VALUE"""),"N/A (Not found)")</f>
        <v>N/A (Not found)</v>
      </c>
      <c r="N2191" s="33">
        <f>IFERROR(__xludf.DUMMYFUNCTION("""COMPUTED_VALUE"""),1.0)</f>
        <v>1</v>
      </c>
      <c r="O2191" s="4" t="str">
        <f>IFERROR(__xludf.DUMMYFUNCTION("""COMPUTED_VALUE"""),"N/A (Not found)")</f>
        <v>N/A (Not found)</v>
      </c>
      <c r="P2191" s="33">
        <f>IFERROR(__xludf.DUMMYFUNCTION("""COMPUTED_VALUE"""),1.0)</f>
        <v>1</v>
      </c>
      <c r="Q2191" s="4" t="str">
        <f>IFERROR(__xludf.DUMMYFUNCTION("""COMPUTED_VALUE"""),"N/A (Not found)")</f>
        <v>N/A (Not found)</v>
      </c>
      <c r="R2191" s="33">
        <f>IFERROR(__xludf.DUMMYFUNCTION("""COMPUTED_VALUE"""),1.0)</f>
        <v>1</v>
      </c>
      <c r="S2191" s="4" t="str">
        <f>IFERROR(__xludf.DUMMYFUNCTION("""COMPUTED_VALUE"""),"N/A (Not found)")</f>
        <v>N/A (Not found)</v>
      </c>
      <c r="T2191" s="33">
        <f>IFERROR(__xludf.DUMMYFUNCTION("""COMPUTED_VALUE"""),1.0)</f>
        <v>1</v>
      </c>
      <c r="U2191" s="4" t="str">
        <f>IFERROR(__xludf.DUMMYFUNCTION("""COMPUTED_VALUE"""),"N/A (Not found)")</f>
        <v>N/A (Not found)</v>
      </c>
      <c r="V2191" s="33">
        <f>IFERROR(__xludf.DUMMYFUNCTION("""COMPUTED_VALUE"""),1.0)</f>
        <v>1</v>
      </c>
      <c r="W2191" s="4" t="str">
        <f>IFERROR(__xludf.DUMMYFUNCTION("""COMPUTED_VALUE"""),"N/A (Not found)")</f>
        <v>N/A (Not found)</v>
      </c>
      <c r="X2191" s="33">
        <f>IFERROR(__xludf.DUMMYFUNCTION("""COMPUTED_VALUE"""),1.0)</f>
        <v>1</v>
      </c>
    </row>
    <row r="2192">
      <c r="K2192" s="4" t="str">
        <f>IFERROR(__xludf.DUMMYFUNCTION("""COMPUTED_VALUE"""),"BOLO DA MADRE")</f>
        <v>BOLO DA MADRE</v>
      </c>
      <c r="L2192" s="32">
        <f>IFERROR(__xludf.DUMMYFUNCTION("""COMPUTED_VALUE"""),4.0)</f>
        <v>4</v>
      </c>
      <c r="M2192" s="4" t="str">
        <f>IFERROR(__xludf.DUMMYFUNCTION("""COMPUTED_VALUE"""),"null")</f>
        <v>null</v>
      </c>
      <c r="N2192" s="33">
        <f>IFERROR(__xludf.DUMMYFUNCTION("""COMPUTED_VALUE"""),0.5)</f>
        <v>0.5</v>
      </c>
      <c r="O2192" s="4" t="str">
        <f>IFERROR(__xludf.DUMMYFUNCTION("""COMPUTED_VALUE"""),"null")</f>
        <v>null</v>
      </c>
      <c r="P2192" s="33">
        <f>IFERROR(__xludf.DUMMYFUNCTION("""COMPUTED_VALUE"""),0.75)</f>
        <v>0.75</v>
      </c>
      <c r="Q2192" s="4" t="str">
        <f>IFERROR(__xludf.DUMMYFUNCTION("""COMPUTED_VALUE"""),"null")</f>
        <v>null</v>
      </c>
      <c r="R2192" s="33">
        <f>IFERROR(__xludf.DUMMYFUNCTION("""COMPUTED_VALUE"""),0.75)</f>
        <v>0.75</v>
      </c>
      <c r="S2192" s="4" t="str">
        <f>IFERROR(__xludf.DUMMYFUNCTION("""COMPUTED_VALUE"""),"Saipos Serviços De Software")</f>
        <v>Saipos Serviços De Software</v>
      </c>
      <c r="T2192" s="33">
        <f>IFERROR(__xludf.DUMMYFUNCTION("""COMPUTED_VALUE"""),0.5)</f>
        <v>0.5</v>
      </c>
      <c r="U2192" s="4" t="str">
        <f>IFERROR(__xludf.DUMMYFUNCTION("""COMPUTED_VALUE"""),"null")</f>
        <v>null</v>
      </c>
      <c r="V2192" s="33">
        <f>IFERROR(__xludf.DUMMYFUNCTION("""COMPUTED_VALUE"""),0.75)</f>
        <v>0.75</v>
      </c>
      <c r="W2192" s="4" t="str">
        <f>IFERROR(__xludf.DUMMYFUNCTION("""COMPUTED_VALUE"""),"null")</f>
        <v>null</v>
      </c>
      <c r="X2192" s="33">
        <f>IFERROR(__xludf.DUMMYFUNCTION("""COMPUTED_VALUE"""),0.5)</f>
        <v>0.5</v>
      </c>
    </row>
    <row r="2193">
      <c r="K2193" s="4" t="str">
        <f>IFERROR(__xludf.DUMMYFUNCTION("""COMPUTED_VALUE"""),"BOLO DA VOVO")</f>
        <v>BOLO DA VOVO</v>
      </c>
      <c r="L2193" s="32">
        <f>IFERROR(__xludf.DUMMYFUNCTION("""COMPUTED_VALUE"""),4.0)</f>
        <v>4</v>
      </c>
      <c r="M2193" s="4" t="str">
        <f>IFERROR(__xludf.DUMMYFUNCTION("""COMPUTED_VALUE"""),"Saipos Serviços De Software")</f>
        <v>Saipos Serviços De Software</v>
      </c>
      <c r="N2193" s="33">
        <f>IFERROR(__xludf.DUMMYFUNCTION("""COMPUTED_VALUE"""),1.0)</f>
        <v>1</v>
      </c>
      <c r="O2193" s="4" t="str">
        <f>IFERROR(__xludf.DUMMYFUNCTION("""COMPUTED_VALUE"""),"Saipos Serviços De Software")</f>
        <v>Saipos Serviços De Software</v>
      </c>
      <c r="P2193" s="33">
        <f>IFERROR(__xludf.DUMMYFUNCTION("""COMPUTED_VALUE"""),1.0)</f>
        <v>1</v>
      </c>
      <c r="Q2193" s="4" t="str">
        <f>IFERROR(__xludf.DUMMYFUNCTION("""COMPUTED_VALUE"""),"Saipos Serviços De Software")</f>
        <v>Saipos Serviços De Software</v>
      </c>
      <c r="R2193" s="33">
        <f>IFERROR(__xludf.DUMMYFUNCTION("""COMPUTED_VALUE"""),0.75)</f>
        <v>0.75</v>
      </c>
      <c r="S2193" s="4" t="str">
        <f>IFERROR(__xludf.DUMMYFUNCTION("""COMPUTED_VALUE"""),"Saipos Serviços De Software")</f>
        <v>Saipos Serviços De Software</v>
      </c>
      <c r="T2193" s="33">
        <f>IFERROR(__xludf.DUMMYFUNCTION("""COMPUTED_VALUE"""),0.75)</f>
        <v>0.75</v>
      </c>
      <c r="U2193" s="4" t="str">
        <f>IFERROR(__xludf.DUMMYFUNCTION("""COMPUTED_VALUE"""),"Saipos Serviços De Software")</f>
        <v>Saipos Serviços De Software</v>
      </c>
      <c r="V2193" s="33">
        <f>IFERROR(__xludf.DUMMYFUNCTION("""COMPUTED_VALUE"""),0.75)</f>
        <v>0.75</v>
      </c>
      <c r="W2193" s="4" t="str">
        <f>IFERROR(__xludf.DUMMYFUNCTION("""COMPUTED_VALUE"""),"Saipos Serviços De Software")</f>
        <v>Saipos Serviços De Software</v>
      </c>
      <c r="X2193" s="33">
        <f>IFERROR(__xludf.DUMMYFUNCTION("""COMPUTED_VALUE"""),0.75)</f>
        <v>0.75</v>
      </c>
    </row>
    <row r="2194">
      <c r="K2194" s="4" t="str">
        <f>IFERROR(__xludf.DUMMYFUNCTION("""COMPUTED_VALUE"""),"BOLO LA DCASA - CONTA MARCA")</f>
        <v>BOLO LA DCASA - CONTA MARCA</v>
      </c>
      <c r="L2194" s="32">
        <f>IFERROR(__xludf.DUMMYFUNCTION("""COMPUTED_VALUE"""),4.0)</f>
        <v>4</v>
      </c>
      <c r="M2194" s="4" t="str">
        <f>IFERROR(__xludf.DUMMYFUNCTION("""COMPUTED_VALUE"""),"Saipos Serviços De Software")</f>
        <v>Saipos Serviços De Software</v>
      </c>
      <c r="N2194" s="33">
        <f>IFERROR(__xludf.DUMMYFUNCTION("""COMPUTED_VALUE"""),1.0)</f>
        <v>1</v>
      </c>
      <c r="O2194" s="4" t="str">
        <f>IFERROR(__xludf.DUMMYFUNCTION("""COMPUTED_VALUE"""),"Saipos Serviços De Software")</f>
        <v>Saipos Serviços De Software</v>
      </c>
      <c r="P2194" s="33">
        <f>IFERROR(__xludf.DUMMYFUNCTION("""COMPUTED_VALUE"""),1.0)</f>
        <v>1</v>
      </c>
      <c r="Q2194" s="4" t="str">
        <f>IFERROR(__xludf.DUMMYFUNCTION("""COMPUTED_VALUE"""),"Saipos Serviços De Software")</f>
        <v>Saipos Serviços De Software</v>
      </c>
      <c r="R2194" s="33">
        <f>IFERROR(__xludf.DUMMYFUNCTION("""COMPUTED_VALUE"""),1.0)</f>
        <v>1</v>
      </c>
      <c r="S2194" s="4" t="str">
        <f>IFERROR(__xludf.DUMMYFUNCTION("""COMPUTED_VALUE"""),"Saipos Serviços De Software")</f>
        <v>Saipos Serviços De Software</v>
      </c>
      <c r="T2194" s="33">
        <f>IFERROR(__xludf.DUMMYFUNCTION("""COMPUTED_VALUE"""),1.0)</f>
        <v>1</v>
      </c>
      <c r="U2194" s="4" t="str">
        <f>IFERROR(__xludf.DUMMYFUNCTION("""COMPUTED_VALUE"""),"Saipos Serviços De Software")</f>
        <v>Saipos Serviços De Software</v>
      </c>
      <c r="V2194" s="33">
        <f>IFERROR(__xludf.DUMMYFUNCTION("""COMPUTED_VALUE"""),1.0)</f>
        <v>1</v>
      </c>
      <c r="W2194" s="4" t="str">
        <f>IFERROR(__xludf.DUMMYFUNCTION("""COMPUTED_VALUE"""),"Saipos Serviços De Software")</f>
        <v>Saipos Serviços De Software</v>
      </c>
      <c r="X2194" s="33">
        <f>IFERROR(__xludf.DUMMYFUNCTION("""COMPUTED_VALUE"""),1.0)</f>
        <v>1</v>
      </c>
    </row>
    <row r="2195">
      <c r="K2195" s="4" t="str">
        <f>IFERROR(__xludf.DUMMYFUNCTION("""COMPUTED_VALUE"""),"BOM BOWLS")</f>
        <v>BOM BOWLS</v>
      </c>
      <c r="L2195" s="32">
        <f>IFERROR(__xludf.DUMMYFUNCTION("""COMPUTED_VALUE"""),4.0)</f>
        <v>4</v>
      </c>
      <c r="M2195" s="4" t="str">
        <f>IFERROR(__xludf.DUMMYFUNCTION("""COMPUTED_VALUE"""),"Saipos Serviços De Software")</f>
        <v>Saipos Serviços De Software</v>
      </c>
      <c r="N2195" s="33">
        <f>IFERROR(__xludf.DUMMYFUNCTION("""COMPUTED_VALUE"""),0.75)</f>
        <v>0.75</v>
      </c>
      <c r="O2195" s="4" t="str">
        <f>IFERROR(__xludf.DUMMYFUNCTION("""COMPUTED_VALUE"""),"Saipos Serviços De Software")</f>
        <v>Saipos Serviços De Software</v>
      </c>
      <c r="P2195" s="33">
        <f>IFERROR(__xludf.DUMMYFUNCTION("""COMPUTED_VALUE"""),0.5)</f>
        <v>0.5</v>
      </c>
      <c r="Q2195" s="4" t="str">
        <f>IFERROR(__xludf.DUMMYFUNCTION("""COMPUTED_VALUE"""),"Saipos Serviços De Software")</f>
        <v>Saipos Serviços De Software</v>
      </c>
      <c r="R2195" s="33">
        <f>IFERROR(__xludf.DUMMYFUNCTION("""COMPUTED_VALUE"""),0.5)</f>
        <v>0.5</v>
      </c>
      <c r="S2195" s="4" t="str">
        <f>IFERROR(__xludf.DUMMYFUNCTION("""COMPUTED_VALUE"""),"Saipos Serviços De Software")</f>
        <v>Saipos Serviços De Software</v>
      </c>
      <c r="T2195" s="33">
        <f>IFERROR(__xludf.DUMMYFUNCTION("""COMPUTED_VALUE"""),0.5)</f>
        <v>0.5</v>
      </c>
      <c r="U2195" s="4" t="str">
        <f>IFERROR(__xludf.DUMMYFUNCTION("""COMPUTED_VALUE"""),"Saipos Serviços De Software")</f>
        <v>Saipos Serviços De Software</v>
      </c>
      <c r="V2195" s="33">
        <f>IFERROR(__xludf.DUMMYFUNCTION("""COMPUTED_VALUE"""),0.5)</f>
        <v>0.5</v>
      </c>
      <c r="W2195" s="4" t="str">
        <f>IFERROR(__xludf.DUMMYFUNCTION("""COMPUTED_VALUE"""),"Saipos Serviços De Software")</f>
        <v>Saipos Serviços De Software</v>
      </c>
      <c r="X2195" s="33">
        <f>IFERROR(__xludf.DUMMYFUNCTION("""COMPUTED_VALUE"""),0.5)</f>
        <v>0.5</v>
      </c>
    </row>
    <row r="2196">
      <c r="K2196" s="4" t="str">
        <f>IFERROR(__xludf.DUMMYFUNCTION("""COMPUTED_VALUE"""),"BONI CASCAVEL")</f>
        <v>BONI CASCAVEL</v>
      </c>
      <c r="L2196" s="32">
        <f>IFERROR(__xludf.DUMMYFUNCTION("""COMPUTED_VALUE"""),4.0)</f>
        <v>4</v>
      </c>
      <c r="M2196" s="4" t="str">
        <f>IFERROR(__xludf.DUMMYFUNCTION("""COMPUTED_VALUE"""),"Marchiore It")</f>
        <v>Marchiore It</v>
      </c>
      <c r="N2196" s="33">
        <f>IFERROR(__xludf.DUMMYFUNCTION("""COMPUTED_VALUE"""),1.0)</f>
        <v>1</v>
      </c>
      <c r="O2196" s="4" t="str">
        <f>IFERROR(__xludf.DUMMYFUNCTION("""COMPUTED_VALUE"""),"Marchiore It")</f>
        <v>Marchiore It</v>
      </c>
      <c r="P2196" s="33">
        <f>IFERROR(__xludf.DUMMYFUNCTION("""COMPUTED_VALUE"""),0.75)</f>
        <v>0.75</v>
      </c>
      <c r="Q2196" s="4" t="str">
        <f>IFERROR(__xludf.DUMMYFUNCTION("""COMPUTED_VALUE"""),"Marchiore It")</f>
        <v>Marchiore It</v>
      </c>
      <c r="R2196" s="33">
        <f>IFERROR(__xludf.DUMMYFUNCTION("""COMPUTED_VALUE"""),0.75)</f>
        <v>0.75</v>
      </c>
      <c r="S2196" s="4" t="str">
        <f>IFERROR(__xludf.DUMMYFUNCTION("""COMPUTED_VALUE"""),"null")</f>
        <v>null</v>
      </c>
      <c r="T2196" s="33">
        <f>IFERROR(__xludf.DUMMYFUNCTION("""COMPUTED_VALUE"""),0.5)</f>
        <v>0.5</v>
      </c>
      <c r="U2196" s="4" t="str">
        <f>IFERROR(__xludf.DUMMYFUNCTION("""COMPUTED_VALUE"""),"null")</f>
        <v>null</v>
      </c>
      <c r="V2196" s="33">
        <f>IFERROR(__xludf.DUMMYFUNCTION("""COMPUTED_VALUE"""),0.5)</f>
        <v>0.5</v>
      </c>
      <c r="W2196" s="4" t="str">
        <f>IFERROR(__xludf.DUMMYFUNCTION("""COMPUTED_VALUE"""),"Marchiore It")</f>
        <v>Marchiore It</v>
      </c>
      <c r="X2196" s="33">
        <f>IFERROR(__xludf.DUMMYFUNCTION("""COMPUTED_VALUE"""),0.75)</f>
        <v>0.75</v>
      </c>
    </row>
    <row r="2197">
      <c r="K2197" s="4" t="str">
        <f>IFERROR(__xludf.DUMMYFUNCTION("""COMPUTED_VALUE"""),"BRASINO CHORIPANES - CONTA MARCA")</f>
        <v>BRASINO CHORIPANES - CONTA MARCA</v>
      </c>
      <c r="L2197" s="32">
        <f>IFERROR(__xludf.DUMMYFUNCTION("""COMPUTED_VALUE"""),4.0)</f>
        <v>4</v>
      </c>
      <c r="M2197" s="4" t="str">
        <f>IFERROR(__xludf.DUMMYFUNCTION("""COMPUTED_VALUE"""),"Anove Tecnologia")</f>
        <v>Anove Tecnologia</v>
      </c>
      <c r="N2197" s="33">
        <f>IFERROR(__xludf.DUMMYFUNCTION("""COMPUTED_VALUE"""),1.0)</f>
        <v>1</v>
      </c>
      <c r="O2197" s="4" t="str">
        <f>IFERROR(__xludf.DUMMYFUNCTION("""COMPUTED_VALUE"""),"Anove Tecnologia")</f>
        <v>Anove Tecnologia</v>
      </c>
      <c r="P2197" s="33">
        <f>IFERROR(__xludf.DUMMYFUNCTION("""COMPUTED_VALUE"""),0.75)</f>
        <v>0.75</v>
      </c>
      <c r="Q2197" s="4" t="str">
        <f>IFERROR(__xludf.DUMMYFUNCTION("""COMPUTED_VALUE"""),"Anove Tecnologia")</f>
        <v>Anove Tecnologia</v>
      </c>
      <c r="R2197" s="33">
        <f>IFERROR(__xludf.DUMMYFUNCTION("""COMPUTED_VALUE"""),0.5)</f>
        <v>0.5</v>
      </c>
      <c r="S2197" s="4" t="str">
        <f>IFERROR(__xludf.DUMMYFUNCTION("""COMPUTED_VALUE"""),"Anove Tecnologia")</f>
        <v>Anove Tecnologia</v>
      </c>
      <c r="T2197" s="33">
        <f>IFERROR(__xludf.DUMMYFUNCTION("""COMPUTED_VALUE"""),0.5)</f>
        <v>0.5</v>
      </c>
      <c r="U2197" s="4" t="str">
        <f>IFERROR(__xludf.DUMMYFUNCTION("""COMPUTED_VALUE"""),"null")</f>
        <v>null</v>
      </c>
      <c r="V2197" s="33">
        <f>IFERROR(__xludf.DUMMYFUNCTION("""COMPUTED_VALUE"""),1.0)</f>
        <v>1</v>
      </c>
      <c r="W2197" s="4" t="str">
        <f>IFERROR(__xludf.DUMMYFUNCTION("""COMPUTED_VALUE"""),"null")</f>
        <v>null</v>
      </c>
      <c r="X2197" s="33">
        <f>IFERROR(__xludf.DUMMYFUNCTION("""COMPUTED_VALUE"""),0.5)</f>
        <v>0.5</v>
      </c>
    </row>
    <row r="2198">
      <c r="K2198" s="4" t="str">
        <f>IFERROR(__xludf.DUMMYFUNCTION("""COMPUTED_VALUE"""),"BRAVO BURGER BEER -")</f>
        <v>BRAVO BURGER BEER -</v>
      </c>
      <c r="L2198" s="32">
        <f>IFERROR(__xludf.DUMMYFUNCTION("""COMPUTED_VALUE"""),4.0)</f>
        <v>4</v>
      </c>
      <c r="M2198" s="4" t="str">
        <f>IFERROR(__xludf.DUMMYFUNCTION("""COMPUTED_VALUE"""),"Menew - Linx")</f>
        <v>Menew - Linx</v>
      </c>
      <c r="N2198" s="33">
        <f>IFERROR(__xludf.DUMMYFUNCTION("""COMPUTED_VALUE"""),1.0)</f>
        <v>1</v>
      </c>
      <c r="O2198" s="4" t="str">
        <f>IFERROR(__xludf.DUMMYFUNCTION("""COMPUTED_VALUE"""),"Menew - Linx")</f>
        <v>Menew - Linx</v>
      </c>
      <c r="P2198" s="33">
        <f>IFERROR(__xludf.DUMMYFUNCTION("""COMPUTED_VALUE"""),1.0)</f>
        <v>1</v>
      </c>
      <c r="Q2198" s="4" t="str">
        <f>IFERROR(__xludf.DUMMYFUNCTION("""COMPUTED_VALUE"""),"Menew - Linx")</f>
        <v>Menew - Linx</v>
      </c>
      <c r="R2198" s="33">
        <f>IFERROR(__xludf.DUMMYFUNCTION("""COMPUTED_VALUE"""),1.0)</f>
        <v>1</v>
      </c>
      <c r="S2198" s="4" t="str">
        <f>IFERROR(__xludf.DUMMYFUNCTION("""COMPUTED_VALUE"""),"Menew - Linx")</f>
        <v>Menew - Linx</v>
      </c>
      <c r="T2198" s="33">
        <f>IFERROR(__xludf.DUMMYFUNCTION("""COMPUTED_VALUE"""),1.0)</f>
        <v>1</v>
      </c>
      <c r="U2198" s="4" t="str">
        <f>IFERROR(__xludf.DUMMYFUNCTION("""COMPUTED_VALUE"""),"Menew - Linx")</f>
        <v>Menew - Linx</v>
      </c>
      <c r="V2198" s="33">
        <f>IFERROR(__xludf.DUMMYFUNCTION("""COMPUTED_VALUE"""),1.0)</f>
        <v>1</v>
      </c>
      <c r="W2198" s="4" t="str">
        <f>IFERROR(__xludf.DUMMYFUNCTION("""COMPUTED_VALUE"""),"Menew - Linx")</f>
        <v>Menew - Linx</v>
      </c>
      <c r="X2198" s="33">
        <f>IFERROR(__xludf.DUMMYFUNCTION("""COMPUTED_VALUE"""),1.0)</f>
        <v>1</v>
      </c>
    </row>
    <row r="2199">
      <c r="K2199" s="4" t="str">
        <f>IFERROR(__xludf.DUMMYFUNCTION("""COMPUTED_VALUE"""),"BRIGATA PIZZERIA")</f>
        <v>BRIGATA PIZZERIA</v>
      </c>
      <c r="L2199" s="32">
        <f>IFERROR(__xludf.DUMMYFUNCTION("""COMPUTED_VALUE"""),4.0)</f>
        <v>4</v>
      </c>
      <c r="M2199" s="4" t="str">
        <f>IFERROR(__xludf.DUMMYFUNCTION("""COMPUTED_VALUE"""),"Saipos Serviços De Software")</f>
        <v>Saipos Serviços De Software</v>
      </c>
      <c r="N2199" s="33">
        <f>IFERROR(__xludf.DUMMYFUNCTION("""COMPUTED_VALUE"""),1.0)</f>
        <v>1</v>
      </c>
      <c r="O2199" s="4" t="str">
        <f>IFERROR(__xludf.DUMMYFUNCTION("""COMPUTED_VALUE"""),"Saipos Serviços De Software")</f>
        <v>Saipos Serviços De Software</v>
      </c>
      <c r="P2199" s="33">
        <f>IFERROR(__xludf.DUMMYFUNCTION("""COMPUTED_VALUE"""),1.0)</f>
        <v>1</v>
      </c>
      <c r="Q2199" s="4" t="str">
        <f>IFERROR(__xludf.DUMMYFUNCTION("""COMPUTED_VALUE"""),"Saipos Serviços De Software")</f>
        <v>Saipos Serviços De Software</v>
      </c>
      <c r="R2199" s="33">
        <f>IFERROR(__xludf.DUMMYFUNCTION("""COMPUTED_VALUE"""),1.0)</f>
        <v>1</v>
      </c>
      <c r="S2199" s="4" t="str">
        <f>IFERROR(__xludf.DUMMYFUNCTION("""COMPUTED_VALUE"""),"Saipos Serviços De Software")</f>
        <v>Saipos Serviços De Software</v>
      </c>
      <c r="T2199" s="33">
        <f>IFERROR(__xludf.DUMMYFUNCTION("""COMPUTED_VALUE"""),1.0)</f>
        <v>1</v>
      </c>
      <c r="U2199" s="4" t="str">
        <f>IFERROR(__xludf.DUMMYFUNCTION("""COMPUTED_VALUE"""),"Saipos Serviços De Software")</f>
        <v>Saipos Serviços De Software</v>
      </c>
      <c r="V2199" s="33">
        <f>IFERROR(__xludf.DUMMYFUNCTION("""COMPUTED_VALUE"""),1.0)</f>
        <v>1</v>
      </c>
      <c r="W2199" s="4" t="str">
        <f>IFERROR(__xludf.DUMMYFUNCTION("""COMPUTED_VALUE"""),"Saipos Serviços De Software")</f>
        <v>Saipos Serviços De Software</v>
      </c>
      <c r="X2199" s="33">
        <f>IFERROR(__xludf.DUMMYFUNCTION("""COMPUTED_VALUE"""),1.0)</f>
        <v>1</v>
      </c>
    </row>
    <row r="2200">
      <c r="K2200" s="4" t="str">
        <f>IFERROR(__xludf.DUMMYFUNCTION("""COMPUTED_VALUE"""),"BRONX - RR")</f>
        <v>BRONX - RR</v>
      </c>
      <c r="L2200" s="32">
        <f>IFERROR(__xludf.DUMMYFUNCTION("""COMPUTED_VALUE"""),4.0)</f>
        <v>4</v>
      </c>
      <c r="M2200" s="4" t="str">
        <f>IFERROR(__xludf.DUMMYFUNCTION("""COMPUTED_VALUE"""),"Saipos Serviços De Software")</f>
        <v>Saipos Serviços De Software</v>
      </c>
      <c r="N2200" s="33">
        <f>IFERROR(__xludf.DUMMYFUNCTION("""COMPUTED_VALUE"""),1.0)</f>
        <v>1</v>
      </c>
      <c r="O2200" s="4" t="str">
        <f>IFERROR(__xludf.DUMMYFUNCTION("""COMPUTED_VALUE"""),"Saipos Serviços De Software")</f>
        <v>Saipos Serviços De Software</v>
      </c>
      <c r="P2200" s="33">
        <f>IFERROR(__xludf.DUMMYFUNCTION("""COMPUTED_VALUE"""),1.0)</f>
        <v>1</v>
      </c>
      <c r="Q2200" s="4" t="str">
        <f>IFERROR(__xludf.DUMMYFUNCTION("""COMPUTED_VALUE"""),"Saipos Serviços De Software")</f>
        <v>Saipos Serviços De Software</v>
      </c>
      <c r="R2200" s="33">
        <f>IFERROR(__xludf.DUMMYFUNCTION("""COMPUTED_VALUE"""),1.0)</f>
        <v>1</v>
      </c>
      <c r="S2200" s="4" t="str">
        <f>IFERROR(__xludf.DUMMYFUNCTION("""COMPUTED_VALUE"""),"Saipos Serviços De Software")</f>
        <v>Saipos Serviços De Software</v>
      </c>
      <c r="T2200" s="33">
        <f>IFERROR(__xludf.DUMMYFUNCTION("""COMPUTED_VALUE"""),1.0)</f>
        <v>1</v>
      </c>
      <c r="U2200" s="4" t="str">
        <f>IFERROR(__xludf.DUMMYFUNCTION("""COMPUTED_VALUE"""),"Saipos Serviços De Software")</f>
        <v>Saipos Serviços De Software</v>
      </c>
      <c r="V2200" s="33">
        <f>IFERROR(__xludf.DUMMYFUNCTION("""COMPUTED_VALUE"""),1.0)</f>
        <v>1</v>
      </c>
      <c r="W2200" s="4" t="str">
        <f>IFERROR(__xludf.DUMMYFUNCTION("""COMPUTED_VALUE"""),"Saipos Serviços De Software")</f>
        <v>Saipos Serviços De Software</v>
      </c>
      <c r="X2200" s="33">
        <f>IFERROR(__xludf.DUMMYFUNCTION("""COMPUTED_VALUE"""),1.0)</f>
        <v>1</v>
      </c>
    </row>
    <row r="2201">
      <c r="K2201" s="4" t="str">
        <f>IFERROR(__xludf.DUMMYFUNCTION("""COMPUTED_VALUE"""),"BROOKLYN - TERESINA")</f>
        <v>BROOKLYN - TERESINA</v>
      </c>
      <c r="L2201" s="32">
        <f>IFERROR(__xludf.DUMMYFUNCTION("""COMPUTED_VALUE"""),4.0)</f>
        <v>4</v>
      </c>
      <c r="M2201" s="4" t="str">
        <f>IFERROR(__xludf.DUMMYFUNCTION("""COMPUTED_VALUE"""),"Saipos Serviços De Software")</f>
        <v>Saipos Serviços De Software</v>
      </c>
      <c r="N2201" s="33">
        <f>IFERROR(__xludf.DUMMYFUNCTION("""COMPUTED_VALUE"""),0.75)</f>
        <v>0.75</v>
      </c>
      <c r="O2201" s="4" t="str">
        <f>IFERROR(__xludf.DUMMYFUNCTION("""COMPUTED_VALUE"""),"Saipos Serviços De Software")</f>
        <v>Saipos Serviços De Software</v>
      </c>
      <c r="P2201" s="33">
        <f>IFERROR(__xludf.DUMMYFUNCTION("""COMPUTED_VALUE"""),0.75)</f>
        <v>0.75</v>
      </c>
      <c r="Q2201" s="4" t="str">
        <f>IFERROR(__xludf.DUMMYFUNCTION("""COMPUTED_VALUE"""),"Saipos Serviços De Software")</f>
        <v>Saipos Serviços De Software</v>
      </c>
      <c r="R2201" s="33">
        <f>IFERROR(__xludf.DUMMYFUNCTION("""COMPUTED_VALUE"""),1.0)</f>
        <v>1</v>
      </c>
      <c r="S2201" s="4" t="str">
        <f>IFERROR(__xludf.DUMMYFUNCTION("""COMPUTED_VALUE"""),"Saipos Serviços De Software")</f>
        <v>Saipos Serviços De Software</v>
      </c>
      <c r="T2201" s="33">
        <f>IFERROR(__xludf.DUMMYFUNCTION("""COMPUTED_VALUE"""),1.0)</f>
        <v>1</v>
      </c>
      <c r="U2201" s="4" t="str">
        <f>IFERROR(__xludf.DUMMYFUNCTION("""COMPUTED_VALUE"""),"Saipos Serviços De Software")</f>
        <v>Saipos Serviços De Software</v>
      </c>
      <c r="V2201" s="33">
        <f>IFERROR(__xludf.DUMMYFUNCTION("""COMPUTED_VALUE"""),1.0)</f>
        <v>1</v>
      </c>
      <c r="W2201" s="4" t="str">
        <f>IFERROR(__xludf.DUMMYFUNCTION("""COMPUTED_VALUE"""),"Saipos Serviços De Software")</f>
        <v>Saipos Serviços De Software</v>
      </c>
      <c r="X2201" s="33">
        <f>IFERROR(__xludf.DUMMYFUNCTION("""COMPUTED_VALUE"""),1.0)</f>
        <v>1</v>
      </c>
    </row>
    <row r="2202">
      <c r="K2202" s="4" t="str">
        <f>IFERROR(__xludf.DUMMYFUNCTION("""COMPUTED_VALUE"""),"BRUTTUS BURGER")</f>
        <v>BRUTTUS BURGER</v>
      </c>
      <c r="L2202" s="32">
        <f>IFERROR(__xludf.DUMMYFUNCTION("""COMPUTED_VALUE"""),4.0)</f>
        <v>4</v>
      </c>
      <c r="M2202" s="4" t="str">
        <f>IFERROR(__xludf.DUMMYFUNCTION("""COMPUTED_VALUE"""),"Saipos Serviços De Software")</f>
        <v>Saipos Serviços De Software</v>
      </c>
      <c r="N2202" s="33">
        <f>IFERROR(__xludf.DUMMYFUNCTION("""COMPUTED_VALUE"""),1.0)</f>
        <v>1</v>
      </c>
      <c r="O2202" s="4" t="str">
        <f>IFERROR(__xludf.DUMMYFUNCTION("""COMPUTED_VALUE"""),"Saipos Serviços De Software")</f>
        <v>Saipos Serviços De Software</v>
      </c>
      <c r="P2202" s="33">
        <f>IFERROR(__xludf.DUMMYFUNCTION("""COMPUTED_VALUE"""),1.0)</f>
        <v>1</v>
      </c>
      <c r="Q2202" s="4" t="str">
        <f>IFERROR(__xludf.DUMMYFUNCTION("""COMPUTED_VALUE"""),"Saipos Serviços De Software")</f>
        <v>Saipos Serviços De Software</v>
      </c>
      <c r="R2202" s="33">
        <f>IFERROR(__xludf.DUMMYFUNCTION("""COMPUTED_VALUE"""),1.0)</f>
        <v>1</v>
      </c>
      <c r="S2202" s="4" t="str">
        <f>IFERROR(__xludf.DUMMYFUNCTION("""COMPUTED_VALUE"""),"Saipos Serviços De Software")</f>
        <v>Saipos Serviços De Software</v>
      </c>
      <c r="T2202" s="33">
        <f>IFERROR(__xludf.DUMMYFUNCTION("""COMPUTED_VALUE"""),1.0)</f>
        <v>1</v>
      </c>
      <c r="U2202" s="4" t="str">
        <f>IFERROR(__xludf.DUMMYFUNCTION("""COMPUTED_VALUE"""),"Saipos Serviços De Software")</f>
        <v>Saipos Serviços De Software</v>
      </c>
      <c r="V2202" s="33">
        <f>IFERROR(__xludf.DUMMYFUNCTION("""COMPUTED_VALUE"""),1.0)</f>
        <v>1</v>
      </c>
      <c r="W2202" s="4" t="str">
        <f>IFERROR(__xludf.DUMMYFUNCTION("""COMPUTED_VALUE"""),"Saipos Serviços De Software")</f>
        <v>Saipos Serviços De Software</v>
      </c>
      <c r="X2202" s="33">
        <f>IFERROR(__xludf.DUMMYFUNCTION("""COMPUTED_VALUE"""),1.0)</f>
        <v>1</v>
      </c>
    </row>
    <row r="2203">
      <c r="K2203" s="4" t="str">
        <f>IFERROR(__xludf.DUMMYFUNCTION("""COMPUTED_VALUE"""),"BRUTUS BURGUER GRILL - CONTA MARCA")</f>
        <v>BRUTUS BURGUER GRILL - CONTA MARCA</v>
      </c>
      <c r="L2203" s="32">
        <f>IFERROR(__xludf.DUMMYFUNCTION("""COMPUTED_VALUE"""),4.0)</f>
        <v>4</v>
      </c>
      <c r="M2203" s="4" t="str">
        <f>IFERROR(__xludf.DUMMYFUNCTION("""COMPUTED_VALUE"""),"Eclética Tecnologia")</f>
        <v>Eclética Tecnologia</v>
      </c>
      <c r="N2203" s="33">
        <f>IFERROR(__xludf.DUMMYFUNCTION("""COMPUTED_VALUE"""),0.75)</f>
        <v>0.75</v>
      </c>
      <c r="O2203" s="4" t="str">
        <f>IFERROR(__xludf.DUMMYFUNCTION("""COMPUTED_VALUE"""),"Eclética Tecnologia")</f>
        <v>Eclética Tecnologia</v>
      </c>
      <c r="P2203" s="33">
        <f>IFERROR(__xludf.DUMMYFUNCTION("""COMPUTED_VALUE"""),0.75)</f>
        <v>0.75</v>
      </c>
      <c r="Q2203" s="4" t="str">
        <f>IFERROR(__xludf.DUMMYFUNCTION("""COMPUTED_VALUE"""),"Eclética Tecnologia")</f>
        <v>Eclética Tecnologia</v>
      </c>
      <c r="R2203" s="33">
        <f>IFERROR(__xludf.DUMMYFUNCTION("""COMPUTED_VALUE"""),0.5)</f>
        <v>0.5</v>
      </c>
      <c r="S2203" s="4" t="str">
        <f>IFERROR(__xludf.DUMMYFUNCTION("""COMPUTED_VALUE"""),"null")</f>
        <v>null</v>
      </c>
      <c r="T2203" s="33">
        <f>IFERROR(__xludf.DUMMYFUNCTION("""COMPUTED_VALUE"""),0.75)</f>
        <v>0.75</v>
      </c>
      <c r="U2203" s="4" t="str">
        <f>IFERROR(__xludf.DUMMYFUNCTION("""COMPUTED_VALUE"""),"null")</f>
        <v>null</v>
      </c>
      <c r="V2203" s="33">
        <f>IFERROR(__xludf.DUMMYFUNCTION("""COMPUTED_VALUE"""),0.75)</f>
        <v>0.75</v>
      </c>
      <c r="W2203" s="4" t="str">
        <f>IFERROR(__xludf.DUMMYFUNCTION("""COMPUTED_VALUE"""),"null")</f>
        <v>null</v>
      </c>
      <c r="X2203" s="33">
        <f>IFERROR(__xludf.DUMMYFUNCTION("""COMPUTED_VALUE"""),1.0)</f>
        <v>1</v>
      </c>
    </row>
    <row r="2204">
      <c r="K2204" s="4" t="str">
        <f>IFERROR(__xludf.DUMMYFUNCTION("""COMPUTED_VALUE"""),"BUENOS PIZZA")</f>
        <v>BUENOS PIZZA</v>
      </c>
      <c r="L2204" s="32">
        <f>IFERROR(__xludf.DUMMYFUNCTION("""COMPUTED_VALUE"""),4.0)</f>
        <v>4</v>
      </c>
      <c r="M2204" s="4" t="str">
        <f>IFERROR(__xludf.DUMMYFUNCTION("""COMPUTED_VALUE"""),"Saipos Serviços De Software")</f>
        <v>Saipos Serviços De Software</v>
      </c>
      <c r="N2204" s="33">
        <f>IFERROR(__xludf.DUMMYFUNCTION("""COMPUTED_VALUE"""),1.0)</f>
        <v>1</v>
      </c>
      <c r="O2204" s="4" t="str">
        <f>IFERROR(__xludf.DUMMYFUNCTION("""COMPUTED_VALUE"""),"Saipos Serviços De Software")</f>
        <v>Saipos Serviços De Software</v>
      </c>
      <c r="P2204" s="33">
        <f>IFERROR(__xludf.DUMMYFUNCTION("""COMPUTED_VALUE"""),1.0)</f>
        <v>1</v>
      </c>
      <c r="Q2204" s="4" t="str">
        <f>IFERROR(__xludf.DUMMYFUNCTION("""COMPUTED_VALUE"""),"Saipos Serviços De Software")</f>
        <v>Saipos Serviços De Software</v>
      </c>
      <c r="R2204" s="33">
        <f>IFERROR(__xludf.DUMMYFUNCTION("""COMPUTED_VALUE"""),1.0)</f>
        <v>1</v>
      </c>
      <c r="S2204" s="4" t="str">
        <f>IFERROR(__xludf.DUMMYFUNCTION("""COMPUTED_VALUE"""),"Saipos Serviços De Software")</f>
        <v>Saipos Serviços De Software</v>
      </c>
      <c r="T2204" s="33">
        <f>IFERROR(__xludf.DUMMYFUNCTION("""COMPUTED_VALUE"""),0.75)</f>
        <v>0.75</v>
      </c>
      <c r="U2204" s="4" t="str">
        <f>IFERROR(__xludf.DUMMYFUNCTION("""COMPUTED_VALUE"""),"Saipos Serviços De Software")</f>
        <v>Saipos Serviços De Software</v>
      </c>
      <c r="V2204" s="33">
        <f>IFERROR(__xludf.DUMMYFUNCTION("""COMPUTED_VALUE"""),0.75)</f>
        <v>0.75</v>
      </c>
      <c r="W2204" s="4" t="str">
        <f>IFERROR(__xludf.DUMMYFUNCTION("""COMPUTED_VALUE"""),"Saipos Serviços De Software")</f>
        <v>Saipos Serviços De Software</v>
      </c>
      <c r="X2204" s="33">
        <f>IFERROR(__xludf.DUMMYFUNCTION("""COMPUTED_VALUE"""),1.0)</f>
        <v>1</v>
      </c>
    </row>
    <row r="2205">
      <c r="K2205" s="4" t="str">
        <f>IFERROR(__xludf.DUMMYFUNCTION("""COMPUTED_VALUE"""),"BURGUERIA SETE NOVE - CONTA PAI")</f>
        <v>BURGUERIA SETE NOVE - CONTA PAI</v>
      </c>
      <c r="L2205" s="32">
        <f>IFERROR(__xludf.DUMMYFUNCTION("""COMPUTED_VALUE"""),4.0)</f>
        <v>4</v>
      </c>
      <c r="M2205" s="4" t="str">
        <f>IFERROR(__xludf.DUMMYFUNCTION("""COMPUTED_VALUE"""),"null")</f>
        <v>null</v>
      </c>
      <c r="N2205" s="33">
        <f>IFERROR(__xludf.DUMMYFUNCTION("""COMPUTED_VALUE"""),0.75)</f>
        <v>0.75</v>
      </c>
      <c r="O2205" s="4" t="str">
        <f>IFERROR(__xludf.DUMMYFUNCTION("""COMPUTED_VALUE"""),"null")</f>
        <v>null</v>
      </c>
      <c r="P2205" s="33">
        <f>IFERROR(__xludf.DUMMYFUNCTION("""COMPUTED_VALUE"""),0.75)</f>
        <v>0.75</v>
      </c>
      <c r="Q2205" s="4" t="str">
        <f>IFERROR(__xludf.DUMMYFUNCTION("""COMPUTED_VALUE"""),"Cardápio Web")</f>
        <v>Cardápio Web</v>
      </c>
      <c r="R2205" s="33">
        <f>IFERROR(__xludf.DUMMYFUNCTION("""COMPUTED_VALUE"""),0.5)</f>
        <v>0.5</v>
      </c>
      <c r="S2205" s="4" t="str">
        <f>IFERROR(__xludf.DUMMYFUNCTION("""COMPUTED_VALUE"""),"Cardápio Web")</f>
        <v>Cardápio Web</v>
      </c>
      <c r="T2205" s="33">
        <f>IFERROR(__xludf.DUMMYFUNCTION("""COMPUTED_VALUE"""),0.5)</f>
        <v>0.5</v>
      </c>
      <c r="U2205" s="4" t="str">
        <f>IFERROR(__xludf.DUMMYFUNCTION("""COMPUTED_VALUE"""),"Cardápio Web")</f>
        <v>Cardápio Web</v>
      </c>
      <c r="V2205" s="33">
        <f>IFERROR(__xludf.DUMMYFUNCTION("""COMPUTED_VALUE"""),0.5)</f>
        <v>0.5</v>
      </c>
      <c r="W2205" s="4" t="str">
        <f>IFERROR(__xludf.DUMMYFUNCTION("""COMPUTED_VALUE"""),"Cardápio Web")</f>
        <v>Cardápio Web</v>
      </c>
      <c r="X2205" s="33">
        <f>IFERROR(__xludf.DUMMYFUNCTION("""COMPUTED_VALUE"""),0.5)</f>
        <v>0.5</v>
      </c>
    </row>
    <row r="2206">
      <c r="K2206" s="4" t="str">
        <f>IFERROR(__xludf.DUMMYFUNCTION("""COMPUTED_VALUE"""),"BYDOOL CONTA PAI")</f>
        <v>BYDOOL CONTA PAI</v>
      </c>
      <c r="L2206" s="32">
        <f>IFERROR(__xludf.DUMMYFUNCTION("""COMPUTED_VALUE"""),4.0)</f>
        <v>4</v>
      </c>
      <c r="M2206" s="4" t="str">
        <f>IFERROR(__xludf.DUMMYFUNCTION("""COMPUTED_VALUE"""),"Cardápio Web")</f>
        <v>Cardápio Web</v>
      </c>
      <c r="N2206" s="33">
        <f>IFERROR(__xludf.DUMMYFUNCTION("""COMPUTED_VALUE"""),1.0)</f>
        <v>1</v>
      </c>
      <c r="O2206" s="4" t="str">
        <f>IFERROR(__xludf.DUMMYFUNCTION("""COMPUTED_VALUE"""),"Cardápio Web")</f>
        <v>Cardápio Web</v>
      </c>
      <c r="P2206" s="33">
        <f>IFERROR(__xludf.DUMMYFUNCTION("""COMPUTED_VALUE"""),1.0)</f>
        <v>1</v>
      </c>
      <c r="Q2206" s="4" t="str">
        <f>IFERROR(__xludf.DUMMYFUNCTION("""COMPUTED_VALUE"""),"Cardápio Web")</f>
        <v>Cardápio Web</v>
      </c>
      <c r="R2206" s="33">
        <f>IFERROR(__xludf.DUMMYFUNCTION("""COMPUTED_VALUE"""),1.0)</f>
        <v>1</v>
      </c>
      <c r="S2206" s="4" t="str">
        <f>IFERROR(__xludf.DUMMYFUNCTION("""COMPUTED_VALUE"""),"Cardápio Web")</f>
        <v>Cardápio Web</v>
      </c>
      <c r="T2206" s="33">
        <f>IFERROR(__xludf.DUMMYFUNCTION("""COMPUTED_VALUE"""),1.0)</f>
        <v>1</v>
      </c>
      <c r="U2206" s="4" t="str">
        <f>IFERROR(__xludf.DUMMYFUNCTION("""COMPUTED_VALUE"""),"Cardápio Web")</f>
        <v>Cardápio Web</v>
      </c>
      <c r="V2206" s="33">
        <f>IFERROR(__xludf.DUMMYFUNCTION("""COMPUTED_VALUE"""),1.0)</f>
        <v>1</v>
      </c>
      <c r="W2206" s="4" t="str">
        <f>IFERROR(__xludf.DUMMYFUNCTION("""COMPUTED_VALUE"""),"Cardápio Web")</f>
        <v>Cardápio Web</v>
      </c>
      <c r="X2206" s="33">
        <f>IFERROR(__xludf.DUMMYFUNCTION("""COMPUTED_VALUE"""),1.0)</f>
        <v>1</v>
      </c>
    </row>
    <row r="2207">
      <c r="K2207" s="4" t="str">
        <f>IFERROR(__xludf.DUMMYFUNCTION("""COMPUTED_VALUE"""),"CAFE DO GORDO")</f>
        <v>CAFE DO GORDO</v>
      </c>
      <c r="L2207" s="32">
        <f>IFERROR(__xludf.DUMMYFUNCTION("""COMPUTED_VALUE"""),4.0)</f>
        <v>4</v>
      </c>
      <c r="M2207" s="4" t="str">
        <f>IFERROR(__xludf.DUMMYFUNCTION("""COMPUTED_VALUE"""),"Cardápio Web")</f>
        <v>Cardápio Web</v>
      </c>
      <c r="N2207" s="33">
        <f>IFERROR(__xludf.DUMMYFUNCTION("""COMPUTED_VALUE"""),0.75)</f>
        <v>0.75</v>
      </c>
      <c r="O2207" s="4" t="str">
        <f>IFERROR(__xludf.DUMMYFUNCTION("""COMPUTED_VALUE"""),"Cardápio Web")</f>
        <v>Cardápio Web</v>
      </c>
      <c r="P2207" s="33">
        <f>IFERROR(__xludf.DUMMYFUNCTION("""COMPUTED_VALUE"""),0.75)</f>
        <v>0.75</v>
      </c>
      <c r="Q2207" s="4" t="str">
        <f>IFERROR(__xludf.DUMMYFUNCTION("""COMPUTED_VALUE"""),"Cardápio Web")</f>
        <v>Cardápio Web</v>
      </c>
      <c r="R2207" s="33">
        <f>IFERROR(__xludf.DUMMYFUNCTION("""COMPUTED_VALUE"""),0.75)</f>
        <v>0.75</v>
      </c>
      <c r="S2207" s="4" t="str">
        <f>IFERROR(__xludf.DUMMYFUNCTION("""COMPUTED_VALUE"""),"Cardápio Web")</f>
        <v>Cardápio Web</v>
      </c>
      <c r="T2207" s="33">
        <f>IFERROR(__xludf.DUMMYFUNCTION("""COMPUTED_VALUE"""),0.75)</f>
        <v>0.75</v>
      </c>
      <c r="U2207" s="4" t="str">
        <f>IFERROR(__xludf.DUMMYFUNCTION("""COMPUTED_VALUE"""),"Cardápio Web")</f>
        <v>Cardápio Web</v>
      </c>
      <c r="V2207" s="33">
        <f>IFERROR(__xludf.DUMMYFUNCTION("""COMPUTED_VALUE"""),1.0)</f>
        <v>1</v>
      </c>
      <c r="W2207" s="4" t="str">
        <f>IFERROR(__xludf.DUMMYFUNCTION("""COMPUTED_VALUE"""),"Cardápio Web")</f>
        <v>Cardápio Web</v>
      </c>
      <c r="X2207" s="33">
        <f>IFERROR(__xludf.DUMMYFUNCTION("""COMPUTED_VALUE"""),1.0)</f>
        <v>1</v>
      </c>
    </row>
    <row r="2208">
      <c r="K2208" s="4" t="str">
        <f>IFERROR(__xludf.DUMMYFUNCTION("""COMPUTED_VALUE"""),"CANTIN DO BRAZ")</f>
        <v>CANTIN DO BRAZ</v>
      </c>
      <c r="L2208" s="32">
        <f>IFERROR(__xludf.DUMMYFUNCTION("""COMPUTED_VALUE"""),4.0)</f>
        <v>4</v>
      </c>
      <c r="M2208" s="4" t="str">
        <f>IFERROR(__xludf.DUMMYFUNCTION("""COMPUTED_VALUE"""),"Saipos Serviços De Software")</f>
        <v>Saipos Serviços De Software</v>
      </c>
      <c r="N2208" s="33">
        <f>IFERROR(__xludf.DUMMYFUNCTION("""COMPUTED_VALUE"""),0.75)</f>
        <v>0.75</v>
      </c>
      <c r="O2208" s="4" t="str">
        <f>IFERROR(__xludf.DUMMYFUNCTION("""COMPUTED_VALUE"""),"Saipos Serviços De Software")</f>
        <v>Saipos Serviços De Software</v>
      </c>
      <c r="P2208" s="33">
        <f>IFERROR(__xludf.DUMMYFUNCTION("""COMPUTED_VALUE"""),0.75)</f>
        <v>0.75</v>
      </c>
      <c r="Q2208" s="4" t="str">
        <f>IFERROR(__xludf.DUMMYFUNCTION("""COMPUTED_VALUE"""),"Saipos Serviços De Software")</f>
        <v>Saipos Serviços De Software</v>
      </c>
      <c r="R2208" s="33">
        <f>IFERROR(__xludf.DUMMYFUNCTION("""COMPUTED_VALUE"""),0.75)</f>
        <v>0.75</v>
      </c>
      <c r="S2208" s="4" t="str">
        <f>IFERROR(__xludf.DUMMYFUNCTION("""COMPUTED_VALUE"""),"Saipos Serviços De Software")</f>
        <v>Saipos Serviços De Software</v>
      </c>
      <c r="T2208" s="33">
        <f>IFERROR(__xludf.DUMMYFUNCTION("""COMPUTED_VALUE"""),1.0)</f>
        <v>1</v>
      </c>
      <c r="U2208" s="4" t="str">
        <f>IFERROR(__xludf.DUMMYFUNCTION("""COMPUTED_VALUE"""),"Saipos Serviços De Software")</f>
        <v>Saipos Serviços De Software</v>
      </c>
      <c r="V2208" s="33">
        <f>IFERROR(__xludf.DUMMYFUNCTION("""COMPUTED_VALUE"""),1.0)</f>
        <v>1</v>
      </c>
      <c r="W2208" s="4" t="str">
        <f>IFERROR(__xludf.DUMMYFUNCTION("""COMPUTED_VALUE"""),"Saipos Serviços De Software")</f>
        <v>Saipos Serviços De Software</v>
      </c>
      <c r="X2208" s="33">
        <f>IFERROR(__xludf.DUMMYFUNCTION("""COMPUTED_VALUE"""),1.0)</f>
        <v>1</v>
      </c>
    </row>
    <row r="2209">
      <c r="K2209" s="4" t="str">
        <f>IFERROR(__xludf.DUMMYFUNCTION("""COMPUTED_VALUE"""),"CANTINA DI GABI")</f>
        <v>CANTINA DI GABI</v>
      </c>
      <c r="L2209" s="32">
        <f>IFERROR(__xludf.DUMMYFUNCTION("""COMPUTED_VALUE"""),4.0)</f>
        <v>4</v>
      </c>
      <c r="M2209" s="4" t="str">
        <f>IFERROR(__xludf.DUMMYFUNCTION("""COMPUTED_VALUE"""),"Grandchef Desenvolvimento De Sistemas Ltda")</f>
        <v>Grandchef Desenvolvimento De Sistemas Ltda</v>
      </c>
      <c r="N2209" s="33">
        <f>IFERROR(__xludf.DUMMYFUNCTION("""COMPUTED_VALUE"""),0.5)</f>
        <v>0.5</v>
      </c>
      <c r="O2209" s="4" t="str">
        <f>IFERROR(__xludf.DUMMYFUNCTION("""COMPUTED_VALUE"""),"Cardápio Web")</f>
        <v>Cardápio Web</v>
      </c>
      <c r="P2209" s="33">
        <f>IFERROR(__xludf.DUMMYFUNCTION("""COMPUTED_VALUE"""),0.75)</f>
        <v>0.75</v>
      </c>
      <c r="Q2209" s="4" t="str">
        <f>IFERROR(__xludf.DUMMYFUNCTION("""COMPUTED_VALUE"""),"Cardápio Web")</f>
        <v>Cardápio Web</v>
      </c>
      <c r="R2209" s="33">
        <f>IFERROR(__xludf.DUMMYFUNCTION("""COMPUTED_VALUE"""),0.5)</f>
        <v>0.5</v>
      </c>
      <c r="S2209" s="4" t="str">
        <f>IFERROR(__xludf.DUMMYFUNCTION("""COMPUTED_VALUE"""),"Cardápio Web")</f>
        <v>Cardápio Web</v>
      </c>
      <c r="T2209" s="33">
        <f>IFERROR(__xludf.DUMMYFUNCTION("""COMPUTED_VALUE"""),0.5)</f>
        <v>0.5</v>
      </c>
      <c r="U2209" s="4" t="str">
        <f>IFERROR(__xludf.DUMMYFUNCTION("""COMPUTED_VALUE"""),"Cardápio Web")</f>
        <v>Cardápio Web</v>
      </c>
      <c r="V2209" s="33">
        <f>IFERROR(__xludf.DUMMYFUNCTION("""COMPUTED_VALUE"""),0.5)</f>
        <v>0.5</v>
      </c>
      <c r="W2209" s="4" t="str">
        <f>IFERROR(__xludf.DUMMYFUNCTION("""COMPUTED_VALUE"""),"Cardápio Web")</f>
        <v>Cardápio Web</v>
      </c>
      <c r="X2209" s="33">
        <f>IFERROR(__xludf.DUMMYFUNCTION("""COMPUTED_VALUE"""),0.5)</f>
        <v>0.5</v>
      </c>
    </row>
    <row r="2210">
      <c r="K2210" s="4" t="str">
        <f>IFERROR(__xludf.DUMMYFUNCTION("""COMPUTED_VALUE"""),"CANTINA DO DELIO - CONTA MARCA - CONTRATO")</f>
        <v>CANTINA DO DELIO - CONTA MARCA - CONTRATO</v>
      </c>
      <c r="L2210" s="32">
        <f>IFERROR(__xludf.DUMMYFUNCTION("""COMPUTED_VALUE"""),4.0)</f>
        <v>4</v>
      </c>
      <c r="M2210" s="4" t="str">
        <f>IFERROR(__xludf.DUMMYFUNCTION("""COMPUTED_VALUE"""),"Lexsis Sistemas")</f>
        <v>Lexsis Sistemas</v>
      </c>
      <c r="N2210" s="33">
        <f>IFERROR(__xludf.DUMMYFUNCTION("""COMPUTED_VALUE"""),0.75)</f>
        <v>0.75</v>
      </c>
      <c r="O2210" s="4" t="str">
        <f>IFERROR(__xludf.DUMMYFUNCTION("""COMPUTED_VALUE"""),"Lexsis Sistemas")</f>
        <v>Lexsis Sistemas</v>
      </c>
      <c r="P2210" s="33">
        <f>IFERROR(__xludf.DUMMYFUNCTION("""COMPUTED_VALUE"""),0.75)</f>
        <v>0.75</v>
      </c>
      <c r="Q2210" s="4" t="str">
        <f>IFERROR(__xludf.DUMMYFUNCTION("""COMPUTED_VALUE"""),"Lexsis Sistemas")</f>
        <v>Lexsis Sistemas</v>
      </c>
      <c r="R2210" s="33">
        <f>IFERROR(__xludf.DUMMYFUNCTION("""COMPUTED_VALUE"""),0.75)</f>
        <v>0.75</v>
      </c>
      <c r="S2210" s="4" t="str">
        <f>IFERROR(__xludf.DUMMYFUNCTION("""COMPUTED_VALUE"""),"Lexsis Sistemas")</f>
        <v>Lexsis Sistemas</v>
      </c>
      <c r="T2210" s="33">
        <f>IFERROR(__xludf.DUMMYFUNCTION("""COMPUTED_VALUE"""),0.75)</f>
        <v>0.75</v>
      </c>
      <c r="U2210" s="4" t="str">
        <f>IFERROR(__xludf.DUMMYFUNCTION("""COMPUTED_VALUE"""),"Lexsis Sistemas")</f>
        <v>Lexsis Sistemas</v>
      </c>
      <c r="V2210" s="33">
        <f>IFERROR(__xludf.DUMMYFUNCTION("""COMPUTED_VALUE"""),0.75)</f>
        <v>0.75</v>
      </c>
      <c r="W2210" s="4" t="str">
        <f>IFERROR(__xludf.DUMMYFUNCTION("""COMPUTED_VALUE"""),"Lexsis Sistemas")</f>
        <v>Lexsis Sistemas</v>
      </c>
      <c r="X2210" s="33">
        <f>IFERROR(__xludf.DUMMYFUNCTION("""COMPUTED_VALUE"""),0.75)</f>
        <v>0.75</v>
      </c>
    </row>
    <row r="2211">
      <c r="K2211" s="4" t="str">
        <f>IFERROR(__xludf.DUMMYFUNCTION("""COMPUTED_VALUE"""),"CAPITAL DA PIZZA")</f>
        <v>CAPITAL DA PIZZA</v>
      </c>
      <c r="L2211" s="32">
        <f>IFERROR(__xludf.DUMMYFUNCTION("""COMPUTED_VALUE"""),4.0)</f>
        <v>4</v>
      </c>
      <c r="M2211" s="4" t="str">
        <f>IFERROR(__xludf.DUMMYFUNCTION("""COMPUTED_VALUE"""),"Grk Soluções Informatica Eireli")</f>
        <v>Grk Soluções Informatica Eireli</v>
      </c>
      <c r="N2211" s="33">
        <f>IFERROR(__xludf.DUMMYFUNCTION("""COMPUTED_VALUE"""),1.0)</f>
        <v>1</v>
      </c>
      <c r="O2211" s="4" t="str">
        <f>IFERROR(__xludf.DUMMYFUNCTION("""COMPUTED_VALUE"""),"Grk Soluções Informatica Eireli")</f>
        <v>Grk Soluções Informatica Eireli</v>
      </c>
      <c r="P2211" s="33">
        <f>IFERROR(__xludf.DUMMYFUNCTION("""COMPUTED_VALUE"""),1.0)</f>
        <v>1</v>
      </c>
      <c r="Q2211" s="4" t="str">
        <f>IFERROR(__xludf.DUMMYFUNCTION("""COMPUTED_VALUE"""),"Grk Soluções Informatica Eireli")</f>
        <v>Grk Soluções Informatica Eireli</v>
      </c>
      <c r="R2211" s="33">
        <f>IFERROR(__xludf.DUMMYFUNCTION("""COMPUTED_VALUE"""),1.0)</f>
        <v>1</v>
      </c>
      <c r="S2211" s="4" t="str">
        <f>IFERROR(__xludf.DUMMYFUNCTION("""COMPUTED_VALUE"""),"Grk Soluções Informatica Eireli")</f>
        <v>Grk Soluções Informatica Eireli</v>
      </c>
      <c r="T2211" s="33">
        <f>IFERROR(__xludf.DUMMYFUNCTION("""COMPUTED_VALUE"""),1.0)</f>
        <v>1</v>
      </c>
      <c r="U2211" s="4" t="str">
        <f>IFERROR(__xludf.DUMMYFUNCTION("""COMPUTED_VALUE"""),"Grk Soluções Informatica Eireli")</f>
        <v>Grk Soluções Informatica Eireli</v>
      </c>
      <c r="V2211" s="33">
        <f>IFERROR(__xludf.DUMMYFUNCTION("""COMPUTED_VALUE"""),1.0)</f>
        <v>1</v>
      </c>
      <c r="W2211" s="4" t="str">
        <f>IFERROR(__xludf.DUMMYFUNCTION("""COMPUTED_VALUE"""),"Grk Soluções Informatica Eireli")</f>
        <v>Grk Soluções Informatica Eireli</v>
      </c>
      <c r="X2211" s="33">
        <f>IFERROR(__xludf.DUMMYFUNCTION("""COMPUTED_VALUE"""),1.0)</f>
        <v>1</v>
      </c>
    </row>
    <row r="2212">
      <c r="K2212" s="4" t="str">
        <f>IFERROR(__xludf.DUMMYFUNCTION("""COMPUTED_VALUE"""),"CAPITAL DA PIZZA - CONTA PAI")</f>
        <v>CAPITAL DA PIZZA - CONTA PAI</v>
      </c>
      <c r="L2212" s="32">
        <f>IFERROR(__xludf.DUMMYFUNCTION("""COMPUTED_VALUE"""),4.0)</f>
        <v>4</v>
      </c>
      <c r="M2212" s="4" t="str">
        <f>IFERROR(__xludf.DUMMYFUNCTION("""COMPUTED_VALUE"""),"Grk Soluções Informatica Eireli")</f>
        <v>Grk Soluções Informatica Eireli</v>
      </c>
      <c r="N2212" s="33">
        <f>IFERROR(__xludf.DUMMYFUNCTION("""COMPUTED_VALUE"""),1.0)</f>
        <v>1</v>
      </c>
      <c r="O2212" s="4" t="str">
        <f>IFERROR(__xludf.DUMMYFUNCTION("""COMPUTED_VALUE"""),"Grk Soluções Informatica Eireli")</f>
        <v>Grk Soluções Informatica Eireli</v>
      </c>
      <c r="P2212" s="33">
        <f>IFERROR(__xludf.DUMMYFUNCTION("""COMPUTED_VALUE"""),1.0)</f>
        <v>1</v>
      </c>
      <c r="Q2212" s="4" t="str">
        <f>IFERROR(__xludf.DUMMYFUNCTION("""COMPUTED_VALUE"""),"Grk Soluções Informatica Eireli")</f>
        <v>Grk Soluções Informatica Eireli</v>
      </c>
      <c r="R2212" s="33">
        <f>IFERROR(__xludf.DUMMYFUNCTION("""COMPUTED_VALUE"""),1.0)</f>
        <v>1</v>
      </c>
      <c r="S2212" s="4" t="str">
        <f>IFERROR(__xludf.DUMMYFUNCTION("""COMPUTED_VALUE"""),"Grk Soluções Informatica Eireli")</f>
        <v>Grk Soluções Informatica Eireli</v>
      </c>
      <c r="T2212" s="33">
        <f>IFERROR(__xludf.DUMMYFUNCTION("""COMPUTED_VALUE"""),1.0)</f>
        <v>1</v>
      </c>
      <c r="U2212" s="4" t="str">
        <f>IFERROR(__xludf.DUMMYFUNCTION("""COMPUTED_VALUE"""),"Grk Soluções Informatica Eireli")</f>
        <v>Grk Soluções Informatica Eireli</v>
      </c>
      <c r="V2212" s="33">
        <f>IFERROR(__xludf.DUMMYFUNCTION("""COMPUTED_VALUE"""),1.0)</f>
        <v>1</v>
      </c>
      <c r="W2212" s="4" t="str">
        <f>IFERROR(__xludf.DUMMYFUNCTION("""COMPUTED_VALUE"""),"Grk Soluções Informatica Eireli")</f>
        <v>Grk Soluções Informatica Eireli</v>
      </c>
      <c r="X2212" s="33">
        <f>IFERROR(__xludf.DUMMYFUNCTION("""COMPUTED_VALUE"""),1.0)</f>
        <v>1</v>
      </c>
    </row>
    <row r="2213">
      <c r="K2213" s="4" t="str">
        <f>IFERROR(__xludf.DUMMYFUNCTION("""COMPUTED_VALUE"""),"CARIO DELIVERY")</f>
        <v>CARIO DELIVERY</v>
      </c>
      <c r="L2213" s="32">
        <f>IFERROR(__xludf.DUMMYFUNCTION("""COMPUTED_VALUE"""),4.0)</f>
        <v>4</v>
      </c>
      <c r="M2213" s="4" t="str">
        <f>IFERROR(__xludf.DUMMYFUNCTION("""COMPUTED_VALUE"""),"Saipos Serviços De Software")</f>
        <v>Saipos Serviços De Software</v>
      </c>
      <c r="N2213" s="33">
        <f>IFERROR(__xludf.DUMMYFUNCTION("""COMPUTED_VALUE"""),1.0)</f>
        <v>1</v>
      </c>
      <c r="O2213" s="4" t="str">
        <f>IFERROR(__xludf.DUMMYFUNCTION("""COMPUTED_VALUE"""),"Saipos Serviços De Software")</f>
        <v>Saipos Serviços De Software</v>
      </c>
      <c r="P2213" s="33">
        <f>IFERROR(__xludf.DUMMYFUNCTION("""COMPUTED_VALUE"""),1.0)</f>
        <v>1</v>
      </c>
      <c r="Q2213" s="4" t="str">
        <f>IFERROR(__xludf.DUMMYFUNCTION("""COMPUTED_VALUE"""),"Saipos Serviços De Software")</f>
        <v>Saipos Serviços De Software</v>
      </c>
      <c r="R2213" s="33">
        <f>IFERROR(__xludf.DUMMYFUNCTION("""COMPUTED_VALUE"""),1.0)</f>
        <v>1</v>
      </c>
      <c r="S2213" s="4" t="str">
        <f>IFERROR(__xludf.DUMMYFUNCTION("""COMPUTED_VALUE"""),"Saipos Serviços De Software")</f>
        <v>Saipos Serviços De Software</v>
      </c>
      <c r="T2213" s="33">
        <f>IFERROR(__xludf.DUMMYFUNCTION("""COMPUTED_VALUE"""),1.0)</f>
        <v>1</v>
      </c>
      <c r="U2213" s="4" t="str">
        <f>IFERROR(__xludf.DUMMYFUNCTION("""COMPUTED_VALUE"""),"Saipos Serviços De Software")</f>
        <v>Saipos Serviços De Software</v>
      </c>
      <c r="V2213" s="33">
        <f>IFERROR(__xludf.DUMMYFUNCTION("""COMPUTED_VALUE"""),1.0)</f>
        <v>1</v>
      </c>
      <c r="W2213" s="4" t="str">
        <f>IFERROR(__xludf.DUMMYFUNCTION("""COMPUTED_VALUE"""),"Saipos Serviços De Software")</f>
        <v>Saipos Serviços De Software</v>
      </c>
      <c r="X2213" s="33">
        <f>IFERROR(__xludf.DUMMYFUNCTION("""COMPUTED_VALUE"""),1.0)</f>
        <v>1</v>
      </c>
    </row>
    <row r="2214">
      <c r="K2214" s="4" t="str">
        <f>IFERROR(__xludf.DUMMYFUNCTION("""COMPUTED_VALUE"""),"CARLA QUENTINHAS")</f>
        <v>CARLA QUENTINHAS</v>
      </c>
      <c r="L2214" s="32">
        <f>IFERROR(__xludf.DUMMYFUNCTION("""COMPUTED_VALUE"""),4.0)</f>
        <v>4</v>
      </c>
      <c r="M2214" s="4" t="str">
        <f>IFERROR(__xludf.DUMMYFUNCTION("""COMPUTED_VALUE"""),"Parseint Desenvolvimento De Sistemas Ltda")</f>
        <v>Parseint Desenvolvimento De Sistemas Ltda</v>
      </c>
      <c r="N2214" s="33">
        <f>IFERROR(__xludf.DUMMYFUNCTION("""COMPUTED_VALUE"""),1.0)</f>
        <v>1</v>
      </c>
      <c r="O2214" s="4" t="str">
        <f>IFERROR(__xludf.DUMMYFUNCTION("""COMPUTED_VALUE"""),"Parseint Desenvolvimento De Sistemas Ltda")</f>
        <v>Parseint Desenvolvimento De Sistemas Ltda</v>
      </c>
      <c r="P2214" s="33">
        <f>IFERROR(__xludf.DUMMYFUNCTION("""COMPUTED_VALUE"""),1.0)</f>
        <v>1</v>
      </c>
      <c r="Q2214" s="4" t="str">
        <f>IFERROR(__xludf.DUMMYFUNCTION("""COMPUTED_VALUE"""),"Parseint Desenvolvimento De Sistemas Ltda")</f>
        <v>Parseint Desenvolvimento De Sistemas Ltda</v>
      </c>
      <c r="R2214" s="33">
        <f>IFERROR(__xludf.DUMMYFUNCTION("""COMPUTED_VALUE"""),1.0)</f>
        <v>1</v>
      </c>
      <c r="S2214" s="4" t="str">
        <f>IFERROR(__xludf.DUMMYFUNCTION("""COMPUTED_VALUE"""),"Parseint Desenvolvimento De Sistemas Ltda")</f>
        <v>Parseint Desenvolvimento De Sistemas Ltda</v>
      </c>
      <c r="T2214" s="33">
        <f>IFERROR(__xludf.DUMMYFUNCTION("""COMPUTED_VALUE"""),1.0)</f>
        <v>1</v>
      </c>
      <c r="U2214" s="4" t="str">
        <f>IFERROR(__xludf.DUMMYFUNCTION("""COMPUTED_VALUE"""),"Parseint Desenvolvimento De Sistemas Ltda")</f>
        <v>Parseint Desenvolvimento De Sistemas Ltda</v>
      </c>
      <c r="V2214" s="33">
        <f>IFERROR(__xludf.DUMMYFUNCTION("""COMPUTED_VALUE"""),1.0)</f>
        <v>1</v>
      </c>
      <c r="W2214" s="4" t="str">
        <f>IFERROR(__xludf.DUMMYFUNCTION("""COMPUTED_VALUE"""),"Parseint Desenvolvimento De Sistemas Ltda")</f>
        <v>Parseint Desenvolvimento De Sistemas Ltda</v>
      </c>
      <c r="X2214" s="33">
        <f>IFERROR(__xludf.DUMMYFUNCTION("""COMPUTED_VALUE"""),0.75)</f>
        <v>0.75</v>
      </c>
    </row>
    <row r="2215">
      <c r="K2215" s="4" t="str">
        <f>IFERROR(__xludf.DUMMYFUNCTION("""COMPUTED_VALUE"""),"CASA COLONIAL - CAMPO GRANDE MS")</f>
        <v>CASA COLONIAL - CAMPO GRANDE MS</v>
      </c>
      <c r="L2215" s="32">
        <f>IFERROR(__xludf.DUMMYFUNCTION("""COMPUTED_VALUE"""),4.0)</f>
        <v>4</v>
      </c>
      <c r="M2215" s="4" t="str">
        <f>IFERROR(__xludf.DUMMYFUNCTION("""COMPUTED_VALUE"""),"Controller Softwares")</f>
        <v>Controller Softwares</v>
      </c>
      <c r="N2215" s="33">
        <f>IFERROR(__xludf.DUMMYFUNCTION("""COMPUTED_VALUE"""),1.0)</f>
        <v>1</v>
      </c>
      <c r="O2215" s="4" t="str">
        <f>IFERROR(__xludf.DUMMYFUNCTION("""COMPUTED_VALUE"""),"Controller Softwares")</f>
        <v>Controller Softwares</v>
      </c>
      <c r="P2215" s="33">
        <f>IFERROR(__xludf.DUMMYFUNCTION("""COMPUTED_VALUE"""),1.0)</f>
        <v>1</v>
      </c>
      <c r="Q2215" s="4" t="str">
        <f>IFERROR(__xludf.DUMMYFUNCTION("""COMPUTED_VALUE"""),"Controller Softwares")</f>
        <v>Controller Softwares</v>
      </c>
      <c r="R2215" s="33">
        <f>IFERROR(__xludf.DUMMYFUNCTION("""COMPUTED_VALUE"""),0.75)</f>
        <v>0.75</v>
      </c>
      <c r="S2215" s="4" t="str">
        <f>IFERROR(__xludf.DUMMYFUNCTION("""COMPUTED_VALUE"""),"Controller Softwares")</f>
        <v>Controller Softwares</v>
      </c>
      <c r="T2215" s="33">
        <f>IFERROR(__xludf.DUMMYFUNCTION("""COMPUTED_VALUE"""),1.0)</f>
        <v>1</v>
      </c>
      <c r="U2215" s="4" t="str">
        <f>IFERROR(__xludf.DUMMYFUNCTION("""COMPUTED_VALUE"""),"null")</f>
        <v>null</v>
      </c>
      <c r="V2215" s="33">
        <f>IFERROR(__xludf.DUMMYFUNCTION("""COMPUTED_VALUE"""),0.5)</f>
        <v>0.5</v>
      </c>
      <c r="W2215" s="4" t="str">
        <f>IFERROR(__xludf.DUMMYFUNCTION("""COMPUTED_VALUE"""),"Controller Softwares")</f>
        <v>Controller Softwares</v>
      </c>
      <c r="X2215" s="33">
        <f>IFERROR(__xludf.DUMMYFUNCTION("""COMPUTED_VALUE"""),1.0)</f>
        <v>1</v>
      </c>
    </row>
    <row r="2216">
      <c r="K2216" s="4" t="str">
        <f>IFERROR(__xludf.DUMMYFUNCTION("""COMPUTED_VALUE"""),"CASA FIESTA SUPERMERCADOS - CONTA PAI")</f>
        <v>CASA FIESTA SUPERMERCADOS - CONTA PAI</v>
      </c>
      <c r="L2216" s="32">
        <f>IFERROR(__xludf.DUMMYFUNCTION("""COMPUTED_VALUE"""),4.0)</f>
        <v>4</v>
      </c>
      <c r="M2216" s="4" t="str">
        <f>IFERROR(__xludf.DUMMYFUNCTION("""COMPUTED_VALUE"""),"N/A (Not found)")</f>
        <v>N/A (Not found)</v>
      </c>
      <c r="N2216" s="33">
        <f>IFERROR(__xludf.DUMMYFUNCTION("""COMPUTED_VALUE"""),1.0)</f>
        <v>1</v>
      </c>
      <c r="O2216" s="4" t="str">
        <f>IFERROR(__xludf.DUMMYFUNCTION("""COMPUTED_VALUE"""),"null")</f>
        <v>null</v>
      </c>
      <c r="P2216" s="33">
        <f>IFERROR(__xludf.DUMMYFUNCTION("""COMPUTED_VALUE"""),1.0)</f>
        <v>1</v>
      </c>
      <c r="Q2216" s="4" t="str">
        <f>IFERROR(__xludf.DUMMYFUNCTION("""COMPUTED_VALUE"""),"null")</f>
        <v>null</v>
      </c>
      <c r="R2216" s="33">
        <f>IFERROR(__xludf.DUMMYFUNCTION("""COMPUTED_VALUE"""),1.0)</f>
        <v>1</v>
      </c>
      <c r="S2216" s="4" t="str">
        <f>IFERROR(__xludf.DUMMYFUNCTION("""COMPUTED_VALUE"""),"null")</f>
        <v>null</v>
      </c>
      <c r="T2216" s="33">
        <f>IFERROR(__xludf.DUMMYFUNCTION("""COMPUTED_VALUE"""),1.0)</f>
        <v>1</v>
      </c>
      <c r="U2216" s="4" t="str">
        <f>IFERROR(__xludf.DUMMYFUNCTION("""COMPUTED_VALUE"""),"null")</f>
        <v>null</v>
      </c>
      <c r="V2216" s="33">
        <f>IFERROR(__xludf.DUMMYFUNCTION("""COMPUTED_VALUE"""),1.0)</f>
        <v>1</v>
      </c>
      <c r="W2216" s="4" t="str">
        <f>IFERROR(__xludf.DUMMYFUNCTION("""COMPUTED_VALUE"""),"null")</f>
        <v>null</v>
      </c>
      <c r="X2216" s="33">
        <f>IFERROR(__xludf.DUMMYFUNCTION("""COMPUTED_VALUE"""),1.0)</f>
        <v>1</v>
      </c>
    </row>
    <row r="2217">
      <c r="K2217" s="4" t="str">
        <f>IFERROR(__xludf.DUMMYFUNCTION("""COMPUTED_VALUE"""),"CASAIE - JD GOIAS")</f>
        <v>CASAIE - JD GOIAS</v>
      </c>
      <c r="L2217" s="32">
        <f>IFERROR(__xludf.DUMMYFUNCTION("""COMPUTED_VALUE"""),4.0)</f>
        <v>4</v>
      </c>
      <c r="M2217" s="4" t="str">
        <f>IFERROR(__xludf.DUMMYFUNCTION("""COMPUTED_VALUE"""),"Vuca Solution")</f>
        <v>Vuca Solution</v>
      </c>
      <c r="N2217" s="33">
        <f>IFERROR(__xludf.DUMMYFUNCTION("""COMPUTED_VALUE"""),0.5)</f>
        <v>0.5</v>
      </c>
      <c r="O2217" s="4" t="str">
        <f>IFERROR(__xludf.DUMMYFUNCTION("""COMPUTED_VALUE"""),"Vuca Solution")</f>
        <v>Vuca Solution</v>
      </c>
      <c r="P2217" s="33">
        <f>IFERROR(__xludf.DUMMYFUNCTION("""COMPUTED_VALUE"""),0.75)</f>
        <v>0.75</v>
      </c>
      <c r="Q2217" s="4" t="str">
        <f>IFERROR(__xludf.DUMMYFUNCTION("""COMPUTED_VALUE"""),"Vuca Solution")</f>
        <v>Vuca Solution</v>
      </c>
      <c r="R2217" s="33">
        <f>IFERROR(__xludf.DUMMYFUNCTION("""COMPUTED_VALUE"""),0.75)</f>
        <v>0.75</v>
      </c>
      <c r="S2217" s="4" t="str">
        <f>IFERROR(__xludf.DUMMYFUNCTION("""COMPUTED_VALUE"""),"null")</f>
        <v>null</v>
      </c>
      <c r="T2217" s="33">
        <f>IFERROR(__xludf.DUMMYFUNCTION("""COMPUTED_VALUE"""),0.5)</f>
        <v>0.5</v>
      </c>
      <c r="U2217" s="4" t="str">
        <f>IFERROR(__xludf.DUMMYFUNCTION("""COMPUTED_VALUE"""),"null")</f>
        <v>null</v>
      </c>
      <c r="V2217" s="33">
        <f>IFERROR(__xludf.DUMMYFUNCTION("""COMPUTED_VALUE"""),0.5)</f>
        <v>0.5</v>
      </c>
      <c r="W2217" s="4" t="str">
        <f>IFERROR(__xludf.DUMMYFUNCTION("""COMPUTED_VALUE"""),"Vuca Solution")</f>
        <v>Vuca Solution</v>
      </c>
      <c r="X2217" s="33">
        <f>IFERROR(__xludf.DUMMYFUNCTION("""COMPUTED_VALUE"""),0.75)</f>
        <v>0.75</v>
      </c>
    </row>
    <row r="2218">
      <c r="K2218" s="4" t="str">
        <f>IFERROR(__xludf.DUMMYFUNCTION("""COMPUTED_VALUE"""),"CONTA GRUPO CASARAO FLORIPA")</f>
        <v>CONTA GRUPO CASARAO FLORIPA</v>
      </c>
      <c r="L2218" s="32">
        <f>IFERROR(__xludf.DUMMYFUNCTION("""COMPUTED_VALUE"""),4.0)</f>
        <v>4</v>
      </c>
      <c r="M2218" s="4" t="str">
        <f>IFERROR(__xludf.DUMMYFUNCTION("""COMPUTED_VALUE"""),"Saipos Serviços De Software")</f>
        <v>Saipos Serviços De Software</v>
      </c>
      <c r="N2218" s="33">
        <f>IFERROR(__xludf.DUMMYFUNCTION("""COMPUTED_VALUE"""),1.0)</f>
        <v>1</v>
      </c>
      <c r="O2218" s="4" t="str">
        <f>IFERROR(__xludf.DUMMYFUNCTION("""COMPUTED_VALUE"""),"Saipos Serviços De Software")</f>
        <v>Saipos Serviços De Software</v>
      </c>
      <c r="P2218" s="33">
        <f>IFERROR(__xludf.DUMMYFUNCTION("""COMPUTED_VALUE"""),1.0)</f>
        <v>1</v>
      </c>
      <c r="Q2218" s="4" t="str">
        <f>IFERROR(__xludf.DUMMYFUNCTION("""COMPUTED_VALUE"""),"Saipos Serviços De Software")</f>
        <v>Saipos Serviços De Software</v>
      </c>
      <c r="R2218" s="33">
        <f>IFERROR(__xludf.DUMMYFUNCTION("""COMPUTED_VALUE"""),1.0)</f>
        <v>1</v>
      </c>
      <c r="S2218" s="4" t="str">
        <f>IFERROR(__xludf.DUMMYFUNCTION("""COMPUTED_VALUE"""),"Saipos Serviços De Software")</f>
        <v>Saipos Serviços De Software</v>
      </c>
      <c r="T2218" s="33">
        <f>IFERROR(__xludf.DUMMYFUNCTION("""COMPUTED_VALUE"""),1.0)</f>
        <v>1</v>
      </c>
      <c r="U2218" s="4" t="str">
        <f>IFERROR(__xludf.DUMMYFUNCTION("""COMPUTED_VALUE"""),"Saipos Serviços De Software")</f>
        <v>Saipos Serviços De Software</v>
      </c>
      <c r="V2218" s="33">
        <f>IFERROR(__xludf.DUMMYFUNCTION("""COMPUTED_VALUE"""),1.0)</f>
        <v>1</v>
      </c>
      <c r="W2218" s="4" t="str">
        <f>IFERROR(__xludf.DUMMYFUNCTION("""COMPUTED_VALUE"""),"Saipos Serviços De Software")</f>
        <v>Saipos Serviços De Software</v>
      </c>
      <c r="X2218" s="33">
        <f>IFERROR(__xludf.DUMMYFUNCTION("""COMPUTED_VALUE"""),1.0)</f>
        <v>1</v>
      </c>
    </row>
    <row r="2219">
      <c r="K2219" s="4" t="str">
        <f>IFERROR(__xludf.DUMMYFUNCTION("""COMPUTED_VALUE"""),"CATAY ORIENTAL FOOD")</f>
        <v>CATAY ORIENTAL FOOD</v>
      </c>
      <c r="L2219" s="32">
        <f>IFERROR(__xludf.DUMMYFUNCTION("""COMPUTED_VALUE"""),4.0)</f>
        <v>4</v>
      </c>
      <c r="M2219" s="4" t="str">
        <f>IFERROR(__xludf.DUMMYFUNCTION("""COMPUTED_VALUE"""),"Eclética Tecnologia")</f>
        <v>Eclética Tecnologia</v>
      </c>
      <c r="N2219" s="33">
        <f>IFERROR(__xludf.DUMMYFUNCTION("""COMPUTED_VALUE"""),1.0)</f>
        <v>1</v>
      </c>
      <c r="O2219" s="4" t="str">
        <f>IFERROR(__xludf.DUMMYFUNCTION("""COMPUTED_VALUE"""),"Eclética Tecnologia")</f>
        <v>Eclética Tecnologia</v>
      </c>
      <c r="P2219" s="33">
        <f>IFERROR(__xludf.DUMMYFUNCTION("""COMPUTED_VALUE"""),1.0)</f>
        <v>1</v>
      </c>
      <c r="Q2219" s="4" t="str">
        <f>IFERROR(__xludf.DUMMYFUNCTION("""COMPUTED_VALUE"""),"Eclética Tecnologia")</f>
        <v>Eclética Tecnologia</v>
      </c>
      <c r="R2219" s="33">
        <f>IFERROR(__xludf.DUMMYFUNCTION("""COMPUTED_VALUE"""),1.0)</f>
        <v>1</v>
      </c>
      <c r="S2219" s="4" t="str">
        <f>IFERROR(__xludf.DUMMYFUNCTION("""COMPUTED_VALUE"""),"Eclética Tecnologia")</f>
        <v>Eclética Tecnologia</v>
      </c>
      <c r="T2219" s="33">
        <f>IFERROR(__xludf.DUMMYFUNCTION("""COMPUTED_VALUE"""),1.0)</f>
        <v>1</v>
      </c>
      <c r="U2219" s="4" t="str">
        <f>IFERROR(__xludf.DUMMYFUNCTION("""COMPUTED_VALUE"""),"null")</f>
        <v>null</v>
      </c>
      <c r="V2219" s="33">
        <f>IFERROR(__xludf.DUMMYFUNCTION("""COMPUTED_VALUE"""),0.75)</f>
        <v>0.75</v>
      </c>
      <c r="W2219" s="4" t="str">
        <f>IFERROR(__xludf.DUMMYFUNCTION("""COMPUTED_VALUE"""),"null")</f>
        <v>null</v>
      </c>
      <c r="X2219" s="33">
        <f>IFERROR(__xludf.DUMMYFUNCTION("""COMPUTED_VALUE"""),0.75)</f>
        <v>0.75</v>
      </c>
    </row>
    <row r="2220">
      <c r="K2220" s="4" t="str">
        <f>IFERROR(__xludf.DUMMYFUNCTION("""COMPUTED_VALUE"""),"CATONS BURGER")</f>
        <v>CATONS BURGER</v>
      </c>
      <c r="L2220" s="32">
        <f>IFERROR(__xludf.DUMMYFUNCTION("""COMPUTED_VALUE"""),4.0)</f>
        <v>4</v>
      </c>
      <c r="M2220" s="4" t="str">
        <f>IFERROR(__xludf.DUMMYFUNCTION("""COMPUTED_VALUE"""),"Saipos Serviços De Software")</f>
        <v>Saipos Serviços De Software</v>
      </c>
      <c r="N2220" s="33">
        <f>IFERROR(__xludf.DUMMYFUNCTION("""COMPUTED_VALUE"""),1.0)</f>
        <v>1</v>
      </c>
      <c r="O2220" s="4" t="str">
        <f>IFERROR(__xludf.DUMMYFUNCTION("""COMPUTED_VALUE"""),"Saipos Serviços De Software")</f>
        <v>Saipos Serviços De Software</v>
      </c>
      <c r="P2220" s="33">
        <f>IFERROR(__xludf.DUMMYFUNCTION("""COMPUTED_VALUE"""),1.0)</f>
        <v>1</v>
      </c>
      <c r="Q2220" s="4" t="str">
        <f>IFERROR(__xludf.DUMMYFUNCTION("""COMPUTED_VALUE"""),"Saipos Serviços De Software")</f>
        <v>Saipos Serviços De Software</v>
      </c>
      <c r="R2220" s="33">
        <f>IFERROR(__xludf.DUMMYFUNCTION("""COMPUTED_VALUE"""),1.0)</f>
        <v>1</v>
      </c>
      <c r="S2220" s="4" t="str">
        <f>IFERROR(__xludf.DUMMYFUNCTION("""COMPUTED_VALUE"""),"Saipos Serviços De Software")</f>
        <v>Saipos Serviços De Software</v>
      </c>
      <c r="T2220" s="33">
        <f>IFERROR(__xludf.DUMMYFUNCTION("""COMPUTED_VALUE"""),1.0)</f>
        <v>1</v>
      </c>
      <c r="U2220" s="4" t="str">
        <f>IFERROR(__xludf.DUMMYFUNCTION("""COMPUTED_VALUE"""),"Saipos Serviços De Software")</f>
        <v>Saipos Serviços De Software</v>
      </c>
      <c r="V2220" s="33">
        <f>IFERROR(__xludf.DUMMYFUNCTION("""COMPUTED_VALUE"""),1.0)</f>
        <v>1</v>
      </c>
      <c r="W2220" s="4" t="str">
        <f>IFERROR(__xludf.DUMMYFUNCTION("""COMPUTED_VALUE"""),"Saipos Serviços De Software")</f>
        <v>Saipos Serviços De Software</v>
      </c>
      <c r="X2220" s="33">
        <f>IFERROR(__xludf.DUMMYFUNCTION("""COMPUTED_VALUE"""),1.0)</f>
        <v>1</v>
      </c>
    </row>
    <row r="2221">
      <c r="K2221" s="4" t="str">
        <f>IFERROR(__xludf.DUMMYFUNCTION("""COMPUTED_VALUE"""),"CELSINHO BH")</f>
        <v>CELSINHO BH</v>
      </c>
      <c r="L2221" s="32">
        <f>IFERROR(__xludf.DUMMYFUNCTION("""COMPUTED_VALUE"""),4.0)</f>
        <v>4</v>
      </c>
      <c r="M2221" s="4" t="str">
        <f>IFERROR(__xludf.DUMMYFUNCTION("""COMPUTED_VALUE"""),"Wps Sistemas Ltda")</f>
        <v>Wps Sistemas Ltda</v>
      </c>
      <c r="N2221" s="33">
        <f>IFERROR(__xludf.DUMMYFUNCTION("""COMPUTED_VALUE"""),1.0)</f>
        <v>1</v>
      </c>
      <c r="O2221" s="4" t="str">
        <f>IFERROR(__xludf.DUMMYFUNCTION("""COMPUTED_VALUE"""),"Wps Sistemas Ltda")</f>
        <v>Wps Sistemas Ltda</v>
      </c>
      <c r="P2221" s="33">
        <f>IFERROR(__xludf.DUMMYFUNCTION("""COMPUTED_VALUE"""),1.0)</f>
        <v>1</v>
      </c>
      <c r="Q2221" s="4" t="str">
        <f>IFERROR(__xludf.DUMMYFUNCTION("""COMPUTED_VALUE"""),"Wps Sistemas Ltda")</f>
        <v>Wps Sistemas Ltda</v>
      </c>
      <c r="R2221" s="33">
        <f>IFERROR(__xludf.DUMMYFUNCTION("""COMPUTED_VALUE"""),1.0)</f>
        <v>1</v>
      </c>
      <c r="S2221" s="4" t="str">
        <f>IFERROR(__xludf.DUMMYFUNCTION("""COMPUTED_VALUE"""),"Wps Sistemas Ltda")</f>
        <v>Wps Sistemas Ltda</v>
      </c>
      <c r="T2221" s="33">
        <f>IFERROR(__xludf.DUMMYFUNCTION("""COMPUTED_VALUE"""),1.0)</f>
        <v>1</v>
      </c>
      <c r="U2221" s="4" t="str">
        <f>IFERROR(__xludf.DUMMYFUNCTION("""COMPUTED_VALUE"""),"Wps Sistemas Ltda")</f>
        <v>Wps Sistemas Ltda</v>
      </c>
      <c r="V2221" s="33">
        <f>IFERROR(__xludf.DUMMYFUNCTION("""COMPUTED_VALUE"""),1.0)</f>
        <v>1</v>
      </c>
      <c r="W2221" s="4" t="str">
        <f>IFERROR(__xludf.DUMMYFUNCTION("""COMPUTED_VALUE"""),"Wps Sistemas Ltda")</f>
        <v>Wps Sistemas Ltda</v>
      </c>
      <c r="X2221" s="33">
        <f>IFERROR(__xludf.DUMMYFUNCTION("""COMPUTED_VALUE"""),0.75)</f>
        <v>0.75</v>
      </c>
    </row>
    <row r="2222">
      <c r="K2222" s="4" t="str">
        <f>IFERROR(__xludf.DUMMYFUNCTION("""COMPUTED_VALUE"""),"CEMITA BBQ - CONTA MARCA JOIN")</f>
        <v>CEMITA BBQ - CONTA MARCA JOIN</v>
      </c>
      <c r="L2222" s="32">
        <f>IFERROR(__xludf.DUMMYFUNCTION("""COMPUTED_VALUE"""),4.0)</f>
        <v>4</v>
      </c>
      <c r="M2222" s="4" t="str">
        <f>IFERROR(__xludf.DUMMYFUNCTION("""COMPUTED_VALUE"""),"Consumer Soluções Em Tecnologia Ltda")</f>
        <v>Consumer Soluções Em Tecnologia Ltda</v>
      </c>
      <c r="N2222" s="33">
        <f>IFERROR(__xludf.DUMMYFUNCTION("""COMPUTED_VALUE"""),0.5)</f>
        <v>0.5</v>
      </c>
      <c r="O2222" s="4" t="str">
        <f>IFERROR(__xludf.DUMMYFUNCTION("""COMPUTED_VALUE"""),"Consumer Soluções Em Tecnologia Ltda")</f>
        <v>Consumer Soluções Em Tecnologia Ltda</v>
      </c>
      <c r="P2222" s="33">
        <f>IFERROR(__xludf.DUMMYFUNCTION("""COMPUTED_VALUE"""),0.5)</f>
        <v>0.5</v>
      </c>
      <c r="Q2222" s="4" t="str">
        <f>IFERROR(__xludf.DUMMYFUNCTION("""COMPUTED_VALUE"""),"Consumer Soluções Em Tecnologia Ltda")</f>
        <v>Consumer Soluções Em Tecnologia Ltda</v>
      </c>
      <c r="R2222" s="33">
        <f>IFERROR(__xludf.DUMMYFUNCTION("""COMPUTED_VALUE"""),0.5)</f>
        <v>0.5</v>
      </c>
      <c r="S2222" s="4" t="str">
        <f>IFERROR(__xludf.DUMMYFUNCTION("""COMPUTED_VALUE"""),"Saipos Serviços De Software")</f>
        <v>Saipos Serviços De Software</v>
      </c>
      <c r="T2222" s="33">
        <f>IFERROR(__xludf.DUMMYFUNCTION("""COMPUTED_VALUE"""),0.75)</f>
        <v>0.75</v>
      </c>
      <c r="U2222" s="4" t="str">
        <f>IFERROR(__xludf.DUMMYFUNCTION("""COMPUTED_VALUE"""),"Saipos Serviços De Software")</f>
        <v>Saipos Serviços De Software</v>
      </c>
      <c r="V2222" s="33">
        <f>IFERROR(__xludf.DUMMYFUNCTION("""COMPUTED_VALUE"""),1.0)</f>
        <v>1</v>
      </c>
      <c r="W2222" s="4" t="str">
        <f>IFERROR(__xludf.DUMMYFUNCTION("""COMPUTED_VALUE"""),"Saipos Serviços De Software")</f>
        <v>Saipos Serviços De Software</v>
      </c>
      <c r="X2222" s="33">
        <f>IFERROR(__xludf.DUMMYFUNCTION("""COMPUTED_VALUE"""),1.0)</f>
        <v>1</v>
      </c>
    </row>
    <row r="2223">
      <c r="K2223" s="4" t="str">
        <f>IFERROR(__xludf.DUMMYFUNCTION("""COMPUTED_VALUE"""),"CERVEJARIA TURATTI")</f>
        <v>CERVEJARIA TURATTI</v>
      </c>
      <c r="L2223" s="32">
        <f>IFERROR(__xludf.DUMMYFUNCTION("""COMPUTED_VALUE"""),4.0)</f>
        <v>4</v>
      </c>
      <c r="M2223" s="4" t="str">
        <f>IFERROR(__xludf.DUMMYFUNCTION("""COMPUTED_VALUE"""),"Izzy Way Tecnologia")</f>
        <v>Izzy Way Tecnologia</v>
      </c>
      <c r="N2223" s="33">
        <f>IFERROR(__xludf.DUMMYFUNCTION("""COMPUTED_VALUE"""),0.75)</f>
        <v>0.75</v>
      </c>
      <c r="O2223" s="4" t="str">
        <f>IFERROR(__xludf.DUMMYFUNCTION("""COMPUTED_VALUE"""),"Izzy Way Tecnologia")</f>
        <v>Izzy Way Tecnologia</v>
      </c>
      <c r="P2223" s="33">
        <f>IFERROR(__xludf.DUMMYFUNCTION("""COMPUTED_VALUE"""),0.75)</f>
        <v>0.75</v>
      </c>
      <c r="Q2223" s="4" t="str">
        <f>IFERROR(__xludf.DUMMYFUNCTION("""COMPUTED_VALUE"""),"Izzy Way Tecnologia")</f>
        <v>Izzy Way Tecnologia</v>
      </c>
      <c r="R2223" s="33">
        <f>IFERROR(__xludf.DUMMYFUNCTION("""COMPUTED_VALUE"""),0.75)</f>
        <v>0.75</v>
      </c>
      <c r="S2223" s="4" t="str">
        <f>IFERROR(__xludf.DUMMYFUNCTION("""COMPUTED_VALUE"""),"Izzy Way Tecnologia")</f>
        <v>Izzy Way Tecnologia</v>
      </c>
      <c r="T2223" s="33">
        <f>IFERROR(__xludf.DUMMYFUNCTION("""COMPUTED_VALUE"""),0.75)</f>
        <v>0.75</v>
      </c>
      <c r="U2223" s="4" t="str">
        <f>IFERROR(__xludf.DUMMYFUNCTION("""COMPUTED_VALUE"""),"Izzy Way Tecnologia")</f>
        <v>Izzy Way Tecnologia</v>
      </c>
      <c r="V2223" s="33">
        <f>IFERROR(__xludf.DUMMYFUNCTION("""COMPUTED_VALUE"""),0.75)</f>
        <v>0.75</v>
      </c>
      <c r="W2223" s="4" t="str">
        <f>IFERROR(__xludf.DUMMYFUNCTION("""COMPUTED_VALUE"""),"Izzy Way Tecnologia")</f>
        <v>Izzy Way Tecnologia</v>
      </c>
      <c r="X2223" s="33">
        <f>IFERROR(__xludf.DUMMYFUNCTION("""COMPUTED_VALUE"""),0.75)</f>
        <v>0.75</v>
      </c>
    </row>
    <row r="2224">
      <c r="K2224" s="4" t="str">
        <f>IFERROR(__xludf.DUMMYFUNCTION("""COMPUTED_VALUE"""),"CHANG LEE DELIVERY")</f>
        <v>CHANG LEE DELIVERY</v>
      </c>
      <c r="L2224" s="32">
        <f>IFERROR(__xludf.DUMMYFUNCTION("""COMPUTED_VALUE"""),4.0)</f>
        <v>4</v>
      </c>
      <c r="M2224" s="4" t="str">
        <f>IFERROR(__xludf.DUMMYFUNCTION("""COMPUTED_VALUE"""),"Sagres Automação Comercial")</f>
        <v>Sagres Automação Comercial</v>
      </c>
      <c r="N2224" s="33">
        <f>IFERROR(__xludf.DUMMYFUNCTION("""COMPUTED_VALUE"""),1.0)</f>
        <v>1</v>
      </c>
      <c r="O2224" s="4" t="str">
        <f>IFERROR(__xludf.DUMMYFUNCTION("""COMPUTED_VALUE"""),"Sagres Automação Comercial")</f>
        <v>Sagres Automação Comercial</v>
      </c>
      <c r="P2224" s="33">
        <f>IFERROR(__xludf.DUMMYFUNCTION("""COMPUTED_VALUE"""),1.0)</f>
        <v>1</v>
      </c>
      <c r="Q2224" s="4" t="str">
        <f>IFERROR(__xludf.DUMMYFUNCTION("""COMPUTED_VALUE"""),"Sagres Automação Comercial")</f>
        <v>Sagres Automação Comercial</v>
      </c>
      <c r="R2224" s="33">
        <f>IFERROR(__xludf.DUMMYFUNCTION("""COMPUTED_VALUE"""),1.0)</f>
        <v>1</v>
      </c>
      <c r="S2224" s="4" t="str">
        <f>IFERROR(__xludf.DUMMYFUNCTION("""COMPUTED_VALUE"""),"Sagres Automação Comercial")</f>
        <v>Sagres Automação Comercial</v>
      </c>
      <c r="T2224" s="33">
        <f>IFERROR(__xludf.DUMMYFUNCTION("""COMPUTED_VALUE"""),1.0)</f>
        <v>1</v>
      </c>
      <c r="U2224" s="4" t="str">
        <f>IFERROR(__xludf.DUMMYFUNCTION("""COMPUTED_VALUE"""),"Sagres Automação Comercial")</f>
        <v>Sagres Automação Comercial</v>
      </c>
      <c r="V2224" s="33">
        <f>IFERROR(__xludf.DUMMYFUNCTION("""COMPUTED_VALUE"""),1.0)</f>
        <v>1</v>
      </c>
      <c r="W2224" s="4" t="str">
        <f>IFERROR(__xludf.DUMMYFUNCTION("""COMPUTED_VALUE"""),"Sagres Automação Comercial")</f>
        <v>Sagres Automação Comercial</v>
      </c>
      <c r="X2224" s="33">
        <f>IFERROR(__xludf.DUMMYFUNCTION("""COMPUTED_VALUE"""),1.0)</f>
        <v>1</v>
      </c>
    </row>
    <row r="2225">
      <c r="K2225" s="4" t="str">
        <f>IFERROR(__xludf.DUMMYFUNCTION("""COMPUTED_VALUE"""),"CHIC EXPRESS ESFIHA TATUAPE - CONTA PAI")</f>
        <v>CHIC EXPRESS ESFIHA TATUAPE - CONTA PAI</v>
      </c>
      <c r="L2225" s="32">
        <f>IFERROR(__xludf.DUMMYFUNCTION("""COMPUTED_VALUE"""),4.0)</f>
        <v>4</v>
      </c>
      <c r="M2225" s="4" t="str">
        <f>IFERROR(__xludf.DUMMYFUNCTION("""COMPUTED_VALUE"""),"Garcom Web")</f>
        <v>Garcom Web</v>
      </c>
      <c r="N2225" s="33">
        <f>IFERROR(__xludf.DUMMYFUNCTION("""COMPUTED_VALUE"""),1.0)</f>
        <v>1</v>
      </c>
      <c r="O2225" s="4" t="str">
        <f>IFERROR(__xludf.DUMMYFUNCTION("""COMPUTED_VALUE"""),"Garcom Web")</f>
        <v>Garcom Web</v>
      </c>
      <c r="P2225" s="33">
        <f>IFERROR(__xludf.DUMMYFUNCTION("""COMPUTED_VALUE"""),1.0)</f>
        <v>1</v>
      </c>
      <c r="Q2225" s="4" t="str">
        <f>IFERROR(__xludf.DUMMYFUNCTION("""COMPUTED_VALUE"""),"Garcom Web")</f>
        <v>Garcom Web</v>
      </c>
      <c r="R2225" s="33">
        <f>IFERROR(__xludf.DUMMYFUNCTION("""COMPUTED_VALUE"""),0.5)</f>
        <v>0.5</v>
      </c>
      <c r="S2225" s="4" t="str">
        <f>IFERROR(__xludf.DUMMYFUNCTION("""COMPUTED_VALUE"""),"Garcom Web")</f>
        <v>Garcom Web</v>
      </c>
      <c r="T2225" s="33">
        <f>IFERROR(__xludf.DUMMYFUNCTION("""COMPUTED_VALUE"""),0.5)</f>
        <v>0.5</v>
      </c>
      <c r="U2225" s="4" t="str">
        <f>IFERROR(__xludf.DUMMYFUNCTION("""COMPUTED_VALUE"""),"Garcom Web")</f>
        <v>Garcom Web</v>
      </c>
      <c r="V2225" s="33">
        <f>IFERROR(__xludf.DUMMYFUNCTION("""COMPUTED_VALUE"""),0.5)</f>
        <v>0.5</v>
      </c>
      <c r="W2225" s="4" t="str">
        <f>IFERROR(__xludf.DUMMYFUNCTION("""COMPUTED_VALUE"""),"Garcom Web")</f>
        <v>Garcom Web</v>
      </c>
      <c r="X2225" s="33">
        <f>IFERROR(__xludf.DUMMYFUNCTION("""COMPUTED_VALUE"""),0.5)</f>
        <v>0.5</v>
      </c>
    </row>
    <row r="2226">
      <c r="K2226" s="4" t="str">
        <f>IFERROR(__xludf.DUMMYFUNCTION("""COMPUTED_VALUE"""),"CHINA HOUSE")</f>
        <v>CHINA HOUSE</v>
      </c>
      <c r="L2226" s="32">
        <f>IFERROR(__xludf.DUMMYFUNCTION("""COMPUTED_VALUE"""),4.0)</f>
        <v>4</v>
      </c>
      <c r="M2226" s="4" t="str">
        <f>IFERROR(__xludf.DUMMYFUNCTION("""COMPUTED_VALUE"""),"Ncr")</f>
        <v>Ncr</v>
      </c>
      <c r="N2226" s="33">
        <f>IFERROR(__xludf.DUMMYFUNCTION("""COMPUTED_VALUE"""),1.0)</f>
        <v>1</v>
      </c>
      <c r="O2226" s="4" t="str">
        <f>IFERROR(__xludf.DUMMYFUNCTION("""COMPUTED_VALUE"""),"Ncr")</f>
        <v>Ncr</v>
      </c>
      <c r="P2226" s="33">
        <f>IFERROR(__xludf.DUMMYFUNCTION("""COMPUTED_VALUE"""),1.0)</f>
        <v>1</v>
      </c>
      <c r="Q2226" s="4" t="str">
        <f>IFERROR(__xludf.DUMMYFUNCTION("""COMPUTED_VALUE"""),"Ncr")</f>
        <v>Ncr</v>
      </c>
      <c r="R2226" s="33">
        <f>IFERROR(__xludf.DUMMYFUNCTION("""COMPUTED_VALUE"""),1.0)</f>
        <v>1</v>
      </c>
      <c r="S2226" s="4" t="str">
        <f>IFERROR(__xludf.DUMMYFUNCTION("""COMPUTED_VALUE"""),"Ncr")</f>
        <v>Ncr</v>
      </c>
      <c r="T2226" s="33">
        <f>IFERROR(__xludf.DUMMYFUNCTION("""COMPUTED_VALUE"""),1.0)</f>
        <v>1</v>
      </c>
      <c r="U2226" s="4" t="str">
        <f>IFERROR(__xludf.DUMMYFUNCTION("""COMPUTED_VALUE"""),"Ncr")</f>
        <v>Ncr</v>
      </c>
      <c r="V2226" s="33">
        <f>IFERROR(__xludf.DUMMYFUNCTION("""COMPUTED_VALUE"""),1.0)</f>
        <v>1</v>
      </c>
      <c r="W2226" s="4" t="str">
        <f>IFERROR(__xludf.DUMMYFUNCTION("""COMPUTED_VALUE"""),"Ncr")</f>
        <v>Ncr</v>
      </c>
      <c r="X2226" s="33">
        <f>IFERROR(__xludf.DUMMYFUNCTION("""COMPUTED_VALUE"""),1.0)</f>
        <v>1</v>
      </c>
    </row>
    <row r="2227">
      <c r="K2227" s="4" t="str">
        <f>IFERROR(__xludf.DUMMYFUNCTION("""COMPUTED_VALUE"""),"CHING LIG")</f>
        <v>CHING LIG</v>
      </c>
      <c r="L2227" s="32">
        <f>IFERROR(__xludf.DUMMYFUNCTION("""COMPUTED_VALUE"""),4.0)</f>
        <v>4</v>
      </c>
      <c r="M2227" s="4" t="str">
        <f>IFERROR(__xludf.DUMMYFUNCTION("""COMPUTED_VALUE"""),"Saipos Serviços De Software")</f>
        <v>Saipos Serviços De Software</v>
      </c>
      <c r="N2227" s="33">
        <f>IFERROR(__xludf.DUMMYFUNCTION("""COMPUTED_VALUE"""),1.0)</f>
        <v>1</v>
      </c>
      <c r="O2227" s="4" t="str">
        <f>IFERROR(__xludf.DUMMYFUNCTION("""COMPUTED_VALUE"""),"Saipos Serviços De Software")</f>
        <v>Saipos Serviços De Software</v>
      </c>
      <c r="P2227" s="33">
        <f>IFERROR(__xludf.DUMMYFUNCTION("""COMPUTED_VALUE"""),1.0)</f>
        <v>1</v>
      </c>
      <c r="Q2227" s="4" t="str">
        <f>IFERROR(__xludf.DUMMYFUNCTION("""COMPUTED_VALUE"""),"Saipos Serviços De Software")</f>
        <v>Saipos Serviços De Software</v>
      </c>
      <c r="R2227" s="33">
        <f>IFERROR(__xludf.DUMMYFUNCTION("""COMPUTED_VALUE"""),1.0)</f>
        <v>1</v>
      </c>
      <c r="S2227" s="4" t="str">
        <f>IFERROR(__xludf.DUMMYFUNCTION("""COMPUTED_VALUE"""),"Saipos Serviços De Software")</f>
        <v>Saipos Serviços De Software</v>
      </c>
      <c r="T2227" s="33">
        <f>IFERROR(__xludf.DUMMYFUNCTION("""COMPUTED_VALUE"""),1.0)</f>
        <v>1</v>
      </c>
      <c r="U2227" s="4" t="str">
        <f>IFERROR(__xludf.DUMMYFUNCTION("""COMPUTED_VALUE"""),"Saipos Serviços De Software")</f>
        <v>Saipos Serviços De Software</v>
      </c>
      <c r="V2227" s="33">
        <f>IFERROR(__xludf.DUMMYFUNCTION("""COMPUTED_VALUE"""),1.0)</f>
        <v>1</v>
      </c>
      <c r="W2227" s="4" t="str">
        <f>IFERROR(__xludf.DUMMYFUNCTION("""COMPUTED_VALUE"""),"Saipos Serviços De Software")</f>
        <v>Saipos Serviços De Software</v>
      </c>
      <c r="X2227" s="33">
        <f>IFERROR(__xludf.DUMMYFUNCTION("""COMPUTED_VALUE"""),1.0)</f>
        <v>1</v>
      </c>
    </row>
    <row r="2228">
      <c r="K2228" s="4" t="str">
        <f>IFERROR(__xludf.DUMMYFUNCTION("""COMPUTED_VALUE"""),"CHING LIG L")</f>
        <v>CHING LIG L</v>
      </c>
      <c r="L2228" s="32">
        <f>IFERROR(__xludf.DUMMYFUNCTION("""COMPUTED_VALUE"""),4.0)</f>
        <v>4</v>
      </c>
      <c r="M2228" s="4" t="str">
        <f>IFERROR(__xludf.DUMMYFUNCTION("""COMPUTED_VALUE"""),"Saipos Serviços De Software")</f>
        <v>Saipos Serviços De Software</v>
      </c>
      <c r="N2228" s="33">
        <f>IFERROR(__xludf.DUMMYFUNCTION("""COMPUTED_VALUE"""),1.0)</f>
        <v>1</v>
      </c>
      <c r="O2228" s="4" t="str">
        <f>IFERROR(__xludf.DUMMYFUNCTION("""COMPUTED_VALUE"""),"Saipos Serviços De Software")</f>
        <v>Saipos Serviços De Software</v>
      </c>
      <c r="P2228" s="33">
        <f>IFERROR(__xludf.DUMMYFUNCTION("""COMPUTED_VALUE"""),1.0)</f>
        <v>1</v>
      </c>
      <c r="Q2228" s="4" t="str">
        <f>IFERROR(__xludf.DUMMYFUNCTION("""COMPUTED_VALUE"""),"Saipos Serviços De Software")</f>
        <v>Saipos Serviços De Software</v>
      </c>
      <c r="R2228" s="33">
        <f>IFERROR(__xludf.DUMMYFUNCTION("""COMPUTED_VALUE"""),1.0)</f>
        <v>1</v>
      </c>
      <c r="S2228" s="4" t="str">
        <f>IFERROR(__xludf.DUMMYFUNCTION("""COMPUTED_VALUE"""),"Saipos Serviços De Software")</f>
        <v>Saipos Serviços De Software</v>
      </c>
      <c r="T2228" s="33">
        <f>IFERROR(__xludf.DUMMYFUNCTION("""COMPUTED_VALUE"""),1.0)</f>
        <v>1</v>
      </c>
      <c r="U2228" s="4" t="str">
        <f>IFERROR(__xludf.DUMMYFUNCTION("""COMPUTED_VALUE"""),"Saipos Serviços De Software")</f>
        <v>Saipos Serviços De Software</v>
      </c>
      <c r="V2228" s="33">
        <f>IFERROR(__xludf.DUMMYFUNCTION("""COMPUTED_VALUE"""),1.0)</f>
        <v>1</v>
      </c>
      <c r="W2228" s="4" t="str">
        <f>IFERROR(__xludf.DUMMYFUNCTION("""COMPUTED_VALUE"""),"Saipos Serviços De Software")</f>
        <v>Saipos Serviços De Software</v>
      </c>
      <c r="X2228" s="33">
        <f>IFERROR(__xludf.DUMMYFUNCTION("""COMPUTED_VALUE"""),1.0)</f>
        <v>1</v>
      </c>
    </row>
    <row r="2229">
      <c r="K2229" s="4" t="str">
        <f>IFERROR(__xludf.DUMMYFUNCTION("""COMPUTED_VALUE"""),"CHOPP BRAHMA EXPRESS - CONTA MARCA")</f>
        <v>CHOPP BRAHMA EXPRESS - CONTA MARCA</v>
      </c>
      <c r="L2229" s="32">
        <f>IFERROR(__xludf.DUMMYFUNCTION("""COMPUTED_VALUE"""),4.0)</f>
        <v>4</v>
      </c>
      <c r="M2229" s="4" t="str">
        <f>IFERROR(__xludf.DUMMYFUNCTION("""COMPUTED_VALUE"""),"Consumer Soluções Em Tecnologia Ltda")</f>
        <v>Consumer Soluções Em Tecnologia Ltda</v>
      </c>
      <c r="N2229" s="33">
        <f>IFERROR(__xludf.DUMMYFUNCTION("""COMPUTED_VALUE"""),0.25)</f>
        <v>0.25</v>
      </c>
      <c r="O2229" s="4" t="str">
        <f>IFERROR(__xludf.DUMMYFUNCTION("""COMPUTED_VALUE"""),"null")</f>
        <v>null</v>
      </c>
      <c r="P2229" s="33">
        <f>IFERROR(__xludf.DUMMYFUNCTION("""COMPUTED_VALUE"""),0.5)</f>
        <v>0.5</v>
      </c>
      <c r="Q2229" s="4" t="str">
        <f>IFERROR(__xludf.DUMMYFUNCTION("""COMPUTED_VALUE"""),"null")</f>
        <v>null</v>
      </c>
      <c r="R2229" s="33">
        <f>IFERROR(__xludf.DUMMYFUNCTION("""COMPUTED_VALUE"""),0.5)</f>
        <v>0.5</v>
      </c>
      <c r="S2229" s="4" t="str">
        <f>IFERROR(__xludf.DUMMYFUNCTION("""COMPUTED_VALUE"""),"Consumer Soluções Em Tecnologia Ltda")</f>
        <v>Consumer Soluções Em Tecnologia Ltda</v>
      </c>
      <c r="T2229" s="33">
        <f>IFERROR(__xludf.DUMMYFUNCTION("""COMPUTED_VALUE"""),0.25)</f>
        <v>0.25</v>
      </c>
      <c r="U2229" s="4" t="str">
        <f>IFERROR(__xludf.DUMMYFUNCTION("""COMPUTED_VALUE"""),"Consumer Soluções Em Tecnologia Ltda")</f>
        <v>Consumer Soluções Em Tecnologia Ltda</v>
      </c>
      <c r="V2229" s="33">
        <f>IFERROR(__xludf.DUMMYFUNCTION("""COMPUTED_VALUE"""),0.25)</f>
        <v>0.25</v>
      </c>
      <c r="W2229" s="4" t="str">
        <f>IFERROR(__xludf.DUMMYFUNCTION("""COMPUTED_VALUE"""),"null")</f>
        <v>null</v>
      </c>
      <c r="X2229" s="33">
        <f>IFERROR(__xludf.DUMMYFUNCTION("""COMPUTED_VALUE"""),0.75)</f>
        <v>0.75</v>
      </c>
    </row>
    <row r="2230">
      <c r="K2230" s="4" t="str">
        <f>IFERROR(__xludf.DUMMYFUNCTION("""COMPUTED_VALUE"""),"CHURRASCARIA RECANTO GAUCHO - CONTA MATRIZ")</f>
        <v>CHURRASCARIA RECANTO GAUCHO - CONTA MATRIZ</v>
      </c>
      <c r="L2230" s="32">
        <f>IFERROR(__xludf.DUMMYFUNCTION("""COMPUTED_VALUE"""),4.0)</f>
        <v>4</v>
      </c>
      <c r="M2230" s="4" t="str">
        <f>IFERROR(__xludf.DUMMYFUNCTION("""COMPUTED_VALUE"""),"Dalcatech Automacao E Desenvolvimento De Software Ltda")</f>
        <v>Dalcatech Automacao E Desenvolvimento De Software Ltda</v>
      </c>
      <c r="N2230" s="33">
        <f>IFERROR(__xludf.DUMMYFUNCTION("""COMPUTED_VALUE"""),1.0)</f>
        <v>1</v>
      </c>
      <c r="O2230" s="4" t="str">
        <f>IFERROR(__xludf.DUMMYFUNCTION("""COMPUTED_VALUE"""),"Dalcatech Automacao E Desenvolvimento De Software Ltda")</f>
        <v>Dalcatech Automacao E Desenvolvimento De Software Ltda</v>
      </c>
      <c r="P2230" s="33">
        <f>IFERROR(__xludf.DUMMYFUNCTION("""COMPUTED_VALUE"""),1.0)</f>
        <v>1</v>
      </c>
      <c r="Q2230" s="4" t="str">
        <f>IFERROR(__xludf.DUMMYFUNCTION("""COMPUTED_VALUE"""),"Dalcatech Automacao E Desenvolvimento De Software Ltda")</f>
        <v>Dalcatech Automacao E Desenvolvimento De Software Ltda</v>
      </c>
      <c r="R2230" s="33">
        <f>IFERROR(__xludf.DUMMYFUNCTION("""COMPUTED_VALUE"""),1.0)</f>
        <v>1</v>
      </c>
      <c r="S2230" s="4" t="str">
        <f>IFERROR(__xludf.DUMMYFUNCTION("""COMPUTED_VALUE"""),"Dalcatech Automacao E Desenvolvimento De Software Ltda")</f>
        <v>Dalcatech Automacao E Desenvolvimento De Software Ltda</v>
      </c>
      <c r="T2230" s="33">
        <f>IFERROR(__xludf.DUMMYFUNCTION("""COMPUTED_VALUE"""),0.75)</f>
        <v>0.75</v>
      </c>
      <c r="U2230" s="4" t="str">
        <f>IFERROR(__xludf.DUMMYFUNCTION("""COMPUTED_VALUE"""),"Dalcatech Automacao E Desenvolvimento De Software Ltda")</f>
        <v>Dalcatech Automacao E Desenvolvimento De Software Ltda</v>
      </c>
      <c r="V2230" s="33">
        <f>IFERROR(__xludf.DUMMYFUNCTION("""COMPUTED_VALUE"""),1.0)</f>
        <v>1</v>
      </c>
      <c r="W2230" s="4" t="str">
        <f>IFERROR(__xludf.DUMMYFUNCTION("""COMPUTED_VALUE"""),"Dalcatech Automacao E Desenvolvimento De Software Ltda")</f>
        <v>Dalcatech Automacao E Desenvolvimento De Software Ltda</v>
      </c>
      <c r="X2230" s="33">
        <f>IFERROR(__xludf.DUMMYFUNCTION("""COMPUTED_VALUE"""),1.0)</f>
        <v>1</v>
      </c>
    </row>
    <row r="2231">
      <c r="K2231" s="4" t="str">
        <f>IFERROR(__xludf.DUMMYFUNCTION("""COMPUTED_VALUE"""),"CIA DO CHOPP")</f>
        <v>CIA DO CHOPP</v>
      </c>
      <c r="L2231" s="32">
        <f>IFERROR(__xludf.DUMMYFUNCTION("""COMPUTED_VALUE"""),4.0)</f>
        <v>4</v>
      </c>
      <c r="M2231" s="4" t="str">
        <f>IFERROR(__xludf.DUMMYFUNCTION("""COMPUTED_VALUE"""),"L&amp;f Tecnologia Sistemas E Comercio Ltda")</f>
        <v>L&amp;f Tecnologia Sistemas E Comercio Ltda</v>
      </c>
      <c r="N2231" s="33">
        <f>IFERROR(__xludf.DUMMYFUNCTION("""COMPUTED_VALUE"""),0.75)</f>
        <v>0.75</v>
      </c>
      <c r="O2231" s="4" t="str">
        <f>IFERROR(__xludf.DUMMYFUNCTION("""COMPUTED_VALUE"""),"L&amp;f Tecnologia Sistemas E Comercio Ltda")</f>
        <v>L&amp;f Tecnologia Sistemas E Comercio Ltda</v>
      </c>
      <c r="P2231" s="33">
        <f>IFERROR(__xludf.DUMMYFUNCTION("""COMPUTED_VALUE"""),1.0)</f>
        <v>1</v>
      </c>
      <c r="Q2231" s="4" t="str">
        <f>IFERROR(__xludf.DUMMYFUNCTION("""COMPUTED_VALUE"""),"L&amp;f Tecnologia Sistemas E Comercio Ltda")</f>
        <v>L&amp;f Tecnologia Sistemas E Comercio Ltda</v>
      </c>
      <c r="R2231" s="33">
        <f>IFERROR(__xludf.DUMMYFUNCTION("""COMPUTED_VALUE"""),1.0)</f>
        <v>1</v>
      </c>
      <c r="S2231" s="4" t="str">
        <f>IFERROR(__xludf.DUMMYFUNCTION("""COMPUTED_VALUE"""),"L&amp;f Tecnologia Sistemas E Comercio Ltda")</f>
        <v>L&amp;f Tecnologia Sistemas E Comercio Ltda</v>
      </c>
      <c r="T2231" s="33">
        <f>IFERROR(__xludf.DUMMYFUNCTION("""COMPUTED_VALUE"""),0.75)</f>
        <v>0.75</v>
      </c>
      <c r="U2231" s="4" t="str">
        <f>IFERROR(__xludf.DUMMYFUNCTION("""COMPUTED_VALUE"""),"L&amp;f Tecnologia Sistemas E Comercio Ltda")</f>
        <v>L&amp;f Tecnologia Sistemas E Comercio Ltda</v>
      </c>
      <c r="V2231" s="33">
        <f>IFERROR(__xludf.DUMMYFUNCTION("""COMPUTED_VALUE"""),1.0)</f>
        <v>1</v>
      </c>
      <c r="W2231" s="4" t="str">
        <f>IFERROR(__xludf.DUMMYFUNCTION("""COMPUTED_VALUE"""),"L&amp;f Tecnologia Sistemas E Comercio Ltda")</f>
        <v>L&amp;f Tecnologia Sistemas E Comercio Ltda</v>
      </c>
      <c r="X2231" s="33">
        <f>IFERROR(__xludf.DUMMYFUNCTION("""COMPUTED_VALUE"""),0.75)</f>
        <v>0.75</v>
      </c>
    </row>
    <row r="2232">
      <c r="K2232" s="4" t="str">
        <f>IFERROR(__xludf.DUMMYFUNCTION("""COMPUTED_VALUE"""),"CITYFARMA - CONTA PAI")</f>
        <v>CITYFARMA - CONTA PAI</v>
      </c>
      <c r="L2232" s="32">
        <f>IFERROR(__xludf.DUMMYFUNCTION("""COMPUTED_VALUE"""),4.0)</f>
        <v>4</v>
      </c>
      <c r="M2232" s="4" t="str">
        <f>IFERROR(__xludf.DUMMYFUNCTION("""COMPUTED_VALUE"""),"N/A (Not found)")</f>
        <v>N/A (Not found)</v>
      </c>
      <c r="N2232" s="33">
        <f>IFERROR(__xludf.DUMMYFUNCTION("""COMPUTED_VALUE"""),1.0)</f>
        <v>1</v>
      </c>
      <c r="O2232" s="4" t="str">
        <f>IFERROR(__xludf.DUMMYFUNCTION("""COMPUTED_VALUE"""),"N/A (Not found)")</f>
        <v>N/A (Not found)</v>
      </c>
      <c r="P2232" s="33">
        <f>IFERROR(__xludf.DUMMYFUNCTION("""COMPUTED_VALUE"""),1.0)</f>
        <v>1</v>
      </c>
      <c r="Q2232" s="4" t="str">
        <f>IFERROR(__xludf.DUMMYFUNCTION("""COMPUTED_VALUE"""),"N/A (Not found)")</f>
        <v>N/A (Not found)</v>
      </c>
      <c r="R2232" s="33">
        <f>IFERROR(__xludf.DUMMYFUNCTION("""COMPUTED_VALUE"""),1.0)</f>
        <v>1</v>
      </c>
      <c r="S2232" s="4" t="str">
        <f>IFERROR(__xludf.DUMMYFUNCTION("""COMPUTED_VALUE"""),"N/A (Not found)")</f>
        <v>N/A (Not found)</v>
      </c>
      <c r="T2232" s="33">
        <f>IFERROR(__xludf.DUMMYFUNCTION("""COMPUTED_VALUE"""),1.0)</f>
        <v>1</v>
      </c>
      <c r="U2232" s="4" t="str">
        <f>IFERROR(__xludf.DUMMYFUNCTION("""COMPUTED_VALUE"""),"N/A (Not found)")</f>
        <v>N/A (Not found)</v>
      </c>
      <c r="V2232" s="33">
        <f>IFERROR(__xludf.DUMMYFUNCTION("""COMPUTED_VALUE"""),1.0)</f>
        <v>1</v>
      </c>
      <c r="W2232" s="4" t="str">
        <f>IFERROR(__xludf.DUMMYFUNCTION("""COMPUTED_VALUE"""),"N/A (Not found)")</f>
        <v>N/A (Not found)</v>
      </c>
      <c r="X2232" s="33">
        <f>IFERROR(__xludf.DUMMYFUNCTION("""COMPUTED_VALUE"""),1.0)</f>
        <v>1</v>
      </c>
    </row>
    <row r="2233">
      <c r="K2233" s="4" t="str">
        <f>IFERROR(__xludf.DUMMYFUNCTION("""COMPUTED_VALUE"""),"COE FOOD - CONTA PAI")</f>
        <v>COE FOOD - CONTA PAI</v>
      </c>
      <c r="L2233" s="32">
        <f>IFERROR(__xludf.DUMMYFUNCTION("""COMPUTED_VALUE"""),4.0)</f>
        <v>4</v>
      </c>
      <c r="M2233" s="4" t="str">
        <f>IFERROR(__xludf.DUMMYFUNCTION("""COMPUTED_VALUE"""),"Saipos Serviços De Software")</f>
        <v>Saipos Serviços De Software</v>
      </c>
      <c r="N2233" s="33">
        <f>IFERROR(__xludf.DUMMYFUNCTION("""COMPUTED_VALUE"""),0.75)</f>
        <v>0.75</v>
      </c>
      <c r="O2233" s="4" t="str">
        <f>IFERROR(__xludf.DUMMYFUNCTION("""COMPUTED_VALUE"""),"Saipos Serviços De Software")</f>
        <v>Saipos Serviços De Software</v>
      </c>
      <c r="P2233" s="33">
        <f>IFERROR(__xludf.DUMMYFUNCTION("""COMPUTED_VALUE"""),0.75)</f>
        <v>0.75</v>
      </c>
      <c r="Q2233" s="4" t="str">
        <f>IFERROR(__xludf.DUMMYFUNCTION("""COMPUTED_VALUE"""),"Saipos Serviços De Software")</f>
        <v>Saipos Serviços De Software</v>
      </c>
      <c r="R2233" s="33">
        <f>IFERROR(__xludf.DUMMYFUNCTION("""COMPUTED_VALUE"""),0.75)</f>
        <v>0.75</v>
      </c>
      <c r="S2233" s="4" t="str">
        <f>IFERROR(__xludf.DUMMYFUNCTION("""COMPUTED_VALUE"""),"Saipos Serviços De Software")</f>
        <v>Saipos Serviços De Software</v>
      </c>
      <c r="T2233" s="33">
        <f>IFERROR(__xludf.DUMMYFUNCTION("""COMPUTED_VALUE"""),0.75)</f>
        <v>0.75</v>
      </c>
      <c r="U2233" s="4" t="str">
        <f>IFERROR(__xludf.DUMMYFUNCTION("""COMPUTED_VALUE"""),"Saipos Serviços De Software")</f>
        <v>Saipos Serviços De Software</v>
      </c>
      <c r="V2233" s="33">
        <f>IFERROR(__xludf.DUMMYFUNCTION("""COMPUTED_VALUE"""),0.75)</f>
        <v>0.75</v>
      </c>
      <c r="W2233" s="4" t="str">
        <f>IFERROR(__xludf.DUMMYFUNCTION("""COMPUTED_VALUE"""),"Saipos Serviços De Software")</f>
        <v>Saipos Serviços De Software</v>
      </c>
      <c r="X2233" s="33">
        <f>IFERROR(__xludf.DUMMYFUNCTION("""COMPUTED_VALUE"""),0.75)</f>
        <v>0.75</v>
      </c>
    </row>
    <row r="2234">
      <c r="K2234" s="4" t="str">
        <f>IFERROR(__xludf.DUMMYFUNCTION("""COMPUTED_VALUE"""),"COLONIAL CHURRASCARIA E PIZZARIA")</f>
        <v>COLONIAL CHURRASCARIA E PIZZARIA</v>
      </c>
      <c r="L2234" s="32">
        <f>IFERROR(__xludf.DUMMYFUNCTION("""COMPUTED_VALUE"""),4.0)</f>
        <v>4</v>
      </c>
      <c r="M2234" s="4" t="str">
        <f>IFERROR(__xludf.DUMMYFUNCTION("""COMPUTED_VALUE"""),"Consumer Soluções Em Tecnologia Ltda")</f>
        <v>Consumer Soluções Em Tecnologia Ltda</v>
      </c>
      <c r="N2234" s="33">
        <f>IFERROR(__xludf.DUMMYFUNCTION("""COMPUTED_VALUE"""),1.0)</f>
        <v>1</v>
      </c>
      <c r="O2234" s="4" t="str">
        <f>IFERROR(__xludf.DUMMYFUNCTION("""COMPUTED_VALUE"""),"Consumer Soluções Em Tecnologia Ltda")</f>
        <v>Consumer Soluções Em Tecnologia Ltda</v>
      </c>
      <c r="P2234" s="33">
        <f>IFERROR(__xludf.DUMMYFUNCTION("""COMPUTED_VALUE"""),0.75)</f>
        <v>0.75</v>
      </c>
      <c r="Q2234" s="4" t="str">
        <f>IFERROR(__xludf.DUMMYFUNCTION("""COMPUTED_VALUE"""),"Consumer Soluções Em Tecnologia Ltda")</f>
        <v>Consumer Soluções Em Tecnologia Ltda</v>
      </c>
      <c r="R2234" s="33">
        <f>IFERROR(__xludf.DUMMYFUNCTION("""COMPUTED_VALUE"""),0.75)</f>
        <v>0.75</v>
      </c>
      <c r="S2234" s="4" t="str">
        <f>IFERROR(__xludf.DUMMYFUNCTION("""COMPUTED_VALUE"""),"Consumer Soluções Em Tecnologia Ltda")</f>
        <v>Consumer Soluções Em Tecnologia Ltda</v>
      </c>
      <c r="T2234" s="33">
        <f>IFERROR(__xludf.DUMMYFUNCTION("""COMPUTED_VALUE"""),0.75)</f>
        <v>0.75</v>
      </c>
      <c r="U2234" s="4" t="str">
        <f>IFERROR(__xludf.DUMMYFUNCTION("""COMPUTED_VALUE"""),"Consumer Soluções Em Tecnologia Ltda")</f>
        <v>Consumer Soluções Em Tecnologia Ltda</v>
      </c>
      <c r="V2234" s="33">
        <f>IFERROR(__xludf.DUMMYFUNCTION("""COMPUTED_VALUE"""),0.75)</f>
        <v>0.75</v>
      </c>
      <c r="W2234" s="4" t="str">
        <f>IFERROR(__xludf.DUMMYFUNCTION("""COMPUTED_VALUE"""),"Consumer Soluções Em Tecnologia Ltda")</f>
        <v>Consumer Soluções Em Tecnologia Ltda</v>
      </c>
      <c r="X2234" s="33">
        <f>IFERROR(__xludf.DUMMYFUNCTION("""COMPUTED_VALUE"""),0.75)</f>
        <v>0.75</v>
      </c>
    </row>
    <row r="2235">
      <c r="K2235" s="4" t="str">
        <f>IFERROR(__xludf.DUMMYFUNCTION("""COMPUTED_VALUE"""),"COMEDORIA DA PIZZA")</f>
        <v>COMEDORIA DA PIZZA</v>
      </c>
      <c r="L2235" s="32">
        <f>IFERROR(__xludf.DUMMYFUNCTION("""COMPUTED_VALUE"""),4.0)</f>
        <v>4</v>
      </c>
      <c r="M2235" s="4" t="str">
        <f>IFERROR(__xludf.DUMMYFUNCTION("""COMPUTED_VALUE"""),"Ative Desenvolvimento De Softwares Ltda")</f>
        <v>Ative Desenvolvimento De Softwares Ltda</v>
      </c>
      <c r="N2235" s="33">
        <f>IFERROR(__xludf.DUMMYFUNCTION("""COMPUTED_VALUE"""),1.0)</f>
        <v>1</v>
      </c>
      <c r="O2235" s="4" t="str">
        <f>IFERROR(__xludf.DUMMYFUNCTION("""COMPUTED_VALUE"""),"Ative Desenvolvimento De Softwares Ltda")</f>
        <v>Ative Desenvolvimento De Softwares Ltda</v>
      </c>
      <c r="P2235" s="33">
        <f>IFERROR(__xludf.DUMMYFUNCTION("""COMPUTED_VALUE"""),1.0)</f>
        <v>1</v>
      </c>
      <c r="Q2235" s="4" t="str">
        <f>IFERROR(__xludf.DUMMYFUNCTION("""COMPUTED_VALUE"""),"Ative Desenvolvimento De Softwares Ltda")</f>
        <v>Ative Desenvolvimento De Softwares Ltda</v>
      </c>
      <c r="R2235" s="33">
        <f>IFERROR(__xludf.DUMMYFUNCTION("""COMPUTED_VALUE"""),1.0)</f>
        <v>1</v>
      </c>
      <c r="S2235" s="4" t="str">
        <f>IFERROR(__xludf.DUMMYFUNCTION("""COMPUTED_VALUE"""),"Ative Desenvolvimento De Softwares Ltda")</f>
        <v>Ative Desenvolvimento De Softwares Ltda</v>
      </c>
      <c r="T2235" s="33">
        <f>IFERROR(__xludf.DUMMYFUNCTION("""COMPUTED_VALUE"""),0.75)</f>
        <v>0.75</v>
      </c>
      <c r="U2235" s="4" t="str">
        <f>IFERROR(__xludf.DUMMYFUNCTION("""COMPUTED_VALUE"""),"Ative Desenvolvimento De Softwares Ltda")</f>
        <v>Ative Desenvolvimento De Softwares Ltda</v>
      </c>
      <c r="V2235" s="33">
        <f>IFERROR(__xludf.DUMMYFUNCTION("""COMPUTED_VALUE"""),0.75)</f>
        <v>0.75</v>
      </c>
      <c r="W2235" s="4" t="str">
        <f>IFERROR(__xludf.DUMMYFUNCTION("""COMPUTED_VALUE"""),"Ative Desenvolvimento De Softwares Ltda")</f>
        <v>Ative Desenvolvimento De Softwares Ltda</v>
      </c>
      <c r="X2235" s="33">
        <f>IFERROR(__xludf.DUMMYFUNCTION("""COMPUTED_VALUE"""),1.0)</f>
        <v>1</v>
      </c>
    </row>
    <row r="2236">
      <c r="K2236" s="4" t="str">
        <f>IFERROR(__xludf.DUMMYFUNCTION("""COMPUTED_VALUE"""),"COMEDORIA DA PIZZA M")</f>
        <v>COMEDORIA DA PIZZA M</v>
      </c>
      <c r="L2236" s="32">
        <f>IFERROR(__xludf.DUMMYFUNCTION("""COMPUTED_VALUE"""),4.0)</f>
        <v>4</v>
      </c>
      <c r="M2236" s="4" t="str">
        <f>IFERROR(__xludf.DUMMYFUNCTION("""COMPUTED_VALUE"""),"Ative Desenvolvimento De Softwares Ltda")</f>
        <v>Ative Desenvolvimento De Softwares Ltda</v>
      </c>
      <c r="N2236" s="33">
        <f>IFERROR(__xludf.DUMMYFUNCTION("""COMPUTED_VALUE"""),1.0)</f>
        <v>1</v>
      </c>
      <c r="O2236" s="4" t="str">
        <f>IFERROR(__xludf.DUMMYFUNCTION("""COMPUTED_VALUE"""),"Ative Desenvolvimento De Softwares Ltda")</f>
        <v>Ative Desenvolvimento De Softwares Ltda</v>
      </c>
      <c r="P2236" s="33">
        <f>IFERROR(__xludf.DUMMYFUNCTION("""COMPUTED_VALUE"""),1.0)</f>
        <v>1</v>
      </c>
      <c r="Q2236" s="4" t="str">
        <f>IFERROR(__xludf.DUMMYFUNCTION("""COMPUTED_VALUE"""),"Ative Desenvolvimento De Softwares Ltda")</f>
        <v>Ative Desenvolvimento De Softwares Ltda</v>
      </c>
      <c r="R2236" s="33">
        <f>IFERROR(__xludf.DUMMYFUNCTION("""COMPUTED_VALUE"""),1.0)</f>
        <v>1</v>
      </c>
      <c r="S2236" s="4" t="str">
        <f>IFERROR(__xludf.DUMMYFUNCTION("""COMPUTED_VALUE"""),"Ative Desenvolvimento De Softwares Ltda")</f>
        <v>Ative Desenvolvimento De Softwares Ltda</v>
      </c>
      <c r="T2236" s="33">
        <f>IFERROR(__xludf.DUMMYFUNCTION("""COMPUTED_VALUE"""),0.75)</f>
        <v>0.75</v>
      </c>
      <c r="U2236" s="4" t="str">
        <f>IFERROR(__xludf.DUMMYFUNCTION("""COMPUTED_VALUE"""),"Ative Desenvolvimento De Softwares Ltda")</f>
        <v>Ative Desenvolvimento De Softwares Ltda</v>
      </c>
      <c r="V2236" s="33">
        <f>IFERROR(__xludf.DUMMYFUNCTION("""COMPUTED_VALUE"""),0.75)</f>
        <v>0.75</v>
      </c>
      <c r="W2236" s="4" t="str">
        <f>IFERROR(__xludf.DUMMYFUNCTION("""COMPUTED_VALUE"""),"Ative Desenvolvimento De Softwares Ltda")</f>
        <v>Ative Desenvolvimento De Softwares Ltda</v>
      </c>
      <c r="X2236" s="33">
        <f>IFERROR(__xludf.DUMMYFUNCTION("""COMPUTED_VALUE"""),1.0)</f>
        <v>1</v>
      </c>
    </row>
    <row r="2237">
      <c r="K2237" s="4" t="str">
        <f>IFERROR(__xludf.DUMMYFUNCTION("""COMPUTED_VALUE"""),"COMIDA DE MAINHA MARMITARIA - MARCA")</f>
        <v>COMIDA DE MAINHA MARMITARIA - MARCA</v>
      </c>
      <c r="L2237" s="32">
        <f>IFERROR(__xludf.DUMMYFUNCTION("""COMPUTED_VALUE"""),4.0)</f>
        <v>4</v>
      </c>
      <c r="M2237" s="4" t="str">
        <f>IFERROR(__xludf.DUMMYFUNCTION("""COMPUTED_VALUE"""),"null")</f>
        <v>null</v>
      </c>
      <c r="N2237" s="33">
        <f>IFERROR(__xludf.DUMMYFUNCTION("""COMPUTED_VALUE"""),1.0)</f>
        <v>1</v>
      </c>
      <c r="O2237" s="4" t="str">
        <f>IFERROR(__xludf.DUMMYFUNCTION("""COMPUTED_VALUE"""),"null")</f>
        <v>null</v>
      </c>
      <c r="P2237" s="33">
        <f>IFERROR(__xludf.DUMMYFUNCTION("""COMPUTED_VALUE"""),1.0)</f>
        <v>1</v>
      </c>
      <c r="Q2237" s="4" t="str">
        <f>IFERROR(__xludf.DUMMYFUNCTION("""COMPUTED_VALUE"""),"null")</f>
        <v>null</v>
      </c>
      <c r="R2237" s="33">
        <f>IFERROR(__xludf.DUMMYFUNCTION("""COMPUTED_VALUE"""),1.0)</f>
        <v>1</v>
      </c>
      <c r="S2237" s="4" t="str">
        <f>IFERROR(__xludf.DUMMYFUNCTION("""COMPUTED_VALUE"""),"null")</f>
        <v>null</v>
      </c>
      <c r="T2237" s="33">
        <f>IFERROR(__xludf.DUMMYFUNCTION("""COMPUTED_VALUE"""),1.0)</f>
        <v>1</v>
      </c>
      <c r="U2237" s="4" t="str">
        <f>IFERROR(__xludf.DUMMYFUNCTION("""COMPUTED_VALUE"""),"null")</f>
        <v>null</v>
      </c>
      <c r="V2237" s="33">
        <f>IFERROR(__xludf.DUMMYFUNCTION("""COMPUTED_VALUE"""),1.0)</f>
        <v>1</v>
      </c>
      <c r="W2237" s="4" t="str">
        <f>IFERROR(__xludf.DUMMYFUNCTION("""COMPUTED_VALUE"""),"Agilizup Solucoes Ltda")</f>
        <v>Agilizup Solucoes Ltda</v>
      </c>
      <c r="X2237" s="33">
        <f>IFERROR(__xludf.DUMMYFUNCTION("""COMPUTED_VALUE"""),1.0)</f>
        <v>1</v>
      </c>
    </row>
    <row r="2238">
      <c r="K2238" s="4" t="str">
        <f>IFERROR(__xludf.DUMMYFUNCTION("""COMPUTED_VALUE"""),"COMIDA DE VO - CONTA PAI")</f>
        <v>COMIDA DE VO - CONTA PAI</v>
      </c>
      <c r="L2238" s="32">
        <f>IFERROR(__xludf.DUMMYFUNCTION("""COMPUTED_VALUE"""),4.0)</f>
        <v>4</v>
      </c>
      <c r="M2238" s="4" t="str">
        <f>IFERROR(__xludf.DUMMYFUNCTION("""COMPUTED_VALUE"""),"Saipos Serviços De Software")</f>
        <v>Saipos Serviços De Software</v>
      </c>
      <c r="N2238" s="33">
        <f>IFERROR(__xludf.DUMMYFUNCTION("""COMPUTED_VALUE"""),1.0)</f>
        <v>1</v>
      </c>
      <c r="O2238" s="4" t="str">
        <f>IFERROR(__xludf.DUMMYFUNCTION("""COMPUTED_VALUE"""),"Saipos Serviços De Software")</f>
        <v>Saipos Serviços De Software</v>
      </c>
      <c r="P2238" s="33">
        <f>IFERROR(__xludf.DUMMYFUNCTION("""COMPUTED_VALUE"""),1.0)</f>
        <v>1</v>
      </c>
      <c r="Q2238" s="4" t="str">
        <f>IFERROR(__xludf.DUMMYFUNCTION("""COMPUTED_VALUE"""),"Saipos Serviços De Software")</f>
        <v>Saipos Serviços De Software</v>
      </c>
      <c r="R2238" s="33">
        <f>IFERROR(__xludf.DUMMYFUNCTION("""COMPUTED_VALUE"""),1.0)</f>
        <v>1</v>
      </c>
      <c r="S2238" s="4" t="str">
        <f>IFERROR(__xludf.DUMMYFUNCTION("""COMPUTED_VALUE"""),"Saipos Serviços De Software")</f>
        <v>Saipos Serviços De Software</v>
      </c>
      <c r="T2238" s="33">
        <f>IFERROR(__xludf.DUMMYFUNCTION("""COMPUTED_VALUE"""),1.0)</f>
        <v>1</v>
      </c>
      <c r="U2238" s="4" t="str">
        <f>IFERROR(__xludf.DUMMYFUNCTION("""COMPUTED_VALUE"""),"Saipos Serviços De Software")</f>
        <v>Saipos Serviços De Software</v>
      </c>
      <c r="V2238" s="33">
        <f>IFERROR(__xludf.DUMMYFUNCTION("""COMPUTED_VALUE"""),1.0)</f>
        <v>1</v>
      </c>
      <c r="W2238" s="4" t="str">
        <f>IFERROR(__xludf.DUMMYFUNCTION("""COMPUTED_VALUE"""),"Saipos Serviços De Software")</f>
        <v>Saipos Serviços De Software</v>
      </c>
      <c r="X2238" s="33">
        <f>IFERROR(__xludf.DUMMYFUNCTION("""COMPUTED_VALUE"""),1.0)</f>
        <v>1</v>
      </c>
    </row>
    <row r="2239">
      <c r="K2239" s="4" t="str">
        <f>IFERROR(__xludf.DUMMYFUNCTION("""COMPUTED_VALUE"""),"CONFEITARIA PRISCILLA DINIZ")</f>
        <v>CONFEITARIA PRISCILLA DINIZ</v>
      </c>
      <c r="L2239" s="32">
        <f>IFERROR(__xludf.DUMMYFUNCTION("""COMPUTED_VALUE"""),4.0)</f>
        <v>4</v>
      </c>
      <c r="M2239" s="4" t="str">
        <f>IFERROR(__xludf.DUMMYFUNCTION("""COMPUTED_VALUE"""),"Teknisa Service Ltda")</f>
        <v>Teknisa Service Ltda</v>
      </c>
      <c r="N2239" s="33">
        <f>IFERROR(__xludf.DUMMYFUNCTION("""COMPUTED_VALUE"""),1.0)</f>
        <v>1</v>
      </c>
      <c r="O2239" s="4" t="str">
        <f>IFERROR(__xludf.DUMMYFUNCTION("""COMPUTED_VALUE"""),"Teknisa Service Ltda")</f>
        <v>Teknisa Service Ltda</v>
      </c>
      <c r="P2239" s="33">
        <f>IFERROR(__xludf.DUMMYFUNCTION("""COMPUTED_VALUE"""),1.0)</f>
        <v>1</v>
      </c>
      <c r="Q2239" s="4" t="str">
        <f>IFERROR(__xludf.DUMMYFUNCTION("""COMPUTED_VALUE"""),"Teknisa Service Ltda")</f>
        <v>Teknisa Service Ltda</v>
      </c>
      <c r="R2239" s="33">
        <f>IFERROR(__xludf.DUMMYFUNCTION("""COMPUTED_VALUE"""),1.0)</f>
        <v>1</v>
      </c>
      <c r="S2239" s="4" t="str">
        <f>IFERROR(__xludf.DUMMYFUNCTION("""COMPUTED_VALUE"""),"Teknisa Service Ltda")</f>
        <v>Teknisa Service Ltda</v>
      </c>
      <c r="T2239" s="33">
        <f>IFERROR(__xludf.DUMMYFUNCTION("""COMPUTED_VALUE"""),1.0)</f>
        <v>1</v>
      </c>
      <c r="U2239" s="4" t="str">
        <f>IFERROR(__xludf.DUMMYFUNCTION("""COMPUTED_VALUE"""),"Teknisa Service Ltda")</f>
        <v>Teknisa Service Ltda</v>
      </c>
      <c r="V2239" s="33">
        <f>IFERROR(__xludf.DUMMYFUNCTION("""COMPUTED_VALUE"""),0.75)</f>
        <v>0.75</v>
      </c>
      <c r="W2239" s="4" t="str">
        <f>IFERROR(__xludf.DUMMYFUNCTION("""COMPUTED_VALUE"""),"Teknisa Service Ltda")</f>
        <v>Teknisa Service Ltda</v>
      </c>
      <c r="X2239" s="33">
        <f>IFERROR(__xludf.DUMMYFUNCTION("""COMPUTED_VALUE"""),1.0)</f>
        <v>1</v>
      </c>
    </row>
    <row r="2240">
      <c r="K2240" s="4" t="str">
        <f>IFERROR(__xludf.DUMMYFUNCTION("""COMPUTED_VALUE"""),"CONFEITARIA PRISCILLA DINIZ - CONTA PAI")</f>
        <v>CONFEITARIA PRISCILLA DINIZ - CONTA PAI</v>
      </c>
      <c r="L2240" s="32">
        <f>IFERROR(__xludf.DUMMYFUNCTION("""COMPUTED_VALUE"""),4.0)</f>
        <v>4</v>
      </c>
      <c r="M2240" s="4" t="str">
        <f>IFERROR(__xludf.DUMMYFUNCTION("""COMPUTED_VALUE"""),"Teknisa Service Ltda")</f>
        <v>Teknisa Service Ltda</v>
      </c>
      <c r="N2240" s="33">
        <f>IFERROR(__xludf.DUMMYFUNCTION("""COMPUTED_VALUE"""),1.0)</f>
        <v>1</v>
      </c>
      <c r="O2240" s="4" t="str">
        <f>IFERROR(__xludf.DUMMYFUNCTION("""COMPUTED_VALUE"""),"Teknisa Service Ltda")</f>
        <v>Teknisa Service Ltda</v>
      </c>
      <c r="P2240" s="33">
        <f>IFERROR(__xludf.DUMMYFUNCTION("""COMPUTED_VALUE"""),1.0)</f>
        <v>1</v>
      </c>
      <c r="Q2240" s="4" t="str">
        <f>IFERROR(__xludf.DUMMYFUNCTION("""COMPUTED_VALUE"""),"Teknisa Service Ltda")</f>
        <v>Teknisa Service Ltda</v>
      </c>
      <c r="R2240" s="33">
        <f>IFERROR(__xludf.DUMMYFUNCTION("""COMPUTED_VALUE"""),1.0)</f>
        <v>1</v>
      </c>
      <c r="S2240" s="4" t="str">
        <f>IFERROR(__xludf.DUMMYFUNCTION("""COMPUTED_VALUE"""),"Teknisa Service Ltda")</f>
        <v>Teknisa Service Ltda</v>
      </c>
      <c r="T2240" s="33">
        <f>IFERROR(__xludf.DUMMYFUNCTION("""COMPUTED_VALUE"""),1.0)</f>
        <v>1</v>
      </c>
      <c r="U2240" s="4" t="str">
        <f>IFERROR(__xludf.DUMMYFUNCTION("""COMPUTED_VALUE"""),"Teknisa Service Ltda")</f>
        <v>Teknisa Service Ltda</v>
      </c>
      <c r="V2240" s="33">
        <f>IFERROR(__xludf.DUMMYFUNCTION("""COMPUTED_VALUE"""),0.75)</f>
        <v>0.75</v>
      </c>
      <c r="W2240" s="4" t="str">
        <f>IFERROR(__xludf.DUMMYFUNCTION("""COMPUTED_VALUE"""),"Teknisa Service Ltda")</f>
        <v>Teknisa Service Ltda</v>
      </c>
      <c r="X2240" s="33">
        <f>IFERROR(__xludf.DUMMYFUNCTION("""COMPUTED_VALUE"""),1.0)</f>
        <v>1</v>
      </c>
    </row>
    <row r="2241">
      <c r="K2241" s="4" t="str">
        <f>IFERROR(__xludf.DUMMYFUNCTION("""COMPUTED_VALUE"""),"CONTA PAI CASERO COMIDA MINEIRA")</f>
        <v>CONTA PAI CASERO COMIDA MINEIRA</v>
      </c>
      <c r="L2241" s="32">
        <f>IFERROR(__xludf.DUMMYFUNCTION("""COMPUTED_VALUE"""),4.0)</f>
        <v>4</v>
      </c>
      <c r="M2241" s="4" t="str">
        <f>IFERROR(__xludf.DUMMYFUNCTION("""COMPUTED_VALUE"""),"Saipos Serviços De Software")</f>
        <v>Saipos Serviços De Software</v>
      </c>
      <c r="N2241" s="33">
        <f>IFERROR(__xludf.DUMMYFUNCTION("""COMPUTED_VALUE"""),0.75)</f>
        <v>0.75</v>
      </c>
      <c r="O2241" s="4" t="str">
        <f>IFERROR(__xludf.DUMMYFUNCTION("""COMPUTED_VALUE"""),"Saipos Serviços De Software")</f>
        <v>Saipos Serviços De Software</v>
      </c>
      <c r="P2241" s="33">
        <f>IFERROR(__xludf.DUMMYFUNCTION("""COMPUTED_VALUE"""),0.75)</f>
        <v>0.75</v>
      </c>
      <c r="Q2241" s="4" t="str">
        <f>IFERROR(__xludf.DUMMYFUNCTION("""COMPUTED_VALUE"""),"Saipos Serviços De Software")</f>
        <v>Saipos Serviços De Software</v>
      </c>
      <c r="R2241" s="33">
        <f>IFERROR(__xludf.DUMMYFUNCTION("""COMPUTED_VALUE"""),1.0)</f>
        <v>1</v>
      </c>
      <c r="S2241" s="4" t="str">
        <f>IFERROR(__xludf.DUMMYFUNCTION("""COMPUTED_VALUE"""),"Saipos Serviços De Software")</f>
        <v>Saipos Serviços De Software</v>
      </c>
      <c r="T2241" s="33">
        <f>IFERROR(__xludf.DUMMYFUNCTION("""COMPUTED_VALUE"""),1.0)</f>
        <v>1</v>
      </c>
      <c r="U2241" s="4" t="str">
        <f>IFERROR(__xludf.DUMMYFUNCTION("""COMPUTED_VALUE"""),"Saipos Serviços De Software")</f>
        <v>Saipos Serviços De Software</v>
      </c>
      <c r="V2241" s="33">
        <f>IFERROR(__xludf.DUMMYFUNCTION("""COMPUTED_VALUE"""),1.0)</f>
        <v>1</v>
      </c>
      <c r="W2241" s="4" t="str">
        <f>IFERROR(__xludf.DUMMYFUNCTION("""COMPUTED_VALUE"""),"null")</f>
        <v>null</v>
      </c>
      <c r="X2241" s="33">
        <f>IFERROR(__xludf.DUMMYFUNCTION("""COMPUTED_VALUE"""),0.5)</f>
        <v>0.5</v>
      </c>
    </row>
    <row r="2242">
      <c r="K2242" s="4" t="str">
        <f>IFERROR(__xludf.DUMMYFUNCTION("""COMPUTED_VALUE"""),"COOCERQUI DROG - CONTA MARCA")</f>
        <v>COOCERQUI DROG - CONTA MARCA</v>
      </c>
      <c r="L2242" s="32">
        <f>IFERROR(__xludf.DUMMYFUNCTION("""COMPUTED_VALUE"""),4.0)</f>
        <v>4</v>
      </c>
      <c r="M2242" s="4" t="str">
        <f>IFERROR(__xludf.DUMMYFUNCTION("""COMPUTED_VALUE"""),"N/A (Not found)")</f>
        <v>N/A (Not found)</v>
      </c>
      <c r="N2242" s="33">
        <f>IFERROR(__xludf.DUMMYFUNCTION("""COMPUTED_VALUE"""),0.5)</f>
        <v>0.5</v>
      </c>
      <c r="O2242" s="4" t="str">
        <f>IFERROR(__xludf.DUMMYFUNCTION("""COMPUTED_VALUE"""),"N/A (Not found)")</f>
        <v>N/A (Not found)</v>
      </c>
      <c r="P2242" s="33">
        <f>IFERROR(__xludf.DUMMYFUNCTION("""COMPUTED_VALUE"""),0.5)</f>
        <v>0.5</v>
      </c>
      <c r="Q2242" s="4" t="str">
        <f>IFERROR(__xludf.DUMMYFUNCTION("""COMPUTED_VALUE"""),"N/A (Not found)")</f>
        <v>N/A (Not found)</v>
      </c>
      <c r="R2242" s="33">
        <f>IFERROR(__xludf.DUMMYFUNCTION("""COMPUTED_VALUE"""),0.5)</f>
        <v>0.5</v>
      </c>
      <c r="S2242" s="4" t="str">
        <f>IFERROR(__xludf.DUMMYFUNCTION("""COMPUTED_VALUE"""),"N/A (Not found)")</f>
        <v>N/A (Not found)</v>
      </c>
      <c r="T2242" s="33">
        <f>IFERROR(__xludf.DUMMYFUNCTION("""COMPUTED_VALUE"""),0.5)</f>
        <v>0.5</v>
      </c>
      <c r="U2242" s="4" t="str">
        <f>IFERROR(__xludf.DUMMYFUNCTION("""COMPUTED_VALUE"""),"N/A (Not found)")</f>
        <v>N/A (Not found)</v>
      </c>
      <c r="V2242" s="33">
        <f>IFERROR(__xludf.DUMMYFUNCTION("""COMPUTED_VALUE"""),1.0)</f>
        <v>1</v>
      </c>
      <c r="W2242" s="4" t="str">
        <f>IFERROR(__xludf.DUMMYFUNCTION("""COMPUTED_VALUE"""),"N/A (Not found)")</f>
        <v>N/A (Not found)</v>
      </c>
      <c r="X2242" s="33">
        <f>IFERROR(__xludf.DUMMYFUNCTION("""COMPUTED_VALUE"""),1.0)</f>
        <v>1</v>
      </c>
    </row>
    <row r="2243">
      <c r="K2243" s="4" t="str">
        <f>IFERROR(__xludf.DUMMYFUNCTION("""COMPUTED_VALUE"""),"COOKIE GUYS - BOM PASTOR - MS")</f>
        <v>COOKIE GUYS - BOM PASTOR - MS</v>
      </c>
      <c r="L2243" s="32">
        <f>IFERROR(__xludf.DUMMYFUNCTION("""COMPUTED_VALUE"""),4.0)</f>
        <v>4</v>
      </c>
      <c r="M2243" s="4" t="str">
        <f>IFERROR(__xludf.DUMMYFUNCTION("""COMPUTED_VALUE"""),"Stone Co.")</f>
        <v>Stone Co.</v>
      </c>
      <c r="N2243" s="33">
        <f>IFERROR(__xludf.DUMMYFUNCTION("""COMPUTED_VALUE"""),1.0)</f>
        <v>1</v>
      </c>
      <c r="O2243" s="4" t="str">
        <f>IFERROR(__xludf.DUMMYFUNCTION("""COMPUTED_VALUE"""),"Stone Co.")</f>
        <v>Stone Co.</v>
      </c>
      <c r="P2243" s="33">
        <f>IFERROR(__xludf.DUMMYFUNCTION("""COMPUTED_VALUE"""),1.0)</f>
        <v>1</v>
      </c>
      <c r="Q2243" s="4" t="str">
        <f>IFERROR(__xludf.DUMMYFUNCTION("""COMPUTED_VALUE"""),"Stone Co.")</f>
        <v>Stone Co.</v>
      </c>
      <c r="R2243" s="33">
        <f>IFERROR(__xludf.DUMMYFUNCTION("""COMPUTED_VALUE"""),1.0)</f>
        <v>1</v>
      </c>
      <c r="S2243" s="4" t="str">
        <f>IFERROR(__xludf.DUMMYFUNCTION("""COMPUTED_VALUE"""),"Stone Co.")</f>
        <v>Stone Co.</v>
      </c>
      <c r="T2243" s="33">
        <f>IFERROR(__xludf.DUMMYFUNCTION("""COMPUTED_VALUE"""),1.0)</f>
        <v>1</v>
      </c>
      <c r="U2243" s="4" t="str">
        <f>IFERROR(__xludf.DUMMYFUNCTION("""COMPUTED_VALUE"""),"Stone Co.")</f>
        <v>Stone Co.</v>
      </c>
      <c r="V2243" s="33">
        <f>IFERROR(__xludf.DUMMYFUNCTION("""COMPUTED_VALUE"""),1.0)</f>
        <v>1</v>
      </c>
      <c r="W2243" s="4" t="str">
        <f>IFERROR(__xludf.DUMMYFUNCTION("""COMPUTED_VALUE"""),"Stone Co.")</f>
        <v>Stone Co.</v>
      </c>
      <c r="X2243" s="33">
        <f>IFERROR(__xludf.DUMMYFUNCTION("""COMPUTED_VALUE"""),1.0)</f>
        <v>1</v>
      </c>
    </row>
    <row r="2244">
      <c r="K2244" s="4" t="str">
        <f>IFERROR(__xludf.DUMMYFUNCTION("""COMPUTED_VALUE"""),"CORISCO")</f>
        <v>CORISCO</v>
      </c>
      <c r="L2244" s="32">
        <f>IFERROR(__xludf.DUMMYFUNCTION("""COMPUTED_VALUE"""),4.0)</f>
        <v>4</v>
      </c>
      <c r="M2244" s="4" t="str">
        <f>IFERROR(__xludf.DUMMYFUNCTION("""COMPUTED_VALUE"""),"Cardápio Web")</f>
        <v>Cardápio Web</v>
      </c>
      <c r="N2244" s="33">
        <f>IFERROR(__xludf.DUMMYFUNCTION("""COMPUTED_VALUE"""),1.0)</f>
        <v>1</v>
      </c>
      <c r="O2244" s="4" t="str">
        <f>IFERROR(__xludf.DUMMYFUNCTION("""COMPUTED_VALUE"""),"Cardápio Web")</f>
        <v>Cardápio Web</v>
      </c>
      <c r="P2244" s="33">
        <f>IFERROR(__xludf.DUMMYFUNCTION("""COMPUTED_VALUE"""),1.0)</f>
        <v>1</v>
      </c>
      <c r="Q2244" s="4" t="str">
        <f>IFERROR(__xludf.DUMMYFUNCTION("""COMPUTED_VALUE"""),"Cardápio Web")</f>
        <v>Cardápio Web</v>
      </c>
      <c r="R2244" s="33">
        <f>IFERROR(__xludf.DUMMYFUNCTION("""COMPUTED_VALUE"""),1.0)</f>
        <v>1</v>
      </c>
      <c r="S2244" s="4" t="str">
        <f>IFERROR(__xludf.DUMMYFUNCTION("""COMPUTED_VALUE"""),"Cardápio Web")</f>
        <v>Cardápio Web</v>
      </c>
      <c r="T2244" s="33">
        <f>IFERROR(__xludf.DUMMYFUNCTION("""COMPUTED_VALUE"""),1.0)</f>
        <v>1</v>
      </c>
      <c r="U2244" s="4" t="str">
        <f>IFERROR(__xludf.DUMMYFUNCTION("""COMPUTED_VALUE"""),"Cardápio Web")</f>
        <v>Cardápio Web</v>
      </c>
      <c r="V2244" s="33">
        <f>IFERROR(__xludf.DUMMYFUNCTION("""COMPUTED_VALUE"""),1.0)</f>
        <v>1</v>
      </c>
      <c r="W2244" s="4" t="str">
        <f>IFERROR(__xludf.DUMMYFUNCTION("""COMPUTED_VALUE"""),"Cardápio Web")</f>
        <v>Cardápio Web</v>
      </c>
      <c r="X2244" s="33">
        <f>IFERROR(__xludf.DUMMYFUNCTION("""COMPUTED_VALUE"""),1.0)</f>
        <v>1</v>
      </c>
    </row>
    <row r="2245">
      <c r="K2245" s="4" t="str">
        <f>IFERROR(__xludf.DUMMYFUNCTION("""COMPUTED_VALUE"""),"COXINHA SHOW 2- CID DAS FLORES")</f>
        <v>COXINHA SHOW 2- CID DAS FLORES</v>
      </c>
      <c r="L2245" s="32">
        <f>IFERROR(__xludf.DUMMYFUNCTION("""COMPUTED_VALUE"""),4.0)</f>
        <v>4</v>
      </c>
      <c r="M2245" s="4" t="str">
        <f>IFERROR(__xludf.DUMMYFUNCTION("""COMPUTED_VALUE"""),"Saipos Serviços De Software")</f>
        <v>Saipos Serviços De Software</v>
      </c>
      <c r="N2245" s="33">
        <f>IFERROR(__xludf.DUMMYFUNCTION("""COMPUTED_VALUE"""),1.0)</f>
        <v>1</v>
      </c>
      <c r="O2245" s="4" t="str">
        <f>IFERROR(__xludf.DUMMYFUNCTION("""COMPUTED_VALUE"""),"Saipos Serviços De Software")</f>
        <v>Saipos Serviços De Software</v>
      </c>
      <c r="P2245" s="33">
        <f>IFERROR(__xludf.DUMMYFUNCTION("""COMPUTED_VALUE"""),1.0)</f>
        <v>1</v>
      </c>
      <c r="Q2245" s="4" t="str">
        <f>IFERROR(__xludf.DUMMYFUNCTION("""COMPUTED_VALUE"""),"Saipos Serviços De Software")</f>
        <v>Saipos Serviços De Software</v>
      </c>
      <c r="R2245" s="33">
        <f>IFERROR(__xludf.DUMMYFUNCTION("""COMPUTED_VALUE"""),1.0)</f>
        <v>1</v>
      </c>
      <c r="S2245" s="4" t="str">
        <f>IFERROR(__xludf.DUMMYFUNCTION("""COMPUTED_VALUE"""),"Saipos Serviços De Software")</f>
        <v>Saipos Serviços De Software</v>
      </c>
      <c r="T2245" s="33">
        <f>IFERROR(__xludf.DUMMYFUNCTION("""COMPUTED_VALUE"""),1.0)</f>
        <v>1</v>
      </c>
      <c r="U2245" s="4" t="str">
        <f>IFERROR(__xludf.DUMMYFUNCTION("""COMPUTED_VALUE"""),"Saipos Serviços De Software")</f>
        <v>Saipos Serviços De Software</v>
      </c>
      <c r="V2245" s="33">
        <f>IFERROR(__xludf.DUMMYFUNCTION("""COMPUTED_VALUE"""),1.0)</f>
        <v>1</v>
      </c>
      <c r="W2245" s="4" t="str">
        <f>IFERROR(__xludf.DUMMYFUNCTION("""COMPUTED_VALUE"""),"Saipos Serviços De Software")</f>
        <v>Saipos Serviços De Software</v>
      </c>
      <c r="X2245" s="33">
        <f>IFERROR(__xludf.DUMMYFUNCTION("""COMPUTED_VALUE"""),1.0)</f>
        <v>1</v>
      </c>
    </row>
    <row r="2246">
      <c r="K2246" s="4" t="str">
        <f>IFERROR(__xludf.DUMMYFUNCTION("""COMPUTED_VALUE"""),"CRISTAL PIZZA")</f>
        <v>CRISTAL PIZZA</v>
      </c>
      <c r="L2246" s="32">
        <f>IFERROR(__xludf.DUMMYFUNCTION("""COMPUTED_VALUE"""),4.0)</f>
        <v>4</v>
      </c>
      <c r="M2246" s="4" t="str">
        <f>IFERROR(__xludf.DUMMYFUNCTION("""COMPUTED_VALUE"""),"Eclética Tecnologia")</f>
        <v>Eclética Tecnologia</v>
      </c>
      <c r="N2246" s="33">
        <f>IFERROR(__xludf.DUMMYFUNCTION("""COMPUTED_VALUE"""),1.0)</f>
        <v>1</v>
      </c>
      <c r="O2246" s="4" t="str">
        <f>IFERROR(__xludf.DUMMYFUNCTION("""COMPUTED_VALUE"""),"Eclética Tecnologia")</f>
        <v>Eclética Tecnologia</v>
      </c>
      <c r="P2246" s="33">
        <f>IFERROR(__xludf.DUMMYFUNCTION("""COMPUTED_VALUE"""),1.0)</f>
        <v>1</v>
      </c>
      <c r="Q2246" s="4" t="str">
        <f>IFERROR(__xludf.DUMMYFUNCTION("""COMPUTED_VALUE"""),"Eclética Tecnologia")</f>
        <v>Eclética Tecnologia</v>
      </c>
      <c r="R2246" s="33">
        <f>IFERROR(__xludf.DUMMYFUNCTION("""COMPUTED_VALUE"""),1.0)</f>
        <v>1</v>
      </c>
      <c r="S2246" s="4" t="str">
        <f>IFERROR(__xludf.DUMMYFUNCTION("""COMPUTED_VALUE"""),"Eclética Tecnologia")</f>
        <v>Eclética Tecnologia</v>
      </c>
      <c r="T2246" s="33">
        <f>IFERROR(__xludf.DUMMYFUNCTION("""COMPUTED_VALUE"""),0.75)</f>
        <v>0.75</v>
      </c>
      <c r="U2246" s="4" t="str">
        <f>IFERROR(__xludf.DUMMYFUNCTION("""COMPUTED_VALUE"""),"Eclética Tecnologia")</f>
        <v>Eclética Tecnologia</v>
      </c>
      <c r="V2246" s="33">
        <f>IFERROR(__xludf.DUMMYFUNCTION("""COMPUTED_VALUE"""),1.0)</f>
        <v>1</v>
      </c>
      <c r="W2246" s="4" t="str">
        <f>IFERROR(__xludf.DUMMYFUNCTION("""COMPUTED_VALUE"""),"Eclética Tecnologia")</f>
        <v>Eclética Tecnologia</v>
      </c>
      <c r="X2246" s="33">
        <f>IFERROR(__xludf.DUMMYFUNCTION("""COMPUTED_VALUE"""),1.0)</f>
        <v>1</v>
      </c>
    </row>
    <row r="2247">
      <c r="K2247" s="4" t="str">
        <f>IFERROR(__xludf.DUMMYFUNCTION("""COMPUTED_VALUE"""),"CRUSH PIZZA")</f>
        <v>CRUSH PIZZA</v>
      </c>
      <c r="L2247" s="32">
        <f>IFERROR(__xludf.DUMMYFUNCTION("""COMPUTED_VALUE"""),4.0)</f>
        <v>4</v>
      </c>
      <c r="M2247" s="4" t="str">
        <f>IFERROR(__xludf.DUMMYFUNCTION("""COMPUTED_VALUE"""),"Saipos Serviços De Software")</f>
        <v>Saipos Serviços De Software</v>
      </c>
      <c r="N2247" s="33">
        <f>IFERROR(__xludf.DUMMYFUNCTION("""COMPUTED_VALUE"""),1.0)</f>
        <v>1</v>
      </c>
      <c r="O2247" s="4" t="str">
        <f>IFERROR(__xludf.DUMMYFUNCTION("""COMPUTED_VALUE"""),"Saipos Serviços De Software")</f>
        <v>Saipos Serviços De Software</v>
      </c>
      <c r="P2247" s="33">
        <f>IFERROR(__xludf.DUMMYFUNCTION("""COMPUTED_VALUE"""),1.0)</f>
        <v>1</v>
      </c>
      <c r="Q2247" s="4" t="str">
        <f>IFERROR(__xludf.DUMMYFUNCTION("""COMPUTED_VALUE"""),"Saipos Serviços De Software")</f>
        <v>Saipos Serviços De Software</v>
      </c>
      <c r="R2247" s="33">
        <f>IFERROR(__xludf.DUMMYFUNCTION("""COMPUTED_VALUE"""),1.0)</f>
        <v>1</v>
      </c>
      <c r="S2247" s="4" t="str">
        <f>IFERROR(__xludf.DUMMYFUNCTION("""COMPUTED_VALUE"""),"Saipos Serviços De Software")</f>
        <v>Saipos Serviços De Software</v>
      </c>
      <c r="T2247" s="33">
        <f>IFERROR(__xludf.DUMMYFUNCTION("""COMPUTED_VALUE"""),0.75)</f>
        <v>0.75</v>
      </c>
      <c r="U2247" s="4" t="str">
        <f>IFERROR(__xludf.DUMMYFUNCTION("""COMPUTED_VALUE"""),"Saipos Serviços De Software")</f>
        <v>Saipos Serviços De Software</v>
      </c>
      <c r="V2247" s="33">
        <f>IFERROR(__xludf.DUMMYFUNCTION("""COMPUTED_VALUE"""),0.75)</f>
        <v>0.75</v>
      </c>
      <c r="W2247" s="4" t="str">
        <f>IFERROR(__xludf.DUMMYFUNCTION("""COMPUTED_VALUE"""),"Saipos Serviços De Software")</f>
        <v>Saipos Serviços De Software</v>
      </c>
      <c r="X2247" s="33">
        <f>IFERROR(__xludf.DUMMYFUNCTION("""COMPUTED_VALUE"""),0.75)</f>
        <v>0.75</v>
      </c>
    </row>
    <row r="2248">
      <c r="K2248" s="4" t="str">
        <f>IFERROR(__xludf.DUMMYFUNCTION("""COMPUTED_VALUE"""),"CUCA POP - CONTA PAI")</f>
        <v>CUCA POP - CONTA PAI</v>
      </c>
      <c r="L2248" s="32">
        <f>IFERROR(__xludf.DUMMYFUNCTION("""COMPUTED_VALUE"""),4.0)</f>
        <v>4</v>
      </c>
      <c r="M2248" s="4" t="str">
        <f>IFERROR(__xludf.DUMMYFUNCTION("""COMPUTED_VALUE"""),"3a Solution")</f>
        <v>3a Solution</v>
      </c>
      <c r="N2248" s="33">
        <f>IFERROR(__xludf.DUMMYFUNCTION("""COMPUTED_VALUE"""),0.75)</f>
        <v>0.75</v>
      </c>
      <c r="O2248" s="4" t="str">
        <f>IFERROR(__xludf.DUMMYFUNCTION("""COMPUTED_VALUE"""),"3a Solution")</f>
        <v>3a Solution</v>
      </c>
      <c r="P2248" s="33">
        <f>IFERROR(__xludf.DUMMYFUNCTION("""COMPUTED_VALUE"""),0.75)</f>
        <v>0.75</v>
      </c>
      <c r="Q2248" s="4" t="str">
        <f>IFERROR(__xludf.DUMMYFUNCTION("""COMPUTED_VALUE"""),"3a Solution")</f>
        <v>3a Solution</v>
      </c>
      <c r="R2248" s="33">
        <f>IFERROR(__xludf.DUMMYFUNCTION("""COMPUTED_VALUE"""),0.75)</f>
        <v>0.75</v>
      </c>
      <c r="S2248" s="4" t="str">
        <f>IFERROR(__xludf.DUMMYFUNCTION("""COMPUTED_VALUE"""),"3a Solution")</f>
        <v>3a Solution</v>
      </c>
      <c r="T2248" s="33">
        <f>IFERROR(__xludf.DUMMYFUNCTION("""COMPUTED_VALUE"""),0.75)</f>
        <v>0.75</v>
      </c>
      <c r="U2248" s="4" t="str">
        <f>IFERROR(__xludf.DUMMYFUNCTION("""COMPUTED_VALUE"""),"null")</f>
        <v>null</v>
      </c>
      <c r="V2248" s="33">
        <f>IFERROR(__xludf.DUMMYFUNCTION("""COMPUTED_VALUE"""),0.5)</f>
        <v>0.5</v>
      </c>
      <c r="W2248" s="4" t="str">
        <f>IFERROR(__xludf.DUMMYFUNCTION("""COMPUTED_VALUE"""),"3a Solution")</f>
        <v>3a Solution</v>
      </c>
      <c r="X2248" s="33">
        <f>IFERROR(__xludf.DUMMYFUNCTION("""COMPUTED_VALUE"""),0.75)</f>
        <v>0.75</v>
      </c>
    </row>
    <row r="2249">
      <c r="K2249" s="4" t="str">
        <f>IFERROR(__xludf.DUMMYFUNCTION("""COMPUTED_VALUE"""),"DACHO RESTAURANTE JAPONES")</f>
        <v>DACHO RESTAURANTE JAPONES</v>
      </c>
      <c r="L2249" s="32">
        <f>IFERROR(__xludf.DUMMYFUNCTION("""COMPUTED_VALUE"""),4.0)</f>
        <v>4</v>
      </c>
      <c r="M2249" s="4" t="str">
        <f>IFERROR(__xludf.DUMMYFUNCTION("""COMPUTED_VALUE"""),"Ncr")</f>
        <v>Ncr</v>
      </c>
      <c r="N2249" s="33">
        <f>IFERROR(__xludf.DUMMYFUNCTION("""COMPUTED_VALUE"""),1.0)</f>
        <v>1</v>
      </c>
      <c r="O2249" s="4" t="str">
        <f>IFERROR(__xludf.DUMMYFUNCTION("""COMPUTED_VALUE"""),"Ncr")</f>
        <v>Ncr</v>
      </c>
      <c r="P2249" s="33">
        <f>IFERROR(__xludf.DUMMYFUNCTION("""COMPUTED_VALUE"""),1.0)</f>
        <v>1</v>
      </c>
      <c r="Q2249" s="4" t="str">
        <f>IFERROR(__xludf.DUMMYFUNCTION("""COMPUTED_VALUE"""),"Ncr")</f>
        <v>Ncr</v>
      </c>
      <c r="R2249" s="33">
        <f>IFERROR(__xludf.DUMMYFUNCTION("""COMPUTED_VALUE"""),1.0)</f>
        <v>1</v>
      </c>
      <c r="S2249" s="4" t="str">
        <f>IFERROR(__xludf.DUMMYFUNCTION("""COMPUTED_VALUE"""),"Ncr")</f>
        <v>Ncr</v>
      </c>
      <c r="T2249" s="33">
        <f>IFERROR(__xludf.DUMMYFUNCTION("""COMPUTED_VALUE"""),1.0)</f>
        <v>1</v>
      </c>
      <c r="U2249" s="4" t="str">
        <f>IFERROR(__xludf.DUMMYFUNCTION("""COMPUTED_VALUE"""),"Ncr")</f>
        <v>Ncr</v>
      </c>
      <c r="V2249" s="33">
        <f>IFERROR(__xludf.DUMMYFUNCTION("""COMPUTED_VALUE"""),1.0)</f>
        <v>1</v>
      </c>
      <c r="W2249" s="4" t="str">
        <f>IFERROR(__xludf.DUMMYFUNCTION("""COMPUTED_VALUE"""),"Ncr")</f>
        <v>Ncr</v>
      </c>
      <c r="X2249" s="33">
        <f>IFERROR(__xludf.DUMMYFUNCTION("""COMPUTED_VALUE"""),1.0)</f>
        <v>1</v>
      </c>
    </row>
    <row r="2250">
      <c r="K2250" s="4" t="str">
        <f>IFERROR(__xludf.DUMMYFUNCTION("""COMPUTED_VALUE"""),"DALLE PIZZA - CONTA MARCA")</f>
        <v>DALLE PIZZA - CONTA MARCA</v>
      </c>
      <c r="L2250" s="32">
        <f>IFERROR(__xludf.DUMMYFUNCTION("""COMPUTED_VALUE"""),4.0)</f>
        <v>4</v>
      </c>
      <c r="M2250" s="4" t="str">
        <f>IFERROR(__xludf.DUMMYFUNCTION("""COMPUTED_VALUE"""),"Anove Tecnologia")</f>
        <v>Anove Tecnologia</v>
      </c>
      <c r="N2250" s="33">
        <f>IFERROR(__xludf.DUMMYFUNCTION("""COMPUTED_VALUE"""),1.0)</f>
        <v>1</v>
      </c>
      <c r="O2250" s="4" t="str">
        <f>IFERROR(__xludf.DUMMYFUNCTION("""COMPUTED_VALUE"""),"null")</f>
        <v>null</v>
      </c>
      <c r="P2250" s="33">
        <f>IFERROR(__xludf.DUMMYFUNCTION("""COMPUTED_VALUE"""),1.0)</f>
        <v>1</v>
      </c>
      <c r="Q2250" s="4" t="str">
        <f>IFERROR(__xludf.DUMMYFUNCTION("""COMPUTED_VALUE"""),"null")</f>
        <v>null</v>
      </c>
      <c r="R2250" s="33">
        <f>IFERROR(__xludf.DUMMYFUNCTION("""COMPUTED_VALUE"""),1.0)</f>
        <v>1</v>
      </c>
      <c r="S2250" s="4" t="str">
        <f>IFERROR(__xludf.DUMMYFUNCTION("""COMPUTED_VALUE"""),"null")</f>
        <v>null</v>
      </c>
      <c r="T2250" s="33">
        <f>IFERROR(__xludf.DUMMYFUNCTION("""COMPUTED_VALUE"""),1.0)</f>
        <v>1</v>
      </c>
      <c r="U2250" s="4" t="str">
        <f>IFERROR(__xludf.DUMMYFUNCTION("""COMPUTED_VALUE"""),"null")</f>
        <v>null</v>
      </c>
      <c r="V2250" s="33">
        <f>IFERROR(__xludf.DUMMYFUNCTION("""COMPUTED_VALUE"""),0.75)</f>
        <v>0.75</v>
      </c>
      <c r="W2250" s="4" t="str">
        <f>IFERROR(__xludf.DUMMYFUNCTION("""COMPUTED_VALUE"""),"null")</f>
        <v>null</v>
      </c>
      <c r="X2250" s="33">
        <f>IFERROR(__xludf.DUMMYFUNCTION("""COMPUTED_VALUE"""),0.75)</f>
        <v>0.75</v>
      </c>
    </row>
    <row r="2251">
      <c r="K2251" s="4" t="str">
        <f>IFERROR(__xludf.DUMMYFUNCTION("""COMPUTED_VALUE"""),"DAMS ACAITERIA CP")</f>
        <v>DAMS ACAITERIA CP</v>
      </c>
      <c r="L2251" s="32">
        <f>IFERROR(__xludf.DUMMYFUNCTION("""COMPUTED_VALUE"""),4.0)</f>
        <v>4</v>
      </c>
      <c r="M2251" s="4" t="str">
        <f>IFERROR(__xludf.DUMMYFUNCTION("""COMPUTED_VALUE"""),"Saipos Serviços De Software")</f>
        <v>Saipos Serviços De Software</v>
      </c>
      <c r="N2251" s="33">
        <f>IFERROR(__xludf.DUMMYFUNCTION("""COMPUTED_VALUE"""),1.0)</f>
        <v>1</v>
      </c>
      <c r="O2251" s="4" t="str">
        <f>IFERROR(__xludf.DUMMYFUNCTION("""COMPUTED_VALUE"""),"Saipos Serviços De Software")</f>
        <v>Saipos Serviços De Software</v>
      </c>
      <c r="P2251" s="33">
        <f>IFERROR(__xludf.DUMMYFUNCTION("""COMPUTED_VALUE"""),1.0)</f>
        <v>1</v>
      </c>
      <c r="Q2251" s="4" t="str">
        <f>IFERROR(__xludf.DUMMYFUNCTION("""COMPUTED_VALUE"""),"Saipos Serviços De Software")</f>
        <v>Saipos Serviços De Software</v>
      </c>
      <c r="R2251" s="33">
        <f>IFERROR(__xludf.DUMMYFUNCTION("""COMPUTED_VALUE"""),1.0)</f>
        <v>1</v>
      </c>
      <c r="S2251" s="4" t="str">
        <f>IFERROR(__xludf.DUMMYFUNCTION("""COMPUTED_VALUE"""),"Saipos Serviços De Software")</f>
        <v>Saipos Serviços De Software</v>
      </c>
      <c r="T2251" s="33">
        <f>IFERROR(__xludf.DUMMYFUNCTION("""COMPUTED_VALUE"""),1.0)</f>
        <v>1</v>
      </c>
      <c r="U2251" s="4" t="str">
        <f>IFERROR(__xludf.DUMMYFUNCTION("""COMPUTED_VALUE"""),"Saipos Serviços De Software")</f>
        <v>Saipos Serviços De Software</v>
      </c>
      <c r="V2251" s="33">
        <f>IFERROR(__xludf.DUMMYFUNCTION("""COMPUTED_VALUE"""),1.0)</f>
        <v>1</v>
      </c>
      <c r="W2251" s="4" t="str">
        <f>IFERROR(__xludf.DUMMYFUNCTION("""COMPUTED_VALUE"""),"Saipos Serviços De Software")</f>
        <v>Saipos Serviços De Software</v>
      </c>
      <c r="X2251" s="33">
        <f>IFERROR(__xludf.DUMMYFUNCTION("""COMPUTED_VALUE"""),1.0)</f>
        <v>1</v>
      </c>
    </row>
    <row r="2252">
      <c r="K2252" s="4" t="str">
        <f>IFERROR(__xludf.DUMMYFUNCTION("""COMPUTED_VALUE"""),"DDOG BURGUER - FLORIPA")</f>
        <v>DDOG BURGUER - FLORIPA</v>
      </c>
      <c r="L2252" s="32">
        <f>IFERROR(__xludf.DUMMYFUNCTION("""COMPUTED_VALUE"""),4.0)</f>
        <v>4</v>
      </c>
      <c r="M2252" s="4" t="str">
        <f>IFERROR(__xludf.DUMMYFUNCTION("""COMPUTED_VALUE"""),"Cardápio Web")</f>
        <v>Cardápio Web</v>
      </c>
      <c r="N2252" s="33">
        <f>IFERROR(__xludf.DUMMYFUNCTION("""COMPUTED_VALUE"""),0.75)</f>
        <v>0.75</v>
      </c>
      <c r="O2252" s="4" t="str">
        <f>IFERROR(__xludf.DUMMYFUNCTION("""COMPUTED_VALUE"""),"Cardápio Web")</f>
        <v>Cardápio Web</v>
      </c>
      <c r="P2252" s="33">
        <f>IFERROR(__xludf.DUMMYFUNCTION("""COMPUTED_VALUE"""),0.5)</f>
        <v>0.5</v>
      </c>
      <c r="Q2252" s="4" t="str">
        <f>IFERROR(__xludf.DUMMYFUNCTION("""COMPUTED_VALUE"""),"Cardápio Web")</f>
        <v>Cardápio Web</v>
      </c>
      <c r="R2252" s="33">
        <f>IFERROR(__xludf.DUMMYFUNCTION("""COMPUTED_VALUE"""),0.5)</f>
        <v>0.5</v>
      </c>
      <c r="S2252" s="4" t="str">
        <f>IFERROR(__xludf.DUMMYFUNCTION("""COMPUTED_VALUE"""),"Cardápio Web")</f>
        <v>Cardápio Web</v>
      </c>
      <c r="T2252" s="33">
        <f>IFERROR(__xludf.DUMMYFUNCTION("""COMPUTED_VALUE"""),0.5)</f>
        <v>0.5</v>
      </c>
      <c r="U2252" s="4" t="str">
        <f>IFERROR(__xludf.DUMMYFUNCTION("""COMPUTED_VALUE"""),"Cardápio Web")</f>
        <v>Cardápio Web</v>
      </c>
      <c r="V2252" s="33">
        <f>IFERROR(__xludf.DUMMYFUNCTION("""COMPUTED_VALUE"""),0.5)</f>
        <v>0.5</v>
      </c>
      <c r="W2252" s="4" t="str">
        <f>IFERROR(__xludf.DUMMYFUNCTION("""COMPUTED_VALUE"""),"Cardápio Web")</f>
        <v>Cardápio Web</v>
      </c>
      <c r="X2252" s="33">
        <f>IFERROR(__xludf.DUMMYFUNCTION("""COMPUTED_VALUE"""),0.5)</f>
        <v>0.5</v>
      </c>
    </row>
    <row r="2253">
      <c r="K2253" s="4" t="str">
        <f>IFERROR(__xludf.DUMMYFUNCTION("""COMPUTED_VALUE"""),"DEDE BURGUER - CONTA MARCA")</f>
        <v>DEDE BURGUER - CONTA MARCA</v>
      </c>
      <c r="L2253" s="32">
        <f>IFERROR(__xludf.DUMMYFUNCTION("""COMPUTED_VALUE"""),4.0)</f>
        <v>4</v>
      </c>
      <c r="M2253" s="4" t="str">
        <f>IFERROR(__xludf.DUMMYFUNCTION("""COMPUTED_VALUE"""),"null")</f>
        <v>null</v>
      </c>
      <c r="N2253" s="33">
        <f>IFERROR(__xludf.DUMMYFUNCTION("""COMPUTED_VALUE"""),0.75)</f>
        <v>0.75</v>
      </c>
      <c r="O2253" s="4" t="str">
        <f>IFERROR(__xludf.DUMMYFUNCTION("""COMPUTED_VALUE"""),"null")</f>
        <v>null</v>
      </c>
      <c r="P2253" s="33">
        <f>IFERROR(__xludf.DUMMYFUNCTION("""COMPUTED_VALUE"""),1.0)</f>
        <v>1</v>
      </c>
      <c r="Q2253" s="4" t="str">
        <f>IFERROR(__xludf.DUMMYFUNCTION("""COMPUTED_VALUE"""),"null")</f>
        <v>null</v>
      </c>
      <c r="R2253" s="33">
        <f>IFERROR(__xludf.DUMMYFUNCTION("""COMPUTED_VALUE"""),1.0)</f>
        <v>1</v>
      </c>
      <c r="S2253" s="4">
        <f>IFERROR(__xludf.DUMMYFUNCTION("""COMPUTED_VALUE"""),88.0)</f>
        <v>88</v>
      </c>
      <c r="T2253" s="33">
        <f>IFERROR(__xludf.DUMMYFUNCTION("""COMPUTED_VALUE"""),0.75)</f>
        <v>0.75</v>
      </c>
      <c r="U2253" s="4">
        <f>IFERROR(__xludf.DUMMYFUNCTION("""COMPUTED_VALUE"""),88.0)</f>
        <v>88</v>
      </c>
      <c r="V2253" s="33">
        <f>IFERROR(__xludf.DUMMYFUNCTION("""COMPUTED_VALUE"""),1.0)</f>
        <v>1</v>
      </c>
      <c r="W2253" s="4">
        <f>IFERROR(__xludf.DUMMYFUNCTION("""COMPUTED_VALUE"""),88.0)</f>
        <v>88</v>
      </c>
      <c r="X2253" s="33">
        <f>IFERROR(__xludf.DUMMYFUNCTION("""COMPUTED_VALUE"""),0.75)</f>
        <v>0.75</v>
      </c>
    </row>
    <row r="2254">
      <c r="K2254" s="4" t="str">
        <f>IFERROR(__xludf.DUMMYFUNCTION("""COMPUTED_VALUE"""),"DEKKI JAPA")</f>
        <v>DEKKI JAPA</v>
      </c>
      <c r="L2254" s="32">
        <f>IFERROR(__xludf.DUMMYFUNCTION("""COMPUTED_VALUE"""),4.0)</f>
        <v>4</v>
      </c>
      <c r="M2254" s="4" t="str">
        <f>IFERROR(__xludf.DUMMYFUNCTION("""COMPUTED_VALUE"""),"Ncr")</f>
        <v>Ncr</v>
      </c>
      <c r="N2254" s="33">
        <f>IFERROR(__xludf.DUMMYFUNCTION("""COMPUTED_VALUE"""),0.5)</f>
        <v>0.5</v>
      </c>
      <c r="O2254" s="4" t="str">
        <f>IFERROR(__xludf.DUMMYFUNCTION("""COMPUTED_VALUE"""),"Ncr")</f>
        <v>Ncr</v>
      </c>
      <c r="P2254" s="33">
        <f>IFERROR(__xludf.DUMMYFUNCTION("""COMPUTED_VALUE"""),0.5)</f>
        <v>0.5</v>
      </c>
      <c r="Q2254" s="4" t="str">
        <f>IFERROR(__xludf.DUMMYFUNCTION("""COMPUTED_VALUE"""),"Ncr")</f>
        <v>Ncr</v>
      </c>
      <c r="R2254" s="33">
        <f>IFERROR(__xludf.DUMMYFUNCTION("""COMPUTED_VALUE"""),0.75)</f>
        <v>0.75</v>
      </c>
      <c r="S2254" s="4" t="str">
        <f>IFERROR(__xludf.DUMMYFUNCTION("""COMPUTED_VALUE"""),"Ncr")</f>
        <v>Ncr</v>
      </c>
      <c r="T2254" s="33">
        <f>IFERROR(__xludf.DUMMYFUNCTION("""COMPUTED_VALUE"""),1.0)</f>
        <v>1</v>
      </c>
      <c r="U2254" s="4" t="str">
        <f>IFERROR(__xludf.DUMMYFUNCTION("""COMPUTED_VALUE"""),"Ncr")</f>
        <v>Ncr</v>
      </c>
      <c r="V2254" s="33">
        <f>IFERROR(__xludf.DUMMYFUNCTION("""COMPUTED_VALUE"""),1.0)</f>
        <v>1</v>
      </c>
      <c r="W2254" s="4" t="str">
        <f>IFERROR(__xludf.DUMMYFUNCTION("""COMPUTED_VALUE"""),"Ncr")</f>
        <v>Ncr</v>
      </c>
      <c r="X2254" s="33">
        <f>IFERROR(__xludf.DUMMYFUNCTION("""COMPUTED_VALUE"""),0.5)</f>
        <v>0.5</v>
      </c>
    </row>
    <row r="2255">
      <c r="K2255" s="4" t="str">
        <f>IFERROR(__xludf.DUMMYFUNCTION("""COMPUTED_VALUE"""),"DELICIAS DA OCI - MACAPA")</f>
        <v>DELICIAS DA OCI - MACAPA</v>
      </c>
      <c r="L2255" s="32">
        <f>IFERROR(__xludf.DUMMYFUNCTION("""COMPUTED_VALUE"""),4.0)</f>
        <v>4</v>
      </c>
      <c r="M2255" s="4" t="str">
        <f>IFERROR(__xludf.DUMMYFUNCTION("""COMPUTED_VALUE"""),"Consumer Soluções Em Tecnologia Ltda")</f>
        <v>Consumer Soluções Em Tecnologia Ltda</v>
      </c>
      <c r="N2255" s="33">
        <f>IFERROR(__xludf.DUMMYFUNCTION("""COMPUTED_VALUE"""),0.75)</f>
        <v>0.75</v>
      </c>
      <c r="O2255" s="4" t="str">
        <f>IFERROR(__xludf.DUMMYFUNCTION("""COMPUTED_VALUE"""),"null")</f>
        <v>null</v>
      </c>
      <c r="P2255" s="33">
        <f>IFERROR(__xludf.DUMMYFUNCTION("""COMPUTED_VALUE"""),0.5)</f>
        <v>0.5</v>
      </c>
      <c r="Q2255" s="4" t="str">
        <f>IFERROR(__xludf.DUMMYFUNCTION("""COMPUTED_VALUE"""),"null")</f>
        <v>null</v>
      </c>
      <c r="R2255" s="33">
        <f>IFERROR(__xludf.DUMMYFUNCTION("""COMPUTED_VALUE"""),0.75)</f>
        <v>0.75</v>
      </c>
      <c r="S2255" s="4" t="str">
        <f>IFERROR(__xludf.DUMMYFUNCTION("""COMPUTED_VALUE"""),"Consumer Soluções Em Tecnologia Ltda")</f>
        <v>Consumer Soluções Em Tecnologia Ltda</v>
      </c>
      <c r="T2255" s="33">
        <f>IFERROR(__xludf.DUMMYFUNCTION("""COMPUTED_VALUE"""),0.5)</f>
        <v>0.5</v>
      </c>
      <c r="U2255" s="4" t="str">
        <f>IFERROR(__xludf.DUMMYFUNCTION("""COMPUTED_VALUE"""),"Consumer Soluções Em Tecnologia Ltda")</f>
        <v>Consumer Soluções Em Tecnologia Ltda</v>
      </c>
      <c r="V2255" s="33">
        <f>IFERROR(__xludf.DUMMYFUNCTION("""COMPUTED_VALUE"""),0.5)</f>
        <v>0.5</v>
      </c>
      <c r="W2255" s="4" t="str">
        <f>IFERROR(__xludf.DUMMYFUNCTION("""COMPUTED_VALUE"""),"Consumer Soluções Em Tecnologia Ltda")</f>
        <v>Consumer Soluções Em Tecnologia Ltda</v>
      </c>
      <c r="X2255" s="33">
        <f>IFERROR(__xludf.DUMMYFUNCTION("""COMPUTED_VALUE"""),0.5)</f>
        <v>0.5</v>
      </c>
    </row>
    <row r="2256">
      <c r="K2256" s="4" t="str">
        <f>IFERROR(__xludf.DUMMYFUNCTION("""COMPUTED_VALUE"""),"DELIVERY ALLIANCE - CONTA PAI")</f>
        <v>DELIVERY ALLIANCE - CONTA PAI</v>
      </c>
      <c r="L2256" s="32">
        <f>IFERROR(__xludf.DUMMYFUNCTION("""COMPUTED_VALUE"""),4.0)</f>
        <v>4</v>
      </c>
      <c r="M2256" s="4" t="str">
        <f>IFERROR(__xludf.DUMMYFUNCTION("""COMPUTED_VALUE"""),"Saipos Serviços De Software")</f>
        <v>Saipos Serviços De Software</v>
      </c>
      <c r="N2256" s="33">
        <f>IFERROR(__xludf.DUMMYFUNCTION("""COMPUTED_VALUE"""),1.0)</f>
        <v>1</v>
      </c>
      <c r="O2256" s="4" t="str">
        <f>IFERROR(__xludf.DUMMYFUNCTION("""COMPUTED_VALUE"""),"Saipos Serviços De Software")</f>
        <v>Saipos Serviços De Software</v>
      </c>
      <c r="P2256" s="33">
        <f>IFERROR(__xludf.DUMMYFUNCTION("""COMPUTED_VALUE"""),1.0)</f>
        <v>1</v>
      </c>
      <c r="Q2256" s="4" t="str">
        <f>IFERROR(__xludf.DUMMYFUNCTION("""COMPUTED_VALUE"""),"Saipos Serviços De Software")</f>
        <v>Saipos Serviços De Software</v>
      </c>
      <c r="R2256" s="33">
        <f>IFERROR(__xludf.DUMMYFUNCTION("""COMPUTED_VALUE"""),1.0)</f>
        <v>1</v>
      </c>
      <c r="S2256" s="4" t="str">
        <f>IFERROR(__xludf.DUMMYFUNCTION("""COMPUTED_VALUE"""),"Saipos Serviços De Software")</f>
        <v>Saipos Serviços De Software</v>
      </c>
      <c r="T2256" s="33">
        <f>IFERROR(__xludf.DUMMYFUNCTION("""COMPUTED_VALUE"""),1.0)</f>
        <v>1</v>
      </c>
      <c r="U2256" s="4" t="str">
        <f>IFERROR(__xludf.DUMMYFUNCTION("""COMPUTED_VALUE"""),"Saipos Serviços De Software")</f>
        <v>Saipos Serviços De Software</v>
      </c>
      <c r="V2256" s="33">
        <f>IFERROR(__xludf.DUMMYFUNCTION("""COMPUTED_VALUE"""),1.0)</f>
        <v>1</v>
      </c>
      <c r="W2256" s="4" t="str">
        <f>IFERROR(__xludf.DUMMYFUNCTION("""COMPUTED_VALUE"""),"Saipos Serviços De Software")</f>
        <v>Saipos Serviços De Software</v>
      </c>
      <c r="X2256" s="33">
        <f>IFERROR(__xludf.DUMMYFUNCTION("""COMPUTED_VALUE"""),1.0)</f>
        <v>1</v>
      </c>
    </row>
    <row r="2257">
      <c r="K2257" s="4" t="str">
        <f>IFERROR(__xludf.DUMMYFUNCTION("""COMPUTED_VALUE"""),"DESKONTAO - CONTA MARCA")</f>
        <v>DESKONTAO - CONTA MARCA</v>
      </c>
      <c r="L2257" s="32">
        <f>IFERROR(__xludf.DUMMYFUNCTION("""COMPUTED_VALUE"""),4.0)</f>
        <v>4</v>
      </c>
      <c r="M2257" s="4" t="str">
        <f>IFERROR(__xludf.DUMMYFUNCTION("""COMPUTED_VALUE"""),"N/A (Not found)")</f>
        <v>N/A (Not found)</v>
      </c>
      <c r="N2257" s="33">
        <f>IFERROR(__xludf.DUMMYFUNCTION("""COMPUTED_VALUE"""),1.0)</f>
        <v>1</v>
      </c>
      <c r="O2257" s="4" t="str">
        <f>IFERROR(__xludf.DUMMYFUNCTION("""COMPUTED_VALUE"""),"N/A (Not found)")</f>
        <v>N/A (Not found)</v>
      </c>
      <c r="P2257" s="33">
        <f>IFERROR(__xludf.DUMMYFUNCTION("""COMPUTED_VALUE"""),1.0)</f>
        <v>1</v>
      </c>
      <c r="Q2257" s="4" t="str">
        <f>IFERROR(__xludf.DUMMYFUNCTION("""COMPUTED_VALUE"""),"N/A (Not found)")</f>
        <v>N/A (Not found)</v>
      </c>
      <c r="R2257" s="33">
        <f>IFERROR(__xludf.DUMMYFUNCTION("""COMPUTED_VALUE"""),1.0)</f>
        <v>1</v>
      </c>
      <c r="S2257" s="4" t="str">
        <f>IFERROR(__xludf.DUMMYFUNCTION("""COMPUTED_VALUE"""),"N/A (Not found)")</f>
        <v>N/A (Not found)</v>
      </c>
      <c r="T2257" s="33">
        <f>IFERROR(__xludf.DUMMYFUNCTION("""COMPUTED_VALUE"""),1.0)</f>
        <v>1</v>
      </c>
      <c r="U2257" s="4" t="str">
        <f>IFERROR(__xludf.DUMMYFUNCTION("""COMPUTED_VALUE"""),"N/A (Not found)")</f>
        <v>N/A (Not found)</v>
      </c>
      <c r="V2257" s="33">
        <f>IFERROR(__xludf.DUMMYFUNCTION("""COMPUTED_VALUE"""),1.0)</f>
        <v>1</v>
      </c>
      <c r="W2257" s="4" t="str">
        <f>IFERROR(__xludf.DUMMYFUNCTION("""COMPUTED_VALUE"""),"N/A (Not found)")</f>
        <v>N/A (Not found)</v>
      </c>
      <c r="X2257" s="33">
        <f>IFERROR(__xludf.DUMMYFUNCTION("""COMPUTED_VALUE"""),1.0)</f>
        <v>1</v>
      </c>
    </row>
    <row r="2258">
      <c r="K2258" s="4" t="str">
        <f>IFERROR(__xludf.DUMMYFUNCTION("""COMPUTED_VALUE"""),"DI CAPRIO - CONTA MARCA")</f>
        <v>DI CAPRIO - CONTA MARCA</v>
      </c>
      <c r="L2258" s="32">
        <f>IFERROR(__xludf.DUMMYFUNCTION("""COMPUTED_VALUE"""),4.0)</f>
        <v>4</v>
      </c>
      <c r="M2258" s="4" t="str">
        <f>IFERROR(__xludf.DUMMYFUNCTION("""COMPUTED_VALUE"""),"Cardápio Web")</f>
        <v>Cardápio Web</v>
      </c>
      <c r="N2258" s="33">
        <f>IFERROR(__xludf.DUMMYFUNCTION("""COMPUTED_VALUE"""),1.0)</f>
        <v>1</v>
      </c>
      <c r="O2258" s="4" t="str">
        <f>IFERROR(__xludf.DUMMYFUNCTION("""COMPUTED_VALUE"""),"Cardápio Web")</f>
        <v>Cardápio Web</v>
      </c>
      <c r="P2258" s="33">
        <f>IFERROR(__xludf.DUMMYFUNCTION("""COMPUTED_VALUE"""),1.0)</f>
        <v>1</v>
      </c>
      <c r="Q2258" s="4" t="str">
        <f>IFERROR(__xludf.DUMMYFUNCTION("""COMPUTED_VALUE"""),"Cardápio Web")</f>
        <v>Cardápio Web</v>
      </c>
      <c r="R2258" s="33">
        <f>IFERROR(__xludf.DUMMYFUNCTION("""COMPUTED_VALUE"""),1.0)</f>
        <v>1</v>
      </c>
      <c r="S2258" s="4" t="str">
        <f>IFERROR(__xludf.DUMMYFUNCTION("""COMPUTED_VALUE"""),"Cardápio Web")</f>
        <v>Cardápio Web</v>
      </c>
      <c r="T2258" s="33">
        <f>IFERROR(__xludf.DUMMYFUNCTION("""COMPUTED_VALUE"""),1.0)</f>
        <v>1</v>
      </c>
      <c r="U2258" s="4" t="str">
        <f>IFERROR(__xludf.DUMMYFUNCTION("""COMPUTED_VALUE"""),"Cardápio Web")</f>
        <v>Cardápio Web</v>
      </c>
      <c r="V2258" s="33">
        <f>IFERROR(__xludf.DUMMYFUNCTION("""COMPUTED_VALUE"""),1.0)</f>
        <v>1</v>
      </c>
      <c r="W2258" s="4" t="str">
        <f>IFERROR(__xludf.DUMMYFUNCTION("""COMPUTED_VALUE"""),"Cardápio Web")</f>
        <v>Cardápio Web</v>
      </c>
      <c r="X2258" s="33">
        <f>IFERROR(__xludf.DUMMYFUNCTION("""COMPUTED_VALUE"""),1.0)</f>
        <v>1</v>
      </c>
    </row>
    <row r="2259">
      <c r="K2259" s="4" t="str">
        <f>IFERROR(__xludf.DUMMYFUNCTION("""COMPUTED_VALUE"""),"DI FRANGO")</f>
        <v>DI FRANGO</v>
      </c>
      <c r="L2259" s="32">
        <f>IFERROR(__xludf.DUMMYFUNCTION("""COMPUTED_VALUE"""),4.0)</f>
        <v>4</v>
      </c>
      <c r="M2259" s="4" t="str">
        <f>IFERROR(__xludf.DUMMYFUNCTION("""COMPUTED_VALUE"""),"Cloudfy")</f>
        <v>Cloudfy</v>
      </c>
      <c r="N2259" s="33">
        <f>IFERROR(__xludf.DUMMYFUNCTION("""COMPUTED_VALUE"""),0.75)</f>
        <v>0.75</v>
      </c>
      <c r="O2259" s="4" t="str">
        <f>IFERROR(__xludf.DUMMYFUNCTION("""COMPUTED_VALUE"""),"Cloudfy")</f>
        <v>Cloudfy</v>
      </c>
      <c r="P2259" s="33">
        <f>IFERROR(__xludf.DUMMYFUNCTION("""COMPUTED_VALUE"""),0.75)</f>
        <v>0.75</v>
      </c>
      <c r="Q2259" s="4" t="str">
        <f>IFERROR(__xludf.DUMMYFUNCTION("""COMPUTED_VALUE"""),"Cloudfy")</f>
        <v>Cloudfy</v>
      </c>
      <c r="R2259" s="33">
        <f>IFERROR(__xludf.DUMMYFUNCTION("""COMPUTED_VALUE"""),0.75)</f>
        <v>0.75</v>
      </c>
      <c r="S2259" s="4" t="str">
        <f>IFERROR(__xludf.DUMMYFUNCTION("""COMPUTED_VALUE"""),"Cloudfy")</f>
        <v>Cloudfy</v>
      </c>
      <c r="T2259" s="33">
        <f>IFERROR(__xludf.DUMMYFUNCTION("""COMPUTED_VALUE"""),0.75)</f>
        <v>0.75</v>
      </c>
      <c r="U2259" s="4" t="str">
        <f>IFERROR(__xludf.DUMMYFUNCTION("""COMPUTED_VALUE"""),"Cloudfy")</f>
        <v>Cloudfy</v>
      </c>
      <c r="V2259" s="33">
        <f>IFERROR(__xludf.DUMMYFUNCTION("""COMPUTED_VALUE"""),1.0)</f>
        <v>1</v>
      </c>
      <c r="W2259" s="4" t="str">
        <f>IFERROR(__xludf.DUMMYFUNCTION("""COMPUTED_VALUE"""),"Cloudfy")</f>
        <v>Cloudfy</v>
      </c>
      <c r="X2259" s="33">
        <f>IFERROR(__xludf.DUMMYFUNCTION("""COMPUTED_VALUE"""),0.75)</f>
        <v>0.75</v>
      </c>
    </row>
    <row r="2260">
      <c r="K2260" s="4" t="str">
        <f>IFERROR(__xludf.DUMMYFUNCTION("""COMPUTED_VALUE"""),"DI TONI PASTA I BASTA")</f>
        <v>DI TONI PASTA I BASTA</v>
      </c>
      <c r="L2260" s="32">
        <f>IFERROR(__xludf.DUMMYFUNCTION("""COMPUTED_VALUE"""),4.0)</f>
        <v>4</v>
      </c>
      <c r="M2260" s="4" t="str">
        <f>IFERROR(__xludf.DUMMYFUNCTION("""COMPUTED_VALUE"""),"null")</f>
        <v>null</v>
      </c>
      <c r="N2260" s="33">
        <f>IFERROR(__xludf.DUMMYFUNCTION("""COMPUTED_VALUE"""),0.5)</f>
        <v>0.5</v>
      </c>
      <c r="O2260" s="4" t="str">
        <f>IFERROR(__xludf.DUMMYFUNCTION("""COMPUTED_VALUE"""),"Ncr")</f>
        <v>Ncr</v>
      </c>
      <c r="P2260" s="33">
        <f>IFERROR(__xludf.DUMMYFUNCTION("""COMPUTED_VALUE"""),0.75)</f>
        <v>0.75</v>
      </c>
      <c r="Q2260" s="4" t="str">
        <f>IFERROR(__xludf.DUMMYFUNCTION("""COMPUTED_VALUE"""),"Ncr")</f>
        <v>Ncr</v>
      </c>
      <c r="R2260" s="33">
        <f>IFERROR(__xludf.DUMMYFUNCTION("""COMPUTED_VALUE"""),0.75)</f>
        <v>0.75</v>
      </c>
      <c r="S2260" s="4" t="str">
        <f>IFERROR(__xludf.DUMMYFUNCTION("""COMPUTED_VALUE"""),"Ncr")</f>
        <v>Ncr</v>
      </c>
      <c r="T2260" s="33">
        <f>IFERROR(__xludf.DUMMYFUNCTION("""COMPUTED_VALUE"""),1.0)</f>
        <v>1</v>
      </c>
      <c r="U2260" s="4" t="str">
        <f>IFERROR(__xludf.DUMMYFUNCTION("""COMPUTED_VALUE"""),"Ncr")</f>
        <v>Ncr</v>
      </c>
      <c r="V2260" s="33">
        <f>IFERROR(__xludf.DUMMYFUNCTION("""COMPUTED_VALUE"""),1.0)</f>
        <v>1</v>
      </c>
      <c r="W2260" s="4" t="str">
        <f>IFERROR(__xludf.DUMMYFUNCTION("""COMPUTED_VALUE"""),"Ncr")</f>
        <v>Ncr</v>
      </c>
      <c r="X2260" s="33">
        <f>IFERROR(__xludf.DUMMYFUNCTION("""COMPUTED_VALUE"""),1.0)</f>
        <v>1</v>
      </c>
    </row>
    <row r="2261">
      <c r="K2261" s="4" t="str">
        <f>IFERROR(__xludf.DUMMYFUNCTION("""COMPUTED_VALUE"""),"DINA RESTAURANTE - UBERLANDIA")</f>
        <v>DINA RESTAURANTE - UBERLANDIA</v>
      </c>
      <c r="L2261" s="32">
        <f>IFERROR(__xludf.DUMMYFUNCTION("""COMPUTED_VALUE"""),4.0)</f>
        <v>4</v>
      </c>
      <c r="M2261" s="4" t="str">
        <f>IFERROR(__xludf.DUMMYFUNCTION("""COMPUTED_VALUE"""),"null")</f>
        <v>null</v>
      </c>
      <c r="N2261" s="33">
        <f>IFERROR(__xludf.DUMMYFUNCTION("""COMPUTED_VALUE"""),0.75)</f>
        <v>0.75</v>
      </c>
      <c r="O2261" s="4" t="str">
        <f>IFERROR(__xludf.DUMMYFUNCTION("""COMPUTED_VALUE"""),"Saipos Serviços De Software")</f>
        <v>Saipos Serviços De Software</v>
      </c>
      <c r="P2261" s="33">
        <f>IFERROR(__xludf.DUMMYFUNCTION("""COMPUTED_VALUE"""),0.75)</f>
        <v>0.75</v>
      </c>
      <c r="Q2261" s="4" t="str">
        <f>IFERROR(__xludf.DUMMYFUNCTION("""COMPUTED_VALUE"""),"Saipos Serviços De Software")</f>
        <v>Saipos Serviços De Software</v>
      </c>
      <c r="R2261" s="33">
        <f>IFERROR(__xludf.DUMMYFUNCTION("""COMPUTED_VALUE"""),0.75)</f>
        <v>0.75</v>
      </c>
      <c r="S2261" s="4" t="str">
        <f>IFERROR(__xludf.DUMMYFUNCTION("""COMPUTED_VALUE"""),"Saipos Serviços De Software")</f>
        <v>Saipos Serviços De Software</v>
      </c>
      <c r="T2261" s="33">
        <f>IFERROR(__xludf.DUMMYFUNCTION("""COMPUTED_VALUE"""),0.75)</f>
        <v>0.75</v>
      </c>
      <c r="U2261" s="4" t="str">
        <f>IFERROR(__xludf.DUMMYFUNCTION("""COMPUTED_VALUE"""),"null")</f>
        <v>null</v>
      </c>
      <c r="V2261" s="33">
        <f>IFERROR(__xludf.DUMMYFUNCTION("""COMPUTED_VALUE"""),0.75)</f>
        <v>0.75</v>
      </c>
      <c r="W2261" s="4" t="str">
        <f>IFERROR(__xludf.DUMMYFUNCTION("""COMPUTED_VALUE"""),"null")</f>
        <v>null</v>
      </c>
      <c r="X2261" s="33">
        <f>IFERROR(__xludf.DUMMYFUNCTION("""COMPUTED_VALUE"""),0.75)</f>
        <v>0.75</v>
      </c>
    </row>
    <row r="2262">
      <c r="K2262" s="4" t="str">
        <f>IFERROR(__xludf.DUMMYFUNCTION("""COMPUTED_VALUE"""),"DIVINA TERRA - MARCA")</f>
        <v>DIVINA TERRA - MARCA</v>
      </c>
      <c r="L2262" s="32">
        <f>IFERROR(__xludf.DUMMYFUNCTION("""COMPUTED_VALUE"""),4.0)</f>
        <v>4</v>
      </c>
      <c r="M2262" s="4" t="str">
        <f>IFERROR(__xludf.DUMMYFUNCTION("""COMPUTED_VALUE"""),"N/A (Not found)")</f>
        <v>N/A (Not found)</v>
      </c>
      <c r="N2262" s="33">
        <f>IFERROR(__xludf.DUMMYFUNCTION("""COMPUTED_VALUE"""),0.75)</f>
        <v>0.75</v>
      </c>
      <c r="O2262" s="4" t="str">
        <f>IFERROR(__xludf.DUMMYFUNCTION("""COMPUTED_VALUE"""),"N/A (Not found)")</f>
        <v>N/A (Not found)</v>
      </c>
      <c r="P2262" s="33">
        <f>IFERROR(__xludf.DUMMYFUNCTION("""COMPUTED_VALUE"""),1.0)</f>
        <v>1</v>
      </c>
      <c r="Q2262" s="4" t="str">
        <f>IFERROR(__xludf.DUMMYFUNCTION("""COMPUTED_VALUE"""),"N/A (Not found)")</f>
        <v>N/A (Not found)</v>
      </c>
      <c r="R2262" s="33">
        <f>IFERROR(__xludf.DUMMYFUNCTION("""COMPUTED_VALUE"""),1.0)</f>
        <v>1</v>
      </c>
      <c r="S2262" s="4" t="str">
        <f>IFERROR(__xludf.DUMMYFUNCTION("""COMPUTED_VALUE"""),"N/A (Not found)")</f>
        <v>N/A (Not found)</v>
      </c>
      <c r="T2262" s="33">
        <f>IFERROR(__xludf.DUMMYFUNCTION("""COMPUTED_VALUE"""),1.0)</f>
        <v>1</v>
      </c>
      <c r="U2262" s="4" t="str">
        <f>IFERROR(__xludf.DUMMYFUNCTION("""COMPUTED_VALUE"""),"N/A (Not found)")</f>
        <v>N/A (Not found)</v>
      </c>
      <c r="V2262" s="33">
        <f>IFERROR(__xludf.DUMMYFUNCTION("""COMPUTED_VALUE"""),0.75)</f>
        <v>0.75</v>
      </c>
      <c r="W2262" s="4" t="str">
        <f>IFERROR(__xludf.DUMMYFUNCTION("""COMPUTED_VALUE"""),"N/A (Not found)")</f>
        <v>N/A (Not found)</v>
      </c>
      <c r="X2262" s="33">
        <f>IFERROR(__xludf.DUMMYFUNCTION("""COMPUTED_VALUE"""),0.75)</f>
        <v>0.75</v>
      </c>
    </row>
    <row r="2263">
      <c r="K2263" s="4" t="str">
        <f>IFERROR(__xludf.DUMMYFUNCTION("""COMPUTED_VALUE"""),"DIVINO - ACAI FOOD SERVICE")</f>
        <v>DIVINO - ACAI FOOD SERVICE</v>
      </c>
      <c r="L2263" s="32">
        <f>IFERROR(__xludf.DUMMYFUNCTION("""COMPUTED_VALUE"""),4.0)</f>
        <v>4</v>
      </c>
      <c r="M2263" s="4" t="str">
        <f>IFERROR(__xludf.DUMMYFUNCTION("""COMPUTED_VALUE"""),"Consumer Soluções Em Tecnologia Ltda")</f>
        <v>Consumer Soluções Em Tecnologia Ltda</v>
      </c>
      <c r="N2263" s="33">
        <f>IFERROR(__xludf.DUMMYFUNCTION("""COMPUTED_VALUE"""),1.0)</f>
        <v>1</v>
      </c>
      <c r="O2263" s="4" t="str">
        <f>IFERROR(__xludf.DUMMYFUNCTION("""COMPUTED_VALUE"""),"null")</f>
        <v>null</v>
      </c>
      <c r="P2263" s="33">
        <f>IFERROR(__xludf.DUMMYFUNCTION("""COMPUTED_VALUE"""),0.5)</f>
        <v>0.5</v>
      </c>
      <c r="Q2263" s="4" t="str">
        <f>IFERROR(__xludf.DUMMYFUNCTION("""COMPUTED_VALUE"""),"Consumer Soluções Em Tecnologia Ltda")</f>
        <v>Consumer Soluções Em Tecnologia Ltda</v>
      </c>
      <c r="R2263" s="33">
        <f>IFERROR(__xludf.DUMMYFUNCTION("""COMPUTED_VALUE"""),0.75)</f>
        <v>0.75</v>
      </c>
      <c r="S2263" s="4" t="str">
        <f>IFERROR(__xludf.DUMMYFUNCTION("""COMPUTED_VALUE"""),"Consumer Soluções Em Tecnologia Ltda")</f>
        <v>Consumer Soluções Em Tecnologia Ltda</v>
      </c>
      <c r="T2263" s="33">
        <f>IFERROR(__xludf.DUMMYFUNCTION("""COMPUTED_VALUE"""),0.75)</f>
        <v>0.75</v>
      </c>
      <c r="U2263" s="4" t="str">
        <f>IFERROR(__xludf.DUMMYFUNCTION("""COMPUTED_VALUE"""),"Consumer Soluções Em Tecnologia Ltda")</f>
        <v>Consumer Soluções Em Tecnologia Ltda</v>
      </c>
      <c r="V2263" s="33">
        <f>IFERROR(__xludf.DUMMYFUNCTION("""COMPUTED_VALUE"""),0.75)</f>
        <v>0.75</v>
      </c>
      <c r="W2263" s="4" t="str">
        <f>IFERROR(__xludf.DUMMYFUNCTION("""COMPUTED_VALUE"""),"Consumer Soluções Em Tecnologia Ltda")</f>
        <v>Consumer Soluções Em Tecnologia Ltda</v>
      </c>
      <c r="X2263" s="33">
        <f>IFERROR(__xludf.DUMMYFUNCTION("""COMPUTED_VALUE"""),1.0)</f>
        <v>1</v>
      </c>
    </row>
    <row r="2264">
      <c r="K2264" s="4" t="str">
        <f>IFERROR(__xludf.DUMMYFUNCTION("""COMPUTED_VALUE"""),"DOCE ANGEL")</f>
        <v>DOCE ANGEL</v>
      </c>
      <c r="L2264" s="32">
        <f>IFERROR(__xludf.DUMMYFUNCTION("""COMPUTED_VALUE"""),4.0)</f>
        <v>4</v>
      </c>
      <c r="M2264" s="4" t="str">
        <f>IFERROR(__xludf.DUMMYFUNCTION("""COMPUTED_VALUE"""),"Saipos Serviços De Software")</f>
        <v>Saipos Serviços De Software</v>
      </c>
      <c r="N2264" s="33">
        <f>IFERROR(__xludf.DUMMYFUNCTION("""COMPUTED_VALUE"""),1.0)</f>
        <v>1</v>
      </c>
      <c r="O2264" s="4" t="str">
        <f>IFERROR(__xludf.DUMMYFUNCTION("""COMPUTED_VALUE"""),"Saipos Serviços De Software")</f>
        <v>Saipos Serviços De Software</v>
      </c>
      <c r="P2264" s="33">
        <f>IFERROR(__xludf.DUMMYFUNCTION("""COMPUTED_VALUE"""),1.0)</f>
        <v>1</v>
      </c>
      <c r="Q2264" s="4" t="str">
        <f>IFERROR(__xludf.DUMMYFUNCTION("""COMPUTED_VALUE"""),"Saipos Serviços De Software")</f>
        <v>Saipos Serviços De Software</v>
      </c>
      <c r="R2264" s="33">
        <f>IFERROR(__xludf.DUMMYFUNCTION("""COMPUTED_VALUE"""),1.0)</f>
        <v>1</v>
      </c>
      <c r="S2264" s="4" t="str">
        <f>IFERROR(__xludf.DUMMYFUNCTION("""COMPUTED_VALUE"""),"Saipos Serviços De Software")</f>
        <v>Saipos Serviços De Software</v>
      </c>
      <c r="T2264" s="33">
        <f>IFERROR(__xludf.DUMMYFUNCTION("""COMPUTED_VALUE"""),1.0)</f>
        <v>1</v>
      </c>
      <c r="U2264" s="4" t="str">
        <f>IFERROR(__xludf.DUMMYFUNCTION("""COMPUTED_VALUE"""),"Saipos Serviços De Software")</f>
        <v>Saipos Serviços De Software</v>
      </c>
      <c r="V2264" s="33">
        <f>IFERROR(__xludf.DUMMYFUNCTION("""COMPUTED_VALUE"""),1.0)</f>
        <v>1</v>
      </c>
      <c r="W2264" s="4" t="str">
        <f>IFERROR(__xludf.DUMMYFUNCTION("""COMPUTED_VALUE"""),"Saipos Serviços De Software")</f>
        <v>Saipos Serviços De Software</v>
      </c>
      <c r="X2264" s="33">
        <f>IFERROR(__xludf.DUMMYFUNCTION("""COMPUTED_VALUE"""),1.0)</f>
        <v>1</v>
      </c>
    </row>
    <row r="2265">
      <c r="K2265" s="4" t="str">
        <f>IFERROR(__xludf.DUMMYFUNCTION("""COMPUTED_VALUE"""),"DOCERIA DO LEO ES")</f>
        <v>DOCERIA DO LEO ES</v>
      </c>
      <c r="L2265" s="32">
        <f>IFERROR(__xludf.DUMMYFUNCTION("""COMPUTED_VALUE"""),4.0)</f>
        <v>4</v>
      </c>
      <c r="M2265" s="4" t="str">
        <f>IFERROR(__xludf.DUMMYFUNCTION("""COMPUTED_VALUE"""),"Cloudfy")</f>
        <v>Cloudfy</v>
      </c>
      <c r="N2265" s="33">
        <f>IFERROR(__xludf.DUMMYFUNCTION("""COMPUTED_VALUE"""),1.0)</f>
        <v>1</v>
      </c>
      <c r="O2265" s="4" t="str">
        <f>IFERROR(__xludf.DUMMYFUNCTION("""COMPUTED_VALUE"""),"Cloudfy")</f>
        <v>Cloudfy</v>
      </c>
      <c r="P2265" s="33">
        <f>IFERROR(__xludf.DUMMYFUNCTION("""COMPUTED_VALUE"""),1.0)</f>
        <v>1</v>
      </c>
      <c r="Q2265" s="4" t="str">
        <f>IFERROR(__xludf.DUMMYFUNCTION("""COMPUTED_VALUE"""),"Cloudfy")</f>
        <v>Cloudfy</v>
      </c>
      <c r="R2265" s="33">
        <f>IFERROR(__xludf.DUMMYFUNCTION("""COMPUTED_VALUE"""),1.0)</f>
        <v>1</v>
      </c>
      <c r="S2265" s="4" t="str">
        <f>IFERROR(__xludf.DUMMYFUNCTION("""COMPUTED_VALUE"""),"Cloudfy")</f>
        <v>Cloudfy</v>
      </c>
      <c r="T2265" s="33">
        <f>IFERROR(__xludf.DUMMYFUNCTION("""COMPUTED_VALUE"""),1.0)</f>
        <v>1</v>
      </c>
      <c r="U2265" s="4" t="str">
        <f>IFERROR(__xludf.DUMMYFUNCTION("""COMPUTED_VALUE"""),"Cloudfy")</f>
        <v>Cloudfy</v>
      </c>
      <c r="V2265" s="33">
        <f>IFERROR(__xludf.DUMMYFUNCTION("""COMPUTED_VALUE"""),1.0)</f>
        <v>1</v>
      </c>
      <c r="W2265" s="4" t="str">
        <f>IFERROR(__xludf.DUMMYFUNCTION("""COMPUTED_VALUE"""),"Cloudfy")</f>
        <v>Cloudfy</v>
      </c>
      <c r="X2265" s="33">
        <f>IFERROR(__xludf.DUMMYFUNCTION("""COMPUTED_VALUE"""),0.75)</f>
        <v>0.75</v>
      </c>
    </row>
    <row r="2266">
      <c r="K2266" s="4" t="str">
        <f>IFERROR(__xludf.DUMMYFUNCTION("""COMPUTED_VALUE"""),"DOM DINHO PIZZERIA E ESFIHARIA")</f>
        <v>DOM DINHO PIZZERIA E ESFIHARIA</v>
      </c>
      <c r="L2266" s="32">
        <f>IFERROR(__xludf.DUMMYFUNCTION("""COMPUTED_VALUE"""),4.0)</f>
        <v>4</v>
      </c>
      <c r="M2266" s="4" t="str">
        <f>IFERROR(__xludf.DUMMYFUNCTION("""COMPUTED_VALUE"""),"Saipos Serviços De Software")</f>
        <v>Saipos Serviços De Software</v>
      </c>
      <c r="N2266" s="33">
        <f>IFERROR(__xludf.DUMMYFUNCTION("""COMPUTED_VALUE"""),1.0)</f>
        <v>1</v>
      </c>
      <c r="O2266" s="4" t="str">
        <f>IFERROR(__xludf.DUMMYFUNCTION("""COMPUTED_VALUE"""),"Saipos Serviços De Software")</f>
        <v>Saipos Serviços De Software</v>
      </c>
      <c r="P2266" s="33">
        <f>IFERROR(__xludf.DUMMYFUNCTION("""COMPUTED_VALUE"""),1.0)</f>
        <v>1</v>
      </c>
      <c r="Q2266" s="4" t="str">
        <f>IFERROR(__xludf.DUMMYFUNCTION("""COMPUTED_VALUE"""),"Saipos Serviços De Software")</f>
        <v>Saipos Serviços De Software</v>
      </c>
      <c r="R2266" s="33">
        <f>IFERROR(__xludf.DUMMYFUNCTION("""COMPUTED_VALUE"""),1.0)</f>
        <v>1</v>
      </c>
      <c r="S2266" s="4" t="str">
        <f>IFERROR(__xludf.DUMMYFUNCTION("""COMPUTED_VALUE"""),"Saipos Serviços De Software")</f>
        <v>Saipos Serviços De Software</v>
      </c>
      <c r="T2266" s="33">
        <f>IFERROR(__xludf.DUMMYFUNCTION("""COMPUTED_VALUE"""),1.0)</f>
        <v>1</v>
      </c>
      <c r="U2266" s="4" t="str">
        <f>IFERROR(__xludf.DUMMYFUNCTION("""COMPUTED_VALUE"""),"Saipos Serviços De Software")</f>
        <v>Saipos Serviços De Software</v>
      </c>
      <c r="V2266" s="33">
        <f>IFERROR(__xludf.DUMMYFUNCTION("""COMPUTED_VALUE"""),1.0)</f>
        <v>1</v>
      </c>
      <c r="W2266" s="4" t="str">
        <f>IFERROR(__xludf.DUMMYFUNCTION("""COMPUTED_VALUE"""),"Saipos Serviços De Software")</f>
        <v>Saipos Serviços De Software</v>
      </c>
      <c r="X2266" s="33">
        <f>IFERROR(__xludf.DUMMYFUNCTION("""COMPUTED_VALUE"""),1.0)</f>
        <v>1</v>
      </c>
    </row>
    <row r="2267">
      <c r="K2267" s="4" t="str">
        <f>IFERROR(__xludf.DUMMYFUNCTION("""COMPUTED_VALUE"""),"DOM ESFIHA")</f>
        <v>DOM ESFIHA</v>
      </c>
      <c r="L2267" s="32">
        <f>IFERROR(__xludf.DUMMYFUNCTION("""COMPUTED_VALUE"""),4.0)</f>
        <v>4</v>
      </c>
      <c r="M2267" s="4" t="str">
        <f>IFERROR(__xludf.DUMMYFUNCTION("""COMPUTED_VALUE"""),"Grsoft")</f>
        <v>Grsoft</v>
      </c>
      <c r="N2267" s="33">
        <f>IFERROR(__xludf.DUMMYFUNCTION("""COMPUTED_VALUE"""),0.75)</f>
        <v>0.75</v>
      </c>
      <c r="O2267" s="4" t="str">
        <f>IFERROR(__xludf.DUMMYFUNCTION("""COMPUTED_VALUE"""),"Grsoft")</f>
        <v>Grsoft</v>
      </c>
      <c r="P2267" s="33">
        <f>IFERROR(__xludf.DUMMYFUNCTION("""COMPUTED_VALUE"""),0.75)</f>
        <v>0.75</v>
      </c>
      <c r="Q2267" s="4" t="str">
        <f>IFERROR(__xludf.DUMMYFUNCTION("""COMPUTED_VALUE"""),"Grsoft")</f>
        <v>Grsoft</v>
      </c>
      <c r="R2267" s="33">
        <f>IFERROR(__xludf.DUMMYFUNCTION("""COMPUTED_VALUE"""),0.75)</f>
        <v>0.75</v>
      </c>
      <c r="S2267" s="4" t="str">
        <f>IFERROR(__xludf.DUMMYFUNCTION("""COMPUTED_VALUE"""),"Grsoft")</f>
        <v>Grsoft</v>
      </c>
      <c r="T2267" s="33">
        <f>IFERROR(__xludf.DUMMYFUNCTION("""COMPUTED_VALUE"""),0.75)</f>
        <v>0.75</v>
      </c>
      <c r="U2267" s="4" t="str">
        <f>IFERROR(__xludf.DUMMYFUNCTION("""COMPUTED_VALUE"""),"Grsoft")</f>
        <v>Grsoft</v>
      </c>
      <c r="V2267" s="33">
        <f>IFERROR(__xludf.DUMMYFUNCTION("""COMPUTED_VALUE"""),0.75)</f>
        <v>0.75</v>
      </c>
      <c r="W2267" s="4" t="str">
        <f>IFERROR(__xludf.DUMMYFUNCTION("""COMPUTED_VALUE"""),"Grsoft")</f>
        <v>Grsoft</v>
      </c>
      <c r="X2267" s="33">
        <f>IFERROR(__xludf.DUMMYFUNCTION("""COMPUTED_VALUE"""),0.75)</f>
        <v>0.75</v>
      </c>
    </row>
    <row r="2268">
      <c r="K2268" s="4" t="str">
        <f>IFERROR(__xludf.DUMMYFUNCTION("""COMPUTED_VALUE"""),"DOM FERREIRA FORNERIA")</f>
        <v>DOM FERREIRA FORNERIA</v>
      </c>
      <c r="L2268" s="32">
        <f>IFERROR(__xludf.DUMMYFUNCTION("""COMPUTED_VALUE"""),4.0)</f>
        <v>4</v>
      </c>
      <c r="M2268" s="4" t="str">
        <f>IFERROR(__xludf.DUMMYFUNCTION("""COMPUTED_VALUE"""),"Swfast Sistemas")</f>
        <v>Swfast Sistemas</v>
      </c>
      <c r="N2268" s="33">
        <f>IFERROR(__xludf.DUMMYFUNCTION("""COMPUTED_VALUE"""),1.0)</f>
        <v>1</v>
      </c>
      <c r="O2268" s="4" t="str">
        <f>IFERROR(__xludf.DUMMYFUNCTION("""COMPUTED_VALUE"""),"Swfast Sistemas")</f>
        <v>Swfast Sistemas</v>
      </c>
      <c r="P2268" s="33">
        <f>IFERROR(__xludf.DUMMYFUNCTION("""COMPUTED_VALUE"""),0.75)</f>
        <v>0.75</v>
      </c>
      <c r="Q2268" s="4" t="str">
        <f>IFERROR(__xludf.DUMMYFUNCTION("""COMPUTED_VALUE"""),"Swfast Sistemas")</f>
        <v>Swfast Sistemas</v>
      </c>
      <c r="R2268" s="33">
        <f>IFERROR(__xludf.DUMMYFUNCTION("""COMPUTED_VALUE"""),0.75)</f>
        <v>0.75</v>
      </c>
      <c r="S2268" s="4" t="str">
        <f>IFERROR(__xludf.DUMMYFUNCTION("""COMPUTED_VALUE"""),"Swfast Sistemas")</f>
        <v>Swfast Sistemas</v>
      </c>
      <c r="T2268" s="33">
        <f>IFERROR(__xludf.DUMMYFUNCTION("""COMPUTED_VALUE"""),0.75)</f>
        <v>0.75</v>
      </c>
      <c r="U2268" s="4" t="str">
        <f>IFERROR(__xludf.DUMMYFUNCTION("""COMPUTED_VALUE"""),"null")</f>
        <v>null</v>
      </c>
      <c r="V2268" s="33">
        <f>IFERROR(__xludf.DUMMYFUNCTION("""COMPUTED_VALUE"""),0.75)</f>
        <v>0.75</v>
      </c>
      <c r="W2268" s="4" t="str">
        <f>IFERROR(__xludf.DUMMYFUNCTION("""COMPUTED_VALUE"""),"null")</f>
        <v>null</v>
      </c>
      <c r="X2268" s="33">
        <f>IFERROR(__xludf.DUMMYFUNCTION("""COMPUTED_VALUE"""),1.0)</f>
        <v>1</v>
      </c>
    </row>
    <row r="2269">
      <c r="K2269" s="4" t="str">
        <f>IFERROR(__xludf.DUMMYFUNCTION("""COMPUTED_VALUE"""),"DOM HELDER PIZZARIA")</f>
        <v>DOM HELDER PIZZARIA</v>
      </c>
      <c r="L2269" s="32">
        <f>IFERROR(__xludf.DUMMYFUNCTION("""COMPUTED_VALUE"""),4.0)</f>
        <v>4</v>
      </c>
      <c r="M2269" s="4" t="str">
        <f>IFERROR(__xludf.DUMMYFUNCTION("""COMPUTED_VALUE"""),"Cardápio Web")</f>
        <v>Cardápio Web</v>
      </c>
      <c r="N2269" s="33">
        <f>IFERROR(__xludf.DUMMYFUNCTION("""COMPUTED_VALUE"""),0.75)</f>
        <v>0.75</v>
      </c>
      <c r="O2269" s="4" t="str">
        <f>IFERROR(__xludf.DUMMYFUNCTION("""COMPUTED_VALUE"""),"Cardápio Web")</f>
        <v>Cardápio Web</v>
      </c>
      <c r="P2269" s="33">
        <f>IFERROR(__xludf.DUMMYFUNCTION("""COMPUTED_VALUE"""),0.75)</f>
        <v>0.75</v>
      </c>
      <c r="Q2269" s="4" t="str">
        <f>IFERROR(__xludf.DUMMYFUNCTION("""COMPUTED_VALUE"""),"Cardápio Web")</f>
        <v>Cardápio Web</v>
      </c>
      <c r="R2269" s="33">
        <f>IFERROR(__xludf.DUMMYFUNCTION("""COMPUTED_VALUE"""),0.75)</f>
        <v>0.75</v>
      </c>
      <c r="S2269" s="4" t="str">
        <f>IFERROR(__xludf.DUMMYFUNCTION("""COMPUTED_VALUE"""),"Cardápio Web")</f>
        <v>Cardápio Web</v>
      </c>
      <c r="T2269" s="33">
        <f>IFERROR(__xludf.DUMMYFUNCTION("""COMPUTED_VALUE"""),0.75)</f>
        <v>0.75</v>
      </c>
      <c r="U2269" s="4" t="str">
        <f>IFERROR(__xludf.DUMMYFUNCTION("""COMPUTED_VALUE"""),"Cardápio Web")</f>
        <v>Cardápio Web</v>
      </c>
      <c r="V2269" s="33">
        <f>IFERROR(__xludf.DUMMYFUNCTION("""COMPUTED_VALUE"""),0.75)</f>
        <v>0.75</v>
      </c>
      <c r="W2269" s="4" t="str">
        <f>IFERROR(__xludf.DUMMYFUNCTION("""COMPUTED_VALUE"""),"Cardápio Web")</f>
        <v>Cardápio Web</v>
      </c>
      <c r="X2269" s="33">
        <f>IFERROR(__xludf.DUMMYFUNCTION("""COMPUTED_VALUE"""),1.0)</f>
        <v>1</v>
      </c>
    </row>
    <row r="2270">
      <c r="K2270" s="4" t="str">
        <f>IFERROR(__xludf.DUMMYFUNCTION("""COMPUTED_VALUE"""),"DOM HELIO")</f>
        <v>DOM HELIO</v>
      </c>
      <c r="L2270" s="32">
        <f>IFERROR(__xludf.DUMMYFUNCTION("""COMPUTED_VALUE"""),4.0)</f>
        <v>4</v>
      </c>
      <c r="M2270" s="4" t="str">
        <f>IFERROR(__xludf.DUMMYFUNCTION("""COMPUTED_VALUE"""),"Jaxtech")</f>
        <v>Jaxtech</v>
      </c>
      <c r="N2270" s="33">
        <f>IFERROR(__xludf.DUMMYFUNCTION("""COMPUTED_VALUE"""),1.0)</f>
        <v>1</v>
      </c>
      <c r="O2270" s="4" t="str">
        <f>IFERROR(__xludf.DUMMYFUNCTION("""COMPUTED_VALUE"""),"Jaxtech")</f>
        <v>Jaxtech</v>
      </c>
      <c r="P2270" s="33">
        <f>IFERROR(__xludf.DUMMYFUNCTION("""COMPUTED_VALUE"""),1.0)</f>
        <v>1</v>
      </c>
      <c r="Q2270" s="4" t="str">
        <f>IFERROR(__xludf.DUMMYFUNCTION("""COMPUTED_VALUE"""),"Jaxtech")</f>
        <v>Jaxtech</v>
      </c>
      <c r="R2270" s="33">
        <f>IFERROR(__xludf.DUMMYFUNCTION("""COMPUTED_VALUE"""),0.75)</f>
        <v>0.75</v>
      </c>
      <c r="S2270" s="4" t="str">
        <f>IFERROR(__xludf.DUMMYFUNCTION("""COMPUTED_VALUE"""),"Jaxtech")</f>
        <v>Jaxtech</v>
      </c>
      <c r="T2270" s="33">
        <f>IFERROR(__xludf.DUMMYFUNCTION("""COMPUTED_VALUE"""),1.0)</f>
        <v>1</v>
      </c>
      <c r="U2270" s="4" t="str">
        <f>IFERROR(__xludf.DUMMYFUNCTION("""COMPUTED_VALUE"""),"Jaxtech")</f>
        <v>Jaxtech</v>
      </c>
      <c r="V2270" s="33">
        <f>IFERROR(__xludf.DUMMYFUNCTION("""COMPUTED_VALUE"""),0.75)</f>
        <v>0.75</v>
      </c>
      <c r="W2270" s="4" t="str">
        <f>IFERROR(__xludf.DUMMYFUNCTION("""COMPUTED_VALUE"""),"Jaxtech")</f>
        <v>Jaxtech</v>
      </c>
      <c r="X2270" s="33">
        <f>IFERROR(__xludf.DUMMYFUNCTION("""COMPUTED_VALUE"""),0.75)</f>
        <v>0.75</v>
      </c>
    </row>
    <row r="2271">
      <c r="K2271" s="4" t="str">
        <f>IFERROR(__xludf.DUMMYFUNCTION("""COMPUTED_VALUE"""),"DOM HELIO - BARRA")</f>
        <v>DOM HELIO - BARRA</v>
      </c>
      <c r="L2271" s="32">
        <f>IFERROR(__xludf.DUMMYFUNCTION("""COMPUTED_VALUE"""),4.0)</f>
        <v>4</v>
      </c>
      <c r="M2271" s="4" t="str">
        <f>IFERROR(__xludf.DUMMYFUNCTION("""COMPUTED_VALUE"""),"Jaxtech")</f>
        <v>Jaxtech</v>
      </c>
      <c r="N2271" s="33">
        <f>IFERROR(__xludf.DUMMYFUNCTION("""COMPUTED_VALUE"""),0.75)</f>
        <v>0.75</v>
      </c>
      <c r="O2271" s="4" t="str">
        <f>IFERROR(__xludf.DUMMYFUNCTION("""COMPUTED_VALUE"""),"Jaxtech")</f>
        <v>Jaxtech</v>
      </c>
      <c r="P2271" s="33">
        <f>IFERROR(__xludf.DUMMYFUNCTION("""COMPUTED_VALUE"""),0.5)</f>
        <v>0.5</v>
      </c>
      <c r="Q2271" s="4" t="str">
        <f>IFERROR(__xludf.DUMMYFUNCTION("""COMPUTED_VALUE"""),"Jaxtech")</f>
        <v>Jaxtech</v>
      </c>
      <c r="R2271" s="33">
        <f>IFERROR(__xludf.DUMMYFUNCTION("""COMPUTED_VALUE"""),0.75)</f>
        <v>0.75</v>
      </c>
      <c r="S2271" s="4" t="str">
        <f>IFERROR(__xludf.DUMMYFUNCTION("""COMPUTED_VALUE"""),"Jaxtech")</f>
        <v>Jaxtech</v>
      </c>
      <c r="T2271" s="33">
        <f>IFERROR(__xludf.DUMMYFUNCTION("""COMPUTED_VALUE"""),0.5)</f>
        <v>0.5</v>
      </c>
      <c r="U2271" s="4" t="str">
        <f>IFERROR(__xludf.DUMMYFUNCTION("""COMPUTED_VALUE"""),"Jaxtech")</f>
        <v>Jaxtech</v>
      </c>
      <c r="V2271" s="33">
        <f>IFERROR(__xludf.DUMMYFUNCTION("""COMPUTED_VALUE"""),0.75)</f>
        <v>0.75</v>
      </c>
      <c r="W2271" s="4" t="str">
        <f>IFERROR(__xludf.DUMMYFUNCTION("""COMPUTED_VALUE"""),"null")</f>
        <v>null</v>
      </c>
      <c r="X2271" s="33">
        <f>IFERROR(__xludf.DUMMYFUNCTION("""COMPUTED_VALUE"""),0.75)</f>
        <v>0.75</v>
      </c>
    </row>
    <row r="2272">
      <c r="K2272" s="4" t="str">
        <f>IFERROR(__xludf.DUMMYFUNCTION("""COMPUTED_VALUE"""),"DON BROSNERO - CONTA MARCA")</f>
        <v>DON BROSNERO - CONTA MARCA</v>
      </c>
      <c r="L2272" s="32">
        <f>IFERROR(__xludf.DUMMYFUNCTION("""COMPUTED_VALUE"""),4.0)</f>
        <v>4</v>
      </c>
      <c r="M2272" s="4" t="str">
        <f>IFERROR(__xludf.DUMMYFUNCTION("""COMPUTED_VALUE"""),"null")</f>
        <v>null</v>
      </c>
      <c r="N2272" s="33">
        <f>IFERROR(__xludf.DUMMYFUNCTION("""COMPUTED_VALUE"""),1.0)</f>
        <v>1</v>
      </c>
      <c r="O2272" s="4" t="str">
        <f>IFERROR(__xludf.DUMMYFUNCTION("""COMPUTED_VALUE"""),"Eclética Tecnologia")</f>
        <v>Eclética Tecnologia</v>
      </c>
      <c r="P2272" s="33">
        <f>IFERROR(__xludf.DUMMYFUNCTION("""COMPUTED_VALUE"""),0.75)</f>
        <v>0.75</v>
      </c>
      <c r="Q2272" s="4" t="str">
        <f>IFERROR(__xludf.DUMMYFUNCTION("""COMPUTED_VALUE"""),"Eclética Tecnologia")</f>
        <v>Eclética Tecnologia</v>
      </c>
      <c r="R2272" s="33">
        <f>IFERROR(__xludf.DUMMYFUNCTION("""COMPUTED_VALUE"""),1.0)</f>
        <v>1</v>
      </c>
      <c r="S2272" s="4" t="str">
        <f>IFERROR(__xludf.DUMMYFUNCTION("""COMPUTED_VALUE"""),"Eclética Tecnologia")</f>
        <v>Eclética Tecnologia</v>
      </c>
      <c r="T2272" s="33">
        <f>IFERROR(__xludf.DUMMYFUNCTION("""COMPUTED_VALUE"""),1.0)</f>
        <v>1</v>
      </c>
      <c r="U2272" s="4" t="str">
        <f>IFERROR(__xludf.DUMMYFUNCTION("""COMPUTED_VALUE"""),"Eclética Tecnologia")</f>
        <v>Eclética Tecnologia</v>
      </c>
      <c r="V2272" s="33">
        <f>IFERROR(__xludf.DUMMYFUNCTION("""COMPUTED_VALUE"""),1.0)</f>
        <v>1</v>
      </c>
      <c r="W2272" s="4" t="str">
        <f>IFERROR(__xludf.DUMMYFUNCTION("""COMPUTED_VALUE"""),"Eclética Tecnologia")</f>
        <v>Eclética Tecnologia</v>
      </c>
      <c r="X2272" s="33">
        <f>IFERROR(__xludf.DUMMYFUNCTION("""COMPUTED_VALUE"""),1.0)</f>
        <v>1</v>
      </c>
    </row>
    <row r="2273">
      <c r="K2273" s="4" t="str">
        <f>IFERROR(__xludf.DUMMYFUNCTION("""COMPUTED_VALUE"""),"DON PEPES CONTA PAI")</f>
        <v>DON PEPES CONTA PAI</v>
      </c>
      <c r="L2273" s="32">
        <f>IFERROR(__xludf.DUMMYFUNCTION("""COMPUTED_VALUE"""),4.0)</f>
        <v>4</v>
      </c>
      <c r="M2273" s="4" t="str">
        <f>IFERROR(__xludf.DUMMYFUNCTION("""COMPUTED_VALUE"""),"Cardápio Web")</f>
        <v>Cardápio Web</v>
      </c>
      <c r="N2273" s="33">
        <f>IFERROR(__xludf.DUMMYFUNCTION("""COMPUTED_VALUE"""),0.75)</f>
        <v>0.75</v>
      </c>
      <c r="O2273" s="4" t="str">
        <f>IFERROR(__xludf.DUMMYFUNCTION("""COMPUTED_VALUE"""),"Cardápio Web")</f>
        <v>Cardápio Web</v>
      </c>
      <c r="P2273" s="33">
        <f>IFERROR(__xludf.DUMMYFUNCTION("""COMPUTED_VALUE"""),0.75)</f>
        <v>0.75</v>
      </c>
      <c r="Q2273" s="4" t="str">
        <f>IFERROR(__xludf.DUMMYFUNCTION("""COMPUTED_VALUE"""),"Cardápio Web")</f>
        <v>Cardápio Web</v>
      </c>
      <c r="R2273" s="33">
        <f>IFERROR(__xludf.DUMMYFUNCTION("""COMPUTED_VALUE"""),1.0)</f>
        <v>1</v>
      </c>
      <c r="S2273" s="4" t="str">
        <f>IFERROR(__xludf.DUMMYFUNCTION("""COMPUTED_VALUE"""),"Cardápio Web")</f>
        <v>Cardápio Web</v>
      </c>
      <c r="T2273" s="33">
        <f>IFERROR(__xludf.DUMMYFUNCTION("""COMPUTED_VALUE"""),1.0)</f>
        <v>1</v>
      </c>
      <c r="U2273" s="4" t="str">
        <f>IFERROR(__xludf.DUMMYFUNCTION("""COMPUTED_VALUE"""),"Cardápio Web")</f>
        <v>Cardápio Web</v>
      </c>
      <c r="V2273" s="33">
        <f>IFERROR(__xludf.DUMMYFUNCTION("""COMPUTED_VALUE"""),1.0)</f>
        <v>1</v>
      </c>
      <c r="W2273" s="4" t="str">
        <f>IFERROR(__xludf.DUMMYFUNCTION("""COMPUTED_VALUE"""),"Cardápio Web")</f>
        <v>Cardápio Web</v>
      </c>
      <c r="X2273" s="33">
        <f>IFERROR(__xludf.DUMMYFUNCTION("""COMPUTED_VALUE"""),0.75)</f>
        <v>0.75</v>
      </c>
    </row>
    <row r="2274">
      <c r="K2274" s="4" t="str">
        <f>IFERROR(__xludf.DUMMYFUNCTION("""COMPUTED_VALUE"""),"DON SABORE- CONTA PAI")</f>
        <v>DON SABORE- CONTA PAI</v>
      </c>
      <c r="L2274" s="32">
        <f>IFERROR(__xludf.DUMMYFUNCTION("""COMPUTED_VALUE"""),4.0)</f>
        <v>4</v>
      </c>
      <c r="M2274" s="4" t="str">
        <f>IFERROR(__xludf.DUMMYFUNCTION("""COMPUTED_VALUE"""),"Saipos Serviços De Software")</f>
        <v>Saipos Serviços De Software</v>
      </c>
      <c r="N2274" s="33">
        <f>IFERROR(__xludf.DUMMYFUNCTION("""COMPUTED_VALUE"""),1.0)</f>
        <v>1</v>
      </c>
      <c r="O2274" s="4" t="str">
        <f>IFERROR(__xludf.DUMMYFUNCTION("""COMPUTED_VALUE"""),"Saipos Serviços De Software")</f>
        <v>Saipos Serviços De Software</v>
      </c>
      <c r="P2274" s="33">
        <f>IFERROR(__xludf.DUMMYFUNCTION("""COMPUTED_VALUE"""),1.0)</f>
        <v>1</v>
      </c>
      <c r="Q2274" s="4" t="str">
        <f>IFERROR(__xludf.DUMMYFUNCTION("""COMPUTED_VALUE"""),"Saipos Serviços De Software")</f>
        <v>Saipos Serviços De Software</v>
      </c>
      <c r="R2274" s="33">
        <f>IFERROR(__xludf.DUMMYFUNCTION("""COMPUTED_VALUE"""),1.0)</f>
        <v>1</v>
      </c>
      <c r="S2274" s="4" t="str">
        <f>IFERROR(__xludf.DUMMYFUNCTION("""COMPUTED_VALUE"""),"Saipos Serviços De Software")</f>
        <v>Saipos Serviços De Software</v>
      </c>
      <c r="T2274" s="33">
        <f>IFERROR(__xludf.DUMMYFUNCTION("""COMPUTED_VALUE"""),1.0)</f>
        <v>1</v>
      </c>
      <c r="U2274" s="4" t="str">
        <f>IFERROR(__xludf.DUMMYFUNCTION("""COMPUTED_VALUE"""),"Saipos Serviços De Software")</f>
        <v>Saipos Serviços De Software</v>
      </c>
      <c r="V2274" s="33">
        <f>IFERROR(__xludf.DUMMYFUNCTION("""COMPUTED_VALUE"""),1.0)</f>
        <v>1</v>
      </c>
      <c r="W2274" s="4" t="str">
        <f>IFERROR(__xludf.DUMMYFUNCTION("""COMPUTED_VALUE"""),"Saipos Serviços De Software")</f>
        <v>Saipos Serviços De Software</v>
      </c>
      <c r="X2274" s="33">
        <f>IFERROR(__xludf.DUMMYFUNCTION("""COMPUTED_VALUE"""),1.0)</f>
        <v>1</v>
      </c>
    </row>
    <row r="2275">
      <c r="K2275" s="4" t="str">
        <f>IFERROR(__xludf.DUMMYFUNCTION("""COMPUTED_VALUE"""),"DONNA TOSCANA")</f>
        <v>DONNA TOSCANA</v>
      </c>
      <c r="L2275" s="32">
        <f>IFERROR(__xludf.DUMMYFUNCTION("""COMPUTED_VALUE"""),4.0)</f>
        <v>4</v>
      </c>
      <c r="M2275" s="4" t="str">
        <f>IFERROR(__xludf.DUMMYFUNCTION("""COMPUTED_VALUE"""),"Saipos Serviços De Software")</f>
        <v>Saipos Serviços De Software</v>
      </c>
      <c r="N2275" s="33">
        <f>IFERROR(__xludf.DUMMYFUNCTION("""COMPUTED_VALUE"""),1.0)</f>
        <v>1</v>
      </c>
      <c r="O2275" s="4" t="str">
        <f>IFERROR(__xludf.DUMMYFUNCTION("""COMPUTED_VALUE"""),"Saipos Serviços De Software")</f>
        <v>Saipos Serviços De Software</v>
      </c>
      <c r="P2275" s="33">
        <f>IFERROR(__xludf.DUMMYFUNCTION("""COMPUTED_VALUE"""),1.0)</f>
        <v>1</v>
      </c>
      <c r="Q2275" s="4" t="str">
        <f>IFERROR(__xludf.DUMMYFUNCTION("""COMPUTED_VALUE"""),"Saipos Serviços De Software")</f>
        <v>Saipos Serviços De Software</v>
      </c>
      <c r="R2275" s="33">
        <f>IFERROR(__xludf.DUMMYFUNCTION("""COMPUTED_VALUE"""),1.0)</f>
        <v>1</v>
      </c>
      <c r="S2275" s="4" t="str">
        <f>IFERROR(__xludf.DUMMYFUNCTION("""COMPUTED_VALUE"""),"Saipos Serviços De Software")</f>
        <v>Saipos Serviços De Software</v>
      </c>
      <c r="T2275" s="33">
        <f>IFERROR(__xludf.DUMMYFUNCTION("""COMPUTED_VALUE"""),1.0)</f>
        <v>1</v>
      </c>
      <c r="U2275" s="4" t="str">
        <f>IFERROR(__xludf.DUMMYFUNCTION("""COMPUTED_VALUE"""),"Saipos Serviços De Software")</f>
        <v>Saipos Serviços De Software</v>
      </c>
      <c r="V2275" s="33">
        <f>IFERROR(__xludf.DUMMYFUNCTION("""COMPUTED_VALUE"""),1.0)</f>
        <v>1</v>
      </c>
      <c r="W2275" s="4" t="str">
        <f>IFERROR(__xludf.DUMMYFUNCTION("""COMPUTED_VALUE"""),"Saipos Serviços De Software")</f>
        <v>Saipos Serviços De Software</v>
      </c>
      <c r="X2275" s="33">
        <f>IFERROR(__xludf.DUMMYFUNCTION("""COMPUTED_VALUE"""),1.0)</f>
        <v>1</v>
      </c>
    </row>
    <row r="2276">
      <c r="K2276" s="4" t="str">
        <f>IFERROR(__xludf.DUMMYFUNCTION("""COMPUTED_VALUE"""),"DONT STOP - CONTA PAI")</f>
        <v>DONT STOP - CONTA PAI</v>
      </c>
      <c r="L2276" s="32">
        <f>IFERROR(__xludf.DUMMYFUNCTION("""COMPUTED_VALUE"""),4.0)</f>
        <v>4</v>
      </c>
      <c r="M2276" s="4" t="str">
        <f>IFERROR(__xludf.DUMMYFUNCTION("""COMPUTED_VALUE"""),"Glow")</f>
        <v>Glow</v>
      </c>
      <c r="N2276" s="33">
        <f>IFERROR(__xludf.DUMMYFUNCTION("""COMPUTED_VALUE"""),0.5)</f>
        <v>0.5</v>
      </c>
      <c r="O2276" s="4" t="str">
        <f>IFERROR(__xludf.DUMMYFUNCTION("""COMPUTED_VALUE"""),"Glow")</f>
        <v>Glow</v>
      </c>
      <c r="P2276" s="33">
        <f>IFERROR(__xludf.DUMMYFUNCTION("""COMPUTED_VALUE"""),0.5)</f>
        <v>0.5</v>
      </c>
      <c r="Q2276" s="4" t="str">
        <f>IFERROR(__xludf.DUMMYFUNCTION("""COMPUTED_VALUE"""),"null")</f>
        <v>null</v>
      </c>
      <c r="R2276" s="33">
        <f>IFERROR(__xludf.DUMMYFUNCTION("""COMPUTED_VALUE"""),0.5)</f>
        <v>0.5</v>
      </c>
      <c r="S2276" s="4" t="str">
        <f>IFERROR(__xludf.DUMMYFUNCTION("""COMPUTED_VALUE"""),"null")</f>
        <v>null</v>
      </c>
      <c r="T2276" s="33">
        <f>IFERROR(__xludf.DUMMYFUNCTION("""COMPUTED_VALUE"""),0.5)</f>
        <v>0.5</v>
      </c>
      <c r="U2276" s="4" t="str">
        <f>IFERROR(__xludf.DUMMYFUNCTION("""COMPUTED_VALUE"""),"null")</f>
        <v>null</v>
      </c>
      <c r="V2276" s="33">
        <f>IFERROR(__xludf.DUMMYFUNCTION("""COMPUTED_VALUE"""),0.5)</f>
        <v>0.5</v>
      </c>
      <c r="W2276" s="4" t="str">
        <f>IFERROR(__xludf.DUMMYFUNCTION("""COMPUTED_VALUE"""),"Saipos Serviços De Software")</f>
        <v>Saipos Serviços De Software</v>
      </c>
      <c r="X2276" s="33">
        <f>IFERROR(__xludf.DUMMYFUNCTION("""COMPUTED_VALUE"""),0.75)</f>
        <v>0.75</v>
      </c>
    </row>
    <row r="2277">
      <c r="K2277" s="4" t="str">
        <f>IFERROR(__xludf.DUMMYFUNCTION("""COMPUTED_VALUE"""),"DROGALIS - CONTA MARCA")</f>
        <v>DROGALIS - CONTA MARCA</v>
      </c>
      <c r="L2277" s="32">
        <f>IFERROR(__xludf.DUMMYFUNCTION("""COMPUTED_VALUE"""),4.0)</f>
        <v>4</v>
      </c>
      <c r="M2277" s="4" t="str">
        <f>IFERROR(__xludf.DUMMYFUNCTION("""COMPUTED_VALUE"""),"N/A (Not found)")</f>
        <v>N/A (Not found)</v>
      </c>
      <c r="N2277" s="33">
        <f>IFERROR(__xludf.DUMMYFUNCTION("""COMPUTED_VALUE"""),1.0)</f>
        <v>1</v>
      </c>
      <c r="O2277" s="4" t="str">
        <f>IFERROR(__xludf.DUMMYFUNCTION("""COMPUTED_VALUE"""),"N/A (Not found)")</f>
        <v>N/A (Not found)</v>
      </c>
      <c r="P2277" s="33">
        <f>IFERROR(__xludf.DUMMYFUNCTION("""COMPUTED_VALUE"""),1.0)</f>
        <v>1</v>
      </c>
      <c r="Q2277" s="4" t="str">
        <f>IFERROR(__xludf.DUMMYFUNCTION("""COMPUTED_VALUE"""),"N/A (Not found)")</f>
        <v>N/A (Not found)</v>
      </c>
      <c r="R2277" s="33">
        <f>IFERROR(__xludf.DUMMYFUNCTION("""COMPUTED_VALUE"""),1.0)</f>
        <v>1</v>
      </c>
      <c r="S2277" s="4" t="str">
        <f>IFERROR(__xludf.DUMMYFUNCTION("""COMPUTED_VALUE"""),"N/A (Not found)")</f>
        <v>N/A (Not found)</v>
      </c>
      <c r="T2277" s="33">
        <f>IFERROR(__xludf.DUMMYFUNCTION("""COMPUTED_VALUE"""),1.0)</f>
        <v>1</v>
      </c>
      <c r="U2277" s="4" t="str">
        <f>IFERROR(__xludf.DUMMYFUNCTION("""COMPUTED_VALUE"""),"N/A (Not found)")</f>
        <v>N/A (Not found)</v>
      </c>
      <c r="V2277" s="33">
        <f>IFERROR(__xludf.DUMMYFUNCTION("""COMPUTED_VALUE"""),1.0)</f>
        <v>1</v>
      </c>
      <c r="W2277" s="4" t="str">
        <f>IFERROR(__xludf.DUMMYFUNCTION("""COMPUTED_VALUE"""),"N/A (Not found)")</f>
        <v>N/A (Not found)</v>
      </c>
      <c r="X2277" s="33">
        <f>IFERROR(__xludf.DUMMYFUNCTION("""COMPUTED_VALUE"""),1.0)</f>
        <v>1</v>
      </c>
    </row>
    <row r="2278">
      <c r="K2278" s="4" t="str">
        <f>IFERROR(__xludf.DUMMYFUNCTION("""COMPUTED_VALUE"""),"DROGARIA DO JUNIOR - CONTA MARCA")</f>
        <v>DROGARIA DO JUNIOR - CONTA MARCA</v>
      </c>
      <c r="L2278" s="32">
        <f>IFERROR(__xludf.DUMMYFUNCTION("""COMPUTED_VALUE"""),4.0)</f>
        <v>4</v>
      </c>
      <c r="M2278" s="4" t="str">
        <f>IFERROR(__xludf.DUMMYFUNCTION("""COMPUTED_VALUE"""),"N/A (Not found)")</f>
        <v>N/A (Not found)</v>
      </c>
      <c r="N2278" s="33">
        <f>IFERROR(__xludf.DUMMYFUNCTION("""COMPUTED_VALUE"""),1.0)</f>
        <v>1</v>
      </c>
      <c r="O2278" s="4" t="str">
        <f>IFERROR(__xludf.DUMMYFUNCTION("""COMPUTED_VALUE"""),"N/A (Not found)")</f>
        <v>N/A (Not found)</v>
      </c>
      <c r="P2278" s="33">
        <f>IFERROR(__xludf.DUMMYFUNCTION("""COMPUTED_VALUE"""),1.0)</f>
        <v>1</v>
      </c>
      <c r="Q2278" s="4" t="str">
        <f>IFERROR(__xludf.DUMMYFUNCTION("""COMPUTED_VALUE"""),"N/A (Not found)")</f>
        <v>N/A (Not found)</v>
      </c>
      <c r="R2278" s="33">
        <f>IFERROR(__xludf.DUMMYFUNCTION("""COMPUTED_VALUE"""),1.0)</f>
        <v>1</v>
      </c>
      <c r="S2278" s="4" t="str">
        <f>IFERROR(__xludf.DUMMYFUNCTION("""COMPUTED_VALUE"""),"N/A (Not found)")</f>
        <v>N/A (Not found)</v>
      </c>
      <c r="T2278" s="33">
        <f>IFERROR(__xludf.DUMMYFUNCTION("""COMPUTED_VALUE"""),1.0)</f>
        <v>1</v>
      </c>
      <c r="U2278" s="4" t="str">
        <f>IFERROR(__xludf.DUMMYFUNCTION("""COMPUTED_VALUE"""),"N/A (Not found)")</f>
        <v>N/A (Not found)</v>
      </c>
      <c r="V2278" s="33">
        <f>IFERROR(__xludf.DUMMYFUNCTION("""COMPUTED_VALUE"""),1.0)</f>
        <v>1</v>
      </c>
      <c r="W2278" s="4" t="str">
        <f>IFERROR(__xludf.DUMMYFUNCTION("""COMPUTED_VALUE"""),"N/A (Not found)")</f>
        <v>N/A (Not found)</v>
      </c>
      <c r="X2278" s="33">
        <f>IFERROR(__xludf.DUMMYFUNCTION("""COMPUTED_VALUE"""),0.75)</f>
        <v>0.75</v>
      </c>
    </row>
    <row r="2279">
      <c r="K2279" s="4" t="str">
        <f>IFERROR(__xludf.DUMMYFUNCTION("""COMPUTED_VALUE"""),"DROGARIA FATIMA - CONTA PAI")</f>
        <v>DROGARIA FATIMA - CONTA PAI</v>
      </c>
      <c r="L2279" s="32">
        <f>IFERROR(__xludf.DUMMYFUNCTION("""COMPUTED_VALUE"""),4.0)</f>
        <v>4</v>
      </c>
      <c r="M2279" s="4" t="str">
        <f>IFERROR(__xludf.DUMMYFUNCTION("""COMPUTED_VALUE"""),"N/A (Not found)")</f>
        <v>N/A (Not found)</v>
      </c>
      <c r="N2279" s="33">
        <f>IFERROR(__xludf.DUMMYFUNCTION("""COMPUTED_VALUE"""),1.0)</f>
        <v>1</v>
      </c>
      <c r="O2279" s="4" t="str">
        <f>IFERROR(__xludf.DUMMYFUNCTION("""COMPUTED_VALUE"""),"N/A (Not found)")</f>
        <v>N/A (Not found)</v>
      </c>
      <c r="P2279" s="33">
        <f>IFERROR(__xludf.DUMMYFUNCTION("""COMPUTED_VALUE"""),1.0)</f>
        <v>1</v>
      </c>
      <c r="Q2279" s="4" t="str">
        <f>IFERROR(__xludf.DUMMYFUNCTION("""COMPUTED_VALUE"""),"N/A (Not found)")</f>
        <v>N/A (Not found)</v>
      </c>
      <c r="R2279" s="33">
        <f>IFERROR(__xludf.DUMMYFUNCTION("""COMPUTED_VALUE"""),1.0)</f>
        <v>1</v>
      </c>
      <c r="S2279" s="4" t="str">
        <f>IFERROR(__xludf.DUMMYFUNCTION("""COMPUTED_VALUE"""),"N/A (Not found)")</f>
        <v>N/A (Not found)</v>
      </c>
      <c r="T2279" s="33">
        <f>IFERROR(__xludf.DUMMYFUNCTION("""COMPUTED_VALUE"""),1.0)</f>
        <v>1</v>
      </c>
      <c r="U2279" s="4" t="str">
        <f>IFERROR(__xludf.DUMMYFUNCTION("""COMPUTED_VALUE"""),"N/A (Not found)")</f>
        <v>N/A (Not found)</v>
      </c>
      <c r="V2279" s="33">
        <f>IFERROR(__xludf.DUMMYFUNCTION("""COMPUTED_VALUE"""),1.0)</f>
        <v>1</v>
      </c>
      <c r="W2279" s="4" t="str">
        <f>IFERROR(__xludf.DUMMYFUNCTION("""COMPUTED_VALUE"""),"N/A (Not found)")</f>
        <v>N/A (Not found)</v>
      </c>
      <c r="X2279" s="33">
        <f>IFERROR(__xludf.DUMMYFUNCTION("""COMPUTED_VALUE"""),1.0)</f>
        <v>1</v>
      </c>
    </row>
    <row r="2280">
      <c r="K2280" s="4" t="str">
        <f>IFERROR(__xludf.DUMMYFUNCTION("""COMPUTED_VALUE"""),"DROGARIA KOBAYASHI - CONTA PAI")</f>
        <v>DROGARIA KOBAYASHI - CONTA PAI</v>
      </c>
      <c r="L2280" s="32">
        <f>IFERROR(__xludf.DUMMYFUNCTION("""COMPUTED_VALUE"""),4.0)</f>
        <v>4</v>
      </c>
      <c r="M2280" s="4" t="str">
        <f>IFERROR(__xludf.DUMMYFUNCTION("""COMPUTED_VALUE"""),"N/A (Not found)")</f>
        <v>N/A (Not found)</v>
      </c>
      <c r="N2280" s="33">
        <f>IFERROR(__xludf.DUMMYFUNCTION("""COMPUTED_VALUE"""),1.0)</f>
        <v>1</v>
      </c>
      <c r="O2280" s="4" t="str">
        <f>IFERROR(__xludf.DUMMYFUNCTION("""COMPUTED_VALUE"""),"N/A (Not found)")</f>
        <v>N/A (Not found)</v>
      </c>
      <c r="P2280" s="33">
        <f>IFERROR(__xludf.DUMMYFUNCTION("""COMPUTED_VALUE"""),1.0)</f>
        <v>1</v>
      </c>
      <c r="Q2280" s="4" t="str">
        <f>IFERROR(__xludf.DUMMYFUNCTION("""COMPUTED_VALUE"""),"N/A (Not found)")</f>
        <v>N/A (Not found)</v>
      </c>
      <c r="R2280" s="33">
        <f>IFERROR(__xludf.DUMMYFUNCTION("""COMPUTED_VALUE"""),1.0)</f>
        <v>1</v>
      </c>
      <c r="S2280" s="4" t="str">
        <f>IFERROR(__xludf.DUMMYFUNCTION("""COMPUTED_VALUE"""),"N/A (Not found)")</f>
        <v>N/A (Not found)</v>
      </c>
      <c r="T2280" s="33">
        <f>IFERROR(__xludf.DUMMYFUNCTION("""COMPUTED_VALUE"""),1.0)</f>
        <v>1</v>
      </c>
      <c r="U2280" s="4" t="str">
        <f>IFERROR(__xludf.DUMMYFUNCTION("""COMPUTED_VALUE"""),"N/A (Not found)")</f>
        <v>N/A (Not found)</v>
      </c>
      <c r="V2280" s="33">
        <f>IFERROR(__xludf.DUMMYFUNCTION("""COMPUTED_VALUE"""),1.0)</f>
        <v>1</v>
      </c>
      <c r="W2280" s="4" t="str">
        <f>IFERROR(__xludf.DUMMYFUNCTION("""COMPUTED_VALUE"""),"N/A (Not found)")</f>
        <v>N/A (Not found)</v>
      </c>
      <c r="X2280" s="33">
        <f>IFERROR(__xludf.DUMMYFUNCTION("""COMPUTED_VALUE"""),1.0)</f>
        <v>1</v>
      </c>
    </row>
    <row r="2281">
      <c r="K2281" s="4" t="str">
        <f>IFERROR(__xludf.DUMMYFUNCTION("""COMPUTED_VALUE"""),"DROGARIA LIMA - CONTA PAI")</f>
        <v>DROGARIA LIMA - CONTA PAI</v>
      </c>
      <c r="L2281" s="32">
        <f>IFERROR(__xludf.DUMMYFUNCTION("""COMPUTED_VALUE"""),4.0)</f>
        <v>4</v>
      </c>
      <c r="M2281" s="4" t="str">
        <f>IFERROR(__xludf.DUMMYFUNCTION("""COMPUTED_VALUE"""),"null")</f>
        <v>null</v>
      </c>
      <c r="N2281" s="33">
        <f>IFERROR(__xludf.DUMMYFUNCTION("""COMPUTED_VALUE"""),1.0)</f>
        <v>1</v>
      </c>
      <c r="O2281" s="4" t="str">
        <f>IFERROR(__xludf.DUMMYFUNCTION("""COMPUTED_VALUE"""),"null")</f>
        <v>null</v>
      </c>
      <c r="P2281" s="33">
        <f>IFERROR(__xludf.DUMMYFUNCTION("""COMPUTED_VALUE"""),1.0)</f>
        <v>1</v>
      </c>
      <c r="Q2281" s="4" t="str">
        <f>IFERROR(__xludf.DUMMYFUNCTION("""COMPUTED_VALUE"""),"N/A (Not found)")</f>
        <v>N/A (Not found)</v>
      </c>
      <c r="R2281" s="33">
        <f>IFERROR(__xludf.DUMMYFUNCTION("""COMPUTED_VALUE"""),1.0)</f>
        <v>1</v>
      </c>
      <c r="S2281" s="4" t="str">
        <f>IFERROR(__xludf.DUMMYFUNCTION("""COMPUTED_VALUE"""),"null")</f>
        <v>null</v>
      </c>
      <c r="T2281" s="33">
        <f>IFERROR(__xludf.DUMMYFUNCTION("""COMPUTED_VALUE"""),1.0)</f>
        <v>1</v>
      </c>
      <c r="U2281" s="4" t="str">
        <f>IFERROR(__xludf.DUMMYFUNCTION("""COMPUTED_VALUE"""),"null")</f>
        <v>null</v>
      </c>
      <c r="V2281" s="33">
        <f>IFERROR(__xludf.DUMMYFUNCTION("""COMPUTED_VALUE"""),1.0)</f>
        <v>1</v>
      </c>
      <c r="W2281" s="4" t="str">
        <f>IFERROR(__xludf.DUMMYFUNCTION("""COMPUTED_VALUE"""),"null")</f>
        <v>null</v>
      </c>
      <c r="X2281" s="33">
        <f>IFERROR(__xludf.DUMMYFUNCTION("""COMPUTED_VALUE"""),1.0)</f>
        <v>1</v>
      </c>
    </row>
    <row r="2282">
      <c r="K2282" s="4" t="str">
        <f>IFERROR(__xludf.DUMMYFUNCTION("""COMPUTED_VALUE"""),"DROGARIA MAXIMA SAUDE - CONTA MARCA")</f>
        <v>DROGARIA MAXIMA SAUDE - CONTA MARCA</v>
      </c>
      <c r="L2282" s="32">
        <f>IFERROR(__xludf.DUMMYFUNCTION("""COMPUTED_VALUE"""),4.0)</f>
        <v>4</v>
      </c>
      <c r="M2282" s="4" t="str">
        <f>IFERROR(__xludf.DUMMYFUNCTION("""COMPUTED_VALUE"""),"N/A (Not found)")</f>
        <v>N/A (Not found)</v>
      </c>
      <c r="N2282" s="33">
        <f>IFERROR(__xludf.DUMMYFUNCTION("""COMPUTED_VALUE"""),1.0)</f>
        <v>1</v>
      </c>
      <c r="O2282" s="4" t="str">
        <f>IFERROR(__xludf.DUMMYFUNCTION("""COMPUTED_VALUE"""),"N/A (Not found)")</f>
        <v>N/A (Not found)</v>
      </c>
      <c r="P2282" s="33">
        <f>IFERROR(__xludf.DUMMYFUNCTION("""COMPUTED_VALUE"""),1.0)</f>
        <v>1</v>
      </c>
      <c r="Q2282" s="4" t="str">
        <f>IFERROR(__xludf.DUMMYFUNCTION("""COMPUTED_VALUE"""),"N/A (Not found)")</f>
        <v>N/A (Not found)</v>
      </c>
      <c r="R2282" s="33">
        <f>IFERROR(__xludf.DUMMYFUNCTION("""COMPUTED_VALUE"""),1.0)</f>
        <v>1</v>
      </c>
      <c r="S2282" s="4" t="str">
        <f>IFERROR(__xludf.DUMMYFUNCTION("""COMPUTED_VALUE"""),"N/A (Not found)")</f>
        <v>N/A (Not found)</v>
      </c>
      <c r="T2282" s="33">
        <f>IFERROR(__xludf.DUMMYFUNCTION("""COMPUTED_VALUE"""),1.0)</f>
        <v>1</v>
      </c>
      <c r="U2282" s="4" t="str">
        <f>IFERROR(__xludf.DUMMYFUNCTION("""COMPUTED_VALUE"""),"N/A (Not found)")</f>
        <v>N/A (Not found)</v>
      </c>
      <c r="V2282" s="33">
        <f>IFERROR(__xludf.DUMMYFUNCTION("""COMPUTED_VALUE"""),1.0)</f>
        <v>1</v>
      </c>
      <c r="W2282" s="4" t="str">
        <f>IFERROR(__xludf.DUMMYFUNCTION("""COMPUTED_VALUE"""),"N/A (Not found)")</f>
        <v>N/A (Not found)</v>
      </c>
      <c r="X2282" s="33">
        <f>IFERROR(__xludf.DUMMYFUNCTION("""COMPUTED_VALUE"""),1.0)</f>
        <v>1</v>
      </c>
    </row>
    <row r="2283">
      <c r="K2283" s="4" t="str">
        <f>IFERROR(__xludf.DUMMYFUNCTION("""COMPUTED_VALUE"""),"DROGARIA MENOR PRECO - CONTA PAI")</f>
        <v>DROGARIA MENOR PRECO - CONTA PAI</v>
      </c>
      <c r="L2283" s="32">
        <f>IFERROR(__xludf.DUMMYFUNCTION("""COMPUTED_VALUE"""),4.0)</f>
        <v>4</v>
      </c>
      <c r="M2283" s="4" t="str">
        <f>IFERROR(__xludf.DUMMYFUNCTION("""COMPUTED_VALUE"""),"N/A (Not found)")</f>
        <v>N/A (Not found)</v>
      </c>
      <c r="N2283" s="33">
        <f>IFERROR(__xludf.DUMMYFUNCTION("""COMPUTED_VALUE"""),1.0)</f>
        <v>1</v>
      </c>
      <c r="O2283" s="4" t="str">
        <f>IFERROR(__xludf.DUMMYFUNCTION("""COMPUTED_VALUE"""),"N/A (Not found)")</f>
        <v>N/A (Not found)</v>
      </c>
      <c r="P2283" s="33">
        <f>IFERROR(__xludf.DUMMYFUNCTION("""COMPUTED_VALUE"""),1.0)</f>
        <v>1</v>
      </c>
      <c r="Q2283" s="4" t="str">
        <f>IFERROR(__xludf.DUMMYFUNCTION("""COMPUTED_VALUE"""),"N/A (Not found)")</f>
        <v>N/A (Not found)</v>
      </c>
      <c r="R2283" s="33">
        <f>IFERROR(__xludf.DUMMYFUNCTION("""COMPUTED_VALUE"""),1.0)</f>
        <v>1</v>
      </c>
      <c r="S2283" s="4" t="str">
        <f>IFERROR(__xludf.DUMMYFUNCTION("""COMPUTED_VALUE"""),"N/A (Not found)")</f>
        <v>N/A (Not found)</v>
      </c>
      <c r="T2283" s="33">
        <f>IFERROR(__xludf.DUMMYFUNCTION("""COMPUTED_VALUE"""),1.0)</f>
        <v>1</v>
      </c>
      <c r="U2283" s="4" t="str">
        <f>IFERROR(__xludf.DUMMYFUNCTION("""COMPUTED_VALUE"""),"N/A (Not found)")</f>
        <v>N/A (Not found)</v>
      </c>
      <c r="V2283" s="33">
        <f>IFERROR(__xludf.DUMMYFUNCTION("""COMPUTED_VALUE"""),1.0)</f>
        <v>1</v>
      </c>
      <c r="W2283" s="4" t="str">
        <f>IFERROR(__xludf.DUMMYFUNCTION("""COMPUTED_VALUE"""),"N/A (Not found)")</f>
        <v>N/A (Not found)</v>
      </c>
      <c r="X2283" s="33">
        <f>IFERROR(__xludf.DUMMYFUNCTION("""COMPUTED_VALUE"""),1.0)</f>
        <v>1</v>
      </c>
    </row>
    <row r="2284">
      <c r="K2284" s="4" t="str">
        <f>IFERROR(__xludf.DUMMYFUNCTION("""COMPUTED_VALUE"""),"DROGARIA ULTRAPOPULAR DE DOURADOS - CONTA MARCA")</f>
        <v>DROGARIA ULTRAPOPULAR DE DOURADOS - CONTA MARCA</v>
      </c>
      <c r="L2284" s="32">
        <f>IFERROR(__xludf.DUMMYFUNCTION("""COMPUTED_VALUE"""),4.0)</f>
        <v>4</v>
      </c>
      <c r="M2284" s="4" t="str">
        <f>IFERROR(__xludf.DUMMYFUNCTION("""COMPUTED_VALUE"""),"N/A (Not found)")</f>
        <v>N/A (Not found)</v>
      </c>
      <c r="N2284" s="33">
        <f>IFERROR(__xludf.DUMMYFUNCTION("""COMPUTED_VALUE"""),1.0)</f>
        <v>1</v>
      </c>
      <c r="O2284" s="4" t="str">
        <f>IFERROR(__xludf.DUMMYFUNCTION("""COMPUTED_VALUE"""),"N/A (Not found)")</f>
        <v>N/A (Not found)</v>
      </c>
      <c r="P2284" s="33">
        <f>IFERROR(__xludf.DUMMYFUNCTION("""COMPUTED_VALUE"""),1.0)</f>
        <v>1</v>
      </c>
      <c r="Q2284" s="4" t="str">
        <f>IFERROR(__xludf.DUMMYFUNCTION("""COMPUTED_VALUE"""),"N/A (Not found)")</f>
        <v>N/A (Not found)</v>
      </c>
      <c r="R2284" s="33">
        <f>IFERROR(__xludf.DUMMYFUNCTION("""COMPUTED_VALUE"""),1.0)</f>
        <v>1</v>
      </c>
      <c r="S2284" s="4" t="str">
        <f>IFERROR(__xludf.DUMMYFUNCTION("""COMPUTED_VALUE"""),"N/A (Not found)")</f>
        <v>N/A (Not found)</v>
      </c>
      <c r="T2284" s="33">
        <f>IFERROR(__xludf.DUMMYFUNCTION("""COMPUTED_VALUE"""),1.0)</f>
        <v>1</v>
      </c>
      <c r="U2284" s="4" t="str">
        <f>IFERROR(__xludf.DUMMYFUNCTION("""COMPUTED_VALUE"""),"N/A (Not found)")</f>
        <v>N/A (Not found)</v>
      </c>
      <c r="V2284" s="33">
        <f>IFERROR(__xludf.DUMMYFUNCTION("""COMPUTED_VALUE"""),1.0)</f>
        <v>1</v>
      </c>
      <c r="W2284" s="4" t="str">
        <f>IFERROR(__xludf.DUMMYFUNCTION("""COMPUTED_VALUE"""),"N/A (Not found)")</f>
        <v>N/A (Not found)</v>
      </c>
      <c r="X2284" s="33">
        <f>IFERROR(__xludf.DUMMYFUNCTION("""COMPUTED_VALUE"""),1.0)</f>
        <v>1</v>
      </c>
    </row>
    <row r="2285">
      <c r="K2285" s="4" t="str">
        <f>IFERROR(__xludf.DUMMYFUNCTION("""COMPUTED_VALUE"""),"DROGARIAS EXCLUSIVA - CONTA MARCA")</f>
        <v>DROGARIAS EXCLUSIVA - CONTA MARCA</v>
      </c>
      <c r="L2285" s="32">
        <f>IFERROR(__xludf.DUMMYFUNCTION("""COMPUTED_VALUE"""),4.0)</f>
        <v>4</v>
      </c>
      <c r="M2285" s="4" t="str">
        <f>IFERROR(__xludf.DUMMYFUNCTION("""COMPUTED_VALUE"""),"N/A (Not found)")</f>
        <v>N/A (Not found)</v>
      </c>
      <c r="N2285" s="33">
        <f>IFERROR(__xludf.DUMMYFUNCTION("""COMPUTED_VALUE"""),1.0)</f>
        <v>1</v>
      </c>
      <c r="O2285" s="4" t="str">
        <f>IFERROR(__xludf.DUMMYFUNCTION("""COMPUTED_VALUE"""),"N/A (Not found)")</f>
        <v>N/A (Not found)</v>
      </c>
      <c r="P2285" s="33">
        <f>IFERROR(__xludf.DUMMYFUNCTION("""COMPUTED_VALUE"""),1.0)</f>
        <v>1</v>
      </c>
      <c r="Q2285" s="4" t="str">
        <f>IFERROR(__xludf.DUMMYFUNCTION("""COMPUTED_VALUE"""),"N/A (Not found)")</f>
        <v>N/A (Not found)</v>
      </c>
      <c r="R2285" s="33">
        <f>IFERROR(__xludf.DUMMYFUNCTION("""COMPUTED_VALUE"""),1.0)</f>
        <v>1</v>
      </c>
      <c r="S2285" s="4" t="str">
        <f>IFERROR(__xludf.DUMMYFUNCTION("""COMPUTED_VALUE"""),"N/A (Not found)")</f>
        <v>N/A (Not found)</v>
      </c>
      <c r="T2285" s="33">
        <f>IFERROR(__xludf.DUMMYFUNCTION("""COMPUTED_VALUE"""),1.0)</f>
        <v>1</v>
      </c>
      <c r="U2285" s="4" t="str">
        <f>IFERROR(__xludf.DUMMYFUNCTION("""COMPUTED_VALUE"""),"N/A (Not found)")</f>
        <v>N/A (Not found)</v>
      </c>
      <c r="V2285" s="33">
        <f>IFERROR(__xludf.DUMMYFUNCTION("""COMPUTED_VALUE"""),1.0)</f>
        <v>1</v>
      </c>
      <c r="W2285" s="4" t="str">
        <f>IFERROR(__xludf.DUMMYFUNCTION("""COMPUTED_VALUE"""),"N/A (Not found)")</f>
        <v>N/A (Not found)</v>
      </c>
      <c r="X2285" s="33">
        <f>IFERROR(__xludf.DUMMYFUNCTION("""COMPUTED_VALUE"""),1.0)</f>
        <v>1</v>
      </c>
    </row>
    <row r="2286">
      <c r="K2286" s="4" t="str">
        <f>IFERROR(__xludf.DUMMYFUNCTION("""COMPUTED_VALUE"""),"DROGARIAS MAX CATETE - CONTA MARCA")</f>
        <v>DROGARIAS MAX CATETE - CONTA MARCA</v>
      </c>
      <c r="L2286" s="32">
        <f>IFERROR(__xludf.DUMMYFUNCTION("""COMPUTED_VALUE"""),4.0)</f>
        <v>4</v>
      </c>
      <c r="M2286" s="4" t="str">
        <f>IFERROR(__xludf.DUMMYFUNCTION("""COMPUTED_VALUE"""),"N/A (Not found)")</f>
        <v>N/A (Not found)</v>
      </c>
      <c r="N2286" s="33">
        <f>IFERROR(__xludf.DUMMYFUNCTION("""COMPUTED_VALUE"""),1.0)</f>
        <v>1</v>
      </c>
      <c r="O2286" s="4" t="str">
        <f>IFERROR(__xludf.DUMMYFUNCTION("""COMPUTED_VALUE"""),"N/A (Not found)")</f>
        <v>N/A (Not found)</v>
      </c>
      <c r="P2286" s="33">
        <f>IFERROR(__xludf.DUMMYFUNCTION("""COMPUTED_VALUE"""),1.0)</f>
        <v>1</v>
      </c>
      <c r="Q2286" s="4" t="str">
        <f>IFERROR(__xludf.DUMMYFUNCTION("""COMPUTED_VALUE"""),"N/A (Not found)")</f>
        <v>N/A (Not found)</v>
      </c>
      <c r="R2286" s="33">
        <f>IFERROR(__xludf.DUMMYFUNCTION("""COMPUTED_VALUE"""),1.0)</f>
        <v>1</v>
      </c>
      <c r="S2286" s="4" t="str">
        <f>IFERROR(__xludf.DUMMYFUNCTION("""COMPUTED_VALUE"""),"N/A (Not found)")</f>
        <v>N/A (Not found)</v>
      </c>
      <c r="T2286" s="33">
        <f>IFERROR(__xludf.DUMMYFUNCTION("""COMPUTED_VALUE"""),1.0)</f>
        <v>1</v>
      </c>
      <c r="U2286" s="4" t="str">
        <f>IFERROR(__xludf.DUMMYFUNCTION("""COMPUTED_VALUE"""),"N/A (Not found)")</f>
        <v>N/A (Not found)</v>
      </c>
      <c r="V2286" s="33">
        <f>IFERROR(__xludf.DUMMYFUNCTION("""COMPUTED_VALUE"""),1.0)</f>
        <v>1</v>
      </c>
      <c r="W2286" s="4" t="str">
        <f>IFERROR(__xludf.DUMMYFUNCTION("""COMPUTED_VALUE"""),"N/A (Not found)")</f>
        <v>N/A (Not found)</v>
      </c>
      <c r="X2286" s="33">
        <f>IFERROR(__xludf.DUMMYFUNCTION("""COMPUTED_VALUE"""),1.0)</f>
        <v>1</v>
      </c>
    </row>
    <row r="2287">
      <c r="K2287" s="4" t="str">
        <f>IFERROR(__xludf.DUMMYFUNCTION("""COMPUTED_VALUE"""),"DROGARIAS MIRAFARMA - CONTA PAI")</f>
        <v>DROGARIAS MIRAFARMA - CONTA PAI</v>
      </c>
      <c r="L2287" s="32">
        <f>IFERROR(__xludf.DUMMYFUNCTION("""COMPUTED_VALUE"""),4.0)</f>
        <v>4</v>
      </c>
      <c r="M2287" s="4" t="str">
        <f>IFERROR(__xludf.DUMMYFUNCTION("""COMPUTED_VALUE"""),"N/A (Not found)")</f>
        <v>N/A (Not found)</v>
      </c>
      <c r="N2287" s="33">
        <f>IFERROR(__xludf.DUMMYFUNCTION("""COMPUTED_VALUE"""),0.75)</f>
        <v>0.75</v>
      </c>
      <c r="O2287" s="4" t="str">
        <f>IFERROR(__xludf.DUMMYFUNCTION("""COMPUTED_VALUE"""),"N/A (Not found)")</f>
        <v>N/A (Not found)</v>
      </c>
      <c r="P2287" s="33">
        <f>IFERROR(__xludf.DUMMYFUNCTION("""COMPUTED_VALUE"""),1.0)</f>
        <v>1</v>
      </c>
      <c r="Q2287" s="4" t="str">
        <f>IFERROR(__xludf.DUMMYFUNCTION("""COMPUTED_VALUE"""),"N/A (Not found)")</f>
        <v>N/A (Not found)</v>
      </c>
      <c r="R2287" s="33">
        <f>IFERROR(__xludf.DUMMYFUNCTION("""COMPUTED_VALUE"""),0.75)</f>
        <v>0.75</v>
      </c>
      <c r="S2287" s="4" t="str">
        <f>IFERROR(__xludf.DUMMYFUNCTION("""COMPUTED_VALUE"""),"N/A (Not found)")</f>
        <v>N/A (Not found)</v>
      </c>
      <c r="T2287" s="33">
        <f>IFERROR(__xludf.DUMMYFUNCTION("""COMPUTED_VALUE"""),0.75)</f>
        <v>0.75</v>
      </c>
      <c r="U2287" s="4" t="str">
        <f>IFERROR(__xludf.DUMMYFUNCTION("""COMPUTED_VALUE"""),"N/A (Not found)")</f>
        <v>N/A (Not found)</v>
      </c>
      <c r="V2287" s="33">
        <f>IFERROR(__xludf.DUMMYFUNCTION("""COMPUTED_VALUE"""),1.0)</f>
        <v>1</v>
      </c>
      <c r="W2287" s="4" t="str">
        <f>IFERROR(__xludf.DUMMYFUNCTION("""COMPUTED_VALUE"""),"N/A (Not found)")</f>
        <v>N/A (Not found)</v>
      </c>
      <c r="X2287" s="33">
        <f>IFERROR(__xludf.DUMMYFUNCTION("""COMPUTED_VALUE"""),0.75)</f>
        <v>0.75</v>
      </c>
    </row>
    <row r="2288">
      <c r="K2288" s="4" t="str">
        <f>IFERROR(__xludf.DUMMYFUNCTION("""COMPUTED_VALUE"""),"DRUGSTORE POPULAR - CONTA PAI")</f>
        <v>DRUGSTORE POPULAR - CONTA PAI</v>
      </c>
      <c r="L2288" s="32">
        <f>IFERROR(__xludf.DUMMYFUNCTION("""COMPUTED_VALUE"""),4.0)</f>
        <v>4</v>
      </c>
      <c r="M2288" s="4" t="str">
        <f>IFERROR(__xludf.DUMMYFUNCTION("""COMPUTED_VALUE"""),"N/A (Not found)")</f>
        <v>N/A (Not found)</v>
      </c>
      <c r="N2288" s="33">
        <f>IFERROR(__xludf.DUMMYFUNCTION("""COMPUTED_VALUE"""),0.75)</f>
        <v>0.75</v>
      </c>
      <c r="O2288" s="4" t="str">
        <f>IFERROR(__xludf.DUMMYFUNCTION("""COMPUTED_VALUE"""),"N/A (Not found)")</f>
        <v>N/A (Not found)</v>
      </c>
      <c r="P2288" s="33">
        <f>IFERROR(__xludf.DUMMYFUNCTION("""COMPUTED_VALUE"""),0.75)</f>
        <v>0.75</v>
      </c>
      <c r="Q2288" s="4" t="str">
        <f>IFERROR(__xludf.DUMMYFUNCTION("""COMPUTED_VALUE"""),"N/A (Not found)")</f>
        <v>N/A (Not found)</v>
      </c>
      <c r="R2288" s="33">
        <f>IFERROR(__xludf.DUMMYFUNCTION("""COMPUTED_VALUE"""),1.0)</f>
        <v>1</v>
      </c>
      <c r="S2288" s="4" t="str">
        <f>IFERROR(__xludf.DUMMYFUNCTION("""COMPUTED_VALUE"""),"N/A (Not found)")</f>
        <v>N/A (Not found)</v>
      </c>
      <c r="T2288" s="33">
        <f>IFERROR(__xludf.DUMMYFUNCTION("""COMPUTED_VALUE"""),1.0)</f>
        <v>1</v>
      </c>
      <c r="U2288" s="4" t="str">
        <f>IFERROR(__xludf.DUMMYFUNCTION("""COMPUTED_VALUE"""),"N/A (Not found)")</f>
        <v>N/A (Not found)</v>
      </c>
      <c r="V2288" s="33">
        <f>IFERROR(__xludf.DUMMYFUNCTION("""COMPUTED_VALUE"""),1.0)</f>
        <v>1</v>
      </c>
      <c r="W2288" s="4" t="str">
        <f>IFERROR(__xludf.DUMMYFUNCTION("""COMPUTED_VALUE"""),"N/A (Not found)")</f>
        <v>N/A (Not found)</v>
      </c>
      <c r="X2288" s="33">
        <f>IFERROR(__xludf.DUMMYFUNCTION("""COMPUTED_VALUE"""),1.0)</f>
        <v>1</v>
      </c>
    </row>
    <row r="2289">
      <c r="K2289" s="4" t="str">
        <f>IFERROR(__xludf.DUMMYFUNCTION("""COMPUTED_VALUE"""),"EAT KITCHEN")</f>
        <v>EAT KITCHEN</v>
      </c>
      <c r="L2289" s="32">
        <f>IFERROR(__xludf.DUMMYFUNCTION("""COMPUTED_VALUE"""),4.0)</f>
        <v>4</v>
      </c>
      <c r="M2289" s="4" t="str">
        <f>IFERROR(__xludf.DUMMYFUNCTION("""COMPUTED_VALUE"""),"Bitbar")</f>
        <v>Bitbar</v>
      </c>
      <c r="N2289" s="33">
        <f>IFERROR(__xludf.DUMMYFUNCTION("""COMPUTED_VALUE"""),0.75)</f>
        <v>0.75</v>
      </c>
      <c r="O2289" s="4" t="str">
        <f>IFERROR(__xludf.DUMMYFUNCTION("""COMPUTED_VALUE"""),"Bitbar")</f>
        <v>Bitbar</v>
      </c>
      <c r="P2289" s="33">
        <f>IFERROR(__xludf.DUMMYFUNCTION("""COMPUTED_VALUE"""),0.5)</f>
        <v>0.5</v>
      </c>
      <c r="Q2289" s="4" t="str">
        <f>IFERROR(__xludf.DUMMYFUNCTION("""COMPUTED_VALUE"""),"null")</f>
        <v>null</v>
      </c>
      <c r="R2289" s="33">
        <f>IFERROR(__xludf.DUMMYFUNCTION("""COMPUTED_VALUE"""),0.5)</f>
        <v>0.5</v>
      </c>
      <c r="S2289" s="4" t="str">
        <f>IFERROR(__xludf.DUMMYFUNCTION("""COMPUTED_VALUE"""),"Totvs Large Enterprise Tecnologia S.a.")</f>
        <v>Totvs Large Enterprise Tecnologia S.a.</v>
      </c>
      <c r="T2289" s="33">
        <f>IFERROR(__xludf.DUMMYFUNCTION("""COMPUTED_VALUE"""),0.75)</f>
        <v>0.75</v>
      </c>
      <c r="U2289" s="4" t="str">
        <f>IFERROR(__xludf.DUMMYFUNCTION("""COMPUTED_VALUE"""),"Totvs Large Enterprise Tecnologia S.a.")</f>
        <v>Totvs Large Enterprise Tecnologia S.a.</v>
      </c>
      <c r="V2289" s="33">
        <f>IFERROR(__xludf.DUMMYFUNCTION("""COMPUTED_VALUE"""),0.75)</f>
        <v>0.75</v>
      </c>
      <c r="W2289" s="4" t="str">
        <f>IFERROR(__xludf.DUMMYFUNCTION("""COMPUTED_VALUE"""),"null")</f>
        <v>null</v>
      </c>
      <c r="X2289" s="33">
        <f>IFERROR(__xludf.DUMMYFUNCTION("""COMPUTED_VALUE"""),0.75)</f>
        <v>0.75</v>
      </c>
    </row>
    <row r="2290">
      <c r="K2290" s="4" t="str">
        <f>IFERROR(__xludf.DUMMYFUNCTION("""COMPUTED_VALUE"""),"EL MATADOR COZINHA MEXICANA")</f>
        <v>EL MATADOR COZINHA MEXICANA</v>
      </c>
      <c r="L2290" s="32">
        <f>IFERROR(__xludf.DUMMYFUNCTION("""COMPUTED_VALUE"""),4.0)</f>
        <v>4</v>
      </c>
      <c r="M2290" s="4" t="str">
        <f>IFERROR(__xludf.DUMMYFUNCTION("""COMPUTED_VALUE"""),"Opdv")</f>
        <v>Opdv</v>
      </c>
      <c r="N2290" s="33">
        <f>IFERROR(__xludf.DUMMYFUNCTION("""COMPUTED_VALUE"""),1.0)</f>
        <v>1</v>
      </c>
      <c r="O2290" s="4" t="str">
        <f>IFERROR(__xludf.DUMMYFUNCTION("""COMPUTED_VALUE"""),"Opdv")</f>
        <v>Opdv</v>
      </c>
      <c r="P2290" s="33">
        <f>IFERROR(__xludf.DUMMYFUNCTION("""COMPUTED_VALUE"""),1.0)</f>
        <v>1</v>
      </c>
      <c r="Q2290" s="4" t="str">
        <f>IFERROR(__xludf.DUMMYFUNCTION("""COMPUTED_VALUE"""),"Opdv")</f>
        <v>Opdv</v>
      </c>
      <c r="R2290" s="33">
        <f>IFERROR(__xludf.DUMMYFUNCTION("""COMPUTED_VALUE"""),1.0)</f>
        <v>1</v>
      </c>
      <c r="S2290" s="4" t="str">
        <f>IFERROR(__xludf.DUMMYFUNCTION("""COMPUTED_VALUE"""),"Opdv")</f>
        <v>Opdv</v>
      </c>
      <c r="T2290" s="33">
        <f>IFERROR(__xludf.DUMMYFUNCTION("""COMPUTED_VALUE"""),1.0)</f>
        <v>1</v>
      </c>
      <c r="U2290" s="4" t="str">
        <f>IFERROR(__xludf.DUMMYFUNCTION("""COMPUTED_VALUE"""),"Opdv")</f>
        <v>Opdv</v>
      </c>
      <c r="V2290" s="33">
        <f>IFERROR(__xludf.DUMMYFUNCTION("""COMPUTED_VALUE"""),1.0)</f>
        <v>1</v>
      </c>
      <c r="W2290" s="4" t="str">
        <f>IFERROR(__xludf.DUMMYFUNCTION("""COMPUTED_VALUE"""),"Opdv")</f>
        <v>Opdv</v>
      </c>
      <c r="X2290" s="33">
        <f>IFERROR(__xludf.DUMMYFUNCTION("""COMPUTED_VALUE"""),1.0)</f>
        <v>1</v>
      </c>
    </row>
    <row r="2291">
      <c r="K2291" s="4" t="str">
        <f>IFERROR(__xludf.DUMMYFUNCTION("""COMPUTED_VALUE"""),"EMPORIO JARDIM")</f>
        <v>EMPORIO JARDIM</v>
      </c>
      <c r="L2291" s="32">
        <f>IFERROR(__xludf.DUMMYFUNCTION("""COMPUTED_VALUE"""),4.0)</f>
        <v>4</v>
      </c>
      <c r="M2291" s="4" t="str">
        <f>IFERROR(__xludf.DUMMYFUNCTION("""COMPUTED_VALUE"""),"F-rest Sistema Para Food Service Ltda")</f>
        <v>F-rest Sistema Para Food Service Ltda</v>
      </c>
      <c r="N2291" s="33">
        <f>IFERROR(__xludf.DUMMYFUNCTION("""COMPUTED_VALUE"""),0.75)</f>
        <v>0.75</v>
      </c>
      <c r="O2291" s="4" t="str">
        <f>IFERROR(__xludf.DUMMYFUNCTION("""COMPUTED_VALUE"""),"F-rest Sistema Para Food Service Ltda")</f>
        <v>F-rest Sistema Para Food Service Ltda</v>
      </c>
      <c r="P2291" s="33">
        <f>IFERROR(__xludf.DUMMYFUNCTION("""COMPUTED_VALUE"""),0.75)</f>
        <v>0.75</v>
      </c>
      <c r="Q2291" s="4" t="str">
        <f>IFERROR(__xludf.DUMMYFUNCTION("""COMPUTED_VALUE"""),"F-rest Sistema Para Food Service Ltda")</f>
        <v>F-rest Sistema Para Food Service Ltda</v>
      </c>
      <c r="R2291" s="33">
        <f>IFERROR(__xludf.DUMMYFUNCTION("""COMPUTED_VALUE"""),0.75)</f>
        <v>0.75</v>
      </c>
      <c r="S2291" s="4" t="str">
        <f>IFERROR(__xludf.DUMMYFUNCTION("""COMPUTED_VALUE"""),"F-rest Sistema Para Food Service Ltda")</f>
        <v>F-rest Sistema Para Food Service Ltda</v>
      </c>
      <c r="T2291" s="33">
        <f>IFERROR(__xludf.DUMMYFUNCTION("""COMPUTED_VALUE"""),0.75)</f>
        <v>0.75</v>
      </c>
      <c r="U2291" s="4" t="str">
        <f>IFERROR(__xludf.DUMMYFUNCTION("""COMPUTED_VALUE"""),"F-rest Sistema Para Food Service Ltda")</f>
        <v>F-rest Sistema Para Food Service Ltda</v>
      </c>
      <c r="V2291" s="33">
        <f>IFERROR(__xludf.DUMMYFUNCTION("""COMPUTED_VALUE"""),0.75)</f>
        <v>0.75</v>
      </c>
      <c r="W2291" s="4" t="str">
        <f>IFERROR(__xludf.DUMMYFUNCTION("""COMPUTED_VALUE"""),"F-rest Sistema Para Food Service Ltda")</f>
        <v>F-rest Sistema Para Food Service Ltda</v>
      </c>
      <c r="X2291" s="33">
        <f>IFERROR(__xludf.DUMMYFUNCTION("""COMPUTED_VALUE"""),1.0)</f>
        <v>1</v>
      </c>
    </row>
    <row r="2292">
      <c r="K2292" s="4" t="str">
        <f>IFERROR(__xludf.DUMMYFUNCTION("""COMPUTED_VALUE"""),"ESPECIES PET - MARCA")</f>
        <v>ESPECIES PET - MARCA</v>
      </c>
      <c r="L2292" s="32">
        <f>IFERROR(__xludf.DUMMYFUNCTION("""COMPUTED_VALUE"""),4.0)</f>
        <v>4</v>
      </c>
      <c r="M2292" s="4" t="str">
        <f>IFERROR(__xludf.DUMMYFUNCTION("""COMPUTED_VALUE"""),"N/A (Not found)")</f>
        <v>N/A (Not found)</v>
      </c>
      <c r="N2292" s="33">
        <f>IFERROR(__xludf.DUMMYFUNCTION("""COMPUTED_VALUE"""),0.75)</f>
        <v>0.75</v>
      </c>
      <c r="O2292" s="4" t="str">
        <f>IFERROR(__xludf.DUMMYFUNCTION("""COMPUTED_VALUE"""),"N/A (Not found)")</f>
        <v>N/A (Not found)</v>
      </c>
      <c r="P2292" s="33">
        <f>IFERROR(__xludf.DUMMYFUNCTION("""COMPUTED_VALUE"""),0.75)</f>
        <v>0.75</v>
      </c>
      <c r="Q2292" s="4" t="str">
        <f>IFERROR(__xludf.DUMMYFUNCTION("""COMPUTED_VALUE"""),"N/A (Not found)")</f>
        <v>N/A (Not found)</v>
      </c>
      <c r="R2292" s="33">
        <f>IFERROR(__xludf.DUMMYFUNCTION("""COMPUTED_VALUE"""),0.75)</f>
        <v>0.75</v>
      </c>
      <c r="S2292" s="4" t="str">
        <f>IFERROR(__xludf.DUMMYFUNCTION("""COMPUTED_VALUE"""),"N/A (Not found)")</f>
        <v>N/A (Not found)</v>
      </c>
      <c r="T2292" s="33">
        <f>IFERROR(__xludf.DUMMYFUNCTION("""COMPUTED_VALUE"""),1.0)</f>
        <v>1</v>
      </c>
      <c r="U2292" s="4" t="str">
        <f>IFERROR(__xludf.DUMMYFUNCTION("""COMPUTED_VALUE"""),"N/A (Not found)")</f>
        <v>N/A (Not found)</v>
      </c>
      <c r="V2292" s="33">
        <f>IFERROR(__xludf.DUMMYFUNCTION("""COMPUTED_VALUE"""),1.0)</f>
        <v>1</v>
      </c>
      <c r="W2292" s="4" t="str">
        <f>IFERROR(__xludf.DUMMYFUNCTION("""COMPUTED_VALUE"""),"N/A (Not found)")</f>
        <v>N/A (Not found)</v>
      </c>
      <c r="X2292" s="33">
        <f>IFERROR(__xludf.DUMMYFUNCTION("""COMPUTED_VALUE"""),1.0)</f>
        <v>1</v>
      </c>
    </row>
    <row r="2293">
      <c r="K2293" s="4" t="str">
        <f>IFERROR(__xludf.DUMMYFUNCTION("""COMPUTED_VALUE"""),"ESPETINHOS BANANA SPLIT")</f>
        <v>ESPETINHOS BANANA SPLIT</v>
      </c>
      <c r="L2293" s="32">
        <f>IFERROR(__xludf.DUMMYFUNCTION("""COMPUTED_VALUE"""),4.0)</f>
        <v>4</v>
      </c>
      <c r="M2293" s="4" t="str">
        <f>IFERROR(__xludf.DUMMYFUNCTION("""COMPUTED_VALUE"""),"Cardápio Web")</f>
        <v>Cardápio Web</v>
      </c>
      <c r="N2293" s="33">
        <f>IFERROR(__xludf.DUMMYFUNCTION("""COMPUTED_VALUE"""),1.0)</f>
        <v>1</v>
      </c>
      <c r="O2293" s="4" t="str">
        <f>IFERROR(__xludf.DUMMYFUNCTION("""COMPUTED_VALUE"""),"Cardápio Web")</f>
        <v>Cardápio Web</v>
      </c>
      <c r="P2293" s="33">
        <f>IFERROR(__xludf.DUMMYFUNCTION("""COMPUTED_VALUE"""),1.0)</f>
        <v>1</v>
      </c>
      <c r="Q2293" s="4" t="str">
        <f>IFERROR(__xludf.DUMMYFUNCTION("""COMPUTED_VALUE"""),"Cardápio Web")</f>
        <v>Cardápio Web</v>
      </c>
      <c r="R2293" s="33">
        <f>IFERROR(__xludf.DUMMYFUNCTION("""COMPUTED_VALUE"""),1.0)</f>
        <v>1</v>
      </c>
      <c r="S2293" s="4" t="str">
        <f>IFERROR(__xludf.DUMMYFUNCTION("""COMPUTED_VALUE"""),"Cardápio Web")</f>
        <v>Cardápio Web</v>
      </c>
      <c r="T2293" s="33">
        <f>IFERROR(__xludf.DUMMYFUNCTION("""COMPUTED_VALUE"""),1.0)</f>
        <v>1</v>
      </c>
      <c r="U2293" s="4" t="str">
        <f>IFERROR(__xludf.DUMMYFUNCTION("""COMPUTED_VALUE"""),"Cardápio Web")</f>
        <v>Cardápio Web</v>
      </c>
      <c r="V2293" s="33">
        <f>IFERROR(__xludf.DUMMYFUNCTION("""COMPUTED_VALUE"""),1.0)</f>
        <v>1</v>
      </c>
      <c r="W2293" s="4" t="str">
        <f>IFERROR(__xludf.DUMMYFUNCTION("""COMPUTED_VALUE"""),"Cardápio Web")</f>
        <v>Cardápio Web</v>
      </c>
      <c r="X2293" s="33">
        <f>IFERROR(__xludf.DUMMYFUNCTION("""COMPUTED_VALUE"""),1.0)</f>
        <v>1</v>
      </c>
    </row>
    <row r="2294">
      <c r="K2294" s="4" t="str">
        <f>IFERROR(__xludf.DUMMYFUNCTION("""COMPUTED_VALUE"""),"FALAFULL")</f>
        <v>FALAFULL</v>
      </c>
      <c r="L2294" s="32">
        <f>IFERROR(__xludf.DUMMYFUNCTION("""COMPUTED_VALUE"""),4.0)</f>
        <v>4</v>
      </c>
      <c r="M2294" s="4" t="str">
        <f>IFERROR(__xludf.DUMMYFUNCTION("""COMPUTED_VALUE"""),"Takeat Tecnologia")</f>
        <v>Takeat Tecnologia</v>
      </c>
      <c r="N2294" s="33">
        <f>IFERROR(__xludf.DUMMYFUNCTION("""COMPUTED_VALUE"""),0.5)</f>
        <v>0.5</v>
      </c>
      <c r="O2294" s="4" t="str">
        <f>IFERROR(__xludf.DUMMYFUNCTION("""COMPUTED_VALUE"""),"null")</f>
        <v>null</v>
      </c>
      <c r="P2294" s="33">
        <f>IFERROR(__xludf.DUMMYFUNCTION("""COMPUTED_VALUE"""),0.5)</f>
        <v>0.5</v>
      </c>
      <c r="Q2294" s="4" t="str">
        <f>IFERROR(__xludf.DUMMYFUNCTION("""COMPUTED_VALUE"""),"null")</f>
        <v>null</v>
      </c>
      <c r="R2294" s="33">
        <f>IFERROR(__xludf.DUMMYFUNCTION("""COMPUTED_VALUE"""),0.5)</f>
        <v>0.5</v>
      </c>
      <c r="S2294" s="4" t="str">
        <f>IFERROR(__xludf.DUMMYFUNCTION("""COMPUTED_VALUE"""),"null")</f>
        <v>null</v>
      </c>
      <c r="T2294" s="33">
        <f>IFERROR(__xludf.DUMMYFUNCTION("""COMPUTED_VALUE"""),0.5)</f>
        <v>0.5</v>
      </c>
      <c r="U2294" s="4" t="str">
        <f>IFERROR(__xludf.DUMMYFUNCTION("""COMPUTED_VALUE"""),"null")</f>
        <v>null</v>
      </c>
      <c r="V2294" s="33">
        <f>IFERROR(__xludf.DUMMYFUNCTION("""COMPUTED_VALUE"""),0.5)</f>
        <v>0.5</v>
      </c>
      <c r="W2294" s="4" t="str">
        <f>IFERROR(__xludf.DUMMYFUNCTION("""COMPUTED_VALUE"""),"null")</f>
        <v>null</v>
      </c>
      <c r="X2294" s="33">
        <f>IFERROR(__xludf.DUMMYFUNCTION("""COMPUTED_VALUE"""),0.5)</f>
        <v>0.5</v>
      </c>
    </row>
    <row r="2295">
      <c r="K2295" s="4" t="str">
        <f>IFERROR(__xludf.DUMMYFUNCTION("""COMPUTED_VALUE"""),"FARM - RIO CONTA PAI VITORIA")</f>
        <v>FARM - RIO CONTA PAI VITORIA</v>
      </c>
      <c r="L2295" s="32">
        <f>IFERROR(__xludf.DUMMYFUNCTION("""COMPUTED_VALUE"""),4.0)</f>
        <v>4</v>
      </c>
      <c r="M2295" s="4" t="str">
        <f>IFERROR(__xludf.DUMMYFUNCTION("""COMPUTED_VALUE"""),"null")</f>
        <v>null</v>
      </c>
      <c r="N2295" s="33">
        <f>IFERROR(__xludf.DUMMYFUNCTION("""COMPUTED_VALUE"""),0.75)</f>
        <v>0.75</v>
      </c>
      <c r="O2295" s="4" t="str">
        <f>IFERROR(__xludf.DUMMYFUNCTION("""COMPUTED_VALUE"""),"null")</f>
        <v>null</v>
      </c>
      <c r="P2295" s="33">
        <f>IFERROR(__xludf.DUMMYFUNCTION("""COMPUTED_VALUE"""),0.5)</f>
        <v>0.5</v>
      </c>
      <c r="Q2295" s="4" t="str">
        <f>IFERROR(__xludf.DUMMYFUNCTION("""COMPUTED_VALUE"""),"null")</f>
        <v>null</v>
      </c>
      <c r="R2295" s="33">
        <f>IFERROR(__xludf.DUMMYFUNCTION("""COMPUTED_VALUE"""),0.5)</f>
        <v>0.5</v>
      </c>
      <c r="S2295" s="4" t="str">
        <f>IFERROR(__xludf.DUMMYFUNCTION("""COMPUTED_VALUE"""),"null")</f>
        <v>null</v>
      </c>
      <c r="T2295" s="33">
        <f>IFERROR(__xludf.DUMMYFUNCTION("""COMPUTED_VALUE"""),0.5)</f>
        <v>0.5</v>
      </c>
      <c r="U2295" s="4" t="str">
        <f>IFERROR(__xludf.DUMMYFUNCTION("""COMPUTED_VALUE"""),"N/A (Not found)")</f>
        <v>N/A (Not found)</v>
      </c>
      <c r="V2295" s="33">
        <f>IFERROR(__xludf.DUMMYFUNCTION("""COMPUTED_VALUE"""),1.0)</f>
        <v>1</v>
      </c>
      <c r="W2295" s="4" t="str">
        <f>IFERROR(__xludf.DUMMYFUNCTION("""COMPUTED_VALUE"""),"null")</f>
        <v>null</v>
      </c>
      <c r="X2295" s="33">
        <f>IFERROR(__xludf.DUMMYFUNCTION("""COMPUTED_VALUE"""),0.75)</f>
        <v>0.75</v>
      </c>
    </row>
    <row r="2296">
      <c r="K2296" s="4" t="str">
        <f>IFERROR(__xludf.DUMMYFUNCTION("""COMPUTED_VALUE"""),"FARMA UCHOAS - CONTA PAI")</f>
        <v>FARMA UCHOAS - CONTA PAI</v>
      </c>
      <c r="L2296" s="32">
        <f>IFERROR(__xludf.DUMMYFUNCTION("""COMPUTED_VALUE"""),4.0)</f>
        <v>4</v>
      </c>
      <c r="M2296" s="4" t="str">
        <f>IFERROR(__xludf.DUMMYFUNCTION("""COMPUTED_VALUE"""),"N/A (Not found)")</f>
        <v>N/A (Not found)</v>
      </c>
      <c r="N2296" s="33">
        <f>IFERROR(__xludf.DUMMYFUNCTION("""COMPUTED_VALUE"""),1.0)</f>
        <v>1</v>
      </c>
      <c r="O2296" s="4" t="str">
        <f>IFERROR(__xludf.DUMMYFUNCTION("""COMPUTED_VALUE"""),"N/A (Not found)")</f>
        <v>N/A (Not found)</v>
      </c>
      <c r="P2296" s="33">
        <f>IFERROR(__xludf.DUMMYFUNCTION("""COMPUTED_VALUE"""),1.0)</f>
        <v>1</v>
      </c>
      <c r="Q2296" s="4" t="str">
        <f>IFERROR(__xludf.DUMMYFUNCTION("""COMPUTED_VALUE"""),"N/A (Not found)")</f>
        <v>N/A (Not found)</v>
      </c>
      <c r="R2296" s="33">
        <f>IFERROR(__xludf.DUMMYFUNCTION("""COMPUTED_VALUE"""),1.0)</f>
        <v>1</v>
      </c>
      <c r="S2296" s="4" t="str">
        <f>IFERROR(__xludf.DUMMYFUNCTION("""COMPUTED_VALUE"""),"N/A (Not found)")</f>
        <v>N/A (Not found)</v>
      </c>
      <c r="T2296" s="33">
        <f>IFERROR(__xludf.DUMMYFUNCTION("""COMPUTED_VALUE"""),1.0)</f>
        <v>1</v>
      </c>
      <c r="U2296" s="4" t="str">
        <f>IFERROR(__xludf.DUMMYFUNCTION("""COMPUTED_VALUE"""),"N/A (Not found)")</f>
        <v>N/A (Not found)</v>
      </c>
      <c r="V2296" s="33">
        <f>IFERROR(__xludf.DUMMYFUNCTION("""COMPUTED_VALUE"""),1.0)</f>
        <v>1</v>
      </c>
      <c r="W2296" s="4" t="str">
        <f>IFERROR(__xludf.DUMMYFUNCTION("""COMPUTED_VALUE"""),"N/A (Not found)")</f>
        <v>N/A (Not found)</v>
      </c>
      <c r="X2296" s="33">
        <f>IFERROR(__xludf.DUMMYFUNCTION("""COMPUTED_VALUE"""),1.0)</f>
        <v>1</v>
      </c>
    </row>
    <row r="2297">
      <c r="K2297" s="4" t="str">
        <f>IFERROR(__xludf.DUMMYFUNCTION("""COMPUTED_VALUE"""),"FARMACIA SOUZA - CONTA PAI")</f>
        <v>FARMACIA SOUZA - CONTA PAI</v>
      </c>
      <c r="L2297" s="32">
        <f>IFERROR(__xludf.DUMMYFUNCTION("""COMPUTED_VALUE"""),4.0)</f>
        <v>4</v>
      </c>
      <c r="M2297" s="4" t="str">
        <f>IFERROR(__xludf.DUMMYFUNCTION("""COMPUTED_VALUE"""),"N/A (Not found)")</f>
        <v>N/A (Not found)</v>
      </c>
      <c r="N2297" s="33">
        <f>IFERROR(__xludf.DUMMYFUNCTION("""COMPUTED_VALUE"""),1.0)</f>
        <v>1</v>
      </c>
      <c r="O2297" s="4" t="str">
        <f>IFERROR(__xludf.DUMMYFUNCTION("""COMPUTED_VALUE"""),"N/A (Not found)")</f>
        <v>N/A (Not found)</v>
      </c>
      <c r="P2297" s="33">
        <f>IFERROR(__xludf.DUMMYFUNCTION("""COMPUTED_VALUE"""),1.0)</f>
        <v>1</v>
      </c>
      <c r="Q2297" s="4" t="str">
        <f>IFERROR(__xludf.DUMMYFUNCTION("""COMPUTED_VALUE"""),"N/A (Not found)")</f>
        <v>N/A (Not found)</v>
      </c>
      <c r="R2297" s="33">
        <f>IFERROR(__xludf.DUMMYFUNCTION("""COMPUTED_VALUE"""),1.0)</f>
        <v>1</v>
      </c>
      <c r="S2297" s="4" t="str">
        <f>IFERROR(__xludf.DUMMYFUNCTION("""COMPUTED_VALUE"""),"N/A (Not found)")</f>
        <v>N/A (Not found)</v>
      </c>
      <c r="T2297" s="33">
        <f>IFERROR(__xludf.DUMMYFUNCTION("""COMPUTED_VALUE"""),1.0)</f>
        <v>1</v>
      </c>
      <c r="U2297" s="4" t="str">
        <f>IFERROR(__xludf.DUMMYFUNCTION("""COMPUTED_VALUE"""),"N/A (Not found)")</f>
        <v>N/A (Not found)</v>
      </c>
      <c r="V2297" s="33">
        <f>IFERROR(__xludf.DUMMYFUNCTION("""COMPUTED_VALUE"""),1.0)</f>
        <v>1</v>
      </c>
      <c r="W2297" s="4" t="str">
        <f>IFERROR(__xludf.DUMMYFUNCTION("""COMPUTED_VALUE"""),"N/A (Not found)")</f>
        <v>N/A (Not found)</v>
      </c>
      <c r="X2297" s="33">
        <f>IFERROR(__xludf.DUMMYFUNCTION("""COMPUTED_VALUE"""),1.0)</f>
        <v>1</v>
      </c>
    </row>
    <row r="2298">
      <c r="K2298" s="4" t="str">
        <f>IFERROR(__xludf.DUMMYFUNCTION("""COMPUTED_VALUE"""),"FARMACIA SUPER POPULAR - VIAMAO - CONTA MARCA")</f>
        <v>FARMACIA SUPER POPULAR - VIAMAO - CONTA MARCA</v>
      </c>
      <c r="L2298" s="32">
        <f>IFERROR(__xludf.DUMMYFUNCTION("""COMPUTED_VALUE"""),4.0)</f>
        <v>4</v>
      </c>
      <c r="M2298" s="4" t="str">
        <f>IFERROR(__xludf.DUMMYFUNCTION("""COMPUTED_VALUE"""),"N/A (Not found)")</f>
        <v>N/A (Not found)</v>
      </c>
      <c r="N2298" s="33">
        <f>IFERROR(__xludf.DUMMYFUNCTION("""COMPUTED_VALUE"""),1.0)</f>
        <v>1</v>
      </c>
      <c r="O2298" s="4" t="str">
        <f>IFERROR(__xludf.DUMMYFUNCTION("""COMPUTED_VALUE"""),"N/A (Not found)")</f>
        <v>N/A (Not found)</v>
      </c>
      <c r="P2298" s="33">
        <f>IFERROR(__xludf.DUMMYFUNCTION("""COMPUTED_VALUE"""),1.0)</f>
        <v>1</v>
      </c>
      <c r="Q2298" s="4" t="str">
        <f>IFERROR(__xludf.DUMMYFUNCTION("""COMPUTED_VALUE"""),"N/A (Not found)")</f>
        <v>N/A (Not found)</v>
      </c>
      <c r="R2298" s="33">
        <f>IFERROR(__xludf.DUMMYFUNCTION("""COMPUTED_VALUE"""),1.0)</f>
        <v>1</v>
      </c>
      <c r="S2298" s="4" t="str">
        <f>IFERROR(__xludf.DUMMYFUNCTION("""COMPUTED_VALUE"""),"N/A (Not found)")</f>
        <v>N/A (Not found)</v>
      </c>
      <c r="T2298" s="33">
        <f>IFERROR(__xludf.DUMMYFUNCTION("""COMPUTED_VALUE"""),1.0)</f>
        <v>1</v>
      </c>
      <c r="U2298" s="4" t="str">
        <f>IFERROR(__xludf.DUMMYFUNCTION("""COMPUTED_VALUE"""),"N/A (Not found)")</f>
        <v>N/A (Not found)</v>
      </c>
      <c r="V2298" s="33">
        <f>IFERROR(__xludf.DUMMYFUNCTION("""COMPUTED_VALUE"""),1.0)</f>
        <v>1</v>
      </c>
      <c r="W2298" s="4" t="str">
        <f>IFERROR(__xludf.DUMMYFUNCTION("""COMPUTED_VALUE"""),"N/A (Not found)")</f>
        <v>N/A (Not found)</v>
      </c>
      <c r="X2298" s="33">
        <f>IFERROR(__xludf.DUMMYFUNCTION("""COMPUTED_VALUE"""),1.0)</f>
        <v>1</v>
      </c>
    </row>
    <row r="2299">
      <c r="K2299" s="4" t="str">
        <f>IFERROR(__xludf.DUMMYFUNCTION("""COMPUTED_VALUE"""),"FARMACIAS ASSOCIADAS - CONTA PAI")</f>
        <v>FARMACIAS ASSOCIADAS - CONTA PAI</v>
      </c>
      <c r="L2299" s="32">
        <f>IFERROR(__xludf.DUMMYFUNCTION("""COMPUTED_VALUE"""),4.0)</f>
        <v>4</v>
      </c>
      <c r="M2299" s="4" t="str">
        <f>IFERROR(__xludf.DUMMYFUNCTION("""COMPUTED_VALUE"""),"N/A (Not found)")</f>
        <v>N/A (Not found)</v>
      </c>
      <c r="N2299" s="33">
        <f>IFERROR(__xludf.DUMMYFUNCTION("""COMPUTED_VALUE"""),1.0)</f>
        <v>1</v>
      </c>
      <c r="O2299" s="4" t="str">
        <f>IFERROR(__xludf.DUMMYFUNCTION("""COMPUTED_VALUE"""),"N/A (Not found)")</f>
        <v>N/A (Not found)</v>
      </c>
      <c r="P2299" s="33">
        <f>IFERROR(__xludf.DUMMYFUNCTION("""COMPUTED_VALUE"""),0.75)</f>
        <v>0.75</v>
      </c>
      <c r="Q2299" s="4" t="str">
        <f>IFERROR(__xludf.DUMMYFUNCTION("""COMPUTED_VALUE"""),"N/A (Not found)")</f>
        <v>N/A (Not found)</v>
      </c>
      <c r="R2299" s="33">
        <f>IFERROR(__xludf.DUMMYFUNCTION("""COMPUTED_VALUE"""),0.75)</f>
        <v>0.75</v>
      </c>
      <c r="S2299" s="4" t="str">
        <f>IFERROR(__xludf.DUMMYFUNCTION("""COMPUTED_VALUE"""),"N/A (Not found)")</f>
        <v>N/A (Not found)</v>
      </c>
      <c r="T2299" s="33">
        <f>IFERROR(__xludf.DUMMYFUNCTION("""COMPUTED_VALUE"""),0.75)</f>
        <v>0.75</v>
      </c>
      <c r="U2299" s="4" t="str">
        <f>IFERROR(__xludf.DUMMYFUNCTION("""COMPUTED_VALUE"""),"N/A (Not found)")</f>
        <v>N/A (Not found)</v>
      </c>
      <c r="V2299" s="33">
        <f>IFERROR(__xludf.DUMMYFUNCTION("""COMPUTED_VALUE"""),0.75)</f>
        <v>0.75</v>
      </c>
      <c r="W2299" s="4" t="str">
        <f>IFERROR(__xludf.DUMMYFUNCTION("""COMPUTED_VALUE"""),"N/A (Not found)")</f>
        <v>N/A (Not found)</v>
      </c>
      <c r="X2299" s="33">
        <f>IFERROR(__xludf.DUMMYFUNCTION("""COMPUTED_VALUE"""),0.75)</f>
        <v>0.75</v>
      </c>
    </row>
    <row r="2300">
      <c r="K2300" s="4" t="str">
        <f>IFERROR(__xludf.DUMMYFUNCTION("""COMPUTED_VALUE"""),"FARMAIS MATRIZ - CONTA PAI")</f>
        <v>FARMAIS MATRIZ - CONTA PAI</v>
      </c>
      <c r="L2300" s="32">
        <f>IFERROR(__xludf.DUMMYFUNCTION("""COMPUTED_VALUE"""),4.0)</f>
        <v>4</v>
      </c>
      <c r="M2300" s="4" t="str">
        <f>IFERROR(__xludf.DUMMYFUNCTION("""COMPUTED_VALUE"""),"N/A (Not found)")</f>
        <v>N/A (Not found)</v>
      </c>
      <c r="N2300" s="33">
        <f>IFERROR(__xludf.DUMMYFUNCTION("""COMPUTED_VALUE"""),1.0)</f>
        <v>1</v>
      </c>
      <c r="O2300" s="4" t="str">
        <f>IFERROR(__xludf.DUMMYFUNCTION("""COMPUTED_VALUE"""),"N/A (Not found)")</f>
        <v>N/A (Not found)</v>
      </c>
      <c r="P2300" s="33">
        <f>IFERROR(__xludf.DUMMYFUNCTION("""COMPUTED_VALUE"""),1.0)</f>
        <v>1</v>
      </c>
      <c r="Q2300" s="4" t="str">
        <f>IFERROR(__xludf.DUMMYFUNCTION("""COMPUTED_VALUE"""),"N/A (Not found)")</f>
        <v>N/A (Not found)</v>
      </c>
      <c r="R2300" s="33">
        <f>IFERROR(__xludf.DUMMYFUNCTION("""COMPUTED_VALUE"""),1.0)</f>
        <v>1</v>
      </c>
      <c r="S2300" s="4" t="str">
        <f>IFERROR(__xludf.DUMMYFUNCTION("""COMPUTED_VALUE"""),"N/A (Not found)")</f>
        <v>N/A (Not found)</v>
      </c>
      <c r="T2300" s="33">
        <f>IFERROR(__xludf.DUMMYFUNCTION("""COMPUTED_VALUE"""),1.0)</f>
        <v>1</v>
      </c>
      <c r="U2300" s="4" t="str">
        <f>IFERROR(__xludf.DUMMYFUNCTION("""COMPUTED_VALUE"""),"N/A (Not found)")</f>
        <v>N/A (Not found)</v>
      </c>
      <c r="V2300" s="33">
        <f>IFERROR(__xludf.DUMMYFUNCTION("""COMPUTED_VALUE"""),1.0)</f>
        <v>1</v>
      </c>
      <c r="W2300" s="4" t="str">
        <f>IFERROR(__xludf.DUMMYFUNCTION("""COMPUTED_VALUE"""),"N/A (Not found)")</f>
        <v>N/A (Not found)</v>
      </c>
      <c r="X2300" s="33">
        <f>IFERROR(__xludf.DUMMYFUNCTION("""COMPUTED_VALUE"""),1.0)</f>
        <v>1</v>
      </c>
    </row>
    <row r="2301">
      <c r="K2301" s="4" t="str">
        <f>IFERROR(__xludf.DUMMYFUNCTION("""COMPUTED_VALUE"""),"FARROUPILHA")</f>
        <v>FARROUPILHA</v>
      </c>
      <c r="L2301" s="32">
        <f>IFERROR(__xludf.DUMMYFUNCTION("""COMPUTED_VALUE"""),4.0)</f>
        <v>4</v>
      </c>
      <c r="M2301" s="4" t="str">
        <f>IFERROR(__xludf.DUMMYFUNCTION("""COMPUTED_VALUE"""),"Saipos Serviços De Software")</f>
        <v>Saipos Serviços De Software</v>
      </c>
      <c r="N2301" s="33">
        <f>IFERROR(__xludf.DUMMYFUNCTION("""COMPUTED_VALUE"""),1.0)</f>
        <v>1</v>
      </c>
      <c r="O2301" s="4" t="str">
        <f>IFERROR(__xludf.DUMMYFUNCTION("""COMPUTED_VALUE"""),"Saipos Serviços De Software")</f>
        <v>Saipos Serviços De Software</v>
      </c>
      <c r="P2301" s="33">
        <f>IFERROR(__xludf.DUMMYFUNCTION("""COMPUTED_VALUE"""),1.0)</f>
        <v>1</v>
      </c>
      <c r="Q2301" s="4" t="str">
        <f>IFERROR(__xludf.DUMMYFUNCTION("""COMPUTED_VALUE"""),"Saipos Serviços De Software")</f>
        <v>Saipos Serviços De Software</v>
      </c>
      <c r="R2301" s="33">
        <f>IFERROR(__xludf.DUMMYFUNCTION("""COMPUTED_VALUE"""),1.0)</f>
        <v>1</v>
      </c>
      <c r="S2301" s="4" t="str">
        <f>IFERROR(__xludf.DUMMYFUNCTION("""COMPUTED_VALUE"""),"Saipos Serviços De Software")</f>
        <v>Saipos Serviços De Software</v>
      </c>
      <c r="T2301" s="33">
        <f>IFERROR(__xludf.DUMMYFUNCTION("""COMPUTED_VALUE"""),1.0)</f>
        <v>1</v>
      </c>
      <c r="U2301" s="4" t="str">
        <f>IFERROR(__xludf.DUMMYFUNCTION("""COMPUTED_VALUE"""),"Saipos Serviços De Software")</f>
        <v>Saipos Serviços De Software</v>
      </c>
      <c r="V2301" s="33">
        <f>IFERROR(__xludf.DUMMYFUNCTION("""COMPUTED_VALUE"""),1.0)</f>
        <v>1</v>
      </c>
      <c r="W2301" s="4" t="str">
        <f>IFERROR(__xludf.DUMMYFUNCTION("""COMPUTED_VALUE"""),"Saipos Serviços De Software")</f>
        <v>Saipos Serviços De Software</v>
      </c>
      <c r="X2301" s="33">
        <f>IFERROR(__xludf.DUMMYFUNCTION("""COMPUTED_VALUE"""),0.75)</f>
        <v>0.75</v>
      </c>
    </row>
    <row r="2302">
      <c r="K2302" s="4" t="str">
        <f>IFERROR(__xludf.DUMMYFUNCTION("""COMPUTED_VALUE"""),"FAST GRILL")</f>
        <v>FAST GRILL</v>
      </c>
      <c r="L2302" s="32">
        <f>IFERROR(__xludf.DUMMYFUNCTION("""COMPUTED_VALUE"""),4.0)</f>
        <v>4</v>
      </c>
      <c r="M2302" s="4" t="str">
        <f>IFERROR(__xludf.DUMMYFUNCTION("""COMPUTED_VALUE"""),"Agilizup Solucoes Ltda")</f>
        <v>Agilizup Solucoes Ltda</v>
      </c>
      <c r="N2302" s="33">
        <f>IFERROR(__xludf.DUMMYFUNCTION("""COMPUTED_VALUE"""),0.5)</f>
        <v>0.5</v>
      </c>
      <c r="O2302" s="4" t="str">
        <f>IFERROR(__xludf.DUMMYFUNCTION("""COMPUTED_VALUE"""),"Agilizup Solucoes Ltda")</f>
        <v>Agilizup Solucoes Ltda</v>
      </c>
      <c r="P2302" s="33">
        <f>IFERROR(__xludf.DUMMYFUNCTION("""COMPUTED_VALUE"""),0.5)</f>
        <v>0.5</v>
      </c>
      <c r="Q2302" s="4" t="str">
        <f>IFERROR(__xludf.DUMMYFUNCTION("""COMPUTED_VALUE"""),"Agilizup Solucoes Ltda")</f>
        <v>Agilizup Solucoes Ltda</v>
      </c>
      <c r="R2302" s="33">
        <f>IFERROR(__xludf.DUMMYFUNCTION("""COMPUTED_VALUE"""),0.75)</f>
        <v>0.75</v>
      </c>
      <c r="S2302" s="4" t="str">
        <f>IFERROR(__xludf.DUMMYFUNCTION("""COMPUTED_VALUE"""),"Agilizup Solucoes Ltda")</f>
        <v>Agilizup Solucoes Ltda</v>
      </c>
      <c r="T2302" s="33">
        <f>IFERROR(__xludf.DUMMYFUNCTION("""COMPUTED_VALUE"""),1.0)</f>
        <v>1</v>
      </c>
      <c r="U2302" s="4" t="str">
        <f>IFERROR(__xludf.DUMMYFUNCTION("""COMPUTED_VALUE"""),"Agilizup Solucoes Ltda")</f>
        <v>Agilizup Solucoes Ltda</v>
      </c>
      <c r="V2302" s="33">
        <f>IFERROR(__xludf.DUMMYFUNCTION("""COMPUTED_VALUE"""),1.0)</f>
        <v>1</v>
      </c>
      <c r="W2302" s="4" t="str">
        <f>IFERROR(__xludf.DUMMYFUNCTION("""COMPUTED_VALUE"""),"Agilizup Solucoes Ltda")</f>
        <v>Agilizup Solucoes Ltda</v>
      </c>
      <c r="X2302" s="33">
        <f>IFERROR(__xludf.DUMMYFUNCTION("""COMPUTED_VALUE"""),1.0)</f>
        <v>1</v>
      </c>
    </row>
    <row r="2303">
      <c r="K2303" s="4" t="str">
        <f>IFERROR(__xludf.DUMMYFUNCTION("""COMPUTED_VALUE"""),"FATTIANO")</f>
        <v>FATTIANO</v>
      </c>
      <c r="L2303" s="32">
        <f>IFERROR(__xludf.DUMMYFUNCTION("""COMPUTED_VALUE"""),4.0)</f>
        <v>4</v>
      </c>
      <c r="M2303" s="4" t="str">
        <f>IFERROR(__xludf.DUMMYFUNCTION("""COMPUTED_VALUE"""),"null")</f>
        <v>null</v>
      </c>
      <c r="N2303" s="33">
        <f>IFERROR(__xludf.DUMMYFUNCTION("""COMPUTED_VALUE"""),0.5)</f>
        <v>0.5</v>
      </c>
      <c r="O2303" s="4" t="str">
        <f>IFERROR(__xludf.DUMMYFUNCTION("""COMPUTED_VALUE"""),"Saipos Serviços De Software")</f>
        <v>Saipos Serviços De Software</v>
      </c>
      <c r="P2303" s="33">
        <f>IFERROR(__xludf.DUMMYFUNCTION("""COMPUTED_VALUE"""),1.0)</f>
        <v>1</v>
      </c>
      <c r="Q2303" s="4" t="str">
        <f>IFERROR(__xludf.DUMMYFUNCTION("""COMPUTED_VALUE"""),"Saipos Serviços De Software")</f>
        <v>Saipos Serviços De Software</v>
      </c>
      <c r="R2303" s="33">
        <f>IFERROR(__xludf.DUMMYFUNCTION("""COMPUTED_VALUE"""),1.0)</f>
        <v>1</v>
      </c>
      <c r="S2303" s="4" t="str">
        <f>IFERROR(__xludf.DUMMYFUNCTION("""COMPUTED_VALUE"""),"Saipos Serviços De Software")</f>
        <v>Saipos Serviços De Software</v>
      </c>
      <c r="T2303" s="33">
        <f>IFERROR(__xludf.DUMMYFUNCTION("""COMPUTED_VALUE"""),1.0)</f>
        <v>1</v>
      </c>
      <c r="U2303" s="4" t="str">
        <f>IFERROR(__xludf.DUMMYFUNCTION("""COMPUTED_VALUE"""),"Saipos Serviços De Software")</f>
        <v>Saipos Serviços De Software</v>
      </c>
      <c r="V2303" s="33">
        <f>IFERROR(__xludf.DUMMYFUNCTION("""COMPUTED_VALUE"""),1.0)</f>
        <v>1</v>
      </c>
      <c r="W2303" s="4" t="str">
        <f>IFERROR(__xludf.DUMMYFUNCTION("""COMPUTED_VALUE"""),"Saipos Serviços De Software")</f>
        <v>Saipos Serviços De Software</v>
      </c>
      <c r="X2303" s="33">
        <f>IFERROR(__xludf.DUMMYFUNCTION("""COMPUTED_VALUE"""),1.0)</f>
        <v>1</v>
      </c>
    </row>
    <row r="2304">
      <c r="K2304" s="4" t="str">
        <f>IFERROR(__xludf.DUMMYFUNCTION("""COMPUTED_VALUE"""),"FAVORITO SUPERMERCADOS - CONTA PAI")</f>
        <v>FAVORITO SUPERMERCADOS - CONTA PAI</v>
      </c>
      <c r="L2304" s="32">
        <f>IFERROR(__xludf.DUMMYFUNCTION("""COMPUTED_VALUE"""),4.0)</f>
        <v>4</v>
      </c>
      <c r="M2304" s="4" t="str">
        <f>IFERROR(__xludf.DUMMYFUNCTION("""COMPUTED_VALUE"""),"N/A (Not found)")</f>
        <v>N/A (Not found)</v>
      </c>
      <c r="N2304" s="33">
        <f>IFERROR(__xludf.DUMMYFUNCTION("""COMPUTED_VALUE"""),1.0)</f>
        <v>1</v>
      </c>
      <c r="O2304" s="4" t="str">
        <f>IFERROR(__xludf.DUMMYFUNCTION("""COMPUTED_VALUE"""),"N/A (Not found)")</f>
        <v>N/A (Not found)</v>
      </c>
      <c r="P2304" s="33">
        <f>IFERROR(__xludf.DUMMYFUNCTION("""COMPUTED_VALUE"""),1.0)</f>
        <v>1</v>
      </c>
      <c r="Q2304" s="4" t="str">
        <f>IFERROR(__xludf.DUMMYFUNCTION("""COMPUTED_VALUE"""),"N/A (Not found)")</f>
        <v>N/A (Not found)</v>
      </c>
      <c r="R2304" s="33">
        <f>IFERROR(__xludf.DUMMYFUNCTION("""COMPUTED_VALUE"""),1.0)</f>
        <v>1</v>
      </c>
      <c r="S2304" s="4" t="str">
        <f>IFERROR(__xludf.DUMMYFUNCTION("""COMPUTED_VALUE"""),"N/A (Not found)")</f>
        <v>N/A (Not found)</v>
      </c>
      <c r="T2304" s="33">
        <f>IFERROR(__xludf.DUMMYFUNCTION("""COMPUTED_VALUE"""),1.0)</f>
        <v>1</v>
      </c>
      <c r="U2304" s="4" t="str">
        <f>IFERROR(__xludf.DUMMYFUNCTION("""COMPUTED_VALUE"""),"N/A (Not found)")</f>
        <v>N/A (Not found)</v>
      </c>
      <c r="V2304" s="33">
        <f>IFERROR(__xludf.DUMMYFUNCTION("""COMPUTED_VALUE"""),1.0)</f>
        <v>1</v>
      </c>
      <c r="W2304" s="4" t="str">
        <f>IFERROR(__xludf.DUMMYFUNCTION("""COMPUTED_VALUE"""),"N/A (Not found)")</f>
        <v>N/A (Not found)</v>
      </c>
      <c r="X2304" s="33">
        <f>IFERROR(__xludf.DUMMYFUNCTION("""COMPUTED_VALUE"""),1.0)</f>
        <v>1</v>
      </c>
    </row>
    <row r="2305">
      <c r="K2305" s="4" t="str">
        <f>IFERROR(__xludf.DUMMYFUNCTION("""COMPUTED_VALUE"""),"FIESCKIS PIZZAS ARTESANAIS")</f>
        <v>FIESCKIS PIZZAS ARTESANAIS</v>
      </c>
      <c r="L2305" s="32">
        <f>IFERROR(__xludf.DUMMYFUNCTION("""COMPUTED_VALUE"""),4.0)</f>
        <v>4</v>
      </c>
      <c r="M2305" s="4" t="str">
        <f>IFERROR(__xludf.DUMMYFUNCTION("""COMPUTED_VALUE"""),"Schneider Software")</f>
        <v>Schneider Software</v>
      </c>
      <c r="N2305" s="33">
        <f>IFERROR(__xludf.DUMMYFUNCTION("""COMPUTED_VALUE"""),0.75)</f>
        <v>0.75</v>
      </c>
      <c r="O2305" s="4" t="str">
        <f>IFERROR(__xludf.DUMMYFUNCTION("""COMPUTED_VALUE"""),"Saipos Serviços De Software")</f>
        <v>Saipos Serviços De Software</v>
      </c>
      <c r="P2305" s="33">
        <f>IFERROR(__xludf.DUMMYFUNCTION("""COMPUTED_VALUE"""),0.75)</f>
        <v>0.75</v>
      </c>
      <c r="Q2305" s="4" t="str">
        <f>IFERROR(__xludf.DUMMYFUNCTION("""COMPUTED_VALUE"""),"Saipos Serviços De Software")</f>
        <v>Saipos Serviços De Software</v>
      </c>
      <c r="R2305" s="33">
        <f>IFERROR(__xludf.DUMMYFUNCTION("""COMPUTED_VALUE"""),0.75)</f>
        <v>0.75</v>
      </c>
      <c r="S2305" s="4" t="str">
        <f>IFERROR(__xludf.DUMMYFUNCTION("""COMPUTED_VALUE"""),"Saipos Serviços De Software")</f>
        <v>Saipos Serviços De Software</v>
      </c>
      <c r="T2305" s="33">
        <f>IFERROR(__xludf.DUMMYFUNCTION("""COMPUTED_VALUE"""),0.75)</f>
        <v>0.75</v>
      </c>
      <c r="U2305" s="4" t="str">
        <f>IFERROR(__xludf.DUMMYFUNCTION("""COMPUTED_VALUE"""),"Saipos Serviços De Software")</f>
        <v>Saipos Serviços De Software</v>
      </c>
      <c r="V2305" s="33">
        <f>IFERROR(__xludf.DUMMYFUNCTION("""COMPUTED_VALUE"""),1.0)</f>
        <v>1</v>
      </c>
      <c r="W2305" s="4" t="str">
        <f>IFERROR(__xludf.DUMMYFUNCTION("""COMPUTED_VALUE"""),"Saipos Serviços De Software")</f>
        <v>Saipos Serviços De Software</v>
      </c>
      <c r="X2305" s="33">
        <f>IFERROR(__xludf.DUMMYFUNCTION("""COMPUTED_VALUE"""),1.0)</f>
        <v>1</v>
      </c>
    </row>
    <row r="2306">
      <c r="K2306" s="4" t="str">
        <f>IFERROR(__xludf.DUMMYFUNCTION("""COMPUTED_VALUE"""),"FIVE BURGERS")</f>
        <v>FIVE BURGERS</v>
      </c>
      <c r="L2306" s="32">
        <f>IFERROR(__xludf.DUMMYFUNCTION("""COMPUTED_VALUE"""),4.0)</f>
        <v>4</v>
      </c>
      <c r="M2306" s="4" t="str">
        <f>IFERROR(__xludf.DUMMYFUNCTION("""COMPUTED_VALUE"""),"Saipos Serviços De Software")</f>
        <v>Saipos Serviços De Software</v>
      </c>
      <c r="N2306" s="33">
        <f>IFERROR(__xludf.DUMMYFUNCTION("""COMPUTED_VALUE"""),1.0)</f>
        <v>1</v>
      </c>
      <c r="O2306" s="4" t="str">
        <f>IFERROR(__xludf.DUMMYFUNCTION("""COMPUTED_VALUE"""),"Saipos Serviços De Software")</f>
        <v>Saipos Serviços De Software</v>
      </c>
      <c r="P2306" s="33">
        <f>IFERROR(__xludf.DUMMYFUNCTION("""COMPUTED_VALUE"""),1.0)</f>
        <v>1</v>
      </c>
      <c r="Q2306" s="4" t="str">
        <f>IFERROR(__xludf.DUMMYFUNCTION("""COMPUTED_VALUE"""),"Saipos Serviços De Software")</f>
        <v>Saipos Serviços De Software</v>
      </c>
      <c r="R2306" s="33">
        <f>IFERROR(__xludf.DUMMYFUNCTION("""COMPUTED_VALUE"""),1.0)</f>
        <v>1</v>
      </c>
      <c r="S2306" s="4" t="str">
        <f>IFERROR(__xludf.DUMMYFUNCTION("""COMPUTED_VALUE"""),"Saipos Serviços De Software")</f>
        <v>Saipos Serviços De Software</v>
      </c>
      <c r="T2306" s="33">
        <f>IFERROR(__xludf.DUMMYFUNCTION("""COMPUTED_VALUE"""),1.0)</f>
        <v>1</v>
      </c>
      <c r="U2306" s="4" t="str">
        <f>IFERROR(__xludf.DUMMYFUNCTION("""COMPUTED_VALUE"""),"Saipos Serviços De Software")</f>
        <v>Saipos Serviços De Software</v>
      </c>
      <c r="V2306" s="33">
        <f>IFERROR(__xludf.DUMMYFUNCTION("""COMPUTED_VALUE"""),1.0)</f>
        <v>1</v>
      </c>
      <c r="W2306" s="4" t="str">
        <f>IFERROR(__xludf.DUMMYFUNCTION("""COMPUTED_VALUE"""),"Saipos Serviços De Software")</f>
        <v>Saipos Serviços De Software</v>
      </c>
      <c r="X2306" s="33">
        <f>IFERROR(__xludf.DUMMYFUNCTION("""COMPUTED_VALUE"""),0.75)</f>
        <v>0.75</v>
      </c>
    </row>
    <row r="2307">
      <c r="K2307" s="4" t="str">
        <f>IFERROR(__xludf.DUMMYFUNCTION("""COMPUTED_VALUE"""),"FOCAS BURGUER BLU - CONTA MARCA")</f>
        <v>FOCAS BURGUER BLU - CONTA MARCA</v>
      </c>
      <c r="L2307" s="32">
        <f>IFERROR(__xludf.DUMMYFUNCTION("""COMPUTED_VALUE"""),4.0)</f>
        <v>4</v>
      </c>
      <c r="M2307" s="4" t="str">
        <f>IFERROR(__xludf.DUMMYFUNCTION("""COMPUTED_VALUE"""),"Stone Co.")</f>
        <v>Stone Co.</v>
      </c>
      <c r="N2307" s="33">
        <f>IFERROR(__xludf.DUMMYFUNCTION("""COMPUTED_VALUE"""),0.75)</f>
        <v>0.75</v>
      </c>
      <c r="O2307" s="4" t="str">
        <f>IFERROR(__xludf.DUMMYFUNCTION("""COMPUTED_VALUE"""),"Stone Co.")</f>
        <v>Stone Co.</v>
      </c>
      <c r="P2307" s="33">
        <f>IFERROR(__xludf.DUMMYFUNCTION("""COMPUTED_VALUE"""),0.75)</f>
        <v>0.75</v>
      </c>
      <c r="Q2307" s="4" t="str">
        <f>IFERROR(__xludf.DUMMYFUNCTION("""COMPUTED_VALUE"""),"Stone Co.")</f>
        <v>Stone Co.</v>
      </c>
      <c r="R2307" s="33">
        <f>IFERROR(__xludf.DUMMYFUNCTION("""COMPUTED_VALUE"""),0.75)</f>
        <v>0.75</v>
      </c>
      <c r="S2307" s="4" t="str">
        <f>IFERROR(__xludf.DUMMYFUNCTION("""COMPUTED_VALUE"""),"Stone Co.")</f>
        <v>Stone Co.</v>
      </c>
      <c r="T2307" s="33">
        <f>IFERROR(__xludf.DUMMYFUNCTION("""COMPUTED_VALUE"""),0.75)</f>
        <v>0.75</v>
      </c>
      <c r="U2307" s="4" t="str">
        <f>IFERROR(__xludf.DUMMYFUNCTION("""COMPUTED_VALUE"""),"Stone Co.")</f>
        <v>Stone Co.</v>
      </c>
      <c r="V2307" s="33">
        <f>IFERROR(__xludf.DUMMYFUNCTION("""COMPUTED_VALUE"""),0.75)</f>
        <v>0.75</v>
      </c>
      <c r="W2307" s="4" t="str">
        <f>IFERROR(__xludf.DUMMYFUNCTION("""COMPUTED_VALUE"""),"Stone Co.")</f>
        <v>Stone Co.</v>
      </c>
      <c r="X2307" s="33">
        <f>IFERROR(__xludf.DUMMYFUNCTION("""COMPUTED_VALUE"""),0.75)</f>
        <v>0.75</v>
      </c>
    </row>
    <row r="2308">
      <c r="K2308" s="4" t="str">
        <f>IFERROR(__xludf.DUMMYFUNCTION("""COMPUTED_VALUE"""),"FORMIGUINHA DOCARIA")</f>
        <v>FORMIGUINHA DOCARIA</v>
      </c>
      <c r="L2308" s="32">
        <f>IFERROR(__xludf.DUMMYFUNCTION("""COMPUTED_VALUE"""),4.0)</f>
        <v>4</v>
      </c>
      <c r="M2308" s="4" t="str">
        <f>IFERROR(__xludf.DUMMYFUNCTION("""COMPUTED_VALUE"""),"Teknisa Service Ltda")</f>
        <v>Teknisa Service Ltda</v>
      </c>
      <c r="N2308" s="33">
        <f>IFERROR(__xludf.DUMMYFUNCTION("""COMPUTED_VALUE"""),1.0)</f>
        <v>1</v>
      </c>
      <c r="O2308" s="4" t="str">
        <f>IFERROR(__xludf.DUMMYFUNCTION("""COMPUTED_VALUE"""),"Teknisa Service Ltda")</f>
        <v>Teknisa Service Ltda</v>
      </c>
      <c r="P2308" s="33">
        <f>IFERROR(__xludf.DUMMYFUNCTION("""COMPUTED_VALUE"""),1.0)</f>
        <v>1</v>
      </c>
      <c r="Q2308" s="4" t="str">
        <f>IFERROR(__xludf.DUMMYFUNCTION("""COMPUTED_VALUE"""),"Teknisa Service Ltda")</f>
        <v>Teknisa Service Ltda</v>
      </c>
      <c r="R2308" s="33">
        <f>IFERROR(__xludf.DUMMYFUNCTION("""COMPUTED_VALUE"""),1.0)</f>
        <v>1</v>
      </c>
      <c r="S2308" s="4" t="str">
        <f>IFERROR(__xludf.DUMMYFUNCTION("""COMPUTED_VALUE"""),"null")</f>
        <v>null</v>
      </c>
      <c r="T2308" s="33">
        <f>IFERROR(__xludf.DUMMYFUNCTION("""COMPUTED_VALUE"""),0.75)</f>
        <v>0.75</v>
      </c>
      <c r="U2308" s="4" t="str">
        <f>IFERROR(__xludf.DUMMYFUNCTION("""COMPUTED_VALUE"""),"Teknisa Service Ltda")</f>
        <v>Teknisa Service Ltda</v>
      </c>
      <c r="V2308" s="33">
        <f>IFERROR(__xludf.DUMMYFUNCTION("""COMPUTED_VALUE"""),1.0)</f>
        <v>1</v>
      </c>
      <c r="W2308" s="4" t="str">
        <f>IFERROR(__xludf.DUMMYFUNCTION("""COMPUTED_VALUE"""),"Teknisa Service Ltda")</f>
        <v>Teknisa Service Ltda</v>
      </c>
      <c r="X2308" s="33">
        <f>IFERROR(__xludf.DUMMYFUNCTION("""COMPUTED_VALUE"""),0.5)</f>
        <v>0.5</v>
      </c>
    </row>
    <row r="2309">
      <c r="K2309" s="4" t="str">
        <f>IFERROR(__xludf.DUMMYFUNCTION("""COMPUTED_VALUE"""),"FRANGO ARAGUAIA RJ")</f>
        <v>FRANGO ARAGUAIA RJ</v>
      </c>
      <c r="L2309" s="32">
        <f>IFERROR(__xludf.DUMMYFUNCTION("""COMPUTED_VALUE"""),4.0)</f>
        <v>4</v>
      </c>
      <c r="M2309" s="4" t="str">
        <f>IFERROR(__xludf.DUMMYFUNCTION("""COMPUTED_VALUE"""),"Saipos Serviços De Software")</f>
        <v>Saipos Serviços De Software</v>
      </c>
      <c r="N2309" s="33">
        <f>IFERROR(__xludf.DUMMYFUNCTION("""COMPUTED_VALUE"""),0.5)</f>
        <v>0.5</v>
      </c>
      <c r="O2309" s="4" t="str">
        <f>IFERROR(__xludf.DUMMYFUNCTION("""COMPUTED_VALUE"""),"Saipos Serviços De Software")</f>
        <v>Saipos Serviços De Software</v>
      </c>
      <c r="P2309" s="33">
        <f>IFERROR(__xludf.DUMMYFUNCTION("""COMPUTED_VALUE"""),1.0)</f>
        <v>1</v>
      </c>
      <c r="Q2309" s="4" t="str">
        <f>IFERROR(__xludf.DUMMYFUNCTION("""COMPUTED_VALUE"""),"Saipos Serviços De Software")</f>
        <v>Saipos Serviços De Software</v>
      </c>
      <c r="R2309" s="33">
        <f>IFERROR(__xludf.DUMMYFUNCTION("""COMPUTED_VALUE"""),0.75)</f>
        <v>0.75</v>
      </c>
      <c r="S2309" s="4" t="str">
        <f>IFERROR(__xludf.DUMMYFUNCTION("""COMPUTED_VALUE"""),"Saipos Serviços De Software")</f>
        <v>Saipos Serviços De Software</v>
      </c>
      <c r="T2309" s="33">
        <f>IFERROR(__xludf.DUMMYFUNCTION("""COMPUTED_VALUE"""),1.0)</f>
        <v>1</v>
      </c>
      <c r="U2309" s="4" t="str">
        <f>IFERROR(__xludf.DUMMYFUNCTION("""COMPUTED_VALUE"""),"Saipos Serviços De Software")</f>
        <v>Saipos Serviços De Software</v>
      </c>
      <c r="V2309" s="33">
        <f>IFERROR(__xludf.DUMMYFUNCTION("""COMPUTED_VALUE"""),1.0)</f>
        <v>1</v>
      </c>
      <c r="W2309" s="4" t="str">
        <f>IFERROR(__xludf.DUMMYFUNCTION("""COMPUTED_VALUE"""),"Saipos Serviços De Software")</f>
        <v>Saipos Serviços De Software</v>
      </c>
      <c r="X2309" s="33">
        <f>IFERROR(__xludf.DUMMYFUNCTION("""COMPUTED_VALUE"""),1.0)</f>
        <v>1</v>
      </c>
    </row>
    <row r="2310">
      <c r="K2310" s="4" t="str">
        <f>IFERROR(__xludf.DUMMYFUNCTION("""COMPUTED_VALUE"""),"FRANGO ASSADO DO REI")</f>
        <v>FRANGO ASSADO DO REI</v>
      </c>
      <c r="L2310" s="32">
        <f>IFERROR(__xludf.DUMMYFUNCTION("""COMPUTED_VALUE"""),4.0)</f>
        <v>4</v>
      </c>
      <c r="M2310" s="4" t="str">
        <f>IFERROR(__xludf.DUMMYFUNCTION("""COMPUTED_VALUE"""),"null")</f>
        <v>null</v>
      </c>
      <c r="N2310" s="33">
        <f>IFERROR(__xludf.DUMMYFUNCTION("""COMPUTED_VALUE"""),1.0)</f>
        <v>1</v>
      </c>
      <c r="O2310" s="4" t="str">
        <f>IFERROR(__xludf.DUMMYFUNCTION("""COMPUTED_VALUE"""),"null")</f>
        <v>null</v>
      </c>
      <c r="P2310" s="33">
        <f>IFERROR(__xludf.DUMMYFUNCTION("""COMPUTED_VALUE"""),1.0)</f>
        <v>1</v>
      </c>
      <c r="Q2310" s="4" t="str">
        <f>IFERROR(__xludf.DUMMYFUNCTION("""COMPUTED_VALUE"""),"null")</f>
        <v>null</v>
      </c>
      <c r="R2310" s="33">
        <f>IFERROR(__xludf.DUMMYFUNCTION("""COMPUTED_VALUE"""),1.0)</f>
        <v>1</v>
      </c>
      <c r="S2310" s="4" t="str">
        <f>IFERROR(__xludf.DUMMYFUNCTION("""COMPUTED_VALUE"""),"Saipos Serviços De Software")</f>
        <v>Saipos Serviços De Software</v>
      </c>
      <c r="T2310" s="33">
        <f>IFERROR(__xludf.DUMMYFUNCTION("""COMPUTED_VALUE"""),1.0)</f>
        <v>1</v>
      </c>
      <c r="U2310" s="4" t="str">
        <f>IFERROR(__xludf.DUMMYFUNCTION("""COMPUTED_VALUE"""),"Saipos Serviços De Software")</f>
        <v>Saipos Serviços De Software</v>
      </c>
      <c r="V2310" s="33">
        <f>IFERROR(__xludf.DUMMYFUNCTION("""COMPUTED_VALUE"""),1.0)</f>
        <v>1</v>
      </c>
      <c r="W2310" s="4" t="str">
        <f>IFERROR(__xludf.DUMMYFUNCTION("""COMPUTED_VALUE"""),"Saipos Serviços De Software")</f>
        <v>Saipos Serviços De Software</v>
      </c>
      <c r="X2310" s="33">
        <f>IFERROR(__xludf.DUMMYFUNCTION("""COMPUTED_VALUE"""),1.0)</f>
        <v>1</v>
      </c>
    </row>
    <row r="2311">
      <c r="K2311" s="4" t="str">
        <f>IFERROR(__xludf.DUMMYFUNCTION("""COMPUTED_VALUE"""),"FUNFIT FAZ BEM - CONTA MARCA")</f>
        <v>FUNFIT FAZ BEM - CONTA MARCA</v>
      </c>
      <c r="L2311" s="32">
        <f>IFERROR(__xludf.DUMMYFUNCTION("""COMPUTED_VALUE"""),4.0)</f>
        <v>4</v>
      </c>
      <c r="M2311" s="4" t="str">
        <f>IFERROR(__xludf.DUMMYFUNCTION("""COMPUTED_VALUE"""),"Softwar")</f>
        <v>Softwar</v>
      </c>
      <c r="N2311" s="33">
        <f>IFERROR(__xludf.DUMMYFUNCTION("""COMPUTED_VALUE"""),1.0)</f>
        <v>1</v>
      </c>
      <c r="O2311" s="4" t="str">
        <f>IFERROR(__xludf.DUMMYFUNCTION("""COMPUTED_VALUE"""),"Softwar")</f>
        <v>Softwar</v>
      </c>
      <c r="P2311" s="33">
        <f>IFERROR(__xludf.DUMMYFUNCTION("""COMPUTED_VALUE"""),1.0)</f>
        <v>1</v>
      </c>
      <c r="Q2311" s="4" t="str">
        <f>IFERROR(__xludf.DUMMYFUNCTION("""COMPUTED_VALUE"""),"Softwar")</f>
        <v>Softwar</v>
      </c>
      <c r="R2311" s="33">
        <f>IFERROR(__xludf.DUMMYFUNCTION("""COMPUTED_VALUE"""),1.0)</f>
        <v>1</v>
      </c>
      <c r="S2311" s="4" t="str">
        <f>IFERROR(__xludf.DUMMYFUNCTION("""COMPUTED_VALUE"""),"Cloudfy")</f>
        <v>Cloudfy</v>
      </c>
      <c r="T2311" s="33">
        <f>IFERROR(__xludf.DUMMYFUNCTION("""COMPUTED_VALUE"""),1.0)</f>
        <v>1</v>
      </c>
      <c r="U2311" s="4" t="str">
        <f>IFERROR(__xludf.DUMMYFUNCTION("""COMPUTED_VALUE"""),"Cloudfy")</f>
        <v>Cloudfy</v>
      </c>
      <c r="V2311" s="33">
        <f>IFERROR(__xludf.DUMMYFUNCTION("""COMPUTED_VALUE"""),1.0)</f>
        <v>1</v>
      </c>
      <c r="W2311" s="4" t="str">
        <f>IFERROR(__xludf.DUMMYFUNCTION("""COMPUTED_VALUE"""),"Cloudfy")</f>
        <v>Cloudfy</v>
      </c>
      <c r="X2311" s="33">
        <f>IFERROR(__xludf.DUMMYFUNCTION("""COMPUTED_VALUE"""),1.0)</f>
        <v>1</v>
      </c>
    </row>
    <row r="2312">
      <c r="K2312" s="4" t="str">
        <f>IFERROR(__xludf.DUMMYFUNCTION("""COMPUTED_VALUE"""),"GAEL")</f>
        <v>GAEL</v>
      </c>
      <c r="L2312" s="32">
        <f>IFERROR(__xludf.DUMMYFUNCTION("""COMPUTED_VALUE"""),4.0)</f>
        <v>4</v>
      </c>
      <c r="M2312" s="4" t="str">
        <f>IFERROR(__xludf.DUMMYFUNCTION("""COMPUTED_VALUE"""),"Altec Sistemas")</f>
        <v>Altec Sistemas</v>
      </c>
      <c r="N2312" s="33">
        <f>IFERROR(__xludf.DUMMYFUNCTION("""COMPUTED_VALUE"""),0.75)</f>
        <v>0.75</v>
      </c>
      <c r="O2312" s="4" t="str">
        <f>IFERROR(__xludf.DUMMYFUNCTION("""COMPUTED_VALUE"""),"Altec Sistemas")</f>
        <v>Altec Sistemas</v>
      </c>
      <c r="P2312" s="33">
        <f>IFERROR(__xludf.DUMMYFUNCTION("""COMPUTED_VALUE"""),0.75)</f>
        <v>0.75</v>
      </c>
      <c r="Q2312" s="4" t="str">
        <f>IFERROR(__xludf.DUMMYFUNCTION("""COMPUTED_VALUE"""),"Altec Sistemas")</f>
        <v>Altec Sistemas</v>
      </c>
      <c r="R2312" s="33">
        <f>IFERROR(__xludf.DUMMYFUNCTION("""COMPUTED_VALUE"""),0.5)</f>
        <v>0.5</v>
      </c>
      <c r="S2312" s="4" t="str">
        <f>IFERROR(__xludf.DUMMYFUNCTION("""COMPUTED_VALUE"""),"Altec Sistemas")</f>
        <v>Altec Sistemas</v>
      </c>
      <c r="T2312" s="33">
        <f>IFERROR(__xludf.DUMMYFUNCTION("""COMPUTED_VALUE"""),0.75)</f>
        <v>0.75</v>
      </c>
      <c r="U2312" s="4" t="str">
        <f>IFERROR(__xludf.DUMMYFUNCTION("""COMPUTED_VALUE"""),"Altec Sistemas")</f>
        <v>Altec Sistemas</v>
      </c>
      <c r="V2312" s="33">
        <f>IFERROR(__xludf.DUMMYFUNCTION("""COMPUTED_VALUE"""),0.75)</f>
        <v>0.75</v>
      </c>
      <c r="W2312" s="4" t="str">
        <f>IFERROR(__xludf.DUMMYFUNCTION("""COMPUTED_VALUE"""),"Altec Sistemas")</f>
        <v>Altec Sistemas</v>
      </c>
      <c r="X2312" s="33">
        <f>IFERROR(__xludf.DUMMYFUNCTION("""COMPUTED_VALUE"""),1.0)</f>
        <v>1</v>
      </c>
    </row>
    <row r="2313">
      <c r="K2313" s="4" t="str">
        <f>IFERROR(__xludf.DUMMYFUNCTION("""COMPUTED_VALUE"""),"GALETERIA - RJ")</f>
        <v>GALETERIA - RJ</v>
      </c>
      <c r="L2313" s="32">
        <f>IFERROR(__xludf.DUMMYFUNCTION("""COMPUTED_VALUE"""),4.0)</f>
        <v>4</v>
      </c>
      <c r="M2313" s="4" t="str">
        <f>IFERROR(__xludf.DUMMYFUNCTION("""COMPUTED_VALUE"""),"F-rest Sistema Para Food Service Ltda")</f>
        <v>F-rest Sistema Para Food Service Ltda</v>
      </c>
      <c r="N2313" s="33">
        <f>IFERROR(__xludf.DUMMYFUNCTION("""COMPUTED_VALUE"""),1.0)</f>
        <v>1</v>
      </c>
      <c r="O2313" s="4" t="str">
        <f>IFERROR(__xludf.DUMMYFUNCTION("""COMPUTED_VALUE"""),"F-rest Sistema Para Food Service Ltda")</f>
        <v>F-rest Sistema Para Food Service Ltda</v>
      </c>
      <c r="P2313" s="33">
        <f>IFERROR(__xludf.DUMMYFUNCTION("""COMPUTED_VALUE"""),0.5)</f>
        <v>0.5</v>
      </c>
      <c r="Q2313" s="4" t="str">
        <f>IFERROR(__xludf.DUMMYFUNCTION("""COMPUTED_VALUE"""),"F-rest Sistema Para Food Service Ltda")</f>
        <v>F-rest Sistema Para Food Service Ltda</v>
      </c>
      <c r="R2313" s="33">
        <f>IFERROR(__xludf.DUMMYFUNCTION("""COMPUTED_VALUE"""),0.5)</f>
        <v>0.5</v>
      </c>
      <c r="S2313" s="4" t="str">
        <f>IFERROR(__xludf.DUMMYFUNCTION("""COMPUTED_VALUE"""),"F-rest Sistema Para Food Service Ltda")</f>
        <v>F-rest Sistema Para Food Service Ltda</v>
      </c>
      <c r="T2313" s="33">
        <f>IFERROR(__xludf.DUMMYFUNCTION("""COMPUTED_VALUE"""),0.75)</f>
        <v>0.75</v>
      </c>
      <c r="U2313" s="4" t="str">
        <f>IFERROR(__xludf.DUMMYFUNCTION("""COMPUTED_VALUE"""),"F-rest Sistema Para Food Service Ltda")</f>
        <v>F-rest Sistema Para Food Service Ltda</v>
      </c>
      <c r="V2313" s="33">
        <f>IFERROR(__xludf.DUMMYFUNCTION("""COMPUTED_VALUE"""),0.5)</f>
        <v>0.5</v>
      </c>
      <c r="W2313" s="4" t="str">
        <f>IFERROR(__xludf.DUMMYFUNCTION("""COMPUTED_VALUE"""),"F-rest Sistema Para Food Service Ltda")</f>
        <v>F-rest Sistema Para Food Service Ltda</v>
      </c>
      <c r="X2313" s="33">
        <f>IFERROR(__xludf.DUMMYFUNCTION("""COMPUTED_VALUE"""),0.75)</f>
        <v>0.75</v>
      </c>
    </row>
    <row r="2314">
      <c r="K2314" s="4" t="str">
        <f>IFERROR(__xludf.DUMMYFUNCTION("""COMPUTED_VALUE"""),"GEEK BURGER")</f>
        <v>GEEK BURGER</v>
      </c>
      <c r="L2314" s="32">
        <f>IFERROR(__xludf.DUMMYFUNCTION("""COMPUTED_VALUE"""),4.0)</f>
        <v>4</v>
      </c>
      <c r="M2314" s="4" t="str">
        <f>IFERROR(__xludf.DUMMYFUNCTION("""COMPUTED_VALUE"""),"Ncr")</f>
        <v>Ncr</v>
      </c>
      <c r="N2314" s="33">
        <f>IFERROR(__xludf.DUMMYFUNCTION("""COMPUTED_VALUE"""),1.0)</f>
        <v>1</v>
      </c>
      <c r="O2314" s="4" t="str">
        <f>IFERROR(__xludf.DUMMYFUNCTION("""COMPUTED_VALUE"""),"Ncr")</f>
        <v>Ncr</v>
      </c>
      <c r="P2314" s="33">
        <f>IFERROR(__xludf.DUMMYFUNCTION("""COMPUTED_VALUE"""),1.0)</f>
        <v>1</v>
      </c>
      <c r="Q2314" s="4" t="str">
        <f>IFERROR(__xludf.DUMMYFUNCTION("""COMPUTED_VALUE"""),"Ncr")</f>
        <v>Ncr</v>
      </c>
      <c r="R2314" s="33">
        <f>IFERROR(__xludf.DUMMYFUNCTION("""COMPUTED_VALUE"""),1.0)</f>
        <v>1</v>
      </c>
      <c r="S2314" s="4" t="str">
        <f>IFERROR(__xludf.DUMMYFUNCTION("""COMPUTED_VALUE"""),"Ncr")</f>
        <v>Ncr</v>
      </c>
      <c r="T2314" s="33">
        <f>IFERROR(__xludf.DUMMYFUNCTION("""COMPUTED_VALUE"""),1.0)</f>
        <v>1</v>
      </c>
      <c r="U2314" s="4" t="str">
        <f>IFERROR(__xludf.DUMMYFUNCTION("""COMPUTED_VALUE"""),"Ncr")</f>
        <v>Ncr</v>
      </c>
      <c r="V2314" s="33">
        <f>IFERROR(__xludf.DUMMYFUNCTION("""COMPUTED_VALUE"""),1.0)</f>
        <v>1</v>
      </c>
      <c r="W2314" s="4" t="str">
        <f>IFERROR(__xludf.DUMMYFUNCTION("""COMPUTED_VALUE"""),"Ncr")</f>
        <v>Ncr</v>
      </c>
      <c r="X2314" s="33">
        <f>IFERROR(__xludf.DUMMYFUNCTION("""COMPUTED_VALUE"""),1.0)</f>
        <v>1</v>
      </c>
    </row>
    <row r="2315">
      <c r="K2315" s="4" t="str">
        <f>IFERROR(__xludf.DUMMYFUNCTION("""COMPUTED_VALUE"""),"GELATERIA ORIGINAL")</f>
        <v>GELATERIA ORIGINAL</v>
      </c>
      <c r="L2315" s="32">
        <f>IFERROR(__xludf.DUMMYFUNCTION("""COMPUTED_VALUE"""),4.0)</f>
        <v>4</v>
      </c>
      <c r="M2315" s="4" t="str">
        <f>IFERROR(__xludf.DUMMYFUNCTION("""COMPUTED_VALUE"""),"Saipos Serviços De Software")</f>
        <v>Saipos Serviços De Software</v>
      </c>
      <c r="N2315" s="33">
        <f>IFERROR(__xludf.DUMMYFUNCTION("""COMPUTED_VALUE"""),1.0)</f>
        <v>1</v>
      </c>
      <c r="O2315" s="4" t="str">
        <f>IFERROR(__xludf.DUMMYFUNCTION("""COMPUTED_VALUE"""),"Saipos Serviços De Software")</f>
        <v>Saipos Serviços De Software</v>
      </c>
      <c r="P2315" s="33">
        <f>IFERROR(__xludf.DUMMYFUNCTION("""COMPUTED_VALUE"""),1.0)</f>
        <v>1</v>
      </c>
      <c r="Q2315" s="4" t="str">
        <f>IFERROR(__xludf.DUMMYFUNCTION("""COMPUTED_VALUE"""),"Saipos Serviços De Software")</f>
        <v>Saipos Serviços De Software</v>
      </c>
      <c r="R2315" s="33">
        <f>IFERROR(__xludf.DUMMYFUNCTION("""COMPUTED_VALUE"""),0.5)</f>
        <v>0.5</v>
      </c>
      <c r="S2315" s="4" t="str">
        <f>IFERROR(__xludf.DUMMYFUNCTION("""COMPUTED_VALUE"""),"Saipos Serviços De Software")</f>
        <v>Saipos Serviços De Software</v>
      </c>
      <c r="T2315" s="33">
        <f>IFERROR(__xludf.DUMMYFUNCTION("""COMPUTED_VALUE"""),0.5)</f>
        <v>0.5</v>
      </c>
      <c r="U2315" s="4" t="str">
        <f>IFERROR(__xludf.DUMMYFUNCTION("""COMPUTED_VALUE"""),"null")</f>
        <v>null</v>
      </c>
      <c r="V2315" s="33">
        <f>IFERROR(__xludf.DUMMYFUNCTION("""COMPUTED_VALUE"""),0.75)</f>
        <v>0.75</v>
      </c>
      <c r="W2315" s="4" t="str">
        <f>IFERROR(__xludf.DUMMYFUNCTION("""COMPUTED_VALUE"""),"Saipos Serviços De Software")</f>
        <v>Saipos Serviços De Software</v>
      </c>
      <c r="X2315" s="33">
        <f>IFERROR(__xludf.DUMMYFUNCTION("""COMPUTED_VALUE"""),0.5)</f>
        <v>0.5</v>
      </c>
    </row>
    <row r="2316">
      <c r="K2316" s="4" t="str">
        <f>IFERROR(__xludf.DUMMYFUNCTION("""COMPUTED_VALUE"""),"GELOBEL DELIVERY")</f>
        <v>GELOBEL DELIVERY</v>
      </c>
      <c r="L2316" s="32">
        <f>IFERROR(__xludf.DUMMYFUNCTION("""COMPUTED_VALUE"""),4.0)</f>
        <v>4</v>
      </c>
      <c r="M2316" s="4" t="str">
        <f>IFERROR(__xludf.DUMMYFUNCTION("""COMPUTED_VALUE"""),"Sagres Automação Comercial")</f>
        <v>Sagres Automação Comercial</v>
      </c>
      <c r="N2316" s="33">
        <f>IFERROR(__xludf.DUMMYFUNCTION("""COMPUTED_VALUE"""),1.0)</f>
        <v>1</v>
      </c>
      <c r="O2316" s="4" t="str">
        <f>IFERROR(__xludf.DUMMYFUNCTION("""COMPUTED_VALUE"""),"Sagres Automação Comercial")</f>
        <v>Sagres Automação Comercial</v>
      </c>
      <c r="P2316" s="33">
        <f>IFERROR(__xludf.DUMMYFUNCTION("""COMPUTED_VALUE"""),1.0)</f>
        <v>1</v>
      </c>
      <c r="Q2316" s="4" t="str">
        <f>IFERROR(__xludf.DUMMYFUNCTION("""COMPUTED_VALUE"""),"Sagres Automação Comercial")</f>
        <v>Sagres Automação Comercial</v>
      </c>
      <c r="R2316" s="33">
        <f>IFERROR(__xludf.DUMMYFUNCTION("""COMPUTED_VALUE"""),0.5)</f>
        <v>0.5</v>
      </c>
      <c r="S2316" s="4" t="str">
        <f>IFERROR(__xludf.DUMMYFUNCTION("""COMPUTED_VALUE"""),"Sagres Automação Comercial")</f>
        <v>Sagres Automação Comercial</v>
      </c>
      <c r="T2316" s="33">
        <f>IFERROR(__xludf.DUMMYFUNCTION("""COMPUTED_VALUE"""),0.75)</f>
        <v>0.75</v>
      </c>
      <c r="U2316" s="4" t="str">
        <f>IFERROR(__xludf.DUMMYFUNCTION("""COMPUTED_VALUE"""),"Sagres Automação Comercial")</f>
        <v>Sagres Automação Comercial</v>
      </c>
      <c r="V2316" s="33">
        <f>IFERROR(__xludf.DUMMYFUNCTION("""COMPUTED_VALUE"""),1.0)</f>
        <v>1</v>
      </c>
      <c r="W2316" s="4" t="str">
        <f>IFERROR(__xludf.DUMMYFUNCTION("""COMPUTED_VALUE"""),"Sagres Automação Comercial")</f>
        <v>Sagres Automação Comercial</v>
      </c>
      <c r="X2316" s="33">
        <f>IFERROR(__xludf.DUMMYFUNCTION("""COMPUTED_VALUE"""),1.0)</f>
        <v>1</v>
      </c>
    </row>
    <row r="2317">
      <c r="K2317" s="4" t="str">
        <f>IFERROR(__xludf.DUMMYFUNCTION("""COMPUTED_VALUE"""),"GEORGES PASTEIS")</f>
        <v>GEORGES PASTEIS</v>
      </c>
      <c r="L2317" s="32">
        <f>IFERROR(__xludf.DUMMYFUNCTION("""COMPUTED_VALUE"""),4.0)</f>
        <v>4</v>
      </c>
      <c r="M2317" s="4" t="str">
        <f>IFERROR(__xludf.DUMMYFUNCTION("""COMPUTED_VALUE"""),"Bitbar")</f>
        <v>Bitbar</v>
      </c>
      <c r="N2317" s="33">
        <f>IFERROR(__xludf.DUMMYFUNCTION("""COMPUTED_VALUE"""),1.0)</f>
        <v>1</v>
      </c>
      <c r="O2317" s="4" t="str">
        <f>IFERROR(__xludf.DUMMYFUNCTION("""COMPUTED_VALUE"""),"Bitbar")</f>
        <v>Bitbar</v>
      </c>
      <c r="P2317" s="33">
        <f>IFERROR(__xludf.DUMMYFUNCTION("""COMPUTED_VALUE"""),1.0)</f>
        <v>1</v>
      </c>
      <c r="Q2317" s="4" t="str">
        <f>IFERROR(__xludf.DUMMYFUNCTION("""COMPUTED_VALUE"""),"Bitbar")</f>
        <v>Bitbar</v>
      </c>
      <c r="R2317" s="33">
        <f>IFERROR(__xludf.DUMMYFUNCTION("""COMPUTED_VALUE"""),1.0)</f>
        <v>1</v>
      </c>
      <c r="S2317" s="4" t="str">
        <f>IFERROR(__xludf.DUMMYFUNCTION("""COMPUTED_VALUE"""),"null")</f>
        <v>null</v>
      </c>
      <c r="T2317" s="33">
        <f>IFERROR(__xludf.DUMMYFUNCTION("""COMPUTED_VALUE"""),0.5)</f>
        <v>0.5</v>
      </c>
      <c r="U2317" s="4" t="str">
        <f>IFERROR(__xludf.DUMMYFUNCTION("""COMPUTED_VALUE"""),"Bitbar")</f>
        <v>Bitbar</v>
      </c>
      <c r="V2317" s="33">
        <f>IFERROR(__xludf.DUMMYFUNCTION("""COMPUTED_VALUE"""),0.75)</f>
        <v>0.75</v>
      </c>
      <c r="W2317" s="4" t="str">
        <f>IFERROR(__xludf.DUMMYFUNCTION("""COMPUTED_VALUE"""),"Bitbar")</f>
        <v>Bitbar</v>
      </c>
      <c r="X2317" s="33">
        <f>IFERROR(__xludf.DUMMYFUNCTION("""COMPUTED_VALUE"""),0.75)</f>
        <v>0.75</v>
      </c>
    </row>
    <row r="2318">
      <c r="K2318" s="4" t="str">
        <f>IFERROR(__xludf.DUMMYFUNCTION("""COMPUTED_VALUE"""),"GERGELIM PIZZA- BAMBOO MARCA")</f>
        <v>GERGELIM PIZZA- BAMBOO MARCA</v>
      </c>
      <c r="L2318" s="32">
        <f>IFERROR(__xludf.DUMMYFUNCTION("""COMPUTED_VALUE"""),4.0)</f>
        <v>4</v>
      </c>
      <c r="M2318" s="4" t="str">
        <f>IFERROR(__xludf.DUMMYFUNCTION("""COMPUTED_VALUE"""),"Cardápio Web")</f>
        <v>Cardápio Web</v>
      </c>
      <c r="N2318" s="33">
        <f>IFERROR(__xludf.DUMMYFUNCTION("""COMPUTED_VALUE"""),1.0)</f>
        <v>1</v>
      </c>
      <c r="O2318" s="4" t="str">
        <f>IFERROR(__xludf.DUMMYFUNCTION("""COMPUTED_VALUE"""),"Cardápio Web")</f>
        <v>Cardápio Web</v>
      </c>
      <c r="P2318" s="33">
        <f>IFERROR(__xludf.DUMMYFUNCTION("""COMPUTED_VALUE"""),1.0)</f>
        <v>1</v>
      </c>
      <c r="Q2318" s="4" t="str">
        <f>IFERROR(__xludf.DUMMYFUNCTION("""COMPUTED_VALUE"""),"Cardápio Web")</f>
        <v>Cardápio Web</v>
      </c>
      <c r="R2318" s="33">
        <f>IFERROR(__xludf.DUMMYFUNCTION("""COMPUTED_VALUE"""),1.0)</f>
        <v>1</v>
      </c>
      <c r="S2318" s="4" t="str">
        <f>IFERROR(__xludf.DUMMYFUNCTION("""COMPUTED_VALUE"""),"Cardápio Web")</f>
        <v>Cardápio Web</v>
      </c>
      <c r="T2318" s="33">
        <f>IFERROR(__xludf.DUMMYFUNCTION("""COMPUTED_VALUE"""),1.0)</f>
        <v>1</v>
      </c>
      <c r="U2318" s="4" t="str">
        <f>IFERROR(__xludf.DUMMYFUNCTION("""COMPUTED_VALUE"""),"Cardápio Web")</f>
        <v>Cardápio Web</v>
      </c>
      <c r="V2318" s="33">
        <f>IFERROR(__xludf.DUMMYFUNCTION("""COMPUTED_VALUE"""),1.0)</f>
        <v>1</v>
      </c>
      <c r="W2318" s="4" t="str">
        <f>IFERROR(__xludf.DUMMYFUNCTION("""COMPUTED_VALUE"""),"Cardápio Web")</f>
        <v>Cardápio Web</v>
      </c>
      <c r="X2318" s="33">
        <f>IFERROR(__xludf.DUMMYFUNCTION("""COMPUTED_VALUE"""),1.0)</f>
        <v>1</v>
      </c>
    </row>
    <row r="2319">
      <c r="K2319" s="4" t="str">
        <f>IFERROR(__xludf.DUMMYFUNCTION("""COMPUTED_VALUE"""),"GLORIOSO BURGUER")</f>
        <v>GLORIOSO BURGUER</v>
      </c>
      <c r="L2319" s="32">
        <f>IFERROR(__xludf.DUMMYFUNCTION("""COMPUTED_VALUE"""),4.0)</f>
        <v>4</v>
      </c>
      <c r="M2319" s="4" t="str">
        <f>IFERROR(__xludf.DUMMYFUNCTION("""COMPUTED_VALUE"""),"Eclética Tecnologia")</f>
        <v>Eclética Tecnologia</v>
      </c>
      <c r="N2319" s="33">
        <f>IFERROR(__xludf.DUMMYFUNCTION("""COMPUTED_VALUE"""),1.0)</f>
        <v>1</v>
      </c>
      <c r="O2319" s="4" t="str">
        <f>IFERROR(__xludf.DUMMYFUNCTION("""COMPUTED_VALUE"""),"Eclética Tecnologia")</f>
        <v>Eclética Tecnologia</v>
      </c>
      <c r="P2319" s="33">
        <f>IFERROR(__xludf.DUMMYFUNCTION("""COMPUTED_VALUE"""),1.0)</f>
        <v>1</v>
      </c>
      <c r="Q2319" s="4" t="str">
        <f>IFERROR(__xludf.DUMMYFUNCTION("""COMPUTED_VALUE"""),"Eclética Tecnologia")</f>
        <v>Eclética Tecnologia</v>
      </c>
      <c r="R2319" s="33">
        <f>IFERROR(__xludf.DUMMYFUNCTION("""COMPUTED_VALUE"""),1.0)</f>
        <v>1</v>
      </c>
      <c r="S2319" s="4" t="str">
        <f>IFERROR(__xludf.DUMMYFUNCTION("""COMPUTED_VALUE"""),"Eclética Tecnologia")</f>
        <v>Eclética Tecnologia</v>
      </c>
      <c r="T2319" s="33">
        <f>IFERROR(__xludf.DUMMYFUNCTION("""COMPUTED_VALUE"""),1.0)</f>
        <v>1</v>
      </c>
      <c r="U2319" s="4" t="str">
        <f>IFERROR(__xludf.DUMMYFUNCTION("""COMPUTED_VALUE"""),"Eclética Tecnologia")</f>
        <v>Eclética Tecnologia</v>
      </c>
      <c r="V2319" s="33">
        <f>IFERROR(__xludf.DUMMYFUNCTION("""COMPUTED_VALUE"""),1.0)</f>
        <v>1</v>
      </c>
      <c r="W2319" s="4" t="str">
        <f>IFERROR(__xludf.DUMMYFUNCTION("""COMPUTED_VALUE"""),"Eclética Tecnologia")</f>
        <v>Eclética Tecnologia</v>
      </c>
      <c r="X2319" s="33">
        <f>IFERROR(__xludf.DUMMYFUNCTION("""COMPUTED_VALUE"""),1.0)</f>
        <v>1</v>
      </c>
    </row>
    <row r="2320">
      <c r="K2320" s="4" t="str">
        <f>IFERROR(__xludf.DUMMYFUNCTION("""COMPUTED_VALUE"""),"GOIABEIRAS GOURMET")</f>
        <v>GOIABEIRAS GOURMET</v>
      </c>
      <c r="L2320" s="32">
        <f>IFERROR(__xludf.DUMMYFUNCTION("""COMPUTED_VALUE"""),4.0)</f>
        <v>4</v>
      </c>
      <c r="M2320" s="4" t="str">
        <f>IFERROR(__xludf.DUMMYFUNCTION("""COMPUTED_VALUE"""),"null")</f>
        <v>null</v>
      </c>
      <c r="N2320" s="33">
        <f>IFERROR(__xludf.DUMMYFUNCTION("""COMPUTED_VALUE"""),0.75)</f>
        <v>0.75</v>
      </c>
      <c r="O2320" s="4" t="str">
        <f>IFERROR(__xludf.DUMMYFUNCTION("""COMPUTED_VALUE"""),"null")</f>
        <v>null</v>
      </c>
      <c r="P2320" s="33">
        <f>IFERROR(__xludf.DUMMYFUNCTION("""COMPUTED_VALUE"""),1.0)</f>
        <v>1</v>
      </c>
      <c r="Q2320" s="4" t="str">
        <f>IFERROR(__xludf.DUMMYFUNCTION("""COMPUTED_VALUE"""),"null")</f>
        <v>null</v>
      </c>
      <c r="R2320" s="33">
        <f>IFERROR(__xludf.DUMMYFUNCTION("""COMPUTED_VALUE"""),1.0)</f>
        <v>1</v>
      </c>
      <c r="S2320" s="4" t="str">
        <f>IFERROR(__xludf.DUMMYFUNCTION("""COMPUTED_VALUE"""),"Saipos Serviços De Software")</f>
        <v>Saipos Serviços De Software</v>
      </c>
      <c r="T2320" s="33">
        <f>IFERROR(__xludf.DUMMYFUNCTION("""COMPUTED_VALUE"""),0.75)</f>
        <v>0.75</v>
      </c>
      <c r="U2320" s="4" t="str">
        <f>IFERROR(__xludf.DUMMYFUNCTION("""COMPUTED_VALUE"""),"Saipos Serviços De Software")</f>
        <v>Saipos Serviços De Software</v>
      </c>
      <c r="V2320" s="33">
        <f>IFERROR(__xludf.DUMMYFUNCTION("""COMPUTED_VALUE"""),1.0)</f>
        <v>1</v>
      </c>
      <c r="W2320" s="4" t="str">
        <f>IFERROR(__xludf.DUMMYFUNCTION("""COMPUTED_VALUE"""),"Saipos Serviços De Software")</f>
        <v>Saipos Serviços De Software</v>
      </c>
      <c r="X2320" s="33">
        <f>IFERROR(__xludf.DUMMYFUNCTION("""COMPUTED_VALUE"""),1.0)</f>
        <v>1</v>
      </c>
    </row>
    <row r="2321">
      <c r="K2321" s="4" t="str">
        <f>IFERROR(__xludf.DUMMYFUNCTION("""COMPUTED_VALUE"""),"GORDINHO LANCHES CONTA PAI")</f>
        <v>GORDINHO LANCHES CONTA PAI</v>
      </c>
      <c r="L2321" s="32">
        <f>IFERROR(__xludf.DUMMYFUNCTION("""COMPUTED_VALUE"""),4.0)</f>
        <v>4</v>
      </c>
      <c r="M2321" s="4" t="str">
        <f>IFERROR(__xludf.DUMMYFUNCTION("""COMPUTED_VALUE"""),"Sagres Automação Comercial")</f>
        <v>Sagres Automação Comercial</v>
      </c>
      <c r="N2321" s="33">
        <f>IFERROR(__xludf.DUMMYFUNCTION("""COMPUTED_VALUE"""),0.75)</f>
        <v>0.75</v>
      </c>
      <c r="O2321" s="4" t="str">
        <f>IFERROR(__xludf.DUMMYFUNCTION("""COMPUTED_VALUE"""),"Sagres Automação Comercial")</f>
        <v>Sagres Automação Comercial</v>
      </c>
      <c r="P2321" s="33">
        <f>IFERROR(__xludf.DUMMYFUNCTION("""COMPUTED_VALUE"""),0.75)</f>
        <v>0.75</v>
      </c>
      <c r="Q2321" s="4" t="str">
        <f>IFERROR(__xludf.DUMMYFUNCTION("""COMPUTED_VALUE"""),"Sagres Automação Comercial")</f>
        <v>Sagres Automação Comercial</v>
      </c>
      <c r="R2321" s="33">
        <f>IFERROR(__xludf.DUMMYFUNCTION("""COMPUTED_VALUE"""),0.75)</f>
        <v>0.75</v>
      </c>
      <c r="S2321" s="4" t="str">
        <f>IFERROR(__xludf.DUMMYFUNCTION("""COMPUTED_VALUE"""),"Sagres Automação Comercial")</f>
        <v>Sagres Automação Comercial</v>
      </c>
      <c r="T2321" s="33">
        <f>IFERROR(__xludf.DUMMYFUNCTION("""COMPUTED_VALUE"""),0.75)</f>
        <v>0.75</v>
      </c>
      <c r="U2321" s="4" t="str">
        <f>IFERROR(__xludf.DUMMYFUNCTION("""COMPUTED_VALUE"""),"null")</f>
        <v>null</v>
      </c>
      <c r="V2321" s="33">
        <f>IFERROR(__xludf.DUMMYFUNCTION("""COMPUTED_VALUE"""),0.5)</f>
        <v>0.5</v>
      </c>
      <c r="W2321" s="4" t="str">
        <f>IFERROR(__xludf.DUMMYFUNCTION("""COMPUTED_VALUE"""),"Sagres Automação Comercial")</f>
        <v>Sagres Automação Comercial</v>
      </c>
      <c r="X2321" s="33">
        <f>IFERROR(__xludf.DUMMYFUNCTION("""COMPUTED_VALUE"""),1.0)</f>
        <v>1</v>
      </c>
    </row>
    <row r="2322">
      <c r="K2322" s="4" t="str">
        <f>IFERROR(__xludf.DUMMYFUNCTION("""COMPUTED_VALUE"""),"GORDUCHOS LANCHES")</f>
        <v>GORDUCHOS LANCHES</v>
      </c>
      <c r="L2322" s="32">
        <f>IFERROR(__xludf.DUMMYFUNCTION("""COMPUTED_VALUE"""),4.0)</f>
        <v>4</v>
      </c>
      <c r="M2322" s="4" t="str">
        <f>IFERROR(__xludf.DUMMYFUNCTION("""COMPUTED_VALUE"""),"Suitable Tecnologia E Gestao")</f>
        <v>Suitable Tecnologia E Gestao</v>
      </c>
      <c r="N2322" s="33">
        <f>IFERROR(__xludf.DUMMYFUNCTION("""COMPUTED_VALUE"""),1.0)</f>
        <v>1</v>
      </c>
      <c r="O2322" s="4" t="str">
        <f>IFERROR(__xludf.DUMMYFUNCTION("""COMPUTED_VALUE"""),"Suitable Tecnologia E Gestao")</f>
        <v>Suitable Tecnologia E Gestao</v>
      </c>
      <c r="P2322" s="33">
        <f>IFERROR(__xludf.DUMMYFUNCTION("""COMPUTED_VALUE"""),1.0)</f>
        <v>1</v>
      </c>
      <c r="Q2322" s="4" t="str">
        <f>IFERROR(__xludf.DUMMYFUNCTION("""COMPUTED_VALUE"""),"Suitable Tecnologia E Gestao")</f>
        <v>Suitable Tecnologia E Gestao</v>
      </c>
      <c r="R2322" s="33">
        <f>IFERROR(__xludf.DUMMYFUNCTION("""COMPUTED_VALUE"""),1.0)</f>
        <v>1</v>
      </c>
      <c r="S2322" s="4" t="str">
        <f>IFERROR(__xludf.DUMMYFUNCTION("""COMPUTED_VALUE"""),"Suitable Tecnologia E Gestao")</f>
        <v>Suitable Tecnologia E Gestao</v>
      </c>
      <c r="T2322" s="33">
        <f>IFERROR(__xludf.DUMMYFUNCTION("""COMPUTED_VALUE"""),1.0)</f>
        <v>1</v>
      </c>
      <c r="U2322" s="4" t="str">
        <f>IFERROR(__xludf.DUMMYFUNCTION("""COMPUTED_VALUE"""),"Suitable Tecnologia E Gestao")</f>
        <v>Suitable Tecnologia E Gestao</v>
      </c>
      <c r="V2322" s="33">
        <f>IFERROR(__xludf.DUMMYFUNCTION("""COMPUTED_VALUE"""),1.0)</f>
        <v>1</v>
      </c>
      <c r="W2322" s="4" t="str">
        <f>IFERROR(__xludf.DUMMYFUNCTION("""COMPUTED_VALUE"""),"Suitable Tecnologia E Gestao")</f>
        <v>Suitable Tecnologia E Gestao</v>
      </c>
      <c r="X2322" s="33">
        <f>IFERROR(__xludf.DUMMYFUNCTION("""COMPUTED_VALUE"""),1.0)</f>
        <v>1</v>
      </c>
    </row>
    <row r="2323">
      <c r="K2323" s="4" t="str">
        <f>IFERROR(__xludf.DUMMYFUNCTION("""COMPUTED_VALUE"""),"GREGORIO PIZZAS")</f>
        <v>GREGORIO PIZZAS</v>
      </c>
      <c r="L2323" s="32">
        <f>IFERROR(__xludf.DUMMYFUNCTION("""COMPUTED_VALUE"""),4.0)</f>
        <v>4</v>
      </c>
      <c r="M2323" s="4" t="str">
        <f>IFERROR(__xludf.DUMMYFUNCTION("""COMPUTED_VALUE"""),"Saipos Serviços De Software")</f>
        <v>Saipos Serviços De Software</v>
      </c>
      <c r="N2323" s="33">
        <f>IFERROR(__xludf.DUMMYFUNCTION("""COMPUTED_VALUE"""),1.0)</f>
        <v>1</v>
      </c>
      <c r="O2323" s="4" t="str">
        <f>IFERROR(__xludf.DUMMYFUNCTION("""COMPUTED_VALUE"""),"Saipos Serviços De Software")</f>
        <v>Saipos Serviços De Software</v>
      </c>
      <c r="P2323" s="33">
        <f>IFERROR(__xludf.DUMMYFUNCTION("""COMPUTED_VALUE"""),1.0)</f>
        <v>1</v>
      </c>
      <c r="Q2323" s="4" t="str">
        <f>IFERROR(__xludf.DUMMYFUNCTION("""COMPUTED_VALUE"""),"Saipos Serviços De Software")</f>
        <v>Saipos Serviços De Software</v>
      </c>
      <c r="R2323" s="33">
        <f>IFERROR(__xludf.DUMMYFUNCTION("""COMPUTED_VALUE"""),1.0)</f>
        <v>1</v>
      </c>
      <c r="S2323" s="4" t="str">
        <f>IFERROR(__xludf.DUMMYFUNCTION("""COMPUTED_VALUE"""),"Saipos Serviços De Software")</f>
        <v>Saipos Serviços De Software</v>
      </c>
      <c r="T2323" s="33">
        <f>IFERROR(__xludf.DUMMYFUNCTION("""COMPUTED_VALUE"""),1.0)</f>
        <v>1</v>
      </c>
      <c r="U2323" s="4" t="str">
        <f>IFERROR(__xludf.DUMMYFUNCTION("""COMPUTED_VALUE"""),"Saipos Serviços De Software")</f>
        <v>Saipos Serviços De Software</v>
      </c>
      <c r="V2323" s="33">
        <f>IFERROR(__xludf.DUMMYFUNCTION("""COMPUTED_VALUE"""),1.0)</f>
        <v>1</v>
      </c>
      <c r="W2323" s="4" t="str">
        <f>IFERROR(__xludf.DUMMYFUNCTION("""COMPUTED_VALUE"""),"Saipos Serviços De Software")</f>
        <v>Saipos Serviços De Software</v>
      </c>
      <c r="X2323" s="33">
        <f>IFERROR(__xludf.DUMMYFUNCTION("""COMPUTED_VALUE"""),1.0)</f>
        <v>1</v>
      </c>
    </row>
    <row r="2324">
      <c r="K2324" s="4" t="str">
        <f>IFERROR(__xludf.DUMMYFUNCTION("""COMPUTED_VALUE"""),"GRELHATTA TERESINA")</f>
        <v>GRELHATTA TERESINA</v>
      </c>
      <c r="L2324" s="32">
        <f>IFERROR(__xludf.DUMMYFUNCTION("""COMPUTED_VALUE"""),4.0)</f>
        <v>4</v>
      </c>
      <c r="M2324" s="4" t="str">
        <f>IFERROR(__xludf.DUMMYFUNCTION("""COMPUTED_VALUE"""),"Cooknet Automacao Comercial")</f>
        <v>Cooknet Automacao Comercial</v>
      </c>
      <c r="N2324" s="33">
        <f>IFERROR(__xludf.DUMMYFUNCTION("""COMPUTED_VALUE"""),0.5)</f>
        <v>0.5</v>
      </c>
      <c r="O2324" s="4" t="str">
        <f>IFERROR(__xludf.DUMMYFUNCTION("""COMPUTED_VALUE"""),"Cooknet Automacao Comercial")</f>
        <v>Cooknet Automacao Comercial</v>
      </c>
      <c r="P2324" s="33">
        <f>IFERROR(__xludf.DUMMYFUNCTION("""COMPUTED_VALUE"""),0.5)</f>
        <v>0.5</v>
      </c>
      <c r="Q2324" s="4" t="str">
        <f>IFERROR(__xludf.DUMMYFUNCTION("""COMPUTED_VALUE"""),"Cooknet Automacao Comercial")</f>
        <v>Cooknet Automacao Comercial</v>
      </c>
      <c r="R2324" s="33">
        <f>IFERROR(__xludf.DUMMYFUNCTION("""COMPUTED_VALUE"""),0.5)</f>
        <v>0.5</v>
      </c>
      <c r="S2324" s="4" t="str">
        <f>IFERROR(__xludf.DUMMYFUNCTION("""COMPUTED_VALUE"""),"Cooknet Automacao Comercial")</f>
        <v>Cooknet Automacao Comercial</v>
      </c>
      <c r="T2324" s="33">
        <f>IFERROR(__xludf.DUMMYFUNCTION("""COMPUTED_VALUE"""),0.5)</f>
        <v>0.5</v>
      </c>
      <c r="U2324" s="4" t="str">
        <f>IFERROR(__xludf.DUMMYFUNCTION("""COMPUTED_VALUE"""),"Cooknet Automacao Comercial")</f>
        <v>Cooknet Automacao Comercial</v>
      </c>
      <c r="V2324" s="33">
        <f>IFERROR(__xludf.DUMMYFUNCTION("""COMPUTED_VALUE"""),0.5)</f>
        <v>0.5</v>
      </c>
      <c r="W2324" s="4" t="str">
        <f>IFERROR(__xludf.DUMMYFUNCTION("""COMPUTED_VALUE"""),"Cooknet Automacao Comercial")</f>
        <v>Cooknet Automacao Comercial</v>
      </c>
      <c r="X2324" s="33">
        <f>IFERROR(__xludf.DUMMYFUNCTION("""COMPUTED_VALUE"""),0.5)</f>
        <v>0.5</v>
      </c>
    </row>
    <row r="2325">
      <c r="K2325" s="4" t="str">
        <f>IFERROR(__xludf.DUMMYFUNCTION("""COMPUTED_VALUE"""),"GRUPO - PIZZARIA MAX BURGUER")</f>
        <v>GRUPO - PIZZARIA MAX BURGUER</v>
      </c>
      <c r="L2325" s="32">
        <f>IFERROR(__xludf.DUMMYFUNCTION("""COMPUTED_VALUE"""),4.0)</f>
        <v>4</v>
      </c>
      <c r="M2325" s="4" t="str">
        <f>IFERROR(__xludf.DUMMYFUNCTION("""COMPUTED_VALUE"""),"Ncr")</f>
        <v>Ncr</v>
      </c>
      <c r="N2325" s="33">
        <f>IFERROR(__xludf.DUMMYFUNCTION("""COMPUTED_VALUE"""),1.0)</f>
        <v>1</v>
      </c>
      <c r="O2325" s="4" t="str">
        <f>IFERROR(__xludf.DUMMYFUNCTION("""COMPUTED_VALUE"""),"Ncr")</f>
        <v>Ncr</v>
      </c>
      <c r="P2325" s="33">
        <f>IFERROR(__xludf.DUMMYFUNCTION("""COMPUTED_VALUE"""),1.0)</f>
        <v>1</v>
      </c>
      <c r="Q2325" s="4" t="str">
        <f>IFERROR(__xludf.DUMMYFUNCTION("""COMPUTED_VALUE"""),"Ncr")</f>
        <v>Ncr</v>
      </c>
      <c r="R2325" s="33">
        <f>IFERROR(__xludf.DUMMYFUNCTION("""COMPUTED_VALUE"""),1.0)</f>
        <v>1</v>
      </c>
      <c r="S2325" s="4" t="str">
        <f>IFERROR(__xludf.DUMMYFUNCTION("""COMPUTED_VALUE"""),"Ncr")</f>
        <v>Ncr</v>
      </c>
      <c r="T2325" s="33">
        <f>IFERROR(__xludf.DUMMYFUNCTION("""COMPUTED_VALUE"""),1.0)</f>
        <v>1</v>
      </c>
      <c r="U2325" s="4" t="str">
        <f>IFERROR(__xludf.DUMMYFUNCTION("""COMPUTED_VALUE"""),"Ncr")</f>
        <v>Ncr</v>
      </c>
      <c r="V2325" s="33">
        <f>IFERROR(__xludf.DUMMYFUNCTION("""COMPUTED_VALUE"""),1.0)</f>
        <v>1</v>
      </c>
      <c r="W2325" s="4" t="str">
        <f>IFERROR(__xludf.DUMMYFUNCTION("""COMPUTED_VALUE"""),"Ncr")</f>
        <v>Ncr</v>
      </c>
      <c r="X2325" s="33">
        <f>IFERROR(__xludf.DUMMYFUNCTION("""COMPUTED_VALUE"""),1.0)</f>
        <v>1</v>
      </c>
    </row>
    <row r="2326">
      <c r="K2326" s="4" t="str">
        <f>IFERROR(__xludf.DUMMYFUNCTION("""COMPUTED_VALUE"""),"GRUPO ACAI SORRISO GELADO")</f>
        <v>GRUPO ACAI SORRISO GELADO</v>
      </c>
      <c r="L2326" s="32">
        <f>IFERROR(__xludf.DUMMYFUNCTION("""COMPUTED_VALUE"""),4.0)</f>
        <v>4</v>
      </c>
      <c r="M2326" s="4" t="str">
        <f>IFERROR(__xludf.DUMMYFUNCTION("""COMPUTED_VALUE"""),"null")</f>
        <v>null</v>
      </c>
      <c r="N2326" s="33">
        <f>IFERROR(__xludf.DUMMYFUNCTION("""COMPUTED_VALUE"""),1.0)</f>
        <v>1</v>
      </c>
      <c r="O2326" s="4" t="str">
        <f>IFERROR(__xludf.DUMMYFUNCTION("""COMPUTED_VALUE"""),"null")</f>
        <v>null</v>
      </c>
      <c r="P2326" s="33">
        <f>IFERROR(__xludf.DUMMYFUNCTION("""COMPUTED_VALUE"""),1.0)</f>
        <v>1</v>
      </c>
      <c r="Q2326" s="4" t="str">
        <f>IFERROR(__xludf.DUMMYFUNCTION("""COMPUTED_VALUE"""),"null")</f>
        <v>null</v>
      </c>
      <c r="R2326" s="33">
        <f>IFERROR(__xludf.DUMMYFUNCTION("""COMPUTED_VALUE"""),1.0)</f>
        <v>1</v>
      </c>
      <c r="S2326" s="4" t="str">
        <f>IFERROR(__xludf.DUMMYFUNCTION("""COMPUTED_VALUE"""),"null")</f>
        <v>null</v>
      </c>
      <c r="T2326" s="33">
        <f>IFERROR(__xludf.DUMMYFUNCTION("""COMPUTED_VALUE"""),1.0)</f>
        <v>1</v>
      </c>
      <c r="U2326" s="4" t="str">
        <f>IFERROR(__xludf.DUMMYFUNCTION("""COMPUTED_VALUE"""),"null")</f>
        <v>null</v>
      </c>
      <c r="V2326" s="33">
        <f>IFERROR(__xludf.DUMMYFUNCTION("""COMPUTED_VALUE"""),0.75)</f>
        <v>0.75</v>
      </c>
      <c r="W2326" s="4" t="str">
        <f>IFERROR(__xludf.DUMMYFUNCTION("""COMPUTED_VALUE"""),"Saipos Serviços De Software")</f>
        <v>Saipos Serviços De Software</v>
      </c>
      <c r="X2326" s="33">
        <f>IFERROR(__xludf.DUMMYFUNCTION("""COMPUTED_VALUE"""),1.0)</f>
        <v>1</v>
      </c>
    </row>
    <row r="2327">
      <c r="K2327" s="4" t="str">
        <f>IFERROR(__xludf.DUMMYFUNCTION("""COMPUTED_VALUE"""),"GRUPO ART PIZZA")</f>
        <v>GRUPO ART PIZZA</v>
      </c>
      <c r="L2327" s="32">
        <f>IFERROR(__xludf.DUMMYFUNCTION("""COMPUTED_VALUE"""),4.0)</f>
        <v>4</v>
      </c>
      <c r="M2327" s="4" t="str">
        <f>IFERROR(__xludf.DUMMYFUNCTION("""COMPUTED_VALUE"""),"null")</f>
        <v>null</v>
      </c>
      <c r="N2327" s="33">
        <f>IFERROR(__xludf.DUMMYFUNCTION("""COMPUTED_VALUE"""),0.5)</f>
        <v>0.5</v>
      </c>
      <c r="O2327" s="4" t="str">
        <f>IFERROR(__xludf.DUMMYFUNCTION("""COMPUTED_VALUE"""),"Simsoft Rp Tecnologia")</f>
        <v>Simsoft Rp Tecnologia</v>
      </c>
      <c r="P2327" s="33">
        <f>IFERROR(__xludf.DUMMYFUNCTION("""COMPUTED_VALUE"""),0.5)</f>
        <v>0.5</v>
      </c>
      <c r="Q2327" s="4" t="str">
        <f>IFERROR(__xludf.DUMMYFUNCTION("""COMPUTED_VALUE"""),"null")</f>
        <v>null</v>
      </c>
      <c r="R2327" s="33">
        <f>IFERROR(__xludf.DUMMYFUNCTION("""COMPUTED_VALUE"""),0.5)</f>
        <v>0.5</v>
      </c>
      <c r="S2327" s="4" t="str">
        <f>IFERROR(__xludf.DUMMYFUNCTION("""COMPUTED_VALUE"""),"Simsoft Rp Tecnologia")</f>
        <v>Simsoft Rp Tecnologia</v>
      </c>
      <c r="T2327" s="33">
        <f>IFERROR(__xludf.DUMMYFUNCTION("""COMPUTED_VALUE"""),0.5)</f>
        <v>0.5</v>
      </c>
      <c r="U2327" s="4" t="str">
        <f>IFERROR(__xludf.DUMMYFUNCTION("""COMPUTED_VALUE"""),"Saipos Serviços De Software")</f>
        <v>Saipos Serviços De Software</v>
      </c>
      <c r="V2327" s="33">
        <f>IFERROR(__xludf.DUMMYFUNCTION("""COMPUTED_VALUE"""),0.5)</f>
        <v>0.5</v>
      </c>
      <c r="W2327" s="4" t="str">
        <f>IFERROR(__xludf.DUMMYFUNCTION("""COMPUTED_VALUE"""),"Saipos Serviços De Software")</f>
        <v>Saipos Serviços De Software</v>
      </c>
      <c r="X2327" s="33">
        <f>IFERROR(__xludf.DUMMYFUNCTION("""COMPUTED_VALUE"""),0.5)</f>
        <v>0.5</v>
      </c>
    </row>
    <row r="2328">
      <c r="K2328" s="4" t="str">
        <f>IFERROR(__xludf.DUMMYFUNCTION("""COMPUTED_VALUE"""),"GRUPO BIG X PICANHA")</f>
        <v>GRUPO BIG X PICANHA</v>
      </c>
      <c r="L2328" s="32">
        <f>IFERROR(__xludf.DUMMYFUNCTION("""COMPUTED_VALUE"""),4.0)</f>
        <v>4</v>
      </c>
      <c r="M2328" s="4" t="str">
        <f>IFERROR(__xludf.DUMMYFUNCTION("""COMPUTED_VALUE"""),"Ncr")</f>
        <v>Ncr</v>
      </c>
      <c r="N2328" s="33">
        <f>IFERROR(__xludf.DUMMYFUNCTION("""COMPUTED_VALUE"""),1.0)</f>
        <v>1</v>
      </c>
      <c r="O2328" s="4" t="str">
        <f>IFERROR(__xludf.DUMMYFUNCTION("""COMPUTED_VALUE"""),"Ncr")</f>
        <v>Ncr</v>
      </c>
      <c r="P2328" s="33">
        <f>IFERROR(__xludf.DUMMYFUNCTION("""COMPUTED_VALUE"""),1.0)</f>
        <v>1</v>
      </c>
      <c r="Q2328" s="4" t="str">
        <f>IFERROR(__xludf.DUMMYFUNCTION("""COMPUTED_VALUE"""),"Ncr")</f>
        <v>Ncr</v>
      </c>
      <c r="R2328" s="33">
        <f>IFERROR(__xludf.DUMMYFUNCTION("""COMPUTED_VALUE"""),1.0)</f>
        <v>1</v>
      </c>
      <c r="S2328" s="4" t="str">
        <f>IFERROR(__xludf.DUMMYFUNCTION("""COMPUTED_VALUE"""),"Ncr")</f>
        <v>Ncr</v>
      </c>
      <c r="T2328" s="33">
        <f>IFERROR(__xludf.DUMMYFUNCTION("""COMPUTED_VALUE"""),1.0)</f>
        <v>1</v>
      </c>
      <c r="U2328" s="4" t="str">
        <f>IFERROR(__xludf.DUMMYFUNCTION("""COMPUTED_VALUE"""),"Ncr")</f>
        <v>Ncr</v>
      </c>
      <c r="V2328" s="33">
        <f>IFERROR(__xludf.DUMMYFUNCTION("""COMPUTED_VALUE"""),1.0)</f>
        <v>1</v>
      </c>
      <c r="W2328" s="4" t="str">
        <f>IFERROR(__xludf.DUMMYFUNCTION("""COMPUTED_VALUE"""),"Ncr")</f>
        <v>Ncr</v>
      </c>
      <c r="X2328" s="33">
        <f>IFERROR(__xludf.DUMMYFUNCTION("""COMPUTED_VALUE"""),1.0)</f>
        <v>1</v>
      </c>
    </row>
    <row r="2329">
      <c r="K2329" s="4" t="str">
        <f>IFERROR(__xludf.DUMMYFUNCTION("""COMPUTED_VALUE"""),"GRUPO BOM PEDACO")</f>
        <v>GRUPO BOM PEDACO</v>
      </c>
      <c r="L2329" s="32">
        <f>IFERROR(__xludf.DUMMYFUNCTION("""COMPUTED_VALUE"""),4.0)</f>
        <v>4</v>
      </c>
      <c r="M2329" s="4" t="str">
        <f>IFERROR(__xludf.DUMMYFUNCTION("""COMPUTED_VALUE"""),"Looksystem Tecnologia Em Sistemas Ltda")</f>
        <v>Looksystem Tecnologia Em Sistemas Ltda</v>
      </c>
      <c r="N2329" s="33">
        <f>IFERROR(__xludf.DUMMYFUNCTION("""COMPUTED_VALUE"""),1.0)</f>
        <v>1</v>
      </c>
      <c r="O2329" s="4" t="str">
        <f>IFERROR(__xludf.DUMMYFUNCTION("""COMPUTED_VALUE"""),"Looksystem Tecnologia Em Sistemas Ltda")</f>
        <v>Looksystem Tecnologia Em Sistemas Ltda</v>
      </c>
      <c r="P2329" s="33">
        <f>IFERROR(__xludf.DUMMYFUNCTION("""COMPUTED_VALUE"""),1.0)</f>
        <v>1</v>
      </c>
      <c r="Q2329" s="4" t="str">
        <f>IFERROR(__xludf.DUMMYFUNCTION("""COMPUTED_VALUE"""),"Looksystem Tecnologia Em Sistemas Ltda")</f>
        <v>Looksystem Tecnologia Em Sistemas Ltda</v>
      </c>
      <c r="R2329" s="33">
        <f>IFERROR(__xludf.DUMMYFUNCTION("""COMPUTED_VALUE"""),1.0)</f>
        <v>1</v>
      </c>
      <c r="S2329" s="4" t="str">
        <f>IFERROR(__xludf.DUMMYFUNCTION("""COMPUTED_VALUE"""),"Looksystem Tecnologia Em Sistemas Ltda")</f>
        <v>Looksystem Tecnologia Em Sistemas Ltda</v>
      </c>
      <c r="T2329" s="33">
        <f>IFERROR(__xludf.DUMMYFUNCTION("""COMPUTED_VALUE"""),1.0)</f>
        <v>1</v>
      </c>
      <c r="U2329" s="4" t="str">
        <f>IFERROR(__xludf.DUMMYFUNCTION("""COMPUTED_VALUE"""),"Looksystem Tecnologia Em Sistemas Ltda")</f>
        <v>Looksystem Tecnologia Em Sistemas Ltda</v>
      </c>
      <c r="V2329" s="33">
        <f>IFERROR(__xludf.DUMMYFUNCTION("""COMPUTED_VALUE"""),1.0)</f>
        <v>1</v>
      </c>
      <c r="W2329" s="4" t="str">
        <f>IFERROR(__xludf.DUMMYFUNCTION("""COMPUTED_VALUE"""),"Looksystem Tecnologia Em Sistemas Ltda")</f>
        <v>Looksystem Tecnologia Em Sistemas Ltda</v>
      </c>
      <c r="X2329" s="33">
        <f>IFERROR(__xludf.DUMMYFUNCTION("""COMPUTED_VALUE"""),1.0)</f>
        <v>1</v>
      </c>
    </row>
    <row r="2330">
      <c r="K2330" s="4" t="str">
        <f>IFERROR(__xludf.DUMMYFUNCTION("""COMPUTED_VALUE"""),"GRUPO BONSAI")</f>
        <v>GRUPO BONSAI</v>
      </c>
      <c r="L2330" s="32">
        <f>IFERROR(__xludf.DUMMYFUNCTION("""COMPUTED_VALUE"""),4.0)</f>
        <v>4</v>
      </c>
      <c r="M2330" s="4" t="str">
        <f>IFERROR(__xludf.DUMMYFUNCTION("""COMPUTED_VALUE"""),"Winfood")</f>
        <v>Winfood</v>
      </c>
      <c r="N2330" s="33">
        <f>IFERROR(__xludf.DUMMYFUNCTION("""COMPUTED_VALUE"""),1.0)</f>
        <v>1</v>
      </c>
      <c r="O2330" s="4" t="str">
        <f>IFERROR(__xludf.DUMMYFUNCTION("""COMPUTED_VALUE"""),"Winfood")</f>
        <v>Winfood</v>
      </c>
      <c r="P2330" s="33">
        <f>IFERROR(__xludf.DUMMYFUNCTION("""COMPUTED_VALUE"""),1.0)</f>
        <v>1</v>
      </c>
      <c r="Q2330" s="4" t="str">
        <f>IFERROR(__xludf.DUMMYFUNCTION("""COMPUTED_VALUE"""),"Winfood")</f>
        <v>Winfood</v>
      </c>
      <c r="R2330" s="33">
        <f>IFERROR(__xludf.DUMMYFUNCTION("""COMPUTED_VALUE"""),1.0)</f>
        <v>1</v>
      </c>
      <c r="S2330" s="4" t="str">
        <f>IFERROR(__xludf.DUMMYFUNCTION("""COMPUTED_VALUE"""),"Winfood")</f>
        <v>Winfood</v>
      </c>
      <c r="T2330" s="33">
        <f>IFERROR(__xludf.DUMMYFUNCTION("""COMPUTED_VALUE"""),1.0)</f>
        <v>1</v>
      </c>
      <c r="U2330" s="4" t="str">
        <f>IFERROR(__xludf.DUMMYFUNCTION("""COMPUTED_VALUE"""),"Winfood")</f>
        <v>Winfood</v>
      </c>
      <c r="V2330" s="33">
        <f>IFERROR(__xludf.DUMMYFUNCTION("""COMPUTED_VALUE"""),1.0)</f>
        <v>1</v>
      </c>
      <c r="W2330" s="4" t="str">
        <f>IFERROR(__xludf.DUMMYFUNCTION("""COMPUTED_VALUE"""),"Winfood")</f>
        <v>Winfood</v>
      </c>
      <c r="X2330" s="33">
        <f>IFERROR(__xludf.DUMMYFUNCTION("""COMPUTED_VALUE"""),1.0)</f>
        <v>1</v>
      </c>
    </row>
    <row r="2331">
      <c r="K2331" s="4" t="str">
        <f>IFERROR(__xludf.DUMMYFUNCTION("""COMPUTED_VALUE"""),"GRUPO BOTECO CURITIBA E PITIZZA - CONTA MARCA")</f>
        <v>GRUPO BOTECO CURITIBA E PITIZZA - CONTA MARCA</v>
      </c>
      <c r="L2331" s="32">
        <f>IFERROR(__xludf.DUMMYFUNCTION("""COMPUTED_VALUE"""),4.0)</f>
        <v>4</v>
      </c>
      <c r="M2331" s="4" t="str">
        <f>IFERROR(__xludf.DUMMYFUNCTION("""COMPUTED_VALUE"""),"Jclan Sistemas")</f>
        <v>Jclan Sistemas</v>
      </c>
      <c r="N2331" s="33">
        <f>IFERROR(__xludf.DUMMYFUNCTION("""COMPUTED_VALUE"""),1.0)</f>
        <v>1</v>
      </c>
      <c r="O2331" s="4" t="str">
        <f>IFERROR(__xludf.DUMMYFUNCTION("""COMPUTED_VALUE"""),"Jclan Sistemas")</f>
        <v>Jclan Sistemas</v>
      </c>
      <c r="P2331" s="33">
        <f>IFERROR(__xludf.DUMMYFUNCTION("""COMPUTED_VALUE"""),0.75)</f>
        <v>0.75</v>
      </c>
      <c r="Q2331" s="4" t="str">
        <f>IFERROR(__xludf.DUMMYFUNCTION("""COMPUTED_VALUE"""),"null")</f>
        <v>null</v>
      </c>
      <c r="R2331" s="33">
        <f>IFERROR(__xludf.DUMMYFUNCTION("""COMPUTED_VALUE"""),0.5)</f>
        <v>0.5</v>
      </c>
      <c r="S2331" s="4" t="str">
        <f>IFERROR(__xludf.DUMMYFUNCTION("""COMPUTED_VALUE"""),"Jclan Sistemas")</f>
        <v>Jclan Sistemas</v>
      </c>
      <c r="T2331" s="33">
        <f>IFERROR(__xludf.DUMMYFUNCTION("""COMPUTED_VALUE"""),0.5)</f>
        <v>0.5</v>
      </c>
      <c r="U2331" s="4" t="str">
        <f>IFERROR(__xludf.DUMMYFUNCTION("""COMPUTED_VALUE"""),"null")</f>
        <v>null</v>
      </c>
      <c r="V2331" s="33">
        <f>IFERROR(__xludf.DUMMYFUNCTION("""COMPUTED_VALUE"""),0.75)</f>
        <v>0.75</v>
      </c>
      <c r="W2331" s="4" t="str">
        <f>IFERROR(__xludf.DUMMYFUNCTION("""COMPUTED_VALUE"""),"Jclan Sistemas")</f>
        <v>Jclan Sistemas</v>
      </c>
      <c r="X2331" s="33">
        <f>IFERROR(__xludf.DUMMYFUNCTION("""COMPUTED_VALUE"""),0.5)</f>
        <v>0.5</v>
      </c>
    </row>
    <row r="2332">
      <c r="K2332" s="4" t="str">
        <f>IFERROR(__xludf.DUMMYFUNCTION("""COMPUTED_VALUE"""),"GRUPO BRAVOS")</f>
        <v>GRUPO BRAVOS</v>
      </c>
      <c r="L2332" s="32">
        <f>IFERROR(__xludf.DUMMYFUNCTION("""COMPUTED_VALUE"""),4.0)</f>
        <v>4</v>
      </c>
      <c r="M2332" s="4" t="str">
        <f>IFERROR(__xludf.DUMMYFUNCTION("""COMPUTED_VALUE"""),"Agilizup Solucoes Ltda")</f>
        <v>Agilizup Solucoes Ltda</v>
      </c>
      <c r="N2332" s="33">
        <f>IFERROR(__xludf.DUMMYFUNCTION("""COMPUTED_VALUE"""),1.0)</f>
        <v>1</v>
      </c>
      <c r="O2332" s="4" t="str">
        <f>IFERROR(__xludf.DUMMYFUNCTION("""COMPUTED_VALUE"""),"Agilizup Solucoes Ltda")</f>
        <v>Agilizup Solucoes Ltda</v>
      </c>
      <c r="P2332" s="33">
        <f>IFERROR(__xludf.DUMMYFUNCTION("""COMPUTED_VALUE"""),1.0)</f>
        <v>1</v>
      </c>
      <c r="Q2332" s="4" t="str">
        <f>IFERROR(__xludf.DUMMYFUNCTION("""COMPUTED_VALUE"""),"Agilizup Solucoes Ltda")</f>
        <v>Agilizup Solucoes Ltda</v>
      </c>
      <c r="R2332" s="33">
        <f>IFERROR(__xludf.DUMMYFUNCTION("""COMPUTED_VALUE"""),1.0)</f>
        <v>1</v>
      </c>
      <c r="S2332" s="4" t="str">
        <f>IFERROR(__xludf.DUMMYFUNCTION("""COMPUTED_VALUE"""),"Agilizup Solucoes Ltda")</f>
        <v>Agilizup Solucoes Ltda</v>
      </c>
      <c r="T2332" s="33">
        <f>IFERROR(__xludf.DUMMYFUNCTION("""COMPUTED_VALUE"""),1.0)</f>
        <v>1</v>
      </c>
      <c r="U2332" s="4" t="str">
        <f>IFERROR(__xludf.DUMMYFUNCTION("""COMPUTED_VALUE"""),"Agilizup Solucoes Ltda")</f>
        <v>Agilizup Solucoes Ltda</v>
      </c>
      <c r="V2332" s="33">
        <f>IFERROR(__xludf.DUMMYFUNCTION("""COMPUTED_VALUE"""),1.0)</f>
        <v>1</v>
      </c>
      <c r="W2332" s="4" t="str">
        <f>IFERROR(__xludf.DUMMYFUNCTION("""COMPUTED_VALUE"""),"Agilizup Solucoes Ltda")</f>
        <v>Agilizup Solucoes Ltda</v>
      </c>
      <c r="X2332" s="33">
        <f>IFERROR(__xludf.DUMMYFUNCTION("""COMPUTED_VALUE"""),1.0)</f>
        <v>1</v>
      </c>
    </row>
    <row r="2333">
      <c r="K2333" s="4" t="str">
        <f>IFERROR(__xludf.DUMMYFUNCTION("""COMPUTED_VALUE"""),"GRUPO CAMARATTA SERGIPE")</f>
        <v>GRUPO CAMARATTA SERGIPE</v>
      </c>
      <c r="L2333" s="32">
        <f>IFERROR(__xludf.DUMMYFUNCTION("""COMPUTED_VALUE"""),4.0)</f>
        <v>4</v>
      </c>
      <c r="M2333" s="4" t="str">
        <f>IFERROR(__xludf.DUMMYFUNCTION("""COMPUTED_VALUE"""),"null")</f>
        <v>null</v>
      </c>
      <c r="N2333" s="33">
        <f>IFERROR(__xludf.DUMMYFUNCTION("""COMPUTED_VALUE"""),0.75)</f>
        <v>0.75</v>
      </c>
      <c r="O2333" s="4" t="str">
        <f>IFERROR(__xludf.DUMMYFUNCTION("""COMPUTED_VALUE"""),"Cardápio Web")</f>
        <v>Cardápio Web</v>
      </c>
      <c r="P2333" s="33">
        <f>IFERROR(__xludf.DUMMYFUNCTION("""COMPUTED_VALUE"""),0.75)</f>
        <v>0.75</v>
      </c>
      <c r="Q2333" s="4" t="str">
        <f>IFERROR(__xludf.DUMMYFUNCTION("""COMPUTED_VALUE"""),"Cardápio Web")</f>
        <v>Cardápio Web</v>
      </c>
      <c r="R2333" s="33">
        <f>IFERROR(__xludf.DUMMYFUNCTION("""COMPUTED_VALUE"""),0.75)</f>
        <v>0.75</v>
      </c>
      <c r="S2333" s="4" t="str">
        <f>IFERROR(__xludf.DUMMYFUNCTION("""COMPUTED_VALUE"""),"Cardápio Web")</f>
        <v>Cardápio Web</v>
      </c>
      <c r="T2333" s="33">
        <f>IFERROR(__xludf.DUMMYFUNCTION("""COMPUTED_VALUE"""),0.75)</f>
        <v>0.75</v>
      </c>
      <c r="U2333" s="4" t="str">
        <f>IFERROR(__xludf.DUMMYFUNCTION("""COMPUTED_VALUE"""),"Cardápio Web")</f>
        <v>Cardápio Web</v>
      </c>
      <c r="V2333" s="33">
        <f>IFERROR(__xludf.DUMMYFUNCTION("""COMPUTED_VALUE"""),0.75)</f>
        <v>0.75</v>
      </c>
      <c r="W2333" s="4" t="str">
        <f>IFERROR(__xludf.DUMMYFUNCTION("""COMPUTED_VALUE"""),"Cardápio Web")</f>
        <v>Cardápio Web</v>
      </c>
      <c r="X2333" s="33">
        <f>IFERROR(__xludf.DUMMYFUNCTION("""COMPUTED_VALUE"""),0.75)</f>
        <v>0.75</v>
      </c>
    </row>
    <row r="2334">
      <c r="K2334" s="4" t="str">
        <f>IFERROR(__xludf.DUMMYFUNCTION("""COMPUTED_VALUE"""),"GRUPO CANTINHO DO PASTEL")</f>
        <v>GRUPO CANTINHO DO PASTEL</v>
      </c>
      <c r="L2334" s="32">
        <f>IFERROR(__xludf.DUMMYFUNCTION("""COMPUTED_VALUE"""),4.0)</f>
        <v>4</v>
      </c>
      <c r="M2334" s="4" t="str">
        <f>IFERROR(__xludf.DUMMYFUNCTION("""COMPUTED_VALUE"""),"Fs Soluções Em Tecnologia Ltda")</f>
        <v>Fs Soluções Em Tecnologia Ltda</v>
      </c>
      <c r="N2334" s="33">
        <f>IFERROR(__xludf.DUMMYFUNCTION("""COMPUTED_VALUE"""),0.75)</f>
        <v>0.75</v>
      </c>
      <c r="O2334" s="4" t="str">
        <f>IFERROR(__xludf.DUMMYFUNCTION("""COMPUTED_VALUE"""),"Fs Soluções Em Tecnologia Ltda")</f>
        <v>Fs Soluções Em Tecnologia Ltda</v>
      </c>
      <c r="P2334" s="33">
        <f>IFERROR(__xludf.DUMMYFUNCTION("""COMPUTED_VALUE"""),1.0)</f>
        <v>1</v>
      </c>
      <c r="Q2334" s="4" t="str">
        <f>IFERROR(__xludf.DUMMYFUNCTION("""COMPUTED_VALUE"""),"Fs Soluções Em Tecnologia Ltda")</f>
        <v>Fs Soluções Em Tecnologia Ltda</v>
      </c>
      <c r="R2334" s="33">
        <f>IFERROR(__xludf.DUMMYFUNCTION("""COMPUTED_VALUE"""),0.75)</f>
        <v>0.75</v>
      </c>
      <c r="S2334" s="4" t="str">
        <f>IFERROR(__xludf.DUMMYFUNCTION("""COMPUTED_VALUE"""),"Fs Soluções Em Tecnologia Ltda")</f>
        <v>Fs Soluções Em Tecnologia Ltda</v>
      </c>
      <c r="T2334" s="33">
        <f>IFERROR(__xludf.DUMMYFUNCTION("""COMPUTED_VALUE"""),0.75)</f>
        <v>0.75</v>
      </c>
      <c r="U2334" s="4" t="str">
        <f>IFERROR(__xludf.DUMMYFUNCTION("""COMPUTED_VALUE"""),"Fs Soluções Em Tecnologia Ltda")</f>
        <v>Fs Soluções Em Tecnologia Ltda</v>
      </c>
      <c r="V2334" s="33">
        <f>IFERROR(__xludf.DUMMYFUNCTION("""COMPUTED_VALUE"""),1.0)</f>
        <v>1</v>
      </c>
      <c r="W2334" s="4" t="str">
        <f>IFERROR(__xludf.DUMMYFUNCTION("""COMPUTED_VALUE"""),"Fs Soluções Em Tecnologia Ltda")</f>
        <v>Fs Soluções Em Tecnologia Ltda</v>
      </c>
      <c r="X2334" s="33">
        <f>IFERROR(__xludf.DUMMYFUNCTION("""COMPUTED_VALUE"""),0.75)</f>
        <v>0.75</v>
      </c>
    </row>
    <row r="2335">
      <c r="K2335" s="4" t="str">
        <f>IFERROR(__xludf.DUMMYFUNCTION("""COMPUTED_VALUE"""),"GRUPO CORTELA")</f>
        <v>GRUPO CORTELA</v>
      </c>
      <c r="L2335" s="32">
        <f>IFERROR(__xludf.DUMMYFUNCTION("""COMPUTED_VALUE"""),4.0)</f>
        <v>4</v>
      </c>
      <c r="M2335" s="4" t="str">
        <f>IFERROR(__xludf.DUMMYFUNCTION("""COMPUTED_VALUE"""),"Vuca Solution")</f>
        <v>Vuca Solution</v>
      </c>
      <c r="N2335" s="33">
        <f>IFERROR(__xludf.DUMMYFUNCTION("""COMPUTED_VALUE"""),1.0)</f>
        <v>1</v>
      </c>
      <c r="O2335" s="4" t="str">
        <f>IFERROR(__xludf.DUMMYFUNCTION("""COMPUTED_VALUE"""),"Vuca Solution")</f>
        <v>Vuca Solution</v>
      </c>
      <c r="P2335" s="33">
        <f>IFERROR(__xludf.DUMMYFUNCTION("""COMPUTED_VALUE"""),1.0)</f>
        <v>1</v>
      </c>
      <c r="Q2335" s="4" t="str">
        <f>IFERROR(__xludf.DUMMYFUNCTION("""COMPUTED_VALUE"""),"null")</f>
        <v>null</v>
      </c>
      <c r="R2335" s="33">
        <f>IFERROR(__xludf.DUMMYFUNCTION("""COMPUTED_VALUE"""),0.75)</f>
        <v>0.75</v>
      </c>
      <c r="S2335" s="4" t="str">
        <f>IFERROR(__xludf.DUMMYFUNCTION("""COMPUTED_VALUE"""),"null")</f>
        <v>null</v>
      </c>
      <c r="T2335" s="33">
        <f>IFERROR(__xludf.DUMMYFUNCTION("""COMPUTED_VALUE"""),0.75)</f>
        <v>0.75</v>
      </c>
      <c r="U2335" s="4" t="str">
        <f>IFERROR(__xludf.DUMMYFUNCTION("""COMPUTED_VALUE"""),"null")</f>
        <v>null</v>
      </c>
      <c r="V2335" s="33">
        <f>IFERROR(__xludf.DUMMYFUNCTION("""COMPUTED_VALUE"""),0.75)</f>
        <v>0.75</v>
      </c>
      <c r="W2335" s="4" t="str">
        <f>IFERROR(__xludf.DUMMYFUNCTION("""COMPUTED_VALUE"""),"null")</f>
        <v>null</v>
      </c>
      <c r="X2335" s="33">
        <f>IFERROR(__xludf.DUMMYFUNCTION("""COMPUTED_VALUE"""),0.75)</f>
        <v>0.75</v>
      </c>
    </row>
    <row r="2336">
      <c r="K2336" s="4" t="str">
        <f>IFERROR(__xludf.DUMMYFUNCTION("""COMPUTED_VALUE"""),"GRUPO CRAZY E PK")</f>
        <v>GRUPO CRAZY E PK</v>
      </c>
      <c r="L2336" s="32">
        <f>IFERROR(__xludf.DUMMYFUNCTION("""COMPUTED_VALUE"""),4.0)</f>
        <v>4</v>
      </c>
      <c r="M2336" s="4" t="str">
        <f>IFERROR(__xludf.DUMMYFUNCTION("""COMPUTED_VALUE"""),"Saipos Serviços De Software")</f>
        <v>Saipos Serviços De Software</v>
      </c>
      <c r="N2336" s="33">
        <f>IFERROR(__xludf.DUMMYFUNCTION("""COMPUTED_VALUE"""),1.0)</f>
        <v>1</v>
      </c>
      <c r="O2336" s="4" t="str">
        <f>IFERROR(__xludf.DUMMYFUNCTION("""COMPUTED_VALUE"""),"Saipos Serviços De Software")</f>
        <v>Saipos Serviços De Software</v>
      </c>
      <c r="P2336" s="33">
        <f>IFERROR(__xludf.DUMMYFUNCTION("""COMPUTED_VALUE"""),1.0)</f>
        <v>1</v>
      </c>
      <c r="Q2336" s="4" t="str">
        <f>IFERROR(__xludf.DUMMYFUNCTION("""COMPUTED_VALUE"""),"null")</f>
        <v>null</v>
      </c>
      <c r="R2336" s="33">
        <f>IFERROR(__xludf.DUMMYFUNCTION("""COMPUTED_VALUE"""),1.0)</f>
        <v>1</v>
      </c>
      <c r="S2336" s="4" t="str">
        <f>IFERROR(__xludf.DUMMYFUNCTION("""COMPUTED_VALUE"""),"null")</f>
        <v>null</v>
      </c>
      <c r="T2336" s="33">
        <f>IFERROR(__xludf.DUMMYFUNCTION("""COMPUTED_VALUE"""),1.0)</f>
        <v>1</v>
      </c>
      <c r="U2336" s="4" t="str">
        <f>IFERROR(__xludf.DUMMYFUNCTION("""COMPUTED_VALUE"""),"null")</f>
        <v>null</v>
      </c>
      <c r="V2336" s="33">
        <f>IFERROR(__xludf.DUMMYFUNCTION("""COMPUTED_VALUE"""),1.0)</f>
        <v>1</v>
      </c>
      <c r="W2336" s="4" t="str">
        <f>IFERROR(__xludf.DUMMYFUNCTION("""COMPUTED_VALUE"""),"null")</f>
        <v>null</v>
      </c>
      <c r="X2336" s="33">
        <f>IFERROR(__xludf.DUMMYFUNCTION("""COMPUTED_VALUE"""),1.0)</f>
        <v>1</v>
      </c>
    </row>
    <row r="2337">
      <c r="K2337" s="4" t="str">
        <f>IFERROR(__xludf.DUMMYFUNCTION("""COMPUTED_VALUE"""),"GRUPO CUPIM GRILL CHURRASCARIA")</f>
        <v>GRUPO CUPIM GRILL CHURRASCARIA</v>
      </c>
      <c r="L2337" s="32">
        <f>IFERROR(__xludf.DUMMYFUNCTION("""COMPUTED_VALUE"""),4.0)</f>
        <v>4</v>
      </c>
      <c r="M2337" s="4" t="str">
        <f>IFERROR(__xludf.DUMMYFUNCTION("""COMPUTED_VALUE"""),"Cardápio Web")</f>
        <v>Cardápio Web</v>
      </c>
      <c r="N2337" s="33">
        <f>IFERROR(__xludf.DUMMYFUNCTION("""COMPUTED_VALUE"""),0.75)</f>
        <v>0.75</v>
      </c>
      <c r="O2337" s="4" t="str">
        <f>IFERROR(__xludf.DUMMYFUNCTION("""COMPUTED_VALUE"""),"Cardápio Web")</f>
        <v>Cardápio Web</v>
      </c>
      <c r="P2337" s="33">
        <f>IFERROR(__xludf.DUMMYFUNCTION("""COMPUTED_VALUE"""),0.75)</f>
        <v>0.75</v>
      </c>
      <c r="Q2337" s="4" t="str">
        <f>IFERROR(__xludf.DUMMYFUNCTION("""COMPUTED_VALUE"""),"Cardápio Web")</f>
        <v>Cardápio Web</v>
      </c>
      <c r="R2337" s="33">
        <f>IFERROR(__xludf.DUMMYFUNCTION("""COMPUTED_VALUE"""),0.5)</f>
        <v>0.5</v>
      </c>
      <c r="S2337" s="4" t="str">
        <f>IFERROR(__xludf.DUMMYFUNCTION("""COMPUTED_VALUE"""),"Saipos Serviços De Software")</f>
        <v>Saipos Serviços De Software</v>
      </c>
      <c r="T2337" s="33">
        <f>IFERROR(__xludf.DUMMYFUNCTION("""COMPUTED_VALUE"""),0.5)</f>
        <v>0.5</v>
      </c>
      <c r="U2337" s="4" t="str">
        <f>IFERROR(__xludf.DUMMYFUNCTION("""COMPUTED_VALUE"""),"Saipos Serviços De Software")</f>
        <v>Saipos Serviços De Software</v>
      </c>
      <c r="V2337" s="33">
        <f>IFERROR(__xludf.DUMMYFUNCTION("""COMPUTED_VALUE"""),1.0)</f>
        <v>1</v>
      </c>
      <c r="W2337" s="4" t="str">
        <f>IFERROR(__xludf.DUMMYFUNCTION("""COMPUTED_VALUE"""),"Saipos Serviços De Software")</f>
        <v>Saipos Serviços De Software</v>
      </c>
      <c r="X2337" s="33">
        <f>IFERROR(__xludf.DUMMYFUNCTION("""COMPUTED_VALUE"""),1.0)</f>
        <v>1</v>
      </c>
    </row>
    <row r="2338">
      <c r="K2338" s="4" t="str">
        <f>IFERROR(__xludf.DUMMYFUNCTION("""COMPUTED_VALUE"""),"GRUPO DELIVERY DE MINAS")</f>
        <v>GRUPO DELIVERY DE MINAS</v>
      </c>
      <c r="L2338" s="32">
        <f>IFERROR(__xludf.DUMMYFUNCTION("""COMPUTED_VALUE"""),4.0)</f>
        <v>4</v>
      </c>
      <c r="M2338" s="4" t="str">
        <f>IFERROR(__xludf.DUMMYFUNCTION("""COMPUTED_VALUE"""),"Brendi")</f>
        <v>Brendi</v>
      </c>
      <c r="N2338" s="33">
        <f>IFERROR(__xludf.DUMMYFUNCTION("""COMPUTED_VALUE"""),1.0)</f>
        <v>1</v>
      </c>
      <c r="O2338" s="4" t="str">
        <f>IFERROR(__xludf.DUMMYFUNCTION("""COMPUTED_VALUE"""),"null")</f>
        <v>null</v>
      </c>
      <c r="P2338" s="33">
        <f>IFERROR(__xludf.DUMMYFUNCTION("""COMPUTED_VALUE"""),0.75)</f>
        <v>0.75</v>
      </c>
      <c r="Q2338" s="4" t="str">
        <f>IFERROR(__xludf.DUMMYFUNCTION("""COMPUTED_VALUE"""),"null")</f>
        <v>null</v>
      </c>
      <c r="R2338" s="33">
        <f>IFERROR(__xludf.DUMMYFUNCTION("""COMPUTED_VALUE"""),0.75)</f>
        <v>0.75</v>
      </c>
      <c r="S2338" s="4" t="str">
        <f>IFERROR(__xludf.DUMMYFUNCTION("""COMPUTED_VALUE"""),"null")</f>
        <v>null</v>
      </c>
      <c r="T2338" s="33">
        <f>IFERROR(__xludf.DUMMYFUNCTION("""COMPUTED_VALUE"""),0.75)</f>
        <v>0.75</v>
      </c>
      <c r="U2338" s="4" t="str">
        <f>IFERROR(__xludf.DUMMYFUNCTION("""COMPUTED_VALUE"""),"null")</f>
        <v>null</v>
      </c>
      <c r="V2338" s="33">
        <f>IFERROR(__xludf.DUMMYFUNCTION("""COMPUTED_VALUE"""),0.75)</f>
        <v>0.75</v>
      </c>
      <c r="W2338" s="4" t="str">
        <f>IFERROR(__xludf.DUMMYFUNCTION("""COMPUTED_VALUE"""),"null")</f>
        <v>null</v>
      </c>
      <c r="X2338" s="33">
        <f>IFERROR(__xludf.DUMMYFUNCTION("""COMPUTED_VALUE"""),0.75)</f>
        <v>0.75</v>
      </c>
    </row>
    <row r="2339">
      <c r="K2339" s="4" t="str">
        <f>IFERROR(__xludf.DUMMYFUNCTION("""COMPUTED_VALUE"""),"GRUPO DONA ANA")</f>
        <v>GRUPO DONA ANA</v>
      </c>
      <c r="L2339" s="32">
        <f>IFERROR(__xludf.DUMMYFUNCTION("""COMPUTED_VALUE"""),4.0)</f>
        <v>4</v>
      </c>
      <c r="M2339" s="4" t="str">
        <f>IFERROR(__xludf.DUMMYFUNCTION("""COMPUTED_VALUE"""),"Cardápio Web")</f>
        <v>Cardápio Web</v>
      </c>
      <c r="N2339" s="33">
        <f>IFERROR(__xludf.DUMMYFUNCTION("""COMPUTED_VALUE"""),1.0)</f>
        <v>1</v>
      </c>
      <c r="O2339" s="4" t="str">
        <f>IFERROR(__xludf.DUMMYFUNCTION("""COMPUTED_VALUE"""),"Cardápio Web")</f>
        <v>Cardápio Web</v>
      </c>
      <c r="P2339" s="33">
        <f>IFERROR(__xludf.DUMMYFUNCTION("""COMPUTED_VALUE"""),1.0)</f>
        <v>1</v>
      </c>
      <c r="Q2339" s="4" t="str">
        <f>IFERROR(__xludf.DUMMYFUNCTION("""COMPUTED_VALUE"""),"Cardápio Web")</f>
        <v>Cardápio Web</v>
      </c>
      <c r="R2339" s="33">
        <f>IFERROR(__xludf.DUMMYFUNCTION("""COMPUTED_VALUE"""),1.0)</f>
        <v>1</v>
      </c>
      <c r="S2339" s="4" t="str">
        <f>IFERROR(__xludf.DUMMYFUNCTION("""COMPUTED_VALUE"""),"Cardápio Web")</f>
        <v>Cardápio Web</v>
      </c>
      <c r="T2339" s="33">
        <f>IFERROR(__xludf.DUMMYFUNCTION("""COMPUTED_VALUE"""),1.0)</f>
        <v>1</v>
      </c>
      <c r="U2339" s="4" t="str">
        <f>IFERROR(__xludf.DUMMYFUNCTION("""COMPUTED_VALUE"""),"Cardápio Web")</f>
        <v>Cardápio Web</v>
      </c>
      <c r="V2339" s="33">
        <f>IFERROR(__xludf.DUMMYFUNCTION("""COMPUTED_VALUE"""),1.0)</f>
        <v>1</v>
      </c>
      <c r="W2339" s="4" t="str">
        <f>IFERROR(__xludf.DUMMYFUNCTION("""COMPUTED_VALUE"""),"Cardápio Web")</f>
        <v>Cardápio Web</v>
      </c>
      <c r="X2339" s="33">
        <f>IFERROR(__xludf.DUMMYFUNCTION("""COMPUTED_VALUE"""),1.0)</f>
        <v>1</v>
      </c>
    </row>
    <row r="2340">
      <c r="K2340" s="4" t="str">
        <f>IFERROR(__xludf.DUMMYFUNCTION("""COMPUTED_VALUE"""),"GRUPO ENJOY TEMAKERIA")</f>
        <v>GRUPO ENJOY TEMAKERIA</v>
      </c>
      <c r="L2340" s="32">
        <f>IFERROR(__xludf.DUMMYFUNCTION("""COMPUTED_VALUE"""),4.0)</f>
        <v>4</v>
      </c>
      <c r="M2340" s="4" t="str">
        <f>IFERROR(__xludf.DUMMYFUNCTION("""COMPUTED_VALUE"""),"Consumer Soluções Em Tecnologia Ltda")</f>
        <v>Consumer Soluções Em Tecnologia Ltda</v>
      </c>
      <c r="N2340" s="33">
        <f>IFERROR(__xludf.DUMMYFUNCTION("""COMPUTED_VALUE"""),1.0)</f>
        <v>1</v>
      </c>
      <c r="O2340" s="4" t="str">
        <f>IFERROR(__xludf.DUMMYFUNCTION("""COMPUTED_VALUE"""),"Consumer Soluções Em Tecnologia Ltda")</f>
        <v>Consumer Soluções Em Tecnologia Ltda</v>
      </c>
      <c r="P2340" s="33">
        <f>IFERROR(__xludf.DUMMYFUNCTION("""COMPUTED_VALUE"""),1.0)</f>
        <v>1</v>
      </c>
      <c r="Q2340" s="4" t="str">
        <f>IFERROR(__xludf.DUMMYFUNCTION("""COMPUTED_VALUE"""),"Consumer Soluções Em Tecnologia Ltda")</f>
        <v>Consumer Soluções Em Tecnologia Ltda</v>
      </c>
      <c r="R2340" s="33">
        <f>IFERROR(__xludf.DUMMYFUNCTION("""COMPUTED_VALUE"""),1.0)</f>
        <v>1</v>
      </c>
      <c r="S2340" s="4" t="str">
        <f>IFERROR(__xludf.DUMMYFUNCTION("""COMPUTED_VALUE"""),"Consumer Soluções Em Tecnologia Ltda")</f>
        <v>Consumer Soluções Em Tecnologia Ltda</v>
      </c>
      <c r="T2340" s="33">
        <f>IFERROR(__xludf.DUMMYFUNCTION("""COMPUTED_VALUE"""),1.0)</f>
        <v>1</v>
      </c>
      <c r="U2340" s="4" t="str">
        <f>IFERROR(__xludf.DUMMYFUNCTION("""COMPUTED_VALUE"""),"Consumer Soluções Em Tecnologia Ltda")</f>
        <v>Consumer Soluções Em Tecnologia Ltda</v>
      </c>
      <c r="V2340" s="33">
        <f>IFERROR(__xludf.DUMMYFUNCTION("""COMPUTED_VALUE"""),1.0)</f>
        <v>1</v>
      </c>
      <c r="W2340" s="4" t="str">
        <f>IFERROR(__xludf.DUMMYFUNCTION("""COMPUTED_VALUE"""),"Consumer Soluções Em Tecnologia Ltda")</f>
        <v>Consumer Soluções Em Tecnologia Ltda</v>
      </c>
      <c r="X2340" s="33">
        <f>IFERROR(__xludf.DUMMYFUNCTION("""COMPUTED_VALUE"""),1.0)</f>
        <v>1</v>
      </c>
    </row>
    <row r="2341">
      <c r="K2341" s="4" t="str">
        <f>IFERROR(__xludf.DUMMYFUNCTION("""COMPUTED_VALUE"""),"GRUPO FORNALHAS")</f>
        <v>GRUPO FORNALHAS</v>
      </c>
      <c r="L2341" s="32">
        <f>IFERROR(__xludf.DUMMYFUNCTION("""COMPUTED_VALUE"""),4.0)</f>
        <v>4</v>
      </c>
      <c r="M2341" s="4" t="str">
        <f>IFERROR(__xludf.DUMMYFUNCTION("""COMPUTED_VALUE"""),"Netcontroll Xmenu")</f>
        <v>Netcontroll Xmenu</v>
      </c>
      <c r="N2341" s="33">
        <f>IFERROR(__xludf.DUMMYFUNCTION("""COMPUTED_VALUE"""),1.0)</f>
        <v>1</v>
      </c>
      <c r="O2341" s="4" t="str">
        <f>IFERROR(__xludf.DUMMYFUNCTION("""COMPUTED_VALUE"""),"Netcontroll Xmenu")</f>
        <v>Netcontroll Xmenu</v>
      </c>
      <c r="P2341" s="33">
        <f>IFERROR(__xludf.DUMMYFUNCTION("""COMPUTED_VALUE"""),1.0)</f>
        <v>1</v>
      </c>
      <c r="Q2341" s="4" t="str">
        <f>IFERROR(__xludf.DUMMYFUNCTION("""COMPUTED_VALUE"""),"Netcontroll Xmenu")</f>
        <v>Netcontroll Xmenu</v>
      </c>
      <c r="R2341" s="33">
        <f>IFERROR(__xludf.DUMMYFUNCTION("""COMPUTED_VALUE"""),1.0)</f>
        <v>1</v>
      </c>
      <c r="S2341" s="4" t="str">
        <f>IFERROR(__xludf.DUMMYFUNCTION("""COMPUTED_VALUE"""),"Netcontroll Xmenu")</f>
        <v>Netcontroll Xmenu</v>
      </c>
      <c r="T2341" s="33">
        <f>IFERROR(__xludf.DUMMYFUNCTION("""COMPUTED_VALUE"""),1.0)</f>
        <v>1</v>
      </c>
      <c r="U2341" s="4" t="str">
        <f>IFERROR(__xludf.DUMMYFUNCTION("""COMPUTED_VALUE"""),"Netcontroll Xmenu")</f>
        <v>Netcontroll Xmenu</v>
      </c>
      <c r="V2341" s="33">
        <f>IFERROR(__xludf.DUMMYFUNCTION("""COMPUTED_VALUE"""),1.0)</f>
        <v>1</v>
      </c>
      <c r="W2341" s="4" t="str">
        <f>IFERROR(__xludf.DUMMYFUNCTION("""COMPUTED_VALUE"""),"Netcontroll Xmenu")</f>
        <v>Netcontroll Xmenu</v>
      </c>
      <c r="X2341" s="33">
        <f>IFERROR(__xludf.DUMMYFUNCTION("""COMPUTED_VALUE"""),1.0)</f>
        <v>1</v>
      </c>
    </row>
    <row r="2342">
      <c r="K2342" s="4" t="str">
        <f>IFERROR(__xludf.DUMMYFUNCTION("""COMPUTED_VALUE"""),"GRUPO FRATELLO")</f>
        <v>GRUPO FRATELLO</v>
      </c>
      <c r="L2342" s="32">
        <f>IFERROR(__xludf.DUMMYFUNCTION("""COMPUTED_VALUE"""),4.0)</f>
        <v>4</v>
      </c>
      <c r="M2342" s="4" t="str">
        <f>IFERROR(__xludf.DUMMYFUNCTION("""COMPUTED_VALUE"""),"Connectplug")</f>
        <v>Connectplug</v>
      </c>
      <c r="N2342" s="33">
        <f>IFERROR(__xludf.DUMMYFUNCTION("""COMPUTED_VALUE"""),0.75)</f>
        <v>0.75</v>
      </c>
      <c r="O2342" s="4" t="str">
        <f>IFERROR(__xludf.DUMMYFUNCTION("""COMPUTED_VALUE"""),"Connectplug")</f>
        <v>Connectplug</v>
      </c>
      <c r="P2342" s="33">
        <f>IFERROR(__xludf.DUMMYFUNCTION("""COMPUTED_VALUE"""),0.75)</f>
        <v>0.75</v>
      </c>
      <c r="Q2342" s="4" t="str">
        <f>IFERROR(__xludf.DUMMYFUNCTION("""COMPUTED_VALUE"""),"Connectplug")</f>
        <v>Connectplug</v>
      </c>
      <c r="R2342" s="33">
        <f>IFERROR(__xludf.DUMMYFUNCTION("""COMPUTED_VALUE"""),0.75)</f>
        <v>0.75</v>
      </c>
      <c r="S2342" s="4" t="str">
        <f>IFERROR(__xludf.DUMMYFUNCTION("""COMPUTED_VALUE"""),"Connectplug")</f>
        <v>Connectplug</v>
      </c>
      <c r="T2342" s="33">
        <f>IFERROR(__xludf.DUMMYFUNCTION("""COMPUTED_VALUE"""),1.0)</f>
        <v>1</v>
      </c>
      <c r="U2342" s="4" t="str">
        <f>IFERROR(__xludf.DUMMYFUNCTION("""COMPUTED_VALUE"""),"Connectplug")</f>
        <v>Connectplug</v>
      </c>
      <c r="V2342" s="33">
        <f>IFERROR(__xludf.DUMMYFUNCTION("""COMPUTED_VALUE"""),1.0)</f>
        <v>1</v>
      </c>
      <c r="W2342" s="4" t="str">
        <f>IFERROR(__xludf.DUMMYFUNCTION("""COMPUTED_VALUE"""),"Connectplug")</f>
        <v>Connectplug</v>
      </c>
      <c r="X2342" s="33">
        <f>IFERROR(__xludf.DUMMYFUNCTION("""COMPUTED_VALUE"""),1.0)</f>
        <v>1</v>
      </c>
    </row>
    <row r="2343">
      <c r="K2343" s="4" t="str">
        <f>IFERROR(__xludf.DUMMYFUNCTION("""COMPUTED_VALUE"""),"GRUPO GALVAO")</f>
        <v>GRUPO GALVAO</v>
      </c>
      <c r="L2343" s="32">
        <f>IFERROR(__xludf.DUMMYFUNCTION("""COMPUTED_VALUE"""),4.0)</f>
        <v>4</v>
      </c>
      <c r="M2343" s="4" t="str">
        <f>IFERROR(__xludf.DUMMYFUNCTION("""COMPUTED_VALUE"""),"Saipos Serviços De Software")</f>
        <v>Saipos Serviços De Software</v>
      </c>
      <c r="N2343" s="33">
        <f>IFERROR(__xludf.DUMMYFUNCTION("""COMPUTED_VALUE"""),1.0)</f>
        <v>1</v>
      </c>
      <c r="O2343" s="4" t="str">
        <f>IFERROR(__xludf.DUMMYFUNCTION("""COMPUTED_VALUE"""),"null")</f>
        <v>null</v>
      </c>
      <c r="P2343" s="33">
        <f>IFERROR(__xludf.DUMMYFUNCTION("""COMPUTED_VALUE"""),1.0)</f>
        <v>1</v>
      </c>
      <c r="Q2343" s="4" t="str">
        <f>IFERROR(__xludf.DUMMYFUNCTION("""COMPUTED_VALUE"""),"null")</f>
        <v>null</v>
      </c>
      <c r="R2343" s="33">
        <f>IFERROR(__xludf.DUMMYFUNCTION("""COMPUTED_VALUE"""),1.0)</f>
        <v>1</v>
      </c>
      <c r="S2343" s="4" t="str">
        <f>IFERROR(__xludf.DUMMYFUNCTION("""COMPUTED_VALUE"""),"null")</f>
        <v>null</v>
      </c>
      <c r="T2343" s="33">
        <f>IFERROR(__xludf.DUMMYFUNCTION("""COMPUTED_VALUE"""),1.0)</f>
        <v>1</v>
      </c>
      <c r="U2343" s="4" t="str">
        <f>IFERROR(__xludf.DUMMYFUNCTION("""COMPUTED_VALUE"""),"Saipos Serviços De Software")</f>
        <v>Saipos Serviços De Software</v>
      </c>
      <c r="V2343" s="33">
        <f>IFERROR(__xludf.DUMMYFUNCTION("""COMPUTED_VALUE"""),0.5)</f>
        <v>0.5</v>
      </c>
      <c r="W2343" s="4" t="str">
        <f>IFERROR(__xludf.DUMMYFUNCTION("""COMPUTED_VALUE"""),"Saipos Serviços De Software")</f>
        <v>Saipos Serviços De Software</v>
      </c>
      <c r="X2343" s="33">
        <f>IFERROR(__xludf.DUMMYFUNCTION("""COMPUTED_VALUE"""),0.5)</f>
        <v>0.5</v>
      </c>
    </row>
    <row r="2344">
      <c r="K2344" s="4" t="str">
        <f>IFERROR(__xludf.DUMMYFUNCTION("""COMPUTED_VALUE"""),"GRUPO GEISEL BURGUER")</f>
        <v>GRUPO GEISEL BURGUER</v>
      </c>
      <c r="L2344" s="32">
        <f>IFERROR(__xludf.DUMMYFUNCTION("""COMPUTED_VALUE"""),4.0)</f>
        <v>4</v>
      </c>
      <c r="M2344" s="4" t="str">
        <f>IFERROR(__xludf.DUMMYFUNCTION("""COMPUTED_VALUE"""),"Cardápio Web")</f>
        <v>Cardápio Web</v>
      </c>
      <c r="N2344" s="33">
        <f>IFERROR(__xludf.DUMMYFUNCTION("""COMPUTED_VALUE"""),1.0)</f>
        <v>1</v>
      </c>
      <c r="O2344" s="4" t="str">
        <f>IFERROR(__xludf.DUMMYFUNCTION("""COMPUTED_VALUE"""),"Cardápio Web")</f>
        <v>Cardápio Web</v>
      </c>
      <c r="P2344" s="33">
        <f>IFERROR(__xludf.DUMMYFUNCTION("""COMPUTED_VALUE"""),1.0)</f>
        <v>1</v>
      </c>
      <c r="Q2344" s="4" t="str">
        <f>IFERROR(__xludf.DUMMYFUNCTION("""COMPUTED_VALUE"""),"Cardápio Web")</f>
        <v>Cardápio Web</v>
      </c>
      <c r="R2344" s="33">
        <f>IFERROR(__xludf.DUMMYFUNCTION("""COMPUTED_VALUE"""),1.0)</f>
        <v>1</v>
      </c>
      <c r="S2344" s="4" t="str">
        <f>IFERROR(__xludf.DUMMYFUNCTION("""COMPUTED_VALUE"""),"Cardápio Web")</f>
        <v>Cardápio Web</v>
      </c>
      <c r="T2344" s="33">
        <f>IFERROR(__xludf.DUMMYFUNCTION("""COMPUTED_VALUE"""),1.0)</f>
        <v>1</v>
      </c>
      <c r="U2344" s="4" t="str">
        <f>IFERROR(__xludf.DUMMYFUNCTION("""COMPUTED_VALUE"""),"Cardápio Web")</f>
        <v>Cardápio Web</v>
      </c>
      <c r="V2344" s="33">
        <f>IFERROR(__xludf.DUMMYFUNCTION("""COMPUTED_VALUE"""),1.0)</f>
        <v>1</v>
      </c>
      <c r="W2344" s="4" t="str">
        <f>IFERROR(__xludf.DUMMYFUNCTION("""COMPUTED_VALUE"""),"Cardápio Web")</f>
        <v>Cardápio Web</v>
      </c>
      <c r="X2344" s="33">
        <f>IFERROR(__xludf.DUMMYFUNCTION("""COMPUTED_VALUE"""),1.0)</f>
        <v>1</v>
      </c>
    </row>
    <row r="2345">
      <c r="K2345" s="4" t="str">
        <f>IFERROR(__xludf.DUMMYFUNCTION("""COMPUTED_VALUE"""),"GRUPO GRANO A MANO PANETTERIA")</f>
        <v>GRUPO GRANO A MANO PANETTERIA</v>
      </c>
      <c r="L2345" s="32">
        <f>IFERROR(__xludf.DUMMYFUNCTION("""COMPUTED_VALUE"""),4.0)</f>
        <v>4</v>
      </c>
      <c r="M2345" s="4" t="str">
        <f>IFERROR(__xludf.DUMMYFUNCTION("""COMPUTED_VALUE"""),"Ncr")</f>
        <v>Ncr</v>
      </c>
      <c r="N2345" s="33">
        <f>IFERROR(__xludf.DUMMYFUNCTION("""COMPUTED_VALUE"""),0.75)</f>
        <v>0.75</v>
      </c>
      <c r="O2345" s="4" t="str">
        <f>IFERROR(__xludf.DUMMYFUNCTION("""COMPUTED_VALUE"""),"Ncr")</f>
        <v>Ncr</v>
      </c>
      <c r="P2345" s="33">
        <f>IFERROR(__xludf.DUMMYFUNCTION("""COMPUTED_VALUE"""),1.0)</f>
        <v>1</v>
      </c>
      <c r="Q2345" s="4" t="str">
        <f>IFERROR(__xludf.DUMMYFUNCTION("""COMPUTED_VALUE"""),"Ncr")</f>
        <v>Ncr</v>
      </c>
      <c r="R2345" s="33">
        <f>IFERROR(__xludf.DUMMYFUNCTION("""COMPUTED_VALUE"""),1.0)</f>
        <v>1</v>
      </c>
      <c r="S2345" s="4" t="str">
        <f>IFERROR(__xludf.DUMMYFUNCTION("""COMPUTED_VALUE"""),"Ncr")</f>
        <v>Ncr</v>
      </c>
      <c r="T2345" s="33">
        <f>IFERROR(__xludf.DUMMYFUNCTION("""COMPUTED_VALUE"""),1.0)</f>
        <v>1</v>
      </c>
      <c r="U2345" s="4" t="str">
        <f>IFERROR(__xludf.DUMMYFUNCTION("""COMPUTED_VALUE"""),"Ncr")</f>
        <v>Ncr</v>
      </c>
      <c r="V2345" s="33">
        <f>IFERROR(__xludf.DUMMYFUNCTION("""COMPUTED_VALUE"""),1.0)</f>
        <v>1</v>
      </c>
      <c r="W2345" s="4" t="str">
        <f>IFERROR(__xludf.DUMMYFUNCTION("""COMPUTED_VALUE"""),"null")</f>
        <v>null</v>
      </c>
      <c r="X2345" s="33">
        <f>IFERROR(__xludf.DUMMYFUNCTION("""COMPUTED_VALUE"""),1.0)</f>
        <v>1</v>
      </c>
    </row>
    <row r="2346">
      <c r="K2346" s="4" t="str">
        <f>IFERROR(__xludf.DUMMYFUNCTION("""COMPUTED_VALUE"""),"GRUPO GRATTO - CONTA MARCA")</f>
        <v>GRUPO GRATTO - CONTA MARCA</v>
      </c>
      <c r="L2346" s="32">
        <f>IFERROR(__xludf.DUMMYFUNCTION("""COMPUTED_VALUE"""),4.0)</f>
        <v>4</v>
      </c>
      <c r="M2346" s="4" t="str">
        <f>IFERROR(__xludf.DUMMYFUNCTION("""COMPUTED_VALUE"""),"Saipos Serviços De Software")</f>
        <v>Saipos Serviços De Software</v>
      </c>
      <c r="N2346" s="33">
        <f>IFERROR(__xludf.DUMMYFUNCTION("""COMPUTED_VALUE"""),0.75)</f>
        <v>0.75</v>
      </c>
      <c r="O2346" s="4" t="str">
        <f>IFERROR(__xludf.DUMMYFUNCTION("""COMPUTED_VALUE"""),"Saipos Serviços De Software")</f>
        <v>Saipos Serviços De Software</v>
      </c>
      <c r="P2346" s="33">
        <f>IFERROR(__xludf.DUMMYFUNCTION("""COMPUTED_VALUE"""),0.75)</f>
        <v>0.75</v>
      </c>
      <c r="Q2346" s="4" t="str">
        <f>IFERROR(__xludf.DUMMYFUNCTION("""COMPUTED_VALUE"""),"Saipos Serviços De Software")</f>
        <v>Saipos Serviços De Software</v>
      </c>
      <c r="R2346" s="33">
        <f>IFERROR(__xludf.DUMMYFUNCTION("""COMPUTED_VALUE"""),0.75)</f>
        <v>0.75</v>
      </c>
      <c r="S2346" s="4" t="str">
        <f>IFERROR(__xludf.DUMMYFUNCTION("""COMPUTED_VALUE"""),"Saipos Serviços De Software")</f>
        <v>Saipos Serviços De Software</v>
      </c>
      <c r="T2346" s="33">
        <f>IFERROR(__xludf.DUMMYFUNCTION("""COMPUTED_VALUE"""),0.75)</f>
        <v>0.75</v>
      </c>
      <c r="U2346" s="4" t="str">
        <f>IFERROR(__xludf.DUMMYFUNCTION("""COMPUTED_VALUE"""),"null")</f>
        <v>null</v>
      </c>
      <c r="V2346" s="33">
        <f>IFERROR(__xludf.DUMMYFUNCTION("""COMPUTED_VALUE"""),0.5)</f>
        <v>0.5</v>
      </c>
      <c r="W2346" s="4" t="str">
        <f>IFERROR(__xludf.DUMMYFUNCTION("""COMPUTED_VALUE"""),"Saipos Serviços De Software")</f>
        <v>Saipos Serviços De Software</v>
      </c>
      <c r="X2346" s="33">
        <f>IFERROR(__xludf.DUMMYFUNCTION("""COMPUTED_VALUE"""),1.0)</f>
        <v>1</v>
      </c>
    </row>
    <row r="2347">
      <c r="K2347" s="4" t="str">
        <f>IFERROR(__xludf.DUMMYFUNCTION("""COMPUTED_VALUE"""),"GRUPO GZF")</f>
        <v>GRUPO GZF</v>
      </c>
      <c r="L2347" s="32">
        <f>IFERROR(__xludf.DUMMYFUNCTION("""COMPUTED_VALUE"""),4.0)</f>
        <v>4</v>
      </c>
      <c r="M2347" s="4" t="str">
        <f>IFERROR(__xludf.DUMMYFUNCTION("""COMPUTED_VALUE"""),"Cardápio Web")</f>
        <v>Cardápio Web</v>
      </c>
      <c r="N2347" s="33">
        <f>IFERROR(__xludf.DUMMYFUNCTION("""COMPUTED_VALUE"""),0.75)</f>
        <v>0.75</v>
      </c>
      <c r="O2347" s="4" t="str">
        <f>IFERROR(__xludf.DUMMYFUNCTION("""COMPUTED_VALUE"""),"Cardápio Web")</f>
        <v>Cardápio Web</v>
      </c>
      <c r="P2347" s="33">
        <f>IFERROR(__xludf.DUMMYFUNCTION("""COMPUTED_VALUE"""),0.75)</f>
        <v>0.75</v>
      </c>
      <c r="Q2347" s="4" t="str">
        <f>IFERROR(__xludf.DUMMYFUNCTION("""COMPUTED_VALUE"""),"Cardápio Web")</f>
        <v>Cardápio Web</v>
      </c>
      <c r="R2347" s="33">
        <f>IFERROR(__xludf.DUMMYFUNCTION("""COMPUTED_VALUE"""),1.0)</f>
        <v>1</v>
      </c>
      <c r="S2347" s="4" t="str">
        <f>IFERROR(__xludf.DUMMYFUNCTION("""COMPUTED_VALUE"""),"Cardápio Web")</f>
        <v>Cardápio Web</v>
      </c>
      <c r="T2347" s="33">
        <f>IFERROR(__xludf.DUMMYFUNCTION("""COMPUTED_VALUE"""),1.0)</f>
        <v>1</v>
      </c>
      <c r="U2347" s="4" t="str">
        <f>IFERROR(__xludf.DUMMYFUNCTION("""COMPUTED_VALUE"""),"Cardápio Web")</f>
        <v>Cardápio Web</v>
      </c>
      <c r="V2347" s="33">
        <f>IFERROR(__xludf.DUMMYFUNCTION("""COMPUTED_VALUE"""),1.0)</f>
        <v>1</v>
      </c>
      <c r="W2347" s="4" t="str">
        <f>IFERROR(__xludf.DUMMYFUNCTION("""COMPUTED_VALUE"""),"Cardápio Web")</f>
        <v>Cardápio Web</v>
      </c>
      <c r="X2347" s="33">
        <f>IFERROR(__xludf.DUMMYFUNCTION("""COMPUTED_VALUE"""),1.0)</f>
        <v>1</v>
      </c>
    </row>
    <row r="2348">
      <c r="K2348" s="4" t="str">
        <f>IFERROR(__xludf.DUMMYFUNCTION("""COMPUTED_VALUE"""),"GRUPO HAUS PIZZARIA")</f>
        <v>GRUPO HAUS PIZZARIA</v>
      </c>
      <c r="L2348" s="32">
        <f>IFERROR(__xludf.DUMMYFUNCTION("""COMPUTED_VALUE"""),4.0)</f>
        <v>4</v>
      </c>
      <c r="M2348" s="4" t="str">
        <f>IFERROR(__xludf.DUMMYFUNCTION("""COMPUTED_VALUE"""),"Totvs Large Enterprise Tecnologia S.a.")</f>
        <v>Totvs Large Enterprise Tecnologia S.a.</v>
      </c>
      <c r="N2348" s="33">
        <f>IFERROR(__xludf.DUMMYFUNCTION("""COMPUTED_VALUE"""),1.0)</f>
        <v>1</v>
      </c>
      <c r="O2348" s="4" t="str">
        <f>IFERROR(__xludf.DUMMYFUNCTION("""COMPUTED_VALUE"""),"Totvs Large Enterprise Tecnologia S.a.")</f>
        <v>Totvs Large Enterprise Tecnologia S.a.</v>
      </c>
      <c r="P2348" s="33">
        <f>IFERROR(__xludf.DUMMYFUNCTION("""COMPUTED_VALUE"""),1.0)</f>
        <v>1</v>
      </c>
      <c r="Q2348" s="4" t="str">
        <f>IFERROR(__xludf.DUMMYFUNCTION("""COMPUTED_VALUE"""),"Totvs Large Enterprise Tecnologia S.a.")</f>
        <v>Totvs Large Enterprise Tecnologia S.a.</v>
      </c>
      <c r="R2348" s="33">
        <f>IFERROR(__xludf.DUMMYFUNCTION("""COMPUTED_VALUE"""),0.75)</f>
        <v>0.75</v>
      </c>
      <c r="S2348" s="4" t="str">
        <f>IFERROR(__xludf.DUMMYFUNCTION("""COMPUTED_VALUE"""),"Totvs Large Enterprise Tecnologia S.a.")</f>
        <v>Totvs Large Enterprise Tecnologia S.a.</v>
      </c>
      <c r="T2348" s="33">
        <f>IFERROR(__xludf.DUMMYFUNCTION("""COMPUTED_VALUE"""),0.75)</f>
        <v>0.75</v>
      </c>
      <c r="U2348" s="4" t="str">
        <f>IFERROR(__xludf.DUMMYFUNCTION("""COMPUTED_VALUE"""),"null")</f>
        <v>null</v>
      </c>
      <c r="V2348" s="33">
        <f>IFERROR(__xludf.DUMMYFUNCTION("""COMPUTED_VALUE"""),0.5)</f>
        <v>0.5</v>
      </c>
      <c r="W2348" s="4" t="str">
        <f>IFERROR(__xludf.DUMMYFUNCTION("""COMPUTED_VALUE"""),"null")</f>
        <v>null</v>
      </c>
      <c r="X2348" s="33">
        <f>IFERROR(__xludf.DUMMYFUNCTION("""COMPUTED_VALUE"""),0.75)</f>
        <v>0.75</v>
      </c>
    </row>
    <row r="2349">
      <c r="K2349" s="4" t="str">
        <f>IFERROR(__xludf.DUMMYFUNCTION("""COMPUTED_VALUE"""),"GRUPO HOLLYWOOD")</f>
        <v>GRUPO HOLLYWOOD</v>
      </c>
      <c r="L2349" s="32">
        <f>IFERROR(__xludf.DUMMYFUNCTION("""COMPUTED_VALUE"""),4.0)</f>
        <v>4</v>
      </c>
      <c r="M2349" s="4" t="str">
        <f>IFERROR(__xludf.DUMMYFUNCTION("""COMPUTED_VALUE"""),"Cardápio Web")</f>
        <v>Cardápio Web</v>
      </c>
      <c r="N2349" s="33">
        <f>IFERROR(__xludf.DUMMYFUNCTION("""COMPUTED_VALUE"""),0.75)</f>
        <v>0.75</v>
      </c>
      <c r="O2349" s="4" t="str">
        <f>IFERROR(__xludf.DUMMYFUNCTION("""COMPUTED_VALUE"""),"Cardápio Web")</f>
        <v>Cardápio Web</v>
      </c>
      <c r="P2349" s="33">
        <f>IFERROR(__xludf.DUMMYFUNCTION("""COMPUTED_VALUE"""),0.75)</f>
        <v>0.75</v>
      </c>
      <c r="Q2349" s="4" t="str">
        <f>IFERROR(__xludf.DUMMYFUNCTION("""COMPUTED_VALUE"""),"Cardápio Web")</f>
        <v>Cardápio Web</v>
      </c>
      <c r="R2349" s="33">
        <f>IFERROR(__xludf.DUMMYFUNCTION("""COMPUTED_VALUE"""),1.0)</f>
        <v>1</v>
      </c>
      <c r="S2349" s="4" t="str">
        <f>IFERROR(__xludf.DUMMYFUNCTION("""COMPUTED_VALUE"""),"Cardápio Web")</f>
        <v>Cardápio Web</v>
      </c>
      <c r="T2349" s="33">
        <f>IFERROR(__xludf.DUMMYFUNCTION("""COMPUTED_VALUE"""),1.0)</f>
        <v>1</v>
      </c>
      <c r="U2349" s="4" t="str">
        <f>IFERROR(__xludf.DUMMYFUNCTION("""COMPUTED_VALUE"""),"Cardápio Web")</f>
        <v>Cardápio Web</v>
      </c>
      <c r="V2349" s="33">
        <f>IFERROR(__xludf.DUMMYFUNCTION("""COMPUTED_VALUE"""),1.0)</f>
        <v>1</v>
      </c>
      <c r="W2349" s="4" t="str">
        <f>IFERROR(__xludf.DUMMYFUNCTION("""COMPUTED_VALUE"""),"Cardápio Web")</f>
        <v>Cardápio Web</v>
      </c>
      <c r="X2349" s="33">
        <f>IFERROR(__xludf.DUMMYFUNCTION("""COMPUTED_VALUE"""),1.0)</f>
        <v>1</v>
      </c>
    </row>
    <row r="2350">
      <c r="K2350" s="4" t="str">
        <f>IFERROR(__xludf.DUMMYFUNCTION("""COMPUTED_VALUE"""),"GRUPO MACARRONES")</f>
        <v>GRUPO MACARRONES</v>
      </c>
      <c r="L2350" s="32">
        <f>IFERROR(__xludf.DUMMYFUNCTION("""COMPUTED_VALUE"""),4.0)</f>
        <v>4</v>
      </c>
      <c r="M2350" s="4" t="str">
        <f>IFERROR(__xludf.DUMMYFUNCTION("""COMPUTED_VALUE"""),"Stone Co.")</f>
        <v>Stone Co.</v>
      </c>
      <c r="N2350" s="33">
        <f>IFERROR(__xludf.DUMMYFUNCTION("""COMPUTED_VALUE"""),0.75)</f>
        <v>0.75</v>
      </c>
      <c r="O2350" s="4" t="str">
        <f>IFERROR(__xludf.DUMMYFUNCTION("""COMPUTED_VALUE"""),"Stone Co.")</f>
        <v>Stone Co.</v>
      </c>
      <c r="P2350" s="33">
        <f>IFERROR(__xludf.DUMMYFUNCTION("""COMPUTED_VALUE"""),0.75)</f>
        <v>0.75</v>
      </c>
      <c r="Q2350" s="4" t="str">
        <f>IFERROR(__xludf.DUMMYFUNCTION("""COMPUTED_VALUE"""),"Stone Co.")</f>
        <v>Stone Co.</v>
      </c>
      <c r="R2350" s="33">
        <f>IFERROR(__xludf.DUMMYFUNCTION("""COMPUTED_VALUE"""),0.75)</f>
        <v>0.75</v>
      </c>
      <c r="S2350" s="4" t="str">
        <f>IFERROR(__xludf.DUMMYFUNCTION("""COMPUTED_VALUE"""),"Stone Co.")</f>
        <v>Stone Co.</v>
      </c>
      <c r="T2350" s="33">
        <f>IFERROR(__xludf.DUMMYFUNCTION("""COMPUTED_VALUE"""),0.75)</f>
        <v>0.75</v>
      </c>
      <c r="U2350" s="4" t="str">
        <f>IFERROR(__xludf.DUMMYFUNCTION("""COMPUTED_VALUE"""),"Stone Co.")</f>
        <v>Stone Co.</v>
      </c>
      <c r="V2350" s="33">
        <f>IFERROR(__xludf.DUMMYFUNCTION("""COMPUTED_VALUE"""),0.75)</f>
        <v>0.75</v>
      </c>
      <c r="W2350" s="4" t="str">
        <f>IFERROR(__xludf.DUMMYFUNCTION("""COMPUTED_VALUE"""),"Stone Co.")</f>
        <v>Stone Co.</v>
      </c>
      <c r="X2350" s="33">
        <f>IFERROR(__xludf.DUMMYFUNCTION("""COMPUTED_VALUE"""),0.75)</f>
        <v>0.75</v>
      </c>
    </row>
    <row r="2351">
      <c r="K2351" s="4" t="str">
        <f>IFERROR(__xludf.DUMMYFUNCTION("""COMPUTED_VALUE"""),"GRUPO MARMITARIA SEMPRE QUENTINHA")</f>
        <v>GRUPO MARMITARIA SEMPRE QUENTINHA</v>
      </c>
      <c r="L2351" s="32">
        <f>IFERROR(__xludf.DUMMYFUNCTION("""COMPUTED_VALUE"""),4.0)</f>
        <v>4</v>
      </c>
      <c r="M2351" s="4" t="str">
        <f>IFERROR(__xludf.DUMMYFUNCTION("""COMPUTED_VALUE"""),"Saipos Serviços De Software")</f>
        <v>Saipos Serviços De Software</v>
      </c>
      <c r="N2351" s="33">
        <f>IFERROR(__xludf.DUMMYFUNCTION("""COMPUTED_VALUE"""),1.0)</f>
        <v>1</v>
      </c>
      <c r="O2351" s="4" t="str">
        <f>IFERROR(__xludf.DUMMYFUNCTION("""COMPUTED_VALUE"""),"Saipos Serviços De Software")</f>
        <v>Saipos Serviços De Software</v>
      </c>
      <c r="P2351" s="33">
        <f>IFERROR(__xludf.DUMMYFUNCTION("""COMPUTED_VALUE"""),1.0)</f>
        <v>1</v>
      </c>
      <c r="Q2351" s="4" t="str">
        <f>IFERROR(__xludf.DUMMYFUNCTION("""COMPUTED_VALUE"""),"Saipos Serviços De Software")</f>
        <v>Saipos Serviços De Software</v>
      </c>
      <c r="R2351" s="33">
        <f>IFERROR(__xludf.DUMMYFUNCTION("""COMPUTED_VALUE"""),1.0)</f>
        <v>1</v>
      </c>
      <c r="S2351" s="4" t="str">
        <f>IFERROR(__xludf.DUMMYFUNCTION("""COMPUTED_VALUE"""),"Takeat Tecnologia")</f>
        <v>Takeat Tecnologia</v>
      </c>
      <c r="T2351" s="33">
        <f>IFERROR(__xludf.DUMMYFUNCTION("""COMPUTED_VALUE"""),0.5)</f>
        <v>0.5</v>
      </c>
      <c r="U2351" s="4" t="str">
        <f>IFERROR(__xludf.DUMMYFUNCTION("""COMPUTED_VALUE"""),"Takeat Tecnologia")</f>
        <v>Takeat Tecnologia</v>
      </c>
      <c r="V2351" s="33">
        <f>IFERROR(__xludf.DUMMYFUNCTION("""COMPUTED_VALUE"""),1.0)</f>
        <v>1</v>
      </c>
      <c r="W2351" s="4" t="str">
        <f>IFERROR(__xludf.DUMMYFUNCTION("""COMPUTED_VALUE"""),"Takeat Tecnologia")</f>
        <v>Takeat Tecnologia</v>
      </c>
      <c r="X2351" s="33">
        <f>IFERROR(__xludf.DUMMYFUNCTION("""COMPUTED_VALUE"""),1.0)</f>
        <v>1</v>
      </c>
    </row>
    <row r="2352">
      <c r="K2352" s="4" t="str">
        <f>IFERROR(__xludf.DUMMYFUNCTION("""COMPUTED_VALUE"""),"GRUPO NA ROCA POCOS")</f>
        <v>GRUPO NA ROCA POCOS</v>
      </c>
      <c r="L2352" s="32">
        <f>IFERROR(__xludf.DUMMYFUNCTION("""COMPUTED_VALUE"""),4.0)</f>
        <v>4</v>
      </c>
      <c r="M2352" s="4" t="str">
        <f>IFERROR(__xludf.DUMMYFUNCTION("""COMPUTED_VALUE"""),"Ncr")</f>
        <v>Ncr</v>
      </c>
      <c r="N2352" s="33">
        <f>IFERROR(__xludf.DUMMYFUNCTION("""COMPUTED_VALUE"""),1.0)</f>
        <v>1</v>
      </c>
      <c r="O2352" s="4" t="str">
        <f>IFERROR(__xludf.DUMMYFUNCTION("""COMPUTED_VALUE"""),"Ncr")</f>
        <v>Ncr</v>
      </c>
      <c r="P2352" s="33">
        <f>IFERROR(__xludf.DUMMYFUNCTION("""COMPUTED_VALUE"""),1.0)</f>
        <v>1</v>
      </c>
      <c r="Q2352" s="4" t="str">
        <f>IFERROR(__xludf.DUMMYFUNCTION("""COMPUTED_VALUE"""),"Ncr")</f>
        <v>Ncr</v>
      </c>
      <c r="R2352" s="33">
        <f>IFERROR(__xludf.DUMMYFUNCTION("""COMPUTED_VALUE"""),1.0)</f>
        <v>1</v>
      </c>
      <c r="S2352" s="4" t="str">
        <f>IFERROR(__xludf.DUMMYFUNCTION("""COMPUTED_VALUE"""),"Ncr")</f>
        <v>Ncr</v>
      </c>
      <c r="T2352" s="33">
        <f>IFERROR(__xludf.DUMMYFUNCTION("""COMPUTED_VALUE"""),1.0)</f>
        <v>1</v>
      </c>
      <c r="U2352" s="4" t="str">
        <f>IFERROR(__xludf.DUMMYFUNCTION("""COMPUTED_VALUE"""),"Ncr")</f>
        <v>Ncr</v>
      </c>
      <c r="V2352" s="33">
        <f>IFERROR(__xludf.DUMMYFUNCTION("""COMPUTED_VALUE"""),1.0)</f>
        <v>1</v>
      </c>
      <c r="W2352" s="4" t="str">
        <f>IFERROR(__xludf.DUMMYFUNCTION("""COMPUTED_VALUE"""),"Ncr")</f>
        <v>Ncr</v>
      </c>
      <c r="X2352" s="33">
        <f>IFERROR(__xludf.DUMMYFUNCTION("""COMPUTED_VALUE"""),0.75)</f>
        <v>0.75</v>
      </c>
    </row>
    <row r="2353">
      <c r="K2353" s="4" t="str">
        <f>IFERROR(__xludf.DUMMYFUNCTION("""COMPUTED_VALUE"""),"GRUPO NATHELY PIZZARIA")</f>
        <v>GRUPO NATHELY PIZZARIA</v>
      </c>
      <c r="L2353" s="32">
        <f>IFERROR(__xludf.DUMMYFUNCTION("""COMPUTED_VALUE"""),4.0)</f>
        <v>4</v>
      </c>
      <c r="M2353" s="4" t="str">
        <f>IFERROR(__xludf.DUMMYFUNCTION("""COMPUTED_VALUE"""),"null")</f>
        <v>null</v>
      </c>
      <c r="N2353" s="33">
        <f>IFERROR(__xludf.DUMMYFUNCTION("""COMPUTED_VALUE"""),0.75)</f>
        <v>0.75</v>
      </c>
      <c r="O2353" s="4" t="str">
        <f>IFERROR(__xludf.DUMMYFUNCTION("""COMPUTED_VALUE"""),"null")</f>
        <v>null</v>
      </c>
      <c r="P2353" s="33">
        <f>IFERROR(__xludf.DUMMYFUNCTION("""COMPUTED_VALUE"""),0.75)</f>
        <v>0.75</v>
      </c>
      <c r="Q2353" s="4" t="str">
        <f>IFERROR(__xludf.DUMMYFUNCTION("""COMPUTED_VALUE"""),"null")</f>
        <v>null</v>
      </c>
      <c r="R2353" s="33">
        <f>IFERROR(__xludf.DUMMYFUNCTION("""COMPUTED_VALUE"""),0.75)</f>
        <v>0.75</v>
      </c>
      <c r="S2353" s="4" t="str">
        <f>IFERROR(__xludf.DUMMYFUNCTION("""COMPUTED_VALUE"""),"null")</f>
        <v>null</v>
      </c>
      <c r="T2353" s="33">
        <f>IFERROR(__xludf.DUMMYFUNCTION("""COMPUTED_VALUE"""),1.0)</f>
        <v>1</v>
      </c>
      <c r="U2353" s="4" t="str">
        <f>IFERROR(__xludf.DUMMYFUNCTION("""COMPUTED_VALUE"""),"null")</f>
        <v>null</v>
      </c>
      <c r="V2353" s="33">
        <f>IFERROR(__xludf.DUMMYFUNCTION("""COMPUTED_VALUE"""),0.75)</f>
        <v>0.75</v>
      </c>
      <c r="W2353" s="4" t="str">
        <f>IFERROR(__xludf.DUMMYFUNCTION("""COMPUTED_VALUE"""),"Saipos Serviços De Software")</f>
        <v>Saipos Serviços De Software</v>
      </c>
      <c r="X2353" s="33">
        <f>IFERROR(__xludf.DUMMYFUNCTION("""COMPUTED_VALUE"""),0.75)</f>
        <v>0.75</v>
      </c>
    </row>
    <row r="2354">
      <c r="K2354" s="4" t="str">
        <f>IFERROR(__xludf.DUMMYFUNCTION("""COMPUTED_VALUE"""),"GRUPO NIPPON CULINARIA")</f>
        <v>GRUPO NIPPON CULINARIA</v>
      </c>
      <c r="L2354" s="32">
        <f>IFERROR(__xludf.DUMMYFUNCTION("""COMPUTED_VALUE"""),4.0)</f>
        <v>4</v>
      </c>
      <c r="M2354" s="4" t="str">
        <f>IFERROR(__xludf.DUMMYFUNCTION("""COMPUTED_VALUE"""),"Saipos Serviços De Software")</f>
        <v>Saipos Serviços De Software</v>
      </c>
      <c r="N2354" s="33">
        <f>IFERROR(__xludf.DUMMYFUNCTION("""COMPUTED_VALUE"""),0.5)</f>
        <v>0.5</v>
      </c>
      <c r="O2354" s="4" t="str">
        <f>IFERROR(__xludf.DUMMYFUNCTION("""COMPUTED_VALUE"""),"Saipos Serviços De Software")</f>
        <v>Saipos Serviços De Software</v>
      </c>
      <c r="P2354" s="33">
        <f>IFERROR(__xludf.DUMMYFUNCTION("""COMPUTED_VALUE"""),0.5)</f>
        <v>0.5</v>
      </c>
      <c r="Q2354" s="4" t="str">
        <f>IFERROR(__xludf.DUMMYFUNCTION("""COMPUTED_VALUE"""),"Saipos Serviços De Software")</f>
        <v>Saipos Serviços De Software</v>
      </c>
      <c r="R2354" s="33">
        <f>IFERROR(__xludf.DUMMYFUNCTION("""COMPUTED_VALUE"""),0.5)</f>
        <v>0.5</v>
      </c>
      <c r="S2354" s="4" t="str">
        <f>IFERROR(__xludf.DUMMYFUNCTION("""COMPUTED_VALUE"""),"Saipos Serviços De Software")</f>
        <v>Saipos Serviços De Software</v>
      </c>
      <c r="T2354" s="33">
        <f>IFERROR(__xludf.DUMMYFUNCTION("""COMPUTED_VALUE"""),0.5)</f>
        <v>0.5</v>
      </c>
      <c r="U2354" s="4" t="str">
        <f>IFERROR(__xludf.DUMMYFUNCTION("""COMPUTED_VALUE"""),"Saipos Serviços De Software")</f>
        <v>Saipos Serviços De Software</v>
      </c>
      <c r="V2354" s="33">
        <f>IFERROR(__xludf.DUMMYFUNCTION("""COMPUTED_VALUE"""),0.5)</f>
        <v>0.5</v>
      </c>
      <c r="W2354" s="4" t="str">
        <f>IFERROR(__xludf.DUMMYFUNCTION("""COMPUTED_VALUE"""),"Saipos Serviços De Software")</f>
        <v>Saipos Serviços De Software</v>
      </c>
      <c r="X2354" s="33">
        <f>IFERROR(__xludf.DUMMYFUNCTION("""COMPUTED_VALUE"""),0.5)</f>
        <v>0.5</v>
      </c>
    </row>
    <row r="2355">
      <c r="K2355" s="4" t="str">
        <f>IFERROR(__xludf.DUMMYFUNCTION("""COMPUTED_VALUE"""),"GRUPO OUTLET DA PIZZA")</f>
        <v>GRUPO OUTLET DA PIZZA</v>
      </c>
      <c r="L2355" s="32">
        <f>IFERROR(__xludf.DUMMYFUNCTION("""COMPUTED_VALUE"""),4.0)</f>
        <v>4</v>
      </c>
      <c r="M2355" s="4" t="str">
        <f>IFERROR(__xludf.DUMMYFUNCTION("""COMPUTED_VALUE"""),"null")</f>
        <v>null</v>
      </c>
      <c r="N2355" s="33">
        <f>IFERROR(__xludf.DUMMYFUNCTION("""COMPUTED_VALUE"""),1.0)</f>
        <v>1</v>
      </c>
      <c r="O2355" s="4" t="str">
        <f>IFERROR(__xludf.DUMMYFUNCTION("""COMPUTED_VALUE"""),"null")</f>
        <v>null</v>
      </c>
      <c r="P2355" s="33">
        <f>IFERROR(__xludf.DUMMYFUNCTION("""COMPUTED_VALUE"""),1.0)</f>
        <v>1</v>
      </c>
      <c r="Q2355" s="4" t="str">
        <f>IFERROR(__xludf.DUMMYFUNCTION("""COMPUTED_VALUE"""),"null")</f>
        <v>null</v>
      </c>
      <c r="R2355" s="33">
        <f>IFERROR(__xludf.DUMMYFUNCTION("""COMPUTED_VALUE"""),1.0)</f>
        <v>1</v>
      </c>
      <c r="S2355" s="4" t="str">
        <f>IFERROR(__xludf.DUMMYFUNCTION("""COMPUTED_VALUE"""),"null")</f>
        <v>null</v>
      </c>
      <c r="T2355" s="33">
        <f>IFERROR(__xludf.DUMMYFUNCTION("""COMPUTED_VALUE"""),1.0)</f>
        <v>1</v>
      </c>
      <c r="U2355" s="4" t="str">
        <f>IFERROR(__xludf.DUMMYFUNCTION("""COMPUTED_VALUE"""),"Saipos Serviços De Software")</f>
        <v>Saipos Serviços De Software</v>
      </c>
      <c r="V2355" s="33">
        <f>IFERROR(__xludf.DUMMYFUNCTION("""COMPUTED_VALUE"""),1.0)</f>
        <v>1</v>
      </c>
      <c r="W2355" s="4" t="str">
        <f>IFERROR(__xludf.DUMMYFUNCTION("""COMPUTED_VALUE"""),"Saipos Serviços De Software")</f>
        <v>Saipos Serviços De Software</v>
      </c>
      <c r="X2355" s="33">
        <f>IFERROR(__xludf.DUMMYFUNCTION("""COMPUTED_VALUE"""),1.0)</f>
        <v>1</v>
      </c>
    </row>
    <row r="2356">
      <c r="K2356" s="4" t="str">
        <f>IFERROR(__xludf.DUMMYFUNCTION("""COMPUTED_VALUE"""),"GRUPO PACCO PIZZA")</f>
        <v>GRUPO PACCO PIZZA</v>
      </c>
      <c r="L2356" s="32">
        <f>IFERROR(__xludf.DUMMYFUNCTION("""COMPUTED_VALUE"""),4.0)</f>
        <v>4</v>
      </c>
      <c r="M2356" s="4" t="str">
        <f>IFERROR(__xludf.DUMMYFUNCTION("""COMPUTED_VALUE"""),"Saipos Serviços De Software")</f>
        <v>Saipos Serviços De Software</v>
      </c>
      <c r="N2356" s="33">
        <f>IFERROR(__xludf.DUMMYFUNCTION("""COMPUTED_VALUE"""),0.75)</f>
        <v>0.75</v>
      </c>
      <c r="O2356" s="4" t="str">
        <f>IFERROR(__xludf.DUMMYFUNCTION("""COMPUTED_VALUE"""),"Saipos Serviços De Software")</f>
        <v>Saipos Serviços De Software</v>
      </c>
      <c r="P2356" s="33">
        <f>IFERROR(__xludf.DUMMYFUNCTION("""COMPUTED_VALUE"""),0.75)</f>
        <v>0.75</v>
      </c>
      <c r="Q2356" s="4" t="str">
        <f>IFERROR(__xludf.DUMMYFUNCTION("""COMPUTED_VALUE"""),"Saipos Serviços De Software")</f>
        <v>Saipos Serviços De Software</v>
      </c>
      <c r="R2356" s="33">
        <f>IFERROR(__xludf.DUMMYFUNCTION("""COMPUTED_VALUE"""),0.75)</f>
        <v>0.75</v>
      </c>
      <c r="S2356" s="4" t="str">
        <f>IFERROR(__xludf.DUMMYFUNCTION("""COMPUTED_VALUE"""),"Saipos Serviços De Software")</f>
        <v>Saipos Serviços De Software</v>
      </c>
      <c r="T2356" s="33">
        <f>IFERROR(__xludf.DUMMYFUNCTION("""COMPUTED_VALUE"""),1.0)</f>
        <v>1</v>
      </c>
      <c r="U2356" s="4" t="str">
        <f>IFERROR(__xludf.DUMMYFUNCTION("""COMPUTED_VALUE"""),"Saipos Serviços De Software")</f>
        <v>Saipos Serviços De Software</v>
      </c>
      <c r="V2356" s="33">
        <f>IFERROR(__xludf.DUMMYFUNCTION("""COMPUTED_VALUE"""),1.0)</f>
        <v>1</v>
      </c>
      <c r="W2356" s="4" t="str">
        <f>IFERROR(__xludf.DUMMYFUNCTION("""COMPUTED_VALUE"""),"Saipos Serviços De Software")</f>
        <v>Saipos Serviços De Software</v>
      </c>
      <c r="X2356" s="33">
        <f>IFERROR(__xludf.DUMMYFUNCTION("""COMPUTED_VALUE"""),1.0)</f>
        <v>1</v>
      </c>
    </row>
    <row r="2357">
      <c r="K2357" s="4" t="str">
        <f>IFERROR(__xludf.DUMMYFUNCTION("""COMPUTED_VALUE"""),"GRUPO PADRINHOS SMASH")</f>
        <v>GRUPO PADRINHOS SMASH</v>
      </c>
      <c r="L2357" s="32">
        <f>IFERROR(__xludf.DUMMYFUNCTION("""COMPUTED_VALUE"""),4.0)</f>
        <v>4</v>
      </c>
      <c r="M2357" s="4" t="str">
        <f>IFERROR(__xludf.DUMMYFUNCTION("""COMPUTED_VALUE"""),"Connectplug")</f>
        <v>Connectplug</v>
      </c>
      <c r="N2357" s="33">
        <f>IFERROR(__xludf.DUMMYFUNCTION("""COMPUTED_VALUE"""),0.75)</f>
        <v>0.75</v>
      </c>
      <c r="O2357" s="4" t="str">
        <f>IFERROR(__xludf.DUMMYFUNCTION("""COMPUTED_VALUE"""),"Connectplug")</f>
        <v>Connectplug</v>
      </c>
      <c r="P2357" s="33">
        <f>IFERROR(__xludf.DUMMYFUNCTION("""COMPUTED_VALUE"""),0.75)</f>
        <v>0.75</v>
      </c>
      <c r="Q2357" s="4" t="str">
        <f>IFERROR(__xludf.DUMMYFUNCTION("""COMPUTED_VALUE"""),"Connectplug")</f>
        <v>Connectplug</v>
      </c>
      <c r="R2357" s="33">
        <f>IFERROR(__xludf.DUMMYFUNCTION("""COMPUTED_VALUE"""),0.75)</f>
        <v>0.75</v>
      </c>
      <c r="S2357" s="4" t="str">
        <f>IFERROR(__xludf.DUMMYFUNCTION("""COMPUTED_VALUE"""),"Connectplug")</f>
        <v>Connectplug</v>
      </c>
      <c r="T2357" s="33">
        <f>IFERROR(__xludf.DUMMYFUNCTION("""COMPUTED_VALUE"""),0.75)</f>
        <v>0.75</v>
      </c>
      <c r="U2357" s="4" t="str">
        <f>IFERROR(__xludf.DUMMYFUNCTION("""COMPUTED_VALUE"""),"Connectplug")</f>
        <v>Connectplug</v>
      </c>
      <c r="V2357" s="33">
        <f>IFERROR(__xludf.DUMMYFUNCTION("""COMPUTED_VALUE"""),0.75)</f>
        <v>0.75</v>
      </c>
      <c r="W2357" s="4" t="str">
        <f>IFERROR(__xludf.DUMMYFUNCTION("""COMPUTED_VALUE"""),"Connectplug")</f>
        <v>Connectplug</v>
      </c>
      <c r="X2357" s="33">
        <f>IFERROR(__xludf.DUMMYFUNCTION("""COMPUTED_VALUE"""),0.75)</f>
        <v>0.75</v>
      </c>
    </row>
    <row r="2358">
      <c r="K2358" s="4" t="str">
        <f>IFERROR(__xludf.DUMMYFUNCTION("""COMPUTED_VALUE"""),"GRUPO PIRATA")</f>
        <v>GRUPO PIRATA</v>
      </c>
      <c r="L2358" s="32">
        <f>IFERROR(__xludf.DUMMYFUNCTION("""COMPUTED_VALUE"""),4.0)</f>
        <v>4</v>
      </c>
      <c r="M2358" s="4" t="str">
        <f>IFERROR(__xludf.DUMMYFUNCTION("""COMPUTED_VALUE"""),"Netcontroll Xmenu")</f>
        <v>Netcontroll Xmenu</v>
      </c>
      <c r="N2358" s="33">
        <f>IFERROR(__xludf.DUMMYFUNCTION("""COMPUTED_VALUE"""),1.0)</f>
        <v>1</v>
      </c>
      <c r="O2358" s="4" t="str">
        <f>IFERROR(__xludf.DUMMYFUNCTION("""COMPUTED_VALUE"""),"Netcontroll Xmenu")</f>
        <v>Netcontroll Xmenu</v>
      </c>
      <c r="P2358" s="33">
        <f>IFERROR(__xludf.DUMMYFUNCTION("""COMPUTED_VALUE"""),0.75)</f>
        <v>0.75</v>
      </c>
      <c r="Q2358" s="4" t="str">
        <f>IFERROR(__xludf.DUMMYFUNCTION("""COMPUTED_VALUE"""),"Netcontroll Xmenu")</f>
        <v>Netcontroll Xmenu</v>
      </c>
      <c r="R2358" s="33">
        <f>IFERROR(__xludf.DUMMYFUNCTION("""COMPUTED_VALUE"""),0.75)</f>
        <v>0.75</v>
      </c>
      <c r="S2358" s="4" t="str">
        <f>IFERROR(__xludf.DUMMYFUNCTION("""COMPUTED_VALUE"""),"Netcontroll Xmenu")</f>
        <v>Netcontroll Xmenu</v>
      </c>
      <c r="T2358" s="33">
        <f>IFERROR(__xludf.DUMMYFUNCTION("""COMPUTED_VALUE"""),0.75)</f>
        <v>0.75</v>
      </c>
      <c r="U2358" s="4" t="str">
        <f>IFERROR(__xludf.DUMMYFUNCTION("""COMPUTED_VALUE"""),"Netcontroll Xmenu")</f>
        <v>Netcontroll Xmenu</v>
      </c>
      <c r="V2358" s="33">
        <f>IFERROR(__xludf.DUMMYFUNCTION("""COMPUTED_VALUE"""),0.75)</f>
        <v>0.75</v>
      </c>
      <c r="W2358" s="4" t="str">
        <f>IFERROR(__xludf.DUMMYFUNCTION("""COMPUTED_VALUE"""),"Netcontroll Xmenu")</f>
        <v>Netcontroll Xmenu</v>
      </c>
      <c r="X2358" s="33">
        <f>IFERROR(__xludf.DUMMYFUNCTION("""COMPUTED_VALUE"""),0.75)</f>
        <v>0.75</v>
      </c>
    </row>
    <row r="2359">
      <c r="K2359" s="4" t="str">
        <f>IFERROR(__xludf.DUMMYFUNCTION("""COMPUTED_VALUE"""),"GRUPO PITCHO")</f>
        <v>GRUPO PITCHO</v>
      </c>
      <c r="L2359" s="32">
        <f>IFERROR(__xludf.DUMMYFUNCTION("""COMPUTED_VALUE"""),4.0)</f>
        <v>4</v>
      </c>
      <c r="M2359" s="4" t="str">
        <f>IFERROR(__xludf.DUMMYFUNCTION("""COMPUTED_VALUE"""),"Cloudfy")</f>
        <v>Cloudfy</v>
      </c>
      <c r="N2359" s="33">
        <f>IFERROR(__xludf.DUMMYFUNCTION("""COMPUTED_VALUE"""),0.75)</f>
        <v>0.75</v>
      </c>
      <c r="O2359" s="4" t="str">
        <f>IFERROR(__xludf.DUMMYFUNCTION("""COMPUTED_VALUE"""),"Cloudfy")</f>
        <v>Cloudfy</v>
      </c>
      <c r="P2359" s="33">
        <f>IFERROR(__xludf.DUMMYFUNCTION("""COMPUTED_VALUE"""),0.75)</f>
        <v>0.75</v>
      </c>
      <c r="Q2359" s="4" t="str">
        <f>IFERROR(__xludf.DUMMYFUNCTION("""COMPUTED_VALUE"""),"Cloudfy")</f>
        <v>Cloudfy</v>
      </c>
      <c r="R2359" s="33">
        <f>IFERROR(__xludf.DUMMYFUNCTION("""COMPUTED_VALUE"""),0.75)</f>
        <v>0.75</v>
      </c>
      <c r="S2359" s="4" t="str">
        <f>IFERROR(__xludf.DUMMYFUNCTION("""COMPUTED_VALUE"""),"Cloudfy")</f>
        <v>Cloudfy</v>
      </c>
      <c r="T2359" s="33">
        <f>IFERROR(__xludf.DUMMYFUNCTION("""COMPUTED_VALUE"""),0.75)</f>
        <v>0.75</v>
      </c>
      <c r="U2359" s="4" t="str">
        <f>IFERROR(__xludf.DUMMYFUNCTION("""COMPUTED_VALUE"""),"Cloudfy")</f>
        <v>Cloudfy</v>
      </c>
      <c r="V2359" s="33">
        <f>IFERROR(__xludf.DUMMYFUNCTION("""COMPUTED_VALUE"""),0.75)</f>
        <v>0.75</v>
      </c>
      <c r="W2359" s="4" t="str">
        <f>IFERROR(__xludf.DUMMYFUNCTION("""COMPUTED_VALUE"""),"Cloudfy")</f>
        <v>Cloudfy</v>
      </c>
      <c r="X2359" s="33">
        <f>IFERROR(__xludf.DUMMYFUNCTION("""COMPUTED_VALUE"""),0.75)</f>
        <v>0.75</v>
      </c>
    </row>
    <row r="2360">
      <c r="K2360" s="4" t="str">
        <f>IFERROR(__xludf.DUMMYFUNCTION("""COMPUTED_VALUE"""),"GRUPO PREMIATTA")</f>
        <v>GRUPO PREMIATTA</v>
      </c>
      <c r="L2360" s="32">
        <f>IFERROR(__xludf.DUMMYFUNCTION("""COMPUTED_VALUE"""),4.0)</f>
        <v>4</v>
      </c>
      <c r="M2360" s="4" t="str">
        <f>IFERROR(__xludf.DUMMYFUNCTION("""COMPUTED_VALUE"""),"Netcontroll Xmenu")</f>
        <v>Netcontroll Xmenu</v>
      </c>
      <c r="N2360" s="33">
        <f>IFERROR(__xludf.DUMMYFUNCTION("""COMPUTED_VALUE"""),1.0)</f>
        <v>1</v>
      </c>
      <c r="O2360" s="4" t="str">
        <f>IFERROR(__xludf.DUMMYFUNCTION("""COMPUTED_VALUE"""),"Netcontroll Xmenu")</f>
        <v>Netcontroll Xmenu</v>
      </c>
      <c r="P2360" s="33">
        <f>IFERROR(__xludf.DUMMYFUNCTION("""COMPUTED_VALUE"""),0.5)</f>
        <v>0.5</v>
      </c>
      <c r="Q2360" s="4" t="str">
        <f>IFERROR(__xludf.DUMMYFUNCTION("""COMPUTED_VALUE"""),"Netcontroll Xmenu")</f>
        <v>Netcontroll Xmenu</v>
      </c>
      <c r="R2360" s="33">
        <f>IFERROR(__xludf.DUMMYFUNCTION("""COMPUTED_VALUE"""),0.75)</f>
        <v>0.75</v>
      </c>
      <c r="S2360" s="4" t="str">
        <f>IFERROR(__xludf.DUMMYFUNCTION("""COMPUTED_VALUE"""),"Netcontroll Xmenu")</f>
        <v>Netcontroll Xmenu</v>
      </c>
      <c r="T2360" s="33">
        <f>IFERROR(__xludf.DUMMYFUNCTION("""COMPUTED_VALUE"""),0.75)</f>
        <v>0.75</v>
      </c>
      <c r="U2360" s="4" t="str">
        <f>IFERROR(__xludf.DUMMYFUNCTION("""COMPUTED_VALUE"""),"Netcontroll Xmenu")</f>
        <v>Netcontroll Xmenu</v>
      </c>
      <c r="V2360" s="33">
        <f>IFERROR(__xludf.DUMMYFUNCTION("""COMPUTED_VALUE"""),0.75)</f>
        <v>0.75</v>
      </c>
      <c r="W2360" s="4" t="str">
        <f>IFERROR(__xludf.DUMMYFUNCTION("""COMPUTED_VALUE"""),"Netcontroll Xmenu")</f>
        <v>Netcontroll Xmenu</v>
      </c>
      <c r="X2360" s="33">
        <f>IFERROR(__xludf.DUMMYFUNCTION("""COMPUTED_VALUE"""),0.75)</f>
        <v>0.75</v>
      </c>
    </row>
    <row r="2361">
      <c r="K2361" s="4" t="str">
        <f>IFERROR(__xludf.DUMMYFUNCTION("""COMPUTED_VALUE"""),"GRUPO RAIZ SUSHI")</f>
        <v>GRUPO RAIZ SUSHI</v>
      </c>
      <c r="L2361" s="32">
        <f>IFERROR(__xludf.DUMMYFUNCTION("""COMPUTED_VALUE"""),4.0)</f>
        <v>4</v>
      </c>
      <c r="M2361" s="4" t="str">
        <f>IFERROR(__xludf.DUMMYFUNCTION("""COMPUTED_VALUE"""),"Eclética Tecnologia")</f>
        <v>Eclética Tecnologia</v>
      </c>
      <c r="N2361" s="33">
        <f>IFERROR(__xludf.DUMMYFUNCTION("""COMPUTED_VALUE"""),1.0)</f>
        <v>1</v>
      </c>
      <c r="O2361" s="4" t="str">
        <f>IFERROR(__xludf.DUMMYFUNCTION("""COMPUTED_VALUE"""),"Eclética Tecnologia")</f>
        <v>Eclética Tecnologia</v>
      </c>
      <c r="P2361" s="33">
        <f>IFERROR(__xludf.DUMMYFUNCTION("""COMPUTED_VALUE"""),0.75)</f>
        <v>0.75</v>
      </c>
      <c r="Q2361" s="4" t="str">
        <f>IFERROR(__xludf.DUMMYFUNCTION("""COMPUTED_VALUE"""),"Eclética Tecnologia")</f>
        <v>Eclética Tecnologia</v>
      </c>
      <c r="R2361" s="33">
        <f>IFERROR(__xludf.DUMMYFUNCTION("""COMPUTED_VALUE"""),0.75)</f>
        <v>0.75</v>
      </c>
      <c r="S2361" s="4" t="str">
        <f>IFERROR(__xludf.DUMMYFUNCTION("""COMPUTED_VALUE"""),"Eclética Tecnologia")</f>
        <v>Eclética Tecnologia</v>
      </c>
      <c r="T2361" s="33">
        <f>IFERROR(__xludf.DUMMYFUNCTION("""COMPUTED_VALUE"""),0.5)</f>
        <v>0.5</v>
      </c>
      <c r="U2361" s="4" t="str">
        <f>IFERROR(__xludf.DUMMYFUNCTION("""COMPUTED_VALUE"""),"Eclética Tecnologia")</f>
        <v>Eclética Tecnologia</v>
      </c>
      <c r="V2361" s="33">
        <f>IFERROR(__xludf.DUMMYFUNCTION("""COMPUTED_VALUE"""),0.5)</f>
        <v>0.5</v>
      </c>
      <c r="W2361" s="4" t="str">
        <f>IFERROR(__xludf.DUMMYFUNCTION("""COMPUTED_VALUE"""),"Eclética Tecnologia")</f>
        <v>Eclética Tecnologia</v>
      </c>
      <c r="X2361" s="33">
        <f>IFERROR(__xludf.DUMMYFUNCTION("""COMPUTED_VALUE"""),0.5)</f>
        <v>0.5</v>
      </c>
    </row>
    <row r="2362">
      <c r="K2362" s="4" t="str">
        <f>IFERROR(__xludf.DUMMYFUNCTION("""COMPUTED_VALUE"""),"TOPPU SUSHI")</f>
        <v>TOPPU SUSHI</v>
      </c>
      <c r="L2362" s="32">
        <f>IFERROR(__xludf.DUMMYFUNCTION("""COMPUTED_VALUE"""),4.0)</f>
        <v>4</v>
      </c>
      <c r="M2362" s="4" t="str">
        <f>IFERROR(__xludf.DUMMYFUNCTION("""COMPUTED_VALUE"""),"Menew - Linx")</f>
        <v>Menew - Linx</v>
      </c>
      <c r="N2362" s="33">
        <f>IFERROR(__xludf.DUMMYFUNCTION("""COMPUTED_VALUE"""),1.0)</f>
        <v>1</v>
      </c>
      <c r="O2362" s="4" t="str">
        <f>IFERROR(__xludf.DUMMYFUNCTION("""COMPUTED_VALUE"""),"Menew - Linx")</f>
        <v>Menew - Linx</v>
      </c>
      <c r="P2362" s="33">
        <f>IFERROR(__xludf.DUMMYFUNCTION("""COMPUTED_VALUE"""),1.0)</f>
        <v>1</v>
      </c>
      <c r="Q2362" s="4" t="str">
        <f>IFERROR(__xludf.DUMMYFUNCTION("""COMPUTED_VALUE"""),"Menew - Linx")</f>
        <v>Menew - Linx</v>
      </c>
      <c r="R2362" s="33">
        <f>IFERROR(__xludf.DUMMYFUNCTION("""COMPUTED_VALUE"""),1.0)</f>
        <v>1</v>
      </c>
      <c r="S2362" s="4" t="str">
        <f>IFERROR(__xludf.DUMMYFUNCTION("""COMPUTED_VALUE"""),"Menew - Linx")</f>
        <v>Menew - Linx</v>
      </c>
      <c r="T2362" s="33">
        <f>IFERROR(__xludf.DUMMYFUNCTION("""COMPUTED_VALUE"""),1.0)</f>
        <v>1</v>
      </c>
      <c r="U2362" s="4" t="str">
        <f>IFERROR(__xludf.DUMMYFUNCTION("""COMPUTED_VALUE"""),"Menew - Linx")</f>
        <v>Menew - Linx</v>
      </c>
      <c r="V2362" s="33">
        <f>IFERROR(__xludf.DUMMYFUNCTION("""COMPUTED_VALUE"""),1.0)</f>
        <v>1</v>
      </c>
      <c r="W2362" s="4" t="str">
        <f>IFERROR(__xludf.DUMMYFUNCTION("""COMPUTED_VALUE"""),"Menew - Linx")</f>
        <v>Menew - Linx</v>
      </c>
      <c r="X2362" s="33">
        <f>IFERROR(__xludf.DUMMYFUNCTION("""COMPUTED_VALUE"""),1.0)</f>
        <v>1</v>
      </c>
    </row>
    <row r="2363">
      <c r="K2363" s="4" t="str">
        <f>IFERROR(__xludf.DUMMYFUNCTION("""COMPUTED_VALUE"""),"SUSHI HAACK")</f>
        <v>SUSHI HAACK</v>
      </c>
      <c r="L2363" s="32">
        <f>IFERROR(__xludf.DUMMYFUNCTION("""COMPUTED_VALUE"""),4.0)</f>
        <v>4</v>
      </c>
      <c r="M2363" s="4" t="str">
        <f>IFERROR(__xludf.DUMMYFUNCTION("""COMPUTED_VALUE"""),"Menew - Linx")</f>
        <v>Menew - Linx</v>
      </c>
      <c r="N2363" s="33">
        <f>IFERROR(__xludf.DUMMYFUNCTION("""COMPUTED_VALUE"""),1.0)</f>
        <v>1</v>
      </c>
      <c r="O2363" s="4" t="str">
        <f>IFERROR(__xludf.DUMMYFUNCTION("""COMPUTED_VALUE"""),"Menew - Linx")</f>
        <v>Menew - Linx</v>
      </c>
      <c r="P2363" s="33">
        <f>IFERROR(__xludf.DUMMYFUNCTION("""COMPUTED_VALUE"""),1.0)</f>
        <v>1</v>
      </c>
      <c r="Q2363" s="4" t="str">
        <f>IFERROR(__xludf.DUMMYFUNCTION("""COMPUTED_VALUE"""),"Menew - Linx")</f>
        <v>Menew - Linx</v>
      </c>
      <c r="R2363" s="33">
        <f>IFERROR(__xludf.DUMMYFUNCTION("""COMPUTED_VALUE"""),1.0)</f>
        <v>1</v>
      </c>
      <c r="S2363" s="4" t="str">
        <f>IFERROR(__xludf.DUMMYFUNCTION("""COMPUTED_VALUE"""),"Menew - Linx")</f>
        <v>Menew - Linx</v>
      </c>
      <c r="T2363" s="33">
        <f>IFERROR(__xludf.DUMMYFUNCTION("""COMPUTED_VALUE"""),1.0)</f>
        <v>1</v>
      </c>
      <c r="U2363" s="4" t="str">
        <f>IFERROR(__xludf.DUMMYFUNCTION("""COMPUTED_VALUE"""),"Menew - Linx")</f>
        <v>Menew - Linx</v>
      </c>
      <c r="V2363" s="33">
        <f>IFERROR(__xludf.DUMMYFUNCTION("""COMPUTED_VALUE"""),1.0)</f>
        <v>1</v>
      </c>
      <c r="W2363" s="4" t="str">
        <f>IFERROR(__xludf.DUMMYFUNCTION("""COMPUTED_VALUE"""),"Menew - Linx")</f>
        <v>Menew - Linx</v>
      </c>
      <c r="X2363" s="33">
        <f>IFERROR(__xludf.DUMMYFUNCTION("""COMPUTED_VALUE"""),1.0)</f>
        <v>1</v>
      </c>
    </row>
    <row r="2364">
      <c r="K2364" s="4" t="str">
        <f>IFERROR(__xludf.DUMMYFUNCTION("""COMPUTED_VALUE"""),"GRUPO SAGRES")</f>
        <v>GRUPO SAGRES</v>
      </c>
      <c r="L2364" s="32">
        <f>IFERROR(__xludf.DUMMYFUNCTION("""COMPUTED_VALUE"""),4.0)</f>
        <v>4</v>
      </c>
      <c r="M2364" s="4" t="str">
        <f>IFERROR(__xludf.DUMMYFUNCTION("""COMPUTED_VALUE"""),"Netcontroll Xmenu")</f>
        <v>Netcontroll Xmenu</v>
      </c>
      <c r="N2364" s="33">
        <f>IFERROR(__xludf.DUMMYFUNCTION("""COMPUTED_VALUE"""),1.0)</f>
        <v>1</v>
      </c>
      <c r="O2364" s="4" t="str">
        <f>IFERROR(__xludf.DUMMYFUNCTION("""COMPUTED_VALUE"""),"Netcontroll Xmenu")</f>
        <v>Netcontroll Xmenu</v>
      </c>
      <c r="P2364" s="33">
        <f>IFERROR(__xludf.DUMMYFUNCTION("""COMPUTED_VALUE"""),0.75)</f>
        <v>0.75</v>
      </c>
      <c r="Q2364" s="4" t="str">
        <f>IFERROR(__xludf.DUMMYFUNCTION("""COMPUTED_VALUE"""),"Netcontroll Xmenu")</f>
        <v>Netcontroll Xmenu</v>
      </c>
      <c r="R2364" s="33">
        <f>IFERROR(__xludf.DUMMYFUNCTION("""COMPUTED_VALUE"""),1.0)</f>
        <v>1</v>
      </c>
      <c r="S2364" s="4" t="str">
        <f>IFERROR(__xludf.DUMMYFUNCTION("""COMPUTED_VALUE"""),"Netcontroll Xmenu")</f>
        <v>Netcontroll Xmenu</v>
      </c>
      <c r="T2364" s="33">
        <f>IFERROR(__xludf.DUMMYFUNCTION("""COMPUTED_VALUE"""),0.75)</f>
        <v>0.75</v>
      </c>
      <c r="U2364" s="4" t="str">
        <f>IFERROR(__xludf.DUMMYFUNCTION("""COMPUTED_VALUE"""),"Netcontroll Xmenu")</f>
        <v>Netcontroll Xmenu</v>
      </c>
      <c r="V2364" s="33">
        <f>IFERROR(__xludf.DUMMYFUNCTION("""COMPUTED_VALUE"""),0.5)</f>
        <v>0.5</v>
      </c>
      <c r="W2364" s="4" t="str">
        <f>IFERROR(__xludf.DUMMYFUNCTION("""COMPUTED_VALUE"""),"Netcontroll Xmenu")</f>
        <v>Netcontroll Xmenu</v>
      </c>
      <c r="X2364" s="33">
        <f>IFERROR(__xludf.DUMMYFUNCTION("""COMPUTED_VALUE"""),0.5)</f>
        <v>0.5</v>
      </c>
    </row>
    <row r="2365">
      <c r="K2365" s="4" t="str">
        <f>IFERROR(__xludf.DUMMYFUNCTION("""COMPUTED_VALUE"""),"GRUPO SANTA")</f>
        <v>GRUPO SANTA</v>
      </c>
      <c r="L2365" s="32">
        <f>IFERROR(__xludf.DUMMYFUNCTION("""COMPUTED_VALUE"""),4.0)</f>
        <v>4</v>
      </c>
      <c r="M2365" s="4" t="str">
        <f>IFERROR(__xludf.DUMMYFUNCTION("""COMPUTED_VALUE"""),"Glow")</f>
        <v>Glow</v>
      </c>
      <c r="N2365" s="33">
        <f>IFERROR(__xludf.DUMMYFUNCTION("""COMPUTED_VALUE"""),1.0)</f>
        <v>1</v>
      </c>
      <c r="O2365" s="4" t="str">
        <f>IFERROR(__xludf.DUMMYFUNCTION("""COMPUTED_VALUE"""),"null")</f>
        <v>null</v>
      </c>
      <c r="P2365" s="33">
        <f>IFERROR(__xludf.DUMMYFUNCTION("""COMPUTED_VALUE"""),1.0)</f>
        <v>1</v>
      </c>
      <c r="Q2365" s="4" t="str">
        <f>IFERROR(__xludf.DUMMYFUNCTION("""COMPUTED_VALUE"""),"null")</f>
        <v>null</v>
      </c>
      <c r="R2365" s="33">
        <f>IFERROR(__xludf.DUMMYFUNCTION("""COMPUTED_VALUE"""),1.0)</f>
        <v>1</v>
      </c>
      <c r="S2365" s="4" t="str">
        <f>IFERROR(__xludf.DUMMYFUNCTION("""COMPUTED_VALUE"""),"null")</f>
        <v>null</v>
      </c>
      <c r="T2365" s="33">
        <f>IFERROR(__xludf.DUMMYFUNCTION("""COMPUTED_VALUE"""),1.0)</f>
        <v>1</v>
      </c>
      <c r="U2365" s="4" t="str">
        <f>IFERROR(__xludf.DUMMYFUNCTION("""COMPUTED_VALUE"""),"null")</f>
        <v>null</v>
      </c>
      <c r="V2365" s="33">
        <f>IFERROR(__xludf.DUMMYFUNCTION("""COMPUTED_VALUE"""),1.0)</f>
        <v>1</v>
      </c>
      <c r="W2365" s="4" t="str">
        <f>IFERROR(__xludf.DUMMYFUNCTION("""COMPUTED_VALUE"""),"null")</f>
        <v>null</v>
      </c>
      <c r="X2365" s="33">
        <f>IFERROR(__xludf.DUMMYFUNCTION("""COMPUTED_VALUE"""),1.0)</f>
        <v>1</v>
      </c>
    </row>
    <row r="2366">
      <c r="K2366" s="4" t="str">
        <f>IFERROR(__xludf.DUMMYFUNCTION("""COMPUTED_VALUE"""),"GRUPO SEM FRESCURA")</f>
        <v>GRUPO SEM FRESCURA</v>
      </c>
      <c r="L2366" s="32">
        <f>IFERROR(__xludf.DUMMYFUNCTION("""COMPUTED_VALUE"""),4.0)</f>
        <v>4</v>
      </c>
      <c r="M2366" s="4" t="str">
        <f>IFERROR(__xludf.DUMMYFUNCTION("""COMPUTED_VALUE"""),"null")</f>
        <v>null</v>
      </c>
      <c r="N2366" s="33">
        <f>IFERROR(__xludf.DUMMYFUNCTION("""COMPUTED_VALUE"""),0.5)</f>
        <v>0.5</v>
      </c>
      <c r="O2366" s="4" t="str">
        <f>IFERROR(__xludf.DUMMYFUNCTION("""COMPUTED_VALUE"""),"null")</f>
        <v>null</v>
      </c>
      <c r="P2366" s="33">
        <f>IFERROR(__xludf.DUMMYFUNCTION("""COMPUTED_VALUE"""),0.5)</f>
        <v>0.5</v>
      </c>
      <c r="Q2366" s="4" t="str">
        <f>IFERROR(__xludf.DUMMYFUNCTION("""COMPUTED_VALUE"""),"null")</f>
        <v>null</v>
      </c>
      <c r="R2366" s="33">
        <f>IFERROR(__xludf.DUMMYFUNCTION("""COMPUTED_VALUE"""),0.5)</f>
        <v>0.5</v>
      </c>
      <c r="S2366" s="4" t="str">
        <f>IFERROR(__xludf.DUMMYFUNCTION("""COMPUTED_VALUE"""),"null")</f>
        <v>null</v>
      </c>
      <c r="T2366" s="33">
        <f>IFERROR(__xludf.DUMMYFUNCTION("""COMPUTED_VALUE"""),0.5)</f>
        <v>0.5</v>
      </c>
      <c r="U2366" s="4" t="str">
        <f>IFERROR(__xludf.DUMMYFUNCTION("""COMPUTED_VALUE"""),"Negocios Ponto Com Servicos Logisticos Personalizados Ltda")</f>
        <v>Negocios Ponto Com Servicos Logisticos Personalizados Ltda</v>
      </c>
      <c r="V2366" s="33">
        <f>IFERROR(__xludf.DUMMYFUNCTION("""COMPUTED_VALUE"""),0.25)</f>
        <v>0.25</v>
      </c>
      <c r="W2366" s="4" t="str">
        <f>IFERROR(__xludf.DUMMYFUNCTION("""COMPUTED_VALUE"""),"Negocios Ponto Com Servicos Logisticos Personalizados Ltda")</f>
        <v>Negocios Ponto Com Servicos Logisticos Personalizados Ltda</v>
      </c>
      <c r="X2366" s="33">
        <f>IFERROR(__xludf.DUMMYFUNCTION("""COMPUTED_VALUE"""),0.25)</f>
        <v>0.25</v>
      </c>
    </row>
    <row r="2367">
      <c r="K2367" s="4" t="str">
        <f>IFERROR(__xludf.DUMMYFUNCTION("""COMPUTED_VALUE"""),"GRUPO SHAKKAI SUSHI")</f>
        <v>GRUPO SHAKKAI SUSHI</v>
      </c>
      <c r="L2367" s="32">
        <f>IFERROR(__xludf.DUMMYFUNCTION("""COMPUTED_VALUE"""),4.0)</f>
        <v>4</v>
      </c>
      <c r="M2367" s="4" t="str">
        <f>IFERROR(__xludf.DUMMYFUNCTION("""COMPUTED_VALUE"""),"Saipos Serviços De Software")</f>
        <v>Saipos Serviços De Software</v>
      </c>
      <c r="N2367" s="33">
        <f>IFERROR(__xludf.DUMMYFUNCTION("""COMPUTED_VALUE"""),1.0)</f>
        <v>1</v>
      </c>
      <c r="O2367" s="4" t="str">
        <f>IFERROR(__xludf.DUMMYFUNCTION("""COMPUTED_VALUE"""),"Saipos Serviços De Software")</f>
        <v>Saipos Serviços De Software</v>
      </c>
      <c r="P2367" s="33">
        <f>IFERROR(__xludf.DUMMYFUNCTION("""COMPUTED_VALUE"""),1.0)</f>
        <v>1</v>
      </c>
      <c r="Q2367" s="4" t="str">
        <f>IFERROR(__xludf.DUMMYFUNCTION("""COMPUTED_VALUE"""),"Saipos Serviços De Software")</f>
        <v>Saipos Serviços De Software</v>
      </c>
      <c r="R2367" s="33">
        <f>IFERROR(__xludf.DUMMYFUNCTION("""COMPUTED_VALUE"""),1.0)</f>
        <v>1</v>
      </c>
      <c r="S2367" s="4" t="str">
        <f>IFERROR(__xludf.DUMMYFUNCTION("""COMPUTED_VALUE"""),"Saipos Serviços De Software")</f>
        <v>Saipos Serviços De Software</v>
      </c>
      <c r="T2367" s="33">
        <f>IFERROR(__xludf.DUMMYFUNCTION("""COMPUTED_VALUE"""),1.0)</f>
        <v>1</v>
      </c>
      <c r="U2367" s="4" t="str">
        <f>IFERROR(__xludf.DUMMYFUNCTION("""COMPUTED_VALUE"""),"Saipos Serviços De Software")</f>
        <v>Saipos Serviços De Software</v>
      </c>
      <c r="V2367" s="33">
        <f>IFERROR(__xludf.DUMMYFUNCTION("""COMPUTED_VALUE"""),1.0)</f>
        <v>1</v>
      </c>
      <c r="W2367" s="4" t="str">
        <f>IFERROR(__xludf.DUMMYFUNCTION("""COMPUTED_VALUE"""),"Saipos Serviços De Software")</f>
        <v>Saipos Serviços De Software</v>
      </c>
      <c r="X2367" s="33">
        <f>IFERROR(__xludf.DUMMYFUNCTION("""COMPUTED_VALUE"""),1.0)</f>
        <v>1</v>
      </c>
    </row>
    <row r="2368">
      <c r="K2368" s="4" t="str">
        <f>IFERROR(__xludf.DUMMYFUNCTION("""COMPUTED_VALUE"""),"GRUPO SSP")</f>
        <v>GRUPO SSP</v>
      </c>
      <c r="L2368" s="32">
        <f>IFERROR(__xludf.DUMMYFUNCTION("""COMPUTED_VALUE"""),4.0)</f>
        <v>4</v>
      </c>
      <c r="M2368" s="4" t="str">
        <f>IFERROR(__xludf.DUMMYFUNCTION("""COMPUTED_VALUE"""),"Saipos Serviços De Software")</f>
        <v>Saipos Serviços De Software</v>
      </c>
      <c r="N2368" s="33">
        <f>IFERROR(__xludf.DUMMYFUNCTION("""COMPUTED_VALUE"""),0.5)</f>
        <v>0.5</v>
      </c>
      <c r="O2368" s="4" t="str">
        <f>IFERROR(__xludf.DUMMYFUNCTION("""COMPUTED_VALUE"""),"Saipos Serviços De Software")</f>
        <v>Saipos Serviços De Software</v>
      </c>
      <c r="P2368" s="33">
        <f>IFERROR(__xludf.DUMMYFUNCTION("""COMPUTED_VALUE"""),0.5)</f>
        <v>0.5</v>
      </c>
      <c r="Q2368" s="4" t="str">
        <f>IFERROR(__xludf.DUMMYFUNCTION("""COMPUTED_VALUE"""),"Saipos Serviços De Software")</f>
        <v>Saipos Serviços De Software</v>
      </c>
      <c r="R2368" s="33">
        <f>IFERROR(__xludf.DUMMYFUNCTION("""COMPUTED_VALUE"""),0.75)</f>
        <v>0.75</v>
      </c>
      <c r="S2368" s="4" t="str">
        <f>IFERROR(__xludf.DUMMYFUNCTION("""COMPUTED_VALUE"""),"Saipos Serviços De Software")</f>
        <v>Saipos Serviços De Software</v>
      </c>
      <c r="T2368" s="33">
        <f>IFERROR(__xludf.DUMMYFUNCTION("""COMPUTED_VALUE"""),0.75)</f>
        <v>0.75</v>
      </c>
      <c r="U2368" s="4" t="str">
        <f>IFERROR(__xludf.DUMMYFUNCTION("""COMPUTED_VALUE"""),"Saipos Serviços De Software")</f>
        <v>Saipos Serviços De Software</v>
      </c>
      <c r="V2368" s="33">
        <f>IFERROR(__xludf.DUMMYFUNCTION("""COMPUTED_VALUE"""),0.75)</f>
        <v>0.75</v>
      </c>
      <c r="W2368" s="4" t="str">
        <f>IFERROR(__xludf.DUMMYFUNCTION("""COMPUTED_VALUE"""),"Saipos Serviços De Software")</f>
        <v>Saipos Serviços De Software</v>
      </c>
      <c r="X2368" s="33">
        <f>IFERROR(__xludf.DUMMYFUNCTION("""COMPUTED_VALUE"""),0.5)</f>
        <v>0.5</v>
      </c>
    </row>
    <row r="2369">
      <c r="K2369" s="4" t="str">
        <f>IFERROR(__xludf.DUMMYFUNCTION("""COMPUTED_VALUE"""),"GRUPO SUSHI PONTA NEGRA")</f>
        <v>GRUPO SUSHI PONTA NEGRA</v>
      </c>
      <c r="L2369" s="32">
        <f>IFERROR(__xludf.DUMMYFUNCTION("""COMPUTED_VALUE"""),4.0)</f>
        <v>4</v>
      </c>
      <c r="M2369" s="4" t="str">
        <f>IFERROR(__xludf.DUMMYFUNCTION("""COMPUTED_VALUE"""),"Vekttor")</f>
        <v>Vekttor</v>
      </c>
      <c r="N2369" s="33">
        <f>IFERROR(__xludf.DUMMYFUNCTION("""COMPUTED_VALUE"""),0.75)</f>
        <v>0.75</v>
      </c>
      <c r="O2369" s="4" t="str">
        <f>IFERROR(__xludf.DUMMYFUNCTION("""COMPUTED_VALUE"""),"Vekttor")</f>
        <v>Vekttor</v>
      </c>
      <c r="P2369" s="33">
        <f>IFERROR(__xludf.DUMMYFUNCTION("""COMPUTED_VALUE"""),0.75)</f>
        <v>0.75</v>
      </c>
      <c r="Q2369" s="4" t="str">
        <f>IFERROR(__xludf.DUMMYFUNCTION("""COMPUTED_VALUE"""),"Vekttor")</f>
        <v>Vekttor</v>
      </c>
      <c r="R2369" s="33">
        <f>IFERROR(__xludf.DUMMYFUNCTION("""COMPUTED_VALUE"""),0.75)</f>
        <v>0.75</v>
      </c>
      <c r="S2369" s="4" t="str">
        <f>IFERROR(__xludf.DUMMYFUNCTION("""COMPUTED_VALUE"""),"Vekttor")</f>
        <v>Vekttor</v>
      </c>
      <c r="T2369" s="33">
        <f>IFERROR(__xludf.DUMMYFUNCTION("""COMPUTED_VALUE"""),0.75)</f>
        <v>0.75</v>
      </c>
      <c r="U2369" s="4" t="str">
        <f>IFERROR(__xludf.DUMMYFUNCTION("""COMPUTED_VALUE"""),"Vekttor")</f>
        <v>Vekttor</v>
      </c>
      <c r="V2369" s="33">
        <f>IFERROR(__xludf.DUMMYFUNCTION("""COMPUTED_VALUE"""),0.75)</f>
        <v>0.75</v>
      </c>
      <c r="W2369" s="4" t="str">
        <f>IFERROR(__xludf.DUMMYFUNCTION("""COMPUTED_VALUE"""),"Vekttor")</f>
        <v>Vekttor</v>
      </c>
      <c r="X2369" s="33">
        <f>IFERROR(__xludf.DUMMYFUNCTION("""COMPUTED_VALUE"""),0.75)</f>
        <v>0.75</v>
      </c>
    </row>
    <row r="2370">
      <c r="K2370" s="4" t="str">
        <f>IFERROR(__xludf.DUMMYFUNCTION("""COMPUTED_VALUE"""),"GRUPO TAZ 24H - MARCA")</f>
        <v>GRUPO TAZ 24H - MARCA</v>
      </c>
      <c r="L2370" s="32">
        <f>IFERROR(__xludf.DUMMYFUNCTION("""COMPUTED_VALUE"""),4.0)</f>
        <v>4</v>
      </c>
      <c r="M2370" s="4" t="str">
        <f>IFERROR(__xludf.DUMMYFUNCTION("""COMPUTED_VALUE"""),"Premio Sistemas Ltda")</f>
        <v>Premio Sistemas Ltda</v>
      </c>
      <c r="N2370" s="33">
        <f>IFERROR(__xludf.DUMMYFUNCTION("""COMPUTED_VALUE"""),0.75)</f>
        <v>0.75</v>
      </c>
      <c r="O2370" s="4" t="str">
        <f>IFERROR(__xludf.DUMMYFUNCTION("""COMPUTED_VALUE"""),"Premio Sistemas Ltda")</f>
        <v>Premio Sistemas Ltda</v>
      </c>
      <c r="P2370" s="33">
        <f>IFERROR(__xludf.DUMMYFUNCTION("""COMPUTED_VALUE"""),1.0)</f>
        <v>1</v>
      </c>
      <c r="Q2370" s="4" t="str">
        <f>IFERROR(__xludf.DUMMYFUNCTION("""COMPUTED_VALUE"""),"Premio Sistemas Ltda")</f>
        <v>Premio Sistemas Ltda</v>
      </c>
      <c r="R2370" s="33">
        <f>IFERROR(__xludf.DUMMYFUNCTION("""COMPUTED_VALUE"""),0.75)</f>
        <v>0.75</v>
      </c>
      <c r="S2370" s="4" t="str">
        <f>IFERROR(__xludf.DUMMYFUNCTION("""COMPUTED_VALUE"""),"Premio Sistemas Ltda")</f>
        <v>Premio Sistemas Ltda</v>
      </c>
      <c r="T2370" s="33">
        <f>IFERROR(__xludf.DUMMYFUNCTION("""COMPUTED_VALUE"""),1.0)</f>
        <v>1</v>
      </c>
      <c r="U2370" s="4" t="str">
        <f>IFERROR(__xludf.DUMMYFUNCTION("""COMPUTED_VALUE"""),"Premio Sistemas Ltda")</f>
        <v>Premio Sistemas Ltda</v>
      </c>
      <c r="V2370" s="33">
        <f>IFERROR(__xludf.DUMMYFUNCTION("""COMPUTED_VALUE"""),0.75)</f>
        <v>0.75</v>
      </c>
      <c r="W2370" s="4" t="str">
        <f>IFERROR(__xludf.DUMMYFUNCTION("""COMPUTED_VALUE"""),"Premio Sistemas Ltda")</f>
        <v>Premio Sistemas Ltda</v>
      </c>
      <c r="X2370" s="33">
        <f>IFERROR(__xludf.DUMMYFUNCTION("""COMPUTED_VALUE"""),0.75)</f>
        <v>0.75</v>
      </c>
    </row>
    <row r="2371">
      <c r="K2371" s="4" t="str">
        <f>IFERROR(__xludf.DUMMYFUNCTION("""COMPUTED_VALUE"""),"GRUPO VELOCE")</f>
        <v>GRUPO VELOCE</v>
      </c>
      <c r="L2371" s="32">
        <f>IFERROR(__xludf.DUMMYFUNCTION("""COMPUTED_VALUE"""),4.0)</f>
        <v>4</v>
      </c>
      <c r="M2371" s="4" t="str">
        <f>IFERROR(__xludf.DUMMYFUNCTION("""COMPUTED_VALUE"""),"Cloudfy")</f>
        <v>Cloudfy</v>
      </c>
      <c r="N2371" s="33">
        <f>IFERROR(__xludf.DUMMYFUNCTION("""COMPUTED_VALUE"""),1.0)</f>
        <v>1</v>
      </c>
      <c r="O2371" s="4" t="str">
        <f>IFERROR(__xludf.DUMMYFUNCTION("""COMPUTED_VALUE"""),"Cloudfy")</f>
        <v>Cloudfy</v>
      </c>
      <c r="P2371" s="33">
        <f>IFERROR(__xludf.DUMMYFUNCTION("""COMPUTED_VALUE"""),1.0)</f>
        <v>1</v>
      </c>
      <c r="Q2371" s="4" t="str">
        <f>IFERROR(__xludf.DUMMYFUNCTION("""COMPUTED_VALUE"""),"Cloudfy")</f>
        <v>Cloudfy</v>
      </c>
      <c r="R2371" s="33">
        <f>IFERROR(__xludf.DUMMYFUNCTION("""COMPUTED_VALUE"""),1.0)</f>
        <v>1</v>
      </c>
      <c r="S2371" s="4" t="str">
        <f>IFERROR(__xludf.DUMMYFUNCTION("""COMPUTED_VALUE"""),"Cloudfy")</f>
        <v>Cloudfy</v>
      </c>
      <c r="T2371" s="33">
        <f>IFERROR(__xludf.DUMMYFUNCTION("""COMPUTED_VALUE"""),1.0)</f>
        <v>1</v>
      </c>
      <c r="U2371" s="4" t="str">
        <f>IFERROR(__xludf.DUMMYFUNCTION("""COMPUTED_VALUE"""),"Cloudfy")</f>
        <v>Cloudfy</v>
      </c>
      <c r="V2371" s="33">
        <f>IFERROR(__xludf.DUMMYFUNCTION("""COMPUTED_VALUE"""),1.0)</f>
        <v>1</v>
      </c>
      <c r="W2371" s="4" t="str">
        <f>IFERROR(__xludf.DUMMYFUNCTION("""COMPUTED_VALUE"""),"Cloudfy")</f>
        <v>Cloudfy</v>
      </c>
      <c r="X2371" s="33">
        <f>IFERROR(__xludf.DUMMYFUNCTION("""COMPUTED_VALUE"""),0.75)</f>
        <v>0.75</v>
      </c>
    </row>
    <row r="2372">
      <c r="K2372" s="4" t="str">
        <f>IFERROR(__xludf.DUMMYFUNCTION("""COMPUTED_VALUE"""),"GRUPO VIBE ACAI")</f>
        <v>GRUPO VIBE ACAI</v>
      </c>
      <c r="L2372" s="32">
        <f>IFERROR(__xludf.DUMMYFUNCTION("""COMPUTED_VALUE"""),4.0)</f>
        <v>4</v>
      </c>
      <c r="M2372" s="4" t="str">
        <f>IFERROR(__xludf.DUMMYFUNCTION("""COMPUTED_VALUE"""),"Alfa Labs")</f>
        <v>Alfa Labs</v>
      </c>
      <c r="N2372" s="33">
        <f>IFERROR(__xludf.DUMMYFUNCTION("""COMPUTED_VALUE"""),1.0)</f>
        <v>1</v>
      </c>
      <c r="O2372" s="4" t="str">
        <f>IFERROR(__xludf.DUMMYFUNCTION("""COMPUTED_VALUE"""),"Alfa Labs")</f>
        <v>Alfa Labs</v>
      </c>
      <c r="P2372" s="33">
        <f>IFERROR(__xludf.DUMMYFUNCTION("""COMPUTED_VALUE"""),1.0)</f>
        <v>1</v>
      </c>
      <c r="Q2372" s="4" t="str">
        <f>IFERROR(__xludf.DUMMYFUNCTION("""COMPUTED_VALUE"""),"Alfa Labs")</f>
        <v>Alfa Labs</v>
      </c>
      <c r="R2372" s="33">
        <f>IFERROR(__xludf.DUMMYFUNCTION("""COMPUTED_VALUE"""),0.75)</f>
        <v>0.75</v>
      </c>
      <c r="S2372" s="4" t="str">
        <f>IFERROR(__xludf.DUMMYFUNCTION("""COMPUTED_VALUE"""),"Alfa Labs")</f>
        <v>Alfa Labs</v>
      </c>
      <c r="T2372" s="33">
        <f>IFERROR(__xludf.DUMMYFUNCTION("""COMPUTED_VALUE"""),1.0)</f>
        <v>1</v>
      </c>
      <c r="U2372" s="4" t="str">
        <f>IFERROR(__xludf.DUMMYFUNCTION("""COMPUTED_VALUE"""),"Alfa Labs")</f>
        <v>Alfa Labs</v>
      </c>
      <c r="V2372" s="33">
        <f>IFERROR(__xludf.DUMMYFUNCTION("""COMPUTED_VALUE"""),1.0)</f>
        <v>1</v>
      </c>
      <c r="W2372" s="4" t="str">
        <f>IFERROR(__xludf.DUMMYFUNCTION("""COMPUTED_VALUE"""),"Alfa Labs")</f>
        <v>Alfa Labs</v>
      </c>
      <c r="X2372" s="33">
        <f>IFERROR(__xludf.DUMMYFUNCTION("""COMPUTED_VALUE"""),1.0)</f>
        <v>1</v>
      </c>
    </row>
    <row r="2373">
      <c r="K2373" s="4" t="str">
        <f>IFERROR(__xludf.DUMMYFUNCTION("""COMPUTED_VALUE"""),"GRUPO YAKI TOP")</f>
        <v>GRUPO YAKI TOP</v>
      </c>
      <c r="L2373" s="32">
        <f>IFERROR(__xludf.DUMMYFUNCTION("""COMPUTED_VALUE"""),4.0)</f>
        <v>4</v>
      </c>
      <c r="M2373" s="4" t="str">
        <f>IFERROR(__xludf.DUMMYFUNCTION("""COMPUTED_VALUE"""),"Saipos Serviços De Software")</f>
        <v>Saipos Serviços De Software</v>
      </c>
      <c r="N2373" s="33">
        <f>IFERROR(__xludf.DUMMYFUNCTION("""COMPUTED_VALUE"""),1.0)</f>
        <v>1</v>
      </c>
      <c r="O2373" s="4" t="str">
        <f>IFERROR(__xludf.DUMMYFUNCTION("""COMPUTED_VALUE"""),"Saipos Serviços De Software")</f>
        <v>Saipos Serviços De Software</v>
      </c>
      <c r="P2373" s="33">
        <f>IFERROR(__xludf.DUMMYFUNCTION("""COMPUTED_VALUE"""),1.0)</f>
        <v>1</v>
      </c>
      <c r="Q2373" s="4" t="str">
        <f>IFERROR(__xludf.DUMMYFUNCTION("""COMPUTED_VALUE"""),"Saipos Serviços De Software")</f>
        <v>Saipos Serviços De Software</v>
      </c>
      <c r="R2373" s="33">
        <f>IFERROR(__xludf.DUMMYFUNCTION("""COMPUTED_VALUE"""),1.0)</f>
        <v>1</v>
      </c>
      <c r="S2373" s="4" t="str">
        <f>IFERROR(__xludf.DUMMYFUNCTION("""COMPUTED_VALUE"""),"Saipos Serviços De Software")</f>
        <v>Saipos Serviços De Software</v>
      </c>
      <c r="T2373" s="33">
        <f>IFERROR(__xludf.DUMMYFUNCTION("""COMPUTED_VALUE"""),1.0)</f>
        <v>1</v>
      </c>
      <c r="U2373" s="4" t="str">
        <f>IFERROR(__xludf.DUMMYFUNCTION("""COMPUTED_VALUE"""),"Saipos Serviços De Software")</f>
        <v>Saipos Serviços De Software</v>
      </c>
      <c r="V2373" s="33">
        <f>IFERROR(__xludf.DUMMYFUNCTION("""COMPUTED_VALUE"""),1.0)</f>
        <v>1</v>
      </c>
      <c r="W2373" s="4" t="str">
        <f>IFERROR(__xludf.DUMMYFUNCTION("""COMPUTED_VALUE"""),"Saipos Serviços De Software")</f>
        <v>Saipos Serviços De Software</v>
      </c>
      <c r="X2373" s="33">
        <f>IFERROR(__xludf.DUMMYFUNCTION("""COMPUTED_VALUE"""),1.0)</f>
        <v>1</v>
      </c>
    </row>
    <row r="2374">
      <c r="K2374" s="4" t="str">
        <f>IFERROR(__xludf.DUMMYFUNCTION("""COMPUTED_VALUE"""),"GRUPO ZE FROXIN")</f>
        <v>GRUPO ZE FROXIN</v>
      </c>
      <c r="L2374" s="32">
        <f>IFERROR(__xludf.DUMMYFUNCTION("""COMPUTED_VALUE"""),4.0)</f>
        <v>4</v>
      </c>
      <c r="M2374" s="4" t="str">
        <f>IFERROR(__xludf.DUMMYFUNCTION("""COMPUTED_VALUE"""),"Cardápio Web")</f>
        <v>Cardápio Web</v>
      </c>
      <c r="N2374" s="33">
        <f>IFERROR(__xludf.DUMMYFUNCTION("""COMPUTED_VALUE"""),0.75)</f>
        <v>0.75</v>
      </c>
      <c r="O2374" s="4" t="str">
        <f>IFERROR(__xludf.DUMMYFUNCTION("""COMPUTED_VALUE"""),"Cardápio Web")</f>
        <v>Cardápio Web</v>
      </c>
      <c r="P2374" s="33">
        <f>IFERROR(__xludf.DUMMYFUNCTION("""COMPUTED_VALUE"""),0.75)</f>
        <v>0.75</v>
      </c>
      <c r="Q2374" s="4" t="str">
        <f>IFERROR(__xludf.DUMMYFUNCTION("""COMPUTED_VALUE"""),"Cardápio Web")</f>
        <v>Cardápio Web</v>
      </c>
      <c r="R2374" s="33">
        <f>IFERROR(__xludf.DUMMYFUNCTION("""COMPUTED_VALUE"""),1.0)</f>
        <v>1</v>
      </c>
      <c r="S2374" s="4" t="str">
        <f>IFERROR(__xludf.DUMMYFUNCTION("""COMPUTED_VALUE"""),"Cardápio Web")</f>
        <v>Cardápio Web</v>
      </c>
      <c r="T2374" s="33">
        <f>IFERROR(__xludf.DUMMYFUNCTION("""COMPUTED_VALUE"""),1.0)</f>
        <v>1</v>
      </c>
      <c r="U2374" s="4" t="str">
        <f>IFERROR(__xludf.DUMMYFUNCTION("""COMPUTED_VALUE"""),"Cardápio Web")</f>
        <v>Cardápio Web</v>
      </c>
      <c r="V2374" s="33">
        <f>IFERROR(__xludf.DUMMYFUNCTION("""COMPUTED_VALUE"""),1.0)</f>
        <v>1</v>
      </c>
      <c r="W2374" s="4" t="str">
        <f>IFERROR(__xludf.DUMMYFUNCTION("""COMPUTED_VALUE"""),"Cardápio Web")</f>
        <v>Cardápio Web</v>
      </c>
      <c r="X2374" s="33">
        <f>IFERROR(__xludf.DUMMYFUNCTION("""COMPUTED_VALUE"""),1.0)</f>
        <v>1</v>
      </c>
    </row>
    <row r="2375">
      <c r="K2375" s="4" t="str">
        <f>IFERROR(__xludf.DUMMYFUNCTION("""COMPUTED_VALUE"""),"GUERREIRO BURGUER - CONTA PAI")</f>
        <v>GUERREIRO BURGUER - CONTA PAI</v>
      </c>
      <c r="L2375" s="32">
        <f>IFERROR(__xludf.DUMMYFUNCTION("""COMPUTED_VALUE"""),4.0)</f>
        <v>4</v>
      </c>
      <c r="M2375" s="4" t="str">
        <f>IFERROR(__xludf.DUMMYFUNCTION("""COMPUTED_VALUE"""),"Saipos Serviços De Software")</f>
        <v>Saipos Serviços De Software</v>
      </c>
      <c r="N2375" s="33">
        <f>IFERROR(__xludf.DUMMYFUNCTION("""COMPUTED_VALUE"""),0.75)</f>
        <v>0.75</v>
      </c>
      <c r="O2375" s="4" t="str">
        <f>IFERROR(__xludf.DUMMYFUNCTION("""COMPUTED_VALUE"""),"Saipos Serviços De Software")</f>
        <v>Saipos Serviços De Software</v>
      </c>
      <c r="P2375" s="33">
        <f>IFERROR(__xludf.DUMMYFUNCTION("""COMPUTED_VALUE"""),0.75)</f>
        <v>0.75</v>
      </c>
      <c r="Q2375" s="4" t="str">
        <f>IFERROR(__xludf.DUMMYFUNCTION("""COMPUTED_VALUE"""),"Saipos Serviços De Software")</f>
        <v>Saipos Serviços De Software</v>
      </c>
      <c r="R2375" s="33">
        <f>IFERROR(__xludf.DUMMYFUNCTION("""COMPUTED_VALUE"""),0.5)</f>
        <v>0.5</v>
      </c>
      <c r="S2375" s="4" t="str">
        <f>IFERROR(__xludf.DUMMYFUNCTION("""COMPUTED_VALUE"""),"Saipos Serviços De Software")</f>
        <v>Saipos Serviços De Software</v>
      </c>
      <c r="T2375" s="33">
        <f>IFERROR(__xludf.DUMMYFUNCTION("""COMPUTED_VALUE"""),0.5)</f>
        <v>0.5</v>
      </c>
      <c r="U2375" s="4" t="str">
        <f>IFERROR(__xludf.DUMMYFUNCTION("""COMPUTED_VALUE"""),"Saipos Serviços De Software")</f>
        <v>Saipos Serviços De Software</v>
      </c>
      <c r="V2375" s="33">
        <f>IFERROR(__xludf.DUMMYFUNCTION("""COMPUTED_VALUE"""),0.75)</f>
        <v>0.75</v>
      </c>
      <c r="W2375" s="4" t="str">
        <f>IFERROR(__xludf.DUMMYFUNCTION("""COMPUTED_VALUE"""),"Saipos Serviços De Software")</f>
        <v>Saipos Serviços De Software</v>
      </c>
      <c r="X2375" s="33">
        <f>IFERROR(__xludf.DUMMYFUNCTION("""COMPUTED_VALUE"""),0.75)</f>
        <v>0.75</v>
      </c>
    </row>
    <row r="2376">
      <c r="K2376" s="4" t="str">
        <f>IFERROR(__xludf.DUMMYFUNCTION("""COMPUTED_VALUE"""),"HACHIKO")</f>
        <v>HACHIKO</v>
      </c>
      <c r="L2376" s="32">
        <f>IFERROR(__xludf.DUMMYFUNCTION("""COMPUTED_VALUE"""),4.0)</f>
        <v>4</v>
      </c>
      <c r="M2376" s="4" t="str">
        <f>IFERROR(__xludf.DUMMYFUNCTION("""COMPUTED_VALUE"""),"Nootech Sistemas")</f>
        <v>Nootech Sistemas</v>
      </c>
      <c r="N2376" s="33">
        <f>IFERROR(__xludf.DUMMYFUNCTION("""COMPUTED_VALUE"""),1.0)</f>
        <v>1</v>
      </c>
      <c r="O2376" s="4" t="str">
        <f>IFERROR(__xludf.DUMMYFUNCTION("""COMPUTED_VALUE"""),"Nootech Sistemas")</f>
        <v>Nootech Sistemas</v>
      </c>
      <c r="P2376" s="33">
        <f>IFERROR(__xludf.DUMMYFUNCTION("""COMPUTED_VALUE"""),1.0)</f>
        <v>1</v>
      </c>
      <c r="Q2376" s="4" t="str">
        <f>IFERROR(__xludf.DUMMYFUNCTION("""COMPUTED_VALUE"""),"Nootech Sistemas")</f>
        <v>Nootech Sistemas</v>
      </c>
      <c r="R2376" s="33">
        <f>IFERROR(__xludf.DUMMYFUNCTION("""COMPUTED_VALUE"""),1.0)</f>
        <v>1</v>
      </c>
      <c r="S2376" s="4" t="str">
        <f>IFERROR(__xludf.DUMMYFUNCTION("""COMPUTED_VALUE"""),"Nootech Sistemas")</f>
        <v>Nootech Sistemas</v>
      </c>
      <c r="T2376" s="33">
        <f>IFERROR(__xludf.DUMMYFUNCTION("""COMPUTED_VALUE"""),1.0)</f>
        <v>1</v>
      </c>
      <c r="U2376" s="4" t="str">
        <f>IFERROR(__xludf.DUMMYFUNCTION("""COMPUTED_VALUE"""),"Nootech Sistemas")</f>
        <v>Nootech Sistemas</v>
      </c>
      <c r="V2376" s="33">
        <f>IFERROR(__xludf.DUMMYFUNCTION("""COMPUTED_VALUE"""),0.75)</f>
        <v>0.75</v>
      </c>
      <c r="W2376" s="4" t="str">
        <f>IFERROR(__xludf.DUMMYFUNCTION("""COMPUTED_VALUE"""),"Nootech Sistemas")</f>
        <v>Nootech Sistemas</v>
      </c>
      <c r="X2376" s="33">
        <f>IFERROR(__xludf.DUMMYFUNCTION("""COMPUTED_VALUE"""),0.75)</f>
        <v>0.75</v>
      </c>
    </row>
    <row r="2377">
      <c r="K2377" s="4" t="str">
        <f>IFERROR(__xludf.DUMMYFUNCTION("""COMPUTED_VALUE"""),"HAMBURGUERIA BARBA RUIVA")</f>
        <v>HAMBURGUERIA BARBA RUIVA</v>
      </c>
      <c r="L2377" s="32">
        <f>IFERROR(__xludf.DUMMYFUNCTION("""COMPUTED_VALUE"""),4.0)</f>
        <v>4</v>
      </c>
      <c r="M2377" s="4" t="str">
        <f>IFERROR(__xludf.DUMMYFUNCTION("""COMPUTED_VALUE"""),"Consumer Soluções Em Tecnologia Ltda")</f>
        <v>Consumer Soluções Em Tecnologia Ltda</v>
      </c>
      <c r="N2377" s="33">
        <f>IFERROR(__xludf.DUMMYFUNCTION("""COMPUTED_VALUE"""),1.0)</f>
        <v>1</v>
      </c>
      <c r="O2377" s="4" t="str">
        <f>IFERROR(__xludf.DUMMYFUNCTION("""COMPUTED_VALUE"""),"Consumer Soluções Em Tecnologia Ltda")</f>
        <v>Consumer Soluções Em Tecnologia Ltda</v>
      </c>
      <c r="P2377" s="33">
        <f>IFERROR(__xludf.DUMMYFUNCTION("""COMPUTED_VALUE"""),0.75)</f>
        <v>0.75</v>
      </c>
      <c r="Q2377" s="4" t="str">
        <f>IFERROR(__xludf.DUMMYFUNCTION("""COMPUTED_VALUE"""),"Consumer Soluções Em Tecnologia Ltda")</f>
        <v>Consumer Soluções Em Tecnologia Ltda</v>
      </c>
      <c r="R2377" s="33">
        <f>IFERROR(__xludf.DUMMYFUNCTION("""COMPUTED_VALUE"""),1.0)</f>
        <v>1</v>
      </c>
      <c r="S2377" s="4" t="str">
        <f>IFERROR(__xludf.DUMMYFUNCTION("""COMPUTED_VALUE"""),"Consumer Soluções Em Tecnologia Ltda")</f>
        <v>Consumer Soluções Em Tecnologia Ltda</v>
      </c>
      <c r="T2377" s="33">
        <f>IFERROR(__xludf.DUMMYFUNCTION("""COMPUTED_VALUE"""),0.75)</f>
        <v>0.75</v>
      </c>
      <c r="U2377" s="4" t="str">
        <f>IFERROR(__xludf.DUMMYFUNCTION("""COMPUTED_VALUE"""),"Consumer Soluções Em Tecnologia Ltda")</f>
        <v>Consumer Soluções Em Tecnologia Ltda</v>
      </c>
      <c r="V2377" s="33">
        <f>IFERROR(__xludf.DUMMYFUNCTION("""COMPUTED_VALUE"""),0.75)</f>
        <v>0.75</v>
      </c>
      <c r="W2377" s="4" t="str">
        <f>IFERROR(__xludf.DUMMYFUNCTION("""COMPUTED_VALUE"""),"null")</f>
        <v>null</v>
      </c>
      <c r="X2377" s="33">
        <f>IFERROR(__xludf.DUMMYFUNCTION("""COMPUTED_VALUE"""),0.75)</f>
        <v>0.75</v>
      </c>
    </row>
    <row r="2378">
      <c r="K2378" s="4" t="str">
        <f>IFERROR(__xludf.DUMMYFUNCTION("""COMPUTED_VALUE"""),"HAMBURGUERIA LIGEIROS- CONTA PAI")</f>
        <v>HAMBURGUERIA LIGEIROS- CONTA PAI</v>
      </c>
      <c r="L2378" s="32">
        <f>IFERROR(__xludf.DUMMYFUNCTION("""COMPUTED_VALUE"""),4.0)</f>
        <v>4</v>
      </c>
      <c r="M2378" s="4" t="str">
        <f>IFERROR(__xludf.DUMMYFUNCTION("""COMPUTED_VALUE"""),"Saipos Serviços De Software")</f>
        <v>Saipos Serviços De Software</v>
      </c>
      <c r="N2378" s="33">
        <f>IFERROR(__xludf.DUMMYFUNCTION("""COMPUTED_VALUE"""),1.0)</f>
        <v>1</v>
      </c>
      <c r="O2378" s="4" t="str">
        <f>IFERROR(__xludf.DUMMYFUNCTION("""COMPUTED_VALUE"""),"Saipos Serviços De Software")</f>
        <v>Saipos Serviços De Software</v>
      </c>
      <c r="P2378" s="33">
        <f>IFERROR(__xludf.DUMMYFUNCTION("""COMPUTED_VALUE"""),1.0)</f>
        <v>1</v>
      </c>
      <c r="Q2378" s="4" t="str">
        <f>IFERROR(__xludf.DUMMYFUNCTION("""COMPUTED_VALUE"""),"Saipos Serviços De Software")</f>
        <v>Saipos Serviços De Software</v>
      </c>
      <c r="R2378" s="33">
        <f>IFERROR(__xludf.DUMMYFUNCTION("""COMPUTED_VALUE"""),1.0)</f>
        <v>1</v>
      </c>
      <c r="S2378" s="4" t="str">
        <f>IFERROR(__xludf.DUMMYFUNCTION("""COMPUTED_VALUE"""),"Saipos Serviços De Software")</f>
        <v>Saipos Serviços De Software</v>
      </c>
      <c r="T2378" s="33">
        <f>IFERROR(__xludf.DUMMYFUNCTION("""COMPUTED_VALUE"""),1.0)</f>
        <v>1</v>
      </c>
      <c r="U2378" s="4" t="str">
        <f>IFERROR(__xludf.DUMMYFUNCTION("""COMPUTED_VALUE"""),"Saipos Serviços De Software")</f>
        <v>Saipos Serviços De Software</v>
      </c>
      <c r="V2378" s="33">
        <f>IFERROR(__xludf.DUMMYFUNCTION("""COMPUTED_VALUE"""),1.0)</f>
        <v>1</v>
      </c>
      <c r="W2378" s="4" t="str">
        <f>IFERROR(__xludf.DUMMYFUNCTION("""COMPUTED_VALUE"""),"Saipos Serviços De Software")</f>
        <v>Saipos Serviços De Software</v>
      </c>
      <c r="X2378" s="33">
        <f>IFERROR(__xludf.DUMMYFUNCTION("""COMPUTED_VALUE"""),1.0)</f>
        <v>1</v>
      </c>
    </row>
    <row r="2379">
      <c r="K2379" s="4" t="str">
        <f>IFERROR(__xludf.DUMMYFUNCTION("""COMPUTED_VALUE"""),"HILLA")</f>
        <v>HILLA</v>
      </c>
      <c r="L2379" s="32">
        <f>IFERROR(__xludf.DUMMYFUNCTION("""COMPUTED_VALUE"""),4.0)</f>
        <v>4</v>
      </c>
      <c r="M2379" s="4" t="str">
        <f>IFERROR(__xludf.DUMMYFUNCTION("""COMPUTED_VALUE"""),"Cardápio Web")</f>
        <v>Cardápio Web</v>
      </c>
      <c r="N2379" s="33">
        <f>IFERROR(__xludf.DUMMYFUNCTION("""COMPUTED_VALUE"""),0.75)</f>
        <v>0.75</v>
      </c>
      <c r="O2379" s="4" t="str">
        <f>IFERROR(__xludf.DUMMYFUNCTION("""COMPUTED_VALUE"""),"Cardápio Web")</f>
        <v>Cardápio Web</v>
      </c>
      <c r="P2379" s="33">
        <f>IFERROR(__xludf.DUMMYFUNCTION("""COMPUTED_VALUE"""),1.0)</f>
        <v>1</v>
      </c>
      <c r="Q2379" s="4" t="str">
        <f>IFERROR(__xludf.DUMMYFUNCTION("""COMPUTED_VALUE"""),"Cardápio Web")</f>
        <v>Cardápio Web</v>
      </c>
      <c r="R2379" s="33">
        <f>IFERROR(__xludf.DUMMYFUNCTION("""COMPUTED_VALUE"""),0.75)</f>
        <v>0.75</v>
      </c>
      <c r="S2379" s="4" t="str">
        <f>IFERROR(__xludf.DUMMYFUNCTION("""COMPUTED_VALUE"""),"Cardápio Web")</f>
        <v>Cardápio Web</v>
      </c>
      <c r="T2379" s="33">
        <f>IFERROR(__xludf.DUMMYFUNCTION("""COMPUTED_VALUE"""),0.75)</f>
        <v>0.75</v>
      </c>
      <c r="U2379" s="4" t="str">
        <f>IFERROR(__xludf.DUMMYFUNCTION("""COMPUTED_VALUE"""),"Cardápio Web")</f>
        <v>Cardápio Web</v>
      </c>
      <c r="V2379" s="33">
        <f>IFERROR(__xludf.DUMMYFUNCTION("""COMPUTED_VALUE"""),0.75)</f>
        <v>0.75</v>
      </c>
      <c r="W2379" s="4" t="str">
        <f>IFERROR(__xludf.DUMMYFUNCTION("""COMPUTED_VALUE"""),"Cardápio Web")</f>
        <v>Cardápio Web</v>
      </c>
      <c r="X2379" s="33">
        <f>IFERROR(__xludf.DUMMYFUNCTION("""COMPUTED_VALUE"""),0.75)</f>
        <v>0.75</v>
      </c>
    </row>
    <row r="2380">
      <c r="K2380" s="4" t="str">
        <f>IFERROR(__xludf.DUMMYFUNCTION("""COMPUTED_VALUE"""),"HIPER QUEIROZ - CONTA PAI")</f>
        <v>HIPER QUEIROZ - CONTA PAI</v>
      </c>
      <c r="L2380" s="32">
        <f>IFERROR(__xludf.DUMMYFUNCTION("""COMPUTED_VALUE"""),4.0)</f>
        <v>4</v>
      </c>
      <c r="M2380" s="4" t="str">
        <f>IFERROR(__xludf.DUMMYFUNCTION("""COMPUTED_VALUE"""),"N/A (Not found)")</f>
        <v>N/A (Not found)</v>
      </c>
      <c r="N2380" s="33">
        <f>IFERROR(__xludf.DUMMYFUNCTION("""COMPUTED_VALUE"""),0.75)</f>
        <v>0.75</v>
      </c>
      <c r="O2380" s="4" t="str">
        <f>IFERROR(__xludf.DUMMYFUNCTION("""COMPUTED_VALUE"""),"N/A (Not found)")</f>
        <v>N/A (Not found)</v>
      </c>
      <c r="P2380" s="33">
        <f>IFERROR(__xludf.DUMMYFUNCTION("""COMPUTED_VALUE"""),1.0)</f>
        <v>1</v>
      </c>
      <c r="Q2380" s="4" t="str">
        <f>IFERROR(__xludf.DUMMYFUNCTION("""COMPUTED_VALUE"""),"N/A (Not found)")</f>
        <v>N/A (Not found)</v>
      </c>
      <c r="R2380" s="33">
        <f>IFERROR(__xludf.DUMMYFUNCTION("""COMPUTED_VALUE"""),0.75)</f>
        <v>0.75</v>
      </c>
      <c r="S2380" s="4" t="str">
        <f>IFERROR(__xludf.DUMMYFUNCTION("""COMPUTED_VALUE"""),"N/A (Not found)")</f>
        <v>N/A (Not found)</v>
      </c>
      <c r="T2380" s="33">
        <f>IFERROR(__xludf.DUMMYFUNCTION("""COMPUTED_VALUE"""),0.75)</f>
        <v>0.75</v>
      </c>
      <c r="U2380" s="4" t="str">
        <f>IFERROR(__xludf.DUMMYFUNCTION("""COMPUTED_VALUE"""),"N/A (Not found)")</f>
        <v>N/A (Not found)</v>
      </c>
      <c r="V2380" s="33">
        <f>IFERROR(__xludf.DUMMYFUNCTION("""COMPUTED_VALUE"""),0.75)</f>
        <v>0.75</v>
      </c>
      <c r="W2380" s="4" t="str">
        <f>IFERROR(__xludf.DUMMYFUNCTION("""COMPUTED_VALUE"""),"N/A (Not found)")</f>
        <v>N/A (Not found)</v>
      </c>
      <c r="X2380" s="33">
        <f>IFERROR(__xludf.DUMMYFUNCTION("""COMPUTED_VALUE"""),0.75)</f>
        <v>0.75</v>
      </c>
    </row>
    <row r="2381">
      <c r="K2381" s="4" t="str">
        <f>IFERROR(__xludf.DUMMYFUNCTION("""COMPUTED_VALUE"""),"HIPPOS BURGER")</f>
        <v>HIPPOS BURGER</v>
      </c>
      <c r="L2381" s="32">
        <f>IFERROR(__xludf.DUMMYFUNCTION("""COMPUTED_VALUE"""),4.0)</f>
        <v>4</v>
      </c>
      <c r="M2381" s="4" t="str">
        <f>IFERROR(__xludf.DUMMYFUNCTION("""COMPUTED_VALUE"""),"Ncr")</f>
        <v>Ncr</v>
      </c>
      <c r="N2381" s="33">
        <f>IFERROR(__xludf.DUMMYFUNCTION("""COMPUTED_VALUE"""),0.5)</f>
        <v>0.5</v>
      </c>
      <c r="O2381" s="4" t="str">
        <f>IFERROR(__xludf.DUMMYFUNCTION("""COMPUTED_VALUE"""),"Ncr")</f>
        <v>Ncr</v>
      </c>
      <c r="P2381" s="33">
        <f>IFERROR(__xludf.DUMMYFUNCTION("""COMPUTED_VALUE"""),0.5)</f>
        <v>0.5</v>
      </c>
      <c r="Q2381" s="4" t="str">
        <f>IFERROR(__xludf.DUMMYFUNCTION("""COMPUTED_VALUE"""),"Ncr")</f>
        <v>Ncr</v>
      </c>
      <c r="R2381" s="33">
        <f>IFERROR(__xludf.DUMMYFUNCTION("""COMPUTED_VALUE"""),0.5)</f>
        <v>0.5</v>
      </c>
      <c r="S2381" s="4" t="str">
        <f>IFERROR(__xludf.DUMMYFUNCTION("""COMPUTED_VALUE"""),"Ncr")</f>
        <v>Ncr</v>
      </c>
      <c r="T2381" s="33">
        <f>IFERROR(__xludf.DUMMYFUNCTION("""COMPUTED_VALUE"""),0.5)</f>
        <v>0.5</v>
      </c>
      <c r="U2381" s="4" t="str">
        <f>IFERROR(__xludf.DUMMYFUNCTION("""COMPUTED_VALUE"""),"Ncr")</f>
        <v>Ncr</v>
      </c>
      <c r="V2381" s="33">
        <f>IFERROR(__xludf.DUMMYFUNCTION("""COMPUTED_VALUE"""),0.75)</f>
        <v>0.75</v>
      </c>
      <c r="W2381" s="4" t="str">
        <f>IFERROR(__xludf.DUMMYFUNCTION("""COMPUTED_VALUE"""),"Ncr")</f>
        <v>Ncr</v>
      </c>
      <c r="X2381" s="33">
        <f>IFERROR(__xludf.DUMMYFUNCTION("""COMPUTED_VALUE"""),0.5)</f>
        <v>0.5</v>
      </c>
    </row>
    <row r="2382">
      <c r="K2382" s="4" t="str">
        <f>IFERROR(__xludf.DUMMYFUNCTION("""COMPUTED_VALUE"""),"HOME BBQ BARAO")</f>
        <v>HOME BBQ BARAO</v>
      </c>
      <c r="L2382" s="32">
        <f>IFERROR(__xludf.DUMMYFUNCTION("""COMPUTED_VALUE"""),4.0)</f>
        <v>4</v>
      </c>
      <c r="M2382" s="4" t="str">
        <f>IFERROR(__xludf.DUMMYFUNCTION("""COMPUTED_VALUE"""),"Ncr")</f>
        <v>Ncr</v>
      </c>
      <c r="N2382" s="33">
        <f>IFERROR(__xludf.DUMMYFUNCTION("""COMPUTED_VALUE"""),0.75)</f>
        <v>0.75</v>
      </c>
      <c r="O2382" s="4" t="str">
        <f>IFERROR(__xludf.DUMMYFUNCTION("""COMPUTED_VALUE"""),"Ncr")</f>
        <v>Ncr</v>
      </c>
      <c r="P2382" s="33">
        <f>IFERROR(__xludf.DUMMYFUNCTION("""COMPUTED_VALUE"""),0.75)</f>
        <v>0.75</v>
      </c>
      <c r="Q2382" s="4" t="str">
        <f>IFERROR(__xludf.DUMMYFUNCTION("""COMPUTED_VALUE"""),"Ncr")</f>
        <v>Ncr</v>
      </c>
      <c r="R2382" s="33">
        <f>IFERROR(__xludf.DUMMYFUNCTION("""COMPUTED_VALUE"""),1.0)</f>
        <v>1</v>
      </c>
      <c r="S2382" s="4" t="str">
        <f>IFERROR(__xludf.DUMMYFUNCTION("""COMPUTED_VALUE"""),"Ncr")</f>
        <v>Ncr</v>
      </c>
      <c r="T2382" s="33">
        <f>IFERROR(__xludf.DUMMYFUNCTION("""COMPUTED_VALUE"""),1.0)</f>
        <v>1</v>
      </c>
      <c r="U2382" s="4" t="str">
        <f>IFERROR(__xludf.DUMMYFUNCTION("""COMPUTED_VALUE"""),"Ncr")</f>
        <v>Ncr</v>
      </c>
      <c r="V2382" s="33">
        <f>IFERROR(__xludf.DUMMYFUNCTION("""COMPUTED_VALUE"""),0.75)</f>
        <v>0.75</v>
      </c>
      <c r="W2382" s="4" t="str">
        <f>IFERROR(__xludf.DUMMYFUNCTION("""COMPUTED_VALUE"""),"null")</f>
        <v>null</v>
      </c>
      <c r="X2382" s="33">
        <f>IFERROR(__xludf.DUMMYFUNCTION("""COMPUTED_VALUE"""),0.5)</f>
        <v>0.5</v>
      </c>
    </row>
    <row r="2383">
      <c r="K2383" s="4" t="str">
        <f>IFERROR(__xludf.DUMMYFUNCTION("""COMPUTED_VALUE"""),"I LOVE PIZZA - GRUPO")</f>
        <v>I LOVE PIZZA - GRUPO</v>
      </c>
      <c r="L2383" s="32">
        <f>IFERROR(__xludf.DUMMYFUNCTION("""COMPUTED_VALUE"""),4.0)</f>
        <v>4</v>
      </c>
      <c r="M2383" s="4" t="str">
        <f>IFERROR(__xludf.DUMMYFUNCTION("""COMPUTED_VALUE"""),"Saipos Serviços De Software")</f>
        <v>Saipos Serviços De Software</v>
      </c>
      <c r="N2383" s="33">
        <f>IFERROR(__xludf.DUMMYFUNCTION("""COMPUTED_VALUE"""),1.0)</f>
        <v>1</v>
      </c>
      <c r="O2383" s="4" t="str">
        <f>IFERROR(__xludf.DUMMYFUNCTION("""COMPUTED_VALUE"""),"Saipos Serviços De Software")</f>
        <v>Saipos Serviços De Software</v>
      </c>
      <c r="P2383" s="33">
        <f>IFERROR(__xludf.DUMMYFUNCTION("""COMPUTED_VALUE"""),1.0)</f>
        <v>1</v>
      </c>
      <c r="Q2383" s="4" t="str">
        <f>IFERROR(__xludf.DUMMYFUNCTION("""COMPUTED_VALUE"""),"Cityfoods Ltda")</f>
        <v>Cityfoods Ltda</v>
      </c>
      <c r="R2383" s="33">
        <f>IFERROR(__xludf.DUMMYFUNCTION("""COMPUTED_VALUE"""),1.0)</f>
        <v>1</v>
      </c>
      <c r="S2383" s="4" t="str">
        <f>IFERROR(__xludf.DUMMYFUNCTION("""COMPUTED_VALUE"""),"Cityfoods Ltda")</f>
        <v>Cityfoods Ltda</v>
      </c>
      <c r="T2383" s="33">
        <f>IFERROR(__xludf.DUMMYFUNCTION("""COMPUTED_VALUE"""),1.0)</f>
        <v>1</v>
      </c>
      <c r="U2383" s="4" t="str">
        <f>IFERROR(__xludf.DUMMYFUNCTION("""COMPUTED_VALUE"""),"null")</f>
        <v>null</v>
      </c>
      <c r="V2383" s="33">
        <f>IFERROR(__xludf.DUMMYFUNCTION("""COMPUTED_VALUE"""),1.0)</f>
        <v>1</v>
      </c>
      <c r="W2383" s="4" t="str">
        <f>IFERROR(__xludf.DUMMYFUNCTION("""COMPUTED_VALUE"""),"null")</f>
        <v>null</v>
      </c>
      <c r="X2383" s="33">
        <f>IFERROR(__xludf.DUMMYFUNCTION("""COMPUTED_VALUE"""),1.0)</f>
        <v>1</v>
      </c>
    </row>
    <row r="2384">
      <c r="K2384" s="4" t="str">
        <f>IFERROR(__xludf.DUMMYFUNCTION("""COMPUTED_VALUE"""),"ILHA DOS PIRATAS BC")</f>
        <v>ILHA DOS PIRATAS BC</v>
      </c>
      <c r="L2384" s="32">
        <f>IFERROR(__xludf.DUMMYFUNCTION("""COMPUTED_VALUE"""),4.0)</f>
        <v>4</v>
      </c>
      <c r="M2384" s="4" t="str">
        <f>IFERROR(__xludf.DUMMYFUNCTION("""COMPUTED_VALUE"""),"Opdv")</f>
        <v>Opdv</v>
      </c>
      <c r="N2384" s="33">
        <f>IFERROR(__xludf.DUMMYFUNCTION("""COMPUTED_VALUE"""),0.75)</f>
        <v>0.75</v>
      </c>
      <c r="O2384" s="4" t="str">
        <f>IFERROR(__xludf.DUMMYFUNCTION("""COMPUTED_VALUE"""),"Opdv")</f>
        <v>Opdv</v>
      </c>
      <c r="P2384" s="33">
        <f>IFERROR(__xludf.DUMMYFUNCTION("""COMPUTED_VALUE"""),0.75)</f>
        <v>0.75</v>
      </c>
      <c r="Q2384" s="4" t="str">
        <f>IFERROR(__xludf.DUMMYFUNCTION("""COMPUTED_VALUE"""),"Opdv")</f>
        <v>Opdv</v>
      </c>
      <c r="R2384" s="33">
        <f>IFERROR(__xludf.DUMMYFUNCTION("""COMPUTED_VALUE"""),0.75)</f>
        <v>0.75</v>
      </c>
      <c r="S2384" s="4" t="str">
        <f>IFERROR(__xludf.DUMMYFUNCTION("""COMPUTED_VALUE"""),"Opdv")</f>
        <v>Opdv</v>
      </c>
      <c r="T2384" s="33">
        <f>IFERROR(__xludf.DUMMYFUNCTION("""COMPUTED_VALUE"""),0.75)</f>
        <v>0.75</v>
      </c>
      <c r="U2384" s="4" t="str">
        <f>IFERROR(__xludf.DUMMYFUNCTION("""COMPUTED_VALUE"""),"Opdv")</f>
        <v>Opdv</v>
      </c>
      <c r="V2384" s="33">
        <f>IFERROR(__xludf.DUMMYFUNCTION("""COMPUTED_VALUE"""),0.75)</f>
        <v>0.75</v>
      </c>
      <c r="W2384" s="4" t="str">
        <f>IFERROR(__xludf.DUMMYFUNCTION("""COMPUTED_VALUE"""),"Opdv")</f>
        <v>Opdv</v>
      </c>
      <c r="X2384" s="33">
        <f>IFERROR(__xludf.DUMMYFUNCTION("""COMPUTED_VALUE"""),0.5)</f>
        <v>0.5</v>
      </c>
    </row>
    <row r="2385">
      <c r="K2385" s="4" t="str">
        <f>IFERROR(__xludf.DUMMYFUNCTION("""COMPUTED_VALUE"""),"IRMAOS DO FRANGO")</f>
        <v>IRMAOS DO FRANGO</v>
      </c>
      <c r="L2385" s="32">
        <f>IFERROR(__xludf.DUMMYFUNCTION("""COMPUTED_VALUE"""),4.0)</f>
        <v>4</v>
      </c>
      <c r="M2385" s="4" t="str">
        <f>IFERROR(__xludf.DUMMYFUNCTION("""COMPUTED_VALUE"""),"Saipos Serviços De Software")</f>
        <v>Saipos Serviços De Software</v>
      </c>
      <c r="N2385" s="33">
        <f>IFERROR(__xludf.DUMMYFUNCTION("""COMPUTED_VALUE"""),1.0)</f>
        <v>1</v>
      </c>
      <c r="O2385" s="4" t="str">
        <f>IFERROR(__xludf.DUMMYFUNCTION("""COMPUTED_VALUE"""),"Saipos Serviços De Software")</f>
        <v>Saipos Serviços De Software</v>
      </c>
      <c r="P2385" s="33">
        <f>IFERROR(__xludf.DUMMYFUNCTION("""COMPUTED_VALUE"""),1.0)</f>
        <v>1</v>
      </c>
      <c r="Q2385" s="4" t="str">
        <f>IFERROR(__xludf.DUMMYFUNCTION("""COMPUTED_VALUE"""),"Saipos Serviços De Software")</f>
        <v>Saipos Serviços De Software</v>
      </c>
      <c r="R2385" s="33">
        <f>IFERROR(__xludf.DUMMYFUNCTION("""COMPUTED_VALUE"""),1.0)</f>
        <v>1</v>
      </c>
      <c r="S2385" s="4" t="str">
        <f>IFERROR(__xludf.DUMMYFUNCTION("""COMPUTED_VALUE"""),"Saipos Serviços De Software")</f>
        <v>Saipos Serviços De Software</v>
      </c>
      <c r="T2385" s="33">
        <f>IFERROR(__xludf.DUMMYFUNCTION("""COMPUTED_VALUE"""),1.0)</f>
        <v>1</v>
      </c>
      <c r="U2385" s="4" t="str">
        <f>IFERROR(__xludf.DUMMYFUNCTION("""COMPUTED_VALUE"""),"Saipos Serviços De Software")</f>
        <v>Saipos Serviços De Software</v>
      </c>
      <c r="V2385" s="33">
        <f>IFERROR(__xludf.DUMMYFUNCTION("""COMPUTED_VALUE"""),1.0)</f>
        <v>1</v>
      </c>
      <c r="W2385" s="4" t="str">
        <f>IFERROR(__xludf.DUMMYFUNCTION("""COMPUTED_VALUE"""),"Saipos Serviços De Software")</f>
        <v>Saipos Serviços De Software</v>
      </c>
      <c r="X2385" s="33">
        <f>IFERROR(__xludf.DUMMYFUNCTION("""COMPUTED_VALUE"""),1.0)</f>
        <v>1</v>
      </c>
    </row>
    <row r="2386">
      <c r="K2386" s="4" t="str">
        <f>IFERROR(__xludf.DUMMYFUNCTION("""COMPUTED_VALUE"""),"ITTA PIZZARIA")</f>
        <v>ITTA PIZZARIA</v>
      </c>
      <c r="L2386" s="32">
        <f>IFERROR(__xludf.DUMMYFUNCTION("""COMPUTED_VALUE"""),4.0)</f>
        <v>4</v>
      </c>
      <c r="M2386" s="4" t="str">
        <f>IFERROR(__xludf.DUMMYFUNCTION("""COMPUTED_VALUE"""),"Saipos Serviços De Software")</f>
        <v>Saipos Serviços De Software</v>
      </c>
      <c r="N2386" s="33">
        <f>IFERROR(__xludf.DUMMYFUNCTION("""COMPUTED_VALUE"""),0.75)</f>
        <v>0.75</v>
      </c>
      <c r="O2386" s="4" t="str">
        <f>IFERROR(__xludf.DUMMYFUNCTION("""COMPUTED_VALUE"""),"Saipos Serviços De Software")</f>
        <v>Saipos Serviços De Software</v>
      </c>
      <c r="P2386" s="33">
        <f>IFERROR(__xludf.DUMMYFUNCTION("""COMPUTED_VALUE"""),0.75)</f>
        <v>0.75</v>
      </c>
      <c r="Q2386" s="4" t="str">
        <f>IFERROR(__xludf.DUMMYFUNCTION("""COMPUTED_VALUE"""),"Saipos Serviços De Software")</f>
        <v>Saipos Serviços De Software</v>
      </c>
      <c r="R2386" s="33">
        <f>IFERROR(__xludf.DUMMYFUNCTION("""COMPUTED_VALUE"""),0.75)</f>
        <v>0.75</v>
      </c>
      <c r="S2386" s="4" t="str">
        <f>IFERROR(__xludf.DUMMYFUNCTION("""COMPUTED_VALUE"""),"Saipos Serviços De Software")</f>
        <v>Saipos Serviços De Software</v>
      </c>
      <c r="T2386" s="33">
        <f>IFERROR(__xludf.DUMMYFUNCTION("""COMPUTED_VALUE"""),0.75)</f>
        <v>0.75</v>
      </c>
      <c r="U2386" s="4" t="str">
        <f>IFERROR(__xludf.DUMMYFUNCTION("""COMPUTED_VALUE"""),"Saipos Serviços De Software")</f>
        <v>Saipos Serviços De Software</v>
      </c>
      <c r="V2386" s="33">
        <f>IFERROR(__xludf.DUMMYFUNCTION("""COMPUTED_VALUE"""),1.0)</f>
        <v>1</v>
      </c>
      <c r="W2386" s="4" t="str">
        <f>IFERROR(__xludf.DUMMYFUNCTION("""COMPUTED_VALUE"""),"Saipos Serviços De Software")</f>
        <v>Saipos Serviços De Software</v>
      </c>
      <c r="X2386" s="33">
        <f>IFERROR(__xludf.DUMMYFUNCTION("""COMPUTED_VALUE"""),1.0)</f>
        <v>1</v>
      </c>
    </row>
    <row r="2387">
      <c r="K2387" s="4" t="str">
        <f>IFERROR(__xludf.DUMMYFUNCTION("""COMPUTED_VALUE"""),"JANNY ACAI E SORVETE - CONTA PAI")</f>
        <v>JANNY ACAI E SORVETE - CONTA PAI</v>
      </c>
      <c r="L2387" s="32">
        <f>IFERROR(__xludf.DUMMYFUNCTION("""COMPUTED_VALUE"""),4.0)</f>
        <v>4</v>
      </c>
      <c r="M2387" s="4" t="str">
        <f>IFERROR(__xludf.DUMMYFUNCTION("""COMPUTED_VALUE"""),"Beefood - Sistema Para Restaurantes")</f>
        <v>Beefood - Sistema Para Restaurantes</v>
      </c>
      <c r="N2387" s="33">
        <f>IFERROR(__xludf.DUMMYFUNCTION("""COMPUTED_VALUE"""),1.0)</f>
        <v>1</v>
      </c>
      <c r="O2387" s="4" t="str">
        <f>IFERROR(__xludf.DUMMYFUNCTION("""COMPUTED_VALUE"""),"Beefood - Sistema Para Restaurantes")</f>
        <v>Beefood - Sistema Para Restaurantes</v>
      </c>
      <c r="P2387" s="33">
        <f>IFERROR(__xludf.DUMMYFUNCTION("""COMPUTED_VALUE"""),1.0)</f>
        <v>1</v>
      </c>
      <c r="Q2387" s="4" t="str">
        <f>IFERROR(__xludf.DUMMYFUNCTION("""COMPUTED_VALUE"""),"Beefood - Sistema Para Restaurantes")</f>
        <v>Beefood - Sistema Para Restaurantes</v>
      </c>
      <c r="R2387" s="33">
        <f>IFERROR(__xludf.DUMMYFUNCTION("""COMPUTED_VALUE"""),0.75)</f>
        <v>0.75</v>
      </c>
      <c r="S2387" s="4" t="str">
        <f>IFERROR(__xludf.DUMMYFUNCTION("""COMPUTED_VALUE"""),"Beefood - Sistema Para Restaurantes")</f>
        <v>Beefood - Sistema Para Restaurantes</v>
      </c>
      <c r="T2387" s="33">
        <f>IFERROR(__xludf.DUMMYFUNCTION("""COMPUTED_VALUE"""),0.75)</f>
        <v>0.75</v>
      </c>
      <c r="U2387" s="4" t="str">
        <f>IFERROR(__xludf.DUMMYFUNCTION("""COMPUTED_VALUE"""),"Beefood - Sistema Para Restaurantes")</f>
        <v>Beefood - Sistema Para Restaurantes</v>
      </c>
      <c r="V2387" s="33">
        <f>IFERROR(__xludf.DUMMYFUNCTION("""COMPUTED_VALUE"""),0.75)</f>
        <v>0.75</v>
      </c>
      <c r="W2387" s="4" t="str">
        <f>IFERROR(__xludf.DUMMYFUNCTION("""COMPUTED_VALUE"""),"Saipos Serviços De Software")</f>
        <v>Saipos Serviços De Software</v>
      </c>
      <c r="X2387" s="33">
        <f>IFERROR(__xludf.DUMMYFUNCTION("""COMPUTED_VALUE"""),0.75)</f>
        <v>0.75</v>
      </c>
    </row>
    <row r="2388">
      <c r="K2388" s="4" t="str">
        <f>IFERROR(__xludf.DUMMYFUNCTION("""COMPUTED_VALUE"""),"JAPIDINHO")</f>
        <v>JAPIDINHO</v>
      </c>
      <c r="L2388" s="32">
        <f>IFERROR(__xludf.DUMMYFUNCTION("""COMPUTED_VALUE"""),4.0)</f>
        <v>4</v>
      </c>
      <c r="M2388" s="4" t="str">
        <f>IFERROR(__xludf.DUMMYFUNCTION("""COMPUTED_VALUE"""),"Teknisa Service Ltda")</f>
        <v>Teknisa Service Ltda</v>
      </c>
      <c r="N2388" s="33">
        <f>IFERROR(__xludf.DUMMYFUNCTION("""COMPUTED_VALUE"""),0.75)</f>
        <v>0.75</v>
      </c>
      <c r="O2388" s="4" t="str">
        <f>IFERROR(__xludf.DUMMYFUNCTION("""COMPUTED_VALUE"""),"null")</f>
        <v>null</v>
      </c>
      <c r="P2388" s="33">
        <f>IFERROR(__xludf.DUMMYFUNCTION("""COMPUTED_VALUE"""),0.75)</f>
        <v>0.75</v>
      </c>
      <c r="Q2388" s="4" t="str">
        <f>IFERROR(__xludf.DUMMYFUNCTION("""COMPUTED_VALUE"""),"Teknisa Service Ltda")</f>
        <v>Teknisa Service Ltda</v>
      </c>
      <c r="R2388" s="33">
        <f>IFERROR(__xludf.DUMMYFUNCTION("""COMPUTED_VALUE"""),0.5)</f>
        <v>0.5</v>
      </c>
      <c r="S2388" s="4" t="str">
        <f>IFERROR(__xludf.DUMMYFUNCTION("""COMPUTED_VALUE"""),"Teknisa Service Ltda")</f>
        <v>Teknisa Service Ltda</v>
      </c>
      <c r="T2388" s="33">
        <f>IFERROR(__xludf.DUMMYFUNCTION("""COMPUTED_VALUE"""),0.5)</f>
        <v>0.5</v>
      </c>
      <c r="U2388" s="4" t="str">
        <f>IFERROR(__xludf.DUMMYFUNCTION("""COMPUTED_VALUE"""),"null")</f>
        <v>null</v>
      </c>
      <c r="V2388" s="33">
        <f>IFERROR(__xludf.DUMMYFUNCTION("""COMPUTED_VALUE"""),1.0)</f>
        <v>1</v>
      </c>
      <c r="W2388" s="4" t="str">
        <f>IFERROR(__xludf.DUMMYFUNCTION("""COMPUTED_VALUE"""),"null")</f>
        <v>null</v>
      </c>
      <c r="X2388" s="33">
        <f>IFERROR(__xludf.DUMMYFUNCTION("""COMPUTED_VALUE"""),1.0)</f>
        <v>1</v>
      </c>
    </row>
    <row r="2389">
      <c r="K2389" s="4" t="str">
        <f>IFERROR(__xludf.DUMMYFUNCTION("""COMPUTED_VALUE"""),"JARAS EFIHARIA - CONTA MARCA")</f>
        <v>JARAS EFIHARIA - CONTA MARCA</v>
      </c>
      <c r="L2389" s="32">
        <f>IFERROR(__xludf.DUMMYFUNCTION("""COMPUTED_VALUE"""),4.0)</f>
        <v>4</v>
      </c>
      <c r="M2389" s="4" t="str">
        <f>IFERROR(__xludf.DUMMYFUNCTION("""COMPUTED_VALUE"""),"Saipos Serviços De Software")</f>
        <v>Saipos Serviços De Software</v>
      </c>
      <c r="N2389" s="33">
        <f>IFERROR(__xludf.DUMMYFUNCTION("""COMPUTED_VALUE"""),1.0)</f>
        <v>1</v>
      </c>
      <c r="O2389" s="4" t="str">
        <f>IFERROR(__xludf.DUMMYFUNCTION("""COMPUTED_VALUE"""),"Saipos Serviços De Software")</f>
        <v>Saipos Serviços De Software</v>
      </c>
      <c r="P2389" s="33">
        <f>IFERROR(__xludf.DUMMYFUNCTION("""COMPUTED_VALUE"""),0.75)</f>
        <v>0.75</v>
      </c>
      <c r="Q2389" s="4" t="str">
        <f>IFERROR(__xludf.DUMMYFUNCTION("""COMPUTED_VALUE"""),"Saipos Serviços De Software")</f>
        <v>Saipos Serviços De Software</v>
      </c>
      <c r="R2389" s="33">
        <f>IFERROR(__xludf.DUMMYFUNCTION("""COMPUTED_VALUE"""),0.75)</f>
        <v>0.75</v>
      </c>
      <c r="S2389" s="4" t="str">
        <f>IFERROR(__xludf.DUMMYFUNCTION("""COMPUTED_VALUE"""),"Saipos Serviços De Software")</f>
        <v>Saipos Serviços De Software</v>
      </c>
      <c r="T2389" s="33">
        <f>IFERROR(__xludf.DUMMYFUNCTION("""COMPUTED_VALUE"""),0.75)</f>
        <v>0.75</v>
      </c>
      <c r="U2389" s="4" t="str">
        <f>IFERROR(__xludf.DUMMYFUNCTION("""COMPUTED_VALUE"""),"null")</f>
        <v>null</v>
      </c>
      <c r="V2389" s="33">
        <f>IFERROR(__xludf.DUMMYFUNCTION("""COMPUTED_VALUE"""),0.5)</f>
        <v>0.5</v>
      </c>
      <c r="W2389" s="4" t="str">
        <f>IFERROR(__xludf.DUMMYFUNCTION("""COMPUTED_VALUE"""),"Saipos Serviços De Software")</f>
        <v>Saipos Serviços De Software</v>
      </c>
      <c r="X2389" s="33">
        <f>IFERROR(__xludf.DUMMYFUNCTION("""COMPUTED_VALUE"""),0.75)</f>
        <v>0.75</v>
      </c>
    </row>
    <row r="2390">
      <c r="K2390" s="4" t="str">
        <f>IFERROR(__xludf.DUMMYFUNCTION("""COMPUTED_VALUE"""),"JOLIE PATISSERIE - CONTA PAI")</f>
        <v>JOLIE PATISSERIE - CONTA PAI</v>
      </c>
      <c r="L2390" s="32">
        <f>IFERROR(__xludf.DUMMYFUNCTION("""COMPUTED_VALUE"""),4.0)</f>
        <v>4</v>
      </c>
      <c r="M2390" s="4" t="str">
        <f>IFERROR(__xludf.DUMMYFUNCTION("""COMPUTED_VALUE"""),"Consumer Soluções Em Tecnologia Ltda")</f>
        <v>Consumer Soluções Em Tecnologia Ltda</v>
      </c>
      <c r="N2390" s="33">
        <f>IFERROR(__xludf.DUMMYFUNCTION("""COMPUTED_VALUE"""),1.0)</f>
        <v>1</v>
      </c>
      <c r="O2390" s="4" t="str">
        <f>IFERROR(__xludf.DUMMYFUNCTION("""COMPUTED_VALUE"""),"Consumer Soluções Em Tecnologia Ltda")</f>
        <v>Consumer Soluções Em Tecnologia Ltda</v>
      </c>
      <c r="P2390" s="33">
        <f>IFERROR(__xludf.DUMMYFUNCTION("""COMPUTED_VALUE"""),0.75)</f>
        <v>0.75</v>
      </c>
      <c r="Q2390" s="4" t="str">
        <f>IFERROR(__xludf.DUMMYFUNCTION("""COMPUTED_VALUE"""),"Consumer Soluções Em Tecnologia Ltda")</f>
        <v>Consumer Soluções Em Tecnologia Ltda</v>
      </c>
      <c r="R2390" s="33">
        <f>IFERROR(__xludf.DUMMYFUNCTION("""COMPUTED_VALUE"""),1.0)</f>
        <v>1</v>
      </c>
      <c r="S2390" s="4" t="str">
        <f>IFERROR(__xludf.DUMMYFUNCTION("""COMPUTED_VALUE"""),"Consumer Soluções Em Tecnologia Ltda")</f>
        <v>Consumer Soluções Em Tecnologia Ltda</v>
      </c>
      <c r="T2390" s="33">
        <f>IFERROR(__xludf.DUMMYFUNCTION("""COMPUTED_VALUE"""),0.75)</f>
        <v>0.75</v>
      </c>
      <c r="U2390" s="4" t="str">
        <f>IFERROR(__xludf.DUMMYFUNCTION("""COMPUTED_VALUE"""),"Consumer Soluções Em Tecnologia Ltda")</f>
        <v>Consumer Soluções Em Tecnologia Ltda</v>
      </c>
      <c r="V2390" s="33">
        <f>IFERROR(__xludf.DUMMYFUNCTION("""COMPUTED_VALUE"""),1.0)</f>
        <v>1</v>
      </c>
      <c r="W2390" s="4" t="str">
        <f>IFERROR(__xludf.DUMMYFUNCTION("""COMPUTED_VALUE"""),"Consumer Soluções Em Tecnologia Ltda")</f>
        <v>Consumer Soluções Em Tecnologia Ltda</v>
      </c>
      <c r="X2390" s="33">
        <f>IFERROR(__xludf.DUMMYFUNCTION("""COMPUTED_VALUE"""),1.0)</f>
        <v>1</v>
      </c>
    </row>
    <row r="2391">
      <c r="K2391" s="4" t="str">
        <f>IFERROR(__xludf.DUMMYFUNCTION("""COMPUTED_VALUE"""),"JUAZEIRO BURGUER - CONTA MARCA")</f>
        <v>JUAZEIRO BURGUER - CONTA MARCA</v>
      </c>
      <c r="L2391" s="32">
        <f>IFERROR(__xludf.DUMMYFUNCTION("""COMPUTED_VALUE"""),4.0)</f>
        <v>4</v>
      </c>
      <c r="M2391" s="4" t="str">
        <f>IFERROR(__xludf.DUMMYFUNCTION("""COMPUTED_VALUE"""),"Takeat Tecnologia")</f>
        <v>Takeat Tecnologia</v>
      </c>
      <c r="N2391" s="33">
        <f>IFERROR(__xludf.DUMMYFUNCTION("""COMPUTED_VALUE"""),0.75)</f>
        <v>0.75</v>
      </c>
      <c r="O2391" s="4" t="str">
        <f>IFERROR(__xludf.DUMMYFUNCTION("""COMPUTED_VALUE"""),"Takeat Tecnologia")</f>
        <v>Takeat Tecnologia</v>
      </c>
      <c r="P2391" s="33">
        <f>IFERROR(__xludf.DUMMYFUNCTION("""COMPUTED_VALUE"""),0.75)</f>
        <v>0.75</v>
      </c>
      <c r="Q2391" s="4" t="str">
        <f>IFERROR(__xludf.DUMMYFUNCTION("""COMPUTED_VALUE"""),"Takeat Tecnologia")</f>
        <v>Takeat Tecnologia</v>
      </c>
      <c r="R2391" s="33">
        <f>IFERROR(__xludf.DUMMYFUNCTION("""COMPUTED_VALUE"""),0.75)</f>
        <v>0.75</v>
      </c>
      <c r="S2391" s="4" t="str">
        <f>IFERROR(__xludf.DUMMYFUNCTION("""COMPUTED_VALUE"""),"null")</f>
        <v>null</v>
      </c>
      <c r="T2391" s="33">
        <f>IFERROR(__xludf.DUMMYFUNCTION("""COMPUTED_VALUE"""),0.5)</f>
        <v>0.5</v>
      </c>
      <c r="U2391" s="4" t="str">
        <f>IFERROR(__xludf.DUMMYFUNCTION("""COMPUTED_VALUE"""),"Saipos Serviços De Software")</f>
        <v>Saipos Serviços De Software</v>
      </c>
      <c r="V2391" s="33">
        <f>IFERROR(__xludf.DUMMYFUNCTION("""COMPUTED_VALUE"""),0.5)</f>
        <v>0.5</v>
      </c>
      <c r="W2391" s="4" t="str">
        <f>IFERROR(__xludf.DUMMYFUNCTION("""COMPUTED_VALUE"""),"Saipos Serviços De Software")</f>
        <v>Saipos Serviços De Software</v>
      </c>
      <c r="X2391" s="33">
        <f>IFERROR(__xludf.DUMMYFUNCTION("""COMPUTED_VALUE"""),0.75)</f>
        <v>0.75</v>
      </c>
    </row>
    <row r="2392">
      <c r="K2392" s="4" t="str">
        <f>IFERROR(__xludf.DUMMYFUNCTION("""COMPUTED_VALUE"""),"JULIETTO MASSAS - PE")</f>
        <v>JULIETTO MASSAS - PE</v>
      </c>
      <c r="L2392" s="32">
        <f>IFERROR(__xludf.DUMMYFUNCTION("""COMPUTED_VALUE"""),4.0)</f>
        <v>4</v>
      </c>
      <c r="M2392" s="4" t="str">
        <f>IFERROR(__xludf.DUMMYFUNCTION("""COMPUTED_VALUE"""),"Teknisa Service Ltda")</f>
        <v>Teknisa Service Ltda</v>
      </c>
      <c r="N2392" s="33">
        <f>IFERROR(__xludf.DUMMYFUNCTION("""COMPUTED_VALUE"""),1.0)</f>
        <v>1</v>
      </c>
      <c r="O2392" s="4" t="str">
        <f>IFERROR(__xludf.DUMMYFUNCTION("""COMPUTED_VALUE"""),"Teknisa Service Ltda")</f>
        <v>Teknisa Service Ltda</v>
      </c>
      <c r="P2392" s="33">
        <f>IFERROR(__xludf.DUMMYFUNCTION("""COMPUTED_VALUE"""),1.0)</f>
        <v>1</v>
      </c>
      <c r="Q2392" s="4" t="str">
        <f>IFERROR(__xludf.DUMMYFUNCTION("""COMPUTED_VALUE"""),"Teknisa Service Ltda")</f>
        <v>Teknisa Service Ltda</v>
      </c>
      <c r="R2392" s="33">
        <f>IFERROR(__xludf.DUMMYFUNCTION("""COMPUTED_VALUE"""),0.75)</f>
        <v>0.75</v>
      </c>
      <c r="S2392" s="4" t="str">
        <f>IFERROR(__xludf.DUMMYFUNCTION("""COMPUTED_VALUE"""),"Teknisa Service Ltda")</f>
        <v>Teknisa Service Ltda</v>
      </c>
      <c r="T2392" s="33">
        <f>IFERROR(__xludf.DUMMYFUNCTION("""COMPUTED_VALUE"""),0.5)</f>
        <v>0.5</v>
      </c>
      <c r="U2392" s="4" t="str">
        <f>IFERROR(__xludf.DUMMYFUNCTION("""COMPUTED_VALUE"""),"Teknisa Service Ltda")</f>
        <v>Teknisa Service Ltda</v>
      </c>
      <c r="V2392" s="33">
        <f>IFERROR(__xludf.DUMMYFUNCTION("""COMPUTED_VALUE"""),0.5)</f>
        <v>0.5</v>
      </c>
      <c r="W2392" s="4" t="str">
        <f>IFERROR(__xludf.DUMMYFUNCTION("""COMPUTED_VALUE"""),"Teknisa Service Ltda")</f>
        <v>Teknisa Service Ltda</v>
      </c>
      <c r="X2392" s="33">
        <f>IFERROR(__xludf.DUMMYFUNCTION("""COMPUTED_VALUE"""),0.75)</f>
        <v>0.75</v>
      </c>
    </row>
    <row r="2393">
      <c r="K2393" s="4" t="str">
        <f>IFERROR(__xludf.DUMMYFUNCTION("""COMPUTED_VALUE"""),"JUVENINHA - CONTA PAI")</f>
        <v>JUVENINHA - CONTA PAI</v>
      </c>
      <c r="L2393" s="32">
        <f>IFERROR(__xludf.DUMMYFUNCTION("""COMPUTED_VALUE"""),4.0)</f>
        <v>4</v>
      </c>
      <c r="M2393" s="4" t="str">
        <f>IFERROR(__xludf.DUMMYFUNCTION("""COMPUTED_VALUE"""),"Tronsoft Soluções Ltda.")</f>
        <v>Tronsoft Soluções Ltda.</v>
      </c>
      <c r="N2393" s="33">
        <f>IFERROR(__xludf.DUMMYFUNCTION("""COMPUTED_VALUE"""),1.0)</f>
        <v>1</v>
      </c>
      <c r="O2393" s="4" t="str">
        <f>IFERROR(__xludf.DUMMYFUNCTION("""COMPUTED_VALUE"""),"Tronsoft Soluções Ltda.")</f>
        <v>Tronsoft Soluções Ltda.</v>
      </c>
      <c r="P2393" s="33">
        <f>IFERROR(__xludf.DUMMYFUNCTION("""COMPUTED_VALUE"""),1.0)</f>
        <v>1</v>
      </c>
      <c r="Q2393" s="4" t="str">
        <f>IFERROR(__xludf.DUMMYFUNCTION("""COMPUTED_VALUE"""),"Tronsoft Soluções Ltda.")</f>
        <v>Tronsoft Soluções Ltda.</v>
      </c>
      <c r="R2393" s="33">
        <f>IFERROR(__xludf.DUMMYFUNCTION("""COMPUTED_VALUE"""),0.75)</f>
        <v>0.75</v>
      </c>
      <c r="S2393" s="4" t="str">
        <f>IFERROR(__xludf.DUMMYFUNCTION("""COMPUTED_VALUE"""),"Tronsoft Soluções Ltda.")</f>
        <v>Tronsoft Soluções Ltda.</v>
      </c>
      <c r="T2393" s="33">
        <f>IFERROR(__xludf.DUMMYFUNCTION("""COMPUTED_VALUE"""),0.75)</f>
        <v>0.75</v>
      </c>
      <c r="U2393" s="4" t="str">
        <f>IFERROR(__xludf.DUMMYFUNCTION("""COMPUTED_VALUE"""),"Tronsoft Soluções Ltda.")</f>
        <v>Tronsoft Soluções Ltda.</v>
      </c>
      <c r="V2393" s="33">
        <f>IFERROR(__xludf.DUMMYFUNCTION("""COMPUTED_VALUE"""),0.75)</f>
        <v>0.75</v>
      </c>
      <c r="W2393" s="4" t="str">
        <f>IFERROR(__xludf.DUMMYFUNCTION("""COMPUTED_VALUE"""),"Tronsoft Soluções Ltda.")</f>
        <v>Tronsoft Soluções Ltda.</v>
      </c>
      <c r="X2393" s="33">
        <f>IFERROR(__xludf.DUMMYFUNCTION("""COMPUTED_VALUE"""),0.75)</f>
        <v>0.75</v>
      </c>
    </row>
    <row r="2394">
      <c r="K2394" s="4" t="str">
        <f>IFERROR(__xludf.DUMMYFUNCTION("""COMPUTED_VALUE"""),"KABIR BIG SFIHA MAUA")</f>
        <v>KABIR BIG SFIHA MAUA</v>
      </c>
      <c r="L2394" s="32">
        <f>IFERROR(__xludf.DUMMYFUNCTION("""COMPUTED_VALUE"""),4.0)</f>
        <v>4</v>
      </c>
      <c r="M2394" s="4" t="str">
        <f>IFERROR(__xludf.DUMMYFUNCTION("""COMPUTED_VALUE"""),"Consumer Soluções Em Tecnologia Ltda")</f>
        <v>Consumer Soluções Em Tecnologia Ltda</v>
      </c>
      <c r="N2394" s="33">
        <f>IFERROR(__xludf.DUMMYFUNCTION("""COMPUTED_VALUE"""),1.0)</f>
        <v>1</v>
      </c>
      <c r="O2394" s="4" t="str">
        <f>IFERROR(__xludf.DUMMYFUNCTION("""COMPUTED_VALUE"""),"null")</f>
        <v>null</v>
      </c>
      <c r="P2394" s="33">
        <f>IFERROR(__xludf.DUMMYFUNCTION("""COMPUTED_VALUE"""),0.75)</f>
        <v>0.75</v>
      </c>
      <c r="Q2394" s="4" t="str">
        <f>IFERROR(__xludf.DUMMYFUNCTION("""COMPUTED_VALUE"""),"null")</f>
        <v>null</v>
      </c>
      <c r="R2394" s="33">
        <f>IFERROR(__xludf.DUMMYFUNCTION("""COMPUTED_VALUE"""),0.75)</f>
        <v>0.75</v>
      </c>
      <c r="S2394" s="4" t="str">
        <f>IFERROR(__xludf.DUMMYFUNCTION("""COMPUTED_VALUE"""),"null")</f>
        <v>null</v>
      </c>
      <c r="T2394" s="33">
        <f>IFERROR(__xludf.DUMMYFUNCTION("""COMPUTED_VALUE"""),0.75)</f>
        <v>0.75</v>
      </c>
      <c r="U2394" s="4" t="str">
        <f>IFERROR(__xludf.DUMMYFUNCTION("""COMPUTED_VALUE"""),"null")</f>
        <v>null</v>
      </c>
      <c r="V2394" s="33">
        <f>IFERROR(__xludf.DUMMYFUNCTION("""COMPUTED_VALUE"""),0.75)</f>
        <v>0.75</v>
      </c>
      <c r="W2394" s="4" t="str">
        <f>IFERROR(__xludf.DUMMYFUNCTION("""COMPUTED_VALUE"""),"null")</f>
        <v>null</v>
      </c>
      <c r="X2394" s="33">
        <f>IFERROR(__xludf.DUMMYFUNCTION("""COMPUTED_VALUE"""),0.75)</f>
        <v>0.75</v>
      </c>
    </row>
    <row r="2395">
      <c r="K2395" s="4" t="str">
        <f>IFERROR(__xludf.DUMMYFUNCTION("""COMPUTED_VALUE"""),"KANPAI SUSHI M")</f>
        <v>KANPAI SUSHI M</v>
      </c>
      <c r="L2395" s="32">
        <f>IFERROR(__xludf.DUMMYFUNCTION("""COMPUTED_VALUE"""),4.0)</f>
        <v>4</v>
      </c>
      <c r="M2395" s="4" t="str">
        <f>IFERROR(__xludf.DUMMYFUNCTION("""COMPUTED_VALUE"""),"Cardápio Web")</f>
        <v>Cardápio Web</v>
      </c>
      <c r="N2395" s="33">
        <f>IFERROR(__xludf.DUMMYFUNCTION("""COMPUTED_VALUE"""),0.75)</f>
        <v>0.75</v>
      </c>
      <c r="O2395" s="4" t="str">
        <f>IFERROR(__xludf.DUMMYFUNCTION("""COMPUTED_VALUE"""),"Cardápio Web")</f>
        <v>Cardápio Web</v>
      </c>
      <c r="P2395" s="33">
        <f>IFERROR(__xludf.DUMMYFUNCTION("""COMPUTED_VALUE"""),1.0)</f>
        <v>1</v>
      </c>
      <c r="Q2395" s="4" t="str">
        <f>IFERROR(__xludf.DUMMYFUNCTION("""COMPUTED_VALUE"""),"Cardápio Web")</f>
        <v>Cardápio Web</v>
      </c>
      <c r="R2395" s="33">
        <f>IFERROR(__xludf.DUMMYFUNCTION("""COMPUTED_VALUE"""),1.0)</f>
        <v>1</v>
      </c>
      <c r="S2395" s="4" t="str">
        <f>IFERROR(__xludf.DUMMYFUNCTION("""COMPUTED_VALUE"""),"Cardápio Web")</f>
        <v>Cardápio Web</v>
      </c>
      <c r="T2395" s="33">
        <f>IFERROR(__xludf.DUMMYFUNCTION("""COMPUTED_VALUE"""),1.0)</f>
        <v>1</v>
      </c>
      <c r="U2395" s="4" t="str">
        <f>IFERROR(__xludf.DUMMYFUNCTION("""COMPUTED_VALUE"""),"Cardápio Web")</f>
        <v>Cardápio Web</v>
      </c>
      <c r="V2395" s="33">
        <f>IFERROR(__xludf.DUMMYFUNCTION("""COMPUTED_VALUE"""),1.0)</f>
        <v>1</v>
      </c>
      <c r="W2395" s="4" t="str">
        <f>IFERROR(__xludf.DUMMYFUNCTION("""COMPUTED_VALUE"""),"Cardápio Web")</f>
        <v>Cardápio Web</v>
      </c>
      <c r="X2395" s="33">
        <f>IFERROR(__xludf.DUMMYFUNCTION("""COMPUTED_VALUE"""),1.0)</f>
        <v>1</v>
      </c>
    </row>
    <row r="2396">
      <c r="K2396" s="4" t="str">
        <f>IFERROR(__xludf.DUMMYFUNCTION("""COMPUTED_VALUE"""),"KAROL FESTAS - GRUPO")</f>
        <v>KAROL FESTAS - GRUPO</v>
      </c>
      <c r="L2396" s="32">
        <f>IFERROR(__xludf.DUMMYFUNCTION("""COMPUTED_VALUE"""),4.0)</f>
        <v>4</v>
      </c>
      <c r="M2396" s="4" t="str">
        <f>IFERROR(__xludf.DUMMYFUNCTION("""COMPUTED_VALUE"""),"N/A (Not found)")</f>
        <v>N/A (Not found)</v>
      </c>
      <c r="N2396" s="33">
        <f>IFERROR(__xludf.DUMMYFUNCTION("""COMPUTED_VALUE"""),1.0)</f>
        <v>1</v>
      </c>
      <c r="O2396" s="4" t="str">
        <f>IFERROR(__xludf.DUMMYFUNCTION("""COMPUTED_VALUE"""),"N/A (Not found)")</f>
        <v>N/A (Not found)</v>
      </c>
      <c r="P2396" s="33">
        <f>IFERROR(__xludf.DUMMYFUNCTION("""COMPUTED_VALUE"""),1.0)</f>
        <v>1</v>
      </c>
      <c r="Q2396" s="4" t="str">
        <f>IFERROR(__xludf.DUMMYFUNCTION("""COMPUTED_VALUE"""),"N/A (Not found)")</f>
        <v>N/A (Not found)</v>
      </c>
      <c r="R2396" s="33">
        <f>IFERROR(__xludf.DUMMYFUNCTION("""COMPUTED_VALUE"""),1.0)</f>
        <v>1</v>
      </c>
      <c r="S2396" s="4" t="str">
        <f>IFERROR(__xludf.DUMMYFUNCTION("""COMPUTED_VALUE"""),"N/A (Not found)")</f>
        <v>N/A (Not found)</v>
      </c>
      <c r="T2396" s="33">
        <f>IFERROR(__xludf.DUMMYFUNCTION("""COMPUTED_VALUE"""),1.0)</f>
        <v>1</v>
      </c>
      <c r="U2396" s="4" t="str">
        <f>IFERROR(__xludf.DUMMYFUNCTION("""COMPUTED_VALUE"""),"N/A (Not found)")</f>
        <v>N/A (Not found)</v>
      </c>
      <c r="V2396" s="33">
        <f>IFERROR(__xludf.DUMMYFUNCTION("""COMPUTED_VALUE"""),1.0)</f>
        <v>1</v>
      </c>
      <c r="W2396" s="4" t="str">
        <f>IFERROR(__xludf.DUMMYFUNCTION("""COMPUTED_VALUE"""),"N/A (Not found)")</f>
        <v>N/A (Not found)</v>
      </c>
      <c r="X2396" s="33">
        <f>IFERROR(__xludf.DUMMYFUNCTION("""COMPUTED_VALUE"""),1.0)</f>
        <v>1</v>
      </c>
    </row>
    <row r="2397">
      <c r="K2397" s="4" t="str">
        <f>IFERROR(__xludf.DUMMYFUNCTION("""COMPUTED_VALUE"""),"KDOG BURGUER - CONTA PAI")</f>
        <v>KDOG BURGUER - CONTA PAI</v>
      </c>
      <c r="L2397" s="32">
        <f>IFERROR(__xludf.DUMMYFUNCTION("""COMPUTED_VALUE"""),4.0)</f>
        <v>4</v>
      </c>
      <c r="M2397" s="4" t="str">
        <f>IFERROR(__xludf.DUMMYFUNCTION("""COMPUTED_VALUE"""),"Cardápio Web")</f>
        <v>Cardápio Web</v>
      </c>
      <c r="N2397" s="33">
        <f>IFERROR(__xludf.DUMMYFUNCTION("""COMPUTED_VALUE"""),0.75)</f>
        <v>0.75</v>
      </c>
      <c r="O2397" s="4" t="str">
        <f>IFERROR(__xludf.DUMMYFUNCTION("""COMPUTED_VALUE"""),"Cardápio Web")</f>
        <v>Cardápio Web</v>
      </c>
      <c r="P2397" s="33">
        <f>IFERROR(__xludf.DUMMYFUNCTION("""COMPUTED_VALUE"""),0.75)</f>
        <v>0.75</v>
      </c>
      <c r="Q2397" s="4" t="str">
        <f>IFERROR(__xludf.DUMMYFUNCTION("""COMPUTED_VALUE"""),"Cardápio Web")</f>
        <v>Cardápio Web</v>
      </c>
      <c r="R2397" s="33">
        <f>IFERROR(__xludf.DUMMYFUNCTION("""COMPUTED_VALUE"""),0.75)</f>
        <v>0.75</v>
      </c>
      <c r="S2397" s="4" t="str">
        <f>IFERROR(__xludf.DUMMYFUNCTION("""COMPUTED_VALUE"""),"Cardápio Web")</f>
        <v>Cardápio Web</v>
      </c>
      <c r="T2397" s="33">
        <f>IFERROR(__xludf.DUMMYFUNCTION("""COMPUTED_VALUE"""),0.75)</f>
        <v>0.75</v>
      </c>
      <c r="U2397" s="4" t="str">
        <f>IFERROR(__xludf.DUMMYFUNCTION("""COMPUTED_VALUE"""),"Cardápio Web")</f>
        <v>Cardápio Web</v>
      </c>
      <c r="V2397" s="33">
        <f>IFERROR(__xludf.DUMMYFUNCTION("""COMPUTED_VALUE"""),0.75)</f>
        <v>0.75</v>
      </c>
      <c r="W2397" s="4" t="str">
        <f>IFERROR(__xludf.DUMMYFUNCTION("""COMPUTED_VALUE"""),"Cardápio Web")</f>
        <v>Cardápio Web</v>
      </c>
      <c r="X2397" s="33">
        <f>IFERROR(__xludf.DUMMYFUNCTION("""COMPUTED_VALUE"""),1.0)</f>
        <v>1</v>
      </c>
    </row>
    <row r="2398">
      <c r="K2398" s="4" t="str">
        <f>IFERROR(__xludf.DUMMYFUNCTION("""COMPUTED_VALUE"""),"KENNEDY BEBIDAS")</f>
        <v>KENNEDY BEBIDAS</v>
      </c>
      <c r="L2398" s="32">
        <f>IFERROR(__xludf.DUMMYFUNCTION("""COMPUTED_VALUE"""),4.0)</f>
        <v>4</v>
      </c>
      <c r="M2398" s="4" t="str">
        <f>IFERROR(__xludf.DUMMYFUNCTION("""COMPUTED_VALUE"""),"Agilizup Solucoes Ltda")</f>
        <v>Agilizup Solucoes Ltda</v>
      </c>
      <c r="N2398" s="33">
        <f>IFERROR(__xludf.DUMMYFUNCTION("""COMPUTED_VALUE"""),0.75)</f>
        <v>0.75</v>
      </c>
      <c r="O2398" s="4" t="str">
        <f>IFERROR(__xludf.DUMMYFUNCTION("""COMPUTED_VALUE"""),"Agilizup Solucoes Ltda")</f>
        <v>Agilizup Solucoes Ltda</v>
      </c>
      <c r="P2398" s="33">
        <f>IFERROR(__xludf.DUMMYFUNCTION("""COMPUTED_VALUE"""),0.75)</f>
        <v>0.75</v>
      </c>
      <c r="Q2398" s="4" t="str">
        <f>IFERROR(__xludf.DUMMYFUNCTION("""COMPUTED_VALUE"""),"Agilizup Solucoes Ltda")</f>
        <v>Agilizup Solucoes Ltda</v>
      </c>
      <c r="R2398" s="33">
        <f>IFERROR(__xludf.DUMMYFUNCTION("""COMPUTED_VALUE"""),0.75)</f>
        <v>0.75</v>
      </c>
      <c r="S2398" s="4" t="str">
        <f>IFERROR(__xludf.DUMMYFUNCTION("""COMPUTED_VALUE"""),"Agilizup Solucoes Ltda")</f>
        <v>Agilizup Solucoes Ltda</v>
      </c>
      <c r="T2398" s="33">
        <f>IFERROR(__xludf.DUMMYFUNCTION("""COMPUTED_VALUE"""),1.0)</f>
        <v>1</v>
      </c>
      <c r="U2398" s="4" t="str">
        <f>IFERROR(__xludf.DUMMYFUNCTION("""COMPUTED_VALUE"""),"Agilizup Solucoes Ltda")</f>
        <v>Agilizup Solucoes Ltda</v>
      </c>
      <c r="V2398" s="33">
        <f>IFERROR(__xludf.DUMMYFUNCTION("""COMPUTED_VALUE"""),1.0)</f>
        <v>1</v>
      </c>
      <c r="W2398" s="4" t="str">
        <f>IFERROR(__xludf.DUMMYFUNCTION("""COMPUTED_VALUE"""),"Agilizup Solucoes Ltda")</f>
        <v>Agilizup Solucoes Ltda</v>
      </c>
      <c r="X2398" s="33">
        <f>IFERROR(__xludf.DUMMYFUNCTION("""COMPUTED_VALUE"""),1.0)</f>
        <v>1</v>
      </c>
    </row>
    <row r="2399">
      <c r="K2399" s="4" t="str">
        <f>IFERROR(__xludf.DUMMYFUNCTION("""COMPUTED_VALUE"""),"KIICHI")</f>
        <v>KIICHI</v>
      </c>
      <c r="L2399" s="32">
        <f>IFERROR(__xludf.DUMMYFUNCTION("""COMPUTED_VALUE"""),4.0)</f>
        <v>4</v>
      </c>
      <c r="M2399" s="4" t="str">
        <f>IFERROR(__xludf.DUMMYFUNCTION("""COMPUTED_VALUE"""),"Cheff Solutions Tecnologia Brasil")</f>
        <v>Cheff Solutions Tecnologia Brasil</v>
      </c>
      <c r="N2399" s="33">
        <f>IFERROR(__xludf.DUMMYFUNCTION("""COMPUTED_VALUE"""),1.0)</f>
        <v>1</v>
      </c>
      <c r="O2399" s="4" t="str">
        <f>IFERROR(__xludf.DUMMYFUNCTION("""COMPUTED_VALUE"""),"Cheff Solutions Tecnologia Brasil")</f>
        <v>Cheff Solutions Tecnologia Brasil</v>
      </c>
      <c r="P2399" s="33">
        <f>IFERROR(__xludf.DUMMYFUNCTION("""COMPUTED_VALUE"""),0.75)</f>
        <v>0.75</v>
      </c>
      <c r="Q2399" s="4" t="str">
        <f>IFERROR(__xludf.DUMMYFUNCTION("""COMPUTED_VALUE"""),"Cheff Solutions Tecnologia Brasil")</f>
        <v>Cheff Solutions Tecnologia Brasil</v>
      </c>
      <c r="R2399" s="33">
        <f>IFERROR(__xludf.DUMMYFUNCTION("""COMPUTED_VALUE"""),1.0)</f>
        <v>1</v>
      </c>
      <c r="S2399" s="4" t="str">
        <f>IFERROR(__xludf.DUMMYFUNCTION("""COMPUTED_VALUE"""),"Cheff Solutions Tecnologia Brasil")</f>
        <v>Cheff Solutions Tecnologia Brasil</v>
      </c>
      <c r="T2399" s="33">
        <f>IFERROR(__xludf.DUMMYFUNCTION("""COMPUTED_VALUE"""),1.0)</f>
        <v>1</v>
      </c>
      <c r="U2399" s="4" t="str">
        <f>IFERROR(__xludf.DUMMYFUNCTION("""COMPUTED_VALUE"""),"Cheff Solutions Tecnologia Brasil")</f>
        <v>Cheff Solutions Tecnologia Brasil</v>
      </c>
      <c r="V2399" s="33">
        <f>IFERROR(__xludf.DUMMYFUNCTION("""COMPUTED_VALUE"""),0.5)</f>
        <v>0.5</v>
      </c>
      <c r="W2399" s="4" t="str">
        <f>IFERROR(__xludf.DUMMYFUNCTION("""COMPUTED_VALUE"""),"Cheff Solutions Tecnologia Brasil")</f>
        <v>Cheff Solutions Tecnologia Brasil</v>
      </c>
      <c r="X2399" s="33">
        <f>IFERROR(__xludf.DUMMYFUNCTION("""COMPUTED_VALUE"""),1.0)</f>
        <v>1</v>
      </c>
    </row>
    <row r="2400">
      <c r="K2400" s="4" t="str">
        <f>IFERROR(__xludf.DUMMYFUNCTION("""COMPUTED_VALUE"""),"KIMI COSMETICOS - GRUPO")</f>
        <v>KIMI COSMETICOS - GRUPO</v>
      </c>
      <c r="L2400" s="32">
        <f>IFERROR(__xludf.DUMMYFUNCTION("""COMPUTED_VALUE"""),4.0)</f>
        <v>4</v>
      </c>
      <c r="M2400" s="4" t="str">
        <f>IFERROR(__xludf.DUMMYFUNCTION("""COMPUTED_VALUE"""),"N/A (Not found)")</f>
        <v>N/A (Not found)</v>
      </c>
      <c r="N2400" s="33">
        <f>IFERROR(__xludf.DUMMYFUNCTION("""COMPUTED_VALUE"""),1.0)</f>
        <v>1</v>
      </c>
      <c r="O2400" s="4" t="str">
        <f>IFERROR(__xludf.DUMMYFUNCTION("""COMPUTED_VALUE"""),"N/A (Not found)")</f>
        <v>N/A (Not found)</v>
      </c>
      <c r="P2400" s="33">
        <f>IFERROR(__xludf.DUMMYFUNCTION("""COMPUTED_VALUE"""),1.0)</f>
        <v>1</v>
      </c>
      <c r="Q2400" s="4" t="str">
        <f>IFERROR(__xludf.DUMMYFUNCTION("""COMPUTED_VALUE"""),"N/A (Not found)")</f>
        <v>N/A (Not found)</v>
      </c>
      <c r="R2400" s="33">
        <f>IFERROR(__xludf.DUMMYFUNCTION("""COMPUTED_VALUE"""),1.0)</f>
        <v>1</v>
      </c>
      <c r="S2400" s="4" t="str">
        <f>IFERROR(__xludf.DUMMYFUNCTION("""COMPUTED_VALUE"""),"N/A (Not found)")</f>
        <v>N/A (Not found)</v>
      </c>
      <c r="T2400" s="33">
        <f>IFERROR(__xludf.DUMMYFUNCTION("""COMPUTED_VALUE"""),1.0)</f>
        <v>1</v>
      </c>
      <c r="U2400" s="4" t="str">
        <f>IFERROR(__xludf.DUMMYFUNCTION("""COMPUTED_VALUE"""),"N/A (Not found)")</f>
        <v>N/A (Not found)</v>
      </c>
      <c r="V2400" s="33">
        <f>IFERROR(__xludf.DUMMYFUNCTION("""COMPUTED_VALUE"""),1.0)</f>
        <v>1</v>
      </c>
      <c r="W2400" s="4" t="str">
        <f>IFERROR(__xludf.DUMMYFUNCTION("""COMPUTED_VALUE"""),"N/A (Not found)")</f>
        <v>N/A (Not found)</v>
      </c>
      <c r="X2400" s="33">
        <f>IFERROR(__xludf.DUMMYFUNCTION("""COMPUTED_VALUE"""),1.0)</f>
        <v>1</v>
      </c>
    </row>
    <row r="2401">
      <c r="K2401" s="4" t="str">
        <f>IFERROR(__xludf.DUMMYFUNCTION("""COMPUTED_VALUE"""),"KINA DO FEIJAO VERDE")</f>
        <v>KINA DO FEIJAO VERDE</v>
      </c>
      <c r="L2401" s="32">
        <f>IFERROR(__xludf.DUMMYFUNCTION("""COMPUTED_VALUE"""),4.0)</f>
        <v>4</v>
      </c>
      <c r="M2401" s="4" t="str">
        <f>IFERROR(__xludf.DUMMYFUNCTION("""COMPUTED_VALUE"""),"Totvs Large Enterprise Tecnologia S.a.")</f>
        <v>Totvs Large Enterprise Tecnologia S.a.</v>
      </c>
      <c r="N2401" s="33">
        <f>IFERROR(__xludf.DUMMYFUNCTION("""COMPUTED_VALUE"""),1.0)</f>
        <v>1</v>
      </c>
      <c r="O2401" s="4" t="str">
        <f>IFERROR(__xludf.DUMMYFUNCTION("""COMPUTED_VALUE"""),"Totvs Large Enterprise Tecnologia S.a.")</f>
        <v>Totvs Large Enterprise Tecnologia S.a.</v>
      </c>
      <c r="P2401" s="33">
        <f>IFERROR(__xludf.DUMMYFUNCTION("""COMPUTED_VALUE"""),0.75)</f>
        <v>0.75</v>
      </c>
      <c r="Q2401" s="4" t="str">
        <f>IFERROR(__xludf.DUMMYFUNCTION("""COMPUTED_VALUE"""),"Totvs Large Enterprise Tecnologia S.a.")</f>
        <v>Totvs Large Enterprise Tecnologia S.a.</v>
      </c>
      <c r="R2401" s="33">
        <f>IFERROR(__xludf.DUMMYFUNCTION("""COMPUTED_VALUE"""),0.5)</f>
        <v>0.5</v>
      </c>
      <c r="S2401" s="4" t="str">
        <f>IFERROR(__xludf.DUMMYFUNCTION("""COMPUTED_VALUE"""),"Totvs Large Enterprise Tecnologia S.a.")</f>
        <v>Totvs Large Enterprise Tecnologia S.a.</v>
      </c>
      <c r="T2401" s="33">
        <f>IFERROR(__xludf.DUMMYFUNCTION("""COMPUTED_VALUE"""),0.5)</f>
        <v>0.5</v>
      </c>
      <c r="U2401" s="4" t="str">
        <f>IFERROR(__xludf.DUMMYFUNCTION("""COMPUTED_VALUE"""),"Totvs Large Enterprise Tecnologia S.a.")</f>
        <v>Totvs Large Enterprise Tecnologia S.a.</v>
      </c>
      <c r="V2401" s="33">
        <f>IFERROR(__xludf.DUMMYFUNCTION("""COMPUTED_VALUE"""),0.5)</f>
        <v>0.5</v>
      </c>
      <c r="W2401" s="4" t="str">
        <f>IFERROR(__xludf.DUMMYFUNCTION("""COMPUTED_VALUE"""),"Totvs Large Enterprise Tecnologia S.a.")</f>
        <v>Totvs Large Enterprise Tecnologia S.a.</v>
      </c>
      <c r="X2401" s="33">
        <f>IFERROR(__xludf.DUMMYFUNCTION("""COMPUTED_VALUE"""),0.75)</f>
        <v>0.75</v>
      </c>
    </row>
    <row r="2402">
      <c r="K2402" s="4" t="str">
        <f>IFERROR(__xludf.DUMMYFUNCTION("""COMPUTED_VALUE"""),"KONETERIA GOURMET")</f>
        <v>KONETERIA GOURMET</v>
      </c>
      <c r="L2402" s="32">
        <f>IFERROR(__xludf.DUMMYFUNCTION("""COMPUTED_VALUE"""),4.0)</f>
        <v>4</v>
      </c>
      <c r="M2402" s="4" t="str">
        <f>IFERROR(__xludf.DUMMYFUNCTION("""COMPUTED_VALUE"""),"Hubster")</f>
        <v>Hubster</v>
      </c>
      <c r="N2402" s="33">
        <f>IFERROR(__xludf.DUMMYFUNCTION("""COMPUTED_VALUE"""),1.0)</f>
        <v>1</v>
      </c>
      <c r="O2402" s="4" t="str">
        <f>IFERROR(__xludf.DUMMYFUNCTION("""COMPUTED_VALUE"""),"null")</f>
        <v>null</v>
      </c>
      <c r="P2402" s="33">
        <f>IFERROR(__xludf.DUMMYFUNCTION("""COMPUTED_VALUE"""),0.5)</f>
        <v>0.5</v>
      </c>
      <c r="Q2402" s="4" t="str">
        <f>IFERROR(__xludf.DUMMYFUNCTION("""COMPUTED_VALUE"""),"null")</f>
        <v>null</v>
      </c>
      <c r="R2402" s="33">
        <f>IFERROR(__xludf.DUMMYFUNCTION("""COMPUTED_VALUE"""),0.5)</f>
        <v>0.5</v>
      </c>
      <c r="S2402" s="4" t="str">
        <f>IFERROR(__xludf.DUMMYFUNCTION("""COMPUTED_VALUE"""),"null")</f>
        <v>null</v>
      </c>
      <c r="T2402" s="33">
        <f>IFERROR(__xludf.DUMMYFUNCTION("""COMPUTED_VALUE"""),0.5)</f>
        <v>0.5</v>
      </c>
      <c r="U2402" s="4" t="str">
        <f>IFERROR(__xludf.DUMMYFUNCTION("""COMPUTED_VALUE"""),"null")</f>
        <v>null</v>
      </c>
      <c r="V2402" s="33">
        <f>IFERROR(__xludf.DUMMYFUNCTION("""COMPUTED_VALUE"""),0.5)</f>
        <v>0.5</v>
      </c>
      <c r="W2402" s="4" t="str">
        <f>IFERROR(__xludf.DUMMYFUNCTION("""COMPUTED_VALUE"""),"null")</f>
        <v>null</v>
      </c>
      <c r="X2402" s="33">
        <f>IFERROR(__xludf.DUMMYFUNCTION("""COMPUTED_VALUE"""),0.5)</f>
        <v>0.5</v>
      </c>
    </row>
    <row r="2403">
      <c r="K2403" s="4" t="str">
        <f>IFERROR(__xludf.DUMMYFUNCTION("""COMPUTED_VALUE"""),"KPOP CHICKEN")</f>
        <v>KPOP CHICKEN</v>
      </c>
      <c r="L2403" s="32">
        <f>IFERROR(__xludf.DUMMYFUNCTION("""COMPUTED_VALUE"""),4.0)</f>
        <v>4</v>
      </c>
      <c r="M2403" s="4" t="str">
        <f>IFERROR(__xludf.DUMMYFUNCTION("""COMPUTED_VALUE"""),"Saipos Serviços De Software")</f>
        <v>Saipos Serviços De Software</v>
      </c>
      <c r="N2403" s="33">
        <f>IFERROR(__xludf.DUMMYFUNCTION("""COMPUTED_VALUE"""),1.0)</f>
        <v>1</v>
      </c>
      <c r="O2403" s="4" t="str">
        <f>IFERROR(__xludf.DUMMYFUNCTION("""COMPUTED_VALUE"""),"Saipos Serviços De Software")</f>
        <v>Saipos Serviços De Software</v>
      </c>
      <c r="P2403" s="33">
        <f>IFERROR(__xludf.DUMMYFUNCTION("""COMPUTED_VALUE"""),1.0)</f>
        <v>1</v>
      </c>
      <c r="Q2403" s="4" t="str">
        <f>IFERROR(__xludf.DUMMYFUNCTION("""COMPUTED_VALUE"""),"Saipos Serviços De Software")</f>
        <v>Saipos Serviços De Software</v>
      </c>
      <c r="R2403" s="33">
        <f>IFERROR(__xludf.DUMMYFUNCTION("""COMPUTED_VALUE"""),1.0)</f>
        <v>1</v>
      </c>
      <c r="S2403" s="4" t="str">
        <f>IFERROR(__xludf.DUMMYFUNCTION("""COMPUTED_VALUE"""),"Saipos Serviços De Software")</f>
        <v>Saipos Serviços De Software</v>
      </c>
      <c r="T2403" s="33">
        <f>IFERROR(__xludf.DUMMYFUNCTION("""COMPUTED_VALUE"""),1.0)</f>
        <v>1</v>
      </c>
      <c r="U2403" s="4" t="str">
        <f>IFERROR(__xludf.DUMMYFUNCTION("""COMPUTED_VALUE"""),"Saipos Serviços De Software")</f>
        <v>Saipos Serviços De Software</v>
      </c>
      <c r="V2403" s="33">
        <f>IFERROR(__xludf.DUMMYFUNCTION("""COMPUTED_VALUE"""),1.0)</f>
        <v>1</v>
      </c>
      <c r="W2403" s="4" t="str">
        <f>IFERROR(__xludf.DUMMYFUNCTION("""COMPUTED_VALUE"""),"Saipos Serviços De Software")</f>
        <v>Saipos Serviços De Software</v>
      </c>
      <c r="X2403" s="33">
        <f>IFERROR(__xludf.DUMMYFUNCTION("""COMPUTED_VALUE"""),1.0)</f>
        <v>1</v>
      </c>
    </row>
    <row r="2404">
      <c r="K2404" s="4" t="str">
        <f>IFERROR(__xludf.DUMMYFUNCTION("""COMPUTED_VALUE"""),"LA FENICE")</f>
        <v>LA FENICE</v>
      </c>
      <c r="L2404" s="32">
        <f>IFERROR(__xludf.DUMMYFUNCTION("""COMPUTED_VALUE"""),4.0)</f>
        <v>4</v>
      </c>
      <c r="M2404" s="4" t="str">
        <f>IFERROR(__xludf.DUMMYFUNCTION("""COMPUTED_VALUE"""),"Expresso Delivery")</f>
        <v>Expresso Delivery</v>
      </c>
      <c r="N2404" s="33">
        <f>IFERROR(__xludf.DUMMYFUNCTION("""COMPUTED_VALUE"""),1.0)</f>
        <v>1</v>
      </c>
      <c r="O2404" s="4" t="str">
        <f>IFERROR(__xludf.DUMMYFUNCTION("""COMPUTED_VALUE"""),"Expresso Delivery")</f>
        <v>Expresso Delivery</v>
      </c>
      <c r="P2404" s="33">
        <f>IFERROR(__xludf.DUMMYFUNCTION("""COMPUTED_VALUE"""),1.0)</f>
        <v>1</v>
      </c>
      <c r="Q2404" s="4" t="str">
        <f>IFERROR(__xludf.DUMMYFUNCTION("""COMPUTED_VALUE"""),"Expresso Delivery")</f>
        <v>Expresso Delivery</v>
      </c>
      <c r="R2404" s="33">
        <f>IFERROR(__xludf.DUMMYFUNCTION("""COMPUTED_VALUE"""),1.0)</f>
        <v>1</v>
      </c>
      <c r="S2404" s="4" t="str">
        <f>IFERROR(__xludf.DUMMYFUNCTION("""COMPUTED_VALUE"""),"Expresso Delivery")</f>
        <v>Expresso Delivery</v>
      </c>
      <c r="T2404" s="33">
        <f>IFERROR(__xludf.DUMMYFUNCTION("""COMPUTED_VALUE"""),1.0)</f>
        <v>1</v>
      </c>
      <c r="U2404" s="4" t="str">
        <f>IFERROR(__xludf.DUMMYFUNCTION("""COMPUTED_VALUE"""),"Expresso Delivery")</f>
        <v>Expresso Delivery</v>
      </c>
      <c r="V2404" s="33">
        <f>IFERROR(__xludf.DUMMYFUNCTION("""COMPUTED_VALUE"""),0.75)</f>
        <v>0.75</v>
      </c>
      <c r="W2404" s="4" t="str">
        <f>IFERROR(__xludf.DUMMYFUNCTION("""COMPUTED_VALUE"""),"Expresso Delivery")</f>
        <v>Expresso Delivery</v>
      </c>
      <c r="X2404" s="33">
        <f>IFERROR(__xludf.DUMMYFUNCTION("""COMPUTED_VALUE"""),1.0)</f>
        <v>1</v>
      </c>
    </row>
    <row r="2405">
      <c r="K2405" s="4" t="str">
        <f>IFERROR(__xludf.DUMMYFUNCTION("""COMPUTED_VALUE"""),"LA INCASA - MARMITAS")</f>
        <v>LA INCASA - MARMITAS</v>
      </c>
      <c r="L2405" s="32">
        <f>IFERROR(__xludf.DUMMYFUNCTION("""COMPUTED_VALUE"""),4.0)</f>
        <v>4</v>
      </c>
      <c r="M2405" s="4" t="str">
        <f>IFERROR(__xludf.DUMMYFUNCTION("""COMPUTED_VALUE"""),"Cardápio Web")</f>
        <v>Cardápio Web</v>
      </c>
      <c r="N2405" s="33">
        <f>IFERROR(__xludf.DUMMYFUNCTION("""COMPUTED_VALUE"""),1.0)</f>
        <v>1</v>
      </c>
      <c r="O2405" s="4" t="str">
        <f>IFERROR(__xludf.DUMMYFUNCTION("""COMPUTED_VALUE"""),"Cardápio Web")</f>
        <v>Cardápio Web</v>
      </c>
      <c r="P2405" s="33">
        <f>IFERROR(__xludf.DUMMYFUNCTION("""COMPUTED_VALUE"""),1.0)</f>
        <v>1</v>
      </c>
      <c r="Q2405" s="4" t="str">
        <f>IFERROR(__xludf.DUMMYFUNCTION("""COMPUTED_VALUE"""),"Cardápio Web")</f>
        <v>Cardápio Web</v>
      </c>
      <c r="R2405" s="33">
        <f>IFERROR(__xludf.DUMMYFUNCTION("""COMPUTED_VALUE"""),1.0)</f>
        <v>1</v>
      </c>
      <c r="S2405" s="4" t="str">
        <f>IFERROR(__xludf.DUMMYFUNCTION("""COMPUTED_VALUE"""),"Cardápio Web")</f>
        <v>Cardápio Web</v>
      </c>
      <c r="T2405" s="33">
        <f>IFERROR(__xludf.DUMMYFUNCTION("""COMPUTED_VALUE"""),1.0)</f>
        <v>1</v>
      </c>
      <c r="U2405" s="4" t="str">
        <f>IFERROR(__xludf.DUMMYFUNCTION("""COMPUTED_VALUE"""),"Cardápio Web")</f>
        <v>Cardápio Web</v>
      </c>
      <c r="V2405" s="33">
        <f>IFERROR(__xludf.DUMMYFUNCTION("""COMPUTED_VALUE"""),1.0)</f>
        <v>1</v>
      </c>
      <c r="W2405" s="4" t="str">
        <f>IFERROR(__xludf.DUMMYFUNCTION("""COMPUTED_VALUE"""),"Cardápio Web")</f>
        <v>Cardápio Web</v>
      </c>
      <c r="X2405" s="33">
        <f>IFERROR(__xludf.DUMMYFUNCTION("""COMPUTED_VALUE"""),1.0)</f>
        <v>1</v>
      </c>
    </row>
    <row r="2406">
      <c r="K2406" s="4" t="str">
        <f>IFERROR(__xludf.DUMMYFUNCTION("""COMPUTED_VALUE"""),"LA PERGOLETTA")</f>
        <v>LA PERGOLETTA</v>
      </c>
      <c r="L2406" s="32">
        <f>IFERROR(__xludf.DUMMYFUNCTION("""COMPUTED_VALUE"""),4.0)</f>
        <v>4</v>
      </c>
      <c r="M2406" s="4" t="str">
        <f>IFERROR(__xludf.DUMMYFUNCTION("""COMPUTED_VALUE"""),"Garcom Web")</f>
        <v>Garcom Web</v>
      </c>
      <c r="N2406" s="33">
        <f>IFERROR(__xludf.DUMMYFUNCTION("""COMPUTED_VALUE"""),0.5)</f>
        <v>0.5</v>
      </c>
      <c r="O2406" s="4" t="str">
        <f>IFERROR(__xludf.DUMMYFUNCTION("""COMPUTED_VALUE"""),"Garcom Web")</f>
        <v>Garcom Web</v>
      </c>
      <c r="P2406" s="33">
        <f>IFERROR(__xludf.DUMMYFUNCTION("""COMPUTED_VALUE"""),0.5)</f>
        <v>0.5</v>
      </c>
      <c r="Q2406" s="4" t="str">
        <f>IFERROR(__xludf.DUMMYFUNCTION("""COMPUTED_VALUE"""),"null")</f>
        <v>null</v>
      </c>
      <c r="R2406" s="33">
        <f>IFERROR(__xludf.DUMMYFUNCTION("""COMPUTED_VALUE"""),0.5)</f>
        <v>0.5</v>
      </c>
      <c r="S2406" s="4" t="str">
        <f>IFERROR(__xludf.DUMMYFUNCTION("""COMPUTED_VALUE"""),"Garcom Web")</f>
        <v>Garcom Web</v>
      </c>
      <c r="T2406" s="33">
        <f>IFERROR(__xludf.DUMMYFUNCTION("""COMPUTED_VALUE"""),0.5)</f>
        <v>0.5</v>
      </c>
      <c r="U2406" s="4" t="str">
        <f>IFERROR(__xludf.DUMMYFUNCTION("""COMPUTED_VALUE"""),"Garcom Web")</f>
        <v>Garcom Web</v>
      </c>
      <c r="V2406" s="33">
        <f>IFERROR(__xludf.DUMMYFUNCTION("""COMPUTED_VALUE"""),0.5)</f>
        <v>0.5</v>
      </c>
      <c r="W2406" s="4" t="str">
        <f>IFERROR(__xludf.DUMMYFUNCTION("""COMPUTED_VALUE"""),"null")</f>
        <v>null</v>
      </c>
      <c r="X2406" s="33">
        <f>IFERROR(__xludf.DUMMYFUNCTION("""COMPUTED_VALUE"""),0.5)</f>
        <v>0.5</v>
      </c>
    </row>
    <row r="2407">
      <c r="K2407" s="4" t="str">
        <f>IFERROR(__xludf.DUMMYFUNCTION("""COMPUTED_VALUE"""),"LA PRIMA")</f>
        <v>LA PRIMA</v>
      </c>
      <c r="L2407" s="32">
        <f>IFERROR(__xludf.DUMMYFUNCTION("""COMPUTED_VALUE"""),4.0)</f>
        <v>4</v>
      </c>
      <c r="M2407" s="4" t="str">
        <f>IFERROR(__xludf.DUMMYFUNCTION("""COMPUTED_VALUE"""),"Saipos Serviços De Software")</f>
        <v>Saipos Serviços De Software</v>
      </c>
      <c r="N2407" s="33">
        <f>IFERROR(__xludf.DUMMYFUNCTION("""COMPUTED_VALUE"""),1.0)</f>
        <v>1</v>
      </c>
      <c r="O2407" s="4" t="str">
        <f>IFERROR(__xludf.DUMMYFUNCTION("""COMPUTED_VALUE"""),"Saipos Serviços De Software")</f>
        <v>Saipos Serviços De Software</v>
      </c>
      <c r="P2407" s="33">
        <f>IFERROR(__xludf.DUMMYFUNCTION("""COMPUTED_VALUE"""),1.0)</f>
        <v>1</v>
      </c>
      <c r="Q2407" s="4" t="str">
        <f>IFERROR(__xludf.DUMMYFUNCTION("""COMPUTED_VALUE"""),"Saipos Serviços De Software")</f>
        <v>Saipos Serviços De Software</v>
      </c>
      <c r="R2407" s="33">
        <f>IFERROR(__xludf.DUMMYFUNCTION("""COMPUTED_VALUE"""),1.0)</f>
        <v>1</v>
      </c>
      <c r="S2407" s="4" t="str">
        <f>IFERROR(__xludf.DUMMYFUNCTION("""COMPUTED_VALUE"""),"Saipos Serviços De Software")</f>
        <v>Saipos Serviços De Software</v>
      </c>
      <c r="T2407" s="33">
        <f>IFERROR(__xludf.DUMMYFUNCTION("""COMPUTED_VALUE"""),1.0)</f>
        <v>1</v>
      </c>
      <c r="U2407" s="4" t="str">
        <f>IFERROR(__xludf.DUMMYFUNCTION("""COMPUTED_VALUE"""),"Saipos Serviços De Software")</f>
        <v>Saipos Serviços De Software</v>
      </c>
      <c r="V2407" s="33">
        <f>IFERROR(__xludf.DUMMYFUNCTION("""COMPUTED_VALUE"""),1.0)</f>
        <v>1</v>
      </c>
      <c r="W2407" s="4" t="str">
        <f>IFERROR(__xludf.DUMMYFUNCTION("""COMPUTED_VALUE"""),"Saipos Serviços De Software")</f>
        <v>Saipos Serviços De Software</v>
      </c>
      <c r="X2407" s="33">
        <f>IFERROR(__xludf.DUMMYFUNCTION("""COMPUTED_VALUE"""),1.0)</f>
        <v>1</v>
      </c>
    </row>
    <row r="2408">
      <c r="K2408" s="4" t="str">
        <f>IFERROR(__xludf.DUMMYFUNCTION("""COMPUTED_VALUE"""),"LA ROCHA")</f>
        <v>LA ROCHA</v>
      </c>
      <c r="L2408" s="32">
        <f>IFERROR(__xludf.DUMMYFUNCTION("""COMPUTED_VALUE"""),4.0)</f>
        <v>4</v>
      </c>
      <c r="M2408" s="4" t="str">
        <f>IFERROR(__xludf.DUMMYFUNCTION("""COMPUTED_VALUE"""),"Cardápio Web")</f>
        <v>Cardápio Web</v>
      </c>
      <c r="N2408" s="33">
        <f>IFERROR(__xludf.DUMMYFUNCTION("""COMPUTED_VALUE"""),1.0)</f>
        <v>1</v>
      </c>
      <c r="O2408" s="4" t="str">
        <f>IFERROR(__xludf.DUMMYFUNCTION("""COMPUTED_VALUE"""),"Cardápio Web")</f>
        <v>Cardápio Web</v>
      </c>
      <c r="P2408" s="33">
        <f>IFERROR(__xludf.DUMMYFUNCTION("""COMPUTED_VALUE"""),1.0)</f>
        <v>1</v>
      </c>
      <c r="Q2408" s="4" t="str">
        <f>IFERROR(__xludf.DUMMYFUNCTION("""COMPUTED_VALUE"""),"Cardápio Web")</f>
        <v>Cardápio Web</v>
      </c>
      <c r="R2408" s="33">
        <f>IFERROR(__xludf.DUMMYFUNCTION("""COMPUTED_VALUE"""),1.0)</f>
        <v>1</v>
      </c>
      <c r="S2408" s="4" t="str">
        <f>IFERROR(__xludf.DUMMYFUNCTION("""COMPUTED_VALUE"""),"Cardápio Web")</f>
        <v>Cardápio Web</v>
      </c>
      <c r="T2408" s="33">
        <f>IFERROR(__xludf.DUMMYFUNCTION("""COMPUTED_VALUE"""),1.0)</f>
        <v>1</v>
      </c>
      <c r="U2408" s="4" t="str">
        <f>IFERROR(__xludf.DUMMYFUNCTION("""COMPUTED_VALUE"""),"Cardápio Web")</f>
        <v>Cardápio Web</v>
      </c>
      <c r="V2408" s="33">
        <f>IFERROR(__xludf.DUMMYFUNCTION("""COMPUTED_VALUE"""),0.75)</f>
        <v>0.75</v>
      </c>
      <c r="W2408" s="4" t="str">
        <f>IFERROR(__xludf.DUMMYFUNCTION("""COMPUTED_VALUE"""),"Saipos Serviços De Software")</f>
        <v>Saipos Serviços De Software</v>
      </c>
      <c r="X2408" s="33">
        <f>IFERROR(__xludf.DUMMYFUNCTION("""COMPUTED_VALUE"""),0.75)</f>
        <v>0.75</v>
      </c>
    </row>
    <row r="2409">
      <c r="K2409" s="4" t="str">
        <f>IFERROR(__xludf.DUMMYFUNCTION("""COMPUTED_VALUE"""),"LA TAVERNA")</f>
        <v>LA TAVERNA</v>
      </c>
      <c r="L2409" s="32">
        <f>IFERROR(__xludf.DUMMYFUNCTION("""COMPUTED_VALUE"""),4.0)</f>
        <v>4</v>
      </c>
      <c r="M2409" s="4" t="str">
        <f>IFERROR(__xludf.DUMMYFUNCTION("""COMPUTED_VALUE"""),"Instadelivery")</f>
        <v>Instadelivery</v>
      </c>
      <c r="N2409" s="33">
        <f>IFERROR(__xludf.DUMMYFUNCTION("""COMPUTED_VALUE"""),1.0)</f>
        <v>1</v>
      </c>
      <c r="O2409" s="4" t="str">
        <f>IFERROR(__xludf.DUMMYFUNCTION("""COMPUTED_VALUE"""),"Instadelivery")</f>
        <v>Instadelivery</v>
      </c>
      <c r="P2409" s="33">
        <f>IFERROR(__xludf.DUMMYFUNCTION("""COMPUTED_VALUE"""),1.0)</f>
        <v>1</v>
      </c>
      <c r="Q2409" s="4" t="str">
        <f>IFERROR(__xludf.DUMMYFUNCTION("""COMPUTED_VALUE"""),"Instadelivery")</f>
        <v>Instadelivery</v>
      </c>
      <c r="R2409" s="33">
        <f>IFERROR(__xludf.DUMMYFUNCTION("""COMPUTED_VALUE"""),1.0)</f>
        <v>1</v>
      </c>
      <c r="S2409" s="4" t="str">
        <f>IFERROR(__xludf.DUMMYFUNCTION("""COMPUTED_VALUE"""),"Instadelivery")</f>
        <v>Instadelivery</v>
      </c>
      <c r="T2409" s="33">
        <f>IFERROR(__xludf.DUMMYFUNCTION("""COMPUTED_VALUE"""),1.0)</f>
        <v>1</v>
      </c>
      <c r="U2409" s="4" t="str">
        <f>IFERROR(__xludf.DUMMYFUNCTION("""COMPUTED_VALUE"""),"Instadelivery")</f>
        <v>Instadelivery</v>
      </c>
      <c r="V2409" s="33">
        <f>IFERROR(__xludf.DUMMYFUNCTION("""COMPUTED_VALUE"""),1.0)</f>
        <v>1</v>
      </c>
      <c r="W2409" s="4" t="str">
        <f>IFERROR(__xludf.DUMMYFUNCTION("""COMPUTED_VALUE"""),"Instadelivery")</f>
        <v>Instadelivery</v>
      </c>
      <c r="X2409" s="33">
        <f>IFERROR(__xludf.DUMMYFUNCTION("""COMPUTED_VALUE"""),1.0)</f>
        <v>1</v>
      </c>
    </row>
    <row r="2410">
      <c r="K2410" s="4" t="str">
        <f>IFERROR(__xludf.DUMMYFUNCTION("""COMPUTED_VALUE"""),"LAPONI")</f>
        <v>LAPONI</v>
      </c>
      <c r="L2410" s="32">
        <f>IFERROR(__xludf.DUMMYFUNCTION("""COMPUTED_VALUE"""),4.0)</f>
        <v>4</v>
      </c>
      <c r="M2410" s="4" t="str">
        <f>IFERROR(__xludf.DUMMYFUNCTION("""COMPUTED_VALUE"""),"F-rest Sistema Para Food Service Ltda")</f>
        <v>F-rest Sistema Para Food Service Ltda</v>
      </c>
      <c r="N2410" s="33">
        <f>IFERROR(__xludf.DUMMYFUNCTION("""COMPUTED_VALUE"""),1.0)</f>
        <v>1</v>
      </c>
      <c r="O2410" s="4" t="str">
        <f>IFERROR(__xludf.DUMMYFUNCTION("""COMPUTED_VALUE"""),"F-rest Sistema Para Food Service Ltda")</f>
        <v>F-rest Sistema Para Food Service Ltda</v>
      </c>
      <c r="P2410" s="33">
        <f>IFERROR(__xludf.DUMMYFUNCTION("""COMPUTED_VALUE"""),0.75)</f>
        <v>0.75</v>
      </c>
      <c r="Q2410" s="4" t="str">
        <f>IFERROR(__xludf.DUMMYFUNCTION("""COMPUTED_VALUE"""),"F-rest Sistema Para Food Service Ltda")</f>
        <v>F-rest Sistema Para Food Service Ltda</v>
      </c>
      <c r="R2410" s="33">
        <f>IFERROR(__xludf.DUMMYFUNCTION("""COMPUTED_VALUE"""),1.0)</f>
        <v>1</v>
      </c>
      <c r="S2410" s="4" t="str">
        <f>IFERROR(__xludf.DUMMYFUNCTION("""COMPUTED_VALUE"""),"F-rest Sistema Para Food Service Ltda")</f>
        <v>F-rest Sistema Para Food Service Ltda</v>
      </c>
      <c r="T2410" s="33">
        <f>IFERROR(__xludf.DUMMYFUNCTION("""COMPUTED_VALUE"""),1.0)</f>
        <v>1</v>
      </c>
      <c r="U2410" s="4" t="str">
        <f>IFERROR(__xludf.DUMMYFUNCTION("""COMPUTED_VALUE"""),"F-rest Sistema Para Food Service Ltda")</f>
        <v>F-rest Sistema Para Food Service Ltda</v>
      </c>
      <c r="V2410" s="33">
        <f>IFERROR(__xludf.DUMMYFUNCTION("""COMPUTED_VALUE"""),0.75)</f>
        <v>0.75</v>
      </c>
      <c r="W2410" s="4" t="str">
        <f>IFERROR(__xludf.DUMMYFUNCTION("""COMPUTED_VALUE"""),"F-rest Sistema Para Food Service Ltda")</f>
        <v>F-rest Sistema Para Food Service Ltda</v>
      </c>
      <c r="X2410" s="33">
        <f>IFERROR(__xludf.DUMMYFUNCTION("""COMPUTED_VALUE"""),1.0)</f>
        <v>1</v>
      </c>
    </row>
    <row r="2411">
      <c r="K2411" s="4" t="str">
        <f>IFERROR(__xludf.DUMMYFUNCTION("""COMPUTED_VALUE"""),"LAPONI M")</f>
        <v>LAPONI M</v>
      </c>
      <c r="L2411" s="32">
        <f>IFERROR(__xludf.DUMMYFUNCTION("""COMPUTED_VALUE"""),4.0)</f>
        <v>4</v>
      </c>
      <c r="M2411" s="4" t="str">
        <f>IFERROR(__xludf.DUMMYFUNCTION("""COMPUTED_VALUE"""),"F-rest Sistema Para Food Service Ltda")</f>
        <v>F-rest Sistema Para Food Service Ltda</v>
      </c>
      <c r="N2411" s="33">
        <f>IFERROR(__xludf.DUMMYFUNCTION("""COMPUTED_VALUE"""),1.0)</f>
        <v>1</v>
      </c>
      <c r="O2411" s="4" t="str">
        <f>IFERROR(__xludf.DUMMYFUNCTION("""COMPUTED_VALUE"""),"F-rest Sistema Para Food Service Ltda")</f>
        <v>F-rest Sistema Para Food Service Ltda</v>
      </c>
      <c r="P2411" s="33">
        <f>IFERROR(__xludf.DUMMYFUNCTION("""COMPUTED_VALUE"""),0.75)</f>
        <v>0.75</v>
      </c>
      <c r="Q2411" s="4" t="str">
        <f>IFERROR(__xludf.DUMMYFUNCTION("""COMPUTED_VALUE"""),"F-rest Sistema Para Food Service Ltda")</f>
        <v>F-rest Sistema Para Food Service Ltda</v>
      </c>
      <c r="R2411" s="33">
        <f>IFERROR(__xludf.DUMMYFUNCTION("""COMPUTED_VALUE"""),1.0)</f>
        <v>1</v>
      </c>
      <c r="S2411" s="4" t="str">
        <f>IFERROR(__xludf.DUMMYFUNCTION("""COMPUTED_VALUE"""),"F-rest Sistema Para Food Service Ltda")</f>
        <v>F-rest Sistema Para Food Service Ltda</v>
      </c>
      <c r="T2411" s="33">
        <f>IFERROR(__xludf.DUMMYFUNCTION("""COMPUTED_VALUE"""),1.0)</f>
        <v>1</v>
      </c>
      <c r="U2411" s="4" t="str">
        <f>IFERROR(__xludf.DUMMYFUNCTION("""COMPUTED_VALUE"""),"F-rest Sistema Para Food Service Ltda")</f>
        <v>F-rest Sistema Para Food Service Ltda</v>
      </c>
      <c r="V2411" s="33">
        <f>IFERROR(__xludf.DUMMYFUNCTION("""COMPUTED_VALUE"""),0.75)</f>
        <v>0.75</v>
      </c>
      <c r="W2411" s="4" t="str">
        <f>IFERROR(__xludf.DUMMYFUNCTION("""COMPUTED_VALUE"""),"F-rest Sistema Para Food Service Ltda")</f>
        <v>F-rest Sistema Para Food Service Ltda</v>
      </c>
      <c r="X2411" s="33">
        <f>IFERROR(__xludf.DUMMYFUNCTION("""COMPUTED_VALUE"""),1.0)</f>
        <v>1</v>
      </c>
    </row>
    <row r="2412">
      <c r="K2412" s="4" t="str">
        <f>IFERROR(__xludf.DUMMYFUNCTION("""COMPUTED_VALUE"""),"LE CHEF - CONTA GRUPO")</f>
        <v>LE CHEF - CONTA GRUPO</v>
      </c>
      <c r="L2412" s="32">
        <f>IFERROR(__xludf.DUMMYFUNCTION("""COMPUTED_VALUE"""),4.0)</f>
        <v>4</v>
      </c>
      <c r="M2412" s="4" t="str">
        <f>IFERROR(__xludf.DUMMYFUNCTION("""COMPUTED_VALUE"""),"Bitbar")</f>
        <v>Bitbar</v>
      </c>
      <c r="N2412" s="33">
        <f>IFERROR(__xludf.DUMMYFUNCTION("""COMPUTED_VALUE"""),1.0)</f>
        <v>1</v>
      </c>
      <c r="O2412" s="4" t="str">
        <f>IFERROR(__xludf.DUMMYFUNCTION("""COMPUTED_VALUE"""),"null")</f>
        <v>null</v>
      </c>
      <c r="P2412" s="33">
        <f>IFERROR(__xludf.DUMMYFUNCTION("""COMPUTED_VALUE"""),0.75)</f>
        <v>0.75</v>
      </c>
      <c r="Q2412" s="4" t="str">
        <f>IFERROR(__xludf.DUMMYFUNCTION("""COMPUTED_VALUE"""),"null")</f>
        <v>null</v>
      </c>
      <c r="R2412" s="33">
        <f>IFERROR(__xludf.DUMMYFUNCTION("""COMPUTED_VALUE"""),0.75)</f>
        <v>0.75</v>
      </c>
      <c r="S2412" s="4" t="str">
        <f>IFERROR(__xludf.DUMMYFUNCTION("""COMPUTED_VALUE"""),"Bitbar")</f>
        <v>Bitbar</v>
      </c>
      <c r="T2412" s="33">
        <f>IFERROR(__xludf.DUMMYFUNCTION("""COMPUTED_VALUE"""),1.0)</f>
        <v>1</v>
      </c>
      <c r="U2412" s="4" t="str">
        <f>IFERROR(__xludf.DUMMYFUNCTION("""COMPUTED_VALUE"""),"Bitbar")</f>
        <v>Bitbar</v>
      </c>
      <c r="V2412" s="33">
        <f>IFERROR(__xludf.DUMMYFUNCTION("""COMPUTED_VALUE"""),1.0)</f>
        <v>1</v>
      </c>
      <c r="W2412" s="4" t="str">
        <f>IFERROR(__xludf.DUMMYFUNCTION("""COMPUTED_VALUE"""),"Bitbar")</f>
        <v>Bitbar</v>
      </c>
      <c r="X2412" s="33">
        <f>IFERROR(__xludf.DUMMYFUNCTION("""COMPUTED_VALUE"""),0.75)</f>
        <v>0.75</v>
      </c>
    </row>
    <row r="2413">
      <c r="K2413" s="4" t="str">
        <f>IFERROR(__xludf.DUMMYFUNCTION("""COMPUTED_VALUE"""),"LE CHEF - CONTA MARCA")</f>
        <v>LE CHEF - CONTA MARCA</v>
      </c>
      <c r="L2413" s="32">
        <f>IFERROR(__xludf.DUMMYFUNCTION("""COMPUTED_VALUE"""),4.0)</f>
        <v>4</v>
      </c>
      <c r="M2413" s="4" t="str">
        <f>IFERROR(__xludf.DUMMYFUNCTION("""COMPUTED_VALUE"""),"Bitbar")</f>
        <v>Bitbar</v>
      </c>
      <c r="N2413" s="33">
        <f>IFERROR(__xludf.DUMMYFUNCTION("""COMPUTED_VALUE"""),1.0)</f>
        <v>1</v>
      </c>
      <c r="O2413" s="4" t="str">
        <f>IFERROR(__xludf.DUMMYFUNCTION("""COMPUTED_VALUE"""),"null")</f>
        <v>null</v>
      </c>
      <c r="P2413" s="33">
        <f>IFERROR(__xludf.DUMMYFUNCTION("""COMPUTED_VALUE"""),0.75)</f>
        <v>0.75</v>
      </c>
      <c r="Q2413" s="4" t="str">
        <f>IFERROR(__xludf.DUMMYFUNCTION("""COMPUTED_VALUE"""),"null")</f>
        <v>null</v>
      </c>
      <c r="R2413" s="33">
        <f>IFERROR(__xludf.DUMMYFUNCTION("""COMPUTED_VALUE"""),0.75)</f>
        <v>0.75</v>
      </c>
      <c r="S2413" s="4" t="str">
        <f>IFERROR(__xludf.DUMMYFUNCTION("""COMPUTED_VALUE"""),"Bitbar")</f>
        <v>Bitbar</v>
      </c>
      <c r="T2413" s="33">
        <f>IFERROR(__xludf.DUMMYFUNCTION("""COMPUTED_VALUE"""),1.0)</f>
        <v>1</v>
      </c>
      <c r="U2413" s="4" t="str">
        <f>IFERROR(__xludf.DUMMYFUNCTION("""COMPUTED_VALUE"""),"Bitbar")</f>
        <v>Bitbar</v>
      </c>
      <c r="V2413" s="33">
        <f>IFERROR(__xludf.DUMMYFUNCTION("""COMPUTED_VALUE"""),1.0)</f>
        <v>1</v>
      </c>
      <c r="W2413" s="4" t="str">
        <f>IFERROR(__xludf.DUMMYFUNCTION("""COMPUTED_VALUE"""),"Bitbar")</f>
        <v>Bitbar</v>
      </c>
      <c r="X2413" s="33">
        <f>IFERROR(__xludf.DUMMYFUNCTION("""COMPUTED_VALUE"""),0.75)</f>
        <v>0.75</v>
      </c>
    </row>
    <row r="2414">
      <c r="K2414" s="4" t="str">
        <f>IFERROR(__xludf.DUMMYFUNCTION("""COMPUTED_VALUE"""),"GRUPO LE JAZZ")</f>
        <v>GRUPO LE JAZZ</v>
      </c>
      <c r="L2414" s="32">
        <f>IFERROR(__xludf.DUMMYFUNCTION("""COMPUTED_VALUE"""),4.0)</f>
        <v>4</v>
      </c>
      <c r="M2414" s="4" t="str">
        <f>IFERROR(__xludf.DUMMYFUNCTION("""COMPUTED_VALUE"""),"Gula.menu Tecnologia Ltda.")</f>
        <v>Gula.menu Tecnologia Ltda.</v>
      </c>
      <c r="N2414" s="33">
        <f>IFERROR(__xludf.DUMMYFUNCTION("""COMPUTED_VALUE"""),1.0)</f>
        <v>1</v>
      </c>
      <c r="O2414" s="4" t="str">
        <f>IFERROR(__xludf.DUMMYFUNCTION("""COMPUTED_VALUE"""),"Gula.menu Tecnologia Ltda.")</f>
        <v>Gula.menu Tecnologia Ltda.</v>
      </c>
      <c r="P2414" s="33">
        <f>IFERROR(__xludf.DUMMYFUNCTION("""COMPUTED_VALUE"""),1.0)</f>
        <v>1</v>
      </c>
      <c r="Q2414" s="4" t="str">
        <f>IFERROR(__xludf.DUMMYFUNCTION("""COMPUTED_VALUE"""),"Gula.menu Tecnologia Ltda.")</f>
        <v>Gula.menu Tecnologia Ltda.</v>
      </c>
      <c r="R2414" s="33">
        <f>IFERROR(__xludf.DUMMYFUNCTION("""COMPUTED_VALUE"""),1.0)</f>
        <v>1</v>
      </c>
      <c r="S2414" s="4" t="str">
        <f>IFERROR(__xludf.DUMMYFUNCTION("""COMPUTED_VALUE"""),"Gula.menu Tecnologia Ltda.")</f>
        <v>Gula.menu Tecnologia Ltda.</v>
      </c>
      <c r="T2414" s="33">
        <f>IFERROR(__xludf.DUMMYFUNCTION("""COMPUTED_VALUE"""),1.0)</f>
        <v>1</v>
      </c>
      <c r="U2414" s="4" t="str">
        <f>IFERROR(__xludf.DUMMYFUNCTION("""COMPUTED_VALUE"""),"Gula.menu Tecnologia Ltda.")</f>
        <v>Gula.menu Tecnologia Ltda.</v>
      </c>
      <c r="V2414" s="33">
        <f>IFERROR(__xludf.DUMMYFUNCTION("""COMPUTED_VALUE"""),1.0)</f>
        <v>1</v>
      </c>
      <c r="W2414" s="4" t="str">
        <f>IFERROR(__xludf.DUMMYFUNCTION("""COMPUTED_VALUE"""),"Gula.menu Tecnologia Ltda.")</f>
        <v>Gula.menu Tecnologia Ltda.</v>
      </c>
      <c r="X2414" s="33">
        <f>IFERROR(__xludf.DUMMYFUNCTION("""COMPUTED_VALUE"""),1.0)</f>
        <v>1</v>
      </c>
    </row>
    <row r="2415">
      <c r="K2415" s="4" t="str">
        <f>IFERROR(__xludf.DUMMYFUNCTION("""COMPUTED_VALUE"""),"LEAF SALADS SALADERIA")</f>
        <v>LEAF SALADS SALADERIA</v>
      </c>
      <c r="L2415" s="32">
        <f>IFERROR(__xludf.DUMMYFUNCTION("""COMPUTED_VALUE"""),4.0)</f>
        <v>4</v>
      </c>
      <c r="M2415" s="4" t="str">
        <f>IFERROR(__xludf.DUMMYFUNCTION("""COMPUTED_VALUE"""),"Cardápio Web")</f>
        <v>Cardápio Web</v>
      </c>
      <c r="N2415" s="33">
        <f>IFERROR(__xludf.DUMMYFUNCTION("""COMPUTED_VALUE"""),0.75)</f>
        <v>0.75</v>
      </c>
      <c r="O2415" s="4" t="str">
        <f>IFERROR(__xludf.DUMMYFUNCTION("""COMPUTED_VALUE"""),"Cardápio Web")</f>
        <v>Cardápio Web</v>
      </c>
      <c r="P2415" s="33">
        <f>IFERROR(__xludf.DUMMYFUNCTION("""COMPUTED_VALUE"""),0.75)</f>
        <v>0.75</v>
      </c>
      <c r="Q2415" s="4" t="str">
        <f>IFERROR(__xludf.DUMMYFUNCTION("""COMPUTED_VALUE"""),"Cardápio Web")</f>
        <v>Cardápio Web</v>
      </c>
      <c r="R2415" s="33">
        <f>IFERROR(__xludf.DUMMYFUNCTION("""COMPUTED_VALUE"""),0.5)</f>
        <v>0.5</v>
      </c>
      <c r="S2415" s="4" t="str">
        <f>IFERROR(__xludf.DUMMYFUNCTION("""COMPUTED_VALUE"""),"Agilizup Solucoes Ltda")</f>
        <v>Agilizup Solucoes Ltda</v>
      </c>
      <c r="T2415" s="33">
        <f>IFERROR(__xludf.DUMMYFUNCTION("""COMPUTED_VALUE"""),0.75)</f>
        <v>0.75</v>
      </c>
      <c r="U2415" s="4" t="str">
        <f>IFERROR(__xludf.DUMMYFUNCTION("""COMPUTED_VALUE"""),"Agilizup Solucoes Ltda")</f>
        <v>Agilizup Solucoes Ltda</v>
      </c>
      <c r="V2415" s="33">
        <f>IFERROR(__xludf.DUMMYFUNCTION("""COMPUTED_VALUE"""),0.75)</f>
        <v>0.75</v>
      </c>
      <c r="W2415" s="4" t="str">
        <f>IFERROR(__xludf.DUMMYFUNCTION("""COMPUTED_VALUE"""),"Agilizup Solucoes Ltda")</f>
        <v>Agilizup Solucoes Ltda</v>
      </c>
      <c r="X2415" s="33">
        <f>IFERROR(__xludf.DUMMYFUNCTION("""COMPUTED_VALUE"""),0.5)</f>
        <v>0.5</v>
      </c>
    </row>
    <row r="2416">
      <c r="K2416" s="4" t="str">
        <f>IFERROR(__xludf.DUMMYFUNCTION("""COMPUTED_VALUE"""),"LEITAO DE GRAVA")</f>
        <v>LEITAO DE GRAVA</v>
      </c>
      <c r="L2416" s="32">
        <f>IFERROR(__xludf.DUMMYFUNCTION("""COMPUTED_VALUE"""),4.0)</f>
        <v>4</v>
      </c>
      <c r="M2416" s="4" t="str">
        <f>IFERROR(__xludf.DUMMYFUNCTION("""COMPUTED_VALUE"""),"Saipos Serviços De Software")</f>
        <v>Saipos Serviços De Software</v>
      </c>
      <c r="N2416" s="33">
        <f>IFERROR(__xludf.DUMMYFUNCTION("""COMPUTED_VALUE"""),1.0)</f>
        <v>1</v>
      </c>
      <c r="O2416" s="4" t="str">
        <f>IFERROR(__xludf.DUMMYFUNCTION("""COMPUTED_VALUE"""),"Saipos Serviços De Software")</f>
        <v>Saipos Serviços De Software</v>
      </c>
      <c r="P2416" s="33">
        <f>IFERROR(__xludf.DUMMYFUNCTION("""COMPUTED_VALUE"""),1.0)</f>
        <v>1</v>
      </c>
      <c r="Q2416" s="4" t="str">
        <f>IFERROR(__xludf.DUMMYFUNCTION("""COMPUTED_VALUE"""),"Saipos Serviços De Software")</f>
        <v>Saipos Serviços De Software</v>
      </c>
      <c r="R2416" s="33">
        <f>IFERROR(__xludf.DUMMYFUNCTION("""COMPUTED_VALUE"""),1.0)</f>
        <v>1</v>
      </c>
      <c r="S2416" s="4" t="str">
        <f>IFERROR(__xludf.DUMMYFUNCTION("""COMPUTED_VALUE"""),"Saipos Serviços De Software")</f>
        <v>Saipos Serviços De Software</v>
      </c>
      <c r="T2416" s="33">
        <f>IFERROR(__xludf.DUMMYFUNCTION("""COMPUTED_VALUE"""),1.0)</f>
        <v>1</v>
      </c>
      <c r="U2416" s="4" t="str">
        <f>IFERROR(__xludf.DUMMYFUNCTION("""COMPUTED_VALUE"""),"Saipos Serviços De Software")</f>
        <v>Saipos Serviços De Software</v>
      </c>
      <c r="V2416" s="33">
        <f>IFERROR(__xludf.DUMMYFUNCTION("""COMPUTED_VALUE"""),1.0)</f>
        <v>1</v>
      </c>
      <c r="W2416" s="4" t="str">
        <f>IFERROR(__xludf.DUMMYFUNCTION("""COMPUTED_VALUE"""),"Saipos Serviços De Software")</f>
        <v>Saipos Serviços De Software</v>
      </c>
      <c r="X2416" s="33">
        <f>IFERROR(__xludf.DUMMYFUNCTION("""COMPUTED_VALUE"""),1.0)</f>
        <v>1</v>
      </c>
    </row>
    <row r="2417">
      <c r="K2417" s="4" t="str">
        <f>IFERROR(__xludf.DUMMYFUNCTION("""COMPUTED_VALUE"""),"LEITERIA 639")</f>
        <v>LEITERIA 639</v>
      </c>
      <c r="L2417" s="32">
        <f>IFERROR(__xludf.DUMMYFUNCTION("""COMPUTED_VALUE"""),4.0)</f>
        <v>4</v>
      </c>
      <c r="M2417" s="4" t="str">
        <f>IFERROR(__xludf.DUMMYFUNCTION("""COMPUTED_VALUE"""),"null")</f>
        <v>null</v>
      </c>
      <c r="N2417" s="33">
        <f>IFERROR(__xludf.DUMMYFUNCTION("""COMPUTED_VALUE"""),0.5)</f>
        <v>0.5</v>
      </c>
      <c r="O2417" s="4" t="str">
        <f>IFERROR(__xludf.DUMMYFUNCTION("""COMPUTED_VALUE"""),"null")</f>
        <v>null</v>
      </c>
      <c r="P2417" s="33">
        <f>IFERROR(__xludf.DUMMYFUNCTION("""COMPUTED_VALUE"""),0.5)</f>
        <v>0.5</v>
      </c>
      <c r="Q2417" s="4" t="str">
        <f>IFERROR(__xludf.DUMMYFUNCTION("""COMPUTED_VALUE"""),"Dalcatech Automacao E Desenvolvimento De Software Ltda")</f>
        <v>Dalcatech Automacao E Desenvolvimento De Software Ltda</v>
      </c>
      <c r="R2417" s="33">
        <f>IFERROR(__xludf.DUMMYFUNCTION("""COMPUTED_VALUE"""),1.0)</f>
        <v>1</v>
      </c>
      <c r="S2417" s="4" t="str">
        <f>IFERROR(__xludf.DUMMYFUNCTION("""COMPUTED_VALUE"""),"null")</f>
        <v>null</v>
      </c>
      <c r="T2417" s="33">
        <f>IFERROR(__xludf.DUMMYFUNCTION("""COMPUTED_VALUE"""),0.5)</f>
        <v>0.5</v>
      </c>
      <c r="U2417" s="4" t="str">
        <f>IFERROR(__xludf.DUMMYFUNCTION("""COMPUTED_VALUE"""),"null")</f>
        <v>null</v>
      </c>
      <c r="V2417" s="33">
        <f>IFERROR(__xludf.DUMMYFUNCTION("""COMPUTED_VALUE"""),0.5)</f>
        <v>0.5</v>
      </c>
      <c r="W2417" s="4" t="str">
        <f>IFERROR(__xludf.DUMMYFUNCTION("""COMPUTED_VALUE"""),"null")</f>
        <v>null</v>
      </c>
      <c r="X2417" s="33">
        <f>IFERROR(__xludf.DUMMYFUNCTION("""COMPUTED_VALUE"""),0.5)</f>
        <v>0.5</v>
      </c>
    </row>
    <row r="2418">
      <c r="K2418" s="4" t="str">
        <f>IFERROR(__xludf.DUMMYFUNCTION("""COMPUTED_VALUE"""),"LEOFARMA - CONTA MARCA")</f>
        <v>LEOFARMA - CONTA MARCA</v>
      </c>
      <c r="L2418" s="32">
        <f>IFERROR(__xludf.DUMMYFUNCTION("""COMPUTED_VALUE"""),4.0)</f>
        <v>4</v>
      </c>
      <c r="M2418" s="4" t="str">
        <f>IFERROR(__xludf.DUMMYFUNCTION("""COMPUTED_VALUE"""),"null")</f>
        <v>null</v>
      </c>
      <c r="N2418" s="33">
        <f>IFERROR(__xludf.DUMMYFUNCTION("""COMPUTED_VALUE"""),1.0)</f>
        <v>1</v>
      </c>
      <c r="O2418" s="4" t="str">
        <f>IFERROR(__xludf.DUMMYFUNCTION("""COMPUTED_VALUE"""),"null")</f>
        <v>null</v>
      </c>
      <c r="P2418" s="33">
        <f>IFERROR(__xludf.DUMMYFUNCTION("""COMPUTED_VALUE"""),1.0)</f>
        <v>1</v>
      </c>
      <c r="Q2418" s="4" t="str">
        <f>IFERROR(__xludf.DUMMYFUNCTION("""COMPUTED_VALUE"""),"N/A (Not found)")</f>
        <v>N/A (Not found)</v>
      </c>
      <c r="R2418" s="33">
        <f>IFERROR(__xludf.DUMMYFUNCTION("""COMPUTED_VALUE"""),1.0)</f>
        <v>1</v>
      </c>
      <c r="S2418" s="4" t="str">
        <f>IFERROR(__xludf.DUMMYFUNCTION("""COMPUTED_VALUE"""),"N/A (Not found)")</f>
        <v>N/A (Not found)</v>
      </c>
      <c r="T2418" s="33">
        <f>IFERROR(__xludf.DUMMYFUNCTION("""COMPUTED_VALUE"""),1.0)</f>
        <v>1</v>
      </c>
      <c r="U2418" s="4" t="str">
        <f>IFERROR(__xludf.DUMMYFUNCTION("""COMPUTED_VALUE"""),"N/A (Not found)")</f>
        <v>N/A (Not found)</v>
      </c>
      <c r="V2418" s="33">
        <f>IFERROR(__xludf.DUMMYFUNCTION("""COMPUTED_VALUE"""),1.0)</f>
        <v>1</v>
      </c>
      <c r="W2418" s="4" t="str">
        <f>IFERROR(__xludf.DUMMYFUNCTION("""COMPUTED_VALUE"""),"N/A (Not found)")</f>
        <v>N/A (Not found)</v>
      </c>
      <c r="X2418" s="33">
        <f>IFERROR(__xludf.DUMMYFUNCTION("""COMPUTED_VALUE"""),1.0)</f>
        <v>1</v>
      </c>
    </row>
    <row r="2419">
      <c r="K2419" s="4" t="str">
        <f>IFERROR(__xludf.DUMMYFUNCTION("""COMPUTED_VALUE"""),"LETS COOKIES - BOULEVARD")</f>
        <v>LETS COOKIES - BOULEVARD</v>
      </c>
      <c r="L2419" s="32">
        <f>IFERROR(__xludf.DUMMYFUNCTION("""COMPUTED_VALUE"""),4.0)</f>
        <v>4</v>
      </c>
      <c r="M2419" s="4" t="str">
        <f>IFERROR(__xludf.DUMMYFUNCTION("""COMPUTED_VALUE"""),"Saipos Serviços De Software")</f>
        <v>Saipos Serviços De Software</v>
      </c>
      <c r="N2419" s="33">
        <f>IFERROR(__xludf.DUMMYFUNCTION("""COMPUTED_VALUE"""),1.0)</f>
        <v>1</v>
      </c>
      <c r="O2419" s="4" t="str">
        <f>IFERROR(__xludf.DUMMYFUNCTION("""COMPUTED_VALUE"""),"Saipos Serviços De Software")</f>
        <v>Saipos Serviços De Software</v>
      </c>
      <c r="P2419" s="33">
        <f>IFERROR(__xludf.DUMMYFUNCTION("""COMPUTED_VALUE"""),1.0)</f>
        <v>1</v>
      </c>
      <c r="Q2419" s="4" t="str">
        <f>IFERROR(__xludf.DUMMYFUNCTION("""COMPUTED_VALUE"""),"Saipos Serviços De Software")</f>
        <v>Saipos Serviços De Software</v>
      </c>
      <c r="R2419" s="33">
        <f>IFERROR(__xludf.DUMMYFUNCTION("""COMPUTED_VALUE"""),1.0)</f>
        <v>1</v>
      </c>
      <c r="S2419" s="4" t="str">
        <f>IFERROR(__xludf.DUMMYFUNCTION("""COMPUTED_VALUE"""),"Saipos Serviços De Software")</f>
        <v>Saipos Serviços De Software</v>
      </c>
      <c r="T2419" s="33">
        <f>IFERROR(__xludf.DUMMYFUNCTION("""COMPUTED_VALUE"""),1.0)</f>
        <v>1</v>
      </c>
      <c r="U2419" s="4" t="str">
        <f>IFERROR(__xludf.DUMMYFUNCTION("""COMPUTED_VALUE"""),"Saipos Serviços De Software")</f>
        <v>Saipos Serviços De Software</v>
      </c>
      <c r="V2419" s="33">
        <f>IFERROR(__xludf.DUMMYFUNCTION("""COMPUTED_VALUE"""),1.0)</f>
        <v>1</v>
      </c>
      <c r="W2419" s="4" t="str">
        <f>IFERROR(__xludf.DUMMYFUNCTION("""COMPUTED_VALUE"""),"Saipos Serviços De Software")</f>
        <v>Saipos Serviços De Software</v>
      </c>
      <c r="X2419" s="33">
        <f>IFERROR(__xludf.DUMMYFUNCTION("""COMPUTED_VALUE"""),1.0)</f>
        <v>1</v>
      </c>
    </row>
    <row r="2420">
      <c r="K2420" s="4" t="str">
        <f>IFERROR(__xludf.DUMMYFUNCTION("""COMPUTED_VALUE"""),"LIMAO SICILIANO")</f>
        <v>LIMAO SICILIANO</v>
      </c>
      <c r="L2420" s="32">
        <f>IFERROR(__xludf.DUMMYFUNCTION("""COMPUTED_VALUE"""),4.0)</f>
        <v>4</v>
      </c>
      <c r="M2420" s="4" t="str">
        <f>IFERROR(__xludf.DUMMYFUNCTION("""COMPUTED_VALUE"""),"Saipos Serviços De Software")</f>
        <v>Saipos Serviços De Software</v>
      </c>
      <c r="N2420" s="33">
        <f>IFERROR(__xludf.DUMMYFUNCTION("""COMPUTED_VALUE"""),0.75)</f>
        <v>0.75</v>
      </c>
      <c r="O2420" s="4" t="str">
        <f>IFERROR(__xludf.DUMMYFUNCTION("""COMPUTED_VALUE"""),"Saipos Serviços De Software")</f>
        <v>Saipos Serviços De Software</v>
      </c>
      <c r="P2420" s="33">
        <f>IFERROR(__xludf.DUMMYFUNCTION("""COMPUTED_VALUE"""),0.75)</f>
        <v>0.75</v>
      </c>
      <c r="Q2420" s="4" t="str">
        <f>IFERROR(__xludf.DUMMYFUNCTION("""COMPUTED_VALUE"""),"Saipos Serviços De Software")</f>
        <v>Saipos Serviços De Software</v>
      </c>
      <c r="R2420" s="33">
        <f>IFERROR(__xludf.DUMMYFUNCTION("""COMPUTED_VALUE"""),0.75)</f>
        <v>0.75</v>
      </c>
      <c r="S2420" s="4" t="str">
        <f>IFERROR(__xludf.DUMMYFUNCTION("""COMPUTED_VALUE"""),"Saipos Serviços De Software")</f>
        <v>Saipos Serviços De Software</v>
      </c>
      <c r="T2420" s="33">
        <f>IFERROR(__xludf.DUMMYFUNCTION("""COMPUTED_VALUE"""),1.0)</f>
        <v>1</v>
      </c>
      <c r="U2420" s="4" t="str">
        <f>IFERROR(__xludf.DUMMYFUNCTION("""COMPUTED_VALUE"""),"Saipos Serviços De Software")</f>
        <v>Saipos Serviços De Software</v>
      </c>
      <c r="V2420" s="33">
        <f>IFERROR(__xludf.DUMMYFUNCTION("""COMPUTED_VALUE"""),1.0)</f>
        <v>1</v>
      </c>
      <c r="W2420" s="4" t="str">
        <f>IFERROR(__xludf.DUMMYFUNCTION("""COMPUTED_VALUE"""),"Saipos Serviços De Software")</f>
        <v>Saipos Serviços De Software</v>
      </c>
      <c r="X2420" s="33">
        <f>IFERROR(__xludf.DUMMYFUNCTION("""COMPUTED_VALUE"""),1.0)</f>
        <v>1</v>
      </c>
    </row>
    <row r="2421">
      <c r="K2421" s="4" t="str">
        <f>IFERROR(__xludf.DUMMYFUNCTION("""COMPUTED_VALUE"""),"LINA CONTA PAI")</f>
        <v>LINA CONTA PAI</v>
      </c>
      <c r="L2421" s="32">
        <f>IFERROR(__xludf.DUMMYFUNCTION("""COMPUTED_VALUE"""),4.0)</f>
        <v>4</v>
      </c>
      <c r="M2421" s="4" t="str">
        <f>IFERROR(__xludf.DUMMYFUNCTION("""COMPUTED_VALUE"""),"Ncr")</f>
        <v>Ncr</v>
      </c>
      <c r="N2421" s="33">
        <f>IFERROR(__xludf.DUMMYFUNCTION("""COMPUTED_VALUE"""),0.5)</f>
        <v>0.5</v>
      </c>
      <c r="O2421" s="4" t="str">
        <f>IFERROR(__xludf.DUMMYFUNCTION("""COMPUTED_VALUE"""),"Ncr")</f>
        <v>Ncr</v>
      </c>
      <c r="P2421" s="33">
        <f>IFERROR(__xludf.DUMMYFUNCTION("""COMPUTED_VALUE"""),0.75)</f>
        <v>0.75</v>
      </c>
      <c r="Q2421" s="4" t="str">
        <f>IFERROR(__xludf.DUMMYFUNCTION("""COMPUTED_VALUE"""),"Saipos Serviços De Software")</f>
        <v>Saipos Serviços De Software</v>
      </c>
      <c r="R2421" s="33">
        <f>IFERROR(__xludf.DUMMYFUNCTION("""COMPUTED_VALUE"""),0.5)</f>
        <v>0.5</v>
      </c>
      <c r="S2421" s="4" t="str">
        <f>IFERROR(__xludf.DUMMYFUNCTION("""COMPUTED_VALUE"""),"Saipos Serviços De Software")</f>
        <v>Saipos Serviços De Software</v>
      </c>
      <c r="T2421" s="33">
        <f>IFERROR(__xludf.DUMMYFUNCTION("""COMPUTED_VALUE"""),0.75)</f>
        <v>0.75</v>
      </c>
      <c r="U2421" s="4" t="str">
        <f>IFERROR(__xludf.DUMMYFUNCTION("""COMPUTED_VALUE"""),"Saipos Serviços De Software")</f>
        <v>Saipos Serviços De Software</v>
      </c>
      <c r="V2421" s="33">
        <f>IFERROR(__xludf.DUMMYFUNCTION("""COMPUTED_VALUE"""),0.75)</f>
        <v>0.75</v>
      </c>
      <c r="W2421" s="4" t="str">
        <f>IFERROR(__xludf.DUMMYFUNCTION("""COMPUTED_VALUE"""),"Saipos Serviços De Software")</f>
        <v>Saipos Serviços De Software</v>
      </c>
      <c r="X2421" s="33">
        <f>IFERROR(__xludf.DUMMYFUNCTION("""COMPUTED_VALUE"""),1.0)</f>
        <v>1</v>
      </c>
    </row>
    <row r="2422">
      <c r="K2422" s="4" t="str">
        <f>IFERROR(__xludf.DUMMYFUNCTION("""COMPUTED_VALUE"""),"LIP - PIZZAS MASSAS - CONTA PAI")</f>
        <v>LIP - PIZZAS MASSAS - CONTA PAI</v>
      </c>
      <c r="L2422" s="32">
        <f>IFERROR(__xludf.DUMMYFUNCTION("""COMPUTED_VALUE"""),4.0)</f>
        <v>4</v>
      </c>
      <c r="M2422" s="4" t="str">
        <f>IFERROR(__xludf.DUMMYFUNCTION("""COMPUTED_VALUE"""),"Izzy Way Tecnologia")</f>
        <v>Izzy Way Tecnologia</v>
      </c>
      <c r="N2422" s="33">
        <f>IFERROR(__xludf.DUMMYFUNCTION("""COMPUTED_VALUE"""),0.75)</f>
        <v>0.75</v>
      </c>
      <c r="O2422" s="4" t="str">
        <f>IFERROR(__xludf.DUMMYFUNCTION("""COMPUTED_VALUE"""),"Izzy Way Tecnologia")</f>
        <v>Izzy Way Tecnologia</v>
      </c>
      <c r="P2422" s="33">
        <f>IFERROR(__xludf.DUMMYFUNCTION("""COMPUTED_VALUE"""),0.75)</f>
        <v>0.75</v>
      </c>
      <c r="Q2422" s="4" t="str">
        <f>IFERROR(__xludf.DUMMYFUNCTION("""COMPUTED_VALUE"""),"Izzy Way Tecnologia")</f>
        <v>Izzy Way Tecnologia</v>
      </c>
      <c r="R2422" s="33">
        <f>IFERROR(__xludf.DUMMYFUNCTION("""COMPUTED_VALUE"""),0.75)</f>
        <v>0.75</v>
      </c>
      <c r="S2422" s="4" t="str">
        <f>IFERROR(__xludf.DUMMYFUNCTION("""COMPUTED_VALUE"""),"Izzy Way Tecnologia")</f>
        <v>Izzy Way Tecnologia</v>
      </c>
      <c r="T2422" s="33">
        <f>IFERROR(__xludf.DUMMYFUNCTION("""COMPUTED_VALUE"""),0.75)</f>
        <v>0.75</v>
      </c>
      <c r="U2422" s="4" t="str">
        <f>IFERROR(__xludf.DUMMYFUNCTION("""COMPUTED_VALUE"""),"Izzy Way Tecnologia")</f>
        <v>Izzy Way Tecnologia</v>
      </c>
      <c r="V2422" s="33">
        <f>IFERROR(__xludf.DUMMYFUNCTION("""COMPUTED_VALUE"""),0.75)</f>
        <v>0.75</v>
      </c>
      <c r="W2422" s="4" t="str">
        <f>IFERROR(__xludf.DUMMYFUNCTION("""COMPUTED_VALUE"""),"Izzy Way Tecnologia")</f>
        <v>Izzy Way Tecnologia</v>
      </c>
      <c r="X2422" s="33">
        <f>IFERROR(__xludf.DUMMYFUNCTION("""COMPUTED_VALUE"""),0.75)</f>
        <v>0.75</v>
      </c>
    </row>
    <row r="2423">
      <c r="K2423" s="4" t="str">
        <f>IFERROR(__xludf.DUMMYFUNCTION("""COMPUTED_VALUE"""),"LOREAL - MARCA")</f>
        <v>LOREAL - MARCA</v>
      </c>
      <c r="L2423" s="32">
        <f>IFERROR(__xludf.DUMMYFUNCTION("""COMPUTED_VALUE"""),4.0)</f>
        <v>4</v>
      </c>
      <c r="M2423" s="4" t="str">
        <f>IFERROR(__xludf.DUMMYFUNCTION("""COMPUTED_VALUE"""),"N/A (Not found)")</f>
        <v>N/A (Not found)</v>
      </c>
      <c r="N2423" s="33">
        <f>IFERROR(__xludf.DUMMYFUNCTION("""COMPUTED_VALUE"""),0.75)</f>
        <v>0.75</v>
      </c>
      <c r="O2423" s="4" t="str">
        <f>IFERROR(__xludf.DUMMYFUNCTION("""COMPUTED_VALUE"""),"N/A (Not found)")</f>
        <v>N/A (Not found)</v>
      </c>
      <c r="P2423" s="33">
        <f>IFERROR(__xludf.DUMMYFUNCTION("""COMPUTED_VALUE"""),1.0)</f>
        <v>1</v>
      </c>
      <c r="Q2423" s="4" t="str">
        <f>IFERROR(__xludf.DUMMYFUNCTION("""COMPUTED_VALUE"""),"N/A (Not found)")</f>
        <v>N/A (Not found)</v>
      </c>
      <c r="R2423" s="33">
        <f>IFERROR(__xludf.DUMMYFUNCTION("""COMPUTED_VALUE"""),1.0)</f>
        <v>1</v>
      </c>
      <c r="S2423" s="4" t="str">
        <f>IFERROR(__xludf.DUMMYFUNCTION("""COMPUTED_VALUE"""),"N/A (Not found)")</f>
        <v>N/A (Not found)</v>
      </c>
      <c r="T2423" s="33">
        <f>IFERROR(__xludf.DUMMYFUNCTION("""COMPUTED_VALUE"""),1.0)</f>
        <v>1</v>
      </c>
      <c r="U2423" s="4" t="str">
        <f>IFERROR(__xludf.DUMMYFUNCTION("""COMPUTED_VALUE"""),"N/A (Not found)")</f>
        <v>N/A (Not found)</v>
      </c>
      <c r="V2423" s="33">
        <f>IFERROR(__xludf.DUMMYFUNCTION("""COMPUTED_VALUE"""),1.0)</f>
        <v>1</v>
      </c>
      <c r="W2423" s="4" t="str">
        <f>IFERROR(__xludf.DUMMYFUNCTION("""COMPUTED_VALUE"""),"N/A (Not found)")</f>
        <v>N/A (Not found)</v>
      </c>
      <c r="X2423" s="33">
        <f>IFERROR(__xludf.DUMMYFUNCTION("""COMPUTED_VALUE"""),0.75)</f>
        <v>0.75</v>
      </c>
    </row>
    <row r="2424">
      <c r="K2424" s="4" t="str">
        <f>IFERROR(__xludf.DUMMYFUNCTION("""COMPUTED_VALUE"""),"MADO BURGER")</f>
        <v>MADO BURGER</v>
      </c>
      <c r="L2424" s="32">
        <f>IFERROR(__xludf.DUMMYFUNCTION("""COMPUTED_VALUE"""),4.0)</f>
        <v>4</v>
      </c>
      <c r="M2424" s="4" t="str">
        <f>IFERROR(__xludf.DUMMYFUNCTION("""COMPUTED_VALUE"""),"Eclética Tecnologia")</f>
        <v>Eclética Tecnologia</v>
      </c>
      <c r="N2424" s="33">
        <f>IFERROR(__xludf.DUMMYFUNCTION("""COMPUTED_VALUE"""),1.0)</f>
        <v>1</v>
      </c>
      <c r="O2424" s="4" t="str">
        <f>IFERROR(__xludf.DUMMYFUNCTION("""COMPUTED_VALUE"""),"Eclética Tecnologia")</f>
        <v>Eclética Tecnologia</v>
      </c>
      <c r="P2424" s="33">
        <f>IFERROR(__xludf.DUMMYFUNCTION("""COMPUTED_VALUE"""),1.0)</f>
        <v>1</v>
      </c>
      <c r="Q2424" s="4" t="str">
        <f>IFERROR(__xludf.DUMMYFUNCTION("""COMPUTED_VALUE"""),"Eclética Tecnologia")</f>
        <v>Eclética Tecnologia</v>
      </c>
      <c r="R2424" s="33">
        <f>IFERROR(__xludf.DUMMYFUNCTION("""COMPUTED_VALUE"""),1.0)</f>
        <v>1</v>
      </c>
      <c r="S2424" s="4" t="str">
        <f>IFERROR(__xludf.DUMMYFUNCTION("""COMPUTED_VALUE"""),"Eclética Tecnologia")</f>
        <v>Eclética Tecnologia</v>
      </c>
      <c r="T2424" s="33">
        <f>IFERROR(__xludf.DUMMYFUNCTION("""COMPUTED_VALUE"""),1.0)</f>
        <v>1</v>
      </c>
      <c r="U2424" s="4" t="str">
        <f>IFERROR(__xludf.DUMMYFUNCTION("""COMPUTED_VALUE"""),"Eclética Tecnologia")</f>
        <v>Eclética Tecnologia</v>
      </c>
      <c r="V2424" s="33">
        <f>IFERROR(__xludf.DUMMYFUNCTION("""COMPUTED_VALUE"""),1.0)</f>
        <v>1</v>
      </c>
      <c r="W2424" s="4" t="str">
        <f>IFERROR(__xludf.DUMMYFUNCTION("""COMPUTED_VALUE"""),"Eclética Tecnologia")</f>
        <v>Eclética Tecnologia</v>
      </c>
      <c r="X2424" s="33">
        <f>IFERROR(__xludf.DUMMYFUNCTION("""COMPUTED_VALUE"""),1.0)</f>
        <v>1</v>
      </c>
    </row>
    <row r="2425">
      <c r="K2425" s="4" t="str">
        <f>IFERROR(__xludf.DUMMYFUNCTION("""COMPUTED_VALUE"""),"MAGIC CHICKEN")</f>
        <v>MAGIC CHICKEN</v>
      </c>
      <c r="L2425" s="32">
        <f>IFERROR(__xludf.DUMMYFUNCTION("""COMPUTED_VALUE"""),4.0)</f>
        <v>4</v>
      </c>
      <c r="M2425" s="4" t="str">
        <f>IFERROR(__xludf.DUMMYFUNCTION("""COMPUTED_VALUE"""),"Proabakus Desenvolvimento De Sistemas Ltda")</f>
        <v>Proabakus Desenvolvimento De Sistemas Ltda</v>
      </c>
      <c r="N2425" s="33">
        <f>IFERROR(__xludf.DUMMYFUNCTION("""COMPUTED_VALUE"""),1.0)</f>
        <v>1</v>
      </c>
      <c r="O2425" s="4" t="str">
        <f>IFERROR(__xludf.DUMMYFUNCTION("""COMPUTED_VALUE"""),"Proabakus Desenvolvimento De Sistemas Ltda")</f>
        <v>Proabakus Desenvolvimento De Sistemas Ltda</v>
      </c>
      <c r="P2425" s="33">
        <f>IFERROR(__xludf.DUMMYFUNCTION("""COMPUTED_VALUE"""),1.0)</f>
        <v>1</v>
      </c>
      <c r="Q2425" s="4" t="str">
        <f>IFERROR(__xludf.DUMMYFUNCTION("""COMPUTED_VALUE"""),"Proabakus Desenvolvimento De Sistemas Ltda")</f>
        <v>Proabakus Desenvolvimento De Sistemas Ltda</v>
      </c>
      <c r="R2425" s="33">
        <f>IFERROR(__xludf.DUMMYFUNCTION("""COMPUTED_VALUE"""),0.5)</f>
        <v>0.5</v>
      </c>
      <c r="S2425" s="4" t="str">
        <f>IFERROR(__xludf.DUMMYFUNCTION("""COMPUTED_VALUE"""),"Proabakus Desenvolvimento De Sistemas Ltda")</f>
        <v>Proabakus Desenvolvimento De Sistemas Ltda</v>
      </c>
      <c r="T2425" s="33">
        <f>IFERROR(__xludf.DUMMYFUNCTION("""COMPUTED_VALUE"""),0.75)</f>
        <v>0.75</v>
      </c>
      <c r="U2425" s="4" t="str">
        <f>IFERROR(__xludf.DUMMYFUNCTION("""COMPUTED_VALUE"""),"null")</f>
        <v>null</v>
      </c>
      <c r="V2425" s="33">
        <f>IFERROR(__xludf.DUMMYFUNCTION("""COMPUTED_VALUE"""),0.75)</f>
        <v>0.75</v>
      </c>
      <c r="W2425" s="4" t="str">
        <f>IFERROR(__xludf.DUMMYFUNCTION("""COMPUTED_VALUE"""),"Proabakus Desenvolvimento De Sistemas Ltda")</f>
        <v>Proabakus Desenvolvimento De Sistemas Ltda</v>
      </c>
      <c r="X2425" s="33">
        <f>IFERROR(__xludf.DUMMYFUNCTION("""COMPUTED_VALUE"""),1.0)</f>
        <v>1</v>
      </c>
    </row>
    <row r="2426">
      <c r="K2426" s="4" t="str">
        <f>IFERROR(__xludf.DUMMYFUNCTION("""COMPUTED_VALUE"""),"MAGURO SUSHI")</f>
        <v>MAGURO SUSHI</v>
      </c>
      <c r="L2426" s="32">
        <f>IFERROR(__xludf.DUMMYFUNCTION("""COMPUTED_VALUE"""),4.0)</f>
        <v>4</v>
      </c>
      <c r="M2426" s="4" t="str">
        <f>IFERROR(__xludf.DUMMYFUNCTION("""COMPUTED_VALUE"""),"Saipos Serviços De Software")</f>
        <v>Saipos Serviços De Software</v>
      </c>
      <c r="N2426" s="33">
        <f>IFERROR(__xludf.DUMMYFUNCTION("""COMPUTED_VALUE"""),1.0)</f>
        <v>1</v>
      </c>
      <c r="O2426" s="4" t="str">
        <f>IFERROR(__xludf.DUMMYFUNCTION("""COMPUTED_VALUE"""),"Saipos Serviços De Software")</f>
        <v>Saipos Serviços De Software</v>
      </c>
      <c r="P2426" s="33">
        <f>IFERROR(__xludf.DUMMYFUNCTION("""COMPUTED_VALUE"""),1.0)</f>
        <v>1</v>
      </c>
      <c r="Q2426" s="4" t="str">
        <f>IFERROR(__xludf.DUMMYFUNCTION("""COMPUTED_VALUE"""),"Saipos Serviços De Software")</f>
        <v>Saipos Serviços De Software</v>
      </c>
      <c r="R2426" s="33">
        <f>IFERROR(__xludf.DUMMYFUNCTION("""COMPUTED_VALUE"""),1.0)</f>
        <v>1</v>
      </c>
      <c r="S2426" s="4" t="str">
        <f>IFERROR(__xludf.DUMMYFUNCTION("""COMPUTED_VALUE"""),"Saipos Serviços De Software")</f>
        <v>Saipos Serviços De Software</v>
      </c>
      <c r="T2426" s="33">
        <f>IFERROR(__xludf.DUMMYFUNCTION("""COMPUTED_VALUE"""),1.0)</f>
        <v>1</v>
      </c>
      <c r="U2426" s="4" t="str">
        <f>IFERROR(__xludf.DUMMYFUNCTION("""COMPUTED_VALUE"""),"Saipos Serviços De Software")</f>
        <v>Saipos Serviços De Software</v>
      </c>
      <c r="V2426" s="33">
        <f>IFERROR(__xludf.DUMMYFUNCTION("""COMPUTED_VALUE"""),1.0)</f>
        <v>1</v>
      </c>
      <c r="W2426" s="4" t="str">
        <f>IFERROR(__xludf.DUMMYFUNCTION("""COMPUTED_VALUE"""),"Saipos Serviços De Software")</f>
        <v>Saipos Serviços De Software</v>
      </c>
      <c r="X2426" s="33">
        <f>IFERROR(__xludf.DUMMYFUNCTION("""COMPUTED_VALUE"""),1.0)</f>
        <v>1</v>
      </c>
    </row>
    <row r="2427">
      <c r="K2427" s="4" t="str">
        <f>IFERROR(__xludf.DUMMYFUNCTION("""COMPUTED_VALUE"""),"MAHAI ES - CONTA MARCA")</f>
        <v>MAHAI ES - CONTA MARCA</v>
      </c>
      <c r="L2427" s="32">
        <f>IFERROR(__xludf.DUMMYFUNCTION("""COMPUTED_VALUE"""),4.0)</f>
        <v>4</v>
      </c>
      <c r="M2427" s="4" t="str">
        <f>IFERROR(__xludf.DUMMYFUNCTION("""COMPUTED_VALUE"""),"Cloudfy")</f>
        <v>Cloudfy</v>
      </c>
      <c r="N2427" s="33">
        <f>IFERROR(__xludf.DUMMYFUNCTION("""COMPUTED_VALUE"""),1.0)</f>
        <v>1</v>
      </c>
      <c r="O2427" s="4" t="str">
        <f>IFERROR(__xludf.DUMMYFUNCTION("""COMPUTED_VALUE"""),"Cloudfy")</f>
        <v>Cloudfy</v>
      </c>
      <c r="P2427" s="33">
        <f>IFERROR(__xludf.DUMMYFUNCTION("""COMPUTED_VALUE"""),1.0)</f>
        <v>1</v>
      </c>
      <c r="Q2427" s="4" t="str">
        <f>IFERROR(__xludf.DUMMYFUNCTION("""COMPUTED_VALUE"""),"Cloudfy")</f>
        <v>Cloudfy</v>
      </c>
      <c r="R2427" s="33">
        <f>IFERROR(__xludf.DUMMYFUNCTION("""COMPUTED_VALUE"""),1.0)</f>
        <v>1</v>
      </c>
      <c r="S2427" s="4" t="str">
        <f>IFERROR(__xludf.DUMMYFUNCTION("""COMPUTED_VALUE"""),"Cloudfy")</f>
        <v>Cloudfy</v>
      </c>
      <c r="T2427" s="33">
        <f>IFERROR(__xludf.DUMMYFUNCTION("""COMPUTED_VALUE"""),1.0)</f>
        <v>1</v>
      </c>
      <c r="U2427" s="4" t="str">
        <f>IFERROR(__xludf.DUMMYFUNCTION("""COMPUTED_VALUE"""),"Cloudfy")</f>
        <v>Cloudfy</v>
      </c>
      <c r="V2427" s="33">
        <f>IFERROR(__xludf.DUMMYFUNCTION("""COMPUTED_VALUE"""),1.0)</f>
        <v>1</v>
      </c>
      <c r="W2427" s="4" t="str">
        <f>IFERROR(__xludf.DUMMYFUNCTION("""COMPUTED_VALUE"""),"Cloudfy")</f>
        <v>Cloudfy</v>
      </c>
      <c r="X2427" s="33">
        <f>IFERROR(__xludf.DUMMYFUNCTION("""COMPUTED_VALUE"""),1.0)</f>
        <v>1</v>
      </c>
    </row>
    <row r="2428">
      <c r="K2428" s="4" t="str">
        <f>IFERROR(__xludf.DUMMYFUNCTION("""COMPUTED_VALUE"""),"MAMMA MIA PARMEGIANAS")</f>
        <v>MAMMA MIA PARMEGIANAS</v>
      </c>
      <c r="L2428" s="32">
        <f>IFERROR(__xludf.DUMMYFUNCTION("""COMPUTED_VALUE"""),4.0)</f>
        <v>4</v>
      </c>
      <c r="M2428" s="4" t="str">
        <f>IFERROR(__xludf.DUMMYFUNCTION("""COMPUTED_VALUE"""),"Cardápio Web")</f>
        <v>Cardápio Web</v>
      </c>
      <c r="N2428" s="33">
        <f>IFERROR(__xludf.DUMMYFUNCTION("""COMPUTED_VALUE"""),1.0)</f>
        <v>1</v>
      </c>
      <c r="O2428" s="4" t="str">
        <f>IFERROR(__xludf.DUMMYFUNCTION("""COMPUTED_VALUE"""),"Cardápio Web")</f>
        <v>Cardápio Web</v>
      </c>
      <c r="P2428" s="33">
        <f>IFERROR(__xludf.DUMMYFUNCTION("""COMPUTED_VALUE"""),1.0)</f>
        <v>1</v>
      </c>
      <c r="Q2428" s="4" t="str">
        <f>IFERROR(__xludf.DUMMYFUNCTION("""COMPUTED_VALUE"""),"Cardápio Web")</f>
        <v>Cardápio Web</v>
      </c>
      <c r="R2428" s="33">
        <f>IFERROR(__xludf.DUMMYFUNCTION("""COMPUTED_VALUE"""),1.0)</f>
        <v>1</v>
      </c>
      <c r="S2428" s="4" t="str">
        <f>IFERROR(__xludf.DUMMYFUNCTION("""COMPUTED_VALUE"""),"Cardápio Web")</f>
        <v>Cardápio Web</v>
      </c>
      <c r="T2428" s="33">
        <f>IFERROR(__xludf.DUMMYFUNCTION("""COMPUTED_VALUE"""),1.0)</f>
        <v>1</v>
      </c>
      <c r="U2428" s="4" t="str">
        <f>IFERROR(__xludf.DUMMYFUNCTION("""COMPUTED_VALUE"""),"Cardápio Web")</f>
        <v>Cardápio Web</v>
      </c>
      <c r="V2428" s="33">
        <f>IFERROR(__xludf.DUMMYFUNCTION("""COMPUTED_VALUE"""),1.0)</f>
        <v>1</v>
      </c>
      <c r="W2428" s="4" t="str">
        <f>IFERROR(__xludf.DUMMYFUNCTION("""COMPUTED_VALUE"""),"Cardápio Web")</f>
        <v>Cardápio Web</v>
      </c>
      <c r="X2428" s="33">
        <f>IFERROR(__xludf.DUMMYFUNCTION("""COMPUTED_VALUE"""),1.0)</f>
        <v>1</v>
      </c>
    </row>
    <row r="2429">
      <c r="K2429" s="4" t="str">
        <f>IFERROR(__xludf.DUMMYFUNCTION("""COMPUTED_VALUE"""),"MANDU CM")</f>
        <v>MANDU CM</v>
      </c>
      <c r="L2429" s="32">
        <f>IFERROR(__xludf.DUMMYFUNCTION("""COMPUTED_VALUE"""),4.0)</f>
        <v>4</v>
      </c>
      <c r="M2429" s="4" t="str">
        <f>IFERROR(__xludf.DUMMYFUNCTION("""COMPUTED_VALUE"""),"Saipos Serviços De Software")</f>
        <v>Saipos Serviços De Software</v>
      </c>
      <c r="N2429" s="33">
        <f>IFERROR(__xludf.DUMMYFUNCTION("""COMPUTED_VALUE"""),0.75)</f>
        <v>0.75</v>
      </c>
      <c r="O2429" s="4" t="str">
        <f>IFERROR(__xludf.DUMMYFUNCTION("""COMPUTED_VALUE"""),"Saipos Serviços De Software")</f>
        <v>Saipos Serviços De Software</v>
      </c>
      <c r="P2429" s="33">
        <f>IFERROR(__xludf.DUMMYFUNCTION("""COMPUTED_VALUE"""),0.75)</f>
        <v>0.75</v>
      </c>
      <c r="Q2429" s="4" t="str">
        <f>IFERROR(__xludf.DUMMYFUNCTION("""COMPUTED_VALUE"""),"Saipos Serviços De Software")</f>
        <v>Saipos Serviços De Software</v>
      </c>
      <c r="R2429" s="33">
        <f>IFERROR(__xludf.DUMMYFUNCTION("""COMPUTED_VALUE"""),0.75)</f>
        <v>0.75</v>
      </c>
      <c r="S2429" s="4" t="str">
        <f>IFERROR(__xludf.DUMMYFUNCTION("""COMPUTED_VALUE"""),"Saipos Serviços De Software")</f>
        <v>Saipos Serviços De Software</v>
      </c>
      <c r="T2429" s="33">
        <f>IFERROR(__xludf.DUMMYFUNCTION("""COMPUTED_VALUE"""),0.75)</f>
        <v>0.75</v>
      </c>
      <c r="U2429" s="4" t="str">
        <f>IFERROR(__xludf.DUMMYFUNCTION("""COMPUTED_VALUE"""),"Saipos Serviços De Software")</f>
        <v>Saipos Serviços De Software</v>
      </c>
      <c r="V2429" s="33">
        <f>IFERROR(__xludf.DUMMYFUNCTION("""COMPUTED_VALUE"""),0.75)</f>
        <v>0.75</v>
      </c>
      <c r="W2429" s="4" t="str">
        <f>IFERROR(__xludf.DUMMYFUNCTION("""COMPUTED_VALUE"""),"Saipos Serviços De Software")</f>
        <v>Saipos Serviços De Software</v>
      </c>
      <c r="X2429" s="33">
        <f>IFERROR(__xludf.DUMMYFUNCTION("""COMPUTED_VALUE"""),0.75)</f>
        <v>0.75</v>
      </c>
    </row>
    <row r="2430">
      <c r="K2430" s="4" t="str">
        <f>IFERROR(__xludf.DUMMYFUNCTION("""COMPUTED_VALUE"""),"MANZA SUSHI BAR")</f>
        <v>MANZA SUSHI BAR</v>
      </c>
      <c r="L2430" s="32">
        <f>IFERROR(__xludf.DUMMYFUNCTION("""COMPUTED_VALUE"""),4.0)</f>
        <v>4</v>
      </c>
      <c r="M2430" s="4" t="str">
        <f>IFERROR(__xludf.DUMMYFUNCTION("""COMPUTED_VALUE"""),"Saipos Serviços De Software")</f>
        <v>Saipos Serviços De Software</v>
      </c>
      <c r="N2430" s="33">
        <f>IFERROR(__xludf.DUMMYFUNCTION("""COMPUTED_VALUE"""),1.0)</f>
        <v>1</v>
      </c>
      <c r="O2430" s="4" t="str">
        <f>IFERROR(__xludf.DUMMYFUNCTION("""COMPUTED_VALUE"""),"Saipos Serviços De Software")</f>
        <v>Saipos Serviços De Software</v>
      </c>
      <c r="P2430" s="33">
        <f>IFERROR(__xludf.DUMMYFUNCTION("""COMPUTED_VALUE"""),1.0)</f>
        <v>1</v>
      </c>
      <c r="Q2430" s="4" t="str">
        <f>IFERROR(__xludf.DUMMYFUNCTION("""COMPUTED_VALUE"""),"Saipos Serviços De Software")</f>
        <v>Saipos Serviços De Software</v>
      </c>
      <c r="R2430" s="33">
        <f>IFERROR(__xludf.DUMMYFUNCTION("""COMPUTED_VALUE"""),1.0)</f>
        <v>1</v>
      </c>
      <c r="S2430" s="4" t="str">
        <f>IFERROR(__xludf.DUMMYFUNCTION("""COMPUTED_VALUE"""),"Saipos Serviços De Software")</f>
        <v>Saipos Serviços De Software</v>
      </c>
      <c r="T2430" s="33">
        <f>IFERROR(__xludf.DUMMYFUNCTION("""COMPUTED_VALUE"""),1.0)</f>
        <v>1</v>
      </c>
      <c r="U2430" s="4" t="str">
        <f>IFERROR(__xludf.DUMMYFUNCTION("""COMPUTED_VALUE"""),"Saipos Serviços De Software")</f>
        <v>Saipos Serviços De Software</v>
      </c>
      <c r="V2430" s="33">
        <f>IFERROR(__xludf.DUMMYFUNCTION("""COMPUTED_VALUE"""),1.0)</f>
        <v>1</v>
      </c>
      <c r="W2430" s="4" t="str">
        <f>IFERROR(__xludf.DUMMYFUNCTION("""COMPUTED_VALUE"""),"Saipos Serviços De Software")</f>
        <v>Saipos Serviços De Software</v>
      </c>
      <c r="X2430" s="33">
        <f>IFERROR(__xludf.DUMMYFUNCTION("""COMPUTED_VALUE"""),0.75)</f>
        <v>0.75</v>
      </c>
    </row>
    <row r="2431">
      <c r="K2431" s="4" t="str">
        <f>IFERROR(__xludf.DUMMYFUNCTION("""COMPUTED_VALUE"""),"MARCA PASTEL DI FERA")</f>
        <v>MARCA PASTEL DI FERA</v>
      </c>
      <c r="L2431" s="32">
        <f>IFERROR(__xludf.DUMMYFUNCTION("""COMPUTED_VALUE"""),4.0)</f>
        <v>4</v>
      </c>
      <c r="M2431" s="4" t="str">
        <f>IFERROR(__xludf.DUMMYFUNCTION("""COMPUTED_VALUE"""),"null")</f>
        <v>null</v>
      </c>
      <c r="N2431" s="33">
        <f>IFERROR(__xludf.DUMMYFUNCTION("""COMPUTED_VALUE"""),0.5)</f>
        <v>0.5</v>
      </c>
      <c r="O2431" s="4" t="str">
        <f>IFERROR(__xludf.DUMMYFUNCTION("""COMPUTED_VALUE"""),"null")</f>
        <v>null</v>
      </c>
      <c r="P2431" s="33">
        <f>IFERROR(__xludf.DUMMYFUNCTION("""COMPUTED_VALUE"""),0.5)</f>
        <v>0.5</v>
      </c>
      <c r="Q2431" s="4" t="str">
        <f>IFERROR(__xludf.DUMMYFUNCTION("""COMPUTED_VALUE"""),"null")</f>
        <v>null</v>
      </c>
      <c r="R2431" s="33">
        <f>IFERROR(__xludf.DUMMYFUNCTION("""COMPUTED_VALUE"""),0.5)</f>
        <v>0.5</v>
      </c>
      <c r="S2431" s="4" t="str">
        <f>IFERROR(__xludf.DUMMYFUNCTION("""COMPUTED_VALUE"""),"null")</f>
        <v>null</v>
      </c>
      <c r="T2431" s="33">
        <f>IFERROR(__xludf.DUMMYFUNCTION("""COMPUTED_VALUE"""),0.5)</f>
        <v>0.5</v>
      </c>
      <c r="U2431" s="4" t="str">
        <f>IFERROR(__xludf.DUMMYFUNCTION("""COMPUTED_VALUE"""),"null")</f>
        <v>null</v>
      </c>
      <c r="V2431" s="33">
        <f>IFERROR(__xludf.DUMMYFUNCTION("""COMPUTED_VALUE"""),0.5)</f>
        <v>0.5</v>
      </c>
      <c r="W2431" s="4" t="str">
        <f>IFERROR(__xludf.DUMMYFUNCTION("""COMPUTED_VALUE"""),"Alfa Labs")</f>
        <v>Alfa Labs</v>
      </c>
      <c r="X2431" s="33">
        <f>IFERROR(__xludf.DUMMYFUNCTION("""COMPUTED_VALUE"""),0.5)</f>
        <v>0.5</v>
      </c>
    </row>
    <row r="2432">
      <c r="K2432" s="4" t="str">
        <f>IFERROR(__xludf.DUMMYFUNCTION("""COMPUTED_VALUE"""),"MARIDO NA COZINHA")</f>
        <v>MARIDO NA COZINHA</v>
      </c>
      <c r="L2432" s="32">
        <f>IFERROR(__xludf.DUMMYFUNCTION("""COMPUTED_VALUE"""),4.0)</f>
        <v>4</v>
      </c>
      <c r="M2432" s="4" t="str">
        <f>IFERROR(__xludf.DUMMYFUNCTION("""COMPUTED_VALUE"""),"Mapp Sistemas")</f>
        <v>Mapp Sistemas</v>
      </c>
      <c r="N2432" s="33">
        <f>IFERROR(__xludf.DUMMYFUNCTION("""COMPUTED_VALUE"""),1.0)</f>
        <v>1</v>
      </c>
      <c r="O2432" s="4" t="str">
        <f>IFERROR(__xludf.DUMMYFUNCTION("""COMPUTED_VALUE"""),"Mapp Sistemas")</f>
        <v>Mapp Sistemas</v>
      </c>
      <c r="P2432" s="33">
        <f>IFERROR(__xludf.DUMMYFUNCTION("""COMPUTED_VALUE"""),1.0)</f>
        <v>1</v>
      </c>
      <c r="Q2432" s="4" t="str">
        <f>IFERROR(__xludf.DUMMYFUNCTION("""COMPUTED_VALUE"""),"null")</f>
        <v>null</v>
      </c>
      <c r="R2432" s="33">
        <f>IFERROR(__xludf.DUMMYFUNCTION("""COMPUTED_VALUE"""),1.0)</f>
        <v>1</v>
      </c>
      <c r="S2432" s="4" t="str">
        <f>IFERROR(__xludf.DUMMYFUNCTION("""COMPUTED_VALUE"""),"null")</f>
        <v>null</v>
      </c>
      <c r="T2432" s="33">
        <f>IFERROR(__xludf.DUMMYFUNCTION("""COMPUTED_VALUE"""),1.0)</f>
        <v>1</v>
      </c>
      <c r="U2432" s="4" t="str">
        <f>IFERROR(__xludf.DUMMYFUNCTION("""COMPUTED_VALUE"""),"null")</f>
        <v>null</v>
      </c>
      <c r="V2432" s="33">
        <f>IFERROR(__xludf.DUMMYFUNCTION("""COMPUTED_VALUE"""),1.0)</f>
        <v>1</v>
      </c>
      <c r="W2432" s="4" t="str">
        <f>IFERROR(__xludf.DUMMYFUNCTION("""COMPUTED_VALUE"""),"null")</f>
        <v>null</v>
      </c>
      <c r="X2432" s="33">
        <f>IFERROR(__xludf.DUMMYFUNCTION("""COMPUTED_VALUE"""),1.0)</f>
        <v>1</v>
      </c>
    </row>
    <row r="2433">
      <c r="K2433" s="4" t="str">
        <f>IFERROR(__xludf.DUMMYFUNCTION("""COMPUTED_VALUE"""),"MARILIA")</f>
        <v>MARILIA</v>
      </c>
      <c r="L2433" s="32">
        <f>IFERROR(__xludf.DUMMYFUNCTION("""COMPUTED_VALUE"""),4.0)</f>
        <v>4</v>
      </c>
      <c r="M2433" s="4" t="str">
        <f>IFERROR(__xludf.DUMMYFUNCTION("""COMPUTED_VALUE"""),"Ncr")</f>
        <v>Ncr</v>
      </c>
      <c r="N2433" s="33">
        <f>IFERROR(__xludf.DUMMYFUNCTION("""COMPUTED_VALUE"""),0.75)</f>
        <v>0.75</v>
      </c>
      <c r="O2433" s="4" t="str">
        <f>IFERROR(__xludf.DUMMYFUNCTION("""COMPUTED_VALUE"""),"Ncr")</f>
        <v>Ncr</v>
      </c>
      <c r="P2433" s="33">
        <f>IFERROR(__xludf.DUMMYFUNCTION("""COMPUTED_VALUE"""),0.75)</f>
        <v>0.75</v>
      </c>
      <c r="Q2433" s="4" t="str">
        <f>IFERROR(__xludf.DUMMYFUNCTION("""COMPUTED_VALUE"""),"Ncr")</f>
        <v>Ncr</v>
      </c>
      <c r="R2433" s="33">
        <f>IFERROR(__xludf.DUMMYFUNCTION("""COMPUTED_VALUE"""),0.5)</f>
        <v>0.5</v>
      </c>
      <c r="S2433" s="4" t="str">
        <f>IFERROR(__xludf.DUMMYFUNCTION("""COMPUTED_VALUE"""),"Ncr")</f>
        <v>Ncr</v>
      </c>
      <c r="T2433" s="33">
        <f>IFERROR(__xludf.DUMMYFUNCTION("""COMPUTED_VALUE"""),0.5)</f>
        <v>0.5</v>
      </c>
      <c r="U2433" s="4" t="str">
        <f>IFERROR(__xludf.DUMMYFUNCTION("""COMPUTED_VALUE"""),"Ncr")</f>
        <v>Ncr</v>
      </c>
      <c r="V2433" s="33">
        <f>IFERROR(__xludf.DUMMYFUNCTION("""COMPUTED_VALUE"""),0.75)</f>
        <v>0.75</v>
      </c>
      <c r="W2433" s="4" t="str">
        <f>IFERROR(__xludf.DUMMYFUNCTION("""COMPUTED_VALUE"""),"Ncr")</f>
        <v>Ncr</v>
      </c>
      <c r="X2433" s="33">
        <f>IFERROR(__xludf.DUMMYFUNCTION("""COMPUTED_VALUE"""),0.75)</f>
        <v>0.75</v>
      </c>
    </row>
    <row r="2434">
      <c r="K2434" s="4" t="str">
        <f>IFERROR(__xludf.DUMMYFUNCTION("""COMPUTED_VALUE"""),"MARMITARIA SABOR E CIA")</f>
        <v>MARMITARIA SABOR E CIA</v>
      </c>
      <c r="L2434" s="32">
        <f>IFERROR(__xludf.DUMMYFUNCTION("""COMPUTED_VALUE"""),4.0)</f>
        <v>4</v>
      </c>
      <c r="M2434" s="4" t="str">
        <f>IFERROR(__xludf.DUMMYFUNCTION("""COMPUTED_VALUE"""),"Saipos Serviços De Software")</f>
        <v>Saipos Serviços De Software</v>
      </c>
      <c r="N2434" s="33">
        <f>IFERROR(__xludf.DUMMYFUNCTION("""COMPUTED_VALUE"""),1.0)</f>
        <v>1</v>
      </c>
      <c r="O2434" s="4" t="str">
        <f>IFERROR(__xludf.DUMMYFUNCTION("""COMPUTED_VALUE"""),"Saipos Serviços De Software")</f>
        <v>Saipos Serviços De Software</v>
      </c>
      <c r="P2434" s="33">
        <f>IFERROR(__xludf.DUMMYFUNCTION("""COMPUTED_VALUE"""),1.0)</f>
        <v>1</v>
      </c>
      <c r="Q2434" s="4" t="str">
        <f>IFERROR(__xludf.DUMMYFUNCTION("""COMPUTED_VALUE"""),"Saipos Serviços De Software")</f>
        <v>Saipos Serviços De Software</v>
      </c>
      <c r="R2434" s="33">
        <f>IFERROR(__xludf.DUMMYFUNCTION("""COMPUTED_VALUE"""),1.0)</f>
        <v>1</v>
      </c>
      <c r="S2434" s="4" t="str">
        <f>IFERROR(__xludf.DUMMYFUNCTION("""COMPUTED_VALUE"""),"Saipos Serviços De Software")</f>
        <v>Saipos Serviços De Software</v>
      </c>
      <c r="T2434" s="33">
        <f>IFERROR(__xludf.DUMMYFUNCTION("""COMPUTED_VALUE"""),1.0)</f>
        <v>1</v>
      </c>
      <c r="U2434" s="4" t="str">
        <f>IFERROR(__xludf.DUMMYFUNCTION("""COMPUTED_VALUE"""),"Saipos Serviços De Software")</f>
        <v>Saipos Serviços De Software</v>
      </c>
      <c r="V2434" s="33">
        <f>IFERROR(__xludf.DUMMYFUNCTION("""COMPUTED_VALUE"""),1.0)</f>
        <v>1</v>
      </c>
      <c r="W2434" s="4" t="str">
        <f>IFERROR(__xludf.DUMMYFUNCTION("""COMPUTED_VALUE"""),"Saipos Serviços De Software")</f>
        <v>Saipos Serviços De Software</v>
      </c>
      <c r="X2434" s="33">
        <f>IFERROR(__xludf.DUMMYFUNCTION("""COMPUTED_VALUE"""),1.0)</f>
        <v>1</v>
      </c>
    </row>
    <row r="2435">
      <c r="K2435" s="4" t="str">
        <f>IFERROR(__xludf.DUMMYFUNCTION("""COMPUTED_VALUE"""),"MASTER SUPERMERCADO - CONTA GRUPO")</f>
        <v>MASTER SUPERMERCADO - CONTA GRUPO</v>
      </c>
      <c r="L2435" s="32">
        <f>IFERROR(__xludf.DUMMYFUNCTION("""COMPUTED_VALUE"""),4.0)</f>
        <v>4</v>
      </c>
      <c r="M2435" s="4" t="str">
        <f>IFERROR(__xludf.DUMMYFUNCTION("""COMPUTED_VALUE"""),"N/A (Not found)")</f>
        <v>N/A (Not found)</v>
      </c>
      <c r="N2435" s="33">
        <f>IFERROR(__xludf.DUMMYFUNCTION("""COMPUTED_VALUE"""),1.0)</f>
        <v>1</v>
      </c>
      <c r="O2435" s="4" t="str">
        <f>IFERROR(__xludf.DUMMYFUNCTION("""COMPUTED_VALUE"""),"N/A (Not found)")</f>
        <v>N/A (Not found)</v>
      </c>
      <c r="P2435" s="33">
        <f>IFERROR(__xludf.DUMMYFUNCTION("""COMPUTED_VALUE"""),1.0)</f>
        <v>1</v>
      </c>
      <c r="Q2435" s="4" t="str">
        <f>IFERROR(__xludf.DUMMYFUNCTION("""COMPUTED_VALUE"""),"N/A (Not found)")</f>
        <v>N/A (Not found)</v>
      </c>
      <c r="R2435" s="33">
        <f>IFERROR(__xludf.DUMMYFUNCTION("""COMPUTED_VALUE"""),1.0)</f>
        <v>1</v>
      </c>
      <c r="S2435" s="4" t="str">
        <f>IFERROR(__xludf.DUMMYFUNCTION("""COMPUTED_VALUE"""),"N/A (Not found)")</f>
        <v>N/A (Not found)</v>
      </c>
      <c r="T2435" s="33">
        <f>IFERROR(__xludf.DUMMYFUNCTION("""COMPUTED_VALUE"""),1.0)</f>
        <v>1</v>
      </c>
      <c r="U2435" s="4" t="str">
        <f>IFERROR(__xludf.DUMMYFUNCTION("""COMPUTED_VALUE"""),"N/A (Not found)")</f>
        <v>N/A (Not found)</v>
      </c>
      <c r="V2435" s="33">
        <f>IFERROR(__xludf.DUMMYFUNCTION("""COMPUTED_VALUE"""),1.0)</f>
        <v>1</v>
      </c>
      <c r="W2435" s="4" t="str">
        <f>IFERROR(__xludf.DUMMYFUNCTION("""COMPUTED_VALUE"""),"N/A (Not found)")</f>
        <v>N/A (Not found)</v>
      </c>
      <c r="X2435" s="33">
        <f>IFERROR(__xludf.DUMMYFUNCTION("""COMPUTED_VALUE"""),1.0)</f>
        <v>1</v>
      </c>
    </row>
    <row r="2436">
      <c r="K2436" s="4" t="str">
        <f>IFERROR(__xludf.DUMMYFUNCTION("""COMPUTED_VALUE"""),"ME GUSTA - GRUPO")</f>
        <v>ME GUSTA - GRUPO</v>
      </c>
      <c r="L2436" s="32">
        <f>IFERROR(__xludf.DUMMYFUNCTION("""COMPUTED_VALUE"""),4.0)</f>
        <v>4</v>
      </c>
      <c r="M2436" s="4" t="str">
        <f>IFERROR(__xludf.DUMMYFUNCTION("""COMPUTED_VALUE"""),"Saipos Serviços De Software")</f>
        <v>Saipos Serviços De Software</v>
      </c>
      <c r="N2436" s="33">
        <f>IFERROR(__xludf.DUMMYFUNCTION("""COMPUTED_VALUE"""),1.0)</f>
        <v>1</v>
      </c>
      <c r="O2436" s="4" t="str">
        <f>IFERROR(__xludf.DUMMYFUNCTION("""COMPUTED_VALUE"""),"Saipos Serviços De Software")</f>
        <v>Saipos Serviços De Software</v>
      </c>
      <c r="P2436" s="33">
        <f>IFERROR(__xludf.DUMMYFUNCTION("""COMPUTED_VALUE"""),1.0)</f>
        <v>1</v>
      </c>
      <c r="Q2436" s="4" t="str">
        <f>IFERROR(__xludf.DUMMYFUNCTION("""COMPUTED_VALUE"""),"Saipos Serviços De Software")</f>
        <v>Saipos Serviços De Software</v>
      </c>
      <c r="R2436" s="33">
        <f>IFERROR(__xludf.DUMMYFUNCTION("""COMPUTED_VALUE"""),1.0)</f>
        <v>1</v>
      </c>
      <c r="S2436" s="4" t="str">
        <f>IFERROR(__xludf.DUMMYFUNCTION("""COMPUTED_VALUE"""),"Saipos Serviços De Software")</f>
        <v>Saipos Serviços De Software</v>
      </c>
      <c r="T2436" s="33">
        <f>IFERROR(__xludf.DUMMYFUNCTION("""COMPUTED_VALUE"""),1.0)</f>
        <v>1</v>
      </c>
      <c r="U2436" s="4" t="str">
        <f>IFERROR(__xludf.DUMMYFUNCTION("""COMPUTED_VALUE"""),"Saipos Serviços De Software")</f>
        <v>Saipos Serviços De Software</v>
      </c>
      <c r="V2436" s="33">
        <f>IFERROR(__xludf.DUMMYFUNCTION("""COMPUTED_VALUE"""),0.75)</f>
        <v>0.75</v>
      </c>
      <c r="W2436" s="4" t="str">
        <f>IFERROR(__xludf.DUMMYFUNCTION("""COMPUTED_VALUE"""),"Saipos Serviços De Software")</f>
        <v>Saipos Serviços De Software</v>
      </c>
      <c r="X2436" s="33">
        <f>IFERROR(__xludf.DUMMYFUNCTION("""COMPUTED_VALUE"""),0.75)</f>
        <v>0.75</v>
      </c>
    </row>
    <row r="2437">
      <c r="K2437" s="4" t="str">
        <f>IFERROR(__xludf.DUMMYFUNCTION("""COMPUTED_VALUE"""),"MEIME PIZZARIA")</f>
        <v>MEIME PIZZARIA</v>
      </c>
      <c r="L2437" s="32">
        <f>IFERROR(__xludf.DUMMYFUNCTION("""COMPUTED_VALUE"""),4.0)</f>
        <v>4</v>
      </c>
      <c r="M2437" s="4" t="str">
        <f>IFERROR(__xludf.DUMMYFUNCTION("""COMPUTED_VALUE"""),"Ncr")</f>
        <v>Ncr</v>
      </c>
      <c r="N2437" s="33">
        <f>IFERROR(__xludf.DUMMYFUNCTION("""COMPUTED_VALUE"""),1.0)</f>
        <v>1</v>
      </c>
      <c r="O2437" s="4" t="str">
        <f>IFERROR(__xludf.DUMMYFUNCTION("""COMPUTED_VALUE"""),"Ncr")</f>
        <v>Ncr</v>
      </c>
      <c r="P2437" s="33">
        <f>IFERROR(__xludf.DUMMYFUNCTION("""COMPUTED_VALUE"""),1.0)</f>
        <v>1</v>
      </c>
      <c r="Q2437" s="4" t="str">
        <f>IFERROR(__xludf.DUMMYFUNCTION("""COMPUTED_VALUE"""),"Ncr")</f>
        <v>Ncr</v>
      </c>
      <c r="R2437" s="33">
        <f>IFERROR(__xludf.DUMMYFUNCTION("""COMPUTED_VALUE"""),1.0)</f>
        <v>1</v>
      </c>
      <c r="S2437" s="4" t="str">
        <f>IFERROR(__xludf.DUMMYFUNCTION("""COMPUTED_VALUE"""),"Ncr")</f>
        <v>Ncr</v>
      </c>
      <c r="T2437" s="33">
        <f>IFERROR(__xludf.DUMMYFUNCTION("""COMPUTED_VALUE"""),1.0)</f>
        <v>1</v>
      </c>
      <c r="U2437" s="4" t="str">
        <f>IFERROR(__xludf.DUMMYFUNCTION("""COMPUTED_VALUE"""),"Ncr")</f>
        <v>Ncr</v>
      </c>
      <c r="V2437" s="33">
        <f>IFERROR(__xludf.DUMMYFUNCTION("""COMPUTED_VALUE"""),1.0)</f>
        <v>1</v>
      </c>
      <c r="W2437" s="4" t="str">
        <f>IFERROR(__xludf.DUMMYFUNCTION("""COMPUTED_VALUE"""),"Ncr")</f>
        <v>Ncr</v>
      </c>
      <c r="X2437" s="33">
        <f>IFERROR(__xludf.DUMMYFUNCTION("""COMPUTED_VALUE"""),1.0)</f>
        <v>1</v>
      </c>
    </row>
    <row r="2438">
      <c r="K2438" s="4" t="str">
        <f>IFERROR(__xludf.DUMMYFUNCTION("""COMPUTED_VALUE"""),"MELTING BURGERS")</f>
        <v>MELTING BURGERS</v>
      </c>
      <c r="L2438" s="32">
        <f>IFERROR(__xludf.DUMMYFUNCTION("""COMPUTED_VALUE"""),4.0)</f>
        <v>4</v>
      </c>
      <c r="M2438" s="4" t="str">
        <f>IFERROR(__xludf.DUMMYFUNCTION("""COMPUTED_VALUE"""),"Totvs Large Enterprise Tecnologia S.a.")</f>
        <v>Totvs Large Enterprise Tecnologia S.a.</v>
      </c>
      <c r="N2438" s="33">
        <f>IFERROR(__xludf.DUMMYFUNCTION("""COMPUTED_VALUE"""),1.0)</f>
        <v>1</v>
      </c>
      <c r="O2438" s="4" t="str">
        <f>IFERROR(__xludf.DUMMYFUNCTION("""COMPUTED_VALUE"""),"null")</f>
        <v>null</v>
      </c>
      <c r="P2438" s="33">
        <f>IFERROR(__xludf.DUMMYFUNCTION("""COMPUTED_VALUE"""),1.0)</f>
        <v>1</v>
      </c>
      <c r="Q2438" s="4" t="str">
        <f>IFERROR(__xludf.DUMMYFUNCTION("""COMPUTED_VALUE"""),"Totvs Large Enterprise Tecnologia S.a.")</f>
        <v>Totvs Large Enterprise Tecnologia S.a.</v>
      </c>
      <c r="R2438" s="33">
        <f>IFERROR(__xludf.DUMMYFUNCTION("""COMPUTED_VALUE"""),0.75)</f>
        <v>0.75</v>
      </c>
      <c r="S2438" s="4" t="str">
        <f>IFERROR(__xludf.DUMMYFUNCTION("""COMPUTED_VALUE"""),"Takeat Tecnologia")</f>
        <v>Takeat Tecnologia</v>
      </c>
      <c r="T2438" s="33">
        <f>IFERROR(__xludf.DUMMYFUNCTION("""COMPUTED_VALUE"""),0.5)</f>
        <v>0.5</v>
      </c>
      <c r="U2438" s="4" t="str">
        <f>IFERROR(__xludf.DUMMYFUNCTION("""COMPUTED_VALUE"""),"null")</f>
        <v>null</v>
      </c>
      <c r="V2438" s="33">
        <f>IFERROR(__xludf.DUMMYFUNCTION("""COMPUTED_VALUE"""),0.5)</f>
        <v>0.5</v>
      </c>
      <c r="W2438" s="4" t="str">
        <f>IFERROR(__xludf.DUMMYFUNCTION("""COMPUTED_VALUE"""),"Totvs Large Enterprise Tecnologia S.a.")</f>
        <v>Totvs Large Enterprise Tecnologia S.a.</v>
      </c>
      <c r="X2438" s="33">
        <f>IFERROR(__xludf.DUMMYFUNCTION("""COMPUTED_VALUE"""),0.5)</f>
        <v>0.5</v>
      </c>
    </row>
    <row r="2439">
      <c r="K2439" s="4" t="str">
        <f>IFERROR(__xludf.DUMMYFUNCTION("""COMPUTED_VALUE"""),"MESTRE PIZZAS - MOOCA CONTA PAI")</f>
        <v>MESTRE PIZZAS - MOOCA CONTA PAI</v>
      </c>
      <c r="L2439" s="32">
        <f>IFERROR(__xludf.DUMMYFUNCTION("""COMPUTED_VALUE"""),4.0)</f>
        <v>4</v>
      </c>
      <c r="M2439" s="4" t="str">
        <f>IFERROR(__xludf.DUMMYFUNCTION("""COMPUTED_VALUE"""),"Grk Soluções Informatica Eireli")</f>
        <v>Grk Soluções Informatica Eireli</v>
      </c>
      <c r="N2439" s="33">
        <f>IFERROR(__xludf.DUMMYFUNCTION("""COMPUTED_VALUE"""),0.75)</f>
        <v>0.75</v>
      </c>
      <c r="O2439" s="4" t="str">
        <f>IFERROR(__xludf.DUMMYFUNCTION("""COMPUTED_VALUE"""),"Grk Soluções Informatica Eireli")</f>
        <v>Grk Soluções Informatica Eireli</v>
      </c>
      <c r="P2439" s="33">
        <f>IFERROR(__xludf.DUMMYFUNCTION("""COMPUTED_VALUE"""),0.75)</f>
        <v>0.75</v>
      </c>
      <c r="Q2439" s="4" t="str">
        <f>IFERROR(__xludf.DUMMYFUNCTION("""COMPUTED_VALUE"""),"Grk Soluções Informatica Eireli")</f>
        <v>Grk Soluções Informatica Eireli</v>
      </c>
      <c r="R2439" s="33">
        <f>IFERROR(__xludf.DUMMYFUNCTION("""COMPUTED_VALUE"""),1.0)</f>
        <v>1</v>
      </c>
      <c r="S2439" s="4" t="str">
        <f>IFERROR(__xludf.DUMMYFUNCTION("""COMPUTED_VALUE"""),"Grk Soluções Informatica Eireli")</f>
        <v>Grk Soluções Informatica Eireli</v>
      </c>
      <c r="T2439" s="33">
        <f>IFERROR(__xludf.DUMMYFUNCTION("""COMPUTED_VALUE"""),0.75)</f>
        <v>0.75</v>
      </c>
      <c r="U2439" s="4" t="str">
        <f>IFERROR(__xludf.DUMMYFUNCTION("""COMPUTED_VALUE"""),"Grk Soluções Informatica Eireli")</f>
        <v>Grk Soluções Informatica Eireli</v>
      </c>
      <c r="V2439" s="33">
        <f>IFERROR(__xludf.DUMMYFUNCTION("""COMPUTED_VALUE"""),1.0)</f>
        <v>1</v>
      </c>
      <c r="W2439" s="4" t="str">
        <f>IFERROR(__xludf.DUMMYFUNCTION("""COMPUTED_VALUE"""),"Grk Soluções Informatica Eireli")</f>
        <v>Grk Soluções Informatica Eireli</v>
      </c>
      <c r="X2439" s="33">
        <f>IFERROR(__xludf.DUMMYFUNCTION("""COMPUTED_VALUE"""),0.75)</f>
        <v>0.75</v>
      </c>
    </row>
    <row r="2440">
      <c r="K2440" s="4" t="str">
        <f>IFERROR(__xludf.DUMMYFUNCTION("""COMPUTED_VALUE"""),"MISTER ESPETAO")</f>
        <v>MISTER ESPETAO</v>
      </c>
      <c r="L2440" s="32">
        <f>IFERROR(__xludf.DUMMYFUNCTION("""COMPUTED_VALUE"""),4.0)</f>
        <v>4</v>
      </c>
      <c r="M2440" s="4" t="str">
        <f>IFERROR(__xludf.DUMMYFUNCTION("""COMPUTED_VALUE"""),"Saipos Serviços De Software")</f>
        <v>Saipos Serviços De Software</v>
      </c>
      <c r="N2440" s="33">
        <f>IFERROR(__xludf.DUMMYFUNCTION("""COMPUTED_VALUE"""),1.0)</f>
        <v>1</v>
      </c>
      <c r="O2440" s="4" t="str">
        <f>IFERROR(__xludf.DUMMYFUNCTION("""COMPUTED_VALUE"""),"Saipos Serviços De Software")</f>
        <v>Saipos Serviços De Software</v>
      </c>
      <c r="P2440" s="33">
        <f>IFERROR(__xludf.DUMMYFUNCTION("""COMPUTED_VALUE"""),1.0)</f>
        <v>1</v>
      </c>
      <c r="Q2440" s="4" t="str">
        <f>IFERROR(__xludf.DUMMYFUNCTION("""COMPUTED_VALUE"""),"Saipos Serviços De Software")</f>
        <v>Saipos Serviços De Software</v>
      </c>
      <c r="R2440" s="33">
        <f>IFERROR(__xludf.DUMMYFUNCTION("""COMPUTED_VALUE"""),1.0)</f>
        <v>1</v>
      </c>
      <c r="S2440" s="4" t="str">
        <f>IFERROR(__xludf.DUMMYFUNCTION("""COMPUTED_VALUE"""),"Saipos Serviços De Software")</f>
        <v>Saipos Serviços De Software</v>
      </c>
      <c r="T2440" s="33">
        <f>IFERROR(__xludf.DUMMYFUNCTION("""COMPUTED_VALUE"""),1.0)</f>
        <v>1</v>
      </c>
      <c r="U2440" s="4" t="str">
        <f>IFERROR(__xludf.DUMMYFUNCTION("""COMPUTED_VALUE"""),"Saipos Serviços De Software")</f>
        <v>Saipos Serviços De Software</v>
      </c>
      <c r="V2440" s="33">
        <f>IFERROR(__xludf.DUMMYFUNCTION("""COMPUTED_VALUE"""),1.0)</f>
        <v>1</v>
      </c>
      <c r="W2440" s="4" t="str">
        <f>IFERROR(__xludf.DUMMYFUNCTION("""COMPUTED_VALUE"""),"Saipos Serviços De Software")</f>
        <v>Saipos Serviços De Software</v>
      </c>
      <c r="X2440" s="33">
        <f>IFERROR(__xludf.DUMMYFUNCTION("""COMPUTED_VALUE"""),1.0)</f>
        <v>1</v>
      </c>
    </row>
    <row r="2441">
      <c r="K2441" s="4" t="str">
        <f>IFERROR(__xludf.DUMMYFUNCTION("""COMPUTED_VALUE"""),"MOANGA AM")</f>
        <v>MOANGA AM</v>
      </c>
      <c r="L2441" s="32">
        <f>IFERROR(__xludf.DUMMYFUNCTION("""COMPUTED_VALUE"""),4.0)</f>
        <v>4</v>
      </c>
      <c r="M2441" s="4" t="str">
        <f>IFERROR(__xludf.DUMMYFUNCTION("""COMPUTED_VALUE"""),"Saipos Serviços De Software")</f>
        <v>Saipos Serviços De Software</v>
      </c>
      <c r="N2441" s="33">
        <f>IFERROR(__xludf.DUMMYFUNCTION("""COMPUTED_VALUE"""),1.0)</f>
        <v>1</v>
      </c>
      <c r="O2441" s="4" t="str">
        <f>IFERROR(__xludf.DUMMYFUNCTION("""COMPUTED_VALUE"""),"Saipos Serviços De Software")</f>
        <v>Saipos Serviços De Software</v>
      </c>
      <c r="P2441" s="33">
        <f>IFERROR(__xludf.DUMMYFUNCTION("""COMPUTED_VALUE"""),1.0)</f>
        <v>1</v>
      </c>
      <c r="Q2441" s="4" t="str">
        <f>IFERROR(__xludf.DUMMYFUNCTION("""COMPUTED_VALUE"""),"Saipos Serviços De Software")</f>
        <v>Saipos Serviços De Software</v>
      </c>
      <c r="R2441" s="33">
        <f>IFERROR(__xludf.DUMMYFUNCTION("""COMPUTED_VALUE"""),1.0)</f>
        <v>1</v>
      </c>
      <c r="S2441" s="4" t="str">
        <f>IFERROR(__xludf.DUMMYFUNCTION("""COMPUTED_VALUE"""),"Saipos Serviços De Software")</f>
        <v>Saipos Serviços De Software</v>
      </c>
      <c r="T2441" s="33">
        <f>IFERROR(__xludf.DUMMYFUNCTION("""COMPUTED_VALUE"""),1.0)</f>
        <v>1</v>
      </c>
      <c r="U2441" s="4" t="str">
        <f>IFERROR(__xludf.DUMMYFUNCTION("""COMPUTED_VALUE"""),"Saipos Serviços De Software")</f>
        <v>Saipos Serviços De Software</v>
      </c>
      <c r="V2441" s="33">
        <f>IFERROR(__xludf.DUMMYFUNCTION("""COMPUTED_VALUE"""),1.0)</f>
        <v>1</v>
      </c>
      <c r="W2441" s="4" t="str">
        <f>IFERROR(__xludf.DUMMYFUNCTION("""COMPUTED_VALUE"""),"Saipos Serviços De Software")</f>
        <v>Saipos Serviços De Software</v>
      </c>
      <c r="X2441" s="33">
        <f>IFERROR(__xludf.DUMMYFUNCTION("""COMPUTED_VALUE"""),1.0)</f>
        <v>1</v>
      </c>
    </row>
    <row r="2442">
      <c r="K2442" s="4" t="str">
        <f>IFERROR(__xludf.DUMMYFUNCTION("""COMPUTED_VALUE"""),"MOINHO EM CASA")</f>
        <v>MOINHO EM CASA</v>
      </c>
      <c r="L2442" s="32">
        <f>IFERROR(__xludf.DUMMYFUNCTION("""COMPUTED_VALUE"""),4.0)</f>
        <v>4</v>
      </c>
      <c r="M2442" s="4" t="str">
        <f>IFERROR(__xludf.DUMMYFUNCTION("""COMPUTED_VALUE"""),"Sistema Pallas")</f>
        <v>Sistema Pallas</v>
      </c>
      <c r="N2442" s="33">
        <f>IFERROR(__xludf.DUMMYFUNCTION("""COMPUTED_VALUE"""),1.0)</f>
        <v>1</v>
      </c>
      <c r="O2442" s="4" t="str">
        <f>IFERROR(__xludf.DUMMYFUNCTION("""COMPUTED_VALUE"""),"Sistema Pallas")</f>
        <v>Sistema Pallas</v>
      </c>
      <c r="P2442" s="33">
        <f>IFERROR(__xludf.DUMMYFUNCTION("""COMPUTED_VALUE"""),0.5)</f>
        <v>0.5</v>
      </c>
      <c r="Q2442" s="4" t="str">
        <f>IFERROR(__xludf.DUMMYFUNCTION("""COMPUTED_VALUE"""),"Sistema Pallas")</f>
        <v>Sistema Pallas</v>
      </c>
      <c r="R2442" s="33">
        <f>IFERROR(__xludf.DUMMYFUNCTION("""COMPUTED_VALUE"""),1.0)</f>
        <v>1</v>
      </c>
      <c r="S2442" s="4" t="str">
        <f>IFERROR(__xludf.DUMMYFUNCTION("""COMPUTED_VALUE"""),"Sistema Pallas")</f>
        <v>Sistema Pallas</v>
      </c>
      <c r="T2442" s="33">
        <f>IFERROR(__xludf.DUMMYFUNCTION("""COMPUTED_VALUE"""),1.0)</f>
        <v>1</v>
      </c>
      <c r="U2442" s="4" t="str">
        <f>IFERROR(__xludf.DUMMYFUNCTION("""COMPUTED_VALUE"""),"Sistema Pallas")</f>
        <v>Sistema Pallas</v>
      </c>
      <c r="V2442" s="33">
        <f>IFERROR(__xludf.DUMMYFUNCTION("""COMPUTED_VALUE"""),0.75)</f>
        <v>0.75</v>
      </c>
      <c r="W2442" s="4" t="str">
        <f>IFERROR(__xludf.DUMMYFUNCTION("""COMPUTED_VALUE"""),"Sistema Pallas")</f>
        <v>Sistema Pallas</v>
      </c>
      <c r="X2442" s="33">
        <f>IFERROR(__xludf.DUMMYFUNCTION("""COMPUTED_VALUE"""),0.75)</f>
        <v>0.75</v>
      </c>
    </row>
    <row r="2443">
      <c r="K2443" s="4" t="str">
        <f>IFERROR(__xludf.DUMMYFUNCTION("""COMPUTED_VALUE"""),"MORADAS BURGUER HOUSE")</f>
        <v>MORADAS BURGUER HOUSE</v>
      </c>
      <c r="L2443" s="32">
        <f>IFERROR(__xludf.DUMMYFUNCTION("""COMPUTED_VALUE"""),4.0)</f>
        <v>4</v>
      </c>
      <c r="M2443" s="4" t="str">
        <f>IFERROR(__xludf.DUMMYFUNCTION("""COMPUTED_VALUE"""),"Saipos Serviços De Software")</f>
        <v>Saipos Serviços De Software</v>
      </c>
      <c r="N2443" s="33">
        <f>IFERROR(__xludf.DUMMYFUNCTION("""COMPUTED_VALUE"""),0.75)</f>
        <v>0.75</v>
      </c>
      <c r="O2443" s="4" t="str">
        <f>IFERROR(__xludf.DUMMYFUNCTION("""COMPUTED_VALUE"""),"Saipos Serviços De Software")</f>
        <v>Saipos Serviços De Software</v>
      </c>
      <c r="P2443" s="33">
        <f>IFERROR(__xludf.DUMMYFUNCTION("""COMPUTED_VALUE"""),0.75)</f>
        <v>0.75</v>
      </c>
      <c r="Q2443" s="4" t="str">
        <f>IFERROR(__xludf.DUMMYFUNCTION("""COMPUTED_VALUE"""),"Saipos Serviços De Software")</f>
        <v>Saipos Serviços De Software</v>
      </c>
      <c r="R2443" s="33">
        <f>IFERROR(__xludf.DUMMYFUNCTION("""COMPUTED_VALUE"""),0.75)</f>
        <v>0.75</v>
      </c>
      <c r="S2443" s="4" t="str">
        <f>IFERROR(__xludf.DUMMYFUNCTION("""COMPUTED_VALUE"""),"Saipos Serviços De Software")</f>
        <v>Saipos Serviços De Software</v>
      </c>
      <c r="T2443" s="33">
        <f>IFERROR(__xludf.DUMMYFUNCTION("""COMPUTED_VALUE"""),0.75)</f>
        <v>0.75</v>
      </c>
      <c r="U2443" s="4" t="str">
        <f>IFERROR(__xludf.DUMMYFUNCTION("""COMPUTED_VALUE"""),"Saipos Serviços De Software")</f>
        <v>Saipos Serviços De Software</v>
      </c>
      <c r="V2443" s="33">
        <f>IFERROR(__xludf.DUMMYFUNCTION("""COMPUTED_VALUE"""),0.75)</f>
        <v>0.75</v>
      </c>
      <c r="W2443" s="4" t="str">
        <f>IFERROR(__xludf.DUMMYFUNCTION("""COMPUTED_VALUE"""),"Saipos Serviços De Software")</f>
        <v>Saipos Serviços De Software</v>
      </c>
      <c r="X2443" s="33">
        <f>IFERROR(__xludf.DUMMYFUNCTION("""COMPUTED_VALUE"""),0.75)</f>
        <v>0.75</v>
      </c>
    </row>
    <row r="2444">
      <c r="K2444" s="4" t="str">
        <f>IFERROR(__xludf.DUMMYFUNCTION("""COMPUTED_VALUE"""),"MOUSSE CAKE")</f>
        <v>MOUSSE CAKE</v>
      </c>
      <c r="L2444" s="32">
        <f>IFERROR(__xludf.DUMMYFUNCTION("""COMPUTED_VALUE"""),4.0)</f>
        <v>4</v>
      </c>
      <c r="M2444" s="4" t="str">
        <f>IFERROR(__xludf.DUMMYFUNCTION("""COMPUTED_VALUE"""),"Ncr")</f>
        <v>Ncr</v>
      </c>
      <c r="N2444" s="33">
        <f>IFERROR(__xludf.DUMMYFUNCTION("""COMPUTED_VALUE"""),1.0)</f>
        <v>1</v>
      </c>
      <c r="O2444" s="4" t="str">
        <f>IFERROR(__xludf.DUMMYFUNCTION("""COMPUTED_VALUE"""),"Ncr")</f>
        <v>Ncr</v>
      </c>
      <c r="P2444" s="33">
        <f>IFERROR(__xludf.DUMMYFUNCTION("""COMPUTED_VALUE"""),0.5)</f>
        <v>0.5</v>
      </c>
      <c r="Q2444" s="4" t="str">
        <f>IFERROR(__xludf.DUMMYFUNCTION("""COMPUTED_VALUE"""),"null")</f>
        <v>null</v>
      </c>
      <c r="R2444" s="33">
        <f>IFERROR(__xludf.DUMMYFUNCTION("""COMPUTED_VALUE"""),0.75)</f>
        <v>0.75</v>
      </c>
      <c r="S2444" s="4" t="str">
        <f>IFERROR(__xludf.DUMMYFUNCTION("""COMPUTED_VALUE"""),"null")</f>
        <v>null</v>
      </c>
      <c r="T2444" s="33">
        <f>IFERROR(__xludf.DUMMYFUNCTION("""COMPUTED_VALUE"""),0.75)</f>
        <v>0.75</v>
      </c>
      <c r="U2444" s="4" t="str">
        <f>IFERROR(__xludf.DUMMYFUNCTION("""COMPUTED_VALUE"""),"null")</f>
        <v>null</v>
      </c>
      <c r="V2444" s="33">
        <f>IFERROR(__xludf.DUMMYFUNCTION("""COMPUTED_VALUE"""),0.75)</f>
        <v>0.75</v>
      </c>
      <c r="W2444" s="4" t="str">
        <f>IFERROR(__xludf.DUMMYFUNCTION("""COMPUTED_VALUE"""),"null")</f>
        <v>null</v>
      </c>
      <c r="X2444" s="33">
        <f>IFERROR(__xludf.DUMMYFUNCTION("""COMPUTED_VALUE"""),0.75)</f>
        <v>0.75</v>
      </c>
    </row>
    <row r="2445">
      <c r="K2445" s="4" t="str">
        <f>IFERROR(__xludf.DUMMYFUNCTION("""COMPUTED_VALUE"""),"MOVIDO SEGUNDA UNIDADE")</f>
        <v>MOVIDO SEGUNDA UNIDADE</v>
      </c>
      <c r="L2445" s="32">
        <f>IFERROR(__xludf.DUMMYFUNCTION("""COMPUTED_VALUE"""),4.0)</f>
        <v>4</v>
      </c>
      <c r="M2445" s="4" t="str">
        <f>IFERROR(__xludf.DUMMYFUNCTION("""COMPUTED_VALUE"""),"null")</f>
        <v>null</v>
      </c>
      <c r="N2445" s="33">
        <f>IFERROR(__xludf.DUMMYFUNCTION("""COMPUTED_VALUE"""),1.0)</f>
        <v>1</v>
      </c>
      <c r="O2445" s="4" t="str">
        <f>IFERROR(__xludf.DUMMYFUNCTION("""COMPUTED_VALUE"""),"null")</f>
        <v>null</v>
      </c>
      <c r="P2445" s="33">
        <f>IFERROR(__xludf.DUMMYFUNCTION("""COMPUTED_VALUE"""),1.0)</f>
        <v>1</v>
      </c>
      <c r="Q2445" s="4" t="str">
        <f>IFERROR(__xludf.DUMMYFUNCTION("""COMPUTED_VALUE"""),"null")</f>
        <v>null</v>
      </c>
      <c r="R2445" s="33">
        <f>IFERROR(__xludf.DUMMYFUNCTION("""COMPUTED_VALUE"""),1.0)</f>
        <v>1</v>
      </c>
      <c r="S2445" s="4" t="str">
        <f>IFERROR(__xludf.DUMMYFUNCTION("""COMPUTED_VALUE"""),"null")</f>
        <v>null</v>
      </c>
      <c r="T2445" s="33">
        <f>IFERROR(__xludf.DUMMYFUNCTION("""COMPUTED_VALUE"""),1.0)</f>
        <v>1</v>
      </c>
      <c r="U2445" s="4" t="str">
        <f>IFERROR(__xludf.DUMMYFUNCTION("""COMPUTED_VALUE"""),"null")</f>
        <v>null</v>
      </c>
      <c r="V2445" s="33">
        <f>IFERROR(__xludf.DUMMYFUNCTION("""COMPUTED_VALUE"""),0.75)</f>
        <v>0.75</v>
      </c>
      <c r="W2445" s="4" t="str">
        <f>IFERROR(__xludf.DUMMYFUNCTION("""COMPUTED_VALUE"""),"Saipos Serviços De Software")</f>
        <v>Saipos Serviços De Software</v>
      </c>
      <c r="X2445" s="33">
        <f>IFERROR(__xludf.DUMMYFUNCTION("""COMPUTED_VALUE"""),1.0)</f>
        <v>1</v>
      </c>
    </row>
    <row r="2446">
      <c r="K2446" s="4" t="str">
        <f>IFERROR(__xludf.DUMMYFUNCTION("""COMPUTED_VALUE"""),"MYSTIC BURGER - ES")</f>
        <v>MYSTIC BURGER - ES</v>
      </c>
      <c r="L2446" s="32">
        <f>IFERROR(__xludf.DUMMYFUNCTION("""COMPUTED_VALUE"""),4.0)</f>
        <v>4</v>
      </c>
      <c r="M2446" s="4" t="str">
        <f>IFERROR(__xludf.DUMMYFUNCTION("""COMPUTED_VALUE"""),"Saipos Serviços De Software")</f>
        <v>Saipos Serviços De Software</v>
      </c>
      <c r="N2446" s="33">
        <f>IFERROR(__xludf.DUMMYFUNCTION("""COMPUTED_VALUE"""),1.0)</f>
        <v>1</v>
      </c>
      <c r="O2446" s="4" t="str">
        <f>IFERROR(__xludf.DUMMYFUNCTION("""COMPUTED_VALUE"""),"Saipos Serviços De Software")</f>
        <v>Saipos Serviços De Software</v>
      </c>
      <c r="P2446" s="33">
        <f>IFERROR(__xludf.DUMMYFUNCTION("""COMPUTED_VALUE"""),1.0)</f>
        <v>1</v>
      </c>
      <c r="Q2446" s="4" t="str">
        <f>IFERROR(__xludf.DUMMYFUNCTION("""COMPUTED_VALUE"""),"Saipos Serviços De Software")</f>
        <v>Saipos Serviços De Software</v>
      </c>
      <c r="R2446" s="33">
        <f>IFERROR(__xludf.DUMMYFUNCTION("""COMPUTED_VALUE"""),1.0)</f>
        <v>1</v>
      </c>
      <c r="S2446" s="4" t="str">
        <f>IFERROR(__xludf.DUMMYFUNCTION("""COMPUTED_VALUE"""),"Saipos Serviços De Software")</f>
        <v>Saipos Serviços De Software</v>
      </c>
      <c r="T2446" s="33">
        <f>IFERROR(__xludf.DUMMYFUNCTION("""COMPUTED_VALUE"""),1.0)</f>
        <v>1</v>
      </c>
      <c r="U2446" s="4" t="str">
        <f>IFERROR(__xludf.DUMMYFUNCTION("""COMPUTED_VALUE"""),"Saipos Serviços De Software")</f>
        <v>Saipos Serviços De Software</v>
      </c>
      <c r="V2446" s="33">
        <f>IFERROR(__xludf.DUMMYFUNCTION("""COMPUTED_VALUE"""),1.0)</f>
        <v>1</v>
      </c>
      <c r="W2446" s="4" t="str">
        <f>IFERROR(__xludf.DUMMYFUNCTION("""COMPUTED_VALUE"""),"Saipos Serviços De Software")</f>
        <v>Saipos Serviços De Software</v>
      </c>
      <c r="X2446" s="33">
        <f>IFERROR(__xludf.DUMMYFUNCTION("""COMPUTED_VALUE"""),1.0)</f>
        <v>1</v>
      </c>
    </row>
    <row r="2447">
      <c r="K2447" s="4" t="str">
        <f>IFERROR(__xludf.DUMMYFUNCTION("""COMPUTED_VALUE"""),"NAIMS ESFIRRARIA CONTA PAI")</f>
        <v>NAIMS ESFIRRARIA CONTA PAI</v>
      </c>
      <c r="L2447" s="32">
        <f>IFERROR(__xludf.DUMMYFUNCTION("""COMPUTED_VALUE"""),4.0)</f>
        <v>4</v>
      </c>
      <c r="M2447" s="4" t="str">
        <f>IFERROR(__xludf.DUMMYFUNCTION("""COMPUTED_VALUE"""),"Cardápio Web")</f>
        <v>Cardápio Web</v>
      </c>
      <c r="N2447" s="33">
        <f>IFERROR(__xludf.DUMMYFUNCTION("""COMPUTED_VALUE"""),0.75)</f>
        <v>0.75</v>
      </c>
      <c r="O2447" s="4" t="str">
        <f>IFERROR(__xludf.DUMMYFUNCTION("""COMPUTED_VALUE"""),"Cardápio Web")</f>
        <v>Cardápio Web</v>
      </c>
      <c r="P2447" s="33">
        <f>IFERROR(__xludf.DUMMYFUNCTION("""COMPUTED_VALUE"""),0.75)</f>
        <v>0.75</v>
      </c>
      <c r="Q2447" s="4" t="str">
        <f>IFERROR(__xludf.DUMMYFUNCTION("""COMPUTED_VALUE"""),"Cardápio Web")</f>
        <v>Cardápio Web</v>
      </c>
      <c r="R2447" s="33">
        <f>IFERROR(__xludf.DUMMYFUNCTION("""COMPUTED_VALUE"""),0.75)</f>
        <v>0.75</v>
      </c>
      <c r="S2447" s="4" t="str">
        <f>IFERROR(__xludf.DUMMYFUNCTION("""COMPUTED_VALUE"""),"Cardápio Web")</f>
        <v>Cardápio Web</v>
      </c>
      <c r="T2447" s="33">
        <f>IFERROR(__xludf.DUMMYFUNCTION("""COMPUTED_VALUE"""),0.75)</f>
        <v>0.75</v>
      </c>
      <c r="U2447" s="4" t="str">
        <f>IFERROR(__xludf.DUMMYFUNCTION("""COMPUTED_VALUE"""),"Cardápio Web")</f>
        <v>Cardápio Web</v>
      </c>
      <c r="V2447" s="33">
        <f>IFERROR(__xludf.DUMMYFUNCTION("""COMPUTED_VALUE"""),0.75)</f>
        <v>0.75</v>
      </c>
      <c r="W2447" s="4" t="str">
        <f>IFERROR(__xludf.DUMMYFUNCTION("""COMPUTED_VALUE"""),"Cardápio Web")</f>
        <v>Cardápio Web</v>
      </c>
      <c r="X2447" s="33">
        <f>IFERROR(__xludf.DUMMYFUNCTION("""COMPUTED_VALUE"""),1.0)</f>
        <v>1</v>
      </c>
    </row>
    <row r="2448">
      <c r="K2448" s="4" t="str">
        <f>IFERROR(__xludf.DUMMYFUNCTION("""COMPUTED_VALUE"""),"NALU PIZZAS CONTA PAI")</f>
        <v>NALU PIZZAS CONTA PAI</v>
      </c>
      <c r="L2448" s="32">
        <f>IFERROR(__xludf.DUMMYFUNCTION("""COMPUTED_VALUE"""),4.0)</f>
        <v>4</v>
      </c>
      <c r="M2448" s="4" t="str">
        <f>IFERROR(__xludf.DUMMYFUNCTION("""COMPUTED_VALUE"""),"Gestor Tecnologia E Gestão Empresarial Ltda")</f>
        <v>Gestor Tecnologia E Gestão Empresarial Ltda</v>
      </c>
      <c r="N2448" s="33">
        <f>IFERROR(__xludf.DUMMYFUNCTION("""COMPUTED_VALUE"""),0.75)</f>
        <v>0.75</v>
      </c>
      <c r="O2448" s="4" t="str">
        <f>IFERROR(__xludf.DUMMYFUNCTION("""COMPUTED_VALUE"""),"Gestor Tecnologia E Gestão Empresarial Ltda")</f>
        <v>Gestor Tecnologia E Gestão Empresarial Ltda</v>
      </c>
      <c r="P2448" s="33">
        <f>IFERROR(__xludf.DUMMYFUNCTION("""COMPUTED_VALUE"""),0.75)</f>
        <v>0.75</v>
      </c>
      <c r="Q2448" s="4" t="str">
        <f>IFERROR(__xludf.DUMMYFUNCTION("""COMPUTED_VALUE"""),"Gestor Tecnologia E Gestão Empresarial Ltda")</f>
        <v>Gestor Tecnologia E Gestão Empresarial Ltda</v>
      </c>
      <c r="R2448" s="33">
        <f>IFERROR(__xludf.DUMMYFUNCTION("""COMPUTED_VALUE"""),0.75)</f>
        <v>0.75</v>
      </c>
      <c r="S2448" s="4" t="str">
        <f>IFERROR(__xludf.DUMMYFUNCTION("""COMPUTED_VALUE"""),"Gestor Tecnologia E Gestão Empresarial Ltda")</f>
        <v>Gestor Tecnologia E Gestão Empresarial Ltda</v>
      </c>
      <c r="T2448" s="33">
        <f>IFERROR(__xludf.DUMMYFUNCTION("""COMPUTED_VALUE"""),1.0)</f>
        <v>1</v>
      </c>
      <c r="U2448" s="4" t="str">
        <f>IFERROR(__xludf.DUMMYFUNCTION("""COMPUTED_VALUE"""),"null")</f>
        <v>null</v>
      </c>
      <c r="V2448" s="33">
        <f>IFERROR(__xludf.DUMMYFUNCTION("""COMPUTED_VALUE"""),0.5)</f>
        <v>0.5</v>
      </c>
      <c r="W2448" s="4" t="str">
        <f>IFERROR(__xludf.DUMMYFUNCTION("""COMPUTED_VALUE"""),"Gestor Tecnologia E Gestão Empresarial Ltda")</f>
        <v>Gestor Tecnologia E Gestão Empresarial Ltda</v>
      </c>
      <c r="X2448" s="33">
        <f>IFERROR(__xludf.DUMMYFUNCTION("""COMPUTED_VALUE"""),0.75)</f>
        <v>0.75</v>
      </c>
    </row>
    <row r="2449">
      <c r="K2449" s="4" t="str">
        <f>IFERROR(__xludf.DUMMYFUNCTION("""COMPUTED_VALUE"""),"NANNI - CONTA MARCA")</f>
        <v>NANNI - CONTA MARCA</v>
      </c>
      <c r="L2449" s="32">
        <f>IFERROR(__xludf.DUMMYFUNCTION("""COMPUTED_VALUE"""),4.0)</f>
        <v>4</v>
      </c>
      <c r="M2449" s="4" t="str">
        <f>IFERROR(__xludf.DUMMYFUNCTION("""COMPUTED_VALUE"""),"Cardápio Web")</f>
        <v>Cardápio Web</v>
      </c>
      <c r="N2449" s="33">
        <f>IFERROR(__xludf.DUMMYFUNCTION("""COMPUTED_VALUE"""),0.75)</f>
        <v>0.75</v>
      </c>
      <c r="O2449" s="4" t="str">
        <f>IFERROR(__xludf.DUMMYFUNCTION("""COMPUTED_VALUE"""),"Cardápio Web")</f>
        <v>Cardápio Web</v>
      </c>
      <c r="P2449" s="33">
        <f>IFERROR(__xludf.DUMMYFUNCTION("""COMPUTED_VALUE"""),0.75)</f>
        <v>0.75</v>
      </c>
      <c r="Q2449" s="4" t="str">
        <f>IFERROR(__xludf.DUMMYFUNCTION("""COMPUTED_VALUE"""),"Cardápio Web")</f>
        <v>Cardápio Web</v>
      </c>
      <c r="R2449" s="33">
        <f>IFERROR(__xludf.DUMMYFUNCTION("""COMPUTED_VALUE"""),0.5)</f>
        <v>0.5</v>
      </c>
      <c r="S2449" s="4" t="str">
        <f>IFERROR(__xludf.DUMMYFUNCTION("""COMPUTED_VALUE"""),"Cardápio Web")</f>
        <v>Cardápio Web</v>
      </c>
      <c r="T2449" s="33">
        <f>IFERROR(__xludf.DUMMYFUNCTION("""COMPUTED_VALUE"""),0.75)</f>
        <v>0.75</v>
      </c>
      <c r="U2449" s="4" t="str">
        <f>IFERROR(__xludf.DUMMYFUNCTION("""COMPUTED_VALUE"""),"Saipos Serviços De Software")</f>
        <v>Saipos Serviços De Software</v>
      </c>
      <c r="V2449" s="33">
        <f>IFERROR(__xludf.DUMMYFUNCTION("""COMPUTED_VALUE"""),0.5)</f>
        <v>0.5</v>
      </c>
      <c r="W2449" s="4" t="str">
        <f>IFERROR(__xludf.DUMMYFUNCTION("""COMPUTED_VALUE"""),"Saipos Serviços De Software")</f>
        <v>Saipos Serviços De Software</v>
      </c>
      <c r="X2449" s="33">
        <f>IFERROR(__xludf.DUMMYFUNCTION("""COMPUTED_VALUE"""),0.5)</f>
        <v>0.5</v>
      </c>
    </row>
    <row r="2450">
      <c r="K2450" s="4" t="str">
        <f>IFERROR(__xludf.DUMMYFUNCTION("""COMPUTED_VALUE"""),"NARU SUSHI SCS")</f>
        <v>NARU SUSHI SCS</v>
      </c>
      <c r="L2450" s="32">
        <f>IFERROR(__xludf.DUMMYFUNCTION("""COMPUTED_VALUE"""),4.0)</f>
        <v>4</v>
      </c>
      <c r="M2450" s="4" t="str">
        <f>IFERROR(__xludf.DUMMYFUNCTION("""COMPUTED_VALUE"""),"Saipos Serviços De Software")</f>
        <v>Saipos Serviços De Software</v>
      </c>
      <c r="N2450" s="33">
        <f>IFERROR(__xludf.DUMMYFUNCTION("""COMPUTED_VALUE"""),0.75)</f>
        <v>0.75</v>
      </c>
      <c r="O2450" s="4" t="str">
        <f>IFERROR(__xludf.DUMMYFUNCTION("""COMPUTED_VALUE"""),"Saipos Serviços De Software")</f>
        <v>Saipos Serviços De Software</v>
      </c>
      <c r="P2450" s="33">
        <f>IFERROR(__xludf.DUMMYFUNCTION("""COMPUTED_VALUE"""),1.0)</f>
        <v>1</v>
      </c>
      <c r="Q2450" s="4" t="str">
        <f>IFERROR(__xludf.DUMMYFUNCTION("""COMPUTED_VALUE"""),"Saipos Serviços De Software")</f>
        <v>Saipos Serviços De Software</v>
      </c>
      <c r="R2450" s="33">
        <f>IFERROR(__xludf.DUMMYFUNCTION("""COMPUTED_VALUE"""),0.75)</f>
        <v>0.75</v>
      </c>
      <c r="S2450" s="4" t="str">
        <f>IFERROR(__xludf.DUMMYFUNCTION("""COMPUTED_VALUE"""),"null")</f>
        <v>null</v>
      </c>
      <c r="T2450" s="33">
        <f>IFERROR(__xludf.DUMMYFUNCTION("""COMPUTED_VALUE"""),0.75)</f>
        <v>0.75</v>
      </c>
      <c r="U2450" s="4" t="str">
        <f>IFERROR(__xludf.DUMMYFUNCTION("""COMPUTED_VALUE"""),"null")</f>
        <v>null</v>
      </c>
      <c r="V2450" s="33">
        <f>IFERROR(__xludf.DUMMYFUNCTION("""COMPUTED_VALUE"""),0.75)</f>
        <v>0.75</v>
      </c>
      <c r="W2450" s="4" t="str">
        <f>IFERROR(__xludf.DUMMYFUNCTION("""COMPUTED_VALUE"""),"null")</f>
        <v>null</v>
      </c>
      <c r="X2450" s="33">
        <f>IFERROR(__xludf.DUMMYFUNCTION("""COMPUTED_VALUE"""),0.75)</f>
        <v>0.75</v>
      </c>
    </row>
    <row r="2451">
      <c r="K2451" s="4" t="str">
        <f>IFERROR(__xludf.DUMMYFUNCTION("""COMPUTED_VALUE"""),"NAZCA SUSHI")</f>
        <v>NAZCA SUSHI</v>
      </c>
      <c r="L2451" s="32">
        <f>IFERROR(__xludf.DUMMYFUNCTION("""COMPUTED_VALUE"""),4.0)</f>
        <v>4</v>
      </c>
      <c r="M2451" s="4" t="str">
        <f>IFERROR(__xludf.DUMMYFUNCTION("""COMPUTED_VALUE"""),"null")</f>
        <v>null</v>
      </c>
      <c r="N2451" s="33">
        <f>IFERROR(__xludf.DUMMYFUNCTION("""COMPUTED_VALUE"""),0.5)</f>
        <v>0.5</v>
      </c>
      <c r="O2451" s="4" t="str">
        <f>IFERROR(__xludf.DUMMYFUNCTION("""COMPUTED_VALUE"""),"null")</f>
        <v>null</v>
      </c>
      <c r="P2451" s="33">
        <f>IFERROR(__xludf.DUMMYFUNCTION("""COMPUTED_VALUE"""),0.5)</f>
        <v>0.5</v>
      </c>
      <c r="Q2451" s="4" t="str">
        <f>IFERROR(__xludf.DUMMYFUNCTION("""COMPUTED_VALUE"""),"null")</f>
        <v>null</v>
      </c>
      <c r="R2451" s="33">
        <f>IFERROR(__xludf.DUMMYFUNCTION("""COMPUTED_VALUE"""),0.5)</f>
        <v>0.5</v>
      </c>
      <c r="S2451" s="4" t="str">
        <f>IFERROR(__xludf.DUMMYFUNCTION("""COMPUTED_VALUE"""),"Saipos Serviços De Software")</f>
        <v>Saipos Serviços De Software</v>
      </c>
      <c r="T2451" s="33">
        <f>IFERROR(__xludf.DUMMYFUNCTION("""COMPUTED_VALUE"""),1.0)</f>
        <v>1</v>
      </c>
      <c r="U2451" s="4" t="str">
        <f>IFERROR(__xludf.DUMMYFUNCTION("""COMPUTED_VALUE"""),"Saipos Serviços De Software")</f>
        <v>Saipos Serviços De Software</v>
      </c>
      <c r="V2451" s="33">
        <f>IFERROR(__xludf.DUMMYFUNCTION("""COMPUTED_VALUE"""),0.5)</f>
        <v>0.5</v>
      </c>
      <c r="W2451" s="4" t="str">
        <f>IFERROR(__xludf.DUMMYFUNCTION("""COMPUTED_VALUE"""),"Saipos Serviços De Software")</f>
        <v>Saipos Serviços De Software</v>
      </c>
      <c r="X2451" s="33">
        <f>IFERROR(__xludf.DUMMYFUNCTION("""COMPUTED_VALUE"""),0.5)</f>
        <v>0.5</v>
      </c>
    </row>
    <row r="2452">
      <c r="K2452" s="4" t="str">
        <f>IFERROR(__xludf.DUMMYFUNCTION("""COMPUTED_VALUE"""),"NEMO SUSHI")</f>
        <v>NEMO SUSHI</v>
      </c>
      <c r="L2452" s="32">
        <f>IFERROR(__xludf.DUMMYFUNCTION("""COMPUTED_VALUE"""),4.0)</f>
        <v>4</v>
      </c>
      <c r="M2452" s="4" t="str">
        <f>IFERROR(__xludf.DUMMYFUNCTION("""COMPUTED_VALUE"""),"Saipos Serviços De Software")</f>
        <v>Saipos Serviços De Software</v>
      </c>
      <c r="N2452" s="33">
        <f>IFERROR(__xludf.DUMMYFUNCTION("""COMPUTED_VALUE"""),1.0)</f>
        <v>1</v>
      </c>
      <c r="O2452" s="4" t="str">
        <f>IFERROR(__xludf.DUMMYFUNCTION("""COMPUTED_VALUE"""),"Saipos Serviços De Software")</f>
        <v>Saipos Serviços De Software</v>
      </c>
      <c r="P2452" s="33">
        <f>IFERROR(__xludf.DUMMYFUNCTION("""COMPUTED_VALUE"""),1.0)</f>
        <v>1</v>
      </c>
      <c r="Q2452" s="4" t="str">
        <f>IFERROR(__xludf.DUMMYFUNCTION("""COMPUTED_VALUE"""),"Saipos Serviços De Software")</f>
        <v>Saipos Serviços De Software</v>
      </c>
      <c r="R2452" s="33">
        <f>IFERROR(__xludf.DUMMYFUNCTION("""COMPUTED_VALUE"""),1.0)</f>
        <v>1</v>
      </c>
      <c r="S2452" s="4" t="str">
        <f>IFERROR(__xludf.DUMMYFUNCTION("""COMPUTED_VALUE"""),"Saipos Serviços De Software")</f>
        <v>Saipos Serviços De Software</v>
      </c>
      <c r="T2452" s="33">
        <f>IFERROR(__xludf.DUMMYFUNCTION("""COMPUTED_VALUE"""),1.0)</f>
        <v>1</v>
      </c>
      <c r="U2452" s="4" t="str">
        <f>IFERROR(__xludf.DUMMYFUNCTION("""COMPUTED_VALUE"""),"Saipos Serviços De Software")</f>
        <v>Saipos Serviços De Software</v>
      </c>
      <c r="V2452" s="33">
        <f>IFERROR(__xludf.DUMMYFUNCTION("""COMPUTED_VALUE"""),1.0)</f>
        <v>1</v>
      </c>
      <c r="W2452" s="4" t="str">
        <f>IFERROR(__xludf.DUMMYFUNCTION("""COMPUTED_VALUE"""),"Saipos Serviços De Software")</f>
        <v>Saipos Serviços De Software</v>
      </c>
      <c r="X2452" s="33">
        <f>IFERROR(__xludf.DUMMYFUNCTION("""COMPUTED_VALUE"""),1.0)</f>
        <v>1</v>
      </c>
    </row>
    <row r="2453">
      <c r="K2453" s="4" t="str">
        <f>IFERROR(__xludf.DUMMYFUNCTION("""COMPUTED_VALUE"""),"NICE SALGADOS")</f>
        <v>NICE SALGADOS</v>
      </c>
      <c r="L2453" s="32">
        <f>IFERROR(__xludf.DUMMYFUNCTION("""COMPUTED_VALUE"""),4.0)</f>
        <v>4</v>
      </c>
      <c r="M2453" s="4" t="str">
        <f>IFERROR(__xludf.DUMMYFUNCTION("""COMPUTED_VALUE"""),"Saipos Serviços De Software")</f>
        <v>Saipos Serviços De Software</v>
      </c>
      <c r="N2453" s="33">
        <f>IFERROR(__xludf.DUMMYFUNCTION("""COMPUTED_VALUE"""),1.0)</f>
        <v>1</v>
      </c>
      <c r="O2453" s="4" t="str">
        <f>IFERROR(__xludf.DUMMYFUNCTION("""COMPUTED_VALUE"""),"Saipos Serviços De Software")</f>
        <v>Saipos Serviços De Software</v>
      </c>
      <c r="P2453" s="33">
        <f>IFERROR(__xludf.DUMMYFUNCTION("""COMPUTED_VALUE"""),1.0)</f>
        <v>1</v>
      </c>
      <c r="Q2453" s="4" t="str">
        <f>IFERROR(__xludf.DUMMYFUNCTION("""COMPUTED_VALUE"""),"Saipos Serviços De Software")</f>
        <v>Saipos Serviços De Software</v>
      </c>
      <c r="R2453" s="33">
        <f>IFERROR(__xludf.DUMMYFUNCTION("""COMPUTED_VALUE"""),1.0)</f>
        <v>1</v>
      </c>
      <c r="S2453" s="4" t="str">
        <f>IFERROR(__xludf.DUMMYFUNCTION("""COMPUTED_VALUE"""),"Saipos Serviços De Software")</f>
        <v>Saipos Serviços De Software</v>
      </c>
      <c r="T2453" s="33">
        <f>IFERROR(__xludf.DUMMYFUNCTION("""COMPUTED_VALUE"""),1.0)</f>
        <v>1</v>
      </c>
      <c r="U2453" s="4" t="str">
        <f>IFERROR(__xludf.DUMMYFUNCTION("""COMPUTED_VALUE"""),"Saipos Serviços De Software")</f>
        <v>Saipos Serviços De Software</v>
      </c>
      <c r="V2453" s="33">
        <f>IFERROR(__xludf.DUMMYFUNCTION("""COMPUTED_VALUE"""),1.0)</f>
        <v>1</v>
      </c>
      <c r="W2453" s="4" t="str">
        <f>IFERROR(__xludf.DUMMYFUNCTION("""COMPUTED_VALUE"""),"Saipos Serviços De Software")</f>
        <v>Saipos Serviços De Software</v>
      </c>
      <c r="X2453" s="33">
        <f>IFERROR(__xludf.DUMMYFUNCTION("""COMPUTED_VALUE"""),1.0)</f>
        <v>1</v>
      </c>
    </row>
    <row r="2454">
      <c r="K2454" s="4" t="str">
        <f>IFERROR(__xludf.DUMMYFUNCTION("""COMPUTED_VALUE"""),"NOSSA COZINHA")</f>
        <v>NOSSA COZINHA</v>
      </c>
      <c r="L2454" s="32">
        <f>IFERROR(__xludf.DUMMYFUNCTION("""COMPUTED_VALUE"""),4.0)</f>
        <v>4</v>
      </c>
      <c r="M2454" s="4" t="str">
        <f>IFERROR(__xludf.DUMMYFUNCTION("""COMPUTED_VALUE"""),"Consumer Soluções Em Tecnologia Ltda")</f>
        <v>Consumer Soluções Em Tecnologia Ltda</v>
      </c>
      <c r="N2454" s="33">
        <f>IFERROR(__xludf.DUMMYFUNCTION("""COMPUTED_VALUE"""),0.75)</f>
        <v>0.75</v>
      </c>
      <c r="O2454" s="4" t="str">
        <f>IFERROR(__xludf.DUMMYFUNCTION("""COMPUTED_VALUE"""),"Consumer Soluções Em Tecnologia Ltda")</f>
        <v>Consumer Soluções Em Tecnologia Ltda</v>
      </c>
      <c r="P2454" s="33">
        <f>IFERROR(__xludf.DUMMYFUNCTION("""COMPUTED_VALUE"""),0.75)</f>
        <v>0.75</v>
      </c>
      <c r="Q2454" s="4" t="str">
        <f>IFERROR(__xludf.DUMMYFUNCTION("""COMPUTED_VALUE"""),"Consumer Soluções Em Tecnologia Ltda")</f>
        <v>Consumer Soluções Em Tecnologia Ltda</v>
      </c>
      <c r="R2454" s="33">
        <f>IFERROR(__xludf.DUMMYFUNCTION("""COMPUTED_VALUE"""),0.75)</f>
        <v>0.75</v>
      </c>
      <c r="S2454" s="4" t="str">
        <f>IFERROR(__xludf.DUMMYFUNCTION("""COMPUTED_VALUE"""),"Consumer Soluções Em Tecnologia Ltda")</f>
        <v>Consumer Soluções Em Tecnologia Ltda</v>
      </c>
      <c r="T2454" s="33">
        <f>IFERROR(__xludf.DUMMYFUNCTION("""COMPUTED_VALUE"""),0.75)</f>
        <v>0.75</v>
      </c>
      <c r="U2454" s="4" t="str">
        <f>IFERROR(__xludf.DUMMYFUNCTION("""COMPUTED_VALUE"""),"Consumer Soluções Em Tecnologia Ltda")</f>
        <v>Consumer Soluções Em Tecnologia Ltda</v>
      </c>
      <c r="V2454" s="33">
        <f>IFERROR(__xludf.DUMMYFUNCTION("""COMPUTED_VALUE"""),1.0)</f>
        <v>1</v>
      </c>
      <c r="W2454" s="4" t="str">
        <f>IFERROR(__xludf.DUMMYFUNCTION("""COMPUTED_VALUE"""),"Consumer Soluções Em Tecnologia Ltda")</f>
        <v>Consumer Soluções Em Tecnologia Ltda</v>
      </c>
      <c r="X2454" s="33">
        <f>IFERROR(__xludf.DUMMYFUNCTION("""COMPUTED_VALUE"""),1.0)</f>
        <v>1</v>
      </c>
    </row>
    <row r="2455">
      <c r="K2455" s="4" t="str">
        <f>IFERROR(__xludf.DUMMYFUNCTION("""COMPUTED_VALUE"""),"NOU")</f>
        <v>NOU</v>
      </c>
      <c r="L2455" s="32">
        <f>IFERROR(__xludf.DUMMYFUNCTION("""COMPUTED_VALUE"""),4.0)</f>
        <v>4</v>
      </c>
      <c r="M2455" s="4" t="str">
        <f>IFERROR(__xludf.DUMMYFUNCTION("""COMPUTED_VALUE"""),"Hsm Soluções")</f>
        <v>Hsm Soluções</v>
      </c>
      <c r="N2455" s="33">
        <f>IFERROR(__xludf.DUMMYFUNCTION("""COMPUTED_VALUE"""),0.5)</f>
        <v>0.5</v>
      </c>
      <c r="O2455" s="4" t="str">
        <f>IFERROR(__xludf.DUMMYFUNCTION("""COMPUTED_VALUE"""),"Hsm Soluções")</f>
        <v>Hsm Soluções</v>
      </c>
      <c r="P2455" s="33">
        <f>IFERROR(__xludf.DUMMYFUNCTION("""COMPUTED_VALUE"""),1.0)</f>
        <v>1</v>
      </c>
      <c r="Q2455" s="4" t="str">
        <f>IFERROR(__xludf.DUMMYFUNCTION("""COMPUTED_VALUE"""),"Hsm Soluções")</f>
        <v>Hsm Soluções</v>
      </c>
      <c r="R2455" s="33">
        <f>IFERROR(__xludf.DUMMYFUNCTION("""COMPUTED_VALUE"""),1.0)</f>
        <v>1</v>
      </c>
      <c r="S2455" s="4" t="str">
        <f>IFERROR(__xludf.DUMMYFUNCTION("""COMPUTED_VALUE"""),"Hsm Soluções")</f>
        <v>Hsm Soluções</v>
      </c>
      <c r="T2455" s="33">
        <f>IFERROR(__xludf.DUMMYFUNCTION("""COMPUTED_VALUE"""),0.75)</f>
        <v>0.75</v>
      </c>
      <c r="U2455" s="4" t="str">
        <f>IFERROR(__xludf.DUMMYFUNCTION("""COMPUTED_VALUE"""),"Hsm Soluções")</f>
        <v>Hsm Soluções</v>
      </c>
      <c r="V2455" s="33">
        <f>IFERROR(__xludf.DUMMYFUNCTION("""COMPUTED_VALUE"""),0.75)</f>
        <v>0.75</v>
      </c>
      <c r="W2455" s="4" t="str">
        <f>IFERROR(__xludf.DUMMYFUNCTION("""COMPUTED_VALUE"""),"Hsm Soluções")</f>
        <v>Hsm Soluções</v>
      </c>
      <c r="X2455" s="33">
        <f>IFERROR(__xludf.DUMMYFUNCTION("""COMPUTED_VALUE"""),1.0)</f>
        <v>1</v>
      </c>
    </row>
    <row r="2456">
      <c r="K2456" s="4" t="str">
        <f>IFERROR(__xludf.DUMMYFUNCTION("""COMPUTED_VALUE"""),"NOZU DELIVERY")</f>
        <v>NOZU DELIVERY</v>
      </c>
      <c r="L2456" s="32">
        <f>IFERROR(__xludf.DUMMYFUNCTION("""COMPUTED_VALUE"""),4.0)</f>
        <v>4</v>
      </c>
      <c r="M2456" s="4" t="str">
        <f>IFERROR(__xludf.DUMMYFUNCTION("""COMPUTED_VALUE"""),"Real Softwares")</f>
        <v>Real Softwares</v>
      </c>
      <c r="N2456" s="33">
        <f>IFERROR(__xludf.DUMMYFUNCTION("""COMPUTED_VALUE"""),1.0)</f>
        <v>1</v>
      </c>
      <c r="O2456" s="4" t="str">
        <f>IFERROR(__xludf.DUMMYFUNCTION("""COMPUTED_VALUE"""),"Real Softwares")</f>
        <v>Real Softwares</v>
      </c>
      <c r="P2456" s="33">
        <f>IFERROR(__xludf.DUMMYFUNCTION("""COMPUTED_VALUE"""),1.0)</f>
        <v>1</v>
      </c>
      <c r="Q2456" s="4" t="str">
        <f>IFERROR(__xludf.DUMMYFUNCTION("""COMPUTED_VALUE"""),"Real Softwares")</f>
        <v>Real Softwares</v>
      </c>
      <c r="R2456" s="33">
        <f>IFERROR(__xludf.DUMMYFUNCTION("""COMPUTED_VALUE"""),1.0)</f>
        <v>1</v>
      </c>
      <c r="S2456" s="4" t="str">
        <f>IFERROR(__xludf.DUMMYFUNCTION("""COMPUTED_VALUE"""),"Real Softwares")</f>
        <v>Real Softwares</v>
      </c>
      <c r="T2456" s="33">
        <f>IFERROR(__xludf.DUMMYFUNCTION("""COMPUTED_VALUE"""),1.0)</f>
        <v>1</v>
      </c>
      <c r="U2456" s="4" t="str">
        <f>IFERROR(__xludf.DUMMYFUNCTION("""COMPUTED_VALUE"""),"Real Softwares")</f>
        <v>Real Softwares</v>
      </c>
      <c r="V2456" s="33">
        <f>IFERROR(__xludf.DUMMYFUNCTION("""COMPUTED_VALUE"""),1.0)</f>
        <v>1</v>
      </c>
      <c r="W2456" s="4" t="str">
        <f>IFERROR(__xludf.DUMMYFUNCTION("""COMPUTED_VALUE"""),"Real Softwares")</f>
        <v>Real Softwares</v>
      </c>
      <c r="X2456" s="33">
        <f>IFERROR(__xludf.DUMMYFUNCTION("""COMPUTED_VALUE"""),1.0)</f>
        <v>1</v>
      </c>
    </row>
    <row r="2457">
      <c r="K2457" s="4" t="str">
        <f>IFERROR(__xludf.DUMMYFUNCTION("""COMPUTED_VALUE"""),"NSA SUPERMERCADO - CONTA PAI")</f>
        <v>NSA SUPERMERCADO - CONTA PAI</v>
      </c>
      <c r="L2457" s="32">
        <f>IFERROR(__xludf.DUMMYFUNCTION("""COMPUTED_VALUE"""),4.0)</f>
        <v>4</v>
      </c>
      <c r="M2457" s="4" t="str">
        <f>IFERROR(__xludf.DUMMYFUNCTION("""COMPUTED_VALUE"""),"N/A (Not found)")</f>
        <v>N/A (Not found)</v>
      </c>
      <c r="N2457" s="33">
        <f>IFERROR(__xludf.DUMMYFUNCTION("""COMPUTED_VALUE"""),1.0)</f>
        <v>1</v>
      </c>
      <c r="O2457" s="4" t="str">
        <f>IFERROR(__xludf.DUMMYFUNCTION("""COMPUTED_VALUE"""),"N/A (Not found)")</f>
        <v>N/A (Not found)</v>
      </c>
      <c r="P2457" s="33">
        <f>IFERROR(__xludf.DUMMYFUNCTION("""COMPUTED_VALUE"""),1.0)</f>
        <v>1</v>
      </c>
      <c r="Q2457" s="4" t="str">
        <f>IFERROR(__xludf.DUMMYFUNCTION("""COMPUTED_VALUE"""),"N/A (Not found)")</f>
        <v>N/A (Not found)</v>
      </c>
      <c r="R2457" s="33">
        <f>IFERROR(__xludf.DUMMYFUNCTION("""COMPUTED_VALUE"""),1.0)</f>
        <v>1</v>
      </c>
      <c r="S2457" s="4" t="str">
        <f>IFERROR(__xludf.DUMMYFUNCTION("""COMPUTED_VALUE"""),"N/A (Not found)")</f>
        <v>N/A (Not found)</v>
      </c>
      <c r="T2457" s="33">
        <f>IFERROR(__xludf.DUMMYFUNCTION("""COMPUTED_VALUE"""),1.0)</f>
        <v>1</v>
      </c>
      <c r="U2457" s="4" t="str">
        <f>IFERROR(__xludf.DUMMYFUNCTION("""COMPUTED_VALUE"""),"N/A (Not found)")</f>
        <v>N/A (Not found)</v>
      </c>
      <c r="V2457" s="33">
        <f>IFERROR(__xludf.DUMMYFUNCTION("""COMPUTED_VALUE"""),1.0)</f>
        <v>1</v>
      </c>
      <c r="W2457" s="4" t="str">
        <f>IFERROR(__xludf.DUMMYFUNCTION("""COMPUTED_VALUE"""),"N/A (Not found)")</f>
        <v>N/A (Not found)</v>
      </c>
      <c r="X2457" s="33">
        <f>IFERROR(__xludf.DUMMYFUNCTION("""COMPUTED_VALUE"""),1.0)</f>
        <v>1</v>
      </c>
    </row>
    <row r="2458">
      <c r="K2458" s="4" t="str">
        <f>IFERROR(__xludf.DUMMYFUNCTION("""COMPUTED_VALUE"""),"GRUPO O BRAZEIRO")</f>
        <v>GRUPO O BRAZEIRO</v>
      </c>
      <c r="L2458" s="32">
        <f>IFERROR(__xludf.DUMMYFUNCTION("""COMPUTED_VALUE"""),4.0)</f>
        <v>4</v>
      </c>
      <c r="M2458" s="4" t="str">
        <f>IFERROR(__xludf.DUMMYFUNCTION("""COMPUTED_VALUE"""),"Ncr")</f>
        <v>Ncr</v>
      </c>
      <c r="N2458" s="33">
        <f>IFERROR(__xludf.DUMMYFUNCTION("""COMPUTED_VALUE"""),1.0)</f>
        <v>1</v>
      </c>
      <c r="O2458" s="4" t="str">
        <f>IFERROR(__xludf.DUMMYFUNCTION("""COMPUTED_VALUE"""),"Ncr")</f>
        <v>Ncr</v>
      </c>
      <c r="P2458" s="33">
        <f>IFERROR(__xludf.DUMMYFUNCTION("""COMPUTED_VALUE"""),1.0)</f>
        <v>1</v>
      </c>
      <c r="Q2458" s="4" t="str">
        <f>IFERROR(__xludf.DUMMYFUNCTION("""COMPUTED_VALUE"""),"Ncr")</f>
        <v>Ncr</v>
      </c>
      <c r="R2458" s="33">
        <f>IFERROR(__xludf.DUMMYFUNCTION("""COMPUTED_VALUE"""),1.0)</f>
        <v>1</v>
      </c>
      <c r="S2458" s="4" t="str">
        <f>IFERROR(__xludf.DUMMYFUNCTION("""COMPUTED_VALUE"""),"Ncr")</f>
        <v>Ncr</v>
      </c>
      <c r="T2458" s="33">
        <f>IFERROR(__xludf.DUMMYFUNCTION("""COMPUTED_VALUE"""),1.0)</f>
        <v>1</v>
      </c>
      <c r="U2458" s="4" t="str">
        <f>IFERROR(__xludf.DUMMYFUNCTION("""COMPUTED_VALUE"""),"Ncr")</f>
        <v>Ncr</v>
      </c>
      <c r="V2458" s="33">
        <f>IFERROR(__xludf.DUMMYFUNCTION("""COMPUTED_VALUE"""),1.0)</f>
        <v>1</v>
      </c>
      <c r="W2458" s="4" t="str">
        <f>IFERROR(__xludf.DUMMYFUNCTION("""COMPUTED_VALUE"""),"Ncr")</f>
        <v>Ncr</v>
      </c>
      <c r="X2458" s="33">
        <f>IFERROR(__xludf.DUMMYFUNCTION("""COMPUTED_VALUE"""),1.0)</f>
        <v>1</v>
      </c>
    </row>
    <row r="2459">
      <c r="K2459" s="4" t="str">
        <f>IFERROR(__xludf.DUMMYFUNCTION("""COMPUTED_VALUE"""),"O JAPA")</f>
        <v>O JAPA</v>
      </c>
      <c r="L2459" s="32">
        <f>IFERROR(__xludf.DUMMYFUNCTION("""COMPUTED_VALUE"""),4.0)</f>
        <v>4</v>
      </c>
      <c r="M2459" s="4" t="str">
        <f>IFERROR(__xludf.DUMMYFUNCTION("""COMPUTED_VALUE"""),"Saipos Serviços De Software")</f>
        <v>Saipos Serviços De Software</v>
      </c>
      <c r="N2459" s="33">
        <f>IFERROR(__xludf.DUMMYFUNCTION("""COMPUTED_VALUE"""),1.0)</f>
        <v>1</v>
      </c>
      <c r="O2459" s="4" t="str">
        <f>IFERROR(__xludf.DUMMYFUNCTION("""COMPUTED_VALUE"""),"Saipos Serviços De Software")</f>
        <v>Saipos Serviços De Software</v>
      </c>
      <c r="P2459" s="33">
        <f>IFERROR(__xludf.DUMMYFUNCTION("""COMPUTED_VALUE"""),1.0)</f>
        <v>1</v>
      </c>
      <c r="Q2459" s="4" t="str">
        <f>IFERROR(__xludf.DUMMYFUNCTION("""COMPUTED_VALUE"""),"Saipos Serviços De Software")</f>
        <v>Saipos Serviços De Software</v>
      </c>
      <c r="R2459" s="33">
        <f>IFERROR(__xludf.DUMMYFUNCTION("""COMPUTED_VALUE"""),1.0)</f>
        <v>1</v>
      </c>
      <c r="S2459" s="4" t="str">
        <f>IFERROR(__xludf.DUMMYFUNCTION("""COMPUTED_VALUE"""),"Saipos Serviços De Software")</f>
        <v>Saipos Serviços De Software</v>
      </c>
      <c r="T2459" s="33">
        <f>IFERROR(__xludf.DUMMYFUNCTION("""COMPUTED_VALUE"""),1.0)</f>
        <v>1</v>
      </c>
      <c r="U2459" s="4" t="str">
        <f>IFERROR(__xludf.DUMMYFUNCTION("""COMPUTED_VALUE"""),"Saipos Serviços De Software")</f>
        <v>Saipos Serviços De Software</v>
      </c>
      <c r="V2459" s="33">
        <f>IFERROR(__xludf.DUMMYFUNCTION("""COMPUTED_VALUE"""),1.0)</f>
        <v>1</v>
      </c>
      <c r="W2459" s="4" t="str">
        <f>IFERROR(__xludf.DUMMYFUNCTION("""COMPUTED_VALUE"""),"Saipos Serviços De Software")</f>
        <v>Saipos Serviços De Software</v>
      </c>
      <c r="X2459" s="33">
        <f>IFERROR(__xludf.DUMMYFUNCTION("""COMPUTED_VALUE"""),1.0)</f>
        <v>1</v>
      </c>
    </row>
    <row r="2460">
      <c r="K2460" s="4" t="str">
        <f>IFERROR(__xludf.DUMMYFUNCTION("""COMPUTED_VALUE"""),"O NOSSO CHURRASQUETO")</f>
        <v>O NOSSO CHURRASQUETO</v>
      </c>
      <c r="L2460" s="32">
        <f>IFERROR(__xludf.DUMMYFUNCTION("""COMPUTED_VALUE"""),4.0)</f>
        <v>4</v>
      </c>
      <c r="M2460" s="4" t="str">
        <f>IFERROR(__xludf.DUMMYFUNCTION("""COMPUTED_VALUE"""),"null")</f>
        <v>null</v>
      </c>
      <c r="N2460" s="33">
        <f>IFERROR(__xludf.DUMMYFUNCTION("""COMPUTED_VALUE"""),0.75)</f>
        <v>0.75</v>
      </c>
      <c r="O2460" s="4" t="str">
        <f>IFERROR(__xludf.DUMMYFUNCTION("""COMPUTED_VALUE"""),"null")</f>
        <v>null</v>
      </c>
      <c r="P2460" s="33">
        <f>IFERROR(__xludf.DUMMYFUNCTION("""COMPUTED_VALUE"""),0.75)</f>
        <v>0.75</v>
      </c>
      <c r="Q2460" s="4" t="str">
        <f>IFERROR(__xludf.DUMMYFUNCTION("""COMPUTED_VALUE"""),"null")</f>
        <v>null</v>
      </c>
      <c r="R2460" s="33">
        <f>IFERROR(__xludf.DUMMYFUNCTION("""COMPUTED_VALUE"""),0.75)</f>
        <v>0.75</v>
      </c>
      <c r="S2460" s="4" t="str">
        <f>IFERROR(__xludf.DUMMYFUNCTION("""COMPUTED_VALUE"""),"null")</f>
        <v>null</v>
      </c>
      <c r="T2460" s="33">
        <f>IFERROR(__xludf.DUMMYFUNCTION("""COMPUTED_VALUE"""),0.75)</f>
        <v>0.75</v>
      </c>
      <c r="U2460" s="4" t="str">
        <f>IFERROR(__xludf.DUMMYFUNCTION("""COMPUTED_VALUE"""),"Netcontroll Xmenu")</f>
        <v>Netcontroll Xmenu</v>
      </c>
      <c r="V2460" s="33">
        <f>IFERROR(__xludf.DUMMYFUNCTION("""COMPUTED_VALUE"""),1.0)</f>
        <v>1</v>
      </c>
      <c r="W2460" s="4" t="str">
        <f>IFERROR(__xludf.DUMMYFUNCTION("""COMPUTED_VALUE"""),"Netcontroll Xmenu")</f>
        <v>Netcontroll Xmenu</v>
      </c>
      <c r="X2460" s="33">
        <f>IFERROR(__xludf.DUMMYFUNCTION("""COMPUTED_VALUE"""),1.0)</f>
        <v>1</v>
      </c>
    </row>
    <row r="2461">
      <c r="K2461" s="4" t="str">
        <f>IFERROR(__xludf.DUMMYFUNCTION("""COMPUTED_VALUE"""),"O REI DO ESPETO")</f>
        <v>O REI DO ESPETO</v>
      </c>
      <c r="L2461" s="32">
        <f>IFERROR(__xludf.DUMMYFUNCTION("""COMPUTED_VALUE"""),4.0)</f>
        <v>4</v>
      </c>
      <c r="M2461" s="4" t="str">
        <f>IFERROR(__xludf.DUMMYFUNCTION("""COMPUTED_VALUE"""),"Vekttor")</f>
        <v>Vekttor</v>
      </c>
      <c r="N2461" s="33">
        <f>IFERROR(__xludf.DUMMYFUNCTION("""COMPUTED_VALUE"""),1.0)</f>
        <v>1</v>
      </c>
      <c r="O2461" s="4" t="str">
        <f>IFERROR(__xludf.DUMMYFUNCTION("""COMPUTED_VALUE"""),"null")</f>
        <v>null</v>
      </c>
      <c r="P2461" s="33">
        <f>IFERROR(__xludf.DUMMYFUNCTION("""COMPUTED_VALUE"""),0.5)</f>
        <v>0.5</v>
      </c>
      <c r="Q2461" s="4" t="str">
        <f>IFERROR(__xludf.DUMMYFUNCTION("""COMPUTED_VALUE"""),"Vekttor")</f>
        <v>Vekttor</v>
      </c>
      <c r="R2461" s="33">
        <f>IFERROR(__xludf.DUMMYFUNCTION("""COMPUTED_VALUE"""),0.75)</f>
        <v>0.75</v>
      </c>
      <c r="S2461" s="4" t="str">
        <f>IFERROR(__xludf.DUMMYFUNCTION("""COMPUTED_VALUE"""),"null")</f>
        <v>null</v>
      </c>
      <c r="T2461" s="33">
        <f>IFERROR(__xludf.DUMMYFUNCTION("""COMPUTED_VALUE"""),0.5)</f>
        <v>0.5</v>
      </c>
      <c r="U2461" s="4" t="str">
        <f>IFERROR(__xludf.DUMMYFUNCTION("""COMPUTED_VALUE"""),"Vekttor")</f>
        <v>Vekttor</v>
      </c>
      <c r="V2461" s="33">
        <f>IFERROR(__xludf.DUMMYFUNCTION("""COMPUTED_VALUE"""),0.75)</f>
        <v>0.75</v>
      </c>
      <c r="W2461" s="4" t="str">
        <f>IFERROR(__xludf.DUMMYFUNCTION("""COMPUTED_VALUE"""),"null")</f>
        <v>null</v>
      </c>
      <c r="X2461" s="33">
        <f>IFERROR(__xludf.DUMMYFUNCTION("""COMPUTED_VALUE"""),0.5)</f>
        <v>0.5</v>
      </c>
    </row>
    <row r="2462">
      <c r="K2462" s="4" t="str">
        <f>IFERROR(__xludf.DUMMYFUNCTION("""COMPUTED_VALUE"""),"O SHEIK ESFIHARIA")</f>
        <v>O SHEIK ESFIHARIA</v>
      </c>
      <c r="L2462" s="32">
        <f>IFERROR(__xludf.DUMMYFUNCTION("""COMPUTED_VALUE"""),4.0)</f>
        <v>4</v>
      </c>
      <c r="M2462" s="4" t="str">
        <f>IFERROR(__xludf.DUMMYFUNCTION("""COMPUTED_VALUE"""),"Saipos Serviços De Software")</f>
        <v>Saipos Serviços De Software</v>
      </c>
      <c r="N2462" s="33">
        <f>IFERROR(__xludf.DUMMYFUNCTION("""COMPUTED_VALUE"""),1.0)</f>
        <v>1</v>
      </c>
      <c r="O2462" s="4" t="str">
        <f>IFERROR(__xludf.DUMMYFUNCTION("""COMPUTED_VALUE"""),"Saipos Serviços De Software")</f>
        <v>Saipos Serviços De Software</v>
      </c>
      <c r="P2462" s="33">
        <f>IFERROR(__xludf.DUMMYFUNCTION("""COMPUTED_VALUE"""),1.0)</f>
        <v>1</v>
      </c>
      <c r="Q2462" s="4" t="str">
        <f>IFERROR(__xludf.DUMMYFUNCTION("""COMPUTED_VALUE"""),"Saipos Serviços De Software")</f>
        <v>Saipos Serviços De Software</v>
      </c>
      <c r="R2462" s="33">
        <f>IFERROR(__xludf.DUMMYFUNCTION("""COMPUTED_VALUE"""),1.0)</f>
        <v>1</v>
      </c>
      <c r="S2462" s="4" t="str">
        <f>IFERROR(__xludf.DUMMYFUNCTION("""COMPUTED_VALUE"""),"Saipos Serviços De Software")</f>
        <v>Saipos Serviços De Software</v>
      </c>
      <c r="T2462" s="33">
        <f>IFERROR(__xludf.DUMMYFUNCTION("""COMPUTED_VALUE"""),0.75)</f>
        <v>0.75</v>
      </c>
      <c r="U2462" s="4" t="str">
        <f>IFERROR(__xludf.DUMMYFUNCTION("""COMPUTED_VALUE"""),"Saipos Serviços De Software")</f>
        <v>Saipos Serviços De Software</v>
      </c>
      <c r="V2462" s="33">
        <f>IFERROR(__xludf.DUMMYFUNCTION("""COMPUTED_VALUE"""),0.75)</f>
        <v>0.75</v>
      </c>
      <c r="W2462" s="4" t="str">
        <f>IFERROR(__xludf.DUMMYFUNCTION("""COMPUTED_VALUE"""),"Saipos Serviços De Software")</f>
        <v>Saipos Serviços De Software</v>
      </c>
      <c r="X2462" s="33">
        <f>IFERROR(__xludf.DUMMYFUNCTION("""COMPUTED_VALUE"""),0.75)</f>
        <v>0.75</v>
      </c>
    </row>
    <row r="2463">
      <c r="K2463" s="4" t="str">
        <f>IFERROR(__xludf.DUMMYFUNCTION("""COMPUTED_VALUE"""),"OGGI PIZZA NAPOLETANA")</f>
        <v>OGGI PIZZA NAPOLETANA</v>
      </c>
      <c r="L2463" s="32">
        <f>IFERROR(__xludf.DUMMYFUNCTION("""COMPUTED_VALUE"""),4.0)</f>
        <v>4</v>
      </c>
      <c r="M2463" s="4" t="str">
        <f>IFERROR(__xludf.DUMMYFUNCTION("""COMPUTED_VALUE"""),"null")</f>
        <v>null</v>
      </c>
      <c r="N2463" s="33">
        <f>IFERROR(__xludf.DUMMYFUNCTION("""COMPUTED_VALUE"""),1.0)</f>
        <v>1</v>
      </c>
      <c r="O2463" s="4" t="str">
        <f>IFERROR(__xludf.DUMMYFUNCTION("""COMPUTED_VALUE"""),"null")</f>
        <v>null</v>
      </c>
      <c r="P2463" s="33">
        <f>IFERROR(__xludf.DUMMYFUNCTION("""COMPUTED_VALUE"""),1.0)</f>
        <v>1</v>
      </c>
      <c r="Q2463" s="4" t="str">
        <f>IFERROR(__xludf.DUMMYFUNCTION("""COMPUTED_VALUE"""),"null")</f>
        <v>null</v>
      </c>
      <c r="R2463" s="33">
        <f>IFERROR(__xludf.DUMMYFUNCTION("""COMPUTED_VALUE"""),1.0)</f>
        <v>1</v>
      </c>
      <c r="S2463" s="4" t="str">
        <f>IFERROR(__xludf.DUMMYFUNCTION("""COMPUTED_VALUE"""),"null")</f>
        <v>null</v>
      </c>
      <c r="T2463" s="33">
        <f>IFERROR(__xludf.DUMMYFUNCTION("""COMPUTED_VALUE"""),1.0)</f>
        <v>1</v>
      </c>
      <c r="U2463" s="4" t="str">
        <f>IFERROR(__xludf.DUMMYFUNCTION("""COMPUTED_VALUE"""),"null")</f>
        <v>null</v>
      </c>
      <c r="V2463" s="33">
        <f>IFERROR(__xludf.DUMMYFUNCTION("""COMPUTED_VALUE"""),1.0)</f>
        <v>1</v>
      </c>
      <c r="W2463" s="4" t="str">
        <f>IFERROR(__xludf.DUMMYFUNCTION("""COMPUTED_VALUE"""),"Menew - Linx")</f>
        <v>Menew - Linx</v>
      </c>
      <c r="X2463" s="33">
        <f>IFERROR(__xludf.DUMMYFUNCTION("""COMPUTED_VALUE"""),1.0)</f>
        <v>1</v>
      </c>
    </row>
    <row r="2464">
      <c r="K2464" s="4" t="str">
        <f>IFERROR(__xludf.DUMMYFUNCTION("""COMPUTED_VALUE"""),"OLD FAST BURGER - CAMPO GRANDE - MS")</f>
        <v>OLD FAST BURGER - CAMPO GRANDE - MS</v>
      </c>
      <c r="L2464" s="32">
        <f>IFERROR(__xludf.DUMMYFUNCTION("""COMPUTED_VALUE"""),4.0)</f>
        <v>4</v>
      </c>
      <c r="M2464" s="4" t="str">
        <f>IFERROR(__xludf.DUMMYFUNCTION("""COMPUTED_VALUE"""),"Saipos Serviços De Software")</f>
        <v>Saipos Serviços De Software</v>
      </c>
      <c r="N2464" s="33">
        <f>IFERROR(__xludf.DUMMYFUNCTION("""COMPUTED_VALUE"""),0.75)</f>
        <v>0.75</v>
      </c>
      <c r="O2464" s="4" t="str">
        <f>IFERROR(__xludf.DUMMYFUNCTION("""COMPUTED_VALUE"""),"Saipos Serviços De Software")</f>
        <v>Saipos Serviços De Software</v>
      </c>
      <c r="P2464" s="33">
        <f>IFERROR(__xludf.DUMMYFUNCTION("""COMPUTED_VALUE"""),0.75)</f>
        <v>0.75</v>
      </c>
      <c r="Q2464" s="4" t="str">
        <f>IFERROR(__xludf.DUMMYFUNCTION("""COMPUTED_VALUE"""),"Saipos Serviços De Software")</f>
        <v>Saipos Serviços De Software</v>
      </c>
      <c r="R2464" s="33">
        <f>IFERROR(__xludf.DUMMYFUNCTION("""COMPUTED_VALUE"""),1.0)</f>
        <v>1</v>
      </c>
      <c r="S2464" s="4" t="str">
        <f>IFERROR(__xludf.DUMMYFUNCTION("""COMPUTED_VALUE"""),"Saipos Serviços De Software")</f>
        <v>Saipos Serviços De Software</v>
      </c>
      <c r="T2464" s="33">
        <f>IFERROR(__xludf.DUMMYFUNCTION("""COMPUTED_VALUE"""),1.0)</f>
        <v>1</v>
      </c>
      <c r="U2464" s="4" t="str">
        <f>IFERROR(__xludf.DUMMYFUNCTION("""COMPUTED_VALUE"""),"Saipos Serviços De Software")</f>
        <v>Saipos Serviços De Software</v>
      </c>
      <c r="V2464" s="33">
        <f>IFERROR(__xludf.DUMMYFUNCTION("""COMPUTED_VALUE"""),1.0)</f>
        <v>1</v>
      </c>
      <c r="W2464" s="4" t="str">
        <f>IFERROR(__xludf.DUMMYFUNCTION("""COMPUTED_VALUE"""),"Saipos Serviços De Software")</f>
        <v>Saipos Serviços De Software</v>
      </c>
      <c r="X2464" s="33">
        <f>IFERROR(__xludf.DUMMYFUNCTION("""COMPUTED_VALUE"""),1.0)</f>
        <v>1</v>
      </c>
    </row>
    <row r="2465">
      <c r="K2465" s="4" t="str">
        <f>IFERROR(__xludf.DUMMYFUNCTION("""COMPUTED_VALUE"""),"OLIVE GARDEN")</f>
        <v>OLIVE GARDEN</v>
      </c>
      <c r="L2465" s="32">
        <f>IFERROR(__xludf.DUMMYFUNCTION("""COMPUTED_VALUE"""),4.0)</f>
        <v>4</v>
      </c>
      <c r="M2465" s="4" t="str">
        <f>IFERROR(__xludf.DUMMYFUNCTION("""COMPUTED_VALUE"""),"Teknisa Service Ltda")</f>
        <v>Teknisa Service Ltda</v>
      </c>
      <c r="N2465" s="33">
        <f>IFERROR(__xludf.DUMMYFUNCTION("""COMPUTED_VALUE"""),1.0)</f>
        <v>1</v>
      </c>
      <c r="O2465" s="4" t="str">
        <f>IFERROR(__xludf.DUMMYFUNCTION("""COMPUTED_VALUE"""),"Teknisa Service Ltda")</f>
        <v>Teknisa Service Ltda</v>
      </c>
      <c r="P2465" s="33">
        <f>IFERROR(__xludf.DUMMYFUNCTION("""COMPUTED_VALUE"""),1.0)</f>
        <v>1</v>
      </c>
      <c r="Q2465" s="4" t="str">
        <f>IFERROR(__xludf.DUMMYFUNCTION("""COMPUTED_VALUE"""),"Teknisa Service Ltda")</f>
        <v>Teknisa Service Ltda</v>
      </c>
      <c r="R2465" s="33">
        <f>IFERROR(__xludf.DUMMYFUNCTION("""COMPUTED_VALUE"""),1.0)</f>
        <v>1</v>
      </c>
      <c r="S2465" s="4" t="str">
        <f>IFERROR(__xludf.DUMMYFUNCTION("""COMPUTED_VALUE"""),"Teknisa Service Ltda")</f>
        <v>Teknisa Service Ltda</v>
      </c>
      <c r="T2465" s="33">
        <f>IFERROR(__xludf.DUMMYFUNCTION("""COMPUTED_VALUE"""),1.0)</f>
        <v>1</v>
      </c>
      <c r="U2465" s="4" t="str">
        <f>IFERROR(__xludf.DUMMYFUNCTION("""COMPUTED_VALUE"""),"Teknisa Service Ltda")</f>
        <v>Teknisa Service Ltda</v>
      </c>
      <c r="V2465" s="33">
        <f>IFERROR(__xludf.DUMMYFUNCTION("""COMPUTED_VALUE"""),1.0)</f>
        <v>1</v>
      </c>
      <c r="W2465" s="4" t="str">
        <f>IFERROR(__xludf.DUMMYFUNCTION("""COMPUTED_VALUE"""),"Teknisa Service Ltda")</f>
        <v>Teknisa Service Ltda</v>
      </c>
      <c r="X2465" s="33">
        <f>IFERROR(__xludf.DUMMYFUNCTION("""COMPUTED_VALUE"""),1.0)</f>
        <v>1</v>
      </c>
    </row>
    <row r="2466">
      <c r="K2466" s="4" t="str">
        <f>IFERROR(__xludf.DUMMYFUNCTION("""COMPUTED_VALUE"""),"OPASTA TRATTORIA")</f>
        <v>OPASTA TRATTORIA</v>
      </c>
      <c r="L2466" s="32">
        <f>IFERROR(__xludf.DUMMYFUNCTION("""COMPUTED_VALUE"""),4.0)</f>
        <v>4</v>
      </c>
      <c r="M2466" s="4" t="str">
        <f>IFERROR(__xludf.DUMMYFUNCTION("""COMPUTED_VALUE"""),"Totvs Large Enterprise Tecnologia S.a.")</f>
        <v>Totvs Large Enterprise Tecnologia S.a.</v>
      </c>
      <c r="N2466" s="33">
        <f>IFERROR(__xludf.DUMMYFUNCTION("""COMPUTED_VALUE"""),0.75)</f>
        <v>0.75</v>
      </c>
      <c r="O2466" s="4" t="str">
        <f>IFERROR(__xludf.DUMMYFUNCTION("""COMPUTED_VALUE"""),"Totvs Large Enterprise Tecnologia S.a.")</f>
        <v>Totvs Large Enterprise Tecnologia S.a.</v>
      </c>
      <c r="P2466" s="33">
        <f>IFERROR(__xludf.DUMMYFUNCTION("""COMPUTED_VALUE"""),1.0)</f>
        <v>1</v>
      </c>
      <c r="Q2466" s="4" t="str">
        <f>IFERROR(__xludf.DUMMYFUNCTION("""COMPUTED_VALUE"""),"Totvs Large Enterprise Tecnologia S.a.")</f>
        <v>Totvs Large Enterprise Tecnologia S.a.</v>
      </c>
      <c r="R2466" s="33">
        <f>IFERROR(__xludf.DUMMYFUNCTION("""COMPUTED_VALUE"""),1.0)</f>
        <v>1</v>
      </c>
      <c r="S2466" s="4" t="str">
        <f>IFERROR(__xludf.DUMMYFUNCTION("""COMPUTED_VALUE"""),"Totvs Large Enterprise Tecnologia S.a.")</f>
        <v>Totvs Large Enterprise Tecnologia S.a.</v>
      </c>
      <c r="T2466" s="33">
        <f>IFERROR(__xludf.DUMMYFUNCTION("""COMPUTED_VALUE"""),1.0)</f>
        <v>1</v>
      </c>
      <c r="U2466" s="4" t="str">
        <f>IFERROR(__xludf.DUMMYFUNCTION("""COMPUTED_VALUE"""),"Totvs Large Enterprise Tecnologia S.a.")</f>
        <v>Totvs Large Enterprise Tecnologia S.a.</v>
      </c>
      <c r="V2466" s="33">
        <f>IFERROR(__xludf.DUMMYFUNCTION("""COMPUTED_VALUE"""),1.0)</f>
        <v>1</v>
      </c>
      <c r="W2466" s="4" t="str">
        <f>IFERROR(__xludf.DUMMYFUNCTION("""COMPUTED_VALUE"""),"Totvs Large Enterprise Tecnologia S.a.")</f>
        <v>Totvs Large Enterprise Tecnologia S.a.</v>
      </c>
      <c r="X2466" s="33">
        <f>IFERROR(__xludf.DUMMYFUNCTION("""COMPUTED_VALUE"""),1.0)</f>
        <v>1</v>
      </c>
    </row>
    <row r="2467">
      <c r="K2467" s="4" t="str">
        <f>IFERROR(__xludf.DUMMYFUNCTION("""COMPUTED_VALUE"""),"OSTERIA GENERALE")</f>
        <v>OSTERIA GENERALE</v>
      </c>
      <c r="L2467" s="32">
        <f>IFERROR(__xludf.DUMMYFUNCTION("""COMPUTED_VALUE"""),4.0)</f>
        <v>4</v>
      </c>
      <c r="M2467" s="4" t="str">
        <f>IFERROR(__xludf.DUMMYFUNCTION("""COMPUTED_VALUE"""),"Grk Soluções Informatica Eireli")</f>
        <v>Grk Soluções Informatica Eireli</v>
      </c>
      <c r="N2467" s="33">
        <f>IFERROR(__xludf.DUMMYFUNCTION("""COMPUTED_VALUE"""),1.0)</f>
        <v>1</v>
      </c>
      <c r="O2467" s="4" t="str">
        <f>IFERROR(__xludf.DUMMYFUNCTION("""COMPUTED_VALUE"""),"Grk Soluções Informatica Eireli")</f>
        <v>Grk Soluções Informatica Eireli</v>
      </c>
      <c r="P2467" s="33">
        <f>IFERROR(__xludf.DUMMYFUNCTION("""COMPUTED_VALUE"""),1.0)</f>
        <v>1</v>
      </c>
      <c r="Q2467" s="4" t="str">
        <f>IFERROR(__xludf.DUMMYFUNCTION("""COMPUTED_VALUE"""),"Grk Soluções Informatica Eireli")</f>
        <v>Grk Soluções Informatica Eireli</v>
      </c>
      <c r="R2467" s="33">
        <f>IFERROR(__xludf.DUMMYFUNCTION("""COMPUTED_VALUE"""),1.0)</f>
        <v>1</v>
      </c>
      <c r="S2467" s="4" t="str">
        <f>IFERROR(__xludf.DUMMYFUNCTION("""COMPUTED_VALUE"""),"Grk Soluções Informatica Eireli")</f>
        <v>Grk Soluções Informatica Eireli</v>
      </c>
      <c r="T2467" s="33">
        <f>IFERROR(__xludf.DUMMYFUNCTION("""COMPUTED_VALUE"""),0.75)</f>
        <v>0.75</v>
      </c>
      <c r="U2467" s="4" t="str">
        <f>IFERROR(__xludf.DUMMYFUNCTION("""COMPUTED_VALUE"""),"Grk Soluções Informatica Eireli")</f>
        <v>Grk Soluções Informatica Eireli</v>
      </c>
      <c r="V2467" s="33">
        <f>IFERROR(__xludf.DUMMYFUNCTION("""COMPUTED_VALUE"""),0.75)</f>
        <v>0.75</v>
      </c>
      <c r="W2467" s="4" t="str">
        <f>IFERROR(__xludf.DUMMYFUNCTION("""COMPUTED_VALUE"""),"Grk Soluções Informatica Eireli")</f>
        <v>Grk Soluções Informatica Eireli</v>
      </c>
      <c r="X2467" s="33">
        <f>IFERROR(__xludf.DUMMYFUNCTION("""COMPUTED_VALUE"""),1.0)</f>
        <v>1</v>
      </c>
    </row>
    <row r="2468">
      <c r="K2468" s="4" t="str">
        <f>IFERROR(__xludf.DUMMYFUNCTION("""COMPUTED_VALUE"""),"OX STEAKHOUSE - CONTA MARCA - CONTRATO")</f>
        <v>OX STEAKHOUSE - CONTA MARCA - CONTRATO</v>
      </c>
      <c r="L2468" s="32">
        <f>IFERROR(__xludf.DUMMYFUNCTION("""COMPUTED_VALUE"""),4.0)</f>
        <v>4</v>
      </c>
      <c r="M2468" s="4" t="str">
        <f>IFERROR(__xludf.DUMMYFUNCTION("""COMPUTED_VALUE"""),"Lexsis Sistemas")</f>
        <v>Lexsis Sistemas</v>
      </c>
      <c r="N2468" s="33">
        <f>IFERROR(__xludf.DUMMYFUNCTION("""COMPUTED_VALUE"""),1.0)</f>
        <v>1</v>
      </c>
      <c r="O2468" s="4" t="str">
        <f>IFERROR(__xludf.DUMMYFUNCTION("""COMPUTED_VALUE"""),"Lexsis Sistemas")</f>
        <v>Lexsis Sistemas</v>
      </c>
      <c r="P2468" s="33">
        <f>IFERROR(__xludf.DUMMYFUNCTION("""COMPUTED_VALUE"""),1.0)</f>
        <v>1</v>
      </c>
      <c r="Q2468" s="4" t="str">
        <f>IFERROR(__xludf.DUMMYFUNCTION("""COMPUTED_VALUE"""),"Lexsis Sistemas")</f>
        <v>Lexsis Sistemas</v>
      </c>
      <c r="R2468" s="33">
        <f>IFERROR(__xludf.DUMMYFUNCTION("""COMPUTED_VALUE"""),1.0)</f>
        <v>1</v>
      </c>
      <c r="S2468" s="4" t="str">
        <f>IFERROR(__xludf.DUMMYFUNCTION("""COMPUTED_VALUE"""),"Lexsis Sistemas")</f>
        <v>Lexsis Sistemas</v>
      </c>
      <c r="T2468" s="33">
        <f>IFERROR(__xludf.DUMMYFUNCTION("""COMPUTED_VALUE"""),1.0)</f>
        <v>1</v>
      </c>
      <c r="U2468" s="4" t="str">
        <f>IFERROR(__xludf.DUMMYFUNCTION("""COMPUTED_VALUE"""),"Lexsis Sistemas")</f>
        <v>Lexsis Sistemas</v>
      </c>
      <c r="V2468" s="33">
        <f>IFERROR(__xludf.DUMMYFUNCTION("""COMPUTED_VALUE"""),1.0)</f>
        <v>1</v>
      </c>
      <c r="W2468" s="4" t="str">
        <f>IFERROR(__xludf.DUMMYFUNCTION("""COMPUTED_VALUE"""),"Lexsis Sistemas")</f>
        <v>Lexsis Sistemas</v>
      </c>
      <c r="X2468" s="33">
        <f>IFERROR(__xludf.DUMMYFUNCTION("""COMPUTED_VALUE"""),1.0)</f>
        <v>1</v>
      </c>
    </row>
    <row r="2469">
      <c r="K2469" s="4" t="str">
        <f>IFERROR(__xludf.DUMMYFUNCTION("""COMPUTED_VALUE"""),"PADARIA BARAO CECAP")</f>
        <v>PADARIA BARAO CECAP</v>
      </c>
      <c r="L2469" s="32">
        <f>IFERROR(__xludf.DUMMYFUNCTION("""COMPUTED_VALUE"""),4.0)</f>
        <v>4</v>
      </c>
      <c r="M2469" s="4" t="str">
        <f>IFERROR(__xludf.DUMMYFUNCTION("""COMPUTED_VALUE"""),"Maxibyte")</f>
        <v>Maxibyte</v>
      </c>
      <c r="N2469" s="33">
        <f>IFERROR(__xludf.DUMMYFUNCTION("""COMPUTED_VALUE"""),1.0)</f>
        <v>1</v>
      </c>
      <c r="O2469" s="4" t="str">
        <f>IFERROR(__xludf.DUMMYFUNCTION("""COMPUTED_VALUE"""),"Maxibyte")</f>
        <v>Maxibyte</v>
      </c>
      <c r="P2469" s="33">
        <f>IFERROR(__xludf.DUMMYFUNCTION("""COMPUTED_VALUE"""),0.75)</f>
        <v>0.75</v>
      </c>
      <c r="Q2469" s="4" t="str">
        <f>IFERROR(__xludf.DUMMYFUNCTION("""COMPUTED_VALUE"""),"Maxibyte")</f>
        <v>Maxibyte</v>
      </c>
      <c r="R2469" s="33">
        <f>IFERROR(__xludf.DUMMYFUNCTION("""COMPUTED_VALUE"""),1.0)</f>
        <v>1</v>
      </c>
      <c r="S2469" s="4" t="str">
        <f>IFERROR(__xludf.DUMMYFUNCTION("""COMPUTED_VALUE"""),"Maxibyte")</f>
        <v>Maxibyte</v>
      </c>
      <c r="T2469" s="33">
        <f>IFERROR(__xludf.DUMMYFUNCTION("""COMPUTED_VALUE"""),1.0)</f>
        <v>1</v>
      </c>
      <c r="U2469" s="4" t="str">
        <f>IFERROR(__xludf.DUMMYFUNCTION("""COMPUTED_VALUE"""),"Maxibyte")</f>
        <v>Maxibyte</v>
      </c>
      <c r="V2469" s="33">
        <f>IFERROR(__xludf.DUMMYFUNCTION("""COMPUTED_VALUE"""),1.0)</f>
        <v>1</v>
      </c>
      <c r="W2469" s="4" t="str">
        <f>IFERROR(__xludf.DUMMYFUNCTION("""COMPUTED_VALUE"""),"Maxibyte")</f>
        <v>Maxibyte</v>
      </c>
      <c r="X2469" s="33">
        <f>IFERROR(__xludf.DUMMYFUNCTION("""COMPUTED_VALUE"""),0.75)</f>
        <v>0.75</v>
      </c>
    </row>
    <row r="2470">
      <c r="K2470" s="4" t="str">
        <f>IFERROR(__xludf.DUMMYFUNCTION("""COMPUTED_VALUE"""),"PADARIA VALLE FORMOSO - CONTA PAI")</f>
        <v>PADARIA VALLE FORMOSO - CONTA PAI</v>
      </c>
      <c r="L2470" s="32">
        <f>IFERROR(__xludf.DUMMYFUNCTION("""COMPUTED_VALUE"""),4.0)</f>
        <v>4</v>
      </c>
      <c r="M2470" s="4" t="str">
        <f>IFERROR(__xludf.DUMMYFUNCTION("""COMPUTED_VALUE"""),"T4l Tecnologia Ltda Me")</f>
        <v>T4l Tecnologia Ltda Me</v>
      </c>
      <c r="N2470" s="33">
        <f>IFERROR(__xludf.DUMMYFUNCTION("""COMPUTED_VALUE"""),0.75)</f>
        <v>0.75</v>
      </c>
      <c r="O2470" s="4" t="str">
        <f>IFERROR(__xludf.DUMMYFUNCTION("""COMPUTED_VALUE"""),"T4l Tecnologia Ltda Me")</f>
        <v>T4l Tecnologia Ltda Me</v>
      </c>
      <c r="P2470" s="33">
        <f>IFERROR(__xludf.DUMMYFUNCTION("""COMPUTED_VALUE"""),0.5)</f>
        <v>0.5</v>
      </c>
      <c r="Q2470" s="4" t="str">
        <f>IFERROR(__xludf.DUMMYFUNCTION("""COMPUTED_VALUE"""),"T4l Tecnologia Ltda Me")</f>
        <v>T4l Tecnologia Ltda Me</v>
      </c>
      <c r="R2470" s="33">
        <f>IFERROR(__xludf.DUMMYFUNCTION("""COMPUTED_VALUE"""),0.75)</f>
        <v>0.75</v>
      </c>
      <c r="S2470" s="4" t="str">
        <f>IFERROR(__xludf.DUMMYFUNCTION("""COMPUTED_VALUE"""),"null")</f>
        <v>null</v>
      </c>
      <c r="T2470" s="33">
        <f>IFERROR(__xludf.DUMMYFUNCTION("""COMPUTED_VALUE"""),0.5)</f>
        <v>0.5</v>
      </c>
      <c r="U2470" s="4" t="str">
        <f>IFERROR(__xludf.DUMMYFUNCTION("""COMPUTED_VALUE"""),"T4l Tecnologia Ltda Me")</f>
        <v>T4l Tecnologia Ltda Me</v>
      </c>
      <c r="V2470" s="33">
        <f>IFERROR(__xludf.DUMMYFUNCTION("""COMPUTED_VALUE"""),1.0)</f>
        <v>1</v>
      </c>
      <c r="W2470" s="4" t="str">
        <f>IFERROR(__xludf.DUMMYFUNCTION("""COMPUTED_VALUE"""),"T4l Tecnologia Ltda Me")</f>
        <v>T4l Tecnologia Ltda Me</v>
      </c>
      <c r="X2470" s="33">
        <f>IFERROR(__xludf.DUMMYFUNCTION("""COMPUTED_VALUE"""),0.75)</f>
        <v>0.75</v>
      </c>
    </row>
    <row r="2471">
      <c r="K2471" s="4" t="str">
        <f>IFERROR(__xludf.DUMMYFUNCTION("""COMPUTED_VALUE"""),"PADARIA VITORIA REGIA")</f>
        <v>PADARIA VITORIA REGIA</v>
      </c>
      <c r="L2471" s="32">
        <f>IFERROR(__xludf.DUMMYFUNCTION("""COMPUTED_VALUE"""),4.0)</f>
        <v>4</v>
      </c>
      <c r="M2471" s="4" t="str">
        <f>IFERROR(__xludf.DUMMYFUNCTION("""COMPUTED_VALUE"""),"T4l Tecnologia Ltda Me")</f>
        <v>T4l Tecnologia Ltda Me</v>
      </c>
      <c r="N2471" s="33">
        <f>IFERROR(__xludf.DUMMYFUNCTION("""COMPUTED_VALUE"""),1.0)</f>
        <v>1</v>
      </c>
      <c r="O2471" s="4" t="str">
        <f>IFERROR(__xludf.DUMMYFUNCTION("""COMPUTED_VALUE"""),"T4l Tecnologia Ltda Me")</f>
        <v>T4l Tecnologia Ltda Me</v>
      </c>
      <c r="P2471" s="33">
        <f>IFERROR(__xludf.DUMMYFUNCTION("""COMPUTED_VALUE"""),1.0)</f>
        <v>1</v>
      </c>
      <c r="Q2471" s="4" t="str">
        <f>IFERROR(__xludf.DUMMYFUNCTION("""COMPUTED_VALUE"""),"T4l Tecnologia Ltda Me")</f>
        <v>T4l Tecnologia Ltda Me</v>
      </c>
      <c r="R2471" s="33">
        <f>IFERROR(__xludf.DUMMYFUNCTION("""COMPUTED_VALUE"""),1.0)</f>
        <v>1</v>
      </c>
      <c r="S2471" s="4" t="str">
        <f>IFERROR(__xludf.DUMMYFUNCTION("""COMPUTED_VALUE"""),"T4l Tecnologia Ltda Me")</f>
        <v>T4l Tecnologia Ltda Me</v>
      </c>
      <c r="T2471" s="33">
        <f>IFERROR(__xludf.DUMMYFUNCTION("""COMPUTED_VALUE"""),1.0)</f>
        <v>1</v>
      </c>
      <c r="U2471" s="4" t="str">
        <f>IFERROR(__xludf.DUMMYFUNCTION("""COMPUTED_VALUE"""),"T4l Tecnologia Ltda Me")</f>
        <v>T4l Tecnologia Ltda Me</v>
      </c>
      <c r="V2471" s="33">
        <f>IFERROR(__xludf.DUMMYFUNCTION("""COMPUTED_VALUE"""),1.0)</f>
        <v>1</v>
      </c>
      <c r="W2471" s="4" t="str">
        <f>IFERROR(__xludf.DUMMYFUNCTION("""COMPUTED_VALUE"""),"T4l Tecnologia Ltda Me")</f>
        <v>T4l Tecnologia Ltda Me</v>
      </c>
      <c r="X2471" s="33">
        <f>IFERROR(__xludf.DUMMYFUNCTION("""COMPUTED_VALUE"""),1.0)</f>
        <v>1</v>
      </c>
    </row>
    <row r="2472">
      <c r="K2472" s="4" t="str">
        <f>IFERROR(__xludf.DUMMYFUNCTION("""COMPUTED_VALUE"""),"PANACITA")</f>
        <v>PANACITA</v>
      </c>
      <c r="L2472" s="32">
        <f>IFERROR(__xludf.DUMMYFUNCTION("""COMPUTED_VALUE"""),4.0)</f>
        <v>4</v>
      </c>
      <c r="M2472" s="4" t="str">
        <f>IFERROR(__xludf.DUMMYFUNCTION("""COMPUTED_VALUE"""),"Cardápio Web")</f>
        <v>Cardápio Web</v>
      </c>
      <c r="N2472" s="33">
        <f>IFERROR(__xludf.DUMMYFUNCTION("""COMPUTED_VALUE"""),1.0)</f>
        <v>1</v>
      </c>
      <c r="O2472" s="4" t="str">
        <f>IFERROR(__xludf.DUMMYFUNCTION("""COMPUTED_VALUE"""),"Cardápio Web")</f>
        <v>Cardápio Web</v>
      </c>
      <c r="P2472" s="33">
        <f>IFERROR(__xludf.DUMMYFUNCTION("""COMPUTED_VALUE"""),1.0)</f>
        <v>1</v>
      </c>
      <c r="Q2472" s="4" t="str">
        <f>IFERROR(__xludf.DUMMYFUNCTION("""COMPUTED_VALUE"""),"Cardápio Web")</f>
        <v>Cardápio Web</v>
      </c>
      <c r="R2472" s="33">
        <f>IFERROR(__xludf.DUMMYFUNCTION("""COMPUTED_VALUE"""),1.0)</f>
        <v>1</v>
      </c>
      <c r="S2472" s="4" t="str">
        <f>IFERROR(__xludf.DUMMYFUNCTION("""COMPUTED_VALUE"""),"Cardápio Web")</f>
        <v>Cardápio Web</v>
      </c>
      <c r="T2472" s="33">
        <f>IFERROR(__xludf.DUMMYFUNCTION("""COMPUTED_VALUE"""),1.0)</f>
        <v>1</v>
      </c>
      <c r="U2472" s="4" t="str">
        <f>IFERROR(__xludf.DUMMYFUNCTION("""COMPUTED_VALUE"""),"Cardápio Web")</f>
        <v>Cardápio Web</v>
      </c>
      <c r="V2472" s="33">
        <f>IFERROR(__xludf.DUMMYFUNCTION("""COMPUTED_VALUE"""),1.0)</f>
        <v>1</v>
      </c>
      <c r="W2472" s="4" t="str">
        <f>IFERROR(__xludf.DUMMYFUNCTION("""COMPUTED_VALUE"""),"Cardápio Web")</f>
        <v>Cardápio Web</v>
      </c>
      <c r="X2472" s="33">
        <f>IFERROR(__xludf.DUMMYFUNCTION("""COMPUTED_VALUE"""),1.0)</f>
        <v>1</v>
      </c>
    </row>
    <row r="2473">
      <c r="K2473" s="4" t="str">
        <f>IFERROR(__xludf.DUMMYFUNCTION("""COMPUTED_VALUE"""),"PANZERONI - CONTA MARCA")</f>
        <v>PANZERONI - CONTA MARCA</v>
      </c>
      <c r="L2473" s="32">
        <f>IFERROR(__xludf.DUMMYFUNCTION("""COMPUTED_VALUE"""),4.0)</f>
        <v>4</v>
      </c>
      <c r="M2473" s="4" t="str">
        <f>IFERROR(__xludf.DUMMYFUNCTION("""COMPUTED_VALUE"""),"Takeat Tecnologia")</f>
        <v>Takeat Tecnologia</v>
      </c>
      <c r="N2473" s="33">
        <f>IFERROR(__xludf.DUMMYFUNCTION("""COMPUTED_VALUE"""),0.75)</f>
        <v>0.75</v>
      </c>
      <c r="O2473" s="4" t="str">
        <f>IFERROR(__xludf.DUMMYFUNCTION("""COMPUTED_VALUE"""),"Agilizup Solucoes Ltda")</f>
        <v>Agilizup Solucoes Ltda</v>
      </c>
      <c r="P2473" s="33">
        <f>IFERROR(__xludf.DUMMYFUNCTION("""COMPUTED_VALUE"""),0.75)</f>
        <v>0.75</v>
      </c>
      <c r="Q2473" s="4" t="str">
        <f>IFERROR(__xludf.DUMMYFUNCTION("""COMPUTED_VALUE"""),"Takeat Tecnologia")</f>
        <v>Takeat Tecnologia</v>
      </c>
      <c r="R2473" s="33">
        <f>IFERROR(__xludf.DUMMYFUNCTION("""COMPUTED_VALUE"""),0.5)</f>
        <v>0.5</v>
      </c>
      <c r="S2473" s="4" t="str">
        <f>IFERROR(__xludf.DUMMYFUNCTION("""COMPUTED_VALUE"""),"Takeat Tecnologia")</f>
        <v>Takeat Tecnologia</v>
      </c>
      <c r="T2473" s="33">
        <f>IFERROR(__xludf.DUMMYFUNCTION("""COMPUTED_VALUE"""),0.5)</f>
        <v>0.5</v>
      </c>
      <c r="U2473" s="4" t="str">
        <f>IFERROR(__xludf.DUMMYFUNCTION("""COMPUTED_VALUE"""),"Takeat Tecnologia")</f>
        <v>Takeat Tecnologia</v>
      </c>
      <c r="V2473" s="33">
        <f>IFERROR(__xludf.DUMMYFUNCTION("""COMPUTED_VALUE"""),0.5)</f>
        <v>0.5</v>
      </c>
      <c r="W2473" s="4" t="str">
        <f>IFERROR(__xludf.DUMMYFUNCTION("""COMPUTED_VALUE"""),"Takeat Tecnologia")</f>
        <v>Takeat Tecnologia</v>
      </c>
      <c r="X2473" s="33">
        <f>IFERROR(__xludf.DUMMYFUNCTION("""COMPUTED_VALUE"""),0.75)</f>
        <v>0.75</v>
      </c>
    </row>
    <row r="2474">
      <c r="K2474" s="4" t="str">
        <f>IFERROR(__xludf.DUMMYFUNCTION("""COMPUTED_VALUE"""),"PAPACHIBE PIZZARIA")</f>
        <v>PAPACHIBE PIZZARIA</v>
      </c>
      <c r="L2474" s="32">
        <f>IFERROR(__xludf.DUMMYFUNCTION("""COMPUTED_VALUE"""),4.0)</f>
        <v>4</v>
      </c>
      <c r="M2474" s="4" t="str">
        <f>IFERROR(__xludf.DUMMYFUNCTION("""COMPUTED_VALUE"""),"Saipos Serviços De Software")</f>
        <v>Saipos Serviços De Software</v>
      </c>
      <c r="N2474" s="33">
        <f>IFERROR(__xludf.DUMMYFUNCTION("""COMPUTED_VALUE"""),1.0)</f>
        <v>1</v>
      </c>
      <c r="O2474" s="4" t="str">
        <f>IFERROR(__xludf.DUMMYFUNCTION("""COMPUTED_VALUE"""),"Saipos Serviços De Software")</f>
        <v>Saipos Serviços De Software</v>
      </c>
      <c r="P2474" s="33">
        <f>IFERROR(__xludf.DUMMYFUNCTION("""COMPUTED_VALUE"""),1.0)</f>
        <v>1</v>
      </c>
      <c r="Q2474" s="4" t="str">
        <f>IFERROR(__xludf.DUMMYFUNCTION("""COMPUTED_VALUE"""),"Saipos Serviços De Software")</f>
        <v>Saipos Serviços De Software</v>
      </c>
      <c r="R2474" s="33">
        <f>IFERROR(__xludf.DUMMYFUNCTION("""COMPUTED_VALUE"""),1.0)</f>
        <v>1</v>
      </c>
      <c r="S2474" s="4" t="str">
        <f>IFERROR(__xludf.DUMMYFUNCTION("""COMPUTED_VALUE"""),"Saipos Serviços De Software")</f>
        <v>Saipos Serviços De Software</v>
      </c>
      <c r="T2474" s="33">
        <f>IFERROR(__xludf.DUMMYFUNCTION("""COMPUTED_VALUE"""),1.0)</f>
        <v>1</v>
      </c>
      <c r="U2474" s="4" t="str">
        <f>IFERROR(__xludf.DUMMYFUNCTION("""COMPUTED_VALUE"""),"Saipos Serviços De Software")</f>
        <v>Saipos Serviços De Software</v>
      </c>
      <c r="V2474" s="33">
        <f>IFERROR(__xludf.DUMMYFUNCTION("""COMPUTED_VALUE"""),1.0)</f>
        <v>1</v>
      </c>
      <c r="W2474" s="4" t="str">
        <f>IFERROR(__xludf.DUMMYFUNCTION("""COMPUTED_VALUE"""),"Saipos Serviços De Software")</f>
        <v>Saipos Serviços De Software</v>
      </c>
      <c r="X2474" s="33">
        <f>IFERROR(__xludf.DUMMYFUNCTION("""COMPUTED_VALUE"""),1.0)</f>
        <v>1</v>
      </c>
    </row>
    <row r="2475">
      <c r="K2475" s="4" t="str">
        <f>IFERROR(__xludf.DUMMYFUNCTION("""COMPUTED_VALUE"""),"PAPALEGUAS PIZZA DELIVERY")</f>
        <v>PAPALEGUAS PIZZA DELIVERY</v>
      </c>
      <c r="L2475" s="32">
        <f>IFERROR(__xludf.DUMMYFUNCTION("""COMPUTED_VALUE"""),4.0)</f>
        <v>4</v>
      </c>
      <c r="M2475" s="4" t="str">
        <f>IFERROR(__xludf.DUMMYFUNCTION("""COMPUTED_VALUE"""),"Cardápio Web")</f>
        <v>Cardápio Web</v>
      </c>
      <c r="N2475" s="33">
        <f>IFERROR(__xludf.DUMMYFUNCTION("""COMPUTED_VALUE"""),1.0)</f>
        <v>1</v>
      </c>
      <c r="O2475" s="4" t="str">
        <f>IFERROR(__xludf.DUMMYFUNCTION("""COMPUTED_VALUE"""),"Cardápio Web")</f>
        <v>Cardápio Web</v>
      </c>
      <c r="P2475" s="33">
        <f>IFERROR(__xludf.DUMMYFUNCTION("""COMPUTED_VALUE"""),1.0)</f>
        <v>1</v>
      </c>
      <c r="Q2475" s="4" t="str">
        <f>IFERROR(__xludf.DUMMYFUNCTION("""COMPUTED_VALUE"""),"Cardápio Web")</f>
        <v>Cardápio Web</v>
      </c>
      <c r="R2475" s="33">
        <f>IFERROR(__xludf.DUMMYFUNCTION("""COMPUTED_VALUE"""),1.0)</f>
        <v>1</v>
      </c>
      <c r="S2475" s="4" t="str">
        <f>IFERROR(__xludf.DUMMYFUNCTION("""COMPUTED_VALUE"""),"Cardápio Web")</f>
        <v>Cardápio Web</v>
      </c>
      <c r="T2475" s="33">
        <f>IFERROR(__xludf.DUMMYFUNCTION("""COMPUTED_VALUE"""),1.0)</f>
        <v>1</v>
      </c>
      <c r="U2475" s="4" t="str">
        <f>IFERROR(__xludf.DUMMYFUNCTION("""COMPUTED_VALUE"""),"Cardápio Web")</f>
        <v>Cardápio Web</v>
      </c>
      <c r="V2475" s="33">
        <f>IFERROR(__xludf.DUMMYFUNCTION("""COMPUTED_VALUE"""),1.0)</f>
        <v>1</v>
      </c>
      <c r="W2475" s="4" t="str">
        <f>IFERROR(__xludf.DUMMYFUNCTION("""COMPUTED_VALUE"""),"Cardápio Web")</f>
        <v>Cardápio Web</v>
      </c>
      <c r="X2475" s="33">
        <f>IFERROR(__xludf.DUMMYFUNCTION("""COMPUTED_VALUE"""),1.0)</f>
        <v>1</v>
      </c>
    </row>
    <row r="2476">
      <c r="K2476" s="4" t="str">
        <f>IFERROR(__xludf.DUMMYFUNCTION("""COMPUTED_VALUE"""),"PARMA PIZZA")</f>
        <v>PARMA PIZZA</v>
      </c>
      <c r="L2476" s="32">
        <f>IFERROR(__xludf.DUMMYFUNCTION("""COMPUTED_VALUE"""),4.0)</f>
        <v>4</v>
      </c>
      <c r="M2476" s="4" t="str">
        <f>IFERROR(__xludf.DUMMYFUNCTION("""COMPUTED_VALUE"""),"Bitbar")</f>
        <v>Bitbar</v>
      </c>
      <c r="N2476" s="33">
        <f>IFERROR(__xludf.DUMMYFUNCTION("""COMPUTED_VALUE"""),1.0)</f>
        <v>1</v>
      </c>
      <c r="O2476" s="4" t="str">
        <f>IFERROR(__xludf.DUMMYFUNCTION("""COMPUTED_VALUE"""),"Bitbar")</f>
        <v>Bitbar</v>
      </c>
      <c r="P2476" s="33">
        <f>IFERROR(__xludf.DUMMYFUNCTION("""COMPUTED_VALUE"""),1.0)</f>
        <v>1</v>
      </c>
      <c r="Q2476" s="4" t="str">
        <f>IFERROR(__xludf.DUMMYFUNCTION("""COMPUTED_VALUE"""),"Bitbar")</f>
        <v>Bitbar</v>
      </c>
      <c r="R2476" s="33">
        <f>IFERROR(__xludf.DUMMYFUNCTION("""COMPUTED_VALUE"""),1.0)</f>
        <v>1</v>
      </c>
      <c r="S2476" s="4" t="str">
        <f>IFERROR(__xludf.DUMMYFUNCTION("""COMPUTED_VALUE"""),"Bitbar")</f>
        <v>Bitbar</v>
      </c>
      <c r="T2476" s="33">
        <f>IFERROR(__xludf.DUMMYFUNCTION("""COMPUTED_VALUE"""),1.0)</f>
        <v>1</v>
      </c>
      <c r="U2476" s="4" t="str">
        <f>IFERROR(__xludf.DUMMYFUNCTION("""COMPUTED_VALUE"""),"Bitbar")</f>
        <v>Bitbar</v>
      </c>
      <c r="V2476" s="33">
        <f>IFERROR(__xludf.DUMMYFUNCTION("""COMPUTED_VALUE"""),1.0)</f>
        <v>1</v>
      </c>
      <c r="W2476" s="4" t="str">
        <f>IFERROR(__xludf.DUMMYFUNCTION("""COMPUTED_VALUE"""),"Bitbar")</f>
        <v>Bitbar</v>
      </c>
      <c r="X2476" s="33">
        <f>IFERROR(__xludf.DUMMYFUNCTION("""COMPUTED_VALUE"""),0.75)</f>
        <v>0.75</v>
      </c>
    </row>
    <row r="2477">
      <c r="K2477" s="4" t="str">
        <f>IFERROR(__xludf.DUMMYFUNCTION("""COMPUTED_VALUE"""),"PARRILHAS BURGER CO")</f>
        <v>PARRILHAS BURGER CO</v>
      </c>
      <c r="L2477" s="32">
        <f>IFERROR(__xludf.DUMMYFUNCTION("""COMPUTED_VALUE"""),4.0)</f>
        <v>4</v>
      </c>
      <c r="M2477" s="4" t="str">
        <f>IFERROR(__xludf.DUMMYFUNCTION("""COMPUTED_VALUE"""),"Saipos Serviços De Software")</f>
        <v>Saipos Serviços De Software</v>
      </c>
      <c r="N2477" s="33">
        <f>IFERROR(__xludf.DUMMYFUNCTION("""COMPUTED_VALUE"""),1.0)</f>
        <v>1</v>
      </c>
      <c r="O2477" s="4" t="str">
        <f>IFERROR(__xludf.DUMMYFUNCTION("""COMPUTED_VALUE"""),"Saipos Serviços De Software")</f>
        <v>Saipos Serviços De Software</v>
      </c>
      <c r="P2477" s="33">
        <f>IFERROR(__xludf.DUMMYFUNCTION("""COMPUTED_VALUE"""),1.0)</f>
        <v>1</v>
      </c>
      <c r="Q2477" s="4" t="str">
        <f>IFERROR(__xludf.DUMMYFUNCTION("""COMPUTED_VALUE"""),"Saipos Serviços De Software")</f>
        <v>Saipos Serviços De Software</v>
      </c>
      <c r="R2477" s="33">
        <f>IFERROR(__xludf.DUMMYFUNCTION("""COMPUTED_VALUE"""),1.0)</f>
        <v>1</v>
      </c>
      <c r="S2477" s="4" t="str">
        <f>IFERROR(__xludf.DUMMYFUNCTION("""COMPUTED_VALUE"""),"Saipos Serviços De Software")</f>
        <v>Saipos Serviços De Software</v>
      </c>
      <c r="T2477" s="33">
        <f>IFERROR(__xludf.DUMMYFUNCTION("""COMPUTED_VALUE"""),1.0)</f>
        <v>1</v>
      </c>
      <c r="U2477" s="4" t="str">
        <f>IFERROR(__xludf.DUMMYFUNCTION("""COMPUTED_VALUE"""),"Saipos Serviços De Software")</f>
        <v>Saipos Serviços De Software</v>
      </c>
      <c r="V2477" s="33">
        <f>IFERROR(__xludf.DUMMYFUNCTION("""COMPUTED_VALUE"""),1.0)</f>
        <v>1</v>
      </c>
      <c r="W2477" s="4" t="str">
        <f>IFERROR(__xludf.DUMMYFUNCTION("""COMPUTED_VALUE"""),"Saipos Serviços De Software")</f>
        <v>Saipos Serviços De Software</v>
      </c>
      <c r="X2477" s="33">
        <f>IFERROR(__xludf.DUMMYFUNCTION("""COMPUTED_VALUE"""),1.0)</f>
        <v>1</v>
      </c>
    </row>
    <row r="2478">
      <c r="K2478" s="4" t="str">
        <f>IFERROR(__xludf.DUMMYFUNCTION("""COMPUTED_VALUE"""),"PASSIRA SAN MARTIN")</f>
        <v>PASSIRA SAN MARTIN</v>
      </c>
      <c r="L2478" s="32">
        <f>IFERROR(__xludf.DUMMYFUNCTION("""COMPUTED_VALUE"""),4.0)</f>
        <v>4</v>
      </c>
      <c r="M2478" s="4" t="str">
        <f>IFERROR(__xludf.DUMMYFUNCTION("""COMPUTED_VALUE"""),"L&amp;f Tecnologia Sistemas E Comercio Ltda")</f>
        <v>L&amp;f Tecnologia Sistemas E Comercio Ltda</v>
      </c>
      <c r="N2478" s="33">
        <f>IFERROR(__xludf.DUMMYFUNCTION("""COMPUTED_VALUE"""),0.75)</f>
        <v>0.75</v>
      </c>
      <c r="O2478" s="4" t="str">
        <f>IFERROR(__xludf.DUMMYFUNCTION("""COMPUTED_VALUE"""),"L&amp;f Tecnologia Sistemas E Comercio Ltda")</f>
        <v>L&amp;f Tecnologia Sistemas E Comercio Ltda</v>
      </c>
      <c r="P2478" s="33">
        <f>IFERROR(__xludf.DUMMYFUNCTION("""COMPUTED_VALUE"""),0.75)</f>
        <v>0.75</v>
      </c>
      <c r="Q2478" s="4" t="str">
        <f>IFERROR(__xludf.DUMMYFUNCTION("""COMPUTED_VALUE"""),"L&amp;f Tecnologia Sistemas E Comercio Ltda")</f>
        <v>L&amp;f Tecnologia Sistemas E Comercio Ltda</v>
      </c>
      <c r="R2478" s="33">
        <f>IFERROR(__xludf.DUMMYFUNCTION("""COMPUTED_VALUE"""),0.5)</f>
        <v>0.5</v>
      </c>
      <c r="S2478" s="4" t="str">
        <f>IFERROR(__xludf.DUMMYFUNCTION("""COMPUTED_VALUE"""),"null")</f>
        <v>null</v>
      </c>
      <c r="T2478" s="33">
        <f>IFERROR(__xludf.DUMMYFUNCTION("""COMPUTED_VALUE"""),0.75)</f>
        <v>0.75</v>
      </c>
      <c r="U2478" s="4" t="str">
        <f>IFERROR(__xludf.DUMMYFUNCTION("""COMPUTED_VALUE"""),"null")</f>
        <v>null</v>
      </c>
      <c r="V2478" s="33">
        <f>IFERROR(__xludf.DUMMYFUNCTION("""COMPUTED_VALUE"""),0.5)</f>
        <v>0.5</v>
      </c>
      <c r="W2478" s="4" t="str">
        <f>IFERROR(__xludf.DUMMYFUNCTION("""COMPUTED_VALUE"""),"L&amp;f Tecnologia Sistemas E Comercio Ltda")</f>
        <v>L&amp;f Tecnologia Sistemas E Comercio Ltda</v>
      </c>
      <c r="X2478" s="33">
        <f>IFERROR(__xludf.DUMMYFUNCTION("""COMPUTED_VALUE"""),1.0)</f>
        <v>1</v>
      </c>
    </row>
    <row r="2479">
      <c r="K2479" s="4" t="str">
        <f>IFERROR(__xludf.DUMMYFUNCTION("""COMPUTED_VALUE"""),"PASTEL MANIA PASTEL, HAMBURGUER E ACAI - CP")</f>
        <v>PASTEL MANIA PASTEL, HAMBURGUER E ACAI - CP</v>
      </c>
      <c r="L2479" s="32">
        <f>IFERROR(__xludf.DUMMYFUNCTION("""COMPUTED_VALUE"""),4.0)</f>
        <v>4</v>
      </c>
      <c r="M2479" s="4" t="str">
        <f>IFERROR(__xludf.DUMMYFUNCTION("""COMPUTED_VALUE"""),"Consumer Soluções Em Tecnologia Ltda")</f>
        <v>Consumer Soluções Em Tecnologia Ltda</v>
      </c>
      <c r="N2479" s="33">
        <f>IFERROR(__xludf.DUMMYFUNCTION("""COMPUTED_VALUE"""),1.0)</f>
        <v>1</v>
      </c>
      <c r="O2479" s="4" t="str">
        <f>IFERROR(__xludf.DUMMYFUNCTION("""COMPUTED_VALUE"""),"Consumer Soluções Em Tecnologia Ltda")</f>
        <v>Consumer Soluções Em Tecnologia Ltda</v>
      </c>
      <c r="P2479" s="33">
        <f>IFERROR(__xludf.DUMMYFUNCTION("""COMPUTED_VALUE"""),0.5)</f>
        <v>0.5</v>
      </c>
      <c r="Q2479" s="4" t="str">
        <f>IFERROR(__xludf.DUMMYFUNCTION("""COMPUTED_VALUE"""),"Consumer Soluções Em Tecnologia Ltda")</f>
        <v>Consumer Soluções Em Tecnologia Ltda</v>
      </c>
      <c r="R2479" s="33">
        <f>IFERROR(__xludf.DUMMYFUNCTION("""COMPUTED_VALUE"""),0.5)</f>
        <v>0.5</v>
      </c>
      <c r="S2479" s="4" t="str">
        <f>IFERROR(__xludf.DUMMYFUNCTION("""COMPUTED_VALUE"""),"null")</f>
        <v>null</v>
      </c>
      <c r="T2479" s="33">
        <f>IFERROR(__xludf.DUMMYFUNCTION("""COMPUTED_VALUE"""),0.75)</f>
        <v>0.75</v>
      </c>
      <c r="U2479" s="4" t="str">
        <f>IFERROR(__xludf.DUMMYFUNCTION("""COMPUTED_VALUE"""),"null")</f>
        <v>null</v>
      </c>
      <c r="V2479" s="33">
        <f>IFERROR(__xludf.DUMMYFUNCTION("""COMPUTED_VALUE"""),1.0)</f>
        <v>1</v>
      </c>
      <c r="W2479" s="4" t="str">
        <f>IFERROR(__xludf.DUMMYFUNCTION("""COMPUTED_VALUE"""),"null")</f>
        <v>null</v>
      </c>
      <c r="X2479" s="33">
        <f>IFERROR(__xludf.DUMMYFUNCTION("""COMPUTED_VALUE"""),1.0)</f>
        <v>1</v>
      </c>
    </row>
    <row r="2480">
      <c r="K2480" s="4" t="str">
        <f>IFERROR(__xludf.DUMMYFUNCTION("""COMPUTED_VALUE"""),"PASTEL ZINN CONTA MARCA")</f>
        <v>PASTEL ZINN CONTA MARCA</v>
      </c>
      <c r="L2480" s="32">
        <f>IFERROR(__xludf.DUMMYFUNCTION("""COMPUTED_VALUE"""),4.0)</f>
        <v>4</v>
      </c>
      <c r="M2480" s="4" t="str">
        <f>IFERROR(__xludf.DUMMYFUNCTION("""COMPUTED_VALUE"""),"Ncr")</f>
        <v>Ncr</v>
      </c>
      <c r="N2480" s="33">
        <f>IFERROR(__xludf.DUMMYFUNCTION("""COMPUTED_VALUE"""),0.75)</f>
        <v>0.75</v>
      </c>
      <c r="O2480" s="4" t="str">
        <f>IFERROR(__xludf.DUMMYFUNCTION("""COMPUTED_VALUE"""),"Ncr")</f>
        <v>Ncr</v>
      </c>
      <c r="P2480" s="33">
        <f>IFERROR(__xludf.DUMMYFUNCTION("""COMPUTED_VALUE"""),0.75)</f>
        <v>0.75</v>
      </c>
      <c r="Q2480" s="4" t="str">
        <f>IFERROR(__xludf.DUMMYFUNCTION("""COMPUTED_VALUE"""),"Ncr")</f>
        <v>Ncr</v>
      </c>
      <c r="R2480" s="33">
        <f>IFERROR(__xludf.DUMMYFUNCTION("""COMPUTED_VALUE"""),0.75)</f>
        <v>0.75</v>
      </c>
      <c r="S2480" s="4" t="str">
        <f>IFERROR(__xludf.DUMMYFUNCTION("""COMPUTED_VALUE"""),"Ncr")</f>
        <v>Ncr</v>
      </c>
      <c r="T2480" s="33">
        <f>IFERROR(__xludf.DUMMYFUNCTION("""COMPUTED_VALUE"""),0.75)</f>
        <v>0.75</v>
      </c>
      <c r="U2480" s="4" t="str">
        <f>IFERROR(__xludf.DUMMYFUNCTION("""COMPUTED_VALUE"""),"Ncr")</f>
        <v>Ncr</v>
      </c>
      <c r="V2480" s="33">
        <f>IFERROR(__xludf.DUMMYFUNCTION("""COMPUTED_VALUE"""),0.75)</f>
        <v>0.75</v>
      </c>
      <c r="W2480" s="4" t="str">
        <f>IFERROR(__xludf.DUMMYFUNCTION("""COMPUTED_VALUE"""),"Ncr")</f>
        <v>Ncr</v>
      </c>
      <c r="X2480" s="33">
        <f>IFERROR(__xludf.DUMMYFUNCTION("""COMPUTED_VALUE"""),0.5)</f>
        <v>0.5</v>
      </c>
    </row>
    <row r="2481">
      <c r="K2481" s="4" t="str">
        <f>IFERROR(__xludf.DUMMYFUNCTION("""COMPUTED_VALUE"""),"PASTELARIA DIVINO RECHEIO - CONTA MARCA")</f>
        <v>PASTELARIA DIVINO RECHEIO - CONTA MARCA</v>
      </c>
      <c r="L2481" s="32">
        <f>IFERROR(__xludf.DUMMYFUNCTION("""COMPUTED_VALUE"""),4.0)</f>
        <v>4</v>
      </c>
      <c r="M2481" s="4" t="str">
        <f>IFERROR(__xludf.DUMMYFUNCTION("""COMPUTED_VALUE"""),"Saipos Serviços De Software")</f>
        <v>Saipos Serviços De Software</v>
      </c>
      <c r="N2481" s="33">
        <f>IFERROR(__xludf.DUMMYFUNCTION("""COMPUTED_VALUE"""),1.0)</f>
        <v>1</v>
      </c>
      <c r="O2481" s="4" t="str">
        <f>IFERROR(__xludf.DUMMYFUNCTION("""COMPUTED_VALUE"""),"Saipos Serviços De Software")</f>
        <v>Saipos Serviços De Software</v>
      </c>
      <c r="P2481" s="33">
        <f>IFERROR(__xludf.DUMMYFUNCTION("""COMPUTED_VALUE"""),1.0)</f>
        <v>1</v>
      </c>
      <c r="Q2481" s="4" t="str">
        <f>IFERROR(__xludf.DUMMYFUNCTION("""COMPUTED_VALUE"""),"Saipos Serviços De Software")</f>
        <v>Saipos Serviços De Software</v>
      </c>
      <c r="R2481" s="33">
        <f>IFERROR(__xludf.DUMMYFUNCTION("""COMPUTED_VALUE"""),1.0)</f>
        <v>1</v>
      </c>
      <c r="S2481" s="4" t="str">
        <f>IFERROR(__xludf.DUMMYFUNCTION("""COMPUTED_VALUE"""),"Saipos Serviços De Software")</f>
        <v>Saipos Serviços De Software</v>
      </c>
      <c r="T2481" s="33">
        <f>IFERROR(__xludf.DUMMYFUNCTION("""COMPUTED_VALUE"""),1.0)</f>
        <v>1</v>
      </c>
      <c r="U2481" s="4" t="str">
        <f>IFERROR(__xludf.DUMMYFUNCTION("""COMPUTED_VALUE"""),"Saipos Serviços De Software")</f>
        <v>Saipos Serviços De Software</v>
      </c>
      <c r="V2481" s="33">
        <f>IFERROR(__xludf.DUMMYFUNCTION("""COMPUTED_VALUE"""),1.0)</f>
        <v>1</v>
      </c>
      <c r="W2481" s="4" t="str">
        <f>IFERROR(__xludf.DUMMYFUNCTION("""COMPUTED_VALUE"""),"Saipos Serviços De Software")</f>
        <v>Saipos Serviços De Software</v>
      </c>
      <c r="X2481" s="33">
        <f>IFERROR(__xludf.DUMMYFUNCTION("""COMPUTED_VALUE"""),1.0)</f>
        <v>1</v>
      </c>
    </row>
    <row r="2482">
      <c r="K2482" s="4" t="str">
        <f>IFERROR(__xludf.DUMMYFUNCTION("""COMPUTED_VALUE"""),"PASTELOTTA - MANAUS")</f>
        <v>PASTELOTTA - MANAUS</v>
      </c>
      <c r="L2482" s="32">
        <f>IFERROR(__xludf.DUMMYFUNCTION("""COMPUTED_VALUE"""),4.0)</f>
        <v>4</v>
      </c>
      <c r="M2482" s="4" t="str">
        <f>IFERROR(__xludf.DUMMYFUNCTION("""COMPUTED_VALUE"""),"Vekttor")</f>
        <v>Vekttor</v>
      </c>
      <c r="N2482" s="33">
        <f>IFERROR(__xludf.DUMMYFUNCTION("""COMPUTED_VALUE"""),1.0)</f>
        <v>1</v>
      </c>
      <c r="O2482" s="4" t="str">
        <f>IFERROR(__xludf.DUMMYFUNCTION("""COMPUTED_VALUE"""),"Vekttor")</f>
        <v>Vekttor</v>
      </c>
      <c r="P2482" s="33">
        <f>IFERROR(__xludf.DUMMYFUNCTION("""COMPUTED_VALUE"""),0.75)</f>
        <v>0.75</v>
      </c>
      <c r="Q2482" s="4" t="str">
        <f>IFERROR(__xludf.DUMMYFUNCTION("""COMPUTED_VALUE"""),"Vekttor")</f>
        <v>Vekttor</v>
      </c>
      <c r="R2482" s="33">
        <f>IFERROR(__xludf.DUMMYFUNCTION("""COMPUTED_VALUE"""),0.75)</f>
        <v>0.75</v>
      </c>
      <c r="S2482" s="4" t="str">
        <f>IFERROR(__xludf.DUMMYFUNCTION("""COMPUTED_VALUE"""),"Vekttor")</f>
        <v>Vekttor</v>
      </c>
      <c r="T2482" s="33">
        <f>IFERROR(__xludf.DUMMYFUNCTION("""COMPUTED_VALUE"""),1.0)</f>
        <v>1</v>
      </c>
      <c r="U2482" s="4" t="str">
        <f>IFERROR(__xludf.DUMMYFUNCTION("""COMPUTED_VALUE"""),"Vekttor")</f>
        <v>Vekttor</v>
      </c>
      <c r="V2482" s="33">
        <f>IFERROR(__xludf.DUMMYFUNCTION("""COMPUTED_VALUE"""),1.0)</f>
        <v>1</v>
      </c>
      <c r="W2482" s="4" t="str">
        <f>IFERROR(__xludf.DUMMYFUNCTION("""COMPUTED_VALUE"""),"Vekttor")</f>
        <v>Vekttor</v>
      </c>
      <c r="X2482" s="33">
        <f>IFERROR(__xludf.DUMMYFUNCTION("""COMPUTED_VALUE"""),1.0)</f>
        <v>1</v>
      </c>
    </row>
    <row r="2483">
      <c r="K2483" s="4" t="str">
        <f>IFERROR(__xludf.DUMMYFUNCTION("""COMPUTED_VALUE"""),"PASTENINA CP")</f>
        <v>PASTENINA CP</v>
      </c>
      <c r="L2483" s="32">
        <f>IFERROR(__xludf.DUMMYFUNCTION("""COMPUTED_VALUE"""),4.0)</f>
        <v>4</v>
      </c>
      <c r="M2483" s="4" t="str">
        <f>IFERROR(__xludf.DUMMYFUNCTION("""COMPUTED_VALUE"""),"Cloudfy")</f>
        <v>Cloudfy</v>
      </c>
      <c r="N2483" s="33">
        <f>IFERROR(__xludf.DUMMYFUNCTION("""COMPUTED_VALUE"""),0.75)</f>
        <v>0.75</v>
      </c>
      <c r="O2483" s="4" t="str">
        <f>IFERROR(__xludf.DUMMYFUNCTION("""COMPUTED_VALUE"""),"Cloudfy")</f>
        <v>Cloudfy</v>
      </c>
      <c r="P2483" s="33">
        <f>IFERROR(__xludf.DUMMYFUNCTION("""COMPUTED_VALUE"""),0.75)</f>
        <v>0.75</v>
      </c>
      <c r="Q2483" s="4" t="str">
        <f>IFERROR(__xludf.DUMMYFUNCTION("""COMPUTED_VALUE"""),"Cloudfy")</f>
        <v>Cloudfy</v>
      </c>
      <c r="R2483" s="33">
        <f>IFERROR(__xludf.DUMMYFUNCTION("""COMPUTED_VALUE"""),0.75)</f>
        <v>0.75</v>
      </c>
      <c r="S2483" s="4" t="str">
        <f>IFERROR(__xludf.DUMMYFUNCTION("""COMPUTED_VALUE"""),"Cloudfy")</f>
        <v>Cloudfy</v>
      </c>
      <c r="T2483" s="33">
        <f>IFERROR(__xludf.DUMMYFUNCTION("""COMPUTED_VALUE"""),1.0)</f>
        <v>1</v>
      </c>
      <c r="U2483" s="4" t="str">
        <f>IFERROR(__xludf.DUMMYFUNCTION("""COMPUTED_VALUE"""),"Cloudfy")</f>
        <v>Cloudfy</v>
      </c>
      <c r="V2483" s="33">
        <f>IFERROR(__xludf.DUMMYFUNCTION("""COMPUTED_VALUE"""),0.5)</f>
        <v>0.5</v>
      </c>
      <c r="W2483" s="4" t="str">
        <f>IFERROR(__xludf.DUMMYFUNCTION("""COMPUTED_VALUE"""),"Cloudfy")</f>
        <v>Cloudfy</v>
      </c>
      <c r="X2483" s="33">
        <f>IFERROR(__xludf.DUMMYFUNCTION("""COMPUTED_VALUE"""),0.75)</f>
        <v>0.75</v>
      </c>
    </row>
    <row r="2484">
      <c r="K2484" s="4" t="str">
        <f>IFERROR(__xludf.DUMMYFUNCTION("""COMPUTED_VALUE"""),"PATOS PIZZAS - PATOS DE MINAS")</f>
        <v>PATOS PIZZAS - PATOS DE MINAS</v>
      </c>
      <c r="L2484" s="32">
        <f>IFERROR(__xludf.DUMMYFUNCTION("""COMPUTED_VALUE"""),4.0)</f>
        <v>4</v>
      </c>
      <c r="M2484" s="4" t="str">
        <f>IFERROR(__xludf.DUMMYFUNCTION("""COMPUTED_VALUE"""),"Saipos Serviços De Software")</f>
        <v>Saipos Serviços De Software</v>
      </c>
      <c r="N2484" s="33">
        <f>IFERROR(__xludf.DUMMYFUNCTION("""COMPUTED_VALUE"""),0.5)</f>
        <v>0.5</v>
      </c>
      <c r="O2484" s="4" t="str">
        <f>IFERROR(__xludf.DUMMYFUNCTION("""COMPUTED_VALUE"""),"Saipos Serviços De Software")</f>
        <v>Saipos Serviços De Software</v>
      </c>
      <c r="P2484" s="33">
        <f>IFERROR(__xludf.DUMMYFUNCTION("""COMPUTED_VALUE"""),0.75)</f>
        <v>0.75</v>
      </c>
      <c r="Q2484" s="4" t="str">
        <f>IFERROR(__xludf.DUMMYFUNCTION("""COMPUTED_VALUE"""),"Saipos Serviços De Software")</f>
        <v>Saipos Serviços De Software</v>
      </c>
      <c r="R2484" s="33">
        <f>IFERROR(__xludf.DUMMYFUNCTION("""COMPUTED_VALUE"""),0.75)</f>
        <v>0.75</v>
      </c>
      <c r="S2484" s="4" t="str">
        <f>IFERROR(__xludf.DUMMYFUNCTION("""COMPUTED_VALUE"""),"Saipos Serviços De Software")</f>
        <v>Saipos Serviços De Software</v>
      </c>
      <c r="T2484" s="33">
        <f>IFERROR(__xludf.DUMMYFUNCTION("""COMPUTED_VALUE"""),0.75)</f>
        <v>0.75</v>
      </c>
      <c r="U2484" s="4" t="str">
        <f>IFERROR(__xludf.DUMMYFUNCTION("""COMPUTED_VALUE"""),"Saipos Serviços De Software")</f>
        <v>Saipos Serviços De Software</v>
      </c>
      <c r="V2484" s="33">
        <f>IFERROR(__xludf.DUMMYFUNCTION("""COMPUTED_VALUE"""),0.75)</f>
        <v>0.75</v>
      </c>
      <c r="W2484" s="4" t="str">
        <f>IFERROR(__xludf.DUMMYFUNCTION("""COMPUTED_VALUE"""),"Saipos Serviços De Software")</f>
        <v>Saipos Serviços De Software</v>
      </c>
      <c r="X2484" s="33">
        <f>IFERROR(__xludf.DUMMYFUNCTION("""COMPUTED_VALUE"""),0.75)</f>
        <v>0.75</v>
      </c>
    </row>
    <row r="2485">
      <c r="K2485" s="4" t="str">
        <f>IFERROR(__xludf.DUMMYFUNCTION("""COMPUTED_VALUE"""),"PATRAO BURGUER")</f>
        <v>PATRAO BURGUER</v>
      </c>
      <c r="L2485" s="32">
        <f>IFERROR(__xludf.DUMMYFUNCTION("""COMPUTED_VALUE"""),4.0)</f>
        <v>4</v>
      </c>
      <c r="M2485" s="4" t="str">
        <f>IFERROR(__xludf.DUMMYFUNCTION("""COMPUTED_VALUE"""),"Saipos Serviços De Software")</f>
        <v>Saipos Serviços De Software</v>
      </c>
      <c r="N2485" s="33">
        <f>IFERROR(__xludf.DUMMYFUNCTION("""COMPUTED_VALUE"""),1.0)</f>
        <v>1</v>
      </c>
      <c r="O2485" s="4" t="str">
        <f>IFERROR(__xludf.DUMMYFUNCTION("""COMPUTED_VALUE"""),"Saipos Serviços De Software")</f>
        <v>Saipos Serviços De Software</v>
      </c>
      <c r="P2485" s="33">
        <f>IFERROR(__xludf.DUMMYFUNCTION("""COMPUTED_VALUE"""),1.0)</f>
        <v>1</v>
      </c>
      <c r="Q2485" s="4" t="str">
        <f>IFERROR(__xludf.DUMMYFUNCTION("""COMPUTED_VALUE"""),"Saipos Serviços De Software")</f>
        <v>Saipos Serviços De Software</v>
      </c>
      <c r="R2485" s="33">
        <f>IFERROR(__xludf.DUMMYFUNCTION("""COMPUTED_VALUE"""),1.0)</f>
        <v>1</v>
      </c>
      <c r="S2485" s="4" t="str">
        <f>IFERROR(__xludf.DUMMYFUNCTION("""COMPUTED_VALUE"""),"Saipos Serviços De Software")</f>
        <v>Saipos Serviços De Software</v>
      </c>
      <c r="T2485" s="33">
        <f>IFERROR(__xludf.DUMMYFUNCTION("""COMPUTED_VALUE"""),1.0)</f>
        <v>1</v>
      </c>
      <c r="U2485" s="4" t="str">
        <f>IFERROR(__xludf.DUMMYFUNCTION("""COMPUTED_VALUE"""),"Saipos Serviços De Software")</f>
        <v>Saipos Serviços De Software</v>
      </c>
      <c r="V2485" s="33">
        <f>IFERROR(__xludf.DUMMYFUNCTION("""COMPUTED_VALUE"""),1.0)</f>
        <v>1</v>
      </c>
      <c r="W2485" s="4" t="str">
        <f>IFERROR(__xludf.DUMMYFUNCTION("""COMPUTED_VALUE"""),"Saipos Serviços De Software")</f>
        <v>Saipos Serviços De Software</v>
      </c>
      <c r="X2485" s="33">
        <f>IFERROR(__xludf.DUMMYFUNCTION("""COMPUTED_VALUE"""),1.0)</f>
        <v>1</v>
      </c>
    </row>
    <row r="2486">
      <c r="K2486" s="4" t="str">
        <f>IFERROR(__xludf.DUMMYFUNCTION("""COMPUTED_VALUE"""),"PEDE MARMITA")</f>
        <v>PEDE MARMITA</v>
      </c>
      <c r="L2486" s="32">
        <f>IFERROR(__xludf.DUMMYFUNCTION("""COMPUTED_VALUE"""),4.0)</f>
        <v>4</v>
      </c>
      <c r="M2486" s="4" t="str">
        <f>IFERROR(__xludf.DUMMYFUNCTION("""COMPUTED_VALUE"""),"null")</f>
        <v>null</v>
      </c>
      <c r="N2486" s="33">
        <f>IFERROR(__xludf.DUMMYFUNCTION("""COMPUTED_VALUE"""),1.0)</f>
        <v>1</v>
      </c>
      <c r="O2486" s="4" t="str">
        <f>IFERROR(__xludf.DUMMYFUNCTION("""COMPUTED_VALUE"""),"null")</f>
        <v>null</v>
      </c>
      <c r="P2486" s="33">
        <f>IFERROR(__xludf.DUMMYFUNCTION("""COMPUTED_VALUE"""),1.0)</f>
        <v>1</v>
      </c>
      <c r="Q2486" s="4" t="str">
        <f>IFERROR(__xludf.DUMMYFUNCTION("""COMPUTED_VALUE"""),"null")</f>
        <v>null</v>
      </c>
      <c r="R2486" s="33">
        <f>IFERROR(__xludf.DUMMYFUNCTION("""COMPUTED_VALUE"""),1.0)</f>
        <v>1</v>
      </c>
      <c r="S2486" s="4" t="str">
        <f>IFERROR(__xludf.DUMMYFUNCTION("""COMPUTED_VALUE"""),"null")</f>
        <v>null</v>
      </c>
      <c r="T2486" s="33">
        <f>IFERROR(__xludf.DUMMYFUNCTION("""COMPUTED_VALUE"""),1.0)</f>
        <v>1</v>
      </c>
      <c r="U2486" s="4">
        <f>IFERROR(__xludf.DUMMYFUNCTION("""COMPUTED_VALUE"""),88.0)</f>
        <v>88</v>
      </c>
      <c r="V2486" s="33">
        <f>IFERROR(__xludf.DUMMYFUNCTION("""COMPUTED_VALUE"""),0.75)</f>
        <v>0.75</v>
      </c>
      <c r="W2486" s="4">
        <f>IFERROR(__xludf.DUMMYFUNCTION("""COMPUTED_VALUE"""),88.0)</f>
        <v>88</v>
      </c>
      <c r="X2486" s="33">
        <f>IFERROR(__xludf.DUMMYFUNCTION("""COMPUTED_VALUE"""),1.0)</f>
        <v>1</v>
      </c>
    </row>
    <row r="2487">
      <c r="K2487" s="4" t="str">
        <f>IFERROR(__xludf.DUMMYFUNCTION("""COMPUTED_VALUE"""),"PEDE UM FRED - CONTA PAI")</f>
        <v>PEDE UM FRED - CONTA PAI</v>
      </c>
      <c r="L2487" s="32">
        <f>IFERROR(__xludf.DUMMYFUNCTION("""COMPUTED_VALUE"""),4.0)</f>
        <v>4</v>
      </c>
      <c r="M2487" s="4" t="str">
        <f>IFERROR(__xludf.DUMMYFUNCTION("""COMPUTED_VALUE"""),"null")</f>
        <v>null</v>
      </c>
      <c r="N2487" s="33">
        <f>IFERROR(__xludf.DUMMYFUNCTION("""COMPUTED_VALUE"""),0.5)</f>
        <v>0.5</v>
      </c>
      <c r="O2487" s="4" t="str">
        <f>IFERROR(__xludf.DUMMYFUNCTION("""COMPUTED_VALUE"""),"Saipos Serviços De Software")</f>
        <v>Saipos Serviços De Software</v>
      </c>
      <c r="P2487" s="33">
        <f>IFERROR(__xludf.DUMMYFUNCTION("""COMPUTED_VALUE"""),0.75)</f>
        <v>0.75</v>
      </c>
      <c r="Q2487" s="4" t="str">
        <f>IFERROR(__xludf.DUMMYFUNCTION("""COMPUTED_VALUE"""),"Saipos Serviços De Software")</f>
        <v>Saipos Serviços De Software</v>
      </c>
      <c r="R2487" s="33">
        <f>IFERROR(__xludf.DUMMYFUNCTION("""COMPUTED_VALUE"""),0.75)</f>
        <v>0.75</v>
      </c>
      <c r="S2487" s="4" t="str">
        <f>IFERROR(__xludf.DUMMYFUNCTION("""COMPUTED_VALUE"""),"Saipos Serviços De Software")</f>
        <v>Saipos Serviços De Software</v>
      </c>
      <c r="T2487" s="33">
        <f>IFERROR(__xludf.DUMMYFUNCTION("""COMPUTED_VALUE"""),1.0)</f>
        <v>1</v>
      </c>
      <c r="U2487" s="4" t="str">
        <f>IFERROR(__xludf.DUMMYFUNCTION("""COMPUTED_VALUE"""),"Saipos Serviços De Software")</f>
        <v>Saipos Serviços De Software</v>
      </c>
      <c r="V2487" s="33">
        <f>IFERROR(__xludf.DUMMYFUNCTION("""COMPUTED_VALUE"""),1.0)</f>
        <v>1</v>
      </c>
      <c r="W2487" s="4" t="str">
        <f>IFERROR(__xludf.DUMMYFUNCTION("""COMPUTED_VALUE"""),"Saipos Serviços De Software")</f>
        <v>Saipos Serviços De Software</v>
      </c>
      <c r="X2487" s="33">
        <f>IFERROR(__xludf.DUMMYFUNCTION("""COMPUTED_VALUE"""),1.0)</f>
        <v>1</v>
      </c>
    </row>
    <row r="2488">
      <c r="K2488" s="4" t="str">
        <f>IFERROR(__xludf.DUMMYFUNCTION("""COMPUTED_VALUE"""),"PESTO PIZZAS - JARDIM IRAJA")</f>
        <v>PESTO PIZZAS - JARDIM IRAJA</v>
      </c>
      <c r="L2488" s="32">
        <f>IFERROR(__xludf.DUMMYFUNCTION("""COMPUTED_VALUE"""),4.0)</f>
        <v>4</v>
      </c>
      <c r="M2488" s="4" t="str">
        <f>IFERROR(__xludf.DUMMYFUNCTION("""COMPUTED_VALUE"""),"Cloudfy")</f>
        <v>Cloudfy</v>
      </c>
      <c r="N2488" s="33">
        <f>IFERROR(__xludf.DUMMYFUNCTION("""COMPUTED_VALUE"""),1.0)</f>
        <v>1</v>
      </c>
      <c r="O2488" s="4" t="str">
        <f>IFERROR(__xludf.DUMMYFUNCTION("""COMPUTED_VALUE"""),"Cloudfy")</f>
        <v>Cloudfy</v>
      </c>
      <c r="P2488" s="33">
        <f>IFERROR(__xludf.DUMMYFUNCTION("""COMPUTED_VALUE"""),1.0)</f>
        <v>1</v>
      </c>
      <c r="Q2488" s="4" t="str">
        <f>IFERROR(__xludf.DUMMYFUNCTION("""COMPUTED_VALUE"""),"Cloudfy")</f>
        <v>Cloudfy</v>
      </c>
      <c r="R2488" s="33">
        <f>IFERROR(__xludf.DUMMYFUNCTION("""COMPUTED_VALUE"""),1.0)</f>
        <v>1</v>
      </c>
      <c r="S2488" s="4" t="str">
        <f>IFERROR(__xludf.DUMMYFUNCTION("""COMPUTED_VALUE"""),"Cloudfy")</f>
        <v>Cloudfy</v>
      </c>
      <c r="T2488" s="33">
        <f>IFERROR(__xludf.DUMMYFUNCTION("""COMPUTED_VALUE"""),1.0)</f>
        <v>1</v>
      </c>
      <c r="U2488" s="4" t="str">
        <f>IFERROR(__xludf.DUMMYFUNCTION("""COMPUTED_VALUE"""),"Cloudfy")</f>
        <v>Cloudfy</v>
      </c>
      <c r="V2488" s="33">
        <f>IFERROR(__xludf.DUMMYFUNCTION("""COMPUTED_VALUE"""),1.0)</f>
        <v>1</v>
      </c>
      <c r="W2488" s="4" t="str">
        <f>IFERROR(__xludf.DUMMYFUNCTION("""COMPUTED_VALUE"""),"Cloudfy")</f>
        <v>Cloudfy</v>
      </c>
      <c r="X2488" s="33">
        <f>IFERROR(__xludf.DUMMYFUNCTION("""COMPUTED_VALUE"""),1.0)</f>
        <v>1</v>
      </c>
    </row>
    <row r="2489">
      <c r="K2489" s="4" t="str">
        <f>IFERROR(__xludf.DUMMYFUNCTION("""COMPUTED_VALUE"""),"PET SHOP DR HATO - MARCA")</f>
        <v>PET SHOP DR HATO - MARCA</v>
      </c>
      <c r="L2489" s="32">
        <f>IFERROR(__xludf.DUMMYFUNCTION("""COMPUTED_VALUE"""),4.0)</f>
        <v>4</v>
      </c>
      <c r="M2489" s="4" t="str">
        <f>IFERROR(__xludf.DUMMYFUNCTION("""COMPUTED_VALUE"""),"N/A (Not found)")</f>
        <v>N/A (Not found)</v>
      </c>
      <c r="N2489" s="33">
        <f>IFERROR(__xludf.DUMMYFUNCTION("""COMPUTED_VALUE"""),1.0)</f>
        <v>1</v>
      </c>
      <c r="O2489" s="4" t="str">
        <f>IFERROR(__xludf.DUMMYFUNCTION("""COMPUTED_VALUE"""),"N/A (Not found)")</f>
        <v>N/A (Not found)</v>
      </c>
      <c r="P2489" s="33">
        <f>IFERROR(__xludf.DUMMYFUNCTION("""COMPUTED_VALUE"""),1.0)</f>
        <v>1</v>
      </c>
      <c r="Q2489" s="4" t="str">
        <f>IFERROR(__xludf.DUMMYFUNCTION("""COMPUTED_VALUE"""),"N/A (Not found)")</f>
        <v>N/A (Not found)</v>
      </c>
      <c r="R2489" s="33">
        <f>IFERROR(__xludf.DUMMYFUNCTION("""COMPUTED_VALUE"""),1.0)</f>
        <v>1</v>
      </c>
      <c r="S2489" s="4" t="str">
        <f>IFERROR(__xludf.DUMMYFUNCTION("""COMPUTED_VALUE"""),"N/A (Not found)")</f>
        <v>N/A (Not found)</v>
      </c>
      <c r="T2489" s="33">
        <f>IFERROR(__xludf.DUMMYFUNCTION("""COMPUTED_VALUE"""),1.0)</f>
        <v>1</v>
      </c>
      <c r="U2489" s="4" t="str">
        <f>IFERROR(__xludf.DUMMYFUNCTION("""COMPUTED_VALUE"""),"N/A (Not found)")</f>
        <v>N/A (Not found)</v>
      </c>
      <c r="V2489" s="33">
        <f>IFERROR(__xludf.DUMMYFUNCTION("""COMPUTED_VALUE"""),1.0)</f>
        <v>1</v>
      </c>
      <c r="W2489" s="4" t="str">
        <f>IFERROR(__xludf.DUMMYFUNCTION("""COMPUTED_VALUE"""),"N/A (Not found)")</f>
        <v>N/A (Not found)</v>
      </c>
      <c r="X2489" s="33">
        <f>IFERROR(__xludf.DUMMYFUNCTION("""COMPUTED_VALUE"""),1.0)</f>
        <v>1</v>
      </c>
    </row>
    <row r="2490">
      <c r="K2490" s="4" t="str">
        <f>IFERROR(__xludf.DUMMYFUNCTION("""COMPUTED_VALUE"""),"PHILIPPES PIZZA")</f>
        <v>PHILIPPES PIZZA</v>
      </c>
      <c r="L2490" s="32">
        <f>IFERROR(__xludf.DUMMYFUNCTION("""COMPUTED_VALUE"""),4.0)</f>
        <v>4</v>
      </c>
      <c r="M2490" s="4" t="str">
        <f>IFERROR(__xludf.DUMMYFUNCTION("""COMPUTED_VALUE"""),"Saipos Serviços De Software")</f>
        <v>Saipos Serviços De Software</v>
      </c>
      <c r="N2490" s="33">
        <f>IFERROR(__xludf.DUMMYFUNCTION("""COMPUTED_VALUE"""),1.0)</f>
        <v>1</v>
      </c>
      <c r="O2490" s="4" t="str">
        <f>IFERROR(__xludf.DUMMYFUNCTION("""COMPUTED_VALUE"""),"Saipos Serviços De Software")</f>
        <v>Saipos Serviços De Software</v>
      </c>
      <c r="P2490" s="33">
        <f>IFERROR(__xludf.DUMMYFUNCTION("""COMPUTED_VALUE"""),1.0)</f>
        <v>1</v>
      </c>
      <c r="Q2490" s="4" t="str">
        <f>IFERROR(__xludf.DUMMYFUNCTION("""COMPUTED_VALUE"""),"Saipos Serviços De Software")</f>
        <v>Saipos Serviços De Software</v>
      </c>
      <c r="R2490" s="33">
        <f>IFERROR(__xludf.DUMMYFUNCTION("""COMPUTED_VALUE"""),1.0)</f>
        <v>1</v>
      </c>
      <c r="S2490" s="4" t="str">
        <f>IFERROR(__xludf.DUMMYFUNCTION("""COMPUTED_VALUE"""),"Saipos Serviços De Software")</f>
        <v>Saipos Serviços De Software</v>
      </c>
      <c r="T2490" s="33">
        <f>IFERROR(__xludf.DUMMYFUNCTION("""COMPUTED_VALUE"""),1.0)</f>
        <v>1</v>
      </c>
      <c r="U2490" s="4" t="str">
        <f>IFERROR(__xludf.DUMMYFUNCTION("""COMPUTED_VALUE"""),"Saipos Serviços De Software")</f>
        <v>Saipos Serviços De Software</v>
      </c>
      <c r="V2490" s="33">
        <f>IFERROR(__xludf.DUMMYFUNCTION("""COMPUTED_VALUE"""),1.0)</f>
        <v>1</v>
      </c>
      <c r="W2490" s="4" t="str">
        <f>IFERROR(__xludf.DUMMYFUNCTION("""COMPUTED_VALUE"""),"Saipos Serviços De Software")</f>
        <v>Saipos Serviços De Software</v>
      </c>
      <c r="X2490" s="33">
        <f>IFERROR(__xludf.DUMMYFUNCTION("""COMPUTED_VALUE"""),1.0)</f>
        <v>1</v>
      </c>
    </row>
    <row r="2491">
      <c r="K2491" s="4" t="str">
        <f>IFERROR(__xludf.DUMMYFUNCTION("""COMPUTED_VALUE"""),"PIAZZALE ITALIA")</f>
        <v>PIAZZALE ITALIA</v>
      </c>
      <c r="L2491" s="32">
        <f>IFERROR(__xludf.DUMMYFUNCTION("""COMPUTED_VALUE"""),4.0)</f>
        <v>4</v>
      </c>
      <c r="M2491" s="4" t="str">
        <f>IFERROR(__xludf.DUMMYFUNCTION("""COMPUTED_VALUE"""),"Ctsi")</f>
        <v>Ctsi</v>
      </c>
      <c r="N2491" s="33">
        <f>IFERROR(__xludf.DUMMYFUNCTION("""COMPUTED_VALUE"""),0.75)</f>
        <v>0.75</v>
      </c>
      <c r="O2491" s="4" t="str">
        <f>IFERROR(__xludf.DUMMYFUNCTION("""COMPUTED_VALUE"""),"Ctsi")</f>
        <v>Ctsi</v>
      </c>
      <c r="P2491" s="33">
        <f>IFERROR(__xludf.DUMMYFUNCTION("""COMPUTED_VALUE"""),0.75)</f>
        <v>0.75</v>
      </c>
      <c r="Q2491" s="4" t="str">
        <f>IFERROR(__xludf.DUMMYFUNCTION("""COMPUTED_VALUE"""),"Ctsi")</f>
        <v>Ctsi</v>
      </c>
      <c r="R2491" s="33">
        <f>IFERROR(__xludf.DUMMYFUNCTION("""COMPUTED_VALUE"""),0.75)</f>
        <v>0.75</v>
      </c>
      <c r="S2491" s="4" t="str">
        <f>IFERROR(__xludf.DUMMYFUNCTION("""COMPUTED_VALUE"""),"Ctsi")</f>
        <v>Ctsi</v>
      </c>
      <c r="T2491" s="33">
        <f>IFERROR(__xludf.DUMMYFUNCTION("""COMPUTED_VALUE"""),0.5)</f>
        <v>0.5</v>
      </c>
      <c r="U2491" s="4" t="str">
        <f>IFERROR(__xludf.DUMMYFUNCTION("""COMPUTED_VALUE"""),"Ctsi")</f>
        <v>Ctsi</v>
      </c>
      <c r="V2491" s="33">
        <f>IFERROR(__xludf.DUMMYFUNCTION("""COMPUTED_VALUE"""),0.75)</f>
        <v>0.75</v>
      </c>
      <c r="W2491" s="4" t="str">
        <f>IFERROR(__xludf.DUMMYFUNCTION("""COMPUTED_VALUE"""),"Ctsi")</f>
        <v>Ctsi</v>
      </c>
      <c r="X2491" s="33">
        <f>IFERROR(__xludf.DUMMYFUNCTION("""COMPUTED_VALUE"""),0.5)</f>
        <v>0.5</v>
      </c>
    </row>
    <row r="2492">
      <c r="K2492" s="4" t="str">
        <f>IFERROR(__xludf.DUMMYFUNCTION("""COMPUTED_VALUE"""),"PICA-PAU LANCHES NH")</f>
        <v>PICA-PAU LANCHES NH</v>
      </c>
      <c r="L2492" s="32">
        <f>IFERROR(__xludf.DUMMYFUNCTION("""COMPUTED_VALUE"""),4.0)</f>
        <v>4</v>
      </c>
      <c r="M2492" s="4" t="str">
        <f>IFERROR(__xludf.DUMMYFUNCTION("""COMPUTED_VALUE"""),"Saipos Serviços De Software")</f>
        <v>Saipos Serviços De Software</v>
      </c>
      <c r="N2492" s="33">
        <f>IFERROR(__xludf.DUMMYFUNCTION("""COMPUTED_VALUE"""),0.75)</f>
        <v>0.75</v>
      </c>
      <c r="O2492" s="4" t="str">
        <f>IFERROR(__xludf.DUMMYFUNCTION("""COMPUTED_VALUE"""),"Saipos Serviços De Software")</f>
        <v>Saipos Serviços De Software</v>
      </c>
      <c r="P2492" s="33">
        <f>IFERROR(__xludf.DUMMYFUNCTION("""COMPUTED_VALUE"""),0.75)</f>
        <v>0.75</v>
      </c>
      <c r="Q2492" s="4" t="str">
        <f>IFERROR(__xludf.DUMMYFUNCTION("""COMPUTED_VALUE"""),"Saipos Serviços De Software")</f>
        <v>Saipos Serviços De Software</v>
      </c>
      <c r="R2492" s="33">
        <f>IFERROR(__xludf.DUMMYFUNCTION("""COMPUTED_VALUE"""),0.75)</f>
        <v>0.75</v>
      </c>
      <c r="S2492" s="4" t="str">
        <f>IFERROR(__xludf.DUMMYFUNCTION("""COMPUTED_VALUE"""),"Saipos Serviços De Software")</f>
        <v>Saipos Serviços De Software</v>
      </c>
      <c r="T2492" s="33">
        <f>IFERROR(__xludf.DUMMYFUNCTION("""COMPUTED_VALUE"""),1.0)</f>
        <v>1</v>
      </c>
      <c r="U2492" s="4" t="str">
        <f>IFERROR(__xludf.DUMMYFUNCTION("""COMPUTED_VALUE"""),"Saipos Serviços De Software")</f>
        <v>Saipos Serviços De Software</v>
      </c>
      <c r="V2492" s="33">
        <f>IFERROR(__xludf.DUMMYFUNCTION("""COMPUTED_VALUE"""),1.0)</f>
        <v>1</v>
      </c>
      <c r="W2492" s="4" t="str">
        <f>IFERROR(__xludf.DUMMYFUNCTION("""COMPUTED_VALUE"""),"Saipos Serviços De Software")</f>
        <v>Saipos Serviços De Software</v>
      </c>
      <c r="X2492" s="33">
        <f>IFERROR(__xludf.DUMMYFUNCTION("""COMPUTED_VALUE"""),1.0)</f>
        <v>1</v>
      </c>
    </row>
    <row r="2493">
      <c r="K2493" s="4" t="str">
        <f>IFERROR(__xludf.DUMMYFUNCTION("""COMPUTED_VALUE"""),"PICCOLI DELIVERY - CONTA MARCA")</f>
        <v>PICCOLI DELIVERY - CONTA MARCA</v>
      </c>
      <c r="L2493" s="32">
        <f>IFERROR(__xludf.DUMMYFUNCTION("""COMPUTED_VALUE"""),4.0)</f>
        <v>4</v>
      </c>
      <c r="M2493" s="4" t="str">
        <f>IFERROR(__xludf.DUMMYFUNCTION("""COMPUTED_VALUE"""),"Saipos Serviços De Software")</f>
        <v>Saipos Serviços De Software</v>
      </c>
      <c r="N2493" s="33">
        <f>IFERROR(__xludf.DUMMYFUNCTION("""COMPUTED_VALUE"""),1.0)</f>
        <v>1</v>
      </c>
      <c r="O2493" s="4" t="str">
        <f>IFERROR(__xludf.DUMMYFUNCTION("""COMPUTED_VALUE"""),"Saipos Serviços De Software")</f>
        <v>Saipos Serviços De Software</v>
      </c>
      <c r="P2493" s="33">
        <f>IFERROR(__xludf.DUMMYFUNCTION("""COMPUTED_VALUE"""),1.0)</f>
        <v>1</v>
      </c>
      <c r="Q2493" s="4" t="str">
        <f>IFERROR(__xludf.DUMMYFUNCTION("""COMPUTED_VALUE"""),"Saipos Serviços De Software")</f>
        <v>Saipos Serviços De Software</v>
      </c>
      <c r="R2493" s="33">
        <f>IFERROR(__xludf.DUMMYFUNCTION("""COMPUTED_VALUE"""),1.0)</f>
        <v>1</v>
      </c>
      <c r="S2493" s="4" t="str">
        <f>IFERROR(__xludf.DUMMYFUNCTION("""COMPUTED_VALUE"""),"Saipos Serviços De Software")</f>
        <v>Saipos Serviços De Software</v>
      </c>
      <c r="T2493" s="33">
        <f>IFERROR(__xludf.DUMMYFUNCTION("""COMPUTED_VALUE"""),1.0)</f>
        <v>1</v>
      </c>
      <c r="U2493" s="4" t="str">
        <f>IFERROR(__xludf.DUMMYFUNCTION("""COMPUTED_VALUE"""),"Saipos Serviços De Software")</f>
        <v>Saipos Serviços De Software</v>
      </c>
      <c r="V2493" s="33">
        <f>IFERROR(__xludf.DUMMYFUNCTION("""COMPUTED_VALUE"""),1.0)</f>
        <v>1</v>
      </c>
      <c r="W2493" s="4" t="str">
        <f>IFERROR(__xludf.DUMMYFUNCTION("""COMPUTED_VALUE"""),"Saipos Serviços De Software")</f>
        <v>Saipos Serviços De Software</v>
      </c>
      <c r="X2493" s="33">
        <f>IFERROR(__xludf.DUMMYFUNCTION("""COMPUTED_VALUE"""),1.0)</f>
        <v>1</v>
      </c>
    </row>
    <row r="2494">
      <c r="K2494" s="4" t="str">
        <f>IFERROR(__xludf.DUMMYFUNCTION("""COMPUTED_VALUE"""),"PIRATAS ART BURGER")</f>
        <v>PIRATAS ART BURGER</v>
      </c>
      <c r="L2494" s="32">
        <f>IFERROR(__xludf.DUMMYFUNCTION("""COMPUTED_VALUE"""),4.0)</f>
        <v>4</v>
      </c>
      <c r="M2494" s="4" t="str">
        <f>IFERROR(__xludf.DUMMYFUNCTION("""COMPUTED_VALUE"""),"Saipos Serviços De Software")</f>
        <v>Saipos Serviços De Software</v>
      </c>
      <c r="N2494" s="33">
        <f>IFERROR(__xludf.DUMMYFUNCTION("""COMPUTED_VALUE"""),1.0)</f>
        <v>1</v>
      </c>
      <c r="O2494" s="4" t="str">
        <f>IFERROR(__xludf.DUMMYFUNCTION("""COMPUTED_VALUE"""),"Saipos Serviços De Software")</f>
        <v>Saipos Serviços De Software</v>
      </c>
      <c r="P2494" s="33">
        <f>IFERROR(__xludf.DUMMYFUNCTION("""COMPUTED_VALUE"""),1.0)</f>
        <v>1</v>
      </c>
      <c r="Q2494" s="4" t="str">
        <f>IFERROR(__xludf.DUMMYFUNCTION("""COMPUTED_VALUE"""),"Saipos Serviços De Software")</f>
        <v>Saipos Serviços De Software</v>
      </c>
      <c r="R2494" s="33">
        <f>IFERROR(__xludf.DUMMYFUNCTION("""COMPUTED_VALUE"""),1.0)</f>
        <v>1</v>
      </c>
      <c r="S2494" s="4" t="str">
        <f>IFERROR(__xludf.DUMMYFUNCTION("""COMPUTED_VALUE"""),"Saipos Serviços De Software")</f>
        <v>Saipos Serviços De Software</v>
      </c>
      <c r="T2494" s="33">
        <f>IFERROR(__xludf.DUMMYFUNCTION("""COMPUTED_VALUE"""),1.0)</f>
        <v>1</v>
      </c>
      <c r="U2494" s="4" t="str">
        <f>IFERROR(__xludf.DUMMYFUNCTION("""COMPUTED_VALUE"""),"Saipos Serviços De Software")</f>
        <v>Saipos Serviços De Software</v>
      </c>
      <c r="V2494" s="33">
        <f>IFERROR(__xludf.DUMMYFUNCTION("""COMPUTED_VALUE"""),1.0)</f>
        <v>1</v>
      </c>
      <c r="W2494" s="4" t="str">
        <f>IFERROR(__xludf.DUMMYFUNCTION("""COMPUTED_VALUE"""),"Saipos Serviços De Software")</f>
        <v>Saipos Serviços De Software</v>
      </c>
      <c r="X2494" s="33">
        <f>IFERROR(__xludf.DUMMYFUNCTION("""COMPUTED_VALUE"""),1.0)</f>
        <v>1</v>
      </c>
    </row>
    <row r="2495">
      <c r="K2495" s="4" t="str">
        <f>IFERROR(__xludf.DUMMYFUNCTION("""COMPUTED_VALUE"""),"PIZZA 1000 - MATO GROSSO DO SUL")</f>
        <v>PIZZA 1000 - MATO GROSSO DO SUL</v>
      </c>
      <c r="L2495" s="32">
        <f>IFERROR(__xludf.DUMMYFUNCTION("""COMPUTED_VALUE"""),4.0)</f>
        <v>4</v>
      </c>
      <c r="M2495" s="4" t="str">
        <f>IFERROR(__xludf.DUMMYFUNCTION("""COMPUTED_VALUE"""),"Netcontroll Xmenu")</f>
        <v>Netcontroll Xmenu</v>
      </c>
      <c r="N2495" s="33">
        <f>IFERROR(__xludf.DUMMYFUNCTION("""COMPUTED_VALUE"""),0.75)</f>
        <v>0.75</v>
      </c>
      <c r="O2495" s="4" t="str">
        <f>IFERROR(__xludf.DUMMYFUNCTION("""COMPUTED_VALUE"""),"Netcontroll Xmenu")</f>
        <v>Netcontroll Xmenu</v>
      </c>
      <c r="P2495" s="33">
        <f>IFERROR(__xludf.DUMMYFUNCTION("""COMPUTED_VALUE"""),0.75)</f>
        <v>0.75</v>
      </c>
      <c r="Q2495" s="4" t="str">
        <f>IFERROR(__xludf.DUMMYFUNCTION("""COMPUTED_VALUE"""),"Netcontroll Xmenu")</f>
        <v>Netcontroll Xmenu</v>
      </c>
      <c r="R2495" s="33">
        <f>IFERROR(__xludf.DUMMYFUNCTION("""COMPUTED_VALUE"""),1.0)</f>
        <v>1</v>
      </c>
      <c r="S2495" s="4" t="str">
        <f>IFERROR(__xludf.DUMMYFUNCTION("""COMPUTED_VALUE"""),"Netcontroll Xmenu")</f>
        <v>Netcontroll Xmenu</v>
      </c>
      <c r="T2495" s="33">
        <f>IFERROR(__xludf.DUMMYFUNCTION("""COMPUTED_VALUE"""),1.0)</f>
        <v>1</v>
      </c>
      <c r="U2495" s="4" t="str">
        <f>IFERROR(__xludf.DUMMYFUNCTION("""COMPUTED_VALUE"""),"Netcontroll Xmenu")</f>
        <v>Netcontroll Xmenu</v>
      </c>
      <c r="V2495" s="33">
        <f>IFERROR(__xludf.DUMMYFUNCTION("""COMPUTED_VALUE"""),1.0)</f>
        <v>1</v>
      </c>
      <c r="W2495" s="4" t="str">
        <f>IFERROR(__xludf.DUMMYFUNCTION("""COMPUTED_VALUE"""),"Netcontroll Xmenu")</f>
        <v>Netcontroll Xmenu</v>
      </c>
      <c r="X2495" s="33">
        <f>IFERROR(__xludf.DUMMYFUNCTION("""COMPUTED_VALUE"""),1.0)</f>
        <v>1</v>
      </c>
    </row>
    <row r="2496">
      <c r="K2496" s="4" t="str">
        <f>IFERROR(__xludf.DUMMYFUNCTION("""COMPUTED_VALUE"""),"PIZZA DO BARRA")</f>
        <v>PIZZA DO BARRA</v>
      </c>
      <c r="L2496" s="32">
        <f>IFERROR(__xludf.DUMMYFUNCTION("""COMPUTED_VALUE"""),4.0)</f>
        <v>4</v>
      </c>
      <c r="M2496" s="4" t="str">
        <f>IFERROR(__xludf.DUMMYFUNCTION("""COMPUTED_VALUE"""),"Cityfoods Ltda")</f>
        <v>Cityfoods Ltda</v>
      </c>
      <c r="N2496" s="33">
        <f>IFERROR(__xludf.DUMMYFUNCTION("""COMPUTED_VALUE"""),0.75)</f>
        <v>0.75</v>
      </c>
      <c r="O2496" s="4" t="str">
        <f>IFERROR(__xludf.DUMMYFUNCTION("""COMPUTED_VALUE"""),"Cityfoods Ltda")</f>
        <v>Cityfoods Ltda</v>
      </c>
      <c r="P2496" s="33">
        <f>IFERROR(__xludf.DUMMYFUNCTION("""COMPUTED_VALUE"""),0.75)</f>
        <v>0.75</v>
      </c>
      <c r="Q2496" s="4" t="str">
        <f>IFERROR(__xludf.DUMMYFUNCTION("""COMPUTED_VALUE"""),"Cityfoods Ltda")</f>
        <v>Cityfoods Ltda</v>
      </c>
      <c r="R2496" s="33">
        <f>IFERROR(__xludf.DUMMYFUNCTION("""COMPUTED_VALUE"""),0.75)</f>
        <v>0.75</v>
      </c>
      <c r="S2496" s="4" t="str">
        <f>IFERROR(__xludf.DUMMYFUNCTION("""COMPUTED_VALUE"""),"Cityfoods Ltda")</f>
        <v>Cityfoods Ltda</v>
      </c>
      <c r="T2496" s="33">
        <f>IFERROR(__xludf.DUMMYFUNCTION("""COMPUTED_VALUE"""),0.25)</f>
        <v>0.25</v>
      </c>
      <c r="U2496" s="4" t="str">
        <f>IFERROR(__xludf.DUMMYFUNCTION("""COMPUTED_VALUE"""),"Saipos Serviços De Software")</f>
        <v>Saipos Serviços De Software</v>
      </c>
      <c r="V2496" s="33">
        <f>IFERROR(__xludf.DUMMYFUNCTION("""COMPUTED_VALUE"""),0.75)</f>
        <v>0.75</v>
      </c>
      <c r="W2496" s="4" t="str">
        <f>IFERROR(__xludf.DUMMYFUNCTION("""COMPUTED_VALUE"""),"Cityfoods Ltda")</f>
        <v>Cityfoods Ltda</v>
      </c>
      <c r="X2496" s="33">
        <f>IFERROR(__xludf.DUMMYFUNCTION("""COMPUTED_VALUE"""),0.75)</f>
        <v>0.75</v>
      </c>
    </row>
    <row r="2497">
      <c r="K2497" s="4" t="str">
        <f>IFERROR(__xludf.DUMMYFUNCTION("""COMPUTED_VALUE"""),"PIZZA HOUSE CONTA PAI")</f>
        <v>PIZZA HOUSE CONTA PAI</v>
      </c>
      <c r="L2497" s="32">
        <f>IFERROR(__xludf.DUMMYFUNCTION("""COMPUTED_VALUE"""),4.0)</f>
        <v>4</v>
      </c>
      <c r="M2497" s="4" t="str">
        <f>IFERROR(__xludf.DUMMYFUNCTION("""COMPUTED_VALUE"""),"Saipos Serviços De Software")</f>
        <v>Saipos Serviços De Software</v>
      </c>
      <c r="N2497" s="33">
        <f>IFERROR(__xludf.DUMMYFUNCTION("""COMPUTED_VALUE"""),1.0)</f>
        <v>1</v>
      </c>
      <c r="O2497" s="4" t="str">
        <f>IFERROR(__xludf.DUMMYFUNCTION("""COMPUTED_VALUE"""),"Saipos Serviços De Software")</f>
        <v>Saipos Serviços De Software</v>
      </c>
      <c r="P2497" s="33">
        <f>IFERROR(__xludf.DUMMYFUNCTION("""COMPUTED_VALUE"""),1.0)</f>
        <v>1</v>
      </c>
      <c r="Q2497" s="4" t="str">
        <f>IFERROR(__xludf.DUMMYFUNCTION("""COMPUTED_VALUE"""),"Saipos Serviços De Software")</f>
        <v>Saipos Serviços De Software</v>
      </c>
      <c r="R2497" s="33">
        <f>IFERROR(__xludf.DUMMYFUNCTION("""COMPUTED_VALUE"""),1.0)</f>
        <v>1</v>
      </c>
      <c r="S2497" s="4" t="str">
        <f>IFERROR(__xludf.DUMMYFUNCTION("""COMPUTED_VALUE"""),"Saipos Serviços De Software")</f>
        <v>Saipos Serviços De Software</v>
      </c>
      <c r="T2497" s="33">
        <f>IFERROR(__xludf.DUMMYFUNCTION("""COMPUTED_VALUE"""),0.75)</f>
        <v>0.75</v>
      </c>
      <c r="U2497" s="4" t="str">
        <f>IFERROR(__xludf.DUMMYFUNCTION("""COMPUTED_VALUE"""),"Saipos Serviços De Software")</f>
        <v>Saipos Serviços De Software</v>
      </c>
      <c r="V2497" s="33">
        <f>IFERROR(__xludf.DUMMYFUNCTION("""COMPUTED_VALUE"""),1.0)</f>
        <v>1</v>
      </c>
      <c r="W2497" s="4" t="str">
        <f>IFERROR(__xludf.DUMMYFUNCTION("""COMPUTED_VALUE"""),"Saipos Serviços De Software")</f>
        <v>Saipos Serviços De Software</v>
      </c>
      <c r="X2497" s="33">
        <f>IFERROR(__xludf.DUMMYFUNCTION("""COMPUTED_VALUE"""),1.0)</f>
        <v>1</v>
      </c>
    </row>
    <row r="2498">
      <c r="K2498" s="4" t="str">
        <f>IFERROR(__xludf.DUMMYFUNCTION("""COMPUTED_VALUE"""),"PIZZA MESTRE")</f>
        <v>PIZZA MESTRE</v>
      </c>
      <c r="L2498" s="32">
        <f>IFERROR(__xludf.DUMMYFUNCTION("""COMPUTED_VALUE"""),4.0)</f>
        <v>4</v>
      </c>
      <c r="M2498" s="4" t="str">
        <f>IFERROR(__xludf.DUMMYFUNCTION("""COMPUTED_VALUE"""),"Jaxtech")</f>
        <v>Jaxtech</v>
      </c>
      <c r="N2498" s="33">
        <f>IFERROR(__xludf.DUMMYFUNCTION("""COMPUTED_VALUE"""),0.75)</f>
        <v>0.75</v>
      </c>
      <c r="O2498" s="4" t="str">
        <f>IFERROR(__xludf.DUMMYFUNCTION("""COMPUTED_VALUE"""),"Jaxtech")</f>
        <v>Jaxtech</v>
      </c>
      <c r="P2498" s="33">
        <f>IFERROR(__xludf.DUMMYFUNCTION("""COMPUTED_VALUE"""),0.5)</f>
        <v>0.5</v>
      </c>
      <c r="Q2498" s="4" t="str">
        <f>IFERROR(__xludf.DUMMYFUNCTION("""COMPUTED_VALUE"""),"Takeat Tecnologia")</f>
        <v>Takeat Tecnologia</v>
      </c>
      <c r="R2498" s="33">
        <f>IFERROR(__xludf.DUMMYFUNCTION("""COMPUTED_VALUE"""),0.25)</f>
        <v>0.25</v>
      </c>
      <c r="S2498" s="4" t="str">
        <f>IFERROR(__xludf.DUMMYFUNCTION("""COMPUTED_VALUE"""),"Takeat Tecnologia")</f>
        <v>Takeat Tecnologia</v>
      </c>
      <c r="T2498" s="33">
        <f>IFERROR(__xludf.DUMMYFUNCTION("""COMPUTED_VALUE"""),0.5)</f>
        <v>0.5</v>
      </c>
      <c r="U2498" s="4" t="str">
        <f>IFERROR(__xludf.DUMMYFUNCTION("""COMPUTED_VALUE"""),"Takeat Tecnologia")</f>
        <v>Takeat Tecnologia</v>
      </c>
      <c r="V2498" s="33">
        <f>IFERROR(__xludf.DUMMYFUNCTION("""COMPUTED_VALUE"""),0.25)</f>
        <v>0.25</v>
      </c>
      <c r="W2498" s="4" t="str">
        <f>IFERROR(__xludf.DUMMYFUNCTION("""COMPUTED_VALUE"""),"Takeat Tecnologia")</f>
        <v>Takeat Tecnologia</v>
      </c>
      <c r="X2498" s="33">
        <f>IFERROR(__xludf.DUMMYFUNCTION("""COMPUTED_VALUE"""),0.5)</f>
        <v>0.5</v>
      </c>
    </row>
    <row r="2499">
      <c r="K2499" s="4" t="str">
        <f>IFERROR(__xludf.DUMMYFUNCTION("""COMPUTED_VALUE"""),"PIZZA VIA CARLO")</f>
        <v>PIZZA VIA CARLO</v>
      </c>
      <c r="L2499" s="32">
        <f>IFERROR(__xludf.DUMMYFUNCTION("""COMPUTED_VALUE"""),4.0)</f>
        <v>4</v>
      </c>
      <c r="M2499" s="4" t="str">
        <f>IFERROR(__xludf.DUMMYFUNCTION("""COMPUTED_VALUE"""),"Ncr")</f>
        <v>Ncr</v>
      </c>
      <c r="N2499" s="33">
        <f>IFERROR(__xludf.DUMMYFUNCTION("""COMPUTED_VALUE"""),0.75)</f>
        <v>0.75</v>
      </c>
      <c r="O2499" s="4" t="str">
        <f>IFERROR(__xludf.DUMMYFUNCTION("""COMPUTED_VALUE"""),"Ncr")</f>
        <v>Ncr</v>
      </c>
      <c r="P2499" s="33">
        <f>IFERROR(__xludf.DUMMYFUNCTION("""COMPUTED_VALUE"""),0.75)</f>
        <v>0.75</v>
      </c>
      <c r="Q2499" s="4" t="str">
        <f>IFERROR(__xludf.DUMMYFUNCTION("""COMPUTED_VALUE"""),"Ncr")</f>
        <v>Ncr</v>
      </c>
      <c r="R2499" s="33">
        <f>IFERROR(__xludf.DUMMYFUNCTION("""COMPUTED_VALUE"""),0.75)</f>
        <v>0.75</v>
      </c>
      <c r="S2499" s="4" t="str">
        <f>IFERROR(__xludf.DUMMYFUNCTION("""COMPUTED_VALUE"""),"Ncr")</f>
        <v>Ncr</v>
      </c>
      <c r="T2499" s="33">
        <f>IFERROR(__xludf.DUMMYFUNCTION("""COMPUTED_VALUE"""),0.75)</f>
        <v>0.75</v>
      </c>
      <c r="U2499" s="4" t="str">
        <f>IFERROR(__xludf.DUMMYFUNCTION("""COMPUTED_VALUE"""),"Ncr")</f>
        <v>Ncr</v>
      </c>
      <c r="V2499" s="33">
        <f>IFERROR(__xludf.DUMMYFUNCTION("""COMPUTED_VALUE"""),0.75)</f>
        <v>0.75</v>
      </c>
      <c r="W2499" s="4" t="str">
        <f>IFERROR(__xludf.DUMMYFUNCTION("""COMPUTED_VALUE"""),"Ncr")</f>
        <v>Ncr</v>
      </c>
      <c r="X2499" s="33">
        <f>IFERROR(__xludf.DUMMYFUNCTION("""COMPUTED_VALUE"""),0.75)</f>
        <v>0.75</v>
      </c>
    </row>
    <row r="2500">
      <c r="K2500" s="4" t="str">
        <f>IFERROR(__xludf.DUMMYFUNCTION("""COMPUTED_VALUE"""),"PIZZACOM DUQUE DE CAXIAS")</f>
        <v>PIZZACOM DUQUE DE CAXIAS</v>
      </c>
      <c r="L2500" s="32">
        <f>IFERROR(__xludf.DUMMYFUNCTION("""COMPUTED_VALUE"""),4.0)</f>
        <v>4</v>
      </c>
      <c r="M2500" s="4" t="str">
        <f>IFERROR(__xludf.DUMMYFUNCTION("""COMPUTED_VALUE"""),"Saipos Serviços De Software")</f>
        <v>Saipos Serviços De Software</v>
      </c>
      <c r="N2500" s="33">
        <f>IFERROR(__xludf.DUMMYFUNCTION("""COMPUTED_VALUE"""),1.0)</f>
        <v>1</v>
      </c>
      <c r="O2500" s="4" t="str">
        <f>IFERROR(__xludf.DUMMYFUNCTION("""COMPUTED_VALUE"""),"Saipos Serviços De Software")</f>
        <v>Saipos Serviços De Software</v>
      </c>
      <c r="P2500" s="33">
        <f>IFERROR(__xludf.DUMMYFUNCTION("""COMPUTED_VALUE"""),1.0)</f>
        <v>1</v>
      </c>
      <c r="Q2500" s="4" t="str">
        <f>IFERROR(__xludf.DUMMYFUNCTION("""COMPUTED_VALUE"""),"Saipos Serviços De Software")</f>
        <v>Saipos Serviços De Software</v>
      </c>
      <c r="R2500" s="33">
        <f>IFERROR(__xludf.DUMMYFUNCTION("""COMPUTED_VALUE"""),1.0)</f>
        <v>1</v>
      </c>
      <c r="S2500" s="4" t="str">
        <f>IFERROR(__xludf.DUMMYFUNCTION("""COMPUTED_VALUE"""),"Saipos Serviços De Software")</f>
        <v>Saipos Serviços De Software</v>
      </c>
      <c r="T2500" s="33">
        <f>IFERROR(__xludf.DUMMYFUNCTION("""COMPUTED_VALUE"""),1.0)</f>
        <v>1</v>
      </c>
      <c r="U2500" s="4" t="str">
        <f>IFERROR(__xludf.DUMMYFUNCTION("""COMPUTED_VALUE"""),"Saipos Serviços De Software")</f>
        <v>Saipos Serviços De Software</v>
      </c>
      <c r="V2500" s="33">
        <f>IFERROR(__xludf.DUMMYFUNCTION("""COMPUTED_VALUE"""),1.0)</f>
        <v>1</v>
      </c>
      <c r="W2500" s="4" t="str">
        <f>IFERROR(__xludf.DUMMYFUNCTION("""COMPUTED_VALUE"""),"Saipos Serviços De Software")</f>
        <v>Saipos Serviços De Software</v>
      </c>
      <c r="X2500" s="33">
        <f>IFERROR(__xludf.DUMMYFUNCTION("""COMPUTED_VALUE"""),1.0)</f>
        <v>1</v>
      </c>
    </row>
    <row r="2501">
      <c r="K2501" s="4" t="str">
        <f>IFERROR(__xludf.DUMMYFUNCTION("""COMPUTED_VALUE"""),"PIZZAIOLA")</f>
        <v>PIZZAIOLA</v>
      </c>
      <c r="L2501" s="32">
        <f>IFERROR(__xludf.DUMMYFUNCTION("""COMPUTED_VALUE"""),4.0)</f>
        <v>4</v>
      </c>
      <c r="M2501" s="4" t="str">
        <f>IFERROR(__xludf.DUMMYFUNCTION("""COMPUTED_VALUE"""),"Menew - Linx")</f>
        <v>Menew - Linx</v>
      </c>
      <c r="N2501" s="33">
        <f>IFERROR(__xludf.DUMMYFUNCTION("""COMPUTED_VALUE"""),0.75)</f>
        <v>0.75</v>
      </c>
      <c r="O2501" s="4" t="str">
        <f>IFERROR(__xludf.DUMMYFUNCTION("""COMPUTED_VALUE"""),"Menew - Linx")</f>
        <v>Menew - Linx</v>
      </c>
      <c r="P2501" s="33">
        <f>IFERROR(__xludf.DUMMYFUNCTION("""COMPUTED_VALUE"""),0.75)</f>
        <v>0.75</v>
      </c>
      <c r="Q2501" s="4" t="str">
        <f>IFERROR(__xludf.DUMMYFUNCTION("""COMPUTED_VALUE"""),"Menew - Linx")</f>
        <v>Menew - Linx</v>
      </c>
      <c r="R2501" s="33">
        <f>IFERROR(__xludf.DUMMYFUNCTION("""COMPUTED_VALUE"""),0.75)</f>
        <v>0.75</v>
      </c>
      <c r="S2501" s="4" t="str">
        <f>IFERROR(__xludf.DUMMYFUNCTION("""COMPUTED_VALUE"""),"Menew - Linx")</f>
        <v>Menew - Linx</v>
      </c>
      <c r="T2501" s="33">
        <f>IFERROR(__xludf.DUMMYFUNCTION("""COMPUTED_VALUE"""),1.0)</f>
        <v>1</v>
      </c>
      <c r="U2501" s="4" t="str">
        <f>IFERROR(__xludf.DUMMYFUNCTION("""COMPUTED_VALUE"""),"Menew - Linx")</f>
        <v>Menew - Linx</v>
      </c>
      <c r="V2501" s="33">
        <f>IFERROR(__xludf.DUMMYFUNCTION("""COMPUTED_VALUE"""),1.0)</f>
        <v>1</v>
      </c>
      <c r="W2501" s="4" t="str">
        <f>IFERROR(__xludf.DUMMYFUNCTION("""COMPUTED_VALUE"""),"Menew - Linx")</f>
        <v>Menew - Linx</v>
      </c>
      <c r="X2501" s="33">
        <f>IFERROR(__xludf.DUMMYFUNCTION("""COMPUTED_VALUE"""),0.75)</f>
        <v>0.75</v>
      </c>
    </row>
    <row r="2502">
      <c r="K2502" s="4" t="str">
        <f>IFERROR(__xludf.DUMMYFUNCTION("""COMPUTED_VALUE"""),"PIZZARIA 3G FAZENDINHA - CONTA MARCA")</f>
        <v>PIZZARIA 3G FAZENDINHA - CONTA MARCA</v>
      </c>
      <c r="L2502" s="32">
        <f>IFERROR(__xludf.DUMMYFUNCTION("""COMPUTED_VALUE"""),4.0)</f>
        <v>4</v>
      </c>
      <c r="M2502" s="4" t="str">
        <f>IFERROR(__xludf.DUMMYFUNCTION("""COMPUTED_VALUE"""),"Saipos Serviços De Software")</f>
        <v>Saipos Serviços De Software</v>
      </c>
      <c r="N2502" s="33">
        <f>IFERROR(__xludf.DUMMYFUNCTION("""COMPUTED_VALUE"""),1.0)</f>
        <v>1</v>
      </c>
      <c r="O2502" s="4" t="str">
        <f>IFERROR(__xludf.DUMMYFUNCTION("""COMPUTED_VALUE"""),"Saipos Serviços De Software")</f>
        <v>Saipos Serviços De Software</v>
      </c>
      <c r="P2502" s="33">
        <f>IFERROR(__xludf.DUMMYFUNCTION("""COMPUTED_VALUE"""),1.0)</f>
        <v>1</v>
      </c>
      <c r="Q2502" s="4" t="str">
        <f>IFERROR(__xludf.DUMMYFUNCTION("""COMPUTED_VALUE"""),"Saipos Serviços De Software")</f>
        <v>Saipos Serviços De Software</v>
      </c>
      <c r="R2502" s="33">
        <f>IFERROR(__xludf.DUMMYFUNCTION("""COMPUTED_VALUE"""),1.0)</f>
        <v>1</v>
      </c>
      <c r="S2502" s="4" t="str">
        <f>IFERROR(__xludf.DUMMYFUNCTION("""COMPUTED_VALUE"""),"Saipos Serviços De Software")</f>
        <v>Saipos Serviços De Software</v>
      </c>
      <c r="T2502" s="33">
        <f>IFERROR(__xludf.DUMMYFUNCTION("""COMPUTED_VALUE"""),0.75)</f>
        <v>0.75</v>
      </c>
      <c r="U2502" s="4" t="str">
        <f>IFERROR(__xludf.DUMMYFUNCTION("""COMPUTED_VALUE"""),"Saipos Serviços De Software")</f>
        <v>Saipos Serviços De Software</v>
      </c>
      <c r="V2502" s="33">
        <f>IFERROR(__xludf.DUMMYFUNCTION("""COMPUTED_VALUE"""),1.0)</f>
        <v>1</v>
      </c>
      <c r="W2502" s="4" t="str">
        <f>IFERROR(__xludf.DUMMYFUNCTION("""COMPUTED_VALUE"""),"Saipos Serviços De Software")</f>
        <v>Saipos Serviços De Software</v>
      </c>
      <c r="X2502" s="33">
        <f>IFERROR(__xludf.DUMMYFUNCTION("""COMPUTED_VALUE"""),1.0)</f>
        <v>1</v>
      </c>
    </row>
    <row r="2503">
      <c r="K2503" s="4" t="str">
        <f>IFERROR(__xludf.DUMMYFUNCTION("""COMPUTED_VALUE"""),"PIZZARIA 4 QUEIJOS - CONTA MARCA")</f>
        <v>PIZZARIA 4 QUEIJOS - CONTA MARCA</v>
      </c>
      <c r="L2503" s="32">
        <f>IFERROR(__xludf.DUMMYFUNCTION("""COMPUTED_VALUE"""),4.0)</f>
        <v>4</v>
      </c>
      <c r="M2503" s="4" t="str">
        <f>IFERROR(__xludf.DUMMYFUNCTION("""COMPUTED_VALUE"""),"Bitbar")</f>
        <v>Bitbar</v>
      </c>
      <c r="N2503" s="33">
        <f>IFERROR(__xludf.DUMMYFUNCTION("""COMPUTED_VALUE"""),1.0)</f>
        <v>1</v>
      </c>
      <c r="O2503" s="4" t="str">
        <f>IFERROR(__xludf.DUMMYFUNCTION("""COMPUTED_VALUE"""),"Bitbar")</f>
        <v>Bitbar</v>
      </c>
      <c r="P2503" s="33">
        <f>IFERROR(__xludf.DUMMYFUNCTION("""COMPUTED_VALUE"""),1.0)</f>
        <v>1</v>
      </c>
      <c r="Q2503" s="4" t="str">
        <f>IFERROR(__xludf.DUMMYFUNCTION("""COMPUTED_VALUE"""),"Bitbar")</f>
        <v>Bitbar</v>
      </c>
      <c r="R2503" s="33">
        <f>IFERROR(__xludf.DUMMYFUNCTION("""COMPUTED_VALUE"""),0.75)</f>
        <v>0.75</v>
      </c>
      <c r="S2503" s="4" t="str">
        <f>IFERROR(__xludf.DUMMYFUNCTION("""COMPUTED_VALUE"""),"Bitbar")</f>
        <v>Bitbar</v>
      </c>
      <c r="T2503" s="33">
        <f>IFERROR(__xludf.DUMMYFUNCTION("""COMPUTED_VALUE"""),1.0)</f>
        <v>1</v>
      </c>
      <c r="U2503" s="4" t="str">
        <f>IFERROR(__xludf.DUMMYFUNCTION("""COMPUTED_VALUE"""),"Bitbar")</f>
        <v>Bitbar</v>
      </c>
      <c r="V2503" s="33">
        <f>IFERROR(__xludf.DUMMYFUNCTION("""COMPUTED_VALUE"""),0.75)</f>
        <v>0.75</v>
      </c>
      <c r="W2503" s="4" t="str">
        <f>IFERROR(__xludf.DUMMYFUNCTION("""COMPUTED_VALUE"""),"Bitbar")</f>
        <v>Bitbar</v>
      </c>
      <c r="X2503" s="33">
        <f>IFERROR(__xludf.DUMMYFUNCTION("""COMPUTED_VALUE"""),0.75)</f>
        <v>0.75</v>
      </c>
    </row>
    <row r="2504">
      <c r="K2504" s="4" t="str">
        <f>IFERROR(__xludf.DUMMYFUNCTION("""COMPUTED_VALUE"""),"PIZZARIA ATALAIA - CONTA MARCA")</f>
        <v>PIZZARIA ATALAIA - CONTA MARCA</v>
      </c>
      <c r="L2504" s="32">
        <f>IFERROR(__xludf.DUMMYFUNCTION("""COMPUTED_VALUE"""),4.0)</f>
        <v>4</v>
      </c>
      <c r="M2504" s="4" t="str">
        <f>IFERROR(__xludf.DUMMYFUNCTION("""COMPUTED_VALUE"""),"Beefood - Sistema Para Restaurantes")</f>
        <v>Beefood - Sistema Para Restaurantes</v>
      </c>
      <c r="N2504" s="33">
        <f>IFERROR(__xludf.DUMMYFUNCTION("""COMPUTED_VALUE"""),0.75)</f>
        <v>0.75</v>
      </c>
      <c r="O2504" s="4" t="str">
        <f>IFERROR(__xludf.DUMMYFUNCTION("""COMPUTED_VALUE"""),"Beefood - Sistema Para Restaurantes")</f>
        <v>Beefood - Sistema Para Restaurantes</v>
      </c>
      <c r="P2504" s="33">
        <f>IFERROR(__xludf.DUMMYFUNCTION("""COMPUTED_VALUE"""),1.0)</f>
        <v>1</v>
      </c>
      <c r="Q2504" s="4" t="str">
        <f>IFERROR(__xludf.DUMMYFUNCTION("""COMPUTED_VALUE"""),"Beefood - Sistema Para Restaurantes")</f>
        <v>Beefood - Sistema Para Restaurantes</v>
      </c>
      <c r="R2504" s="33">
        <f>IFERROR(__xludf.DUMMYFUNCTION("""COMPUTED_VALUE"""),0.75)</f>
        <v>0.75</v>
      </c>
      <c r="S2504" s="4" t="str">
        <f>IFERROR(__xludf.DUMMYFUNCTION("""COMPUTED_VALUE"""),"null")</f>
        <v>null</v>
      </c>
      <c r="T2504" s="33">
        <f>IFERROR(__xludf.DUMMYFUNCTION("""COMPUTED_VALUE"""),0.75)</f>
        <v>0.75</v>
      </c>
      <c r="U2504" s="4" t="str">
        <f>IFERROR(__xludf.DUMMYFUNCTION("""COMPUTED_VALUE"""),"null")</f>
        <v>null</v>
      </c>
      <c r="V2504" s="33">
        <f>IFERROR(__xludf.DUMMYFUNCTION("""COMPUTED_VALUE"""),1.0)</f>
        <v>1</v>
      </c>
      <c r="W2504" s="4" t="str">
        <f>IFERROR(__xludf.DUMMYFUNCTION("""COMPUTED_VALUE"""),"null")</f>
        <v>null</v>
      </c>
      <c r="X2504" s="33">
        <f>IFERROR(__xludf.DUMMYFUNCTION("""COMPUTED_VALUE"""),0.5)</f>
        <v>0.5</v>
      </c>
    </row>
    <row r="2505">
      <c r="K2505" s="4" t="str">
        <f>IFERROR(__xludf.DUMMYFUNCTION("""COMPUTED_VALUE"""),"PIZZARIA CASA DA PIZZA - MANAUS")</f>
        <v>PIZZARIA CASA DA PIZZA - MANAUS</v>
      </c>
      <c r="L2505" s="32">
        <f>IFERROR(__xludf.DUMMYFUNCTION("""COMPUTED_VALUE"""),4.0)</f>
        <v>4</v>
      </c>
      <c r="M2505" s="4" t="str">
        <f>IFERROR(__xludf.DUMMYFUNCTION("""COMPUTED_VALUE"""),"Saipos Serviços De Software")</f>
        <v>Saipos Serviços De Software</v>
      </c>
      <c r="N2505" s="33">
        <f>IFERROR(__xludf.DUMMYFUNCTION("""COMPUTED_VALUE"""),0.75)</f>
        <v>0.75</v>
      </c>
      <c r="O2505" s="4" t="str">
        <f>IFERROR(__xludf.DUMMYFUNCTION("""COMPUTED_VALUE"""),"Saipos Serviços De Software")</f>
        <v>Saipos Serviços De Software</v>
      </c>
      <c r="P2505" s="33">
        <f>IFERROR(__xludf.DUMMYFUNCTION("""COMPUTED_VALUE"""),0.75)</f>
        <v>0.75</v>
      </c>
      <c r="Q2505" s="4" t="str">
        <f>IFERROR(__xludf.DUMMYFUNCTION("""COMPUTED_VALUE"""),"Saipos Serviços De Software")</f>
        <v>Saipos Serviços De Software</v>
      </c>
      <c r="R2505" s="33">
        <f>IFERROR(__xludf.DUMMYFUNCTION("""COMPUTED_VALUE"""),0.75)</f>
        <v>0.75</v>
      </c>
      <c r="S2505" s="4" t="str">
        <f>IFERROR(__xludf.DUMMYFUNCTION("""COMPUTED_VALUE"""),"Saipos Serviços De Software")</f>
        <v>Saipos Serviços De Software</v>
      </c>
      <c r="T2505" s="33">
        <f>IFERROR(__xludf.DUMMYFUNCTION("""COMPUTED_VALUE"""),0.75)</f>
        <v>0.75</v>
      </c>
      <c r="U2505" s="4" t="str">
        <f>IFERROR(__xludf.DUMMYFUNCTION("""COMPUTED_VALUE"""),"Saipos Serviços De Software")</f>
        <v>Saipos Serviços De Software</v>
      </c>
      <c r="V2505" s="33">
        <f>IFERROR(__xludf.DUMMYFUNCTION("""COMPUTED_VALUE"""),0.75)</f>
        <v>0.75</v>
      </c>
      <c r="W2505" s="4" t="str">
        <f>IFERROR(__xludf.DUMMYFUNCTION("""COMPUTED_VALUE"""),"Saipos Serviços De Software")</f>
        <v>Saipos Serviços De Software</v>
      </c>
      <c r="X2505" s="33">
        <f>IFERROR(__xludf.DUMMYFUNCTION("""COMPUTED_VALUE"""),0.75)</f>
        <v>0.75</v>
      </c>
    </row>
    <row r="2506">
      <c r="K2506" s="4" t="str">
        <f>IFERROR(__xludf.DUMMYFUNCTION("""COMPUTED_VALUE"""),"PIZZARIA DA RITA")</f>
        <v>PIZZARIA DA RITA</v>
      </c>
      <c r="L2506" s="32">
        <f>IFERROR(__xludf.DUMMYFUNCTION("""COMPUTED_VALUE"""),4.0)</f>
        <v>4</v>
      </c>
      <c r="M2506" s="4" t="str">
        <f>IFERROR(__xludf.DUMMYFUNCTION("""COMPUTED_VALUE"""),"Saipos Serviços De Software")</f>
        <v>Saipos Serviços De Software</v>
      </c>
      <c r="N2506" s="33">
        <f>IFERROR(__xludf.DUMMYFUNCTION("""COMPUTED_VALUE"""),0.5)</f>
        <v>0.5</v>
      </c>
      <c r="O2506" s="4" t="str">
        <f>IFERROR(__xludf.DUMMYFUNCTION("""COMPUTED_VALUE"""),"Saipos Serviços De Software")</f>
        <v>Saipos Serviços De Software</v>
      </c>
      <c r="P2506" s="33">
        <f>IFERROR(__xludf.DUMMYFUNCTION("""COMPUTED_VALUE"""),0.5)</f>
        <v>0.5</v>
      </c>
      <c r="Q2506" s="4" t="str">
        <f>IFERROR(__xludf.DUMMYFUNCTION("""COMPUTED_VALUE"""),"Saipos Serviços De Software")</f>
        <v>Saipos Serviços De Software</v>
      </c>
      <c r="R2506" s="33">
        <f>IFERROR(__xludf.DUMMYFUNCTION("""COMPUTED_VALUE"""),0.5)</f>
        <v>0.5</v>
      </c>
      <c r="S2506" s="4" t="str">
        <f>IFERROR(__xludf.DUMMYFUNCTION("""COMPUTED_VALUE"""),"Saipos Serviços De Software")</f>
        <v>Saipos Serviços De Software</v>
      </c>
      <c r="T2506" s="33">
        <f>IFERROR(__xludf.DUMMYFUNCTION("""COMPUTED_VALUE"""),1.0)</f>
        <v>1</v>
      </c>
      <c r="U2506" s="4" t="str">
        <f>IFERROR(__xludf.DUMMYFUNCTION("""COMPUTED_VALUE"""),"Saipos Serviços De Software")</f>
        <v>Saipos Serviços De Software</v>
      </c>
      <c r="V2506" s="33">
        <f>IFERROR(__xludf.DUMMYFUNCTION("""COMPUTED_VALUE"""),1.0)</f>
        <v>1</v>
      </c>
      <c r="W2506" s="4" t="str">
        <f>IFERROR(__xludf.DUMMYFUNCTION("""COMPUTED_VALUE"""),"Saipos Serviços De Software")</f>
        <v>Saipos Serviços De Software</v>
      </c>
      <c r="X2506" s="33">
        <f>IFERROR(__xludf.DUMMYFUNCTION("""COMPUTED_VALUE"""),1.0)</f>
        <v>1</v>
      </c>
    </row>
    <row r="2507">
      <c r="K2507" s="4" t="str">
        <f>IFERROR(__xludf.DUMMYFUNCTION("""COMPUTED_VALUE"""),"PIZZARIA DI NAPOLLI")</f>
        <v>PIZZARIA DI NAPOLLI</v>
      </c>
      <c r="L2507" s="32">
        <f>IFERROR(__xludf.DUMMYFUNCTION("""COMPUTED_VALUE"""),4.0)</f>
        <v>4</v>
      </c>
      <c r="M2507" s="4" t="str">
        <f>IFERROR(__xludf.DUMMYFUNCTION("""COMPUTED_VALUE"""),"Premio Sistemas Ltda")</f>
        <v>Premio Sistemas Ltda</v>
      </c>
      <c r="N2507" s="33">
        <f>IFERROR(__xludf.DUMMYFUNCTION("""COMPUTED_VALUE"""),0.75)</f>
        <v>0.75</v>
      </c>
      <c r="O2507" s="4" t="str">
        <f>IFERROR(__xludf.DUMMYFUNCTION("""COMPUTED_VALUE"""),"Premio Sistemas Ltda")</f>
        <v>Premio Sistemas Ltda</v>
      </c>
      <c r="P2507" s="33">
        <f>IFERROR(__xludf.DUMMYFUNCTION("""COMPUTED_VALUE"""),0.75)</f>
        <v>0.75</v>
      </c>
      <c r="Q2507" s="4" t="str">
        <f>IFERROR(__xludf.DUMMYFUNCTION("""COMPUTED_VALUE"""),"Premio Sistemas Ltda")</f>
        <v>Premio Sistemas Ltda</v>
      </c>
      <c r="R2507" s="33">
        <f>IFERROR(__xludf.DUMMYFUNCTION("""COMPUTED_VALUE"""),0.5)</f>
        <v>0.5</v>
      </c>
      <c r="S2507" s="4" t="str">
        <f>IFERROR(__xludf.DUMMYFUNCTION("""COMPUTED_VALUE"""),"Premio Sistemas Ltda")</f>
        <v>Premio Sistemas Ltda</v>
      </c>
      <c r="T2507" s="33">
        <f>IFERROR(__xludf.DUMMYFUNCTION("""COMPUTED_VALUE"""),0.75)</f>
        <v>0.75</v>
      </c>
      <c r="U2507" s="4" t="str">
        <f>IFERROR(__xludf.DUMMYFUNCTION("""COMPUTED_VALUE"""),"Premio Sistemas Ltda")</f>
        <v>Premio Sistemas Ltda</v>
      </c>
      <c r="V2507" s="33">
        <f>IFERROR(__xludf.DUMMYFUNCTION("""COMPUTED_VALUE"""),0.5)</f>
        <v>0.5</v>
      </c>
      <c r="W2507" s="4" t="str">
        <f>IFERROR(__xludf.DUMMYFUNCTION("""COMPUTED_VALUE"""),"null")</f>
        <v>null</v>
      </c>
      <c r="X2507" s="33">
        <f>IFERROR(__xludf.DUMMYFUNCTION("""COMPUTED_VALUE"""),1.0)</f>
        <v>1</v>
      </c>
    </row>
    <row r="2508">
      <c r="K2508" s="4" t="str">
        <f>IFERROR(__xludf.DUMMYFUNCTION("""COMPUTED_VALUE"""),"PIZZARIA EZEQUIEL - CONTA PAI")</f>
        <v>PIZZARIA EZEQUIEL - CONTA PAI</v>
      </c>
      <c r="L2508" s="32">
        <f>IFERROR(__xludf.DUMMYFUNCTION("""COMPUTED_VALUE"""),4.0)</f>
        <v>4</v>
      </c>
      <c r="M2508" s="4" t="str">
        <f>IFERROR(__xludf.DUMMYFUNCTION("""COMPUTED_VALUE"""),"Expresso Delivery")</f>
        <v>Expresso Delivery</v>
      </c>
      <c r="N2508" s="33">
        <f>IFERROR(__xludf.DUMMYFUNCTION("""COMPUTED_VALUE"""),0.5)</f>
        <v>0.5</v>
      </c>
      <c r="O2508" s="4" t="str">
        <f>IFERROR(__xludf.DUMMYFUNCTION("""COMPUTED_VALUE"""),"Expresso Delivery")</f>
        <v>Expresso Delivery</v>
      </c>
      <c r="P2508" s="33">
        <f>IFERROR(__xludf.DUMMYFUNCTION("""COMPUTED_VALUE"""),0.5)</f>
        <v>0.5</v>
      </c>
      <c r="Q2508" s="4" t="str">
        <f>IFERROR(__xludf.DUMMYFUNCTION("""COMPUTED_VALUE"""),"Expresso Delivery")</f>
        <v>Expresso Delivery</v>
      </c>
      <c r="R2508" s="33">
        <f>IFERROR(__xludf.DUMMYFUNCTION("""COMPUTED_VALUE"""),0.5)</f>
        <v>0.5</v>
      </c>
      <c r="S2508" s="4" t="str">
        <f>IFERROR(__xludf.DUMMYFUNCTION("""COMPUTED_VALUE"""),"Expresso Delivery")</f>
        <v>Expresso Delivery</v>
      </c>
      <c r="T2508" s="33">
        <f>IFERROR(__xludf.DUMMYFUNCTION("""COMPUTED_VALUE"""),0.5)</f>
        <v>0.5</v>
      </c>
      <c r="U2508" s="4" t="str">
        <f>IFERROR(__xludf.DUMMYFUNCTION("""COMPUTED_VALUE"""),"Expresso Delivery")</f>
        <v>Expresso Delivery</v>
      </c>
      <c r="V2508" s="33">
        <f>IFERROR(__xludf.DUMMYFUNCTION("""COMPUTED_VALUE"""),0.5)</f>
        <v>0.5</v>
      </c>
      <c r="W2508" s="4" t="str">
        <f>IFERROR(__xludf.DUMMYFUNCTION("""COMPUTED_VALUE"""),"Expresso Delivery")</f>
        <v>Expresso Delivery</v>
      </c>
      <c r="X2508" s="33">
        <f>IFERROR(__xludf.DUMMYFUNCTION("""COMPUTED_VALUE"""),0.5)</f>
        <v>0.5</v>
      </c>
    </row>
    <row r="2509">
      <c r="K2509" s="4" t="str">
        <f>IFERROR(__xludf.DUMMYFUNCTION("""COMPUTED_VALUE"""),"PIZZARIA FORNALHA - CONTA MARCA")</f>
        <v>PIZZARIA FORNALHA - CONTA MARCA</v>
      </c>
      <c r="L2509" s="32">
        <f>IFERROR(__xludf.DUMMYFUNCTION("""COMPUTED_VALUE"""),4.0)</f>
        <v>4</v>
      </c>
      <c r="M2509" s="4" t="str">
        <f>IFERROR(__xludf.DUMMYFUNCTION("""COMPUTED_VALUE"""),"Jclan Sistemas")</f>
        <v>Jclan Sistemas</v>
      </c>
      <c r="N2509" s="33">
        <f>IFERROR(__xludf.DUMMYFUNCTION("""COMPUTED_VALUE"""),1.0)</f>
        <v>1</v>
      </c>
      <c r="O2509" s="4" t="str">
        <f>IFERROR(__xludf.DUMMYFUNCTION("""COMPUTED_VALUE"""),"null")</f>
        <v>null</v>
      </c>
      <c r="P2509" s="33">
        <f>IFERROR(__xludf.DUMMYFUNCTION("""COMPUTED_VALUE"""),0.75)</f>
        <v>0.75</v>
      </c>
      <c r="Q2509" s="4" t="str">
        <f>IFERROR(__xludf.DUMMYFUNCTION("""COMPUTED_VALUE"""),"null")</f>
        <v>null</v>
      </c>
      <c r="R2509" s="33">
        <f>IFERROR(__xludf.DUMMYFUNCTION("""COMPUTED_VALUE"""),1.0)</f>
        <v>1</v>
      </c>
      <c r="S2509" s="4" t="str">
        <f>IFERROR(__xludf.DUMMYFUNCTION("""COMPUTED_VALUE"""),"null")</f>
        <v>null</v>
      </c>
      <c r="T2509" s="33">
        <f>IFERROR(__xludf.DUMMYFUNCTION("""COMPUTED_VALUE"""),0.75)</f>
        <v>0.75</v>
      </c>
      <c r="U2509" s="4" t="str">
        <f>IFERROR(__xludf.DUMMYFUNCTION("""COMPUTED_VALUE"""),"null")</f>
        <v>null</v>
      </c>
      <c r="V2509" s="33">
        <f>IFERROR(__xludf.DUMMYFUNCTION("""COMPUTED_VALUE"""),0.75)</f>
        <v>0.75</v>
      </c>
      <c r="W2509" s="4" t="str">
        <f>IFERROR(__xludf.DUMMYFUNCTION("""COMPUTED_VALUE"""),"null")</f>
        <v>null</v>
      </c>
      <c r="X2509" s="33">
        <f>IFERROR(__xludf.DUMMYFUNCTION("""COMPUTED_VALUE"""),0.5)</f>
        <v>0.5</v>
      </c>
    </row>
    <row r="2510">
      <c r="K2510" s="4" t="str">
        <f>IFERROR(__xludf.DUMMYFUNCTION("""COMPUTED_VALUE"""),"PIZZARIA MADALENA - MS")</f>
        <v>PIZZARIA MADALENA - MS</v>
      </c>
      <c r="L2510" s="32">
        <f>IFERROR(__xludf.DUMMYFUNCTION("""COMPUTED_VALUE"""),4.0)</f>
        <v>4</v>
      </c>
      <c r="M2510" s="4" t="str">
        <f>IFERROR(__xludf.DUMMYFUNCTION("""COMPUTED_VALUE"""),"null")</f>
        <v>null</v>
      </c>
      <c r="N2510" s="33">
        <f>IFERROR(__xludf.DUMMYFUNCTION("""COMPUTED_VALUE"""),0.5)</f>
        <v>0.5</v>
      </c>
      <c r="O2510" s="4" t="str">
        <f>IFERROR(__xludf.DUMMYFUNCTION("""COMPUTED_VALUE"""),"null")</f>
        <v>null</v>
      </c>
      <c r="P2510" s="33">
        <f>IFERROR(__xludf.DUMMYFUNCTION("""COMPUTED_VALUE"""),0.5)</f>
        <v>0.5</v>
      </c>
      <c r="Q2510" s="4" t="str">
        <f>IFERROR(__xludf.DUMMYFUNCTION("""COMPUTED_VALUE"""),"Saipos Serviços De Software")</f>
        <v>Saipos Serviços De Software</v>
      </c>
      <c r="R2510" s="33">
        <f>IFERROR(__xludf.DUMMYFUNCTION("""COMPUTED_VALUE"""),0.75)</f>
        <v>0.75</v>
      </c>
      <c r="S2510" s="4" t="str">
        <f>IFERROR(__xludf.DUMMYFUNCTION("""COMPUTED_VALUE"""),"Saipos Serviços De Software")</f>
        <v>Saipos Serviços De Software</v>
      </c>
      <c r="T2510" s="33">
        <f>IFERROR(__xludf.DUMMYFUNCTION("""COMPUTED_VALUE"""),1.0)</f>
        <v>1</v>
      </c>
      <c r="U2510" s="4" t="str">
        <f>IFERROR(__xludf.DUMMYFUNCTION("""COMPUTED_VALUE"""),"Saipos Serviços De Software")</f>
        <v>Saipos Serviços De Software</v>
      </c>
      <c r="V2510" s="33">
        <f>IFERROR(__xludf.DUMMYFUNCTION("""COMPUTED_VALUE"""),1.0)</f>
        <v>1</v>
      </c>
      <c r="W2510" s="4" t="str">
        <f>IFERROR(__xludf.DUMMYFUNCTION("""COMPUTED_VALUE"""),"Saipos Serviços De Software")</f>
        <v>Saipos Serviços De Software</v>
      </c>
      <c r="X2510" s="33">
        <f>IFERROR(__xludf.DUMMYFUNCTION("""COMPUTED_VALUE"""),1.0)</f>
        <v>1</v>
      </c>
    </row>
    <row r="2511">
      <c r="K2511" s="4" t="str">
        <f>IFERROR(__xludf.DUMMYFUNCTION("""COMPUTED_VALUE"""),"PIZZARIA ORIENTE")</f>
        <v>PIZZARIA ORIENTE</v>
      </c>
      <c r="L2511" s="32">
        <f>IFERROR(__xludf.DUMMYFUNCTION("""COMPUTED_VALUE"""),4.0)</f>
        <v>4</v>
      </c>
      <c r="M2511" s="4" t="str">
        <f>IFERROR(__xludf.DUMMYFUNCTION("""COMPUTED_VALUE"""),"Cityfoods Ltda")</f>
        <v>Cityfoods Ltda</v>
      </c>
      <c r="N2511" s="33">
        <f>IFERROR(__xludf.DUMMYFUNCTION("""COMPUTED_VALUE"""),0.75)</f>
        <v>0.75</v>
      </c>
      <c r="O2511" s="4" t="str">
        <f>IFERROR(__xludf.DUMMYFUNCTION("""COMPUTED_VALUE"""),"Cityfoods Ltda")</f>
        <v>Cityfoods Ltda</v>
      </c>
      <c r="P2511" s="33">
        <f>IFERROR(__xludf.DUMMYFUNCTION("""COMPUTED_VALUE"""),0.75)</f>
        <v>0.75</v>
      </c>
      <c r="Q2511" s="4" t="str">
        <f>IFERROR(__xludf.DUMMYFUNCTION("""COMPUTED_VALUE"""),"Cityfoods Ltda")</f>
        <v>Cityfoods Ltda</v>
      </c>
      <c r="R2511" s="33">
        <f>IFERROR(__xludf.DUMMYFUNCTION("""COMPUTED_VALUE"""),1.0)</f>
        <v>1</v>
      </c>
      <c r="S2511" s="4" t="str">
        <f>IFERROR(__xludf.DUMMYFUNCTION("""COMPUTED_VALUE"""),"Cityfoods Ltda")</f>
        <v>Cityfoods Ltda</v>
      </c>
      <c r="T2511" s="33">
        <f>IFERROR(__xludf.DUMMYFUNCTION("""COMPUTED_VALUE"""),1.0)</f>
        <v>1</v>
      </c>
      <c r="U2511" s="4" t="str">
        <f>IFERROR(__xludf.DUMMYFUNCTION("""COMPUTED_VALUE"""),"Cityfoods Ltda")</f>
        <v>Cityfoods Ltda</v>
      </c>
      <c r="V2511" s="33">
        <f>IFERROR(__xludf.DUMMYFUNCTION("""COMPUTED_VALUE"""),1.0)</f>
        <v>1</v>
      </c>
      <c r="W2511" s="4" t="str">
        <f>IFERROR(__xludf.DUMMYFUNCTION("""COMPUTED_VALUE"""),"Cityfoods Ltda")</f>
        <v>Cityfoods Ltda</v>
      </c>
      <c r="X2511" s="33">
        <f>IFERROR(__xludf.DUMMYFUNCTION("""COMPUTED_VALUE"""),1.0)</f>
        <v>1</v>
      </c>
    </row>
    <row r="2512">
      <c r="K2512" s="4" t="str">
        <f>IFERROR(__xludf.DUMMYFUNCTION("""COMPUTED_VALUE"""),"PIZZARIA PALMEIRAS - CONTO PAI")</f>
        <v>PIZZARIA PALMEIRAS - CONTO PAI</v>
      </c>
      <c r="L2512" s="32">
        <f>IFERROR(__xludf.DUMMYFUNCTION("""COMPUTED_VALUE"""),4.0)</f>
        <v>4</v>
      </c>
      <c r="M2512" s="4" t="str">
        <f>IFERROR(__xludf.DUMMYFUNCTION("""COMPUTED_VALUE"""),"Saipos Serviços De Software")</f>
        <v>Saipos Serviços De Software</v>
      </c>
      <c r="N2512" s="33">
        <f>IFERROR(__xludf.DUMMYFUNCTION("""COMPUTED_VALUE"""),1.0)</f>
        <v>1</v>
      </c>
      <c r="O2512" s="4" t="str">
        <f>IFERROR(__xludf.DUMMYFUNCTION("""COMPUTED_VALUE"""),"Saipos Serviços De Software")</f>
        <v>Saipos Serviços De Software</v>
      </c>
      <c r="P2512" s="33">
        <f>IFERROR(__xludf.DUMMYFUNCTION("""COMPUTED_VALUE"""),1.0)</f>
        <v>1</v>
      </c>
      <c r="Q2512" s="4" t="str">
        <f>IFERROR(__xludf.DUMMYFUNCTION("""COMPUTED_VALUE"""),"Saipos Serviços De Software")</f>
        <v>Saipos Serviços De Software</v>
      </c>
      <c r="R2512" s="33">
        <f>IFERROR(__xludf.DUMMYFUNCTION("""COMPUTED_VALUE"""),1.0)</f>
        <v>1</v>
      </c>
      <c r="S2512" s="4" t="str">
        <f>IFERROR(__xludf.DUMMYFUNCTION("""COMPUTED_VALUE"""),"Saipos Serviços De Software")</f>
        <v>Saipos Serviços De Software</v>
      </c>
      <c r="T2512" s="33">
        <f>IFERROR(__xludf.DUMMYFUNCTION("""COMPUTED_VALUE"""),0.5)</f>
        <v>0.5</v>
      </c>
      <c r="U2512" s="4" t="str">
        <f>IFERROR(__xludf.DUMMYFUNCTION("""COMPUTED_VALUE"""),"Saipos Serviços De Software")</f>
        <v>Saipos Serviços De Software</v>
      </c>
      <c r="V2512" s="33">
        <f>IFERROR(__xludf.DUMMYFUNCTION("""COMPUTED_VALUE"""),0.5)</f>
        <v>0.5</v>
      </c>
      <c r="W2512" s="4" t="str">
        <f>IFERROR(__xludf.DUMMYFUNCTION("""COMPUTED_VALUE"""),"Saipos Serviços De Software")</f>
        <v>Saipos Serviços De Software</v>
      </c>
      <c r="X2512" s="33">
        <f>IFERROR(__xludf.DUMMYFUNCTION("""COMPUTED_VALUE"""),0.5)</f>
        <v>0.5</v>
      </c>
    </row>
    <row r="2513">
      <c r="K2513" s="4" t="str">
        <f>IFERROR(__xludf.DUMMYFUNCTION("""COMPUTED_VALUE"""),"PIZZARIA REGALO - MARCA")</f>
        <v>PIZZARIA REGALO - MARCA</v>
      </c>
      <c r="L2513" s="32">
        <f>IFERROR(__xludf.DUMMYFUNCTION("""COMPUTED_VALUE"""),4.0)</f>
        <v>4</v>
      </c>
      <c r="M2513" s="4" t="str">
        <f>IFERROR(__xludf.DUMMYFUNCTION("""COMPUTED_VALUE"""),"Saipos Serviços De Software")</f>
        <v>Saipos Serviços De Software</v>
      </c>
      <c r="N2513" s="33">
        <f>IFERROR(__xludf.DUMMYFUNCTION("""COMPUTED_VALUE"""),0.75)</f>
        <v>0.75</v>
      </c>
      <c r="O2513" s="4" t="str">
        <f>IFERROR(__xludf.DUMMYFUNCTION("""COMPUTED_VALUE"""),"Saipos Serviços De Software")</f>
        <v>Saipos Serviços De Software</v>
      </c>
      <c r="P2513" s="33">
        <f>IFERROR(__xludf.DUMMYFUNCTION("""COMPUTED_VALUE"""),0.75)</f>
        <v>0.75</v>
      </c>
      <c r="Q2513" s="4" t="str">
        <f>IFERROR(__xludf.DUMMYFUNCTION("""COMPUTED_VALUE"""),"Saipos Serviços De Software")</f>
        <v>Saipos Serviços De Software</v>
      </c>
      <c r="R2513" s="33">
        <f>IFERROR(__xludf.DUMMYFUNCTION("""COMPUTED_VALUE"""),0.75)</f>
        <v>0.75</v>
      </c>
      <c r="S2513" s="4" t="str">
        <f>IFERROR(__xludf.DUMMYFUNCTION("""COMPUTED_VALUE"""),"Saipos Serviços De Software")</f>
        <v>Saipos Serviços De Software</v>
      </c>
      <c r="T2513" s="33">
        <f>IFERROR(__xludf.DUMMYFUNCTION("""COMPUTED_VALUE"""),0.75)</f>
        <v>0.75</v>
      </c>
      <c r="U2513" s="4" t="str">
        <f>IFERROR(__xludf.DUMMYFUNCTION("""COMPUTED_VALUE"""),"Saipos Serviços De Software")</f>
        <v>Saipos Serviços De Software</v>
      </c>
      <c r="V2513" s="33">
        <f>IFERROR(__xludf.DUMMYFUNCTION("""COMPUTED_VALUE"""),0.75)</f>
        <v>0.75</v>
      </c>
      <c r="W2513" s="4" t="str">
        <f>IFERROR(__xludf.DUMMYFUNCTION("""COMPUTED_VALUE"""),"Saipos Serviços De Software")</f>
        <v>Saipos Serviços De Software</v>
      </c>
      <c r="X2513" s="33">
        <f>IFERROR(__xludf.DUMMYFUNCTION("""COMPUTED_VALUE"""),0.75)</f>
        <v>0.75</v>
      </c>
    </row>
    <row r="2514">
      <c r="K2514" s="4" t="str">
        <f>IFERROR(__xludf.DUMMYFUNCTION("""COMPUTED_VALUE"""),"POINT BURGER - SC")</f>
        <v>POINT BURGER - SC</v>
      </c>
      <c r="L2514" s="32">
        <f>IFERROR(__xludf.DUMMYFUNCTION("""COMPUTED_VALUE"""),4.0)</f>
        <v>4</v>
      </c>
      <c r="M2514" s="4" t="str">
        <f>IFERROR(__xludf.DUMMYFUNCTION("""COMPUTED_VALUE"""),"Cardápio Web")</f>
        <v>Cardápio Web</v>
      </c>
      <c r="N2514" s="33">
        <f>IFERROR(__xludf.DUMMYFUNCTION("""COMPUTED_VALUE"""),1.0)</f>
        <v>1</v>
      </c>
      <c r="O2514" s="4" t="str">
        <f>IFERROR(__xludf.DUMMYFUNCTION("""COMPUTED_VALUE"""),"Cardápio Web")</f>
        <v>Cardápio Web</v>
      </c>
      <c r="P2514" s="33">
        <f>IFERROR(__xludf.DUMMYFUNCTION("""COMPUTED_VALUE"""),1.0)</f>
        <v>1</v>
      </c>
      <c r="Q2514" s="4" t="str">
        <f>IFERROR(__xludf.DUMMYFUNCTION("""COMPUTED_VALUE"""),"Cardápio Web")</f>
        <v>Cardápio Web</v>
      </c>
      <c r="R2514" s="33">
        <f>IFERROR(__xludf.DUMMYFUNCTION("""COMPUTED_VALUE"""),1.0)</f>
        <v>1</v>
      </c>
      <c r="S2514" s="4" t="str">
        <f>IFERROR(__xludf.DUMMYFUNCTION("""COMPUTED_VALUE"""),"Cardápio Web")</f>
        <v>Cardápio Web</v>
      </c>
      <c r="T2514" s="33">
        <f>IFERROR(__xludf.DUMMYFUNCTION("""COMPUTED_VALUE"""),1.0)</f>
        <v>1</v>
      </c>
      <c r="U2514" s="4" t="str">
        <f>IFERROR(__xludf.DUMMYFUNCTION("""COMPUTED_VALUE"""),"Cardápio Web")</f>
        <v>Cardápio Web</v>
      </c>
      <c r="V2514" s="33">
        <f>IFERROR(__xludf.DUMMYFUNCTION("""COMPUTED_VALUE"""),1.0)</f>
        <v>1</v>
      </c>
      <c r="W2514" s="4" t="str">
        <f>IFERROR(__xludf.DUMMYFUNCTION("""COMPUTED_VALUE"""),"Cardápio Web")</f>
        <v>Cardápio Web</v>
      </c>
      <c r="X2514" s="33">
        <f>IFERROR(__xludf.DUMMYFUNCTION("""COMPUTED_VALUE"""),1.0)</f>
        <v>1</v>
      </c>
    </row>
    <row r="2515">
      <c r="K2515" s="4" t="str">
        <f>IFERROR(__xludf.DUMMYFUNCTION("""COMPUTED_VALUE"""),"POMO PASTA - CONTA MARCA")</f>
        <v>POMO PASTA - CONTA MARCA</v>
      </c>
      <c r="L2515" s="32">
        <f>IFERROR(__xludf.DUMMYFUNCTION("""COMPUTED_VALUE"""),4.0)</f>
        <v>4</v>
      </c>
      <c r="M2515" s="4" t="str">
        <f>IFERROR(__xludf.DUMMYFUNCTION("""COMPUTED_VALUE"""),"Nxz Sistema Inteligentes Ltda")</f>
        <v>Nxz Sistema Inteligentes Ltda</v>
      </c>
      <c r="N2515" s="33">
        <f>IFERROR(__xludf.DUMMYFUNCTION("""COMPUTED_VALUE"""),0.75)</f>
        <v>0.75</v>
      </c>
      <c r="O2515" s="4" t="str">
        <f>IFERROR(__xludf.DUMMYFUNCTION("""COMPUTED_VALUE"""),"null")</f>
        <v>null</v>
      </c>
      <c r="P2515" s="33">
        <f>IFERROR(__xludf.DUMMYFUNCTION("""COMPUTED_VALUE"""),0.5)</f>
        <v>0.5</v>
      </c>
      <c r="Q2515" s="4" t="str">
        <f>IFERROR(__xludf.DUMMYFUNCTION("""COMPUTED_VALUE"""),"Nxz Sistema Inteligentes Ltda")</f>
        <v>Nxz Sistema Inteligentes Ltda</v>
      </c>
      <c r="R2515" s="33">
        <f>IFERROR(__xludf.DUMMYFUNCTION("""COMPUTED_VALUE"""),0.75)</f>
        <v>0.75</v>
      </c>
      <c r="S2515" s="4" t="str">
        <f>IFERROR(__xludf.DUMMYFUNCTION("""COMPUTED_VALUE"""),"null")</f>
        <v>null</v>
      </c>
      <c r="T2515" s="33">
        <f>IFERROR(__xludf.DUMMYFUNCTION("""COMPUTED_VALUE"""),0.75)</f>
        <v>0.75</v>
      </c>
      <c r="U2515" s="4" t="str">
        <f>IFERROR(__xludf.DUMMYFUNCTION("""COMPUTED_VALUE"""),"Nxz Sistema Inteligentes Ltda")</f>
        <v>Nxz Sistema Inteligentes Ltda</v>
      </c>
      <c r="V2515" s="33">
        <f>IFERROR(__xludf.DUMMYFUNCTION("""COMPUTED_VALUE"""),0.75)</f>
        <v>0.75</v>
      </c>
      <c r="W2515" s="4" t="str">
        <f>IFERROR(__xludf.DUMMYFUNCTION("""COMPUTED_VALUE"""),"null")</f>
        <v>null</v>
      </c>
      <c r="X2515" s="33">
        <f>IFERROR(__xludf.DUMMYFUNCTION("""COMPUTED_VALUE"""),0.5)</f>
        <v>0.5</v>
      </c>
    </row>
    <row r="2516">
      <c r="K2516" s="4" t="str">
        <f>IFERROR(__xludf.DUMMYFUNCTION("""COMPUTED_VALUE"""),"PORCO LOUCO HAMBURGUERIA - MARCA")</f>
        <v>PORCO LOUCO HAMBURGUERIA - MARCA</v>
      </c>
      <c r="L2516" s="32">
        <f>IFERROR(__xludf.DUMMYFUNCTION("""COMPUTED_VALUE"""),4.0)</f>
        <v>4</v>
      </c>
      <c r="M2516" s="4" t="str">
        <f>IFERROR(__xludf.DUMMYFUNCTION("""COMPUTED_VALUE"""),"null")</f>
        <v>null</v>
      </c>
      <c r="N2516" s="33">
        <f>IFERROR(__xludf.DUMMYFUNCTION("""COMPUTED_VALUE"""),1.0)</f>
        <v>1</v>
      </c>
      <c r="O2516" s="4" t="str">
        <f>IFERROR(__xludf.DUMMYFUNCTION("""COMPUTED_VALUE"""),"null")</f>
        <v>null</v>
      </c>
      <c r="P2516" s="33">
        <f>IFERROR(__xludf.DUMMYFUNCTION("""COMPUTED_VALUE"""),1.0)</f>
        <v>1</v>
      </c>
      <c r="Q2516" s="4" t="str">
        <f>IFERROR(__xludf.DUMMYFUNCTION("""COMPUTED_VALUE"""),"null")</f>
        <v>null</v>
      </c>
      <c r="R2516" s="33">
        <f>IFERROR(__xludf.DUMMYFUNCTION("""COMPUTED_VALUE"""),1.0)</f>
        <v>1</v>
      </c>
      <c r="S2516" s="4" t="str">
        <f>IFERROR(__xludf.DUMMYFUNCTION("""COMPUTED_VALUE"""),"null")</f>
        <v>null</v>
      </c>
      <c r="T2516" s="33">
        <f>IFERROR(__xludf.DUMMYFUNCTION("""COMPUTED_VALUE"""),1.0)</f>
        <v>1</v>
      </c>
      <c r="U2516" s="4" t="str">
        <f>IFERROR(__xludf.DUMMYFUNCTION("""COMPUTED_VALUE"""),"Saipos Serviços De Software")</f>
        <v>Saipos Serviços De Software</v>
      </c>
      <c r="V2516" s="33">
        <f>IFERROR(__xludf.DUMMYFUNCTION("""COMPUTED_VALUE"""),1.0)</f>
        <v>1</v>
      </c>
      <c r="W2516" s="4" t="str">
        <f>IFERROR(__xludf.DUMMYFUNCTION("""COMPUTED_VALUE"""),"Saipos Serviços De Software")</f>
        <v>Saipos Serviços De Software</v>
      </c>
      <c r="X2516" s="33">
        <f>IFERROR(__xludf.DUMMYFUNCTION("""COMPUTED_VALUE"""),1.0)</f>
        <v>1</v>
      </c>
    </row>
    <row r="2517">
      <c r="K2517" s="4" t="str">
        <f>IFERROR(__xludf.DUMMYFUNCTION("""COMPUTED_VALUE"""),"POYOS FRANGO FRITO CWB")</f>
        <v>POYOS FRANGO FRITO CWB</v>
      </c>
      <c r="L2517" s="32">
        <f>IFERROR(__xludf.DUMMYFUNCTION("""COMPUTED_VALUE"""),4.0)</f>
        <v>4</v>
      </c>
      <c r="M2517" s="4" t="str">
        <f>IFERROR(__xludf.DUMMYFUNCTION("""COMPUTED_VALUE"""),"Yooga")</f>
        <v>Yooga</v>
      </c>
      <c r="N2517" s="33">
        <f>IFERROR(__xludf.DUMMYFUNCTION("""COMPUTED_VALUE"""),0.75)</f>
        <v>0.75</v>
      </c>
      <c r="O2517" s="4" t="str">
        <f>IFERROR(__xludf.DUMMYFUNCTION("""COMPUTED_VALUE"""),"null")</f>
        <v>null</v>
      </c>
      <c r="P2517" s="33">
        <f>IFERROR(__xludf.DUMMYFUNCTION("""COMPUTED_VALUE"""),0.5)</f>
        <v>0.5</v>
      </c>
      <c r="Q2517" s="4" t="str">
        <f>IFERROR(__xludf.DUMMYFUNCTION("""COMPUTED_VALUE"""),"null")</f>
        <v>null</v>
      </c>
      <c r="R2517" s="33">
        <f>IFERROR(__xludf.DUMMYFUNCTION("""COMPUTED_VALUE"""),0.5)</f>
        <v>0.5</v>
      </c>
      <c r="S2517" s="4" t="str">
        <f>IFERROR(__xludf.DUMMYFUNCTION("""COMPUTED_VALUE"""),"null")</f>
        <v>null</v>
      </c>
      <c r="T2517" s="33">
        <f>IFERROR(__xludf.DUMMYFUNCTION("""COMPUTED_VALUE"""),0.5)</f>
        <v>0.5</v>
      </c>
      <c r="U2517" s="4" t="str">
        <f>IFERROR(__xludf.DUMMYFUNCTION("""COMPUTED_VALUE"""),"null")</f>
        <v>null</v>
      </c>
      <c r="V2517" s="33">
        <f>IFERROR(__xludf.DUMMYFUNCTION("""COMPUTED_VALUE"""),0.5)</f>
        <v>0.5</v>
      </c>
      <c r="W2517" s="4" t="str">
        <f>IFERROR(__xludf.DUMMYFUNCTION("""COMPUTED_VALUE"""),"null")</f>
        <v>null</v>
      </c>
      <c r="X2517" s="33">
        <f>IFERROR(__xludf.DUMMYFUNCTION("""COMPUTED_VALUE"""),0.5)</f>
        <v>0.5</v>
      </c>
    </row>
    <row r="2518">
      <c r="K2518" s="4" t="str">
        <f>IFERROR(__xludf.DUMMYFUNCTION("""COMPUTED_VALUE"""),"PRESS - CONTA GRUPO")</f>
        <v>PRESS - CONTA GRUPO</v>
      </c>
      <c r="L2518" s="32">
        <f>IFERROR(__xludf.DUMMYFUNCTION("""COMPUTED_VALUE"""),4.0)</f>
        <v>4</v>
      </c>
      <c r="M2518" s="4" t="str">
        <f>IFERROR(__xludf.DUMMYFUNCTION("""COMPUTED_VALUE"""),"Lexsis Sistemas")</f>
        <v>Lexsis Sistemas</v>
      </c>
      <c r="N2518" s="33">
        <f>IFERROR(__xludf.DUMMYFUNCTION("""COMPUTED_VALUE"""),0.75)</f>
        <v>0.75</v>
      </c>
      <c r="O2518" s="4" t="str">
        <f>IFERROR(__xludf.DUMMYFUNCTION("""COMPUTED_VALUE"""),"Lexsis Sistemas")</f>
        <v>Lexsis Sistemas</v>
      </c>
      <c r="P2518" s="33">
        <f>IFERROR(__xludf.DUMMYFUNCTION("""COMPUTED_VALUE"""),0.75)</f>
        <v>0.75</v>
      </c>
      <c r="Q2518" s="4" t="str">
        <f>IFERROR(__xludf.DUMMYFUNCTION("""COMPUTED_VALUE"""),"Lexsis Sistemas")</f>
        <v>Lexsis Sistemas</v>
      </c>
      <c r="R2518" s="33">
        <f>IFERROR(__xludf.DUMMYFUNCTION("""COMPUTED_VALUE"""),1.0)</f>
        <v>1</v>
      </c>
      <c r="S2518" s="4" t="str">
        <f>IFERROR(__xludf.DUMMYFUNCTION("""COMPUTED_VALUE"""),"Lexsis Sistemas")</f>
        <v>Lexsis Sistemas</v>
      </c>
      <c r="T2518" s="33">
        <f>IFERROR(__xludf.DUMMYFUNCTION("""COMPUTED_VALUE"""),1.0)</f>
        <v>1</v>
      </c>
      <c r="U2518" s="4" t="str">
        <f>IFERROR(__xludf.DUMMYFUNCTION("""COMPUTED_VALUE"""),"Lexsis Sistemas")</f>
        <v>Lexsis Sistemas</v>
      </c>
      <c r="V2518" s="33">
        <f>IFERROR(__xludf.DUMMYFUNCTION("""COMPUTED_VALUE"""),1.0)</f>
        <v>1</v>
      </c>
      <c r="W2518" s="4" t="str">
        <f>IFERROR(__xludf.DUMMYFUNCTION("""COMPUTED_VALUE"""),"Lexsis Sistemas")</f>
        <v>Lexsis Sistemas</v>
      </c>
      <c r="X2518" s="33">
        <f>IFERROR(__xludf.DUMMYFUNCTION("""COMPUTED_VALUE"""),1.0)</f>
        <v>1</v>
      </c>
    </row>
    <row r="2519">
      <c r="K2519" s="4" t="str">
        <f>IFERROR(__xludf.DUMMYFUNCTION("""COMPUTED_VALUE"""),"PRIME PHARMA DROGARIAS - CONTA MARCA")</f>
        <v>PRIME PHARMA DROGARIAS - CONTA MARCA</v>
      </c>
      <c r="L2519" s="32">
        <f>IFERROR(__xludf.DUMMYFUNCTION("""COMPUTED_VALUE"""),4.0)</f>
        <v>4</v>
      </c>
      <c r="M2519" s="4" t="str">
        <f>IFERROR(__xludf.DUMMYFUNCTION("""COMPUTED_VALUE"""),"N/A (Not found)")</f>
        <v>N/A (Not found)</v>
      </c>
      <c r="N2519" s="33">
        <f>IFERROR(__xludf.DUMMYFUNCTION("""COMPUTED_VALUE"""),1.0)</f>
        <v>1</v>
      </c>
      <c r="O2519" s="4" t="str">
        <f>IFERROR(__xludf.DUMMYFUNCTION("""COMPUTED_VALUE"""),"N/A (Not found)")</f>
        <v>N/A (Not found)</v>
      </c>
      <c r="P2519" s="33">
        <f>IFERROR(__xludf.DUMMYFUNCTION("""COMPUTED_VALUE"""),1.0)</f>
        <v>1</v>
      </c>
      <c r="Q2519" s="4" t="str">
        <f>IFERROR(__xludf.DUMMYFUNCTION("""COMPUTED_VALUE"""),"N/A (Not found)")</f>
        <v>N/A (Not found)</v>
      </c>
      <c r="R2519" s="33">
        <f>IFERROR(__xludf.DUMMYFUNCTION("""COMPUTED_VALUE"""),1.0)</f>
        <v>1</v>
      </c>
      <c r="S2519" s="4" t="str">
        <f>IFERROR(__xludf.DUMMYFUNCTION("""COMPUTED_VALUE"""),"N/A (Not found)")</f>
        <v>N/A (Not found)</v>
      </c>
      <c r="T2519" s="33">
        <f>IFERROR(__xludf.DUMMYFUNCTION("""COMPUTED_VALUE"""),1.0)</f>
        <v>1</v>
      </c>
      <c r="U2519" s="4" t="str">
        <f>IFERROR(__xludf.DUMMYFUNCTION("""COMPUTED_VALUE"""),"N/A (Not found)")</f>
        <v>N/A (Not found)</v>
      </c>
      <c r="V2519" s="33">
        <f>IFERROR(__xludf.DUMMYFUNCTION("""COMPUTED_VALUE"""),1.0)</f>
        <v>1</v>
      </c>
      <c r="W2519" s="4" t="str">
        <f>IFERROR(__xludf.DUMMYFUNCTION("""COMPUTED_VALUE"""),"N/A (Not found)")</f>
        <v>N/A (Not found)</v>
      </c>
      <c r="X2519" s="33">
        <f>IFERROR(__xludf.DUMMYFUNCTION("""COMPUTED_VALUE"""),0.75)</f>
        <v>0.75</v>
      </c>
    </row>
    <row r="2520">
      <c r="K2520" s="4" t="str">
        <f>IFERROR(__xludf.DUMMYFUNCTION("""COMPUTED_VALUE"""),"QUALITY GRILL - CONTA MARCA")</f>
        <v>QUALITY GRILL - CONTA MARCA</v>
      </c>
      <c r="L2520" s="32">
        <f>IFERROR(__xludf.DUMMYFUNCTION("""COMPUTED_VALUE"""),4.0)</f>
        <v>4</v>
      </c>
      <c r="M2520" s="4" t="str">
        <f>IFERROR(__xludf.DUMMYFUNCTION("""COMPUTED_VALUE"""),"null")</f>
        <v>null</v>
      </c>
      <c r="N2520" s="33">
        <f>IFERROR(__xludf.DUMMYFUNCTION("""COMPUTED_VALUE"""),0.75)</f>
        <v>0.75</v>
      </c>
      <c r="O2520" s="4" t="str">
        <f>IFERROR(__xludf.DUMMYFUNCTION("""COMPUTED_VALUE"""),"N/A (Not found)")</f>
        <v>N/A (Not found)</v>
      </c>
      <c r="P2520" s="33">
        <f>IFERROR(__xludf.DUMMYFUNCTION("""COMPUTED_VALUE"""),1.0)</f>
        <v>1</v>
      </c>
      <c r="Q2520" s="4" t="str">
        <f>IFERROR(__xludf.DUMMYFUNCTION("""COMPUTED_VALUE"""),"N/A (Not found)")</f>
        <v>N/A (Not found)</v>
      </c>
      <c r="R2520" s="33">
        <f>IFERROR(__xludf.DUMMYFUNCTION("""COMPUTED_VALUE"""),1.0)</f>
        <v>1</v>
      </c>
      <c r="S2520" s="4" t="str">
        <f>IFERROR(__xludf.DUMMYFUNCTION("""COMPUTED_VALUE"""),"N/A (Not found)")</f>
        <v>N/A (Not found)</v>
      </c>
      <c r="T2520" s="33">
        <f>IFERROR(__xludf.DUMMYFUNCTION("""COMPUTED_VALUE"""),1.0)</f>
        <v>1</v>
      </c>
      <c r="U2520" s="4" t="str">
        <f>IFERROR(__xludf.DUMMYFUNCTION("""COMPUTED_VALUE"""),"N/A (Not found)")</f>
        <v>N/A (Not found)</v>
      </c>
      <c r="V2520" s="33">
        <f>IFERROR(__xludf.DUMMYFUNCTION("""COMPUTED_VALUE"""),1.0)</f>
        <v>1</v>
      </c>
      <c r="W2520" s="4" t="str">
        <f>IFERROR(__xludf.DUMMYFUNCTION("""COMPUTED_VALUE"""),"N/A (Not found)")</f>
        <v>N/A (Not found)</v>
      </c>
      <c r="X2520" s="33">
        <f>IFERROR(__xludf.DUMMYFUNCTION("""COMPUTED_VALUE"""),1.0)</f>
        <v>1</v>
      </c>
    </row>
    <row r="2521">
      <c r="K2521" s="4" t="str">
        <f>IFERROR(__xludf.DUMMYFUNCTION("""COMPUTED_VALUE"""),"QUALLI PIZZA EXPRESS")</f>
        <v>QUALLI PIZZA EXPRESS</v>
      </c>
      <c r="L2521" s="32">
        <f>IFERROR(__xludf.DUMMYFUNCTION("""COMPUTED_VALUE"""),4.0)</f>
        <v>4</v>
      </c>
      <c r="M2521" s="4" t="str">
        <f>IFERROR(__xludf.DUMMYFUNCTION("""COMPUTED_VALUE"""),"Freedom Tecnologia Ltda")</f>
        <v>Freedom Tecnologia Ltda</v>
      </c>
      <c r="N2521" s="33">
        <f>IFERROR(__xludf.DUMMYFUNCTION("""COMPUTED_VALUE"""),1.0)</f>
        <v>1</v>
      </c>
      <c r="O2521" s="4" t="str">
        <f>IFERROR(__xludf.DUMMYFUNCTION("""COMPUTED_VALUE"""),"null")</f>
        <v>null</v>
      </c>
      <c r="P2521" s="33">
        <f>IFERROR(__xludf.DUMMYFUNCTION("""COMPUTED_VALUE"""),0.5)</f>
        <v>0.5</v>
      </c>
      <c r="Q2521" s="4" t="str">
        <f>IFERROR(__xludf.DUMMYFUNCTION("""COMPUTED_VALUE"""),"Freedom Tecnologia Ltda")</f>
        <v>Freedom Tecnologia Ltda</v>
      </c>
      <c r="R2521" s="33">
        <f>IFERROR(__xludf.DUMMYFUNCTION("""COMPUTED_VALUE"""),0.75)</f>
        <v>0.75</v>
      </c>
      <c r="S2521" s="4" t="str">
        <f>IFERROR(__xludf.DUMMYFUNCTION("""COMPUTED_VALUE"""),"Freedom Tecnologia Ltda")</f>
        <v>Freedom Tecnologia Ltda</v>
      </c>
      <c r="T2521" s="33">
        <f>IFERROR(__xludf.DUMMYFUNCTION("""COMPUTED_VALUE"""),0.75)</f>
        <v>0.75</v>
      </c>
      <c r="U2521" s="4" t="str">
        <f>IFERROR(__xludf.DUMMYFUNCTION("""COMPUTED_VALUE"""),"Freedom Tecnologia Ltda")</f>
        <v>Freedom Tecnologia Ltda</v>
      </c>
      <c r="V2521" s="33">
        <f>IFERROR(__xludf.DUMMYFUNCTION("""COMPUTED_VALUE"""),1.0)</f>
        <v>1</v>
      </c>
      <c r="W2521" s="4" t="str">
        <f>IFERROR(__xludf.DUMMYFUNCTION("""COMPUTED_VALUE"""),"Freedom Tecnologia Ltda")</f>
        <v>Freedom Tecnologia Ltda</v>
      </c>
      <c r="X2521" s="33">
        <f>IFERROR(__xludf.DUMMYFUNCTION("""COMPUTED_VALUE"""),0.75)</f>
        <v>0.75</v>
      </c>
    </row>
    <row r="2522">
      <c r="K2522" s="4" t="str">
        <f>IFERROR(__xludf.DUMMYFUNCTION("""COMPUTED_VALUE"""),"QUE CHIDO BELEM")</f>
        <v>QUE CHIDO BELEM</v>
      </c>
      <c r="L2522" s="32">
        <f>IFERROR(__xludf.DUMMYFUNCTION("""COMPUTED_VALUE"""),4.0)</f>
        <v>4</v>
      </c>
      <c r="M2522" s="4" t="str">
        <f>IFERROR(__xludf.DUMMYFUNCTION("""COMPUTED_VALUE"""),"Saipos Serviços De Software")</f>
        <v>Saipos Serviços De Software</v>
      </c>
      <c r="N2522" s="33">
        <f>IFERROR(__xludf.DUMMYFUNCTION("""COMPUTED_VALUE"""),0.25)</f>
        <v>0.25</v>
      </c>
      <c r="O2522" s="4" t="str">
        <f>IFERROR(__xludf.DUMMYFUNCTION("""COMPUTED_VALUE"""),"null")</f>
        <v>null</v>
      </c>
      <c r="P2522" s="33">
        <f>IFERROR(__xludf.DUMMYFUNCTION("""COMPUTED_VALUE"""),0.5)</f>
        <v>0.5</v>
      </c>
      <c r="Q2522" s="4" t="str">
        <f>IFERROR(__xludf.DUMMYFUNCTION("""COMPUTED_VALUE"""),"Saipos Serviços De Software")</f>
        <v>Saipos Serviços De Software</v>
      </c>
      <c r="R2522" s="33">
        <f>IFERROR(__xludf.DUMMYFUNCTION("""COMPUTED_VALUE"""),0.25)</f>
        <v>0.25</v>
      </c>
      <c r="S2522" s="4" t="str">
        <f>IFERROR(__xludf.DUMMYFUNCTION("""COMPUTED_VALUE"""),"null")</f>
        <v>null</v>
      </c>
      <c r="T2522" s="33">
        <f>IFERROR(__xludf.DUMMYFUNCTION("""COMPUTED_VALUE"""),0.5)</f>
        <v>0.5</v>
      </c>
      <c r="U2522" s="35" t="str">
        <f>IFERROR(__xludf.DUMMYFUNCTION("""COMPUTED_VALUE"""),"Maisentregas.com")</f>
        <v>Maisentregas.com</v>
      </c>
      <c r="V2522" s="33">
        <f>IFERROR(__xludf.DUMMYFUNCTION("""COMPUTED_VALUE"""),0.5)</f>
        <v>0.5</v>
      </c>
      <c r="W2522" s="4" t="str">
        <f>IFERROR(__xludf.DUMMYFUNCTION("""COMPUTED_VALUE"""),"Cloudfy")</f>
        <v>Cloudfy</v>
      </c>
      <c r="X2522" s="33">
        <f>IFERROR(__xludf.DUMMYFUNCTION("""COMPUTED_VALUE"""),0.5)</f>
        <v>0.5</v>
      </c>
    </row>
    <row r="2523">
      <c r="K2523" s="4" t="str">
        <f>IFERROR(__xludf.DUMMYFUNCTION("""COMPUTED_VALUE"""),"QUERO MAIS - MARCA")</f>
        <v>QUERO MAIS - MARCA</v>
      </c>
      <c r="L2523" s="32">
        <f>IFERROR(__xludf.DUMMYFUNCTION("""COMPUTED_VALUE"""),4.0)</f>
        <v>4</v>
      </c>
      <c r="M2523" s="4" t="str">
        <f>IFERROR(__xludf.DUMMYFUNCTION("""COMPUTED_VALUE"""),"Consumer Soluções Em Tecnologia Ltda")</f>
        <v>Consumer Soluções Em Tecnologia Ltda</v>
      </c>
      <c r="N2523" s="33">
        <f>IFERROR(__xludf.DUMMYFUNCTION("""COMPUTED_VALUE"""),1.0)</f>
        <v>1</v>
      </c>
      <c r="O2523" s="4" t="str">
        <f>IFERROR(__xludf.DUMMYFUNCTION("""COMPUTED_VALUE"""),"Consumer Soluções Em Tecnologia Ltda")</f>
        <v>Consumer Soluções Em Tecnologia Ltda</v>
      </c>
      <c r="P2523" s="33">
        <f>IFERROR(__xludf.DUMMYFUNCTION("""COMPUTED_VALUE"""),1.0)</f>
        <v>1</v>
      </c>
      <c r="Q2523" s="4" t="str">
        <f>IFERROR(__xludf.DUMMYFUNCTION("""COMPUTED_VALUE"""),"Consumer Soluções Em Tecnologia Ltda")</f>
        <v>Consumer Soluções Em Tecnologia Ltda</v>
      </c>
      <c r="R2523" s="33">
        <f>IFERROR(__xludf.DUMMYFUNCTION("""COMPUTED_VALUE"""),1.0)</f>
        <v>1</v>
      </c>
      <c r="S2523" s="4" t="str">
        <f>IFERROR(__xludf.DUMMYFUNCTION("""COMPUTED_VALUE"""),"Consumer Soluções Em Tecnologia Ltda")</f>
        <v>Consumer Soluções Em Tecnologia Ltda</v>
      </c>
      <c r="T2523" s="33">
        <f>IFERROR(__xludf.DUMMYFUNCTION("""COMPUTED_VALUE"""),1.0)</f>
        <v>1</v>
      </c>
      <c r="U2523" s="4" t="str">
        <f>IFERROR(__xludf.DUMMYFUNCTION("""COMPUTED_VALUE"""),"Consumer Soluções Em Tecnologia Ltda")</f>
        <v>Consumer Soluções Em Tecnologia Ltda</v>
      </c>
      <c r="V2523" s="33">
        <f>IFERROR(__xludf.DUMMYFUNCTION("""COMPUTED_VALUE"""),1.0)</f>
        <v>1</v>
      </c>
      <c r="W2523" s="4" t="str">
        <f>IFERROR(__xludf.DUMMYFUNCTION("""COMPUTED_VALUE"""),"Consumer Soluções Em Tecnologia Ltda")</f>
        <v>Consumer Soluções Em Tecnologia Ltda</v>
      </c>
      <c r="X2523" s="33">
        <f>IFERROR(__xludf.DUMMYFUNCTION("""COMPUTED_VALUE"""),1.0)</f>
        <v>1</v>
      </c>
    </row>
    <row r="2524">
      <c r="K2524" s="4" t="str">
        <f>IFERROR(__xludf.DUMMYFUNCTION("""COMPUTED_VALUE"""),"RADIOLA PIZZARIA")</f>
        <v>RADIOLA PIZZARIA</v>
      </c>
      <c r="L2524" s="32">
        <f>IFERROR(__xludf.DUMMYFUNCTION("""COMPUTED_VALUE"""),4.0)</f>
        <v>4</v>
      </c>
      <c r="M2524" s="4" t="str">
        <f>IFERROR(__xludf.DUMMYFUNCTION("""COMPUTED_VALUE"""),"Latech Informatica Ltda")</f>
        <v>Latech Informatica Ltda</v>
      </c>
      <c r="N2524" s="33">
        <f>IFERROR(__xludf.DUMMYFUNCTION("""COMPUTED_VALUE"""),0.5)</f>
        <v>0.5</v>
      </c>
      <c r="O2524" s="4" t="str">
        <f>IFERROR(__xludf.DUMMYFUNCTION("""COMPUTED_VALUE"""),"Saipos Serviços De Software")</f>
        <v>Saipos Serviços De Software</v>
      </c>
      <c r="P2524" s="33">
        <f>IFERROR(__xludf.DUMMYFUNCTION("""COMPUTED_VALUE"""),0.75)</f>
        <v>0.75</v>
      </c>
      <c r="Q2524" s="4" t="str">
        <f>IFERROR(__xludf.DUMMYFUNCTION("""COMPUTED_VALUE"""),"Saipos Serviços De Software")</f>
        <v>Saipos Serviços De Software</v>
      </c>
      <c r="R2524" s="33">
        <f>IFERROR(__xludf.DUMMYFUNCTION("""COMPUTED_VALUE"""),1.0)</f>
        <v>1</v>
      </c>
      <c r="S2524" s="4" t="str">
        <f>IFERROR(__xludf.DUMMYFUNCTION("""COMPUTED_VALUE"""),"Saipos Serviços De Software")</f>
        <v>Saipos Serviços De Software</v>
      </c>
      <c r="T2524" s="33">
        <f>IFERROR(__xludf.DUMMYFUNCTION("""COMPUTED_VALUE"""),1.0)</f>
        <v>1</v>
      </c>
      <c r="U2524" s="4" t="str">
        <f>IFERROR(__xludf.DUMMYFUNCTION("""COMPUTED_VALUE"""),"Saipos Serviços De Software")</f>
        <v>Saipos Serviços De Software</v>
      </c>
      <c r="V2524" s="33">
        <f>IFERROR(__xludf.DUMMYFUNCTION("""COMPUTED_VALUE"""),1.0)</f>
        <v>1</v>
      </c>
      <c r="W2524" s="4" t="str">
        <f>IFERROR(__xludf.DUMMYFUNCTION("""COMPUTED_VALUE"""),"Saipos Serviços De Software")</f>
        <v>Saipos Serviços De Software</v>
      </c>
      <c r="X2524" s="33">
        <f>IFERROR(__xludf.DUMMYFUNCTION("""COMPUTED_VALUE"""),1.0)</f>
        <v>1</v>
      </c>
    </row>
    <row r="2525">
      <c r="K2525" s="4" t="str">
        <f>IFERROR(__xludf.DUMMYFUNCTION("""COMPUTED_VALUE"""),"RAFAFOOD CONTA MARCA")</f>
        <v>RAFAFOOD CONTA MARCA</v>
      </c>
      <c r="L2525" s="32">
        <f>IFERROR(__xludf.DUMMYFUNCTION("""COMPUTED_VALUE"""),4.0)</f>
        <v>4</v>
      </c>
      <c r="M2525" s="4" t="str">
        <f>IFERROR(__xludf.DUMMYFUNCTION("""COMPUTED_VALUE"""),"Consumer Soluções Em Tecnologia Ltda")</f>
        <v>Consumer Soluções Em Tecnologia Ltda</v>
      </c>
      <c r="N2525" s="33">
        <f>IFERROR(__xludf.DUMMYFUNCTION("""COMPUTED_VALUE"""),0.5)</f>
        <v>0.5</v>
      </c>
      <c r="O2525" s="4" t="str">
        <f>IFERROR(__xludf.DUMMYFUNCTION("""COMPUTED_VALUE"""),"Anota Ai Solucoes Digitais S/a")</f>
        <v>Anota Ai Solucoes Digitais S/a</v>
      </c>
      <c r="P2525" s="33">
        <f>IFERROR(__xludf.DUMMYFUNCTION("""COMPUTED_VALUE"""),0.75)</f>
        <v>0.75</v>
      </c>
      <c r="Q2525" s="4" t="str">
        <f>IFERROR(__xludf.DUMMYFUNCTION("""COMPUTED_VALUE"""),"Anota Ai Solucoes Digitais S/a")</f>
        <v>Anota Ai Solucoes Digitais S/a</v>
      </c>
      <c r="R2525" s="33">
        <f>IFERROR(__xludf.DUMMYFUNCTION("""COMPUTED_VALUE"""),0.75)</f>
        <v>0.75</v>
      </c>
      <c r="S2525" s="4" t="str">
        <f>IFERROR(__xludf.DUMMYFUNCTION("""COMPUTED_VALUE"""),"Anota Ai Solucoes Digitais S/a")</f>
        <v>Anota Ai Solucoes Digitais S/a</v>
      </c>
      <c r="T2525" s="33">
        <f>IFERROR(__xludf.DUMMYFUNCTION("""COMPUTED_VALUE"""),0.75)</f>
        <v>0.75</v>
      </c>
      <c r="U2525" s="4" t="str">
        <f>IFERROR(__xludf.DUMMYFUNCTION("""COMPUTED_VALUE"""),"Anota Ai Solucoes Digitais S/a")</f>
        <v>Anota Ai Solucoes Digitais S/a</v>
      </c>
      <c r="V2525" s="33">
        <f>IFERROR(__xludf.DUMMYFUNCTION("""COMPUTED_VALUE"""),1.0)</f>
        <v>1</v>
      </c>
      <c r="W2525" s="4" t="str">
        <f>IFERROR(__xludf.DUMMYFUNCTION("""COMPUTED_VALUE"""),"Anota Ai Solucoes Digitais S/a")</f>
        <v>Anota Ai Solucoes Digitais S/a</v>
      </c>
      <c r="X2525" s="33">
        <f>IFERROR(__xludf.DUMMYFUNCTION("""COMPUTED_VALUE"""),1.0)</f>
        <v>1</v>
      </c>
    </row>
    <row r="2526">
      <c r="K2526" s="4" t="str">
        <f>IFERROR(__xludf.DUMMYFUNCTION("""COMPUTED_VALUE"""),"REDE VECCHIO SOGNO")</f>
        <v>REDE VECCHIO SOGNO</v>
      </c>
      <c r="L2526" s="32">
        <f>IFERROR(__xludf.DUMMYFUNCTION("""COMPUTED_VALUE"""),4.0)</f>
        <v>4</v>
      </c>
      <c r="M2526" s="4" t="str">
        <f>IFERROR(__xludf.DUMMYFUNCTION("""COMPUTED_VALUE"""),"Cardápio Web")</f>
        <v>Cardápio Web</v>
      </c>
      <c r="N2526" s="33">
        <f>IFERROR(__xludf.DUMMYFUNCTION("""COMPUTED_VALUE"""),0.5)</f>
        <v>0.5</v>
      </c>
      <c r="O2526" s="4" t="str">
        <f>IFERROR(__xludf.DUMMYFUNCTION("""COMPUTED_VALUE"""),"Cardápio Web")</f>
        <v>Cardápio Web</v>
      </c>
      <c r="P2526" s="33">
        <f>IFERROR(__xludf.DUMMYFUNCTION("""COMPUTED_VALUE"""),0.5)</f>
        <v>0.5</v>
      </c>
      <c r="Q2526" s="4" t="str">
        <f>IFERROR(__xludf.DUMMYFUNCTION("""COMPUTED_VALUE"""),"Cardápio Web")</f>
        <v>Cardápio Web</v>
      </c>
      <c r="R2526" s="33">
        <f>IFERROR(__xludf.DUMMYFUNCTION("""COMPUTED_VALUE"""),1.0)</f>
        <v>1</v>
      </c>
      <c r="S2526" s="4" t="str">
        <f>IFERROR(__xludf.DUMMYFUNCTION("""COMPUTED_VALUE"""),"null")</f>
        <v>null</v>
      </c>
      <c r="T2526" s="33">
        <f>IFERROR(__xludf.DUMMYFUNCTION("""COMPUTED_VALUE"""),0.75)</f>
        <v>0.75</v>
      </c>
      <c r="U2526" s="4" t="str">
        <f>IFERROR(__xludf.DUMMYFUNCTION("""COMPUTED_VALUE"""),"Cardápio Web")</f>
        <v>Cardápio Web</v>
      </c>
      <c r="V2526" s="33">
        <f>IFERROR(__xludf.DUMMYFUNCTION("""COMPUTED_VALUE"""),0.75)</f>
        <v>0.75</v>
      </c>
      <c r="W2526" s="4" t="str">
        <f>IFERROR(__xludf.DUMMYFUNCTION("""COMPUTED_VALUE"""),"Cardápio Web")</f>
        <v>Cardápio Web</v>
      </c>
      <c r="X2526" s="33">
        <f>IFERROR(__xludf.DUMMYFUNCTION("""COMPUTED_VALUE"""),0.75)</f>
        <v>0.75</v>
      </c>
    </row>
    <row r="2527">
      <c r="K2527" s="4" t="str">
        <f>IFERROR(__xludf.DUMMYFUNCTION("""COMPUTED_VALUE"""),"REDEMED GRUPO M3 - CONTA MARCA")</f>
        <v>REDEMED GRUPO M3 - CONTA MARCA</v>
      </c>
      <c r="L2527" s="32">
        <f>IFERROR(__xludf.DUMMYFUNCTION("""COMPUTED_VALUE"""),4.0)</f>
        <v>4</v>
      </c>
      <c r="M2527" s="4" t="str">
        <f>IFERROR(__xludf.DUMMYFUNCTION("""COMPUTED_VALUE"""),"N/A (Not found)")</f>
        <v>N/A (Not found)</v>
      </c>
      <c r="N2527" s="33">
        <f>IFERROR(__xludf.DUMMYFUNCTION("""COMPUTED_VALUE"""),1.0)</f>
        <v>1</v>
      </c>
      <c r="O2527" s="4" t="str">
        <f>IFERROR(__xludf.DUMMYFUNCTION("""COMPUTED_VALUE"""),"N/A (Not found)")</f>
        <v>N/A (Not found)</v>
      </c>
      <c r="P2527" s="33">
        <f>IFERROR(__xludf.DUMMYFUNCTION("""COMPUTED_VALUE"""),1.0)</f>
        <v>1</v>
      </c>
      <c r="Q2527" s="4" t="str">
        <f>IFERROR(__xludf.DUMMYFUNCTION("""COMPUTED_VALUE"""),"N/A (Not found)")</f>
        <v>N/A (Not found)</v>
      </c>
      <c r="R2527" s="33">
        <f>IFERROR(__xludf.DUMMYFUNCTION("""COMPUTED_VALUE"""),0.75)</f>
        <v>0.75</v>
      </c>
      <c r="S2527" s="4" t="str">
        <f>IFERROR(__xludf.DUMMYFUNCTION("""COMPUTED_VALUE"""),"N/A (Not found)")</f>
        <v>N/A (Not found)</v>
      </c>
      <c r="T2527" s="33">
        <f>IFERROR(__xludf.DUMMYFUNCTION("""COMPUTED_VALUE"""),0.75)</f>
        <v>0.75</v>
      </c>
      <c r="U2527" s="4" t="str">
        <f>IFERROR(__xludf.DUMMYFUNCTION("""COMPUTED_VALUE"""),"N/A (Not found)")</f>
        <v>N/A (Not found)</v>
      </c>
      <c r="V2527" s="33">
        <f>IFERROR(__xludf.DUMMYFUNCTION("""COMPUTED_VALUE"""),0.5)</f>
        <v>0.5</v>
      </c>
      <c r="W2527" s="4" t="str">
        <f>IFERROR(__xludf.DUMMYFUNCTION("""COMPUTED_VALUE"""),"N/A (Not found)")</f>
        <v>N/A (Not found)</v>
      </c>
      <c r="X2527" s="33">
        <f>IFERROR(__xludf.DUMMYFUNCTION("""COMPUTED_VALUE"""),0.5)</f>
        <v>0.5</v>
      </c>
    </row>
    <row r="2528">
      <c r="K2528" s="4" t="str">
        <f>IFERROR(__xludf.DUMMYFUNCTION("""COMPUTED_VALUE"""),"REFUGIO DOS PIRATAS PIZZARIA")</f>
        <v>REFUGIO DOS PIRATAS PIZZARIA</v>
      </c>
      <c r="L2528" s="32">
        <f>IFERROR(__xludf.DUMMYFUNCTION("""COMPUTED_VALUE"""),4.0)</f>
        <v>4</v>
      </c>
      <c r="M2528" s="4" t="str">
        <f>IFERROR(__xludf.DUMMYFUNCTION("""COMPUTED_VALUE"""),"Grsoft")</f>
        <v>Grsoft</v>
      </c>
      <c r="N2528" s="33">
        <f>IFERROR(__xludf.DUMMYFUNCTION("""COMPUTED_VALUE"""),1.0)</f>
        <v>1</v>
      </c>
      <c r="O2528" s="4" t="str">
        <f>IFERROR(__xludf.DUMMYFUNCTION("""COMPUTED_VALUE"""),"Saipos Serviços De Software")</f>
        <v>Saipos Serviços De Software</v>
      </c>
      <c r="P2528" s="33">
        <f>IFERROR(__xludf.DUMMYFUNCTION("""COMPUTED_VALUE"""),0.75)</f>
        <v>0.75</v>
      </c>
      <c r="Q2528" s="4" t="str">
        <f>IFERROR(__xludf.DUMMYFUNCTION("""COMPUTED_VALUE"""),"Saipos Serviços De Software")</f>
        <v>Saipos Serviços De Software</v>
      </c>
      <c r="R2528" s="33">
        <f>IFERROR(__xludf.DUMMYFUNCTION("""COMPUTED_VALUE"""),0.75)</f>
        <v>0.75</v>
      </c>
      <c r="S2528" s="4" t="str">
        <f>IFERROR(__xludf.DUMMYFUNCTION("""COMPUTED_VALUE"""),"Saipos Serviços De Software")</f>
        <v>Saipos Serviços De Software</v>
      </c>
      <c r="T2528" s="33">
        <f>IFERROR(__xludf.DUMMYFUNCTION("""COMPUTED_VALUE"""),1.0)</f>
        <v>1</v>
      </c>
      <c r="U2528" s="4" t="str">
        <f>IFERROR(__xludf.DUMMYFUNCTION("""COMPUTED_VALUE"""),"Saipos Serviços De Software")</f>
        <v>Saipos Serviços De Software</v>
      </c>
      <c r="V2528" s="33">
        <f>IFERROR(__xludf.DUMMYFUNCTION("""COMPUTED_VALUE"""),1.0)</f>
        <v>1</v>
      </c>
      <c r="W2528" s="4" t="str">
        <f>IFERROR(__xludf.DUMMYFUNCTION("""COMPUTED_VALUE"""),"Saipos Serviços De Software")</f>
        <v>Saipos Serviços De Software</v>
      </c>
      <c r="X2528" s="33">
        <f>IFERROR(__xludf.DUMMYFUNCTION("""COMPUTED_VALUE"""),0.75)</f>
        <v>0.75</v>
      </c>
    </row>
    <row r="2529">
      <c r="K2529" s="4" t="str">
        <f>IFERROR(__xludf.DUMMYFUNCTION("""COMPUTED_VALUE"""),"REI DA FEIJOADA E PARMEGIANA")</f>
        <v>REI DA FEIJOADA E PARMEGIANA</v>
      </c>
      <c r="L2529" s="32">
        <f>IFERROR(__xludf.DUMMYFUNCTION("""COMPUTED_VALUE"""),4.0)</f>
        <v>4</v>
      </c>
      <c r="M2529" s="4" t="str">
        <f>IFERROR(__xludf.DUMMYFUNCTION("""COMPUTED_VALUE"""),"null")</f>
        <v>null</v>
      </c>
      <c r="N2529" s="33">
        <f>IFERROR(__xludf.DUMMYFUNCTION("""COMPUTED_VALUE"""),1.0)</f>
        <v>1</v>
      </c>
      <c r="O2529" s="4" t="str">
        <f>IFERROR(__xludf.DUMMYFUNCTION("""COMPUTED_VALUE"""),"Beefood - Sistema Para Restaurantes")</f>
        <v>Beefood - Sistema Para Restaurantes</v>
      </c>
      <c r="P2529" s="33">
        <f>IFERROR(__xludf.DUMMYFUNCTION("""COMPUTED_VALUE"""),1.0)</f>
        <v>1</v>
      </c>
      <c r="Q2529" s="4" t="str">
        <f>IFERROR(__xludf.DUMMYFUNCTION("""COMPUTED_VALUE"""),"null")</f>
        <v>null</v>
      </c>
      <c r="R2529" s="33">
        <f>IFERROR(__xludf.DUMMYFUNCTION("""COMPUTED_VALUE"""),1.0)</f>
        <v>1</v>
      </c>
      <c r="S2529" s="4" t="str">
        <f>IFERROR(__xludf.DUMMYFUNCTION("""COMPUTED_VALUE"""),"null")</f>
        <v>null</v>
      </c>
      <c r="T2529" s="33">
        <f>IFERROR(__xludf.DUMMYFUNCTION("""COMPUTED_VALUE"""),1.0)</f>
        <v>1</v>
      </c>
      <c r="U2529" s="4" t="str">
        <f>IFERROR(__xludf.DUMMYFUNCTION("""COMPUTED_VALUE"""),"null")</f>
        <v>null</v>
      </c>
      <c r="V2529" s="33">
        <f>IFERROR(__xludf.DUMMYFUNCTION("""COMPUTED_VALUE"""),0.75)</f>
        <v>0.75</v>
      </c>
      <c r="W2529" s="4" t="str">
        <f>IFERROR(__xludf.DUMMYFUNCTION("""COMPUTED_VALUE"""),"null")</f>
        <v>null</v>
      </c>
      <c r="X2529" s="33">
        <f>IFERROR(__xludf.DUMMYFUNCTION("""COMPUTED_VALUE"""),1.0)</f>
        <v>1</v>
      </c>
    </row>
    <row r="2530">
      <c r="K2530" s="4" t="str">
        <f>IFERROR(__xludf.DUMMYFUNCTION("""COMPUTED_VALUE"""),"REI DO DOG-LONDRINA")</f>
        <v>REI DO DOG-LONDRINA</v>
      </c>
      <c r="L2530" s="32">
        <f>IFERROR(__xludf.DUMMYFUNCTION("""COMPUTED_VALUE"""),4.0)</f>
        <v>4</v>
      </c>
      <c r="M2530" s="4" t="str">
        <f>IFERROR(__xludf.DUMMYFUNCTION("""COMPUTED_VALUE"""),"Sagres Automação Comercial")</f>
        <v>Sagres Automação Comercial</v>
      </c>
      <c r="N2530" s="33">
        <f>IFERROR(__xludf.DUMMYFUNCTION("""COMPUTED_VALUE"""),1.0)</f>
        <v>1</v>
      </c>
      <c r="O2530" s="4" t="str">
        <f>IFERROR(__xludf.DUMMYFUNCTION("""COMPUTED_VALUE"""),"Sagres Automação Comercial")</f>
        <v>Sagres Automação Comercial</v>
      </c>
      <c r="P2530" s="33">
        <f>IFERROR(__xludf.DUMMYFUNCTION("""COMPUTED_VALUE"""),1.0)</f>
        <v>1</v>
      </c>
      <c r="Q2530" s="4" t="str">
        <f>IFERROR(__xludf.DUMMYFUNCTION("""COMPUTED_VALUE"""),"Sagres Automação Comercial")</f>
        <v>Sagres Automação Comercial</v>
      </c>
      <c r="R2530" s="33">
        <f>IFERROR(__xludf.DUMMYFUNCTION("""COMPUTED_VALUE"""),1.0)</f>
        <v>1</v>
      </c>
      <c r="S2530" s="4" t="str">
        <f>IFERROR(__xludf.DUMMYFUNCTION("""COMPUTED_VALUE"""),"Sagres Automação Comercial")</f>
        <v>Sagres Automação Comercial</v>
      </c>
      <c r="T2530" s="33">
        <f>IFERROR(__xludf.DUMMYFUNCTION("""COMPUTED_VALUE"""),1.0)</f>
        <v>1</v>
      </c>
      <c r="U2530" s="4" t="str">
        <f>IFERROR(__xludf.DUMMYFUNCTION("""COMPUTED_VALUE"""),"Sagres Automação Comercial")</f>
        <v>Sagres Automação Comercial</v>
      </c>
      <c r="V2530" s="33">
        <f>IFERROR(__xludf.DUMMYFUNCTION("""COMPUTED_VALUE"""),1.0)</f>
        <v>1</v>
      </c>
      <c r="W2530" s="4" t="str">
        <f>IFERROR(__xludf.DUMMYFUNCTION("""COMPUTED_VALUE"""),"Sagres Automação Comercial")</f>
        <v>Sagres Automação Comercial</v>
      </c>
      <c r="X2530" s="33">
        <f>IFERROR(__xludf.DUMMYFUNCTION("""COMPUTED_VALUE"""),1.0)</f>
        <v>1</v>
      </c>
    </row>
    <row r="2531">
      <c r="K2531" s="4" t="str">
        <f>IFERROR(__xludf.DUMMYFUNCTION("""COMPUTED_VALUE"""),"REI DO XIS - CONTA MARCA")</f>
        <v>REI DO XIS - CONTA MARCA</v>
      </c>
      <c r="L2531" s="32">
        <f>IFERROR(__xludf.DUMMYFUNCTION("""COMPUTED_VALUE"""),4.0)</f>
        <v>4</v>
      </c>
      <c r="M2531" s="4" t="str">
        <f>IFERROR(__xludf.DUMMYFUNCTION("""COMPUTED_VALUE"""),"null")</f>
        <v>null</v>
      </c>
      <c r="N2531" s="33">
        <f>IFERROR(__xludf.DUMMYFUNCTION("""COMPUTED_VALUE"""),0.5)</f>
        <v>0.5</v>
      </c>
      <c r="O2531" s="4" t="str">
        <f>IFERROR(__xludf.DUMMYFUNCTION("""COMPUTED_VALUE"""),"Saipos Serviços De Software")</f>
        <v>Saipos Serviços De Software</v>
      </c>
      <c r="P2531" s="33">
        <f>IFERROR(__xludf.DUMMYFUNCTION("""COMPUTED_VALUE"""),1.0)</f>
        <v>1</v>
      </c>
      <c r="Q2531" s="4" t="str">
        <f>IFERROR(__xludf.DUMMYFUNCTION("""COMPUTED_VALUE"""),"Saipos Serviços De Software")</f>
        <v>Saipos Serviços De Software</v>
      </c>
      <c r="R2531" s="33">
        <f>IFERROR(__xludf.DUMMYFUNCTION("""COMPUTED_VALUE"""),1.0)</f>
        <v>1</v>
      </c>
      <c r="S2531" s="4" t="str">
        <f>IFERROR(__xludf.DUMMYFUNCTION("""COMPUTED_VALUE"""),"Saipos Serviços De Software")</f>
        <v>Saipos Serviços De Software</v>
      </c>
      <c r="T2531" s="33">
        <f>IFERROR(__xludf.DUMMYFUNCTION("""COMPUTED_VALUE"""),1.0)</f>
        <v>1</v>
      </c>
      <c r="U2531" s="4" t="str">
        <f>IFERROR(__xludf.DUMMYFUNCTION("""COMPUTED_VALUE"""),"Saipos Serviços De Software")</f>
        <v>Saipos Serviços De Software</v>
      </c>
      <c r="V2531" s="33">
        <f>IFERROR(__xludf.DUMMYFUNCTION("""COMPUTED_VALUE"""),1.0)</f>
        <v>1</v>
      </c>
      <c r="W2531" s="4" t="str">
        <f>IFERROR(__xludf.DUMMYFUNCTION("""COMPUTED_VALUE"""),"Saipos Serviços De Software")</f>
        <v>Saipos Serviços De Software</v>
      </c>
      <c r="X2531" s="33">
        <f>IFERROR(__xludf.DUMMYFUNCTION("""COMPUTED_VALUE"""),1.0)</f>
        <v>1</v>
      </c>
    </row>
    <row r="2532">
      <c r="K2532" s="4" t="str">
        <f>IFERROR(__xludf.DUMMYFUNCTION("""COMPUTED_VALUE"""),"RENATA SALGADOS - NITEROI")</f>
        <v>RENATA SALGADOS - NITEROI</v>
      </c>
      <c r="L2532" s="32">
        <f>IFERROR(__xludf.DUMMYFUNCTION("""COMPUTED_VALUE"""),4.0)</f>
        <v>4</v>
      </c>
      <c r="M2532" s="4" t="str">
        <f>IFERROR(__xludf.DUMMYFUNCTION("""COMPUTED_VALUE"""),"Cardápio Web")</f>
        <v>Cardápio Web</v>
      </c>
      <c r="N2532" s="33">
        <f>IFERROR(__xludf.DUMMYFUNCTION("""COMPUTED_VALUE"""),1.0)</f>
        <v>1</v>
      </c>
      <c r="O2532" s="4" t="str">
        <f>IFERROR(__xludf.DUMMYFUNCTION("""COMPUTED_VALUE"""),"Cardápio Web")</f>
        <v>Cardápio Web</v>
      </c>
      <c r="P2532" s="33">
        <f>IFERROR(__xludf.DUMMYFUNCTION("""COMPUTED_VALUE"""),1.0)</f>
        <v>1</v>
      </c>
      <c r="Q2532" s="4" t="str">
        <f>IFERROR(__xludf.DUMMYFUNCTION("""COMPUTED_VALUE"""),"Cardápio Web")</f>
        <v>Cardápio Web</v>
      </c>
      <c r="R2532" s="33">
        <f>IFERROR(__xludf.DUMMYFUNCTION("""COMPUTED_VALUE"""),1.0)</f>
        <v>1</v>
      </c>
      <c r="S2532" s="4" t="str">
        <f>IFERROR(__xludf.DUMMYFUNCTION("""COMPUTED_VALUE"""),"Cardápio Web")</f>
        <v>Cardápio Web</v>
      </c>
      <c r="T2532" s="33">
        <f>IFERROR(__xludf.DUMMYFUNCTION("""COMPUTED_VALUE"""),1.0)</f>
        <v>1</v>
      </c>
      <c r="U2532" s="4" t="str">
        <f>IFERROR(__xludf.DUMMYFUNCTION("""COMPUTED_VALUE"""),"Cardápio Web")</f>
        <v>Cardápio Web</v>
      </c>
      <c r="V2532" s="33">
        <f>IFERROR(__xludf.DUMMYFUNCTION("""COMPUTED_VALUE"""),1.0)</f>
        <v>1</v>
      </c>
      <c r="W2532" s="4" t="str">
        <f>IFERROR(__xludf.DUMMYFUNCTION("""COMPUTED_VALUE"""),"Cardápio Web")</f>
        <v>Cardápio Web</v>
      </c>
      <c r="X2532" s="33">
        <f>IFERROR(__xludf.DUMMYFUNCTION("""COMPUTED_VALUE"""),1.0)</f>
        <v>1</v>
      </c>
    </row>
    <row r="2533">
      <c r="K2533" s="4" t="str">
        <f>IFERROR(__xludf.DUMMYFUNCTION("""COMPUTED_VALUE"""),"RESTAURANTE COSTELAO CAJURU LTDA - CP")</f>
        <v>RESTAURANTE COSTELAO CAJURU LTDA - CP</v>
      </c>
      <c r="L2533" s="32">
        <f>IFERROR(__xludf.DUMMYFUNCTION("""COMPUTED_VALUE"""),4.0)</f>
        <v>4</v>
      </c>
      <c r="M2533" s="4" t="str">
        <f>IFERROR(__xludf.DUMMYFUNCTION("""COMPUTED_VALUE"""),"Parseint Desenvolvimento De Sistemas Ltda")</f>
        <v>Parseint Desenvolvimento De Sistemas Ltda</v>
      </c>
      <c r="N2533" s="33">
        <f>IFERROR(__xludf.DUMMYFUNCTION("""COMPUTED_VALUE"""),1.0)</f>
        <v>1</v>
      </c>
      <c r="O2533" s="4" t="str">
        <f>IFERROR(__xludf.DUMMYFUNCTION("""COMPUTED_VALUE"""),"Parseint Desenvolvimento De Sistemas Ltda")</f>
        <v>Parseint Desenvolvimento De Sistemas Ltda</v>
      </c>
      <c r="P2533" s="33">
        <f>IFERROR(__xludf.DUMMYFUNCTION("""COMPUTED_VALUE"""),1.0)</f>
        <v>1</v>
      </c>
      <c r="Q2533" s="4" t="str">
        <f>IFERROR(__xludf.DUMMYFUNCTION("""COMPUTED_VALUE"""),"Parseint Desenvolvimento De Sistemas Ltda")</f>
        <v>Parseint Desenvolvimento De Sistemas Ltda</v>
      </c>
      <c r="R2533" s="33">
        <f>IFERROR(__xludf.DUMMYFUNCTION("""COMPUTED_VALUE"""),1.0)</f>
        <v>1</v>
      </c>
      <c r="S2533" s="4" t="str">
        <f>IFERROR(__xludf.DUMMYFUNCTION("""COMPUTED_VALUE"""),"Parseint Desenvolvimento De Sistemas Ltda")</f>
        <v>Parseint Desenvolvimento De Sistemas Ltda</v>
      </c>
      <c r="T2533" s="33">
        <f>IFERROR(__xludf.DUMMYFUNCTION("""COMPUTED_VALUE"""),0.75)</f>
        <v>0.75</v>
      </c>
      <c r="U2533" s="4" t="str">
        <f>IFERROR(__xludf.DUMMYFUNCTION("""COMPUTED_VALUE"""),"Parseint Desenvolvimento De Sistemas Ltda")</f>
        <v>Parseint Desenvolvimento De Sistemas Ltda</v>
      </c>
      <c r="V2533" s="33">
        <f>IFERROR(__xludf.DUMMYFUNCTION("""COMPUTED_VALUE"""),0.5)</f>
        <v>0.5</v>
      </c>
      <c r="W2533" s="4" t="str">
        <f>IFERROR(__xludf.DUMMYFUNCTION("""COMPUTED_VALUE"""),"null")</f>
        <v>null</v>
      </c>
      <c r="X2533" s="33">
        <f>IFERROR(__xludf.DUMMYFUNCTION("""COMPUTED_VALUE"""),0.75)</f>
        <v>0.75</v>
      </c>
    </row>
    <row r="2534">
      <c r="K2534" s="4" t="str">
        <f>IFERROR(__xludf.DUMMYFUNCTION("""COMPUTED_VALUE"""),"RESTAURANTE MANDACARU - CONTA PAI")</f>
        <v>RESTAURANTE MANDACARU - CONTA PAI</v>
      </c>
      <c r="L2534" s="32">
        <f>IFERROR(__xludf.DUMMYFUNCTION("""COMPUTED_VALUE"""),4.0)</f>
        <v>4</v>
      </c>
      <c r="M2534" s="4" t="str">
        <f>IFERROR(__xludf.DUMMYFUNCTION("""COMPUTED_VALUE"""),"Saipos Serviços De Software")</f>
        <v>Saipos Serviços De Software</v>
      </c>
      <c r="N2534" s="33">
        <f>IFERROR(__xludf.DUMMYFUNCTION("""COMPUTED_VALUE"""),1.0)</f>
        <v>1</v>
      </c>
      <c r="O2534" s="4" t="str">
        <f>IFERROR(__xludf.DUMMYFUNCTION("""COMPUTED_VALUE"""),"Saipos Serviços De Software")</f>
        <v>Saipos Serviços De Software</v>
      </c>
      <c r="P2534" s="33">
        <f>IFERROR(__xludf.DUMMYFUNCTION("""COMPUTED_VALUE"""),1.0)</f>
        <v>1</v>
      </c>
      <c r="Q2534" s="4" t="str">
        <f>IFERROR(__xludf.DUMMYFUNCTION("""COMPUTED_VALUE"""),"Saipos Serviços De Software")</f>
        <v>Saipos Serviços De Software</v>
      </c>
      <c r="R2534" s="33">
        <f>IFERROR(__xludf.DUMMYFUNCTION("""COMPUTED_VALUE"""),1.0)</f>
        <v>1</v>
      </c>
      <c r="S2534" s="4" t="str">
        <f>IFERROR(__xludf.DUMMYFUNCTION("""COMPUTED_VALUE"""),"Saipos Serviços De Software")</f>
        <v>Saipos Serviços De Software</v>
      </c>
      <c r="T2534" s="33">
        <f>IFERROR(__xludf.DUMMYFUNCTION("""COMPUTED_VALUE"""),1.0)</f>
        <v>1</v>
      </c>
      <c r="U2534" s="4" t="str">
        <f>IFERROR(__xludf.DUMMYFUNCTION("""COMPUTED_VALUE"""),"Saipos Serviços De Software")</f>
        <v>Saipos Serviços De Software</v>
      </c>
      <c r="V2534" s="33">
        <f>IFERROR(__xludf.DUMMYFUNCTION("""COMPUTED_VALUE"""),1.0)</f>
        <v>1</v>
      </c>
      <c r="W2534" s="4" t="str">
        <f>IFERROR(__xludf.DUMMYFUNCTION("""COMPUTED_VALUE"""),"Saipos Serviços De Software")</f>
        <v>Saipos Serviços De Software</v>
      </c>
      <c r="X2534" s="33">
        <f>IFERROR(__xludf.DUMMYFUNCTION("""COMPUTED_VALUE"""),1.0)</f>
        <v>1</v>
      </c>
    </row>
    <row r="2535">
      <c r="K2535" s="4" t="str">
        <f>IFERROR(__xludf.DUMMYFUNCTION("""COMPUTED_VALUE"""),"RINCONCITO PERUANO")</f>
        <v>RINCONCITO PERUANO</v>
      </c>
      <c r="L2535" s="32">
        <f>IFERROR(__xludf.DUMMYFUNCTION("""COMPUTED_VALUE"""),4.0)</f>
        <v>4</v>
      </c>
      <c r="M2535" s="4" t="str">
        <f>IFERROR(__xludf.DUMMYFUNCTION("""COMPUTED_VALUE"""),"Eclética Tecnologia")</f>
        <v>Eclética Tecnologia</v>
      </c>
      <c r="N2535" s="33">
        <f>IFERROR(__xludf.DUMMYFUNCTION("""COMPUTED_VALUE"""),1.0)</f>
        <v>1</v>
      </c>
      <c r="O2535" s="4" t="str">
        <f>IFERROR(__xludf.DUMMYFUNCTION("""COMPUTED_VALUE"""),"Eclética Tecnologia")</f>
        <v>Eclética Tecnologia</v>
      </c>
      <c r="P2535" s="33">
        <f>IFERROR(__xludf.DUMMYFUNCTION("""COMPUTED_VALUE"""),1.0)</f>
        <v>1</v>
      </c>
      <c r="Q2535" s="4" t="str">
        <f>IFERROR(__xludf.DUMMYFUNCTION("""COMPUTED_VALUE"""),"Eclética Tecnologia")</f>
        <v>Eclética Tecnologia</v>
      </c>
      <c r="R2535" s="33">
        <f>IFERROR(__xludf.DUMMYFUNCTION("""COMPUTED_VALUE"""),1.0)</f>
        <v>1</v>
      </c>
      <c r="S2535" s="4" t="str">
        <f>IFERROR(__xludf.DUMMYFUNCTION("""COMPUTED_VALUE"""),"Eclética Tecnologia")</f>
        <v>Eclética Tecnologia</v>
      </c>
      <c r="T2535" s="33">
        <f>IFERROR(__xludf.DUMMYFUNCTION("""COMPUTED_VALUE"""),1.0)</f>
        <v>1</v>
      </c>
      <c r="U2535" s="4" t="str">
        <f>IFERROR(__xludf.DUMMYFUNCTION("""COMPUTED_VALUE"""),"Eclética Tecnologia")</f>
        <v>Eclética Tecnologia</v>
      </c>
      <c r="V2535" s="33">
        <f>IFERROR(__xludf.DUMMYFUNCTION("""COMPUTED_VALUE"""),1.0)</f>
        <v>1</v>
      </c>
      <c r="W2535" s="4" t="str">
        <f>IFERROR(__xludf.DUMMYFUNCTION("""COMPUTED_VALUE"""),"Eclética Tecnologia")</f>
        <v>Eclética Tecnologia</v>
      </c>
      <c r="X2535" s="33">
        <f>IFERROR(__xludf.DUMMYFUNCTION("""COMPUTED_VALUE"""),1.0)</f>
        <v>1</v>
      </c>
    </row>
    <row r="2536">
      <c r="K2536" s="4" t="str">
        <f>IFERROR(__xludf.DUMMYFUNCTION("""COMPUTED_VALUE"""),"RIPA NA BRASA")</f>
        <v>RIPA NA BRASA</v>
      </c>
      <c r="L2536" s="32">
        <f>IFERROR(__xludf.DUMMYFUNCTION("""COMPUTED_VALUE"""),4.0)</f>
        <v>4</v>
      </c>
      <c r="M2536" s="4" t="str">
        <f>IFERROR(__xludf.DUMMYFUNCTION("""COMPUTED_VALUE"""),"null")</f>
        <v>null</v>
      </c>
      <c r="N2536" s="33">
        <f>IFERROR(__xludf.DUMMYFUNCTION("""COMPUTED_VALUE"""),0.5)</f>
        <v>0.5</v>
      </c>
      <c r="O2536" s="4" t="str">
        <f>IFERROR(__xludf.DUMMYFUNCTION("""COMPUTED_VALUE"""),"Nootech Sistemas")</f>
        <v>Nootech Sistemas</v>
      </c>
      <c r="P2536" s="33">
        <f>IFERROR(__xludf.DUMMYFUNCTION("""COMPUTED_VALUE"""),1.0)</f>
        <v>1</v>
      </c>
      <c r="Q2536" s="4" t="str">
        <f>IFERROR(__xludf.DUMMYFUNCTION("""COMPUTED_VALUE"""),"Nootech Sistemas")</f>
        <v>Nootech Sistemas</v>
      </c>
      <c r="R2536" s="33">
        <f>IFERROR(__xludf.DUMMYFUNCTION("""COMPUTED_VALUE"""),1.0)</f>
        <v>1</v>
      </c>
      <c r="S2536" s="4" t="str">
        <f>IFERROR(__xludf.DUMMYFUNCTION("""COMPUTED_VALUE"""),"Nootech Sistemas")</f>
        <v>Nootech Sistemas</v>
      </c>
      <c r="T2536" s="33">
        <f>IFERROR(__xludf.DUMMYFUNCTION("""COMPUTED_VALUE"""),1.0)</f>
        <v>1</v>
      </c>
      <c r="U2536" s="4" t="str">
        <f>IFERROR(__xludf.DUMMYFUNCTION("""COMPUTED_VALUE"""),"Nootech Sistemas")</f>
        <v>Nootech Sistemas</v>
      </c>
      <c r="V2536" s="33">
        <f>IFERROR(__xludf.DUMMYFUNCTION("""COMPUTED_VALUE"""),1.0)</f>
        <v>1</v>
      </c>
      <c r="W2536" s="4" t="str">
        <f>IFERROR(__xludf.DUMMYFUNCTION("""COMPUTED_VALUE"""),"Nootech Sistemas")</f>
        <v>Nootech Sistemas</v>
      </c>
      <c r="X2536" s="33">
        <f>IFERROR(__xludf.DUMMYFUNCTION("""COMPUTED_VALUE"""),1.0)</f>
        <v>1</v>
      </c>
    </row>
    <row r="2537">
      <c r="K2537" s="4" t="str">
        <f>IFERROR(__xludf.DUMMYFUNCTION("""COMPUTED_VALUE"""),"ROCCO BURGER")</f>
        <v>ROCCO BURGER</v>
      </c>
      <c r="L2537" s="32">
        <f>IFERROR(__xludf.DUMMYFUNCTION("""COMPUTED_VALUE"""),4.0)</f>
        <v>4</v>
      </c>
      <c r="M2537" s="4" t="str">
        <f>IFERROR(__xludf.DUMMYFUNCTION("""COMPUTED_VALUE"""),"Saipos Serviços De Software")</f>
        <v>Saipos Serviços De Software</v>
      </c>
      <c r="N2537" s="33">
        <f>IFERROR(__xludf.DUMMYFUNCTION("""COMPUTED_VALUE"""),1.0)</f>
        <v>1</v>
      </c>
      <c r="O2537" s="4" t="str">
        <f>IFERROR(__xludf.DUMMYFUNCTION("""COMPUTED_VALUE"""),"Saipos Serviços De Software")</f>
        <v>Saipos Serviços De Software</v>
      </c>
      <c r="P2537" s="33">
        <f>IFERROR(__xludf.DUMMYFUNCTION("""COMPUTED_VALUE"""),1.0)</f>
        <v>1</v>
      </c>
      <c r="Q2537" s="4" t="str">
        <f>IFERROR(__xludf.DUMMYFUNCTION("""COMPUTED_VALUE"""),"Saipos Serviços De Software")</f>
        <v>Saipos Serviços De Software</v>
      </c>
      <c r="R2537" s="33">
        <f>IFERROR(__xludf.DUMMYFUNCTION("""COMPUTED_VALUE"""),1.0)</f>
        <v>1</v>
      </c>
      <c r="S2537" s="4" t="str">
        <f>IFERROR(__xludf.DUMMYFUNCTION("""COMPUTED_VALUE"""),"Saipos Serviços De Software")</f>
        <v>Saipos Serviços De Software</v>
      </c>
      <c r="T2537" s="33">
        <f>IFERROR(__xludf.DUMMYFUNCTION("""COMPUTED_VALUE"""),1.0)</f>
        <v>1</v>
      </c>
      <c r="U2537" s="4" t="str">
        <f>IFERROR(__xludf.DUMMYFUNCTION("""COMPUTED_VALUE"""),"Saipos Serviços De Software")</f>
        <v>Saipos Serviços De Software</v>
      </c>
      <c r="V2537" s="33">
        <f>IFERROR(__xludf.DUMMYFUNCTION("""COMPUTED_VALUE"""),1.0)</f>
        <v>1</v>
      </c>
      <c r="W2537" s="4" t="str">
        <f>IFERROR(__xludf.DUMMYFUNCTION("""COMPUTED_VALUE"""),"Saipos Serviços De Software")</f>
        <v>Saipos Serviços De Software</v>
      </c>
      <c r="X2537" s="33">
        <f>IFERROR(__xludf.DUMMYFUNCTION("""COMPUTED_VALUE"""),1.0)</f>
        <v>1</v>
      </c>
    </row>
    <row r="2538">
      <c r="K2538" s="4" t="str">
        <f>IFERROR(__xludf.DUMMYFUNCTION("""COMPUTED_VALUE"""),"ROLE SUSHI")</f>
        <v>ROLE SUSHI</v>
      </c>
      <c r="L2538" s="32">
        <f>IFERROR(__xludf.DUMMYFUNCTION("""COMPUTED_VALUE"""),4.0)</f>
        <v>4</v>
      </c>
      <c r="M2538" s="4" t="str">
        <f>IFERROR(__xludf.DUMMYFUNCTION("""COMPUTED_VALUE"""),"Saipos Serviços De Software")</f>
        <v>Saipos Serviços De Software</v>
      </c>
      <c r="N2538" s="33">
        <f>IFERROR(__xludf.DUMMYFUNCTION("""COMPUTED_VALUE"""),1.0)</f>
        <v>1</v>
      </c>
      <c r="O2538" s="4" t="str">
        <f>IFERROR(__xludf.DUMMYFUNCTION("""COMPUTED_VALUE"""),"Saipos Serviços De Software")</f>
        <v>Saipos Serviços De Software</v>
      </c>
      <c r="P2538" s="33">
        <f>IFERROR(__xludf.DUMMYFUNCTION("""COMPUTED_VALUE"""),1.0)</f>
        <v>1</v>
      </c>
      <c r="Q2538" s="4" t="str">
        <f>IFERROR(__xludf.DUMMYFUNCTION("""COMPUTED_VALUE"""),"Saipos Serviços De Software")</f>
        <v>Saipos Serviços De Software</v>
      </c>
      <c r="R2538" s="33">
        <f>IFERROR(__xludf.DUMMYFUNCTION("""COMPUTED_VALUE"""),1.0)</f>
        <v>1</v>
      </c>
      <c r="S2538" s="4" t="str">
        <f>IFERROR(__xludf.DUMMYFUNCTION("""COMPUTED_VALUE"""),"Saipos Serviços De Software")</f>
        <v>Saipos Serviços De Software</v>
      </c>
      <c r="T2538" s="33">
        <f>IFERROR(__xludf.DUMMYFUNCTION("""COMPUTED_VALUE"""),1.0)</f>
        <v>1</v>
      </c>
      <c r="U2538" s="4" t="str">
        <f>IFERROR(__xludf.DUMMYFUNCTION("""COMPUTED_VALUE"""),"Saipos Serviços De Software")</f>
        <v>Saipos Serviços De Software</v>
      </c>
      <c r="V2538" s="33">
        <f>IFERROR(__xludf.DUMMYFUNCTION("""COMPUTED_VALUE"""),1.0)</f>
        <v>1</v>
      </c>
      <c r="W2538" s="4" t="str">
        <f>IFERROR(__xludf.DUMMYFUNCTION("""COMPUTED_VALUE"""),"Saipos Serviços De Software")</f>
        <v>Saipos Serviços De Software</v>
      </c>
      <c r="X2538" s="33">
        <f>IFERROR(__xludf.DUMMYFUNCTION("""COMPUTED_VALUE"""),1.0)</f>
        <v>1</v>
      </c>
    </row>
    <row r="2539">
      <c r="K2539" s="4" t="str">
        <f>IFERROR(__xludf.DUMMYFUNCTION("""COMPUTED_VALUE"""),"ROMERO BURGER")</f>
        <v>ROMERO BURGER</v>
      </c>
      <c r="L2539" s="32">
        <f>IFERROR(__xludf.DUMMYFUNCTION("""COMPUTED_VALUE"""),4.0)</f>
        <v>4</v>
      </c>
      <c r="M2539" s="4" t="str">
        <f>IFERROR(__xludf.DUMMYFUNCTION("""COMPUTED_VALUE"""),"Glow")</f>
        <v>Glow</v>
      </c>
      <c r="N2539" s="33">
        <f>IFERROR(__xludf.DUMMYFUNCTION("""COMPUTED_VALUE"""),0.75)</f>
        <v>0.75</v>
      </c>
      <c r="O2539" s="4" t="str">
        <f>IFERROR(__xludf.DUMMYFUNCTION("""COMPUTED_VALUE"""),"Glow")</f>
        <v>Glow</v>
      </c>
      <c r="P2539" s="33">
        <f>IFERROR(__xludf.DUMMYFUNCTION("""COMPUTED_VALUE"""),0.5)</f>
        <v>0.5</v>
      </c>
      <c r="Q2539" s="4" t="str">
        <f>IFERROR(__xludf.DUMMYFUNCTION("""COMPUTED_VALUE"""),"Glow")</f>
        <v>Glow</v>
      </c>
      <c r="R2539" s="33">
        <f>IFERROR(__xludf.DUMMYFUNCTION("""COMPUTED_VALUE"""),0.75)</f>
        <v>0.75</v>
      </c>
      <c r="S2539" s="4" t="str">
        <f>IFERROR(__xludf.DUMMYFUNCTION("""COMPUTED_VALUE"""),"Glow")</f>
        <v>Glow</v>
      </c>
      <c r="T2539" s="33">
        <f>IFERROR(__xludf.DUMMYFUNCTION("""COMPUTED_VALUE"""),0.75)</f>
        <v>0.75</v>
      </c>
      <c r="U2539" s="4" t="str">
        <f>IFERROR(__xludf.DUMMYFUNCTION("""COMPUTED_VALUE"""),"Glow")</f>
        <v>Glow</v>
      </c>
      <c r="V2539" s="33">
        <f>IFERROR(__xludf.DUMMYFUNCTION("""COMPUTED_VALUE"""),0.75)</f>
        <v>0.75</v>
      </c>
      <c r="W2539" s="4" t="str">
        <f>IFERROR(__xludf.DUMMYFUNCTION("""COMPUTED_VALUE"""),"Glow")</f>
        <v>Glow</v>
      </c>
      <c r="X2539" s="33">
        <f>IFERROR(__xludf.DUMMYFUNCTION("""COMPUTED_VALUE"""),0.75)</f>
        <v>0.75</v>
      </c>
    </row>
    <row r="2540">
      <c r="K2540" s="4" t="str">
        <f>IFERROR(__xludf.DUMMYFUNCTION("""COMPUTED_VALUE"""),"SABOREANDO RESTAURANTE")</f>
        <v>SABOREANDO RESTAURANTE</v>
      </c>
      <c r="L2540" s="32">
        <f>IFERROR(__xludf.DUMMYFUNCTION("""COMPUTED_VALUE"""),4.0)</f>
        <v>4</v>
      </c>
      <c r="M2540" s="4" t="str">
        <f>IFERROR(__xludf.DUMMYFUNCTION("""COMPUTED_VALUE"""),"Saipos Serviços De Software")</f>
        <v>Saipos Serviços De Software</v>
      </c>
      <c r="N2540" s="33">
        <f>IFERROR(__xludf.DUMMYFUNCTION("""COMPUTED_VALUE"""),0.75)</f>
        <v>0.75</v>
      </c>
      <c r="O2540" s="4" t="str">
        <f>IFERROR(__xludf.DUMMYFUNCTION("""COMPUTED_VALUE"""),"Saipos Serviços De Software")</f>
        <v>Saipos Serviços De Software</v>
      </c>
      <c r="P2540" s="33">
        <f>IFERROR(__xludf.DUMMYFUNCTION("""COMPUTED_VALUE"""),0.75)</f>
        <v>0.75</v>
      </c>
      <c r="Q2540" s="4" t="str">
        <f>IFERROR(__xludf.DUMMYFUNCTION("""COMPUTED_VALUE"""),"Saipos Serviços De Software")</f>
        <v>Saipos Serviços De Software</v>
      </c>
      <c r="R2540" s="33">
        <f>IFERROR(__xludf.DUMMYFUNCTION("""COMPUTED_VALUE"""),0.75)</f>
        <v>0.75</v>
      </c>
      <c r="S2540" s="4" t="str">
        <f>IFERROR(__xludf.DUMMYFUNCTION("""COMPUTED_VALUE"""),"Saipos Serviços De Software")</f>
        <v>Saipos Serviços De Software</v>
      </c>
      <c r="T2540" s="33">
        <f>IFERROR(__xludf.DUMMYFUNCTION("""COMPUTED_VALUE"""),0.75)</f>
        <v>0.75</v>
      </c>
      <c r="U2540" s="4" t="str">
        <f>IFERROR(__xludf.DUMMYFUNCTION("""COMPUTED_VALUE"""),"Saipos Serviços De Software")</f>
        <v>Saipos Serviços De Software</v>
      </c>
      <c r="V2540" s="33">
        <f>IFERROR(__xludf.DUMMYFUNCTION("""COMPUTED_VALUE"""),0.75)</f>
        <v>0.75</v>
      </c>
      <c r="W2540" s="4" t="str">
        <f>IFERROR(__xludf.DUMMYFUNCTION("""COMPUTED_VALUE"""),"Saipos Serviços De Software")</f>
        <v>Saipos Serviços De Software</v>
      </c>
      <c r="X2540" s="33">
        <f>IFERROR(__xludf.DUMMYFUNCTION("""COMPUTED_VALUE"""),1.0)</f>
        <v>1</v>
      </c>
    </row>
    <row r="2541">
      <c r="K2541" s="4" t="str">
        <f>IFERROR(__xludf.DUMMYFUNCTION("""COMPUTED_VALUE"""),"SABOREAR MARMITARIA MOSSORO - CONTA PAI")</f>
        <v>SABOREAR MARMITARIA MOSSORO - CONTA PAI</v>
      </c>
      <c r="L2541" s="32">
        <f>IFERROR(__xludf.DUMMYFUNCTION("""COMPUTED_VALUE"""),4.0)</f>
        <v>4</v>
      </c>
      <c r="M2541" s="4" t="str">
        <f>IFERROR(__xludf.DUMMYFUNCTION("""COMPUTED_VALUE"""),"Saipos Serviços De Software")</f>
        <v>Saipos Serviços De Software</v>
      </c>
      <c r="N2541" s="33">
        <f>IFERROR(__xludf.DUMMYFUNCTION("""COMPUTED_VALUE"""),1.0)</f>
        <v>1</v>
      </c>
      <c r="O2541" s="4" t="str">
        <f>IFERROR(__xludf.DUMMYFUNCTION("""COMPUTED_VALUE"""),"Saipos Serviços De Software")</f>
        <v>Saipos Serviços De Software</v>
      </c>
      <c r="P2541" s="33">
        <f>IFERROR(__xludf.DUMMYFUNCTION("""COMPUTED_VALUE"""),1.0)</f>
        <v>1</v>
      </c>
      <c r="Q2541" s="4" t="str">
        <f>IFERROR(__xludf.DUMMYFUNCTION("""COMPUTED_VALUE"""),"Saipos Serviços De Software")</f>
        <v>Saipos Serviços De Software</v>
      </c>
      <c r="R2541" s="33">
        <f>IFERROR(__xludf.DUMMYFUNCTION("""COMPUTED_VALUE"""),1.0)</f>
        <v>1</v>
      </c>
      <c r="S2541" s="4" t="str">
        <f>IFERROR(__xludf.DUMMYFUNCTION("""COMPUTED_VALUE"""),"Saipos Serviços De Software")</f>
        <v>Saipos Serviços De Software</v>
      </c>
      <c r="T2541" s="33">
        <f>IFERROR(__xludf.DUMMYFUNCTION("""COMPUTED_VALUE"""),1.0)</f>
        <v>1</v>
      </c>
      <c r="U2541" s="4" t="str">
        <f>IFERROR(__xludf.DUMMYFUNCTION("""COMPUTED_VALUE"""),"Saipos Serviços De Software")</f>
        <v>Saipos Serviços De Software</v>
      </c>
      <c r="V2541" s="33">
        <f>IFERROR(__xludf.DUMMYFUNCTION("""COMPUTED_VALUE"""),1.0)</f>
        <v>1</v>
      </c>
      <c r="W2541" s="4" t="str">
        <f>IFERROR(__xludf.DUMMYFUNCTION("""COMPUTED_VALUE"""),"Saipos Serviços De Software")</f>
        <v>Saipos Serviços De Software</v>
      </c>
      <c r="X2541" s="33">
        <f>IFERROR(__xludf.DUMMYFUNCTION("""COMPUTED_VALUE"""),1.0)</f>
        <v>1</v>
      </c>
    </row>
    <row r="2542">
      <c r="K2542" s="4" t="str">
        <f>IFERROR(__xludf.DUMMYFUNCTION("""COMPUTED_VALUE"""),"SABORES DA TERRA -CONTA MARCA")</f>
        <v>SABORES DA TERRA -CONTA MARCA</v>
      </c>
      <c r="L2542" s="32">
        <f>IFERROR(__xludf.DUMMYFUNCTION("""COMPUTED_VALUE"""),4.0)</f>
        <v>4</v>
      </c>
      <c r="M2542" s="4" t="str">
        <f>IFERROR(__xludf.DUMMYFUNCTION("""COMPUTED_VALUE"""),"Cardápio Web")</f>
        <v>Cardápio Web</v>
      </c>
      <c r="N2542" s="33">
        <f>IFERROR(__xludf.DUMMYFUNCTION("""COMPUTED_VALUE"""),1.0)</f>
        <v>1</v>
      </c>
      <c r="O2542" s="4" t="str">
        <f>IFERROR(__xludf.DUMMYFUNCTION("""COMPUTED_VALUE"""),"Cardápio Web")</f>
        <v>Cardápio Web</v>
      </c>
      <c r="P2542" s="33">
        <f>IFERROR(__xludf.DUMMYFUNCTION("""COMPUTED_VALUE"""),1.0)</f>
        <v>1</v>
      </c>
      <c r="Q2542" s="4" t="str">
        <f>IFERROR(__xludf.DUMMYFUNCTION("""COMPUTED_VALUE"""),"Cardápio Web")</f>
        <v>Cardápio Web</v>
      </c>
      <c r="R2542" s="33">
        <f>IFERROR(__xludf.DUMMYFUNCTION("""COMPUTED_VALUE"""),1.0)</f>
        <v>1</v>
      </c>
      <c r="S2542" s="4" t="str">
        <f>IFERROR(__xludf.DUMMYFUNCTION("""COMPUTED_VALUE"""),"Cardápio Web")</f>
        <v>Cardápio Web</v>
      </c>
      <c r="T2542" s="33">
        <f>IFERROR(__xludf.DUMMYFUNCTION("""COMPUTED_VALUE"""),1.0)</f>
        <v>1</v>
      </c>
      <c r="U2542" s="4" t="str">
        <f>IFERROR(__xludf.DUMMYFUNCTION("""COMPUTED_VALUE"""),"Cardápio Web")</f>
        <v>Cardápio Web</v>
      </c>
      <c r="V2542" s="33">
        <f>IFERROR(__xludf.DUMMYFUNCTION("""COMPUTED_VALUE"""),1.0)</f>
        <v>1</v>
      </c>
      <c r="W2542" s="4" t="str">
        <f>IFERROR(__xludf.DUMMYFUNCTION("""COMPUTED_VALUE"""),"Cardápio Web")</f>
        <v>Cardápio Web</v>
      </c>
      <c r="X2542" s="33">
        <f>IFERROR(__xludf.DUMMYFUNCTION("""COMPUTED_VALUE"""),1.0)</f>
        <v>1</v>
      </c>
    </row>
    <row r="2543">
      <c r="K2543" s="4" t="str">
        <f>IFERROR(__xludf.DUMMYFUNCTION("""COMPUTED_VALUE"""),"SABORES DE NAPOLES")</f>
        <v>SABORES DE NAPOLES</v>
      </c>
      <c r="L2543" s="32">
        <f>IFERROR(__xludf.DUMMYFUNCTION("""COMPUTED_VALUE"""),4.0)</f>
        <v>4</v>
      </c>
      <c r="M2543" s="4" t="str">
        <f>IFERROR(__xludf.DUMMYFUNCTION("""COMPUTED_VALUE"""),"Saipos Serviços De Software")</f>
        <v>Saipos Serviços De Software</v>
      </c>
      <c r="N2543" s="33">
        <f>IFERROR(__xludf.DUMMYFUNCTION("""COMPUTED_VALUE"""),1.0)</f>
        <v>1</v>
      </c>
      <c r="O2543" s="4" t="str">
        <f>IFERROR(__xludf.DUMMYFUNCTION("""COMPUTED_VALUE"""),"Saipos Serviços De Software")</f>
        <v>Saipos Serviços De Software</v>
      </c>
      <c r="P2543" s="33">
        <f>IFERROR(__xludf.DUMMYFUNCTION("""COMPUTED_VALUE"""),1.0)</f>
        <v>1</v>
      </c>
      <c r="Q2543" s="4" t="str">
        <f>IFERROR(__xludf.DUMMYFUNCTION("""COMPUTED_VALUE"""),"Saipos Serviços De Software")</f>
        <v>Saipos Serviços De Software</v>
      </c>
      <c r="R2543" s="33">
        <f>IFERROR(__xludf.DUMMYFUNCTION("""COMPUTED_VALUE"""),1.0)</f>
        <v>1</v>
      </c>
      <c r="S2543" s="4" t="str">
        <f>IFERROR(__xludf.DUMMYFUNCTION("""COMPUTED_VALUE"""),"Saipos Serviços De Software")</f>
        <v>Saipos Serviços De Software</v>
      </c>
      <c r="T2543" s="33">
        <f>IFERROR(__xludf.DUMMYFUNCTION("""COMPUTED_VALUE"""),1.0)</f>
        <v>1</v>
      </c>
      <c r="U2543" s="4" t="str">
        <f>IFERROR(__xludf.DUMMYFUNCTION("""COMPUTED_VALUE"""),"Saipos Serviços De Software")</f>
        <v>Saipos Serviços De Software</v>
      </c>
      <c r="V2543" s="33">
        <f>IFERROR(__xludf.DUMMYFUNCTION("""COMPUTED_VALUE"""),1.0)</f>
        <v>1</v>
      </c>
      <c r="W2543" s="4" t="str">
        <f>IFERROR(__xludf.DUMMYFUNCTION("""COMPUTED_VALUE"""),"Saipos Serviços De Software")</f>
        <v>Saipos Serviços De Software</v>
      </c>
      <c r="X2543" s="33">
        <f>IFERROR(__xludf.DUMMYFUNCTION("""COMPUTED_VALUE"""),1.0)</f>
        <v>1</v>
      </c>
    </row>
    <row r="2544">
      <c r="K2544" s="4" t="str">
        <f>IFERROR(__xludf.DUMMYFUNCTION("""COMPUTED_VALUE"""),"SAHIB")</f>
        <v>SAHIB</v>
      </c>
      <c r="L2544" s="32">
        <f>IFERROR(__xludf.DUMMYFUNCTION("""COMPUTED_VALUE"""),4.0)</f>
        <v>4</v>
      </c>
      <c r="M2544" s="4" t="str">
        <f>IFERROR(__xludf.DUMMYFUNCTION("""COMPUTED_VALUE"""),"Cardápio Web")</f>
        <v>Cardápio Web</v>
      </c>
      <c r="N2544" s="33">
        <f>IFERROR(__xludf.DUMMYFUNCTION("""COMPUTED_VALUE"""),0.75)</f>
        <v>0.75</v>
      </c>
      <c r="O2544" s="4" t="str">
        <f>IFERROR(__xludf.DUMMYFUNCTION("""COMPUTED_VALUE"""),"Cardápio Web")</f>
        <v>Cardápio Web</v>
      </c>
      <c r="P2544" s="33">
        <f>IFERROR(__xludf.DUMMYFUNCTION("""COMPUTED_VALUE"""),0.75)</f>
        <v>0.75</v>
      </c>
      <c r="Q2544" s="4" t="str">
        <f>IFERROR(__xludf.DUMMYFUNCTION("""COMPUTED_VALUE"""),"Cardápio Web")</f>
        <v>Cardápio Web</v>
      </c>
      <c r="R2544" s="33">
        <f>IFERROR(__xludf.DUMMYFUNCTION("""COMPUTED_VALUE"""),0.75)</f>
        <v>0.75</v>
      </c>
      <c r="S2544" s="4" t="str">
        <f>IFERROR(__xludf.DUMMYFUNCTION("""COMPUTED_VALUE"""),"Cardápio Web")</f>
        <v>Cardápio Web</v>
      </c>
      <c r="T2544" s="33">
        <f>IFERROR(__xludf.DUMMYFUNCTION("""COMPUTED_VALUE"""),0.75)</f>
        <v>0.75</v>
      </c>
      <c r="U2544" s="4" t="str">
        <f>IFERROR(__xludf.DUMMYFUNCTION("""COMPUTED_VALUE"""),"Cardápio Web")</f>
        <v>Cardápio Web</v>
      </c>
      <c r="V2544" s="33">
        <f>IFERROR(__xludf.DUMMYFUNCTION("""COMPUTED_VALUE"""),1.0)</f>
        <v>1</v>
      </c>
      <c r="W2544" s="4" t="str">
        <f>IFERROR(__xludf.DUMMYFUNCTION("""COMPUTED_VALUE"""),"Cardápio Web")</f>
        <v>Cardápio Web</v>
      </c>
      <c r="X2544" s="33">
        <f>IFERROR(__xludf.DUMMYFUNCTION("""COMPUTED_VALUE"""),1.0)</f>
        <v>1</v>
      </c>
    </row>
    <row r="2545">
      <c r="K2545" s="4" t="str">
        <f>IFERROR(__xludf.DUMMYFUNCTION("""COMPUTED_VALUE"""),"SAINT BURGER")</f>
        <v>SAINT BURGER</v>
      </c>
      <c r="L2545" s="32">
        <f>IFERROR(__xludf.DUMMYFUNCTION("""COMPUTED_VALUE"""),4.0)</f>
        <v>4</v>
      </c>
      <c r="M2545" s="4" t="str">
        <f>IFERROR(__xludf.DUMMYFUNCTION("""COMPUTED_VALUE"""),"Saipos Serviços De Software")</f>
        <v>Saipos Serviços De Software</v>
      </c>
      <c r="N2545" s="33">
        <f>IFERROR(__xludf.DUMMYFUNCTION("""COMPUTED_VALUE"""),1.0)</f>
        <v>1</v>
      </c>
      <c r="O2545" s="4" t="str">
        <f>IFERROR(__xludf.DUMMYFUNCTION("""COMPUTED_VALUE"""),"Saipos Serviços De Software")</f>
        <v>Saipos Serviços De Software</v>
      </c>
      <c r="P2545" s="33">
        <f>IFERROR(__xludf.DUMMYFUNCTION("""COMPUTED_VALUE"""),1.0)</f>
        <v>1</v>
      </c>
      <c r="Q2545" s="4" t="str">
        <f>IFERROR(__xludf.DUMMYFUNCTION("""COMPUTED_VALUE"""),"Saipos Serviços De Software")</f>
        <v>Saipos Serviços De Software</v>
      </c>
      <c r="R2545" s="33">
        <f>IFERROR(__xludf.DUMMYFUNCTION("""COMPUTED_VALUE"""),1.0)</f>
        <v>1</v>
      </c>
      <c r="S2545" s="4" t="str">
        <f>IFERROR(__xludf.DUMMYFUNCTION("""COMPUTED_VALUE"""),"Saipos Serviços De Software")</f>
        <v>Saipos Serviços De Software</v>
      </c>
      <c r="T2545" s="33">
        <f>IFERROR(__xludf.DUMMYFUNCTION("""COMPUTED_VALUE"""),1.0)</f>
        <v>1</v>
      </c>
      <c r="U2545" s="4" t="str">
        <f>IFERROR(__xludf.DUMMYFUNCTION("""COMPUTED_VALUE"""),"Saipos Serviços De Software")</f>
        <v>Saipos Serviços De Software</v>
      </c>
      <c r="V2545" s="33">
        <f>IFERROR(__xludf.DUMMYFUNCTION("""COMPUTED_VALUE"""),1.0)</f>
        <v>1</v>
      </c>
      <c r="W2545" s="4" t="str">
        <f>IFERROR(__xludf.DUMMYFUNCTION("""COMPUTED_VALUE"""),"Saipos Serviços De Software")</f>
        <v>Saipos Serviços De Software</v>
      </c>
      <c r="X2545" s="33">
        <f>IFERROR(__xludf.DUMMYFUNCTION("""COMPUTED_VALUE"""),0.75)</f>
        <v>0.75</v>
      </c>
    </row>
    <row r="2546">
      <c r="K2546" s="4" t="str">
        <f>IFERROR(__xludf.DUMMYFUNCTION("""COMPUTED_VALUE"""),"SAITOSUSHI - CONTA PAI")</f>
        <v>SAITOSUSHI - CONTA PAI</v>
      </c>
      <c r="L2546" s="32">
        <f>IFERROR(__xludf.DUMMYFUNCTION("""COMPUTED_VALUE"""),4.0)</f>
        <v>4</v>
      </c>
      <c r="M2546" s="4" t="str">
        <f>IFERROR(__xludf.DUMMYFUNCTION("""COMPUTED_VALUE"""),"Saipos Serviços De Software")</f>
        <v>Saipos Serviços De Software</v>
      </c>
      <c r="N2546" s="33">
        <f>IFERROR(__xludf.DUMMYFUNCTION("""COMPUTED_VALUE"""),0.75)</f>
        <v>0.75</v>
      </c>
      <c r="O2546" s="4" t="str">
        <f>IFERROR(__xludf.DUMMYFUNCTION("""COMPUTED_VALUE"""),"Saipos Serviços De Software")</f>
        <v>Saipos Serviços De Software</v>
      </c>
      <c r="P2546" s="33">
        <f>IFERROR(__xludf.DUMMYFUNCTION("""COMPUTED_VALUE"""),0.75)</f>
        <v>0.75</v>
      </c>
      <c r="Q2546" s="4" t="str">
        <f>IFERROR(__xludf.DUMMYFUNCTION("""COMPUTED_VALUE"""),"Saipos Serviços De Software")</f>
        <v>Saipos Serviços De Software</v>
      </c>
      <c r="R2546" s="33">
        <f>IFERROR(__xludf.DUMMYFUNCTION("""COMPUTED_VALUE"""),0.75)</f>
        <v>0.75</v>
      </c>
      <c r="S2546" s="4" t="str">
        <f>IFERROR(__xludf.DUMMYFUNCTION("""COMPUTED_VALUE"""),"Saipos Serviços De Software")</f>
        <v>Saipos Serviços De Software</v>
      </c>
      <c r="T2546" s="33">
        <f>IFERROR(__xludf.DUMMYFUNCTION("""COMPUTED_VALUE"""),0.75)</f>
        <v>0.75</v>
      </c>
      <c r="U2546" s="4" t="str">
        <f>IFERROR(__xludf.DUMMYFUNCTION("""COMPUTED_VALUE"""),"Saipos Serviços De Software")</f>
        <v>Saipos Serviços De Software</v>
      </c>
      <c r="V2546" s="33">
        <f>IFERROR(__xludf.DUMMYFUNCTION("""COMPUTED_VALUE"""),0.75)</f>
        <v>0.75</v>
      </c>
      <c r="W2546" s="4" t="str">
        <f>IFERROR(__xludf.DUMMYFUNCTION("""COMPUTED_VALUE"""),"Saipos Serviços De Software")</f>
        <v>Saipos Serviços De Software</v>
      </c>
      <c r="X2546" s="33">
        <f>IFERROR(__xludf.DUMMYFUNCTION("""COMPUTED_VALUE"""),1.0)</f>
        <v>1</v>
      </c>
    </row>
    <row r="2547">
      <c r="K2547" s="4" t="str">
        <f>IFERROR(__xludf.DUMMYFUNCTION("""COMPUTED_VALUE"""),"SALT GRILL BURGER")</f>
        <v>SALT GRILL BURGER</v>
      </c>
      <c r="L2547" s="32">
        <f>IFERROR(__xludf.DUMMYFUNCTION("""COMPUTED_VALUE"""),4.0)</f>
        <v>4</v>
      </c>
      <c r="M2547" s="4" t="str">
        <f>IFERROR(__xludf.DUMMYFUNCTION("""COMPUTED_VALUE"""),"Sistema Pallas")</f>
        <v>Sistema Pallas</v>
      </c>
      <c r="N2547" s="33">
        <f>IFERROR(__xludf.DUMMYFUNCTION("""COMPUTED_VALUE"""),0.75)</f>
        <v>0.75</v>
      </c>
      <c r="O2547" s="4" t="str">
        <f>IFERROR(__xludf.DUMMYFUNCTION("""COMPUTED_VALUE"""),"Sistema Pallas")</f>
        <v>Sistema Pallas</v>
      </c>
      <c r="P2547" s="33">
        <f>IFERROR(__xludf.DUMMYFUNCTION("""COMPUTED_VALUE"""),1.0)</f>
        <v>1</v>
      </c>
      <c r="Q2547" s="4" t="str">
        <f>IFERROR(__xludf.DUMMYFUNCTION("""COMPUTED_VALUE"""),"Sistema Pallas")</f>
        <v>Sistema Pallas</v>
      </c>
      <c r="R2547" s="33">
        <f>IFERROR(__xludf.DUMMYFUNCTION("""COMPUTED_VALUE"""),0.5)</f>
        <v>0.5</v>
      </c>
      <c r="S2547" s="4" t="str">
        <f>IFERROR(__xludf.DUMMYFUNCTION("""COMPUTED_VALUE"""),"null")</f>
        <v>null</v>
      </c>
      <c r="T2547" s="33">
        <f>IFERROR(__xludf.DUMMYFUNCTION("""COMPUTED_VALUE"""),0.75)</f>
        <v>0.75</v>
      </c>
      <c r="U2547" s="4" t="str">
        <f>IFERROR(__xludf.DUMMYFUNCTION("""COMPUTED_VALUE"""),"Sistema Pallas")</f>
        <v>Sistema Pallas</v>
      </c>
      <c r="V2547" s="33">
        <f>IFERROR(__xludf.DUMMYFUNCTION("""COMPUTED_VALUE"""),0.5)</f>
        <v>0.5</v>
      </c>
      <c r="W2547" s="4" t="str">
        <f>IFERROR(__xludf.DUMMYFUNCTION("""COMPUTED_VALUE"""),"null")</f>
        <v>null</v>
      </c>
      <c r="X2547" s="33">
        <f>IFERROR(__xludf.DUMMYFUNCTION("""COMPUTED_VALUE"""),0.75)</f>
        <v>0.75</v>
      </c>
    </row>
    <row r="2548">
      <c r="K2548" s="4" t="str">
        <f>IFERROR(__xludf.DUMMYFUNCTION("""COMPUTED_VALUE"""),"SAN KAI CULINARIA JAPONESA")</f>
        <v>SAN KAI CULINARIA JAPONESA</v>
      </c>
      <c r="L2548" s="32">
        <f>IFERROR(__xludf.DUMMYFUNCTION("""COMPUTED_VALUE"""),4.0)</f>
        <v>4</v>
      </c>
      <c r="M2548" s="4" t="str">
        <f>IFERROR(__xludf.DUMMYFUNCTION("""COMPUTED_VALUE"""),"Vuca Solution")</f>
        <v>Vuca Solution</v>
      </c>
      <c r="N2548" s="33">
        <f>IFERROR(__xludf.DUMMYFUNCTION("""COMPUTED_VALUE"""),1.0)</f>
        <v>1</v>
      </c>
      <c r="O2548" s="4" t="str">
        <f>IFERROR(__xludf.DUMMYFUNCTION("""COMPUTED_VALUE"""),"Vuca Solution")</f>
        <v>Vuca Solution</v>
      </c>
      <c r="P2548" s="33">
        <f>IFERROR(__xludf.DUMMYFUNCTION("""COMPUTED_VALUE"""),1.0)</f>
        <v>1</v>
      </c>
      <c r="Q2548" s="4" t="str">
        <f>IFERROR(__xludf.DUMMYFUNCTION("""COMPUTED_VALUE"""),"Vuca Solution")</f>
        <v>Vuca Solution</v>
      </c>
      <c r="R2548" s="33">
        <f>IFERROR(__xludf.DUMMYFUNCTION("""COMPUTED_VALUE"""),1.0)</f>
        <v>1</v>
      </c>
      <c r="S2548" s="4" t="str">
        <f>IFERROR(__xludf.DUMMYFUNCTION("""COMPUTED_VALUE"""),"Vuca Solution")</f>
        <v>Vuca Solution</v>
      </c>
      <c r="T2548" s="33">
        <f>IFERROR(__xludf.DUMMYFUNCTION("""COMPUTED_VALUE"""),1.0)</f>
        <v>1</v>
      </c>
      <c r="U2548" s="4" t="str">
        <f>IFERROR(__xludf.DUMMYFUNCTION("""COMPUTED_VALUE"""),"Vuca Solution")</f>
        <v>Vuca Solution</v>
      </c>
      <c r="V2548" s="33">
        <f>IFERROR(__xludf.DUMMYFUNCTION("""COMPUTED_VALUE"""),1.0)</f>
        <v>1</v>
      </c>
      <c r="W2548" s="4" t="str">
        <f>IFERROR(__xludf.DUMMYFUNCTION("""COMPUTED_VALUE"""),"Vuca Solution")</f>
        <v>Vuca Solution</v>
      </c>
      <c r="X2548" s="33">
        <f>IFERROR(__xludf.DUMMYFUNCTION("""COMPUTED_VALUE"""),1.0)</f>
        <v>1</v>
      </c>
    </row>
    <row r="2549">
      <c r="K2549" s="4" t="str">
        <f>IFERROR(__xludf.DUMMYFUNCTION("""COMPUTED_VALUE"""),"SAN MARTINO")</f>
        <v>SAN MARTINO</v>
      </c>
      <c r="L2549" s="32">
        <f>IFERROR(__xludf.DUMMYFUNCTION("""COMPUTED_VALUE"""),4.0)</f>
        <v>4</v>
      </c>
      <c r="M2549" s="4" t="str">
        <f>IFERROR(__xludf.DUMMYFUNCTION("""COMPUTED_VALUE"""),"Saipos Serviços De Software")</f>
        <v>Saipos Serviços De Software</v>
      </c>
      <c r="N2549" s="33">
        <f>IFERROR(__xludf.DUMMYFUNCTION("""COMPUTED_VALUE"""),1.0)</f>
        <v>1</v>
      </c>
      <c r="O2549" s="4" t="str">
        <f>IFERROR(__xludf.DUMMYFUNCTION("""COMPUTED_VALUE"""),"Saipos Serviços De Software")</f>
        <v>Saipos Serviços De Software</v>
      </c>
      <c r="P2549" s="33">
        <f>IFERROR(__xludf.DUMMYFUNCTION("""COMPUTED_VALUE"""),1.0)</f>
        <v>1</v>
      </c>
      <c r="Q2549" s="4" t="str">
        <f>IFERROR(__xludf.DUMMYFUNCTION("""COMPUTED_VALUE"""),"Saipos Serviços De Software")</f>
        <v>Saipos Serviços De Software</v>
      </c>
      <c r="R2549" s="33">
        <f>IFERROR(__xludf.DUMMYFUNCTION("""COMPUTED_VALUE"""),1.0)</f>
        <v>1</v>
      </c>
      <c r="S2549" s="4" t="str">
        <f>IFERROR(__xludf.DUMMYFUNCTION("""COMPUTED_VALUE"""),"Saipos Serviços De Software")</f>
        <v>Saipos Serviços De Software</v>
      </c>
      <c r="T2549" s="33">
        <f>IFERROR(__xludf.DUMMYFUNCTION("""COMPUTED_VALUE"""),0.75)</f>
        <v>0.75</v>
      </c>
      <c r="U2549" s="4" t="str">
        <f>IFERROR(__xludf.DUMMYFUNCTION("""COMPUTED_VALUE"""),"Saipos Serviços De Software")</f>
        <v>Saipos Serviços De Software</v>
      </c>
      <c r="V2549" s="33">
        <f>IFERROR(__xludf.DUMMYFUNCTION("""COMPUTED_VALUE"""),0.5)</f>
        <v>0.5</v>
      </c>
      <c r="W2549" s="4" t="str">
        <f>IFERROR(__xludf.DUMMYFUNCTION("""COMPUTED_VALUE"""),"Saipos Serviços De Software")</f>
        <v>Saipos Serviços De Software</v>
      </c>
      <c r="X2549" s="33">
        <f>IFERROR(__xludf.DUMMYFUNCTION("""COMPUTED_VALUE"""),1.0)</f>
        <v>1</v>
      </c>
    </row>
    <row r="2550">
      <c r="K2550" s="4" t="str">
        <f>IFERROR(__xludf.DUMMYFUNCTION("""COMPUTED_VALUE"""),"SANSOLES - GALETO NA BRASA - CONTA PAI")</f>
        <v>SANSOLES - GALETO NA BRASA - CONTA PAI</v>
      </c>
      <c r="L2550" s="32">
        <f>IFERROR(__xludf.DUMMYFUNCTION("""COMPUTED_VALUE"""),4.0)</f>
        <v>4</v>
      </c>
      <c r="M2550" s="4" t="str">
        <f>IFERROR(__xludf.DUMMYFUNCTION("""COMPUTED_VALUE"""),"Ncr")</f>
        <v>Ncr</v>
      </c>
      <c r="N2550" s="33">
        <f>IFERROR(__xludf.DUMMYFUNCTION("""COMPUTED_VALUE"""),1.0)</f>
        <v>1</v>
      </c>
      <c r="O2550" s="4" t="str">
        <f>IFERROR(__xludf.DUMMYFUNCTION("""COMPUTED_VALUE"""),"Ncr")</f>
        <v>Ncr</v>
      </c>
      <c r="P2550" s="33">
        <f>IFERROR(__xludf.DUMMYFUNCTION("""COMPUTED_VALUE"""),1.0)</f>
        <v>1</v>
      </c>
      <c r="Q2550" s="4" t="str">
        <f>IFERROR(__xludf.DUMMYFUNCTION("""COMPUTED_VALUE"""),"Ncr")</f>
        <v>Ncr</v>
      </c>
      <c r="R2550" s="33">
        <f>IFERROR(__xludf.DUMMYFUNCTION("""COMPUTED_VALUE"""),1.0)</f>
        <v>1</v>
      </c>
      <c r="S2550" s="4" t="str">
        <f>IFERROR(__xludf.DUMMYFUNCTION("""COMPUTED_VALUE"""),"Ncr")</f>
        <v>Ncr</v>
      </c>
      <c r="T2550" s="33">
        <f>IFERROR(__xludf.DUMMYFUNCTION("""COMPUTED_VALUE"""),1.0)</f>
        <v>1</v>
      </c>
      <c r="U2550" s="4" t="str">
        <f>IFERROR(__xludf.DUMMYFUNCTION("""COMPUTED_VALUE"""),"null")</f>
        <v>null</v>
      </c>
      <c r="V2550" s="33">
        <f>IFERROR(__xludf.DUMMYFUNCTION("""COMPUTED_VALUE"""),0.75)</f>
        <v>0.75</v>
      </c>
      <c r="W2550" s="4" t="str">
        <f>IFERROR(__xludf.DUMMYFUNCTION("""COMPUTED_VALUE"""),"null")</f>
        <v>null</v>
      </c>
      <c r="X2550" s="33">
        <f>IFERROR(__xludf.DUMMYFUNCTION("""COMPUTED_VALUE"""),1.0)</f>
        <v>1</v>
      </c>
    </row>
    <row r="2551">
      <c r="K2551" s="4" t="str">
        <f>IFERROR(__xludf.DUMMYFUNCTION("""COMPUTED_VALUE"""),"SANTA MARTA PIZZAS - CONTA MARCA")</f>
        <v>SANTA MARTA PIZZAS - CONTA MARCA</v>
      </c>
      <c r="L2551" s="32">
        <f>IFERROR(__xludf.DUMMYFUNCTION("""COMPUTED_VALUE"""),4.0)</f>
        <v>4</v>
      </c>
      <c r="M2551" s="4" t="str">
        <f>IFERROR(__xludf.DUMMYFUNCTION("""COMPUTED_VALUE"""),"Cardápio Web")</f>
        <v>Cardápio Web</v>
      </c>
      <c r="N2551" s="33">
        <f>IFERROR(__xludf.DUMMYFUNCTION("""COMPUTED_VALUE"""),0.5)</f>
        <v>0.5</v>
      </c>
      <c r="O2551" s="4" t="str">
        <f>IFERROR(__xludf.DUMMYFUNCTION("""COMPUTED_VALUE"""),"Cardápio Web")</f>
        <v>Cardápio Web</v>
      </c>
      <c r="P2551" s="33">
        <f>IFERROR(__xludf.DUMMYFUNCTION("""COMPUTED_VALUE"""),0.5)</f>
        <v>0.5</v>
      </c>
      <c r="Q2551" s="4" t="str">
        <f>IFERROR(__xludf.DUMMYFUNCTION("""COMPUTED_VALUE"""),"Cardápio Web")</f>
        <v>Cardápio Web</v>
      </c>
      <c r="R2551" s="33">
        <f>IFERROR(__xludf.DUMMYFUNCTION("""COMPUTED_VALUE"""),0.5)</f>
        <v>0.5</v>
      </c>
      <c r="S2551" s="4" t="str">
        <f>IFERROR(__xludf.DUMMYFUNCTION("""COMPUTED_VALUE"""),"Cardápio Web")</f>
        <v>Cardápio Web</v>
      </c>
      <c r="T2551" s="33">
        <f>IFERROR(__xludf.DUMMYFUNCTION("""COMPUTED_VALUE"""),0.5)</f>
        <v>0.5</v>
      </c>
      <c r="U2551" s="4" t="str">
        <f>IFERROR(__xludf.DUMMYFUNCTION("""COMPUTED_VALUE"""),"Cardápio Web")</f>
        <v>Cardápio Web</v>
      </c>
      <c r="V2551" s="33">
        <f>IFERROR(__xludf.DUMMYFUNCTION("""COMPUTED_VALUE"""),1.0)</f>
        <v>1</v>
      </c>
      <c r="W2551" s="4" t="str">
        <f>IFERROR(__xludf.DUMMYFUNCTION("""COMPUTED_VALUE"""),"Cardápio Web")</f>
        <v>Cardápio Web</v>
      </c>
      <c r="X2551" s="33">
        <f>IFERROR(__xludf.DUMMYFUNCTION("""COMPUTED_VALUE"""),1.0)</f>
        <v>1</v>
      </c>
    </row>
    <row r="2552">
      <c r="K2552" s="4" t="str">
        <f>IFERROR(__xludf.DUMMYFUNCTION("""COMPUTED_VALUE"""),"SANTE SAUDAVEL")</f>
        <v>SANTE SAUDAVEL</v>
      </c>
      <c r="L2552" s="32">
        <f>IFERROR(__xludf.DUMMYFUNCTION("""COMPUTED_VALUE"""),4.0)</f>
        <v>4</v>
      </c>
      <c r="M2552" s="4" t="str">
        <f>IFERROR(__xludf.DUMMYFUNCTION("""COMPUTED_VALUE"""),"Saipos Serviços De Software")</f>
        <v>Saipos Serviços De Software</v>
      </c>
      <c r="N2552" s="33">
        <f>IFERROR(__xludf.DUMMYFUNCTION("""COMPUTED_VALUE"""),1.0)</f>
        <v>1</v>
      </c>
      <c r="O2552" s="4" t="str">
        <f>IFERROR(__xludf.DUMMYFUNCTION("""COMPUTED_VALUE"""),"Saipos Serviços De Software")</f>
        <v>Saipos Serviços De Software</v>
      </c>
      <c r="P2552" s="33">
        <f>IFERROR(__xludf.DUMMYFUNCTION("""COMPUTED_VALUE"""),1.0)</f>
        <v>1</v>
      </c>
      <c r="Q2552" s="4" t="str">
        <f>IFERROR(__xludf.DUMMYFUNCTION("""COMPUTED_VALUE"""),"Saipos Serviços De Software")</f>
        <v>Saipos Serviços De Software</v>
      </c>
      <c r="R2552" s="33">
        <f>IFERROR(__xludf.DUMMYFUNCTION("""COMPUTED_VALUE"""),1.0)</f>
        <v>1</v>
      </c>
      <c r="S2552" s="4" t="str">
        <f>IFERROR(__xludf.DUMMYFUNCTION("""COMPUTED_VALUE"""),"Saipos Serviços De Software")</f>
        <v>Saipos Serviços De Software</v>
      </c>
      <c r="T2552" s="33">
        <f>IFERROR(__xludf.DUMMYFUNCTION("""COMPUTED_VALUE"""),1.0)</f>
        <v>1</v>
      </c>
      <c r="U2552" s="4" t="str">
        <f>IFERROR(__xludf.DUMMYFUNCTION("""COMPUTED_VALUE"""),"Saipos Serviços De Software")</f>
        <v>Saipos Serviços De Software</v>
      </c>
      <c r="V2552" s="33">
        <f>IFERROR(__xludf.DUMMYFUNCTION("""COMPUTED_VALUE"""),1.0)</f>
        <v>1</v>
      </c>
      <c r="W2552" s="4" t="str">
        <f>IFERROR(__xludf.DUMMYFUNCTION("""COMPUTED_VALUE"""),"Saipos Serviços De Software")</f>
        <v>Saipos Serviços De Software</v>
      </c>
      <c r="X2552" s="33">
        <f>IFERROR(__xludf.DUMMYFUNCTION("""COMPUTED_VALUE"""),1.0)</f>
        <v>1</v>
      </c>
    </row>
    <row r="2553">
      <c r="K2553" s="4" t="str">
        <f>IFERROR(__xludf.DUMMYFUNCTION("""COMPUTED_VALUE"""),"SANTO BURGER ITAJAI SC - CONTA MARCA")</f>
        <v>SANTO BURGER ITAJAI SC - CONTA MARCA</v>
      </c>
      <c r="L2553" s="32">
        <f>IFERROR(__xludf.DUMMYFUNCTION("""COMPUTED_VALUE"""),4.0)</f>
        <v>4</v>
      </c>
      <c r="M2553" s="4" t="str">
        <f>IFERROR(__xludf.DUMMYFUNCTION("""COMPUTED_VALUE"""),"Dev10 Soluções Em Sotfware Ltda")</f>
        <v>Dev10 Soluções Em Sotfware Ltda</v>
      </c>
      <c r="N2553" s="33">
        <f>IFERROR(__xludf.DUMMYFUNCTION("""COMPUTED_VALUE"""),1.0)</f>
        <v>1</v>
      </c>
      <c r="O2553" s="4" t="str">
        <f>IFERROR(__xludf.DUMMYFUNCTION("""COMPUTED_VALUE"""),"Dev10 Soluções Em Sotfware Ltda")</f>
        <v>Dev10 Soluções Em Sotfware Ltda</v>
      </c>
      <c r="P2553" s="33">
        <f>IFERROR(__xludf.DUMMYFUNCTION("""COMPUTED_VALUE"""),1.0)</f>
        <v>1</v>
      </c>
      <c r="Q2553" s="4" t="str">
        <f>IFERROR(__xludf.DUMMYFUNCTION("""COMPUTED_VALUE"""),"Dev10 Soluções Em Sotfware Ltda")</f>
        <v>Dev10 Soluções Em Sotfware Ltda</v>
      </c>
      <c r="R2553" s="33">
        <f>IFERROR(__xludf.DUMMYFUNCTION("""COMPUTED_VALUE"""),0.5)</f>
        <v>0.5</v>
      </c>
      <c r="S2553" s="4" t="str">
        <f>IFERROR(__xludf.DUMMYFUNCTION("""COMPUTED_VALUE"""),"Dev10 Soluções Em Sotfware Ltda")</f>
        <v>Dev10 Soluções Em Sotfware Ltda</v>
      </c>
      <c r="T2553" s="33">
        <f>IFERROR(__xludf.DUMMYFUNCTION("""COMPUTED_VALUE"""),0.5)</f>
        <v>0.5</v>
      </c>
      <c r="U2553" s="4" t="str">
        <f>IFERROR(__xludf.DUMMYFUNCTION("""COMPUTED_VALUE"""),"Dev10 Soluções Em Sotfware Ltda")</f>
        <v>Dev10 Soluções Em Sotfware Ltda</v>
      </c>
      <c r="V2553" s="33">
        <f>IFERROR(__xludf.DUMMYFUNCTION("""COMPUTED_VALUE"""),0.5)</f>
        <v>0.5</v>
      </c>
      <c r="W2553" s="4" t="str">
        <f>IFERROR(__xludf.DUMMYFUNCTION("""COMPUTED_VALUE"""),"Dev10 Soluções Em Sotfware Ltda")</f>
        <v>Dev10 Soluções Em Sotfware Ltda</v>
      </c>
      <c r="X2553" s="33">
        <f>IFERROR(__xludf.DUMMYFUNCTION("""COMPUTED_VALUE"""),0.5)</f>
        <v>0.5</v>
      </c>
    </row>
    <row r="2554">
      <c r="K2554" s="4" t="str">
        <f>IFERROR(__xludf.DUMMYFUNCTION("""COMPUTED_VALUE"""),"SANTO DISCO PIZZARIA - CONTA MARCA")</f>
        <v>SANTO DISCO PIZZARIA - CONTA MARCA</v>
      </c>
      <c r="L2554" s="32">
        <f>IFERROR(__xludf.DUMMYFUNCTION("""COMPUTED_VALUE"""),4.0)</f>
        <v>4</v>
      </c>
      <c r="M2554" s="4" t="str">
        <f>IFERROR(__xludf.DUMMYFUNCTION("""COMPUTED_VALUE"""),"Fs Soluções Em Tecnologia Ltda")</f>
        <v>Fs Soluções Em Tecnologia Ltda</v>
      </c>
      <c r="N2554" s="33">
        <f>IFERROR(__xludf.DUMMYFUNCTION("""COMPUTED_VALUE"""),1.0)</f>
        <v>1</v>
      </c>
      <c r="O2554" s="4" t="str">
        <f>IFERROR(__xludf.DUMMYFUNCTION("""COMPUTED_VALUE"""),"null")</f>
        <v>null</v>
      </c>
      <c r="P2554" s="33">
        <f>IFERROR(__xludf.DUMMYFUNCTION("""COMPUTED_VALUE"""),1.0)</f>
        <v>1</v>
      </c>
      <c r="Q2554" s="4" t="str">
        <f>IFERROR(__xludf.DUMMYFUNCTION("""COMPUTED_VALUE"""),"Fs Soluções Em Tecnologia Ltda")</f>
        <v>Fs Soluções Em Tecnologia Ltda</v>
      </c>
      <c r="R2554" s="33">
        <f>IFERROR(__xludf.DUMMYFUNCTION("""COMPUTED_VALUE"""),0.75)</f>
        <v>0.75</v>
      </c>
      <c r="S2554" s="4" t="str">
        <f>IFERROR(__xludf.DUMMYFUNCTION("""COMPUTED_VALUE"""),"null")</f>
        <v>null</v>
      </c>
      <c r="T2554" s="33">
        <f>IFERROR(__xludf.DUMMYFUNCTION("""COMPUTED_VALUE"""),0.5)</f>
        <v>0.5</v>
      </c>
      <c r="U2554" s="4" t="str">
        <f>IFERROR(__xludf.DUMMYFUNCTION("""COMPUTED_VALUE"""),"Fs Soluções Em Tecnologia Ltda")</f>
        <v>Fs Soluções Em Tecnologia Ltda</v>
      </c>
      <c r="V2554" s="33">
        <f>IFERROR(__xludf.DUMMYFUNCTION("""COMPUTED_VALUE"""),0.5)</f>
        <v>0.5</v>
      </c>
      <c r="W2554" s="4" t="str">
        <f>IFERROR(__xludf.DUMMYFUNCTION("""COMPUTED_VALUE"""),"null")</f>
        <v>null</v>
      </c>
      <c r="X2554" s="33">
        <f>IFERROR(__xludf.DUMMYFUNCTION("""COMPUTED_VALUE"""),0.75)</f>
        <v>0.75</v>
      </c>
    </row>
    <row r="2555">
      <c r="K2555" s="4" t="str">
        <f>IFERROR(__xludf.DUMMYFUNCTION("""COMPUTED_VALUE"""),"SANZE")</f>
        <v>SANZE</v>
      </c>
      <c r="L2555" s="32">
        <f>IFERROR(__xludf.DUMMYFUNCTION("""COMPUTED_VALUE"""),4.0)</f>
        <v>4</v>
      </c>
      <c r="M2555" s="4" t="str">
        <f>IFERROR(__xludf.DUMMYFUNCTION("""COMPUTED_VALUE"""),"Saipos Serviços De Software")</f>
        <v>Saipos Serviços De Software</v>
      </c>
      <c r="N2555" s="33">
        <f>IFERROR(__xludf.DUMMYFUNCTION("""COMPUTED_VALUE"""),1.0)</f>
        <v>1</v>
      </c>
      <c r="O2555" s="4" t="str">
        <f>IFERROR(__xludf.DUMMYFUNCTION("""COMPUTED_VALUE"""),"Saipos Serviços De Software")</f>
        <v>Saipos Serviços De Software</v>
      </c>
      <c r="P2555" s="33">
        <f>IFERROR(__xludf.DUMMYFUNCTION("""COMPUTED_VALUE"""),1.0)</f>
        <v>1</v>
      </c>
      <c r="Q2555" s="4" t="str">
        <f>IFERROR(__xludf.DUMMYFUNCTION("""COMPUTED_VALUE"""),"Saipos Serviços De Software")</f>
        <v>Saipos Serviços De Software</v>
      </c>
      <c r="R2555" s="33">
        <f>IFERROR(__xludf.DUMMYFUNCTION("""COMPUTED_VALUE"""),1.0)</f>
        <v>1</v>
      </c>
      <c r="S2555" s="4" t="str">
        <f>IFERROR(__xludf.DUMMYFUNCTION("""COMPUTED_VALUE"""),"null")</f>
        <v>null</v>
      </c>
      <c r="T2555" s="33">
        <f>IFERROR(__xludf.DUMMYFUNCTION("""COMPUTED_VALUE"""),1.0)</f>
        <v>1</v>
      </c>
      <c r="U2555" s="4" t="str">
        <f>IFERROR(__xludf.DUMMYFUNCTION("""COMPUTED_VALUE"""),"null")</f>
        <v>null</v>
      </c>
      <c r="V2555" s="33">
        <f>IFERROR(__xludf.DUMMYFUNCTION("""COMPUTED_VALUE"""),1.0)</f>
        <v>1</v>
      </c>
      <c r="W2555" s="4" t="str">
        <f>IFERROR(__xludf.DUMMYFUNCTION("""COMPUTED_VALUE"""),"null")</f>
        <v>null</v>
      </c>
      <c r="X2555" s="33">
        <f>IFERROR(__xludf.DUMMYFUNCTION("""COMPUTED_VALUE"""),1.0)</f>
        <v>1</v>
      </c>
    </row>
    <row r="2556">
      <c r="K2556" s="4" t="str">
        <f>IFERROR(__xludf.DUMMYFUNCTION("""COMPUTED_VALUE"""),"SAO JUDAS TADEU - CONTA MARCA")</f>
        <v>SAO JUDAS TADEU - CONTA MARCA</v>
      </c>
      <c r="L2556" s="32">
        <f>IFERROR(__xludf.DUMMYFUNCTION("""COMPUTED_VALUE"""),4.0)</f>
        <v>4</v>
      </c>
      <c r="M2556" s="4" t="str">
        <f>IFERROR(__xludf.DUMMYFUNCTION("""COMPUTED_VALUE"""),"N/A (Not found)")</f>
        <v>N/A (Not found)</v>
      </c>
      <c r="N2556" s="33">
        <f>IFERROR(__xludf.DUMMYFUNCTION("""COMPUTED_VALUE"""),1.0)</f>
        <v>1</v>
      </c>
      <c r="O2556" s="4" t="str">
        <f>IFERROR(__xludf.DUMMYFUNCTION("""COMPUTED_VALUE"""),"N/A (Not found)")</f>
        <v>N/A (Not found)</v>
      </c>
      <c r="P2556" s="33">
        <f>IFERROR(__xludf.DUMMYFUNCTION("""COMPUTED_VALUE"""),1.0)</f>
        <v>1</v>
      </c>
      <c r="Q2556" s="4" t="str">
        <f>IFERROR(__xludf.DUMMYFUNCTION("""COMPUTED_VALUE"""),"N/A (Not found)")</f>
        <v>N/A (Not found)</v>
      </c>
      <c r="R2556" s="33">
        <f>IFERROR(__xludf.DUMMYFUNCTION("""COMPUTED_VALUE"""),1.0)</f>
        <v>1</v>
      </c>
      <c r="S2556" s="4" t="str">
        <f>IFERROR(__xludf.DUMMYFUNCTION("""COMPUTED_VALUE"""),"N/A (Not found)")</f>
        <v>N/A (Not found)</v>
      </c>
      <c r="T2556" s="33">
        <f>IFERROR(__xludf.DUMMYFUNCTION("""COMPUTED_VALUE"""),1.0)</f>
        <v>1</v>
      </c>
      <c r="U2556" s="4" t="str">
        <f>IFERROR(__xludf.DUMMYFUNCTION("""COMPUTED_VALUE"""),"N/A (Not found)")</f>
        <v>N/A (Not found)</v>
      </c>
      <c r="V2556" s="33">
        <f>IFERROR(__xludf.DUMMYFUNCTION("""COMPUTED_VALUE"""),1.0)</f>
        <v>1</v>
      </c>
      <c r="W2556" s="4" t="str">
        <f>IFERROR(__xludf.DUMMYFUNCTION("""COMPUTED_VALUE"""),"N/A (Not found)")</f>
        <v>N/A (Not found)</v>
      </c>
      <c r="X2556" s="33">
        <f>IFERROR(__xludf.DUMMYFUNCTION("""COMPUTED_VALUE"""),1.0)</f>
        <v>1</v>
      </c>
    </row>
    <row r="2557">
      <c r="K2557" s="4" t="str">
        <f>IFERROR(__xludf.DUMMYFUNCTION("""COMPUTED_VALUE"""),"SARTONI CONTA PAI")</f>
        <v>SARTONI CONTA PAI</v>
      </c>
      <c r="L2557" s="32">
        <f>IFERROR(__xludf.DUMMYFUNCTION("""COMPUTED_VALUE"""),4.0)</f>
        <v>4</v>
      </c>
      <c r="M2557" s="4" t="str">
        <f>IFERROR(__xludf.DUMMYFUNCTION("""COMPUTED_VALUE"""),"Saipos Serviços De Software")</f>
        <v>Saipos Serviços De Software</v>
      </c>
      <c r="N2557" s="33">
        <f>IFERROR(__xludf.DUMMYFUNCTION("""COMPUTED_VALUE"""),1.0)</f>
        <v>1</v>
      </c>
      <c r="O2557" s="4" t="str">
        <f>IFERROR(__xludf.DUMMYFUNCTION("""COMPUTED_VALUE"""),"Saipos Serviços De Software")</f>
        <v>Saipos Serviços De Software</v>
      </c>
      <c r="P2557" s="33">
        <f>IFERROR(__xludf.DUMMYFUNCTION("""COMPUTED_VALUE"""),1.0)</f>
        <v>1</v>
      </c>
      <c r="Q2557" s="4" t="str">
        <f>IFERROR(__xludf.DUMMYFUNCTION("""COMPUTED_VALUE"""),"Saipos Serviços De Software")</f>
        <v>Saipos Serviços De Software</v>
      </c>
      <c r="R2557" s="33">
        <f>IFERROR(__xludf.DUMMYFUNCTION("""COMPUTED_VALUE"""),1.0)</f>
        <v>1</v>
      </c>
      <c r="S2557" s="4" t="str">
        <f>IFERROR(__xludf.DUMMYFUNCTION("""COMPUTED_VALUE"""),"Saipos Serviços De Software")</f>
        <v>Saipos Serviços De Software</v>
      </c>
      <c r="T2557" s="33">
        <f>IFERROR(__xludf.DUMMYFUNCTION("""COMPUTED_VALUE"""),1.0)</f>
        <v>1</v>
      </c>
      <c r="U2557" s="4" t="str">
        <f>IFERROR(__xludf.DUMMYFUNCTION("""COMPUTED_VALUE"""),"Saipos Serviços De Software")</f>
        <v>Saipos Serviços De Software</v>
      </c>
      <c r="V2557" s="33">
        <f>IFERROR(__xludf.DUMMYFUNCTION("""COMPUTED_VALUE"""),1.0)</f>
        <v>1</v>
      </c>
      <c r="W2557" s="4" t="str">
        <f>IFERROR(__xludf.DUMMYFUNCTION("""COMPUTED_VALUE"""),"Saipos Serviços De Software")</f>
        <v>Saipos Serviços De Software</v>
      </c>
      <c r="X2557" s="33">
        <f>IFERROR(__xludf.DUMMYFUNCTION("""COMPUTED_VALUE"""),1.0)</f>
        <v>1</v>
      </c>
    </row>
    <row r="2558">
      <c r="K2558" s="4" t="str">
        <f>IFERROR(__xludf.DUMMYFUNCTION("""COMPUTED_VALUE"""),"SAU CULINARIA SAUDAVEL")</f>
        <v>SAU CULINARIA SAUDAVEL</v>
      </c>
      <c r="L2558" s="32">
        <f>IFERROR(__xludf.DUMMYFUNCTION("""COMPUTED_VALUE"""),4.0)</f>
        <v>4</v>
      </c>
      <c r="M2558" s="4" t="str">
        <f>IFERROR(__xludf.DUMMYFUNCTION("""COMPUTED_VALUE"""),"Saipos Serviços De Software")</f>
        <v>Saipos Serviços De Software</v>
      </c>
      <c r="N2558" s="33">
        <f>IFERROR(__xludf.DUMMYFUNCTION("""COMPUTED_VALUE"""),1.0)</f>
        <v>1</v>
      </c>
      <c r="O2558" s="4" t="str">
        <f>IFERROR(__xludf.DUMMYFUNCTION("""COMPUTED_VALUE"""),"Saipos Serviços De Software")</f>
        <v>Saipos Serviços De Software</v>
      </c>
      <c r="P2558" s="33">
        <f>IFERROR(__xludf.DUMMYFUNCTION("""COMPUTED_VALUE"""),1.0)</f>
        <v>1</v>
      </c>
      <c r="Q2558" s="4" t="str">
        <f>IFERROR(__xludf.DUMMYFUNCTION("""COMPUTED_VALUE"""),"Saipos Serviços De Software")</f>
        <v>Saipos Serviços De Software</v>
      </c>
      <c r="R2558" s="33">
        <f>IFERROR(__xludf.DUMMYFUNCTION("""COMPUTED_VALUE"""),1.0)</f>
        <v>1</v>
      </c>
      <c r="S2558" s="4" t="str">
        <f>IFERROR(__xludf.DUMMYFUNCTION("""COMPUTED_VALUE"""),"Saipos Serviços De Software")</f>
        <v>Saipos Serviços De Software</v>
      </c>
      <c r="T2558" s="33">
        <f>IFERROR(__xludf.DUMMYFUNCTION("""COMPUTED_VALUE"""),1.0)</f>
        <v>1</v>
      </c>
      <c r="U2558" s="4" t="str">
        <f>IFERROR(__xludf.DUMMYFUNCTION("""COMPUTED_VALUE"""),"Saipos Serviços De Software")</f>
        <v>Saipos Serviços De Software</v>
      </c>
      <c r="V2558" s="33">
        <f>IFERROR(__xludf.DUMMYFUNCTION("""COMPUTED_VALUE"""),1.0)</f>
        <v>1</v>
      </c>
      <c r="W2558" s="4" t="str">
        <f>IFERROR(__xludf.DUMMYFUNCTION("""COMPUTED_VALUE"""),"Saipos Serviços De Software")</f>
        <v>Saipos Serviços De Software</v>
      </c>
      <c r="X2558" s="33">
        <f>IFERROR(__xludf.DUMMYFUNCTION("""COMPUTED_VALUE"""),1.0)</f>
        <v>1</v>
      </c>
    </row>
    <row r="2559">
      <c r="K2559" s="4" t="str">
        <f>IFERROR(__xludf.DUMMYFUNCTION("""COMPUTED_VALUE"""),"SEM FRESCURA BURGER")</f>
        <v>SEM FRESCURA BURGER</v>
      </c>
      <c r="L2559" s="32">
        <f>IFERROR(__xludf.DUMMYFUNCTION("""COMPUTED_VALUE"""),4.0)</f>
        <v>4</v>
      </c>
      <c r="M2559" s="4" t="str">
        <f>IFERROR(__xludf.DUMMYFUNCTION("""COMPUTED_VALUE"""),"null")</f>
        <v>null</v>
      </c>
      <c r="N2559" s="33">
        <f>IFERROR(__xludf.DUMMYFUNCTION("""COMPUTED_VALUE"""),0.5)</f>
        <v>0.5</v>
      </c>
      <c r="O2559" s="4" t="str">
        <f>IFERROR(__xludf.DUMMYFUNCTION("""COMPUTED_VALUE"""),"null")</f>
        <v>null</v>
      </c>
      <c r="P2559" s="33">
        <f>IFERROR(__xludf.DUMMYFUNCTION("""COMPUTED_VALUE"""),0.5)</f>
        <v>0.5</v>
      </c>
      <c r="Q2559" s="4" t="str">
        <f>IFERROR(__xludf.DUMMYFUNCTION("""COMPUTED_VALUE"""),"null")</f>
        <v>null</v>
      </c>
      <c r="R2559" s="33">
        <f>IFERROR(__xludf.DUMMYFUNCTION("""COMPUTED_VALUE"""),0.5)</f>
        <v>0.5</v>
      </c>
      <c r="S2559" s="4" t="str">
        <f>IFERROR(__xludf.DUMMYFUNCTION("""COMPUTED_VALUE"""),"null")</f>
        <v>null</v>
      </c>
      <c r="T2559" s="33">
        <f>IFERROR(__xludf.DUMMYFUNCTION("""COMPUTED_VALUE"""),0.5)</f>
        <v>0.5</v>
      </c>
      <c r="U2559" s="4" t="str">
        <f>IFERROR(__xludf.DUMMYFUNCTION("""COMPUTED_VALUE"""),"Negocios Ponto Com Servicos Logisticos Personalizados Ltda")</f>
        <v>Negocios Ponto Com Servicos Logisticos Personalizados Ltda</v>
      </c>
      <c r="V2559" s="33">
        <f>IFERROR(__xludf.DUMMYFUNCTION("""COMPUTED_VALUE"""),0.25)</f>
        <v>0.25</v>
      </c>
      <c r="W2559" s="4" t="str">
        <f>IFERROR(__xludf.DUMMYFUNCTION("""COMPUTED_VALUE"""),"Negocios Ponto Com Servicos Logisticos Personalizados Ltda")</f>
        <v>Negocios Ponto Com Servicos Logisticos Personalizados Ltda</v>
      </c>
      <c r="X2559" s="33">
        <f>IFERROR(__xludf.DUMMYFUNCTION("""COMPUTED_VALUE"""),0.25)</f>
        <v>0.25</v>
      </c>
    </row>
    <row r="2560">
      <c r="K2560" s="4" t="str">
        <f>IFERROR(__xludf.DUMMYFUNCTION("""COMPUTED_VALUE"""),"SHAWARMANIA CULINARIA ARABE")</f>
        <v>SHAWARMANIA CULINARIA ARABE</v>
      </c>
      <c r="L2560" s="32">
        <f>IFERROR(__xludf.DUMMYFUNCTION("""COMPUTED_VALUE"""),4.0)</f>
        <v>4</v>
      </c>
      <c r="M2560" s="4" t="str">
        <f>IFERROR(__xludf.DUMMYFUNCTION("""COMPUTED_VALUE"""),"Marchiore It")</f>
        <v>Marchiore It</v>
      </c>
      <c r="N2560" s="33">
        <f>IFERROR(__xludf.DUMMYFUNCTION("""COMPUTED_VALUE"""),0.75)</f>
        <v>0.75</v>
      </c>
      <c r="O2560" s="4" t="str">
        <f>IFERROR(__xludf.DUMMYFUNCTION("""COMPUTED_VALUE"""),"Marchiore It")</f>
        <v>Marchiore It</v>
      </c>
      <c r="P2560" s="33">
        <f>IFERROR(__xludf.DUMMYFUNCTION("""COMPUTED_VALUE"""),0.75)</f>
        <v>0.75</v>
      </c>
      <c r="Q2560" s="4" t="str">
        <f>IFERROR(__xludf.DUMMYFUNCTION("""COMPUTED_VALUE"""),"Marchiore It")</f>
        <v>Marchiore It</v>
      </c>
      <c r="R2560" s="33">
        <f>IFERROR(__xludf.DUMMYFUNCTION("""COMPUTED_VALUE"""),1.0)</f>
        <v>1</v>
      </c>
      <c r="S2560" s="4" t="str">
        <f>IFERROR(__xludf.DUMMYFUNCTION("""COMPUTED_VALUE"""),"Marchiore It")</f>
        <v>Marchiore It</v>
      </c>
      <c r="T2560" s="33">
        <f>IFERROR(__xludf.DUMMYFUNCTION("""COMPUTED_VALUE"""),1.0)</f>
        <v>1</v>
      </c>
      <c r="U2560" s="4" t="str">
        <f>IFERROR(__xludf.DUMMYFUNCTION("""COMPUTED_VALUE"""),"Marchiore It")</f>
        <v>Marchiore It</v>
      </c>
      <c r="V2560" s="33">
        <f>IFERROR(__xludf.DUMMYFUNCTION("""COMPUTED_VALUE"""),1.0)</f>
        <v>1</v>
      </c>
      <c r="W2560" s="4" t="str">
        <f>IFERROR(__xludf.DUMMYFUNCTION("""COMPUTED_VALUE"""),"Marchiore It")</f>
        <v>Marchiore It</v>
      </c>
      <c r="X2560" s="33">
        <f>IFERROR(__xludf.DUMMYFUNCTION("""COMPUTED_VALUE"""),1.0)</f>
        <v>1</v>
      </c>
    </row>
    <row r="2561">
      <c r="K2561" s="4" t="str">
        <f>IFERROR(__xludf.DUMMYFUNCTION("""COMPUTED_VALUE"""),"SHEIK JA")</f>
        <v>SHEIK JA</v>
      </c>
      <c r="L2561" s="32">
        <f>IFERROR(__xludf.DUMMYFUNCTION("""COMPUTED_VALUE"""),4.0)</f>
        <v>4</v>
      </c>
      <c r="M2561" s="4" t="str">
        <f>IFERROR(__xludf.DUMMYFUNCTION("""COMPUTED_VALUE"""),"Saipos Serviços De Software")</f>
        <v>Saipos Serviços De Software</v>
      </c>
      <c r="N2561" s="33">
        <f>IFERROR(__xludf.DUMMYFUNCTION("""COMPUTED_VALUE"""),1.0)</f>
        <v>1</v>
      </c>
      <c r="O2561" s="4" t="str">
        <f>IFERROR(__xludf.DUMMYFUNCTION("""COMPUTED_VALUE"""),"Saipos Serviços De Software")</f>
        <v>Saipos Serviços De Software</v>
      </c>
      <c r="P2561" s="33">
        <f>IFERROR(__xludf.DUMMYFUNCTION("""COMPUTED_VALUE"""),1.0)</f>
        <v>1</v>
      </c>
      <c r="Q2561" s="4" t="str">
        <f>IFERROR(__xludf.DUMMYFUNCTION("""COMPUTED_VALUE"""),"Saipos Serviços De Software")</f>
        <v>Saipos Serviços De Software</v>
      </c>
      <c r="R2561" s="33">
        <f>IFERROR(__xludf.DUMMYFUNCTION("""COMPUTED_VALUE"""),1.0)</f>
        <v>1</v>
      </c>
      <c r="S2561" s="4" t="str">
        <f>IFERROR(__xludf.DUMMYFUNCTION("""COMPUTED_VALUE"""),"Saipos Serviços De Software")</f>
        <v>Saipos Serviços De Software</v>
      </c>
      <c r="T2561" s="33">
        <f>IFERROR(__xludf.DUMMYFUNCTION("""COMPUTED_VALUE"""),0.75)</f>
        <v>0.75</v>
      </c>
      <c r="U2561" s="4" t="str">
        <f>IFERROR(__xludf.DUMMYFUNCTION("""COMPUTED_VALUE"""),"Saipos Serviços De Software")</f>
        <v>Saipos Serviços De Software</v>
      </c>
      <c r="V2561" s="33">
        <f>IFERROR(__xludf.DUMMYFUNCTION("""COMPUTED_VALUE"""),0.75)</f>
        <v>0.75</v>
      </c>
      <c r="W2561" s="4" t="str">
        <f>IFERROR(__xludf.DUMMYFUNCTION("""COMPUTED_VALUE"""),"Saipos Serviços De Software")</f>
        <v>Saipos Serviços De Software</v>
      </c>
      <c r="X2561" s="33">
        <f>IFERROR(__xludf.DUMMYFUNCTION("""COMPUTED_VALUE"""),0.75)</f>
        <v>0.75</v>
      </c>
    </row>
    <row r="2562">
      <c r="K2562" s="4" t="str">
        <f>IFERROR(__xludf.DUMMYFUNCTION("""COMPUTED_VALUE"""),"SHOYO SUSHI - AM")</f>
        <v>SHOYO SUSHI - AM</v>
      </c>
      <c r="L2562" s="32">
        <f>IFERROR(__xludf.DUMMYFUNCTION("""COMPUTED_VALUE"""),4.0)</f>
        <v>4</v>
      </c>
      <c r="M2562" s="4" t="str">
        <f>IFERROR(__xludf.DUMMYFUNCTION("""COMPUTED_VALUE"""),"Saipos Serviços De Software")</f>
        <v>Saipos Serviços De Software</v>
      </c>
      <c r="N2562" s="33">
        <f>IFERROR(__xludf.DUMMYFUNCTION("""COMPUTED_VALUE"""),1.0)</f>
        <v>1</v>
      </c>
      <c r="O2562" s="4" t="str">
        <f>IFERROR(__xludf.DUMMYFUNCTION("""COMPUTED_VALUE"""),"Saipos Serviços De Software")</f>
        <v>Saipos Serviços De Software</v>
      </c>
      <c r="P2562" s="33">
        <f>IFERROR(__xludf.DUMMYFUNCTION("""COMPUTED_VALUE"""),1.0)</f>
        <v>1</v>
      </c>
      <c r="Q2562" s="4" t="str">
        <f>IFERROR(__xludf.DUMMYFUNCTION("""COMPUTED_VALUE"""),"Saipos Serviços De Software")</f>
        <v>Saipos Serviços De Software</v>
      </c>
      <c r="R2562" s="33">
        <f>IFERROR(__xludf.DUMMYFUNCTION("""COMPUTED_VALUE"""),1.0)</f>
        <v>1</v>
      </c>
      <c r="S2562" s="4" t="str">
        <f>IFERROR(__xludf.DUMMYFUNCTION("""COMPUTED_VALUE"""),"null")</f>
        <v>null</v>
      </c>
      <c r="T2562" s="33">
        <f>IFERROR(__xludf.DUMMYFUNCTION("""COMPUTED_VALUE"""),0.75)</f>
        <v>0.75</v>
      </c>
      <c r="U2562" s="4" t="str">
        <f>IFERROR(__xludf.DUMMYFUNCTION("""COMPUTED_VALUE"""),"null")</f>
        <v>null</v>
      </c>
      <c r="V2562" s="33">
        <f>IFERROR(__xludf.DUMMYFUNCTION("""COMPUTED_VALUE"""),1.0)</f>
        <v>1</v>
      </c>
      <c r="W2562" s="4" t="str">
        <f>IFERROR(__xludf.DUMMYFUNCTION("""COMPUTED_VALUE"""),"null")</f>
        <v>null</v>
      </c>
      <c r="X2562" s="33">
        <f>IFERROR(__xludf.DUMMYFUNCTION("""COMPUTED_VALUE"""),1.0)</f>
        <v>1</v>
      </c>
    </row>
    <row r="2563">
      <c r="K2563" s="4" t="str">
        <f>IFERROR(__xludf.DUMMYFUNCTION("""COMPUTED_VALUE"""),"SOHO")</f>
        <v>SOHO</v>
      </c>
      <c r="L2563" s="32">
        <f>IFERROR(__xludf.DUMMYFUNCTION("""COMPUTED_VALUE"""),4.0)</f>
        <v>4</v>
      </c>
      <c r="M2563" s="4" t="str">
        <f>IFERROR(__xludf.DUMMYFUNCTION("""COMPUTED_VALUE"""),"Ncr")</f>
        <v>Ncr</v>
      </c>
      <c r="N2563" s="33">
        <f>IFERROR(__xludf.DUMMYFUNCTION("""COMPUTED_VALUE"""),0.75)</f>
        <v>0.75</v>
      </c>
      <c r="O2563" s="4" t="str">
        <f>IFERROR(__xludf.DUMMYFUNCTION("""COMPUTED_VALUE"""),"Ncr")</f>
        <v>Ncr</v>
      </c>
      <c r="P2563" s="33">
        <f>IFERROR(__xludf.DUMMYFUNCTION("""COMPUTED_VALUE"""),0.75)</f>
        <v>0.75</v>
      </c>
      <c r="Q2563" s="4" t="str">
        <f>IFERROR(__xludf.DUMMYFUNCTION("""COMPUTED_VALUE"""),"Ncr")</f>
        <v>Ncr</v>
      </c>
      <c r="R2563" s="33">
        <f>IFERROR(__xludf.DUMMYFUNCTION("""COMPUTED_VALUE"""),0.75)</f>
        <v>0.75</v>
      </c>
      <c r="S2563" s="4" t="str">
        <f>IFERROR(__xludf.DUMMYFUNCTION("""COMPUTED_VALUE"""),"Ncr")</f>
        <v>Ncr</v>
      </c>
      <c r="T2563" s="33">
        <f>IFERROR(__xludf.DUMMYFUNCTION("""COMPUTED_VALUE"""),0.75)</f>
        <v>0.75</v>
      </c>
      <c r="U2563" s="4" t="str">
        <f>IFERROR(__xludf.DUMMYFUNCTION("""COMPUTED_VALUE"""),"Ncr")</f>
        <v>Ncr</v>
      </c>
      <c r="V2563" s="33">
        <f>IFERROR(__xludf.DUMMYFUNCTION("""COMPUTED_VALUE"""),0.75)</f>
        <v>0.75</v>
      </c>
      <c r="W2563" s="4" t="str">
        <f>IFERROR(__xludf.DUMMYFUNCTION("""COMPUTED_VALUE"""),"Ncr")</f>
        <v>Ncr</v>
      </c>
      <c r="X2563" s="33">
        <f>IFERROR(__xludf.DUMMYFUNCTION("""COMPUTED_VALUE"""),0.75)</f>
        <v>0.75</v>
      </c>
    </row>
    <row r="2564">
      <c r="K2564" s="4" t="str">
        <f>IFERROR(__xludf.DUMMYFUNCTION("""COMPUTED_VALUE"""),"SOUL FRESH - SC")</f>
        <v>SOUL FRESH - SC</v>
      </c>
      <c r="L2564" s="32">
        <f>IFERROR(__xludf.DUMMYFUNCTION("""COMPUTED_VALUE"""),4.0)</f>
        <v>4</v>
      </c>
      <c r="M2564" s="4" t="str">
        <f>IFERROR(__xludf.DUMMYFUNCTION("""COMPUTED_VALUE"""),"Saipos Serviços De Software")</f>
        <v>Saipos Serviços De Software</v>
      </c>
      <c r="N2564" s="33">
        <f>IFERROR(__xludf.DUMMYFUNCTION("""COMPUTED_VALUE"""),1.0)</f>
        <v>1</v>
      </c>
      <c r="O2564" s="4" t="str">
        <f>IFERROR(__xludf.DUMMYFUNCTION("""COMPUTED_VALUE"""),"Saipos Serviços De Software")</f>
        <v>Saipos Serviços De Software</v>
      </c>
      <c r="P2564" s="33">
        <f>IFERROR(__xludf.DUMMYFUNCTION("""COMPUTED_VALUE"""),1.0)</f>
        <v>1</v>
      </c>
      <c r="Q2564" s="4" t="str">
        <f>IFERROR(__xludf.DUMMYFUNCTION("""COMPUTED_VALUE"""),"Saipos Serviços De Software")</f>
        <v>Saipos Serviços De Software</v>
      </c>
      <c r="R2564" s="33">
        <f>IFERROR(__xludf.DUMMYFUNCTION("""COMPUTED_VALUE"""),1.0)</f>
        <v>1</v>
      </c>
      <c r="S2564" s="4" t="str">
        <f>IFERROR(__xludf.DUMMYFUNCTION("""COMPUTED_VALUE"""),"Saipos Serviços De Software")</f>
        <v>Saipos Serviços De Software</v>
      </c>
      <c r="T2564" s="33">
        <f>IFERROR(__xludf.DUMMYFUNCTION("""COMPUTED_VALUE"""),1.0)</f>
        <v>1</v>
      </c>
      <c r="U2564" s="4" t="str">
        <f>IFERROR(__xludf.DUMMYFUNCTION("""COMPUTED_VALUE"""),"Saipos Serviços De Software")</f>
        <v>Saipos Serviços De Software</v>
      </c>
      <c r="V2564" s="33">
        <f>IFERROR(__xludf.DUMMYFUNCTION("""COMPUTED_VALUE"""),1.0)</f>
        <v>1</v>
      </c>
      <c r="W2564" s="4" t="str">
        <f>IFERROR(__xludf.DUMMYFUNCTION("""COMPUTED_VALUE"""),"Saipos Serviços De Software")</f>
        <v>Saipos Serviços De Software</v>
      </c>
      <c r="X2564" s="33">
        <f>IFERROR(__xludf.DUMMYFUNCTION("""COMPUTED_VALUE"""),1.0)</f>
        <v>1</v>
      </c>
    </row>
    <row r="2565">
      <c r="K2565" s="4" t="str">
        <f>IFERROR(__xludf.DUMMYFUNCTION("""COMPUTED_VALUE"""),"SPECK HAUS")</f>
        <v>SPECK HAUS</v>
      </c>
      <c r="L2565" s="32">
        <f>IFERROR(__xludf.DUMMYFUNCTION("""COMPUTED_VALUE"""),4.0)</f>
        <v>4</v>
      </c>
      <c r="M2565" s="4" t="str">
        <f>IFERROR(__xludf.DUMMYFUNCTION("""COMPUTED_VALUE"""),"null")</f>
        <v>null</v>
      </c>
      <c r="N2565" s="33">
        <f>IFERROR(__xludf.DUMMYFUNCTION("""COMPUTED_VALUE"""),0.5)</f>
        <v>0.5</v>
      </c>
      <c r="O2565" s="4" t="str">
        <f>IFERROR(__xludf.DUMMYFUNCTION("""COMPUTED_VALUE"""),"null")</f>
        <v>null</v>
      </c>
      <c r="P2565" s="33">
        <f>IFERROR(__xludf.DUMMYFUNCTION("""COMPUTED_VALUE"""),0.75)</f>
        <v>0.75</v>
      </c>
      <c r="Q2565" s="4" t="str">
        <f>IFERROR(__xludf.DUMMYFUNCTION("""COMPUTED_VALUE"""),"null")</f>
        <v>null</v>
      </c>
      <c r="R2565" s="33">
        <f>IFERROR(__xludf.DUMMYFUNCTION("""COMPUTED_VALUE"""),0.5)</f>
        <v>0.5</v>
      </c>
      <c r="S2565" s="4" t="str">
        <f>IFERROR(__xludf.DUMMYFUNCTION("""COMPUTED_VALUE"""),"null")</f>
        <v>null</v>
      </c>
      <c r="T2565" s="33">
        <f>IFERROR(__xludf.DUMMYFUNCTION("""COMPUTED_VALUE"""),0.5)</f>
        <v>0.5</v>
      </c>
      <c r="U2565" s="4" t="str">
        <f>IFERROR(__xludf.DUMMYFUNCTION("""COMPUTED_VALUE"""),"null")</f>
        <v>null</v>
      </c>
      <c r="V2565" s="33">
        <f>IFERROR(__xludf.DUMMYFUNCTION("""COMPUTED_VALUE"""),0.5)</f>
        <v>0.5</v>
      </c>
      <c r="W2565" s="4" t="str">
        <f>IFERROR(__xludf.DUMMYFUNCTION("""COMPUTED_VALUE"""),"Saipos Serviços De Software")</f>
        <v>Saipos Serviços De Software</v>
      </c>
      <c r="X2565" s="33">
        <f>IFERROR(__xludf.DUMMYFUNCTION("""COMPUTED_VALUE"""),0.75)</f>
        <v>0.75</v>
      </c>
    </row>
    <row r="2566">
      <c r="K2566" s="4" t="str">
        <f>IFERROR(__xludf.DUMMYFUNCTION("""COMPUTED_VALUE"""),"SPECK HAUS M")</f>
        <v>SPECK HAUS M</v>
      </c>
      <c r="L2566" s="32">
        <f>IFERROR(__xludf.DUMMYFUNCTION("""COMPUTED_VALUE"""),4.0)</f>
        <v>4</v>
      </c>
      <c r="M2566" s="4" t="str">
        <f>IFERROR(__xludf.DUMMYFUNCTION("""COMPUTED_VALUE"""),"null")</f>
        <v>null</v>
      </c>
      <c r="N2566" s="33">
        <f>IFERROR(__xludf.DUMMYFUNCTION("""COMPUTED_VALUE"""),0.5)</f>
        <v>0.5</v>
      </c>
      <c r="O2566" s="4" t="str">
        <f>IFERROR(__xludf.DUMMYFUNCTION("""COMPUTED_VALUE"""),"null")</f>
        <v>null</v>
      </c>
      <c r="P2566" s="33">
        <f>IFERROR(__xludf.DUMMYFUNCTION("""COMPUTED_VALUE"""),0.75)</f>
        <v>0.75</v>
      </c>
      <c r="Q2566" s="4" t="str">
        <f>IFERROR(__xludf.DUMMYFUNCTION("""COMPUTED_VALUE"""),"null")</f>
        <v>null</v>
      </c>
      <c r="R2566" s="33">
        <f>IFERROR(__xludf.DUMMYFUNCTION("""COMPUTED_VALUE"""),0.5)</f>
        <v>0.5</v>
      </c>
      <c r="S2566" s="4" t="str">
        <f>IFERROR(__xludf.DUMMYFUNCTION("""COMPUTED_VALUE"""),"null")</f>
        <v>null</v>
      </c>
      <c r="T2566" s="33">
        <f>IFERROR(__xludf.DUMMYFUNCTION("""COMPUTED_VALUE"""),0.5)</f>
        <v>0.5</v>
      </c>
      <c r="U2566" s="4" t="str">
        <f>IFERROR(__xludf.DUMMYFUNCTION("""COMPUTED_VALUE"""),"null")</f>
        <v>null</v>
      </c>
      <c r="V2566" s="33">
        <f>IFERROR(__xludf.DUMMYFUNCTION("""COMPUTED_VALUE"""),0.5)</f>
        <v>0.5</v>
      </c>
      <c r="W2566" s="4" t="str">
        <f>IFERROR(__xludf.DUMMYFUNCTION("""COMPUTED_VALUE"""),"Saipos Serviços De Software")</f>
        <v>Saipos Serviços De Software</v>
      </c>
      <c r="X2566" s="33">
        <f>IFERROR(__xludf.DUMMYFUNCTION("""COMPUTED_VALUE"""),0.75)</f>
        <v>0.75</v>
      </c>
    </row>
    <row r="2567">
      <c r="K2567" s="4" t="str">
        <f>IFERROR(__xludf.DUMMYFUNCTION("""COMPUTED_VALUE"""),"SPRINGLAND")</f>
        <v>SPRINGLAND</v>
      </c>
      <c r="L2567" s="32">
        <f>IFERROR(__xludf.DUMMYFUNCTION("""COMPUTED_VALUE"""),4.0)</f>
        <v>4</v>
      </c>
      <c r="M2567" s="4" t="str">
        <f>IFERROR(__xludf.DUMMYFUNCTION("""COMPUTED_VALUE"""),"Parseint Desenvolvimento De Sistemas Ltda")</f>
        <v>Parseint Desenvolvimento De Sistemas Ltda</v>
      </c>
      <c r="N2567" s="33">
        <f>IFERROR(__xludf.DUMMYFUNCTION("""COMPUTED_VALUE"""),0.75)</f>
        <v>0.75</v>
      </c>
      <c r="O2567" s="4" t="str">
        <f>IFERROR(__xludf.DUMMYFUNCTION("""COMPUTED_VALUE"""),"Parseint Desenvolvimento De Sistemas Ltda")</f>
        <v>Parseint Desenvolvimento De Sistemas Ltda</v>
      </c>
      <c r="P2567" s="33">
        <f>IFERROR(__xludf.DUMMYFUNCTION("""COMPUTED_VALUE"""),0.75)</f>
        <v>0.75</v>
      </c>
      <c r="Q2567" s="4" t="str">
        <f>IFERROR(__xludf.DUMMYFUNCTION("""COMPUTED_VALUE"""),"Parseint Desenvolvimento De Sistemas Ltda")</f>
        <v>Parseint Desenvolvimento De Sistemas Ltda</v>
      </c>
      <c r="R2567" s="33">
        <f>IFERROR(__xludf.DUMMYFUNCTION("""COMPUTED_VALUE"""),0.75)</f>
        <v>0.75</v>
      </c>
      <c r="S2567" s="4" t="str">
        <f>IFERROR(__xludf.DUMMYFUNCTION("""COMPUTED_VALUE"""),"Parseint Desenvolvimento De Sistemas Ltda")</f>
        <v>Parseint Desenvolvimento De Sistemas Ltda</v>
      </c>
      <c r="T2567" s="33">
        <f>IFERROR(__xludf.DUMMYFUNCTION("""COMPUTED_VALUE"""),0.75)</f>
        <v>0.75</v>
      </c>
      <c r="U2567" s="4" t="str">
        <f>IFERROR(__xludf.DUMMYFUNCTION("""COMPUTED_VALUE"""),"Parseint Desenvolvimento De Sistemas Ltda")</f>
        <v>Parseint Desenvolvimento De Sistemas Ltda</v>
      </c>
      <c r="V2567" s="33">
        <f>IFERROR(__xludf.DUMMYFUNCTION("""COMPUTED_VALUE"""),0.75)</f>
        <v>0.75</v>
      </c>
      <c r="W2567" s="4" t="str">
        <f>IFERROR(__xludf.DUMMYFUNCTION("""COMPUTED_VALUE"""),"Parseint Desenvolvimento De Sistemas Ltda")</f>
        <v>Parseint Desenvolvimento De Sistemas Ltda</v>
      </c>
      <c r="X2567" s="33">
        <f>IFERROR(__xludf.DUMMYFUNCTION("""COMPUTED_VALUE"""),0.75)</f>
        <v>0.75</v>
      </c>
    </row>
    <row r="2568">
      <c r="K2568" s="4" t="str">
        <f>IFERROR(__xludf.DUMMYFUNCTION("""COMPUTED_VALUE"""),"STEAK HAUSE HAMBURGUERIA")</f>
        <v>STEAK HAUSE HAMBURGUERIA</v>
      </c>
      <c r="L2568" s="32">
        <f>IFERROR(__xludf.DUMMYFUNCTION("""COMPUTED_VALUE"""),4.0)</f>
        <v>4</v>
      </c>
      <c r="M2568" s="4" t="str">
        <f>IFERROR(__xludf.DUMMYFUNCTION("""COMPUTED_VALUE"""),"Saipos Serviços De Software")</f>
        <v>Saipos Serviços De Software</v>
      </c>
      <c r="N2568" s="33">
        <f>IFERROR(__xludf.DUMMYFUNCTION("""COMPUTED_VALUE"""),1.0)</f>
        <v>1</v>
      </c>
      <c r="O2568" s="4" t="str">
        <f>IFERROR(__xludf.DUMMYFUNCTION("""COMPUTED_VALUE"""),"Saipos Serviços De Software")</f>
        <v>Saipos Serviços De Software</v>
      </c>
      <c r="P2568" s="33">
        <f>IFERROR(__xludf.DUMMYFUNCTION("""COMPUTED_VALUE"""),1.0)</f>
        <v>1</v>
      </c>
      <c r="Q2568" s="4" t="str">
        <f>IFERROR(__xludf.DUMMYFUNCTION("""COMPUTED_VALUE"""),"Saipos Serviços De Software")</f>
        <v>Saipos Serviços De Software</v>
      </c>
      <c r="R2568" s="33">
        <f>IFERROR(__xludf.DUMMYFUNCTION("""COMPUTED_VALUE"""),1.0)</f>
        <v>1</v>
      </c>
      <c r="S2568" s="4" t="str">
        <f>IFERROR(__xludf.DUMMYFUNCTION("""COMPUTED_VALUE"""),"Saipos Serviços De Software")</f>
        <v>Saipos Serviços De Software</v>
      </c>
      <c r="T2568" s="33">
        <f>IFERROR(__xludf.DUMMYFUNCTION("""COMPUTED_VALUE"""),1.0)</f>
        <v>1</v>
      </c>
      <c r="U2568" s="4" t="str">
        <f>IFERROR(__xludf.DUMMYFUNCTION("""COMPUTED_VALUE"""),"Saipos Serviços De Software")</f>
        <v>Saipos Serviços De Software</v>
      </c>
      <c r="V2568" s="33">
        <f>IFERROR(__xludf.DUMMYFUNCTION("""COMPUTED_VALUE"""),1.0)</f>
        <v>1</v>
      </c>
      <c r="W2568" s="4" t="str">
        <f>IFERROR(__xludf.DUMMYFUNCTION("""COMPUTED_VALUE"""),"null")</f>
        <v>null</v>
      </c>
      <c r="X2568" s="33">
        <f>IFERROR(__xludf.DUMMYFUNCTION("""COMPUTED_VALUE"""),1.0)</f>
        <v>1</v>
      </c>
    </row>
    <row r="2569">
      <c r="K2569" s="4" t="str">
        <f>IFERROR(__xludf.DUMMYFUNCTION("""COMPUTED_VALUE"""),"STUNT BURGUER")</f>
        <v>STUNT BURGUER</v>
      </c>
      <c r="L2569" s="32">
        <f>IFERROR(__xludf.DUMMYFUNCTION("""COMPUTED_VALUE"""),4.0)</f>
        <v>4</v>
      </c>
      <c r="M2569" s="4" t="str">
        <f>IFERROR(__xludf.DUMMYFUNCTION("""COMPUTED_VALUE"""),"Eclética Tecnologia")</f>
        <v>Eclética Tecnologia</v>
      </c>
      <c r="N2569" s="33">
        <f>IFERROR(__xludf.DUMMYFUNCTION("""COMPUTED_VALUE"""),1.0)</f>
        <v>1</v>
      </c>
      <c r="O2569" s="4" t="str">
        <f>IFERROR(__xludf.DUMMYFUNCTION("""COMPUTED_VALUE"""),"Eclética Tecnologia")</f>
        <v>Eclética Tecnologia</v>
      </c>
      <c r="P2569" s="33">
        <f>IFERROR(__xludf.DUMMYFUNCTION("""COMPUTED_VALUE"""),1.0)</f>
        <v>1</v>
      </c>
      <c r="Q2569" s="4" t="str">
        <f>IFERROR(__xludf.DUMMYFUNCTION("""COMPUTED_VALUE"""),"Eclética Tecnologia")</f>
        <v>Eclética Tecnologia</v>
      </c>
      <c r="R2569" s="33">
        <f>IFERROR(__xludf.DUMMYFUNCTION("""COMPUTED_VALUE"""),0.75)</f>
        <v>0.75</v>
      </c>
      <c r="S2569" s="4" t="str">
        <f>IFERROR(__xludf.DUMMYFUNCTION("""COMPUTED_VALUE"""),"Eclética Tecnologia")</f>
        <v>Eclética Tecnologia</v>
      </c>
      <c r="T2569" s="33">
        <f>IFERROR(__xludf.DUMMYFUNCTION("""COMPUTED_VALUE"""),1.0)</f>
        <v>1</v>
      </c>
      <c r="U2569" s="4" t="str">
        <f>IFERROR(__xludf.DUMMYFUNCTION("""COMPUTED_VALUE"""),"Eclética Tecnologia")</f>
        <v>Eclética Tecnologia</v>
      </c>
      <c r="V2569" s="33">
        <f>IFERROR(__xludf.DUMMYFUNCTION("""COMPUTED_VALUE"""),1.0)</f>
        <v>1</v>
      </c>
      <c r="W2569" s="4" t="str">
        <f>IFERROR(__xludf.DUMMYFUNCTION("""COMPUTED_VALUE"""),"Eclética Tecnologia")</f>
        <v>Eclética Tecnologia</v>
      </c>
      <c r="X2569" s="33">
        <f>IFERROR(__xludf.DUMMYFUNCTION("""COMPUTED_VALUE"""),1.0)</f>
        <v>1</v>
      </c>
    </row>
    <row r="2570">
      <c r="K2570" s="4" t="str">
        <f>IFERROR(__xludf.DUMMYFUNCTION("""COMPUTED_VALUE"""),"SUCCOSA PIZZERIA")</f>
        <v>SUCCOSA PIZZERIA</v>
      </c>
      <c r="L2570" s="32">
        <f>IFERROR(__xludf.DUMMYFUNCTION("""COMPUTED_VALUE"""),4.0)</f>
        <v>4</v>
      </c>
      <c r="M2570" s="4" t="str">
        <f>IFERROR(__xludf.DUMMYFUNCTION("""COMPUTED_VALUE"""),"Saipos Serviços De Software")</f>
        <v>Saipos Serviços De Software</v>
      </c>
      <c r="N2570" s="33">
        <f>IFERROR(__xludf.DUMMYFUNCTION("""COMPUTED_VALUE"""),1.0)</f>
        <v>1</v>
      </c>
      <c r="O2570" s="4" t="str">
        <f>IFERROR(__xludf.DUMMYFUNCTION("""COMPUTED_VALUE"""),"Saipos Serviços De Software")</f>
        <v>Saipos Serviços De Software</v>
      </c>
      <c r="P2570" s="33">
        <f>IFERROR(__xludf.DUMMYFUNCTION("""COMPUTED_VALUE"""),0.75)</f>
        <v>0.75</v>
      </c>
      <c r="Q2570" s="4" t="str">
        <f>IFERROR(__xludf.DUMMYFUNCTION("""COMPUTED_VALUE"""),"null")</f>
        <v>null</v>
      </c>
      <c r="R2570" s="33">
        <f>IFERROR(__xludf.DUMMYFUNCTION("""COMPUTED_VALUE"""),1.0)</f>
        <v>1</v>
      </c>
      <c r="S2570" s="4" t="str">
        <f>IFERROR(__xludf.DUMMYFUNCTION("""COMPUTED_VALUE"""),"null")</f>
        <v>null</v>
      </c>
      <c r="T2570" s="33">
        <f>IFERROR(__xludf.DUMMYFUNCTION("""COMPUTED_VALUE"""),1.0)</f>
        <v>1</v>
      </c>
      <c r="U2570" s="4" t="str">
        <f>IFERROR(__xludf.DUMMYFUNCTION("""COMPUTED_VALUE"""),"Saipos Serviços De Software")</f>
        <v>Saipos Serviços De Software</v>
      </c>
      <c r="V2570" s="33">
        <f>IFERROR(__xludf.DUMMYFUNCTION("""COMPUTED_VALUE"""),1.0)</f>
        <v>1</v>
      </c>
      <c r="W2570" s="4" t="str">
        <f>IFERROR(__xludf.DUMMYFUNCTION("""COMPUTED_VALUE"""),"Saipos Serviços De Software")</f>
        <v>Saipos Serviços De Software</v>
      </c>
      <c r="X2570" s="33">
        <f>IFERROR(__xludf.DUMMYFUNCTION("""COMPUTED_VALUE"""),1.0)</f>
        <v>1</v>
      </c>
    </row>
    <row r="2571">
      <c r="K2571" s="4" t="str">
        <f>IFERROR(__xludf.DUMMYFUNCTION("""COMPUTED_VALUE"""),"SUPER APOLO - CONTA PAI")</f>
        <v>SUPER APOLO - CONTA PAI</v>
      </c>
      <c r="L2571" s="32">
        <f>IFERROR(__xludf.DUMMYFUNCTION("""COMPUTED_VALUE"""),4.0)</f>
        <v>4</v>
      </c>
      <c r="M2571" s="4" t="str">
        <f>IFERROR(__xludf.DUMMYFUNCTION("""COMPUTED_VALUE"""),"N/A (Not found)")</f>
        <v>N/A (Not found)</v>
      </c>
      <c r="N2571" s="33">
        <f>IFERROR(__xludf.DUMMYFUNCTION("""COMPUTED_VALUE"""),1.0)</f>
        <v>1</v>
      </c>
      <c r="O2571" s="4" t="str">
        <f>IFERROR(__xludf.DUMMYFUNCTION("""COMPUTED_VALUE"""),"N/A (Not found)")</f>
        <v>N/A (Not found)</v>
      </c>
      <c r="P2571" s="33">
        <f>IFERROR(__xludf.DUMMYFUNCTION("""COMPUTED_VALUE"""),1.0)</f>
        <v>1</v>
      </c>
      <c r="Q2571" s="4" t="str">
        <f>IFERROR(__xludf.DUMMYFUNCTION("""COMPUTED_VALUE"""),"N/A (Not found)")</f>
        <v>N/A (Not found)</v>
      </c>
      <c r="R2571" s="33">
        <f>IFERROR(__xludf.DUMMYFUNCTION("""COMPUTED_VALUE"""),1.0)</f>
        <v>1</v>
      </c>
      <c r="S2571" s="4" t="str">
        <f>IFERROR(__xludf.DUMMYFUNCTION("""COMPUTED_VALUE"""),"N/A (Not found)")</f>
        <v>N/A (Not found)</v>
      </c>
      <c r="T2571" s="33">
        <f>IFERROR(__xludf.DUMMYFUNCTION("""COMPUTED_VALUE"""),1.0)</f>
        <v>1</v>
      </c>
      <c r="U2571" s="4" t="str">
        <f>IFERROR(__xludf.DUMMYFUNCTION("""COMPUTED_VALUE"""),"N/A (Not found)")</f>
        <v>N/A (Not found)</v>
      </c>
      <c r="V2571" s="33">
        <f>IFERROR(__xludf.DUMMYFUNCTION("""COMPUTED_VALUE"""),0.75)</f>
        <v>0.75</v>
      </c>
      <c r="W2571" s="4" t="str">
        <f>IFERROR(__xludf.DUMMYFUNCTION("""COMPUTED_VALUE"""),"N/A (Not found)")</f>
        <v>N/A (Not found)</v>
      </c>
      <c r="X2571" s="33">
        <f>IFERROR(__xludf.DUMMYFUNCTION("""COMPUTED_VALUE"""),1.0)</f>
        <v>1</v>
      </c>
    </row>
    <row r="2572">
      <c r="K2572" s="4" t="str">
        <f>IFERROR(__xludf.DUMMYFUNCTION("""COMPUTED_VALUE"""),"SUPER VAREJISTA - CONTA PAI")</f>
        <v>SUPER VAREJISTA - CONTA PAI</v>
      </c>
      <c r="L2572" s="32">
        <f>IFERROR(__xludf.DUMMYFUNCTION("""COMPUTED_VALUE"""),4.0)</f>
        <v>4</v>
      </c>
      <c r="M2572" s="4" t="str">
        <f>IFERROR(__xludf.DUMMYFUNCTION("""COMPUTED_VALUE"""),"N/A (Not found)")</f>
        <v>N/A (Not found)</v>
      </c>
      <c r="N2572" s="33">
        <f>IFERROR(__xludf.DUMMYFUNCTION("""COMPUTED_VALUE"""),1.0)</f>
        <v>1</v>
      </c>
      <c r="O2572" s="4" t="str">
        <f>IFERROR(__xludf.DUMMYFUNCTION("""COMPUTED_VALUE"""),"N/A (Not found)")</f>
        <v>N/A (Not found)</v>
      </c>
      <c r="P2572" s="33">
        <f>IFERROR(__xludf.DUMMYFUNCTION("""COMPUTED_VALUE"""),1.0)</f>
        <v>1</v>
      </c>
      <c r="Q2572" s="4" t="str">
        <f>IFERROR(__xludf.DUMMYFUNCTION("""COMPUTED_VALUE"""),"N/A (Not found)")</f>
        <v>N/A (Not found)</v>
      </c>
      <c r="R2572" s="33">
        <f>IFERROR(__xludf.DUMMYFUNCTION("""COMPUTED_VALUE"""),1.0)</f>
        <v>1</v>
      </c>
      <c r="S2572" s="4" t="str">
        <f>IFERROR(__xludf.DUMMYFUNCTION("""COMPUTED_VALUE"""),"N/A (Not found)")</f>
        <v>N/A (Not found)</v>
      </c>
      <c r="T2572" s="33">
        <f>IFERROR(__xludf.DUMMYFUNCTION("""COMPUTED_VALUE"""),1.0)</f>
        <v>1</v>
      </c>
      <c r="U2572" s="4" t="str">
        <f>IFERROR(__xludf.DUMMYFUNCTION("""COMPUTED_VALUE"""),"N/A (Not found)")</f>
        <v>N/A (Not found)</v>
      </c>
      <c r="V2572" s="33">
        <f>IFERROR(__xludf.DUMMYFUNCTION("""COMPUTED_VALUE"""),1.0)</f>
        <v>1</v>
      </c>
      <c r="W2572" s="4" t="str">
        <f>IFERROR(__xludf.DUMMYFUNCTION("""COMPUTED_VALUE"""),"N/A (Not found)")</f>
        <v>N/A (Not found)</v>
      </c>
      <c r="X2572" s="33">
        <f>IFERROR(__xludf.DUMMYFUNCTION("""COMPUTED_VALUE"""),1.0)</f>
        <v>1</v>
      </c>
    </row>
    <row r="2573">
      <c r="K2573" s="4" t="str">
        <f>IFERROR(__xludf.DUMMYFUNCTION("""COMPUTED_VALUE"""),"SUPERFARMA POPULAR - LOJAS FERRAZ - CONTA MARCA")</f>
        <v>SUPERFARMA POPULAR - LOJAS FERRAZ - CONTA MARCA</v>
      </c>
      <c r="L2573" s="32">
        <f>IFERROR(__xludf.DUMMYFUNCTION("""COMPUTED_VALUE"""),4.0)</f>
        <v>4</v>
      </c>
      <c r="M2573" s="4" t="str">
        <f>IFERROR(__xludf.DUMMYFUNCTION("""COMPUTED_VALUE"""),"N/A (Not found)")</f>
        <v>N/A (Not found)</v>
      </c>
      <c r="N2573" s="33">
        <f>IFERROR(__xludf.DUMMYFUNCTION("""COMPUTED_VALUE"""),1.0)</f>
        <v>1</v>
      </c>
      <c r="O2573" s="4" t="str">
        <f>IFERROR(__xludf.DUMMYFUNCTION("""COMPUTED_VALUE"""),"N/A (Not found)")</f>
        <v>N/A (Not found)</v>
      </c>
      <c r="P2573" s="33">
        <f>IFERROR(__xludf.DUMMYFUNCTION("""COMPUTED_VALUE"""),0.75)</f>
        <v>0.75</v>
      </c>
      <c r="Q2573" s="4" t="str">
        <f>IFERROR(__xludf.DUMMYFUNCTION("""COMPUTED_VALUE"""),"N/A (Not found)")</f>
        <v>N/A (Not found)</v>
      </c>
      <c r="R2573" s="33">
        <f>IFERROR(__xludf.DUMMYFUNCTION("""COMPUTED_VALUE"""),1.0)</f>
        <v>1</v>
      </c>
      <c r="S2573" s="4" t="str">
        <f>IFERROR(__xludf.DUMMYFUNCTION("""COMPUTED_VALUE"""),"N/A (Not found)")</f>
        <v>N/A (Not found)</v>
      </c>
      <c r="T2573" s="33">
        <f>IFERROR(__xludf.DUMMYFUNCTION("""COMPUTED_VALUE"""),0.5)</f>
        <v>0.5</v>
      </c>
      <c r="U2573" s="4" t="str">
        <f>IFERROR(__xludf.DUMMYFUNCTION("""COMPUTED_VALUE"""),"N/A (Not found)")</f>
        <v>N/A (Not found)</v>
      </c>
      <c r="V2573" s="33">
        <f>IFERROR(__xludf.DUMMYFUNCTION("""COMPUTED_VALUE"""),0.75)</f>
        <v>0.75</v>
      </c>
      <c r="W2573" s="4" t="str">
        <f>IFERROR(__xludf.DUMMYFUNCTION("""COMPUTED_VALUE"""),"N/A (Not found)")</f>
        <v>N/A (Not found)</v>
      </c>
      <c r="X2573" s="33">
        <f>IFERROR(__xludf.DUMMYFUNCTION("""COMPUTED_VALUE"""),0.75)</f>
        <v>0.75</v>
      </c>
    </row>
    <row r="2574">
      <c r="K2574" s="4" t="str">
        <f>IFERROR(__xludf.DUMMYFUNCTION("""COMPUTED_VALUE"""),"SUPERMED - CONTA PAI")</f>
        <v>SUPERMED - CONTA PAI</v>
      </c>
      <c r="L2574" s="32">
        <f>IFERROR(__xludf.DUMMYFUNCTION("""COMPUTED_VALUE"""),4.0)</f>
        <v>4</v>
      </c>
      <c r="M2574" s="4" t="str">
        <f>IFERROR(__xludf.DUMMYFUNCTION("""COMPUTED_VALUE"""),"N/A (Not found)")</f>
        <v>N/A (Not found)</v>
      </c>
      <c r="N2574" s="33">
        <f>IFERROR(__xludf.DUMMYFUNCTION("""COMPUTED_VALUE"""),1.0)</f>
        <v>1</v>
      </c>
      <c r="O2574" s="4" t="str">
        <f>IFERROR(__xludf.DUMMYFUNCTION("""COMPUTED_VALUE"""),"N/A (Not found)")</f>
        <v>N/A (Not found)</v>
      </c>
      <c r="P2574" s="33">
        <f>IFERROR(__xludf.DUMMYFUNCTION("""COMPUTED_VALUE"""),1.0)</f>
        <v>1</v>
      </c>
      <c r="Q2574" s="4" t="str">
        <f>IFERROR(__xludf.DUMMYFUNCTION("""COMPUTED_VALUE"""),"N/A (Not found)")</f>
        <v>N/A (Not found)</v>
      </c>
      <c r="R2574" s="33">
        <f>IFERROR(__xludf.DUMMYFUNCTION("""COMPUTED_VALUE"""),1.0)</f>
        <v>1</v>
      </c>
      <c r="S2574" s="4" t="str">
        <f>IFERROR(__xludf.DUMMYFUNCTION("""COMPUTED_VALUE"""),"N/A (Not found)")</f>
        <v>N/A (Not found)</v>
      </c>
      <c r="T2574" s="33">
        <f>IFERROR(__xludf.DUMMYFUNCTION("""COMPUTED_VALUE"""),1.0)</f>
        <v>1</v>
      </c>
      <c r="U2574" s="4" t="str">
        <f>IFERROR(__xludf.DUMMYFUNCTION("""COMPUTED_VALUE"""),"N/A (Not found)")</f>
        <v>N/A (Not found)</v>
      </c>
      <c r="V2574" s="33">
        <f>IFERROR(__xludf.DUMMYFUNCTION("""COMPUTED_VALUE"""),1.0)</f>
        <v>1</v>
      </c>
      <c r="W2574" s="4" t="str">
        <f>IFERROR(__xludf.DUMMYFUNCTION("""COMPUTED_VALUE"""),"N/A (Not found)")</f>
        <v>N/A (Not found)</v>
      </c>
      <c r="X2574" s="33">
        <f>IFERROR(__xludf.DUMMYFUNCTION("""COMPUTED_VALUE"""),1.0)</f>
        <v>1</v>
      </c>
    </row>
    <row r="2575">
      <c r="K2575" s="4" t="str">
        <f>IFERROR(__xludf.DUMMYFUNCTION("""COMPUTED_VALUE"""),"SUPERMERCADO FONTE NOVA - CONTA PAI")</f>
        <v>SUPERMERCADO FONTE NOVA - CONTA PAI</v>
      </c>
      <c r="L2575" s="32">
        <f>IFERROR(__xludf.DUMMYFUNCTION("""COMPUTED_VALUE"""),4.0)</f>
        <v>4</v>
      </c>
      <c r="M2575" s="4" t="str">
        <f>IFERROR(__xludf.DUMMYFUNCTION("""COMPUTED_VALUE"""),"N/A (Not found)")</f>
        <v>N/A (Not found)</v>
      </c>
      <c r="N2575" s="33">
        <f>IFERROR(__xludf.DUMMYFUNCTION("""COMPUTED_VALUE"""),0.75)</f>
        <v>0.75</v>
      </c>
      <c r="O2575" s="4" t="str">
        <f>IFERROR(__xludf.DUMMYFUNCTION("""COMPUTED_VALUE"""),"N/A (Not found)")</f>
        <v>N/A (Not found)</v>
      </c>
      <c r="P2575" s="33">
        <f>IFERROR(__xludf.DUMMYFUNCTION("""COMPUTED_VALUE"""),0.75)</f>
        <v>0.75</v>
      </c>
      <c r="Q2575" s="4" t="str">
        <f>IFERROR(__xludf.DUMMYFUNCTION("""COMPUTED_VALUE"""),"N/A (Not found)")</f>
        <v>N/A (Not found)</v>
      </c>
      <c r="R2575" s="33">
        <f>IFERROR(__xludf.DUMMYFUNCTION("""COMPUTED_VALUE"""),0.75)</f>
        <v>0.75</v>
      </c>
      <c r="S2575" s="4" t="str">
        <f>IFERROR(__xludf.DUMMYFUNCTION("""COMPUTED_VALUE"""),"N/A (Not found)")</f>
        <v>N/A (Not found)</v>
      </c>
      <c r="T2575" s="33">
        <f>IFERROR(__xludf.DUMMYFUNCTION("""COMPUTED_VALUE"""),0.75)</f>
        <v>0.75</v>
      </c>
      <c r="U2575" s="4" t="str">
        <f>IFERROR(__xludf.DUMMYFUNCTION("""COMPUTED_VALUE"""),"N/A (Not found)")</f>
        <v>N/A (Not found)</v>
      </c>
      <c r="V2575" s="33">
        <f>IFERROR(__xludf.DUMMYFUNCTION("""COMPUTED_VALUE"""),1.0)</f>
        <v>1</v>
      </c>
      <c r="W2575" s="4" t="str">
        <f>IFERROR(__xludf.DUMMYFUNCTION("""COMPUTED_VALUE"""),"N/A (Not found)")</f>
        <v>N/A (Not found)</v>
      </c>
      <c r="X2575" s="33">
        <f>IFERROR(__xludf.DUMMYFUNCTION("""COMPUTED_VALUE"""),1.0)</f>
        <v>1</v>
      </c>
    </row>
    <row r="2576">
      <c r="K2576" s="4" t="str">
        <f>IFERROR(__xludf.DUMMYFUNCTION("""COMPUTED_VALUE"""),"SUPERMERCADO VENEZA")</f>
        <v>SUPERMERCADO VENEZA</v>
      </c>
      <c r="L2576" s="32">
        <f>IFERROR(__xludf.DUMMYFUNCTION("""COMPUTED_VALUE"""),4.0)</f>
        <v>4</v>
      </c>
      <c r="M2576" s="4" t="str">
        <f>IFERROR(__xludf.DUMMYFUNCTION("""COMPUTED_VALUE"""),"N/A (Not found)")</f>
        <v>N/A (Not found)</v>
      </c>
      <c r="N2576" s="33">
        <f>IFERROR(__xludf.DUMMYFUNCTION("""COMPUTED_VALUE"""),1.0)</f>
        <v>1</v>
      </c>
      <c r="O2576" s="4" t="str">
        <f>IFERROR(__xludf.DUMMYFUNCTION("""COMPUTED_VALUE"""),"N/A (Not found)")</f>
        <v>N/A (Not found)</v>
      </c>
      <c r="P2576" s="33">
        <f>IFERROR(__xludf.DUMMYFUNCTION("""COMPUTED_VALUE"""),1.0)</f>
        <v>1</v>
      </c>
      <c r="Q2576" s="4" t="str">
        <f>IFERROR(__xludf.DUMMYFUNCTION("""COMPUTED_VALUE"""),"N/A (Not found)")</f>
        <v>N/A (Not found)</v>
      </c>
      <c r="R2576" s="33">
        <f>IFERROR(__xludf.DUMMYFUNCTION("""COMPUTED_VALUE"""),1.0)</f>
        <v>1</v>
      </c>
      <c r="S2576" s="4" t="str">
        <f>IFERROR(__xludf.DUMMYFUNCTION("""COMPUTED_VALUE"""),"N/A (Not found)")</f>
        <v>N/A (Not found)</v>
      </c>
      <c r="T2576" s="33">
        <f>IFERROR(__xludf.DUMMYFUNCTION("""COMPUTED_VALUE"""),1.0)</f>
        <v>1</v>
      </c>
      <c r="U2576" s="4" t="str">
        <f>IFERROR(__xludf.DUMMYFUNCTION("""COMPUTED_VALUE"""),"N/A (Not found)")</f>
        <v>N/A (Not found)</v>
      </c>
      <c r="V2576" s="33">
        <f>IFERROR(__xludf.DUMMYFUNCTION("""COMPUTED_VALUE"""),1.0)</f>
        <v>1</v>
      </c>
      <c r="W2576" s="4" t="str">
        <f>IFERROR(__xludf.DUMMYFUNCTION("""COMPUTED_VALUE"""),"N/A (Not found)")</f>
        <v>N/A (Not found)</v>
      </c>
      <c r="X2576" s="33">
        <f>IFERROR(__xludf.DUMMYFUNCTION("""COMPUTED_VALUE"""),1.0)</f>
        <v>1</v>
      </c>
    </row>
    <row r="2577">
      <c r="K2577" s="4" t="str">
        <f>IFERROR(__xludf.DUMMYFUNCTION("""COMPUTED_VALUE"""),"SUPERMERCADOS IRANI - CONTA PAI")</f>
        <v>SUPERMERCADOS IRANI - CONTA PAI</v>
      </c>
      <c r="L2577" s="32">
        <f>IFERROR(__xludf.DUMMYFUNCTION("""COMPUTED_VALUE"""),4.0)</f>
        <v>4</v>
      </c>
      <c r="M2577" s="4" t="str">
        <f>IFERROR(__xludf.DUMMYFUNCTION("""COMPUTED_VALUE"""),"N/A (Not found)")</f>
        <v>N/A (Not found)</v>
      </c>
      <c r="N2577" s="33">
        <f>IFERROR(__xludf.DUMMYFUNCTION("""COMPUTED_VALUE"""),1.0)</f>
        <v>1</v>
      </c>
      <c r="O2577" s="4" t="str">
        <f>IFERROR(__xludf.DUMMYFUNCTION("""COMPUTED_VALUE"""),"N/A (Not found)")</f>
        <v>N/A (Not found)</v>
      </c>
      <c r="P2577" s="33">
        <f>IFERROR(__xludf.DUMMYFUNCTION("""COMPUTED_VALUE"""),1.0)</f>
        <v>1</v>
      </c>
      <c r="Q2577" s="4" t="str">
        <f>IFERROR(__xludf.DUMMYFUNCTION("""COMPUTED_VALUE"""),"N/A (Not found)")</f>
        <v>N/A (Not found)</v>
      </c>
      <c r="R2577" s="33">
        <f>IFERROR(__xludf.DUMMYFUNCTION("""COMPUTED_VALUE"""),1.0)</f>
        <v>1</v>
      </c>
      <c r="S2577" s="4" t="str">
        <f>IFERROR(__xludf.DUMMYFUNCTION("""COMPUTED_VALUE"""),"N/A (Not found)")</f>
        <v>N/A (Not found)</v>
      </c>
      <c r="T2577" s="33">
        <f>IFERROR(__xludf.DUMMYFUNCTION("""COMPUTED_VALUE"""),1.0)</f>
        <v>1</v>
      </c>
      <c r="U2577" s="4" t="str">
        <f>IFERROR(__xludf.DUMMYFUNCTION("""COMPUTED_VALUE"""),"N/A (Not found)")</f>
        <v>N/A (Not found)</v>
      </c>
      <c r="V2577" s="33">
        <f>IFERROR(__xludf.DUMMYFUNCTION("""COMPUTED_VALUE"""),1.0)</f>
        <v>1</v>
      </c>
      <c r="W2577" s="4" t="str">
        <f>IFERROR(__xludf.DUMMYFUNCTION("""COMPUTED_VALUE"""),"N/A (Not found)")</f>
        <v>N/A (Not found)</v>
      </c>
      <c r="X2577" s="33">
        <f>IFERROR(__xludf.DUMMYFUNCTION("""COMPUTED_VALUE"""),1.0)</f>
        <v>1</v>
      </c>
    </row>
    <row r="2578">
      <c r="K2578" s="4" t="str">
        <f>IFERROR(__xludf.DUMMYFUNCTION("""COMPUTED_VALUE"""),"SUPERMERCADOS MYATA - CONTA PAI")</f>
        <v>SUPERMERCADOS MYATA - CONTA PAI</v>
      </c>
      <c r="L2578" s="32">
        <f>IFERROR(__xludf.DUMMYFUNCTION("""COMPUTED_VALUE"""),4.0)</f>
        <v>4</v>
      </c>
      <c r="M2578" s="4" t="str">
        <f>IFERROR(__xludf.DUMMYFUNCTION("""COMPUTED_VALUE"""),"N/A (Not found)")</f>
        <v>N/A (Not found)</v>
      </c>
      <c r="N2578" s="33">
        <f>IFERROR(__xludf.DUMMYFUNCTION("""COMPUTED_VALUE"""),1.0)</f>
        <v>1</v>
      </c>
      <c r="O2578" s="4" t="str">
        <f>IFERROR(__xludf.DUMMYFUNCTION("""COMPUTED_VALUE"""),"N/A (Not found)")</f>
        <v>N/A (Not found)</v>
      </c>
      <c r="P2578" s="33">
        <f>IFERROR(__xludf.DUMMYFUNCTION("""COMPUTED_VALUE"""),1.0)</f>
        <v>1</v>
      </c>
      <c r="Q2578" s="4" t="str">
        <f>IFERROR(__xludf.DUMMYFUNCTION("""COMPUTED_VALUE"""),"N/A (Not found)")</f>
        <v>N/A (Not found)</v>
      </c>
      <c r="R2578" s="33">
        <f>IFERROR(__xludf.DUMMYFUNCTION("""COMPUTED_VALUE"""),1.0)</f>
        <v>1</v>
      </c>
      <c r="S2578" s="4" t="str">
        <f>IFERROR(__xludf.DUMMYFUNCTION("""COMPUTED_VALUE"""),"N/A (Not found)")</f>
        <v>N/A (Not found)</v>
      </c>
      <c r="T2578" s="33">
        <f>IFERROR(__xludf.DUMMYFUNCTION("""COMPUTED_VALUE"""),1.0)</f>
        <v>1</v>
      </c>
      <c r="U2578" s="4" t="str">
        <f>IFERROR(__xludf.DUMMYFUNCTION("""COMPUTED_VALUE"""),"N/A (Not found)")</f>
        <v>N/A (Not found)</v>
      </c>
      <c r="V2578" s="33">
        <f>IFERROR(__xludf.DUMMYFUNCTION("""COMPUTED_VALUE"""),1.0)</f>
        <v>1</v>
      </c>
      <c r="W2578" s="4" t="str">
        <f>IFERROR(__xludf.DUMMYFUNCTION("""COMPUTED_VALUE"""),"N/A (Not found)")</f>
        <v>N/A (Not found)</v>
      </c>
      <c r="X2578" s="33">
        <f>IFERROR(__xludf.DUMMYFUNCTION("""COMPUTED_VALUE"""),0.75)</f>
        <v>0.75</v>
      </c>
    </row>
    <row r="2579">
      <c r="K2579" s="4" t="str">
        <f>IFERROR(__xludf.DUMMYFUNCTION("""COMPUTED_VALUE"""),"SUPERMERCADOS PARANA - CONTA PAI")</f>
        <v>SUPERMERCADOS PARANA - CONTA PAI</v>
      </c>
      <c r="L2579" s="32">
        <f>IFERROR(__xludf.DUMMYFUNCTION("""COMPUTED_VALUE"""),4.0)</f>
        <v>4</v>
      </c>
      <c r="M2579" s="4" t="str">
        <f>IFERROR(__xludf.DUMMYFUNCTION("""COMPUTED_VALUE"""),"N/A (Not found)")</f>
        <v>N/A (Not found)</v>
      </c>
      <c r="N2579" s="33">
        <f>IFERROR(__xludf.DUMMYFUNCTION("""COMPUTED_VALUE"""),1.0)</f>
        <v>1</v>
      </c>
      <c r="O2579" s="4" t="str">
        <f>IFERROR(__xludf.DUMMYFUNCTION("""COMPUTED_VALUE"""),"N/A (Not found)")</f>
        <v>N/A (Not found)</v>
      </c>
      <c r="P2579" s="33">
        <f>IFERROR(__xludf.DUMMYFUNCTION("""COMPUTED_VALUE"""),1.0)</f>
        <v>1</v>
      </c>
      <c r="Q2579" s="4" t="str">
        <f>IFERROR(__xludf.DUMMYFUNCTION("""COMPUTED_VALUE"""),"null")</f>
        <v>null</v>
      </c>
      <c r="R2579" s="33">
        <f>IFERROR(__xludf.DUMMYFUNCTION("""COMPUTED_VALUE"""),1.0)</f>
        <v>1</v>
      </c>
      <c r="S2579" s="4" t="str">
        <f>IFERROR(__xludf.DUMMYFUNCTION("""COMPUTED_VALUE"""),"null")</f>
        <v>null</v>
      </c>
      <c r="T2579" s="33">
        <f>IFERROR(__xludf.DUMMYFUNCTION("""COMPUTED_VALUE"""),1.0)</f>
        <v>1</v>
      </c>
      <c r="U2579" s="4" t="str">
        <f>IFERROR(__xludf.DUMMYFUNCTION("""COMPUTED_VALUE"""),"N/A (Not found)")</f>
        <v>N/A (Not found)</v>
      </c>
      <c r="V2579" s="33">
        <f>IFERROR(__xludf.DUMMYFUNCTION("""COMPUTED_VALUE"""),0.5)</f>
        <v>0.5</v>
      </c>
      <c r="W2579" s="4" t="str">
        <f>IFERROR(__xludf.DUMMYFUNCTION("""COMPUTED_VALUE"""),"null")</f>
        <v>null</v>
      </c>
      <c r="X2579" s="33">
        <f>IFERROR(__xludf.DUMMYFUNCTION("""COMPUTED_VALUE"""),1.0)</f>
        <v>1</v>
      </c>
    </row>
    <row r="2580">
      <c r="K2580" s="4" t="str">
        <f>IFERROR(__xludf.DUMMYFUNCTION("""COMPUTED_VALUE"""),"SUSANA BOLOS- MARCA")</f>
        <v>SUSANA BOLOS- MARCA</v>
      </c>
      <c r="L2580" s="32">
        <f>IFERROR(__xludf.DUMMYFUNCTION("""COMPUTED_VALUE"""),4.0)</f>
        <v>4</v>
      </c>
      <c r="M2580" s="4" t="str">
        <f>IFERROR(__xludf.DUMMYFUNCTION("""COMPUTED_VALUE"""),"Bbifood")</f>
        <v>Bbifood</v>
      </c>
      <c r="N2580" s="33">
        <f>IFERROR(__xludf.DUMMYFUNCTION("""COMPUTED_VALUE"""),1.0)</f>
        <v>1</v>
      </c>
      <c r="O2580" s="4" t="str">
        <f>IFERROR(__xludf.DUMMYFUNCTION("""COMPUTED_VALUE"""),"Bbifood")</f>
        <v>Bbifood</v>
      </c>
      <c r="P2580" s="33">
        <f>IFERROR(__xludf.DUMMYFUNCTION("""COMPUTED_VALUE"""),1.0)</f>
        <v>1</v>
      </c>
      <c r="Q2580" s="4" t="str">
        <f>IFERROR(__xludf.DUMMYFUNCTION("""COMPUTED_VALUE"""),"Bbifood")</f>
        <v>Bbifood</v>
      </c>
      <c r="R2580" s="33">
        <f>IFERROR(__xludf.DUMMYFUNCTION("""COMPUTED_VALUE"""),1.0)</f>
        <v>1</v>
      </c>
      <c r="S2580" s="4" t="str">
        <f>IFERROR(__xludf.DUMMYFUNCTION("""COMPUTED_VALUE"""),"Bbifood")</f>
        <v>Bbifood</v>
      </c>
      <c r="T2580" s="33">
        <f>IFERROR(__xludf.DUMMYFUNCTION("""COMPUTED_VALUE"""),1.0)</f>
        <v>1</v>
      </c>
      <c r="U2580" s="4" t="str">
        <f>IFERROR(__xludf.DUMMYFUNCTION("""COMPUTED_VALUE"""),"Bbifood")</f>
        <v>Bbifood</v>
      </c>
      <c r="V2580" s="33">
        <f>IFERROR(__xludf.DUMMYFUNCTION("""COMPUTED_VALUE"""),1.0)</f>
        <v>1</v>
      </c>
      <c r="W2580" s="4" t="str">
        <f>IFERROR(__xludf.DUMMYFUNCTION("""COMPUTED_VALUE"""),"Bbifood")</f>
        <v>Bbifood</v>
      </c>
      <c r="X2580" s="33">
        <f>IFERROR(__xludf.DUMMYFUNCTION("""COMPUTED_VALUE"""),1.0)</f>
        <v>1</v>
      </c>
    </row>
    <row r="2581">
      <c r="K2581" s="4" t="str">
        <f>IFERROR(__xludf.DUMMYFUNCTION("""COMPUTED_VALUE"""),"SUSHI BOULEVARD")</f>
        <v>SUSHI BOULEVARD</v>
      </c>
      <c r="L2581" s="32">
        <f>IFERROR(__xludf.DUMMYFUNCTION("""COMPUTED_VALUE"""),4.0)</f>
        <v>4</v>
      </c>
      <c r="M2581" s="4" t="str">
        <f>IFERROR(__xludf.DUMMYFUNCTION("""COMPUTED_VALUE"""),"Saipos Serviços De Software")</f>
        <v>Saipos Serviços De Software</v>
      </c>
      <c r="N2581" s="33">
        <f>IFERROR(__xludf.DUMMYFUNCTION("""COMPUTED_VALUE"""),1.0)</f>
        <v>1</v>
      </c>
      <c r="O2581" s="4" t="str">
        <f>IFERROR(__xludf.DUMMYFUNCTION("""COMPUTED_VALUE"""),"Saipos Serviços De Software")</f>
        <v>Saipos Serviços De Software</v>
      </c>
      <c r="P2581" s="33">
        <f>IFERROR(__xludf.DUMMYFUNCTION("""COMPUTED_VALUE"""),1.0)</f>
        <v>1</v>
      </c>
      <c r="Q2581" s="4" t="str">
        <f>IFERROR(__xludf.DUMMYFUNCTION("""COMPUTED_VALUE"""),"Saipos Serviços De Software")</f>
        <v>Saipos Serviços De Software</v>
      </c>
      <c r="R2581" s="33">
        <f>IFERROR(__xludf.DUMMYFUNCTION("""COMPUTED_VALUE"""),1.0)</f>
        <v>1</v>
      </c>
      <c r="S2581" s="4" t="str">
        <f>IFERROR(__xludf.DUMMYFUNCTION("""COMPUTED_VALUE"""),"Saipos Serviços De Software")</f>
        <v>Saipos Serviços De Software</v>
      </c>
      <c r="T2581" s="33">
        <f>IFERROR(__xludf.DUMMYFUNCTION("""COMPUTED_VALUE"""),1.0)</f>
        <v>1</v>
      </c>
      <c r="U2581" s="4" t="str">
        <f>IFERROR(__xludf.DUMMYFUNCTION("""COMPUTED_VALUE"""),"Saipos Serviços De Software")</f>
        <v>Saipos Serviços De Software</v>
      </c>
      <c r="V2581" s="33">
        <f>IFERROR(__xludf.DUMMYFUNCTION("""COMPUTED_VALUE"""),0.75)</f>
        <v>0.75</v>
      </c>
      <c r="W2581" s="4" t="str">
        <f>IFERROR(__xludf.DUMMYFUNCTION("""COMPUTED_VALUE"""),"Saipos Serviços De Software")</f>
        <v>Saipos Serviços De Software</v>
      </c>
      <c r="X2581" s="33">
        <f>IFERROR(__xludf.DUMMYFUNCTION("""COMPUTED_VALUE"""),1.0)</f>
        <v>1</v>
      </c>
    </row>
    <row r="2582">
      <c r="K2582" s="4" t="str">
        <f>IFERROR(__xludf.DUMMYFUNCTION("""COMPUTED_VALUE"""),"SUSHI GO-1 POR PECA")</f>
        <v>SUSHI GO-1 POR PECA</v>
      </c>
      <c r="L2582" s="32">
        <f>IFERROR(__xludf.DUMMYFUNCTION("""COMPUTED_VALUE"""),4.0)</f>
        <v>4</v>
      </c>
      <c r="M2582" s="4" t="str">
        <f>IFERROR(__xludf.DUMMYFUNCTION("""COMPUTED_VALUE"""),"Opdv")</f>
        <v>Opdv</v>
      </c>
      <c r="N2582" s="33">
        <f>IFERROR(__xludf.DUMMYFUNCTION("""COMPUTED_VALUE"""),1.0)</f>
        <v>1</v>
      </c>
      <c r="O2582" s="4" t="str">
        <f>IFERROR(__xludf.DUMMYFUNCTION("""COMPUTED_VALUE"""),"Opdv")</f>
        <v>Opdv</v>
      </c>
      <c r="P2582" s="33">
        <f>IFERROR(__xludf.DUMMYFUNCTION("""COMPUTED_VALUE"""),1.0)</f>
        <v>1</v>
      </c>
      <c r="Q2582" s="4" t="str">
        <f>IFERROR(__xludf.DUMMYFUNCTION("""COMPUTED_VALUE"""),"Opdv")</f>
        <v>Opdv</v>
      </c>
      <c r="R2582" s="33">
        <f>IFERROR(__xludf.DUMMYFUNCTION("""COMPUTED_VALUE"""),1.0)</f>
        <v>1</v>
      </c>
      <c r="S2582" s="4" t="str">
        <f>IFERROR(__xludf.DUMMYFUNCTION("""COMPUTED_VALUE"""),"Opdv")</f>
        <v>Opdv</v>
      </c>
      <c r="T2582" s="33">
        <f>IFERROR(__xludf.DUMMYFUNCTION("""COMPUTED_VALUE"""),1.0)</f>
        <v>1</v>
      </c>
      <c r="U2582" s="4" t="str">
        <f>IFERROR(__xludf.DUMMYFUNCTION("""COMPUTED_VALUE"""),"Opdv")</f>
        <v>Opdv</v>
      </c>
      <c r="V2582" s="33">
        <f>IFERROR(__xludf.DUMMYFUNCTION("""COMPUTED_VALUE"""),1.0)</f>
        <v>1</v>
      </c>
      <c r="W2582" s="4" t="str">
        <f>IFERROR(__xludf.DUMMYFUNCTION("""COMPUTED_VALUE"""),"Opdv")</f>
        <v>Opdv</v>
      </c>
      <c r="X2582" s="33">
        <f>IFERROR(__xludf.DUMMYFUNCTION("""COMPUTED_VALUE"""),1.0)</f>
        <v>1</v>
      </c>
    </row>
    <row r="2583">
      <c r="K2583" s="4" t="str">
        <f>IFERROR(__xludf.DUMMYFUNCTION("""COMPUTED_VALUE"""),"SUSHI2YOU")</f>
        <v>SUSHI2YOU</v>
      </c>
      <c r="L2583" s="32">
        <f>IFERROR(__xludf.DUMMYFUNCTION("""COMPUTED_VALUE"""),4.0)</f>
        <v>4</v>
      </c>
      <c r="M2583" s="4" t="str">
        <f>IFERROR(__xludf.DUMMYFUNCTION("""COMPUTED_VALUE"""),"Saipos Serviços De Software")</f>
        <v>Saipos Serviços De Software</v>
      </c>
      <c r="N2583" s="33">
        <f>IFERROR(__xludf.DUMMYFUNCTION("""COMPUTED_VALUE"""),1.0)</f>
        <v>1</v>
      </c>
      <c r="O2583" s="4" t="str">
        <f>IFERROR(__xludf.DUMMYFUNCTION("""COMPUTED_VALUE"""),"Saipos Serviços De Software")</f>
        <v>Saipos Serviços De Software</v>
      </c>
      <c r="P2583" s="33">
        <f>IFERROR(__xludf.DUMMYFUNCTION("""COMPUTED_VALUE"""),1.0)</f>
        <v>1</v>
      </c>
      <c r="Q2583" s="4" t="str">
        <f>IFERROR(__xludf.DUMMYFUNCTION("""COMPUTED_VALUE"""),"Saipos Serviços De Software")</f>
        <v>Saipos Serviços De Software</v>
      </c>
      <c r="R2583" s="33">
        <f>IFERROR(__xludf.DUMMYFUNCTION("""COMPUTED_VALUE"""),1.0)</f>
        <v>1</v>
      </c>
      <c r="S2583" s="4" t="str">
        <f>IFERROR(__xludf.DUMMYFUNCTION("""COMPUTED_VALUE"""),"Saipos Serviços De Software")</f>
        <v>Saipos Serviços De Software</v>
      </c>
      <c r="T2583" s="33">
        <f>IFERROR(__xludf.DUMMYFUNCTION("""COMPUTED_VALUE"""),1.0)</f>
        <v>1</v>
      </c>
      <c r="U2583" s="4" t="str">
        <f>IFERROR(__xludf.DUMMYFUNCTION("""COMPUTED_VALUE"""),"Saipos Serviços De Software")</f>
        <v>Saipos Serviços De Software</v>
      </c>
      <c r="V2583" s="33">
        <f>IFERROR(__xludf.DUMMYFUNCTION("""COMPUTED_VALUE"""),1.0)</f>
        <v>1</v>
      </c>
      <c r="W2583" s="4" t="str">
        <f>IFERROR(__xludf.DUMMYFUNCTION("""COMPUTED_VALUE"""),"Saipos Serviços De Software")</f>
        <v>Saipos Serviços De Software</v>
      </c>
      <c r="X2583" s="33">
        <f>IFERROR(__xludf.DUMMYFUNCTION("""COMPUTED_VALUE"""),1.0)</f>
        <v>1</v>
      </c>
    </row>
    <row r="2584">
      <c r="K2584" s="4" t="str">
        <f>IFERROR(__xludf.DUMMYFUNCTION("""COMPUTED_VALUE"""),"SUSHIOKE")</f>
        <v>SUSHIOKE</v>
      </c>
      <c r="L2584" s="32">
        <f>IFERROR(__xludf.DUMMYFUNCTION("""COMPUTED_VALUE"""),4.0)</f>
        <v>4</v>
      </c>
      <c r="M2584" s="4" t="str">
        <f>IFERROR(__xludf.DUMMYFUNCTION("""COMPUTED_VALUE"""),"null")</f>
        <v>null</v>
      </c>
      <c r="N2584" s="33">
        <f>IFERROR(__xludf.DUMMYFUNCTION("""COMPUTED_VALUE"""),0.5)</f>
        <v>0.5</v>
      </c>
      <c r="O2584" s="4" t="str">
        <f>IFERROR(__xludf.DUMMYFUNCTION("""COMPUTED_VALUE"""),"Saipos Serviços De Software")</f>
        <v>Saipos Serviços De Software</v>
      </c>
      <c r="P2584" s="33">
        <f>IFERROR(__xludf.DUMMYFUNCTION("""COMPUTED_VALUE"""),0.75)</f>
        <v>0.75</v>
      </c>
      <c r="Q2584" s="4" t="str">
        <f>IFERROR(__xludf.DUMMYFUNCTION("""COMPUTED_VALUE"""),"Saipos Serviços De Software")</f>
        <v>Saipos Serviços De Software</v>
      </c>
      <c r="R2584" s="33">
        <f>IFERROR(__xludf.DUMMYFUNCTION("""COMPUTED_VALUE"""),1.0)</f>
        <v>1</v>
      </c>
      <c r="S2584" s="4" t="str">
        <f>IFERROR(__xludf.DUMMYFUNCTION("""COMPUTED_VALUE"""),"Saipos Serviços De Software")</f>
        <v>Saipos Serviços De Software</v>
      </c>
      <c r="T2584" s="33">
        <f>IFERROR(__xludf.DUMMYFUNCTION("""COMPUTED_VALUE"""),1.0)</f>
        <v>1</v>
      </c>
      <c r="U2584" s="4" t="str">
        <f>IFERROR(__xludf.DUMMYFUNCTION("""COMPUTED_VALUE"""),"Saipos Serviços De Software")</f>
        <v>Saipos Serviços De Software</v>
      </c>
      <c r="V2584" s="33">
        <f>IFERROR(__xludf.DUMMYFUNCTION("""COMPUTED_VALUE"""),1.0)</f>
        <v>1</v>
      </c>
      <c r="W2584" s="4" t="str">
        <f>IFERROR(__xludf.DUMMYFUNCTION("""COMPUTED_VALUE"""),"Saipos Serviços De Software")</f>
        <v>Saipos Serviços De Software</v>
      </c>
      <c r="X2584" s="33">
        <f>IFERROR(__xludf.DUMMYFUNCTION("""COMPUTED_VALUE"""),1.0)</f>
        <v>1</v>
      </c>
    </row>
    <row r="2585">
      <c r="K2585" s="4" t="str">
        <f>IFERROR(__xludf.DUMMYFUNCTION("""COMPUTED_VALUE"""),"TABUA DE CARNE")</f>
        <v>TABUA DE CARNE</v>
      </c>
      <c r="L2585" s="32">
        <f>IFERROR(__xludf.DUMMYFUNCTION("""COMPUTED_VALUE"""),4.0)</f>
        <v>4</v>
      </c>
      <c r="M2585" s="4" t="str">
        <f>IFERROR(__xludf.DUMMYFUNCTION("""COMPUTED_VALUE"""),"Proabakus Desenvolvimento De Sistemas Ltda")</f>
        <v>Proabakus Desenvolvimento De Sistemas Ltda</v>
      </c>
      <c r="N2585" s="33">
        <f>IFERROR(__xludf.DUMMYFUNCTION("""COMPUTED_VALUE"""),0.75)</f>
        <v>0.75</v>
      </c>
      <c r="O2585" s="4" t="str">
        <f>IFERROR(__xludf.DUMMYFUNCTION("""COMPUTED_VALUE"""),"Netcontroll Xmenu")</f>
        <v>Netcontroll Xmenu</v>
      </c>
      <c r="P2585" s="33">
        <f>IFERROR(__xludf.DUMMYFUNCTION("""COMPUTED_VALUE"""),0.75)</f>
        <v>0.75</v>
      </c>
      <c r="Q2585" s="4" t="str">
        <f>IFERROR(__xludf.DUMMYFUNCTION("""COMPUTED_VALUE"""),"Netcontroll Xmenu")</f>
        <v>Netcontroll Xmenu</v>
      </c>
      <c r="R2585" s="33">
        <f>IFERROR(__xludf.DUMMYFUNCTION("""COMPUTED_VALUE"""),0.75)</f>
        <v>0.75</v>
      </c>
      <c r="S2585" s="4" t="str">
        <f>IFERROR(__xludf.DUMMYFUNCTION("""COMPUTED_VALUE"""),"Netcontroll Xmenu")</f>
        <v>Netcontroll Xmenu</v>
      </c>
      <c r="T2585" s="33">
        <f>IFERROR(__xludf.DUMMYFUNCTION("""COMPUTED_VALUE"""),0.75)</f>
        <v>0.75</v>
      </c>
      <c r="U2585" s="4" t="str">
        <f>IFERROR(__xludf.DUMMYFUNCTION("""COMPUTED_VALUE"""),"Netcontroll Xmenu")</f>
        <v>Netcontroll Xmenu</v>
      </c>
      <c r="V2585" s="33">
        <f>IFERROR(__xludf.DUMMYFUNCTION("""COMPUTED_VALUE"""),0.75)</f>
        <v>0.75</v>
      </c>
      <c r="W2585" s="4" t="str">
        <f>IFERROR(__xludf.DUMMYFUNCTION("""COMPUTED_VALUE"""),"Netcontroll Xmenu")</f>
        <v>Netcontroll Xmenu</v>
      </c>
      <c r="X2585" s="33">
        <f>IFERROR(__xludf.DUMMYFUNCTION("""COMPUTED_VALUE"""),0.75)</f>
        <v>0.75</v>
      </c>
    </row>
    <row r="2586">
      <c r="K2586" s="4" t="str">
        <f>IFERROR(__xludf.DUMMYFUNCTION("""COMPUTED_VALUE"""),"TAISHI")</f>
        <v>TAISHI</v>
      </c>
      <c r="L2586" s="32">
        <f>IFERROR(__xludf.DUMMYFUNCTION("""COMPUTED_VALUE"""),4.0)</f>
        <v>4</v>
      </c>
      <c r="M2586" s="4" t="str">
        <f>IFERROR(__xludf.DUMMYFUNCTION("""COMPUTED_VALUE"""),"Eclética Tecnologia")</f>
        <v>Eclética Tecnologia</v>
      </c>
      <c r="N2586" s="33">
        <f>IFERROR(__xludf.DUMMYFUNCTION("""COMPUTED_VALUE"""),1.0)</f>
        <v>1</v>
      </c>
      <c r="O2586" s="4" t="str">
        <f>IFERROR(__xludf.DUMMYFUNCTION("""COMPUTED_VALUE"""),"Eclética Tecnologia")</f>
        <v>Eclética Tecnologia</v>
      </c>
      <c r="P2586" s="33">
        <f>IFERROR(__xludf.DUMMYFUNCTION("""COMPUTED_VALUE"""),0.75)</f>
        <v>0.75</v>
      </c>
      <c r="Q2586" s="4" t="str">
        <f>IFERROR(__xludf.DUMMYFUNCTION("""COMPUTED_VALUE"""),"Eclética Tecnologia")</f>
        <v>Eclética Tecnologia</v>
      </c>
      <c r="R2586" s="33">
        <f>IFERROR(__xludf.DUMMYFUNCTION("""COMPUTED_VALUE"""),1.0)</f>
        <v>1</v>
      </c>
      <c r="S2586" s="4" t="str">
        <f>IFERROR(__xludf.DUMMYFUNCTION("""COMPUTED_VALUE"""),"Eclética Tecnologia")</f>
        <v>Eclética Tecnologia</v>
      </c>
      <c r="T2586" s="33">
        <f>IFERROR(__xludf.DUMMYFUNCTION("""COMPUTED_VALUE"""),1.0)</f>
        <v>1</v>
      </c>
      <c r="U2586" s="4" t="str">
        <f>IFERROR(__xludf.DUMMYFUNCTION("""COMPUTED_VALUE"""),"Eclética Tecnologia")</f>
        <v>Eclética Tecnologia</v>
      </c>
      <c r="V2586" s="33">
        <f>IFERROR(__xludf.DUMMYFUNCTION("""COMPUTED_VALUE"""),0.75)</f>
        <v>0.75</v>
      </c>
      <c r="W2586" s="4" t="str">
        <f>IFERROR(__xludf.DUMMYFUNCTION("""COMPUTED_VALUE"""),"Eclética Tecnologia")</f>
        <v>Eclética Tecnologia</v>
      </c>
      <c r="X2586" s="33">
        <f>IFERROR(__xludf.DUMMYFUNCTION("""COMPUTED_VALUE"""),1.0)</f>
        <v>1</v>
      </c>
    </row>
    <row r="2587">
      <c r="K2587" s="4" t="str">
        <f>IFERROR(__xludf.DUMMYFUNCTION("""COMPUTED_VALUE"""),"TAPIOCA REIS")</f>
        <v>TAPIOCA REIS</v>
      </c>
      <c r="L2587" s="32">
        <f>IFERROR(__xludf.DUMMYFUNCTION("""COMPUTED_VALUE"""),4.0)</f>
        <v>4</v>
      </c>
      <c r="M2587" s="4" t="str">
        <f>IFERROR(__xludf.DUMMYFUNCTION("""COMPUTED_VALUE"""),"Saipos Serviços De Software")</f>
        <v>Saipos Serviços De Software</v>
      </c>
      <c r="N2587" s="33">
        <f>IFERROR(__xludf.DUMMYFUNCTION("""COMPUTED_VALUE"""),0.75)</f>
        <v>0.75</v>
      </c>
      <c r="O2587" s="4" t="str">
        <f>IFERROR(__xludf.DUMMYFUNCTION("""COMPUTED_VALUE"""),"Saipos Serviços De Software")</f>
        <v>Saipos Serviços De Software</v>
      </c>
      <c r="P2587" s="33">
        <f>IFERROR(__xludf.DUMMYFUNCTION("""COMPUTED_VALUE"""),1.0)</f>
        <v>1</v>
      </c>
      <c r="Q2587" s="4" t="str">
        <f>IFERROR(__xludf.DUMMYFUNCTION("""COMPUTED_VALUE"""),"Saipos Serviços De Software")</f>
        <v>Saipos Serviços De Software</v>
      </c>
      <c r="R2587" s="33">
        <f>IFERROR(__xludf.DUMMYFUNCTION("""COMPUTED_VALUE"""),1.0)</f>
        <v>1</v>
      </c>
      <c r="S2587" s="4" t="str">
        <f>IFERROR(__xludf.DUMMYFUNCTION("""COMPUTED_VALUE"""),"Saipos Serviços De Software")</f>
        <v>Saipos Serviços De Software</v>
      </c>
      <c r="T2587" s="33">
        <f>IFERROR(__xludf.DUMMYFUNCTION("""COMPUTED_VALUE"""),1.0)</f>
        <v>1</v>
      </c>
      <c r="U2587" s="4" t="str">
        <f>IFERROR(__xludf.DUMMYFUNCTION("""COMPUTED_VALUE"""),"Saipos Serviços De Software")</f>
        <v>Saipos Serviços De Software</v>
      </c>
      <c r="V2587" s="33">
        <f>IFERROR(__xludf.DUMMYFUNCTION("""COMPUTED_VALUE"""),1.0)</f>
        <v>1</v>
      </c>
      <c r="W2587" s="4" t="str">
        <f>IFERROR(__xludf.DUMMYFUNCTION("""COMPUTED_VALUE"""),"Saipos Serviços De Software")</f>
        <v>Saipos Serviços De Software</v>
      </c>
      <c r="X2587" s="33">
        <f>IFERROR(__xludf.DUMMYFUNCTION("""COMPUTED_VALUE"""),1.0)</f>
        <v>1</v>
      </c>
    </row>
    <row r="2588">
      <c r="K2588" s="4" t="str">
        <f>IFERROR(__xludf.DUMMYFUNCTION("""COMPUTED_VALUE"""),"TAUSTTUS")</f>
        <v>TAUSTTUS</v>
      </c>
      <c r="L2588" s="32">
        <f>IFERROR(__xludf.DUMMYFUNCTION("""COMPUTED_VALUE"""),4.0)</f>
        <v>4</v>
      </c>
      <c r="M2588" s="4" t="str">
        <f>IFERROR(__xludf.DUMMYFUNCTION("""COMPUTED_VALUE"""),"Saipos Serviços De Software")</f>
        <v>Saipos Serviços De Software</v>
      </c>
      <c r="N2588" s="33">
        <f>IFERROR(__xludf.DUMMYFUNCTION("""COMPUTED_VALUE"""),0.5)</f>
        <v>0.5</v>
      </c>
      <c r="O2588" s="4" t="str">
        <f>IFERROR(__xludf.DUMMYFUNCTION("""COMPUTED_VALUE"""),"Takeat Tecnologia")</f>
        <v>Takeat Tecnologia</v>
      </c>
      <c r="P2588" s="33">
        <f>IFERROR(__xludf.DUMMYFUNCTION("""COMPUTED_VALUE"""),0.5)</f>
        <v>0.5</v>
      </c>
      <c r="Q2588" s="4" t="str">
        <f>IFERROR(__xludf.DUMMYFUNCTION("""COMPUTED_VALUE"""),"Takeat Tecnologia")</f>
        <v>Takeat Tecnologia</v>
      </c>
      <c r="R2588" s="33">
        <f>IFERROR(__xludf.DUMMYFUNCTION("""COMPUTED_VALUE"""),0.5)</f>
        <v>0.5</v>
      </c>
      <c r="S2588" s="4" t="str">
        <f>IFERROR(__xludf.DUMMYFUNCTION("""COMPUTED_VALUE"""),"Takeat Tecnologia")</f>
        <v>Takeat Tecnologia</v>
      </c>
      <c r="T2588" s="33">
        <f>IFERROR(__xludf.DUMMYFUNCTION("""COMPUTED_VALUE"""),0.5)</f>
        <v>0.5</v>
      </c>
      <c r="U2588" s="4" t="str">
        <f>IFERROR(__xludf.DUMMYFUNCTION("""COMPUTED_VALUE"""),"Takeat Tecnologia")</f>
        <v>Takeat Tecnologia</v>
      </c>
      <c r="V2588" s="33">
        <f>IFERROR(__xludf.DUMMYFUNCTION("""COMPUTED_VALUE"""),0.5)</f>
        <v>0.5</v>
      </c>
      <c r="W2588" s="4" t="str">
        <f>IFERROR(__xludf.DUMMYFUNCTION("""COMPUTED_VALUE"""),"null")</f>
        <v>null</v>
      </c>
      <c r="X2588" s="33">
        <f>IFERROR(__xludf.DUMMYFUNCTION("""COMPUTED_VALUE"""),0.5)</f>
        <v>0.5</v>
      </c>
    </row>
    <row r="2589">
      <c r="K2589" s="4" t="str">
        <f>IFERROR(__xludf.DUMMYFUNCTION("""COMPUTED_VALUE"""),"TELE TRAGO")</f>
        <v>TELE TRAGO</v>
      </c>
      <c r="L2589" s="32">
        <f>IFERROR(__xludf.DUMMYFUNCTION("""COMPUTED_VALUE"""),4.0)</f>
        <v>4</v>
      </c>
      <c r="M2589" s="4" t="str">
        <f>IFERROR(__xludf.DUMMYFUNCTION("""COMPUTED_VALUE"""),"Opdv")</f>
        <v>Opdv</v>
      </c>
      <c r="N2589" s="33">
        <f>IFERROR(__xludf.DUMMYFUNCTION("""COMPUTED_VALUE"""),1.0)</f>
        <v>1</v>
      </c>
      <c r="O2589" s="4" t="str">
        <f>IFERROR(__xludf.DUMMYFUNCTION("""COMPUTED_VALUE"""),"Opdv")</f>
        <v>Opdv</v>
      </c>
      <c r="P2589" s="33">
        <f>IFERROR(__xludf.DUMMYFUNCTION("""COMPUTED_VALUE"""),1.0)</f>
        <v>1</v>
      </c>
      <c r="Q2589" s="4" t="str">
        <f>IFERROR(__xludf.DUMMYFUNCTION("""COMPUTED_VALUE"""),"Opdv")</f>
        <v>Opdv</v>
      </c>
      <c r="R2589" s="33">
        <f>IFERROR(__xludf.DUMMYFUNCTION("""COMPUTED_VALUE"""),1.0)</f>
        <v>1</v>
      </c>
      <c r="S2589" s="4" t="str">
        <f>IFERROR(__xludf.DUMMYFUNCTION("""COMPUTED_VALUE"""),"Opdv")</f>
        <v>Opdv</v>
      </c>
      <c r="T2589" s="33">
        <f>IFERROR(__xludf.DUMMYFUNCTION("""COMPUTED_VALUE"""),1.0)</f>
        <v>1</v>
      </c>
      <c r="U2589" s="4" t="str">
        <f>IFERROR(__xludf.DUMMYFUNCTION("""COMPUTED_VALUE"""),"Opdv")</f>
        <v>Opdv</v>
      </c>
      <c r="V2589" s="33">
        <f>IFERROR(__xludf.DUMMYFUNCTION("""COMPUTED_VALUE"""),0.75)</f>
        <v>0.75</v>
      </c>
      <c r="W2589" s="4" t="str">
        <f>IFERROR(__xludf.DUMMYFUNCTION("""COMPUTED_VALUE"""),"Opdv")</f>
        <v>Opdv</v>
      </c>
      <c r="X2589" s="33">
        <f>IFERROR(__xludf.DUMMYFUNCTION("""COMPUTED_VALUE"""),1.0)</f>
        <v>1</v>
      </c>
    </row>
    <row r="2590">
      <c r="K2590" s="4" t="str">
        <f>IFERROR(__xludf.DUMMYFUNCTION("""COMPUTED_VALUE"""),"TEM SUSHI - CONTA PAI")</f>
        <v>TEM SUSHI - CONTA PAI</v>
      </c>
      <c r="L2590" s="32">
        <f>IFERROR(__xludf.DUMMYFUNCTION("""COMPUTED_VALUE"""),4.0)</f>
        <v>4</v>
      </c>
      <c r="M2590" s="4" t="str">
        <f>IFERROR(__xludf.DUMMYFUNCTION("""COMPUTED_VALUE"""),"Saipos Serviços De Software")</f>
        <v>Saipos Serviços De Software</v>
      </c>
      <c r="N2590" s="33">
        <f>IFERROR(__xludf.DUMMYFUNCTION("""COMPUTED_VALUE"""),1.0)</f>
        <v>1</v>
      </c>
      <c r="O2590" s="4" t="str">
        <f>IFERROR(__xludf.DUMMYFUNCTION("""COMPUTED_VALUE"""),"Saipos Serviços De Software")</f>
        <v>Saipos Serviços De Software</v>
      </c>
      <c r="P2590" s="33">
        <f>IFERROR(__xludf.DUMMYFUNCTION("""COMPUTED_VALUE"""),1.0)</f>
        <v>1</v>
      </c>
      <c r="Q2590" s="4" t="str">
        <f>IFERROR(__xludf.DUMMYFUNCTION("""COMPUTED_VALUE"""),"Saipos Serviços De Software")</f>
        <v>Saipos Serviços De Software</v>
      </c>
      <c r="R2590" s="33">
        <f>IFERROR(__xludf.DUMMYFUNCTION("""COMPUTED_VALUE"""),1.0)</f>
        <v>1</v>
      </c>
      <c r="S2590" s="4" t="str">
        <f>IFERROR(__xludf.DUMMYFUNCTION("""COMPUTED_VALUE"""),"Saipos Serviços De Software")</f>
        <v>Saipos Serviços De Software</v>
      </c>
      <c r="T2590" s="33">
        <f>IFERROR(__xludf.DUMMYFUNCTION("""COMPUTED_VALUE"""),1.0)</f>
        <v>1</v>
      </c>
      <c r="U2590" s="4" t="str">
        <f>IFERROR(__xludf.DUMMYFUNCTION("""COMPUTED_VALUE"""),"Saipos Serviços De Software")</f>
        <v>Saipos Serviços De Software</v>
      </c>
      <c r="V2590" s="33">
        <f>IFERROR(__xludf.DUMMYFUNCTION("""COMPUTED_VALUE"""),1.0)</f>
        <v>1</v>
      </c>
      <c r="W2590" s="4" t="str">
        <f>IFERROR(__xludf.DUMMYFUNCTION("""COMPUTED_VALUE"""),"Saipos Serviços De Software")</f>
        <v>Saipos Serviços De Software</v>
      </c>
      <c r="X2590" s="33">
        <f>IFERROR(__xludf.DUMMYFUNCTION("""COMPUTED_VALUE"""),1.0)</f>
        <v>1</v>
      </c>
    </row>
    <row r="2591">
      <c r="K2591" s="4" t="str">
        <f>IFERROR(__xludf.DUMMYFUNCTION("""COMPUTED_VALUE"""),"TEMAKERIA EXPRESS - CONTA MARCA")</f>
        <v>TEMAKERIA EXPRESS - CONTA MARCA</v>
      </c>
      <c r="L2591" s="32">
        <f>IFERROR(__xludf.DUMMYFUNCTION("""COMPUTED_VALUE"""),4.0)</f>
        <v>4</v>
      </c>
      <c r="M2591" s="4" t="str">
        <f>IFERROR(__xludf.DUMMYFUNCTION("""COMPUTED_VALUE"""),"Jclan Sistemas")</f>
        <v>Jclan Sistemas</v>
      </c>
      <c r="N2591" s="33">
        <f>IFERROR(__xludf.DUMMYFUNCTION("""COMPUTED_VALUE"""),1.0)</f>
        <v>1</v>
      </c>
      <c r="O2591" s="4" t="str">
        <f>IFERROR(__xludf.DUMMYFUNCTION("""COMPUTED_VALUE"""),"Jclan Sistemas")</f>
        <v>Jclan Sistemas</v>
      </c>
      <c r="P2591" s="33">
        <f>IFERROR(__xludf.DUMMYFUNCTION("""COMPUTED_VALUE"""),0.75)</f>
        <v>0.75</v>
      </c>
      <c r="Q2591" s="4" t="str">
        <f>IFERROR(__xludf.DUMMYFUNCTION("""COMPUTED_VALUE"""),"Jclan Sistemas")</f>
        <v>Jclan Sistemas</v>
      </c>
      <c r="R2591" s="33">
        <f>IFERROR(__xludf.DUMMYFUNCTION("""COMPUTED_VALUE"""),0.75)</f>
        <v>0.75</v>
      </c>
      <c r="S2591" s="4" t="str">
        <f>IFERROR(__xludf.DUMMYFUNCTION("""COMPUTED_VALUE"""),"null")</f>
        <v>null</v>
      </c>
      <c r="T2591" s="33">
        <f>IFERROR(__xludf.DUMMYFUNCTION("""COMPUTED_VALUE"""),0.75)</f>
        <v>0.75</v>
      </c>
      <c r="U2591" s="4" t="str">
        <f>IFERROR(__xludf.DUMMYFUNCTION("""COMPUTED_VALUE"""),"Jclan Sistemas")</f>
        <v>Jclan Sistemas</v>
      </c>
      <c r="V2591" s="33">
        <f>IFERROR(__xludf.DUMMYFUNCTION("""COMPUTED_VALUE"""),0.5)</f>
        <v>0.5</v>
      </c>
      <c r="W2591" s="4" t="str">
        <f>IFERROR(__xludf.DUMMYFUNCTION("""COMPUTED_VALUE"""),"Jclan Sistemas")</f>
        <v>Jclan Sistemas</v>
      </c>
      <c r="X2591" s="33">
        <f>IFERROR(__xludf.DUMMYFUNCTION("""COMPUTED_VALUE"""),0.5)</f>
        <v>0.5</v>
      </c>
    </row>
    <row r="2592">
      <c r="K2592" s="4" t="str">
        <f>IFERROR(__xludf.DUMMYFUNCTION("""COMPUTED_VALUE"""),"TEMAKI ARTUNI - CONTA MARCA")</f>
        <v>TEMAKI ARTUNI - CONTA MARCA</v>
      </c>
      <c r="L2592" s="32">
        <f>IFERROR(__xludf.DUMMYFUNCTION("""COMPUTED_VALUE"""),4.0)</f>
        <v>4</v>
      </c>
      <c r="M2592" s="4" t="str">
        <f>IFERROR(__xludf.DUMMYFUNCTION("""COMPUTED_VALUE"""),"Cloudfy")</f>
        <v>Cloudfy</v>
      </c>
      <c r="N2592" s="33">
        <f>IFERROR(__xludf.DUMMYFUNCTION("""COMPUTED_VALUE"""),1.0)</f>
        <v>1</v>
      </c>
      <c r="O2592" s="4" t="str">
        <f>IFERROR(__xludf.DUMMYFUNCTION("""COMPUTED_VALUE"""),"Cloudfy")</f>
        <v>Cloudfy</v>
      </c>
      <c r="P2592" s="33">
        <f>IFERROR(__xludf.DUMMYFUNCTION("""COMPUTED_VALUE"""),1.0)</f>
        <v>1</v>
      </c>
      <c r="Q2592" s="4" t="str">
        <f>IFERROR(__xludf.DUMMYFUNCTION("""COMPUTED_VALUE"""),"Cloudfy")</f>
        <v>Cloudfy</v>
      </c>
      <c r="R2592" s="33">
        <f>IFERROR(__xludf.DUMMYFUNCTION("""COMPUTED_VALUE"""),1.0)</f>
        <v>1</v>
      </c>
      <c r="S2592" s="4" t="str">
        <f>IFERROR(__xludf.DUMMYFUNCTION("""COMPUTED_VALUE"""),"Cloudfy")</f>
        <v>Cloudfy</v>
      </c>
      <c r="T2592" s="33">
        <f>IFERROR(__xludf.DUMMYFUNCTION("""COMPUTED_VALUE"""),1.0)</f>
        <v>1</v>
      </c>
      <c r="U2592" s="4" t="str">
        <f>IFERROR(__xludf.DUMMYFUNCTION("""COMPUTED_VALUE"""),"Cloudfy")</f>
        <v>Cloudfy</v>
      </c>
      <c r="V2592" s="33">
        <f>IFERROR(__xludf.DUMMYFUNCTION("""COMPUTED_VALUE"""),1.0)</f>
        <v>1</v>
      </c>
      <c r="W2592" s="4" t="str">
        <f>IFERROR(__xludf.DUMMYFUNCTION("""COMPUTED_VALUE"""),"Cloudfy")</f>
        <v>Cloudfy</v>
      </c>
      <c r="X2592" s="33">
        <f>IFERROR(__xludf.DUMMYFUNCTION("""COMPUTED_VALUE"""),1.0)</f>
        <v>1</v>
      </c>
    </row>
    <row r="2593">
      <c r="K2593" s="4" t="str">
        <f>IFERROR(__xludf.DUMMYFUNCTION("""COMPUTED_VALUE"""),"TERRACO SABOR SLZ")</f>
        <v>TERRACO SABOR SLZ</v>
      </c>
      <c r="L2593" s="32">
        <f>IFERROR(__xludf.DUMMYFUNCTION("""COMPUTED_VALUE"""),4.0)</f>
        <v>4</v>
      </c>
      <c r="M2593" s="4" t="str">
        <f>IFERROR(__xludf.DUMMYFUNCTION("""COMPUTED_VALUE"""),"Cardápio Web")</f>
        <v>Cardápio Web</v>
      </c>
      <c r="N2593" s="33">
        <f>IFERROR(__xludf.DUMMYFUNCTION("""COMPUTED_VALUE"""),0.75)</f>
        <v>0.75</v>
      </c>
      <c r="O2593" s="4" t="str">
        <f>IFERROR(__xludf.DUMMYFUNCTION("""COMPUTED_VALUE"""),"Cardápio Web")</f>
        <v>Cardápio Web</v>
      </c>
      <c r="P2593" s="33">
        <f>IFERROR(__xludf.DUMMYFUNCTION("""COMPUTED_VALUE"""),0.75)</f>
        <v>0.75</v>
      </c>
      <c r="Q2593" s="4" t="str">
        <f>IFERROR(__xludf.DUMMYFUNCTION("""COMPUTED_VALUE"""),"Cardápio Web")</f>
        <v>Cardápio Web</v>
      </c>
      <c r="R2593" s="33">
        <f>IFERROR(__xludf.DUMMYFUNCTION("""COMPUTED_VALUE"""),0.75)</f>
        <v>0.75</v>
      </c>
      <c r="S2593" s="4" t="str">
        <f>IFERROR(__xludf.DUMMYFUNCTION("""COMPUTED_VALUE"""),"Cardápio Web")</f>
        <v>Cardápio Web</v>
      </c>
      <c r="T2593" s="33">
        <f>IFERROR(__xludf.DUMMYFUNCTION("""COMPUTED_VALUE"""),1.0)</f>
        <v>1</v>
      </c>
      <c r="U2593" s="4" t="str">
        <f>IFERROR(__xludf.DUMMYFUNCTION("""COMPUTED_VALUE"""),"Cardápio Web")</f>
        <v>Cardápio Web</v>
      </c>
      <c r="V2593" s="33">
        <f>IFERROR(__xludf.DUMMYFUNCTION("""COMPUTED_VALUE"""),1.0)</f>
        <v>1</v>
      </c>
      <c r="W2593" s="4" t="str">
        <f>IFERROR(__xludf.DUMMYFUNCTION("""COMPUTED_VALUE"""),"Cardápio Web")</f>
        <v>Cardápio Web</v>
      </c>
      <c r="X2593" s="33">
        <f>IFERROR(__xludf.DUMMYFUNCTION("""COMPUTED_VALUE"""),1.0)</f>
        <v>1</v>
      </c>
    </row>
    <row r="2594">
      <c r="K2594" s="4" t="str">
        <f>IFERROR(__xludf.DUMMYFUNCTION("""COMPUTED_VALUE"""),"THE FAMILYS BLUMENAU - CONTA MARCA")</f>
        <v>THE FAMILYS BLUMENAU - CONTA MARCA</v>
      </c>
      <c r="L2594" s="32">
        <f>IFERROR(__xludf.DUMMYFUNCTION("""COMPUTED_VALUE"""),4.0)</f>
        <v>4</v>
      </c>
      <c r="M2594" s="4" t="str">
        <f>IFERROR(__xludf.DUMMYFUNCTION("""COMPUTED_VALUE"""),"Takeat Tecnologia")</f>
        <v>Takeat Tecnologia</v>
      </c>
      <c r="N2594" s="33">
        <f>IFERROR(__xludf.DUMMYFUNCTION("""COMPUTED_VALUE"""),0.75)</f>
        <v>0.75</v>
      </c>
      <c r="O2594" s="4" t="str">
        <f>IFERROR(__xludf.DUMMYFUNCTION("""COMPUTED_VALUE"""),"Takeat Tecnologia")</f>
        <v>Takeat Tecnologia</v>
      </c>
      <c r="P2594" s="33">
        <f>IFERROR(__xludf.DUMMYFUNCTION("""COMPUTED_VALUE"""),0.75)</f>
        <v>0.75</v>
      </c>
      <c r="Q2594" s="4" t="str">
        <f>IFERROR(__xludf.DUMMYFUNCTION("""COMPUTED_VALUE"""),"Takeat Tecnologia")</f>
        <v>Takeat Tecnologia</v>
      </c>
      <c r="R2594" s="33">
        <f>IFERROR(__xludf.DUMMYFUNCTION("""COMPUTED_VALUE"""),0.5)</f>
        <v>0.5</v>
      </c>
      <c r="S2594" s="4" t="str">
        <f>IFERROR(__xludf.DUMMYFUNCTION("""COMPUTED_VALUE"""),"null")</f>
        <v>null</v>
      </c>
      <c r="T2594" s="33">
        <f>IFERROR(__xludf.DUMMYFUNCTION("""COMPUTED_VALUE"""),0.5)</f>
        <v>0.5</v>
      </c>
      <c r="U2594" s="4" t="str">
        <f>IFERROR(__xludf.DUMMYFUNCTION("""COMPUTED_VALUE"""),"null")</f>
        <v>null</v>
      </c>
      <c r="V2594" s="33">
        <f>IFERROR(__xludf.DUMMYFUNCTION("""COMPUTED_VALUE"""),0.5)</f>
        <v>0.5</v>
      </c>
      <c r="W2594" s="4" t="str">
        <f>IFERROR(__xludf.DUMMYFUNCTION("""COMPUTED_VALUE"""),"Takeat Tecnologia")</f>
        <v>Takeat Tecnologia</v>
      </c>
      <c r="X2594" s="33">
        <f>IFERROR(__xludf.DUMMYFUNCTION("""COMPUTED_VALUE"""),0.75)</f>
        <v>0.75</v>
      </c>
    </row>
    <row r="2595">
      <c r="K2595" s="4" t="str">
        <f>IFERROR(__xludf.DUMMYFUNCTION("""COMPUTED_VALUE"""),"THE JAPA BEST BURGER")</f>
        <v>THE JAPA BEST BURGER</v>
      </c>
      <c r="L2595" s="32">
        <f>IFERROR(__xludf.DUMMYFUNCTION("""COMPUTED_VALUE"""),4.0)</f>
        <v>4</v>
      </c>
      <c r="M2595" s="4" t="str">
        <f>IFERROR(__xludf.DUMMYFUNCTION("""COMPUTED_VALUE"""),"Mp Multipedidos")</f>
        <v>Mp Multipedidos</v>
      </c>
      <c r="N2595" s="33">
        <f>IFERROR(__xludf.DUMMYFUNCTION("""COMPUTED_VALUE"""),0.5)</f>
        <v>0.5</v>
      </c>
      <c r="O2595" s="4" t="str">
        <f>IFERROR(__xludf.DUMMYFUNCTION("""COMPUTED_VALUE"""),"Mp Multipedidos")</f>
        <v>Mp Multipedidos</v>
      </c>
      <c r="P2595" s="33">
        <f>IFERROR(__xludf.DUMMYFUNCTION("""COMPUTED_VALUE"""),0.5)</f>
        <v>0.5</v>
      </c>
      <c r="Q2595" s="4" t="str">
        <f>IFERROR(__xludf.DUMMYFUNCTION("""COMPUTED_VALUE"""),"Mp Multipedidos")</f>
        <v>Mp Multipedidos</v>
      </c>
      <c r="R2595" s="33">
        <f>IFERROR(__xludf.DUMMYFUNCTION("""COMPUTED_VALUE"""),0.5)</f>
        <v>0.5</v>
      </c>
      <c r="S2595" s="4" t="str">
        <f>IFERROR(__xludf.DUMMYFUNCTION("""COMPUTED_VALUE"""),"Mp Multipedidos")</f>
        <v>Mp Multipedidos</v>
      </c>
      <c r="T2595" s="33">
        <f>IFERROR(__xludf.DUMMYFUNCTION("""COMPUTED_VALUE"""),0.5)</f>
        <v>0.5</v>
      </c>
      <c r="U2595" s="4" t="str">
        <f>IFERROR(__xludf.DUMMYFUNCTION("""COMPUTED_VALUE"""),"Mp Multipedidos")</f>
        <v>Mp Multipedidos</v>
      </c>
      <c r="V2595" s="33">
        <f>IFERROR(__xludf.DUMMYFUNCTION("""COMPUTED_VALUE"""),0.5)</f>
        <v>0.5</v>
      </c>
      <c r="W2595" s="4" t="str">
        <f>IFERROR(__xludf.DUMMYFUNCTION("""COMPUTED_VALUE"""),"Mp Multipedidos")</f>
        <v>Mp Multipedidos</v>
      </c>
      <c r="X2595" s="33">
        <f>IFERROR(__xludf.DUMMYFUNCTION("""COMPUTED_VALUE"""),0.5)</f>
        <v>0.5</v>
      </c>
    </row>
    <row r="2596">
      <c r="K2596" s="4" t="str">
        <f>IFERROR(__xludf.DUMMYFUNCTION("""COMPUTED_VALUE"""),"THE KINGS PIZZAS, MASSAS PETISCOS")</f>
        <v>THE KINGS PIZZAS, MASSAS PETISCOS</v>
      </c>
      <c r="L2596" s="32">
        <f>IFERROR(__xludf.DUMMYFUNCTION("""COMPUTED_VALUE"""),4.0)</f>
        <v>4</v>
      </c>
      <c r="M2596" s="4" t="str">
        <f>IFERROR(__xludf.DUMMYFUNCTION("""COMPUTED_VALUE"""),"Saipos Serviços De Software")</f>
        <v>Saipos Serviços De Software</v>
      </c>
      <c r="N2596" s="33">
        <f>IFERROR(__xludf.DUMMYFUNCTION("""COMPUTED_VALUE"""),1.0)</f>
        <v>1</v>
      </c>
      <c r="O2596" s="4" t="str">
        <f>IFERROR(__xludf.DUMMYFUNCTION("""COMPUTED_VALUE"""),"Saipos Serviços De Software")</f>
        <v>Saipos Serviços De Software</v>
      </c>
      <c r="P2596" s="33">
        <f>IFERROR(__xludf.DUMMYFUNCTION("""COMPUTED_VALUE"""),1.0)</f>
        <v>1</v>
      </c>
      <c r="Q2596" s="4" t="str">
        <f>IFERROR(__xludf.DUMMYFUNCTION("""COMPUTED_VALUE"""),"Saipos Serviços De Software")</f>
        <v>Saipos Serviços De Software</v>
      </c>
      <c r="R2596" s="33">
        <f>IFERROR(__xludf.DUMMYFUNCTION("""COMPUTED_VALUE"""),1.0)</f>
        <v>1</v>
      </c>
      <c r="S2596" s="4" t="str">
        <f>IFERROR(__xludf.DUMMYFUNCTION("""COMPUTED_VALUE"""),"Saipos Serviços De Software")</f>
        <v>Saipos Serviços De Software</v>
      </c>
      <c r="T2596" s="33">
        <f>IFERROR(__xludf.DUMMYFUNCTION("""COMPUTED_VALUE"""),1.0)</f>
        <v>1</v>
      </c>
      <c r="U2596" s="4" t="str">
        <f>IFERROR(__xludf.DUMMYFUNCTION("""COMPUTED_VALUE"""),"Saipos Serviços De Software")</f>
        <v>Saipos Serviços De Software</v>
      </c>
      <c r="V2596" s="33">
        <f>IFERROR(__xludf.DUMMYFUNCTION("""COMPUTED_VALUE"""),1.0)</f>
        <v>1</v>
      </c>
      <c r="W2596" s="4" t="str">
        <f>IFERROR(__xludf.DUMMYFUNCTION("""COMPUTED_VALUE"""),"Saipos Serviços De Software")</f>
        <v>Saipos Serviços De Software</v>
      </c>
      <c r="X2596" s="33">
        <f>IFERROR(__xludf.DUMMYFUNCTION("""COMPUTED_VALUE"""),1.0)</f>
        <v>1</v>
      </c>
    </row>
    <row r="2597">
      <c r="K2597" s="4" t="str">
        <f>IFERROR(__xludf.DUMMYFUNCTION("""COMPUTED_VALUE"""),"THE PETIT - FRA NOI - CONTA MARCA")</f>
        <v>THE PETIT - FRA NOI - CONTA MARCA</v>
      </c>
      <c r="L2597" s="32">
        <f>IFERROR(__xludf.DUMMYFUNCTION("""COMPUTED_VALUE"""),4.0)</f>
        <v>4</v>
      </c>
      <c r="M2597" s="4" t="str">
        <f>IFERROR(__xludf.DUMMYFUNCTION("""COMPUTED_VALUE"""),"Lexsis Sistemas")</f>
        <v>Lexsis Sistemas</v>
      </c>
      <c r="N2597" s="33">
        <f>IFERROR(__xludf.DUMMYFUNCTION("""COMPUTED_VALUE"""),1.0)</f>
        <v>1</v>
      </c>
      <c r="O2597" s="4" t="str">
        <f>IFERROR(__xludf.DUMMYFUNCTION("""COMPUTED_VALUE"""),"Lexsis Sistemas")</f>
        <v>Lexsis Sistemas</v>
      </c>
      <c r="P2597" s="33">
        <f>IFERROR(__xludf.DUMMYFUNCTION("""COMPUTED_VALUE"""),1.0)</f>
        <v>1</v>
      </c>
      <c r="Q2597" s="4" t="str">
        <f>IFERROR(__xludf.DUMMYFUNCTION("""COMPUTED_VALUE"""),"Lexsis Sistemas")</f>
        <v>Lexsis Sistemas</v>
      </c>
      <c r="R2597" s="33">
        <f>IFERROR(__xludf.DUMMYFUNCTION("""COMPUTED_VALUE"""),1.0)</f>
        <v>1</v>
      </c>
      <c r="S2597" s="4" t="str">
        <f>IFERROR(__xludf.DUMMYFUNCTION("""COMPUTED_VALUE"""),"Lexsis Sistemas")</f>
        <v>Lexsis Sistemas</v>
      </c>
      <c r="T2597" s="33">
        <f>IFERROR(__xludf.DUMMYFUNCTION("""COMPUTED_VALUE"""),1.0)</f>
        <v>1</v>
      </c>
      <c r="U2597" s="4" t="str">
        <f>IFERROR(__xludf.DUMMYFUNCTION("""COMPUTED_VALUE"""),"Lexsis Sistemas")</f>
        <v>Lexsis Sistemas</v>
      </c>
      <c r="V2597" s="33">
        <f>IFERROR(__xludf.DUMMYFUNCTION("""COMPUTED_VALUE"""),1.0)</f>
        <v>1</v>
      </c>
      <c r="W2597" s="4" t="str">
        <f>IFERROR(__xludf.DUMMYFUNCTION("""COMPUTED_VALUE"""),"Lexsis Sistemas")</f>
        <v>Lexsis Sistemas</v>
      </c>
      <c r="X2597" s="33">
        <f>IFERROR(__xludf.DUMMYFUNCTION("""COMPUTED_VALUE"""),1.0)</f>
        <v>1</v>
      </c>
    </row>
    <row r="2598">
      <c r="K2598" s="4" t="str">
        <f>IFERROR(__xludf.DUMMYFUNCTION("""COMPUTED_VALUE"""),"TINS MANIA")</f>
        <v>TINS MANIA</v>
      </c>
      <c r="L2598" s="32">
        <f>IFERROR(__xludf.DUMMYFUNCTION("""COMPUTED_VALUE"""),4.0)</f>
        <v>4</v>
      </c>
      <c r="M2598" s="4" t="str">
        <f>IFERROR(__xludf.DUMMYFUNCTION("""COMPUTED_VALUE"""),"Totvs Large Enterprise Tecnologia S.a.")</f>
        <v>Totvs Large Enterprise Tecnologia S.a.</v>
      </c>
      <c r="N2598" s="33">
        <f>IFERROR(__xludf.DUMMYFUNCTION("""COMPUTED_VALUE"""),0.5)</f>
        <v>0.5</v>
      </c>
      <c r="O2598" s="4" t="str">
        <f>IFERROR(__xludf.DUMMYFUNCTION("""COMPUTED_VALUE"""),"Mapp Sistemas")</f>
        <v>Mapp Sistemas</v>
      </c>
      <c r="P2598" s="33">
        <f>IFERROR(__xludf.DUMMYFUNCTION("""COMPUTED_VALUE"""),0.75)</f>
        <v>0.75</v>
      </c>
      <c r="Q2598" s="4" t="str">
        <f>IFERROR(__xludf.DUMMYFUNCTION("""COMPUTED_VALUE"""),"Totvs Large Enterprise Tecnologia S.a.")</f>
        <v>Totvs Large Enterprise Tecnologia S.a.</v>
      </c>
      <c r="R2598" s="33">
        <f>IFERROR(__xludf.DUMMYFUNCTION("""COMPUTED_VALUE"""),0.5)</f>
        <v>0.5</v>
      </c>
      <c r="S2598" s="4" t="str">
        <f>IFERROR(__xludf.DUMMYFUNCTION("""COMPUTED_VALUE"""),"Mapp Sistemas")</f>
        <v>Mapp Sistemas</v>
      </c>
      <c r="T2598" s="33">
        <f>IFERROR(__xludf.DUMMYFUNCTION("""COMPUTED_VALUE"""),0.5)</f>
        <v>0.5</v>
      </c>
      <c r="U2598" s="4" t="str">
        <f>IFERROR(__xludf.DUMMYFUNCTION("""COMPUTED_VALUE"""),"Mapp Sistemas")</f>
        <v>Mapp Sistemas</v>
      </c>
      <c r="V2598" s="33">
        <f>IFERROR(__xludf.DUMMYFUNCTION("""COMPUTED_VALUE"""),0.5)</f>
        <v>0.5</v>
      </c>
      <c r="W2598" s="4" t="str">
        <f>IFERROR(__xludf.DUMMYFUNCTION("""COMPUTED_VALUE"""),"Mapp Sistemas")</f>
        <v>Mapp Sistemas</v>
      </c>
      <c r="X2598" s="33">
        <f>IFERROR(__xludf.DUMMYFUNCTION("""COMPUTED_VALUE"""),0.5)</f>
        <v>0.5</v>
      </c>
    </row>
    <row r="2599">
      <c r="K2599" s="4" t="str">
        <f>IFERROR(__xludf.DUMMYFUNCTION("""COMPUTED_VALUE"""),"TOKIOMAKI SUSHI TEMAKI")</f>
        <v>TOKIOMAKI SUSHI TEMAKI</v>
      </c>
      <c r="L2599" s="32">
        <f>IFERROR(__xludf.DUMMYFUNCTION("""COMPUTED_VALUE"""),4.0)</f>
        <v>4</v>
      </c>
      <c r="M2599" s="4" t="str">
        <f>IFERROR(__xludf.DUMMYFUNCTION("""COMPUTED_VALUE"""),"Saipos Serviços De Software")</f>
        <v>Saipos Serviços De Software</v>
      </c>
      <c r="N2599" s="33">
        <f>IFERROR(__xludf.DUMMYFUNCTION("""COMPUTED_VALUE"""),1.0)</f>
        <v>1</v>
      </c>
      <c r="O2599" s="4" t="str">
        <f>IFERROR(__xludf.DUMMYFUNCTION("""COMPUTED_VALUE"""),"Saipos Serviços De Software")</f>
        <v>Saipos Serviços De Software</v>
      </c>
      <c r="P2599" s="33">
        <f>IFERROR(__xludf.DUMMYFUNCTION("""COMPUTED_VALUE"""),1.0)</f>
        <v>1</v>
      </c>
      <c r="Q2599" s="4" t="str">
        <f>IFERROR(__xludf.DUMMYFUNCTION("""COMPUTED_VALUE"""),"Saipos Serviços De Software")</f>
        <v>Saipos Serviços De Software</v>
      </c>
      <c r="R2599" s="33">
        <f>IFERROR(__xludf.DUMMYFUNCTION("""COMPUTED_VALUE"""),1.0)</f>
        <v>1</v>
      </c>
      <c r="S2599" s="4" t="str">
        <f>IFERROR(__xludf.DUMMYFUNCTION("""COMPUTED_VALUE"""),"Saipos Serviços De Software")</f>
        <v>Saipos Serviços De Software</v>
      </c>
      <c r="T2599" s="33">
        <f>IFERROR(__xludf.DUMMYFUNCTION("""COMPUTED_VALUE"""),1.0)</f>
        <v>1</v>
      </c>
      <c r="U2599" s="4" t="str">
        <f>IFERROR(__xludf.DUMMYFUNCTION("""COMPUTED_VALUE"""),"Saipos Serviços De Software")</f>
        <v>Saipos Serviços De Software</v>
      </c>
      <c r="V2599" s="33">
        <f>IFERROR(__xludf.DUMMYFUNCTION("""COMPUTED_VALUE"""),1.0)</f>
        <v>1</v>
      </c>
      <c r="W2599" s="4" t="str">
        <f>IFERROR(__xludf.DUMMYFUNCTION("""COMPUTED_VALUE"""),"Saipos Serviços De Software")</f>
        <v>Saipos Serviços De Software</v>
      </c>
      <c r="X2599" s="33">
        <f>IFERROR(__xludf.DUMMYFUNCTION("""COMPUTED_VALUE"""),1.0)</f>
        <v>1</v>
      </c>
    </row>
    <row r="2600">
      <c r="K2600" s="4" t="str">
        <f>IFERROR(__xludf.DUMMYFUNCTION("""COMPUTED_VALUE"""),"TOKOM FOME - ASIAN FOOD - CP")</f>
        <v>TOKOM FOME - ASIAN FOOD - CP</v>
      </c>
      <c r="L2600" s="32">
        <f>IFERROR(__xludf.DUMMYFUNCTION("""COMPUTED_VALUE"""),4.0)</f>
        <v>4</v>
      </c>
      <c r="M2600" s="4" t="str">
        <f>IFERROR(__xludf.DUMMYFUNCTION("""COMPUTED_VALUE"""),"Opdv")</f>
        <v>Opdv</v>
      </c>
      <c r="N2600" s="33">
        <f>IFERROR(__xludf.DUMMYFUNCTION("""COMPUTED_VALUE"""),1.0)</f>
        <v>1</v>
      </c>
      <c r="O2600" s="4" t="str">
        <f>IFERROR(__xludf.DUMMYFUNCTION("""COMPUTED_VALUE"""),"Opdv")</f>
        <v>Opdv</v>
      </c>
      <c r="P2600" s="33">
        <f>IFERROR(__xludf.DUMMYFUNCTION("""COMPUTED_VALUE"""),1.0)</f>
        <v>1</v>
      </c>
      <c r="Q2600" s="4" t="str">
        <f>IFERROR(__xludf.DUMMYFUNCTION("""COMPUTED_VALUE"""),"Opdv")</f>
        <v>Opdv</v>
      </c>
      <c r="R2600" s="33">
        <f>IFERROR(__xludf.DUMMYFUNCTION("""COMPUTED_VALUE"""),1.0)</f>
        <v>1</v>
      </c>
      <c r="S2600" s="4" t="str">
        <f>IFERROR(__xludf.DUMMYFUNCTION("""COMPUTED_VALUE"""),"Opdv")</f>
        <v>Opdv</v>
      </c>
      <c r="T2600" s="33">
        <f>IFERROR(__xludf.DUMMYFUNCTION("""COMPUTED_VALUE"""),1.0)</f>
        <v>1</v>
      </c>
      <c r="U2600" s="4" t="str">
        <f>IFERROR(__xludf.DUMMYFUNCTION("""COMPUTED_VALUE"""),"Saipos Serviços De Software")</f>
        <v>Saipos Serviços De Software</v>
      </c>
      <c r="V2600" s="33">
        <f>IFERROR(__xludf.DUMMYFUNCTION("""COMPUTED_VALUE"""),0.75)</f>
        <v>0.75</v>
      </c>
      <c r="W2600" s="4" t="str">
        <f>IFERROR(__xludf.DUMMYFUNCTION("""COMPUTED_VALUE"""),"Opdv")</f>
        <v>Opdv</v>
      </c>
      <c r="X2600" s="33">
        <f>IFERROR(__xludf.DUMMYFUNCTION("""COMPUTED_VALUE"""),0.75)</f>
        <v>0.75</v>
      </c>
    </row>
    <row r="2601">
      <c r="K2601" s="4" t="str">
        <f>IFERROR(__xludf.DUMMYFUNCTION("""COMPUTED_VALUE"""),"TOMANIK PIZZAS")</f>
        <v>TOMANIK PIZZAS</v>
      </c>
      <c r="L2601" s="32">
        <f>IFERROR(__xludf.DUMMYFUNCTION("""COMPUTED_VALUE"""),4.0)</f>
        <v>4</v>
      </c>
      <c r="M2601" s="4" t="str">
        <f>IFERROR(__xludf.DUMMYFUNCTION("""COMPUTED_VALUE"""),"Eclética Tecnologia")</f>
        <v>Eclética Tecnologia</v>
      </c>
      <c r="N2601" s="33">
        <f>IFERROR(__xludf.DUMMYFUNCTION("""COMPUTED_VALUE"""),1.0)</f>
        <v>1</v>
      </c>
      <c r="O2601" s="4" t="str">
        <f>IFERROR(__xludf.DUMMYFUNCTION("""COMPUTED_VALUE"""),"Eclética Tecnologia")</f>
        <v>Eclética Tecnologia</v>
      </c>
      <c r="P2601" s="33">
        <f>IFERROR(__xludf.DUMMYFUNCTION("""COMPUTED_VALUE"""),1.0)</f>
        <v>1</v>
      </c>
      <c r="Q2601" s="4" t="str">
        <f>IFERROR(__xludf.DUMMYFUNCTION("""COMPUTED_VALUE"""),"Eclética Tecnologia")</f>
        <v>Eclética Tecnologia</v>
      </c>
      <c r="R2601" s="33">
        <f>IFERROR(__xludf.DUMMYFUNCTION("""COMPUTED_VALUE"""),1.0)</f>
        <v>1</v>
      </c>
      <c r="S2601" s="4" t="str">
        <f>IFERROR(__xludf.DUMMYFUNCTION("""COMPUTED_VALUE"""),"Eclética Tecnologia")</f>
        <v>Eclética Tecnologia</v>
      </c>
      <c r="T2601" s="33">
        <f>IFERROR(__xludf.DUMMYFUNCTION("""COMPUTED_VALUE"""),1.0)</f>
        <v>1</v>
      </c>
      <c r="U2601" s="4" t="str">
        <f>IFERROR(__xludf.DUMMYFUNCTION("""COMPUTED_VALUE"""),"Eclética Tecnologia")</f>
        <v>Eclética Tecnologia</v>
      </c>
      <c r="V2601" s="33">
        <f>IFERROR(__xludf.DUMMYFUNCTION("""COMPUTED_VALUE"""),0.75)</f>
        <v>0.75</v>
      </c>
      <c r="W2601" s="4" t="str">
        <f>IFERROR(__xludf.DUMMYFUNCTION("""COMPUTED_VALUE"""),"Eclética Tecnologia")</f>
        <v>Eclética Tecnologia</v>
      </c>
      <c r="X2601" s="33">
        <f>IFERROR(__xludf.DUMMYFUNCTION("""COMPUTED_VALUE"""),0.75)</f>
        <v>0.75</v>
      </c>
    </row>
    <row r="2602">
      <c r="K2602" s="4" t="str">
        <f>IFERROR(__xludf.DUMMYFUNCTION("""COMPUTED_VALUE"""),"TOMY ACAI")</f>
        <v>TOMY ACAI</v>
      </c>
      <c r="L2602" s="32">
        <f>IFERROR(__xludf.DUMMYFUNCTION("""COMPUTED_VALUE"""),4.0)</f>
        <v>4</v>
      </c>
      <c r="M2602" s="4" t="str">
        <f>IFERROR(__xludf.DUMMYFUNCTION("""COMPUTED_VALUE"""),"Yooga")</f>
        <v>Yooga</v>
      </c>
      <c r="N2602" s="33">
        <f>IFERROR(__xludf.DUMMYFUNCTION("""COMPUTED_VALUE"""),1.0)</f>
        <v>1</v>
      </c>
      <c r="O2602" s="4" t="str">
        <f>IFERROR(__xludf.DUMMYFUNCTION("""COMPUTED_VALUE"""),"Yooga")</f>
        <v>Yooga</v>
      </c>
      <c r="P2602" s="33">
        <f>IFERROR(__xludf.DUMMYFUNCTION("""COMPUTED_VALUE"""),1.0)</f>
        <v>1</v>
      </c>
      <c r="Q2602" s="4" t="str">
        <f>IFERROR(__xludf.DUMMYFUNCTION("""COMPUTED_VALUE"""),"Yooga")</f>
        <v>Yooga</v>
      </c>
      <c r="R2602" s="33">
        <f>IFERROR(__xludf.DUMMYFUNCTION("""COMPUTED_VALUE"""),0.5)</f>
        <v>0.5</v>
      </c>
      <c r="S2602" s="4" t="str">
        <f>IFERROR(__xludf.DUMMYFUNCTION("""COMPUTED_VALUE"""),"Yooga")</f>
        <v>Yooga</v>
      </c>
      <c r="T2602" s="33">
        <f>IFERROR(__xludf.DUMMYFUNCTION("""COMPUTED_VALUE"""),0.5)</f>
        <v>0.5</v>
      </c>
      <c r="U2602" s="4" t="str">
        <f>IFERROR(__xludf.DUMMYFUNCTION("""COMPUTED_VALUE"""),"Saipos Serviços De Software")</f>
        <v>Saipos Serviços De Software</v>
      </c>
      <c r="V2602" s="33">
        <f>IFERROR(__xludf.DUMMYFUNCTION("""COMPUTED_VALUE"""),0.5)</f>
        <v>0.5</v>
      </c>
      <c r="W2602" s="4" t="str">
        <f>IFERROR(__xludf.DUMMYFUNCTION("""COMPUTED_VALUE"""),"Saipos Serviços De Software")</f>
        <v>Saipos Serviços De Software</v>
      </c>
      <c r="X2602" s="33">
        <f>IFERROR(__xludf.DUMMYFUNCTION("""COMPUTED_VALUE"""),0.5)</f>
        <v>0.5</v>
      </c>
    </row>
    <row r="2603">
      <c r="K2603" s="4" t="str">
        <f>IFERROR(__xludf.DUMMYFUNCTION("""COMPUTED_VALUE"""),"TORTELE FORTALEZA")</f>
        <v>TORTELE FORTALEZA</v>
      </c>
      <c r="L2603" s="32">
        <f>IFERROR(__xludf.DUMMYFUNCTION("""COMPUTED_VALUE"""),4.0)</f>
        <v>4</v>
      </c>
      <c r="M2603" s="4" t="str">
        <f>IFERROR(__xludf.DUMMYFUNCTION("""COMPUTED_VALUE"""),"Izzy Way Tecnologia")</f>
        <v>Izzy Way Tecnologia</v>
      </c>
      <c r="N2603" s="33">
        <f>IFERROR(__xludf.DUMMYFUNCTION("""COMPUTED_VALUE"""),0.75)</f>
        <v>0.75</v>
      </c>
      <c r="O2603" s="4" t="str">
        <f>IFERROR(__xludf.DUMMYFUNCTION("""COMPUTED_VALUE"""),"Izzy Way Tecnologia")</f>
        <v>Izzy Way Tecnologia</v>
      </c>
      <c r="P2603" s="33">
        <f>IFERROR(__xludf.DUMMYFUNCTION("""COMPUTED_VALUE"""),0.75)</f>
        <v>0.75</v>
      </c>
      <c r="Q2603" s="4" t="str">
        <f>IFERROR(__xludf.DUMMYFUNCTION("""COMPUTED_VALUE"""),"Izzy Way Tecnologia")</f>
        <v>Izzy Way Tecnologia</v>
      </c>
      <c r="R2603" s="33">
        <f>IFERROR(__xludf.DUMMYFUNCTION("""COMPUTED_VALUE"""),0.75)</f>
        <v>0.75</v>
      </c>
      <c r="S2603" s="4" t="str">
        <f>IFERROR(__xludf.DUMMYFUNCTION("""COMPUTED_VALUE"""),"Izzy Way Tecnologia")</f>
        <v>Izzy Way Tecnologia</v>
      </c>
      <c r="T2603" s="33">
        <f>IFERROR(__xludf.DUMMYFUNCTION("""COMPUTED_VALUE"""),0.75)</f>
        <v>0.75</v>
      </c>
      <c r="U2603" s="4" t="str">
        <f>IFERROR(__xludf.DUMMYFUNCTION("""COMPUTED_VALUE"""),"Izzy Way Tecnologia")</f>
        <v>Izzy Way Tecnologia</v>
      </c>
      <c r="V2603" s="33">
        <f>IFERROR(__xludf.DUMMYFUNCTION("""COMPUTED_VALUE"""),0.75)</f>
        <v>0.75</v>
      </c>
      <c r="W2603" s="4" t="str">
        <f>IFERROR(__xludf.DUMMYFUNCTION("""COMPUTED_VALUE"""),"Izzy Way Tecnologia")</f>
        <v>Izzy Way Tecnologia</v>
      </c>
      <c r="X2603" s="33">
        <f>IFERROR(__xludf.DUMMYFUNCTION("""COMPUTED_VALUE"""),0.75)</f>
        <v>0.75</v>
      </c>
    </row>
    <row r="2604">
      <c r="K2604" s="4" t="str">
        <f>IFERROR(__xludf.DUMMYFUNCTION("""COMPUTED_VALUE"""),"TSUYU NA CAIXINHA")</f>
        <v>TSUYU NA CAIXINHA</v>
      </c>
      <c r="L2604" s="32">
        <f>IFERROR(__xludf.DUMMYFUNCTION("""COMPUTED_VALUE"""),4.0)</f>
        <v>4</v>
      </c>
      <c r="M2604" s="4" t="str">
        <f>IFERROR(__xludf.DUMMYFUNCTION("""COMPUTED_VALUE"""),"null")</f>
        <v>null</v>
      </c>
      <c r="N2604" s="33">
        <f>IFERROR(__xludf.DUMMYFUNCTION("""COMPUTED_VALUE"""),0.75)</f>
        <v>0.75</v>
      </c>
      <c r="O2604" s="4" t="str">
        <f>IFERROR(__xludf.DUMMYFUNCTION("""COMPUTED_VALUE"""),"null")</f>
        <v>null</v>
      </c>
      <c r="P2604" s="33">
        <f>IFERROR(__xludf.DUMMYFUNCTION("""COMPUTED_VALUE"""),0.75)</f>
        <v>0.75</v>
      </c>
      <c r="Q2604" s="4" t="str">
        <f>IFERROR(__xludf.DUMMYFUNCTION("""COMPUTED_VALUE"""),"null")</f>
        <v>null</v>
      </c>
      <c r="R2604" s="33">
        <f>IFERROR(__xludf.DUMMYFUNCTION("""COMPUTED_VALUE"""),0.75)</f>
        <v>0.75</v>
      </c>
      <c r="S2604" s="4" t="str">
        <f>IFERROR(__xludf.DUMMYFUNCTION("""COMPUTED_VALUE"""),"Sagres Automação Comercial")</f>
        <v>Sagres Automação Comercial</v>
      </c>
      <c r="T2604" s="33">
        <f>IFERROR(__xludf.DUMMYFUNCTION("""COMPUTED_VALUE"""),0.75)</f>
        <v>0.75</v>
      </c>
      <c r="U2604" s="4" t="str">
        <f>IFERROR(__xludf.DUMMYFUNCTION("""COMPUTED_VALUE"""),"null")</f>
        <v>null</v>
      </c>
      <c r="V2604" s="33">
        <f>IFERROR(__xludf.DUMMYFUNCTION("""COMPUTED_VALUE"""),1.0)</f>
        <v>1</v>
      </c>
      <c r="W2604" s="4" t="str">
        <f>IFERROR(__xludf.DUMMYFUNCTION("""COMPUTED_VALUE"""),"null")</f>
        <v>null</v>
      </c>
      <c r="X2604" s="33">
        <f>IFERROR(__xludf.DUMMYFUNCTION("""COMPUTED_VALUE"""),1.0)</f>
        <v>1</v>
      </c>
    </row>
    <row r="2605">
      <c r="K2605" s="4" t="str">
        <f>IFERROR(__xludf.DUMMYFUNCTION("""COMPUTED_VALUE"""),"TUBARAO ESPETINHO CONTA PAI")</f>
        <v>TUBARAO ESPETINHO CONTA PAI</v>
      </c>
      <c r="L2605" s="32">
        <f>IFERROR(__xludf.DUMMYFUNCTION("""COMPUTED_VALUE"""),4.0)</f>
        <v>4</v>
      </c>
      <c r="M2605" s="4" t="str">
        <f>IFERROR(__xludf.DUMMYFUNCTION("""COMPUTED_VALUE"""),"null")</f>
        <v>null</v>
      </c>
      <c r="N2605" s="33">
        <f>IFERROR(__xludf.DUMMYFUNCTION("""COMPUTED_VALUE"""),0.75)</f>
        <v>0.75</v>
      </c>
      <c r="O2605" s="4" t="str">
        <f>IFERROR(__xludf.DUMMYFUNCTION("""COMPUTED_VALUE"""),"null")</f>
        <v>null</v>
      </c>
      <c r="P2605" s="33">
        <f>IFERROR(__xludf.DUMMYFUNCTION("""COMPUTED_VALUE"""),1.0)</f>
        <v>1</v>
      </c>
      <c r="Q2605" s="4" t="str">
        <f>IFERROR(__xludf.DUMMYFUNCTION("""COMPUTED_VALUE"""),"Menew - Linx")</f>
        <v>Menew - Linx</v>
      </c>
      <c r="R2605" s="33">
        <f>IFERROR(__xludf.DUMMYFUNCTION("""COMPUTED_VALUE"""),1.0)</f>
        <v>1</v>
      </c>
      <c r="S2605" s="4" t="str">
        <f>IFERROR(__xludf.DUMMYFUNCTION("""COMPUTED_VALUE"""),"Menew - Linx")</f>
        <v>Menew - Linx</v>
      </c>
      <c r="T2605" s="33">
        <f>IFERROR(__xludf.DUMMYFUNCTION("""COMPUTED_VALUE"""),1.0)</f>
        <v>1</v>
      </c>
      <c r="U2605" s="4" t="str">
        <f>IFERROR(__xludf.DUMMYFUNCTION("""COMPUTED_VALUE"""),"Menew - Linx")</f>
        <v>Menew - Linx</v>
      </c>
      <c r="V2605" s="33">
        <f>IFERROR(__xludf.DUMMYFUNCTION("""COMPUTED_VALUE"""),0.75)</f>
        <v>0.75</v>
      </c>
      <c r="W2605" s="4" t="str">
        <f>IFERROR(__xludf.DUMMYFUNCTION("""COMPUTED_VALUE"""),"Menew - Linx")</f>
        <v>Menew - Linx</v>
      </c>
      <c r="X2605" s="33">
        <f>IFERROR(__xludf.DUMMYFUNCTION("""COMPUTED_VALUE"""),0.5)</f>
        <v>0.5</v>
      </c>
    </row>
    <row r="2606">
      <c r="K2606" s="4" t="str">
        <f>IFERROR(__xludf.DUMMYFUNCTION("""COMPUTED_VALUE"""),"TUCANOS ACAI - PE")</f>
        <v>TUCANOS ACAI - PE</v>
      </c>
      <c r="L2606" s="32">
        <f>IFERROR(__xludf.DUMMYFUNCTION("""COMPUTED_VALUE"""),4.0)</f>
        <v>4</v>
      </c>
      <c r="M2606" s="4" t="str">
        <f>IFERROR(__xludf.DUMMYFUNCTION("""COMPUTED_VALUE"""),"Consumer Soluções Em Tecnologia Ltda")</f>
        <v>Consumer Soluções Em Tecnologia Ltda</v>
      </c>
      <c r="N2606" s="33">
        <f>IFERROR(__xludf.DUMMYFUNCTION("""COMPUTED_VALUE"""),1.0)</f>
        <v>1</v>
      </c>
      <c r="O2606" s="4" t="str">
        <f>IFERROR(__xludf.DUMMYFUNCTION("""COMPUTED_VALUE"""),"Saipos Serviços De Software")</f>
        <v>Saipos Serviços De Software</v>
      </c>
      <c r="P2606" s="33">
        <f>IFERROR(__xludf.DUMMYFUNCTION("""COMPUTED_VALUE"""),1.0)</f>
        <v>1</v>
      </c>
      <c r="Q2606" s="4" t="str">
        <f>IFERROR(__xludf.DUMMYFUNCTION("""COMPUTED_VALUE"""),"Saipos Serviços De Software")</f>
        <v>Saipos Serviços De Software</v>
      </c>
      <c r="R2606" s="33">
        <f>IFERROR(__xludf.DUMMYFUNCTION("""COMPUTED_VALUE"""),1.0)</f>
        <v>1</v>
      </c>
      <c r="S2606" s="4" t="str">
        <f>IFERROR(__xludf.DUMMYFUNCTION("""COMPUTED_VALUE"""),"Saipos Serviços De Software")</f>
        <v>Saipos Serviços De Software</v>
      </c>
      <c r="T2606" s="33">
        <f>IFERROR(__xludf.DUMMYFUNCTION("""COMPUTED_VALUE"""),1.0)</f>
        <v>1</v>
      </c>
      <c r="U2606" s="4" t="str">
        <f>IFERROR(__xludf.DUMMYFUNCTION("""COMPUTED_VALUE"""),"Saipos Serviços De Software")</f>
        <v>Saipos Serviços De Software</v>
      </c>
      <c r="V2606" s="33">
        <f>IFERROR(__xludf.DUMMYFUNCTION("""COMPUTED_VALUE"""),1.0)</f>
        <v>1</v>
      </c>
      <c r="W2606" s="4" t="str">
        <f>IFERROR(__xludf.DUMMYFUNCTION("""COMPUTED_VALUE"""),"Saipos Serviços De Software")</f>
        <v>Saipos Serviços De Software</v>
      </c>
      <c r="X2606" s="33">
        <f>IFERROR(__xludf.DUMMYFUNCTION("""COMPUTED_VALUE"""),1.0)</f>
        <v>1</v>
      </c>
    </row>
    <row r="2607">
      <c r="K2607" s="4" t="str">
        <f>IFERROR(__xludf.DUMMYFUNCTION("""COMPUTED_VALUE"""),"TURIM BELLA PIZZA")</f>
        <v>TURIM BELLA PIZZA</v>
      </c>
      <c r="L2607" s="32">
        <f>IFERROR(__xludf.DUMMYFUNCTION("""COMPUTED_VALUE"""),4.0)</f>
        <v>4</v>
      </c>
      <c r="M2607" s="4" t="str">
        <f>IFERROR(__xludf.DUMMYFUNCTION("""COMPUTED_VALUE"""),"Suitable Tecnologia E Gestao")</f>
        <v>Suitable Tecnologia E Gestao</v>
      </c>
      <c r="N2607" s="33">
        <f>IFERROR(__xludf.DUMMYFUNCTION("""COMPUTED_VALUE"""),1.0)</f>
        <v>1</v>
      </c>
      <c r="O2607" s="4" t="str">
        <f>IFERROR(__xludf.DUMMYFUNCTION("""COMPUTED_VALUE"""),"Suitable Tecnologia E Gestao")</f>
        <v>Suitable Tecnologia E Gestao</v>
      </c>
      <c r="P2607" s="33">
        <f>IFERROR(__xludf.DUMMYFUNCTION("""COMPUTED_VALUE"""),1.0)</f>
        <v>1</v>
      </c>
      <c r="Q2607" s="4" t="str">
        <f>IFERROR(__xludf.DUMMYFUNCTION("""COMPUTED_VALUE"""),"Suitable Tecnologia E Gestao")</f>
        <v>Suitable Tecnologia E Gestao</v>
      </c>
      <c r="R2607" s="33">
        <f>IFERROR(__xludf.DUMMYFUNCTION("""COMPUTED_VALUE"""),1.0)</f>
        <v>1</v>
      </c>
      <c r="S2607" s="4" t="str">
        <f>IFERROR(__xludf.DUMMYFUNCTION("""COMPUTED_VALUE"""),"Suitable Tecnologia E Gestao")</f>
        <v>Suitable Tecnologia E Gestao</v>
      </c>
      <c r="T2607" s="33">
        <f>IFERROR(__xludf.DUMMYFUNCTION("""COMPUTED_VALUE"""),0.75)</f>
        <v>0.75</v>
      </c>
      <c r="U2607" s="4" t="str">
        <f>IFERROR(__xludf.DUMMYFUNCTION("""COMPUTED_VALUE"""),"Suitable Tecnologia E Gestao")</f>
        <v>Suitable Tecnologia E Gestao</v>
      </c>
      <c r="V2607" s="33">
        <f>IFERROR(__xludf.DUMMYFUNCTION("""COMPUTED_VALUE"""),1.0)</f>
        <v>1</v>
      </c>
      <c r="W2607" s="4" t="str">
        <f>IFERROR(__xludf.DUMMYFUNCTION("""COMPUTED_VALUE"""),"Suitable Tecnologia E Gestao")</f>
        <v>Suitable Tecnologia E Gestao</v>
      </c>
      <c r="X2607" s="33">
        <f>IFERROR(__xludf.DUMMYFUNCTION("""COMPUTED_VALUE"""),1.0)</f>
        <v>1</v>
      </c>
    </row>
    <row r="2608">
      <c r="K2608" s="4" t="str">
        <f>IFERROR(__xludf.DUMMYFUNCTION("""COMPUTED_VALUE"""),"TUXA CG - CONTA PAI")</f>
        <v>TUXA CG - CONTA PAI</v>
      </c>
      <c r="L2608" s="32">
        <f>IFERROR(__xludf.DUMMYFUNCTION("""COMPUTED_VALUE"""),4.0)</f>
        <v>4</v>
      </c>
      <c r="M2608" s="4" t="str">
        <f>IFERROR(__xludf.DUMMYFUNCTION("""COMPUTED_VALUE"""),"Saipos Serviços De Software")</f>
        <v>Saipos Serviços De Software</v>
      </c>
      <c r="N2608" s="33">
        <f>IFERROR(__xludf.DUMMYFUNCTION("""COMPUTED_VALUE"""),1.0)</f>
        <v>1</v>
      </c>
      <c r="O2608" s="4" t="str">
        <f>IFERROR(__xludf.DUMMYFUNCTION("""COMPUTED_VALUE"""),"Saipos Serviços De Software")</f>
        <v>Saipos Serviços De Software</v>
      </c>
      <c r="P2608" s="33">
        <f>IFERROR(__xludf.DUMMYFUNCTION("""COMPUTED_VALUE"""),1.0)</f>
        <v>1</v>
      </c>
      <c r="Q2608" s="4" t="str">
        <f>IFERROR(__xludf.DUMMYFUNCTION("""COMPUTED_VALUE"""),"Saipos Serviços De Software")</f>
        <v>Saipos Serviços De Software</v>
      </c>
      <c r="R2608" s="33">
        <f>IFERROR(__xludf.DUMMYFUNCTION("""COMPUTED_VALUE"""),1.0)</f>
        <v>1</v>
      </c>
      <c r="S2608" s="4" t="str">
        <f>IFERROR(__xludf.DUMMYFUNCTION("""COMPUTED_VALUE"""),"Saipos Serviços De Software")</f>
        <v>Saipos Serviços De Software</v>
      </c>
      <c r="T2608" s="33">
        <f>IFERROR(__xludf.DUMMYFUNCTION("""COMPUTED_VALUE"""),1.0)</f>
        <v>1</v>
      </c>
      <c r="U2608" s="4" t="str">
        <f>IFERROR(__xludf.DUMMYFUNCTION("""COMPUTED_VALUE"""),"Saipos Serviços De Software")</f>
        <v>Saipos Serviços De Software</v>
      </c>
      <c r="V2608" s="33">
        <f>IFERROR(__xludf.DUMMYFUNCTION("""COMPUTED_VALUE"""),1.0)</f>
        <v>1</v>
      </c>
      <c r="W2608" s="4" t="str">
        <f>IFERROR(__xludf.DUMMYFUNCTION("""COMPUTED_VALUE"""),"Saipos Serviços De Software")</f>
        <v>Saipos Serviços De Software</v>
      </c>
      <c r="X2608" s="33">
        <f>IFERROR(__xludf.DUMMYFUNCTION("""COMPUTED_VALUE"""),1.0)</f>
        <v>1</v>
      </c>
    </row>
    <row r="2609">
      <c r="K2609" s="4" t="str">
        <f>IFERROR(__xludf.DUMMYFUNCTION("""COMPUTED_VALUE"""),"UAI CHINA - CONTA PAI")</f>
        <v>UAI CHINA - CONTA PAI</v>
      </c>
      <c r="L2609" s="32">
        <f>IFERROR(__xludf.DUMMYFUNCTION("""COMPUTED_VALUE"""),4.0)</f>
        <v>4</v>
      </c>
      <c r="M2609" s="4" t="str">
        <f>IFERROR(__xludf.DUMMYFUNCTION("""COMPUTED_VALUE"""),"Saipos Serviços De Software")</f>
        <v>Saipos Serviços De Software</v>
      </c>
      <c r="N2609" s="33">
        <f>IFERROR(__xludf.DUMMYFUNCTION("""COMPUTED_VALUE"""),1.0)</f>
        <v>1</v>
      </c>
      <c r="O2609" s="4" t="str">
        <f>IFERROR(__xludf.DUMMYFUNCTION("""COMPUTED_VALUE"""),"Saipos Serviços De Software")</f>
        <v>Saipos Serviços De Software</v>
      </c>
      <c r="P2609" s="33">
        <f>IFERROR(__xludf.DUMMYFUNCTION("""COMPUTED_VALUE"""),1.0)</f>
        <v>1</v>
      </c>
      <c r="Q2609" s="4" t="str">
        <f>IFERROR(__xludf.DUMMYFUNCTION("""COMPUTED_VALUE"""),"Saipos Serviços De Software")</f>
        <v>Saipos Serviços De Software</v>
      </c>
      <c r="R2609" s="33">
        <f>IFERROR(__xludf.DUMMYFUNCTION("""COMPUTED_VALUE"""),1.0)</f>
        <v>1</v>
      </c>
      <c r="S2609" s="4" t="str">
        <f>IFERROR(__xludf.DUMMYFUNCTION("""COMPUTED_VALUE"""),"Saipos Serviços De Software")</f>
        <v>Saipos Serviços De Software</v>
      </c>
      <c r="T2609" s="33">
        <f>IFERROR(__xludf.DUMMYFUNCTION("""COMPUTED_VALUE"""),1.0)</f>
        <v>1</v>
      </c>
      <c r="U2609" s="4" t="str">
        <f>IFERROR(__xludf.DUMMYFUNCTION("""COMPUTED_VALUE"""),"null")</f>
        <v>null</v>
      </c>
      <c r="V2609" s="33">
        <f>IFERROR(__xludf.DUMMYFUNCTION("""COMPUTED_VALUE"""),0.5)</f>
        <v>0.5</v>
      </c>
      <c r="W2609" s="4" t="str">
        <f>IFERROR(__xludf.DUMMYFUNCTION("""COMPUTED_VALUE"""),"null")</f>
        <v>null</v>
      </c>
      <c r="X2609" s="33">
        <f>IFERROR(__xludf.DUMMYFUNCTION("""COMPUTED_VALUE"""),0.5)</f>
        <v>0.5</v>
      </c>
    </row>
    <row r="2610">
      <c r="K2610" s="4" t="str">
        <f>IFERROR(__xludf.DUMMYFUNCTION("""COMPUTED_VALUE"""),"UAU PIZZA")</f>
        <v>UAU PIZZA</v>
      </c>
      <c r="L2610" s="32">
        <f>IFERROR(__xludf.DUMMYFUNCTION("""COMPUTED_VALUE"""),4.0)</f>
        <v>4</v>
      </c>
      <c r="M2610" s="4" t="str">
        <f>IFERROR(__xludf.DUMMYFUNCTION("""COMPUTED_VALUE"""),"Saipos Serviços De Software")</f>
        <v>Saipos Serviços De Software</v>
      </c>
      <c r="N2610" s="33">
        <f>IFERROR(__xludf.DUMMYFUNCTION("""COMPUTED_VALUE"""),1.0)</f>
        <v>1</v>
      </c>
      <c r="O2610" s="4" t="str">
        <f>IFERROR(__xludf.DUMMYFUNCTION("""COMPUTED_VALUE"""),"Saipos Serviços De Software")</f>
        <v>Saipos Serviços De Software</v>
      </c>
      <c r="P2610" s="33">
        <f>IFERROR(__xludf.DUMMYFUNCTION("""COMPUTED_VALUE"""),1.0)</f>
        <v>1</v>
      </c>
      <c r="Q2610" s="4" t="str">
        <f>IFERROR(__xludf.DUMMYFUNCTION("""COMPUTED_VALUE"""),"Saipos Serviços De Software")</f>
        <v>Saipos Serviços De Software</v>
      </c>
      <c r="R2610" s="33">
        <f>IFERROR(__xludf.DUMMYFUNCTION("""COMPUTED_VALUE"""),1.0)</f>
        <v>1</v>
      </c>
      <c r="S2610" s="4" t="str">
        <f>IFERROR(__xludf.DUMMYFUNCTION("""COMPUTED_VALUE"""),"Saipos Serviços De Software")</f>
        <v>Saipos Serviços De Software</v>
      </c>
      <c r="T2610" s="33">
        <f>IFERROR(__xludf.DUMMYFUNCTION("""COMPUTED_VALUE"""),1.0)</f>
        <v>1</v>
      </c>
      <c r="U2610" s="4" t="str">
        <f>IFERROR(__xludf.DUMMYFUNCTION("""COMPUTED_VALUE"""),"Saipos Serviços De Software")</f>
        <v>Saipos Serviços De Software</v>
      </c>
      <c r="V2610" s="33">
        <f>IFERROR(__xludf.DUMMYFUNCTION("""COMPUTED_VALUE"""),1.0)</f>
        <v>1</v>
      </c>
      <c r="W2610" s="4" t="str">
        <f>IFERROR(__xludf.DUMMYFUNCTION("""COMPUTED_VALUE"""),"Saipos Serviços De Software")</f>
        <v>Saipos Serviços De Software</v>
      </c>
      <c r="X2610" s="33">
        <f>IFERROR(__xludf.DUMMYFUNCTION("""COMPUTED_VALUE"""),1.0)</f>
        <v>1</v>
      </c>
    </row>
    <row r="2611">
      <c r="K2611" s="4" t="str">
        <f>IFERROR(__xludf.DUMMYFUNCTION("""COMPUTED_VALUE"""),"ULTRA POPULAR - LOJAS RODRIGUES - CONTA MARCA")</f>
        <v>ULTRA POPULAR - LOJAS RODRIGUES - CONTA MARCA</v>
      </c>
      <c r="L2611" s="32">
        <f>IFERROR(__xludf.DUMMYFUNCTION("""COMPUTED_VALUE"""),4.0)</f>
        <v>4</v>
      </c>
      <c r="M2611" s="4" t="str">
        <f>IFERROR(__xludf.DUMMYFUNCTION("""COMPUTED_VALUE"""),"N/A (Not found)")</f>
        <v>N/A (Not found)</v>
      </c>
      <c r="N2611" s="33">
        <f>IFERROR(__xludf.DUMMYFUNCTION("""COMPUTED_VALUE"""),1.0)</f>
        <v>1</v>
      </c>
      <c r="O2611" s="4" t="str">
        <f>IFERROR(__xludf.DUMMYFUNCTION("""COMPUTED_VALUE"""),"N/A (Not found)")</f>
        <v>N/A (Not found)</v>
      </c>
      <c r="P2611" s="33">
        <f>IFERROR(__xludf.DUMMYFUNCTION("""COMPUTED_VALUE"""),1.0)</f>
        <v>1</v>
      </c>
      <c r="Q2611" s="4" t="str">
        <f>IFERROR(__xludf.DUMMYFUNCTION("""COMPUTED_VALUE"""),"N/A (Not found)")</f>
        <v>N/A (Not found)</v>
      </c>
      <c r="R2611" s="33">
        <f>IFERROR(__xludf.DUMMYFUNCTION("""COMPUTED_VALUE"""),1.0)</f>
        <v>1</v>
      </c>
      <c r="S2611" s="4" t="str">
        <f>IFERROR(__xludf.DUMMYFUNCTION("""COMPUTED_VALUE"""),"N/A (Not found)")</f>
        <v>N/A (Not found)</v>
      </c>
      <c r="T2611" s="33">
        <f>IFERROR(__xludf.DUMMYFUNCTION("""COMPUTED_VALUE"""),1.0)</f>
        <v>1</v>
      </c>
      <c r="U2611" s="4" t="str">
        <f>IFERROR(__xludf.DUMMYFUNCTION("""COMPUTED_VALUE"""),"N/A (Not found)")</f>
        <v>N/A (Not found)</v>
      </c>
      <c r="V2611" s="33">
        <f>IFERROR(__xludf.DUMMYFUNCTION("""COMPUTED_VALUE"""),1.0)</f>
        <v>1</v>
      </c>
      <c r="W2611" s="4" t="str">
        <f>IFERROR(__xludf.DUMMYFUNCTION("""COMPUTED_VALUE"""),"N/A (Not found)")</f>
        <v>N/A (Not found)</v>
      </c>
      <c r="X2611" s="33">
        <f>IFERROR(__xludf.DUMMYFUNCTION("""COMPUTED_VALUE"""),1.0)</f>
        <v>1</v>
      </c>
    </row>
    <row r="2612">
      <c r="K2612" s="4" t="str">
        <f>IFERROR(__xludf.DUMMYFUNCTION("""COMPUTED_VALUE"""),"ULTRA POPULAR - LOJAS SABOIA - CONTA MARCA")</f>
        <v>ULTRA POPULAR - LOJAS SABOIA - CONTA MARCA</v>
      </c>
      <c r="L2612" s="32">
        <f>IFERROR(__xludf.DUMMYFUNCTION("""COMPUTED_VALUE"""),4.0)</f>
        <v>4</v>
      </c>
      <c r="M2612" s="4" t="str">
        <f>IFERROR(__xludf.DUMMYFUNCTION("""COMPUTED_VALUE"""),"N/A (Not found)")</f>
        <v>N/A (Not found)</v>
      </c>
      <c r="N2612" s="33">
        <f>IFERROR(__xludf.DUMMYFUNCTION("""COMPUTED_VALUE"""),1.0)</f>
        <v>1</v>
      </c>
      <c r="O2612" s="4" t="str">
        <f>IFERROR(__xludf.DUMMYFUNCTION("""COMPUTED_VALUE"""),"N/A (Not found)")</f>
        <v>N/A (Not found)</v>
      </c>
      <c r="P2612" s="33">
        <f>IFERROR(__xludf.DUMMYFUNCTION("""COMPUTED_VALUE"""),1.0)</f>
        <v>1</v>
      </c>
      <c r="Q2612" s="4" t="str">
        <f>IFERROR(__xludf.DUMMYFUNCTION("""COMPUTED_VALUE"""),"N/A (Not found)")</f>
        <v>N/A (Not found)</v>
      </c>
      <c r="R2612" s="33">
        <f>IFERROR(__xludf.DUMMYFUNCTION("""COMPUTED_VALUE"""),1.0)</f>
        <v>1</v>
      </c>
      <c r="S2612" s="4" t="str">
        <f>IFERROR(__xludf.DUMMYFUNCTION("""COMPUTED_VALUE"""),"N/A (Not found)")</f>
        <v>N/A (Not found)</v>
      </c>
      <c r="T2612" s="33">
        <f>IFERROR(__xludf.DUMMYFUNCTION("""COMPUTED_VALUE"""),1.0)</f>
        <v>1</v>
      </c>
      <c r="U2612" s="4" t="str">
        <f>IFERROR(__xludf.DUMMYFUNCTION("""COMPUTED_VALUE"""),"N/A (Not found)")</f>
        <v>N/A (Not found)</v>
      </c>
      <c r="V2612" s="33">
        <f>IFERROR(__xludf.DUMMYFUNCTION("""COMPUTED_VALUE"""),1.0)</f>
        <v>1</v>
      </c>
      <c r="W2612" s="4" t="str">
        <f>IFERROR(__xludf.DUMMYFUNCTION("""COMPUTED_VALUE"""),"N/A (Not found)")</f>
        <v>N/A (Not found)</v>
      </c>
      <c r="X2612" s="33">
        <f>IFERROR(__xludf.DUMMYFUNCTION("""COMPUTED_VALUE"""),1.0)</f>
        <v>1</v>
      </c>
    </row>
    <row r="2613">
      <c r="K2613" s="4" t="str">
        <f>IFERROR(__xludf.DUMMYFUNCTION("""COMPUTED_VALUE"""),"ULTRA POPULAR GRUPO ABRE FARMA - CONTA MARCA")</f>
        <v>ULTRA POPULAR GRUPO ABRE FARMA - CONTA MARCA</v>
      </c>
      <c r="L2613" s="32">
        <f>IFERROR(__xludf.DUMMYFUNCTION("""COMPUTED_VALUE"""),4.0)</f>
        <v>4</v>
      </c>
      <c r="M2613" s="4" t="str">
        <f>IFERROR(__xludf.DUMMYFUNCTION("""COMPUTED_VALUE"""),"N/A (Not found)")</f>
        <v>N/A (Not found)</v>
      </c>
      <c r="N2613" s="33">
        <f>IFERROR(__xludf.DUMMYFUNCTION("""COMPUTED_VALUE"""),1.0)</f>
        <v>1</v>
      </c>
      <c r="O2613" s="4" t="str">
        <f>IFERROR(__xludf.DUMMYFUNCTION("""COMPUTED_VALUE"""),"N/A (Not found)")</f>
        <v>N/A (Not found)</v>
      </c>
      <c r="P2613" s="33">
        <f>IFERROR(__xludf.DUMMYFUNCTION("""COMPUTED_VALUE"""),1.0)</f>
        <v>1</v>
      </c>
      <c r="Q2613" s="4" t="str">
        <f>IFERROR(__xludf.DUMMYFUNCTION("""COMPUTED_VALUE"""),"N/A (Not found)")</f>
        <v>N/A (Not found)</v>
      </c>
      <c r="R2613" s="33">
        <f>IFERROR(__xludf.DUMMYFUNCTION("""COMPUTED_VALUE"""),1.0)</f>
        <v>1</v>
      </c>
      <c r="S2613" s="4" t="str">
        <f>IFERROR(__xludf.DUMMYFUNCTION("""COMPUTED_VALUE"""),"N/A (Not found)")</f>
        <v>N/A (Not found)</v>
      </c>
      <c r="T2613" s="33">
        <f>IFERROR(__xludf.DUMMYFUNCTION("""COMPUTED_VALUE"""),1.0)</f>
        <v>1</v>
      </c>
      <c r="U2613" s="4" t="str">
        <f>IFERROR(__xludf.DUMMYFUNCTION("""COMPUTED_VALUE"""),"N/A (Not found)")</f>
        <v>N/A (Not found)</v>
      </c>
      <c r="V2613" s="33">
        <f>IFERROR(__xludf.DUMMYFUNCTION("""COMPUTED_VALUE"""),1.0)</f>
        <v>1</v>
      </c>
      <c r="W2613" s="4" t="str">
        <f>IFERROR(__xludf.DUMMYFUNCTION("""COMPUTED_VALUE"""),"N/A (Not found)")</f>
        <v>N/A (Not found)</v>
      </c>
      <c r="X2613" s="33">
        <f>IFERROR(__xludf.DUMMYFUNCTION("""COMPUTED_VALUE"""),1.0)</f>
        <v>1</v>
      </c>
    </row>
    <row r="2614">
      <c r="K2614" s="4" t="str">
        <f>IFERROR(__xludf.DUMMYFUNCTION("""COMPUTED_VALUE"""),"ULTRAPOPULAR GRUPO CAUFARMA - CONTA MARCA")</f>
        <v>ULTRAPOPULAR GRUPO CAUFARMA - CONTA MARCA</v>
      </c>
      <c r="L2614" s="32">
        <f>IFERROR(__xludf.DUMMYFUNCTION("""COMPUTED_VALUE"""),4.0)</f>
        <v>4</v>
      </c>
      <c r="M2614" s="4" t="str">
        <f>IFERROR(__xludf.DUMMYFUNCTION("""COMPUTED_VALUE"""),"N/A (Not found)")</f>
        <v>N/A (Not found)</v>
      </c>
      <c r="N2614" s="33">
        <f>IFERROR(__xludf.DUMMYFUNCTION("""COMPUTED_VALUE"""),1.0)</f>
        <v>1</v>
      </c>
      <c r="O2614" s="4" t="str">
        <f>IFERROR(__xludf.DUMMYFUNCTION("""COMPUTED_VALUE"""),"N/A (Not found)")</f>
        <v>N/A (Not found)</v>
      </c>
      <c r="P2614" s="33">
        <f>IFERROR(__xludf.DUMMYFUNCTION("""COMPUTED_VALUE"""),1.0)</f>
        <v>1</v>
      </c>
      <c r="Q2614" s="4" t="str">
        <f>IFERROR(__xludf.DUMMYFUNCTION("""COMPUTED_VALUE"""),"N/A (Not found)")</f>
        <v>N/A (Not found)</v>
      </c>
      <c r="R2614" s="33">
        <f>IFERROR(__xludf.DUMMYFUNCTION("""COMPUTED_VALUE"""),1.0)</f>
        <v>1</v>
      </c>
      <c r="S2614" s="4" t="str">
        <f>IFERROR(__xludf.DUMMYFUNCTION("""COMPUTED_VALUE"""),"N/A (Not found)")</f>
        <v>N/A (Not found)</v>
      </c>
      <c r="T2614" s="33">
        <f>IFERROR(__xludf.DUMMYFUNCTION("""COMPUTED_VALUE"""),1.0)</f>
        <v>1</v>
      </c>
      <c r="U2614" s="4" t="str">
        <f>IFERROR(__xludf.DUMMYFUNCTION("""COMPUTED_VALUE"""),"N/A (Not found)")</f>
        <v>N/A (Not found)</v>
      </c>
      <c r="V2614" s="33">
        <f>IFERROR(__xludf.DUMMYFUNCTION("""COMPUTED_VALUE"""),1.0)</f>
        <v>1</v>
      </c>
      <c r="W2614" s="4" t="str">
        <f>IFERROR(__xludf.DUMMYFUNCTION("""COMPUTED_VALUE"""),"N/A (Not found)")</f>
        <v>N/A (Not found)</v>
      </c>
      <c r="X2614" s="33">
        <f>IFERROR(__xludf.DUMMYFUNCTION("""COMPUTED_VALUE"""),1.0)</f>
        <v>1</v>
      </c>
    </row>
    <row r="2615">
      <c r="K2615" s="4" t="str">
        <f>IFERROR(__xludf.DUMMYFUNCTION("""COMPUTED_VALUE"""),"UNE MARCA")</f>
        <v>UNE MARCA</v>
      </c>
      <c r="L2615" s="32">
        <f>IFERROR(__xludf.DUMMYFUNCTION("""COMPUTED_VALUE"""),4.0)</f>
        <v>4</v>
      </c>
      <c r="M2615" s="4" t="str">
        <f>IFERROR(__xludf.DUMMYFUNCTION("""COMPUTED_VALUE"""),"Saipos Serviços De Software")</f>
        <v>Saipos Serviços De Software</v>
      </c>
      <c r="N2615" s="33">
        <f>IFERROR(__xludf.DUMMYFUNCTION("""COMPUTED_VALUE"""),1.0)</f>
        <v>1</v>
      </c>
      <c r="O2615" s="4" t="str">
        <f>IFERROR(__xludf.DUMMYFUNCTION("""COMPUTED_VALUE"""),"Saipos Serviços De Software")</f>
        <v>Saipos Serviços De Software</v>
      </c>
      <c r="P2615" s="33">
        <f>IFERROR(__xludf.DUMMYFUNCTION("""COMPUTED_VALUE"""),1.0)</f>
        <v>1</v>
      </c>
      <c r="Q2615" s="4" t="str">
        <f>IFERROR(__xludf.DUMMYFUNCTION("""COMPUTED_VALUE"""),"Saipos Serviços De Software")</f>
        <v>Saipos Serviços De Software</v>
      </c>
      <c r="R2615" s="33">
        <f>IFERROR(__xludf.DUMMYFUNCTION("""COMPUTED_VALUE"""),1.0)</f>
        <v>1</v>
      </c>
      <c r="S2615" s="4" t="str">
        <f>IFERROR(__xludf.DUMMYFUNCTION("""COMPUTED_VALUE"""),"Saipos Serviços De Software")</f>
        <v>Saipos Serviços De Software</v>
      </c>
      <c r="T2615" s="33">
        <f>IFERROR(__xludf.DUMMYFUNCTION("""COMPUTED_VALUE"""),1.0)</f>
        <v>1</v>
      </c>
      <c r="U2615" s="4" t="str">
        <f>IFERROR(__xludf.DUMMYFUNCTION("""COMPUTED_VALUE"""),"Saipos Serviços De Software")</f>
        <v>Saipos Serviços De Software</v>
      </c>
      <c r="V2615" s="33">
        <f>IFERROR(__xludf.DUMMYFUNCTION("""COMPUTED_VALUE"""),1.0)</f>
        <v>1</v>
      </c>
      <c r="W2615" s="4" t="str">
        <f>IFERROR(__xludf.DUMMYFUNCTION("""COMPUTED_VALUE"""),"Saipos Serviços De Software")</f>
        <v>Saipos Serviços De Software</v>
      </c>
      <c r="X2615" s="33">
        <f>IFERROR(__xludf.DUMMYFUNCTION("""COMPUTED_VALUE"""),1.0)</f>
        <v>1</v>
      </c>
    </row>
    <row r="2616">
      <c r="K2616" s="4" t="str">
        <f>IFERROR(__xludf.DUMMYFUNCTION("""COMPUTED_VALUE"""),"UNI SUSHI")</f>
        <v>UNI SUSHI</v>
      </c>
      <c r="L2616" s="32">
        <f>IFERROR(__xludf.DUMMYFUNCTION("""COMPUTED_VALUE"""),4.0)</f>
        <v>4</v>
      </c>
      <c r="M2616" s="4" t="str">
        <f>IFERROR(__xludf.DUMMYFUNCTION("""COMPUTED_VALUE"""),"Saipos Serviços De Software")</f>
        <v>Saipos Serviços De Software</v>
      </c>
      <c r="N2616" s="33">
        <f>IFERROR(__xludf.DUMMYFUNCTION("""COMPUTED_VALUE"""),1.0)</f>
        <v>1</v>
      </c>
      <c r="O2616" s="4" t="str">
        <f>IFERROR(__xludf.DUMMYFUNCTION("""COMPUTED_VALUE"""),"Saipos Serviços De Software")</f>
        <v>Saipos Serviços De Software</v>
      </c>
      <c r="P2616" s="33">
        <f>IFERROR(__xludf.DUMMYFUNCTION("""COMPUTED_VALUE"""),0.75)</f>
        <v>0.75</v>
      </c>
      <c r="Q2616" s="4" t="str">
        <f>IFERROR(__xludf.DUMMYFUNCTION("""COMPUTED_VALUE"""),"Saipos Serviços De Software")</f>
        <v>Saipos Serviços De Software</v>
      </c>
      <c r="R2616" s="33">
        <f>IFERROR(__xludf.DUMMYFUNCTION("""COMPUTED_VALUE"""),0.75)</f>
        <v>0.75</v>
      </c>
      <c r="S2616" s="4" t="str">
        <f>IFERROR(__xludf.DUMMYFUNCTION("""COMPUTED_VALUE"""),"Saipos Serviços De Software")</f>
        <v>Saipos Serviços De Software</v>
      </c>
      <c r="T2616" s="33">
        <f>IFERROR(__xludf.DUMMYFUNCTION("""COMPUTED_VALUE"""),0.75)</f>
        <v>0.75</v>
      </c>
      <c r="U2616" s="4" t="str">
        <f>IFERROR(__xludf.DUMMYFUNCTION("""COMPUTED_VALUE"""),"Saipos Serviços De Software")</f>
        <v>Saipos Serviços De Software</v>
      </c>
      <c r="V2616" s="33">
        <f>IFERROR(__xludf.DUMMYFUNCTION("""COMPUTED_VALUE"""),0.75)</f>
        <v>0.75</v>
      </c>
      <c r="W2616" s="4" t="str">
        <f>IFERROR(__xludf.DUMMYFUNCTION("""COMPUTED_VALUE"""),"Saipos Serviços De Software")</f>
        <v>Saipos Serviços De Software</v>
      </c>
      <c r="X2616" s="33">
        <f>IFERROR(__xludf.DUMMYFUNCTION("""COMPUTED_VALUE"""),0.75)</f>
        <v>0.75</v>
      </c>
    </row>
    <row r="2617">
      <c r="K2617" s="4" t="str">
        <f>IFERROR(__xludf.DUMMYFUNCTION("""COMPUTED_VALUE"""),"USINA DO HAMBURGUER - CONTA MARCA")</f>
        <v>USINA DO HAMBURGUER - CONTA MARCA</v>
      </c>
      <c r="L2617" s="32">
        <f>IFERROR(__xludf.DUMMYFUNCTION("""COMPUTED_VALUE"""),4.0)</f>
        <v>4</v>
      </c>
      <c r="M2617" s="4" t="str">
        <f>IFERROR(__xludf.DUMMYFUNCTION("""COMPUTED_VALUE"""),"Vuca Solution")</f>
        <v>Vuca Solution</v>
      </c>
      <c r="N2617" s="33">
        <f>IFERROR(__xludf.DUMMYFUNCTION("""COMPUTED_VALUE"""),0.5)</f>
        <v>0.5</v>
      </c>
      <c r="O2617" s="4" t="str">
        <f>IFERROR(__xludf.DUMMYFUNCTION("""COMPUTED_VALUE"""),"Vuca Solution")</f>
        <v>Vuca Solution</v>
      </c>
      <c r="P2617" s="33">
        <f>IFERROR(__xludf.DUMMYFUNCTION("""COMPUTED_VALUE"""),0.25)</f>
        <v>0.25</v>
      </c>
      <c r="Q2617" s="4" t="str">
        <f>IFERROR(__xludf.DUMMYFUNCTION("""COMPUTED_VALUE"""),"Stone Co.")</f>
        <v>Stone Co.</v>
      </c>
      <c r="R2617" s="33">
        <f>IFERROR(__xludf.DUMMYFUNCTION("""COMPUTED_VALUE"""),0.5)</f>
        <v>0.5</v>
      </c>
      <c r="S2617" s="4" t="str">
        <f>IFERROR(__xludf.DUMMYFUNCTION("""COMPUTED_VALUE"""),"Stone Co.")</f>
        <v>Stone Co.</v>
      </c>
      <c r="T2617" s="33">
        <f>IFERROR(__xludf.DUMMYFUNCTION("""COMPUTED_VALUE"""),0.5)</f>
        <v>0.5</v>
      </c>
      <c r="U2617" s="4" t="str">
        <f>IFERROR(__xludf.DUMMYFUNCTION("""COMPUTED_VALUE"""),"Stone Co.")</f>
        <v>Stone Co.</v>
      </c>
      <c r="V2617" s="33">
        <f>IFERROR(__xludf.DUMMYFUNCTION("""COMPUTED_VALUE"""),0.5)</f>
        <v>0.5</v>
      </c>
      <c r="W2617" s="4" t="str">
        <f>IFERROR(__xludf.DUMMYFUNCTION("""COMPUTED_VALUE"""),"Stone Co.")</f>
        <v>Stone Co.</v>
      </c>
      <c r="X2617" s="33">
        <f>IFERROR(__xludf.DUMMYFUNCTION("""COMPUTED_VALUE"""),0.5)</f>
        <v>0.5</v>
      </c>
    </row>
    <row r="2618">
      <c r="K2618" s="4" t="str">
        <f>IFERROR(__xludf.DUMMYFUNCTION("""COMPUTED_VALUE"""),"VALESI DROGARIA - CONTA PAI")</f>
        <v>VALESI DROGARIA - CONTA PAI</v>
      </c>
      <c r="L2618" s="32">
        <f>IFERROR(__xludf.DUMMYFUNCTION("""COMPUTED_VALUE"""),4.0)</f>
        <v>4</v>
      </c>
      <c r="M2618" s="4" t="str">
        <f>IFERROR(__xludf.DUMMYFUNCTION("""COMPUTED_VALUE"""),"N/A (Not found)")</f>
        <v>N/A (Not found)</v>
      </c>
      <c r="N2618" s="33">
        <f>IFERROR(__xludf.DUMMYFUNCTION("""COMPUTED_VALUE"""),0.75)</f>
        <v>0.75</v>
      </c>
      <c r="O2618" s="4" t="str">
        <f>IFERROR(__xludf.DUMMYFUNCTION("""COMPUTED_VALUE"""),"N/A (Not found)")</f>
        <v>N/A (Not found)</v>
      </c>
      <c r="P2618" s="33">
        <f>IFERROR(__xludf.DUMMYFUNCTION("""COMPUTED_VALUE"""),0.5)</f>
        <v>0.5</v>
      </c>
      <c r="Q2618" s="4" t="str">
        <f>IFERROR(__xludf.DUMMYFUNCTION("""COMPUTED_VALUE"""),"N/A (Not found)")</f>
        <v>N/A (Not found)</v>
      </c>
      <c r="R2618" s="33">
        <f>IFERROR(__xludf.DUMMYFUNCTION("""COMPUTED_VALUE"""),0.5)</f>
        <v>0.5</v>
      </c>
      <c r="S2618" s="4" t="str">
        <f>IFERROR(__xludf.DUMMYFUNCTION("""COMPUTED_VALUE"""),"N/A (Not found)")</f>
        <v>N/A (Not found)</v>
      </c>
      <c r="T2618" s="33">
        <f>IFERROR(__xludf.DUMMYFUNCTION("""COMPUTED_VALUE"""),0.75)</f>
        <v>0.75</v>
      </c>
      <c r="U2618" s="4" t="str">
        <f>IFERROR(__xludf.DUMMYFUNCTION("""COMPUTED_VALUE"""),"N/A (Not found)")</f>
        <v>N/A (Not found)</v>
      </c>
      <c r="V2618" s="33">
        <f>IFERROR(__xludf.DUMMYFUNCTION("""COMPUTED_VALUE"""),0.75)</f>
        <v>0.75</v>
      </c>
      <c r="W2618" s="4" t="str">
        <f>IFERROR(__xludf.DUMMYFUNCTION("""COMPUTED_VALUE"""),"N/A (Not found)")</f>
        <v>N/A (Not found)</v>
      </c>
      <c r="X2618" s="33">
        <f>IFERROR(__xludf.DUMMYFUNCTION("""COMPUTED_VALUE"""),0.75)</f>
        <v>0.75</v>
      </c>
    </row>
    <row r="2619">
      <c r="K2619" s="4" t="str">
        <f>IFERROR(__xludf.DUMMYFUNCTION("""COMPUTED_VALUE"""),"VILA DO ACAI VILA VELHA")</f>
        <v>VILA DO ACAI VILA VELHA</v>
      </c>
      <c r="L2619" s="32">
        <f>IFERROR(__xludf.DUMMYFUNCTION("""COMPUTED_VALUE"""),4.0)</f>
        <v>4</v>
      </c>
      <c r="M2619" s="4" t="str">
        <f>IFERROR(__xludf.DUMMYFUNCTION("""COMPUTED_VALUE"""),"Yooga")</f>
        <v>Yooga</v>
      </c>
      <c r="N2619" s="33">
        <f>IFERROR(__xludf.DUMMYFUNCTION("""COMPUTED_VALUE"""),1.0)</f>
        <v>1</v>
      </c>
      <c r="O2619" s="4" t="str">
        <f>IFERROR(__xludf.DUMMYFUNCTION("""COMPUTED_VALUE"""),"Yooga")</f>
        <v>Yooga</v>
      </c>
      <c r="P2619" s="33">
        <f>IFERROR(__xludf.DUMMYFUNCTION("""COMPUTED_VALUE"""),1.0)</f>
        <v>1</v>
      </c>
      <c r="Q2619" s="4" t="str">
        <f>IFERROR(__xludf.DUMMYFUNCTION("""COMPUTED_VALUE"""),"Yooga")</f>
        <v>Yooga</v>
      </c>
      <c r="R2619" s="33">
        <f>IFERROR(__xludf.DUMMYFUNCTION("""COMPUTED_VALUE"""),1.0)</f>
        <v>1</v>
      </c>
      <c r="S2619" s="4" t="str">
        <f>IFERROR(__xludf.DUMMYFUNCTION("""COMPUTED_VALUE"""),"Yooga")</f>
        <v>Yooga</v>
      </c>
      <c r="T2619" s="33">
        <f>IFERROR(__xludf.DUMMYFUNCTION("""COMPUTED_VALUE"""),1.0)</f>
        <v>1</v>
      </c>
      <c r="U2619" s="4" t="str">
        <f>IFERROR(__xludf.DUMMYFUNCTION("""COMPUTED_VALUE"""),"Yooga")</f>
        <v>Yooga</v>
      </c>
      <c r="V2619" s="33">
        <f>IFERROR(__xludf.DUMMYFUNCTION("""COMPUTED_VALUE"""),1.0)</f>
        <v>1</v>
      </c>
      <c r="W2619" s="4" t="str">
        <f>IFERROR(__xludf.DUMMYFUNCTION("""COMPUTED_VALUE"""),"Yooga")</f>
        <v>Yooga</v>
      </c>
      <c r="X2619" s="33">
        <f>IFERROR(__xludf.DUMMYFUNCTION("""COMPUTED_VALUE"""),1.0)</f>
        <v>1</v>
      </c>
    </row>
    <row r="2620">
      <c r="K2620" s="4" t="str">
        <f>IFERROR(__xludf.DUMMYFUNCTION("""COMPUTED_VALUE"""),"VILLAGE MARMITAS")</f>
        <v>VILLAGE MARMITAS</v>
      </c>
      <c r="L2620" s="32">
        <f>IFERROR(__xludf.DUMMYFUNCTION("""COMPUTED_VALUE"""),4.0)</f>
        <v>4</v>
      </c>
      <c r="M2620" s="4" t="str">
        <f>IFERROR(__xludf.DUMMYFUNCTION("""COMPUTED_VALUE"""),"Saipos Serviços De Software")</f>
        <v>Saipos Serviços De Software</v>
      </c>
      <c r="N2620" s="33">
        <f>IFERROR(__xludf.DUMMYFUNCTION("""COMPUTED_VALUE"""),1.0)</f>
        <v>1</v>
      </c>
      <c r="O2620" s="4" t="str">
        <f>IFERROR(__xludf.DUMMYFUNCTION("""COMPUTED_VALUE"""),"Saipos Serviços De Software")</f>
        <v>Saipos Serviços De Software</v>
      </c>
      <c r="P2620" s="33">
        <f>IFERROR(__xludf.DUMMYFUNCTION("""COMPUTED_VALUE"""),1.0)</f>
        <v>1</v>
      </c>
      <c r="Q2620" s="4" t="str">
        <f>IFERROR(__xludf.DUMMYFUNCTION("""COMPUTED_VALUE"""),"Saipos Serviços De Software")</f>
        <v>Saipos Serviços De Software</v>
      </c>
      <c r="R2620" s="33">
        <f>IFERROR(__xludf.DUMMYFUNCTION("""COMPUTED_VALUE"""),1.0)</f>
        <v>1</v>
      </c>
      <c r="S2620" s="4" t="str">
        <f>IFERROR(__xludf.DUMMYFUNCTION("""COMPUTED_VALUE"""),"Saipos Serviços De Software")</f>
        <v>Saipos Serviços De Software</v>
      </c>
      <c r="T2620" s="33">
        <f>IFERROR(__xludf.DUMMYFUNCTION("""COMPUTED_VALUE"""),0.75)</f>
        <v>0.75</v>
      </c>
      <c r="U2620" s="4" t="str">
        <f>IFERROR(__xludf.DUMMYFUNCTION("""COMPUTED_VALUE"""),"Saipos Serviços De Software")</f>
        <v>Saipos Serviços De Software</v>
      </c>
      <c r="V2620" s="33">
        <f>IFERROR(__xludf.DUMMYFUNCTION("""COMPUTED_VALUE"""),0.75)</f>
        <v>0.75</v>
      </c>
      <c r="W2620" s="4" t="str">
        <f>IFERROR(__xludf.DUMMYFUNCTION("""COMPUTED_VALUE"""),"Saipos Serviços De Software")</f>
        <v>Saipos Serviços De Software</v>
      </c>
      <c r="X2620" s="33">
        <f>IFERROR(__xludf.DUMMYFUNCTION("""COMPUTED_VALUE"""),1.0)</f>
        <v>1</v>
      </c>
    </row>
    <row r="2621">
      <c r="K2621" s="4" t="str">
        <f>IFERROR(__xludf.DUMMYFUNCTION("""COMPUTED_VALUE"""),"VILLAGE PET - MARCA")</f>
        <v>VILLAGE PET - MARCA</v>
      </c>
      <c r="L2621" s="32">
        <f>IFERROR(__xludf.DUMMYFUNCTION("""COMPUTED_VALUE"""),4.0)</f>
        <v>4</v>
      </c>
      <c r="M2621" s="4" t="str">
        <f>IFERROR(__xludf.DUMMYFUNCTION("""COMPUTED_VALUE"""),"N/A (Not found)")</f>
        <v>N/A (Not found)</v>
      </c>
      <c r="N2621" s="33">
        <f>IFERROR(__xludf.DUMMYFUNCTION("""COMPUTED_VALUE"""),1.0)</f>
        <v>1</v>
      </c>
      <c r="O2621" s="4" t="str">
        <f>IFERROR(__xludf.DUMMYFUNCTION("""COMPUTED_VALUE"""),"N/A (Not found)")</f>
        <v>N/A (Not found)</v>
      </c>
      <c r="P2621" s="33">
        <f>IFERROR(__xludf.DUMMYFUNCTION("""COMPUTED_VALUE"""),1.0)</f>
        <v>1</v>
      </c>
      <c r="Q2621" s="4" t="str">
        <f>IFERROR(__xludf.DUMMYFUNCTION("""COMPUTED_VALUE"""),"N/A (Not found)")</f>
        <v>N/A (Not found)</v>
      </c>
      <c r="R2621" s="33">
        <f>IFERROR(__xludf.DUMMYFUNCTION("""COMPUTED_VALUE"""),1.0)</f>
        <v>1</v>
      </c>
      <c r="S2621" s="4" t="str">
        <f>IFERROR(__xludf.DUMMYFUNCTION("""COMPUTED_VALUE"""),"N/A (Not found)")</f>
        <v>N/A (Not found)</v>
      </c>
      <c r="T2621" s="33">
        <f>IFERROR(__xludf.DUMMYFUNCTION("""COMPUTED_VALUE"""),1.0)</f>
        <v>1</v>
      </c>
      <c r="U2621" s="4" t="str">
        <f>IFERROR(__xludf.DUMMYFUNCTION("""COMPUTED_VALUE"""),"N/A (Not found)")</f>
        <v>N/A (Not found)</v>
      </c>
      <c r="V2621" s="33">
        <f>IFERROR(__xludf.DUMMYFUNCTION("""COMPUTED_VALUE"""),1.0)</f>
        <v>1</v>
      </c>
      <c r="W2621" s="4" t="str">
        <f>IFERROR(__xludf.DUMMYFUNCTION("""COMPUTED_VALUE"""),"N/A (Not found)")</f>
        <v>N/A (Not found)</v>
      </c>
      <c r="X2621" s="33">
        <f>IFERROR(__xludf.DUMMYFUNCTION("""COMPUTED_VALUE"""),1.0)</f>
        <v>1</v>
      </c>
    </row>
    <row r="2622">
      <c r="K2622" s="4" t="str">
        <f>IFERROR(__xludf.DUMMYFUNCTION("""COMPUTED_VALUE"""),"VINIL BURGER")</f>
        <v>VINIL BURGER</v>
      </c>
      <c r="L2622" s="32">
        <f>IFERROR(__xludf.DUMMYFUNCTION("""COMPUTED_VALUE"""),4.0)</f>
        <v>4</v>
      </c>
      <c r="M2622" s="4" t="str">
        <f>IFERROR(__xludf.DUMMYFUNCTION("""COMPUTED_VALUE"""),"Oz Technology")</f>
        <v>Oz Technology</v>
      </c>
      <c r="N2622" s="33">
        <f>IFERROR(__xludf.DUMMYFUNCTION("""COMPUTED_VALUE"""),1.0)</f>
        <v>1</v>
      </c>
      <c r="O2622" s="4" t="str">
        <f>IFERROR(__xludf.DUMMYFUNCTION("""COMPUTED_VALUE"""),"Oz Technology")</f>
        <v>Oz Technology</v>
      </c>
      <c r="P2622" s="33">
        <f>IFERROR(__xludf.DUMMYFUNCTION("""COMPUTED_VALUE"""),1.0)</f>
        <v>1</v>
      </c>
      <c r="Q2622" s="4" t="str">
        <f>IFERROR(__xludf.DUMMYFUNCTION("""COMPUTED_VALUE"""),"Oz Technology")</f>
        <v>Oz Technology</v>
      </c>
      <c r="R2622" s="33">
        <f>IFERROR(__xludf.DUMMYFUNCTION("""COMPUTED_VALUE"""),1.0)</f>
        <v>1</v>
      </c>
      <c r="S2622" s="4" t="str">
        <f>IFERROR(__xludf.DUMMYFUNCTION("""COMPUTED_VALUE"""),"Oz Technology")</f>
        <v>Oz Technology</v>
      </c>
      <c r="T2622" s="33">
        <f>IFERROR(__xludf.DUMMYFUNCTION("""COMPUTED_VALUE"""),1.0)</f>
        <v>1</v>
      </c>
      <c r="U2622" s="4" t="str">
        <f>IFERROR(__xludf.DUMMYFUNCTION("""COMPUTED_VALUE"""),"Oz Technology")</f>
        <v>Oz Technology</v>
      </c>
      <c r="V2622" s="33">
        <f>IFERROR(__xludf.DUMMYFUNCTION("""COMPUTED_VALUE"""),1.0)</f>
        <v>1</v>
      </c>
      <c r="W2622" s="4" t="str">
        <f>IFERROR(__xludf.DUMMYFUNCTION("""COMPUTED_VALUE"""),"Oz Technology")</f>
        <v>Oz Technology</v>
      </c>
      <c r="X2622" s="33">
        <f>IFERROR(__xludf.DUMMYFUNCTION("""COMPUTED_VALUE"""),1.0)</f>
        <v>1</v>
      </c>
    </row>
    <row r="2623">
      <c r="K2623" s="4" t="str">
        <f>IFERROR(__xludf.DUMMYFUNCTION("""COMPUTED_VALUE"""),"VINIS BURGUER - CONTA PAI")</f>
        <v>VINIS BURGUER - CONTA PAI</v>
      </c>
      <c r="L2623" s="32">
        <f>IFERROR(__xludf.DUMMYFUNCTION("""COMPUTED_VALUE"""),4.0)</f>
        <v>4</v>
      </c>
      <c r="M2623" s="4" t="str">
        <f>IFERROR(__xludf.DUMMYFUNCTION("""COMPUTED_VALUE"""),"Saipos Serviços De Software")</f>
        <v>Saipos Serviços De Software</v>
      </c>
      <c r="N2623" s="33">
        <f>IFERROR(__xludf.DUMMYFUNCTION("""COMPUTED_VALUE"""),0.75)</f>
        <v>0.75</v>
      </c>
      <c r="O2623" s="4" t="str">
        <f>IFERROR(__xludf.DUMMYFUNCTION("""COMPUTED_VALUE"""),"Saipos Serviços De Software")</f>
        <v>Saipos Serviços De Software</v>
      </c>
      <c r="P2623" s="33">
        <f>IFERROR(__xludf.DUMMYFUNCTION("""COMPUTED_VALUE"""),1.0)</f>
        <v>1</v>
      </c>
      <c r="Q2623" s="4" t="str">
        <f>IFERROR(__xludf.DUMMYFUNCTION("""COMPUTED_VALUE"""),"Saipos Serviços De Software")</f>
        <v>Saipos Serviços De Software</v>
      </c>
      <c r="R2623" s="33">
        <f>IFERROR(__xludf.DUMMYFUNCTION("""COMPUTED_VALUE"""),0.75)</f>
        <v>0.75</v>
      </c>
      <c r="S2623" s="4" t="str">
        <f>IFERROR(__xludf.DUMMYFUNCTION("""COMPUTED_VALUE"""),"Saipos Serviços De Software")</f>
        <v>Saipos Serviços De Software</v>
      </c>
      <c r="T2623" s="33">
        <f>IFERROR(__xludf.DUMMYFUNCTION("""COMPUTED_VALUE"""),0.75)</f>
        <v>0.75</v>
      </c>
      <c r="U2623" s="4" t="str">
        <f>IFERROR(__xludf.DUMMYFUNCTION("""COMPUTED_VALUE"""),"Saipos Serviços De Software")</f>
        <v>Saipos Serviços De Software</v>
      </c>
      <c r="V2623" s="33">
        <f>IFERROR(__xludf.DUMMYFUNCTION("""COMPUTED_VALUE"""),0.75)</f>
        <v>0.75</v>
      </c>
      <c r="W2623" s="4" t="str">
        <f>IFERROR(__xludf.DUMMYFUNCTION("""COMPUTED_VALUE"""),"Saipos Serviços De Software")</f>
        <v>Saipos Serviços De Software</v>
      </c>
      <c r="X2623" s="33">
        <f>IFERROR(__xludf.DUMMYFUNCTION("""COMPUTED_VALUE"""),0.75)</f>
        <v>0.75</v>
      </c>
    </row>
    <row r="2624">
      <c r="K2624" s="4" t="str">
        <f>IFERROR(__xludf.DUMMYFUNCTION("""COMPUTED_VALUE"""),"VIRADO NUM SIRI RESTAURANTE E GRILL")</f>
        <v>VIRADO NUM SIRI RESTAURANTE E GRILL</v>
      </c>
      <c r="L2624" s="32">
        <f>IFERROR(__xludf.DUMMYFUNCTION("""COMPUTED_VALUE"""),4.0)</f>
        <v>4</v>
      </c>
      <c r="M2624" s="4" t="str">
        <f>IFERROR(__xludf.DUMMYFUNCTION("""COMPUTED_VALUE"""),"Consumer Soluções Em Tecnologia Ltda")</f>
        <v>Consumer Soluções Em Tecnologia Ltda</v>
      </c>
      <c r="N2624" s="33">
        <f>IFERROR(__xludf.DUMMYFUNCTION("""COMPUTED_VALUE"""),1.0)</f>
        <v>1</v>
      </c>
      <c r="O2624" s="4" t="str">
        <f>IFERROR(__xludf.DUMMYFUNCTION("""COMPUTED_VALUE"""),"Consumer Soluções Em Tecnologia Ltda")</f>
        <v>Consumer Soluções Em Tecnologia Ltda</v>
      </c>
      <c r="P2624" s="33">
        <f>IFERROR(__xludf.DUMMYFUNCTION("""COMPUTED_VALUE"""),0.75)</f>
        <v>0.75</v>
      </c>
      <c r="Q2624" s="4" t="str">
        <f>IFERROR(__xludf.DUMMYFUNCTION("""COMPUTED_VALUE"""),"null")</f>
        <v>null</v>
      </c>
      <c r="R2624" s="33">
        <f>IFERROR(__xludf.DUMMYFUNCTION("""COMPUTED_VALUE"""),0.5)</f>
        <v>0.5</v>
      </c>
      <c r="S2624" s="4" t="str">
        <f>IFERROR(__xludf.DUMMYFUNCTION("""COMPUTED_VALUE"""),"Consumer Soluções Em Tecnologia Ltda")</f>
        <v>Consumer Soluções Em Tecnologia Ltda</v>
      </c>
      <c r="T2624" s="33">
        <f>IFERROR(__xludf.DUMMYFUNCTION("""COMPUTED_VALUE"""),0.5)</f>
        <v>0.5</v>
      </c>
      <c r="U2624" s="4" t="str">
        <f>IFERROR(__xludf.DUMMYFUNCTION("""COMPUTED_VALUE"""),"null")</f>
        <v>null</v>
      </c>
      <c r="V2624" s="33">
        <f>IFERROR(__xludf.DUMMYFUNCTION("""COMPUTED_VALUE"""),0.75)</f>
        <v>0.75</v>
      </c>
      <c r="W2624" s="4" t="str">
        <f>IFERROR(__xludf.DUMMYFUNCTION("""COMPUTED_VALUE"""),"null")</f>
        <v>null</v>
      </c>
      <c r="X2624" s="33">
        <f>IFERROR(__xludf.DUMMYFUNCTION("""COMPUTED_VALUE"""),0.75)</f>
        <v>0.75</v>
      </c>
    </row>
    <row r="2625">
      <c r="K2625" s="4" t="str">
        <f>IFERROR(__xludf.DUMMYFUNCTION("""COMPUTED_VALUE"""),"GRAN FARMA")</f>
        <v>GRAN FARMA</v>
      </c>
      <c r="L2625" s="32">
        <f>IFERROR(__xludf.DUMMYFUNCTION("""COMPUTED_VALUE"""),3.0)</f>
        <v>3</v>
      </c>
      <c r="M2625" s="4" t="str">
        <f>IFERROR(__xludf.DUMMYFUNCTION("""COMPUTED_VALUE"""),"null")</f>
        <v>null</v>
      </c>
      <c r="N2625" s="33">
        <f>IFERROR(__xludf.DUMMYFUNCTION("""COMPUTED_VALUE"""),1.0)</f>
        <v>1</v>
      </c>
      <c r="O2625" s="4" t="str">
        <f>IFERROR(__xludf.DUMMYFUNCTION("""COMPUTED_VALUE"""),"N/A (Not found)")</f>
        <v>N/A (Not found)</v>
      </c>
      <c r="P2625" s="33">
        <f>IFERROR(__xludf.DUMMYFUNCTION("""COMPUTED_VALUE"""),0.6666666666666666)</f>
        <v>0.6666666667</v>
      </c>
      <c r="Q2625" s="4" t="str">
        <f>IFERROR(__xludf.DUMMYFUNCTION("""COMPUTED_VALUE"""),"N/A (Not found)")</f>
        <v>N/A (Not found)</v>
      </c>
      <c r="R2625" s="33">
        <f>IFERROR(__xludf.DUMMYFUNCTION("""COMPUTED_VALUE"""),0.6666666666666666)</f>
        <v>0.6666666667</v>
      </c>
      <c r="S2625" s="4" t="str">
        <f>IFERROR(__xludf.DUMMYFUNCTION("""COMPUTED_VALUE"""),"N/A (Not found)")</f>
        <v>N/A (Not found)</v>
      </c>
      <c r="T2625" s="33">
        <f>IFERROR(__xludf.DUMMYFUNCTION("""COMPUTED_VALUE"""),1.0)</f>
        <v>1</v>
      </c>
      <c r="U2625" s="4" t="str">
        <f>IFERROR(__xludf.DUMMYFUNCTION("""COMPUTED_VALUE"""),"N/A (Not found)")</f>
        <v>N/A (Not found)</v>
      </c>
      <c r="V2625" s="33">
        <f>IFERROR(__xludf.DUMMYFUNCTION("""COMPUTED_VALUE"""),1.0)</f>
        <v>1</v>
      </c>
      <c r="W2625" s="4" t="str">
        <f>IFERROR(__xludf.DUMMYFUNCTION("""COMPUTED_VALUE"""),"N/A (Not found)")</f>
        <v>N/A (Not found)</v>
      </c>
      <c r="X2625" s="33">
        <f>IFERROR(__xludf.DUMMYFUNCTION("""COMPUTED_VALUE"""),1.0)</f>
        <v>1</v>
      </c>
    </row>
    <row r="2626">
      <c r="K2626" s="4" t="str">
        <f>IFERROR(__xludf.DUMMYFUNCTION("""COMPUTED_VALUE"""),"PIZZARIA TOSCANA")</f>
        <v>PIZZARIA TOSCANA</v>
      </c>
      <c r="L2626" s="32">
        <f>IFERROR(__xludf.DUMMYFUNCTION("""COMPUTED_VALUE"""),3.0)</f>
        <v>3</v>
      </c>
      <c r="M2626" s="4" t="str">
        <f>IFERROR(__xludf.DUMMYFUNCTION("""COMPUTED_VALUE"""),"Cardápio Web")</f>
        <v>Cardápio Web</v>
      </c>
      <c r="N2626" s="33">
        <f>IFERROR(__xludf.DUMMYFUNCTION("""COMPUTED_VALUE"""),0.3333333333333333)</f>
        <v>0.3333333333</v>
      </c>
      <c r="O2626" s="4" t="str">
        <f>IFERROR(__xludf.DUMMYFUNCTION("""COMPUTED_VALUE"""),"Cardápio Web")</f>
        <v>Cardápio Web</v>
      </c>
      <c r="P2626" s="33">
        <f>IFERROR(__xludf.DUMMYFUNCTION("""COMPUTED_VALUE"""),0.3333333333333333)</f>
        <v>0.3333333333</v>
      </c>
      <c r="Q2626" s="4" t="str">
        <f>IFERROR(__xludf.DUMMYFUNCTION("""COMPUTED_VALUE"""),"null")</f>
        <v>null</v>
      </c>
      <c r="R2626" s="33">
        <f>IFERROR(__xludf.DUMMYFUNCTION("""COMPUTED_VALUE"""),0.3333333333333333)</f>
        <v>0.3333333333</v>
      </c>
      <c r="S2626" s="4" t="str">
        <f>IFERROR(__xludf.DUMMYFUNCTION("""COMPUTED_VALUE"""),"Cardápio Web")</f>
        <v>Cardápio Web</v>
      </c>
      <c r="T2626" s="33">
        <f>IFERROR(__xludf.DUMMYFUNCTION("""COMPUTED_VALUE"""),0.3333333333333333)</f>
        <v>0.3333333333</v>
      </c>
      <c r="U2626" s="4" t="str">
        <f>IFERROR(__xludf.DUMMYFUNCTION("""COMPUTED_VALUE"""),"null")</f>
        <v>null</v>
      </c>
      <c r="V2626" s="33">
        <f>IFERROR(__xludf.DUMMYFUNCTION("""COMPUTED_VALUE"""),0.3333333333333333)</f>
        <v>0.3333333333</v>
      </c>
      <c r="W2626" s="4" t="str">
        <f>IFERROR(__xludf.DUMMYFUNCTION("""COMPUTED_VALUE"""),"null")</f>
        <v>null</v>
      </c>
      <c r="X2626" s="33">
        <f>IFERROR(__xludf.DUMMYFUNCTION("""COMPUTED_VALUE"""),0.3333333333333333)</f>
        <v>0.3333333333</v>
      </c>
    </row>
    <row r="2627">
      <c r="K2627" s="4" t="str">
        <f>IFERROR(__xludf.DUMMYFUNCTION("""COMPUTED_VALUE"""),"WAKAM DELIVERY - SUSHI E COMIDA JAPONESA")</f>
        <v>WAKAM DELIVERY - SUSHI E COMIDA JAPONESA</v>
      </c>
      <c r="L2627" s="32">
        <f>IFERROR(__xludf.DUMMYFUNCTION("""COMPUTED_VALUE"""),3.0)</f>
        <v>3</v>
      </c>
      <c r="M2627" s="4" t="str">
        <f>IFERROR(__xludf.DUMMYFUNCTION("""COMPUTED_VALUE"""),"Saipos Serviços De Software")</f>
        <v>Saipos Serviços De Software</v>
      </c>
      <c r="N2627" s="33">
        <f>IFERROR(__xludf.DUMMYFUNCTION("""COMPUTED_VALUE"""),1.0)</f>
        <v>1</v>
      </c>
      <c r="O2627" s="4" t="str">
        <f>IFERROR(__xludf.DUMMYFUNCTION("""COMPUTED_VALUE"""),"Saipos Serviços De Software")</f>
        <v>Saipos Serviços De Software</v>
      </c>
      <c r="P2627" s="33">
        <f>IFERROR(__xludf.DUMMYFUNCTION("""COMPUTED_VALUE"""),1.0)</f>
        <v>1</v>
      </c>
      <c r="Q2627" s="4" t="str">
        <f>IFERROR(__xludf.DUMMYFUNCTION("""COMPUTED_VALUE"""),"Saipos Serviços De Software")</f>
        <v>Saipos Serviços De Software</v>
      </c>
      <c r="R2627" s="33">
        <f>IFERROR(__xludf.DUMMYFUNCTION("""COMPUTED_VALUE"""),1.0)</f>
        <v>1</v>
      </c>
      <c r="S2627" s="4" t="str">
        <f>IFERROR(__xludf.DUMMYFUNCTION("""COMPUTED_VALUE"""),"null")</f>
        <v>null</v>
      </c>
      <c r="T2627" s="33">
        <f>IFERROR(__xludf.DUMMYFUNCTION("""COMPUTED_VALUE"""),0.6666666666666666)</f>
        <v>0.6666666667</v>
      </c>
      <c r="U2627" s="4" t="str">
        <f>IFERROR(__xludf.DUMMYFUNCTION("""COMPUTED_VALUE"""),"null")</f>
        <v>null</v>
      </c>
      <c r="V2627" s="33">
        <f>IFERROR(__xludf.DUMMYFUNCTION("""COMPUTED_VALUE"""),0.6666666666666666)</f>
        <v>0.6666666667</v>
      </c>
      <c r="W2627" s="4" t="str">
        <f>IFERROR(__xludf.DUMMYFUNCTION("""COMPUTED_VALUE"""),"null")</f>
        <v>null</v>
      </c>
      <c r="X2627" s="33">
        <f>IFERROR(__xludf.DUMMYFUNCTION("""COMPUTED_VALUE"""),0.6666666666666666)</f>
        <v>0.6666666667</v>
      </c>
    </row>
    <row r="2628">
      <c r="K2628" s="4" t="str">
        <f>IFERROR(__xludf.DUMMYFUNCTION("""COMPUTED_VALUE"""),"CASA DOS SALGADOS")</f>
        <v>CASA DOS SALGADOS</v>
      </c>
      <c r="L2628" s="32">
        <f>IFERROR(__xludf.DUMMYFUNCTION("""COMPUTED_VALUE"""),3.0)</f>
        <v>3</v>
      </c>
      <c r="M2628" s="4" t="str">
        <f>IFERROR(__xludf.DUMMYFUNCTION("""COMPUTED_VALUE"""),"null")</f>
        <v>null</v>
      </c>
      <c r="N2628" s="33">
        <f>IFERROR(__xludf.DUMMYFUNCTION("""COMPUTED_VALUE"""),0.6666666666666666)</f>
        <v>0.6666666667</v>
      </c>
      <c r="O2628" s="4" t="str">
        <f>IFERROR(__xludf.DUMMYFUNCTION("""COMPUTED_VALUE"""),"null")</f>
        <v>null</v>
      </c>
      <c r="P2628" s="33">
        <f>IFERROR(__xludf.DUMMYFUNCTION("""COMPUTED_VALUE"""),0.6666666666666666)</f>
        <v>0.6666666667</v>
      </c>
      <c r="Q2628" s="4" t="str">
        <f>IFERROR(__xludf.DUMMYFUNCTION("""COMPUTED_VALUE"""),"null")</f>
        <v>null</v>
      </c>
      <c r="R2628" s="33">
        <f>IFERROR(__xludf.DUMMYFUNCTION("""COMPUTED_VALUE"""),0.6666666666666666)</f>
        <v>0.6666666667</v>
      </c>
      <c r="S2628" s="4" t="str">
        <f>IFERROR(__xludf.DUMMYFUNCTION("""COMPUTED_VALUE"""),"Anota Ai Solucoes Digitais S/a")</f>
        <v>Anota Ai Solucoes Digitais S/a</v>
      </c>
      <c r="T2628" s="33">
        <f>IFERROR(__xludf.DUMMYFUNCTION("""COMPUTED_VALUE"""),0.3333333333333333)</f>
        <v>0.3333333333</v>
      </c>
      <c r="U2628" s="4" t="str">
        <f>IFERROR(__xludf.DUMMYFUNCTION("""COMPUTED_VALUE"""),"Anota Ai Solucoes Digitais S/a")</f>
        <v>Anota Ai Solucoes Digitais S/a</v>
      </c>
      <c r="V2628" s="33">
        <f>IFERROR(__xludf.DUMMYFUNCTION("""COMPUTED_VALUE"""),0.3333333333333333)</f>
        <v>0.3333333333</v>
      </c>
      <c r="W2628" s="4" t="str">
        <f>IFERROR(__xludf.DUMMYFUNCTION("""COMPUTED_VALUE"""),"Anota Ai Solucoes Digitais S/a")</f>
        <v>Anota Ai Solucoes Digitais S/a</v>
      </c>
      <c r="X2628" s="33">
        <f>IFERROR(__xludf.DUMMYFUNCTION("""COMPUTED_VALUE"""),0.3333333333333333)</f>
        <v>0.3333333333</v>
      </c>
    </row>
    <row r="2629">
      <c r="K2629" s="4" t="str">
        <f>IFERROR(__xludf.DUMMYFUNCTION("""COMPUTED_VALUE"""),"FACEBURGUER")</f>
        <v>FACEBURGUER</v>
      </c>
      <c r="L2629" s="32">
        <f>IFERROR(__xludf.DUMMYFUNCTION("""COMPUTED_VALUE"""),3.0)</f>
        <v>3</v>
      </c>
      <c r="M2629" s="4" t="str">
        <f>IFERROR(__xludf.DUMMYFUNCTION("""COMPUTED_VALUE"""),"Consumer Soluções Em Tecnologia Ltda")</f>
        <v>Consumer Soluções Em Tecnologia Ltda</v>
      </c>
      <c r="N2629" s="33">
        <f>IFERROR(__xludf.DUMMYFUNCTION("""COMPUTED_VALUE"""),0.3333333333333333)</f>
        <v>0.3333333333</v>
      </c>
      <c r="O2629" s="4" t="str">
        <f>IFERROR(__xludf.DUMMYFUNCTION("""COMPUTED_VALUE"""),"Consumer Soluções Em Tecnologia Ltda")</f>
        <v>Consumer Soluções Em Tecnologia Ltda</v>
      </c>
      <c r="P2629" s="33">
        <f>IFERROR(__xludf.DUMMYFUNCTION("""COMPUTED_VALUE"""),0.3333333333333333)</f>
        <v>0.3333333333</v>
      </c>
      <c r="Q2629" s="4" t="str">
        <f>IFERROR(__xludf.DUMMYFUNCTION("""COMPUTED_VALUE"""),"null")</f>
        <v>null</v>
      </c>
      <c r="R2629" s="33">
        <f>IFERROR(__xludf.DUMMYFUNCTION("""COMPUTED_VALUE"""),0.3333333333333333)</f>
        <v>0.3333333333</v>
      </c>
      <c r="S2629" s="4" t="str">
        <f>IFERROR(__xludf.DUMMYFUNCTION("""COMPUTED_VALUE"""),"null")</f>
        <v>null</v>
      </c>
      <c r="T2629" s="33">
        <f>IFERROR(__xludf.DUMMYFUNCTION("""COMPUTED_VALUE"""),0.3333333333333333)</f>
        <v>0.3333333333</v>
      </c>
      <c r="U2629" s="4" t="str">
        <f>IFERROR(__xludf.DUMMYFUNCTION("""COMPUTED_VALUE"""),"Consumer Soluções Em Tecnologia Ltda")</f>
        <v>Consumer Soluções Em Tecnologia Ltda</v>
      </c>
      <c r="V2629" s="33">
        <f>IFERROR(__xludf.DUMMYFUNCTION("""COMPUTED_VALUE"""),0.3333333333333333)</f>
        <v>0.3333333333</v>
      </c>
      <c r="W2629" s="4" t="str">
        <f>IFERROR(__xludf.DUMMYFUNCTION("""COMPUTED_VALUE"""),"Consumer Soluções Em Tecnologia Ltda")</f>
        <v>Consumer Soluções Em Tecnologia Ltda</v>
      </c>
      <c r="X2629" s="33">
        <f>IFERROR(__xludf.DUMMYFUNCTION("""COMPUTED_VALUE"""),0.3333333333333333)</f>
        <v>0.3333333333</v>
      </c>
    </row>
    <row r="2630">
      <c r="K2630" s="4" t="str">
        <f>IFERROR(__xludf.DUMMYFUNCTION("""COMPUTED_VALUE"""),"LETS FRITAS")</f>
        <v>LETS FRITAS</v>
      </c>
      <c r="L2630" s="32">
        <f>IFERROR(__xludf.DUMMYFUNCTION("""COMPUTED_VALUE"""),3.0)</f>
        <v>3</v>
      </c>
      <c r="M2630" s="4" t="str">
        <f>IFERROR(__xludf.DUMMYFUNCTION("""COMPUTED_VALUE"""),"null")</f>
        <v>null</v>
      </c>
      <c r="N2630" s="33">
        <f>IFERROR(__xludf.DUMMYFUNCTION("""COMPUTED_VALUE"""),0.6666666666666666)</f>
        <v>0.6666666667</v>
      </c>
      <c r="O2630" s="4" t="str">
        <f>IFERROR(__xludf.DUMMYFUNCTION("""COMPUTED_VALUE"""),"null")</f>
        <v>null</v>
      </c>
      <c r="P2630" s="33">
        <f>IFERROR(__xludf.DUMMYFUNCTION("""COMPUTED_VALUE"""),0.3333333333333333)</f>
        <v>0.3333333333</v>
      </c>
      <c r="Q2630" s="4" t="str">
        <f>IFERROR(__xludf.DUMMYFUNCTION("""COMPUTED_VALUE"""),"Rs Solutions")</f>
        <v>Rs Solutions</v>
      </c>
      <c r="R2630" s="33">
        <f>IFERROR(__xludf.DUMMYFUNCTION("""COMPUTED_VALUE"""),0.3333333333333333)</f>
        <v>0.3333333333</v>
      </c>
      <c r="S2630" s="4" t="str">
        <f>IFERROR(__xludf.DUMMYFUNCTION("""COMPUTED_VALUE"""),"null")</f>
        <v>null</v>
      </c>
      <c r="T2630" s="33">
        <f>IFERROR(__xludf.DUMMYFUNCTION("""COMPUTED_VALUE"""),0.6666666666666666)</f>
        <v>0.6666666667</v>
      </c>
      <c r="U2630" s="4" t="str">
        <f>IFERROR(__xludf.DUMMYFUNCTION("""COMPUTED_VALUE"""),"Rs Solutions")</f>
        <v>Rs Solutions</v>
      </c>
      <c r="V2630" s="33">
        <f>IFERROR(__xludf.DUMMYFUNCTION("""COMPUTED_VALUE"""),0.3333333333333333)</f>
        <v>0.3333333333</v>
      </c>
      <c r="W2630" s="4" t="str">
        <f>IFERROR(__xludf.DUMMYFUNCTION("""COMPUTED_VALUE"""),"Rs Solutions")</f>
        <v>Rs Solutions</v>
      </c>
      <c r="X2630" s="33">
        <f>IFERROR(__xludf.DUMMYFUNCTION("""COMPUTED_VALUE"""),0.6666666666666666)</f>
        <v>0.6666666667</v>
      </c>
    </row>
    <row r="2631">
      <c r="K2631" s="4" t="str">
        <f>IFERROR(__xludf.DUMMYFUNCTION("""COMPUTED_VALUE"""),"PONTO DO TROPEIRO")</f>
        <v>PONTO DO TROPEIRO</v>
      </c>
      <c r="L2631" s="32">
        <f>IFERROR(__xludf.DUMMYFUNCTION("""COMPUTED_VALUE"""),3.0)</f>
        <v>3</v>
      </c>
      <c r="M2631" s="4" t="str">
        <f>IFERROR(__xludf.DUMMYFUNCTION("""COMPUTED_VALUE"""),"Consumer Soluções Em Tecnologia Ltda")</f>
        <v>Consumer Soluções Em Tecnologia Ltda</v>
      </c>
      <c r="N2631" s="33">
        <f>IFERROR(__xludf.DUMMYFUNCTION("""COMPUTED_VALUE"""),0.6666666666666666)</f>
        <v>0.6666666667</v>
      </c>
      <c r="O2631" s="4" t="str">
        <f>IFERROR(__xludf.DUMMYFUNCTION("""COMPUTED_VALUE"""),"Consumer Soluções Em Tecnologia Ltda")</f>
        <v>Consumer Soluções Em Tecnologia Ltda</v>
      </c>
      <c r="P2631" s="33">
        <f>IFERROR(__xludf.DUMMYFUNCTION("""COMPUTED_VALUE"""),0.6666666666666666)</f>
        <v>0.6666666667</v>
      </c>
      <c r="Q2631" s="4" t="str">
        <f>IFERROR(__xludf.DUMMYFUNCTION("""COMPUTED_VALUE"""),"null")</f>
        <v>null</v>
      </c>
      <c r="R2631" s="33">
        <f>IFERROR(__xludf.DUMMYFUNCTION("""COMPUTED_VALUE"""),1.0)</f>
        <v>1</v>
      </c>
      <c r="S2631" s="4" t="str">
        <f>IFERROR(__xludf.DUMMYFUNCTION("""COMPUTED_VALUE"""),"null")</f>
        <v>null</v>
      </c>
      <c r="T2631" s="33">
        <f>IFERROR(__xludf.DUMMYFUNCTION("""COMPUTED_VALUE"""),1.0)</f>
        <v>1</v>
      </c>
      <c r="U2631" s="4" t="str">
        <f>IFERROR(__xludf.DUMMYFUNCTION("""COMPUTED_VALUE"""),"null")</f>
        <v>null</v>
      </c>
      <c r="V2631" s="33">
        <f>IFERROR(__xludf.DUMMYFUNCTION("""COMPUTED_VALUE"""),0.6666666666666666)</f>
        <v>0.6666666667</v>
      </c>
      <c r="W2631" s="4" t="str">
        <f>IFERROR(__xludf.DUMMYFUNCTION("""COMPUTED_VALUE"""),"Consumer Soluções Em Tecnologia Ltda")</f>
        <v>Consumer Soluções Em Tecnologia Ltda</v>
      </c>
      <c r="X2631" s="33">
        <f>IFERROR(__xludf.DUMMYFUNCTION("""COMPUTED_VALUE"""),0.3333333333333333)</f>
        <v>0.3333333333</v>
      </c>
    </row>
    <row r="2632">
      <c r="K2632" s="4" t="str">
        <f>IFERROR(__xludf.DUMMYFUNCTION("""COMPUTED_VALUE"""),"DOT BURGER")</f>
        <v>DOT BURGER</v>
      </c>
      <c r="L2632" s="32">
        <f>IFERROR(__xludf.DUMMYFUNCTION("""COMPUTED_VALUE"""),3.0)</f>
        <v>3</v>
      </c>
      <c r="M2632" s="4" t="str">
        <f>IFERROR(__xludf.DUMMYFUNCTION("""COMPUTED_VALUE"""),"Food Plus")</f>
        <v>Food Plus</v>
      </c>
      <c r="N2632" s="33">
        <f>IFERROR(__xludf.DUMMYFUNCTION("""COMPUTED_VALUE"""),0.6666666666666666)</f>
        <v>0.6666666667</v>
      </c>
      <c r="O2632" s="4" t="str">
        <f>IFERROR(__xludf.DUMMYFUNCTION("""COMPUTED_VALUE"""),"Food Plus")</f>
        <v>Food Plus</v>
      </c>
      <c r="P2632" s="33">
        <f>IFERROR(__xludf.DUMMYFUNCTION("""COMPUTED_VALUE"""),0.6666666666666666)</f>
        <v>0.6666666667</v>
      </c>
      <c r="Q2632" s="4" t="str">
        <f>IFERROR(__xludf.DUMMYFUNCTION("""COMPUTED_VALUE"""),"null")</f>
        <v>null</v>
      </c>
      <c r="R2632" s="33">
        <f>IFERROR(__xludf.DUMMYFUNCTION("""COMPUTED_VALUE"""),0.6666666666666666)</f>
        <v>0.6666666667</v>
      </c>
      <c r="S2632" s="4" t="str">
        <f>IFERROR(__xludf.DUMMYFUNCTION("""COMPUTED_VALUE"""),"null")</f>
        <v>null</v>
      </c>
      <c r="T2632" s="33">
        <f>IFERROR(__xludf.DUMMYFUNCTION("""COMPUTED_VALUE"""),0.6666666666666666)</f>
        <v>0.6666666667</v>
      </c>
      <c r="U2632" s="4" t="str">
        <f>IFERROR(__xludf.DUMMYFUNCTION("""COMPUTED_VALUE"""),"null")</f>
        <v>null</v>
      </c>
      <c r="V2632" s="33">
        <f>IFERROR(__xludf.DUMMYFUNCTION("""COMPUTED_VALUE"""),0.6666666666666666)</f>
        <v>0.6666666667</v>
      </c>
      <c r="W2632" s="4" t="str">
        <f>IFERROR(__xludf.DUMMYFUNCTION("""COMPUTED_VALUE"""),"Food Plus")</f>
        <v>Food Plus</v>
      </c>
      <c r="X2632" s="33">
        <f>IFERROR(__xludf.DUMMYFUNCTION("""COMPUTED_VALUE"""),0.6666666666666666)</f>
        <v>0.6666666667</v>
      </c>
    </row>
    <row r="2633">
      <c r="K2633" s="4" t="str">
        <f>IFERROR(__xludf.DUMMYFUNCTION("""COMPUTED_VALUE"""),"PUNCH BURGER")</f>
        <v>PUNCH BURGER</v>
      </c>
      <c r="L2633" s="32">
        <f>IFERROR(__xludf.DUMMYFUNCTION("""COMPUTED_VALUE"""),3.0)</f>
        <v>3</v>
      </c>
      <c r="M2633" s="4" t="str">
        <f>IFERROR(__xludf.DUMMYFUNCTION("""COMPUTED_VALUE"""),"null")</f>
        <v>null</v>
      </c>
      <c r="N2633" s="33">
        <f>IFERROR(__xludf.DUMMYFUNCTION("""COMPUTED_VALUE"""),0.3333333333333333)</f>
        <v>0.3333333333</v>
      </c>
      <c r="O2633" s="4" t="str">
        <f>IFERROR(__xludf.DUMMYFUNCTION("""COMPUTED_VALUE"""),"null")</f>
        <v>null</v>
      </c>
      <c r="P2633" s="33">
        <f>IFERROR(__xludf.DUMMYFUNCTION("""COMPUTED_VALUE"""),0.6666666666666666)</f>
        <v>0.6666666667</v>
      </c>
      <c r="Q2633" s="4" t="str">
        <f>IFERROR(__xludf.DUMMYFUNCTION("""COMPUTED_VALUE"""),"null")</f>
        <v>null</v>
      </c>
      <c r="R2633" s="33">
        <f>IFERROR(__xludf.DUMMYFUNCTION("""COMPUTED_VALUE"""),0.6666666666666666)</f>
        <v>0.6666666667</v>
      </c>
      <c r="S2633" s="4" t="str">
        <f>IFERROR(__xludf.DUMMYFUNCTION("""COMPUTED_VALUE"""),"Saipos Serviços De Software")</f>
        <v>Saipos Serviços De Software</v>
      </c>
      <c r="T2633" s="33">
        <f>IFERROR(__xludf.DUMMYFUNCTION("""COMPUTED_VALUE"""),0.6666666666666666)</f>
        <v>0.6666666667</v>
      </c>
      <c r="U2633" s="4" t="str">
        <f>IFERROR(__xludf.DUMMYFUNCTION("""COMPUTED_VALUE"""),"Saipos Serviços De Software")</f>
        <v>Saipos Serviços De Software</v>
      </c>
      <c r="V2633" s="33">
        <f>IFERROR(__xludf.DUMMYFUNCTION("""COMPUTED_VALUE"""),0.6666666666666666)</f>
        <v>0.6666666667</v>
      </c>
      <c r="W2633" s="4" t="str">
        <f>IFERROR(__xludf.DUMMYFUNCTION("""COMPUTED_VALUE"""),"Menu Integrado")</f>
        <v>Menu Integrado</v>
      </c>
      <c r="X2633" s="33">
        <f>IFERROR(__xludf.DUMMYFUNCTION("""COMPUTED_VALUE"""),0.3333333333333333)</f>
        <v>0.3333333333</v>
      </c>
    </row>
    <row r="2634">
      <c r="K2634" s="4" t="str">
        <f>IFERROR(__xludf.DUMMYFUNCTION("""COMPUTED_VALUE"""),"JR PIZZARIA")</f>
        <v>JR PIZZARIA</v>
      </c>
      <c r="L2634" s="32">
        <f>IFERROR(__xludf.DUMMYFUNCTION("""COMPUTED_VALUE"""),3.0)</f>
        <v>3</v>
      </c>
      <c r="M2634" s="4" t="str">
        <f>IFERROR(__xludf.DUMMYFUNCTION("""COMPUTED_VALUE"""),"Cardápio Web")</f>
        <v>Cardápio Web</v>
      </c>
      <c r="N2634" s="33">
        <f>IFERROR(__xludf.DUMMYFUNCTION("""COMPUTED_VALUE"""),0.3333333333333333)</f>
        <v>0.3333333333</v>
      </c>
      <c r="O2634" s="4" t="str">
        <f>IFERROR(__xludf.DUMMYFUNCTION("""COMPUTED_VALUE"""),"Cardápio Web")</f>
        <v>Cardápio Web</v>
      </c>
      <c r="P2634" s="33">
        <f>IFERROR(__xludf.DUMMYFUNCTION("""COMPUTED_VALUE"""),0.3333333333333333)</f>
        <v>0.3333333333</v>
      </c>
      <c r="Q2634" s="4" t="str">
        <f>IFERROR(__xludf.DUMMYFUNCTION("""COMPUTED_VALUE"""),"Cardápio Web")</f>
        <v>Cardápio Web</v>
      </c>
      <c r="R2634" s="33">
        <f>IFERROR(__xludf.DUMMYFUNCTION("""COMPUTED_VALUE"""),0.3333333333333333)</f>
        <v>0.3333333333</v>
      </c>
      <c r="S2634" s="4" t="str">
        <f>IFERROR(__xludf.DUMMYFUNCTION("""COMPUTED_VALUE"""),"Cardápio Web")</f>
        <v>Cardápio Web</v>
      </c>
      <c r="T2634" s="33">
        <f>IFERROR(__xludf.DUMMYFUNCTION("""COMPUTED_VALUE"""),0.3333333333333333)</f>
        <v>0.3333333333</v>
      </c>
      <c r="U2634" s="4" t="str">
        <f>IFERROR(__xludf.DUMMYFUNCTION("""COMPUTED_VALUE"""),"Cardápio Web")</f>
        <v>Cardápio Web</v>
      </c>
      <c r="V2634" s="33">
        <f>IFERROR(__xludf.DUMMYFUNCTION("""COMPUTED_VALUE"""),0.3333333333333333)</f>
        <v>0.3333333333</v>
      </c>
      <c r="W2634" s="4" t="str">
        <f>IFERROR(__xludf.DUMMYFUNCTION("""COMPUTED_VALUE"""),"Cardápio Web")</f>
        <v>Cardápio Web</v>
      </c>
      <c r="X2634" s="33">
        <f>IFERROR(__xludf.DUMMYFUNCTION("""COMPUTED_VALUE"""),0.3333333333333333)</f>
        <v>0.3333333333</v>
      </c>
    </row>
    <row r="2635">
      <c r="K2635" s="4" t="str">
        <f>IFERROR(__xludf.DUMMYFUNCTION("""COMPUTED_VALUE"""),"ROYAL BURGER")</f>
        <v>ROYAL BURGER</v>
      </c>
      <c r="L2635" s="32">
        <f>IFERROR(__xludf.DUMMYFUNCTION("""COMPUTED_VALUE"""),3.0)</f>
        <v>3</v>
      </c>
      <c r="M2635" s="4" t="str">
        <f>IFERROR(__xludf.DUMMYFUNCTION("""COMPUTED_VALUE"""),"Saipos Serviços De Software")</f>
        <v>Saipos Serviços De Software</v>
      </c>
      <c r="N2635" s="33">
        <f>IFERROR(__xludf.DUMMYFUNCTION("""COMPUTED_VALUE"""),0.6666666666666666)</f>
        <v>0.6666666667</v>
      </c>
      <c r="O2635" s="4" t="str">
        <f>IFERROR(__xludf.DUMMYFUNCTION("""COMPUTED_VALUE"""),"Saipos Serviços De Software")</f>
        <v>Saipos Serviços De Software</v>
      </c>
      <c r="P2635" s="33">
        <f>IFERROR(__xludf.DUMMYFUNCTION("""COMPUTED_VALUE"""),0.6666666666666666)</f>
        <v>0.6666666667</v>
      </c>
      <c r="Q2635" s="4" t="str">
        <f>IFERROR(__xludf.DUMMYFUNCTION("""COMPUTED_VALUE"""),"Saipos Serviços De Software")</f>
        <v>Saipos Serviços De Software</v>
      </c>
      <c r="R2635" s="33">
        <f>IFERROR(__xludf.DUMMYFUNCTION("""COMPUTED_VALUE"""),0.6666666666666666)</f>
        <v>0.6666666667</v>
      </c>
      <c r="S2635" s="4" t="str">
        <f>IFERROR(__xludf.DUMMYFUNCTION("""COMPUTED_VALUE"""),"Saipos Serviços De Software")</f>
        <v>Saipos Serviços De Software</v>
      </c>
      <c r="T2635" s="33">
        <f>IFERROR(__xludf.DUMMYFUNCTION("""COMPUTED_VALUE"""),0.6666666666666666)</f>
        <v>0.6666666667</v>
      </c>
      <c r="U2635" s="4" t="str">
        <f>IFERROR(__xludf.DUMMYFUNCTION("""COMPUTED_VALUE"""),"Cardápio Web")</f>
        <v>Cardápio Web</v>
      </c>
      <c r="V2635" s="33">
        <f>IFERROR(__xludf.DUMMYFUNCTION("""COMPUTED_VALUE"""),0.3333333333333333)</f>
        <v>0.3333333333</v>
      </c>
      <c r="W2635" s="4" t="str">
        <f>IFERROR(__xludf.DUMMYFUNCTION("""COMPUTED_VALUE"""),"Gama Tecnologias Ltda")</f>
        <v>Gama Tecnologias Ltda</v>
      </c>
      <c r="X2635" s="33">
        <f>IFERROR(__xludf.DUMMYFUNCTION("""COMPUTED_VALUE"""),0.3333333333333333)</f>
        <v>0.3333333333</v>
      </c>
    </row>
    <row r="2636">
      <c r="K2636" s="4" t="str">
        <f>IFERROR(__xludf.DUMMYFUNCTION("""COMPUTED_VALUE"""),"PETISKEIRA DELIVERY")</f>
        <v>PETISKEIRA DELIVERY</v>
      </c>
      <c r="L2636" s="32">
        <f>IFERROR(__xludf.DUMMYFUNCTION("""COMPUTED_VALUE"""),3.0)</f>
        <v>3</v>
      </c>
      <c r="M2636" s="4" t="str">
        <f>IFERROR(__xludf.DUMMYFUNCTION("""COMPUTED_VALUE"""),"null")</f>
        <v>null</v>
      </c>
      <c r="N2636" s="33">
        <f>IFERROR(__xludf.DUMMYFUNCTION("""COMPUTED_VALUE"""),1.0)</f>
        <v>1</v>
      </c>
      <c r="O2636" s="4" t="str">
        <f>IFERROR(__xludf.DUMMYFUNCTION("""COMPUTED_VALUE"""),"null")</f>
        <v>null</v>
      </c>
      <c r="P2636" s="33">
        <f>IFERROR(__xludf.DUMMYFUNCTION("""COMPUTED_VALUE"""),1.0)</f>
        <v>1</v>
      </c>
      <c r="Q2636" s="4" t="str">
        <f>IFERROR(__xludf.DUMMYFUNCTION("""COMPUTED_VALUE"""),"null")</f>
        <v>null</v>
      </c>
      <c r="R2636" s="33">
        <f>IFERROR(__xludf.DUMMYFUNCTION("""COMPUTED_VALUE"""),1.0)</f>
        <v>1</v>
      </c>
      <c r="S2636" s="4" t="str">
        <f>IFERROR(__xludf.DUMMYFUNCTION("""COMPUTED_VALUE"""),"null")</f>
        <v>null</v>
      </c>
      <c r="T2636" s="33">
        <f>IFERROR(__xludf.DUMMYFUNCTION("""COMPUTED_VALUE"""),1.0)</f>
        <v>1</v>
      </c>
      <c r="U2636" s="4" t="str">
        <f>IFERROR(__xludf.DUMMYFUNCTION("""COMPUTED_VALUE"""),"null")</f>
        <v>null</v>
      </c>
      <c r="V2636" s="33">
        <f>IFERROR(__xludf.DUMMYFUNCTION("""COMPUTED_VALUE"""),0.6666666666666666)</f>
        <v>0.6666666667</v>
      </c>
      <c r="W2636" s="4" t="str">
        <f>IFERROR(__xludf.DUMMYFUNCTION("""COMPUTED_VALUE"""),"Lexsis Sistemas")</f>
        <v>Lexsis Sistemas</v>
      </c>
      <c r="X2636" s="33">
        <f>IFERROR(__xludf.DUMMYFUNCTION("""COMPUTED_VALUE"""),1.0)</f>
        <v>1</v>
      </c>
    </row>
    <row r="2637">
      <c r="K2637" s="4" t="str">
        <f>IFERROR(__xludf.DUMMYFUNCTION("""COMPUTED_VALUE"""),"ANGUS BURGUER")</f>
        <v>ANGUS BURGUER</v>
      </c>
      <c r="L2637" s="32">
        <f>IFERROR(__xludf.DUMMYFUNCTION("""COMPUTED_VALUE"""),3.0)</f>
        <v>3</v>
      </c>
      <c r="M2637" s="4" t="str">
        <f>IFERROR(__xludf.DUMMYFUNCTION("""COMPUTED_VALUE"""),"Saipos Serviços De Software")</f>
        <v>Saipos Serviços De Software</v>
      </c>
      <c r="N2637" s="33">
        <f>IFERROR(__xludf.DUMMYFUNCTION("""COMPUTED_VALUE"""),0.3333333333333333)</f>
        <v>0.3333333333</v>
      </c>
      <c r="O2637" s="4" t="str">
        <f>IFERROR(__xludf.DUMMYFUNCTION("""COMPUTED_VALUE"""),"null")</f>
        <v>null</v>
      </c>
      <c r="P2637" s="33">
        <f>IFERROR(__xludf.DUMMYFUNCTION("""COMPUTED_VALUE"""),0.6666666666666666)</f>
        <v>0.6666666667</v>
      </c>
      <c r="Q2637" s="4" t="str">
        <f>IFERROR(__xludf.DUMMYFUNCTION("""COMPUTED_VALUE"""),"Saipos Serviços De Software")</f>
        <v>Saipos Serviços De Software</v>
      </c>
      <c r="R2637" s="33">
        <f>IFERROR(__xludf.DUMMYFUNCTION("""COMPUTED_VALUE"""),0.3333333333333333)</f>
        <v>0.3333333333</v>
      </c>
      <c r="S2637" s="4" t="str">
        <f>IFERROR(__xludf.DUMMYFUNCTION("""COMPUTED_VALUE"""),"null")</f>
        <v>null</v>
      </c>
      <c r="T2637" s="33">
        <f>IFERROR(__xludf.DUMMYFUNCTION("""COMPUTED_VALUE"""),0.6666666666666666)</f>
        <v>0.6666666667</v>
      </c>
      <c r="U2637" s="4" t="str">
        <f>IFERROR(__xludf.DUMMYFUNCTION("""COMPUTED_VALUE"""),"Saipos Serviços De Software")</f>
        <v>Saipos Serviços De Software</v>
      </c>
      <c r="V2637" s="33">
        <f>IFERROR(__xludf.DUMMYFUNCTION("""COMPUTED_VALUE"""),0.3333333333333333)</f>
        <v>0.3333333333</v>
      </c>
      <c r="W2637" s="4" t="str">
        <f>IFERROR(__xludf.DUMMYFUNCTION("""COMPUTED_VALUE"""),"null")</f>
        <v>null</v>
      </c>
      <c r="X2637" s="33">
        <f>IFERROR(__xludf.DUMMYFUNCTION("""COMPUTED_VALUE"""),0.6666666666666666)</f>
        <v>0.6666666667</v>
      </c>
    </row>
    <row r="2638">
      <c r="K2638" s="4" t="str">
        <f>IFERROR(__xludf.DUMMYFUNCTION("""COMPUTED_VALUE"""),"SAKA SUSHI")</f>
        <v>SAKA SUSHI</v>
      </c>
      <c r="L2638" s="32">
        <f>IFERROR(__xludf.DUMMYFUNCTION("""COMPUTED_VALUE"""),3.0)</f>
        <v>3</v>
      </c>
      <c r="M2638" s="4" t="str">
        <f>IFERROR(__xludf.DUMMYFUNCTION("""COMPUTED_VALUE"""),"Connectplug")</f>
        <v>Connectplug</v>
      </c>
      <c r="N2638" s="33">
        <f>IFERROR(__xludf.DUMMYFUNCTION("""COMPUTED_VALUE"""),1.0)</f>
        <v>1</v>
      </c>
      <c r="O2638" s="4" t="str">
        <f>IFERROR(__xludf.DUMMYFUNCTION("""COMPUTED_VALUE"""),"Connectplug")</f>
        <v>Connectplug</v>
      </c>
      <c r="P2638" s="33">
        <f>IFERROR(__xludf.DUMMYFUNCTION("""COMPUTED_VALUE"""),1.0)</f>
        <v>1</v>
      </c>
      <c r="Q2638" s="4" t="str">
        <f>IFERROR(__xludf.DUMMYFUNCTION("""COMPUTED_VALUE"""),"Connectplug")</f>
        <v>Connectplug</v>
      </c>
      <c r="R2638" s="33">
        <f>IFERROR(__xludf.DUMMYFUNCTION("""COMPUTED_VALUE"""),0.6666666666666666)</f>
        <v>0.6666666667</v>
      </c>
      <c r="S2638" s="4" t="str">
        <f>IFERROR(__xludf.DUMMYFUNCTION("""COMPUTED_VALUE"""),"Connectplug")</f>
        <v>Connectplug</v>
      </c>
      <c r="T2638" s="33">
        <f>IFERROR(__xludf.DUMMYFUNCTION("""COMPUTED_VALUE"""),0.6666666666666666)</f>
        <v>0.6666666667</v>
      </c>
      <c r="U2638" s="4" t="str">
        <f>IFERROR(__xludf.DUMMYFUNCTION("""COMPUTED_VALUE"""),"Connectplug")</f>
        <v>Connectplug</v>
      </c>
      <c r="V2638" s="33">
        <f>IFERROR(__xludf.DUMMYFUNCTION("""COMPUTED_VALUE"""),0.6666666666666666)</f>
        <v>0.6666666667</v>
      </c>
      <c r="W2638" s="4" t="str">
        <f>IFERROR(__xludf.DUMMYFUNCTION("""COMPUTED_VALUE"""),"Connectplug")</f>
        <v>Connectplug</v>
      </c>
      <c r="X2638" s="33">
        <f>IFERROR(__xludf.DUMMYFUNCTION("""COMPUTED_VALUE"""),1.0)</f>
        <v>1</v>
      </c>
    </row>
    <row r="2639">
      <c r="K2639" s="4" t="str">
        <f>IFERROR(__xludf.DUMMYFUNCTION("""COMPUTED_VALUE"""),"FONSECA BEBIDAS")</f>
        <v>FONSECA BEBIDAS</v>
      </c>
      <c r="L2639" s="32">
        <f>IFERROR(__xludf.DUMMYFUNCTION("""COMPUTED_VALUE"""),3.0)</f>
        <v>3</v>
      </c>
      <c r="M2639" s="4" t="str">
        <f>IFERROR(__xludf.DUMMYFUNCTION("""COMPUTED_VALUE"""),"Anota Ai Solucoes Digitais S/a")</f>
        <v>Anota Ai Solucoes Digitais S/a</v>
      </c>
      <c r="N2639" s="33">
        <f>IFERROR(__xludf.DUMMYFUNCTION("""COMPUTED_VALUE"""),0.3333333333333333)</f>
        <v>0.3333333333</v>
      </c>
      <c r="O2639" s="4" t="str">
        <f>IFERROR(__xludf.DUMMYFUNCTION("""COMPUTED_VALUE"""),"Anota Ai Solucoes Digitais S/a")</f>
        <v>Anota Ai Solucoes Digitais S/a</v>
      </c>
      <c r="P2639" s="33">
        <f>IFERROR(__xludf.DUMMYFUNCTION("""COMPUTED_VALUE"""),0.3333333333333333)</f>
        <v>0.3333333333</v>
      </c>
      <c r="Q2639" s="4" t="str">
        <f>IFERROR(__xludf.DUMMYFUNCTION("""COMPUTED_VALUE"""),"Anota Ai Solucoes Digitais S/a")</f>
        <v>Anota Ai Solucoes Digitais S/a</v>
      </c>
      <c r="R2639" s="33">
        <f>IFERROR(__xludf.DUMMYFUNCTION("""COMPUTED_VALUE"""),0.3333333333333333)</f>
        <v>0.3333333333</v>
      </c>
      <c r="S2639" s="4" t="str">
        <f>IFERROR(__xludf.DUMMYFUNCTION("""COMPUTED_VALUE"""),"Anota Ai Solucoes Digitais S/a")</f>
        <v>Anota Ai Solucoes Digitais S/a</v>
      </c>
      <c r="T2639" s="33">
        <f>IFERROR(__xludf.DUMMYFUNCTION("""COMPUTED_VALUE"""),0.3333333333333333)</f>
        <v>0.3333333333</v>
      </c>
      <c r="U2639" s="4" t="str">
        <f>IFERROR(__xludf.DUMMYFUNCTION("""COMPUTED_VALUE"""),"Anota Ai Solucoes Digitais S/a")</f>
        <v>Anota Ai Solucoes Digitais S/a</v>
      </c>
      <c r="V2639" s="33">
        <f>IFERROR(__xludf.DUMMYFUNCTION("""COMPUTED_VALUE"""),0.3333333333333333)</f>
        <v>0.3333333333</v>
      </c>
      <c r="W2639" s="4" t="str">
        <f>IFERROR(__xludf.DUMMYFUNCTION("""COMPUTED_VALUE"""),"Anota Ai Solucoes Digitais S/a")</f>
        <v>Anota Ai Solucoes Digitais S/a</v>
      </c>
      <c r="X2639" s="33">
        <f>IFERROR(__xludf.DUMMYFUNCTION("""COMPUTED_VALUE"""),0.3333333333333333)</f>
        <v>0.3333333333</v>
      </c>
    </row>
    <row r="2640">
      <c r="K2640" s="4" t="str">
        <f>IFERROR(__xludf.DUMMYFUNCTION("""COMPUTED_VALUE"""),"REI BURGER")</f>
        <v>REI BURGER</v>
      </c>
      <c r="L2640" s="32">
        <f>IFERROR(__xludf.DUMMYFUNCTION("""COMPUTED_VALUE"""),3.0)</f>
        <v>3</v>
      </c>
      <c r="M2640" s="4" t="str">
        <f>IFERROR(__xludf.DUMMYFUNCTION("""COMPUTED_VALUE"""),"null")</f>
        <v>null</v>
      </c>
      <c r="N2640" s="33">
        <f>IFERROR(__xludf.DUMMYFUNCTION("""COMPUTED_VALUE"""),0.3333333333333333)</f>
        <v>0.3333333333</v>
      </c>
      <c r="O2640" s="4" t="str">
        <f>IFERROR(__xludf.DUMMYFUNCTION("""COMPUTED_VALUE"""),"null")</f>
        <v>null</v>
      </c>
      <c r="P2640" s="33">
        <f>IFERROR(__xludf.DUMMYFUNCTION("""COMPUTED_VALUE"""),0.3333333333333333)</f>
        <v>0.3333333333</v>
      </c>
      <c r="Q2640" s="4" t="str">
        <f>IFERROR(__xludf.DUMMYFUNCTION("""COMPUTED_VALUE"""),"Saipos Serviços De Software")</f>
        <v>Saipos Serviços De Software</v>
      </c>
      <c r="R2640" s="33">
        <f>IFERROR(__xludf.DUMMYFUNCTION("""COMPUTED_VALUE"""),0.3333333333333333)</f>
        <v>0.3333333333</v>
      </c>
      <c r="S2640" s="4" t="str">
        <f>IFERROR(__xludf.DUMMYFUNCTION("""COMPUTED_VALUE"""),"Saipos Serviços De Software")</f>
        <v>Saipos Serviços De Software</v>
      </c>
      <c r="T2640" s="33">
        <f>IFERROR(__xludf.DUMMYFUNCTION("""COMPUTED_VALUE"""),0.3333333333333333)</f>
        <v>0.3333333333</v>
      </c>
      <c r="U2640" s="4" t="str">
        <f>IFERROR(__xludf.DUMMYFUNCTION("""COMPUTED_VALUE"""),"Saipos Serviços De Software")</f>
        <v>Saipos Serviços De Software</v>
      </c>
      <c r="V2640" s="33">
        <f>IFERROR(__xludf.DUMMYFUNCTION("""COMPUTED_VALUE"""),0.3333333333333333)</f>
        <v>0.3333333333</v>
      </c>
      <c r="W2640" s="4" t="str">
        <f>IFERROR(__xludf.DUMMYFUNCTION("""COMPUTED_VALUE"""),"Saipos Serviços De Software")</f>
        <v>Saipos Serviços De Software</v>
      </c>
      <c r="X2640" s="33">
        <f>IFERROR(__xludf.DUMMYFUNCTION("""COMPUTED_VALUE"""),0.3333333333333333)</f>
        <v>0.3333333333</v>
      </c>
    </row>
    <row r="2641">
      <c r="K2641" s="4" t="str">
        <f>IFERROR(__xludf.DUMMYFUNCTION("""COMPUTED_VALUE"""),"PIZZA JA")</f>
        <v>PIZZA JA</v>
      </c>
      <c r="L2641" s="32">
        <f>IFERROR(__xludf.DUMMYFUNCTION("""COMPUTED_VALUE"""),3.0)</f>
        <v>3</v>
      </c>
      <c r="M2641" s="4" t="str">
        <f>IFERROR(__xludf.DUMMYFUNCTION("""COMPUTED_VALUE"""),"Cardápio Web")</f>
        <v>Cardápio Web</v>
      </c>
      <c r="N2641" s="33">
        <f>IFERROR(__xludf.DUMMYFUNCTION("""COMPUTED_VALUE"""),0.3333333333333333)</f>
        <v>0.3333333333</v>
      </c>
      <c r="O2641" s="4" t="str">
        <f>IFERROR(__xludf.DUMMYFUNCTION("""COMPUTED_VALUE"""),"Cardápio Web")</f>
        <v>Cardápio Web</v>
      </c>
      <c r="P2641" s="33">
        <f>IFERROR(__xludf.DUMMYFUNCTION("""COMPUTED_VALUE"""),0.3333333333333333)</f>
        <v>0.3333333333</v>
      </c>
      <c r="Q2641" s="4" t="str">
        <f>IFERROR(__xludf.DUMMYFUNCTION("""COMPUTED_VALUE"""),"null")</f>
        <v>null</v>
      </c>
      <c r="R2641" s="33">
        <f>IFERROR(__xludf.DUMMYFUNCTION("""COMPUTED_VALUE"""),0.6666666666666666)</f>
        <v>0.6666666667</v>
      </c>
      <c r="S2641" s="4" t="str">
        <f>IFERROR(__xludf.DUMMYFUNCTION("""COMPUTED_VALUE"""),"null")</f>
        <v>null</v>
      </c>
      <c r="T2641" s="33">
        <f>IFERROR(__xludf.DUMMYFUNCTION("""COMPUTED_VALUE"""),0.3333333333333333)</f>
        <v>0.3333333333</v>
      </c>
      <c r="U2641" s="4" t="str">
        <f>IFERROR(__xludf.DUMMYFUNCTION("""COMPUTED_VALUE"""),"null")</f>
        <v>null</v>
      </c>
      <c r="V2641" s="33">
        <f>IFERROR(__xludf.DUMMYFUNCTION("""COMPUTED_VALUE"""),0.3333333333333333)</f>
        <v>0.3333333333</v>
      </c>
      <c r="W2641" s="4" t="str">
        <f>IFERROR(__xludf.DUMMYFUNCTION("""COMPUTED_VALUE"""),"null")</f>
        <v>null</v>
      </c>
      <c r="X2641" s="33">
        <f>IFERROR(__xludf.DUMMYFUNCTION("""COMPUTED_VALUE"""),0.3333333333333333)</f>
        <v>0.3333333333</v>
      </c>
    </row>
    <row r="2642">
      <c r="K2642" s="4" t="str">
        <f>IFERROR(__xludf.DUMMYFUNCTION("""COMPUTED_VALUE"""),"VILA PIZZA")</f>
        <v>VILA PIZZA</v>
      </c>
      <c r="L2642" s="32">
        <f>IFERROR(__xludf.DUMMYFUNCTION("""COMPUTED_VALUE"""),3.0)</f>
        <v>3</v>
      </c>
      <c r="M2642" s="4" t="str">
        <f>IFERROR(__xludf.DUMMYFUNCTION("""COMPUTED_VALUE"""),"Yooga")</f>
        <v>Yooga</v>
      </c>
      <c r="N2642" s="33">
        <f>IFERROR(__xludf.DUMMYFUNCTION("""COMPUTED_VALUE"""),0.3333333333333333)</f>
        <v>0.3333333333</v>
      </c>
      <c r="O2642" s="4" t="str">
        <f>IFERROR(__xludf.DUMMYFUNCTION("""COMPUTED_VALUE"""),"Yooga")</f>
        <v>Yooga</v>
      </c>
      <c r="P2642" s="33">
        <f>IFERROR(__xludf.DUMMYFUNCTION("""COMPUTED_VALUE"""),0.3333333333333333)</f>
        <v>0.3333333333</v>
      </c>
      <c r="Q2642" s="4" t="str">
        <f>IFERROR(__xludf.DUMMYFUNCTION("""COMPUTED_VALUE"""),"Saipos Serviços De Software")</f>
        <v>Saipos Serviços De Software</v>
      </c>
      <c r="R2642" s="33">
        <f>IFERROR(__xludf.DUMMYFUNCTION("""COMPUTED_VALUE"""),0.6666666666666666)</f>
        <v>0.6666666667</v>
      </c>
      <c r="S2642" s="4" t="str">
        <f>IFERROR(__xludf.DUMMYFUNCTION("""COMPUTED_VALUE"""),"Saipos Serviços De Software")</f>
        <v>Saipos Serviços De Software</v>
      </c>
      <c r="T2642" s="33">
        <f>IFERROR(__xludf.DUMMYFUNCTION("""COMPUTED_VALUE"""),0.6666666666666666)</f>
        <v>0.6666666667</v>
      </c>
      <c r="U2642" s="4" t="str">
        <f>IFERROR(__xludf.DUMMYFUNCTION("""COMPUTED_VALUE"""),"Saipos Serviços De Software")</f>
        <v>Saipos Serviços De Software</v>
      </c>
      <c r="V2642" s="33">
        <f>IFERROR(__xludf.DUMMYFUNCTION("""COMPUTED_VALUE"""),0.6666666666666666)</f>
        <v>0.6666666667</v>
      </c>
      <c r="W2642" s="4" t="str">
        <f>IFERROR(__xludf.DUMMYFUNCTION("""COMPUTED_VALUE"""),"Saipos Serviços De Software")</f>
        <v>Saipos Serviços De Software</v>
      </c>
      <c r="X2642" s="33">
        <f>IFERROR(__xludf.DUMMYFUNCTION("""COMPUTED_VALUE"""),0.6666666666666666)</f>
        <v>0.6666666667</v>
      </c>
    </row>
    <row r="2643">
      <c r="K2643" s="4" t="str">
        <f>IFERROR(__xludf.DUMMYFUNCTION("""COMPUTED_VALUE"""),"PIZZARIA RAVENNA")</f>
        <v>PIZZARIA RAVENNA</v>
      </c>
      <c r="L2643" s="32">
        <f>IFERROR(__xludf.DUMMYFUNCTION("""COMPUTED_VALUE"""),3.0)</f>
        <v>3</v>
      </c>
      <c r="M2643" s="4" t="str">
        <f>IFERROR(__xludf.DUMMYFUNCTION("""COMPUTED_VALUE"""),"Sagres Automação Comercial")</f>
        <v>Sagres Automação Comercial</v>
      </c>
      <c r="N2643" s="33">
        <f>IFERROR(__xludf.DUMMYFUNCTION("""COMPUTED_VALUE"""),0.3333333333333333)</f>
        <v>0.3333333333</v>
      </c>
      <c r="O2643" s="4" t="str">
        <f>IFERROR(__xludf.DUMMYFUNCTION("""COMPUTED_VALUE"""),"Sagres Automação Comercial")</f>
        <v>Sagres Automação Comercial</v>
      </c>
      <c r="P2643" s="33">
        <f>IFERROR(__xludf.DUMMYFUNCTION("""COMPUTED_VALUE"""),0.3333333333333333)</f>
        <v>0.3333333333</v>
      </c>
      <c r="Q2643" s="4" t="str">
        <f>IFERROR(__xludf.DUMMYFUNCTION("""COMPUTED_VALUE"""),"Sagres Automação Comercial")</f>
        <v>Sagres Automação Comercial</v>
      </c>
      <c r="R2643" s="33">
        <f>IFERROR(__xludf.DUMMYFUNCTION("""COMPUTED_VALUE"""),0.3333333333333333)</f>
        <v>0.3333333333</v>
      </c>
      <c r="S2643" s="4" t="str">
        <f>IFERROR(__xludf.DUMMYFUNCTION("""COMPUTED_VALUE"""),"Sagres Automação Comercial")</f>
        <v>Sagres Automação Comercial</v>
      </c>
      <c r="T2643" s="33">
        <f>IFERROR(__xludf.DUMMYFUNCTION("""COMPUTED_VALUE"""),0.3333333333333333)</f>
        <v>0.3333333333</v>
      </c>
      <c r="U2643" s="4" t="str">
        <f>IFERROR(__xludf.DUMMYFUNCTION("""COMPUTED_VALUE"""),"Sagres Automação Comercial")</f>
        <v>Sagres Automação Comercial</v>
      </c>
      <c r="V2643" s="33">
        <f>IFERROR(__xludf.DUMMYFUNCTION("""COMPUTED_VALUE"""),0.3333333333333333)</f>
        <v>0.3333333333</v>
      </c>
      <c r="W2643" s="4" t="str">
        <f>IFERROR(__xludf.DUMMYFUNCTION("""COMPUTED_VALUE"""),"Sagres Automação Comercial")</f>
        <v>Sagres Automação Comercial</v>
      </c>
      <c r="X2643" s="33">
        <f>IFERROR(__xludf.DUMMYFUNCTION("""COMPUTED_VALUE"""),0.3333333333333333)</f>
        <v>0.3333333333</v>
      </c>
    </row>
    <row r="2644">
      <c r="K2644" s="4" t="str">
        <f>IFERROR(__xludf.DUMMYFUNCTION("""COMPUTED_VALUE"""),"SANTO ALIMENTO - CHURRASCO FEIJOADA FRANGO ASSADO")</f>
        <v>SANTO ALIMENTO - CHURRASCO FEIJOADA FRANGO ASSADO</v>
      </c>
      <c r="L2644" s="32">
        <f>IFERROR(__xludf.DUMMYFUNCTION("""COMPUTED_VALUE"""),3.0)</f>
        <v>3</v>
      </c>
      <c r="M2644" s="4" t="str">
        <f>IFERROR(__xludf.DUMMYFUNCTION("""COMPUTED_VALUE"""),"Saipos Serviços De Software")</f>
        <v>Saipos Serviços De Software</v>
      </c>
      <c r="N2644" s="33">
        <f>IFERROR(__xludf.DUMMYFUNCTION("""COMPUTED_VALUE"""),0.6666666666666666)</f>
        <v>0.6666666667</v>
      </c>
      <c r="O2644" s="4" t="str">
        <f>IFERROR(__xludf.DUMMYFUNCTION("""COMPUTED_VALUE"""),"Saipos Serviços De Software")</f>
        <v>Saipos Serviços De Software</v>
      </c>
      <c r="P2644" s="33">
        <f>IFERROR(__xludf.DUMMYFUNCTION("""COMPUTED_VALUE"""),0.6666666666666666)</f>
        <v>0.6666666667</v>
      </c>
      <c r="Q2644" s="4" t="str">
        <f>IFERROR(__xludf.DUMMYFUNCTION("""COMPUTED_VALUE"""),"Saipos Serviços De Software")</f>
        <v>Saipos Serviços De Software</v>
      </c>
      <c r="R2644" s="33">
        <f>IFERROR(__xludf.DUMMYFUNCTION("""COMPUTED_VALUE"""),1.0)</f>
        <v>1</v>
      </c>
      <c r="S2644" s="4" t="str">
        <f>IFERROR(__xludf.DUMMYFUNCTION("""COMPUTED_VALUE"""),"Saipos Serviços De Software")</f>
        <v>Saipos Serviços De Software</v>
      </c>
      <c r="T2644" s="33">
        <f>IFERROR(__xludf.DUMMYFUNCTION("""COMPUTED_VALUE"""),1.0)</f>
        <v>1</v>
      </c>
      <c r="U2644" s="4" t="str">
        <f>IFERROR(__xludf.DUMMYFUNCTION("""COMPUTED_VALUE"""),"Saipos Serviços De Software")</f>
        <v>Saipos Serviços De Software</v>
      </c>
      <c r="V2644" s="33">
        <f>IFERROR(__xludf.DUMMYFUNCTION("""COMPUTED_VALUE"""),1.0)</f>
        <v>1</v>
      </c>
      <c r="W2644" s="4" t="str">
        <f>IFERROR(__xludf.DUMMYFUNCTION("""COMPUTED_VALUE"""),"Saipos Serviços De Software")</f>
        <v>Saipos Serviços De Software</v>
      </c>
      <c r="X2644" s="33">
        <f>IFERROR(__xludf.DUMMYFUNCTION("""COMPUTED_VALUE"""),0.6666666666666666)</f>
        <v>0.6666666667</v>
      </c>
    </row>
    <row r="2645">
      <c r="K2645" s="4" t="str">
        <f>IFERROR(__xludf.DUMMYFUNCTION("""COMPUTED_VALUE"""),"HAMBURGO")</f>
        <v>HAMBURGO</v>
      </c>
      <c r="L2645" s="32">
        <f>IFERROR(__xludf.DUMMYFUNCTION("""COMPUTED_VALUE"""),3.0)</f>
        <v>3</v>
      </c>
      <c r="M2645" s="4" t="str">
        <f>IFERROR(__xludf.DUMMYFUNCTION("""COMPUTED_VALUE"""),"Consumer Soluções Em Tecnologia Ltda")</f>
        <v>Consumer Soluções Em Tecnologia Ltda</v>
      </c>
      <c r="N2645" s="33">
        <f>IFERROR(__xludf.DUMMYFUNCTION("""COMPUTED_VALUE"""),0.6666666666666666)</f>
        <v>0.6666666667</v>
      </c>
      <c r="O2645" s="4" t="str">
        <f>IFERROR(__xludf.DUMMYFUNCTION("""COMPUTED_VALUE"""),"Cardápio Web")</f>
        <v>Cardápio Web</v>
      </c>
      <c r="P2645" s="33">
        <f>IFERROR(__xludf.DUMMYFUNCTION("""COMPUTED_VALUE"""),0.3333333333333333)</f>
        <v>0.3333333333</v>
      </c>
      <c r="Q2645" s="4" t="str">
        <f>IFERROR(__xludf.DUMMYFUNCTION("""COMPUTED_VALUE"""),"Consumer Soluções Em Tecnologia Ltda")</f>
        <v>Consumer Soluções Em Tecnologia Ltda</v>
      </c>
      <c r="R2645" s="33">
        <f>IFERROR(__xludf.DUMMYFUNCTION("""COMPUTED_VALUE"""),0.6666666666666666)</f>
        <v>0.6666666667</v>
      </c>
      <c r="S2645" s="4" t="str">
        <f>IFERROR(__xludf.DUMMYFUNCTION("""COMPUTED_VALUE"""),"Consumer Soluções Em Tecnologia Ltda")</f>
        <v>Consumer Soluções Em Tecnologia Ltda</v>
      </c>
      <c r="T2645" s="33">
        <f>IFERROR(__xludf.DUMMYFUNCTION("""COMPUTED_VALUE"""),0.6666666666666666)</f>
        <v>0.6666666667</v>
      </c>
      <c r="U2645" s="4" t="str">
        <f>IFERROR(__xludf.DUMMYFUNCTION("""COMPUTED_VALUE"""),"Consumer Soluções Em Tecnologia Ltda")</f>
        <v>Consumer Soluções Em Tecnologia Ltda</v>
      </c>
      <c r="V2645" s="33">
        <f>IFERROR(__xludf.DUMMYFUNCTION("""COMPUTED_VALUE"""),0.6666666666666666)</f>
        <v>0.6666666667</v>
      </c>
      <c r="W2645" s="4" t="str">
        <f>IFERROR(__xludf.DUMMYFUNCTION("""COMPUTED_VALUE"""),"null")</f>
        <v>null</v>
      </c>
      <c r="X2645" s="33">
        <f>IFERROR(__xludf.DUMMYFUNCTION("""COMPUTED_VALUE"""),1.0)</f>
        <v>1</v>
      </c>
    </row>
    <row r="2646">
      <c r="K2646" s="4" t="str">
        <f>IFERROR(__xludf.DUMMYFUNCTION("""COMPUTED_VALUE"""),"SR GUIMARAES SALGADOS")</f>
        <v>SR GUIMARAES SALGADOS</v>
      </c>
      <c r="L2646" s="32">
        <f>IFERROR(__xludf.DUMMYFUNCTION("""COMPUTED_VALUE"""),3.0)</f>
        <v>3</v>
      </c>
      <c r="M2646" s="4" t="str">
        <f>IFERROR(__xludf.DUMMYFUNCTION("""COMPUTED_VALUE"""),"Mp Multipedidos")</f>
        <v>Mp Multipedidos</v>
      </c>
      <c r="N2646" s="33">
        <f>IFERROR(__xludf.DUMMYFUNCTION("""COMPUTED_VALUE"""),1.0)</f>
        <v>1</v>
      </c>
      <c r="O2646" s="4" t="str">
        <f>IFERROR(__xludf.DUMMYFUNCTION("""COMPUTED_VALUE"""),"Mp Multipedidos")</f>
        <v>Mp Multipedidos</v>
      </c>
      <c r="P2646" s="33">
        <f>IFERROR(__xludf.DUMMYFUNCTION("""COMPUTED_VALUE"""),1.0)</f>
        <v>1</v>
      </c>
      <c r="Q2646" s="4" t="str">
        <f>IFERROR(__xludf.DUMMYFUNCTION("""COMPUTED_VALUE"""),"Mp Multipedidos")</f>
        <v>Mp Multipedidos</v>
      </c>
      <c r="R2646" s="33">
        <f>IFERROR(__xludf.DUMMYFUNCTION("""COMPUTED_VALUE"""),1.0)</f>
        <v>1</v>
      </c>
      <c r="S2646" s="4" t="str">
        <f>IFERROR(__xludf.DUMMYFUNCTION("""COMPUTED_VALUE"""),"Mp Multipedidos")</f>
        <v>Mp Multipedidos</v>
      </c>
      <c r="T2646" s="33">
        <f>IFERROR(__xludf.DUMMYFUNCTION("""COMPUTED_VALUE"""),1.0)</f>
        <v>1</v>
      </c>
      <c r="U2646" s="4" t="str">
        <f>IFERROR(__xludf.DUMMYFUNCTION("""COMPUTED_VALUE"""),"Mp Multipedidos")</f>
        <v>Mp Multipedidos</v>
      </c>
      <c r="V2646" s="33">
        <f>IFERROR(__xludf.DUMMYFUNCTION("""COMPUTED_VALUE"""),1.0)</f>
        <v>1</v>
      </c>
      <c r="W2646" s="4" t="str">
        <f>IFERROR(__xludf.DUMMYFUNCTION("""COMPUTED_VALUE"""),"Mp Multipedidos")</f>
        <v>Mp Multipedidos</v>
      </c>
      <c r="X2646" s="33">
        <f>IFERROR(__xludf.DUMMYFUNCTION("""COMPUTED_VALUE"""),1.0)</f>
        <v>1</v>
      </c>
    </row>
    <row r="2647">
      <c r="K2647" s="4" t="str">
        <f>IFERROR(__xludf.DUMMYFUNCTION("""COMPUTED_VALUE"""),"CANTINHO DAS MASSAS")</f>
        <v>CANTINHO DAS MASSAS</v>
      </c>
      <c r="L2647" s="32">
        <f>IFERROR(__xludf.DUMMYFUNCTION("""COMPUTED_VALUE"""),3.0)</f>
        <v>3</v>
      </c>
      <c r="M2647" s="4" t="str">
        <f>IFERROR(__xludf.DUMMYFUNCTION("""COMPUTED_VALUE"""),"null")</f>
        <v>null</v>
      </c>
      <c r="N2647" s="33">
        <f>IFERROR(__xludf.DUMMYFUNCTION("""COMPUTED_VALUE"""),0.6666666666666666)</f>
        <v>0.6666666667</v>
      </c>
      <c r="O2647" s="4" t="str">
        <f>IFERROR(__xludf.DUMMYFUNCTION("""COMPUTED_VALUE"""),"M-du Tecnologia")</f>
        <v>M-du Tecnologia</v>
      </c>
      <c r="P2647" s="33">
        <f>IFERROR(__xludf.DUMMYFUNCTION("""COMPUTED_VALUE"""),0.3333333333333333)</f>
        <v>0.3333333333</v>
      </c>
      <c r="Q2647" s="4" t="str">
        <f>IFERROR(__xludf.DUMMYFUNCTION("""COMPUTED_VALUE"""),"M-du Tecnologia")</f>
        <v>M-du Tecnologia</v>
      </c>
      <c r="R2647" s="33">
        <f>IFERROR(__xludf.DUMMYFUNCTION("""COMPUTED_VALUE"""),0.3333333333333333)</f>
        <v>0.3333333333</v>
      </c>
      <c r="S2647" s="4" t="str">
        <f>IFERROR(__xludf.DUMMYFUNCTION("""COMPUTED_VALUE"""),"null")</f>
        <v>null</v>
      </c>
      <c r="T2647" s="33">
        <f>IFERROR(__xludf.DUMMYFUNCTION("""COMPUTED_VALUE"""),0.6666666666666666)</f>
        <v>0.6666666667</v>
      </c>
      <c r="U2647" s="4" t="str">
        <f>IFERROR(__xludf.DUMMYFUNCTION("""COMPUTED_VALUE"""),"null")</f>
        <v>null</v>
      </c>
      <c r="V2647" s="33">
        <f>IFERROR(__xludf.DUMMYFUNCTION("""COMPUTED_VALUE"""),0.6666666666666666)</f>
        <v>0.6666666667</v>
      </c>
      <c r="W2647" s="4" t="str">
        <f>IFERROR(__xludf.DUMMYFUNCTION("""COMPUTED_VALUE"""),"null")</f>
        <v>null</v>
      </c>
      <c r="X2647" s="33">
        <f>IFERROR(__xludf.DUMMYFUNCTION("""COMPUTED_VALUE"""),0.3333333333333333)</f>
        <v>0.3333333333</v>
      </c>
    </row>
    <row r="2648">
      <c r="K2648" s="4" t="str">
        <f>IFERROR(__xludf.DUMMYFUNCTION("""COMPUTED_VALUE"""),"CANALHAS BURGER")</f>
        <v>CANALHAS BURGER</v>
      </c>
      <c r="L2648" s="32">
        <f>IFERROR(__xludf.DUMMYFUNCTION("""COMPUTED_VALUE"""),3.0)</f>
        <v>3</v>
      </c>
      <c r="M2648" s="4" t="str">
        <f>IFERROR(__xludf.DUMMYFUNCTION("""COMPUTED_VALUE"""),"null")</f>
        <v>null</v>
      </c>
      <c r="N2648" s="33">
        <f>IFERROR(__xludf.DUMMYFUNCTION("""COMPUTED_VALUE"""),0.6666666666666666)</f>
        <v>0.6666666667</v>
      </c>
      <c r="O2648" s="4" t="str">
        <f>IFERROR(__xludf.DUMMYFUNCTION("""COMPUTED_VALUE"""),"null")</f>
        <v>null</v>
      </c>
      <c r="P2648" s="33">
        <f>IFERROR(__xludf.DUMMYFUNCTION("""COMPUTED_VALUE"""),0.6666666666666666)</f>
        <v>0.6666666667</v>
      </c>
      <c r="Q2648" s="4" t="str">
        <f>IFERROR(__xludf.DUMMYFUNCTION("""COMPUTED_VALUE"""),"Anota Ai Solucoes Digitais S/a")</f>
        <v>Anota Ai Solucoes Digitais S/a</v>
      </c>
      <c r="R2648" s="33">
        <f>IFERROR(__xludf.DUMMYFUNCTION("""COMPUTED_VALUE"""),0.6666666666666666)</f>
        <v>0.6666666667</v>
      </c>
      <c r="S2648" s="4" t="str">
        <f>IFERROR(__xludf.DUMMYFUNCTION("""COMPUTED_VALUE"""),"Anota Ai Solucoes Digitais S/a")</f>
        <v>Anota Ai Solucoes Digitais S/a</v>
      </c>
      <c r="T2648" s="33">
        <f>IFERROR(__xludf.DUMMYFUNCTION("""COMPUTED_VALUE"""),0.6666666666666666)</f>
        <v>0.6666666667</v>
      </c>
      <c r="U2648" s="4" t="str">
        <f>IFERROR(__xludf.DUMMYFUNCTION("""COMPUTED_VALUE"""),"Anota Ai Solucoes Digitais S/a")</f>
        <v>Anota Ai Solucoes Digitais S/a</v>
      </c>
      <c r="V2648" s="33">
        <f>IFERROR(__xludf.DUMMYFUNCTION("""COMPUTED_VALUE"""),1.0)</f>
        <v>1</v>
      </c>
      <c r="W2648" s="4" t="str">
        <f>IFERROR(__xludf.DUMMYFUNCTION("""COMPUTED_VALUE"""),"Anota Ai Solucoes Digitais S/a")</f>
        <v>Anota Ai Solucoes Digitais S/a</v>
      </c>
      <c r="X2648" s="33">
        <f>IFERROR(__xludf.DUMMYFUNCTION("""COMPUTED_VALUE"""),1.0)</f>
        <v>1</v>
      </c>
    </row>
    <row r="2649">
      <c r="K2649" s="4" t="str">
        <f>IFERROR(__xludf.DUMMYFUNCTION("""COMPUTED_VALUE"""),"ROTA DO ESPETO")</f>
        <v>ROTA DO ESPETO</v>
      </c>
      <c r="L2649" s="32">
        <f>IFERROR(__xludf.DUMMYFUNCTION("""COMPUTED_VALUE"""),3.0)</f>
        <v>3</v>
      </c>
      <c r="M2649" s="4" t="str">
        <f>IFERROR(__xludf.DUMMYFUNCTION("""COMPUTED_VALUE"""),"Fire Sistemas")</f>
        <v>Fire Sistemas</v>
      </c>
      <c r="N2649" s="33">
        <f>IFERROR(__xludf.DUMMYFUNCTION("""COMPUTED_VALUE"""),0.3333333333333333)</f>
        <v>0.3333333333</v>
      </c>
      <c r="O2649" s="4" t="str">
        <f>IFERROR(__xludf.DUMMYFUNCTION("""COMPUTED_VALUE"""),"Fire Sistemas")</f>
        <v>Fire Sistemas</v>
      </c>
      <c r="P2649" s="33">
        <f>IFERROR(__xludf.DUMMYFUNCTION("""COMPUTED_VALUE"""),0.3333333333333333)</f>
        <v>0.3333333333</v>
      </c>
      <c r="Q2649" s="4" t="str">
        <f>IFERROR(__xludf.DUMMYFUNCTION("""COMPUTED_VALUE"""),"Fire Sistemas")</f>
        <v>Fire Sistemas</v>
      </c>
      <c r="R2649" s="33">
        <f>IFERROR(__xludf.DUMMYFUNCTION("""COMPUTED_VALUE"""),0.3333333333333333)</f>
        <v>0.3333333333</v>
      </c>
      <c r="S2649" s="4" t="str">
        <f>IFERROR(__xludf.DUMMYFUNCTION("""COMPUTED_VALUE"""),"Fire Sistemas")</f>
        <v>Fire Sistemas</v>
      </c>
      <c r="T2649" s="33">
        <f>IFERROR(__xludf.DUMMYFUNCTION("""COMPUTED_VALUE"""),0.3333333333333333)</f>
        <v>0.3333333333</v>
      </c>
      <c r="U2649" s="4" t="str">
        <f>IFERROR(__xludf.DUMMYFUNCTION("""COMPUTED_VALUE"""),"Fire Sistemas")</f>
        <v>Fire Sistemas</v>
      </c>
      <c r="V2649" s="33">
        <f>IFERROR(__xludf.DUMMYFUNCTION("""COMPUTED_VALUE"""),0.3333333333333333)</f>
        <v>0.3333333333</v>
      </c>
      <c r="W2649" s="4" t="str">
        <f>IFERROR(__xludf.DUMMYFUNCTION("""COMPUTED_VALUE"""),"Fire Sistemas")</f>
        <v>Fire Sistemas</v>
      </c>
      <c r="X2649" s="33">
        <f>IFERROR(__xludf.DUMMYFUNCTION("""COMPUTED_VALUE"""),0.3333333333333333)</f>
        <v>0.3333333333</v>
      </c>
    </row>
    <row r="2650">
      <c r="K2650" s="4" t="str">
        <f>IFERROR(__xludf.DUMMYFUNCTION("""COMPUTED_VALUE"""),"MAIS SABOR")</f>
        <v>MAIS SABOR</v>
      </c>
      <c r="L2650" s="32">
        <f>IFERROR(__xludf.DUMMYFUNCTION("""COMPUTED_VALUE"""),3.0)</f>
        <v>3</v>
      </c>
      <c r="M2650" s="4" t="str">
        <f>IFERROR(__xludf.DUMMYFUNCTION("""COMPUTED_VALUE"""),"null")</f>
        <v>null</v>
      </c>
      <c r="N2650" s="33">
        <f>IFERROR(__xludf.DUMMYFUNCTION("""COMPUTED_VALUE"""),0.6666666666666666)</f>
        <v>0.6666666667</v>
      </c>
      <c r="O2650" s="4" t="str">
        <f>IFERROR(__xludf.DUMMYFUNCTION("""COMPUTED_VALUE"""),"null")</f>
        <v>null</v>
      </c>
      <c r="P2650" s="33">
        <f>IFERROR(__xludf.DUMMYFUNCTION("""COMPUTED_VALUE"""),0.6666666666666666)</f>
        <v>0.6666666667</v>
      </c>
      <c r="Q2650" s="4" t="str">
        <f>IFERROR(__xludf.DUMMYFUNCTION("""COMPUTED_VALUE"""),"null")</f>
        <v>null</v>
      </c>
      <c r="R2650" s="33">
        <f>IFERROR(__xludf.DUMMYFUNCTION("""COMPUTED_VALUE"""),0.6666666666666666)</f>
        <v>0.6666666667</v>
      </c>
      <c r="S2650" s="4" t="str">
        <f>IFERROR(__xludf.DUMMYFUNCTION("""COMPUTED_VALUE"""),"null")</f>
        <v>null</v>
      </c>
      <c r="T2650" s="33">
        <f>IFERROR(__xludf.DUMMYFUNCTION("""COMPUTED_VALUE"""),0.6666666666666666)</f>
        <v>0.6666666667</v>
      </c>
      <c r="U2650" s="4" t="str">
        <f>IFERROR(__xludf.DUMMYFUNCTION("""COMPUTED_VALUE"""),"Instadelivery")</f>
        <v>Instadelivery</v>
      </c>
      <c r="V2650" s="33">
        <f>IFERROR(__xludf.DUMMYFUNCTION("""COMPUTED_VALUE"""),0.3333333333333333)</f>
        <v>0.3333333333</v>
      </c>
      <c r="W2650" s="4" t="str">
        <f>IFERROR(__xludf.DUMMYFUNCTION("""COMPUTED_VALUE"""),"Instadelivery")</f>
        <v>Instadelivery</v>
      </c>
      <c r="X2650" s="33">
        <f>IFERROR(__xludf.DUMMYFUNCTION("""COMPUTED_VALUE"""),0.3333333333333333)</f>
        <v>0.3333333333</v>
      </c>
    </row>
    <row r="2651">
      <c r="K2651" s="4" t="str">
        <f>IFERROR(__xludf.DUMMYFUNCTION("""COMPUTED_VALUE"""),"TROPICAL ACAI")</f>
        <v>TROPICAL ACAI</v>
      </c>
      <c r="L2651" s="32">
        <f>IFERROR(__xludf.DUMMYFUNCTION("""COMPUTED_VALUE"""),3.0)</f>
        <v>3</v>
      </c>
      <c r="M2651" s="4" t="str">
        <f>IFERROR(__xludf.DUMMYFUNCTION("""COMPUTED_VALUE"""),"Instadelivery")</f>
        <v>Instadelivery</v>
      </c>
      <c r="N2651" s="33">
        <f>IFERROR(__xludf.DUMMYFUNCTION("""COMPUTED_VALUE"""),0.3333333333333333)</f>
        <v>0.3333333333</v>
      </c>
      <c r="O2651" s="4" t="str">
        <f>IFERROR(__xludf.DUMMYFUNCTION("""COMPUTED_VALUE"""),"Instadelivery")</f>
        <v>Instadelivery</v>
      </c>
      <c r="P2651" s="33">
        <f>IFERROR(__xludf.DUMMYFUNCTION("""COMPUTED_VALUE"""),0.3333333333333333)</f>
        <v>0.3333333333</v>
      </c>
      <c r="Q2651" s="4" t="str">
        <f>IFERROR(__xludf.DUMMYFUNCTION("""COMPUTED_VALUE"""),"Instadelivery")</f>
        <v>Instadelivery</v>
      </c>
      <c r="R2651" s="33">
        <f>IFERROR(__xludf.DUMMYFUNCTION("""COMPUTED_VALUE"""),0.3333333333333333)</f>
        <v>0.3333333333</v>
      </c>
      <c r="S2651" s="4" t="str">
        <f>IFERROR(__xludf.DUMMYFUNCTION("""COMPUTED_VALUE"""),"Instadelivery")</f>
        <v>Instadelivery</v>
      </c>
      <c r="T2651" s="33">
        <f>IFERROR(__xludf.DUMMYFUNCTION("""COMPUTED_VALUE"""),0.3333333333333333)</f>
        <v>0.3333333333</v>
      </c>
      <c r="U2651" s="4" t="str">
        <f>IFERROR(__xludf.DUMMYFUNCTION("""COMPUTED_VALUE"""),"null")</f>
        <v>null</v>
      </c>
      <c r="V2651" s="33">
        <f>IFERROR(__xludf.DUMMYFUNCTION("""COMPUTED_VALUE"""),0.3333333333333333)</f>
        <v>0.3333333333</v>
      </c>
      <c r="W2651" s="4" t="str">
        <f>IFERROR(__xludf.DUMMYFUNCTION("""COMPUTED_VALUE"""),"null")</f>
        <v>null</v>
      </c>
      <c r="X2651" s="33">
        <f>IFERROR(__xludf.DUMMYFUNCTION("""COMPUTED_VALUE"""),0.6666666666666666)</f>
        <v>0.6666666667</v>
      </c>
    </row>
    <row r="2652">
      <c r="K2652" s="4" t="str">
        <f>IFERROR(__xludf.DUMMYFUNCTION("""COMPUTED_VALUE"""),"TREMBAO PIZZARIA")</f>
        <v>TREMBAO PIZZARIA</v>
      </c>
      <c r="L2652" s="32">
        <f>IFERROR(__xludf.DUMMYFUNCTION("""COMPUTED_VALUE"""),3.0)</f>
        <v>3</v>
      </c>
      <c r="M2652" s="4" t="str">
        <f>IFERROR(__xludf.DUMMYFUNCTION("""COMPUTED_VALUE"""),"Saipos Serviços De Software")</f>
        <v>Saipos Serviços De Software</v>
      </c>
      <c r="N2652" s="33">
        <f>IFERROR(__xludf.DUMMYFUNCTION("""COMPUTED_VALUE"""),0.3333333333333333)</f>
        <v>0.3333333333</v>
      </c>
      <c r="O2652" s="4" t="str">
        <f>IFERROR(__xludf.DUMMYFUNCTION("""COMPUTED_VALUE"""),"Saipos Serviços De Software")</f>
        <v>Saipos Serviços De Software</v>
      </c>
      <c r="P2652" s="33">
        <f>IFERROR(__xludf.DUMMYFUNCTION("""COMPUTED_VALUE"""),0.6666666666666666)</f>
        <v>0.6666666667</v>
      </c>
      <c r="Q2652" s="4" t="str">
        <f>IFERROR(__xludf.DUMMYFUNCTION("""COMPUTED_VALUE"""),"Saipos Serviços De Software")</f>
        <v>Saipos Serviços De Software</v>
      </c>
      <c r="R2652" s="33">
        <f>IFERROR(__xludf.DUMMYFUNCTION("""COMPUTED_VALUE"""),0.3333333333333333)</f>
        <v>0.3333333333</v>
      </c>
      <c r="S2652" s="4" t="str">
        <f>IFERROR(__xludf.DUMMYFUNCTION("""COMPUTED_VALUE"""),"Saipos Serviços De Software")</f>
        <v>Saipos Serviços De Software</v>
      </c>
      <c r="T2652" s="33">
        <f>IFERROR(__xludf.DUMMYFUNCTION("""COMPUTED_VALUE"""),0.3333333333333333)</f>
        <v>0.3333333333</v>
      </c>
      <c r="U2652" s="4" t="str">
        <f>IFERROR(__xludf.DUMMYFUNCTION("""COMPUTED_VALUE"""),"Saipos Serviços De Software")</f>
        <v>Saipos Serviços De Software</v>
      </c>
      <c r="V2652" s="33">
        <f>IFERROR(__xludf.DUMMYFUNCTION("""COMPUTED_VALUE"""),0.3333333333333333)</f>
        <v>0.3333333333</v>
      </c>
      <c r="W2652" s="4" t="str">
        <f>IFERROR(__xludf.DUMMYFUNCTION("""COMPUTED_VALUE"""),"Saipos Serviços De Software")</f>
        <v>Saipos Serviços De Software</v>
      </c>
      <c r="X2652" s="33">
        <f>IFERROR(__xludf.DUMMYFUNCTION("""COMPUTED_VALUE"""),0.3333333333333333)</f>
        <v>0.3333333333</v>
      </c>
    </row>
    <row r="2653">
      <c r="K2653" s="4" t="str">
        <f>IFERROR(__xludf.DUMMYFUNCTION("""COMPUTED_VALUE"""),"LOJA")</f>
        <v>LOJA</v>
      </c>
      <c r="L2653" s="32">
        <f>IFERROR(__xludf.DUMMYFUNCTION("""COMPUTED_VALUE"""),3.0)</f>
        <v>3</v>
      </c>
      <c r="M2653" s="4" t="str">
        <f>IFERROR(__xludf.DUMMYFUNCTION("""COMPUTED_VALUE"""),"null")</f>
        <v>null</v>
      </c>
      <c r="N2653" s="33">
        <f>IFERROR(__xludf.DUMMYFUNCTION("""COMPUTED_VALUE"""),0.6666666666666666)</f>
        <v>0.6666666667</v>
      </c>
      <c r="O2653" s="4" t="str">
        <f>IFERROR(__xludf.DUMMYFUNCTION("""COMPUTED_VALUE"""),"Cardápio Web")</f>
        <v>Cardápio Web</v>
      </c>
      <c r="P2653" s="33">
        <f>IFERROR(__xludf.DUMMYFUNCTION("""COMPUTED_VALUE"""),0.3333333333333333)</f>
        <v>0.3333333333</v>
      </c>
      <c r="Q2653" s="4" t="str">
        <f>IFERROR(__xludf.DUMMYFUNCTION("""COMPUTED_VALUE"""),"Cardápio Web")</f>
        <v>Cardápio Web</v>
      </c>
      <c r="R2653" s="33">
        <f>IFERROR(__xludf.DUMMYFUNCTION("""COMPUTED_VALUE"""),0.3333333333333333)</f>
        <v>0.3333333333</v>
      </c>
      <c r="S2653" s="4" t="str">
        <f>IFERROR(__xludf.DUMMYFUNCTION("""COMPUTED_VALUE"""),"null")</f>
        <v>null</v>
      </c>
      <c r="T2653" s="33">
        <f>IFERROR(__xludf.DUMMYFUNCTION("""COMPUTED_VALUE"""),0.6666666666666666)</f>
        <v>0.6666666667</v>
      </c>
      <c r="U2653" s="4" t="str">
        <f>IFERROR(__xludf.DUMMYFUNCTION("""COMPUTED_VALUE"""),"null")</f>
        <v>null</v>
      </c>
      <c r="V2653" s="33">
        <f>IFERROR(__xludf.DUMMYFUNCTION("""COMPUTED_VALUE"""),0.6666666666666666)</f>
        <v>0.6666666667</v>
      </c>
      <c r="W2653" s="4" t="str">
        <f>IFERROR(__xludf.DUMMYFUNCTION("""COMPUTED_VALUE"""),"null")</f>
        <v>null</v>
      </c>
      <c r="X2653" s="33">
        <f>IFERROR(__xludf.DUMMYFUNCTION("""COMPUTED_VALUE"""),1.0)</f>
        <v>1</v>
      </c>
    </row>
    <row r="2654">
      <c r="K2654" s="4" t="str">
        <f>IFERROR(__xludf.DUMMYFUNCTION("""COMPUTED_VALUE"""),"MARMITARIA GOURMET")</f>
        <v>MARMITARIA GOURMET</v>
      </c>
      <c r="L2654" s="32">
        <f>IFERROR(__xludf.DUMMYFUNCTION("""COMPUTED_VALUE"""),3.0)</f>
        <v>3</v>
      </c>
      <c r="M2654" s="4" t="str">
        <f>IFERROR(__xludf.DUMMYFUNCTION("""COMPUTED_VALUE"""),"Saipos Serviços De Software")</f>
        <v>Saipos Serviços De Software</v>
      </c>
      <c r="N2654" s="33">
        <f>IFERROR(__xludf.DUMMYFUNCTION("""COMPUTED_VALUE"""),0.3333333333333333)</f>
        <v>0.3333333333</v>
      </c>
      <c r="O2654" s="4" t="str">
        <f>IFERROR(__xludf.DUMMYFUNCTION("""COMPUTED_VALUE"""),"Saipos Serviços De Software")</f>
        <v>Saipos Serviços De Software</v>
      </c>
      <c r="P2654" s="33">
        <f>IFERROR(__xludf.DUMMYFUNCTION("""COMPUTED_VALUE"""),0.3333333333333333)</f>
        <v>0.3333333333</v>
      </c>
      <c r="Q2654" s="4" t="str">
        <f>IFERROR(__xludf.DUMMYFUNCTION("""COMPUTED_VALUE"""),"null")</f>
        <v>null</v>
      </c>
      <c r="R2654" s="33">
        <f>IFERROR(__xludf.DUMMYFUNCTION("""COMPUTED_VALUE"""),0.3333333333333333)</f>
        <v>0.3333333333</v>
      </c>
      <c r="S2654" s="4" t="str">
        <f>IFERROR(__xludf.DUMMYFUNCTION("""COMPUTED_VALUE"""),"null")</f>
        <v>null</v>
      </c>
      <c r="T2654" s="33">
        <f>IFERROR(__xludf.DUMMYFUNCTION("""COMPUTED_VALUE"""),0.3333333333333333)</f>
        <v>0.3333333333</v>
      </c>
      <c r="U2654" s="4" t="str">
        <f>IFERROR(__xludf.DUMMYFUNCTION("""COMPUTED_VALUE"""),"null")</f>
        <v>null</v>
      </c>
      <c r="V2654" s="33">
        <f>IFERROR(__xludf.DUMMYFUNCTION("""COMPUTED_VALUE"""),0.3333333333333333)</f>
        <v>0.3333333333</v>
      </c>
      <c r="W2654" s="4" t="str">
        <f>IFERROR(__xludf.DUMMYFUNCTION("""COMPUTED_VALUE"""),"null")</f>
        <v>null</v>
      </c>
      <c r="X2654" s="33">
        <f>IFERROR(__xludf.DUMMYFUNCTION("""COMPUTED_VALUE"""),0.3333333333333333)</f>
        <v>0.3333333333</v>
      </c>
    </row>
    <row r="2655">
      <c r="K2655" s="4" t="str">
        <f>IFERROR(__xludf.DUMMYFUNCTION("""COMPUTED_VALUE"""),"BARAO BURGUER")</f>
        <v>BARAO BURGUER</v>
      </c>
      <c r="L2655" s="32">
        <f>IFERROR(__xludf.DUMMYFUNCTION("""COMPUTED_VALUE"""),3.0)</f>
        <v>3</v>
      </c>
      <c r="M2655" s="4" t="str">
        <f>IFERROR(__xludf.DUMMYFUNCTION("""COMPUTED_VALUE"""),"Saipos Serviços De Software")</f>
        <v>Saipos Serviços De Software</v>
      </c>
      <c r="N2655" s="33">
        <f>IFERROR(__xludf.DUMMYFUNCTION("""COMPUTED_VALUE"""),0.3333333333333333)</f>
        <v>0.3333333333</v>
      </c>
      <c r="O2655" s="4" t="str">
        <f>IFERROR(__xludf.DUMMYFUNCTION("""COMPUTED_VALUE"""),"Saipos Serviços De Software")</f>
        <v>Saipos Serviços De Software</v>
      </c>
      <c r="P2655" s="33">
        <f>IFERROR(__xludf.DUMMYFUNCTION("""COMPUTED_VALUE"""),0.3333333333333333)</f>
        <v>0.3333333333</v>
      </c>
      <c r="Q2655" s="4" t="str">
        <f>IFERROR(__xludf.DUMMYFUNCTION("""COMPUTED_VALUE"""),"Saipos Serviços De Software")</f>
        <v>Saipos Serviços De Software</v>
      </c>
      <c r="R2655" s="33">
        <f>IFERROR(__xludf.DUMMYFUNCTION("""COMPUTED_VALUE"""),0.3333333333333333)</f>
        <v>0.3333333333</v>
      </c>
      <c r="S2655" s="4" t="str">
        <f>IFERROR(__xludf.DUMMYFUNCTION("""COMPUTED_VALUE"""),"Saipos Serviços De Software")</f>
        <v>Saipos Serviços De Software</v>
      </c>
      <c r="T2655" s="33">
        <f>IFERROR(__xludf.DUMMYFUNCTION("""COMPUTED_VALUE"""),0.3333333333333333)</f>
        <v>0.3333333333</v>
      </c>
      <c r="U2655" s="4" t="str">
        <f>IFERROR(__xludf.DUMMYFUNCTION("""COMPUTED_VALUE"""),"Saipos Serviços De Software")</f>
        <v>Saipos Serviços De Software</v>
      </c>
      <c r="V2655" s="33">
        <f>IFERROR(__xludf.DUMMYFUNCTION("""COMPUTED_VALUE"""),0.3333333333333333)</f>
        <v>0.3333333333</v>
      </c>
      <c r="W2655" s="4" t="str">
        <f>IFERROR(__xludf.DUMMYFUNCTION("""COMPUTED_VALUE"""),"Saipos Serviços De Software")</f>
        <v>Saipos Serviços De Software</v>
      </c>
      <c r="X2655" s="33">
        <f>IFERROR(__xludf.DUMMYFUNCTION("""COMPUTED_VALUE"""),0.3333333333333333)</f>
        <v>0.3333333333</v>
      </c>
    </row>
    <row r="2656">
      <c r="K2656" s="4" t="str">
        <f>IFERROR(__xludf.DUMMYFUNCTION("""COMPUTED_VALUE"""),"ACAI GOLD")</f>
        <v>ACAI GOLD</v>
      </c>
      <c r="L2656" s="32">
        <f>IFERROR(__xludf.DUMMYFUNCTION("""COMPUTED_VALUE"""),3.0)</f>
        <v>3</v>
      </c>
      <c r="M2656" s="4" t="str">
        <f>IFERROR(__xludf.DUMMYFUNCTION("""COMPUTED_VALUE"""),"Saipos Serviços De Software")</f>
        <v>Saipos Serviços De Software</v>
      </c>
      <c r="N2656" s="33">
        <f>IFERROR(__xludf.DUMMYFUNCTION("""COMPUTED_VALUE"""),0.75)</f>
        <v>0.75</v>
      </c>
      <c r="O2656" s="4" t="str">
        <f>IFERROR(__xludf.DUMMYFUNCTION("""COMPUTED_VALUE"""),"Saipos Serviços De Software")</f>
        <v>Saipos Serviços De Software</v>
      </c>
      <c r="P2656" s="33">
        <f>IFERROR(__xludf.DUMMYFUNCTION("""COMPUTED_VALUE"""),0.75)</f>
        <v>0.75</v>
      </c>
      <c r="Q2656" s="4" t="str">
        <f>IFERROR(__xludf.DUMMYFUNCTION("""COMPUTED_VALUE"""),"Saipos Serviços De Software")</f>
        <v>Saipos Serviços De Software</v>
      </c>
      <c r="R2656" s="33">
        <f>IFERROR(__xludf.DUMMYFUNCTION("""COMPUTED_VALUE"""),0.75)</f>
        <v>0.75</v>
      </c>
      <c r="S2656" s="4" t="str">
        <f>IFERROR(__xludf.DUMMYFUNCTION("""COMPUTED_VALUE"""),"Saipos Serviços De Software")</f>
        <v>Saipos Serviços De Software</v>
      </c>
      <c r="T2656" s="33">
        <f>IFERROR(__xludf.DUMMYFUNCTION("""COMPUTED_VALUE"""),0.5)</f>
        <v>0.5</v>
      </c>
      <c r="U2656" s="4" t="str">
        <f>IFERROR(__xludf.DUMMYFUNCTION("""COMPUTED_VALUE"""),"Saipos Serviços De Software")</f>
        <v>Saipos Serviços De Software</v>
      </c>
      <c r="V2656" s="33">
        <f>IFERROR(__xludf.DUMMYFUNCTION("""COMPUTED_VALUE"""),0.5)</f>
        <v>0.5</v>
      </c>
      <c r="W2656" s="4" t="str">
        <f>IFERROR(__xludf.DUMMYFUNCTION("""COMPUTED_VALUE"""),"Saipos Serviços De Software")</f>
        <v>Saipos Serviços De Software</v>
      </c>
      <c r="X2656" s="33">
        <f>IFERROR(__xludf.DUMMYFUNCTION("""COMPUTED_VALUE"""),0.5)</f>
        <v>0.5</v>
      </c>
    </row>
    <row r="2657">
      <c r="K2657" s="4" t="str">
        <f>IFERROR(__xludf.DUMMYFUNCTION("""COMPUTED_VALUE"""),"FLASH PIZZA")</f>
        <v>FLASH PIZZA</v>
      </c>
      <c r="L2657" s="32">
        <f>IFERROR(__xludf.DUMMYFUNCTION("""COMPUTED_VALUE"""),3.0)</f>
        <v>3</v>
      </c>
      <c r="M2657" s="4" t="str">
        <f>IFERROR(__xludf.DUMMYFUNCTION("""COMPUTED_VALUE"""),"Cardápio Web")</f>
        <v>Cardápio Web</v>
      </c>
      <c r="N2657" s="33">
        <f>IFERROR(__xludf.DUMMYFUNCTION("""COMPUTED_VALUE"""),0.3333333333333333)</f>
        <v>0.3333333333</v>
      </c>
      <c r="O2657" s="4" t="str">
        <f>IFERROR(__xludf.DUMMYFUNCTION("""COMPUTED_VALUE"""),"Cardápio Web")</f>
        <v>Cardápio Web</v>
      </c>
      <c r="P2657" s="33">
        <f>IFERROR(__xludf.DUMMYFUNCTION("""COMPUTED_VALUE"""),0.3333333333333333)</f>
        <v>0.3333333333</v>
      </c>
      <c r="Q2657" s="4" t="str">
        <f>IFERROR(__xludf.DUMMYFUNCTION("""COMPUTED_VALUE"""),"Cardápio Web")</f>
        <v>Cardápio Web</v>
      </c>
      <c r="R2657" s="33">
        <f>IFERROR(__xludf.DUMMYFUNCTION("""COMPUTED_VALUE"""),0.3333333333333333)</f>
        <v>0.3333333333</v>
      </c>
      <c r="S2657" s="4" t="str">
        <f>IFERROR(__xludf.DUMMYFUNCTION("""COMPUTED_VALUE"""),"null")</f>
        <v>null</v>
      </c>
      <c r="T2657" s="33">
        <f>IFERROR(__xludf.DUMMYFUNCTION("""COMPUTED_VALUE"""),0.6666666666666666)</f>
        <v>0.6666666667</v>
      </c>
      <c r="U2657" s="4" t="str">
        <f>IFERROR(__xludf.DUMMYFUNCTION("""COMPUTED_VALUE"""),"Cardápio Web")</f>
        <v>Cardápio Web</v>
      </c>
      <c r="V2657" s="33">
        <f>IFERROR(__xludf.DUMMYFUNCTION("""COMPUTED_VALUE"""),0.3333333333333333)</f>
        <v>0.3333333333</v>
      </c>
      <c r="W2657" s="4" t="str">
        <f>IFERROR(__xludf.DUMMYFUNCTION("""COMPUTED_VALUE"""),"Cardápio Web")</f>
        <v>Cardápio Web</v>
      </c>
      <c r="X2657" s="33">
        <f>IFERROR(__xludf.DUMMYFUNCTION("""COMPUTED_VALUE"""),0.3333333333333333)</f>
        <v>0.3333333333</v>
      </c>
    </row>
    <row r="2658">
      <c r="K2658" s="4" t="str">
        <f>IFERROR(__xludf.DUMMYFUNCTION("""COMPUTED_VALUE"""),"ALOW FRANGO")</f>
        <v>ALOW FRANGO</v>
      </c>
      <c r="L2658" s="32">
        <f>IFERROR(__xludf.DUMMYFUNCTION("""COMPUTED_VALUE"""),3.0)</f>
        <v>3</v>
      </c>
      <c r="M2658" s="4" t="str">
        <f>IFERROR(__xludf.DUMMYFUNCTION("""COMPUTED_VALUE"""),"Saipos Serviços De Software")</f>
        <v>Saipos Serviços De Software</v>
      </c>
      <c r="N2658" s="33">
        <f>IFERROR(__xludf.DUMMYFUNCTION("""COMPUTED_VALUE"""),1.0)</f>
        <v>1</v>
      </c>
      <c r="O2658" s="4" t="str">
        <f>IFERROR(__xludf.DUMMYFUNCTION("""COMPUTED_VALUE"""),"Saipos Serviços De Software")</f>
        <v>Saipos Serviços De Software</v>
      </c>
      <c r="P2658" s="33">
        <f>IFERROR(__xludf.DUMMYFUNCTION("""COMPUTED_VALUE"""),1.0)</f>
        <v>1</v>
      </c>
      <c r="Q2658" s="4" t="str">
        <f>IFERROR(__xludf.DUMMYFUNCTION("""COMPUTED_VALUE"""),"Saipos Serviços De Software")</f>
        <v>Saipos Serviços De Software</v>
      </c>
      <c r="R2658" s="33">
        <f>IFERROR(__xludf.DUMMYFUNCTION("""COMPUTED_VALUE"""),1.0)</f>
        <v>1</v>
      </c>
      <c r="S2658" s="4" t="str">
        <f>IFERROR(__xludf.DUMMYFUNCTION("""COMPUTED_VALUE"""),"Saipos Serviços De Software")</f>
        <v>Saipos Serviços De Software</v>
      </c>
      <c r="T2658" s="33">
        <f>IFERROR(__xludf.DUMMYFUNCTION("""COMPUTED_VALUE"""),1.0)</f>
        <v>1</v>
      </c>
      <c r="U2658" s="4" t="str">
        <f>IFERROR(__xludf.DUMMYFUNCTION("""COMPUTED_VALUE"""),"Saipos Serviços De Software")</f>
        <v>Saipos Serviços De Software</v>
      </c>
      <c r="V2658" s="33">
        <f>IFERROR(__xludf.DUMMYFUNCTION("""COMPUTED_VALUE"""),1.0)</f>
        <v>1</v>
      </c>
      <c r="W2658" s="4" t="str">
        <f>IFERROR(__xludf.DUMMYFUNCTION("""COMPUTED_VALUE"""),"Saipos Serviços De Software")</f>
        <v>Saipos Serviços De Software</v>
      </c>
      <c r="X2658" s="33">
        <f>IFERROR(__xludf.DUMMYFUNCTION("""COMPUTED_VALUE"""),1.0)</f>
        <v>1</v>
      </c>
    </row>
    <row r="2659">
      <c r="K2659" s="4" t="str">
        <f>IFERROR(__xludf.DUMMYFUNCTION("""COMPUTED_VALUE"""),"ZECA SMASH")</f>
        <v>ZECA SMASH</v>
      </c>
      <c r="L2659" s="32">
        <f>IFERROR(__xludf.DUMMYFUNCTION("""COMPUTED_VALUE"""),3.0)</f>
        <v>3</v>
      </c>
      <c r="M2659" s="4" t="str">
        <f>IFERROR(__xludf.DUMMYFUNCTION("""COMPUTED_VALUE"""),"Saipos Serviços De Software")</f>
        <v>Saipos Serviços De Software</v>
      </c>
      <c r="N2659" s="33">
        <f>IFERROR(__xludf.DUMMYFUNCTION("""COMPUTED_VALUE"""),0.6666666666666666)</f>
        <v>0.6666666667</v>
      </c>
      <c r="O2659" s="4" t="str">
        <f>IFERROR(__xludf.DUMMYFUNCTION("""COMPUTED_VALUE"""),"Saipos Serviços De Software")</f>
        <v>Saipos Serviços De Software</v>
      </c>
      <c r="P2659" s="33">
        <f>IFERROR(__xludf.DUMMYFUNCTION("""COMPUTED_VALUE"""),0.6666666666666666)</f>
        <v>0.6666666667</v>
      </c>
      <c r="Q2659" s="4" t="str">
        <f>IFERROR(__xludf.DUMMYFUNCTION("""COMPUTED_VALUE"""),"Saipos Serviços De Software")</f>
        <v>Saipos Serviços De Software</v>
      </c>
      <c r="R2659" s="33">
        <f>IFERROR(__xludf.DUMMYFUNCTION("""COMPUTED_VALUE"""),0.6666666666666666)</f>
        <v>0.6666666667</v>
      </c>
      <c r="S2659" s="4" t="str">
        <f>IFERROR(__xludf.DUMMYFUNCTION("""COMPUTED_VALUE"""),"Saipos Serviços De Software")</f>
        <v>Saipos Serviços De Software</v>
      </c>
      <c r="T2659" s="33">
        <f>IFERROR(__xludf.DUMMYFUNCTION("""COMPUTED_VALUE"""),0.6666666666666666)</f>
        <v>0.6666666667</v>
      </c>
      <c r="U2659" s="4" t="str">
        <f>IFERROR(__xludf.DUMMYFUNCTION("""COMPUTED_VALUE"""),"Saipos Serviços De Software")</f>
        <v>Saipos Serviços De Software</v>
      </c>
      <c r="V2659" s="33">
        <f>IFERROR(__xludf.DUMMYFUNCTION("""COMPUTED_VALUE"""),0.6666666666666666)</f>
        <v>0.6666666667</v>
      </c>
      <c r="W2659" s="4" t="str">
        <f>IFERROR(__xludf.DUMMYFUNCTION("""COMPUTED_VALUE"""),"Saipos Serviços De Software")</f>
        <v>Saipos Serviços De Software</v>
      </c>
      <c r="X2659" s="33">
        <f>IFERROR(__xludf.DUMMYFUNCTION("""COMPUTED_VALUE"""),0.6666666666666666)</f>
        <v>0.6666666667</v>
      </c>
    </row>
    <row r="2660">
      <c r="K2660" s="4" t="str">
        <f>IFERROR(__xludf.DUMMYFUNCTION("""COMPUTED_VALUE"""),"INSANOS BURGUER")</f>
        <v>INSANOS BURGUER</v>
      </c>
      <c r="L2660" s="32">
        <f>IFERROR(__xludf.DUMMYFUNCTION("""COMPUTED_VALUE"""),3.0)</f>
        <v>3</v>
      </c>
      <c r="M2660" s="4" t="str">
        <f>IFERROR(__xludf.DUMMYFUNCTION("""COMPUTED_VALUE"""),"Brendi")</f>
        <v>Brendi</v>
      </c>
      <c r="N2660" s="33">
        <f>IFERROR(__xludf.DUMMYFUNCTION("""COMPUTED_VALUE"""),0.3333333333333333)</f>
        <v>0.3333333333</v>
      </c>
      <c r="O2660" s="4" t="str">
        <f>IFERROR(__xludf.DUMMYFUNCTION("""COMPUTED_VALUE"""),"null")</f>
        <v>null</v>
      </c>
      <c r="P2660" s="33">
        <f>IFERROR(__xludf.DUMMYFUNCTION("""COMPUTED_VALUE"""),0.6666666666666666)</f>
        <v>0.6666666667</v>
      </c>
      <c r="Q2660" s="4" t="str">
        <f>IFERROR(__xludf.DUMMYFUNCTION("""COMPUTED_VALUE"""),"null")</f>
        <v>null</v>
      </c>
      <c r="R2660" s="33">
        <f>IFERROR(__xludf.DUMMYFUNCTION("""COMPUTED_VALUE"""),0.6666666666666666)</f>
        <v>0.6666666667</v>
      </c>
      <c r="S2660" s="4" t="str">
        <f>IFERROR(__xludf.DUMMYFUNCTION("""COMPUTED_VALUE"""),"null")</f>
        <v>null</v>
      </c>
      <c r="T2660" s="33">
        <f>IFERROR(__xludf.DUMMYFUNCTION("""COMPUTED_VALUE"""),0.6666666666666666)</f>
        <v>0.6666666667</v>
      </c>
      <c r="U2660" s="4" t="str">
        <f>IFERROR(__xludf.DUMMYFUNCTION("""COMPUTED_VALUE"""),"Yooga")</f>
        <v>Yooga</v>
      </c>
      <c r="V2660" s="33">
        <f>IFERROR(__xludf.DUMMYFUNCTION("""COMPUTED_VALUE"""),0.3333333333333333)</f>
        <v>0.3333333333</v>
      </c>
      <c r="W2660" s="4" t="str">
        <f>IFERROR(__xludf.DUMMYFUNCTION("""COMPUTED_VALUE"""),"Yooga")</f>
        <v>Yooga</v>
      </c>
      <c r="X2660" s="33">
        <f>IFERROR(__xludf.DUMMYFUNCTION("""COMPUTED_VALUE"""),0.3333333333333333)</f>
        <v>0.3333333333</v>
      </c>
    </row>
    <row r="2661">
      <c r="K2661" s="4" t="str">
        <f>IFERROR(__xludf.DUMMYFUNCTION("""COMPUTED_VALUE"""),"MARMITARIA DO CHEFE")</f>
        <v>MARMITARIA DO CHEFE</v>
      </c>
      <c r="L2661" s="32">
        <f>IFERROR(__xludf.DUMMYFUNCTION("""COMPUTED_VALUE"""),3.0)</f>
        <v>3</v>
      </c>
      <c r="M2661" s="4" t="str">
        <f>IFERROR(__xludf.DUMMYFUNCTION("""COMPUTED_VALUE"""),"Saipos Serviços De Software")</f>
        <v>Saipos Serviços De Software</v>
      </c>
      <c r="N2661" s="33">
        <f>IFERROR(__xludf.DUMMYFUNCTION("""COMPUTED_VALUE"""),1.0)</f>
        <v>1</v>
      </c>
      <c r="O2661" s="4" t="str">
        <f>IFERROR(__xludf.DUMMYFUNCTION("""COMPUTED_VALUE"""),"Saipos Serviços De Software")</f>
        <v>Saipos Serviços De Software</v>
      </c>
      <c r="P2661" s="33">
        <f>IFERROR(__xludf.DUMMYFUNCTION("""COMPUTED_VALUE"""),1.0)</f>
        <v>1</v>
      </c>
      <c r="Q2661" s="4" t="str">
        <f>IFERROR(__xludf.DUMMYFUNCTION("""COMPUTED_VALUE"""),"Saipos Serviços De Software")</f>
        <v>Saipos Serviços De Software</v>
      </c>
      <c r="R2661" s="33">
        <f>IFERROR(__xludf.DUMMYFUNCTION("""COMPUTED_VALUE"""),1.0)</f>
        <v>1</v>
      </c>
      <c r="S2661" s="4" t="str">
        <f>IFERROR(__xludf.DUMMYFUNCTION("""COMPUTED_VALUE"""),"null")</f>
        <v>null</v>
      </c>
      <c r="T2661" s="33">
        <f>IFERROR(__xludf.DUMMYFUNCTION("""COMPUTED_VALUE"""),1.0)</f>
        <v>1</v>
      </c>
      <c r="U2661" s="4" t="str">
        <f>IFERROR(__xludf.DUMMYFUNCTION("""COMPUTED_VALUE"""),"null")</f>
        <v>null</v>
      </c>
      <c r="V2661" s="33">
        <f>IFERROR(__xludf.DUMMYFUNCTION("""COMPUTED_VALUE"""),1.0)</f>
        <v>1</v>
      </c>
      <c r="W2661" s="4" t="str">
        <f>IFERROR(__xludf.DUMMYFUNCTION("""COMPUTED_VALUE"""),"null")</f>
        <v>null</v>
      </c>
      <c r="X2661" s="33">
        <f>IFERROR(__xludf.DUMMYFUNCTION("""COMPUTED_VALUE"""),1.0)</f>
        <v>1</v>
      </c>
    </row>
    <row r="2662">
      <c r="K2662" s="4" t="str">
        <f>IFERROR(__xludf.DUMMYFUNCTION("""COMPUTED_VALUE"""),"HORA DO BURGUER")</f>
        <v>HORA DO BURGUER</v>
      </c>
      <c r="L2662" s="32">
        <f>IFERROR(__xludf.DUMMYFUNCTION("""COMPUTED_VALUE"""),3.0)</f>
        <v>3</v>
      </c>
      <c r="M2662" s="4" t="str">
        <f>IFERROR(__xludf.DUMMYFUNCTION("""COMPUTED_VALUE"""),"Instadelivery")</f>
        <v>Instadelivery</v>
      </c>
      <c r="N2662" s="33">
        <f>IFERROR(__xludf.DUMMYFUNCTION("""COMPUTED_VALUE"""),0.3333333333333333)</f>
        <v>0.3333333333</v>
      </c>
      <c r="O2662" s="4" t="str">
        <f>IFERROR(__xludf.DUMMYFUNCTION("""COMPUTED_VALUE"""),"null")</f>
        <v>null</v>
      </c>
      <c r="P2662" s="33">
        <f>IFERROR(__xludf.DUMMYFUNCTION("""COMPUTED_VALUE"""),0.6666666666666666)</f>
        <v>0.6666666667</v>
      </c>
      <c r="Q2662" s="4" t="str">
        <f>IFERROR(__xludf.DUMMYFUNCTION("""COMPUTED_VALUE"""),"null")</f>
        <v>null</v>
      </c>
      <c r="R2662" s="33">
        <f>IFERROR(__xludf.DUMMYFUNCTION("""COMPUTED_VALUE"""),1.0)</f>
        <v>1</v>
      </c>
      <c r="S2662" s="4" t="str">
        <f>IFERROR(__xludf.DUMMYFUNCTION("""COMPUTED_VALUE"""),"null")</f>
        <v>null</v>
      </c>
      <c r="T2662" s="33">
        <f>IFERROR(__xludf.DUMMYFUNCTION("""COMPUTED_VALUE"""),1.0)</f>
        <v>1</v>
      </c>
      <c r="U2662" s="4" t="str">
        <f>IFERROR(__xludf.DUMMYFUNCTION("""COMPUTED_VALUE"""),"null")</f>
        <v>null</v>
      </c>
      <c r="V2662" s="33">
        <f>IFERROR(__xludf.DUMMYFUNCTION("""COMPUTED_VALUE"""),1.0)</f>
        <v>1</v>
      </c>
      <c r="W2662" s="4" t="str">
        <f>IFERROR(__xludf.DUMMYFUNCTION("""COMPUTED_VALUE"""),"null")</f>
        <v>null</v>
      </c>
      <c r="X2662" s="33">
        <f>IFERROR(__xludf.DUMMYFUNCTION("""COMPUTED_VALUE"""),0.3333333333333333)</f>
        <v>0.3333333333</v>
      </c>
    </row>
    <row r="2663">
      <c r="K2663" s="4" t="str">
        <f>IFERROR(__xludf.DUMMYFUNCTION("""COMPUTED_VALUE"""),"MEU ACAI")</f>
        <v>MEU ACAI</v>
      </c>
      <c r="L2663" s="32">
        <f>IFERROR(__xludf.DUMMYFUNCTION("""COMPUTED_VALUE"""),3.0)</f>
        <v>3</v>
      </c>
      <c r="M2663" s="4" t="str">
        <f>IFERROR(__xludf.DUMMYFUNCTION("""COMPUTED_VALUE"""),"null")</f>
        <v>null</v>
      </c>
      <c r="N2663" s="33">
        <f>IFERROR(__xludf.DUMMYFUNCTION("""COMPUTED_VALUE"""),0.6666666666666666)</f>
        <v>0.6666666667</v>
      </c>
      <c r="O2663" s="4" t="str">
        <f>IFERROR(__xludf.DUMMYFUNCTION("""COMPUTED_VALUE"""),"null")</f>
        <v>null</v>
      </c>
      <c r="P2663" s="33">
        <f>IFERROR(__xludf.DUMMYFUNCTION("""COMPUTED_VALUE"""),0.6666666666666666)</f>
        <v>0.6666666667</v>
      </c>
      <c r="Q2663" s="4" t="str">
        <f>IFERROR(__xludf.DUMMYFUNCTION("""COMPUTED_VALUE"""),"null")</f>
        <v>null</v>
      </c>
      <c r="R2663" s="33">
        <f>IFERROR(__xludf.DUMMYFUNCTION("""COMPUTED_VALUE"""),0.3333333333333333)</f>
        <v>0.3333333333</v>
      </c>
      <c r="S2663" s="4" t="str">
        <f>IFERROR(__xludf.DUMMYFUNCTION("""COMPUTED_VALUE"""),"null")</f>
        <v>null</v>
      </c>
      <c r="T2663" s="33">
        <f>IFERROR(__xludf.DUMMYFUNCTION("""COMPUTED_VALUE"""),0.3333333333333333)</f>
        <v>0.3333333333</v>
      </c>
      <c r="U2663" s="4" t="str">
        <f>IFERROR(__xludf.DUMMYFUNCTION("""COMPUTED_VALUE"""),"Cervantes Tecnologia")</f>
        <v>Cervantes Tecnologia</v>
      </c>
      <c r="V2663" s="33">
        <f>IFERROR(__xludf.DUMMYFUNCTION("""COMPUTED_VALUE"""),0.3333333333333333)</f>
        <v>0.3333333333</v>
      </c>
      <c r="W2663" s="4" t="str">
        <f>IFERROR(__xludf.DUMMYFUNCTION("""COMPUTED_VALUE"""),"Cervantes Tecnologia")</f>
        <v>Cervantes Tecnologia</v>
      </c>
      <c r="X2663" s="33">
        <f>IFERROR(__xludf.DUMMYFUNCTION("""COMPUTED_VALUE"""),0.3333333333333333)</f>
        <v>0.3333333333</v>
      </c>
    </row>
    <row r="2664">
      <c r="K2664" s="4" t="str">
        <f>IFERROR(__xludf.DUMMYFUNCTION("""COMPUTED_VALUE"""),"SANTA PIZZA PIZZARIA")</f>
        <v>SANTA PIZZA PIZZARIA</v>
      </c>
      <c r="L2664" s="32">
        <f>IFERROR(__xludf.DUMMYFUNCTION("""COMPUTED_VALUE"""),3.0)</f>
        <v>3</v>
      </c>
      <c r="M2664" s="4" t="str">
        <f>IFERROR(__xludf.DUMMYFUNCTION("""COMPUTED_VALUE"""),"null")</f>
        <v>null</v>
      </c>
      <c r="N2664" s="33">
        <f>IFERROR(__xludf.DUMMYFUNCTION("""COMPUTED_VALUE"""),0.3333333333333333)</f>
        <v>0.3333333333</v>
      </c>
      <c r="O2664" s="4" t="str">
        <f>IFERROR(__xludf.DUMMYFUNCTION("""COMPUTED_VALUE"""),"null")</f>
        <v>null</v>
      </c>
      <c r="P2664" s="33">
        <f>IFERROR(__xludf.DUMMYFUNCTION("""COMPUTED_VALUE"""),0.3333333333333333)</f>
        <v>0.3333333333</v>
      </c>
      <c r="Q2664" s="4" t="str">
        <f>IFERROR(__xludf.DUMMYFUNCTION("""COMPUTED_VALUE"""),"Anota Ai Solucoes Digitais S/a")</f>
        <v>Anota Ai Solucoes Digitais S/a</v>
      </c>
      <c r="R2664" s="33">
        <f>IFERROR(__xludf.DUMMYFUNCTION("""COMPUTED_VALUE"""),0.3333333333333333)</f>
        <v>0.3333333333</v>
      </c>
      <c r="S2664" s="4" t="str">
        <f>IFERROR(__xludf.DUMMYFUNCTION("""COMPUTED_VALUE"""),"Anota Ai Solucoes Digitais S/a")</f>
        <v>Anota Ai Solucoes Digitais S/a</v>
      </c>
      <c r="T2664" s="33">
        <f>IFERROR(__xludf.DUMMYFUNCTION("""COMPUTED_VALUE"""),0.3333333333333333)</f>
        <v>0.3333333333</v>
      </c>
      <c r="U2664" s="4" t="str">
        <f>IFERROR(__xludf.DUMMYFUNCTION("""COMPUTED_VALUE"""),"null")</f>
        <v>null</v>
      </c>
      <c r="V2664" s="33">
        <f>IFERROR(__xludf.DUMMYFUNCTION("""COMPUTED_VALUE"""),0.3333333333333333)</f>
        <v>0.3333333333</v>
      </c>
      <c r="W2664" s="4" t="str">
        <f>IFERROR(__xludf.DUMMYFUNCTION("""COMPUTED_VALUE"""),"null")</f>
        <v>null</v>
      </c>
      <c r="X2664" s="33">
        <f>IFERROR(__xludf.DUMMYFUNCTION("""COMPUTED_VALUE"""),0.3333333333333333)</f>
        <v>0.3333333333</v>
      </c>
    </row>
    <row r="2665">
      <c r="K2665" s="4" t="str">
        <f>IFERROR(__xludf.DUMMYFUNCTION("""COMPUTED_VALUE"""),"FARMACIA BEM ESTAR")</f>
        <v>FARMACIA BEM ESTAR</v>
      </c>
      <c r="L2665" s="32">
        <f>IFERROR(__xludf.DUMMYFUNCTION("""COMPUTED_VALUE"""),3.0)</f>
        <v>3</v>
      </c>
      <c r="M2665" s="4" t="str">
        <f>IFERROR(__xludf.DUMMYFUNCTION("""COMPUTED_VALUE"""),"null")</f>
        <v>null</v>
      </c>
      <c r="N2665" s="33">
        <f>IFERROR(__xludf.DUMMYFUNCTION("""COMPUTED_VALUE"""),1.0)</f>
        <v>1</v>
      </c>
      <c r="O2665" s="4" t="str">
        <f>IFERROR(__xludf.DUMMYFUNCTION("""COMPUTED_VALUE"""),"null")</f>
        <v>null</v>
      </c>
      <c r="P2665" s="33">
        <f>IFERROR(__xludf.DUMMYFUNCTION("""COMPUTED_VALUE"""),0.6666666666666666)</f>
        <v>0.6666666667</v>
      </c>
      <c r="Q2665" s="4" t="str">
        <f>IFERROR(__xludf.DUMMYFUNCTION("""COMPUTED_VALUE"""),"null")</f>
        <v>null</v>
      </c>
      <c r="R2665" s="33">
        <f>IFERROR(__xludf.DUMMYFUNCTION("""COMPUTED_VALUE"""),0.6666666666666666)</f>
        <v>0.6666666667</v>
      </c>
      <c r="S2665" s="4" t="str">
        <f>IFERROR(__xludf.DUMMYFUNCTION("""COMPUTED_VALUE"""),"N/A (Not found)")</f>
        <v>N/A (Not found)</v>
      </c>
      <c r="T2665" s="33">
        <f>IFERROR(__xludf.DUMMYFUNCTION("""COMPUTED_VALUE"""),0.6666666666666666)</f>
        <v>0.6666666667</v>
      </c>
      <c r="U2665" s="4" t="str">
        <f>IFERROR(__xludf.DUMMYFUNCTION("""COMPUTED_VALUE"""),"null")</f>
        <v>null</v>
      </c>
      <c r="V2665" s="33">
        <f>IFERROR(__xludf.DUMMYFUNCTION("""COMPUTED_VALUE"""),0.6666666666666666)</f>
        <v>0.6666666667</v>
      </c>
      <c r="W2665" s="4" t="str">
        <f>IFERROR(__xludf.DUMMYFUNCTION("""COMPUTED_VALUE"""),"N/A (Not found)")</f>
        <v>N/A (Not found)</v>
      </c>
      <c r="X2665" s="33">
        <f>IFERROR(__xludf.DUMMYFUNCTION("""COMPUTED_VALUE"""),1.0)</f>
        <v>1</v>
      </c>
    </row>
    <row r="2666">
      <c r="K2666" s="4" t="str">
        <f>IFERROR(__xludf.DUMMYFUNCTION("""COMPUTED_VALUE"""),"RITZ SORVETES E ACAI")</f>
        <v>RITZ SORVETES E ACAI</v>
      </c>
      <c r="L2666" s="32">
        <f>IFERROR(__xludf.DUMMYFUNCTION("""COMPUTED_VALUE"""),3.0)</f>
        <v>3</v>
      </c>
      <c r="M2666" s="4" t="str">
        <f>IFERROR(__xludf.DUMMYFUNCTION("""COMPUTED_VALUE"""),"Sagres Automação Comercial")</f>
        <v>Sagres Automação Comercial</v>
      </c>
      <c r="N2666" s="33">
        <f>IFERROR(__xludf.DUMMYFUNCTION("""COMPUTED_VALUE"""),0.6666666666666666)</f>
        <v>0.6666666667</v>
      </c>
      <c r="O2666" s="4" t="str">
        <f>IFERROR(__xludf.DUMMYFUNCTION("""COMPUTED_VALUE"""),"Sagres Automação Comercial")</f>
        <v>Sagres Automação Comercial</v>
      </c>
      <c r="P2666" s="33">
        <f>IFERROR(__xludf.DUMMYFUNCTION("""COMPUTED_VALUE"""),0.6666666666666666)</f>
        <v>0.6666666667</v>
      </c>
      <c r="Q2666" s="4" t="str">
        <f>IFERROR(__xludf.DUMMYFUNCTION("""COMPUTED_VALUE"""),"Sagres Automação Comercial")</f>
        <v>Sagres Automação Comercial</v>
      </c>
      <c r="R2666" s="33">
        <f>IFERROR(__xludf.DUMMYFUNCTION("""COMPUTED_VALUE"""),1.0)</f>
        <v>1</v>
      </c>
      <c r="S2666" s="4" t="str">
        <f>IFERROR(__xludf.DUMMYFUNCTION("""COMPUTED_VALUE"""),"Sagres Automação Comercial")</f>
        <v>Sagres Automação Comercial</v>
      </c>
      <c r="T2666" s="33">
        <f>IFERROR(__xludf.DUMMYFUNCTION("""COMPUTED_VALUE"""),1.0)</f>
        <v>1</v>
      </c>
      <c r="U2666" s="4" t="str">
        <f>IFERROR(__xludf.DUMMYFUNCTION("""COMPUTED_VALUE"""),"Sagres Automação Comercial")</f>
        <v>Sagres Automação Comercial</v>
      </c>
      <c r="V2666" s="33">
        <f>IFERROR(__xludf.DUMMYFUNCTION("""COMPUTED_VALUE"""),0.6666666666666666)</f>
        <v>0.6666666667</v>
      </c>
      <c r="W2666" s="4" t="str">
        <f>IFERROR(__xludf.DUMMYFUNCTION("""COMPUTED_VALUE"""),"Sagres Automação Comercial")</f>
        <v>Sagres Automação Comercial</v>
      </c>
      <c r="X2666" s="33">
        <f>IFERROR(__xludf.DUMMYFUNCTION("""COMPUTED_VALUE"""),0.6666666666666666)</f>
        <v>0.6666666667</v>
      </c>
    </row>
    <row r="2667">
      <c r="K2667" s="4" t="str">
        <f>IFERROR(__xludf.DUMMYFUNCTION("""COMPUTED_VALUE"""),"STAR BURGUER")</f>
        <v>STAR BURGUER</v>
      </c>
      <c r="L2667" s="32">
        <f>IFERROR(__xludf.DUMMYFUNCTION("""COMPUTED_VALUE"""),3.0)</f>
        <v>3</v>
      </c>
      <c r="M2667" s="4" t="str">
        <f>IFERROR(__xludf.DUMMYFUNCTION("""COMPUTED_VALUE"""),"Saipos Serviços De Software")</f>
        <v>Saipos Serviços De Software</v>
      </c>
      <c r="N2667" s="33">
        <f>IFERROR(__xludf.DUMMYFUNCTION("""COMPUTED_VALUE"""),0.3333333333333333)</f>
        <v>0.3333333333</v>
      </c>
      <c r="O2667" s="4" t="str">
        <f>IFERROR(__xludf.DUMMYFUNCTION("""COMPUTED_VALUE"""),"Saipos Serviços De Software")</f>
        <v>Saipos Serviços De Software</v>
      </c>
      <c r="P2667" s="33">
        <f>IFERROR(__xludf.DUMMYFUNCTION("""COMPUTED_VALUE"""),0.3333333333333333)</f>
        <v>0.3333333333</v>
      </c>
      <c r="Q2667" s="4" t="str">
        <f>IFERROR(__xludf.DUMMYFUNCTION("""COMPUTED_VALUE"""),"Saipos Serviços De Software")</f>
        <v>Saipos Serviços De Software</v>
      </c>
      <c r="R2667" s="33">
        <f>IFERROR(__xludf.DUMMYFUNCTION("""COMPUTED_VALUE"""),0.3333333333333333)</f>
        <v>0.3333333333</v>
      </c>
      <c r="S2667" s="4" t="str">
        <f>IFERROR(__xludf.DUMMYFUNCTION("""COMPUTED_VALUE"""),"Saipos Serviços De Software")</f>
        <v>Saipos Serviços De Software</v>
      </c>
      <c r="T2667" s="33">
        <f>IFERROR(__xludf.DUMMYFUNCTION("""COMPUTED_VALUE"""),0.3333333333333333)</f>
        <v>0.3333333333</v>
      </c>
      <c r="U2667" s="4" t="str">
        <f>IFERROR(__xludf.DUMMYFUNCTION("""COMPUTED_VALUE"""),"Saipos Serviços De Software")</f>
        <v>Saipos Serviços De Software</v>
      </c>
      <c r="V2667" s="33">
        <f>IFERROR(__xludf.DUMMYFUNCTION("""COMPUTED_VALUE"""),0.3333333333333333)</f>
        <v>0.3333333333</v>
      </c>
      <c r="W2667" s="4" t="str">
        <f>IFERROR(__xludf.DUMMYFUNCTION("""COMPUTED_VALUE"""),"Saipos Serviços De Software")</f>
        <v>Saipos Serviços De Software</v>
      </c>
      <c r="X2667" s="33">
        <f>IFERROR(__xludf.DUMMYFUNCTION("""COMPUTED_VALUE"""),0.3333333333333333)</f>
        <v>0.3333333333</v>
      </c>
    </row>
    <row r="2668">
      <c r="K2668" s="4" t="str">
        <f>IFERROR(__xludf.DUMMYFUNCTION("""COMPUTED_VALUE"""),"LIMA PIZZARIA")</f>
        <v>LIMA PIZZARIA</v>
      </c>
      <c r="L2668" s="32">
        <f>IFERROR(__xludf.DUMMYFUNCTION("""COMPUTED_VALUE"""),3.0)</f>
        <v>3</v>
      </c>
      <c r="M2668" s="4" t="str">
        <f>IFERROR(__xludf.DUMMYFUNCTION("""COMPUTED_VALUE"""),"null")</f>
        <v>null</v>
      </c>
      <c r="N2668" s="33">
        <f>IFERROR(__xludf.DUMMYFUNCTION("""COMPUTED_VALUE"""),0.6666666666666666)</f>
        <v>0.6666666667</v>
      </c>
      <c r="O2668" s="4" t="str">
        <f>IFERROR(__xludf.DUMMYFUNCTION("""COMPUTED_VALUE"""),"Alloy Tecnologia")</f>
        <v>Alloy Tecnologia</v>
      </c>
      <c r="P2668" s="33">
        <f>IFERROR(__xludf.DUMMYFUNCTION("""COMPUTED_VALUE"""),0.3333333333333333)</f>
        <v>0.3333333333</v>
      </c>
      <c r="Q2668" s="4" t="str">
        <f>IFERROR(__xludf.DUMMYFUNCTION("""COMPUTED_VALUE"""),"null")</f>
        <v>null</v>
      </c>
      <c r="R2668" s="33">
        <f>IFERROR(__xludf.DUMMYFUNCTION("""COMPUTED_VALUE"""),0.3333333333333333)</f>
        <v>0.3333333333</v>
      </c>
      <c r="S2668" s="4" t="str">
        <f>IFERROR(__xludf.DUMMYFUNCTION("""COMPUTED_VALUE"""),"null")</f>
        <v>null</v>
      </c>
      <c r="T2668" s="33">
        <f>IFERROR(__xludf.DUMMYFUNCTION("""COMPUTED_VALUE"""),0.3333333333333333)</f>
        <v>0.3333333333</v>
      </c>
      <c r="U2668" s="4" t="str">
        <f>IFERROR(__xludf.DUMMYFUNCTION("""COMPUTED_VALUE"""),"null")</f>
        <v>null</v>
      </c>
      <c r="V2668" s="33">
        <f>IFERROR(__xludf.DUMMYFUNCTION("""COMPUTED_VALUE"""),0.6666666666666666)</f>
        <v>0.6666666667</v>
      </c>
      <c r="W2668" s="4" t="str">
        <f>IFERROR(__xludf.DUMMYFUNCTION("""COMPUTED_VALUE"""),"null")</f>
        <v>null</v>
      </c>
      <c r="X2668" s="33">
        <f>IFERROR(__xludf.DUMMYFUNCTION("""COMPUTED_VALUE"""),0.6666666666666666)</f>
        <v>0.6666666667</v>
      </c>
    </row>
    <row r="2669">
      <c r="K2669" s="4" t="str">
        <f>IFERROR(__xludf.DUMMYFUNCTION("""COMPUTED_VALUE"""),"HOTS SUSHI")</f>
        <v>HOTS SUSHI</v>
      </c>
      <c r="L2669" s="32">
        <f>IFERROR(__xludf.DUMMYFUNCTION("""COMPUTED_VALUE"""),3.0)</f>
        <v>3</v>
      </c>
      <c r="M2669" s="4" t="str">
        <f>IFERROR(__xludf.DUMMYFUNCTION("""COMPUTED_VALUE"""),"null")</f>
        <v>null</v>
      </c>
      <c r="N2669" s="33">
        <f>IFERROR(__xludf.DUMMYFUNCTION("""COMPUTED_VALUE"""),0.6666666666666666)</f>
        <v>0.6666666667</v>
      </c>
      <c r="O2669" s="4" t="str">
        <f>IFERROR(__xludf.DUMMYFUNCTION("""COMPUTED_VALUE"""),"null")</f>
        <v>null</v>
      </c>
      <c r="P2669" s="33">
        <f>IFERROR(__xludf.DUMMYFUNCTION("""COMPUTED_VALUE"""),0.3333333333333333)</f>
        <v>0.3333333333</v>
      </c>
      <c r="Q2669" s="4" t="str">
        <f>IFERROR(__xludf.DUMMYFUNCTION("""COMPUTED_VALUE"""),"null")</f>
        <v>null</v>
      </c>
      <c r="R2669" s="33">
        <f>IFERROR(__xludf.DUMMYFUNCTION("""COMPUTED_VALUE"""),0.3333333333333333)</f>
        <v>0.3333333333</v>
      </c>
      <c r="S2669" s="4" t="str">
        <f>IFERROR(__xludf.DUMMYFUNCTION("""COMPUTED_VALUE"""),"null")</f>
        <v>null</v>
      </c>
      <c r="T2669" s="33">
        <f>IFERROR(__xludf.DUMMYFUNCTION("""COMPUTED_VALUE"""),0.3333333333333333)</f>
        <v>0.3333333333</v>
      </c>
      <c r="U2669" s="4" t="str">
        <f>IFERROR(__xludf.DUMMYFUNCTION("""COMPUTED_VALUE"""),"null")</f>
        <v>null</v>
      </c>
      <c r="V2669" s="33">
        <f>IFERROR(__xludf.DUMMYFUNCTION("""COMPUTED_VALUE"""),0.6666666666666666)</f>
        <v>0.6666666667</v>
      </c>
      <c r="W2669" s="4" t="str">
        <f>IFERROR(__xludf.DUMMYFUNCTION("""COMPUTED_VALUE"""),"Brendi")</f>
        <v>Brendi</v>
      </c>
      <c r="X2669" s="33">
        <f>IFERROR(__xludf.DUMMYFUNCTION("""COMPUTED_VALUE"""),1.0)</f>
        <v>1</v>
      </c>
    </row>
    <row r="2670">
      <c r="K2670" s="4" t="str">
        <f>IFERROR(__xludf.DUMMYFUNCTION("""COMPUTED_VALUE"""),"PIZZARIA BORDA DE OURO")</f>
        <v>PIZZARIA BORDA DE OURO</v>
      </c>
      <c r="L2670" s="32">
        <f>IFERROR(__xludf.DUMMYFUNCTION("""COMPUTED_VALUE"""),3.0)</f>
        <v>3</v>
      </c>
      <c r="M2670" s="4" t="str">
        <f>IFERROR(__xludf.DUMMYFUNCTION("""COMPUTED_VALUE"""),"Expresso Delivery")</f>
        <v>Expresso Delivery</v>
      </c>
      <c r="N2670" s="33">
        <f>IFERROR(__xludf.DUMMYFUNCTION("""COMPUTED_VALUE"""),0.3333333333333333)</f>
        <v>0.3333333333</v>
      </c>
      <c r="O2670" s="4" t="str">
        <f>IFERROR(__xludf.DUMMYFUNCTION("""COMPUTED_VALUE"""),"null")</f>
        <v>null</v>
      </c>
      <c r="P2670" s="33">
        <f>IFERROR(__xludf.DUMMYFUNCTION("""COMPUTED_VALUE"""),0.6666666666666666)</f>
        <v>0.6666666667</v>
      </c>
      <c r="Q2670" s="4" t="str">
        <f>IFERROR(__xludf.DUMMYFUNCTION("""COMPUTED_VALUE"""),"Expresso Delivery")</f>
        <v>Expresso Delivery</v>
      </c>
      <c r="R2670" s="33">
        <f>IFERROR(__xludf.DUMMYFUNCTION("""COMPUTED_VALUE"""),0.3333333333333333)</f>
        <v>0.3333333333</v>
      </c>
      <c r="S2670" s="4" t="str">
        <f>IFERROR(__xludf.DUMMYFUNCTION("""COMPUTED_VALUE"""),"null")</f>
        <v>null</v>
      </c>
      <c r="T2670" s="33">
        <f>IFERROR(__xludf.DUMMYFUNCTION("""COMPUTED_VALUE"""),0.6666666666666666)</f>
        <v>0.6666666667</v>
      </c>
      <c r="U2670" s="4" t="str">
        <f>IFERROR(__xludf.DUMMYFUNCTION("""COMPUTED_VALUE"""),"Expresso Delivery")</f>
        <v>Expresso Delivery</v>
      </c>
      <c r="V2670" s="33">
        <f>IFERROR(__xludf.DUMMYFUNCTION("""COMPUTED_VALUE"""),0.3333333333333333)</f>
        <v>0.3333333333</v>
      </c>
      <c r="W2670" s="4" t="str">
        <f>IFERROR(__xludf.DUMMYFUNCTION("""COMPUTED_VALUE"""),"Expresso Delivery")</f>
        <v>Expresso Delivery</v>
      </c>
      <c r="X2670" s="33">
        <f>IFERROR(__xludf.DUMMYFUNCTION("""COMPUTED_VALUE"""),0.3333333333333333)</f>
        <v>0.3333333333</v>
      </c>
    </row>
    <row r="2671">
      <c r="K2671" s="4" t="str">
        <f>IFERROR(__xludf.DUMMYFUNCTION("""COMPUTED_VALUE"""),"CHURRASCO GREGO")</f>
        <v>CHURRASCO GREGO</v>
      </c>
      <c r="L2671" s="32">
        <f>IFERROR(__xludf.DUMMYFUNCTION("""COMPUTED_VALUE"""),3.0)</f>
        <v>3</v>
      </c>
      <c r="M2671" s="4" t="str">
        <f>IFERROR(__xludf.DUMMYFUNCTION("""COMPUTED_VALUE"""),"Netcontroll Xmenu")</f>
        <v>Netcontroll Xmenu</v>
      </c>
      <c r="N2671" s="33">
        <f>IFERROR(__xludf.DUMMYFUNCTION("""COMPUTED_VALUE"""),0.6666666666666666)</f>
        <v>0.6666666667</v>
      </c>
      <c r="O2671" s="4" t="str">
        <f>IFERROR(__xludf.DUMMYFUNCTION("""COMPUTED_VALUE"""),"Netcontroll Xmenu")</f>
        <v>Netcontroll Xmenu</v>
      </c>
      <c r="P2671" s="33">
        <f>IFERROR(__xludf.DUMMYFUNCTION("""COMPUTED_VALUE"""),0.6666666666666666)</f>
        <v>0.6666666667</v>
      </c>
      <c r="Q2671" s="4" t="str">
        <f>IFERROR(__xludf.DUMMYFUNCTION("""COMPUTED_VALUE"""),"Netcontroll Xmenu")</f>
        <v>Netcontroll Xmenu</v>
      </c>
      <c r="R2671" s="33">
        <f>IFERROR(__xludf.DUMMYFUNCTION("""COMPUTED_VALUE"""),0.6666666666666666)</f>
        <v>0.6666666667</v>
      </c>
      <c r="S2671" s="4" t="str">
        <f>IFERROR(__xludf.DUMMYFUNCTION("""COMPUTED_VALUE"""),"Saipos Serviços De Software")</f>
        <v>Saipos Serviços De Software</v>
      </c>
      <c r="T2671" s="33">
        <f>IFERROR(__xludf.DUMMYFUNCTION("""COMPUTED_VALUE"""),0.3333333333333333)</f>
        <v>0.3333333333</v>
      </c>
      <c r="U2671" s="4" t="str">
        <f>IFERROR(__xludf.DUMMYFUNCTION("""COMPUTED_VALUE"""),"Netcontroll Xmenu")</f>
        <v>Netcontroll Xmenu</v>
      </c>
      <c r="V2671" s="33">
        <f>IFERROR(__xludf.DUMMYFUNCTION("""COMPUTED_VALUE"""),0.6666666666666666)</f>
        <v>0.6666666667</v>
      </c>
      <c r="W2671" s="4" t="str">
        <f>IFERROR(__xludf.DUMMYFUNCTION("""COMPUTED_VALUE"""),"null")</f>
        <v>null</v>
      </c>
      <c r="X2671" s="33">
        <f>IFERROR(__xludf.DUMMYFUNCTION("""COMPUTED_VALUE"""),0.6666666666666666)</f>
        <v>0.6666666667</v>
      </c>
    </row>
    <row r="2672">
      <c r="K2672" s="4" t="str">
        <f>IFERROR(__xludf.DUMMYFUNCTION("""COMPUTED_VALUE"""),"BATATA LANCHES")</f>
        <v>BATATA LANCHES</v>
      </c>
      <c r="L2672" s="32">
        <f>IFERROR(__xludf.DUMMYFUNCTION("""COMPUTED_VALUE"""),3.0)</f>
        <v>3</v>
      </c>
      <c r="M2672" s="4" t="str">
        <f>IFERROR(__xludf.DUMMYFUNCTION("""COMPUTED_VALUE"""),"null")</f>
        <v>null</v>
      </c>
      <c r="N2672" s="33">
        <f>IFERROR(__xludf.DUMMYFUNCTION("""COMPUTED_VALUE"""),0.3333333333333333)</f>
        <v>0.3333333333</v>
      </c>
      <c r="O2672" s="4" t="str">
        <f>IFERROR(__xludf.DUMMYFUNCTION("""COMPUTED_VALUE"""),"null")</f>
        <v>null</v>
      </c>
      <c r="P2672" s="33">
        <f>IFERROR(__xludf.DUMMYFUNCTION("""COMPUTED_VALUE"""),0.3333333333333333)</f>
        <v>0.3333333333</v>
      </c>
      <c r="Q2672" s="4" t="str">
        <f>IFERROR(__xludf.DUMMYFUNCTION("""COMPUTED_VALUE"""),"null")</f>
        <v>null</v>
      </c>
      <c r="R2672" s="33">
        <f>IFERROR(__xludf.DUMMYFUNCTION("""COMPUTED_VALUE"""),0.6666666666666666)</f>
        <v>0.6666666667</v>
      </c>
      <c r="S2672" s="4" t="str">
        <f>IFERROR(__xludf.DUMMYFUNCTION("""COMPUTED_VALUE"""),"null")</f>
        <v>null</v>
      </c>
      <c r="T2672" s="33">
        <f>IFERROR(__xludf.DUMMYFUNCTION("""COMPUTED_VALUE"""),1.0)</f>
        <v>1</v>
      </c>
      <c r="U2672" s="4" t="str">
        <f>IFERROR(__xludf.DUMMYFUNCTION("""COMPUTED_VALUE"""),"null")</f>
        <v>null</v>
      </c>
      <c r="V2672" s="33">
        <f>IFERROR(__xludf.DUMMYFUNCTION("""COMPUTED_VALUE"""),0.6666666666666666)</f>
        <v>0.6666666667</v>
      </c>
      <c r="W2672" s="4" t="str">
        <f>IFERROR(__xludf.DUMMYFUNCTION("""COMPUTED_VALUE"""),"null")</f>
        <v>null</v>
      </c>
      <c r="X2672" s="33">
        <f>IFERROR(__xludf.DUMMYFUNCTION("""COMPUTED_VALUE"""),0.6666666666666666)</f>
        <v>0.6666666667</v>
      </c>
    </row>
    <row r="2673">
      <c r="K2673" s="4" t="str">
        <f>IFERROR(__xludf.DUMMYFUNCTION("""COMPUTED_VALUE"""),"SMASH 90")</f>
        <v>SMASH 90</v>
      </c>
      <c r="L2673" s="32">
        <f>IFERROR(__xludf.DUMMYFUNCTION("""COMPUTED_VALUE"""),3.0)</f>
        <v>3</v>
      </c>
      <c r="M2673" s="4" t="str">
        <f>IFERROR(__xludf.DUMMYFUNCTION("""COMPUTED_VALUE"""),"Yooga")</f>
        <v>Yooga</v>
      </c>
      <c r="N2673" s="33">
        <f>IFERROR(__xludf.DUMMYFUNCTION("""COMPUTED_VALUE"""),0.6666666666666666)</f>
        <v>0.6666666667</v>
      </c>
      <c r="O2673" s="4" t="str">
        <f>IFERROR(__xludf.DUMMYFUNCTION("""COMPUTED_VALUE"""),"Yooga")</f>
        <v>Yooga</v>
      </c>
      <c r="P2673" s="33">
        <f>IFERROR(__xludf.DUMMYFUNCTION("""COMPUTED_VALUE"""),0.6666666666666666)</f>
        <v>0.6666666667</v>
      </c>
      <c r="Q2673" s="4" t="str">
        <f>IFERROR(__xludf.DUMMYFUNCTION("""COMPUTED_VALUE"""),"Yooga")</f>
        <v>Yooga</v>
      </c>
      <c r="R2673" s="33">
        <f>IFERROR(__xludf.DUMMYFUNCTION("""COMPUTED_VALUE"""),0.6666666666666666)</f>
        <v>0.6666666667</v>
      </c>
      <c r="S2673" s="4" t="str">
        <f>IFERROR(__xludf.DUMMYFUNCTION("""COMPUTED_VALUE"""),"Yooga")</f>
        <v>Yooga</v>
      </c>
      <c r="T2673" s="33">
        <f>IFERROR(__xludf.DUMMYFUNCTION("""COMPUTED_VALUE"""),1.0)</f>
        <v>1</v>
      </c>
      <c r="U2673" s="4" t="str">
        <f>IFERROR(__xludf.DUMMYFUNCTION("""COMPUTED_VALUE"""),"Yooga")</f>
        <v>Yooga</v>
      </c>
      <c r="V2673" s="33">
        <f>IFERROR(__xludf.DUMMYFUNCTION("""COMPUTED_VALUE"""),1.0)</f>
        <v>1</v>
      </c>
      <c r="W2673" s="4" t="str">
        <f>IFERROR(__xludf.DUMMYFUNCTION("""COMPUTED_VALUE"""),"Yooga")</f>
        <v>Yooga</v>
      </c>
      <c r="X2673" s="33">
        <f>IFERROR(__xludf.DUMMYFUNCTION("""COMPUTED_VALUE"""),1.0)</f>
        <v>1</v>
      </c>
    </row>
    <row r="2674">
      <c r="K2674" s="4" t="str">
        <f>IFERROR(__xludf.DUMMYFUNCTION("""COMPUTED_VALUE"""),"GRAN PIZZA")</f>
        <v>GRAN PIZZA</v>
      </c>
      <c r="L2674" s="32">
        <f>IFERROR(__xludf.DUMMYFUNCTION("""COMPUTED_VALUE"""),3.0)</f>
        <v>3</v>
      </c>
      <c r="M2674" s="4" t="str">
        <f>IFERROR(__xludf.DUMMYFUNCTION("""COMPUTED_VALUE"""),"Winfood")</f>
        <v>Winfood</v>
      </c>
      <c r="N2674" s="33">
        <f>IFERROR(__xludf.DUMMYFUNCTION("""COMPUTED_VALUE"""),0.3333333333333333)</f>
        <v>0.3333333333</v>
      </c>
      <c r="O2674" s="4" t="str">
        <f>IFERROR(__xludf.DUMMYFUNCTION("""COMPUTED_VALUE"""),"Winfood")</f>
        <v>Winfood</v>
      </c>
      <c r="P2674" s="33">
        <f>IFERROR(__xludf.DUMMYFUNCTION("""COMPUTED_VALUE"""),0.3333333333333333)</f>
        <v>0.3333333333</v>
      </c>
      <c r="Q2674" s="4" t="str">
        <f>IFERROR(__xludf.DUMMYFUNCTION("""COMPUTED_VALUE"""),"Winfood")</f>
        <v>Winfood</v>
      </c>
      <c r="R2674" s="33">
        <f>IFERROR(__xludf.DUMMYFUNCTION("""COMPUTED_VALUE"""),0.3333333333333333)</f>
        <v>0.3333333333</v>
      </c>
      <c r="S2674" s="4" t="str">
        <f>IFERROR(__xludf.DUMMYFUNCTION("""COMPUTED_VALUE"""),"Winfood")</f>
        <v>Winfood</v>
      </c>
      <c r="T2674" s="33">
        <f>IFERROR(__xludf.DUMMYFUNCTION("""COMPUTED_VALUE"""),0.3333333333333333)</f>
        <v>0.3333333333</v>
      </c>
      <c r="U2674" s="4" t="str">
        <f>IFERROR(__xludf.DUMMYFUNCTION("""COMPUTED_VALUE"""),"Winfood")</f>
        <v>Winfood</v>
      </c>
      <c r="V2674" s="33">
        <f>IFERROR(__xludf.DUMMYFUNCTION("""COMPUTED_VALUE"""),0.3333333333333333)</f>
        <v>0.3333333333</v>
      </c>
      <c r="W2674" s="4" t="str">
        <f>IFERROR(__xludf.DUMMYFUNCTION("""COMPUTED_VALUE"""),"Winfood")</f>
        <v>Winfood</v>
      </c>
      <c r="X2674" s="33">
        <f>IFERROR(__xludf.DUMMYFUNCTION("""COMPUTED_VALUE"""),0.3333333333333333)</f>
        <v>0.3333333333</v>
      </c>
    </row>
    <row r="2675">
      <c r="K2675" s="4" t="str">
        <f>IFERROR(__xludf.DUMMYFUNCTION("""COMPUTED_VALUE"""),"ACAI DOS SONHOS")</f>
        <v>ACAI DOS SONHOS</v>
      </c>
      <c r="L2675" s="32">
        <f>IFERROR(__xludf.DUMMYFUNCTION("""COMPUTED_VALUE"""),3.0)</f>
        <v>3</v>
      </c>
      <c r="M2675" s="4" t="str">
        <f>IFERROR(__xludf.DUMMYFUNCTION("""COMPUTED_VALUE"""),"Saipos Serviços De Software")</f>
        <v>Saipos Serviços De Software</v>
      </c>
      <c r="N2675" s="33">
        <f>IFERROR(__xludf.DUMMYFUNCTION("""COMPUTED_VALUE"""),0.6666666666666666)</f>
        <v>0.6666666667</v>
      </c>
      <c r="O2675" s="4" t="str">
        <f>IFERROR(__xludf.DUMMYFUNCTION("""COMPUTED_VALUE"""),"Saipos Serviços De Software")</f>
        <v>Saipos Serviços De Software</v>
      </c>
      <c r="P2675" s="33">
        <f>IFERROR(__xludf.DUMMYFUNCTION("""COMPUTED_VALUE"""),0.6666666666666666)</f>
        <v>0.6666666667</v>
      </c>
      <c r="Q2675" s="4" t="str">
        <f>IFERROR(__xludf.DUMMYFUNCTION("""COMPUTED_VALUE"""),"Saipos Serviços De Software")</f>
        <v>Saipos Serviços De Software</v>
      </c>
      <c r="R2675" s="33">
        <f>IFERROR(__xludf.DUMMYFUNCTION("""COMPUTED_VALUE"""),0.6666666666666666)</f>
        <v>0.6666666667</v>
      </c>
      <c r="S2675" s="4" t="str">
        <f>IFERROR(__xludf.DUMMYFUNCTION("""COMPUTED_VALUE"""),"Saipos Serviços De Software")</f>
        <v>Saipos Serviços De Software</v>
      </c>
      <c r="T2675" s="33">
        <f>IFERROR(__xludf.DUMMYFUNCTION("""COMPUTED_VALUE"""),0.6666666666666666)</f>
        <v>0.6666666667</v>
      </c>
      <c r="U2675" s="4" t="str">
        <f>IFERROR(__xludf.DUMMYFUNCTION("""COMPUTED_VALUE"""),"Saipos Serviços De Software")</f>
        <v>Saipos Serviços De Software</v>
      </c>
      <c r="V2675" s="33">
        <f>IFERROR(__xludf.DUMMYFUNCTION("""COMPUTED_VALUE"""),0.6666666666666666)</f>
        <v>0.6666666667</v>
      </c>
      <c r="W2675" s="4" t="str">
        <f>IFERROR(__xludf.DUMMYFUNCTION("""COMPUTED_VALUE"""),"Saipos Serviços De Software")</f>
        <v>Saipos Serviços De Software</v>
      </c>
      <c r="X2675" s="33">
        <f>IFERROR(__xludf.DUMMYFUNCTION("""COMPUTED_VALUE"""),0.6666666666666666)</f>
        <v>0.6666666667</v>
      </c>
    </row>
    <row r="2676">
      <c r="K2676" s="4" t="str">
        <f>IFERROR(__xludf.DUMMYFUNCTION("""COMPUTED_VALUE"""),"REY DA ESFIRRA")</f>
        <v>REY DA ESFIRRA</v>
      </c>
      <c r="L2676" s="32">
        <f>IFERROR(__xludf.DUMMYFUNCTION("""COMPUTED_VALUE"""),3.0)</f>
        <v>3</v>
      </c>
      <c r="M2676" s="4" t="str">
        <f>IFERROR(__xludf.DUMMYFUNCTION("""COMPUTED_VALUE"""),"Nextage Sistemas De Informatica Ltda")</f>
        <v>Nextage Sistemas De Informatica Ltda</v>
      </c>
      <c r="N2676" s="33">
        <f>IFERROR(__xludf.DUMMYFUNCTION("""COMPUTED_VALUE"""),0.6666666666666666)</f>
        <v>0.6666666667</v>
      </c>
      <c r="O2676" s="4" t="str">
        <f>IFERROR(__xludf.DUMMYFUNCTION("""COMPUTED_VALUE"""),"Nextage Sistemas De Informatica Ltda")</f>
        <v>Nextage Sistemas De Informatica Ltda</v>
      </c>
      <c r="P2676" s="33">
        <f>IFERROR(__xludf.DUMMYFUNCTION("""COMPUTED_VALUE"""),0.6666666666666666)</f>
        <v>0.6666666667</v>
      </c>
      <c r="Q2676" s="4" t="str">
        <f>IFERROR(__xludf.DUMMYFUNCTION("""COMPUTED_VALUE"""),"Nextage Sistemas De Informatica Ltda")</f>
        <v>Nextage Sistemas De Informatica Ltda</v>
      </c>
      <c r="R2676" s="33">
        <f>IFERROR(__xludf.DUMMYFUNCTION("""COMPUTED_VALUE"""),0.6666666666666666)</f>
        <v>0.6666666667</v>
      </c>
      <c r="S2676" s="4" t="str">
        <f>IFERROR(__xludf.DUMMYFUNCTION("""COMPUTED_VALUE"""),"Nextage Sistemas De Informatica Ltda")</f>
        <v>Nextage Sistemas De Informatica Ltda</v>
      </c>
      <c r="T2676" s="33">
        <f>IFERROR(__xludf.DUMMYFUNCTION("""COMPUTED_VALUE"""),0.6666666666666666)</f>
        <v>0.6666666667</v>
      </c>
      <c r="U2676" s="4" t="str">
        <f>IFERROR(__xludf.DUMMYFUNCTION("""COMPUTED_VALUE"""),"Nextage Sistemas De Informatica Ltda")</f>
        <v>Nextage Sistemas De Informatica Ltda</v>
      </c>
      <c r="V2676" s="33">
        <f>IFERROR(__xludf.DUMMYFUNCTION("""COMPUTED_VALUE"""),0.6666666666666666)</f>
        <v>0.6666666667</v>
      </c>
      <c r="W2676" s="4" t="str">
        <f>IFERROR(__xludf.DUMMYFUNCTION("""COMPUTED_VALUE"""),"Nextage Sistemas De Informatica Ltda")</f>
        <v>Nextage Sistemas De Informatica Ltda</v>
      </c>
      <c r="X2676" s="33">
        <f>IFERROR(__xludf.DUMMYFUNCTION("""COMPUTED_VALUE"""),0.6666666666666666)</f>
        <v>0.6666666667</v>
      </c>
    </row>
    <row r="2677">
      <c r="K2677" s="4" t="str">
        <f>IFERROR(__xludf.DUMMYFUNCTION("""COMPUTED_VALUE"""),"ACAI HOUSE")</f>
        <v>ACAI HOUSE</v>
      </c>
      <c r="L2677" s="32">
        <f>IFERROR(__xludf.DUMMYFUNCTION("""COMPUTED_VALUE"""),3.0)</f>
        <v>3</v>
      </c>
      <c r="M2677" s="4" t="str">
        <f>IFERROR(__xludf.DUMMYFUNCTION("""COMPUTED_VALUE"""),"null")</f>
        <v>null</v>
      </c>
      <c r="N2677" s="33">
        <f>IFERROR(__xludf.DUMMYFUNCTION("""COMPUTED_VALUE"""),0.6666666666666666)</f>
        <v>0.6666666667</v>
      </c>
      <c r="O2677" s="4" t="str">
        <f>IFERROR(__xludf.DUMMYFUNCTION("""COMPUTED_VALUE"""),"null")</f>
        <v>null</v>
      </c>
      <c r="P2677" s="33">
        <f>IFERROR(__xludf.DUMMYFUNCTION("""COMPUTED_VALUE"""),0.6666666666666666)</f>
        <v>0.6666666667</v>
      </c>
      <c r="Q2677" s="4" t="str">
        <f>IFERROR(__xludf.DUMMYFUNCTION("""COMPUTED_VALUE"""),"Anota Ai Solucoes Digitais S/a")</f>
        <v>Anota Ai Solucoes Digitais S/a</v>
      </c>
      <c r="R2677" s="33">
        <f>IFERROR(__xludf.DUMMYFUNCTION("""COMPUTED_VALUE"""),0.3333333333333333)</f>
        <v>0.3333333333</v>
      </c>
      <c r="S2677" s="4" t="str">
        <f>IFERROR(__xludf.DUMMYFUNCTION("""COMPUTED_VALUE"""),"null")</f>
        <v>null</v>
      </c>
      <c r="T2677" s="33">
        <f>IFERROR(__xludf.DUMMYFUNCTION("""COMPUTED_VALUE"""),0.3333333333333333)</f>
        <v>0.3333333333</v>
      </c>
      <c r="U2677" s="4" t="str">
        <f>IFERROR(__xludf.DUMMYFUNCTION("""COMPUTED_VALUE"""),"null")</f>
        <v>null</v>
      </c>
      <c r="V2677" s="33">
        <f>IFERROR(__xludf.DUMMYFUNCTION("""COMPUTED_VALUE"""),0.3333333333333333)</f>
        <v>0.3333333333</v>
      </c>
      <c r="W2677" s="4" t="str">
        <f>IFERROR(__xludf.DUMMYFUNCTION("""COMPUTED_VALUE"""),"null")</f>
        <v>null</v>
      </c>
      <c r="X2677" s="33">
        <f>IFERROR(__xludf.DUMMYFUNCTION("""COMPUTED_VALUE"""),0.3333333333333333)</f>
        <v>0.3333333333</v>
      </c>
    </row>
    <row r="2678">
      <c r="K2678" s="4" t="str">
        <f>IFERROR(__xludf.DUMMYFUNCTION("""COMPUTED_VALUE"""),"MEU LANCHE FAVORITO")</f>
        <v>MEU LANCHE FAVORITO</v>
      </c>
      <c r="L2678" s="32">
        <f>IFERROR(__xludf.DUMMYFUNCTION("""COMPUTED_VALUE"""),3.0)</f>
        <v>3</v>
      </c>
      <c r="M2678" s="4" t="str">
        <f>IFERROR(__xludf.DUMMYFUNCTION("""COMPUTED_VALUE"""),"Olaclick")</f>
        <v>Olaclick</v>
      </c>
      <c r="N2678" s="33">
        <f>IFERROR(__xludf.DUMMYFUNCTION("""COMPUTED_VALUE"""),0.3333333333333333)</f>
        <v>0.3333333333</v>
      </c>
      <c r="O2678" s="4" t="str">
        <f>IFERROR(__xludf.DUMMYFUNCTION("""COMPUTED_VALUE"""),"Olaclick")</f>
        <v>Olaclick</v>
      </c>
      <c r="P2678" s="33">
        <f>IFERROR(__xludf.DUMMYFUNCTION("""COMPUTED_VALUE"""),0.3333333333333333)</f>
        <v>0.3333333333</v>
      </c>
      <c r="Q2678" s="4" t="str">
        <f>IFERROR(__xludf.DUMMYFUNCTION("""COMPUTED_VALUE"""),"Olaclick")</f>
        <v>Olaclick</v>
      </c>
      <c r="R2678" s="33">
        <f>IFERROR(__xludf.DUMMYFUNCTION("""COMPUTED_VALUE"""),0.3333333333333333)</f>
        <v>0.3333333333</v>
      </c>
      <c r="S2678" s="4" t="str">
        <f>IFERROR(__xludf.DUMMYFUNCTION("""COMPUTED_VALUE"""),"Olaclick")</f>
        <v>Olaclick</v>
      </c>
      <c r="T2678" s="33">
        <f>IFERROR(__xludf.DUMMYFUNCTION("""COMPUTED_VALUE"""),0.3333333333333333)</f>
        <v>0.3333333333</v>
      </c>
      <c r="U2678" s="4" t="str">
        <f>IFERROR(__xludf.DUMMYFUNCTION("""COMPUTED_VALUE"""),"Olaclick")</f>
        <v>Olaclick</v>
      </c>
      <c r="V2678" s="33">
        <f>IFERROR(__xludf.DUMMYFUNCTION("""COMPUTED_VALUE"""),0.3333333333333333)</f>
        <v>0.3333333333</v>
      </c>
      <c r="W2678" s="4" t="str">
        <f>IFERROR(__xludf.DUMMYFUNCTION("""COMPUTED_VALUE"""),"Olaclick")</f>
        <v>Olaclick</v>
      </c>
      <c r="X2678" s="33">
        <f>IFERROR(__xludf.DUMMYFUNCTION("""COMPUTED_VALUE"""),0.3333333333333333)</f>
        <v>0.3333333333</v>
      </c>
    </row>
    <row r="2679">
      <c r="K2679" s="4" t="str">
        <f>IFERROR(__xludf.DUMMYFUNCTION("""COMPUTED_VALUE"""),"GORDINHOS BURGUER")</f>
        <v>GORDINHOS BURGUER</v>
      </c>
      <c r="L2679" s="32">
        <f>IFERROR(__xludf.DUMMYFUNCTION("""COMPUTED_VALUE"""),3.0)</f>
        <v>3</v>
      </c>
      <c r="M2679" s="4" t="str">
        <f>IFERROR(__xludf.DUMMYFUNCTION("""COMPUTED_VALUE"""),"null")</f>
        <v>null</v>
      </c>
      <c r="N2679" s="33">
        <f>IFERROR(__xludf.DUMMYFUNCTION("""COMPUTED_VALUE"""),0.6666666666666666)</f>
        <v>0.6666666667</v>
      </c>
      <c r="O2679" s="4" t="str">
        <f>IFERROR(__xludf.DUMMYFUNCTION("""COMPUTED_VALUE"""),"null")</f>
        <v>null</v>
      </c>
      <c r="P2679" s="33">
        <f>IFERROR(__xludf.DUMMYFUNCTION("""COMPUTED_VALUE"""),0.6666666666666666)</f>
        <v>0.6666666667</v>
      </c>
      <c r="Q2679" s="4" t="str">
        <f>IFERROR(__xludf.DUMMYFUNCTION("""COMPUTED_VALUE"""),"null")</f>
        <v>null</v>
      </c>
      <c r="R2679" s="33">
        <f>IFERROR(__xludf.DUMMYFUNCTION("""COMPUTED_VALUE"""),0.3333333333333333)</f>
        <v>0.3333333333</v>
      </c>
      <c r="S2679" s="4" t="str">
        <f>IFERROR(__xludf.DUMMYFUNCTION("""COMPUTED_VALUE"""),"Deeliv")</f>
        <v>Deeliv</v>
      </c>
      <c r="T2679" s="33">
        <f>IFERROR(__xludf.DUMMYFUNCTION("""COMPUTED_VALUE"""),0.3333333333333333)</f>
        <v>0.3333333333</v>
      </c>
      <c r="U2679" s="4" t="str">
        <f>IFERROR(__xludf.DUMMYFUNCTION("""COMPUTED_VALUE"""),"null")</f>
        <v>null</v>
      </c>
      <c r="V2679" s="33">
        <f>IFERROR(__xludf.DUMMYFUNCTION("""COMPUTED_VALUE"""),0.6666666666666666)</f>
        <v>0.6666666667</v>
      </c>
      <c r="W2679" s="4" t="str">
        <f>IFERROR(__xludf.DUMMYFUNCTION("""COMPUTED_VALUE"""),"null")</f>
        <v>null</v>
      </c>
      <c r="X2679" s="33">
        <f>IFERROR(__xludf.DUMMYFUNCTION("""COMPUTED_VALUE"""),0.6666666666666666)</f>
        <v>0.6666666667</v>
      </c>
    </row>
    <row r="2680">
      <c r="K2680" s="4" t="str">
        <f>IFERROR(__xludf.DUMMYFUNCTION("""COMPUTED_VALUE"""),"HAMBURGAO")</f>
        <v>HAMBURGAO</v>
      </c>
      <c r="L2680" s="32">
        <f>IFERROR(__xludf.DUMMYFUNCTION("""COMPUTED_VALUE"""),3.0)</f>
        <v>3</v>
      </c>
      <c r="M2680" s="4" t="str">
        <f>IFERROR(__xludf.DUMMYFUNCTION("""COMPUTED_VALUE"""),"Saipos Serviços De Software")</f>
        <v>Saipos Serviços De Software</v>
      </c>
      <c r="N2680" s="33">
        <f>IFERROR(__xludf.DUMMYFUNCTION("""COMPUTED_VALUE"""),0.3333333333333333)</f>
        <v>0.3333333333</v>
      </c>
      <c r="O2680" s="4" t="str">
        <f>IFERROR(__xludf.DUMMYFUNCTION("""COMPUTED_VALUE"""),"null")</f>
        <v>null</v>
      </c>
      <c r="P2680" s="33">
        <f>IFERROR(__xludf.DUMMYFUNCTION("""COMPUTED_VALUE"""),0.6666666666666666)</f>
        <v>0.6666666667</v>
      </c>
      <c r="Q2680" s="4" t="str">
        <f>IFERROR(__xludf.DUMMYFUNCTION("""COMPUTED_VALUE"""),"Saipos Serviços De Software")</f>
        <v>Saipos Serviços De Software</v>
      </c>
      <c r="R2680" s="33">
        <f>IFERROR(__xludf.DUMMYFUNCTION("""COMPUTED_VALUE"""),0.3333333333333333)</f>
        <v>0.3333333333</v>
      </c>
      <c r="S2680" s="4" t="str">
        <f>IFERROR(__xludf.DUMMYFUNCTION("""COMPUTED_VALUE"""),"null")</f>
        <v>null</v>
      </c>
      <c r="T2680" s="33">
        <f>IFERROR(__xludf.DUMMYFUNCTION("""COMPUTED_VALUE"""),0.6666666666666666)</f>
        <v>0.6666666667</v>
      </c>
      <c r="U2680" s="4" t="str">
        <f>IFERROR(__xludf.DUMMYFUNCTION("""COMPUTED_VALUE"""),"null")</f>
        <v>null</v>
      </c>
      <c r="V2680" s="33">
        <f>IFERROR(__xludf.DUMMYFUNCTION("""COMPUTED_VALUE"""),0.6666666666666666)</f>
        <v>0.6666666667</v>
      </c>
      <c r="W2680" s="4" t="str">
        <f>IFERROR(__xludf.DUMMYFUNCTION("""COMPUTED_VALUE"""),"Saipos Serviços De Software")</f>
        <v>Saipos Serviços De Software</v>
      </c>
      <c r="X2680" s="33">
        <f>IFERROR(__xludf.DUMMYFUNCTION("""COMPUTED_VALUE"""),0.3333333333333333)</f>
        <v>0.3333333333</v>
      </c>
    </row>
    <row r="2681">
      <c r="K2681" s="4" t="str">
        <f>IFERROR(__xludf.DUMMYFUNCTION("""COMPUTED_VALUE"""),"FRANGO NA BRASA")</f>
        <v>FRANGO NA BRASA</v>
      </c>
      <c r="L2681" s="32">
        <f>IFERROR(__xludf.DUMMYFUNCTION("""COMPUTED_VALUE"""),3.0)</f>
        <v>3</v>
      </c>
      <c r="M2681" s="4" t="str">
        <f>IFERROR(__xludf.DUMMYFUNCTION("""COMPUTED_VALUE"""),"Saipos Serviços De Software")</f>
        <v>Saipos Serviços De Software</v>
      </c>
      <c r="N2681" s="33">
        <f>IFERROR(__xludf.DUMMYFUNCTION("""COMPUTED_VALUE"""),0.6666666666666666)</f>
        <v>0.6666666667</v>
      </c>
      <c r="O2681" s="4" t="str">
        <f>IFERROR(__xludf.DUMMYFUNCTION("""COMPUTED_VALUE"""),"Saipos Serviços De Software")</f>
        <v>Saipos Serviços De Software</v>
      </c>
      <c r="P2681" s="33">
        <f>IFERROR(__xludf.DUMMYFUNCTION("""COMPUTED_VALUE"""),0.6666666666666666)</f>
        <v>0.6666666667</v>
      </c>
      <c r="Q2681" s="4" t="str">
        <f>IFERROR(__xludf.DUMMYFUNCTION("""COMPUTED_VALUE"""),"Saipos Serviços De Software")</f>
        <v>Saipos Serviços De Software</v>
      </c>
      <c r="R2681" s="33">
        <f>IFERROR(__xludf.DUMMYFUNCTION("""COMPUTED_VALUE"""),0.6666666666666666)</f>
        <v>0.6666666667</v>
      </c>
      <c r="S2681" s="4" t="str">
        <f>IFERROR(__xludf.DUMMYFUNCTION("""COMPUTED_VALUE"""),"Saipos Serviços De Software")</f>
        <v>Saipos Serviços De Software</v>
      </c>
      <c r="T2681" s="33">
        <f>IFERROR(__xludf.DUMMYFUNCTION("""COMPUTED_VALUE"""),0.6666666666666666)</f>
        <v>0.6666666667</v>
      </c>
      <c r="U2681" s="4" t="str">
        <f>IFERROR(__xludf.DUMMYFUNCTION("""COMPUTED_VALUE"""),"Saipos Serviços De Software")</f>
        <v>Saipos Serviços De Software</v>
      </c>
      <c r="V2681" s="33">
        <f>IFERROR(__xludf.DUMMYFUNCTION("""COMPUTED_VALUE"""),0.6666666666666666)</f>
        <v>0.6666666667</v>
      </c>
      <c r="W2681" s="4" t="str">
        <f>IFERROR(__xludf.DUMMYFUNCTION("""COMPUTED_VALUE"""),"Saipos Serviços De Software")</f>
        <v>Saipos Serviços De Software</v>
      </c>
      <c r="X2681" s="33">
        <f>IFERROR(__xludf.DUMMYFUNCTION("""COMPUTED_VALUE"""),0.6666666666666666)</f>
        <v>0.6666666667</v>
      </c>
    </row>
    <row r="2682">
      <c r="K2682" s="4" t="str">
        <f>IFERROR(__xludf.DUMMYFUNCTION("""COMPUTED_VALUE"""),"SKINA DA PIZZA")</f>
        <v>SKINA DA PIZZA</v>
      </c>
      <c r="L2682" s="32">
        <f>IFERROR(__xludf.DUMMYFUNCTION("""COMPUTED_VALUE"""),3.0)</f>
        <v>3</v>
      </c>
      <c r="M2682" s="4" t="str">
        <f>IFERROR(__xludf.DUMMYFUNCTION("""COMPUTED_VALUE"""),"Mp Multipedidos")</f>
        <v>Mp Multipedidos</v>
      </c>
      <c r="N2682" s="33">
        <f>IFERROR(__xludf.DUMMYFUNCTION("""COMPUTED_VALUE"""),0.3333333333333333)</f>
        <v>0.3333333333</v>
      </c>
      <c r="O2682" s="4" t="str">
        <f>IFERROR(__xludf.DUMMYFUNCTION("""COMPUTED_VALUE"""),"Mp Multipedidos")</f>
        <v>Mp Multipedidos</v>
      </c>
      <c r="P2682" s="33">
        <f>IFERROR(__xludf.DUMMYFUNCTION("""COMPUTED_VALUE"""),0.3333333333333333)</f>
        <v>0.3333333333</v>
      </c>
      <c r="Q2682" s="4" t="str">
        <f>IFERROR(__xludf.DUMMYFUNCTION("""COMPUTED_VALUE"""),"Mp Multipedidos")</f>
        <v>Mp Multipedidos</v>
      </c>
      <c r="R2682" s="33">
        <f>IFERROR(__xludf.DUMMYFUNCTION("""COMPUTED_VALUE"""),0.3333333333333333)</f>
        <v>0.3333333333</v>
      </c>
      <c r="S2682" s="4" t="str">
        <f>IFERROR(__xludf.DUMMYFUNCTION("""COMPUTED_VALUE"""),"Mp Multipedidos")</f>
        <v>Mp Multipedidos</v>
      </c>
      <c r="T2682" s="33">
        <f>IFERROR(__xludf.DUMMYFUNCTION("""COMPUTED_VALUE"""),0.3333333333333333)</f>
        <v>0.3333333333</v>
      </c>
      <c r="U2682" s="4" t="str">
        <f>IFERROR(__xludf.DUMMYFUNCTION("""COMPUTED_VALUE"""),"Mp Multipedidos")</f>
        <v>Mp Multipedidos</v>
      </c>
      <c r="V2682" s="33">
        <f>IFERROR(__xludf.DUMMYFUNCTION("""COMPUTED_VALUE"""),0.3333333333333333)</f>
        <v>0.3333333333</v>
      </c>
      <c r="W2682" s="4" t="str">
        <f>IFERROR(__xludf.DUMMYFUNCTION("""COMPUTED_VALUE"""),"Mp Multipedidos")</f>
        <v>Mp Multipedidos</v>
      </c>
      <c r="X2682" s="33">
        <f>IFERROR(__xludf.DUMMYFUNCTION("""COMPUTED_VALUE"""),0.3333333333333333)</f>
        <v>0.3333333333</v>
      </c>
    </row>
    <row r="2683">
      <c r="K2683" s="4" t="str">
        <f>IFERROR(__xludf.DUMMYFUNCTION("""COMPUTED_VALUE"""),"SANTO SABOR")</f>
        <v>SANTO SABOR</v>
      </c>
      <c r="L2683" s="32">
        <f>IFERROR(__xludf.DUMMYFUNCTION("""COMPUTED_VALUE"""),3.0)</f>
        <v>3</v>
      </c>
      <c r="M2683" s="4" t="str">
        <f>IFERROR(__xludf.DUMMYFUNCTION("""COMPUTED_VALUE"""),"null")</f>
        <v>null</v>
      </c>
      <c r="N2683" s="33">
        <f>IFERROR(__xludf.DUMMYFUNCTION("""COMPUTED_VALUE"""),1.0)</f>
        <v>1</v>
      </c>
      <c r="O2683" s="4" t="str">
        <f>IFERROR(__xludf.DUMMYFUNCTION("""COMPUTED_VALUE"""),"null")</f>
        <v>null</v>
      </c>
      <c r="P2683" s="33">
        <f>IFERROR(__xludf.DUMMYFUNCTION("""COMPUTED_VALUE"""),1.0)</f>
        <v>1</v>
      </c>
      <c r="Q2683" s="4" t="str">
        <f>IFERROR(__xludf.DUMMYFUNCTION("""COMPUTED_VALUE"""),"null")</f>
        <v>null</v>
      </c>
      <c r="R2683" s="33">
        <f>IFERROR(__xludf.DUMMYFUNCTION("""COMPUTED_VALUE"""),0.6666666666666666)</f>
        <v>0.6666666667</v>
      </c>
      <c r="S2683" s="4" t="str">
        <f>IFERROR(__xludf.DUMMYFUNCTION("""COMPUTED_VALUE"""),"null")</f>
        <v>null</v>
      </c>
      <c r="T2683" s="33">
        <f>IFERROR(__xludf.DUMMYFUNCTION("""COMPUTED_VALUE"""),0.6666666666666666)</f>
        <v>0.6666666667</v>
      </c>
      <c r="U2683" s="4" t="str">
        <f>IFERROR(__xludf.DUMMYFUNCTION("""COMPUTED_VALUE"""),"Alterdata Tecnologia Em Informatica Ltda")</f>
        <v>Alterdata Tecnologia Em Informatica Ltda</v>
      </c>
      <c r="V2683" s="33">
        <f>IFERROR(__xludf.DUMMYFUNCTION("""COMPUTED_VALUE"""),0.3333333333333333)</f>
        <v>0.3333333333</v>
      </c>
      <c r="W2683" s="4" t="str">
        <f>IFERROR(__xludf.DUMMYFUNCTION("""COMPUTED_VALUE"""),"null")</f>
        <v>null</v>
      </c>
      <c r="X2683" s="33">
        <f>IFERROR(__xludf.DUMMYFUNCTION("""COMPUTED_VALUE"""),0.6666666666666666)</f>
        <v>0.6666666667</v>
      </c>
    </row>
    <row r="2684">
      <c r="K2684" s="4" t="str">
        <f>IFERROR(__xludf.DUMMYFUNCTION("""COMPUTED_VALUE"""),"BABY BURGUER")</f>
        <v>BABY BURGUER</v>
      </c>
      <c r="L2684" s="32">
        <f>IFERROR(__xludf.DUMMYFUNCTION("""COMPUTED_VALUE"""),3.0)</f>
        <v>3</v>
      </c>
      <c r="M2684" s="4" t="str">
        <f>IFERROR(__xludf.DUMMYFUNCTION("""COMPUTED_VALUE"""),"Saipos Serviços De Software")</f>
        <v>Saipos Serviços De Software</v>
      </c>
      <c r="N2684" s="33">
        <f>IFERROR(__xludf.DUMMYFUNCTION("""COMPUTED_VALUE"""),0.3333333333333333)</f>
        <v>0.3333333333</v>
      </c>
      <c r="O2684" s="4" t="str">
        <f>IFERROR(__xludf.DUMMYFUNCTION("""COMPUTED_VALUE"""),"null")</f>
        <v>null</v>
      </c>
      <c r="P2684" s="33">
        <f>IFERROR(__xludf.DUMMYFUNCTION("""COMPUTED_VALUE"""),0.6666666666666666)</f>
        <v>0.6666666667</v>
      </c>
      <c r="Q2684" s="4" t="str">
        <f>IFERROR(__xludf.DUMMYFUNCTION("""COMPUTED_VALUE"""),"Saipos Serviços De Software")</f>
        <v>Saipos Serviços De Software</v>
      </c>
      <c r="R2684" s="33">
        <f>IFERROR(__xludf.DUMMYFUNCTION("""COMPUTED_VALUE"""),0.3333333333333333)</f>
        <v>0.3333333333</v>
      </c>
      <c r="S2684" s="4" t="str">
        <f>IFERROR(__xludf.DUMMYFUNCTION("""COMPUTED_VALUE"""),"Saipos Serviços De Software")</f>
        <v>Saipos Serviços De Software</v>
      </c>
      <c r="T2684" s="33">
        <f>IFERROR(__xludf.DUMMYFUNCTION("""COMPUTED_VALUE"""),0.3333333333333333)</f>
        <v>0.3333333333</v>
      </c>
      <c r="U2684" s="4" t="str">
        <f>IFERROR(__xludf.DUMMYFUNCTION("""COMPUTED_VALUE"""),"null")</f>
        <v>null</v>
      </c>
      <c r="V2684" s="33">
        <f>IFERROR(__xludf.DUMMYFUNCTION("""COMPUTED_VALUE"""),0.6666666666666666)</f>
        <v>0.6666666667</v>
      </c>
      <c r="W2684" s="4" t="str">
        <f>IFERROR(__xludf.DUMMYFUNCTION("""COMPUTED_VALUE"""),"null")</f>
        <v>null</v>
      </c>
      <c r="X2684" s="33">
        <f>IFERROR(__xludf.DUMMYFUNCTION("""COMPUTED_VALUE"""),0.3333333333333333)</f>
        <v>0.3333333333</v>
      </c>
    </row>
    <row r="2685">
      <c r="K2685" s="4" t="str">
        <f>IFERROR(__xludf.DUMMYFUNCTION("""COMPUTED_VALUE"""),"PIZZARIA DONATELLO")</f>
        <v>PIZZARIA DONATELLO</v>
      </c>
      <c r="L2685" s="32">
        <f>IFERROR(__xludf.DUMMYFUNCTION("""COMPUTED_VALUE"""),3.0)</f>
        <v>3</v>
      </c>
      <c r="M2685" s="4" t="str">
        <f>IFERROR(__xludf.DUMMYFUNCTION("""COMPUTED_VALUE"""),"Mp Multipedidos")</f>
        <v>Mp Multipedidos</v>
      </c>
      <c r="N2685" s="33">
        <f>IFERROR(__xludf.DUMMYFUNCTION("""COMPUTED_VALUE"""),0.3333333333333333)</f>
        <v>0.3333333333</v>
      </c>
      <c r="O2685" s="4" t="str">
        <f>IFERROR(__xludf.DUMMYFUNCTION("""COMPUTED_VALUE"""),"Mp Multipedidos")</f>
        <v>Mp Multipedidos</v>
      </c>
      <c r="P2685" s="33">
        <f>IFERROR(__xludf.DUMMYFUNCTION("""COMPUTED_VALUE"""),0.3333333333333333)</f>
        <v>0.3333333333</v>
      </c>
      <c r="Q2685" s="4" t="str">
        <f>IFERROR(__xludf.DUMMYFUNCTION("""COMPUTED_VALUE"""),"null")</f>
        <v>null</v>
      </c>
      <c r="R2685" s="33">
        <f>IFERROR(__xludf.DUMMYFUNCTION("""COMPUTED_VALUE"""),0.6666666666666666)</f>
        <v>0.6666666667</v>
      </c>
      <c r="S2685" s="4" t="str">
        <f>IFERROR(__xludf.DUMMYFUNCTION("""COMPUTED_VALUE"""),"null")</f>
        <v>null</v>
      </c>
      <c r="T2685" s="33">
        <f>IFERROR(__xludf.DUMMYFUNCTION("""COMPUTED_VALUE"""),1.0)</f>
        <v>1</v>
      </c>
      <c r="U2685" s="4" t="str">
        <f>IFERROR(__xludf.DUMMYFUNCTION("""COMPUTED_VALUE"""),"null")</f>
        <v>null</v>
      </c>
      <c r="V2685" s="33">
        <f>IFERROR(__xludf.DUMMYFUNCTION("""COMPUTED_VALUE"""),1.0)</f>
        <v>1</v>
      </c>
      <c r="W2685" s="4" t="str">
        <f>IFERROR(__xludf.DUMMYFUNCTION("""COMPUTED_VALUE"""),"null")</f>
        <v>null</v>
      </c>
      <c r="X2685" s="33">
        <f>IFERROR(__xludf.DUMMYFUNCTION("""COMPUTED_VALUE"""),1.0)</f>
        <v>1</v>
      </c>
    </row>
    <row r="2686">
      <c r="K2686" s="4" t="str">
        <f>IFERROR(__xludf.DUMMYFUNCTION("""COMPUTED_VALUE"""),"MAKETTO")</f>
        <v>MAKETTO</v>
      </c>
      <c r="L2686" s="32">
        <f>IFERROR(__xludf.DUMMYFUNCTION("""COMPUTED_VALUE"""),3.0)</f>
        <v>3</v>
      </c>
      <c r="M2686" s="4" t="str">
        <f>IFERROR(__xludf.DUMMYFUNCTION("""COMPUTED_VALUE"""),"Izzy Way Tecnologia")</f>
        <v>Izzy Way Tecnologia</v>
      </c>
      <c r="N2686" s="33">
        <f>IFERROR(__xludf.DUMMYFUNCTION("""COMPUTED_VALUE"""),1.0)</f>
        <v>1</v>
      </c>
      <c r="O2686" s="4" t="str">
        <f>IFERROR(__xludf.DUMMYFUNCTION("""COMPUTED_VALUE"""),"Izzy Way Tecnologia")</f>
        <v>Izzy Way Tecnologia</v>
      </c>
      <c r="P2686" s="33">
        <f>IFERROR(__xludf.DUMMYFUNCTION("""COMPUTED_VALUE"""),1.0)</f>
        <v>1</v>
      </c>
      <c r="Q2686" s="4" t="str">
        <f>IFERROR(__xludf.DUMMYFUNCTION("""COMPUTED_VALUE"""),"Izzy Way Tecnologia")</f>
        <v>Izzy Way Tecnologia</v>
      </c>
      <c r="R2686" s="33">
        <f>IFERROR(__xludf.DUMMYFUNCTION("""COMPUTED_VALUE"""),1.0)</f>
        <v>1</v>
      </c>
      <c r="S2686" s="4" t="str">
        <f>IFERROR(__xludf.DUMMYFUNCTION("""COMPUTED_VALUE"""),"Izzy Way Tecnologia")</f>
        <v>Izzy Way Tecnologia</v>
      </c>
      <c r="T2686" s="33">
        <f>IFERROR(__xludf.DUMMYFUNCTION("""COMPUTED_VALUE"""),1.0)</f>
        <v>1</v>
      </c>
      <c r="U2686" s="4" t="str">
        <f>IFERROR(__xludf.DUMMYFUNCTION("""COMPUTED_VALUE"""),"Izzy Way Tecnologia")</f>
        <v>Izzy Way Tecnologia</v>
      </c>
      <c r="V2686" s="33">
        <f>IFERROR(__xludf.DUMMYFUNCTION("""COMPUTED_VALUE"""),1.0)</f>
        <v>1</v>
      </c>
      <c r="W2686" s="4" t="str">
        <f>IFERROR(__xludf.DUMMYFUNCTION("""COMPUTED_VALUE"""),"Izzy Way Tecnologia")</f>
        <v>Izzy Way Tecnologia</v>
      </c>
      <c r="X2686" s="33">
        <f>IFERROR(__xludf.DUMMYFUNCTION("""COMPUTED_VALUE"""),0.6666666666666666)</f>
        <v>0.6666666667</v>
      </c>
    </row>
    <row r="2687">
      <c r="K2687" s="4" t="str">
        <f>IFERROR(__xludf.DUMMYFUNCTION("""COMPUTED_VALUE"""),"PIZZARIA BALY")</f>
        <v>PIZZARIA BALY</v>
      </c>
      <c r="L2687" s="32">
        <f>IFERROR(__xludf.DUMMYFUNCTION("""COMPUTED_VALUE"""),3.0)</f>
        <v>3</v>
      </c>
      <c r="M2687" s="4" t="str">
        <f>IFERROR(__xludf.DUMMYFUNCTION("""COMPUTED_VALUE"""),"Cardápio Web")</f>
        <v>Cardápio Web</v>
      </c>
      <c r="N2687" s="33">
        <f>IFERROR(__xludf.DUMMYFUNCTION("""COMPUTED_VALUE"""),1.0)</f>
        <v>1</v>
      </c>
      <c r="O2687" s="4" t="str">
        <f>IFERROR(__xludf.DUMMYFUNCTION("""COMPUTED_VALUE"""),"Cardápio Web")</f>
        <v>Cardápio Web</v>
      </c>
      <c r="P2687" s="33">
        <f>IFERROR(__xludf.DUMMYFUNCTION("""COMPUTED_VALUE"""),1.0)</f>
        <v>1</v>
      </c>
      <c r="Q2687" s="4" t="str">
        <f>IFERROR(__xludf.DUMMYFUNCTION("""COMPUTED_VALUE"""),"Cardápio Web")</f>
        <v>Cardápio Web</v>
      </c>
      <c r="R2687" s="33">
        <f>IFERROR(__xludf.DUMMYFUNCTION("""COMPUTED_VALUE"""),0.6666666666666666)</f>
        <v>0.6666666667</v>
      </c>
      <c r="S2687" s="4" t="str">
        <f>IFERROR(__xludf.DUMMYFUNCTION("""COMPUTED_VALUE"""),"Cardápio Web")</f>
        <v>Cardápio Web</v>
      </c>
      <c r="T2687" s="33">
        <f>IFERROR(__xludf.DUMMYFUNCTION("""COMPUTED_VALUE"""),0.6666666666666666)</f>
        <v>0.6666666667</v>
      </c>
      <c r="U2687" s="4" t="str">
        <f>IFERROR(__xludf.DUMMYFUNCTION("""COMPUTED_VALUE"""),"Cardápio Web")</f>
        <v>Cardápio Web</v>
      </c>
      <c r="V2687" s="33">
        <f>IFERROR(__xludf.DUMMYFUNCTION("""COMPUTED_VALUE"""),0.6666666666666666)</f>
        <v>0.6666666667</v>
      </c>
      <c r="W2687" s="4" t="str">
        <f>IFERROR(__xludf.DUMMYFUNCTION("""COMPUTED_VALUE"""),"Cardápio Web")</f>
        <v>Cardápio Web</v>
      </c>
      <c r="X2687" s="33">
        <f>IFERROR(__xludf.DUMMYFUNCTION("""COMPUTED_VALUE"""),0.6666666666666666)</f>
        <v>0.6666666667</v>
      </c>
    </row>
    <row r="2688">
      <c r="K2688" s="4" t="str">
        <f>IFERROR(__xludf.DUMMYFUNCTION("""COMPUTED_VALUE"""),"DIVINO LANCHES")</f>
        <v>DIVINO LANCHES</v>
      </c>
      <c r="L2688" s="32">
        <f>IFERROR(__xludf.DUMMYFUNCTION("""COMPUTED_VALUE"""),3.0)</f>
        <v>3</v>
      </c>
      <c r="M2688" s="4" t="str">
        <f>IFERROR(__xludf.DUMMYFUNCTION("""COMPUTED_VALUE"""),"null")</f>
        <v>null</v>
      </c>
      <c r="N2688" s="33">
        <f>IFERROR(__xludf.DUMMYFUNCTION("""COMPUTED_VALUE"""),0.6666666666666666)</f>
        <v>0.6666666667</v>
      </c>
      <c r="O2688" s="4" t="str">
        <f>IFERROR(__xludf.DUMMYFUNCTION("""COMPUTED_VALUE"""),"null")</f>
        <v>null</v>
      </c>
      <c r="P2688" s="33">
        <f>IFERROR(__xludf.DUMMYFUNCTION("""COMPUTED_VALUE"""),0.6666666666666666)</f>
        <v>0.6666666667</v>
      </c>
      <c r="Q2688" s="4" t="str">
        <f>IFERROR(__xludf.DUMMYFUNCTION("""COMPUTED_VALUE"""),"Anota Ai Solucoes Digitais S/a")</f>
        <v>Anota Ai Solucoes Digitais S/a</v>
      </c>
      <c r="R2688" s="33">
        <f>IFERROR(__xludf.DUMMYFUNCTION("""COMPUTED_VALUE"""),0.6666666666666666)</f>
        <v>0.6666666667</v>
      </c>
      <c r="S2688" s="4" t="str">
        <f>IFERROR(__xludf.DUMMYFUNCTION("""COMPUTED_VALUE"""),"null")</f>
        <v>null</v>
      </c>
      <c r="T2688" s="33">
        <f>IFERROR(__xludf.DUMMYFUNCTION("""COMPUTED_VALUE"""),0.6666666666666666)</f>
        <v>0.6666666667</v>
      </c>
      <c r="U2688" s="4" t="str">
        <f>IFERROR(__xludf.DUMMYFUNCTION("""COMPUTED_VALUE"""),"null")</f>
        <v>null</v>
      </c>
      <c r="V2688" s="33">
        <f>IFERROR(__xludf.DUMMYFUNCTION("""COMPUTED_VALUE"""),0.6666666666666666)</f>
        <v>0.6666666667</v>
      </c>
      <c r="W2688" s="4" t="str">
        <f>IFERROR(__xludf.DUMMYFUNCTION("""COMPUTED_VALUE"""),"null")</f>
        <v>null</v>
      </c>
      <c r="X2688" s="33">
        <f>IFERROR(__xludf.DUMMYFUNCTION("""COMPUTED_VALUE"""),0.3333333333333333)</f>
        <v>0.3333333333</v>
      </c>
    </row>
    <row r="2689">
      <c r="K2689" s="4" t="str">
        <f>IFERROR(__xludf.DUMMYFUNCTION("""COMPUTED_VALUE"""),"LEO BURGUER")</f>
        <v>LEO BURGUER</v>
      </c>
      <c r="L2689" s="32">
        <f>IFERROR(__xludf.DUMMYFUNCTION("""COMPUTED_VALUE"""),3.0)</f>
        <v>3</v>
      </c>
      <c r="M2689" s="4" t="str">
        <f>IFERROR(__xludf.DUMMYFUNCTION("""COMPUTED_VALUE"""),"Saipos Serviços De Software")</f>
        <v>Saipos Serviços De Software</v>
      </c>
      <c r="N2689" s="33">
        <f>IFERROR(__xludf.DUMMYFUNCTION("""COMPUTED_VALUE"""),0.3333333333333333)</f>
        <v>0.3333333333</v>
      </c>
      <c r="O2689" s="4" t="str">
        <f>IFERROR(__xludf.DUMMYFUNCTION("""COMPUTED_VALUE"""),"Saipos Serviços De Software")</f>
        <v>Saipos Serviços De Software</v>
      </c>
      <c r="P2689" s="33">
        <f>IFERROR(__xludf.DUMMYFUNCTION("""COMPUTED_VALUE"""),0.3333333333333333)</f>
        <v>0.3333333333</v>
      </c>
      <c r="Q2689" s="4" t="str">
        <f>IFERROR(__xludf.DUMMYFUNCTION("""COMPUTED_VALUE"""),"Saipos Serviços De Software")</f>
        <v>Saipos Serviços De Software</v>
      </c>
      <c r="R2689" s="33">
        <f>IFERROR(__xludf.DUMMYFUNCTION("""COMPUTED_VALUE"""),0.3333333333333333)</f>
        <v>0.3333333333</v>
      </c>
      <c r="S2689" s="4" t="str">
        <f>IFERROR(__xludf.DUMMYFUNCTION("""COMPUTED_VALUE"""),"Saipos Serviços De Software")</f>
        <v>Saipos Serviços De Software</v>
      </c>
      <c r="T2689" s="33">
        <f>IFERROR(__xludf.DUMMYFUNCTION("""COMPUTED_VALUE"""),0.3333333333333333)</f>
        <v>0.3333333333</v>
      </c>
      <c r="U2689" s="4" t="str">
        <f>IFERROR(__xludf.DUMMYFUNCTION("""COMPUTED_VALUE"""),"Saipos Serviços De Software")</f>
        <v>Saipos Serviços De Software</v>
      </c>
      <c r="V2689" s="33">
        <f>IFERROR(__xludf.DUMMYFUNCTION("""COMPUTED_VALUE"""),0.3333333333333333)</f>
        <v>0.3333333333</v>
      </c>
      <c r="W2689" s="35" t="str">
        <f>IFERROR(__xludf.DUMMYFUNCTION("""COMPUTED_VALUE"""),"Maisentregas.com")</f>
        <v>Maisentregas.com</v>
      </c>
      <c r="X2689" s="33">
        <f>IFERROR(__xludf.DUMMYFUNCTION("""COMPUTED_VALUE"""),0.3333333333333333)</f>
        <v>0.3333333333</v>
      </c>
    </row>
    <row r="2690">
      <c r="K2690" s="4" t="str">
        <f>IFERROR(__xludf.DUMMYFUNCTION("""COMPUTED_VALUE"""),"POP BURGER")</f>
        <v>POP BURGER</v>
      </c>
      <c r="L2690" s="32">
        <f>IFERROR(__xludf.DUMMYFUNCTION("""COMPUTED_VALUE"""),3.0)</f>
        <v>3</v>
      </c>
      <c r="M2690" s="4" t="str">
        <f>IFERROR(__xludf.DUMMYFUNCTION("""COMPUTED_VALUE"""),"Cardápio Web")</f>
        <v>Cardápio Web</v>
      </c>
      <c r="N2690" s="33">
        <f>IFERROR(__xludf.DUMMYFUNCTION("""COMPUTED_VALUE"""),0.3333333333333333)</f>
        <v>0.3333333333</v>
      </c>
      <c r="O2690" s="4" t="str">
        <f>IFERROR(__xludf.DUMMYFUNCTION("""COMPUTED_VALUE"""),"null")</f>
        <v>null</v>
      </c>
      <c r="P2690" s="33">
        <f>IFERROR(__xludf.DUMMYFUNCTION("""COMPUTED_VALUE"""),0.6666666666666666)</f>
        <v>0.6666666667</v>
      </c>
      <c r="Q2690" s="4" t="str">
        <f>IFERROR(__xludf.DUMMYFUNCTION("""COMPUTED_VALUE"""),"null")</f>
        <v>null</v>
      </c>
      <c r="R2690" s="33">
        <f>IFERROR(__xludf.DUMMYFUNCTION("""COMPUTED_VALUE"""),0.6666666666666666)</f>
        <v>0.6666666667</v>
      </c>
      <c r="S2690" s="4" t="str">
        <f>IFERROR(__xludf.DUMMYFUNCTION("""COMPUTED_VALUE"""),"null")</f>
        <v>null</v>
      </c>
      <c r="T2690" s="33">
        <f>IFERROR(__xludf.DUMMYFUNCTION("""COMPUTED_VALUE"""),0.6666666666666666)</f>
        <v>0.6666666667</v>
      </c>
      <c r="U2690" s="4" t="str">
        <f>IFERROR(__xludf.DUMMYFUNCTION("""COMPUTED_VALUE"""),"null")</f>
        <v>null</v>
      </c>
      <c r="V2690" s="33">
        <f>IFERROR(__xludf.DUMMYFUNCTION("""COMPUTED_VALUE"""),0.6666666666666666)</f>
        <v>0.6666666667</v>
      </c>
      <c r="W2690" s="4" t="str">
        <f>IFERROR(__xludf.DUMMYFUNCTION("""COMPUTED_VALUE"""),"null")</f>
        <v>null</v>
      </c>
      <c r="X2690" s="33">
        <f>IFERROR(__xludf.DUMMYFUNCTION("""COMPUTED_VALUE"""),0.6666666666666666)</f>
        <v>0.6666666667</v>
      </c>
    </row>
    <row r="2691">
      <c r="K2691" s="4" t="str">
        <f>IFERROR(__xludf.DUMMYFUNCTION("""COMPUTED_VALUE"""),"FIRE BURGER")</f>
        <v>FIRE BURGER</v>
      </c>
      <c r="L2691" s="32">
        <f>IFERROR(__xludf.DUMMYFUNCTION("""COMPUTED_VALUE"""),3.0)</f>
        <v>3</v>
      </c>
      <c r="M2691" s="4" t="str">
        <f>IFERROR(__xludf.DUMMYFUNCTION("""COMPUTED_VALUE"""),"Yooga")</f>
        <v>Yooga</v>
      </c>
      <c r="N2691" s="33">
        <f>IFERROR(__xludf.DUMMYFUNCTION("""COMPUTED_VALUE"""),0.3333333333333333)</f>
        <v>0.3333333333</v>
      </c>
      <c r="O2691" s="4" t="str">
        <f>IFERROR(__xludf.DUMMYFUNCTION("""COMPUTED_VALUE"""),"Yooga")</f>
        <v>Yooga</v>
      </c>
      <c r="P2691" s="33">
        <f>IFERROR(__xludf.DUMMYFUNCTION("""COMPUTED_VALUE"""),0.3333333333333333)</f>
        <v>0.3333333333</v>
      </c>
      <c r="Q2691" s="4" t="str">
        <f>IFERROR(__xludf.DUMMYFUNCTION("""COMPUTED_VALUE"""),"null")</f>
        <v>null</v>
      </c>
      <c r="R2691" s="33">
        <f>IFERROR(__xludf.DUMMYFUNCTION("""COMPUTED_VALUE"""),0.6666666666666666)</f>
        <v>0.6666666667</v>
      </c>
      <c r="S2691" s="4" t="str">
        <f>IFERROR(__xludf.DUMMYFUNCTION("""COMPUTED_VALUE"""),"null")</f>
        <v>null</v>
      </c>
      <c r="T2691" s="33">
        <f>IFERROR(__xludf.DUMMYFUNCTION("""COMPUTED_VALUE"""),0.3333333333333333)</f>
        <v>0.3333333333</v>
      </c>
      <c r="U2691" s="4" t="str">
        <f>IFERROR(__xludf.DUMMYFUNCTION("""COMPUTED_VALUE"""),"null")</f>
        <v>null</v>
      </c>
      <c r="V2691" s="33">
        <f>IFERROR(__xludf.DUMMYFUNCTION("""COMPUTED_VALUE"""),0.3333333333333333)</f>
        <v>0.3333333333</v>
      </c>
      <c r="W2691" s="4" t="str">
        <f>IFERROR(__xludf.DUMMYFUNCTION("""COMPUTED_VALUE"""),"null")</f>
        <v>null</v>
      </c>
      <c r="X2691" s="33">
        <f>IFERROR(__xludf.DUMMYFUNCTION("""COMPUTED_VALUE"""),0.6666666666666666)</f>
        <v>0.6666666667</v>
      </c>
    </row>
    <row r="2692">
      <c r="K2692" s="4" t="str">
        <f>IFERROR(__xludf.DUMMYFUNCTION("""COMPUTED_VALUE"""),"ALDEIA DO ACAI")</f>
        <v>ALDEIA DO ACAI</v>
      </c>
      <c r="L2692" s="32">
        <f>IFERROR(__xludf.DUMMYFUNCTION("""COMPUTED_VALUE"""),3.0)</f>
        <v>3</v>
      </c>
      <c r="M2692" s="4" t="str">
        <f>IFERROR(__xludf.DUMMYFUNCTION("""COMPUTED_VALUE"""),"Winfood")</f>
        <v>Winfood</v>
      </c>
      <c r="N2692" s="33">
        <f>IFERROR(__xludf.DUMMYFUNCTION("""COMPUTED_VALUE"""),0.6666666666666666)</f>
        <v>0.6666666667</v>
      </c>
      <c r="O2692" s="4" t="str">
        <f>IFERROR(__xludf.DUMMYFUNCTION("""COMPUTED_VALUE"""),"Anota Ai Solucoes Digitais S/a")</f>
        <v>Anota Ai Solucoes Digitais S/a</v>
      </c>
      <c r="P2692" s="33">
        <f>IFERROR(__xludf.DUMMYFUNCTION("""COMPUTED_VALUE"""),0.3333333333333333)</f>
        <v>0.3333333333</v>
      </c>
      <c r="Q2692" s="4" t="str">
        <f>IFERROR(__xludf.DUMMYFUNCTION("""COMPUTED_VALUE"""),"Winfood")</f>
        <v>Winfood</v>
      </c>
      <c r="R2692" s="33">
        <f>IFERROR(__xludf.DUMMYFUNCTION("""COMPUTED_VALUE"""),0.6666666666666666)</f>
        <v>0.6666666667</v>
      </c>
      <c r="S2692" s="4" t="str">
        <f>IFERROR(__xludf.DUMMYFUNCTION("""COMPUTED_VALUE"""),"Winfood")</f>
        <v>Winfood</v>
      </c>
      <c r="T2692" s="33">
        <f>IFERROR(__xludf.DUMMYFUNCTION("""COMPUTED_VALUE"""),0.6666666666666666)</f>
        <v>0.6666666667</v>
      </c>
      <c r="U2692" s="4" t="str">
        <f>IFERROR(__xludf.DUMMYFUNCTION("""COMPUTED_VALUE"""),"Saipos Serviços De Software")</f>
        <v>Saipos Serviços De Software</v>
      </c>
      <c r="V2692" s="33">
        <f>IFERROR(__xludf.DUMMYFUNCTION("""COMPUTED_VALUE"""),0.3333333333333333)</f>
        <v>0.3333333333</v>
      </c>
      <c r="W2692" s="4" t="str">
        <f>IFERROR(__xludf.DUMMYFUNCTION("""COMPUTED_VALUE"""),"Saipos Serviços De Software")</f>
        <v>Saipos Serviços De Software</v>
      </c>
      <c r="X2692" s="33">
        <f>IFERROR(__xludf.DUMMYFUNCTION("""COMPUTED_VALUE"""),0.3333333333333333)</f>
        <v>0.3333333333</v>
      </c>
    </row>
    <row r="2693">
      <c r="K2693" s="4" t="str">
        <f>IFERROR(__xludf.DUMMYFUNCTION("""COMPUTED_VALUE"""),"MARMITARIA COMIDA CASEIRA")</f>
        <v>MARMITARIA COMIDA CASEIRA</v>
      </c>
      <c r="L2693" s="32">
        <f>IFERROR(__xludf.DUMMYFUNCTION("""COMPUTED_VALUE"""),3.0)</f>
        <v>3</v>
      </c>
      <c r="M2693" s="4" t="str">
        <f>IFERROR(__xludf.DUMMYFUNCTION("""COMPUTED_VALUE"""),"null")</f>
        <v>null</v>
      </c>
      <c r="N2693" s="33">
        <f>IFERROR(__xludf.DUMMYFUNCTION("""COMPUTED_VALUE"""),0.6666666666666666)</f>
        <v>0.6666666667</v>
      </c>
      <c r="O2693" s="4" t="str">
        <f>IFERROR(__xludf.DUMMYFUNCTION("""COMPUTED_VALUE"""),"null")</f>
        <v>null</v>
      </c>
      <c r="P2693" s="33">
        <f>IFERROR(__xludf.DUMMYFUNCTION("""COMPUTED_VALUE"""),0.3333333333333333)</f>
        <v>0.3333333333</v>
      </c>
      <c r="Q2693" s="4" t="str">
        <f>IFERROR(__xludf.DUMMYFUNCTION("""COMPUTED_VALUE"""),"null")</f>
        <v>null</v>
      </c>
      <c r="R2693" s="33">
        <f>IFERROR(__xludf.DUMMYFUNCTION("""COMPUTED_VALUE"""),0.3333333333333333)</f>
        <v>0.3333333333</v>
      </c>
      <c r="S2693" s="4" t="str">
        <f>IFERROR(__xludf.DUMMYFUNCTION("""COMPUTED_VALUE"""),"null")</f>
        <v>null</v>
      </c>
      <c r="T2693" s="33">
        <f>IFERROR(__xludf.DUMMYFUNCTION("""COMPUTED_VALUE"""),0.3333333333333333)</f>
        <v>0.3333333333</v>
      </c>
      <c r="U2693" s="4" t="str">
        <f>IFERROR(__xludf.DUMMYFUNCTION("""COMPUTED_VALUE"""),"null")</f>
        <v>null</v>
      </c>
      <c r="V2693" s="33">
        <f>IFERROR(__xludf.DUMMYFUNCTION("""COMPUTED_VALUE"""),0.3333333333333333)</f>
        <v>0.3333333333</v>
      </c>
      <c r="W2693" s="4" t="str">
        <f>IFERROR(__xludf.DUMMYFUNCTION("""COMPUTED_VALUE"""),"Instadelivery")</f>
        <v>Instadelivery</v>
      </c>
      <c r="X2693" s="33">
        <f>IFERROR(__xludf.DUMMYFUNCTION("""COMPUTED_VALUE"""),0.3333333333333333)</f>
        <v>0.3333333333</v>
      </c>
    </row>
    <row r="2694">
      <c r="K2694" s="4" t="str">
        <f>IFERROR(__xludf.DUMMYFUNCTION("""COMPUTED_VALUE"""),"BAMBINO PIZZARIA")</f>
        <v>BAMBINO PIZZARIA</v>
      </c>
      <c r="L2694" s="32">
        <f>IFERROR(__xludf.DUMMYFUNCTION("""COMPUTED_VALUE"""),3.0)</f>
        <v>3</v>
      </c>
      <c r="M2694" s="4" t="str">
        <f>IFERROR(__xludf.DUMMYFUNCTION("""COMPUTED_VALUE"""),"null")</f>
        <v>null</v>
      </c>
      <c r="N2694" s="33">
        <f>IFERROR(__xludf.DUMMYFUNCTION("""COMPUTED_VALUE"""),0.6666666666666666)</f>
        <v>0.6666666667</v>
      </c>
      <c r="O2694" s="4" t="str">
        <f>IFERROR(__xludf.DUMMYFUNCTION("""COMPUTED_VALUE"""),"null")</f>
        <v>null</v>
      </c>
      <c r="P2694" s="33">
        <f>IFERROR(__xludf.DUMMYFUNCTION("""COMPUTED_VALUE"""),1.0)</f>
        <v>1</v>
      </c>
      <c r="Q2694" s="4" t="str">
        <f>IFERROR(__xludf.DUMMYFUNCTION("""COMPUTED_VALUE"""),"null")</f>
        <v>null</v>
      </c>
      <c r="R2694" s="33">
        <f>IFERROR(__xludf.DUMMYFUNCTION("""COMPUTED_VALUE"""),0.6666666666666666)</f>
        <v>0.6666666667</v>
      </c>
      <c r="S2694" s="4" t="str">
        <f>IFERROR(__xludf.DUMMYFUNCTION("""COMPUTED_VALUE"""),"null")</f>
        <v>null</v>
      </c>
      <c r="T2694" s="33">
        <f>IFERROR(__xludf.DUMMYFUNCTION("""COMPUTED_VALUE"""),0.6666666666666666)</f>
        <v>0.6666666667</v>
      </c>
      <c r="U2694" s="4" t="str">
        <f>IFERROR(__xludf.DUMMYFUNCTION("""COMPUTED_VALUE"""),"Solução Sistemas")</f>
        <v>Solução Sistemas</v>
      </c>
      <c r="V2694" s="33">
        <f>IFERROR(__xludf.DUMMYFUNCTION("""COMPUTED_VALUE"""),0.3333333333333333)</f>
        <v>0.3333333333</v>
      </c>
      <c r="W2694" s="4" t="str">
        <f>IFERROR(__xludf.DUMMYFUNCTION("""COMPUTED_VALUE"""),"null")</f>
        <v>null</v>
      </c>
      <c r="X2694" s="33">
        <f>IFERROR(__xludf.DUMMYFUNCTION("""COMPUTED_VALUE"""),0.3333333333333333)</f>
        <v>0.3333333333</v>
      </c>
    </row>
    <row r="2695">
      <c r="K2695" s="4" t="str">
        <f>IFERROR(__xludf.DUMMYFUNCTION("""COMPUTED_VALUE"""),"CENTRAL FARMA")</f>
        <v>CENTRAL FARMA</v>
      </c>
      <c r="L2695" s="32">
        <f>IFERROR(__xludf.DUMMYFUNCTION("""COMPUTED_VALUE"""),3.0)</f>
        <v>3</v>
      </c>
      <c r="M2695" s="4" t="str">
        <f>IFERROR(__xludf.DUMMYFUNCTION("""COMPUTED_VALUE"""),"N/A (Not found)")</f>
        <v>N/A (Not found)</v>
      </c>
      <c r="N2695" s="33">
        <f>IFERROR(__xludf.DUMMYFUNCTION("""COMPUTED_VALUE"""),0.6666666666666666)</f>
        <v>0.6666666667</v>
      </c>
      <c r="O2695" s="4" t="str">
        <f>IFERROR(__xludf.DUMMYFUNCTION("""COMPUTED_VALUE"""),"N/A (Not found)")</f>
        <v>N/A (Not found)</v>
      </c>
      <c r="P2695" s="33">
        <f>IFERROR(__xludf.DUMMYFUNCTION("""COMPUTED_VALUE"""),0.6666666666666666)</f>
        <v>0.6666666667</v>
      </c>
      <c r="Q2695" s="4" t="str">
        <f>IFERROR(__xludf.DUMMYFUNCTION("""COMPUTED_VALUE"""),"null")</f>
        <v>null</v>
      </c>
      <c r="R2695" s="33">
        <f>IFERROR(__xludf.DUMMYFUNCTION("""COMPUTED_VALUE"""),0.6666666666666666)</f>
        <v>0.6666666667</v>
      </c>
      <c r="S2695" s="4" t="str">
        <f>IFERROR(__xludf.DUMMYFUNCTION("""COMPUTED_VALUE"""),"null")</f>
        <v>null</v>
      </c>
      <c r="T2695" s="33">
        <f>IFERROR(__xludf.DUMMYFUNCTION("""COMPUTED_VALUE"""),0.6666666666666666)</f>
        <v>0.6666666667</v>
      </c>
      <c r="U2695" s="4" t="str">
        <f>IFERROR(__xludf.DUMMYFUNCTION("""COMPUTED_VALUE"""),"null")</f>
        <v>null</v>
      </c>
      <c r="V2695" s="33">
        <f>IFERROR(__xludf.DUMMYFUNCTION("""COMPUTED_VALUE"""),0.6666666666666666)</f>
        <v>0.6666666667</v>
      </c>
      <c r="W2695" s="4" t="str">
        <f>IFERROR(__xludf.DUMMYFUNCTION("""COMPUTED_VALUE"""),"N/A (Not found)")</f>
        <v>N/A (Not found)</v>
      </c>
      <c r="X2695" s="33">
        <f>IFERROR(__xludf.DUMMYFUNCTION("""COMPUTED_VALUE"""),1.0)</f>
        <v>1</v>
      </c>
    </row>
    <row r="2696">
      <c r="K2696" s="4" t="str">
        <f>IFERROR(__xludf.DUMMYFUNCTION("""COMPUTED_VALUE"""),"OSAKA SUSHI")</f>
        <v>OSAKA SUSHI</v>
      </c>
      <c r="L2696" s="32">
        <f>IFERROR(__xludf.DUMMYFUNCTION("""COMPUTED_VALUE"""),3.0)</f>
        <v>3</v>
      </c>
      <c r="M2696" s="4" t="str">
        <f>IFERROR(__xludf.DUMMYFUNCTION("""COMPUTED_VALUE"""),"Memória Informatica Ltda")</f>
        <v>Memória Informatica Ltda</v>
      </c>
      <c r="N2696" s="33">
        <f>IFERROR(__xludf.DUMMYFUNCTION("""COMPUTED_VALUE"""),0.3333333333333333)</f>
        <v>0.3333333333</v>
      </c>
      <c r="O2696" s="4" t="str">
        <f>IFERROR(__xludf.DUMMYFUNCTION("""COMPUTED_VALUE"""),"Memória Informatica Ltda")</f>
        <v>Memória Informatica Ltda</v>
      </c>
      <c r="P2696" s="33">
        <f>IFERROR(__xludf.DUMMYFUNCTION("""COMPUTED_VALUE"""),0.3333333333333333)</f>
        <v>0.3333333333</v>
      </c>
      <c r="Q2696" s="4" t="str">
        <f>IFERROR(__xludf.DUMMYFUNCTION("""COMPUTED_VALUE"""),"Memória Informatica Ltda")</f>
        <v>Memória Informatica Ltda</v>
      </c>
      <c r="R2696" s="33">
        <f>IFERROR(__xludf.DUMMYFUNCTION("""COMPUTED_VALUE"""),0.3333333333333333)</f>
        <v>0.3333333333</v>
      </c>
      <c r="S2696" s="4" t="str">
        <f>IFERROR(__xludf.DUMMYFUNCTION("""COMPUTED_VALUE"""),"Memória Informatica Ltda")</f>
        <v>Memória Informatica Ltda</v>
      </c>
      <c r="T2696" s="33">
        <f>IFERROR(__xludf.DUMMYFUNCTION("""COMPUTED_VALUE"""),0.3333333333333333)</f>
        <v>0.3333333333</v>
      </c>
      <c r="U2696" s="4" t="str">
        <f>IFERROR(__xludf.DUMMYFUNCTION("""COMPUTED_VALUE"""),"null")</f>
        <v>null</v>
      </c>
      <c r="V2696" s="33">
        <f>IFERROR(__xludf.DUMMYFUNCTION("""COMPUTED_VALUE"""),0.6666666666666666)</f>
        <v>0.6666666667</v>
      </c>
      <c r="W2696" s="4" t="str">
        <f>IFERROR(__xludf.DUMMYFUNCTION("""COMPUTED_VALUE"""),"Memória Informatica Ltda")</f>
        <v>Memória Informatica Ltda</v>
      </c>
      <c r="X2696" s="33">
        <f>IFERROR(__xludf.DUMMYFUNCTION("""COMPUTED_VALUE"""),0.3333333333333333)</f>
        <v>0.3333333333</v>
      </c>
    </row>
    <row r="2697">
      <c r="K2697" s="4" t="str">
        <f>IFERROR(__xludf.DUMMYFUNCTION("""COMPUTED_VALUE"""),"XIS DOS GURIS")</f>
        <v>XIS DOS GURIS</v>
      </c>
      <c r="L2697" s="32">
        <f>IFERROR(__xludf.DUMMYFUNCTION("""COMPUTED_VALUE"""),3.0)</f>
        <v>3</v>
      </c>
      <c r="M2697" s="4" t="str">
        <f>IFERROR(__xludf.DUMMYFUNCTION("""COMPUTED_VALUE"""),"Saipos Serviços De Software")</f>
        <v>Saipos Serviços De Software</v>
      </c>
      <c r="N2697" s="33">
        <f>IFERROR(__xludf.DUMMYFUNCTION("""COMPUTED_VALUE"""),0.3333333333333333)</f>
        <v>0.3333333333</v>
      </c>
      <c r="O2697" s="4" t="str">
        <f>IFERROR(__xludf.DUMMYFUNCTION("""COMPUTED_VALUE"""),"Saipos Serviços De Software")</f>
        <v>Saipos Serviços De Software</v>
      </c>
      <c r="P2697" s="33">
        <f>IFERROR(__xludf.DUMMYFUNCTION("""COMPUTED_VALUE"""),0.3333333333333333)</f>
        <v>0.3333333333</v>
      </c>
      <c r="Q2697" s="4" t="str">
        <f>IFERROR(__xludf.DUMMYFUNCTION("""COMPUTED_VALUE"""),"Saipos Serviços De Software")</f>
        <v>Saipos Serviços De Software</v>
      </c>
      <c r="R2697" s="33">
        <f>IFERROR(__xludf.DUMMYFUNCTION("""COMPUTED_VALUE"""),0.3333333333333333)</f>
        <v>0.3333333333</v>
      </c>
      <c r="S2697" s="4" t="str">
        <f>IFERROR(__xludf.DUMMYFUNCTION("""COMPUTED_VALUE"""),"Cardápio Web")</f>
        <v>Cardápio Web</v>
      </c>
      <c r="T2697" s="33">
        <f>IFERROR(__xludf.DUMMYFUNCTION("""COMPUTED_VALUE"""),0.6666666666666666)</f>
        <v>0.6666666667</v>
      </c>
      <c r="U2697" s="4" t="str">
        <f>IFERROR(__xludf.DUMMYFUNCTION("""COMPUTED_VALUE"""),"Cardápio Web")</f>
        <v>Cardápio Web</v>
      </c>
      <c r="V2697" s="33">
        <f>IFERROR(__xludf.DUMMYFUNCTION("""COMPUTED_VALUE"""),0.6666666666666666)</f>
        <v>0.6666666667</v>
      </c>
      <c r="W2697" s="4" t="str">
        <f>IFERROR(__xludf.DUMMYFUNCTION("""COMPUTED_VALUE"""),"Cardápio Web")</f>
        <v>Cardápio Web</v>
      </c>
      <c r="X2697" s="33">
        <f>IFERROR(__xludf.DUMMYFUNCTION("""COMPUTED_VALUE"""),0.6666666666666666)</f>
        <v>0.6666666667</v>
      </c>
    </row>
    <row r="2698">
      <c r="K2698" s="4" t="str">
        <f>IFERROR(__xludf.DUMMYFUNCTION("""COMPUTED_VALUE"""),"VARANDA VERDE - WRAPS, SALADA BURRITOS")</f>
        <v>VARANDA VERDE - WRAPS, SALADA BURRITOS</v>
      </c>
      <c r="L2698" s="32">
        <f>IFERROR(__xludf.DUMMYFUNCTION("""COMPUTED_VALUE"""),3.0)</f>
        <v>3</v>
      </c>
      <c r="M2698" s="4" t="str">
        <f>IFERROR(__xludf.DUMMYFUNCTION("""COMPUTED_VALUE"""),"Consumer Soluções Em Tecnologia Ltda")</f>
        <v>Consumer Soluções Em Tecnologia Ltda</v>
      </c>
      <c r="N2698" s="33">
        <f>IFERROR(__xludf.DUMMYFUNCTION("""COMPUTED_VALUE"""),1.0)</f>
        <v>1</v>
      </c>
      <c r="O2698" s="4" t="str">
        <f>IFERROR(__xludf.DUMMYFUNCTION("""COMPUTED_VALUE"""),"Consumer Soluções Em Tecnologia Ltda")</f>
        <v>Consumer Soluções Em Tecnologia Ltda</v>
      </c>
      <c r="P2698" s="33">
        <f>IFERROR(__xludf.DUMMYFUNCTION("""COMPUTED_VALUE"""),1.0)</f>
        <v>1</v>
      </c>
      <c r="Q2698" s="4" t="str">
        <f>IFERROR(__xludf.DUMMYFUNCTION("""COMPUTED_VALUE"""),"Consumer Soluções Em Tecnologia Ltda")</f>
        <v>Consumer Soluções Em Tecnologia Ltda</v>
      </c>
      <c r="R2698" s="33">
        <f>IFERROR(__xludf.DUMMYFUNCTION("""COMPUTED_VALUE"""),0.6666666666666666)</f>
        <v>0.6666666667</v>
      </c>
      <c r="S2698" s="4" t="str">
        <f>IFERROR(__xludf.DUMMYFUNCTION("""COMPUTED_VALUE"""),"null")</f>
        <v>null</v>
      </c>
      <c r="T2698" s="33">
        <f>IFERROR(__xludf.DUMMYFUNCTION("""COMPUTED_VALUE"""),1.0)</f>
        <v>1</v>
      </c>
      <c r="U2698" s="4" t="str">
        <f>IFERROR(__xludf.DUMMYFUNCTION("""COMPUTED_VALUE"""),"Consumer Soluções Em Tecnologia Ltda")</f>
        <v>Consumer Soluções Em Tecnologia Ltda</v>
      </c>
      <c r="V2698" s="33">
        <f>IFERROR(__xludf.DUMMYFUNCTION("""COMPUTED_VALUE"""),0.6666666666666666)</f>
        <v>0.6666666667</v>
      </c>
      <c r="W2698" s="4" t="str">
        <f>IFERROR(__xludf.DUMMYFUNCTION("""COMPUTED_VALUE"""),"Consumer Soluções Em Tecnologia Ltda")</f>
        <v>Consumer Soluções Em Tecnologia Ltda</v>
      </c>
      <c r="X2698" s="33">
        <f>IFERROR(__xludf.DUMMYFUNCTION("""COMPUTED_VALUE"""),0.6666666666666666)</f>
        <v>0.6666666667</v>
      </c>
    </row>
    <row r="2699">
      <c r="K2699" s="4" t="str">
        <f>IFERROR(__xludf.DUMMYFUNCTION("""COMPUTED_VALUE"""),"MANIA DE PIZZA")</f>
        <v>MANIA DE PIZZA</v>
      </c>
      <c r="L2699" s="32">
        <f>IFERROR(__xludf.DUMMYFUNCTION("""COMPUTED_VALUE"""),3.0)</f>
        <v>3</v>
      </c>
      <c r="M2699" s="4" t="str">
        <f>IFERROR(__xludf.DUMMYFUNCTION("""COMPUTED_VALUE"""),"Agilizup Solucoes Ltda")</f>
        <v>Agilizup Solucoes Ltda</v>
      </c>
      <c r="N2699" s="33">
        <f>IFERROR(__xludf.DUMMYFUNCTION("""COMPUTED_VALUE"""),0.3333333333333333)</f>
        <v>0.3333333333</v>
      </c>
      <c r="O2699" s="4" t="str">
        <f>IFERROR(__xludf.DUMMYFUNCTION("""COMPUTED_VALUE"""),"Agilizup Solucoes Ltda")</f>
        <v>Agilizup Solucoes Ltda</v>
      </c>
      <c r="P2699" s="33">
        <f>IFERROR(__xludf.DUMMYFUNCTION("""COMPUTED_VALUE"""),0.3333333333333333)</f>
        <v>0.3333333333</v>
      </c>
      <c r="Q2699" s="4" t="str">
        <f>IFERROR(__xludf.DUMMYFUNCTION("""COMPUTED_VALUE"""),"Agilizup Solucoes Ltda")</f>
        <v>Agilizup Solucoes Ltda</v>
      </c>
      <c r="R2699" s="33">
        <f>IFERROR(__xludf.DUMMYFUNCTION("""COMPUTED_VALUE"""),0.3333333333333333)</f>
        <v>0.3333333333</v>
      </c>
      <c r="S2699" s="4" t="str">
        <f>IFERROR(__xludf.DUMMYFUNCTION("""COMPUTED_VALUE"""),"Agilizup Solucoes Ltda")</f>
        <v>Agilizup Solucoes Ltda</v>
      </c>
      <c r="T2699" s="33">
        <f>IFERROR(__xludf.DUMMYFUNCTION("""COMPUTED_VALUE"""),0.3333333333333333)</f>
        <v>0.3333333333</v>
      </c>
      <c r="U2699" s="4" t="str">
        <f>IFERROR(__xludf.DUMMYFUNCTION("""COMPUTED_VALUE"""),"Agilizup Solucoes Ltda")</f>
        <v>Agilizup Solucoes Ltda</v>
      </c>
      <c r="V2699" s="33">
        <f>IFERROR(__xludf.DUMMYFUNCTION("""COMPUTED_VALUE"""),0.3333333333333333)</f>
        <v>0.3333333333</v>
      </c>
      <c r="W2699" s="4" t="str">
        <f>IFERROR(__xludf.DUMMYFUNCTION("""COMPUTED_VALUE"""),"Agilizup Solucoes Ltda")</f>
        <v>Agilizup Solucoes Ltda</v>
      </c>
      <c r="X2699" s="33">
        <f>IFERROR(__xludf.DUMMYFUNCTION("""COMPUTED_VALUE"""),0.3333333333333333)</f>
        <v>0.3333333333</v>
      </c>
    </row>
    <row r="2700">
      <c r="K2700" s="4" t="str">
        <f>IFERROR(__xludf.DUMMYFUNCTION("""COMPUTED_VALUE"""),"MARMITARIA DA LU")</f>
        <v>MARMITARIA DA LU</v>
      </c>
      <c r="L2700" s="32">
        <f>IFERROR(__xludf.DUMMYFUNCTION("""COMPUTED_VALUE"""),3.0)</f>
        <v>3</v>
      </c>
      <c r="M2700" s="4" t="str">
        <f>IFERROR(__xludf.DUMMYFUNCTION("""COMPUTED_VALUE"""),"null")</f>
        <v>null</v>
      </c>
      <c r="N2700" s="33">
        <f>IFERROR(__xludf.DUMMYFUNCTION("""COMPUTED_VALUE"""),0.6666666666666666)</f>
        <v>0.6666666667</v>
      </c>
      <c r="O2700" s="4" t="str">
        <f>IFERROR(__xludf.DUMMYFUNCTION("""COMPUTED_VALUE"""),"null")</f>
        <v>null</v>
      </c>
      <c r="P2700" s="33">
        <f>IFERROR(__xludf.DUMMYFUNCTION("""COMPUTED_VALUE"""),0.6666666666666666)</f>
        <v>0.6666666667</v>
      </c>
      <c r="Q2700" s="4" t="str">
        <f>IFERROR(__xludf.DUMMYFUNCTION("""COMPUTED_VALUE"""),"null")</f>
        <v>null</v>
      </c>
      <c r="R2700" s="33">
        <f>IFERROR(__xludf.DUMMYFUNCTION("""COMPUTED_VALUE"""),0.6666666666666666)</f>
        <v>0.6666666667</v>
      </c>
      <c r="S2700" s="4" t="str">
        <f>IFERROR(__xludf.DUMMYFUNCTION("""COMPUTED_VALUE"""),"null")</f>
        <v>null</v>
      </c>
      <c r="T2700" s="33">
        <f>IFERROR(__xludf.DUMMYFUNCTION("""COMPUTED_VALUE"""),0.6666666666666666)</f>
        <v>0.6666666667</v>
      </c>
      <c r="U2700" s="4" t="str">
        <f>IFERROR(__xludf.DUMMYFUNCTION("""COMPUTED_VALUE"""),"Saipos Serviços De Software")</f>
        <v>Saipos Serviços De Software</v>
      </c>
      <c r="V2700" s="33">
        <f>IFERROR(__xludf.DUMMYFUNCTION("""COMPUTED_VALUE"""),0.6666666666666666)</f>
        <v>0.6666666667</v>
      </c>
      <c r="W2700" s="4" t="str">
        <f>IFERROR(__xludf.DUMMYFUNCTION("""COMPUTED_VALUE"""),"Saipos Serviços De Software")</f>
        <v>Saipos Serviços De Software</v>
      </c>
      <c r="X2700" s="33">
        <f>IFERROR(__xludf.DUMMYFUNCTION("""COMPUTED_VALUE"""),0.6666666666666666)</f>
        <v>0.6666666667</v>
      </c>
    </row>
    <row r="2701">
      <c r="K2701" s="4" t="str">
        <f>IFERROR(__xludf.DUMMYFUNCTION("""COMPUTED_VALUE"""),"DIA DE BOLO")</f>
        <v>DIA DE BOLO</v>
      </c>
      <c r="L2701" s="32">
        <f>IFERROR(__xludf.DUMMYFUNCTION("""COMPUTED_VALUE"""),3.0)</f>
        <v>3</v>
      </c>
      <c r="M2701" s="4" t="str">
        <f>IFERROR(__xludf.DUMMYFUNCTION("""COMPUTED_VALUE"""),"Yooga")</f>
        <v>Yooga</v>
      </c>
      <c r="N2701" s="33">
        <f>IFERROR(__xludf.DUMMYFUNCTION("""COMPUTED_VALUE"""),0.3333333333333333)</f>
        <v>0.3333333333</v>
      </c>
      <c r="O2701" s="4" t="str">
        <f>IFERROR(__xludf.DUMMYFUNCTION("""COMPUTED_VALUE"""),"Yooga")</f>
        <v>Yooga</v>
      </c>
      <c r="P2701" s="33">
        <f>IFERROR(__xludf.DUMMYFUNCTION("""COMPUTED_VALUE"""),0.3333333333333333)</f>
        <v>0.3333333333</v>
      </c>
      <c r="Q2701" s="4" t="str">
        <f>IFERROR(__xludf.DUMMYFUNCTION("""COMPUTED_VALUE"""),"Yooga")</f>
        <v>Yooga</v>
      </c>
      <c r="R2701" s="33">
        <f>IFERROR(__xludf.DUMMYFUNCTION("""COMPUTED_VALUE"""),0.3333333333333333)</f>
        <v>0.3333333333</v>
      </c>
      <c r="S2701" s="4" t="str">
        <f>IFERROR(__xludf.DUMMYFUNCTION("""COMPUTED_VALUE"""),"null")</f>
        <v>null</v>
      </c>
      <c r="T2701" s="33">
        <f>IFERROR(__xludf.DUMMYFUNCTION("""COMPUTED_VALUE"""),0.3333333333333333)</f>
        <v>0.3333333333</v>
      </c>
      <c r="U2701" s="4" t="str">
        <f>IFERROR(__xludf.DUMMYFUNCTION("""COMPUTED_VALUE"""),"null")</f>
        <v>null</v>
      </c>
      <c r="V2701" s="33">
        <f>IFERROR(__xludf.DUMMYFUNCTION("""COMPUTED_VALUE"""),0.3333333333333333)</f>
        <v>0.3333333333</v>
      </c>
      <c r="W2701" s="4" t="str">
        <f>IFERROR(__xludf.DUMMYFUNCTION("""COMPUTED_VALUE"""),"null")</f>
        <v>null</v>
      </c>
      <c r="X2701" s="33">
        <f>IFERROR(__xludf.DUMMYFUNCTION("""COMPUTED_VALUE"""),0.3333333333333333)</f>
        <v>0.3333333333</v>
      </c>
    </row>
    <row r="2702">
      <c r="K2702" s="4" t="str">
        <f>IFERROR(__xludf.DUMMYFUNCTION("""COMPUTED_VALUE"""),"SHEKINA BURGER LANCHES ACAI")</f>
        <v>SHEKINA BURGER LANCHES ACAI</v>
      </c>
      <c r="L2702" s="32">
        <f>IFERROR(__xludf.DUMMYFUNCTION("""COMPUTED_VALUE"""),3.0)</f>
        <v>3</v>
      </c>
      <c r="M2702" s="4" t="str">
        <f>IFERROR(__xludf.DUMMYFUNCTION("""COMPUTED_VALUE"""),"Dual Sete Sistemas E Tecnologia")</f>
        <v>Dual Sete Sistemas E Tecnologia</v>
      </c>
      <c r="N2702" s="33">
        <f>IFERROR(__xludf.DUMMYFUNCTION("""COMPUTED_VALUE"""),1.0)</f>
        <v>1</v>
      </c>
      <c r="O2702" s="4" t="str">
        <f>IFERROR(__xludf.DUMMYFUNCTION("""COMPUTED_VALUE"""),"Dual Sete Sistemas E Tecnologia")</f>
        <v>Dual Sete Sistemas E Tecnologia</v>
      </c>
      <c r="P2702" s="33">
        <f>IFERROR(__xludf.DUMMYFUNCTION("""COMPUTED_VALUE"""),0.6666666666666666)</f>
        <v>0.6666666667</v>
      </c>
      <c r="Q2702" s="4" t="str">
        <f>IFERROR(__xludf.DUMMYFUNCTION("""COMPUTED_VALUE"""),"Dual Sete Sistemas E Tecnologia")</f>
        <v>Dual Sete Sistemas E Tecnologia</v>
      </c>
      <c r="R2702" s="33">
        <f>IFERROR(__xludf.DUMMYFUNCTION("""COMPUTED_VALUE"""),0.6666666666666666)</f>
        <v>0.6666666667</v>
      </c>
      <c r="S2702" s="4" t="str">
        <f>IFERROR(__xludf.DUMMYFUNCTION("""COMPUTED_VALUE"""),"null")</f>
        <v>null</v>
      </c>
      <c r="T2702" s="33">
        <f>IFERROR(__xludf.DUMMYFUNCTION("""COMPUTED_VALUE"""),0.6666666666666666)</f>
        <v>0.6666666667</v>
      </c>
      <c r="U2702" s="4" t="str">
        <f>IFERROR(__xludf.DUMMYFUNCTION("""COMPUTED_VALUE"""),"Dual Sete Sistemas E Tecnologia")</f>
        <v>Dual Sete Sistemas E Tecnologia</v>
      </c>
      <c r="V2702" s="33">
        <f>IFERROR(__xludf.DUMMYFUNCTION("""COMPUTED_VALUE"""),0.6666666666666666)</f>
        <v>0.6666666667</v>
      </c>
      <c r="W2702" s="4" t="str">
        <f>IFERROR(__xludf.DUMMYFUNCTION("""COMPUTED_VALUE"""),"Dual Sete Sistemas E Tecnologia")</f>
        <v>Dual Sete Sistemas E Tecnologia</v>
      </c>
      <c r="X2702" s="33">
        <f>IFERROR(__xludf.DUMMYFUNCTION("""COMPUTED_VALUE"""),0.6666666666666666)</f>
        <v>0.6666666667</v>
      </c>
    </row>
    <row r="2703">
      <c r="K2703" s="4" t="str">
        <f>IFERROR(__xludf.DUMMYFUNCTION("""COMPUTED_VALUE"""),"DOG MANIA")</f>
        <v>DOG MANIA</v>
      </c>
      <c r="L2703" s="32">
        <f>IFERROR(__xludf.DUMMYFUNCTION("""COMPUTED_VALUE"""),3.0)</f>
        <v>3</v>
      </c>
      <c r="M2703" s="4" t="str">
        <f>IFERROR(__xludf.DUMMYFUNCTION("""COMPUTED_VALUE"""),"Fas Tecnologia")</f>
        <v>Fas Tecnologia</v>
      </c>
      <c r="N2703" s="33">
        <f>IFERROR(__xludf.DUMMYFUNCTION("""COMPUTED_VALUE"""),0.3333333333333333)</f>
        <v>0.3333333333</v>
      </c>
      <c r="O2703" s="4" t="str">
        <f>IFERROR(__xludf.DUMMYFUNCTION("""COMPUTED_VALUE"""),"Fas Tecnologia")</f>
        <v>Fas Tecnologia</v>
      </c>
      <c r="P2703" s="33">
        <f>IFERROR(__xludf.DUMMYFUNCTION("""COMPUTED_VALUE"""),0.3333333333333333)</f>
        <v>0.3333333333</v>
      </c>
      <c r="Q2703" s="4" t="str">
        <f>IFERROR(__xludf.DUMMYFUNCTION("""COMPUTED_VALUE"""),"Fas Tecnologia")</f>
        <v>Fas Tecnologia</v>
      </c>
      <c r="R2703" s="33">
        <f>IFERROR(__xludf.DUMMYFUNCTION("""COMPUTED_VALUE"""),0.3333333333333333)</f>
        <v>0.3333333333</v>
      </c>
      <c r="S2703" s="4" t="str">
        <f>IFERROR(__xludf.DUMMYFUNCTION("""COMPUTED_VALUE"""),"Fas Tecnologia")</f>
        <v>Fas Tecnologia</v>
      </c>
      <c r="T2703" s="33">
        <f>IFERROR(__xludf.DUMMYFUNCTION("""COMPUTED_VALUE"""),0.3333333333333333)</f>
        <v>0.3333333333</v>
      </c>
      <c r="U2703" s="4" t="str">
        <f>IFERROR(__xludf.DUMMYFUNCTION("""COMPUTED_VALUE"""),"Yooga")</f>
        <v>Yooga</v>
      </c>
      <c r="V2703" s="33">
        <f>IFERROR(__xludf.DUMMYFUNCTION("""COMPUTED_VALUE"""),0.6666666666666666)</f>
        <v>0.6666666667</v>
      </c>
      <c r="W2703" s="4" t="str">
        <f>IFERROR(__xludf.DUMMYFUNCTION("""COMPUTED_VALUE"""),"Yooga")</f>
        <v>Yooga</v>
      </c>
      <c r="X2703" s="33">
        <f>IFERROR(__xludf.DUMMYFUNCTION("""COMPUTED_VALUE"""),0.6666666666666666)</f>
        <v>0.6666666667</v>
      </c>
    </row>
    <row r="2704">
      <c r="K2704" s="4" t="str">
        <f>IFERROR(__xludf.DUMMYFUNCTION("""COMPUTED_VALUE"""),"REDE BEM DROGARIAS")</f>
        <v>REDE BEM DROGARIAS</v>
      </c>
      <c r="L2704" s="32">
        <f>IFERROR(__xludf.DUMMYFUNCTION("""COMPUTED_VALUE"""),3.0)</f>
        <v>3</v>
      </c>
      <c r="M2704" s="4" t="str">
        <f>IFERROR(__xludf.DUMMYFUNCTION("""COMPUTED_VALUE"""),"N/A (Not found)")</f>
        <v>N/A (Not found)</v>
      </c>
      <c r="N2704" s="33">
        <f>IFERROR(__xludf.DUMMYFUNCTION("""COMPUTED_VALUE"""),0.6666666666666666)</f>
        <v>0.6666666667</v>
      </c>
      <c r="O2704" s="4" t="str">
        <f>IFERROR(__xludf.DUMMYFUNCTION("""COMPUTED_VALUE"""),"N/A (Not found)")</f>
        <v>N/A (Not found)</v>
      </c>
      <c r="P2704" s="33">
        <f>IFERROR(__xludf.DUMMYFUNCTION("""COMPUTED_VALUE"""),0.6666666666666666)</f>
        <v>0.6666666667</v>
      </c>
      <c r="Q2704" s="4" t="str">
        <f>IFERROR(__xludf.DUMMYFUNCTION("""COMPUTED_VALUE"""),"N/A (Not found)")</f>
        <v>N/A (Not found)</v>
      </c>
      <c r="R2704" s="33">
        <f>IFERROR(__xludf.DUMMYFUNCTION("""COMPUTED_VALUE"""),0.6666666666666666)</f>
        <v>0.6666666667</v>
      </c>
      <c r="S2704" s="4" t="str">
        <f>IFERROR(__xludf.DUMMYFUNCTION("""COMPUTED_VALUE"""),"N/A (Not found)")</f>
        <v>N/A (Not found)</v>
      </c>
      <c r="T2704" s="33">
        <f>IFERROR(__xludf.DUMMYFUNCTION("""COMPUTED_VALUE"""),1.0)</f>
        <v>1</v>
      </c>
      <c r="U2704" s="4" t="str">
        <f>IFERROR(__xludf.DUMMYFUNCTION("""COMPUTED_VALUE"""),"N/A (Not found)")</f>
        <v>N/A (Not found)</v>
      </c>
      <c r="V2704" s="33">
        <f>IFERROR(__xludf.DUMMYFUNCTION("""COMPUTED_VALUE"""),1.0)</f>
        <v>1</v>
      </c>
      <c r="W2704" s="4" t="str">
        <f>IFERROR(__xludf.DUMMYFUNCTION("""COMPUTED_VALUE"""),"N/A (Not found)")</f>
        <v>N/A (Not found)</v>
      </c>
      <c r="X2704" s="33">
        <f>IFERROR(__xludf.DUMMYFUNCTION("""COMPUTED_VALUE"""),1.0)</f>
        <v>1</v>
      </c>
    </row>
    <row r="2705">
      <c r="K2705" s="4" t="str">
        <f>IFERROR(__xludf.DUMMYFUNCTION("""COMPUTED_VALUE"""),"RESTAURANTE DO MINEIRO")</f>
        <v>RESTAURANTE DO MINEIRO</v>
      </c>
      <c r="L2705" s="32">
        <f>IFERROR(__xludf.DUMMYFUNCTION("""COMPUTED_VALUE"""),3.0)</f>
        <v>3</v>
      </c>
      <c r="M2705" s="4" t="str">
        <f>IFERROR(__xludf.DUMMYFUNCTION("""COMPUTED_VALUE"""),"Saipos Serviços De Software")</f>
        <v>Saipos Serviços De Software</v>
      </c>
      <c r="N2705" s="33">
        <f>IFERROR(__xludf.DUMMYFUNCTION("""COMPUTED_VALUE"""),0.3333333333333333)</f>
        <v>0.3333333333</v>
      </c>
      <c r="O2705" s="4" t="str">
        <f>IFERROR(__xludf.DUMMYFUNCTION("""COMPUTED_VALUE"""),"Saipos Serviços De Software")</f>
        <v>Saipos Serviços De Software</v>
      </c>
      <c r="P2705" s="33">
        <f>IFERROR(__xludf.DUMMYFUNCTION("""COMPUTED_VALUE"""),0.3333333333333333)</f>
        <v>0.3333333333</v>
      </c>
      <c r="Q2705" s="4" t="str">
        <f>IFERROR(__xludf.DUMMYFUNCTION("""COMPUTED_VALUE"""),"Saipos Serviços De Software")</f>
        <v>Saipos Serviços De Software</v>
      </c>
      <c r="R2705" s="33">
        <f>IFERROR(__xludf.DUMMYFUNCTION("""COMPUTED_VALUE"""),0.3333333333333333)</f>
        <v>0.3333333333</v>
      </c>
      <c r="S2705" s="4" t="str">
        <f>IFERROR(__xludf.DUMMYFUNCTION("""COMPUTED_VALUE"""),"Saipos Serviços De Software")</f>
        <v>Saipos Serviços De Software</v>
      </c>
      <c r="T2705" s="33">
        <f>IFERROR(__xludf.DUMMYFUNCTION("""COMPUTED_VALUE"""),0.3333333333333333)</f>
        <v>0.3333333333</v>
      </c>
      <c r="U2705" s="4" t="str">
        <f>IFERROR(__xludf.DUMMYFUNCTION("""COMPUTED_VALUE"""),"Saipos Serviços De Software")</f>
        <v>Saipos Serviços De Software</v>
      </c>
      <c r="V2705" s="33">
        <f>IFERROR(__xludf.DUMMYFUNCTION("""COMPUTED_VALUE"""),0.3333333333333333)</f>
        <v>0.3333333333</v>
      </c>
      <c r="W2705" s="4" t="str">
        <f>IFERROR(__xludf.DUMMYFUNCTION("""COMPUTED_VALUE"""),"Saipos Serviços De Software")</f>
        <v>Saipos Serviços De Software</v>
      </c>
      <c r="X2705" s="33">
        <f>IFERROR(__xludf.DUMMYFUNCTION("""COMPUTED_VALUE"""),0.3333333333333333)</f>
        <v>0.3333333333</v>
      </c>
    </row>
    <row r="2706">
      <c r="K2706" s="4" t="str">
        <f>IFERROR(__xludf.DUMMYFUNCTION("""COMPUTED_VALUE"""),"FARMACIA PRECO BOM")</f>
        <v>FARMACIA PRECO BOM</v>
      </c>
      <c r="L2706" s="32">
        <f>IFERROR(__xludf.DUMMYFUNCTION("""COMPUTED_VALUE"""),3.0)</f>
        <v>3</v>
      </c>
      <c r="M2706" s="4" t="str">
        <f>IFERROR(__xludf.DUMMYFUNCTION("""COMPUTED_VALUE"""),"null")</f>
        <v>null</v>
      </c>
      <c r="N2706" s="33">
        <f>IFERROR(__xludf.DUMMYFUNCTION("""COMPUTED_VALUE"""),0.6666666666666666)</f>
        <v>0.6666666667</v>
      </c>
      <c r="O2706" s="4" t="str">
        <f>IFERROR(__xludf.DUMMYFUNCTION("""COMPUTED_VALUE"""),"null")</f>
        <v>null</v>
      </c>
      <c r="P2706" s="33">
        <f>IFERROR(__xludf.DUMMYFUNCTION("""COMPUTED_VALUE"""),0.6666666666666666)</f>
        <v>0.6666666667</v>
      </c>
      <c r="Q2706" s="4" t="str">
        <f>IFERROR(__xludf.DUMMYFUNCTION("""COMPUTED_VALUE"""),"null")</f>
        <v>null</v>
      </c>
      <c r="R2706" s="33">
        <f>IFERROR(__xludf.DUMMYFUNCTION("""COMPUTED_VALUE"""),0.6666666666666666)</f>
        <v>0.6666666667</v>
      </c>
      <c r="S2706" s="4" t="str">
        <f>IFERROR(__xludf.DUMMYFUNCTION("""COMPUTED_VALUE"""),"N/A (Not found)")</f>
        <v>N/A (Not found)</v>
      </c>
      <c r="T2706" s="33">
        <f>IFERROR(__xludf.DUMMYFUNCTION("""COMPUTED_VALUE"""),0.6666666666666666)</f>
        <v>0.6666666667</v>
      </c>
      <c r="U2706" s="4" t="str">
        <f>IFERROR(__xludf.DUMMYFUNCTION("""COMPUTED_VALUE"""),"N/A (Not found)")</f>
        <v>N/A (Not found)</v>
      </c>
      <c r="V2706" s="33">
        <f>IFERROR(__xludf.DUMMYFUNCTION("""COMPUTED_VALUE"""),0.6666666666666666)</f>
        <v>0.6666666667</v>
      </c>
      <c r="W2706" s="4" t="str">
        <f>IFERROR(__xludf.DUMMYFUNCTION("""COMPUTED_VALUE"""),"N/A (Not found)")</f>
        <v>N/A (Not found)</v>
      </c>
      <c r="X2706" s="33">
        <f>IFERROR(__xludf.DUMMYFUNCTION("""COMPUTED_VALUE"""),1.0)</f>
        <v>1</v>
      </c>
    </row>
    <row r="2707">
      <c r="K2707" s="4" t="str">
        <f>IFERROR(__xludf.DUMMYFUNCTION("""COMPUTED_VALUE"""),"DIVINA MARMITA")</f>
        <v>DIVINA MARMITA</v>
      </c>
      <c r="L2707" s="32">
        <f>IFERROR(__xludf.DUMMYFUNCTION("""COMPUTED_VALUE"""),3.0)</f>
        <v>3</v>
      </c>
      <c r="M2707" s="4" t="str">
        <f>IFERROR(__xludf.DUMMYFUNCTION("""COMPUTED_VALUE"""),"Saipos Serviços De Software")</f>
        <v>Saipos Serviços De Software</v>
      </c>
      <c r="N2707" s="33">
        <f>IFERROR(__xludf.DUMMYFUNCTION("""COMPUTED_VALUE"""),0.3333333333333333)</f>
        <v>0.3333333333</v>
      </c>
      <c r="O2707" s="4" t="str">
        <f>IFERROR(__xludf.DUMMYFUNCTION("""COMPUTED_VALUE"""),"Saipos Serviços De Software")</f>
        <v>Saipos Serviços De Software</v>
      </c>
      <c r="P2707" s="33">
        <f>IFERROR(__xludf.DUMMYFUNCTION("""COMPUTED_VALUE"""),0.3333333333333333)</f>
        <v>0.3333333333</v>
      </c>
      <c r="Q2707" s="4" t="str">
        <f>IFERROR(__xludf.DUMMYFUNCTION("""COMPUTED_VALUE"""),"Saipos Serviços De Software")</f>
        <v>Saipos Serviços De Software</v>
      </c>
      <c r="R2707" s="33">
        <f>IFERROR(__xludf.DUMMYFUNCTION("""COMPUTED_VALUE"""),0.3333333333333333)</f>
        <v>0.3333333333</v>
      </c>
      <c r="S2707" s="4" t="str">
        <f>IFERROR(__xludf.DUMMYFUNCTION("""COMPUTED_VALUE"""),"Saipos Serviços De Software")</f>
        <v>Saipos Serviços De Software</v>
      </c>
      <c r="T2707" s="33">
        <f>IFERROR(__xludf.DUMMYFUNCTION("""COMPUTED_VALUE"""),0.3333333333333333)</f>
        <v>0.3333333333</v>
      </c>
      <c r="U2707" s="4" t="str">
        <f>IFERROR(__xludf.DUMMYFUNCTION("""COMPUTED_VALUE"""),"Saipos Serviços De Software")</f>
        <v>Saipos Serviços De Software</v>
      </c>
      <c r="V2707" s="33">
        <f>IFERROR(__xludf.DUMMYFUNCTION("""COMPUTED_VALUE"""),0.3333333333333333)</f>
        <v>0.3333333333</v>
      </c>
      <c r="W2707" s="4" t="str">
        <f>IFERROR(__xludf.DUMMYFUNCTION("""COMPUTED_VALUE"""),"Saipos Serviços De Software")</f>
        <v>Saipos Serviços De Software</v>
      </c>
      <c r="X2707" s="33">
        <f>IFERROR(__xludf.DUMMYFUNCTION("""COMPUTED_VALUE"""),0.3333333333333333)</f>
        <v>0.3333333333</v>
      </c>
    </row>
    <row r="2708">
      <c r="K2708" s="4" t="str">
        <f>IFERROR(__xludf.DUMMYFUNCTION("""COMPUTED_VALUE"""),"REI DA PIZZA - FORNO A LENHA")</f>
        <v>REI DA PIZZA - FORNO A LENHA</v>
      </c>
      <c r="L2708" s="32">
        <f>IFERROR(__xludf.DUMMYFUNCTION("""COMPUTED_VALUE"""),3.0)</f>
        <v>3</v>
      </c>
      <c r="M2708" s="4" t="str">
        <f>IFERROR(__xludf.DUMMYFUNCTION("""COMPUTED_VALUE"""),"null")</f>
        <v>null</v>
      </c>
      <c r="N2708" s="33">
        <f>IFERROR(__xludf.DUMMYFUNCTION("""COMPUTED_VALUE"""),1.0)</f>
        <v>1</v>
      </c>
      <c r="O2708" s="4" t="str">
        <f>IFERROR(__xludf.DUMMYFUNCTION("""COMPUTED_VALUE"""),"null")</f>
        <v>null</v>
      </c>
      <c r="P2708" s="33">
        <f>IFERROR(__xludf.DUMMYFUNCTION("""COMPUTED_VALUE"""),1.0)</f>
        <v>1</v>
      </c>
      <c r="Q2708" s="4" t="str">
        <f>IFERROR(__xludf.DUMMYFUNCTION("""COMPUTED_VALUE"""),"null")</f>
        <v>null</v>
      </c>
      <c r="R2708" s="33">
        <f>IFERROR(__xludf.DUMMYFUNCTION("""COMPUTED_VALUE"""),1.0)</f>
        <v>1</v>
      </c>
      <c r="S2708" s="4" t="str">
        <f>IFERROR(__xludf.DUMMYFUNCTION("""COMPUTED_VALUE"""),"Saipos Serviços De Software")</f>
        <v>Saipos Serviços De Software</v>
      </c>
      <c r="T2708" s="33">
        <f>IFERROR(__xludf.DUMMYFUNCTION("""COMPUTED_VALUE"""),1.0)</f>
        <v>1</v>
      </c>
      <c r="U2708" s="4" t="str">
        <f>IFERROR(__xludf.DUMMYFUNCTION("""COMPUTED_VALUE"""),"Saipos Serviços De Software")</f>
        <v>Saipos Serviços De Software</v>
      </c>
      <c r="V2708" s="33">
        <f>IFERROR(__xludf.DUMMYFUNCTION("""COMPUTED_VALUE"""),1.0)</f>
        <v>1</v>
      </c>
      <c r="W2708" s="4" t="str">
        <f>IFERROR(__xludf.DUMMYFUNCTION("""COMPUTED_VALUE"""),"Saipos Serviços De Software")</f>
        <v>Saipos Serviços De Software</v>
      </c>
      <c r="X2708" s="33">
        <f>IFERROR(__xludf.DUMMYFUNCTION("""COMPUTED_VALUE"""),1.0)</f>
        <v>1</v>
      </c>
    </row>
    <row r="2709">
      <c r="K2709" s="4" t="str">
        <f>IFERROR(__xludf.DUMMYFUNCTION("""COMPUTED_VALUE"""),"LE SUSHI")</f>
        <v>LE SUSHI</v>
      </c>
      <c r="L2709" s="32">
        <f>IFERROR(__xludf.DUMMYFUNCTION("""COMPUTED_VALUE"""),3.0)</f>
        <v>3</v>
      </c>
      <c r="M2709" s="4" t="str">
        <f>IFERROR(__xludf.DUMMYFUNCTION("""COMPUTED_VALUE"""),"Saipos Serviços De Software")</f>
        <v>Saipos Serviços De Software</v>
      </c>
      <c r="N2709" s="33">
        <f>IFERROR(__xludf.DUMMYFUNCTION("""COMPUTED_VALUE"""),0.6666666666666666)</f>
        <v>0.6666666667</v>
      </c>
      <c r="O2709" s="4" t="str">
        <f>IFERROR(__xludf.DUMMYFUNCTION("""COMPUTED_VALUE"""),"Saipos Serviços De Software")</f>
        <v>Saipos Serviços De Software</v>
      </c>
      <c r="P2709" s="33">
        <f>IFERROR(__xludf.DUMMYFUNCTION("""COMPUTED_VALUE"""),0.6666666666666666)</f>
        <v>0.6666666667</v>
      </c>
      <c r="Q2709" s="4" t="str">
        <f>IFERROR(__xludf.DUMMYFUNCTION("""COMPUTED_VALUE"""),"Saipos Serviços De Software")</f>
        <v>Saipos Serviços De Software</v>
      </c>
      <c r="R2709" s="33">
        <f>IFERROR(__xludf.DUMMYFUNCTION("""COMPUTED_VALUE"""),0.6666666666666666)</f>
        <v>0.6666666667</v>
      </c>
      <c r="S2709" s="4" t="str">
        <f>IFERROR(__xludf.DUMMYFUNCTION("""COMPUTED_VALUE"""),"Saipos Serviços De Software")</f>
        <v>Saipos Serviços De Software</v>
      </c>
      <c r="T2709" s="33">
        <f>IFERROR(__xludf.DUMMYFUNCTION("""COMPUTED_VALUE"""),0.6666666666666666)</f>
        <v>0.6666666667</v>
      </c>
      <c r="U2709" s="4" t="str">
        <f>IFERROR(__xludf.DUMMYFUNCTION("""COMPUTED_VALUE"""),"Saipos Serviços De Software")</f>
        <v>Saipos Serviços De Software</v>
      </c>
      <c r="V2709" s="33">
        <f>IFERROR(__xludf.DUMMYFUNCTION("""COMPUTED_VALUE"""),0.6666666666666666)</f>
        <v>0.6666666667</v>
      </c>
      <c r="W2709" s="4" t="str">
        <f>IFERROR(__xludf.DUMMYFUNCTION("""COMPUTED_VALUE"""),"Saipos Serviços De Software")</f>
        <v>Saipos Serviços De Software</v>
      </c>
      <c r="X2709" s="33">
        <f>IFERROR(__xludf.DUMMYFUNCTION("""COMPUTED_VALUE"""),1.0)</f>
        <v>1</v>
      </c>
    </row>
    <row r="2710">
      <c r="K2710" s="4" t="str">
        <f>IFERROR(__xludf.DUMMYFUNCTION("""COMPUTED_VALUE"""),"DREAM BURGER")</f>
        <v>DREAM BURGER</v>
      </c>
      <c r="L2710" s="32">
        <f>IFERROR(__xludf.DUMMYFUNCTION("""COMPUTED_VALUE"""),3.0)</f>
        <v>3</v>
      </c>
      <c r="M2710" s="4" t="str">
        <f>IFERROR(__xludf.DUMMYFUNCTION("""COMPUTED_VALUE"""),"null")</f>
        <v>null</v>
      </c>
      <c r="N2710" s="33">
        <f>IFERROR(__xludf.DUMMYFUNCTION("""COMPUTED_VALUE"""),0.6666666666666666)</f>
        <v>0.6666666667</v>
      </c>
      <c r="O2710" s="4" t="str">
        <f>IFERROR(__xludf.DUMMYFUNCTION("""COMPUTED_VALUE"""),"Saipos Serviços De Software")</f>
        <v>Saipos Serviços De Software</v>
      </c>
      <c r="P2710" s="33">
        <f>IFERROR(__xludf.DUMMYFUNCTION("""COMPUTED_VALUE"""),0.3333333333333333)</f>
        <v>0.3333333333</v>
      </c>
      <c r="Q2710" s="4" t="str">
        <f>IFERROR(__xludf.DUMMYFUNCTION("""COMPUTED_VALUE"""),"Saipos Serviços De Software")</f>
        <v>Saipos Serviços De Software</v>
      </c>
      <c r="R2710" s="33">
        <f>IFERROR(__xludf.DUMMYFUNCTION("""COMPUTED_VALUE"""),0.3333333333333333)</f>
        <v>0.3333333333</v>
      </c>
      <c r="S2710" s="4" t="str">
        <f>IFERROR(__xludf.DUMMYFUNCTION("""COMPUTED_VALUE"""),"Saipos Serviços De Software")</f>
        <v>Saipos Serviços De Software</v>
      </c>
      <c r="T2710" s="33">
        <f>IFERROR(__xludf.DUMMYFUNCTION("""COMPUTED_VALUE"""),0.3333333333333333)</f>
        <v>0.3333333333</v>
      </c>
      <c r="U2710" s="4" t="str">
        <f>IFERROR(__xludf.DUMMYFUNCTION("""COMPUTED_VALUE"""),"Saipos Serviços De Software")</f>
        <v>Saipos Serviços De Software</v>
      </c>
      <c r="V2710" s="33">
        <f>IFERROR(__xludf.DUMMYFUNCTION("""COMPUTED_VALUE"""),0.3333333333333333)</f>
        <v>0.3333333333</v>
      </c>
      <c r="W2710" s="4" t="str">
        <f>IFERROR(__xludf.DUMMYFUNCTION("""COMPUTED_VALUE"""),"null")</f>
        <v>null</v>
      </c>
      <c r="X2710" s="33">
        <f>IFERROR(__xludf.DUMMYFUNCTION("""COMPUTED_VALUE"""),0.6666666666666666)</f>
        <v>0.6666666667</v>
      </c>
    </row>
    <row r="2711">
      <c r="K2711" s="4" t="str">
        <f>IFERROR(__xludf.DUMMYFUNCTION("""COMPUTED_VALUE"""),"DROGARIAS GERIBA")</f>
        <v>DROGARIAS GERIBA</v>
      </c>
      <c r="L2711" s="32">
        <f>IFERROR(__xludf.DUMMYFUNCTION("""COMPUTED_VALUE"""),3.0)</f>
        <v>3</v>
      </c>
      <c r="M2711" s="4" t="str">
        <f>IFERROR(__xludf.DUMMYFUNCTION("""COMPUTED_VALUE"""),"null")</f>
        <v>null</v>
      </c>
      <c r="N2711" s="33">
        <f>IFERROR(__xludf.DUMMYFUNCTION("""COMPUTED_VALUE"""),0.6666666666666666)</f>
        <v>0.6666666667</v>
      </c>
      <c r="O2711" s="4" t="str">
        <f>IFERROR(__xludf.DUMMYFUNCTION("""COMPUTED_VALUE"""),"null")</f>
        <v>null</v>
      </c>
      <c r="P2711" s="33">
        <f>IFERROR(__xludf.DUMMYFUNCTION("""COMPUTED_VALUE"""),0.6666666666666666)</f>
        <v>0.6666666667</v>
      </c>
      <c r="Q2711" s="4" t="str">
        <f>IFERROR(__xludf.DUMMYFUNCTION("""COMPUTED_VALUE"""),"null")</f>
        <v>null</v>
      </c>
      <c r="R2711" s="33">
        <f>IFERROR(__xludf.DUMMYFUNCTION("""COMPUTED_VALUE"""),0.6666666666666666)</f>
        <v>0.6666666667</v>
      </c>
      <c r="S2711" s="4" t="str">
        <f>IFERROR(__xludf.DUMMYFUNCTION("""COMPUTED_VALUE"""),"N/A (Not found)")</f>
        <v>N/A (Not found)</v>
      </c>
      <c r="T2711" s="33">
        <f>IFERROR(__xludf.DUMMYFUNCTION("""COMPUTED_VALUE"""),1.0)</f>
        <v>1</v>
      </c>
      <c r="U2711" s="4" t="str">
        <f>IFERROR(__xludf.DUMMYFUNCTION("""COMPUTED_VALUE"""),"N/A (Not found)")</f>
        <v>N/A (Not found)</v>
      </c>
      <c r="V2711" s="33">
        <f>IFERROR(__xludf.DUMMYFUNCTION("""COMPUTED_VALUE"""),1.0)</f>
        <v>1</v>
      </c>
      <c r="W2711" s="4" t="str">
        <f>IFERROR(__xludf.DUMMYFUNCTION("""COMPUTED_VALUE"""),"N/A (Not found)")</f>
        <v>N/A (Not found)</v>
      </c>
      <c r="X2711" s="33">
        <f>IFERROR(__xludf.DUMMYFUNCTION("""COMPUTED_VALUE"""),1.0)</f>
        <v>1</v>
      </c>
    </row>
    <row r="2712">
      <c r="K2712" s="4" t="str">
        <f>IFERROR(__xludf.DUMMYFUNCTION("""COMPUTED_VALUE"""),"MARCELOS DOG")</f>
        <v>MARCELOS DOG</v>
      </c>
      <c r="L2712" s="32">
        <f>IFERROR(__xludf.DUMMYFUNCTION("""COMPUTED_VALUE"""),3.0)</f>
        <v>3</v>
      </c>
      <c r="M2712" s="4" t="str">
        <f>IFERROR(__xludf.DUMMYFUNCTION("""COMPUTED_VALUE"""),"null")</f>
        <v>null</v>
      </c>
      <c r="N2712" s="33">
        <f>IFERROR(__xludf.DUMMYFUNCTION("""COMPUTED_VALUE"""),0.6666666666666666)</f>
        <v>0.6666666667</v>
      </c>
      <c r="O2712" s="4" t="str">
        <f>IFERROR(__xludf.DUMMYFUNCTION("""COMPUTED_VALUE"""),"null")</f>
        <v>null</v>
      </c>
      <c r="P2712" s="33">
        <f>IFERROR(__xludf.DUMMYFUNCTION("""COMPUTED_VALUE"""),0.6666666666666666)</f>
        <v>0.6666666667</v>
      </c>
      <c r="Q2712" s="4" t="str">
        <f>IFERROR(__xludf.DUMMYFUNCTION("""COMPUTED_VALUE"""),"null")</f>
        <v>null</v>
      </c>
      <c r="R2712" s="33">
        <f>IFERROR(__xludf.DUMMYFUNCTION("""COMPUTED_VALUE"""),0.3333333333333333)</f>
        <v>0.3333333333</v>
      </c>
      <c r="S2712" s="4" t="str">
        <f>IFERROR(__xludf.DUMMYFUNCTION("""COMPUTED_VALUE"""),"null")</f>
        <v>null</v>
      </c>
      <c r="T2712" s="33">
        <f>IFERROR(__xludf.DUMMYFUNCTION("""COMPUTED_VALUE"""),0.3333333333333333)</f>
        <v>0.3333333333</v>
      </c>
      <c r="U2712" s="4" t="str">
        <f>IFERROR(__xludf.DUMMYFUNCTION("""COMPUTED_VALUE"""),"Jaime Eugenio Informatica")</f>
        <v>Jaime Eugenio Informatica</v>
      </c>
      <c r="V2712" s="33">
        <f>IFERROR(__xludf.DUMMYFUNCTION("""COMPUTED_VALUE"""),0.3333333333333333)</f>
        <v>0.3333333333</v>
      </c>
      <c r="W2712" s="4" t="str">
        <f>IFERROR(__xludf.DUMMYFUNCTION("""COMPUTED_VALUE"""),"Jaime Eugenio Informatica")</f>
        <v>Jaime Eugenio Informatica</v>
      </c>
      <c r="X2712" s="33">
        <f>IFERROR(__xludf.DUMMYFUNCTION("""COMPUTED_VALUE"""),0.3333333333333333)</f>
        <v>0.3333333333</v>
      </c>
    </row>
    <row r="2713">
      <c r="K2713" s="4" t="str">
        <f>IFERROR(__xludf.DUMMYFUNCTION("""COMPUTED_VALUE"""),"ROYAL PARMA - PARMEGIANAS MASSAS")</f>
        <v>ROYAL PARMA - PARMEGIANAS MASSAS</v>
      </c>
      <c r="L2713" s="32">
        <f>IFERROR(__xludf.DUMMYFUNCTION("""COMPUTED_VALUE"""),3.0)</f>
        <v>3</v>
      </c>
      <c r="M2713" s="4" t="str">
        <f>IFERROR(__xludf.DUMMYFUNCTION("""COMPUTED_VALUE"""),"null")</f>
        <v>null</v>
      </c>
      <c r="N2713" s="33">
        <f>IFERROR(__xludf.DUMMYFUNCTION("""COMPUTED_VALUE"""),1.0)</f>
        <v>1</v>
      </c>
      <c r="O2713" s="4" t="str">
        <f>IFERROR(__xludf.DUMMYFUNCTION("""COMPUTED_VALUE"""),"Parseint Desenvolvimento De Sistemas Ltda")</f>
        <v>Parseint Desenvolvimento De Sistemas Ltda</v>
      </c>
      <c r="P2713" s="33">
        <f>IFERROR(__xludf.DUMMYFUNCTION("""COMPUTED_VALUE"""),0.6666666666666666)</f>
        <v>0.6666666667</v>
      </c>
      <c r="Q2713" s="4" t="str">
        <f>IFERROR(__xludf.DUMMYFUNCTION("""COMPUTED_VALUE"""),"Parseint Desenvolvimento De Sistemas Ltda")</f>
        <v>Parseint Desenvolvimento De Sistemas Ltda</v>
      </c>
      <c r="R2713" s="33">
        <f>IFERROR(__xludf.DUMMYFUNCTION("""COMPUTED_VALUE"""),0.6666666666666666)</f>
        <v>0.6666666667</v>
      </c>
      <c r="S2713" s="4" t="str">
        <f>IFERROR(__xludf.DUMMYFUNCTION("""COMPUTED_VALUE"""),"Parseint Desenvolvimento De Sistemas Ltda")</f>
        <v>Parseint Desenvolvimento De Sistemas Ltda</v>
      </c>
      <c r="T2713" s="33">
        <f>IFERROR(__xludf.DUMMYFUNCTION("""COMPUTED_VALUE"""),1.0)</f>
        <v>1</v>
      </c>
      <c r="U2713" s="4" t="str">
        <f>IFERROR(__xludf.DUMMYFUNCTION("""COMPUTED_VALUE"""),"Parseint Desenvolvimento De Sistemas Ltda")</f>
        <v>Parseint Desenvolvimento De Sistemas Ltda</v>
      </c>
      <c r="V2713" s="33">
        <f>IFERROR(__xludf.DUMMYFUNCTION("""COMPUTED_VALUE"""),1.0)</f>
        <v>1</v>
      </c>
      <c r="W2713" s="4" t="str">
        <f>IFERROR(__xludf.DUMMYFUNCTION("""COMPUTED_VALUE"""),"Parseint Desenvolvimento De Sistemas Ltda")</f>
        <v>Parseint Desenvolvimento De Sistemas Ltda</v>
      </c>
      <c r="X2713" s="33">
        <f>IFERROR(__xludf.DUMMYFUNCTION("""COMPUTED_VALUE"""),0.6666666666666666)</f>
        <v>0.6666666667</v>
      </c>
    </row>
    <row r="2714">
      <c r="K2714" s="4" t="str">
        <f>IFERROR(__xludf.DUMMYFUNCTION("""COMPUTED_VALUE"""),"ARTESANO")</f>
        <v>ARTESANO</v>
      </c>
      <c r="L2714" s="32">
        <f>IFERROR(__xludf.DUMMYFUNCTION("""COMPUTED_VALUE"""),3.0)</f>
        <v>3</v>
      </c>
      <c r="M2714" s="4" t="str">
        <f>IFERROR(__xludf.DUMMYFUNCTION("""COMPUTED_VALUE"""),"Syslogica - Novo Conceito Em Software")</f>
        <v>Syslogica - Novo Conceito Em Software</v>
      </c>
      <c r="N2714" s="33">
        <f>IFERROR(__xludf.DUMMYFUNCTION("""COMPUTED_VALUE"""),0.3333333333333333)</f>
        <v>0.3333333333</v>
      </c>
      <c r="O2714" s="4" t="str">
        <f>IFERROR(__xludf.DUMMYFUNCTION("""COMPUTED_VALUE"""),"Syslogica - Novo Conceito Em Software")</f>
        <v>Syslogica - Novo Conceito Em Software</v>
      </c>
      <c r="P2714" s="33">
        <f>IFERROR(__xludf.DUMMYFUNCTION("""COMPUTED_VALUE"""),0.3333333333333333)</f>
        <v>0.3333333333</v>
      </c>
      <c r="Q2714" s="4" t="str">
        <f>IFERROR(__xludf.DUMMYFUNCTION("""COMPUTED_VALUE"""),"Syslogica - Novo Conceito Em Software")</f>
        <v>Syslogica - Novo Conceito Em Software</v>
      </c>
      <c r="R2714" s="33">
        <f>IFERROR(__xludf.DUMMYFUNCTION("""COMPUTED_VALUE"""),0.3333333333333333)</f>
        <v>0.3333333333</v>
      </c>
      <c r="S2714" s="4" t="str">
        <f>IFERROR(__xludf.DUMMYFUNCTION("""COMPUTED_VALUE"""),"Syslogica - Novo Conceito Em Software")</f>
        <v>Syslogica - Novo Conceito Em Software</v>
      </c>
      <c r="T2714" s="33">
        <f>IFERROR(__xludf.DUMMYFUNCTION("""COMPUTED_VALUE"""),0.3333333333333333)</f>
        <v>0.3333333333</v>
      </c>
      <c r="U2714" s="4" t="str">
        <f>IFERROR(__xludf.DUMMYFUNCTION("""COMPUTED_VALUE"""),"Syslogica - Novo Conceito Em Software")</f>
        <v>Syslogica - Novo Conceito Em Software</v>
      </c>
      <c r="V2714" s="33">
        <f>IFERROR(__xludf.DUMMYFUNCTION("""COMPUTED_VALUE"""),0.3333333333333333)</f>
        <v>0.3333333333</v>
      </c>
      <c r="W2714" s="4" t="str">
        <f>IFERROR(__xludf.DUMMYFUNCTION("""COMPUTED_VALUE"""),"Syslogica - Novo Conceito Em Software")</f>
        <v>Syslogica - Novo Conceito Em Software</v>
      </c>
      <c r="X2714" s="33">
        <f>IFERROR(__xludf.DUMMYFUNCTION("""COMPUTED_VALUE"""),0.3333333333333333)</f>
        <v>0.3333333333</v>
      </c>
    </row>
    <row r="2715">
      <c r="K2715" s="4" t="str">
        <f>IFERROR(__xludf.DUMMYFUNCTION("""COMPUTED_VALUE"""),"DBURGER")</f>
        <v>DBURGER</v>
      </c>
      <c r="L2715" s="32">
        <f>IFERROR(__xludf.DUMMYFUNCTION("""COMPUTED_VALUE"""),3.0)</f>
        <v>3</v>
      </c>
      <c r="M2715" s="4" t="str">
        <f>IFERROR(__xludf.DUMMYFUNCTION("""COMPUTED_VALUE"""),"Mp Multipedidos")</f>
        <v>Mp Multipedidos</v>
      </c>
      <c r="N2715" s="33">
        <f>IFERROR(__xludf.DUMMYFUNCTION("""COMPUTED_VALUE"""),0.3333333333333333)</f>
        <v>0.3333333333</v>
      </c>
      <c r="O2715" s="4" t="str">
        <f>IFERROR(__xludf.DUMMYFUNCTION("""COMPUTED_VALUE"""),"Mp Multipedidos")</f>
        <v>Mp Multipedidos</v>
      </c>
      <c r="P2715" s="33">
        <f>IFERROR(__xludf.DUMMYFUNCTION("""COMPUTED_VALUE"""),0.3333333333333333)</f>
        <v>0.3333333333</v>
      </c>
      <c r="Q2715" s="4" t="str">
        <f>IFERROR(__xludf.DUMMYFUNCTION("""COMPUTED_VALUE"""),"Saipos Serviços De Software")</f>
        <v>Saipos Serviços De Software</v>
      </c>
      <c r="R2715" s="33">
        <f>IFERROR(__xludf.DUMMYFUNCTION("""COMPUTED_VALUE"""),0.6666666666666666)</f>
        <v>0.6666666667</v>
      </c>
      <c r="S2715" s="4" t="str">
        <f>IFERROR(__xludf.DUMMYFUNCTION("""COMPUTED_VALUE"""),"Saipos Serviços De Software")</f>
        <v>Saipos Serviços De Software</v>
      </c>
      <c r="T2715" s="33">
        <f>IFERROR(__xludf.DUMMYFUNCTION("""COMPUTED_VALUE"""),0.6666666666666666)</f>
        <v>0.6666666667</v>
      </c>
      <c r="U2715" s="4" t="str">
        <f>IFERROR(__xludf.DUMMYFUNCTION("""COMPUTED_VALUE"""),"Saipos Serviços De Software")</f>
        <v>Saipos Serviços De Software</v>
      </c>
      <c r="V2715" s="33">
        <f>IFERROR(__xludf.DUMMYFUNCTION("""COMPUTED_VALUE"""),0.6666666666666666)</f>
        <v>0.6666666667</v>
      </c>
      <c r="W2715" s="4" t="str">
        <f>IFERROR(__xludf.DUMMYFUNCTION("""COMPUTED_VALUE"""),"Saipos Serviços De Software")</f>
        <v>Saipos Serviços De Software</v>
      </c>
      <c r="X2715" s="33">
        <f>IFERROR(__xludf.DUMMYFUNCTION("""COMPUTED_VALUE"""),0.6666666666666666)</f>
        <v>0.6666666667</v>
      </c>
    </row>
    <row r="2716">
      <c r="K2716" s="4" t="str">
        <f>IFERROR(__xludf.DUMMYFUNCTION("""COMPUTED_VALUE"""),"CANTINHO DOCE")</f>
        <v>CANTINHO DOCE</v>
      </c>
      <c r="L2716" s="32">
        <f>IFERROR(__xludf.DUMMYFUNCTION("""COMPUTED_VALUE"""),3.0)</f>
        <v>3</v>
      </c>
      <c r="M2716" s="4" t="str">
        <f>IFERROR(__xludf.DUMMYFUNCTION("""COMPUTED_VALUE"""),"null")</f>
        <v>null</v>
      </c>
      <c r="N2716" s="33">
        <f>IFERROR(__xludf.DUMMYFUNCTION("""COMPUTED_VALUE"""),0.3333333333333333)</f>
        <v>0.3333333333</v>
      </c>
      <c r="O2716" s="4" t="str">
        <f>IFERROR(__xludf.DUMMYFUNCTION("""COMPUTED_VALUE"""),"null")</f>
        <v>null</v>
      </c>
      <c r="P2716" s="33">
        <f>IFERROR(__xludf.DUMMYFUNCTION("""COMPUTED_VALUE"""),0.6666666666666666)</f>
        <v>0.6666666667</v>
      </c>
      <c r="Q2716" s="4" t="str">
        <f>IFERROR(__xludf.DUMMYFUNCTION("""COMPUTED_VALUE"""),"null")</f>
        <v>null</v>
      </c>
      <c r="R2716" s="33">
        <f>IFERROR(__xludf.DUMMYFUNCTION("""COMPUTED_VALUE"""),1.0)</f>
        <v>1</v>
      </c>
      <c r="S2716" s="4" t="str">
        <f>IFERROR(__xludf.DUMMYFUNCTION("""COMPUTED_VALUE"""),"null")</f>
        <v>null</v>
      </c>
      <c r="T2716" s="33">
        <f>IFERROR(__xludf.DUMMYFUNCTION("""COMPUTED_VALUE"""),0.3333333333333333)</f>
        <v>0.3333333333</v>
      </c>
      <c r="U2716" s="4" t="str">
        <f>IFERROR(__xludf.DUMMYFUNCTION("""COMPUTED_VALUE"""),"null")</f>
        <v>null</v>
      </c>
      <c r="V2716" s="33">
        <f>IFERROR(__xludf.DUMMYFUNCTION("""COMPUTED_VALUE"""),0.6666666666666666)</f>
        <v>0.6666666667</v>
      </c>
      <c r="W2716" s="4" t="str">
        <f>IFERROR(__xludf.DUMMYFUNCTION("""COMPUTED_VALUE"""),"Instadelivery")</f>
        <v>Instadelivery</v>
      </c>
      <c r="X2716" s="33">
        <f>IFERROR(__xludf.DUMMYFUNCTION("""COMPUTED_VALUE"""),0.3333333333333333)</f>
        <v>0.3333333333</v>
      </c>
    </row>
    <row r="2717">
      <c r="K2717" s="4" t="str">
        <f>IFERROR(__xludf.DUMMYFUNCTION("""COMPUTED_VALUE"""),"FINNISSIMA PIZZARIA DELIVERY")</f>
        <v>FINNISSIMA PIZZARIA DELIVERY</v>
      </c>
      <c r="L2717" s="32">
        <f>IFERROR(__xludf.DUMMYFUNCTION("""COMPUTED_VALUE"""),3.0)</f>
        <v>3</v>
      </c>
      <c r="M2717" s="4" t="str">
        <f>IFERROR(__xludf.DUMMYFUNCTION("""COMPUTED_VALUE"""),"null")</f>
        <v>null</v>
      </c>
      <c r="N2717" s="33">
        <f>IFERROR(__xludf.DUMMYFUNCTION("""COMPUTED_VALUE"""),0.3333333333333333)</f>
        <v>0.3333333333</v>
      </c>
      <c r="O2717" s="4" t="str">
        <f>IFERROR(__xludf.DUMMYFUNCTION("""COMPUTED_VALUE"""),"null")</f>
        <v>null</v>
      </c>
      <c r="P2717" s="33">
        <f>IFERROR(__xludf.DUMMYFUNCTION("""COMPUTED_VALUE"""),0.6666666666666666)</f>
        <v>0.6666666667</v>
      </c>
      <c r="Q2717" s="4" t="str">
        <f>IFERROR(__xludf.DUMMYFUNCTION("""COMPUTED_VALUE"""),"null")</f>
        <v>null</v>
      </c>
      <c r="R2717" s="33">
        <f>IFERROR(__xludf.DUMMYFUNCTION("""COMPUTED_VALUE"""),0.6666666666666666)</f>
        <v>0.6666666667</v>
      </c>
      <c r="S2717" s="4" t="str">
        <f>IFERROR(__xludf.DUMMYFUNCTION("""COMPUTED_VALUE"""),"Saipos Serviços De Software")</f>
        <v>Saipos Serviços De Software</v>
      </c>
      <c r="T2717" s="33">
        <f>IFERROR(__xludf.DUMMYFUNCTION("""COMPUTED_VALUE"""),0.6666666666666666)</f>
        <v>0.6666666667</v>
      </c>
      <c r="U2717" s="4" t="str">
        <f>IFERROR(__xludf.DUMMYFUNCTION("""COMPUTED_VALUE"""),"Saipos Serviços De Software")</f>
        <v>Saipos Serviços De Software</v>
      </c>
      <c r="V2717" s="33">
        <f>IFERROR(__xludf.DUMMYFUNCTION("""COMPUTED_VALUE"""),1.0)</f>
        <v>1</v>
      </c>
      <c r="W2717" s="4" t="str">
        <f>IFERROR(__xludf.DUMMYFUNCTION("""COMPUTED_VALUE"""),"Saipos Serviços De Software")</f>
        <v>Saipos Serviços De Software</v>
      </c>
      <c r="X2717" s="33">
        <f>IFERROR(__xludf.DUMMYFUNCTION("""COMPUTED_VALUE"""),1.0)</f>
        <v>1</v>
      </c>
    </row>
    <row r="2718">
      <c r="K2718" s="4" t="str">
        <f>IFERROR(__xludf.DUMMYFUNCTION("""COMPUTED_VALUE"""),"PIZZA DO JEGUE")</f>
        <v>PIZZA DO JEGUE</v>
      </c>
      <c r="L2718" s="32">
        <f>IFERROR(__xludf.DUMMYFUNCTION("""COMPUTED_VALUE"""),3.0)</f>
        <v>3</v>
      </c>
      <c r="M2718" s="4" t="str">
        <f>IFERROR(__xludf.DUMMYFUNCTION("""COMPUTED_VALUE"""),"Saipos Serviços De Software")</f>
        <v>Saipos Serviços De Software</v>
      </c>
      <c r="N2718" s="33">
        <f>IFERROR(__xludf.DUMMYFUNCTION("""COMPUTED_VALUE"""),0.75)</f>
        <v>0.75</v>
      </c>
      <c r="O2718" s="4" t="str">
        <f>IFERROR(__xludf.DUMMYFUNCTION("""COMPUTED_VALUE"""),"Saipos Serviços De Software")</f>
        <v>Saipos Serviços De Software</v>
      </c>
      <c r="P2718" s="33">
        <f>IFERROR(__xludf.DUMMYFUNCTION("""COMPUTED_VALUE"""),0.75)</f>
        <v>0.75</v>
      </c>
      <c r="Q2718" s="4" t="str">
        <f>IFERROR(__xludf.DUMMYFUNCTION("""COMPUTED_VALUE"""),"Saipos Serviços De Software")</f>
        <v>Saipos Serviços De Software</v>
      </c>
      <c r="R2718" s="33">
        <f>IFERROR(__xludf.DUMMYFUNCTION("""COMPUTED_VALUE"""),0.75)</f>
        <v>0.75</v>
      </c>
      <c r="S2718" s="4" t="str">
        <f>IFERROR(__xludf.DUMMYFUNCTION("""COMPUTED_VALUE"""),"Saipos Serviços De Software")</f>
        <v>Saipos Serviços De Software</v>
      </c>
      <c r="T2718" s="33">
        <f>IFERROR(__xludf.DUMMYFUNCTION("""COMPUTED_VALUE"""),0.75)</f>
        <v>0.75</v>
      </c>
      <c r="U2718" s="4" t="str">
        <f>IFERROR(__xludf.DUMMYFUNCTION("""COMPUTED_VALUE"""),"Saipos Serviços De Software")</f>
        <v>Saipos Serviços De Software</v>
      </c>
      <c r="V2718" s="33">
        <f>IFERROR(__xludf.DUMMYFUNCTION("""COMPUTED_VALUE"""),0.75)</f>
        <v>0.75</v>
      </c>
      <c r="W2718" s="4" t="str">
        <f>IFERROR(__xludf.DUMMYFUNCTION("""COMPUTED_VALUE"""),"Saipos Serviços De Software")</f>
        <v>Saipos Serviços De Software</v>
      </c>
      <c r="X2718" s="33">
        <f>IFERROR(__xludf.DUMMYFUNCTION("""COMPUTED_VALUE"""),1.0)</f>
        <v>1</v>
      </c>
    </row>
    <row r="2719">
      <c r="K2719" s="4" t="str">
        <f>IFERROR(__xludf.DUMMYFUNCTION("""COMPUTED_VALUE"""),"ACAIDERA")</f>
        <v>ACAIDERA</v>
      </c>
      <c r="L2719" s="32">
        <f>IFERROR(__xludf.DUMMYFUNCTION("""COMPUTED_VALUE"""),3.0)</f>
        <v>3</v>
      </c>
      <c r="M2719" s="4" t="str">
        <f>IFERROR(__xludf.DUMMYFUNCTION("""COMPUTED_VALUE"""),"Saipos Serviços De Software")</f>
        <v>Saipos Serviços De Software</v>
      </c>
      <c r="N2719" s="33">
        <f>IFERROR(__xludf.DUMMYFUNCTION("""COMPUTED_VALUE"""),0.3333333333333333)</f>
        <v>0.3333333333</v>
      </c>
      <c r="O2719" s="4" t="str">
        <f>IFERROR(__xludf.DUMMYFUNCTION("""COMPUTED_VALUE"""),"null")</f>
        <v>null</v>
      </c>
      <c r="P2719" s="33">
        <f>IFERROR(__xludf.DUMMYFUNCTION("""COMPUTED_VALUE"""),0.6666666666666666)</f>
        <v>0.6666666667</v>
      </c>
      <c r="Q2719" s="4" t="str">
        <f>IFERROR(__xludf.DUMMYFUNCTION("""COMPUTED_VALUE"""),"null")</f>
        <v>null</v>
      </c>
      <c r="R2719" s="33">
        <f>IFERROR(__xludf.DUMMYFUNCTION("""COMPUTED_VALUE"""),0.6666666666666666)</f>
        <v>0.6666666667</v>
      </c>
      <c r="S2719" s="4" t="str">
        <f>IFERROR(__xludf.DUMMYFUNCTION("""COMPUTED_VALUE"""),"Saipos Serviços De Software")</f>
        <v>Saipos Serviços De Software</v>
      </c>
      <c r="T2719" s="33">
        <f>IFERROR(__xludf.DUMMYFUNCTION("""COMPUTED_VALUE"""),0.3333333333333333)</f>
        <v>0.3333333333</v>
      </c>
      <c r="U2719" s="4" t="str">
        <f>IFERROR(__xludf.DUMMYFUNCTION("""COMPUTED_VALUE"""),"null")</f>
        <v>null</v>
      </c>
      <c r="V2719" s="33">
        <f>IFERROR(__xludf.DUMMYFUNCTION("""COMPUTED_VALUE"""),0.6666666666666666)</f>
        <v>0.6666666667</v>
      </c>
      <c r="W2719" s="4" t="str">
        <f>IFERROR(__xludf.DUMMYFUNCTION("""COMPUTED_VALUE"""),"Saipos Serviços De Software")</f>
        <v>Saipos Serviços De Software</v>
      </c>
      <c r="X2719" s="33">
        <f>IFERROR(__xludf.DUMMYFUNCTION("""COMPUTED_VALUE"""),0.3333333333333333)</f>
        <v>0.3333333333</v>
      </c>
    </row>
    <row r="2720">
      <c r="K2720" s="4" t="str">
        <f>IFERROR(__xludf.DUMMYFUNCTION("""COMPUTED_VALUE"""),"KAZOKU SUSHI")</f>
        <v>KAZOKU SUSHI</v>
      </c>
      <c r="L2720" s="32">
        <f>IFERROR(__xludf.DUMMYFUNCTION("""COMPUTED_VALUE"""),3.0)</f>
        <v>3</v>
      </c>
      <c r="M2720" s="4" t="str">
        <f>IFERROR(__xludf.DUMMYFUNCTION("""COMPUTED_VALUE"""),"null")</f>
        <v>null</v>
      </c>
      <c r="N2720" s="33">
        <f>IFERROR(__xludf.DUMMYFUNCTION("""COMPUTED_VALUE"""),0.6666666666666666)</f>
        <v>0.6666666667</v>
      </c>
      <c r="O2720" s="4" t="str">
        <f>IFERROR(__xludf.DUMMYFUNCTION("""COMPUTED_VALUE"""),"null")</f>
        <v>null</v>
      </c>
      <c r="P2720" s="33">
        <f>IFERROR(__xludf.DUMMYFUNCTION("""COMPUTED_VALUE"""),0.6666666666666666)</f>
        <v>0.6666666667</v>
      </c>
      <c r="Q2720" s="4" t="str">
        <f>IFERROR(__xludf.DUMMYFUNCTION("""COMPUTED_VALUE"""),"Brendi")</f>
        <v>Brendi</v>
      </c>
      <c r="R2720" s="33">
        <f>IFERROR(__xludf.DUMMYFUNCTION("""COMPUTED_VALUE"""),0.3333333333333333)</f>
        <v>0.3333333333</v>
      </c>
      <c r="S2720" s="4" t="str">
        <f>IFERROR(__xludf.DUMMYFUNCTION("""COMPUTED_VALUE"""),"Brendi")</f>
        <v>Brendi</v>
      </c>
      <c r="T2720" s="33">
        <f>IFERROR(__xludf.DUMMYFUNCTION("""COMPUTED_VALUE"""),0.3333333333333333)</f>
        <v>0.3333333333</v>
      </c>
      <c r="U2720" s="4" t="str">
        <f>IFERROR(__xludf.DUMMYFUNCTION("""COMPUTED_VALUE"""),"Brendi")</f>
        <v>Brendi</v>
      </c>
      <c r="V2720" s="33">
        <f>IFERROR(__xludf.DUMMYFUNCTION("""COMPUTED_VALUE"""),0.3333333333333333)</f>
        <v>0.3333333333</v>
      </c>
      <c r="W2720" s="4" t="str">
        <f>IFERROR(__xludf.DUMMYFUNCTION("""COMPUTED_VALUE"""),"Brendi")</f>
        <v>Brendi</v>
      </c>
      <c r="X2720" s="33">
        <f>IFERROR(__xludf.DUMMYFUNCTION("""COMPUTED_VALUE"""),0.3333333333333333)</f>
        <v>0.3333333333</v>
      </c>
    </row>
    <row r="2721">
      <c r="K2721" s="4" t="str">
        <f>IFERROR(__xludf.DUMMYFUNCTION("""COMPUTED_VALUE"""),"CENTRAL DO ACAI")</f>
        <v>CENTRAL DO ACAI</v>
      </c>
      <c r="L2721" s="32">
        <f>IFERROR(__xludf.DUMMYFUNCTION("""COMPUTED_VALUE"""),3.0)</f>
        <v>3</v>
      </c>
      <c r="M2721" s="4" t="str">
        <f>IFERROR(__xludf.DUMMYFUNCTION("""COMPUTED_VALUE"""),"Anota Ai Solucoes Digitais S/a")</f>
        <v>Anota Ai Solucoes Digitais S/a</v>
      </c>
      <c r="N2721" s="33">
        <f>IFERROR(__xludf.DUMMYFUNCTION("""COMPUTED_VALUE"""),0.3333333333333333)</f>
        <v>0.3333333333</v>
      </c>
      <c r="O2721" s="4" t="str">
        <f>IFERROR(__xludf.DUMMYFUNCTION("""COMPUTED_VALUE"""),"Anota Ai Solucoes Digitais S/a")</f>
        <v>Anota Ai Solucoes Digitais S/a</v>
      </c>
      <c r="P2721" s="33">
        <f>IFERROR(__xludf.DUMMYFUNCTION("""COMPUTED_VALUE"""),0.3333333333333333)</f>
        <v>0.3333333333</v>
      </c>
      <c r="Q2721" s="4" t="str">
        <f>IFERROR(__xludf.DUMMYFUNCTION("""COMPUTED_VALUE"""),"Anota Ai Solucoes Digitais S/a")</f>
        <v>Anota Ai Solucoes Digitais S/a</v>
      </c>
      <c r="R2721" s="33">
        <f>IFERROR(__xludf.DUMMYFUNCTION("""COMPUTED_VALUE"""),0.3333333333333333)</f>
        <v>0.3333333333</v>
      </c>
      <c r="S2721" s="4" t="str">
        <f>IFERROR(__xludf.DUMMYFUNCTION("""COMPUTED_VALUE"""),"Anota Ai Solucoes Digitais S/a")</f>
        <v>Anota Ai Solucoes Digitais S/a</v>
      </c>
      <c r="T2721" s="33">
        <f>IFERROR(__xludf.DUMMYFUNCTION("""COMPUTED_VALUE"""),0.3333333333333333)</f>
        <v>0.3333333333</v>
      </c>
      <c r="U2721" s="4" t="str">
        <f>IFERROR(__xludf.DUMMYFUNCTION("""COMPUTED_VALUE"""),"Anota Ai Solucoes Digitais S/a")</f>
        <v>Anota Ai Solucoes Digitais S/a</v>
      </c>
      <c r="V2721" s="33">
        <f>IFERROR(__xludf.DUMMYFUNCTION("""COMPUTED_VALUE"""),0.3333333333333333)</f>
        <v>0.3333333333</v>
      </c>
      <c r="W2721" s="4" t="str">
        <f>IFERROR(__xludf.DUMMYFUNCTION("""COMPUTED_VALUE"""),"Anota Ai Solucoes Digitais S/a")</f>
        <v>Anota Ai Solucoes Digitais S/a</v>
      </c>
      <c r="X2721" s="33">
        <f>IFERROR(__xludf.DUMMYFUNCTION("""COMPUTED_VALUE"""),0.3333333333333333)</f>
        <v>0.3333333333</v>
      </c>
    </row>
    <row r="2722">
      <c r="K2722" s="4" t="str">
        <f>IFERROR(__xludf.DUMMYFUNCTION("""COMPUTED_VALUE"""),"COSTELAS BURGUER")</f>
        <v>COSTELAS BURGUER</v>
      </c>
      <c r="L2722" s="32">
        <f>IFERROR(__xludf.DUMMYFUNCTION("""COMPUTED_VALUE"""),3.0)</f>
        <v>3</v>
      </c>
      <c r="M2722" s="4" t="str">
        <f>IFERROR(__xludf.DUMMYFUNCTION("""COMPUTED_VALUE"""),"null")</f>
        <v>null</v>
      </c>
      <c r="N2722" s="33">
        <f>IFERROR(__xludf.DUMMYFUNCTION("""COMPUTED_VALUE"""),0.6666666666666666)</f>
        <v>0.6666666667</v>
      </c>
      <c r="O2722" s="4" t="str">
        <f>IFERROR(__xludf.DUMMYFUNCTION("""COMPUTED_VALUE"""),"null")</f>
        <v>null</v>
      </c>
      <c r="P2722" s="33">
        <f>IFERROR(__xludf.DUMMYFUNCTION("""COMPUTED_VALUE"""),0.3333333333333333)</f>
        <v>0.3333333333</v>
      </c>
      <c r="Q2722" s="4" t="str">
        <f>IFERROR(__xludf.DUMMYFUNCTION("""COMPUTED_VALUE"""),"Cardápio Web")</f>
        <v>Cardápio Web</v>
      </c>
      <c r="R2722" s="33">
        <f>IFERROR(__xludf.DUMMYFUNCTION("""COMPUTED_VALUE"""),0.6666666666666666)</f>
        <v>0.6666666667</v>
      </c>
      <c r="S2722" s="4" t="str">
        <f>IFERROR(__xludf.DUMMYFUNCTION("""COMPUTED_VALUE"""),"null")</f>
        <v>null</v>
      </c>
      <c r="T2722" s="33">
        <f>IFERROR(__xludf.DUMMYFUNCTION("""COMPUTED_VALUE"""),0.3333333333333333)</f>
        <v>0.3333333333</v>
      </c>
      <c r="U2722" s="4" t="str">
        <f>IFERROR(__xludf.DUMMYFUNCTION("""COMPUTED_VALUE"""),"Cardápio Web")</f>
        <v>Cardápio Web</v>
      </c>
      <c r="V2722" s="33">
        <f>IFERROR(__xludf.DUMMYFUNCTION("""COMPUTED_VALUE"""),0.6666666666666666)</f>
        <v>0.6666666667</v>
      </c>
      <c r="W2722" s="4" t="str">
        <f>IFERROR(__xludf.DUMMYFUNCTION("""COMPUTED_VALUE"""),"null")</f>
        <v>null</v>
      </c>
      <c r="X2722" s="33">
        <f>IFERROR(__xludf.DUMMYFUNCTION("""COMPUTED_VALUE"""),0.3333333333333333)</f>
        <v>0.3333333333</v>
      </c>
    </row>
    <row r="2723">
      <c r="K2723" s="4" t="str">
        <f>IFERROR(__xludf.DUMMYFUNCTION("""COMPUTED_VALUE"""),"PASTELITOS")</f>
        <v>PASTELITOS</v>
      </c>
      <c r="L2723" s="32">
        <f>IFERROR(__xludf.DUMMYFUNCTION("""COMPUTED_VALUE"""),3.0)</f>
        <v>3</v>
      </c>
      <c r="M2723" s="4" t="str">
        <f>IFERROR(__xludf.DUMMYFUNCTION("""COMPUTED_VALUE"""),"Anota Ai Solucoes Digitais S/a")</f>
        <v>Anota Ai Solucoes Digitais S/a</v>
      </c>
      <c r="N2723" s="33">
        <f>IFERROR(__xludf.DUMMYFUNCTION("""COMPUTED_VALUE"""),0.6666666666666666)</f>
        <v>0.6666666667</v>
      </c>
      <c r="O2723" s="4" t="str">
        <f>IFERROR(__xludf.DUMMYFUNCTION("""COMPUTED_VALUE"""),"Anota Ai Solucoes Digitais S/a")</f>
        <v>Anota Ai Solucoes Digitais S/a</v>
      </c>
      <c r="P2723" s="33">
        <f>IFERROR(__xludf.DUMMYFUNCTION("""COMPUTED_VALUE"""),0.6666666666666666)</f>
        <v>0.6666666667</v>
      </c>
      <c r="Q2723" s="4" t="str">
        <f>IFERROR(__xludf.DUMMYFUNCTION("""COMPUTED_VALUE"""),"Anota Ai Solucoes Digitais S/a")</f>
        <v>Anota Ai Solucoes Digitais S/a</v>
      </c>
      <c r="R2723" s="33">
        <f>IFERROR(__xludf.DUMMYFUNCTION("""COMPUTED_VALUE"""),0.6666666666666666)</f>
        <v>0.6666666667</v>
      </c>
      <c r="S2723" s="4" t="str">
        <f>IFERROR(__xludf.DUMMYFUNCTION("""COMPUTED_VALUE"""),"Anota Ai Solucoes Digitais S/a")</f>
        <v>Anota Ai Solucoes Digitais S/a</v>
      </c>
      <c r="T2723" s="33">
        <f>IFERROR(__xludf.DUMMYFUNCTION("""COMPUTED_VALUE"""),0.6666666666666666)</f>
        <v>0.6666666667</v>
      </c>
      <c r="U2723" s="4" t="str">
        <f>IFERROR(__xludf.DUMMYFUNCTION("""COMPUTED_VALUE"""),"Anota Ai Solucoes Digitais S/a")</f>
        <v>Anota Ai Solucoes Digitais S/a</v>
      </c>
      <c r="V2723" s="33">
        <f>IFERROR(__xludf.DUMMYFUNCTION("""COMPUTED_VALUE"""),0.6666666666666666)</f>
        <v>0.6666666667</v>
      </c>
      <c r="W2723" s="4" t="str">
        <f>IFERROR(__xludf.DUMMYFUNCTION("""COMPUTED_VALUE"""),"Anota Ai Solucoes Digitais S/a")</f>
        <v>Anota Ai Solucoes Digitais S/a</v>
      </c>
      <c r="X2723" s="33">
        <f>IFERROR(__xludf.DUMMYFUNCTION("""COMPUTED_VALUE"""),0.6666666666666666)</f>
        <v>0.6666666667</v>
      </c>
    </row>
    <row r="2724">
      <c r="K2724" s="4" t="str">
        <f>IFERROR(__xludf.DUMMYFUNCTION("""COMPUTED_VALUE"""),"TCHE FRANGO FRITO")</f>
        <v>TCHE FRANGO FRITO</v>
      </c>
      <c r="L2724" s="32">
        <f>IFERROR(__xludf.DUMMYFUNCTION("""COMPUTED_VALUE"""),3.0)</f>
        <v>3</v>
      </c>
      <c r="M2724" s="4" t="str">
        <f>IFERROR(__xludf.DUMMYFUNCTION("""COMPUTED_VALUE"""),"Anota Ai Solucoes Digitais S/a")</f>
        <v>Anota Ai Solucoes Digitais S/a</v>
      </c>
      <c r="N2724" s="33">
        <f>IFERROR(__xludf.DUMMYFUNCTION("""COMPUTED_VALUE"""),0.6666666666666666)</f>
        <v>0.6666666667</v>
      </c>
      <c r="O2724" s="4" t="str">
        <f>IFERROR(__xludf.DUMMYFUNCTION("""COMPUTED_VALUE"""),"Anota Ai Solucoes Digitais S/a")</f>
        <v>Anota Ai Solucoes Digitais S/a</v>
      </c>
      <c r="P2724" s="33">
        <f>IFERROR(__xludf.DUMMYFUNCTION("""COMPUTED_VALUE"""),0.6666666666666666)</f>
        <v>0.6666666667</v>
      </c>
      <c r="Q2724" s="4" t="str">
        <f>IFERROR(__xludf.DUMMYFUNCTION("""COMPUTED_VALUE"""),"Anota Ai Solucoes Digitais S/a")</f>
        <v>Anota Ai Solucoes Digitais S/a</v>
      </c>
      <c r="R2724" s="33">
        <f>IFERROR(__xludf.DUMMYFUNCTION("""COMPUTED_VALUE"""),0.6666666666666666)</f>
        <v>0.6666666667</v>
      </c>
      <c r="S2724" s="4" t="str">
        <f>IFERROR(__xludf.DUMMYFUNCTION("""COMPUTED_VALUE"""),"Anota Ai Solucoes Digitais S/a")</f>
        <v>Anota Ai Solucoes Digitais S/a</v>
      </c>
      <c r="T2724" s="33">
        <f>IFERROR(__xludf.DUMMYFUNCTION("""COMPUTED_VALUE"""),0.6666666666666666)</f>
        <v>0.6666666667</v>
      </c>
      <c r="U2724" s="4" t="str">
        <f>IFERROR(__xludf.DUMMYFUNCTION("""COMPUTED_VALUE"""),"Anota Ai Solucoes Digitais S/a")</f>
        <v>Anota Ai Solucoes Digitais S/a</v>
      </c>
      <c r="V2724" s="33">
        <f>IFERROR(__xludf.DUMMYFUNCTION("""COMPUTED_VALUE"""),0.6666666666666666)</f>
        <v>0.6666666667</v>
      </c>
      <c r="W2724" s="4" t="str">
        <f>IFERROR(__xludf.DUMMYFUNCTION("""COMPUTED_VALUE"""),"Anota Ai Solucoes Digitais S/a")</f>
        <v>Anota Ai Solucoes Digitais S/a</v>
      </c>
      <c r="X2724" s="33">
        <f>IFERROR(__xludf.DUMMYFUNCTION("""COMPUTED_VALUE"""),0.6666666666666666)</f>
        <v>0.6666666667</v>
      </c>
    </row>
    <row r="2725">
      <c r="K2725" s="4" t="str">
        <f>IFERROR(__xludf.DUMMYFUNCTION("""COMPUTED_VALUE"""),"FAVERAL TEMAKERIA")</f>
        <v>FAVERAL TEMAKERIA</v>
      </c>
      <c r="L2725" s="32">
        <f>IFERROR(__xludf.DUMMYFUNCTION("""COMPUTED_VALUE"""),3.0)</f>
        <v>3</v>
      </c>
      <c r="M2725" s="4" t="str">
        <f>IFERROR(__xludf.DUMMYFUNCTION("""COMPUTED_VALUE"""),"Instadelivery")</f>
        <v>Instadelivery</v>
      </c>
      <c r="N2725" s="33">
        <f>IFERROR(__xludf.DUMMYFUNCTION("""COMPUTED_VALUE"""),0.3333333333333333)</f>
        <v>0.3333333333</v>
      </c>
      <c r="O2725" s="4" t="str">
        <f>IFERROR(__xludf.DUMMYFUNCTION("""COMPUTED_VALUE"""),"Instadelivery")</f>
        <v>Instadelivery</v>
      </c>
      <c r="P2725" s="33">
        <f>IFERROR(__xludf.DUMMYFUNCTION("""COMPUTED_VALUE"""),0.3333333333333333)</f>
        <v>0.3333333333</v>
      </c>
      <c r="Q2725" s="4" t="str">
        <f>IFERROR(__xludf.DUMMYFUNCTION("""COMPUTED_VALUE"""),"Instadelivery")</f>
        <v>Instadelivery</v>
      </c>
      <c r="R2725" s="33">
        <f>IFERROR(__xludf.DUMMYFUNCTION("""COMPUTED_VALUE"""),0.3333333333333333)</f>
        <v>0.3333333333</v>
      </c>
      <c r="S2725" s="4" t="str">
        <f>IFERROR(__xludf.DUMMYFUNCTION("""COMPUTED_VALUE"""),"Instadelivery")</f>
        <v>Instadelivery</v>
      </c>
      <c r="T2725" s="33">
        <f>IFERROR(__xludf.DUMMYFUNCTION("""COMPUTED_VALUE"""),0.3333333333333333)</f>
        <v>0.3333333333</v>
      </c>
      <c r="U2725" s="4" t="str">
        <f>IFERROR(__xludf.DUMMYFUNCTION("""COMPUTED_VALUE"""),"Instadelivery")</f>
        <v>Instadelivery</v>
      </c>
      <c r="V2725" s="33">
        <f>IFERROR(__xludf.DUMMYFUNCTION("""COMPUTED_VALUE"""),0.3333333333333333)</f>
        <v>0.3333333333</v>
      </c>
      <c r="W2725" s="4" t="str">
        <f>IFERROR(__xludf.DUMMYFUNCTION("""COMPUTED_VALUE"""),"Instadelivery")</f>
        <v>Instadelivery</v>
      </c>
      <c r="X2725" s="33">
        <f>IFERROR(__xludf.DUMMYFUNCTION("""COMPUTED_VALUE"""),0.3333333333333333)</f>
        <v>0.3333333333</v>
      </c>
    </row>
    <row r="2726">
      <c r="K2726" s="4" t="str">
        <f>IFERROR(__xludf.DUMMYFUNCTION("""COMPUTED_VALUE"""),"TOMATO PIZZARIA")</f>
        <v>TOMATO PIZZARIA</v>
      </c>
      <c r="L2726" s="32">
        <f>IFERROR(__xludf.DUMMYFUNCTION("""COMPUTED_VALUE"""),3.0)</f>
        <v>3</v>
      </c>
      <c r="M2726" s="4" t="str">
        <f>IFERROR(__xludf.DUMMYFUNCTION("""COMPUTED_VALUE"""),"Beefood - Sistema Para Restaurantes")</f>
        <v>Beefood - Sistema Para Restaurantes</v>
      </c>
      <c r="N2726" s="33">
        <f>IFERROR(__xludf.DUMMYFUNCTION("""COMPUTED_VALUE"""),0.3333333333333333)</f>
        <v>0.3333333333</v>
      </c>
      <c r="O2726" s="4" t="str">
        <f>IFERROR(__xludf.DUMMYFUNCTION("""COMPUTED_VALUE"""),"null")</f>
        <v>null</v>
      </c>
      <c r="P2726" s="33">
        <f>IFERROR(__xludf.DUMMYFUNCTION("""COMPUTED_VALUE"""),0.6666666666666666)</f>
        <v>0.6666666667</v>
      </c>
      <c r="Q2726" s="4" t="str">
        <f>IFERROR(__xludf.DUMMYFUNCTION("""COMPUTED_VALUE"""),"null")</f>
        <v>null</v>
      </c>
      <c r="R2726" s="33">
        <f>IFERROR(__xludf.DUMMYFUNCTION("""COMPUTED_VALUE"""),0.6666666666666666)</f>
        <v>0.6666666667</v>
      </c>
      <c r="S2726" s="4" t="str">
        <f>IFERROR(__xludf.DUMMYFUNCTION("""COMPUTED_VALUE"""),"null")</f>
        <v>null</v>
      </c>
      <c r="T2726" s="33">
        <f>IFERROR(__xludf.DUMMYFUNCTION("""COMPUTED_VALUE"""),1.0)</f>
        <v>1</v>
      </c>
      <c r="U2726" s="4" t="str">
        <f>IFERROR(__xludf.DUMMYFUNCTION("""COMPUTED_VALUE"""),"Beefood - Sistema Para Restaurantes")</f>
        <v>Beefood - Sistema Para Restaurantes</v>
      </c>
      <c r="V2726" s="33">
        <f>IFERROR(__xludf.DUMMYFUNCTION("""COMPUTED_VALUE"""),0.3333333333333333)</f>
        <v>0.3333333333</v>
      </c>
      <c r="W2726" s="4" t="str">
        <f>IFERROR(__xludf.DUMMYFUNCTION("""COMPUTED_VALUE"""),"Beefood - Sistema Para Restaurantes")</f>
        <v>Beefood - Sistema Para Restaurantes</v>
      </c>
      <c r="X2726" s="33">
        <f>IFERROR(__xludf.DUMMYFUNCTION("""COMPUTED_VALUE"""),0.3333333333333333)</f>
        <v>0.3333333333</v>
      </c>
    </row>
    <row r="2727">
      <c r="K2727" s="4" t="str">
        <f>IFERROR(__xludf.DUMMYFUNCTION("""COMPUTED_VALUE"""),"JOLO GELATO")</f>
        <v>JOLO GELATO</v>
      </c>
      <c r="L2727" s="32">
        <f>IFERROR(__xludf.DUMMYFUNCTION("""COMPUTED_VALUE"""),3.0)</f>
        <v>3</v>
      </c>
      <c r="M2727" s="4" t="str">
        <f>IFERROR(__xludf.DUMMYFUNCTION("""COMPUTED_VALUE"""),"Cheff Solutions Tecnologia Brasil")</f>
        <v>Cheff Solutions Tecnologia Brasil</v>
      </c>
      <c r="N2727" s="33">
        <f>IFERROR(__xludf.DUMMYFUNCTION("""COMPUTED_VALUE"""),1.0)</f>
        <v>1</v>
      </c>
      <c r="O2727" s="4" t="str">
        <f>IFERROR(__xludf.DUMMYFUNCTION("""COMPUTED_VALUE"""),"Cheff Solutions Tecnologia Brasil")</f>
        <v>Cheff Solutions Tecnologia Brasil</v>
      </c>
      <c r="P2727" s="33">
        <f>IFERROR(__xludf.DUMMYFUNCTION("""COMPUTED_VALUE"""),1.0)</f>
        <v>1</v>
      </c>
      <c r="Q2727" s="4" t="str">
        <f>IFERROR(__xludf.DUMMYFUNCTION("""COMPUTED_VALUE"""),"null")</f>
        <v>null</v>
      </c>
      <c r="R2727" s="33">
        <f>IFERROR(__xludf.DUMMYFUNCTION("""COMPUTED_VALUE"""),0.6666666666666666)</f>
        <v>0.6666666667</v>
      </c>
      <c r="S2727" s="4" t="str">
        <f>IFERROR(__xludf.DUMMYFUNCTION("""COMPUTED_VALUE"""),"Cheff Solutions Tecnologia Brasil")</f>
        <v>Cheff Solutions Tecnologia Brasil</v>
      </c>
      <c r="T2727" s="33">
        <f>IFERROR(__xludf.DUMMYFUNCTION("""COMPUTED_VALUE"""),1.0)</f>
        <v>1</v>
      </c>
      <c r="U2727" s="4" t="str">
        <f>IFERROR(__xludf.DUMMYFUNCTION("""COMPUTED_VALUE"""),"Cheff Solutions Tecnologia Brasil")</f>
        <v>Cheff Solutions Tecnologia Brasil</v>
      </c>
      <c r="V2727" s="33">
        <f>IFERROR(__xludf.DUMMYFUNCTION("""COMPUTED_VALUE"""),0.6666666666666666)</f>
        <v>0.6666666667</v>
      </c>
      <c r="W2727" s="4" t="str">
        <f>IFERROR(__xludf.DUMMYFUNCTION("""COMPUTED_VALUE"""),"null")</f>
        <v>null</v>
      </c>
      <c r="X2727" s="33">
        <f>IFERROR(__xludf.DUMMYFUNCTION("""COMPUTED_VALUE"""),0.6666666666666666)</f>
        <v>0.6666666667</v>
      </c>
    </row>
    <row r="2728">
      <c r="K2728" s="4" t="str">
        <f>IFERROR(__xludf.DUMMYFUNCTION("""COMPUTED_VALUE"""),"FARMACIA IMPERIAL")</f>
        <v>FARMACIA IMPERIAL</v>
      </c>
      <c r="L2728" s="32">
        <f>IFERROR(__xludf.DUMMYFUNCTION("""COMPUTED_VALUE"""),3.0)</f>
        <v>3</v>
      </c>
      <c r="M2728" s="4" t="str">
        <f>IFERROR(__xludf.DUMMYFUNCTION("""COMPUTED_VALUE"""),"N/A (Not found)")</f>
        <v>N/A (Not found)</v>
      </c>
      <c r="N2728" s="33">
        <f>IFERROR(__xludf.DUMMYFUNCTION("""COMPUTED_VALUE"""),1.0)</f>
        <v>1</v>
      </c>
      <c r="O2728" s="4" t="str">
        <f>IFERROR(__xludf.DUMMYFUNCTION("""COMPUTED_VALUE"""),"N/A (Not found)")</f>
        <v>N/A (Not found)</v>
      </c>
      <c r="P2728" s="33">
        <f>IFERROR(__xludf.DUMMYFUNCTION("""COMPUTED_VALUE"""),1.0)</f>
        <v>1</v>
      </c>
      <c r="Q2728" s="4" t="str">
        <f>IFERROR(__xludf.DUMMYFUNCTION("""COMPUTED_VALUE"""),"N/A (Not found)")</f>
        <v>N/A (Not found)</v>
      </c>
      <c r="R2728" s="33">
        <f>IFERROR(__xludf.DUMMYFUNCTION("""COMPUTED_VALUE"""),1.0)</f>
        <v>1</v>
      </c>
      <c r="S2728" s="4" t="str">
        <f>IFERROR(__xludf.DUMMYFUNCTION("""COMPUTED_VALUE"""),"N/A (Not found)")</f>
        <v>N/A (Not found)</v>
      </c>
      <c r="T2728" s="33">
        <f>IFERROR(__xludf.DUMMYFUNCTION("""COMPUTED_VALUE"""),1.0)</f>
        <v>1</v>
      </c>
      <c r="U2728" s="4" t="str">
        <f>IFERROR(__xludf.DUMMYFUNCTION("""COMPUTED_VALUE"""),"N/A (Not found)")</f>
        <v>N/A (Not found)</v>
      </c>
      <c r="V2728" s="33">
        <f>IFERROR(__xludf.DUMMYFUNCTION("""COMPUTED_VALUE"""),1.0)</f>
        <v>1</v>
      </c>
      <c r="W2728" s="4" t="str">
        <f>IFERROR(__xludf.DUMMYFUNCTION("""COMPUTED_VALUE"""),"N/A (Not found)")</f>
        <v>N/A (Not found)</v>
      </c>
      <c r="X2728" s="33">
        <f>IFERROR(__xludf.DUMMYFUNCTION("""COMPUTED_VALUE"""),1.0)</f>
        <v>1</v>
      </c>
    </row>
    <row r="2729">
      <c r="K2729" s="4" t="str">
        <f>IFERROR(__xludf.DUMMYFUNCTION("""COMPUTED_VALUE"""),"CASA DOS ASSADOS")</f>
        <v>CASA DOS ASSADOS</v>
      </c>
      <c r="L2729" s="32">
        <f>IFERROR(__xludf.DUMMYFUNCTION("""COMPUTED_VALUE"""),3.0)</f>
        <v>3</v>
      </c>
      <c r="M2729" s="4" t="str">
        <f>IFERROR(__xludf.DUMMYFUNCTION("""COMPUTED_VALUE"""),"null")</f>
        <v>null</v>
      </c>
      <c r="N2729" s="33">
        <f>IFERROR(__xludf.DUMMYFUNCTION("""COMPUTED_VALUE"""),0.3333333333333333)</f>
        <v>0.3333333333</v>
      </c>
      <c r="O2729" s="4" t="str">
        <f>IFERROR(__xludf.DUMMYFUNCTION("""COMPUTED_VALUE"""),"null")</f>
        <v>null</v>
      </c>
      <c r="P2729" s="33">
        <f>IFERROR(__xludf.DUMMYFUNCTION("""COMPUTED_VALUE"""),0.3333333333333333)</f>
        <v>0.3333333333</v>
      </c>
      <c r="Q2729" s="4" t="str">
        <f>IFERROR(__xludf.DUMMYFUNCTION("""COMPUTED_VALUE"""),"null")</f>
        <v>null</v>
      </c>
      <c r="R2729" s="33">
        <f>IFERROR(__xludf.DUMMYFUNCTION("""COMPUTED_VALUE"""),0.3333333333333333)</f>
        <v>0.3333333333</v>
      </c>
      <c r="S2729" s="4" t="str">
        <f>IFERROR(__xludf.DUMMYFUNCTION("""COMPUTED_VALUE"""),"null")</f>
        <v>null</v>
      </c>
      <c r="T2729" s="33">
        <f>IFERROR(__xludf.DUMMYFUNCTION("""COMPUTED_VALUE"""),0.3333333333333333)</f>
        <v>0.3333333333</v>
      </c>
      <c r="U2729" s="4" t="str">
        <f>IFERROR(__xludf.DUMMYFUNCTION("""COMPUTED_VALUE"""),"Olaclick")</f>
        <v>Olaclick</v>
      </c>
      <c r="V2729" s="33">
        <f>IFERROR(__xludf.DUMMYFUNCTION("""COMPUTED_VALUE"""),0.3333333333333333)</f>
        <v>0.3333333333</v>
      </c>
      <c r="W2729" s="4" t="str">
        <f>IFERROR(__xludf.DUMMYFUNCTION("""COMPUTED_VALUE"""),"null")</f>
        <v>null</v>
      </c>
      <c r="X2729" s="33">
        <f>IFERROR(__xludf.DUMMYFUNCTION("""COMPUTED_VALUE"""),0.3333333333333333)</f>
        <v>0.3333333333</v>
      </c>
    </row>
    <row r="2730">
      <c r="K2730" s="4" t="str">
        <f>IFERROR(__xludf.DUMMYFUNCTION("""COMPUTED_VALUE"""),"DROGARIA SAO JOSE")</f>
        <v>DROGARIA SAO JOSE</v>
      </c>
      <c r="L2730" s="32">
        <f>IFERROR(__xludf.DUMMYFUNCTION("""COMPUTED_VALUE"""),3.0)</f>
        <v>3</v>
      </c>
      <c r="M2730" s="4" t="str">
        <f>IFERROR(__xludf.DUMMYFUNCTION("""COMPUTED_VALUE"""),"N/A (Not found)")</f>
        <v>N/A (Not found)</v>
      </c>
      <c r="N2730" s="33">
        <f>IFERROR(__xludf.DUMMYFUNCTION("""COMPUTED_VALUE"""),0.6666666666666666)</f>
        <v>0.6666666667</v>
      </c>
      <c r="O2730" s="4" t="str">
        <f>IFERROR(__xludf.DUMMYFUNCTION("""COMPUTED_VALUE"""),"N/A (Not found)")</f>
        <v>N/A (Not found)</v>
      </c>
      <c r="P2730" s="33">
        <f>IFERROR(__xludf.DUMMYFUNCTION("""COMPUTED_VALUE"""),1.0)</f>
        <v>1</v>
      </c>
      <c r="Q2730" s="4" t="str">
        <f>IFERROR(__xludf.DUMMYFUNCTION("""COMPUTED_VALUE"""),"N/A (Not found)")</f>
        <v>N/A (Not found)</v>
      </c>
      <c r="R2730" s="33">
        <f>IFERROR(__xludf.DUMMYFUNCTION("""COMPUTED_VALUE"""),0.6666666666666666)</f>
        <v>0.6666666667</v>
      </c>
      <c r="S2730" s="4" t="str">
        <f>IFERROR(__xludf.DUMMYFUNCTION("""COMPUTED_VALUE"""),"N/A (Not found)")</f>
        <v>N/A (Not found)</v>
      </c>
      <c r="T2730" s="33">
        <f>IFERROR(__xludf.DUMMYFUNCTION("""COMPUTED_VALUE"""),0.6666666666666666)</f>
        <v>0.6666666667</v>
      </c>
      <c r="U2730" s="4" t="str">
        <f>IFERROR(__xludf.DUMMYFUNCTION("""COMPUTED_VALUE"""),"null")</f>
        <v>null</v>
      </c>
      <c r="V2730" s="33">
        <f>IFERROR(__xludf.DUMMYFUNCTION("""COMPUTED_VALUE"""),0.6666666666666666)</f>
        <v>0.6666666667</v>
      </c>
      <c r="W2730" s="4" t="str">
        <f>IFERROR(__xludf.DUMMYFUNCTION("""COMPUTED_VALUE"""),"null")</f>
        <v>null</v>
      </c>
      <c r="X2730" s="33">
        <f>IFERROR(__xludf.DUMMYFUNCTION("""COMPUTED_VALUE"""),0.6666666666666666)</f>
        <v>0.6666666667</v>
      </c>
    </row>
    <row r="2731">
      <c r="K2731" s="4" t="str">
        <f>IFERROR(__xludf.DUMMYFUNCTION("""COMPUTED_VALUE"""),"MY CASE CELULARES, ELETRONICOS E ACESSORIOS")</f>
        <v>MY CASE CELULARES, ELETRONICOS E ACESSORIOS</v>
      </c>
      <c r="L2731" s="32">
        <f>IFERROR(__xludf.DUMMYFUNCTION("""COMPUTED_VALUE"""),3.0)</f>
        <v>3</v>
      </c>
      <c r="M2731" s="4" t="str">
        <f>IFERROR(__xludf.DUMMYFUNCTION("""COMPUTED_VALUE"""),"N/A (Not found)")</f>
        <v>N/A (Not found)</v>
      </c>
      <c r="N2731" s="33">
        <f>IFERROR(__xludf.DUMMYFUNCTION("""COMPUTED_VALUE"""),0.6666666666666666)</f>
        <v>0.6666666667</v>
      </c>
      <c r="O2731" s="4" t="str">
        <f>IFERROR(__xludf.DUMMYFUNCTION("""COMPUTED_VALUE"""),"null")</f>
        <v>null</v>
      </c>
      <c r="P2731" s="33">
        <f>IFERROR(__xludf.DUMMYFUNCTION("""COMPUTED_VALUE"""),0.6666666666666666)</f>
        <v>0.6666666667</v>
      </c>
      <c r="Q2731" s="4" t="str">
        <f>IFERROR(__xludf.DUMMYFUNCTION("""COMPUTED_VALUE"""),"null")</f>
        <v>null</v>
      </c>
      <c r="R2731" s="33">
        <f>IFERROR(__xludf.DUMMYFUNCTION("""COMPUTED_VALUE"""),0.6666666666666666)</f>
        <v>0.6666666667</v>
      </c>
      <c r="S2731" s="4" t="str">
        <f>IFERROR(__xludf.DUMMYFUNCTION("""COMPUTED_VALUE"""),"N/A (Not found)")</f>
        <v>N/A (Not found)</v>
      </c>
      <c r="T2731" s="33">
        <f>IFERROR(__xludf.DUMMYFUNCTION("""COMPUTED_VALUE"""),0.6666666666666666)</f>
        <v>0.6666666667</v>
      </c>
      <c r="U2731" s="4" t="str">
        <f>IFERROR(__xludf.DUMMYFUNCTION("""COMPUTED_VALUE"""),"N/A (Not found)")</f>
        <v>N/A (Not found)</v>
      </c>
      <c r="V2731" s="33">
        <f>IFERROR(__xludf.DUMMYFUNCTION("""COMPUTED_VALUE"""),0.6666666666666666)</f>
        <v>0.6666666667</v>
      </c>
      <c r="W2731" s="4" t="str">
        <f>IFERROR(__xludf.DUMMYFUNCTION("""COMPUTED_VALUE"""),"N/A (Not found)")</f>
        <v>N/A (Not found)</v>
      </c>
      <c r="X2731" s="33">
        <f>IFERROR(__xludf.DUMMYFUNCTION("""COMPUTED_VALUE"""),0.6666666666666666)</f>
        <v>0.6666666667</v>
      </c>
    </row>
    <row r="2732">
      <c r="K2732" s="4" t="str">
        <f>IFERROR(__xludf.DUMMYFUNCTION("""COMPUTED_VALUE"""),"ELITE BURGUER")</f>
        <v>ELITE BURGUER</v>
      </c>
      <c r="L2732" s="32">
        <f>IFERROR(__xludf.DUMMYFUNCTION("""COMPUTED_VALUE"""),3.0)</f>
        <v>3</v>
      </c>
      <c r="M2732" s="4" t="str">
        <f>IFERROR(__xludf.DUMMYFUNCTION("""COMPUTED_VALUE"""),"null")</f>
        <v>null</v>
      </c>
      <c r="N2732" s="33">
        <f>IFERROR(__xludf.DUMMYFUNCTION("""COMPUTED_VALUE"""),0.6666666666666666)</f>
        <v>0.6666666667</v>
      </c>
      <c r="O2732" s="4" t="str">
        <f>IFERROR(__xludf.DUMMYFUNCTION("""COMPUTED_VALUE"""),"Cardápio Web")</f>
        <v>Cardápio Web</v>
      </c>
      <c r="P2732" s="33">
        <f>IFERROR(__xludf.DUMMYFUNCTION("""COMPUTED_VALUE"""),0.3333333333333333)</f>
        <v>0.3333333333</v>
      </c>
      <c r="Q2732" s="4" t="str">
        <f>IFERROR(__xludf.DUMMYFUNCTION("""COMPUTED_VALUE"""),"null")</f>
        <v>null</v>
      </c>
      <c r="R2732" s="33">
        <f>IFERROR(__xludf.DUMMYFUNCTION("""COMPUTED_VALUE"""),0.6666666666666666)</f>
        <v>0.6666666667</v>
      </c>
      <c r="S2732" s="4" t="str">
        <f>IFERROR(__xludf.DUMMYFUNCTION("""COMPUTED_VALUE"""),"null")</f>
        <v>null</v>
      </c>
      <c r="T2732" s="33">
        <f>IFERROR(__xludf.DUMMYFUNCTION("""COMPUTED_VALUE"""),0.6666666666666666)</f>
        <v>0.6666666667</v>
      </c>
      <c r="U2732" s="4" t="str">
        <f>IFERROR(__xludf.DUMMYFUNCTION("""COMPUTED_VALUE"""),"Cardápio Web")</f>
        <v>Cardápio Web</v>
      </c>
      <c r="V2732" s="33">
        <f>IFERROR(__xludf.DUMMYFUNCTION("""COMPUTED_VALUE"""),0.3333333333333333)</f>
        <v>0.3333333333</v>
      </c>
      <c r="W2732" s="4" t="str">
        <f>IFERROR(__xludf.DUMMYFUNCTION("""COMPUTED_VALUE"""),"Cardápio Web")</f>
        <v>Cardápio Web</v>
      </c>
      <c r="X2732" s="33">
        <f>IFERROR(__xludf.DUMMYFUNCTION("""COMPUTED_VALUE"""),0.3333333333333333)</f>
        <v>0.3333333333</v>
      </c>
    </row>
    <row r="2733">
      <c r="K2733" s="4" t="str">
        <f>IFERROR(__xludf.DUMMYFUNCTION("""COMPUTED_VALUE"""),"FIRE BURGUER")</f>
        <v>FIRE BURGUER</v>
      </c>
      <c r="L2733" s="32">
        <f>IFERROR(__xludf.DUMMYFUNCTION("""COMPUTED_VALUE"""),3.0)</f>
        <v>3</v>
      </c>
      <c r="M2733" s="4" t="str">
        <f>IFERROR(__xludf.DUMMYFUNCTION("""COMPUTED_VALUE"""),"Gula.menu Tecnologia Ltda.")</f>
        <v>Gula.menu Tecnologia Ltda.</v>
      </c>
      <c r="N2733" s="33">
        <f>IFERROR(__xludf.DUMMYFUNCTION("""COMPUTED_VALUE"""),0.3333333333333333)</f>
        <v>0.3333333333</v>
      </c>
      <c r="O2733" s="4" t="str">
        <f>IFERROR(__xludf.DUMMYFUNCTION("""COMPUTED_VALUE"""),"Gula.menu Tecnologia Ltda.")</f>
        <v>Gula.menu Tecnologia Ltda.</v>
      </c>
      <c r="P2733" s="33">
        <f>IFERROR(__xludf.DUMMYFUNCTION("""COMPUTED_VALUE"""),0.3333333333333333)</f>
        <v>0.3333333333</v>
      </c>
      <c r="Q2733" s="4" t="str">
        <f>IFERROR(__xludf.DUMMYFUNCTION("""COMPUTED_VALUE"""),"Gula.menu Tecnologia Ltda.")</f>
        <v>Gula.menu Tecnologia Ltda.</v>
      </c>
      <c r="R2733" s="33">
        <f>IFERROR(__xludf.DUMMYFUNCTION("""COMPUTED_VALUE"""),0.3333333333333333)</f>
        <v>0.3333333333</v>
      </c>
      <c r="S2733" s="4" t="str">
        <f>IFERROR(__xludf.DUMMYFUNCTION("""COMPUTED_VALUE"""),"Gula.menu Tecnologia Ltda.")</f>
        <v>Gula.menu Tecnologia Ltda.</v>
      </c>
      <c r="T2733" s="33">
        <f>IFERROR(__xludf.DUMMYFUNCTION("""COMPUTED_VALUE"""),0.3333333333333333)</f>
        <v>0.3333333333</v>
      </c>
      <c r="U2733" s="4" t="str">
        <f>IFERROR(__xludf.DUMMYFUNCTION("""COMPUTED_VALUE"""),"Gula.menu Tecnologia Ltda.")</f>
        <v>Gula.menu Tecnologia Ltda.</v>
      </c>
      <c r="V2733" s="33">
        <f>IFERROR(__xludf.DUMMYFUNCTION("""COMPUTED_VALUE"""),0.3333333333333333)</f>
        <v>0.3333333333</v>
      </c>
      <c r="W2733" s="4" t="str">
        <f>IFERROR(__xludf.DUMMYFUNCTION("""COMPUTED_VALUE"""),"Gula.menu Tecnologia Ltda.")</f>
        <v>Gula.menu Tecnologia Ltda.</v>
      </c>
      <c r="X2733" s="33">
        <f>IFERROR(__xludf.DUMMYFUNCTION("""COMPUTED_VALUE"""),0.3333333333333333)</f>
        <v>0.3333333333</v>
      </c>
    </row>
    <row r="2734">
      <c r="K2734" s="4" t="str">
        <f>IFERROR(__xludf.DUMMYFUNCTION("""COMPUTED_VALUE"""),"TEMPERO DE VO")</f>
        <v>TEMPERO DE VO</v>
      </c>
      <c r="L2734" s="32">
        <f>IFERROR(__xludf.DUMMYFUNCTION("""COMPUTED_VALUE"""),3.0)</f>
        <v>3</v>
      </c>
      <c r="M2734" s="4" t="str">
        <f>IFERROR(__xludf.DUMMYFUNCTION("""COMPUTED_VALUE"""),"null")</f>
        <v>null</v>
      </c>
      <c r="N2734" s="33">
        <f>IFERROR(__xludf.DUMMYFUNCTION("""COMPUTED_VALUE"""),0.3333333333333333)</f>
        <v>0.3333333333</v>
      </c>
      <c r="O2734" s="4" t="str">
        <f>IFERROR(__xludf.DUMMYFUNCTION("""COMPUTED_VALUE"""),"null")</f>
        <v>null</v>
      </c>
      <c r="P2734" s="33">
        <f>IFERROR(__xludf.DUMMYFUNCTION("""COMPUTED_VALUE"""),0.3333333333333333)</f>
        <v>0.3333333333</v>
      </c>
      <c r="Q2734" s="4" t="str">
        <f>IFERROR(__xludf.DUMMYFUNCTION("""COMPUTED_VALUE"""),"null")</f>
        <v>null</v>
      </c>
      <c r="R2734" s="33">
        <f>IFERROR(__xludf.DUMMYFUNCTION("""COMPUTED_VALUE"""),0.3333333333333333)</f>
        <v>0.3333333333</v>
      </c>
      <c r="S2734" s="4" t="str">
        <f>IFERROR(__xludf.DUMMYFUNCTION("""COMPUTED_VALUE"""),"Suitable Tecnologia E Gestao")</f>
        <v>Suitable Tecnologia E Gestao</v>
      </c>
      <c r="T2734" s="33">
        <f>IFERROR(__xludf.DUMMYFUNCTION("""COMPUTED_VALUE"""),0.6666666666666666)</f>
        <v>0.6666666667</v>
      </c>
      <c r="U2734" s="4" t="str">
        <f>IFERROR(__xludf.DUMMYFUNCTION("""COMPUTED_VALUE"""),"Suitable Tecnologia E Gestao")</f>
        <v>Suitable Tecnologia E Gestao</v>
      </c>
      <c r="V2734" s="33">
        <f>IFERROR(__xludf.DUMMYFUNCTION("""COMPUTED_VALUE"""),0.3333333333333333)</f>
        <v>0.3333333333</v>
      </c>
      <c r="W2734" s="4" t="str">
        <f>IFERROR(__xludf.DUMMYFUNCTION("""COMPUTED_VALUE"""),"Suitable Tecnologia E Gestao")</f>
        <v>Suitable Tecnologia E Gestao</v>
      </c>
      <c r="X2734" s="33">
        <f>IFERROR(__xludf.DUMMYFUNCTION("""COMPUTED_VALUE"""),0.6666666666666666)</f>
        <v>0.6666666667</v>
      </c>
    </row>
    <row r="2735">
      <c r="K2735" s="4" t="str">
        <f>IFERROR(__xludf.DUMMYFUNCTION("""COMPUTED_VALUE"""),"ACAI NALU ACAI E CREAM")</f>
        <v>ACAI NALU ACAI E CREAM</v>
      </c>
      <c r="L2735" s="32">
        <f>IFERROR(__xludf.DUMMYFUNCTION("""COMPUTED_VALUE"""),3.0)</f>
        <v>3</v>
      </c>
      <c r="M2735" s="4" t="str">
        <f>IFERROR(__xludf.DUMMYFUNCTION("""COMPUTED_VALUE"""),"M-du Tecnologia")</f>
        <v>M-du Tecnologia</v>
      </c>
      <c r="N2735" s="33">
        <f>IFERROR(__xludf.DUMMYFUNCTION("""COMPUTED_VALUE"""),1.0)</f>
        <v>1</v>
      </c>
      <c r="O2735" s="4" t="str">
        <f>IFERROR(__xludf.DUMMYFUNCTION("""COMPUTED_VALUE"""),"M-du Tecnologia")</f>
        <v>M-du Tecnologia</v>
      </c>
      <c r="P2735" s="33">
        <f>IFERROR(__xludf.DUMMYFUNCTION("""COMPUTED_VALUE"""),1.0)</f>
        <v>1</v>
      </c>
      <c r="Q2735" s="4" t="str">
        <f>IFERROR(__xludf.DUMMYFUNCTION("""COMPUTED_VALUE"""),"M-du Tecnologia")</f>
        <v>M-du Tecnologia</v>
      </c>
      <c r="R2735" s="33">
        <f>IFERROR(__xludf.DUMMYFUNCTION("""COMPUTED_VALUE"""),1.0)</f>
        <v>1</v>
      </c>
      <c r="S2735" s="4" t="str">
        <f>IFERROR(__xludf.DUMMYFUNCTION("""COMPUTED_VALUE"""),"M-du Tecnologia")</f>
        <v>M-du Tecnologia</v>
      </c>
      <c r="T2735" s="33">
        <f>IFERROR(__xludf.DUMMYFUNCTION("""COMPUTED_VALUE"""),1.0)</f>
        <v>1</v>
      </c>
      <c r="U2735" s="4" t="str">
        <f>IFERROR(__xludf.DUMMYFUNCTION("""COMPUTED_VALUE"""),"M-du Tecnologia")</f>
        <v>M-du Tecnologia</v>
      </c>
      <c r="V2735" s="33">
        <f>IFERROR(__xludf.DUMMYFUNCTION("""COMPUTED_VALUE"""),0.6666666666666666)</f>
        <v>0.6666666667</v>
      </c>
      <c r="W2735" s="4" t="str">
        <f>IFERROR(__xludf.DUMMYFUNCTION("""COMPUTED_VALUE"""),"M-du Tecnologia")</f>
        <v>M-du Tecnologia</v>
      </c>
      <c r="X2735" s="33">
        <f>IFERROR(__xludf.DUMMYFUNCTION("""COMPUTED_VALUE"""),0.6666666666666666)</f>
        <v>0.6666666667</v>
      </c>
    </row>
    <row r="2736">
      <c r="K2736" s="4" t="str">
        <f>IFERROR(__xludf.DUMMYFUNCTION("""COMPUTED_VALUE"""),"RESTAURANTE BOM APETITE")</f>
        <v>RESTAURANTE BOM APETITE</v>
      </c>
      <c r="L2736" s="32">
        <f>IFERROR(__xludf.DUMMYFUNCTION("""COMPUTED_VALUE"""),3.0)</f>
        <v>3</v>
      </c>
      <c r="M2736" s="4" t="str">
        <f>IFERROR(__xludf.DUMMYFUNCTION("""COMPUTED_VALUE"""),"Consumer Soluções Em Tecnologia Ltda")</f>
        <v>Consumer Soluções Em Tecnologia Ltda</v>
      </c>
      <c r="N2736" s="33">
        <f>IFERROR(__xludf.DUMMYFUNCTION("""COMPUTED_VALUE"""),0.3333333333333333)</f>
        <v>0.3333333333</v>
      </c>
      <c r="O2736" s="4" t="str">
        <f>IFERROR(__xludf.DUMMYFUNCTION("""COMPUTED_VALUE"""),"Consumer Soluções Em Tecnologia Ltda")</f>
        <v>Consumer Soluções Em Tecnologia Ltda</v>
      </c>
      <c r="P2736" s="33">
        <f>IFERROR(__xludf.DUMMYFUNCTION("""COMPUTED_VALUE"""),0.3333333333333333)</f>
        <v>0.3333333333</v>
      </c>
      <c r="Q2736" s="4" t="str">
        <f>IFERROR(__xludf.DUMMYFUNCTION("""COMPUTED_VALUE"""),"null")</f>
        <v>null</v>
      </c>
      <c r="R2736" s="33">
        <f>IFERROR(__xludf.DUMMYFUNCTION("""COMPUTED_VALUE"""),0.6666666666666666)</f>
        <v>0.6666666667</v>
      </c>
      <c r="S2736" s="4" t="str">
        <f>IFERROR(__xludf.DUMMYFUNCTION("""COMPUTED_VALUE"""),"null")</f>
        <v>null</v>
      </c>
      <c r="T2736" s="33">
        <f>IFERROR(__xludf.DUMMYFUNCTION("""COMPUTED_VALUE"""),0.6666666666666666)</f>
        <v>0.6666666667</v>
      </c>
      <c r="U2736" s="4" t="str">
        <f>IFERROR(__xludf.DUMMYFUNCTION("""COMPUTED_VALUE"""),"Consumer Soluções Em Tecnologia Ltda")</f>
        <v>Consumer Soluções Em Tecnologia Ltda</v>
      </c>
      <c r="V2736" s="33">
        <f>IFERROR(__xludf.DUMMYFUNCTION("""COMPUTED_VALUE"""),0.3333333333333333)</f>
        <v>0.3333333333</v>
      </c>
      <c r="W2736" s="4" t="str">
        <f>IFERROR(__xludf.DUMMYFUNCTION("""COMPUTED_VALUE"""),"null")</f>
        <v>null</v>
      </c>
      <c r="X2736" s="33">
        <f>IFERROR(__xludf.DUMMYFUNCTION("""COMPUTED_VALUE"""),0.6666666666666666)</f>
        <v>0.6666666667</v>
      </c>
    </row>
    <row r="2737">
      <c r="K2737" s="4" t="str">
        <f>IFERROR(__xludf.DUMMYFUNCTION("""COMPUTED_VALUE"""),"BEBIDAS EXPRESS")</f>
        <v>BEBIDAS EXPRESS</v>
      </c>
      <c r="L2737" s="32">
        <f>IFERROR(__xludf.DUMMYFUNCTION("""COMPUTED_VALUE"""),3.0)</f>
        <v>3</v>
      </c>
      <c r="M2737" s="4" t="str">
        <f>IFERROR(__xludf.DUMMYFUNCTION("""COMPUTED_VALUE"""),"N/A (Not found)")</f>
        <v>N/A (Not found)</v>
      </c>
      <c r="N2737" s="33">
        <f>IFERROR(__xludf.DUMMYFUNCTION("""COMPUTED_VALUE"""),0.6666666666666666)</f>
        <v>0.6666666667</v>
      </c>
      <c r="O2737" s="4" t="str">
        <f>IFERROR(__xludf.DUMMYFUNCTION("""COMPUTED_VALUE"""),"N/A (Not found)")</f>
        <v>N/A (Not found)</v>
      </c>
      <c r="P2737" s="33">
        <f>IFERROR(__xludf.DUMMYFUNCTION("""COMPUTED_VALUE"""),0.6666666666666666)</f>
        <v>0.6666666667</v>
      </c>
      <c r="Q2737" s="4" t="str">
        <f>IFERROR(__xludf.DUMMYFUNCTION("""COMPUTED_VALUE"""),"N/A (Not found)")</f>
        <v>N/A (Not found)</v>
      </c>
      <c r="R2737" s="33">
        <f>IFERROR(__xludf.DUMMYFUNCTION("""COMPUTED_VALUE"""),0.6666666666666666)</f>
        <v>0.6666666667</v>
      </c>
      <c r="S2737" s="4" t="str">
        <f>IFERROR(__xludf.DUMMYFUNCTION("""COMPUTED_VALUE"""),"N/A (Not found)")</f>
        <v>N/A (Not found)</v>
      </c>
      <c r="T2737" s="33">
        <f>IFERROR(__xludf.DUMMYFUNCTION("""COMPUTED_VALUE"""),0.6666666666666666)</f>
        <v>0.6666666667</v>
      </c>
      <c r="U2737" s="4" t="str">
        <f>IFERROR(__xludf.DUMMYFUNCTION("""COMPUTED_VALUE"""),"N/A (Not found)")</f>
        <v>N/A (Not found)</v>
      </c>
      <c r="V2737" s="33">
        <f>IFERROR(__xludf.DUMMYFUNCTION("""COMPUTED_VALUE"""),0.6666666666666666)</f>
        <v>0.6666666667</v>
      </c>
      <c r="W2737" s="4" t="str">
        <f>IFERROR(__xludf.DUMMYFUNCTION("""COMPUTED_VALUE"""),"N/A (Not found)")</f>
        <v>N/A (Not found)</v>
      </c>
      <c r="X2737" s="33">
        <f>IFERROR(__xludf.DUMMYFUNCTION("""COMPUTED_VALUE"""),0.6666666666666666)</f>
        <v>0.6666666667</v>
      </c>
    </row>
    <row r="2738">
      <c r="K2738" s="4" t="str">
        <f>IFERROR(__xludf.DUMMYFUNCTION("""COMPUTED_VALUE"""),"FARMAKE")</f>
        <v>FARMAKE</v>
      </c>
      <c r="L2738" s="32">
        <f>IFERROR(__xludf.DUMMYFUNCTION("""COMPUTED_VALUE"""),3.0)</f>
        <v>3</v>
      </c>
      <c r="M2738" s="4" t="str">
        <f>IFERROR(__xludf.DUMMYFUNCTION("""COMPUTED_VALUE"""),"null")</f>
        <v>null</v>
      </c>
      <c r="N2738" s="33">
        <f>IFERROR(__xludf.DUMMYFUNCTION("""COMPUTED_VALUE"""),0.6666666666666666)</f>
        <v>0.6666666667</v>
      </c>
      <c r="O2738" s="4" t="str">
        <f>IFERROR(__xludf.DUMMYFUNCTION("""COMPUTED_VALUE"""),"null")</f>
        <v>null</v>
      </c>
      <c r="P2738" s="33">
        <f>IFERROR(__xludf.DUMMYFUNCTION("""COMPUTED_VALUE"""),0.6666666666666666)</f>
        <v>0.6666666667</v>
      </c>
      <c r="Q2738" s="4" t="str">
        <f>IFERROR(__xludf.DUMMYFUNCTION("""COMPUTED_VALUE"""),"null")</f>
        <v>null</v>
      </c>
      <c r="R2738" s="33">
        <f>IFERROR(__xludf.DUMMYFUNCTION("""COMPUTED_VALUE"""),0.6666666666666666)</f>
        <v>0.6666666667</v>
      </c>
      <c r="S2738" s="4" t="str">
        <f>IFERROR(__xludf.DUMMYFUNCTION("""COMPUTED_VALUE"""),"N/A (Not found)")</f>
        <v>N/A (Not found)</v>
      </c>
      <c r="T2738" s="33">
        <f>IFERROR(__xludf.DUMMYFUNCTION("""COMPUTED_VALUE"""),0.6666666666666666)</f>
        <v>0.6666666667</v>
      </c>
      <c r="U2738" s="4" t="str">
        <f>IFERROR(__xludf.DUMMYFUNCTION("""COMPUTED_VALUE"""),"N/A (Not found)")</f>
        <v>N/A (Not found)</v>
      </c>
      <c r="V2738" s="33">
        <f>IFERROR(__xludf.DUMMYFUNCTION("""COMPUTED_VALUE"""),1.0)</f>
        <v>1</v>
      </c>
      <c r="W2738" s="4" t="str">
        <f>IFERROR(__xludf.DUMMYFUNCTION("""COMPUTED_VALUE"""),"N/A (Not found)")</f>
        <v>N/A (Not found)</v>
      </c>
      <c r="X2738" s="33">
        <f>IFERROR(__xludf.DUMMYFUNCTION("""COMPUTED_VALUE"""),1.0)</f>
        <v>1</v>
      </c>
    </row>
    <row r="2739">
      <c r="K2739" s="4" t="str">
        <f>IFERROR(__xludf.DUMMYFUNCTION("""COMPUTED_VALUE"""),"FARMACIA BIGFORT")</f>
        <v>FARMACIA BIGFORT</v>
      </c>
      <c r="L2739" s="32">
        <f>IFERROR(__xludf.DUMMYFUNCTION("""COMPUTED_VALUE"""),3.0)</f>
        <v>3</v>
      </c>
      <c r="M2739" s="4" t="str">
        <f>IFERROR(__xludf.DUMMYFUNCTION("""COMPUTED_VALUE"""),"null")</f>
        <v>null</v>
      </c>
      <c r="N2739" s="33">
        <f>IFERROR(__xludf.DUMMYFUNCTION("""COMPUTED_VALUE"""),0.6666666666666666)</f>
        <v>0.6666666667</v>
      </c>
      <c r="O2739" s="4" t="str">
        <f>IFERROR(__xludf.DUMMYFUNCTION("""COMPUTED_VALUE"""),"null")</f>
        <v>null</v>
      </c>
      <c r="P2739" s="33">
        <f>IFERROR(__xludf.DUMMYFUNCTION("""COMPUTED_VALUE"""),0.6666666666666666)</f>
        <v>0.6666666667</v>
      </c>
      <c r="Q2739" s="4" t="str">
        <f>IFERROR(__xludf.DUMMYFUNCTION("""COMPUTED_VALUE"""),"null")</f>
        <v>null</v>
      </c>
      <c r="R2739" s="33">
        <f>IFERROR(__xludf.DUMMYFUNCTION("""COMPUTED_VALUE"""),0.6666666666666666)</f>
        <v>0.6666666667</v>
      </c>
      <c r="S2739" s="4" t="str">
        <f>IFERROR(__xludf.DUMMYFUNCTION("""COMPUTED_VALUE"""),"N/A (Not found)")</f>
        <v>N/A (Not found)</v>
      </c>
      <c r="T2739" s="33">
        <f>IFERROR(__xludf.DUMMYFUNCTION("""COMPUTED_VALUE"""),0.6666666666666666)</f>
        <v>0.6666666667</v>
      </c>
      <c r="U2739" s="4" t="str">
        <f>IFERROR(__xludf.DUMMYFUNCTION("""COMPUTED_VALUE"""),"N/A (Not found)")</f>
        <v>N/A (Not found)</v>
      </c>
      <c r="V2739" s="33">
        <f>IFERROR(__xludf.DUMMYFUNCTION("""COMPUTED_VALUE"""),1.0)</f>
        <v>1</v>
      </c>
      <c r="W2739" s="4" t="str">
        <f>IFERROR(__xludf.DUMMYFUNCTION("""COMPUTED_VALUE"""),"N/A (Not found)")</f>
        <v>N/A (Not found)</v>
      </c>
      <c r="X2739" s="33">
        <f>IFERROR(__xludf.DUMMYFUNCTION("""COMPUTED_VALUE"""),1.0)</f>
        <v>1</v>
      </c>
    </row>
    <row r="2740">
      <c r="K2740" s="4" t="str">
        <f>IFERROR(__xludf.DUMMYFUNCTION("""COMPUTED_VALUE"""),"CAPITAL BURGUER")</f>
        <v>CAPITAL BURGUER</v>
      </c>
      <c r="L2740" s="32">
        <f>IFERROR(__xludf.DUMMYFUNCTION("""COMPUTED_VALUE"""),3.0)</f>
        <v>3</v>
      </c>
      <c r="M2740" s="4" t="str">
        <f>IFERROR(__xludf.DUMMYFUNCTION("""COMPUTED_VALUE"""),"Anota Ai Solucoes Digitais S/a")</f>
        <v>Anota Ai Solucoes Digitais S/a</v>
      </c>
      <c r="N2740" s="33">
        <f>IFERROR(__xludf.DUMMYFUNCTION("""COMPUTED_VALUE"""),0.3333333333333333)</f>
        <v>0.3333333333</v>
      </c>
      <c r="O2740" s="4" t="str">
        <f>IFERROR(__xludf.DUMMYFUNCTION("""COMPUTED_VALUE"""),"Anota Ai Solucoes Digitais S/a")</f>
        <v>Anota Ai Solucoes Digitais S/a</v>
      </c>
      <c r="P2740" s="33">
        <f>IFERROR(__xludf.DUMMYFUNCTION("""COMPUTED_VALUE"""),0.3333333333333333)</f>
        <v>0.3333333333</v>
      </c>
      <c r="Q2740" s="4" t="str">
        <f>IFERROR(__xludf.DUMMYFUNCTION("""COMPUTED_VALUE"""),"Anota Ai Solucoes Digitais S/a")</f>
        <v>Anota Ai Solucoes Digitais S/a</v>
      </c>
      <c r="R2740" s="33">
        <f>IFERROR(__xludf.DUMMYFUNCTION("""COMPUTED_VALUE"""),0.3333333333333333)</f>
        <v>0.3333333333</v>
      </c>
      <c r="S2740" s="4" t="str">
        <f>IFERROR(__xludf.DUMMYFUNCTION("""COMPUTED_VALUE"""),"Anota Ai Solucoes Digitais S/a")</f>
        <v>Anota Ai Solucoes Digitais S/a</v>
      </c>
      <c r="T2740" s="33">
        <f>IFERROR(__xludf.DUMMYFUNCTION("""COMPUTED_VALUE"""),0.3333333333333333)</f>
        <v>0.3333333333</v>
      </c>
      <c r="U2740" s="4" t="str">
        <f>IFERROR(__xludf.DUMMYFUNCTION("""COMPUTED_VALUE"""),"Anota Ai Solucoes Digitais S/a")</f>
        <v>Anota Ai Solucoes Digitais S/a</v>
      </c>
      <c r="V2740" s="33">
        <f>IFERROR(__xludf.DUMMYFUNCTION("""COMPUTED_VALUE"""),0.3333333333333333)</f>
        <v>0.3333333333</v>
      </c>
      <c r="W2740" s="4" t="str">
        <f>IFERROR(__xludf.DUMMYFUNCTION("""COMPUTED_VALUE"""),"Anota Ai Solucoes Digitais S/a")</f>
        <v>Anota Ai Solucoes Digitais S/a</v>
      </c>
      <c r="X2740" s="33">
        <f>IFERROR(__xludf.DUMMYFUNCTION("""COMPUTED_VALUE"""),0.3333333333333333)</f>
        <v>0.3333333333</v>
      </c>
    </row>
    <row r="2741">
      <c r="K2741" s="4" t="str">
        <f>IFERROR(__xludf.DUMMYFUNCTION("""COMPUTED_VALUE"""),"THE BEST BURGUER")</f>
        <v>THE BEST BURGUER</v>
      </c>
      <c r="L2741" s="32">
        <f>IFERROR(__xludf.DUMMYFUNCTION("""COMPUTED_VALUE"""),3.0)</f>
        <v>3</v>
      </c>
      <c r="M2741" s="4" t="str">
        <f>IFERROR(__xludf.DUMMYFUNCTION("""COMPUTED_VALUE"""),"Cervantes Tecnologia")</f>
        <v>Cervantes Tecnologia</v>
      </c>
      <c r="N2741" s="33">
        <f>IFERROR(__xludf.DUMMYFUNCTION("""COMPUTED_VALUE"""),0.3333333333333333)</f>
        <v>0.3333333333</v>
      </c>
      <c r="O2741" s="4" t="str">
        <f>IFERROR(__xludf.DUMMYFUNCTION("""COMPUTED_VALUE"""),"Cervantes Tecnologia")</f>
        <v>Cervantes Tecnologia</v>
      </c>
      <c r="P2741" s="33">
        <f>IFERROR(__xludf.DUMMYFUNCTION("""COMPUTED_VALUE"""),0.3333333333333333)</f>
        <v>0.3333333333</v>
      </c>
      <c r="Q2741" s="4" t="str">
        <f>IFERROR(__xludf.DUMMYFUNCTION("""COMPUTED_VALUE"""),"null")</f>
        <v>null</v>
      </c>
      <c r="R2741" s="33">
        <f>IFERROR(__xludf.DUMMYFUNCTION("""COMPUTED_VALUE"""),0.6666666666666666)</f>
        <v>0.6666666667</v>
      </c>
      <c r="S2741" s="4" t="str">
        <f>IFERROR(__xludf.DUMMYFUNCTION("""COMPUTED_VALUE"""),"Cervantes Tecnologia")</f>
        <v>Cervantes Tecnologia</v>
      </c>
      <c r="T2741" s="33">
        <f>IFERROR(__xludf.DUMMYFUNCTION("""COMPUTED_VALUE"""),0.3333333333333333)</f>
        <v>0.3333333333</v>
      </c>
      <c r="U2741" s="4" t="str">
        <f>IFERROR(__xludf.DUMMYFUNCTION("""COMPUTED_VALUE"""),"Cervantes Tecnologia")</f>
        <v>Cervantes Tecnologia</v>
      </c>
      <c r="V2741" s="33">
        <f>IFERROR(__xludf.DUMMYFUNCTION("""COMPUTED_VALUE"""),0.3333333333333333)</f>
        <v>0.3333333333</v>
      </c>
      <c r="W2741" s="4" t="str">
        <f>IFERROR(__xludf.DUMMYFUNCTION("""COMPUTED_VALUE"""),"null")</f>
        <v>null</v>
      </c>
      <c r="X2741" s="33">
        <f>IFERROR(__xludf.DUMMYFUNCTION("""COMPUTED_VALUE"""),0.3333333333333333)</f>
        <v>0.3333333333</v>
      </c>
    </row>
    <row r="2742">
      <c r="K2742" s="4" t="str">
        <f>IFERROR(__xludf.DUMMYFUNCTION("""COMPUTED_VALUE"""),"ANA BURGUER")</f>
        <v>ANA BURGUER</v>
      </c>
      <c r="L2742" s="32">
        <f>IFERROR(__xludf.DUMMYFUNCTION("""COMPUTED_VALUE"""),3.0)</f>
        <v>3</v>
      </c>
      <c r="M2742" s="4" t="str">
        <f>IFERROR(__xludf.DUMMYFUNCTION("""COMPUTED_VALUE"""),"null")</f>
        <v>null</v>
      </c>
      <c r="N2742" s="33">
        <f>IFERROR(__xludf.DUMMYFUNCTION("""COMPUTED_VALUE"""),0.6666666666666666)</f>
        <v>0.6666666667</v>
      </c>
      <c r="O2742" s="4" t="str">
        <f>IFERROR(__xludf.DUMMYFUNCTION("""COMPUTED_VALUE"""),"null")</f>
        <v>null</v>
      </c>
      <c r="P2742" s="33">
        <f>IFERROR(__xludf.DUMMYFUNCTION("""COMPUTED_VALUE"""),0.6666666666666666)</f>
        <v>0.6666666667</v>
      </c>
      <c r="Q2742" s="4" t="str">
        <f>IFERROR(__xludf.DUMMYFUNCTION("""COMPUTED_VALUE"""),"null")</f>
        <v>null</v>
      </c>
      <c r="R2742" s="33">
        <f>IFERROR(__xludf.DUMMYFUNCTION("""COMPUTED_VALUE"""),0.6666666666666666)</f>
        <v>0.6666666667</v>
      </c>
      <c r="S2742" s="4" t="str">
        <f>IFERROR(__xludf.DUMMYFUNCTION("""COMPUTED_VALUE"""),"null")</f>
        <v>null</v>
      </c>
      <c r="T2742" s="33">
        <f>IFERROR(__xludf.DUMMYFUNCTION("""COMPUTED_VALUE"""),0.6666666666666666)</f>
        <v>0.6666666667</v>
      </c>
      <c r="U2742" s="4" t="str">
        <f>IFERROR(__xludf.DUMMYFUNCTION("""COMPUTED_VALUE"""),"Saipos Serviços De Software")</f>
        <v>Saipos Serviços De Software</v>
      </c>
      <c r="V2742" s="33">
        <f>IFERROR(__xludf.DUMMYFUNCTION("""COMPUTED_VALUE"""),0.3333333333333333)</f>
        <v>0.3333333333</v>
      </c>
      <c r="W2742" s="4" t="str">
        <f>IFERROR(__xludf.DUMMYFUNCTION("""COMPUTED_VALUE"""),"Saipos Serviços De Software")</f>
        <v>Saipos Serviços De Software</v>
      </c>
      <c r="X2742" s="33">
        <f>IFERROR(__xludf.DUMMYFUNCTION("""COMPUTED_VALUE"""),0.3333333333333333)</f>
        <v>0.3333333333</v>
      </c>
    </row>
    <row r="2743">
      <c r="K2743" s="4" t="str">
        <f>IFERROR(__xludf.DUMMYFUNCTION("""COMPUTED_VALUE"""),"PIZZA ON")</f>
        <v>PIZZA ON</v>
      </c>
      <c r="L2743" s="32">
        <f>IFERROR(__xludf.DUMMYFUNCTION("""COMPUTED_VALUE"""),3.0)</f>
        <v>3</v>
      </c>
      <c r="M2743" s="4" t="str">
        <f>IFERROR(__xludf.DUMMYFUNCTION("""COMPUTED_VALUE"""),"Consumer Soluções Em Tecnologia Ltda")</f>
        <v>Consumer Soluções Em Tecnologia Ltda</v>
      </c>
      <c r="N2743" s="33">
        <f>IFERROR(__xludf.DUMMYFUNCTION("""COMPUTED_VALUE"""),0.3333333333333333)</f>
        <v>0.3333333333</v>
      </c>
      <c r="O2743" s="4" t="str">
        <f>IFERROR(__xludf.DUMMYFUNCTION("""COMPUTED_VALUE"""),"Consumer Soluções Em Tecnologia Ltda")</f>
        <v>Consumer Soluções Em Tecnologia Ltda</v>
      </c>
      <c r="P2743" s="33">
        <f>IFERROR(__xludf.DUMMYFUNCTION("""COMPUTED_VALUE"""),0.3333333333333333)</f>
        <v>0.3333333333</v>
      </c>
      <c r="Q2743" s="4" t="str">
        <f>IFERROR(__xludf.DUMMYFUNCTION("""COMPUTED_VALUE"""),"Consumer Soluções Em Tecnologia Ltda")</f>
        <v>Consumer Soluções Em Tecnologia Ltda</v>
      </c>
      <c r="R2743" s="33">
        <f>IFERROR(__xludf.DUMMYFUNCTION("""COMPUTED_VALUE"""),0.3333333333333333)</f>
        <v>0.3333333333</v>
      </c>
      <c r="S2743" s="4" t="str">
        <f>IFERROR(__xludf.DUMMYFUNCTION("""COMPUTED_VALUE"""),"Consumer Soluções Em Tecnologia Ltda")</f>
        <v>Consumer Soluções Em Tecnologia Ltda</v>
      </c>
      <c r="T2743" s="33">
        <f>IFERROR(__xludf.DUMMYFUNCTION("""COMPUTED_VALUE"""),0.3333333333333333)</f>
        <v>0.3333333333</v>
      </c>
      <c r="U2743" s="4" t="str">
        <f>IFERROR(__xludf.DUMMYFUNCTION("""COMPUTED_VALUE"""),"Consumer Soluções Em Tecnologia Ltda")</f>
        <v>Consumer Soluções Em Tecnologia Ltda</v>
      </c>
      <c r="V2743" s="33">
        <f>IFERROR(__xludf.DUMMYFUNCTION("""COMPUTED_VALUE"""),0.3333333333333333)</f>
        <v>0.3333333333</v>
      </c>
      <c r="W2743" s="4" t="str">
        <f>IFERROR(__xludf.DUMMYFUNCTION("""COMPUTED_VALUE"""),"Consumer Soluções Em Tecnologia Ltda")</f>
        <v>Consumer Soluções Em Tecnologia Ltda</v>
      </c>
      <c r="X2743" s="33">
        <f>IFERROR(__xludf.DUMMYFUNCTION("""COMPUTED_VALUE"""),0.3333333333333333)</f>
        <v>0.3333333333</v>
      </c>
    </row>
    <row r="2744">
      <c r="K2744" s="4" t="str">
        <f>IFERROR(__xludf.DUMMYFUNCTION("""COMPUTED_VALUE"""),"A LENHA PIZZARIA")</f>
        <v>A LENHA PIZZARIA</v>
      </c>
      <c r="L2744" s="32">
        <f>IFERROR(__xludf.DUMMYFUNCTION("""COMPUTED_VALUE"""),3.0)</f>
        <v>3</v>
      </c>
      <c r="M2744" s="4" t="str">
        <f>IFERROR(__xludf.DUMMYFUNCTION("""COMPUTED_VALUE"""),"Bitbar")</f>
        <v>Bitbar</v>
      </c>
      <c r="N2744" s="33">
        <f>IFERROR(__xludf.DUMMYFUNCTION("""COMPUTED_VALUE"""),0.6666666666666666)</f>
        <v>0.6666666667</v>
      </c>
      <c r="O2744" s="4" t="str">
        <f>IFERROR(__xludf.DUMMYFUNCTION("""COMPUTED_VALUE"""),"null")</f>
        <v>null</v>
      </c>
      <c r="P2744" s="33">
        <f>IFERROR(__xludf.DUMMYFUNCTION("""COMPUTED_VALUE"""),0.6666666666666666)</f>
        <v>0.6666666667</v>
      </c>
      <c r="Q2744" s="4" t="str">
        <f>IFERROR(__xludf.DUMMYFUNCTION("""COMPUTED_VALUE"""),"Bitbar")</f>
        <v>Bitbar</v>
      </c>
      <c r="R2744" s="33">
        <f>IFERROR(__xludf.DUMMYFUNCTION("""COMPUTED_VALUE"""),0.6666666666666666)</f>
        <v>0.6666666667</v>
      </c>
      <c r="S2744" s="4" t="str">
        <f>IFERROR(__xludf.DUMMYFUNCTION("""COMPUTED_VALUE"""),"null")</f>
        <v>null</v>
      </c>
      <c r="T2744" s="33">
        <f>IFERROR(__xludf.DUMMYFUNCTION("""COMPUTED_VALUE"""),0.6666666666666666)</f>
        <v>0.6666666667</v>
      </c>
      <c r="U2744" s="4" t="str">
        <f>IFERROR(__xludf.DUMMYFUNCTION("""COMPUTED_VALUE"""),"Bitbar")</f>
        <v>Bitbar</v>
      </c>
      <c r="V2744" s="33">
        <f>IFERROR(__xludf.DUMMYFUNCTION("""COMPUTED_VALUE"""),0.6666666666666666)</f>
        <v>0.6666666667</v>
      </c>
      <c r="W2744" s="4" t="str">
        <f>IFERROR(__xludf.DUMMYFUNCTION("""COMPUTED_VALUE"""),"Bitbar")</f>
        <v>Bitbar</v>
      </c>
      <c r="X2744" s="33">
        <f>IFERROR(__xludf.DUMMYFUNCTION("""COMPUTED_VALUE"""),0.6666666666666666)</f>
        <v>0.6666666667</v>
      </c>
    </row>
    <row r="2745">
      <c r="K2745" s="4" t="str">
        <f>IFERROR(__xludf.DUMMYFUNCTION("""COMPUTED_VALUE"""),"TAURAS BURGUER")</f>
        <v>TAURAS BURGUER</v>
      </c>
      <c r="L2745" s="32">
        <f>IFERROR(__xludf.DUMMYFUNCTION("""COMPUTED_VALUE"""),3.0)</f>
        <v>3</v>
      </c>
      <c r="M2745" s="4" t="str">
        <f>IFERROR(__xludf.DUMMYFUNCTION("""COMPUTED_VALUE"""),"Suitable Tecnologia E Gestao")</f>
        <v>Suitable Tecnologia E Gestao</v>
      </c>
      <c r="N2745" s="33">
        <f>IFERROR(__xludf.DUMMYFUNCTION("""COMPUTED_VALUE"""),1.0)</f>
        <v>1</v>
      </c>
      <c r="O2745" s="4" t="str">
        <f>IFERROR(__xludf.DUMMYFUNCTION("""COMPUTED_VALUE"""),"Suitable Tecnologia E Gestao")</f>
        <v>Suitable Tecnologia E Gestao</v>
      </c>
      <c r="P2745" s="33">
        <f>IFERROR(__xludf.DUMMYFUNCTION("""COMPUTED_VALUE"""),1.0)</f>
        <v>1</v>
      </c>
      <c r="Q2745" s="4" t="str">
        <f>IFERROR(__xludf.DUMMYFUNCTION("""COMPUTED_VALUE"""),"Suitable Tecnologia E Gestao")</f>
        <v>Suitable Tecnologia E Gestao</v>
      </c>
      <c r="R2745" s="33">
        <f>IFERROR(__xludf.DUMMYFUNCTION("""COMPUTED_VALUE"""),1.0)</f>
        <v>1</v>
      </c>
      <c r="S2745" s="4" t="str">
        <f>IFERROR(__xludf.DUMMYFUNCTION("""COMPUTED_VALUE"""),"Suitable Tecnologia E Gestao")</f>
        <v>Suitable Tecnologia E Gestao</v>
      </c>
      <c r="T2745" s="33">
        <f>IFERROR(__xludf.DUMMYFUNCTION("""COMPUTED_VALUE"""),1.0)</f>
        <v>1</v>
      </c>
      <c r="U2745" s="4" t="str">
        <f>IFERROR(__xludf.DUMMYFUNCTION("""COMPUTED_VALUE"""),"Suitable Tecnologia E Gestao")</f>
        <v>Suitable Tecnologia E Gestao</v>
      </c>
      <c r="V2745" s="33">
        <f>IFERROR(__xludf.DUMMYFUNCTION("""COMPUTED_VALUE"""),1.0)</f>
        <v>1</v>
      </c>
      <c r="W2745" s="4" t="str">
        <f>IFERROR(__xludf.DUMMYFUNCTION("""COMPUTED_VALUE"""),"Suitable Tecnologia E Gestao")</f>
        <v>Suitable Tecnologia E Gestao</v>
      </c>
      <c r="X2745" s="33">
        <f>IFERROR(__xludf.DUMMYFUNCTION("""COMPUTED_VALUE"""),1.0)</f>
        <v>1</v>
      </c>
    </row>
    <row r="2746">
      <c r="K2746" s="4" t="str">
        <f>IFERROR(__xludf.DUMMYFUNCTION("""COMPUTED_VALUE"""),"FOME DE PIZZA")</f>
        <v>FOME DE PIZZA</v>
      </c>
      <c r="L2746" s="32">
        <f>IFERROR(__xludf.DUMMYFUNCTION("""COMPUTED_VALUE"""),3.0)</f>
        <v>3</v>
      </c>
      <c r="M2746" s="4" t="str">
        <f>IFERROR(__xludf.DUMMYFUNCTION("""COMPUTED_VALUE"""),"null")</f>
        <v>null</v>
      </c>
      <c r="N2746" s="33">
        <f>IFERROR(__xludf.DUMMYFUNCTION("""COMPUTED_VALUE"""),0.6666666666666666)</f>
        <v>0.6666666667</v>
      </c>
      <c r="O2746" s="4" t="str">
        <f>IFERROR(__xludf.DUMMYFUNCTION("""COMPUTED_VALUE"""),"null")</f>
        <v>null</v>
      </c>
      <c r="P2746" s="33">
        <f>IFERROR(__xludf.DUMMYFUNCTION("""COMPUTED_VALUE"""),0.6666666666666666)</f>
        <v>0.6666666667</v>
      </c>
      <c r="Q2746" s="4" t="str">
        <f>IFERROR(__xludf.DUMMYFUNCTION("""COMPUTED_VALUE"""),"null")</f>
        <v>null</v>
      </c>
      <c r="R2746" s="33">
        <f>IFERROR(__xludf.DUMMYFUNCTION("""COMPUTED_VALUE"""),0.6666666666666666)</f>
        <v>0.6666666667</v>
      </c>
      <c r="S2746" s="4" t="str">
        <f>IFERROR(__xludf.DUMMYFUNCTION("""COMPUTED_VALUE"""),"Saipos Serviços De Software")</f>
        <v>Saipos Serviços De Software</v>
      </c>
      <c r="T2746" s="33">
        <f>IFERROR(__xludf.DUMMYFUNCTION("""COMPUTED_VALUE"""),0.3333333333333333)</f>
        <v>0.3333333333</v>
      </c>
      <c r="U2746" s="4" t="str">
        <f>IFERROR(__xludf.DUMMYFUNCTION("""COMPUTED_VALUE"""),"Saipos Serviços De Software")</f>
        <v>Saipos Serviços De Software</v>
      </c>
      <c r="V2746" s="33">
        <f>IFERROR(__xludf.DUMMYFUNCTION("""COMPUTED_VALUE"""),0.3333333333333333)</f>
        <v>0.3333333333</v>
      </c>
      <c r="W2746" s="4" t="str">
        <f>IFERROR(__xludf.DUMMYFUNCTION("""COMPUTED_VALUE"""),"Saipos Serviços De Software")</f>
        <v>Saipos Serviços De Software</v>
      </c>
      <c r="X2746" s="33">
        <f>IFERROR(__xludf.DUMMYFUNCTION("""COMPUTED_VALUE"""),0.3333333333333333)</f>
        <v>0.3333333333</v>
      </c>
    </row>
    <row r="2747">
      <c r="K2747" s="4" t="str">
        <f>IFERROR(__xludf.DUMMYFUNCTION("""COMPUTED_VALUE"""),"SR ACAI")</f>
        <v>SR ACAI</v>
      </c>
      <c r="L2747" s="32">
        <f>IFERROR(__xludf.DUMMYFUNCTION("""COMPUTED_VALUE"""),3.0)</f>
        <v>3</v>
      </c>
      <c r="M2747" s="4" t="str">
        <f>IFERROR(__xludf.DUMMYFUNCTION("""COMPUTED_VALUE"""),"Fudo Soluciones Sas")</f>
        <v>Fudo Soluciones Sas</v>
      </c>
      <c r="N2747" s="33">
        <f>IFERROR(__xludf.DUMMYFUNCTION("""COMPUTED_VALUE"""),0.3333333333333333)</f>
        <v>0.3333333333</v>
      </c>
      <c r="O2747" s="4" t="str">
        <f>IFERROR(__xludf.DUMMYFUNCTION("""COMPUTED_VALUE"""),"Fudo Soluciones Sas")</f>
        <v>Fudo Soluciones Sas</v>
      </c>
      <c r="P2747" s="33">
        <f>IFERROR(__xludf.DUMMYFUNCTION("""COMPUTED_VALUE"""),0.3333333333333333)</f>
        <v>0.3333333333</v>
      </c>
      <c r="Q2747" s="4" t="str">
        <f>IFERROR(__xludf.DUMMYFUNCTION("""COMPUTED_VALUE"""),"Saipos Serviços De Software")</f>
        <v>Saipos Serviços De Software</v>
      </c>
      <c r="R2747" s="33">
        <f>IFERROR(__xludf.DUMMYFUNCTION("""COMPUTED_VALUE"""),0.3333333333333333)</f>
        <v>0.3333333333</v>
      </c>
      <c r="S2747" s="4" t="str">
        <f>IFERROR(__xludf.DUMMYFUNCTION("""COMPUTED_VALUE"""),"Saipos Serviços De Software")</f>
        <v>Saipos Serviços De Software</v>
      </c>
      <c r="T2747" s="33">
        <f>IFERROR(__xludf.DUMMYFUNCTION("""COMPUTED_VALUE"""),0.3333333333333333)</f>
        <v>0.3333333333</v>
      </c>
      <c r="U2747" s="4" t="str">
        <f>IFERROR(__xludf.DUMMYFUNCTION("""COMPUTED_VALUE"""),"Saipos Serviços De Software")</f>
        <v>Saipos Serviços De Software</v>
      </c>
      <c r="V2747" s="33">
        <f>IFERROR(__xludf.DUMMYFUNCTION("""COMPUTED_VALUE"""),0.3333333333333333)</f>
        <v>0.3333333333</v>
      </c>
      <c r="W2747" s="4" t="str">
        <f>IFERROR(__xludf.DUMMYFUNCTION("""COMPUTED_VALUE"""),"Saipos Serviços De Software")</f>
        <v>Saipos Serviços De Software</v>
      </c>
      <c r="X2747" s="33">
        <f>IFERROR(__xludf.DUMMYFUNCTION("""COMPUTED_VALUE"""),0.3333333333333333)</f>
        <v>0.3333333333</v>
      </c>
    </row>
    <row r="2748">
      <c r="K2748" s="4" t="str">
        <f>IFERROR(__xludf.DUMMYFUNCTION("""COMPUTED_VALUE"""),"BEN JHONS")</f>
        <v>BEN JHONS</v>
      </c>
      <c r="L2748" s="32">
        <f>IFERROR(__xludf.DUMMYFUNCTION("""COMPUTED_VALUE"""),3.0)</f>
        <v>3</v>
      </c>
      <c r="M2748" s="4" t="str">
        <f>IFERROR(__xludf.DUMMYFUNCTION("""COMPUTED_VALUE"""),"Cardápio Web")</f>
        <v>Cardápio Web</v>
      </c>
      <c r="N2748" s="33">
        <f>IFERROR(__xludf.DUMMYFUNCTION("""COMPUTED_VALUE"""),0.6666666666666666)</f>
        <v>0.6666666667</v>
      </c>
      <c r="O2748" s="4" t="str">
        <f>IFERROR(__xludf.DUMMYFUNCTION("""COMPUTED_VALUE"""),"Cardápio Web")</f>
        <v>Cardápio Web</v>
      </c>
      <c r="P2748" s="33">
        <f>IFERROR(__xludf.DUMMYFUNCTION("""COMPUTED_VALUE"""),0.6666666666666666)</f>
        <v>0.6666666667</v>
      </c>
      <c r="Q2748" s="4" t="str">
        <f>IFERROR(__xludf.DUMMYFUNCTION("""COMPUTED_VALUE"""),"Cardápio Web")</f>
        <v>Cardápio Web</v>
      </c>
      <c r="R2748" s="33">
        <f>IFERROR(__xludf.DUMMYFUNCTION("""COMPUTED_VALUE"""),0.6666666666666666)</f>
        <v>0.6666666667</v>
      </c>
      <c r="S2748" s="4" t="str">
        <f>IFERROR(__xludf.DUMMYFUNCTION("""COMPUTED_VALUE"""),"Cardápio Web")</f>
        <v>Cardápio Web</v>
      </c>
      <c r="T2748" s="33">
        <f>IFERROR(__xludf.DUMMYFUNCTION("""COMPUTED_VALUE"""),0.6666666666666666)</f>
        <v>0.6666666667</v>
      </c>
      <c r="U2748" s="4" t="str">
        <f>IFERROR(__xludf.DUMMYFUNCTION("""COMPUTED_VALUE"""),"Cardápio Web")</f>
        <v>Cardápio Web</v>
      </c>
      <c r="V2748" s="33">
        <f>IFERROR(__xludf.DUMMYFUNCTION("""COMPUTED_VALUE"""),0.6666666666666666)</f>
        <v>0.6666666667</v>
      </c>
      <c r="W2748" s="4" t="str">
        <f>IFERROR(__xludf.DUMMYFUNCTION("""COMPUTED_VALUE"""),"Cardápio Web")</f>
        <v>Cardápio Web</v>
      </c>
      <c r="X2748" s="33">
        <f>IFERROR(__xludf.DUMMYFUNCTION("""COMPUTED_VALUE"""),0.6666666666666666)</f>
        <v>0.6666666667</v>
      </c>
    </row>
    <row r="2749">
      <c r="K2749" s="4" t="str">
        <f>IFERROR(__xludf.DUMMYFUNCTION("""COMPUTED_VALUE"""),"LA TAVOLA PIZZARIA")</f>
        <v>LA TAVOLA PIZZARIA</v>
      </c>
      <c r="L2749" s="32">
        <f>IFERROR(__xludf.DUMMYFUNCTION("""COMPUTED_VALUE"""),3.0)</f>
        <v>3</v>
      </c>
      <c r="M2749" s="4" t="str">
        <f>IFERROR(__xludf.DUMMYFUNCTION("""COMPUTED_VALUE"""),"Hubster")</f>
        <v>Hubster</v>
      </c>
      <c r="N2749" s="33">
        <f>IFERROR(__xludf.DUMMYFUNCTION("""COMPUTED_VALUE"""),0.3333333333333333)</f>
        <v>0.3333333333</v>
      </c>
      <c r="O2749" s="4" t="str">
        <f>IFERROR(__xludf.DUMMYFUNCTION("""COMPUTED_VALUE"""),"Hubster")</f>
        <v>Hubster</v>
      </c>
      <c r="P2749" s="33">
        <f>IFERROR(__xludf.DUMMYFUNCTION("""COMPUTED_VALUE"""),0.3333333333333333)</f>
        <v>0.3333333333</v>
      </c>
      <c r="Q2749" s="4" t="str">
        <f>IFERROR(__xludf.DUMMYFUNCTION("""COMPUTED_VALUE"""),"null")</f>
        <v>null</v>
      </c>
      <c r="R2749" s="33">
        <f>IFERROR(__xludf.DUMMYFUNCTION("""COMPUTED_VALUE"""),0.3333333333333333)</f>
        <v>0.3333333333</v>
      </c>
      <c r="S2749" s="4" t="str">
        <f>IFERROR(__xludf.DUMMYFUNCTION("""COMPUTED_VALUE"""),"null")</f>
        <v>null</v>
      </c>
      <c r="T2749" s="33">
        <f>IFERROR(__xludf.DUMMYFUNCTION("""COMPUTED_VALUE"""),0.6666666666666666)</f>
        <v>0.6666666667</v>
      </c>
      <c r="U2749" s="4" t="str">
        <f>IFERROR(__xludf.DUMMYFUNCTION("""COMPUTED_VALUE"""),"null")</f>
        <v>null</v>
      </c>
      <c r="V2749" s="33">
        <f>IFERROR(__xludf.DUMMYFUNCTION("""COMPUTED_VALUE"""),0.3333333333333333)</f>
        <v>0.3333333333</v>
      </c>
      <c r="W2749" s="4" t="str">
        <f>IFERROR(__xludf.DUMMYFUNCTION("""COMPUTED_VALUE"""),"null")</f>
        <v>null</v>
      </c>
      <c r="X2749" s="33">
        <f>IFERROR(__xludf.DUMMYFUNCTION("""COMPUTED_VALUE"""),0.3333333333333333)</f>
        <v>0.3333333333</v>
      </c>
    </row>
    <row r="2750">
      <c r="K2750" s="4" t="str">
        <f>IFERROR(__xludf.DUMMYFUNCTION("""COMPUTED_VALUE"""),"CASA DO ESPETINHO")</f>
        <v>CASA DO ESPETINHO</v>
      </c>
      <c r="L2750" s="32">
        <f>IFERROR(__xludf.DUMMYFUNCTION("""COMPUTED_VALUE"""),3.0)</f>
        <v>3</v>
      </c>
      <c r="M2750" s="4" t="str">
        <f>IFERROR(__xludf.DUMMYFUNCTION("""COMPUTED_VALUE"""),"Saipos Serviços De Software")</f>
        <v>Saipos Serviços De Software</v>
      </c>
      <c r="N2750" s="33">
        <f>IFERROR(__xludf.DUMMYFUNCTION("""COMPUTED_VALUE"""),0.3333333333333333)</f>
        <v>0.3333333333</v>
      </c>
      <c r="O2750" s="4" t="str">
        <f>IFERROR(__xludf.DUMMYFUNCTION("""COMPUTED_VALUE"""),"null")</f>
        <v>null</v>
      </c>
      <c r="P2750" s="33">
        <f>IFERROR(__xludf.DUMMYFUNCTION("""COMPUTED_VALUE"""),0.6666666666666666)</f>
        <v>0.6666666667</v>
      </c>
      <c r="Q2750" s="4" t="str">
        <f>IFERROR(__xludf.DUMMYFUNCTION("""COMPUTED_VALUE"""),"Saipos Serviços De Software")</f>
        <v>Saipos Serviços De Software</v>
      </c>
      <c r="R2750" s="33">
        <f>IFERROR(__xludf.DUMMYFUNCTION("""COMPUTED_VALUE"""),0.3333333333333333)</f>
        <v>0.3333333333</v>
      </c>
      <c r="S2750" s="4" t="str">
        <f>IFERROR(__xludf.DUMMYFUNCTION("""COMPUTED_VALUE"""),"Saipos Serviços De Software")</f>
        <v>Saipos Serviços De Software</v>
      </c>
      <c r="T2750" s="33">
        <f>IFERROR(__xludf.DUMMYFUNCTION("""COMPUTED_VALUE"""),0.3333333333333333)</f>
        <v>0.3333333333</v>
      </c>
      <c r="U2750" s="4" t="str">
        <f>IFERROR(__xludf.DUMMYFUNCTION("""COMPUTED_VALUE"""),"Saipos Serviços De Software")</f>
        <v>Saipos Serviços De Software</v>
      </c>
      <c r="V2750" s="33">
        <f>IFERROR(__xludf.DUMMYFUNCTION("""COMPUTED_VALUE"""),0.3333333333333333)</f>
        <v>0.3333333333</v>
      </c>
      <c r="W2750" s="4" t="str">
        <f>IFERROR(__xludf.DUMMYFUNCTION("""COMPUTED_VALUE"""),"Saipos Serviços De Software")</f>
        <v>Saipos Serviços De Software</v>
      </c>
      <c r="X2750" s="33">
        <f>IFERROR(__xludf.DUMMYFUNCTION("""COMPUTED_VALUE"""),0.3333333333333333)</f>
        <v>0.3333333333</v>
      </c>
    </row>
    <row r="2751">
      <c r="K2751" s="4" t="str">
        <f>IFERROR(__xludf.DUMMYFUNCTION("""COMPUTED_VALUE"""),"QUINTAL BURGUER")</f>
        <v>QUINTAL BURGUER</v>
      </c>
      <c r="L2751" s="32">
        <f>IFERROR(__xludf.DUMMYFUNCTION("""COMPUTED_VALUE"""),3.0)</f>
        <v>3</v>
      </c>
      <c r="M2751" s="4" t="str">
        <f>IFERROR(__xludf.DUMMYFUNCTION("""COMPUTED_VALUE"""),"Saipos Serviços De Software")</f>
        <v>Saipos Serviços De Software</v>
      </c>
      <c r="N2751" s="33">
        <f>IFERROR(__xludf.DUMMYFUNCTION("""COMPUTED_VALUE"""),0.6666666666666666)</f>
        <v>0.6666666667</v>
      </c>
      <c r="O2751" s="4" t="str">
        <f>IFERROR(__xludf.DUMMYFUNCTION("""COMPUTED_VALUE"""),"Saipos Serviços De Software")</f>
        <v>Saipos Serviços De Software</v>
      </c>
      <c r="P2751" s="33">
        <f>IFERROR(__xludf.DUMMYFUNCTION("""COMPUTED_VALUE"""),0.6666666666666666)</f>
        <v>0.6666666667</v>
      </c>
      <c r="Q2751" s="4" t="str">
        <f>IFERROR(__xludf.DUMMYFUNCTION("""COMPUTED_VALUE"""),"Swfast Sistemas")</f>
        <v>Swfast Sistemas</v>
      </c>
      <c r="R2751" s="33">
        <f>IFERROR(__xludf.DUMMYFUNCTION("""COMPUTED_VALUE"""),0.3333333333333333)</f>
        <v>0.3333333333</v>
      </c>
      <c r="S2751" s="4" t="str">
        <f>IFERROR(__xludf.DUMMYFUNCTION("""COMPUTED_VALUE"""),"Swfast Sistemas")</f>
        <v>Swfast Sistemas</v>
      </c>
      <c r="T2751" s="33">
        <f>IFERROR(__xludf.DUMMYFUNCTION("""COMPUTED_VALUE"""),0.3333333333333333)</f>
        <v>0.3333333333</v>
      </c>
      <c r="U2751" s="4" t="str">
        <f>IFERROR(__xludf.DUMMYFUNCTION("""COMPUTED_VALUE"""),"null")</f>
        <v>null</v>
      </c>
      <c r="V2751" s="33">
        <f>IFERROR(__xludf.DUMMYFUNCTION("""COMPUTED_VALUE"""),0.6666666666666666)</f>
        <v>0.6666666667</v>
      </c>
      <c r="W2751" s="4" t="str">
        <f>IFERROR(__xludf.DUMMYFUNCTION("""COMPUTED_VALUE"""),"Swfast Sistemas")</f>
        <v>Swfast Sistemas</v>
      </c>
      <c r="X2751" s="33">
        <f>IFERROR(__xludf.DUMMYFUNCTION("""COMPUTED_VALUE"""),0.3333333333333333)</f>
        <v>0.3333333333</v>
      </c>
    </row>
    <row r="2752">
      <c r="K2752" s="4" t="str">
        <f>IFERROR(__xludf.DUMMYFUNCTION("""COMPUTED_VALUE"""),"COMIDA DE VO")</f>
        <v>COMIDA DE VO</v>
      </c>
      <c r="L2752" s="32">
        <f>IFERROR(__xludf.DUMMYFUNCTION("""COMPUTED_VALUE"""),3.0)</f>
        <v>3</v>
      </c>
      <c r="M2752" s="4" t="str">
        <f>IFERROR(__xludf.DUMMYFUNCTION("""COMPUTED_VALUE"""),"Saipos Serviços De Software")</f>
        <v>Saipos Serviços De Software</v>
      </c>
      <c r="N2752" s="33">
        <f>IFERROR(__xludf.DUMMYFUNCTION("""COMPUTED_VALUE"""),0.6666666666666666)</f>
        <v>0.6666666667</v>
      </c>
      <c r="O2752" s="4" t="str">
        <f>IFERROR(__xludf.DUMMYFUNCTION("""COMPUTED_VALUE"""),"Saipos Serviços De Software")</f>
        <v>Saipos Serviços De Software</v>
      </c>
      <c r="P2752" s="33">
        <f>IFERROR(__xludf.DUMMYFUNCTION("""COMPUTED_VALUE"""),0.6666666666666666)</f>
        <v>0.6666666667</v>
      </c>
      <c r="Q2752" s="4" t="str">
        <f>IFERROR(__xludf.DUMMYFUNCTION("""COMPUTED_VALUE"""),"Saipos Serviços De Software")</f>
        <v>Saipos Serviços De Software</v>
      </c>
      <c r="R2752" s="33">
        <f>IFERROR(__xludf.DUMMYFUNCTION("""COMPUTED_VALUE"""),0.6666666666666666)</f>
        <v>0.6666666667</v>
      </c>
      <c r="S2752" s="4" t="str">
        <f>IFERROR(__xludf.DUMMYFUNCTION("""COMPUTED_VALUE"""),"Saipos Serviços De Software")</f>
        <v>Saipos Serviços De Software</v>
      </c>
      <c r="T2752" s="33">
        <f>IFERROR(__xludf.DUMMYFUNCTION("""COMPUTED_VALUE"""),0.6666666666666666)</f>
        <v>0.6666666667</v>
      </c>
      <c r="U2752" s="4" t="str">
        <f>IFERROR(__xludf.DUMMYFUNCTION("""COMPUTED_VALUE"""),"Saipos Serviços De Software")</f>
        <v>Saipos Serviços De Software</v>
      </c>
      <c r="V2752" s="33">
        <f>IFERROR(__xludf.DUMMYFUNCTION("""COMPUTED_VALUE"""),0.6666666666666666)</f>
        <v>0.6666666667</v>
      </c>
      <c r="W2752" s="4" t="str">
        <f>IFERROR(__xludf.DUMMYFUNCTION("""COMPUTED_VALUE"""),"Saipos Serviços De Software")</f>
        <v>Saipos Serviços De Software</v>
      </c>
      <c r="X2752" s="33">
        <f>IFERROR(__xludf.DUMMYFUNCTION("""COMPUTED_VALUE"""),0.6666666666666666)</f>
        <v>0.6666666667</v>
      </c>
    </row>
    <row r="2753">
      <c r="K2753" s="4" t="str">
        <f>IFERROR(__xludf.DUMMYFUNCTION("""COMPUTED_VALUE"""),"ROASTED POTATO BATATA RECHEADA")</f>
        <v>ROASTED POTATO BATATA RECHEADA</v>
      </c>
      <c r="L2753" s="32">
        <f>IFERROR(__xludf.DUMMYFUNCTION("""COMPUTED_VALUE"""),3.0)</f>
        <v>3</v>
      </c>
      <c r="M2753" s="4" t="str">
        <f>IFERROR(__xludf.DUMMYFUNCTION("""COMPUTED_VALUE"""),"Frg Informática")</f>
        <v>Frg Informática</v>
      </c>
      <c r="N2753" s="33">
        <f>IFERROR(__xludf.DUMMYFUNCTION("""COMPUTED_VALUE"""),0.6666666666666666)</f>
        <v>0.6666666667</v>
      </c>
      <c r="O2753" s="4" t="str">
        <f>IFERROR(__xludf.DUMMYFUNCTION("""COMPUTED_VALUE"""),"null")</f>
        <v>null</v>
      </c>
      <c r="P2753" s="33">
        <f>IFERROR(__xludf.DUMMYFUNCTION("""COMPUTED_VALUE"""),0.6666666666666666)</f>
        <v>0.6666666667</v>
      </c>
      <c r="Q2753" s="4" t="str">
        <f>IFERROR(__xludf.DUMMYFUNCTION("""COMPUTED_VALUE"""),"null")</f>
        <v>null</v>
      </c>
      <c r="R2753" s="33">
        <f>IFERROR(__xludf.DUMMYFUNCTION("""COMPUTED_VALUE"""),0.6666666666666666)</f>
        <v>0.6666666667</v>
      </c>
      <c r="S2753" s="4" t="str">
        <f>IFERROR(__xludf.DUMMYFUNCTION("""COMPUTED_VALUE"""),"null")</f>
        <v>null</v>
      </c>
      <c r="T2753" s="33">
        <f>IFERROR(__xludf.DUMMYFUNCTION("""COMPUTED_VALUE"""),0.3333333333333333)</f>
        <v>0.3333333333</v>
      </c>
      <c r="U2753" s="4" t="str">
        <f>IFERROR(__xludf.DUMMYFUNCTION("""COMPUTED_VALUE"""),"null")</f>
        <v>null</v>
      </c>
      <c r="V2753" s="33">
        <f>IFERROR(__xludf.DUMMYFUNCTION("""COMPUTED_VALUE"""),0.6666666666666666)</f>
        <v>0.6666666667</v>
      </c>
      <c r="W2753" s="4" t="str">
        <f>IFERROR(__xludf.DUMMYFUNCTION("""COMPUTED_VALUE"""),"null")</f>
        <v>null</v>
      </c>
      <c r="X2753" s="33">
        <f>IFERROR(__xludf.DUMMYFUNCTION("""COMPUTED_VALUE"""),0.3333333333333333)</f>
        <v>0.3333333333</v>
      </c>
    </row>
    <row r="2754">
      <c r="K2754" s="4" t="str">
        <f>IFERROR(__xludf.DUMMYFUNCTION("""COMPUTED_VALUE"""),"FARMACIA MAIS SAUDE")</f>
        <v>FARMACIA MAIS SAUDE</v>
      </c>
      <c r="L2754" s="32">
        <f>IFERROR(__xludf.DUMMYFUNCTION("""COMPUTED_VALUE"""),3.0)</f>
        <v>3</v>
      </c>
      <c r="M2754" s="4" t="str">
        <f>IFERROR(__xludf.DUMMYFUNCTION("""COMPUTED_VALUE"""),"N/A (Not found)")</f>
        <v>N/A (Not found)</v>
      </c>
      <c r="N2754" s="33">
        <f>IFERROR(__xludf.DUMMYFUNCTION("""COMPUTED_VALUE"""),1.0)</f>
        <v>1</v>
      </c>
      <c r="O2754" s="4" t="str">
        <f>IFERROR(__xludf.DUMMYFUNCTION("""COMPUTED_VALUE"""),"N/A (Not found)")</f>
        <v>N/A (Not found)</v>
      </c>
      <c r="P2754" s="33">
        <f>IFERROR(__xludf.DUMMYFUNCTION("""COMPUTED_VALUE"""),1.0)</f>
        <v>1</v>
      </c>
      <c r="Q2754" s="4" t="str">
        <f>IFERROR(__xludf.DUMMYFUNCTION("""COMPUTED_VALUE"""),"null")</f>
        <v>null</v>
      </c>
      <c r="R2754" s="33">
        <f>IFERROR(__xludf.DUMMYFUNCTION("""COMPUTED_VALUE"""),0.6666666666666666)</f>
        <v>0.6666666667</v>
      </c>
      <c r="S2754" s="4" t="str">
        <f>IFERROR(__xludf.DUMMYFUNCTION("""COMPUTED_VALUE"""),"N/A (Not found)")</f>
        <v>N/A (Not found)</v>
      </c>
      <c r="T2754" s="33">
        <f>IFERROR(__xludf.DUMMYFUNCTION("""COMPUTED_VALUE"""),0.6666666666666666)</f>
        <v>0.6666666667</v>
      </c>
      <c r="U2754" s="4" t="str">
        <f>IFERROR(__xludf.DUMMYFUNCTION("""COMPUTED_VALUE"""),"N/A (Not found)")</f>
        <v>N/A (Not found)</v>
      </c>
      <c r="V2754" s="33">
        <f>IFERROR(__xludf.DUMMYFUNCTION("""COMPUTED_VALUE"""),0.6666666666666666)</f>
        <v>0.6666666667</v>
      </c>
      <c r="W2754" s="4" t="str">
        <f>IFERROR(__xludf.DUMMYFUNCTION("""COMPUTED_VALUE"""),"N/A (Not found)")</f>
        <v>N/A (Not found)</v>
      </c>
      <c r="X2754" s="33">
        <f>IFERROR(__xludf.DUMMYFUNCTION("""COMPUTED_VALUE"""),1.0)</f>
        <v>1</v>
      </c>
    </row>
    <row r="2755">
      <c r="K2755" s="4" t="str">
        <f>IFERROR(__xludf.DUMMYFUNCTION("""COMPUTED_VALUE"""),"SAN SUSHI")</f>
        <v>SAN SUSHI</v>
      </c>
      <c r="L2755" s="32">
        <f>IFERROR(__xludf.DUMMYFUNCTION("""COMPUTED_VALUE"""),3.0)</f>
        <v>3</v>
      </c>
      <c r="M2755" s="4" t="str">
        <f>IFERROR(__xludf.DUMMYFUNCTION("""COMPUTED_VALUE"""),"Prefiro Delivery")</f>
        <v>Prefiro Delivery</v>
      </c>
      <c r="N2755" s="33">
        <f>IFERROR(__xludf.DUMMYFUNCTION("""COMPUTED_VALUE"""),0.3333333333333333)</f>
        <v>0.3333333333</v>
      </c>
      <c r="O2755" s="4" t="str">
        <f>IFERROR(__xludf.DUMMYFUNCTION("""COMPUTED_VALUE"""),"Prefiro Delivery")</f>
        <v>Prefiro Delivery</v>
      </c>
      <c r="P2755" s="33">
        <f>IFERROR(__xludf.DUMMYFUNCTION("""COMPUTED_VALUE"""),0.3333333333333333)</f>
        <v>0.3333333333</v>
      </c>
      <c r="Q2755" s="4" t="str">
        <f>IFERROR(__xludf.DUMMYFUNCTION("""COMPUTED_VALUE"""),"Prefiro Delivery")</f>
        <v>Prefiro Delivery</v>
      </c>
      <c r="R2755" s="33">
        <f>IFERROR(__xludf.DUMMYFUNCTION("""COMPUTED_VALUE"""),0.3333333333333333)</f>
        <v>0.3333333333</v>
      </c>
      <c r="S2755" s="4" t="str">
        <f>IFERROR(__xludf.DUMMYFUNCTION("""COMPUTED_VALUE"""),"Prefiro Delivery")</f>
        <v>Prefiro Delivery</v>
      </c>
      <c r="T2755" s="33">
        <f>IFERROR(__xludf.DUMMYFUNCTION("""COMPUTED_VALUE"""),0.3333333333333333)</f>
        <v>0.3333333333</v>
      </c>
      <c r="U2755" s="4" t="str">
        <f>IFERROR(__xludf.DUMMYFUNCTION("""COMPUTED_VALUE"""),"Prefiro Delivery")</f>
        <v>Prefiro Delivery</v>
      </c>
      <c r="V2755" s="33">
        <f>IFERROR(__xludf.DUMMYFUNCTION("""COMPUTED_VALUE"""),0.3333333333333333)</f>
        <v>0.3333333333</v>
      </c>
      <c r="W2755" s="4" t="str">
        <f>IFERROR(__xludf.DUMMYFUNCTION("""COMPUTED_VALUE"""),"Prefiro Delivery")</f>
        <v>Prefiro Delivery</v>
      </c>
      <c r="X2755" s="33">
        <f>IFERROR(__xludf.DUMMYFUNCTION("""COMPUTED_VALUE"""),0.3333333333333333)</f>
        <v>0.3333333333</v>
      </c>
    </row>
    <row r="2756">
      <c r="K2756" s="4" t="str">
        <f>IFERROR(__xludf.DUMMYFUNCTION("""COMPUTED_VALUE"""),"MESTRE PIZZA")</f>
        <v>MESTRE PIZZA</v>
      </c>
      <c r="L2756" s="32">
        <f>IFERROR(__xludf.DUMMYFUNCTION("""COMPUTED_VALUE"""),3.0)</f>
        <v>3</v>
      </c>
      <c r="M2756" s="4" t="str">
        <f>IFERROR(__xludf.DUMMYFUNCTION("""COMPUTED_VALUE"""),"Beefood - Sistema Para Restaurantes")</f>
        <v>Beefood - Sistema Para Restaurantes</v>
      </c>
      <c r="N2756" s="33">
        <f>IFERROR(__xludf.DUMMYFUNCTION("""COMPUTED_VALUE"""),0.6666666666666666)</f>
        <v>0.6666666667</v>
      </c>
      <c r="O2756" s="4" t="str">
        <f>IFERROR(__xludf.DUMMYFUNCTION("""COMPUTED_VALUE"""),"Beefood - Sistema Para Restaurantes")</f>
        <v>Beefood - Sistema Para Restaurantes</v>
      </c>
      <c r="P2756" s="33">
        <f>IFERROR(__xludf.DUMMYFUNCTION("""COMPUTED_VALUE"""),0.6666666666666666)</f>
        <v>0.6666666667</v>
      </c>
      <c r="Q2756" s="4" t="str">
        <f>IFERROR(__xludf.DUMMYFUNCTION("""COMPUTED_VALUE"""),"Beefood - Sistema Para Restaurantes")</f>
        <v>Beefood - Sistema Para Restaurantes</v>
      </c>
      <c r="R2756" s="33">
        <f>IFERROR(__xludf.DUMMYFUNCTION("""COMPUTED_VALUE"""),0.6666666666666666)</f>
        <v>0.6666666667</v>
      </c>
      <c r="S2756" s="4" t="str">
        <f>IFERROR(__xludf.DUMMYFUNCTION("""COMPUTED_VALUE"""),"Beefood - Sistema Para Restaurantes")</f>
        <v>Beefood - Sistema Para Restaurantes</v>
      </c>
      <c r="T2756" s="33">
        <f>IFERROR(__xludf.DUMMYFUNCTION("""COMPUTED_VALUE"""),0.6666666666666666)</f>
        <v>0.6666666667</v>
      </c>
      <c r="U2756" s="4" t="str">
        <f>IFERROR(__xludf.DUMMYFUNCTION("""COMPUTED_VALUE"""),"Beefood - Sistema Para Restaurantes")</f>
        <v>Beefood - Sistema Para Restaurantes</v>
      </c>
      <c r="V2756" s="33">
        <f>IFERROR(__xludf.DUMMYFUNCTION("""COMPUTED_VALUE"""),0.3333333333333333)</f>
        <v>0.3333333333</v>
      </c>
      <c r="W2756" s="4" t="str">
        <f>IFERROR(__xludf.DUMMYFUNCTION("""COMPUTED_VALUE"""),"Beefood - Sistema Para Restaurantes")</f>
        <v>Beefood - Sistema Para Restaurantes</v>
      </c>
      <c r="X2756" s="33">
        <f>IFERROR(__xludf.DUMMYFUNCTION("""COMPUTED_VALUE"""),0.6666666666666666)</f>
        <v>0.6666666667</v>
      </c>
    </row>
    <row r="2757">
      <c r="K2757" s="4" t="str">
        <f>IFERROR(__xludf.DUMMYFUNCTION("""COMPUTED_VALUE"""),"GARAGE PIZZA EXPRESS - PIZZARIA DELIVERY")</f>
        <v>GARAGE PIZZA EXPRESS - PIZZARIA DELIVERY</v>
      </c>
      <c r="L2757" s="32">
        <f>IFERROR(__xludf.DUMMYFUNCTION("""COMPUTED_VALUE"""),3.0)</f>
        <v>3</v>
      </c>
      <c r="M2757" s="4" t="str">
        <f>IFERROR(__xludf.DUMMYFUNCTION("""COMPUTED_VALUE"""),"Cardápio Web")</f>
        <v>Cardápio Web</v>
      </c>
      <c r="N2757" s="33">
        <f>IFERROR(__xludf.DUMMYFUNCTION("""COMPUTED_VALUE"""),1.0)</f>
        <v>1</v>
      </c>
      <c r="O2757" s="4" t="str">
        <f>IFERROR(__xludf.DUMMYFUNCTION("""COMPUTED_VALUE"""),"Cardápio Web")</f>
        <v>Cardápio Web</v>
      </c>
      <c r="P2757" s="33">
        <f>IFERROR(__xludf.DUMMYFUNCTION("""COMPUTED_VALUE"""),1.0)</f>
        <v>1</v>
      </c>
      <c r="Q2757" s="4" t="str">
        <f>IFERROR(__xludf.DUMMYFUNCTION("""COMPUTED_VALUE"""),"Cardápio Web")</f>
        <v>Cardápio Web</v>
      </c>
      <c r="R2757" s="33">
        <f>IFERROR(__xludf.DUMMYFUNCTION("""COMPUTED_VALUE"""),1.0)</f>
        <v>1</v>
      </c>
      <c r="S2757" s="4" t="str">
        <f>IFERROR(__xludf.DUMMYFUNCTION("""COMPUTED_VALUE"""),"Cardápio Web")</f>
        <v>Cardápio Web</v>
      </c>
      <c r="T2757" s="33">
        <f>IFERROR(__xludf.DUMMYFUNCTION("""COMPUTED_VALUE"""),1.0)</f>
        <v>1</v>
      </c>
      <c r="U2757" s="4" t="str">
        <f>IFERROR(__xludf.DUMMYFUNCTION("""COMPUTED_VALUE"""),"Cardápio Web")</f>
        <v>Cardápio Web</v>
      </c>
      <c r="V2757" s="33">
        <f>IFERROR(__xludf.DUMMYFUNCTION("""COMPUTED_VALUE"""),1.0)</f>
        <v>1</v>
      </c>
      <c r="W2757" s="4" t="str">
        <f>IFERROR(__xludf.DUMMYFUNCTION("""COMPUTED_VALUE"""),"Cardápio Web")</f>
        <v>Cardápio Web</v>
      </c>
      <c r="X2757" s="33">
        <f>IFERROR(__xludf.DUMMYFUNCTION("""COMPUTED_VALUE"""),1.0)</f>
        <v>1</v>
      </c>
    </row>
    <row r="2758">
      <c r="K2758" s="4" t="str">
        <f>IFERROR(__xludf.DUMMYFUNCTION("""COMPUTED_VALUE"""),"VINI BURGUER")</f>
        <v>VINI BURGUER</v>
      </c>
      <c r="L2758" s="32">
        <f>IFERROR(__xludf.DUMMYFUNCTION("""COMPUTED_VALUE"""),3.0)</f>
        <v>3</v>
      </c>
      <c r="M2758" s="4" t="str">
        <f>IFERROR(__xludf.DUMMYFUNCTION("""COMPUTED_VALUE"""),"Saipos Serviços De Software")</f>
        <v>Saipos Serviços De Software</v>
      </c>
      <c r="N2758" s="33">
        <f>IFERROR(__xludf.DUMMYFUNCTION("""COMPUTED_VALUE"""),0.3333333333333333)</f>
        <v>0.3333333333</v>
      </c>
      <c r="O2758" s="4" t="str">
        <f>IFERROR(__xludf.DUMMYFUNCTION("""COMPUTED_VALUE"""),"null")</f>
        <v>null</v>
      </c>
      <c r="P2758" s="33">
        <f>IFERROR(__xludf.DUMMYFUNCTION("""COMPUTED_VALUE"""),0.6666666666666666)</f>
        <v>0.6666666667</v>
      </c>
      <c r="Q2758" s="4" t="str">
        <f>IFERROR(__xludf.DUMMYFUNCTION("""COMPUTED_VALUE"""),"null")</f>
        <v>null</v>
      </c>
      <c r="R2758" s="33">
        <f>IFERROR(__xludf.DUMMYFUNCTION("""COMPUTED_VALUE"""),0.6666666666666666)</f>
        <v>0.6666666667</v>
      </c>
      <c r="S2758" s="4" t="str">
        <f>IFERROR(__xludf.DUMMYFUNCTION("""COMPUTED_VALUE"""),"null")</f>
        <v>null</v>
      </c>
      <c r="T2758" s="33">
        <f>IFERROR(__xludf.DUMMYFUNCTION("""COMPUTED_VALUE"""),0.6666666666666666)</f>
        <v>0.6666666667</v>
      </c>
      <c r="U2758" s="4" t="str">
        <f>IFERROR(__xludf.DUMMYFUNCTION("""COMPUTED_VALUE"""),"null")</f>
        <v>null</v>
      </c>
      <c r="V2758" s="33">
        <f>IFERROR(__xludf.DUMMYFUNCTION("""COMPUTED_VALUE"""),0.6666666666666666)</f>
        <v>0.6666666667</v>
      </c>
      <c r="W2758" s="4" t="str">
        <f>IFERROR(__xludf.DUMMYFUNCTION("""COMPUTED_VALUE"""),"Saipos Serviços De Software")</f>
        <v>Saipos Serviços De Software</v>
      </c>
      <c r="X2758" s="33">
        <f>IFERROR(__xludf.DUMMYFUNCTION("""COMPUTED_VALUE"""),0.3333333333333333)</f>
        <v>0.3333333333</v>
      </c>
    </row>
    <row r="2759">
      <c r="K2759" s="4" t="str">
        <f>IFERROR(__xludf.DUMMYFUNCTION("""COMPUTED_VALUE"""),"MANIA BURGUER")</f>
        <v>MANIA BURGUER</v>
      </c>
      <c r="L2759" s="32">
        <f>IFERROR(__xludf.DUMMYFUNCTION("""COMPUTED_VALUE"""),3.0)</f>
        <v>3</v>
      </c>
      <c r="M2759" s="4" t="str">
        <f>IFERROR(__xludf.DUMMYFUNCTION("""COMPUTED_VALUE"""),"null")</f>
        <v>null</v>
      </c>
      <c r="N2759" s="33">
        <f>IFERROR(__xludf.DUMMYFUNCTION("""COMPUTED_VALUE"""),0.6666666666666666)</f>
        <v>0.6666666667</v>
      </c>
      <c r="O2759" s="4" t="str">
        <f>IFERROR(__xludf.DUMMYFUNCTION("""COMPUTED_VALUE"""),"Anota Ai Solucoes Digitais S/a")</f>
        <v>Anota Ai Solucoes Digitais S/a</v>
      </c>
      <c r="P2759" s="33">
        <f>IFERROR(__xludf.DUMMYFUNCTION("""COMPUTED_VALUE"""),0.3333333333333333)</f>
        <v>0.3333333333</v>
      </c>
      <c r="Q2759" s="4" t="str">
        <f>IFERROR(__xludf.DUMMYFUNCTION("""COMPUTED_VALUE"""),"Anota Ai Solucoes Digitais S/a")</f>
        <v>Anota Ai Solucoes Digitais S/a</v>
      </c>
      <c r="R2759" s="33">
        <f>IFERROR(__xludf.DUMMYFUNCTION("""COMPUTED_VALUE"""),0.3333333333333333)</f>
        <v>0.3333333333</v>
      </c>
      <c r="S2759" s="4" t="str">
        <f>IFERROR(__xludf.DUMMYFUNCTION("""COMPUTED_VALUE"""),"Anota Ai Solucoes Digitais S/a")</f>
        <v>Anota Ai Solucoes Digitais S/a</v>
      </c>
      <c r="T2759" s="33">
        <f>IFERROR(__xludf.DUMMYFUNCTION("""COMPUTED_VALUE"""),0.3333333333333333)</f>
        <v>0.3333333333</v>
      </c>
      <c r="U2759" s="4" t="str">
        <f>IFERROR(__xludf.DUMMYFUNCTION("""COMPUTED_VALUE"""),"Anota Ai Solucoes Digitais S/a")</f>
        <v>Anota Ai Solucoes Digitais S/a</v>
      </c>
      <c r="V2759" s="33">
        <f>IFERROR(__xludf.DUMMYFUNCTION("""COMPUTED_VALUE"""),0.3333333333333333)</f>
        <v>0.3333333333</v>
      </c>
      <c r="W2759" s="4" t="str">
        <f>IFERROR(__xludf.DUMMYFUNCTION("""COMPUTED_VALUE"""),"Anota Ai Solucoes Digitais S/a")</f>
        <v>Anota Ai Solucoes Digitais S/a</v>
      </c>
      <c r="X2759" s="33">
        <f>IFERROR(__xludf.DUMMYFUNCTION("""COMPUTED_VALUE"""),0.3333333333333333)</f>
        <v>0.3333333333</v>
      </c>
    </row>
    <row r="2760">
      <c r="K2760" s="4" t="str">
        <f>IFERROR(__xludf.DUMMYFUNCTION("""COMPUTED_VALUE"""),"ACAI MASTER")</f>
        <v>ACAI MASTER</v>
      </c>
      <c r="L2760" s="32">
        <f>IFERROR(__xludf.DUMMYFUNCTION("""COMPUTED_VALUE"""),3.0)</f>
        <v>3</v>
      </c>
      <c r="M2760" s="4" t="str">
        <f>IFERROR(__xludf.DUMMYFUNCTION("""COMPUTED_VALUE"""),"Instadelivery")</f>
        <v>Instadelivery</v>
      </c>
      <c r="N2760" s="33">
        <f>IFERROR(__xludf.DUMMYFUNCTION("""COMPUTED_VALUE"""),0.3333333333333333)</f>
        <v>0.3333333333</v>
      </c>
      <c r="O2760" s="4" t="str">
        <f>IFERROR(__xludf.DUMMYFUNCTION("""COMPUTED_VALUE"""),"Instadelivery")</f>
        <v>Instadelivery</v>
      </c>
      <c r="P2760" s="33">
        <f>IFERROR(__xludf.DUMMYFUNCTION("""COMPUTED_VALUE"""),0.3333333333333333)</f>
        <v>0.3333333333</v>
      </c>
      <c r="Q2760" s="4" t="str">
        <f>IFERROR(__xludf.DUMMYFUNCTION("""COMPUTED_VALUE"""),"Instadelivery")</f>
        <v>Instadelivery</v>
      </c>
      <c r="R2760" s="33">
        <f>IFERROR(__xludf.DUMMYFUNCTION("""COMPUTED_VALUE"""),0.3333333333333333)</f>
        <v>0.3333333333</v>
      </c>
      <c r="S2760" s="4" t="str">
        <f>IFERROR(__xludf.DUMMYFUNCTION("""COMPUTED_VALUE"""),"Instadelivery")</f>
        <v>Instadelivery</v>
      </c>
      <c r="T2760" s="33">
        <f>IFERROR(__xludf.DUMMYFUNCTION("""COMPUTED_VALUE"""),0.3333333333333333)</f>
        <v>0.3333333333</v>
      </c>
      <c r="U2760" s="4" t="str">
        <f>IFERROR(__xludf.DUMMYFUNCTION("""COMPUTED_VALUE"""),"Instadelivery")</f>
        <v>Instadelivery</v>
      </c>
      <c r="V2760" s="33">
        <f>IFERROR(__xludf.DUMMYFUNCTION("""COMPUTED_VALUE"""),0.3333333333333333)</f>
        <v>0.3333333333</v>
      </c>
      <c r="W2760" s="4" t="str">
        <f>IFERROR(__xludf.DUMMYFUNCTION("""COMPUTED_VALUE"""),"Instadelivery")</f>
        <v>Instadelivery</v>
      </c>
      <c r="X2760" s="33">
        <f>IFERROR(__xludf.DUMMYFUNCTION("""COMPUTED_VALUE"""),0.3333333333333333)</f>
        <v>0.3333333333</v>
      </c>
    </row>
    <row r="2761">
      <c r="K2761" s="4" t="str">
        <f>IFERROR(__xludf.DUMMYFUNCTION("""COMPUTED_VALUE"""),"CIA DO ACAI")</f>
        <v>CIA DO ACAI</v>
      </c>
      <c r="L2761" s="32">
        <f>IFERROR(__xludf.DUMMYFUNCTION("""COMPUTED_VALUE"""),3.0)</f>
        <v>3</v>
      </c>
      <c r="M2761" s="4" t="str">
        <f>IFERROR(__xludf.DUMMYFUNCTION("""COMPUTED_VALUE"""),"null")</f>
        <v>null</v>
      </c>
      <c r="N2761" s="33">
        <f>IFERROR(__xludf.DUMMYFUNCTION("""COMPUTED_VALUE"""),0.6666666666666666)</f>
        <v>0.6666666667</v>
      </c>
      <c r="O2761" s="4" t="str">
        <f>IFERROR(__xludf.DUMMYFUNCTION("""COMPUTED_VALUE"""),"null")</f>
        <v>null</v>
      </c>
      <c r="P2761" s="33">
        <f>IFERROR(__xludf.DUMMYFUNCTION("""COMPUTED_VALUE"""),0.6666666666666666)</f>
        <v>0.6666666667</v>
      </c>
      <c r="Q2761" s="4" t="str">
        <f>IFERROR(__xludf.DUMMYFUNCTION("""COMPUTED_VALUE"""),"null")</f>
        <v>null</v>
      </c>
      <c r="R2761" s="33">
        <f>IFERROR(__xludf.DUMMYFUNCTION("""COMPUTED_VALUE"""),0.6666666666666666)</f>
        <v>0.6666666667</v>
      </c>
      <c r="S2761" s="4" t="str">
        <f>IFERROR(__xludf.DUMMYFUNCTION("""COMPUTED_VALUE"""),"null")</f>
        <v>null</v>
      </c>
      <c r="T2761" s="33">
        <f>IFERROR(__xludf.DUMMYFUNCTION("""COMPUTED_VALUE"""),0.6666666666666666)</f>
        <v>0.6666666667</v>
      </c>
      <c r="U2761" s="4" t="str">
        <f>IFERROR(__xludf.DUMMYFUNCTION("""COMPUTED_VALUE"""),"Beefood - Sistema Para Restaurantes")</f>
        <v>Beefood - Sistema Para Restaurantes</v>
      </c>
      <c r="V2761" s="33">
        <f>IFERROR(__xludf.DUMMYFUNCTION("""COMPUTED_VALUE"""),0.3333333333333333)</f>
        <v>0.3333333333</v>
      </c>
      <c r="W2761" s="4" t="str">
        <f>IFERROR(__xludf.DUMMYFUNCTION("""COMPUTED_VALUE"""),"Beefood - Sistema Para Restaurantes")</f>
        <v>Beefood - Sistema Para Restaurantes</v>
      </c>
      <c r="X2761" s="33">
        <f>IFERROR(__xludf.DUMMYFUNCTION("""COMPUTED_VALUE"""),0.3333333333333333)</f>
        <v>0.3333333333</v>
      </c>
    </row>
    <row r="2762">
      <c r="K2762" s="4" t="str">
        <f>IFERROR(__xludf.DUMMYFUNCTION("""COMPUTED_VALUE"""),"CHICOS RESTAURANTE")</f>
        <v>CHICOS RESTAURANTE</v>
      </c>
      <c r="L2762" s="32">
        <f>IFERROR(__xludf.DUMMYFUNCTION("""COMPUTED_VALUE"""),3.0)</f>
        <v>3</v>
      </c>
      <c r="M2762" s="4" t="str">
        <f>IFERROR(__xludf.DUMMYFUNCTION("""COMPUTED_VALUE"""),"Saipos Serviços De Software")</f>
        <v>Saipos Serviços De Software</v>
      </c>
      <c r="N2762" s="33">
        <f>IFERROR(__xludf.DUMMYFUNCTION("""COMPUTED_VALUE"""),1.0)</f>
        <v>1</v>
      </c>
      <c r="O2762" s="4" t="str">
        <f>IFERROR(__xludf.DUMMYFUNCTION("""COMPUTED_VALUE"""),"Saipos Serviços De Software")</f>
        <v>Saipos Serviços De Software</v>
      </c>
      <c r="P2762" s="33">
        <f>IFERROR(__xludf.DUMMYFUNCTION("""COMPUTED_VALUE"""),1.0)</f>
        <v>1</v>
      </c>
      <c r="Q2762" s="4" t="str">
        <f>IFERROR(__xludf.DUMMYFUNCTION("""COMPUTED_VALUE"""),"Saipos Serviços De Software")</f>
        <v>Saipos Serviços De Software</v>
      </c>
      <c r="R2762" s="33">
        <f>IFERROR(__xludf.DUMMYFUNCTION("""COMPUTED_VALUE"""),1.0)</f>
        <v>1</v>
      </c>
      <c r="S2762" s="4" t="str">
        <f>IFERROR(__xludf.DUMMYFUNCTION("""COMPUTED_VALUE"""),"null")</f>
        <v>null</v>
      </c>
      <c r="T2762" s="33">
        <f>IFERROR(__xludf.DUMMYFUNCTION("""COMPUTED_VALUE"""),1.0)</f>
        <v>1</v>
      </c>
      <c r="U2762" s="4" t="str">
        <f>IFERROR(__xludf.DUMMYFUNCTION("""COMPUTED_VALUE"""),"null")</f>
        <v>null</v>
      </c>
      <c r="V2762" s="33">
        <f>IFERROR(__xludf.DUMMYFUNCTION("""COMPUTED_VALUE"""),1.0)</f>
        <v>1</v>
      </c>
      <c r="W2762" s="4" t="str">
        <f>IFERROR(__xludf.DUMMYFUNCTION("""COMPUTED_VALUE"""),"null")</f>
        <v>null</v>
      </c>
      <c r="X2762" s="33">
        <f>IFERROR(__xludf.DUMMYFUNCTION("""COMPUTED_VALUE"""),1.0)</f>
        <v>1</v>
      </c>
    </row>
    <row r="2763">
      <c r="K2763" s="4" t="str">
        <f>IFERROR(__xludf.DUMMYFUNCTION("""COMPUTED_VALUE"""),"REI DA CHAPA")</f>
        <v>REI DA CHAPA</v>
      </c>
      <c r="L2763" s="32">
        <f>IFERROR(__xludf.DUMMYFUNCTION("""COMPUTED_VALUE"""),3.0)</f>
        <v>3</v>
      </c>
      <c r="M2763" s="4" t="str">
        <f>IFERROR(__xludf.DUMMYFUNCTION("""COMPUTED_VALUE"""),"null")</f>
        <v>null</v>
      </c>
      <c r="N2763" s="33">
        <f>IFERROR(__xludf.DUMMYFUNCTION("""COMPUTED_VALUE"""),1.0)</f>
        <v>1</v>
      </c>
      <c r="O2763" s="4" t="str">
        <f>IFERROR(__xludf.DUMMYFUNCTION("""COMPUTED_VALUE"""),"null")</f>
        <v>null</v>
      </c>
      <c r="P2763" s="33">
        <f>IFERROR(__xludf.DUMMYFUNCTION("""COMPUTED_VALUE"""),1.0)</f>
        <v>1</v>
      </c>
      <c r="Q2763" s="4" t="str">
        <f>IFERROR(__xludf.DUMMYFUNCTION("""COMPUTED_VALUE"""),"null")</f>
        <v>null</v>
      </c>
      <c r="R2763" s="33">
        <f>IFERROR(__xludf.DUMMYFUNCTION("""COMPUTED_VALUE"""),0.3333333333333333)</f>
        <v>0.3333333333</v>
      </c>
      <c r="S2763" s="4" t="str">
        <f>IFERROR(__xludf.DUMMYFUNCTION("""COMPUTED_VALUE"""),"Brendi")</f>
        <v>Brendi</v>
      </c>
      <c r="T2763" s="33">
        <f>IFERROR(__xludf.DUMMYFUNCTION("""COMPUTED_VALUE"""),0.3333333333333333)</f>
        <v>0.3333333333</v>
      </c>
      <c r="U2763" s="4" t="str">
        <f>IFERROR(__xludf.DUMMYFUNCTION("""COMPUTED_VALUE"""),"null")</f>
        <v>null</v>
      </c>
      <c r="V2763" s="33">
        <f>IFERROR(__xludf.DUMMYFUNCTION("""COMPUTED_VALUE"""),0.6666666666666666)</f>
        <v>0.6666666667</v>
      </c>
      <c r="W2763" s="4" t="str">
        <f>IFERROR(__xludf.DUMMYFUNCTION("""COMPUTED_VALUE"""),"null")</f>
        <v>null</v>
      </c>
      <c r="X2763" s="33">
        <f>IFERROR(__xludf.DUMMYFUNCTION("""COMPUTED_VALUE"""),1.0)</f>
        <v>1</v>
      </c>
    </row>
    <row r="2764">
      <c r="K2764" s="4" t="str">
        <f>IFERROR(__xludf.DUMMYFUNCTION("""COMPUTED_VALUE"""),"EMPORIO DA ESFIHA")</f>
        <v>EMPORIO DA ESFIHA</v>
      </c>
      <c r="L2764" s="32">
        <f>IFERROR(__xludf.DUMMYFUNCTION("""COMPUTED_VALUE"""),3.0)</f>
        <v>3</v>
      </c>
      <c r="M2764" s="4" t="str">
        <f>IFERROR(__xludf.DUMMYFUNCTION("""COMPUTED_VALUE"""),"Yooga")</f>
        <v>Yooga</v>
      </c>
      <c r="N2764" s="33">
        <f>IFERROR(__xludf.DUMMYFUNCTION("""COMPUTED_VALUE"""),0.3333333333333333)</f>
        <v>0.3333333333</v>
      </c>
      <c r="O2764" s="4" t="str">
        <f>IFERROR(__xludf.DUMMYFUNCTION("""COMPUTED_VALUE"""),"Yooga")</f>
        <v>Yooga</v>
      </c>
      <c r="P2764" s="33">
        <f>IFERROR(__xludf.DUMMYFUNCTION("""COMPUTED_VALUE"""),0.3333333333333333)</f>
        <v>0.3333333333</v>
      </c>
      <c r="Q2764" s="4" t="str">
        <f>IFERROR(__xludf.DUMMYFUNCTION("""COMPUTED_VALUE"""),"Yooga")</f>
        <v>Yooga</v>
      </c>
      <c r="R2764" s="33">
        <f>IFERROR(__xludf.DUMMYFUNCTION("""COMPUTED_VALUE"""),0.3333333333333333)</f>
        <v>0.3333333333</v>
      </c>
      <c r="S2764" s="4" t="str">
        <f>IFERROR(__xludf.DUMMYFUNCTION("""COMPUTED_VALUE"""),"Yooga")</f>
        <v>Yooga</v>
      </c>
      <c r="T2764" s="33">
        <f>IFERROR(__xludf.DUMMYFUNCTION("""COMPUTED_VALUE"""),0.3333333333333333)</f>
        <v>0.3333333333</v>
      </c>
      <c r="U2764" s="4" t="str">
        <f>IFERROR(__xludf.DUMMYFUNCTION("""COMPUTED_VALUE"""),"Yooga")</f>
        <v>Yooga</v>
      </c>
      <c r="V2764" s="33">
        <f>IFERROR(__xludf.DUMMYFUNCTION("""COMPUTED_VALUE"""),0.3333333333333333)</f>
        <v>0.3333333333</v>
      </c>
      <c r="W2764" s="4" t="str">
        <f>IFERROR(__xludf.DUMMYFUNCTION("""COMPUTED_VALUE"""),"Yooga")</f>
        <v>Yooga</v>
      </c>
      <c r="X2764" s="33">
        <f>IFERROR(__xludf.DUMMYFUNCTION("""COMPUTED_VALUE"""),0.3333333333333333)</f>
        <v>0.3333333333</v>
      </c>
    </row>
    <row r="2765">
      <c r="K2765" s="4" t="str">
        <f>IFERROR(__xludf.DUMMYFUNCTION("""COMPUTED_VALUE"""),"HOT BURGUER")</f>
        <v>HOT BURGUER</v>
      </c>
      <c r="L2765" s="32">
        <f>IFERROR(__xludf.DUMMYFUNCTION("""COMPUTED_VALUE"""),3.0)</f>
        <v>3</v>
      </c>
      <c r="M2765" s="4" t="str">
        <f>IFERROR(__xludf.DUMMYFUNCTION("""COMPUTED_VALUE"""),"Suitable Tecnologia E Gestao")</f>
        <v>Suitable Tecnologia E Gestao</v>
      </c>
      <c r="N2765" s="33">
        <f>IFERROR(__xludf.DUMMYFUNCTION("""COMPUTED_VALUE"""),0.6666666666666666)</f>
        <v>0.6666666667</v>
      </c>
      <c r="O2765" s="4" t="str">
        <f>IFERROR(__xludf.DUMMYFUNCTION("""COMPUTED_VALUE"""),"Suitable Tecnologia E Gestao")</f>
        <v>Suitable Tecnologia E Gestao</v>
      </c>
      <c r="P2765" s="33">
        <f>IFERROR(__xludf.DUMMYFUNCTION("""COMPUTED_VALUE"""),0.6666666666666666)</f>
        <v>0.6666666667</v>
      </c>
      <c r="Q2765" s="4" t="str">
        <f>IFERROR(__xludf.DUMMYFUNCTION("""COMPUTED_VALUE"""),"Suitable Tecnologia E Gestao")</f>
        <v>Suitable Tecnologia E Gestao</v>
      </c>
      <c r="R2765" s="33">
        <f>IFERROR(__xludf.DUMMYFUNCTION("""COMPUTED_VALUE"""),0.6666666666666666)</f>
        <v>0.6666666667</v>
      </c>
      <c r="S2765" s="4" t="str">
        <f>IFERROR(__xludf.DUMMYFUNCTION("""COMPUTED_VALUE"""),"Suitable Tecnologia E Gestao")</f>
        <v>Suitable Tecnologia E Gestao</v>
      </c>
      <c r="T2765" s="33">
        <f>IFERROR(__xludf.DUMMYFUNCTION("""COMPUTED_VALUE"""),0.6666666666666666)</f>
        <v>0.6666666667</v>
      </c>
      <c r="U2765" s="4" t="str">
        <f>IFERROR(__xludf.DUMMYFUNCTION("""COMPUTED_VALUE"""),"Suitable Tecnologia E Gestao")</f>
        <v>Suitable Tecnologia E Gestao</v>
      </c>
      <c r="V2765" s="33">
        <f>IFERROR(__xludf.DUMMYFUNCTION("""COMPUTED_VALUE"""),0.6666666666666666)</f>
        <v>0.6666666667</v>
      </c>
      <c r="W2765" s="4" t="str">
        <f>IFERROR(__xludf.DUMMYFUNCTION("""COMPUTED_VALUE"""),"Suitable Tecnologia E Gestao")</f>
        <v>Suitable Tecnologia E Gestao</v>
      </c>
      <c r="X2765" s="33">
        <f>IFERROR(__xludf.DUMMYFUNCTION("""COMPUTED_VALUE"""),0.6666666666666666)</f>
        <v>0.6666666667</v>
      </c>
    </row>
    <row r="2766">
      <c r="K2766" s="4" t="str">
        <f>IFERROR(__xludf.DUMMYFUNCTION("""COMPUTED_VALUE"""),"DELICIAS GOURMET")</f>
        <v>DELICIAS GOURMET</v>
      </c>
      <c r="L2766" s="32">
        <f>IFERROR(__xludf.DUMMYFUNCTION("""COMPUTED_VALUE"""),3.0)</f>
        <v>3</v>
      </c>
      <c r="M2766" s="4" t="str">
        <f>IFERROR(__xludf.DUMMYFUNCTION("""COMPUTED_VALUE"""),"null")</f>
        <v>null</v>
      </c>
      <c r="N2766" s="33">
        <f>IFERROR(__xludf.DUMMYFUNCTION("""COMPUTED_VALUE"""),0.6666666666666666)</f>
        <v>0.6666666667</v>
      </c>
      <c r="O2766" s="4" t="str">
        <f>IFERROR(__xludf.DUMMYFUNCTION("""COMPUTED_VALUE"""),"Instadelivery")</f>
        <v>Instadelivery</v>
      </c>
      <c r="P2766" s="33">
        <f>IFERROR(__xludf.DUMMYFUNCTION("""COMPUTED_VALUE"""),0.6666666666666666)</f>
        <v>0.6666666667</v>
      </c>
      <c r="Q2766" s="4" t="str">
        <f>IFERROR(__xludf.DUMMYFUNCTION("""COMPUTED_VALUE"""),"Instadelivery")</f>
        <v>Instadelivery</v>
      </c>
      <c r="R2766" s="33">
        <f>IFERROR(__xludf.DUMMYFUNCTION("""COMPUTED_VALUE"""),0.3333333333333333)</f>
        <v>0.3333333333</v>
      </c>
      <c r="S2766" s="4" t="str">
        <f>IFERROR(__xludf.DUMMYFUNCTION("""COMPUTED_VALUE"""),"null")</f>
        <v>null</v>
      </c>
      <c r="T2766" s="33">
        <f>IFERROR(__xludf.DUMMYFUNCTION("""COMPUTED_VALUE"""),0.6666666666666666)</f>
        <v>0.6666666667</v>
      </c>
      <c r="U2766" s="4" t="str">
        <f>IFERROR(__xludf.DUMMYFUNCTION("""COMPUTED_VALUE"""),"null")</f>
        <v>null</v>
      </c>
      <c r="V2766" s="33">
        <f>IFERROR(__xludf.DUMMYFUNCTION("""COMPUTED_VALUE"""),0.6666666666666666)</f>
        <v>0.6666666667</v>
      </c>
      <c r="W2766" s="4" t="str">
        <f>IFERROR(__xludf.DUMMYFUNCTION("""COMPUTED_VALUE"""),"null")</f>
        <v>null</v>
      </c>
      <c r="X2766" s="33">
        <f>IFERROR(__xludf.DUMMYFUNCTION("""COMPUTED_VALUE"""),0.6666666666666666)</f>
        <v>0.6666666667</v>
      </c>
    </row>
    <row r="2767">
      <c r="K2767" s="4" t="str">
        <f>IFERROR(__xludf.DUMMYFUNCTION("""COMPUTED_VALUE"""),"PIZZARIA BELLA ROMA")</f>
        <v>PIZZARIA BELLA ROMA</v>
      </c>
      <c r="L2767" s="32">
        <f>IFERROR(__xludf.DUMMYFUNCTION("""COMPUTED_VALUE"""),3.0)</f>
        <v>3</v>
      </c>
      <c r="M2767" s="4" t="str">
        <f>IFERROR(__xludf.DUMMYFUNCTION("""COMPUTED_VALUE"""),"Totvs Large Enterprise Tecnologia S.a.")</f>
        <v>Totvs Large Enterprise Tecnologia S.a.</v>
      </c>
      <c r="N2767" s="33">
        <f>IFERROR(__xludf.DUMMYFUNCTION("""COMPUTED_VALUE"""),0.3333333333333333)</f>
        <v>0.3333333333</v>
      </c>
      <c r="O2767" s="4" t="str">
        <f>IFERROR(__xludf.DUMMYFUNCTION("""COMPUTED_VALUE"""),"Totvs Large Enterprise Tecnologia S.a.")</f>
        <v>Totvs Large Enterprise Tecnologia S.a.</v>
      </c>
      <c r="P2767" s="33">
        <f>IFERROR(__xludf.DUMMYFUNCTION("""COMPUTED_VALUE"""),0.3333333333333333)</f>
        <v>0.3333333333</v>
      </c>
      <c r="Q2767" s="4" t="str">
        <f>IFERROR(__xludf.DUMMYFUNCTION("""COMPUTED_VALUE"""),"Totvs Large Enterprise Tecnologia S.a.")</f>
        <v>Totvs Large Enterprise Tecnologia S.a.</v>
      </c>
      <c r="R2767" s="33">
        <f>IFERROR(__xludf.DUMMYFUNCTION("""COMPUTED_VALUE"""),0.3333333333333333)</f>
        <v>0.3333333333</v>
      </c>
      <c r="S2767" s="4" t="str">
        <f>IFERROR(__xludf.DUMMYFUNCTION("""COMPUTED_VALUE"""),"Totvs Large Enterprise Tecnologia S.a.")</f>
        <v>Totvs Large Enterprise Tecnologia S.a.</v>
      </c>
      <c r="T2767" s="33">
        <f>IFERROR(__xludf.DUMMYFUNCTION("""COMPUTED_VALUE"""),0.3333333333333333)</f>
        <v>0.3333333333</v>
      </c>
      <c r="U2767" s="4" t="str">
        <f>IFERROR(__xludf.DUMMYFUNCTION("""COMPUTED_VALUE"""),"Totvs Large Enterprise Tecnologia S.a.")</f>
        <v>Totvs Large Enterprise Tecnologia S.a.</v>
      </c>
      <c r="V2767" s="33">
        <f>IFERROR(__xludf.DUMMYFUNCTION("""COMPUTED_VALUE"""),0.3333333333333333)</f>
        <v>0.3333333333</v>
      </c>
      <c r="W2767" s="4" t="str">
        <f>IFERROR(__xludf.DUMMYFUNCTION("""COMPUTED_VALUE"""),"Totvs Large Enterprise Tecnologia S.a.")</f>
        <v>Totvs Large Enterprise Tecnologia S.a.</v>
      </c>
      <c r="X2767" s="33">
        <f>IFERROR(__xludf.DUMMYFUNCTION("""COMPUTED_VALUE"""),0.3333333333333333)</f>
        <v>0.3333333333</v>
      </c>
    </row>
    <row r="2768">
      <c r="K2768" s="4" t="str">
        <f>IFERROR(__xludf.DUMMYFUNCTION("""COMPUTED_VALUE"""),"SAKURA SUSHI")</f>
        <v>SAKURA SUSHI</v>
      </c>
      <c r="L2768" s="32">
        <f>IFERROR(__xludf.DUMMYFUNCTION("""COMPUTED_VALUE"""),3.0)</f>
        <v>3</v>
      </c>
      <c r="M2768" s="4" t="str">
        <f>IFERROR(__xludf.DUMMYFUNCTION("""COMPUTED_VALUE"""),"Cardápio Web")</f>
        <v>Cardápio Web</v>
      </c>
      <c r="N2768" s="33">
        <f>IFERROR(__xludf.DUMMYFUNCTION("""COMPUTED_VALUE"""),0.3333333333333333)</f>
        <v>0.3333333333</v>
      </c>
      <c r="O2768" s="4" t="str">
        <f>IFERROR(__xludf.DUMMYFUNCTION("""COMPUTED_VALUE"""),"Cardápio Web")</f>
        <v>Cardápio Web</v>
      </c>
      <c r="P2768" s="33">
        <f>IFERROR(__xludf.DUMMYFUNCTION("""COMPUTED_VALUE"""),0.3333333333333333)</f>
        <v>0.3333333333</v>
      </c>
      <c r="Q2768" s="4" t="str">
        <f>IFERROR(__xludf.DUMMYFUNCTION("""COMPUTED_VALUE"""),"Cardápio Web")</f>
        <v>Cardápio Web</v>
      </c>
      <c r="R2768" s="33">
        <f>IFERROR(__xludf.DUMMYFUNCTION("""COMPUTED_VALUE"""),0.3333333333333333)</f>
        <v>0.3333333333</v>
      </c>
      <c r="S2768" s="4" t="str">
        <f>IFERROR(__xludf.DUMMYFUNCTION("""COMPUTED_VALUE"""),"Cardápio Web")</f>
        <v>Cardápio Web</v>
      </c>
      <c r="T2768" s="33">
        <f>IFERROR(__xludf.DUMMYFUNCTION("""COMPUTED_VALUE"""),0.3333333333333333)</f>
        <v>0.3333333333</v>
      </c>
      <c r="U2768" s="4" t="str">
        <f>IFERROR(__xludf.DUMMYFUNCTION("""COMPUTED_VALUE"""),"Cardápio Web")</f>
        <v>Cardápio Web</v>
      </c>
      <c r="V2768" s="33">
        <f>IFERROR(__xludf.DUMMYFUNCTION("""COMPUTED_VALUE"""),0.3333333333333333)</f>
        <v>0.3333333333</v>
      </c>
      <c r="W2768" s="4" t="str">
        <f>IFERROR(__xludf.DUMMYFUNCTION("""COMPUTED_VALUE"""),"Cardápio Web")</f>
        <v>Cardápio Web</v>
      </c>
      <c r="X2768" s="33">
        <f>IFERROR(__xludf.DUMMYFUNCTION("""COMPUTED_VALUE"""),0.3333333333333333)</f>
        <v>0.3333333333</v>
      </c>
    </row>
    <row r="2769">
      <c r="K2769" s="4" t="str">
        <f>IFERROR(__xludf.DUMMYFUNCTION("""COMPUTED_VALUE"""),"MONSTER PIZZA")</f>
        <v>MONSTER PIZZA</v>
      </c>
      <c r="L2769" s="32">
        <f>IFERROR(__xludf.DUMMYFUNCTION("""COMPUTED_VALUE"""),3.0)</f>
        <v>3</v>
      </c>
      <c r="M2769" s="4" t="str">
        <f>IFERROR(__xludf.DUMMYFUNCTION("""COMPUTED_VALUE"""),"Cityfoods Ltda")</f>
        <v>Cityfoods Ltda</v>
      </c>
      <c r="N2769" s="33">
        <f>IFERROR(__xludf.DUMMYFUNCTION("""COMPUTED_VALUE"""),0.6666666666666666)</f>
        <v>0.6666666667</v>
      </c>
      <c r="O2769" s="4" t="str">
        <f>IFERROR(__xludf.DUMMYFUNCTION("""COMPUTED_VALUE"""),"Cityfoods Ltda")</f>
        <v>Cityfoods Ltda</v>
      </c>
      <c r="P2769" s="33">
        <f>IFERROR(__xludf.DUMMYFUNCTION("""COMPUTED_VALUE"""),0.6666666666666666)</f>
        <v>0.6666666667</v>
      </c>
      <c r="Q2769" s="4" t="str">
        <f>IFERROR(__xludf.DUMMYFUNCTION("""COMPUTED_VALUE"""),"Cityfoods Ltda")</f>
        <v>Cityfoods Ltda</v>
      </c>
      <c r="R2769" s="33">
        <f>IFERROR(__xludf.DUMMYFUNCTION("""COMPUTED_VALUE"""),0.6666666666666666)</f>
        <v>0.6666666667</v>
      </c>
      <c r="S2769" s="4" t="str">
        <f>IFERROR(__xludf.DUMMYFUNCTION("""COMPUTED_VALUE"""),"null")</f>
        <v>null</v>
      </c>
      <c r="T2769" s="33">
        <f>IFERROR(__xludf.DUMMYFUNCTION("""COMPUTED_VALUE"""),0.6666666666666666)</f>
        <v>0.6666666667</v>
      </c>
      <c r="U2769" s="4" t="str">
        <f>IFERROR(__xludf.DUMMYFUNCTION("""COMPUTED_VALUE"""),"null")</f>
        <v>null</v>
      </c>
      <c r="V2769" s="33">
        <f>IFERROR(__xludf.DUMMYFUNCTION("""COMPUTED_VALUE"""),0.6666666666666666)</f>
        <v>0.6666666667</v>
      </c>
      <c r="W2769" s="4" t="str">
        <f>IFERROR(__xludf.DUMMYFUNCTION("""COMPUTED_VALUE"""),"null")</f>
        <v>null</v>
      </c>
      <c r="X2769" s="33">
        <f>IFERROR(__xludf.DUMMYFUNCTION("""COMPUTED_VALUE"""),0.3333333333333333)</f>
        <v>0.3333333333</v>
      </c>
    </row>
    <row r="2770">
      <c r="K2770" s="4" t="str">
        <f>IFERROR(__xludf.DUMMYFUNCTION("""COMPUTED_VALUE"""),"JR LANCHES")</f>
        <v>JR LANCHES</v>
      </c>
      <c r="L2770" s="32">
        <f>IFERROR(__xludf.DUMMYFUNCTION("""COMPUTED_VALUE"""),3.0)</f>
        <v>3</v>
      </c>
      <c r="M2770" s="4" t="str">
        <f>IFERROR(__xludf.DUMMYFUNCTION("""COMPUTED_VALUE"""),"Brendi")</f>
        <v>Brendi</v>
      </c>
      <c r="N2770" s="33">
        <f>IFERROR(__xludf.DUMMYFUNCTION("""COMPUTED_VALUE"""),0.3333333333333333)</f>
        <v>0.3333333333</v>
      </c>
      <c r="O2770" s="4" t="str">
        <f>IFERROR(__xludf.DUMMYFUNCTION("""COMPUTED_VALUE"""),"Brendi")</f>
        <v>Brendi</v>
      </c>
      <c r="P2770" s="33">
        <f>IFERROR(__xludf.DUMMYFUNCTION("""COMPUTED_VALUE"""),0.3333333333333333)</f>
        <v>0.3333333333</v>
      </c>
      <c r="Q2770" s="4" t="str">
        <f>IFERROR(__xludf.DUMMYFUNCTION("""COMPUTED_VALUE"""),"Brendi")</f>
        <v>Brendi</v>
      </c>
      <c r="R2770" s="33">
        <f>IFERROR(__xludf.DUMMYFUNCTION("""COMPUTED_VALUE"""),0.3333333333333333)</f>
        <v>0.3333333333</v>
      </c>
      <c r="S2770" s="4" t="str">
        <f>IFERROR(__xludf.DUMMYFUNCTION("""COMPUTED_VALUE"""),"Brendi")</f>
        <v>Brendi</v>
      </c>
      <c r="T2770" s="33">
        <f>IFERROR(__xludf.DUMMYFUNCTION("""COMPUTED_VALUE"""),0.3333333333333333)</f>
        <v>0.3333333333</v>
      </c>
      <c r="U2770" s="4" t="str">
        <f>IFERROR(__xludf.DUMMYFUNCTION("""COMPUTED_VALUE"""),"Brendi")</f>
        <v>Brendi</v>
      </c>
      <c r="V2770" s="33">
        <f>IFERROR(__xludf.DUMMYFUNCTION("""COMPUTED_VALUE"""),0.3333333333333333)</f>
        <v>0.3333333333</v>
      </c>
      <c r="W2770" s="4" t="str">
        <f>IFERROR(__xludf.DUMMYFUNCTION("""COMPUTED_VALUE"""),"null")</f>
        <v>null</v>
      </c>
      <c r="X2770" s="33">
        <f>IFERROR(__xludf.DUMMYFUNCTION("""COMPUTED_VALUE"""),0.3333333333333333)</f>
        <v>0.3333333333</v>
      </c>
    </row>
    <row r="2771">
      <c r="K2771" s="4" t="str">
        <f>IFERROR(__xludf.DUMMYFUNCTION("""COMPUTED_VALUE"""),"ICY GELATO")</f>
        <v>ICY GELATO</v>
      </c>
      <c r="L2771" s="32">
        <f>IFERROR(__xludf.DUMMYFUNCTION("""COMPUTED_VALUE"""),3.0)</f>
        <v>3</v>
      </c>
      <c r="M2771" s="4" t="str">
        <f>IFERROR(__xludf.DUMMYFUNCTION("""COMPUTED_VALUE"""),"Omiexperience Ltda.")</f>
        <v>Omiexperience Ltda.</v>
      </c>
      <c r="N2771" s="33">
        <f>IFERROR(__xludf.DUMMYFUNCTION("""COMPUTED_VALUE"""),1.0)</f>
        <v>1</v>
      </c>
      <c r="O2771" s="4" t="str">
        <f>IFERROR(__xludf.DUMMYFUNCTION("""COMPUTED_VALUE"""),"Omiexperience Ltda.")</f>
        <v>Omiexperience Ltda.</v>
      </c>
      <c r="P2771" s="33">
        <f>IFERROR(__xludf.DUMMYFUNCTION("""COMPUTED_VALUE"""),1.0)</f>
        <v>1</v>
      </c>
      <c r="Q2771" s="4" t="str">
        <f>IFERROR(__xludf.DUMMYFUNCTION("""COMPUTED_VALUE"""),"Omiexperience Ltda.")</f>
        <v>Omiexperience Ltda.</v>
      </c>
      <c r="R2771" s="33">
        <f>IFERROR(__xludf.DUMMYFUNCTION("""COMPUTED_VALUE"""),1.0)</f>
        <v>1</v>
      </c>
      <c r="S2771" s="4" t="str">
        <f>IFERROR(__xludf.DUMMYFUNCTION("""COMPUTED_VALUE"""),"Omiexperience Ltda.")</f>
        <v>Omiexperience Ltda.</v>
      </c>
      <c r="T2771" s="33">
        <f>IFERROR(__xludf.DUMMYFUNCTION("""COMPUTED_VALUE"""),1.0)</f>
        <v>1</v>
      </c>
      <c r="U2771" s="4" t="str">
        <f>IFERROR(__xludf.DUMMYFUNCTION("""COMPUTED_VALUE"""),"Omiexperience Ltda.")</f>
        <v>Omiexperience Ltda.</v>
      </c>
      <c r="V2771" s="33">
        <f>IFERROR(__xludf.DUMMYFUNCTION("""COMPUTED_VALUE"""),1.0)</f>
        <v>1</v>
      </c>
      <c r="W2771" s="4" t="str">
        <f>IFERROR(__xludf.DUMMYFUNCTION("""COMPUTED_VALUE"""),"Omiexperience Ltda.")</f>
        <v>Omiexperience Ltda.</v>
      </c>
      <c r="X2771" s="33">
        <f>IFERROR(__xludf.DUMMYFUNCTION("""COMPUTED_VALUE"""),1.0)</f>
        <v>1</v>
      </c>
    </row>
    <row r="2772">
      <c r="K2772" s="4" t="str">
        <f>IFERROR(__xludf.DUMMYFUNCTION("""COMPUTED_VALUE"""),"CANTINHO DA FEIJOADA")</f>
        <v>CANTINHO DA FEIJOADA</v>
      </c>
      <c r="L2772" s="32">
        <f>IFERROR(__xludf.DUMMYFUNCTION("""COMPUTED_VALUE"""),3.0)</f>
        <v>3</v>
      </c>
      <c r="M2772" s="4" t="str">
        <f>IFERROR(__xludf.DUMMYFUNCTION("""COMPUTED_VALUE"""),"Sistemas Na Web")</f>
        <v>Sistemas Na Web</v>
      </c>
      <c r="N2772" s="33">
        <f>IFERROR(__xludf.DUMMYFUNCTION("""COMPUTED_VALUE"""),0.6666666666666666)</f>
        <v>0.6666666667</v>
      </c>
      <c r="O2772" s="4" t="str">
        <f>IFERROR(__xludf.DUMMYFUNCTION("""COMPUTED_VALUE"""),"Sistemas Na Web")</f>
        <v>Sistemas Na Web</v>
      </c>
      <c r="P2772" s="33">
        <f>IFERROR(__xludf.DUMMYFUNCTION("""COMPUTED_VALUE"""),0.6666666666666666)</f>
        <v>0.6666666667</v>
      </c>
      <c r="Q2772" s="4" t="str">
        <f>IFERROR(__xludf.DUMMYFUNCTION("""COMPUTED_VALUE"""),"Sistemas Na Web")</f>
        <v>Sistemas Na Web</v>
      </c>
      <c r="R2772" s="33">
        <f>IFERROR(__xludf.DUMMYFUNCTION("""COMPUTED_VALUE"""),0.3333333333333333)</f>
        <v>0.3333333333</v>
      </c>
      <c r="S2772" s="4" t="str">
        <f>IFERROR(__xludf.DUMMYFUNCTION("""COMPUTED_VALUE"""),"null")</f>
        <v>null</v>
      </c>
      <c r="T2772" s="33">
        <f>IFERROR(__xludf.DUMMYFUNCTION("""COMPUTED_VALUE"""),0.6666666666666666)</f>
        <v>0.6666666667</v>
      </c>
      <c r="U2772" s="4" t="str">
        <f>IFERROR(__xludf.DUMMYFUNCTION("""COMPUTED_VALUE"""),"null")</f>
        <v>null</v>
      </c>
      <c r="V2772" s="33">
        <f>IFERROR(__xludf.DUMMYFUNCTION("""COMPUTED_VALUE"""),0.6666666666666666)</f>
        <v>0.6666666667</v>
      </c>
      <c r="W2772" s="4" t="str">
        <f>IFERROR(__xludf.DUMMYFUNCTION("""COMPUTED_VALUE"""),"null")</f>
        <v>null</v>
      </c>
      <c r="X2772" s="33">
        <f>IFERROR(__xludf.DUMMYFUNCTION("""COMPUTED_VALUE"""),1.0)</f>
        <v>1</v>
      </c>
    </row>
    <row r="2773">
      <c r="K2773" s="4" t="str">
        <f>IFERROR(__xludf.DUMMYFUNCTION("""COMPUTED_VALUE"""),"STOP LANCHES")</f>
        <v>STOP LANCHES</v>
      </c>
      <c r="L2773" s="32">
        <f>IFERROR(__xludf.DUMMYFUNCTION("""COMPUTED_VALUE"""),3.0)</f>
        <v>3</v>
      </c>
      <c r="M2773" s="4" t="str">
        <f>IFERROR(__xludf.DUMMYFUNCTION("""COMPUTED_VALUE"""),"Netcontroll Xmenu")</f>
        <v>Netcontroll Xmenu</v>
      </c>
      <c r="N2773" s="33">
        <f>IFERROR(__xludf.DUMMYFUNCTION("""COMPUTED_VALUE"""),0.3333333333333333)</f>
        <v>0.3333333333</v>
      </c>
      <c r="O2773" s="4" t="str">
        <f>IFERROR(__xludf.DUMMYFUNCTION("""COMPUTED_VALUE"""),"Netcontroll Xmenu")</f>
        <v>Netcontroll Xmenu</v>
      </c>
      <c r="P2773" s="33">
        <f>IFERROR(__xludf.DUMMYFUNCTION("""COMPUTED_VALUE"""),0.3333333333333333)</f>
        <v>0.3333333333</v>
      </c>
      <c r="Q2773" s="4" t="str">
        <f>IFERROR(__xludf.DUMMYFUNCTION("""COMPUTED_VALUE"""),"Netcontroll Xmenu")</f>
        <v>Netcontroll Xmenu</v>
      </c>
      <c r="R2773" s="33">
        <f>IFERROR(__xludf.DUMMYFUNCTION("""COMPUTED_VALUE"""),0.3333333333333333)</f>
        <v>0.3333333333</v>
      </c>
      <c r="S2773" s="4" t="str">
        <f>IFERROR(__xludf.DUMMYFUNCTION("""COMPUTED_VALUE"""),"Netcontroll Xmenu")</f>
        <v>Netcontroll Xmenu</v>
      </c>
      <c r="T2773" s="33">
        <f>IFERROR(__xludf.DUMMYFUNCTION("""COMPUTED_VALUE"""),0.3333333333333333)</f>
        <v>0.3333333333</v>
      </c>
      <c r="U2773" s="4" t="str">
        <f>IFERROR(__xludf.DUMMYFUNCTION("""COMPUTED_VALUE"""),"Netcontroll Xmenu")</f>
        <v>Netcontroll Xmenu</v>
      </c>
      <c r="V2773" s="33">
        <f>IFERROR(__xludf.DUMMYFUNCTION("""COMPUTED_VALUE"""),0.3333333333333333)</f>
        <v>0.3333333333</v>
      </c>
      <c r="W2773" s="4" t="str">
        <f>IFERROR(__xludf.DUMMYFUNCTION("""COMPUTED_VALUE"""),"Netcontroll Xmenu")</f>
        <v>Netcontroll Xmenu</v>
      </c>
      <c r="X2773" s="33">
        <f>IFERROR(__xludf.DUMMYFUNCTION("""COMPUTED_VALUE"""),0.3333333333333333)</f>
        <v>0.3333333333</v>
      </c>
    </row>
    <row r="2774">
      <c r="K2774" s="4" t="str">
        <f>IFERROR(__xludf.DUMMYFUNCTION("""COMPUTED_VALUE"""),"CANTINHO DOS SALGADOS")</f>
        <v>CANTINHO DOS SALGADOS</v>
      </c>
      <c r="L2774" s="32">
        <f>IFERROR(__xludf.DUMMYFUNCTION("""COMPUTED_VALUE"""),3.0)</f>
        <v>3</v>
      </c>
      <c r="M2774" s="4" t="str">
        <f>IFERROR(__xludf.DUMMYFUNCTION("""COMPUTED_VALUE"""),"Saipos Serviços De Software")</f>
        <v>Saipos Serviços De Software</v>
      </c>
      <c r="N2774" s="33">
        <f>IFERROR(__xludf.DUMMYFUNCTION("""COMPUTED_VALUE"""),0.6666666666666666)</f>
        <v>0.6666666667</v>
      </c>
      <c r="O2774" s="4" t="str">
        <f>IFERROR(__xludf.DUMMYFUNCTION("""COMPUTED_VALUE"""),"Saipos Serviços De Software")</f>
        <v>Saipos Serviços De Software</v>
      </c>
      <c r="P2774" s="33">
        <f>IFERROR(__xludf.DUMMYFUNCTION("""COMPUTED_VALUE"""),0.6666666666666666)</f>
        <v>0.6666666667</v>
      </c>
      <c r="Q2774" s="4" t="str">
        <f>IFERROR(__xludf.DUMMYFUNCTION("""COMPUTED_VALUE"""),"Saipos Serviços De Software")</f>
        <v>Saipos Serviços De Software</v>
      </c>
      <c r="R2774" s="33">
        <f>IFERROR(__xludf.DUMMYFUNCTION("""COMPUTED_VALUE"""),0.6666666666666666)</f>
        <v>0.6666666667</v>
      </c>
      <c r="S2774" s="4" t="str">
        <f>IFERROR(__xludf.DUMMYFUNCTION("""COMPUTED_VALUE"""),"Saipos Serviços De Software")</f>
        <v>Saipos Serviços De Software</v>
      </c>
      <c r="T2774" s="33">
        <f>IFERROR(__xludf.DUMMYFUNCTION("""COMPUTED_VALUE"""),0.6666666666666666)</f>
        <v>0.6666666667</v>
      </c>
      <c r="U2774" s="4" t="str">
        <f>IFERROR(__xludf.DUMMYFUNCTION("""COMPUTED_VALUE"""),"Saipos Serviços De Software")</f>
        <v>Saipos Serviços De Software</v>
      </c>
      <c r="V2774" s="33">
        <f>IFERROR(__xludf.DUMMYFUNCTION("""COMPUTED_VALUE"""),0.6666666666666666)</f>
        <v>0.6666666667</v>
      </c>
      <c r="W2774" s="4" t="str">
        <f>IFERROR(__xludf.DUMMYFUNCTION("""COMPUTED_VALUE"""),"Saipos Serviços De Software")</f>
        <v>Saipos Serviços De Software</v>
      </c>
      <c r="X2774" s="33">
        <f>IFERROR(__xludf.DUMMYFUNCTION("""COMPUTED_VALUE"""),0.6666666666666666)</f>
        <v>0.6666666667</v>
      </c>
    </row>
    <row r="2775">
      <c r="K2775" s="4" t="str">
        <f>IFERROR(__xludf.DUMMYFUNCTION("""COMPUTED_VALUE"""),"DROGARIA NOSSA SENHORA DAS GRACAS")</f>
        <v>DROGARIA NOSSA SENHORA DAS GRACAS</v>
      </c>
      <c r="L2775" s="32">
        <f>IFERROR(__xludf.DUMMYFUNCTION("""COMPUTED_VALUE"""),3.0)</f>
        <v>3</v>
      </c>
      <c r="M2775" s="4" t="str">
        <f>IFERROR(__xludf.DUMMYFUNCTION("""COMPUTED_VALUE"""),"null")</f>
        <v>null</v>
      </c>
      <c r="N2775" s="33">
        <f>IFERROR(__xludf.DUMMYFUNCTION("""COMPUTED_VALUE"""),1.0)</f>
        <v>1</v>
      </c>
      <c r="O2775" s="4" t="str">
        <f>IFERROR(__xludf.DUMMYFUNCTION("""COMPUTED_VALUE"""),"N/A (Not found)")</f>
        <v>N/A (Not found)</v>
      </c>
      <c r="P2775" s="33">
        <f>IFERROR(__xludf.DUMMYFUNCTION("""COMPUTED_VALUE"""),0.6666666666666666)</f>
        <v>0.6666666667</v>
      </c>
      <c r="Q2775" s="4" t="str">
        <f>IFERROR(__xludf.DUMMYFUNCTION("""COMPUTED_VALUE"""),"null")</f>
        <v>null</v>
      </c>
      <c r="R2775" s="33">
        <f>IFERROR(__xludf.DUMMYFUNCTION("""COMPUTED_VALUE"""),0.6666666666666666)</f>
        <v>0.6666666667</v>
      </c>
      <c r="S2775" s="4" t="str">
        <f>IFERROR(__xludf.DUMMYFUNCTION("""COMPUTED_VALUE"""),"N/A (Not found)")</f>
        <v>N/A (Not found)</v>
      </c>
      <c r="T2775" s="33">
        <f>IFERROR(__xludf.DUMMYFUNCTION("""COMPUTED_VALUE"""),0.6666666666666666)</f>
        <v>0.6666666667</v>
      </c>
      <c r="U2775" s="4" t="str">
        <f>IFERROR(__xludf.DUMMYFUNCTION("""COMPUTED_VALUE"""),"null")</f>
        <v>null</v>
      </c>
      <c r="V2775" s="33">
        <f>IFERROR(__xludf.DUMMYFUNCTION("""COMPUTED_VALUE"""),0.6666666666666666)</f>
        <v>0.6666666667</v>
      </c>
      <c r="W2775" s="4" t="str">
        <f>IFERROR(__xludf.DUMMYFUNCTION("""COMPUTED_VALUE"""),"null")</f>
        <v>null</v>
      </c>
      <c r="X2775" s="33">
        <f>IFERROR(__xludf.DUMMYFUNCTION("""COMPUTED_VALUE"""),0.6666666666666666)</f>
        <v>0.6666666667</v>
      </c>
    </row>
    <row r="2776">
      <c r="K2776" s="4" t="str">
        <f>IFERROR(__xludf.DUMMYFUNCTION("""COMPUTED_VALUE"""),"MARMITARIA CANTINHO DO SABOR")</f>
        <v>MARMITARIA CANTINHO DO SABOR</v>
      </c>
      <c r="L2776" s="32">
        <f>IFERROR(__xludf.DUMMYFUNCTION("""COMPUTED_VALUE"""),3.0)</f>
        <v>3</v>
      </c>
      <c r="M2776" s="4" t="str">
        <f>IFERROR(__xludf.DUMMYFUNCTION("""COMPUTED_VALUE"""),"Connectplug")</f>
        <v>Connectplug</v>
      </c>
      <c r="N2776" s="33">
        <f>IFERROR(__xludf.DUMMYFUNCTION("""COMPUTED_VALUE"""),0.3333333333333333)</f>
        <v>0.3333333333</v>
      </c>
      <c r="O2776" s="4" t="str">
        <f>IFERROR(__xludf.DUMMYFUNCTION("""COMPUTED_VALUE"""),"null")</f>
        <v>null</v>
      </c>
      <c r="P2776" s="33">
        <f>IFERROR(__xludf.DUMMYFUNCTION("""COMPUTED_VALUE"""),0.3333333333333333)</f>
        <v>0.3333333333</v>
      </c>
      <c r="Q2776" s="4" t="str">
        <f>IFERROR(__xludf.DUMMYFUNCTION("""COMPUTED_VALUE"""),"null")</f>
        <v>null</v>
      </c>
      <c r="R2776" s="33">
        <f>IFERROR(__xludf.DUMMYFUNCTION("""COMPUTED_VALUE"""),0.3333333333333333)</f>
        <v>0.3333333333</v>
      </c>
      <c r="S2776" s="4" t="str">
        <f>IFERROR(__xludf.DUMMYFUNCTION("""COMPUTED_VALUE"""),"null")</f>
        <v>null</v>
      </c>
      <c r="T2776" s="33">
        <f>IFERROR(__xludf.DUMMYFUNCTION("""COMPUTED_VALUE"""),0.3333333333333333)</f>
        <v>0.3333333333</v>
      </c>
      <c r="U2776" s="4" t="str">
        <f>IFERROR(__xludf.DUMMYFUNCTION("""COMPUTED_VALUE"""),"null")</f>
        <v>null</v>
      </c>
      <c r="V2776" s="33">
        <f>IFERROR(__xludf.DUMMYFUNCTION("""COMPUTED_VALUE"""),0.6666666666666666)</f>
        <v>0.6666666667</v>
      </c>
      <c r="W2776" s="4" t="str">
        <f>IFERROR(__xludf.DUMMYFUNCTION("""COMPUTED_VALUE"""),"null")</f>
        <v>null</v>
      </c>
      <c r="X2776" s="33">
        <f>IFERROR(__xludf.DUMMYFUNCTION("""COMPUTED_VALUE"""),0.6666666666666666)</f>
        <v>0.6666666667</v>
      </c>
    </row>
    <row r="2777">
      <c r="K2777" s="4" t="str">
        <f>IFERROR(__xludf.DUMMYFUNCTION("""COMPUTED_VALUE"""),"RESTAURANTE MANJERICAO")</f>
        <v>RESTAURANTE MANJERICAO</v>
      </c>
      <c r="L2777" s="32">
        <f>IFERROR(__xludf.DUMMYFUNCTION("""COMPUTED_VALUE"""),3.0)</f>
        <v>3</v>
      </c>
      <c r="M2777" s="4" t="str">
        <f>IFERROR(__xludf.DUMMYFUNCTION("""COMPUTED_VALUE"""),"Lecard Delivery")</f>
        <v>Lecard Delivery</v>
      </c>
      <c r="N2777" s="33">
        <f>IFERROR(__xludf.DUMMYFUNCTION("""COMPUTED_VALUE"""),0.3333333333333333)</f>
        <v>0.3333333333</v>
      </c>
      <c r="O2777" s="4" t="str">
        <f>IFERROR(__xludf.DUMMYFUNCTION("""COMPUTED_VALUE"""),"Lecard Delivery")</f>
        <v>Lecard Delivery</v>
      </c>
      <c r="P2777" s="33">
        <f>IFERROR(__xludf.DUMMYFUNCTION("""COMPUTED_VALUE"""),0.3333333333333333)</f>
        <v>0.3333333333</v>
      </c>
      <c r="Q2777" s="4" t="str">
        <f>IFERROR(__xludf.DUMMYFUNCTION("""COMPUTED_VALUE"""),"Lecard Delivery")</f>
        <v>Lecard Delivery</v>
      </c>
      <c r="R2777" s="33">
        <f>IFERROR(__xludf.DUMMYFUNCTION("""COMPUTED_VALUE"""),0.3333333333333333)</f>
        <v>0.3333333333</v>
      </c>
      <c r="S2777" s="4" t="str">
        <f>IFERROR(__xludf.DUMMYFUNCTION("""COMPUTED_VALUE"""),"Lecard Delivery")</f>
        <v>Lecard Delivery</v>
      </c>
      <c r="T2777" s="33">
        <f>IFERROR(__xludf.DUMMYFUNCTION("""COMPUTED_VALUE"""),0.3333333333333333)</f>
        <v>0.3333333333</v>
      </c>
      <c r="U2777" s="4" t="str">
        <f>IFERROR(__xludf.DUMMYFUNCTION("""COMPUTED_VALUE"""),"Lecard Delivery")</f>
        <v>Lecard Delivery</v>
      </c>
      <c r="V2777" s="33">
        <f>IFERROR(__xludf.DUMMYFUNCTION("""COMPUTED_VALUE"""),0.3333333333333333)</f>
        <v>0.3333333333</v>
      </c>
      <c r="W2777" s="4" t="str">
        <f>IFERROR(__xludf.DUMMYFUNCTION("""COMPUTED_VALUE"""),"Lecard Delivery")</f>
        <v>Lecard Delivery</v>
      </c>
      <c r="X2777" s="33">
        <f>IFERROR(__xludf.DUMMYFUNCTION("""COMPUTED_VALUE"""),0.3333333333333333)</f>
        <v>0.3333333333</v>
      </c>
    </row>
    <row r="2778">
      <c r="K2778" s="4" t="str">
        <f>IFERROR(__xludf.DUMMYFUNCTION("""COMPUTED_VALUE"""),"AC FARMA")</f>
        <v>AC FARMA</v>
      </c>
      <c r="L2778" s="32">
        <f>IFERROR(__xludf.DUMMYFUNCTION("""COMPUTED_VALUE"""),3.0)</f>
        <v>3</v>
      </c>
      <c r="M2778" s="4" t="str">
        <f>IFERROR(__xludf.DUMMYFUNCTION("""COMPUTED_VALUE"""),"null")</f>
        <v>null</v>
      </c>
      <c r="N2778" s="33">
        <f>IFERROR(__xludf.DUMMYFUNCTION("""COMPUTED_VALUE"""),0.6666666666666666)</f>
        <v>0.6666666667</v>
      </c>
      <c r="O2778" s="4" t="str">
        <f>IFERROR(__xludf.DUMMYFUNCTION("""COMPUTED_VALUE"""),"N/A (Not found)")</f>
        <v>N/A (Not found)</v>
      </c>
      <c r="P2778" s="33">
        <f>IFERROR(__xludf.DUMMYFUNCTION("""COMPUTED_VALUE"""),0.6666666666666666)</f>
        <v>0.6666666667</v>
      </c>
      <c r="Q2778" s="4" t="str">
        <f>IFERROR(__xludf.DUMMYFUNCTION("""COMPUTED_VALUE"""),"N/A (Not found)")</f>
        <v>N/A (Not found)</v>
      </c>
      <c r="R2778" s="33">
        <f>IFERROR(__xludf.DUMMYFUNCTION("""COMPUTED_VALUE"""),0.6666666666666666)</f>
        <v>0.6666666667</v>
      </c>
      <c r="S2778" s="4" t="str">
        <f>IFERROR(__xludf.DUMMYFUNCTION("""COMPUTED_VALUE"""),"N/A (Not found)")</f>
        <v>N/A (Not found)</v>
      </c>
      <c r="T2778" s="33">
        <f>IFERROR(__xludf.DUMMYFUNCTION("""COMPUTED_VALUE"""),0.6666666666666666)</f>
        <v>0.6666666667</v>
      </c>
      <c r="U2778" s="4" t="str">
        <f>IFERROR(__xludf.DUMMYFUNCTION("""COMPUTED_VALUE"""),"N/A (Not found)")</f>
        <v>N/A (Not found)</v>
      </c>
      <c r="V2778" s="33">
        <f>IFERROR(__xludf.DUMMYFUNCTION("""COMPUTED_VALUE"""),0.6666666666666666)</f>
        <v>0.6666666667</v>
      </c>
      <c r="W2778" s="4" t="str">
        <f>IFERROR(__xludf.DUMMYFUNCTION("""COMPUTED_VALUE"""),"N/A (Not found)")</f>
        <v>N/A (Not found)</v>
      </c>
      <c r="X2778" s="33">
        <f>IFERROR(__xludf.DUMMYFUNCTION("""COMPUTED_VALUE"""),1.0)</f>
        <v>1</v>
      </c>
    </row>
    <row r="2779">
      <c r="K2779" s="4" t="str">
        <f>IFERROR(__xludf.DUMMYFUNCTION("""COMPUTED_VALUE"""),"VILLA ACAI")</f>
        <v>VILLA ACAI</v>
      </c>
      <c r="L2779" s="32">
        <f>IFERROR(__xludf.DUMMYFUNCTION("""COMPUTED_VALUE"""),3.0)</f>
        <v>3</v>
      </c>
      <c r="M2779" s="4" t="str">
        <f>IFERROR(__xludf.DUMMYFUNCTION("""COMPUTED_VALUE"""),"Cardápio Web")</f>
        <v>Cardápio Web</v>
      </c>
      <c r="N2779" s="33">
        <f>IFERROR(__xludf.DUMMYFUNCTION("""COMPUTED_VALUE"""),0.3333333333333333)</f>
        <v>0.3333333333</v>
      </c>
      <c r="O2779" s="4" t="str">
        <f>IFERROR(__xludf.DUMMYFUNCTION("""COMPUTED_VALUE"""),"Cardápio Web")</f>
        <v>Cardápio Web</v>
      </c>
      <c r="P2779" s="33">
        <f>IFERROR(__xludf.DUMMYFUNCTION("""COMPUTED_VALUE"""),0.3333333333333333)</f>
        <v>0.3333333333</v>
      </c>
      <c r="Q2779" s="4" t="str">
        <f>IFERROR(__xludf.DUMMYFUNCTION("""COMPUTED_VALUE"""),"Cardápio Web")</f>
        <v>Cardápio Web</v>
      </c>
      <c r="R2779" s="33">
        <f>IFERROR(__xludf.DUMMYFUNCTION("""COMPUTED_VALUE"""),0.3333333333333333)</f>
        <v>0.3333333333</v>
      </c>
      <c r="S2779" s="4" t="str">
        <f>IFERROR(__xludf.DUMMYFUNCTION("""COMPUTED_VALUE"""),"Cardápio Web")</f>
        <v>Cardápio Web</v>
      </c>
      <c r="T2779" s="33">
        <f>IFERROR(__xludf.DUMMYFUNCTION("""COMPUTED_VALUE"""),0.3333333333333333)</f>
        <v>0.3333333333</v>
      </c>
      <c r="U2779" s="4" t="str">
        <f>IFERROR(__xludf.DUMMYFUNCTION("""COMPUTED_VALUE"""),"Cardápio Web")</f>
        <v>Cardápio Web</v>
      </c>
      <c r="V2779" s="33">
        <f>IFERROR(__xludf.DUMMYFUNCTION("""COMPUTED_VALUE"""),0.3333333333333333)</f>
        <v>0.3333333333</v>
      </c>
      <c r="W2779" s="4" t="str">
        <f>IFERROR(__xludf.DUMMYFUNCTION("""COMPUTED_VALUE"""),"Cardápio Web")</f>
        <v>Cardápio Web</v>
      </c>
      <c r="X2779" s="33">
        <f>IFERROR(__xludf.DUMMYFUNCTION("""COMPUTED_VALUE"""),0.3333333333333333)</f>
        <v>0.3333333333</v>
      </c>
    </row>
    <row r="2780">
      <c r="K2780" s="4" t="str">
        <f>IFERROR(__xludf.DUMMYFUNCTION("""COMPUTED_VALUE"""),"SKAMOTO SUSHI")</f>
        <v>SKAMOTO SUSHI</v>
      </c>
      <c r="L2780" s="32">
        <f>IFERROR(__xludf.DUMMYFUNCTION("""COMPUTED_VALUE"""),3.0)</f>
        <v>3</v>
      </c>
      <c r="M2780" s="4" t="str">
        <f>IFERROR(__xludf.DUMMYFUNCTION("""COMPUTED_VALUE"""),"null")</f>
        <v>null</v>
      </c>
      <c r="N2780" s="33">
        <f>IFERROR(__xludf.DUMMYFUNCTION("""COMPUTED_VALUE"""),0.6666666666666666)</f>
        <v>0.6666666667</v>
      </c>
      <c r="O2780" s="4" t="str">
        <f>IFERROR(__xludf.DUMMYFUNCTION("""COMPUTED_VALUE"""),"Stone Co.")</f>
        <v>Stone Co.</v>
      </c>
      <c r="P2780" s="33">
        <f>IFERROR(__xludf.DUMMYFUNCTION("""COMPUTED_VALUE"""),0.6666666666666666)</f>
        <v>0.6666666667</v>
      </c>
      <c r="Q2780" s="4" t="str">
        <f>IFERROR(__xludf.DUMMYFUNCTION("""COMPUTED_VALUE"""),"Stone Co.")</f>
        <v>Stone Co.</v>
      </c>
      <c r="R2780" s="33">
        <f>IFERROR(__xludf.DUMMYFUNCTION("""COMPUTED_VALUE"""),0.6666666666666666)</f>
        <v>0.6666666667</v>
      </c>
      <c r="S2780" s="4" t="str">
        <f>IFERROR(__xludf.DUMMYFUNCTION("""COMPUTED_VALUE"""),"Stone Co.")</f>
        <v>Stone Co.</v>
      </c>
      <c r="T2780" s="33">
        <f>IFERROR(__xludf.DUMMYFUNCTION("""COMPUTED_VALUE"""),0.6666666666666666)</f>
        <v>0.6666666667</v>
      </c>
      <c r="U2780" s="4" t="str">
        <f>IFERROR(__xludf.DUMMYFUNCTION("""COMPUTED_VALUE"""),"Stone Co.")</f>
        <v>Stone Co.</v>
      </c>
      <c r="V2780" s="33">
        <f>IFERROR(__xludf.DUMMYFUNCTION("""COMPUTED_VALUE"""),1.0)</f>
        <v>1</v>
      </c>
      <c r="W2780" s="4" t="str">
        <f>IFERROR(__xludf.DUMMYFUNCTION("""COMPUTED_VALUE"""),"Stone Co.")</f>
        <v>Stone Co.</v>
      </c>
      <c r="X2780" s="33">
        <f>IFERROR(__xludf.DUMMYFUNCTION("""COMPUTED_VALUE"""),1.0)</f>
        <v>1</v>
      </c>
    </row>
    <row r="2781">
      <c r="K2781" s="4" t="str">
        <f>IFERROR(__xludf.DUMMYFUNCTION("""COMPUTED_VALUE"""),"PURO GELATO")</f>
        <v>PURO GELATO</v>
      </c>
      <c r="L2781" s="32">
        <f>IFERROR(__xludf.DUMMYFUNCTION("""COMPUTED_VALUE"""),3.0)</f>
        <v>3</v>
      </c>
      <c r="M2781" s="4" t="str">
        <f>IFERROR(__xludf.DUMMYFUNCTION("""COMPUTED_VALUE"""),"Teknisa Service Ltda")</f>
        <v>Teknisa Service Ltda</v>
      </c>
      <c r="N2781" s="33">
        <f>IFERROR(__xludf.DUMMYFUNCTION("""COMPUTED_VALUE"""),0.6666666666666666)</f>
        <v>0.6666666667</v>
      </c>
      <c r="O2781" s="4" t="str">
        <f>IFERROR(__xludf.DUMMYFUNCTION("""COMPUTED_VALUE"""),"Teknisa Service Ltda")</f>
        <v>Teknisa Service Ltda</v>
      </c>
      <c r="P2781" s="33">
        <f>IFERROR(__xludf.DUMMYFUNCTION("""COMPUTED_VALUE"""),1.0)</f>
        <v>1</v>
      </c>
      <c r="Q2781" s="4" t="str">
        <f>IFERROR(__xludf.DUMMYFUNCTION("""COMPUTED_VALUE"""),"Teknisa Service Ltda")</f>
        <v>Teknisa Service Ltda</v>
      </c>
      <c r="R2781" s="33">
        <f>IFERROR(__xludf.DUMMYFUNCTION("""COMPUTED_VALUE"""),1.0)</f>
        <v>1</v>
      </c>
      <c r="S2781" s="4" t="str">
        <f>IFERROR(__xludf.DUMMYFUNCTION("""COMPUTED_VALUE"""),"null")</f>
        <v>null</v>
      </c>
      <c r="T2781" s="33">
        <f>IFERROR(__xludf.DUMMYFUNCTION("""COMPUTED_VALUE"""),0.6666666666666666)</f>
        <v>0.6666666667</v>
      </c>
      <c r="U2781" s="4" t="str">
        <f>IFERROR(__xludf.DUMMYFUNCTION("""COMPUTED_VALUE"""),"null")</f>
        <v>null</v>
      </c>
      <c r="V2781" s="33">
        <f>IFERROR(__xludf.DUMMYFUNCTION("""COMPUTED_VALUE"""),0.6666666666666666)</f>
        <v>0.6666666667</v>
      </c>
      <c r="W2781" s="4" t="str">
        <f>IFERROR(__xludf.DUMMYFUNCTION("""COMPUTED_VALUE"""),"null")</f>
        <v>null</v>
      </c>
      <c r="X2781" s="33">
        <f>IFERROR(__xludf.DUMMYFUNCTION("""COMPUTED_VALUE"""),1.0)</f>
        <v>1</v>
      </c>
    </row>
    <row r="2782">
      <c r="K2782" s="4" t="str">
        <f>IFERROR(__xludf.DUMMYFUNCTION("""COMPUTED_VALUE"""),"CLASSIC BURGER")</f>
        <v>CLASSIC BURGER</v>
      </c>
      <c r="L2782" s="32">
        <f>IFERROR(__xludf.DUMMYFUNCTION("""COMPUTED_VALUE"""),3.0)</f>
        <v>3</v>
      </c>
      <c r="M2782" s="4" t="str">
        <f>IFERROR(__xludf.DUMMYFUNCTION("""COMPUTED_VALUE"""),"null")</f>
        <v>null</v>
      </c>
      <c r="N2782" s="33">
        <f>IFERROR(__xludf.DUMMYFUNCTION("""COMPUTED_VALUE"""),0.3333333333333333)</f>
        <v>0.3333333333</v>
      </c>
      <c r="O2782" s="4" t="str">
        <f>IFERROR(__xludf.DUMMYFUNCTION("""COMPUTED_VALUE"""),"null")</f>
        <v>null</v>
      </c>
      <c r="P2782" s="33">
        <f>IFERROR(__xludf.DUMMYFUNCTION("""COMPUTED_VALUE"""),0.6666666666666666)</f>
        <v>0.6666666667</v>
      </c>
      <c r="Q2782" s="4" t="str">
        <f>IFERROR(__xludf.DUMMYFUNCTION("""COMPUTED_VALUE"""),"null")</f>
        <v>null</v>
      </c>
      <c r="R2782" s="33">
        <f>IFERROR(__xludf.DUMMYFUNCTION("""COMPUTED_VALUE"""),0.6666666666666666)</f>
        <v>0.6666666667</v>
      </c>
      <c r="S2782" s="4" t="str">
        <f>IFERROR(__xludf.DUMMYFUNCTION("""COMPUTED_VALUE"""),"null")</f>
        <v>null</v>
      </c>
      <c r="T2782" s="33">
        <f>IFERROR(__xludf.DUMMYFUNCTION("""COMPUTED_VALUE"""),0.3333333333333333)</f>
        <v>0.3333333333</v>
      </c>
      <c r="U2782" s="4" t="str">
        <f>IFERROR(__xludf.DUMMYFUNCTION("""COMPUTED_VALUE"""),"null")</f>
        <v>null</v>
      </c>
      <c r="V2782" s="33">
        <f>IFERROR(__xludf.DUMMYFUNCTION("""COMPUTED_VALUE"""),0.6666666666666666)</f>
        <v>0.6666666667</v>
      </c>
      <c r="W2782" s="4" t="str">
        <f>IFERROR(__xludf.DUMMYFUNCTION("""COMPUTED_VALUE"""),"Dominio Tecnologia Da Informacao Ltda")</f>
        <v>Dominio Tecnologia Da Informacao Ltda</v>
      </c>
      <c r="X2782" s="33">
        <f>IFERROR(__xludf.DUMMYFUNCTION("""COMPUTED_VALUE"""),0.3333333333333333)</f>
        <v>0.3333333333</v>
      </c>
    </row>
    <row r="2783">
      <c r="K2783" s="4" t="str">
        <f>IFERROR(__xludf.DUMMYFUNCTION("""COMPUTED_VALUE"""),"KAZA SUSHI")</f>
        <v>KAZA SUSHI</v>
      </c>
      <c r="L2783" s="32">
        <f>IFERROR(__xludf.DUMMYFUNCTION("""COMPUTED_VALUE"""),3.0)</f>
        <v>3</v>
      </c>
      <c r="M2783" s="4" t="str">
        <f>IFERROR(__xludf.DUMMYFUNCTION("""COMPUTED_VALUE"""),"Brendi")</f>
        <v>Brendi</v>
      </c>
      <c r="N2783" s="33">
        <f>IFERROR(__xludf.DUMMYFUNCTION("""COMPUTED_VALUE"""),0.3333333333333333)</f>
        <v>0.3333333333</v>
      </c>
      <c r="O2783" s="4" t="str">
        <f>IFERROR(__xludf.DUMMYFUNCTION("""COMPUTED_VALUE"""),"null")</f>
        <v>null</v>
      </c>
      <c r="P2783" s="33">
        <f>IFERROR(__xludf.DUMMYFUNCTION("""COMPUTED_VALUE"""),0.6666666666666666)</f>
        <v>0.6666666667</v>
      </c>
      <c r="Q2783" s="4" t="str">
        <f>IFERROR(__xludf.DUMMYFUNCTION("""COMPUTED_VALUE"""),"null")</f>
        <v>null</v>
      </c>
      <c r="R2783" s="33">
        <f>IFERROR(__xludf.DUMMYFUNCTION("""COMPUTED_VALUE"""),0.6666666666666666)</f>
        <v>0.6666666667</v>
      </c>
      <c r="S2783" s="4" t="str">
        <f>IFERROR(__xludf.DUMMYFUNCTION("""COMPUTED_VALUE"""),"null")</f>
        <v>null</v>
      </c>
      <c r="T2783" s="33">
        <f>IFERROR(__xludf.DUMMYFUNCTION("""COMPUTED_VALUE"""),0.6666666666666666)</f>
        <v>0.6666666667</v>
      </c>
      <c r="U2783" s="4" t="str">
        <f>IFERROR(__xludf.DUMMYFUNCTION("""COMPUTED_VALUE"""),"null")</f>
        <v>null</v>
      </c>
      <c r="V2783" s="33">
        <f>IFERROR(__xludf.DUMMYFUNCTION("""COMPUTED_VALUE"""),0.6666666666666666)</f>
        <v>0.6666666667</v>
      </c>
      <c r="W2783" s="4" t="str">
        <f>IFERROR(__xludf.DUMMYFUNCTION("""COMPUTED_VALUE"""),"null")</f>
        <v>null</v>
      </c>
      <c r="X2783" s="33">
        <f>IFERROR(__xludf.DUMMYFUNCTION("""COMPUTED_VALUE"""),0.6666666666666666)</f>
        <v>0.6666666667</v>
      </c>
    </row>
    <row r="2784">
      <c r="K2784" s="4" t="str">
        <f>IFERROR(__xludf.DUMMYFUNCTION("""COMPUTED_VALUE"""),"BOLISSIMOS - BOLOS DE ANIVERSARIO")</f>
        <v>BOLISSIMOS - BOLOS DE ANIVERSARIO</v>
      </c>
      <c r="L2784" s="32">
        <f>IFERROR(__xludf.DUMMYFUNCTION("""COMPUTED_VALUE"""),3.0)</f>
        <v>3</v>
      </c>
      <c r="M2784" s="4" t="str">
        <f>IFERROR(__xludf.DUMMYFUNCTION("""COMPUTED_VALUE"""),"Hubster")</f>
        <v>Hubster</v>
      </c>
      <c r="N2784" s="33">
        <f>IFERROR(__xludf.DUMMYFUNCTION("""COMPUTED_VALUE"""),0.6666666666666666)</f>
        <v>0.6666666667</v>
      </c>
      <c r="O2784" s="4" t="str">
        <f>IFERROR(__xludf.DUMMYFUNCTION("""COMPUTED_VALUE"""),"Hubster")</f>
        <v>Hubster</v>
      </c>
      <c r="P2784" s="33">
        <f>IFERROR(__xludf.DUMMYFUNCTION("""COMPUTED_VALUE"""),0.6666666666666666)</f>
        <v>0.6666666667</v>
      </c>
      <c r="Q2784" s="4" t="str">
        <f>IFERROR(__xludf.DUMMYFUNCTION("""COMPUTED_VALUE"""),"Hubster")</f>
        <v>Hubster</v>
      </c>
      <c r="R2784" s="33">
        <f>IFERROR(__xludf.DUMMYFUNCTION("""COMPUTED_VALUE"""),1.0)</f>
        <v>1</v>
      </c>
      <c r="S2784" s="4" t="str">
        <f>IFERROR(__xludf.DUMMYFUNCTION("""COMPUTED_VALUE"""),"Hubster")</f>
        <v>Hubster</v>
      </c>
      <c r="T2784" s="33">
        <f>IFERROR(__xludf.DUMMYFUNCTION("""COMPUTED_VALUE"""),1.0)</f>
        <v>1</v>
      </c>
      <c r="U2784" s="4" t="str">
        <f>IFERROR(__xludf.DUMMYFUNCTION("""COMPUTED_VALUE"""),"Hubster")</f>
        <v>Hubster</v>
      </c>
      <c r="V2784" s="33">
        <f>IFERROR(__xludf.DUMMYFUNCTION("""COMPUTED_VALUE"""),1.0)</f>
        <v>1</v>
      </c>
      <c r="W2784" s="4" t="str">
        <f>IFERROR(__xludf.DUMMYFUNCTION("""COMPUTED_VALUE"""),"Hubster")</f>
        <v>Hubster</v>
      </c>
      <c r="X2784" s="33">
        <f>IFERROR(__xludf.DUMMYFUNCTION("""COMPUTED_VALUE"""),1.0)</f>
        <v>1</v>
      </c>
    </row>
    <row r="2785">
      <c r="K2785" s="4" t="str">
        <f>IFERROR(__xludf.DUMMYFUNCTION("""COMPUTED_VALUE"""),"FARMACIA ECONOMIZE")</f>
        <v>FARMACIA ECONOMIZE</v>
      </c>
      <c r="L2785" s="32">
        <f>IFERROR(__xludf.DUMMYFUNCTION("""COMPUTED_VALUE"""),3.0)</f>
        <v>3</v>
      </c>
      <c r="M2785" s="4" t="str">
        <f>IFERROR(__xludf.DUMMYFUNCTION("""COMPUTED_VALUE"""),"N/A (Not found)")</f>
        <v>N/A (Not found)</v>
      </c>
      <c r="N2785" s="33">
        <f>IFERROR(__xludf.DUMMYFUNCTION("""COMPUTED_VALUE"""),1.0)</f>
        <v>1</v>
      </c>
      <c r="O2785" s="4" t="str">
        <f>IFERROR(__xludf.DUMMYFUNCTION("""COMPUTED_VALUE"""),"N/A (Not found)")</f>
        <v>N/A (Not found)</v>
      </c>
      <c r="P2785" s="33">
        <f>IFERROR(__xludf.DUMMYFUNCTION("""COMPUTED_VALUE"""),1.0)</f>
        <v>1</v>
      </c>
      <c r="Q2785" s="4" t="str">
        <f>IFERROR(__xludf.DUMMYFUNCTION("""COMPUTED_VALUE"""),"N/A (Not found)")</f>
        <v>N/A (Not found)</v>
      </c>
      <c r="R2785" s="33">
        <f>IFERROR(__xludf.DUMMYFUNCTION("""COMPUTED_VALUE"""),0.6666666666666666)</f>
        <v>0.6666666667</v>
      </c>
      <c r="S2785" s="4" t="str">
        <f>IFERROR(__xludf.DUMMYFUNCTION("""COMPUTED_VALUE"""),"N/A (Not found)")</f>
        <v>N/A (Not found)</v>
      </c>
      <c r="T2785" s="33">
        <f>IFERROR(__xludf.DUMMYFUNCTION("""COMPUTED_VALUE"""),0.6666666666666666)</f>
        <v>0.6666666667</v>
      </c>
      <c r="U2785" s="4" t="str">
        <f>IFERROR(__xludf.DUMMYFUNCTION("""COMPUTED_VALUE"""),"null")</f>
        <v>null</v>
      </c>
      <c r="V2785" s="33">
        <f>IFERROR(__xludf.DUMMYFUNCTION("""COMPUTED_VALUE"""),0.6666666666666666)</f>
        <v>0.6666666667</v>
      </c>
      <c r="W2785" s="4" t="str">
        <f>IFERROR(__xludf.DUMMYFUNCTION("""COMPUTED_VALUE"""),"null")</f>
        <v>null</v>
      </c>
      <c r="X2785" s="33">
        <f>IFERROR(__xludf.DUMMYFUNCTION("""COMPUTED_VALUE"""),0.6666666666666666)</f>
        <v>0.6666666667</v>
      </c>
    </row>
    <row r="2786">
      <c r="K2786" s="4" t="str">
        <f>IFERROR(__xludf.DUMMYFUNCTION("""COMPUTED_VALUE"""),"SUSHI MATRIZ")</f>
        <v>SUSHI MATRIZ</v>
      </c>
      <c r="L2786" s="32">
        <f>IFERROR(__xludf.DUMMYFUNCTION("""COMPUTED_VALUE"""),3.0)</f>
        <v>3</v>
      </c>
      <c r="M2786" s="4" t="str">
        <f>IFERROR(__xludf.DUMMYFUNCTION("""COMPUTED_VALUE"""),"null")</f>
        <v>null</v>
      </c>
      <c r="N2786" s="33">
        <f>IFERROR(__xludf.DUMMYFUNCTION("""COMPUTED_VALUE"""),0.6666666666666666)</f>
        <v>0.6666666667</v>
      </c>
      <c r="O2786" s="4" t="str">
        <f>IFERROR(__xludf.DUMMYFUNCTION("""COMPUTED_VALUE"""),"null")</f>
        <v>null</v>
      </c>
      <c r="P2786" s="33">
        <f>IFERROR(__xludf.DUMMYFUNCTION("""COMPUTED_VALUE"""),0.6666666666666666)</f>
        <v>0.6666666667</v>
      </c>
      <c r="Q2786" s="4" t="str">
        <f>IFERROR(__xludf.DUMMYFUNCTION("""COMPUTED_VALUE"""),"Diggy")</f>
        <v>Diggy</v>
      </c>
      <c r="R2786" s="33">
        <f>IFERROR(__xludf.DUMMYFUNCTION("""COMPUTED_VALUE"""),0.6666666666666666)</f>
        <v>0.6666666667</v>
      </c>
      <c r="S2786" s="4" t="str">
        <f>IFERROR(__xludf.DUMMYFUNCTION("""COMPUTED_VALUE"""),"Diggy")</f>
        <v>Diggy</v>
      </c>
      <c r="T2786" s="33">
        <f>IFERROR(__xludf.DUMMYFUNCTION("""COMPUTED_VALUE"""),1.0)</f>
        <v>1</v>
      </c>
      <c r="U2786" s="4" t="str">
        <f>IFERROR(__xludf.DUMMYFUNCTION("""COMPUTED_VALUE"""),"null")</f>
        <v>null</v>
      </c>
      <c r="V2786" s="33">
        <f>IFERROR(__xludf.DUMMYFUNCTION("""COMPUTED_VALUE"""),0.6666666666666666)</f>
        <v>0.6666666667</v>
      </c>
      <c r="W2786" s="4" t="str">
        <f>IFERROR(__xludf.DUMMYFUNCTION("""COMPUTED_VALUE"""),"Diggy")</f>
        <v>Diggy</v>
      </c>
      <c r="X2786" s="33">
        <f>IFERROR(__xludf.DUMMYFUNCTION("""COMPUTED_VALUE"""),0.6666666666666666)</f>
        <v>0.6666666667</v>
      </c>
    </row>
    <row r="2787">
      <c r="K2787" s="4" t="str">
        <f>IFERROR(__xludf.DUMMYFUNCTION("""COMPUTED_VALUE"""),"DIVINO BURGUER")</f>
        <v>DIVINO BURGUER</v>
      </c>
      <c r="L2787" s="32">
        <f>IFERROR(__xludf.DUMMYFUNCTION("""COMPUTED_VALUE"""),3.0)</f>
        <v>3</v>
      </c>
      <c r="M2787" s="4" t="str">
        <f>IFERROR(__xludf.DUMMYFUNCTION("""COMPUTED_VALUE"""),"null")</f>
        <v>null</v>
      </c>
      <c r="N2787" s="33">
        <f>IFERROR(__xludf.DUMMYFUNCTION("""COMPUTED_VALUE"""),0.6666666666666666)</f>
        <v>0.6666666667</v>
      </c>
      <c r="O2787" s="4" t="str">
        <f>IFERROR(__xludf.DUMMYFUNCTION("""COMPUTED_VALUE"""),"null")</f>
        <v>null</v>
      </c>
      <c r="P2787" s="33">
        <f>IFERROR(__xludf.DUMMYFUNCTION("""COMPUTED_VALUE"""),0.6666666666666666)</f>
        <v>0.6666666667</v>
      </c>
      <c r="Q2787" s="4" t="str">
        <f>IFERROR(__xludf.DUMMYFUNCTION("""COMPUTED_VALUE"""),"null")</f>
        <v>null</v>
      </c>
      <c r="R2787" s="33">
        <f>IFERROR(__xludf.DUMMYFUNCTION("""COMPUTED_VALUE"""),0.6666666666666666)</f>
        <v>0.6666666667</v>
      </c>
      <c r="S2787" s="4" t="str">
        <f>IFERROR(__xludf.DUMMYFUNCTION("""COMPUTED_VALUE"""),"Saipos Serviços De Software")</f>
        <v>Saipos Serviços De Software</v>
      </c>
      <c r="T2787" s="33">
        <f>IFERROR(__xludf.DUMMYFUNCTION("""COMPUTED_VALUE"""),0.6666666666666666)</f>
        <v>0.6666666667</v>
      </c>
      <c r="U2787" s="4" t="str">
        <f>IFERROR(__xludf.DUMMYFUNCTION("""COMPUTED_VALUE"""),"null")</f>
        <v>null</v>
      </c>
      <c r="V2787" s="33">
        <f>IFERROR(__xludf.DUMMYFUNCTION("""COMPUTED_VALUE"""),0.3333333333333333)</f>
        <v>0.3333333333</v>
      </c>
      <c r="W2787" s="4" t="str">
        <f>IFERROR(__xludf.DUMMYFUNCTION("""COMPUTED_VALUE"""),"null")</f>
        <v>null</v>
      </c>
      <c r="X2787" s="33">
        <f>IFERROR(__xludf.DUMMYFUNCTION("""COMPUTED_VALUE"""),0.3333333333333333)</f>
        <v>0.3333333333</v>
      </c>
    </row>
    <row r="2788">
      <c r="K2788" s="4" t="str">
        <f>IFERROR(__xludf.DUMMYFUNCTION("""COMPUTED_VALUE"""),"BIG PASTEL")</f>
        <v>BIG PASTEL</v>
      </c>
      <c r="L2788" s="32">
        <f>IFERROR(__xludf.DUMMYFUNCTION("""COMPUTED_VALUE"""),3.0)</f>
        <v>3</v>
      </c>
      <c r="M2788" s="4" t="str">
        <f>IFERROR(__xludf.DUMMYFUNCTION("""COMPUTED_VALUE"""),"Anota Ai Solucoes Digitais S/a")</f>
        <v>Anota Ai Solucoes Digitais S/a</v>
      </c>
      <c r="N2788" s="33">
        <f>IFERROR(__xludf.DUMMYFUNCTION("""COMPUTED_VALUE"""),0.3333333333333333)</f>
        <v>0.3333333333</v>
      </c>
      <c r="O2788" s="4" t="str">
        <f>IFERROR(__xludf.DUMMYFUNCTION("""COMPUTED_VALUE"""),"Anota Ai Solucoes Digitais S/a")</f>
        <v>Anota Ai Solucoes Digitais S/a</v>
      </c>
      <c r="P2788" s="33">
        <f>IFERROR(__xludf.DUMMYFUNCTION("""COMPUTED_VALUE"""),0.3333333333333333)</f>
        <v>0.3333333333</v>
      </c>
      <c r="Q2788" s="4" t="str">
        <f>IFERROR(__xludf.DUMMYFUNCTION("""COMPUTED_VALUE"""),"Anota Ai Solucoes Digitais S/a")</f>
        <v>Anota Ai Solucoes Digitais S/a</v>
      </c>
      <c r="R2788" s="33">
        <f>IFERROR(__xludf.DUMMYFUNCTION("""COMPUTED_VALUE"""),0.3333333333333333)</f>
        <v>0.3333333333</v>
      </c>
      <c r="S2788" s="4" t="str">
        <f>IFERROR(__xludf.DUMMYFUNCTION("""COMPUTED_VALUE"""),"null")</f>
        <v>null</v>
      </c>
      <c r="T2788" s="33">
        <f>IFERROR(__xludf.DUMMYFUNCTION("""COMPUTED_VALUE"""),0.6666666666666666)</f>
        <v>0.6666666667</v>
      </c>
      <c r="U2788" s="4" t="str">
        <f>IFERROR(__xludf.DUMMYFUNCTION("""COMPUTED_VALUE"""),"null")</f>
        <v>null</v>
      </c>
      <c r="V2788" s="33">
        <f>IFERROR(__xludf.DUMMYFUNCTION("""COMPUTED_VALUE"""),0.6666666666666666)</f>
        <v>0.6666666667</v>
      </c>
      <c r="W2788" s="4" t="str">
        <f>IFERROR(__xludf.DUMMYFUNCTION("""COMPUTED_VALUE"""),"null")</f>
        <v>null</v>
      </c>
      <c r="X2788" s="33">
        <f>IFERROR(__xludf.DUMMYFUNCTION("""COMPUTED_VALUE"""),0.6666666666666666)</f>
        <v>0.6666666667</v>
      </c>
    </row>
    <row r="2789">
      <c r="K2789" s="4" t="str">
        <f>IFERROR(__xludf.DUMMYFUNCTION("""COMPUTED_VALUE"""),"MR SHAKE")</f>
        <v>MR SHAKE</v>
      </c>
      <c r="L2789" s="32">
        <f>IFERROR(__xludf.DUMMYFUNCTION("""COMPUTED_VALUE"""),3.0)</f>
        <v>3</v>
      </c>
      <c r="M2789" s="4" t="str">
        <f>IFERROR(__xludf.DUMMYFUNCTION("""COMPUTED_VALUE"""),"Syntax Tecnologia")</f>
        <v>Syntax Tecnologia</v>
      </c>
      <c r="N2789" s="33">
        <f>IFERROR(__xludf.DUMMYFUNCTION("""COMPUTED_VALUE"""),0.6666666666666666)</f>
        <v>0.6666666667</v>
      </c>
      <c r="O2789" s="4" t="str">
        <f>IFERROR(__xludf.DUMMYFUNCTION("""COMPUTED_VALUE"""),"Syntax Tecnologia")</f>
        <v>Syntax Tecnologia</v>
      </c>
      <c r="P2789" s="33">
        <f>IFERROR(__xludf.DUMMYFUNCTION("""COMPUTED_VALUE"""),0.6666666666666666)</f>
        <v>0.6666666667</v>
      </c>
      <c r="Q2789" s="4" t="str">
        <f>IFERROR(__xludf.DUMMYFUNCTION("""COMPUTED_VALUE"""),"null")</f>
        <v>null</v>
      </c>
      <c r="R2789" s="33">
        <f>IFERROR(__xludf.DUMMYFUNCTION("""COMPUTED_VALUE"""),0.6666666666666666)</f>
        <v>0.6666666667</v>
      </c>
      <c r="S2789" s="4" t="str">
        <f>IFERROR(__xludf.DUMMYFUNCTION("""COMPUTED_VALUE"""),"null")</f>
        <v>null</v>
      </c>
      <c r="T2789" s="33">
        <f>IFERROR(__xludf.DUMMYFUNCTION("""COMPUTED_VALUE"""),0.6666666666666666)</f>
        <v>0.6666666667</v>
      </c>
      <c r="U2789" s="4" t="str">
        <f>IFERROR(__xludf.DUMMYFUNCTION("""COMPUTED_VALUE"""),"null")</f>
        <v>null</v>
      </c>
      <c r="V2789" s="33">
        <f>IFERROR(__xludf.DUMMYFUNCTION("""COMPUTED_VALUE"""),0.6666666666666666)</f>
        <v>0.6666666667</v>
      </c>
      <c r="W2789" s="4" t="str">
        <f>IFERROR(__xludf.DUMMYFUNCTION("""COMPUTED_VALUE"""),"Syntax Tecnologia")</f>
        <v>Syntax Tecnologia</v>
      </c>
      <c r="X2789" s="33">
        <f>IFERROR(__xludf.DUMMYFUNCTION("""COMPUTED_VALUE"""),0.6666666666666666)</f>
        <v>0.6666666667</v>
      </c>
    </row>
    <row r="2790">
      <c r="K2790" s="4" t="str">
        <f>IFERROR(__xludf.DUMMYFUNCTION("""COMPUTED_VALUE"""),"PEPPERONI PIZZARIA")</f>
        <v>PEPPERONI PIZZARIA</v>
      </c>
      <c r="L2790" s="32">
        <f>IFERROR(__xludf.DUMMYFUNCTION("""COMPUTED_VALUE"""),3.0)</f>
        <v>3</v>
      </c>
      <c r="M2790" s="4" t="str">
        <f>IFERROR(__xludf.DUMMYFUNCTION("""COMPUTED_VALUE"""),"Saipos Serviços De Software")</f>
        <v>Saipos Serviços De Software</v>
      </c>
      <c r="N2790" s="33">
        <f>IFERROR(__xludf.DUMMYFUNCTION("""COMPUTED_VALUE"""),0.6666666666666666)</f>
        <v>0.6666666667</v>
      </c>
      <c r="O2790" s="4" t="str">
        <f>IFERROR(__xludf.DUMMYFUNCTION("""COMPUTED_VALUE"""),"null")</f>
        <v>null</v>
      </c>
      <c r="P2790" s="33">
        <f>IFERROR(__xludf.DUMMYFUNCTION("""COMPUTED_VALUE"""),0.3333333333333333)</f>
        <v>0.3333333333</v>
      </c>
      <c r="Q2790" s="4" t="str">
        <f>IFERROR(__xludf.DUMMYFUNCTION("""COMPUTED_VALUE"""),"null")</f>
        <v>null</v>
      </c>
      <c r="R2790" s="33">
        <f>IFERROR(__xludf.DUMMYFUNCTION("""COMPUTED_VALUE"""),0.3333333333333333)</f>
        <v>0.3333333333</v>
      </c>
      <c r="S2790" s="4" t="str">
        <f>IFERROR(__xludf.DUMMYFUNCTION("""COMPUTED_VALUE"""),"null")</f>
        <v>null</v>
      </c>
      <c r="T2790" s="33">
        <f>IFERROR(__xludf.DUMMYFUNCTION("""COMPUTED_VALUE"""),0.3333333333333333)</f>
        <v>0.3333333333</v>
      </c>
      <c r="U2790" s="4" t="str">
        <f>IFERROR(__xludf.DUMMYFUNCTION("""COMPUTED_VALUE"""),"null")</f>
        <v>null</v>
      </c>
      <c r="V2790" s="33">
        <f>IFERROR(__xludf.DUMMYFUNCTION("""COMPUTED_VALUE"""),0.6666666666666666)</f>
        <v>0.6666666667</v>
      </c>
      <c r="W2790" s="4" t="str">
        <f>IFERROR(__xludf.DUMMYFUNCTION("""COMPUTED_VALUE"""),"null")</f>
        <v>null</v>
      </c>
      <c r="X2790" s="33">
        <f>IFERROR(__xludf.DUMMYFUNCTION("""COMPUTED_VALUE"""),0.6666666666666666)</f>
        <v>0.6666666667</v>
      </c>
    </row>
    <row r="2791">
      <c r="K2791" s="4" t="str">
        <f>IFERROR(__xludf.DUMMYFUNCTION("""COMPUTED_VALUE"""),"BAR DO GORDO")</f>
        <v>BAR DO GORDO</v>
      </c>
      <c r="L2791" s="32">
        <f>IFERROR(__xludf.DUMMYFUNCTION("""COMPUTED_VALUE"""),3.0)</f>
        <v>3</v>
      </c>
      <c r="M2791" s="4" t="str">
        <f>IFERROR(__xludf.DUMMYFUNCTION("""COMPUTED_VALUE"""),"Bitbar")</f>
        <v>Bitbar</v>
      </c>
      <c r="N2791" s="33">
        <f>IFERROR(__xludf.DUMMYFUNCTION("""COMPUTED_VALUE"""),0.3333333333333333)</f>
        <v>0.3333333333</v>
      </c>
      <c r="O2791" s="4" t="str">
        <f>IFERROR(__xludf.DUMMYFUNCTION("""COMPUTED_VALUE"""),"Bitbar")</f>
        <v>Bitbar</v>
      </c>
      <c r="P2791" s="33">
        <f>IFERROR(__xludf.DUMMYFUNCTION("""COMPUTED_VALUE"""),0.3333333333333333)</f>
        <v>0.3333333333</v>
      </c>
      <c r="Q2791" s="4" t="str">
        <f>IFERROR(__xludf.DUMMYFUNCTION("""COMPUTED_VALUE"""),"Bitbar")</f>
        <v>Bitbar</v>
      </c>
      <c r="R2791" s="33">
        <f>IFERROR(__xludf.DUMMYFUNCTION("""COMPUTED_VALUE"""),0.3333333333333333)</f>
        <v>0.3333333333</v>
      </c>
      <c r="S2791" s="4" t="str">
        <f>IFERROR(__xludf.DUMMYFUNCTION("""COMPUTED_VALUE"""),"Bitbar")</f>
        <v>Bitbar</v>
      </c>
      <c r="T2791" s="33">
        <f>IFERROR(__xludf.DUMMYFUNCTION("""COMPUTED_VALUE"""),0.3333333333333333)</f>
        <v>0.3333333333</v>
      </c>
      <c r="U2791" s="4" t="str">
        <f>IFERROR(__xludf.DUMMYFUNCTION("""COMPUTED_VALUE"""),"Bitbar")</f>
        <v>Bitbar</v>
      </c>
      <c r="V2791" s="33">
        <f>IFERROR(__xludf.DUMMYFUNCTION("""COMPUTED_VALUE"""),0.3333333333333333)</f>
        <v>0.3333333333</v>
      </c>
      <c r="W2791" s="4" t="str">
        <f>IFERROR(__xludf.DUMMYFUNCTION("""COMPUTED_VALUE"""),"Bitbar")</f>
        <v>Bitbar</v>
      </c>
      <c r="X2791" s="33">
        <f>IFERROR(__xludf.DUMMYFUNCTION("""COMPUTED_VALUE"""),0.3333333333333333)</f>
        <v>0.3333333333</v>
      </c>
    </row>
    <row r="2792">
      <c r="K2792" s="4" t="str">
        <f>IFERROR(__xludf.DUMMYFUNCTION("""COMPUTED_VALUE"""),"VILLAS BURGER")</f>
        <v>VILLAS BURGER</v>
      </c>
      <c r="L2792" s="32">
        <f>IFERROR(__xludf.DUMMYFUNCTION("""COMPUTED_VALUE"""),3.0)</f>
        <v>3</v>
      </c>
      <c r="M2792" s="4" t="str">
        <f>IFERROR(__xludf.DUMMYFUNCTION("""COMPUTED_VALUE"""),"Saipos Serviços De Software")</f>
        <v>Saipos Serviços De Software</v>
      </c>
      <c r="N2792" s="33">
        <f>IFERROR(__xludf.DUMMYFUNCTION("""COMPUTED_VALUE"""),0.6666666666666666)</f>
        <v>0.6666666667</v>
      </c>
      <c r="O2792" s="4" t="str">
        <f>IFERROR(__xludf.DUMMYFUNCTION("""COMPUTED_VALUE"""),"Saipos Serviços De Software")</f>
        <v>Saipos Serviços De Software</v>
      </c>
      <c r="P2792" s="33">
        <f>IFERROR(__xludf.DUMMYFUNCTION("""COMPUTED_VALUE"""),0.6666666666666666)</f>
        <v>0.6666666667</v>
      </c>
      <c r="Q2792" s="4" t="str">
        <f>IFERROR(__xludf.DUMMYFUNCTION("""COMPUTED_VALUE"""),"Saipos Serviços De Software")</f>
        <v>Saipos Serviços De Software</v>
      </c>
      <c r="R2792" s="33">
        <f>IFERROR(__xludf.DUMMYFUNCTION("""COMPUTED_VALUE"""),0.6666666666666666)</f>
        <v>0.6666666667</v>
      </c>
      <c r="S2792" s="4" t="str">
        <f>IFERROR(__xludf.DUMMYFUNCTION("""COMPUTED_VALUE"""),"Saipos Serviços De Software")</f>
        <v>Saipos Serviços De Software</v>
      </c>
      <c r="T2792" s="33">
        <f>IFERROR(__xludf.DUMMYFUNCTION("""COMPUTED_VALUE"""),0.6666666666666666)</f>
        <v>0.6666666667</v>
      </c>
      <c r="U2792" s="4" t="str">
        <f>IFERROR(__xludf.DUMMYFUNCTION("""COMPUTED_VALUE"""),"Saipos Serviços De Software")</f>
        <v>Saipos Serviços De Software</v>
      </c>
      <c r="V2792" s="33">
        <f>IFERROR(__xludf.DUMMYFUNCTION("""COMPUTED_VALUE"""),0.6666666666666666)</f>
        <v>0.6666666667</v>
      </c>
      <c r="W2792" s="4" t="str">
        <f>IFERROR(__xludf.DUMMYFUNCTION("""COMPUTED_VALUE"""),"Saipos Serviços De Software")</f>
        <v>Saipos Serviços De Software</v>
      </c>
      <c r="X2792" s="33">
        <f>IFERROR(__xludf.DUMMYFUNCTION("""COMPUTED_VALUE"""),0.6666666666666666)</f>
        <v>0.6666666667</v>
      </c>
    </row>
    <row r="2793">
      <c r="K2793" s="4" t="str">
        <f>IFERROR(__xludf.DUMMYFUNCTION("""COMPUTED_VALUE"""),"SUSHI LOUNGE")</f>
        <v>SUSHI LOUNGE</v>
      </c>
      <c r="L2793" s="32">
        <f>IFERROR(__xludf.DUMMYFUNCTION("""COMPUTED_VALUE"""),3.0)</f>
        <v>3</v>
      </c>
      <c r="M2793" s="4" t="str">
        <f>IFERROR(__xludf.DUMMYFUNCTION("""COMPUTED_VALUE"""),"Nuc Tecnologia")</f>
        <v>Nuc Tecnologia</v>
      </c>
      <c r="N2793" s="33">
        <f>IFERROR(__xludf.DUMMYFUNCTION("""COMPUTED_VALUE"""),0.3333333333333333)</f>
        <v>0.3333333333</v>
      </c>
      <c r="O2793" s="4" t="str">
        <f>IFERROR(__xludf.DUMMYFUNCTION("""COMPUTED_VALUE"""),"Nuc Tecnologia")</f>
        <v>Nuc Tecnologia</v>
      </c>
      <c r="P2793" s="33">
        <f>IFERROR(__xludf.DUMMYFUNCTION("""COMPUTED_VALUE"""),0.3333333333333333)</f>
        <v>0.3333333333</v>
      </c>
      <c r="Q2793" s="4" t="str">
        <f>IFERROR(__xludf.DUMMYFUNCTION("""COMPUTED_VALUE"""),"null")</f>
        <v>null</v>
      </c>
      <c r="R2793" s="33">
        <f>IFERROR(__xludf.DUMMYFUNCTION("""COMPUTED_VALUE"""),0.6666666666666666)</f>
        <v>0.6666666667</v>
      </c>
      <c r="S2793" s="4" t="str">
        <f>IFERROR(__xludf.DUMMYFUNCTION("""COMPUTED_VALUE"""),"Fire Sistemas")</f>
        <v>Fire Sistemas</v>
      </c>
      <c r="T2793" s="33">
        <f>IFERROR(__xludf.DUMMYFUNCTION("""COMPUTED_VALUE"""),0.3333333333333333)</f>
        <v>0.3333333333</v>
      </c>
      <c r="U2793" s="4" t="str">
        <f>IFERROR(__xludf.DUMMYFUNCTION("""COMPUTED_VALUE"""),"Fire Sistemas")</f>
        <v>Fire Sistemas</v>
      </c>
      <c r="V2793" s="33">
        <f>IFERROR(__xludf.DUMMYFUNCTION("""COMPUTED_VALUE"""),0.3333333333333333)</f>
        <v>0.3333333333</v>
      </c>
      <c r="W2793" s="4" t="str">
        <f>IFERROR(__xludf.DUMMYFUNCTION("""COMPUTED_VALUE"""),"Fire Sistemas")</f>
        <v>Fire Sistemas</v>
      </c>
      <c r="X2793" s="33">
        <f>IFERROR(__xludf.DUMMYFUNCTION("""COMPUTED_VALUE"""),0.3333333333333333)</f>
        <v>0.3333333333</v>
      </c>
    </row>
    <row r="2794">
      <c r="K2794" s="4" t="str">
        <f>IFERROR(__xludf.DUMMYFUNCTION("""COMPUTED_VALUE"""),"MAGNIFICO LANCHES")</f>
        <v>MAGNIFICO LANCHES</v>
      </c>
      <c r="L2794" s="32">
        <f>IFERROR(__xludf.DUMMYFUNCTION("""COMPUTED_VALUE"""),3.0)</f>
        <v>3</v>
      </c>
      <c r="M2794" s="4" t="str">
        <f>IFERROR(__xludf.DUMMYFUNCTION("""COMPUTED_VALUE"""),"Saipos Serviços De Software")</f>
        <v>Saipos Serviços De Software</v>
      </c>
      <c r="N2794" s="33">
        <f>IFERROR(__xludf.DUMMYFUNCTION("""COMPUTED_VALUE"""),0.6666666666666666)</f>
        <v>0.6666666667</v>
      </c>
      <c r="O2794" s="4" t="str">
        <f>IFERROR(__xludf.DUMMYFUNCTION("""COMPUTED_VALUE"""),"Saipos Serviços De Software")</f>
        <v>Saipos Serviços De Software</v>
      </c>
      <c r="P2794" s="33">
        <f>IFERROR(__xludf.DUMMYFUNCTION("""COMPUTED_VALUE"""),1.0)</f>
        <v>1</v>
      </c>
      <c r="Q2794" s="4" t="str">
        <f>IFERROR(__xludf.DUMMYFUNCTION("""COMPUTED_VALUE"""),"Saipos Serviços De Software")</f>
        <v>Saipos Serviços De Software</v>
      </c>
      <c r="R2794" s="33">
        <f>IFERROR(__xludf.DUMMYFUNCTION("""COMPUTED_VALUE"""),1.0)</f>
        <v>1</v>
      </c>
      <c r="S2794" s="4" t="str">
        <f>IFERROR(__xludf.DUMMYFUNCTION("""COMPUTED_VALUE"""),"Suitable Tecnologia E Gestao")</f>
        <v>Suitable Tecnologia E Gestao</v>
      </c>
      <c r="T2794" s="33">
        <f>IFERROR(__xludf.DUMMYFUNCTION("""COMPUTED_VALUE"""),0.6666666666666666)</f>
        <v>0.6666666667</v>
      </c>
      <c r="U2794" s="4" t="str">
        <f>IFERROR(__xludf.DUMMYFUNCTION("""COMPUTED_VALUE"""),"Suitable Tecnologia E Gestao")</f>
        <v>Suitable Tecnologia E Gestao</v>
      </c>
      <c r="V2794" s="33">
        <f>IFERROR(__xludf.DUMMYFUNCTION("""COMPUTED_VALUE"""),0.6666666666666666)</f>
        <v>0.6666666667</v>
      </c>
      <c r="W2794" s="4" t="str">
        <f>IFERROR(__xludf.DUMMYFUNCTION("""COMPUTED_VALUE"""),"Suitable Tecnologia E Gestao")</f>
        <v>Suitable Tecnologia E Gestao</v>
      </c>
      <c r="X2794" s="33">
        <f>IFERROR(__xludf.DUMMYFUNCTION("""COMPUTED_VALUE"""),0.6666666666666666)</f>
        <v>0.6666666667</v>
      </c>
    </row>
    <row r="2795">
      <c r="K2795" s="4" t="str">
        <f>IFERROR(__xludf.DUMMYFUNCTION("""COMPUTED_VALUE"""),"KINGS BURGER")</f>
        <v>KINGS BURGER</v>
      </c>
      <c r="L2795" s="32">
        <f>IFERROR(__xludf.DUMMYFUNCTION("""COMPUTED_VALUE"""),3.0)</f>
        <v>3</v>
      </c>
      <c r="M2795" s="4" t="str">
        <f>IFERROR(__xludf.DUMMYFUNCTION("""COMPUTED_VALUE"""),"null")</f>
        <v>null</v>
      </c>
      <c r="N2795" s="33">
        <f>IFERROR(__xludf.DUMMYFUNCTION("""COMPUTED_VALUE"""),0.3333333333333333)</f>
        <v>0.3333333333</v>
      </c>
      <c r="O2795" s="4" t="str">
        <f>IFERROR(__xludf.DUMMYFUNCTION("""COMPUTED_VALUE"""),"null")</f>
        <v>null</v>
      </c>
      <c r="P2795" s="33">
        <f>IFERROR(__xludf.DUMMYFUNCTION("""COMPUTED_VALUE"""),0.6666666666666666)</f>
        <v>0.6666666667</v>
      </c>
      <c r="Q2795" s="4" t="str">
        <f>IFERROR(__xludf.DUMMYFUNCTION("""COMPUTED_VALUE"""),"null")</f>
        <v>null</v>
      </c>
      <c r="R2795" s="33">
        <f>IFERROR(__xludf.DUMMYFUNCTION("""COMPUTED_VALUE"""),0.6666666666666666)</f>
        <v>0.6666666667</v>
      </c>
      <c r="S2795" s="4" t="str">
        <f>IFERROR(__xludf.DUMMYFUNCTION("""COMPUTED_VALUE"""),"null")</f>
        <v>null</v>
      </c>
      <c r="T2795" s="33">
        <f>IFERROR(__xludf.DUMMYFUNCTION("""COMPUTED_VALUE"""),0.6666666666666666)</f>
        <v>0.6666666667</v>
      </c>
      <c r="U2795" s="4" t="str">
        <f>IFERROR(__xludf.DUMMYFUNCTION("""COMPUTED_VALUE"""),"Yooga")</f>
        <v>Yooga</v>
      </c>
      <c r="V2795" s="33">
        <f>IFERROR(__xludf.DUMMYFUNCTION("""COMPUTED_VALUE"""),0.3333333333333333)</f>
        <v>0.3333333333</v>
      </c>
      <c r="W2795" s="4" t="str">
        <f>IFERROR(__xludf.DUMMYFUNCTION("""COMPUTED_VALUE"""),"null")</f>
        <v>null</v>
      </c>
      <c r="X2795" s="33">
        <f>IFERROR(__xludf.DUMMYFUNCTION("""COMPUTED_VALUE"""),0.3333333333333333)</f>
        <v>0.3333333333</v>
      </c>
    </row>
    <row r="2796">
      <c r="K2796" s="4" t="str">
        <f>IFERROR(__xludf.DUMMYFUNCTION("""COMPUTED_VALUE"""),"PIZZARIA DO PEDACO")</f>
        <v>PIZZARIA DO PEDACO</v>
      </c>
      <c r="L2796" s="32">
        <f>IFERROR(__xludf.DUMMYFUNCTION("""COMPUTED_VALUE"""),3.0)</f>
        <v>3</v>
      </c>
      <c r="M2796" s="4" t="str">
        <f>IFERROR(__xludf.DUMMYFUNCTION("""COMPUTED_VALUE"""),"Suitable Tecnologia E Gestao")</f>
        <v>Suitable Tecnologia E Gestao</v>
      </c>
      <c r="N2796" s="33">
        <f>IFERROR(__xludf.DUMMYFUNCTION("""COMPUTED_VALUE"""),0.3333333333333333)</f>
        <v>0.3333333333</v>
      </c>
      <c r="O2796" s="4" t="str">
        <f>IFERROR(__xludf.DUMMYFUNCTION("""COMPUTED_VALUE"""),"null")</f>
        <v>null</v>
      </c>
      <c r="P2796" s="33">
        <f>IFERROR(__xludf.DUMMYFUNCTION("""COMPUTED_VALUE"""),0.6666666666666666)</f>
        <v>0.6666666667</v>
      </c>
      <c r="Q2796" s="4" t="str">
        <f>IFERROR(__xludf.DUMMYFUNCTION("""COMPUTED_VALUE"""),"null")</f>
        <v>null</v>
      </c>
      <c r="R2796" s="33">
        <f>IFERROR(__xludf.DUMMYFUNCTION("""COMPUTED_VALUE"""),0.6666666666666666)</f>
        <v>0.6666666667</v>
      </c>
      <c r="S2796" s="4" t="str">
        <f>IFERROR(__xludf.DUMMYFUNCTION("""COMPUTED_VALUE"""),"null")</f>
        <v>null</v>
      </c>
      <c r="T2796" s="33">
        <f>IFERROR(__xludf.DUMMYFUNCTION("""COMPUTED_VALUE"""),0.6666666666666666)</f>
        <v>0.6666666667</v>
      </c>
      <c r="U2796" s="4" t="str">
        <f>IFERROR(__xludf.DUMMYFUNCTION("""COMPUTED_VALUE"""),"Suitable Tecnologia E Gestao")</f>
        <v>Suitable Tecnologia E Gestao</v>
      </c>
      <c r="V2796" s="33">
        <f>IFERROR(__xludf.DUMMYFUNCTION("""COMPUTED_VALUE"""),0.3333333333333333)</f>
        <v>0.3333333333</v>
      </c>
      <c r="W2796" s="4" t="str">
        <f>IFERROR(__xludf.DUMMYFUNCTION("""COMPUTED_VALUE"""),"null")</f>
        <v>null</v>
      </c>
      <c r="X2796" s="33">
        <f>IFERROR(__xludf.DUMMYFUNCTION("""COMPUTED_VALUE"""),0.6666666666666666)</f>
        <v>0.6666666667</v>
      </c>
    </row>
    <row r="2797">
      <c r="K2797" s="4" t="str">
        <f>IFERROR(__xludf.DUMMYFUNCTION("""COMPUTED_VALUE"""),"ESPETO BAR")</f>
        <v>ESPETO BAR</v>
      </c>
      <c r="L2797" s="32">
        <f>IFERROR(__xludf.DUMMYFUNCTION("""COMPUTED_VALUE"""),3.0)</f>
        <v>3</v>
      </c>
      <c r="M2797" s="4" t="str">
        <f>IFERROR(__xludf.DUMMYFUNCTION("""COMPUTED_VALUE"""),"Consumer Soluções Em Tecnologia Ltda")</f>
        <v>Consumer Soluções Em Tecnologia Ltda</v>
      </c>
      <c r="N2797" s="33">
        <f>IFERROR(__xludf.DUMMYFUNCTION("""COMPUTED_VALUE"""),0.6666666666666666)</f>
        <v>0.6666666667</v>
      </c>
      <c r="O2797" s="4" t="str">
        <f>IFERROR(__xludf.DUMMYFUNCTION("""COMPUTED_VALUE"""),"Consumer Soluções Em Tecnologia Ltda")</f>
        <v>Consumer Soluções Em Tecnologia Ltda</v>
      </c>
      <c r="P2797" s="33">
        <f>IFERROR(__xludf.DUMMYFUNCTION("""COMPUTED_VALUE"""),0.6666666666666666)</f>
        <v>0.6666666667</v>
      </c>
      <c r="Q2797" s="4" t="str">
        <f>IFERROR(__xludf.DUMMYFUNCTION("""COMPUTED_VALUE"""),"Consumer Soluções Em Tecnologia Ltda")</f>
        <v>Consumer Soluções Em Tecnologia Ltda</v>
      </c>
      <c r="R2797" s="33">
        <f>IFERROR(__xludf.DUMMYFUNCTION("""COMPUTED_VALUE"""),0.6666666666666666)</f>
        <v>0.6666666667</v>
      </c>
      <c r="S2797" s="4" t="str">
        <f>IFERROR(__xludf.DUMMYFUNCTION("""COMPUTED_VALUE"""),"Consumer Soluções Em Tecnologia Ltda")</f>
        <v>Consumer Soluções Em Tecnologia Ltda</v>
      </c>
      <c r="T2797" s="33">
        <f>IFERROR(__xludf.DUMMYFUNCTION("""COMPUTED_VALUE"""),0.6666666666666666)</f>
        <v>0.6666666667</v>
      </c>
      <c r="U2797" s="4" t="str">
        <f>IFERROR(__xludf.DUMMYFUNCTION("""COMPUTED_VALUE"""),"Consumer Soluções Em Tecnologia Ltda")</f>
        <v>Consumer Soluções Em Tecnologia Ltda</v>
      </c>
      <c r="V2797" s="33">
        <f>IFERROR(__xludf.DUMMYFUNCTION("""COMPUTED_VALUE"""),0.6666666666666666)</f>
        <v>0.6666666667</v>
      </c>
      <c r="W2797" s="4" t="str">
        <f>IFERROR(__xludf.DUMMYFUNCTION("""COMPUTED_VALUE"""),"Consumer Soluções Em Tecnologia Ltda")</f>
        <v>Consumer Soluções Em Tecnologia Ltda</v>
      </c>
      <c r="X2797" s="33">
        <f>IFERROR(__xludf.DUMMYFUNCTION("""COMPUTED_VALUE"""),0.6666666666666666)</f>
        <v>0.6666666667</v>
      </c>
    </row>
    <row r="2798">
      <c r="K2798" s="4" t="str">
        <f>IFERROR(__xludf.DUMMYFUNCTION("""COMPUTED_VALUE"""),"MIX ACAI")</f>
        <v>MIX ACAI</v>
      </c>
      <c r="L2798" s="32">
        <f>IFERROR(__xludf.DUMMYFUNCTION("""COMPUTED_VALUE"""),3.0)</f>
        <v>3</v>
      </c>
      <c r="M2798" s="4" t="str">
        <f>IFERROR(__xludf.DUMMYFUNCTION("""COMPUTED_VALUE"""),"Cardápio Web")</f>
        <v>Cardápio Web</v>
      </c>
      <c r="N2798" s="33">
        <f>IFERROR(__xludf.DUMMYFUNCTION("""COMPUTED_VALUE"""),0.3333333333333333)</f>
        <v>0.3333333333</v>
      </c>
      <c r="O2798" s="4" t="str">
        <f>IFERROR(__xludf.DUMMYFUNCTION("""COMPUTED_VALUE"""),"Cardápio Web")</f>
        <v>Cardápio Web</v>
      </c>
      <c r="P2798" s="33">
        <f>IFERROR(__xludf.DUMMYFUNCTION("""COMPUTED_VALUE"""),0.3333333333333333)</f>
        <v>0.3333333333</v>
      </c>
      <c r="Q2798" s="4" t="str">
        <f>IFERROR(__xludf.DUMMYFUNCTION("""COMPUTED_VALUE"""),"Cardápio Web")</f>
        <v>Cardápio Web</v>
      </c>
      <c r="R2798" s="33">
        <f>IFERROR(__xludf.DUMMYFUNCTION("""COMPUTED_VALUE"""),0.3333333333333333)</f>
        <v>0.3333333333</v>
      </c>
      <c r="S2798" s="4" t="str">
        <f>IFERROR(__xludf.DUMMYFUNCTION("""COMPUTED_VALUE"""),"Cardápio Web")</f>
        <v>Cardápio Web</v>
      </c>
      <c r="T2798" s="33">
        <f>IFERROR(__xludf.DUMMYFUNCTION("""COMPUTED_VALUE"""),0.3333333333333333)</f>
        <v>0.3333333333</v>
      </c>
      <c r="U2798" s="4" t="str">
        <f>IFERROR(__xludf.DUMMYFUNCTION("""COMPUTED_VALUE"""),"Cardápio Web")</f>
        <v>Cardápio Web</v>
      </c>
      <c r="V2798" s="33">
        <f>IFERROR(__xludf.DUMMYFUNCTION("""COMPUTED_VALUE"""),0.3333333333333333)</f>
        <v>0.3333333333</v>
      </c>
      <c r="W2798" s="4" t="str">
        <f>IFERROR(__xludf.DUMMYFUNCTION("""COMPUTED_VALUE"""),"Cardápio Web")</f>
        <v>Cardápio Web</v>
      </c>
      <c r="X2798" s="33">
        <f>IFERROR(__xludf.DUMMYFUNCTION("""COMPUTED_VALUE"""),0.3333333333333333)</f>
        <v>0.3333333333</v>
      </c>
    </row>
    <row r="2799">
      <c r="K2799" s="4" t="str">
        <f>IFERROR(__xludf.DUMMYFUNCTION("""COMPUTED_VALUE"""),"KENTARO SUSHI")</f>
        <v>KENTARO SUSHI</v>
      </c>
      <c r="L2799" s="32">
        <f>IFERROR(__xludf.DUMMYFUNCTION("""COMPUTED_VALUE"""),3.0)</f>
        <v>3</v>
      </c>
      <c r="M2799" s="4" t="str">
        <f>IFERROR(__xludf.DUMMYFUNCTION("""COMPUTED_VALUE"""),"Saipos Serviços De Software")</f>
        <v>Saipos Serviços De Software</v>
      </c>
      <c r="N2799" s="33">
        <f>IFERROR(__xludf.DUMMYFUNCTION("""COMPUTED_VALUE"""),1.0)</f>
        <v>1</v>
      </c>
      <c r="O2799" s="4" t="str">
        <f>IFERROR(__xludf.DUMMYFUNCTION("""COMPUTED_VALUE"""),"Saipos Serviços De Software")</f>
        <v>Saipos Serviços De Software</v>
      </c>
      <c r="P2799" s="33">
        <f>IFERROR(__xludf.DUMMYFUNCTION("""COMPUTED_VALUE"""),1.0)</f>
        <v>1</v>
      </c>
      <c r="Q2799" s="4" t="str">
        <f>IFERROR(__xludf.DUMMYFUNCTION("""COMPUTED_VALUE"""),"Saipos Serviços De Software")</f>
        <v>Saipos Serviços De Software</v>
      </c>
      <c r="R2799" s="33">
        <f>IFERROR(__xludf.DUMMYFUNCTION("""COMPUTED_VALUE"""),1.0)</f>
        <v>1</v>
      </c>
      <c r="S2799" s="4" t="str">
        <f>IFERROR(__xludf.DUMMYFUNCTION("""COMPUTED_VALUE"""),"Saipos Serviços De Software")</f>
        <v>Saipos Serviços De Software</v>
      </c>
      <c r="T2799" s="33">
        <f>IFERROR(__xludf.DUMMYFUNCTION("""COMPUTED_VALUE"""),1.0)</f>
        <v>1</v>
      </c>
      <c r="U2799" s="4" t="str">
        <f>IFERROR(__xludf.DUMMYFUNCTION("""COMPUTED_VALUE"""),"Saipos Serviços De Software")</f>
        <v>Saipos Serviços De Software</v>
      </c>
      <c r="V2799" s="33">
        <f>IFERROR(__xludf.DUMMYFUNCTION("""COMPUTED_VALUE"""),1.0)</f>
        <v>1</v>
      </c>
      <c r="W2799" s="4" t="str">
        <f>IFERROR(__xludf.DUMMYFUNCTION("""COMPUTED_VALUE"""),"null")</f>
        <v>null</v>
      </c>
      <c r="X2799" s="33">
        <f>IFERROR(__xludf.DUMMYFUNCTION("""COMPUTED_VALUE"""),0.6666666666666666)</f>
        <v>0.6666666667</v>
      </c>
    </row>
    <row r="2800">
      <c r="K2800" s="4" t="str">
        <f>IFERROR(__xludf.DUMMYFUNCTION("""COMPUTED_VALUE"""),"PIZZA DA VILA")</f>
        <v>PIZZA DA VILA</v>
      </c>
      <c r="L2800" s="32">
        <f>IFERROR(__xludf.DUMMYFUNCTION("""COMPUTED_VALUE"""),3.0)</f>
        <v>3</v>
      </c>
      <c r="M2800" s="4" t="str">
        <f>IFERROR(__xludf.DUMMYFUNCTION("""COMPUTED_VALUE"""),"Anota Ai Solucoes Digitais S/a")</f>
        <v>Anota Ai Solucoes Digitais S/a</v>
      </c>
      <c r="N2800" s="33">
        <f>IFERROR(__xludf.DUMMYFUNCTION("""COMPUTED_VALUE"""),0.6666666666666666)</f>
        <v>0.6666666667</v>
      </c>
      <c r="O2800" s="4" t="str">
        <f>IFERROR(__xludf.DUMMYFUNCTION("""COMPUTED_VALUE"""),"null")</f>
        <v>null</v>
      </c>
      <c r="P2800" s="33">
        <f>IFERROR(__xludf.DUMMYFUNCTION("""COMPUTED_VALUE"""),0.6666666666666666)</f>
        <v>0.6666666667</v>
      </c>
      <c r="Q2800" s="4" t="str">
        <f>IFERROR(__xludf.DUMMYFUNCTION("""COMPUTED_VALUE"""),"null")</f>
        <v>null</v>
      </c>
      <c r="R2800" s="33">
        <f>IFERROR(__xludf.DUMMYFUNCTION("""COMPUTED_VALUE"""),0.6666666666666666)</f>
        <v>0.6666666667</v>
      </c>
      <c r="S2800" s="4" t="str">
        <f>IFERROR(__xludf.DUMMYFUNCTION("""COMPUTED_VALUE"""),"null")</f>
        <v>null</v>
      </c>
      <c r="T2800" s="33">
        <f>IFERROR(__xludf.DUMMYFUNCTION("""COMPUTED_VALUE"""),1.0)</f>
        <v>1</v>
      </c>
      <c r="U2800" s="4" t="str">
        <f>IFERROR(__xludf.DUMMYFUNCTION("""COMPUTED_VALUE"""),"null")</f>
        <v>null</v>
      </c>
      <c r="V2800" s="33">
        <f>IFERROR(__xludf.DUMMYFUNCTION("""COMPUTED_VALUE"""),0.3333333333333333)</f>
        <v>0.3333333333</v>
      </c>
      <c r="W2800" s="4" t="str">
        <f>IFERROR(__xludf.DUMMYFUNCTION("""COMPUTED_VALUE"""),"null")</f>
        <v>null</v>
      </c>
      <c r="X2800" s="33">
        <f>IFERROR(__xludf.DUMMYFUNCTION("""COMPUTED_VALUE"""),0.6666666666666666)</f>
        <v>0.6666666667</v>
      </c>
    </row>
    <row r="2801">
      <c r="K2801" s="4" t="str">
        <f>IFERROR(__xludf.DUMMYFUNCTION("""COMPUTED_VALUE"""),"LOUCOS POR ACAI")</f>
        <v>LOUCOS POR ACAI</v>
      </c>
      <c r="L2801" s="32">
        <f>IFERROR(__xludf.DUMMYFUNCTION("""COMPUTED_VALUE"""),3.0)</f>
        <v>3</v>
      </c>
      <c r="M2801" s="4" t="str">
        <f>IFERROR(__xludf.DUMMYFUNCTION("""COMPUTED_VALUE"""),"null")</f>
        <v>null</v>
      </c>
      <c r="N2801" s="33">
        <f>IFERROR(__xludf.DUMMYFUNCTION("""COMPUTED_VALUE"""),0.3333333333333333)</f>
        <v>0.3333333333</v>
      </c>
      <c r="O2801" s="4" t="str">
        <f>IFERROR(__xludf.DUMMYFUNCTION("""COMPUTED_VALUE"""),"null")</f>
        <v>null</v>
      </c>
      <c r="P2801" s="33">
        <f>IFERROR(__xludf.DUMMYFUNCTION("""COMPUTED_VALUE"""),0.6666666666666666)</f>
        <v>0.6666666667</v>
      </c>
      <c r="Q2801" s="4" t="str">
        <f>IFERROR(__xludf.DUMMYFUNCTION("""COMPUTED_VALUE"""),"null")</f>
        <v>null</v>
      </c>
      <c r="R2801" s="33">
        <f>IFERROR(__xludf.DUMMYFUNCTION("""COMPUTED_VALUE"""),0.3333333333333333)</f>
        <v>0.3333333333</v>
      </c>
      <c r="S2801" s="4" t="str">
        <f>IFERROR(__xludf.DUMMYFUNCTION("""COMPUTED_VALUE"""),"null")</f>
        <v>null</v>
      </c>
      <c r="T2801" s="33">
        <f>IFERROR(__xludf.DUMMYFUNCTION("""COMPUTED_VALUE"""),0.3333333333333333)</f>
        <v>0.3333333333</v>
      </c>
      <c r="U2801" s="4" t="str">
        <f>IFERROR(__xludf.DUMMYFUNCTION("""COMPUTED_VALUE"""),"Anota Ai Solucoes Digitais S/a")</f>
        <v>Anota Ai Solucoes Digitais S/a</v>
      </c>
      <c r="V2801" s="33">
        <f>IFERROR(__xludf.DUMMYFUNCTION("""COMPUTED_VALUE"""),0.6666666666666666)</f>
        <v>0.6666666667</v>
      </c>
      <c r="W2801" s="4" t="str">
        <f>IFERROR(__xludf.DUMMYFUNCTION("""COMPUTED_VALUE"""),"null")</f>
        <v>null</v>
      </c>
      <c r="X2801" s="33">
        <f>IFERROR(__xludf.DUMMYFUNCTION("""COMPUTED_VALUE"""),0.3333333333333333)</f>
        <v>0.3333333333</v>
      </c>
    </row>
    <row r="2802">
      <c r="K2802" s="4" t="str">
        <f>IFERROR(__xludf.DUMMYFUNCTION("""COMPUTED_VALUE"""),"HAMBURGUERIA BARBAROS")</f>
        <v>HAMBURGUERIA BARBAROS</v>
      </c>
      <c r="L2802" s="32">
        <f>IFERROR(__xludf.DUMMYFUNCTION("""COMPUTED_VALUE"""),3.0)</f>
        <v>3</v>
      </c>
      <c r="M2802" s="4" t="str">
        <f>IFERROR(__xludf.DUMMYFUNCTION("""COMPUTED_VALUE"""),"Consumer Soluções Em Tecnologia Ltda")</f>
        <v>Consumer Soluções Em Tecnologia Ltda</v>
      </c>
      <c r="N2802" s="33">
        <f>IFERROR(__xludf.DUMMYFUNCTION("""COMPUTED_VALUE"""),1.0)</f>
        <v>1</v>
      </c>
      <c r="O2802" s="4" t="str">
        <f>IFERROR(__xludf.DUMMYFUNCTION("""COMPUTED_VALUE"""),"Consumer Soluções Em Tecnologia Ltda")</f>
        <v>Consumer Soluções Em Tecnologia Ltda</v>
      </c>
      <c r="P2802" s="33">
        <f>IFERROR(__xludf.DUMMYFUNCTION("""COMPUTED_VALUE"""),1.0)</f>
        <v>1</v>
      </c>
      <c r="Q2802" s="4" t="str">
        <f>IFERROR(__xludf.DUMMYFUNCTION("""COMPUTED_VALUE"""),"Consumer Soluções Em Tecnologia Ltda")</f>
        <v>Consumer Soluções Em Tecnologia Ltda</v>
      </c>
      <c r="R2802" s="33">
        <f>IFERROR(__xludf.DUMMYFUNCTION("""COMPUTED_VALUE"""),1.0)</f>
        <v>1</v>
      </c>
      <c r="S2802" s="4" t="str">
        <f>IFERROR(__xludf.DUMMYFUNCTION("""COMPUTED_VALUE"""),"Consumer Soluções Em Tecnologia Ltda")</f>
        <v>Consumer Soluções Em Tecnologia Ltda</v>
      </c>
      <c r="T2802" s="33">
        <f>IFERROR(__xludf.DUMMYFUNCTION("""COMPUTED_VALUE"""),1.0)</f>
        <v>1</v>
      </c>
      <c r="U2802" s="4" t="str">
        <f>IFERROR(__xludf.DUMMYFUNCTION("""COMPUTED_VALUE"""),"Consumer Soluções Em Tecnologia Ltda")</f>
        <v>Consumer Soluções Em Tecnologia Ltda</v>
      </c>
      <c r="V2802" s="33">
        <f>IFERROR(__xludf.DUMMYFUNCTION("""COMPUTED_VALUE"""),1.0)</f>
        <v>1</v>
      </c>
      <c r="W2802" s="4" t="str">
        <f>IFERROR(__xludf.DUMMYFUNCTION("""COMPUTED_VALUE"""),"Consumer Soluções Em Tecnologia Ltda")</f>
        <v>Consumer Soluções Em Tecnologia Ltda</v>
      </c>
      <c r="X2802" s="33">
        <f>IFERROR(__xludf.DUMMYFUNCTION("""COMPUTED_VALUE"""),1.0)</f>
        <v>1</v>
      </c>
    </row>
    <row r="2803">
      <c r="K2803" s="4" t="str">
        <f>IFERROR(__xludf.DUMMYFUNCTION("""COMPUTED_VALUE"""),"CHEF BURGER")</f>
        <v>CHEF BURGER</v>
      </c>
      <c r="L2803" s="32">
        <f>IFERROR(__xludf.DUMMYFUNCTION("""COMPUTED_VALUE"""),3.0)</f>
        <v>3</v>
      </c>
      <c r="M2803" s="4" t="str">
        <f>IFERROR(__xludf.DUMMYFUNCTION("""COMPUTED_VALUE"""),"Anota Ai Solucoes Digitais S/a")</f>
        <v>Anota Ai Solucoes Digitais S/a</v>
      </c>
      <c r="N2803" s="33">
        <f>IFERROR(__xludf.DUMMYFUNCTION("""COMPUTED_VALUE"""),0.3333333333333333)</f>
        <v>0.3333333333</v>
      </c>
      <c r="O2803" s="4" t="str">
        <f>IFERROR(__xludf.DUMMYFUNCTION("""COMPUTED_VALUE"""),"Anota Ai Solucoes Digitais S/a")</f>
        <v>Anota Ai Solucoes Digitais S/a</v>
      </c>
      <c r="P2803" s="33">
        <f>IFERROR(__xludf.DUMMYFUNCTION("""COMPUTED_VALUE"""),0.3333333333333333)</f>
        <v>0.3333333333</v>
      </c>
      <c r="Q2803" s="4" t="str">
        <f>IFERROR(__xludf.DUMMYFUNCTION("""COMPUTED_VALUE"""),"null")</f>
        <v>null</v>
      </c>
      <c r="R2803" s="33">
        <f>IFERROR(__xludf.DUMMYFUNCTION("""COMPUTED_VALUE"""),0.3333333333333333)</f>
        <v>0.3333333333</v>
      </c>
      <c r="S2803" s="4" t="str">
        <f>IFERROR(__xludf.DUMMYFUNCTION("""COMPUTED_VALUE"""),"null")</f>
        <v>null</v>
      </c>
      <c r="T2803" s="33">
        <f>IFERROR(__xludf.DUMMYFUNCTION("""COMPUTED_VALUE"""),0.3333333333333333)</f>
        <v>0.3333333333</v>
      </c>
      <c r="U2803" s="4" t="str">
        <f>IFERROR(__xludf.DUMMYFUNCTION("""COMPUTED_VALUE"""),"null")</f>
        <v>null</v>
      </c>
      <c r="V2803" s="33">
        <f>IFERROR(__xludf.DUMMYFUNCTION("""COMPUTED_VALUE"""),0.3333333333333333)</f>
        <v>0.3333333333</v>
      </c>
      <c r="W2803" s="4" t="str">
        <f>IFERROR(__xludf.DUMMYFUNCTION("""COMPUTED_VALUE"""),"null")</f>
        <v>null</v>
      </c>
      <c r="X2803" s="33">
        <f>IFERROR(__xludf.DUMMYFUNCTION("""COMPUTED_VALUE"""),0.3333333333333333)</f>
        <v>0.3333333333</v>
      </c>
    </row>
    <row r="2804">
      <c r="K2804" s="4" t="str">
        <f>IFERROR(__xludf.DUMMYFUNCTION("""COMPUTED_VALUE"""),"PET PREMIUM")</f>
        <v>PET PREMIUM</v>
      </c>
      <c r="L2804" s="32">
        <f>IFERROR(__xludf.DUMMYFUNCTION("""COMPUTED_VALUE"""),3.0)</f>
        <v>3</v>
      </c>
      <c r="M2804" s="4" t="str">
        <f>IFERROR(__xludf.DUMMYFUNCTION("""COMPUTED_VALUE"""),"N/A (Not found)")</f>
        <v>N/A (Not found)</v>
      </c>
      <c r="N2804" s="33">
        <f>IFERROR(__xludf.DUMMYFUNCTION("""COMPUTED_VALUE"""),0.6666666666666666)</f>
        <v>0.6666666667</v>
      </c>
      <c r="O2804" s="4" t="str">
        <f>IFERROR(__xludf.DUMMYFUNCTION("""COMPUTED_VALUE"""),"N/A (Not found)")</f>
        <v>N/A (Not found)</v>
      </c>
      <c r="P2804" s="33">
        <f>IFERROR(__xludf.DUMMYFUNCTION("""COMPUTED_VALUE"""),1.0)</f>
        <v>1</v>
      </c>
      <c r="Q2804" s="4" t="str">
        <f>IFERROR(__xludf.DUMMYFUNCTION("""COMPUTED_VALUE"""),"N/A (Not found)")</f>
        <v>N/A (Not found)</v>
      </c>
      <c r="R2804" s="33">
        <f>IFERROR(__xludf.DUMMYFUNCTION("""COMPUTED_VALUE"""),1.0)</f>
        <v>1</v>
      </c>
      <c r="S2804" s="4" t="str">
        <f>IFERROR(__xludf.DUMMYFUNCTION("""COMPUTED_VALUE"""),"N/A (Not found)")</f>
        <v>N/A (Not found)</v>
      </c>
      <c r="T2804" s="33">
        <f>IFERROR(__xludf.DUMMYFUNCTION("""COMPUTED_VALUE"""),1.0)</f>
        <v>1</v>
      </c>
      <c r="U2804" s="4" t="str">
        <f>IFERROR(__xludf.DUMMYFUNCTION("""COMPUTED_VALUE"""),"N/A (Not found)")</f>
        <v>N/A (Not found)</v>
      </c>
      <c r="V2804" s="33">
        <f>IFERROR(__xludf.DUMMYFUNCTION("""COMPUTED_VALUE"""),1.0)</f>
        <v>1</v>
      </c>
      <c r="W2804" s="4" t="str">
        <f>IFERROR(__xludf.DUMMYFUNCTION("""COMPUTED_VALUE"""),"N/A (Not found)")</f>
        <v>N/A (Not found)</v>
      </c>
      <c r="X2804" s="33">
        <f>IFERROR(__xludf.DUMMYFUNCTION("""COMPUTED_VALUE"""),1.0)</f>
        <v>1</v>
      </c>
    </row>
    <row r="2805">
      <c r="K2805" s="4" t="str">
        <f>IFERROR(__xludf.DUMMYFUNCTION("""COMPUTED_VALUE"""),"ACAI DE OURO")</f>
        <v>ACAI DE OURO</v>
      </c>
      <c r="L2805" s="32">
        <f>IFERROR(__xludf.DUMMYFUNCTION("""COMPUTED_VALUE"""),3.0)</f>
        <v>3</v>
      </c>
      <c r="M2805" s="4" t="str">
        <f>IFERROR(__xludf.DUMMYFUNCTION("""COMPUTED_VALUE"""),"Anota Ai Solucoes Digitais S/a")</f>
        <v>Anota Ai Solucoes Digitais S/a</v>
      </c>
      <c r="N2805" s="33">
        <f>IFERROR(__xludf.DUMMYFUNCTION("""COMPUTED_VALUE"""),0.3333333333333333)</f>
        <v>0.3333333333</v>
      </c>
      <c r="O2805" s="4" t="str">
        <f>IFERROR(__xludf.DUMMYFUNCTION("""COMPUTED_VALUE"""),"Anota Ai Solucoes Digitais S/a")</f>
        <v>Anota Ai Solucoes Digitais S/a</v>
      </c>
      <c r="P2805" s="33">
        <f>IFERROR(__xludf.DUMMYFUNCTION("""COMPUTED_VALUE"""),0.3333333333333333)</f>
        <v>0.3333333333</v>
      </c>
      <c r="Q2805" s="4" t="str">
        <f>IFERROR(__xludf.DUMMYFUNCTION("""COMPUTED_VALUE"""),"Anota Ai Solucoes Digitais S/a")</f>
        <v>Anota Ai Solucoes Digitais S/a</v>
      </c>
      <c r="R2805" s="33">
        <f>IFERROR(__xludf.DUMMYFUNCTION("""COMPUTED_VALUE"""),0.3333333333333333)</f>
        <v>0.3333333333</v>
      </c>
      <c r="S2805" s="4" t="str">
        <f>IFERROR(__xludf.DUMMYFUNCTION("""COMPUTED_VALUE"""),"Anota Ai Solucoes Digitais S/a")</f>
        <v>Anota Ai Solucoes Digitais S/a</v>
      </c>
      <c r="T2805" s="33">
        <f>IFERROR(__xludf.DUMMYFUNCTION("""COMPUTED_VALUE"""),0.3333333333333333)</f>
        <v>0.3333333333</v>
      </c>
      <c r="U2805" s="4" t="str">
        <f>IFERROR(__xludf.DUMMYFUNCTION("""COMPUTED_VALUE"""),"null")</f>
        <v>null</v>
      </c>
      <c r="V2805" s="33">
        <f>IFERROR(__xludf.DUMMYFUNCTION("""COMPUTED_VALUE"""),0.6666666666666666)</f>
        <v>0.6666666667</v>
      </c>
      <c r="W2805" s="4" t="str">
        <f>IFERROR(__xludf.DUMMYFUNCTION("""COMPUTED_VALUE"""),"null")</f>
        <v>null</v>
      </c>
      <c r="X2805" s="33">
        <f>IFERROR(__xludf.DUMMYFUNCTION("""COMPUTED_VALUE"""),0.6666666666666666)</f>
        <v>0.6666666667</v>
      </c>
    </row>
    <row r="2806">
      <c r="K2806" s="4" t="str">
        <f>IFERROR(__xludf.DUMMYFUNCTION("""COMPUTED_VALUE"""),"ESPETO DE OURO")</f>
        <v>ESPETO DE OURO</v>
      </c>
      <c r="L2806" s="32">
        <f>IFERROR(__xludf.DUMMYFUNCTION("""COMPUTED_VALUE"""),3.0)</f>
        <v>3</v>
      </c>
      <c r="M2806" s="4" t="str">
        <f>IFERROR(__xludf.DUMMYFUNCTION("""COMPUTED_VALUE"""),"Yooga")</f>
        <v>Yooga</v>
      </c>
      <c r="N2806" s="33">
        <f>IFERROR(__xludf.DUMMYFUNCTION("""COMPUTED_VALUE"""),0.3333333333333333)</f>
        <v>0.3333333333</v>
      </c>
      <c r="O2806" s="4" t="str">
        <f>IFERROR(__xludf.DUMMYFUNCTION("""COMPUTED_VALUE"""),"null")</f>
        <v>null</v>
      </c>
      <c r="P2806" s="33">
        <f>IFERROR(__xludf.DUMMYFUNCTION("""COMPUTED_VALUE"""),0.3333333333333333)</f>
        <v>0.3333333333</v>
      </c>
      <c r="Q2806" s="4" t="str">
        <f>IFERROR(__xludf.DUMMYFUNCTION("""COMPUTED_VALUE"""),"Yooga")</f>
        <v>Yooga</v>
      </c>
      <c r="R2806" s="33">
        <f>IFERROR(__xludf.DUMMYFUNCTION("""COMPUTED_VALUE"""),0.3333333333333333)</f>
        <v>0.3333333333</v>
      </c>
      <c r="S2806" s="4" t="str">
        <f>IFERROR(__xludf.DUMMYFUNCTION("""COMPUTED_VALUE"""),"null")</f>
        <v>null</v>
      </c>
      <c r="T2806" s="33">
        <f>IFERROR(__xludf.DUMMYFUNCTION("""COMPUTED_VALUE"""),0.3333333333333333)</f>
        <v>0.3333333333</v>
      </c>
      <c r="U2806" s="4" t="str">
        <f>IFERROR(__xludf.DUMMYFUNCTION("""COMPUTED_VALUE"""),"Yooga")</f>
        <v>Yooga</v>
      </c>
      <c r="V2806" s="33">
        <f>IFERROR(__xludf.DUMMYFUNCTION("""COMPUTED_VALUE"""),0.3333333333333333)</f>
        <v>0.3333333333</v>
      </c>
      <c r="W2806" s="4" t="str">
        <f>IFERROR(__xludf.DUMMYFUNCTION("""COMPUTED_VALUE"""),"null")</f>
        <v>null</v>
      </c>
      <c r="X2806" s="33">
        <f>IFERROR(__xludf.DUMMYFUNCTION("""COMPUTED_VALUE"""),0.3333333333333333)</f>
        <v>0.3333333333</v>
      </c>
    </row>
    <row r="2807">
      <c r="K2807" s="4" t="str">
        <f>IFERROR(__xludf.DUMMYFUNCTION("""COMPUTED_VALUE"""),"IMPERIO DO LANCHE")</f>
        <v>IMPERIO DO LANCHE</v>
      </c>
      <c r="L2807" s="32">
        <f>IFERROR(__xludf.DUMMYFUNCTION("""COMPUTED_VALUE"""),3.0)</f>
        <v>3</v>
      </c>
      <c r="M2807" s="4" t="str">
        <f>IFERROR(__xludf.DUMMYFUNCTION("""COMPUTED_VALUE"""),"null")</f>
        <v>null</v>
      </c>
      <c r="N2807" s="33">
        <f>IFERROR(__xludf.DUMMYFUNCTION("""COMPUTED_VALUE"""),0.6666666666666666)</f>
        <v>0.6666666667</v>
      </c>
      <c r="O2807" s="4" t="str">
        <f>IFERROR(__xludf.DUMMYFUNCTION("""COMPUTED_VALUE"""),"null")</f>
        <v>null</v>
      </c>
      <c r="P2807" s="33">
        <f>IFERROR(__xludf.DUMMYFUNCTION("""COMPUTED_VALUE"""),0.6666666666666666)</f>
        <v>0.6666666667</v>
      </c>
      <c r="Q2807" s="4" t="str">
        <f>IFERROR(__xludf.DUMMYFUNCTION("""COMPUTED_VALUE"""),"Saipos Serviços De Software")</f>
        <v>Saipos Serviços De Software</v>
      </c>
      <c r="R2807" s="33">
        <f>IFERROR(__xludf.DUMMYFUNCTION("""COMPUTED_VALUE"""),0.6666666666666666)</f>
        <v>0.6666666667</v>
      </c>
      <c r="S2807" s="4" t="str">
        <f>IFERROR(__xludf.DUMMYFUNCTION("""COMPUTED_VALUE"""),"Saipos Serviços De Software")</f>
        <v>Saipos Serviços De Software</v>
      </c>
      <c r="T2807" s="33">
        <f>IFERROR(__xludf.DUMMYFUNCTION("""COMPUTED_VALUE"""),0.6666666666666666)</f>
        <v>0.6666666667</v>
      </c>
      <c r="U2807" s="4" t="str">
        <f>IFERROR(__xludf.DUMMYFUNCTION("""COMPUTED_VALUE"""),"null")</f>
        <v>null</v>
      </c>
      <c r="V2807" s="33">
        <f>IFERROR(__xludf.DUMMYFUNCTION("""COMPUTED_VALUE"""),0.3333333333333333)</f>
        <v>0.3333333333</v>
      </c>
      <c r="W2807" s="4" t="str">
        <f>IFERROR(__xludf.DUMMYFUNCTION("""COMPUTED_VALUE"""),"null")</f>
        <v>null</v>
      </c>
      <c r="X2807" s="33">
        <f>IFERROR(__xludf.DUMMYFUNCTION("""COMPUTED_VALUE"""),0.6666666666666666)</f>
        <v>0.6666666667</v>
      </c>
    </row>
    <row r="2808">
      <c r="K2808" s="4" t="str">
        <f>IFERROR(__xludf.DUMMYFUNCTION("""COMPUTED_VALUE"""),"DROGARIA AMERICANA")</f>
        <v>DROGARIA AMERICANA</v>
      </c>
      <c r="L2808" s="32">
        <f>IFERROR(__xludf.DUMMYFUNCTION("""COMPUTED_VALUE"""),3.0)</f>
        <v>3</v>
      </c>
      <c r="M2808" s="4" t="str">
        <f>IFERROR(__xludf.DUMMYFUNCTION("""COMPUTED_VALUE"""),"null")</f>
        <v>null</v>
      </c>
      <c r="N2808" s="33">
        <f>IFERROR(__xludf.DUMMYFUNCTION("""COMPUTED_VALUE"""),0.6666666666666666)</f>
        <v>0.6666666667</v>
      </c>
      <c r="O2808" s="4" t="str">
        <f>IFERROR(__xludf.DUMMYFUNCTION("""COMPUTED_VALUE"""),"N/A (Not found)")</f>
        <v>N/A (Not found)</v>
      </c>
      <c r="P2808" s="33">
        <f>IFERROR(__xludf.DUMMYFUNCTION("""COMPUTED_VALUE"""),1.0)</f>
        <v>1</v>
      </c>
      <c r="Q2808" s="4" t="str">
        <f>IFERROR(__xludf.DUMMYFUNCTION("""COMPUTED_VALUE"""),"N/A (Not found)")</f>
        <v>N/A (Not found)</v>
      </c>
      <c r="R2808" s="33">
        <f>IFERROR(__xludf.DUMMYFUNCTION("""COMPUTED_VALUE"""),1.0)</f>
        <v>1</v>
      </c>
      <c r="S2808" s="4" t="str">
        <f>IFERROR(__xludf.DUMMYFUNCTION("""COMPUTED_VALUE"""),"N/A (Not found)")</f>
        <v>N/A (Not found)</v>
      </c>
      <c r="T2808" s="33">
        <f>IFERROR(__xludf.DUMMYFUNCTION("""COMPUTED_VALUE"""),1.0)</f>
        <v>1</v>
      </c>
      <c r="U2808" s="4" t="str">
        <f>IFERROR(__xludf.DUMMYFUNCTION("""COMPUTED_VALUE"""),"N/A (Not found)")</f>
        <v>N/A (Not found)</v>
      </c>
      <c r="V2808" s="33">
        <f>IFERROR(__xludf.DUMMYFUNCTION("""COMPUTED_VALUE"""),1.0)</f>
        <v>1</v>
      </c>
      <c r="W2808" s="4" t="str">
        <f>IFERROR(__xludf.DUMMYFUNCTION("""COMPUTED_VALUE"""),"N/A (Not found)")</f>
        <v>N/A (Not found)</v>
      </c>
      <c r="X2808" s="33">
        <f>IFERROR(__xludf.DUMMYFUNCTION("""COMPUTED_VALUE"""),1.0)</f>
        <v>1</v>
      </c>
    </row>
    <row r="2809">
      <c r="K2809" s="4" t="str">
        <f>IFERROR(__xludf.DUMMYFUNCTION("""COMPUTED_VALUE"""),"CENTRAL DAS BEBIDAS")</f>
        <v>CENTRAL DAS BEBIDAS</v>
      </c>
      <c r="L2809" s="32">
        <f>IFERROR(__xludf.DUMMYFUNCTION("""COMPUTED_VALUE"""),3.0)</f>
        <v>3</v>
      </c>
      <c r="M2809" s="4" t="str">
        <f>IFERROR(__xludf.DUMMYFUNCTION("""COMPUTED_VALUE"""),"N/A (Not found)")</f>
        <v>N/A (Not found)</v>
      </c>
      <c r="N2809" s="33">
        <f>IFERROR(__xludf.DUMMYFUNCTION("""COMPUTED_VALUE"""),0.6666666666666666)</f>
        <v>0.6666666667</v>
      </c>
      <c r="O2809" s="4" t="str">
        <f>IFERROR(__xludf.DUMMYFUNCTION("""COMPUTED_VALUE"""),"N/A (Not found)")</f>
        <v>N/A (Not found)</v>
      </c>
      <c r="P2809" s="33">
        <f>IFERROR(__xludf.DUMMYFUNCTION("""COMPUTED_VALUE"""),0.6666666666666666)</f>
        <v>0.6666666667</v>
      </c>
      <c r="Q2809" s="4" t="str">
        <f>IFERROR(__xludf.DUMMYFUNCTION("""COMPUTED_VALUE"""),"N/A (Not found)")</f>
        <v>N/A (Not found)</v>
      </c>
      <c r="R2809" s="33">
        <f>IFERROR(__xludf.DUMMYFUNCTION("""COMPUTED_VALUE"""),0.6666666666666666)</f>
        <v>0.6666666667</v>
      </c>
      <c r="S2809" s="4" t="str">
        <f>IFERROR(__xludf.DUMMYFUNCTION("""COMPUTED_VALUE"""),"N/A (Not found)")</f>
        <v>N/A (Not found)</v>
      </c>
      <c r="T2809" s="33">
        <f>IFERROR(__xludf.DUMMYFUNCTION("""COMPUTED_VALUE"""),0.6666666666666666)</f>
        <v>0.6666666667</v>
      </c>
      <c r="U2809" s="4" t="str">
        <f>IFERROR(__xludf.DUMMYFUNCTION("""COMPUTED_VALUE"""),"N/A (Not found)")</f>
        <v>N/A (Not found)</v>
      </c>
      <c r="V2809" s="33">
        <f>IFERROR(__xludf.DUMMYFUNCTION("""COMPUTED_VALUE"""),1.0)</f>
        <v>1</v>
      </c>
      <c r="W2809" s="4" t="str">
        <f>IFERROR(__xludf.DUMMYFUNCTION("""COMPUTED_VALUE"""),"N/A (Not found)")</f>
        <v>N/A (Not found)</v>
      </c>
      <c r="X2809" s="33">
        <f>IFERROR(__xludf.DUMMYFUNCTION("""COMPUTED_VALUE"""),1.0)</f>
        <v>1</v>
      </c>
    </row>
    <row r="2810">
      <c r="K2810" s="4" t="str">
        <f>IFERROR(__xludf.DUMMYFUNCTION("""COMPUTED_VALUE"""),"ACAI MALIBU")</f>
        <v>ACAI MALIBU</v>
      </c>
      <c r="L2810" s="32">
        <f>IFERROR(__xludf.DUMMYFUNCTION("""COMPUTED_VALUE"""),3.0)</f>
        <v>3</v>
      </c>
      <c r="M2810" s="4" t="str">
        <f>IFERROR(__xludf.DUMMYFUNCTION("""COMPUTED_VALUE"""),"Instadelivery")</f>
        <v>Instadelivery</v>
      </c>
      <c r="N2810" s="33">
        <f>IFERROR(__xludf.DUMMYFUNCTION("""COMPUTED_VALUE"""),0.3333333333333333)</f>
        <v>0.3333333333</v>
      </c>
      <c r="O2810" s="4" t="str">
        <f>IFERROR(__xludf.DUMMYFUNCTION("""COMPUTED_VALUE"""),"Instadelivery")</f>
        <v>Instadelivery</v>
      </c>
      <c r="P2810" s="33">
        <f>IFERROR(__xludf.DUMMYFUNCTION("""COMPUTED_VALUE"""),0.3333333333333333)</f>
        <v>0.3333333333</v>
      </c>
      <c r="Q2810" s="4" t="str">
        <f>IFERROR(__xludf.DUMMYFUNCTION("""COMPUTED_VALUE"""),"Instadelivery")</f>
        <v>Instadelivery</v>
      </c>
      <c r="R2810" s="33">
        <f>IFERROR(__xludf.DUMMYFUNCTION("""COMPUTED_VALUE"""),0.3333333333333333)</f>
        <v>0.3333333333</v>
      </c>
      <c r="S2810" s="4" t="str">
        <f>IFERROR(__xludf.DUMMYFUNCTION("""COMPUTED_VALUE"""),"Instadelivery")</f>
        <v>Instadelivery</v>
      </c>
      <c r="T2810" s="33">
        <f>IFERROR(__xludf.DUMMYFUNCTION("""COMPUTED_VALUE"""),0.3333333333333333)</f>
        <v>0.3333333333</v>
      </c>
      <c r="U2810" s="4" t="str">
        <f>IFERROR(__xludf.DUMMYFUNCTION("""COMPUTED_VALUE"""),"Instadelivery")</f>
        <v>Instadelivery</v>
      </c>
      <c r="V2810" s="33">
        <f>IFERROR(__xludf.DUMMYFUNCTION("""COMPUTED_VALUE"""),0.3333333333333333)</f>
        <v>0.3333333333</v>
      </c>
      <c r="W2810" s="4" t="str">
        <f>IFERROR(__xludf.DUMMYFUNCTION("""COMPUTED_VALUE"""),"Instadelivery")</f>
        <v>Instadelivery</v>
      </c>
      <c r="X2810" s="33">
        <f>IFERROR(__xludf.DUMMYFUNCTION("""COMPUTED_VALUE"""),0.6666666666666666)</f>
        <v>0.6666666667</v>
      </c>
    </row>
    <row r="2811">
      <c r="K2811" s="4" t="str">
        <f>IFERROR(__xludf.DUMMYFUNCTION("""COMPUTED_VALUE"""),"SUSHI HOUSE DELIVERY")</f>
        <v>SUSHI HOUSE DELIVERY</v>
      </c>
      <c r="L2811" s="32">
        <f>IFERROR(__xludf.DUMMYFUNCTION("""COMPUTED_VALUE"""),3.0)</f>
        <v>3</v>
      </c>
      <c r="M2811" s="4" t="str">
        <f>IFERROR(__xludf.DUMMYFUNCTION("""COMPUTED_VALUE"""),"Anota Ai Solucoes Digitais S/a")</f>
        <v>Anota Ai Solucoes Digitais S/a</v>
      </c>
      <c r="N2811" s="33">
        <f>IFERROR(__xludf.DUMMYFUNCTION("""COMPUTED_VALUE"""),0.3333333333333333)</f>
        <v>0.3333333333</v>
      </c>
      <c r="O2811" s="4" t="str">
        <f>IFERROR(__xludf.DUMMYFUNCTION("""COMPUTED_VALUE"""),"null")</f>
        <v>null</v>
      </c>
      <c r="P2811" s="33">
        <f>IFERROR(__xludf.DUMMYFUNCTION("""COMPUTED_VALUE"""),0.3333333333333333)</f>
        <v>0.3333333333</v>
      </c>
      <c r="Q2811" s="4" t="str">
        <f>IFERROR(__xludf.DUMMYFUNCTION("""COMPUTED_VALUE"""),"null")</f>
        <v>null</v>
      </c>
      <c r="R2811" s="33">
        <f>IFERROR(__xludf.DUMMYFUNCTION("""COMPUTED_VALUE"""),0.6666666666666666)</f>
        <v>0.6666666667</v>
      </c>
      <c r="S2811" s="4" t="str">
        <f>IFERROR(__xludf.DUMMYFUNCTION("""COMPUTED_VALUE"""),"null")</f>
        <v>null</v>
      </c>
      <c r="T2811" s="33">
        <f>IFERROR(__xludf.DUMMYFUNCTION("""COMPUTED_VALUE"""),0.6666666666666666)</f>
        <v>0.6666666667</v>
      </c>
      <c r="U2811" s="4" t="str">
        <f>IFERROR(__xludf.DUMMYFUNCTION("""COMPUTED_VALUE"""),"null")</f>
        <v>null</v>
      </c>
      <c r="V2811" s="33">
        <f>IFERROR(__xludf.DUMMYFUNCTION("""COMPUTED_VALUE"""),0.6666666666666666)</f>
        <v>0.6666666667</v>
      </c>
      <c r="W2811" s="4" t="str">
        <f>IFERROR(__xludf.DUMMYFUNCTION("""COMPUTED_VALUE"""),"null")</f>
        <v>null</v>
      </c>
      <c r="X2811" s="33">
        <f>IFERROR(__xludf.DUMMYFUNCTION("""COMPUTED_VALUE"""),0.3333333333333333)</f>
        <v>0.3333333333</v>
      </c>
    </row>
    <row r="2812">
      <c r="K2812" s="4" t="str">
        <f>IFERROR(__xludf.DUMMYFUNCTION("""COMPUTED_VALUE"""),"DROGARIA MEGA POPULAR")</f>
        <v>DROGARIA MEGA POPULAR</v>
      </c>
      <c r="L2812" s="32">
        <f>IFERROR(__xludf.DUMMYFUNCTION("""COMPUTED_VALUE"""),3.0)</f>
        <v>3</v>
      </c>
      <c r="M2812" s="4" t="str">
        <f>IFERROR(__xludf.DUMMYFUNCTION("""COMPUTED_VALUE"""),"null")</f>
        <v>null</v>
      </c>
      <c r="N2812" s="33">
        <f>IFERROR(__xludf.DUMMYFUNCTION("""COMPUTED_VALUE"""),0.6666666666666666)</f>
        <v>0.6666666667</v>
      </c>
      <c r="O2812" s="4" t="str">
        <f>IFERROR(__xludf.DUMMYFUNCTION("""COMPUTED_VALUE"""),"N/A (Not found)")</f>
        <v>N/A (Not found)</v>
      </c>
      <c r="P2812" s="33">
        <f>IFERROR(__xludf.DUMMYFUNCTION("""COMPUTED_VALUE"""),0.6666666666666666)</f>
        <v>0.6666666667</v>
      </c>
      <c r="Q2812" s="4" t="str">
        <f>IFERROR(__xludf.DUMMYFUNCTION("""COMPUTED_VALUE"""),"null")</f>
        <v>null</v>
      </c>
      <c r="R2812" s="33">
        <f>IFERROR(__xludf.DUMMYFUNCTION("""COMPUTED_VALUE"""),0.6666666666666666)</f>
        <v>0.6666666667</v>
      </c>
      <c r="S2812" s="4" t="str">
        <f>IFERROR(__xludf.DUMMYFUNCTION("""COMPUTED_VALUE"""),"null")</f>
        <v>null</v>
      </c>
      <c r="T2812" s="33">
        <f>IFERROR(__xludf.DUMMYFUNCTION("""COMPUTED_VALUE"""),0.6666666666666666)</f>
        <v>0.6666666667</v>
      </c>
      <c r="U2812" s="4" t="str">
        <f>IFERROR(__xludf.DUMMYFUNCTION("""COMPUTED_VALUE"""),"N/A (Not found)")</f>
        <v>N/A (Not found)</v>
      </c>
      <c r="V2812" s="33">
        <f>IFERROR(__xludf.DUMMYFUNCTION("""COMPUTED_VALUE"""),0.6666666666666666)</f>
        <v>0.6666666667</v>
      </c>
      <c r="W2812" s="4" t="str">
        <f>IFERROR(__xludf.DUMMYFUNCTION("""COMPUTED_VALUE"""),"N/A (Not found)")</f>
        <v>N/A (Not found)</v>
      </c>
      <c r="X2812" s="33">
        <f>IFERROR(__xludf.DUMMYFUNCTION("""COMPUTED_VALUE"""),1.0)</f>
        <v>1</v>
      </c>
    </row>
    <row r="2813">
      <c r="K2813" s="4" t="str">
        <f>IFERROR(__xludf.DUMMYFUNCTION("""COMPUTED_VALUE"""),"MARUA SUSHI")</f>
        <v>MARUA SUSHI</v>
      </c>
      <c r="L2813" s="32">
        <f>IFERROR(__xludf.DUMMYFUNCTION("""COMPUTED_VALUE"""),3.0)</f>
        <v>3</v>
      </c>
      <c r="M2813" s="4" t="str">
        <f>IFERROR(__xludf.DUMMYFUNCTION("""COMPUTED_VALUE"""),"Anove Tecnologia")</f>
        <v>Anove Tecnologia</v>
      </c>
      <c r="N2813" s="33">
        <f>IFERROR(__xludf.DUMMYFUNCTION("""COMPUTED_VALUE"""),0.3333333333333333)</f>
        <v>0.3333333333</v>
      </c>
      <c r="O2813" s="4" t="str">
        <f>IFERROR(__xludf.DUMMYFUNCTION("""COMPUTED_VALUE"""),"null")</f>
        <v>null</v>
      </c>
      <c r="P2813" s="33">
        <f>IFERROR(__xludf.DUMMYFUNCTION("""COMPUTED_VALUE"""),0.3333333333333333)</f>
        <v>0.3333333333</v>
      </c>
      <c r="Q2813" s="4" t="str">
        <f>IFERROR(__xludf.DUMMYFUNCTION("""COMPUTED_VALUE"""),"null")</f>
        <v>null</v>
      </c>
      <c r="R2813" s="33">
        <f>IFERROR(__xludf.DUMMYFUNCTION("""COMPUTED_VALUE"""),0.3333333333333333)</f>
        <v>0.3333333333</v>
      </c>
      <c r="S2813" s="4" t="str">
        <f>IFERROR(__xludf.DUMMYFUNCTION("""COMPUTED_VALUE"""),"null")</f>
        <v>null</v>
      </c>
      <c r="T2813" s="33">
        <f>IFERROR(__xludf.DUMMYFUNCTION("""COMPUTED_VALUE"""),1.0)</f>
        <v>1</v>
      </c>
      <c r="U2813" s="4" t="str">
        <f>IFERROR(__xludf.DUMMYFUNCTION("""COMPUTED_VALUE"""),"null")</f>
        <v>null</v>
      </c>
      <c r="V2813" s="33">
        <f>IFERROR(__xludf.DUMMYFUNCTION("""COMPUTED_VALUE"""),0.3333333333333333)</f>
        <v>0.3333333333</v>
      </c>
      <c r="W2813" s="4" t="str">
        <f>IFERROR(__xludf.DUMMYFUNCTION("""COMPUTED_VALUE"""),"null")</f>
        <v>null</v>
      </c>
      <c r="X2813" s="33">
        <f>IFERROR(__xludf.DUMMYFUNCTION("""COMPUTED_VALUE"""),0.6666666666666666)</f>
        <v>0.6666666667</v>
      </c>
    </row>
    <row r="2814">
      <c r="K2814" s="4" t="str">
        <f>IFERROR(__xludf.DUMMYFUNCTION("""COMPUTED_VALUE"""),"DROGARIA MEDFACIL")</f>
        <v>DROGARIA MEDFACIL</v>
      </c>
      <c r="L2814" s="32">
        <f>IFERROR(__xludf.DUMMYFUNCTION("""COMPUTED_VALUE"""),3.0)</f>
        <v>3</v>
      </c>
      <c r="M2814" s="4" t="str">
        <f>IFERROR(__xludf.DUMMYFUNCTION("""COMPUTED_VALUE"""),"null")</f>
        <v>null</v>
      </c>
      <c r="N2814" s="33">
        <f>IFERROR(__xludf.DUMMYFUNCTION("""COMPUTED_VALUE"""),1.0)</f>
        <v>1</v>
      </c>
      <c r="O2814" s="4" t="str">
        <f>IFERROR(__xludf.DUMMYFUNCTION("""COMPUTED_VALUE"""),"null")</f>
        <v>null</v>
      </c>
      <c r="P2814" s="33">
        <f>IFERROR(__xludf.DUMMYFUNCTION("""COMPUTED_VALUE"""),1.0)</f>
        <v>1</v>
      </c>
      <c r="Q2814" s="4" t="str">
        <f>IFERROR(__xludf.DUMMYFUNCTION("""COMPUTED_VALUE"""),"null")</f>
        <v>null</v>
      </c>
      <c r="R2814" s="33">
        <f>IFERROR(__xludf.DUMMYFUNCTION("""COMPUTED_VALUE"""),1.0)</f>
        <v>1</v>
      </c>
      <c r="S2814" s="4" t="str">
        <f>IFERROR(__xludf.DUMMYFUNCTION("""COMPUTED_VALUE"""),"null")</f>
        <v>null</v>
      </c>
      <c r="T2814" s="33">
        <f>IFERROR(__xludf.DUMMYFUNCTION("""COMPUTED_VALUE"""),0.6666666666666666)</f>
        <v>0.6666666667</v>
      </c>
      <c r="U2814" s="4" t="str">
        <f>IFERROR(__xludf.DUMMYFUNCTION("""COMPUTED_VALUE"""),"N/A (Not found)")</f>
        <v>N/A (Not found)</v>
      </c>
      <c r="V2814" s="33">
        <f>IFERROR(__xludf.DUMMYFUNCTION("""COMPUTED_VALUE"""),1.0)</f>
        <v>1</v>
      </c>
      <c r="W2814" s="4" t="str">
        <f>IFERROR(__xludf.DUMMYFUNCTION("""COMPUTED_VALUE"""),"N/A (Not found)")</f>
        <v>N/A (Not found)</v>
      </c>
      <c r="X2814" s="33">
        <f>IFERROR(__xludf.DUMMYFUNCTION("""COMPUTED_VALUE"""),1.0)</f>
        <v>1</v>
      </c>
    </row>
    <row r="2815">
      <c r="K2815" s="4" t="str">
        <f>IFERROR(__xludf.DUMMYFUNCTION("""COMPUTED_VALUE"""),"GERALDINHO LANCHES")</f>
        <v>GERALDINHO LANCHES</v>
      </c>
      <c r="L2815" s="32">
        <f>IFERROR(__xludf.DUMMYFUNCTION("""COMPUTED_VALUE"""),3.0)</f>
        <v>3</v>
      </c>
      <c r="M2815" s="4" t="str">
        <f>IFERROR(__xludf.DUMMYFUNCTION("""COMPUTED_VALUE"""),"null")</f>
        <v>null</v>
      </c>
      <c r="N2815" s="33">
        <f>IFERROR(__xludf.DUMMYFUNCTION("""COMPUTED_VALUE"""),0.3333333333333333)</f>
        <v>0.3333333333</v>
      </c>
      <c r="O2815" s="4" t="str">
        <f>IFERROR(__xludf.DUMMYFUNCTION("""COMPUTED_VALUE"""),"null")</f>
        <v>null</v>
      </c>
      <c r="P2815" s="33">
        <f>IFERROR(__xludf.DUMMYFUNCTION("""COMPUTED_VALUE"""),0.3333333333333333)</f>
        <v>0.3333333333</v>
      </c>
      <c r="Q2815" s="4" t="str">
        <f>IFERROR(__xludf.DUMMYFUNCTION("""COMPUTED_VALUE"""),"null")</f>
        <v>null</v>
      </c>
      <c r="R2815" s="33">
        <f>IFERROR(__xludf.DUMMYFUNCTION("""COMPUTED_VALUE"""),0.6666666666666666)</f>
        <v>0.6666666667</v>
      </c>
      <c r="S2815" s="4" t="str">
        <f>IFERROR(__xludf.DUMMYFUNCTION("""COMPUTED_VALUE"""),"Anota Ai Solucoes Digitais S/a")</f>
        <v>Anota Ai Solucoes Digitais S/a</v>
      </c>
      <c r="T2815" s="33">
        <f>IFERROR(__xludf.DUMMYFUNCTION("""COMPUTED_VALUE"""),0.3333333333333333)</f>
        <v>0.3333333333</v>
      </c>
      <c r="U2815" s="4" t="str">
        <f>IFERROR(__xludf.DUMMYFUNCTION("""COMPUTED_VALUE"""),"Anota Ai Solucoes Digitais S/a")</f>
        <v>Anota Ai Solucoes Digitais S/a</v>
      </c>
      <c r="V2815" s="33">
        <f>IFERROR(__xludf.DUMMYFUNCTION("""COMPUTED_VALUE"""),0.3333333333333333)</f>
        <v>0.3333333333</v>
      </c>
      <c r="W2815" s="4" t="str">
        <f>IFERROR(__xludf.DUMMYFUNCTION("""COMPUTED_VALUE"""),"Anota Ai Solucoes Digitais S/a")</f>
        <v>Anota Ai Solucoes Digitais S/a</v>
      </c>
      <c r="X2815" s="33">
        <f>IFERROR(__xludf.DUMMYFUNCTION("""COMPUTED_VALUE"""),0.3333333333333333)</f>
        <v>0.3333333333</v>
      </c>
    </row>
    <row r="2816">
      <c r="K2816" s="4" t="str">
        <f>IFERROR(__xludf.DUMMYFUNCTION("""COMPUTED_VALUE"""),"CAVANA BURGUER")</f>
        <v>CAVANA BURGUER</v>
      </c>
      <c r="L2816" s="32">
        <f>IFERROR(__xludf.DUMMYFUNCTION("""COMPUTED_VALUE"""),3.0)</f>
        <v>3</v>
      </c>
      <c r="M2816" s="4" t="str">
        <f>IFERROR(__xludf.DUMMYFUNCTION("""COMPUTED_VALUE"""),"Anota Ai Solucoes Digitais S/a")</f>
        <v>Anota Ai Solucoes Digitais S/a</v>
      </c>
      <c r="N2816" s="33">
        <f>IFERROR(__xludf.DUMMYFUNCTION("""COMPUTED_VALUE"""),1.0)</f>
        <v>1</v>
      </c>
      <c r="O2816" s="4" t="str">
        <f>IFERROR(__xludf.DUMMYFUNCTION("""COMPUTED_VALUE"""),"Anota Ai Solucoes Digitais S/a")</f>
        <v>Anota Ai Solucoes Digitais S/a</v>
      </c>
      <c r="P2816" s="33">
        <f>IFERROR(__xludf.DUMMYFUNCTION("""COMPUTED_VALUE"""),1.0)</f>
        <v>1</v>
      </c>
      <c r="Q2816" s="4" t="str">
        <f>IFERROR(__xludf.DUMMYFUNCTION("""COMPUTED_VALUE"""),"Anota Ai Solucoes Digitais S/a")</f>
        <v>Anota Ai Solucoes Digitais S/a</v>
      </c>
      <c r="R2816" s="33">
        <f>IFERROR(__xludf.DUMMYFUNCTION("""COMPUTED_VALUE"""),1.0)</f>
        <v>1</v>
      </c>
      <c r="S2816" s="4" t="str">
        <f>IFERROR(__xludf.DUMMYFUNCTION("""COMPUTED_VALUE"""),"Anota Ai Solucoes Digitais S/a")</f>
        <v>Anota Ai Solucoes Digitais S/a</v>
      </c>
      <c r="T2816" s="33">
        <f>IFERROR(__xludf.DUMMYFUNCTION("""COMPUTED_VALUE"""),1.0)</f>
        <v>1</v>
      </c>
      <c r="U2816" s="4" t="str">
        <f>IFERROR(__xludf.DUMMYFUNCTION("""COMPUTED_VALUE"""),"Anota Ai Solucoes Digitais S/a")</f>
        <v>Anota Ai Solucoes Digitais S/a</v>
      </c>
      <c r="V2816" s="33">
        <f>IFERROR(__xludf.DUMMYFUNCTION("""COMPUTED_VALUE"""),1.0)</f>
        <v>1</v>
      </c>
      <c r="W2816" s="4" t="str">
        <f>IFERROR(__xludf.DUMMYFUNCTION("""COMPUTED_VALUE"""),"Anota Ai Solucoes Digitais S/a")</f>
        <v>Anota Ai Solucoes Digitais S/a</v>
      </c>
      <c r="X2816" s="33">
        <f>IFERROR(__xludf.DUMMYFUNCTION("""COMPUTED_VALUE"""),1.0)</f>
        <v>1</v>
      </c>
    </row>
    <row r="2817">
      <c r="K2817" s="4" t="str">
        <f>IFERROR(__xludf.DUMMYFUNCTION("""COMPUTED_VALUE"""),"GUIMARAES GASTRO")</f>
        <v>GUIMARAES GASTRO</v>
      </c>
      <c r="L2817" s="32">
        <f>IFERROR(__xludf.DUMMYFUNCTION("""COMPUTED_VALUE"""),3.0)</f>
        <v>3</v>
      </c>
      <c r="M2817" s="4" t="str">
        <f>IFERROR(__xludf.DUMMYFUNCTION("""COMPUTED_VALUE"""),"Instadelivery")</f>
        <v>Instadelivery</v>
      </c>
      <c r="N2817" s="33">
        <f>IFERROR(__xludf.DUMMYFUNCTION("""COMPUTED_VALUE"""),1.0)</f>
        <v>1</v>
      </c>
      <c r="O2817" s="4" t="str">
        <f>IFERROR(__xludf.DUMMYFUNCTION("""COMPUTED_VALUE"""),"Instadelivery")</f>
        <v>Instadelivery</v>
      </c>
      <c r="P2817" s="33">
        <f>IFERROR(__xludf.DUMMYFUNCTION("""COMPUTED_VALUE"""),1.0)</f>
        <v>1</v>
      </c>
      <c r="Q2817" s="4" t="str">
        <f>IFERROR(__xludf.DUMMYFUNCTION("""COMPUTED_VALUE"""),"Instadelivery")</f>
        <v>Instadelivery</v>
      </c>
      <c r="R2817" s="33">
        <f>IFERROR(__xludf.DUMMYFUNCTION("""COMPUTED_VALUE"""),1.0)</f>
        <v>1</v>
      </c>
      <c r="S2817" s="4" t="str">
        <f>IFERROR(__xludf.DUMMYFUNCTION("""COMPUTED_VALUE"""),"Instadelivery")</f>
        <v>Instadelivery</v>
      </c>
      <c r="T2817" s="33">
        <f>IFERROR(__xludf.DUMMYFUNCTION("""COMPUTED_VALUE"""),1.0)</f>
        <v>1</v>
      </c>
      <c r="U2817" s="4" t="str">
        <f>IFERROR(__xludf.DUMMYFUNCTION("""COMPUTED_VALUE"""),"Instadelivery")</f>
        <v>Instadelivery</v>
      </c>
      <c r="V2817" s="33">
        <f>IFERROR(__xludf.DUMMYFUNCTION("""COMPUTED_VALUE"""),1.0)</f>
        <v>1</v>
      </c>
      <c r="W2817" s="4" t="str">
        <f>IFERROR(__xludf.DUMMYFUNCTION("""COMPUTED_VALUE"""),"null")</f>
        <v>null</v>
      </c>
      <c r="X2817" s="33">
        <f>IFERROR(__xludf.DUMMYFUNCTION("""COMPUTED_VALUE"""),0.6666666666666666)</f>
        <v>0.6666666667</v>
      </c>
    </row>
    <row r="2818">
      <c r="K2818" s="4" t="str">
        <f>IFERROR(__xludf.DUMMYFUNCTION("""COMPUTED_VALUE"""),"TCHE LANCHES")</f>
        <v>TCHE LANCHES</v>
      </c>
      <c r="L2818" s="32">
        <f>IFERROR(__xludf.DUMMYFUNCTION("""COMPUTED_VALUE"""),3.0)</f>
        <v>3</v>
      </c>
      <c r="M2818" s="4" t="str">
        <f>IFERROR(__xludf.DUMMYFUNCTION("""COMPUTED_VALUE"""),"Anota Ai Solucoes Digitais S/a")</f>
        <v>Anota Ai Solucoes Digitais S/a</v>
      </c>
      <c r="N2818" s="33">
        <f>IFERROR(__xludf.DUMMYFUNCTION("""COMPUTED_VALUE"""),0.6666666666666666)</f>
        <v>0.6666666667</v>
      </c>
      <c r="O2818" s="4" t="str">
        <f>IFERROR(__xludf.DUMMYFUNCTION("""COMPUTED_VALUE"""),"Anota Ai Solucoes Digitais S/a")</f>
        <v>Anota Ai Solucoes Digitais S/a</v>
      </c>
      <c r="P2818" s="33">
        <f>IFERROR(__xludf.DUMMYFUNCTION("""COMPUTED_VALUE"""),0.6666666666666666)</f>
        <v>0.6666666667</v>
      </c>
      <c r="Q2818" s="4" t="str">
        <f>IFERROR(__xludf.DUMMYFUNCTION("""COMPUTED_VALUE"""),"Anota Ai Solucoes Digitais S/a")</f>
        <v>Anota Ai Solucoes Digitais S/a</v>
      </c>
      <c r="R2818" s="33">
        <f>IFERROR(__xludf.DUMMYFUNCTION("""COMPUTED_VALUE"""),0.6666666666666666)</f>
        <v>0.6666666667</v>
      </c>
      <c r="S2818" s="4" t="str">
        <f>IFERROR(__xludf.DUMMYFUNCTION("""COMPUTED_VALUE"""),"Anota Ai Solucoes Digitais S/a")</f>
        <v>Anota Ai Solucoes Digitais S/a</v>
      </c>
      <c r="T2818" s="33">
        <f>IFERROR(__xludf.DUMMYFUNCTION("""COMPUTED_VALUE"""),0.6666666666666666)</f>
        <v>0.6666666667</v>
      </c>
      <c r="U2818" s="4" t="str">
        <f>IFERROR(__xludf.DUMMYFUNCTION("""COMPUTED_VALUE"""),"Anota Ai Solucoes Digitais S/a")</f>
        <v>Anota Ai Solucoes Digitais S/a</v>
      </c>
      <c r="V2818" s="33">
        <f>IFERROR(__xludf.DUMMYFUNCTION("""COMPUTED_VALUE"""),0.6666666666666666)</f>
        <v>0.6666666667</v>
      </c>
      <c r="W2818" s="4" t="str">
        <f>IFERROR(__xludf.DUMMYFUNCTION("""COMPUTED_VALUE"""),"Anota Ai Solucoes Digitais S/a")</f>
        <v>Anota Ai Solucoes Digitais S/a</v>
      </c>
      <c r="X2818" s="33">
        <f>IFERROR(__xludf.DUMMYFUNCTION("""COMPUTED_VALUE"""),0.3333333333333333)</f>
        <v>0.3333333333</v>
      </c>
    </row>
    <row r="2819">
      <c r="K2819" s="4" t="str">
        <f>IFERROR(__xludf.DUMMYFUNCTION("""COMPUTED_VALUE"""),"LA DOLCE VITA")</f>
        <v>LA DOLCE VITA</v>
      </c>
      <c r="L2819" s="32">
        <f>IFERROR(__xludf.DUMMYFUNCTION("""COMPUTED_VALUE"""),3.0)</f>
        <v>3</v>
      </c>
      <c r="M2819" s="4" t="str">
        <f>IFERROR(__xludf.DUMMYFUNCTION("""COMPUTED_VALUE"""),"Click Soluções Inteligentes")</f>
        <v>Click Soluções Inteligentes</v>
      </c>
      <c r="N2819" s="33">
        <f>IFERROR(__xludf.DUMMYFUNCTION("""COMPUTED_VALUE"""),0.6666666666666666)</f>
        <v>0.6666666667</v>
      </c>
      <c r="O2819" s="4" t="str">
        <f>IFERROR(__xludf.DUMMYFUNCTION("""COMPUTED_VALUE"""),"Instadelivery")</f>
        <v>Instadelivery</v>
      </c>
      <c r="P2819" s="33">
        <f>IFERROR(__xludf.DUMMYFUNCTION("""COMPUTED_VALUE"""),0.3333333333333333)</f>
        <v>0.3333333333</v>
      </c>
      <c r="Q2819" s="4" t="str">
        <f>IFERROR(__xludf.DUMMYFUNCTION("""COMPUTED_VALUE"""),"Instadelivery")</f>
        <v>Instadelivery</v>
      </c>
      <c r="R2819" s="33">
        <f>IFERROR(__xludf.DUMMYFUNCTION("""COMPUTED_VALUE"""),0.3333333333333333)</f>
        <v>0.3333333333</v>
      </c>
      <c r="S2819" s="4" t="str">
        <f>IFERROR(__xludf.DUMMYFUNCTION("""COMPUTED_VALUE"""),"Instadelivery")</f>
        <v>Instadelivery</v>
      </c>
      <c r="T2819" s="33">
        <f>IFERROR(__xludf.DUMMYFUNCTION("""COMPUTED_VALUE"""),0.3333333333333333)</f>
        <v>0.3333333333</v>
      </c>
      <c r="U2819" s="4" t="str">
        <f>IFERROR(__xludf.DUMMYFUNCTION("""COMPUTED_VALUE"""),"Instadelivery")</f>
        <v>Instadelivery</v>
      </c>
      <c r="V2819" s="33">
        <f>IFERROR(__xludf.DUMMYFUNCTION("""COMPUTED_VALUE"""),0.3333333333333333)</f>
        <v>0.3333333333</v>
      </c>
      <c r="W2819" s="4" t="str">
        <f>IFERROR(__xludf.DUMMYFUNCTION("""COMPUTED_VALUE"""),"null")</f>
        <v>null</v>
      </c>
      <c r="X2819" s="33">
        <f>IFERROR(__xludf.DUMMYFUNCTION("""COMPUTED_VALUE"""),0.6666666666666666)</f>
        <v>0.6666666667</v>
      </c>
    </row>
    <row r="2820">
      <c r="K2820" s="4" t="str">
        <f>IFERROR(__xludf.DUMMYFUNCTION("""COMPUTED_VALUE"""),"LA TORRE PIZZARIA")</f>
        <v>LA TORRE PIZZARIA</v>
      </c>
      <c r="L2820" s="32">
        <f>IFERROR(__xludf.DUMMYFUNCTION("""COMPUTED_VALUE"""),3.0)</f>
        <v>3</v>
      </c>
      <c r="M2820" s="4" t="str">
        <f>IFERROR(__xludf.DUMMYFUNCTION("""COMPUTED_VALUE"""),"Saipos Serviços De Software")</f>
        <v>Saipos Serviços De Software</v>
      </c>
      <c r="N2820" s="33">
        <f>IFERROR(__xludf.DUMMYFUNCTION("""COMPUTED_VALUE"""),0.3333333333333333)</f>
        <v>0.3333333333</v>
      </c>
      <c r="O2820" s="4" t="str">
        <f>IFERROR(__xludf.DUMMYFUNCTION("""COMPUTED_VALUE"""),"Saipos Serviços De Software")</f>
        <v>Saipos Serviços De Software</v>
      </c>
      <c r="P2820" s="33">
        <f>IFERROR(__xludf.DUMMYFUNCTION("""COMPUTED_VALUE"""),0.3333333333333333)</f>
        <v>0.3333333333</v>
      </c>
      <c r="Q2820" s="4" t="str">
        <f>IFERROR(__xludf.DUMMYFUNCTION("""COMPUTED_VALUE"""),"Saipos Serviços De Software")</f>
        <v>Saipos Serviços De Software</v>
      </c>
      <c r="R2820" s="33">
        <f>IFERROR(__xludf.DUMMYFUNCTION("""COMPUTED_VALUE"""),0.3333333333333333)</f>
        <v>0.3333333333</v>
      </c>
      <c r="S2820" s="4" t="str">
        <f>IFERROR(__xludf.DUMMYFUNCTION("""COMPUTED_VALUE"""),"Saipos Serviços De Software")</f>
        <v>Saipos Serviços De Software</v>
      </c>
      <c r="T2820" s="33">
        <f>IFERROR(__xludf.DUMMYFUNCTION("""COMPUTED_VALUE"""),0.3333333333333333)</f>
        <v>0.3333333333</v>
      </c>
      <c r="U2820" s="4" t="str">
        <f>IFERROR(__xludf.DUMMYFUNCTION("""COMPUTED_VALUE"""),"Saipos Serviços De Software")</f>
        <v>Saipos Serviços De Software</v>
      </c>
      <c r="V2820" s="33">
        <f>IFERROR(__xludf.DUMMYFUNCTION("""COMPUTED_VALUE"""),0.3333333333333333)</f>
        <v>0.3333333333</v>
      </c>
      <c r="W2820" s="4" t="str">
        <f>IFERROR(__xludf.DUMMYFUNCTION("""COMPUTED_VALUE"""),"Saipos Serviços De Software")</f>
        <v>Saipos Serviços De Software</v>
      </c>
      <c r="X2820" s="33">
        <f>IFERROR(__xludf.DUMMYFUNCTION("""COMPUTED_VALUE"""),0.3333333333333333)</f>
        <v>0.3333333333</v>
      </c>
    </row>
    <row r="2821">
      <c r="K2821" s="4" t="str">
        <f>IFERROR(__xludf.DUMMYFUNCTION("""COMPUTED_VALUE"""),"SUPREMO HAMBURGUERIA")</f>
        <v>SUPREMO HAMBURGUERIA</v>
      </c>
      <c r="L2821" s="32">
        <f>IFERROR(__xludf.DUMMYFUNCTION("""COMPUTED_VALUE"""),3.0)</f>
        <v>3</v>
      </c>
      <c r="M2821" s="4" t="str">
        <f>IFERROR(__xludf.DUMMYFUNCTION("""COMPUTED_VALUE"""),"Yooga")</f>
        <v>Yooga</v>
      </c>
      <c r="N2821" s="33">
        <f>IFERROR(__xludf.DUMMYFUNCTION("""COMPUTED_VALUE"""),0.3333333333333333)</f>
        <v>0.3333333333</v>
      </c>
      <c r="O2821" s="4" t="str">
        <f>IFERROR(__xludf.DUMMYFUNCTION("""COMPUTED_VALUE"""),"Yooga")</f>
        <v>Yooga</v>
      </c>
      <c r="P2821" s="33">
        <f>IFERROR(__xludf.DUMMYFUNCTION("""COMPUTED_VALUE"""),0.3333333333333333)</f>
        <v>0.3333333333</v>
      </c>
      <c r="Q2821" s="4" t="str">
        <f>IFERROR(__xludf.DUMMYFUNCTION("""COMPUTED_VALUE"""),"Yooga")</f>
        <v>Yooga</v>
      </c>
      <c r="R2821" s="33">
        <f>IFERROR(__xludf.DUMMYFUNCTION("""COMPUTED_VALUE"""),0.3333333333333333)</f>
        <v>0.3333333333</v>
      </c>
      <c r="S2821" s="4" t="str">
        <f>IFERROR(__xludf.DUMMYFUNCTION("""COMPUTED_VALUE"""),"Yooga")</f>
        <v>Yooga</v>
      </c>
      <c r="T2821" s="33">
        <f>IFERROR(__xludf.DUMMYFUNCTION("""COMPUTED_VALUE"""),0.3333333333333333)</f>
        <v>0.3333333333</v>
      </c>
      <c r="U2821" s="4" t="str">
        <f>IFERROR(__xludf.DUMMYFUNCTION("""COMPUTED_VALUE"""),"Yooga")</f>
        <v>Yooga</v>
      </c>
      <c r="V2821" s="33">
        <f>IFERROR(__xludf.DUMMYFUNCTION("""COMPUTED_VALUE"""),0.3333333333333333)</f>
        <v>0.3333333333</v>
      </c>
      <c r="W2821" s="4" t="str">
        <f>IFERROR(__xludf.DUMMYFUNCTION("""COMPUTED_VALUE"""),"Yooga")</f>
        <v>Yooga</v>
      </c>
      <c r="X2821" s="33">
        <f>IFERROR(__xludf.DUMMYFUNCTION("""COMPUTED_VALUE"""),0.3333333333333333)</f>
        <v>0.3333333333</v>
      </c>
    </row>
    <row r="2822">
      <c r="K2822" s="4" t="str">
        <f>IFERROR(__xludf.DUMMYFUNCTION("""COMPUTED_VALUE"""),"MINI SALGADOS")</f>
        <v>MINI SALGADOS</v>
      </c>
      <c r="L2822" s="32">
        <f>IFERROR(__xludf.DUMMYFUNCTION("""COMPUTED_VALUE"""),3.0)</f>
        <v>3</v>
      </c>
      <c r="M2822" s="35" t="str">
        <f>IFERROR(__xludf.DUMMYFUNCTION("""COMPUTED_VALUE"""),"Maisentregas.com")</f>
        <v>Maisentregas.com</v>
      </c>
      <c r="N2822" s="33">
        <f>IFERROR(__xludf.DUMMYFUNCTION("""COMPUTED_VALUE"""),0.3333333333333333)</f>
        <v>0.3333333333</v>
      </c>
      <c r="O2822" s="35" t="str">
        <f>IFERROR(__xludf.DUMMYFUNCTION("""COMPUTED_VALUE"""),"Maisentregas.com")</f>
        <v>Maisentregas.com</v>
      </c>
      <c r="P2822" s="33">
        <f>IFERROR(__xludf.DUMMYFUNCTION("""COMPUTED_VALUE"""),0.3333333333333333)</f>
        <v>0.3333333333</v>
      </c>
      <c r="Q2822" s="35" t="str">
        <f>IFERROR(__xludf.DUMMYFUNCTION("""COMPUTED_VALUE"""),"Maisentregas.com")</f>
        <v>Maisentregas.com</v>
      </c>
      <c r="R2822" s="33">
        <f>IFERROR(__xludf.DUMMYFUNCTION("""COMPUTED_VALUE"""),0.3333333333333333)</f>
        <v>0.3333333333</v>
      </c>
      <c r="S2822" s="35" t="str">
        <f>IFERROR(__xludf.DUMMYFUNCTION("""COMPUTED_VALUE"""),"Maisentregas.com")</f>
        <v>Maisentregas.com</v>
      </c>
      <c r="T2822" s="33">
        <f>IFERROR(__xludf.DUMMYFUNCTION("""COMPUTED_VALUE"""),0.3333333333333333)</f>
        <v>0.3333333333</v>
      </c>
      <c r="U2822" s="35" t="str">
        <f>IFERROR(__xludf.DUMMYFUNCTION("""COMPUTED_VALUE"""),"Maisentregas.com")</f>
        <v>Maisentregas.com</v>
      </c>
      <c r="V2822" s="33">
        <f>IFERROR(__xludf.DUMMYFUNCTION("""COMPUTED_VALUE"""),0.3333333333333333)</f>
        <v>0.3333333333</v>
      </c>
      <c r="W2822" s="35" t="str">
        <f>IFERROR(__xludf.DUMMYFUNCTION("""COMPUTED_VALUE"""),"Maisentregas.com")</f>
        <v>Maisentregas.com</v>
      </c>
      <c r="X2822" s="33">
        <f>IFERROR(__xludf.DUMMYFUNCTION("""COMPUTED_VALUE"""),0.3333333333333333)</f>
        <v>0.3333333333</v>
      </c>
    </row>
    <row r="2823">
      <c r="K2823" s="4" t="str">
        <f>IFERROR(__xludf.DUMMYFUNCTION("""COMPUTED_VALUE"""),"FAMINTOS BURGUER")</f>
        <v>FAMINTOS BURGUER</v>
      </c>
      <c r="L2823" s="32">
        <f>IFERROR(__xludf.DUMMYFUNCTION("""COMPUTED_VALUE"""),3.0)</f>
        <v>3</v>
      </c>
      <c r="M2823" s="4" t="str">
        <f>IFERROR(__xludf.DUMMYFUNCTION("""COMPUTED_VALUE"""),"Brendi")</f>
        <v>Brendi</v>
      </c>
      <c r="N2823" s="33">
        <f>IFERROR(__xludf.DUMMYFUNCTION("""COMPUTED_VALUE"""),0.3333333333333333)</f>
        <v>0.3333333333</v>
      </c>
      <c r="O2823" s="4" t="str">
        <f>IFERROR(__xludf.DUMMYFUNCTION("""COMPUTED_VALUE"""),"Brendi")</f>
        <v>Brendi</v>
      </c>
      <c r="P2823" s="33">
        <f>IFERROR(__xludf.DUMMYFUNCTION("""COMPUTED_VALUE"""),0.3333333333333333)</f>
        <v>0.3333333333</v>
      </c>
      <c r="Q2823" s="4" t="str">
        <f>IFERROR(__xludf.DUMMYFUNCTION("""COMPUTED_VALUE"""),"Brendi")</f>
        <v>Brendi</v>
      </c>
      <c r="R2823" s="33">
        <f>IFERROR(__xludf.DUMMYFUNCTION("""COMPUTED_VALUE"""),0.3333333333333333)</f>
        <v>0.3333333333</v>
      </c>
      <c r="S2823" s="4" t="str">
        <f>IFERROR(__xludf.DUMMYFUNCTION("""COMPUTED_VALUE"""),"Brendi")</f>
        <v>Brendi</v>
      </c>
      <c r="T2823" s="33">
        <f>IFERROR(__xludf.DUMMYFUNCTION("""COMPUTED_VALUE"""),0.3333333333333333)</f>
        <v>0.3333333333</v>
      </c>
      <c r="U2823" s="4" t="str">
        <f>IFERROR(__xludf.DUMMYFUNCTION("""COMPUTED_VALUE"""),"null")</f>
        <v>null</v>
      </c>
      <c r="V2823" s="33">
        <f>IFERROR(__xludf.DUMMYFUNCTION("""COMPUTED_VALUE"""),0.3333333333333333)</f>
        <v>0.3333333333</v>
      </c>
      <c r="W2823" s="4" t="str">
        <f>IFERROR(__xludf.DUMMYFUNCTION("""COMPUTED_VALUE"""),"null")</f>
        <v>null</v>
      </c>
      <c r="X2823" s="33">
        <f>IFERROR(__xludf.DUMMYFUNCTION("""COMPUTED_VALUE"""),0.3333333333333333)</f>
        <v>0.3333333333</v>
      </c>
    </row>
    <row r="2824">
      <c r="K2824" s="4" t="str">
        <f>IFERROR(__xludf.DUMMYFUNCTION("""COMPUTED_VALUE"""),"DROGARIA VIVA BEM")</f>
        <v>DROGARIA VIVA BEM</v>
      </c>
      <c r="L2824" s="32">
        <f>IFERROR(__xludf.DUMMYFUNCTION("""COMPUTED_VALUE"""),3.0)</f>
        <v>3</v>
      </c>
      <c r="M2824" s="4" t="str">
        <f>IFERROR(__xludf.DUMMYFUNCTION("""COMPUTED_VALUE"""),"N/A (Not found)")</f>
        <v>N/A (Not found)</v>
      </c>
      <c r="N2824" s="33">
        <f>IFERROR(__xludf.DUMMYFUNCTION("""COMPUTED_VALUE"""),0.6666666666666666)</f>
        <v>0.6666666667</v>
      </c>
      <c r="O2824" s="4" t="str">
        <f>IFERROR(__xludf.DUMMYFUNCTION("""COMPUTED_VALUE"""),"N/A (Not found)")</f>
        <v>N/A (Not found)</v>
      </c>
      <c r="P2824" s="33">
        <f>IFERROR(__xludf.DUMMYFUNCTION("""COMPUTED_VALUE"""),1.0)</f>
        <v>1</v>
      </c>
      <c r="Q2824" s="4" t="str">
        <f>IFERROR(__xludf.DUMMYFUNCTION("""COMPUTED_VALUE"""),"N/A (Not found)")</f>
        <v>N/A (Not found)</v>
      </c>
      <c r="R2824" s="33">
        <f>IFERROR(__xludf.DUMMYFUNCTION("""COMPUTED_VALUE"""),0.6666666666666666)</f>
        <v>0.6666666667</v>
      </c>
      <c r="S2824" s="4" t="str">
        <f>IFERROR(__xludf.DUMMYFUNCTION("""COMPUTED_VALUE"""),"N/A (Not found)")</f>
        <v>N/A (Not found)</v>
      </c>
      <c r="T2824" s="33">
        <f>IFERROR(__xludf.DUMMYFUNCTION("""COMPUTED_VALUE"""),1.0)</f>
        <v>1</v>
      </c>
      <c r="U2824" s="4" t="str">
        <f>IFERROR(__xludf.DUMMYFUNCTION("""COMPUTED_VALUE"""),"N/A (Not found)")</f>
        <v>N/A (Not found)</v>
      </c>
      <c r="V2824" s="33">
        <f>IFERROR(__xludf.DUMMYFUNCTION("""COMPUTED_VALUE"""),0.6666666666666666)</f>
        <v>0.6666666667</v>
      </c>
      <c r="W2824" s="4" t="str">
        <f>IFERROR(__xludf.DUMMYFUNCTION("""COMPUTED_VALUE"""),"N/A (Not found)")</f>
        <v>N/A (Not found)</v>
      </c>
      <c r="X2824" s="33">
        <f>IFERROR(__xludf.DUMMYFUNCTION("""COMPUTED_VALUE"""),0.6666666666666666)</f>
        <v>0.6666666667</v>
      </c>
    </row>
    <row r="2825">
      <c r="K2825" s="4" t="str">
        <f>IFERROR(__xludf.DUMMYFUNCTION("""COMPUTED_VALUE"""),"DROGARIAS POUPAQUI")</f>
        <v>DROGARIAS POUPAQUI</v>
      </c>
      <c r="L2825" s="32">
        <f>IFERROR(__xludf.DUMMYFUNCTION("""COMPUTED_VALUE"""),3.0)</f>
        <v>3</v>
      </c>
      <c r="M2825" s="4" t="str">
        <f>IFERROR(__xludf.DUMMYFUNCTION("""COMPUTED_VALUE"""),"N/A (Not found)")</f>
        <v>N/A (Not found)</v>
      </c>
      <c r="N2825" s="33">
        <f>IFERROR(__xludf.DUMMYFUNCTION("""COMPUTED_VALUE"""),1.0)</f>
        <v>1</v>
      </c>
      <c r="O2825" s="4" t="str">
        <f>IFERROR(__xludf.DUMMYFUNCTION("""COMPUTED_VALUE"""),"N/A (Not found)")</f>
        <v>N/A (Not found)</v>
      </c>
      <c r="P2825" s="33">
        <f>IFERROR(__xludf.DUMMYFUNCTION("""COMPUTED_VALUE"""),0.6666666666666666)</f>
        <v>0.6666666667</v>
      </c>
      <c r="Q2825" s="4" t="str">
        <f>IFERROR(__xludf.DUMMYFUNCTION("""COMPUTED_VALUE"""),"N/A (Not found)")</f>
        <v>N/A (Not found)</v>
      </c>
      <c r="R2825" s="33">
        <f>IFERROR(__xludf.DUMMYFUNCTION("""COMPUTED_VALUE"""),1.0)</f>
        <v>1</v>
      </c>
      <c r="S2825" s="4" t="str">
        <f>IFERROR(__xludf.DUMMYFUNCTION("""COMPUTED_VALUE"""),"N/A (Not found)")</f>
        <v>N/A (Not found)</v>
      </c>
      <c r="T2825" s="33">
        <f>IFERROR(__xludf.DUMMYFUNCTION("""COMPUTED_VALUE"""),0.6666666666666666)</f>
        <v>0.6666666667</v>
      </c>
      <c r="U2825" s="4" t="str">
        <f>IFERROR(__xludf.DUMMYFUNCTION("""COMPUTED_VALUE"""),"N/A (Not found)")</f>
        <v>N/A (Not found)</v>
      </c>
      <c r="V2825" s="33">
        <f>IFERROR(__xludf.DUMMYFUNCTION("""COMPUTED_VALUE"""),0.6666666666666666)</f>
        <v>0.6666666667</v>
      </c>
      <c r="W2825" s="4" t="str">
        <f>IFERROR(__xludf.DUMMYFUNCTION("""COMPUTED_VALUE"""),"N/A (Not found)")</f>
        <v>N/A (Not found)</v>
      </c>
      <c r="X2825" s="33">
        <f>IFERROR(__xludf.DUMMYFUNCTION("""COMPUTED_VALUE"""),0.6666666666666666)</f>
        <v>0.6666666667</v>
      </c>
    </row>
    <row r="2826">
      <c r="K2826" s="4" t="str">
        <f>IFERROR(__xludf.DUMMYFUNCTION("""COMPUTED_VALUE"""),"DIVINO TEMPERO")</f>
        <v>DIVINO TEMPERO</v>
      </c>
      <c r="L2826" s="32">
        <f>IFERROR(__xludf.DUMMYFUNCTION("""COMPUTED_VALUE"""),3.0)</f>
        <v>3</v>
      </c>
      <c r="M2826" s="4" t="str">
        <f>IFERROR(__xludf.DUMMYFUNCTION("""COMPUTED_VALUE"""),"Expresso Delivery")</f>
        <v>Expresso Delivery</v>
      </c>
      <c r="N2826" s="33">
        <f>IFERROR(__xludf.DUMMYFUNCTION("""COMPUTED_VALUE"""),0.6666666666666666)</f>
        <v>0.6666666667</v>
      </c>
      <c r="O2826" s="4" t="str">
        <f>IFERROR(__xludf.DUMMYFUNCTION("""COMPUTED_VALUE"""),"Expresso Delivery")</f>
        <v>Expresso Delivery</v>
      </c>
      <c r="P2826" s="33">
        <f>IFERROR(__xludf.DUMMYFUNCTION("""COMPUTED_VALUE"""),0.6666666666666666)</f>
        <v>0.6666666667</v>
      </c>
      <c r="Q2826" s="4" t="str">
        <f>IFERROR(__xludf.DUMMYFUNCTION("""COMPUTED_VALUE"""),"Expresso Delivery")</f>
        <v>Expresso Delivery</v>
      </c>
      <c r="R2826" s="33">
        <f>IFERROR(__xludf.DUMMYFUNCTION("""COMPUTED_VALUE"""),0.6666666666666666)</f>
        <v>0.6666666667</v>
      </c>
      <c r="S2826" s="4" t="str">
        <f>IFERROR(__xludf.DUMMYFUNCTION("""COMPUTED_VALUE"""),"Expresso Delivery")</f>
        <v>Expresso Delivery</v>
      </c>
      <c r="T2826" s="33">
        <f>IFERROR(__xludf.DUMMYFUNCTION("""COMPUTED_VALUE"""),0.6666666666666666)</f>
        <v>0.6666666667</v>
      </c>
      <c r="U2826" s="4" t="str">
        <f>IFERROR(__xludf.DUMMYFUNCTION("""COMPUTED_VALUE"""),"Expresso Delivery")</f>
        <v>Expresso Delivery</v>
      </c>
      <c r="V2826" s="33">
        <f>IFERROR(__xludf.DUMMYFUNCTION("""COMPUTED_VALUE"""),0.6666666666666666)</f>
        <v>0.6666666667</v>
      </c>
      <c r="W2826" s="4" t="str">
        <f>IFERROR(__xludf.DUMMYFUNCTION("""COMPUTED_VALUE"""),"Expresso Delivery")</f>
        <v>Expresso Delivery</v>
      </c>
      <c r="X2826" s="33">
        <f>IFERROR(__xludf.DUMMYFUNCTION("""COMPUTED_VALUE"""),0.6666666666666666)</f>
        <v>0.6666666667</v>
      </c>
    </row>
    <row r="2827">
      <c r="K2827" s="4" t="str">
        <f>IFERROR(__xludf.DUMMYFUNCTION("""COMPUTED_VALUE"""),"PARAISO DA PIZZA")</f>
        <v>PARAISO DA PIZZA</v>
      </c>
      <c r="L2827" s="32">
        <f>IFERROR(__xludf.DUMMYFUNCTION("""COMPUTED_VALUE"""),3.0)</f>
        <v>3</v>
      </c>
      <c r="M2827" s="4" t="str">
        <f>IFERROR(__xludf.DUMMYFUNCTION("""COMPUTED_VALUE"""),"null")</f>
        <v>null</v>
      </c>
      <c r="N2827" s="33">
        <f>IFERROR(__xludf.DUMMYFUNCTION("""COMPUTED_VALUE"""),0.6666666666666666)</f>
        <v>0.6666666667</v>
      </c>
      <c r="O2827" s="4" t="str">
        <f>IFERROR(__xludf.DUMMYFUNCTION("""COMPUTED_VALUE"""),"null")</f>
        <v>null</v>
      </c>
      <c r="P2827" s="33">
        <f>IFERROR(__xludf.DUMMYFUNCTION("""COMPUTED_VALUE"""),0.6666666666666666)</f>
        <v>0.6666666667</v>
      </c>
      <c r="Q2827" s="4" t="str">
        <f>IFERROR(__xludf.DUMMYFUNCTION("""COMPUTED_VALUE"""),"null")</f>
        <v>null</v>
      </c>
      <c r="R2827" s="33">
        <f>IFERROR(__xludf.DUMMYFUNCTION("""COMPUTED_VALUE"""),0.3333333333333333)</f>
        <v>0.3333333333</v>
      </c>
      <c r="S2827" s="4" t="str">
        <f>IFERROR(__xludf.DUMMYFUNCTION("""COMPUTED_VALUE"""),"null")</f>
        <v>null</v>
      </c>
      <c r="T2827" s="33">
        <f>IFERROR(__xludf.DUMMYFUNCTION("""COMPUTED_VALUE"""),0.3333333333333333)</f>
        <v>0.3333333333</v>
      </c>
      <c r="U2827" s="4" t="str">
        <f>IFERROR(__xludf.DUMMYFUNCTION("""COMPUTED_VALUE"""),"null")</f>
        <v>null</v>
      </c>
      <c r="V2827" s="33">
        <f>IFERROR(__xludf.DUMMYFUNCTION("""COMPUTED_VALUE"""),0.3333333333333333)</f>
        <v>0.3333333333</v>
      </c>
      <c r="W2827" s="4" t="str">
        <f>IFERROR(__xludf.DUMMYFUNCTION("""COMPUTED_VALUE"""),"null")</f>
        <v>null</v>
      </c>
      <c r="X2827" s="33">
        <f>IFERROR(__xludf.DUMMYFUNCTION("""COMPUTED_VALUE"""),0.3333333333333333)</f>
        <v>0.3333333333</v>
      </c>
    </row>
    <row r="2828">
      <c r="K2828" s="4" t="str">
        <f>IFERROR(__xludf.DUMMYFUNCTION("""COMPUTED_VALUE"""),"CRIS LANCHES")</f>
        <v>CRIS LANCHES</v>
      </c>
      <c r="L2828" s="32">
        <f>IFERROR(__xludf.DUMMYFUNCTION("""COMPUTED_VALUE"""),3.0)</f>
        <v>3</v>
      </c>
      <c r="M2828" s="4" t="str">
        <f>IFERROR(__xludf.DUMMYFUNCTION("""COMPUTED_VALUE"""),"Mp Multipedidos")</f>
        <v>Mp Multipedidos</v>
      </c>
      <c r="N2828" s="33">
        <f>IFERROR(__xludf.DUMMYFUNCTION("""COMPUTED_VALUE"""),0.3333333333333333)</f>
        <v>0.3333333333</v>
      </c>
      <c r="O2828" s="4" t="str">
        <f>IFERROR(__xludf.DUMMYFUNCTION("""COMPUTED_VALUE"""),"Anota Ai Solucoes Digitais S/a")</f>
        <v>Anota Ai Solucoes Digitais S/a</v>
      </c>
      <c r="P2828" s="33">
        <f>IFERROR(__xludf.DUMMYFUNCTION("""COMPUTED_VALUE"""),0.6666666666666666)</f>
        <v>0.6666666667</v>
      </c>
      <c r="Q2828" s="4" t="str">
        <f>IFERROR(__xludf.DUMMYFUNCTION("""COMPUTED_VALUE"""),"Mp Multipedidos")</f>
        <v>Mp Multipedidos</v>
      </c>
      <c r="R2828" s="33">
        <f>IFERROR(__xludf.DUMMYFUNCTION("""COMPUTED_VALUE"""),0.3333333333333333)</f>
        <v>0.3333333333</v>
      </c>
      <c r="S2828" s="4" t="str">
        <f>IFERROR(__xludf.DUMMYFUNCTION("""COMPUTED_VALUE"""),"null")</f>
        <v>null</v>
      </c>
      <c r="T2828" s="33">
        <f>IFERROR(__xludf.DUMMYFUNCTION("""COMPUTED_VALUE"""),0.6666666666666666)</f>
        <v>0.6666666667</v>
      </c>
      <c r="U2828" s="4" t="str">
        <f>IFERROR(__xludf.DUMMYFUNCTION("""COMPUTED_VALUE"""),"null")</f>
        <v>null</v>
      </c>
      <c r="V2828" s="33">
        <f>IFERROR(__xludf.DUMMYFUNCTION("""COMPUTED_VALUE"""),0.6666666666666666)</f>
        <v>0.6666666667</v>
      </c>
      <c r="W2828" s="4" t="str">
        <f>IFERROR(__xludf.DUMMYFUNCTION("""COMPUTED_VALUE"""),"null")</f>
        <v>null</v>
      </c>
      <c r="X2828" s="33">
        <f>IFERROR(__xludf.DUMMYFUNCTION("""COMPUTED_VALUE"""),0.6666666666666666)</f>
        <v>0.6666666667</v>
      </c>
    </row>
    <row r="2829">
      <c r="K2829" s="4" t="str">
        <f>IFERROR(__xludf.DUMMYFUNCTION("""COMPUTED_VALUE"""),"MASTER BURGER")</f>
        <v>MASTER BURGER</v>
      </c>
      <c r="L2829" s="32">
        <f>IFERROR(__xludf.DUMMYFUNCTION("""COMPUTED_VALUE"""),3.0)</f>
        <v>3</v>
      </c>
      <c r="M2829" s="4" t="str">
        <f>IFERROR(__xludf.DUMMYFUNCTION("""COMPUTED_VALUE"""),"Saipos Serviços De Software")</f>
        <v>Saipos Serviços De Software</v>
      </c>
      <c r="N2829" s="33">
        <f>IFERROR(__xludf.DUMMYFUNCTION("""COMPUTED_VALUE"""),0.3333333333333333)</f>
        <v>0.3333333333</v>
      </c>
      <c r="O2829" s="4" t="str">
        <f>IFERROR(__xludf.DUMMYFUNCTION("""COMPUTED_VALUE"""),"Saipos Serviços De Software")</f>
        <v>Saipos Serviços De Software</v>
      </c>
      <c r="P2829" s="33">
        <f>IFERROR(__xludf.DUMMYFUNCTION("""COMPUTED_VALUE"""),0.3333333333333333)</f>
        <v>0.3333333333</v>
      </c>
      <c r="Q2829" s="4" t="str">
        <f>IFERROR(__xludf.DUMMYFUNCTION("""COMPUTED_VALUE"""),"Saipos Serviços De Software")</f>
        <v>Saipos Serviços De Software</v>
      </c>
      <c r="R2829" s="33">
        <f>IFERROR(__xludf.DUMMYFUNCTION("""COMPUTED_VALUE"""),0.3333333333333333)</f>
        <v>0.3333333333</v>
      </c>
      <c r="S2829" s="4" t="str">
        <f>IFERROR(__xludf.DUMMYFUNCTION("""COMPUTED_VALUE"""),"Saipos Serviços De Software")</f>
        <v>Saipos Serviços De Software</v>
      </c>
      <c r="T2829" s="33">
        <f>IFERROR(__xludf.DUMMYFUNCTION("""COMPUTED_VALUE"""),0.3333333333333333)</f>
        <v>0.3333333333</v>
      </c>
      <c r="U2829" s="4" t="str">
        <f>IFERROR(__xludf.DUMMYFUNCTION("""COMPUTED_VALUE"""),"Saipos Serviços De Software")</f>
        <v>Saipos Serviços De Software</v>
      </c>
      <c r="V2829" s="33">
        <f>IFERROR(__xludf.DUMMYFUNCTION("""COMPUTED_VALUE"""),0.3333333333333333)</f>
        <v>0.3333333333</v>
      </c>
      <c r="W2829" s="4" t="str">
        <f>IFERROR(__xludf.DUMMYFUNCTION("""COMPUTED_VALUE"""),"null")</f>
        <v>null</v>
      </c>
      <c r="X2829" s="33">
        <f>IFERROR(__xludf.DUMMYFUNCTION("""COMPUTED_VALUE"""),0.6666666666666666)</f>
        <v>0.6666666667</v>
      </c>
    </row>
    <row r="2830">
      <c r="K2830" s="4" t="str">
        <f>IFERROR(__xludf.DUMMYFUNCTION("""COMPUTED_VALUE"""),"COXINHAMOR SALGADOS E DOCES")</f>
        <v>COXINHAMOR SALGADOS E DOCES</v>
      </c>
      <c r="L2830" s="32">
        <f>IFERROR(__xludf.DUMMYFUNCTION("""COMPUTED_VALUE"""),3.0)</f>
        <v>3</v>
      </c>
      <c r="M2830" s="4" t="str">
        <f>IFERROR(__xludf.DUMMYFUNCTION("""COMPUTED_VALUE"""),"Saipos Serviços De Software")</f>
        <v>Saipos Serviços De Software</v>
      </c>
      <c r="N2830" s="33">
        <f>IFERROR(__xludf.DUMMYFUNCTION("""COMPUTED_VALUE"""),1.0)</f>
        <v>1</v>
      </c>
      <c r="O2830" s="4" t="str">
        <f>IFERROR(__xludf.DUMMYFUNCTION("""COMPUTED_VALUE"""),"Saipos Serviços De Software")</f>
        <v>Saipos Serviços De Software</v>
      </c>
      <c r="P2830" s="33">
        <f>IFERROR(__xludf.DUMMYFUNCTION("""COMPUTED_VALUE"""),1.0)</f>
        <v>1</v>
      </c>
      <c r="Q2830" s="4" t="str">
        <f>IFERROR(__xludf.DUMMYFUNCTION("""COMPUTED_VALUE"""),"Parseint Desenvolvimento De Sistemas Ltda")</f>
        <v>Parseint Desenvolvimento De Sistemas Ltda</v>
      </c>
      <c r="R2830" s="33">
        <f>IFERROR(__xludf.DUMMYFUNCTION("""COMPUTED_VALUE"""),0.6666666666666666)</f>
        <v>0.6666666667</v>
      </c>
      <c r="S2830" s="4" t="str">
        <f>IFERROR(__xludf.DUMMYFUNCTION("""COMPUTED_VALUE"""),"Parseint Desenvolvimento De Sistemas Ltda")</f>
        <v>Parseint Desenvolvimento De Sistemas Ltda</v>
      </c>
      <c r="T2830" s="33">
        <f>IFERROR(__xludf.DUMMYFUNCTION("""COMPUTED_VALUE"""),1.0)</f>
        <v>1</v>
      </c>
      <c r="U2830" s="4" t="str">
        <f>IFERROR(__xludf.DUMMYFUNCTION("""COMPUTED_VALUE"""),"Parseint Desenvolvimento De Sistemas Ltda")</f>
        <v>Parseint Desenvolvimento De Sistemas Ltda</v>
      </c>
      <c r="V2830" s="33">
        <f>IFERROR(__xludf.DUMMYFUNCTION("""COMPUTED_VALUE"""),0.6666666666666666)</f>
        <v>0.6666666667</v>
      </c>
      <c r="W2830" s="4" t="str">
        <f>IFERROR(__xludf.DUMMYFUNCTION("""COMPUTED_VALUE"""),"Parseint Desenvolvimento De Sistemas Ltda")</f>
        <v>Parseint Desenvolvimento De Sistemas Ltda</v>
      </c>
      <c r="X2830" s="33">
        <f>IFERROR(__xludf.DUMMYFUNCTION("""COMPUTED_VALUE"""),0.6666666666666666)</f>
        <v>0.6666666667</v>
      </c>
    </row>
    <row r="2831">
      <c r="K2831" s="4" t="str">
        <f>IFERROR(__xludf.DUMMYFUNCTION("""COMPUTED_VALUE"""),"NOBRE BURGUER")</f>
        <v>NOBRE BURGUER</v>
      </c>
      <c r="L2831" s="32">
        <f>IFERROR(__xludf.DUMMYFUNCTION("""COMPUTED_VALUE"""),3.0)</f>
        <v>3</v>
      </c>
      <c r="M2831" s="4" t="str">
        <f>IFERROR(__xludf.DUMMYFUNCTION("""COMPUTED_VALUE"""),"Brendi")</f>
        <v>Brendi</v>
      </c>
      <c r="N2831" s="33">
        <f>IFERROR(__xludf.DUMMYFUNCTION("""COMPUTED_VALUE"""),0.6666666666666666)</f>
        <v>0.6666666667</v>
      </c>
      <c r="O2831" s="4" t="str">
        <f>IFERROR(__xludf.DUMMYFUNCTION("""COMPUTED_VALUE"""),"Brendi")</f>
        <v>Brendi</v>
      </c>
      <c r="P2831" s="33">
        <f>IFERROR(__xludf.DUMMYFUNCTION("""COMPUTED_VALUE"""),0.6666666666666666)</f>
        <v>0.6666666667</v>
      </c>
      <c r="Q2831" s="4" t="str">
        <f>IFERROR(__xludf.DUMMYFUNCTION("""COMPUTED_VALUE"""),"null")</f>
        <v>null</v>
      </c>
      <c r="R2831" s="33">
        <f>IFERROR(__xludf.DUMMYFUNCTION("""COMPUTED_VALUE"""),0.3333333333333333)</f>
        <v>0.3333333333</v>
      </c>
      <c r="S2831" s="4" t="str">
        <f>IFERROR(__xludf.DUMMYFUNCTION("""COMPUTED_VALUE"""),"null")</f>
        <v>null</v>
      </c>
      <c r="T2831" s="33">
        <f>IFERROR(__xludf.DUMMYFUNCTION("""COMPUTED_VALUE"""),0.3333333333333333)</f>
        <v>0.3333333333</v>
      </c>
      <c r="U2831" s="4" t="str">
        <f>IFERROR(__xludf.DUMMYFUNCTION("""COMPUTED_VALUE"""),"Anota Ai Solucoes Digitais S/a")</f>
        <v>Anota Ai Solucoes Digitais S/a</v>
      </c>
      <c r="V2831" s="33">
        <f>IFERROR(__xludf.DUMMYFUNCTION("""COMPUTED_VALUE"""),0.3333333333333333)</f>
        <v>0.3333333333</v>
      </c>
      <c r="W2831" s="4" t="str">
        <f>IFERROR(__xludf.DUMMYFUNCTION("""COMPUTED_VALUE"""),"null")</f>
        <v>null</v>
      </c>
      <c r="X2831" s="33">
        <f>IFERROR(__xludf.DUMMYFUNCTION("""COMPUTED_VALUE"""),0.6666666666666666)</f>
        <v>0.6666666667</v>
      </c>
    </row>
    <row r="2832">
      <c r="K2832" s="4" t="str">
        <f>IFERROR(__xludf.DUMMYFUNCTION("""COMPUTED_VALUE"""),"BRUTUS LANCHES")</f>
        <v>BRUTUS LANCHES</v>
      </c>
      <c r="L2832" s="32">
        <f>IFERROR(__xludf.DUMMYFUNCTION("""COMPUTED_VALUE"""),3.0)</f>
        <v>3</v>
      </c>
      <c r="M2832" s="4" t="str">
        <f>IFERROR(__xludf.DUMMYFUNCTION("""COMPUTED_VALUE"""),"null")</f>
        <v>null</v>
      </c>
      <c r="N2832" s="33">
        <f>IFERROR(__xludf.DUMMYFUNCTION("""COMPUTED_VALUE"""),0.6666666666666666)</f>
        <v>0.6666666667</v>
      </c>
      <c r="O2832" s="4" t="str">
        <f>IFERROR(__xludf.DUMMYFUNCTION("""COMPUTED_VALUE"""),"null")</f>
        <v>null</v>
      </c>
      <c r="P2832" s="33">
        <f>IFERROR(__xludf.DUMMYFUNCTION("""COMPUTED_VALUE"""),0.6666666666666666)</f>
        <v>0.6666666667</v>
      </c>
      <c r="Q2832" s="4" t="str">
        <f>IFERROR(__xludf.DUMMYFUNCTION("""COMPUTED_VALUE"""),"null")</f>
        <v>null</v>
      </c>
      <c r="R2832" s="33">
        <f>IFERROR(__xludf.DUMMYFUNCTION("""COMPUTED_VALUE"""),0.6666666666666666)</f>
        <v>0.6666666667</v>
      </c>
      <c r="S2832" s="4" t="str">
        <f>IFERROR(__xludf.DUMMYFUNCTION("""COMPUTED_VALUE"""),"Anota Ai Solucoes Digitais S/a")</f>
        <v>Anota Ai Solucoes Digitais S/a</v>
      </c>
      <c r="T2832" s="33">
        <f>IFERROR(__xludf.DUMMYFUNCTION("""COMPUTED_VALUE"""),0.6666666666666666)</f>
        <v>0.6666666667</v>
      </c>
      <c r="U2832" s="4" t="str">
        <f>IFERROR(__xludf.DUMMYFUNCTION("""COMPUTED_VALUE"""),"Anota Ai Solucoes Digitais S/a")</f>
        <v>Anota Ai Solucoes Digitais S/a</v>
      </c>
      <c r="V2832" s="33">
        <f>IFERROR(__xludf.DUMMYFUNCTION("""COMPUTED_VALUE"""),1.0)</f>
        <v>1</v>
      </c>
      <c r="W2832" s="4" t="str">
        <f>IFERROR(__xludf.DUMMYFUNCTION("""COMPUTED_VALUE"""),"Anota Ai Solucoes Digitais S/a")</f>
        <v>Anota Ai Solucoes Digitais S/a</v>
      </c>
      <c r="X2832" s="33">
        <f>IFERROR(__xludf.DUMMYFUNCTION("""COMPUTED_VALUE"""),1.0)</f>
        <v>1</v>
      </c>
    </row>
    <row r="2833">
      <c r="K2833" s="4" t="str">
        <f>IFERROR(__xludf.DUMMYFUNCTION("""COMPUTED_VALUE"""),"DOCE MARIA")</f>
        <v>DOCE MARIA</v>
      </c>
      <c r="L2833" s="32">
        <f>IFERROR(__xludf.DUMMYFUNCTION("""COMPUTED_VALUE"""),3.0)</f>
        <v>3</v>
      </c>
      <c r="M2833" s="4" t="str">
        <f>IFERROR(__xludf.DUMMYFUNCTION("""COMPUTED_VALUE"""),"Agilizup Solucoes Ltda")</f>
        <v>Agilizup Solucoes Ltda</v>
      </c>
      <c r="N2833" s="33">
        <f>IFERROR(__xludf.DUMMYFUNCTION("""COMPUTED_VALUE"""),0.3333333333333333)</f>
        <v>0.3333333333</v>
      </c>
      <c r="O2833" s="4" t="str">
        <f>IFERROR(__xludf.DUMMYFUNCTION("""COMPUTED_VALUE"""),"Instadelivery")</f>
        <v>Instadelivery</v>
      </c>
      <c r="P2833" s="33">
        <f>IFERROR(__xludf.DUMMYFUNCTION("""COMPUTED_VALUE"""),0.6666666666666666)</f>
        <v>0.6666666667</v>
      </c>
      <c r="Q2833" s="4" t="str">
        <f>IFERROR(__xludf.DUMMYFUNCTION("""COMPUTED_VALUE"""),"null")</f>
        <v>null</v>
      </c>
      <c r="R2833" s="33">
        <f>IFERROR(__xludf.DUMMYFUNCTION("""COMPUTED_VALUE"""),1.0)</f>
        <v>1</v>
      </c>
      <c r="S2833" s="4" t="str">
        <f>IFERROR(__xludf.DUMMYFUNCTION("""COMPUTED_VALUE"""),"null")</f>
        <v>null</v>
      </c>
      <c r="T2833" s="33">
        <f>IFERROR(__xludf.DUMMYFUNCTION("""COMPUTED_VALUE"""),1.0)</f>
        <v>1</v>
      </c>
      <c r="U2833" s="4" t="str">
        <f>IFERROR(__xludf.DUMMYFUNCTION("""COMPUTED_VALUE"""),"null")</f>
        <v>null</v>
      </c>
      <c r="V2833" s="33">
        <f>IFERROR(__xludf.DUMMYFUNCTION("""COMPUTED_VALUE"""),1.0)</f>
        <v>1</v>
      </c>
      <c r="W2833" s="4" t="str">
        <f>IFERROR(__xludf.DUMMYFUNCTION("""COMPUTED_VALUE"""),"null")</f>
        <v>null</v>
      </c>
      <c r="X2833" s="33">
        <f>IFERROR(__xludf.DUMMYFUNCTION("""COMPUTED_VALUE"""),1.0)</f>
        <v>1</v>
      </c>
    </row>
    <row r="2834">
      <c r="K2834" s="4" t="str">
        <f>IFERROR(__xludf.DUMMYFUNCTION("""COMPUTED_VALUE"""),"BELLA MASSA PIZZARIA")</f>
        <v>BELLA MASSA PIZZARIA</v>
      </c>
      <c r="L2834" s="32">
        <f>IFERROR(__xludf.DUMMYFUNCTION("""COMPUTED_VALUE"""),3.0)</f>
        <v>3</v>
      </c>
      <c r="M2834" s="4" t="str">
        <f>IFERROR(__xludf.DUMMYFUNCTION("""COMPUTED_VALUE"""),"Anota Ai Solucoes Digitais S/a")</f>
        <v>Anota Ai Solucoes Digitais S/a</v>
      </c>
      <c r="N2834" s="33">
        <f>IFERROR(__xludf.DUMMYFUNCTION("""COMPUTED_VALUE"""),0.3333333333333333)</f>
        <v>0.3333333333</v>
      </c>
      <c r="O2834" s="4" t="str">
        <f>IFERROR(__xludf.DUMMYFUNCTION("""COMPUTED_VALUE"""),"Anota Ai Solucoes Digitais S/a")</f>
        <v>Anota Ai Solucoes Digitais S/a</v>
      </c>
      <c r="P2834" s="33">
        <f>IFERROR(__xludf.DUMMYFUNCTION("""COMPUTED_VALUE"""),0.3333333333333333)</f>
        <v>0.3333333333</v>
      </c>
      <c r="Q2834" s="4" t="str">
        <f>IFERROR(__xludf.DUMMYFUNCTION("""COMPUTED_VALUE"""),"Anota Ai Solucoes Digitais S/a")</f>
        <v>Anota Ai Solucoes Digitais S/a</v>
      </c>
      <c r="R2834" s="33">
        <f>IFERROR(__xludf.DUMMYFUNCTION("""COMPUTED_VALUE"""),0.3333333333333333)</f>
        <v>0.3333333333</v>
      </c>
      <c r="S2834" s="4" t="str">
        <f>IFERROR(__xludf.DUMMYFUNCTION("""COMPUTED_VALUE"""),"null")</f>
        <v>null</v>
      </c>
      <c r="T2834" s="33">
        <f>IFERROR(__xludf.DUMMYFUNCTION("""COMPUTED_VALUE"""),0.3333333333333333)</f>
        <v>0.3333333333</v>
      </c>
      <c r="U2834" s="4" t="str">
        <f>IFERROR(__xludf.DUMMYFUNCTION("""COMPUTED_VALUE"""),"null")</f>
        <v>null</v>
      </c>
      <c r="V2834" s="33">
        <f>IFERROR(__xludf.DUMMYFUNCTION("""COMPUTED_VALUE"""),0.3333333333333333)</f>
        <v>0.3333333333</v>
      </c>
      <c r="W2834" s="4" t="str">
        <f>IFERROR(__xludf.DUMMYFUNCTION("""COMPUTED_VALUE"""),"null")</f>
        <v>null</v>
      </c>
      <c r="X2834" s="33">
        <f>IFERROR(__xludf.DUMMYFUNCTION("""COMPUTED_VALUE"""),0.3333333333333333)</f>
        <v>0.3333333333</v>
      </c>
    </row>
    <row r="2835">
      <c r="K2835" s="4" t="str">
        <f>IFERROR(__xludf.DUMMYFUNCTION("""COMPUTED_VALUE"""),"DIVINO PASTEL")</f>
        <v>DIVINO PASTEL</v>
      </c>
      <c r="L2835" s="32">
        <f>IFERROR(__xludf.DUMMYFUNCTION("""COMPUTED_VALUE"""),3.0)</f>
        <v>3</v>
      </c>
      <c r="M2835" s="4" t="str">
        <f>IFERROR(__xludf.DUMMYFUNCTION("""COMPUTED_VALUE"""),"Saipos Serviços De Software")</f>
        <v>Saipos Serviços De Software</v>
      </c>
      <c r="N2835" s="33">
        <f>IFERROR(__xludf.DUMMYFUNCTION("""COMPUTED_VALUE"""),0.3333333333333333)</f>
        <v>0.3333333333</v>
      </c>
      <c r="O2835" s="4" t="str">
        <f>IFERROR(__xludf.DUMMYFUNCTION("""COMPUTED_VALUE"""),"null")</f>
        <v>null</v>
      </c>
      <c r="P2835" s="33">
        <f>IFERROR(__xludf.DUMMYFUNCTION("""COMPUTED_VALUE"""),0.6666666666666666)</f>
        <v>0.6666666667</v>
      </c>
      <c r="Q2835" s="4" t="str">
        <f>IFERROR(__xludf.DUMMYFUNCTION("""COMPUTED_VALUE"""),"null")</f>
        <v>null</v>
      </c>
      <c r="R2835" s="33">
        <f>IFERROR(__xludf.DUMMYFUNCTION("""COMPUTED_VALUE"""),0.6666666666666666)</f>
        <v>0.6666666667</v>
      </c>
      <c r="S2835" s="4" t="str">
        <f>IFERROR(__xludf.DUMMYFUNCTION("""COMPUTED_VALUE"""),"null")</f>
        <v>null</v>
      </c>
      <c r="T2835" s="33">
        <f>IFERROR(__xludf.DUMMYFUNCTION("""COMPUTED_VALUE"""),0.3333333333333333)</f>
        <v>0.3333333333</v>
      </c>
      <c r="U2835" s="4" t="str">
        <f>IFERROR(__xludf.DUMMYFUNCTION("""COMPUTED_VALUE"""),"null")</f>
        <v>null</v>
      </c>
      <c r="V2835" s="33">
        <f>IFERROR(__xludf.DUMMYFUNCTION("""COMPUTED_VALUE"""),0.3333333333333333)</f>
        <v>0.3333333333</v>
      </c>
      <c r="W2835" s="4" t="str">
        <f>IFERROR(__xludf.DUMMYFUNCTION("""COMPUTED_VALUE"""),"null")</f>
        <v>null</v>
      </c>
      <c r="X2835" s="33">
        <f>IFERROR(__xludf.DUMMYFUNCTION("""COMPUTED_VALUE"""),0.3333333333333333)</f>
        <v>0.3333333333</v>
      </c>
    </row>
    <row r="2836">
      <c r="K2836" s="4" t="str">
        <f>IFERROR(__xludf.DUMMYFUNCTION("""COMPUTED_VALUE"""),"LOVE BURGUER")</f>
        <v>LOVE BURGUER</v>
      </c>
      <c r="L2836" s="32">
        <f>IFERROR(__xludf.DUMMYFUNCTION("""COMPUTED_VALUE"""),3.0)</f>
        <v>3</v>
      </c>
      <c r="M2836" s="4" t="str">
        <f>IFERROR(__xludf.DUMMYFUNCTION("""COMPUTED_VALUE"""),"Anota Ai Solucoes Digitais S/a")</f>
        <v>Anota Ai Solucoes Digitais S/a</v>
      </c>
      <c r="N2836" s="33">
        <f>IFERROR(__xludf.DUMMYFUNCTION("""COMPUTED_VALUE"""),0.3333333333333333)</f>
        <v>0.3333333333</v>
      </c>
      <c r="O2836" s="4" t="str">
        <f>IFERROR(__xludf.DUMMYFUNCTION("""COMPUTED_VALUE"""),"Anota Ai Solucoes Digitais S/a")</f>
        <v>Anota Ai Solucoes Digitais S/a</v>
      </c>
      <c r="P2836" s="33">
        <f>IFERROR(__xludf.DUMMYFUNCTION("""COMPUTED_VALUE"""),0.3333333333333333)</f>
        <v>0.3333333333</v>
      </c>
      <c r="Q2836" s="4" t="str">
        <f>IFERROR(__xludf.DUMMYFUNCTION("""COMPUTED_VALUE"""),"Saipos Serviços De Software")</f>
        <v>Saipos Serviços De Software</v>
      </c>
      <c r="R2836" s="33">
        <f>IFERROR(__xludf.DUMMYFUNCTION("""COMPUTED_VALUE"""),0.6666666666666666)</f>
        <v>0.6666666667</v>
      </c>
      <c r="S2836" s="4" t="str">
        <f>IFERROR(__xludf.DUMMYFUNCTION("""COMPUTED_VALUE"""),"Saipos Serviços De Software")</f>
        <v>Saipos Serviços De Software</v>
      </c>
      <c r="T2836" s="33">
        <f>IFERROR(__xludf.DUMMYFUNCTION("""COMPUTED_VALUE"""),0.6666666666666666)</f>
        <v>0.6666666667</v>
      </c>
      <c r="U2836" s="4" t="str">
        <f>IFERROR(__xludf.DUMMYFUNCTION("""COMPUTED_VALUE"""),"Saipos Serviços De Software")</f>
        <v>Saipos Serviços De Software</v>
      </c>
      <c r="V2836" s="33">
        <f>IFERROR(__xludf.DUMMYFUNCTION("""COMPUTED_VALUE"""),0.6666666666666666)</f>
        <v>0.6666666667</v>
      </c>
      <c r="W2836" s="4" t="str">
        <f>IFERROR(__xludf.DUMMYFUNCTION("""COMPUTED_VALUE"""),"Saipos Serviços De Software")</f>
        <v>Saipos Serviços De Software</v>
      </c>
      <c r="X2836" s="33">
        <f>IFERROR(__xludf.DUMMYFUNCTION("""COMPUTED_VALUE"""),0.6666666666666666)</f>
        <v>0.6666666667</v>
      </c>
    </row>
    <row r="2837">
      <c r="K2837" s="4" t="str">
        <f>IFERROR(__xludf.DUMMYFUNCTION("""COMPUTED_VALUE"""),"PONTO DA PICANHA")</f>
        <v>PONTO DA PICANHA</v>
      </c>
      <c r="L2837" s="32">
        <f>IFERROR(__xludf.DUMMYFUNCTION("""COMPUTED_VALUE"""),3.0)</f>
        <v>3</v>
      </c>
      <c r="M2837" s="4" t="str">
        <f>IFERROR(__xludf.DUMMYFUNCTION("""COMPUTED_VALUE"""),"Saipos Serviços De Software")</f>
        <v>Saipos Serviços De Software</v>
      </c>
      <c r="N2837" s="33">
        <f>IFERROR(__xludf.DUMMYFUNCTION("""COMPUTED_VALUE"""),0.3333333333333333)</f>
        <v>0.3333333333</v>
      </c>
      <c r="O2837" s="4" t="str">
        <f>IFERROR(__xludf.DUMMYFUNCTION("""COMPUTED_VALUE"""),"Saipos Serviços De Software")</f>
        <v>Saipos Serviços De Software</v>
      </c>
      <c r="P2837" s="33">
        <f>IFERROR(__xludf.DUMMYFUNCTION("""COMPUTED_VALUE"""),0.3333333333333333)</f>
        <v>0.3333333333</v>
      </c>
      <c r="Q2837" s="4" t="str">
        <f>IFERROR(__xludf.DUMMYFUNCTION("""COMPUTED_VALUE"""),"null")</f>
        <v>null</v>
      </c>
      <c r="R2837" s="33">
        <f>IFERROR(__xludf.DUMMYFUNCTION("""COMPUTED_VALUE"""),0.6666666666666666)</f>
        <v>0.6666666667</v>
      </c>
      <c r="S2837" s="4" t="str">
        <f>IFERROR(__xludf.DUMMYFUNCTION("""COMPUTED_VALUE"""),"null")</f>
        <v>null</v>
      </c>
      <c r="T2837" s="33">
        <f>IFERROR(__xludf.DUMMYFUNCTION("""COMPUTED_VALUE"""),0.6666666666666666)</f>
        <v>0.6666666667</v>
      </c>
      <c r="U2837" s="4" t="str">
        <f>IFERROR(__xludf.DUMMYFUNCTION("""COMPUTED_VALUE"""),"null")</f>
        <v>null</v>
      </c>
      <c r="V2837" s="33">
        <f>IFERROR(__xludf.DUMMYFUNCTION("""COMPUTED_VALUE"""),0.6666666666666666)</f>
        <v>0.6666666667</v>
      </c>
      <c r="W2837" s="4" t="str">
        <f>IFERROR(__xludf.DUMMYFUNCTION("""COMPUTED_VALUE"""),"null")</f>
        <v>null</v>
      </c>
      <c r="X2837" s="33">
        <f>IFERROR(__xludf.DUMMYFUNCTION("""COMPUTED_VALUE"""),0.3333333333333333)</f>
        <v>0.3333333333</v>
      </c>
    </row>
    <row r="2838">
      <c r="K2838" s="4" t="str">
        <f>IFERROR(__xludf.DUMMYFUNCTION("""COMPUTED_VALUE"""),"PET FOOD")</f>
        <v>PET FOOD</v>
      </c>
      <c r="L2838" s="32">
        <f>IFERROR(__xludf.DUMMYFUNCTION("""COMPUTED_VALUE"""),3.0)</f>
        <v>3</v>
      </c>
      <c r="M2838" s="4" t="str">
        <f>IFERROR(__xludf.DUMMYFUNCTION("""COMPUTED_VALUE"""),"null")</f>
        <v>null</v>
      </c>
      <c r="N2838" s="33">
        <f>IFERROR(__xludf.DUMMYFUNCTION("""COMPUTED_VALUE"""),0.6666666666666666)</f>
        <v>0.6666666667</v>
      </c>
      <c r="O2838" s="4" t="str">
        <f>IFERROR(__xludf.DUMMYFUNCTION("""COMPUTED_VALUE"""),"null")</f>
        <v>null</v>
      </c>
      <c r="P2838" s="33">
        <f>IFERROR(__xludf.DUMMYFUNCTION("""COMPUTED_VALUE"""),0.6666666666666666)</f>
        <v>0.6666666667</v>
      </c>
      <c r="Q2838" s="4" t="str">
        <f>IFERROR(__xludf.DUMMYFUNCTION("""COMPUTED_VALUE"""),"null")</f>
        <v>null</v>
      </c>
      <c r="R2838" s="33">
        <f>IFERROR(__xludf.DUMMYFUNCTION("""COMPUTED_VALUE"""),0.6666666666666666)</f>
        <v>0.6666666667</v>
      </c>
      <c r="S2838" s="4" t="str">
        <f>IFERROR(__xludf.DUMMYFUNCTION("""COMPUTED_VALUE"""),"null")</f>
        <v>null</v>
      </c>
      <c r="T2838" s="33">
        <f>IFERROR(__xludf.DUMMYFUNCTION("""COMPUTED_VALUE"""),0.6666666666666666)</f>
        <v>0.6666666667</v>
      </c>
      <c r="U2838" s="4" t="str">
        <f>IFERROR(__xludf.DUMMYFUNCTION("""COMPUTED_VALUE"""),"N/A (Not found)")</f>
        <v>N/A (Not found)</v>
      </c>
      <c r="V2838" s="33">
        <f>IFERROR(__xludf.DUMMYFUNCTION("""COMPUTED_VALUE"""),0.6666666666666666)</f>
        <v>0.6666666667</v>
      </c>
      <c r="W2838" s="4" t="str">
        <f>IFERROR(__xludf.DUMMYFUNCTION("""COMPUTED_VALUE"""),"N/A (Not found)")</f>
        <v>N/A (Not found)</v>
      </c>
      <c r="X2838" s="33">
        <f>IFERROR(__xludf.DUMMYFUNCTION("""COMPUTED_VALUE"""),1.0)</f>
        <v>1</v>
      </c>
    </row>
    <row r="2839">
      <c r="K2839" s="4" t="str">
        <f>IFERROR(__xludf.DUMMYFUNCTION("""COMPUTED_VALUE"""),"TOPS LANCHES")</f>
        <v>TOPS LANCHES</v>
      </c>
      <c r="L2839" s="32">
        <f>IFERROR(__xludf.DUMMYFUNCTION("""COMPUTED_VALUE"""),3.0)</f>
        <v>3</v>
      </c>
      <c r="M2839" s="4" t="str">
        <f>IFERROR(__xludf.DUMMYFUNCTION("""COMPUTED_VALUE"""),"Brendi")</f>
        <v>Brendi</v>
      </c>
      <c r="N2839" s="33">
        <f>IFERROR(__xludf.DUMMYFUNCTION("""COMPUTED_VALUE"""),0.3333333333333333)</f>
        <v>0.3333333333</v>
      </c>
      <c r="O2839" s="4" t="str">
        <f>IFERROR(__xludf.DUMMYFUNCTION("""COMPUTED_VALUE"""),"null")</f>
        <v>null</v>
      </c>
      <c r="P2839" s="33">
        <f>IFERROR(__xludf.DUMMYFUNCTION("""COMPUTED_VALUE"""),0.6666666666666666)</f>
        <v>0.6666666667</v>
      </c>
      <c r="Q2839" s="4" t="str">
        <f>IFERROR(__xludf.DUMMYFUNCTION("""COMPUTED_VALUE"""),"null")</f>
        <v>null</v>
      </c>
      <c r="R2839" s="33">
        <f>IFERROR(__xludf.DUMMYFUNCTION("""COMPUTED_VALUE"""),0.3333333333333333)</f>
        <v>0.3333333333</v>
      </c>
      <c r="S2839" s="4" t="str">
        <f>IFERROR(__xludf.DUMMYFUNCTION("""COMPUTED_VALUE"""),"null")</f>
        <v>null</v>
      </c>
      <c r="T2839" s="33">
        <f>IFERROR(__xludf.DUMMYFUNCTION("""COMPUTED_VALUE"""),0.3333333333333333)</f>
        <v>0.3333333333</v>
      </c>
      <c r="U2839" s="4" t="str">
        <f>IFERROR(__xludf.DUMMYFUNCTION("""COMPUTED_VALUE"""),"null")</f>
        <v>null</v>
      </c>
      <c r="V2839" s="33">
        <f>IFERROR(__xludf.DUMMYFUNCTION("""COMPUTED_VALUE"""),0.3333333333333333)</f>
        <v>0.3333333333</v>
      </c>
      <c r="W2839" s="4" t="str">
        <f>IFERROR(__xludf.DUMMYFUNCTION("""COMPUTED_VALUE"""),"null")</f>
        <v>null</v>
      </c>
      <c r="X2839" s="33">
        <f>IFERROR(__xludf.DUMMYFUNCTION("""COMPUTED_VALUE"""),0.6666666666666666)</f>
        <v>0.6666666667</v>
      </c>
    </row>
    <row r="2840">
      <c r="K2840" s="4" t="str">
        <f>IFERROR(__xludf.DUMMYFUNCTION("""COMPUTED_VALUE"""),"POUPAMED")</f>
        <v>POUPAMED</v>
      </c>
      <c r="L2840" s="32">
        <f>IFERROR(__xludf.DUMMYFUNCTION("""COMPUTED_VALUE"""),3.0)</f>
        <v>3</v>
      </c>
      <c r="M2840" s="4" t="str">
        <f>IFERROR(__xludf.DUMMYFUNCTION("""COMPUTED_VALUE"""),"null")</f>
        <v>null</v>
      </c>
      <c r="N2840" s="33">
        <f>IFERROR(__xludf.DUMMYFUNCTION("""COMPUTED_VALUE"""),1.0)</f>
        <v>1</v>
      </c>
      <c r="O2840" s="4" t="str">
        <f>IFERROR(__xludf.DUMMYFUNCTION("""COMPUTED_VALUE"""),"null")</f>
        <v>null</v>
      </c>
      <c r="P2840" s="33">
        <f>IFERROR(__xludf.DUMMYFUNCTION("""COMPUTED_VALUE"""),1.0)</f>
        <v>1</v>
      </c>
      <c r="Q2840" s="4" t="str">
        <f>IFERROR(__xludf.DUMMYFUNCTION("""COMPUTED_VALUE"""),"null")</f>
        <v>null</v>
      </c>
      <c r="R2840" s="33">
        <f>IFERROR(__xludf.DUMMYFUNCTION("""COMPUTED_VALUE"""),1.0)</f>
        <v>1</v>
      </c>
      <c r="S2840" s="4" t="str">
        <f>IFERROR(__xludf.DUMMYFUNCTION("""COMPUTED_VALUE"""),"null")</f>
        <v>null</v>
      </c>
      <c r="T2840" s="33">
        <f>IFERROR(__xludf.DUMMYFUNCTION("""COMPUTED_VALUE"""),0.6666666666666666)</f>
        <v>0.6666666667</v>
      </c>
      <c r="U2840" s="4" t="str">
        <f>IFERROR(__xludf.DUMMYFUNCTION("""COMPUTED_VALUE"""),"N/A (Not found)")</f>
        <v>N/A (Not found)</v>
      </c>
      <c r="V2840" s="33">
        <f>IFERROR(__xludf.DUMMYFUNCTION("""COMPUTED_VALUE"""),1.0)</f>
        <v>1</v>
      </c>
      <c r="W2840" s="4" t="str">
        <f>IFERROR(__xludf.DUMMYFUNCTION("""COMPUTED_VALUE"""),"N/A (Not found)")</f>
        <v>N/A (Not found)</v>
      </c>
      <c r="X2840" s="33">
        <f>IFERROR(__xludf.DUMMYFUNCTION("""COMPUTED_VALUE"""),1.0)</f>
        <v>1</v>
      </c>
    </row>
    <row r="2841">
      <c r="K2841" s="4" t="str">
        <f>IFERROR(__xludf.DUMMYFUNCTION("""COMPUTED_VALUE"""),"MANOS LANCHES E PORCOES")</f>
        <v>MANOS LANCHES E PORCOES</v>
      </c>
      <c r="L2841" s="32">
        <f>IFERROR(__xludf.DUMMYFUNCTION("""COMPUTED_VALUE"""),3.0)</f>
        <v>3</v>
      </c>
      <c r="M2841" s="4" t="str">
        <f>IFERROR(__xludf.DUMMYFUNCTION("""COMPUTED_VALUE"""),"Saipos Serviços De Software")</f>
        <v>Saipos Serviços De Software</v>
      </c>
      <c r="N2841" s="33">
        <f>IFERROR(__xludf.DUMMYFUNCTION("""COMPUTED_VALUE"""),0.6666666666666666)</f>
        <v>0.6666666667</v>
      </c>
      <c r="O2841" s="4" t="str">
        <f>IFERROR(__xludf.DUMMYFUNCTION("""COMPUTED_VALUE"""),"Saipos Serviços De Software")</f>
        <v>Saipos Serviços De Software</v>
      </c>
      <c r="P2841" s="33">
        <f>IFERROR(__xludf.DUMMYFUNCTION("""COMPUTED_VALUE"""),0.6666666666666666)</f>
        <v>0.6666666667</v>
      </c>
      <c r="Q2841" s="4" t="str">
        <f>IFERROR(__xludf.DUMMYFUNCTION("""COMPUTED_VALUE"""),"null")</f>
        <v>null</v>
      </c>
      <c r="R2841" s="33">
        <f>IFERROR(__xludf.DUMMYFUNCTION("""COMPUTED_VALUE"""),1.0)</f>
        <v>1</v>
      </c>
      <c r="S2841" s="4" t="str">
        <f>IFERROR(__xludf.DUMMYFUNCTION("""COMPUTED_VALUE"""),"null")</f>
        <v>null</v>
      </c>
      <c r="T2841" s="33">
        <f>IFERROR(__xludf.DUMMYFUNCTION("""COMPUTED_VALUE"""),0.6666666666666666)</f>
        <v>0.6666666667</v>
      </c>
      <c r="U2841" s="4" t="str">
        <f>IFERROR(__xludf.DUMMYFUNCTION("""COMPUTED_VALUE"""),"null")</f>
        <v>null</v>
      </c>
      <c r="V2841" s="33">
        <f>IFERROR(__xludf.DUMMYFUNCTION("""COMPUTED_VALUE"""),0.6666666666666666)</f>
        <v>0.6666666667</v>
      </c>
      <c r="W2841" s="4" t="str">
        <f>IFERROR(__xludf.DUMMYFUNCTION("""COMPUTED_VALUE"""),"null")</f>
        <v>null</v>
      </c>
      <c r="X2841" s="33">
        <f>IFERROR(__xludf.DUMMYFUNCTION("""COMPUTED_VALUE"""),0.6666666666666666)</f>
        <v>0.6666666667</v>
      </c>
    </row>
    <row r="2842">
      <c r="K2842" s="4" t="str">
        <f>IFERROR(__xludf.DUMMYFUNCTION("""COMPUTED_VALUE"""),"KI PIZZA")</f>
        <v>KI PIZZA</v>
      </c>
      <c r="L2842" s="32">
        <f>IFERROR(__xludf.DUMMYFUNCTION("""COMPUTED_VALUE"""),3.0)</f>
        <v>3</v>
      </c>
      <c r="M2842" s="4" t="str">
        <f>IFERROR(__xludf.DUMMYFUNCTION("""COMPUTED_VALUE"""),"null")</f>
        <v>null</v>
      </c>
      <c r="N2842" s="33">
        <f>IFERROR(__xludf.DUMMYFUNCTION("""COMPUTED_VALUE"""),0.3333333333333333)</f>
        <v>0.3333333333</v>
      </c>
      <c r="O2842" s="4" t="str">
        <f>IFERROR(__xludf.DUMMYFUNCTION("""COMPUTED_VALUE"""),"null")</f>
        <v>null</v>
      </c>
      <c r="P2842" s="33">
        <f>IFERROR(__xludf.DUMMYFUNCTION("""COMPUTED_VALUE"""),0.3333333333333333)</f>
        <v>0.3333333333</v>
      </c>
      <c r="Q2842" s="4" t="str">
        <f>IFERROR(__xludf.DUMMYFUNCTION("""COMPUTED_VALUE"""),"null")</f>
        <v>null</v>
      </c>
      <c r="R2842" s="33">
        <f>IFERROR(__xludf.DUMMYFUNCTION("""COMPUTED_VALUE"""),0.3333333333333333)</f>
        <v>0.3333333333</v>
      </c>
      <c r="S2842" s="4" t="str">
        <f>IFERROR(__xludf.DUMMYFUNCTION("""COMPUTED_VALUE"""),"null")</f>
        <v>null</v>
      </c>
      <c r="T2842" s="33">
        <f>IFERROR(__xludf.DUMMYFUNCTION("""COMPUTED_VALUE"""),0.3333333333333333)</f>
        <v>0.3333333333</v>
      </c>
      <c r="U2842" s="4" t="str">
        <f>IFERROR(__xludf.DUMMYFUNCTION("""COMPUTED_VALUE"""),"Expresso Delivery")</f>
        <v>Expresso Delivery</v>
      </c>
      <c r="V2842" s="33">
        <f>IFERROR(__xludf.DUMMYFUNCTION("""COMPUTED_VALUE"""),0.3333333333333333)</f>
        <v>0.3333333333</v>
      </c>
      <c r="W2842" s="4" t="str">
        <f>IFERROR(__xludf.DUMMYFUNCTION("""COMPUTED_VALUE"""),"Expresso Delivery")</f>
        <v>Expresso Delivery</v>
      </c>
      <c r="X2842" s="33">
        <f>IFERROR(__xludf.DUMMYFUNCTION("""COMPUTED_VALUE"""),0.3333333333333333)</f>
        <v>0.3333333333</v>
      </c>
    </row>
    <row r="2843">
      <c r="K2843" s="4" t="str">
        <f>IFERROR(__xludf.DUMMYFUNCTION("""COMPUTED_VALUE"""),"XBURGUINHO")</f>
        <v>XBURGUINHO</v>
      </c>
      <c r="L2843" s="32">
        <f>IFERROR(__xludf.DUMMYFUNCTION("""COMPUTED_VALUE"""),3.0)</f>
        <v>3</v>
      </c>
      <c r="M2843" s="4" t="str">
        <f>IFERROR(__xludf.DUMMYFUNCTION("""COMPUTED_VALUE"""),"Consumer Soluções Em Tecnologia Ltda")</f>
        <v>Consumer Soluções Em Tecnologia Ltda</v>
      </c>
      <c r="N2843" s="33">
        <f>IFERROR(__xludf.DUMMYFUNCTION("""COMPUTED_VALUE"""),1.0)</f>
        <v>1</v>
      </c>
      <c r="O2843" s="4" t="str">
        <f>IFERROR(__xludf.DUMMYFUNCTION("""COMPUTED_VALUE"""),"Consumer Soluções Em Tecnologia Ltda")</f>
        <v>Consumer Soluções Em Tecnologia Ltda</v>
      </c>
      <c r="P2843" s="33">
        <f>IFERROR(__xludf.DUMMYFUNCTION("""COMPUTED_VALUE"""),0.6666666666666666)</f>
        <v>0.6666666667</v>
      </c>
      <c r="Q2843" s="4" t="str">
        <f>IFERROR(__xludf.DUMMYFUNCTION("""COMPUTED_VALUE"""),"Consumer Soluções Em Tecnologia Ltda")</f>
        <v>Consumer Soluções Em Tecnologia Ltda</v>
      </c>
      <c r="R2843" s="33">
        <f>IFERROR(__xludf.DUMMYFUNCTION("""COMPUTED_VALUE"""),1.0)</f>
        <v>1</v>
      </c>
      <c r="S2843" s="4" t="str">
        <f>IFERROR(__xludf.DUMMYFUNCTION("""COMPUTED_VALUE"""),"Consumer Soluções Em Tecnologia Ltda")</f>
        <v>Consumer Soluções Em Tecnologia Ltda</v>
      </c>
      <c r="T2843" s="33">
        <f>IFERROR(__xludf.DUMMYFUNCTION("""COMPUTED_VALUE"""),0.6666666666666666)</f>
        <v>0.6666666667</v>
      </c>
      <c r="U2843" s="4" t="str">
        <f>IFERROR(__xludf.DUMMYFUNCTION("""COMPUTED_VALUE"""),"Consumer Soluções Em Tecnologia Ltda")</f>
        <v>Consumer Soluções Em Tecnologia Ltda</v>
      </c>
      <c r="V2843" s="33">
        <f>IFERROR(__xludf.DUMMYFUNCTION("""COMPUTED_VALUE"""),0.6666666666666666)</f>
        <v>0.6666666667</v>
      </c>
      <c r="W2843" s="4" t="str">
        <f>IFERROR(__xludf.DUMMYFUNCTION("""COMPUTED_VALUE"""),"Consumer Soluções Em Tecnologia Ltda")</f>
        <v>Consumer Soluções Em Tecnologia Ltda</v>
      </c>
      <c r="X2843" s="33">
        <f>IFERROR(__xludf.DUMMYFUNCTION("""COMPUTED_VALUE"""),1.0)</f>
        <v>1</v>
      </c>
    </row>
    <row r="2844">
      <c r="K2844" s="4" t="str">
        <f>IFERROR(__xludf.DUMMYFUNCTION("""COMPUTED_VALUE"""),"CEU NA BOCA DOCES SALGADOS")</f>
        <v>CEU NA BOCA DOCES SALGADOS</v>
      </c>
      <c r="L2844" s="32">
        <f>IFERROR(__xludf.DUMMYFUNCTION("""COMPUTED_VALUE"""),3.0)</f>
        <v>3</v>
      </c>
      <c r="M2844" s="4" t="str">
        <f>IFERROR(__xludf.DUMMYFUNCTION("""COMPUTED_VALUE"""),"Consumer Soluções Em Tecnologia Ltda")</f>
        <v>Consumer Soluções Em Tecnologia Ltda</v>
      </c>
      <c r="N2844" s="33">
        <f>IFERROR(__xludf.DUMMYFUNCTION("""COMPUTED_VALUE"""),1.0)</f>
        <v>1</v>
      </c>
      <c r="O2844" s="4" t="str">
        <f>IFERROR(__xludf.DUMMYFUNCTION("""COMPUTED_VALUE"""),"Consumer Soluções Em Tecnologia Ltda")</f>
        <v>Consumer Soluções Em Tecnologia Ltda</v>
      </c>
      <c r="P2844" s="33">
        <f>IFERROR(__xludf.DUMMYFUNCTION("""COMPUTED_VALUE"""),1.0)</f>
        <v>1</v>
      </c>
      <c r="Q2844" s="4" t="str">
        <f>IFERROR(__xludf.DUMMYFUNCTION("""COMPUTED_VALUE"""),"Consumer Soluções Em Tecnologia Ltda")</f>
        <v>Consumer Soluções Em Tecnologia Ltda</v>
      </c>
      <c r="R2844" s="33">
        <f>IFERROR(__xludf.DUMMYFUNCTION("""COMPUTED_VALUE"""),1.0)</f>
        <v>1</v>
      </c>
      <c r="S2844" s="4" t="str">
        <f>IFERROR(__xludf.DUMMYFUNCTION("""COMPUTED_VALUE"""),"Consumer Soluções Em Tecnologia Ltda")</f>
        <v>Consumer Soluções Em Tecnologia Ltda</v>
      </c>
      <c r="T2844" s="33">
        <f>IFERROR(__xludf.DUMMYFUNCTION("""COMPUTED_VALUE"""),1.0)</f>
        <v>1</v>
      </c>
      <c r="U2844" s="4" t="str">
        <f>IFERROR(__xludf.DUMMYFUNCTION("""COMPUTED_VALUE"""),"Consumer Soluções Em Tecnologia Ltda")</f>
        <v>Consumer Soluções Em Tecnologia Ltda</v>
      </c>
      <c r="V2844" s="33">
        <f>IFERROR(__xludf.DUMMYFUNCTION("""COMPUTED_VALUE"""),1.0)</f>
        <v>1</v>
      </c>
      <c r="W2844" s="4" t="str">
        <f>IFERROR(__xludf.DUMMYFUNCTION("""COMPUTED_VALUE"""),"Consumer Soluções Em Tecnologia Ltda")</f>
        <v>Consumer Soluções Em Tecnologia Ltda</v>
      </c>
      <c r="X2844" s="33">
        <f>IFERROR(__xludf.DUMMYFUNCTION("""COMPUTED_VALUE"""),1.0)</f>
        <v>1</v>
      </c>
    </row>
    <row r="2845">
      <c r="K2845" s="4" t="str">
        <f>IFERROR(__xludf.DUMMYFUNCTION("""COMPUTED_VALUE"""),"MACARRAO NO POTE")</f>
        <v>MACARRAO NO POTE</v>
      </c>
      <c r="L2845" s="32">
        <f>IFERROR(__xludf.DUMMYFUNCTION("""COMPUTED_VALUE"""),3.0)</f>
        <v>3</v>
      </c>
      <c r="M2845" s="4" t="str">
        <f>IFERROR(__xludf.DUMMYFUNCTION("""COMPUTED_VALUE"""),"Beefood - Sistema Para Restaurantes")</f>
        <v>Beefood - Sistema Para Restaurantes</v>
      </c>
      <c r="N2845" s="33">
        <f>IFERROR(__xludf.DUMMYFUNCTION("""COMPUTED_VALUE"""),0.3333333333333333)</f>
        <v>0.3333333333</v>
      </c>
      <c r="O2845" s="4" t="str">
        <f>IFERROR(__xludf.DUMMYFUNCTION("""COMPUTED_VALUE"""),"null")</f>
        <v>null</v>
      </c>
      <c r="P2845" s="33">
        <f>IFERROR(__xludf.DUMMYFUNCTION("""COMPUTED_VALUE"""),0.6666666666666666)</f>
        <v>0.6666666667</v>
      </c>
      <c r="Q2845" s="4" t="str">
        <f>IFERROR(__xludf.DUMMYFUNCTION("""COMPUTED_VALUE"""),"null")</f>
        <v>null</v>
      </c>
      <c r="R2845" s="33">
        <f>IFERROR(__xludf.DUMMYFUNCTION("""COMPUTED_VALUE"""),0.6666666666666666)</f>
        <v>0.6666666667</v>
      </c>
      <c r="S2845" s="4" t="str">
        <f>IFERROR(__xludf.DUMMYFUNCTION("""COMPUTED_VALUE"""),"null")</f>
        <v>null</v>
      </c>
      <c r="T2845" s="33">
        <f>IFERROR(__xludf.DUMMYFUNCTION("""COMPUTED_VALUE"""),0.6666666666666666)</f>
        <v>0.6666666667</v>
      </c>
      <c r="U2845" s="4" t="str">
        <f>IFERROR(__xludf.DUMMYFUNCTION("""COMPUTED_VALUE"""),"Beefood - Sistema Para Restaurantes")</f>
        <v>Beefood - Sistema Para Restaurantes</v>
      </c>
      <c r="V2845" s="33">
        <f>IFERROR(__xludf.DUMMYFUNCTION("""COMPUTED_VALUE"""),0.3333333333333333)</f>
        <v>0.3333333333</v>
      </c>
      <c r="W2845" s="4" t="str">
        <f>IFERROR(__xludf.DUMMYFUNCTION("""COMPUTED_VALUE"""),"Beefood - Sistema Para Restaurantes")</f>
        <v>Beefood - Sistema Para Restaurantes</v>
      </c>
      <c r="X2845" s="33">
        <f>IFERROR(__xludf.DUMMYFUNCTION("""COMPUTED_VALUE"""),0.3333333333333333)</f>
        <v>0.3333333333</v>
      </c>
    </row>
    <row r="2846">
      <c r="K2846" s="4" t="str">
        <f>IFERROR(__xludf.DUMMYFUNCTION("""COMPUTED_VALUE"""),"BURGUER MANIA")</f>
        <v>BURGUER MANIA</v>
      </c>
      <c r="L2846" s="32">
        <f>IFERROR(__xludf.DUMMYFUNCTION("""COMPUTED_VALUE"""),3.0)</f>
        <v>3</v>
      </c>
      <c r="M2846" s="4" t="str">
        <f>IFERROR(__xludf.DUMMYFUNCTION("""COMPUTED_VALUE"""),"Softsa Sistemas De Informação Ltda")</f>
        <v>Softsa Sistemas De Informação Ltda</v>
      </c>
      <c r="N2846" s="33">
        <f>IFERROR(__xludf.DUMMYFUNCTION("""COMPUTED_VALUE"""),0.3333333333333333)</f>
        <v>0.3333333333</v>
      </c>
      <c r="O2846" s="4" t="str">
        <f>IFERROR(__xludf.DUMMYFUNCTION("""COMPUTED_VALUE"""),"Softsa Sistemas De Informação Ltda")</f>
        <v>Softsa Sistemas De Informação Ltda</v>
      </c>
      <c r="P2846" s="33">
        <f>IFERROR(__xludf.DUMMYFUNCTION("""COMPUTED_VALUE"""),0.3333333333333333)</f>
        <v>0.3333333333</v>
      </c>
      <c r="Q2846" s="4" t="str">
        <f>IFERROR(__xludf.DUMMYFUNCTION("""COMPUTED_VALUE"""),"Softsa Sistemas De Informação Ltda")</f>
        <v>Softsa Sistemas De Informação Ltda</v>
      </c>
      <c r="R2846" s="33">
        <f>IFERROR(__xludf.DUMMYFUNCTION("""COMPUTED_VALUE"""),0.3333333333333333)</f>
        <v>0.3333333333</v>
      </c>
      <c r="S2846" s="4" t="str">
        <f>IFERROR(__xludf.DUMMYFUNCTION("""COMPUTED_VALUE"""),"Softsa Sistemas De Informação Ltda")</f>
        <v>Softsa Sistemas De Informação Ltda</v>
      </c>
      <c r="T2846" s="33">
        <f>IFERROR(__xludf.DUMMYFUNCTION("""COMPUTED_VALUE"""),0.3333333333333333)</f>
        <v>0.3333333333</v>
      </c>
      <c r="U2846" s="4" t="str">
        <f>IFERROR(__xludf.DUMMYFUNCTION("""COMPUTED_VALUE"""),"Cardápio Web")</f>
        <v>Cardápio Web</v>
      </c>
      <c r="V2846" s="33">
        <f>IFERROR(__xludf.DUMMYFUNCTION("""COMPUTED_VALUE"""),0.6666666666666666)</f>
        <v>0.6666666667</v>
      </c>
      <c r="W2846" s="4" t="str">
        <f>IFERROR(__xludf.DUMMYFUNCTION("""COMPUTED_VALUE"""),"Cardápio Web")</f>
        <v>Cardápio Web</v>
      </c>
      <c r="X2846" s="33">
        <f>IFERROR(__xludf.DUMMYFUNCTION("""COMPUTED_VALUE"""),0.6666666666666666)</f>
        <v>0.6666666667</v>
      </c>
    </row>
    <row r="2847">
      <c r="K2847" s="4" t="str">
        <f>IFERROR(__xludf.DUMMYFUNCTION("""COMPUTED_VALUE"""),"WILSON LANCHES")</f>
        <v>WILSON LANCHES</v>
      </c>
      <c r="L2847" s="32">
        <f>IFERROR(__xludf.DUMMYFUNCTION("""COMPUTED_VALUE"""),3.0)</f>
        <v>3</v>
      </c>
      <c r="M2847" s="4" t="str">
        <f>IFERROR(__xludf.DUMMYFUNCTION("""COMPUTED_VALUE"""),"Crm Ti Ltda.")</f>
        <v>Crm Ti Ltda.</v>
      </c>
      <c r="N2847" s="33">
        <f>IFERROR(__xludf.DUMMYFUNCTION("""COMPUTED_VALUE"""),0.3333333333333333)</f>
        <v>0.3333333333</v>
      </c>
      <c r="O2847" s="4" t="str">
        <f>IFERROR(__xludf.DUMMYFUNCTION("""COMPUTED_VALUE"""),"Crm Ti Ltda.")</f>
        <v>Crm Ti Ltda.</v>
      </c>
      <c r="P2847" s="33">
        <f>IFERROR(__xludf.DUMMYFUNCTION("""COMPUTED_VALUE"""),0.3333333333333333)</f>
        <v>0.3333333333</v>
      </c>
      <c r="Q2847" s="4" t="str">
        <f>IFERROR(__xludf.DUMMYFUNCTION("""COMPUTED_VALUE"""),"Crm Ti Ltda.")</f>
        <v>Crm Ti Ltda.</v>
      </c>
      <c r="R2847" s="33">
        <f>IFERROR(__xludf.DUMMYFUNCTION("""COMPUTED_VALUE"""),0.3333333333333333)</f>
        <v>0.3333333333</v>
      </c>
      <c r="S2847" s="4" t="str">
        <f>IFERROR(__xludf.DUMMYFUNCTION("""COMPUTED_VALUE"""),"Crm Ti Ltda.")</f>
        <v>Crm Ti Ltda.</v>
      </c>
      <c r="T2847" s="33">
        <f>IFERROR(__xludf.DUMMYFUNCTION("""COMPUTED_VALUE"""),0.3333333333333333)</f>
        <v>0.3333333333</v>
      </c>
      <c r="U2847" s="4" t="str">
        <f>IFERROR(__xludf.DUMMYFUNCTION("""COMPUTED_VALUE"""),"Crm Ti Ltda.")</f>
        <v>Crm Ti Ltda.</v>
      </c>
      <c r="V2847" s="33">
        <f>IFERROR(__xludf.DUMMYFUNCTION("""COMPUTED_VALUE"""),0.3333333333333333)</f>
        <v>0.3333333333</v>
      </c>
      <c r="W2847" s="4" t="str">
        <f>IFERROR(__xludf.DUMMYFUNCTION("""COMPUTED_VALUE"""),"null")</f>
        <v>null</v>
      </c>
      <c r="X2847" s="33">
        <f>IFERROR(__xludf.DUMMYFUNCTION("""COMPUTED_VALUE"""),0.6666666666666666)</f>
        <v>0.6666666667</v>
      </c>
    </row>
    <row r="2848">
      <c r="K2848" s="4" t="str">
        <f>IFERROR(__xludf.DUMMYFUNCTION("""COMPUTED_VALUE"""),"SAIKO SUSHI")</f>
        <v>SAIKO SUSHI</v>
      </c>
      <c r="L2848" s="32">
        <f>IFERROR(__xludf.DUMMYFUNCTION("""COMPUTED_VALUE"""),3.0)</f>
        <v>3</v>
      </c>
      <c r="M2848" s="4" t="str">
        <f>IFERROR(__xludf.DUMMYFUNCTION("""COMPUTED_VALUE"""),"Saipos Serviços De Software")</f>
        <v>Saipos Serviços De Software</v>
      </c>
      <c r="N2848" s="33">
        <f>IFERROR(__xludf.DUMMYFUNCTION("""COMPUTED_VALUE"""),0.6666666666666666)</f>
        <v>0.6666666667</v>
      </c>
      <c r="O2848" s="4" t="str">
        <f>IFERROR(__xludf.DUMMYFUNCTION("""COMPUTED_VALUE"""),"Saipos Serviços De Software")</f>
        <v>Saipos Serviços De Software</v>
      </c>
      <c r="P2848" s="33">
        <f>IFERROR(__xludf.DUMMYFUNCTION("""COMPUTED_VALUE"""),0.6666666666666666)</f>
        <v>0.6666666667</v>
      </c>
      <c r="Q2848" s="4" t="str">
        <f>IFERROR(__xludf.DUMMYFUNCTION("""COMPUTED_VALUE"""),"Saipos Serviços De Software")</f>
        <v>Saipos Serviços De Software</v>
      </c>
      <c r="R2848" s="33">
        <f>IFERROR(__xludf.DUMMYFUNCTION("""COMPUTED_VALUE"""),0.6666666666666666)</f>
        <v>0.6666666667</v>
      </c>
      <c r="S2848" s="4" t="str">
        <f>IFERROR(__xludf.DUMMYFUNCTION("""COMPUTED_VALUE"""),"Saipos Serviços De Software")</f>
        <v>Saipos Serviços De Software</v>
      </c>
      <c r="T2848" s="33">
        <f>IFERROR(__xludf.DUMMYFUNCTION("""COMPUTED_VALUE"""),0.6666666666666666)</f>
        <v>0.6666666667</v>
      </c>
      <c r="U2848" s="4" t="str">
        <f>IFERROR(__xludf.DUMMYFUNCTION("""COMPUTED_VALUE"""),"Saipos Serviços De Software")</f>
        <v>Saipos Serviços De Software</v>
      </c>
      <c r="V2848" s="33">
        <f>IFERROR(__xludf.DUMMYFUNCTION("""COMPUTED_VALUE"""),0.6666666666666666)</f>
        <v>0.6666666667</v>
      </c>
      <c r="W2848" s="4" t="str">
        <f>IFERROR(__xludf.DUMMYFUNCTION("""COMPUTED_VALUE"""),"Saipos Serviços De Software")</f>
        <v>Saipos Serviços De Software</v>
      </c>
      <c r="X2848" s="33">
        <f>IFERROR(__xludf.DUMMYFUNCTION("""COMPUTED_VALUE"""),0.6666666666666666)</f>
        <v>0.6666666667</v>
      </c>
    </row>
    <row r="2849">
      <c r="K2849" s="4" t="str">
        <f>IFERROR(__xludf.DUMMYFUNCTION("""COMPUTED_VALUE"""),"ROTA DO SABOR")</f>
        <v>ROTA DO SABOR</v>
      </c>
      <c r="L2849" s="32">
        <f>IFERROR(__xludf.DUMMYFUNCTION("""COMPUTED_VALUE"""),3.0)</f>
        <v>3</v>
      </c>
      <c r="M2849" s="4" t="str">
        <f>IFERROR(__xludf.DUMMYFUNCTION("""COMPUTED_VALUE"""),"null")</f>
        <v>null</v>
      </c>
      <c r="N2849" s="33">
        <f>IFERROR(__xludf.DUMMYFUNCTION("""COMPUTED_VALUE"""),0.6666666666666666)</f>
        <v>0.6666666667</v>
      </c>
      <c r="O2849" s="4" t="str">
        <f>IFERROR(__xludf.DUMMYFUNCTION("""COMPUTED_VALUE"""),"Anota Ai Solucoes Digitais S/a")</f>
        <v>Anota Ai Solucoes Digitais S/a</v>
      </c>
      <c r="P2849" s="33">
        <f>IFERROR(__xludf.DUMMYFUNCTION("""COMPUTED_VALUE"""),0.3333333333333333)</f>
        <v>0.3333333333</v>
      </c>
      <c r="Q2849" s="4" t="str">
        <f>IFERROR(__xludf.DUMMYFUNCTION("""COMPUTED_VALUE"""),"null")</f>
        <v>null</v>
      </c>
      <c r="R2849" s="33">
        <f>IFERROR(__xludf.DUMMYFUNCTION("""COMPUTED_VALUE"""),1.0)</f>
        <v>1</v>
      </c>
      <c r="S2849" s="4" t="str">
        <f>IFERROR(__xludf.DUMMYFUNCTION("""COMPUTED_VALUE"""),"null")</f>
        <v>null</v>
      </c>
      <c r="T2849" s="33">
        <f>IFERROR(__xludf.DUMMYFUNCTION("""COMPUTED_VALUE"""),1.0)</f>
        <v>1</v>
      </c>
      <c r="U2849" s="4" t="str">
        <f>IFERROR(__xludf.DUMMYFUNCTION("""COMPUTED_VALUE"""),"null")</f>
        <v>null</v>
      </c>
      <c r="V2849" s="33">
        <f>IFERROR(__xludf.DUMMYFUNCTION("""COMPUTED_VALUE"""),1.0)</f>
        <v>1</v>
      </c>
      <c r="W2849" s="4" t="str">
        <f>IFERROR(__xludf.DUMMYFUNCTION("""COMPUTED_VALUE"""),"Anota Ai Solucoes Digitais S/a")</f>
        <v>Anota Ai Solucoes Digitais S/a</v>
      </c>
      <c r="X2849" s="33">
        <f>IFERROR(__xludf.DUMMYFUNCTION("""COMPUTED_VALUE"""),0.3333333333333333)</f>
        <v>0.3333333333</v>
      </c>
    </row>
    <row r="2850">
      <c r="K2850" s="4" t="str">
        <f>IFERROR(__xludf.DUMMYFUNCTION("""COMPUTED_VALUE"""),"CANTINHO DA TAPIOCA")</f>
        <v>CANTINHO DA TAPIOCA</v>
      </c>
      <c r="L2850" s="32">
        <f>IFERROR(__xludf.DUMMYFUNCTION("""COMPUTED_VALUE"""),3.0)</f>
        <v>3</v>
      </c>
      <c r="M2850" s="4" t="str">
        <f>IFERROR(__xludf.DUMMYFUNCTION("""COMPUTED_VALUE"""),"null")</f>
        <v>null</v>
      </c>
      <c r="N2850" s="33">
        <f>IFERROR(__xludf.DUMMYFUNCTION("""COMPUTED_VALUE"""),0.3333333333333333)</f>
        <v>0.3333333333</v>
      </c>
      <c r="O2850" s="4" t="str">
        <f>IFERROR(__xludf.DUMMYFUNCTION("""COMPUTED_VALUE"""),"null")</f>
        <v>null</v>
      </c>
      <c r="P2850" s="33">
        <f>IFERROR(__xludf.DUMMYFUNCTION("""COMPUTED_VALUE"""),0.3333333333333333)</f>
        <v>0.3333333333</v>
      </c>
      <c r="Q2850" s="4" t="str">
        <f>IFERROR(__xludf.DUMMYFUNCTION("""COMPUTED_VALUE"""),"Instadelivery")</f>
        <v>Instadelivery</v>
      </c>
      <c r="R2850" s="33">
        <f>IFERROR(__xludf.DUMMYFUNCTION("""COMPUTED_VALUE"""),0.3333333333333333)</f>
        <v>0.3333333333</v>
      </c>
      <c r="S2850" s="4" t="str">
        <f>IFERROR(__xludf.DUMMYFUNCTION("""COMPUTED_VALUE"""),"null")</f>
        <v>null</v>
      </c>
      <c r="T2850" s="33">
        <f>IFERROR(__xludf.DUMMYFUNCTION("""COMPUTED_VALUE"""),0.3333333333333333)</f>
        <v>0.3333333333</v>
      </c>
      <c r="U2850" s="4" t="str">
        <f>IFERROR(__xludf.DUMMYFUNCTION("""COMPUTED_VALUE"""),"null")</f>
        <v>null</v>
      </c>
      <c r="V2850" s="33">
        <f>IFERROR(__xludf.DUMMYFUNCTION("""COMPUTED_VALUE"""),0.3333333333333333)</f>
        <v>0.3333333333</v>
      </c>
      <c r="W2850" s="4" t="str">
        <f>IFERROR(__xludf.DUMMYFUNCTION("""COMPUTED_VALUE"""),"null")</f>
        <v>null</v>
      </c>
      <c r="X2850" s="33">
        <f>IFERROR(__xludf.DUMMYFUNCTION("""COMPUTED_VALUE"""),0.3333333333333333)</f>
        <v>0.3333333333</v>
      </c>
    </row>
    <row r="2851">
      <c r="K2851" s="4" t="str">
        <f>IFERROR(__xludf.DUMMYFUNCTION("""COMPUTED_VALUE"""),"DROGARIA AMERICA")</f>
        <v>DROGARIA AMERICA</v>
      </c>
      <c r="L2851" s="32">
        <f>IFERROR(__xludf.DUMMYFUNCTION("""COMPUTED_VALUE"""),3.0)</f>
        <v>3</v>
      </c>
      <c r="M2851" s="4" t="str">
        <f>IFERROR(__xludf.DUMMYFUNCTION("""COMPUTED_VALUE"""),"null")</f>
        <v>null</v>
      </c>
      <c r="N2851" s="33">
        <f>IFERROR(__xludf.DUMMYFUNCTION("""COMPUTED_VALUE"""),0.6666666666666666)</f>
        <v>0.6666666667</v>
      </c>
      <c r="O2851" s="4" t="str">
        <f>IFERROR(__xludf.DUMMYFUNCTION("""COMPUTED_VALUE"""),"null")</f>
        <v>null</v>
      </c>
      <c r="P2851" s="33">
        <f>IFERROR(__xludf.DUMMYFUNCTION("""COMPUTED_VALUE"""),0.6666666666666666)</f>
        <v>0.6666666667</v>
      </c>
      <c r="Q2851" s="4" t="str">
        <f>IFERROR(__xludf.DUMMYFUNCTION("""COMPUTED_VALUE"""),"null")</f>
        <v>null</v>
      </c>
      <c r="R2851" s="33">
        <f>IFERROR(__xludf.DUMMYFUNCTION("""COMPUTED_VALUE"""),0.6666666666666666)</f>
        <v>0.6666666667</v>
      </c>
      <c r="S2851" s="4" t="str">
        <f>IFERROR(__xludf.DUMMYFUNCTION("""COMPUTED_VALUE"""),"N/A (Not found)")</f>
        <v>N/A (Not found)</v>
      </c>
      <c r="T2851" s="33">
        <f>IFERROR(__xludf.DUMMYFUNCTION("""COMPUTED_VALUE"""),0.6666666666666666)</f>
        <v>0.6666666667</v>
      </c>
      <c r="U2851" s="4" t="str">
        <f>IFERROR(__xludf.DUMMYFUNCTION("""COMPUTED_VALUE"""),"N/A (Not found)")</f>
        <v>N/A (Not found)</v>
      </c>
      <c r="V2851" s="33">
        <f>IFERROR(__xludf.DUMMYFUNCTION("""COMPUTED_VALUE"""),1.0)</f>
        <v>1</v>
      </c>
      <c r="W2851" s="4" t="str">
        <f>IFERROR(__xludf.DUMMYFUNCTION("""COMPUTED_VALUE"""),"null")</f>
        <v>null</v>
      </c>
      <c r="X2851" s="33">
        <f>IFERROR(__xludf.DUMMYFUNCTION("""COMPUTED_VALUE"""),0.6666666666666666)</f>
        <v>0.6666666667</v>
      </c>
    </row>
    <row r="2852">
      <c r="K2852" s="4" t="str">
        <f>IFERROR(__xludf.DUMMYFUNCTION("""COMPUTED_VALUE"""),"HEAVEN BURGER")</f>
        <v>HEAVEN BURGER</v>
      </c>
      <c r="L2852" s="32">
        <f>IFERROR(__xludf.DUMMYFUNCTION("""COMPUTED_VALUE"""),3.0)</f>
        <v>3</v>
      </c>
      <c r="M2852" s="4" t="str">
        <f>IFERROR(__xludf.DUMMYFUNCTION("""COMPUTED_VALUE"""),"null")</f>
        <v>null</v>
      </c>
      <c r="N2852" s="33">
        <f>IFERROR(__xludf.DUMMYFUNCTION("""COMPUTED_VALUE"""),0.6666666666666666)</f>
        <v>0.6666666667</v>
      </c>
      <c r="O2852" s="4" t="str">
        <f>IFERROR(__xludf.DUMMYFUNCTION("""COMPUTED_VALUE"""),"Anota Ai Solucoes Digitais S/a")</f>
        <v>Anota Ai Solucoes Digitais S/a</v>
      </c>
      <c r="P2852" s="33">
        <f>IFERROR(__xludf.DUMMYFUNCTION("""COMPUTED_VALUE"""),0.3333333333333333)</f>
        <v>0.3333333333</v>
      </c>
      <c r="Q2852" s="4" t="str">
        <f>IFERROR(__xludf.DUMMYFUNCTION("""COMPUTED_VALUE"""),"null")</f>
        <v>null</v>
      </c>
      <c r="R2852" s="33">
        <f>IFERROR(__xludf.DUMMYFUNCTION("""COMPUTED_VALUE"""),0.6666666666666666)</f>
        <v>0.6666666667</v>
      </c>
      <c r="S2852" s="4" t="str">
        <f>IFERROR(__xludf.DUMMYFUNCTION("""COMPUTED_VALUE"""),"Cardápio Web")</f>
        <v>Cardápio Web</v>
      </c>
      <c r="T2852" s="33">
        <f>IFERROR(__xludf.DUMMYFUNCTION("""COMPUTED_VALUE"""),0.3333333333333333)</f>
        <v>0.3333333333</v>
      </c>
      <c r="U2852" s="4" t="str">
        <f>IFERROR(__xludf.DUMMYFUNCTION("""COMPUTED_VALUE"""),"Cardápio Web")</f>
        <v>Cardápio Web</v>
      </c>
      <c r="V2852" s="33">
        <f>IFERROR(__xludf.DUMMYFUNCTION("""COMPUTED_VALUE"""),0.6666666666666666)</f>
        <v>0.6666666667</v>
      </c>
      <c r="W2852" s="4" t="str">
        <f>IFERROR(__xludf.DUMMYFUNCTION("""COMPUTED_VALUE"""),"null")</f>
        <v>null</v>
      </c>
      <c r="X2852" s="33">
        <f>IFERROR(__xludf.DUMMYFUNCTION("""COMPUTED_VALUE"""),0.3333333333333333)</f>
        <v>0.3333333333</v>
      </c>
    </row>
    <row r="2853">
      <c r="K2853" s="4" t="str">
        <f>IFERROR(__xludf.DUMMYFUNCTION("""COMPUTED_VALUE"""),"PAO DE QUEIJO MASTER")</f>
        <v>PAO DE QUEIJO MASTER</v>
      </c>
      <c r="L2853" s="32">
        <f>IFERROR(__xludf.DUMMYFUNCTION("""COMPUTED_VALUE"""),3.0)</f>
        <v>3</v>
      </c>
      <c r="M2853" s="4" t="str">
        <f>IFERROR(__xludf.DUMMYFUNCTION("""COMPUTED_VALUE"""),"Yooga")</f>
        <v>Yooga</v>
      </c>
      <c r="N2853" s="33">
        <f>IFERROR(__xludf.DUMMYFUNCTION("""COMPUTED_VALUE"""),0.3333333333333333)</f>
        <v>0.3333333333</v>
      </c>
      <c r="O2853" s="4" t="str">
        <f>IFERROR(__xludf.DUMMYFUNCTION("""COMPUTED_VALUE"""),"Yooga")</f>
        <v>Yooga</v>
      </c>
      <c r="P2853" s="33">
        <f>IFERROR(__xludf.DUMMYFUNCTION("""COMPUTED_VALUE"""),0.3333333333333333)</f>
        <v>0.3333333333</v>
      </c>
      <c r="Q2853" s="4" t="str">
        <f>IFERROR(__xludf.DUMMYFUNCTION("""COMPUTED_VALUE"""),"Yooga")</f>
        <v>Yooga</v>
      </c>
      <c r="R2853" s="33">
        <f>IFERROR(__xludf.DUMMYFUNCTION("""COMPUTED_VALUE"""),0.3333333333333333)</f>
        <v>0.3333333333</v>
      </c>
      <c r="S2853" s="4" t="str">
        <f>IFERROR(__xludf.DUMMYFUNCTION("""COMPUTED_VALUE"""),"Yooga")</f>
        <v>Yooga</v>
      </c>
      <c r="T2853" s="33">
        <f>IFERROR(__xludf.DUMMYFUNCTION("""COMPUTED_VALUE"""),0.3333333333333333)</f>
        <v>0.3333333333</v>
      </c>
      <c r="U2853" s="4" t="str">
        <f>IFERROR(__xludf.DUMMYFUNCTION("""COMPUTED_VALUE"""),"Kcms")</f>
        <v>Kcms</v>
      </c>
      <c r="V2853" s="33">
        <f>IFERROR(__xludf.DUMMYFUNCTION("""COMPUTED_VALUE"""),0.6666666666666666)</f>
        <v>0.6666666667</v>
      </c>
      <c r="W2853" s="4" t="str">
        <f>IFERROR(__xludf.DUMMYFUNCTION("""COMPUTED_VALUE"""),"Kcms")</f>
        <v>Kcms</v>
      </c>
      <c r="X2853" s="33">
        <f>IFERROR(__xludf.DUMMYFUNCTION("""COMPUTED_VALUE"""),0.6666666666666666)</f>
        <v>0.6666666667</v>
      </c>
    </row>
    <row r="2854">
      <c r="K2854" s="4" t="str">
        <f>IFERROR(__xludf.DUMMYFUNCTION("""COMPUTED_VALUE"""),"BLACK ACAI")</f>
        <v>BLACK ACAI</v>
      </c>
      <c r="L2854" s="32">
        <f>IFERROR(__xludf.DUMMYFUNCTION("""COMPUTED_VALUE"""),3.0)</f>
        <v>3</v>
      </c>
      <c r="M2854" s="4" t="str">
        <f>IFERROR(__xludf.DUMMYFUNCTION("""COMPUTED_VALUE"""),"Brendi")</f>
        <v>Brendi</v>
      </c>
      <c r="N2854" s="33">
        <f>IFERROR(__xludf.DUMMYFUNCTION("""COMPUTED_VALUE"""),0.3333333333333333)</f>
        <v>0.3333333333</v>
      </c>
      <c r="O2854" s="4" t="str">
        <f>IFERROR(__xludf.DUMMYFUNCTION("""COMPUTED_VALUE"""),"Brendi")</f>
        <v>Brendi</v>
      </c>
      <c r="P2854" s="33">
        <f>IFERROR(__xludf.DUMMYFUNCTION("""COMPUTED_VALUE"""),0.3333333333333333)</f>
        <v>0.3333333333</v>
      </c>
      <c r="Q2854" s="4" t="str">
        <f>IFERROR(__xludf.DUMMYFUNCTION("""COMPUTED_VALUE"""),"Brendi")</f>
        <v>Brendi</v>
      </c>
      <c r="R2854" s="33">
        <f>IFERROR(__xludf.DUMMYFUNCTION("""COMPUTED_VALUE"""),0.3333333333333333)</f>
        <v>0.3333333333</v>
      </c>
      <c r="S2854" s="4" t="str">
        <f>IFERROR(__xludf.DUMMYFUNCTION("""COMPUTED_VALUE"""),"Brendi")</f>
        <v>Brendi</v>
      </c>
      <c r="T2854" s="33">
        <f>IFERROR(__xludf.DUMMYFUNCTION("""COMPUTED_VALUE"""),0.3333333333333333)</f>
        <v>0.3333333333</v>
      </c>
      <c r="U2854" s="4" t="str">
        <f>IFERROR(__xludf.DUMMYFUNCTION("""COMPUTED_VALUE"""),"null")</f>
        <v>null</v>
      </c>
      <c r="V2854" s="33">
        <f>IFERROR(__xludf.DUMMYFUNCTION("""COMPUTED_VALUE"""),0.6666666666666666)</f>
        <v>0.6666666667</v>
      </c>
      <c r="W2854" s="4" t="str">
        <f>IFERROR(__xludf.DUMMYFUNCTION("""COMPUTED_VALUE"""),"Brendi")</f>
        <v>Brendi</v>
      </c>
      <c r="X2854" s="33">
        <f>IFERROR(__xludf.DUMMYFUNCTION("""COMPUTED_VALUE"""),0.3333333333333333)</f>
        <v>0.3333333333</v>
      </c>
    </row>
    <row r="2855">
      <c r="K2855" s="4" t="str">
        <f>IFERROR(__xludf.DUMMYFUNCTION("""COMPUTED_VALUE"""),"ACAI NO PONTO")</f>
        <v>ACAI NO PONTO</v>
      </c>
      <c r="L2855" s="32">
        <f>IFERROR(__xludf.DUMMYFUNCTION("""COMPUTED_VALUE"""),3.0)</f>
        <v>3</v>
      </c>
      <c r="M2855" s="4" t="str">
        <f>IFERROR(__xludf.DUMMYFUNCTION("""COMPUTED_VALUE"""),"Anota Ai Solucoes Digitais S/a")</f>
        <v>Anota Ai Solucoes Digitais S/a</v>
      </c>
      <c r="N2855" s="33">
        <f>IFERROR(__xludf.DUMMYFUNCTION("""COMPUTED_VALUE"""),0.3333333333333333)</f>
        <v>0.3333333333</v>
      </c>
      <c r="O2855" s="4" t="str">
        <f>IFERROR(__xludf.DUMMYFUNCTION("""COMPUTED_VALUE"""),"Anota Ai Solucoes Digitais S/a")</f>
        <v>Anota Ai Solucoes Digitais S/a</v>
      </c>
      <c r="P2855" s="33">
        <f>IFERROR(__xludf.DUMMYFUNCTION("""COMPUTED_VALUE"""),0.3333333333333333)</f>
        <v>0.3333333333</v>
      </c>
      <c r="Q2855" s="4" t="str">
        <f>IFERROR(__xludf.DUMMYFUNCTION("""COMPUTED_VALUE"""),"null")</f>
        <v>null</v>
      </c>
      <c r="R2855" s="33">
        <f>IFERROR(__xludf.DUMMYFUNCTION("""COMPUTED_VALUE"""),0.6666666666666666)</f>
        <v>0.6666666667</v>
      </c>
      <c r="S2855" s="4" t="str">
        <f>IFERROR(__xludf.DUMMYFUNCTION("""COMPUTED_VALUE"""),"null")</f>
        <v>null</v>
      </c>
      <c r="T2855" s="33">
        <f>IFERROR(__xludf.DUMMYFUNCTION("""COMPUTED_VALUE"""),0.6666666666666666)</f>
        <v>0.6666666667</v>
      </c>
      <c r="U2855" s="4" t="str">
        <f>IFERROR(__xludf.DUMMYFUNCTION("""COMPUTED_VALUE"""),"null")</f>
        <v>null</v>
      </c>
      <c r="V2855" s="33">
        <f>IFERROR(__xludf.DUMMYFUNCTION("""COMPUTED_VALUE"""),0.3333333333333333)</f>
        <v>0.3333333333</v>
      </c>
      <c r="W2855" s="4" t="str">
        <f>IFERROR(__xludf.DUMMYFUNCTION("""COMPUTED_VALUE"""),"null")</f>
        <v>null</v>
      </c>
      <c r="X2855" s="33">
        <f>IFERROR(__xludf.DUMMYFUNCTION("""COMPUTED_VALUE"""),0.3333333333333333)</f>
        <v>0.3333333333</v>
      </c>
    </row>
    <row r="2856">
      <c r="K2856" s="4" t="str">
        <f>IFERROR(__xludf.DUMMYFUNCTION("""COMPUTED_VALUE"""),"DOM PIZZA")</f>
        <v>DOM PIZZA</v>
      </c>
      <c r="L2856" s="32">
        <f>IFERROR(__xludf.DUMMYFUNCTION("""COMPUTED_VALUE"""),3.0)</f>
        <v>3</v>
      </c>
      <c r="M2856" s="4" t="str">
        <f>IFERROR(__xludf.DUMMYFUNCTION("""COMPUTED_VALUE"""),"Cardápio Web")</f>
        <v>Cardápio Web</v>
      </c>
      <c r="N2856" s="33">
        <f>IFERROR(__xludf.DUMMYFUNCTION("""COMPUTED_VALUE"""),0.6666666666666666)</f>
        <v>0.6666666667</v>
      </c>
      <c r="O2856" s="4" t="str">
        <f>IFERROR(__xludf.DUMMYFUNCTION("""COMPUTED_VALUE"""),"Cardápio Web")</f>
        <v>Cardápio Web</v>
      </c>
      <c r="P2856" s="33">
        <f>IFERROR(__xludf.DUMMYFUNCTION("""COMPUTED_VALUE"""),0.6666666666666666)</f>
        <v>0.6666666667</v>
      </c>
      <c r="Q2856" s="4" t="str">
        <f>IFERROR(__xludf.DUMMYFUNCTION("""COMPUTED_VALUE"""),"Cardápio Web")</f>
        <v>Cardápio Web</v>
      </c>
      <c r="R2856" s="33">
        <f>IFERROR(__xludf.DUMMYFUNCTION("""COMPUTED_VALUE"""),0.6666666666666666)</f>
        <v>0.6666666667</v>
      </c>
      <c r="S2856" s="4" t="str">
        <f>IFERROR(__xludf.DUMMYFUNCTION("""COMPUTED_VALUE"""),"Cardápio Web")</f>
        <v>Cardápio Web</v>
      </c>
      <c r="T2856" s="33">
        <f>IFERROR(__xludf.DUMMYFUNCTION("""COMPUTED_VALUE"""),0.6666666666666666)</f>
        <v>0.6666666667</v>
      </c>
      <c r="U2856" s="4" t="str">
        <f>IFERROR(__xludf.DUMMYFUNCTION("""COMPUTED_VALUE"""),"Cardápio Web")</f>
        <v>Cardápio Web</v>
      </c>
      <c r="V2856" s="33">
        <f>IFERROR(__xludf.DUMMYFUNCTION("""COMPUTED_VALUE"""),0.6666666666666666)</f>
        <v>0.6666666667</v>
      </c>
      <c r="W2856" s="4" t="str">
        <f>IFERROR(__xludf.DUMMYFUNCTION("""COMPUTED_VALUE"""),"null")</f>
        <v>null</v>
      </c>
      <c r="X2856" s="33">
        <f>IFERROR(__xludf.DUMMYFUNCTION("""COMPUTED_VALUE"""),0.3333333333333333)</f>
        <v>0.3333333333</v>
      </c>
    </row>
    <row r="2857">
      <c r="K2857" s="4" t="str">
        <f>IFERROR(__xludf.DUMMYFUNCTION("""COMPUTED_VALUE"""),"HEROS BURGUER")</f>
        <v>HEROS BURGUER</v>
      </c>
      <c r="L2857" s="32">
        <f>IFERROR(__xludf.DUMMYFUNCTION("""COMPUTED_VALUE"""),3.0)</f>
        <v>3</v>
      </c>
      <c r="M2857" s="4" t="str">
        <f>IFERROR(__xludf.DUMMYFUNCTION("""COMPUTED_VALUE"""),"Instadelivery")</f>
        <v>Instadelivery</v>
      </c>
      <c r="N2857" s="33">
        <f>IFERROR(__xludf.DUMMYFUNCTION("""COMPUTED_VALUE"""),0.3333333333333333)</f>
        <v>0.3333333333</v>
      </c>
      <c r="O2857" s="4" t="str">
        <f>IFERROR(__xludf.DUMMYFUNCTION("""COMPUTED_VALUE"""),"Instadelivery")</f>
        <v>Instadelivery</v>
      </c>
      <c r="P2857" s="33">
        <f>IFERROR(__xludf.DUMMYFUNCTION("""COMPUTED_VALUE"""),0.3333333333333333)</f>
        <v>0.3333333333</v>
      </c>
      <c r="Q2857" s="4" t="str">
        <f>IFERROR(__xludf.DUMMYFUNCTION("""COMPUTED_VALUE"""),"Instadelivery")</f>
        <v>Instadelivery</v>
      </c>
      <c r="R2857" s="33">
        <f>IFERROR(__xludf.DUMMYFUNCTION("""COMPUTED_VALUE"""),0.3333333333333333)</f>
        <v>0.3333333333</v>
      </c>
      <c r="S2857" s="4" t="str">
        <f>IFERROR(__xludf.DUMMYFUNCTION("""COMPUTED_VALUE"""),"Instadelivery")</f>
        <v>Instadelivery</v>
      </c>
      <c r="T2857" s="33">
        <f>IFERROR(__xludf.DUMMYFUNCTION("""COMPUTED_VALUE"""),0.3333333333333333)</f>
        <v>0.3333333333</v>
      </c>
      <c r="U2857" s="4" t="str">
        <f>IFERROR(__xludf.DUMMYFUNCTION("""COMPUTED_VALUE"""),"Instadelivery")</f>
        <v>Instadelivery</v>
      </c>
      <c r="V2857" s="33">
        <f>IFERROR(__xludf.DUMMYFUNCTION("""COMPUTED_VALUE"""),0.3333333333333333)</f>
        <v>0.3333333333</v>
      </c>
      <c r="W2857" s="4" t="str">
        <f>IFERROR(__xludf.DUMMYFUNCTION("""COMPUTED_VALUE"""),"Instadelivery")</f>
        <v>Instadelivery</v>
      </c>
      <c r="X2857" s="33">
        <f>IFERROR(__xludf.DUMMYFUNCTION("""COMPUTED_VALUE"""),0.3333333333333333)</f>
        <v>0.3333333333</v>
      </c>
    </row>
    <row r="2858">
      <c r="K2858" s="4" t="str">
        <f>IFERROR(__xludf.DUMMYFUNCTION("""COMPUTED_VALUE"""),"SKINA HAMBURGUERIA")</f>
        <v>SKINA HAMBURGUERIA</v>
      </c>
      <c r="L2858" s="32">
        <f>IFERROR(__xludf.DUMMYFUNCTION("""COMPUTED_VALUE"""),3.0)</f>
        <v>3</v>
      </c>
      <c r="M2858" s="4" t="str">
        <f>IFERROR(__xludf.DUMMYFUNCTION("""COMPUTED_VALUE"""),"Saipos Serviços De Software")</f>
        <v>Saipos Serviços De Software</v>
      </c>
      <c r="N2858" s="33">
        <f>IFERROR(__xludf.DUMMYFUNCTION("""COMPUTED_VALUE"""),1.0)</f>
        <v>1</v>
      </c>
      <c r="O2858" s="4" t="str">
        <f>IFERROR(__xludf.DUMMYFUNCTION("""COMPUTED_VALUE"""),"Saipos Serviços De Software")</f>
        <v>Saipos Serviços De Software</v>
      </c>
      <c r="P2858" s="33">
        <f>IFERROR(__xludf.DUMMYFUNCTION("""COMPUTED_VALUE"""),1.0)</f>
        <v>1</v>
      </c>
      <c r="Q2858" s="4" t="str">
        <f>IFERROR(__xludf.DUMMYFUNCTION("""COMPUTED_VALUE"""),"Saipos Serviços De Software")</f>
        <v>Saipos Serviços De Software</v>
      </c>
      <c r="R2858" s="33">
        <f>IFERROR(__xludf.DUMMYFUNCTION("""COMPUTED_VALUE"""),1.0)</f>
        <v>1</v>
      </c>
      <c r="S2858" s="4" t="str">
        <f>IFERROR(__xludf.DUMMYFUNCTION("""COMPUTED_VALUE"""),"Saipos Serviços De Software")</f>
        <v>Saipos Serviços De Software</v>
      </c>
      <c r="T2858" s="33">
        <f>IFERROR(__xludf.DUMMYFUNCTION("""COMPUTED_VALUE"""),1.0)</f>
        <v>1</v>
      </c>
      <c r="U2858" s="4" t="str">
        <f>IFERROR(__xludf.DUMMYFUNCTION("""COMPUTED_VALUE"""),"Saipos Serviços De Software")</f>
        <v>Saipos Serviços De Software</v>
      </c>
      <c r="V2858" s="33">
        <f>IFERROR(__xludf.DUMMYFUNCTION("""COMPUTED_VALUE"""),1.0)</f>
        <v>1</v>
      </c>
      <c r="W2858" s="4" t="str">
        <f>IFERROR(__xludf.DUMMYFUNCTION("""COMPUTED_VALUE"""),"Saipos Serviços De Software")</f>
        <v>Saipos Serviços De Software</v>
      </c>
      <c r="X2858" s="33">
        <f>IFERROR(__xludf.DUMMYFUNCTION("""COMPUTED_VALUE"""),1.0)</f>
        <v>1</v>
      </c>
    </row>
    <row r="2859">
      <c r="K2859" s="4" t="str">
        <f>IFERROR(__xludf.DUMMYFUNCTION("""COMPUTED_VALUE"""),"SANTOS BURGUER")</f>
        <v>SANTOS BURGUER</v>
      </c>
      <c r="L2859" s="32">
        <f>IFERROR(__xludf.DUMMYFUNCTION("""COMPUTED_VALUE"""),3.0)</f>
        <v>3</v>
      </c>
      <c r="M2859" s="4" t="str">
        <f>IFERROR(__xludf.DUMMYFUNCTION("""COMPUTED_VALUE"""),"Brendi")</f>
        <v>Brendi</v>
      </c>
      <c r="N2859" s="33">
        <f>IFERROR(__xludf.DUMMYFUNCTION("""COMPUTED_VALUE"""),0.3333333333333333)</f>
        <v>0.3333333333</v>
      </c>
      <c r="O2859" s="4" t="str">
        <f>IFERROR(__xludf.DUMMYFUNCTION("""COMPUTED_VALUE"""),"Brendi")</f>
        <v>Brendi</v>
      </c>
      <c r="P2859" s="33">
        <f>IFERROR(__xludf.DUMMYFUNCTION("""COMPUTED_VALUE"""),0.3333333333333333)</f>
        <v>0.3333333333</v>
      </c>
      <c r="Q2859" s="4" t="str">
        <f>IFERROR(__xludf.DUMMYFUNCTION("""COMPUTED_VALUE"""),"Brendi")</f>
        <v>Brendi</v>
      </c>
      <c r="R2859" s="33">
        <f>IFERROR(__xludf.DUMMYFUNCTION("""COMPUTED_VALUE"""),0.3333333333333333)</f>
        <v>0.3333333333</v>
      </c>
      <c r="S2859" s="4" t="str">
        <f>IFERROR(__xludf.DUMMYFUNCTION("""COMPUTED_VALUE"""),"Brendi")</f>
        <v>Brendi</v>
      </c>
      <c r="T2859" s="33">
        <f>IFERROR(__xludf.DUMMYFUNCTION("""COMPUTED_VALUE"""),0.3333333333333333)</f>
        <v>0.3333333333</v>
      </c>
      <c r="U2859" s="4" t="str">
        <f>IFERROR(__xludf.DUMMYFUNCTION("""COMPUTED_VALUE"""),"Instadelivery")</f>
        <v>Instadelivery</v>
      </c>
      <c r="V2859" s="33">
        <f>IFERROR(__xludf.DUMMYFUNCTION("""COMPUTED_VALUE"""),0.6666666666666666)</f>
        <v>0.6666666667</v>
      </c>
      <c r="W2859" s="4" t="str">
        <f>IFERROR(__xludf.DUMMYFUNCTION("""COMPUTED_VALUE"""),"Instadelivery")</f>
        <v>Instadelivery</v>
      </c>
      <c r="X2859" s="33">
        <f>IFERROR(__xludf.DUMMYFUNCTION("""COMPUTED_VALUE"""),0.6666666666666666)</f>
        <v>0.6666666667</v>
      </c>
    </row>
    <row r="2860">
      <c r="K2860" s="4" t="str">
        <f>IFERROR(__xludf.DUMMYFUNCTION("""COMPUTED_VALUE"""),"ARMAZEM CENTRAL")</f>
        <v>ARMAZEM CENTRAL</v>
      </c>
      <c r="L2860" s="32">
        <f>IFERROR(__xludf.DUMMYFUNCTION("""COMPUTED_VALUE"""),3.0)</f>
        <v>3</v>
      </c>
      <c r="M2860" s="4" t="str">
        <f>IFERROR(__xludf.DUMMYFUNCTION("""COMPUTED_VALUE"""),"Yooga")</f>
        <v>Yooga</v>
      </c>
      <c r="N2860" s="33">
        <f>IFERROR(__xludf.DUMMYFUNCTION("""COMPUTED_VALUE"""),0.3333333333333333)</f>
        <v>0.3333333333</v>
      </c>
      <c r="O2860" s="4" t="str">
        <f>IFERROR(__xludf.DUMMYFUNCTION("""COMPUTED_VALUE"""),"Yooga")</f>
        <v>Yooga</v>
      </c>
      <c r="P2860" s="33">
        <f>IFERROR(__xludf.DUMMYFUNCTION("""COMPUTED_VALUE"""),0.3333333333333333)</f>
        <v>0.3333333333</v>
      </c>
      <c r="Q2860" s="4" t="str">
        <f>IFERROR(__xludf.DUMMYFUNCTION("""COMPUTED_VALUE"""),"Yooga")</f>
        <v>Yooga</v>
      </c>
      <c r="R2860" s="33">
        <f>IFERROR(__xludf.DUMMYFUNCTION("""COMPUTED_VALUE"""),0.3333333333333333)</f>
        <v>0.3333333333</v>
      </c>
      <c r="S2860" s="4" t="str">
        <f>IFERROR(__xludf.DUMMYFUNCTION("""COMPUTED_VALUE"""),"Yooga")</f>
        <v>Yooga</v>
      </c>
      <c r="T2860" s="33">
        <f>IFERROR(__xludf.DUMMYFUNCTION("""COMPUTED_VALUE"""),0.3333333333333333)</f>
        <v>0.3333333333</v>
      </c>
      <c r="U2860" s="4" t="str">
        <f>IFERROR(__xludf.DUMMYFUNCTION("""COMPUTED_VALUE"""),"Yooga")</f>
        <v>Yooga</v>
      </c>
      <c r="V2860" s="33">
        <f>IFERROR(__xludf.DUMMYFUNCTION("""COMPUTED_VALUE"""),0.3333333333333333)</f>
        <v>0.3333333333</v>
      </c>
      <c r="W2860" s="4" t="str">
        <f>IFERROR(__xludf.DUMMYFUNCTION("""COMPUTED_VALUE"""),"Yooga")</f>
        <v>Yooga</v>
      </c>
      <c r="X2860" s="33">
        <f>IFERROR(__xludf.DUMMYFUNCTION("""COMPUTED_VALUE"""),0.3333333333333333)</f>
        <v>0.3333333333</v>
      </c>
    </row>
    <row r="2861">
      <c r="K2861" s="4" t="str">
        <f>IFERROR(__xludf.DUMMYFUNCTION("""COMPUTED_VALUE"""),"REI DA ESFIHA")</f>
        <v>REI DA ESFIHA</v>
      </c>
      <c r="L2861" s="32">
        <f>IFERROR(__xludf.DUMMYFUNCTION("""COMPUTED_VALUE"""),3.0)</f>
        <v>3</v>
      </c>
      <c r="M2861" s="4" t="str">
        <f>IFERROR(__xludf.DUMMYFUNCTION("""COMPUTED_VALUE"""),"Agilizup Solucoes Ltda")</f>
        <v>Agilizup Solucoes Ltda</v>
      </c>
      <c r="N2861" s="33">
        <f>IFERROR(__xludf.DUMMYFUNCTION("""COMPUTED_VALUE"""),0.3333333333333333)</f>
        <v>0.3333333333</v>
      </c>
      <c r="O2861" s="4" t="str">
        <f>IFERROR(__xludf.DUMMYFUNCTION("""COMPUTED_VALUE"""),"Agilizup Solucoes Ltda")</f>
        <v>Agilizup Solucoes Ltda</v>
      </c>
      <c r="P2861" s="33">
        <f>IFERROR(__xludf.DUMMYFUNCTION("""COMPUTED_VALUE"""),0.3333333333333333)</f>
        <v>0.3333333333</v>
      </c>
      <c r="Q2861" s="4" t="str">
        <f>IFERROR(__xludf.DUMMYFUNCTION("""COMPUTED_VALUE"""),"Agilizup Solucoes Ltda")</f>
        <v>Agilizup Solucoes Ltda</v>
      </c>
      <c r="R2861" s="33">
        <f>IFERROR(__xludf.DUMMYFUNCTION("""COMPUTED_VALUE"""),0.3333333333333333)</f>
        <v>0.3333333333</v>
      </c>
      <c r="S2861" s="4" t="str">
        <f>IFERROR(__xludf.DUMMYFUNCTION("""COMPUTED_VALUE"""),"Agilizup Solucoes Ltda")</f>
        <v>Agilizup Solucoes Ltda</v>
      </c>
      <c r="T2861" s="33">
        <f>IFERROR(__xludf.DUMMYFUNCTION("""COMPUTED_VALUE"""),0.3333333333333333)</f>
        <v>0.3333333333</v>
      </c>
      <c r="U2861" s="4" t="str">
        <f>IFERROR(__xludf.DUMMYFUNCTION("""COMPUTED_VALUE"""),"Agilizup Solucoes Ltda")</f>
        <v>Agilizup Solucoes Ltda</v>
      </c>
      <c r="V2861" s="33">
        <f>IFERROR(__xludf.DUMMYFUNCTION("""COMPUTED_VALUE"""),0.3333333333333333)</f>
        <v>0.3333333333</v>
      </c>
      <c r="W2861" s="4" t="str">
        <f>IFERROR(__xludf.DUMMYFUNCTION("""COMPUTED_VALUE"""),"Agilizup Solucoes Ltda")</f>
        <v>Agilizup Solucoes Ltda</v>
      </c>
      <c r="X2861" s="33">
        <f>IFERROR(__xludf.DUMMYFUNCTION("""COMPUTED_VALUE"""),0.3333333333333333)</f>
        <v>0.3333333333</v>
      </c>
    </row>
    <row r="2862">
      <c r="K2862" s="4" t="str">
        <f>IFERROR(__xludf.DUMMYFUNCTION("""COMPUTED_VALUE"""),"SUPREME BURGUER")</f>
        <v>SUPREME BURGUER</v>
      </c>
      <c r="L2862" s="32">
        <f>IFERROR(__xludf.DUMMYFUNCTION("""COMPUTED_VALUE"""),3.0)</f>
        <v>3</v>
      </c>
      <c r="M2862" s="4" t="str">
        <f>IFERROR(__xludf.DUMMYFUNCTION("""COMPUTED_VALUE"""),"Consumer Soluções Em Tecnologia Ltda")</f>
        <v>Consumer Soluções Em Tecnologia Ltda</v>
      </c>
      <c r="N2862" s="33">
        <f>IFERROR(__xludf.DUMMYFUNCTION("""COMPUTED_VALUE"""),0.3333333333333333)</f>
        <v>0.3333333333</v>
      </c>
      <c r="O2862" s="4" t="str">
        <f>IFERROR(__xludf.DUMMYFUNCTION("""COMPUTED_VALUE"""),"null")</f>
        <v>null</v>
      </c>
      <c r="P2862" s="33">
        <f>IFERROR(__xludf.DUMMYFUNCTION("""COMPUTED_VALUE"""),0.6666666666666666)</f>
        <v>0.6666666667</v>
      </c>
      <c r="Q2862" s="4" t="str">
        <f>IFERROR(__xludf.DUMMYFUNCTION("""COMPUTED_VALUE"""),"Consumer Soluções Em Tecnologia Ltda")</f>
        <v>Consumer Soluções Em Tecnologia Ltda</v>
      </c>
      <c r="R2862" s="33">
        <f>IFERROR(__xludf.DUMMYFUNCTION("""COMPUTED_VALUE"""),0.3333333333333333)</f>
        <v>0.3333333333</v>
      </c>
      <c r="S2862" s="4" t="str">
        <f>IFERROR(__xludf.DUMMYFUNCTION("""COMPUTED_VALUE"""),"Consumer Soluções Em Tecnologia Ltda")</f>
        <v>Consumer Soluções Em Tecnologia Ltda</v>
      </c>
      <c r="T2862" s="33">
        <f>IFERROR(__xludf.DUMMYFUNCTION("""COMPUTED_VALUE"""),0.3333333333333333)</f>
        <v>0.3333333333</v>
      </c>
      <c r="U2862" s="4" t="str">
        <f>IFERROR(__xludf.DUMMYFUNCTION("""COMPUTED_VALUE"""),"null")</f>
        <v>null</v>
      </c>
      <c r="V2862" s="33">
        <f>IFERROR(__xludf.DUMMYFUNCTION("""COMPUTED_VALUE"""),0.6666666666666666)</f>
        <v>0.6666666667</v>
      </c>
      <c r="W2862" s="4" t="str">
        <f>IFERROR(__xludf.DUMMYFUNCTION("""COMPUTED_VALUE"""),"Consumer Soluções Em Tecnologia Ltda")</f>
        <v>Consumer Soluções Em Tecnologia Ltda</v>
      </c>
      <c r="X2862" s="33">
        <f>IFERROR(__xludf.DUMMYFUNCTION("""COMPUTED_VALUE"""),0.3333333333333333)</f>
        <v>0.3333333333</v>
      </c>
    </row>
    <row r="2863">
      <c r="K2863" s="4" t="str">
        <f>IFERROR(__xludf.DUMMYFUNCTION("""COMPUTED_VALUE"""),"TAKE SUSHI")</f>
        <v>TAKE SUSHI</v>
      </c>
      <c r="L2863" s="32">
        <f>IFERROR(__xludf.DUMMYFUNCTION("""COMPUTED_VALUE"""),3.0)</f>
        <v>3</v>
      </c>
      <c r="M2863" s="4" t="str">
        <f>IFERROR(__xludf.DUMMYFUNCTION("""COMPUTED_VALUE"""),"Anota Ai Solucoes Digitais S/a")</f>
        <v>Anota Ai Solucoes Digitais S/a</v>
      </c>
      <c r="N2863" s="33">
        <f>IFERROR(__xludf.DUMMYFUNCTION("""COMPUTED_VALUE"""),0.3333333333333333)</f>
        <v>0.3333333333</v>
      </c>
      <c r="O2863" s="4" t="str">
        <f>IFERROR(__xludf.DUMMYFUNCTION("""COMPUTED_VALUE"""),"null")</f>
        <v>null</v>
      </c>
      <c r="P2863" s="33">
        <f>IFERROR(__xludf.DUMMYFUNCTION("""COMPUTED_VALUE"""),0.6666666666666666)</f>
        <v>0.6666666667</v>
      </c>
      <c r="Q2863" s="4" t="str">
        <f>IFERROR(__xludf.DUMMYFUNCTION("""COMPUTED_VALUE"""),"Anota Ai Solucoes Digitais S/a")</f>
        <v>Anota Ai Solucoes Digitais S/a</v>
      </c>
      <c r="R2863" s="33">
        <f>IFERROR(__xludf.DUMMYFUNCTION("""COMPUTED_VALUE"""),0.3333333333333333)</f>
        <v>0.3333333333</v>
      </c>
      <c r="S2863" s="4" t="str">
        <f>IFERROR(__xludf.DUMMYFUNCTION("""COMPUTED_VALUE"""),"null")</f>
        <v>null</v>
      </c>
      <c r="T2863" s="33">
        <f>IFERROR(__xludf.DUMMYFUNCTION("""COMPUTED_VALUE"""),0.6666666666666666)</f>
        <v>0.6666666667</v>
      </c>
      <c r="U2863" s="4" t="str">
        <f>IFERROR(__xludf.DUMMYFUNCTION("""COMPUTED_VALUE"""),"null")</f>
        <v>null</v>
      </c>
      <c r="V2863" s="33">
        <f>IFERROR(__xludf.DUMMYFUNCTION("""COMPUTED_VALUE"""),0.6666666666666666)</f>
        <v>0.6666666667</v>
      </c>
      <c r="W2863" s="4" t="str">
        <f>IFERROR(__xludf.DUMMYFUNCTION("""COMPUTED_VALUE"""),"null")</f>
        <v>null</v>
      </c>
      <c r="X2863" s="33">
        <f>IFERROR(__xludf.DUMMYFUNCTION("""COMPUTED_VALUE"""),0.3333333333333333)</f>
        <v>0.3333333333</v>
      </c>
    </row>
    <row r="2864">
      <c r="K2864" s="4" t="str">
        <f>IFERROR(__xludf.DUMMYFUNCTION("""COMPUTED_VALUE"""),"BAR DO PEIXE")</f>
        <v>BAR DO PEIXE</v>
      </c>
      <c r="L2864" s="32">
        <f>IFERROR(__xludf.DUMMYFUNCTION("""COMPUTED_VALUE"""),3.0)</f>
        <v>3</v>
      </c>
      <c r="M2864" s="4" t="str">
        <f>IFERROR(__xludf.DUMMYFUNCTION("""COMPUTED_VALUE"""),"Whatsmenu Ltda")</f>
        <v>Whatsmenu Ltda</v>
      </c>
      <c r="N2864" s="33">
        <f>IFERROR(__xludf.DUMMYFUNCTION("""COMPUTED_VALUE"""),0.3333333333333333)</f>
        <v>0.3333333333</v>
      </c>
      <c r="O2864" s="4" t="str">
        <f>IFERROR(__xludf.DUMMYFUNCTION("""COMPUTED_VALUE"""),"Whatsmenu Ltda")</f>
        <v>Whatsmenu Ltda</v>
      </c>
      <c r="P2864" s="33">
        <f>IFERROR(__xludf.DUMMYFUNCTION("""COMPUTED_VALUE"""),0.3333333333333333)</f>
        <v>0.3333333333</v>
      </c>
      <c r="Q2864" s="4" t="str">
        <f>IFERROR(__xludf.DUMMYFUNCTION("""COMPUTED_VALUE"""),"Whatsmenu Ltda")</f>
        <v>Whatsmenu Ltda</v>
      </c>
      <c r="R2864" s="33">
        <f>IFERROR(__xludf.DUMMYFUNCTION("""COMPUTED_VALUE"""),0.3333333333333333)</f>
        <v>0.3333333333</v>
      </c>
      <c r="S2864" s="4" t="str">
        <f>IFERROR(__xludf.DUMMYFUNCTION("""COMPUTED_VALUE"""),"Whatsmenu Ltda")</f>
        <v>Whatsmenu Ltda</v>
      </c>
      <c r="T2864" s="33">
        <f>IFERROR(__xludf.DUMMYFUNCTION("""COMPUTED_VALUE"""),0.3333333333333333)</f>
        <v>0.3333333333</v>
      </c>
      <c r="U2864" s="4" t="str">
        <f>IFERROR(__xludf.DUMMYFUNCTION("""COMPUTED_VALUE"""),"null")</f>
        <v>null</v>
      </c>
      <c r="V2864" s="33">
        <f>IFERROR(__xludf.DUMMYFUNCTION("""COMPUTED_VALUE"""),0.3333333333333333)</f>
        <v>0.3333333333</v>
      </c>
      <c r="W2864" s="4" t="str">
        <f>IFERROR(__xludf.DUMMYFUNCTION("""COMPUTED_VALUE"""),"null")</f>
        <v>null</v>
      </c>
      <c r="X2864" s="33">
        <f>IFERROR(__xludf.DUMMYFUNCTION("""COMPUTED_VALUE"""),0.3333333333333333)</f>
        <v>0.3333333333</v>
      </c>
    </row>
    <row r="2865">
      <c r="K2865" s="4" t="str">
        <f>IFERROR(__xludf.DUMMYFUNCTION("""COMPUTED_VALUE"""),"ART BURGUER")</f>
        <v>ART BURGUER</v>
      </c>
      <c r="L2865" s="32">
        <f>IFERROR(__xludf.DUMMYFUNCTION("""COMPUTED_VALUE"""),3.0)</f>
        <v>3</v>
      </c>
      <c r="M2865" s="4" t="str">
        <f>IFERROR(__xludf.DUMMYFUNCTION("""COMPUTED_VALUE"""),"null")</f>
        <v>null</v>
      </c>
      <c r="N2865" s="33">
        <f>IFERROR(__xludf.DUMMYFUNCTION("""COMPUTED_VALUE"""),0.6666666666666666)</f>
        <v>0.6666666667</v>
      </c>
      <c r="O2865" s="4" t="str">
        <f>IFERROR(__xludf.DUMMYFUNCTION("""COMPUTED_VALUE"""),"null")</f>
        <v>null</v>
      </c>
      <c r="P2865" s="33">
        <f>IFERROR(__xludf.DUMMYFUNCTION("""COMPUTED_VALUE"""),0.6666666666666666)</f>
        <v>0.6666666667</v>
      </c>
      <c r="Q2865" s="4" t="str">
        <f>IFERROR(__xludf.DUMMYFUNCTION("""COMPUTED_VALUE"""),"null")</f>
        <v>null</v>
      </c>
      <c r="R2865" s="33">
        <f>IFERROR(__xludf.DUMMYFUNCTION("""COMPUTED_VALUE"""),0.3333333333333333)</f>
        <v>0.3333333333</v>
      </c>
      <c r="S2865" s="4" t="str">
        <f>IFERROR(__xludf.DUMMYFUNCTION("""COMPUTED_VALUE"""),"Olaclick")</f>
        <v>Olaclick</v>
      </c>
      <c r="T2865" s="33">
        <f>IFERROR(__xludf.DUMMYFUNCTION("""COMPUTED_VALUE"""),0.3333333333333333)</f>
        <v>0.3333333333</v>
      </c>
      <c r="U2865" s="4" t="str">
        <f>IFERROR(__xludf.DUMMYFUNCTION("""COMPUTED_VALUE"""),"null")</f>
        <v>null</v>
      </c>
      <c r="V2865" s="33">
        <f>IFERROR(__xludf.DUMMYFUNCTION("""COMPUTED_VALUE"""),0.3333333333333333)</f>
        <v>0.3333333333</v>
      </c>
      <c r="W2865" s="4" t="str">
        <f>IFERROR(__xludf.DUMMYFUNCTION("""COMPUTED_VALUE"""),"null")</f>
        <v>null</v>
      </c>
      <c r="X2865" s="33">
        <f>IFERROR(__xludf.DUMMYFUNCTION("""COMPUTED_VALUE"""),0.3333333333333333)</f>
        <v>0.3333333333</v>
      </c>
    </row>
    <row r="2866">
      <c r="K2866" s="4" t="str">
        <f>IFERROR(__xludf.DUMMYFUNCTION("""COMPUTED_VALUE"""),"VILLA BURGER")</f>
        <v>VILLA BURGER</v>
      </c>
      <c r="L2866" s="32">
        <f>IFERROR(__xludf.DUMMYFUNCTION("""COMPUTED_VALUE"""),3.0)</f>
        <v>3</v>
      </c>
      <c r="M2866" s="4" t="str">
        <f>IFERROR(__xludf.DUMMYFUNCTION("""COMPUTED_VALUE"""),"Instadelivery")</f>
        <v>Instadelivery</v>
      </c>
      <c r="N2866" s="33">
        <f>IFERROR(__xludf.DUMMYFUNCTION("""COMPUTED_VALUE"""),0.6666666666666666)</f>
        <v>0.6666666667</v>
      </c>
      <c r="O2866" s="4" t="str">
        <f>IFERROR(__xludf.DUMMYFUNCTION("""COMPUTED_VALUE"""),"Sagres Automação Comercial")</f>
        <v>Sagres Automação Comercial</v>
      </c>
      <c r="P2866" s="33">
        <f>IFERROR(__xludf.DUMMYFUNCTION("""COMPUTED_VALUE"""),0.3333333333333333)</f>
        <v>0.3333333333</v>
      </c>
      <c r="Q2866" s="4" t="str">
        <f>IFERROR(__xludf.DUMMYFUNCTION("""COMPUTED_VALUE"""),"null")</f>
        <v>null</v>
      </c>
      <c r="R2866" s="33">
        <f>IFERROR(__xludf.DUMMYFUNCTION("""COMPUTED_VALUE"""),0.6666666666666666)</f>
        <v>0.6666666667</v>
      </c>
      <c r="S2866" s="4" t="str">
        <f>IFERROR(__xludf.DUMMYFUNCTION("""COMPUTED_VALUE"""),"Instadelivery")</f>
        <v>Instadelivery</v>
      </c>
      <c r="T2866" s="33">
        <f>IFERROR(__xludf.DUMMYFUNCTION("""COMPUTED_VALUE"""),0.6666666666666666)</f>
        <v>0.6666666667</v>
      </c>
      <c r="U2866" s="4" t="str">
        <f>IFERROR(__xludf.DUMMYFUNCTION("""COMPUTED_VALUE"""),"null")</f>
        <v>null</v>
      </c>
      <c r="V2866" s="33">
        <f>IFERROR(__xludf.DUMMYFUNCTION("""COMPUTED_VALUE"""),0.3333333333333333)</f>
        <v>0.3333333333</v>
      </c>
      <c r="W2866" s="4" t="str">
        <f>IFERROR(__xludf.DUMMYFUNCTION("""COMPUTED_VALUE"""),"Instadelivery")</f>
        <v>Instadelivery</v>
      </c>
      <c r="X2866" s="33">
        <f>IFERROR(__xludf.DUMMYFUNCTION("""COMPUTED_VALUE"""),0.6666666666666666)</f>
        <v>0.6666666667</v>
      </c>
    </row>
    <row r="2867">
      <c r="K2867" s="4" t="str">
        <f>IFERROR(__xludf.DUMMYFUNCTION("""COMPUTED_VALUE"""),"REINO DO ACAI")</f>
        <v>REINO DO ACAI</v>
      </c>
      <c r="L2867" s="32">
        <f>IFERROR(__xludf.DUMMYFUNCTION("""COMPUTED_VALUE"""),3.0)</f>
        <v>3</v>
      </c>
      <c r="M2867" s="4" t="str">
        <f>IFERROR(__xludf.DUMMYFUNCTION("""COMPUTED_VALUE"""),"null")</f>
        <v>null</v>
      </c>
      <c r="N2867" s="33">
        <f>IFERROR(__xludf.DUMMYFUNCTION("""COMPUTED_VALUE"""),0.6666666666666666)</f>
        <v>0.6666666667</v>
      </c>
      <c r="O2867" s="4" t="str">
        <f>IFERROR(__xludf.DUMMYFUNCTION("""COMPUTED_VALUE"""),"Instadelivery")</f>
        <v>Instadelivery</v>
      </c>
      <c r="P2867" s="33">
        <f>IFERROR(__xludf.DUMMYFUNCTION("""COMPUTED_VALUE"""),0.3333333333333333)</f>
        <v>0.3333333333</v>
      </c>
      <c r="Q2867" s="4" t="str">
        <f>IFERROR(__xludf.DUMMYFUNCTION("""COMPUTED_VALUE"""),"Instadelivery")</f>
        <v>Instadelivery</v>
      </c>
      <c r="R2867" s="33">
        <f>IFERROR(__xludf.DUMMYFUNCTION("""COMPUTED_VALUE"""),0.3333333333333333)</f>
        <v>0.3333333333</v>
      </c>
      <c r="S2867" s="4" t="str">
        <f>IFERROR(__xludf.DUMMYFUNCTION("""COMPUTED_VALUE"""),"Instadelivery")</f>
        <v>Instadelivery</v>
      </c>
      <c r="T2867" s="33">
        <f>IFERROR(__xludf.DUMMYFUNCTION("""COMPUTED_VALUE"""),0.3333333333333333)</f>
        <v>0.3333333333</v>
      </c>
      <c r="U2867" s="4" t="str">
        <f>IFERROR(__xludf.DUMMYFUNCTION("""COMPUTED_VALUE"""),"null")</f>
        <v>null</v>
      </c>
      <c r="V2867" s="33">
        <f>IFERROR(__xludf.DUMMYFUNCTION("""COMPUTED_VALUE"""),0.6666666666666666)</f>
        <v>0.6666666667</v>
      </c>
      <c r="W2867" s="4" t="str">
        <f>IFERROR(__xludf.DUMMYFUNCTION("""COMPUTED_VALUE"""),"Instadelivery")</f>
        <v>Instadelivery</v>
      </c>
      <c r="X2867" s="33">
        <f>IFERROR(__xludf.DUMMYFUNCTION("""COMPUTED_VALUE"""),0.3333333333333333)</f>
        <v>0.3333333333</v>
      </c>
    </row>
    <row r="2868">
      <c r="K2868" s="4" t="str">
        <f>IFERROR(__xludf.DUMMYFUNCTION("""COMPUTED_VALUE"""),"MASTER BURGUER")</f>
        <v>MASTER BURGUER</v>
      </c>
      <c r="L2868" s="32">
        <f>IFERROR(__xludf.DUMMYFUNCTION("""COMPUTED_VALUE"""),3.0)</f>
        <v>3</v>
      </c>
      <c r="M2868" s="4" t="str">
        <f>IFERROR(__xludf.DUMMYFUNCTION("""COMPUTED_VALUE"""),"null")</f>
        <v>null</v>
      </c>
      <c r="N2868" s="33">
        <f>IFERROR(__xludf.DUMMYFUNCTION("""COMPUTED_VALUE"""),0.6666666666666666)</f>
        <v>0.6666666667</v>
      </c>
      <c r="O2868" s="4" t="str">
        <f>IFERROR(__xludf.DUMMYFUNCTION("""COMPUTED_VALUE"""),"null")</f>
        <v>null</v>
      </c>
      <c r="P2868" s="33">
        <f>IFERROR(__xludf.DUMMYFUNCTION("""COMPUTED_VALUE"""),0.6666666666666666)</f>
        <v>0.6666666667</v>
      </c>
      <c r="Q2868" s="4" t="str">
        <f>IFERROR(__xludf.DUMMYFUNCTION("""COMPUTED_VALUE"""),"null")</f>
        <v>null</v>
      </c>
      <c r="R2868" s="33">
        <f>IFERROR(__xludf.DUMMYFUNCTION("""COMPUTED_VALUE"""),0.6666666666666666)</f>
        <v>0.6666666667</v>
      </c>
      <c r="S2868" s="4" t="str">
        <f>IFERROR(__xludf.DUMMYFUNCTION("""COMPUTED_VALUE"""),"Anota Ai Solucoes Digitais S/a")</f>
        <v>Anota Ai Solucoes Digitais S/a</v>
      </c>
      <c r="T2868" s="33">
        <f>IFERROR(__xludf.DUMMYFUNCTION("""COMPUTED_VALUE"""),0.3333333333333333)</f>
        <v>0.3333333333</v>
      </c>
      <c r="U2868" s="4" t="str">
        <f>IFERROR(__xludf.DUMMYFUNCTION("""COMPUTED_VALUE"""),"null")</f>
        <v>null</v>
      </c>
      <c r="V2868" s="33">
        <f>IFERROR(__xludf.DUMMYFUNCTION("""COMPUTED_VALUE"""),0.3333333333333333)</f>
        <v>0.3333333333</v>
      </c>
      <c r="W2868" s="4" t="str">
        <f>IFERROR(__xludf.DUMMYFUNCTION("""COMPUTED_VALUE"""),"null")</f>
        <v>null</v>
      </c>
      <c r="X2868" s="33">
        <f>IFERROR(__xludf.DUMMYFUNCTION("""COMPUTED_VALUE"""),0.6666666666666666)</f>
        <v>0.6666666667</v>
      </c>
    </row>
    <row r="2869">
      <c r="K2869" s="4" t="str">
        <f>IFERROR(__xludf.DUMMYFUNCTION("""COMPUTED_VALUE"""),"SPLASH BEBIDAS URBANAS")</f>
        <v>SPLASH BEBIDAS URBANAS</v>
      </c>
      <c r="L2869" s="32">
        <f>IFERROR(__xludf.DUMMYFUNCTION("""COMPUTED_VALUE"""),3.0)</f>
        <v>3</v>
      </c>
      <c r="M2869" s="4" t="str">
        <f>IFERROR(__xludf.DUMMYFUNCTION("""COMPUTED_VALUE"""),"Yooga")</f>
        <v>Yooga</v>
      </c>
      <c r="N2869" s="33">
        <f>IFERROR(__xludf.DUMMYFUNCTION("""COMPUTED_VALUE"""),0.6666666666666666)</f>
        <v>0.6666666667</v>
      </c>
      <c r="O2869" s="4" t="str">
        <f>IFERROR(__xludf.DUMMYFUNCTION("""COMPUTED_VALUE"""),"Yooga")</f>
        <v>Yooga</v>
      </c>
      <c r="P2869" s="33">
        <f>IFERROR(__xludf.DUMMYFUNCTION("""COMPUTED_VALUE"""),0.6666666666666666)</f>
        <v>0.6666666667</v>
      </c>
      <c r="Q2869" s="4" t="str">
        <f>IFERROR(__xludf.DUMMYFUNCTION("""COMPUTED_VALUE"""),"Yooga")</f>
        <v>Yooga</v>
      </c>
      <c r="R2869" s="33">
        <f>IFERROR(__xludf.DUMMYFUNCTION("""COMPUTED_VALUE"""),0.6666666666666666)</f>
        <v>0.6666666667</v>
      </c>
      <c r="S2869" s="4" t="str">
        <f>IFERROR(__xludf.DUMMYFUNCTION("""COMPUTED_VALUE"""),"null")</f>
        <v>null</v>
      </c>
      <c r="T2869" s="33">
        <f>IFERROR(__xludf.DUMMYFUNCTION("""COMPUTED_VALUE"""),0.6666666666666666)</f>
        <v>0.6666666667</v>
      </c>
      <c r="U2869" s="4" t="str">
        <f>IFERROR(__xludf.DUMMYFUNCTION("""COMPUTED_VALUE"""),"null")</f>
        <v>null</v>
      </c>
      <c r="V2869" s="33">
        <f>IFERROR(__xludf.DUMMYFUNCTION("""COMPUTED_VALUE"""),1.0)</f>
        <v>1</v>
      </c>
      <c r="W2869" s="4" t="str">
        <f>IFERROR(__xludf.DUMMYFUNCTION("""COMPUTED_VALUE"""),"null")</f>
        <v>null</v>
      </c>
      <c r="X2869" s="33">
        <f>IFERROR(__xludf.DUMMYFUNCTION("""COMPUTED_VALUE"""),0.6666666666666666)</f>
        <v>0.6666666667</v>
      </c>
    </row>
    <row r="2870">
      <c r="K2870" s="4" t="str">
        <f>IFERROR(__xludf.DUMMYFUNCTION("""COMPUTED_VALUE"""),"VILA ACAI")</f>
        <v>VILA ACAI</v>
      </c>
      <c r="L2870" s="32">
        <f>IFERROR(__xludf.DUMMYFUNCTION("""COMPUTED_VALUE"""),3.0)</f>
        <v>3</v>
      </c>
      <c r="M2870" s="4" t="str">
        <f>IFERROR(__xludf.DUMMYFUNCTION("""COMPUTED_VALUE"""),"Instadelivery")</f>
        <v>Instadelivery</v>
      </c>
      <c r="N2870" s="33">
        <f>IFERROR(__xludf.DUMMYFUNCTION("""COMPUTED_VALUE"""),0.6666666666666666)</f>
        <v>0.6666666667</v>
      </c>
      <c r="O2870" s="4" t="str">
        <f>IFERROR(__xludf.DUMMYFUNCTION("""COMPUTED_VALUE"""),"Instadelivery")</f>
        <v>Instadelivery</v>
      </c>
      <c r="P2870" s="33">
        <f>IFERROR(__xludf.DUMMYFUNCTION("""COMPUTED_VALUE"""),0.6666666666666666)</f>
        <v>0.6666666667</v>
      </c>
      <c r="Q2870" s="4" t="str">
        <f>IFERROR(__xludf.DUMMYFUNCTION("""COMPUTED_VALUE"""),"Instadelivery")</f>
        <v>Instadelivery</v>
      </c>
      <c r="R2870" s="33">
        <f>IFERROR(__xludf.DUMMYFUNCTION("""COMPUTED_VALUE"""),0.6666666666666666)</f>
        <v>0.6666666667</v>
      </c>
      <c r="S2870" s="4" t="str">
        <f>IFERROR(__xludf.DUMMYFUNCTION("""COMPUTED_VALUE"""),"Instadelivery")</f>
        <v>Instadelivery</v>
      </c>
      <c r="T2870" s="33">
        <f>IFERROR(__xludf.DUMMYFUNCTION("""COMPUTED_VALUE"""),0.6666666666666666)</f>
        <v>0.6666666667</v>
      </c>
      <c r="U2870" s="4" t="str">
        <f>IFERROR(__xludf.DUMMYFUNCTION("""COMPUTED_VALUE"""),"Instadelivery")</f>
        <v>Instadelivery</v>
      </c>
      <c r="V2870" s="33">
        <f>IFERROR(__xludf.DUMMYFUNCTION("""COMPUTED_VALUE"""),0.6666666666666666)</f>
        <v>0.6666666667</v>
      </c>
      <c r="W2870" s="4" t="str">
        <f>IFERROR(__xludf.DUMMYFUNCTION("""COMPUTED_VALUE"""),"Insert Code Informatica Ltda")</f>
        <v>Insert Code Informatica Ltda</v>
      </c>
      <c r="X2870" s="33">
        <f>IFERROR(__xludf.DUMMYFUNCTION("""COMPUTED_VALUE"""),0.3333333333333333)</f>
        <v>0.3333333333</v>
      </c>
    </row>
    <row r="2871">
      <c r="K2871" s="4" t="str">
        <f>IFERROR(__xludf.DUMMYFUNCTION("""COMPUTED_VALUE"""),"REY DAS ESFIHAS")</f>
        <v>REY DAS ESFIHAS</v>
      </c>
      <c r="L2871" s="32">
        <f>IFERROR(__xludf.DUMMYFUNCTION("""COMPUTED_VALUE"""),3.0)</f>
        <v>3</v>
      </c>
      <c r="M2871" s="4" t="str">
        <f>IFERROR(__xludf.DUMMYFUNCTION("""COMPUTED_VALUE"""),"Consumer Soluções Em Tecnologia Ltda")</f>
        <v>Consumer Soluções Em Tecnologia Ltda</v>
      </c>
      <c r="N2871" s="33">
        <f>IFERROR(__xludf.DUMMYFUNCTION("""COMPUTED_VALUE"""),0.6666666666666666)</f>
        <v>0.6666666667</v>
      </c>
      <c r="O2871" s="4" t="str">
        <f>IFERROR(__xludf.DUMMYFUNCTION("""COMPUTED_VALUE"""),"null")</f>
        <v>null</v>
      </c>
      <c r="P2871" s="33">
        <f>IFERROR(__xludf.DUMMYFUNCTION("""COMPUTED_VALUE"""),0.6666666666666666)</f>
        <v>0.6666666667</v>
      </c>
      <c r="Q2871" s="4" t="str">
        <f>IFERROR(__xludf.DUMMYFUNCTION("""COMPUTED_VALUE"""),"null")</f>
        <v>null</v>
      </c>
      <c r="R2871" s="33">
        <f>IFERROR(__xludf.DUMMYFUNCTION("""COMPUTED_VALUE"""),0.6666666666666666)</f>
        <v>0.6666666667</v>
      </c>
      <c r="S2871" s="4" t="str">
        <f>IFERROR(__xludf.DUMMYFUNCTION("""COMPUTED_VALUE"""),"Consumer Soluções Em Tecnologia Ltda")</f>
        <v>Consumer Soluções Em Tecnologia Ltda</v>
      </c>
      <c r="T2871" s="33">
        <f>IFERROR(__xludf.DUMMYFUNCTION("""COMPUTED_VALUE"""),0.6666666666666666)</f>
        <v>0.6666666667</v>
      </c>
      <c r="U2871" s="4" t="str">
        <f>IFERROR(__xludf.DUMMYFUNCTION("""COMPUTED_VALUE"""),"null")</f>
        <v>null</v>
      </c>
      <c r="V2871" s="33">
        <f>IFERROR(__xludf.DUMMYFUNCTION("""COMPUTED_VALUE"""),0.6666666666666666)</f>
        <v>0.6666666667</v>
      </c>
      <c r="W2871" s="4" t="str">
        <f>IFERROR(__xludf.DUMMYFUNCTION("""COMPUTED_VALUE"""),"Consumer Soluções Em Tecnologia Ltda")</f>
        <v>Consumer Soluções Em Tecnologia Ltda</v>
      </c>
      <c r="X2871" s="33">
        <f>IFERROR(__xludf.DUMMYFUNCTION("""COMPUTED_VALUE"""),0.6666666666666666)</f>
        <v>0.6666666667</v>
      </c>
    </row>
    <row r="2872">
      <c r="K2872" s="4" t="str">
        <f>IFERROR(__xludf.DUMMYFUNCTION("""COMPUTED_VALUE"""),"NEY LANCHES")</f>
        <v>NEY LANCHES</v>
      </c>
      <c r="L2872" s="32">
        <f>IFERROR(__xludf.DUMMYFUNCTION("""COMPUTED_VALUE"""),3.0)</f>
        <v>3</v>
      </c>
      <c r="M2872" s="4" t="str">
        <f>IFERROR(__xludf.DUMMYFUNCTION("""COMPUTED_VALUE"""),"Infoluck Sistemas")</f>
        <v>Infoluck Sistemas</v>
      </c>
      <c r="N2872" s="33">
        <f>IFERROR(__xludf.DUMMYFUNCTION("""COMPUTED_VALUE"""),0.6666666666666666)</f>
        <v>0.6666666667</v>
      </c>
      <c r="O2872" s="4" t="str">
        <f>IFERROR(__xludf.DUMMYFUNCTION("""COMPUTED_VALUE"""),"Infoluck Sistemas")</f>
        <v>Infoluck Sistemas</v>
      </c>
      <c r="P2872" s="33">
        <f>IFERROR(__xludf.DUMMYFUNCTION("""COMPUTED_VALUE"""),0.6666666666666666)</f>
        <v>0.6666666667</v>
      </c>
      <c r="Q2872" s="4" t="str">
        <f>IFERROR(__xludf.DUMMYFUNCTION("""COMPUTED_VALUE"""),"Anove Tecnologia")</f>
        <v>Anove Tecnologia</v>
      </c>
      <c r="R2872" s="33">
        <f>IFERROR(__xludf.DUMMYFUNCTION("""COMPUTED_VALUE"""),0.6666666666666666)</f>
        <v>0.6666666667</v>
      </c>
      <c r="S2872" s="4" t="str">
        <f>IFERROR(__xludf.DUMMYFUNCTION("""COMPUTED_VALUE"""),"Anove Tecnologia")</f>
        <v>Anove Tecnologia</v>
      </c>
      <c r="T2872" s="33">
        <f>IFERROR(__xludf.DUMMYFUNCTION("""COMPUTED_VALUE"""),0.6666666666666666)</f>
        <v>0.6666666667</v>
      </c>
      <c r="U2872" s="4" t="str">
        <f>IFERROR(__xludf.DUMMYFUNCTION("""COMPUTED_VALUE"""),"Anove Tecnologia")</f>
        <v>Anove Tecnologia</v>
      </c>
      <c r="V2872" s="33">
        <f>IFERROR(__xludf.DUMMYFUNCTION("""COMPUTED_VALUE"""),0.6666666666666666)</f>
        <v>0.6666666667</v>
      </c>
      <c r="W2872" s="4" t="str">
        <f>IFERROR(__xludf.DUMMYFUNCTION("""COMPUTED_VALUE"""),"Anove Tecnologia")</f>
        <v>Anove Tecnologia</v>
      </c>
      <c r="X2872" s="33">
        <f>IFERROR(__xludf.DUMMYFUNCTION("""COMPUTED_VALUE"""),1.0)</f>
        <v>1</v>
      </c>
    </row>
    <row r="2873">
      <c r="K2873" s="4" t="str">
        <f>IFERROR(__xludf.DUMMYFUNCTION("""COMPUTED_VALUE"""),"CAFES PAGLIARONI")</f>
        <v>CAFES PAGLIARONI</v>
      </c>
      <c r="L2873" s="32">
        <f>IFERROR(__xludf.DUMMYFUNCTION("""COMPUTED_VALUE"""),3.0)</f>
        <v>3</v>
      </c>
      <c r="M2873" s="4" t="str">
        <f>IFERROR(__xludf.DUMMYFUNCTION("""COMPUTED_VALUE"""),"Totvs Large Enterprise Tecnologia S.a.")</f>
        <v>Totvs Large Enterprise Tecnologia S.a.</v>
      </c>
      <c r="N2873" s="33">
        <f>IFERROR(__xludf.DUMMYFUNCTION("""COMPUTED_VALUE"""),0.6666666666666666)</f>
        <v>0.6666666667</v>
      </c>
      <c r="O2873" s="4" t="str">
        <f>IFERROR(__xludf.DUMMYFUNCTION("""COMPUTED_VALUE"""),"Totvs Large Enterprise Tecnologia S.a.")</f>
        <v>Totvs Large Enterprise Tecnologia S.a.</v>
      </c>
      <c r="P2873" s="33">
        <f>IFERROR(__xludf.DUMMYFUNCTION("""COMPUTED_VALUE"""),0.6666666666666666)</f>
        <v>0.6666666667</v>
      </c>
      <c r="Q2873" s="4" t="str">
        <f>IFERROR(__xludf.DUMMYFUNCTION("""COMPUTED_VALUE"""),"Totvs Large Enterprise Tecnologia S.a.")</f>
        <v>Totvs Large Enterprise Tecnologia S.a.</v>
      </c>
      <c r="R2873" s="33">
        <f>IFERROR(__xludf.DUMMYFUNCTION("""COMPUTED_VALUE"""),0.6666666666666666)</f>
        <v>0.6666666667</v>
      </c>
      <c r="S2873" s="4" t="str">
        <f>IFERROR(__xludf.DUMMYFUNCTION("""COMPUTED_VALUE"""),"Totvs Large Enterprise Tecnologia S.a.")</f>
        <v>Totvs Large Enterprise Tecnologia S.a.</v>
      </c>
      <c r="T2873" s="33">
        <f>IFERROR(__xludf.DUMMYFUNCTION("""COMPUTED_VALUE"""),0.6666666666666666)</f>
        <v>0.6666666667</v>
      </c>
      <c r="U2873" s="4" t="str">
        <f>IFERROR(__xludf.DUMMYFUNCTION("""COMPUTED_VALUE"""),"Totvs Large Enterprise Tecnologia S.a.")</f>
        <v>Totvs Large Enterprise Tecnologia S.a.</v>
      </c>
      <c r="V2873" s="33">
        <f>IFERROR(__xludf.DUMMYFUNCTION("""COMPUTED_VALUE"""),0.6666666666666666)</f>
        <v>0.6666666667</v>
      </c>
      <c r="W2873" s="4" t="str">
        <f>IFERROR(__xludf.DUMMYFUNCTION("""COMPUTED_VALUE"""),"Totvs Large Enterprise Tecnologia S.a.")</f>
        <v>Totvs Large Enterprise Tecnologia S.a.</v>
      </c>
      <c r="X2873" s="33">
        <f>IFERROR(__xludf.DUMMYFUNCTION("""COMPUTED_VALUE"""),1.0)</f>
        <v>1</v>
      </c>
    </row>
    <row r="2874">
      <c r="K2874" s="4" t="str">
        <f>IFERROR(__xludf.DUMMYFUNCTION("""COMPUTED_VALUE"""),"QUINTAL DO ACAI")</f>
        <v>QUINTAL DO ACAI</v>
      </c>
      <c r="L2874" s="32">
        <f>IFERROR(__xludf.DUMMYFUNCTION("""COMPUTED_VALUE"""),3.0)</f>
        <v>3</v>
      </c>
      <c r="M2874" s="4" t="str">
        <f>IFERROR(__xludf.DUMMYFUNCTION("""COMPUTED_VALUE"""),"Insert Code Informatica Ltda")</f>
        <v>Insert Code Informatica Ltda</v>
      </c>
      <c r="N2874" s="33">
        <f>IFERROR(__xludf.DUMMYFUNCTION("""COMPUTED_VALUE"""),0.3333333333333333)</f>
        <v>0.3333333333</v>
      </c>
      <c r="O2874" s="4" t="str">
        <f>IFERROR(__xludf.DUMMYFUNCTION("""COMPUTED_VALUE"""),"Insert Code Informatica Ltda")</f>
        <v>Insert Code Informatica Ltda</v>
      </c>
      <c r="P2874" s="33">
        <f>IFERROR(__xludf.DUMMYFUNCTION("""COMPUTED_VALUE"""),0.3333333333333333)</f>
        <v>0.3333333333</v>
      </c>
      <c r="Q2874" s="4" t="str">
        <f>IFERROR(__xludf.DUMMYFUNCTION("""COMPUTED_VALUE"""),"Insert Code Informatica Ltda")</f>
        <v>Insert Code Informatica Ltda</v>
      </c>
      <c r="R2874" s="33">
        <f>IFERROR(__xludf.DUMMYFUNCTION("""COMPUTED_VALUE"""),0.3333333333333333)</f>
        <v>0.3333333333</v>
      </c>
      <c r="S2874" s="4" t="str">
        <f>IFERROR(__xludf.DUMMYFUNCTION("""COMPUTED_VALUE"""),"Insert Code Informatica Ltda")</f>
        <v>Insert Code Informatica Ltda</v>
      </c>
      <c r="T2874" s="33">
        <f>IFERROR(__xludf.DUMMYFUNCTION("""COMPUTED_VALUE"""),0.3333333333333333)</f>
        <v>0.3333333333</v>
      </c>
      <c r="U2874" s="4" t="str">
        <f>IFERROR(__xludf.DUMMYFUNCTION("""COMPUTED_VALUE"""),"Insert Code Informatica Ltda")</f>
        <v>Insert Code Informatica Ltda</v>
      </c>
      <c r="V2874" s="33">
        <f>IFERROR(__xludf.DUMMYFUNCTION("""COMPUTED_VALUE"""),0.3333333333333333)</f>
        <v>0.3333333333</v>
      </c>
      <c r="W2874" s="4" t="str">
        <f>IFERROR(__xludf.DUMMYFUNCTION("""COMPUTED_VALUE"""),"Insert Code Informatica Ltda")</f>
        <v>Insert Code Informatica Ltda</v>
      </c>
      <c r="X2874" s="33">
        <f>IFERROR(__xludf.DUMMYFUNCTION("""COMPUTED_VALUE"""),0.3333333333333333)</f>
        <v>0.3333333333</v>
      </c>
    </row>
    <row r="2875">
      <c r="K2875" s="4" t="str">
        <f>IFERROR(__xludf.DUMMYFUNCTION("""COMPUTED_VALUE"""),"NABRASA BURGER")</f>
        <v>NABRASA BURGER</v>
      </c>
      <c r="L2875" s="32">
        <f>IFERROR(__xludf.DUMMYFUNCTION("""COMPUTED_VALUE"""),3.0)</f>
        <v>3</v>
      </c>
      <c r="M2875" s="4" t="str">
        <f>IFERROR(__xludf.DUMMYFUNCTION("""COMPUTED_VALUE"""),"Cardápio Web")</f>
        <v>Cardápio Web</v>
      </c>
      <c r="N2875" s="33">
        <f>IFERROR(__xludf.DUMMYFUNCTION("""COMPUTED_VALUE"""),0.3333333333333333)</f>
        <v>0.3333333333</v>
      </c>
      <c r="O2875" s="4" t="str">
        <f>IFERROR(__xludf.DUMMYFUNCTION("""COMPUTED_VALUE"""),"Cardápio Web")</f>
        <v>Cardápio Web</v>
      </c>
      <c r="P2875" s="33">
        <f>IFERROR(__xludf.DUMMYFUNCTION("""COMPUTED_VALUE"""),0.3333333333333333)</f>
        <v>0.3333333333</v>
      </c>
      <c r="Q2875" s="4" t="str">
        <f>IFERROR(__xludf.DUMMYFUNCTION("""COMPUTED_VALUE"""),"Cardápio Web")</f>
        <v>Cardápio Web</v>
      </c>
      <c r="R2875" s="33">
        <f>IFERROR(__xludf.DUMMYFUNCTION("""COMPUTED_VALUE"""),0.3333333333333333)</f>
        <v>0.3333333333</v>
      </c>
      <c r="S2875" s="4" t="str">
        <f>IFERROR(__xludf.DUMMYFUNCTION("""COMPUTED_VALUE"""),"Cardápio Web")</f>
        <v>Cardápio Web</v>
      </c>
      <c r="T2875" s="33">
        <f>IFERROR(__xludf.DUMMYFUNCTION("""COMPUTED_VALUE"""),0.3333333333333333)</f>
        <v>0.3333333333</v>
      </c>
      <c r="U2875" s="4" t="str">
        <f>IFERROR(__xludf.DUMMYFUNCTION("""COMPUTED_VALUE"""),"Cardápio Web")</f>
        <v>Cardápio Web</v>
      </c>
      <c r="V2875" s="33">
        <f>IFERROR(__xludf.DUMMYFUNCTION("""COMPUTED_VALUE"""),0.3333333333333333)</f>
        <v>0.3333333333</v>
      </c>
      <c r="W2875" s="4" t="str">
        <f>IFERROR(__xludf.DUMMYFUNCTION("""COMPUTED_VALUE"""),"Cardápio Web")</f>
        <v>Cardápio Web</v>
      </c>
      <c r="X2875" s="33">
        <f>IFERROR(__xludf.DUMMYFUNCTION("""COMPUTED_VALUE"""),0.3333333333333333)</f>
        <v>0.3333333333</v>
      </c>
    </row>
    <row r="2876">
      <c r="K2876" s="4" t="str">
        <f>IFERROR(__xludf.DUMMYFUNCTION("""COMPUTED_VALUE"""),"GALGO BEER HOUSE")</f>
        <v>GALGO BEER HOUSE</v>
      </c>
      <c r="L2876" s="32">
        <f>IFERROR(__xludf.DUMMYFUNCTION("""COMPUTED_VALUE"""),3.0)</f>
        <v>3</v>
      </c>
      <c r="M2876" s="4" t="str">
        <f>IFERROR(__xludf.DUMMYFUNCTION("""COMPUTED_VALUE"""),"Suitable Tecnologia E Gestao")</f>
        <v>Suitable Tecnologia E Gestao</v>
      </c>
      <c r="N2876" s="33">
        <f>IFERROR(__xludf.DUMMYFUNCTION("""COMPUTED_VALUE"""),1.0)</f>
        <v>1</v>
      </c>
      <c r="O2876" s="4" t="str">
        <f>IFERROR(__xludf.DUMMYFUNCTION("""COMPUTED_VALUE"""),"Suitable Tecnologia E Gestao")</f>
        <v>Suitable Tecnologia E Gestao</v>
      </c>
      <c r="P2876" s="33">
        <f>IFERROR(__xludf.DUMMYFUNCTION("""COMPUTED_VALUE"""),0.6666666666666666)</f>
        <v>0.6666666667</v>
      </c>
      <c r="Q2876" s="4" t="str">
        <f>IFERROR(__xludf.DUMMYFUNCTION("""COMPUTED_VALUE"""),"null")</f>
        <v>null</v>
      </c>
      <c r="R2876" s="33">
        <f>IFERROR(__xludf.DUMMYFUNCTION("""COMPUTED_VALUE"""),0.6666666666666666)</f>
        <v>0.6666666667</v>
      </c>
      <c r="S2876" s="4" t="str">
        <f>IFERROR(__xludf.DUMMYFUNCTION("""COMPUTED_VALUE"""),"null")</f>
        <v>null</v>
      </c>
      <c r="T2876" s="33">
        <f>IFERROR(__xludf.DUMMYFUNCTION("""COMPUTED_VALUE"""),0.6666666666666666)</f>
        <v>0.6666666667</v>
      </c>
      <c r="U2876" s="4" t="str">
        <f>IFERROR(__xludf.DUMMYFUNCTION("""COMPUTED_VALUE"""),"Suitable Tecnologia E Gestao")</f>
        <v>Suitable Tecnologia E Gestao</v>
      </c>
      <c r="V2876" s="33">
        <f>IFERROR(__xludf.DUMMYFUNCTION("""COMPUTED_VALUE"""),0.6666666666666666)</f>
        <v>0.6666666667</v>
      </c>
      <c r="W2876" s="4" t="str">
        <f>IFERROR(__xludf.DUMMYFUNCTION("""COMPUTED_VALUE"""),"Suitable Tecnologia E Gestao")</f>
        <v>Suitable Tecnologia E Gestao</v>
      </c>
      <c r="X2876" s="33">
        <f>IFERROR(__xludf.DUMMYFUNCTION("""COMPUTED_VALUE"""),0.6666666666666666)</f>
        <v>0.6666666667</v>
      </c>
    </row>
    <row r="2877">
      <c r="K2877" s="4" t="str">
        <f>IFERROR(__xludf.DUMMYFUNCTION("""COMPUTED_VALUE"""),"MR BRASA")</f>
        <v>MR BRASA</v>
      </c>
      <c r="L2877" s="32">
        <f>IFERROR(__xludf.DUMMYFUNCTION("""COMPUTED_VALUE"""),3.0)</f>
        <v>3</v>
      </c>
      <c r="M2877" s="4" t="str">
        <f>IFERROR(__xludf.DUMMYFUNCTION("""COMPUTED_VALUE"""),"Saipos Serviços De Software")</f>
        <v>Saipos Serviços De Software</v>
      </c>
      <c r="N2877" s="33">
        <f>IFERROR(__xludf.DUMMYFUNCTION("""COMPUTED_VALUE"""),0.6666666666666666)</f>
        <v>0.6666666667</v>
      </c>
      <c r="O2877" s="4" t="str">
        <f>IFERROR(__xludf.DUMMYFUNCTION("""COMPUTED_VALUE"""),"Saipos Serviços De Software")</f>
        <v>Saipos Serviços De Software</v>
      </c>
      <c r="P2877" s="33">
        <f>IFERROR(__xludf.DUMMYFUNCTION("""COMPUTED_VALUE"""),0.3333333333333333)</f>
        <v>0.3333333333</v>
      </c>
      <c r="Q2877" s="4" t="str">
        <f>IFERROR(__xludf.DUMMYFUNCTION("""COMPUTED_VALUE"""),"Saipos Serviços De Software")</f>
        <v>Saipos Serviços De Software</v>
      </c>
      <c r="R2877" s="33">
        <f>IFERROR(__xludf.DUMMYFUNCTION("""COMPUTED_VALUE"""),0.3333333333333333)</f>
        <v>0.3333333333</v>
      </c>
      <c r="S2877" s="4" t="str">
        <f>IFERROR(__xludf.DUMMYFUNCTION("""COMPUTED_VALUE"""),"Saipos Serviços De Software")</f>
        <v>Saipos Serviços De Software</v>
      </c>
      <c r="T2877" s="33">
        <f>IFERROR(__xludf.DUMMYFUNCTION("""COMPUTED_VALUE"""),0.3333333333333333)</f>
        <v>0.3333333333</v>
      </c>
      <c r="U2877" s="4" t="str">
        <f>IFERROR(__xludf.DUMMYFUNCTION("""COMPUTED_VALUE"""),"Saipos Serviços De Software")</f>
        <v>Saipos Serviços De Software</v>
      </c>
      <c r="V2877" s="33">
        <f>IFERROR(__xludf.DUMMYFUNCTION("""COMPUTED_VALUE"""),0.3333333333333333)</f>
        <v>0.3333333333</v>
      </c>
      <c r="W2877" s="4" t="str">
        <f>IFERROR(__xludf.DUMMYFUNCTION("""COMPUTED_VALUE"""),"Saipos Serviços De Software")</f>
        <v>Saipos Serviços De Software</v>
      </c>
      <c r="X2877" s="33">
        <f>IFERROR(__xludf.DUMMYFUNCTION("""COMPUTED_VALUE"""),0.3333333333333333)</f>
        <v>0.3333333333</v>
      </c>
    </row>
    <row r="2878">
      <c r="K2878" s="4" t="str">
        <f>IFERROR(__xludf.DUMMYFUNCTION("""COMPUTED_VALUE"""),"CASA DOS LANCHES")</f>
        <v>CASA DOS LANCHES</v>
      </c>
      <c r="L2878" s="32">
        <f>IFERROR(__xludf.DUMMYFUNCTION("""COMPUTED_VALUE"""),3.0)</f>
        <v>3</v>
      </c>
      <c r="M2878" s="4" t="str">
        <f>IFERROR(__xludf.DUMMYFUNCTION("""COMPUTED_VALUE"""),"null")</f>
        <v>null</v>
      </c>
      <c r="N2878" s="33">
        <f>IFERROR(__xludf.DUMMYFUNCTION("""COMPUTED_VALUE"""),0.6666666666666666)</f>
        <v>0.6666666667</v>
      </c>
      <c r="O2878" s="4" t="str">
        <f>IFERROR(__xludf.DUMMYFUNCTION("""COMPUTED_VALUE"""),"null")</f>
        <v>null</v>
      </c>
      <c r="P2878" s="33">
        <f>IFERROR(__xludf.DUMMYFUNCTION("""COMPUTED_VALUE"""),0.6666666666666666)</f>
        <v>0.6666666667</v>
      </c>
      <c r="Q2878" s="4" t="str">
        <f>IFERROR(__xludf.DUMMYFUNCTION("""COMPUTED_VALUE"""),"Parseint Desenvolvimento De Sistemas Ltda")</f>
        <v>Parseint Desenvolvimento De Sistemas Ltda</v>
      </c>
      <c r="R2878" s="33">
        <f>IFERROR(__xludf.DUMMYFUNCTION("""COMPUTED_VALUE"""),0.3333333333333333)</f>
        <v>0.3333333333</v>
      </c>
      <c r="S2878" s="4" t="str">
        <f>IFERROR(__xludf.DUMMYFUNCTION("""COMPUTED_VALUE"""),"Parseint Desenvolvimento De Sistemas Ltda")</f>
        <v>Parseint Desenvolvimento De Sistemas Ltda</v>
      </c>
      <c r="T2878" s="33">
        <f>IFERROR(__xludf.DUMMYFUNCTION("""COMPUTED_VALUE"""),0.3333333333333333)</f>
        <v>0.3333333333</v>
      </c>
      <c r="U2878" s="4" t="str">
        <f>IFERROR(__xludf.DUMMYFUNCTION("""COMPUTED_VALUE"""),"Parseint Desenvolvimento De Sistemas Ltda")</f>
        <v>Parseint Desenvolvimento De Sistemas Ltda</v>
      </c>
      <c r="V2878" s="33">
        <f>IFERROR(__xludf.DUMMYFUNCTION("""COMPUTED_VALUE"""),0.3333333333333333)</f>
        <v>0.3333333333</v>
      </c>
      <c r="W2878" s="4" t="str">
        <f>IFERROR(__xludf.DUMMYFUNCTION("""COMPUTED_VALUE"""),"Parseint Desenvolvimento De Sistemas Ltda")</f>
        <v>Parseint Desenvolvimento De Sistemas Ltda</v>
      </c>
      <c r="X2878" s="33">
        <f>IFERROR(__xludf.DUMMYFUNCTION("""COMPUTED_VALUE"""),0.3333333333333333)</f>
        <v>0.3333333333</v>
      </c>
    </row>
    <row r="2879">
      <c r="K2879" s="4" t="str">
        <f>IFERROR(__xludf.DUMMYFUNCTION("""COMPUTED_VALUE"""),"PIZZARIA DA VILA")</f>
        <v>PIZZARIA DA VILA</v>
      </c>
      <c r="L2879" s="32">
        <f>IFERROR(__xludf.DUMMYFUNCTION("""COMPUTED_VALUE"""),3.0)</f>
        <v>3</v>
      </c>
      <c r="M2879" s="4" t="str">
        <f>IFERROR(__xludf.DUMMYFUNCTION("""COMPUTED_VALUE"""),"Anota Ai Solucoes Digitais S/a")</f>
        <v>Anota Ai Solucoes Digitais S/a</v>
      </c>
      <c r="N2879" s="33">
        <f>IFERROR(__xludf.DUMMYFUNCTION("""COMPUTED_VALUE"""),0.3333333333333333)</f>
        <v>0.3333333333</v>
      </c>
      <c r="O2879" s="4" t="str">
        <f>IFERROR(__xludf.DUMMYFUNCTION("""COMPUTED_VALUE"""),"Anota Ai Solucoes Digitais S/a")</f>
        <v>Anota Ai Solucoes Digitais S/a</v>
      </c>
      <c r="P2879" s="33">
        <f>IFERROR(__xludf.DUMMYFUNCTION("""COMPUTED_VALUE"""),0.3333333333333333)</f>
        <v>0.3333333333</v>
      </c>
      <c r="Q2879" s="4" t="str">
        <f>IFERROR(__xludf.DUMMYFUNCTION("""COMPUTED_VALUE"""),"null")</f>
        <v>null</v>
      </c>
      <c r="R2879" s="33">
        <f>IFERROR(__xludf.DUMMYFUNCTION("""COMPUTED_VALUE"""),0.6666666666666666)</f>
        <v>0.6666666667</v>
      </c>
      <c r="S2879" s="4" t="str">
        <f>IFERROR(__xludf.DUMMYFUNCTION("""COMPUTED_VALUE"""),"null")</f>
        <v>null</v>
      </c>
      <c r="T2879" s="33">
        <f>IFERROR(__xludf.DUMMYFUNCTION("""COMPUTED_VALUE"""),0.3333333333333333)</f>
        <v>0.3333333333</v>
      </c>
      <c r="U2879" s="4" t="str">
        <f>IFERROR(__xludf.DUMMYFUNCTION("""COMPUTED_VALUE"""),"null")</f>
        <v>null</v>
      </c>
      <c r="V2879" s="33">
        <f>IFERROR(__xludf.DUMMYFUNCTION("""COMPUTED_VALUE"""),0.3333333333333333)</f>
        <v>0.3333333333</v>
      </c>
      <c r="W2879" s="4" t="str">
        <f>IFERROR(__xludf.DUMMYFUNCTION("""COMPUTED_VALUE"""),"null")</f>
        <v>null</v>
      </c>
      <c r="X2879" s="33">
        <f>IFERROR(__xludf.DUMMYFUNCTION("""COMPUTED_VALUE"""),0.3333333333333333)</f>
        <v>0.3333333333</v>
      </c>
    </row>
    <row r="2880">
      <c r="K2880" s="4" t="str">
        <f>IFERROR(__xludf.DUMMYFUNCTION("""COMPUTED_VALUE"""),"DUALL PIZZAS")</f>
        <v>DUALL PIZZAS</v>
      </c>
      <c r="L2880" s="32">
        <f>IFERROR(__xludf.DUMMYFUNCTION("""COMPUTED_VALUE"""),3.0)</f>
        <v>3</v>
      </c>
      <c r="M2880" s="4" t="str">
        <f>IFERROR(__xludf.DUMMYFUNCTION("""COMPUTED_VALUE"""),"Saipos Serviços De Software")</f>
        <v>Saipos Serviços De Software</v>
      </c>
      <c r="N2880" s="33">
        <f>IFERROR(__xludf.DUMMYFUNCTION("""COMPUTED_VALUE"""),1.0)</f>
        <v>1</v>
      </c>
      <c r="O2880" s="4" t="str">
        <f>IFERROR(__xludf.DUMMYFUNCTION("""COMPUTED_VALUE"""),"Saipos Serviços De Software")</f>
        <v>Saipos Serviços De Software</v>
      </c>
      <c r="P2880" s="33">
        <f>IFERROR(__xludf.DUMMYFUNCTION("""COMPUTED_VALUE"""),1.0)</f>
        <v>1</v>
      </c>
      <c r="Q2880" s="4" t="str">
        <f>IFERROR(__xludf.DUMMYFUNCTION("""COMPUTED_VALUE"""),"Saipos Serviços De Software")</f>
        <v>Saipos Serviços De Software</v>
      </c>
      <c r="R2880" s="33">
        <f>IFERROR(__xludf.DUMMYFUNCTION("""COMPUTED_VALUE"""),1.0)</f>
        <v>1</v>
      </c>
      <c r="S2880" s="4" t="str">
        <f>IFERROR(__xludf.DUMMYFUNCTION("""COMPUTED_VALUE"""),"Saipos Serviços De Software")</f>
        <v>Saipos Serviços De Software</v>
      </c>
      <c r="T2880" s="33">
        <f>IFERROR(__xludf.DUMMYFUNCTION("""COMPUTED_VALUE"""),1.0)</f>
        <v>1</v>
      </c>
      <c r="U2880" s="4" t="str">
        <f>IFERROR(__xludf.DUMMYFUNCTION("""COMPUTED_VALUE"""),"Saipos Serviços De Software")</f>
        <v>Saipos Serviços De Software</v>
      </c>
      <c r="V2880" s="33">
        <f>IFERROR(__xludf.DUMMYFUNCTION("""COMPUTED_VALUE"""),1.0)</f>
        <v>1</v>
      </c>
      <c r="W2880" s="4" t="str">
        <f>IFERROR(__xludf.DUMMYFUNCTION("""COMPUTED_VALUE"""),"Saipos Serviços De Software")</f>
        <v>Saipos Serviços De Software</v>
      </c>
      <c r="X2880" s="33">
        <f>IFERROR(__xludf.DUMMYFUNCTION("""COMPUTED_VALUE"""),1.0)</f>
        <v>1</v>
      </c>
    </row>
    <row r="2881">
      <c r="K2881" s="4" t="str">
        <f>IFERROR(__xludf.DUMMYFUNCTION("""COMPUTED_VALUE"""),"REINO PIZZA")</f>
        <v>REINO PIZZA</v>
      </c>
      <c r="L2881" s="32">
        <f>IFERROR(__xludf.DUMMYFUNCTION("""COMPUTED_VALUE"""),3.0)</f>
        <v>3</v>
      </c>
      <c r="M2881" s="4" t="str">
        <f>IFERROR(__xludf.DUMMYFUNCTION("""COMPUTED_VALUE"""),"Bitbar")</f>
        <v>Bitbar</v>
      </c>
      <c r="N2881" s="33">
        <f>IFERROR(__xludf.DUMMYFUNCTION("""COMPUTED_VALUE"""),1.0)</f>
        <v>1</v>
      </c>
      <c r="O2881" s="4" t="str">
        <f>IFERROR(__xludf.DUMMYFUNCTION("""COMPUTED_VALUE"""),"Bitbar")</f>
        <v>Bitbar</v>
      </c>
      <c r="P2881" s="33">
        <f>IFERROR(__xludf.DUMMYFUNCTION("""COMPUTED_VALUE"""),1.0)</f>
        <v>1</v>
      </c>
      <c r="Q2881" s="4" t="str">
        <f>IFERROR(__xludf.DUMMYFUNCTION("""COMPUTED_VALUE"""),"Bitbar")</f>
        <v>Bitbar</v>
      </c>
      <c r="R2881" s="33">
        <f>IFERROR(__xludf.DUMMYFUNCTION("""COMPUTED_VALUE"""),1.0)</f>
        <v>1</v>
      </c>
      <c r="S2881" s="4" t="str">
        <f>IFERROR(__xludf.DUMMYFUNCTION("""COMPUTED_VALUE"""),"Bitbar")</f>
        <v>Bitbar</v>
      </c>
      <c r="T2881" s="33">
        <f>IFERROR(__xludf.DUMMYFUNCTION("""COMPUTED_VALUE"""),1.0)</f>
        <v>1</v>
      </c>
      <c r="U2881" s="4" t="str">
        <f>IFERROR(__xludf.DUMMYFUNCTION("""COMPUTED_VALUE"""),"Bitbar")</f>
        <v>Bitbar</v>
      </c>
      <c r="V2881" s="33">
        <f>IFERROR(__xludf.DUMMYFUNCTION("""COMPUTED_VALUE"""),1.0)</f>
        <v>1</v>
      </c>
      <c r="W2881" s="4" t="str">
        <f>IFERROR(__xludf.DUMMYFUNCTION("""COMPUTED_VALUE"""),"Bitbar")</f>
        <v>Bitbar</v>
      </c>
      <c r="X2881" s="33">
        <f>IFERROR(__xludf.DUMMYFUNCTION("""COMPUTED_VALUE"""),1.0)</f>
        <v>1</v>
      </c>
    </row>
    <row r="2882">
      <c r="K2882" s="4" t="str">
        <f>IFERROR(__xludf.DUMMYFUNCTION("""COMPUTED_VALUE"""),"VILA DA PIZZA")</f>
        <v>VILA DA PIZZA</v>
      </c>
      <c r="L2882" s="32">
        <f>IFERROR(__xludf.DUMMYFUNCTION("""COMPUTED_VALUE"""),3.0)</f>
        <v>3</v>
      </c>
      <c r="M2882" s="4" t="str">
        <f>IFERROR(__xludf.DUMMYFUNCTION("""COMPUTED_VALUE"""),"Ncr")</f>
        <v>Ncr</v>
      </c>
      <c r="N2882" s="33">
        <f>IFERROR(__xludf.DUMMYFUNCTION("""COMPUTED_VALUE"""),0.3333333333333333)</f>
        <v>0.3333333333</v>
      </c>
      <c r="O2882" s="4" t="str">
        <f>IFERROR(__xludf.DUMMYFUNCTION("""COMPUTED_VALUE"""),"Ncr")</f>
        <v>Ncr</v>
      </c>
      <c r="P2882" s="33">
        <f>IFERROR(__xludf.DUMMYFUNCTION("""COMPUTED_VALUE"""),0.3333333333333333)</f>
        <v>0.3333333333</v>
      </c>
      <c r="Q2882" s="4" t="str">
        <f>IFERROR(__xludf.DUMMYFUNCTION("""COMPUTED_VALUE"""),"Ncr")</f>
        <v>Ncr</v>
      </c>
      <c r="R2882" s="33">
        <f>IFERROR(__xludf.DUMMYFUNCTION("""COMPUTED_VALUE"""),0.3333333333333333)</f>
        <v>0.3333333333</v>
      </c>
      <c r="S2882" s="4" t="str">
        <f>IFERROR(__xludf.DUMMYFUNCTION("""COMPUTED_VALUE"""),"Ncr")</f>
        <v>Ncr</v>
      </c>
      <c r="T2882" s="33">
        <f>IFERROR(__xludf.DUMMYFUNCTION("""COMPUTED_VALUE"""),0.3333333333333333)</f>
        <v>0.3333333333</v>
      </c>
      <c r="U2882" s="4" t="str">
        <f>IFERROR(__xludf.DUMMYFUNCTION("""COMPUTED_VALUE"""),"Ncr")</f>
        <v>Ncr</v>
      </c>
      <c r="V2882" s="33">
        <f>IFERROR(__xludf.DUMMYFUNCTION("""COMPUTED_VALUE"""),0.3333333333333333)</f>
        <v>0.3333333333</v>
      </c>
      <c r="W2882" s="4" t="str">
        <f>IFERROR(__xludf.DUMMYFUNCTION("""COMPUTED_VALUE"""),"Ncr")</f>
        <v>Ncr</v>
      </c>
      <c r="X2882" s="33">
        <f>IFERROR(__xludf.DUMMYFUNCTION("""COMPUTED_VALUE"""),0.3333333333333333)</f>
        <v>0.3333333333</v>
      </c>
    </row>
    <row r="2883">
      <c r="K2883" s="4" t="str">
        <f>IFERROR(__xludf.DUMMYFUNCTION("""COMPUTED_VALUE"""),"FARMACIA POPULAR")</f>
        <v>FARMACIA POPULAR</v>
      </c>
      <c r="L2883" s="32">
        <f>IFERROR(__xludf.DUMMYFUNCTION("""COMPUTED_VALUE"""),3.0)</f>
        <v>3</v>
      </c>
      <c r="M2883" s="4" t="str">
        <f>IFERROR(__xludf.DUMMYFUNCTION("""COMPUTED_VALUE"""),"N/A (Not found)")</f>
        <v>N/A (Not found)</v>
      </c>
      <c r="N2883" s="33">
        <f>IFERROR(__xludf.DUMMYFUNCTION("""COMPUTED_VALUE"""),0.6666666666666666)</f>
        <v>0.6666666667</v>
      </c>
      <c r="O2883" s="4" t="str">
        <f>IFERROR(__xludf.DUMMYFUNCTION("""COMPUTED_VALUE"""),"N/A (Not found)")</f>
        <v>N/A (Not found)</v>
      </c>
      <c r="P2883" s="33">
        <f>IFERROR(__xludf.DUMMYFUNCTION("""COMPUTED_VALUE"""),0.6666666666666666)</f>
        <v>0.6666666667</v>
      </c>
      <c r="Q2883" s="4" t="str">
        <f>IFERROR(__xludf.DUMMYFUNCTION("""COMPUTED_VALUE"""),"N/A (Not found)")</f>
        <v>N/A (Not found)</v>
      </c>
      <c r="R2883" s="33">
        <f>IFERROR(__xludf.DUMMYFUNCTION("""COMPUTED_VALUE"""),0.6666666666666666)</f>
        <v>0.6666666667</v>
      </c>
      <c r="S2883" s="4" t="str">
        <f>IFERROR(__xludf.DUMMYFUNCTION("""COMPUTED_VALUE"""),"N/A (Not found)")</f>
        <v>N/A (Not found)</v>
      </c>
      <c r="T2883" s="33">
        <f>IFERROR(__xludf.DUMMYFUNCTION("""COMPUTED_VALUE"""),0.6666666666666666)</f>
        <v>0.6666666667</v>
      </c>
      <c r="U2883" s="4" t="str">
        <f>IFERROR(__xludf.DUMMYFUNCTION("""COMPUTED_VALUE"""),"N/A (Not found)")</f>
        <v>N/A (Not found)</v>
      </c>
      <c r="V2883" s="33">
        <f>IFERROR(__xludf.DUMMYFUNCTION("""COMPUTED_VALUE"""),0.6666666666666666)</f>
        <v>0.6666666667</v>
      </c>
      <c r="W2883" s="4" t="str">
        <f>IFERROR(__xludf.DUMMYFUNCTION("""COMPUTED_VALUE"""),"N/A (Not found)")</f>
        <v>N/A (Not found)</v>
      </c>
      <c r="X2883" s="33">
        <f>IFERROR(__xludf.DUMMYFUNCTION("""COMPUTED_VALUE"""),0.6666666666666666)</f>
        <v>0.6666666667</v>
      </c>
    </row>
    <row r="2884">
      <c r="K2884" s="4" t="str">
        <f>IFERROR(__xludf.DUMMYFUNCTION("""COMPUTED_VALUE"""),"NEW BURGUER")</f>
        <v>NEW BURGUER</v>
      </c>
      <c r="L2884" s="32">
        <f>IFERROR(__xludf.DUMMYFUNCTION("""COMPUTED_VALUE"""),3.0)</f>
        <v>3</v>
      </c>
      <c r="M2884" s="4" t="str">
        <f>IFERROR(__xludf.DUMMYFUNCTION("""COMPUTED_VALUE"""),"null")</f>
        <v>null</v>
      </c>
      <c r="N2884" s="33">
        <f>IFERROR(__xludf.DUMMYFUNCTION("""COMPUTED_VALUE"""),0.6666666666666666)</f>
        <v>0.6666666667</v>
      </c>
      <c r="O2884" s="4" t="str">
        <f>IFERROR(__xludf.DUMMYFUNCTION("""COMPUTED_VALUE"""),"null")</f>
        <v>null</v>
      </c>
      <c r="P2884" s="33">
        <f>IFERROR(__xludf.DUMMYFUNCTION("""COMPUTED_VALUE"""),0.6666666666666666)</f>
        <v>0.6666666667</v>
      </c>
      <c r="Q2884" s="4" t="str">
        <f>IFERROR(__xludf.DUMMYFUNCTION("""COMPUTED_VALUE"""),"null")</f>
        <v>null</v>
      </c>
      <c r="R2884" s="33">
        <f>IFERROR(__xludf.DUMMYFUNCTION("""COMPUTED_VALUE"""),0.3333333333333333)</f>
        <v>0.3333333333</v>
      </c>
      <c r="S2884" s="4" t="str">
        <f>IFERROR(__xludf.DUMMYFUNCTION("""COMPUTED_VALUE"""),"null")</f>
        <v>null</v>
      </c>
      <c r="T2884" s="33">
        <f>IFERROR(__xludf.DUMMYFUNCTION("""COMPUTED_VALUE"""),0.6666666666666666)</f>
        <v>0.6666666667</v>
      </c>
      <c r="U2884" s="4" t="str">
        <f>IFERROR(__xludf.DUMMYFUNCTION("""COMPUTED_VALUE"""),"null")</f>
        <v>null</v>
      </c>
      <c r="V2884" s="33">
        <f>IFERROR(__xludf.DUMMYFUNCTION("""COMPUTED_VALUE"""),0.3333333333333333)</f>
        <v>0.3333333333</v>
      </c>
      <c r="W2884" s="4" t="str">
        <f>IFERROR(__xludf.DUMMYFUNCTION("""COMPUTED_VALUE"""),"Anota Ai Solucoes Digitais S/a")</f>
        <v>Anota Ai Solucoes Digitais S/a</v>
      </c>
      <c r="X2884" s="33">
        <f>IFERROR(__xludf.DUMMYFUNCTION("""COMPUTED_VALUE"""),0.3333333333333333)</f>
        <v>0.3333333333</v>
      </c>
    </row>
    <row r="2885">
      <c r="K2885" s="4" t="str">
        <f>IFERROR(__xludf.DUMMYFUNCTION("""COMPUTED_VALUE"""),"NOSSO ACAI")</f>
        <v>NOSSO ACAI</v>
      </c>
      <c r="L2885" s="32">
        <f>IFERROR(__xludf.DUMMYFUNCTION("""COMPUTED_VALUE"""),3.0)</f>
        <v>3</v>
      </c>
      <c r="M2885" s="4" t="str">
        <f>IFERROR(__xludf.DUMMYFUNCTION("""COMPUTED_VALUE"""),"null")</f>
        <v>null</v>
      </c>
      <c r="N2885" s="33">
        <f>IFERROR(__xludf.DUMMYFUNCTION("""COMPUTED_VALUE"""),0.6666666666666666)</f>
        <v>0.6666666667</v>
      </c>
      <c r="O2885" s="4" t="str">
        <f>IFERROR(__xludf.DUMMYFUNCTION("""COMPUTED_VALUE"""),"null")</f>
        <v>null</v>
      </c>
      <c r="P2885" s="33">
        <f>IFERROR(__xludf.DUMMYFUNCTION("""COMPUTED_VALUE"""),1.0)</f>
        <v>1</v>
      </c>
      <c r="Q2885" s="4" t="str">
        <f>IFERROR(__xludf.DUMMYFUNCTION("""COMPUTED_VALUE"""),"null")</f>
        <v>null</v>
      </c>
      <c r="R2885" s="33">
        <f>IFERROR(__xludf.DUMMYFUNCTION("""COMPUTED_VALUE"""),0.6666666666666666)</f>
        <v>0.6666666667</v>
      </c>
      <c r="S2885" s="4" t="str">
        <f>IFERROR(__xludf.DUMMYFUNCTION("""COMPUTED_VALUE"""),"null")</f>
        <v>null</v>
      </c>
      <c r="T2885" s="33">
        <f>IFERROR(__xludf.DUMMYFUNCTION("""COMPUTED_VALUE"""),0.3333333333333333)</f>
        <v>0.3333333333</v>
      </c>
      <c r="U2885" s="4" t="str">
        <f>IFERROR(__xludf.DUMMYFUNCTION("""COMPUTED_VALUE"""),"Brendi")</f>
        <v>Brendi</v>
      </c>
      <c r="V2885" s="33">
        <f>IFERROR(__xludf.DUMMYFUNCTION("""COMPUTED_VALUE"""),0.3333333333333333)</f>
        <v>0.3333333333</v>
      </c>
      <c r="W2885" s="4" t="str">
        <f>IFERROR(__xludf.DUMMYFUNCTION("""COMPUTED_VALUE"""),"Brendi")</f>
        <v>Brendi</v>
      </c>
      <c r="X2885" s="33">
        <f>IFERROR(__xludf.DUMMYFUNCTION("""COMPUTED_VALUE"""),0.3333333333333333)</f>
        <v>0.3333333333</v>
      </c>
    </row>
    <row r="2886">
      <c r="K2886" s="4" t="str">
        <f>IFERROR(__xludf.DUMMYFUNCTION("""COMPUTED_VALUE"""),"SALT BURGUER")</f>
        <v>SALT BURGUER</v>
      </c>
      <c r="L2886" s="32">
        <f>IFERROR(__xludf.DUMMYFUNCTION("""COMPUTED_VALUE"""),3.0)</f>
        <v>3</v>
      </c>
      <c r="M2886" s="4" t="str">
        <f>IFERROR(__xludf.DUMMYFUNCTION("""COMPUTED_VALUE"""),"Beefood - Sistema Para Restaurantes")</f>
        <v>Beefood - Sistema Para Restaurantes</v>
      </c>
      <c r="N2886" s="33">
        <f>IFERROR(__xludf.DUMMYFUNCTION("""COMPUTED_VALUE"""),0.3333333333333333)</f>
        <v>0.3333333333</v>
      </c>
      <c r="O2886" s="4" t="str">
        <f>IFERROR(__xludf.DUMMYFUNCTION("""COMPUTED_VALUE"""),"Beefood - Sistema Para Restaurantes")</f>
        <v>Beefood - Sistema Para Restaurantes</v>
      </c>
      <c r="P2886" s="33">
        <f>IFERROR(__xludf.DUMMYFUNCTION("""COMPUTED_VALUE"""),0.3333333333333333)</f>
        <v>0.3333333333</v>
      </c>
      <c r="Q2886" s="4" t="str">
        <f>IFERROR(__xludf.DUMMYFUNCTION("""COMPUTED_VALUE"""),"Beefood - Sistema Para Restaurantes")</f>
        <v>Beefood - Sistema Para Restaurantes</v>
      </c>
      <c r="R2886" s="33">
        <f>IFERROR(__xludf.DUMMYFUNCTION("""COMPUTED_VALUE"""),0.3333333333333333)</f>
        <v>0.3333333333</v>
      </c>
      <c r="S2886" s="4" t="str">
        <f>IFERROR(__xludf.DUMMYFUNCTION("""COMPUTED_VALUE"""),"null")</f>
        <v>null</v>
      </c>
      <c r="T2886" s="33">
        <f>IFERROR(__xludf.DUMMYFUNCTION("""COMPUTED_VALUE"""),0.3333333333333333)</f>
        <v>0.3333333333</v>
      </c>
      <c r="U2886" s="4" t="str">
        <f>IFERROR(__xludf.DUMMYFUNCTION("""COMPUTED_VALUE"""),"null")</f>
        <v>null</v>
      </c>
      <c r="V2886" s="33">
        <f>IFERROR(__xludf.DUMMYFUNCTION("""COMPUTED_VALUE"""),0.3333333333333333)</f>
        <v>0.3333333333</v>
      </c>
      <c r="W2886" s="4" t="str">
        <f>IFERROR(__xludf.DUMMYFUNCTION("""COMPUTED_VALUE"""),"null")</f>
        <v>null</v>
      </c>
      <c r="X2886" s="33">
        <f>IFERROR(__xludf.DUMMYFUNCTION("""COMPUTED_VALUE"""),0.3333333333333333)</f>
        <v>0.3333333333</v>
      </c>
    </row>
    <row r="2887">
      <c r="K2887" s="4" t="str">
        <f>IFERROR(__xludf.DUMMYFUNCTION("""COMPUTED_VALUE"""),"CANTINHO DO MACARRAO")</f>
        <v>CANTINHO DO MACARRAO</v>
      </c>
      <c r="L2887" s="32">
        <f>IFERROR(__xludf.DUMMYFUNCTION("""COMPUTED_VALUE"""),3.0)</f>
        <v>3</v>
      </c>
      <c r="M2887" s="4" t="str">
        <f>IFERROR(__xludf.DUMMYFUNCTION("""COMPUTED_VALUE"""),"Anota Ai Solucoes Digitais S/a")</f>
        <v>Anota Ai Solucoes Digitais S/a</v>
      </c>
      <c r="N2887" s="33">
        <f>IFERROR(__xludf.DUMMYFUNCTION("""COMPUTED_VALUE"""),0.3333333333333333)</f>
        <v>0.3333333333</v>
      </c>
      <c r="O2887" s="4" t="str">
        <f>IFERROR(__xludf.DUMMYFUNCTION("""COMPUTED_VALUE"""),"null")</f>
        <v>null</v>
      </c>
      <c r="P2887" s="33">
        <f>IFERROR(__xludf.DUMMYFUNCTION("""COMPUTED_VALUE"""),0.6666666666666666)</f>
        <v>0.6666666667</v>
      </c>
      <c r="Q2887" s="4" t="str">
        <f>IFERROR(__xludf.DUMMYFUNCTION("""COMPUTED_VALUE"""),"Anota Ai Solucoes Digitais S/a")</f>
        <v>Anota Ai Solucoes Digitais S/a</v>
      </c>
      <c r="R2887" s="33">
        <f>IFERROR(__xludf.DUMMYFUNCTION("""COMPUTED_VALUE"""),0.3333333333333333)</f>
        <v>0.3333333333</v>
      </c>
      <c r="S2887" s="4" t="str">
        <f>IFERROR(__xludf.DUMMYFUNCTION("""COMPUTED_VALUE"""),"Cardápio Web")</f>
        <v>Cardápio Web</v>
      </c>
      <c r="T2887" s="33">
        <f>IFERROR(__xludf.DUMMYFUNCTION("""COMPUTED_VALUE"""),0.3333333333333333)</f>
        <v>0.3333333333</v>
      </c>
      <c r="U2887" s="4" t="str">
        <f>IFERROR(__xludf.DUMMYFUNCTION("""COMPUTED_VALUE"""),"Cardápio Web")</f>
        <v>Cardápio Web</v>
      </c>
      <c r="V2887" s="33">
        <f>IFERROR(__xludf.DUMMYFUNCTION("""COMPUTED_VALUE"""),0.6666666666666666)</f>
        <v>0.6666666667</v>
      </c>
      <c r="W2887" s="4" t="str">
        <f>IFERROR(__xludf.DUMMYFUNCTION("""COMPUTED_VALUE"""),"Cardápio Web")</f>
        <v>Cardápio Web</v>
      </c>
      <c r="X2887" s="33">
        <f>IFERROR(__xludf.DUMMYFUNCTION("""COMPUTED_VALUE"""),0.6666666666666666)</f>
        <v>0.6666666667</v>
      </c>
    </row>
    <row r="2888">
      <c r="K2888" s="4" t="str">
        <f>IFERROR(__xludf.DUMMYFUNCTION("""COMPUTED_VALUE"""),"PIZZARIA DO GAUCHO")</f>
        <v>PIZZARIA DO GAUCHO</v>
      </c>
      <c r="L2888" s="32">
        <f>IFERROR(__xludf.DUMMYFUNCTION("""COMPUTED_VALUE"""),3.0)</f>
        <v>3</v>
      </c>
      <c r="M2888" s="4" t="str">
        <f>IFERROR(__xludf.DUMMYFUNCTION("""COMPUTED_VALUE"""),"Lecard Delivery")</f>
        <v>Lecard Delivery</v>
      </c>
      <c r="N2888" s="33">
        <f>IFERROR(__xludf.DUMMYFUNCTION("""COMPUTED_VALUE"""),0.3333333333333333)</f>
        <v>0.3333333333</v>
      </c>
      <c r="O2888" s="4" t="str">
        <f>IFERROR(__xludf.DUMMYFUNCTION("""COMPUTED_VALUE"""),"Lecard Delivery")</f>
        <v>Lecard Delivery</v>
      </c>
      <c r="P2888" s="33">
        <f>IFERROR(__xludf.DUMMYFUNCTION("""COMPUTED_VALUE"""),0.3333333333333333)</f>
        <v>0.3333333333</v>
      </c>
      <c r="Q2888" s="4" t="str">
        <f>IFERROR(__xludf.DUMMYFUNCTION("""COMPUTED_VALUE"""),"Lecard Delivery")</f>
        <v>Lecard Delivery</v>
      </c>
      <c r="R2888" s="33">
        <f>IFERROR(__xludf.DUMMYFUNCTION("""COMPUTED_VALUE"""),0.3333333333333333)</f>
        <v>0.3333333333</v>
      </c>
      <c r="S2888" s="4" t="str">
        <f>IFERROR(__xludf.DUMMYFUNCTION("""COMPUTED_VALUE"""),"Saipos Serviços De Software")</f>
        <v>Saipos Serviços De Software</v>
      </c>
      <c r="T2888" s="33">
        <f>IFERROR(__xludf.DUMMYFUNCTION("""COMPUTED_VALUE"""),0.6666666666666666)</f>
        <v>0.6666666667</v>
      </c>
      <c r="U2888" s="4" t="str">
        <f>IFERROR(__xludf.DUMMYFUNCTION("""COMPUTED_VALUE"""),"Saipos Serviços De Software")</f>
        <v>Saipos Serviços De Software</v>
      </c>
      <c r="V2888" s="33">
        <f>IFERROR(__xludf.DUMMYFUNCTION("""COMPUTED_VALUE"""),0.6666666666666666)</f>
        <v>0.6666666667</v>
      </c>
      <c r="W2888" s="4" t="str">
        <f>IFERROR(__xludf.DUMMYFUNCTION("""COMPUTED_VALUE"""),"Lecard Delivery")</f>
        <v>Lecard Delivery</v>
      </c>
      <c r="X2888" s="33">
        <f>IFERROR(__xludf.DUMMYFUNCTION("""COMPUTED_VALUE"""),0.3333333333333333)</f>
        <v>0.3333333333</v>
      </c>
    </row>
    <row r="2889">
      <c r="K2889" s="4" t="str">
        <f>IFERROR(__xludf.DUMMYFUNCTION("""COMPUTED_VALUE"""),"SENHOR BURGUER")</f>
        <v>SENHOR BURGUER</v>
      </c>
      <c r="L2889" s="32">
        <f>IFERROR(__xludf.DUMMYFUNCTION("""COMPUTED_VALUE"""),3.0)</f>
        <v>3</v>
      </c>
      <c r="M2889" s="4" t="str">
        <f>IFERROR(__xludf.DUMMYFUNCTION("""COMPUTED_VALUE"""),"Saipos Serviços De Software")</f>
        <v>Saipos Serviços De Software</v>
      </c>
      <c r="N2889" s="33">
        <f>IFERROR(__xludf.DUMMYFUNCTION("""COMPUTED_VALUE"""),0.6666666666666666)</f>
        <v>0.6666666667</v>
      </c>
      <c r="O2889" s="4" t="str">
        <f>IFERROR(__xludf.DUMMYFUNCTION("""COMPUTED_VALUE"""),"Saipos Serviços De Software")</f>
        <v>Saipos Serviços De Software</v>
      </c>
      <c r="P2889" s="33">
        <f>IFERROR(__xludf.DUMMYFUNCTION("""COMPUTED_VALUE"""),0.6666666666666666)</f>
        <v>0.6666666667</v>
      </c>
      <c r="Q2889" s="4" t="str">
        <f>IFERROR(__xludf.DUMMYFUNCTION("""COMPUTED_VALUE"""),"Saipos Serviços De Software")</f>
        <v>Saipos Serviços De Software</v>
      </c>
      <c r="R2889" s="33">
        <f>IFERROR(__xludf.DUMMYFUNCTION("""COMPUTED_VALUE"""),0.6666666666666666)</f>
        <v>0.6666666667</v>
      </c>
      <c r="S2889" s="4" t="str">
        <f>IFERROR(__xludf.DUMMYFUNCTION("""COMPUTED_VALUE"""),"Saipos Serviços De Software")</f>
        <v>Saipos Serviços De Software</v>
      </c>
      <c r="T2889" s="33">
        <f>IFERROR(__xludf.DUMMYFUNCTION("""COMPUTED_VALUE"""),0.6666666666666666)</f>
        <v>0.6666666667</v>
      </c>
      <c r="U2889" s="4" t="str">
        <f>IFERROR(__xludf.DUMMYFUNCTION("""COMPUTED_VALUE"""),"Saipos Serviços De Software")</f>
        <v>Saipos Serviços De Software</v>
      </c>
      <c r="V2889" s="33">
        <f>IFERROR(__xludf.DUMMYFUNCTION("""COMPUTED_VALUE"""),0.6666666666666666)</f>
        <v>0.6666666667</v>
      </c>
      <c r="W2889" s="4" t="str">
        <f>IFERROR(__xludf.DUMMYFUNCTION("""COMPUTED_VALUE"""),"Saipos Serviços De Software")</f>
        <v>Saipos Serviços De Software</v>
      </c>
      <c r="X2889" s="33">
        <f>IFERROR(__xludf.DUMMYFUNCTION("""COMPUTED_VALUE"""),0.6666666666666666)</f>
        <v>0.6666666667</v>
      </c>
    </row>
    <row r="2890">
      <c r="K2890" s="4" t="str">
        <f>IFERROR(__xludf.DUMMYFUNCTION("""COMPUTED_VALUE"""),"HORTIFRUTI SABOR DA ROCA")</f>
        <v>HORTIFRUTI SABOR DA ROCA</v>
      </c>
      <c r="L2890" s="32">
        <f>IFERROR(__xludf.DUMMYFUNCTION("""COMPUTED_VALUE"""),3.0)</f>
        <v>3</v>
      </c>
      <c r="M2890" s="4" t="str">
        <f>IFERROR(__xludf.DUMMYFUNCTION("""COMPUTED_VALUE"""),"N/A (Not found)")</f>
        <v>N/A (Not found)</v>
      </c>
      <c r="N2890" s="33">
        <f>IFERROR(__xludf.DUMMYFUNCTION("""COMPUTED_VALUE"""),0.6666666666666666)</f>
        <v>0.6666666667</v>
      </c>
      <c r="O2890" s="4" t="str">
        <f>IFERROR(__xludf.DUMMYFUNCTION("""COMPUTED_VALUE"""),"N/A (Not found)")</f>
        <v>N/A (Not found)</v>
      </c>
      <c r="P2890" s="33">
        <f>IFERROR(__xludf.DUMMYFUNCTION("""COMPUTED_VALUE"""),0.6666666666666666)</f>
        <v>0.6666666667</v>
      </c>
      <c r="Q2890" s="4" t="str">
        <f>IFERROR(__xludf.DUMMYFUNCTION("""COMPUTED_VALUE"""),"N/A (Not found)")</f>
        <v>N/A (Not found)</v>
      </c>
      <c r="R2890" s="33">
        <f>IFERROR(__xludf.DUMMYFUNCTION("""COMPUTED_VALUE"""),0.6666666666666666)</f>
        <v>0.6666666667</v>
      </c>
      <c r="S2890" s="4" t="str">
        <f>IFERROR(__xludf.DUMMYFUNCTION("""COMPUTED_VALUE"""),"null")</f>
        <v>null</v>
      </c>
      <c r="T2890" s="33">
        <f>IFERROR(__xludf.DUMMYFUNCTION("""COMPUTED_VALUE"""),0.6666666666666666)</f>
        <v>0.6666666667</v>
      </c>
      <c r="U2890" s="4" t="str">
        <f>IFERROR(__xludf.DUMMYFUNCTION("""COMPUTED_VALUE"""),"null")</f>
        <v>null</v>
      </c>
      <c r="V2890" s="33">
        <f>IFERROR(__xludf.DUMMYFUNCTION("""COMPUTED_VALUE"""),1.0)</f>
        <v>1</v>
      </c>
      <c r="W2890" s="4" t="str">
        <f>IFERROR(__xludf.DUMMYFUNCTION("""COMPUTED_VALUE"""),"null")</f>
        <v>null</v>
      </c>
      <c r="X2890" s="33">
        <f>IFERROR(__xludf.DUMMYFUNCTION("""COMPUTED_VALUE"""),0.6666666666666666)</f>
        <v>0.6666666667</v>
      </c>
    </row>
    <row r="2891">
      <c r="K2891" s="4" t="str">
        <f>IFERROR(__xludf.DUMMYFUNCTION("""COMPUTED_VALUE"""),"MIX LANCHES")</f>
        <v>MIX LANCHES</v>
      </c>
      <c r="L2891" s="32">
        <f>IFERROR(__xludf.DUMMYFUNCTION("""COMPUTED_VALUE"""),3.0)</f>
        <v>3</v>
      </c>
      <c r="M2891" s="4" t="str">
        <f>IFERROR(__xludf.DUMMYFUNCTION("""COMPUTED_VALUE"""),"Instadelivery")</f>
        <v>Instadelivery</v>
      </c>
      <c r="N2891" s="33">
        <f>IFERROR(__xludf.DUMMYFUNCTION("""COMPUTED_VALUE"""),0.3333333333333333)</f>
        <v>0.3333333333</v>
      </c>
      <c r="O2891" s="4" t="str">
        <f>IFERROR(__xludf.DUMMYFUNCTION("""COMPUTED_VALUE"""),"Instadelivery")</f>
        <v>Instadelivery</v>
      </c>
      <c r="P2891" s="33">
        <f>IFERROR(__xludf.DUMMYFUNCTION("""COMPUTED_VALUE"""),0.3333333333333333)</f>
        <v>0.3333333333</v>
      </c>
      <c r="Q2891" s="4" t="str">
        <f>IFERROR(__xludf.DUMMYFUNCTION("""COMPUTED_VALUE"""),"Instadelivery")</f>
        <v>Instadelivery</v>
      </c>
      <c r="R2891" s="33">
        <f>IFERROR(__xludf.DUMMYFUNCTION("""COMPUTED_VALUE"""),0.6666666666666666)</f>
        <v>0.6666666667</v>
      </c>
      <c r="S2891" s="4" t="str">
        <f>IFERROR(__xludf.DUMMYFUNCTION("""COMPUTED_VALUE"""),"null")</f>
        <v>null</v>
      </c>
      <c r="T2891" s="33">
        <f>IFERROR(__xludf.DUMMYFUNCTION("""COMPUTED_VALUE"""),0.6666666666666666)</f>
        <v>0.6666666667</v>
      </c>
      <c r="U2891" s="4" t="str">
        <f>IFERROR(__xludf.DUMMYFUNCTION("""COMPUTED_VALUE"""),"null")</f>
        <v>null</v>
      </c>
      <c r="V2891" s="33">
        <f>IFERROR(__xludf.DUMMYFUNCTION("""COMPUTED_VALUE"""),0.6666666666666666)</f>
        <v>0.6666666667</v>
      </c>
      <c r="W2891" s="4" t="str">
        <f>IFERROR(__xludf.DUMMYFUNCTION("""COMPUTED_VALUE"""),"Instadelivery")</f>
        <v>Instadelivery</v>
      </c>
      <c r="X2891" s="33">
        <f>IFERROR(__xludf.DUMMYFUNCTION("""COMPUTED_VALUE"""),0.3333333333333333)</f>
        <v>0.3333333333</v>
      </c>
    </row>
    <row r="2892">
      <c r="K2892" s="4" t="str">
        <f>IFERROR(__xludf.DUMMYFUNCTION("""COMPUTED_VALUE"""),"PIZZARIA PAULISTA")</f>
        <v>PIZZARIA PAULISTA</v>
      </c>
      <c r="L2892" s="32">
        <f>IFERROR(__xludf.DUMMYFUNCTION("""COMPUTED_VALUE"""),3.0)</f>
        <v>3</v>
      </c>
      <c r="M2892" s="4" t="str">
        <f>IFERROR(__xludf.DUMMYFUNCTION("""COMPUTED_VALUE"""),"Consumer Soluções Em Tecnologia Ltda")</f>
        <v>Consumer Soluções Em Tecnologia Ltda</v>
      </c>
      <c r="N2892" s="33">
        <f>IFERROR(__xludf.DUMMYFUNCTION("""COMPUTED_VALUE"""),0.3333333333333333)</f>
        <v>0.3333333333</v>
      </c>
      <c r="O2892" s="4" t="str">
        <f>IFERROR(__xludf.DUMMYFUNCTION("""COMPUTED_VALUE"""),"Consumer Soluções Em Tecnologia Ltda")</f>
        <v>Consumer Soluções Em Tecnologia Ltda</v>
      </c>
      <c r="P2892" s="33">
        <f>IFERROR(__xludf.DUMMYFUNCTION("""COMPUTED_VALUE"""),0.3333333333333333)</f>
        <v>0.3333333333</v>
      </c>
      <c r="Q2892" s="4" t="str">
        <f>IFERROR(__xludf.DUMMYFUNCTION("""COMPUTED_VALUE"""),"Consumer Soluções Em Tecnologia Ltda")</f>
        <v>Consumer Soluções Em Tecnologia Ltda</v>
      </c>
      <c r="R2892" s="33">
        <f>IFERROR(__xludf.DUMMYFUNCTION("""COMPUTED_VALUE"""),0.3333333333333333)</f>
        <v>0.3333333333</v>
      </c>
      <c r="S2892" s="4" t="str">
        <f>IFERROR(__xludf.DUMMYFUNCTION("""COMPUTED_VALUE"""),"Consumer Soluções Em Tecnologia Ltda")</f>
        <v>Consumer Soluções Em Tecnologia Ltda</v>
      </c>
      <c r="T2892" s="33">
        <f>IFERROR(__xludf.DUMMYFUNCTION("""COMPUTED_VALUE"""),0.3333333333333333)</f>
        <v>0.3333333333</v>
      </c>
      <c r="U2892" s="4" t="str">
        <f>IFERROR(__xludf.DUMMYFUNCTION("""COMPUTED_VALUE"""),"Consumer Soluções Em Tecnologia Ltda")</f>
        <v>Consumer Soluções Em Tecnologia Ltda</v>
      </c>
      <c r="V2892" s="33">
        <f>IFERROR(__xludf.DUMMYFUNCTION("""COMPUTED_VALUE"""),0.3333333333333333)</f>
        <v>0.3333333333</v>
      </c>
      <c r="W2892" s="4" t="str">
        <f>IFERROR(__xludf.DUMMYFUNCTION("""COMPUTED_VALUE"""),"Consumer Soluções Em Tecnologia Ltda")</f>
        <v>Consumer Soluções Em Tecnologia Ltda</v>
      </c>
      <c r="X2892" s="33">
        <f>IFERROR(__xludf.DUMMYFUNCTION("""COMPUTED_VALUE"""),0.3333333333333333)</f>
        <v>0.3333333333</v>
      </c>
    </row>
    <row r="2893">
      <c r="K2893" s="4" t="str">
        <f>IFERROR(__xludf.DUMMYFUNCTION("""COMPUTED_VALUE"""),"REI DA PIZZA - PIZZARIA")</f>
        <v>REI DA PIZZA - PIZZARIA</v>
      </c>
      <c r="L2893" s="32">
        <f>IFERROR(__xludf.DUMMYFUNCTION("""COMPUTED_VALUE"""),3.0)</f>
        <v>3</v>
      </c>
      <c r="M2893" s="4" t="str">
        <f>IFERROR(__xludf.DUMMYFUNCTION("""COMPUTED_VALUE"""),"null")</f>
        <v>null</v>
      </c>
      <c r="N2893" s="33">
        <f>IFERROR(__xludf.DUMMYFUNCTION("""COMPUTED_VALUE"""),0.6666666666666666)</f>
        <v>0.6666666667</v>
      </c>
      <c r="O2893" s="4" t="str">
        <f>IFERROR(__xludf.DUMMYFUNCTION("""COMPUTED_VALUE"""),"null")</f>
        <v>null</v>
      </c>
      <c r="P2893" s="33">
        <f>IFERROR(__xludf.DUMMYFUNCTION("""COMPUTED_VALUE"""),0.6666666666666666)</f>
        <v>0.6666666667</v>
      </c>
      <c r="Q2893" s="4" t="str">
        <f>IFERROR(__xludf.DUMMYFUNCTION("""COMPUTED_VALUE"""),"null")</f>
        <v>null</v>
      </c>
      <c r="R2893" s="33">
        <f>IFERROR(__xludf.DUMMYFUNCTION("""COMPUTED_VALUE"""),0.6666666666666666)</f>
        <v>0.6666666667</v>
      </c>
      <c r="S2893" s="4" t="str">
        <f>IFERROR(__xludf.DUMMYFUNCTION("""COMPUTED_VALUE"""),"Cardápio Web")</f>
        <v>Cardápio Web</v>
      </c>
      <c r="T2893" s="33">
        <f>IFERROR(__xludf.DUMMYFUNCTION("""COMPUTED_VALUE"""),0.3333333333333333)</f>
        <v>0.3333333333</v>
      </c>
      <c r="U2893" s="4" t="str">
        <f>IFERROR(__xludf.DUMMYFUNCTION("""COMPUTED_VALUE"""),"Cardápio Web")</f>
        <v>Cardápio Web</v>
      </c>
      <c r="V2893" s="33">
        <f>IFERROR(__xludf.DUMMYFUNCTION("""COMPUTED_VALUE"""),0.3333333333333333)</f>
        <v>0.3333333333</v>
      </c>
      <c r="W2893" s="4" t="str">
        <f>IFERROR(__xludf.DUMMYFUNCTION("""COMPUTED_VALUE"""),"null")</f>
        <v>null</v>
      </c>
      <c r="X2893" s="33">
        <f>IFERROR(__xludf.DUMMYFUNCTION("""COMPUTED_VALUE"""),0.6666666666666666)</f>
        <v>0.6666666667</v>
      </c>
    </row>
    <row r="2894">
      <c r="K2894" s="4" t="str">
        <f>IFERROR(__xludf.DUMMYFUNCTION("""COMPUTED_VALUE"""),"DROGARIA BUSCAFARMA")</f>
        <v>DROGARIA BUSCAFARMA</v>
      </c>
      <c r="L2894" s="32">
        <f>IFERROR(__xludf.DUMMYFUNCTION("""COMPUTED_VALUE"""),3.0)</f>
        <v>3</v>
      </c>
      <c r="M2894" s="4" t="str">
        <f>IFERROR(__xludf.DUMMYFUNCTION("""COMPUTED_VALUE"""),"N/A (Not found)")</f>
        <v>N/A (Not found)</v>
      </c>
      <c r="N2894" s="33">
        <f>IFERROR(__xludf.DUMMYFUNCTION("""COMPUTED_VALUE"""),0.6666666666666666)</f>
        <v>0.6666666667</v>
      </c>
      <c r="O2894" s="4" t="str">
        <f>IFERROR(__xludf.DUMMYFUNCTION("""COMPUTED_VALUE"""),"N/A (Not found)")</f>
        <v>N/A (Not found)</v>
      </c>
      <c r="P2894" s="33">
        <f>IFERROR(__xludf.DUMMYFUNCTION("""COMPUTED_VALUE"""),0.6666666666666666)</f>
        <v>0.6666666667</v>
      </c>
      <c r="Q2894" s="4" t="str">
        <f>IFERROR(__xludf.DUMMYFUNCTION("""COMPUTED_VALUE"""),"N/A (Not found)")</f>
        <v>N/A (Not found)</v>
      </c>
      <c r="R2894" s="33">
        <f>IFERROR(__xludf.DUMMYFUNCTION("""COMPUTED_VALUE"""),0.6666666666666666)</f>
        <v>0.6666666667</v>
      </c>
      <c r="S2894" s="4" t="str">
        <f>IFERROR(__xludf.DUMMYFUNCTION("""COMPUTED_VALUE"""),"N/A (Not found)")</f>
        <v>N/A (Not found)</v>
      </c>
      <c r="T2894" s="33">
        <f>IFERROR(__xludf.DUMMYFUNCTION("""COMPUTED_VALUE"""),0.6666666666666666)</f>
        <v>0.6666666667</v>
      </c>
      <c r="U2894" s="4" t="str">
        <f>IFERROR(__xludf.DUMMYFUNCTION("""COMPUTED_VALUE"""),"N/A (Not found)")</f>
        <v>N/A (Not found)</v>
      </c>
      <c r="V2894" s="33">
        <f>IFERROR(__xludf.DUMMYFUNCTION("""COMPUTED_VALUE"""),0.6666666666666666)</f>
        <v>0.6666666667</v>
      </c>
      <c r="W2894" s="4" t="str">
        <f>IFERROR(__xludf.DUMMYFUNCTION("""COMPUTED_VALUE"""),"N/A (Not found)")</f>
        <v>N/A (Not found)</v>
      </c>
      <c r="X2894" s="33">
        <f>IFERROR(__xludf.DUMMYFUNCTION("""COMPUTED_VALUE"""),1.0)</f>
        <v>1</v>
      </c>
    </row>
    <row r="2895">
      <c r="K2895" s="4" t="str">
        <f>IFERROR(__xludf.DUMMYFUNCTION("""COMPUTED_VALUE"""),"HAMBURGUERIA DINNS")</f>
        <v>HAMBURGUERIA DINNS</v>
      </c>
      <c r="L2895" s="32">
        <f>IFERROR(__xludf.DUMMYFUNCTION("""COMPUTED_VALUE"""),3.0)</f>
        <v>3</v>
      </c>
      <c r="M2895" s="4" t="str">
        <f>IFERROR(__xludf.DUMMYFUNCTION("""COMPUTED_VALUE"""),"Consumer Soluções Em Tecnologia Ltda")</f>
        <v>Consumer Soluções Em Tecnologia Ltda</v>
      </c>
      <c r="N2895" s="33">
        <f>IFERROR(__xludf.DUMMYFUNCTION("""COMPUTED_VALUE"""),1.0)</f>
        <v>1</v>
      </c>
      <c r="O2895" s="4" t="str">
        <f>IFERROR(__xludf.DUMMYFUNCTION("""COMPUTED_VALUE"""),"Consumer Soluções Em Tecnologia Ltda")</f>
        <v>Consumer Soluções Em Tecnologia Ltda</v>
      </c>
      <c r="P2895" s="33">
        <f>IFERROR(__xludf.DUMMYFUNCTION("""COMPUTED_VALUE"""),1.0)</f>
        <v>1</v>
      </c>
      <c r="Q2895" s="4" t="str">
        <f>IFERROR(__xludf.DUMMYFUNCTION("""COMPUTED_VALUE"""),"Consumer Soluções Em Tecnologia Ltda")</f>
        <v>Consumer Soluções Em Tecnologia Ltda</v>
      </c>
      <c r="R2895" s="33">
        <f>IFERROR(__xludf.DUMMYFUNCTION("""COMPUTED_VALUE"""),1.0)</f>
        <v>1</v>
      </c>
      <c r="S2895" s="4" t="str">
        <f>IFERROR(__xludf.DUMMYFUNCTION("""COMPUTED_VALUE"""),"Consumer Soluções Em Tecnologia Ltda")</f>
        <v>Consumer Soluções Em Tecnologia Ltda</v>
      </c>
      <c r="T2895" s="33">
        <f>IFERROR(__xludf.DUMMYFUNCTION("""COMPUTED_VALUE"""),1.0)</f>
        <v>1</v>
      </c>
      <c r="U2895" s="4" t="str">
        <f>IFERROR(__xludf.DUMMYFUNCTION("""COMPUTED_VALUE"""),"Consumer Soluções Em Tecnologia Ltda")</f>
        <v>Consumer Soluções Em Tecnologia Ltda</v>
      </c>
      <c r="V2895" s="33">
        <f>IFERROR(__xludf.DUMMYFUNCTION("""COMPUTED_VALUE"""),1.0)</f>
        <v>1</v>
      </c>
      <c r="W2895" s="4" t="str">
        <f>IFERROR(__xludf.DUMMYFUNCTION("""COMPUTED_VALUE"""),"Consumer Soluções Em Tecnologia Ltda")</f>
        <v>Consumer Soluções Em Tecnologia Ltda</v>
      </c>
      <c r="X2895" s="33">
        <f>IFERROR(__xludf.DUMMYFUNCTION("""COMPUTED_VALUE"""),1.0)</f>
        <v>1</v>
      </c>
    </row>
    <row r="2896">
      <c r="K2896" s="4" t="str">
        <f>IFERROR(__xludf.DUMMYFUNCTION("""COMPUTED_VALUE"""),"BULLS BURGUER")</f>
        <v>BULLS BURGUER</v>
      </c>
      <c r="L2896" s="32">
        <f>IFERROR(__xludf.DUMMYFUNCTION("""COMPUTED_VALUE"""),3.0)</f>
        <v>3</v>
      </c>
      <c r="M2896" s="4" t="str">
        <f>IFERROR(__xludf.DUMMYFUNCTION("""COMPUTED_VALUE"""),"null")</f>
        <v>null</v>
      </c>
      <c r="N2896" s="33">
        <f>IFERROR(__xludf.DUMMYFUNCTION("""COMPUTED_VALUE"""),0.6666666666666666)</f>
        <v>0.6666666667</v>
      </c>
      <c r="O2896" s="4" t="str">
        <f>IFERROR(__xludf.DUMMYFUNCTION("""COMPUTED_VALUE"""),"null")</f>
        <v>null</v>
      </c>
      <c r="P2896" s="33">
        <f>IFERROR(__xludf.DUMMYFUNCTION("""COMPUTED_VALUE"""),0.6666666666666666)</f>
        <v>0.6666666667</v>
      </c>
      <c r="Q2896" s="4" t="str">
        <f>IFERROR(__xludf.DUMMYFUNCTION("""COMPUTED_VALUE"""),"Brendi")</f>
        <v>Brendi</v>
      </c>
      <c r="R2896" s="33">
        <f>IFERROR(__xludf.DUMMYFUNCTION("""COMPUTED_VALUE"""),0.3333333333333333)</f>
        <v>0.3333333333</v>
      </c>
      <c r="S2896" s="4" t="str">
        <f>IFERROR(__xludf.DUMMYFUNCTION("""COMPUTED_VALUE"""),"Brendi")</f>
        <v>Brendi</v>
      </c>
      <c r="T2896" s="33">
        <f>IFERROR(__xludf.DUMMYFUNCTION("""COMPUTED_VALUE"""),0.3333333333333333)</f>
        <v>0.3333333333</v>
      </c>
      <c r="U2896" s="4" t="str">
        <f>IFERROR(__xludf.DUMMYFUNCTION("""COMPUTED_VALUE"""),"Brendi")</f>
        <v>Brendi</v>
      </c>
      <c r="V2896" s="33">
        <f>IFERROR(__xludf.DUMMYFUNCTION("""COMPUTED_VALUE"""),0.3333333333333333)</f>
        <v>0.3333333333</v>
      </c>
      <c r="W2896" s="4" t="str">
        <f>IFERROR(__xludf.DUMMYFUNCTION("""COMPUTED_VALUE"""),"Brendi")</f>
        <v>Brendi</v>
      </c>
      <c r="X2896" s="33">
        <f>IFERROR(__xludf.DUMMYFUNCTION("""COMPUTED_VALUE"""),0.3333333333333333)</f>
        <v>0.3333333333</v>
      </c>
    </row>
    <row r="2897">
      <c r="K2897" s="4" t="str">
        <f>IFERROR(__xludf.DUMMYFUNCTION("""COMPUTED_VALUE"""),"TOP CHURROS")</f>
        <v>TOP CHURROS</v>
      </c>
      <c r="L2897" s="32">
        <f>IFERROR(__xludf.DUMMYFUNCTION("""COMPUTED_VALUE"""),3.0)</f>
        <v>3</v>
      </c>
      <c r="M2897" s="4" t="str">
        <f>IFERROR(__xludf.DUMMYFUNCTION("""COMPUTED_VALUE"""),"Wls Solucoes Empresariais Ltda")</f>
        <v>Wls Solucoes Empresariais Ltda</v>
      </c>
      <c r="N2897" s="33">
        <f>IFERROR(__xludf.DUMMYFUNCTION("""COMPUTED_VALUE"""),0.6666666666666666)</f>
        <v>0.6666666667</v>
      </c>
      <c r="O2897" s="4" t="str">
        <f>IFERROR(__xludf.DUMMYFUNCTION("""COMPUTED_VALUE"""),"null")</f>
        <v>null</v>
      </c>
      <c r="P2897" s="33">
        <f>IFERROR(__xludf.DUMMYFUNCTION("""COMPUTED_VALUE"""),1.0)</f>
        <v>1</v>
      </c>
      <c r="Q2897" s="4" t="str">
        <f>IFERROR(__xludf.DUMMYFUNCTION("""COMPUTED_VALUE"""),"null")</f>
        <v>null</v>
      </c>
      <c r="R2897" s="33">
        <f>IFERROR(__xludf.DUMMYFUNCTION("""COMPUTED_VALUE"""),0.6666666666666666)</f>
        <v>0.6666666667</v>
      </c>
      <c r="S2897" s="4" t="str">
        <f>IFERROR(__xludf.DUMMYFUNCTION("""COMPUTED_VALUE"""),"Wls Solucoes Empresariais Ltda")</f>
        <v>Wls Solucoes Empresariais Ltda</v>
      </c>
      <c r="T2897" s="33">
        <f>IFERROR(__xludf.DUMMYFUNCTION("""COMPUTED_VALUE"""),0.6666666666666666)</f>
        <v>0.6666666667</v>
      </c>
      <c r="U2897" s="4" t="str">
        <f>IFERROR(__xludf.DUMMYFUNCTION("""COMPUTED_VALUE"""),"null")</f>
        <v>null</v>
      </c>
      <c r="V2897" s="33">
        <f>IFERROR(__xludf.DUMMYFUNCTION("""COMPUTED_VALUE"""),0.6666666666666666)</f>
        <v>0.6666666667</v>
      </c>
      <c r="W2897" s="4" t="str">
        <f>IFERROR(__xludf.DUMMYFUNCTION("""COMPUTED_VALUE"""),"Wls Solucoes Empresariais Ltda")</f>
        <v>Wls Solucoes Empresariais Ltda</v>
      </c>
      <c r="X2897" s="33">
        <f>IFERROR(__xludf.DUMMYFUNCTION("""COMPUTED_VALUE"""),0.6666666666666666)</f>
        <v>0.6666666667</v>
      </c>
    </row>
    <row r="2898">
      <c r="K2898" s="4" t="str">
        <f>IFERROR(__xludf.DUMMYFUNCTION("""COMPUTED_VALUE"""),"ICHIBAN SUSHI")</f>
        <v>ICHIBAN SUSHI</v>
      </c>
      <c r="L2898" s="32">
        <f>IFERROR(__xludf.DUMMYFUNCTION("""COMPUTED_VALUE"""),3.0)</f>
        <v>3</v>
      </c>
      <c r="M2898" s="4" t="str">
        <f>IFERROR(__xludf.DUMMYFUNCTION("""COMPUTED_VALUE"""),"Expresso Delivery")</f>
        <v>Expresso Delivery</v>
      </c>
      <c r="N2898" s="33">
        <f>IFERROR(__xludf.DUMMYFUNCTION("""COMPUTED_VALUE"""),0.3333333333333333)</f>
        <v>0.3333333333</v>
      </c>
      <c r="O2898" s="4" t="str">
        <f>IFERROR(__xludf.DUMMYFUNCTION("""COMPUTED_VALUE"""),"Expresso Delivery")</f>
        <v>Expresso Delivery</v>
      </c>
      <c r="P2898" s="33">
        <f>IFERROR(__xludf.DUMMYFUNCTION("""COMPUTED_VALUE"""),0.3333333333333333)</f>
        <v>0.3333333333</v>
      </c>
      <c r="Q2898" s="4" t="str">
        <f>IFERROR(__xludf.DUMMYFUNCTION("""COMPUTED_VALUE"""),"Expresso Delivery")</f>
        <v>Expresso Delivery</v>
      </c>
      <c r="R2898" s="33">
        <f>IFERROR(__xludf.DUMMYFUNCTION("""COMPUTED_VALUE"""),0.3333333333333333)</f>
        <v>0.3333333333</v>
      </c>
      <c r="S2898" s="4" t="str">
        <f>IFERROR(__xludf.DUMMYFUNCTION("""COMPUTED_VALUE"""),"Expresso Delivery")</f>
        <v>Expresso Delivery</v>
      </c>
      <c r="T2898" s="33">
        <f>IFERROR(__xludf.DUMMYFUNCTION("""COMPUTED_VALUE"""),0.3333333333333333)</f>
        <v>0.3333333333</v>
      </c>
      <c r="U2898" s="4" t="str">
        <f>IFERROR(__xludf.DUMMYFUNCTION("""COMPUTED_VALUE"""),"Expresso Delivery")</f>
        <v>Expresso Delivery</v>
      </c>
      <c r="V2898" s="33">
        <f>IFERROR(__xludf.DUMMYFUNCTION("""COMPUTED_VALUE"""),0.3333333333333333)</f>
        <v>0.3333333333</v>
      </c>
      <c r="W2898" s="4" t="str">
        <f>IFERROR(__xludf.DUMMYFUNCTION("""COMPUTED_VALUE"""),"Expresso Delivery")</f>
        <v>Expresso Delivery</v>
      </c>
      <c r="X2898" s="33">
        <f>IFERROR(__xludf.DUMMYFUNCTION("""COMPUTED_VALUE"""),0.3333333333333333)</f>
        <v>0.3333333333</v>
      </c>
    </row>
    <row r="2899">
      <c r="K2899" s="4" t="str">
        <f>IFERROR(__xludf.DUMMYFUNCTION("""COMPUTED_VALUE"""),"O REI DO LANCHE")</f>
        <v>O REI DO LANCHE</v>
      </c>
      <c r="L2899" s="32">
        <f>IFERROR(__xludf.DUMMYFUNCTION("""COMPUTED_VALUE"""),3.0)</f>
        <v>3</v>
      </c>
      <c r="M2899" s="4" t="str">
        <f>IFERROR(__xludf.DUMMYFUNCTION("""COMPUTED_VALUE"""),"Anota Ai Solucoes Digitais S/a")</f>
        <v>Anota Ai Solucoes Digitais S/a</v>
      </c>
      <c r="N2899" s="33">
        <f>IFERROR(__xludf.DUMMYFUNCTION("""COMPUTED_VALUE"""),0.6666666666666666)</f>
        <v>0.6666666667</v>
      </c>
      <c r="O2899" s="4" t="str">
        <f>IFERROR(__xludf.DUMMYFUNCTION("""COMPUTED_VALUE"""),"Anota Ai Solucoes Digitais S/a")</f>
        <v>Anota Ai Solucoes Digitais S/a</v>
      </c>
      <c r="P2899" s="33">
        <f>IFERROR(__xludf.DUMMYFUNCTION("""COMPUTED_VALUE"""),0.3333333333333333)</f>
        <v>0.3333333333</v>
      </c>
      <c r="Q2899" s="4" t="str">
        <f>IFERROR(__xludf.DUMMYFUNCTION("""COMPUTED_VALUE"""),"null")</f>
        <v>null</v>
      </c>
      <c r="R2899" s="33">
        <f>IFERROR(__xludf.DUMMYFUNCTION("""COMPUTED_VALUE"""),0.6666666666666666)</f>
        <v>0.6666666667</v>
      </c>
      <c r="S2899" s="4" t="str">
        <f>IFERROR(__xludf.DUMMYFUNCTION("""COMPUTED_VALUE"""),"null")</f>
        <v>null</v>
      </c>
      <c r="T2899" s="33">
        <f>IFERROR(__xludf.DUMMYFUNCTION("""COMPUTED_VALUE"""),0.6666666666666666)</f>
        <v>0.6666666667</v>
      </c>
      <c r="U2899" s="4" t="str">
        <f>IFERROR(__xludf.DUMMYFUNCTION("""COMPUTED_VALUE"""),"null")</f>
        <v>null</v>
      </c>
      <c r="V2899" s="33">
        <f>IFERROR(__xludf.DUMMYFUNCTION("""COMPUTED_VALUE"""),0.6666666666666666)</f>
        <v>0.6666666667</v>
      </c>
      <c r="W2899" s="4" t="str">
        <f>IFERROR(__xludf.DUMMYFUNCTION("""COMPUTED_VALUE"""),"null")</f>
        <v>null</v>
      </c>
      <c r="X2899" s="33">
        <f>IFERROR(__xludf.DUMMYFUNCTION("""COMPUTED_VALUE"""),0.6666666666666666)</f>
        <v>0.6666666667</v>
      </c>
    </row>
    <row r="2900">
      <c r="K2900" s="4" t="str">
        <f>IFERROR(__xludf.DUMMYFUNCTION("""COMPUTED_VALUE"""),"GORILLAS BURGUER")</f>
        <v>GORILLAS BURGUER</v>
      </c>
      <c r="L2900" s="32">
        <f>IFERROR(__xludf.DUMMYFUNCTION("""COMPUTED_VALUE"""),3.0)</f>
        <v>3</v>
      </c>
      <c r="M2900" s="4" t="str">
        <f>IFERROR(__xludf.DUMMYFUNCTION("""COMPUTED_VALUE"""),"Saipos Serviços De Software")</f>
        <v>Saipos Serviços De Software</v>
      </c>
      <c r="N2900" s="33">
        <f>IFERROR(__xludf.DUMMYFUNCTION("""COMPUTED_VALUE"""),0.3333333333333333)</f>
        <v>0.3333333333</v>
      </c>
      <c r="O2900" s="4" t="str">
        <f>IFERROR(__xludf.DUMMYFUNCTION("""COMPUTED_VALUE"""),"Saipos Serviços De Software")</f>
        <v>Saipos Serviços De Software</v>
      </c>
      <c r="P2900" s="33">
        <f>IFERROR(__xludf.DUMMYFUNCTION("""COMPUTED_VALUE"""),0.3333333333333333)</f>
        <v>0.3333333333</v>
      </c>
      <c r="Q2900" s="4" t="str">
        <f>IFERROR(__xludf.DUMMYFUNCTION("""COMPUTED_VALUE"""),"Saipos Serviços De Software")</f>
        <v>Saipos Serviços De Software</v>
      </c>
      <c r="R2900" s="33">
        <f>IFERROR(__xludf.DUMMYFUNCTION("""COMPUTED_VALUE"""),0.3333333333333333)</f>
        <v>0.3333333333</v>
      </c>
      <c r="S2900" s="4" t="str">
        <f>IFERROR(__xludf.DUMMYFUNCTION("""COMPUTED_VALUE"""),"Saipos Serviços De Software")</f>
        <v>Saipos Serviços De Software</v>
      </c>
      <c r="T2900" s="33">
        <f>IFERROR(__xludf.DUMMYFUNCTION("""COMPUTED_VALUE"""),0.3333333333333333)</f>
        <v>0.3333333333</v>
      </c>
      <c r="U2900" s="4" t="str">
        <f>IFERROR(__xludf.DUMMYFUNCTION("""COMPUTED_VALUE"""),"Saipos Serviços De Software")</f>
        <v>Saipos Serviços De Software</v>
      </c>
      <c r="V2900" s="33">
        <f>IFERROR(__xludf.DUMMYFUNCTION("""COMPUTED_VALUE"""),0.3333333333333333)</f>
        <v>0.3333333333</v>
      </c>
      <c r="W2900" s="4" t="str">
        <f>IFERROR(__xludf.DUMMYFUNCTION("""COMPUTED_VALUE"""),"Saipos Serviços De Software")</f>
        <v>Saipos Serviços De Software</v>
      </c>
      <c r="X2900" s="33">
        <f>IFERROR(__xludf.DUMMYFUNCTION("""COMPUTED_VALUE"""),0.3333333333333333)</f>
        <v>0.3333333333</v>
      </c>
    </row>
    <row r="2901">
      <c r="K2901" s="4" t="str">
        <f>IFERROR(__xludf.DUMMYFUNCTION("""COMPUTED_VALUE"""),"TWO BROTHERS")</f>
        <v>TWO BROTHERS</v>
      </c>
      <c r="L2901" s="32">
        <f>IFERROR(__xludf.DUMMYFUNCTION("""COMPUTED_VALUE"""),3.0)</f>
        <v>3</v>
      </c>
      <c r="M2901" s="4" t="str">
        <f>IFERROR(__xludf.DUMMYFUNCTION("""COMPUTED_VALUE"""),"Saipos Serviços De Software")</f>
        <v>Saipos Serviços De Software</v>
      </c>
      <c r="N2901" s="33">
        <f>IFERROR(__xludf.DUMMYFUNCTION("""COMPUTED_VALUE"""),0.3333333333333333)</f>
        <v>0.3333333333</v>
      </c>
      <c r="O2901" s="4" t="str">
        <f>IFERROR(__xludf.DUMMYFUNCTION("""COMPUTED_VALUE"""),"null")</f>
        <v>null</v>
      </c>
      <c r="P2901" s="33">
        <f>IFERROR(__xludf.DUMMYFUNCTION("""COMPUTED_VALUE"""),0.3333333333333333)</f>
        <v>0.3333333333</v>
      </c>
      <c r="Q2901" s="4" t="str">
        <f>IFERROR(__xludf.DUMMYFUNCTION("""COMPUTED_VALUE"""),"null")</f>
        <v>null</v>
      </c>
      <c r="R2901" s="33">
        <f>IFERROR(__xludf.DUMMYFUNCTION("""COMPUTED_VALUE"""),0.3333333333333333)</f>
        <v>0.3333333333</v>
      </c>
      <c r="S2901" s="4" t="str">
        <f>IFERROR(__xludf.DUMMYFUNCTION("""COMPUTED_VALUE"""),"null")</f>
        <v>null</v>
      </c>
      <c r="T2901" s="33">
        <f>IFERROR(__xludf.DUMMYFUNCTION("""COMPUTED_VALUE"""),0.3333333333333333)</f>
        <v>0.3333333333</v>
      </c>
      <c r="U2901" s="4" t="str">
        <f>IFERROR(__xludf.DUMMYFUNCTION("""COMPUTED_VALUE"""),"null")</f>
        <v>null</v>
      </c>
      <c r="V2901" s="33">
        <f>IFERROR(__xludf.DUMMYFUNCTION("""COMPUTED_VALUE"""),0.3333333333333333)</f>
        <v>0.3333333333</v>
      </c>
      <c r="W2901" s="4" t="str">
        <f>IFERROR(__xludf.DUMMYFUNCTION("""COMPUTED_VALUE"""),"null")</f>
        <v>null</v>
      </c>
      <c r="X2901" s="33">
        <f>IFERROR(__xludf.DUMMYFUNCTION("""COMPUTED_VALUE"""),0.3333333333333333)</f>
        <v>0.3333333333</v>
      </c>
    </row>
    <row r="2902">
      <c r="K2902" s="4" t="str">
        <f>IFERROR(__xludf.DUMMYFUNCTION("""COMPUTED_VALUE"""),"ARTE DA PIZZA")</f>
        <v>ARTE DA PIZZA</v>
      </c>
      <c r="L2902" s="32">
        <f>IFERROR(__xludf.DUMMYFUNCTION("""COMPUTED_VALUE"""),3.0)</f>
        <v>3</v>
      </c>
      <c r="M2902" s="4" t="str">
        <f>IFERROR(__xludf.DUMMYFUNCTION("""COMPUTED_VALUE"""),"null")</f>
        <v>null</v>
      </c>
      <c r="N2902" s="33">
        <f>IFERROR(__xludf.DUMMYFUNCTION("""COMPUTED_VALUE"""),0.6666666666666666)</f>
        <v>0.6666666667</v>
      </c>
      <c r="O2902" s="4" t="str">
        <f>IFERROR(__xludf.DUMMYFUNCTION("""COMPUTED_VALUE"""),"Latech Informatica Ltda")</f>
        <v>Latech Informatica Ltda</v>
      </c>
      <c r="P2902" s="33">
        <f>IFERROR(__xludf.DUMMYFUNCTION("""COMPUTED_VALUE"""),0.3333333333333333)</f>
        <v>0.3333333333</v>
      </c>
      <c r="Q2902" s="4" t="str">
        <f>IFERROR(__xludf.DUMMYFUNCTION("""COMPUTED_VALUE"""),"null")</f>
        <v>null</v>
      </c>
      <c r="R2902" s="33">
        <f>IFERROR(__xludf.DUMMYFUNCTION("""COMPUTED_VALUE"""),0.6666666666666666)</f>
        <v>0.6666666667</v>
      </c>
      <c r="S2902" s="4" t="str">
        <f>IFERROR(__xludf.DUMMYFUNCTION("""COMPUTED_VALUE"""),"null")</f>
        <v>null</v>
      </c>
      <c r="T2902" s="33">
        <f>IFERROR(__xludf.DUMMYFUNCTION("""COMPUTED_VALUE"""),0.6666666666666666)</f>
        <v>0.6666666667</v>
      </c>
      <c r="U2902" s="4" t="str">
        <f>IFERROR(__xludf.DUMMYFUNCTION("""COMPUTED_VALUE"""),"null")</f>
        <v>null</v>
      </c>
      <c r="V2902" s="33">
        <f>IFERROR(__xludf.DUMMYFUNCTION("""COMPUTED_VALUE"""),0.6666666666666666)</f>
        <v>0.6666666667</v>
      </c>
      <c r="W2902" s="4" t="str">
        <f>IFERROR(__xludf.DUMMYFUNCTION("""COMPUTED_VALUE"""),"null")</f>
        <v>null</v>
      </c>
      <c r="X2902" s="33">
        <f>IFERROR(__xludf.DUMMYFUNCTION("""COMPUTED_VALUE"""),0.3333333333333333)</f>
        <v>0.3333333333</v>
      </c>
    </row>
    <row r="2903">
      <c r="K2903" s="4" t="str">
        <f>IFERROR(__xludf.DUMMYFUNCTION("""COMPUTED_VALUE"""),"SORVETERIA BEGUETTO")</f>
        <v>SORVETERIA BEGUETTO</v>
      </c>
      <c r="L2903" s="32">
        <f>IFERROR(__xludf.DUMMYFUNCTION("""COMPUTED_VALUE"""),3.0)</f>
        <v>3</v>
      </c>
      <c r="M2903" s="4" t="str">
        <f>IFERROR(__xludf.DUMMYFUNCTION("""COMPUTED_VALUE"""),"Infototal Technology")</f>
        <v>Infototal Technology</v>
      </c>
      <c r="N2903" s="33">
        <f>IFERROR(__xludf.DUMMYFUNCTION("""COMPUTED_VALUE"""),0.6666666666666666)</f>
        <v>0.6666666667</v>
      </c>
      <c r="O2903" s="4" t="str">
        <f>IFERROR(__xludf.DUMMYFUNCTION("""COMPUTED_VALUE"""),"Infototal Technology")</f>
        <v>Infototal Technology</v>
      </c>
      <c r="P2903" s="33">
        <f>IFERROR(__xludf.DUMMYFUNCTION("""COMPUTED_VALUE"""),1.0)</f>
        <v>1</v>
      </c>
      <c r="Q2903" s="4" t="str">
        <f>IFERROR(__xludf.DUMMYFUNCTION("""COMPUTED_VALUE"""),"Infototal Technology")</f>
        <v>Infototal Technology</v>
      </c>
      <c r="R2903" s="33">
        <f>IFERROR(__xludf.DUMMYFUNCTION("""COMPUTED_VALUE"""),0.6666666666666666)</f>
        <v>0.6666666667</v>
      </c>
      <c r="S2903" s="4" t="str">
        <f>IFERROR(__xludf.DUMMYFUNCTION("""COMPUTED_VALUE"""),"Infototal Technology")</f>
        <v>Infototal Technology</v>
      </c>
      <c r="T2903" s="33">
        <f>IFERROR(__xludf.DUMMYFUNCTION("""COMPUTED_VALUE"""),0.6666666666666666)</f>
        <v>0.6666666667</v>
      </c>
      <c r="U2903" s="4" t="str">
        <f>IFERROR(__xludf.DUMMYFUNCTION("""COMPUTED_VALUE"""),"Infototal Technology")</f>
        <v>Infototal Technology</v>
      </c>
      <c r="V2903" s="33">
        <f>IFERROR(__xludf.DUMMYFUNCTION("""COMPUTED_VALUE"""),0.6666666666666666)</f>
        <v>0.6666666667</v>
      </c>
      <c r="W2903" s="4" t="str">
        <f>IFERROR(__xludf.DUMMYFUNCTION("""COMPUTED_VALUE"""),"Infototal Technology")</f>
        <v>Infototal Technology</v>
      </c>
      <c r="X2903" s="33">
        <f>IFERROR(__xludf.DUMMYFUNCTION("""COMPUTED_VALUE"""),0.6666666666666666)</f>
        <v>0.6666666667</v>
      </c>
    </row>
    <row r="2904">
      <c r="K2904" s="4" t="str">
        <f>IFERROR(__xludf.DUMMYFUNCTION("""COMPUTED_VALUE"""),"MESTRE DO SABOR")</f>
        <v>MESTRE DO SABOR</v>
      </c>
      <c r="L2904" s="32">
        <f>IFERROR(__xludf.DUMMYFUNCTION("""COMPUTED_VALUE"""),3.0)</f>
        <v>3</v>
      </c>
      <c r="M2904" s="4" t="str">
        <f>IFERROR(__xludf.DUMMYFUNCTION("""COMPUTED_VALUE"""),"Agilizup Solucoes Ltda")</f>
        <v>Agilizup Solucoes Ltda</v>
      </c>
      <c r="N2904" s="33">
        <f>IFERROR(__xludf.DUMMYFUNCTION("""COMPUTED_VALUE"""),0.3333333333333333)</f>
        <v>0.3333333333</v>
      </c>
      <c r="O2904" s="4" t="str">
        <f>IFERROR(__xludf.DUMMYFUNCTION("""COMPUTED_VALUE"""),"Agilizup Solucoes Ltda")</f>
        <v>Agilizup Solucoes Ltda</v>
      </c>
      <c r="P2904" s="33">
        <f>IFERROR(__xludf.DUMMYFUNCTION("""COMPUTED_VALUE"""),0.3333333333333333)</f>
        <v>0.3333333333</v>
      </c>
      <c r="Q2904" s="4" t="str">
        <f>IFERROR(__xludf.DUMMYFUNCTION("""COMPUTED_VALUE"""),"Agilizup Solucoes Ltda")</f>
        <v>Agilizup Solucoes Ltda</v>
      </c>
      <c r="R2904" s="33">
        <f>IFERROR(__xludf.DUMMYFUNCTION("""COMPUTED_VALUE"""),0.3333333333333333)</f>
        <v>0.3333333333</v>
      </c>
      <c r="S2904" s="4" t="str">
        <f>IFERROR(__xludf.DUMMYFUNCTION("""COMPUTED_VALUE"""),"Agilizup Solucoes Ltda")</f>
        <v>Agilizup Solucoes Ltda</v>
      </c>
      <c r="T2904" s="33">
        <f>IFERROR(__xludf.DUMMYFUNCTION("""COMPUTED_VALUE"""),0.3333333333333333)</f>
        <v>0.3333333333</v>
      </c>
      <c r="U2904" s="4" t="str">
        <f>IFERROR(__xludf.DUMMYFUNCTION("""COMPUTED_VALUE"""),"Agilizup Solucoes Ltda")</f>
        <v>Agilizup Solucoes Ltda</v>
      </c>
      <c r="V2904" s="33">
        <f>IFERROR(__xludf.DUMMYFUNCTION("""COMPUTED_VALUE"""),0.3333333333333333)</f>
        <v>0.3333333333</v>
      </c>
      <c r="W2904" s="4" t="str">
        <f>IFERROR(__xludf.DUMMYFUNCTION("""COMPUTED_VALUE"""),"Agilizup Solucoes Ltda")</f>
        <v>Agilizup Solucoes Ltda</v>
      </c>
      <c r="X2904" s="33">
        <f>IFERROR(__xludf.DUMMYFUNCTION("""COMPUTED_VALUE"""),0.3333333333333333)</f>
        <v>0.3333333333</v>
      </c>
    </row>
    <row r="2905">
      <c r="K2905" s="4" t="str">
        <f>IFERROR(__xludf.DUMMYFUNCTION("""COMPUTED_VALUE"""),"OKA POKE")</f>
        <v>OKA POKE</v>
      </c>
      <c r="L2905" s="32">
        <f>IFERROR(__xludf.DUMMYFUNCTION("""COMPUTED_VALUE"""),3.0)</f>
        <v>3</v>
      </c>
      <c r="M2905" s="4" t="str">
        <f>IFERROR(__xludf.DUMMYFUNCTION("""COMPUTED_VALUE"""),"Saipos Serviços De Software")</f>
        <v>Saipos Serviços De Software</v>
      </c>
      <c r="N2905" s="33">
        <f>IFERROR(__xludf.DUMMYFUNCTION("""COMPUTED_VALUE"""),0.6666666666666666)</f>
        <v>0.6666666667</v>
      </c>
      <c r="O2905" s="4" t="str">
        <f>IFERROR(__xludf.DUMMYFUNCTION("""COMPUTED_VALUE"""),"Saipos Serviços De Software")</f>
        <v>Saipos Serviços De Software</v>
      </c>
      <c r="P2905" s="33">
        <f>IFERROR(__xludf.DUMMYFUNCTION("""COMPUTED_VALUE"""),0.3333333333333333)</f>
        <v>0.3333333333</v>
      </c>
      <c r="Q2905" s="4" t="str">
        <f>IFERROR(__xludf.DUMMYFUNCTION("""COMPUTED_VALUE"""),"Saipos Serviços De Software")</f>
        <v>Saipos Serviços De Software</v>
      </c>
      <c r="R2905" s="33">
        <f>IFERROR(__xludf.DUMMYFUNCTION("""COMPUTED_VALUE"""),0.6666666666666666)</f>
        <v>0.6666666667</v>
      </c>
      <c r="S2905" s="4" t="str">
        <f>IFERROR(__xludf.DUMMYFUNCTION("""COMPUTED_VALUE"""),"Saipos Serviços De Software")</f>
        <v>Saipos Serviços De Software</v>
      </c>
      <c r="T2905" s="33">
        <f>IFERROR(__xludf.DUMMYFUNCTION("""COMPUTED_VALUE"""),0.6666666666666666)</f>
        <v>0.6666666667</v>
      </c>
      <c r="U2905" s="4" t="str">
        <f>IFERROR(__xludf.DUMMYFUNCTION("""COMPUTED_VALUE"""),"Saipos Serviços De Software")</f>
        <v>Saipos Serviços De Software</v>
      </c>
      <c r="V2905" s="33">
        <f>IFERROR(__xludf.DUMMYFUNCTION("""COMPUTED_VALUE"""),0.6666666666666666)</f>
        <v>0.6666666667</v>
      </c>
      <c r="W2905" s="4" t="str">
        <f>IFERROR(__xludf.DUMMYFUNCTION("""COMPUTED_VALUE"""),"Saipos Serviços De Software")</f>
        <v>Saipos Serviços De Software</v>
      </c>
      <c r="X2905" s="33">
        <f>IFERROR(__xludf.DUMMYFUNCTION("""COMPUTED_VALUE"""),0.6666666666666666)</f>
        <v>0.6666666667</v>
      </c>
    </row>
    <row r="2906">
      <c r="K2906" s="4" t="str">
        <f>IFERROR(__xludf.DUMMYFUNCTION("""COMPUTED_VALUE"""),"DROGARIAS MAX")</f>
        <v>DROGARIAS MAX</v>
      </c>
      <c r="L2906" s="32">
        <f>IFERROR(__xludf.DUMMYFUNCTION("""COMPUTED_VALUE"""),3.0)</f>
        <v>3</v>
      </c>
      <c r="M2906" s="4" t="str">
        <f>IFERROR(__xludf.DUMMYFUNCTION("""COMPUTED_VALUE"""),"N/A (Not found)")</f>
        <v>N/A (Not found)</v>
      </c>
      <c r="N2906" s="33">
        <f>IFERROR(__xludf.DUMMYFUNCTION("""COMPUTED_VALUE"""),1.0)</f>
        <v>1</v>
      </c>
      <c r="O2906" s="4" t="str">
        <f>IFERROR(__xludf.DUMMYFUNCTION("""COMPUTED_VALUE"""),"N/A (Not found)")</f>
        <v>N/A (Not found)</v>
      </c>
      <c r="P2906" s="33">
        <f>IFERROR(__xludf.DUMMYFUNCTION("""COMPUTED_VALUE"""),1.0)</f>
        <v>1</v>
      </c>
      <c r="Q2906" s="4" t="str">
        <f>IFERROR(__xludf.DUMMYFUNCTION("""COMPUTED_VALUE"""),"N/A (Not found)")</f>
        <v>N/A (Not found)</v>
      </c>
      <c r="R2906" s="33">
        <f>IFERROR(__xludf.DUMMYFUNCTION("""COMPUTED_VALUE"""),1.0)</f>
        <v>1</v>
      </c>
      <c r="S2906" s="4" t="str">
        <f>IFERROR(__xludf.DUMMYFUNCTION("""COMPUTED_VALUE"""),"N/A (Not found)")</f>
        <v>N/A (Not found)</v>
      </c>
      <c r="T2906" s="33">
        <f>IFERROR(__xludf.DUMMYFUNCTION("""COMPUTED_VALUE"""),1.0)</f>
        <v>1</v>
      </c>
      <c r="U2906" s="4" t="str">
        <f>IFERROR(__xludf.DUMMYFUNCTION("""COMPUTED_VALUE"""),"N/A (Not found)")</f>
        <v>N/A (Not found)</v>
      </c>
      <c r="V2906" s="33">
        <f>IFERROR(__xludf.DUMMYFUNCTION("""COMPUTED_VALUE"""),1.0)</f>
        <v>1</v>
      </c>
      <c r="W2906" s="4" t="str">
        <f>IFERROR(__xludf.DUMMYFUNCTION("""COMPUTED_VALUE"""),"N/A (Not found)")</f>
        <v>N/A (Not found)</v>
      </c>
      <c r="X2906" s="33">
        <f>IFERROR(__xludf.DUMMYFUNCTION("""COMPUTED_VALUE"""),1.0)</f>
        <v>1</v>
      </c>
    </row>
    <row r="2907">
      <c r="K2907" s="4" t="str">
        <f>IFERROR(__xludf.DUMMYFUNCTION("""COMPUTED_VALUE"""),"HAMBURGUERIA DO ROCHA")</f>
        <v>HAMBURGUERIA DO ROCHA</v>
      </c>
      <c r="L2907" s="32">
        <f>IFERROR(__xludf.DUMMYFUNCTION("""COMPUTED_VALUE"""),3.0)</f>
        <v>3</v>
      </c>
      <c r="M2907" s="4" t="str">
        <f>IFERROR(__xludf.DUMMYFUNCTION("""COMPUTED_VALUE"""),"Cardápio Web")</f>
        <v>Cardápio Web</v>
      </c>
      <c r="N2907" s="33">
        <f>IFERROR(__xludf.DUMMYFUNCTION("""COMPUTED_VALUE"""),0.6666666666666666)</f>
        <v>0.6666666667</v>
      </c>
      <c r="O2907" s="4" t="str">
        <f>IFERROR(__xludf.DUMMYFUNCTION("""COMPUTED_VALUE"""),"Cardápio Web")</f>
        <v>Cardápio Web</v>
      </c>
      <c r="P2907" s="33">
        <f>IFERROR(__xludf.DUMMYFUNCTION("""COMPUTED_VALUE"""),0.6666666666666666)</f>
        <v>0.6666666667</v>
      </c>
      <c r="Q2907" s="4" t="str">
        <f>IFERROR(__xludf.DUMMYFUNCTION("""COMPUTED_VALUE"""),"null")</f>
        <v>null</v>
      </c>
      <c r="R2907" s="33">
        <f>IFERROR(__xludf.DUMMYFUNCTION("""COMPUTED_VALUE"""),0.6666666666666666)</f>
        <v>0.6666666667</v>
      </c>
      <c r="S2907" s="4" t="str">
        <f>IFERROR(__xludf.DUMMYFUNCTION("""COMPUTED_VALUE"""),"null")</f>
        <v>null</v>
      </c>
      <c r="T2907" s="33">
        <f>IFERROR(__xludf.DUMMYFUNCTION("""COMPUTED_VALUE"""),0.6666666666666666)</f>
        <v>0.6666666667</v>
      </c>
      <c r="U2907" s="4" t="str">
        <f>IFERROR(__xludf.DUMMYFUNCTION("""COMPUTED_VALUE"""),"null")</f>
        <v>null</v>
      </c>
      <c r="V2907" s="33">
        <f>IFERROR(__xludf.DUMMYFUNCTION("""COMPUTED_VALUE"""),1.0)</f>
        <v>1</v>
      </c>
      <c r="W2907" s="4" t="str">
        <f>IFERROR(__xludf.DUMMYFUNCTION("""COMPUTED_VALUE"""),"null")</f>
        <v>null</v>
      </c>
      <c r="X2907" s="33">
        <f>IFERROR(__xludf.DUMMYFUNCTION("""COMPUTED_VALUE"""),1.0)</f>
        <v>1</v>
      </c>
    </row>
    <row r="2908">
      <c r="K2908" s="4" t="str">
        <f>IFERROR(__xludf.DUMMYFUNCTION("""COMPUTED_VALUE"""),"DESTAK LANCHES")</f>
        <v>DESTAK LANCHES</v>
      </c>
      <c r="L2908" s="32">
        <f>IFERROR(__xludf.DUMMYFUNCTION("""COMPUTED_VALUE"""),3.0)</f>
        <v>3</v>
      </c>
      <c r="M2908" s="4" t="str">
        <f>IFERROR(__xludf.DUMMYFUNCTION("""COMPUTED_VALUE"""),"Eclética Tecnologia")</f>
        <v>Eclética Tecnologia</v>
      </c>
      <c r="N2908" s="33">
        <f>IFERROR(__xludf.DUMMYFUNCTION("""COMPUTED_VALUE"""),0.3333333333333333)</f>
        <v>0.3333333333</v>
      </c>
      <c r="O2908" s="4" t="str">
        <f>IFERROR(__xludf.DUMMYFUNCTION("""COMPUTED_VALUE"""),"Eclética Tecnologia")</f>
        <v>Eclética Tecnologia</v>
      </c>
      <c r="P2908" s="33">
        <f>IFERROR(__xludf.DUMMYFUNCTION("""COMPUTED_VALUE"""),0.3333333333333333)</f>
        <v>0.3333333333</v>
      </c>
      <c r="Q2908" s="4" t="str">
        <f>IFERROR(__xludf.DUMMYFUNCTION("""COMPUTED_VALUE"""),"null")</f>
        <v>null</v>
      </c>
      <c r="R2908" s="33">
        <f>IFERROR(__xludf.DUMMYFUNCTION("""COMPUTED_VALUE"""),0.6666666666666666)</f>
        <v>0.6666666667</v>
      </c>
      <c r="S2908" s="4" t="str">
        <f>IFERROR(__xludf.DUMMYFUNCTION("""COMPUTED_VALUE"""),"null")</f>
        <v>null</v>
      </c>
      <c r="T2908" s="33">
        <f>IFERROR(__xludf.DUMMYFUNCTION("""COMPUTED_VALUE"""),0.6666666666666666)</f>
        <v>0.6666666667</v>
      </c>
      <c r="U2908" s="4" t="str">
        <f>IFERROR(__xludf.DUMMYFUNCTION("""COMPUTED_VALUE"""),"Eclética Tecnologia")</f>
        <v>Eclética Tecnologia</v>
      </c>
      <c r="V2908" s="33">
        <f>IFERROR(__xludf.DUMMYFUNCTION("""COMPUTED_VALUE"""),0.3333333333333333)</f>
        <v>0.3333333333</v>
      </c>
      <c r="W2908" s="4" t="str">
        <f>IFERROR(__xludf.DUMMYFUNCTION("""COMPUTED_VALUE"""),"Eclética Tecnologia")</f>
        <v>Eclética Tecnologia</v>
      </c>
      <c r="X2908" s="33">
        <f>IFERROR(__xludf.DUMMYFUNCTION("""COMPUTED_VALUE"""),0.3333333333333333)</f>
        <v>0.3333333333</v>
      </c>
    </row>
    <row r="2909">
      <c r="K2909" s="4" t="str">
        <f>IFERROR(__xludf.DUMMYFUNCTION("""COMPUTED_VALUE"""),"HIPER POPULAR DROGARIAS")</f>
        <v>HIPER POPULAR DROGARIAS</v>
      </c>
      <c r="L2909" s="32">
        <f>IFERROR(__xludf.DUMMYFUNCTION("""COMPUTED_VALUE"""),3.0)</f>
        <v>3</v>
      </c>
      <c r="M2909" s="4" t="str">
        <f>IFERROR(__xludf.DUMMYFUNCTION("""COMPUTED_VALUE"""),"N/A (Not found)")</f>
        <v>N/A (Not found)</v>
      </c>
      <c r="N2909" s="33">
        <f>IFERROR(__xludf.DUMMYFUNCTION("""COMPUTED_VALUE"""),0.6666666666666666)</f>
        <v>0.6666666667</v>
      </c>
      <c r="O2909" s="4" t="str">
        <f>IFERROR(__xludf.DUMMYFUNCTION("""COMPUTED_VALUE"""),"N/A (Not found)")</f>
        <v>N/A (Not found)</v>
      </c>
      <c r="P2909" s="33">
        <f>IFERROR(__xludf.DUMMYFUNCTION("""COMPUTED_VALUE"""),0.6666666666666666)</f>
        <v>0.6666666667</v>
      </c>
      <c r="Q2909" s="4" t="str">
        <f>IFERROR(__xludf.DUMMYFUNCTION("""COMPUTED_VALUE"""),"N/A (Not found)")</f>
        <v>N/A (Not found)</v>
      </c>
      <c r="R2909" s="33">
        <f>IFERROR(__xludf.DUMMYFUNCTION("""COMPUTED_VALUE"""),0.6666666666666666)</f>
        <v>0.6666666667</v>
      </c>
      <c r="S2909" s="4" t="str">
        <f>IFERROR(__xludf.DUMMYFUNCTION("""COMPUTED_VALUE"""),"N/A (Not found)")</f>
        <v>N/A (Not found)</v>
      </c>
      <c r="T2909" s="33">
        <f>IFERROR(__xludf.DUMMYFUNCTION("""COMPUTED_VALUE"""),0.6666666666666666)</f>
        <v>0.6666666667</v>
      </c>
      <c r="U2909" s="4" t="str">
        <f>IFERROR(__xludf.DUMMYFUNCTION("""COMPUTED_VALUE"""),"N/A (Not found)")</f>
        <v>N/A (Not found)</v>
      </c>
      <c r="V2909" s="33">
        <f>IFERROR(__xludf.DUMMYFUNCTION("""COMPUTED_VALUE"""),1.0)</f>
        <v>1</v>
      </c>
      <c r="W2909" s="4" t="str">
        <f>IFERROR(__xludf.DUMMYFUNCTION("""COMPUTED_VALUE"""),"N/A (Not found)")</f>
        <v>N/A (Not found)</v>
      </c>
      <c r="X2909" s="33">
        <f>IFERROR(__xludf.DUMMYFUNCTION("""COMPUTED_VALUE"""),1.0)</f>
        <v>1</v>
      </c>
    </row>
    <row r="2910">
      <c r="K2910" s="4" t="str">
        <f>IFERROR(__xludf.DUMMYFUNCTION("""COMPUTED_VALUE"""),"DOCE CAPRICHO")</f>
        <v>DOCE CAPRICHO</v>
      </c>
      <c r="L2910" s="32">
        <f>IFERROR(__xludf.DUMMYFUNCTION("""COMPUTED_VALUE"""),3.0)</f>
        <v>3</v>
      </c>
      <c r="M2910" s="4" t="str">
        <f>IFERROR(__xludf.DUMMYFUNCTION("""COMPUTED_VALUE"""),"Cardápio Web")</f>
        <v>Cardápio Web</v>
      </c>
      <c r="N2910" s="33">
        <f>IFERROR(__xludf.DUMMYFUNCTION("""COMPUTED_VALUE"""),1.0)</f>
        <v>1</v>
      </c>
      <c r="O2910" s="4" t="str">
        <f>IFERROR(__xludf.DUMMYFUNCTION("""COMPUTED_VALUE"""),"Cardápio Web")</f>
        <v>Cardápio Web</v>
      </c>
      <c r="P2910" s="33">
        <f>IFERROR(__xludf.DUMMYFUNCTION("""COMPUTED_VALUE"""),1.0)</f>
        <v>1</v>
      </c>
      <c r="Q2910" s="4" t="str">
        <f>IFERROR(__xludf.DUMMYFUNCTION("""COMPUTED_VALUE"""),"Cardápio Web")</f>
        <v>Cardápio Web</v>
      </c>
      <c r="R2910" s="33">
        <f>IFERROR(__xludf.DUMMYFUNCTION("""COMPUTED_VALUE"""),1.0)</f>
        <v>1</v>
      </c>
      <c r="S2910" s="4" t="str">
        <f>IFERROR(__xludf.DUMMYFUNCTION("""COMPUTED_VALUE"""),"Cardápio Web")</f>
        <v>Cardápio Web</v>
      </c>
      <c r="T2910" s="33">
        <f>IFERROR(__xludf.DUMMYFUNCTION("""COMPUTED_VALUE"""),0.6666666666666666)</f>
        <v>0.6666666667</v>
      </c>
      <c r="U2910" s="4" t="str">
        <f>IFERROR(__xludf.DUMMYFUNCTION("""COMPUTED_VALUE"""),"Cardápio Web")</f>
        <v>Cardápio Web</v>
      </c>
      <c r="V2910" s="33">
        <f>IFERROR(__xludf.DUMMYFUNCTION("""COMPUTED_VALUE"""),0.6666666666666666)</f>
        <v>0.6666666667</v>
      </c>
      <c r="W2910" s="4" t="str">
        <f>IFERROR(__xludf.DUMMYFUNCTION("""COMPUTED_VALUE"""),"Cardápio Web")</f>
        <v>Cardápio Web</v>
      </c>
      <c r="X2910" s="33">
        <f>IFERROR(__xludf.DUMMYFUNCTION("""COMPUTED_VALUE"""),0.6666666666666666)</f>
        <v>0.6666666667</v>
      </c>
    </row>
    <row r="2911">
      <c r="K2911" s="4" t="str">
        <f>IFERROR(__xludf.DUMMYFUNCTION("""COMPUTED_VALUE"""),"DROGARIA PAULISTA")</f>
        <v>DROGARIA PAULISTA</v>
      </c>
      <c r="L2911" s="32">
        <f>IFERROR(__xludf.DUMMYFUNCTION("""COMPUTED_VALUE"""),3.0)</f>
        <v>3</v>
      </c>
      <c r="M2911" s="4" t="str">
        <f>IFERROR(__xludf.DUMMYFUNCTION("""COMPUTED_VALUE"""),"null")</f>
        <v>null</v>
      </c>
      <c r="N2911" s="33">
        <f>IFERROR(__xludf.DUMMYFUNCTION("""COMPUTED_VALUE"""),0.6666666666666666)</f>
        <v>0.6666666667</v>
      </c>
      <c r="O2911" s="4" t="str">
        <f>IFERROR(__xludf.DUMMYFUNCTION("""COMPUTED_VALUE"""),"N/A (Not found)")</f>
        <v>N/A (Not found)</v>
      </c>
      <c r="P2911" s="33">
        <f>IFERROR(__xludf.DUMMYFUNCTION("""COMPUTED_VALUE"""),0.6666666666666666)</f>
        <v>0.6666666667</v>
      </c>
      <c r="Q2911" s="4" t="str">
        <f>IFERROR(__xludf.DUMMYFUNCTION("""COMPUTED_VALUE"""),"N/A (Not found)")</f>
        <v>N/A (Not found)</v>
      </c>
      <c r="R2911" s="33">
        <f>IFERROR(__xludf.DUMMYFUNCTION("""COMPUTED_VALUE"""),1.0)</f>
        <v>1</v>
      </c>
      <c r="S2911" s="4" t="str">
        <f>IFERROR(__xludf.DUMMYFUNCTION("""COMPUTED_VALUE"""),"N/A (Not found)")</f>
        <v>N/A (Not found)</v>
      </c>
      <c r="T2911" s="33">
        <f>IFERROR(__xludf.DUMMYFUNCTION("""COMPUTED_VALUE"""),1.0)</f>
        <v>1</v>
      </c>
      <c r="U2911" s="4" t="str">
        <f>IFERROR(__xludf.DUMMYFUNCTION("""COMPUTED_VALUE"""),"N/A (Not found)")</f>
        <v>N/A (Not found)</v>
      </c>
      <c r="V2911" s="33">
        <f>IFERROR(__xludf.DUMMYFUNCTION("""COMPUTED_VALUE"""),1.0)</f>
        <v>1</v>
      </c>
      <c r="W2911" s="4" t="str">
        <f>IFERROR(__xludf.DUMMYFUNCTION("""COMPUTED_VALUE"""),"N/A (Not found)")</f>
        <v>N/A (Not found)</v>
      </c>
      <c r="X2911" s="33">
        <f>IFERROR(__xludf.DUMMYFUNCTION("""COMPUTED_VALUE"""),0.6666666666666666)</f>
        <v>0.6666666667</v>
      </c>
    </row>
    <row r="2912">
      <c r="K2912" s="4" t="str">
        <f>IFERROR(__xludf.DUMMYFUNCTION("""COMPUTED_VALUE"""),"HOT HOLL POR 0,90")</f>
        <v>HOT HOLL POR 0,90</v>
      </c>
      <c r="L2912" s="32">
        <f>IFERROR(__xludf.DUMMYFUNCTION("""COMPUTED_VALUE"""),3.0)</f>
        <v>3</v>
      </c>
      <c r="M2912" s="4" t="str">
        <f>IFERROR(__xludf.DUMMYFUNCTION("""COMPUTED_VALUE"""),"Saipos Serviços De Software")</f>
        <v>Saipos Serviços De Software</v>
      </c>
      <c r="N2912" s="33">
        <f>IFERROR(__xludf.DUMMYFUNCTION("""COMPUTED_VALUE"""),0.3333333333333333)</f>
        <v>0.3333333333</v>
      </c>
      <c r="O2912" s="4" t="str">
        <f>IFERROR(__xludf.DUMMYFUNCTION("""COMPUTED_VALUE"""),"null")</f>
        <v>null</v>
      </c>
      <c r="P2912" s="33">
        <f>IFERROR(__xludf.DUMMYFUNCTION("""COMPUTED_VALUE"""),0.6666666666666666)</f>
        <v>0.6666666667</v>
      </c>
      <c r="Q2912" s="4" t="str">
        <f>IFERROR(__xludf.DUMMYFUNCTION("""COMPUTED_VALUE"""),"null")</f>
        <v>null</v>
      </c>
      <c r="R2912" s="33">
        <f>IFERROR(__xludf.DUMMYFUNCTION("""COMPUTED_VALUE"""),0.3333333333333333)</f>
        <v>0.3333333333</v>
      </c>
      <c r="S2912" s="4" t="str">
        <f>IFERROR(__xludf.DUMMYFUNCTION("""COMPUTED_VALUE"""),"null")</f>
        <v>null</v>
      </c>
      <c r="T2912" s="33">
        <f>IFERROR(__xludf.DUMMYFUNCTION("""COMPUTED_VALUE"""),1.0)</f>
        <v>1</v>
      </c>
      <c r="U2912" s="4" t="str">
        <f>IFERROR(__xludf.DUMMYFUNCTION("""COMPUTED_VALUE"""),"null")</f>
        <v>null</v>
      </c>
      <c r="V2912" s="33">
        <f>IFERROR(__xludf.DUMMYFUNCTION("""COMPUTED_VALUE"""),1.0)</f>
        <v>1</v>
      </c>
      <c r="W2912" s="4" t="str">
        <f>IFERROR(__xludf.DUMMYFUNCTION("""COMPUTED_VALUE"""),"null")</f>
        <v>null</v>
      </c>
      <c r="X2912" s="33">
        <f>IFERROR(__xludf.DUMMYFUNCTION("""COMPUTED_VALUE"""),1.0)</f>
        <v>1</v>
      </c>
    </row>
    <row r="2913">
      <c r="K2913" s="4" t="str">
        <f>IFERROR(__xludf.DUMMYFUNCTION("""COMPUTED_VALUE"""),"PIZZARIA DO CHEFE")</f>
        <v>PIZZARIA DO CHEFE</v>
      </c>
      <c r="L2913" s="32">
        <f>IFERROR(__xludf.DUMMYFUNCTION("""COMPUTED_VALUE"""),3.0)</f>
        <v>3</v>
      </c>
      <c r="M2913" s="4" t="str">
        <f>IFERROR(__xludf.DUMMYFUNCTION("""COMPUTED_VALUE"""),"Anota Ai Solucoes Digitais S/a")</f>
        <v>Anota Ai Solucoes Digitais S/a</v>
      </c>
      <c r="N2913" s="33">
        <f>IFERROR(__xludf.DUMMYFUNCTION("""COMPUTED_VALUE"""),0.6666666666666666)</f>
        <v>0.6666666667</v>
      </c>
      <c r="O2913" s="4" t="str">
        <f>IFERROR(__xludf.DUMMYFUNCTION("""COMPUTED_VALUE"""),"null")</f>
        <v>null</v>
      </c>
      <c r="P2913" s="33">
        <f>IFERROR(__xludf.DUMMYFUNCTION("""COMPUTED_VALUE"""),0.6666666666666666)</f>
        <v>0.6666666667</v>
      </c>
      <c r="Q2913" s="4" t="str">
        <f>IFERROR(__xludf.DUMMYFUNCTION("""COMPUTED_VALUE"""),"null")</f>
        <v>null</v>
      </c>
      <c r="R2913" s="33">
        <f>IFERROR(__xludf.DUMMYFUNCTION("""COMPUTED_VALUE"""),0.6666666666666666)</f>
        <v>0.6666666667</v>
      </c>
      <c r="S2913" s="4" t="str">
        <f>IFERROR(__xludf.DUMMYFUNCTION("""COMPUTED_VALUE"""),"null")</f>
        <v>null</v>
      </c>
      <c r="T2913" s="33">
        <f>IFERROR(__xludf.DUMMYFUNCTION("""COMPUTED_VALUE"""),0.6666666666666666)</f>
        <v>0.6666666667</v>
      </c>
      <c r="U2913" s="4" t="str">
        <f>IFERROR(__xludf.DUMMYFUNCTION("""COMPUTED_VALUE"""),"Anota Ai Solucoes Digitais S/a")</f>
        <v>Anota Ai Solucoes Digitais S/a</v>
      </c>
      <c r="V2913" s="33">
        <f>IFERROR(__xludf.DUMMYFUNCTION("""COMPUTED_VALUE"""),0.3333333333333333)</f>
        <v>0.3333333333</v>
      </c>
      <c r="W2913" s="4" t="str">
        <f>IFERROR(__xludf.DUMMYFUNCTION("""COMPUTED_VALUE"""),"null")</f>
        <v>null</v>
      </c>
      <c r="X2913" s="33">
        <f>IFERROR(__xludf.DUMMYFUNCTION("""COMPUTED_VALUE"""),0.6666666666666666)</f>
        <v>0.6666666667</v>
      </c>
    </row>
    <row r="2914">
      <c r="K2914" s="4" t="str">
        <f>IFERROR(__xludf.DUMMYFUNCTION("""COMPUTED_VALUE"""),"PIZZARIA DA VILLA")</f>
        <v>PIZZARIA DA VILLA</v>
      </c>
      <c r="L2914" s="32">
        <f>IFERROR(__xludf.DUMMYFUNCTION("""COMPUTED_VALUE"""),3.0)</f>
        <v>3</v>
      </c>
      <c r="M2914" s="4" t="str">
        <f>IFERROR(__xludf.DUMMYFUNCTION("""COMPUTED_VALUE"""),"Anota Ai Solucoes Digitais S/a")</f>
        <v>Anota Ai Solucoes Digitais S/a</v>
      </c>
      <c r="N2914" s="33">
        <f>IFERROR(__xludf.DUMMYFUNCTION("""COMPUTED_VALUE"""),0.6666666666666666)</f>
        <v>0.6666666667</v>
      </c>
      <c r="O2914" s="4" t="str">
        <f>IFERROR(__xludf.DUMMYFUNCTION("""COMPUTED_VALUE"""),"Consumer Soluções Em Tecnologia Ltda")</f>
        <v>Consumer Soluções Em Tecnologia Ltda</v>
      </c>
      <c r="P2914" s="33">
        <f>IFERROR(__xludf.DUMMYFUNCTION("""COMPUTED_VALUE"""),0.3333333333333333)</f>
        <v>0.3333333333</v>
      </c>
      <c r="Q2914" s="4" t="str">
        <f>IFERROR(__xludf.DUMMYFUNCTION("""COMPUTED_VALUE"""),"Consumer Soluções Em Tecnologia Ltda")</f>
        <v>Consumer Soluções Em Tecnologia Ltda</v>
      </c>
      <c r="R2914" s="33">
        <f>IFERROR(__xludf.DUMMYFUNCTION("""COMPUTED_VALUE"""),0.3333333333333333)</f>
        <v>0.3333333333</v>
      </c>
      <c r="S2914" s="4" t="str">
        <f>IFERROR(__xludf.DUMMYFUNCTION("""COMPUTED_VALUE"""),"Consumer Soluções Em Tecnologia Ltda")</f>
        <v>Consumer Soluções Em Tecnologia Ltda</v>
      </c>
      <c r="T2914" s="33">
        <f>IFERROR(__xludf.DUMMYFUNCTION("""COMPUTED_VALUE"""),0.3333333333333333)</f>
        <v>0.3333333333</v>
      </c>
      <c r="U2914" s="4" t="str">
        <f>IFERROR(__xludf.DUMMYFUNCTION("""COMPUTED_VALUE"""),"Consumer Soluções Em Tecnologia Ltda")</f>
        <v>Consumer Soluções Em Tecnologia Ltda</v>
      </c>
      <c r="V2914" s="33">
        <f>IFERROR(__xludf.DUMMYFUNCTION("""COMPUTED_VALUE"""),0.3333333333333333)</f>
        <v>0.3333333333</v>
      </c>
      <c r="W2914" s="4" t="str">
        <f>IFERROR(__xludf.DUMMYFUNCTION("""COMPUTED_VALUE"""),"Consumer Soluções Em Tecnologia Ltda")</f>
        <v>Consumer Soluções Em Tecnologia Ltda</v>
      </c>
      <c r="X2914" s="33">
        <f>IFERROR(__xludf.DUMMYFUNCTION("""COMPUTED_VALUE"""),0.3333333333333333)</f>
        <v>0.3333333333</v>
      </c>
    </row>
    <row r="2915">
      <c r="K2915" s="4" t="str">
        <f>IFERROR(__xludf.DUMMYFUNCTION("""COMPUTED_VALUE"""),"REI DAS PORCOES")</f>
        <v>REI DAS PORCOES</v>
      </c>
      <c r="L2915" s="32">
        <f>IFERROR(__xludf.DUMMYFUNCTION("""COMPUTED_VALUE"""),3.0)</f>
        <v>3</v>
      </c>
      <c r="M2915" s="4" t="str">
        <f>IFERROR(__xludf.DUMMYFUNCTION("""COMPUTED_VALUE"""),"Saipos Serviços De Software")</f>
        <v>Saipos Serviços De Software</v>
      </c>
      <c r="N2915" s="33">
        <f>IFERROR(__xludf.DUMMYFUNCTION("""COMPUTED_VALUE"""),1.0)</f>
        <v>1</v>
      </c>
      <c r="O2915" s="4" t="str">
        <f>IFERROR(__xludf.DUMMYFUNCTION("""COMPUTED_VALUE"""),"Saipos Serviços De Software")</f>
        <v>Saipos Serviços De Software</v>
      </c>
      <c r="P2915" s="33">
        <f>IFERROR(__xludf.DUMMYFUNCTION("""COMPUTED_VALUE"""),0.6666666666666666)</f>
        <v>0.6666666667</v>
      </c>
      <c r="Q2915" s="4" t="str">
        <f>IFERROR(__xludf.DUMMYFUNCTION("""COMPUTED_VALUE"""),"Saipos Serviços De Software")</f>
        <v>Saipos Serviços De Software</v>
      </c>
      <c r="R2915" s="33">
        <f>IFERROR(__xludf.DUMMYFUNCTION("""COMPUTED_VALUE"""),1.0)</f>
        <v>1</v>
      </c>
      <c r="S2915" s="4" t="str">
        <f>IFERROR(__xludf.DUMMYFUNCTION("""COMPUTED_VALUE"""),"Saipos Serviços De Software")</f>
        <v>Saipos Serviços De Software</v>
      </c>
      <c r="T2915" s="33">
        <f>IFERROR(__xludf.DUMMYFUNCTION("""COMPUTED_VALUE"""),1.0)</f>
        <v>1</v>
      </c>
      <c r="U2915" s="4" t="str">
        <f>IFERROR(__xludf.DUMMYFUNCTION("""COMPUTED_VALUE"""),"Saipos Serviços De Software")</f>
        <v>Saipos Serviços De Software</v>
      </c>
      <c r="V2915" s="33">
        <f>IFERROR(__xludf.DUMMYFUNCTION("""COMPUTED_VALUE"""),1.0)</f>
        <v>1</v>
      </c>
      <c r="W2915" s="4" t="str">
        <f>IFERROR(__xludf.DUMMYFUNCTION("""COMPUTED_VALUE"""),"Saipos Serviços De Software")</f>
        <v>Saipos Serviços De Software</v>
      </c>
      <c r="X2915" s="33">
        <f>IFERROR(__xludf.DUMMYFUNCTION("""COMPUTED_VALUE"""),1.0)</f>
        <v>1</v>
      </c>
    </row>
    <row r="2916">
      <c r="K2916" s="4" t="str">
        <f>IFERROR(__xludf.DUMMYFUNCTION("""COMPUTED_VALUE"""),"DROGARIA FARMA VIDA")</f>
        <v>DROGARIA FARMA VIDA</v>
      </c>
      <c r="L2916" s="32">
        <f>IFERROR(__xludf.DUMMYFUNCTION("""COMPUTED_VALUE"""),3.0)</f>
        <v>3</v>
      </c>
      <c r="M2916" s="4" t="str">
        <f>IFERROR(__xludf.DUMMYFUNCTION("""COMPUTED_VALUE"""),"N/A (Not found)")</f>
        <v>N/A (Not found)</v>
      </c>
      <c r="N2916" s="33">
        <f>IFERROR(__xludf.DUMMYFUNCTION("""COMPUTED_VALUE"""),0.6666666666666666)</f>
        <v>0.6666666667</v>
      </c>
      <c r="O2916" s="4" t="str">
        <f>IFERROR(__xludf.DUMMYFUNCTION("""COMPUTED_VALUE"""),"N/A (Not found)")</f>
        <v>N/A (Not found)</v>
      </c>
      <c r="P2916" s="33">
        <f>IFERROR(__xludf.DUMMYFUNCTION("""COMPUTED_VALUE"""),0.6666666666666666)</f>
        <v>0.6666666667</v>
      </c>
      <c r="Q2916" s="4" t="str">
        <f>IFERROR(__xludf.DUMMYFUNCTION("""COMPUTED_VALUE"""),"N/A (Not found)")</f>
        <v>N/A (Not found)</v>
      </c>
      <c r="R2916" s="33">
        <f>IFERROR(__xludf.DUMMYFUNCTION("""COMPUTED_VALUE"""),0.6666666666666666)</f>
        <v>0.6666666667</v>
      </c>
      <c r="S2916" s="4" t="str">
        <f>IFERROR(__xludf.DUMMYFUNCTION("""COMPUTED_VALUE"""),"N/A (Not found)")</f>
        <v>N/A (Not found)</v>
      </c>
      <c r="T2916" s="33">
        <f>IFERROR(__xludf.DUMMYFUNCTION("""COMPUTED_VALUE"""),0.6666666666666666)</f>
        <v>0.6666666667</v>
      </c>
      <c r="U2916" s="4" t="str">
        <f>IFERROR(__xludf.DUMMYFUNCTION("""COMPUTED_VALUE"""),"N/A (Not found)")</f>
        <v>N/A (Not found)</v>
      </c>
      <c r="V2916" s="33">
        <f>IFERROR(__xludf.DUMMYFUNCTION("""COMPUTED_VALUE"""),0.6666666666666666)</f>
        <v>0.6666666667</v>
      </c>
      <c r="W2916" s="4" t="str">
        <f>IFERROR(__xludf.DUMMYFUNCTION("""COMPUTED_VALUE"""),"N/A (Not found)")</f>
        <v>N/A (Not found)</v>
      </c>
      <c r="X2916" s="33">
        <f>IFERROR(__xludf.DUMMYFUNCTION("""COMPUTED_VALUE"""),1.0)</f>
        <v>1</v>
      </c>
    </row>
    <row r="2917">
      <c r="K2917" s="4" t="str">
        <f>IFERROR(__xludf.DUMMYFUNCTION("""COMPUTED_VALUE"""),"ACAIDEIRA DELIVERY")</f>
        <v>ACAIDEIRA DELIVERY</v>
      </c>
      <c r="L2917" s="32">
        <f>IFERROR(__xludf.DUMMYFUNCTION("""COMPUTED_VALUE"""),3.0)</f>
        <v>3</v>
      </c>
      <c r="M2917" s="4" t="str">
        <f>IFERROR(__xludf.DUMMYFUNCTION("""COMPUTED_VALUE"""),"Instadelivery")</f>
        <v>Instadelivery</v>
      </c>
      <c r="N2917" s="33">
        <f>IFERROR(__xludf.DUMMYFUNCTION("""COMPUTED_VALUE"""),0.3333333333333333)</f>
        <v>0.3333333333</v>
      </c>
      <c r="O2917" s="4" t="str">
        <f>IFERROR(__xludf.DUMMYFUNCTION("""COMPUTED_VALUE"""),"Instadelivery")</f>
        <v>Instadelivery</v>
      </c>
      <c r="P2917" s="33">
        <f>IFERROR(__xludf.DUMMYFUNCTION("""COMPUTED_VALUE"""),0.3333333333333333)</f>
        <v>0.3333333333</v>
      </c>
      <c r="Q2917" s="4" t="str">
        <f>IFERROR(__xludf.DUMMYFUNCTION("""COMPUTED_VALUE"""),"Instadelivery")</f>
        <v>Instadelivery</v>
      </c>
      <c r="R2917" s="33">
        <f>IFERROR(__xludf.DUMMYFUNCTION("""COMPUTED_VALUE"""),0.3333333333333333)</f>
        <v>0.3333333333</v>
      </c>
      <c r="S2917" s="4" t="str">
        <f>IFERROR(__xludf.DUMMYFUNCTION("""COMPUTED_VALUE"""),"Instadelivery")</f>
        <v>Instadelivery</v>
      </c>
      <c r="T2917" s="33">
        <f>IFERROR(__xludf.DUMMYFUNCTION("""COMPUTED_VALUE"""),0.3333333333333333)</f>
        <v>0.3333333333</v>
      </c>
      <c r="U2917" s="4" t="str">
        <f>IFERROR(__xludf.DUMMYFUNCTION("""COMPUTED_VALUE"""),"Instadelivery")</f>
        <v>Instadelivery</v>
      </c>
      <c r="V2917" s="33">
        <f>IFERROR(__xludf.DUMMYFUNCTION("""COMPUTED_VALUE"""),0.3333333333333333)</f>
        <v>0.3333333333</v>
      </c>
      <c r="W2917" s="4" t="str">
        <f>IFERROR(__xludf.DUMMYFUNCTION("""COMPUTED_VALUE"""),"Instadelivery")</f>
        <v>Instadelivery</v>
      </c>
      <c r="X2917" s="33">
        <f>IFERROR(__xludf.DUMMYFUNCTION("""COMPUTED_VALUE"""),0.3333333333333333)</f>
        <v>0.3333333333</v>
      </c>
    </row>
    <row r="2918">
      <c r="K2918" s="4" t="str">
        <f>IFERROR(__xludf.DUMMYFUNCTION("""COMPUTED_VALUE"""),"LA CASA DE PASTEL")</f>
        <v>LA CASA DE PASTEL</v>
      </c>
      <c r="L2918" s="32">
        <f>IFERROR(__xludf.DUMMYFUNCTION("""COMPUTED_VALUE"""),3.0)</f>
        <v>3</v>
      </c>
      <c r="M2918" s="4" t="str">
        <f>IFERROR(__xludf.DUMMYFUNCTION("""COMPUTED_VALUE"""),"Brendi")</f>
        <v>Brendi</v>
      </c>
      <c r="N2918" s="33">
        <f>IFERROR(__xludf.DUMMYFUNCTION("""COMPUTED_VALUE"""),0.3333333333333333)</f>
        <v>0.3333333333</v>
      </c>
      <c r="O2918" s="4" t="str">
        <f>IFERROR(__xludf.DUMMYFUNCTION("""COMPUTED_VALUE"""),"Brendi")</f>
        <v>Brendi</v>
      </c>
      <c r="P2918" s="33">
        <f>IFERROR(__xludf.DUMMYFUNCTION("""COMPUTED_VALUE"""),0.3333333333333333)</f>
        <v>0.3333333333</v>
      </c>
      <c r="Q2918" s="4" t="str">
        <f>IFERROR(__xludf.DUMMYFUNCTION("""COMPUTED_VALUE"""),"null")</f>
        <v>null</v>
      </c>
      <c r="R2918" s="33">
        <f>IFERROR(__xludf.DUMMYFUNCTION("""COMPUTED_VALUE"""),0.3333333333333333)</f>
        <v>0.3333333333</v>
      </c>
      <c r="S2918" s="4" t="str">
        <f>IFERROR(__xludf.DUMMYFUNCTION("""COMPUTED_VALUE"""),"Brendi")</f>
        <v>Brendi</v>
      </c>
      <c r="T2918" s="33">
        <f>IFERROR(__xludf.DUMMYFUNCTION("""COMPUTED_VALUE"""),0.3333333333333333)</f>
        <v>0.3333333333</v>
      </c>
      <c r="U2918" s="4" t="str">
        <f>IFERROR(__xludf.DUMMYFUNCTION("""COMPUTED_VALUE"""),"Brendi")</f>
        <v>Brendi</v>
      </c>
      <c r="V2918" s="33">
        <f>IFERROR(__xludf.DUMMYFUNCTION("""COMPUTED_VALUE"""),0.3333333333333333)</f>
        <v>0.3333333333</v>
      </c>
      <c r="W2918" s="4" t="str">
        <f>IFERROR(__xludf.DUMMYFUNCTION("""COMPUTED_VALUE"""),"Brendi")</f>
        <v>Brendi</v>
      </c>
      <c r="X2918" s="33">
        <f>IFERROR(__xludf.DUMMYFUNCTION("""COMPUTED_VALUE"""),0.3333333333333333)</f>
        <v>0.3333333333</v>
      </c>
    </row>
    <row r="2919">
      <c r="K2919" s="4" t="str">
        <f>IFERROR(__xludf.DUMMYFUNCTION("""COMPUTED_VALUE"""),"BRAZZA BURGER")</f>
        <v>BRAZZA BURGER</v>
      </c>
      <c r="L2919" s="32">
        <f>IFERROR(__xludf.DUMMYFUNCTION("""COMPUTED_VALUE"""),3.0)</f>
        <v>3</v>
      </c>
      <c r="M2919" s="4" t="str">
        <f>IFERROR(__xludf.DUMMYFUNCTION("""COMPUTED_VALUE"""),"null")</f>
        <v>null</v>
      </c>
      <c r="N2919" s="33">
        <f>IFERROR(__xludf.DUMMYFUNCTION("""COMPUTED_VALUE"""),0.3333333333333333)</f>
        <v>0.3333333333</v>
      </c>
      <c r="O2919" s="4" t="str">
        <f>IFERROR(__xludf.DUMMYFUNCTION("""COMPUTED_VALUE"""),"Instadelivery")</f>
        <v>Instadelivery</v>
      </c>
      <c r="P2919" s="33">
        <f>IFERROR(__xludf.DUMMYFUNCTION("""COMPUTED_VALUE"""),0.3333333333333333)</f>
        <v>0.3333333333</v>
      </c>
      <c r="Q2919" s="4" t="str">
        <f>IFERROR(__xludf.DUMMYFUNCTION("""COMPUTED_VALUE"""),"Instadelivery")</f>
        <v>Instadelivery</v>
      </c>
      <c r="R2919" s="33">
        <f>IFERROR(__xludf.DUMMYFUNCTION("""COMPUTED_VALUE"""),0.3333333333333333)</f>
        <v>0.3333333333</v>
      </c>
      <c r="S2919" s="4" t="str">
        <f>IFERROR(__xludf.DUMMYFUNCTION("""COMPUTED_VALUE"""),"Instadelivery")</f>
        <v>Instadelivery</v>
      </c>
      <c r="T2919" s="33">
        <f>IFERROR(__xludf.DUMMYFUNCTION("""COMPUTED_VALUE"""),0.3333333333333333)</f>
        <v>0.3333333333</v>
      </c>
      <c r="U2919" s="4" t="str">
        <f>IFERROR(__xludf.DUMMYFUNCTION("""COMPUTED_VALUE"""),"Instadelivery")</f>
        <v>Instadelivery</v>
      </c>
      <c r="V2919" s="33">
        <f>IFERROR(__xludf.DUMMYFUNCTION("""COMPUTED_VALUE"""),0.3333333333333333)</f>
        <v>0.3333333333</v>
      </c>
      <c r="W2919" s="4" t="str">
        <f>IFERROR(__xludf.DUMMYFUNCTION("""COMPUTED_VALUE"""),"Instadelivery")</f>
        <v>Instadelivery</v>
      </c>
      <c r="X2919" s="33">
        <f>IFERROR(__xludf.DUMMYFUNCTION("""COMPUTED_VALUE"""),0.3333333333333333)</f>
        <v>0.3333333333</v>
      </c>
    </row>
    <row r="2920">
      <c r="K2920" s="4" t="str">
        <f>IFERROR(__xludf.DUMMYFUNCTION("""COMPUTED_VALUE"""),"SAKURA SUSHI DELIVERY")</f>
        <v>SAKURA SUSHI DELIVERY</v>
      </c>
      <c r="L2920" s="32">
        <f>IFERROR(__xludf.DUMMYFUNCTION("""COMPUTED_VALUE"""),3.0)</f>
        <v>3</v>
      </c>
      <c r="M2920" s="4" t="str">
        <f>IFERROR(__xludf.DUMMYFUNCTION("""COMPUTED_VALUE"""),"null")</f>
        <v>null</v>
      </c>
      <c r="N2920" s="33">
        <f>IFERROR(__xludf.DUMMYFUNCTION("""COMPUTED_VALUE"""),0.6666666666666666)</f>
        <v>0.6666666667</v>
      </c>
      <c r="O2920" s="4" t="str">
        <f>IFERROR(__xludf.DUMMYFUNCTION("""COMPUTED_VALUE"""),"Saipos Serviços De Software")</f>
        <v>Saipos Serviços De Software</v>
      </c>
      <c r="P2920" s="33">
        <f>IFERROR(__xludf.DUMMYFUNCTION("""COMPUTED_VALUE"""),0.3333333333333333)</f>
        <v>0.3333333333</v>
      </c>
      <c r="Q2920" s="4" t="str">
        <f>IFERROR(__xludf.DUMMYFUNCTION("""COMPUTED_VALUE"""),"null")</f>
        <v>null</v>
      </c>
      <c r="R2920" s="33">
        <f>IFERROR(__xludf.DUMMYFUNCTION("""COMPUTED_VALUE"""),0.6666666666666666)</f>
        <v>0.6666666667</v>
      </c>
      <c r="S2920" s="4" t="str">
        <f>IFERROR(__xludf.DUMMYFUNCTION("""COMPUTED_VALUE"""),"Saipos Serviços De Software")</f>
        <v>Saipos Serviços De Software</v>
      </c>
      <c r="T2920" s="33">
        <f>IFERROR(__xludf.DUMMYFUNCTION("""COMPUTED_VALUE"""),0.3333333333333333)</f>
        <v>0.3333333333</v>
      </c>
      <c r="U2920" s="4" t="str">
        <f>IFERROR(__xludf.DUMMYFUNCTION("""COMPUTED_VALUE"""),"Cardápio Web")</f>
        <v>Cardápio Web</v>
      </c>
      <c r="V2920" s="33">
        <f>IFERROR(__xludf.DUMMYFUNCTION("""COMPUTED_VALUE"""),0.6666666666666666)</f>
        <v>0.6666666667</v>
      </c>
      <c r="W2920" s="4" t="str">
        <f>IFERROR(__xludf.DUMMYFUNCTION("""COMPUTED_VALUE"""),"Cardápio Web")</f>
        <v>Cardápio Web</v>
      </c>
      <c r="X2920" s="33">
        <f>IFERROR(__xludf.DUMMYFUNCTION("""COMPUTED_VALUE"""),0.6666666666666666)</f>
        <v>0.6666666667</v>
      </c>
    </row>
    <row r="2921">
      <c r="K2921" s="4" t="str">
        <f>IFERROR(__xludf.DUMMYFUNCTION("""COMPUTED_VALUE"""),"PIMENTA PASTEIS")</f>
        <v>PIMENTA PASTEIS</v>
      </c>
      <c r="L2921" s="32">
        <f>IFERROR(__xludf.DUMMYFUNCTION("""COMPUTED_VALUE"""),3.0)</f>
        <v>3</v>
      </c>
      <c r="M2921" s="4" t="str">
        <f>IFERROR(__xludf.DUMMYFUNCTION("""COMPUTED_VALUE"""),"Osdweb Informatica Ltda  - Panterafood")</f>
        <v>Osdweb Informatica Ltda  - Panterafood</v>
      </c>
      <c r="N2921" s="33">
        <f>IFERROR(__xludf.DUMMYFUNCTION("""COMPUTED_VALUE"""),0.6666666666666666)</f>
        <v>0.6666666667</v>
      </c>
      <c r="O2921" s="4" t="str">
        <f>IFERROR(__xludf.DUMMYFUNCTION("""COMPUTED_VALUE"""),"Osdweb Informatica Ltda  - Panterafood")</f>
        <v>Osdweb Informatica Ltda  - Panterafood</v>
      </c>
      <c r="P2921" s="33">
        <f>IFERROR(__xludf.DUMMYFUNCTION("""COMPUTED_VALUE"""),0.6666666666666666)</f>
        <v>0.6666666667</v>
      </c>
      <c r="Q2921" s="4" t="str">
        <f>IFERROR(__xludf.DUMMYFUNCTION("""COMPUTED_VALUE"""),"null")</f>
        <v>null</v>
      </c>
      <c r="R2921" s="33">
        <f>IFERROR(__xludf.DUMMYFUNCTION("""COMPUTED_VALUE"""),0.6666666666666666)</f>
        <v>0.6666666667</v>
      </c>
      <c r="S2921" s="4" t="str">
        <f>IFERROR(__xludf.DUMMYFUNCTION("""COMPUTED_VALUE"""),"null")</f>
        <v>null</v>
      </c>
      <c r="T2921" s="33">
        <f>IFERROR(__xludf.DUMMYFUNCTION("""COMPUTED_VALUE"""),0.6666666666666666)</f>
        <v>0.6666666667</v>
      </c>
      <c r="U2921" s="4" t="str">
        <f>IFERROR(__xludf.DUMMYFUNCTION("""COMPUTED_VALUE"""),"null")</f>
        <v>null</v>
      </c>
      <c r="V2921" s="33">
        <f>IFERROR(__xludf.DUMMYFUNCTION("""COMPUTED_VALUE"""),0.6666666666666666)</f>
        <v>0.6666666667</v>
      </c>
      <c r="W2921" s="4" t="str">
        <f>IFERROR(__xludf.DUMMYFUNCTION("""COMPUTED_VALUE"""),"null")</f>
        <v>null</v>
      </c>
      <c r="X2921" s="33">
        <f>IFERROR(__xludf.DUMMYFUNCTION("""COMPUTED_VALUE"""),0.6666666666666666)</f>
        <v>0.6666666667</v>
      </c>
    </row>
    <row r="2922">
      <c r="K2922" s="4" t="str">
        <f>IFERROR(__xludf.DUMMYFUNCTION("""COMPUTED_VALUE"""),"DUDU BURGUER - A MELHOR HAMBURGUERIA")</f>
        <v>DUDU BURGUER - A MELHOR HAMBURGUERIA</v>
      </c>
      <c r="L2922" s="32">
        <f>IFERROR(__xludf.DUMMYFUNCTION("""COMPUTED_VALUE"""),3.0)</f>
        <v>3</v>
      </c>
      <c r="M2922" s="4" t="str">
        <f>IFERROR(__xludf.DUMMYFUNCTION("""COMPUTED_VALUE"""),"null")</f>
        <v>null</v>
      </c>
      <c r="N2922" s="33">
        <f>IFERROR(__xludf.DUMMYFUNCTION("""COMPUTED_VALUE"""),1.0)</f>
        <v>1</v>
      </c>
      <c r="O2922" s="4" t="str">
        <f>IFERROR(__xludf.DUMMYFUNCTION("""COMPUTED_VALUE"""),"null")</f>
        <v>null</v>
      </c>
      <c r="P2922" s="33">
        <f>IFERROR(__xludf.DUMMYFUNCTION("""COMPUTED_VALUE"""),1.0)</f>
        <v>1</v>
      </c>
      <c r="Q2922" s="4" t="str">
        <f>IFERROR(__xludf.DUMMYFUNCTION("""COMPUTED_VALUE"""),"null")</f>
        <v>null</v>
      </c>
      <c r="R2922" s="33">
        <f>IFERROR(__xludf.DUMMYFUNCTION("""COMPUTED_VALUE"""),0.6666666666666666)</f>
        <v>0.6666666667</v>
      </c>
      <c r="S2922" s="4" t="str">
        <f>IFERROR(__xludf.DUMMYFUNCTION("""COMPUTED_VALUE"""),"null")</f>
        <v>null</v>
      </c>
      <c r="T2922" s="33">
        <f>IFERROR(__xludf.DUMMYFUNCTION("""COMPUTED_VALUE"""),0.6666666666666666)</f>
        <v>0.6666666667</v>
      </c>
      <c r="U2922" s="4" t="str">
        <f>IFERROR(__xludf.DUMMYFUNCTION("""COMPUTED_VALUE"""),"Saipos Serviços De Software")</f>
        <v>Saipos Serviços De Software</v>
      </c>
      <c r="V2922" s="33">
        <f>IFERROR(__xludf.DUMMYFUNCTION("""COMPUTED_VALUE"""),0.6666666666666666)</f>
        <v>0.6666666667</v>
      </c>
      <c r="W2922" s="4" t="str">
        <f>IFERROR(__xludf.DUMMYFUNCTION("""COMPUTED_VALUE"""),"Saipos Serviços De Software")</f>
        <v>Saipos Serviços De Software</v>
      </c>
      <c r="X2922" s="33">
        <f>IFERROR(__xludf.DUMMYFUNCTION("""COMPUTED_VALUE"""),0.6666666666666666)</f>
        <v>0.6666666667</v>
      </c>
    </row>
    <row r="2923">
      <c r="K2923" s="4" t="str">
        <f>IFERROR(__xludf.DUMMYFUNCTION("""COMPUTED_VALUE"""),"ROUTE BURGER")</f>
        <v>ROUTE BURGER</v>
      </c>
      <c r="L2923" s="32">
        <f>IFERROR(__xludf.DUMMYFUNCTION("""COMPUTED_VALUE"""),3.0)</f>
        <v>3</v>
      </c>
      <c r="M2923" s="4" t="str">
        <f>IFERROR(__xludf.DUMMYFUNCTION("""COMPUTED_VALUE"""),"null")</f>
        <v>null</v>
      </c>
      <c r="N2923" s="33">
        <f>IFERROR(__xludf.DUMMYFUNCTION("""COMPUTED_VALUE"""),0.3333333333333333)</f>
        <v>0.3333333333</v>
      </c>
      <c r="O2923" s="4" t="str">
        <f>IFERROR(__xludf.DUMMYFUNCTION("""COMPUTED_VALUE"""),"null")</f>
        <v>null</v>
      </c>
      <c r="P2923" s="33">
        <f>IFERROR(__xludf.DUMMYFUNCTION("""COMPUTED_VALUE"""),0.3333333333333333)</f>
        <v>0.3333333333</v>
      </c>
      <c r="Q2923" s="4" t="str">
        <f>IFERROR(__xludf.DUMMYFUNCTION("""COMPUTED_VALUE"""),"null")</f>
        <v>null</v>
      </c>
      <c r="R2923" s="33">
        <f>IFERROR(__xludf.DUMMYFUNCTION("""COMPUTED_VALUE"""),0.6666666666666666)</f>
        <v>0.6666666667</v>
      </c>
      <c r="S2923" s="4" t="str">
        <f>IFERROR(__xludf.DUMMYFUNCTION("""COMPUTED_VALUE"""),"null")</f>
        <v>null</v>
      </c>
      <c r="T2923" s="33">
        <f>IFERROR(__xludf.DUMMYFUNCTION("""COMPUTED_VALUE"""),0.3333333333333333)</f>
        <v>0.3333333333</v>
      </c>
      <c r="U2923" s="4" t="str">
        <f>IFERROR(__xludf.DUMMYFUNCTION("""COMPUTED_VALUE"""),"Cardápio Web")</f>
        <v>Cardápio Web</v>
      </c>
      <c r="V2923" s="33">
        <f>IFERROR(__xludf.DUMMYFUNCTION("""COMPUTED_VALUE"""),0.3333333333333333)</f>
        <v>0.3333333333</v>
      </c>
      <c r="W2923" s="4" t="str">
        <f>IFERROR(__xludf.DUMMYFUNCTION("""COMPUTED_VALUE"""),"Cardápio Web")</f>
        <v>Cardápio Web</v>
      </c>
      <c r="X2923" s="33">
        <f>IFERROR(__xludf.DUMMYFUNCTION("""COMPUTED_VALUE"""),0.3333333333333333)</f>
        <v>0.3333333333</v>
      </c>
    </row>
    <row r="2924">
      <c r="K2924" s="4" t="str">
        <f>IFERROR(__xludf.DUMMYFUNCTION("""COMPUTED_VALUE"""),"BUENA BURGUER")</f>
        <v>BUENA BURGUER</v>
      </c>
      <c r="L2924" s="32">
        <f>IFERROR(__xludf.DUMMYFUNCTION("""COMPUTED_VALUE"""),3.0)</f>
        <v>3</v>
      </c>
      <c r="M2924" s="4" t="str">
        <f>IFERROR(__xludf.DUMMYFUNCTION("""COMPUTED_VALUE"""),"Wls Solucoes Empresariais Ltda")</f>
        <v>Wls Solucoes Empresariais Ltda</v>
      </c>
      <c r="N2924" s="33">
        <f>IFERROR(__xludf.DUMMYFUNCTION("""COMPUTED_VALUE"""),0.6666666666666666)</f>
        <v>0.6666666667</v>
      </c>
      <c r="O2924" s="4" t="str">
        <f>IFERROR(__xludf.DUMMYFUNCTION("""COMPUTED_VALUE"""),"Wls Solucoes Empresariais Ltda")</f>
        <v>Wls Solucoes Empresariais Ltda</v>
      </c>
      <c r="P2924" s="33">
        <f>IFERROR(__xludf.DUMMYFUNCTION("""COMPUTED_VALUE"""),0.6666666666666666)</f>
        <v>0.6666666667</v>
      </c>
      <c r="Q2924" s="4" t="str">
        <f>IFERROR(__xludf.DUMMYFUNCTION("""COMPUTED_VALUE"""),"Wls Solucoes Empresariais Ltda")</f>
        <v>Wls Solucoes Empresariais Ltda</v>
      </c>
      <c r="R2924" s="33">
        <f>IFERROR(__xludf.DUMMYFUNCTION("""COMPUTED_VALUE"""),0.6666666666666666)</f>
        <v>0.6666666667</v>
      </c>
      <c r="S2924" s="4" t="str">
        <f>IFERROR(__xludf.DUMMYFUNCTION("""COMPUTED_VALUE"""),"Wls Solucoes Empresariais Ltda")</f>
        <v>Wls Solucoes Empresariais Ltda</v>
      </c>
      <c r="T2924" s="33">
        <f>IFERROR(__xludf.DUMMYFUNCTION("""COMPUTED_VALUE"""),0.6666666666666666)</f>
        <v>0.6666666667</v>
      </c>
      <c r="U2924" s="4" t="str">
        <f>IFERROR(__xludf.DUMMYFUNCTION("""COMPUTED_VALUE"""),"Wls Solucoes Empresariais Ltda")</f>
        <v>Wls Solucoes Empresariais Ltda</v>
      </c>
      <c r="V2924" s="33">
        <f>IFERROR(__xludf.DUMMYFUNCTION("""COMPUTED_VALUE"""),0.6666666666666666)</f>
        <v>0.6666666667</v>
      </c>
      <c r="W2924" s="4" t="str">
        <f>IFERROR(__xludf.DUMMYFUNCTION("""COMPUTED_VALUE"""),"Wls Solucoes Empresariais Ltda")</f>
        <v>Wls Solucoes Empresariais Ltda</v>
      </c>
      <c r="X2924" s="33">
        <f>IFERROR(__xludf.DUMMYFUNCTION("""COMPUTED_VALUE"""),0.6666666666666666)</f>
        <v>0.6666666667</v>
      </c>
    </row>
    <row r="2925">
      <c r="K2925" s="4" t="str">
        <f>IFERROR(__xludf.DUMMYFUNCTION("""COMPUTED_VALUE"""),"PEPPERONI - PIZZA, HAMBURGUER E FRANGO FRITO")</f>
        <v>PEPPERONI - PIZZA, HAMBURGUER E FRANGO FRITO</v>
      </c>
      <c r="L2925" s="32">
        <f>IFERROR(__xludf.DUMMYFUNCTION("""COMPUTED_VALUE"""),3.0)</f>
        <v>3</v>
      </c>
      <c r="M2925" s="4" t="str">
        <f>IFERROR(__xludf.DUMMYFUNCTION("""COMPUTED_VALUE"""),"Anove Tecnologia")</f>
        <v>Anove Tecnologia</v>
      </c>
      <c r="N2925" s="33">
        <f>IFERROR(__xludf.DUMMYFUNCTION("""COMPUTED_VALUE"""),1.0)</f>
        <v>1</v>
      </c>
      <c r="O2925" s="4" t="str">
        <f>IFERROR(__xludf.DUMMYFUNCTION("""COMPUTED_VALUE"""),"Anove Tecnologia")</f>
        <v>Anove Tecnologia</v>
      </c>
      <c r="P2925" s="33">
        <f>IFERROR(__xludf.DUMMYFUNCTION("""COMPUTED_VALUE"""),1.0)</f>
        <v>1</v>
      </c>
      <c r="Q2925" s="4" t="str">
        <f>IFERROR(__xludf.DUMMYFUNCTION("""COMPUTED_VALUE"""),"Anove Tecnologia")</f>
        <v>Anove Tecnologia</v>
      </c>
      <c r="R2925" s="33">
        <f>IFERROR(__xludf.DUMMYFUNCTION("""COMPUTED_VALUE"""),1.0)</f>
        <v>1</v>
      </c>
      <c r="S2925" s="4" t="str">
        <f>IFERROR(__xludf.DUMMYFUNCTION("""COMPUTED_VALUE"""),"Anove Tecnologia")</f>
        <v>Anove Tecnologia</v>
      </c>
      <c r="T2925" s="33">
        <f>IFERROR(__xludf.DUMMYFUNCTION("""COMPUTED_VALUE"""),0.6666666666666666)</f>
        <v>0.6666666667</v>
      </c>
      <c r="U2925" s="4" t="str">
        <f>IFERROR(__xludf.DUMMYFUNCTION("""COMPUTED_VALUE"""),"Anove Tecnologia")</f>
        <v>Anove Tecnologia</v>
      </c>
      <c r="V2925" s="33">
        <f>IFERROR(__xludf.DUMMYFUNCTION("""COMPUTED_VALUE"""),0.6666666666666666)</f>
        <v>0.6666666667</v>
      </c>
      <c r="W2925" s="4" t="str">
        <f>IFERROR(__xludf.DUMMYFUNCTION("""COMPUTED_VALUE"""),"Anove Tecnologia")</f>
        <v>Anove Tecnologia</v>
      </c>
      <c r="X2925" s="33">
        <f>IFERROR(__xludf.DUMMYFUNCTION("""COMPUTED_VALUE"""),1.0)</f>
        <v>1</v>
      </c>
    </row>
    <row r="2926">
      <c r="K2926" s="4" t="str">
        <f>IFERROR(__xludf.DUMMYFUNCTION("""COMPUTED_VALUE"""),"GARAGEM DOS ASSADOS")</f>
        <v>GARAGEM DOS ASSADOS</v>
      </c>
      <c r="L2926" s="32">
        <f>IFERROR(__xludf.DUMMYFUNCTION("""COMPUTED_VALUE"""),3.0)</f>
        <v>3</v>
      </c>
      <c r="M2926" s="4" t="str">
        <f>IFERROR(__xludf.DUMMYFUNCTION("""COMPUTED_VALUE"""),"Anota Ai Solucoes Digitais S/a")</f>
        <v>Anota Ai Solucoes Digitais S/a</v>
      </c>
      <c r="N2926" s="33">
        <f>IFERROR(__xludf.DUMMYFUNCTION("""COMPUTED_VALUE"""),0.6666666666666666)</f>
        <v>0.6666666667</v>
      </c>
      <c r="O2926" s="4" t="str">
        <f>IFERROR(__xludf.DUMMYFUNCTION("""COMPUTED_VALUE"""),"null")</f>
        <v>null</v>
      </c>
      <c r="P2926" s="33">
        <f>IFERROR(__xludf.DUMMYFUNCTION("""COMPUTED_VALUE"""),0.6666666666666666)</f>
        <v>0.6666666667</v>
      </c>
      <c r="Q2926" s="4" t="str">
        <f>IFERROR(__xludf.DUMMYFUNCTION("""COMPUTED_VALUE"""),"Anota Ai Solucoes Digitais S/a")</f>
        <v>Anota Ai Solucoes Digitais S/a</v>
      </c>
      <c r="R2926" s="33">
        <f>IFERROR(__xludf.DUMMYFUNCTION("""COMPUTED_VALUE"""),0.6666666666666666)</f>
        <v>0.6666666667</v>
      </c>
      <c r="S2926" s="4" t="str">
        <f>IFERROR(__xludf.DUMMYFUNCTION("""COMPUTED_VALUE"""),"null")</f>
        <v>null</v>
      </c>
      <c r="T2926" s="33">
        <f>IFERROR(__xludf.DUMMYFUNCTION("""COMPUTED_VALUE"""),0.6666666666666666)</f>
        <v>0.6666666667</v>
      </c>
      <c r="U2926" s="4" t="str">
        <f>IFERROR(__xludf.DUMMYFUNCTION("""COMPUTED_VALUE"""),"Anota Ai Solucoes Digitais S/a")</f>
        <v>Anota Ai Solucoes Digitais S/a</v>
      </c>
      <c r="V2926" s="33">
        <f>IFERROR(__xludf.DUMMYFUNCTION("""COMPUTED_VALUE"""),0.6666666666666666)</f>
        <v>0.6666666667</v>
      </c>
      <c r="W2926" s="4" t="str">
        <f>IFERROR(__xludf.DUMMYFUNCTION("""COMPUTED_VALUE"""),"Anota Ai Solucoes Digitais S/a")</f>
        <v>Anota Ai Solucoes Digitais S/a</v>
      </c>
      <c r="X2926" s="33">
        <f>IFERROR(__xludf.DUMMYFUNCTION("""COMPUTED_VALUE"""),0.6666666666666666)</f>
        <v>0.6666666667</v>
      </c>
    </row>
    <row r="2927">
      <c r="K2927" s="4" t="str">
        <f>IFERROR(__xludf.DUMMYFUNCTION("""COMPUTED_VALUE"""),"PIZZA NA PEDRA")</f>
        <v>PIZZA NA PEDRA</v>
      </c>
      <c r="L2927" s="32">
        <f>IFERROR(__xludf.DUMMYFUNCTION("""COMPUTED_VALUE"""),3.0)</f>
        <v>3</v>
      </c>
      <c r="M2927" s="4" t="str">
        <f>IFERROR(__xludf.DUMMYFUNCTION("""COMPUTED_VALUE"""),"null")</f>
        <v>null</v>
      </c>
      <c r="N2927" s="33">
        <f>IFERROR(__xludf.DUMMYFUNCTION("""COMPUTED_VALUE"""),0.6666666666666666)</f>
        <v>0.6666666667</v>
      </c>
      <c r="O2927" s="4" t="str">
        <f>IFERROR(__xludf.DUMMYFUNCTION("""COMPUTED_VALUE"""),"null")</f>
        <v>null</v>
      </c>
      <c r="P2927" s="33">
        <f>IFERROR(__xludf.DUMMYFUNCTION("""COMPUTED_VALUE"""),0.3333333333333333)</f>
        <v>0.3333333333</v>
      </c>
      <c r="Q2927" s="4" t="str">
        <f>IFERROR(__xludf.DUMMYFUNCTION("""COMPUTED_VALUE"""),"null")</f>
        <v>null</v>
      </c>
      <c r="R2927" s="33">
        <f>IFERROR(__xludf.DUMMYFUNCTION("""COMPUTED_VALUE"""),0.3333333333333333)</f>
        <v>0.3333333333</v>
      </c>
      <c r="S2927" s="4" t="str">
        <f>IFERROR(__xludf.DUMMYFUNCTION("""COMPUTED_VALUE"""),"null")</f>
        <v>null</v>
      </c>
      <c r="T2927" s="33">
        <f>IFERROR(__xludf.DUMMYFUNCTION("""COMPUTED_VALUE"""),0.3333333333333333)</f>
        <v>0.3333333333</v>
      </c>
      <c r="U2927" s="4" t="str">
        <f>IFERROR(__xludf.DUMMYFUNCTION("""COMPUTED_VALUE"""),"Anota Ai Solucoes Digitais S/a")</f>
        <v>Anota Ai Solucoes Digitais S/a</v>
      </c>
      <c r="V2927" s="33">
        <f>IFERROR(__xludf.DUMMYFUNCTION("""COMPUTED_VALUE"""),0.3333333333333333)</f>
        <v>0.3333333333</v>
      </c>
      <c r="W2927" s="4" t="str">
        <f>IFERROR(__xludf.DUMMYFUNCTION("""COMPUTED_VALUE"""),"Anota Ai Solucoes Digitais S/a")</f>
        <v>Anota Ai Solucoes Digitais S/a</v>
      </c>
      <c r="X2927" s="33">
        <f>IFERROR(__xludf.DUMMYFUNCTION("""COMPUTED_VALUE"""),0.3333333333333333)</f>
        <v>0.3333333333</v>
      </c>
    </row>
    <row r="2928">
      <c r="K2928" s="4" t="str">
        <f>IFERROR(__xludf.DUMMYFUNCTION("""COMPUTED_VALUE"""),"CASA DA PARMEGIANA")</f>
        <v>CASA DA PARMEGIANA</v>
      </c>
      <c r="L2928" s="32">
        <f>IFERROR(__xludf.DUMMYFUNCTION("""COMPUTED_VALUE"""),3.0)</f>
        <v>3</v>
      </c>
      <c r="M2928" s="4" t="str">
        <f>IFERROR(__xludf.DUMMYFUNCTION("""COMPUTED_VALUE"""),"null")</f>
        <v>null</v>
      </c>
      <c r="N2928" s="33">
        <f>IFERROR(__xludf.DUMMYFUNCTION("""COMPUTED_VALUE"""),0.6666666666666666)</f>
        <v>0.6666666667</v>
      </c>
      <c r="O2928" s="4" t="str">
        <f>IFERROR(__xludf.DUMMYFUNCTION("""COMPUTED_VALUE"""),"Saipos Serviços De Software")</f>
        <v>Saipos Serviços De Software</v>
      </c>
      <c r="P2928" s="33">
        <f>IFERROR(__xludf.DUMMYFUNCTION("""COMPUTED_VALUE"""),0.3333333333333333)</f>
        <v>0.3333333333</v>
      </c>
      <c r="Q2928" s="4" t="str">
        <f>IFERROR(__xludf.DUMMYFUNCTION("""COMPUTED_VALUE"""),"null")</f>
        <v>null</v>
      </c>
      <c r="R2928" s="33">
        <f>IFERROR(__xludf.DUMMYFUNCTION("""COMPUTED_VALUE"""),0.6666666666666666)</f>
        <v>0.6666666667</v>
      </c>
      <c r="S2928" s="4" t="str">
        <f>IFERROR(__xludf.DUMMYFUNCTION("""COMPUTED_VALUE"""),"null")</f>
        <v>null</v>
      </c>
      <c r="T2928" s="33">
        <f>IFERROR(__xludf.DUMMYFUNCTION("""COMPUTED_VALUE"""),0.6666666666666666)</f>
        <v>0.6666666667</v>
      </c>
      <c r="U2928" s="4" t="str">
        <f>IFERROR(__xludf.DUMMYFUNCTION("""COMPUTED_VALUE"""),"null")</f>
        <v>null</v>
      </c>
      <c r="V2928" s="33">
        <f>IFERROR(__xludf.DUMMYFUNCTION("""COMPUTED_VALUE"""),0.6666666666666666)</f>
        <v>0.6666666667</v>
      </c>
      <c r="W2928" s="4" t="str">
        <f>IFERROR(__xludf.DUMMYFUNCTION("""COMPUTED_VALUE"""),"Saipos Serviços De Software")</f>
        <v>Saipos Serviços De Software</v>
      </c>
      <c r="X2928" s="33">
        <f>IFERROR(__xludf.DUMMYFUNCTION("""COMPUTED_VALUE"""),0.3333333333333333)</f>
        <v>0.3333333333</v>
      </c>
    </row>
    <row r="2929">
      <c r="K2929" s="4" t="str">
        <f>IFERROR(__xludf.DUMMYFUNCTION("""COMPUTED_VALUE"""),"MAIS PIZZA")</f>
        <v>MAIS PIZZA</v>
      </c>
      <c r="L2929" s="32">
        <f>IFERROR(__xludf.DUMMYFUNCTION("""COMPUTED_VALUE"""),3.0)</f>
        <v>3</v>
      </c>
      <c r="M2929" s="4" t="str">
        <f>IFERROR(__xludf.DUMMYFUNCTION("""COMPUTED_VALUE"""),"Cardápio Web")</f>
        <v>Cardápio Web</v>
      </c>
      <c r="N2929" s="33">
        <f>IFERROR(__xludf.DUMMYFUNCTION("""COMPUTED_VALUE"""),0.3333333333333333)</f>
        <v>0.3333333333</v>
      </c>
      <c r="O2929" s="4" t="str">
        <f>IFERROR(__xludf.DUMMYFUNCTION("""COMPUTED_VALUE"""),"Cardápio Web")</f>
        <v>Cardápio Web</v>
      </c>
      <c r="P2929" s="33">
        <f>IFERROR(__xludf.DUMMYFUNCTION("""COMPUTED_VALUE"""),0.3333333333333333)</f>
        <v>0.3333333333</v>
      </c>
      <c r="Q2929" s="4" t="str">
        <f>IFERROR(__xludf.DUMMYFUNCTION("""COMPUTED_VALUE"""),"null")</f>
        <v>null</v>
      </c>
      <c r="R2929" s="33">
        <f>IFERROR(__xludf.DUMMYFUNCTION("""COMPUTED_VALUE"""),0.3333333333333333)</f>
        <v>0.3333333333</v>
      </c>
      <c r="S2929" s="4" t="str">
        <f>IFERROR(__xludf.DUMMYFUNCTION("""COMPUTED_VALUE"""),"null")</f>
        <v>null</v>
      </c>
      <c r="T2929" s="33">
        <f>IFERROR(__xludf.DUMMYFUNCTION("""COMPUTED_VALUE"""),0.3333333333333333)</f>
        <v>0.3333333333</v>
      </c>
      <c r="U2929" s="4" t="str">
        <f>IFERROR(__xludf.DUMMYFUNCTION("""COMPUTED_VALUE"""),"null")</f>
        <v>null</v>
      </c>
      <c r="V2929" s="33">
        <f>IFERROR(__xludf.DUMMYFUNCTION("""COMPUTED_VALUE"""),0.3333333333333333)</f>
        <v>0.3333333333</v>
      </c>
      <c r="W2929" s="4" t="str">
        <f>IFERROR(__xludf.DUMMYFUNCTION("""COMPUTED_VALUE"""),"null")</f>
        <v>null</v>
      </c>
      <c r="X2929" s="33">
        <f>IFERROR(__xludf.DUMMYFUNCTION("""COMPUTED_VALUE"""),0.6666666666666666)</f>
        <v>0.6666666667</v>
      </c>
    </row>
    <row r="2930">
      <c r="K2930" s="4" t="str">
        <f>IFERROR(__xludf.DUMMYFUNCTION("""COMPUTED_VALUE"""),"ROCHAS BURGUER")</f>
        <v>ROCHAS BURGUER</v>
      </c>
      <c r="L2930" s="32">
        <f>IFERROR(__xludf.DUMMYFUNCTION("""COMPUTED_VALUE"""),3.0)</f>
        <v>3</v>
      </c>
      <c r="M2930" s="4" t="str">
        <f>IFERROR(__xludf.DUMMYFUNCTION("""COMPUTED_VALUE"""),"Instadelivery")</f>
        <v>Instadelivery</v>
      </c>
      <c r="N2930" s="33">
        <f>IFERROR(__xludf.DUMMYFUNCTION("""COMPUTED_VALUE"""),0.6666666666666666)</f>
        <v>0.6666666667</v>
      </c>
      <c r="O2930" s="4" t="str">
        <f>IFERROR(__xludf.DUMMYFUNCTION("""COMPUTED_VALUE"""),"Instadelivery")</f>
        <v>Instadelivery</v>
      </c>
      <c r="P2930" s="33">
        <f>IFERROR(__xludf.DUMMYFUNCTION("""COMPUTED_VALUE"""),0.6666666666666666)</f>
        <v>0.6666666667</v>
      </c>
      <c r="Q2930" s="4" t="str">
        <f>IFERROR(__xludf.DUMMYFUNCTION("""COMPUTED_VALUE"""),"Instadelivery")</f>
        <v>Instadelivery</v>
      </c>
      <c r="R2930" s="33">
        <f>IFERROR(__xludf.DUMMYFUNCTION("""COMPUTED_VALUE"""),0.6666666666666666)</f>
        <v>0.6666666667</v>
      </c>
      <c r="S2930" s="4" t="str">
        <f>IFERROR(__xludf.DUMMYFUNCTION("""COMPUTED_VALUE"""),"Instadelivery")</f>
        <v>Instadelivery</v>
      </c>
      <c r="T2930" s="33">
        <f>IFERROR(__xludf.DUMMYFUNCTION("""COMPUTED_VALUE"""),0.6666666666666666)</f>
        <v>0.6666666667</v>
      </c>
      <c r="U2930" s="4" t="str">
        <f>IFERROR(__xludf.DUMMYFUNCTION("""COMPUTED_VALUE"""),"Instadelivery")</f>
        <v>Instadelivery</v>
      </c>
      <c r="V2930" s="33">
        <f>IFERROR(__xludf.DUMMYFUNCTION("""COMPUTED_VALUE"""),0.6666666666666666)</f>
        <v>0.6666666667</v>
      </c>
      <c r="W2930" s="4" t="str">
        <f>IFERROR(__xludf.DUMMYFUNCTION("""COMPUTED_VALUE"""),"Instadelivery")</f>
        <v>Instadelivery</v>
      </c>
      <c r="X2930" s="33">
        <f>IFERROR(__xludf.DUMMYFUNCTION("""COMPUTED_VALUE"""),0.6666666666666666)</f>
        <v>0.6666666667</v>
      </c>
    </row>
    <row r="2931">
      <c r="K2931" s="4" t="str">
        <f>IFERROR(__xludf.DUMMYFUNCTION("""COMPUTED_VALUE"""),"CANTINHO DO ORIENTE")</f>
        <v>CANTINHO DO ORIENTE</v>
      </c>
      <c r="L2931" s="32">
        <f>IFERROR(__xludf.DUMMYFUNCTION("""COMPUTED_VALUE"""),3.0)</f>
        <v>3</v>
      </c>
      <c r="M2931" s="4" t="str">
        <f>IFERROR(__xludf.DUMMYFUNCTION("""COMPUTED_VALUE"""),"Saipos Serviços De Software")</f>
        <v>Saipos Serviços De Software</v>
      </c>
      <c r="N2931" s="33">
        <f>IFERROR(__xludf.DUMMYFUNCTION("""COMPUTED_VALUE"""),0.3333333333333333)</f>
        <v>0.3333333333</v>
      </c>
      <c r="O2931" s="4" t="str">
        <f>IFERROR(__xludf.DUMMYFUNCTION("""COMPUTED_VALUE"""),"Saipos Serviços De Software")</f>
        <v>Saipos Serviços De Software</v>
      </c>
      <c r="P2931" s="33">
        <f>IFERROR(__xludf.DUMMYFUNCTION("""COMPUTED_VALUE"""),0.3333333333333333)</f>
        <v>0.3333333333</v>
      </c>
      <c r="Q2931" s="4" t="str">
        <f>IFERROR(__xludf.DUMMYFUNCTION("""COMPUTED_VALUE"""),"Saipos Serviços De Software")</f>
        <v>Saipos Serviços De Software</v>
      </c>
      <c r="R2931" s="33">
        <f>IFERROR(__xludf.DUMMYFUNCTION("""COMPUTED_VALUE"""),0.3333333333333333)</f>
        <v>0.3333333333</v>
      </c>
      <c r="S2931" s="4" t="str">
        <f>IFERROR(__xludf.DUMMYFUNCTION("""COMPUTED_VALUE"""),"Anota Ai Solucoes Digitais S/a")</f>
        <v>Anota Ai Solucoes Digitais S/a</v>
      </c>
      <c r="T2931" s="33">
        <f>IFERROR(__xludf.DUMMYFUNCTION("""COMPUTED_VALUE"""),0.6666666666666666)</f>
        <v>0.6666666667</v>
      </c>
      <c r="U2931" s="4" t="str">
        <f>IFERROR(__xludf.DUMMYFUNCTION("""COMPUTED_VALUE"""),"Saipos Serviços De Software")</f>
        <v>Saipos Serviços De Software</v>
      </c>
      <c r="V2931" s="33">
        <f>IFERROR(__xludf.DUMMYFUNCTION("""COMPUTED_VALUE"""),0.3333333333333333)</f>
        <v>0.3333333333</v>
      </c>
      <c r="W2931" s="4" t="str">
        <f>IFERROR(__xludf.DUMMYFUNCTION("""COMPUTED_VALUE"""),"Saipos Serviços De Software")</f>
        <v>Saipos Serviços De Software</v>
      </c>
      <c r="X2931" s="33">
        <f>IFERROR(__xludf.DUMMYFUNCTION("""COMPUTED_VALUE"""),0.3333333333333333)</f>
        <v>0.3333333333</v>
      </c>
    </row>
    <row r="2932">
      <c r="K2932" s="4" t="str">
        <f>IFERROR(__xludf.DUMMYFUNCTION("""COMPUTED_VALUE"""),"TOSCANA PIZZARIA")</f>
        <v>TOSCANA PIZZARIA</v>
      </c>
      <c r="L2932" s="32">
        <f>IFERROR(__xludf.DUMMYFUNCTION("""COMPUTED_VALUE"""),3.0)</f>
        <v>3</v>
      </c>
      <c r="M2932" s="4" t="str">
        <f>IFERROR(__xludf.DUMMYFUNCTION("""COMPUTED_VALUE"""),"Cardápio Web")</f>
        <v>Cardápio Web</v>
      </c>
      <c r="N2932" s="33">
        <f>IFERROR(__xludf.DUMMYFUNCTION("""COMPUTED_VALUE"""),0.6666666666666666)</f>
        <v>0.6666666667</v>
      </c>
      <c r="O2932" s="4" t="str">
        <f>IFERROR(__xludf.DUMMYFUNCTION("""COMPUTED_VALUE"""),"Cardápio Web")</f>
        <v>Cardápio Web</v>
      </c>
      <c r="P2932" s="33">
        <f>IFERROR(__xludf.DUMMYFUNCTION("""COMPUTED_VALUE"""),0.3333333333333333)</f>
        <v>0.3333333333</v>
      </c>
      <c r="Q2932" s="4" t="str">
        <f>IFERROR(__xludf.DUMMYFUNCTION("""COMPUTED_VALUE"""),"Saipos Serviços De Software")</f>
        <v>Saipos Serviços De Software</v>
      </c>
      <c r="R2932" s="33">
        <f>IFERROR(__xludf.DUMMYFUNCTION("""COMPUTED_VALUE"""),0.3333333333333333)</f>
        <v>0.3333333333</v>
      </c>
      <c r="S2932" s="4" t="str">
        <f>IFERROR(__xludf.DUMMYFUNCTION("""COMPUTED_VALUE"""),"Cardápio Web")</f>
        <v>Cardápio Web</v>
      </c>
      <c r="T2932" s="33">
        <f>IFERROR(__xludf.DUMMYFUNCTION("""COMPUTED_VALUE"""),0.6666666666666666)</f>
        <v>0.6666666667</v>
      </c>
      <c r="U2932" s="4" t="str">
        <f>IFERROR(__xludf.DUMMYFUNCTION("""COMPUTED_VALUE"""),"Cardápio Web")</f>
        <v>Cardápio Web</v>
      </c>
      <c r="V2932" s="33">
        <f>IFERROR(__xludf.DUMMYFUNCTION("""COMPUTED_VALUE"""),0.3333333333333333)</f>
        <v>0.3333333333</v>
      </c>
      <c r="W2932" s="4" t="str">
        <f>IFERROR(__xludf.DUMMYFUNCTION("""COMPUTED_VALUE"""),"null")</f>
        <v>null</v>
      </c>
      <c r="X2932" s="33">
        <f>IFERROR(__xludf.DUMMYFUNCTION("""COMPUTED_VALUE"""),0.6666666666666666)</f>
        <v>0.6666666667</v>
      </c>
    </row>
    <row r="2933">
      <c r="K2933" s="4" t="str">
        <f>IFERROR(__xludf.DUMMYFUNCTION("""COMPUTED_VALUE"""),"PIZZA QUADRADA")</f>
        <v>PIZZA QUADRADA</v>
      </c>
      <c r="L2933" s="32">
        <f>IFERROR(__xludf.DUMMYFUNCTION("""COMPUTED_VALUE"""),3.0)</f>
        <v>3</v>
      </c>
      <c r="M2933" s="4" t="str">
        <f>IFERROR(__xludf.DUMMYFUNCTION("""COMPUTED_VALUE"""),"null")</f>
        <v>null</v>
      </c>
      <c r="N2933" s="33">
        <f>IFERROR(__xludf.DUMMYFUNCTION("""COMPUTED_VALUE"""),0.3333333333333333)</f>
        <v>0.3333333333</v>
      </c>
      <c r="O2933" s="4" t="str">
        <f>IFERROR(__xludf.DUMMYFUNCTION("""COMPUTED_VALUE"""),"null")</f>
        <v>null</v>
      </c>
      <c r="P2933" s="33">
        <f>IFERROR(__xludf.DUMMYFUNCTION("""COMPUTED_VALUE"""),0.3333333333333333)</f>
        <v>0.3333333333</v>
      </c>
      <c r="Q2933" s="4" t="str">
        <f>IFERROR(__xludf.DUMMYFUNCTION("""COMPUTED_VALUE"""),"null")</f>
        <v>null</v>
      </c>
      <c r="R2933" s="33">
        <f>IFERROR(__xludf.DUMMYFUNCTION("""COMPUTED_VALUE"""),0.3333333333333333)</f>
        <v>0.3333333333</v>
      </c>
      <c r="S2933" s="4" t="str">
        <f>IFERROR(__xludf.DUMMYFUNCTION("""COMPUTED_VALUE"""),"Mp Multipedidos")</f>
        <v>Mp Multipedidos</v>
      </c>
      <c r="T2933" s="33">
        <f>IFERROR(__xludf.DUMMYFUNCTION("""COMPUTED_VALUE"""),0.3333333333333333)</f>
        <v>0.3333333333</v>
      </c>
      <c r="U2933" s="4" t="str">
        <f>IFERROR(__xludf.DUMMYFUNCTION("""COMPUTED_VALUE"""),"Mp Multipedidos")</f>
        <v>Mp Multipedidos</v>
      </c>
      <c r="V2933" s="33">
        <f>IFERROR(__xludf.DUMMYFUNCTION("""COMPUTED_VALUE"""),0.3333333333333333)</f>
        <v>0.3333333333</v>
      </c>
      <c r="W2933" s="4" t="str">
        <f>IFERROR(__xludf.DUMMYFUNCTION("""COMPUTED_VALUE"""),"Mp Multipedidos")</f>
        <v>Mp Multipedidos</v>
      </c>
      <c r="X2933" s="33">
        <f>IFERROR(__xludf.DUMMYFUNCTION("""COMPUTED_VALUE"""),0.3333333333333333)</f>
        <v>0.3333333333</v>
      </c>
    </row>
    <row r="2934">
      <c r="K2934" s="4" t="str">
        <f>IFERROR(__xludf.DUMMYFUNCTION("""COMPUTED_VALUE"""),"REI DO CHURRASCO")</f>
        <v>REI DO CHURRASCO</v>
      </c>
      <c r="L2934" s="32">
        <f>IFERROR(__xludf.DUMMYFUNCTION("""COMPUTED_VALUE"""),3.0)</f>
        <v>3</v>
      </c>
      <c r="M2934" s="4" t="str">
        <f>IFERROR(__xludf.DUMMYFUNCTION("""COMPUTED_VALUE"""),"Saipos Serviços De Software")</f>
        <v>Saipos Serviços De Software</v>
      </c>
      <c r="N2934" s="33">
        <f>IFERROR(__xludf.DUMMYFUNCTION("""COMPUTED_VALUE"""),0.6666666666666666)</f>
        <v>0.6666666667</v>
      </c>
      <c r="O2934" s="4" t="str">
        <f>IFERROR(__xludf.DUMMYFUNCTION("""COMPUTED_VALUE"""),"Saipos Serviços De Software")</f>
        <v>Saipos Serviços De Software</v>
      </c>
      <c r="P2934" s="33">
        <f>IFERROR(__xludf.DUMMYFUNCTION("""COMPUTED_VALUE"""),0.6666666666666666)</f>
        <v>0.6666666667</v>
      </c>
      <c r="Q2934" s="4" t="str">
        <f>IFERROR(__xludf.DUMMYFUNCTION("""COMPUTED_VALUE"""),"Saipos Serviços De Software")</f>
        <v>Saipos Serviços De Software</v>
      </c>
      <c r="R2934" s="33">
        <f>IFERROR(__xludf.DUMMYFUNCTION("""COMPUTED_VALUE"""),0.6666666666666666)</f>
        <v>0.6666666667</v>
      </c>
      <c r="S2934" s="4" t="str">
        <f>IFERROR(__xludf.DUMMYFUNCTION("""COMPUTED_VALUE"""),"null")</f>
        <v>null</v>
      </c>
      <c r="T2934" s="33">
        <f>IFERROR(__xludf.DUMMYFUNCTION("""COMPUTED_VALUE"""),0.6666666666666666)</f>
        <v>0.6666666667</v>
      </c>
      <c r="U2934" s="4" t="str">
        <f>IFERROR(__xludf.DUMMYFUNCTION("""COMPUTED_VALUE"""),"Saipos Serviços De Software")</f>
        <v>Saipos Serviços De Software</v>
      </c>
      <c r="V2934" s="33">
        <f>IFERROR(__xludf.DUMMYFUNCTION("""COMPUTED_VALUE"""),0.3333333333333333)</f>
        <v>0.3333333333</v>
      </c>
      <c r="W2934" s="4" t="str">
        <f>IFERROR(__xludf.DUMMYFUNCTION("""COMPUTED_VALUE"""),"Saipos Serviços De Software")</f>
        <v>Saipos Serviços De Software</v>
      </c>
      <c r="X2934" s="33">
        <f>IFERROR(__xludf.DUMMYFUNCTION("""COMPUTED_VALUE"""),0.3333333333333333)</f>
        <v>0.3333333333</v>
      </c>
    </row>
    <row r="2935">
      <c r="K2935" s="4" t="str">
        <f>IFERROR(__xludf.DUMMYFUNCTION("""COMPUTED_VALUE"""),"SMART SUSHI CULINARIA JAPONESA")</f>
        <v>SMART SUSHI CULINARIA JAPONESA</v>
      </c>
      <c r="L2935" s="32">
        <f>IFERROR(__xludf.DUMMYFUNCTION("""COMPUTED_VALUE"""),3.0)</f>
        <v>3</v>
      </c>
      <c r="M2935" s="4" t="str">
        <f>IFERROR(__xludf.DUMMYFUNCTION("""COMPUTED_VALUE"""),"Anota Ai Solucoes Digitais S/a")</f>
        <v>Anota Ai Solucoes Digitais S/a</v>
      </c>
      <c r="N2935" s="33">
        <f>IFERROR(__xludf.DUMMYFUNCTION("""COMPUTED_VALUE"""),1.0)</f>
        <v>1</v>
      </c>
      <c r="O2935" s="4" t="str">
        <f>IFERROR(__xludf.DUMMYFUNCTION("""COMPUTED_VALUE"""),"Anota Ai Solucoes Digitais S/a")</f>
        <v>Anota Ai Solucoes Digitais S/a</v>
      </c>
      <c r="P2935" s="33">
        <f>IFERROR(__xludf.DUMMYFUNCTION("""COMPUTED_VALUE"""),1.0)</f>
        <v>1</v>
      </c>
      <c r="Q2935" s="4" t="str">
        <f>IFERROR(__xludf.DUMMYFUNCTION("""COMPUTED_VALUE"""),"Anota Ai Solucoes Digitais S/a")</f>
        <v>Anota Ai Solucoes Digitais S/a</v>
      </c>
      <c r="R2935" s="33">
        <f>IFERROR(__xludf.DUMMYFUNCTION("""COMPUTED_VALUE"""),0.6666666666666666)</f>
        <v>0.6666666667</v>
      </c>
      <c r="S2935" s="4" t="str">
        <f>IFERROR(__xludf.DUMMYFUNCTION("""COMPUTED_VALUE"""),"Anota Ai Solucoes Digitais S/a")</f>
        <v>Anota Ai Solucoes Digitais S/a</v>
      </c>
      <c r="T2935" s="33">
        <f>IFERROR(__xludf.DUMMYFUNCTION("""COMPUTED_VALUE"""),1.0)</f>
        <v>1</v>
      </c>
      <c r="U2935" s="4" t="str">
        <f>IFERROR(__xludf.DUMMYFUNCTION("""COMPUTED_VALUE"""),"Anota Ai Solucoes Digitais S/a")</f>
        <v>Anota Ai Solucoes Digitais S/a</v>
      </c>
      <c r="V2935" s="33">
        <f>IFERROR(__xludf.DUMMYFUNCTION("""COMPUTED_VALUE"""),1.0)</f>
        <v>1</v>
      </c>
      <c r="W2935" s="4" t="str">
        <f>IFERROR(__xludf.DUMMYFUNCTION("""COMPUTED_VALUE"""),"Anota Ai Solucoes Digitais S/a")</f>
        <v>Anota Ai Solucoes Digitais S/a</v>
      </c>
      <c r="X2935" s="33">
        <f>IFERROR(__xludf.DUMMYFUNCTION("""COMPUTED_VALUE"""),0.6666666666666666)</f>
        <v>0.6666666667</v>
      </c>
    </row>
    <row r="2936">
      <c r="K2936" s="4" t="str">
        <f>IFERROR(__xludf.DUMMYFUNCTION("""COMPUTED_VALUE"""),"FARMA VIDA")</f>
        <v>FARMA VIDA</v>
      </c>
      <c r="L2936" s="32">
        <f>IFERROR(__xludf.DUMMYFUNCTION("""COMPUTED_VALUE"""),3.0)</f>
        <v>3</v>
      </c>
      <c r="M2936" s="4" t="str">
        <f>IFERROR(__xludf.DUMMYFUNCTION("""COMPUTED_VALUE"""),"null")</f>
        <v>null</v>
      </c>
      <c r="N2936" s="33">
        <f>IFERROR(__xludf.DUMMYFUNCTION("""COMPUTED_VALUE"""),0.6666666666666666)</f>
        <v>0.6666666667</v>
      </c>
      <c r="O2936" s="4" t="str">
        <f>IFERROR(__xludf.DUMMYFUNCTION("""COMPUTED_VALUE"""),"null")</f>
        <v>null</v>
      </c>
      <c r="P2936" s="33">
        <f>IFERROR(__xludf.DUMMYFUNCTION("""COMPUTED_VALUE"""),0.6666666666666666)</f>
        <v>0.6666666667</v>
      </c>
      <c r="Q2936" s="4" t="str">
        <f>IFERROR(__xludf.DUMMYFUNCTION("""COMPUTED_VALUE"""),"null")</f>
        <v>null</v>
      </c>
      <c r="R2936" s="33">
        <f>IFERROR(__xludf.DUMMYFUNCTION("""COMPUTED_VALUE"""),0.6666666666666666)</f>
        <v>0.6666666667</v>
      </c>
      <c r="S2936" s="4" t="str">
        <f>IFERROR(__xludf.DUMMYFUNCTION("""COMPUTED_VALUE"""),"N/A (Not found)")</f>
        <v>N/A (Not found)</v>
      </c>
      <c r="T2936" s="33">
        <f>IFERROR(__xludf.DUMMYFUNCTION("""COMPUTED_VALUE"""),0.6666666666666666)</f>
        <v>0.6666666667</v>
      </c>
      <c r="U2936" s="4" t="str">
        <f>IFERROR(__xludf.DUMMYFUNCTION("""COMPUTED_VALUE"""),"N/A (Not found)")</f>
        <v>N/A (Not found)</v>
      </c>
      <c r="V2936" s="33">
        <f>IFERROR(__xludf.DUMMYFUNCTION("""COMPUTED_VALUE"""),1.0)</f>
        <v>1</v>
      </c>
      <c r="W2936" s="4" t="str">
        <f>IFERROR(__xludf.DUMMYFUNCTION("""COMPUTED_VALUE"""),"N/A (Not found)")</f>
        <v>N/A (Not found)</v>
      </c>
      <c r="X2936" s="33">
        <f>IFERROR(__xludf.DUMMYFUNCTION("""COMPUTED_VALUE"""),1.0)</f>
        <v>1</v>
      </c>
    </row>
    <row r="2937">
      <c r="K2937" s="4" t="str">
        <f>IFERROR(__xludf.DUMMYFUNCTION("""COMPUTED_VALUE"""),"BUFFALO HAMBURGUERIA")</f>
        <v>BUFFALO HAMBURGUERIA</v>
      </c>
      <c r="L2937" s="32">
        <f>IFERROR(__xludf.DUMMYFUNCTION("""COMPUTED_VALUE"""),3.0)</f>
        <v>3</v>
      </c>
      <c r="M2937" s="4" t="str">
        <f>IFERROR(__xludf.DUMMYFUNCTION("""COMPUTED_VALUE"""),"Netcontroll Xmenu")</f>
        <v>Netcontroll Xmenu</v>
      </c>
      <c r="N2937" s="33">
        <f>IFERROR(__xludf.DUMMYFUNCTION("""COMPUTED_VALUE"""),0.3333333333333333)</f>
        <v>0.3333333333</v>
      </c>
      <c r="O2937" s="4" t="str">
        <f>IFERROR(__xludf.DUMMYFUNCTION("""COMPUTED_VALUE"""),"null")</f>
        <v>null</v>
      </c>
      <c r="P2937" s="33">
        <f>IFERROR(__xludf.DUMMYFUNCTION("""COMPUTED_VALUE"""),0.6666666666666666)</f>
        <v>0.6666666667</v>
      </c>
      <c r="Q2937" s="4" t="str">
        <f>IFERROR(__xludf.DUMMYFUNCTION("""COMPUTED_VALUE"""),"Netcontroll Xmenu")</f>
        <v>Netcontroll Xmenu</v>
      </c>
      <c r="R2937" s="33">
        <f>IFERROR(__xludf.DUMMYFUNCTION("""COMPUTED_VALUE"""),0.3333333333333333)</f>
        <v>0.3333333333</v>
      </c>
      <c r="S2937" s="4" t="str">
        <f>IFERROR(__xludf.DUMMYFUNCTION("""COMPUTED_VALUE"""),"Netcontroll Xmenu")</f>
        <v>Netcontroll Xmenu</v>
      </c>
      <c r="T2937" s="33">
        <f>IFERROR(__xludf.DUMMYFUNCTION("""COMPUTED_VALUE"""),0.3333333333333333)</f>
        <v>0.3333333333</v>
      </c>
      <c r="U2937" s="4" t="str">
        <f>IFERROR(__xludf.DUMMYFUNCTION("""COMPUTED_VALUE"""),"Netcontroll Xmenu")</f>
        <v>Netcontroll Xmenu</v>
      </c>
      <c r="V2937" s="33">
        <f>IFERROR(__xludf.DUMMYFUNCTION("""COMPUTED_VALUE"""),0.3333333333333333)</f>
        <v>0.3333333333</v>
      </c>
      <c r="W2937" s="4" t="str">
        <f>IFERROR(__xludf.DUMMYFUNCTION("""COMPUTED_VALUE"""),"Netcontroll Xmenu")</f>
        <v>Netcontroll Xmenu</v>
      </c>
      <c r="X2937" s="33">
        <f>IFERROR(__xludf.DUMMYFUNCTION("""COMPUTED_VALUE"""),0.3333333333333333)</f>
        <v>0.3333333333</v>
      </c>
    </row>
    <row r="2938">
      <c r="K2938" s="4" t="str">
        <f>IFERROR(__xludf.DUMMYFUNCTION("""COMPUTED_VALUE"""),"ATELIE DO ACAI")</f>
        <v>ATELIE DO ACAI</v>
      </c>
      <c r="L2938" s="32">
        <f>IFERROR(__xludf.DUMMYFUNCTION("""COMPUTED_VALUE"""),3.0)</f>
        <v>3</v>
      </c>
      <c r="M2938" s="4" t="str">
        <f>IFERROR(__xludf.DUMMYFUNCTION("""COMPUTED_VALUE"""),"Suitable Tecnologia E Gestao")</f>
        <v>Suitable Tecnologia E Gestao</v>
      </c>
      <c r="N2938" s="33">
        <f>IFERROR(__xludf.DUMMYFUNCTION("""COMPUTED_VALUE"""),0.3333333333333333)</f>
        <v>0.3333333333</v>
      </c>
      <c r="O2938" s="4" t="str">
        <f>IFERROR(__xludf.DUMMYFUNCTION("""COMPUTED_VALUE"""),"Suitable Tecnologia E Gestao")</f>
        <v>Suitable Tecnologia E Gestao</v>
      </c>
      <c r="P2938" s="33">
        <f>IFERROR(__xludf.DUMMYFUNCTION("""COMPUTED_VALUE"""),0.3333333333333333)</f>
        <v>0.3333333333</v>
      </c>
      <c r="Q2938" s="4" t="str">
        <f>IFERROR(__xludf.DUMMYFUNCTION("""COMPUTED_VALUE"""),"Suitable Tecnologia E Gestao")</f>
        <v>Suitable Tecnologia E Gestao</v>
      </c>
      <c r="R2938" s="33">
        <f>IFERROR(__xludf.DUMMYFUNCTION("""COMPUTED_VALUE"""),0.3333333333333333)</f>
        <v>0.3333333333</v>
      </c>
      <c r="S2938" s="4" t="str">
        <f>IFERROR(__xludf.DUMMYFUNCTION("""COMPUTED_VALUE"""),"Suitable Tecnologia E Gestao")</f>
        <v>Suitable Tecnologia E Gestao</v>
      </c>
      <c r="T2938" s="33">
        <f>IFERROR(__xludf.DUMMYFUNCTION("""COMPUTED_VALUE"""),0.3333333333333333)</f>
        <v>0.3333333333</v>
      </c>
      <c r="U2938" s="4" t="str">
        <f>IFERROR(__xludf.DUMMYFUNCTION("""COMPUTED_VALUE"""),"Suitable Tecnologia E Gestao")</f>
        <v>Suitable Tecnologia E Gestao</v>
      </c>
      <c r="V2938" s="33">
        <f>IFERROR(__xludf.DUMMYFUNCTION("""COMPUTED_VALUE"""),0.3333333333333333)</f>
        <v>0.3333333333</v>
      </c>
      <c r="W2938" s="4" t="str">
        <f>IFERROR(__xludf.DUMMYFUNCTION("""COMPUTED_VALUE"""),"Suitable Tecnologia E Gestao")</f>
        <v>Suitable Tecnologia E Gestao</v>
      </c>
      <c r="X2938" s="33">
        <f>IFERROR(__xludf.DUMMYFUNCTION("""COMPUTED_VALUE"""),0.3333333333333333)</f>
        <v>0.3333333333</v>
      </c>
    </row>
    <row r="2939">
      <c r="K2939" s="4" t="str">
        <f>IFERROR(__xludf.DUMMYFUNCTION("""COMPUTED_VALUE"""),"MISTER BURGER")</f>
        <v>MISTER BURGER</v>
      </c>
      <c r="L2939" s="32">
        <f>IFERROR(__xludf.DUMMYFUNCTION("""COMPUTED_VALUE"""),3.0)</f>
        <v>3</v>
      </c>
      <c r="M2939" s="4" t="str">
        <f>IFERROR(__xludf.DUMMYFUNCTION("""COMPUTED_VALUE"""),"Schneider Software")</f>
        <v>Schneider Software</v>
      </c>
      <c r="N2939" s="33">
        <f>IFERROR(__xludf.DUMMYFUNCTION("""COMPUTED_VALUE"""),0.3333333333333333)</f>
        <v>0.3333333333</v>
      </c>
      <c r="O2939" s="4" t="str">
        <f>IFERROR(__xludf.DUMMYFUNCTION("""COMPUTED_VALUE"""),"Schneider Software")</f>
        <v>Schneider Software</v>
      </c>
      <c r="P2939" s="33">
        <f>IFERROR(__xludf.DUMMYFUNCTION("""COMPUTED_VALUE"""),0.3333333333333333)</f>
        <v>0.3333333333</v>
      </c>
      <c r="Q2939" s="4" t="str">
        <f>IFERROR(__xludf.DUMMYFUNCTION("""COMPUTED_VALUE"""),"null")</f>
        <v>null</v>
      </c>
      <c r="R2939" s="33">
        <f>IFERROR(__xludf.DUMMYFUNCTION("""COMPUTED_VALUE"""),0.6666666666666666)</f>
        <v>0.6666666667</v>
      </c>
      <c r="S2939" s="4" t="str">
        <f>IFERROR(__xludf.DUMMYFUNCTION("""COMPUTED_VALUE"""),"null")</f>
        <v>null</v>
      </c>
      <c r="T2939" s="33">
        <f>IFERROR(__xludf.DUMMYFUNCTION("""COMPUTED_VALUE"""),0.6666666666666666)</f>
        <v>0.6666666667</v>
      </c>
      <c r="U2939" s="4" t="str">
        <f>IFERROR(__xludf.DUMMYFUNCTION("""COMPUTED_VALUE"""),"Schneider Software")</f>
        <v>Schneider Software</v>
      </c>
      <c r="V2939" s="33">
        <f>IFERROR(__xludf.DUMMYFUNCTION("""COMPUTED_VALUE"""),0.3333333333333333)</f>
        <v>0.3333333333</v>
      </c>
      <c r="W2939" s="4" t="str">
        <f>IFERROR(__xludf.DUMMYFUNCTION("""COMPUTED_VALUE"""),"Schneider Software")</f>
        <v>Schneider Software</v>
      </c>
      <c r="X2939" s="33">
        <f>IFERROR(__xludf.DUMMYFUNCTION("""COMPUTED_VALUE"""),0.3333333333333333)</f>
        <v>0.3333333333</v>
      </c>
    </row>
    <row r="2940">
      <c r="K2940" s="4" t="str">
        <f>IFERROR(__xludf.DUMMYFUNCTION("""COMPUTED_VALUE"""),"CASA DA ESFIHA E PIZZARIA")</f>
        <v>CASA DA ESFIHA E PIZZARIA</v>
      </c>
      <c r="L2940" s="32">
        <f>IFERROR(__xludf.DUMMYFUNCTION("""COMPUTED_VALUE"""),3.0)</f>
        <v>3</v>
      </c>
      <c r="M2940" s="4" t="str">
        <f>IFERROR(__xludf.DUMMYFUNCTION("""COMPUTED_VALUE"""),"null")</f>
        <v>null</v>
      </c>
      <c r="N2940" s="33">
        <f>IFERROR(__xludf.DUMMYFUNCTION("""COMPUTED_VALUE"""),0.6666666666666666)</f>
        <v>0.6666666667</v>
      </c>
      <c r="O2940" s="4" t="str">
        <f>IFERROR(__xludf.DUMMYFUNCTION("""COMPUTED_VALUE"""),"null")</f>
        <v>null</v>
      </c>
      <c r="P2940" s="33">
        <f>IFERROR(__xludf.DUMMYFUNCTION("""COMPUTED_VALUE"""),1.0)</f>
        <v>1</v>
      </c>
      <c r="Q2940" s="4" t="str">
        <f>IFERROR(__xludf.DUMMYFUNCTION("""COMPUTED_VALUE"""),"null")</f>
        <v>null</v>
      </c>
      <c r="R2940" s="33">
        <f>IFERROR(__xludf.DUMMYFUNCTION("""COMPUTED_VALUE"""),1.0)</f>
        <v>1</v>
      </c>
      <c r="S2940" s="4" t="str">
        <f>IFERROR(__xludf.DUMMYFUNCTION("""COMPUTED_VALUE"""),"null")</f>
        <v>null</v>
      </c>
      <c r="T2940" s="33">
        <f>IFERROR(__xludf.DUMMYFUNCTION("""COMPUTED_VALUE"""),0.6666666666666666)</f>
        <v>0.6666666667</v>
      </c>
      <c r="U2940" s="4" t="str">
        <f>IFERROR(__xludf.DUMMYFUNCTION("""COMPUTED_VALUE"""),"Saipos Serviços De Software")</f>
        <v>Saipos Serviços De Software</v>
      </c>
      <c r="V2940" s="33">
        <f>IFERROR(__xludf.DUMMYFUNCTION("""COMPUTED_VALUE"""),0.3333333333333333)</f>
        <v>0.3333333333</v>
      </c>
      <c r="W2940" s="4" t="str">
        <f>IFERROR(__xludf.DUMMYFUNCTION("""COMPUTED_VALUE"""),"Saipos Serviços De Software")</f>
        <v>Saipos Serviços De Software</v>
      </c>
      <c r="X2940" s="33">
        <f>IFERROR(__xludf.DUMMYFUNCTION("""COMPUTED_VALUE"""),0.3333333333333333)</f>
        <v>0.3333333333</v>
      </c>
    </row>
    <row r="2941">
      <c r="K2941" s="4" t="str">
        <f>IFERROR(__xludf.DUMMYFUNCTION("""COMPUTED_VALUE"""),"PAN EXPRESS")</f>
        <v>PAN EXPRESS</v>
      </c>
      <c r="L2941" s="32">
        <f>IFERROR(__xludf.DUMMYFUNCTION("""COMPUTED_VALUE"""),3.0)</f>
        <v>3</v>
      </c>
      <c r="M2941" s="4" t="str">
        <f>IFERROR(__xludf.DUMMYFUNCTION("""COMPUTED_VALUE"""),"null")</f>
        <v>null</v>
      </c>
      <c r="N2941" s="33">
        <f>IFERROR(__xludf.DUMMYFUNCTION("""COMPUTED_VALUE"""),0.6666666666666666)</f>
        <v>0.6666666667</v>
      </c>
      <c r="O2941" s="4" t="str">
        <f>IFERROR(__xludf.DUMMYFUNCTION("""COMPUTED_VALUE"""),"null")</f>
        <v>null</v>
      </c>
      <c r="P2941" s="33">
        <f>IFERROR(__xludf.DUMMYFUNCTION("""COMPUTED_VALUE"""),0.6666666666666666)</f>
        <v>0.6666666667</v>
      </c>
      <c r="Q2941" s="4" t="str">
        <f>IFERROR(__xludf.DUMMYFUNCTION("""COMPUTED_VALUE"""),"Saipos Serviços De Software")</f>
        <v>Saipos Serviços De Software</v>
      </c>
      <c r="R2941" s="33">
        <f>IFERROR(__xludf.DUMMYFUNCTION("""COMPUTED_VALUE"""),0.6666666666666666)</f>
        <v>0.6666666667</v>
      </c>
      <c r="S2941" s="4" t="str">
        <f>IFERROR(__xludf.DUMMYFUNCTION("""COMPUTED_VALUE"""),"null")</f>
        <v>null</v>
      </c>
      <c r="T2941" s="33">
        <f>IFERROR(__xludf.DUMMYFUNCTION("""COMPUTED_VALUE"""),0.6666666666666666)</f>
        <v>0.6666666667</v>
      </c>
      <c r="U2941" s="4" t="str">
        <f>IFERROR(__xludf.DUMMYFUNCTION("""COMPUTED_VALUE"""),"Saipos Serviços De Software")</f>
        <v>Saipos Serviços De Software</v>
      </c>
      <c r="V2941" s="33">
        <f>IFERROR(__xludf.DUMMYFUNCTION("""COMPUTED_VALUE"""),0.6666666666666666)</f>
        <v>0.6666666667</v>
      </c>
      <c r="W2941" s="4" t="str">
        <f>IFERROR(__xludf.DUMMYFUNCTION("""COMPUTED_VALUE"""),"Saipos Serviços De Software")</f>
        <v>Saipos Serviços De Software</v>
      </c>
      <c r="X2941" s="33">
        <f>IFERROR(__xludf.DUMMYFUNCTION("""COMPUTED_VALUE"""),0.6666666666666666)</f>
        <v>0.6666666667</v>
      </c>
    </row>
    <row r="2942">
      <c r="K2942" s="4" t="str">
        <f>IFERROR(__xludf.DUMMYFUNCTION("""COMPUTED_VALUE"""),"MUNDO DO ACAI")</f>
        <v>MUNDO DO ACAI</v>
      </c>
      <c r="L2942" s="32">
        <f>IFERROR(__xludf.DUMMYFUNCTION("""COMPUTED_VALUE"""),3.0)</f>
        <v>3</v>
      </c>
      <c r="M2942" s="4" t="str">
        <f>IFERROR(__xludf.DUMMYFUNCTION("""COMPUTED_VALUE"""),"Instadelivery")</f>
        <v>Instadelivery</v>
      </c>
      <c r="N2942" s="33">
        <f>IFERROR(__xludf.DUMMYFUNCTION("""COMPUTED_VALUE"""),0.6666666666666666)</f>
        <v>0.6666666667</v>
      </c>
      <c r="O2942" s="4" t="str">
        <f>IFERROR(__xludf.DUMMYFUNCTION("""COMPUTED_VALUE"""),"Saipos Serviços De Software")</f>
        <v>Saipos Serviços De Software</v>
      </c>
      <c r="P2942" s="33">
        <f>IFERROR(__xludf.DUMMYFUNCTION("""COMPUTED_VALUE"""),0.3333333333333333)</f>
        <v>0.3333333333</v>
      </c>
      <c r="Q2942" s="4" t="str">
        <f>IFERROR(__xludf.DUMMYFUNCTION("""COMPUTED_VALUE"""),"null")</f>
        <v>null</v>
      </c>
      <c r="R2942" s="33">
        <f>IFERROR(__xludf.DUMMYFUNCTION("""COMPUTED_VALUE"""),0.6666666666666666)</f>
        <v>0.6666666667</v>
      </c>
      <c r="S2942" s="4" t="str">
        <f>IFERROR(__xludf.DUMMYFUNCTION("""COMPUTED_VALUE"""),"null")</f>
        <v>null</v>
      </c>
      <c r="T2942" s="33">
        <f>IFERROR(__xludf.DUMMYFUNCTION("""COMPUTED_VALUE"""),0.6666666666666666)</f>
        <v>0.6666666667</v>
      </c>
      <c r="U2942" s="4" t="str">
        <f>IFERROR(__xludf.DUMMYFUNCTION("""COMPUTED_VALUE"""),"null")</f>
        <v>null</v>
      </c>
      <c r="V2942" s="33">
        <f>IFERROR(__xludf.DUMMYFUNCTION("""COMPUTED_VALUE"""),0.6666666666666666)</f>
        <v>0.6666666667</v>
      </c>
      <c r="W2942" s="4" t="str">
        <f>IFERROR(__xludf.DUMMYFUNCTION("""COMPUTED_VALUE"""),"null")</f>
        <v>null</v>
      </c>
      <c r="X2942" s="33">
        <f>IFERROR(__xludf.DUMMYFUNCTION("""COMPUTED_VALUE"""),0.6666666666666666)</f>
        <v>0.6666666667</v>
      </c>
    </row>
    <row r="2943">
      <c r="K2943" s="4" t="str">
        <f>IFERROR(__xludf.DUMMYFUNCTION("""COMPUTED_VALUE"""),"MUNDO DA PIZZA")</f>
        <v>MUNDO DA PIZZA</v>
      </c>
      <c r="L2943" s="32">
        <f>IFERROR(__xludf.DUMMYFUNCTION("""COMPUTED_VALUE"""),3.0)</f>
        <v>3</v>
      </c>
      <c r="M2943" s="4" t="str">
        <f>IFERROR(__xludf.DUMMYFUNCTION("""COMPUTED_VALUE"""),"Grk Soluções Informatica Eireli")</f>
        <v>Grk Soluções Informatica Eireli</v>
      </c>
      <c r="N2943" s="33">
        <f>IFERROR(__xludf.DUMMYFUNCTION("""COMPUTED_VALUE"""),0.6666666666666666)</f>
        <v>0.6666666667</v>
      </c>
      <c r="O2943" s="4" t="str">
        <f>IFERROR(__xludf.DUMMYFUNCTION("""COMPUTED_VALUE"""),"null")</f>
        <v>null</v>
      </c>
      <c r="P2943" s="33">
        <f>IFERROR(__xludf.DUMMYFUNCTION("""COMPUTED_VALUE"""),0.6666666666666666)</f>
        <v>0.6666666667</v>
      </c>
      <c r="Q2943" s="4" t="str">
        <f>IFERROR(__xludf.DUMMYFUNCTION("""COMPUTED_VALUE"""),"Grk Soluções Informatica Eireli")</f>
        <v>Grk Soluções Informatica Eireli</v>
      </c>
      <c r="R2943" s="33">
        <f>IFERROR(__xludf.DUMMYFUNCTION("""COMPUTED_VALUE"""),0.6666666666666666)</f>
        <v>0.6666666667</v>
      </c>
      <c r="S2943" s="4" t="str">
        <f>IFERROR(__xludf.DUMMYFUNCTION("""COMPUTED_VALUE"""),"Grk Soluções Informatica Eireli")</f>
        <v>Grk Soluções Informatica Eireli</v>
      </c>
      <c r="T2943" s="33">
        <f>IFERROR(__xludf.DUMMYFUNCTION("""COMPUTED_VALUE"""),0.6666666666666666)</f>
        <v>0.6666666667</v>
      </c>
      <c r="U2943" s="4" t="str">
        <f>IFERROR(__xludf.DUMMYFUNCTION("""COMPUTED_VALUE"""),"Grk Soluções Informatica Eireli")</f>
        <v>Grk Soluções Informatica Eireli</v>
      </c>
      <c r="V2943" s="33">
        <f>IFERROR(__xludf.DUMMYFUNCTION("""COMPUTED_VALUE"""),0.6666666666666666)</f>
        <v>0.6666666667</v>
      </c>
      <c r="W2943" s="4" t="str">
        <f>IFERROR(__xludf.DUMMYFUNCTION("""COMPUTED_VALUE"""),"Grk Soluções Informatica Eireli")</f>
        <v>Grk Soluções Informatica Eireli</v>
      </c>
      <c r="X2943" s="33">
        <f>IFERROR(__xludf.DUMMYFUNCTION("""COMPUTED_VALUE"""),0.6666666666666666)</f>
        <v>0.6666666667</v>
      </c>
    </row>
    <row r="2944">
      <c r="K2944" s="4" t="str">
        <f>IFERROR(__xludf.DUMMYFUNCTION("""COMPUTED_VALUE"""),"BOLDT BURGER - HAMBURGUERIA ARTESANAL")</f>
        <v>BOLDT BURGER - HAMBURGUERIA ARTESANAL</v>
      </c>
      <c r="L2944" s="32">
        <f>IFERROR(__xludf.DUMMYFUNCTION("""COMPUTED_VALUE"""),3.0)</f>
        <v>3</v>
      </c>
      <c r="M2944" s="4" t="str">
        <f>IFERROR(__xludf.DUMMYFUNCTION("""COMPUTED_VALUE"""),"Saipos Serviços De Software")</f>
        <v>Saipos Serviços De Software</v>
      </c>
      <c r="N2944" s="33">
        <f>IFERROR(__xludf.DUMMYFUNCTION("""COMPUTED_VALUE"""),1.0)</f>
        <v>1</v>
      </c>
      <c r="O2944" s="4" t="str">
        <f>IFERROR(__xludf.DUMMYFUNCTION("""COMPUTED_VALUE"""),"Saipos Serviços De Software")</f>
        <v>Saipos Serviços De Software</v>
      </c>
      <c r="P2944" s="33">
        <f>IFERROR(__xludf.DUMMYFUNCTION("""COMPUTED_VALUE"""),1.0)</f>
        <v>1</v>
      </c>
      <c r="Q2944" s="4" t="str">
        <f>IFERROR(__xludf.DUMMYFUNCTION("""COMPUTED_VALUE"""),"Saipos Serviços De Software")</f>
        <v>Saipos Serviços De Software</v>
      </c>
      <c r="R2944" s="33">
        <f>IFERROR(__xludf.DUMMYFUNCTION("""COMPUTED_VALUE"""),1.0)</f>
        <v>1</v>
      </c>
      <c r="S2944" s="4" t="str">
        <f>IFERROR(__xludf.DUMMYFUNCTION("""COMPUTED_VALUE"""),"null")</f>
        <v>null</v>
      </c>
      <c r="T2944" s="33">
        <f>IFERROR(__xludf.DUMMYFUNCTION("""COMPUTED_VALUE"""),1.0)</f>
        <v>1</v>
      </c>
      <c r="U2944" s="4" t="str">
        <f>IFERROR(__xludf.DUMMYFUNCTION("""COMPUTED_VALUE"""),"Saipos Serviços De Software")</f>
        <v>Saipos Serviços De Software</v>
      </c>
      <c r="V2944" s="33">
        <f>IFERROR(__xludf.DUMMYFUNCTION("""COMPUTED_VALUE"""),0.6666666666666666)</f>
        <v>0.6666666667</v>
      </c>
      <c r="W2944" s="4" t="str">
        <f>IFERROR(__xludf.DUMMYFUNCTION("""COMPUTED_VALUE"""),"null")</f>
        <v>null</v>
      </c>
      <c r="X2944" s="33">
        <f>IFERROR(__xludf.DUMMYFUNCTION("""COMPUTED_VALUE"""),1.0)</f>
        <v>1</v>
      </c>
    </row>
    <row r="2945">
      <c r="K2945" s="4" t="str">
        <f>IFERROR(__xludf.DUMMYFUNCTION("""COMPUTED_VALUE"""),"NONA MANIA PIZZARIA")</f>
        <v>NONA MANIA PIZZARIA</v>
      </c>
      <c r="L2945" s="32">
        <f>IFERROR(__xludf.DUMMYFUNCTION("""COMPUTED_VALUE"""),3.0)</f>
        <v>3</v>
      </c>
      <c r="M2945" s="4" t="str">
        <f>IFERROR(__xludf.DUMMYFUNCTION("""COMPUTED_VALUE"""),"Saipos Serviços De Software")</f>
        <v>Saipos Serviços De Software</v>
      </c>
      <c r="N2945" s="33">
        <f>IFERROR(__xludf.DUMMYFUNCTION("""COMPUTED_VALUE"""),0.6666666666666666)</f>
        <v>0.6666666667</v>
      </c>
      <c r="O2945" s="4" t="str">
        <f>IFERROR(__xludf.DUMMYFUNCTION("""COMPUTED_VALUE"""),"null")</f>
        <v>null</v>
      </c>
      <c r="P2945" s="33">
        <f>IFERROR(__xludf.DUMMYFUNCTION("""COMPUTED_VALUE"""),1.0)</f>
        <v>1</v>
      </c>
      <c r="Q2945" s="4" t="str">
        <f>IFERROR(__xludf.DUMMYFUNCTION("""COMPUTED_VALUE"""),"null")</f>
        <v>null</v>
      </c>
      <c r="R2945" s="33">
        <f>IFERROR(__xludf.DUMMYFUNCTION("""COMPUTED_VALUE"""),0.6666666666666666)</f>
        <v>0.6666666667</v>
      </c>
      <c r="S2945" s="4" t="str">
        <f>IFERROR(__xludf.DUMMYFUNCTION("""COMPUTED_VALUE"""),"null")</f>
        <v>null</v>
      </c>
      <c r="T2945" s="33">
        <f>IFERROR(__xludf.DUMMYFUNCTION("""COMPUTED_VALUE"""),0.6666666666666666)</f>
        <v>0.6666666667</v>
      </c>
      <c r="U2945" s="4" t="str">
        <f>IFERROR(__xludf.DUMMYFUNCTION("""COMPUTED_VALUE"""),"null")</f>
        <v>null</v>
      </c>
      <c r="V2945" s="33">
        <f>IFERROR(__xludf.DUMMYFUNCTION("""COMPUTED_VALUE"""),0.6666666666666666)</f>
        <v>0.6666666667</v>
      </c>
      <c r="W2945" s="4" t="str">
        <f>IFERROR(__xludf.DUMMYFUNCTION("""COMPUTED_VALUE"""),"null")</f>
        <v>null</v>
      </c>
      <c r="X2945" s="33">
        <f>IFERROR(__xludf.DUMMYFUNCTION("""COMPUTED_VALUE"""),0.6666666666666666)</f>
        <v>0.6666666667</v>
      </c>
    </row>
    <row r="2946">
      <c r="K2946" s="4" t="str">
        <f>IFERROR(__xludf.DUMMYFUNCTION("""COMPUTED_VALUE"""),"CENTER LANCHES")</f>
        <v>CENTER LANCHES</v>
      </c>
      <c r="L2946" s="32">
        <f>IFERROR(__xludf.DUMMYFUNCTION("""COMPUTED_VALUE"""),3.0)</f>
        <v>3</v>
      </c>
      <c r="M2946" s="4" t="str">
        <f>IFERROR(__xludf.DUMMYFUNCTION("""COMPUTED_VALUE"""),"Saipos Serviços De Software")</f>
        <v>Saipos Serviços De Software</v>
      </c>
      <c r="N2946" s="33">
        <f>IFERROR(__xludf.DUMMYFUNCTION("""COMPUTED_VALUE"""),0.3333333333333333)</f>
        <v>0.3333333333</v>
      </c>
      <c r="O2946" s="4" t="str">
        <f>IFERROR(__xludf.DUMMYFUNCTION("""COMPUTED_VALUE"""),"Saipos Serviços De Software")</f>
        <v>Saipos Serviços De Software</v>
      </c>
      <c r="P2946" s="33">
        <f>IFERROR(__xludf.DUMMYFUNCTION("""COMPUTED_VALUE"""),0.3333333333333333)</f>
        <v>0.3333333333</v>
      </c>
      <c r="Q2946" s="4" t="str">
        <f>IFERROR(__xludf.DUMMYFUNCTION("""COMPUTED_VALUE"""),"Saipos Serviços De Software")</f>
        <v>Saipos Serviços De Software</v>
      </c>
      <c r="R2946" s="33">
        <f>IFERROR(__xludf.DUMMYFUNCTION("""COMPUTED_VALUE"""),0.3333333333333333)</f>
        <v>0.3333333333</v>
      </c>
      <c r="S2946" s="4" t="str">
        <f>IFERROR(__xludf.DUMMYFUNCTION("""COMPUTED_VALUE"""),"null")</f>
        <v>null</v>
      </c>
      <c r="T2946" s="33">
        <f>IFERROR(__xludf.DUMMYFUNCTION("""COMPUTED_VALUE"""),0.6666666666666666)</f>
        <v>0.6666666667</v>
      </c>
      <c r="U2946" s="4" t="str">
        <f>IFERROR(__xludf.DUMMYFUNCTION("""COMPUTED_VALUE"""),"Saipos Serviços De Software")</f>
        <v>Saipos Serviços De Software</v>
      </c>
      <c r="V2946" s="33">
        <f>IFERROR(__xludf.DUMMYFUNCTION("""COMPUTED_VALUE"""),0.3333333333333333)</f>
        <v>0.3333333333</v>
      </c>
      <c r="W2946" s="4" t="str">
        <f>IFERROR(__xludf.DUMMYFUNCTION("""COMPUTED_VALUE"""),"Saipos Serviços De Software")</f>
        <v>Saipos Serviços De Software</v>
      </c>
      <c r="X2946" s="33">
        <f>IFERROR(__xludf.DUMMYFUNCTION("""COMPUTED_VALUE"""),0.3333333333333333)</f>
        <v>0.3333333333</v>
      </c>
    </row>
    <row r="2947">
      <c r="K2947" s="4" t="str">
        <f>IFERROR(__xludf.DUMMYFUNCTION("""COMPUTED_VALUE"""),"NUBOA SUSHI")</f>
        <v>NUBOA SUSHI</v>
      </c>
      <c r="L2947" s="32">
        <f>IFERROR(__xludf.DUMMYFUNCTION("""COMPUTED_VALUE"""),3.0)</f>
        <v>3</v>
      </c>
      <c r="M2947" s="4" t="str">
        <f>IFERROR(__xludf.DUMMYFUNCTION("""COMPUTED_VALUE"""),"Saipos Serviços De Software")</f>
        <v>Saipos Serviços De Software</v>
      </c>
      <c r="N2947" s="33">
        <f>IFERROR(__xludf.DUMMYFUNCTION("""COMPUTED_VALUE"""),1.0)</f>
        <v>1</v>
      </c>
      <c r="O2947" s="4" t="str">
        <f>IFERROR(__xludf.DUMMYFUNCTION("""COMPUTED_VALUE"""),"Saipos Serviços De Software")</f>
        <v>Saipos Serviços De Software</v>
      </c>
      <c r="P2947" s="33">
        <f>IFERROR(__xludf.DUMMYFUNCTION("""COMPUTED_VALUE"""),1.0)</f>
        <v>1</v>
      </c>
      <c r="Q2947" s="4" t="str">
        <f>IFERROR(__xludf.DUMMYFUNCTION("""COMPUTED_VALUE"""),"Saipos Serviços De Software")</f>
        <v>Saipos Serviços De Software</v>
      </c>
      <c r="R2947" s="33">
        <f>IFERROR(__xludf.DUMMYFUNCTION("""COMPUTED_VALUE"""),1.0)</f>
        <v>1</v>
      </c>
      <c r="S2947" s="4" t="str">
        <f>IFERROR(__xludf.DUMMYFUNCTION("""COMPUTED_VALUE"""),"Saipos Serviços De Software")</f>
        <v>Saipos Serviços De Software</v>
      </c>
      <c r="T2947" s="33">
        <f>IFERROR(__xludf.DUMMYFUNCTION("""COMPUTED_VALUE"""),1.0)</f>
        <v>1</v>
      </c>
      <c r="U2947" s="4" t="str">
        <f>IFERROR(__xludf.DUMMYFUNCTION("""COMPUTED_VALUE"""),"Saipos Serviços De Software")</f>
        <v>Saipos Serviços De Software</v>
      </c>
      <c r="V2947" s="33">
        <f>IFERROR(__xludf.DUMMYFUNCTION("""COMPUTED_VALUE"""),1.0)</f>
        <v>1</v>
      </c>
      <c r="W2947" s="4" t="str">
        <f>IFERROR(__xludf.DUMMYFUNCTION("""COMPUTED_VALUE"""),"Saipos Serviços De Software")</f>
        <v>Saipos Serviços De Software</v>
      </c>
      <c r="X2947" s="33">
        <f>IFERROR(__xludf.DUMMYFUNCTION("""COMPUTED_VALUE"""),1.0)</f>
        <v>1</v>
      </c>
    </row>
    <row r="2948">
      <c r="K2948" s="4" t="str">
        <f>IFERROR(__xludf.DUMMYFUNCTION("""COMPUTED_VALUE"""),"GIGA BURGUER")</f>
        <v>GIGA BURGUER</v>
      </c>
      <c r="L2948" s="32">
        <f>IFERROR(__xludf.DUMMYFUNCTION("""COMPUTED_VALUE"""),3.0)</f>
        <v>3</v>
      </c>
      <c r="M2948" s="4" t="str">
        <f>IFERROR(__xludf.DUMMYFUNCTION("""COMPUTED_VALUE"""),"Cardápio Web")</f>
        <v>Cardápio Web</v>
      </c>
      <c r="N2948" s="33">
        <f>IFERROR(__xludf.DUMMYFUNCTION("""COMPUTED_VALUE"""),0.3333333333333333)</f>
        <v>0.3333333333</v>
      </c>
      <c r="O2948" s="4" t="str">
        <f>IFERROR(__xludf.DUMMYFUNCTION("""COMPUTED_VALUE"""),"Cardápio Web")</f>
        <v>Cardápio Web</v>
      </c>
      <c r="P2948" s="33">
        <f>IFERROR(__xludf.DUMMYFUNCTION("""COMPUTED_VALUE"""),0.3333333333333333)</f>
        <v>0.3333333333</v>
      </c>
      <c r="Q2948" s="4" t="str">
        <f>IFERROR(__xludf.DUMMYFUNCTION("""COMPUTED_VALUE"""),"Cardápio Web")</f>
        <v>Cardápio Web</v>
      </c>
      <c r="R2948" s="33">
        <f>IFERROR(__xludf.DUMMYFUNCTION("""COMPUTED_VALUE"""),0.3333333333333333)</f>
        <v>0.3333333333</v>
      </c>
      <c r="S2948" s="4" t="str">
        <f>IFERROR(__xludf.DUMMYFUNCTION("""COMPUTED_VALUE"""),"Cardápio Web")</f>
        <v>Cardápio Web</v>
      </c>
      <c r="T2948" s="33">
        <f>IFERROR(__xludf.DUMMYFUNCTION("""COMPUTED_VALUE"""),0.3333333333333333)</f>
        <v>0.3333333333</v>
      </c>
      <c r="U2948" s="4" t="str">
        <f>IFERROR(__xludf.DUMMYFUNCTION("""COMPUTED_VALUE"""),"Cardápio Web")</f>
        <v>Cardápio Web</v>
      </c>
      <c r="V2948" s="33">
        <f>IFERROR(__xludf.DUMMYFUNCTION("""COMPUTED_VALUE"""),0.3333333333333333)</f>
        <v>0.3333333333</v>
      </c>
      <c r="W2948" s="4" t="str">
        <f>IFERROR(__xludf.DUMMYFUNCTION("""COMPUTED_VALUE"""),"Cardápio Web")</f>
        <v>Cardápio Web</v>
      </c>
      <c r="X2948" s="33">
        <f>IFERROR(__xludf.DUMMYFUNCTION("""COMPUTED_VALUE"""),0.3333333333333333)</f>
        <v>0.3333333333</v>
      </c>
    </row>
    <row r="2949">
      <c r="K2949" s="4" t="str">
        <f>IFERROR(__xludf.DUMMYFUNCTION("""COMPUTED_VALUE"""),"MAO NA MASSA")</f>
        <v>MAO NA MASSA</v>
      </c>
      <c r="L2949" s="32">
        <f>IFERROR(__xludf.DUMMYFUNCTION("""COMPUTED_VALUE"""),3.0)</f>
        <v>3</v>
      </c>
      <c r="M2949" s="4" t="str">
        <f>IFERROR(__xludf.DUMMYFUNCTION("""COMPUTED_VALUE"""),"null")</f>
        <v>null</v>
      </c>
      <c r="N2949" s="33">
        <f>IFERROR(__xludf.DUMMYFUNCTION("""COMPUTED_VALUE"""),0.3333333333333333)</f>
        <v>0.3333333333</v>
      </c>
      <c r="O2949" s="4" t="str">
        <f>IFERROR(__xludf.DUMMYFUNCTION("""COMPUTED_VALUE"""),"Anota Ai Solucoes Digitais S/a")</f>
        <v>Anota Ai Solucoes Digitais S/a</v>
      </c>
      <c r="P2949" s="33">
        <f>IFERROR(__xludf.DUMMYFUNCTION("""COMPUTED_VALUE"""),0.6666666666666666)</f>
        <v>0.6666666667</v>
      </c>
      <c r="Q2949" s="4" t="str">
        <f>IFERROR(__xludf.DUMMYFUNCTION("""COMPUTED_VALUE"""),"null")</f>
        <v>null</v>
      </c>
      <c r="R2949" s="33">
        <f>IFERROR(__xludf.DUMMYFUNCTION("""COMPUTED_VALUE"""),0.6666666666666666)</f>
        <v>0.6666666667</v>
      </c>
      <c r="S2949" s="4" t="str">
        <f>IFERROR(__xludf.DUMMYFUNCTION("""COMPUTED_VALUE"""),"null")</f>
        <v>null</v>
      </c>
      <c r="T2949" s="33">
        <f>IFERROR(__xludf.DUMMYFUNCTION("""COMPUTED_VALUE"""),1.0)</f>
        <v>1</v>
      </c>
      <c r="U2949" s="4" t="str">
        <f>IFERROR(__xludf.DUMMYFUNCTION("""COMPUTED_VALUE"""),"null")</f>
        <v>null</v>
      </c>
      <c r="V2949" s="33">
        <f>IFERROR(__xludf.DUMMYFUNCTION("""COMPUTED_VALUE"""),0.6666666666666666)</f>
        <v>0.6666666667</v>
      </c>
      <c r="W2949" s="4" t="str">
        <f>IFERROR(__xludf.DUMMYFUNCTION("""COMPUTED_VALUE"""),"null")</f>
        <v>null</v>
      </c>
      <c r="X2949" s="33">
        <f>IFERROR(__xludf.DUMMYFUNCTION("""COMPUTED_VALUE"""),1.0)</f>
        <v>1</v>
      </c>
    </row>
    <row r="2950">
      <c r="K2950" s="4" t="str">
        <f>IFERROR(__xludf.DUMMYFUNCTION("""COMPUTED_VALUE"""),"BELLA DOCERIA")</f>
        <v>BELLA DOCERIA</v>
      </c>
      <c r="L2950" s="32">
        <f>IFERROR(__xludf.DUMMYFUNCTION("""COMPUTED_VALUE"""),3.0)</f>
        <v>3</v>
      </c>
      <c r="M2950" s="4" t="str">
        <f>IFERROR(__xludf.DUMMYFUNCTION("""COMPUTED_VALUE"""),"Saipos Serviços De Software")</f>
        <v>Saipos Serviços De Software</v>
      </c>
      <c r="N2950" s="33">
        <f>IFERROR(__xludf.DUMMYFUNCTION("""COMPUTED_VALUE"""),0.3333333333333333)</f>
        <v>0.3333333333</v>
      </c>
      <c r="O2950" s="4" t="str">
        <f>IFERROR(__xludf.DUMMYFUNCTION("""COMPUTED_VALUE"""),"Saipos Serviços De Software")</f>
        <v>Saipos Serviços De Software</v>
      </c>
      <c r="P2950" s="33">
        <f>IFERROR(__xludf.DUMMYFUNCTION("""COMPUTED_VALUE"""),0.3333333333333333)</f>
        <v>0.3333333333</v>
      </c>
      <c r="Q2950" s="4" t="str">
        <f>IFERROR(__xludf.DUMMYFUNCTION("""COMPUTED_VALUE"""),"Saipos Serviços De Software")</f>
        <v>Saipos Serviços De Software</v>
      </c>
      <c r="R2950" s="33">
        <f>IFERROR(__xludf.DUMMYFUNCTION("""COMPUTED_VALUE"""),0.3333333333333333)</f>
        <v>0.3333333333</v>
      </c>
      <c r="S2950" s="4" t="str">
        <f>IFERROR(__xludf.DUMMYFUNCTION("""COMPUTED_VALUE"""),"Saipos Serviços De Software")</f>
        <v>Saipos Serviços De Software</v>
      </c>
      <c r="T2950" s="33">
        <f>IFERROR(__xludf.DUMMYFUNCTION("""COMPUTED_VALUE"""),0.3333333333333333)</f>
        <v>0.3333333333</v>
      </c>
      <c r="U2950" s="4" t="str">
        <f>IFERROR(__xludf.DUMMYFUNCTION("""COMPUTED_VALUE"""),"null")</f>
        <v>null</v>
      </c>
      <c r="V2950" s="33">
        <f>IFERROR(__xludf.DUMMYFUNCTION("""COMPUTED_VALUE"""),0.6666666666666666)</f>
        <v>0.6666666667</v>
      </c>
      <c r="W2950" s="4" t="str">
        <f>IFERROR(__xludf.DUMMYFUNCTION("""COMPUTED_VALUE"""),"null")</f>
        <v>null</v>
      </c>
      <c r="X2950" s="33">
        <f>IFERROR(__xludf.DUMMYFUNCTION("""COMPUTED_VALUE"""),0.6666666666666666)</f>
        <v>0.6666666667</v>
      </c>
    </row>
    <row r="2951">
      <c r="K2951" s="4" t="str">
        <f>IFERROR(__xludf.DUMMYFUNCTION("""COMPUTED_VALUE"""),"FAST BURGER")</f>
        <v>FAST BURGER</v>
      </c>
      <c r="L2951" s="32">
        <f>IFERROR(__xludf.DUMMYFUNCTION("""COMPUTED_VALUE"""),3.0)</f>
        <v>3</v>
      </c>
      <c r="M2951" s="4" t="str">
        <f>IFERROR(__xludf.DUMMYFUNCTION("""COMPUTED_VALUE"""),"null")</f>
        <v>null</v>
      </c>
      <c r="N2951" s="33">
        <f>IFERROR(__xludf.DUMMYFUNCTION("""COMPUTED_VALUE"""),0.6666666666666666)</f>
        <v>0.6666666667</v>
      </c>
      <c r="O2951" s="4" t="str">
        <f>IFERROR(__xludf.DUMMYFUNCTION("""COMPUTED_VALUE"""),"Grandchef Desenvolvimento De Sistemas Ltda")</f>
        <v>Grandchef Desenvolvimento De Sistemas Ltda</v>
      </c>
      <c r="P2951" s="33">
        <f>IFERROR(__xludf.DUMMYFUNCTION("""COMPUTED_VALUE"""),0.3333333333333333)</f>
        <v>0.3333333333</v>
      </c>
      <c r="Q2951" s="4" t="str">
        <f>IFERROR(__xludf.DUMMYFUNCTION("""COMPUTED_VALUE"""),"Grandchef Desenvolvimento De Sistemas Ltda")</f>
        <v>Grandchef Desenvolvimento De Sistemas Ltda</v>
      </c>
      <c r="R2951" s="33">
        <f>IFERROR(__xludf.DUMMYFUNCTION("""COMPUTED_VALUE"""),0.3333333333333333)</f>
        <v>0.3333333333</v>
      </c>
      <c r="S2951" s="4" t="str">
        <f>IFERROR(__xludf.DUMMYFUNCTION("""COMPUTED_VALUE"""),"null")</f>
        <v>null</v>
      </c>
      <c r="T2951" s="33">
        <f>IFERROR(__xludf.DUMMYFUNCTION("""COMPUTED_VALUE"""),0.3333333333333333)</f>
        <v>0.3333333333</v>
      </c>
      <c r="U2951" s="4" t="str">
        <f>IFERROR(__xludf.DUMMYFUNCTION("""COMPUTED_VALUE"""),"null")</f>
        <v>null</v>
      </c>
      <c r="V2951" s="33">
        <f>IFERROR(__xludf.DUMMYFUNCTION("""COMPUTED_VALUE"""),0.6666666666666666)</f>
        <v>0.6666666667</v>
      </c>
      <c r="W2951" s="4" t="str">
        <f>IFERROR(__xludf.DUMMYFUNCTION("""COMPUTED_VALUE"""),"null")</f>
        <v>null</v>
      </c>
      <c r="X2951" s="33">
        <f>IFERROR(__xludf.DUMMYFUNCTION("""COMPUTED_VALUE"""),0.6666666666666666)</f>
        <v>0.6666666667</v>
      </c>
    </row>
    <row r="2952">
      <c r="K2952" s="4" t="str">
        <f>IFERROR(__xludf.DUMMYFUNCTION("""COMPUTED_VALUE"""),"ROCK BURGER")</f>
        <v>ROCK BURGER</v>
      </c>
      <c r="L2952" s="32">
        <f>IFERROR(__xludf.DUMMYFUNCTION("""COMPUTED_VALUE"""),3.0)</f>
        <v>3</v>
      </c>
      <c r="M2952" s="4" t="str">
        <f>IFERROR(__xludf.DUMMYFUNCTION("""COMPUTED_VALUE"""),"Yooga")</f>
        <v>Yooga</v>
      </c>
      <c r="N2952" s="33">
        <f>IFERROR(__xludf.DUMMYFUNCTION("""COMPUTED_VALUE"""),0.3333333333333333)</f>
        <v>0.3333333333</v>
      </c>
      <c r="O2952" s="4" t="str">
        <f>IFERROR(__xludf.DUMMYFUNCTION("""COMPUTED_VALUE"""),"Yooga")</f>
        <v>Yooga</v>
      </c>
      <c r="P2952" s="33">
        <f>IFERROR(__xludf.DUMMYFUNCTION("""COMPUTED_VALUE"""),0.3333333333333333)</f>
        <v>0.3333333333</v>
      </c>
      <c r="Q2952" s="4" t="str">
        <f>IFERROR(__xludf.DUMMYFUNCTION("""COMPUTED_VALUE"""),"Yooga")</f>
        <v>Yooga</v>
      </c>
      <c r="R2952" s="33">
        <f>IFERROR(__xludf.DUMMYFUNCTION("""COMPUTED_VALUE"""),0.3333333333333333)</f>
        <v>0.3333333333</v>
      </c>
      <c r="S2952" s="4" t="str">
        <f>IFERROR(__xludf.DUMMYFUNCTION("""COMPUTED_VALUE"""),"Yooga")</f>
        <v>Yooga</v>
      </c>
      <c r="T2952" s="33">
        <f>IFERROR(__xludf.DUMMYFUNCTION("""COMPUTED_VALUE"""),0.3333333333333333)</f>
        <v>0.3333333333</v>
      </c>
      <c r="U2952" s="4" t="str">
        <f>IFERROR(__xludf.DUMMYFUNCTION("""COMPUTED_VALUE"""),"Yooga")</f>
        <v>Yooga</v>
      </c>
      <c r="V2952" s="33">
        <f>IFERROR(__xludf.DUMMYFUNCTION("""COMPUTED_VALUE"""),0.3333333333333333)</f>
        <v>0.3333333333</v>
      </c>
      <c r="W2952" s="4" t="str">
        <f>IFERROR(__xludf.DUMMYFUNCTION("""COMPUTED_VALUE"""),"Yooga")</f>
        <v>Yooga</v>
      </c>
      <c r="X2952" s="33">
        <f>IFERROR(__xludf.DUMMYFUNCTION("""COMPUTED_VALUE"""),0.3333333333333333)</f>
        <v>0.3333333333</v>
      </c>
    </row>
    <row r="2953">
      <c r="K2953" s="4" t="str">
        <f>IFERROR(__xludf.DUMMYFUNCTION("""COMPUTED_VALUE"""),"SUSHI LOVE")</f>
        <v>SUSHI LOVE</v>
      </c>
      <c r="L2953" s="32">
        <f>IFERROR(__xludf.DUMMYFUNCTION("""COMPUTED_VALUE"""),3.0)</f>
        <v>3</v>
      </c>
      <c r="M2953" s="4" t="str">
        <f>IFERROR(__xludf.DUMMYFUNCTION("""COMPUTED_VALUE"""),"Saipos Serviços De Software")</f>
        <v>Saipos Serviços De Software</v>
      </c>
      <c r="N2953" s="33">
        <f>IFERROR(__xludf.DUMMYFUNCTION("""COMPUTED_VALUE"""),1.0)</f>
        <v>1</v>
      </c>
      <c r="O2953" s="4" t="str">
        <f>IFERROR(__xludf.DUMMYFUNCTION("""COMPUTED_VALUE"""),"Saipos Serviços De Software")</f>
        <v>Saipos Serviços De Software</v>
      </c>
      <c r="P2953" s="33">
        <f>IFERROR(__xludf.DUMMYFUNCTION("""COMPUTED_VALUE"""),1.0)</f>
        <v>1</v>
      </c>
      <c r="Q2953" s="4" t="str">
        <f>IFERROR(__xludf.DUMMYFUNCTION("""COMPUTED_VALUE"""),"Saipos Serviços De Software")</f>
        <v>Saipos Serviços De Software</v>
      </c>
      <c r="R2953" s="33">
        <f>IFERROR(__xludf.DUMMYFUNCTION("""COMPUTED_VALUE"""),1.0)</f>
        <v>1</v>
      </c>
      <c r="S2953" s="4" t="str">
        <f>IFERROR(__xludf.DUMMYFUNCTION("""COMPUTED_VALUE"""),"Saipos Serviços De Software")</f>
        <v>Saipos Serviços De Software</v>
      </c>
      <c r="T2953" s="33">
        <f>IFERROR(__xludf.DUMMYFUNCTION("""COMPUTED_VALUE"""),1.0)</f>
        <v>1</v>
      </c>
      <c r="U2953" s="4" t="str">
        <f>IFERROR(__xludf.DUMMYFUNCTION("""COMPUTED_VALUE"""),"Saipos Serviços De Software")</f>
        <v>Saipos Serviços De Software</v>
      </c>
      <c r="V2953" s="33">
        <f>IFERROR(__xludf.DUMMYFUNCTION("""COMPUTED_VALUE"""),0.6666666666666666)</f>
        <v>0.6666666667</v>
      </c>
      <c r="W2953" s="4" t="str">
        <f>IFERROR(__xludf.DUMMYFUNCTION("""COMPUTED_VALUE"""),"Saipos Serviços De Software")</f>
        <v>Saipos Serviços De Software</v>
      </c>
      <c r="X2953" s="33">
        <f>IFERROR(__xludf.DUMMYFUNCTION("""COMPUTED_VALUE"""),0.6666666666666666)</f>
        <v>0.6666666667</v>
      </c>
    </row>
    <row r="2954">
      <c r="K2954" s="4" t="str">
        <f>IFERROR(__xludf.DUMMYFUNCTION("""COMPUTED_VALUE"""),"NA CASQUINHA SORVETES")</f>
        <v>NA CASQUINHA SORVETES</v>
      </c>
      <c r="L2954" s="32">
        <f>IFERROR(__xludf.DUMMYFUNCTION("""COMPUTED_VALUE"""),3.0)</f>
        <v>3</v>
      </c>
      <c r="M2954" s="4" t="str">
        <f>IFERROR(__xludf.DUMMYFUNCTION("""COMPUTED_VALUE"""),"Syntax Tecnologia")</f>
        <v>Syntax Tecnologia</v>
      </c>
      <c r="N2954" s="33">
        <f>IFERROR(__xludf.DUMMYFUNCTION("""COMPUTED_VALUE"""),1.0)</f>
        <v>1</v>
      </c>
      <c r="O2954" s="4" t="str">
        <f>IFERROR(__xludf.DUMMYFUNCTION("""COMPUTED_VALUE"""),"Syntax Tecnologia")</f>
        <v>Syntax Tecnologia</v>
      </c>
      <c r="P2954" s="33">
        <f>IFERROR(__xludf.DUMMYFUNCTION("""COMPUTED_VALUE"""),1.0)</f>
        <v>1</v>
      </c>
      <c r="Q2954" s="4" t="str">
        <f>IFERROR(__xludf.DUMMYFUNCTION("""COMPUTED_VALUE"""),"Syntax Tecnologia")</f>
        <v>Syntax Tecnologia</v>
      </c>
      <c r="R2954" s="33">
        <f>IFERROR(__xludf.DUMMYFUNCTION("""COMPUTED_VALUE"""),1.0)</f>
        <v>1</v>
      </c>
      <c r="S2954" s="4" t="str">
        <f>IFERROR(__xludf.DUMMYFUNCTION("""COMPUTED_VALUE"""),"Syntax Tecnologia")</f>
        <v>Syntax Tecnologia</v>
      </c>
      <c r="T2954" s="33">
        <f>IFERROR(__xludf.DUMMYFUNCTION("""COMPUTED_VALUE"""),1.0)</f>
        <v>1</v>
      </c>
      <c r="U2954" s="4" t="str">
        <f>IFERROR(__xludf.DUMMYFUNCTION("""COMPUTED_VALUE"""),"Syntax Tecnologia")</f>
        <v>Syntax Tecnologia</v>
      </c>
      <c r="V2954" s="33">
        <f>IFERROR(__xludf.DUMMYFUNCTION("""COMPUTED_VALUE"""),1.0)</f>
        <v>1</v>
      </c>
      <c r="W2954" s="4" t="str">
        <f>IFERROR(__xludf.DUMMYFUNCTION("""COMPUTED_VALUE"""),"Syntax Tecnologia")</f>
        <v>Syntax Tecnologia</v>
      </c>
      <c r="X2954" s="33">
        <f>IFERROR(__xludf.DUMMYFUNCTION("""COMPUTED_VALUE"""),1.0)</f>
        <v>1</v>
      </c>
    </row>
    <row r="2955">
      <c r="K2955" s="4" t="str">
        <f>IFERROR(__xludf.DUMMYFUNCTION("""COMPUTED_VALUE"""),"IMPERIO PIZZARIA")</f>
        <v>IMPERIO PIZZARIA</v>
      </c>
      <c r="L2955" s="32">
        <f>IFERROR(__xludf.DUMMYFUNCTION("""COMPUTED_VALUE"""),3.0)</f>
        <v>3</v>
      </c>
      <c r="M2955" s="4" t="str">
        <f>IFERROR(__xludf.DUMMYFUNCTION("""COMPUTED_VALUE"""),"null")</f>
        <v>null</v>
      </c>
      <c r="N2955" s="33">
        <f>IFERROR(__xludf.DUMMYFUNCTION("""COMPUTED_VALUE"""),0.6666666666666666)</f>
        <v>0.6666666667</v>
      </c>
      <c r="O2955" s="4" t="str">
        <f>IFERROR(__xludf.DUMMYFUNCTION("""COMPUTED_VALUE"""),"null")</f>
        <v>null</v>
      </c>
      <c r="P2955" s="33">
        <f>IFERROR(__xludf.DUMMYFUNCTION("""COMPUTED_VALUE"""),0.3333333333333333)</f>
        <v>0.3333333333</v>
      </c>
      <c r="Q2955" s="4" t="str">
        <f>IFERROR(__xludf.DUMMYFUNCTION("""COMPUTED_VALUE"""),"Mp Multipedidos")</f>
        <v>Mp Multipedidos</v>
      </c>
      <c r="R2955" s="33">
        <f>IFERROR(__xludf.DUMMYFUNCTION("""COMPUTED_VALUE"""),0.3333333333333333)</f>
        <v>0.3333333333</v>
      </c>
      <c r="S2955" s="4" t="str">
        <f>IFERROR(__xludf.DUMMYFUNCTION("""COMPUTED_VALUE"""),"Mp Multipedidos")</f>
        <v>Mp Multipedidos</v>
      </c>
      <c r="T2955" s="33">
        <f>IFERROR(__xludf.DUMMYFUNCTION("""COMPUTED_VALUE"""),0.3333333333333333)</f>
        <v>0.3333333333</v>
      </c>
      <c r="U2955" s="4" t="str">
        <f>IFERROR(__xludf.DUMMYFUNCTION("""COMPUTED_VALUE"""),"null")</f>
        <v>null</v>
      </c>
      <c r="V2955" s="33">
        <f>IFERROR(__xludf.DUMMYFUNCTION("""COMPUTED_VALUE"""),0.6666666666666666)</f>
        <v>0.6666666667</v>
      </c>
      <c r="W2955" s="4" t="str">
        <f>IFERROR(__xludf.DUMMYFUNCTION("""COMPUTED_VALUE"""),"Mp Multipedidos")</f>
        <v>Mp Multipedidos</v>
      </c>
      <c r="X2955" s="33">
        <f>IFERROR(__xludf.DUMMYFUNCTION("""COMPUTED_VALUE"""),0.3333333333333333)</f>
        <v>0.3333333333</v>
      </c>
    </row>
    <row r="2956">
      <c r="K2956" s="4" t="str">
        <f>IFERROR(__xludf.DUMMYFUNCTION("""COMPUTED_VALUE"""),"EMPORIO DAS MASSAS")</f>
        <v>EMPORIO DAS MASSAS</v>
      </c>
      <c r="L2956" s="32">
        <f>IFERROR(__xludf.DUMMYFUNCTION("""COMPUTED_VALUE"""),3.0)</f>
        <v>3</v>
      </c>
      <c r="M2956" s="4" t="str">
        <f>IFERROR(__xludf.DUMMYFUNCTION("""COMPUTED_VALUE"""),"null")</f>
        <v>null</v>
      </c>
      <c r="N2956" s="33">
        <f>IFERROR(__xludf.DUMMYFUNCTION("""COMPUTED_VALUE"""),0.3333333333333333)</f>
        <v>0.3333333333</v>
      </c>
      <c r="O2956" s="4" t="str">
        <f>IFERROR(__xludf.DUMMYFUNCTION("""COMPUTED_VALUE"""),"null")</f>
        <v>null</v>
      </c>
      <c r="P2956" s="33">
        <f>IFERROR(__xludf.DUMMYFUNCTION("""COMPUTED_VALUE"""),0.6666666666666666)</f>
        <v>0.6666666667</v>
      </c>
      <c r="Q2956" s="4" t="str">
        <f>IFERROR(__xludf.DUMMYFUNCTION("""COMPUTED_VALUE"""),"null")</f>
        <v>null</v>
      </c>
      <c r="R2956" s="33">
        <f>IFERROR(__xludf.DUMMYFUNCTION("""COMPUTED_VALUE"""),0.6666666666666666)</f>
        <v>0.6666666667</v>
      </c>
      <c r="S2956" s="4" t="str">
        <f>IFERROR(__xludf.DUMMYFUNCTION("""COMPUTED_VALUE"""),"Saipos Serviços De Software")</f>
        <v>Saipos Serviços De Software</v>
      </c>
      <c r="T2956" s="33">
        <f>IFERROR(__xludf.DUMMYFUNCTION("""COMPUTED_VALUE"""),0.3333333333333333)</f>
        <v>0.3333333333</v>
      </c>
      <c r="U2956" s="4" t="str">
        <f>IFERROR(__xludf.DUMMYFUNCTION("""COMPUTED_VALUE"""),"Saipos Serviços De Software")</f>
        <v>Saipos Serviços De Software</v>
      </c>
      <c r="V2956" s="33">
        <f>IFERROR(__xludf.DUMMYFUNCTION("""COMPUTED_VALUE"""),0.3333333333333333)</f>
        <v>0.3333333333</v>
      </c>
      <c r="W2956" s="4" t="str">
        <f>IFERROR(__xludf.DUMMYFUNCTION("""COMPUTED_VALUE"""),"null")</f>
        <v>null</v>
      </c>
      <c r="X2956" s="33">
        <f>IFERROR(__xludf.DUMMYFUNCTION("""COMPUTED_VALUE"""),0.6666666666666666)</f>
        <v>0.6666666667</v>
      </c>
    </row>
    <row r="2957">
      <c r="K2957" s="4" t="str">
        <f>IFERROR(__xludf.DUMMYFUNCTION("""COMPUTED_VALUE"""),"PASTELANDIA")</f>
        <v>PASTELANDIA</v>
      </c>
      <c r="L2957" s="32">
        <f>IFERROR(__xludf.DUMMYFUNCTION("""COMPUTED_VALUE"""),3.0)</f>
        <v>3</v>
      </c>
      <c r="M2957" s="4" t="str">
        <f>IFERROR(__xludf.DUMMYFUNCTION("""COMPUTED_VALUE"""),"null")</f>
        <v>null</v>
      </c>
      <c r="N2957" s="33">
        <f>IFERROR(__xludf.DUMMYFUNCTION("""COMPUTED_VALUE"""),0.3333333333333333)</f>
        <v>0.3333333333</v>
      </c>
      <c r="O2957" s="4" t="str">
        <f>IFERROR(__xludf.DUMMYFUNCTION("""COMPUTED_VALUE"""),"null")</f>
        <v>null</v>
      </c>
      <c r="P2957" s="33">
        <f>IFERROR(__xludf.DUMMYFUNCTION("""COMPUTED_VALUE"""),0.6666666666666666)</f>
        <v>0.6666666667</v>
      </c>
      <c r="Q2957" s="4" t="str">
        <f>IFERROR(__xludf.DUMMYFUNCTION("""COMPUTED_VALUE"""),"null")</f>
        <v>null</v>
      </c>
      <c r="R2957" s="33">
        <f>IFERROR(__xludf.DUMMYFUNCTION("""COMPUTED_VALUE"""),0.6666666666666666)</f>
        <v>0.6666666667</v>
      </c>
      <c r="S2957" s="4" t="str">
        <f>IFERROR(__xludf.DUMMYFUNCTION("""COMPUTED_VALUE"""),"null")</f>
        <v>null</v>
      </c>
      <c r="T2957" s="33">
        <f>IFERROR(__xludf.DUMMYFUNCTION("""COMPUTED_VALUE"""),0.6666666666666666)</f>
        <v>0.6666666667</v>
      </c>
      <c r="U2957" s="4" t="str">
        <f>IFERROR(__xludf.DUMMYFUNCTION("""COMPUTED_VALUE"""),"null")</f>
        <v>null</v>
      </c>
      <c r="V2957" s="33">
        <f>IFERROR(__xludf.DUMMYFUNCTION("""COMPUTED_VALUE"""),0.6666666666666666)</f>
        <v>0.6666666667</v>
      </c>
      <c r="W2957" s="4" t="str">
        <f>IFERROR(__xludf.DUMMYFUNCTION("""COMPUTED_VALUE"""),"Cervantes Tecnologia")</f>
        <v>Cervantes Tecnologia</v>
      </c>
      <c r="X2957" s="33">
        <f>IFERROR(__xludf.DUMMYFUNCTION("""COMPUTED_VALUE"""),0.3333333333333333)</f>
        <v>0.3333333333</v>
      </c>
    </row>
    <row r="2958">
      <c r="K2958" s="4" t="str">
        <f>IFERROR(__xludf.DUMMYFUNCTION("""COMPUTED_VALUE"""),"JOY SUSHI")</f>
        <v>JOY SUSHI</v>
      </c>
      <c r="L2958" s="32">
        <f>IFERROR(__xludf.DUMMYFUNCTION("""COMPUTED_VALUE"""),3.0)</f>
        <v>3</v>
      </c>
      <c r="M2958" s="4" t="str">
        <f>IFERROR(__xludf.DUMMYFUNCTION("""COMPUTED_VALUE"""),"Cardápio Web")</f>
        <v>Cardápio Web</v>
      </c>
      <c r="N2958" s="33">
        <f>IFERROR(__xludf.DUMMYFUNCTION("""COMPUTED_VALUE"""),0.3333333333333333)</f>
        <v>0.3333333333</v>
      </c>
      <c r="O2958" s="4" t="str">
        <f>IFERROR(__xludf.DUMMYFUNCTION("""COMPUTED_VALUE"""),"Cardápio Web")</f>
        <v>Cardápio Web</v>
      </c>
      <c r="P2958" s="33">
        <f>IFERROR(__xludf.DUMMYFUNCTION("""COMPUTED_VALUE"""),0.3333333333333333)</f>
        <v>0.3333333333</v>
      </c>
      <c r="Q2958" s="4" t="str">
        <f>IFERROR(__xludf.DUMMYFUNCTION("""COMPUTED_VALUE"""),"Cardápio Web")</f>
        <v>Cardápio Web</v>
      </c>
      <c r="R2958" s="33">
        <f>IFERROR(__xludf.DUMMYFUNCTION("""COMPUTED_VALUE"""),0.6666666666666666)</f>
        <v>0.6666666667</v>
      </c>
      <c r="S2958" s="4" t="str">
        <f>IFERROR(__xludf.DUMMYFUNCTION("""COMPUTED_VALUE"""),"Cardápio Web")</f>
        <v>Cardápio Web</v>
      </c>
      <c r="T2958" s="33">
        <f>IFERROR(__xludf.DUMMYFUNCTION("""COMPUTED_VALUE"""),0.6666666666666666)</f>
        <v>0.6666666667</v>
      </c>
      <c r="U2958" s="4" t="str">
        <f>IFERROR(__xludf.DUMMYFUNCTION("""COMPUTED_VALUE"""),"Cardápio Web")</f>
        <v>Cardápio Web</v>
      </c>
      <c r="V2958" s="33">
        <f>IFERROR(__xludf.DUMMYFUNCTION("""COMPUTED_VALUE"""),0.6666666666666666)</f>
        <v>0.6666666667</v>
      </c>
      <c r="W2958" s="4" t="str">
        <f>IFERROR(__xludf.DUMMYFUNCTION("""COMPUTED_VALUE"""),"Cardápio Web")</f>
        <v>Cardápio Web</v>
      </c>
      <c r="X2958" s="33">
        <f>IFERROR(__xludf.DUMMYFUNCTION("""COMPUTED_VALUE"""),0.6666666666666666)</f>
        <v>0.6666666667</v>
      </c>
    </row>
    <row r="2959">
      <c r="K2959" s="4" t="str">
        <f>IFERROR(__xludf.DUMMYFUNCTION("""COMPUTED_VALUE"""),"LORO")</f>
        <v>LORO</v>
      </c>
      <c r="L2959" s="32">
        <f>IFERROR(__xludf.DUMMYFUNCTION("""COMPUTED_VALUE"""),3.0)</f>
        <v>3</v>
      </c>
      <c r="M2959" s="4" t="str">
        <f>IFERROR(__xludf.DUMMYFUNCTION("""COMPUTED_VALUE"""),"null")</f>
        <v>null</v>
      </c>
      <c r="N2959" s="33">
        <f>IFERROR(__xludf.DUMMYFUNCTION("""COMPUTED_VALUE"""),0.6666666666666666)</f>
        <v>0.6666666667</v>
      </c>
      <c r="O2959" s="4" t="str">
        <f>IFERROR(__xludf.DUMMYFUNCTION("""COMPUTED_VALUE"""),"null")</f>
        <v>null</v>
      </c>
      <c r="P2959" s="33">
        <f>IFERROR(__xludf.DUMMYFUNCTION("""COMPUTED_VALUE"""),0.6666666666666666)</f>
        <v>0.6666666667</v>
      </c>
      <c r="Q2959" s="4" t="str">
        <f>IFERROR(__xludf.DUMMYFUNCTION("""COMPUTED_VALUE"""),"null")</f>
        <v>null</v>
      </c>
      <c r="R2959" s="33">
        <f>IFERROR(__xludf.DUMMYFUNCTION("""COMPUTED_VALUE"""),0.6666666666666666)</f>
        <v>0.6666666667</v>
      </c>
      <c r="S2959" s="4" t="str">
        <f>IFERROR(__xludf.DUMMYFUNCTION("""COMPUTED_VALUE"""),"Ncr")</f>
        <v>Ncr</v>
      </c>
      <c r="T2959" s="33">
        <f>IFERROR(__xludf.DUMMYFUNCTION("""COMPUTED_VALUE"""),0.6666666666666666)</f>
        <v>0.6666666667</v>
      </c>
      <c r="U2959" s="4" t="str">
        <f>IFERROR(__xludf.DUMMYFUNCTION("""COMPUTED_VALUE"""),"null")</f>
        <v>null</v>
      </c>
      <c r="V2959" s="33">
        <f>IFERROR(__xludf.DUMMYFUNCTION("""COMPUTED_VALUE"""),0.6666666666666666)</f>
        <v>0.6666666667</v>
      </c>
      <c r="W2959" s="4" t="str">
        <f>IFERROR(__xludf.DUMMYFUNCTION("""COMPUTED_VALUE"""),"Ncr")</f>
        <v>Ncr</v>
      </c>
      <c r="X2959" s="33">
        <f>IFERROR(__xludf.DUMMYFUNCTION("""COMPUTED_VALUE"""),0.6666666666666666)</f>
        <v>0.6666666667</v>
      </c>
    </row>
    <row r="2960">
      <c r="K2960" s="4" t="str">
        <f>IFERROR(__xludf.DUMMYFUNCTION("""COMPUTED_VALUE"""),"HARU SUSHI")</f>
        <v>HARU SUSHI</v>
      </c>
      <c r="L2960" s="32">
        <f>IFERROR(__xludf.DUMMYFUNCTION("""COMPUTED_VALUE"""),3.0)</f>
        <v>3</v>
      </c>
      <c r="M2960" s="4" t="str">
        <f>IFERROR(__xludf.DUMMYFUNCTION("""COMPUTED_VALUE"""),"null")</f>
        <v>null</v>
      </c>
      <c r="N2960" s="33">
        <f>IFERROR(__xludf.DUMMYFUNCTION("""COMPUTED_VALUE"""),0.3333333333333333)</f>
        <v>0.3333333333</v>
      </c>
      <c r="O2960" s="4" t="str">
        <f>IFERROR(__xludf.DUMMYFUNCTION("""COMPUTED_VALUE"""),"null")</f>
        <v>null</v>
      </c>
      <c r="P2960" s="33">
        <f>IFERROR(__xludf.DUMMYFUNCTION("""COMPUTED_VALUE"""),0.3333333333333333)</f>
        <v>0.3333333333</v>
      </c>
      <c r="Q2960" s="4" t="str">
        <f>IFERROR(__xludf.DUMMYFUNCTION("""COMPUTED_VALUE"""),"Saipos Serviços De Software")</f>
        <v>Saipos Serviços De Software</v>
      </c>
      <c r="R2960" s="33">
        <f>IFERROR(__xludf.DUMMYFUNCTION("""COMPUTED_VALUE"""),0.3333333333333333)</f>
        <v>0.3333333333</v>
      </c>
      <c r="S2960" s="4" t="str">
        <f>IFERROR(__xludf.DUMMYFUNCTION("""COMPUTED_VALUE"""),"Saipos Serviços De Software")</f>
        <v>Saipos Serviços De Software</v>
      </c>
      <c r="T2960" s="33">
        <f>IFERROR(__xludf.DUMMYFUNCTION("""COMPUTED_VALUE"""),0.3333333333333333)</f>
        <v>0.3333333333</v>
      </c>
      <c r="U2960" s="4" t="str">
        <f>IFERROR(__xludf.DUMMYFUNCTION("""COMPUTED_VALUE"""),"null")</f>
        <v>null</v>
      </c>
      <c r="V2960" s="33">
        <f>IFERROR(__xludf.DUMMYFUNCTION("""COMPUTED_VALUE"""),0.3333333333333333)</f>
        <v>0.3333333333</v>
      </c>
      <c r="W2960" s="4" t="str">
        <f>IFERROR(__xludf.DUMMYFUNCTION("""COMPUTED_VALUE"""),"null")</f>
        <v>null</v>
      </c>
      <c r="X2960" s="33">
        <f>IFERROR(__xludf.DUMMYFUNCTION("""COMPUTED_VALUE"""),0.3333333333333333)</f>
        <v>0.3333333333</v>
      </c>
    </row>
    <row r="2961">
      <c r="K2961" s="4" t="str">
        <f>IFERROR(__xludf.DUMMYFUNCTION("""COMPUTED_VALUE"""),"POP ACAI")</f>
        <v>POP ACAI</v>
      </c>
      <c r="L2961" s="32">
        <f>IFERROR(__xludf.DUMMYFUNCTION("""COMPUTED_VALUE"""),3.0)</f>
        <v>3</v>
      </c>
      <c r="M2961" s="4" t="str">
        <f>IFERROR(__xludf.DUMMYFUNCTION("""COMPUTED_VALUE"""),"Consumer Soluções Em Tecnologia Ltda")</f>
        <v>Consumer Soluções Em Tecnologia Ltda</v>
      </c>
      <c r="N2961" s="33">
        <f>IFERROR(__xludf.DUMMYFUNCTION("""COMPUTED_VALUE"""),0.3333333333333333)</f>
        <v>0.3333333333</v>
      </c>
      <c r="O2961" s="4" t="str">
        <f>IFERROR(__xludf.DUMMYFUNCTION("""COMPUTED_VALUE"""),"Consumer Soluções Em Tecnologia Ltda")</f>
        <v>Consumer Soluções Em Tecnologia Ltda</v>
      </c>
      <c r="P2961" s="33">
        <f>IFERROR(__xludf.DUMMYFUNCTION("""COMPUTED_VALUE"""),0.3333333333333333)</f>
        <v>0.3333333333</v>
      </c>
      <c r="Q2961" s="4" t="str">
        <f>IFERROR(__xludf.DUMMYFUNCTION("""COMPUTED_VALUE"""),"Consumer Soluções Em Tecnologia Ltda")</f>
        <v>Consumer Soluções Em Tecnologia Ltda</v>
      </c>
      <c r="R2961" s="33">
        <f>IFERROR(__xludf.DUMMYFUNCTION("""COMPUTED_VALUE"""),0.3333333333333333)</f>
        <v>0.3333333333</v>
      </c>
      <c r="S2961" s="4" t="str">
        <f>IFERROR(__xludf.DUMMYFUNCTION("""COMPUTED_VALUE"""),"Consumer Soluções Em Tecnologia Ltda")</f>
        <v>Consumer Soluções Em Tecnologia Ltda</v>
      </c>
      <c r="T2961" s="33">
        <f>IFERROR(__xludf.DUMMYFUNCTION("""COMPUTED_VALUE"""),0.3333333333333333)</f>
        <v>0.3333333333</v>
      </c>
      <c r="U2961" s="4" t="str">
        <f>IFERROR(__xludf.DUMMYFUNCTION("""COMPUTED_VALUE"""),"Consumer Soluções Em Tecnologia Ltda")</f>
        <v>Consumer Soluções Em Tecnologia Ltda</v>
      </c>
      <c r="V2961" s="33">
        <f>IFERROR(__xludf.DUMMYFUNCTION("""COMPUTED_VALUE"""),0.3333333333333333)</f>
        <v>0.3333333333</v>
      </c>
      <c r="W2961" s="4" t="str">
        <f>IFERROR(__xludf.DUMMYFUNCTION("""COMPUTED_VALUE"""),"Consumer Soluções Em Tecnologia Ltda")</f>
        <v>Consumer Soluções Em Tecnologia Ltda</v>
      </c>
      <c r="X2961" s="33">
        <f>IFERROR(__xludf.DUMMYFUNCTION("""COMPUTED_VALUE"""),0.3333333333333333)</f>
        <v>0.3333333333</v>
      </c>
    </row>
    <row r="2962">
      <c r="K2962" s="4" t="str">
        <f>IFERROR(__xludf.DUMMYFUNCTION("""COMPUTED_VALUE"""),"ALTAS HORAS DELIVERY")</f>
        <v>ALTAS HORAS DELIVERY</v>
      </c>
      <c r="L2962" s="32">
        <f>IFERROR(__xludf.DUMMYFUNCTION("""COMPUTED_VALUE"""),3.0)</f>
        <v>3</v>
      </c>
      <c r="M2962" s="4" t="str">
        <f>IFERROR(__xludf.DUMMYFUNCTION("""COMPUTED_VALUE"""),"Cardápio Web")</f>
        <v>Cardápio Web</v>
      </c>
      <c r="N2962" s="33">
        <f>IFERROR(__xludf.DUMMYFUNCTION("""COMPUTED_VALUE"""),0.6666666666666666)</f>
        <v>0.6666666667</v>
      </c>
      <c r="O2962" s="4" t="str">
        <f>IFERROR(__xludf.DUMMYFUNCTION("""COMPUTED_VALUE"""),"Cardápio Web")</f>
        <v>Cardápio Web</v>
      </c>
      <c r="P2962" s="33">
        <f>IFERROR(__xludf.DUMMYFUNCTION("""COMPUTED_VALUE"""),0.6666666666666666)</f>
        <v>0.6666666667</v>
      </c>
      <c r="Q2962" s="4" t="str">
        <f>IFERROR(__xludf.DUMMYFUNCTION("""COMPUTED_VALUE"""),"Cardápio Web")</f>
        <v>Cardápio Web</v>
      </c>
      <c r="R2962" s="33">
        <f>IFERROR(__xludf.DUMMYFUNCTION("""COMPUTED_VALUE"""),0.6666666666666666)</f>
        <v>0.6666666667</v>
      </c>
      <c r="S2962" s="4" t="str">
        <f>IFERROR(__xludf.DUMMYFUNCTION("""COMPUTED_VALUE"""),"Cardápio Web")</f>
        <v>Cardápio Web</v>
      </c>
      <c r="T2962" s="33">
        <f>IFERROR(__xludf.DUMMYFUNCTION("""COMPUTED_VALUE"""),0.6666666666666666)</f>
        <v>0.6666666667</v>
      </c>
      <c r="U2962" s="4" t="str">
        <f>IFERROR(__xludf.DUMMYFUNCTION("""COMPUTED_VALUE"""),"Cardápio Web")</f>
        <v>Cardápio Web</v>
      </c>
      <c r="V2962" s="33">
        <f>IFERROR(__xludf.DUMMYFUNCTION("""COMPUTED_VALUE"""),0.6666666666666666)</f>
        <v>0.6666666667</v>
      </c>
      <c r="W2962" s="4" t="str">
        <f>IFERROR(__xludf.DUMMYFUNCTION("""COMPUTED_VALUE"""),"Cardápio Web")</f>
        <v>Cardápio Web</v>
      </c>
      <c r="X2962" s="33">
        <f>IFERROR(__xludf.DUMMYFUNCTION("""COMPUTED_VALUE"""),0.6666666666666666)</f>
        <v>0.6666666667</v>
      </c>
    </row>
    <row r="2963">
      <c r="K2963" s="4" t="str">
        <f>IFERROR(__xludf.DUMMYFUNCTION("""COMPUTED_VALUE"""),"BONSAI SUSHI")</f>
        <v>BONSAI SUSHI</v>
      </c>
      <c r="L2963" s="32">
        <f>IFERROR(__xludf.DUMMYFUNCTION("""COMPUTED_VALUE"""),3.0)</f>
        <v>3</v>
      </c>
      <c r="M2963" s="4" t="str">
        <f>IFERROR(__xludf.DUMMYFUNCTION("""COMPUTED_VALUE"""),"Yooga")</f>
        <v>Yooga</v>
      </c>
      <c r="N2963" s="33">
        <f>IFERROR(__xludf.DUMMYFUNCTION("""COMPUTED_VALUE"""),0.3333333333333333)</f>
        <v>0.3333333333</v>
      </c>
      <c r="O2963" s="4" t="str">
        <f>IFERROR(__xludf.DUMMYFUNCTION("""COMPUTED_VALUE"""),"null")</f>
        <v>null</v>
      </c>
      <c r="P2963" s="33">
        <f>IFERROR(__xludf.DUMMYFUNCTION("""COMPUTED_VALUE"""),0.6666666666666666)</f>
        <v>0.6666666667</v>
      </c>
      <c r="Q2963" s="4" t="str">
        <f>IFERROR(__xludf.DUMMYFUNCTION("""COMPUTED_VALUE"""),"Anota Ai Solucoes Digitais S/a")</f>
        <v>Anota Ai Solucoes Digitais S/a</v>
      </c>
      <c r="R2963" s="33">
        <f>IFERROR(__xludf.DUMMYFUNCTION("""COMPUTED_VALUE"""),0.6666666666666666)</f>
        <v>0.6666666667</v>
      </c>
      <c r="S2963" s="4" t="str">
        <f>IFERROR(__xludf.DUMMYFUNCTION("""COMPUTED_VALUE"""),"Anota Ai Solucoes Digitais S/a")</f>
        <v>Anota Ai Solucoes Digitais S/a</v>
      </c>
      <c r="T2963" s="33">
        <f>IFERROR(__xludf.DUMMYFUNCTION("""COMPUTED_VALUE"""),0.6666666666666666)</f>
        <v>0.6666666667</v>
      </c>
      <c r="U2963" s="4" t="str">
        <f>IFERROR(__xludf.DUMMYFUNCTION("""COMPUTED_VALUE"""),"Anota Ai Solucoes Digitais S/a")</f>
        <v>Anota Ai Solucoes Digitais S/a</v>
      </c>
      <c r="V2963" s="33">
        <f>IFERROR(__xludf.DUMMYFUNCTION("""COMPUTED_VALUE"""),0.6666666666666666)</f>
        <v>0.6666666667</v>
      </c>
      <c r="W2963" s="4" t="str">
        <f>IFERROR(__xludf.DUMMYFUNCTION("""COMPUTED_VALUE"""),"Anota Ai Solucoes Digitais S/a")</f>
        <v>Anota Ai Solucoes Digitais S/a</v>
      </c>
      <c r="X2963" s="33">
        <f>IFERROR(__xludf.DUMMYFUNCTION("""COMPUTED_VALUE"""),0.6666666666666666)</f>
        <v>0.6666666667</v>
      </c>
    </row>
    <row r="2964">
      <c r="K2964" s="4" t="str">
        <f>IFERROR(__xludf.DUMMYFUNCTION("""COMPUTED_VALUE"""),"PIZZARIA DELLA NONNA")</f>
        <v>PIZZARIA DELLA NONNA</v>
      </c>
      <c r="L2964" s="32">
        <f>IFERROR(__xludf.DUMMYFUNCTION("""COMPUTED_VALUE"""),3.0)</f>
        <v>3</v>
      </c>
      <c r="M2964" s="4" t="str">
        <f>IFERROR(__xludf.DUMMYFUNCTION("""COMPUTED_VALUE"""),"Instadelivery")</f>
        <v>Instadelivery</v>
      </c>
      <c r="N2964" s="33">
        <f>IFERROR(__xludf.DUMMYFUNCTION("""COMPUTED_VALUE"""),0.6666666666666666)</f>
        <v>0.6666666667</v>
      </c>
      <c r="O2964" s="4" t="str">
        <f>IFERROR(__xludf.DUMMYFUNCTION("""COMPUTED_VALUE"""),"Instadelivery")</f>
        <v>Instadelivery</v>
      </c>
      <c r="P2964" s="33">
        <f>IFERROR(__xludf.DUMMYFUNCTION("""COMPUTED_VALUE"""),0.6666666666666666)</f>
        <v>0.6666666667</v>
      </c>
      <c r="Q2964" s="4" t="str">
        <f>IFERROR(__xludf.DUMMYFUNCTION("""COMPUTED_VALUE"""),"Instadelivery")</f>
        <v>Instadelivery</v>
      </c>
      <c r="R2964" s="33">
        <f>IFERROR(__xludf.DUMMYFUNCTION("""COMPUTED_VALUE"""),0.6666666666666666)</f>
        <v>0.6666666667</v>
      </c>
      <c r="S2964" s="4" t="str">
        <f>IFERROR(__xludf.DUMMYFUNCTION("""COMPUTED_VALUE"""),"Instadelivery")</f>
        <v>Instadelivery</v>
      </c>
      <c r="T2964" s="33">
        <f>IFERROR(__xludf.DUMMYFUNCTION("""COMPUTED_VALUE"""),0.6666666666666666)</f>
        <v>0.6666666667</v>
      </c>
      <c r="U2964" s="4" t="str">
        <f>IFERROR(__xludf.DUMMYFUNCTION("""COMPUTED_VALUE"""),"Instadelivery")</f>
        <v>Instadelivery</v>
      </c>
      <c r="V2964" s="33">
        <f>IFERROR(__xludf.DUMMYFUNCTION("""COMPUTED_VALUE"""),0.6666666666666666)</f>
        <v>0.6666666667</v>
      </c>
      <c r="W2964" s="4" t="str">
        <f>IFERROR(__xludf.DUMMYFUNCTION("""COMPUTED_VALUE"""),"Instadelivery")</f>
        <v>Instadelivery</v>
      </c>
      <c r="X2964" s="33">
        <f>IFERROR(__xludf.DUMMYFUNCTION("""COMPUTED_VALUE"""),0.6666666666666666)</f>
        <v>0.6666666667</v>
      </c>
    </row>
    <row r="2965">
      <c r="K2965" s="4" t="str">
        <f>IFERROR(__xludf.DUMMYFUNCTION("""COMPUTED_VALUE"""),"DROGARIA BOA SAUDE")</f>
        <v>DROGARIA BOA SAUDE</v>
      </c>
      <c r="L2965" s="32">
        <f>IFERROR(__xludf.DUMMYFUNCTION("""COMPUTED_VALUE"""),3.0)</f>
        <v>3</v>
      </c>
      <c r="M2965" s="4" t="str">
        <f>IFERROR(__xludf.DUMMYFUNCTION("""COMPUTED_VALUE"""),"null")</f>
        <v>null</v>
      </c>
      <c r="N2965" s="33">
        <f>IFERROR(__xludf.DUMMYFUNCTION("""COMPUTED_VALUE"""),1.0)</f>
        <v>1</v>
      </c>
      <c r="O2965" s="4" t="str">
        <f>IFERROR(__xludf.DUMMYFUNCTION("""COMPUTED_VALUE"""),"null")</f>
        <v>null</v>
      </c>
      <c r="P2965" s="33">
        <f>IFERROR(__xludf.DUMMYFUNCTION("""COMPUTED_VALUE"""),1.0)</f>
        <v>1</v>
      </c>
      <c r="Q2965" s="4" t="str">
        <f>IFERROR(__xludf.DUMMYFUNCTION("""COMPUTED_VALUE"""),"null")</f>
        <v>null</v>
      </c>
      <c r="R2965" s="33">
        <f>IFERROR(__xludf.DUMMYFUNCTION("""COMPUTED_VALUE"""),1.0)</f>
        <v>1</v>
      </c>
      <c r="S2965" s="4" t="str">
        <f>IFERROR(__xludf.DUMMYFUNCTION("""COMPUTED_VALUE"""),"null")</f>
        <v>null</v>
      </c>
      <c r="T2965" s="33">
        <f>IFERROR(__xludf.DUMMYFUNCTION("""COMPUTED_VALUE"""),0.6666666666666666)</f>
        <v>0.6666666667</v>
      </c>
      <c r="U2965" s="4" t="str">
        <f>IFERROR(__xludf.DUMMYFUNCTION("""COMPUTED_VALUE"""),"N/A (Not found)")</f>
        <v>N/A (Not found)</v>
      </c>
      <c r="V2965" s="33">
        <f>IFERROR(__xludf.DUMMYFUNCTION("""COMPUTED_VALUE"""),0.6666666666666666)</f>
        <v>0.6666666667</v>
      </c>
      <c r="W2965" s="4" t="str">
        <f>IFERROR(__xludf.DUMMYFUNCTION("""COMPUTED_VALUE"""),"N/A (Not found)")</f>
        <v>N/A (Not found)</v>
      </c>
      <c r="X2965" s="33">
        <f>IFERROR(__xludf.DUMMYFUNCTION("""COMPUTED_VALUE"""),0.6666666666666666)</f>
        <v>0.6666666667</v>
      </c>
    </row>
    <row r="2966">
      <c r="K2966" s="4" t="str">
        <f>IFERROR(__xludf.DUMMYFUNCTION("""COMPUTED_VALUE"""),"CHICKEN - FRANGO NO BALDE")</f>
        <v>CHICKEN - FRANGO NO BALDE</v>
      </c>
      <c r="L2966" s="32">
        <f>IFERROR(__xludf.DUMMYFUNCTION("""COMPUTED_VALUE"""),3.0)</f>
        <v>3</v>
      </c>
      <c r="M2966" s="4" t="str">
        <f>IFERROR(__xludf.DUMMYFUNCTION("""COMPUTED_VALUE"""),"null")</f>
        <v>null</v>
      </c>
      <c r="N2966" s="33">
        <f>IFERROR(__xludf.DUMMYFUNCTION("""COMPUTED_VALUE"""),0.3333333333333333)</f>
        <v>0.3333333333</v>
      </c>
      <c r="O2966" s="4" t="str">
        <f>IFERROR(__xludf.DUMMYFUNCTION("""COMPUTED_VALUE"""),"null")</f>
        <v>null</v>
      </c>
      <c r="P2966" s="33">
        <f>IFERROR(__xludf.DUMMYFUNCTION("""COMPUTED_VALUE"""),0.3333333333333333)</f>
        <v>0.3333333333</v>
      </c>
      <c r="Q2966" s="4" t="str">
        <f>IFERROR(__xludf.DUMMYFUNCTION("""COMPUTED_VALUE"""),"null")</f>
        <v>null</v>
      </c>
      <c r="R2966" s="33">
        <f>IFERROR(__xludf.DUMMYFUNCTION("""COMPUTED_VALUE"""),0.3333333333333333)</f>
        <v>0.3333333333</v>
      </c>
      <c r="S2966" s="4" t="str">
        <f>IFERROR(__xludf.DUMMYFUNCTION("""COMPUTED_VALUE"""),"null")</f>
        <v>null</v>
      </c>
      <c r="T2966" s="33">
        <f>IFERROR(__xludf.DUMMYFUNCTION("""COMPUTED_VALUE"""),0.3333333333333333)</f>
        <v>0.3333333333</v>
      </c>
      <c r="U2966" s="4" t="str">
        <f>IFERROR(__xludf.DUMMYFUNCTION("""COMPUTED_VALUE"""),"Suitable Tecnologia E Gestao")</f>
        <v>Suitable Tecnologia E Gestao</v>
      </c>
      <c r="V2966" s="33">
        <f>IFERROR(__xludf.DUMMYFUNCTION("""COMPUTED_VALUE"""),0.6666666666666666)</f>
        <v>0.6666666667</v>
      </c>
      <c r="W2966" s="4" t="str">
        <f>IFERROR(__xludf.DUMMYFUNCTION("""COMPUTED_VALUE"""),"null")</f>
        <v>null</v>
      </c>
      <c r="X2966" s="33">
        <f>IFERROR(__xludf.DUMMYFUNCTION("""COMPUTED_VALUE"""),0.3333333333333333)</f>
        <v>0.3333333333</v>
      </c>
    </row>
    <row r="2967">
      <c r="K2967" s="4" t="str">
        <f>IFERROR(__xludf.DUMMYFUNCTION("""COMPUTED_VALUE"""),"ROMA PIZZARIA")</f>
        <v>ROMA PIZZARIA</v>
      </c>
      <c r="L2967" s="32">
        <f>IFERROR(__xludf.DUMMYFUNCTION("""COMPUTED_VALUE"""),3.0)</f>
        <v>3</v>
      </c>
      <c r="M2967" s="4" t="str">
        <f>IFERROR(__xludf.DUMMYFUNCTION("""COMPUTED_VALUE"""),"null")</f>
        <v>null</v>
      </c>
      <c r="N2967" s="33">
        <f>IFERROR(__xludf.DUMMYFUNCTION("""COMPUTED_VALUE"""),0.6666666666666666)</f>
        <v>0.6666666667</v>
      </c>
      <c r="O2967" s="4" t="str">
        <f>IFERROR(__xludf.DUMMYFUNCTION("""COMPUTED_VALUE"""),"Brendi")</f>
        <v>Brendi</v>
      </c>
      <c r="P2967" s="33">
        <f>IFERROR(__xludf.DUMMYFUNCTION("""COMPUTED_VALUE"""),0.3333333333333333)</f>
        <v>0.3333333333</v>
      </c>
      <c r="Q2967" s="4" t="str">
        <f>IFERROR(__xludf.DUMMYFUNCTION("""COMPUTED_VALUE"""),"Saipos Serviços De Software")</f>
        <v>Saipos Serviços De Software</v>
      </c>
      <c r="R2967" s="33">
        <f>IFERROR(__xludf.DUMMYFUNCTION("""COMPUTED_VALUE"""),0.6666666666666666)</f>
        <v>0.6666666667</v>
      </c>
      <c r="S2967" s="4" t="str">
        <f>IFERROR(__xludf.DUMMYFUNCTION("""COMPUTED_VALUE"""),"Brendi")</f>
        <v>Brendi</v>
      </c>
      <c r="T2967" s="33">
        <f>IFERROR(__xludf.DUMMYFUNCTION("""COMPUTED_VALUE"""),0.3333333333333333)</f>
        <v>0.3333333333</v>
      </c>
      <c r="U2967" s="4" t="str">
        <f>IFERROR(__xludf.DUMMYFUNCTION("""COMPUTED_VALUE"""),"Brendi")</f>
        <v>Brendi</v>
      </c>
      <c r="V2967" s="33">
        <f>IFERROR(__xludf.DUMMYFUNCTION("""COMPUTED_VALUE"""),0.3333333333333333)</f>
        <v>0.3333333333</v>
      </c>
      <c r="W2967" s="4" t="str">
        <f>IFERROR(__xludf.DUMMYFUNCTION("""COMPUTED_VALUE"""),"Brendi")</f>
        <v>Brendi</v>
      </c>
      <c r="X2967" s="33">
        <f>IFERROR(__xludf.DUMMYFUNCTION("""COMPUTED_VALUE"""),0.3333333333333333)</f>
        <v>0.3333333333</v>
      </c>
    </row>
    <row r="2968">
      <c r="K2968" s="4" t="str">
        <f>IFERROR(__xludf.DUMMYFUNCTION("""COMPUTED_VALUE"""),"INSANO BURGUER")</f>
        <v>INSANO BURGUER</v>
      </c>
      <c r="L2968" s="32">
        <f>IFERROR(__xludf.DUMMYFUNCTION("""COMPUTED_VALUE"""),3.0)</f>
        <v>3</v>
      </c>
      <c r="M2968" s="4" t="str">
        <f>IFERROR(__xludf.DUMMYFUNCTION("""COMPUTED_VALUE"""),"Saipos Serviços De Software")</f>
        <v>Saipos Serviços De Software</v>
      </c>
      <c r="N2968" s="33">
        <f>IFERROR(__xludf.DUMMYFUNCTION("""COMPUTED_VALUE"""),1.0)</f>
        <v>1</v>
      </c>
      <c r="O2968" s="4" t="str">
        <f>IFERROR(__xludf.DUMMYFUNCTION("""COMPUTED_VALUE"""),"Saipos Serviços De Software")</f>
        <v>Saipos Serviços De Software</v>
      </c>
      <c r="P2968" s="33">
        <f>IFERROR(__xludf.DUMMYFUNCTION("""COMPUTED_VALUE"""),1.0)</f>
        <v>1</v>
      </c>
      <c r="Q2968" s="4" t="str">
        <f>IFERROR(__xludf.DUMMYFUNCTION("""COMPUTED_VALUE"""),"Saipos Serviços De Software")</f>
        <v>Saipos Serviços De Software</v>
      </c>
      <c r="R2968" s="33">
        <f>IFERROR(__xludf.DUMMYFUNCTION("""COMPUTED_VALUE"""),1.0)</f>
        <v>1</v>
      </c>
      <c r="S2968" s="4" t="str">
        <f>IFERROR(__xludf.DUMMYFUNCTION("""COMPUTED_VALUE"""),"Saipos Serviços De Software")</f>
        <v>Saipos Serviços De Software</v>
      </c>
      <c r="T2968" s="33">
        <f>IFERROR(__xludf.DUMMYFUNCTION("""COMPUTED_VALUE"""),1.0)</f>
        <v>1</v>
      </c>
      <c r="U2968" s="4" t="str">
        <f>IFERROR(__xludf.DUMMYFUNCTION("""COMPUTED_VALUE"""),"Saipos Serviços De Software")</f>
        <v>Saipos Serviços De Software</v>
      </c>
      <c r="V2968" s="33">
        <f>IFERROR(__xludf.DUMMYFUNCTION("""COMPUTED_VALUE"""),0.6666666666666666)</f>
        <v>0.6666666667</v>
      </c>
      <c r="W2968" s="4" t="str">
        <f>IFERROR(__xludf.DUMMYFUNCTION("""COMPUTED_VALUE"""),"Saipos Serviços De Software")</f>
        <v>Saipos Serviços De Software</v>
      </c>
      <c r="X2968" s="33">
        <f>IFERROR(__xludf.DUMMYFUNCTION("""COMPUTED_VALUE"""),0.6666666666666666)</f>
        <v>0.6666666667</v>
      </c>
    </row>
    <row r="2969">
      <c r="K2969" s="4" t="str">
        <f>IFERROR(__xludf.DUMMYFUNCTION("""COMPUTED_VALUE"""),"SCOOBY LANCHES")</f>
        <v>SCOOBY LANCHES</v>
      </c>
      <c r="L2969" s="32">
        <f>IFERROR(__xludf.DUMMYFUNCTION("""COMPUTED_VALUE"""),3.0)</f>
        <v>3</v>
      </c>
      <c r="M2969" s="4" t="str">
        <f>IFERROR(__xludf.DUMMYFUNCTION("""COMPUTED_VALUE"""),"Cardápio Web")</f>
        <v>Cardápio Web</v>
      </c>
      <c r="N2969" s="33">
        <f>IFERROR(__xludf.DUMMYFUNCTION("""COMPUTED_VALUE"""),0.3333333333333333)</f>
        <v>0.3333333333</v>
      </c>
      <c r="O2969" s="4" t="str">
        <f>IFERROR(__xludf.DUMMYFUNCTION("""COMPUTED_VALUE"""),"Cardápio Web")</f>
        <v>Cardápio Web</v>
      </c>
      <c r="P2969" s="33">
        <f>IFERROR(__xludf.DUMMYFUNCTION("""COMPUTED_VALUE"""),0.3333333333333333)</f>
        <v>0.3333333333</v>
      </c>
      <c r="Q2969" s="4" t="str">
        <f>IFERROR(__xludf.DUMMYFUNCTION("""COMPUTED_VALUE"""),"Cardápio Web")</f>
        <v>Cardápio Web</v>
      </c>
      <c r="R2969" s="33">
        <f>IFERROR(__xludf.DUMMYFUNCTION("""COMPUTED_VALUE"""),0.3333333333333333)</f>
        <v>0.3333333333</v>
      </c>
      <c r="S2969" s="4" t="str">
        <f>IFERROR(__xludf.DUMMYFUNCTION("""COMPUTED_VALUE"""),"Cardápio Web")</f>
        <v>Cardápio Web</v>
      </c>
      <c r="T2969" s="33">
        <f>IFERROR(__xludf.DUMMYFUNCTION("""COMPUTED_VALUE"""),0.3333333333333333)</f>
        <v>0.3333333333</v>
      </c>
      <c r="U2969" s="4" t="str">
        <f>IFERROR(__xludf.DUMMYFUNCTION("""COMPUTED_VALUE"""),"Cardápio Web")</f>
        <v>Cardápio Web</v>
      </c>
      <c r="V2969" s="33">
        <f>IFERROR(__xludf.DUMMYFUNCTION("""COMPUTED_VALUE"""),0.3333333333333333)</f>
        <v>0.3333333333</v>
      </c>
      <c r="W2969" s="4" t="str">
        <f>IFERROR(__xludf.DUMMYFUNCTION("""COMPUTED_VALUE"""),"Cardápio Web")</f>
        <v>Cardápio Web</v>
      </c>
      <c r="X2969" s="33">
        <f>IFERROR(__xludf.DUMMYFUNCTION("""COMPUTED_VALUE"""),0.3333333333333333)</f>
        <v>0.3333333333</v>
      </c>
    </row>
    <row r="2970">
      <c r="K2970" s="4" t="str">
        <f>IFERROR(__xludf.DUMMYFUNCTION("""COMPUTED_VALUE"""),"BENDITO SABOR")</f>
        <v>BENDITO SABOR</v>
      </c>
      <c r="L2970" s="32">
        <f>IFERROR(__xludf.DUMMYFUNCTION("""COMPUTED_VALUE"""),3.0)</f>
        <v>3</v>
      </c>
      <c r="M2970" s="4" t="str">
        <f>IFERROR(__xludf.DUMMYFUNCTION("""COMPUTED_VALUE"""),"Mp Multipedidos")</f>
        <v>Mp Multipedidos</v>
      </c>
      <c r="N2970" s="33">
        <f>IFERROR(__xludf.DUMMYFUNCTION("""COMPUTED_VALUE"""),0.3333333333333333)</f>
        <v>0.3333333333</v>
      </c>
      <c r="O2970" s="4" t="str">
        <f>IFERROR(__xludf.DUMMYFUNCTION("""COMPUTED_VALUE"""),"Mp Multipedidos")</f>
        <v>Mp Multipedidos</v>
      </c>
      <c r="P2970" s="33">
        <f>IFERROR(__xludf.DUMMYFUNCTION("""COMPUTED_VALUE"""),0.3333333333333333)</f>
        <v>0.3333333333</v>
      </c>
      <c r="Q2970" s="4" t="str">
        <f>IFERROR(__xludf.DUMMYFUNCTION("""COMPUTED_VALUE"""),"Mp Multipedidos")</f>
        <v>Mp Multipedidos</v>
      </c>
      <c r="R2970" s="33">
        <f>IFERROR(__xludf.DUMMYFUNCTION("""COMPUTED_VALUE"""),0.3333333333333333)</f>
        <v>0.3333333333</v>
      </c>
      <c r="S2970" s="4" t="str">
        <f>IFERROR(__xludf.DUMMYFUNCTION("""COMPUTED_VALUE"""),"Mp Multipedidos")</f>
        <v>Mp Multipedidos</v>
      </c>
      <c r="T2970" s="33">
        <f>IFERROR(__xludf.DUMMYFUNCTION("""COMPUTED_VALUE"""),0.3333333333333333)</f>
        <v>0.3333333333</v>
      </c>
      <c r="U2970" s="4" t="str">
        <f>IFERROR(__xludf.DUMMYFUNCTION("""COMPUTED_VALUE"""),"Mp Multipedidos")</f>
        <v>Mp Multipedidos</v>
      </c>
      <c r="V2970" s="33">
        <f>IFERROR(__xludf.DUMMYFUNCTION("""COMPUTED_VALUE"""),0.3333333333333333)</f>
        <v>0.3333333333</v>
      </c>
      <c r="W2970" s="4" t="str">
        <f>IFERROR(__xludf.DUMMYFUNCTION("""COMPUTED_VALUE"""),"Mp Multipedidos")</f>
        <v>Mp Multipedidos</v>
      </c>
      <c r="X2970" s="33">
        <f>IFERROR(__xludf.DUMMYFUNCTION("""COMPUTED_VALUE"""),0.3333333333333333)</f>
        <v>0.3333333333</v>
      </c>
    </row>
    <row r="2971">
      <c r="K2971" s="4" t="str">
        <f>IFERROR(__xludf.DUMMYFUNCTION("""COMPUTED_VALUE"""),"LA BELLA PIZZARIA")</f>
        <v>LA BELLA PIZZARIA</v>
      </c>
      <c r="L2971" s="32">
        <f>IFERROR(__xludf.DUMMYFUNCTION("""COMPUTED_VALUE"""),3.0)</f>
        <v>3</v>
      </c>
      <c r="M2971" s="4" t="str">
        <f>IFERROR(__xludf.DUMMYFUNCTION("""COMPUTED_VALUE"""),"Undercontrol Software")</f>
        <v>Undercontrol Software</v>
      </c>
      <c r="N2971" s="33">
        <f>IFERROR(__xludf.DUMMYFUNCTION("""COMPUTED_VALUE"""),0.3333333333333333)</f>
        <v>0.3333333333</v>
      </c>
      <c r="O2971" s="4" t="str">
        <f>IFERROR(__xludf.DUMMYFUNCTION("""COMPUTED_VALUE"""),"Undercontrol Software")</f>
        <v>Undercontrol Software</v>
      </c>
      <c r="P2971" s="33">
        <f>IFERROR(__xludf.DUMMYFUNCTION("""COMPUTED_VALUE"""),0.3333333333333333)</f>
        <v>0.3333333333</v>
      </c>
      <c r="Q2971" s="4" t="str">
        <f>IFERROR(__xludf.DUMMYFUNCTION("""COMPUTED_VALUE"""),"Undercontrol Software")</f>
        <v>Undercontrol Software</v>
      </c>
      <c r="R2971" s="33">
        <f>IFERROR(__xludf.DUMMYFUNCTION("""COMPUTED_VALUE"""),0.3333333333333333)</f>
        <v>0.3333333333</v>
      </c>
      <c r="S2971" s="4" t="str">
        <f>IFERROR(__xludf.DUMMYFUNCTION("""COMPUTED_VALUE"""),"Undercontrol Software")</f>
        <v>Undercontrol Software</v>
      </c>
      <c r="T2971" s="33">
        <f>IFERROR(__xludf.DUMMYFUNCTION("""COMPUTED_VALUE"""),0.3333333333333333)</f>
        <v>0.3333333333</v>
      </c>
      <c r="U2971" s="4" t="str">
        <f>IFERROR(__xludf.DUMMYFUNCTION("""COMPUTED_VALUE"""),"Undercontrol Software")</f>
        <v>Undercontrol Software</v>
      </c>
      <c r="V2971" s="33">
        <f>IFERROR(__xludf.DUMMYFUNCTION("""COMPUTED_VALUE"""),0.3333333333333333)</f>
        <v>0.3333333333</v>
      </c>
      <c r="W2971" s="4" t="str">
        <f>IFERROR(__xludf.DUMMYFUNCTION("""COMPUTED_VALUE"""),"Undercontrol Software")</f>
        <v>Undercontrol Software</v>
      </c>
      <c r="X2971" s="33">
        <f>IFERROR(__xludf.DUMMYFUNCTION("""COMPUTED_VALUE"""),0.3333333333333333)</f>
        <v>0.3333333333</v>
      </c>
    </row>
    <row r="2972">
      <c r="K2972" s="4" t="str">
        <f>IFERROR(__xludf.DUMMYFUNCTION("""COMPUTED_VALUE"""),"ARTESANAL BURGUER")</f>
        <v>ARTESANAL BURGUER</v>
      </c>
      <c r="L2972" s="32">
        <f>IFERROR(__xludf.DUMMYFUNCTION("""COMPUTED_VALUE"""),3.0)</f>
        <v>3</v>
      </c>
      <c r="M2972" s="4" t="str">
        <f>IFERROR(__xludf.DUMMYFUNCTION("""COMPUTED_VALUE"""),"Anota Ai Solucoes Digitais S/a")</f>
        <v>Anota Ai Solucoes Digitais S/a</v>
      </c>
      <c r="N2972" s="33">
        <f>IFERROR(__xludf.DUMMYFUNCTION("""COMPUTED_VALUE"""),0.3333333333333333)</f>
        <v>0.3333333333</v>
      </c>
      <c r="O2972" s="4" t="str">
        <f>IFERROR(__xludf.DUMMYFUNCTION("""COMPUTED_VALUE"""),"Anota Ai Solucoes Digitais S/a")</f>
        <v>Anota Ai Solucoes Digitais S/a</v>
      </c>
      <c r="P2972" s="33">
        <f>IFERROR(__xludf.DUMMYFUNCTION("""COMPUTED_VALUE"""),0.3333333333333333)</f>
        <v>0.3333333333</v>
      </c>
      <c r="Q2972" s="4" t="str">
        <f>IFERROR(__xludf.DUMMYFUNCTION("""COMPUTED_VALUE"""),"Anota Ai Solucoes Digitais S/a")</f>
        <v>Anota Ai Solucoes Digitais S/a</v>
      </c>
      <c r="R2972" s="33">
        <f>IFERROR(__xludf.DUMMYFUNCTION("""COMPUTED_VALUE"""),0.3333333333333333)</f>
        <v>0.3333333333</v>
      </c>
      <c r="S2972" s="4" t="str">
        <f>IFERROR(__xludf.DUMMYFUNCTION("""COMPUTED_VALUE"""),"Anota Ai Solucoes Digitais S/a")</f>
        <v>Anota Ai Solucoes Digitais S/a</v>
      </c>
      <c r="T2972" s="33">
        <f>IFERROR(__xludf.DUMMYFUNCTION("""COMPUTED_VALUE"""),0.3333333333333333)</f>
        <v>0.3333333333</v>
      </c>
      <c r="U2972" s="4" t="str">
        <f>IFERROR(__xludf.DUMMYFUNCTION("""COMPUTED_VALUE"""),"Anota Ai Solucoes Digitais S/a")</f>
        <v>Anota Ai Solucoes Digitais S/a</v>
      </c>
      <c r="V2972" s="33">
        <f>IFERROR(__xludf.DUMMYFUNCTION("""COMPUTED_VALUE"""),0.3333333333333333)</f>
        <v>0.3333333333</v>
      </c>
      <c r="W2972" s="4" t="str">
        <f>IFERROR(__xludf.DUMMYFUNCTION("""COMPUTED_VALUE"""),"Anota Ai Solucoes Digitais S/a")</f>
        <v>Anota Ai Solucoes Digitais S/a</v>
      </c>
      <c r="X2972" s="33">
        <f>IFERROR(__xludf.DUMMYFUNCTION("""COMPUTED_VALUE"""),0.3333333333333333)</f>
        <v>0.3333333333</v>
      </c>
    </row>
    <row r="2973">
      <c r="K2973" s="4" t="str">
        <f>IFERROR(__xludf.DUMMYFUNCTION("""COMPUTED_VALUE"""),"PONTO DO PASTEL")</f>
        <v>PONTO DO PASTEL</v>
      </c>
      <c r="L2973" s="32">
        <f>IFERROR(__xludf.DUMMYFUNCTION("""COMPUTED_VALUE"""),3.0)</f>
        <v>3</v>
      </c>
      <c r="M2973" s="4" t="str">
        <f>IFERROR(__xludf.DUMMYFUNCTION("""COMPUTED_VALUE"""),"null")</f>
        <v>null</v>
      </c>
      <c r="N2973" s="33">
        <f>IFERROR(__xludf.DUMMYFUNCTION("""COMPUTED_VALUE"""),0.6666666666666666)</f>
        <v>0.6666666667</v>
      </c>
      <c r="O2973" s="4" t="str">
        <f>IFERROR(__xludf.DUMMYFUNCTION("""COMPUTED_VALUE"""),"null")</f>
        <v>null</v>
      </c>
      <c r="P2973" s="33">
        <f>IFERROR(__xludf.DUMMYFUNCTION("""COMPUTED_VALUE"""),0.6666666666666666)</f>
        <v>0.6666666667</v>
      </c>
      <c r="Q2973" s="4" t="str">
        <f>IFERROR(__xludf.DUMMYFUNCTION("""COMPUTED_VALUE"""),"null")</f>
        <v>null</v>
      </c>
      <c r="R2973" s="33">
        <f>IFERROR(__xludf.DUMMYFUNCTION("""COMPUTED_VALUE"""),0.6666666666666666)</f>
        <v>0.6666666667</v>
      </c>
      <c r="S2973" s="4" t="str">
        <f>IFERROR(__xludf.DUMMYFUNCTION("""COMPUTED_VALUE"""),"null")</f>
        <v>null</v>
      </c>
      <c r="T2973" s="33">
        <f>IFERROR(__xludf.DUMMYFUNCTION("""COMPUTED_VALUE"""),0.6666666666666666)</f>
        <v>0.6666666667</v>
      </c>
      <c r="U2973" s="4" t="str">
        <f>IFERROR(__xludf.DUMMYFUNCTION("""COMPUTED_VALUE"""),"null")</f>
        <v>null</v>
      </c>
      <c r="V2973" s="33">
        <f>IFERROR(__xludf.DUMMYFUNCTION("""COMPUTED_VALUE"""),0.6666666666666666)</f>
        <v>0.6666666667</v>
      </c>
      <c r="W2973" s="4" t="str">
        <f>IFERROR(__xludf.DUMMYFUNCTION("""COMPUTED_VALUE"""),"null")</f>
        <v>null</v>
      </c>
      <c r="X2973" s="33">
        <f>IFERROR(__xludf.DUMMYFUNCTION("""COMPUTED_VALUE"""),0.6666666666666666)</f>
        <v>0.6666666667</v>
      </c>
    </row>
    <row r="2974">
      <c r="K2974" s="4" t="str">
        <f>IFERROR(__xludf.DUMMYFUNCTION("""COMPUTED_VALUE"""),"PIZZARIA BELLA NAPOLI")</f>
        <v>PIZZARIA BELLA NAPOLI</v>
      </c>
      <c r="L2974" s="32">
        <f>IFERROR(__xludf.DUMMYFUNCTION("""COMPUTED_VALUE"""),3.0)</f>
        <v>3</v>
      </c>
      <c r="M2974" s="4" t="str">
        <f>IFERROR(__xludf.DUMMYFUNCTION("""COMPUTED_VALUE"""),"Saipos Serviços De Software")</f>
        <v>Saipos Serviços De Software</v>
      </c>
      <c r="N2974" s="33">
        <f>IFERROR(__xludf.DUMMYFUNCTION("""COMPUTED_VALUE"""),0.3333333333333333)</f>
        <v>0.3333333333</v>
      </c>
      <c r="O2974" s="4" t="str">
        <f>IFERROR(__xludf.DUMMYFUNCTION("""COMPUTED_VALUE"""),"Saipos Serviços De Software")</f>
        <v>Saipos Serviços De Software</v>
      </c>
      <c r="P2974" s="33">
        <f>IFERROR(__xludf.DUMMYFUNCTION("""COMPUTED_VALUE"""),0.3333333333333333)</f>
        <v>0.3333333333</v>
      </c>
      <c r="Q2974" s="4" t="str">
        <f>IFERROR(__xludf.DUMMYFUNCTION("""COMPUTED_VALUE"""),"null")</f>
        <v>null</v>
      </c>
      <c r="R2974" s="33">
        <f>IFERROR(__xludf.DUMMYFUNCTION("""COMPUTED_VALUE"""),0.6666666666666666)</f>
        <v>0.6666666667</v>
      </c>
      <c r="S2974" s="4" t="str">
        <f>IFERROR(__xludf.DUMMYFUNCTION("""COMPUTED_VALUE"""),"Saipos Serviços De Software")</f>
        <v>Saipos Serviços De Software</v>
      </c>
      <c r="T2974" s="33">
        <f>IFERROR(__xludf.DUMMYFUNCTION("""COMPUTED_VALUE"""),0.3333333333333333)</f>
        <v>0.3333333333</v>
      </c>
      <c r="U2974" s="4" t="str">
        <f>IFERROR(__xludf.DUMMYFUNCTION("""COMPUTED_VALUE"""),"Saipos Serviços De Software")</f>
        <v>Saipos Serviços De Software</v>
      </c>
      <c r="V2974" s="33">
        <f>IFERROR(__xludf.DUMMYFUNCTION("""COMPUTED_VALUE"""),0.3333333333333333)</f>
        <v>0.3333333333</v>
      </c>
      <c r="W2974" s="4" t="str">
        <f>IFERROR(__xludf.DUMMYFUNCTION("""COMPUTED_VALUE"""),"Saipos Serviços De Software")</f>
        <v>Saipos Serviços De Software</v>
      </c>
      <c r="X2974" s="33">
        <f>IFERROR(__xludf.DUMMYFUNCTION("""COMPUTED_VALUE"""),0.3333333333333333)</f>
        <v>0.3333333333</v>
      </c>
    </row>
    <row r="2975">
      <c r="K2975" s="4" t="str">
        <f>IFERROR(__xludf.DUMMYFUNCTION("""COMPUTED_VALUE"""),"PONTO DO FRANGO")</f>
        <v>PONTO DO FRANGO</v>
      </c>
      <c r="L2975" s="32">
        <f>IFERROR(__xludf.DUMMYFUNCTION("""COMPUTED_VALUE"""),3.0)</f>
        <v>3</v>
      </c>
      <c r="M2975" s="4" t="str">
        <f>IFERROR(__xludf.DUMMYFUNCTION("""COMPUTED_VALUE"""),"Saipos Serviços De Software")</f>
        <v>Saipos Serviços De Software</v>
      </c>
      <c r="N2975" s="33">
        <f>IFERROR(__xludf.DUMMYFUNCTION("""COMPUTED_VALUE"""),0.3333333333333333)</f>
        <v>0.3333333333</v>
      </c>
      <c r="O2975" s="4" t="str">
        <f>IFERROR(__xludf.DUMMYFUNCTION("""COMPUTED_VALUE"""),"Saipos Serviços De Software")</f>
        <v>Saipos Serviços De Software</v>
      </c>
      <c r="P2975" s="33">
        <f>IFERROR(__xludf.DUMMYFUNCTION("""COMPUTED_VALUE"""),0.3333333333333333)</f>
        <v>0.3333333333</v>
      </c>
      <c r="Q2975" s="4" t="str">
        <f>IFERROR(__xludf.DUMMYFUNCTION("""COMPUTED_VALUE"""),"Saipos Serviços De Software")</f>
        <v>Saipos Serviços De Software</v>
      </c>
      <c r="R2975" s="33">
        <f>IFERROR(__xludf.DUMMYFUNCTION("""COMPUTED_VALUE"""),0.3333333333333333)</f>
        <v>0.3333333333</v>
      </c>
      <c r="S2975" s="4" t="str">
        <f>IFERROR(__xludf.DUMMYFUNCTION("""COMPUTED_VALUE"""),"Saipos Serviços De Software")</f>
        <v>Saipos Serviços De Software</v>
      </c>
      <c r="T2975" s="33">
        <f>IFERROR(__xludf.DUMMYFUNCTION("""COMPUTED_VALUE"""),0.3333333333333333)</f>
        <v>0.3333333333</v>
      </c>
      <c r="U2975" s="4" t="str">
        <f>IFERROR(__xludf.DUMMYFUNCTION("""COMPUTED_VALUE"""),"Saipos Serviços De Software")</f>
        <v>Saipos Serviços De Software</v>
      </c>
      <c r="V2975" s="33">
        <f>IFERROR(__xludf.DUMMYFUNCTION("""COMPUTED_VALUE"""),0.3333333333333333)</f>
        <v>0.3333333333</v>
      </c>
      <c r="W2975" s="4" t="str">
        <f>IFERROR(__xludf.DUMMYFUNCTION("""COMPUTED_VALUE"""),"Saipos Serviços De Software")</f>
        <v>Saipos Serviços De Software</v>
      </c>
      <c r="X2975" s="33">
        <f>IFERROR(__xludf.DUMMYFUNCTION("""COMPUTED_VALUE"""),0.3333333333333333)</f>
        <v>0.3333333333</v>
      </c>
    </row>
    <row r="2976">
      <c r="K2976" s="4" t="str">
        <f>IFERROR(__xludf.DUMMYFUNCTION("""COMPUTED_VALUE"""),"NAOKI SUSHI")</f>
        <v>NAOKI SUSHI</v>
      </c>
      <c r="L2976" s="32">
        <f>IFERROR(__xludf.DUMMYFUNCTION("""COMPUTED_VALUE"""),3.0)</f>
        <v>3</v>
      </c>
      <c r="M2976" s="4" t="str">
        <f>IFERROR(__xludf.DUMMYFUNCTION("""COMPUTED_VALUE"""),"Eclética Tecnologia")</f>
        <v>Eclética Tecnologia</v>
      </c>
      <c r="N2976" s="33">
        <f>IFERROR(__xludf.DUMMYFUNCTION("""COMPUTED_VALUE"""),0.3333333333333333)</f>
        <v>0.3333333333</v>
      </c>
      <c r="O2976" s="4" t="str">
        <f>IFERROR(__xludf.DUMMYFUNCTION("""COMPUTED_VALUE"""),"Eclética Tecnologia")</f>
        <v>Eclética Tecnologia</v>
      </c>
      <c r="P2976" s="33">
        <f>IFERROR(__xludf.DUMMYFUNCTION("""COMPUTED_VALUE"""),0.6666666666666666)</f>
        <v>0.6666666667</v>
      </c>
      <c r="Q2976" s="4" t="str">
        <f>IFERROR(__xludf.DUMMYFUNCTION("""COMPUTED_VALUE"""),"Eclética Tecnologia")</f>
        <v>Eclética Tecnologia</v>
      </c>
      <c r="R2976" s="33">
        <f>IFERROR(__xludf.DUMMYFUNCTION("""COMPUTED_VALUE"""),0.3333333333333333)</f>
        <v>0.3333333333</v>
      </c>
      <c r="S2976" s="4" t="str">
        <f>IFERROR(__xludf.DUMMYFUNCTION("""COMPUTED_VALUE"""),"Eclética Tecnologia")</f>
        <v>Eclética Tecnologia</v>
      </c>
      <c r="T2976" s="33">
        <f>IFERROR(__xludf.DUMMYFUNCTION("""COMPUTED_VALUE"""),0.6666666666666666)</f>
        <v>0.6666666667</v>
      </c>
      <c r="U2976" s="4" t="str">
        <f>IFERROR(__xludf.DUMMYFUNCTION("""COMPUTED_VALUE"""),"Eclética Tecnologia")</f>
        <v>Eclética Tecnologia</v>
      </c>
      <c r="V2976" s="33">
        <f>IFERROR(__xludf.DUMMYFUNCTION("""COMPUTED_VALUE"""),0.6666666666666666)</f>
        <v>0.6666666667</v>
      </c>
      <c r="W2976" s="4" t="str">
        <f>IFERROR(__xludf.DUMMYFUNCTION("""COMPUTED_VALUE"""),"Eclética Tecnologia")</f>
        <v>Eclética Tecnologia</v>
      </c>
      <c r="X2976" s="33">
        <f>IFERROR(__xludf.DUMMYFUNCTION("""COMPUTED_VALUE"""),0.6666666666666666)</f>
        <v>0.6666666667</v>
      </c>
    </row>
    <row r="2977">
      <c r="K2977" s="4" t="str">
        <f>IFERROR(__xludf.DUMMYFUNCTION("""COMPUTED_VALUE"""),"PIZZA TOWN")</f>
        <v>PIZZA TOWN</v>
      </c>
      <c r="L2977" s="32">
        <f>IFERROR(__xludf.DUMMYFUNCTION("""COMPUTED_VALUE"""),3.0)</f>
        <v>3</v>
      </c>
      <c r="M2977" s="4" t="str">
        <f>IFERROR(__xludf.DUMMYFUNCTION("""COMPUTED_VALUE"""),"Saipos Serviços De Software")</f>
        <v>Saipos Serviços De Software</v>
      </c>
      <c r="N2977" s="33">
        <f>IFERROR(__xludf.DUMMYFUNCTION("""COMPUTED_VALUE"""),1.0)</f>
        <v>1</v>
      </c>
      <c r="O2977" s="4" t="str">
        <f>IFERROR(__xludf.DUMMYFUNCTION("""COMPUTED_VALUE"""),"Saipos Serviços De Software")</f>
        <v>Saipos Serviços De Software</v>
      </c>
      <c r="P2977" s="33">
        <f>IFERROR(__xludf.DUMMYFUNCTION("""COMPUTED_VALUE"""),1.0)</f>
        <v>1</v>
      </c>
      <c r="Q2977" s="4" t="str">
        <f>IFERROR(__xludf.DUMMYFUNCTION("""COMPUTED_VALUE"""),"Saipos Serviços De Software")</f>
        <v>Saipos Serviços De Software</v>
      </c>
      <c r="R2977" s="33">
        <f>IFERROR(__xludf.DUMMYFUNCTION("""COMPUTED_VALUE"""),1.0)</f>
        <v>1</v>
      </c>
      <c r="S2977" s="4" t="str">
        <f>IFERROR(__xludf.DUMMYFUNCTION("""COMPUTED_VALUE"""),"Saipos Serviços De Software")</f>
        <v>Saipos Serviços De Software</v>
      </c>
      <c r="T2977" s="33">
        <f>IFERROR(__xludf.DUMMYFUNCTION("""COMPUTED_VALUE"""),1.0)</f>
        <v>1</v>
      </c>
      <c r="U2977" s="4" t="str">
        <f>IFERROR(__xludf.DUMMYFUNCTION("""COMPUTED_VALUE"""),"Saipos Serviços De Software")</f>
        <v>Saipos Serviços De Software</v>
      </c>
      <c r="V2977" s="33">
        <f>IFERROR(__xludf.DUMMYFUNCTION("""COMPUTED_VALUE"""),0.6666666666666666)</f>
        <v>0.6666666667</v>
      </c>
      <c r="W2977" s="4" t="str">
        <f>IFERROR(__xludf.DUMMYFUNCTION("""COMPUTED_VALUE"""),"Cardápio Web")</f>
        <v>Cardápio Web</v>
      </c>
      <c r="X2977" s="33">
        <f>IFERROR(__xludf.DUMMYFUNCTION("""COMPUTED_VALUE"""),0.6666666666666666)</f>
        <v>0.6666666667</v>
      </c>
    </row>
    <row r="2978">
      <c r="K2978" s="4" t="str">
        <f>IFERROR(__xludf.DUMMYFUNCTION("""COMPUTED_VALUE"""),"SAL DOCE - PIZZAS, CALZONES E ESFIHA")</f>
        <v>SAL DOCE - PIZZAS, CALZONES E ESFIHA</v>
      </c>
      <c r="L2978" s="32">
        <f>IFERROR(__xludf.DUMMYFUNCTION("""COMPUTED_VALUE"""),3.0)</f>
        <v>3</v>
      </c>
      <c r="M2978" s="4" t="str">
        <f>IFERROR(__xludf.DUMMYFUNCTION("""COMPUTED_VALUE"""),"Cardápio Web")</f>
        <v>Cardápio Web</v>
      </c>
      <c r="N2978" s="33">
        <f>IFERROR(__xludf.DUMMYFUNCTION("""COMPUTED_VALUE"""),1.0)</f>
        <v>1</v>
      </c>
      <c r="O2978" s="4" t="str">
        <f>IFERROR(__xludf.DUMMYFUNCTION("""COMPUTED_VALUE"""),"Cardápio Web")</f>
        <v>Cardápio Web</v>
      </c>
      <c r="P2978" s="33">
        <f>IFERROR(__xludf.DUMMYFUNCTION("""COMPUTED_VALUE"""),1.0)</f>
        <v>1</v>
      </c>
      <c r="Q2978" s="4" t="str">
        <f>IFERROR(__xludf.DUMMYFUNCTION("""COMPUTED_VALUE"""),"Cardápio Web")</f>
        <v>Cardápio Web</v>
      </c>
      <c r="R2978" s="33">
        <f>IFERROR(__xludf.DUMMYFUNCTION("""COMPUTED_VALUE"""),1.0)</f>
        <v>1</v>
      </c>
      <c r="S2978" s="4" t="str">
        <f>IFERROR(__xludf.DUMMYFUNCTION("""COMPUTED_VALUE"""),"Cardápio Web")</f>
        <v>Cardápio Web</v>
      </c>
      <c r="T2978" s="33">
        <f>IFERROR(__xludf.DUMMYFUNCTION("""COMPUTED_VALUE"""),1.0)</f>
        <v>1</v>
      </c>
      <c r="U2978" s="4" t="str">
        <f>IFERROR(__xludf.DUMMYFUNCTION("""COMPUTED_VALUE"""),"Cardápio Web")</f>
        <v>Cardápio Web</v>
      </c>
      <c r="V2978" s="33">
        <f>IFERROR(__xludf.DUMMYFUNCTION("""COMPUTED_VALUE"""),1.0)</f>
        <v>1</v>
      </c>
      <c r="W2978" s="4" t="str">
        <f>IFERROR(__xludf.DUMMYFUNCTION("""COMPUTED_VALUE"""),"Cardápio Web")</f>
        <v>Cardápio Web</v>
      </c>
      <c r="X2978" s="33">
        <f>IFERROR(__xludf.DUMMYFUNCTION("""COMPUTED_VALUE"""),1.0)</f>
        <v>1</v>
      </c>
    </row>
    <row r="2979">
      <c r="K2979" s="4" t="str">
        <f>IFERROR(__xludf.DUMMYFUNCTION("""COMPUTED_VALUE"""),"LA FORNALHA PIZZARIA")</f>
        <v>LA FORNALHA PIZZARIA</v>
      </c>
      <c r="L2979" s="32">
        <f>IFERROR(__xludf.DUMMYFUNCTION("""COMPUTED_VALUE"""),3.0)</f>
        <v>3</v>
      </c>
      <c r="M2979" s="4" t="str">
        <f>IFERROR(__xludf.DUMMYFUNCTION("""COMPUTED_VALUE"""),"Expresso Delivery")</f>
        <v>Expresso Delivery</v>
      </c>
      <c r="N2979" s="33">
        <f>IFERROR(__xludf.DUMMYFUNCTION("""COMPUTED_VALUE"""),0.3333333333333333)</f>
        <v>0.3333333333</v>
      </c>
      <c r="O2979" s="4" t="str">
        <f>IFERROR(__xludf.DUMMYFUNCTION("""COMPUTED_VALUE"""),"Expresso Delivery")</f>
        <v>Expresso Delivery</v>
      </c>
      <c r="P2979" s="33">
        <f>IFERROR(__xludf.DUMMYFUNCTION("""COMPUTED_VALUE"""),0.3333333333333333)</f>
        <v>0.3333333333</v>
      </c>
      <c r="Q2979" s="4" t="str">
        <f>IFERROR(__xludf.DUMMYFUNCTION("""COMPUTED_VALUE"""),"Expresso Delivery")</f>
        <v>Expresso Delivery</v>
      </c>
      <c r="R2979" s="33">
        <f>IFERROR(__xludf.DUMMYFUNCTION("""COMPUTED_VALUE"""),0.3333333333333333)</f>
        <v>0.3333333333</v>
      </c>
      <c r="S2979" s="4" t="str">
        <f>IFERROR(__xludf.DUMMYFUNCTION("""COMPUTED_VALUE"""),"Expresso Delivery")</f>
        <v>Expresso Delivery</v>
      </c>
      <c r="T2979" s="33">
        <f>IFERROR(__xludf.DUMMYFUNCTION("""COMPUTED_VALUE"""),0.3333333333333333)</f>
        <v>0.3333333333</v>
      </c>
      <c r="U2979" s="4" t="str">
        <f>IFERROR(__xludf.DUMMYFUNCTION("""COMPUTED_VALUE"""),"Expresso Delivery")</f>
        <v>Expresso Delivery</v>
      </c>
      <c r="V2979" s="33">
        <f>IFERROR(__xludf.DUMMYFUNCTION("""COMPUTED_VALUE"""),0.3333333333333333)</f>
        <v>0.3333333333</v>
      </c>
      <c r="W2979" s="4" t="str">
        <f>IFERROR(__xludf.DUMMYFUNCTION("""COMPUTED_VALUE"""),"Expresso Delivery")</f>
        <v>Expresso Delivery</v>
      </c>
      <c r="X2979" s="33">
        <f>IFERROR(__xludf.DUMMYFUNCTION("""COMPUTED_VALUE"""),0.3333333333333333)</f>
        <v>0.3333333333</v>
      </c>
    </row>
    <row r="2980">
      <c r="K2980" s="4" t="str">
        <f>IFERROR(__xludf.DUMMYFUNCTION("""COMPUTED_VALUE"""),"ACAI NA TIGELA")</f>
        <v>ACAI NA TIGELA</v>
      </c>
      <c r="L2980" s="32">
        <f>IFERROR(__xludf.DUMMYFUNCTION("""COMPUTED_VALUE"""),3.0)</f>
        <v>3</v>
      </c>
      <c r="M2980" s="4" t="str">
        <f>IFERROR(__xludf.DUMMYFUNCTION("""COMPUTED_VALUE"""),"Simsoft Rp Tecnologia")</f>
        <v>Simsoft Rp Tecnologia</v>
      </c>
      <c r="N2980" s="33">
        <f>IFERROR(__xludf.DUMMYFUNCTION("""COMPUTED_VALUE"""),0.3333333333333333)</f>
        <v>0.3333333333</v>
      </c>
      <c r="O2980" s="4" t="str">
        <f>IFERROR(__xludf.DUMMYFUNCTION("""COMPUTED_VALUE"""),"Simsoft Rp Tecnologia")</f>
        <v>Simsoft Rp Tecnologia</v>
      </c>
      <c r="P2980" s="33">
        <f>IFERROR(__xludf.DUMMYFUNCTION("""COMPUTED_VALUE"""),0.3333333333333333)</f>
        <v>0.3333333333</v>
      </c>
      <c r="Q2980" s="4" t="str">
        <f>IFERROR(__xludf.DUMMYFUNCTION("""COMPUTED_VALUE"""),"Simsoft Rp Tecnologia")</f>
        <v>Simsoft Rp Tecnologia</v>
      </c>
      <c r="R2980" s="33">
        <f>IFERROR(__xludf.DUMMYFUNCTION("""COMPUTED_VALUE"""),0.3333333333333333)</f>
        <v>0.3333333333</v>
      </c>
      <c r="S2980" s="4" t="str">
        <f>IFERROR(__xludf.DUMMYFUNCTION("""COMPUTED_VALUE"""),"Simsoft Rp Tecnologia")</f>
        <v>Simsoft Rp Tecnologia</v>
      </c>
      <c r="T2980" s="33">
        <f>IFERROR(__xludf.DUMMYFUNCTION("""COMPUTED_VALUE"""),0.3333333333333333)</f>
        <v>0.3333333333</v>
      </c>
      <c r="U2980" s="4" t="str">
        <f>IFERROR(__xludf.DUMMYFUNCTION("""COMPUTED_VALUE"""),"null")</f>
        <v>null</v>
      </c>
      <c r="V2980" s="33">
        <f>IFERROR(__xludf.DUMMYFUNCTION("""COMPUTED_VALUE"""),0.6666666666666666)</f>
        <v>0.6666666667</v>
      </c>
      <c r="W2980" s="4" t="str">
        <f>IFERROR(__xludf.DUMMYFUNCTION("""COMPUTED_VALUE"""),"Simsoft Rp Tecnologia")</f>
        <v>Simsoft Rp Tecnologia</v>
      </c>
      <c r="X2980" s="33">
        <f>IFERROR(__xludf.DUMMYFUNCTION("""COMPUTED_VALUE"""),0.3333333333333333)</f>
        <v>0.3333333333</v>
      </c>
    </row>
    <row r="2981">
      <c r="K2981" s="4" t="str">
        <f>IFERROR(__xludf.DUMMYFUNCTION("""COMPUTED_VALUE"""),"FRUTAH SIMPLESMENTE NATURAL SUCOSACAI")</f>
        <v>FRUTAH SIMPLESMENTE NATURAL SUCOSACAI</v>
      </c>
      <c r="L2981" s="32">
        <f>IFERROR(__xludf.DUMMYFUNCTION("""COMPUTED_VALUE"""),3.0)</f>
        <v>3</v>
      </c>
      <c r="M2981" s="4" t="str">
        <f>IFERROR(__xludf.DUMMYFUNCTION("""COMPUTED_VALUE"""),"Linked Gourmet Solucoes Para Restaurantes S.a")</f>
        <v>Linked Gourmet Solucoes Para Restaurantes S.a</v>
      </c>
      <c r="N2981" s="33">
        <f>IFERROR(__xludf.DUMMYFUNCTION("""COMPUTED_VALUE"""),0.6666666666666666)</f>
        <v>0.6666666667</v>
      </c>
      <c r="O2981" s="4" t="str">
        <f>IFERROR(__xludf.DUMMYFUNCTION("""COMPUTED_VALUE"""),"null")</f>
        <v>null</v>
      </c>
      <c r="P2981" s="33">
        <f>IFERROR(__xludf.DUMMYFUNCTION("""COMPUTED_VALUE"""),0.6666666666666666)</f>
        <v>0.6666666667</v>
      </c>
      <c r="Q2981" s="4" t="str">
        <f>IFERROR(__xludf.DUMMYFUNCTION("""COMPUTED_VALUE"""),"null")</f>
        <v>null</v>
      </c>
      <c r="R2981" s="33">
        <f>IFERROR(__xludf.DUMMYFUNCTION("""COMPUTED_VALUE"""),0.6666666666666666)</f>
        <v>0.6666666667</v>
      </c>
      <c r="S2981" s="4" t="str">
        <f>IFERROR(__xludf.DUMMYFUNCTION("""COMPUTED_VALUE"""),"Linked Gourmet Solucoes Para Restaurantes S.a")</f>
        <v>Linked Gourmet Solucoes Para Restaurantes S.a</v>
      </c>
      <c r="T2981" s="33">
        <f>IFERROR(__xludf.DUMMYFUNCTION("""COMPUTED_VALUE"""),0.6666666666666666)</f>
        <v>0.6666666667</v>
      </c>
      <c r="U2981" s="4" t="str">
        <f>IFERROR(__xludf.DUMMYFUNCTION("""COMPUTED_VALUE"""),"Linked Gourmet Solucoes Para Restaurantes S.a")</f>
        <v>Linked Gourmet Solucoes Para Restaurantes S.a</v>
      </c>
      <c r="V2981" s="33">
        <f>IFERROR(__xludf.DUMMYFUNCTION("""COMPUTED_VALUE"""),0.6666666666666666)</f>
        <v>0.6666666667</v>
      </c>
      <c r="W2981" s="4" t="str">
        <f>IFERROR(__xludf.DUMMYFUNCTION("""COMPUTED_VALUE"""),"Linked Gourmet Solucoes Para Restaurantes S.a")</f>
        <v>Linked Gourmet Solucoes Para Restaurantes S.a</v>
      </c>
      <c r="X2981" s="33">
        <f>IFERROR(__xludf.DUMMYFUNCTION("""COMPUTED_VALUE"""),0.6666666666666666)</f>
        <v>0.6666666667</v>
      </c>
    </row>
    <row r="2982">
      <c r="K2982" s="4" t="str">
        <f>IFERROR(__xludf.DUMMYFUNCTION("""COMPUTED_VALUE"""),"PIZZA DA HORA")</f>
        <v>PIZZA DA HORA</v>
      </c>
      <c r="L2982" s="32">
        <f>IFERROR(__xludf.DUMMYFUNCTION("""COMPUTED_VALUE"""),3.0)</f>
        <v>3</v>
      </c>
      <c r="M2982" s="4" t="str">
        <f>IFERROR(__xludf.DUMMYFUNCTION("""COMPUTED_VALUE"""),"Berp Sistemas")</f>
        <v>Berp Sistemas</v>
      </c>
      <c r="N2982" s="33">
        <f>IFERROR(__xludf.DUMMYFUNCTION("""COMPUTED_VALUE"""),0.6666666666666666)</f>
        <v>0.6666666667</v>
      </c>
      <c r="O2982" s="4" t="str">
        <f>IFERROR(__xludf.DUMMYFUNCTION("""COMPUTED_VALUE"""),"Berp Sistemas")</f>
        <v>Berp Sistemas</v>
      </c>
      <c r="P2982" s="33">
        <f>IFERROR(__xludf.DUMMYFUNCTION("""COMPUTED_VALUE"""),0.6666666666666666)</f>
        <v>0.6666666667</v>
      </c>
      <c r="Q2982" s="4" t="str">
        <f>IFERROR(__xludf.DUMMYFUNCTION("""COMPUTED_VALUE"""),"null")</f>
        <v>null</v>
      </c>
      <c r="R2982" s="33">
        <f>IFERROR(__xludf.DUMMYFUNCTION("""COMPUTED_VALUE"""),0.6666666666666666)</f>
        <v>0.6666666667</v>
      </c>
      <c r="S2982" s="4" t="str">
        <f>IFERROR(__xludf.DUMMYFUNCTION("""COMPUTED_VALUE"""),"null")</f>
        <v>null</v>
      </c>
      <c r="T2982" s="33">
        <f>IFERROR(__xludf.DUMMYFUNCTION("""COMPUTED_VALUE"""),0.6666666666666666)</f>
        <v>0.6666666667</v>
      </c>
      <c r="U2982" s="4" t="str">
        <f>IFERROR(__xludf.DUMMYFUNCTION("""COMPUTED_VALUE"""),"null")</f>
        <v>null</v>
      </c>
      <c r="V2982" s="33">
        <f>IFERROR(__xludf.DUMMYFUNCTION("""COMPUTED_VALUE"""),0.6666666666666666)</f>
        <v>0.6666666667</v>
      </c>
      <c r="W2982" s="4" t="str">
        <f>IFERROR(__xludf.DUMMYFUNCTION("""COMPUTED_VALUE"""),"null")</f>
        <v>null</v>
      </c>
      <c r="X2982" s="33">
        <f>IFERROR(__xludf.DUMMYFUNCTION("""COMPUTED_VALUE"""),1.0)</f>
        <v>1</v>
      </c>
    </row>
    <row r="2983">
      <c r="K2983" s="4" t="str">
        <f>IFERROR(__xludf.DUMMYFUNCTION("""COMPUTED_VALUE"""),"PIZZA BURGUER")</f>
        <v>PIZZA BURGUER</v>
      </c>
      <c r="L2983" s="32">
        <f>IFERROR(__xludf.DUMMYFUNCTION("""COMPUTED_VALUE"""),3.0)</f>
        <v>3</v>
      </c>
      <c r="M2983" s="4" t="str">
        <f>IFERROR(__xludf.DUMMYFUNCTION("""COMPUTED_VALUE"""),"Anota Ai Solucoes Digitais S/a")</f>
        <v>Anota Ai Solucoes Digitais S/a</v>
      </c>
      <c r="N2983" s="33">
        <f>IFERROR(__xludf.DUMMYFUNCTION("""COMPUTED_VALUE"""),0.3333333333333333)</f>
        <v>0.3333333333</v>
      </c>
      <c r="O2983" s="4" t="str">
        <f>IFERROR(__xludf.DUMMYFUNCTION("""COMPUTED_VALUE"""),"Anota Ai Solucoes Digitais S/a")</f>
        <v>Anota Ai Solucoes Digitais S/a</v>
      </c>
      <c r="P2983" s="33">
        <f>IFERROR(__xludf.DUMMYFUNCTION("""COMPUTED_VALUE"""),0.3333333333333333)</f>
        <v>0.3333333333</v>
      </c>
      <c r="Q2983" s="4" t="str">
        <f>IFERROR(__xludf.DUMMYFUNCTION("""COMPUTED_VALUE"""),"Anota Ai Solucoes Digitais S/a")</f>
        <v>Anota Ai Solucoes Digitais S/a</v>
      </c>
      <c r="R2983" s="33">
        <f>IFERROR(__xludf.DUMMYFUNCTION("""COMPUTED_VALUE"""),0.3333333333333333)</f>
        <v>0.3333333333</v>
      </c>
      <c r="S2983" s="4" t="str">
        <f>IFERROR(__xludf.DUMMYFUNCTION("""COMPUTED_VALUE"""),"Anota Ai Solucoes Digitais S/a")</f>
        <v>Anota Ai Solucoes Digitais S/a</v>
      </c>
      <c r="T2983" s="33">
        <f>IFERROR(__xludf.DUMMYFUNCTION("""COMPUTED_VALUE"""),0.3333333333333333)</f>
        <v>0.3333333333</v>
      </c>
      <c r="U2983" s="4" t="str">
        <f>IFERROR(__xludf.DUMMYFUNCTION("""COMPUTED_VALUE"""),"null")</f>
        <v>null</v>
      </c>
      <c r="V2983" s="33">
        <f>IFERROR(__xludf.DUMMYFUNCTION("""COMPUTED_VALUE"""),0.6666666666666666)</f>
        <v>0.6666666667</v>
      </c>
      <c r="W2983" s="4" t="str">
        <f>IFERROR(__xludf.DUMMYFUNCTION("""COMPUTED_VALUE"""),"null")</f>
        <v>null</v>
      </c>
      <c r="X2983" s="33">
        <f>IFERROR(__xludf.DUMMYFUNCTION("""COMPUTED_VALUE"""),0.6666666666666666)</f>
        <v>0.6666666667</v>
      </c>
    </row>
    <row r="2984">
      <c r="K2984" s="4" t="str">
        <f>IFERROR(__xludf.DUMMYFUNCTION("""COMPUTED_VALUE"""),"ESTACAO BEBIDAS")</f>
        <v>ESTACAO BEBIDAS</v>
      </c>
      <c r="L2984" s="32">
        <f>IFERROR(__xludf.DUMMYFUNCTION("""COMPUTED_VALUE"""),3.0)</f>
        <v>3</v>
      </c>
      <c r="M2984" s="4" t="str">
        <f>IFERROR(__xludf.DUMMYFUNCTION("""COMPUTED_VALUE"""),"N/A (Not found)")</f>
        <v>N/A (Not found)</v>
      </c>
      <c r="N2984" s="33">
        <f>IFERROR(__xludf.DUMMYFUNCTION("""COMPUTED_VALUE"""),0.3333333333333333)</f>
        <v>0.3333333333</v>
      </c>
      <c r="O2984" s="4" t="str">
        <f>IFERROR(__xludf.DUMMYFUNCTION("""COMPUTED_VALUE"""),"N/A (Not found)")</f>
        <v>N/A (Not found)</v>
      </c>
      <c r="P2984" s="33">
        <f>IFERROR(__xludf.DUMMYFUNCTION("""COMPUTED_VALUE"""),0.3333333333333333)</f>
        <v>0.3333333333</v>
      </c>
      <c r="Q2984" s="4" t="str">
        <f>IFERROR(__xludf.DUMMYFUNCTION("""COMPUTED_VALUE"""),"N/A (Not found)")</f>
        <v>N/A (Not found)</v>
      </c>
      <c r="R2984" s="33">
        <f>IFERROR(__xludf.DUMMYFUNCTION("""COMPUTED_VALUE"""),0.6666666666666666)</f>
        <v>0.6666666667</v>
      </c>
      <c r="S2984" s="4" t="str">
        <f>IFERROR(__xludf.DUMMYFUNCTION("""COMPUTED_VALUE"""),"null")</f>
        <v>null</v>
      </c>
      <c r="T2984" s="33">
        <f>IFERROR(__xludf.DUMMYFUNCTION("""COMPUTED_VALUE"""),0.6666666666666666)</f>
        <v>0.6666666667</v>
      </c>
      <c r="U2984" s="4" t="str">
        <f>IFERROR(__xludf.DUMMYFUNCTION("""COMPUTED_VALUE"""),"null")</f>
        <v>null</v>
      </c>
      <c r="V2984" s="33">
        <f>IFERROR(__xludf.DUMMYFUNCTION("""COMPUTED_VALUE"""),1.0)</f>
        <v>1</v>
      </c>
      <c r="W2984" s="4" t="str">
        <f>IFERROR(__xludf.DUMMYFUNCTION("""COMPUTED_VALUE"""),"null")</f>
        <v>null</v>
      </c>
      <c r="X2984" s="33">
        <f>IFERROR(__xludf.DUMMYFUNCTION("""COMPUTED_VALUE"""),0.6666666666666666)</f>
        <v>0.6666666667</v>
      </c>
    </row>
    <row r="2985">
      <c r="K2985" s="4" t="str">
        <f>IFERROR(__xludf.DUMMYFUNCTION("""COMPUTED_VALUE"""),"FARMACIA DO TRABALHADOR")</f>
        <v>FARMACIA DO TRABALHADOR</v>
      </c>
      <c r="L2985" s="32">
        <f>IFERROR(__xludf.DUMMYFUNCTION("""COMPUTED_VALUE"""),3.0)</f>
        <v>3</v>
      </c>
      <c r="M2985" s="4" t="str">
        <f>IFERROR(__xludf.DUMMYFUNCTION("""COMPUTED_VALUE"""),"null")</f>
        <v>null</v>
      </c>
      <c r="N2985" s="33">
        <f>IFERROR(__xludf.DUMMYFUNCTION("""COMPUTED_VALUE"""),1.0)</f>
        <v>1</v>
      </c>
      <c r="O2985" s="4" t="str">
        <f>IFERROR(__xludf.DUMMYFUNCTION("""COMPUTED_VALUE"""),"null")</f>
        <v>null</v>
      </c>
      <c r="P2985" s="33">
        <f>IFERROR(__xludf.DUMMYFUNCTION("""COMPUTED_VALUE"""),0.6666666666666666)</f>
        <v>0.6666666667</v>
      </c>
      <c r="Q2985" s="4" t="str">
        <f>IFERROR(__xludf.DUMMYFUNCTION("""COMPUTED_VALUE"""),"null")</f>
        <v>null</v>
      </c>
      <c r="R2985" s="33">
        <f>IFERROR(__xludf.DUMMYFUNCTION("""COMPUTED_VALUE"""),0.6666666666666666)</f>
        <v>0.6666666667</v>
      </c>
      <c r="S2985" s="4" t="str">
        <f>IFERROR(__xludf.DUMMYFUNCTION("""COMPUTED_VALUE"""),"null")</f>
        <v>null</v>
      </c>
      <c r="T2985" s="33">
        <f>IFERROR(__xludf.DUMMYFUNCTION("""COMPUTED_VALUE"""),0.6666666666666666)</f>
        <v>0.6666666667</v>
      </c>
      <c r="U2985" s="4" t="str">
        <f>IFERROR(__xludf.DUMMYFUNCTION("""COMPUTED_VALUE"""),"N/A (Not found)")</f>
        <v>N/A (Not found)</v>
      </c>
      <c r="V2985" s="33">
        <f>IFERROR(__xludf.DUMMYFUNCTION("""COMPUTED_VALUE"""),1.0)</f>
        <v>1</v>
      </c>
      <c r="W2985" s="4" t="str">
        <f>IFERROR(__xludf.DUMMYFUNCTION("""COMPUTED_VALUE"""),"N/A (Not found)")</f>
        <v>N/A (Not found)</v>
      </c>
      <c r="X2985" s="33">
        <f>IFERROR(__xludf.DUMMYFUNCTION("""COMPUTED_VALUE"""),1.0)</f>
        <v>1</v>
      </c>
    </row>
    <row r="2986">
      <c r="K2986" s="4" t="str">
        <f>IFERROR(__xludf.DUMMYFUNCTION("""COMPUTED_VALUE"""),"DISTRITO BURGUER")</f>
        <v>DISTRITO BURGUER</v>
      </c>
      <c r="L2986" s="32">
        <f>IFERROR(__xludf.DUMMYFUNCTION("""COMPUTED_VALUE"""),3.0)</f>
        <v>3</v>
      </c>
      <c r="M2986" s="4" t="str">
        <f>IFERROR(__xludf.DUMMYFUNCTION("""COMPUTED_VALUE"""),"null")</f>
        <v>null</v>
      </c>
      <c r="N2986" s="33">
        <f>IFERROR(__xludf.DUMMYFUNCTION("""COMPUTED_VALUE"""),0.3333333333333333)</f>
        <v>0.3333333333</v>
      </c>
      <c r="O2986" s="4" t="str">
        <f>IFERROR(__xludf.DUMMYFUNCTION("""COMPUTED_VALUE"""),"null")</f>
        <v>null</v>
      </c>
      <c r="P2986" s="33">
        <f>IFERROR(__xludf.DUMMYFUNCTION("""COMPUTED_VALUE"""),0.3333333333333333)</f>
        <v>0.3333333333</v>
      </c>
      <c r="Q2986" s="4" t="str">
        <f>IFERROR(__xludf.DUMMYFUNCTION("""COMPUTED_VALUE"""),"null")</f>
        <v>null</v>
      </c>
      <c r="R2986" s="33">
        <f>IFERROR(__xludf.DUMMYFUNCTION("""COMPUTED_VALUE"""),0.3333333333333333)</f>
        <v>0.3333333333</v>
      </c>
      <c r="S2986" s="4" t="str">
        <f>IFERROR(__xludf.DUMMYFUNCTION("""COMPUTED_VALUE"""),"null")</f>
        <v>null</v>
      </c>
      <c r="T2986" s="33">
        <f>IFERROR(__xludf.DUMMYFUNCTION("""COMPUTED_VALUE"""),0.3333333333333333)</f>
        <v>0.3333333333</v>
      </c>
      <c r="U2986" s="4" t="str">
        <f>IFERROR(__xludf.DUMMYFUNCTION("""COMPUTED_VALUE"""),"null")</f>
        <v>null</v>
      </c>
      <c r="V2986" s="33">
        <f>IFERROR(__xludf.DUMMYFUNCTION("""COMPUTED_VALUE"""),0.3333333333333333)</f>
        <v>0.3333333333</v>
      </c>
      <c r="W2986" s="4" t="str">
        <f>IFERROR(__xludf.DUMMYFUNCTION("""COMPUTED_VALUE"""),"Brendi")</f>
        <v>Brendi</v>
      </c>
      <c r="X2986" s="33">
        <f>IFERROR(__xludf.DUMMYFUNCTION("""COMPUTED_VALUE"""),0.3333333333333333)</f>
        <v>0.3333333333</v>
      </c>
    </row>
    <row r="2987">
      <c r="K2987" s="4" t="str">
        <f>IFERROR(__xludf.DUMMYFUNCTION("""COMPUTED_VALUE"""),"OLD BURGER")</f>
        <v>OLD BURGER</v>
      </c>
      <c r="L2987" s="32">
        <f>IFERROR(__xludf.DUMMYFUNCTION("""COMPUTED_VALUE"""),3.0)</f>
        <v>3</v>
      </c>
      <c r="M2987" s="4" t="str">
        <f>IFERROR(__xludf.DUMMYFUNCTION("""COMPUTED_VALUE"""),"null")</f>
        <v>null</v>
      </c>
      <c r="N2987" s="33">
        <f>IFERROR(__xludf.DUMMYFUNCTION("""COMPUTED_VALUE"""),0.3333333333333333)</f>
        <v>0.3333333333</v>
      </c>
      <c r="O2987" s="4" t="str">
        <f>IFERROR(__xludf.DUMMYFUNCTION("""COMPUTED_VALUE"""),"Alloy Tecnologia")</f>
        <v>Alloy Tecnologia</v>
      </c>
      <c r="P2987" s="33">
        <f>IFERROR(__xludf.DUMMYFUNCTION("""COMPUTED_VALUE"""),0.6666666666666666)</f>
        <v>0.6666666667</v>
      </c>
      <c r="Q2987" s="4" t="str">
        <f>IFERROR(__xludf.DUMMYFUNCTION("""COMPUTED_VALUE"""),"Alloy Tecnologia")</f>
        <v>Alloy Tecnologia</v>
      </c>
      <c r="R2987" s="33">
        <f>IFERROR(__xludf.DUMMYFUNCTION("""COMPUTED_VALUE"""),0.6666666666666666)</f>
        <v>0.6666666667</v>
      </c>
      <c r="S2987" s="4" t="str">
        <f>IFERROR(__xludf.DUMMYFUNCTION("""COMPUTED_VALUE"""),"Cardápio Web")</f>
        <v>Cardápio Web</v>
      </c>
      <c r="T2987" s="33">
        <f>IFERROR(__xludf.DUMMYFUNCTION("""COMPUTED_VALUE"""),0.3333333333333333)</f>
        <v>0.3333333333</v>
      </c>
      <c r="U2987" s="4" t="str">
        <f>IFERROR(__xludf.DUMMYFUNCTION("""COMPUTED_VALUE"""),"Cardápio Web")</f>
        <v>Cardápio Web</v>
      </c>
      <c r="V2987" s="33">
        <f>IFERROR(__xludf.DUMMYFUNCTION("""COMPUTED_VALUE"""),0.3333333333333333)</f>
        <v>0.3333333333</v>
      </c>
      <c r="W2987" s="4" t="str">
        <f>IFERROR(__xludf.DUMMYFUNCTION("""COMPUTED_VALUE"""),"Cardápio Web")</f>
        <v>Cardápio Web</v>
      </c>
      <c r="X2987" s="33">
        <f>IFERROR(__xludf.DUMMYFUNCTION("""COMPUTED_VALUE"""),0.3333333333333333)</f>
        <v>0.3333333333</v>
      </c>
    </row>
    <row r="2988">
      <c r="K2988" s="4" t="str">
        <f>IFERROR(__xludf.DUMMYFUNCTION("""COMPUTED_VALUE"""),"DROGA MAIS")</f>
        <v>DROGA MAIS</v>
      </c>
      <c r="L2988" s="32">
        <f>IFERROR(__xludf.DUMMYFUNCTION("""COMPUTED_VALUE"""),3.0)</f>
        <v>3</v>
      </c>
      <c r="M2988" s="4" t="str">
        <f>IFERROR(__xludf.DUMMYFUNCTION("""COMPUTED_VALUE"""),"N/A (Not found)")</f>
        <v>N/A (Not found)</v>
      </c>
      <c r="N2988" s="33">
        <f>IFERROR(__xludf.DUMMYFUNCTION("""COMPUTED_VALUE"""),1.0)</f>
        <v>1</v>
      </c>
      <c r="O2988" s="4" t="str">
        <f>IFERROR(__xludf.DUMMYFUNCTION("""COMPUTED_VALUE"""),"N/A (Not found)")</f>
        <v>N/A (Not found)</v>
      </c>
      <c r="P2988" s="33">
        <f>IFERROR(__xludf.DUMMYFUNCTION("""COMPUTED_VALUE"""),1.0)</f>
        <v>1</v>
      </c>
      <c r="Q2988" s="4" t="str">
        <f>IFERROR(__xludf.DUMMYFUNCTION("""COMPUTED_VALUE"""),"N/A (Not found)")</f>
        <v>N/A (Not found)</v>
      </c>
      <c r="R2988" s="33">
        <f>IFERROR(__xludf.DUMMYFUNCTION("""COMPUTED_VALUE"""),1.0)</f>
        <v>1</v>
      </c>
      <c r="S2988" s="4" t="str">
        <f>IFERROR(__xludf.DUMMYFUNCTION("""COMPUTED_VALUE"""),"N/A (Not found)")</f>
        <v>N/A (Not found)</v>
      </c>
      <c r="T2988" s="33">
        <f>IFERROR(__xludf.DUMMYFUNCTION("""COMPUTED_VALUE"""),1.0)</f>
        <v>1</v>
      </c>
      <c r="U2988" s="4" t="str">
        <f>IFERROR(__xludf.DUMMYFUNCTION("""COMPUTED_VALUE"""),"N/A (Not found)")</f>
        <v>N/A (Not found)</v>
      </c>
      <c r="V2988" s="33">
        <f>IFERROR(__xludf.DUMMYFUNCTION("""COMPUTED_VALUE"""),1.0)</f>
        <v>1</v>
      </c>
      <c r="W2988" s="4" t="str">
        <f>IFERROR(__xludf.DUMMYFUNCTION("""COMPUTED_VALUE"""),"N/A (Not found)")</f>
        <v>N/A (Not found)</v>
      </c>
      <c r="X2988" s="33">
        <f>IFERROR(__xludf.DUMMYFUNCTION("""COMPUTED_VALUE"""),0.6666666666666666)</f>
        <v>0.6666666667</v>
      </c>
    </row>
    <row r="2989">
      <c r="K2989" s="4" t="str">
        <f>IFERROR(__xludf.DUMMYFUNCTION("""COMPUTED_VALUE"""),"BELA PIZZA")</f>
        <v>BELA PIZZA</v>
      </c>
      <c r="L2989" s="32">
        <f>IFERROR(__xludf.DUMMYFUNCTION("""COMPUTED_VALUE"""),3.0)</f>
        <v>3</v>
      </c>
      <c r="M2989" s="4" t="str">
        <f>IFERROR(__xludf.DUMMYFUNCTION("""COMPUTED_VALUE"""),"Saipos Serviços De Software")</f>
        <v>Saipos Serviços De Software</v>
      </c>
      <c r="N2989" s="33">
        <f>IFERROR(__xludf.DUMMYFUNCTION("""COMPUTED_VALUE"""),0.6666666666666666)</f>
        <v>0.6666666667</v>
      </c>
      <c r="O2989" s="4" t="str">
        <f>IFERROR(__xludf.DUMMYFUNCTION("""COMPUTED_VALUE"""),"Saipos Serviços De Software")</f>
        <v>Saipos Serviços De Software</v>
      </c>
      <c r="P2989" s="33">
        <f>IFERROR(__xludf.DUMMYFUNCTION("""COMPUTED_VALUE"""),0.6666666666666666)</f>
        <v>0.6666666667</v>
      </c>
      <c r="Q2989" s="4" t="str">
        <f>IFERROR(__xludf.DUMMYFUNCTION("""COMPUTED_VALUE"""),"Saipos Serviços De Software")</f>
        <v>Saipos Serviços De Software</v>
      </c>
      <c r="R2989" s="33">
        <f>IFERROR(__xludf.DUMMYFUNCTION("""COMPUTED_VALUE"""),0.6666666666666666)</f>
        <v>0.6666666667</v>
      </c>
      <c r="S2989" s="4" t="str">
        <f>IFERROR(__xludf.DUMMYFUNCTION("""COMPUTED_VALUE"""),"Saipos Serviços De Software")</f>
        <v>Saipos Serviços De Software</v>
      </c>
      <c r="T2989" s="33">
        <f>IFERROR(__xludf.DUMMYFUNCTION("""COMPUTED_VALUE"""),0.6666666666666666)</f>
        <v>0.6666666667</v>
      </c>
      <c r="U2989" s="4" t="str">
        <f>IFERROR(__xludf.DUMMYFUNCTION("""COMPUTED_VALUE"""),"Saipos Serviços De Software")</f>
        <v>Saipos Serviços De Software</v>
      </c>
      <c r="V2989" s="33">
        <f>IFERROR(__xludf.DUMMYFUNCTION("""COMPUTED_VALUE"""),0.6666666666666666)</f>
        <v>0.6666666667</v>
      </c>
      <c r="W2989" s="4" t="str">
        <f>IFERROR(__xludf.DUMMYFUNCTION("""COMPUTED_VALUE"""),"Saipos Serviços De Software")</f>
        <v>Saipos Serviços De Software</v>
      </c>
      <c r="X2989" s="33">
        <f>IFERROR(__xludf.DUMMYFUNCTION("""COMPUTED_VALUE"""),0.6666666666666666)</f>
        <v>0.6666666667</v>
      </c>
    </row>
    <row r="2990">
      <c r="K2990" s="4" t="str">
        <f>IFERROR(__xludf.DUMMYFUNCTION("""COMPUTED_VALUE"""),"MR SHAKE SORVETES E ACAI")</f>
        <v>MR SHAKE SORVETES E ACAI</v>
      </c>
      <c r="L2990" s="32">
        <f>IFERROR(__xludf.DUMMYFUNCTION("""COMPUTED_VALUE"""),3.0)</f>
        <v>3</v>
      </c>
      <c r="M2990" s="4" t="str">
        <f>IFERROR(__xludf.DUMMYFUNCTION("""COMPUTED_VALUE"""),"Syntax Tecnologia")</f>
        <v>Syntax Tecnologia</v>
      </c>
      <c r="N2990" s="33">
        <f>IFERROR(__xludf.DUMMYFUNCTION("""COMPUTED_VALUE"""),1.0)</f>
        <v>1</v>
      </c>
      <c r="O2990" s="4" t="str">
        <f>IFERROR(__xludf.DUMMYFUNCTION("""COMPUTED_VALUE"""),"Syntax Tecnologia")</f>
        <v>Syntax Tecnologia</v>
      </c>
      <c r="P2990" s="33">
        <f>IFERROR(__xludf.DUMMYFUNCTION("""COMPUTED_VALUE"""),1.0)</f>
        <v>1</v>
      </c>
      <c r="Q2990" s="4" t="str">
        <f>IFERROR(__xludf.DUMMYFUNCTION("""COMPUTED_VALUE"""),"Syntax Tecnologia")</f>
        <v>Syntax Tecnologia</v>
      </c>
      <c r="R2990" s="33">
        <f>IFERROR(__xludf.DUMMYFUNCTION("""COMPUTED_VALUE"""),1.0)</f>
        <v>1</v>
      </c>
      <c r="S2990" s="4" t="str">
        <f>IFERROR(__xludf.DUMMYFUNCTION("""COMPUTED_VALUE"""),"Syntax Tecnologia")</f>
        <v>Syntax Tecnologia</v>
      </c>
      <c r="T2990" s="33">
        <f>IFERROR(__xludf.DUMMYFUNCTION("""COMPUTED_VALUE"""),1.0)</f>
        <v>1</v>
      </c>
      <c r="U2990" s="4" t="str">
        <f>IFERROR(__xludf.DUMMYFUNCTION("""COMPUTED_VALUE"""),"Syntax Tecnologia")</f>
        <v>Syntax Tecnologia</v>
      </c>
      <c r="V2990" s="33">
        <f>IFERROR(__xludf.DUMMYFUNCTION("""COMPUTED_VALUE"""),1.0)</f>
        <v>1</v>
      </c>
      <c r="W2990" s="4" t="str">
        <f>IFERROR(__xludf.DUMMYFUNCTION("""COMPUTED_VALUE"""),"Syntax Tecnologia")</f>
        <v>Syntax Tecnologia</v>
      </c>
      <c r="X2990" s="33">
        <f>IFERROR(__xludf.DUMMYFUNCTION("""COMPUTED_VALUE"""),1.0)</f>
        <v>1</v>
      </c>
    </row>
    <row r="2991">
      <c r="K2991" s="4" t="str">
        <f>IFERROR(__xludf.DUMMYFUNCTION("""COMPUTED_VALUE"""),"CASA DO SUSHI")</f>
        <v>CASA DO SUSHI</v>
      </c>
      <c r="L2991" s="32">
        <f>IFERROR(__xludf.DUMMYFUNCTION("""COMPUTED_VALUE"""),3.0)</f>
        <v>3</v>
      </c>
      <c r="M2991" s="4" t="str">
        <f>IFERROR(__xludf.DUMMYFUNCTION("""COMPUTED_VALUE"""),"Xd People Ltda")</f>
        <v>Xd People Ltda</v>
      </c>
      <c r="N2991" s="33">
        <f>IFERROR(__xludf.DUMMYFUNCTION("""COMPUTED_VALUE"""),0.3333333333333333)</f>
        <v>0.3333333333</v>
      </c>
      <c r="O2991" s="4" t="str">
        <f>IFERROR(__xludf.DUMMYFUNCTION("""COMPUTED_VALUE"""),"Xd People Ltda")</f>
        <v>Xd People Ltda</v>
      </c>
      <c r="P2991" s="33">
        <f>IFERROR(__xludf.DUMMYFUNCTION("""COMPUTED_VALUE"""),0.3333333333333333)</f>
        <v>0.3333333333</v>
      </c>
      <c r="Q2991" s="4" t="str">
        <f>IFERROR(__xludf.DUMMYFUNCTION("""COMPUTED_VALUE"""),"Xd People Ltda")</f>
        <v>Xd People Ltda</v>
      </c>
      <c r="R2991" s="33">
        <f>IFERROR(__xludf.DUMMYFUNCTION("""COMPUTED_VALUE"""),0.3333333333333333)</f>
        <v>0.3333333333</v>
      </c>
      <c r="S2991" s="4" t="str">
        <f>IFERROR(__xludf.DUMMYFUNCTION("""COMPUTED_VALUE"""),"Xd People Ltda")</f>
        <v>Xd People Ltda</v>
      </c>
      <c r="T2991" s="33">
        <f>IFERROR(__xludf.DUMMYFUNCTION("""COMPUTED_VALUE"""),0.3333333333333333)</f>
        <v>0.3333333333</v>
      </c>
      <c r="U2991" s="4" t="str">
        <f>IFERROR(__xludf.DUMMYFUNCTION("""COMPUTED_VALUE"""),"null")</f>
        <v>null</v>
      </c>
      <c r="V2991" s="33">
        <f>IFERROR(__xludf.DUMMYFUNCTION("""COMPUTED_VALUE"""),0.6666666666666666)</f>
        <v>0.6666666667</v>
      </c>
      <c r="W2991" s="4" t="str">
        <f>IFERROR(__xludf.DUMMYFUNCTION("""COMPUTED_VALUE"""),"null")</f>
        <v>null</v>
      </c>
      <c r="X2991" s="33">
        <f>IFERROR(__xludf.DUMMYFUNCTION("""COMPUTED_VALUE"""),0.6666666666666666)</f>
        <v>0.6666666667</v>
      </c>
    </row>
    <row r="2992">
      <c r="K2992" s="4" t="str">
        <f>IFERROR(__xludf.DUMMYFUNCTION("""COMPUTED_VALUE"""),"DETROIT PIZZARIA")</f>
        <v>DETROIT PIZZARIA</v>
      </c>
      <c r="L2992" s="32">
        <f>IFERROR(__xludf.DUMMYFUNCTION("""COMPUTED_VALUE"""),3.0)</f>
        <v>3</v>
      </c>
      <c r="M2992" s="4" t="str">
        <f>IFERROR(__xludf.DUMMYFUNCTION("""COMPUTED_VALUE"""),"Expresso Delivery")</f>
        <v>Expresso Delivery</v>
      </c>
      <c r="N2992" s="33">
        <f>IFERROR(__xludf.DUMMYFUNCTION("""COMPUTED_VALUE"""),0.6666666666666666)</f>
        <v>0.6666666667</v>
      </c>
      <c r="O2992" s="4" t="str">
        <f>IFERROR(__xludf.DUMMYFUNCTION("""COMPUTED_VALUE"""),"Expresso Delivery")</f>
        <v>Expresso Delivery</v>
      </c>
      <c r="P2992" s="33">
        <f>IFERROR(__xludf.DUMMYFUNCTION("""COMPUTED_VALUE"""),0.6666666666666666)</f>
        <v>0.6666666667</v>
      </c>
      <c r="Q2992" s="4" t="str">
        <f>IFERROR(__xludf.DUMMYFUNCTION("""COMPUTED_VALUE"""),"Expresso Delivery")</f>
        <v>Expresso Delivery</v>
      </c>
      <c r="R2992" s="33">
        <f>IFERROR(__xludf.DUMMYFUNCTION("""COMPUTED_VALUE"""),0.6666666666666666)</f>
        <v>0.6666666667</v>
      </c>
      <c r="S2992" s="4" t="str">
        <f>IFERROR(__xludf.DUMMYFUNCTION("""COMPUTED_VALUE"""),"Expresso Delivery")</f>
        <v>Expresso Delivery</v>
      </c>
      <c r="T2992" s="33">
        <f>IFERROR(__xludf.DUMMYFUNCTION("""COMPUTED_VALUE"""),0.6666666666666666)</f>
        <v>0.6666666667</v>
      </c>
      <c r="U2992" s="4" t="str">
        <f>IFERROR(__xludf.DUMMYFUNCTION("""COMPUTED_VALUE"""),"Expresso Delivery")</f>
        <v>Expresso Delivery</v>
      </c>
      <c r="V2992" s="33">
        <f>IFERROR(__xludf.DUMMYFUNCTION("""COMPUTED_VALUE"""),0.6666666666666666)</f>
        <v>0.6666666667</v>
      </c>
      <c r="W2992" s="4" t="str">
        <f>IFERROR(__xludf.DUMMYFUNCTION("""COMPUTED_VALUE"""),"Expresso Delivery")</f>
        <v>Expresso Delivery</v>
      </c>
      <c r="X2992" s="33">
        <f>IFERROR(__xludf.DUMMYFUNCTION("""COMPUTED_VALUE"""),0.6666666666666666)</f>
        <v>0.6666666667</v>
      </c>
    </row>
    <row r="2993">
      <c r="K2993" s="4" t="str">
        <f>IFERROR(__xludf.DUMMYFUNCTION("""COMPUTED_VALUE"""),"LA PIZZA EXPRESS")</f>
        <v>LA PIZZA EXPRESS</v>
      </c>
      <c r="L2993" s="32">
        <f>IFERROR(__xludf.DUMMYFUNCTION("""COMPUTED_VALUE"""),3.0)</f>
        <v>3</v>
      </c>
      <c r="M2993" s="4" t="str">
        <f>IFERROR(__xludf.DUMMYFUNCTION("""COMPUTED_VALUE"""),"Cardápio Web")</f>
        <v>Cardápio Web</v>
      </c>
      <c r="N2993" s="33">
        <f>IFERROR(__xludf.DUMMYFUNCTION("""COMPUTED_VALUE"""),1.0)</f>
        <v>1</v>
      </c>
      <c r="O2993" s="4" t="str">
        <f>IFERROR(__xludf.DUMMYFUNCTION("""COMPUTED_VALUE"""),"Cardápio Web")</f>
        <v>Cardápio Web</v>
      </c>
      <c r="P2993" s="33">
        <f>IFERROR(__xludf.DUMMYFUNCTION("""COMPUTED_VALUE"""),1.0)</f>
        <v>1</v>
      </c>
      <c r="Q2993" s="4" t="str">
        <f>IFERROR(__xludf.DUMMYFUNCTION("""COMPUTED_VALUE"""),"Cardápio Web")</f>
        <v>Cardápio Web</v>
      </c>
      <c r="R2993" s="33">
        <f>IFERROR(__xludf.DUMMYFUNCTION("""COMPUTED_VALUE"""),0.6666666666666666)</f>
        <v>0.6666666667</v>
      </c>
      <c r="S2993" s="4" t="str">
        <f>IFERROR(__xludf.DUMMYFUNCTION("""COMPUTED_VALUE"""),"Cardápio Web")</f>
        <v>Cardápio Web</v>
      </c>
      <c r="T2993" s="33">
        <f>IFERROR(__xludf.DUMMYFUNCTION("""COMPUTED_VALUE"""),1.0)</f>
        <v>1</v>
      </c>
      <c r="U2993" s="4" t="str">
        <f>IFERROR(__xludf.DUMMYFUNCTION("""COMPUTED_VALUE"""),"null")</f>
        <v>null</v>
      </c>
      <c r="V2993" s="33">
        <f>IFERROR(__xludf.DUMMYFUNCTION("""COMPUTED_VALUE"""),0.6666666666666666)</f>
        <v>0.6666666667</v>
      </c>
      <c r="W2993" s="4" t="str">
        <f>IFERROR(__xludf.DUMMYFUNCTION("""COMPUTED_VALUE"""),"null")</f>
        <v>null</v>
      </c>
      <c r="X2993" s="33">
        <f>IFERROR(__xludf.DUMMYFUNCTION("""COMPUTED_VALUE"""),0.6666666666666666)</f>
        <v>0.6666666667</v>
      </c>
    </row>
    <row r="2994">
      <c r="K2994" s="4" t="str">
        <f>IFERROR(__xludf.DUMMYFUNCTION("""COMPUTED_VALUE"""),"CITY BURGER")</f>
        <v>CITY BURGER</v>
      </c>
      <c r="L2994" s="32">
        <f>IFERROR(__xludf.DUMMYFUNCTION("""COMPUTED_VALUE"""),3.0)</f>
        <v>3</v>
      </c>
      <c r="M2994" s="4" t="str">
        <f>IFERROR(__xludf.DUMMYFUNCTION("""COMPUTED_VALUE"""),"Saipos Serviços De Software")</f>
        <v>Saipos Serviços De Software</v>
      </c>
      <c r="N2994" s="33">
        <f>IFERROR(__xludf.DUMMYFUNCTION("""COMPUTED_VALUE"""),0.3333333333333333)</f>
        <v>0.3333333333</v>
      </c>
      <c r="O2994" s="4" t="str">
        <f>IFERROR(__xludf.DUMMYFUNCTION("""COMPUTED_VALUE"""),"Saipos Serviços De Software")</f>
        <v>Saipos Serviços De Software</v>
      </c>
      <c r="P2994" s="33">
        <f>IFERROR(__xludf.DUMMYFUNCTION("""COMPUTED_VALUE"""),0.3333333333333333)</f>
        <v>0.3333333333</v>
      </c>
      <c r="Q2994" s="4" t="str">
        <f>IFERROR(__xludf.DUMMYFUNCTION("""COMPUTED_VALUE"""),"Saipos Serviços De Software")</f>
        <v>Saipos Serviços De Software</v>
      </c>
      <c r="R2994" s="33">
        <f>IFERROR(__xludf.DUMMYFUNCTION("""COMPUTED_VALUE"""),0.3333333333333333)</f>
        <v>0.3333333333</v>
      </c>
      <c r="S2994" s="4" t="str">
        <f>IFERROR(__xludf.DUMMYFUNCTION("""COMPUTED_VALUE"""),"Saipos Serviços De Software")</f>
        <v>Saipos Serviços De Software</v>
      </c>
      <c r="T2994" s="33">
        <f>IFERROR(__xludf.DUMMYFUNCTION("""COMPUTED_VALUE"""),0.3333333333333333)</f>
        <v>0.3333333333</v>
      </c>
      <c r="U2994" s="4" t="str">
        <f>IFERROR(__xludf.DUMMYFUNCTION("""COMPUTED_VALUE"""),"Saipos Serviços De Software")</f>
        <v>Saipos Serviços De Software</v>
      </c>
      <c r="V2994" s="33">
        <f>IFERROR(__xludf.DUMMYFUNCTION("""COMPUTED_VALUE"""),0.3333333333333333)</f>
        <v>0.3333333333</v>
      </c>
      <c r="W2994" s="4" t="str">
        <f>IFERROR(__xludf.DUMMYFUNCTION("""COMPUTED_VALUE"""),"Saipos Serviços De Software")</f>
        <v>Saipos Serviços De Software</v>
      </c>
      <c r="X2994" s="33">
        <f>IFERROR(__xludf.DUMMYFUNCTION("""COMPUTED_VALUE"""),0.3333333333333333)</f>
        <v>0.3333333333</v>
      </c>
    </row>
    <row r="2995">
      <c r="K2995" s="4" t="str">
        <f>IFERROR(__xludf.DUMMYFUNCTION("""COMPUTED_VALUE"""),"ACAI E CIA")</f>
        <v>ACAI E CIA</v>
      </c>
      <c r="L2995" s="32">
        <f>IFERROR(__xludf.DUMMYFUNCTION("""COMPUTED_VALUE"""),3.0)</f>
        <v>3</v>
      </c>
      <c r="M2995" s="4" t="str">
        <f>IFERROR(__xludf.DUMMYFUNCTION("""COMPUTED_VALUE"""),"null")</f>
        <v>null</v>
      </c>
      <c r="N2995" s="33">
        <f>IFERROR(__xludf.DUMMYFUNCTION("""COMPUTED_VALUE"""),0.3333333333333333)</f>
        <v>0.3333333333</v>
      </c>
      <c r="O2995" s="4" t="str">
        <f>IFERROR(__xludf.DUMMYFUNCTION("""COMPUTED_VALUE"""),"null")</f>
        <v>null</v>
      </c>
      <c r="P2995" s="33">
        <f>IFERROR(__xludf.DUMMYFUNCTION("""COMPUTED_VALUE"""),0.3333333333333333)</f>
        <v>0.3333333333</v>
      </c>
      <c r="Q2995" s="4" t="str">
        <f>IFERROR(__xludf.DUMMYFUNCTION("""COMPUTED_VALUE"""),"null")</f>
        <v>null</v>
      </c>
      <c r="R2995" s="33">
        <f>IFERROR(__xludf.DUMMYFUNCTION("""COMPUTED_VALUE"""),0.3333333333333333)</f>
        <v>0.3333333333</v>
      </c>
      <c r="S2995" s="4" t="str">
        <f>IFERROR(__xludf.DUMMYFUNCTION("""COMPUTED_VALUE"""),"null")</f>
        <v>null</v>
      </c>
      <c r="T2995" s="33">
        <f>IFERROR(__xludf.DUMMYFUNCTION("""COMPUTED_VALUE"""),0.3333333333333333)</f>
        <v>0.3333333333</v>
      </c>
      <c r="U2995" s="4" t="str">
        <f>IFERROR(__xludf.DUMMYFUNCTION("""COMPUTED_VALUE"""),"Instadelivery")</f>
        <v>Instadelivery</v>
      </c>
      <c r="V2995" s="33">
        <f>IFERROR(__xludf.DUMMYFUNCTION("""COMPUTED_VALUE"""),0.3333333333333333)</f>
        <v>0.3333333333</v>
      </c>
      <c r="W2995" s="4" t="str">
        <f>IFERROR(__xludf.DUMMYFUNCTION("""COMPUTED_VALUE"""),"null")</f>
        <v>null</v>
      </c>
      <c r="X2995" s="33">
        <f>IFERROR(__xludf.DUMMYFUNCTION("""COMPUTED_VALUE"""),0.3333333333333333)</f>
        <v>0.3333333333</v>
      </c>
    </row>
    <row r="2996">
      <c r="K2996" s="4" t="str">
        <f>IFERROR(__xludf.DUMMYFUNCTION("""COMPUTED_VALUE"""),"BAGUETE PAULISTA")</f>
        <v>BAGUETE PAULISTA</v>
      </c>
      <c r="L2996" s="32">
        <f>IFERROR(__xludf.DUMMYFUNCTION("""COMPUTED_VALUE"""),3.0)</f>
        <v>3</v>
      </c>
      <c r="M2996" s="4" t="str">
        <f>IFERROR(__xludf.DUMMYFUNCTION("""COMPUTED_VALUE"""),"null")</f>
        <v>null</v>
      </c>
      <c r="N2996" s="33">
        <f>IFERROR(__xludf.DUMMYFUNCTION("""COMPUTED_VALUE"""),0.6666666666666666)</f>
        <v>0.6666666667</v>
      </c>
      <c r="O2996" s="4" t="str">
        <f>IFERROR(__xludf.DUMMYFUNCTION("""COMPUTED_VALUE"""),"Zip Software")</f>
        <v>Zip Software</v>
      </c>
      <c r="P2996" s="33">
        <f>IFERROR(__xludf.DUMMYFUNCTION("""COMPUTED_VALUE"""),0.6666666666666666)</f>
        <v>0.6666666667</v>
      </c>
      <c r="Q2996" s="4" t="str">
        <f>IFERROR(__xludf.DUMMYFUNCTION("""COMPUTED_VALUE"""),"Zip Software")</f>
        <v>Zip Software</v>
      </c>
      <c r="R2996" s="33">
        <f>IFERROR(__xludf.DUMMYFUNCTION("""COMPUTED_VALUE"""),0.6666666666666666)</f>
        <v>0.6666666667</v>
      </c>
      <c r="S2996" s="4" t="str">
        <f>IFERROR(__xludf.DUMMYFUNCTION("""COMPUTED_VALUE"""),"null")</f>
        <v>null</v>
      </c>
      <c r="T2996" s="33">
        <f>IFERROR(__xludf.DUMMYFUNCTION("""COMPUTED_VALUE"""),0.3333333333333333)</f>
        <v>0.3333333333</v>
      </c>
      <c r="U2996" s="4" t="str">
        <f>IFERROR(__xludf.DUMMYFUNCTION("""COMPUTED_VALUE"""),"Zip Software")</f>
        <v>Zip Software</v>
      </c>
      <c r="V2996" s="33">
        <f>IFERROR(__xludf.DUMMYFUNCTION("""COMPUTED_VALUE"""),0.6666666666666666)</f>
        <v>0.6666666667</v>
      </c>
      <c r="W2996" s="4" t="str">
        <f>IFERROR(__xludf.DUMMYFUNCTION("""COMPUTED_VALUE"""),"Zip Software")</f>
        <v>Zip Software</v>
      </c>
      <c r="X2996" s="33">
        <f>IFERROR(__xludf.DUMMYFUNCTION("""COMPUTED_VALUE"""),0.6666666666666666)</f>
        <v>0.6666666667</v>
      </c>
    </row>
    <row r="2997">
      <c r="K2997" s="4" t="str">
        <f>IFERROR(__xludf.DUMMYFUNCTION("""COMPUTED_VALUE"""),"SENHORA BATATA")</f>
        <v>SENHORA BATATA</v>
      </c>
      <c r="L2997" s="32">
        <f>IFERROR(__xludf.DUMMYFUNCTION("""COMPUTED_VALUE"""),3.0)</f>
        <v>3</v>
      </c>
      <c r="M2997" s="4" t="str">
        <f>IFERROR(__xludf.DUMMYFUNCTION("""COMPUTED_VALUE"""),"Brendi")</f>
        <v>Brendi</v>
      </c>
      <c r="N2997" s="33">
        <f>IFERROR(__xludf.DUMMYFUNCTION("""COMPUTED_VALUE"""),0.3333333333333333)</f>
        <v>0.3333333333</v>
      </c>
      <c r="O2997" s="4" t="str">
        <f>IFERROR(__xludf.DUMMYFUNCTION("""COMPUTED_VALUE"""),"null")</f>
        <v>null</v>
      </c>
      <c r="P2997" s="33">
        <f>IFERROR(__xludf.DUMMYFUNCTION("""COMPUTED_VALUE"""),0.6666666666666666)</f>
        <v>0.6666666667</v>
      </c>
      <c r="Q2997" s="4" t="str">
        <f>IFERROR(__xludf.DUMMYFUNCTION("""COMPUTED_VALUE"""),"null")</f>
        <v>null</v>
      </c>
      <c r="R2997" s="33">
        <f>IFERROR(__xludf.DUMMYFUNCTION("""COMPUTED_VALUE"""),0.6666666666666666)</f>
        <v>0.6666666667</v>
      </c>
      <c r="S2997" s="4" t="str">
        <f>IFERROR(__xludf.DUMMYFUNCTION("""COMPUTED_VALUE"""),"null")</f>
        <v>null</v>
      </c>
      <c r="T2997" s="33">
        <f>IFERROR(__xludf.DUMMYFUNCTION("""COMPUTED_VALUE"""),0.3333333333333333)</f>
        <v>0.3333333333</v>
      </c>
      <c r="U2997" s="4" t="str">
        <f>IFERROR(__xludf.DUMMYFUNCTION("""COMPUTED_VALUE"""),"null")</f>
        <v>null</v>
      </c>
      <c r="V2997" s="33">
        <f>IFERROR(__xludf.DUMMYFUNCTION("""COMPUTED_VALUE"""),0.3333333333333333)</f>
        <v>0.3333333333</v>
      </c>
      <c r="W2997" s="4" t="str">
        <f>IFERROR(__xludf.DUMMYFUNCTION("""COMPUTED_VALUE"""),"null")</f>
        <v>null</v>
      </c>
      <c r="X2997" s="33">
        <f>IFERROR(__xludf.DUMMYFUNCTION("""COMPUTED_VALUE"""),0.3333333333333333)</f>
        <v>0.3333333333</v>
      </c>
    </row>
    <row r="2998">
      <c r="K2998" s="4" t="str">
        <f>IFERROR(__xludf.DUMMYFUNCTION("""COMPUTED_VALUE"""),"OLD BURGUER")</f>
        <v>OLD BURGUER</v>
      </c>
      <c r="L2998" s="32">
        <f>IFERROR(__xludf.DUMMYFUNCTION("""COMPUTED_VALUE"""),3.0)</f>
        <v>3</v>
      </c>
      <c r="M2998" s="4" t="str">
        <f>IFERROR(__xludf.DUMMYFUNCTION("""COMPUTED_VALUE"""),"null")</f>
        <v>null</v>
      </c>
      <c r="N2998" s="33">
        <f>IFERROR(__xludf.DUMMYFUNCTION("""COMPUTED_VALUE"""),0.6666666666666666)</f>
        <v>0.6666666667</v>
      </c>
      <c r="O2998" s="4" t="str">
        <f>IFERROR(__xludf.DUMMYFUNCTION("""COMPUTED_VALUE"""),"Consumer Soluções Em Tecnologia Ltda")</f>
        <v>Consumer Soluções Em Tecnologia Ltda</v>
      </c>
      <c r="P2998" s="33">
        <f>IFERROR(__xludf.DUMMYFUNCTION("""COMPUTED_VALUE"""),0.3333333333333333)</f>
        <v>0.3333333333</v>
      </c>
      <c r="Q2998" s="4" t="str">
        <f>IFERROR(__xludf.DUMMYFUNCTION("""COMPUTED_VALUE"""),"null")</f>
        <v>null</v>
      </c>
      <c r="R2998" s="33">
        <f>IFERROR(__xludf.DUMMYFUNCTION("""COMPUTED_VALUE"""),0.6666666666666666)</f>
        <v>0.6666666667</v>
      </c>
      <c r="S2998" s="4" t="str">
        <f>IFERROR(__xludf.DUMMYFUNCTION("""COMPUTED_VALUE"""),"null")</f>
        <v>null</v>
      </c>
      <c r="T2998" s="33">
        <f>IFERROR(__xludf.DUMMYFUNCTION("""COMPUTED_VALUE"""),1.0)</f>
        <v>1</v>
      </c>
      <c r="U2998" s="4" t="str">
        <f>IFERROR(__xludf.DUMMYFUNCTION("""COMPUTED_VALUE"""),"null")</f>
        <v>null</v>
      </c>
      <c r="V2998" s="33">
        <f>IFERROR(__xludf.DUMMYFUNCTION("""COMPUTED_VALUE"""),0.6666666666666666)</f>
        <v>0.6666666667</v>
      </c>
      <c r="W2998" s="4" t="str">
        <f>IFERROR(__xludf.DUMMYFUNCTION("""COMPUTED_VALUE"""),"null")</f>
        <v>null</v>
      </c>
      <c r="X2998" s="33">
        <f>IFERROR(__xludf.DUMMYFUNCTION("""COMPUTED_VALUE"""),0.6666666666666666)</f>
        <v>0.6666666667</v>
      </c>
    </row>
    <row r="2999">
      <c r="K2999" s="4" t="str">
        <f>IFERROR(__xludf.DUMMYFUNCTION("""COMPUTED_VALUE"""),"ACAI DA CASA")</f>
        <v>ACAI DA CASA</v>
      </c>
      <c r="L2999" s="32">
        <f>IFERROR(__xludf.DUMMYFUNCTION("""COMPUTED_VALUE"""),3.0)</f>
        <v>3</v>
      </c>
      <c r="M2999" s="4" t="str">
        <f>IFERROR(__xludf.DUMMYFUNCTION("""COMPUTED_VALUE"""),"null")</f>
        <v>null</v>
      </c>
      <c r="N2999" s="33">
        <f>IFERROR(__xludf.DUMMYFUNCTION("""COMPUTED_VALUE"""),0.6666666666666666)</f>
        <v>0.6666666667</v>
      </c>
      <c r="O2999" s="4" t="str">
        <f>IFERROR(__xludf.DUMMYFUNCTION("""COMPUTED_VALUE"""),"null")</f>
        <v>null</v>
      </c>
      <c r="P2999" s="33">
        <f>IFERROR(__xludf.DUMMYFUNCTION("""COMPUTED_VALUE"""),0.6666666666666666)</f>
        <v>0.6666666667</v>
      </c>
      <c r="Q2999" s="4" t="str">
        <f>IFERROR(__xludf.DUMMYFUNCTION("""COMPUTED_VALUE"""),"null")</f>
        <v>null</v>
      </c>
      <c r="R2999" s="33">
        <f>IFERROR(__xludf.DUMMYFUNCTION("""COMPUTED_VALUE"""),0.3333333333333333)</f>
        <v>0.3333333333</v>
      </c>
      <c r="S2999" s="4" t="str">
        <f>IFERROR(__xludf.DUMMYFUNCTION("""COMPUTED_VALUE"""),"null")</f>
        <v>null</v>
      </c>
      <c r="T2999" s="33">
        <f>IFERROR(__xludf.DUMMYFUNCTION("""COMPUTED_VALUE"""),0.3333333333333333)</f>
        <v>0.3333333333</v>
      </c>
      <c r="U2999" s="4" t="str">
        <f>IFERROR(__xludf.DUMMYFUNCTION("""COMPUTED_VALUE"""),"null")</f>
        <v>null</v>
      </c>
      <c r="V2999" s="33">
        <f>IFERROR(__xludf.DUMMYFUNCTION("""COMPUTED_VALUE"""),0.3333333333333333)</f>
        <v>0.3333333333</v>
      </c>
      <c r="W2999" s="4" t="str">
        <f>IFERROR(__xludf.DUMMYFUNCTION("""COMPUTED_VALUE"""),"null")</f>
        <v>null</v>
      </c>
      <c r="X2999" s="33">
        <f>IFERROR(__xludf.DUMMYFUNCTION("""COMPUTED_VALUE"""),0.3333333333333333)</f>
        <v>0.3333333333</v>
      </c>
    </row>
    <row r="3000">
      <c r="K3000" s="4" t="str">
        <f>IFERROR(__xludf.DUMMYFUNCTION("""COMPUTED_VALUE"""),"UP ACAI")</f>
        <v>UP ACAI</v>
      </c>
      <c r="L3000" s="32">
        <f>IFERROR(__xludf.DUMMYFUNCTION("""COMPUTED_VALUE"""),3.0)</f>
        <v>3</v>
      </c>
      <c r="M3000" s="4" t="str">
        <f>IFERROR(__xludf.DUMMYFUNCTION("""COMPUTED_VALUE"""),"null")</f>
        <v>null</v>
      </c>
      <c r="N3000" s="33">
        <f>IFERROR(__xludf.DUMMYFUNCTION("""COMPUTED_VALUE"""),0.6666666666666666)</f>
        <v>0.6666666667</v>
      </c>
      <c r="O3000" s="4" t="str">
        <f>IFERROR(__xludf.DUMMYFUNCTION("""COMPUTED_VALUE"""),"null")</f>
        <v>null</v>
      </c>
      <c r="P3000" s="33">
        <f>IFERROR(__xludf.DUMMYFUNCTION("""COMPUTED_VALUE"""),0.3333333333333333)</f>
        <v>0.3333333333</v>
      </c>
      <c r="Q3000" s="4" t="str">
        <f>IFERROR(__xludf.DUMMYFUNCTION("""COMPUTED_VALUE"""),"null")</f>
        <v>null</v>
      </c>
      <c r="R3000" s="33">
        <f>IFERROR(__xludf.DUMMYFUNCTION("""COMPUTED_VALUE"""),0.3333333333333333)</f>
        <v>0.3333333333</v>
      </c>
      <c r="S3000" s="4" t="str">
        <f>IFERROR(__xludf.DUMMYFUNCTION("""COMPUTED_VALUE"""),"Suitable Tecnologia E Gestao")</f>
        <v>Suitable Tecnologia E Gestao</v>
      </c>
      <c r="T3000" s="33">
        <f>IFERROR(__xludf.DUMMYFUNCTION("""COMPUTED_VALUE"""),0.3333333333333333)</f>
        <v>0.3333333333</v>
      </c>
      <c r="U3000" s="4" t="str">
        <f>IFERROR(__xludf.DUMMYFUNCTION("""COMPUTED_VALUE"""),"null")</f>
        <v>null</v>
      </c>
      <c r="V3000" s="33">
        <f>IFERROR(__xludf.DUMMYFUNCTION("""COMPUTED_VALUE"""),0.3333333333333333)</f>
        <v>0.3333333333</v>
      </c>
      <c r="W3000" s="4" t="str">
        <f>IFERROR(__xludf.DUMMYFUNCTION("""COMPUTED_VALUE"""),"Suitable Tecnologia E Gestao")</f>
        <v>Suitable Tecnologia E Gestao</v>
      </c>
      <c r="X3000" s="33">
        <f>IFERROR(__xludf.DUMMYFUNCTION("""COMPUTED_VALUE"""),0.3333333333333333)</f>
        <v>0.3333333333</v>
      </c>
    </row>
    <row r="3001">
      <c r="K3001" s="4" t="str">
        <f>IFERROR(__xludf.DUMMYFUNCTION("""COMPUTED_VALUE"""),"FARMACIA SAO JOSE")</f>
        <v>FARMACIA SAO JOSE</v>
      </c>
      <c r="L3001" s="32">
        <f>IFERROR(__xludf.DUMMYFUNCTION("""COMPUTED_VALUE"""),3.0)</f>
        <v>3</v>
      </c>
      <c r="M3001" s="4" t="str">
        <f>IFERROR(__xludf.DUMMYFUNCTION("""COMPUTED_VALUE"""),"N/A (Not found)")</f>
        <v>N/A (Not found)</v>
      </c>
      <c r="N3001" s="33">
        <f>IFERROR(__xludf.DUMMYFUNCTION("""COMPUTED_VALUE"""),0.6666666666666666)</f>
        <v>0.6666666667</v>
      </c>
      <c r="O3001" s="4" t="str">
        <f>IFERROR(__xludf.DUMMYFUNCTION("""COMPUTED_VALUE"""),"N/A (Not found)")</f>
        <v>N/A (Not found)</v>
      </c>
      <c r="P3001" s="33">
        <f>IFERROR(__xludf.DUMMYFUNCTION("""COMPUTED_VALUE"""),0.6666666666666666)</f>
        <v>0.6666666667</v>
      </c>
      <c r="Q3001" s="4" t="str">
        <f>IFERROR(__xludf.DUMMYFUNCTION("""COMPUTED_VALUE"""),"N/A (Not found)")</f>
        <v>N/A (Not found)</v>
      </c>
      <c r="R3001" s="33">
        <f>IFERROR(__xludf.DUMMYFUNCTION("""COMPUTED_VALUE"""),0.6666666666666666)</f>
        <v>0.6666666667</v>
      </c>
      <c r="S3001" s="4" t="str">
        <f>IFERROR(__xludf.DUMMYFUNCTION("""COMPUTED_VALUE"""),"N/A (Not found)")</f>
        <v>N/A (Not found)</v>
      </c>
      <c r="T3001" s="33">
        <f>IFERROR(__xludf.DUMMYFUNCTION("""COMPUTED_VALUE"""),0.6666666666666666)</f>
        <v>0.6666666667</v>
      </c>
      <c r="U3001" s="4" t="str">
        <f>IFERROR(__xludf.DUMMYFUNCTION("""COMPUTED_VALUE"""),"N/A (Not found)")</f>
        <v>N/A (Not found)</v>
      </c>
      <c r="V3001" s="33">
        <f>IFERROR(__xludf.DUMMYFUNCTION("""COMPUTED_VALUE"""),0.6666666666666666)</f>
        <v>0.6666666667</v>
      </c>
      <c r="W3001" s="4" t="str">
        <f>IFERROR(__xludf.DUMMYFUNCTION("""COMPUTED_VALUE"""),"N/A (Not found)")</f>
        <v>N/A (Not found)</v>
      </c>
      <c r="X3001" s="33">
        <f>IFERROR(__xludf.DUMMYFUNCTION("""COMPUTED_VALUE"""),1.0)</f>
        <v>1</v>
      </c>
    </row>
    <row r="3002">
      <c r="K3002" s="4" t="str">
        <f>IFERROR(__xludf.DUMMYFUNCTION("""COMPUTED_VALUE"""),"CHURRASCARIA BRASA GRILL")</f>
        <v>CHURRASCARIA BRASA GRILL</v>
      </c>
      <c r="L3002" s="32">
        <f>IFERROR(__xludf.DUMMYFUNCTION("""COMPUTED_VALUE"""),3.0)</f>
        <v>3</v>
      </c>
      <c r="M3002" s="4" t="str">
        <f>IFERROR(__xludf.DUMMYFUNCTION("""COMPUTED_VALUE"""),"Saipos Serviços De Software")</f>
        <v>Saipos Serviços De Software</v>
      </c>
      <c r="N3002" s="33">
        <f>IFERROR(__xludf.DUMMYFUNCTION("""COMPUTED_VALUE"""),1.0)</f>
        <v>1</v>
      </c>
      <c r="O3002" s="4" t="str">
        <f>IFERROR(__xludf.DUMMYFUNCTION("""COMPUTED_VALUE"""),"Saipos Serviços De Software")</f>
        <v>Saipos Serviços De Software</v>
      </c>
      <c r="P3002" s="33">
        <f>IFERROR(__xludf.DUMMYFUNCTION("""COMPUTED_VALUE"""),1.0)</f>
        <v>1</v>
      </c>
      <c r="Q3002" s="4" t="str">
        <f>IFERROR(__xludf.DUMMYFUNCTION("""COMPUTED_VALUE"""),"Saipos Serviços De Software")</f>
        <v>Saipos Serviços De Software</v>
      </c>
      <c r="R3002" s="33">
        <f>IFERROR(__xludf.DUMMYFUNCTION("""COMPUTED_VALUE"""),1.0)</f>
        <v>1</v>
      </c>
      <c r="S3002" s="4" t="str">
        <f>IFERROR(__xludf.DUMMYFUNCTION("""COMPUTED_VALUE"""),"Saipos Serviços De Software")</f>
        <v>Saipos Serviços De Software</v>
      </c>
      <c r="T3002" s="33">
        <f>IFERROR(__xludf.DUMMYFUNCTION("""COMPUTED_VALUE"""),0.6666666666666666)</f>
        <v>0.6666666667</v>
      </c>
      <c r="U3002" s="4" t="str">
        <f>IFERROR(__xludf.DUMMYFUNCTION("""COMPUTED_VALUE"""),"null")</f>
        <v>null</v>
      </c>
      <c r="V3002" s="33">
        <f>IFERROR(__xludf.DUMMYFUNCTION("""COMPUTED_VALUE"""),0.6666666666666666)</f>
        <v>0.6666666667</v>
      </c>
      <c r="W3002" s="4" t="str">
        <f>IFERROR(__xludf.DUMMYFUNCTION("""COMPUTED_VALUE"""),"null")</f>
        <v>null</v>
      </c>
      <c r="X3002" s="33">
        <f>IFERROR(__xludf.DUMMYFUNCTION("""COMPUTED_VALUE"""),0.6666666666666666)</f>
        <v>0.6666666667</v>
      </c>
    </row>
    <row r="3003">
      <c r="K3003" s="4" t="str">
        <f>IFERROR(__xludf.DUMMYFUNCTION("""COMPUTED_VALUE"""),"MAKI SUSHI")</f>
        <v>MAKI SUSHI</v>
      </c>
      <c r="L3003" s="32">
        <f>IFERROR(__xludf.DUMMYFUNCTION("""COMPUTED_VALUE"""),3.0)</f>
        <v>3</v>
      </c>
      <c r="M3003" s="4" t="str">
        <f>IFERROR(__xludf.DUMMYFUNCTION("""COMPUTED_VALUE"""),"Consumer Soluções Em Tecnologia Ltda")</f>
        <v>Consumer Soluções Em Tecnologia Ltda</v>
      </c>
      <c r="N3003" s="33">
        <f>IFERROR(__xludf.DUMMYFUNCTION("""COMPUTED_VALUE"""),0.3333333333333333)</f>
        <v>0.3333333333</v>
      </c>
      <c r="O3003" s="4" t="str">
        <f>IFERROR(__xludf.DUMMYFUNCTION("""COMPUTED_VALUE"""),"Consumer Soluções Em Tecnologia Ltda")</f>
        <v>Consumer Soluções Em Tecnologia Ltda</v>
      </c>
      <c r="P3003" s="33">
        <f>IFERROR(__xludf.DUMMYFUNCTION("""COMPUTED_VALUE"""),0.3333333333333333)</f>
        <v>0.3333333333</v>
      </c>
      <c r="Q3003" s="4" t="str">
        <f>IFERROR(__xludf.DUMMYFUNCTION("""COMPUTED_VALUE"""),"Consumer Soluções Em Tecnologia Ltda")</f>
        <v>Consumer Soluções Em Tecnologia Ltda</v>
      </c>
      <c r="R3003" s="33">
        <f>IFERROR(__xludf.DUMMYFUNCTION("""COMPUTED_VALUE"""),0.3333333333333333)</f>
        <v>0.3333333333</v>
      </c>
      <c r="S3003" s="4" t="str">
        <f>IFERROR(__xludf.DUMMYFUNCTION("""COMPUTED_VALUE"""),"null")</f>
        <v>null</v>
      </c>
      <c r="T3003" s="33">
        <f>IFERROR(__xludf.DUMMYFUNCTION("""COMPUTED_VALUE"""),0.3333333333333333)</f>
        <v>0.3333333333</v>
      </c>
      <c r="U3003" s="4" t="str">
        <f>IFERROR(__xludf.DUMMYFUNCTION("""COMPUTED_VALUE"""),"Consumer Soluções Em Tecnologia Ltda")</f>
        <v>Consumer Soluções Em Tecnologia Ltda</v>
      </c>
      <c r="V3003" s="33">
        <f>IFERROR(__xludf.DUMMYFUNCTION("""COMPUTED_VALUE"""),0.3333333333333333)</f>
        <v>0.3333333333</v>
      </c>
      <c r="W3003" s="4" t="str">
        <f>IFERROR(__xludf.DUMMYFUNCTION("""COMPUTED_VALUE"""),"Consumer Soluções Em Tecnologia Ltda")</f>
        <v>Consumer Soluções Em Tecnologia Ltda</v>
      </c>
      <c r="X3003" s="33">
        <f>IFERROR(__xludf.DUMMYFUNCTION("""COMPUTED_VALUE"""),0.3333333333333333)</f>
        <v>0.3333333333</v>
      </c>
    </row>
    <row r="3004">
      <c r="K3004" s="4" t="str">
        <f>IFERROR(__xludf.DUMMYFUNCTION("""COMPUTED_VALUE"""),"KADU SUSHI GAROPABA")</f>
        <v>KADU SUSHI GAROPABA</v>
      </c>
      <c r="L3004" s="32">
        <f>IFERROR(__xludf.DUMMYFUNCTION("""COMPUTED_VALUE"""),3.0)</f>
        <v>3</v>
      </c>
      <c r="M3004" s="4" t="str">
        <f>IFERROR(__xludf.DUMMYFUNCTION("""COMPUTED_VALUE"""),"Instadelivery")</f>
        <v>Instadelivery</v>
      </c>
      <c r="N3004" s="33">
        <f>IFERROR(__xludf.DUMMYFUNCTION("""COMPUTED_VALUE"""),0.6666666666666666)</f>
        <v>0.6666666667</v>
      </c>
      <c r="O3004" s="4" t="str">
        <f>IFERROR(__xludf.DUMMYFUNCTION("""COMPUTED_VALUE"""),"Instadelivery")</f>
        <v>Instadelivery</v>
      </c>
      <c r="P3004" s="33">
        <f>IFERROR(__xludf.DUMMYFUNCTION("""COMPUTED_VALUE"""),0.6666666666666666)</f>
        <v>0.6666666667</v>
      </c>
      <c r="Q3004" s="4" t="str">
        <f>IFERROR(__xludf.DUMMYFUNCTION("""COMPUTED_VALUE"""),"Instadelivery")</f>
        <v>Instadelivery</v>
      </c>
      <c r="R3004" s="33">
        <f>IFERROR(__xludf.DUMMYFUNCTION("""COMPUTED_VALUE"""),0.6666666666666666)</f>
        <v>0.6666666667</v>
      </c>
      <c r="S3004" s="4" t="str">
        <f>IFERROR(__xludf.DUMMYFUNCTION("""COMPUTED_VALUE"""),"Instadelivery")</f>
        <v>Instadelivery</v>
      </c>
      <c r="T3004" s="33">
        <f>IFERROR(__xludf.DUMMYFUNCTION("""COMPUTED_VALUE"""),0.6666666666666666)</f>
        <v>0.6666666667</v>
      </c>
      <c r="U3004" s="4" t="str">
        <f>IFERROR(__xludf.DUMMYFUNCTION("""COMPUTED_VALUE"""),"Instadelivery")</f>
        <v>Instadelivery</v>
      </c>
      <c r="V3004" s="33">
        <f>IFERROR(__xludf.DUMMYFUNCTION("""COMPUTED_VALUE"""),1.0)</f>
        <v>1</v>
      </c>
      <c r="W3004" s="4" t="str">
        <f>IFERROR(__xludf.DUMMYFUNCTION("""COMPUTED_VALUE"""),"Instadelivery")</f>
        <v>Instadelivery</v>
      </c>
      <c r="X3004" s="33">
        <f>IFERROR(__xludf.DUMMYFUNCTION("""COMPUTED_VALUE"""),0.6666666666666666)</f>
        <v>0.6666666667</v>
      </c>
    </row>
    <row r="3005">
      <c r="K3005" s="4" t="str">
        <f>IFERROR(__xludf.DUMMYFUNCTION("""COMPUTED_VALUE"""),"DROGA NOSSA")</f>
        <v>DROGA NOSSA</v>
      </c>
      <c r="L3005" s="32">
        <f>IFERROR(__xludf.DUMMYFUNCTION("""COMPUTED_VALUE"""),3.0)</f>
        <v>3</v>
      </c>
      <c r="M3005" s="4" t="str">
        <f>IFERROR(__xludf.DUMMYFUNCTION("""COMPUTED_VALUE"""),"N/A (Not found)")</f>
        <v>N/A (Not found)</v>
      </c>
      <c r="N3005" s="33">
        <f>IFERROR(__xludf.DUMMYFUNCTION("""COMPUTED_VALUE"""),1.0)</f>
        <v>1</v>
      </c>
      <c r="O3005" s="4" t="str">
        <f>IFERROR(__xludf.DUMMYFUNCTION("""COMPUTED_VALUE"""),"N/A (Not found)")</f>
        <v>N/A (Not found)</v>
      </c>
      <c r="P3005" s="33">
        <f>IFERROR(__xludf.DUMMYFUNCTION("""COMPUTED_VALUE"""),1.0)</f>
        <v>1</v>
      </c>
      <c r="Q3005" s="4" t="str">
        <f>IFERROR(__xludf.DUMMYFUNCTION("""COMPUTED_VALUE"""),"N/A (Not found)")</f>
        <v>N/A (Not found)</v>
      </c>
      <c r="R3005" s="33">
        <f>IFERROR(__xludf.DUMMYFUNCTION("""COMPUTED_VALUE"""),1.0)</f>
        <v>1</v>
      </c>
      <c r="S3005" s="4" t="str">
        <f>IFERROR(__xludf.DUMMYFUNCTION("""COMPUTED_VALUE"""),"N/A (Not found)")</f>
        <v>N/A (Not found)</v>
      </c>
      <c r="T3005" s="33">
        <f>IFERROR(__xludf.DUMMYFUNCTION("""COMPUTED_VALUE"""),1.0)</f>
        <v>1</v>
      </c>
      <c r="U3005" s="4" t="str">
        <f>IFERROR(__xludf.DUMMYFUNCTION("""COMPUTED_VALUE"""),"N/A (Not found)")</f>
        <v>N/A (Not found)</v>
      </c>
      <c r="V3005" s="33">
        <f>IFERROR(__xludf.DUMMYFUNCTION("""COMPUTED_VALUE"""),1.0)</f>
        <v>1</v>
      </c>
      <c r="W3005" s="4" t="str">
        <f>IFERROR(__xludf.DUMMYFUNCTION("""COMPUTED_VALUE"""),"N/A (Not found)")</f>
        <v>N/A (Not found)</v>
      </c>
      <c r="X3005" s="33">
        <f>IFERROR(__xludf.DUMMYFUNCTION("""COMPUTED_VALUE"""),1.0)</f>
        <v>1</v>
      </c>
    </row>
    <row r="3006">
      <c r="K3006" s="4" t="str">
        <f>IFERROR(__xludf.DUMMYFUNCTION("""COMPUTED_VALUE"""),"COMIDA BRASILEIRA")</f>
        <v>COMIDA BRASILEIRA</v>
      </c>
      <c r="L3006" s="32">
        <f>IFERROR(__xludf.DUMMYFUNCTION("""COMPUTED_VALUE"""),3.0)</f>
        <v>3</v>
      </c>
      <c r="M3006" s="4" t="str">
        <f>IFERROR(__xludf.DUMMYFUNCTION("""COMPUTED_VALUE"""),"Saipos Serviços De Software")</f>
        <v>Saipos Serviços De Software</v>
      </c>
      <c r="N3006" s="33">
        <f>IFERROR(__xludf.DUMMYFUNCTION("""COMPUTED_VALUE"""),0.6666666666666666)</f>
        <v>0.6666666667</v>
      </c>
      <c r="O3006" s="4" t="str">
        <f>IFERROR(__xludf.DUMMYFUNCTION("""COMPUTED_VALUE"""),"Saipos Serviços De Software")</f>
        <v>Saipos Serviços De Software</v>
      </c>
      <c r="P3006" s="33">
        <f>IFERROR(__xludf.DUMMYFUNCTION("""COMPUTED_VALUE"""),1.0)</f>
        <v>1</v>
      </c>
      <c r="Q3006" s="4" t="str">
        <f>IFERROR(__xludf.DUMMYFUNCTION("""COMPUTED_VALUE"""),"Saipos Serviços De Software")</f>
        <v>Saipos Serviços De Software</v>
      </c>
      <c r="R3006" s="33">
        <f>IFERROR(__xludf.DUMMYFUNCTION("""COMPUTED_VALUE"""),1.0)</f>
        <v>1</v>
      </c>
      <c r="S3006" s="4" t="str">
        <f>IFERROR(__xludf.DUMMYFUNCTION("""COMPUTED_VALUE"""),"Saipos Serviços De Software")</f>
        <v>Saipos Serviços De Software</v>
      </c>
      <c r="T3006" s="33">
        <f>IFERROR(__xludf.DUMMYFUNCTION("""COMPUTED_VALUE"""),0.6666666666666666)</f>
        <v>0.6666666667</v>
      </c>
      <c r="U3006" s="4" t="str">
        <f>IFERROR(__xludf.DUMMYFUNCTION("""COMPUTED_VALUE"""),"Saipos Serviços De Software")</f>
        <v>Saipos Serviços De Software</v>
      </c>
      <c r="V3006" s="33">
        <f>IFERROR(__xludf.DUMMYFUNCTION("""COMPUTED_VALUE"""),0.6666666666666666)</f>
        <v>0.6666666667</v>
      </c>
      <c r="W3006" s="4" t="str">
        <f>IFERROR(__xludf.DUMMYFUNCTION("""COMPUTED_VALUE"""),"Saipos Serviços De Software")</f>
        <v>Saipos Serviços De Software</v>
      </c>
      <c r="X3006" s="33">
        <f>IFERROR(__xludf.DUMMYFUNCTION("""COMPUTED_VALUE"""),0.6666666666666666)</f>
        <v>0.6666666667</v>
      </c>
    </row>
    <row r="3007">
      <c r="K3007" s="4" t="str">
        <f>IFERROR(__xludf.DUMMYFUNCTION("""COMPUTED_VALUE"""),"RODRIGUES LANCHES")</f>
        <v>RODRIGUES LANCHES</v>
      </c>
      <c r="L3007" s="32">
        <f>IFERROR(__xludf.DUMMYFUNCTION("""COMPUTED_VALUE"""),3.0)</f>
        <v>3</v>
      </c>
      <c r="M3007" s="4" t="str">
        <f>IFERROR(__xludf.DUMMYFUNCTION("""COMPUTED_VALUE"""),"null")</f>
        <v>null</v>
      </c>
      <c r="N3007" s="33">
        <f>IFERROR(__xludf.DUMMYFUNCTION("""COMPUTED_VALUE"""),0.6666666666666666)</f>
        <v>0.6666666667</v>
      </c>
      <c r="O3007" s="4" t="str">
        <f>IFERROR(__xludf.DUMMYFUNCTION("""COMPUTED_VALUE"""),"null")</f>
        <v>null</v>
      </c>
      <c r="P3007" s="33">
        <f>IFERROR(__xludf.DUMMYFUNCTION("""COMPUTED_VALUE"""),0.6666666666666666)</f>
        <v>0.6666666667</v>
      </c>
      <c r="Q3007" s="4" t="str">
        <f>IFERROR(__xludf.DUMMYFUNCTION("""COMPUTED_VALUE"""),"null")</f>
        <v>null</v>
      </c>
      <c r="R3007" s="33">
        <f>IFERROR(__xludf.DUMMYFUNCTION("""COMPUTED_VALUE"""),0.6666666666666666)</f>
        <v>0.6666666667</v>
      </c>
      <c r="S3007" s="4" t="str">
        <f>IFERROR(__xludf.DUMMYFUNCTION("""COMPUTED_VALUE"""),"Mp Multipedidos")</f>
        <v>Mp Multipedidos</v>
      </c>
      <c r="T3007" s="33">
        <f>IFERROR(__xludf.DUMMYFUNCTION("""COMPUTED_VALUE"""),0.3333333333333333)</f>
        <v>0.3333333333</v>
      </c>
      <c r="U3007" s="4" t="str">
        <f>IFERROR(__xludf.DUMMYFUNCTION("""COMPUTED_VALUE"""),"Mp Multipedidos")</f>
        <v>Mp Multipedidos</v>
      </c>
      <c r="V3007" s="33">
        <f>IFERROR(__xludf.DUMMYFUNCTION("""COMPUTED_VALUE"""),0.3333333333333333)</f>
        <v>0.3333333333</v>
      </c>
      <c r="W3007" s="4" t="str">
        <f>IFERROR(__xludf.DUMMYFUNCTION("""COMPUTED_VALUE"""),"null")</f>
        <v>null</v>
      </c>
      <c r="X3007" s="33">
        <f>IFERROR(__xludf.DUMMYFUNCTION("""COMPUTED_VALUE"""),0.6666666666666666)</f>
        <v>0.6666666667</v>
      </c>
    </row>
    <row r="3008">
      <c r="K3008" s="4" t="str">
        <f>IFERROR(__xludf.DUMMYFUNCTION("""COMPUTED_VALUE"""),"MARMITARIA PRATO CHEIO")</f>
        <v>MARMITARIA PRATO CHEIO</v>
      </c>
      <c r="L3008" s="32">
        <f>IFERROR(__xludf.DUMMYFUNCTION("""COMPUTED_VALUE"""),3.0)</f>
        <v>3</v>
      </c>
      <c r="M3008" s="4" t="str">
        <f>IFERROR(__xludf.DUMMYFUNCTION("""COMPUTED_VALUE"""),"Saipos Serviços De Software")</f>
        <v>Saipos Serviços De Software</v>
      </c>
      <c r="N3008" s="33">
        <f>IFERROR(__xludf.DUMMYFUNCTION("""COMPUTED_VALUE"""),0.6666666666666666)</f>
        <v>0.6666666667</v>
      </c>
      <c r="O3008" s="4" t="str">
        <f>IFERROR(__xludf.DUMMYFUNCTION("""COMPUTED_VALUE"""),"Saipos Serviços De Software")</f>
        <v>Saipos Serviços De Software</v>
      </c>
      <c r="P3008" s="33">
        <f>IFERROR(__xludf.DUMMYFUNCTION("""COMPUTED_VALUE"""),0.6666666666666666)</f>
        <v>0.6666666667</v>
      </c>
      <c r="Q3008" s="4" t="str">
        <f>IFERROR(__xludf.DUMMYFUNCTION("""COMPUTED_VALUE"""),"Saipos Serviços De Software")</f>
        <v>Saipos Serviços De Software</v>
      </c>
      <c r="R3008" s="33">
        <f>IFERROR(__xludf.DUMMYFUNCTION("""COMPUTED_VALUE"""),0.6666666666666666)</f>
        <v>0.6666666667</v>
      </c>
      <c r="S3008" s="4" t="str">
        <f>IFERROR(__xludf.DUMMYFUNCTION("""COMPUTED_VALUE"""),"Saipos Serviços De Software")</f>
        <v>Saipos Serviços De Software</v>
      </c>
      <c r="T3008" s="33">
        <f>IFERROR(__xludf.DUMMYFUNCTION("""COMPUTED_VALUE"""),0.6666666666666666)</f>
        <v>0.6666666667</v>
      </c>
      <c r="U3008" s="4" t="str">
        <f>IFERROR(__xludf.DUMMYFUNCTION("""COMPUTED_VALUE"""),"Saipos Serviços De Software")</f>
        <v>Saipos Serviços De Software</v>
      </c>
      <c r="V3008" s="33">
        <f>IFERROR(__xludf.DUMMYFUNCTION("""COMPUTED_VALUE"""),0.6666666666666666)</f>
        <v>0.6666666667</v>
      </c>
      <c r="W3008" s="4" t="str">
        <f>IFERROR(__xludf.DUMMYFUNCTION("""COMPUTED_VALUE"""),"Saipos Serviços De Software")</f>
        <v>Saipos Serviços De Software</v>
      </c>
      <c r="X3008" s="33">
        <f>IFERROR(__xludf.DUMMYFUNCTION("""COMPUTED_VALUE"""),0.6666666666666666)</f>
        <v>0.6666666667</v>
      </c>
    </row>
    <row r="3009">
      <c r="K3009" s="4" t="str">
        <f>IFERROR(__xludf.DUMMYFUNCTION("""COMPUTED_VALUE"""),"TA NA CHAPA")</f>
        <v>TA NA CHAPA</v>
      </c>
      <c r="L3009" s="32">
        <f>IFERROR(__xludf.DUMMYFUNCTION("""COMPUTED_VALUE"""),3.0)</f>
        <v>3</v>
      </c>
      <c r="M3009" s="4" t="str">
        <f>IFERROR(__xludf.DUMMYFUNCTION("""COMPUTED_VALUE"""),"null")</f>
        <v>null</v>
      </c>
      <c r="N3009" s="33">
        <f>IFERROR(__xludf.DUMMYFUNCTION("""COMPUTED_VALUE"""),0.3333333333333333)</f>
        <v>0.3333333333</v>
      </c>
      <c r="O3009" s="4" t="str">
        <f>IFERROR(__xludf.DUMMYFUNCTION("""COMPUTED_VALUE"""),"null")</f>
        <v>null</v>
      </c>
      <c r="P3009" s="33">
        <f>IFERROR(__xludf.DUMMYFUNCTION("""COMPUTED_VALUE"""),0.3333333333333333)</f>
        <v>0.3333333333</v>
      </c>
      <c r="Q3009" s="4" t="str">
        <f>IFERROR(__xludf.DUMMYFUNCTION("""COMPUTED_VALUE"""),"Saipos Serviços De Software")</f>
        <v>Saipos Serviços De Software</v>
      </c>
      <c r="R3009" s="33">
        <f>IFERROR(__xludf.DUMMYFUNCTION("""COMPUTED_VALUE"""),0.3333333333333333)</f>
        <v>0.3333333333</v>
      </c>
      <c r="S3009" s="4" t="str">
        <f>IFERROR(__xludf.DUMMYFUNCTION("""COMPUTED_VALUE"""),"Saipos Serviços De Software")</f>
        <v>Saipos Serviços De Software</v>
      </c>
      <c r="T3009" s="33">
        <f>IFERROR(__xludf.DUMMYFUNCTION("""COMPUTED_VALUE"""),0.3333333333333333)</f>
        <v>0.3333333333</v>
      </c>
      <c r="U3009" s="4" t="str">
        <f>IFERROR(__xludf.DUMMYFUNCTION("""COMPUTED_VALUE"""),"null")</f>
        <v>null</v>
      </c>
      <c r="V3009" s="33">
        <f>IFERROR(__xludf.DUMMYFUNCTION("""COMPUTED_VALUE"""),0.3333333333333333)</f>
        <v>0.3333333333</v>
      </c>
      <c r="W3009" s="4" t="str">
        <f>IFERROR(__xludf.DUMMYFUNCTION("""COMPUTED_VALUE"""),"null")</f>
        <v>null</v>
      </c>
      <c r="X3009" s="33">
        <f>IFERROR(__xludf.DUMMYFUNCTION("""COMPUTED_VALUE"""),0.3333333333333333)</f>
        <v>0.3333333333</v>
      </c>
    </row>
    <row r="3010">
      <c r="K3010" s="4" t="str">
        <f>IFERROR(__xludf.DUMMYFUNCTION("""COMPUTED_VALUE"""),"DEU FOME")</f>
        <v>DEU FOME</v>
      </c>
      <c r="L3010" s="32">
        <f>IFERROR(__xludf.DUMMYFUNCTION("""COMPUTED_VALUE"""),3.0)</f>
        <v>3</v>
      </c>
      <c r="M3010" s="4" t="str">
        <f>IFERROR(__xludf.DUMMYFUNCTION("""COMPUTED_VALUE"""),"Instadelivery")</f>
        <v>Instadelivery</v>
      </c>
      <c r="N3010" s="33">
        <f>IFERROR(__xludf.DUMMYFUNCTION("""COMPUTED_VALUE"""),0.3333333333333333)</f>
        <v>0.3333333333</v>
      </c>
      <c r="O3010" s="4" t="str">
        <f>IFERROR(__xludf.DUMMYFUNCTION("""COMPUTED_VALUE"""),"Instadelivery")</f>
        <v>Instadelivery</v>
      </c>
      <c r="P3010" s="33">
        <f>IFERROR(__xludf.DUMMYFUNCTION("""COMPUTED_VALUE"""),0.3333333333333333)</f>
        <v>0.3333333333</v>
      </c>
      <c r="Q3010" s="4" t="str">
        <f>IFERROR(__xludf.DUMMYFUNCTION("""COMPUTED_VALUE"""),"Instadelivery")</f>
        <v>Instadelivery</v>
      </c>
      <c r="R3010" s="33">
        <f>IFERROR(__xludf.DUMMYFUNCTION("""COMPUTED_VALUE"""),0.3333333333333333)</f>
        <v>0.3333333333</v>
      </c>
      <c r="S3010" s="4" t="str">
        <f>IFERROR(__xludf.DUMMYFUNCTION("""COMPUTED_VALUE"""),"Instadelivery")</f>
        <v>Instadelivery</v>
      </c>
      <c r="T3010" s="33">
        <f>IFERROR(__xludf.DUMMYFUNCTION("""COMPUTED_VALUE"""),0.3333333333333333)</f>
        <v>0.3333333333</v>
      </c>
      <c r="U3010" s="4" t="str">
        <f>IFERROR(__xludf.DUMMYFUNCTION("""COMPUTED_VALUE"""),"null")</f>
        <v>null</v>
      </c>
      <c r="V3010" s="33">
        <f>IFERROR(__xludf.DUMMYFUNCTION("""COMPUTED_VALUE"""),0.6666666666666666)</f>
        <v>0.6666666667</v>
      </c>
      <c r="W3010" s="4" t="str">
        <f>IFERROR(__xludf.DUMMYFUNCTION("""COMPUTED_VALUE"""),"null")</f>
        <v>null</v>
      </c>
      <c r="X3010" s="33">
        <f>IFERROR(__xludf.DUMMYFUNCTION("""COMPUTED_VALUE"""),0.6666666666666666)</f>
        <v>0.6666666667</v>
      </c>
    </row>
    <row r="3011">
      <c r="K3011" s="4" t="str">
        <f>IFERROR(__xludf.DUMMYFUNCTION("""COMPUTED_VALUE"""),"MINAS BURGUER")</f>
        <v>MINAS BURGUER</v>
      </c>
      <c r="L3011" s="32">
        <f>IFERROR(__xludf.DUMMYFUNCTION("""COMPUTED_VALUE"""),3.0)</f>
        <v>3</v>
      </c>
      <c r="M3011" s="4" t="str">
        <f>IFERROR(__xludf.DUMMYFUNCTION("""COMPUTED_VALUE"""),"null")</f>
        <v>null</v>
      </c>
      <c r="N3011" s="33">
        <f>IFERROR(__xludf.DUMMYFUNCTION("""COMPUTED_VALUE"""),0.6666666666666666)</f>
        <v>0.6666666667</v>
      </c>
      <c r="O3011" s="4" t="str">
        <f>IFERROR(__xludf.DUMMYFUNCTION("""COMPUTED_VALUE"""),"null")</f>
        <v>null</v>
      </c>
      <c r="P3011" s="33">
        <f>IFERROR(__xludf.DUMMYFUNCTION("""COMPUTED_VALUE"""),0.6666666666666666)</f>
        <v>0.6666666667</v>
      </c>
      <c r="Q3011" s="4" t="str">
        <f>IFERROR(__xludf.DUMMYFUNCTION("""COMPUTED_VALUE"""),"Brendi")</f>
        <v>Brendi</v>
      </c>
      <c r="R3011" s="33">
        <f>IFERROR(__xludf.DUMMYFUNCTION("""COMPUTED_VALUE"""),0.3333333333333333)</f>
        <v>0.3333333333</v>
      </c>
      <c r="S3011" s="4" t="str">
        <f>IFERROR(__xludf.DUMMYFUNCTION("""COMPUTED_VALUE"""),"Brendi")</f>
        <v>Brendi</v>
      </c>
      <c r="T3011" s="33">
        <f>IFERROR(__xludf.DUMMYFUNCTION("""COMPUTED_VALUE"""),0.3333333333333333)</f>
        <v>0.3333333333</v>
      </c>
      <c r="U3011" s="4" t="str">
        <f>IFERROR(__xludf.DUMMYFUNCTION("""COMPUTED_VALUE"""),"Brendi")</f>
        <v>Brendi</v>
      </c>
      <c r="V3011" s="33">
        <f>IFERROR(__xludf.DUMMYFUNCTION("""COMPUTED_VALUE"""),0.3333333333333333)</f>
        <v>0.3333333333</v>
      </c>
      <c r="W3011" s="4" t="str">
        <f>IFERROR(__xludf.DUMMYFUNCTION("""COMPUTED_VALUE"""),"Brendi")</f>
        <v>Brendi</v>
      </c>
      <c r="X3011" s="33">
        <f>IFERROR(__xludf.DUMMYFUNCTION("""COMPUTED_VALUE"""),0.3333333333333333)</f>
        <v>0.3333333333</v>
      </c>
    </row>
    <row r="3012">
      <c r="K3012" s="4" t="str">
        <f>IFERROR(__xludf.DUMMYFUNCTION("""COMPUTED_VALUE"""),"ESPETINHO NA BRASA")</f>
        <v>ESPETINHO NA BRASA</v>
      </c>
      <c r="L3012" s="32">
        <f>IFERROR(__xludf.DUMMYFUNCTION("""COMPUTED_VALUE"""),3.0)</f>
        <v>3</v>
      </c>
      <c r="M3012" s="4" t="str">
        <f>IFERROR(__xludf.DUMMYFUNCTION("""COMPUTED_VALUE"""),"null")</f>
        <v>null</v>
      </c>
      <c r="N3012" s="33">
        <f>IFERROR(__xludf.DUMMYFUNCTION("""COMPUTED_VALUE"""),0.6666666666666666)</f>
        <v>0.6666666667</v>
      </c>
      <c r="O3012" s="4" t="str">
        <f>IFERROR(__xludf.DUMMYFUNCTION("""COMPUTED_VALUE"""),"null")</f>
        <v>null</v>
      </c>
      <c r="P3012" s="33">
        <f>IFERROR(__xludf.DUMMYFUNCTION("""COMPUTED_VALUE"""),0.6666666666666666)</f>
        <v>0.6666666667</v>
      </c>
      <c r="Q3012" s="4" t="str">
        <f>IFERROR(__xludf.DUMMYFUNCTION("""COMPUTED_VALUE"""),"Cardápio Web")</f>
        <v>Cardápio Web</v>
      </c>
      <c r="R3012" s="33">
        <f>IFERROR(__xludf.DUMMYFUNCTION("""COMPUTED_VALUE"""),0.3333333333333333)</f>
        <v>0.3333333333</v>
      </c>
      <c r="S3012" s="4" t="str">
        <f>IFERROR(__xludf.DUMMYFUNCTION("""COMPUTED_VALUE"""),"Cardápio Web")</f>
        <v>Cardápio Web</v>
      </c>
      <c r="T3012" s="33">
        <f>IFERROR(__xludf.DUMMYFUNCTION("""COMPUTED_VALUE"""),0.3333333333333333)</f>
        <v>0.3333333333</v>
      </c>
      <c r="U3012" s="4" t="str">
        <f>IFERROR(__xludf.DUMMYFUNCTION("""COMPUTED_VALUE"""),"null")</f>
        <v>null</v>
      </c>
      <c r="V3012" s="33">
        <f>IFERROR(__xludf.DUMMYFUNCTION("""COMPUTED_VALUE"""),0.3333333333333333)</f>
        <v>0.3333333333</v>
      </c>
      <c r="W3012" s="4" t="str">
        <f>IFERROR(__xludf.DUMMYFUNCTION("""COMPUTED_VALUE"""),"null")</f>
        <v>null</v>
      </c>
      <c r="X3012" s="33">
        <f>IFERROR(__xludf.DUMMYFUNCTION("""COMPUTED_VALUE"""),0.3333333333333333)</f>
        <v>0.3333333333</v>
      </c>
    </row>
    <row r="3013">
      <c r="K3013" s="4" t="str">
        <f>IFERROR(__xludf.DUMMYFUNCTION("""COMPUTED_VALUE"""),"GULA LANCHES")</f>
        <v>GULA LANCHES</v>
      </c>
      <c r="L3013" s="32">
        <f>IFERROR(__xludf.DUMMYFUNCTION("""COMPUTED_VALUE"""),3.0)</f>
        <v>3</v>
      </c>
      <c r="M3013" s="4" t="str">
        <f>IFERROR(__xludf.DUMMYFUNCTION("""COMPUTED_VALUE"""),"null")</f>
        <v>null</v>
      </c>
      <c r="N3013" s="33">
        <f>IFERROR(__xludf.DUMMYFUNCTION("""COMPUTED_VALUE"""),1.0)</f>
        <v>1</v>
      </c>
      <c r="O3013" s="4" t="str">
        <f>IFERROR(__xludf.DUMMYFUNCTION("""COMPUTED_VALUE"""),"null")</f>
        <v>null</v>
      </c>
      <c r="P3013" s="33">
        <f>IFERROR(__xludf.DUMMYFUNCTION("""COMPUTED_VALUE"""),1.0)</f>
        <v>1</v>
      </c>
      <c r="Q3013" s="4" t="str">
        <f>IFERROR(__xludf.DUMMYFUNCTION("""COMPUTED_VALUE"""),"null")</f>
        <v>null</v>
      </c>
      <c r="R3013" s="33">
        <f>IFERROR(__xludf.DUMMYFUNCTION("""COMPUTED_VALUE"""),1.0)</f>
        <v>1</v>
      </c>
      <c r="S3013" s="4" t="str">
        <f>IFERROR(__xludf.DUMMYFUNCTION("""COMPUTED_VALUE"""),"null")</f>
        <v>null</v>
      </c>
      <c r="T3013" s="33">
        <f>IFERROR(__xludf.DUMMYFUNCTION("""COMPUTED_VALUE"""),1.0)</f>
        <v>1</v>
      </c>
      <c r="U3013" s="4" t="str">
        <f>IFERROR(__xludf.DUMMYFUNCTION("""COMPUTED_VALUE"""),"Olaclick")</f>
        <v>Olaclick</v>
      </c>
      <c r="V3013" s="33">
        <f>IFERROR(__xludf.DUMMYFUNCTION("""COMPUTED_VALUE"""),0.3333333333333333)</f>
        <v>0.3333333333</v>
      </c>
      <c r="W3013" s="4" t="str">
        <f>IFERROR(__xludf.DUMMYFUNCTION("""COMPUTED_VALUE"""),"Olaclick")</f>
        <v>Olaclick</v>
      </c>
      <c r="X3013" s="33">
        <f>IFERROR(__xludf.DUMMYFUNCTION("""COMPUTED_VALUE"""),0.3333333333333333)</f>
        <v>0.3333333333</v>
      </c>
    </row>
    <row r="3014">
      <c r="K3014" s="4" t="str">
        <f>IFERROR(__xludf.DUMMYFUNCTION("""COMPUTED_VALUE"""),"JAO BURGER")</f>
        <v>JAO BURGER</v>
      </c>
      <c r="L3014" s="32">
        <f>IFERROR(__xludf.DUMMYFUNCTION("""COMPUTED_VALUE"""),3.0)</f>
        <v>3</v>
      </c>
      <c r="M3014" s="4" t="str">
        <f>IFERROR(__xludf.DUMMYFUNCTION("""COMPUTED_VALUE"""),"Cardápio Web")</f>
        <v>Cardápio Web</v>
      </c>
      <c r="N3014" s="33">
        <f>IFERROR(__xludf.DUMMYFUNCTION("""COMPUTED_VALUE"""),0.6666666666666666)</f>
        <v>0.6666666667</v>
      </c>
      <c r="O3014" s="4" t="str">
        <f>IFERROR(__xludf.DUMMYFUNCTION("""COMPUTED_VALUE"""),"Cardápio Web")</f>
        <v>Cardápio Web</v>
      </c>
      <c r="P3014" s="33">
        <f>IFERROR(__xludf.DUMMYFUNCTION("""COMPUTED_VALUE"""),0.6666666666666666)</f>
        <v>0.6666666667</v>
      </c>
      <c r="Q3014" s="4" t="str">
        <f>IFERROR(__xludf.DUMMYFUNCTION("""COMPUTED_VALUE"""),"Saipos Serviços De Software")</f>
        <v>Saipos Serviços De Software</v>
      </c>
      <c r="R3014" s="33">
        <f>IFERROR(__xludf.DUMMYFUNCTION("""COMPUTED_VALUE"""),0.3333333333333333)</f>
        <v>0.3333333333</v>
      </c>
      <c r="S3014" s="4" t="str">
        <f>IFERROR(__xludf.DUMMYFUNCTION("""COMPUTED_VALUE"""),"Saipos Serviços De Software")</f>
        <v>Saipos Serviços De Software</v>
      </c>
      <c r="T3014" s="33">
        <f>IFERROR(__xludf.DUMMYFUNCTION("""COMPUTED_VALUE"""),0.3333333333333333)</f>
        <v>0.3333333333</v>
      </c>
      <c r="U3014" s="4" t="str">
        <f>IFERROR(__xludf.DUMMYFUNCTION("""COMPUTED_VALUE"""),"Saipos Serviços De Software")</f>
        <v>Saipos Serviços De Software</v>
      </c>
      <c r="V3014" s="33">
        <f>IFERROR(__xludf.DUMMYFUNCTION("""COMPUTED_VALUE"""),0.3333333333333333)</f>
        <v>0.3333333333</v>
      </c>
      <c r="W3014" s="4" t="str">
        <f>IFERROR(__xludf.DUMMYFUNCTION("""COMPUTED_VALUE"""),"Saipos Serviços De Software")</f>
        <v>Saipos Serviços De Software</v>
      </c>
      <c r="X3014" s="33">
        <f>IFERROR(__xludf.DUMMYFUNCTION("""COMPUTED_VALUE"""),0.3333333333333333)</f>
        <v>0.3333333333</v>
      </c>
    </row>
    <row r="3015">
      <c r="K3015" s="4" t="str">
        <f>IFERROR(__xludf.DUMMYFUNCTION("""COMPUTED_VALUE"""),"ALO PIZZA DELIVERY")</f>
        <v>ALO PIZZA DELIVERY</v>
      </c>
      <c r="L3015" s="32">
        <f>IFERROR(__xludf.DUMMYFUNCTION("""COMPUTED_VALUE"""),3.0)</f>
        <v>3</v>
      </c>
      <c r="M3015" s="4" t="str">
        <f>IFERROR(__xludf.DUMMYFUNCTION("""COMPUTED_VALUE"""),"Saipos Serviços De Software")</f>
        <v>Saipos Serviços De Software</v>
      </c>
      <c r="N3015" s="33">
        <f>IFERROR(__xludf.DUMMYFUNCTION("""COMPUTED_VALUE"""),0.6666666666666666)</f>
        <v>0.6666666667</v>
      </c>
      <c r="O3015" s="4" t="str">
        <f>IFERROR(__xludf.DUMMYFUNCTION("""COMPUTED_VALUE"""),"Saipos Serviços De Software")</f>
        <v>Saipos Serviços De Software</v>
      </c>
      <c r="P3015" s="33">
        <f>IFERROR(__xludf.DUMMYFUNCTION("""COMPUTED_VALUE"""),0.6666666666666666)</f>
        <v>0.6666666667</v>
      </c>
      <c r="Q3015" s="4" t="str">
        <f>IFERROR(__xludf.DUMMYFUNCTION("""COMPUTED_VALUE"""),"Saipos Serviços De Software")</f>
        <v>Saipos Serviços De Software</v>
      </c>
      <c r="R3015" s="33">
        <f>IFERROR(__xludf.DUMMYFUNCTION("""COMPUTED_VALUE"""),0.6666666666666666)</f>
        <v>0.6666666667</v>
      </c>
      <c r="S3015" s="4" t="str">
        <f>IFERROR(__xludf.DUMMYFUNCTION("""COMPUTED_VALUE"""),"Saipos Serviços De Software")</f>
        <v>Saipos Serviços De Software</v>
      </c>
      <c r="T3015" s="33">
        <f>IFERROR(__xludf.DUMMYFUNCTION("""COMPUTED_VALUE"""),0.6666666666666666)</f>
        <v>0.6666666667</v>
      </c>
      <c r="U3015" s="4" t="str">
        <f>IFERROR(__xludf.DUMMYFUNCTION("""COMPUTED_VALUE"""),"Saipos Serviços De Software")</f>
        <v>Saipos Serviços De Software</v>
      </c>
      <c r="V3015" s="33">
        <f>IFERROR(__xludf.DUMMYFUNCTION("""COMPUTED_VALUE"""),0.6666666666666666)</f>
        <v>0.6666666667</v>
      </c>
      <c r="W3015" s="4" t="str">
        <f>IFERROR(__xludf.DUMMYFUNCTION("""COMPUTED_VALUE"""),"Saipos Serviços De Software")</f>
        <v>Saipos Serviços De Software</v>
      </c>
      <c r="X3015" s="33">
        <f>IFERROR(__xludf.DUMMYFUNCTION("""COMPUTED_VALUE"""),0.6666666666666666)</f>
        <v>0.6666666667</v>
      </c>
    </row>
    <row r="3016">
      <c r="K3016" s="4" t="str">
        <f>IFERROR(__xludf.DUMMYFUNCTION("""COMPUTED_VALUE"""),"BURGER DE VERDADE - HAMBURGUER ARTESANAL")</f>
        <v>BURGER DE VERDADE - HAMBURGUER ARTESANAL</v>
      </c>
      <c r="L3016" s="32">
        <f>IFERROR(__xludf.DUMMYFUNCTION("""COMPUTED_VALUE"""),3.0)</f>
        <v>3</v>
      </c>
      <c r="M3016" s="4" t="str">
        <f>IFERROR(__xludf.DUMMYFUNCTION("""COMPUTED_VALUE"""),"Saipos Serviços De Software")</f>
        <v>Saipos Serviços De Software</v>
      </c>
      <c r="N3016" s="33">
        <f>IFERROR(__xludf.DUMMYFUNCTION("""COMPUTED_VALUE"""),0.6666666666666666)</f>
        <v>0.6666666667</v>
      </c>
      <c r="O3016" s="4" t="str">
        <f>IFERROR(__xludf.DUMMYFUNCTION("""COMPUTED_VALUE"""),"Saipos Serviços De Software")</f>
        <v>Saipos Serviços De Software</v>
      </c>
      <c r="P3016" s="33">
        <f>IFERROR(__xludf.DUMMYFUNCTION("""COMPUTED_VALUE"""),0.6666666666666666)</f>
        <v>0.6666666667</v>
      </c>
      <c r="Q3016" s="4" t="str">
        <f>IFERROR(__xludf.DUMMYFUNCTION("""COMPUTED_VALUE"""),"Saipos Serviços De Software")</f>
        <v>Saipos Serviços De Software</v>
      </c>
      <c r="R3016" s="33">
        <f>IFERROR(__xludf.DUMMYFUNCTION("""COMPUTED_VALUE"""),1.0)</f>
        <v>1</v>
      </c>
      <c r="S3016" s="4" t="str">
        <f>IFERROR(__xludf.DUMMYFUNCTION("""COMPUTED_VALUE"""),"Saipos Serviços De Software")</f>
        <v>Saipos Serviços De Software</v>
      </c>
      <c r="T3016" s="33">
        <f>IFERROR(__xludf.DUMMYFUNCTION("""COMPUTED_VALUE"""),1.0)</f>
        <v>1</v>
      </c>
      <c r="U3016" s="4" t="str">
        <f>IFERROR(__xludf.DUMMYFUNCTION("""COMPUTED_VALUE"""),"Saipos Serviços De Software")</f>
        <v>Saipos Serviços De Software</v>
      </c>
      <c r="V3016" s="33">
        <f>IFERROR(__xludf.DUMMYFUNCTION("""COMPUTED_VALUE"""),1.0)</f>
        <v>1</v>
      </c>
      <c r="W3016" s="4" t="str">
        <f>IFERROR(__xludf.DUMMYFUNCTION("""COMPUTED_VALUE"""),"Saipos Serviços De Software")</f>
        <v>Saipos Serviços De Software</v>
      </c>
      <c r="X3016" s="33">
        <f>IFERROR(__xludf.DUMMYFUNCTION("""COMPUTED_VALUE"""),1.0)</f>
        <v>1</v>
      </c>
    </row>
    <row r="3017">
      <c r="K3017" s="4" t="str">
        <f>IFERROR(__xludf.DUMMYFUNCTION("""COMPUTED_VALUE"""),"RAINHA BURGUER")</f>
        <v>RAINHA BURGUER</v>
      </c>
      <c r="L3017" s="32">
        <f>IFERROR(__xludf.DUMMYFUNCTION("""COMPUTED_VALUE"""),3.0)</f>
        <v>3</v>
      </c>
      <c r="M3017" s="4" t="str">
        <f>IFERROR(__xludf.DUMMYFUNCTION("""COMPUTED_VALUE"""),"null")</f>
        <v>null</v>
      </c>
      <c r="N3017" s="33">
        <f>IFERROR(__xludf.DUMMYFUNCTION("""COMPUTED_VALUE"""),0.6666666666666666)</f>
        <v>0.6666666667</v>
      </c>
      <c r="O3017" s="4" t="str">
        <f>IFERROR(__xludf.DUMMYFUNCTION("""COMPUTED_VALUE"""),"null")</f>
        <v>null</v>
      </c>
      <c r="P3017" s="33">
        <f>IFERROR(__xludf.DUMMYFUNCTION("""COMPUTED_VALUE"""),0.6666666666666666)</f>
        <v>0.6666666667</v>
      </c>
      <c r="Q3017" s="4" t="str">
        <f>IFERROR(__xludf.DUMMYFUNCTION("""COMPUTED_VALUE"""),"null")</f>
        <v>null</v>
      </c>
      <c r="R3017" s="33">
        <f>IFERROR(__xludf.DUMMYFUNCTION("""COMPUTED_VALUE"""),0.6666666666666666)</f>
        <v>0.6666666667</v>
      </c>
      <c r="S3017" s="4" t="str">
        <f>IFERROR(__xludf.DUMMYFUNCTION("""COMPUTED_VALUE"""),"null")</f>
        <v>null</v>
      </c>
      <c r="T3017" s="33">
        <f>IFERROR(__xludf.DUMMYFUNCTION("""COMPUTED_VALUE"""),0.6666666666666666)</f>
        <v>0.6666666667</v>
      </c>
      <c r="U3017" s="4" t="str">
        <f>IFERROR(__xludf.DUMMYFUNCTION("""COMPUTED_VALUE"""),"null")</f>
        <v>null</v>
      </c>
      <c r="V3017" s="33">
        <f>IFERROR(__xludf.DUMMYFUNCTION("""COMPUTED_VALUE"""),0.6666666666666666)</f>
        <v>0.6666666667</v>
      </c>
      <c r="W3017" s="4" t="str">
        <f>IFERROR(__xludf.DUMMYFUNCTION("""COMPUTED_VALUE"""),"null")</f>
        <v>null</v>
      </c>
      <c r="X3017" s="33">
        <f>IFERROR(__xludf.DUMMYFUNCTION("""COMPUTED_VALUE"""),1.0)</f>
        <v>1</v>
      </c>
    </row>
    <row r="3018">
      <c r="K3018" s="4" t="str">
        <f>IFERROR(__xludf.DUMMYFUNCTION("""COMPUTED_VALUE"""),"HAMBURGUER DO RAFA")</f>
        <v>HAMBURGUER DO RAFA</v>
      </c>
      <c r="L3018" s="32">
        <f>IFERROR(__xludf.DUMMYFUNCTION("""COMPUTED_VALUE"""),3.0)</f>
        <v>3</v>
      </c>
      <c r="M3018" s="4" t="str">
        <f>IFERROR(__xludf.DUMMYFUNCTION("""COMPUTED_VALUE"""),"Instadelivery")</f>
        <v>Instadelivery</v>
      </c>
      <c r="N3018" s="33">
        <f>IFERROR(__xludf.DUMMYFUNCTION("""COMPUTED_VALUE"""),0.6666666666666666)</f>
        <v>0.6666666667</v>
      </c>
      <c r="O3018" s="4" t="str">
        <f>IFERROR(__xludf.DUMMYFUNCTION("""COMPUTED_VALUE"""),"null")</f>
        <v>null</v>
      </c>
      <c r="P3018" s="33">
        <f>IFERROR(__xludf.DUMMYFUNCTION("""COMPUTED_VALUE"""),0.3333333333333333)</f>
        <v>0.3333333333</v>
      </c>
      <c r="Q3018" s="4" t="str">
        <f>IFERROR(__xludf.DUMMYFUNCTION("""COMPUTED_VALUE"""),"Brendi")</f>
        <v>Brendi</v>
      </c>
      <c r="R3018" s="33">
        <f>IFERROR(__xludf.DUMMYFUNCTION("""COMPUTED_VALUE"""),0.3333333333333333)</f>
        <v>0.3333333333</v>
      </c>
      <c r="S3018" s="4" t="str">
        <f>IFERROR(__xludf.DUMMYFUNCTION("""COMPUTED_VALUE"""),"Instadelivery")</f>
        <v>Instadelivery</v>
      </c>
      <c r="T3018" s="33">
        <f>IFERROR(__xludf.DUMMYFUNCTION("""COMPUTED_VALUE"""),0.6666666666666666)</f>
        <v>0.6666666667</v>
      </c>
      <c r="U3018" s="4" t="str">
        <f>IFERROR(__xludf.DUMMYFUNCTION("""COMPUTED_VALUE"""),"Instadelivery")</f>
        <v>Instadelivery</v>
      </c>
      <c r="V3018" s="33">
        <f>IFERROR(__xludf.DUMMYFUNCTION("""COMPUTED_VALUE"""),0.6666666666666666)</f>
        <v>0.6666666667</v>
      </c>
      <c r="W3018" s="4" t="str">
        <f>IFERROR(__xludf.DUMMYFUNCTION("""COMPUTED_VALUE"""),"Instadelivery")</f>
        <v>Instadelivery</v>
      </c>
      <c r="X3018" s="33">
        <f>IFERROR(__xludf.DUMMYFUNCTION("""COMPUTED_VALUE"""),0.6666666666666666)</f>
        <v>0.6666666667</v>
      </c>
    </row>
    <row r="3019">
      <c r="K3019" s="4" t="str">
        <f>IFERROR(__xludf.DUMMYFUNCTION("""COMPUTED_VALUE"""),"BAR DO GIL")</f>
        <v>BAR DO GIL</v>
      </c>
      <c r="L3019" s="32">
        <f>IFERROR(__xludf.DUMMYFUNCTION("""COMPUTED_VALUE"""),3.0)</f>
        <v>3</v>
      </c>
      <c r="M3019" s="4" t="str">
        <f>IFERROR(__xludf.DUMMYFUNCTION("""COMPUTED_VALUE"""),"null")</f>
        <v>null</v>
      </c>
      <c r="N3019" s="33">
        <f>IFERROR(__xludf.DUMMYFUNCTION("""COMPUTED_VALUE"""),0.6666666666666666)</f>
        <v>0.6666666667</v>
      </c>
      <c r="O3019" s="4" t="str">
        <f>IFERROR(__xludf.DUMMYFUNCTION("""COMPUTED_VALUE"""),"null")</f>
        <v>null</v>
      </c>
      <c r="P3019" s="33">
        <f>IFERROR(__xludf.DUMMYFUNCTION("""COMPUTED_VALUE"""),0.6666666666666666)</f>
        <v>0.6666666667</v>
      </c>
      <c r="Q3019" s="4" t="str">
        <f>IFERROR(__xludf.DUMMYFUNCTION("""COMPUTED_VALUE"""),"null")</f>
        <v>null</v>
      </c>
      <c r="R3019" s="33">
        <f>IFERROR(__xludf.DUMMYFUNCTION("""COMPUTED_VALUE"""),0.6666666666666666)</f>
        <v>0.6666666667</v>
      </c>
      <c r="S3019" s="4" t="str">
        <f>IFERROR(__xludf.DUMMYFUNCTION("""COMPUTED_VALUE"""),"Zip Software")</f>
        <v>Zip Software</v>
      </c>
      <c r="T3019" s="33">
        <f>IFERROR(__xludf.DUMMYFUNCTION("""COMPUTED_VALUE"""),0.6666666666666666)</f>
        <v>0.6666666667</v>
      </c>
      <c r="U3019" s="4" t="str">
        <f>IFERROR(__xludf.DUMMYFUNCTION("""COMPUTED_VALUE"""),"Zip Software")</f>
        <v>Zip Software</v>
      </c>
      <c r="V3019" s="33">
        <f>IFERROR(__xludf.DUMMYFUNCTION("""COMPUTED_VALUE"""),0.3333333333333333)</f>
        <v>0.3333333333</v>
      </c>
      <c r="W3019" s="4" t="str">
        <f>IFERROR(__xludf.DUMMYFUNCTION("""COMPUTED_VALUE"""),"Zip Software")</f>
        <v>Zip Software</v>
      </c>
      <c r="X3019" s="33">
        <f>IFERROR(__xludf.DUMMYFUNCTION("""COMPUTED_VALUE"""),0.3333333333333333)</f>
        <v>0.3333333333</v>
      </c>
    </row>
    <row r="3020">
      <c r="K3020" s="4" t="str">
        <f>IFERROR(__xludf.DUMMYFUNCTION("""COMPUTED_VALUE"""),"ACAI NA MARMITA")</f>
        <v>ACAI NA MARMITA</v>
      </c>
      <c r="L3020" s="32">
        <f>IFERROR(__xludf.DUMMYFUNCTION("""COMPUTED_VALUE"""),3.0)</f>
        <v>3</v>
      </c>
      <c r="M3020" s="4" t="str">
        <f>IFERROR(__xludf.DUMMYFUNCTION("""COMPUTED_VALUE"""),"null")</f>
        <v>null</v>
      </c>
      <c r="N3020" s="33">
        <f>IFERROR(__xludf.DUMMYFUNCTION("""COMPUTED_VALUE"""),0.6666666666666666)</f>
        <v>0.6666666667</v>
      </c>
      <c r="O3020" s="4" t="str">
        <f>IFERROR(__xludf.DUMMYFUNCTION("""COMPUTED_VALUE"""),"null")</f>
        <v>null</v>
      </c>
      <c r="P3020" s="33">
        <f>IFERROR(__xludf.DUMMYFUNCTION("""COMPUTED_VALUE"""),0.6666666666666666)</f>
        <v>0.6666666667</v>
      </c>
      <c r="Q3020" s="4" t="str">
        <f>IFERROR(__xludf.DUMMYFUNCTION("""COMPUTED_VALUE"""),"null")</f>
        <v>null</v>
      </c>
      <c r="R3020" s="33">
        <f>IFERROR(__xludf.DUMMYFUNCTION("""COMPUTED_VALUE"""),0.3333333333333333)</f>
        <v>0.3333333333</v>
      </c>
      <c r="S3020" s="4" t="str">
        <f>IFERROR(__xludf.DUMMYFUNCTION("""COMPUTED_VALUE"""),"null")</f>
        <v>null</v>
      </c>
      <c r="T3020" s="33">
        <f>IFERROR(__xludf.DUMMYFUNCTION("""COMPUTED_VALUE"""),0.6666666666666666)</f>
        <v>0.6666666667</v>
      </c>
      <c r="U3020" s="4" t="str">
        <f>IFERROR(__xludf.DUMMYFUNCTION("""COMPUTED_VALUE"""),"Saipos Serviços De Software")</f>
        <v>Saipos Serviços De Software</v>
      </c>
      <c r="V3020" s="33">
        <f>IFERROR(__xludf.DUMMYFUNCTION("""COMPUTED_VALUE"""),0.3333333333333333)</f>
        <v>0.3333333333</v>
      </c>
      <c r="W3020" s="4" t="str">
        <f>IFERROR(__xludf.DUMMYFUNCTION("""COMPUTED_VALUE"""),"null")</f>
        <v>null</v>
      </c>
      <c r="X3020" s="33">
        <f>IFERROR(__xludf.DUMMYFUNCTION("""COMPUTED_VALUE"""),0.6666666666666666)</f>
        <v>0.6666666667</v>
      </c>
    </row>
    <row r="3021">
      <c r="K3021" s="4" t="str">
        <f>IFERROR(__xludf.DUMMYFUNCTION("""COMPUTED_VALUE"""),"CLUBE DO LANCHE")</f>
        <v>CLUBE DO LANCHE</v>
      </c>
      <c r="L3021" s="32">
        <f>IFERROR(__xludf.DUMMYFUNCTION("""COMPUTED_VALUE"""),3.0)</f>
        <v>3</v>
      </c>
      <c r="M3021" s="4" t="str">
        <f>IFERROR(__xludf.DUMMYFUNCTION("""COMPUTED_VALUE"""),"Saipos Serviços De Software")</f>
        <v>Saipos Serviços De Software</v>
      </c>
      <c r="N3021" s="33">
        <f>IFERROR(__xludf.DUMMYFUNCTION("""COMPUTED_VALUE"""),0.3333333333333333)</f>
        <v>0.3333333333</v>
      </c>
      <c r="O3021" s="4" t="str">
        <f>IFERROR(__xludf.DUMMYFUNCTION("""COMPUTED_VALUE"""),"Saipos Serviços De Software")</f>
        <v>Saipos Serviços De Software</v>
      </c>
      <c r="P3021" s="33">
        <f>IFERROR(__xludf.DUMMYFUNCTION("""COMPUTED_VALUE"""),0.3333333333333333)</f>
        <v>0.3333333333</v>
      </c>
      <c r="Q3021" s="4" t="str">
        <f>IFERROR(__xludf.DUMMYFUNCTION("""COMPUTED_VALUE"""),"Saipos Serviços De Software")</f>
        <v>Saipos Serviços De Software</v>
      </c>
      <c r="R3021" s="33">
        <f>IFERROR(__xludf.DUMMYFUNCTION("""COMPUTED_VALUE"""),0.3333333333333333)</f>
        <v>0.3333333333</v>
      </c>
      <c r="S3021" s="4" t="str">
        <f>IFERROR(__xludf.DUMMYFUNCTION("""COMPUTED_VALUE"""),"Saipos Serviços De Software")</f>
        <v>Saipos Serviços De Software</v>
      </c>
      <c r="T3021" s="33">
        <f>IFERROR(__xludf.DUMMYFUNCTION("""COMPUTED_VALUE"""),0.3333333333333333)</f>
        <v>0.3333333333</v>
      </c>
      <c r="U3021" s="4" t="str">
        <f>IFERROR(__xludf.DUMMYFUNCTION("""COMPUTED_VALUE"""),"Saipos Serviços De Software")</f>
        <v>Saipos Serviços De Software</v>
      </c>
      <c r="V3021" s="33">
        <f>IFERROR(__xludf.DUMMYFUNCTION("""COMPUTED_VALUE"""),0.3333333333333333)</f>
        <v>0.3333333333</v>
      </c>
      <c r="W3021" s="4" t="str">
        <f>IFERROR(__xludf.DUMMYFUNCTION("""COMPUTED_VALUE"""),"Saipos Serviços De Software")</f>
        <v>Saipos Serviços De Software</v>
      </c>
      <c r="X3021" s="33">
        <f>IFERROR(__xludf.DUMMYFUNCTION("""COMPUTED_VALUE"""),0.3333333333333333)</f>
        <v>0.3333333333</v>
      </c>
    </row>
    <row r="3022">
      <c r="K3022" s="4" t="str">
        <f>IFERROR(__xludf.DUMMYFUNCTION("""COMPUTED_VALUE"""),"CONGELADISSIMOS")</f>
        <v>CONGELADISSIMOS</v>
      </c>
      <c r="L3022" s="32">
        <f>IFERROR(__xludf.DUMMYFUNCTION("""COMPUTED_VALUE"""),3.0)</f>
        <v>3</v>
      </c>
      <c r="M3022" s="4" t="str">
        <f>IFERROR(__xludf.DUMMYFUNCTION("""COMPUTED_VALUE"""),"Alterdata Tecnologia Em Informatica Ltda")</f>
        <v>Alterdata Tecnologia Em Informatica Ltda</v>
      </c>
      <c r="N3022" s="33">
        <f>IFERROR(__xludf.DUMMYFUNCTION("""COMPUTED_VALUE"""),1.0)</f>
        <v>1</v>
      </c>
      <c r="O3022" s="4" t="str">
        <f>IFERROR(__xludf.DUMMYFUNCTION("""COMPUTED_VALUE"""),"Alterdata Tecnologia Em Informatica Ltda")</f>
        <v>Alterdata Tecnologia Em Informatica Ltda</v>
      </c>
      <c r="P3022" s="33">
        <f>IFERROR(__xludf.DUMMYFUNCTION("""COMPUTED_VALUE"""),1.0)</f>
        <v>1</v>
      </c>
      <c r="Q3022" s="4" t="str">
        <f>IFERROR(__xludf.DUMMYFUNCTION("""COMPUTED_VALUE"""),"Alterdata Tecnologia Em Informatica Ltda")</f>
        <v>Alterdata Tecnologia Em Informatica Ltda</v>
      </c>
      <c r="R3022" s="33">
        <f>IFERROR(__xludf.DUMMYFUNCTION("""COMPUTED_VALUE"""),1.0)</f>
        <v>1</v>
      </c>
      <c r="S3022" s="4" t="str">
        <f>IFERROR(__xludf.DUMMYFUNCTION("""COMPUTED_VALUE"""),"null")</f>
        <v>null</v>
      </c>
      <c r="T3022" s="33">
        <f>IFERROR(__xludf.DUMMYFUNCTION("""COMPUTED_VALUE"""),0.6666666666666666)</f>
        <v>0.6666666667</v>
      </c>
      <c r="U3022" s="4" t="str">
        <f>IFERROR(__xludf.DUMMYFUNCTION("""COMPUTED_VALUE"""),"Alterdata Tecnologia Em Informatica Ltda")</f>
        <v>Alterdata Tecnologia Em Informatica Ltda</v>
      </c>
      <c r="V3022" s="33">
        <f>IFERROR(__xludf.DUMMYFUNCTION("""COMPUTED_VALUE"""),0.6666666666666666)</f>
        <v>0.6666666667</v>
      </c>
      <c r="W3022" s="4" t="str">
        <f>IFERROR(__xludf.DUMMYFUNCTION("""COMPUTED_VALUE"""),"Alterdata Tecnologia Em Informatica Ltda")</f>
        <v>Alterdata Tecnologia Em Informatica Ltda</v>
      </c>
      <c r="X3022" s="33">
        <f>IFERROR(__xludf.DUMMYFUNCTION("""COMPUTED_VALUE"""),0.6666666666666666)</f>
        <v>0.6666666667</v>
      </c>
    </row>
    <row r="3023">
      <c r="K3023" s="4" t="str">
        <f>IFERROR(__xludf.DUMMYFUNCTION("""COMPUTED_VALUE"""),"TOCA DA PIZZA")</f>
        <v>TOCA DA PIZZA</v>
      </c>
      <c r="L3023" s="32">
        <f>IFERROR(__xludf.DUMMYFUNCTION("""COMPUTED_VALUE"""),3.0)</f>
        <v>3</v>
      </c>
      <c r="M3023" s="4" t="str">
        <f>IFERROR(__xludf.DUMMYFUNCTION("""COMPUTED_VALUE"""),"Expresso Delivery")</f>
        <v>Expresso Delivery</v>
      </c>
      <c r="N3023" s="33">
        <f>IFERROR(__xludf.DUMMYFUNCTION("""COMPUTED_VALUE"""),0.6666666666666666)</f>
        <v>0.6666666667</v>
      </c>
      <c r="O3023" s="4" t="str">
        <f>IFERROR(__xludf.DUMMYFUNCTION("""COMPUTED_VALUE"""),"Expresso Delivery")</f>
        <v>Expresso Delivery</v>
      </c>
      <c r="P3023" s="33">
        <f>IFERROR(__xludf.DUMMYFUNCTION("""COMPUTED_VALUE"""),0.6666666666666666)</f>
        <v>0.6666666667</v>
      </c>
      <c r="Q3023" s="4" t="str">
        <f>IFERROR(__xludf.DUMMYFUNCTION("""COMPUTED_VALUE"""),"Expresso Delivery")</f>
        <v>Expresso Delivery</v>
      </c>
      <c r="R3023" s="33">
        <f>IFERROR(__xludf.DUMMYFUNCTION("""COMPUTED_VALUE"""),0.6666666666666666)</f>
        <v>0.6666666667</v>
      </c>
      <c r="S3023" s="4" t="str">
        <f>IFERROR(__xludf.DUMMYFUNCTION("""COMPUTED_VALUE"""),"Expresso Delivery")</f>
        <v>Expresso Delivery</v>
      </c>
      <c r="T3023" s="33">
        <f>IFERROR(__xludf.DUMMYFUNCTION("""COMPUTED_VALUE"""),0.6666666666666666)</f>
        <v>0.6666666667</v>
      </c>
      <c r="U3023" s="4" t="str">
        <f>IFERROR(__xludf.DUMMYFUNCTION("""COMPUTED_VALUE"""),"Saipos Serviços De Software")</f>
        <v>Saipos Serviços De Software</v>
      </c>
      <c r="V3023" s="33">
        <f>IFERROR(__xludf.DUMMYFUNCTION("""COMPUTED_VALUE"""),0.3333333333333333)</f>
        <v>0.3333333333</v>
      </c>
      <c r="W3023" s="4" t="str">
        <f>IFERROR(__xludf.DUMMYFUNCTION("""COMPUTED_VALUE"""),"Saipos Serviços De Software")</f>
        <v>Saipos Serviços De Software</v>
      </c>
      <c r="X3023" s="33">
        <f>IFERROR(__xludf.DUMMYFUNCTION("""COMPUTED_VALUE"""),0.3333333333333333)</f>
        <v>0.3333333333</v>
      </c>
    </row>
    <row r="3024">
      <c r="K3024" s="4" t="str">
        <f>IFERROR(__xludf.DUMMYFUNCTION("""COMPUTED_VALUE"""),"PIZZARIA DON RAFAELLE")</f>
        <v>PIZZARIA DON RAFAELLE</v>
      </c>
      <c r="L3024" s="32">
        <f>IFERROR(__xludf.DUMMYFUNCTION("""COMPUTED_VALUE"""),3.0)</f>
        <v>3</v>
      </c>
      <c r="M3024" s="4" t="str">
        <f>IFERROR(__xludf.DUMMYFUNCTION("""COMPUTED_VALUE"""),"Saipos Serviços De Software")</f>
        <v>Saipos Serviços De Software</v>
      </c>
      <c r="N3024" s="33">
        <f>IFERROR(__xludf.DUMMYFUNCTION("""COMPUTED_VALUE"""),0.6666666666666666)</f>
        <v>0.6666666667</v>
      </c>
      <c r="O3024" s="4" t="str">
        <f>IFERROR(__xludf.DUMMYFUNCTION("""COMPUTED_VALUE"""),"Saipos Serviços De Software")</f>
        <v>Saipos Serviços De Software</v>
      </c>
      <c r="P3024" s="33">
        <f>IFERROR(__xludf.DUMMYFUNCTION("""COMPUTED_VALUE"""),0.6666666666666666)</f>
        <v>0.6666666667</v>
      </c>
      <c r="Q3024" s="4" t="str">
        <f>IFERROR(__xludf.DUMMYFUNCTION("""COMPUTED_VALUE"""),"Saipos Serviços De Software")</f>
        <v>Saipos Serviços De Software</v>
      </c>
      <c r="R3024" s="33">
        <f>IFERROR(__xludf.DUMMYFUNCTION("""COMPUTED_VALUE"""),0.6666666666666666)</f>
        <v>0.6666666667</v>
      </c>
      <c r="S3024" s="4" t="str">
        <f>IFERROR(__xludf.DUMMYFUNCTION("""COMPUTED_VALUE"""),"Saipos Serviços De Software")</f>
        <v>Saipos Serviços De Software</v>
      </c>
      <c r="T3024" s="33">
        <f>IFERROR(__xludf.DUMMYFUNCTION("""COMPUTED_VALUE"""),0.6666666666666666)</f>
        <v>0.6666666667</v>
      </c>
      <c r="U3024" s="4" t="str">
        <f>IFERROR(__xludf.DUMMYFUNCTION("""COMPUTED_VALUE"""),"Saipos Serviços De Software")</f>
        <v>Saipos Serviços De Software</v>
      </c>
      <c r="V3024" s="33">
        <f>IFERROR(__xludf.DUMMYFUNCTION("""COMPUTED_VALUE"""),0.6666666666666666)</f>
        <v>0.6666666667</v>
      </c>
      <c r="W3024" s="4" t="str">
        <f>IFERROR(__xludf.DUMMYFUNCTION("""COMPUTED_VALUE"""),"Saipos Serviços De Software")</f>
        <v>Saipos Serviços De Software</v>
      </c>
      <c r="X3024" s="33">
        <f>IFERROR(__xludf.DUMMYFUNCTION("""COMPUTED_VALUE"""),0.6666666666666666)</f>
        <v>0.6666666667</v>
      </c>
    </row>
    <row r="3025">
      <c r="K3025" s="4" t="str">
        <f>IFERROR(__xludf.DUMMYFUNCTION("""COMPUTED_VALUE"""),"ROYAL HAMBURGUERIA")</f>
        <v>ROYAL HAMBURGUERIA</v>
      </c>
      <c r="L3025" s="32">
        <f>IFERROR(__xludf.DUMMYFUNCTION("""COMPUTED_VALUE"""),3.0)</f>
        <v>3</v>
      </c>
      <c r="M3025" s="4" t="str">
        <f>IFERROR(__xludf.DUMMYFUNCTION("""COMPUTED_VALUE"""),"One Solucoes")</f>
        <v>One Solucoes</v>
      </c>
      <c r="N3025" s="33">
        <f>IFERROR(__xludf.DUMMYFUNCTION("""COMPUTED_VALUE"""),0.3333333333333333)</f>
        <v>0.3333333333</v>
      </c>
      <c r="O3025" s="4" t="str">
        <f>IFERROR(__xludf.DUMMYFUNCTION("""COMPUTED_VALUE"""),"One Solucoes")</f>
        <v>One Solucoes</v>
      </c>
      <c r="P3025" s="33">
        <f>IFERROR(__xludf.DUMMYFUNCTION("""COMPUTED_VALUE"""),0.3333333333333333)</f>
        <v>0.3333333333</v>
      </c>
      <c r="Q3025" s="4" t="str">
        <f>IFERROR(__xludf.DUMMYFUNCTION("""COMPUTED_VALUE"""),"One Solucoes")</f>
        <v>One Solucoes</v>
      </c>
      <c r="R3025" s="33">
        <f>IFERROR(__xludf.DUMMYFUNCTION("""COMPUTED_VALUE"""),0.3333333333333333)</f>
        <v>0.3333333333</v>
      </c>
      <c r="S3025" s="4" t="str">
        <f>IFERROR(__xludf.DUMMYFUNCTION("""COMPUTED_VALUE"""),"One Solucoes")</f>
        <v>One Solucoes</v>
      </c>
      <c r="T3025" s="33">
        <f>IFERROR(__xludf.DUMMYFUNCTION("""COMPUTED_VALUE"""),0.3333333333333333)</f>
        <v>0.3333333333</v>
      </c>
      <c r="U3025" s="4" t="str">
        <f>IFERROR(__xludf.DUMMYFUNCTION("""COMPUTED_VALUE"""),"One Solucoes")</f>
        <v>One Solucoes</v>
      </c>
      <c r="V3025" s="33">
        <f>IFERROR(__xludf.DUMMYFUNCTION("""COMPUTED_VALUE"""),0.3333333333333333)</f>
        <v>0.3333333333</v>
      </c>
      <c r="W3025" s="4" t="str">
        <f>IFERROR(__xludf.DUMMYFUNCTION("""COMPUTED_VALUE"""),"One Solucoes")</f>
        <v>One Solucoes</v>
      </c>
      <c r="X3025" s="33">
        <f>IFERROR(__xludf.DUMMYFUNCTION("""COMPUTED_VALUE"""),0.3333333333333333)</f>
        <v>0.3333333333</v>
      </c>
    </row>
    <row r="3026">
      <c r="K3026" s="4" t="str">
        <f>IFERROR(__xludf.DUMMYFUNCTION("""COMPUTED_VALUE"""),"FRANGO FRITO CROCANTE")</f>
        <v>FRANGO FRITO CROCANTE</v>
      </c>
      <c r="L3026" s="32">
        <f>IFERROR(__xludf.DUMMYFUNCTION("""COMPUTED_VALUE"""),3.0)</f>
        <v>3</v>
      </c>
      <c r="M3026" s="4" t="str">
        <f>IFERROR(__xludf.DUMMYFUNCTION("""COMPUTED_VALUE"""),"null")</f>
        <v>null</v>
      </c>
      <c r="N3026" s="33">
        <f>IFERROR(__xludf.DUMMYFUNCTION("""COMPUTED_VALUE"""),0.6666666666666666)</f>
        <v>0.6666666667</v>
      </c>
      <c r="O3026" s="4" t="str">
        <f>IFERROR(__xludf.DUMMYFUNCTION("""COMPUTED_VALUE"""),"null")</f>
        <v>null</v>
      </c>
      <c r="P3026" s="33">
        <f>IFERROR(__xludf.DUMMYFUNCTION("""COMPUTED_VALUE"""),0.6666666666666666)</f>
        <v>0.6666666667</v>
      </c>
      <c r="Q3026" s="4" t="str">
        <f>IFERROR(__xludf.DUMMYFUNCTION("""COMPUTED_VALUE"""),"null")</f>
        <v>null</v>
      </c>
      <c r="R3026" s="33">
        <f>IFERROR(__xludf.DUMMYFUNCTION("""COMPUTED_VALUE"""),0.6666666666666666)</f>
        <v>0.6666666667</v>
      </c>
      <c r="S3026" s="4" t="str">
        <f>IFERROR(__xludf.DUMMYFUNCTION("""COMPUTED_VALUE"""),"null")</f>
        <v>null</v>
      </c>
      <c r="T3026" s="33">
        <f>IFERROR(__xludf.DUMMYFUNCTION("""COMPUTED_VALUE"""),0.6666666666666666)</f>
        <v>0.6666666667</v>
      </c>
      <c r="U3026" s="4" t="str">
        <f>IFERROR(__xludf.DUMMYFUNCTION("""COMPUTED_VALUE"""),"Infototal Technology")</f>
        <v>Infototal Technology</v>
      </c>
      <c r="V3026" s="33">
        <f>IFERROR(__xludf.DUMMYFUNCTION("""COMPUTED_VALUE"""),0.3333333333333333)</f>
        <v>0.3333333333</v>
      </c>
      <c r="W3026" s="4" t="str">
        <f>IFERROR(__xludf.DUMMYFUNCTION("""COMPUTED_VALUE"""),"Infototal Technology")</f>
        <v>Infototal Technology</v>
      </c>
      <c r="X3026" s="33">
        <f>IFERROR(__xludf.DUMMYFUNCTION("""COMPUTED_VALUE"""),0.3333333333333333)</f>
        <v>0.3333333333</v>
      </c>
    </row>
    <row r="3027">
      <c r="K3027" s="4" t="str">
        <f>IFERROR(__xludf.DUMMYFUNCTION("""COMPUTED_VALUE"""),"DROGARIA FARMAIS")</f>
        <v>DROGARIA FARMAIS</v>
      </c>
      <c r="L3027" s="32">
        <f>IFERROR(__xludf.DUMMYFUNCTION("""COMPUTED_VALUE"""),3.0)</f>
        <v>3</v>
      </c>
      <c r="M3027" s="4" t="str">
        <f>IFERROR(__xludf.DUMMYFUNCTION("""COMPUTED_VALUE"""),"N/A (Not found)")</f>
        <v>N/A (Not found)</v>
      </c>
      <c r="N3027" s="33">
        <f>IFERROR(__xludf.DUMMYFUNCTION("""COMPUTED_VALUE"""),1.0)</f>
        <v>1</v>
      </c>
      <c r="O3027" s="4" t="str">
        <f>IFERROR(__xludf.DUMMYFUNCTION("""COMPUTED_VALUE"""),"N/A (Not found)")</f>
        <v>N/A (Not found)</v>
      </c>
      <c r="P3027" s="33">
        <f>IFERROR(__xludf.DUMMYFUNCTION("""COMPUTED_VALUE"""),1.0)</f>
        <v>1</v>
      </c>
      <c r="Q3027" s="4" t="str">
        <f>IFERROR(__xludf.DUMMYFUNCTION("""COMPUTED_VALUE"""),"N/A (Not found)")</f>
        <v>N/A (Not found)</v>
      </c>
      <c r="R3027" s="33">
        <f>IFERROR(__xludf.DUMMYFUNCTION("""COMPUTED_VALUE"""),1.0)</f>
        <v>1</v>
      </c>
      <c r="S3027" s="4" t="str">
        <f>IFERROR(__xludf.DUMMYFUNCTION("""COMPUTED_VALUE"""),"N/A (Not found)")</f>
        <v>N/A (Not found)</v>
      </c>
      <c r="T3027" s="33">
        <f>IFERROR(__xludf.DUMMYFUNCTION("""COMPUTED_VALUE"""),1.0)</f>
        <v>1</v>
      </c>
      <c r="U3027" s="4" t="str">
        <f>IFERROR(__xludf.DUMMYFUNCTION("""COMPUTED_VALUE"""),"N/A (Not found)")</f>
        <v>N/A (Not found)</v>
      </c>
      <c r="V3027" s="33">
        <f>IFERROR(__xludf.DUMMYFUNCTION("""COMPUTED_VALUE"""),1.0)</f>
        <v>1</v>
      </c>
      <c r="W3027" s="4" t="str">
        <f>IFERROR(__xludf.DUMMYFUNCTION("""COMPUTED_VALUE"""),"N/A (Not found)")</f>
        <v>N/A (Not found)</v>
      </c>
      <c r="X3027" s="33">
        <f>IFERROR(__xludf.DUMMYFUNCTION("""COMPUTED_VALUE"""),1.0)</f>
        <v>1</v>
      </c>
    </row>
    <row r="3028">
      <c r="K3028" s="4" t="str">
        <f>IFERROR(__xludf.DUMMYFUNCTION("""COMPUTED_VALUE"""),"PIZZA DO CHEF")</f>
        <v>PIZZA DO CHEF</v>
      </c>
      <c r="L3028" s="32">
        <f>IFERROR(__xludf.DUMMYFUNCTION("""COMPUTED_VALUE"""),3.0)</f>
        <v>3</v>
      </c>
      <c r="M3028" s="4" t="str">
        <f>IFERROR(__xludf.DUMMYFUNCTION("""COMPUTED_VALUE"""),"Saipos Serviços De Software")</f>
        <v>Saipos Serviços De Software</v>
      </c>
      <c r="N3028" s="33">
        <f>IFERROR(__xludf.DUMMYFUNCTION("""COMPUTED_VALUE"""),0.6666666666666666)</f>
        <v>0.6666666667</v>
      </c>
      <c r="O3028" s="4" t="str">
        <f>IFERROR(__xludf.DUMMYFUNCTION("""COMPUTED_VALUE"""),"null")</f>
        <v>null</v>
      </c>
      <c r="P3028" s="33">
        <f>IFERROR(__xludf.DUMMYFUNCTION("""COMPUTED_VALUE"""),0.6666666666666666)</f>
        <v>0.6666666667</v>
      </c>
      <c r="Q3028" s="4" t="str">
        <f>IFERROR(__xludf.DUMMYFUNCTION("""COMPUTED_VALUE"""),"null")</f>
        <v>null</v>
      </c>
      <c r="R3028" s="33">
        <f>IFERROR(__xludf.DUMMYFUNCTION("""COMPUTED_VALUE"""),0.6666666666666666)</f>
        <v>0.6666666667</v>
      </c>
      <c r="S3028" s="4" t="str">
        <f>IFERROR(__xludf.DUMMYFUNCTION("""COMPUTED_VALUE"""),"Saipos Serviços De Software")</f>
        <v>Saipos Serviços De Software</v>
      </c>
      <c r="T3028" s="33">
        <f>IFERROR(__xludf.DUMMYFUNCTION("""COMPUTED_VALUE"""),0.3333333333333333)</f>
        <v>0.3333333333</v>
      </c>
      <c r="U3028" s="4" t="str">
        <f>IFERROR(__xludf.DUMMYFUNCTION("""COMPUTED_VALUE"""),"Saipos Serviços De Software")</f>
        <v>Saipos Serviços De Software</v>
      </c>
      <c r="V3028" s="33">
        <f>IFERROR(__xludf.DUMMYFUNCTION("""COMPUTED_VALUE"""),0.3333333333333333)</f>
        <v>0.3333333333</v>
      </c>
      <c r="W3028" s="4" t="str">
        <f>IFERROR(__xludf.DUMMYFUNCTION("""COMPUTED_VALUE"""),"Saipos Serviços De Software")</f>
        <v>Saipos Serviços De Software</v>
      </c>
      <c r="X3028" s="33">
        <f>IFERROR(__xludf.DUMMYFUNCTION("""COMPUTED_VALUE"""),0.3333333333333333)</f>
        <v>0.3333333333</v>
      </c>
    </row>
    <row r="3029">
      <c r="K3029" s="4" t="str">
        <f>IFERROR(__xludf.DUMMYFUNCTION("""COMPUTED_VALUE"""),"DISK PIZZA")</f>
        <v>DISK PIZZA</v>
      </c>
      <c r="L3029" s="32">
        <f>IFERROR(__xludf.DUMMYFUNCTION("""COMPUTED_VALUE"""),3.0)</f>
        <v>3</v>
      </c>
      <c r="M3029" s="4" t="str">
        <f>IFERROR(__xludf.DUMMYFUNCTION("""COMPUTED_VALUE"""),"Instadelivery")</f>
        <v>Instadelivery</v>
      </c>
      <c r="N3029" s="33">
        <f>IFERROR(__xludf.DUMMYFUNCTION("""COMPUTED_VALUE"""),0.6666666666666666)</f>
        <v>0.6666666667</v>
      </c>
      <c r="O3029" s="4" t="str">
        <f>IFERROR(__xludf.DUMMYFUNCTION("""COMPUTED_VALUE"""),"Instadelivery")</f>
        <v>Instadelivery</v>
      </c>
      <c r="P3029" s="33">
        <f>IFERROR(__xludf.DUMMYFUNCTION("""COMPUTED_VALUE"""),0.6666666666666666)</f>
        <v>0.6666666667</v>
      </c>
      <c r="Q3029" s="4" t="str">
        <f>IFERROR(__xludf.DUMMYFUNCTION("""COMPUTED_VALUE"""),"Instadelivery")</f>
        <v>Instadelivery</v>
      </c>
      <c r="R3029" s="33">
        <f>IFERROR(__xludf.DUMMYFUNCTION("""COMPUTED_VALUE"""),0.6666666666666666)</f>
        <v>0.6666666667</v>
      </c>
      <c r="S3029" s="4" t="str">
        <f>IFERROR(__xludf.DUMMYFUNCTION("""COMPUTED_VALUE"""),"Instadelivery")</f>
        <v>Instadelivery</v>
      </c>
      <c r="T3029" s="33">
        <f>IFERROR(__xludf.DUMMYFUNCTION("""COMPUTED_VALUE"""),0.6666666666666666)</f>
        <v>0.6666666667</v>
      </c>
      <c r="U3029" s="4" t="str">
        <f>IFERROR(__xludf.DUMMYFUNCTION("""COMPUTED_VALUE"""),"Instadelivery")</f>
        <v>Instadelivery</v>
      </c>
      <c r="V3029" s="33">
        <f>IFERROR(__xludf.DUMMYFUNCTION("""COMPUTED_VALUE"""),0.6666666666666666)</f>
        <v>0.6666666667</v>
      </c>
      <c r="W3029" s="4" t="str">
        <f>IFERROR(__xludf.DUMMYFUNCTION("""COMPUTED_VALUE"""),"Instadelivery")</f>
        <v>Instadelivery</v>
      </c>
      <c r="X3029" s="33">
        <f>IFERROR(__xludf.DUMMYFUNCTION("""COMPUTED_VALUE"""),0.6666666666666666)</f>
        <v>0.6666666667</v>
      </c>
    </row>
    <row r="3030">
      <c r="K3030" s="4" t="str">
        <f>IFERROR(__xludf.DUMMYFUNCTION("""COMPUTED_VALUE"""),"DROGARIA MAIS OFERTA")</f>
        <v>DROGARIA MAIS OFERTA</v>
      </c>
      <c r="L3030" s="32">
        <f>IFERROR(__xludf.DUMMYFUNCTION("""COMPUTED_VALUE"""),3.0)</f>
        <v>3</v>
      </c>
      <c r="M3030" s="4" t="str">
        <f>IFERROR(__xludf.DUMMYFUNCTION("""COMPUTED_VALUE"""),"N/A (Not found)")</f>
        <v>N/A (Not found)</v>
      </c>
      <c r="N3030" s="33">
        <f>IFERROR(__xludf.DUMMYFUNCTION("""COMPUTED_VALUE"""),1.0)</f>
        <v>1</v>
      </c>
      <c r="O3030" s="4" t="str">
        <f>IFERROR(__xludf.DUMMYFUNCTION("""COMPUTED_VALUE"""),"N/A (Not found)")</f>
        <v>N/A (Not found)</v>
      </c>
      <c r="P3030" s="33">
        <f>IFERROR(__xludf.DUMMYFUNCTION("""COMPUTED_VALUE"""),1.0)</f>
        <v>1</v>
      </c>
      <c r="Q3030" s="4" t="str">
        <f>IFERROR(__xludf.DUMMYFUNCTION("""COMPUTED_VALUE"""),"N/A (Not found)")</f>
        <v>N/A (Not found)</v>
      </c>
      <c r="R3030" s="33">
        <f>IFERROR(__xludf.DUMMYFUNCTION("""COMPUTED_VALUE"""),1.0)</f>
        <v>1</v>
      </c>
      <c r="S3030" s="4" t="str">
        <f>IFERROR(__xludf.DUMMYFUNCTION("""COMPUTED_VALUE"""),"N/A (Not found)")</f>
        <v>N/A (Not found)</v>
      </c>
      <c r="T3030" s="33">
        <f>IFERROR(__xludf.DUMMYFUNCTION("""COMPUTED_VALUE"""),1.0)</f>
        <v>1</v>
      </c>
      <c r="U3030" s="4" t="str">
        <f>IFERROR(__xludf.DUMMYFUNCTION("""COMPUTED_VALUE"""),"N/A (Not found)")</f>
        <v>N/A (Not found)</v>
      </c>
      <c r="V3030" s="33">
        <f>IFERROR(__xludf.DUMMYFUNCTION("""COMPUTED_VALUE"""),1.0)</f>
        <v>1</v>
      </c>
      <c r="W3030" s="4" t="str">
        <f>IFERROR(__xludf.DUMMYFUNCTION("""COMPUTED_VALUE"""),"N/A (Not found)")</f>
        <v>N/A (Not found)</v>
      </c>
      <c r="X3030" s="33">
        <f>IFERROR(__xludf.DUMMYFUNCTION("""COMPUTED_VALUE"""),1.0)</f>
        <v>1</v>
      </c>
    </row>
    <row r="3031">
      <c r="K3031" s="4" t="str">
        <f>IFERROR(__xludf.DUMMYFUNCTION("""COMPUTED_VALUE"""),"MASTER ACAI")</f>
        <v>MASTER ACAI</v>
      </c>
      <c r="L3031" s="32">
        <f>IFERROR(__xludf.DUMMYFUNCTION("""COMPUTED_VALUE"""),3.0)</f>
        <v>3</v>
      </c>
      <c r="M3031" s="4" t="str">
        <f>IFERROR(__xludf.DUMMYFUNCTION("""COMPUTED_VALUE"""),"Anota Ai Solucoes Digitais S/a")</f>
        <v>Anota Ai Solucoes Digitais S/a</v>
      </c>
      <c r="N3031" s="33">
        <f>IFERROR(__xludf.DUMMYFUNCTION("""COMPUTED_VALUE"""),0.3333333333333333)</f>
        <v>0.3333333333</v>
      </c>
      <c r="O3031" s="4" t="str">
        <f>IFERROR(__xludf.DUMMYFUNCTION("""COMPUTED_VALUE"""),"Anota Ai Solucoes Digitais S/a")</f>
        <v>Anota Ai Solucoes Digitais S/a</v>
      </c>
      <c r="P3031" s="33">
        <f>IFERROR(__xludf.DUMMYFUNCTION("""COMPUTED_VALUE"""),0.3333333333333333)</f>
        <v>0.3333333333</v>
      </c>
      <c r="Q3031" s="4" t="str">
        <f>IFERROR(__xludf.DUMMYFUNCTION("""COMPUTED_VALUE"""),"Anota Ai Solucoes Digitais S/a")</f>
        <v>Anota Ai Solucoes Digitais S/a</v>
      </c>
      <c r="R3031" s="33">
        <f>IFERROR(__xludf.DUMMYFUNCTION("""COMPUTED_VALUE"""),0.3333333333333333)</f>
        <v>0.3333333333</v>
      </c>
      <c r="S3031" s="4" t="str">
        <f>IFERROR(__xludf.DUMMYFUNCTION("""COMPUTED_VALUE"""),"Anota Ai Solucoes Digitais S/a")</f>
        <v>Anota Ai Solucoes Digitais S/a</v>
      </c>
      <c r="T3031" s="33">
        <f>IFERROR(__xludf.DUMMYFUNCTION("""COMPUTED_VALUE"""),0.3333333333333333)</f>
        <v>0.3333333333</v>
      </c>
      <c r="U3031" s="4" t="str">
        <f>IFERROR(__xludf.DUMMYFUNCTION("""COMPUTED_VALUE"""),"Anota Ai Solucoes Digitais S/a")</f>
        <v>Anota Ai Solucoes Digitais S/a</v>
      </c>
      <c r="V3031" s="33">
        <f>IFERROR(__xludf.DUMMYFUNCTION("""COMPUTED_VALUE"""),0.3333333333333333)</f>
        <v>0.3333333333</v>
      </c>
      <c r="W3031" s="4" t="str">
        <f>IFERROR(__xludf.DUMMYFUNCTION("""COMPUTED_VALUE"""),"null")</f>
        <v>null</v>
      </c>
      <c r="X3031" s="33">
        <f>IFERROR(__xludf.DUMMYFUNCTION("""COMPUTED_VALUE"""),0.3333333333333333)</f>
        <v>0.3333333333</v>
      </c>
    </row>
    <row r="3032">
      <c r="K3032" s="4" t="str">
        <f>IFERROR(__xludf.DUMMYFUNCTION("""COMPUTED_VALUE"""),"MINEIRO LANCHES")</f>
        <v>MINEIRO LANCHES</v>
      </c>
      <c r="L3032" s="32">
        <f>IFERROR(__xludf.DUMMYFUNCTION("""COMPUTED_VALUE"""),3.0)</f>
        <v>3</v>
      </c>
      <c r="M3032" s="4" t="str">
        <f>IFERROR(__xludf.DUMMYFUNCTION("""COMPUTED_VALUE"""),"Yooga")</f>
        <v>Yooga</v>
      </c>
      <c r="N3032" s="33">
        <f>IFERROR(__xludf.DUMMYFUNCTION("""COMPUTED_VALUE"""),0.3333333333333333)</f>
        <v>0.3333333333</v>
      </c>
      <c r="O3032" s="4" t="str">
        <f>IFERROR(__xludf.DUMMYFUNCTION("""COMPUTED_VALUE"""),"Yooga")</f>
        <v>Yooga</v>
      </c>
      <c r="P3032" s="33">
        <f>IFERROR(__xludf.DUMMYFUNCTION("""COMPUTED_VALUE"""),0.3333333333333333)</f>
        <v>0.3333333333</v>
      </c>
      <c r="Q3032" s="4" t="str">
        <f>IFERROR(__xludf.DUMMYFUNCTION("""COMPUTED_VALUE"""),"Yooga")</f>
        <v>Yooga</v>
      </c>
      <c r="R3032" s="33">
        <f>IFERROR(__xludf.DUMMYFUNCTION("""COMPUTED_VALUE"""),0.3333333333333333)</f>
        <v>0.3333333333</v>
      </c>
      <c r="S3032" s="4" t="str">
        <f>IFERROR(__xludf.DUMMYFUNCTION("""COMPUTED_VALUE"""),"Yooga")</f>
        <v>Yooga</v>
      </c>
      <c r="T3032" s="33">
        <f>IFERROR(__xludf.DUMMYFUNCTION("""COMPUTED_VALUE"""),0.3333333333333333)</f>
        <v>0.3333333333</v>
      </c>
      <c r="U3032" s="4" t="str">
        <f>IFERROR(__xludf.DUMMYFUNCTION("""COMPUTED_VALUE"""),"Yooga")</f>
        <v>Yooga</v>
      </c>
      <c r="V3032" s="33">
        <f>IFERROR(__xludf.DUMMYFUNCTION("""COMPUTED_VALUE"""),0.3333333333333333)</f>
        <v>0.3333333333</v>
      </c>
      <c r="W3032" s="4" t="str">
        <f>IFERROR(__xludf.DUMMYFUNCTION("""COMPUTED_VALUE"""),"Yooga")</f>
        <v>Yooga</v>
      </c>
      <c r="X3032" s="33">
        <f>IFERROR(__xludf.DUMMYFUNCTION("""COMPUTED_VALUE"""),0.3333333333333333)</f>
        <v>0.3333333333</v>
      </c>
    </row>
    <row r="3033">
      <c r="K3033" s="4" t="str">
        <f>IFERROR(__xludf.DUMMYFUNCTION("""COMPUTED_VALUE"""),"IBA ACAI")</f>
        <v>IBA ACAI</v>
      </c>
      <c r="L3033" s="32">
        <f>IFERROR(__xludf.DUMMYFUNCTION("""COMPUTED_VALUE"""),3.0)</f>
        <v>3</v>
      </c>
      <c r="M3033" s="4" t="str">
        <f>IFERROR(__xludf.DUMMYFUNCTION("""COMPUTED_VALUE"""),"null")</f>
        <v>null</v>
      </c>
      <c r="N3033" s="33">
        <f>IFERROR(__xludf.DUMMYFUNCTION("""COMPUTED_VALUE"""),1.0)</f>
        <v>1</v>
      </c>
      <c r="O3033" s="4" t="str">
        <f>IFERROR(__xludf.DUMMYFUNCTION("""COMPUTED_VALUE"""),"null")</f>
        <v>null</v>
      </c>
      <c r="P3033" s="33">
        <f>IFERROR(__xludf.DUMMYFUNCTION("""COMPUTED_VALUE"""),1.0)</f>
        <v>1</v>
      </c>
      <c r="Q3033" s="4" t="str">
        <f>IFERROR(__xludf.DUMMYFUNCTION("""COMPUTED_VALUE"""),"null")</f>
        <v>null</v>
      </c>
      <c r="R3033" s="33">
        <f>IFERROR(__xludf.DUMMYFUNCTION("""COMPUTED_VALUE"""),1.0)</f>
        <v>1</v>
      </c>
      <c r="S3033" s="4" t="str">
        <f>IFERROR(__xludf.DUMMYFUNCTION("""COMPUTED_VALUE"""),"null")</f>
        <v>null</v>
      </c>
      <c r="T3033" s="33">
        <f>IFERROR(__xludf.DUMMYFUNCTION("""COMPUTED_VALUE"""),1.0)</f>
        <v>1</v>
      </c>
      <c r="U3033" s="4" t="str">
        <f>IFERROR(__xludf.DUMMYFUNCTION("""COMPUTED_VALUE"""),"null")</f>
        <v>null</v>
      </c>
      <c r="V3033" s="33">
        <f>IFERROR(__xludf.DUMMYFUNCTION("""COMPUTED_VALUE"""),1.0)</f>
        <v>1</v>
      </c>
      <c r="W3033" s="4" t="str">
        <f>IFERROR(__xludf.DUMMYFUNCTION("""COMPUTED_VALUE"""),"Saipos Serviços De Software")</f>
        <v>Saipos Serviços De Software</v>
      </c>
      <c r="X3033" s="33">
        <f>IFERROR(__xludf.DUMMYFUNCTION("""COMPUTED_VALUE"""),1.0)</f>
        <v>1</v>
      </c>
    </row>
    <row r="3034">
      <c r="K3034" s="4" t="str">
        <f>IFERROR(__xludf.DUMMYFUNCTION("""COMPUTED_VALUE"""),"ACAI DELIVERY")</f>
        <v>ACAI DELIVERY</v>
      </c>
      <c r="L3034" s="32">
        <f>IFERROR(__xludf.DUMMYFUNCTION("""COMPUTED_VALUE"""),3.0)</f>
        <v>3</v>
      </c>
      <c r="M3034" s="4" t="str">
        <f>IFERROR(__xludf.DUMMYFUNCTION("""COMPUTED_VALUE"""),"null")</f>
        <v>null</v>
      </c>
      <c r="N3034" s="33">
        <f>IFERROR(__xludf.DUMMYFUNCTION("""COMPUTED_VALUE"""),0.3333333333333333)</f>
        <v>0.3333333333</v>
      </c>
      <c r="O3034" s="4" t="str">
        <f>IFERROR(__xludf.DUMMYFUNCTION("""COMPUTED_VALUE"""),"Anota Ai Solucoes Digitais S/a")</f>
        <v>Anota Ai Solucoes Digitais S/a</v>
      </c>
      <c r="P3034" s="33">
        <f>IFERROR(__xludf.DUMMYFUNCTION("""COMPUTED_VALUE"""),0.3333333333333333)</f>
        <v>0.3333333333</v>
      </c>
      <c r="Q3034" s="4" t="str">
        <f>IFERROR(__xludf.DUMMYFUNCTION("""COMPUTED_VALUE"""),"null")</f>
        <v>null</v>
      </c>
      <c r="R3034" s="33">
        <f>IFERROR(__xludf.DUMMYFUNCTION("""COMPUTED_VALUE"""),0.3333333333333333)</f>
        <v>0.3333333333</v>
      </c>
      <c r="S3034" s="4" t="str">
        <f>IFERROR(__xludf.DUMMYFUNCTION("""COMPUTED_VALUE"""),"null")</f>
        <v>null</v>
      </c>
      <c r="T3034" s="33">
        <f>IFERROR(__xludf.DUMMYFUNCTION("""COMPUTED_VALUE"""),0.3333333333333333)</f>
        <v>0.3333333333</v>
      </c>
      <c r="U3034" s="4" t="str">
        <f>IFERROR(__xludf.DUMMYFUNCTION("""COMPUTED_VALUE"""),"null")</f>
        <v>null</v>
      </c>
      <c r="V3034" s="33">
        <f>IFERROR(__xludf.DUMMYFUNCTION("""COMPUTED_VALUE"""),0.3333333333333333)</f>
        <v>0.3333333333</v>
      </c>
      <c r="W3034" s="4" t="str">
        <f>IFERROR(__xludf.DUMMYFUNCTION("""COMPUTED_VALUE"""),"null")</f>
        <v>null</v>
      </c>
      <c r="X3034" s="33">
        <f>IFERROR(__xludf.DUMMYFUNCTION("""COMPUTED_VALUE"""),0.3333333333333333)</f>
        <v>0.3333333333</v>
      </c>
    </row>
    <row r="3035">
      <c r="K3035" s="4" t="str">
        <f>IFERROR(__xludf.DUMMYFUNCTION("""COMPUTED_VALUE"""),"ROTA DO ACAI")</f>
        <v>ROTA DO ACAI</v>
      </c>
      <c r="L3035" s="32">
        <f>IFERROR(__xludf.DUMMYFUNCTION("""COMPUTED_VALUE"""),3.0)</f>
        <v>3</v>
      </c>
      <c r="M3035" s="4" t="str">
        <f>IFERROR(__xludf.DUMMYFUNCTION("""COMPUTED_VALUE"""),"null")</f>
        <v>null</v>
      </c>
      <c r="N3035" s="33">
        <f>IFERROR(__xludf.DUMMYFUNCTION("""COMPUTED_VALUE"""),0.6666666666666666)</f>
        <v>0.6666666667</v>
      </c>
      <c r="O3035" s="4" t="str">
        <f>IFERROR(__xludf.DUMMYFUNCTION("""COMPUTED_VALUE"""),"M-du Tecnologia")</f>
        <v>M-du Tecnologia</v>
      </c>
      <c r="P3035" s="33">
        <f>IFERROR(__xludf.DUMMYFUNCTION("""COMPUTED_VALUE"""),0.3333333333333333)</f>
        <v>0.3333333333</v>
      </c>
      <c r="Q3035" s="4" t="str">
        <f>IFERROR(__xludf.DUMMYFUNCTION("""COMPUTED_VALUE"""),"M-du Tecnologia")</f>
        <v>M-du Tecnologia</v>
      </c>
      <c r="R3035" s="33">
        <f>IFERROR(__xludf.DUMMYFUNCTION("""COMPUTED_VALUE"""),0.3333333333333333)</f>
        <v>0.3333333333</v>
      </c>
      <c r="S3035" s="4" t="str">
        <f>IFERROR(__xludf.DUMMYFUNCTION("""COMPUTED_VALUE"""),"M-du Tecnologia")</f>
        <v>M-du Tecnologia</v>
      </c>
      <c r="T3035" s="33">
        <f>IFERROR(__xludf.DUMMYFUNCTION("""COMPUTED_VALUE"""),0.3333333333333333)</f>
        <v>0.3333333333</v>
      </c>
      <c r="U3035" s="4" t="str">
        <f>IFERROR(__xludf.DUMMYFUNCTION("""COMPUTED_VALUE"""),"M-du Tecnologia")</f>
        <v>M-du Tecnologia</v>
      </c>
      <c r="V3035" s="33">
        <f>IFERROR(__xludf.DUMMYFUNCTION("""COMPUTED_VALUE"""),0.3333333333333333)</f>
        <v>0.3333333333</v>
      </c>
      <c r="W3035" s="4" t="str">
        <f>IFERROR(__xludf.DUMMYFUNCTION("""COMPUTED_VALUE"""),"M-du Tecnologia")</f>
        <v>M-du Tecnologia</v>
      </c>
      <c r="X3035" s="33">
        <f>IFERROR(__xludf.DUMMYFUNCTION("""COMPUTED_VALUE"""),0.3333333333333333)</f>
        <v>0.3333333333</v>
      </c>
    </row>
    <row r="3036">
      <c r="K3036" s="4" t="str">
        <f>IFERROR(__xludf.DUMMYFUNCTION("""COMPUTED_VALUE"""),"DONATELLOS PIZZA")</f>
        <v>DONATELLOS PIZZA</v>
      </c>
      <c r="L3036" s="32">
        <f>IFERROR(__xludf.DUMMYFUNCTION("""COMPUTED_VALUE"""),3.0)</f>
        <v>3</v>
      </c>
      <c r="M3036" s="4" t="str">
        <f>IFERROR(__xludf.DUMMYFUNCTION("""COMPUTED_VALUE"""),"Saipos Serviços De Software")</f>
        <v>Saipos Serviços De Software</v>
      </c>
      <c r="N3036" s="33">
        <f>IFERROR(__xludf.DUMMYFUNCTION("""COMPUTED_VALUE"""),1.0)</f>
        <v>1</v>
      </c>
      <c r="O3036" s="4" t="str">
        <f>IFERROR(__xludf.DUMMYFUNCTION("""COMPUTED_VALUE"""),"Saipos Serviços De Software")</f>
        <v>Saipos Serviços De Software</v>
      </c>
      <c r="P3036" s="33">
        <f>IFERROR(__xludf.DUMMYFUNCTION("""COMPUTED_VALUE"""),1.0)</f>
        <v>1</v>
      </c>
      <c r="Q3036" s="4" t="str">
        <f>IFERROR(__xludf.DUMMYFUNCTION("""COMPUTED_VALUE"""),"Saipos Serviços De Software")</f>
        <v>Saipos Serviços De Software</v>
      </c>
      <c r="R3036" s="33">
        <f>IFERROR(__xludf.DUMMYFUNCTION("""COMPUTED_VALUE"""),1.0)</f>
        <v>1</v>
      </c>
      <c r="S3036" s="4" t="str">
        <f>IFERROR(__xludf.DUMMYFUNCTION("""COMPUTED_VALUE"""),"Saipos Serviços De Software")</f>
        <v>Saipos Serviços De Software</v>
      </c>
      <c r="T3036" s="33">
        <f>IFERROR(__xludf.DUMMYFUNCTION("""COMPUTED_VALUE"""),1.0)</f>
        <v>1</v>
      </c>
      <c r="U3036" s="4" t="str">
        <f>IFERROR(__xludf.DUMMYFUNCTION("""COMPUTED_VALUE"""),"Saipos Serviços De Software")</f>
        <v>Saipos Serviços De Software</v>
      </c>
      <c r="V3036" s="33">
        <f>IFERROR(__xludf.DUMMYFUNCTION("""COMPUTED_VALUE"""),1.0)</f>
        <v>1</v>
      </c>
      <c r="W3036" s="4" t="str">
        <f>IFERROR(__xludf.DUMMYFUNCTION("""COMPUTED_VALUE"""),"Saipos Serviços De Software")</f>
        <v>Saipos Serviços De Software</v>
      </c>
      <c r="X3036" s="33">
        <f>IFERROR(__xludf.DUMMYFUNCTION("""COMPUTED_VALUE"""),1.0)</f>
        <v>1</v>
      </c>
    </row>
    <row r="3037">
      <c r="K3037" s="4" t="str">
        <f>IFERROR(__xludf.DUMMYFUNCTION("""COMPUTED_VALUE"""),"O PASTEL")</f>
        <v>O PASTEL</v>
      </c>
      <c r="L3037" s="32">
        <f>IFERROR(__xludf.DUMMYFUNCTION("""COMPUTED_VALUE"""),3.0)</f>
        <v>3</v>
      </c>
      <c r="M3037" s="4" t="str">
        <f>IFERROR(__xludf.DUMMYFUNCTION("""COMPUTED_VALUE"""),"Anota Ai Solucoes Digitais S/a")</f>
        <v>Anota Ai Solucoes Digitais S/a</v>
      </c>
      <c r="N3037" s="33">
        <f>IFERROR(__xludf.DUMMYFUNCTION("""COMPUTED_VALUE"""),0.3333333333333333)</f>
        <v>0.3333333333</v>
      </c>
      <c r="O3037" s="4" t="str">
        <f>IFERROR(__xludf.DUMMYFUNCTION("""COMPUTED_VALUE"""),"Anota Ai Solucoes Digitais S/a")</f>
        <v>Anota Ai Solucoes Digitais S/a</v>
      </c>
      <c r="P3037" s="33">
        <f>IFERROR(__xludf.DUMMYFUNCTION("""COMPUTED_VALUE"""),0.3333333333333333)</f>
        <v>0.3333333333</v>
      </c>
      <c r="Q3037" s="4" t="str">
        <f>IFERROR(__xludf.DUMMYFUNCTION("""COMPUTED_VALUE"""),"Anota Ai Solucoes Digitais S/a")</f>
        <v>Anota Ai Solucoes Digitais S/a</v>
      </c>
      <c r="R3037" s="33">
        <f>IFERROR(__xludf.DUMMYFUNCTION("""COMPUTED_VALUE"""),0.3333333333333333)</f>
        <v>0.3333333333</v>
      </c>
      <c r="S3037" s="4" t="str">
        <f>IFERROR(__xludf.DUMMYFUNCTION("""COMPUTED_VALUE"""),"Anota Ai Solucoes Digitais S/a")</f>
        <v>Anota Ai Solucoes Digitais S/a</v>
      </c>
      <c r="T3037" s="33">
        <f>IFERROR(__xludf.DUMMYFUNCTION("""COMPUTED_VALUE"""),0.3333333333333333)</f>
        <v>0.3333333333</v>
      </c>
      <c r="U3037" s="4" t="str">
        <f>IFERROR(__xludf.DUMMYFUNCTION("""COMPUTED_VALUE"""),"Anota Ai Solucoes Digitais S/a")</f>
        <v>Anota Ai Solucoes Digitais S/a</v>
      </c>
      <c r="V3037" s="33">
        <f>IFERROR(__xludf.DUMMYFUNCTION("""COMPUTED_VALUE"""),0.3333333333333333)</f>
        <v>0.3333333333</v>
      </c>
      <c r="W3037" s="4" t="str">
        <f>IFERROR(__xludf.DUMMYFUNCTION("""COMPUTED_VALUE"""),"Anota Ai Solucoes Digitais S/a")</f>
        <v>Anota Ai Solucoes Digitais S/a</v>
      </c>
      <c r="X3037" s="33">
        <f>IFERROR(__xludf.DUMMYFUNCTION("""COMPUTED_VALUE"""),0.3333333333333333)</f>
        <v>0.3333333333</v>
      </c>
    </row>
    <row r="3038">
      <c r="K3038" s="4" t="str">
        <f>IFERROR(__xludf.DUMMYFUNCTION("""COMPUTED_VALUE"""),"GARAGE BURGER")</f>
        <v>GARAGE BURGER</v>
      </c>
      <c r="L3038" s="32">
        <f>IFERROR(__xludf.DUMMYFUNCTION("""COMPUTED_VALUE"""),3.0)</f>
        <v>3</v>
      </c>
      <c r="M3038" s="4" t="str">
        <f>IFERROR(__xludf.DUMMYFUNCTION("""COMPUTED_VALUE"""),"Anota Ai Solucoes Digitais S/a")</f>
        <v>Anota Ai Solucoes Digitais S/a</v>
      </c>
      <c r="N3038" s="33">
        <f>IFERROR(__xludf.DUMMYFUNCTION("""COMPUTED_VALUE"""),0.3333333333333333)</f>
        <v>0.3333333333</v>
      </c>
      <c r="O3038" s="4" t="str">
        <f>IFERROR(__xludf.DUMMYFUNCTION("""COMPUTED_VALUE"""),"Anota Ai Solucoes Digitais S/a")</f>
        <v>Anota Ai Solucoes Digitais S/a</v>
      </c>
      <c r="P3038" s="33">
        <f>IFERROR(__xludf.DUMMYFUNCTION("""COMPUTED_VALUE"""),0.6666666666666666)</f>
        <v>0.6666666667</v>
      </c>
      <c r="Q3038" s="4" t="str">
        <f>IFERROR(__xludf.DUMMYFUNCTION("""COMPUTED_VALUE"""),"null")</f>
        <v>null</v>
      </c>
      <c r="R3038" s="33">
        <f>IFERROR(__xludf.DUMMYFUNCTION("""COMPUTED_VALUE"""),0.6666666666666666)</f>
        <v>0.6666666667</v>
      </c>
      <c r="S3038" s="4" t="str">
        <f>IFERROR(__xludf.DUMMYFUNCTION("""COMPUTED_VALUE"""),"Anota Ai Solucoes Digitais S/a")</f>
        <v>Anota Ai Solucoes Digitais S/a</v>
      </c>
      <c r="T3038" s="33">
        <f>IFERROR(__xludf.DUMMYFUNCTION("""COMPUTED_VALUE"""),0.3333333333333333)</f>
        <v>0.3333333333</v>
      </c>
      <c r="U3038" s="4" t="str">
        <f>IFERROR(__xludf.DUMMYFUNCTION("""COMPUTED_VALUE"""),"null")</f>
        <v>null</v>
      </c>
      <c r="V3038" s="33">
        <f>IFERROR(__xludf.DUMMYFUNCTION("""COMPUTED_VALUE"""),0.6666666666666666)</f>
        <v>0.6666666667</v>
      </c>
      <c r="W3038" s="4" t="str">
        <f>IFERROR(__xludf.DUMMYFUNCTION("""COMPUTED_VALUE"""),"Anota Ai Solucoes Digitais S/a")</f>
        <v>Anota Ai Solucoes Digitais S/a</v>
      </c>
      <c r="X3038" s="33">
        <f>IFERROR(__xludf.DUMMYFUNCTION("""COMPUTED_VALUE"""),0.3333333333333333)</f>
        <v>0.3333333333</v>
      </c>
    </row>
    <row r="3039">
      <c r="K3039" s="4" t="str">
        <f>IFERROR(__xludf.DUMMYFUNCTION("""COMPUTED_VALUE"""),"FLASH BURGUER")</f>
        <v>FLASH BURGUER</v>
      </c>
      <c r="L3039" s="32">
        <f>IFERROR(__xludf.DUMMYFUNCTION("""COMPUTED_VALUE"""),3.0)</f>
        <v>3</v>
      </c>
      <c r="M3039" s="4" t="str">
        <f>IFERROR(__xludf.DUMMYFUNCTION("""COMPUTED_VALUE"""),"Saipos Serviços De Software")</f>
        <v>Saipos Serviços De Software</v>
      </c>
      <c r="N3039" s="33">
        <f>IFERROR(__xludf.DUMMYFUNCTION("""COMPUTED_VALUE"""),0.6666666666666666)</f>
        <v>0.6666666667</v>
      </c>
      <c r="O3039" s="4" t="str">
        <f>IFERROR(__xludf.DUMMYFUNCTION("""COMPUTED_VALUE"""),"Saipos Serviços De Software")</f>
        <v>Saipos Serviços De Software</v>
      </c>
      <c r="P3039" s="33">
        <f>IFERROR(__xludf.DUMMYFUNCTION("""COMPUTED_VALUE"""),0.6666666666666666)</f>
        <v>0.6666666667</v>
      </c>
      <c r="Q3039" s="4" t="str">
        <f>IFERROR(__xludf.DUMMYFUNCTION("""COMPUTED_VALUE"""),"Saipos Serviços De Software")</f>
        <v>Saipos Serviços De Software</v>
      </c>
      <c r="R3039" s="33">
        <f>IFERROR(__xludf.DUMMYFUNCTION("""COMPUTED_VALUE"""),0.6666666666666666)</f>
        <v>0.6666666667</v>
      </c>
      <c r="S3039" s="4" t="str">
        <f>IFERROR(__xludf.DUMMYFUNCTION("""COMPUTED_VALUE"""),"Saipos Serviços De Software")</f>
        <v>Saipos Serviços De Software</v>
      </c>
      <c r="T3039" s="33">
        <f>IFERROR(__xludf.DUMMYFUNCTION("""COMPUTED_VALUE"""),0.6666666666666666)</f>
        <v>0.6666666667</v>
      </c>
      <c r="U3039" s="4" t="str">
        <f>IFERROR(__xludf.DUMMYFUNCTION("""COMPUTED_VALUE"""),"Saipos Serviços De Software")</f>
        <v>Saipos Serviços De Software</v>
      </c>
      <c r="V3039" s="33">
        <f>IFERROR(__xludf.DUMMYFUNCTION("""COMPUTED_VALUE"""),0.6666666666666666)</f>
        <v>0.6666666667</v>
      </c>
      <c r="W3039" s="4" t="str">
        <f>IFERROR(__xludf.DUMMYFUNCTION("""COMPUTED_VALUE"""),"Saipos Serviços De Software")</f>
        <v>Saipos Serviços De Software</v>
      </c>
      <c r="X3039" s="33">
        <f>IFERROR(__xludf.DUMMYFUNCTION("""COMPUTED_VALUE"""),0.6666666666666666)</f>
        <v>0.6666666667</v>
      </c>
    </row>
    <row r="3040">
      <c r="K3040" s="4" t="str">
        <f>IFERROR(__xludf.DUMMYFUNCTION("""COMPUTED_VALUE"""),"PIZZARIA LA FAMILIA")</f>
        <v>PIZZARIA LA FAMILIA</v>
      </c>
      <c r="L3040" s="32">
        <f>IFERROR(__xludf.DUMMYFUNCTION("""COMPUTED_VALUE"""),3.0)</f>
        <v>3</v>
      </c>
      <c r="M3040" s="4" t="str">
        <f>IFERROR(__xludf.DUMMYFUNCTION("""COMPUTED_VALUE"""),"null")</f>
        <v>null</v>
      </c>
      <c r="N3040" s="33">
        <f>IFERROR(__xludf.DUMMYFUNCTION("""COMPUTED_VALUE"""),0.6666666666666666)</f>
        <v>0.6666666667</v>
      </c>
      <c r="O3040" s="4" t="str">
        <f>IFERROR(__xludf.DUMMYFUNCTION("""COMPUTED_VALUE"""),"Brendi")</f>
        <v>Brendi</v>
      </c>
      <c r="P3040" s="33">
        <f>IFERROR(__xludf.DUMMYFUNCTION("""COMPUTED_VALUE"""),0.3333333333333333)</f>
        <v>0.3333333333</v>
      </c>
      <c r="Q3040" s="4" t="str">
        <f>IFERROR(__xludf.DUMMYFUNCTION("""COMPUTED_VALUE"""),"null")</f>
        <v>null</v>
      </c>
      <c r="R3040" s="33">
        <f>IFERROR(__xludf.DUMMYFUNCTION("""COMPUTED_VALUE"""),0.6666666666666666)</f>
        <v>0.6666666667</v>
      </c>
      <c r="S3040" s="4" t="str">
        <f>IFERROR(__xludf.DUMMYFUNCTION("""COMPUTED_VALUE"""),"null")</f>
        <v>null</v>
      </c>
      <c r="T3040" s="33">
        <f>IFERROR(__xludf.DUMMYFUNCTION("""COMPUTED_VALUE"""),0.3333333333333333)</f>
        <v>0.3333333333</v>
      </c>
      <c r="U3040" s="4" t="str">
        <f>IFERROR(__xludf.DUMMYFUNCTION("""COMPUTED_VALUE"""),"null")</f>
        <v>null</v>
      </c>
      <c r="V3040" s="33">
        <f>IFERROR(__xludf.DUMMYFUNCTION("""COMPUTED_VALUE"""),0.6666666666666666)</f>
        <v>0.6666666667</v>
      </c>
      <c r="W3040" s="4" t="str">
        <f>IFERROR(__xludf.DUMMYFUNCTION("""COMPUTED_VALUE"""),"null")</f>
        <v>null</v>
      </c>
      <c r="X3040" s="33">
        <f>IFERROR(__xludf.DUMMYFUNCTION("""COMPUTED_VALUE"""),0.3333333333333333)</f>
        <v>0.3333333333</v>
      </c>
    </row>
    <row r="3041">
      <c r="K3041" s="4" t="str">
        <f>IFERROR(__xludf.DUMMYFUNCTION("""COMPUTED_VALUE"""),"PALAZZO PIZZARIA")</f>
        <v>PALAZZO PIZZARIA</v>
      </c>
      <c r="L3041" s="32">
        <f>IFERROR(__xludf.DUMMYFUNCTION("""COMPUTED_VALUE"""),3.0)</f>
        <v>3</v>
      </c>
      <c r="M3041" s="4" t="str">
        <f>IFERROR(__xludf.DUMMYFUNCTION("""COMPUTED_VALUE"""),"null")</f>
        <v>null</v>
      </c>
      <c r="N3041" s="33">
        <f>IFERROR(__xludf.DUMMYFUNCTION("""COMPUTED_VALUE"""),0.3333333333333333)</f>
        <v>0.3333333333</v>
      </c>
      <c r="O3041" s="4" t="str">
        <f>IFERROR(__xludf.DUMMYFUNCTION("""COMPUTED_VALUE"""),"null")</f>
        <v>null</v>
      </c>
      <c r="P3041" s="33">
        <f>IFERROR(__xludf.DUMMYFUNCTION("""COMPUTED_VALUE"""),0.3333333333333333)</f>
        <v>0.3333333333</v>
      </c>
      <c r="Q3041" s="4" t="str">
        <f>IFERROR(__xludf.DUMMYFUNCTION("""COMPUTED_VALUE"""),"null")</f>
        <v>null</v>
      </c>
      <c r="R3041" s="33">
        <f>IFERROR(__xludf.DUMMYFUNCTION("""COMPUTED_VALUE"""),0.3333333333333333)</f>
        <v>0.3333333333</v>
      </c>
      <c r="S3041" s="4" t="str">
        <f>IFERROR(__xludf.DUMMYFUNCTION("""COMPUTED_VALUE"""),"null")</f>
        <v>null</v>
      </c>
      <c r="T3041" s="33">
        <f>IFERROR(__xludf.DUMMYFUNCTION("""COMPUTED_VALUE"""),0.3333333333333333)</f>
        <v>0.3333333333</v>
      </c>
      <c r="U3041" s="4" t="str">
        <f>IFERROR(__xludf.DUMMYFUNCTION("""COMPUTED_VALUE"""),"Consumer Soluções Em Tecnologia Ltda")</f>
        <v>Consumer Soluções Em Tecnologia Ltda</v>
      </c>
      <c r="V3041" s="33">
        <f>IFERROR(__xludf.DUMMYFUNCTION("""COMPUTED_VALUE"""),0.3333333333333333)</f>
        <v>0.3333333333</v>
      </c>
      <c r="W3041" s="4" t="str">
        <f>IFERROR(__xludf.DUMMYFUNCTION("""COMPUTED_VALUE"""),"null")</f>
        <v>null</v>
      </c>
      <c r="X3041" s="33">
        <f>IFERROR(__xludf.DUMMYFUNCTION("""COMPUTED_VALUE"""),0.3333333333333333)</f>
        <v>0.3333333333</v>
      </c>
    </row>
    <row r="3042">
      <c r="K3042" s="4" t="str">
        <f>IFERROR(__xludf.DUMMYFUNCTION("""COMPUTED_VALUE"""),"CENTRAL BEBIDAS")</f>
        <v>CENTRAL BEBIDAS</v>
      </c>
      <c r="L3042" s="32">
        <f>IFERROR(__xludf.DUMMYFUNCTION("""COMPUTED_VALUE"""),3.0)</f>
        <v>3</v>
      </c>
      <c r="M3042" s="4" t="str">
        <f>IFERROR(__xludf.DUMMYFUNCTION("""COMPUTED_VALUE"""),"N/A (Not found)")</f>
        <v>N/A (Not found)</v>
      </c>
      <c r="N3042" s="33">
        <f>IFERROR(__xludf.DUMMYFUNCTION("""COMPUTED_VALUE"""),0.3333333333333333)</f>
        <v>0.3333333333</v>
      </c>
      <c r="O3042" s="4" t="str">
        <f>IFERROR(__xludf.DUMMYFUNCTION("""COMPUTED_VALUE"""),"N/A (Not found)")</f>
        <v>N/A (Not found)</v>
      </c>
      <c r="P3042" s="33">
        <f>IFERROR(__xludf.DUMMYFUNCTION("""COMPUTED_VALUE"""),0.3333333333333333)</f>
        <v>0.3333333333</v>
      </c>
      <c r="Q3042" s="4" t="str">
        <f>IFERROR(__xludf.DUMMYFUNCTION("""COMPUTED_VALUE"""),"N/A (Not found)")</f>
        <v>N/A (Not found)</v>
      </c>
      <c r="R3042" s="33">
        <f>IFERROR(__xludf.DUMMYFUNCTION("""COMPUTED_VALUE"""),0.3333333333333333)</f>
        <v>0.3333333333</v>
      </c>
      <c r="S3042" s="4" t="str">
        <f>IFERROR(__xludf.DUMMYFUNCTION("""COMPUTED_VALUE"""),"N/A (Not found)")</f>
        <v>N/A (Not found)</v>
      </c>
      <c r="T3042" s="33">
        <f>IFERROR(__xludf.DUMMYFUNCTION("""COMPUTED_VALUE"""),0.6666666666666666)</f>
        <v>0.6666666667</v>
      </c>
      <c r="U3042" s="4" t="str">
        <f>IFERROR(__xludf.DUMMYFUNCTION("""COMPUTED_VALUE"""),"N/A (Not found)")</f>
        <v>N/A (Not found)</v>
      </c>
      <c r="V3042" s="33">
        <f>IFERROR(__xludf.DUMMYFUNCTION("""COMPUTED_VALUE"""),0.6666666666666666)</f>
        <v>0.6666666667</v>
      </c>
      <c r="W3042" s="4" t="str">
        <f>IFERROR(__xludf.DUMMYFUNCTION("""COMPUTED_VALUE"""),"null")</f>
        <v>null</v>
      </c>
      <c r="X3042" s="33">
        <f>IFERROR(__xludf.DUMMYFUNCTION("""COMPUTED_VALUE"""),0.6666666666666666)</f>
        <v>0.6666666667</v>
      </c>
    </row>
    <row r="3043">
      <c r="K3043" s="4" t="str">
        <f>IFERROR(__xludf.DUMMYFUNCTION("""COMPUTED_VALUE"""),"DROGARIA ESPERANCA")</f>
        <v>DROGARIA ESPERANCA</v>
      </c>
      <c r="L3043" s="32">
        <f>IFERROR(__xludf.DUMMYFUNCTION("""COMPUTED_VALUE"""),3.0)</f>
        <v>3</v>
      </c>
      <c r="M3043" s="4" t="str">
        <f>IFERROR(__xludf.DUMMYFUNCTION("""COMPUTED_VALUE"""),"N/A (Not found)")</f>
        <v>N/A (Not found)</v>
      </c>
      <c r="N3043" s="33">
        <f>IFERROR(__xludf.DUMMYFUNCTION("""COMPUTED_VALUE"""),0.6666666666666666)</f>
        <v>0.6666666667</v>
      </c>
      <c r="O3043" s="4" t="str">
        <f>IFERROR(__xludf.DUMMYFUNCTION("""COMPUTED_VALUE"""),"N/A (Not found)")</f>
        <v>N/A (Not found)</v>
      </c>
      <c r="P3043" s="33">
        <f>IFERROR(__xludf.DUMMYFUNCTION("""COMPUTED_VALUE"""),0.6666666666666666)</f>
        <v>0.6666666667</v>
      </c>
      <c r="Q3043" s="4" t="str">
        <f>IFERROR(__xludf.DUMMYFUNCTION("""COMPUTED_VALUE"""),"N/A (Not found)")</f>
        <v>N/A (Not found)</v>
      </c>
      <c r="R3043" s="33">
        <f>IFERROR(__xludf.DUMMYFUNCTION("""COMPUTED_VALUE"""),1.0)</f>
        <v>1</v>
      </c>
      <c r="S3043" s="4" t="str">
        <f>IFERROR(__xludf.DUMMYFUNCTION("""COMPUTED_VALUE"""),"N/A (Not found)")</f>
        <v>N/A (Not found)</v>
      </c>
      <c r="T3043" s="33">
        <f>IFERROR(__xludf.DUMMYFUNCTION("""COMPUTED_VALUE"""),1.0)</f>
        <v>1</v>
      </c>
      <c r="U3043" s="4" t="str">
        <f>IFERROR(__xludf.DUMMYFUNCTION("""COMPUTED_VALUE"""),"N/A (Not found)")</f>
        <v>N/A (Not found)</v>
      </c>
      <c r="V3043" s="33">
        <f>IFERROR(__xludf.DUMMYFUNCTION("""COMPUTED_VALUE"""),1.0)</f>
        <v>1</v>
      </c>
      <c r="W3043" s="4" t="str">
        <f>IFERROR(__xludf.DUMMYFUNCTION("""COMPUTED_VALUE"""),"N/A (Not found)")</f>
        <v>N/A (Not found)</v>
      </c>
      <c r="X3043" s="33">
        <f>IFERROR(__xludf.DUMMYFUNCTION("""COMPUTED_VALUE"""),1.0)</f>
        <v>1</v>
      </c>
    </row>
    <row r="3044">
      <c r="K3044" s="4" t="str">
        <f>IFERROR(__xludf.DUMMYFUNCTION("""COMPUTED_VALUE"""),"ACAI RETRO")</f>
        <v>ACAI RETRO</v>
      </c>
      <c r="L3044" s="32">
        <f>IFERROR(__xludf.DUMMYFUNCTION("""COMPUTED_VALUE"""),3.0)</f>
        <v>3</v>
      </c>
      <c r="M3044" s="4" t="str">
        <f>IFERROR(__xludf.DUMMYFUNCTION("""COMPUTED_VALUE"""),"Clickatende Tecnologia Ltda")</f>
        <v>Clickatende Tecnologia Ltda</v>
      </c>
      <c r="N3044" s="33">
        <f>IFERROR(__xludf.DUMMYFUNCTION("""COMPUTED_VALUE"""),0.6666666666666666)</f>
        <v>0.6666666667</v>
      </c>
      <c r="O3044" s="4" t="str">
        <f>IFERROR(__xludf.DUMMYFUNCTION("""COMPUTED_VALUE"""),"Clickatende Tecnologia Ltda")</f>
        <v>Clickatende Tecnologia Ltda</v>
      </c>
      <c r="P3044" s="33">
        <f>IFERROR(__xludf.DUMMYFUNCTION("""COMPUTED_VALUE"""),0.6666666666666666)</f>
        <v>0.6666666667</v>
      </c>
      <c r="Q3044" s="4" t="str">
        <f>IFERROR(__xludf.DUMMYFUNCTION("""COMPUTED_VALUE"""),"Clickatende Tecnologia Ltda")</f>
        <v>Clickatende Tecnologia Ltda</v>
      </c>
      <c r="R3044" s="33">
        <f>IFERROR(__xludf.DUMMYFUNCTION("""COMPUTED_VALUE"""),0.6666666666666666)</f>
        <v>0.6666666667</v>
      </c>
      <c r="S3044" s="4" t="str">
        <f>IFERROR(__xludf.DUMMYFUNCTION("""COMPUTED_VALUE"""),"Clickatende Tecnologia Ltda")</f>
        <v>Clickatende Tecnologia Ltda</v>
      </c>
      <c r="T3044" s="33">
        <f>IFERROR(__xludf.DUMMYFUNCTION("""COMPUTED_VALUE"""),0.6666666666666666)</f>
        <v>0.6666666667</v>
      </c>
      <c r="U3044" s="4" t="str">
        <f>IFERROR(__xludf.DUMMYFUNCTION("""COMPUTED_VALUE"""),"Clickatende Tecnologia Ltda")</f>
        <v>Clickatende Tecnologia Ltda</v>
      </c>
      <c r="V3044" s="33">
        <f>IFERROR(__xludf.DUMMYFUNCTION("""COMPUTED_VALUE"""),0.6666666666666666)</f>
        <v>0.6666666667</v>
      </c>
      <c r="W3044" s="4" t="str">
        <f>IFERROR(__xludf.DUMMYFUNCTION("""COMPUTED_VALUE"""),"Clickatende Tecnologia Ltda")</f>
        <v>Clickatende Tecnologia Ltda</v>
      </c>
      <c r="X3044" s="33">
        <f>IFERROR(__xludf.DUMMYFUNCTION("""COMPUTED_VALUE"""),0.6666666666666666)</f>
        <v>0.6666666667</v>
      </c>
    </row>
    <row r="3045">
      <c r="K3045" s="4" t="str">
        <f>IFERROR(__xludf.DUMMYFUNCTION("""COMPUTED_VALUE"""),"EMPORIO LANCHES")</f>
        <v>EMPORIO LANCHES</v>
      </c>
      <c r="L3045" s="32">
        <f>IFERROR(__xludf.DUMMYFUNCTION("""COMPUTED_VALUE"""),3.0)</f>
        <v>3</v>
      </c>
      <c r="M3045" s="4" t="str">
        <f>IFERROR(__xludf.DUMMYFUNCTION("""COMPUTED_VALUE"""),"Crm Ti Ltda.")</f>
        <v>Crm Ti Ltda.</v>
      </c>
      <c r="N3045" s="33">
        <f>IFERROR(__xludf.DUMMYFUNCTION("""COMPUTED_VALUE"""),0.3333333333333333)</f>
        <v>0.3333333333</v>
      </c>
      <c r="O3045" s="4" t="str">
        <f>IFERROR(__xludf.DUMMYFUNCTION("""COMPUTED_VALUE"""),"Crm Ti Ltda.")</f>
        <v>Crm Ti Ltda.</v>
      </c>
      <c r="P3045" s="33">
        <f>IFERROR(__xludf.DUMMYFUNCTION("""COMPUTED_VALUE"""),0.3333333333333333)</f>
        <v>0.3333333333</v>
      </c>
      <c r="Q3045" s="4" t="str">
        <f>IFERROR(__xludf.DUMMYFUNCTION("""COMPUTED_VALUE"""),"Crm Ti Ltda.")</f>
        <v>Crm Ti Ltda.</v>
      </c>
      <c r="R3045" s="33">
        <f>IFERROR(__xludf.DUMMYFUNCTION("""COMPUTED_VALUE"""),0.3333333333333333)</f>
        <v>0.3333333333</v>
      </c>
      <c r="S3045" s="4" t="str">
        <f>IFERROR(__xludf.DUMMYFUNCTION("""COMPUTED_VALUE"""),"Crm Ti Ltda.")</f>
        <v>Crm Ti Ltda.</v>
      </c>
      <c r="T3045" s="33">
        <f>IFERROR(__xludf.DUMMYFUNCTION("""COMPUTED_VALUE"""),0.3333333333333333)</f>
        <v>0.3333333333</v>
      </c>
      <c r="U3045" s="4" t="str">
        <f>IFERROR(__xludf.DUMMYFUNCTION("""COMPUTED_VALUE"""),"Crm Ti Ltda.")</f>
        <v>Crm Ti Ltda.</v>
      </c>
      <c r="V3045" s="33">
        <f>IFERROR(__xludf.DUMMYFUNCTION("""COMPUTED_VALUE"""),0.3333333333333333)</f>
        <v>0.3333333333</v>
      </c>
      <c r="W3045" s="4" t="str">
        <f>IFERROR(__xludf.DUMMYFUNCTION("""COMPUTED_VALUE"""),"Crm Ti Ltda.")</f>
        <v>Crm Ti Ltda.</v>
      </c>
      <c r="X3045" s="33">
        <f>IFERROR(__xludf.DUMMYFUNCTION("""COMPUTED_VALUE"""),0.3333333333333333)</f>
        <v>0.3333333333</v>
      </c>
    </row>
    <row r="3046">
      <c r="K3046" s="4" t="str">
        <f>IFERROR(__xludf.DUMMYFUNCTION("""COMPUTED_VALUE"""),"BRUTTUS HAMBURGUERIA")</f>
        <v>BRUTTUS HAMBURGUERIA</v>
      </c>
      <c r="L3046" s="32">
        <f>IFERROR(__xludf.DUMMYFUNCTION("""COMPUTED_VALUE"""),3.0)</f>
        <v>3</v>
      </c>
      <c r="M3046" s="4" t="str">
        <f>IFERROR(__xludf.DUMMYFUNCTION("""COMPUTED_VALUE"""),"Saipos Serviços De Software")</f>
        <v>Saipos Serviços De Software</v>
      </c>
      <c r="N3046" s="33">
        <f>IFERROR(__xludf.DUMMYFUNCTION("""COMPUTED_VALUE"""),0.3333333333333333)</f>
        <v>0.3333333333</v>
      </c>
      <c r="O3046" s="4" t="str">
        <f>IFERROR(__xludf.DUMMYFUNCTION("""COMPUTED_VALUE"""),"null")</f>
        <v>null</v>
      </c>
      <c r="P3046" s="33">
        <f>IFERROR(__xludf.DUMMYFUNCTION("""COMPUTED_VALUE"""),0.6666666666666666)</f>
        <v>0.6666666667</v>
      </c>
      <c r="Q3046" s="4" t="str">
        <f>IFERROR(__xludf.DUMMYFUNCTION("""COMPUTED_VALUE"""),"null")</f>
        <v>null</v>
      </c>
      <c r="R3046" s="33">
        <f>IFERROR(__xludf.DUMMYFUNCTION("""COMPUTED_VALUE"""),0.6666666666666666)</f>
        <v>0.6666666667</v>
      </c>
      <c r="S3046" s="4" t="str">
        <f>IFERROR(__xludf.DUMMYFUNCTION("""COMPUTED_VALUE"""),"Saipos Serviços De Software")</f>
        <v>Saipos Serviços De Software</v>
      </c>
      <c r="T3046" s="33">
        <f>IFERROR(__xludf.DUMMYFUNCTION("""COMPUTED_VALUE"""),0.6666666666666666)</f>
        <v>0.6666666667</v>
      </c>
      <c r="U3046" s="4" t="str">
        <f>IFERROR(__xludf.DUMMYFUNCTION("""COMPUTED_VALUE"""),"Saipos Serviços De Software")</f>
        <v>Saipos Serviços De Software</v>
      </c>
      <c r="V3046" s="33">
        <f>IFERROR(__xludf.DUMMYFUNCTION("""COMPUTED_VALUE"""),0.6666666666666666)</f>
        <v>0.6666666667</v>
      </c>
      <c r="W3046" s="4" t="str">
        <f>IFERROR(__xludf.DUMMYFUNCTION("""COMPUTED_VALUE"""),"Saipos Serviços De Software")</f>
        <v>Saipos Serviços De Software</v>
      </c>
      <c r="X3046" s="33">
        <f>IFERROR(__xludf.DUMMYFUNCTION("""COMPUTED_VALUE"""),0.6666666666666666)</f>
        <v>0.6666666667</v>
      </c>
    </row>
    <row r="3047">
      <c r="K3047" s="4" t="str">
        <f>IFERROR(__xludf.DUMMYFUNCTION("""COMPUTED_VALUE"""),"TIECIA")</f>
        <v>TIECIA</v>
      </c>
      <c r="L3047" s="32">
        <f>IFERROR(__xludf.DUMMYFUNCTION("""COMPUTED_VALUE"""),3.0)</f>
        <v>3</v>
      </c>
      <c r="M3047" s="4" t="str">
        <f>IFERROR(__xludf.DUMMYFUNCTION("""COMPUTED_VALUE"""),"N/A (Not found)")</f>
        <v>N/A (Not found)</v>
      </c>
      <c r="N3047" s="33">
        <f>IFERROR(__xludf.DUMMYFUNCTION("""COMPUTED_VALUE"""),0.6666666666666666)</f>
        <v>0.6666666667</v>
      </c>
      <c r="O3047" s="4" t="str">
        <f>IFERROR(__xludf.DUMMYFUNCTION("""COMPUTED_VALUE"""),"N/A (Not found)")</f>
        <v>N/A (Not found)</v>
      </c>
      <c r="P3047" s="33">
        <f>IFERROR(__xludf.DUMMYFUNCTION("""COMPUTED_VALUE"""),0.6666666666666666)</f>
        <v>0.6666666667</v>
      </c>
      <c r="Q3047" s="4" t="str">
        <f>IFERROR(__xludf.DUMMYFUNCTION("""COMPUTED_VALUE"""),"N/A (Not found)")</f>
        <v>N/A (Not found)</v>
      </c>
      <c r="R3047" s="33">
        <f>IFERROR(__xludf.DUMMYFUNCTION("""COMPUTED_VALUE"""),0.6666666666666666)</f>
        <v>0.6666666667</v>
      </c>
      <c r="S3047" s="4" t="str">
        <f>IFERROR(__xludf.DUMMYFUNCTION("""COMPUTED_VALUE"""),"null")</f>
        <v>null</v>
      </c>
      <c r="T3047" s="33">
        <f>IFERROR(__xludf.DUMMYFUNCTION("""COMPUTED_VALUE"""),0.6666666666666666)</f>
        <v>0.6666666667</v>
      </c>
      <c r="U3047" s="4" t="str">
        <f>IFERROR(__xludf.DUMMYFUNCTION("""COMPUTED_VALUE"""),"N/A (Not found)")</f>
        <v>N/A (Not found)</v>
      </c>
      <c r="V3047" s="33">
        <f>IFERROR(__xludf.DUMMYFUNCTION("""COMPUTED_VALUE"""),0.6666666666666666)</f>
        <v>0.6666666667</v>
      </c>
      <c r="W3047" s="4" t="str">
        <f>IFERROR(__xludf.DUMMYFUNCTION("""COMPUTED_VALUE"""),"null")</f>
        <v>null</v>
      </c>
      <c r="X3047" s="33">
        <f>IFERROR(__xludf.DUMMYFUNCTION("""COMPUTED_VALUE"""),1.0)</f>
        <v>1</v>
      </c>
    </row>
    <row r="3048">
      <c r="K3048" s="4" t="str">
        <f>IFERROR(__xludf.DUMMYFUNCTION("""COMPUTED_VALUE"""),"PARMEJA")</f>
        <v>PARMEJA</v>
      </c>
      <c r="L3048" s="32">
        <f>IFERROR(__xludf.DUMMYFUNCTION("""COMPUTED_VALUE"""),3.0)</f>
        <v>3</v>
      </c>
      <c r="M3048" s="4" t="str">
        <f>IFERROR(__xludf.DUMMYFUNCTION("""COMPUTED_VALUE"""),"Latech Informatica Ltda")</f>
        <v>Latech Informatica Ltda</v>
      </c>
      <c r="N3048" s="33">
        <f>IFERROR(__xludf.DUMMYFUNCTION("""COMPUTED_VALUE"""),0.6666666666666666)</f>
        <v>0.6666666667</v>
      </c>
      <c r="O3048" s="4" t="str">
        <f>IFERROR(__xludf.DUMMYFUNCTION("""COMPUTED_VALUE"""),"Latech Informatica Ltda")</f>
        <v>Latech Informatica Ltda</v>
      </c>
      <c r="P3048" s="33">
        <f>IFERROR(__xludf.DUMMYFUNCTION("""COMPUTED_VALUE"""),0.6666666666666666)</f>
        <v>0.6666666667</v>
      </c>
      <c r="Q3048" s="4" t="str">
        <f>IFERROR(__xludf.DUMMYFUNCTION("""COMPUTED_VALUE"""),"Latech Informatica Ltda")</f>
        <v>Latech Informatica Ltda</v>
      </c>
      <c r="R3048" s="33">
        <f>IFERROR(__xludf.DUMMYFUNCTION("""COMPUTED_VALUE"""),0.6666666666666666)</f>
        <v>0.6666666667</v>
      </c>
      <c r="S3048" s="4" t="str">
        <f>IFERROR(__xludf.DUMMYFUNCTION("""COMPUTED_VALUE"""),"Latech Informatica Ltda")</f>
        <v>Latech Informatica Ltda</v>
      </c>
      <c r="T3048" s="33">
        <f>IFERROR(__xludf.DUMMYFUNCTION("""COMPUTED_VALUE"""),0.6666666666666666)</f>
        <v>0.6666666667</v>
      </c>
      <c r="U3048" s="4" t="str">
        <f>IFERROR(__xludf.DUMMYFUNCTION("""COMPUTED_VALUE"""),"Latech Informatica Ltda")</f>
        <v>Latech Informatica Ltda</v>
      </c>
      <c r="V3048" s="33">
        <f>IFERROR(__xludf.DUMMYFUNCTION("""COMPUTED_VALUE"""),0.6666666666666666)</f>
        <v>0.6666666667</v>
      </c>
      <c r="W3048" s="4" t="str">
        <f>IFERROR(__xludf.DUMMYFUNCTION("""COMPUTED_VALUE"""),"Latech Informatica Ltda")</f>
        <v>Latech Informatica Ltda</v>
      </c>
      <c r="X3048" s="33">
        <f>IFERROR(__xludf.DUMMYFUNCTION("""COMPUTED_VALUE"""),0.6666666666666666)</f>
        <v>0.6666666667</v>
      </c>
    </row>
    <row r="3049">
      <c r="K3049" s="4" t="str">
        <f>IFERROR(__xludf.DUMMYFUNCTION("""COMPUTED_VALUE"""),"SANTO HAMBURGUER")</f>
        <v>SANTO HAMBURGUER</v>
      </c>
      <c r="L3049" s="32">
        <f>IFERROR(__xludf.DUMMYFUNCTION("""COMPUTED_VALUE"""),3.0)</f>
        <v>3</v>
      </c>
      <c r="M3049" s="4" t="str">
        <f>IFERROR(__xludf.DUMMYFUNCTION("""COMPUTED_VALUE"""),"null")</f>
        <v>null</v>
      </c>
      <c r="N3049" s="33">
        <f>IFERROR(__xludf.DUMMYFUNCTION("""COMPUTED_VALUE"""),0.6666666666666666)</f>
        <v>0.6666666667</v>
      </c>
      <c r="O3049" s="4" t="str">
        <f>IFERROR(__xludf.DUMMYFUNCTION("""COMPUTED_VALUE"""),"null")</f>
        <v>null</v>
      </c>
      <c r="P3049" s="33">
        <f>IFERROR(__xludf.DUMMYFUNCTION("""COMPUTED_VALUE"""),0.3333333333333333)</f>
        <v>0.3333333333</v>
      </c>
      <c r="Q3049" s="4" t="str">
        <f>IFERROR(__xludf.DUMMYFUNCTION("""COMPUTED_VALUE"""),"null")</f>
        <v>null</v>
      </c>
      <c r="R3049" s="33">
        <f>IFERROR(__xludf.DUMMYFUNCTION("""COMPUTED_VALUE"""),0.6666666666666666)</f>
        <v>0.6666666667</v>
      </c>
      <c r="S3049" s="4" t="str">
        <f>IFERROR(__xludf.DUMMYFUNCTION("""COMPUTED_VALUE"""),"null")</f>
        <v>null</v>
      </c>
      <c r="T3049" s="33">
        <f>IFERROR(__xludf.DUMMYFUNCTION("""COMPUTED_VALUE"""),0.6666666666666666)</f>
        <v>0.6666666667</v>
      </c>
      <c r="U3049" s="4" t="str">
        <f>IFERROR(__xludf.DUMMYFUNCTION("""COMPUTED_VALUE"""),"Saipos Serviços De Software")</f>
        <v>Saipos Serviços De Software</v>
      </c>
      <c r="V3049" s="33">
        <f>IFERROR(__xludf.DUMMYFUNCTION("""COMPUTED_VALUE"""),0.3333333333333333)</f>
        <v>0.3333333333</v>
      </c>
      <c r="W3049" s="4" t="str">
        <f>IFERROR(__xludf.DUMMYFUNCTION("""COMPUTED_VALUE"""),"Saipos Serviços De Software")</f>
        <v>Saipos Serviços De Software</v>
      </c>
      <c r="X3049" s="33">
        <f>IFERROR(__xludf.DUMMYFUNCTION("""COMPUTED_VALUE"""),0.3333333333333333)</f>
        <v>0.3333333333</v>
      </c>
    </row>
    <row r="3050">
      <c r="K3050" s="4" t="str">
        <f>IFERROR(__xludf.DUMMYFUNCTION("""COMPUTED_VALUE"""),"KENKO SUSHI")</f>
        <v>KENKO SUSHI</v>
      </c>
      <c r="L3050" s="32">
        <f>IFERROR(__xludf.DUMMYFUNCTION("""COMPUTED_VALUE"""),3.0)</f>
        <v>3</v>
      </c>
      <c r="M3050" s="4" t="str">
        <f>IFERROR(__xludf.DUMMYFUNCTION("""COMPUTED_VALUE"""),"null")</f>
        <v>null</v>
      </c>
      <c r="N3050" s="33">
        <f>IFERROR(__xludf.DUMMYFUNCTION("""COMPUTED_VALUE"""),0.3333333333333333)</f>
        <v>0.3333333333</v>
      </c>
      <c r="O3050" s="4" t="str">
        <f>IFERROR(__xludf.DUMMYFUNCTION("""COMPUTED_VALUE"""),"null")</f>
        <v>null</v>
      </c>
      <c r="P3050" s="33">
        <f>IFERROR(__xludf.DUMMYFUNCTION("""COMPUTED_VALUE"""),0.3333333333333333)</f>
        <v>0.3333333333</v>
      </c>
      <c r="Q3050" s="4" t="str">
        <f>IFERROR(__xludf.DUMMYFUNCTION("""COMPUTED_VALUE"""),"null")</f>
        <v>null</v>
      </c>
      <c r="R3050" s="33">
        <f>IFERROR(__xludf.DUMMYFUNCTION("""COMPUTED_VALUE"""),0.3333333333333333)</f>
        <v>0.3333333333</v>
      </c>
      <c r="S3050" s="4" t="str">
        <f>IFERROR(__xludf.DUMMYFUNCTION("""COMPUTED_VALUE"""),"null")</f>
        <v>null</v>
      </c>
      <c r="T3050" s="33">
        <f>IFERROR(__xludf.DUMMYFUNCTION("""COMPUTED_VALUE"""),0.6666666666666666)</f>
        <v>0.6666666667</v>
      </c>
      <c r="U3050" s="4" t="str">
        <f>IFERROR(__xludf.DUMMYFUNCTION("""COMPUTED_VALUE"""),"Anove Tecnologia")</f>
        <v>Anove Tecnologia</v>
      </c>
      <c r="V3050" s="33">
        <f>IFERROR(__xludf.DUMMYFUNCTION("""COMPUTED_VALUE"""),0.3333333333333333)</f>
        <v>0.3333333333</v>
      </c>
      <c r="W3050" s="4" t="str">
        <f>IFERROR(__xludf.DUMMYFUNCTION("""COMPUTED_VALUE"""),"Anove Tecnologia")</f>
        <v>Anove Tecnologia</v>
      </c>
      <c r="X3050" s="33">
        <f>IFERROR(__xludf.DUMMYFUNCTION("""COMPUTED_VALUE"""),0.3333333333333333)</f>
        <v>0.3333333333</v>
      </c>
    </row>
    <row r="3051">
      <c r="K3051" s="4" t="str">
        <f>IFERROR(__xludf.DUMMYFUNCTION("""COMPUTED_VALUE"""),"ACAI DO CHEF")</f>
        <v>ACAI DO CHEF</v>
      </c>
      <c r="L3051" s="32">
        <f>IFERROR(__xludf.DUMMYFUNCTION("""COMPUTED_VALUE"""),3.0)</f>
        <v>3</v>
      </c>
      <c r="M3051" s="4" t="str">
        <f>IFERROR(__xludf.DUMMYFUNCTION("""COMPUTED_VALUE"""),"null")</f>
        <v>null</v>
      </c>
      <c r="N3051" s="33">
        <f>IFERROR(__xludf.DUMMYFUNCTION("""COMPUTED_VALUE"""),0.3333333333333333)</f>
        <v>0.3333333333</v>
      </c>
      <c r="O3051" s="4" t="str">
        <f>IFERROR(__xludf.DUMMYFUNCTION("""COMPUTED_VALUE"""),"null")</f>
        <v>null</v>
      </c>
      <c r="P3051" s="33">
        <f>IFERROR(__xludf.DUMMYFUNCTION("""COMPUTED_VALUE"""),0.3333333333333333)</f>
        <v>0.3333333333</v>
      </c>
      <c r="Q3051" s="4" t="str">
        <f>IFERROR(__xludf.DUMMYFUNCTION("""COMPUTED_VALUE"""),"null")</f>
        <v>null</v>
      </c>
      <c r="R3051" s="33">
        <f>IFERROR(__xludf.DUMMYFUNCTION("""COMPUTED_VALUE"""),0.6666666666666666)</f>
        <v>0.6666666667</v>
      </c>
      <c r="S3051" s="4" t="str">
        <f>IFERROR(__xludf.DUMMYFUNCTION("""COMPUTED_VALUE"""),"null")</f>
        <v>null</v>
      </c>
      <c r="T3051" s="33">
        <f>IFERROR(__xludf.DUMMYFUNCTION("""COMPUTED_VALUE"""),0.6666666666666666)</f>
        <v>0.6666666667</v>
      </c>
      <c r="U3051" s="4" t="str">
        <f>IFERROR(__xludf.DUMMYFUNCTION("""COMPUTED_VALUE"""),"M-du Tecnologia")</f>
        <v>M-du Tecnologia</v>
      </c>
      <c r="V3051" s="33">
        <f>IFERROR(__xludf.DUMMYFUNCTION("""COMPUTED_VALUE"""),0.3333333333333333)</f>
        <v>0.3333333333</v>
      </c>
      <c r="W3051" s="4" t="str">
        <f>IFERROR(__xludf.DUMMYFUNCTION("""COMPUTED_VALUE"""),"M-du Tecnologia")</f>
        <v>M-du Tecnologia</v>
      </c>
      <c r="X3051" s="33">
        <f>IFERROR(__xludf.DUMMYFUNCTION("""COMPUTED_VALUE"""),0.3333333333333333)</f>
        <v>0.3333333333</v>
      </c>
    </row>
    <row r="3052">
      <c r="K3052" s="4" t="str">
        <f>IFERROR(__xludf.DUMMYFUNCTION("""COMPUTED_VALUE"""),"RANGO")</f>
        <v>RANGO</v>
      </c>
      <c r="L3052" s="32">
        <f>IFERROR(__xludf.DUMMYFUNCTION("""COMPUTED_VALUE"""),3.0)</f>
        <v>3</v>
      </c>
      <c r="M3052" s="4" t="str">
        <f>IFERROR(__xludf.DUMMYFUNCTION("""COMPUTED_VALUE"""),"null")</f>
        <v>null</v>
      </c>
      <c r="N3052" s="33">
        <f>IFERROR(__xludf.DUMMYFUNCTION("""COMPUTED_VALUE"""),0.6666666666666666)</f>
        <v>0.6666666667</v>
      </c>
      <c r="O3052" s="4" t="str">
        <f>IFERROR(__xludf.DUMMYFUNCTION("""COMPUTED_VALUE"""),"null")</f>
        <v>null</v>
      </c>
      <c r="P3052" s="33">
        <f>IFERROR(__xludf.DUMMYFUNCTION("""COMPUTED_VALUE"""),0.6666666666666666)</f>
        <v>0.6666666667</v>
      </c>
      <c r="Q3052" s="4" t="str">
        <f>IFERROR(__xludf.DUMMYFUNCTION("""COMPUTED_VALUE"""),"Saipos Serviços De Software")</f>
        <v>Saipos Serviços De Software</v>
      </c>
      <c r="R3052" s="33">
        <f>IFERROR(__xludf.DUMMYFUNCTION("""COMPUTED_VALUE"""),0.3333333333333333)</f>
        <v>0.3333333333</v>
      </c>
      <c r="S3052" s="4" t="str">
        <f>IFERROR(__xludf.DUMMYFUNCTION("""COMPUTED_VALUE"""),"Saipos Serviços De Software")</f>
        <v>Saipos Serviços De Software</v>
      </c>
      <c r="T3052" s="33">
        <f>IFERROR(__xludf.DUMMYFUNCTION("""COMPUTED_VALUE"""),0.3333333333333333)</f>
        <v>0.3333333333</v>
      </c>
      <c r="U3052" s="4" t="str">
        <f>IFERROR(__xludf.DUMMYFUNCTION("""COMPUTED_VALUE"""),"null")</f>
        <v>null</v>
      </c>
      <c r="V3052" s="33">
        <f>IFERROR(__xludf.DUMMYFUNCTION("""COMPUTED_VALUE"""),0.6666666666666666)</f>
        <v>0.6666666667</v>
      </c>
      <c r="W3052" s="4" t="str">
        <f>IFERROR(__xludf.DUMMYFUNCTION("""COMPUTED_VALUE"""),"null")</f>
        <v>null</v>
      </c>
      <c r="X3052" s="33">
        <f>IFERROR(__xludf.DUMMYFUNCTION("""COMPUTED_VALUE"""),0.6666666666666666)</f>
        <v>0.6666666667</v>
      </c>
    </row>
    <row r="3053">
      <c r="K3053" s="4" t="str">
        <f>IFERROR(__xludf.DUMMYFUNCTION("""COMPUTED_VALUE"""),"SANTO PASTEL")</f>
        <v>SANTO PASTEL</v>
      </c>
      <c r="L3053" s="32">
        <f>IFERROR(__xludf.DUMMYFUNCTION("""COMPUTED_VALUE"""),3.0)</f>
        <v>3</v>
      </c>
      <c r="M3053" s="4" t="str">
        <f>IFERROR(__xludf.DUMMYFUNCTION("""COMPUTED_VALUE"""),"null")</f>
        <v>null</v>
      </c>
      <c r="N3053" s="33">
        <f>IFERROR(__xludf.DUMMYFUNCTION("""COMPUTED_VALUE"""),0.6666666666666666)</f>
        <v>0.6666666667</v>
      </c>
      <c r="O3053" s="4" t="str">
        <f>IFERROR(__xludf.DUMMYFUNCTION("""COMPUTED_VALUE"""),"Consumer Soluções Em Tecnologia Ltda")</f>
        <v>Consumer Soluções Em Tecnologia Ltda</v>
      </c>
      <c r="P3053" s="33">
        <f>IFERROR(__xludf.DUMMYFUNCTION("""COMPUTED_VALUE"""),0.3333333333333333)</f>
        <v>0.3333333333</v>
      </c>
      <c r="Q3053" s="4" t="str">
        <f>IFERROR(__xludf.DUMMYFUNCTION("""COMPUTED_VALUE"""),"Consumer Soluções Em Tecnologia Ltda")</f>
        <v>Consumer Soluções Em Tecnologia Ltda</v>
      </c>
      <c r="R3053" s="33">
        <f>IFERROR(__xludf.DUMMYFUNCTION("""COMPUTED_VALUE"""),0.3333333333333333)</f>
        <v>0.3333333333</v>
      </c>
      <c r="S3053" s="4" t="str">
        <f>IFERROR(__xludf.DUMMYFUNCTION("""COMPUTED_VALUE"""),"Consumer Soluções Em Tecnologia Ltda")</f>
        <v>Consumer Soluções Em Tecnologia Ltda</v>
      </c>
      <c r="T3053" s="33">
        <f>IFERROR(__xludf.DUMMYFUNCTION("""COMPUTED_VALUE"""),0.3333333333333333)</f>
        <v>0.3333333333</v>
      </c>
      <c r="U3053" s="4" t="str">
        <f>IFERROR(__xludf.DUMMYFUNCTION("""COMPUTED_VALUE"""),"Consumer Soluções Em Tecnologia Ltda")</f>
        <v>Consumer Soluções Em Tecnologia Ltda</v>
      </c>
      <c r="V3053" s="33">
        <f>IFERROR(__xludf.DUMMYFUNCTION("""COMPUTED_VALUE"""),0.3333333333333333)</f>
        <v>0.3333333333</v>
      </c>
      <c r="W3053" s="4" t="str">
        <f>IFERROR(__xludf.DUMMYFUNCTION("""COMPUTED_VALUE"""),"Consumer Soluções Em Tecnologia Ltda")</f>
        <v>Consumer Soluções Em Tecnologia Ltda</v>
      </c>
      <c r="X3053" s="33">
        <f>IFERROR(__xludf.DUMMYFUNCTION("""COMPUTED_VALUE"""),0.3333333333333333)</f>
        <v>0.3333333333</v>
      </c>
    </row>
    <row r="3054">
      <c r="K3054" s="4" t="str">
        <f>IFERROR(__xludf.DUMMYFUNCTION("""COMPUTED_VALUE"""),"GELOU GELADINHO GOURMET")</f>
        <v>GELOU GELADINHO GOURMET</v>
      </c>
      <c r="L3054" s="32">
        <f>IFERROR(__xludf.DUMMYFUNCTION("""COMPUTED_VALUE"""),3.0)</f>
        <v>3</v>
      </c>
      <c r="M3054" s="4" t="str">
        <f>IFERROR(__xludf.DUMMYFUNCTION("""COMPUTED_VALUE"""),"null")</f>
        <v>null</v>
      </c>
      <c r="N3054" s="33">
        <f>IFERROR(__xludf.DUMMYFUNCTION("""COMPUTED_VALUE"""),0.6666666666666666)</f>
        <v>0.6666666667</v>
      </c>
      <c r="O3054" s="4" t="str">
        <f>IFERROR(__xludf.DUMMYFUNCTION("""COMPUTED_VALUE"""),"null")</f>
        <v>null</v>
      </c>
      <c r="P3054" s="33">
        <f>IFERROR(__xludf.DUMMYFUNCTION("""COMPUTED_VALUE"""),0.6666666666666666)</f>
        <v>0.6666666667</v>
      </c>
      <c r="Q3054" s="4" t="str">
        <f>IFERROR(__xludf.DUMMYFUNCTION("""COMPUTED_VALUE"""),"null")</f>
        <v>null</v>
      </c>
      <c r="R3054" s="33">
        <f>IFERROR(__xludf.DUMMYFUNCTION("""COMPUTED_VALUE"""),0.6666666666666666)</f>
        <v>0.6666666667</v>
      </c>
      <c r="S3054" s="4" t="str">
        <f>IFERROR(__xludf.DUMMYFUNCTION("""COMPUTED_VALUE"""),"null")</f>
        <v>null</v>
      </c>
      <c r="T3054" s="33">
        <f>IFERROR(__xludf.DUMMYFUNCTION("""COMPUTED_VALUE"""),0.6666666666666666)</f>
        <v>0.6666666667</v>
      </c>
      <c r="U3054" s="4" t="str">
        <f>IFERROR(__xludf.DUMMYFUNCTION("""COMPUTED_VALUE"""),"Cardápio Web")</f>
        <v>Cardápio Web</v>
      </c>
      <c r="V3054" s="33">
        <f>IFERROR(__xludf.DUMMYFUNCTION("""COMPUTED_VALUE"""),0.6666666666666666)</f>
        <v>0.6666666667</v>
      </c>
      <c r="W3054" s="4" t="str">
        <f>IFERROR(__xludf.DUMMYFUNCTION("""COMPUTED_VALUE"""),"Saipos Serviços De Software")</f>
        <v>Saipos Serviços De Software</v>
      </c>
      <c r="X3054" s="33">
        <f>IFERROR(__xludf.DUMMYFUNCTION("""COMPUTED_VALUE"""),0.3333333333333333)</f>
        <v>0.3333333333</v>
      </c>
    </row>
    <row r="3055">
      <c r="K3055" s="4" t="str">
        <f>IFERROR(__xludf.DUMMYFUNCTION("""COMPUTED_VALUE"""),"PARK BURGER")</f>
        <v>PARK BURGER</v>
      </c>
      <c r="L3055" s="32">
        <f>IFERROR(__xludf.DUMMYFUNCTION("""COMPUTED_VALUE"""),3.0)</f>
        <v>3</v>
      </c>
      <c r="M3055" s="4" t="str">
        <f>IFERROR(__xludf.DUMMYFUNCTION("""COMPUTED_VALUE"""),"Saipos Serviços De Software")</f>
        <v>Saipos Serviços De Software</v>
      </c>
      <c r="N3055" s="33">
        <f>IFERROR(__xludf.DUMMYFUNCTION("""COMPUTED_VALUE"""),0.6666666666666666)</f>
        <v>0.6666666667</v>
      </c>
      <c r="O3055" s="4" t="str">
        <f>IFERROR(__xludf.DUMMYFUNCTION("""COMPUTED_VALUE"""),"Saipos Serviços De Software")</f>
        <v>Saipos Serviços De Software</v>
      </c>
      <c r="P3055" s="33">
        <f>IFERROR(__xludf.DUMMYFUNCTION("""COMPUTED_VALUE"""),0.6666666666666666)</f>
        <v>0.6666666667</v>
      </c>
      <c r="Q3055" s="4" t="str">
        <f>IFERROR(__xludf.DUMMYFUNCTION("""COMPUTED_VALUE"""),"Saipos Serviços De Software")</f>
        <v>Saipos Serviços De Software</v>
      </c>
      <c r="R3055" s="33">
        <f>IFERROR(__xludf.DUMMYFUNCTION("""COMPUTED_VALUE"""),0.6666666666666666)</f>
        <v>0.6666666667</v>
      </c>
      <c r="S3055" s="4" t="str">
        <f>IFERROR(__xludf.DUMMYFUNCTION("""COMPUTED_VALUE"""),"Saipos Serviços De Software")</f>
        <v>Saipos Serviços De Software</v>
      </c>
      <c r="T3055" s="33">
        <f>IFERROR(__xludf.DUMMYFUNCTION("""COMPUTED_VALUE"""),0.6666666666666666)</f>
        <v>0.6666666667</v>
      </c>
      <c r="U3055" s="4" t="str">
        <f>IFERROR(__xludf.DUMMYFUNCTION("""COMPUTED_VALUE"""),"Saipos Serviços De Software")</f>
        <v>Saipos Serviços De Software</v>
      </c>
      <c r="V3055" s="33">
        <f>IFERROR(__xludf.DUMMYFUNCTION("""COMPUTED_VALUE"""),0.6666666666666666)</f>
        <v>0.6666666667</v>
      </c>
      <c r="W3055" s="4" t="str">
        <f>IFERROR(__xludf.DUMMYFUNCTION("""COMPUTED_VALUE"""),"Saipos Serviços De Software")</f>
        <v>Saipos Serviços De Software</v>
      </c>
      <c r="X3055" s="33">
        <f>IFERROR(__xludf.DUMMYFUNCTION("""COMPUTED_VALUE"""),0.6666666666666666)</f>
        <v>0.6666666667</v>
      </c>
    </row>
    <row r="3056">
      <c r="K3056" s="4" t="str">
        <f>IFERROR(__xludf.DUMMYFUNCTION("""COMPUTED_VALUE"""),"WAVE BURGER")</f>
        <v>WAVE BURGER</v>
      </c>
      <c r="L3056" s="32">
        <f>IFERROR(__xludf.DUMMYFUNCTION("""COMPUTED_VALUE"""),3.0)</f>
        <v>3</v>
      </c>
      <c r="M3056" s="4" t="str">
        <f>IFERROR(__xludf.DUMMYFUNCTION("""COMPUTED_VALUE"""),"Consumer Soluções Em Tecnologia Ltda")</f>
        <v>Consumer Soluções Em Tecnologia Ltda</v>
      </c>
      <c r="N3056" s="33">
        <f>IFERROR(__xludf.DUMMYFUNCTION("""COMPUTED_VALUE"""),0.6666666666666666)</f>
        <v>0.6666666667</v>
      </c>
      <c r="O3056" s="4" t="str">
        <f>IFERROR(__xludf.DUMMYFUNCTION("""COMPUTED_VALUE"""),"Consumer Soluções Em Tecnologia Ltda")</f>
        <v>Consumer Soluções Em Tecnologia Ltda</v>
      </c>
      <c r="P3056" s="33">
        <f>IFERROR(__xludf.DUMMYFUNCTION("""COMPUTED_VALUE"""),0.6666666666666666)</f>
        <v>0.6666666667</v>
      </c>
      <c r="Q3056" s="4" t="str">
        <f>IFERROR(__xludf.DUMMYFUNCTION("""COMPUTED_VALUE"""),"Consumer Soluções Em Tecnologia Ltda")</f>
        <v>Consumer Soluções Em Tecnologia Ltda</v>
      </c>
      <c r="R3056" s="33">
        <f>IFERROR(__xludf.DUMMYFUNCTION("""COMPUTED_VALUE"""),0.6666666666666666)</f>
        <v>0.6666666667</v>
      </c>
      <c r="S3056" s="4" t="str">
        <f>IFERROR(__xludf.DUMMYFUNCTION("""COMPUTED_VALUE"""),"Consumer Soluções Em Tecnologia Ltda")</f>
        <v>Consumer Soluções Em Tecnologia Ltda</v>
      </c>
      <c r="T3056" s="33">
        <f>IFERROR(__xludf.DUMMYFUNCTION("""COMPUTED_VALUE"""),0.6666666666666666)</f>
        <v>0.6666666667</v>
      </c>
      <c r="U3056" s="4" t="str">
        <f>IFERROR(__xludf.DUMMYFUNCTION("""COMPUTED_VALUE"""),"Consumer Soluções Em Tecnologia Ltda")</f>
        <v>Consumer Soluções Em Tecnologia Ltda</v>
      </c>
      <c r="V3056" s="33">
        <f>IFERROR(__xludf.DUMMYFUNCTION("""COMPUTED_VALUE"""),0.3333333333333333)</f>
        <v>0.3333333333</v>
      </c>
      <c r="W3056" s="4" t="str">
        <f>IFERROR(__xludf.DUMMYFUNCTION("""COMPUTED_VALUE"""),"Consumer Soluções Em Tecnologia Ltda")</f>
        <v>Consumer Soluções Em Tecnologia Ltda</v>
      </c>
      <c r="X3056" s="33">
        <f>IFERROR(__xludf.DUMMYFUNCTION("""COMPUTED_VALUE"""),0.6666666666666666)</f>
        <v>0.6666666667</v>
      </c>
    </row>
    <row r="3057">
      <c r="K3057" s="4" t="str">
        <f>IFERROR(__xludf.DUMMYFUNCTION("""COMPUTED_VALUE"""),"FABRICA DA PIZZA")</f>
        <v>FABRICA DA PIZZA</v>
      </c>
      <c r="L3057" s="32">
        <f>IFERROR(__xludf.DUMMYFUNCTION("""COMPUTED_VALUE"""),3.0)</f>
        <v>3</v>
      </c>
      <c r="M3057" s="4" t="str">
        <f>IFERROR(__xludf.DUMMYFUNCTION("""COMPUTED_VALUE"""),"Anota Ai Solucoes Digitais S/a")</f>
        <v>Anota Ai Solucoes Digitais S/a</v>
      </c>
      <c r="N3057" s="33">
        <f>IFERROR(__xludf.DUMMYFUNCTION("""COMPUTED_VALUE"""),0.6666666666666666)</f>
        <v>0.6666666667</v>
      </c>
      <c r="O3057" s="4" t="str">
        <f>IFERROR(__xludf.DUMMYFUNCTION("""COMPUTED_VALUE"""),"null")</f>
        <v>null</v>
      </c>
      <c r="P3057" s="33">
        <f>IFERROR(__xludf.DUMMYFUNCTION("""COMPUTED_VALUE"""),0.3333333333333333)</f>
        <v>0.3333333333</v>
      </c>
      <c r="Q3057" s="4" t="str">
        <f>IFERROR(__xludf.DUMMYFUNCTION("""COMPUTED_VALUE"""),"Anota Ai Solucoes Digitais S/a")</f>
        <v>Anota Ai Solucoes Digitais S/a</v>
      </c>
      <c r="R3057" s="33">
        <f>IFERROR(__xludf.DUMMYFUNCTION("""COMPUTED_VALUE"""),0.6666666666666666)</f>
        <v>0.6666666667</v>
      </c>
      <c r="S3057" s="4" t="str">
        <f>IFERROR(__xludf.DUMMYFUNCTION("""COMPUTED_VALUE"""),"null")</f>
        <v>null</v>
      </c>
      <c r="T3057" s="33">
        <f>IFERROR(__xludf.DUMMYFUNCTION("""COMPUTED_VALUE"""),0.3333333333333333)</f>
        <v>0.3333333333</v>
      </c>
      <c r="U3057" s="4" t="str">
        <f>IFERROR(__xludf.DUMMYFUNCTION("""COMPUTED_VALUE"""),"null")</f>
        <v>null</v>
      </c>
      <c r="V3057" s="33">
        <f>IFERROR(__xludf.DUMMYFUNCTION("""COMPUTED_VALUE"""),0.3333333333333333)</f>
        <v>0.3333333333</v>
      </c>
      <c r="W3057" s="4" t="str">
        <f>IFERROR(__xludf.DUMMYFUNCTION("""COMPUTED_VALUE"""),"null")</f>
        <v>null</v>
      </c>
      <c r="X3057" s="33">
        <f>IFERROR(__xludf.DUMMYFUNCTION("""COMPUTED_VALUE"""),0.3333333333333333)</f>
        <v>0.3333333333</v>
      </c>
    </row>
    <row r="3058">
      <c r="K3058" s="4" t="str">
        <f>IFERROR(__xludf.DUMMYFUNCTION("""COMPUTED_VALUE"""),"MESTRE DO ESPETO")</f>
        <v>MESTRE DO ESPETO</v>
      </c>
      <c r="L3058" s="32">
        <f>IFERROR(__xludf.DUMMYFUNCTION("""COMPUTED_VALUE"""),3.0)</f>
        <v>3</v>
      </c>
      <c r="M3058" s="4" t="str">
        <f>IFERROR(__xludf.DUMMYFUNCTION("""COMPUTED_VALUE"""),"null")</f>
        <v>null</v>
      </c>
      <c r="N3058" s="33">
        <f>IFERROR(__xludf.DUMMYFUNCTION("""COMPUTED_VALUE"""),0.6666666666666666)</f>
        <v>0.6666666667</v>
      </c>
      <c r="O3058" s="4" t="str">
        <f>IFERROR(__xludf.DUMMYFUNCTION("""COMPUTED_VALUE"""),"null")</f>
        <v>null</v>
      </c>
      <c r="P3058" s="33">
        <f>IFERROR(__xludf.DUMMYFUNCTION("""COMPUTED_VALUE"""),0.6666666666666666)</f>
        <v>0.6666666667</v>
      </c>
      <c r="Q3058" s="4" t="str">
        <f>IFERROR(__xludf.DUMMYFUNCTION("""COMPUTED_VALUE"""),"Whatsmenu Ltda")</f>
        <v>Whatsmenu Ltda</v>
      </c>
      <c r="R3058" s="33">
        <f>IFERROR(__xludf.DUMMYFUNCTION("""COMPUTED_VALUE"""),0.3333333333333333)</f>
        <v>0.3333333333</v>
      </c>
      <c r="S3058" s="4" t="str">
        <f>IFERROR(__xludf.DUMMYFUNCTION("""COMPUTED_VALUE"""),"Whatsmenu Ltda")</f>
        <v>Whatsmenu Ltda</v>
      </c>
      <c r="T3058" s="33">
        <f>IFERROR(__xludf.DUMMYFUNCTION("""COMPUTED_VALUE"""),0.3333333333333333)</f>
        <v>0.3333333333</v>
      </c>
      <c r="U3058" s="4" t="str">
        <f>IFERROR(__xludf.DUMMYFUNCTION("""COMPUTED_VALUE"""),"null")</f>
        <v>null</v>
      </c>
      <c r="V3058" s="33">
        <f>IFERROR(__xludf.DUMMYFUNCTION("""COMPUTED_VALUE"""),1.0)</f>
        <v>1</v>
      </c>
      <c r="W3058" s="4" t="str">
        <f>IFERROR(__xludf.DUMMYFUNCTION("""COMPUTED_VALUE"""),"null")</f>
        <v>null</v>
      </c>
      <c r="X3058" s="33">
        <f>IFERROR(__xludf.DUMMYFUNCTION("""COMPUTED_VALUE"""),0.6666666666666666)</f>
        <v>0.6666666667</v>
      </c>
    </row>
    <row r="3059">
      <c r="K3059" s="4" t="str">
        <f>IFERROR(__xludf.DUMMYFUNCTION("""COMPUTED_VALUE"""),"PIZZA 10")</f>
        <v>PIZZA 10</v>
      </c>
      <c r="L3059" s="32">
        <f>IFERROR(__xludf.DUMMYFUNCTION("""COMPUTED_VALUE"""),3.0)</f>
        <v>3</v>
      </c>
      <c r="M3059" s="4" t="str">
        <f>IFERROR(__xludf.DUMMYFUNCTION("""COMPUTED_VALUE"""),"Anota Ai Solucoes Digitais S/a")</f>
        <v>Anota Ai Solucoes Digitais S/a</v>
      </c>
      <c r="N3059" s="33">
        <f>IFERROR(__xludf.DUMMYFUNCTION("""COMPUTED_VALUE"""),0.3333333333333333)</f>
        <v>0.3333333333</v>
      </c>
      <c r="O3059" s="4" t="str">
        <f>IFERROR(__xludf.DUMMYFUNCTION("""COMPUTED_VALUE"""),"Anota Ai Solucoes Digitais S/a")</f>
        <v>Anota Ai Solucoes Digitais S/a</v>
      </c>
      <c r="P3059" s="33">
        <f>IFERROR(__xludf.DUMMYFUNCTION("""COMPUTED_VALUE"""),0.3333333333333333)</f>
        <v>0.3333333333</v>
      </c>
      <c r="Q3059" s="4" t="str">
        <f>IFERROR(__xludf.DUMMYFUNCTION("""COMPUTED_VALUE"""),"Anota Ai Solucoes Digitais S/a")</f>
        <v>Anota Ai Solucoes Digitais S/a</v>
      </c>
      <c r="R3059" s="33">
        <f>IFERROR(__xludf.DUMMYFUNCTION("""COMPUTED_VALUE"""),0.3333333333333333)</f>
        <v>0.3333333333</v>
      </c>
      <c r="S3059" s="4" t="str">
        <f>IFERROR(__xludf.DUMMYFUNCTION("""COMPUTED_VALUE"""),"Anota Ai Solucoes Digitais S/a")</f>
        <v>Anota Ai Solucoes Digitais S/a</v>
      </c>
      <c r="T3059" s="33">
        <f>IFERROR(__xludf.DUMMYFUNCTION("""COMPUTED_VALUE"""),0.3333333333333333)</f>
        <v>0.3333333333</v>
      </c>
      <c r="U3059" s="4" t="str">
        <f>IFERROR(__xludf.DUMMYFUNCTION("""COMPUTED_VALUE"""),"Anota Ai Solucoes Digitais S/a")</f>
        <v>Anota Ai Solucoes Digitais S/a</v>
      </c>
      <c r="V3059" s="33">
        <f>IFERROR(__xludf.DUMMYFUNCTION("""COMPUTED_VALUE"""),0.3333333333333333)</f>
        <v>0.3333333333</v>
      </c>
      <c r="W3059" s="4" t="str">
        <f>IFERROR(__xludf.DUMMYFUNCTION("""COMPUTED_VALUE"""),"Anota Ai Solucoes Digitais S/a")</f>
        <v>Anota Ai Solucoes Digitais S/a</v>
      </c>
      <c r="X3059" s="33">
        <f>IFERROR(__xludf.DUMMYFUNCTION("""COMPUTED_VALUE"""),0.3333333333333333)</f>
        <v>0.3333333333</v>
      </c>
    </row>
    <row r="3060">
      <c r="K3060" s="4" t="str">
        <f>IFERROR(__xludf.DUMMYFUNCTION("""COMPUTED_VALUE"""),"PIZZARIA NOTA 10")</f>
        <v>PIZZARIA NOTA 10</v>
      </c>
      <c r="L3060" s="32">
        <f>IFERROR(__xludf.DUMMYFUNCTION("""COMPUTED_VALUE"""),3.0)</f>
        <v>3</v>
      </c>
      <c r="M3060" s="4" t="str">
        <f>IFERROR(__xludf.DUMMYFUNCTION("""COMPUTED_VALUE"""),"Saipos Serviços De Software")</f>
        <v>Saipos Serviços De Software</v>
      </c>
      <c r="N3060" s="33">
        <f>IFERROR(__xludf.DUMMYFUNCTION("""COMPUTED_VALUE"""),0.6666666666666666)</f>
        <v>0.6666666667</v>
      </c>
      <c r="O3060" s="4" t="str">
        <f>IFERROR(__xludf.DUMMYFUNCTION("""COMPUTED_VALUE"""),"Saipos Serviços De Software")</f>
        <v>Saipos Serviços De Software</v>
      </c>
      <c r="P3060" s="33">
        <f>IFERROR(__xludf.DUMMYFUNCTION("""COMPUTED_VALUE"""),0.6666666666666666)</f>
        <v>0.6666666667</v>
      </c>
      <c r="Q3060" s="4" t="str">
        <f>IFERROR(__xludf.DUMMYFUNCTION("""COMPUTED_VALUE"""),"Saipos Serviços De Software")</f>
        <v>Saipos Serviços De Software</v>
      </c>
      <c r="R3060" s="33">
        <f>IFERROR(__xludf.DUMMYFUNCTION("""COMPUTED_VALUE"""),0.6666666666666666)</f>
        <v>0.6666666667</v>
      </c>
      <c r="S3060" s="4" t="str">
        <f>IFERROR(__xludf.DUMMYFUNCTION("""COMPUTED_VALUE"""),"Saipos Serviços De Software")</f>
        <v>Saipos Serviços De Software</v>
      </c>
      <c r="T3060" s="33">
        <f>IFERROR(__xludf.DUMMYFUNCTION("""COMPUTED_VALUE"""),0.6666666666666666)</f>
        <v>0.6666666667</v>
      </c>
      <c r="U3060" s="4" t="str">
        <f>IFERROR(__xludf.DUMMYFUNCTION("""COMPUTED_VALUE"""),"Saipos Serviços De Software")</f>
        <v>Saipos Serviços De Software</v>
      </c>
      <c r="V3060" s="33">
        <f>IFERROR(__xludf.DUMMYFUNCTION("""COMPUTED_VALUE"""),0.6666666666666666)</f>
        <v>0.6666666667</v>
      </c>
      <c r="W3060" s="4" t="str">
        <f>IFERROR(__xludf.DUMMYFUNCTION("""COMPUTED_VALUE"""),"Saipos Serviços De Software")</f>
        <v>Saipos Serviços De Software</v>
      </c>
      <c r="X3060" s="33">
        <f>IFERROR(__xludf.DUMMYFUNCTION("""COMPUTED_VALUE"""),0.6666666666666666)</f>
        <v>0.6666666667</v>
      </c>
    </row>
    <row r="3061">
      <c r="K3061" s="4" t="str">
        <f>IFERROR(__xludf.DUMMYFUNCTION("""COMPUTED_VALUE"""),"PANDAS BURGUER")</f>
        <v>PANDAS BURGUER</v>
      </c>
      <c r="L3061" s="32">
        <f>IFERROR(__xludf.DUMMYFUNCTION("""COMPUTED_VALUE"""),3.0)</f>
        <v>3</v>
      </c>
      <c r="M3061" s="4" t="str">
        <f>IFERROR(__xludf.DUMMYFUNCTION("""COMPUTED_VALUE"""),"null")</f>
        <v>null</v>
      </c>
      <c r="N3061" s="33">
        <f>IFERROR(__xludf.DUMMYFUNCTION("""COMPUTED_VALUE"""),0.3333333333333333)</f>
        <v>0.3333333333</v>
      </c>
      <c r="O3061" s="4" t="str">
        <f>IFERROR(__xludf.DUMMYFUNCTION("""COMPUTED_VALUE"""),"null")</f>
        <v>null</v>
      </c>
      <c r="P3061" s="33">
        <f>IFERROR(__xludf.DUMMYFUNCTION("""COMPUTED_VALUE"""),0.3333333333333333)</f>
        <v>0.3333333333</v>
      </c>
      <c r="Q3061" s="4" t="str">
        <f>IFERROR(__xludf.DUMMYFUNCTION("""COMPUTED_VALUE"""),"null")</f>
        <v>null</v>
      </c>
      <c r="R3061" s="33">
        <f>IFERROR(__xludf.DUMMYFUNCTION("""COMPUTED_VALUE"""),0.3333333333333333)</f>
        <v>0.3333333333</v>
      </c>
      <c r="S3061" s="4" t="str">
        <f>IFERROR(__xludf.DUMMYFUNCTION("""COMPUTED_VALUE"""),"null")</f>
        <v>null</v>
      </c>
      <c r="T3061" s="33">
        <f>IFERROR(__xludf.DUMMYFUNCTION("""COMPUTED_VALUE"""),0.3333333333333333)</f>
        <v>0.3333333333</v>
      </c>
      <c r="U3061" s="4" t="str">
        <f>IFERROR(__xludf.DUMMYFUNCTION("""COMPUTED_VALUE"""),"null")</f>
        <v>null</v>
      </c>
      <c r="V3061" s="33">
        <f>IFERROR(__xludf.DUMMYFUNCTION("""COMPUTED_VALUE"""),0.3333333333333333)</f>
        <v>0.3333333333</v>
      </c>
      <c r="W3061" s="4" t="str">
        <f>IFERROR(__xludf.DUMMYFUNCTION("""COMPUTED_VALUE"""),"Datacaixa Pdv")</f>
        <v>Datacaixa Pdv</v>
      </c>
      <c r="X3061" s="33">
        <f>IFERROR(__xludf.DUMMYFUNCTION("""COMPUTED_VALUE"""),0.3333333333333333)</f>
        <v>0.3333333333</v>
      </c>
    </row>
    <row r="3062">
      <c r="K3062" s="4" t="str">
        <f>IFERROR(__xludf.DUMMYFUNCTION("""COMPUTED_VALUE"""),"PASTEIS E CIA")</f>
        <v>PASTEIS E CIA</v>
      </c>
      <c r="L3062" s="32">
        <f>IFERROR(__xludf.DUMMYFUNCTION("""COMPUTED_VALUE"""),3.0)</f>
        <v>3</v>
      </c>
      <c r="M3062" s="4" t="str">
        <f>IFERROR(__xludf.DUMMYFUNCTION("""COMPUTED_VALUE"""),"Yooga")</f>
        <v>Yooga</v>
      </c>
      <c r="N3062" s="33">
        <f>IFERROR(__xludf.DUMMYFUNCTION("""COMPUTED_VALUE"""),0.3333333333333333)</f>
        <v>0.3333333333</v>
      </c>
      <c r="O3062" s="4" t="str">
        <f>IFERROR(__xludf.DUMMYFUNCTION("""COMPUTED_VALUE"""),"Yooga")</f>
        <v>Yooga</v>
      </c>
      <c r="P3062" s="33">
        <f>IFERROR(__xludf.DUMMYFUNCTION("""COMPUTED_VALUE"""),0.3333333333333333)</f>
        <v>0.3333333333</v>
      </c>
      <c r="Q3062" s="4" t="str">
        <f>IFERROR(__xludf.DUMMYFUNCTION("""COMPUTED_VALUE"""),"Yooga")</f>
        <v>Yooga</v>
      </c>
      <c r="R3062" s="33">
        <f>IFERROR(__xludf.DUMMYFUNCTION("""COMPUTED_VALUE"""),0.3333333333333333)</f>
        <v>0.3333333333</v>
      </c>
      <c r="S3062" s="4" t="str">
        <f>IFERROR(__xludf.DUMMYFUNCTION("""COMPUTED_VALUE"""),"Yooga")</f>
        <v>Yooga</v>
      </c>
      <c r="T3062" s="33">
        <f>IFERROR(__xludf.DUMMYFUNCTION("""COMPUTED_VALUE"""),0.3333333333333333)</f>
        <v>0.3333333333</v>
      </c>
      <c r="U3062" s="4" t="str">
        <f>IFERROR(__xludf.DUMMYFUNCTION("""COMPUTED_VALUE"""),"Yooga")</f>
        <v>Yooga</v>
      </c>
      <c r="V3062" s="33">
        <f>IFERROR(__xludf.DUMMYFUNCTION("""COMPUTED_VALUE"""),0.3333333333333333)</f>
        <v>0.3333333333</v>
      </c>
      <c r="W3062" s="4" t="str">
        <f>IFERROR(__xludf.DUMMYFUNCTION("""COMPUTED_VALUE"""),"Yooga")</f>
        <v>Yooga</v>
      </c>
      <c r="X3062" s="33">
        <f>IFERROR(__xludf.DUMMYFUNCTION("""COMPUTED_VALUE"""),0.3333333333333333)</f>
        <v>0.3333333333</v>
      </c>
    </row>
    <row r="3063">
      <c r="K3063" s="4" t="str">
        <f>IFERROR(__xludf.DUMMYFUNCTION("""COMPUTED_VALUE"""),"GARAGEM DO ACAI")</f>
        <v>GARAGEM DO ACAI</v>
      </c>
      <c r="L3063" s="32">
        <f>IFERROR(__xludf.DUMMYFUNCTION("""COMPUTED_VALUE"""),3.0)</f>
        <v>3</v>
      </c>
      <c r="M3063" s="4" t="str">
        <f>IFERROR(__xludf.DUMMYFUNCTION("""COMPUTED_VALUE"""),"Suitable Tecnologia E Gestao")</f>
        <v>Suitable Tecnologia E Gestao</v>
      </c>
      <c r="N3063" s="33">
        <f>IFERROR(__xludf.DUMMYFUNCTION("""COMPUTED_VALUE"""),0.3333333333333333)</f>
        <v>0.3333333333</v>
      </c>
      <c r="O3063" s="4" t="str">
        <f>IFERROR(__xludf.DUMMYFUNCTION("""COMPUTED_VALUE"""),"Suitable Tecnologia E Gestao")</f>
        <v>Suitable Tecnologia E Gestao</v>
      </c>
      <c r="P3063" s="33">
        <f>IFERROR(__xludf.DUMMYFUNCTION("""COMPUTED_VALUE"""),0.3333333333333333)</f>
        <v>0.3333333333</v>
      </c>
      <c r="Q3063" s="4" t="str">
        <f>IFERROR(__xludf.DUMMYFUNCTION("""COMPUTED_VALUE"""),"Suitable Tecnologia E Gestao")</f>
        <v>Suitable Tecnologia E Gestao</v>
      </c>
      <c r="R3063" s="33">
        <f>IFERROR(__xludf.DUMMYFUNCTION("""COMPUTED_VALUE"""),0.3333333333333333)</f>
        <v>0.3333333333</v>
      </c>
      <c r="S3063" s="4" t="str">
        <f>IFERROR(__xludf.DUMMYFUNCTION("""COMPUTED_VALUE"""),"Suitable Tecnologia E Gestao")</f>
        <v>Suitable Tecnologia E Gestao</v>
      </c>
      <c r="T3063" s="33">
        <f>IFERROR(__xludf.DUMMYFUNCTION("""COMPUTED_VALUE"""),0.3333333333333333)</f>
        <v>0.3333333333</v>
      </c>
      <c r="U3063" s="4" t="str">
        <f>IFERROR(__xludf.DUMMYFUNCTION("""COMPUTED_VALUE"""),"Suitable Tecnologia E Gestao")</f>
        <v>Suitable Tecnologia E Gestao</v>
      </c>
      <c r="V3063" s="33">
        <f>IFERROR(__xludf.DUMMYFUNCTION("""COMPUTED_VALUE"""),0.3333333333333333)</f>
        <v>0.3333333333</v>
      </c>
      <c r="W3063" s="4" t="str">
        <f>IFERROR(__xludf.DUMMYFUNCTION("""COMPUTED_VALUE"""),"Suitable Tecnologia E Gestao")</f>
        <v>Suitable Tecnologia E Gestao</v>
      </c>
      <c r="X3063" s="33">
        <f>IFERROR(__xludf.DUMMYFUNCTION("""COMPUTED_VALUE"""),0.3333333333333333)</f>
        <v>0.3333333333</v>
      </c>
    </row>
    <row r="3064">
      <c r="K3064" s="4" t="str">
        <f>IFERROR(__xludf.DUMMYFUNCTION("""COMPUTED_VALUE"""),"WAKAM SUSHI")</f>
        <v>WAKAM SUSHI</v>
      </c>
      <c r="L3064" s="32">
        <f>IFERROR(__xludf.DUMMYFUNCTION("""COMPUTED_VALUE"""),3.0)</f>
        <v>3</v>
      </c>
      <c r="M3064" s="4" t="str">
        <f>IFERROR(__xludf.DUMMYFUNCTION("""COMPUTED_VALUE"""),"Saipos Serviços De Software")</f>
        <v>Saipos Serviços De Software</v>
      </c>
      <c r="N3064" s="33">
        <f>IFERROR(__xludf.DUMMYFUNCTION("""COMPUTED_VALUE"""),1.0)</f>
        <v>1</v>
      </c>
      <c r="O3064" s="4" t="str">
        <f>IFERROR(__xludf.DUMMYFUNCTION("""COMPUTED_VALUE"""),"Saipos Serviços De Software")</f>
        <v>Saipos Serviços De Software</v>
      </c>
      <c r="P3064" s="33">
        <f>IFERROR(__xludf.DUMMYFUNCTION("""COMPUTED_VALUE"""),0.6666666666666666)</f>
        <v>0.6666666667</v>
      </c>
      <c r="Q3064" s="4" t="str">
        <f>IFERROR(__xludf.DUMMYFUNCTION("""COMPUTED_VALUE"""),"null")</f>
        <v>null</v>
      </c>
      <c r="R3064" s="33">
        <f>IFERROR(__xludf.DUMMYFUNCTION("""COMPUTED_VALUE"""),0.6666666666666666)</f>
        <v>0.6666666667</v>
      </c>
      <c r="S3064" s="4" t="str">
        <f>IFERROR(__xludf.DUMMYFUNCTION("""COMPUTED_VALUE"""),"null")</f>
        <v>null</v>
      </c>
      <c r="T3064" s="33">
        <f>IFERROR(__xludf.DUMMYFUNCTION("""COMPUTED_VALUE"""),0.6666666666666666)</f>
        <v>0.6666666667</v>
      </c>
      <c r="U3064" s="4" t="str">
        <f>IFERROR(__xludf.DUMMYFUNCTION("""COMPUTED_VALUE"""),"null")</f>
        <v>null</v>
      </c>
      <c r="V3064" s="33">
        <f>IFERROR(__xludf.DUMMYFUNCTION("""COMPUTED_VALUE"""),0.6666666666666666)</f>
        <v>0.6666666667</v>
      </c>
      <c r="W3064" s="4" t="str">
        <f>IFERROR(__xludf.DUMMYFUNCTION("""COMPUTED_VALUE"""),"Saipos Serviços De Software")</f>
        <v>Saipos Serviços De Software</v>
      </c>
      <c r="X3064" s="33">
        <f>IFERROR(__xludf.DUMMYFUNCTION("""COMPUTED_VALUE"""),0.6666666666666666)</f>
        <v>0.6666666667</v>
      </c>
    </row>
    <row r="3065">
      <c r="K3065" s="4" t="str">
        <f>IFERROR(__xludf.DUMMYFUNCTION("""COMPUTED_VALUE"""),"HAMBURGUERIA ARTESANAL - GULA BURGUER")</f>
        <v>HAMBURGUERIA ARTESANAL - GULA BURGUER</v>
      </c>
      <c r="L3065" s="32">
        <f>IFERROR(__xludf.DUMMYFUNCTION("""COMPUTED_VALUE"""),3.0)</f>
        <v>3</v>
      </c>
      <c r="M3065" s="4" t="str">
        <f>IFERROR(__xludf.DUMMYFUNCTION("""COMPUTED_VALUE"""),"Consumer Soluções Em Tecnologia Ltda")</f>
        <v>Consumer Soluções Em Tecnologia Ltda</v>
      </c>
      <c r="N3065" s="33">
        <f>IFERROR(__xludf.DUMMYFUNCTION("""COMPUTED_VALUE"""),1.0)</f>
        <v>1</v>
      </c>
      <c r="O3065" s="4" t="str">
        <f>IFERROR(__xludf.DUMMYFUNCTION("""COMPUTED_VALUE"""),"Consumer Soluções Em Tecnologia Ltda")</f>
        <v>Consumer Soluções Em Tecnologia Ltda</v>
      </c>
      <c r="P3065" s="33">
        <f>IFERROR(__xludf.DUMMYFUNCTION("""COMPUTED_VALUE"""),0.6666666666666666)</f>
        <v>0.6666666667</v>
      </c>
      <c r="Q3065" s="4" t="str">
        <f>IFERROR(__xludf.DUMMYFUNCTION("""COMPUTED_VALUE"""),"Consumer Soluções Em Tecnologia Ltda")</f>
        <v>Consumer Soluções Em Tecnologia Ltda</v>
      </c>
      <c r="R3065" s="33">
        <f>IFERROR(__xludf.DUMMYFUNCTION("""COMPUTED_VALUE"""),1.0)</f>
        <v>1</v>
      </c>
      <c r="S3065" s="4" t="str">
        <f>IFERROR(__xludf.DUMMYFUNCTION("""COMPUTED_VALUE"""),"null")</f>
        <v>null</v>
      </c>
      <c r="T3065" s="33">
        <f>IFERROR(__xludf.DUMMYFUNCTION("""COMPUTED_VALUE"""),0.6666666666666666)</f>
        <v>0.6666666667</v>
      </c>
      <c r="U3065" s="4" t="str">
        <f>IFERROR(__xludf.DUMMYFUNCTION("""COMPUTED_VALUE"""),"Consumer Soluções Em Tecnologia Ltda")</f>
        <v>Consumer Soluções Em Tecnologia Ltda</v>
      </c>
      <c r="V3065" s="33">
        <f>IFERROR(__xludf.DUMMYFUNCTION("""COMPUTED_VALUE"""),0.6666666666666666)</f>
        <v>0.6666666667</v>
      </c>
      <c r="W3065" s="4" t="str">
        <f>IFERROR(__xludf.DUMMYFUNCTION("""COMPUTED_VALUE"""),"Consumer Soluções Em Tecnologia Ltda")</f>
        <v>Consumer Soluções Em Tecnologia Ltda</v>
      </c>
      <c r="X3065" s="33">
        <f>IFERROR(__xludf.DUMMYFUNCTION("""COMPUTED_VALUE"""),1.0)</f>
        <v>1</v>
      </c>
    </row>
    <row r="3066">
      <c r="K3066" s="4" t="str">
        <f>IFERROR(__xludf.DUMMYFUNCTION("""COMPUTED_VALUE"""),"OFICINA DO PASTEL")</f>
        <v>OFICINA DO PASTEL</v>
      </c>
      <c r="L3066" s="32">
        <f>IFERROR(__xludf.DUMMYFUNCTION("""COMPUTED_VALUE"""),3.0)</f>
        <v>3</v>
      </c>
      <c r="M3066" s="4" t="str">
        <f>IFERROR(__xludf.DUMMYFUNCTION("""COMPUTED_VALUE"""),"Consumer Soluções Em Tecnologia Ltda")</f>
        <v>Consumer Soluções Em Tecnologia Ltda</v>
      </c>
      <c r="N3066" s="33">
        <f>IFERROR(__xludf.DUMMYFUNCTION("""COMPUTED_VALUE"""),0.3333333333333333)</f>
        <v>0.3333333333</v>
      </c>
      <c r="O3066" s="4" t="str">
        <f>IFERROR(__xludf.DUMMYFUNCTION("""COMPUTED_VALUE"""),"null")</f>
        <v>null</v>
      </c>
      <c r="P3066" s="33">
        <f>IFERROR(__xludf.DUMMYFUNCTION("""COMPUTED_VALUE"""),0.3333333333333333)</f>
        <v>0.3333333333</v>
      </c>
      <c r="Q3066" s="4" t="str">
        <f>IFERROR(__xludf.DUMMYFUNCTION("""COMPUTED_VALUE"""),"null")</f>
        <v>null</v>
      </c>
      <c r="R3066" s="33">
        <f>IFERROR(__xludf.DUMMYFUNCTION("""COMPUTED_VALUE"""),0.3333333333333333)</f>
        <v>0.3333333333</v>
      </c>
      <c r="S3066" s="4" t="str">
        <f>IFERROR(__xludf.DUMMYFUNCTION("""COMPUTED_VALUE"""),"Consumer Soluções Em Tecnologia Ltda")</f>
        <v>Consumer Soluções Em Tecnologia Ltda</v>
      </c>
      <c r="T3066" s="33">
        <f>IFERROR(__xludf.DUMMYFUNCTION("""COMPUTED_VALUE"""),0.3333333333333333)</f>
        <v>0.3333333333</v>
      </c>
      <c r="U3066" s="4" t="str">
        <f>IFERROR(__xludf.DUMMYFUNCTION("""COMPUTED_VALUE"""),"null")</f>
        <v>null</v>
      </c>
      <c r="V3066" s="33">
        <f>IFERROR(__xludf.DUMMYFUNCTION("""COMPUTED_VALUE"""),0.3333333333333333)</f>
        <v>0.3333333333</v>
      </c>
      <c r="W3066" s="4" t="str">
        <f>IFERROR(__xludf.DUMMYFUNCTION("""COMPUTED_VALUE"""),"null")</f>
        <v>null</v>
      </c>
      <c r="X3066" s="33">
        <f>IFERROR(__xludf.DUMMYFUNCTION("""COMPUTED_VALUE"""),0.3333333333333333)</f>
        <v>0.3333333333</v>
      </c>
    </row>
    <row r="3067">
      <c r="K3067" s="4" t="str">
        <f>IFERROR(__xludf.DUMMYFUNCTION("""COMPUTED_VALUE"""),"SHAWARMA FOOD")</f>
        <v>SHAWARMA FOOD</v>
      </c>
      <c r="L3067" s="32">
        <f>IFERROR(__xludf.DUMMYFUNCTION("""COMPUTED_VALUE"""),3.0)</f>
        <v>3</v>
      </c>
      <c r="M3067" s="4" t="str">
        <f>IFERROR(__xludf.DUMMYFUNCTION("""COMPUTED_VALUE"""),"Consumer Soluções Em Tecnologia Ltda")</f>
        <v>Consumer Soluções Em Tecnologia Ltda</v>
      </c>
      <c r="N3067" s="33">
        <f>IFERROR(__xludf.DUMMYFUNCTION("""COMPUTED_VALUE"""),0.6666666666666666)</f>
        <v>0.6666666667</v>
      </c>
      <c r="O3067" s="4" t="str">
        <f>IFERROR(__xludf.DUMMYFUNCTION("""COMPUTED_VALUE"""),"Consumer Soluções Em Tecnologia Ltda")</f>
        <v>Consumer Soluções Em Tecnologia Ltda</v>
      </c>
      <c r="P3067" s="33">
        <f>IFERROR(__xludf.DUMMYFUNCTION("""COMPUTED_VALUE"""),0.6666666666666666)</f>
        <v>0.6666666667</v>
      </c>
      <c r="Q3067" s="4" t="str">
        <f>IFERROR(__xludf.DUMMYFUNCTION("""COMPUTED_VALUE"""),"Consumer Soluções Em Tecnologia Ltda")</f>
        <v>Consumer Soluções Em Tecnologia Ltda</v>
      </c>
      <c r="R3067" s="33">
        <f>IFERROR(__xludf.DUMMYFUNCTION("""COMPUTED_VALUE"""),0.6666666666666666)</f>
        <v>0.6666666667</v>
      </c>
      <c r="S3067" s="4" t="str">
        <f>IFERROR(__xludf.DUMMYFUNCTION("""COMPUTED_VALUE"""),"Consumer Soluções Em Tecnologia Ltda")</f>
        <v>Consumer Soluções Em Tecnologia Ltda</v>
      </c>
      <c r="T3067" s="33">
        <f>IFERROR(__xludf.DUMMYFUNCTION("""COMPUTED_VALUE"""),0.6666666666666666)</f>
        <v>0.6666666667</v>
      </c>
      <c r="U3067" s="4" t="str">
        <f>IFERROR(__xludf.DUMMYFUNCTION("""COMPUTED_VALUE"""),"Cardápio Web")</f>
        <v>Cardápio Web</v>
      </c>
      <c r="V3067" s="33">
        <f>IFERROR(__xludf.DUMMYFUNCTION("""COMPUTED_VALUE"""),0.3333333333333333)</f>
        <v>0.3333333333</v>
      </c>
      <c r="W3067" s="4" t="str">
        <f>IFERROR(__xludf.DUMMYFUNCTION("""COMPUTED_VALUE"""),"Consumer Soluções Em Tecnologia Ltda")</f>
        <v>Consumer Soluções Em Tecnologia Ltda</v>
      </c>
      <c r="X3067" s="33">
        <f>IFERROR(__xludf.DUMMYFUNCTION("""COMPUTED_VALUE"""),0.6666666666666666)</f>
        <v>0.6666666667</v>
      </c>
    </row>
    <row r="3068">
      <c r="K3068" s="4" t="str">
        <f>IFERROR(__xludf.DUMMYFUNCTION("""COMPUTED_VALUE"""),"RESTAURANTE ALECRIM")</f>
        <v>RESTAURANTE ALECRIM</v>
      </c>
      <c r="L3068" s="32">
        <f>IFERROR(__xludf.DUMMYFUNCTION("""COMPUTED_VALUE"""),3.0)</f>
        <v>3</v>
      </c>
      <c r="M3068" s="4" t="str">
        <f>IFERROR(__xludf.DUMMYFUNCTION("""COMPUTED_VALUE"""),"Saipos Serviços De Software")</f>
        <v>Saipos Serviços De Software</v>
      </c>
      <c r="N3068" s="33">
        <f>IFERROR(__xludf.DUMMYFUNCTION("""COMPUTED_VALUE"""),0.6666666666666666)</f>
        <v>0.6666666667</v>
      </c>
      <c r="O3068" s="4" t="str">
        <f>IFERROR(__xludf.DUMMYFUNCTION("""COMPUTED_VALUE"""),"Saipos Serviços De Software")</f>
        <v>Saipos Serviços De Software</v>
      </c>
      <c r="P3068" s="33">
        <f>IFERROR(__xludf.DUMMYFUNCTION("""COMPUTED_VALUE"""),0.6666666666666666)</f>
        <v>0.6666666667</v>
      </c>
      <c r="Q3068" s="4" t="str">
        <f>IFERROR(__xludf.DUMMYFUNCTION("""COMPUTED_VALUE"""),"Saipos Serviços De Software")</f>
        <v>Saipos Serviços De Software</v>
      </c>
      <c r="R3068" s="33">
        <f>IFERROR(__xludf.DUMMYFUNCTION("""COMPUTED_VALUE"""),0.6666666666666666)</f>
        <v>0.6666666667</v>
      </c>
      <c r="S3068" s="4" t="str">
        <f>IFERROR(__xludf.DUMMYFUNCTION("""COMPUTED_VALUE"""),"Saipos Serviços De Software")</f>
        <v>Saipos Serviços De Software</v>
      </c>
      <c r="T3068" s="33">
        <f>IFERROR(__xludf.DUMMYFUNCTION("""COMPUTED_VALUE"""),0.6666666666666666)</f>
        <v>0.6666666667</v>
      </c>
      <c r="U3068" s="4" t="str">
        <f>IFERROR(__xludf.DUMMYFUNCTION("""COMPUTED_VALUE"""),"Saipos Serviços De Software")</f>
        <v>Saipos Serviços De Software</v>
      </c>
      <c r="V3068" s="33">
        <f>IFERROR(__xludf.DUMMYFUNCTION("""COMPUTED_VALUE"""),0.6666666666666666)</f>
        <v>0.6666666667</v>
      </c>
      <c r="W3068" s="4" t="str">
        <f>IFERROR(__xludf.DUMMYFUNCTION("""COMPUTED_VALUE"""),"Saipos Serviços De Software")</f>
        <v>Saipos Serviços De Software</v>
      </c>
      <c r="X3068" s="33">
        <f>IFERROR(__xludf.DUMMYFUNCTION("""COMPUTED_VALUE"""),0.6666666666666666)</f>
        <v>0.6666666667</v>
      </c>
    </row>
    <row r="3069">
      <c r="K3069" s="4" t="str">
        <f>IFERROR(__xludf.DUMMYFUNCTION("""COMPUTED_VALUE"""),"PIZZARIA VENUTTI")</f>
        <v>PIZZARIA VENUTTI</v>
      </c>
      <c r="L3069" s="32">
        <f>IFERROR(__xludf.DUMMYFUNCTION("""COMPUTED_VALUE"""),3.0)</f>
        <v>3</v>
      </c>
      <c r="M3069" s="4" t="str">
        <f>IFERROR(__xludf.DUMMYFUNCTION("""COMPUTED_VALUE"""),"Mp Multipedidos")</f>
        <v>Mp Multipedidos</v>
      </c>
      <c r="N3069" s="33">
        <f>IFERROR(__xludf.DUMMYFUNCTION("""COMPUTED_VALUE"""),0.3333333333333333)</f>
        <v>0.3333333333</v>
      </c>
      <c r="O3069" s="4" t="str">
        <f>IFERROR(__xludf.DUMMYFUNCTION("""COMPUTED_VALUE"""),"Mp Multipedidos")</f>
        <v>Mp Multipedidos</v>
      </c>
      <c r="P3069" s="33">
        <f>IFERROR(__xludf.DUMMYFUNCTION("""COMPUTED_VALUE"""),0.3333333333333333)</f>
        <v>0.3333333333</v>
      </c>
      <c r="Q3069" s="4" t="str">
        <f>IFERROR(__xludf.DUMMYFUNCTION("""COMPUTED_VALUE"""),"Saipos Serviços De Software")</f>
        <v>Saipos Serviços De Software</v>
      </c>
      <c r="R3069" s="33">
        <f>IFERROR(__xludf.DUMMYFUNCTION("""COMPUTED_VALUE"""),0.6666666666666666)</f>
        <v>0.6666666667</v>
      </c>
      <c r="S3069" s="4" t="str">
        <f>IFERROR(__xludf.DUMMYFUNCTION("""COMPUTED_VALUE"""),"Saipos Serviços De Software")</f>
        <v>Saipos Serviços De Software</v>
      </c>
      <c r="T3069" s="33">
        <f>IFERROR(__xludf.DUMMYFUNCTION("""COMPUTED_VALUE"""),0.6666666666666666)</f>
        <v>0.6666666667</v>
      </c>
      <c r="U3069" s="4" t="str">
        <f>IFERROR(__xludf.DUMMYFUNCTION("""COMPUTED_VALUE"""),"Mp Multipedidos")</f>
        <v>Mp Multipedidos</v>
      </c>
      <c r="V3069" s="33">
        <f>IFERROR(__xludf.DUMMYFUNCTION("""COMPUTED_VALUE"""),0.3333333333333333)</f>
        <v>0.3333333333</v>
      </c>
      <c r="W3069" s="4" t="str">
        <f>IFERROR(__xludf.DUMMYFUNCTION("""COMPUTED_VALUE"""),"Mp Multipedidos")</f>
        <v>Mp Multipedidos</v>
      </c>
      <c r="X3069" s="33">
        <f>IFERROR(__xludf.DUMMYFUNCTION("""COMPUTED_VALUE"""),0.3333333333333333)</f>
        <v>0.3333333333</v>
      </c>
    </row>
    <row r="3070">
      <c r="K3070" s="4" t="str">
        <f>IFERROR(__xludf.DUMMYFUNCTION("""COMPUTED_VALUE"""),"TICOS BURGUER")</f>
        <v>TICOS BURGUER</v>
      </c>
      <c r="L3070" s="32">
        <f>IFERROR(__xludf.DUMMYFUNCTION("""COMPUTED_VALUE"""),3.0)</f>
        <v>3</v>
      </c>
      <c r="M3070" s="4" t="str">
        <f>IFERROR(__xludf.DUMMYFUNCTION("""COMPUTED_VALUE"""),"One Solucoes")</f>
        <v>One Solucoes</v>
      </c>
      <c r="N3070" s="33">
        <f>IFERROR(__xludf.DUMMYFUNCTION("""COMPUTED_VALUE"""),0.3333333333333333)</f>
        <v>0.3333333333</v>
      </c>
      <c r="O3070" s="4" t="str">
        <f>IFERROR(__xludf.DUMMYFUNCTION("""COMPUTED_VALUE"""),"null")</f>
        <v>null</v>
      </c>
      <c r="P3070" s="33">
        <f>IFERROR(__xludf.DUMMYFUNCTION("""COMPUTED_VALUE"""),0.6666666666666666)</f>
        <v>0.6666666667</v>
      </c>
      <c r="Q3070" s="4" t="str">
        <f>IFERROR(__xludf.DUMMYFUNCTION("""COMPUTED_VALUE"""),"One Solucoes")</f>
        <v>One Solucoes</v>
      </c>
      <c r="R3070" s="33">
        <f>IFERROR(__xludf.DUMMYFUNCTION("""COMPUTED_VALUE"""),0.3333333333333333)</f>
        <v>0.3333333333</v>
      </c>
      <c r="S3070" s="4" t="str">
        <f>IFERROR(__xludf.DUMMYFUNCTION("""COMPUTED_VALUE"""),"One Solucoes")</f>
        <v>One Solucoes</v>
      </c>
      <c r="T3070" s="33">
        <f>IFERROR(__xludf.DUMMYFUNCTION("""COMPUTED_VALUE"""),0.3333333333333333)</f>
        <v>0.3333333333</v>
      </c>
      <c r="U3070" s="4" t="str">
        <f>IFERROR(__xludf.DUMMYFUNCTION("""COMPUTED_VALUE"""),"One Solucoes")</f>
        <v>One Solucoes</v>
      </c>
      <c r="V3070" s="33">
        <f>IFERROR(__xludf.DUMMYFUNCTION("""COMPUTED_VALUE"""),0.3333333333333333)</f>
        <v>0.3333333333</v>
      </c>
      <c r="W3070" s="4" t="str">
        <f>IFERROR(__xludf.DUMMYFUNCTION("""COMPUTED_VALUE"""),"One Solucoes")</f>
        <v>One Solucoes</v>
      </c>
      <c r="X3070" s="33">
        <f>IFERROR(__xludf.DUMMYFUNCTION("""COMPUTED_VALUE"""),0.3333333333333333)</f>
        <v>0.3333333333</v>
      </c>
    </row>
    <row r="3071">
      <c r="K3071" s="4" t="str">
        <f>IFERROR(__xludf.DUMMYFUNCTION("""COMPUTED_VALUE"""),"BARRA LANCHES")</f>
        <v>BARRA LANCHES</v>
      </c>
      <c r="L3071" s="32">
        <f>IFERROR(__xludf.DUMMYFUNCTION("""COMPUTED_VALUE"""),3.0)</f>
        <v>3</v>
      </c>
      <c r="M3071" s="4" t="str">
        <f>IFERROR(__xludf.DUMMYFUNCTION("""COMPUTED_VALUE"""),"Ncr")</f>
        <v>Ncr</v>
      </c>
      <c r="N3071" s="33">
        <f>IFERROR(__xludf.DUMMYFUNCTION("""COMPUTED_VALUE"""),0.3333333333333333)</f>
        <v>0.3333333333</v>
      </c>
      <c r="O3071" s="4" t="str">
        <f>IFERROR(__xludf.DUMMYFUNCTION("""COMPUTED_VALUE"""),"Ncr")</f>
        <v>Ncr</v>
      </c>
      <c r="P3071" s="33">
        <f>IFERROR(__xludf.DUMMYFUNCTION("""COMPUTED_VALUE"""),0.3333333333333333)</f>
        <v>0.3333333333</v>
      </c>
      <c r="Q3071" s="4" t="str">
        <f>IFERROR(__xludf.DUMMYFUNCTION("""COMPUTED_VALUE"""),"Ncr")</f>
        <v>Ncr</v>
      </c>
      <c r="R3071" s="33">
        <f>IFERROR(__xludf.DUMMYFUNCTION("""COMPUTED_VALUE"""),0.3333333333333333)</f>
        <v>0.3333333333</v>
      </c>
      <c r="S3071" s="4" t="str">
        <f>IFERROR(__xludf.DUMMYFUNCTION("""COMPUTED_VALUE"""),"Ncr")</f>
        <v>Ncr</v>
      </c>
      <c r="T3071" s="33">
        <f>IFERROR(__xludf.DUMMYFUNCTION("""COMPUTED_VALUE"""),0.3333333333333333)</f>
        <v>0.3333333333</v>
      </c>
      <c r="U3071" s="4" t="str">
        <f>IFERROR(__xludf.DUMMYFUNCTION("""COMPUTED_VALUE"""),"null")</f>
        <v>null</v>
      </c>
      <c r="V3071" s="33">
        <f>IFERROR(__xludf.DUMMYFUNCTION("""COMPUTED_VALUE"""),0.3333333333333333)</f>
        <v>0.3333333333</v>
      </c>
      <c r="W3071" s="4" t="str">
        <f>IFERROR(__xludf.DUMMYFUNCTION("""COMPUTED_VALUE"""),"null")</f>
        <v>null</v>
      </c>
      <c r="X3071" s="33">
        <f>IFERROR(__xludf.DUMMYFUNCTION("""COMPUTED_VALUE"""),0.3333333333333333)</f>
        <v>0.3333333333</v>
      </c>
    </row>
    <row r="3072">
      <c r="K3072" s="4" t="str">
        <f>IFERROR(__xludf.DUMMYFUNCTION("""COMPUTED_VALUE"""),"BOCA ROXA ACAI")</f>
        <v>BOCA ROXA ACAI</v>
      </c>
      <c r="L3072" s="32">
        <f>IFERROR(__xludf.DUMMYFUNCTION("""COMPUTED_VALUE"""),3.0)</f>
        <v>3</v>
      </c>
      <c r="M3072" s="4" t="str">
        <f>IFERROR(__xludf.DUMMYFUNCTION("""COMPUTED_VALUE"""),"Connectplug")</f>
        <v>Connectplug</v>
      </c>
      <c r="N3072" s="33">
        <f>IFERROR(__xludf.DUMMYFUNCTION("""COMPUTED_VALUE"""),0.3333333333333333)</f>
        <v>0.3333333333</v>
      </c>
      <c r="O3072" s="4" t="str">
        <f>IFERROR(__xludf.DUMMYFUNCTION("""COMPUTED_VALUE"""),"Connectplug")</f>
        <v>Connectplug</v>
      </c>
      <c r="P3072" s="33">
        <f>IFERROR(__xludf.DUMMYFUNCTION("""COMPUTED_VALUE"""),0.3333333333333333)</f>
        <v>0.3333333333</v>
      </c>
      <c r="Q3072" s="4" t="str">
        <f>IFERROR(__xludf.DUMMYFUNCTION("""COMPUTED_VALUE"""),"Connectplug")</f>
        <v>Connectplug</v>
      </c>
      <c r="R3072" s="33">
        <f>IFERROR(__xludf.DUMMYFUNCTION("""COMPUTED_VALUE"""),0.3333333333333333)</f>
        <v>0.3333333333</v>
      </c>
      <c r="S3072" s="4" t="str">
        <f>IFERROR(__xludf.DUMMYFUNCTION("""COMPUTED_VALUE"""),"null")</f>
        <v>null</v>
      </c>
      <c r="T3072" s="33">
        <f>IFERROR(__xludf.DUMMYFUNCTION("""COMPUTED_VALUE"""),0.3333333333333333)</f>
        <v>0.3333333333</v>
      </c>
      <c r="U3072" s="4" t="str">
        <f>IFERROR(__xludf.DUMMYFUNCTION("""COMPUTED_VALUE"""),"null")</f>
        <v>null</v>
      </c>
      <c r="V3072" s="33">
        <f>IFERROR(__xludf.DUMMYFUNCTION("""COMPUTED_VALUE"""),0.3333333333333333)</f>
        <v>0.3333333333</v>
      </c>
      <c r="W3072" s="4" t="str">
        <f>IFERROR(__xludf.DUMMYFUNCTION("""COMPUTED_VALUE"""),"null")</f>
        <v>null</v>
      </c>
      <c r="X3072" s="33">
        <f>IFERROR(__xludf.DUMMYFUNCTION("""COMPUTED_VALUE"""),1.0)</f>
        <v>1</v>
      </c>
    </row>
    <row r="3073">
      <c r="K3073" s="4" t="str">
        <f>IFERROR(__xludf.DUMMYFUNCTION("""COMPUTED_VALUE"""),"PIZZARIA ROMANA")</f>
        <v>PIZZARIA ROMANA</v>
      </c>
      <c r="L3073" s="32">
        <f>IFERROR(__xludf.DUMMYFUNCTION("""COMPUTED_VALUE"""),3.0)</f>
        <v>3</v>
      </c>
      <c r="M3073" s="4" t="str">
        <f>IFERROR(__xludf.DUMMYFUNCTION("""COMPUTED_VALUE"""),"Cardápio Web")</f>
        <v>Cardápio Web</v>
      </c>
      <c r="N3073" s="33">
        <f>IFERROR(__xludf.DUMMYFUNCTION("""COMPUTED_VALUE"""),0.3333333333333333)</f>
        <v>0.3333333333</v>
      </c>
      <c r="O3073" s="4" t="str">
        <f>IFERROR(__xludf.DUMMYFUNCTION("""COMPUTED_VALUE"""),"Cardápio Web")</f>
        <v>Cardápio Web</v>
      </c>
      <c r="P3073" s="33">
        <f>IFERROR(__xludf.DUMMYFUNCTION("""COMPUTED_VALUE"""),0.3333333333333333)</f>
        <v>0.3333333333</v>
      </c>
      <c r="Q3073" s="4" t="str">
        <f>IFERROR(__xludf.DUMMYFUNCTION("""COMPUTED_VALUE"""),"Cardápio Web")</f>
        <v>Cardápio Web</v>
      </c>
      <c r="R3073" s="33">
        <f>IFERROR(__xludf.DUMMYFUNCTION("""COMPUTED_VALUE"""),0.3333333333333333)</f>
        <v>0.3333333333</v>
      </c>
      <c r="S3073" s="4" t="str">
        <f>IFERROR(__xludf.DUMMYFUNCTION("""COMPUTED_VALUE"""),"null")</f>
        <v>null</v>
      </c>
      <c r="T3073" s="33">
        <f>IFERROR(__xludf.DUMMYFUNCTION("""COMPUTED_VALUE"""),0.6666666666666666)</f>
        <v>0.6666666667</v>
      </c>
      <c r="U3073" s="4" t="str">
        <f>IFERROR(__xludf.DUMMYFUNCTION("""COMPUTED_VALUE"""),"null")</f>
        <v>null</v>
      </c>
      <c r="V3073" s="33">
        <f>IFERROR(__xludf.DUMMYFUNCTION("""COMPUTED_VALUE"""),0.6666666666666666)</f>
        <v>0.6666666667</v>
      </c>
      <c r="W3073" s="4" t="str">
        <f>IFERROR(__xludf.DUMMYFUNCTION("""COMPUTED_VALUE"""),"null")</f>
        <v>null</v>
      </c>
      <c r="X3073" s="33">
        <f>IFERROR(__xludf.DUMMYFUNCTION("""COMPUTED_VALUE"""),0.6666666666666666)</f>
        <v>0.6666666667</v>
      </c>
    </row>
    <row r="3074">
      <c r="K3074" s="4" t="str">
        <f>IFERROR(__xludf.DUMMYFUNCTION("""COMPUTED_VALUE"""),"WORLD BURGER")</f>
        <v>WORLD BURGER</v>
      </c>
      <c r="L3074" s="32">
        <f>IFERROR(__xludf.DUMMYFUNCTION("""COMPUTED_VALUE"""),3.0)</f>
        <v>3</v>
      </c>
      <c r="M3074" s="4" t="str">
        <f>IFERROR(__xludf.DUMMYFUNCTION("""COMPUTED_VALUE"""),"Consumer Soluções Em Tecnologia Ltda")</f>
        <v>Consumer Soluções Em Tecnologia Ltda</v>
      </c>
      <c r="N3074" s="33">
        <f>IFERROR(__xludf.DUMMYFUNCTION("""COMPUTED_VALUE"""),0.3333333333333333)</f>
        <v>0.3333333333</v>
      </c>
      <c r="O3074" s="4" t="str">
        <f>IFERROR(__xludf.DUMMYFUNCTION("""COMPUTED_VALUE"""),"null")</f>
        <v>null</v>
      </c>
      <c r="P3074" s="33">
        <f>IFERROR(__xludf.DUMMYFUNCTION("""COMPUTED_VALUE"""),0.6666666666666666)</f>
        <v>0.6666666667</v>
      </c>
      <c r="Q3074" s="4" t="str">
        <f>IFERROR(__xludf.DUMMYFUNCTION("""COMPUTED_VALUE"""),"null")</f>
        <v>null</v>
      </c>
      <c r="R3074" s="33">
        <f>IFERROR(__xludf.DUMMYFUNCTION("""COMPUTED_VALUE"""),0.6666666666666666)</f>
        <v>0.6666666667</v>
      </c>
      <c r="S3074" s="4" t="str">
        <f>IFERROR(__xludf.DUMMYFUNCTION("""COMPUTED_VALUE"""),"null")</f>
        <v>null</v>
      </c>
      <c r="T3074" s="33">
        <f>IFERROR(__xludf.DUMMYFUNCTION("""COMPUTED_VALUE"""),0.6666666666666666)</f>
        <v>0.6666666667</v>
      </c>
      <c r="U3074" s="4" t="str">
        <f>IFERROR(__xludf.DUMMYFUNCTION("""COMPUTED_VALUE"""),"null")</f>
        <v>null</v>
      </c>
      <c r="V3074" s="33">
        <f>IFERROR(__xludf.DUMMYFUNCTION("""COMPUTED_VALUE"""),0.6666666666666666)</f>
        <v>0.6666666667</v>
      </c>
      <c r="W3074" s="4" t="str">
        <f>IFERROR(__xludf.DUMMYFUNCTION("""COMPUTED_VALUE"""),"null")</f>
        <v>null</v>
      </c>
      <c r="X3074" s="33">
        <f>IFERROR(__xludf.DUMMYFUNCTION("""COMPUTED_VALUE"""),0.6666666666666666)</f>
        <v>0.6666666667</v>
      </c>
    </row>
    <row r="3075">
      <c r="K3075" s="4" t="str">
        <f>IFERROR(__xludf.DUMMYFUNCTION("""COMPUTED_VALUE"""),"NOSSO PASTEL")</f>
        <v>NOSSO PASTEL</v>
      </c>
      <c r="L3075" s="32">
        <f>IFERROR(__xludf.DUMMYFUNCTION("""COMPUTED_VALUE"""),3.0)</f>
        <v>3</v>
      </c>
      <c r="M3075" s="4" t="str">
        <f>IFERROR(__xludf.DUMMYFUNCTION("""COMPUTED_VALUE"""),"null")</f>
        <v>null</v>
      </c>
      <c r="N3075" s="33">
        <f>IFERROR(__xludf.DUMMYFUNCTION("""COMPUTED_VALUE"""),0.6666666666666666)</f>
        <v>0.6666666667</v>
      </c>
      <c r="O3075" s="4" t="str">
        <f>IFERROR(__xludf.DUMMYFUNCTION("""COMPUTED_VALUE"""),"null")</f>
        <v>null</v>
      </c>
      <c r="P3075" s="33">
        <f>IFERROR(__xludf.DUMMYFUNCTION("""COMPUTED_VALUE"""),0.3333333333333333)</f>
        <v>0.3333333333</v>
      </c>
      <c r="Q3075" s="4" t="str">
        <f>IFERROR(__xludf.DUMMYFUNCTION("""COMPUTED_VALUE"""),"Saipos Serviços De Software")</f>
        <v>Saipos Serviços De Software</v>
      </c>
      <c r="R3075" s="33">
        <f>IFERROR(__xludf.DUMMYFUNCTION("""COMPUTED_VALUE"""),0.6666666666666666)</f>
        <v>0.6666666667</v>
      </c>
      <c r="S3075" s="4" t="str">
        <f>IFERROR(__xludf.DUMMYFUNCTION("""COMPUTED_VALUE"""),"Saipos Serviços De Software")</f>
        <v>Saipos Serviços De Software</v>
      </c>
      <c r="T3075" s="33">
        <f>IFERROR(__xludf.DUMMYFUNCTION("""COMPUTED_VALUE"""),0.6666666666666666)</f>
        <v>0.6666666667</v>
      </c>
      <c r="U3075" s="4" t="str">
        <f>IFERROR(__xludf.DUMMYFUNCTION("""COMPUTED_VALUE"""),"Saipos Serviços De Software")</f>
        <v>Saipos Serviços De Software</v>
      </c>
      <c r="V3075" s="33">
        <f>IFERROR(__xludf.DUMMYFUNCTION("""COMPUTED_VALUE"""),0.6666666666666666)</f>
        <v>0.6666666667</v>
      </c>
      <c r="W3075" s="4" t="str">
        <f>IFERROR(__xludf.DUMMYFUNCTION("""COMPUTED_VALUE"""),"Saipos Serviços De Software")</f>
        <v>Saipos Serviços De Software</v>
      </c>
      <c r="X3075" s="33">
        <f>IFERROR(__xludf.DUMMYFUNCTION("""COMPUTED_VALUE"""),0.6666666666666666)</f>
        <v>0.6666666667</v>
      </c>
    </row>
    <row r="3076">
      <c r="K3076" s="4" t="str">
        <f>IFERROR(__xludf.DUMMYFUNCTION("""COMPUTED_VALUE"""),"DROGARIA IDEAL")</f>
        <v>DROGARIA IDEAL</v>
      </c>
      <c r="L3076" s="32">
        <f>IFERROR(__xludf.DUMMYFUNCTION("""COMPUTED_VALUE"""),3.0)</f>
        <v>3</v>
      </c>
      <c r="M3076" s="4" t="str">
        <f>IFERROR(__xludf.DUMMYFUNCTION("""COMPUTED_VALUE"""),"N/A (Not found)")</f>
        <v>N/A (Not found)</v>
      </c>
      <c r="N3076" s="33">
        <f>IFERROR(__xludf.DUMMYFUNCTION("""COMPUTED_VALUE"""),0.6666666666666666)</f>
        <v>0.6666666667</v>
      </c>
      <c r="O3076" s="4" t="str">
        <f>IFERROR(__xludf.DUMMYFUNCTION("""COMPUTED_VALUE"""),"N/A (Not found)")</f>
        <v>N/A (Not found)</v>
      </c>
      <c r="P3076" s="33">
        <f>IFERROR(__xludf.DUMMYFUNCTION("""COMPUTED_VALUE"""),0.6666666666666666)</f>
        <v>0.6666666667</v>
      </c>
      <c r="Q3076" s="4" t="str">
        <f>IFERROR(__xludf.DUMMYFUNCTION("""COMPUTED_VALUE"""),"N/A (Not found)")</f>
        <v>N/A (Not found)</v>
      </c>
      <c r="R3076" s="33">
        <f>IFERROR(__xludf.DUMMYFUNCTION("""COMPUTED_VALUE"""),0.6666666666666666)</f>
        <v>0.6666666667</v>
      </c>
      <c r="S3076" s="4" t="str">
        <f>IFERROR(__xludf.DUMMYFUNCTION("""COMPUTED_VALUE"""),"N/A (Not found)")</f>
        <v>N/A (Not found)</v>
      </c>
      <c r="T3076" s="33">
        <f>IFERROR(__xludf.DUMMYFUNCTION("""COMPUTED_VALUE"""),0.6666666666666666)</f>
        <v>0.6666666667</v>
      </c>
      <c r="U3076" s="4" t="str">
        <f>IFERROR(__xludf.DUMMYFUNCTION("""COMPUTED_VALUE"""),"N/A (Not found)")</f>
        <v>N/A (Not found)</v>
      </c>
      <c r="V3076" s="33">
        <f>IFERROR(__xludf.DUMMYFUNCTION("""COMPUTED_VALUE"""),0.6666666666666666)</f>
        <v>0.6666666667</v>
      </c>
      <c r="W3076" s="4" t="str">
        <f>IFERROR(__xludf.DUMMYFUNCTION("""COMPUTED_VALUE"""),"N/A (Not found)")</f>
        <v>N/A (Not found)</v>
      </c>
      <c r="X3076" s="33">
        <f>IFERROR(__xludf.DUMMYFUNCTION("""COMPUTED_VALUE"""),1.0)</f>
        <v>1</v>
      </c>
    </row>
    <row r="3077">
      <c r="K3077" s="4" t="str">
        <f>IFERROR(__xludf.DUMMYFUNCTION("""COMPUTED_VALUE"""),"PRIME LANCHES")</f>
        <v>PRIME LANCHES</v>
      </c>
      <c r="L3077" s="32">
        <f>IFERROR(__xludf.DUMMYFUNCTION("""COMPUTED_VALUE"""),3.0)</f>
        <v>3</v>
      </c>
      <c r="M3077" s="4" t="str">
        <f>IFERROR(__xludf.DUMMYFUNCTION("""COMPUTED_VALUE"""),"Consumer Soluções Em Tecnologia Ltda")</f>
        <v>Consumer Soluções Em Tecnologia Ltda</v>
      </c>
      <c r="N3077" s="33">
        <f>IFERROR(__xludf.DUMMYFUNCTION("""COMPUTED_VALUE"""),0.3333333333333333)</f>
        <v>0.3333333333</v>
      </c>
      <c r="O3077" s="4" t="str">
        <f>IFERROR(__xludf.DUMMYFUNCTION("""COMPUTED_VALUE"""),"Consumer Soluções Em Tecnologia Ltda")</f>
        <v>Consumer Soluções Em Tecnologia Ltda</v>
      </c>
      <c r="P3077" s="33">
        <f>IFERROR(__xludf.DUMMYFUNCTION("""COMPUTED_VALUE"""),0.3333333333333333)</f>
        <v>0.3333333333</v>
      </c>
      <c r="Q3077" s="4" t="str">
        <f>IFERROR(__xludf.DUMMYFUNCTION("""COMPUTED_VALUE"""),"null")</f>
        <v>null</v>
      </c>
      <c r="R3077" s="33">
        <f>IFERROR(__xludf.DUMMYFUNCTION("""COMPUTED_VALUE"""),0.3333333333333333)</f>
        <v>0.3333333333</v>
      </c>
      <c r="S3077" s="4" t="str">
        <f>IFERROR(__xludf.DUMMYFUNCTION("""COMPUTED_VALUE"""),"null")</f>
        <v>null</v>
      </c>
      <c r="T3077" s="33">
        <f>IFERROR(__xludf.DUMMYFUNCTION("""COMPUTED_VALUE"""),0.3333333333333333)</f>
        <v>0.3333333333</v>
      </c>
      <c r="U3077" s="4" t="str">
        <f>IFERROR(__xludf.DUMMYFUNCTION("""COMPUTED_VALUE"""),"Consumer Soluções Em Tecnologia Ltda")</f>
        <v>Consumer Soluções Em Tecnologia Ltda</v>
      </c>
      <c r="V3077" s="33">
        <f>IFERROR(__xludf.DUMMYFUNCTION("""COMPUTED_VALUE"""),0.3333333333333333)</f>
        <v>0.3333333333</v>
      </c>
      <c r="W3077" s="4" t="str">
        <f>IFERROR(__xludf.DUMMYFUNCTION("""COMPUTED_VALUE"""),"Consumer Soluções Em Tecnologia Ltda")</f>
        <v>Consumer Soluções Em Tecnologia Ltda</v>
      </c>
      <c r="X3077" s="33">
        <f>IFERROR(__xludf.DUMMYFUNCTION("""COMPUTED_VALUE"""),0.3333333333333333)</f>
        <v>0.3333333333</v>
      </c>
    </row>
    <row r="3078">
      <c r="K3078" s="4" t="str">
        <f>IFERROR(__xludf.DUMMYFUNCTION("""COMPUTED_VALUE"""),"JAPA SUSHI")</f>
        <v>JAPA SUSHI</v>
      </c>
      <c r="L3078" s="32">
        <f>IFERROR(__xludf.DUMMYFUNCTION("""COMPUTED_VALUE"""),3.0)</f>
        <v>3</v>
      </c>
      <c r="M3078" s="4" t="str">
        <f>IFERROR(__xludf.DUMMYFUNCTION("""COMPUTED_VALUE"""),"null")</f>
        <v>null</v>
      </c>
      <c r="N3078" s="33">
        <f>IFERROR(__xludf.DUMMYFUNCTION("""COMPUTED_VALUE"""),0.3333333333333333)</f>
        <v>0.3333333333</v>
      </c>
      <c r="O3078" s="4" t="str">
        <f>IFERROR(__xludf.DUMMYFUNCTION("""COMPUTED_VALUE"""),"null")</f>
        <v>null</v>
      </c>
      <c r="P3078" s="33">
        <f>IFERROR(__xludf.DUMMYFUNCTION("""COMPUTED_VALUE"""),0.3333333333333333)</f>
        <v>0.3333333333</v>
      </c>
      <c r="Q3078" s="4" t="str">
        <f>IFERROR(__xludf.DUMMYFUNCTION("""COMPUTED_VALUE"""),"null")</f>
        <v>null</v>
      </c>
      <c r="R3078" s="33">
        <f>IFERROR(__xludf.DUMMYFUNCTION("""COMPUTED_VALUE"""),0.3333333333333333)</f>
        <v>0.3333333333</v>
      </c>
      <c r="S3078" s="4" t="str">
        <f>IFERROR(__xludf.DUMMYFUNCTION("""COMPUTED_VALUE"""),"null")</f>
        <v>null</v>
      </c>
      <c r="T3078" s="33">
        <f>IFERROR(__xludf.DUMMYFUNCTION("""COMPUTED_VALUE"""),0.3333333333333333)</f>
        <v>0.3333333333</v>
      </c>
      <c r="U3078" s="4" t="str">
        <f>IFERROR(__xludf.DUMMYFUNCTION("""COMPUTED_VALUE"""),"null")</f>
        <v>null</v>
      </c>
      <c r="V3078" s="33">
        <f>IFERROR(__xludf.DUMMYFUNCTION("""COMPUTED_VALUE"""),0.3333333333333333)</f>
        <v>0.3333333333</v>
      </c>
      <c r="W3078" s="4" t="str">
        <f>IFERROR(__xludf.DUMMYFUNCTION("""COMPUTED_VALUE"""),"Eclética Tecnologia")</f>
        <v>Eclética Tecnologia</v>
      </c>
      <c r="X3078" s="33">
        <f>IFERROR(__xludf.DUMMYFUNCTION("""COMPUTED_VALUE"""),0.3333333333333333)</f>
        <v>0.3333333333</v>
      </c>
    </row>
    <row r="3079">
      <c r="K3079" s="4" t="str">
        <f>IFERROR(__xludf.DUMMYFUNCTION("""COMPUTED_VALUE"""),"INATIVO")</f>
        <v>INATIVO</v>
      </c>
      <c r="L3079" s="32">
        <f>IFERROR(__xludf.DUMMYFUNCTION("""COMPUTED_VALUE"""),3.0)</f>
        <v>3</v>
      </c>
      <c r="M3079" s="4" t="str">
        <f>IFERROR(__xludf.DUMMYFUNCTION("""COMPUTED_VALUE"""),"null")</f>
        <v>null</v>
      </c>
      <c r="N3079" s="33">
        <f>IFERROR(__xludf.DUMMYFUNCTION("""COMPUTED_VALUE"""),0.3333333333333333)</f>
        <v>0.3333333333</v>
      </c>
      <c r="O3079" s="4" t="str">
        <f>IFERROR(__xludf.DUMMYFUNCTION("""COMPUTED_VALUE"""),"null")</f>
        <v>null</v>
      </c>
      <c r="P3079" s="33">
        <f>IFERROR(__xludf.DUMMYFUNCTION("""COMPUTED_VALUE"""),0.6666666666666666)</f>
        <v>0.6666666667</v>
      </c>
      <c r="Q3079" s="4" t="str">
        <f>IFERROR(__xludf.DUMMYFUNCTION("""COMPUTED_VALUE"""),"null")</f>
        <v>null</v>
      </c>
      <c r="R3079" s="33">
        <f>IFERROR(__xludf.DUMMYFUNCTION("""COMPUTED_VALUE"""),1.0)</f>
        <v>1</v>
      </c>
      <c r="S3079" s="4" t="str">
        <f>IFERROR(__xludf.DUMMYFUNCTION("""COMPUTED_VALUE"""),"null")</f>
        <v>null</v>
      </c>
      <c r="T3079" s="33">
        <f>IFERROR(__xludf.DUMMYFUNCTION("""COMPUTED_VALUE"""),1.0)</f>
        <v>1</v>
      </c>
      <c r="U3079" s="4" t="str">
        <f>IFERROR(__xludf.DUMMYFUNCTION("""COMPUTED_VALUE"""),"null")</f>
        <v>null</v>
      </c>
      <c r="V3079" s="33">
        <f>IFERROR(__xludf.DUMMYFUNCTION("""COMPUTED_VALUE"""),0.6666666666666666)</f>
        <v>0.6666666667</v>
      </c>
      <c r="W3079" s="4" t="str">
        <f>IFERROR(__xludf.DUMMYFUNCTION("""COMPUTED_VALUE"""),"null")</f>
        <v>null</v>
      </c>
      <c r="X3079" s="33">
        <f>IFERROR(__xludf.DUMMYFUNCTION("""COMPUTED_VALUE"""),1.0)</f>
        <v>1</v>
      </c>
    </row>
    <row r="3080">
      <c r="K3080" s="4" t="str">
        <f>IFERROR(__xludf.DUMMYFUNCTION("""COMPUTED_VALUE"""),"SUSHI KOBAN")</f>
        <v>SUSHI KOBAN</v>
      </c>
      <c r="L3080" s="32">
        <f>IFERROR(__xludf.DUMMYFUNCTION("""COMPUTED_VALUE"""),3.0)</f>
        <v>3</v>
      </c>
      <c r="M3080" s="4" t="str">
        <f>IFERROR(__xludf.DUMMYFUNCTION("""COMPUTED_VALUE"""),"Garcom Web")</f>
        <v>Garcom Web</v>
      </c>
      <c r="N3080" s="33">
        <f>IFERROR(__xludf.DUMMYFUNCTION("""COMPUTED_VALUE"""),0.6666666666666666)</f>
        <v>0.6666666667</v>
      </c>
      <c r="O3080" s="4" t="str">
        <f>IFERROR(__xludf.DUMMYFUNCTION("""COMPUTED_VALUE"""),"Garcom Web")</f>
        <v>Garcom Web</v>
      </c>
      <c r="P3080" s="33">
        <f>IFERROR(__xludf.DUMMYFUNCTION("""COMPUTED_VALUE"""),0.6666666666666666)</f>
        <v>0.6666666667</v>
      </c>
      <c r="Q3080" s="4" t="str">
        <f>IFERROR(__xludf.DUMMYFUNCTION("""COMPUTED_VALUE"""),"Garcom Web")</f>
        <v>Garcom Web</v>
      </c>
      <c r="R3080" s="33">
        <f>IFERROR(__xludf.DUMMYFUNCTION("""COMPUTED_VALUE"""),0.6666666666666666)</f>
        <v>0.6666666667</v>
      </c>
      <c r="S3080" s="4" t="str">
        <f>IFERROR(__xludf.DUMMYFUNCTION("""COMPUTED_VALUE"""),"Garcom Web")</f>
        <v>Garcom Web</v>
      </c>
      <c r="T3080" s="33">
        <f>IFERROR(__xludf.DUMMYFUNCTION("""COMPUTED_VALUE"""),0.6666666666666666)</f>
        <v>0.6666666667</v>
      </c>
      <c r="U3080" s="4" t="str">
        <f>IFERROR(__xludf.DUMMYFUNCTION("""COMPUTED_VALUE"""),"Garcom Web")</f>
        <v>Garcom Web</v>
      </c>
      <c r="V3080" s="33">
        <f>IFERROR(__xludf.DUMMYFUNCTION("""COMPUTED_VALUE"""),0.6666666666666666)</f>
        <v>0.6666666667</v>
      </c>
      <c r="W3080" s="4" t="str">
        <f>IFERROR(__xludf.DUMMYFUNCTION("""COMPUTED_VALUE"""),"Garcom Web")</f>
        <v>Garcom Web</v>
      </c>
      <c r="X3080" s="33">
        <f>IFERROR(__xludf.DUMMYFUNCTION("""COMPUTED_VALUE"""),0.6666666666666666)</f>
        <v>0.6666666667</v>
      </c>
    </row>
    <row r="3081">
      <c r="K3081" s="4" t="str">
        <f>IFERROR(__xludf.DUMMYFUNCTION("""COMPUTED_VALUE"""),"PARADA DA PIZZA")</f>
        <v>PARADA DA PIZZA</v>
      </c>
      <c r="L3081" s="32">
        <f>IFERROR(__xludf.DUMMYFUNCTION("""COMPUTED_VALUE"""),3.0)</f>
        <v>3</v>
      </c>
      <c r="M3081" s="4" t="str">
        <f>IFERROR(__xludf.DUMMYFUNCTION("""COMPUTED_VALUE"""),"null")</f>
        <v>null</v>
      </c>
      <c r="N3081" s="33">
        <f>IFERROR(__xludf.DUMMYFUNCTION("""COMPUTED_VALUE"""),0.3333333333333333)</f>
        <v>0.3333333333</v>
      </c>
      <c r="O3081" s="4" t="str">
        <f>IFERROR(__xludf.DUMMYFUNCTION("""COMPUTED_VALUE"""),"null")</f>
        <v>null</v>
      </c>
      <c r="P3081" s="33">
        <f>IFERROR(__xludf.DUMMYFUNCTION("""COMPUTED_VALUE"""),0.3333333333333333)</f>
        <v>0.3333333333</v>
      </c>
      <c r="Q3081" s="4" t="str">
        <f>IFERROR(__xludf.DUMMYFUNCTION("""COMPUTED_VALUE"""),"null")</f>
        <v>null</v>
      </c>
      <c r="R3081" s="33">
        <f>IFERROR(__xludf.DUMMYFUNCTION("""COMPUTED_VALUE"""),0.3333333333333333)</f>
        <v>0.3333333333</v>
      </c>
      <c r="S3081" s="4" t="str">
        <f>IFERROR(__xludf.DUMMYFUNCTION("""COMPUTED_VALUE"""),"Cityfoods Ltda")</f>
        <v>Cityfoods Ltda</v>
      </c>
      <c r="T3081" s="33">
        <f>IFERROR(__xludf.DUMMYFUNCTION("""COMPUTED_VALUE"""),0.3333333333333333)</f>
        <v>0.3333333333</v>
      </c>
      <c r="U3081" s="4" t="str">
        <f>IFERROR(__xludf.DUMMYFUNCTION("""COMPUTED_VALUE"""),"Cityfoods Ltda")</f>
        <v>Cityfoods Ltda</v>
      </c>
      <c r="V3081" s="33">
        <f>IFERROR(__xludf.DUMMYFUNCTION("""COMPUTED_VALUE"""),0.3333333333333333)</f>
        <v>0.3333333333</v>
      </c>
      <c r="W3081" s="4" t="str">
        <f>IFERROR(__xludf.DUMMYFUNCTION("""COMPUTED_VALUE"""),"Cityfoods Ltda")</f>
        <v>Cityfoods Ltda</v>
      </c>
      <c r="X3081" s="33">
        <f>IFERROR(__xludf.DUMMYFUNCTION("""COMPUTED_VALUE"""),0.3333333333333333)</f>
        <v>0.3333333333</v>
      </c>
    </row>
    <row r="3082">
      <c r="K3082" s="4" t="str">
        <f>IFERROR(__xludf.DUMMYFUNCTION("""COMPUTED_VALUE"""),"CABANA DO ACAI")</f>
        <v>CABANA DO ACAI</v>
      </c>
      <c r="L3082" s="32">
        <f>IFERROR(__xludf.DUMMYFUNCTION("""COMPUTED_VALUE"""),3.0)</f>
        <v>3</v>
      </c>
      <c r="M3082" s="4" t="str">
        <f>IFERROR(__xludf.DUMMYFUNCTION("""COMPUTED_VALUE"""),"Anota Ai Solucoes Digitais S/a")</f>
        <v>Anota Ai Solucoes Digitais S/a</v>
      </c>
      <c r="N3082" s="33">
        <f>IFERROR(__xludf.DUMMYFUNCTION("""COMPUTED_VALUE"""),0.3333333333333333)</f>
        <v>0.3333333333</v>
      </c>
      <c r="O3082" s="4" t="str">
        <f>IFERROR(__xludf.DUMMYFUNCTION("""COMPUTED_VALUE"""),"Anota Ai Solucoes Digitais S/a")</f>
        <v>Anota Ai Solucoes Digitais S/a</v>
      </c>
      <c r="P3082" s="33">
        <f>IFERROR(__xludf.DUMMYFUNCTION("""COMPUTED_VALUE"""),0.3333333333333333)</f>
        <v>0.3333333333</v>
      </c>
      <c r="Q3082" s="4" t="str">
        <f>IFERROR(__xludf.DUMMYFUNCTION("""COMPUTED_VALUE"""),"Anota Ai Solucoes Digitais S/a")</f>
        <v>Anota Ai Solucoes Digitais S/a</v>
      </c>
      <c r="R3082" s="33">
        <f>IFERROR(__xludf.DUMMYFUNCTION("""COMPUTED_VALUE"""),0.3333333333333333)</f>
        <v>0.3333333333</v>
      </c>
      <c r="S3082" s="4" t="str">
        <f>IFERROR(__xludf.DUMMYFUNCTION("""COMPUTED_VALUE"""),"Anota Ai Solucoes Digitais S/a")</f>
        <v>Anota Ai Solucoes Digitais S/a</v>
      </c>
      <c r="T3082" s="33">
        <f>IFERROR(__xludf.DUMMYFUNCTION("""COMPUTED_VALUE"""),0.3333333333333333)</f>
        <v>0.3333333333</v>
      </c>
      <c r="U3082" s="4" t="str">
        <f>IFERROR(__xludf.DUMMYFUNCTION("""COMPUTED_VALUE"""),"Anota Ai Solucoes Digitais S/a")</f>
        <v>Anota Ai Solucoes Digitais S/a</v>
      </c>
      <c r="V3082" s="33">
        <f>IFERROR(__xludf.DUMMYFUNCTION("""COMPUTED_VALUE"""),0.3333333333333333)</f>
        <v>0.3333333333</v>
      </c>
      <c r="W3082" s="4" t="str">
        <f>IFERROR(__xludf.DUMMYFUNCTION("""COMPUTED_VALUE"""),"Anota Ai Solucoes Digitais S/a")</f>
        <v>Anota Ai Solucoes Digitais S/a</v>
      </c>
      <c r="X3082" s="33">
        <f>IFERROR(__xludf.DUMMYFUNCTION("""COMPUTED_VALUE"""),0.3333333333333333)</f>
        <v>0.3333333333</v>
      </c>
    </row>
    <row r="3083">
      <c r="K3083" s="4" t="str">
        <f>IFERROR(__xludf.DUMMYFUNCTION("""COMPUTED_VALUE"""),"KOBA SUSHI")</f>
        <v>KOBA SUSHI</v>
      </c>
      <c r="L3083" s="32">
        <f>IFERROR(__xludf.DUMMYFUNCTION("""COMPUTED_VALUE"""),3.0)</f>
        <v>3</v>
      </c>
      <c r="M3083" s="4" t="str">
        <f>IFERROR(__xludf.DUMMYFUNCTION("""COMPUTED_VALUE"""),"Saipos Serviços De Software")</f>
        <v>Saipos Serviços De Software</v>
      </c>
      <c r="N3083" s="33">
        <f>IFERROR(__xludf.DUMMYFUNCTION("""COMPUTED_VALUE"""),0.6666666666666666)</f>
        <v>0.6666666667</v>
      </c>
      <c r="O3083" s="4" t="str">
        <f>IFERROR(__xludf.DUMMYFUNCTION("""COMPUTED_VALUE"""),"Saipos Serviços De Software")</f>
        <v>Saipos Serviços De Software</v>
      </c>
      <c r="P3083" s="33">
        <f>IFERROR(__xludf.DUMMYFUNCTION("""COMPUTED_VALUE"""),0.3333333333333333)</f>
        <v>0.3333333333</v>
      </c>
      <c r="Q3083" s="4" t="str">
        <f>IFERROR(__xludf.DUMMYFUNCTION("""COMPUTED_VALUE"""),"Saipos Serviços De Software")</f>
        <v>Saipos Serviços De Software</v>
      </c>
      <c r="R3083" s="33">
        <f>IFERROR(__xludf.DUMMYFUNCTION("""COMPUTED_VALUE"""),0.3333333333333333)</f>
        <v>0.3333333333</v>
      </c>
      <c r="S3083" s="4" t="str">
        <f>IFERROR(__xludf.DUMMYFUNCTION("""COMPUTED_VALUE"""),"null")</f>
        <v>null</v>
      </c>
      <c r="T3083" s="33">
        <f>IFERROR(__xludf.DUMMYFUNCTION("""COMPUTED_VALUE"""),0.6666666666666666)</f>
        <v>0.6666666667</v>
      </c>
      <c r="U3083" s="4" t="str">
        <f>IFERROR(__xludf.DUMMYFUNCTION("""COMPUTED_VALUE"""),"null")</f>
        <v>null</v>
      </c>
      <c r="V3083" s="33">
        <f>IFERROR(__xludf.DUMMYFUNCTION("""COMPUTED_VALUE"""),0.6666666666666666)</f>
        <v>0.6666666667</v>
      </c>
      <c r="W3083" s="4" t="str">
        <f>IFERROR(__xludf.DUMMYFUNCTION("""COMPUTED_VALUE"""),"Saipos Serviços De Software")</f>
        <v>Saipos Serviços De Software</v>
      </c>
      <c r="X3083" s="33">
        <f>IFERROR(__xludf.DUMMYFUNCTION("""COMPUTED_VALUE"""),0.3333333333333333)</f>
        <v>0.3333333333</v>
      </c>
    </row>
    <row r="3084">
      <c r="K3084" s="4" t="str">
        <f>IFERROR(__xludf.DUMMYFUNCTION("""COMPUTED_VALUE"""),"PRIME ACAI 5 ADICIONAIS GRATIS")</f>
        <v>PRIME ACAI 5 ADICIONAIS GRATIS</v>
      </c>
      <c r="L3084" s="32">
        <f>IFERROR(__xludf.DUMMYFUNCTION("""COMPUTED_VALUE"""),3.0)</f>
        <v>3</v>
      </c>
      <c r="M3084" s="4" t="str">
        <f>IFERROR(__xludf.DUMMYFUNCTION("""COMPUTED_VALUE"""),"Grandchef Desenvolvimento De Sistemas Ltda")</f>
        <v>Grandchef Desenvolvimento De Sistemas Ltda</v>
      </c>
      <c r="N3084" s="33">
        <f>IFERROR(__xludf.DUMMYFUNCTION("""COMPUTED_VALUE"""),1.0)</f>
        <v>1</v>
      </c>
      <c r="O3084" s="4" t="str">
        <f>IFERROR(__xludf.DUMMYFUNCTION("""COMPUTED_VALUE"""),"Grandchef Desenvolvimento De Sistemas Ltda")</f>
        <v>Grandchef Desenvolvimento De Sistemas Ltda</v>
      </c>
      <c r="P3084" s="33">
        <f>IFERROR(__xludf.DUMMYFUNCTION("""COMPUTED_VALUE"""),0.6666666666666666)</f>
        <v>0.6666666667</v>
      </c>
      <c r="Q3084" s="4" t="str">
        <f>IFERROR(__xludf.DUMMYFUNCTION("""COMPUTED_VALUE"""),"Grandchef Desenvolvimento De Sistemas Ltda")</f>
        <v>Grandchef Desenvolvimento De Sistemas Ltda</v>
      </c>
      <c r="R3084" s="33">
        <f>IFERROR(__xludf.DUMMYFUNCTION("""COMPUTED_VALUE"""),1.0)</f>
        <v>1</v>
      </c>
      <c r="S3084" s="4" t="str">
        <f>IFERROR(__xludf.DUMMYFUNCTION("""COMPUTED_VALUE"""),"null")</f>
        <v>null</v>
      </c>
      <c r="T3084" s="33">
        <f>IFERROR(__xludf.DUMMYFUNCTION("""COMPUTED_VALUE"""),0.6666666666666666)</f>
        <v>0.6666666667</v>
      </c>
      <c r="U3084" s="4" t="str">
        <f>IFERROR(__xludf.DUMMYFUNCTION("""COMPUTED_VALUE"""),"null")</f>
        <v>null</v>
      </c>
      <c r="V3084" s="33">
        <f>IFERROR(__xludf.DUMMYFUNCTION("""COMPUTED_VALUE"""),1.0)</f>
        <v>1</v>
      </c>
      <c r="W3084" s="4" t="str">
        <f>IFERROR(__xludf.DUMMYFUNCTION("""COMPUTED_VALUE"""),"null")</f>
        <v>null</v>
      </c>
      <c r="X3084" s="33">
        <f>IFERROR(__xludf.DUMMYFUNCTION("""COMPUTED_VALUE"""),1.0)</f>
        <v>1</v>
      </c>
    </row>
    <row r="3085">
      <c r="K3085" s="4" t="str">
        <f>IFERROR(__xludf.DUMMYFUNCTION("""COMPUTED_VALUE"""),"MAMMA MIA")</f>
        <v>MAMMA MIA</v>
      </c>
      <c r="L3085" s="32">
        <f>IFERROR(__xludf.DUMMYFUNCTION("""COMPUTED_VALUE"""),3.0)</f>
        <v>3</v>
      </c>
      <c r="M3085" s="4" t="str">
        <f>IFERROR(__xludf.DUMMYFUNCTION("""COMPUTED_VALUE"""),"Saipos Serviços De Software")</f>
        <v>Saipos Serviços De Software</v>
      </c>
      <c r="N3085" s="33">
        <f>IFERROR(__xludf.DUMMYFUNCTION("""COMPUTED_VALUE"""),0.6666666666666666)</f>
        <v>0.6666666667</v>
      </c>
      <c r="O3085" s="4" t="str">
        <f>IFERROR(__xludf.DUMMYFUNCTION("""COMPUTED_VALUE"""),"Saipos Serviços De Software")</f>
        <v>Saipos Serviços De Software</v>
      </c>
      <c r="P3085" s="33">
        <f>IFERROR(__xludf.DUMMYFUNCTION("""COMPUTED_VALUE"""),0.6666666666666666)</f>
        <v>0.6666666667</v>
      </c>
      <c r="Q3085" s="4" t="str">
        <f>IFERROR(__xludf.DUMMYFUNCTION("""COMPUTED_VALUE"""),"Saipos Serviços De Software")</f>
        <v>Saipos Serviços De Software</v>
      </c>
      <c r="R3085" s="33">
        <f>IFERROR(__xludf.DUMMYFUNCTION("""COMPUTED_VALUE"""),0.6666666666666666)</f>
        <v>0.6666666667</v>
      </c>
      <c r="S3085" s="4" t="str">
        <f>IFERROR(__xludf.DUMMYFUNCTION("""COMPUTED_VALUE"""),"Saipos Serviços De Software")</f>
        <v>Saipos Serviços De Software</v>
      </c>
      <c r="T3085" s="33">
        <f>IFERROR(__xludf.DUMMYFUNCTION("""COMPUTED_VALUE"""),0.6666666666666666)</f>
        <v>0.6666666667</v>
      </c>
      <c r="U3085" s="4" t="str">
        <f>IFERROR(__xludf.DUMMYFUNCTION("""COMPUTED_VALUE"""),"Saipos Serviços De Software")</f>
        <v>Saipos Serviços De Software</v>
      </c>
      <c r="V3085" s="33">
        <f>IFERROR(__xludf.DUMMYFUNCTION("""COMPUTED_VALUE"""),0.6666666666666666)</f>
        <v>0.6666666667</v>
      </c>
      <c r="W3085" s="4" t="str">
        <f>IFERROR(__xludf.DUMMYFUNCTION("""COMPUTED_VALUE"""),"Saipos Serviços De Software")</f>
        <v>Saipos Serviços De Software</v>
      </c>
      <c r="X3085" s="33">
        <f>IFERROR(__xludf.DUMMYFUNCTION("""COMPUTED_VALUE"""),0.6666666666666666)</f>
        <v>0.6666666667</v>
      </c>
    </row>
    <row r="3086">
      <c r="K3086" s="4" t="str">
        <f>IFERROR(__xludf.DUMMYFUNCTION("""COMPUTED_VALUE"""),"ON ACAI")</f>
        <v>ON ACAI</v>
      </c>
      <c r="L3086" s="32">
        <f>IFERROR(__xludf.DUMMYFUNCTION("""COMPUTED_VALUE"""),3.0)</f>
        <v>3</v>
      </c>
      <c r="M3086" s="4" t="str">
        <f>IFERROR(__xludf.DUMMYFUNCTION("""COMPUTED_VALUE"""),"Consumer Soluções Em Tecnologia Ltda")</f>
        <v>Consumer Soluções Em Tecnologia Ltda</v>
      </c>
      <c r="N3086" s="33">
        <f>IFERROR(__xludf.DUMMYFUNCTION("""COMPUTED_VALUE"""),0.3333333333333333)</f>
        <v>0.3333333333</v>
      </c>
      <c r="O3086" s="4" t="str">
        <f>IFERROR(__xludf.DUMMYFUNCTION("""COMPUTED_VALUE"""),"Consumer Soluções Em Tecnologia Ltda")</f>
        <v>Consumer Soluções Em Tecnologia Ltda</v>
      </c>
      <c r="P3086" s="33">
        <f>IFERROR(__xludf.DUMMYFUNCTION("""COMPUTED_VALUE"""),0.3333333333333333)</f>
        <v>0.3333333333</v>
      </c>
      <c r="Q3086" s="4" t="str">
        <f>IFERROR(__xludf.DUMMYFUNCTION("""COMPUTED_VALUE"""),"Consumer Soluções Em Tecnologia Ltda")</f>
        <v>Consumer Soluções Em Tecnologia Ltda</v>
      </c>
      <c r="R3086" s="33">
        <f>IFERROR(__xludf.DUMMYFUNCTION("""COMPUTED_VALUE"""),0.3333333333333333)</f>
        <v>0.3333333333</v>
      </c>
      <c r="S3086" s="4" t="str">
        <f>IFERROR(__xludf.DUMMYFUNCTION("""COMPUTED_VALUE"""),"Consumer Soluções Em Tecnologia Ltda")</f>
        <v>Consumer Soluções Em Tecnologia Ltda</v>
      </c>
      <c r="T3086" s="33">
        <f>IFERROR(__xludf.DUMMYFUNCTION("""COMPUTED_VALUE"""),0.3333333333333333)</f>
        <v>0.3333333333</v>
      </c>
      <c r="U3086" s="4" t="str">
        <f>IFERROR(__xludf.DUMMYFUNCTION("""COMPUTED_VALUE"""),"null")</f>
        <v>null</v>
      </c>
      <c r="V3086" s="33">
        <f>IFERROR(__xludf.DUMMYFUNCTION("""COMPUTED_VALUE"""),1.0)</f>
        <v>1</v>
      </c>
      <c r="W3086" s="4" t="str">
        <f>IFERROR(__xludf.DUMMYFUNCTION("""COMPUTED_VALUE"""),"null")</f>
        <v>null</v>
      </c>
      <c r="X3086" s="33">
        <f>IFERROR(__xludf.DUMMYFUNCTION("""COMPUTED_VALUE"""),1.0)</f>
        <v>1</v>
      </c>
    </row>
    <row r="3087">
      <c r="K3087" s="4" t="str">
        <f>IFERROR(__xludf.DUMMYFUNCTION("""COMPUTED_VALUE"""),"DROGARIAS BEM POPULAR")</f>
        <v>DROGARIAS BEM POPULAR</v>
      </c>
      <c r="L3087" s="32">
        <f>IFERROR(__xludf.DUMMYFUNCTION("""COMPUTED_VALUE"""),3.0)</f>
        <v>3</v>
      </c>
      <c r="M3087" s="4" t="str">
        <f>IFERROR(__xludf.DUMMYFUNCTION("""COMPUTED_VALUE"""),"N/A (Not found)")</f>
        <v>N/A (Not found)</v>
      </c>
      <c r="N3087" s="33">
        <f>IFERROR(__xludf.DUMMYFUNCTION("""COMPUTED_VALUE"""),0.6666666666666666)</f>
        <v>0.6666666667</v>
      </c>
      <c r="O3087" s="4" t="str">
        <f>IFERROR(__xludf.DUMMYFUNCTION("""COMPUTED_VALUE"""),"N/A (Not found)")</f>
        <v>N/A (Not found)</v>
      </c>
      <c r="P3087" s="33">
        <f>IFERROR(__xludf.DUMMYFUNCTION("""COMPUTED_VALUE"""),1.0)</f>
        <v>1</v>
      </c>
      <c r="Q3087" s="4" t="str">
        <f>IFERROR(__xludf.DUMMYFUNCTION("""COMPUTED_VALUE"""),"N/A (Not found)")</f>
        <v>N/A (Not found)</v>
      </c>
      <c r="R3087" s="33">
        <f>IFERROR(__xludf.DUMMYFUNCTION("""COMPUTED_VALUE"""),0.6666666666666666)</f>
        <v>0.6666666667</v>
      </c>
      <c r="S3087" s="4" t="str">
        <f>IFERROR(__xludf.DUMMYFUNCTION("""COMPUTED_VALUE"""),"N/A (Not found)")</f>
        <v>N/A (Not found)</v>
      </c>
      <c r="T3087" s="33">
        <f>IFERROR(__xludf.DUMMYFUNCTION("""COMPUTED_VALUE"""),0.6666666666666666)</f>
        <v>0.6666666667</v>
      </c>
      <c r="U3087" s="4" t="str">
        <f>IFERROR(__xludf.DUMMYFUNCTION("""COMPUTED_VALUE"""),"N/A (Not found)")</f>
        <v>N/A (Not found)</v>
      </c>
      <c r="V3087" s="33">
        <f>IFERROR(__xludf.DUMMYFUNCTION("""COMPUTED_VALUE"""),1.0)</f>
        <v>1</v>
      </c>
      <c r="W3087" s="4" t="str">
        <f>IFERROR(__xludf.DUMMYFUNCTION("""COMPUTED_VALUE"""),"N/A (Not found)")</f>
        <v>N/A (Not found)</v>
      </c>
      <c r="X3087" s="33">
        <f>IFERROR(__xludf.DUMMYFUNCTION("""COMPUTED_VALUE"""),1.0)</f>
        <v>1</v>
      </c>
    </row>
    <row r="3088">
      <c r="K3088" s="4" t="str">
        <f>IFERROR(__xludf.DUMMYFUNCTION("""COMPUTED_VALUE"""),"MARQUES BURGUER")</f>
        <v>MARQUES BURGUER</v>
      </c>
      <c r="L3088" s="32">
        <f>IFERROR(__xludf.DUMMYFUNCTION("""COMPUTED_VALUE"""),3.0)</f>
        <v>3</v>
      </c>
      <c r="M3088" s="4" t="str">
        <f>IFERROR(__xludf.DUMMYFUNCTION("""COMPUTED_VALUE"""),"M-du Tecnologia")</f>
        <v>M-du Tecnologia</v>
      </c>
      <c r="N3088" s="33">
        <f>IFERROR(__xludf.DUMMYFUNCTION("""COMPUTED_VALUE"""),0.3333333333333333)</f>
        <v>0.3333333333</v>
      </c>
      <c r="O3088" s="4" t="str">
        <f>IFERROR(__xludf.DUMMYFUNCTION("""COMPUTED_VALUE"""),"null")</f>
        <v>null</v>
      </c>
      <c r="P3088" s="33">
        <f>IFERROR(__xludf.DUMMYFUNCTION("""COMPUTED_VALUE"""),0.6666666666666666)</f>
        <v>0.6666666667</v>
      </c>
      <c r="Q3088" s="4" t="str">
        <f>IFERROR(__xludf.DUMMYFUNCTION("""COMPUTED_VALUE"""),"null")</f>
        <v>null</v>
      </c>
      <c r="R3088" s="33">
        <f>IFERROR(__xludf.DUMMYFUNCTION("""COMPUTED_VALUE"""),0.6666666666666666)</f>
        <v>0.6666666667</v>
      </c>
      <c r="S3088" s="4" t="str">
        <f>IFERROR(__xludf.DUMMYFUNCTION("""COMPUTED_VALUE"""),"null")</f>
        <v>null</v>
      </c>
      <c r="T3088" s="33">
        <f>IFERROR(__xludf.DUMMYFUNCTION("""COMPUTED_VALUE"""),0.6666666666666666)</f>
        <v>0.6666666667</v>
      </c>
      <c r="U3088" s="4" t="str">
        <f>IFERROR(__xludf.DUMMYFUNCTION("""COMPUTED_VALUE"""),"null")</f>
        <v>null</v>
      </c>
      <c r="V3088" s="33">
        <f>IFERROR(__xludf.DUMMYFUNCTION("""COMPUTED_VALUE"""),0.6666666666666666)</f>
        <v>0.6666666667</v>
      </c>
      <c r="W3088" s="4" t="str">
        <f>IFERROR(__xludf.DUMMYFUNCTION("""COMPUTED_VALUE"""),"null")</f>
        <v>null</v>
      </c>
      <c r="X3088" s="33">
        <f>IFERROR(__xludf.DUMMYFUNCTION("""COMPUTED_VALUE"""),1.0)</f>
        <v>1</v>
      </c>
    </row>
    <row r="3089">
      <c r="K3089" s="4" t="str">
        <f>IFERROR(__xludf.DUMMYFUNCTION("""COMPUTED_VALUE"""),"ACAI POINT")</f>
        <v>ACAI POINT</v>
      </c>
      <c r="L3089" s="32">
        <f>IFERROR(__xludf.DUMMYFUNCTION("""COMPUTED_VALUE"""),3.0)</f>
        <v>3</v>
      </c>
      <c r="M3089" s="4" t="str">
        <f>IFERROR(__xludf.DUMMYFUNCTION("""COMPUTED_VALUE"""),"Saipos Serviços De Software")</f>
        <v>Saipos Serviços De Software</v>
      </c>
      <c r="N3089" s="33">
        <f>IFERROR(__xludf.DUMMYFUNCTION("""COMPUTED_VALUE"""),0.3333333333333333)</f>
        <v>0.3333333333</v>
      </c>
      <c r="O3089" s="4" t="str">
        <f>IFERROR(__xludf.DUMMYFUNCTION("""COMPUTED_VALUE"""),"Saipos Serviços De Software")</f>
        <v>Saipos Serviços De Software</v>
      </c>
      <c r="P3089" s="33">
        <f>IFERROR(__xludf.DUMMYFUNCTION("""COMPUTED_VALUE"""),0.3333333333333333)</f>
        <v>0.3333333333</v>
      </c>
      <c r="Q3089" s="4" t="str">
        <f>IFERROR(__xludf.DUMMYFUNCTION("""COMPUTED_VALUE"""),"Saipos Serviços De Software")</f>
        <v>Saipos Serviços De Software</v>
      </c>
      <c r="R3089" s="33">
        <f>IFERROR(__xludf.DUMMYFUNCTION("""COMPUTED_VALUE"""),0.3333333333333333)</f>
        <v>0.3333333333</v>
      </c>
      <c r="S3089" s="4" t="str">
        <f>IFERROR(__xludf.DUMMYFUNCTION("""COMPUTED_VALUE"""),"Brendi")</f>
        <v>Brendi</v>
      </c>
      <c r="T3089" s="33">
        <f>IFERROR(__xludf.DUMMYFUNCTION("""COMPUTED_VALUE"""),0.3333333333333333)</f>
        <v>0.3333333333</v>
      </c>
      <c r="U3089" s="4" t="str">
        <f>IFERROR(__xludf.DUMMYFUNCTION("""COMPUTED_VALUE"""),"Brendi")</f>
        <v>Brendi</v>
      </c>
      <c r="V3089" s="33">
        <f>IFERROR(__xludf.DUMMYFUNCTION("""COMPUTED_VALUE"""),0.3333333333333333)</f>
        <v>0.3333333333</v>
      </c>
      <c r="W3089" s="4" t="str">
        <f>IFERROR(__xludf.DUMMYFUNCTION("""COMPUTED_VALUE"""),"Brendi")</f>
        <v>Brendi</v>
      </c>
      <c r="X3089" s="33">
        <f>IFERROR(__xludf.DUMMYFUNCTION("""COMPUTED_VALUE"""),0.3333333333333333)</f>
        <v>0.3333333333</v>
      </c>
    </row>
    <row r="3090">
      <c r="K3090" s="4" t="str">
        <f>IFERROR(__xludf.DUMMYFUNCTION("""COMPUTED_VALUE"""),"FERA LANCHES")</f>
        <v>FERA LANCHES</v>
      </c>
      <c r="L3090" s="32">
        <f>IFERROR(__xludf.DUMMYFUNCTION("""COMPUTED_VALUE"""),3.0)</f>
        <v>3</v>
      </c>
      <c r="M3090" s="4" t="str">
        <f>IFERROR(__xludf.DUMMYFUNCTION("""COMPUTED_VALUE"""),"Cardápio Web")</f>
        <v>Cardápio Web</v>
      </c>
      <c r="N3090" s="33">
        <f>IFERROR(__xludf.DUMMYFUNCTION("""COMPUTED_VALUE"""),0.3333333333333333)</f>
        <v>0.3333333333</v>
      </c>
      <c r="O3090" s="4" t="str">
        <f>IFERROR(__xludf.DUMMYFUNCTION("""COMPUTED_VALUE"""),"Cardápio Web")</f>
        <v>Cardápio Web</v>
      </c>
      <c r="P3090" s="33">
        <f>IFERROR(__xludf.DUMMYFUNCTION("""COMPUTED_VALUE"""),0.3333333333333333)</f>
        <v>0.3333333333</v>
      </c>
      <c r="Q3090" s="4" t="str">
        <f>IFERROR(__xludf.DUMMYFUNCTION("""COMPUTED_VALUE"""),"Cardápio Web")</f>
        <v>Cardápio Web</v>
      </c>
      <c r="R3090" s="33">
        <f>IFERROR(__xludf.DUMMYFUNCTION("""COMPUTED_VALUE"""),0.3333333333333333)</f>
        <v>0.3333333333</v>
      </c>
      <c r="S3090" s="4" t="str">
        <f>IFERROR(__xludf.DUMMYFUNCTION("""COMPUTED_VALUE"""),"Cardápio Web")</f>
        <v>Cardápio Web</v>
      </c>
      <c r="T3090" s="33">
        <f>IFERROR(__xludf.DUMMYFUNCTION("""COMPUTED_VALUE"""),0.3333333333333333)</f>
        <v>0.3333333333</v>
      </c>
      <c r="U3090" s="4" t="str">
        <f>IFERROR(__xludf.DUMMYFUNCTION("""COMPUTED_VALUE"""),"Cardápio Web")</f>
        <v>Cardápio Web</v>
      </c>
      <c r="V3090" s="33">
        <f>IFERROR(__xludf.DUMMYFUNCTION("""COMPUTED_VALUE"""),0.3333333333333333)</f>
        <v>0.3333333333</v>
      </c>
      <c r="W3090" s="4" t="str">
        <f>IFERROR(__xludf.DUMMYFUNCTION("""COMPUTED_VALUE"""),"Cardápio Web")</f>
        <v>Cardápio Web</v>
      </c>
      <c r="X3090" s="33">
        <f>IFERROR(__xludf.DUMMYFUNCTION("""COMPUTED_VALUE"""),0.3333333333333333)</f>
        <v>0.3333333333</v>
      </c>
    </row>
    <row r="3091">
      <c r="K3091" s="4" t="str">
        <f>IFERROR(__xludf.DUMMYFUNCTION("""COMPUTED_VALUE"""),"POINT DOS SABORES")</f>
        <v>POINT DOS SABORES</v>
      </c>
      <c r="L3091" s="32">
        <f>IFERROR(__xludf.DUMMYFUNCTION("""COMPUTED_VALUE"""),3.0)</f>
        <v>3</v>
      </c>
      <c r="M3091" s="4" t="str">
        <f>IFERROR(__xludf.DUMMYFUNCTION("""COMPUTED_VALUE"""),"Instadelivery")</f>
        <v>Instadelivery</v>
      </c>
      <c r="N3091" s="33">
        <f>IFERROR(__xludf.DUMMYFUNCTION("""COMPUTED_VALUE"""),0.6666666666666666)</f>
        <v>0.6666666667</v>
      </c>
      <c r="O3091" s="4" t="str">
        <f>IFERROR(__xludf.DUMMYFUNCTION("""COMPUTED_VALUE"""),"Instadelivery")</f>
        <v>Instadelivery</v>
      </c>
      <c r="P3091" s="33">
        <f>IFERROR(__xludf.DUMMYFUNCTION("""COMPUTED_VALUE"""),0.6666666666666666)</f>
        <v>0.6666666667</v>
      </c>
      <c r="Q3091" s="4" t="str">
        <f>IFERROR(__xludf.DUMMYFUNCTION("""COMPUTED_VALUE"""),"Instadelivery")</f>
        <v>Instadelivery</v>
      </c>
      <c r="R3091" s="33">
        <f>IFERROR(__xludf.DUMMYFUNCTION("""COMPUTED_VALUE"""),0.6666666666666666)</f>
        <v>0.6666666667</v>
      </c>
      <c r="S3091" s="4" t="str">
        <f>IFERROR(__xludf.DUMMYFUNCTION("""COMPUTED_VALUE"""),"Instadelivery")</f>
        <v>Instadelivery</v>
      </c>
      <c r="T3091" s="33">
        <f>IFERROR(__xludf.DUMMYFUNCTION("""COMPUTED_VALUE"""),0.6666666666666666)</f>
        <v>0.6666666667</v>
      </c>
      <c r="U3091" s="4" t="str">
        <f>IFERROR(__xludf.DUMMYFUNCTION("""COMPUTED_VALUE"""),"Instadelivery")</f>
        <v>Instadelivery</v>
      </c>
      <c r="V3091" s="33">
        <f>IFERROR(__xludf.DUMMYFUNCTION("""COMPUTED_VALUE"""),0.6666666666666666)</f>
        <v>0.6666666667</v>
      </c>
      <c r="W3091" s="4" t="str">
        <f>IFERROR(__xludf.DUMMYFUNCTION("""COMPUTED_VALUE"""),"Instadelivery")</f>
        <v>Instadelivery</v>
      </c>
      <c r="X3091" s="33">
        <f>IFERROR(__xludf.DUMMYFUNCTION("""COMPUTED_VALUE"""),0.6666666666666666)</f>
        <v>0.6666666667</v>
      </c>
    </row>
    <row r="3092">
      <c r="K3092" s="4" t="str">
        <f>IFERROR(__xludf.DUMMYFUNCTION("""COMPUTED_VALUE"""),"VAGAO LANCHES")</f>
        <v>VAGAO LANCHES</v>
      </c>
      <c r="L3092" s="32">
        <f>IFERROR(__xludf.DUMMYFUNCTION("""COMPUTED_VALUE"""),3.0)</f>
        <v>3</v>
      </c>
      <c r="M3092" s="4" t="str">
        <f>IFERROR(__xludf.DUMMYFUNCTION("""COMPUTED_VALUE"""),"Simsoft Rp Tecnologia")</f>
        <v>Simsoft Rp Tecnologia</v>
      </c>
      <c r="N3092" s="33">
        <f>IFERROR(__xludf.DUMMYFUNCTION("""COMPUTED_VALUE"""),0.3333333333333333)</f>
        <v>0.3333333333</v>
      </c>
      <c r="O3092" s="4" t="str">
        <f>IFERROR(__xludf.DUMMYFUNCTION("""COMPUTED_VALUE"""),"Simsoft Rp Tecnologia")</f>
        <v>Simsoft Rp Tecnologia</v>
      </c>
      <c r="P3092" s="33">
        <f>IFERROR(__xludf.DUMMYFUNCTION("""COMPUTED_VALUE"""),0.3333333333333333)</f>
        <v>0.3333333333</v>
      </c>
      <c r="Q3092" s="4" t="str">
        <f>IFERROR(__xludf.DUMMYFUNCTION("""COMPUTED_VALUE"""),"null")</f>
        <v>null</v>
      </c>
      <c r="R3092" s="33">
        <f>IFERROR(__xludf.DUMMYFUNCTION("""COMPUTED_VALUE"""),0.6666666666666666)</f>
        <v>0.6666666667</v>
      </c>
      <c r="S3092" s="4" t="str">
        <f>IFERROR(__xludf.DUMMYFUNCTION("""COMPUTED_VALUE"""),"null")</f>
        <v>null</v>
      </c>
      <c r="T3092" s="33">
        <f>IFERROR(__xludf.DUMMYFUNCTION("""COMPUTED_VALUE"""),0.6666666666666666)</f>
        <v>0.6666666667</v>
      </c>
      <c r="U3092" s="4" t="str">
        <f>IFERROR(__xludf.DUMMYFUNCTION("""COMPUTED_VALUE"""),"Simsoft Rp Tecnologia")</f>
        <v>Simsoft Rp Tecnologia</v>
      </c>
      <c r="V3092" s="33">
        <f>IFERROR(__xludf.DUMMYFUNCTION("""COMPUTED_VALUE"""),0.3333333333333333)</f>
        <v>0.3333333333</v>
      </c>
      <c r="W3092" s="4" t="str">
        <f>IFERROR(__xludf.DUMMYFUNCTION("""COMPUTED_VALUE"""),"Simsoft Rp Tecnologia")</f>
        <v>Simsoft Rp Tecnologia</v>
      </c>
      <c r="X3092" s="33">
        <f>IFERROR(__xludf.DUMMYFUNCTION("""COMPUTED_VALUE"""),0.3333333333333333)</f>
        <v>0.3333333333</v>
      </c>
    </row>
    <row r="3093">
      <c r="K3093" s="4" t="str">
        <f>IFERROR(__xludf.DUMMYFUNCTION("""COMPUTED_VALUE"""),"AKIRA SUSHI")</f>
        <v>AKIRA SUSHI</v>
      </c>
      <c r="L3093" s="32">
        <f>IFERROR(__xludf.DUMMYFUNCTION("""COMPUTED_VALUE"""),3.0)</f>
        <v>3</v>
      </c>
      <c r="M3093" s="4" t="str">
        <f>IFERROR(__xludf.DUMMYFUNCTION("""COMPUTED_VALUE"""),"Brendi")</f>
        <v>Brendi</v>
      </c>
      <c r="N3093" s="33">
        <f>IFERROR(__xludf.DUMMYFUNCTION("""COMPUTED_VALUE"""),0.3333333333333333)</f>
        <v>0.3333333333</v>
      </c>
      <c r="O3093" s="4" t="str">
        <f>IFERROR(__xludf.DUMMYFUNCTION("""COMPUTED_VALUE"""),"null")</f>
        <v>null</v>
      </c>
      <c r="P3093" s="33">
        <f>IFERROR(__xludf.DUMMYFUNCTION("""COMPUTED_VALUE"""),0.3333333333333333)</f>
        <v>0.3333333333</v>
      </c>
      <c r="Q3093" s="4" t="str">
        <f>IFERROR(__xludf.DUMMYFUNCTION("""COMPUTED_VALUE"""),"null")</f>
        <v>null</v>
      </c>
      <c r="R3093" s="33">
        <f>IFERROR(__xludf.DUMMYFUNCTION("""COMPUTED_VALUE"""),0.6666666666666666)</f>
        <v>0.6666666667</v>
      </c>
      <c r="S3093" s="4" t="str">
        <f>IFERROR(__xludf.DUMMYFUNCTION("""COMPUTED_VALUE"""),"null")</f>
        <v>null</v>
      </c>
      <c r="T3093" s="33">
        <f>IFERROR(__xludf.DUMMYFUNCTION("""COMPUTED_VALUE"""),0.3333333333333333)</f>
        <v>0.3333333333</v>
      </c>
      <c r="U3093" s="4" t="str">
        <f>IFERROR(__xludf.DUMMYFUNCTION("""COMPUTED_VALUE"""),"null")</f>
        <v>null</v>
      </c>
      <c r="V3093" s="33">
        <f>IFERROR(__xludf.DUMMYFUNCTION("""COMPUTED_VALUE"""),0.6666666666666666)</f>
        <v>0.6666666667</v>
      </c>
      <c r="W3093" s="4" t="str">
        <f>IFERROR(__xludf.DUMMYFUNCTION("""COMPUTED_VALUE"""),"null")</f>
        <v>null</v>
      </c>
      <c r="X3093" s="33">
        <f>IFERROR(__xludf.DUMMYFUNCTION("""COMPUTED_VALUE"""),0.3333333333333333)</f>
        <v>0.3333333333</v>
      </c>
    </row>
    <row r="3094">
      <c r="K3094" s="4" t="str">
        <f>IFERROR(__xludf.DUMMYFUNCTION("""COMPUTED_VALUE"""),"HAMBURGUERIA CHAPA QUENTE")</f>
        <v>HAMBURGUERIA CHAPA QUENTE</v>
      </c>
      <c r="L3094" s="32">
        <f>IFERROR(__xludf.DUMMYFUNCTION("""COMPUTED_VALUE"""),3.0)</f>
        <v>3</v>
      </c>
      <c r="M3094" s="4" t="str">
        <f>IFERROR(__xludf.DUMMYFUNCTION("""COMPUTED_VALUE"""),"Beefood - Sistema Para Restaurantes")</f>
        <v>Beefood - Sistema Para Restaurantes</v>
      </c>
      <c r="N3094" s="33">
        <f>IFERROR(__xludf.DUMMYFUNCTION("""COMPUTED_VALUE"""),0.6666666666666666)</f>
        <v>0.6666666667</v>
      </c>
      <c r="O3094" s="4" t="str">
        <f>IFERROR(__xludf.DUMMYFUNCTION("""COMPUTED_VALUE"""),"null")</f>
        <v>null</v>
      </c>
      <c r="P3094" s="33">
        <f>IFERROR(__xludf.DUMMYFUNCTION("""COMPUTED_VALUE"""),0.3333333333333333)</f>
        <v>0.3333333333</v>
      </c>
      <c r="Q3094" s="4" t="str">
        <f>IFERROR(__xludf.DUMMYFUNCTION("""COMPUTED_VALUE"""),"null")</f>
        <v>null</v>
      </c>
      <c r="R3094" s="33">
        <f>IFERROR(__xludf.DUMMYFUNCTION("""COMPUTED_VALUE"""),0.3333333333333333)</f>
        <v>0.3333333333</v>
      </c>
      <c r="S3094" s="4" t="str">
        <f>IFERROR(__xludf.DUMMYFUNCTION("""COMPUTED_VALUE"""),"null")</f>
        <v>null</v>
      </c>
      <c r="T3094" s="33">
        <f>IFERROR(__xludf.DUMMYFUNCTION("""COMPUTED_VALUE"""),0.3333333333333333)</f>
        <v>0.3333333333</v>
      </c>
      <c r="U3094" s="4" t="str">
        <f>IFERROR(__xludf.DUMMYFUNCTION("""COMPUTED_VALUE"""),"null")</f>
        <v>null</v>
      </c>
      <c r="V3094" s="33">
        <f>IFERROR(__xludf.DUMMYFUNCTION("""COMPUTED_VALUE"""),0.3333333333333333)</f>
        <v>0.3333333333</v>
      </c>
      <c r="W3094" s="4" t="str">
        <f>IFERROR(__xludf.DUMMYFUNCTION("""COMPUTED_VALUE"""),"null")</f>
        <v>null</v>
      </c>
      <c r="X3094" s="33">
        <f>IFERROR(__xludf.DUMMYFUNCTION("""COMPUTED_VALUE"""),0.3333333333333333)</f>
        <v>0.3333333333</v>
      </c>
    </row>
    <row r="3095">
      <c r="K3095" s="4" t="str">
        <f>IFERROR(__xludf.DUMMYFUNCTION("""COMPUTED_VALUE"""),"ART PIZZA")</f>
        <v>ART PIZZA</v>
      </c>
      <c r="L3095" s="32">
        <f>IFERROR(__xludf.DUMMYFUNCTION("""COMPUTED_VALUE"""),3.0)</f>
        <v>3</v>
      </c>
      <c r="M3095" s="4" t="str">
        <f>IFERROR(__xludf.DUMMYFUNCTION("""COMPUTED_VALUE"""),"Saipos Serviços De Software")</f>
        <v>Saipos Serviços De Software</v>
      </c>
      <c r="N3095" s="33">
        <f>IFERROR(__xludf.DUMMYFUNCTION("""COMPUTED_VALUE"""),0.3333333333333333)</f>
        <v>0.3333333333</v>
      </c>
      <c r="O3095" s="4" t="str">
        <f>IFERROR(__xludf.DUMMYFUNCTION("""COMPUTED_VALUE"""),"Saipos Serviços De Software")</f>
        <v>Saipos Serviços De Software</v>
      </c>
      <c r="P3095" s="33">
        <f>IFERROR(__xludf.DUMMYFUNCTION("""COMPUTED_VALUE"""),0.3333333333333333)</f>
        <v>0.3333333333</v>
      </c>
      <c r="Q3095" s="4" t="str">
        <f>IFERROR(__xludf.DUMMYFUNCTION("""COMPUTED_VALUE"""),"Saipos Serviços De Software")</f>
        <v>Saipos Serviços De Software</v>
      </c>
      <c r="R3095" s="33">
        <f>IFERROR(__xludf.DUMMYFUNCTION("""COMPUTED_VALUE"""),0.3333333333333333)</f>
        <v>0.3333333333</v>
      </c>
      <c r="S3095" s="4" t="str">
        <f>IFERROR(__xludf.DUMMYFUNCTION("""COMPUTED_VALUE"""),"Saipos Serviços De Software")</f>
        <v>Saipos Serviços De Software</v>
      </c>
      <c r="T3095" s="33">
        <f>IFERROR(__xludf.DUMMYFUNCTION("""COMPUTED_VALUE"""),0.3333333333333333)</f>
        <v>0.3333333333</v>
      </c>
      <c r="U3095" s="4" t="str">
        <f>IFERROR(__xludf.DUMMYFUNCTION("""COMPUTED_VALUE"""),"Saipos Serviços De Software")</f>
        <v>Saipos Serviços De Software</v>
      </c>
      <c r="V3095" s="33">
        <f>IFERROR(__xludf.DUMMYFUNCTION("""COMPUTED_VALUE"""),0.3333333333333333)</f>
        <v>0.3333333333</v>
      </c>
      <c r="W3095" s="4" t="str">
        <f>IFERROR(__xludf.DUMMYFUNCTION("""COMPUTED_VALUE"""),"Saipos Serviços De Software")</f>
        <v>Saipos Serviços De Software</v>
      </c>
      <c r="X3095" s="33">
        <f>IFERROR(__xludf.DUMMYFUNCTION("""COMPUTED_VALUE"""),0.3333333333333333)</f>
        <v>0.3333333333</v>
      </c>
    </row>
    <row r="3096">
      <c r="K3096" s="4" t="str">
        <f>IFERROR(__xludf.DUMMYFUNCTION("""COMPUTED_VALUE"""),"PARMEGIANA CIA")</f>
        <v>PARMEGIANA CIA</v>
      </c>
      <c r="L3096" s="32">
        <f>IFERROR(__xludf.DUMMYFUNCTION("""COMPUTED_VALUE"""),3.0)</f>
        <v>3</v>
      </c>
      <c r="M3096" s="4" t="str">
        <f>IFERROR(__xludf.DUMMYFUNCTION("""COMPUTED_VALUE"""),"Saipos Serviços De Software")</f>
        <v>Saipos Serviços De Software</v>
      </c>
      <c r="N3096" s="33">
        <f>IFERROR(__xludf.DUMMYFUNCTION("""COMPUTED_VALUE"""),0.6666666666666666)</f>
        <v>0.6666666667</v>
      </c>
      <c r="O3096" s="4" t="str">
        <f>IFERROR(__xludf.DUMMYFUNCTION("""COMPUTED_VALUE"""),"Saipos Serviços De Software")</f>
        <v>Saipos Serviços De Software</v>
      </c>
      <c r="P3096" s="33">
        <f>IFERROR(__xludf.DUMMYFUNCTION("""COMPUTED_VALUE"""),0.6666666666666666)</f>
        <v>0.6666666667</v>
      </c>
      <c r="Q3096" s="4" t="str">
        <f>IFERROR(__xludf.DUMMYFUNCTION("""COMPUTED_VALUE"""),"Saipos Serviços De Software")</f>
        <v>Saipos Serviços De Software</v>
      </c>
      <c r="R3096" s="33">
        <f>IFERROR(__xludf.DUMMYFUNCTION("""COMPUTED_VALUE"""),0.6666666666666666)</f>
        <v>0.6666666667</v>
      </c>
      <c r="S3096" s="4" t="str">
        <f>IFERROR(__xludf.DUMMYFUNCTION("""COMPUTED_VALUE"""),"Saipos Serviços De Software")</f>
        <v>Saipos Serviços De Software</v>
      </c>
      <c r="T3096" s="33">
        <f>IFERROR(__xludf.DUMMYFUNCTION("""COMPUTED_VALUE"""),0.6666666666666666)</f>
        <v>0.6666666667</v>
      </c>
      <c r="U3096" s="4" t="str">
        <f>IFERROR(__xludf.DUMMYFUNCTION("""COMPUTED_VALUE"""),"Saipos Serviços De Software")</f>
        <v>Saipos Serviços De Software</v>
      </c>
      <c r="V3096" s="33">
        <f>IFERROR(__xludf.DUMMYFUNCTION("""COMPUTED_VALUE"""),0.6666666666666666)</f>
        <v>0.6666666667</v>
      </c>
      <c r="W3096" s="4" t="str">
        <f>IFERROR(__xludf.DUMMYFUNCTION("""COMPUTED_VALUE"""),"Saipos Serviços De Software")</f>
        <v>Saipos Serviços De Software</v>
      </c>
      <c r="X3096" s="33">
        <f>IFERROR(__xludf.DUMMYFUNCTION("""COMPUTED_VALUE"""),0.6666666666666666)</f>
        <v>0.6666666667</v>
      </c>
    </row>
    <row r="3097">
      <c r="K3097" s="4" t="str">
        <f>IFERROR(__xludf.DUMMYFUNCTION("""COMPUTED_VALUE"""),"SENSACAO LANCHES")</f>
        <v>SENSACAO LANCHES</v>
      </c>
      <c r="L3097" s="32">
        <f>IFERROR(__xludf.DUMMYFUNCTION("""COMPUTED_VALUE"""),3.0)</f>
        <v>3</v>
      </c>
      <c r="M3097" s="4" t="str">
        <f>IFERROR(__xludf.DUMMYFUNCTION("""COMPUTED_VALUE"""),"Olaclick")</f>
        <v>Olaclick</v>
      </c>
      <c r="N3097" s="33">
        <f>IFERROR(__xludf.DUMMYFUNCTION("""COMPUTED_VALUE"""),0.3333333333333333)</f>
        <v>0.3333333333</v>
      </c>
      <c r="O3097" s="4" t="str">
        <f>IFERROR(__xludf.DUMMYFUNCTION("""COMPUTED_VALUE"""),"Olaclick")</f>
        <v>Olaclick</v>
      </c>
      <c r="P3097" s="33">
        <f>IFERROR(__xludf.DUMMYFUNCTION("""COMPUTED_VALUE"""),0.3333333333333333)</f>
        <v>0.3333333333</v>
      </c>
      <c r="Q3097" s="4" t="str">
        <f>IFERROR(__xludf.DUMMYFUNCTION("""COMPUTED_VALUE"""),"Olaclick")</f>
        <v>Olaclick</v>
      </c>
      <c r="R3097" s="33">
        <f>IFERROR(__xludf.DUMMYFUNCTION("""COMPUTED_VALUE"""),0.3333333333333333)</f>
        <v>0.3333333333</v>
      </c>
      <c r="S3097" s="4" t="str">
        <f>IFERROR(__xludf.DUMMYFUNCTION("""COMPUTED_VALUE"""),"Olaclick")</f>
        <v>Olaclick</v>
      </c>
      <c r="T3097" s="33">
        <f>IFERROR(__xludf.DUMMYFUNCTION("""COMPUTED_VALUE"""),0.3333333333333333)</f>
        <v>0.3333333333</v>
      </c>
      <c r="U3097" s="4" t="str">
        <f>IFERROR(__xludf.DUMMYFUNCTION("""COMPUTED_VALUE"""),"Olaclick")</f>
        <v>Olaclick</v>
      </c>
      <c r="V3097" s="33">
        <f>IFERROR(__xludf.DUMMYFUNCTION("""COMPUTED_VALUE"""),0.3333333333333333)</f>
        <v>0.3333333333</v>
      </c>
      <c r="W3097" s="4" t="str">
        <f>IFERROR(__xludf.DUMMYFUNCTION("""COMPUTED_VALUE"""),"Olaclick")</f>
        <v>Olaclick</v>
      </c>
      <c r="X3097" s="33">
        <f>IFERROR(__xludf.DUMMYFUNCTION("""COMPUTED_VALUE"""),0.3333333333333333)</f>
        <v>0.3333333333</v>
      </c>
    </row>
    <row r="3098">
      <c r="K3098" s="4" t="str">
        <f>IFERROR(__xludf.DUMMYFUNCTION("""COMPUTED_VALUE"""),"ACAI DA LULU")</f>
        <v>ACAI DA LULU</v>
      </c>
      <c r="L3098" s="32">
        <f>IFERROR(__xludf.DUMMYFUNCTION("""COMPUTED_VALUE"""),3.0)</f>
        <v>3</v>
      </c>
      <c r="M3098" s="4" t="str">
        <f>IFERROR(__xludf.DUMMYFUNCTION("""COMPUTED_VALUE"""),"null")</f>
        <v>null</v>
      </c>
      <c r="N3098" s="33">
        <f>IFERROR(__xludf.DUMMYFUNCTION("""COMPUTED_VALUE"""),0.6666666666666666)</f>
        <v>0.6666666667</v>
      </c>
      <c r="O3098" s="4" t="str">
        <f>IFERROR(__xludf.DUMMYFUNCTION("""COMPUTED_VALUE"""),"Anota Ai Solucoes Digitais S/a")</f>
        <v>Anota Ai Solucoes Digitais S/a</v>
      </c>
      <c r="P3098" s="33">
        <f>IFERROR(__xludf.DUMMYFUNCTION("""COMPUTED_VALUE"""),0.3333333333333333)</f>
        <v>0.3333333333</v>
      </c>
      <c r="Q3098" s="4" t="str">
        <f>IFERROR(__xludf.DUMMYFUNCTION("""COMPUTED_VALUE"""),"null")</f>
        <v>null</v>
      </c>
      <c r="R3098" s="33">
        <f>IFERROR(__xludf.DUMMYFUNCTION("""COMPUTED_VALUE"""),0.6666666666666666)</f>
        <v>0.6666666667</v>
      </c>
      <c r="S3098" s="4" t="str">
        <f>IFERROR(__xludf.DUMMYFUNCTION("""COMPUTED_VALUE"""),"null")</f>
        <v>null</v>
      </c>
      <c r="T3098" s="33">
        <f>IFERROR(__xludf.DUMMYFUNCTION("""COMPUTED_VALUE"""),0.6666666666666666)</f>
        <v>0.6666666667</v>
      </c>
      <c r="U3098" s="4" t="str">
        <f>IFERROR(__xludf.DUMMYFUNCTION("""COMPUTED_VALUE"""),"null")</f>
        <v>null</v>
      </c>
      <c r="V3098" s="33">
        <f>IFERROR(__xludf.DUMMYFUNCTION("""COMPUTED_VALUE"""),0.6666666666666666)</f>
        <v>0.6666666667</v>
      </c>
      <c r="W3098" s="4" t="str">
        <f>IFERROR(__xludf.DUMMYFUNCTION("""COMPUTED_VALUE"""),"null")</f>
        <v>null</v>
      </c>
      <c r="X3098" s="33">
        <f>IFERROR(__xludf.DUMMYFUNCTION("""COMPUTED_VALUE"""),0.3333333333333333)</f>
        <v>0.3333333333</v>
      </c>
    </row>
    <row r="3099">
      <c r="K3099" s="4" t="str">
        <f>IFERROR(__xludf.DUMMYFUNCTION("""COMPUTED_VALUE"""),"ARMANDO LANCHES")</f>
        <v>ARMANDO LANCHES</v>
      </c>
      <c r="L3099" s="32">
        <f>IFERROR(__xludf.DUMMYFUNCTION("""COMPUTED_VALUE"""),3.0)</f>
        <v>3</v>
      </c>
      <c r="M3099" s="4" t="str">
        <f>IFERROR(__xludf.DUMMYFUNCTION("""COMPUTED_VALUE"""),"Saipos Serviços De Software")</f>
        <v>Saipos Serviços De Software</v>
      </c>
      <c r="N3099" s="33">
        <f>IFERROR(__xludf.DUMMYFUNCTION("""COMPUTED_VALUE"""),0.6666666666666666)</f>
        <v>0.6666666667</v>
      </c>
      <c r="O3099" s="4" t="str">
        <f>IFERROR(__xludf.DUMMYFUNCTION("""COMPUTED_VALUE"""),"Saipos Serviços De Software")</f>
        <v>Saipos Serviços De Software</v>
      </c>
      <c r="P3099" s="33">
        <f>IFERROR(__xludf.DUMMYFUNCTION("""COMPUTED_VALUE"""),0.6666666666666666)</f>
        <v>0.6666666667</v>
      </c>
      <c r="Q3099" s="4" t="str">
        <f>IFERROR(__xludf.DUMMYFUNCTION("""COMPUTED_VALUE"""),"Saipos Serviços De Software")</f>
        <v>Saipos Serviços De Software</v>
      </c>
      <c r="R3099" s="33">
        <f>IFERROR(__xludf.DUMMYFUNCTION("""COMPUTED_VALUE"""),0.6666666666666666)</f>
        <v>0.6666666667</v>
      </c>
      <c r="S3099" s="4" t="str">
        <f>IFERROR(__xludf.DUMMYFUNCTION("""COMPUTED_VALUE"""),"Saipos Serviços De Software")</f>
        <v>Saipos Serviços De Software</v>
      </c>
      <c r="T3099" s="33">
        <f>IFERROR(__xludf.DUMMYFUNCTION("""COMPUTED_VALUE"""),0.6666666666666666)</f>
        <v>0.6666666667</v>
      </c>
      <c r="U3099" s="4" t="str">
        <f>IFERROR(__xludf.DUMMYFUNCTION("""COMPUTED_VALUE"""),"Saipos Serviços De Software")</f>
        <v>Saipos Serviços De Software</v>
      </c>
      <c r="V3099" s="33">
        <f>IFERROR(__xludf.DUMMYFUNCTION("""COMPUTED_VALUE"""),0.6666666666666666)</f>
        <v>0.6666666667</v>
      </c>
      <c r="W3099" s="4" t="str">
        <f>IFERROR(__xludf.DUMMYFUNCTION("""COMPUTED_VALUE"""),"Saipos Serviços De Software")</f>
        <v>Saipos Serviços De Software</v>
      </c>
      <c r="X3099" s="33">
        <f>IFERROR(__xludf.DUMMYFUNCTION("""COMPUTED_VALUE"""),0.6666666666666666)</f>
        <v>0.6666666667</v>
      </c>
    </row>
    <row r="3100">
      <c r="K3100" s="4" t="str">
        <f>IFERROR(__xludf.DUMMYFUNCTION("""COMPUTED_VALUE"""),"RESTAURANTE BOM GOSTO")</f>
        <v>RESTAURANTE BOM GOSTO</v>
      </c>
      <c r="L3100" s="32">
        <f>IFERROR(__xludf.DUMMYFUNCTION("""COMPUTED_VALUE"""),3.0)</f>
        <v>3</v>
      </c>
      <c r="M3100" s="4" t="str">
        <f>IFERROR(__xludf.DUMMYFUNCTION("""COMPUTED_VALUE"""),"null")</f>
        <v>null</v>
      </c>
      <c r="N3100" s="33">
        <f>IFERROR(__xludf.DUMMYFUNCTION("""COMPUTED_VALUE"""),0.3333333333333333)</f>
        <v>0.3333333333</v>
      </c>
      <c r="O3100" s="4" t="str">
        <f>IFERROR(__xludf.DUMMYFUNCTION("""COMPUTED_VALUE"""),"null")</f>
        <v>null</v>
      </c>
      <c r="P3100" s="33">
        <f>IFERROR(__xludf.DUMMYFUNCTION("""COMPUTED_VALUE"""),0.3333333333333333)</f>
        <v>0.3333333333</v>
      </c>
      <c r="Q3100" s="4" t="str">
        <f>IFERROR(__xludf.DUMMYFUNCTION("""COMPUTED_VALUE"""),"null")</f>
        <v>null</v>
      </c>
      <c r="R3100" s="33">
        <f>IFERROR(__xludf.DUMMYFUNCTION("""COMPUTED_VALUE"""),0.3333333333333333)</f>
        <v>0.3333333333</v>
      </c>
      <c r="S3100" s="4" t="str">
        <f>IFERROR(__xludf.DUMMYFUNCTION("""COMPUTED_VALUE"""),"Saipos Serviços De Software")</f>
        <v>Saipos Serviços De Software</v>
      </c>
      <c r="T3100" s="33">
        <f>IFERROR(__xludf.DUMMYFUNCTION("""COMPUTED_VALUE"""),0.6666666666666666)</f>
        <v>0.6666666667</v>
      </c>
      <c r="U3100" s="4" t="str">
        <f>IFERROR(__xludf.DUMMYFUNCTION("""COMPUTED_VALUE"""),"Saipos Serviços De Software")</f>
        <v>Saipos Serviços De Software</v>
      </c>
      <c r="V3100" s="33">
        <f>IFERROR(__xludf.DUMMYFUNCTION("""COMPUTED_VALUE"""),0.6666666666666666)</f>
        <v>0.6666666667</v>
      </c>
      <c r="W3100" s="4" t="str">
        <f>IFERROR(__xludf.DUMMYFUNCTION("""COMPUTED_VALUE"""),"Saipos Serviços De Software")</f>
        <v>Saipos Serviços De Software</v>
      </c>
      <c r="X3100" s="33">
        <f>IFERROR(__xludf.DUMMYFUNCTION("""COMPUTED_VALUE"""),0.6666666666666666)</f>
        <v>0.6666666667</v>
      </c>
    </row>
    <row r="3101">
      <c r="K3101" s="4" t="str">
        <f>IFERROR(__xludf.DUMMYFUNCTION("""COMPUTED_VALUE"""),"PONTO DO SABOR")</f>
        <v>PONTO DO SABOR</v>
      </c>
      <c r="L3101" s="32">
        <f>IFERROR(__xludf.DUMMYFUNCTION("""COMPUTED_VALUE"""),3.0)</f>
        <v>3</v>
      </c>
      <c r="M3101" s="4" t="str">
        <f>IFERROR(__xludf.DUMMYFUNCTION("""COMPUTED_VALUE"""),"null")</f>
        <v>null</v>
      </c>
      <c r="N3101" s="33">
        <f>IFERROR(__xludf.DUMMYFUNCTION("""COMPUTED_VALUE"""),0.6666666666666666)</f>
        <v>0.6666666667</v>
      </c>
      <c r="O3101" s="4" t="str">
        <f>IFERROR(__xludf.DUMMYFUNCTION("""COMPUTED_VALUE"""),"null")</f>
        <v>null</v>
      </c>
      <c r="P3101" s="33">
        <f>IFERROR(__xludf.DUMMYFUNCTION("""COMPUTED_VALUE"""),0.6666666666666666)</f>
        <v>0.6666666667</v>
      </c>
      <c r="Q3101" s="4" t="str">
        <f>IFERROR(__xludf.DUMMYFUNCTION("""COMPUTED_VALUE"""),"null")</f>
        <v>null</v>
      </c>
      <c r="R3101" s="33">
        <f>IFERROR(__xludf.DUMMYFUNCTION("""COMPUTED_VALUE"""),0.6666666666666666)</f>
        <v>0.6666666667</v>
      </c>
      <c r="S3101" s="4" t="str">
        <f>IFERROR(__xludf.DUMMYFUNCTION("""COMPUTED_VALUE"""),"Whatsmenu Ltda")</f>
        <v>Whatsmenu Ltda</v>
      </c>
      <c r="T3101" s="33">
        <f>IFERROR(__xludf.DUMMYFUNCTION("""COMPUTED_VALUE"""),0.3333333333333333)</f>
        <v>0.3333333333</v>
      </c>
      <c r="U3101" s="4" t="str">
        <f>IFERROR(__xludf.DUMMYFUNCTION("""COMPUTED_VALUE"""),"null")</f>
        <v>null</v>
      </c>
      <c r="V3101" s="33">
        <f>IFERROR(__xludf.DUMMYFUNCTION("""COMPUTED_VALUE"""),0.3333333333333333)</f>
        <v>0.3333333333</v>
      </c>
      <c r="W3101" s="4" t="str">
        <f>IFERROR(__xludf.DUMMYFUNCTION("""COMPUTED_VALUE"""),"Whatsmenu Ltda")</f>
        <v>Whatsmenu Ltda</v>
      </c>
      <c r="X3101" s="33">
        <f>IFERROR(__xludf.DUMMYFUNCTION("""COMPUTED_VALUE"""),0.3333333333333333)</f>
        <v>0.3333333333</v>
      </c>
    </row>
    <row r="3102">
      <c r="K3102" s="4" t="str">
        <f>IFERROR(__xludf.DUMMYFUNCTION("""COMPUTED_VALUE"""),"GO COFFEE")</f>
        <v>GO COFFEE</v>
      </c>
      <c r="L3102" s="32">
        <f>IFERROR(__xludf.DUMMYFUNCTION("""COMPUTED_VALUE"""),3.0)</f>
        <v>3</v>
      </c>
      <c r="M3102" s="4" t="str">
        <f>IFERROR(__xludf.DUMMYFUNCTION("""COMPUTED_VALUE"""),"null")</f>
        <v>null</v>
      </c>
      <c r="N3102" s="33">
        <f>IFERROR(__xludf.DUMMYFUNCTION("""COMPUTED_VALUE"""),0.6666666666666666)</f>
        <v>0.6666666667</v>
      </c>
      <c r="O3102" s="4" t="str">
        <f>IFERROR(__xludf.DUMMYFUNCTION("""COMPUTED_VALUE"""),"null")</f>
        <v>null</v>
      </c>
      <c r="P3102" s="33">
        <f>IFERROR(__xludf.DUMMYFUNCTION("""COMPUTED_VALUE"""),0.6666666666666666)</f>
        <v>0.6666666667</v>
      </c>
      <c r="Q3102" s="4" t="str">
        <f>IFERROR(__xludf.DUMMYFUNCTION("""COMPUTED_VALUE"""),"null")</f>
        <v>null</v>
      </c>
      <c r="R3102" s="33">
        <f>IFERROR(__xludf.DUMMYFUNCTION("""COMPUTED_VALUE"""),1.0)</f>
        <v>1</v>
      </c>
      <c r="S3102" s="4" t="str">
        <f>IFERROR(__xludf.DUMMYFUNCTION("""COMPUTED_VALUE"""),"null")</f>
        <v>null</v>
      </c>
      <c r="T3102" s="33">
        <f>IFERROR(__xludf.DUMMYFUNCTION("""COMPUTED_VALUE"""),0.6666666666666666)</f>
        <v>0.6666666667</v>
      </c>
      <c r="U3102" s="4" t="str">
        <f>IFERROR(__xludf.DUMMYFUNCTION("""COMPUTED_VALUE"""),"null")</f>
        <v>null</v>
      </c>
      <c r="V3102" s="33">
        <f>IFERROR(__xludf.DUMMYFUNCTION("""COMPUTED_VALUE"""),0.6666666666666666)</f>
        <v>0.6666666667</v>
      </c>
      <c r="W3102" s="4" t="str">
        <f>IFERROR(__xludf.DUMMYFUNCTION("""COMPUTED_VALUE"""),"Genuine Sistemas Ltda")</f>
        <v>Genuine Sistemas Ltda</v>
      </c>
      <c r="X3102" s="33">
        <f>IFERROR(__xludf.DUMMYFUNCTION("""COMPUTED_VALUE"""),0.3333333333333333)</f>
        <v>0.3333333333</v>
      </c>
    </row>
    <row r="3103">
      <c r="K3103" s="4" t="str">
        <f>IFERROR(__xludf.DUMMYFUNCTION("""COMPUTED_VALUE"""),"DOCE ACAI")</f>
        <v>DOCE ACAI</v>
      </c>
      <c r="L3103" s="32">
        <f>IFERROR(__xludf.DUMMYFUNCTION("""COMPUTED_VALUE"""),3.0)</f>
        <v>3</v>
      </c>
      <c r="M3103" s="4" t="str">
        <f>IFERROR(__xludf.DUMMYFUNCTION("""COMPUTED_VALUE"""),"null")</f>
        <v>null</v>
      </c>
      <c r="N3103" s="33">
        <f>IFERROR(__xludf.DUMMYFUNCTION("""COMPUTED_VALUE"""),0.6666666666666666)</f>
        <v>0.6666666667</v>
      </c>
      <c r="O3103" s="4" t="str">
        <f>IFERROR(__xludf.DUMMYFUNCTION("""COMPUTED_VALUE"""),"null")</f>
        <v>null</v>
      </c>
      <c r="P3103" s="33">
        <f>IFERROR(__xludf.DUMMYFUNCTION("""COMPUTED_VALUE"""),1.0)</f>
        <v>1</v>
      </c>
      <c r="Q3103" s="4" t="str">
        <f>IFERROR(__xludf.DUMMYFUNCTION("""COMPUTED_VALUE"""),"null")</f>
        <v>null</v>
      </c>
      <c r="R3103" s="33">
        <f>IFERROR(__xludf.DUMMYFUNCTION("""COMPUTED_VALUE"""),1.0)</f>
        <v>1</v>
      </c>
      <c r="S3103" s="4" t="str">
        <f>IFERROR(__xludf.DUMMYFUNCTION("""COMPUTED_VALUE"""),"null")</f>
        <v>null</v>
      </c>
      <c r="T3103" s="33">
        <f>IFERROR(__xludf.DUMMYFUNCTION("""COMPUTED_VALUE"""),1.0)</f>
        <v>1</v>
      </c>
      <c r="U3103" s="4" t="str">
        <f>IFERROR(__xludf.DUMMYFUNCTION("""COMPUTED_VALUE"""),"Olaclick")</f>
        <v>Olaclick</v>
      </c>
      <c r="V3103" s="33">
        <f>IFERROR(__xludf.DUMMYFUNCTION("""COMPUTED_VALUE"""),0.3333333333333333)</f>
        <v>0.3333333333</v>
      </c>
      <c r="W3103" s="4" t="str">
        <f>IFERROR(__xludf.DUMMYFUNCTION("""COMPUTED_VALUE"""),"Olaclick")</f>
        <v>Olaclick</v>
      </c>
      <c r="X3103" s="33">
        <f>IFERROR(__xludf.DUMMYFUNCTION("""COMPUTED_VALUE"""),0.3333333333333333)</f>
        <v>0.3333333333</v>
      </c>
    </row>
    <row r="3104">
      <c r="K3104" s="4" t="str">
        <f>IFERROR(__xludf.DUMMYFUNCTION("""COMPUTED_VALUE"""),"PHARMANITA")</f>
        <v>PHARMANITA</v>
      </c>
      <c r="L3104" s="32">
        <f>IFERROR(__xludf.DUMMYFUNCTION("""COMPUTED_VALUE"""),3.0)</f>
        <v>3</v>
      </c>
      <c r="M3104" s="4" t="str">
        <f>IFERROR(__xludf.DUMMYFUNCTION("""COMPUTED_VALUE"""),"null")</f>
        <v>null</v>
      </c>
      <c r="N3104" s="33">
        <f>IFERROR(__xludf.DUMMYFUNCTION("""COMPUTED_VALUE"""),1.0)</f>
        <v>1</v>
      </c>
      <c r="O3104" s="4" t="str">
        <f>IFERROR(__xludf.DUMMYFUNCTION("""COMPUTED_VALUE"""),"null")</f>
        <v>null</v>
      </c>
      <c r="P3104" s="33">
        <f>IFERROR(__xludf.DUMMYFUNCTION("""COMPUTED_VALUE"""),1.0)</f>
        <v>1</v>
      </c>
      <c r="Q3104" s="4" t="str">
        <f>IFERROR(__xludf.DUMMYFUNCTION("""COMPUTED_VALUE"""),"null")</f>
        <v>null</v>
      </c>
      <c r="R3104" s="33">
        <f>IFERROR(__xludf.DUMMYFUNCTION("""COMPUTED_VALUE"""),1.0)</f>
        <v>1</v>
      </c>
      <c r="S3104" s="4" t="str">
        <f>IFERROR(__xludf.DUMMYFUNCTION("""COMPUTED_VALUE"""),"null")</f>
        <v>null</v>
      </c>
      <c r="T3104" s="33">
        <f>IFERROR(__xludf.DUMMYFUNCTION("""COMPUTED_VALUE"""),1.0)</f>
        <v>1</v>
      </c>
      <c r="U3104" s="4" t="str">
        <f>IFERROR(__xludf.DUMMYFUNCTION("""COMPUTED_VALUE"""),"N/A (Not found)")</f>
        <v>N/A (Not found)</v>
      </c>
      <c r="V3104" s="33">
        <f>IFERROR(__xludf.DUMMYFUNCTION("""COMPUTED_VALUE"""),0.6666666666666666)</f>
        <v>0.6666666667</v>
      </c>
      <c r="W3104" s="4" t="str">
        <f>IFERROR(__xludf.DUMMYFUNCTION("""COMPUTED_VALUE"""),"N/A (Not found)")</f>
        <v>N/A (Not found)</v>
      </c>
      <c r="X3104" s="33">
        <f>IFERROR(__xludf.DUMMYFUNCTION("""COMPUTED_VALUE"""),1.0)</f>
        <v>1</v>
      </c>
    </row>
    <row r="3105">
      <c r="K3105" s="4" t="str">
        <f>IFERROR(__xludf.DUMMYFUNCTION("""COMPUTED_VALUE"""),"BURGUER BURGUER")</f>
        <v>BURGUER BURGUER</v>
      </c>
      <c r="L3105" s="32">
        <f>IFERROR(__xludf.DUMMYFUNCTION("""COMPUTED_VALUE"""),3.0)</f>
        <v>3</v>
      </c>
      <c r="M3105" s="4" t="str">
        <f>IFERROR(__xludf.DUMMYFUNCTION("""COMPUTED_VALUE"""),"Eclética Tecnologia")</f>
        <v>Eclética Tecnologia</v>
      </c>
      <c r="N3105" s="33">
        <f>IFERROR(__xludf.DUMMYFUNCTION("""COMPUTED_VALUE"""),0.6666666666666666)</f>
        <v>0.6666666667</v>
      </c>
      <c r="O3105" s="4" t="str">
        <f>IFERROR(__xludf.DUMMYFUNCTION("""COMPUTED_VALUE"""),"Eclética Tecnologia")</f>
        <v>Eclética Tecnologia</v>
      </c>
      <c r="P3105" s="33">
        <f>IFERROR(__xludf.DUMMYFUNCTION("""COMPUTED_VALUE"""),0.6666666666666666)</f>
        <v>0.6666666667</v>
      </c>
      <c r="Q3105" s="4" t="str">
        <f>IFERROR(__xludf.DUMMYFUNCTION("""COMPUTED_VALUE"""),"Eclética Tecnologia")</f>
        <v>Eclética Tecnologia</v>
      </c>
      <c r="R3105" s="33">
        <f>IFERROR(__xludf.DUMMYFUNCTION("""COMPUTED_VALUE"""),0.6666666666666666)</f>
        <v>0.6666666667</v>
      </c>
      <c r="S3105" s="4" t="str">
        <f>IFERROR(__xludf.DUMMYFUNCTION("""COMPUTED_VALUE"""),"Eclética Tecnologia")</f>
        <v>Eclética Tecnologia</v>
      </c>
      <c r="T3105" s="33">
        <f>IFERROR(__xludf.DUMMYFUNCTION("""COMPUTED_VALUE"""),0.6666666666666666)</f>
        <v>0.6666666667</v>
      </c>
      <c r="U3105" s="4" t="str">
        <f>IFERROR(__xludf.DUMMYFUNCTION("""COMPUTED_VALUE"""),"Eclética Tecnologia")</f>
        <v>Eclética Tecnologia</v>
      </c>
      <c r="V3105" s="33">
        <f>IFERROR(__xludf.DUMMYFUNCTION("""COMPUTED_VALUE"""),0.6666666666666666)</f>
        <v>0.6666666667</v>
      </c>
      <c r="W3105" s="4" t="str">
        <f>IFERROR(__xludf.DUMMYFUNCTION("""COMPUTED_VALUE"""),"Eclética Tecnologia")</f>
        <v>Eclética Tecnologia</v>
      </c>
      <c r="X3105" s="33">
        <f>IFERROR(__xludf.DUMMYFUNCTION("""COMPUTED_VALUE"""),0.6666666666666666)</f>
        <v>0.6666666667</v>
      </c>
    </row>
    <row r="3106">
      <c r="K3106" s="4" t="str">
        <f>IFERROR(__xludf.DUMMYFUNCTION("""COMPUTED_VALUE"""),"QUERO MAIS")</f>
        <v>QUERO MAIS</v>
      </c>
      <c r="L3106" s="32">
        <f>IFERROR(__xludf.DUMMYFUNCTION("""COMPUTED_VALUE"""),3.0)</f>
        <v>3</v>
      </c>
      <c r="M3106" s="4" t="str">
        <f>IFERROR(__xludf.DUMMYFUNCTION("""COMPUTED_VALUE"""),"Anota Ai Solucoes Digitais S/a")</f>
        <v>Anota Ai Solucoes Digitais S/a</v>
      </c>
      <c r="N3106" s="33">
        <f>IFERROR(__xludf.DUMMYFUNCTION("""COMPUTED_VALUE"""),0.6666666666666666)</f>
        <v>0.6666666667</v>
      </c>
      <c r="O3106" s="4" t="str">
        <f>IFERROR(__xludf.DUMMYFUNCTION("""COMPUTED_VALUE"""),"Anota Ai Solucoes Digitais S/a")</f>
        <v>Anota Ai Solucoes Digitais S/a</v>
      </c>
      <c r="P3106" s="33">
        <f>IFERROR(__xludf.DUMMYFUNCTION("""COMPUTED_VALUE"""),0.6666666666666666)</f>
        <v>0.6666666667</v>
      </c>
      <c r="Q3106" s="4" t="str">
        <f>IFERROR(__xludf.DUMMYFUNCTION("""COMPUTED_VALUE"""),"Anota Ai Solucoes Digitais S/a")</f>
        <v>Anota Ai Solucoes Digitais S/a</v>
      </c>
      <c r="R3106" s="33">
        <f>IFERROR(__xludf.DUMMYFUNCTION("""COMPUTED_VALUE"""),0.6666666666666666)</f>
        <v>0.6666666667</v>
      </c>
      <c r="S3106" s="4" t="str">
        <f>IFERROR(__xludf.DUMMYFUNCTION("""COMPUTED_VALUE"""),"Anota Ai Solucoes Digitais S/a")</f>
        <v>Anota Ai Solucoes Digitais S/a</v>
      </c>
      <c r="T3106" s="33">
        <f>IFERROR(__xludf.DUMMYFUNCTION("""COMPUTED_VALUE"""),0.6666666666666666)</f>
        <v>0.6666666667</v>
      </c>
      <c r="U3106" s="4" t="str">
        <f>IFERROR(__xludf.DUMMYFUNCTION("""COMPUTED_VALUE"""),"Saipos Serviços De Software")</f>
        <v>Saipos Serviços De Software</v>
      </c>
      <c r="V3106" s="33">
        <f>IFERROR(__xludf.DUMMYFUNCTION("""COMPUTED_VALUE"""),0.6666666666666666)</f>
        <v>0.6666666667</v>
      </c>
      <c r="W3106" s="4" t="str">
        <f>IFERROR(__xludf.DUMMYFUNCTION("""COMPUTED_VALUE"""),"Saipos Serviços De Software")</f>
        <v>Saipos Serviços De Software</v>
      </c>
      <c r="X3106" s="33">
        <f>IFERROR(__xludf.DUMMYFUNCTION("""COMPUTED_VALUE"""),0.6666666666666666)</f>
        <v>0.6666666667</v>
      </c>
    </row>
    <row r="3107">
      <c r="K3107" s="4" t="str">
        <f>IFERROR(__xludf.DUMMYFUNCTION("""COMPUTED_VALUE"""),"ACAI LINGUA ROXA")</f>
        <v>ACAI LINGUA ROXA</v>
      </c>
      <c r="L3107" s="32">
        <f>IFERROR(__xludf.DUMMYFUNCTION("""COMPUTED_VALUE"""),3.0)</f>
        <v>3</v>
      </c>
      <c r="M3107" s="4" t="str">
        <f>IFERROR(__xludf.DUMMYFUNCTION("""COMPUTED_VALUE"""),"null")</f>
        <v>null</v>
      </c>
      <c r="N3107" s="33">
        <f>IFERROR(__xludf.DUMMYFUNCTION("""COMPUTED_VALUE"""),0.6666666666666666)</f>
        <v>0.6666666667</v>
      </c>
      <c r="O3107" s="4" t="str">
        <f>IFERROR(__xludf.DUMMYFUNCTION("""COMPUTED_VALUE"""),"null")</f>
        <v>null</v>
      </c>
      <c r="P3107" s="33">
        <f>IFERROR(__xludf.DUMMYFUNCTION("""COMPUTED_VALUE"""),0.6666666666666666)</f>
        <v>0.6666666667</v>
      </c>
      <c r="Q3107" s="4" t="str">
        <f>IFERROR(__xludf.DUMMYFUNCTION("""COMPUTED_VALUE"""),"null")</f>
        <v>null</v>
      </c>
      <c r="R3107" s="33">
        <f>IFERROR(__xludf.DUMMYFUNCTION("""COMPUTED_VALUE"""),0.6666666666666666)</f>
        <v>0.6666666667</v>
      </c>
      <c r="S3107" s="4" t="str">
        <f>IFERROR(__xludf.DUMMYFUNCTION("""COMPUTED_VALUE"""),"null")</f>
        <v>null</v>
      </c>
      <c r="T3107" s="33">
        <f>IFERROR(__xludf.DUMMYFUNCTION("""COMPUTED_VALUE"""),0.6666666666666666)</f>
        <v>0.6666666667</v>
      </c>
      <c r="U3107" s="4" t="str">
        <f>IFERROR(__xludf.DUMMYFUNCTION("""COMPUTED_VALUE"""),"Cardápio Web")</f>
        <v>Cardápio Web</v>
      </c>
      <c r="V3107" s="33">
        <f>IFERROR(__xludf.DUMMYFUNCTION("""COMPUTED_VALUE"""),0.6666666666666666)</f>
        <v>0.6666666667</v>
      </c>
      <c r="W3107" s="4" t="str">
        <f>IFERROR(__xludf.DUMMYFUNCTION("""COMPUTED_VALUE"""),"Cardápio Web")</f>
        <v>Cardápio Web</v>
      </c>
      <c r="X3107" s="33">
        <f>IFERROR(__xludf.DUMMYFUNCTION("""COMPUTED_VALUE"""),0.6666666666666666)</f>
        <v>0.6666666667</v>
      </c>
    </row>
    <row r="3108">
      <c r="K3108" s="4" t="str">
        <f>IFERROR(__xludf.DUMMYFUNCTION("""COMPUTED_VALUE"""),"SANTA MARMITA")</f>
        <v>SANTA MARMITA</v>
      </c>
      <c r="L3108" s="32">
        <f>IFERROR(__xludf.DUMMYFUNCTION("""COMPUTED_VALUE"""),3.0)</f>
        <v>3</v>
      </c>
      <c r="M3108" s="4" t="str">
        <f>IFERROR(__xludf.DUMMYFUNCTION("""COMPUTED_VALUE"""),"Saipos Serviços De Software")</f>
        <v>Saipos Serviços De Software</v>
      </c>
      <c r="N3108" s="33">
        <f>IFERROR(__xludf.DUMMYFUNCTION("""COMPUTED_VALUE"""),0.3333333333333333)</f>
        <v>0.3333333333</v>
      </c>
      <c r="O3108" s="4" t="str">
        <f>IFERROR(__xludf.DUMMYFUNCTION("""COMPUTED_VALUE"""),"Saipos Serviços De Software")</f>
        <v>Saipos Serviços De Software</v>
      </c>
      <c r="P3108" s="33">
        <f>IFERROR(__xludf.DUMMYFUNCTION("""COMPUTED_VALUE"""),0.3333333333333333)</f>
        <v>0.3333333333</v>
      </c>
      <c r="Q3108" s="4" t="str">
        <f>IFERROR(__xludf.DUMMYFUNCTION("""COMPUTED_VALUE"""),"Saipos Serviços De Software")</f>
        <v>Saipos Serviços De Software</v>
      </c>
      <c r="R3108" s="33">
        <f>IFERROR(__xludf.DUMMYFUNCTION("""COMPUTED_VALUE"""),0.3333333333333333)</f>
        <v>0.3333333333</v>
      </c>
      <c r="S3108" s="4" t="str">
        <f>IFERROR(__xludf.DUMMYFUNCTION("""COMPUTED_VALUE"""),"Saipos Serviços De Software")</f>
        <v>Saipos Serviços De Software</v>
      </c>
      <c r="T3108" s="33">
        <f>IFERROR(__xludf.DUMMYFUNCTION("""COMPUTED_VALUE"""),0.3333333333333333)</f>
        <v>0.3333333333</v>
      </c>
      <c r="U3108" s="4" t="str">
        <f>IFERROR(__xludf.DUMMYFUNCTION("""COMPUTED_VALUE"""),"Saipos Serviços De Software")</f>
        <v>Saipos Serviços De Software</v>
      </c>
      <c r="V3108" s="33">
        <f>IFERROR(__xludf.DUMMYFUNCTION("""COMPUTED_VALUE"""),0.3333333333333333)</f>
        <v>0.3333333333</v>
      </c>
      <c r="W3108" s="4" t="str">
        <f>IFERROR(__xludf.DUMMYFUNCTION("""COMPUTED_VALUE"""),"Saipos Serviços De Software")</f>
        <v>Saipos Serviços De Software</v>
      </c>
      <c r="X3108" s="33">
        <f>IFERROR(__xludf.DUMMYFUNCTION("""COMPUTED_VALUE"""),0.3333333333333333)</f>
        <v>0.3333333333</v>
      </c>
    </row>
    <row r="3109">
      <c r="K3109" s="4" t="str">
        <f>IFERROR(__xludf.DUMMYFUNCTION("""COMPUTED_VALUE"""),"BRASEIRO ESPETARIA")</f>
        <v>BRASEIRO ESPETARIA</v>
      </c>
      <c r="L3109" s="32">
        <f>IFERROR(__xludf.DUMMYFUNCTION("""COMPUTED_VALUE"""),3.0)</f>
        <v>3</v>
      </c>
      <c r="M3109" s="4" t="str">
        <f>IFERROR(__xludf.DUMMYFUNCTION("""COMPUTED_VALUE"""),"Datacaixa Pdv")</f>
        <v>Datacaixa Pdv</v>
      </c>
      <c r="N3109" s="33">
        <f>IFERROR(__xludf.DUMMYFUNCTION("""COMPUTED_VALUE"""),0.3333333333333333)</f>
        <v>0.3333333333</v>
      </c>
      <c r="O3109" s="4" t="str">
        <f>IFERROR(__xludf.DUMMYFUNCTION("""COMPUTED_VALUE"""),"Datacaixa Pdv")</f>
        <v>Datacaixa Pdv</v>
      </c>
      <c r="P3109" s="33">
        <f>IFERROR(__xludf.DUMMYFUNCTION("""COMPUTED_VALUE"""),0.3333333333333333)</f>
        <v>0.3333333333</v>
      </c>
      <c r="Q3109" s="4" t="str">
        <f>IFERROR(__xludf.DUMMYFUNCTION("""COMPUTED_VALUE"""),"Datacaixa Pdv")</f>
        <v>Datacaixa Pdv</v>
      </c>
      <c r="R3109" s="33">
        <f>IFERROR(__xludf.DUMMYFUNCTION("""COMPUTED_VALUE"""),0.3333333333333333)</f>
        <v>0.3333333333</v>
      </c>
      <c r="S3109" s="4" t="str">
        <f>IFERROR(__xludf.DUMMYFUNCTION("""COMPUTED_VALUE"""),"Datacaixa Pdv")</f>
        <v>Datacaixa Pdv</v>
      </c>
      <c r="T3109" s="33">
        <f>IFERROR(__xludf.DUMMYFUNCTION("""COMPUTED_VALUE"""),0.3333333333333333)</f>
        <v>0.3333333333</v>
      </c>
      <c r="U3109" s="4" t="str">
        <f>IFERROR(__xludf.DUMMYFUNCTION("""COMPUTED_VALUE"""),"null")</f>
        <v>null</v>
      </c>
      <c r="V3109" s="33">
        <f>IFERROR(__xludf.DUMMYFUNCTION("""COMPUTED_VALUE"""),0.3333333333333333)</f>
        <v>0.3333333333</v>
      </c>
      <c r="W3109" s="4" t="str">
        <f>IFERROR(__xludf.DUMMYFUNCTION("""COMPUTED_VALUE"""),"Datacaixa Pdv")</f>
        <v>Datacaixa Pdv</v>
      </c>
      <c r="X3109" s="33">
        <f>IFERROR(__xludf.DUMMYFUNCTION("""COMPUTED_VALUE"""),0.3333333333333333)</f>
        <v>0.3333333333</v>
      </c>
    </row>
    <row r="3110">
      <c r="K3110" s="4" t="str">
        <f>IFERROR(__xludf.DUMMYFUNCTION("""COMPUTED_VALUE"""),"GP BURGER")</f>
        <v>GP BURGER</v>
      </c>
      <c r="L3110" s="32">
        <f>IFERROR(__xludf.DUMMYFUNCTION("""COMPUTED_VALUE"""),3.0)</f>
        <v>3</v>
      </c>
      <c r="M3110" s="4" t="str">
        <f>IFERROR(__xludf.DUMMYFUNCTION("""COMPUTED_VALUE"""),"null")</f>
        <v>null</v>
      </c>
      <c r="N3110" s="33">
        <f>IFERROR(__xludf.DUMMYFUNCTION("""COMPUTED_VALUE"""),0.3333333333333333)</f>
        <v>0.3333333333</v>
      </c>
      <c r="O3110" s="4" t="str">
        <f>IFERROR(__xludf.DUMMYFUNCTION("""COMPUTED_VALUE"""),"null")</f>
        <v>null</v>
      </c>
      <c r="P3110" s="33">
        <f>IFERROR(__xludf.DUMMYFUNCTION("""COMPUTED_VALUE"""),0.6666666666666666)</f>
        <v>0.6666666667</v>
      </c>
      <c r="Q3110" s="4" t="str">
        <f>IFERROR(__xludf.DUMMYFUNCTION("""COMPUTED_VALUE"""),"null")</f>
        <v>null</v>
      </c>
      <c r="R3110" s="33">
        <f>IFERROR(__xludf.DUMMYFUNCTION("""COMPUTED_VALUE"""),0.3333333333333333)</f>
        <v>0.3333333333</v>
      </c>
      <c r="S3110" s="4" t="str">
        <f>IFERROR(__xludf.DUMMYFUNCTION("""COMPUTED_VALUE"""),"Instadelivery")</f>
        <v>Instadelivery</v>
      </c>
      <c r="T3110" s="33">
        <f>IFERROR(__xludf.DUMMYFUNCTION("""COMPUTED_VALUE"""),0.3333333333333333)</f>
        <v>0.3333333333</v>
      </c>
      <c r="U3110" s="4" t="str">
        <f>IFERROR(__xludf.DUMMYFUNCTION("""COMPUTED_VALUE"""),"Instadelivery")</f>
        <v>Instadelivery</v>
      </c>
      <c r="V3110" s="33">
        <f>IFERROR(__xludf.DUMMYFUNCTION("""COMPUTED_VALUE"""),0.3333333333333333)</f>
        <v>0.3333333333</v>
      </c>
      <c r="W3110" s="4" t="str">
        <f>IFERROR(__xludf.DUMMYFUNCTION("""COMPUTED_VALUE"""),"Instadelivery")</f>
        <v>Instadelivery</v>
      </c>
      <c r="X3110" s="33">
        <f>IFERROR(__xludf.DUMMYFUNCTION("""COMPUTED_VALUE"""),0.3333333333333333)</f>
        <v>0.3333333333</v>
      </c>
    </row>
    <row r="3111">
      <c r="K3111" s="4" t="str">
        <f>IFERROR(__xludf.DUMMYFUNCTION("""COMPUTED_VALUE"""),"PONTO DO BURGUER")</f>
        <v>PONTO DO BURGUER</v>
      </c>
      <c r="L3111" s="32">
        <f>IFERROR(__xludf.DUMMYFUNCTION("""COMPUTED_VALUE"""),3.0)</f>
        <v>3</v>
      </c>
      <c r="M3111" s="4" t="str">
        <f>IFERROR(__xludf.DUMMYFUNCTION("""COMPUTED_VALUE"""),"null")</f>
        <v>null</v>
      </c>
      <c r="N3111" s="33">
        <f>IFERROR(__xludf.DUMMYFUNCTION("""COMPUTED_VALUE"""),1.0)</f>
        <v>1</v>
      </c>
      <c r="O3111" s="4" t="str">
        <f>IFERROR(__xludf.DUMMYFUNCTION("""COMPUTED_VALUE"""),"null")</f>
        <v>null</v>
      </c>
      <c r="P3111" s="33">
        <f>IFERROR(__xludf.DUMMYFUNCTION("""COMPUTED_VALUE"""),1.0)</f>
        <v>1</v>
      </c>
      <c r="Q3111" s="4" t="str">
        <f>IFERROR(__xludf.DUMMYFUNCTION("""COMPUTED_VALUE"""),"null")</f>
        <v>null</v>
      </c>
      <c r="R3111" s="33">
        <f>IFERROR(__xludf.DUMMYFUNCTION("""COMPUTED_VALUE"""),0.6666666666666666)</f>
        <v>0.6666666667</v>
      </c>
      <c r="S3111" s="4" t="str">
        <f>IFERROR(__xludf.DUMMYFUNCTION("""COMPUTED_VALUE"""),"null")</f>
        <v>null</v>
      </c>
      <c r="T3111" s="33">
        <f>IFERROR(__xludf.DUMMYFUNCTION("""COMPUTED_VALUE"""),1.0)</f>
        <v>1</v>
      </c>
      <c r="U3111" s="4" t="str">
        <f>IFERROR(__xludf.DUMMYFUNCTION("""COMPUTED_VALUE"""),"null")</f>
        <v>null</v>
      </c>
      <c r="V3111" s="33">
        <f>IFERROR(__xludf.DUMMYFUNCTION("""COMPUTED_VALUE"""),0.6666666666666666)</f>
        <v>0.6666666667</v>
      </c>
      <c r="W3111" s="4" t="str">
        <f>IFERROR(__xludf.DUMMYFUNCTION("""COMPUTED_VALUE"""),"null")</f>
        <v>null</v>
      </c>
      <c r="X3111" s="33">
        <f>IFERROR(__xludf.DUMMYFUNCTION("""COMPUTED_VALUE"""),0.6666666666666666)</f>
        <v>0.6666666667</v>
      </c>
    </row>
    <row r="3112">
      <c r="K3112" s="4" t="str">
        <f>IFERROR(__xludf.DUMMYFUNCTION("""COMPUTED_VALUE"""),"NINJAS DO SUSHI")</f>
        <v>NINJAS DO SUSHI</v>
      </c>
      <c r="L3112" s="32">
        <f>IFERROR(__xludf.DUMMYFUNCTION("""COMPUTED_VALUE"""),3.0)</f>
        <v>3</v>
      </c>
      <c r="M3112" s="4" t="str">
        <f>IFERROR(__xludf.DUMMYFUNCTION("""COMPUTED_VALUE"""),"null")</f>
        <v>null</v>
      </c>
      <c r="N3112" s="33">
        <f>IFERROR(__xludf.DUMMYFUNCTION("""COMPUTED_VALUE"""),1.0)</f>
        <v>1</v>
      </c>
      <c r="O3112" s="4" t="str">
        <f>IFERROR(__xludf.DUMMYFUNCTION("""COMPUTED_VALUE"""),"null")</f>
        <v>null</v>
      </c>
      <c r="P3112" s="33">
        <f>IFERROR(__xludf.DUMMYFUNCTION("""COMPUTED_VALUE"""),0.6666666666666666)</f>
        <v>0.6666666667</v>
      </c>
      <c r="Q3112" s="4" t="str">
        <f>IFERROR(__xludf.DUMMYFUNCTION("""COMPUTED_VALUE"""),"Menu Integrado")</f>
        <v>Menu Integrado</v>
      </c>
      <c r="R3112" s="33">
        <f>IFERROR(__xludf.DUMMYFUNCTION("""COMPUTED_VALUE"""),0.6666666666666666)</f>
        <v>0.6666666667</v>
      </c>
      <c r="S3112" s="4" t="str">
        <f>IFERROR(__xludf.DUMMYFUNCTION("""COMPUTED_VALUE"""),"null")</f>
        <v>null</v>
      </c>
      <c r="T3112" s="33">
        <f>IFERROR(__xludf.DUMMYFUNCTION("""COMPUTED_VALUE"""),0.6666666666666666)</f>
        <v>0.6666666667</v>
      </c>
      <c r="U3112" s="4" t="str">
        <f>IFERROR(__xludf.DUMMYFUNCTION("""COMPUTED_VALUE"""),"null")</f>
        <v>null</v>
      </c>
      <c r="V3112" s="33">
        <f>IFERROR(__xludf.DUMMYFUNCTION("""COMPUTED_VALUE"""),0.6666666666666666)</f>
        <v>0.6666666667</v>
      </c>
      <c r="W3112" s="4" t="str">
        <f>IFERROR(__xludf.DUMMYFUNCTION("""COMPUTED_VALUE"""),"Cardápio Web")</f>
        <v>Cardápio Web</v>
      </c>
      <c r="X3112" s="33">
        <f>IFERROR(__xludf.DUMMYFUNCTION("""COMPUTED_VALUE"""),0.6666666666666666)</f>
        <v>0.6666666667</v>
      </c>
    </row>
    <row r="3113">
      <c r="K3113" s="4" t="str">
        <f>IFERROR(__xludf.DUMMYFUNCTION("""COMPUTED_VALUE"""),"RESTAURANTE SABOR DE CASA")</f>
        <v>RESTAURANTE SABOR DE CASA</v>
      </c>
      <c r="L3113" s="32">
        <f>IFERROR(__xludf.DUMMYFUNCTION("""COMPUTED_VALUE"""),3.0)</f>
        <v>3</v>
      </c>
      <c r="M3113" s="4" t="str">
        <f>IFERROR(__xludf.DUMMYFUNCTION("""COMPUTED_VALUE"""),"Yooga")</f>
        <v>Yooga</v>
      </c>
      <c r="N3113" s="33">
        <f>IFERROR(__xludf.DUMMYFUNCTION("""COMPUTED_VALUE"""),0.3333333333333333)</f>
        <v>0.3333333333</v>
      </c>
      <c r="O3113" s="4" t="str">
        <f>IFERROR(__xludf.DUMMYFUNCTION("""COMPUTED_VALUE"""),"Yooga")</f>
        <v>Yooga</v>
      </c>
      <c r="P3113" s="33">
        <f>IFERROR(__xludf.DUMMYFUNCTION("""COMPUTED_VALUE"""),0.3333333333333333)</f>
        <v>0.3333333333</v>
      </c>
      <c r="Q3113" s="4" t="str">
        <f>IFERROR(__xludf.DUMMYFUNCTION("""COMPUTED_VALUE"""),"Yooga")</f>
        <v>Yooga</v>
      </c>
      <c r="R3113" s="33">
        <f>IFERROR(__xludf.DUMMYFUNCTION("""COMPUTED_VALUE"""),0.3333333333333333)</f>
        <v>0.3333333333</v>
      </c>
      <c r="S3113" s="4" t="str">
        <f>IFERROR(__xludf.DUMMYFUNCTION("""COMPUTED_VALUE"""),"Yooga")</f>
        <v>Yooga</v>
      </c>
      <c r="T3113" s="33">
        <f>IFERROR(__xludf.DUMMYFUNCTION("""COMPUTED_VALUE"""),0.3333333333333333)</f>
        <v>0.3333333333</v>
      </c>
      <c r="U3113" s="4" t="str">
        <f>IFERROR(__xludf.DUMMYFUNCTION("""COMPUTED_VALUE"""),"Yooga")</f>
        <v>Yooga</v>
      </c>
      <c r="V3113" s="33">
        <f>IFERROR(__xludf.DUMMYFUNCTION("""COMPUTED_VALUE"""),0.3333333333333333)</f>
        <v>0.3333333333</v>
      </c>
      <c r="W3113" s="4" t="str">
        <f>IFERROR(__xludf.DUMMYFUNCTION("""COMPUTED_VALUE"""),"Yooga")</f>
        <v>Yooga</v>
      </c>
      <c r="X3113" s="33">
        <f>IFERROR(__xludf.DUMMYFUNCTION("""COMPUTED_VALUE"""),0.3333333333333333)</f>
        <v>0.3333333333</v>
      </c>
    </row>
    <row r="3114">
      <c r="K3114" s="4" t="str">
        <f>IFERROR(__xludf.DUMMYFUNCTION("""COMPUTED_VALUE"""),"STYVE PIZZA")</f>
        <v>STYVE PIZZA</v>
      </c>
      <c r="L3114" s="32">
        <f>IFERROR(__xludf.DUMMYFUNCTION("""COMPUTED_VALUE"""),3.0)</f>
        <v>3</v>
      </c>
      <c r="M3114" s="4" t="str">
        <f>IFERROR(__xludf.DUMMYFUNCTION("""COMPUTED_VALUE"""),"Instadelivery")</f>
        <v>Instadelivery</v>
      </c>
      <c r="N3114" s="33">
        <f>IFERROR(__xludf.DUMMYFUNCTION("""COMPUTED_VALUE"""),0.6666666666666666)</f>
        <v>0.6666666667</v>
      </c>
      <c r="O3114" s="4" t="str">
        <f>IFERROR(__xludf.DUMMYFUNCTION("""COMPUTED_VALUE"""),"Takeat Tecnologia")</f>
        <v>Takeat Tecnologia</v>
      </c>
      <c r="P3114" s="33">
        <f>IFERROR(__xludf.DUMMYFUNCTION("""COMPUTED_VALUE"""),1.0)</f>
        <v>1</v>
      </c>
      <c r="Q3114" s="4" t="str">
        <f>IFERROR(__xludf.DUMMYFUNCTION("""COMPUTED_VALUE"""),"Takeat Tecnologia")</f>
        <v>Takeat Tecnologia</v>
      </c>
      <c r="R3114" s="33">
        <f>IFERROR(__xludf.DUMMYFUNCTION("""COMPUTED_VALUE"""),1.0)</f>
        <v>1</v>
      </c>
      <c r="S3114" s="4" t="str">
        <f>IFERROR(__xludf.DUMMYFUNCTION("""COMPUTED_VALUE"""),"Takeat Tecnologia")</f>
        <v>Takeat Tecnologia</v>
      </c>
      <c r="T3114" s="33">
        <f>IFERROR(__xludf.DUMMYFUNCTION("""COMPUTED_VALUE"""),0.6666666666666666)</f>
        <v>0.6666666667</v>
      </c>
      <c r="U3114" s="4" t="str">
        <f>IFERROR(__xludf.DUMMYFUNCTION("""COMPUTED_VALUE"""),"Takeat Tecnologia")</f>
        <v>Takeat Tecnologia</v>
      </c>
      <c r="V3114" s="33">
        <f>IFERROR(__xludf.DUMMYFUNCTION("""COMPUTED_VALUE"""),0.6666666666666666)</f>
        <v>0.6666666667</v>
      </c>
      <c r="W3114" s="4" t="str">
        <f>IFERROR(__xludf.DUMMYFUNCTION("""COMPUTED_VALUE"""),"Takeat Tecnologia")</f>
        <v>Takeat Tecnologia</v>
      </c>
      <c r="X3114" s="33">
        <f>IFERROR(__xludf.DUMMYFUNCTION("""COMPUTED_VALUE"""),1.0)</f>
        <v>1</v>
      </c>
    </row>
    <row r="3115">
      <c r="K3115" s="4" t="str">
        <f>IFERROR(__xludf.DUMMYFUNCTION("""COMPUTED_VALUE"""),"DI ROMA PIZZARIA")</f>
        <v>DI ROMA PIZZARIA</v>
      </c>
      <c r="L3115" s="32">
        <f>IFERROR(__xludf.DUMMYFUNCTION("""COMPUTED_VALUE"""),3.0)</f>
        <v>3</v>
      </c>
      <c r="M3115" s="4" t="str">
        <f>IFERROR(__xludf.DUMMYFUNCTION("""COMPUTED_VALUE"""),"Instadelivery")</f>
        <v>Instadelivery</v>
      </c>
      <c r="N3115" s="33">
        <f>IFERROR(__xludf.DUMMYFUNCTION("""COMPUTED_VALUE"""),1.0)</f>
        <v>1</v>
      </c>
      <c r="O3115" s="4" t="str">
        <f>IFERROR(__xludf.DUMMYFUNCTION("""COMPUTED_VALUE"""),"Instadelivery")</f>
        <v>Instadelivery</v>
      </c>
      <c r="P3115" s="33">
        <f>IFERROR(__xludf.DUMMYFUNCTION("""COMPUTED_VALUE"""),1.0)</f>
        <v>1</v>
      </c>
      <c r="Q3115" s="4" t="str">
        <f>IFERROR(__xludf.DUMMYFUNCTION("""COMPUTED_VALUE"""),"Instadelivery")</f>
        <v>Instadelivery</v>
      </c>
      <c r="R3115" s="33">
        <f>IFERROR(__xludf.DUMMYFUNCTION("""COMPUTED_VALUE"""),1.0)</f>
        <v>1</v>
      </c>
      <c r="S3115" s="4" t="str">
        <f>IFERROR(__xludf.DUMMYFUNCTION("""COMPUTED_VALUE"""),"Instadelivery")</f>
        <v>Instadelivery</v>
      </c>
      <c r="T3115" s="33">
        <f>IFERROR(__xludf.DUMMYFUNCTION("""COMPUTED_VALUE"""),1.0)</f>
        <v>1</v>
      </c>
      <c r="U3115" s="4" t="str">
        <f>IFERROR(__xludf.DUMMYFUNCTION("""COMPUTED_VALUE"""),"Instadelivery")</f>
        <v>Instadelivery</v>
      </c>
      <c r="V3115" s="33">
        <f>IFERROR(__xludf.DUMMYFUNCTION("""COMPUTED_VALUE"""),1.0)</f>
        <v>1</v>
      </c>
      <c r="W3115" s="4" t="str">
        <f>IFERROR(__xludf.DUMMYFUNCTION("""COMPUTED_VALUE"""),"Instadelivery")</f>
        <v>Instadelivery</v>
      </c>
      <c r="X3115" s="33">
        <f>IFERROR(__xludf.DUMMYFUNCTION("""COMPUTED_VALUE"""),1.0)</f>
        <v>1</v>
      </c>
    </row>
    <row r="3116">
      <c r="K3116" s="4" t="str">
        <f>IFERROR(__xludf.DUMMYFUNCTION("""COMPUTED_VALUE"""),"OFICINA DO LANCHE")</f>
        <v>OFICINA DO LANCHE</v>
      </c>
      <c r="L3116" s="32">
        <f>IFERROR(__xludf.DUMMYFUNCTION("""COMPUTED_VALUE"""),3.0)</f>
        <v>3</v>
      </c>
      <c r="M3116" s="4" t="str">
        <f>IFERROR(__xludf.DUMMYFUNCTION("""COMPUTED_VALUE"""),"null")</f>
        <v>null</v>
      </c>
      <c r="N3116" s="33">
        <f>IFERROR(__xludf.DUMMYFUNCTION("""COMPUTED_VALUE"""),0.6666666666666666)</f>
        <v>0.6666666667</v>
      </c>
      <c r="O3116" s="4" t="str">
        <f>IFERROR(__xludf.DUMMYFUNCTION("""COMPUTED_VALUE"""),"null")</f>
        <v>null</v>
      </c>
      <c r="P3116" s="33">
        <f>IFERROR(__xludf.DUMMYFUNCTION("""COMPUTED_VALUE"""),0.6666666666666666)</f>
        <v>0.6666666667</v>
      </c>
      <c r="Q3116" s="4" t="str">
        <f>IFERROR(__xludf.DUMMYFUNCTION("""COMPUTED_VALUE"""),"null")</f>
        <v>null</v>
      </c>
      <c r="R3116" s="33">
        <f>IFERROR(__xludf.DUMMYFUNCTION("""COMPUTED_VALUE"""),0.6666666666666666)</f>
        <v>0.6666666667</v>
      </c>
      <c r="S3116" s="4" t="str">
        <f>IFERROR(__xludf.DUMMYFUNCTION("""COMPUTED_VALUE"""),"null")</f>
        <v>null</v>
      </c>
      <c r="T3116" s="33">
        <f>IFERROR(__xludf.DUMMYFUNCTION("""COMPUTED_VALUE"""),1.0)</f>
        <v>1</v>
      </c>
      <c r="U3116" s="4" t="str">
        <f>IFERROR(__xludf.DUMMYFUNCTION("""COMPUTED_VALUE"""),"Anota Ai Solucoes Digitais S/a")</f>
        <v>Anota Ai Solucoes Digitais S/a</v>
      </c>
      <c r="V3116" s="33">
        <f>IFERROR(__xludf.DUMMYFUNCTION("""COMPUTED_VALUE"""),0.3333333333333333)</f>
        <v>0.3333333333</v>
      </c>
      <c r="W3116" s="4" t="str">
        <f>IFERROR(__xludf.DUMMYFUNCTION("""COMPUTED_VALUE"""),"Anota Ai Solucoes Digitais S/a")</f>
        <v>Anota Ai Solucoes Digitais S/a</v>
      </c>
      <c r="X3116" s="33">
        <f>IFERROR(__xludf.DUMMYFUNCTION("""COMPUTED_VALUE"""),0.3333333333333333)</f>
        <v>0.3333333333</v>
      </c>
    </row>
    <row r="3117">
      <c r="K3117" s="4" t="str">
        <f>IFERROR(__xludf.DUMMYFUNCTION("""COMPUTED_VALUE"""),"POINT BEER")</f>
        <v>POINT BEER</v>
      </c>
      <c r="L3117" s="32">
        <f>IFERROR(__xludf.DUMMYFUNCTION("""COMPUTED_VALUE"""),3.0)</f>
        <v>3</v>
      </c>
      <c r="M3117" s="4" t="str">
        <f>IFERROR(__xludf.DUMMYFUNCTION("""COMPUTED_VALUE"""),"N/A (Not found)")</f>
        <v>N/A (Not found)</v>
      </c>
      <c r="N3117" s="33">
        <f>IFERROR(__xludf.DUMMYFUNCTION("""COMPUTED_VALUE"""),0.6666666666666666)</f>
        <v>0.6666666667</v>
      </c>
      <c r="O3117" s="4" t="str">
        <f>IFERROR(__xludf.DUMMYFUNCTION("""COMPUTED_VALUE"""),"N/A (Not found)")</f>
        <v>N/A (Not found)</v>
      </c>
      <c r="P3117" s="33">
        <f>IFERROR(__xludf.DUMMYFUNCTION("""COMPUTED_VALUE"""),0.6666666666666666)</f>
        <v>0.6666666667</v>
      </c>
      <c r="Q3117" s="4" t="str">
        <f>IFERROR(__xludf.DUMMYFUNCTION("""COMPUTED_VALUE"""),"N/A (Not found)")</f>
        <v>N/A (Not found)</v>
      </c>
      <c r="R3117" s="33">
        <f>IFERROR(__xludf.DUMMYFUNCTION("""COMPUTED_VALUE"""),0.6666666666666666)</f>
        <v>0.6666666667</v>
      </c>
      <c r="S3117" s="4" t="str">
        <f>IFERROR(__xludf.DUMMYFUNCTION("""COMPUTED_VALUE"""),"N/A (Not found)")</f>
        <v>N/A (Not found)</v>
      </c>
      <c r="T3117" s="33">
        <f>IFERROR(__xludf.DUMMYFUNCTION("""COMPUTED_VALUE"""),0.6666666666666666)</f>
        <v>0.6666666667</v>
      </c>
      <c r="U3117" s="4" t="str">
        <f>IFERROR(__xludf.DUMMYFUNCTION("""COMPUTED_VALUE"""),"N/A (Not found)")</f>
        <v>N/A (Not found)</v>
      </c>
      <c r="V3117" s="33">
        <f>IFERROR(__xludf.DUMMYFUNCTION("""COMPUTED_VALUE"""),0.6666666666666666)</f>
        <v>0.6666666667</v>
      </c>
      <c r="W3117" s="4" t="str">
        <f>IFERROR(__xludf.DUMMYFUNCTION("""COMPUTED_VALUE"""),"N/A (Not found)")</f>
        <v>N/A (Not found)</v>
      </c>
      <c r="X3117" s="33">
        <f>IFERROR(__xludf.DUMMYFUNCTION("""COMPUTED_VALUE"""),1.0)</f>
        <v>1</v>
      </c>
    </row>
    <row r="3118">
      <c r="K3118" s="4" t="str">
        <f>IFERROR(__xludf.DUMMYFUNCTION("""COMPUTED_VALUE"""),"MEGA BURGUER")</f>
        <v>MEGA BURGUER</v>
      </c>
      <c r="L3118" s="32">
        <f>IFERROR(__xludf.DUMMYFUNCTION("""COMPUTED_VALUE"""),3.0)</f>
        <v>3</v>
      </c>
      <c r="M3118" s="4" t="str">
        <f>IFERROR(__xludf.DUMMYFUNCTION("""COMPUTED_VALUE"""),"null")</f>
        <v>null</v>
      </c>
      <c r="N3118" s="33">
        <f>IFERROR(__xludf.DUMMYFUNCTION("""COMPUTED_VALUE"""),0.6666666666666666)</f>
        <v>0.6666666667</v>
      </c>
      <c r="O3118" s="4" t="str">
        <f>IFERROR(__xludf.DUMMYFUNCTION("""COMPUTED_VALUE"""),"null")</f>
        <v>null</v>
      </c>
      <c r="P3118" s="33">
        <f>IFERROR(__xludf.DUMMYFUNCTION("""COMPUTED_VALUE"""),0.6666666666666666)</f>
        <v>0.6666666667</v>
      </c>
      <c r="Q3118" s="4" t="str">
        <f>IFERROR(__xludf.DUMMYFUNCTION("""COMPUTED_VALUE"""),"null")</f>
        <v>null</v>
      </c>
      <c r="R3118" s="33">
        <f>IFERROR(__xludf.DUMMYFUNCTION("""COMPUTED_VALUE"""),0.6666666666666666)</f>
        <v>0.6666666667</v>
      </c>
      <c r="S3118" s="4" t="str">
        <f>IFERROR(__xludf.DUMMYFUNCTION("""COMPUTED_VALUE"""),"null")</f>
        <v>null</v>
      </c>
      <c r="T3118" s="33">
        <f>IFERROR(__xludf.DUMMYFUNCTION("""COMPUTED_VALUE"""),0.3333333333333333)</f>
        <v>0.3333333333</v>
      </c>
      <c r="U3118" s="4" t="str">
        <f>IFERROR(__xludf.DUMMYFUNCTION("""COMPUTED_VALUE"""),"Saipos Serviços De Software")</f>
        <v>Saipos Serviços De Software</v>
      </c>
      <c r="V3118" s="33">
        <f>IFERROR(__xludf.DUMMYFUNCTION("""COMPUTED_VALUE"""),0.3333333333333333)</f>
        <v>0.3333333333</v>
      </c>
      <c r="W3118" s="4" t="str">
        <f>IFERROR(__xludf.DUMMYFUNCTION("""COMPUTED_VALUE"""),"Saipos Serviços De Software")</f>
        <v>Saipos Serviços De Software</v>
      </c>
      <c r="X3118" s="33">
        <f>IFERROR(__xludf.DUMMYFUNCTION("""COMPUTED_VALUE"""),0.3333333333333333)</f>
        <v>0.3333333333</v>
      </c>
    </row>
    <row r="3119">
      <c r="K3119" s="4" t="str">
        <f>IFERROR(__xludf.DUMMYFUNCTION("""COMPUTED_VALUE"""),"ACAI CREAM")</f>
        <v>ACAI CREAM</v>
      </c>
      <c r="L3119" s="32">
        <f>IFERROR(__xludf.DUMMYFUNCTION("""COMPUTED_VALUE"""),3.0)</f>
        <v>3</v>
      </c>
      <c r="M3119" s="4" t="str">
        <f>IFERROR(__xludf.DUMMYFUNCTION("""COMPUTED_VALUE"""),"null")</f>
        <v>null</v>
      </c>
      <c r="N3119" s="33">
        <f>IFERROR(__xludf.DUMMYFUNCTION("""COMPUTED_VALUE"""),0.3333333333333333)</f>
        <v>0.3333333333</v>
      </c>
      <c r="O3119" s="4" t="str">
        <f>IFERROR(__xludf.DUMMYFUNCTION("""COMPUTED_VALUE"""),"null")</f>
        <v>null</v>
      </c>
      <c r="P3119" s="33">
        <f>IFERROR(__xludf.DUMMYFUNCTION("""COMPUTED_VALUE"""),0.3333333333333333)</f>
        <v>0.3333333333</v>
      </c>
      <c r="Q3119" s="4" t="str">
        <f>IFERROR(__xludf.DUMMYFUNCTION("""COMPUTED_VALUE"""),"Datacaixa Pdv")</f>
        <v>Datacaixa Pdv</v>
      </c>
      <c r="R3119" s="33">
        <f>IFERROR(__xludf.DUMMYFUNCTION("""COMPUTED_VALUE"""),0.3333333333333333)</f>
        <v>0.3333333333</v>
      </c>
      <c r="S3119" s="4" t="str">
        <f>IFERROR(__xludf.DUMMYFUNCTION("""COMPUTED_VALUE"""),"null")</f>
        <v>null</v>
      </c>
      <c r="T3119" s="33">
        <f>IFERROR(__xludf.DUMMYFUNCTION("""COMPUTED_VALUE"""),0.3333333333333333)</f>
        <v>0.3333333333</v>
      </c>
      <c r="U3119" s="4" t="str">
        <f>IFERROR(__xludf.DUMMYFUNCTION("""COMPUTED_VALUE"""),"null")</f>
        <v>null</v>
      </c>
      <c r="V3119" s="33">
        <f>IFERROR(__xludf.DUMMYFUNCTION("""COMPUTED_VALUE"""),0.3333333333333333)</f>
        <v>0.3333333333</v>
      </c>
      <c r="W3119" s="4" t="str">
        <f>IFERROR(__xludf.DUMMYFUNCTION("""COMPUTED_VALUE"""),"Datacaixa Pdv")</f>
        <v>Datacaixa Pdv</v>
      </c>
      <c r="X3119" s="33">
        <f>IFERROR(__xludf.DUMMYFUNCTION("""COMPUTED_VALUE"""),0.3333333333333333)</f>
        <v>0.3333333333</v>
      </c>
    </row>
    <row r="3120">
      <c r="K3120" s="4" t="str">
        <f>IFERROR(__xludf.DUMMYFUNCTION("""COMPUTED_VALUE"""),"EXPRESSO ACAI")</f>
        <v>EXPRESSO ACAI</v>
      </c>
      <c r="L3120" s="32">
        <f>IFERROR(__xludf.DUMMYFUNCTION("""COMPUTED_VALUE"""),3.0)</f>
        <v>3</v>
      </c>
      <c r="M3120" s="4" t="str">
        <f>IFERROR(__xludf.DUMMYFUNCTION("""COMPUTED_VALUE"""),"null")</f>
        <v>null</v>
      </c>
      <c r="N3120" s="33">
        <f>IFERROR(__xludf.DUMMYFUNCTION("""COMPUTED_VALUE"""),0.6666666666666666)</f>
        <v>0.6666666667</v>
      </c>
      <c r="O3120" s="4" t="str">
        <f>IFERROR(__xludf.DUMMYFUNCTION("""COMPUTED_VALUE"""),"null")</f>
        <v>null</v>
      </c>
      <c r="P3120" s="33">
        <f>IFERROR(__xludf.DUMMYFUNCTION("""COMPUTED_VALUE"""),0.6666666666666666)</f>
        <v>0.6666666667</v>
      </c>
      <c r="Q3120" s="4" t="str">
        <f>IFERROR(__xludf.DUMMYFUNCTION("""COMPUTED_VALUE"""),"null")</f>
        <v>null</v>
      </c>
      <c r="R3120" s="33">
        <f>IFERROR(__xludf.DUMMYFUNCTION("""COMPUTED_VALUE"""),0.6666666666666666)</f>
        <v>0.6666666667</v>
      </c>
      <c r="S3120" s="4" t="str">
        <f>IFERROR(__xludf.DUMMYFUNCTION("""COMPUTED_VALUE"""),"null")</f>
        <v>null</v>
      </c>
      <c r="T3120" s="33">
        <f>IFERROR(__xludf.DUMMYFUNCTION("""COMPUTED_VALUE"""),0.6666666666666666)</f>
        <v>0.6666666667</v>
      </c>
      <c r="U3120" s="4" t="str">
        <f>IFERROR(__xludf.DUMMYFUNCTION("""COMPUTED_VALUE"""),"Beefood - Sistema Para Restaurantes")</f>
        <v>Beefood - Sistema Para Restaurantes</v>
      </c>
      <c r="V3120" s="33">
        <f>IFERROR(__xludf.DUMMYFUNCTION("""COMPUTED_VALUE"""),0.3333333333333333)</f>
        <v>0.3333333333</v>
      </c>
      <c r="W3120" s="4" t="str">
        <f>IFERROR(__xludf.DUMMYFUNCTION("""COMPUTED_VALUE"""),"Consumer Soluções Em Tecnologia Ltda")</f>
        <v>Consumer Soluções Em Tecnologia Ltda</v>
      </c>
      <c r="X3120" s="33">
        <f>IFERROR(__xludf.DUMMYFUNCTION("""COMPUTED_VALUE"""),0.3333333333333333)</f>
        <v>0.3333333333</v>
      </c>
    </row>
    <row r="3121">
      <c r="K3121" s="4" t="str">
        <f>IFERROR(__xludf.DUMMYFUNCTION("""COMPUTED_VALUE"""),"LA PAPRIKA PIZZA DELIVERY")</f>
        <v>LA PAPRIKA PIZZA DELIVERY</v>
      </c>
      <c r="L3121" s="32">
        <f>IFERROR(__xludf.DUMMYFUNCTION("""COMPUTED_VALUE"""),3.0)</f>
        <v>3</v>
      </c>
      <c r="M3121" s="4" t="str">
        <f>IFERROR(__xludf.DUMMYFUNCTION("""COMPUTED_VALUE"""),"Saipos Serviços De Software")</f>
        <v>Saipos Serviços De Software</v>
      </c>
      <c r="N3121" s="33">
        <f>IFERROR(__xludf.DUMMYFUNCTION("""COMPUTED_VALUE"""),1.0)</f>
        <v>1</v>
      </c>
      <c r="O3121" s="4" t="str">
        <f>IFERROR(__xludf.DUMMYFUNCTION("""COMPUTED_VALUE"""),"Saipos Serviços De Software")</f>
        <v>Saipos Serviços De Software</v>
      </c>
      <c r="P3121" s="33">
        <f>IFERROR(__xludf.DUMMYFUNCTION("""COMPUTED_VALUE"""),1.0)</f>
        <v>1</v>
      </c>
      <c r="Q3121" s="4" t="str">
        <f>IFERROR(__xludf.DUMMYFUNCTION("""COMPUTED_VALUE"""),"Saipos Serviços De Software")</f>
        <v>Saipos Serviços De Software</v>
      </c>
      <c r="R3121" s="33">
        <f>IFERROR(__xludf.DUMMYFUNCTION("""COMPUTED_VALUE"""),1.0)</f>
        <v>1</v>
      </c>
      <c r="S3121" s="4" t="str">
        <f>IFERROR(__xludf.DUMMYFUNCTION("""COMPUTED_VALUE"""),"Saipos Serviços De Software")</f>
        <v>Saipos Serviços De Software</v>
      </c>
      <c r="T3121" s="33">
        <f>IFERROR(__xludf.DUMMYFUNCTION("""COMPUTED_VALUE"""),1.0)</f>
        <v>1</v>
      </c>
      <c r="U3121" s="4" t="str">
        <f>IFERROR(__xludf.DUMMYFUNCTION("""COMPUTED_VALUE"""),"Saipos Serviços De Software")</f>
        <v>Saipos Serviços De Software</v>
      </c>
      <c r="V3121" s="33">
        <f>IFERROR(__xludf.DUMMYFUNCTION("""COMPUTED_VALUE"""),1.0)</f>
        <v>1</v>
      </c>
      <c r="W3121" s="4" t="str">
        <f>IFERROR(__xludf.DUMMYFUNCTION("""COMPUTED_VALUE"""),"Saipos Serviços De Software")</f>
        <v>Saipos Serviços De Software</v>
      </c>
      <c r="X3121" s="33">
        <f>IFERROR(__xludf.DUMMYFUNCTION("""COMPUTED_VALUE"""),1.0)</f>
        <v>1</v>
      </c>
    </row>
    <row r="3122">
      <c r="K3122" s="4" t="str">
        <f>IFERROR(__xludf.DUMMYFUNCTION("""COMPUTED_VALUE"""),"XIS RAIZ")</f>
        <v>XIS RAIZ</v>
      </c>
      <c r="L3122" s="32">
        <f>IFERROR(__xludf.DUMMYFUNCTION("""COMPUTED_VALUE"""),3.0)</f>
        <v>3</v>
      </c>
      <c r="M3122" s="4" t="str">
        <f>IFERROR(__xludf.DUMMYFUNCTION("""COMPUTED_VALUE"""),"null")</f>
        <v>null</v>
      </c>
      <c r="N3122" s="33">
        <f>IFERROR(__xludf.DUMMYFUNCTION("""COMPUTED_VALUE"""),0.6666666666666666)</f>
        <v>0.6666666667</v>
      </c>
      <c r="O3122" s="4" t="str">
        <f>IFERROR(__xludf.DUMMYFUNCTION("""COMPUTED_VALUE"""),"null")</f>
        <v>null</v>
      </c>
      <c r="P3122" s="33">
        <f>IFERROR(__xludf.DUMMYFUNCTION("""COMPUTED_VALUE"""),0.6666666666666666)</f>
        <v>0.6666666667</v>
      </c>
      <c r="Q3122" s="4" t="str">
        <f>IFERROR(__xludf.DUMMYFUNCTION("""COMPUTED_VALUE"""),"null")</f>
        <v>null</v>
      </c>
      <c r="R3122" s="33">
        <f>IFERROR(__xludf.DUMMYFUNCTION("""COMPUTED_VALUE"""),0.6666666666666666)</f>
        <v>0.6666666667</v>
      </c>
      <c r="S3122" s="4" t="str">
        <f>IFERROR(__xludf.DUMMYFUNCTION("""COMPUTED_VALUE"""),"null")</f>
        <v>null</v>
      </c>
      <c r="T3122" s="33">
        <f>IFERROR(__xludf.DUMMYFUNCTION("""COMPUTED_VALUE"""),0.3333333333333333)</f>
        <v>0.3333333333</v>
      </c>
      <c r="U3122" s="4" t="str">
        <f>IFERROR(__xludf.DUMMYFUNCTION("""COMPUTED_VALUE"""),"Saipos Serviços De Software")</f>
        <v>Saipos Serviços De Software</v>
      </c>
      <c r="V3122" s="33">
        <f>IFERROR(__xludf.DUMMYFUNCTION("""COMPUTED_VALUE"""),0.3333333333333333)</f>
        <v>0.3333333333</v>
      </c>
      <c r="W3122" s="4" t="str">
        <f>IFERROR(__xludf.DUMMYFUNCTION("""COMPUTED_VALUE"""),"Saipos Serviços De Software")</f>
        <v>Saipos Serviços De Software</v>
      </c>
      <c r="X3122" s="33">
        <f>IFERROR(__xludf.DUMMYFUNCTION("""COMPUTED_VALUE"""),0.3333333333333333)</f>
        <v>0.3333333333</v>
      </c>
    </row>
    <row r="3123">
      <c r="K3123" s="4" t="str">
        <f>IFERROR(__xludf.DUMMYFUNCTION("""COMPUTED_VALUE"""),"CHURRAS")</f>
        <v>CHURRAS</v>
      </c>
      <c r="L3123" s="32">
        <f>IFERROR(__xludf.DUMMYFUNCTION("""COMPUTED_VALUE"""),3.0)</f>
        <v>3</v>
      </c>
      <c r="M3123" s="4" t="str">
        <f>IFERROR(__xludf.DUMMYFUNCTION("""COMPUTED_VALUE"""),"Consumer Soluções Em Tecnologia Ltda")</f>
        <v>Consumer Soluções Em Tecnologia Ltda</v>
      </c>
      <c r="N3123" s="33">
        <f>IFERROR(__xludf.DUMMYFUNCTION("""COMPUTED_VALUE"""),0.3333333333333333)</f>
        <v>0.3333333333</v>
      </c>
      <c r="O3123" s="4" t="str">
        <f>IFERROR(__xludf.DUMMYFUNCTION("""COMPUTED_VALUE"""),"Consumer Soluções Em Tecnologia Ltda")</f>
        <v>Consumer Soluções Em Tecnologia Ltda</v>
      </c>
      <c r="P3123" s="33">
        <f>IFERROR(__xludf.DUMMYFUNCTION("""COMPUTED_VALUE"""),0.3333333333333333)</f>
        <v>0.3333333333</v>
      </c>
      <c r="Q3123" s="4" t="str">
        <f>IFERROR(__xludf.DUMMYFUNCTION("""COMPUTED_VALUE"""),"Consumer Soluções Em Tecnologia Ltda")</f>
        <v>Consumer Soluções Em Tecnologia Ltda</v>
      </c>
      <c r="R3123" s="33">
        <f>IFERROR(__xludf.DUMMYFUNCTION("""COMPUTED_VALUE"""),0.3333333333333333)</f>
        <v>0.3333333333</v>
      </c>
      <c r="S3123" s="4" t="str">
        <f>IFERROR(__xludf.DUMMYFUNCTION("""COMPUTED_VALUE"""),"Consumer Soluções Em Tecnologia Ltda")</f>
        <v>Consumer Soluções Em Tecnologia Ltda</v>
      </c>
      <c r="T3123" s="33">
        <f>IFERROR(__xludf.DUMMYFUNCTION("""COMPUTED_VALUE"""),0.3333333333333333)</f>
        <v>0.3333333333</v>
      </c>
      <c r="U3123" s="4" t="str">
        <f>IFERROR(__xludf.DUMMYFUNCTION("""COMPUTED_VALUE"""),"Consumer Soluções Em Tecnologia Ltda")</f>
        <v>Consumer Soluções Em Tecnologia Ltda</v>
      </c>
      <c r="V3123" s="33">
        <f>IFERROR(__xludf.DUMMYFUNCTION("""COMPUTED_VALUE"""),0.3333333333333333)</f>
        <v>0.3333333333</v>
      </c>
      <c r="W3123" s="4" t="str">
        <f>IFERROR(__xludf.DUMMYFUNCTION("""COMPUTED_VALUE"""),"Consumer Soluções Em Tecnologia Ltda")</f>
        <v>Consumer Soluções Em Tecnologia Ltda</v>
      </c>
      <c r="X3123" s="33">
        <f>IFERROR(__xludf.DUMMYFUNCTION("""COMPUTED_VALUE"""),0.3333333333333333)</f>
        <v>0.3333333333</v>
      </c>
    </row>
    <row r="3124">
      <c r="K3124" s="4" t="str">
        <f>IFERROR(__xludf.DUMMYFUNCTION("""COMPUTED_VALUE"""),"CHEIRO VERDE")</f>
        <v>CHEIRO VERDE</v>
      </c>
      <c r="L3124" s="32">
        <f>IFERROR(__xludf.DUMMYFUNCTION("""COMPUTED_VALUE"""),3.0)</f>
        <v>3</v>
      </c>
      <c r="M3124" s="4" t="str">
        <f>IFERROR(__xludf.DUMMYFUNCTION("""COMPUTED_VALUE"""),"Parseint Desenvolvimento De Sistemas Ltda")</f>
        <v>Parseint Desenvolvimento De Sistemas Ltda</v>
      </c>
      <c r="N3124" s="33">
        <f>IFERROR(__xludf.DUMMYFUNCTION("""COMPUTED_VALUE"""),0.3333333333333333)</f>
        <v>0.3333333333</v>
      </c>
      <c r="O3124" s="4" t="str">
        <f>IFERROR(__xludf.DUMMYFUNCTION("""COMPUTED_VALUE"""),"Parseint Desenvolvimento De Sistemas Ltda")</f>
        <v>Parseint Desenvolvimento De Sistemas Ltda</v>
      </c>
      <c r="P3124" s="33">
        <f>IFERROR(__xludf.DUMMYFUNCTION("""COMPUTED_VALUE"""),0.3333333333333333)</f>
        <v>0.3333333333</v>
      </c>
      <c r="Q3124" s="4" t="str">
        <f>IFERROR(__xludf.DUMMYFUNCTION("""COMPUTED_VALUE"""),"Parseint Desenvolvimento De Sistemas Ltda")</f>
        <v>Parseint Desenvolvimento De Sistemas Ltda</v>
      </c>
      <c r="R3124" s="33">
        <f>IFERROR(__xludf.DUMMYFUNCTION("""COMPUTED_VALUE"""),0.3333333333333333)</f>
        <v>0.3333333333</v>
      </c>
      <c r="S3124" s="4" t="str">
        <f>IFERROR(__xludf.DUMMYFUNCTION("""COMPUTED_VALUE"""),"Parseint Desenvolvimento De Sistemas Ltda")</f>
        <v>Parseint Desenvolvimento De Sistemas Ltda</v>
      </c>
      <c r="T3124" s="33">
        <f>IFERROR(__xludf.DUMMYFUNCTION("""COMPUTED_VALUE"""),0.3333333333333333)</f>
        <v>0.3333333333</v>
      </c>
      <c r="U3124" s="4" t="str">
        <f>IFERROR(__xludf.DUMMYFUNCTION("""COMPUTED_VALUE"""),"Parseint Desenvolvimento De Sistemas Ltda")</f>
        <v>Parseint Desenvolvimento De Sistemas Ltda</v>
      </c>
      <c r="V3124" s="33">
        <f>IFERROR(__xludf.DUMMYFUNCTION("""COMPUTED_VALUE"""),0.3333333333333333)</f>
        <v>0.3333333333</v>
      </c>
      <c r="W3124" s="4" t="str">
        <f>IFERROR(__xludf.DUMMYFUNCTION("""COMPUTED_VALUE"""),"Parseint Desenvolvimento De Sistemas Ltda")</f>
        <v>Parseint Desenvolvimento De Sistemas Ltda</v>
      </c>
      <c r="X3124" s="33">
        <f>IFERROR(__xludf.DUMMYFUNCTION("""COMPUTED_VALUE"""),0.3333333333333333)</f>
        <v>0.3333333333</v>
      </c>
    </row>
    <row r="3125">
      <c r="K3125" s="4" t="str">
        <f>IFERROR(__xludf.DUMMYFUNCTION("""COMPUTED_VALUE"""),"PARADA DO LANCHE")</f>
        <v>PARADA DO LANCHE</v>
      </c>
      <c r="L3125" s="32">
        <f>IFERROR(__xludf.DUMMYFUNCTION("""COMPUTED_VALUE"""),3.0)</f>
        <v>3</v>
      </c>
      <c r="M3125" s="4" t="str">
        <f>IFERROR(__xludf.DUMMYFUNCTION("""COMPUTED_VALUE"""),"Saipos Serviços De Software")</f>
        <v>Saipos Serviços De Software</v>
      </c>
      <c r="N3125" s="33">
        <f>IFERROR(__xludf.DUMMYFUNCTION("""COMPUTED_VALUE"""),0.3333333333333333)</f>
        <v>0.3333333333</v>
      </c>
      <c r="O3125" s="4" t="str">
        <f>IFERROR(__xludf.DUMMYFUNCTION("""COMPUTED_VALUE"""),"Saipos Serviços De Software")</f>
        <v>Saipos Serviços De Software</v>
      </c>
      <c r="P3125" s="33">
        <f>IFERROR(__xludf.DUMMYFUNCTION("""COMPUTED_VALUE"""),0.3333333333333333)</f>
        <v>0.3333333333</v>
      </c>
      <c r="Q3125" s="4" t="str">
        <f>IFERROR(__xludf.DUMMYFUNCTION("""COMPUTED_VALUE"""),"Saipos Serviços De Software")</f>
        <v>Saipos Serviços De Software</v>
      </c>
      <c r="R3125" s="33">
        <f>IFERROR(__xludf.DUMMYFUNCTION("""COMPUTED_VALUE"""),0.3333333333333333)</f>
        <v>0.3333333333</v>
      </c>
      <c r="S3125" s="4" t="str">
        <f>IFERROR(__xludf.DUMMYFUNCTION("""COMPUTED_VALUE"""),"Saipos Serviços De Software")</f>
        <v>Saipos Serviços De Software</v>
      </c>
      <c r="T3125" s="33">
        <f>IFERROR(__xludf.DUMMYFUNCTION("""COMPUTED_VALUE"""),0.3333333333333333)</f>
        <v>0.3333333333</v>
      </c>
      <c r="U3125" s="4" t="str">
        <f>IFERROR(__xludf.DUMMYFUNCTION("""COMPUTED_VALUE"""),"Instadelivery")</f>
        <v>Instadelivery</v>
      </c>
      <c r="V3125" s="33">
        <f>IFERROR(__xludf.DUMMYFUNCTION("""COMPUTED_VALUE"""),0.6666666666666666)</f>
        <v>0.6666666667</v>
      </c>
      <c r="W3125" s="4" t="str">
        <f>IFERROR(__xludf.DUMMYFUNCTION("""COMPUTED_VALUE"""),"Saipos Serviços De Software")</f>
        <v>Saipos Serviços De Software</v>
      </c>
      <c r="X3125" s="33">
        <f>IFERROR(__xludf.DUMMYFUNCTION("""COMPUTED_VALUE"""),0.3333333333333333)</f>
        <v>0.3333333333</v>
      </c>
    </row>
    <row r="3126">
      <c r="K3126" s="4" t="str">
        <f>IFERROR(__xludf.DUMMYFUNCTION("""COMPUTED_VALUE"""),"CENTRAL LANCHES")</f>
        <v>CENTRAL LANCHES</v>
      </c>
      <c r="L3126" s="32">
        <f>IFERROR(__xludf.DUMMYFUNCTION("""COMPUTED_VALUE"""),3.0)</f>
        <v>3</v>
      </c>
      <c r="M3126" s="4" t="str">
        <f>IFERROR(__xludf.DUMMYFUNCTION("""COMPUTED_VALUE"""),"Mp Multipedidos")</f>
        <v>Mp Multipedidos</v>
      </c>
      <c r="N3126" s="33">
        <f>IFERROR(__xludf.DUMMYFUNCTION("""COMPUTED_VALUE"""),0.3333333333333333)</f>
        <v>0.3333333333</v>
      </c>
      <c r="O3126" s="4" t="str">
        <f>IFERROR(__xludf.DUMMYFUNCTION("""COMPUTED_VALUE"""),"Mp Multipedidos")</f>
        <v>Mp Multipedidos</v>
      </c>
      <c r="P3126" s="33">
        <f>IFERROR(__xludf.DUMMYFUNCTION("""COMPUTED_VALUE"""),0.3333333333333333)</f>
        <v>0.3333333333</v>
      </c>
      <c r="Q3126" s="4" t="str">
        <f>IFERROR(__xludf.DUMMYFUNCTION("""COMPUTED_VALUE"""),"Mp Multipedidos")</f>
        <v>Mp Multipedidos</v>
      </c>
      <c r="R3126" s="33">
        <f>IFERROR(__xludf.DUMMYFUNCTION("""COMPUTED_VALUE"""),0.3333333333333333)</f>
        <v>0.3333333333</v>
      </c>
      <c r="S3126" s="4" t="str">
        <f>IFERROR(__xludf.DUMMYFUNCTION("""COMPUTED_VALUE"""),"Mp Multipedidos")</f>
        <v>Mp Multipedidos</v>
      </c>
      <c r="T3126" s="33">
        <f>IFERROR(__xludf.DUMMYFUNCTION("""COMPUTED_VALUE"""),0.3333333333333333)</f>
        <v>0.3333333333</v>
      </c>
      <c r="U3126" s="4" t="str">
        <f>IFERROR(__xludf.DUMMYFUNCTION("""COMPUTED_VALUE"""),"Mp Multipedidos")</f>
        <v>Mp Multipedidos</v>
      </c>
      <c r="V3126" s="33">
        <f>IFERROR(__xludf.DUMMYFUNCTION("""COMPUTED_VALUE"""),0.3333333333333333)</f>
        <v>0.3333333333</v>
      </c>
      <c r="W3126" s="4" t="str">
        <f>IFERROR(__xludf.DUMMYFUNCTION("""COMPUTED_VALUE"""),"Mp Multipedidos")</f>
        <v>Mp Multipedidos</v>
      </c>
      <c r="X3126" s="33">
        <f>IFERROR(__xludf.DUMMYFUNCTION("""COMPUTED_VALUE"""),0.3333333333333333)</f>
        <v>0.3333333333</v>
      </c>
    </row>
    <row r="3127">
      <c r="K3127" s="4" t="str">
        <f>IFERROR(__xludf.DUMMYFUNCTION("""COMPUTED_VALUE"""),"SOBERANO BURGUER")</f>
        <v>SOBERANO BURGUER</v>
      </c>
      <c r="L3127" s="32">
        <f>IFERROR(__xludf.DUMMYFUNCTION("""COMPUTED_VALUE"""),3.0)</f>
        <v>3</v>
      </c>
      <c r="M3127" s="4" t="str">
        <f>IFERROR(__xludf.DUMMYFUNCTION("""COMPUTED_VALUE"""),"Yooga")</f>
        <v>Yooga</v>
      </c>
      <c r="N3127" s="33">
        <f>IFERROR(__xludf.DUMMYFUNCTION("""COMPUTED_VALUE"""),0.3333333333333333)</f>
        <v>0.3333333333</v>
      </c>
      <c r="O3127" s="4" t="str">
        <f>IFERROR(__xludf.DUMMYFUNCTION("""COMPUTED_VALUE"""),"Yooga")</f>
        <v>Yooga</v>
      </c>
      <c r="P3127" s="33">
        <f>IFERROR(__xludf.DUMMYFUNCTION("""COMPUTED_VALUE"""),0.3333333333333333)</f>
        <v>0.3333333333</v>
      </c>
      <c r="Q3127" s="4" t="str">
        <f>IFERROR(__xludf.DUMMYFUNCTION("""COMPUTED_VALUE"""),"Yooga")</f>
        <v>Yooga</v>
      </c>
      <c r="R3127" s="33">
        <f>IFERROR(__xludf.DUMMYFUNCTION("""COMPUTED_VALUE"""),0.3333333333333333)</f>
        <v>0.3333333333</v>
      </c>
      <c r="S3127" s="4" t="str">
        <f>IFERROR(__xludf.DUMMYFUNCTION("""COMPUTED_VALUE"""),"Yooga")</f>
        <v>Yooga</v>
      </c>
      <c r="T3127" s="33">
        <f>IFERROR(__xludf.DUMMYFUNCTION("""COMPUTED_VALUE"""),0.3333333333333333)</f>
        <v>0.3333333333</v>
      </c>
      <c r="U3127" s="4" t="str">
        <f>IFERROR(__xludf.DUMMYFUNCTION("""COMPUTED_VALUE"""),"Yooga")</f>
        <v>Yooga</v>
      </c>
      <c r="V3127" s="33">
        <f>IFERROR(__xludf.DUMMYFUNCTION("""COMPUTED_VALUE"""),0.3333333333333333)</f>
        <v>0.3333333333</v>
      </c>
      <c r="W3127" s="4" t="str">
        <f>IFERROR(__xludf.DUMMYFUNCTION("""COMPUTED_VALUE"""),"Yooga")</f>
        <v>Yooga</v>
      </c>
      <c r="X3127" s="33">
        <f>IFERROR(__xludf.DUMMYFUNCTION("""COMPUTED_VALUE"""),0.3333333333333333)</f>
        <v>0.3333333333</v>
      </c>
    </row>
    <row r="3128">
      <c r="K3128" s="4" t="str">
        <f>IFERROR(__xludf.DUMMYFUNCTION("""COMPUTED_VALUE"""),"SANDUBARIA DO CORAGEM")</f>
        <v>SANDUBARIA DO CORAGEM</v>
      </c>
      <c r="L3128" s="32">
        <f>IFERROR(__xludf.DUMMYFUNCTION("""COMPUTED_VALUE"""),3.0)</f>
        <v>3</v>
      </c>
      <c r="M3128" s="4" t="str">
        <f>IFERROR(__xludf.DUMMYFUNCTION("""COMPUTED_VALUE"""),"Anota Ai Solucoes Digitais S/a")</f>
        <v>Anota Ai Solucoes Digitais S/a</v>
      </c>
      <c r="N3128" s="33">
        <f>IFERROR(__xludf.DUMMYFUNCTION("""COMPUTED_VALUE"""),0.3333333333333333)</f>
        <v>0.3333333333</v>
      </c>
      <c r="O3128" s="4" t="str">
        <f>IFERROR(__xludf.DUMMYFUNCTION("""COMPUTED_VALUE"""),"Anota Ai Solucoes Digitais S/a")</f>
        <v>Anota Ai Solucoes Digitais S/a</v>
      </c>
      <c r="P3128" s="33">
        <f>IFERROR(__xludf.DUMMYFUNCTION("""COMPUTED_VALUE"""),0.3333333333333333)</f>
        <v>0.3333333333</v>
      </c>
      <c r="Q3128" s="4" t="str">
        <f>IFERROR(__xludf.DUMMYFUNCTION("""COMPUTED_VALUE"""),"Cardápio Web")</f>
        <v>Cardápio Web</v>
      </c>
      <c r="R3128" s="33">
        <f>IFERROR(__xludf.DUMMYFUNCTION("""COMPUTED_VALUE"""),0.6666666666666666)</f>
        <v>0.6666666667</v>
      </c>
      <c r="S3128" s="4" t="str">
        <f>IFERROR(__xludf.DUMMYFUNCTION("""COMPUTED_VALUE"""),"Cardápio Web")</f>
        <v>Cardápio Web</v>
      </c>
      <c r="T3128" s="33">
        <f>IFERROR(__xludf.DUMMYFUNCTION("""COMPUTED_VALUE"""),0.6666666666666666)</f>
        <v>0.6666666667</v>
      </c>
      <c r="U3128" s="4" t="str">
        <f>IFERROR(__xludf.DUMMYFUNCTION("""COMPUTED_VALUE"""),"Cardápio Web")</f>
        <v>Cardápio Web</v>
      </c>
      <c r="V3128" s="33">
        <f>IFERROR(__xludf.DUMMYFUNCTION("""COMPUTED_VALUE"""),0.6666666666666666)</f>
        <v>0.6666666667</v>
      </c>
      <c r="W3128" s="4" t="str">
        <f>IFERROR(__xludf.DUMMYFUNCTION("""COMPUTED_VALUE"""),"Cardápio Web")</f>
        <v>Cardápio Web</v>
      </c>
      <c r="X3128" s="33">
        <f>IFERROR(__xludf.DUMMYFUNCTION("""COMPUTED_VALUE"""),0.6666666666666666)</f>
        <v>0.6666666667</v>
      </c>
    </row>
    <row r="3129">
      <c r="K3129" s="4" t="str">
        <f>IFERROR(__xludf.DUMMYFUNCTION("""COMPUTED_VALUE"""),"ESTACAO BURGUER")</f>
        <v>ESTACAO BURGUER</v>
      </c>
      <c r="L3129" s="32">
        <f>IFERROR(__xludf.DUMMYFUNCTION("""COMPUTED_VALUE"""),3.0)</f>
        <v>3</v>
      </c>
      <c r="M3129" s="4" t="str">
        <f>IFERROR(__xludf.DUMMYFUNCTION("""COMPUTED_VALUE"""),"null")</f>
        <v>null</v>
      </c>
      <c r="N3129" s="33">
        <f>IFERROR(__xludf.DUMMYFUNCTION("""COMPUTED_VALUE"""),0.3333333333333333)</f>
        <v>0.3333333333</v>
      </c>
      <c r="O3129" s="4" t="str">
        <f>IFERROR(__xludf.DUMMYFUNCTION("""COMPUTED_VALUE"""),"null")</f>
        <v>null</v>
      </c>
      <c r="P3129" s="33">
        <f>IFERROR(__xludf.DUMMYFUNCTION("""COMPUTED_VALUE"""),0.3333333333333333)</f>
        <v>0.3333333333</v>
      </c>
      <c r="Q3129" s="4" t="str">
        <f>IFERROR(__xludf.DUMMYFUNCTION("""COMPUTED_VALUE"""),"null")</f>
        <v>null</v>
      </c>
      <c r="R3129" s="33">
        <f>IFERROR(__xludf.DUMMYFUNCTION("""COMPUTED_VALUE"""),0.3333333333333333)</f>
        <v>0.3333333333</v>
      </c>
      <c r="S3129" s="4" t="str">
        <f>IFERROR(__xludf.DUMMYFUNCTION("""COMPUTED_VALUE"""),"Brendi")</f>
        <v>Brendi</v>
      </c>
      <c r="T3129" s="33">
        <f>IFERROR(__xludf.DUMMYFUNCTION("""COMPUTED_VALUE"""),0.6666666666666666)</f>
        <v>0.6666666667</v>
      </c>
      <c r="U3129" s="4" t="str">
        <f>IFERROR(__xludf.DUMMYFUNCTION("""COMPUTED_VALUE"""),"Brendi")</f>
        <v>Brendi</v>
      </c>
      <c r="V3129" s="33">
        <f>IFERROR(__xludf.DUMMYFUNCTION("""COMPUTED_VALUE"""),0.6666666666666666)</f>
        <v>0.6666666667</v>
      </c>
      <c r="W3129" s="4" t="str">
        <f>IFERROR(__xludf.DUMMYFUNCTION("""COMPUTED_VALUE"""),"null")</f>
        <v>null</v>
      </c>
      <c r="X3129" s="33">
        <f>IFERROR(__xludf.DUMMYFUNCTION("""COMPUTED_VALUE"""),0.3333333333333333)</f>
        <v>0.3333333333</v>
      </c>
    </row>
    <row r="3130">
      <c r="K3130" s="4" t="str">
        <f>IFERROR(__xludf.DUMMYFUNCTION("""COMPUTED_VALUE"""),"CANECAO LANCHES PRIME")</f>
        <v>CANECAO LANCHES PRIME</v>
      </c>
      <c r="L3130" s="32">
        <f>IFERROR(__xludf.DUMMYFUNCTION("""COMPUTED_VALUE"""),3.0)</f>
        <v>3</v>
      </c>
      <c r="M3130" s="4" t="str">
        <f>IFERROR(__xludf.DUMMYFUNCTION("""COMPUTED_VALUE"""),"Anota Ai Solucoes Digitais S/a")</f>
        <v>Anota Ai Solucoes Digitais S/a</v>
      </c>
      <c r="N3130" s="33">
        <f>IFERROR(__xludf.DUMMYFUNCTION("""COMPUTED_VALUE"""),0.6666666666666666)</f>
        <v>0.6666666667</v>
      </c>
      <c r="O3130" s="4" t="str">
        <f>IFERROR(__xludf.DUMMYFUNCTION("""COMPUTED_VALUE"""),"Anota Ai Solucoes Digitais S/a")</f>
        <v>Anota Ai Solucoes Digitais S/a</v>
      </c>
      <c r="P3130" s="33">
        <f>IFERROR(__xludf.DUMMYFUNCTION("""COMPUTED_VALUE"""),0.6666666666666666)</f>
        <v>0.6666666667</v>
      </c>
      <c r="Q3130" s="4" t="str">
        <f>IFERROR(__xludf.DUMMYFUNCTION("""COMPUTED_VALUE"""),"Anota Ai Solucoes Digitais S/a")</f>
        <v>Anota Ai Solucoes Digitais S/a</v>
      </c>
      <c r="R3130" s="33">
        <f>IFERROR(__xludf.DUMMYFUNCTION("""COMPUTED_VALUE"""),0.6666666666666666)</f>
        <v>0.6666666667</v>
      </c>
      <c r="S3130" s="4" t="str">
        <f>IFERROR(__xludf.DUMMYFUNCTION("""COMPUTED_VALUE"""),"Anota Ai Solucoes Digitais S/a")</f>
        <v>Anota Ai Solucoes Digitais S/a</v>
      </c>
      <c r="T3130" s="33">
        <f>IFERROR(__xludf.DUMMYFUNCTION("""COMPUTED_VALUE"""),0.6666666666666666)</f>
        <v>0.6666666667</v>
      </c>
      <c r="U3130" s="4" t="str">
        <f>IFERROR(__xludf.DUMMYFUNCTION("""COMPUTED_VALUE"""),"Anota Ai Solucoes Digitais S/a")</f>
        <v>Anota Ai Solucoes Digitais S/a</v>
      </c>
      <c r="V3130" s="33">
        <f>IFERROR(__xludf.DUMMYFUNCTION("""COMPUTED_VALUE"""),0.6666666666666666)</f>
        <v>0.6666666667</v>
      </c>
      <c r="W3130" s="4" t="str">
        <f>IFERROR(__xludf.DUMMYFUNCTION("""COMPUTED_VALUE"""),"Anota Ai Solucoes Digitais S/a")</f>
        <v>Anota Ai Solucoes Digitais S/a</v>
      </c>
      <c r="X3130" s="33">
        <f>IFERROR(__xludf.DUMMYFUNCTION("""COMPUTED_VALUE"""),0.6666666666666666)</f>
        <v>0.6666666667</v>
      </c>
    </row>
    <row r="3131">
      <c r="K3131" s="4" t="str">
        <f>IFERROR(__xludf.DUMMYFUNCTION("""COMPUTED_VALUE"""),"GIL LANCHES")</f>
        <v>GIL LANCHES</v>
      </c>
      <c r="L3131" s="32">
        <f>IFERROR(__xludf.DUMMYFUNCTION("""COMPUTED_VALUE"""),3.0)</f>
        <v>3</v>
      </c>
      <c r="M3131" s="4" t="str">
        <f>IFERROR(__xludf.DUMMYFUNCTION("""COMPUTED_VALUE"""),"Consumer Soluções Em Tecnologia Ltda")</f>
        <v>Consumer Soluções Em Tecnologia Ltda</v>
      </c>
      <c r="N3131" s="33">
        <f>IFERROR(__xludf.DUMMYFUNCTION("""COMPUTED_VALUE"""),0.3333333333333333)</f>
        <v>0.3333333333</v>
      </c>
      <c r="O3131" s="4" t="str">
        <f>IFERROR(__xludf.DUMMYFUNCTION("""COMPUTED_VALUE"""),"Consumer Soluções Em Tecnologia Ltda")</f>
        <v>Consumer Soluções Em Tecnologia Ltda</v>
      </c>
      <c r="P3131" s="33">
        <f>IFERROR(__xludf.DUMMYFUNCTION("""COMPUTED_VALUE"""),0.3333333333333333)</f>
        <v>0.3333333333</v>
      </c>
      <c r="Q3131" s="4" t="str">
        <f>IFERROR(__xludf.DUMMYFUNCTION("""COMPUTED_VALUE"""),"Consumer Soluções Em Tecnologia Ltda")</f>
        <v>Consumer Soluções Em Tecnologia Ltda</v>
      </c>
      <c r="R3131" s="33">
        <f>IFERROR(__xludf.DUMMYFUNCTION("""COMPUTED_VALUE"""),0.3333333333333333)</f>
        <v>0.3333333333</v>
      </c>
      <c r="S3131" s="4" t="str">
        <f>IFERROR(__xludf.DUMMYFUNCTION("""COMPUTED_VALUE"""),"Consumer Soluções Em Tecnologia Ltda")</f>
        <v>Consumer Soluções Em Tecnologia Ltda</v>
      </c>
      <c r="T3131" s="33">
        <f>IFERROR(__xludf.DUMMYFUNCTION("""COMPUTED_VALUE"""),0.3333333333333333)</f>
        <v>0.3333333333</v>
      </c>
      <c r="U3131" s="4" t="str">
        <f>IFERROR(__xludf.DUMMYFUNCTION("""COMPUTED_VALUE"""),"Consumer Soluções Em Tecnologia Ltda")</f>
        <v>Consumer Soluções Em Tecnologia Ltda</v>
      </c>
      <c r="V3131" s="33">
        <f>IFERROR(__xludf.DUMMYFUNCTION("""COMPUTED_VALUE"""),0.3333333333333333)</f>
        <v>0.3333333333</v>
      </c>
      <c r="W3131" s="4" t="str">
        <f>IFERROR(__xludf.DUMMYFUNCTION("""COMPUTED_VALUE"""),"Consumer Soluções Em Tecnologia Ltda")</f>
        <v>Consumer Soluções Em Tecnologia Ltda</v>
      </c>
      <c r="X3131" s="33">
        <f>IFERROR(__xludf.DUMMYFUNCTION("""COMPUTED_VALUE"""),0.3333333333333333)</f>
        <v>0.3333333333</v>
      </c>
    </row>
    <row r="3132">
      <c r="K3132" s="4" t="str">
        <f>IFERROR(__xludf.DUMMYFUNCTION("""COMPUTED_VALUE"""),"A FABRICA PIZZAS")</f>
        <v>A FABRICA PIZZAS</v>
      </c>
      <c r="L3132" s="32">
        <f>IFERROR(__xludf.DUMMYFUNCTION("""COMPUTED_VALUE"""),3.0)</f>
        <v>3</v>
      </c>
      <c r="M3132" s="4" t="str">
        <f>IFERROR(__xludf.DUMMYFUNCTION("""COMPUTED_VALUE"""),"Cardápio Web")</f>
        <v>Cardápio Web</v>
      </c>
      <c r="N3132" s="33">
        <f>IFERROR(__xludf.DUMMYFUNCTION("""COMPUTED_VALUE"""),1.0)</f>
        <v>1</v>
      </c>
      <c r="O3132" s="4" t="str">
        <f>IFERROR(__xludf.DUMMYFUNCTION("""COMPUTED_VALUE"""),"Cardápio Web")</f>
        <v>Cardápio Web</v>
      </c>
      <c r="P3132" s="33">
        <f>IFERROR(__xludf.DUMMYFUNCTION("""COMPUTED_VALUE"""),1.0)</f>
        <v>1</v>
      </c>
      <c r="Q3132" s="4" t="str">
        <f>IFERROR(__xludf.DUMMYFUNCTION("""COMPUTED_VALUE"""),"Cardápio Web")</f>
        <v>Cardápio Web</v>
      </c>
      <c r="R3132" s="33">
        <f>IFERROR(__xludf.DUMMYFUNCTION("""COMPUTED_VALUE"""),1.0)</f>
        <v>1</v>
      </c>
      <c r="S3132" s="4" t="str">
        <f>IFERROR(__xludf.DUMMYFUNCTION("""COMPUTED_VALUE"""),"Cardápio Web")</f>
        <v>Cardápio Web</v>
      </c>
      <c r="T3132" s="33">
        <f>IFERROR(__xludf.DUMMYFUNCTION("""COMPUTED_VALUE"""),1.0)</f>
        <v>1</v>
      </c>
      <c r="U3132" s="4" t="str">
        <f>IFERROR(__xludf.DUMMYFUNCTION("""COMPUTED_VALUE"""),"Cardápio Web")</f>
        <v>Cardápio Web</v>
      </c>
      <c r="V3132" s="33">
        <f>IFERROR(__xludf.DUMMYFUNCTION("""COMPUTED_VALUE"""),1.0)</f>
        <v>1</v>
      </c>
      <c r="W3132" s="4" t="str">
        <f>IFERROR(__xludf.DUMMYFUNCTION("""COMPUTED_VALUE"""),"Cardápio Web")</f>
        <v>Cardápio Web</v>
      </c>
      <c r="X3132" s="33">
        <f>IFERROR(__xludf.DUMMYFUNCTION("""COMPUTED_VALUE"""),1.0)</f>
        <v>1</v>
      </c>
    </row>
    <row r="3133">
      <c r="K3133" s="4" t="str">
        <f>IFERROR(__xludf.DUMMYFUNCTION("""COMPUTED_VALUE"""),"QUINTAL DO ESPETO")</f>
        <v>QUINTAL DO ESPETO</v>
      </c>
      <c r="L3133" s="32">
        <f>IFERROR(__xludf.DUMMYFUNCTION("""COMPUTED_VALUE"""),3.0)</f>
        <v>3</v>
      </c>
      <c r="M3133" s="4" t="str">
        <f>IFERROR(__xludf.DUMMYFUNCTION("""COMPUTED_VALUE"""),"null")</f>
        <v>null</v>
      </c>
      <c r="N3133" s="33">
        <f>IFERROR(__xludf.DUMMYFUNCTION("""COMPUTED_VALUE"""),0.6666666666666666)</f>
        <v>0.6666666667</v>
      </c>
      <c r="O3133" s="4" t="str">
        <f>IFERROR(__xludf.DUMMYFUNCTION("""COMPUTED_VALUE"""),"null")</f>
        <v>null</v>
      </c>
      <c r="P3133" s="33">
        <f>IFERROR(__xludf.DUMMYFUNCTION("""COMPUTED_VALUE"""),0.6666666666666666)</f>
        <v>0.6666666667</v>
      </c>
      <c r="Q3133" s="4" t="str">
        <f>IFERROR(__xludf.DUMMYFUNCTION("""COMPUTED_VALUE"""),"null")</f>
        <v>null</v>
      </c>
      <c r="R3133" s="33">
        <f>IFERROR(__xludf.DUMMYFUNCTION("""COMPUTED_VALUE"""),1.0)</f>
        <v>1</v>
      </c>
      <c r="S3133" s="4" t="str">
        <f>IFERROR(__xludf.DUMMYFUNCTION("""COMPUTED_VALUE"""),"null")</f>
        <v>null</v>
      </c>
      <c r="T3133" s="33">
        <f>IFERROR(__xludf.DUMMYFUNCTION("""COMPUTED_VALUE"""),0.6666666666666666)</f>
        <v>0.6666666667</v>
      </c>
      <c r="U3133" s="4" t="str">
        <f>IFERROR(__xludf.DUMMYFUNCTION("""COMPUTED_VALUE"""),"null")</f>
        <v>null</v>
      </c>
      <c r="V3133" s="33">
        <f>IFERROR(__xludf.DUMMYFUNCTION("""COMPUTED_VALUE"""),0.6666666666666666)</f>
        <v>0.6666666667</v>
      </c>
      <c r="W3133" s="4" t="str">
        <f>IFERROR(__xludf.DUMMYFUNCTION("""COMPUTED_VALUE"""),"null")</f>
        <v>null</v>
      </c>
      <c r="X3133" s="33">
        <f>IFERROR(__xludf.DUMMYFUNCTION("""COMPUTED_VALUE"""),1.0)</f>
        <v>1</v>
      </c>
    </row>
    <row r="3134">
      <c r="K3134" s="4" t="str">
        <f>IFERROR(__xludf.DUMMYFUNCTION("""COMPUTED_VALUE"""),"EU AMO ACAI")</f>
        <v>EU AMO ACAI</v>
      </c>
      <c r="L3134" s="32">
        <f>IFERROR(__xludf.DUMMYFUNCTION("""COMPUTED_VALUE"""),3.0)</f>
        <v>3</v>
      </c>
      <c r="M3134" s="4" t="str">
        <f>IFERROR(__xludf.DUMMYFUNCTION("""COMPUTED_VALUE"""),"Grandchef Desenvolvimento De Sistemas Ltda")</f>
        <v>Grandchef Desenvolvimento De Sistemas Ltda</v>
      </c>
      <c r="N3134" s="33">
        <f>IFERROR(__xludf.DUMMYFUNCTION("""COMPUTED_VALUE"""),0.6666666666666666)</f>
        <v>0.6666666667</v>
      </c>
      <c r="O3134" s="4" t="str">
        <f>IFERROR(__xludf.DUMMYFUNCTION("""COMPUTED_VALUE"""),"null")</f>
        <v>null</v>
      </c>
      <c r="P3134" s="33">
        <f>IFERROR(__xludf.DUMMYFUNCTION("""COMPUTED_VALUE"""),0.6666666666666666)</f>
        <v>0.6666666667</v>
      </c>
      <c r="Q3134" s="4" t="str">
        <f>IFERROR(__xludf.DUMMYFUNCTION("""COMPUTED_VALUE"""),"Grandchef Desenvolvimento De Sistemas Ltda")</f>
        <v>Grandchef Desenvolvimento De Sistemas Ltda</v>
      </c>
      <c r="R3134" s="33">
        <f>IFERROR(__xludf.DUMMYFUNCTION("""COMPUTED_VALUE"""),0.6666666666666666)</f>
        <v>0.6666666667</v>
      </c>
      <c r="S3134" s="4" t="str">
        <f>IFERROR(__xludf.DUMMYFUNCTION("""COMPUTED_VALUE"""),"null")</f>
        <v>null</v>
      </c>
      <c r="T3134" s="33">
        <f>IFERROR(__xludf.DUMMYFUNCTION("""COMPUTED_VALUE"""),1.0)</f>
        <v>1</v>
      </c>
      <c r="U3134" s="4" t="str">
        <f>IFERROR(__xludf.DUMMYFUNCTION("""COMPUTED_VALUE"""),"null")</f>
        <v>null</v>
      </c>
      <c r="V3134" s="33">
        <f>IFERROR(__xludf.DUMMYFUNCTION("""COMPUTED_VALUE"""),1.0)</f>
        <v>1</v>
      </c>
      <c r="W3134" s="4" t="str">
        <f>IFERROR(__xludf.DUMMYFUNCTION("""COMPUTED_VALUE"""),"null")</f>
        <v>null</v>
      </c>
      <c r="X3134" s="33">
        <f>IFERROR(__xludf.DUMMYFUNCTION("""COMPUTED_VALUE"""),1.0)</f>
        <v>1</v>
      </c>
    </row>
    <row r="3135">
      <c r="K3135" s="4" t="str">
        <f>IFERROR(__xludf.DUMMYFUNCTION("""COMPUTED_VALUE"""),"JA LANCHES")</f>
        <v>JA LANCHES</v>
      </c>
      <c r="L3135" s="32">
        <f>IFERROR(__xludf.DUMMYFUNCTION("""COMPUTED_VALUE"""),3.0)</f>
        <v>3</v>
      </c>
      <c r="M3135" s="4" t="str">
        <f>IFERROR(__xludf.DUMMYFUNCTION("""COMPUTED_VALUE"""),"Cardápio Web")</f>
        <v>Cardápio Web</v>
      </c>
      <c r="N3135" s="33">
        <f>IFERROR(__xludf.DUMMYFUNCTION("""COMPUTED_VALUE"""),0.3333333333333333)</f>
        <v>0.3333333333</v>
      </c>
      <c r="O3135" s="4" t="str">
        <f>IFERROR(__xludf.DUMMYFUNCTION("""COMPUTED_VALUE"""),"Cardápio Web")</f>
        <v>Cardápio Web</v>
      </c>
      <c r="P3135" s="33">
        <f>IFERROR(__xludf.DUMMYFUNCTION("""COMPUTED_VALUE"""),0.3333333333333333)</f>
        <v>0.3333333333</v>
      </c>
      <c r="Q3135" s="4" t="str">
        <f>IFERROR(__xludf.DUMMYFUNCTION("""COMPUTED_VALUE"""),"Cardápio Web")</f>
        <v>Cardápio Web</v>
      </c>
      <c r="R3135" s="33">
        <f>IFERROR(__xludf.DUMMYFUNCTION("""COMPUTED_VALUE"""),0.3333333333333333)</f>
        <v>0.3333333333</v>
      </c>
      <c r="S3135" s="4" t="str">
        <f>IFERROR(__xludf.DUMMYFUNCTION("""COMPUTED_VALUE"""),"Cardápio Web")</f>
        <v>Cardápio Web</v>
      </c>
      <c r="T3135" s="33">
        <f>IFERROR(__xludf.DUMMYFUNCTION("""COMPUTED_VALUE"""),0.3333333333333333)</f>
        <v>0.3333333333</v>
      </c>
      <c r="U3135" s="4" t="str">
        <f>IFERROR(__xludf.DUMMYFUNCTION("""COMPUTED_VALUE"""),"Cardápio Web")</f>
        <v>Cardápio Web</v>
      </c>
      <c r="V3135" s="33">
        <f>IFERROR(__xludf.DUMMYFUNCTION("""COMPUTED_VALUE"""),0.3333333333333333)</f>
        <v>0.3333333333</v>
      </c>
      <c r="W3135" s="4" t="str">
        <f>IFERROR(__xludf.DUMMYFUNCTION("""COMPUTED_VALUE"""),"Cardápio Web")</f>
        <v>Cardápio Web</v>
      </c>
      <c r="X3135" s="33">
        <f>IFERROR(__xludf.DUMMYFUNCTION("""COMPUTED_VALUE"""),0.3333333333333333)</f>
        <v>0.3333333333</v>
      </c>
    </row>
    <row r="3136">
      <c r="K3136" s="4" t="str">
        <f>IFERROR(__xludf.DUMMYFUNCTION("""COMPUTED_VALUE"""),"GIGA LANCHES")</f>
        <v>GIGA LANCHES</v>
      </c>
      <c r="L3136" s="32">
        <f>IFERROR(__xludf.DUMMYFUNCTION("""COMPUTED_VALUE"""),3.0)</f>
        <v>3</v>
      </c>
      <c r="M3136" s="4" t="str">
        <f>IFERROR(__xludf.DUMMYFUNCTION("""COMPUTED_VALUE"""),"Consumer Soluções Em Tecnologia Ltda")</f>
        <v>Consumer Soluções Em Tecnologia Ltda</v>
      </c>
      <c r="N3136" s="33">
        <f>IFERROR(__xludf.DUMMYFUNCTION("""COMPUTED_VALUE"""),0.3333333333333333)</f>
        <v>0.3333333333</v>
      </c>
      <c r="O3136" s="4" t="str">
        <f>IFERROR(__xludf.DUMMYFUNCTION("""COMPUTED_VALUE"""),"Consumer Soluções Em Tecnologia Ltda")</f>
        <v>Consumer Soluções Em Tecnologia Ltda</v>
      </c>
      <c r="P3136" s="33">
        <f>IFERROR(__xludf.DUMMYFUNCTION("""COMPUTED_VALUE"""),0.3333333333333333)</f>
        <v>0.3333333333</v>
      </c>
      <c r="Q3136" s="4" t="str">
        <f>IFERROR(__xludf.DUMMYFUNCTION("""COMPUTED_VALUE"""),"Consumer Soluções Em Tecnologia Ltda")</f>
        <v>Consumer Soluções Em Tecnologia Ltda</v>
      </c>
      <c r="R3136" s="33">
        <f>IFERROR(__xludf.DUMMYFUNCTION("""COMPUTED_VALUE"""),0.3333333333333333)</f>
        <v>0.3333333333</v>
      </c>
      <c r="S3136" s="4" t="str">
        <f>IFERROR(__xludf.DUMMYFUNCTION("""COMPUTED_VALUE"""),"Consumer Soluções Em Tecnologia Ltda")</f>
        <v>Consumer Soluções Em Tecnologia Ltda</v>
      </c>
      <c r="T3136" s="33">
        <f>IFERROR(__xludf.DUMMYFUNCTION("""COMPUTED_VALUE"""),0.3333333333333333)</f>
        <v>0.3333333333</v>
      </c>
      <c r="U3136" s="4" t="str">
        <f>IFERROR(__xludf.DUMMYFUNCTION("""COMPUTED_VALUE"""),"Consumer Soluções Em Tecnologia Ltda")</f>
        <v>Consumer Soluções Em Tecnologia Ltda</v>
      </c>
      <c r="V3136" s="33">
        <f>IFERROR(__xludf.DUMMYFUNCTION("""COMPUTED_VALUE"""),0.3333333333333333)</f>
        <v>0.3333333333</v>
      </c>
      <c r="W3136" s="4" t="str">
        <f>IFERROR(__xludf.DUMMYFUNCTION("""COMPUTED_VALUE"""),"Consumer Soluções Em Tecnologia Ltda")</f>
        <v>Consumer Soluções Em Tecnologia Ltda</v>
      </c>
      <c r="X3136" s="33">
        <f>IFERROR(__xludf.DUMMYFUNCTION("""COMPUTED_VALUE"""),0.3333333333333333)</f>
        <v>0.3333333333</v>
      </c>
    </row>
    <row r="3137">
      <c r="K3137" s="4" t="str">
        <f>IFERROR(__xludf.DUMMYFUNCTION("""COMPUTED_VALUE"""),"RESTAURANTE BRASILEIRINHO")</f>
        <v>RESTAURANTE BRASILEIRINHO</v>
      </c>
      <c r="L3137" s="32">
        <f>IFERROR(__xludf.DUMMYFUNCTION("""COMPUTED_VALUE"""),3.0)</f>
        <v>3</v>
      </c>
      <c r="M3137" s="4" t="str">
        <f>IFERROR(__xludf.DUMMYFUNCTION("""COMPUTED_VALUE"""),"Saipos Serviços De Software")</f>
        <v>Saipos Serviços De Software</v>
      </c>
      <c r="N3137" s="33">
        <f>IFERROR(__xludf.DUMMYFUNCTION("""COMPUTED_VALUE"""),0.6666666666666666)</f>
        <v>0.6666666667</v>
      </c>
      <c r="O3137" s="4" t="str">
        <f>IFERROR(__xludf.DUMMYFUNCTION("""COMPUTED_VALUE"""),"Saipos Serviços De Software")</f>
        <v>Saipos Serviços De Software</v>
      </c>
      <c r="P3137" s="33">
        <f>IFERROR(__xludf.DUMMYFUNCTION("""COMPUTED_VALUE"""),0.6666666666666666)</f>
        <v>0.6666666667</v>
      </c>
      <c r="Q3137" s="4" t="str">
        <f>IFERROR(__xludf.DUMMYFUNCTION("""COMPUTED_VALUE"""),"Saipos Serviços De Software")</f>
        <v>Saipos Serviços De Software</v>
      </c>
      <c r="R3137" s="33">
        <f>IFERROR(__xludf.DUMMYFUNCTION("""COMPUTED_VALUE"""),0.6666666666666666)</f>
        <v>0.6666666667</v>
      </c>
      <c r="S3137" s="4" t="str">
        <f>IFERROR(__xludf.DUMMYFUNCTION("""COMPUTED_VALUE"""),"Saipos Serviços De Software")</f>
        <v>Saipos Serviços De Software</v>
      </c>
      <c r="T3137" s="33">
        <f>IFERROR(__xludf.DUMMYFUNCTION("""COMPUTED_VALUE"""),0.6666666666666666)</f>
        <v>0.6666666667</v>
      </c>
      <c r="U3137" s="4" t="str">
        <f>IFERROR(__xludf.DUMMYFUNCTION("""COMPUTED_VALUE"""),"Saipos Serviços De Software")</f>
        <v>Saipos Serviços De Software</v>
      </c>
      <c r="V3137" s="33">
        <f>IFERROR(__xludf.DUMMYFUNCTION("""COMPUTED_VALUE"""),0.6666666666666666)</f>
        <v>0.6666666667</v>
      </c>
      <c r="W3137" s="4" t="str">
        <f>IFERROR(__xludf.DUMMYFUNCTION("""COMPUTED_VALUE"""),"Anota Ai Solucoes Digitais S/a")</f>
        <v>Anota Ai Solucoes Digitais S/a</v>
      </c>
      <c r="X3137" s="33">
        <f>IFERROR(__xludf.DUMMYFUNCTION("""COMPUTED_VALUE"""),0.3333333333333333)</f>
        <v>0.3333333333</v>
      </c>
    </row>
    <row r="3138">
      <c r="K3138" s="4" t="str">
        <f>IFERROR(__xludf.DUMMYFUNCTION("""COMPUTED_VALUE"""),"PAMONHA PURA")</f>
        <v>PAMONHA PURA</v>
      </c>
      <c r="L3138" s="32">
        <f>IFERROR(__xludf.DUMMYFUNCTION("""COMPUTED_VALUE"""),3.0)</f>
        <v>3</v>
      </c>
      <c r="M3138" s="4" t="str">
        <f>IFERROR(__xludf.DUMMYFUNCTION("""COMPUTED_VALUE"""),"Eclética Tecnologia")</f>
        <v>Eclética Tecnologia</v>
      </c>
      <c r="N3138" s="33">
        <f>IFERROR(__xludf.DUMMYFUNCTION("""COMPUTED_VALUE"""),0.6666666666666666)</f>
        <v>0.6666666667</v>
      </c>
      <c r="O3138" s="4" t="str">
        <f>IFERROR(__xludf.DUMMYFUNCTION("""COMPUTED_VALUE"""),"Eclética Tecnologia")</f>
        <v>Eclética Tecnologia</v>
      </c>
      <c r="P3138" s="33">
        <f>IFERROR(__xludf.DUMMYFUNCTION("""COMPUTED_VALUE"""),0.6666666666666666)</f>
        <v>0.6666666667</v>
      </c>
      <c r="Q3138" s="4" t="str">
        <f>IFERROR(__xludf.DUMMYFUNCTION("""COMPUTED_VALUE"""),"Connectplug")</f>
        <v>Connectplug</v>
      </c>
      <c r="R3138" s="33">
        <f>IFERROR(__xludf.DUMMYFUNCTION("""COMPUTED_VALUE"""),0.3333333333333333)</f>
        <v>0.3333333333</v>
      </c>
      <c r="S3138" s="4" t="str">
        <f>IFERROR(__xludf.DUMMYFUNCTION("""COMPUTED_VALUE"""),"null")</f>
        <v>null</v>
      </c>
      <c r="T3138" s="33">
        <f>IFERROR(__xludf.DUMMYFUNCTION("""COMPUTED_VALUE"""),0.6666666666666666)</f>
        <v>0.6666666667</v>
      </c>
      <c r="U3138" s="4" t="str">
        <f>IFERROR(__xludf.DUMMYFUNCTION("""COMPUTED_VALUE"""),"Connectplug")</f>
        <v>Connectplug</v>
      </c>
      <c r="V3138" s="33">
        <f>IFERROR(__xludf.DUMMYFUNCTION("""COMPUTED_VALUE"""),0.3333333333333333)</f>
        <v>0.3333333333</v>
      </c>
      <c r="W3138" s="4" t="str">
        <f>IFERROR(__xludf.DUMMYFUNCTION("""COMPUTED_VALUE"""),"null")</f>
        <v>null</v>
      </c>
      <c r="X3138" s="33">
        <f>IFERROR(__xludf.DUMMYFUNCTION("""COMPUTED_VALUE"""),0.6666666666666666)</f>
        <v>0.6666666667</v>
      </c>
    </row>
    <row r="3139">
      <c r="K3139" s="4" t="str">
        <f>IFERROR(__xludf.DUMMYFUNCTION("""COMPUTED_VALUE"""),"CHICKEN ALL IN")</f>
        <v>CHICKEN ALL IN</v>
      </c>
      <c r="L3139" s="32">
        <f>IFERROR(__xludf.DUMMYFUNCTION("""COMPUTED_VALUE"""),3.0)</f>
        <v>3</v>
      </c>
      <c r="M3139" s="4" t="str">
        <f>IFERROR(__xludf.DUMMYFUNCTION("""COMPUTED_VALUE"""),"null")</f>
        <v>null</v>
      </c>
      <c r="N3139" s="33">
        <f>IFERROR(__xludf.DUMMYFUNCTION("""COMPUTED_VALUE"""),0.3333333333333333)</f>
        <v>0.3333333333</v>
      </c>
      <c r="O3139" s="4" t="str">
        <f>IFERROR(__xludf.DUMMYFUNCTION("""COMPUTED_VALUE"""),"null")</f>
        <v>null</v>
      </c>
      <c r="P3139" s="33">
        <f>IFERROR(__xludf.DUMMYFUNCTION("""COMPUTED_VALUE"""),0.3333333333333333)</f>
        <v>0.3333333333</v>
      </c>
      <c r="Q3139" s="4" t="str">
        <f>IFERROR(__xludf.DUMMYFUNCTION("""COMPUTED_VALUE"""),"null")</f>
        <v>null</v>
      </c>
      <c r="R3139" s="33">
        <f>IFERROR(__xludf.DUMMYFUNCTION("""COMPUTED_VALUE"""),0.3333333333333333)</f>
        <v>0.3333333333</v>
      </c>
      <c r="S3139" s="4" t="str">
        <f>IFERROR(__xludf.DUMMYFUNCTION("""COMPUTED_VALUE"""),"Cardápio Web")</f>
        <v>Cardápio Web</v>
      </c>
      <c r="T3139" s="33">
        <f>IFERROR(__xludf.DUMMYFUNCTION("""COMPUTED_VALUE"""),0.6666666666666666)</f>
        <v>0.6666666667</v>
      </c>
      <c r="U3139" s="4" t="str">
        <f>IFERROR(__xludf.DUMMYFUNCTION("""COMPUTED_VALUE"""),"Cardápio Web")</f>
        <v>Cardápio Web</v>
      </c>
      <c r="V3139" s="33">
        <f>IFERROR(__xludf.DUMMYFUNCTION("""COMPUTED_VALUE"""),0.6666666666666666)</f>
        <v>0.6666666667</v>
      </c>
      <c r="W3139" s="4" t="str">
        <f>IFERROR(__xludf.DUMMYFUNCTION("""COMPUTED_VALUE"""),"Cardápio Web")</f>
        <v>Cardápio Web</v>
      </c>
      <c r="X3139" s="33">
        <f>IFERROR(__xludf.DUMMYFUNCTION("""COMPUTED_VALUE"""),0.6666666666666666)</f>
        <v>0.6666666667</v>
      </c>
    </row>
    <row r="3140">
      <c r="K3140" s="4" t="str">
        <f>IFERROR(__xludf.DUMMYFUNCTION("""COMPUTED_VALUE"""),"SAKAI SUSHI")</f>
        <v>SAKAI SUSHI</v>
      </c>
      <c r="L3140" s="32">
        <f>IFERROR(__xludf.DUMMYFUNCTION("""COMPUTED_VALUE"""),3.0)</f>
        <v>3</v>
      </c>
      <c r="M3140" s="4" t="str">
        <f>IFERROR(__xludf.DUMMYFUNCTION("""COMPUTED_VALUE"""),"Fas Tecnologia")</f>
        <v>Fas Tecnologia</v>
      </c>
      <c r="N3140" s="33">
        <f>IFERROR(__xludf.DUMMYFUNCTION("""COMPUTED_VALUE"""),0.6666666666666666)</f>
        <v>0.6666666667</v>
      </c>
      <c r="O3140" s="4" t="str">
        <f>IFERROR(__xludf.DUMMYFUNCTION("""COMPUTED_VALUE"""),"Fas Tecnologia")</f>
        <v>Fas Tecnologia</v>
      </c>
      <c r="P3140" s="33">
        <f>IFERROR(__xludf.DUMMYFUNCTION("""COMPUTED_VALUE"""),0.6666666666666666)</f>
        <v>0.6666666667</v>
      </c>
      <c r="Q3140" s="4" t="str">
        <f>IFERROR(__xludf.DUMMYFUNCTION("""COMPUTED_VALUE"""),"Fas Tecnologia")</f>
        <v>Fas Tecnologia</v>
      </c>
      <c r="R3140" s="33">
        <f>IFERROR(__xludf.DUMMYFUNCTION("""COMPUTED_VALUE"""),0.6666666666666666)</f>
        <v>0.6666666667</v>
      </c>
      <c r="S3140" s="4" t="str">
        <f>IFERROR(__xludf.DUMMYFUNCTION("""COMPUTED_VALUE"""),"Fas Tecnologia")</f>
        <v>Fas Tecnologia</v>
      </c>
      <c r="T3140" s="33">
        <f>IFERROR(__xludf.DUMMYFUNCTION("""COMPUTED_VALUE"""),0.6666666666666666)</f>
        <v>0.6666666667</v>
      </c>
      <c r="U3140" s="4" t="str">
        <f>IFERROR(__xludf.DUMMYFUNCTION("""COMPUTED_VALUE"""),"Fas Tecnologia")</f>
        <v>Fas Tecnologia</v>
      </c>
      <c r="V3140" s="33">
        <f>IFERROR(__xludf.DUMMYFUNCTION("""COMPUTED_VALUE"""),0.6666666666666666)</f>
        <v>0.6666666667</v>
      </c>
      <c r="W3140" s="4" t="str">
        <f>IFERROR(__xludf.DUMMYFUNCTION("""COMPUTED_VALUE"""),"Fas Tecnologia")</f>
        <v>Fas Tecnologia</v>
      </c>
      <c r="X3140" s="33">
        <f>IFERROR(__xludf.DUMMYFUNCTION("""COMPUTED_VALUE"""),0.6666666666666666)</f>
        <v>0.6666666667</v>
      </c>
    </row>
    <row r="3141">
      <c r="K3141" s="4" t="str">
        <f>IFERROR(__xludf.DUMMYFUNCTION("""COMPUTED_VALUE"""),"KOREAN CHICKEN")</f>
        <v>KOREAN CHICKEN</v>
      </c>
      <c r="L3141" s="32">
        <f>IFERROR(__xludf.DUMMYFUNCTION("""COMPUTED_VALUE"""),3.0)</f>
        <v>3</v>
      </c>
      <c r="M3141" s="4" t="str">
        <f>IFERROR(__xludf.DUMMYFUNCTION("""COMPUTED_VALUE"""),"Saipos Serviços De Software")</f>
        <v>Saipos Serviços De Software</v>
      </c>
      <c r="N3141" s="33">
        <f>IFERROR(__xludf.DUMMYFUNCTION("""COMPUTED_VALUE"""),0.6666666666666666)</f>
        <v>0.6666666667</v>
      </c>
      <c r="O3141" s="4" t="str">
        <f>IFERROR(__xludf.DUMMYFUNCTION("""COMPUTED_VALUE"""),"Saipos Serviços De Software")</f>
        <v>Saipos Serviços De Software</v>
      </c>
      <c r="P3141" s="33">
        <f>IFERROR(__xludf.DUMMYFUNCTION("""COMPUTED_VALUE"""),0.6666666666666666)</f>
        <v>0.6666666667</v>
      </c>
      <c r="Q3141" s="4" t="str">
        <f>IFERROR(__xludf.DUMMYFUNCTION("""COMPUTED_VALUE"""),"Saipos Serviços De Software")</f>
        <v>Saipos Serviços De Software</v>
      </c>
      <c r="R3141" s="33">
        <f>IFERROR(__xludf.DUMMYFUNCTION("""COMPUTED_VALUE"""),1.0)</f>
        <v>1</v>
      </c>
      <c r="S3141" s="4" t="str">
        <f>IFERROR(__xludf.DUMMYFUNCTION("""COMPUTED_VALUE"""),"Saipos Serviços De Software")</f>
        <v>Saipos Serviços De Software</v>
      </c>
      <c r="T3141" s="33">
        <f>IFERROR(__xludf.DUMMYFUNCTION("""COMPUTED_VALUE"""),1.0)</f>
        <v>1</v>
      </c>
      <c r="U3141" s="4" t="str">
        <f>IFERROR(__xludf.DUMMYFUNCTION("""COMPUTED_VALUE"""),"Saipos Serviços De Software")</f>
        <v>Saipos Serviços De Software</v>
      </c>
      <c r="V3141" s="33">
        <f>IFERROR(__xludf.DUMMYFUNCTION("""COMPUTED_VALUE"""),1.0)</f>
        <v>1</v>
      </c>
      <c r="W3141" s="4" t="str">
        <f>IFERROR(__xludf.DUMMYFUNCTION("""COMPUTED_VALUE"""),"Saipos Serviços De Software")</f>
        <v>Saipos Serviços De Software</v>
      </c>
      <c r="X3141" s="33">
        <f>IFERROR(__xludf.DUMMYFUNCTION("""COMPUTED_VALUE"""),1.0)</f>
        <v>1</v>
      </c>
    </row>
    <row r="3142">
      <c r="K3142" s="4" t="str">
        <f>IFERROR(__xludf.DUMMYFUNCTION("""COMPUTED_VALUE"""),"FABRICA DO LANCHE")</f>
        <v>FABRICA DO LANCHE</v>
      </c>
      <c r="L3142" s="32">
        <f>IFERROR(__xludf.DUMMYFUNCTION("""COMPUTED_VALUE"""),3.0)</f>
        <v>3</v>
      </c>
      <c r="M3142" s="4" t="str">
        <f>IFERROR(__xludf.DUMMYFUNCTION("""COMPUTED_VALUE"""),"Simsoft Rp Tecnologia")</f>
        <v>Simsoft Rp Tecnologia</v>
      </c>
      <c r="N3142" s="33">
        <f>IFERROR(__xludf.DUMMYFUNCTION("""COMPUTED_VALUE"""),0.6666666666666666)</f>
        <v>0.6666666667</v>
      </c>
      <c r="O3142" s="4" t="str">
        <f>IFERROR(__xludf.DUMMYFUNCTION("""COMPUTED_VALUE"""),"Simsoft Rp Tecnologia")</f>
        <v>Simsoft Rp Tecnologia</v>
      </c>
      <c r="P3142" s="33">
        <f>IFERROR(__xludf.DUMMYFUNCTION("""COMPUTED_VALUE"""),0.6666666666666666)</f>
        <v>0.6666666667</v>
      </c>
      <c r="Q3142" s="4" t="str">
        <f>IFERROR(__xludf.DUMMYFUNCTION("""COMPUTED_VALUE"""),"Simsoft Rp Tecnologia")</f>
        <v>Simsoft Rp Tecnologia</v>
      </c>
      <c r="R3142" s="33">
        <f>IFERROR(__xludf.DUMMYFUNCTION("""COMPUTED_VALUE"""),0.6666666666666666)</f>
        <v>0.6666666667</v>
      </c>
      <c r="S3142" s="4" t="str">
        <f>IFERROR(__xludf.DUMMYFUNCTION("""COMPUTED_VALUE"""),"Simsoft Rp Tecnologia")</f>
        <v>Simsoft Rp Tecnologia</v>
      </c>
      <c r="T3142" s="33">
        <f>IFERROR(__xludf.DUMMYFUNCTION("""COMPUTED_VALUE"""),0.6666666666666666)</f>
        <v>0.6666666667</v>
      </c>
      <c r="U3142" s="4" t="str">
        <f>IFERROR(__xludf.DUMMYFUNCTION("""COMPUTED_VALUE"""),"Simsoft Rp Tecnologia")</f>
        <v>Simsoft Rp Tecnologia</v>
      </c>
      <c r="V3142" s="33">
        <f>IFERROR(__xludf.DUMMYFUNCTION("""COMPUTED_VALUE"""),0.6666666666666666)</f>
        <v>0.6666666667</v>
      </c>
      <c r="W3142" s="4" t="str">
        <f>IFERROR(__xludf.DUMMYFUNCTION("""COMPUTED_VALUE"""),"Simsoft Rp Tecnologia")</f>
        <v>Simsoft Rp Tecnologia</v>
      </c>
      <c r="X3142" s="33">
        <f>IFERROR(__xludf.DUMMYFUNCTION("""COMPUTED_VALUE"""),0.6666666666666666)</f>
        <v>0.6666666667</v>
      </c>
    </row>
    <row r="3143">
      <c r="K3143" s="4" t="str">
        <f>IFERROR(__xludf.DUMMYFUNCTION("""COMPUTED_VALUE"""),"ENTRE AMIGOS")</f>
        <v>ENTRE AMIGOS</v>
      </c>
      <c r="L3143" s="32">
        <f>IFERROR(__xludf.DUMMYFUNCTION("""COMPUTED_VALUE"""),3.0)</f>
        <v>3</v>
      </c>
      <c r="M3143" s="4" t="str">
        <f>IFERROR(__xludf.DUMMYFUNCTION("""COMPUTED_VALUE"""),"null")</f>
        <v>null</v>
      </c>
      <c r="N3143" s="33">
        <f>IFERROR(__xludf.DUMMYFUNCTION("""COMPUTED_VALUE"""),1.0)</f>
        <v>1</v>
      </c>
      <c r="O3143" s="4" t="str">
        <f>IFERROR(__xludf.DUMMYFUNCTION("""COMPUTED_VALUE"""),"null")</f>
        <v>null</v>
      </c>
      <c r="P3143" s="33">
        <f>IFERROR(__xludf.DUMMYFUNCTION("""COMPUTED_VALUE"""),0.6666666666666666)</f>
        <v>0.6666666667</v>
      </c>
      <c r="Q3143" s="4" t="str">
        <f>IFERROR(__xludf.DUMMYFUNCTION("""COMPUTED_VALUE"""),"null")</f>
        <v>null</v>
      </c>
      <c r="R3143" s="33">
        <f>IFERROR(__xludf.DUMMYFUNCTION("""COMPUTED_VALUE"""),0.6666666666666666)</f>
        <v>0.6666666667</v>
      </c>
      <c r="S3143" s="4" t="str">
        <f>IFERROR(__xludf.DUMMYFUNCTION("""COMPUTED_VALUE"""),"L&amp;f Tecnologia Sistemas E Comercio Ltda")</f>
        <v>L&amp;f Tecnologia Sistemas E Comercio Ltda</v>
      </c>
      <c r="T3143" s="33">
        <f>IFERROR(__xludf.DUMMYFUNCTION("""COMPUTED_VALUE"""),0.6666666666666666)</f>
        <v>0.6666666667</v>
      </c>
      <c r="U3143" s="4" t="str">
        <f>IFERROR(__xludf.DUMMYFUNCTION("""COMPUTED_VALUE"""),"null")</f>
        <v>null</v>
      </c>
      <c r="V3143" s="33">
        <f>IFERROR(__xludf.DUMMYFUNCTION("""COMPUTED_VALUE"""),1.0)</f>
        <v>1</v>
      </c>
      <c r="W3143" s="4" t="str">
        <f>IFERROR(__xludf.DUMMYFUNCTION("""COMPUTED_VALUE"""),"L&amp;f Tecnologia Sistemas E Comercio Ltda")</f>
        <v>L&amp;f Tecnologia Sistemas E Comercio Ltda</v>
      </c>
      <c r="X3143" s="33">
        <f>IFERROR(__xludf.DUMMYFUNCTION("""COMPUTED_VALUE"""),0.6666666666666666)</f>
        <v>0.6666666667</v>
      </c>
    </row>
    <row r="3144">
      <c r="K3144" s="4" t="str">
        <f>IFERROR(__xludf.DUMMYFUNCTION("""COMPUTED_VALUE"""),"NOVA OPCAO PIZZARIA E RESTAURANTE")</f>
        <v>NOVA OPCAO PIZZARIA E RESTAURANTE</v>
      </c>
      <c r="L3144" s="32">
        <f>IFERROR(__xludf.DUMMYFUNCTION("""COMPUTED_VALUE"""),3.0)</f>
        <v>3</v>
      </c>
      <c r="M3144" s="4" t="str">
        <f>IFERROR(__xludf.DUMMYFUNCTION("""COMPUTED_VALUE"""),"Latech Informatica Ltda")</f>
        <v>Latech Informatica Ltda</v>
      </c>
      <c r="N3144" s="33">
        <f>IFERROR(__xludf.DUMMYFUNCTION("""COMPUTED_VALUE"""),0.6666666666666666)</f>
        <v>0.6666666667</v>
      </c>
      <c r="O3144" s="4" t="str">
        <f>IFERROR(__xludf.DUMMYFUNCTION("""COMPUTED_VALUE"""),"Latech Informatica Ltda")</f>
        <v>Latech Informatica Ltda</v>
      </c>
      <c r="P3144" s="33">
        <f>IFERROR(__xludf.DUMMYFUNCTION("""COMPUTED_VALUE"""),0.6666666666666666)</f>
        <v>0.6666666667</v>
      </c>
      <c r="Q3144" s="4" t="str">
        <f>IFERROR(__xludf.DUMMYFUNCTION("""COMPUTED_VALUE"""),"Latech Informatica Ltda")</f>
        <v>Latech Informatica Ltda</v>
      </c>
      <c r="R3144" s="33">
        <f>IFERROR(__xludf.DUMMYFUNCTION("""COMPUTED_VALUE"""),1.0)</f>
        <v>1</v>
      </c>
      <c r="S3144" s="4" t="str">
        <f>IFERROR(__xludf.DUMMYFUNCTION("""COMPUTED_VALUE"""),"Saipos Serviços De Software")</f>
        <v>Saipos Serviços De Software</v>
      </c>
      <c r="T3144" s="33">
        <f>IFERROR(__xludf.DUMMYFUNCTION("""COMPUTED_VALUE"""),0.6666666666666666)</f>
        <v>0.6666666667</v>
      </c>
      <c r="U3144" s="4" t="str">
        <f>IFERROR(__xludf.DUMMYFUNCTION("""COMPUTED_VALUE"""),"Saipos Serviços De Software")</f>
        <v>Saipos Serviços De Software</v>
      </c>
      <c r="V3144" s="33">
        <f>IFERROR(__xludf.DUMMYFUNCTION("""COMPUTED_VALUE"""),1.0)</f>
        <v>1</v>
      </c>
      <c r="W3144" s="4" t="str">
        <f>IFERROR(__xludf.DUMMYFUNCTION("""COMPUTED_VALUE"""),"Saipos Serviços De Software")</f>
        <v>Saipos Serviços De Software</v>
      </c>
      <c r="X3144" s="33">
        <f>IFERROR(__xludf.DUMMYFUNCTION("""COMPUTED_VALUE"""),1.0)</f>
        <v>1</v>
      </c>
    </row>
    <row r="3145">
      <c r="K3145" s="4" t="str">
        <f>IFERROR(__xludf.DUMMYFUNCTION("""COMPUTED_VALUE"""),"FARMACIA PRECO JUSTO")</f>
        <v>FARMACIA PRECO JUSTO</v>
      </c>
      <c r="L3145" s="32">
        <f>IFERROR(__xludf.DUMMYFUNCTION("""COMPUTED_VALUE"""),3.0)</f>
        <v>3</v>
      </c>
      <c r="M3145" s="4" t="str">
        <f>IFERROR(__xludf.DUMMYFUNCTION("""COMPUTED_VALUE"""),"null")</f>
        <v>null</v>
      </c>
      <c r="N3145" s="33">
        <f>IFERROR(__xludf.DUMMYFUNCTION("""COMPUTED_VALUE"""),1.0)</f>
        <v>1</v>
      </c>
      <c r="O3145" s="4" t="str">
        <f>IFERROR(__xludf.DUMMYFUNCTION("""COMPUTED_VALUE"""),"null")</f>
        <v>null</v>
      </c>
      <c r="P3145" s="33">
        <f>IFERROR(__xludf.DUMMYFUNCTION("""COMPUTED_VALUE"""),1.0)</f>
        <v>1</v>
      </c>
      <c r="Q3145" s="4" t="str">
        <f>IFERROR(__xludf.DUMMYFUNCTION("""COMPUTED_VALUE"""),"null")</f>
        <v>null</v>
      </c>
      <c r="R3145" s="33">
        <f>IFERROR(__xludf.DUMMYFUNCTION("""COMPUTED_VALUE"""),1.0)</f>
        <v>1</v>
      </c>
      <c r="S3145" s="4" t="str">
        <f>IFERROR(__xludf.DUMMYFUNCTION("""COMPUTED_VALUE"""),"N/A (Not found)")</f>
        <v>N/A (Not found)</v>
      </c>
      <c r="T3145" s="33">
        <f>IFERROR(__xludf.DUMMYFUNCTION("""COMPUTED_VALUE"""),0.6666666666666666)</f>
        <v>0.6666666667</v>
      </c>
      <c r="U3145" s="4" t="str">
        <f>IFERROR(__xludf.DUMMYFUNCTION("""COMPUTED_VALUE"""),"null")</f>
        <v>null</v>
      </c>
      <c r="V3145" s="33">
        <f>IFERROR(__xludf.DUMMYFUNCTION("""COMPUTED_VALUE"""),0.6666666666666666)</f>
        <v>0.6666666667</v>
      </c>
      <c r="W3145" s="4" t="str">
        <f>IFERROR(__xludf.DUMMYFUNCTION("""COMPUTED_VALUE"""),"N/A (Not found)")</f>
        <v>N/A (Not found)</v>
      </c>
      <c r="X3145" s="33">
        <f>IFERROR(__xludf.DUMMYFUNCTION("""COMPUTED_VALUE"""),0.6666666666666666)</f>
        <v>0.6666666667</v>
      </c>
    </row>
    <row r="3146">
      <c r="K3146" s="4" t="str">
        <f>IFERROR(__xludf.DUMMYFUNCTION("""COMPUTED_VALUE"""),"ACAI COM CHOCOLATE")</f>
        <v>ACAI COM CHOCOLATE</v>
      </c>
      <c r="L3146" s="32">
        <f>IFERROR(__xludf.DUMMYFUNCTION("""COMPUTED_VALUE"""),3.0)</f>
        <v>3</v>
      </c>
      <c r="M3146" s="4" t="str">
        <f>IFERROR(__xludf.DUMMYFUNCTION("""COMPUTED_VALUE"""),"Yooga")</f>
        <v>Yooga</v>
      </c>
      <c r="N3146" s="33">
        <f>IFERROR(__xludf.DUMMYFUNCTION("""COMPUTED_VALUE"""),1.0)</f>
        <v>1</v>
      </c>
      <c r="O3146" s="4" t="str">
        <f>IFERROR(__xludf.DUMMYFUNCTION("""COMPUTED_VALUE"""),"Yooga")</f>
        <v>Yooga</v>
      </c>
      <c r="P3146" s="33">
        <f>IFERROR(__xludf.DUMMYFUNCTION("""COMPUTED_VALUE"""),1.0)</f>
        <v>1</v>
      </c>
      <c r="Q3146" s="4" t="str">
        <f>IFERROR(__xludf.DUMMYFUNCTION("""COMPUTED_VALUE"""),"Yooga")</f>
        <v>Yooga</v>
      </c>
      <c r="R3146" s="33">
        <f>IFERROR(__xludf.DUMMYFUNCTION("""COMPUTED_VALUE"""),1.0)</f>
        <v>1</v>
      </c>
      <c r="S3146" s="4" t="str">
        <f>IFERROR(__xludf.DUMMYFUNCTION("""COMPUTED_VALUE"""),"Yooga")</f>
        <v>Yooga</v>
      </c>
      <c r="T3146" s="33">
        <f>IFERROR(__xludf.DUMMYFUNCTION("""COMPUTED_VALUE"""),1.0)</f>
        <v>1</v>
      </c>
      <c r="U3146" s="4" t="str">
        <f>IFERROR(__xludf.DUMMYFUNCTION("""COMPUTED_VALUE"""),"Yooga")</f>
        <v>Yooga</v>
      </c>
      <c r="V3146" s="33">
        <f>IFERROR(__xludf.DUMMYFUNCTION("""COMPUTED_VALUE"""),1.0)</f>
        <v>1</v>
      </c>
      <c r="W3146" s="4" t="str">
        <f>IFERROR(__xludf.DUMMYFUNCTION("""COMPUTED_VALUE"""),"Yooga")</f>
        <v>Yooga</v>
      </c>
      <c r="X3146" s="33">
        <f>IFERROR(__xludf.DUMMYFUNCTION("""COMPUTED_VALUE"""),0.6666666666666666)</f>
        <v>0.6666666667</v>
      </c>
    </row>
    <row r="3147">
      <c r="K3147" s="4" t="str">
        <f>IFERROR(__xludf.DUMMYFUNCTION("""COMPUTED_VALUE"""),"O PASTELAO")</f>
        <v>O PASTELAO</v>
      </c>
      <c r="L3147" s="32">
        <f>IFERROR(__xludf.DUMMYFUNCTION("""COMPUTED_VALUE"""),3.0)</f>
        <v>3</v>
      </c>
      <c r="M3147" s="4" t="str">
        <f>IFERROR(__xludf.DUMMYFUNCTION("""COMPUTED_VALUE"""),"Saipos Serviços De Software")</f>
        <v>Saipos Serviços De Software</v>
      </c>
      <c r="N3147" s="33">
        <f>IFERROR(__xludf.DUMMYFUNCTION("""COMPUTED_VALUE"""),0.6666666666666666)</f>
        <v>0.6666666667</v>
      </c>
      <c r="O3147" s="4" t="str">
        <f>IFERROR(__xludf.DUMMYFUNCTION("""COMPUTED_VALUE"""),"Saipos Serviços De Software")</f>
        <v>Saipos Serviços De Software</v>
      </c>
      <c r="P3147" s="33">
        <f>IFERROR(__xludf.DUMMYFUNCTION("""COMPUTED_VALUE"""),0.6666666666666666)</f>
        <v>0.6666666667</v>
      </c>
      <c r="Q3147" s="4" t="str">
        <f>IFERROR(__xludf.DUMMYFUNCTION("""COMPUTED_VALUE"""),"Saipos Serviços De Software")</f>
        <v>Saipos Serviços De Software</v>
      </c>
      <c r="R3147" s="33">
        <f>IFERROR(__xludf.DUMMYFUNCTION("""COMPUTED_VALUE"""),0.6666666666666666)</f>
        <v>0.6666666667</v>
      </c>
      <c r="S3147" s="4" t="str">
        <f>IFERROR(__xludf.DUMMYFUNCTION("""COMPUTED_VALUE"""),"Saipos Serviços De Software")</f>
        <v>Saipos Serviços De Software</v>
      </c>
      <c r="T3147" s="33">
        <f>IFERROR(__xludf.DUMMYFUNCTION("""COMPUTED_VALUE"""),0.6666666666666666)</f>
        <v>0.6666666667</v>
      </c>
      <c r="U3147" s="4" t="str">
        <f>IFERROR(__xludf.DUMMYFUNCTION("""COMPUTED_VALUE"""),"Saipos Serviços De Software")</f>
        <v>Saipos Serviços De Software</v>
      </c>
      <c r="V3147" s="33">
        <f>IFERROR(__xludf.DUMMYFUNCTION("""COMPUTED_VALUE"""),0.6666666666666666)</f>
        <v>0.6666666667</v>
      </c>
      <c r="W3147" s="4" t="str">
        <f>IFERROR(__xludf.DUMMYFUNCTION("""COMPUTED_VALUE"""),"Saipos Serviços De Software")</f>
        <v>Saipos Serviços De Software</v>
      </c>
      <c r="X3147" s="33">
        <f>IFERROR(__xludf.DUMMYFUNCTION("""COMPUTED_VALUE"""),0.6666666666666666)</f>
        <v>0.6666666667</v>
      </c>
    </row>
    <row r="3148">
      <c r="K3148" s="4" t="str">
        <f>IFERROR(__xludf.DUMMYFUNCTION("""COMPUTED_VALUE"""),"CIA DA ESFIHA")</f>
        <v>CIA DA ESFIHA</v>
      </c>
      <c r="L3148" s="32">
        <f>IFERROR(__xludf.DUMMYFUNCTION("""COMPUTED_VALUE"""),3.0)</f>
        <v>3</v>
      </c>
      <c r="M3148" s="4" t="str">
        <f>IFERROR(__xludf.DUMMYFUNCTION("""COMPUTED_VALUE"""),"Saipos Serviços De Software")</f>
        <v>Saipos Serviços De Software</v>
      </c>
      <c r="N3148" s="33">
        <f>IFERROR(__xludf.DUMMYFUNCTION("""COMPUTED_VALUE"""),0.6666666666666666)</f>
        <v>0.6666666667</v>
      </c>
      <c r="O3148" s="4" t="str">
        <f>IFERROR(__xludf.DUMMYFUNCTION("""COMPUTED_VALUE"""),"Saipos Serviços De Software")</f>
        <v>Saipos Serviços De Software</v>
      </c>
      <c r="P3148" s="33">
        <f>IFERROR(__xludf.DUMMYFUNCTION("""COMPUTED_VALUE"""),0.6666666666666666)</f>
        <v>0.6666666667</v>
      </c>
      <c r="Q3148" s="4" t="str">
        <f>IFERROR(__xludf.DUMMYFUNCTION("""COMPUTED_VALUE"""),"Saipos Serviços De Software")</f>
        <v>Saipos Serviços De Software</v>
      </c>
      <c r="R3148" s="33">
        <f>IFERROR(__xludf.DUMMYFUNCTION("""COMPUTED_VALUE"""),0.6666666666666666)</f>
        <v>0.6666666667</v>
      </c>
      <c r="S3148" s="4" t="str">
        <f>IFERROR(__xludf.DUMMYFUNCTION("""COMPUTED_VALUE"""),"null")</f>
        <v>null</v>
      </c>
      <c r="T3148" s="33">
        <f>IFERROR(__xludf.DUMMYFUNCTION("""COMPUTED_VALUE"""),0.6666666666666666)</f>
        <v>0.6666666667</v>
      </c>
      <c r="U3148" s="4" t="str">
        <f>IFERROR(__xludf.DUMMYFUNCTION("""COMPUTED_VALUE"""),"null")</f>
        <v>null</v>
      </c>
      <c r="V3148" s="33">
        <f>IFERROR(__xludf.DUMMYFUNCTION("""COMPUTED_VALUE"""),0.6666666666666666)</f>
        <v>0.6666666667</v>
      </c>
      <c r="W3148" s="4" t="str">
        <f>IFERROR(__xludf.DUMMYFUNCTION("""COMPUTED_VALUE"""),"null")</f>
        <v>null</v>
      </c>
      <c r="X3148" s="33">
        <f>IFERROR(__xludf.DUMMYFUNCTION("""COMPUTED_VALUE"""),0.6666666666666666)</f>
        <v>0.6666666667</v>
      </c>
    </row>
    <row r="3149">
      <c r="K3149" s="4" t="str">
        <f>IFERROR(__xludf.DUMMYFUNCTION("""COMPUTED_VALUE"""),"BOM GOSTO HAMBURGUERIA")</f>
        <v>BOM GOSTO HAMBURGUERIA</v>
      </c>
      <c r="L3149" s="32">
        <f>IFERROR(__xludf.DUMMYFUNCTION("""COMPUTED_VALUE"""),3.0)</f>
        <v>3</v>
      </c>
      <c r="M3149" s="4" t="str">
        <f>IFERROR(__xludf.DUMMYFUNCTION("""COMPUTED_VALUE"""),"Cardápio Web")</f>
        <v>Cardápio Web</v>
      </c>
      <c r="N3149" s="33">
        <f>IFERROR(__xludf.DUMMYFUNCTION("""COMPUTED_VALUE"""),1.0)</f>
        <v>1</v>
      </c>
      <c r="O3149" s="4" t="str">
        <f>IFERROR(__xludf.DUMMYFUNCTION("""COMPUTED_VALUE"""),"Cardápio Web")</f>
        <v>Cardápio Web</v>
      </c>
      <c r="P3149" s="33">
        <f>IFERROR(__xludf.DUMMYFUNCTION("""COMPUTED_VALUE"""),1.0)</f>
        <v>1</v>
      </c>
      <c r="Q3149" s="4" t="str">
        <f>IFERROR(__xludf.DUMMYFUNCTION("""COMPUTED_VALUE"""),"Cardápio Web")</f>
        <v>Cardápio Web</v>
      </c>
      <c r="R3149" s="33">
        <f>IFERROR(__xludf.DUMMYFUNCTION("""COMPUTED_VALUE"""),1.0)</f>
        <v>1</v>
      </c>
      <c r="S3149" s="4" t="str">
        <f>IFERROR(__xludf.DUMMYFUNCTION("""COMPUTED_VALUE"""),"Cardápio Web")</f>
        <v>Cardápio Web</v>
      </c>
      <c r="T3149" s="33">
        <f>IFERROR(__xludf.DUMMYFUNCTION("""COMPUTED_VALUE"""),1.0)</f>
        <v>1</v>
      </c>
      <c r="U3149" s="4" t="str">
        <f>IFERROR(__xludf.DUMMYFUNCTION("""COMPUTED_VALUE"""),"Cardápio Web")</f>
        <v>Cardápio Web</v>
      </c>
      <c r="V3149" s="33">
        <f>IFERROR(__xludf.DUMMYFUNCTION("""COMPUTED_VALUE"""),1.0)</f>
        <v>1</v>
      </c>
      <c r="W3149" s="4" t="str">
        <f>IFERROR(__xludf.DUMMYFUNCTION("""COMPUTED_VALUE"""),"Cardápio Web")</f>
        <v>Cardápio Web</v>
      </c>
      <c r="X3149" s="33">
        <f>IFERROR(__xludf.DUMMYFUNCTION("""COMPUTED_VALUE"""),1.0)</f>
        <v>1</v>
      </c>
    </row>
    <row r="3150">
      <c r="K3150" s="4" t="str">
        <f>IFERROR(__xludf.DUMMYFUNCTION("""COMPUTED_VALUE"""),"3F - FAST FITNESS FOOD")</f>
        <v>3F - FAST FITNESS FOOD</v>
      </c>
      <c r="L3150" s="32">
        <f>IFERROR(__xludf.DUMMYFUNCTION("""COMPUTED_VALUE"""),3.0)</f>
        <v>3</v>
      </c>
      <c r="M3150" s="4" t="str">
        <f>IFERROR(__xludf.DUMMYFUNCTION("""COMPUTED_VALUE"""),"null")</f>
        <v>null</v>
      </c>
      <c r="N3150" s="33">
        <f>IFERROR(__xludf.DUMMYFUNCTION("""COMPUTED_VALUE"""),0.6666666666666666)</f>
        <v>0.6666666667</v>
      </c>
      <c r="O3150" s="4" t="str">
        <f>IFERROR(__xludf.DUMMYFUNCTION("""COMPUTED_VALUE"""),"null")</f>
        <v>null</v>
      </c>
      <c r="P3150" s="33">
        <f>IFERROR(__xludf.DUMMYFUNCTION("""COMPUTED_VALUE"""),0.6666666666666666)</f>
        <v>0.6666666667</v>
      </c>
      <c r="Q3150" s="4" t="str">
        <f>IFERROR(__xludf.DUMMYFUNCTION("""COMPUTED_VALUE"""),"Gfr Tec")</f>
        <v>Gfr Tec</v>
      </c>
      <c r="R3150" s="33">
        <f>IFERROR(__xludf.DUMMYFUNCTION("""COMPUTED_VALUE"""),0.6666666666666666)</f>
        <v>0.6666666667</v>
      </c>
      <c r="S3150" s="4" t="str">
        <f>IFERROR(__xludf.DUMMYFUNCTION("""COMPUTED_VALUE"""),"Gfr Tec")</f>
        <v>Gfr Tec</v>
      </c>
      <c r="T3150" s="33">
        <f>IFERROR(__xludf.DUMMYFUNCTION("""COMPUTED_VALUE"""),0.6666666666666666)</f>
        <v>0.6666666667</v>
      </c>
      <c r="U3150" s="4" t="str">
        <f>IFERROR(__xludf.DUMMYFUNCTION("""COMPUTED_VALUE"""),"Gfr Tec")</f>
        <v>Gfr Tec</v>
      </c>
      <c r="V3150" s="33">
        <f>IFERROR(__xludf.DUMMYFUNCTION("""COMPUTED_VALUE"""),0.6666666666666666)</f>
        <v>0.6666666667</v>
      </c>
      <c r="W3150" s="4" t="str">
        <f>IFERROR(__xludf.DUMMYFUNCTION("""COMPUTED_VALUE"""),"Gfr Tec")</f>
        <v>Gfr Tec</v>
      </c>
      <c r="X3150" s="33">
        <f>IFERROR(__xludf.DUMMYFUNCTION("""COMPUTED_VALUE"""),0.6666666666666666)</f>
        <v>0.6666666667</v>
      </c>
    </row>
    <row r="3151">
      <c r="K3151" s="4" t="str">
        <f>IFERROR(__xludf.DUMMYFUNCTION("""COMPUTED_VALUE"""),"4TOWN BRANDS")</f>
        <v>4TOWN BRANDS</v>
      </c>
      <c r="L3151" s="32">
        <f>IFERROR(__xludf.DUMMYFUNCTION("""COMPUTED_VALUE"""),3.0)</f>
        <v>3</v>
      </c>
      <c r="M3151" s="4" t="str">
        <f>IFERROR(__xludf.DUMMYFUNCTION("""COMPUTED_VALUE"""),"Cardápio Web")</f>
        <v>Cardápio Web</v>
      </c>
      <c r="N3151" s="33">
        <f>IFERROR(__xludf.DUMMYFUNCTION("""COMPUTED_VALUE"""),1.0)</f>
        <v>1</v>
      </c>
      <c r="O3151" s="4" t="str">
        <f>IFERROR(__xludf.DUMMYFUNCTION("""COMPUTED_VALUE"""),"Agilizup Solucoes Ltda")</f>
        <v>Agilizup Solucoes Ltda</v>
      </c>
      <c r="P3151" s="33">
        <f>IFERROR(__xludf.DUMMYFUNCTION("""COMPUTED_VALUE"""),0.6666666666666666)</f>
        <v>0.6666666667</v>
      </c>
      <c r="Q3151" s="4" t="str">
        <f>IFERROR(__xludf.DUMMYFUNCTION("""COMPUTED_VALUE"""),"Agilizup Solucoes Ltda")</f>
        <v>Agilizup Solucoes Ltda</v>
      </c>
      <c r="R3151" s="33">
        <f>IFERROR(__xludf.DUMMYFUNCTION("""COMPUTED_VALUE"""),1.0)</f>
        <v>1</v>
      </c>
      <c r="S3151" s="4" t="str">
        <f>IFERROR(__xludf.DUMMYFUNCTION("""COMPUTED_VALUE"""),"Agilizup Solucoes Ltda")</f>
        <v>Agilizup Solucoes Ltda</v>
      </c>
      <c r="T3151" s="33">
        <f>IFERROR(__xludf.DUMMYFUNCTION("""COMPUTED_VALUE"""),0.6666666666666666)</f>
        <v>0.6666666667</v>
      </c>
      <c r="U3151" s="4" t="str">
        <f>IFERROR(__xludf.DUMMYFUNCTION("""COMPUTED_VALUE"""),"Cardápio Web")</f>
        <v>Cardápio Web</v>
      </c>
      <c r="V3151" s="33">
        <f>IFERROR(__xludf.DUMMYFUNCTION("""COMPUTED_VALUE"""),1.0)</f>
        <v>1</v>
      </c>
      <c r="W3151" s="4" t="str">
        <f>IFERROR(__xludf.DUMMYFUNCTION("""COMPUTED_VALUE"""),"Cardápio Web")</f>
        <v>Cardápio Web</v>
      </c>
      <c r="X3151" s="33">
        <f>IFERROR(__xludf.DUMMYFUNCTION("""COMPUTED_VALUE"""),1.0)</f>
        <v>1</v>
      </c>
    </row>
    <row r="3152">
      <c r="K3152" s="4" t="str">
        <f>IFERROR(__xludf.DUMMYFUNCTION("""COMPUTED_VALUE"""),"A CASA DO RISOTO")</f>
        <v>A CASA DO RISOTO</v>
      </c>
      <c r="L3152" s="32">
        <f>IFERROR(__xludf.DUMMYFUNCTION("""COMPUTED_VALUE"""),3.0)</f>
        <v>3</v>
      </c>
      <c r="M3152" s="4" t="str">
        <f>IFERROR(__xludf.DUMMYFUNCTION("""COMPUTED_VALUE"""),"Cardápio Web")</f>
        <v>Cardápio Web</v>
      </c>
      <c r="N3152" s="33">
        <f>IFERROR(__xludf.DUMMYFUNCTION("""COMPUTED_VALUE"""),0.6666666666666666)</f>
        <v>0.6666666667</v>
      </c>
      <c r="O3152" s="4" t="str">
        <f>IFERROR(__xludf.DUMMYFUNCTION("""COMPUTED_VALUE"""),"Cardápio Web")</f>
        <v>Cardápio Web</v>
      </c>
      <c r="P3152" s="33">
        <f>IFERROR(__xludf.DUMMYFUNCTION("""COMPUTED_VALUE"""),0.6666666666666666)</f>
        <v>0.6666666667</v>
      </c>
      <c r="Q3152" s="4" t="str">
        <f>IFERROR(__xludf.DUMMYFUNCTION("""COMPUTED_VALUE"""),"Cardápio Web")</f>
        <v>Cardápio Web</v>
      </c>
      <c r="R3152" s="33">
        <f>IFERROR(__xludf.DUMMYFUNCTION("""COMPUTED_VALUE"""),0.6666666666666666)</f>
        <v>0.6666666667</v>
      </c>
      <c r="S3152" s="4" t="str">
        <f>IFERROR(__xludf.DUMMYFUNCTION("""COMPUTED_VALUE"""),"Cardápio Web")</f>
        <v>Cardápio Web</v>
      </c>
      <c r="T3152" s="33">
        <f>IFERROR(__xludf.DUMMYFUNCTION("""COMPUTED_VALUE"""),0.6666666666666666)</f>
        <v>0.6666666667</v>
      </c>
      <c r="U3152" s="4" t="str">
        <f>IFERROR(__xludf.DUMMYFUNCTION("""COMPUTED_VALUE"""),"Cardápio Web")</f>
        <v>Cardápio Web</v>
      </c>
      <c r="V3152" s="33">
        <f>IFERROR(__xludf.DUMMYFUNCTION("""COMPUTED_VALUE"""),0.6666666666666666)</f>
        <v>0.6666666667</v>
      </c>
      <c r="W3152" s="4" t="str">
        <f>IFERROR(__xludf.DUMMYFUNCTION("""COMPUTED_VALUE"""),"Cardápio Web")</f>
        <v>Cardápio Web</v>
      </c>
      <c r="X3152" s="33">
        <f>IFERROR(__xludf.DUMMYFUNCTION("""COMPUTED_VALUE"""),1.0)</f>
        <v>1</v>
      </c>
    </row>
    <row r="3153">
      <c r="K3153" s="4" t="str">
        <f>IFERROR(__xludf.DUMMYFUNCTION("""COMPUTED_VALUE"""),"A GALETERIA ASSADOS")</f>
        <v>A GALETERIA ASSADOS</v>
      </c>
      <c r="L3153" s="32">
        <f>IFERROR(__xludf.DUMMYFUNCTION("""COMPUTED_VALUE"""),3.0)</f>
        <v>3</v>
      </c>
      <c r="M3153" s="4" t="str">
        <f>IFERROR(__xludf.DUMMYFUNCTION("""COMPUTED_VALUE"""),"Eclética Tecnologia")</f>
        <v>Eclética Tecnologia</v>
      </c>
      <c r="N3153" s="33">
        <f>IFERROR(__xludf.DUMMYFUNCTION("""COMPUTED_VALUE"""),1.0)</f>
        <v>1</v>
      </c>
      <c r="O3153" s="4" t="str">
        <f>IFERROR(__xludf.DUMMYFUNCTION("""COMPUTED_VALUE"""),"Eclética Tecnologia")</f>
        <v>Eclética Tecnologia</v>
      </c>
      <c r="P3153" s="33">
        <f>IFERROR(__xludf.DUMMYFUNCTION("""COMPUTED_VALUE"""),1.0)</f>
        <v>1</v>
      </c>
      <c r="Q3153" s="4" t="str">
        <f>IFERROR(__xludf.DUMMYFUNCTION("""COMPUTED_VALUE"""),"Eclética Tecnologia")</f>
        <v>Eclética Tecnologia</v>
      </c>
      <c r="R3153" s="33">
        <f>IFERROR(__xludf.DUMMYFUNCTION("""COMPUTED_VALUE"""),1.0)</f>
        <v>1</v>
      </c>
      <c r="S3153" s="4" t="str">
        <f>IFERROR(__xludf.DUMMYFUNCTION("""COMPUTED_VALUE"""),"Eclética Tecnologia")</f>
        <v>Eclética Tecnologia</v>
      </c>
      <c r="T3153" s="33">
        <f>IFERROR(__xludf.DUMMYFUNCTION("""COMPUTED_VALUE"""),1.0)</f>
        <v>1</v>
      </c>
      <c r="U3153" s="4" t="str">
        <f>IFERROR(__xludf.DUMMYFUNCTION("""COMPUTED_VALUE"""),"Eclética Tecnologia")</f>
        <v>Eclética Tecnologia</v>
      </c>
      <c r="V3153" s="33">
        <f>IFERROR(__xludf.DUMMYFUNCTION("""COMPUTED_VALUE"""),1.0)</f>
        <v>1</v>
      </c>
      <c r="W3153" s="4" t="str">
        <f>IFERROR(__xludf.DUMMYFUNCTION("""COMPUTED_VALUE"""),"Eclética Tecnologia")</f>
        <v>Eclética Tecnologia</v>
      </c>
      <c r="X3153" s="33">
        <f>IFERROR(__xludf.DUMMYFUNCTION("""COMPUTED_VALUE"""),1.0)</f>
        <v>1</v>
      </c>
    </row>
    <row r="3154">
      <c r="K3154" s="4" t="str">
        <f>IFERROR(__xludf.DUMMYFUNCTION("""COMPUTED_VALUE"""),"A LANDERNA")</f>
        <v>A LANDERNA</v>
      </c>
      <c r="L3154" s="32">
        <f>IFERROR(__xludf.DUMMYFUNCTION("""COMPUTED_VALUE"""),3.0)</f>
        <v>3</v>
      </c>
      <c r="M3154" s="4" t="str">
        <f>IFERROR(__xludf.DUMMYFUNCTION("""COMPUTED_VALUE"""),"Ncr")</f>
        <v>Ncr</v>
      </c>
      <c r="N3154" s="33">
        <f>IFERROR(__xludf.DUMMYFUNCTION("""COMPUTED_VALUE"""),1.0)</f>
        <v>1</v>
      </c>
      <c r="O3154" s="4" t="str">
        <f>IFERROR(__xludf.DUMMYFUNCTION("""COMPUTED_VALUE"""),"Ncr")</f>
        <v>Ncr</v>
      </c>
      <c r="P3154" s="33">
        <f>IFERROR(__xludf.DUMMYFUNCTION("""COMPUTED_VALUE"""),1.0)</f>
        <v>1</v>
      </c>
      <c r="Q3154" s="4" t="str">
        <f>IFERROR(__xludf.DUMMYFUNCTION("""COMPUTED_VALUE"""),"Ncr")</f>
        <v>Ncr</v>
      </c>
      <c r="R3154" s="33">
        <f>IFERROR(__xludf.DUMMYFUNCTION("""COMPUTED_VALUE"""),1.0)</f>
        <v>1</v>
      </c>
      <c r="S3154" s="4" t="str">
        <f>IFERROR(__xludf.DUMMYFUNCTION("""COMPUTED_VALUE"""),"Ncr")</f>
        <v>Ncr</v>
      </c>
      <c r="T3154" s="33">
        <f>IFERROR(__xludf.DUMMYFUNCTION("""COMPUTED_VALUE"""),1.0)</f>
        <v>1</v>
      </c>
      <c r="U3154" s="4" t="str">
        <f>IFERROR(__xludf.DUMMYFUNCTION("""COMPUTED_VALUE"""),"Ncr")</f>
        <v>Ncr</v>
      </c>
      <c r="V3154" s="33">
        <f>IFERROR(__xludf.DUMMYFUNCTION("""COMPUTED_VALUE"""),1.0)</f>
        <v>1</v>
      </c>
      <c r="W3154" s="4" t="str">
        <f>IFERROR(__xludf.DUMMYFUNCTION("""COMPUTED_VALUE"""),"Ncr")</f>
        <v>Ncr</v>
      </c>
      <c r="X3154" s="33">
        <f>IFERROR(__xludf.DUMMYFUNCTION("""COMPUTED_VALUE"""),1.0)</f>
        <v>1</v>
      </c>
    </row>
    <row r="3155">
      <c r="K3155" s="4" t="str">
        <f>IFERROR(__xludf.DUMMYFUNCTION("""COMPUTED_VALUE"""),"A LANDERNA - CONTA MARCA")</f>
        <v>A LANDERNA - CONTA MARCA</v>
      </c>
      <c r="L3155" s="32">
        <f>IFERROR(__xludf.DUMMYFUNCTION("""COMPUTED_VALUE"""),3.0)</f>
        <v>3</v>
      </c>
      <c r="M3155" s="4" t="str">
        <f>IFERROR(__xludf.DUMMYFUNCTION("""COMPUTED_VALUE"""),"Ncr")</f>
        <v>Ncr</v>
      </c>
      <c r="N3155" s="33">
        <f>IFERROR(__xludf.DUMMYFUNCTION("""COMPUTED_VALUE"""),1.0)</f>
        <v>1</v>
      </c>
      <c r="O3155" s="4" t="str">
        <f>IFERROR(__xludf.DUMMYFUNCTION("""COMPUTED_VALUE"""),"Ncr")</f>
        <v>Ncr</v>
      </c>
      <c r="P3155" s="33">
        <f>IFERROR(__xludf.DUMMYFUNCTION("""COMPUTED_VALUE"""),1.0)</f>
        <v>1</v>
      </c>
      <c r="Q3155" s="4" t="str">
        <f>IFERROR(__xludf.DUMMYFUNCTION("""COMPUTED_VALUE"""),"Ncr")</f>
        <v>Ncr</v>
      </c>
      <c r="R3155" s="33">
        <f>IFERROR(__xludf.DUMMYFUNCTION("""COMPUTED_VALUE"""),1.0)</f>
        <v>1</v>
      </c>
      <c r="S3155" s="4" t="str">
        <f>IFERROR(__xludf.DUMMYFUNCTION("""COMPUTED_VALUE"""),"Ncr")</f>
        <v>Ncr</v>
      </c>
      <c r="T3155" s="33">
        <f>IFERROR(__xludf.DUMMYFUNCTION("""COMPUTED_VALUE"""),1.0)</f>
        <v>1</v>
      </c>
      <c r="U3155" s="4" t="str">
        <f>IFERROR(__xludf.DUMMYFUNCTION("""COMPUTED_VALUE"""),"Ncr")</f>
        <v>Ncr</v>
      </c>
      <c r="V3155" s="33">
        <f>IFERROR(__xludf.DUMMYFUNCTION("""COMPUTED_VALUE"""),1.0)</f>
        <v>1</v>
      </c>
      <c r="W3155" s="4" t="str">
        <f>IFERROR(__xludf.DUMMYFUNCTION("""COMPUTED_VALUE"""),"Ncr")</f>
        <v>Ncr</v>
      </c>
      <c r="X3155" s="33">
        <f>IFERROR(__xludf.DUMMYFUNCTION("""COMPUTED_VALUE"""),1.0)</f>
        <v>1</v>
      </c>
    </row>
    <row r="3156">
      <c r="K3156" s="4" t="str">
        <f>IFERROR(__xludf.DUMMYFUNCTION("""COMPUTED_VALUE"""),"A PASTELARIA MOGI MARCA")</f>
        <v>A PASTELARIA MOGI MARCA</v>
      </c>
      <c r="L3156" s="32">
        <f>IFERROR(__xludf.DUMMYFUNCTION("""COMPUTED_VALUE"""),3.0)</f>
        <v>3</v>
      </c>
      <c r="M3156" s="4" t="str">
        <f>IFERROR(__xludf.DUMMYFUNCTION("""COMPUTED_VALUE"""),"Saipos Serviços De Software")</f>
        <v>Saipos Serviços De Software</v>
      </c>
      <c r="N3156" s="33">
        <f>IFERROR(__xludf.DUMMYFUNCTION("""COMPUTED_VALUE"""),1.0)</f>
        <v>1</v>
      </c>
      <c r="O3156" s="4" t="str">
        <f>IFERROR(__xludf.DUMMYFUNCTION("""COMPUTED_VALUE"""),"Saipos Serviços De Software")</f>
        <v>Saipos Serviços De Software</v>
      </c>
      <c r="P3156" s="33">
        <f>IFERROR(__xludf.DUMMYFUNCTION("""COMPUTED_VALUE"""),1.0)</f>
        <v>1</v>
      </c>
      <c r="Q3156" s="4" t="str">
        <f>IFERROR(__xludf.DUMMYFUNCTION("""COMPUTED_VALUE"""),"Saipos Serviços De Software")</f>
        <v>Saipos Serviços De Software</v>
      </c>
      <c r="R3156" s="33">
        <f>IFERROR(__xludf.DUMMYFUNCTION("""COMPUTED_VALUE"""),1.0)</f>
        <v>1</v>
      </c>
      <c r="S3156" s="4" t="str">
        <f>IFERROR(__xludf.DUMMYFUNCTION("""COMPUTED_VALUE"""),"Saipos Serviços De Software")</f>
        <v>Saipos Serviços De Software</v>
      </c>
      <c r="T3156" s="33">
        <f>IFERROR(__xludf.DUMMYFUNCTION("""COMPUTED_VALUE"""),1.0)</f>
        <v>1</v>
      </c>
      <c r="U3156" s="4" t="str">
        <f>IFERROR(__xludf.DUMMYFUNCTION("""COMPUTED_VALUE"""),"Saipos Serviços De Software")</f>
        <v>Saipos Serviços De Software</v>
      </c>
      <c r="V3156" s="33">
        <f>IFERROR(__xludf.DUMMYFUNCTION("""COMPUTED_VALUE"""),1.0)</f>
        <v>1</v>
      </c>
      <c r="W3156" s="4" t="str">
        <f>IFERROR(__xludf.DUMMYFUNCTION("""COMPUTED_VALUE"""),"Saipos Serviços De Software")</f>
        <v>Saipos Serviços De Software</v>
      </c>
      <c r="X3156" s="33">
        <f>IFERROR(__xludf.DUMMYFUNCTION("""COMPUTED_VALUE"""),1.0)</f>
        <v>1</v>
      </c>
    </row>
    <row r="3157">
      <c r="K3157" s="4" t="str">
        <f>IFERROR(__xludf.DUMMYFUNCTION("""COMPUTED_VALUE"""),"ABSURDA CONFEITARIA")</f>
        <v>ABSURDA CONFEITARIA</v>
      </c>
      <c r="L3157" s="32">
        <f>IFERROR(__xludf.DUMMYFUNCTION("""COMPUTED_VALUE"""),3.0)</f>
        <v>3</v>
      </c>
      <c r="M3157" s="4" t="str">
        <f>IFERROR(__xludf.DUMMYFUNCTION("""COMPUTED_VALUE"""),"Ncr")</f>
        <v>Ncr</v>
      </c>
      <c r="N3157" s="33">
        <f>IFERROR(__xludf.DUMMYFUNCTION("""COMPUTED_VALUE"""),1.0)</f>
        <v>1</v>
      </c>
      <c r="O3157" s="4" t="str">
        <f>IFERROR(__xludf.DUMMYFUNCTION("""COMPUTED_VALUE"""),"Ncr")</f>
        <v>Ncr</v>
      </c>
      <c r="P3157" s="33">
        <f>IFERROR(__xludf.DUMMYFUNCTION("""COMPUTED_VALUE"""),1.0)</f>
        <v>1</v>
      </c>
      <c r="Q3157" s="4" t="str">
        <f>IFERROR(__xludf.DUMMYFUNCTION("""COMPUTED_VALUE"""),"Ncr")</f>
        <v>Ncr</v>
      </c>
      <c r="R3157" s="33">
        <f>IFERROR(__xludf.DUMMYFUNCTION("""COMPUTED_VALUE"""),1.0)</f>
        <v>1</v>
      </c>
      <c r="S3157" s="4" t="str">
        <f>IFERROR(__xludf.DUMMYFUNCTION("""COMPUTED_VALUE"""),"Ncr")</f>
        <v>Ncr</v>
      </c>
      <c r="T3157" s="33">
        <f>IFERROR(__xludf.DUMMYFUNCTION("""COMPUTED_VALUE"""),1.0)</f>
        <v>1</v>
      </c>
      <c r="U3157" s="4" t="str">
        <f>IFERROR(__xludf.DUMMYFUNCTION("""COMPUTED_VALUE"""),"Ncr")</f>
        <v>Ncr</v>
      </c>
      <c r="V3157" s="33">
        <f>IFERROR(__xludf.DUMMYFUNCTION("""COMPUTED_VALUE"""),1.0)</f>
        <v>1</v>
      </c>
      <c r="W3157" s="4" t="str">
        <f>IFERROR(__xludf.DUMMYFUNCTION("""COMPUTED_VALUE"""),"Ncr")</f>
        <v>Ncr</v>
      </c>
      <c r="X3157" s="33">
        <f>IFERROR(__xludf.DUMMYFUNCTION("""COMPUTED_VALUE"""),1.0)</f>
        <v>1</v>
      </c>
    </row>
    <row r="3158">
      <c r="K3158" s="4" t="str">
        <f>IFERROR(__xludf.DUMMYFUNCTION("""COMPUTED_VALUE"""),"ACAI DA VILLA - SANTA FELICIA")</f>
        <v>ACAI DA VILLA - SANTA FELICIA</v>
      </c>
      <c r="L3158" s="32">
        <f>IFERROR(__xludf.DUMMYFUNCTION("""COMPUTED_VALUE"""),3.0)</f>
        <v>3</v>
      </c>
      <c r="M3158" s="4" t="str">
        <f>IFERROR(__xludf.DUMMYFUNCTION("""COMPUTED_VALUE"""),"Saipos Serviços De Software")</f>
        <v>Saipos Serviços De Software</v>
      </c>
      <c r="N3158" s="33">
        <f>IFERROR(__xludf.DUMMYFUNCTION("""COMPUTED_VALUE"""),1.0)</f>
        <v>1</v>
      </c>
      <c r="O3158" s="4" t="str">
        <f>IFERROR(__xludf.DUMMYFUNCTION("""COMPUTED_VALUE"""),"Saipos Serviços De Software")</f>
        <v>Saipos Serviços De Software</v>
      </c>
      <c r="P3158" s="33">
        <f>IFERROR(__xludf.DUMMYFUNCTION("""COMPUTED_VALUE"""),1.0)</f>
        <v>1</v>
      </c>
      <c r="Q3158" s="4" t="str">
        <f>IFERROR(__xludf.DUMMYFUNCTION("""COMPUTED_VALUE"""),"Saipos Serviços De Software")</f>
        <v>Saipos Serviços De Software</v>
      </c>
      <c r="R3158" s="33">
        <f>IFERROR(__xludf.DUMMYFUNCTION("""COMPUTED_VALUE"""),1.0)</f>
        <v>1</v>
      </c>
      <c r="S3158" s="4" t="str">
        <f>IFERROR(__xludf.DUMMYFUNCTION("""COMPUTED_VALUE"""),"Saipos Serviços De Software")</f>
        <v>Saipos Serviços De Software</v>
      </c>
      <c r="T3158" s="33">
        <f>IFERROR(__xludf.DUMMYFUNCTION("""COMPUTED_VALUE"""),1.0)</f>
        <v>1</v>
      </c>
      <c r="U3158" s="4" t="str">
        <f>IFERROR(__xludf.DUMMYFUNCTION("""COMPUTED_VALUE"""),"Saipos Serviços De Software")</f>
        <v>Saipos Serviços De Software</v>
      </c>
      <c r="V3158" s="33">
        <f>IFERROR(__xludf.DUMMYFUNCTION("""COMPUTED_VALUE"""),1.0)</f>
        <v>1</v>
      </c>
      <c r="W3158" s="4" t="str">
        <f>IFERROR(__xludf.DUMMYFUNCTION("""COMPUTED_VALUE"""),"Saipos Serviços De Software")</f>
        <v>Saipos Serviços De Software</v>
      </c>
      <c r="X3158" s="33">
        <f>IFERROR(__xludf.DUMMYFUNCTION("""COMPUTED_VALUE"""),1.0)</f>
        <v>1</v>
      </c>
    </row>
    <row r="3159">
      <c r="K3159" s="4" t="str">
        <f>IFERROR(__xludf.DUMMYFUNCTION("""COMPUTED_VALUE"""),"GRUPO ACAI FOLIA")</f>
        <v>GRUPO ACAI FOLIA</v>
      </c>
      <c r="L3159" s="32">
        <f>IFERROR(__xludf.DUMMYFUNCTION("""COMPUTED_VALUE"""),3.0)</f>
        <v>3</v>
      </c>
      <c r="M3159" s="4" t="str">
        <f>IFERROR(__xludf.DUMMYFUNCTION("""COMPUTED_VALUE"""),"M-du Tecnologia")</f>
        <v>M-du Tecnologia</v>
      </c>
      <c r="N3159" s="33">
        <f>IFERROR(__xludf.DUMMYFUNCTION("""COMPUTED_VALUE"""),0.6666666666666666)</f>
        <v>0.6666666667</v>
      </c>
      <c r="O3159" s="4" t="str">
        <f>IFERROR(__xludf.DUMMYFUNCTION("""COMPUTED_VALUE"""),"null")</f>
        <v>null</v>
      </c>
      <c r="P3159" s="33">
        <f>IFERROR(__xludf.DUMMYFUNCTION("""COMPUTED_VALUE"""),0.6666666666666666)</f>
        <v>0.6666666667</v>
      </c>
      <c r="Q3159" s="4" t="str">
        <f>IFERROR(__xludf.DUMMYFUNCTION("""COMPUTED_VALUE"""),"M-du Tecnologia")</f>
        <v>M-du Tecnologia</v>
      </c>
      <c r="R3159" s="33">
        <f>IFERROR(__xludf.DUMMYFUNCTION("""COMPUTED_VALUE"""),0.6666666666666666)</f>
        <v>0.6666666667</v>
      </c>
      <c r="S3159" s="4" t="str">
        <f>IFERROR(__xludf.DUMMYFUNCTION("""COMPUTED_VALUE"""),"M-du Tecnologia")</f>
        <v>M-du Tecnologia</v>
      </c>
      <c r="T3159" s="33">
        <f>IFERROR(__xludf.DUMMYFUNCTION("""COMPUTED_VALUE"""),1.0)</f>
        <v>1</v>
      </c>
      <c r="U3159" s="4" t="str">
        <f>IFERROR(__xludf.DUMMYFUNCTION("""COMPUTED_VALUE"""),"M-du Tecnologia")</f>
        <v>M-du Tecnologia</v>
      </c>
      <c r="V3159" s="33">
        <f>IFERROR(__xludf.DUMMYFUNCTION("""COMPUTED_VALUE"""),1.0)</f>
        <v>1</v>
      </c>
      <c r="W3159" s="4" t="str">
        <f>IFERROR(__xludf.DUMMYFUNCTION("""COMPUTED_VALUE"""),"M-du Tecnologia")</f>
        <v>M-du Tecnologia</v>
      </c>
      <c r="X3159" s="33">
        <f>IFERROR(__xludf.DUMMYFUNCTION("""COMPUTED_VALUE"""),0.6666666666666666)</f>
        <v>0.6666666667</v>
      </c>
    </row>
    <row r="3160">
      <c r="K3160" s="4" t="str">
        <f>IFERROR(__xludf.DUMMYFUNCTION("""COMPUTED_VALUE"""),"ACAI FORMOSA - MOINHO - CONTA MARCA")</f>
        <v>ACAI FORMOSA - MOINHO - CONTA MARCA</v>
      </c>
      <c r="L3160" s="32">
        <f>IFERROR(__xludf.DUMMYFUNCTION("""COMPUTED_VALUE"""),3.0)</f>
        <v>3</v>
      </c>
      <c r="M3160" s="4" t="str">
        <f>IFERROR(__xludf.DUMMYFUNCTION("""COMPUTED_VALUE"""),"Cardápio Web")</f>
        <v>Cardápio Web</v>
      </c>
      <c r="N3160" s="33">
        <f>IFERROR(__xludf.DUMMYFUNCTION("""COMPUTED_VALUE"""),1.0)</f>
        <v>1</v>
      </c>
      <c r="O3160" s="4" t="str">
        <f>IFERROR(__xludf.DUMMYFUNCTION("""COMPUTED_VALUE"""),"Cardápio Web")</f>
        <v>Cardápio Web</v>
      </c>
      <c r="P3160" s="33">
        <f>IFERROR(__xludf.DUMMYFUNCTION("""COMPUTED_VALUE"""),1.0)</f>
        <v>1</v>
      </c>
      <c r="Q3160" s="4" t="str">
        <f>IFERROR(__xludf.DUMMYFUNCTION("""COMPUTED_VALUE"""),"Cardápio Web")</f>
        <v>Cardápio Web</v>
      </c>
      <c r="R3160" s="33">
        <f>IFERROR(__xludf.DUMMYFUNCTION("""COMPUTED_VALUE"""),1.0)</f>
        <v>1</v>
      </c>
      <c r="S3160" s="4" t="str">
        <f>IFERROR(__xludf.DUMMYFUNCTION("""COMPUTED_VALUE"""),"Cardápio Web")</f>
        <v>Cardápio Web</v>
      </c>
      <c r="T3160" s="33">
        <f>IFERROR(__xludf.DUMMYFUNCTION("""COMPUTED_VALUE"""),1.0)</f>
        <v>1</v>
      </c>
      <c r="U3160" s="4" t="str">
        <f>IFERROR(__xludf.DUMMYFUNCTION("""COMPUTED_VALUE"""),"Cardápio Web")</f>
        <v>Cardápio Web</v>
      </c>
      <c r="V3160" s="33">
        <f>IFERROR(__xludf.DUMMYFUNCTION("""COMPUTED_VALUE"""),1.0)</f>
        <v>1</v>
      </c>
      <c r="W3160" s="4" t="str">
        <f>IFERROR(__xludf.DUMMYFUNCTION("""COMPUTED_VALUE"""),"Cardápio Web")</f>
        <v>Cardápio Web</v>
      </c>
      <c r="X3160" s="33">
        <f>IFERROR(__xludf.DUMMYFUNCTION("""COMPUTED_VALUE"""),1.0)</f>
        <v>1</v>
      </c>
    </row>
    <row r="3161">
      <c r="K3161" s="4" t="str">
        <f>IFERROR(__xludf.DUMMYFUNCTION("""COMPUTED_VALUE"""),"ACAI NATIVO - UBERLANDIA")</f>
        <v>ACAI NATIVO - UBERLANDIA</v>
      </c>
      <c r="L3161" s="32">
        <f>IFERROR(__xludf.DUMMYFUNCTION("""COMPUTED_VALUE"""),3.0)</f>
        <v>3</v>
      </c>
      <c r="M3161" s="4" t="str">
        <f>IFERROR(__xludf.DUMMYFUNCTION("""COMPUTED_VALUE"""),"Saipos Serviços De Software")</f>
        <v>Saipos Serviços De Software</v>
      </c>
      <c r="N3161" s="33">
        <f>IFERROR(__xludf.DUMMYFUNCTION("""COMPUTED_VALUE"""),1.0)</f>
        <v>1</v>
      </c>
      <c r="O3161" s="4" t="str">
        <f>IFERROR(__xludf.DUMMYFUNCTION("""COMPUTED_VALUE"""),"Saipos Serviços De Software")</f>
        <v>Saipos Serviços De Software</v>
      </c>
      <c r="P3161" s="33">
        <f>IFERROR(__xludf.DUMMYFUNCTION("""COMPUTED_VALUE"""),1.0)</f>
        <v>1</v>
      </c>
      <c r="Q3161" s="4" t="str">
        <f>IFERROR(__xludf.DUMMYFUNCTION("""COMPUTED_VALUE"""),"Saipos Serviços De Software")</f>
        <v>Saipos Serviços De Software</v>
      </c>
      <c r="R3161" s="33">
        <f>IFERROR(__xludf.DUMMYFUNCTION("""COMPUTED_VALUE"""),1.0)</f>
        <v>1</v>
      </c>
      <c r="S3161" s="4" t="str">
        <f>IFERROR(__xludf.DUMMYFUNCTION("""COMPUTED_VALUE"""),"Saipos Serviços De Software")</f>
        <v>Saipos Serviços De Software</v>
      </c>
      <c r="T3161" s="33">
        <f>IFERROR(__xludf.DUMMYFUNCTION("""COMPUTED_VALUE"""),1.0)</f>
        <v>1</v>
      </c>
      <c r="U3161" s="4" t="str">
        <f>IFERROR(__xludf.DUMMYFUNCTION("""COMPUTED_VALUE"""),"Saipos Serviços De Software")</f>
        <v>Saipos Serviços De Software</v>
      </c>
      <c r="V3161" s="33">
        <f>IFERROR(__xludf.DUMMYFUNCTION("""COMPUTED_VALUE"""),1.0)</f>
        <v>1</v>
      </c>
      <c r="W3161" s="4" t="str">
        <f>IFERROR(__xludf.DUMMYFUNCTION("""COMPUTED_VALUE"""),"Saipos Serviços De Software")</f>
        <v>Saipos Serviços De Software</v>
      </c>
      <c r="X3161" s="33">
        <f>IFERROR(__xludf.DUMMYFUNCTION("""COMPUTED_VALUE"""),1.0)</f>
        <v>1</v>
      </c>
    </row>
    <row r="3162">
      <c r="K3162" s="4" t="str">
        <f>IFERROR(__xludf.DUMMYFUNCTION("""COMPUTED_VALUE"""),"ACAI PRIME DE 45 ADC GRATIS")</f>
        <v>ACAI PRIME DE 45 ADC GRATIS</v>
      </c>
      <c r="L3162" s="32">
        <f>IFERROR(__xludf.DUMMYFUNCTION("""COMPUTED_VALUE"""),3.0)</f>
        <v>3</v>
      </c>
      <c r="M3162" s="4" t="str">
        <f>IFERROR(__xludf.DUMMYFUNCTION("""COMPUTED_VALUE"""),"Menu Integrado")</f>
        <v>Menu Integrado</v>
      </c>
      <c r="N3162" s="33">
        <f>IFERROR(__xludf.DUMMYFUNCTION("""COMPUTED_VALUE"""),1.0)</f>
        <v>1</v>
      </c>
      <c r="O3162" s="4" t="str">
        <f>IFERROR(__xludf.DUMMYFUNCTION("""COMPUTED_VALUE"""),"Menu Integrado")</f>
        <v>Menu Integrado</v>
      </c>
      <c r="P3162" s="33">
        <f>IFERROR(__xludf.DUMMYFUNCTION("""COMPUTED_VALUE"""),1.0)</f>
        <v>1</v>
      </c>
      <c r="Q3162" s="4" t="str">
        <f>IFERROR(__xludf.DUMMYFUNCTION("""COMPUTED_VALUE"""),"Menu Integrado")</f>
        <v>Menu Integrado</v>
      </c>
      <c r="R3162" s="33">
        <f>IFERROR(__xludf.DUMMYFUNCTION("""COMPUTED_VALUE"""),1.0)</f>
        <v>1</v>
      </c>
      <c r="S3162" s="4" t="str">
        <f>IFERROR(__xludf.DUMMYFUNCTION("""COMPUTED_VALUE"""),"Menu Integrado")</f>
        <v>Menu Integrado</v>
      </c>
      <c r="T3162" s="33">
        <f>IFERROR(__xludf.DUMMYFUNCTION("""COMPUTED_VALUE"""),1.0)</f>
        <v>1</v>
      </c>
      <c r="U3162" s="4" t="str">
        <f>IFERROR(__xludf.DUMMYFUNCTION("""COMPUTED_VALUE"""),"Menu Integrado")</f>
        <v>Menu Integrado</v>
      </c>
      <c r="V3162" s="33">
        <f>IFERROR(__xludf.DUMMYFUNCTION("""COMPUTED_VALUE"""),1.0)</f>
        <v>1</v>
      </c>
      <c r="W3162" s="4" t="str">
        <f>IFERROR(__xludf.DUMMYFUNCTION("""COMPUTED_VALUE"""),"Menu Integrado")</f>
        <v>Menu Integrado</v>
      </c>
      <c r="X3162" s="33">
        <f>IFERROR(__xludf.DUMMYFUNCTION("""COMPUTED_VALUE"""),1.0)</f>
        <v>1</v>
      </c>
    </row>
    <row r="3163">
      <c r="K3163" s="4" t="str">
        <f>IFERROR(__xludf.DUMMYFUNCTION("""COMPUTED_VALUE"""),"ACAI SURF - CONTA PAI")</f>
        <v>ACAI SURF - CONTA PAI</v>
      </c>
      <c r="L3163" s="32">
        <f>IFERROR(__xludf.DUMMYFUNCTION("""COMPUTED_VALUE"""),3.0)</f>
        <v>3</v>
      </c>
      <c r="M3163" s="4" t="str">
        <f>IFERROR(__xludf.DUMMYFUNCTION("""COMPUTED_VALUE"""),"Ncr")</f>
        <v>Ncr</v>
      </c>
      <c r="N3163" s="33">
        <f>IFERROR(__xludf.DUMMYFUNCTION("""COMPUTED_VALUE"""),1.0)</f>
        <v>1</v>
      </c>
      <c r="O3163" s="4" t="str">
        <f>IFERROR(__xludf.DUMMYFUNCTION("""COMPUTED_VALUE"""),"Ncr")</f>
        <v>Ncr</v>
      </c>
      <c r="P3163" s="33">
        <f>IFERROR(__xludf.DUMMYFUNCTION("""COMPUTED_VALUE"""),1.0)</f>
        <v>1</v>
      </c>
      <c r="Q3163" s="4" t="str">
        <f>IFERROR(__xludf.DUMMYFUNCTION("""COMPUTED_VALUE"""),"Ncr")</f>
        <v>Ncr</v>
      </c>
      <c r="R3163" s="33">
        <f>IFERROR(__xludf.DUMMYFUNCTION("""COMPUTED_VALUE"""),1.0)</f>
        <v>1</v>
      </c>
      <c r="S3163" s="4" t="str">
        <f>IFERROR(__xludf.DUMMYFUNCTION("""COMPUTED_VALUE"""),"Ncr")</f>
        <v>Ncr</v>
      </c>
      <c r="T3163" s="33">
        <f>IFERROR(__xludf.DUMMYFUNCTION("""COMPUTED_VALUE"""),1.0)</f>
        <v>1</v>
      </c>
      <c r="U3163" s="4" t="str">
        <f>IFERROR(__xludf.DUMMYFUNCTION("""COMPUTED_VALUE"""),"Ncr")</f>
        <v>Ncr</v>
      </c>
      <c r="V3163" s="33">
        <f>IFERROR(__xludf.DUMMYFUNCTION("""COMPUTED_VALUE"""),1.0)</f>
        <v>1</v>
      </c>
      <c r="W3163" s="4" t="str">
        <f>IFERROR(__xludf.DUMMYFUNCTION("""COMPUTED_VALUE"""),"Ncr")</f>
        <v>Ncr</v>
      </c>
      <c r="X3163" s="33">
        <f>IFERROR(__xludf.DUMMYFUNCTION("""COMPUTED_VALUE"""),1.0)</f>
        <v>1</v>
      </c>
    </row>
    <row r="3164">
      <c r="K3164" s="4" t="str">
        <f>IFERROR(__xludf.DUMMYFUNCTION("""COMPUTED_VALUE"""),"ACAIMAN BELEM")</f>
        <v>ACAIMAN BELEM</v>
      </c>
      <c r="L3164" s="32">
        <f>IFERROR(__xludf.DUMMYFUNCTION("""COMPUTED_VALUE"""),3.0)</f>
        <v>3</v>
      </c>
      <c r="M3164" s="4" t="str">
        <f>IFERROR(__xludf.DUMMYFUNCTION("""COMPUTED_VALUE"""),"Saipos Serviços De Software")</f>
        <v>Saipos Serviços De Software</v>
      </c>
      <c r="N3164" s="33">
        <f>IFERROR(__xludf.DUMMYFUNCTION("""COMPUTED_VALUE"""),0.6666666666666666)</f>
        <v>0.6666666667</v>
      </c>
      <c r="O3164" s="4" t="str">
        <f>IFERROR(__xludf.DUMMYFUNCTION("""COMPUTED_VALUE"""),"Saipos Serviços De Software")</f>
        <v>Saipos Serviços De Software</v>
      </c>
      <c r="P3164" s="33">
        <f>IFERROR(__xludf.DUMMYFUNCTION("""COMPUTED_VALUE"""),0.6666666666666666)</f>
        <v>0.6666666667</v>
      </c>
      <c r="Q3164" s="4" t="str">
        <f>IFERROR(__xludf.DUMMYFUNCTION("""COMPUTED_VALUE"""),"Saipos Serviços De Software")</f>
        <v>Saipos Serviços De Software</v>
      </c>
      <c r="R3164" s="33">
        <f>IFERROR(__xludf.DUMMYFUNCTION("""COMPUTED_VALUE"""),0.6666666666666666)</f>
        <v>0.6666666667</v>
      </c>
      <c r="S3164" s="4" t="str">
        <f>IFERROR(__xludf.DUMMYFUNCTION("""COMPUTED_VALUE"""),"Saipos Serviços De Software")</f>
        <v>Saipos Serviços De Software</v>
      </c>
      <c r="T3164" s="33">
        <f>IFERROR(__xludf.DUMMYFUNCTION("""COMPUTED_VALUE"""),0.6666666666666666)</f>
        <v>0.6666666667</v>
      </c>
      <c r="U3164" s="4" t="str">
        <f>IFERROR(__xludf.DUMMYFUNCTION("""COMPUTED_VALUE"""),"Saipos Serviços De Software")</f>
        <v>Saipos Serviços De Software</v>
      </c>
      <c r="V3164" s="33">
        <f>IFERROR(__xludf.DUMMYFUNCTION("""COMPUTED_VALUE"""),0.6666666666666666)</f>
        <v>0.6666666667</v>
      </c>
      <c r="W3164" s="4" t="str">
        <f>IFERROR(__xludf.DUMMYFUNCTION("""COMPUTED_VALUE"""),"Saipos Serviços De Software")</f>
        <v>Saipos Serviços De Software</v>
      </c>
      <c r="X3164" s="33">
        <f>IFERROR(__xludf.DUMMYFUNCTION("""COMPUTED_VALUE"""),0.6666666666666666)</f>
        <v>0.6666666667</v>
      </c>
    </row>
    <row r="3165">
      <c r="K3165" s="4" t="str">
        <f>IFERROR(__xludf.DUMMYFUNCTION("""COMPUTED_VALUE"""),"ACAITERIA FAMILLY - MARCA")</f>
        <v>ACAITERIA FAMILLY - MARCA</v>
      </c>
      <c r="L3165" s="32">
        <f>IFERROR(__xludf.DUMMYFUNCTION("""COMPUTED_VALUE"""),3.0)</f>
        <v>3</v>
      </c>
      <c r="M3165" s="4" t="str">
        <f>IFERROR(__xludf.DUMMYFUNCTION("""COMPUTED_VALUE"""),"null")</f>
        <v>null</v>
      </c>
      <c r="N3165" s="33">
        <f>IFERROR(__xludf.DUMMYFUNCTION("""COMPUTED_VALUE"""),1.0)</f>
        <v>1</v>
      </c>
      <c r="O3165" s="4" t="str">
        <f>IFERROR(__xludf.DUMMYFUNCTION("""COMPUTED_VALUE"""),"null")</f>
        <v>null</v>
      </c>
      <c r="P3165" s="33">
        <f>IFERROR(__xludf.DUMMYFUNCTION("""COMPUTED_VALUE"""),1.0)</f>
        <v>1</v>
      </c>
      <c r="Q3165" s="4" t="str">
        <f>IFERROR(__xludf.DUMMYFUNCTION("""COMPUTED_VALUE"""),"null")</f>
        <v>null</v>
      </c>
      <c r="R3165" s="33">
        <f>IFERROR(__xludf.DUMMYFUNCTION("""COMPUTED_VALUE"""),1.0)</f>
        <v>1</v>
      </c>
      <c r="S3165" s="4" t="str">
        <f>IFERROR(__xludf.DUMMYFUNCTION("""COMPUTED_VALUE"""),"null")</f>
        <v>null</v>
      </c>
      <c r="T3165" s="33">
        <f>IFERROR(__xludf.DUMMYFUNCTION("""COMPUTED_VALUE"""),1.0)</f>
        <v>1</v>
      </c>
      <c r="U3165" s="4" t="str">
        <f>IFERROR(__xludf.DUMMYFUNCTION("""COMPUTED_VALUE"""),"Saipos Serviços De Software")</f>
        <v>Saipos Serviços De Software</v>
      </c>
      <c r="V3165" s="33">
        <f>IFERROR(__xludf.DUMMYFUNCTION("""COMPUTED_VALUE"""),1.0)</f>
        <v>1</v>
      </c>
      <c r="W3165" s="4" t="str">
        <f>IFERROR(__xludf.DUMMYFUNCTION("""COMPUTED_VALUE"""),"Saipos Serviços De Software")</f>
        <v>Saipos Serviços De Software</v>
      </c>
      <c r="X3165" s="33">
        <f>IFERROR(__xludf.DUMMYFUNCTION("""COMPUTED_VALUE"""),1.0)</f>
        <v>1</v>
      </c>
    </row>
    <row r="3166">
      <c r="K3166" s="4" t="str">
        <f>IFERROR(__xludf.DUMMYFUNCTION("""COMPUTED_VALUE"""),"ADEGA CESARI CADEG")</f>
        <v>ADEGA CESARI CADEG</v>
      </c>
      <c r="L3166" s="32">
        <f>IFERROR(__xludf.DUMMYFUNCTION("""COMPUTED_VALUE"""),3.0)</f>
        <v>3</v>
      </c>
      <c r="M3166" s="4" t="str">
        <f>IFERROR(__xludf.DUMMYFUNCTION("""COMPUTED_VALUE"""),"Saipos Serviços De Software")</f>
        <v>Saipos Serviços De Software</v>
      </c>
      <c r="N3166" s="33">
        <f>IFERROR(__xludf.DUMMYFUNCTION("""COMPUTED_VALUE"""),1.0)</f>
        <v>1</v>
      </c>
      <c r="O3166" s="4" t="str">
        <f>IFERROR(__xludf.DUMMYFUNCTION("""COMPUTED_VALUE"""),"Saipos Serviços De Software")</f>
        <v>Saipos Serviços De Software</v>
      </c>
      <c r="P3166" s="33">
        <f>IFERROR(__xludf.DUMMYFUNCTION("""COMPUTED_VALUE"""),1.0)</f>
        <v>1</v>
      </c>
      <c r="Q3166" s="4" t="str">
        <f>IFERROR(__xludf.DUMMYFUNCTION("""COMPUTED_VALUE"""),"Saipos Serviços De Software")</f>
        <v>Saipos Serviços De Software</v>
      </c>
      <c r="R3166" s="33">
        <f>IFERROR(__xludf.DUMMYFUNCTION("""COMPUTED_VALUE"""),1.0)</f>
        <v>1</v>
      </c>
      <c r="S3166" s="4" t="str">
        <f>IFERROR(__xludf.DUMMYFUNCTION("""COMPUTED_VALUE"""),"Saipos Serviços De Software")</f>
        <v>Saipos Serviços De Software</v>
      </c>
      <c r="T3166" s="33">
        <f>IFERROR(__xludf.DUMMYFUNCTION("""COMPUTED_VALUE"""),1.0)</f>
        <v>1</v>
      </c>
      <c r="U3166" s="4" t="str">
        <f>IFERROR(__xludf.DUMMYFUNCTION("""COMPUTED_VALUE"""),"Saipos Serviços De Software")</f>
        <v>Saipos Serviços De Software</v>
      </c>
      <c r="V3166" s="33">
        <f>IFERROR(__xludf.DUMMYFUNCTION("""COMPUTED_VALUE"""),1.0)</f>
        <v>1</v>
      </c>
      <c r="W3166" s="4" t="str">
        <f>IFERROR(__xludf.DUMMYFUNCTION("""COMPUTED_VALUE"""),"Saipos Serviços De Software")</f>
        <v>Saipos Serviços De Software</v>
      </c>
      <c r="X3166" s="33">
        <f>IFERROR(__xludf.DUMMYFUNCTION("""COMPUTED_VALUE"""),1.0)</f>
        <v>1</v>
      </c>
    </row>
    <row r="3167">
      <c r="K3167" s="4" t="str">
        <f>IFERROR(__xludf.DUMMYFUNCTION("""COMPUTED_VALUE"""),"ADEGAO PORTUGUES")</f>
        <v>ADEGAO PORTUGUES</v>
      </c>
      <c r="L3167" s="32">
        <f>IFERROR(__xludf.DUMMYFUNCTION("""COMPUTED_VALUE"""),3.0)</f>
        <v>3</v>
      </c>
      <c r="M3167" s="4" t="str">
        <f>IFERROR(__xludf.DUMMYFUNCTION("""COMPUTED_VALUE"""),"F-rest Sistema Para Food Service Ltda")</f>
        <v>F-rest Sistema Para Food Service Ltda</v>
      </c>
      <c r="N3167" s="33">
        <f>IFERROR(__xludf.DUMMYFUNCTION("""COMPUTED_VALUE"""),0.6666666666666666)</f>
        <v>0.6666666667</v>
      </c>
      <c r="O3167" s="4" t="str">
        <f>IFERROR(__xludf.DUMMYFUNCTION("""COMPUTED_VALUE"""),"F-rest Sistema Para Food Service Ltda")</f>
        <v>F-rest Sistema Para Food Service Ltda</v>
      </c>
      <c r="P3167" s="33">
        <f>IFERROR(__xludf.DUMMYFUNCTION("""COMPUTED_VALUE"""),1.0)</f>
        <v>1</v>
      </c>
      <c r="Q3167" s="4" t="str">
        <f>IFERROR(__xludf.DUMMYFUNCTION("""COMPUTED_VALUE"""),"F-rest Sistema Para Food Service Ltda")</f>
        <v>F-rest Sistema Para Food Service Ltda</v>
      </c>
      <c r="R3167" s="33">
        <f>IFERROR(__xludf.DUMMYFUNCTION("""COMPUTED_VALUE"""),1.0)</f>
        <v>1</v>
      </c>
      <c r="S3167" s="4" t="str">
        <f>IFERROR(__xludf.DUMMYFUNCTION("""COMPUTED_VALUE"""),"F-rest Sistema Para Food Service Ltda")</f>
        <v>F-rest Sistema Para Food Service Ltda</v>
      </c>
      <c r="T3167" s="33">
        <f>IFERROR(__xludf.DUMMYFUNCTION("""COMPUTED_VALUE"""),1.0)</f>
        <v>1</v>
      </c>
      <c r="U3167" s="4" t="str">
        <f>IFERROR(__xludf.DUMMYFUNCTION("""COMPUTED_VALUE"""),"F-rest Sistema Para Food Service Ltda")</f>
        <v>F-rest Sistema Para Food Service Ltda</v>
      </c>
      <c r="V3167" s="33">
        <f>IFERROR(__xludf.DUMMYFUNCTION("""COMPUTED_VALUE"""),1.0)</f>
        <v>1</v>
      </c>
      <c r="W3167" s="4" t="str">
        <f>IFERROR(__xludf.DUMMYFUNCTION("""COMPUTED_VALUE"""),"F-rest Sistema Para Food Service Ltda")</f>
        <v>F-rest Sistema Para Food Service Ltda</v>
      </c>
      <c r="X3167" s="33">
        <f>IFERROR(__xludf.DUMMYFUNCTION("""COMPUTED_VALUE"""),1.0)</f>
        <v>1</v>
      </c>
    </row>
    <row r="3168">
      <c r="K3168" s="4" t="str">
        <f>IFERROR(__xludf.DUMMYFUNCTION("""COMPUTED_VALUE"""),"ADVOGATO BURGUER - CONTA PAI")</f>
        <v>ADVOGATO BURGUER - CONTA PAI</v>
      </c>
      <c r="L3168" s="32">
        <f>IFERROR(__xludf.DUMMYFUNCTION("""COMPUTED_VALUE"""),3.0)</f>
        <v>3</v>
      </c>
      <c r="M3168" s="4" t="str">
        <f>IFERROR(__xludf.DUMMYFUNCTION("""COMPUTED_VALUE"""),"Anove Tecnologia")</f>
        <v>Anove Tecnologia</v>
      </c>
      <c r="N3168" s="33">
        <f>IFERROR(__xludf.DUMMYFUNCTION("""COMPUTED_VALUE"""),0.6666666666666666)</f>
        <v>0.6666666667</v>
      </c>
      <c r="O3168" s="4" t="str">
        <f>IFERROR(__xludf.DUMMYFUNCTION("""COMPUTED_VALUE"""),"Anove Tecnologia")</f>
        <v>Anove Tecnologia</v>
      </c>
      <c r="P3168" s="33">
        <f>IFERROR(__xludf.DUMMYFUNCTION("""COMPUTED_VALUE"""),0.6666666666666666)</f>
        <v>0.6666666667</v>
      </c>
      <c r="Q3168" s="4" t="str">
        <f>IFERROR(__xludf.DUMMYFUNCTION("""COMPUTED_VALUE"""),"null")</f>
        <v>null</v>
      </c>
      <c r="R3168" s="33">
        <f>IFERROR(__xludf.DUMMYFUNCTION("""COMPUTED_VALUE"""),0.3333333333333333)</f>
        <v>0.3333333333</v>
      </c>
      <c r="S3168" s="4" t="str">
        <f>IFERROR(__xludf.DUMMYFUNCTION("""COMPUTED_VALUE"""),"Anove Tecnologia")</f>
        <v>Anove Tecnologia</v>
      </c>
      <c r="T3168" s="33">
        <f>IFERROR(__xludf.DUMMYFUNCTION("""COMPUTED_VALUE"""),0.3333333333333333)</f>
        <v>0.3333333333</v>
      </c>
      <c r="U3168" s="4" t="str">
        <f>IFERROR(__xludf.DUMMYFUNCTION("""COMPUTED_VALUE"""),"Anove Tecnologia")</f>
        <v>Anove Tecnologia</v>
      </c>
      <c r="V3168" s="33">
        <f>IFERROR(__xludf.DUMMYFUNCTION("""COMPUTED_VALUE"""),0.6666666666666666)</f>
        <v>0.6666666667</v>
      </c>
      <c r="W3168" s="4" t="str">
        <f>IFERROR(__xludf.DUMMYFUNCTION("""COMPUTED_VALUE"""),"Anove Tecnologia")</f>
        <v>Anove Tecnologia</v>
      </c>
      <c r="X3168" s="33">
        <f>IFERROR(__xludf.DUMMYFUNCTION("""COMPUTED_VALUE"""),0.6666666666666666)</f>
        <v>0.6666666667</v>
      </c>
    </row>
    <row r="3169">
      <c r="K3169" s="4" t="str">
        <f>IFERROR(__xludf.DUMMYFUNCTION("""COMPUTED_VALUE"""),"AGHATA - PORTO VELHO")</f>
        <v>AGHATA - PORTO VELHO</v>
      </c>
      <c r="L3169" s="32">
        <f>IFERROR(__xludf.DUMMYFUNCTION("""COMPUTED_VALUE"""),3.0)</f>
        <v>3</v>
      </c>
      <c r="M3169" s="4" t="str">
        <f>IFERROR(__xludf.DUMMYFUNCTION("""COMPUTED_VALUE"""),"Vekttor")</f>
        <v>Vekttor</v>
      </c>
      <c r="N3169" s="33">
        <f>IFERROR(__xludf.DUMMYFUNCTION("""COMPUTED_VALUE"""),1.0)</f>
        <v>1</v>
      </c>
      <c r="O3169" s="4" t="str">
        <f>IFERROR(__xludf.DUMMYFUNCTION("""COMPUTED_VALUE"""),"Vekttor")</f>
        <v>Vekttor</v>
      </c>
      <c r="P3169" s="33">
        <f>IFERROR(__xludf.DUMMYFUNCTION("""COMPUTED_VALUE"""),1.0)</f>
        <v>1</v>
      </c>
      <c r="Q3169" s="4" t="str">
        <f>IFERROR(__xludf.DUMMYFUNCTION("""COMPUTED_VALUE"""),"Vekttor")</f>
        <v>Vekttor</v>
      </c>
      <c r="R3169" s="33">
        <f>IFERROR(__xludf.DUMMYFUNCTION("""COMPUTED_VALUE"""),1.0)</f>
        <v>1</v>
      </c>
      <c r="S3169" s="4" t="str">
        <f>IFERROR(__xludf.DUMMYFUNCTION("""COMPUTED_VALUE"""),"Vekttor")</f>
        <v>Vekttor</v>
      </c>
      <c r="T3169" s="33">
        <f>IFERROR(__xludf.DUMMYFUNCTION("""COMPUTED_VALUE"""),1.0)</f>
        <v>1</v>
      </c>
      <c r="U3169" s="4" t="str">
        <f>IFERROR(__xludf.DUMMYFUNCTION("""COMPUTED_VALUE"""),"Vekttor")</f>
        <v>Vekttor</v>
      </c>
      <c r="V3169" s="33">
        <f>IFERROR(__xludf.DUMMYFUNCTION("""COMPUTED_VALUE"""),1.0)</f>
        <v>1</v>
      </c>
      <c r="W3169" s="4" t="str">
        <f>IFERROR(__xludf.DUMMYFUNCTION("""COMPUTED_VALUE"""),"Vekttor")</f>
        <v>Vekttor</v>
      </c>
      <c r="X3169" s="33">
        <f>IFERROR(__xludf.DUMMYFUNCTION("""COMPUTED_VALUE"""),1.0)</f>
        <v>1</v>
      </c>
    </row>
    <row r="3170">
      <c r="K3170" s="4" t="str">
        <f>IFERROR(__xludf.DUMMYFUNCTION("""COMPUTED_VALUE"""),"AGROBEL - CONTA MARCA")</f>
        <v>AGROBEL - CONTA MARCA</v>
      </c>
      <c r="L3170" s="32">
        <f>IFERROR(__xludf.DUMMYFUNCTION("""COMPUTED_VALUE"""),3.0)</f>
        <v>3</v>
      </c>
      <c r="M3170" s="4" t="str">
        <f>IFERROR(__xludf.DUMMYFUNCTION("""COMPUTED_VALUE"""),"N/A (Not found)")</f>
        <v>N/A (Not found)</v>
      </c>
      <c r="N3170" s="33">
        <f>IFERROR(__xludf.DUMMYFUNCTION("""COMPUTED_VALUE"""),0.6666666666666666)</f>
        <v>0.6666666667</v>
      </c>
      <c r="O3170" s="4" t="str">
        <f>IFERROR(__xludf.DUMMYFUNCTION("""COMPUTED_VALUE"""),"N/A (Not found)")</f>
        <v>N/A (Not found)</v>
      </c>
      <c r="P3170" s="33">
        <f>IFERROR(__xludf.DUMMYFUNCTION("""COMPUTED_VALUE"""),0.6666666666666666)</f>
        <v>0.6666666667</v>
      </c>
      <c r="Q3170" s="4" t="str">
        <f>IFERROR(__xludf.DUMMYFUNCTION("""COMPUTED_VALUE"""),"null")</f>
        <v>null</v>
      </c>
      <c r="R3170" s="33">
        <f>IFERROR(__xludf.DUMMYFUNCTION("""COMPUTED_VALUE"""),0.6666666666666666)</f>
        <v>0.6666666667</v>
      </c>
      <c r="S3170" s="4" t="str">
        <f>IFERROR(__xludf.DUMMYFUNCTION("""COMPUTED_VALUE"""),"null")</f>
        <v>null</v>
      </c>
      <c r="T3170" s="33">
        <f>IFERROR(__xludf.DUMMYFUNCTION("""COMPUTED_VALUE"""),0.6666666666666666)</f>
        <v>0.6666666667</v>
      </c>
      <c r="U3170" s="4" t="str">
        <f>IFERROR(__xludf.DUMMYFUNCTION("""COMPUTED_VALUE"""),"null")</f>
        <v>null</v>
      </c>
      <c r="V3170" s="33">
        <f>IFERROR(__xludf.DUMMYFUNCTION("""COMPUTED_VALUE"""),0.6666666666666666)</f>
        <v>0.6666666667</v>
      </c>
      <c r="W3170" s="4" t="str">
        <f>IFERROR(__xludf.DUMMYFUNCTION("""COMPUTED_VALUE"""),"null")</f>
        <v>null</v>
      </c>
      <c r="X3170" s="33">
        <f>IFERROR(__xludf.DUMMYFUNCTION("""COMPUTED_VALUE"""),0.6666666666666666)</f>
        <v>0.6666666667</v>
      </c>
    </row>
    <row r="3171">
      <c r="K3171" s="4" t="str">
        <f>IFERROR(__xludf.DUMMYFUNCTION("""COMPUTED_VALUE"""),"AGROPECUARIA SANTA TERESINHA - CONTA PAI")</f>
        <v>AGROPECUARIA SANTA TERESINHA - CONTA PAI</v>
      </c>
      <c r="L3171" s="32">
        <f>IFERROR(__xludf.DUMMYFUNCTION("""COMPUTED_VALUE"""),3.0)</f>
        <v>3</v>
      </c>
      <c r="M3171" s="4" t="str">
        <f>IFERROR(__xludf.DUMMYFUNCTION("""COMPUTED_VALUE"""),"N/A (Not found)")</f>
        <v>N/A (Not found)</v>
      </c>
      <c r="N3171" s="33">
        <f>IFERROR(__xludf.DUMMYFUNCTION("""COMPUTED_VALUE"""),1.0)</f>
        <v>1</v>
      </c>
      <c r="O3171" s="4" t="str">
        <f>IFERROR(__xludf.DUMMYFUNCTION("""COMPUTED_VALUE"""),"N/A (Not found)")</f>
        <v>N/A (Not found)</v>
      </c>
      <c r="P3171" s="33">
        <f>IFERROR(__xludf.DUMMYFUNCTION("""COMPUTED_VALUE"""),1.0)</f>
        <v>1</v>
      </c>
      <c r="Q3171" s="4" t="str">
        <f>IFERROR(__xludf.DUMMYFUNCTION("""COMPUTED_VALUE"""),"N/A (Not found)")</f>
        <v>N/A (Not found)</v>
      </c>
      <c r="R3171" s="33">
        <f>IFERROR(__xludf.DUMMYFUNCTION("""COMPUTED_VALUE"""),1.0)</f>
        <v>1</v>
      </c>
      <c r="S3171" s="4" t="str">
        <f>IFERROR(__xludf.DUMMYFUNCTION("""COMPUTED_VALUE"""),"N/A (Not found)")</f>
        <v>N/A (Not found)</v>
      </c>
      <c r="T3171" s="33">
        <f>IFERROR(__xludf.DUMMYFUNCTION("""COMPUTED_VALUE"""),1.0)</f>
        <v>1</v>
      </c>
      <c r="U3171" s="4" t="str">
        <f>IFERROR(__xludf.DUMMYFUNCTION("""COMPUTED_VALUE"""),"N/A (Not found)")</f>
        <v>N/A (Not found)</v>
      </c>
      <c r="V3171" s="33">
        <f>IFERROR(__xludf.DUMMYFUNCTION("""COMPUTED_VALUE"""),1.0)</f>
        <v>1</v>
      </c>
      <c r="W3171" s="4" t="str">
        <f>IFERROR(__xludf.DUMMYFUNCTION("""COMPUTED_VALUE"""),"N/A (Not found)")</f>
        <v>N/A (Not found)</v>
      </c>
      <c r="X3171" s="33">
        <f>IFERROR(__xludf.DUMMYFUNCTION("""COMPUTED_VALUE"""),1.0)</f>
        <v>1</v>
      </c>
    </row>
    <row r="3172">
      <c r="K3172" s="4" t="str">
        <f>IFERROR(__xludf.DUMMYFUNCTION("""COMPUTED_VALUE"""),"AKI ASIAN KITCHEN CONTA MARCA")</f>
        <v>AKI ASIAN KITCHEN CONTA MARCA</v>
      </c>
      <c r="L3172" s="32">
        <f>IFERROR(__xludf.DUMMYFUNCTION("""COMPUTED_VALUE"""),3.0)</f>
        <v>3</v>
      </c>
      <c r="M3172" s="4" t="str">
        <f>IFERROR(__xludf.DUMMYFUNCTION("""COMPUTED_VALUE"""),"Stone Co.")</f>
        <v>Stone Co.</v>
      </c>
      <c r="N3172" s="33">
        <f>IFERROR(__xludf.DUMMYFUNCTION("""COMPUTED_VALUE"""),0.6666666666666666)</f>
        <v>0.6666666667</v>
      </c>
      <c r="O3172" s="4" t="str">
        <f>IFERROR(__xludf.DUMMYFUNCTION("""COMPUTED_VALUE"""),"Stone Co.")</f>
        <v>Stone Co.</v>
      </c>
      <c r="P3172" s="33">
        <f>IFERROR(__xludf.DUMMYFUNCTION("""COMPUTED_VALUE"""),0.6666666666666666)</f>
        <v>0.6666666667</v>
      </c>
      <c r="Q3172" s="4" t="str">
        <f>IFERROR(__xludf.DUMMYFUNCTION("""COMPUTED_VALUE"""),"Stone Co.")</f>
        <v>Stone Co.</v>
      </c>
      <c r="R3172" s="33">
        <f>IFERROR(__xludf.DUMMYFUNCTION("""COMPUTED_VALUE"""),0.6666666666666666)</f>
        <v>0.6666666667</v>
      </c>
      <c r="S3172" s="4" t="str">
        <f>IFERROR(__xludf.DUMMYFUNCTION("""COMPUTED_VALUE"""),"Stone Co.")</f>
        <v>Stone Co.</v>
      </c>
      <c r="T3172" s="33">
        <f>IFERROR(__xludf.DUMMYFUNCTION("""COMPUTED_VALUE"""),0.6666666666666666)</f>
        <v>0.6666666667</v>
      </c>
      <c r="U3172" s="4" t="str">
        <f>IFERROR(__xludf.DUMMYFUNCTION("""COMPUTED_VALUE"""),"Stone Co.")</f>
        <v>Stone Co.</v>
      </c>
      <c r="V3172" s="33">
        <f>IFERROR(__xludf.DUMMYFUNCTION("""COMPUTED_VALUE"""),1.0)</f>
        <v>1</v>
      </c>
      <c r="W3172" s="4" t="str">
        <f>IFERROR(__xludf.DUMMYFUNCTION("""COMPUTED_VALUE"""),"Stone Co.")</f>
        <v>Stone Co.</v>
      </c>
      <c r="X3172" s="33">
        <f>IFERROR(__xludf.DUMMYFUNCTION("""COMPUTED_VALUE"""),1.0)</f>
        <v>1</v>
      </c>
    </row>
    <row r="3173">
      <c r="K3173" s="4" t="str">
        <f>IFERROR(__xludf.DUMMYFUNCTION("""COMPUTED_VALUE"""),"AL DENTE DELIVERY")</f>
        <v>AL DENTE DELIVERY</v>
      </c>
      <c r="L3173" s="32">
        <f>IFERROR(__xludf.DUMMYFUNCTION("""COMPUTED_VALUE"""),3.0)</f>
        <v>3</v>
      </c>
      <c r="M3173" s="4" t="str">
        <f>IFERROR(__xludf.DUMMYFUNCTION("""COMPUTED_VALUE"""),"Netcontroll Xmenu")</f>
        <v>Netcontroll Xmenu</v>
      </c>
      <c r="N3173" s="33">
        <f>IFERROR(__xludf.DUMMYFUNCTION("""COMPUTED_VALUE"""),1.0)</f>
        <v>1</v>
      </c>
      <c r="O3173" s="4" t="str">
        <f>IFERROR(__xludf.DUMMYFUNCTION("""COMPUTED_VALUE"""),"Netcontroll Xmenu")</f>
        <v>Netcontroll Xmenu</v>
      </c>
      <c r="P3173" s="33">
        <f>IFERROR(__xludf.DUMMYFUNCTION("""COMPUTED_VALUE"""),0.6666666666666666)</f>
        <v>0.6666666667</v>
      </c>
      <c r="Q3173" s="4" t="str">
        <f>IFERROR(__xludf.DUMMYFUNCTION("""COMPUTED_VALUE"""),"Netcontroll Xmenu")</f>
        <v>Netcontroll Xmenu</v>
      </c>
      <c r="R3173" s="33">
        <f>IFERROR(__xludf.DUMMYFUNCTION("""COMPUTED_VALUE"""),1.0)</f>
        <v>1</v>
      </c>
      <c r="S3173" s="4" t="str">
        <f>IFERROR(__xludf.DUMMYFUNCTION("""COMPUTED_VALUE"""),"Netcontroll Xmenu")</f>
        <v>Netcontroll Xmenu</v>
      </c>
      <c r="T3173" s="33">
        <f>IFERROR(__xludf.DUMMYFUNCTION("""COMPUTED_VALUE"""),0.6666666666666666)</f>
        <v>0.6666666667</v>
      </c>
      <c r="U3173" s="4" t="str">
        <f>IFERROR(__xludf.DUMMYFUNCTION("""COMPUTED_VALUE"""),"Netcontroll Xmenu")</f>
        <v>Netcontroll Xmenu</v>
      </c>
      <c r="V3173" s="33">
        <f>IFERROR(__xludf.DUMMYFUNCTION("""COMPUTED_VALUE"""),1.0)</f>
        <v>1</v>
      </c>
      <c r="W3173" s="4" t="str">
        <f>IFERROR(__xludf.DUMMYFUNCTION("""COMPUTED_VALUE"""),"Netcontroll Xmenu")</f>
        <v>Netcontroll Xmenu</v>
      </c>
      <c r="X3173" s="33">
        <f>IFERROR(__xludf.DUMMYFUNCTION("""COMPUTED_VALUE"""),1.0)</f>
        <v>1</v>
      </c>
    </row>
    <row r="3174">
      <c r="K3174" s="4" t="str">
        <f>IFERROR(__xludf.DUMMYFUNCTION("""COMPUTED_VALUE"""),"AL MAHACHI")</f>
        <v>AL MAHACHI</v>
      </c>
      <c r="L3174" s="32">
        <f>IFERROR(__xludf.DUMMYFUNCTION("""COMPUTED_VALUE"""),3.0)</f>
        <v>3</v>
      </c>
      <c r="M3174" s="4" t="str">
        <f>IFERROR(__xludf.DUMMYFUNCTION("""COMPUTED_VALUE"""),"null")</f>
        <v>null</v>
      </c>
      <c r="N3174" s="33">
        <f>IFERROR(__xludf.DUMMYFUNCTION("""COMPUTED_VALUE"""),0.6666666666666666)</f>
        <v>0.6666666667</v>
      </c>
      <c r="O3174" s="4" t="str">
        <f>IFERROR(__xludf.DUMMYFUNCTION("""COMPUTED_VALUE"""),"null")</f>
        <v>null</v>
      </c>
      <c r="P3174" s="33">
        <f>IFERROR(__xludf.DUMMYFUNCTION("""COMPUTED_VALUE"""),0.6666666666666666)</f>
        <v>0.6666666667</v>
      </c>
      <c r="Q3174" s="4" t="str">
        <f>IFERROR(__xludf.DUMMYFUNCTION("""COMPUTED_VALUE"""),"Latech Informatica Ltda")</f>
        <v>Latech Informatica Ltda</v>
      </c>
      <c r="R3174" s="33">
        <f>IFERROR(__xludf.DUMMYFUNCTION("""COMPUTED_VALUE"""),1.0)</f>
        <v>1</v>
      </c>
      <c r="S3174" s="4" t="str">
        <f>IFERROR(__xludf.DUMMYFUNCTION("""COMPUTED_VALUE"""),"Latech Informatica Ltda")</f>
        <v>Latech Informatica Ltda</v>
      </c>
      <c r="T3174" s="33">
        <f>IFERROR(__xludf.DUMMYFUNCTION("""COMPUTED_VALUE"""),1.0)</f>
        <v>1</v>
      </c>
      <c r="U3174" s="4" t="str">
        <f>IFERROR(__xludf.DUMMYFUNCTION("""COMPUTED_VALUE"""),"Latech Informatica Ltda")</f>
        <v>Latech Informatica Ltda</v>
      </c>
      <c r="V3174" s="33">
        <f>IFERROR(__xludf.DUMMYFUNCTION("""COMPUTED_VALUE"""),1.0)</f>
        <v>1</v>
      </c>
      <c r="W3174" s="4" t="str">
        <f>IFERROR(__xludf.DUMMYFUNCTION("""COMPUTED_VALUE"""),"Latech Informatica Ltda")</f>
        <v>Latech Informatica Ltda</v>
      </c>
      <c r="X3174" s="33">
        <f>IFERROR(__xludf.DUMMYFUNCTION("""COMPUTED_VALUE"""),1.0)</f>
        <v>1</v>
      </c>
    </row>
    <row r="3175">
      <c r="K3175" s="4" t="str">
        <f>IFERROR(__xludf.DUMMYFUNCTION("""COMPUTED_VALUE"""),"ALFREDORO")</f>
        <v>ALFREDORO</v>
      </c>
      <c r="L3175" s="32">
        <f>IFERROR(__xludf.DUMMYFUNCTION("""COMPUTED_VALUE"""),3.0)</f>
        <v>3</v>
      </c>
      <c r="M3175" s="4" t="str">
        <f>IFERROR(__xludf.DUMMYFUNCTION("""COMPUTED_VALUE"""),"Menew - Linx")</f>
        <v>Menew - Linx</v>
      </c>
      <c r="N3175" s="33">
        <f>IFERROR(__xludf.DUMMYFUNCTION("""COMPUTED_VALUE"""),0.6666666666666666)</f>
        <v>0.6666666667</v>
      </c>
      <c r="O3175" s="4" t="str">
        <f>IFERROR(__xludf.DUMMYFUNCTION("""COMPUTED_VALUE"""),"Menew - Linx")</f>
        <v>Menew - Linx</v>
      </c>
      <c r="P3175" s="33">
        <f>IFERROR(__xludf.DUMMYFUNCTION("""COMPUTED_VALUE"""),0.6666666666666666)</f>
        <v>0.6666666667</v>
      </c>
      <c r="Q3175" s="4" t="str">
        <f>IFERROR(__xludf.DUMMYFUNCTION("""COMPUTED_VALUE"""),"Menew - Linx")</f>
        <v>Menew - Linx</v>
      </c>
      <c r="R3175" s="33">
        <f>IFERROR(__xludf.DUMMYFUNCTION("""COMPUTED_VALUE"""),0.6666666666666666)</f>
        <v>0.6666666667</v>
      </c>
      <c r="S3175" s="4" t="str">
        <f>IFERROR(__xludf.DUMMYFUNCTION("""COMPUTED_VALUE"""),"Menew - Linx")</f>
        <v>Menew - Linx</v>
      </c>
      <c r="T3175" s="33">
        <f>IFERROR(__xludf.DUMMYFUNCTION("""COMPUTED_VALUE"""),0.6666666666666666)</f>
        <v>0.6666666667</v>
      </c>
      <c r="U3175" s="4" t="str">
        <f>IFERROR(__xludf.DUMMYFUNCTION("""COMPUTED_VALUE"""),"Menew - Linx")</f>
        <v>Menew - Linx</v>
      </c>
      <c r="V3175" s="33">
        <f>IFERROR(__xludf.DUMMYFUNCTION("""COMPUTED_VALUE"""),1.0)</f>
        <v>1</v>
      </c>
      <c r="W3175" s="4" t="str">
        <f>IFERROR(__xludf.DUMMYFUNCTION("""COMPUTED_VALUE"""),"Menew - Linx")</f>
        <v>Menew - Linx</v>
      </c>
      <c r="X3175" s="33">
        <f>IFERROR(__xludf.DUMMYFUNCTION("""COMPUTED_VALUE"""),1.0)</f>
        <v>1</v>
      </c>
    </row>
    <row r="3176">
      <c r="K3176" s="4" t="str">
        <f>IFERROR(__xludf.DUMMYFUNCTION("""COMPUTED_VALUE"""),"ALIBABA ARABE CONTA MARCA")</f>
        <v>ALIBABA ARABE CONTA MARCA</v>
      </c>
      <c r="L3176" s="32">
        <f>IFERROR(__xludf.DUMMYFUNCTION("""COMPUTED_VALUE"""),3.0)</f>
        <v>3</v>
      </c>
      <c r="M3176" s="4" t="str">
        <f>IFERROR(__xludf.DUMMYFUNCTION("""COMPUTED_VALUE"""),"Cardápio Web")</f>
        <v>Cardápio Web</v>
      </c>
      <c r="N3176" s="33">
        <f>IFERROR(__xludf.DUMMYFUNCTION("""COMPUTED_VALUE"""),0.6666666666666666)</f>
        <v>0.6666666667</v>
      </c>
      <c r="O3176" s="4" t="str">
        <f>IFERROR(__xludf.DUMMYFUNCTION("""COMPUTED_VALUE"""),"Cardápio Web")</f>
        <v>Cardápio Web</v>
      </c>
      <c r="P3176" s="33">
        <f>IFERROR(__xludf.DUMMYFUNCTION("""COMPUTED_VALUE"""),0.6666666666666666)</f>
        <v>0.6666666667</v>
      </c>
      <c r="Q3176" s="4" t="str">
        <f>IFERROR(__xludf.DUMMYFUNCTION("""COMPUTED_VALUE"""),"Saipos Serviços De Software")</f>
        <v>Saipos Serviços De Software</v>
      </c>
      <c r="R3176" s="33">
        <f>IFERROR(__xludf.DUMMYFUNCTION("""COMPUTED_VALUE"""),1.0)</f>
        <v>1</v>
      </c>
      <c r="S3176" s="4" t="str">
        <f>IFERROR(__xludf.DUMMYFUNCTION("""COMPUTED_VALUE"""),"Saipos Serviços De Software")</f>
        <v>Saipos Serviços De Software</v>
      </c>
      <c r="T3176" s="33">
        <f>IFERROR(__xludf.DUMMYFUNCTION("""COMPUTED_VALUE"""),1.0)</f>
        <v>1</v>
      </c>
      <c r="U3176" s="4" t="str">
        <f>IFERROR(__xludf.DUMMYFUNCTION("""COMPUTED_VALUE"""),"Saipos Serviços De Software")</f>
        <v>Saipos Serviços De Software</v>
      </c>
      <c r="V3176" s="33">
        <f>IFERROR(__xludf.DUMMYFUNCTION("""COMPUTED_VALUE"""),1.0)</f>
        <v>1</v>
      </c>
      <c r="W3176" s="4" t="str">
        <f>IFERROR(__xludf.DUMMYFUNCTION("""COMPUTED_VALUE"""),"Cardápio Web")</f>
        <v>Cardápio Web</v>
      </c>
      <c r="X3176" s="33">
        <f>IFERROR(__xludf.DUMMYFUNCTION("""COMPUTED_VALUE"""),0.6666666666666666)</f>
        <v>0.6666666667</v>
      </c>
    </row>
    <row r="3177">
      <c r="K3177" s="4" t="str">
        <f>IFERROR(__xludf.DUMMYFUNCTION("""COMPUTED_VALUE"""),"ALO LANCHES")</f>
        <v>ALO LANCHES</v>
      </c>
      <c r="L3177" s="32">
        <f>IFERROR(__xludf.DUMMYFUNCTION("""COMPUTED_VALUE"""),3.0)</f>
        <v>3</v>
      </c>
      <c r="M3177" s="4" t="str">
        <f>IFERROR(__xludf.DUMMYFUNCTION("""COMPUTED_VALUE"""),"Connectplug")</f>
        <v>Connectplug</v>
      </c>
      <c r="N3177" s="33">
        <f>IFERROR(__xludf.DUMMYFUNCTION("""COMPUTED_VALUE"""),1.0)</f>
        <v>1</v>
      </c>
      <c r="O3177" s="4" t="str">
        <f>IFERROR(__xludf.DUMMYFUNCTION("""COMPUTED_VALUE"""),"Connectplug")</f>
        <v>Connectplug</v>
      </c>
      <c r="P3177" s="33">
        <f>IFERROR(__xludf.DUMMYFUNCTION("""COMPUTED_VALUE"""),1.0)</f>
        <v>1</v>
      </c>
      <c r="Q3177" s="4" t="str">
        <f>IFERROR(__xludf.DUMMYFUNCTION("""COMPUTED_VALUE"""),"Connectplug")</f>
        <v>Connectplug</v>
      </c>
      <c r="R3177" s="33">
        <f>IFERROR(__xludf.DUMMYFUNCTION("""COMPUTED_VALUE"""),1.0)</f>
        <v>1</v>
      </c>
      <c r="S3177" s="4" t="str">
        <f>IFERROR(__xludf.DUMMYFUNCTION("""COMPUTED_VALUE"""),"Connectplug")</f>
        <v>Connectplug</v>
      </c>
      <c r="T3177" s="33">
        <f>IFERROR(__xludf.DUMMYFUNCTION("""COMPUTED_VALUE"""),0.6666666666666666)</f>
        <v>0.6666666667</v>
      </c>
      <c r="U3177" s="4" t="str">
        <f>IFERROR(__xludf.DUMMYFUNCTION("""COMPUTED_VALUE"""),"Connectplug")</f>
        <v>Connectplug</v>
      </c>
      <c r="V3177" s="33">
        <f>IFERROR(__xludf.DUMMYFUNCTION("""COMPUTED_VALUE"""),0.6666666666666666)</f>
        <v>0.6666666667</v>
      </c>
      <c r="W3177" s="4" t="str">
        <f>IFERROR(__xludf.DUMMYFUNCTION("""COMPUTED_VALUE"""),"Connectplug")</f>
        <v>Connectplug</v>
      </c>
      <c r="X3177" s="33">
        <f>IFERROR(__xludf.DUMMYFUNCTION("""COMPUTED_VALUE"""),0.6666666666666666)</f>
        <v>0.6666666667</v>
      </c>
    </row>
    <row r="3178">
      <c r="K3178" s="4" t="str">
        <f>IFERROR(__xludf.DUMMYFUNCTION("""COMPUTED_VALUE"""),"ALTAS HORAS DELIVERY - CONTA PAI")</f>
        <v>ALTAS HORAS DELIVERY - CONTA PAI</v>
      </c>
      <c r="L3178" s="32">
        <f>IFERROR(__xludf.DUMMYFUNCTION("""COMPUTED_VALUE"""),3.0)</f>
        <v>3</v>
      </c>
      <c r="M3178" s="4" t="str">
        <f>IFERROR(__xludf.DUMMYFUNCTION("""COMPUTED_VALUE"""),"Cardápio Web")</f>
        <v>Cardápio Web</v>
      </c>
      <c r="N3178" s="33">
        <f>IFERROR(__xludf.DUMMYFUNCTION("""COMPUTED_VALUE"""),1.0)</f>
        <v>1</v>
      </c>
      <c r="O3178" s="4" t="str">
        <f>IFERROR(__xludf.DUMMYFUNCTION("""COMPUTED_VALUE"""),"Cardápio Web")</f>
        <v>Cardápio Web</v>
      </c>
      <c r="P3178" s="33">
        <f>IFERROR(__xludf.DUMMYFUNCTION("""COMPUTED_VALUE"""),1.0)</f>
        <v>1</v>
      </c>
      <c r="Q3178" s="4" t="str">
        <f>IFERROR(__xludf.DUMMYFUNCTION("""COMPUTED_VALUE"""),"Cardápio Web")</f>
        <v>Cardápio Web</v>
      </c>
      <c r="R3178" s="33">
        <f>IFERROR(__xludf.DUMMYFUNCTION("""COMPUTED_VALUE"""),1.0)</f>
        <v>1</v>
      </c>
      <c r="S3178" s="4" t="str">
        <f>IFERROR(__xludf.DUMMYFUNCTION("""COMPUTED_VALUE"""),"Cardápio Web")</f>
        <v>Cardápio Web</v>
      </c>
      <c r="T3178" s="33">
        <f>IFERROR(__xludf.DUMMYFUNCTION("""COMPUTED_VALUE"""),1.0)</f>
        <v>1</v>
      </c>
      <c r="U3178" s="4" t="str">
        <f>IFERROR(__xludf.DUMMYFUNCTION("""COMPUTED_VALUE"""),"Cardápio Web")</f>
        <v>Cardápio Web</v>
      </c>
      <c r="V3178" s="33">
        <f>IFERROR(__xludf.DUMMYFUNCTION("""COMPUTED_VALUE"""),1.0)</f>
        <v>1</v>
      </c>
      <c r="W3178" s="4" t="str">
        <f>IFERROR(__xludf.DUMMYFUNCTION("""COMPUTED_VALUE"""),"Cardápio Web")</f>
        <v>Cardápio Web</v>
      </c>
      <c r="X3178" s="33">
        <f>IFERROR(__xludf.DUMMYFUNCTION("""COMPUTED_VALUE"""),1.0)</f>
        <v>1</v>
      </c>
    </row>
    <row r="3179">
      <c r="K3179" s="4" t="str">
        <f>IFERROR(__xludf.DUMMYFUNCTION("""COMPUTED_VALUE"""),"AMANDOCA DOCERIA - DOCES E BOLOS")</f>
        <v>AMANDOCA DOCERIA - DOCES E BOLOS</v>
      </c>
      <c r="L3179" s="32">
        <f>IFERROR(__xludf.DUMMYFUNCTION("""COMPUTED_VALUE"""),3.0)</f>
        <v>3</v>
      </c>
      <c r="M3179" s="4" t="str">
        <f>IFERROR(__xludf.DUMMYFUNCTION("""COMPUTED_VALUE"""),"Cardápio Web")</f>
        <v>Cardápio Web</v>
      </c>
      <c r="N3179" s="33">
        <f>IFERROR(__xludf.DUMMYFUNCTION("""COMPUTED_VALUE"""),1.0)</f>
        <v>1</v>
      </c>
      <c r="O3179" s="4" t="str">
        <f>IFERROR(__xludf.DUMMYFUNCTION("""COMPUTED_VALUE"""),"Cardápio Web")</f>
        <v>Cardápio Web</v>
      </c>
      <c r="P3179" s="33">
        <f>IFERROR(__xludf.DUMMYFUNCTION("""COMPUTED_VALUE"""),1.0)</f>
        <v>1</v>
      </c>
      <c r="Q3179" s="4" t="str">
        <f>IFERROR(__xludf.DUMMYFUNCTION("""COMPUTED_VALUE"""),"Cardápio Web")</f>
        <v>Cardápio Web</v>
      </c>
      <c r="R3179" s="33">
        <f>IFERROR(__xludf.DUMMYFUNCTION("""COMPUTED_VALUE"""),0.6666666666666666)</f>
        <v>0.6666666667</v>
      </c>
      <c r="S3179" s="4" t="str">
        <f>IFERROR(__xludf.DUMMYFUNCTION("""COMPUTED_VALUE"""),"null")</f>
        <v>null</v>
      </c>
      <c r="T3179" s="33">
        <f>IFERROR(__xludf.DUMMYFUNCTION("""COMPUTED_VALUE"""),0.6666666666666666)</f>
        <v>0.6666666667</v>
      </c>
      <c r="U3179" s="4" t="str">
        <f>IFERROR(__xludf.DUMMYFUNCTION("""COMPUTED_VALUE"""),"null")</f>
        <v>null</v>
      </c>
      <c r="V3179" s="33">
        <f>IFERROR(__xludf.DUMMYFUNCTION("""COMPUTED_VALUE"""),0.6666666666666666)</f>
        <v>0.6666666667</v>
      </c>
      <c r="W3179" s="4" t="str">
        <f>IFERROR(__xludf.DUMMYFUNCTION("""COMPUTED_VALUE"""),"null")</f>
        <v>null</v>
      </c>
      <c r="X3179" s="33">
        <f>IFERROR(__xludf.DUMMYFUNCTION("""COMPUTED_VALUE"""),0.6666666666666666)</f>
        <v>0.6666666667</v>
      </c>
    </row>
    <row r="3180">
      <c r="K3180" s="4" t="str">
        <f>IFERROR(__xludf.DUMMYFUNCTION("""COMPUTED_VALUE"""),"AMARAL PIZZARIA - MARCA")</f>
        <v>AMARAL PIZZARIA - MARCA</v>
      </c>
      <c r="L3180" s="32">
        <f>IFERROR(__xludf.DUMMYFUNCTION("""COMPUTED_VALUE"""),3.0)</f>
        <v>3</v>
      </c>
      <c r="M3180" s="4" t="str">
        <f>IFERROR(__xludf.DUMMYFUNCTION("""COMPUTED_VALUE"""),"null")</f>
        <v>null</v>
      </c>
      <c r="N3180" s="33">
        <f>IFERROR(__xludf.DUMMYFUNCTION("""COMPUTED_VALUE"""),0.6666666666666666)</f>
        <v>0.6666666667</v>
      </c>
      <c r="O3180" s="4" t="str">
        <f>IFERROR(__xludf.DUMMYFUNCTION("""COMPUTED_VALUE"""),"null")</f>
        <v>null</v>
      </c>
      <c r="P3180" s="33">
        <f>IFERROR(__xludf.DUMMYFUNCTION("""COMPUTED_VALUE"""),0.6666666666666666)</f>
        <v>0.6666666667</v>
      </c>
      <c r="Q3180" s="4" t="str">
        <f>IFERROR(__xludf.DUMMYFUNCTION("""COMPUTED_VALUE"""),"Cardápio Web")</f>
        <v>Cardápio Web</v>
      </c>
      <c r="R3180" s="33">
        <f>IFERROR(__xludf.DUMMYFUNCTION("""COMPUTED_VALUE"""),0.6666666666666666)</f>
        <v>0.6666666667</v>
      </c>
      <c r="S3180" s="4" t="str">
        <f>IFERROR(__xludf.DUMMYFUNCTION("""COMPUTED_VALUE"""),"Cardápio Web")</f>
        <v>Cardápio Web</v>
      </c>
      <c r="T3180" s="33">
        <f>IFERROR(__xludf.DUMMYFUNCTION("""COMPUTED_VALUE"""),0.6666666666666666)</f>
        <v>0.6666666667</v>
      </c>
      <c r="U3180" s="4" t="str">
        <f>IFERROR(__xludf.DUMMYFUNCTION("""COMPUTED_VALUE"""),"Cardápio Web")</f>
        <v>Cardápio Web</v>
      </c>
      <c r="V3180" s="33">
        <f>IFERROR(__xludf.DUMMYFUNCTION("""COMPUTED_VALUE"""),0.6666666666666666)</f>
        <v>0.6666666667</v>
      </c>
      <c r="W3180" s="4" t="str">
        <f>IFERROR(__xludf.DUMMYFUNCTION("""COMPUTED_VALUE"""),"Cardápio Web")</f>
        <v>Cardápio Web</v>
      </c>
      <c r="X3180" s="33">
        <f>IFERROR(__xludf.DUMMYFUNCTION("""COMPUTED_VALUE"""),0.6666666666666666)</f>
        <v>0.6666666667</v>
      </c>
    </row>
    <row r="3181">
      <c r="K3181" s="4" t="str">
        <f>IFERROR(__xludf.DUMMYFUNCTION("""COMPUTED_VALUE"""),"AMAZ PRAIA")</f>
        <v>AMAZ PRAIA</v>
      </c>
      <c r="L3181" s="32">
        <f>IFERROR(__xludf.DUMMYFUNCTION("""COMPUTED_VALUE"""),3.0)</f>
        <v>3</v>
      </c>
      <c r="M3181" s="4" t="str">
        <f>IFERROR(__xludf.DUMMYFUNCTION("""COMPUTED_VALUE"""),"Saipos Serviços De Software")</f>
        <v>Saipos Serviços De Software</v>
      </c>
      <c r="N3181" s="33">
        <f>IFERROR(__xludf.DUMMYFUNCTION("""COMPUTED_VALUE"""),1.0)</f>
        <v>1</v>
      </c>
      <c r="O3181" s="4" t="str">
        <f>IFERROR(__xludf.DUMMYFUNCTION("""COMPUTED_VALUE"""),"Saipos Serviços De Software")</f>
        <v>Saipos Serviços De Software</v>
      </c>
      <c r="P3181" s="33">
        <f>IFERROR(__xludf.DUMMYFUNCTION("""COMPUTED_VALUE"""),1.0)</f>
        <v>1</v>
      </c>
      <c r="Q3181" s="4" t="str">
        <f>IFERROR(__xludf.DUMMYFUNCTION("""COMPUTED_VALUE"""),"Saipos Serviços De Software")</f>
        <v>Saipos Serviços De Software</v>
      </c>
      <c r="R3181" s="33">
        <f>IFERROR(__xludf.DUMMYFUNCTION("""COMPUTED_VALUE"""),0.6666666666666666)</f>
        <v>0.6666666667</v>
      </c>
      <c r="S3181" s="4" t="str">
        <f>IFERROR(__xludf.DUMMYFUNCTION("""COMPUTED_VALUE"""),"null")</f>
        <v>null</v>
      </c>
      <c r="T3181" s="33">
        <f>IFERROR(__xludf.DUMMYFUNCTION("""COMPUTED_VALUE"""),0.6666666666666666)</f>
        <v>0.6666666667</v>
      </c>
      <c r="U3181" s="4" t="str">
        <f>IFERROR(__xludf.DUMMYFUNCTION("""COMPUTED_VALUE"""),"Saipos Serviços De Software")</f>
        <v>Saipos Serviços De Software</v>
      </c>
      <c r="V3181" s="33">
        <f>IFERROR(__xludf.DUMMYFUNCTION("""COMPUTED_VALUE"""),0.6666666666666666)</f>
        <v>0.6666666667</v>
      </c>
      <c r="W3181" s="4" t="str">
        <f>IFERROR(__xludf.DUMMYFUNCTION("""COMPUTED_VALUE"""),"Saipos Serviços De Software")</f>
        <v>Saipos Serviços De Software</v>
      </c>
      <c r="X3181" s="33">
        <f>IFERROR(__xludf.DUMMYFUNCTION("""COMPUTED_VALUE"""),0.6666666666666666)</f>
        <v>0.6666666667</v>
      </c>
    </row>
    <row r="3182">
      <c r="K3182" s="4" t="str">
        <f>IFERROR(__xludf.DUMMYFUNCTION("""COMPUTED_VALUE"""),"AMERICANA SAUDE MG - CONTA PAI")</f>
        <v>AMERICANA SAUDE MG - CONTA PAI</v>
      </c>
      <c r="L3182" s="32">
        <f>IFERROR(__xludf.DUMMYFUNCTION("""COMPUTED_VALUE"""),3.0)</f>
        <v>3</v>
      </c>
      <c r="M3182" s="4" t="str">
        <f>IFERROR(__xludf.DUMMYFUNCTION("""COMPUTED_VALUE"""),"null")</f>
        <v>null</v>
      </c>
      <c r="N3182" s="33">
        <f>IFERROR(__xludf.DUMMYFUNCTION("""COMPUTED_VALUE"""),1.0)</f>
        <v>1</v>
      </c>
      <c r="O3182" s="4" t="str">
        <f>IFERROR(__xludf.DUMMYFUNCTION("""COMPUTED_VALUE"""),"null")</f>
        <v>null</v>
      </c>
      <c r="P3182" s="33">
        <f>IFERROR(__xludf.DUMMYFUNCTION("""COMPUTED_VALUE"""),1.0)</f>
        <v>1</v>
      </c>
      <c r="Q3182" s="4" t="str">
        <f>IFERROR(__xludf.DUMMYFUNCTION("""COMPUTED_VALUE"""),"null")</f>
        <v>null</v>
      </c>
      <c r="R3182" s="33">
        <f>IFERROR(__xludf.DUMMYFUNCTION("""COMPUTED_VALUE"""),0.6666666666666666)</f>
        <v>0.6666666667</v>
      </c>
      <c r="S3182" s="4" t="str">
        <f>IFERROR(__xludf.DUMMYFUNCTION("""COMPUTED_VALUE"""),"null")</f>
        <v>null</v>
      </c>
      <c r="T3182" s="33">
        <f>IFERROR(__xludf.DUMMYFUNCTION("""COMPUTED_VALUE"""),0.6666666666666666)</f>
        <v>0.6666666667</v>
      </c>
      <c r="U3182" s="4" t="str">
        <f>IFERROR(__xludf.DUMMYFUNCTION("""COMPUTED_VALUE"""),"N/A (Not found)")</f>
        <v>N/A (Not found)</v>
      </c>
      <c r="V3182" s="33">
        <f>IFERROR(__xludf.DUMMYFUNCTION("""COMPUTED_VALUE"""),1.0)</f>
        <v>1</v>
      </c>
      <c r="W3182" s="4" t="str">
        <f>IFERROR(__xludf.DUMMYFUNCTION("""COMPUTED_VALUE"""),"N/A (Not found)")</f>
        <v>N/A (Not found)</v>
      </c>
      <c r="X3182" s="33">
        <f>IFERROR(__xludf.DUMMYFUNCTION("""COMPUTED_VALUE"""),1.0)</f>
        <v>1</v>
      </c>
    </row>
    <row r="3183">
      <c r="K3183" s="4" t="str">
        <f>IFERROR(__xludf.DUMMYFUNCTION("""COMPUTED_VALUE"""),"AMOR DE PIZZA PIZZARIA")</f>
        <v>AMOR DE PIZZA PIZZARIA</v>
      </c>
      <c r="L3183" s="32">
        <f>IFERROR(__xludf.DUMMYFUNCTION("""COMPUTED_VALUE"""),3.0)</f>
        <v>3</v>
      </c>
      <c r="M3183" s="4" t="str">
        <f>IFERROR(__xludf.DUMMYFUNCTION("""COMPUTED_VALUE"""),"Latech Informatica Ltda")</f>
        <v>Latech Informatica Ltda</v>
      </c>
      <c r="N3183" s="33">
        <f>IFERROR(__xludf.DUMMYFUNCTION("""COMPUTED_VALUE"""),1.0)</f>
        <v>1</v>
      </c>
      <c r="O3183" s="4" t="str">
        <f>IFERROR(__xludf.DUMMYFUNCTION("""COMPUTED_VALUE"""),"Latech Informatica Ltda")</f>
        <v>Latech Informatica Ltda</v>
      </c>
      <c r="P3183" s="33">
        <f>IFERROR(__xludf.DUMMYFUNCTION("""COMPUTED_VALUE"""),1.0)</f>
        <v>1</v>
      </c>
      <c r="Q3183" s="4" t="str">
        <f>IFERROR(__xludf.DUMMYFUNCTION("""COMPUTED_VALUE"""),"Latech Informatica Ltda")</f>
        <v>Latech Informatica Ltda</v>
      </c>
      <c r="R3183" s="33">
        <f>IFERROR(__xludf.DUMMYFUNCTION("""COMPUTED_VALUE"""),1.0)</f>
        <v>1</v>
      </c>
      <c r="S3183" s="4" t="str">
        <f>IFERROR(__xludf.DUMMYFUNCTION("""COMPUTED_VALUE"""),"Latech Informatica Ltda")</f>
        <v>Latech Informatica Ltda</v>
      </c>
      <c r="T3183" s="33">
        <f>IFERROR(__xludf.DUMMYFUNCTION("""COMPUTED_VALUE"""),1.0)</f>
        <v>1</v>
      </c>
      <c r="U3183" s="4" t="str">
        <f>IFERROR(__xludf.DUMMYFUNCTION("""COMPUTED_VALUE"""),"Latech Informatica Ltda")</f>
        <v>Latech Informatica Ltda</v>
      </c>
      <c r="V3183" s="33">
        <f>IFERROR(__xludf.DUMMYFUNCTION("""COMPUTED_VALUE"""),1.0)</f>
        <v>1</v>
      </c>
      <c r="W3183" s="4" t="str">
        <f>IFERROR(__xludf.DUMMYFUNCTION("""COMPUTED_VALUE"""),"Latech Informatica Ltda")</f>
        <v>Latech Informatica Ltda</v>
      </c>
      <c r="X3183" s="33">
        <f>IFERROR(__xludf.DUMMYFUNCTION("""COMPUTED_VALUE"""),0.6666666666666666)</f>
        <v>0.6666666667</v>
      </c>
    </row>
    <row r="3184">
      <c r="K3184" s="4" t="str">
        <f>IFERROR(__xludf.DUMMYFUNCTION("""COMPUTED_VALUE"""),"ANDORINHAS MARCA")</f>
        <v>ANDORINHAS MARCA</v>
      </c>
      <c r="L3184" s="32">
        <f>IFERROR(__xludf.DUMMYFUNCTION("""COMPUTED_VALUE"""),3.0)</f>
        <v>3</v>
      </c>
      <c r="M3184" s="4" t="str">
        <f>IFERROR(__xludf.DUMMYFUNCTION("""COMPUTED_VALUE"""),"Saipos Serviços De Software")</f>
        <v>Saipos Serviços De Software</v>
      </c>
      <c r="N3184" s="33">
        <f>IFERROR(__xludf.DUMMYFUNCTION("""COMPUTED_VALUE"""),1.0)</f>
        <v>1</v>
      </c>
      <c r="O3184" s="4" t="str">
        <f>IFERROR(__xludf.DUMMYFUNCTION("""COMPUTED_VALUE"""),"Saipos Serviços De Software")</f>
        <v>Saipos Serviços De Software</v>
      </c>
      <c r="P3184" s="33">
        <f>IFERROR(__xludf.DUMMYFUNCTION("""COMPUTED_VALUE"""),1.0)</f>
        <v>1</v>
      </c>
      <c r="Q3184" s="4" t="str">
        <f>IFERROR(__xludf.DUMMYFUNCTION("""COMPUTED_VALUE"""),"Saipos Serviços De Software")</f>
        <v>Saipos Serviços De Software</v>
      </c>
      <c r="R3184" s="33">
        <f>IFERROR(__xludf.DUMMYFUNCTION("""COMPUTED_VALUE"""),1.0)</f>
        <v>1</v>
      </c>
      <c r="S3184" s="4" t="str">
        <f>IFERROR(__xludf.DUMMYFUNCTION("""COMPUTED_VALUE"""),"Saipos Serviços De Software")</f>
        <v>Saipos Serviços De Software</v>
      </c>
      <c r="T3184" s="33">
        <f>IFERROR(__xludf.DUMMYFUNCTION("""COMPUTED_VALUE"""),0.6666666666666666)</f>
        <v>0.6666666667</v>
      </c>
      <c r="U3184" s="4" t="str">
        <f>IFERROR(__xludf.DUMMYFUNCTION("""COMPUTED_VALUE"""),"Saipos Serviços De Software")</f>
        <v>Saipos Serviços De Software</v>
      </c>
      <c r="V3184" s="33">
        <f>IFERROR(__xludf.DUMMYFUNCTION("""COMPUTED_VALUE"""),0.6666666666666666)</f>
        <v>0.6666666667</v>
      </c>
      <c r="W3184" s="4" t="str">
        <f>IFERROR(__xludf.DUMMYFUNCTION("""COMPUTED_VALUE"""),"null")</f>
        <v>null</v>
      </c>
      <c r="X3184" s="33">
        <f>IFERROR(__xludf.DUMMYFUNCTION("""COMPUTED_VALUE"""),1.0)</f>
        <v>1</v>
      </c>
    </row>
    <row r="3185">
      <c r="K3185" s="4" t="str">
        <f>IFERROR(__xludf.DUMMYFUNCTION("""COMPUTED_VALUE"""),"ARABEK")</f>
        <v>ARABEK</v>
      </c>
      <c r="L3185" s="32">
        <f>IFERROR(__xludf.DUMMYFUNCTION("""COMPUTED_VALUE"""),3.0)</f>
        <v>3</v>
      </c>
      <c r="M3185" s="4" t="str">
        <f>IFERROR(__xludf.DUMMYFUNCTION("""COMPUTED_VALUE"""),"Cloudfy")</f>
        <v>Cloudfy</v>
      </c>
      <c r="N3185" s="33">
        <f>IFERROR(__xludf.DUMMYFUNCTION("""COMPUTED_VALUE"""),0.6666666666666666)</f>
        <v>0.6666666667</v>
      </c>
      <c r="O3185" s="4" t="str">
        <f>IFERROR(__xludf.DUMMYFUNCTION("""COMPUTED_VALUE"""),"Cloudfy")</f>
        <v>Cloudfy</v>
      </c>
      <c r="P3185" s="33">
        <f>IFERROR(__xludf.DUMMYFUNCTION("""COMPUTED_VALUE"""),0.6666666666666666)</f>
        <v>0.6666666667</v>
      </c>
      <c r="Q3185" s="4" t="str">
        <f>IFERROR(__xludf.DUMMYFUNCTION("""COMPUTED_VALUE"""),"Cloudfy")</f>
        <v>Cloudfy</v>
      </c>
      <c r="R3185" s="33">
        <f>IFERROR(__xludf.DUMMYFUNCTION("""COMPUTED_VALUE"""),0.6666666666666666)</f>
        <v>0.6666666667</v>
      </c>
      <c r="S3185" s="4" t="str">
        <f>IFERROR(__xludf.DUMMYFUNCTION("""COMPUTED_VALUE"""),"Cloudfy")</f>
        <v>Cloudfy</v>
      </c>
      <c r="T3185" s="33">
        <f>IFERROR(__xludf.DUMMYFUNCTION("""COMPUTED_VALUE"""),0.6666666666666666)</f>
        <v>0.6666666667</v>
      </c>
      <c r="U3185" s="4" t="str">
        <f>IFERROR(__xludf.DUMMYFUNCTION("""COMPUTED_VALUE"""),"Cloudfy")</f>
        <v>Cloudfy</v>
      </c>
      <c r="V3185" s="33">
        <f>IFERROR(__xludf.DUMMYFUNCTION("""COMPUTED_VALUE"""),0.6666666666666666)</f>
        <v>0.6666666667</v>
      </c>
      <c r="W3185" s="4" t="str">
        <f>IFERROR(__xludf.DUMMYFUNCTION("""COMPUTED_VALUE"""),"Cloudfy")</f>
        <v>Cloudfy</v>
      </c>
      <c r="X3185" s="33">
        <f>IFERROR(__xludf.DUMMYFUNCTION("""COMPUTED_VALUE"""),1.0)</f>
        <v>1</v>
      </c>
    </row>
    <row r="3186">
      <c r="K3186" s="4" t="str">
        <f>IFERROR(__xludf.DUMMYFUNCTION("""COMPUTED_VALUE"""),"ARABIA")</f>
        <v>ARABIA</v>
      </c>
      <c r="L3186" s="32">
        <f>IFERROR(__xludf.DUMMYFUNCTION("""COMPUTED_VALUE"""),3.0)</f>
        <v>3</v>
      </c>
      <c r="M3186" s="4" t="str">
        <f>IFERROR(__xludf.DUMMYFUNCTION("""COMPUTED_VALUE"""),"E-deploy Retail")</f>
        <v>E-deploy Retail</v>
      </c>
      <c r="N3186" s="33">
        <f>IFERROR(__xludf.DUMMYFUNCTION("""COMPUTED_VALUE"""),1.0)</f>
        <v>1</v>
      </c>
      <c r="O3186" s="4" t="str">
        <f>IFERROR(__xludf.DUMMYFUNCTION("""COMPUTED_VALUE"""),"E-deploy Retail")</f>
        <v>E-deploy Retail</v>
      </c>
      <c r="P3186" s="33">
        <f>IFERROR(__xludf.DUMMYFUNCTION("""COMPUTED_VALUE"""),0.6666666666666666)</f>
        <v>0.6666666667</v>
      </c>
      <c r="Q3186" s="4" t="str">
        <f>IFERROR(__xludf.DUMMYFUNCTION("""COMPUTED_VALUE"""),"E-deploy Retail")</f>
        <v>E-deploy Retail</v>
      </c>
      <c r="R3186" s="33">
        <f>IFERROR(__xludf.DUMMYFUNCTION("""COMPUTED_VALUE"""),1.0)</f>
        <v>1</v>
      </c>
      <c r="S3186" s="4" t="str">
        <f>IFERROR(__xludf.DUMMYFUNCTION("""COMPUTED_VALUE"""),"E-deploy Retail")</f>
        <v>E-deploy Retail</v>
      </c>
      <c r="T3186" s="33">
        <f>IFERROR(__xludf.DUMMYFUNCTION("""COMPUTED_VALUE"""),0.6666666666666666)</f>
        <v>0.6666666667</v>
      </c>
      <c r="U3186" s="4" t="str">
        <f>IFERROR(__xludf.DUMMYFUNCTION("""COMPUTED_VALUE"""),"E-deploy Retail")</f>
        <v>E-deploy Retail</v>
      </c>
      <c r="V3186" s="33">
        <f>IFERROR(__xludf.DUMMYFUNCTION("""COMPUTED_VALUE"""),0.6666666666666666)</f>
        <v>0.6666666667</v>
      </c>
      <c r="W3186" s="4" t="str">
        <f>IFERROR(__xludf.DUMMYFUNCTION("""COMPUTED_VALUE"""),"Gula.menu Tecnologia Ltda.")</f>
        <v>Gula.menu Tecnologia Ltda.</v>
      </c>
      <c r="X3186" s="33">
        <f>IFERROR(__xludf.DUMMYFUNCTION("""COMPUTED_VALUE"""),0.3333333333333333)</f>
        <v>0.3333333333</v>
      </c>
    </row>
    <row r="3187">
      <c r="K3187" s="4" t="str">
        <f>IFERROR(__xludf.DUMMYFUNCTION("""COMPUTED_VALUE"""),"GRUPO ARABIA")</f>
        <v>GRUPO ARABIA</v>
      </c>
      <c r="L3187" s="32">
        <f>IFERROR(__xludf.DUMMYFUNCTION("""COMPUTED_VALUE"""),3.0)</f>
        <v>3</v>
      </c>
      <c r="M3187" s="4" t="str">
        <f>IFERROR(__xludf.DUMMYFUNCTION("""COMPUTED_VALUE"""),"E-deploy Retail")</f>
        <v>E-deploy Retail</v>
      </c>
      <c r="N3187" s="33">
        <f>IFERROR(__xludf.DUMMYFUNCTION("""COMPUTED_VALUE"""),1.0)</f>
        <v>1</v>
      </c>
      <c r="O3187" s="4" t="str">
        <f>IFERROR(__xludf.DUMMYFUNCTION("""COMPUTED_VALUE"""),"E-deploy Retail")</f>
        <v>E-deploy Retail</v>
      </c>
      <c r="P3187" s="33">
        <f>IFERROR(__xludf.DUMMYFUNCTION("""COMPUTED_VALUE"""),0.6666666666666666)</f>
        <v>0.6666666667</v>
      </c>
      <c r="Q3187" s="4" t="str">
        <f>IFERROR(__xludf.DUMMYFUNCTION("""COMPUTED_VALUE"""),"E-deploy Retail")</f>
        <v>E-deploy Retail</v>
      </c>
      <c r="R3187" s="33">
        <f>IFERROR(__xludf.DUMMYFUNCTION("""COMPUTED_VALUE"""),1.0)</f>
        <v>1</v>
      </c>
      <c r="S3187" s="4" t="str">
        <f>IFERROR(__xludf.DUMMYFUNCTION("""COMPUTED_VALUE"""),"E-deploy Retail")</f>
        <v>E-deploy Retail</v>
      </c>
      <c r="T3187" s="33">
        <f>IFERROR(__xludf.DUMMYFUNCTION("""COMPUTED_VALUE"""),0.6666666666666666)</f>
        <v>0.6666666667</v>
      </c>
      <c r="U3187" s="4" t="str">
        <f>IFERROR(__xludf.DUMMYFUNCTION("""COMPUTED_VALUE"""),"E-deploy Retail")</f>
        <v>E-deploy Retail</v>
      </c>
      <c r="V3187" s="33">
        <f>IFERROR(__xludf.DUMMYFUNCTION("""COMPUTED_VALUE"""),0.6666666666666666)</f>
        <v>0.6666666667</v>
      </c>
      <c r="W3187" s="4" t="str">
        <f>IFERROR(__xludf.DUMMYFUNCTION("""COMPUTED_VALUE"""),"Gula.menu Tecnologia Ltda.")</f>
        <v>Gula.menu Tecnologia Ltda.</v>
      </c>
      <c r="X3187" s="33">
        <f>IFERROR(__xludf.DUMMYFUNCTION("""COMPUTED_VALUE"""),0.3333333333333333)</f>
        <v>0.3333333333</v>
      </c>
    </row>
    <row r="3188">
      <c r="K3188" s="4" t="str">
        <f>IFERROR(__xludf.DUMMYFUNCTION("""COMPUTED_VALUE"""),"ARABY CULINARIA SIRIA - CONTA PAI")</f>
        <v>ARABY CULINARIA SIRIA - CONTA PAI</v>
      </c>
      <c r="L3188" s="32">
        <f>IFERROR(__xludf.DUMMYFUNCTION("""COMPUTED_VALUE"""),3.0)</f>
        <v>3</v>
      </c>
      <c r="M3188" s="4" t="str">
        <f>IFERROR(__xludf.DUMMYFUNCTION("""COMPUTED_VALUE"""),"Sagres Automação Comercial")</f>
        <v>Sagres Automação Comercial</v>
      </c>
      <c r="N3188" s="33">
        <f>IFERROR(__xludf.DUMMYFUNCTION("""COMPUTED_VALUE"""),1.0)</f>
        <v>1</v>
      </c>
      <c r="O3188" s="4" t="str">
        <f>IFERROR(__xludf.DUMMYFUNCTION("""COMPUTED_VALUE"""),"Sagres Automação Comercial")</f>
        <v>Sagres Automação Comercial</v>
      </c>
      <c r="P3188" s="33">
        <f>IFERROR(__xludf.DUMMYFUNCTION("""COMPUTED_VALUE"""),1.0)</f>
        <v>1</v>
      </c>
      <c r="Q3188" s="4" t="str">
        <f>IFERROR(__xludf.DUMMYFUNCTION("""COMPUTED_VALUE"""),"Sagres Automação Comercial")</f>
        <v>Sagres Automação Comercial</v>
      </c>
      <c r="R3188" s="33">
        <f>IFERROR(__xludf.DUMMYFUNCTION("""COMPUTED_VALUE"""),1.0)</f>
        <v>1</v>
      </c>
      <c r="S3188" s="4" t="str">
        <f>IFERROR(__xludf.DUMMYFUNCTION("""COMPUTED_VALUE"""),"Sagres Automação Comercial")</f>
        <v>Sagres Automação Comercial</v>
      </c>
      <c r="T3188" s="33">
        <f>IFERROR(__xludf.DUMMYFUNCTION("""COMPUTED_VALUE"""),1.0)</f>
        <v>1</v>
      </c>
      <c r="U3188" s="4" t="str">
        <f>IFERROR(__xludf.DUMMYFUNCTION("""COMPUTED_VALUE"""),"Sagres Automação Comercial")</f>
        <v>Sagres Automação Comercial</v>
      </c>
      <c r="V3188" s="33">
        <f>IFERROR(__xludf.DUMMYFUNCTION("""COMPUTED_VALUE"""),1.0)</f>
        <v>1</v>
      </c>
      <c r="W3188" s="4" t="str">
        <f>IFERROR(__xludf.DUMMYFUNCTION("""COMPUTED_VALUE"""),"Sagres Automação Comercial")</f>
        <v>Sagres Automação Comercial</v>
      </c>
      <c r="X3188" s="33">
        <f>IFERROR(__xludf.DUMMYFUNCTION("""COMPUTED_VALUE"""),1.0)</f>
        <v>1</v>
      </c>
    </row>
    <row r="3189">
      <c r="K3189" s="4" t="str">
        <f>IFERROR(__xludf.DUMMYFUNCTION("""COMPUTED_VALUE"""),"ARO TEMAKERIA DELIVERY")</f>
        <v>ARO TEMAKERIA DELIVERY</v>
      </c>
      <c r="L3189" s="32">
        <f>IFERROR(__xludf.DUMMYFUNCTION("""COMPUTED_VALUE"""),3.0)</f>
        <v>3</v>
      </c>
      <c r="M3189" s="4" t="str">
        <f>IFERROR(__xludf.DUMMYFUNCTION("""COMPUTED_VALUE"""),"Anota Ai Solucoes Digitais S/a")</f>
        <v>Anota Ai Solucoes Digitais S/a</v>
      </c>
      <c r="N3189" s="33">
        <f>IFERROR(__xludf.DUMMYFUNCTION("""COMPUTED_VALUE"""),0.6666666666666666)</f>
        <v>0.6666666667</v>
      </c>
      <c r="O3189" s="4" t="str">
        <f>IFERROR(__xludf.DUMMYFUNCTION("""COMPUTED_VALUE"""),"Anota Ai Solucoes Digitais S/a")</f>
        <v>Anota Ai Solucoes Digitais S/a</v>
      </c>
      <c r="P3189" s="33">
        <f>IFERROR(__xludf.DUMMYFUNCTION("""COMPUTED_VALUE"""),0.6666666666666666)</f>
        <v>0.6666666667</v>
      </c>
      <c r="Q3189" s="4" t="str">
        <f>IFERROR(__xludf.DUMMYFUNCTION("""COMPUTED_VALUE"""),"null")</f>
        <v>null</v>
      </c>
      <c r="R3189" s="33">
        <f>IFERROR(__xludf.DUMMYFUNCTION("""COMPUTED_VALUE"""),0.3333333333333333)</f>
        <v>0.3333333333</v>
      </c>
      <c r="S3189" s="4" t="str">
        <f>IFERROR(__xludf.DUMMYFUNCTION("""COMPUTED_VALUE"""),"Anota Ai Solucoes Digitais S/a")</f>
        <v>Anota Ai Solucoes Digitais S/a</v>
      </c>
      <c r="T3189" s="33">
        <f>IFERROR(__xludf.DUMMYFUNCTION("""COMPUTED_VALUE"""),0.6666666666666666)</f>
        <v>0.6666666667</v>
      </c>
      <c r="U3189" s="4" t="str">
        <f>IFERROR(__xludf.DUMMYFUNCTION("""COMPUTED_VALUE"""),"Anota Ai Solucoes Digitais S/a")</f>
        <v>Anota Ai Solucoes Digitais S/a</v>
      </c>
      <c r="V3189" s="33">
        <f>IFERROR(__xludf.DUMMYFUNCTION("""COMPUTED_VALUE"""),0.6666666666666666)</f>
        <v>0.6666666667</v>
      </c>
      <c r="W3189" s="4" t="str">
        <f>IFERROR(__xludf.DUMMYFUNCTION("""COMPUTED_VALUE"""),"Anota Ai Solucoes Digitais S/a")</f>
        <v>Anota Ai Solucoes Digitais S/a</v>
      </c>
      <c r="X3189" s="33">
        <f>IFERROR(__xludf.DUMMYFUNCTION("""COMPUTED_VALUE"""),0.6666666666666666)</f>
        <v>0.6666666667</v>
      </c>
    </row>
    <row r="3190">
      <c r="K3190" s="4" t="str">
        <f>IFERROR(__xludf.DUMMYFUNCTION("""COMPUTED_VALUE"""),"ARTESANOS BURGER")</f>
        <v>ARTESANOS BURGER</v>
      </c>
      <c r="L3190" s="32">
        <f>IFERROR(__xludf.DUMMYFUNCTION("""COMPUTED_VALUE"""),3.0)</f>
        <v>3</v>
      </c>
      <c r="M3190" s="4" t="str">
        <f>IFERROR(__xludf.DUMMYFUNCTION("""COMPUTED_VALUE"""),"Cardápio Web")</f>
        <v>Cardápio Web</v>
      </c>
      <c r="N3190" s="33">
        <f>IFERROR(__xludf.DUMMYFUNCTION("""COMPUTED_VALUE"""),0.6666666666666666)</f>
        <v>0.6666666667</v>
      </c>
      <c r="O3190" s="4" t="str">
        <f>IFERROR(__xludf.DUMMYFUNCTION("""COMPUTED_VALUE"""),"Cardápio Web")</f>
        <v>Cardápio Web</v>
      </c>
      <c r="P3190" s="33">
        <f>IFERROR(__xludf.DUMMYFUNCTION("""COMPUTED_VALUE"""),0.6666666666666666)</f>
        <v>0.6666666667</v>
      </c>
      <c r="Q3190" s="4" t="str">
        <f>IFERROR(__xludf.DUMMYFUNCTION("""COMPUTED_VALUE"""),"Cardápio Web")</f>
        <v>Cardápio Web</v>
      </c>
      <c r="R3190" s="33">
        <f>IFERROR(__xludf.DUMMYFUNCTION("""COMPUTED_VALUE"""),0.6666666666666666)</f>
        <v>0.6666666667</v>
      </c>
      <c r="S3190" s="4" t="str">
        <f>IFERROR(__xludf.DUMMYFUNCTION("""COMPUTED_VALUE"""),"Cardápio Web")</f>
        <v>Cardápio Web</v>
      </c>
      <c r="T3190" s="33">
        <f>IFERROR(__xludf.DUMMYFUNCTION("""COMPUTED_VALUE"""),0.6666666666666666)</f>
        <v>0.6666666667</v>
      </c>
      <c r="U3190" s="4" t="str">
        <f>IFERROR(__xludf.DUMMYFUNCTION("""COMPUTED_VALUE"""),"Cardápio Web")</f>
        <v>Cardápio Web</v>
      </c>
      <c r="V3190" s="33">
        <f>IFERROR(__xludf.DUMMYFUNCTION("""COMPUTED_VALUE"""),1.0)</f>
        <v>1</v>
      </c>
      <c r="W3190" s="4" t="str">
        <f>IFERROR(__xludf.DUMMYFUNCTION("""COMPUTED_VALUE"""),"Cardápio Web")</f>
        <v>Cardápio Web</v>
      </c>
      <c r="X3190" s="33">
        <f>IFERROR(__xludf.DUMMYFUNCTION("""COMPUTED_VALUE"""),1.0)</f>
        <v>1</v>
      </c>
    </row>
    <row r="3191">
      <c r="K3191" s="4" t="str">
        <f>IFERROR(__xludf.DUMMYFUNCTION("""COMPUTED_VALUE"""),"ASSIM ASSIM ASSADO")</f>
        <v>ASSIM ASSIM ASSADO</v>
      </c>
      <c r="L3191" s="32">
        <f>IFERROR(__xludf.DUMMYFUNCTION("""COMPUTED_VALUE"""),3.0)</f>
        <v>3</v>
      </c>
      <c r="M3191" s="4" t="str">
        <f>IFERROR(__xludf.DUMMYFUNCTION("""COMPUTED_VALUE"""),"Takeat Tecnologia")</f>
        <v>Takeat Tecnologia</v>
      </c>
      <c r="N3191" s="33">
        <f>IFERROR(__xludf.DUMMYFUNCTION("""COMPUTED_VALUE"""),0.6666666666666666)</f>
        <v>0.6666666667</v>
      </c>
      <c r="O3191" s="4" t="str">
        <f>IFERROR(__xludf.DUMMYFUNCTION("""COMPUTED_VALUE"""),"Takeat Tecnologia")</f>
        <v>Takeat Tecnologia</v>
      </c>
      <c r="P3191" s="33">
        <f>IFERROR(__xludf.DUMMYFUNCTION("""COMPUTED_VALUE"""),0.6666666666666666)</f>
        <v>0.6666666667</v>
      </c>
      <c r="Q3191" s="4" t="str">
        <f>IFERROR(__xludf.DUMMYFUNCTION("""COMPUTED_VALUE"""),"Takeat Tecnologia")</f>
        <v>Takeat Tecnologia</v>
      </c>
      <c r="R3191" s="33">
        <f>IFERROR(__xludf.DUMMYFUNCTION("""COMPUTED_VALUE"""),1.0)</f>
        <v>1</v>
      </c>
      <c r="S3191" s="4" t="str">
        <f>IFERROR(__xludf.DUMMYFUNCTION("""COMPUTED_VALUE"""),"Takeat Tecnologia")</f>
        <v>Takeat Tecnologia</v>
      </c>
      <c r="T3191" s="33">
        <f>IFERROR(__xludf.DUMMYFUNCTION("""COMPUTED_VALUE"""),0.6666666666666666)</f>
        <v>0.6666666667</v>
      </c>
      <c r="U3191" s="4" t="str">
        <f>IFERROR(__xludf.DUMMYFUNCTION("""COMPUTED_VALUE"""),"Takeat Tecnologia")</f>
        <v>Takeat Tecnologia</v>
      </c>
      <c r="V3191" s="33">
        <f>IFERROR(__xludf.DUMMYFUNCTION("""COMPUTED_VALUE"""),0.6666666666666666)</f>
        <v>0.6666666667</v>
      </c>
      <c r="W3191" s="4" t="str">
        <f>IFERROR(__xludf.DUMMYFUNCTION("""COMPUTED_VALUE"""),"Takeat Tecnologia")</f>
        <v>Takeat Tecnologia</v>
      </c>
      <c r="X3191" s="33">
        <f>IFERROR(__xludf.DUMMYFUNCTION("""COMPUTED_VALUE"""),0.6666666666666666)</f>
        <v>0.6666666667</v>
      </c>
    </row>
    <row r="3192">
      <c r="K3192" s="4" t="str">
        <f>IFERROR(__xludf.DUMMYFUNCTION("""COMPUTED_VALUE"""),"ATELIER DOS SABORES")</f>
        <v>ATELIER DOS SABORES</v>
      </c>
      <c r="L3192" s="32">
        <f>IFERROR(__xludf.DUMMYFUNCTION("""COMPUTED_VALUE"""),3.0)</f>
        <v>3</v>
      </c>
      <c r="M3192" s="4" t="str">
        <f>IFERROR(__xludf.DUMMYFUNCTION("""COMPUTED_VALUE"""),"Noah Sistemas Ltda")</f>
        <v>Noah Sistemas Ltda</v>
      </c>
      <c r="N3192" s="33">
        <f>IFERROR(__xludf.DUMMYFUNCTION("""COMPUTED_VALUE"""),0.6666666666666666)</f>
        <v>0.6666666667</v>
      </c>
      <c r="O3192" s="4" t="str">
        <f>IFERROR(__xludf.DUMMYFUNCTION("""COMPUTED_VALUE"""),"Noah Sistemas Ltda")</f>
        <v>Noah Sistemas Ltda</v>
      </c>
      <c r="P3192" s="33">
        <f>IFERROR(__xludf.DUMMYFUNCTION("""COMPUTED_VALUE"""),0.3333333333333333)</f>
        <v>0.3333333333</v>
      </c>
      <c r="Q3192" s="4" t="str">
        <f>IFERROR(__xludf.DUMMYFUNCTION("""COMPUTED_VALUE"""),"null")</f>
        <v>null</v>
      </c>
      <c r="R3192" s="33">
        <f>IFERROR(__xludf.DUMMYFUNCTION("""COMPUTED_VALUE"""),0.6666666666666666)</f>
        <v>0.6666666667</v>
      </c>
      <c r="S3192" s="4" t="str">
        <f>IFERROR(__xludf.DUMMYFUNCTION("""COMPUTED_VALUE"""),"Noah Sistemas Ltda")</f>
        <v>Noah Sistemas Ltda</v>
      </c>
      <c r="T3192" s="33">
        <f>IFERROR(__xludf.DUMMYFUNCTION("""COMPUTED_VALUE"""),0.3333333333333333)</f>
        <v>0.3333333333</v>
      </c>
      <c r="U3192" s="4" t="str">
        <f>IFERROR(__xludf.DUMMYFUNCTION("""COMPUTED_VALUE"""),"null")</f>
        <v>null</v>
      </c>
      <c r="V3192" s="33">
        <f>IFERROR(__xludf.DUMMYFUNCTION("""COMPUTED_VALUE"""),0.6666666666666666)</f>
        <v>0.6666666667</v>
      </c>
      <c r="W3192" s="4" t="str">
        <f>IFERROR(__xludf.DUMMYFUNCTION("""COMPUTED_VALUE"""),"null")</f>
        <v>null</v>
      </c>
      <c r="X3192" s="33">
        <f>IFERROR(__xludf.DUMMYFUNCTION("""COMPUTED_VALUE"""),0.6666666666666666)</f>
        <v>0.6666666667</v>
      </c>
    </row>
    <row r="3193">
      <c r="K3193" s="4" t="str">
        <f>IFERROR(__xludf.DUMMYFUNCTION("""COMPUTED_VALUE"""),"AXERITO - MANAUS")</f>
        <v>AXERITO - MANAUS</v>
      </c>
      <c r="L3193" s="32">
        <f>IFERROR(__xludf.DUMMYFUNCTION("""COMPUTED_VALUE"""),3.0)</f>
        <v>3</v>
      </c>
      <c r="M3193" s="4" t="str">
        <f>IFERROR(__xludf.DUMMYFUNCTION("""COMPUTED_VALUE"""),"Vekttor")</f>
        <v>Vekttor</v>
      </c>
      <c r="N3193" s="33">
        <f>IFERROR(__xludf.DUMMYFUNCTION("""COMPUTED_VALUE"""),0.6666666666666666)</f>
        <v>0.6666666667</v>
      </c>
      <c r="O3193" s="4" t="str">
        <f>IFERROR(__xludf.DUMMYFUNCTION("""COMPUTED_VALUE"""),"Vekttor")</f>
        <v>Vekttor</v>
      </c>
      <c r="P3193" s="33">
        <f>IFERROR(__xludf.DUMMYFUNCTION("""COMPUTED_VALUE"""),0.6666666666666666)</f>
        <v>0.6666666667</v>
      </c>
      <c r="Q3193" s="4" t="str">
        <f>IFERROR(__xludf.DUMMYFUNCTION("""COMPUTED_VALUE"""),"Vekttor")</f>
        <v>Vekttor</v>
      </c>
      <c r="R3193" s="33">
        <f>IFERROR(__xludf.DUMMYFUNCTION("""COMPUTED_VALUE"""),0.6666666666666666)</f>
        <v>0.6666666667</v>
      </c>
      <c r="S3193" s="4" t="str">
        <f>IFERROR(__xludf.DUMMYFUNCTION("""COMPUTED_VALUE"""),"Vekttor")</f>
        <v>Vekttor</v>
      </c>
      <c r="T3193" s="33">
        <f>IFERROR(__xludf.DUMMYFUNCTION("""COMPUTED_VALUE"""),0.6666666666666666)</f>
        <v>0.6666666667</v>
      </c>
      <c r="U3193" s="4" t="str">
        <f>IFERROR(__xludf.DUMMYFUNCTION("""COMPUTED_VALUE"""),"Vekttor")</f>
        <v>Vekttor</v>
      </c>
      <c r="V3193" s="33">
        <f>IFERROR(__xludf.DUMMYFUNCTION("""COMPUTED_VALUE"""),0.6666666666666666)</f>
        <v>0.6666666667</v>
      </c>
      <c r="W3193" s="4" t="str">
        <f>IFERROR(__xludf.DUMMYFUNCTION("""COMPUTED_VALUE"""),"Vekttor")</f>
        <v>Vekttor</v>
      </c>
      <c r="X3193" s="33">
        <f>IFERROR(__xludf.DUMMYFUNCTION("""COMPUTED_VALUE"""),1.0)</f>
        <v>1</v>
      </c>
    </row>
    <row r="3194">
      <c r="K3194" s="4" t="str">
        <f>IFERROR(__xludf.DUMMYFUNCTION("""COMPUTED_VALUE"""),"AZUMA SUSHI DELIVERY - CONTA MARCA")</f>
        <v>AZUMA SUSHI DELIVERY - CONTA MARCA</v>
      </c>
      <c r="L3194" s="32">
        <f>IFERROR(__xludf.DUMMYFUNCTION("""COMPUTED_VALUE"""),3.0)</f>
        <v>3</v>
      </c>
      <c r="M3194" s="4" t="str">
        <f>IFERROR(__xludf.DUMMYFUNCTION("""COMPUTED_VALUE"""),"Opdv")</f>
        <v>Opdv</v>
      </c>
      <c r="N3194" s="33">
        <f>IFERROR(__xludf.DUMMYFUNCTION("""COMPUTED_VALUE"""),0.6666666666666666)</f>
        <v>0.6666666667</v>
      </c>
      <c r="O3194" s="4" t="str">
        <f>IFERROR(__xludf.DUMMYFUNCTION("""COMPUTED_VALUE"""),"Opdv")</f>
        <v>Opdv</v>
      </c>
      <c r="P3194" s="33">
        <f>IFERROR(__xludf.DUMMYFUNCTION("""COMPUTED_VALUE"""),0.6666666666666666)</f>
        <v>0.6666666667</v>
      </c>
      <c r="Q3194" s="4" t="str">
        <f>IFERROR(__xludf.DUMMYFUNCTION("""COMPUTED_VALUE"""),"Opdv")</f>
        <v>Opdv</v>
      </c>
      <c r="R3194" s="33">
        <f>IFERROR(__xludf.DUMMYFUNCTION("""COMPUTED_VALUE"""),0.6666666666666666)</f>
        <v>0.6666666667</v>
      </c>
      <c r="S3194" s="4" t="str">
        <f>IFERROR(__xludf.DUMMYFUNCTION("""COMPUTED_VALUE"""),"Opdv")</f>
        <v>Opdv</v>
      </c>
      <c r="T3194" s="33">
        <f>IFERROR(__xludf.DUMMYFUNCTION("""COMPUTED_VALUE"""),0.6666666666666666)</f>
        <v>0.6666666667</v>
      </c>
      <c r="U3194" s="4" t="str">
        <f>IFERROR(__xludf.DUMMYFUNCTION("""COMPUTED_VALUE"""),"Opdv")</f>
        <v>Opdv</v>
      </c>
      <c r="V3194" s="33">
        <f>IFERROR(__xludf.DUMMYFUNCTION("""COMPUTED_VALUE"""),0.6666666666666666)</f>
        <v>0.6666666667</v>
      </c>
      <c r="W3194" s="4" t="str">
        <f>IFERROR(__xludf.DUMMYFUNCTION("""COMPUTED_VALUE"""),"Opdv")</f>
        <v>Opdv</v>
      </c>
      <c r="X3194" s="33">
        <f>IFERROR(__xludf.DUMMYFUNCTION("""COMPUTED_VALUE"""),0.3333333333333333)</f>
        <v>0.3333333333</v>
      </c>
    </row>
    <row r="3195">
      <c r="K3195" s="4" t="str">
        <f>IFERROR(__xludf.DUMMYFUNCTION("""COMPUTED_VALUE"""),"B BURGUER")</f>
        <v>B BURGUER</v>
      </c>
      <c r="L3195" s="32">
        <f>IFERROR(__xludf.DUMMYFUNCTION("""COMPUTED_VALUE"""),3.0)</f>
        <v>3</v>
      </c>
      <c r="M3195" s="4" t="str">
        <f>IFERROR(__xludf.DUMMYFUNCTION("""COMPUTED_VALUE"""),"Solução Sistemas")</f>
        <v>Solução Sistemas</v>
      </c>
      <c r="N3195" s="33">
        <f>IFERROR(__xludf.DUMMYFUNCTION("""COMPUTED_VALUE"""),0.6666666666666666)</f>
        <v>0.6666666667</v>
      </c>
      <c r="O3195" s="4" t="str">
        <f>IFERROR(__xludf.DUMMYFUNCTION("""COMPUTED_VALUE"""),"null")</f>
        <v>null</v>
      </c>
      <c r="P3195" s="33">
        <f>IFERROR(__xludf.DUMMYFUNCTION("""COMPUTED_VALUE"""),0.3333333333333333)</f>
        <v>0.3333333333</v>
      </c>
      <c r="Q3195" s="4" t="str">
        <f>IFERROR(__xludf.DUMMYFUNCTION("""COMPUTED_VALUE"""),"null")</f>
        <v>null</v>
      </c>
      <c r="R3195" s="33">
        <f>IFERROR(__xludf.DUMMYFUNCTION("""COMPUTED_VALUE"""),1.0)</f>
        <v>1</v>
      </c>
      <c r="S3195" s="4" t="str">
        <f>IFERROR(__xludf.DUMMYFUNCTION("""COMPUTED_VALUE"""),"Solução Sistemas")</f>
        <v>Solução Sistemas</v>
      </c>
      <c r="T3195" s="33">
        <f>IFERROR(__xludf.DUMMYFUNCTION("""COMPUTED_VALUE"""),0.6666666666666666)</f>
        <v>0.6666666667</v>
      </c>
      <c r="U3195" s="4" t="str">
        <f>IFERROR(__xludf.DUMMYFUNCTION("""COMPUTED_VALUE"""),"null")</f>
        <v>null</v>
      </c>
      <c r="V3195" s="33">
        <f>IFERROR(__xludf.DUMMYFUNCTION("""COMPUTED_VALUE"""),0.6666666666666666)</f>
        <v>0.6666666667</v>
      </c>
      <c r="W3195" s="4" t="str">
        <f>IFERROR(__xludf.DUMMYFUNCTION("""COMPUTED_VALUE"""),"Solução Sistemas")</f>
        <v>Solução Sistemas</v>
      </c>
      <c r="X3195" s="33">
        <f>IFERROR(__xludf.DUMMYFUNCTION("""COMPUTED_VALUE"""),0.6666666666666666)</f>
        <v>0.6666666667</v>
      </c>
    </row>
    <row r="3196">
      <c r="K3196" s="4" t="str">
        <f>IFERROR(__xludf.DUMMYFUNCTION("""COMPUTED_VALUE"""),"BAGUETTES MOSSORO - CONTA PAI")</f>
        <v>BAGUETTES MOSSORO - CONTA PAI</v>
      </c>
      <c r="L3196" s="32">
        <f>IFERROR(__xludf.DUMMYFUNCTION("""COMPUTED_VALUE"""),3.0)</f>
        <v>3</v>
      </c>
      <c r="M3196" s="4" t="str">
        <f>IFERROR(__xludf.DUMMYFUNCTION("""COMPUTED_VALUE"""),"Saipos Serviços De Software")</f>
        <v>Saipos Serviços De Software</v>
      </c>
      <c r="N3196" s="33">
        <f>IFERROR(__xludf.DUMMYFUNCTION("""COMPUTED_VALUE"""),0.6666666666666666)</f>
        <v>0.6666666667</v>
      </c>
      <c r="O3196" s="4" t="str">
        <f>IFERROR(__xludf.DUMMYFUNCTION("""COMPUTED_VALUE"""),"Saipos Serviços De Software")</f>
        <v>Saipos Serviços De Software</v>
      </c>
      <c r="P3196" s="33">
        <f>IFERROR(__xludf.DUMMYFUNCTION("""COMPUTED_VALUE"""),1.0)</f>
        <v>1</v>
      </c>
      <c r="Q3196" s="4" t="str">
        <f>IFERROR(__xludf.DUMMYFUNCTION("""COMPUTED_VALUE"""),"Saipos Serviços De Software")</f>
        <v>Saipos Serviços De Software</v>
      </c>
      <c r="R3196" s="33">
        <f>IFERROR(__xludf.DUMMYFUNCTION("""COMPUTED_VALUE"""),1.0)</f>
        <v>1</v>
      </c>
      <c r="S3196" s="4" t="str">
        <f>IFERROR(__xludf.DUMMYFUNCTION("""COMPUTED_VALUE"""),"Saipos Serviços De Software")</f>
        <v>Saipos Serviços De Software</v>
      </c>
      <c r="T3196" s="33">
        <f>IFERROR(__xludf.DUMMYFUNCTION("""COMPUTED_VALUE"""),1.0)</f>
        <v>1</v>
      </c>
      <c r="U3196" s="4" t="str">
        <f>IFERROR(__xludf.DUMMYFUNCTION("""COMPUTED_VALUE"""),"Saipos Serviços De Software")</f>
        <v>Saipos Serviços De Software</v>
      </c>
      <c r="V3196" s="33">
        <f>IFERROR(__xludf.DUMMYFUNCTION("""COMPUTED_VALUE"""),1.0)</f>
        <v>1</v>
      </c>
      <c r="W3196" s="4" t="str">
        <f>IFERROR(__xludf.DUMMYFUNCTION("""COMPUTED_VALUE"""),"Saipos Serviços De Software")</f>
        <v>Saipos Serviços De Software</v>
      </c>
      <c r="X3196" s="33">
        <f>IFERROR(__xludf.DUMMYFUNCTION("""COMPUTED_VALUE"""),1.0)</f>
        <v>1</v>
      </c>
    </row>
    <row r="3197">
      <c r="K3197" s="4" t="str">
        <f>IFERROR(__xludf.DUMMYFUNCTION("""COMPUTED_VALUE"""),"BAKEBUN BAKERY")</f>
        <v>BAKEBUN BAKERY</v>
      </c>
      <c r="L3197" s="32">
        <f>IFERROR(__xludf.DUMMYFUNCTION("""COMPUTED_VALUE"""),3.0)</f>
        <v>3</v>
      </c>
      <c r="M3197" s="4" t="str">
        <f>IFERROR(__xludf.DUMMYFUNCTION("""COMPUTED_VALUE"""),"null")</f>
        <v>null</v>
      </c>
      <c r="N3197" s="33">
        <f>IFERROR(__xludf.DUMMYFUNCTION("""COMPUTED_VALUE"""),0.6666666666666666)</f>
        <v>0.6666666667</v>
      </c>
      <c r="O3197" s="4" t="str">
        <f>IFERROR(__xludf.DUMMYFUNCTION("""COMPUTED_VALUE"""),"null")</f>
        <v>null</v>
      </c>
      <c r="P3197" s="33">
        <f>IFERROR(__xludf.DUMMYFUNCTION("""COMPUTED_VALUE"""),0.6666666666666666)</f>
        <v>0.6666666667</v>
      </c>
      <c r="Q3197" s="4" t="str">
        <f>IFERROR(__xludf.DUMMYFUNCTION("""COMPUTED_VALUE"""),"null")</f>
        <v>null</v>
      </c>
      <c r="R3197" s="33">
        <f>IFERROR(__xludf.DUMMYFUNCTION("""COMPUTED_VALUE"""),0.6666666666666666)</f>
        <v>0.6666666667</v>
      </c>
      <c r="S3197" s="4" t="str">
        <f>IFERROR(__xludf.DUMMYFUNCTION("""COMPUTED_VALUE"""),"null")</f>
        <v>null</v>
      </c>
      <c r="T3197" s="33">
        <f>IFERROR(__xludf.DUMMYFUNCTION("""COMPUTED_VALUE"""),1.0)</f>
        <v>1</v>
      </c>
      <c r="U3197" s="4" t="str">
        <f>IFERROR(__xludf.DUMMYFUNCTION("""COMPUTED_VALUE"""),"null")</f>
        <v>null</v>
      </c>
      <c r="V3197" s="33">
        <f>IFERROR(__xludf.DUMMYFUNCTION("""COMPUTED_VALUE"""),1.0)</f>
        <v>1</v>
      </c>
      <c r="W3197" s="4" t="str">
        <f>IFERROR(__xludf.DUMMYFUNCTION("""COMPUTED_VALUE"""),"null")</f>
        <v>null</v>
      </c>
      <c r="X3197" s="33">
        <f>IFERROR(__xludf.DUMMYFUNCTION("""COMPUTED_VALUE"""),1.0)</f>
        <v>1</v>
      </c>
    </row>
    <row r="3198">
      <c r="K3198" s="4" t="str">
        <f>IFERROR(__xludf.DUMMYFUNCTION("""COMPUTED_VALUE"""),"BALBINOS BURGUER")</f>
        <v>BALBINOS BURGUER</v>
      </c>
      <c r="L3198" s="32">
        <f>IFERROR(__xludf.DUMMYFUNCTION("""COMPUTED_VALUE"""),3.0)</f>
        <v>3</v>
      </c>
      <c r="M3198" s="4" t="str">
        <f>IFERROR(__xludf.DUMMYFUNCTION("""COMPUTED_VALUE"""),"Saipos Serviços De Software")</f>
        <v>Saipos Serviços De Software</v>
      </c>
      <c r="N3198" s="33">
        <f>IFERROR(__xludf.DUMMYFUNCTION("""COMPUTED_VALUE"""),1.0)</f>
        <v>1</v>
      </c>
      <c r="O3198" s="4" t="str">
        <f>IFERROR(__xludf.DUMMYFUNCTION("""COMPUTED_VALUE"""),"Saipos Serviços De Software")</f>
        <v>Saipos Serviços De Software</v>
      </c>
      <c r="P3198" s="33">
        <f>IFERROR(__xludf.DUMMYFUNCTION("""COMPUTED_VALUE"""),1.0)</f>
        <v>1</v>
      </c>
      <c r="Q3198" s="4" t="str">
        <f>IFERROR(__xludf.DUMMYFUNCTION("""COMPUTED_VALUE"""),"Saipos Serviços De Software")</f>
        <v>Saipos Serviços De Software</v>
      </c>
      <c r="R3198" s="33">
        <f>IFERROR(__xludf.DUMMYFUNCTION("""COMPUTED_VALUE"""),1.0)</f>
        <v>1</v>
      </c>
      <c r="S3198" s="4" t="str">
        <f>IFERROR(__xludf.DUMMYFUNCTION("""COMPUTED_VALUE"""),"Saipos Serviços De Software")</f>
        <v>Saipos Serviços De Software</v>
      </c>
      <c r="T3198" s="33">
        <f>IFERROR(__xludf.DUMMYFUNCTION("""COMPUTED_VALUE"""),1.0)</f>
        <v>1</v>
      </c>
      <c r="U3198" s="4" t="str">
        <f>IFERROR(__xludf.DUMMYFUNCTION("""COMPUTED_VALUE"""),"Saipos Serviços De Software")</f>
        <v>Saipos Serviços De Software</v>
      </c>
      <c r="V3198" s="33">
        <f>IFERROR(__xludf.DUMMYFUNCTION("""COMPUTED_VALUE"""),1.0)</f>
        <v>1</v>
      </c>
      <c r="W3198" s="4" t="str">
        <f>IFERROR(__xludf.DUMMYFUNCTION("""COMPUTED_VALUE"""),"Saipos Serviços De Software")</f>
        <v>Saipos Serviços De Software</v>
      </c>
      <c r="X3198" s="33">
        <f>IFERROR(__xludf.DUMMYFUNCTION("""COMPUTED_VALUE"""),1.0)</f>
        <v>1</v>
      </c>
    </row>
    <row r="3199">
      <c r="K3199" s="4" t="str">
        <f>IFERROR(__xludf.DUMMYFUNCTION("""COMPUTED_VALUE"""),"BALCAO - COMIDA DE RUA RJ")</f>
        <v>BALCAO - COMIDA DE RUA RJ</v>
      </c>
      <c r="L3199" s="32">
        <f>IFERROR(__xludf.DUMMYFUNCTION("""COMPUTED_VALUE"""),3.0)</f>
        <v>3</v>
      </c>
      <c r="M3199" s="4" t="str">
        <f>IFERROR(__xludf.DUMMYFUNCTION("""COMPUTED_VALUE"""),"Gcom - Gestao Em Tecnologia De Informacao Eireli")</f>
        <v>Gcom - Gestao Em Tecnologia De Informacao Eireli</v>
      </c>
      <c r="N3199" s="33">
        <f>IFERROR(__xludf.DUMMYFUNCTION("""COMPUTED_VALUE"""),0.6666666666666666)</f>
        <v>0.6666666667</v>
      </c>
      <c r="O3199" s="4" t="str">
        <f>IFERROR(__xludf.DUMMYFUNCTION("""COMPUTED_VALUE"""),"Gcom - Gestao Em Tecnologia De Informacao Eireli")</f>
        <v>Gcom - Gestao Em Tecnologia De Informacao Eireli</v>
      </c>
      <c r="P3199" s="33">
        <f>IFERROR(__xludf.DUMMYFUNCTION("""COMPUTED_VALUE"""),0.6666666666666666)</f>
        <v>0.6666666667</v>
      </c>
      <c r="Q3199" s="4" t="str">
        <f>IFERROR(__xludf.DUMMYFUNCTION("""COMPUTED_VALUE"""),"Gcom - Gestao Em Tecnologia De Informacao Eireli")</f>
        <v>Gcom - Gestao Em Tecnologia De Informacao Eireli</v>
      </c>
      <c r="R3199" s="33">
        <f>IFERROR(__xludf.DUMMYFUNCTION("""COMPUTED_VALUE"""),1.0)</f>
        <v>1</v>
      </c>
      <c r="S3199" s="4" t="str">
        <f>IFERROR(__xludf.DUMMYFUNCTION("""COMPUTED_VALUE"""),"Gcom - Gestao Em Tecnologia De Informacao Eireli")</f>
        <v>Gcom - Gestao Em Tecnologia De Informacao Eireli</v>
      </c>
      <c r="T3199" s="33">
        <f>IFERROR(__xludf.DUMMYFUNCTION("""COMPUTED_VALUE"""),0.6666666666666666)</f>
        <v>0.6666666667</v>
      </c>
      <c r="U3199" s="4" t="str">
        <f>IFERROR(__xludf.DUMMYFUNCTION("""COMPUTED_VALUE"""),"Gcom - Gestao Em Tecnologia De Informacao Eireli")</f>
        <v>Gcom - Gestao Em Tecnologia De Informacao Eireli</v>
      </c>
      <c r="V3199" s="33">
        <f>IFERROR(__xludf.DUMMYFUNCTION("""COMPUTED_VALUE"""),0.6666666666666666)</f>
        <v>0.6666666667</v>
      </c>
      <c r="W3199" s="4" t="str">
        <f>IFERROR(__xludf.DUMMYFUNCTION("""COMPUTED_VALUE"""),"Gcom - Gestao Em Tecnologia De Informacao Eireli")</f>
        <v>Gcom - Gestao Em Tecnologia De Informacao Eireli</v>
      </c>
      <c r="X3199" s="33">
        <f>IFERROR(__xludf.DUMMYFUNCTION("""COMPUTED_VALUE"""),0.6666666666666666)</f>
        <v>0.6666666667</v>
      </c>
    </row>
    <row r="3200">
      <c r="K3200" s="4" t="str">
        <f>IFERROR(__xludf.DUMMYFUNCTION("""COMPUTED_VALUE"""),"BALI BURGER - UBERLANDIA")</f>
        <v>BALI BURGER - UBERLANDIA</v>
      </c>
      <c r="L3200" s="32">
        <f>IFERROR(__xludf.DUMMYFUNCTION("""COMPUTED_VALUE"""),3.0)</f>
        <v>3</v>
      </c>
      <c r="M3200" s="4" t="str">
        <f>IFERROR(__xludf.DUMMYFUNCTION("""COMPUTED_VALUE"""),"null")</f>
        <v>null</v>
      </c>
      <c r="N3200" s="33">
        <f>IFERROR(__xludf.DUMMYFUNCTION("""COMPUTED_VALUE"""),0.6666666666666666)</f>
        <v>0.6666666667</v>
      </c>
      <c r="O3200" s="4" t="str">
        <f>IFERROR(__xludf.DUMMYFUNCTION("""COMPUTED_VALUE"""),"Teknisa Service Ltda")</f>
        <v>Teknisa Service Ltda</v>
      </c>
      <c r="P3200" s="33">
        <f>IFERROR(__xludf.DUMMYFUNCTION("""COMPUTED_VALUE"""),0.6666666666666666)</f>
        <v>0.6666666667</v>
      </c>
      <c r="Q3200" s="4" t="str">
        <f>IFERROR(__xludf.DUMMYFUNCTION("""COMPUTED_VALUE"""),"Teknisa Service Ltda")</f>
        <v>Teknisa Service Ltda</v>
      </c>
      <c r="R3200" s="33">
        <f>IFERROR(__xludf.DUMMYFUNCTION("""COMPUTED_VALUE"""),0.6666666666666666)</f>
        <v>0.6666666667</v>
      </c>
      <c r="S3200" s="4" t="str">
        <f>IFERROR(__xludf.DUMMYFUNCTION("""COMPUTED_VALUE"""),"Teknisa Service Ltda")</f>
        <v>Teknisa Service Ltda</v>
      </c>
      <c r="T3200" s="33">
        <f>IFERROR(__xludf.DUMMYFUNCTION("""COMPUTED_VALUE"""),0.6666666666666666)</f>
        <v>0.6666666667</v>
      </c>
      <c r="U3200" s="4" t="str">
        <f>IFERROR(__xludf.DUMMYFUNCTION("""COMPUTED_VALUE"""),"null")</f>
        <v>null</v>
      </c>
      <c r="V3200" s="33">
        <f>IFERROR(__xludf.DUMMYFUNCTION("""COMPUTED_VALUE"""),0.6666666666666666)</f>
        <v>0.6666666667</v>
      </c>
      <c r="W3200" s="4" t="str">
        <f>IFERROR(__xludf.DUMMYFUNCTION("""COMPUTED_VALUE"""),"null")</f>
        <v>null</v>
      </c>
      <c r="X3200" s="33">
        <f>IFERROR(__xludf.DUMMYFUNCTION("""COMPUTED_VALUE"""),0.6666666666666666)</f>
        <v>0.6666666667</v>
      </c>
    </row>
    <row r="3201">
      <c r="K3201" s="4" t="str">
        <f>IFERROR(__xludf.DUMMYFUNCTION("""COMPUTED_VALUE"""),"BAMBOO SUSHI - CONTA MARCA")</f>
        <v>BAMBOO SUSHI - CONTA MARCA</v>
      </c>
      <c r="L3201" s="32">
        <f>IFERROR(__xludf.DUMMYFUNCTION("""COMPUTED_VALUE"""),3.0)</f>
        <v>3</v>
      </c>
      <c r="M3201" s="4" t="str">
        <f>IFERROR(__xludf.DUMMYFUNCTION("""COMPUTED_VALUE"""),"Bitbar")</f>
        <v>Bitbar</v>
      </c>
      <c r="N3201" s="33">
        <f>IFERROR(__xludf.DUMMYFUNCTION("""COMPUTED_VALUE"""),1.0)</f>
        <v>1</v>
      </c>
      <c r="O3201" s="4" t="str">
        <f>IFERROR(__xludf.DUMMYFUNCTION("""COMPUTED_VALUE"""),"Bitbar")</f>
        <v>Bitbar</v>
      </c>
      <c r="P3201" s="33">
        <f>IFERROR(__xludf.DUMMYFUNCTION("""COMPUTED_VALUE"""),1.0)</f>
        <v>1</v>
      </c>
      <c r="Q3201" s="4" t="str">
        <f>IFERROR(__xludf.DUMMYFUNCTION("""COMPUTED_VALUE"""),"Bitbar")</f>
        <v>Bitbar</v>
      </c>
      <c r="R3201" s="33">
        <f>IFERROR(__xludf.DUMMYFUNCTION("""COMPUTED_VALUE"""),1.0)</f>
        <v>1</v>
      </c>
      <c r="S3201" s="4" t="str">
        <f>IFERROR(__xludf.DUMMYFUNCTION("""COMPUTED_VALUE"""),"Bitbar")</f>
        <v>Bitbar</v>
      </c>
      <c r="T3201" s="33">
        <f>IFERROR(__xludf.DUMMYFUNCTION("""COMPUTED_VALUE"""),0.6666666666666666)</f>
        <v>0.6666666667</v>
      </c>
      <c r="U3201" s="4" t="str">
        <f>IFERROR(__xludf.DUMMYFUNCTION("""COMPUTED_VALUE"""),"Bitbar")</f>
        <v>Bitbar</v>
      </c>
      <c r="V3201" s="33">
        <f>IFERROR(__xludf.DUMMYFUNCTION("""COMPUTED_VALUE"""),1.0)</f>
        <v>1</v>
      </c>
      <c r="W3201" s="4" t="str">
        <f>IFERROR(__xludf.DUMMYFUNCTION("""COMPUTED_VALUE"""),"Bitbar")</f>
        <v>Bitbar</v>
      </c>
      <c r="X3201" s="33">
        <f>IFERROR(__xludf.DUMMYFUNCTION("""COMPUTED_VALUE"""),1.0)</f>
        <v>1</v>
      </c>
    </row>
    <row r="3202">
      <c r="K3202" s="4" t="str">
        <f>IFERROR(__xludf.DUMMYFUNCTION("""COMPUTED_VALUE"""),"BAMBOO SUSHI OSORIO")</f>
        <v>BAMBOO SUSHI OSORIO</v>
      </c>
      <c r="L3202" s="32">
        <f>IFERROR(__xludf.DUMMYFUNCTION("""COMPUTED_VALUE"""),3.0)</f>
        <v>3</v>
      </c>
      <c r="M3202" s="4" t="str">
        <f>IFERROR(__xludf.DUMMYFUNCTION("""COMPUTED_VALUE"""),"Bitbar")</f>
        <v>Bitbar</v>
      </c>
      <c r="N3202" s="33">
        <f>IFERROR(__xludf.DUMMYFUNCTION("""COMPUTED_VALUE"""),1.0)</f>
        <v>1</v>
      </c>
      <c r="O3202" s="4" t="str">
        <f>IFERROR(__xludf.DUMMYFUNCTION("""COMPUTED_VALUE"""),"Bitbar")</f>
        <v>Bitbar</v>
      </c>
      <c r="P3202" s="33">
        <f>IFERROR(__xludf.DUMMYFUNCTION("""COMPUTED_VALUE"""),1.0)</f>
        <v>1</v>
      </c>
      <c r="Q3202" s="4" t="str">
        <f>IFERROR(__xludf.DUMMYFUNCTION("""COMPUTED_VALUE"""),"Bitbar")</f>
        <v>Bitbar</v>
      </c>
      <c r="R3202" s="33">
        <f>IFERROR(__xludf.DUMMYFUNCTION("""COMPUTED_VALUE"""),1.0)</f>
        <v>1</v>
      </c>
      <c r="S3202" s="4" t="str">
        <f>IFERROR(__xludf.DUMMYFUNCTION("""COMPUTED_VALUE"""),"Bitbar")</f>
        <v>Bitbar</v>
      </c>
      <c r="T3202" s="33">
        <f>IFERROR(__xludf.DUMMYFUNCTION("""COMPUTED_VALUE"""),0.6666666666666666)</f>
        <v>0.6666666667</v>
      </c>
      <c r="U3202" s="4" t="str">
        <f>IFERROR(__xludf.DUMMYFUNCTION("""COMPUTED_VALUE"""),"Bitbar")</f>
        <v>Bitbar</v>
      </c>
      <c r="V3202" s="33">
        <f>IFERROR(__xludf.DUMMYFUNCTION("""COMPUTED_VALUE"""),1.0)</f>
        <v>1</v>
      </c>
      <c r="W3202" s="4" t="str">
        <f>IFERROR(__xludf.DUMMYFUNCTION("""COMPUTED_VALUE"""),"Bitbar")</f>
        <v>Bitbar</v>
      </c>
      <c r="X3202" s="33">
        <f>IFERROR(__xludf.DUMMYFUNCTION("""COMPUTED_VALUE"""),1.0)</f>
        <v>1</v>
      </c>
    </row>
    <row r="3203">
      <c r="K3203" s="4" t="str">
        <f>IFERROR(__xludf.DUMMYFUNCTION("""COMPUTED_VALUE"""),"BANZAI")</f>
        <v>BANZAI</v>
      </c>
      <c r="L3203" s="32">
        <f>IFERROR(__xludf.DUMMYFUNCTION("""COMPUTED_VALUE"""),3.0)</f>
        <v>3</v>
      </c>
      <c r="M3203" s="4" t="str">
        <f>IFERROR(__xludf.DUMMYFUNCTION("""COMPUTED_VALUE"""),"Ncr")</f>
        <v>Ncr</v>
      </c>
      <c r="N3203" s="33">
        <f>IFERROR(__xludf.DUMMYFUNCTION("""COMPUTED_VALUE"""),0.6666666666666666)</f>
        <v>0.6666666667</v>
      </c>
      <c r="O3203" s="4" t="str">
        <f>IFERROR(__xludf.DUMMYFUNCTION("""COMPUTED_VALUE"""),"Ncr")</f>
        <v>Ncr</v>
      </c>
      <c r="P3203" s="33">
        <f>IFERROR(__xludf.DUMMYFUNCTION("""COMPUTED_VALUE"""),0.6666666666666666)</f>
        <v>0.6666666667</v>
      </c>
      <c r="Q3203" s="4" t="str">
        <f>IFERROR(__xludf.DUMMYFUNCTION("""COMPUTED_VALUE"""),"Ncr")</f>
        <v>Ncr</v>
      </c>
      <c r="R3203" s="33">
        <f>IFERROR(__xludf.DUMMYFUNCTION("""COMPUTED_VALUE"""),0.6666666666666666)</f>
        <v>0.6666666667</v>
      </c>
      <c r="S3203" s="4" t="str">
        <f>IFERROR(__xludf.DUMMYFUNCTION("""COMPUTED_VALUE"""),"Anota Ai Solucoes Digitais S/a")</f>
        <v>Anota Ai Solucoes Digitais S/a</v>
      </c>
      <c r="T3203" s="33">
        <f>IFERROR(__xludf.DUMMYFUNCTION("""COMPUTED_VALUE"""),0.3333333333333333)</f>
        <v>0.3333333333</v>
      </c>
      <c r="U3203" s="4" t="str">
        <f>IFERROR(__xludf.DUMMYFUNCTION("""COMPUTED_VALUE"""),"Teknisa Service Ltda")</f>
        <v>Teknisa Service Ltda</v>
      </c>
      <c r="V3203" s="33">
        <f>IFERROR(__xludf.DUMMYFUNCTION("""COMPUTED_VALUE"""),0.6666666666666666)</f>
        <v>0.6666666667</v>
      </c>
      <c r="W3203" s="4" t="str">
        <f>IFERROR(__xludf.DUMMYFUNCTION("""COMPUTED_VALUE"""),"Teknisa Service Ltda")</f>
        <v>Teknisa Service Ltda</v>
      </c>
      <c r="X3203" s="33">
        <f>IFERROR(__xludf.DUMMYFUNCTION("""COMPUTED_VALUE"""),0.6666666666666666)</f>
        <v>0.6666666667</v>
      </c>
    </row>
    <row r="3204">
      <c r="K3204" s="4" t="str">
        <f>IFERROR(__xludf.DUMMYFUNCTION("""COMPUTED_VALUE"""),"BANZEIRO")</f>
        <v>BANZEIRO</v>
      </c>
      <c r="L3204" s="32">
        <f>IFERROR(__xludf.DUMMYFUNCTION("""COMPUTED_VALUE"""),3.0)</f>
        <v>3</v>
      </c>
      <c r="M3204" s="4" t="str">
        <f>IFERROR(__xludf.DUMMYFUNCTION("""COMPUTED_VALUE"""),"Teknisa Service Ltda")</f>
        <v>Teknisa Service Ltda</v>
      </c>
      <c r="N3204" s="33">
        <f>IFERROR(__xludf.DUMMYFUNCTION("""COMPUTED_VALUE"""),1.0)</f>
        <v>1</v>
      </c>
      <c r="O3204" s="4" t="str">
        <f>IFERROR(__xludf.DUMMYFUNCTION("""COMPUTED_VALUE"""),"Teknisa Service Ltda")</f>
        <v>Teknisa Service Ltda</v>
      </c>
      <c r="P3204" s="33">
        <f>IFERROR(__xludf.DUMMYFUNCTION("""COMPUTED_VALUE"""),1.0)</f>
        <v>1</v>
      </c>
      <c r="Q3204" s="4" t="str">
        <f>IFERROR(__xludf.DUMMYFUNCTION("""COMPUTED_VALUE"""),"Teknisa Service Ltda")</f>
        <v>Teknisa Service Ltda</v>
      </c>
      <c r="R3204" s="33">
        <f>IFERROR(__xludf.DUMMYFUNCTION("""COMPUTED_VALUE"""),0.6666666666666666)</f>
        <v>0.6666666667</v>
      </c>
      <c r="S3204" s="4" t="str">
        <f>IFERROR(__xludf.DUMMYFUNCTION("""COMPUTED_VALUE"""),"null")</f>
        <v>null</v>
      </c>
      <c r="T3204" s="33">
        <f>IFERROR(__xludf.DUMMYFUNCTION("""COMPUTED_VALUE"""),0.6666666666666666)</f>
        <v>0.6666666667</v>
      </c>
      <c r="U3204" s="4" t="str">
        <f>IFERROR(__xludf.DUMMYFUNCTION("""COMPUTED_VALUE"""),"Teknisa Service Ltda")</f>
        <v>Teknisa Service Ltda</v>
      </c>
      <c r="V3204" s="33">
        <f>IFERROR(__xludf.DUMMYFUNCTION("""COMPUTED_VALUE"""),1.0)</f>
        <v>1</v>
      </c>
      <c r="W3204" s="4" t="str">
        <f>IFERROR(__xludf.DUMMYFUNCTION("""COMPUTED_VALUE"""),"Teknisa Service Ltda")</f>
        <v>Teknisa Service Ltda</v>
      </c>
      <c r="X3204" s="33">
        <f>IFERROR(__xludf.DUMMYFUNCTION("""COMPUTED_VALUE"""),0.6666666666666666)</f>
        <v>0.6666666667</v>
      </c>
    </row>
    <row r="3205">
      <c r="K3205" s="4" t="str">
        <f>IFERROR(__xludf.DUMMYFUNCTION("""COMPUTED_VALUE"""),"BARAKIAH ESFIHAS")</f>
        <v>BARAKIAH ESFIHAS</v>
      </c>
      <c r="L3205" s="32">
        <f>IFERROR(__xludf.DUMMYFUNCTION("""COMPUTED_VALUE"""),3.0)</f>
        <v>3</v>
      </c>
      <c r="M3205" s="4" t="str">
        <f>IFERROR(__xludf.DUMMYFUNCTION("""COMPUTED_VALUE"""),"Consumer Soluções Em Tecnologia Ltda")</f>
        <v>Consumer Soluções Em Tecnologia Ltda</v>
      </c>
      <c r="N3205" s="33">
        <f>IFERROR(__xludf.DUMMYFUNCTION("""COMPUTED_VALUE"""),1.0)</f>
        <v>1</v>
      </c>
      <c r="O3205" s="4" t="str">
        <f>IFERROR(__xludf.DUMMYFUNCTION("""COMPUTED_VALUE"""),"Consumer Soluções Em Tecnologia Ltda")</f>
        <v>Consumer Soluções Em Tecnologia Ltda</v>
      </c>
      <c r="P3205" s="33">
        <f>IFERROR(__xludf.DUMMYFUNCTION("""COMPUTED_VALUE"""),1.0)</f>
        <v>1</v>
      </c>
      <c r="Q3205" s="4" t="str">
        <f>IFERROR(__xludf.DUMMYFUNCTION("""COMPUTED_VALUE"""),"Consumer Soluções Em Tecnologia Ltda")</f>
        <v>Consumer Soluções Em Tecnologia Ltda</v>
      </c>
      <c r="R3205" s="33">
        <f>IFERROR(__xludf.DUMMYFUNCTION("""COMPUTED_VALUE"""),1.0)</f>
        <v>1</v>
      </c>
      <c r="S3205" s="4" t="str">
        <f>IFERROR(__xludf.DUMMYFUNCTION("""COMPUTED_VALUE"""),"Consumer Soluções Em Tecnologia Ltda")</f>
        <v>Consumer Soluções Em Tecnologia Ltda</v>
      </c>
      <c r="T3205" s="33">
        <f>IFERROR(__xludf.DUMMYFUNCTION("""COMPUTED_VALUE"""),1.0)</f>
        <v>1</v>
      </c>
      <c r="U3205" s="4" t="str">
        <f>IFERROR(__xludf.DUMMYFUNCTION("""COMPUTED_VALUE"""),"Consumer Soluções Em Tecnologia Ltda")</f>
        <v>Consumer Soluções Em Tecnologia Ltda</v>
      </c>
      <c r="V3205" s="33">
        <f>IFERROR(__xludf.DUMMYFUNCTION("""COMPUTED_VALUE"""),0.6666666666666666)</f>
        <v>0.6666666667</v>
      </c>
      <c r="W3205" s="4" t="str">
        <f>IFERROR(__xludf.DUMMYFUNCTION("""COMPUTED_VALUE"""),"Consumer Soluções Em Tecnologia Ltda")</f>
        <v>Consumer Soluções Em Tecnologia Ltda</v>
      </c>
      <c r="X3205" s="33">
        <f>IFERROR(__xludf.DUMMYFUNCTION("""COMPUTED_VALUE"""),0.6666666666666666)</f>
        <v>0.6666666667</v>
      </c>
    </row>
    <row r="3206">
      <c r="K3206" s="4" t="str">
        <f>IFERROR(__xludf.DUMMYFUNCTION("""COMPUTED_VALUE"""),"BARAQUIAS CWB CP")</f>
        <v>BARAQUIAS CWB CP</v>
      </c>
      <c r="L3206" s="32">
        <f>IFERROR(__xludf.DUMMYFUNCTION("""COMPUTED_VALUE"""),3.0)</f>
        <v>3</v>
      </c>
      <c r="M3206" s="4" t="str">
        <f>IFERROR(__xludf.DUMMYFUNCTION("""COMPUTED_VALUE"""),"Ncr")</f>
        <v>Ncr</v>
      </c>
      <c r="N3206" s="33">
        <f>IFERROR(__xludf.DUMMYFUNCTION("""COMPUTED_VALUE"""),1.0)</f>
        <v>1</v>
      </c>
      <c r="O3206" s="4" t="str">
        <f>IFERROR(__xludf.DUMMYFUNCTION("""COMPUTED_VALUE"""),"Ncr")</f>
        <v>Ncr</v>
      </c>
      <c r="P3206" s="33">
        <f>IFERROR(__xludf.DUMMYFUNCTION("""COMPUTED_VALUE"""),1.0)</f>
        <v>1</v>
      </c>
      <c r="Q3206" s="4" t="str">
        <f>IFERROR(__xludf.DUMMYFUNCTION("""COMPUTED_VALUE"""),"Ncr")</f>
        <v>Ncr</v>
      </c>
      <c r="R3206" s="33">
        <f>IFERROR(__xludf.DUMMYFUNCTION("""COMPUTED_VALUE"""),1.0)</f>
        <v>1</v>
      </c>
      <c r="S3206" s="4" t="str">
        <f>IFERROR(__xludf.DUMMYFUNCTION("""COMPUTED_VALUE"""),"Ncr")</f>
        <v>Ncr</v>
      </c>
      <c r="T3206" s="33">
        <f>IFERROR(__xludf.DUMMYFUNCTION("""COMPUTED_VALUE"""),0.6666666666666666)</f>
        <v>0.6666666667</v>
      </c>
      <c r="U3206" s="4" t="str">
        <f>IFERROR(__xludf.DUMMYFUNCTION("""COMPUTED_VALUE"""),"Ncr")</f>
        <v>Ncr</v>
      </c>
      <c r="V3206" s="33">
        <f>IFERROR(__xludf.DUMMYFUNCTION("""COMPUTED_VALUE"""),0.6666666666666666)</f>
        <v>0.6666666667</v>
      </c>
      <c r="W3206" s="4" t="str">
        <f>IFERROR(__xludf.DUMMYFUNCTION("""COMPUTED_VALUE"""),"Ncr")</f>
        <v>Ncr</v>
      </c>
      <c r="X3206" s="33">
        <f>IFERROR(__xludf.DUMMYFUNCTION("""COMPUTED_VALUE"""),0.6666666666666666)</f>
        <v>0.6666666667</v>
      </c>
    </row>
    <row r="3207">
      <c r="K3207" s="4" t="str">
        <f>IFERROR(__xludf.DUMMYFUNCTION("""COMPUTED_VALUE"""),"BARRAZ FAST FOOD - CONTA MARCA")</f>
        <v>BARRAZ FAST FOOD - CONTA MARCA</v>
      </c>
      <c r="L3207" s="32">
        <f>IFERROR(__xludf.DUMMYFUNCTION("""COMPUTED_VALUE"""),3.0)</f>
        <v>3</v>
      </c>
      <c r="M3207" s="4" t="str">
        <f>IFERROR(__xludf.DUMMYFUNCTION("""COMPUTED_VALUE"""),"Cardápio Web")</f>
        <v>Cardápio Web</v>
      </c>
      <c r="N3207" s="33">
        <f>IFERROR(__xludf.DUMMYFUNCTION("""COMPUTED_VALUE"""),1.0)</f>
        <v>1</v>
      </c>
      <c r="O3207" s="4" t="str">
        <f>IFERROR(__xludf.DUMMYFUNCTION("""COMPUTED_VALUE"""),"Cardápio Web")</f>
        <v>Cardápio Web</v>
      </c>
      <c r="P3207" s="33">
        <f>IFERROR(__xludf.DUMMYFUNCTION("""COMPUTED_VALUE"""),1.0)</f>
        <v>1</v>
      </c>
      <c r="Q3207" s="4" t="str">
        <f>IFERROR(__xludf.DUMMYFUNCTION("""COMPUTED_VALUE"""),"Cardápio Web")</f>
        <v>Cardápio Web</v>
      </c>
      <c r="R3207" s="33">
        <f>IFERROR(__xludf.DUMMYFUNCTION("""COMPUTED_VALUE"""),1.0)</f>
        <v>1</v>
      </c>
      <c r="S3207" s="4" t="str">
        <f>IFERROR(__xludf.DUMMYFUNCTION("""COMPUTED_VALUE"""),"Cardápio Web")</f>
        <v>Cardápio Web</v>
      </c>
      <c r="T3207" s="33">
        <f>IFERROR(__xludf.DUMMYFUNCTION("""COMPUTED_VALUE"""),1.0)</f>
        <v>1</v>
      </c>
      <c r="U3207" s="4" t="str">
        <f>IFERROR(__xludf.DUMMYFUNCTION("""COMPUTED_VALUE"""),"Cardápio Web")</f>
        <v>Cardápio Web</v>
      </c>
      <c r="V3207" s="33">
        <f>IFERROR(__xludf.DUMMYFUNCTION("""COMPUTED_VALUE"""),1.0)</f>
        <v>1</v>
      </c>
      <c r="W3207" s="4" t="str">
        <f>IFERROR(__xludf.DUMMYFUNCTION("""COMPUTED_VALUE"""),"Cardápio Web")</f>
        <v>Cardápio Web</v>
      </c>
      <c r="X3207" s="33">
        <f>IFERROR(__xludf.DUMMYFUNCTION("""COMPUTED_VALUE"""),1.0)</f>
        <v>1</v>
      </c>
    </row>
    <row r="3208">
      <c r="K3208" s="4" t="str">
        <f>IFERROR(__xludf.DUMMYFUNCTION("""COMPUTED_VALUE"""),"BARTECO")</f>
        <v>BARTECO</v>
      </c>
      <c r="L3208" s="32">
        <f>IFERROR(__xludf.DUMMYFUNCTION("""COMPUTED_VALUE"""),3.0)</f>
        <v>3</v>
      </c>
      <c r="M3208" s="4" t="str">
        <f>IFERROR(__xludf.DUMMYFUNCTION("""COMPUTED_VALUE"""),"Vuca Solution")</f>
        <v>Vuca Solution</v>
      </c>
      <c r="N3208" s="33">
        <f>IFERROR(__xludf.DUMMYFUNCTION("""COMPUTED_VALUE"""),1.0)</f>
        <v>1</v>
      </c>
      <c r="O3208" s="4" t="str">
        <f>IFERROR(__xludf.DUMMYFUNCTION("""COMPUTED_VALUE"""),"Saipos Serviços De Software")</f>
        <v>Saipos Serviços De Software</v>
      </c>
      <c r="P3208" s="33">
        <f>IFERROR(__xludf.DUMMYFUNCTION("""COMPUTED_VALUE"""),0.6666666666666666)</f>
        <v>0.6666666667</v>
      </c>
      <c r="Q3208" s="4" t="str">
        <f>IFERROR(__xludf.DUMMYFUNCTION("""COMPUTED_VALUE"""),"Saipos Serviços De Software")</f>
        <v>Saipos Serviços De Software</v>
      </c>
      <c r="R3208" s="33">
        <f>IFERROR(__xludf.DUMMYFUNCTION("""COMPUTED_VALUE"""),0.6666666666666666)</f>
        <v>0.6666666667</v>
      </c>
      <c r="S3208" s="4" t="str">
        <f>IFERROR(__xludf.DUMMYFUNCTION("""COMPUTED_VALUE"""),"Saipos Serviços De Software")</f>
        <v>Saipos Serviços De Software</v>
      </c>
      <c r="T3208" s="33">
        <f>IFERROR(__xludf.DUMMYFUNCTION("""COMPUTED_VALUE"""),0.6666666666666666)</f>
        <v>0.6666666667</v>
      </c>
      <c r="U3208" s="4" t="str">
        <f>IFERROR(__xludf.DUMMYFUNCTION("""COMPUTED_VALUE"""),"Saipos Serviços De Software")</f>
        <v>Saipos Serviços De Software</v>
      </c>
      <c r="V3208" s="33">
        <f>IFERROR(__xludf.DUMMYFUNCTION("""COMPUTED_VALUE"""),1.0)</f>
        <v>1</v>
      </c>
      <c r="W3208" s="4" t="str">
        <f>IFERROR(__xludf.DUMMYFUNCTION("""COMPUTED_VALUE"""),"Saipos Serviços De Software")</f>
        <v>Saipos Serviços De Software</v>
      </c>
      <c r="X3208" s="33">
        <f>IFERROR(__xludf.DUMMYFUNCTION("""COMPUTED_VALUE"""),1.0)</f>
        <v>1</v>
      </c>
    </row>
    <row r="3209">
      <c r="K3209" s="4" t="str">
        <f>IFERROR(__xludf.DUMMYFUNCTION("""COMPUTED_VALUE"""),"BARTECO M")</f>
        <v>BARTECO M</v>
      </c>
      <c r="L3209" s="32">
        <f>IFERROR(__xludf.DUMMYFUNCTION("""COMPUTED_VALUE"""),3.0)</f>
        <v>3</v>
      </c>
      <c r="M3209" s="4" t="str">
        <f>IFERROR(__xludf.DUMMYFUNCTION("""COMPUTED_VALUE"""),"Vuca Solution")</f>
        <v>Vuca Solution</v>
      </c>
      <c r="N3209" s="33">
        <f>IFERROR(__xludf.DUMMYFUNCTION("""COMPUTED_VALUE"""),1.0)</f>
        <v>1</v>
      </c>
      <c r="O3209" s="4" t="str">
        <f>IFERROR(__xludf.DUMMYFUNCTION("""COMPUTED_VALUE"""),"Saipos Serviços De Software")</f>
        <v>Saipos Serviços De Software</v>
      </c>
      <c r="P3209" s="33">
        <f>IFERROR(__xludf.DUMMYFUNCTION("""COMPUTED_VALUE"""),0.6666666666666666)</f>
        <v>0.6666666667</v>
      </c>
      <c r="Q3209" s="4" t="str">
        <f>IFERROR(__xludf.DUMMYFUNCTION("""COMPUTED_VALUE"""),"Saipos Serviços De Software")</f>
        <v>Saipos Serviços De Software</v>
      </c>
      <c r="R3209" s="33">
        <f>IFERROR(__xludf.DUMMYFUNCTION("""COMPUTED_VALUE"""),0.6666666666666666)</f>
        <v>0.6666666667</v>
      </c>
      <c r="S3209" s="4" t="str">
        <f>IFERROR(__xludf.DUMMYFUNCTION("""COMPUTED_VALUE"""),"Saipos Serviços De Software")</f>
        <v>Saipos Serviços De Software</v>
      </c>
      <c r="T3209" s="33">
        <f>IFERROR(__xludf.DUMMYFUNCTION("""COMPUTED_VALUE"""),0.6666666666666666)</f>
        <v>0.6666666667</v>
      </c>
      <c r="U3209" s="4" t="str">
        <f>IFERROR(__xludf.DUMMYFUNCTION("""COMPUTED_VALUE"""),"Saipos Serviços De Software")</f>
        <v>Saipos Serviços De Software</v>
      </c>
      <c r="V3209" s="33">
        <f>IFERROR(__xludf.DUMMYFUNCTION("""COMPUTED_VALUE"""),1.0)</f>
        <v>1</v>
      </c>
      <c r="W3209" s="4" t="str">
        <f>IFERROR(__xludf.DUMMYFUNCTION("""COMPUTED_VALUE"""),"Saipos Serviços De Software")</f>
        <v>Saipos Serviços De Software</v>
      </c>
      <c r="X3209" s="33">
        <f>IFERROR(__xludf.DUMMYFUNCTION("""COMPUTED_VALUE"""),1.0)</f>
        <v>1</v>
      </c>
    </row>
    <row r="3210">
      <c r="K3210" s="4" t="str">
        <f>IFERROR(__xludf.DUMMYFUNCTION("""COMPUTED_VALUE"""),"BARUFS")</f>
        <v>BARUFS</v>
      </c>
      <c r="L3210" s="32">
        <f>IFERROR(__xludf.DUMMYFUNCTION("""COMPUTED_VALUE"""),3.0)</f>
        <v>3</v>
      </c>
      <c r="M3210" s="4" t="str">
        <f>IFERROR(__xludf.DUMMYFUNCTION("""COMPUTED_VALUE"""),"Saipos Serviços De Software")</f>
        <v>Saipos Serviços De Software</v>
      </c>
      <c r="N3210" s="33">
        <f>IFERROR(__xludf.DUMMYFUNCTION("""COMPUTED_VALUE"""),1.0)</f>
        <v>1</v>
      </c>
      <c r="O3210" s="4" t="str">
        <f>IFERROR(__xludf.DUMMYFUNCTION("""COMPUTED_VALUE"""),"Saipos Serviços De Software")</f>
        <v>Saipos Serviços De Software</v>
      </c>
      <c r="P3210" s="33">
        <f>IFERROR(__xludf.DUMMYFUNCTION("""COMPUTED_VALUE"""),1.0)</f>
        <v>1</v>
      </c>
      <c r="Q3210" s="4" t="str">
        <f>IFERROR(__xludf.DUMMYFUNCTION("""COMPUTED_VALUE"""),"Saipos Serviços De Software")</f>
        <v>Saipos Serviços De Software</v>
      </c>
      <c r="R3210" s="33">
        <f>IFERROR(__xludf.DUMMYFUNCTION("""COMPUTED_VALUE"""),1.0)</f>
        <v>1</v>
      </c>
      <c r="S3210" s="4" t="str">
        <f>IFERROR(__xludf.DUMMYFUNCTION("""COMPUTED_VALUE"""),"Saipos Serviços De Software")</f>
        <v>Saipos Serviços De Software</v>
      </c>
      <c r="T3210" s="33">
        <f>IFERROR(__xludf.DUMMYFUNCTION("""COMPUTED_VALUE"""),1.0)</f>
        <v>1</v>
      </c>
      <c r="U3210" s="4" t="str">
        <f>IFERROR(__xludf.DUMMYFUNCTION("""COMPUTED_VALUE"""),"Saipos Serviços De Software")</f>
        <v>Saipos Serviços De Software</v>
      </c>
      <c r="V3210" s="33">
        <f>IFERROR(__xludf.DUMMYFUNCTION("""COMPUTED_VALUE"""),1.0)</f>
        <v>1</v>
      </c>
      <c r="W3210" s="4" t="str">
        <f>IFERROR(__xludf.DUMMYFUNCTION("""COMPUTED_VALUE"""),"Saipos Serviços De Software")</f>
        <v>Saipos Serviços De Software</v>
      </c>
      <c r="X3210" s="33">
        <f>IFERROR(__xludf.DUMMYFUNCTION("""COMPUTED_VALUE"""),1.0)</f>
        <v>1</v>
      </c>
    </row>
    <row r="3211">
      <c r="K3211" s="4" t="str">
        <f>IFERROR(__xludf.DUMMYFUNCTION("""COMPUTED_VALUE"""),"BARUK ESFIHARIA MT")</f>
        <v>BARUK ESFIHARIA MT</v>
      </c>
      <c r="L3211" s="32">
        <f>IFERROR(__xludf.DUMMYFUNCTION("""COMPUTED_VALUE"""),3.0)</f>
        <v>3</v>
      </c>
      <c r="M3211" s="4" t="str">
        <f>IFERROR(__xludf.DUMMYFUNCTION("""COMPUTED_VALUE"""),"Saipos Serviços De Software")</f>
        <v>Saipos Serviços De Software</v>
      </c>
      <c r="N3211" s="33">
        <f>IFERROR(__xludf.DUMMYFUNCTION("""COMPUTED_VALUE"""),1.0)</f>
        <v>1</v>
      </c>
      <c r="O3211" s="4" t="str">
        <f>IFERROR(__xludf.DUMMYFUNCTION("""COMPUTED_VALUE"""),"Saipos Serviços De Software")</f>
        <v>Saipos Serviços De Software</v>
      </c>
      <c r="P3211" s="33">
        <f>IFERROR(__xludf.DUMMYFUNCTION("""COMPUTED_VALUE"""),1.0)</f>
        <v>1</v>
      </c>
      <c r="Q3211" s="4" t="str">
        <f>IFERROR(__xludf.DUMMYFUNCTION("""COMPUTED_VALUE"""),"Saipos Serviços De Software")</f>
        <v>Saipos Serviços De Software</v>
      </c>
      <c r="R3211" s="33">
        <f>IFERROR(__xludf.DUMMYFUNCTION("""COMPUTED_VALUE"""),1.0)</f>
        <v>1</v>
      </c>
      <c r="S3211" s="4" t="str">
        <f>IFERROR(__xludf.DUMMYFUNCTION("""COMPUTED_VALUE"""),"Saipos Serviços De Software")</f>
        <v>Saipos Serviços De Software</v>
      </c>
      <c r="T3211" s="33">
        <f>IFERROR(__xludf.DUMMYFUNCTION("""COMPUTED_VALUE"""),1.0)</f>
        <v>1</v>
      </c>
      <c r="U3211" s="4" t="str">
        <f>IFERROR(__xludf.DUMMYFUNCTION("""COMPUTED_VALUE"""),"Saipos Serviços De Software")</f>
        <v>Saipos Serviços De Software</v>
      </c>
      <c r="V3211" s="33">
        <f>IFERROR(__xludf.DUMMYFUNCTION("""COMPUTED_VALUE"""),1.0)</f>
        <v>1</v>
      </c>
      <c r="W3211" s="4" t="str">
        <f>IFERROR(__xludf.DUMMYFUNCTION("""COMPUTED_VALUE"""),"Saipos Serviços De Software")</f>
        <v>Saipos Serviços De Software</v>
      </c>
      <c r="X3211" s="33">
        <f>IFERROR(__xludf.DUMMYFUNCTION("""COMPUTED_VALUE"""),1.0)</f>
        <v>1</v>
      </c>
    </row>
    <row r="3212">
      <c r="K3212" s="4" t="str">
        <f>IFERROR(__xludf.DUMMYFUNCTION("""COMPUTED_VALUE"""),"BASILIO STEAKHOUSE - CONTA MARCA")</f>
        <v>BASILIO STEAKHOUSE - CONTA MARCA</v>
      </c>
      <c r="L3212" s="32">
        <f>IFERROR(__xludf.DUMMYFUNCTION("""COMPUTED_VALUE"""),3.0)</f>
        <v>3</v>
      </c>
      <c r="M3212" s="4" t="str">
        <f>IFERROR(__xludf.DUMMYFUNCTION("""COMPUTED_VALUE"""),"Consumer Soluções Em Tecnologia Ltda")</f>
        <v>Consumer Soluções Em Tecnologia Ltda</v>
      </c>
      <c r="N3212" s="33">
        <f>IFERROR(__xludf.DUMMYFUNCTION("""COMPUTED_VALUE"""),0.6666666666666666)</f>
        <v>0.6666666667</v>
      </c>
      <c r="O3212" s="4" t="str">
        <f>IFERROR(__xludf.DUMMYFUNCTION("""COMPUTED_VALUE"""),"null")</f>
        <v>null</v>
      </c>
      <c r="P3212" s="33">
        <f>IFERROR(__xludf.DUMMYFUNCTION("""COMPUTED_VALUE"""),0.6666666666666666)</f>
        <v>0.6666666667</v>
      </c>
      <c r="Q3212" s="4" t="str">
        <f>IFERROR(__xludf.DUMMYFUNCTION("""COMPUTED_VALUE"""),"null")</f>
        <v>null</v>
      </c>
      <c r="R3212" s="33">
        <f>IFERROR(__xludf.DUMMYFUNCTION("""COMPUTED_VALUE"""),0.6666666666666666)</f>
        <v>0.6666666667</v>
      </c>
      <c r="S3212" s="4" t="str">
        <f>IFERROR(__xludf.DUMMYFUNCTION("""COMPUTED_VALUE"""),"null")</f>
        <v>null</v>
      </c>
      <c r="T3212" s="33">
        <f>IFERROR(__xludf.DUMMYFUNCTION("""COMPUTED_VALUE"""),0.6666666666666666)</f>
        <v>0.6666666667</v>
      </c>
      <c r="U3212" s="4" t="str">
        <f>IFERROR(__xludf.DUMMYFUNCTION("""COMPUTED_VALUE"""),"null")</f>
        <v>null</v>
      </c>
      <c r="V3212" s="33">
        <f>IFERROR(__xludf.DUMMYFUNCTION("""COMPUTED_VALUE"""),0.6666666666666666)</f>
        <v>0.6666666667</v>
      </c>
      <c r="W3212" s="4" t="str">
        <f>IFERROR(__xludf.DUMMYFUNCTION("""COMPUTED_VALUE"""),"null")</f>
        <v>null</v>
      </c>
      <c r="X3212" s="33">
        <f>IFERROR(__xludf.DUMMYFUNCTION("""COMPUTED_VALUE"""),0.6666666666666666)</f>
        <v>0.6666666667</v>
      </c>
    </row>
    <row r="3213">
      <c r="K3213" s="4" t="str">
        <f>IFERROR(__xludf.DUMMYFUNCTION("""COMPUTED_VALUE"""),"BATEL GRILL EXPRESS")</f>
        <v>BATEL GRILL EXPRESS</v>
      </c>
      <c r="L3213" s="32">
        <f>IFERROR(__xludf.DUMMYFUNCTION("""COMPUTED_VALUE"""),3.0)</f>
        <v>3</v>
      </c>
      <c r="M3213" s="4" t="str">
        <f>IFERROR(__xludf.DUMMYFUNCTION("""COMPUTED_VALUE"""),"Dalcatech Automacao E Desenvolvimento De Software Ltda")</f>
        <v>Dalcatech Automacao E Desenvolvimento De Software Ltda</v>
      </c>
      <c r="N3213" s="33">
        <f>IFERROR(__xludf.DUMMYFUNCTION("""COMPUTED_VALUE"""),1.0)</f>
        <v>1</v>
      </c>
      <c r="O3213" s="4" t="str">
        <f>IFERROR(__xludf.DUMMYFUNCTION("""COMPUTED_VALUE"""),"Dalcatech Automacao E Desenvolvimento De Software Ltda")</f>
        <v>Dalcatech Automacao E Desenvolvimento De Software Ltda</v>
      </c>
      <c r="P3213" s="33">
        <f>IFERROR(__xludf.DUMMYFUNCTION("""COMPUTED_VALUE"""),1.0)</f>
        <v>1</v>
      </c>
      <c r="Q3213" s="4" t="str">
        <f>IFERROR(__xludf.DUMMYFUNCTION("""COMPUTED_VALUE"""),"Dalcatech Automacao E Desenvolvimento De Software Ltda")</f>
        <v>Dalcatech Automacao E Desenvolvimento De Software Ltda</v>
      </c>
      <c r="R3213" s="33">
        <f>IFERROR(__xludf.DUMMYFUNCTION("""COMPUTED_VALUE"""),1.0)</f>
        <v>1</v>
      </c>
      <c r="S3213" s="4" t="str">
        <f>IFERROR(__xludf.DUMMYFUNCTION("""COMPUTED_VALUE"""),"Dalcatech Automacao E Desenvolvimento De Software Ltda")</f>
        <v>Dalcatech Automacao E Desenvolvimento De Software Ltda</v>
      </c>
      <c r="T3213" s="33">
        <f>IFERROR(__xludf.DUMMYFUNCTION("""COMPUTED_VALUE"""),1.0)</f>
        <v>1</v>
      </c>
      <c r="U3213" s="4" t="str">
        <f>IFERROR(__xludf.DUMMYFUNCTION("""COMPUTED_VALUE"""),"Dalcatech Automacao E Desenvolvimento De Software Ltda")</f>
        <v>Dalcatech Automacao E Desenvolvimento De Software Ltda</v>
      </c>
      <c r="V3213" s="33">
        <f>IFERROR(__xludf.DUMMYFUNCTION("""COMPUTED_VALUE"""),1.0)</f>
        <v>1</v>
      </c>
      <c r="W3213" s="4" t="str">
        <f>IFERROR(__xludf.DUMMYFUNCTION("""COMPUTED_VALUE"""),"Dalcatech Automacao E Desenvolvimento De Software Ltda")</f>
        <v>Dalcatech Automacao E Desenvolvimento De Software Ltda</v>
      </c>
      <c r="X3213" s="33">
        <f>IFERROR(__xludf.DUMMYFUNCTION("""COMPUTED_VALUE"""),1.0)</f>
        <v>1</v>
      </c>
    </row>
    <row r="3214">
      <c r="K3214" s="4" t="str">
        <f>IFERROR(__xludf.DUMMYFUNCTION("""COMPUTED_VALUE"""),"BAZOO AMERICAN FOOD")</f>
        <v>BAZOO AMERICAN FOOD</v>
      </c>
      <c r="L3214" s="32">
        <f>IFERROR(__xludf.DUMMYFUNCTION("""COMPUTED_VALUE"""),3.0)</f>
        <v>3</v>
      </c>
      <c r="M3214" s="4" t="str">
        <f>IFERROR(__xludf.DUMMYFUNCTION("""COMPUTED_VALUE"""),"Saipos Serviços De Software")</f>
        <v>Saipos Serviços De Software</v>
      </c>
      <c r="N3214" s="33">
        <f>IFERROR(__xludf.DUMMYFUNCTION("""COMPUTED_VALUE"""),1.0)</f>
        <v>1</v>
      </c>
      <c r="O3214" s="4" t="str">
        <f>IFERROR(__xludf.DUMMYFUNCTION("""COMPUTED_VALUE"""),"Saipos Serviços De Software")</f>
        <v>Saipos Serviços De Software</v>
      </c>
      <c r="P3214" s="33">
        <f>IFERROR(__xludf.DUMMYFUNCTION("""COMPUTED_VALUE"""),1.0)</f>
        <v>1</v>
      </c>
      <c r="Q3214" s="4" t="str">
        <f>IFERROR(__xludf.DUMMYFUNCTION("""COMPUTED_VALUE"""),"Saipos Serviços De Software")</f>
        <v>Saipos Serviços De Software</v>
      </c>
      <c r="R3214" s="33">
        <f>IFERROR(__xludf.DUMMYFUNCTION("""COMPUTED_VALUE"""),1.0)</f>
        <v>1</v>
      </c>
      <c r="S3214" s="4" t="str">
        <f>IFERROR(__xludf.DUMMYFUNCTION("""COMPUTED_VALUE"""),"Saipos Serviços De Software")</f>
        <v>Saipos Serviços De Software</v>
      </c>
      <c r="T3214" s="33">
        <f>IFERROR(__xludf.DUMMYFUNCTION("""COMPUTED_VALUE"""),0.6666666666666666)</f>
        <v>0.6666666667</v>
      </c>
      <c r="U3214" s="4" t="str">
        <f>IFERROR(__xludf.DUMMYFUNCTION("""COMPUTED_VALUE"""),"Saipos Serviços De Software")</f>
        <v>Saipos Serviços De Software</v>
      </c>
      <c r="V3214" s="33">
        <f>IFERROR(__xludf.DUMMYFUNCTION("""COMPUTED_VALUE"""),0.6666666666666666)</f>
        <v>0.6666666667</v>
      </c>
      <c r="W3214" s="4" t="str">
        <f>IFERROR(__xludf.DUMMYFUNCTION("""COMPUTED_VALUE"""),"Saipos Serviços De Software")</f>
        <v>Saipos Serviços De Software</v>
      </c>
      <c r="X3214" s="33">
        <f>IFERROR(__xludf.DUMMYFUNCTION("""COMPUTED_VALUE"""),0.6666666666666666)</f>
        <v>0.6666666667</v>
      </c>
    </row>
    <row r="3215">
      <c r="K3215" s="4" t="str">
        <f>IFERROR(__xludf.DUMMYFUNCTION("""COMPUTED_VALUE"""),"BBC BURGER")</f>
        <v>BBC BURGER</v>
      </c>
      <c r="L3215" s="32">
        <f>IFERROR(__xludf.DUMMYFUNCTION("""COMPUTED_VALUE"""),3.0)</f>
        <v>3</v>
      </c>
      <c r="M3215" s="4" t="str">
        <f>IFERROR(__xludf.DUMMYFUNCTION("""COMPUTED_VALUE"""),"Saipos Serviços De Software")</f>
        <v>Saipos Serviços De Software</v>
      </c>
      <c r="N3215" s="33">
        <f>IFERROR(__xludf.DUMMYFUNCTION("""COMPUTED_VALUE"""),1.0)</f>
        <v>1</v>
      </c>
      <c r="O3215" s="4" t="str">
        <f>IFERROR(__xludf.DUMMYFUNCTION("""COMPUTED_VALUE"""),"Saipos Serviços De Software")</f>
        <v>Saipos Serviços De Software</v>
      </c>
      <c r="P3215" s="33">
        <f>IFERROR(__xludf.DUMMYFUNCTION("""COMPUTED_VALUE"""),1.0)</f>
        <v>1</v>
      </c>
      <c r="Q3215" s="4" t="str">
        <f>IFERROR(__xludf.DUMMYFUNCTION("""COMPUTED_VALUE"""),"Saipos Serviços De Software")</f>
        <v>Saipos Serviços De Software</v>
      </c>
      <c r="R3215" s="33">
        <f>IFERROR(__xludf.DUMMYFUNCTION("""COMPUTED_VALUE"""),1.0)</f>
        <v>1</v>
      </c>
      <c r="S3215" s="4" t="str">
        <f>IFERROR(__xludf.DUMMYFUNCTION("""COMPUTED_VALUE"""),"Saipos Serviços De Software")</f>
        <v>Saipos Serviços De Software</v>
      </c>
      <c r="T3215" s="33">
        <f>IFERROR(__xludf.DUMMYFUNCTION("""COMPUTED_VALUE"""),1.0)</f>
        <v>1</v>
      </c>
      <c r="U3215" s="4" t="str">
        <f>IFERROR(__xludf.DUMMYFUNCTION("""COMPUTED_VALUE"""),"Saipos Serviços De Software")</f>
        <v>Saipos Serviços De Software</v>
      </c>
      <c r="V3215" s="33">
        <f>IFERROR(__xludf.DUMMYFUNCTION("""COMPUTED_VALUE"""),1.0)</f>
        <v>1</v>
      </c>
      <c r="W3215" s="4" t="str">
        <f>IFERROR(__xludf.DUMMYFUNCTION("""COMPUTED_VALUE"""),"Saipos Serviços De Software")</f>
        <v>Saipos Serviços De Software</v>
      </c>
      <c r="X3215" s="33">
        <f>IFERROR(__xludf.DUMMYFUNCTION("""COMPUTED_VALUE"""),1.0)</f>
        <v>1</v>
      </c>
    </row>
    <row r="3216">
      <c r="K3216" s="4" t="str">
        <f>IFERROR(__xludf.DUMMYFUNCTION("""COMPUTED_VALUE"""),"BE BURGUER")</f>
        <v>BE BURGUER</v>
      </c>
      <c r="L3216" s="32">
        <f>IFERROR(__xludf.DUMMYFUNCTION("""COMPUTED_VALUE"""),3.0)</f>
        <v>3</v>
      </c>
      <c r="M3216" s="4" t="str">
        <f>IFERROR(__xludf.DUMMYFUNCTION("""COMPUTED_VALUE"""),"Saipos Serviços De Software")</f>
        <v>Saipos Serviços De Software</v>
      </c>
      <c r="N3216" s="33">
        <f>IFERROR(__xludf.DUMMYFUNCTION("""COMPUTED_VALUE"""),1.0)</f>
        <v>1</v>
      </c>
      <c r="O3216" s="4" t="str">
        <f>IFERROR(__xludf.DUMMYFUNCTION("""COMPUTED_VALUE"""),"Saipos Serviços De Software")</f>
        <v>Saipos Serviços De Software</v>
      </c>
      <c r="P3216" s="33">
        <f>IFERROR(__xludf.DUMMYFUNCTION("""COMPUTED_VALUE"""),1.0)</f>
        <v>1</v>
      </c>
      <c r="Q3216" s="4" t="str">
        <f>IFERROR(__xludf.DUMMYFUNCTION("""COMPUTED_VALUE"""),"Saipos Serviços De Software")</f>
        <v>Saipos Serviços De Software</v>
      </c>
      <c r="R3216" s="33">
        <f>IFERROR(__xludf.DUMMYFUNCTION("""COMPUTED_VALUE"""),1.0)</f>
        <v>1</v>
      </c>
      <c r="S3216" s="4" t="str">
        <f>IFERROR(__xludf.DUMMYFUNCTION("""COMPUTED_VALUE"""),"Saipos Serviços De Software")</f>
        <v>Saipos Serviços De Software</v>
      </c>
      <c r="T3216" s="33">
        <f>IFERROR(__xludf.DUMMYFUNCTION("""COMPUTED_VALUE"""),1.0)</f>
        <v>1</v>
      </c>
      <c r="U3216" s="4" t="str">
        <f>IFERROR(__xludf.DUMMYFUNCTION("""COMPUTED_VALUE"""),"Saipos Serviços De Software")</f>
        <v>Saipos Serviços De Software</v>
      </c>
      <c r="V3216" s="33">
        <f>IFERROR(__xludf.DUMMYFUNCTION("""COMPUTED_VALUE"""),1.0)</f>
        <v>1</v>
      </c>
      <c r="W3216" s="4" t="str">
        <f>IFERROR(__xludf.DUMMYFUNCTION("""COMPUTED_VALUE"""),"Saipos Serviços De Software")</f>
        <v>Saipos Serviços De Software</v>
      </c>
      <c r="X3216" s="33">
        <f>IFERROR(__xludf.DUMMYFUNCTION("""COMPUTED_VALUE"""),1.0)</f>
        <v>1</v>
      </c>
    </row>
    <row r="3217">
      <c r="K3217" s="4" t="str">
        <f>IFERROR(__xludf.DUMMYFUNCTION("""COMPUTED_VALUE"""),"GRUPO DOCK")</f>
        <v>GRUPO DOCK</v>
      </c>
      <c r="L3217" s="32">
        <f>IFERROR(__xludf.DUMMYFUNCTION("""COMPUTED_VALUE"""),3.0)</f>
        <v>3</v>
      </c>
      <c r="M3217" s="4" t="str">
        <f>IFERROR(__xludf.DUMMYFUNCTION("""COMPUTED_VALUE"""),"Ncr")</f>
        <v>Ncr</v>
      </c>
      <c r="N3217" s="33">
        <f>IFERROR(__xludf.DUMMYFUNCTION("""COMPUTED_VALUE"""),1.0)</f>
        <v>1</v>
      </c>
      <c r="O3217" s="4" t="str">
        <f>IFERROR(__xludf.DUMMYFUNCTION("""COMPUTED_VALUE"""),"Ncr")</f>
        <v>Ncr</v>
      </c>
      <c r="P3217" s="33">
        <f>IFERROR(__xludf.DUMMYFUNCTION("""COMPUTED_VALUE"""),1.0)</f>
        <v>1</v>
      </c>
      <c r="Q3217" s="4" t="str">
        <f>IFERROR(__xludf.DUMMYFUNCTION("""COMPUTED_VALUE"""),"Ncr")</f>
        <v>Ncr</v>
      </c>
      <c r="R3217" s="33">
        <f>IFERROR(__xludf.DUMMYFUNCTION("""COMPUTED_VALUE"""),1.0)</f>
        <v>1</v>
      </c>
      <c r="S3217" s="4" t="str">
        <f>IFERROR(__xludf.DUMMYFUNCTION("""COMPUTED_VALUE"""),"Ncr")</f>
        <v>Ncr</v>
      </c>
      <c r="T3217" s="33">
        <f>IFERROR(__xludf.DUMMYFUNCTION("""COMPUTED_VALUE"""),1.0)</f>
        <v>1</v>
      </c>
      <c r="U3217" s="4" t="str">
        <f>IFERROR(__xludf.DUMMYFUNCTION("""COMPUTED_VALUE"""),"Ncr")</f>
        <v>Ncr</v>
      </c>
      <c r="V3217" s="33">
        <f>IFERROR(__xludf.DUMMYFUNCTION("""COMPUTED_VALUE"""),1.0)</f>
        <v>1</v>
      </c>
      <c r="W3217" s="4" t="str">
        <f>IFERROR(__xludf.DUMMYFUNCTION("""COMPUTED_VALUE"""),"Ncr")</f>
        <v>Ncr</v>
      </c>
      <c r="X3217" s="33">
        <f>IFERROR(__xludf.DUMMYFUNCTION("""COMPUTED_VALUE"""),1.0)</f>
        <v>1</v>
      </c>
    </row>
    <row r="3218">
      <c r="K3218" s="4" t="str">
        <f>IFERROR(__xludf.DUMMYFUNCTION("""COMPUTED_VALUE"""),"BEETHOVAO - MARCA")</f>
        <v>BEETHOVAO - MARCA</v>
      </c>
      <c r="L3218" s="32">
        <f>IFERROR(__xludf.DUMMYFUNCTION("""COMPUTED_VALUE"""),3.0)</f>
        <v>3</v>
      </c>
      <c r="M3218" s="4" t="str">
        <f>IFERROR(__xludf.DUMMYFUNCTION("""COMPUTED_VALUE"""),"Saipos Serviços De Software")</f>
        <v>Saipos Serviços De Software</v>
      </c>
      <c r="N3218" s="33">
        <f>IFERROR(__xludf.DUMMYFUNCTION("""COMPUTED_VALUE"""),0.6666666666666666)</f>
        <v>0.6666666667</v>
      </c>
      <c r="O3218" s="4" t="str">
        <f>IFERROR(__xludf.DUMMYFUNCTION("""COMPUTED_VALUE"""),"null")</f>
        <v>null</v>
      </c>
      <c r="P3218" s="33">
        <f>IFERROR(__xludf.DUMMYFUNCTION("""COMPUTED_VALUE"""),0.3333333333333333)</f>
        <v>0.3333333333</v>
      </c>
      <c r="Q3218" s="4" t="str">
        <f>IFERROR(__xludf.DUMMYFUNCTION("""COMPUTED_VALUE"""),"Saipos Serviços De Software")</f>
        <v>Saipos Serviços De Software</v>
      </c>
      <c r="R3218" s="33">
        <f>IFERROR(__xludf.DUMMYFUNCTION("""COMPUTED_VALUE"""),0.6666666666666666)</f>
        <v>0.6666666667</v>
      </c>
      <c r="S3218" s="4" t="str">
        <f>IFERROR(__xludf.DUMMYFUNCTION("""COMPUTED_VALUE"""),"Saipos Serviços De Software")</f>
        <v>Saipos Serviços De Software</v>
      </c>
      <c r="T3218" s="33">
        <f>IFERROR(__xludf.DUMMYFUNCTION("""COMPUTED_VALUE"""),0.6666666666666666)</f>
        <v>0.6666666667</v>
      </c>
      <c r="U3218" s="4" t="str">
        <f>IFERROR(__xludf.DUMMYFUNCTION("""COMPUTED_VALUE"""),"Saipos Serviços De Software")</f>
        <v>Saipos Serviços De Software</v>
      </c>
      <c r="V3218" s="33">
        <f>IFERROR(__xludf.DUMMYFUNCTION("""COMPUTED_VALUE"""),1.0)</f>
        <v>1</v>
      </c>
      <c r="W3218" s="4" t="str">
        <f>IFERROR(__xludf.DUMMYFUNCTION("""COMPUTED_VALUE"""),"Saipos Serviços De Software")</f>
        <v>Saipos Serviços De Software</v>
      </c>
      <c r="X3218" s="33">
        <f>IFERROR(__xludf.DUMMYFUNCTION("""COMPUTED_VALUE"""),1.0)</f>
        <v>1</v>
      </c>
    </row>
    <row r="3219">
      <c r="K3219" s="4" t="str">
        <f>IFERROR(__xludf.DUMMYFUNCTION("""COMPUTED_VALUE"""),"BEL VIALE RESTAURANTE E PIZZARIA")</f>
        <v>BEL VIALE RESTAURANTE E PIZZARIA</v>
      </c>
      <c r="L3219" s="32">
        <f>IFERROR(__xludf.DUMMYFUNCTION("""COMPUTED_VALUE"""),3.0)</f>
        <v>3</v>
      </c>
      <c r="M3219" s="4" t="str">
        <f>IFERROR(__xludf.DUMMYFUNCTION("""COMPUTED_VALUE"""),"Senha Informática")</f>
        <v>Senha Informática</v>
      </c>
      <c r="N3219" s="33">
        <f>IFERROR(__xludf.DUMMYFUNCTION("""COMPUTED_VALUE"""),1.0)</f>
        <v>1</v>
      </c>
      <c r="O3219" s="4" t="str">
        <f>IFERROR(__xludf.DUMMYFUNCTION("""COMPUTED_VALUE"""),"Senha Informática")</f>
        <v>Senha Informática</v>
      </c>
      <c r="P3219" s="33">
        <f>IFERROR(__xludf.DUMMYFUNCTION("""COMPUTED_VALUE"""),1.0)</f>
        <v>1</v>
      </c>
      <c r="Q3219" s="4" t="str">
        <f>IFERROR(__xludf.DUMMYFUNCTION("""COMPUTED_VALUE"""),"null")</f>
        <v>null</v>
      </c>
      <c r="R3219" s="33">
        <f>IFERROR(__xludf.DUMMYFUNCTION("""COMPUTED_VALUE"""),0.6666666666666666)</f>
        <v>0.6666666667</v>
      </c>
      <c r="S3219" s="4" t="str">
        <f>IFERROR(__xludf.DUMMYFUNCTION("""COMPUTED_VALUE"""),"Senha Informática")</f>
        <v>Senha Informática</v>
      </c>
      <c r="T3219" s="33">
        <f>IFERROR(__xludf.DUMMYFUNCTION("""COMPUTED_VALUE"""),0.6666666666666666)</f>
        <v>0.6666666667</v>
      </c>
      <c r="U3219" s="4" t="str">
        <f>IFERROR(__xludf.DUMMYFUNCTION("""COMPUTED_VALUE"""),"null")</f>
        <v>null</v>
      </c>
      <c r="V3219" s="33">
        <f>IFERROR(__xludf.DUMMYFUNCTION("""COMPUTED_VALUE"""),0.6666666666666666)</f>
        <v>0.6666666667</v>
      </c>
      <c r="W3219" s="4" t="str">
        <f>IFERROR(__xludf.DUMMYFUNCTION("""COMPUTED_VALUE"""),"Senha Informática")</f>
        <v>Senha Informática</v>
      </c>
      <c r="X3219" s="33">
        <f>IFERROR(__xludf.DUMMYFUNCTION("""COMPUTED_VALUE"""),0.6666666666666666)</f>
        <v>0.6666666667</v>
      </c>
    </row>
    <row r="3220">
      <c r="K3220" s="4" t="str">
        <f>IFERROR(__xludf.DUMMYFUNCTION("""COMPUTED_VALUE"""),"BELEZA NA WEB - CONTA PAI")</f>
        <v>BELEZA NA WEB - CONTA PAI</v>
      </c>
      <c r="L3220" s="32">
        <f>IFERROR(__xludf.DUMMYFUNCTION("""COMPUTED_VALUE"""),3.0)</f>
        <v>3</v>
      </c>
      <c r="M3220" s="4" t="str">
        <f>IFERROR(__xludf.DUMMYFUNCTION("""COMPUTED_VALUE"""),"N/A (Not found)")</f>
        <v>N/A (Not found)</v>
      </c>
      <c r="N3220" s="33">
        <f>IFERROR(__xludf.DUMMYFUNCTION("""COMPUTED_VALUE"""),1.0)</f>
        <v>1</v>
      </c>
      <c r="O3220" s="4" t="str">
        <f>IFERROR(__xludf.DUMMYFUNCTION("""COMPUTED_VALUE"""),"N/A (Not found)")</f>
        <v>N/A (Not found)</v>
      </c>
      <c r="P3220" s="33">
        <f>IFERROR(__xludf.DUMMYFUNCTION("""COMPUTED_VALUE"""),1.0)</f>
        <v>1</v>
      </c>
      <c r="Q3220" s="4" t="str">
        <f>IFERROR(__xludf.DUMMYFUNCTION("""COMPUTED_VALUE"""),"N/A (Not found)")</f>
        <v>N/A (Not found)</v>
      </c>
      <c r="R3220" s="33">
        <f>IFERROR(__xludf.DUMMYFUNCTION("""COMPUTED_VALUE"""),1.0)</f>
        <v>1</v>
      </c>
      <c r="S3220" s="4" t="str">
        <f>IFERROR(__xludf.DUMMYFUNCTION("""COMPUTED_VALUE"""),"N/A (Not found)")</f>
        <v>N/A (Not found)</v>
      </c>
      <c r="T3220" s="33">
        <f>IFERROR(__xludf.DUMMYFUNCTION("""COMPUTED_VALUE"""),0.6666666666666666)</f>
        <v>0.6666666667</v>
      </c>
      <c r="U3220" s="4" t="str">
        <f>IFERROR(__xludf.DUMMYFUNCTION("""COMPUTED_VALUE"""),"N/A (Not found)")</f>
        <v>N/A (Not found)</v>
      </c>
      <c r="V3220" s="33">
        <f>IFERROR(__xludf.DUMMYFUNCTION("""COMPUTED_VALUE"""),0.6666666666666666)</f>
        <v>0.6666666667</v>
      </c>
      <c r="W3220" s="4" t="str">
        <f>IFERROR(__xludf.DUMMYFUNCTION("""COMPUTED_VALUE"""),"null")</f>
        <v>null</v>
      </c>
      <c r="X3220" s="33">
        <f>IFERROR(__xludf.DUMMYFUNCTION("""COMPUTED_VALUE"""),1.0)</f>
        <v>1</v>
      </c>
    </row>
    <row r="3221">
      <c r="K3221" s="4" t="str">
        <f>IFERROR(__xludf.DUMMYFUNCTION("""COMPUTED_VALUE"""),"BELLA ACAITERIA - MELHOR ACAI DA REGIAO - PAI")</f>
        <v>BELLA ACAITERIA - MELHOR ACAI DA REGIAO - PAI</v>
      </c>
      <c r="L3221" s="32">
        <f>IFERROR(__xludf.DUMMYFUNCTION("""COMPUTED_VALUE"""),3.0)</f>
        <v>3</v>
      </c>
      <c r="M3221" s="4" t="str">
        <f>IFERROR(__xludf.DUMMYFUNCTION("""COMPUTED_VALUE"""),"Cardápio Web")</f>
        <v>Cardápio Web</v>
      </c>
      <c r="N3221" s="33">
        <f>IFERROR(__xludf.DUMMYFUNCTION("""COMPUTED_VALUE"""),1.0)</f>
        <v>1</v>
      </c>
      <c r="O3221" s="4" t="str">
        <f>IFERROR(__xludf.DUMMYFUNCTION("""COMPUTED_VALUE"""),"Cardápio Web")</f>
        <v>Cardápio Web</v>
      </c>
      <c r="P3221" s="33">
        <f>IFERROR(__xludf.DUMMYFUNCTION("""COMPUTED_VALUE"""),1.0)</f>
        <v>1</v>
      </c>
      <c r="Q3221" s="4" t="str">
        <f>IFERROR(__xludf.DUMMYFUNCTION("""COMPUTED_VALUE"""),"Saipos Serviços De Software")</f>
        <v>Saipos Serviços De Software</v>
      </c>
      <c r="R3221" s="33">
        <f>IFERROR(__xludf.DUMMYFUNCTION("""COMPUTED_VALUE"""),1.0)</f>
        <v>1</v>
      </c>
      <c r="S3221" s="4" t="str">
        <f>IFERROR(__xludf.DUMMYFUNCTION("""COMPUTED_VALUE"""),"Cardápio Web")</f>
        <v>Cardápio Web</v>
      </c>
      <c r="T3221" s="33">
        <f>IFERROR(__xludf.DUMMYFUNCTION("""COMPUTED_VALUE"""),0.6666666666666666)</f>
        <v>0.6666666667</v>
      </c>
      <c r="U3221" s="4" t="str">
        <f>IFERROR(__xludf.DUMMYFUNCTION("""COMPUTED_VALUE"""),"Cardápio Web")</f>
        <v>Cardápio Web</v>
      </c>
      <c r="V3221" s="33">
        <f>IFERROR(__xludf.DUMMYFUNCTION("""COMPUTED_VALUE"""),1.0)</f>
        <v>1</v>
      </c>
      <c r="W3221" s="4" t="str">
        <f>IFERROR(__xludf.DUMMYFUNCTION("""COMPUTED_VALUE"""),"Cardápio Web")</f>
        <v>Cardápio Web</v>
      </c>
      <c r="X3221" s="33">
        <f>IFERROR(__xludf.DUMMYFUNCTION("""COMPUTED_VALUE"""),1.0)</f>
        <v>1</v>
      </c>
    </row>
    <row r="3222">
      <c r="K3222" s="4" t="str">
        <f>IFERROR(__xludf.DUMMYFUNCTION("""COMPUTED_VALUE"""),"BEM BRASIL SOBREMESAS E ACAI - CONTA PAI")</f>
        <v>BEM BRASIL SOBREMESAS E ACAI - CONTA PAI</v>
      </c>
      <c r="L3222" s="32">
        <f>IFERROR(__xludf.DUMMYFUNCTION("""COMPUTED_VALUE"""),3.0)</f>
        <v>3</v>
      </c>
      <c r="M3222" s="4" t="str">
        <f>IFERROR(__xludf.DUMMYFUNCTION("""COMPUTED_VALUE"""),"null")</f>
        <v>null</v>
      </c>
      <c r="N3222" s="33">
        <f>IFERROR(__xludf.DUMMYFUNCTION("""COMPUTED_VALUE"""),1.0)</f>
        <v>1</v>
      </c>
      <c r="O3222" s="4" t="str">
        <f>IFERROR(__xludf.DUMMYFUNCTION("""COMPUTED_VALUE"""),"null")</f>
        <v>null</v>
      </c>
      <c r="P3222" s="33">
        <f>IFERROR(__xludf.DUMMYFUNCTION("""COMPUTED_VALUE"""),1.0)</f>
        <v>1</v>
      </c>
      <c r="Q3222" s="4" t="str">
        <f>IFERROR(__xludf.DUMMYFUNCTION("""COMPUTED_VALUE"""),"null")</f>
        <v>null</v>
      </c>
      <c r="R3222" s="33">
        <f>IFERROR(__xludf.DUMMYFUNCTION("""COMPUTED_VALUE"""),1.0)</f>
        <v>1</v>
      </c>
      <c r="S3222" s="4" t="str">
        <f>IFERROR(__xludf.DUMMYFUNCTION("""COMPUTED_VALUE"""),"Saipos Serviços De Software")</f>
        <v>Saipos Serviços De Software</v>
      </c>
      <c r="T3222" s="33">
        <f>IFERROR(__xludf.DUMMYFUNCTION("""COMPUTED_VALUE"""),1.0)</f>
        <v>1</v>
      </c>
      <c r="U3222" s="4" t="str">
        <f>IFERROR(__xludf.DUMMYFUNCTION("""COMPUTED_VALUE"""),"Saipos Serviços De Software")</f>
        <v>Saipos Serviços De Software</v>
      </c>
      <c r="V3222" s="33">
        <f>IFERROR(__xludf.DUMMYFUNCTION("""COMPUTED_VALUE"""),1.0)</f>
        <v>1</v>
      </c>
      <c r="W3222" s="4" t="str">
        <f>IFERROR(__xludf.DUMMYFUNCTION("""COMPUTED_VALUE"""),"null")</f>
        <v>null</v>
      </c>
      <c r="X3222" s="33">
        <f>IFERROR(__xludf.DUMMYFUNCTION("""COMPUTED_VALUE"""),1.0)</f>
        <v>1</v>
      </c>
    </row>
    <row r="3223">
      <c r="K3223" s="4" t="str">
        <f>IFERROR(__xludf.DUMMYFUNCTION("""COMPUTED_VALUE"""),"BENDITTA PIZZA - UBERLANDIA")</f>
        <v>BENDITTA PIZZA - UBERLANDIA</v>
      </c>
      <c r="L3223" s="32">
        <f>IFERROR(__xludf.DUMMYFUNCTION("""COMPUTED_VALUE"""),3.0)</f>
        <v>3</v>
      </c>
      <c r="M3223" s="4" t="str">
        <f>IFERROR(__xludf.DUMMYFUNCTION("""COMPUTED_VALUE"""),"Saipos Serviços De Software")</f>
        <v>Saipos Serviços De Software</v>
      </c>
      <c r="N3223" s="33">
        <f>IFERROR(__xludf.DUMMYFUNCTION("""COMPUTED_VALUE"""),1.0)</f>
        <v>1</v>
      </c>
      <c r="O3223" s="4" t="str">
        <f>IFERROR(__xludf.DUMMYFUNCTION("""COMPUTED_VALUE"""),"Saipos Serviços De Software")</f>
        <v>Saipos Serviços De Software</v>
      </c>
      <c r="P3223" s="33">
        <f>IFERROR(__xludf.DUMMYFUNCTION("""COMPUTED_VALUE"""),1.0)</f>
        <v>1</v>
      </c>
      <c r="Q3223" s="4" t="str">
        <f>IFERROR(__xludf.DUMMYFUNCTION("""COMPUTED_VALUE"""),"Saipos Serviços De Software")</f>
        <v>Saipos Serviços De Software</v>
      </c>
      <c r="R3223" s="33">
        <f>IFERROR(__xludf.DUMMYFUNCTION("""COMPUTED_VALUE"""),1.0)</f>
        <v>1</v>
      </c>
      <c r="S3223" s="4" t="str">
        <f>IFERROR(__xludf.DUMMYFUNCTION("""COMPUTED_VALUE"""),"Saipos Serviços De Software")</f>
        <v>Saipos Serviços De Software</v>
      </c>
      <c r="T3223" s="33">
        <f>IFERROR(__xludf.DUMMYFUNCTION("""COMPUTED_VALUE"""),1.0)</f>
        <v>1</v>
      </c>
      <c r="U3223" s="4" t="str">
        <f>IFERROR(__xludf.DUMMYFUNCTION("""COMPUTED_VALUE"""),"Saipos Serviços De Software")</f>
        <v>Saipos Serviços De Software</v>
      </c>
      <c r="V3223" s="33">
        <f>IFERROR(__xludf.DUMMYFUNCTION("""COMPUTED_VALUE"""),1.0)</f>
        <v>1</v>
      </c>
      <c r="W3223" s="4" t="str">
        <f>IFERROR(__xludf.DUMMYFUNCTION("""COMPUTED_VALUE"""),"Saipos Serviços De Software")</f>
        <v>Saipos Serviços De Software</v>
      </c>
      <c r="X3223" s="33">
        <f>IFERROR(__xludf.DUMMYFUNCTION("""COMPUTED_VALUE"""),1.0)</f>
        <v>1</v>
      </c>
    </row>
    <row r="3224">
      <c r="K3224" s="4" t="str">
        <f>IFERROR(__xludf.DUMMYFUNCTION("""COMPUTED_VALUE"""),"BENIPET - 06 MARCA")</f>
        <v>BENIPET - 06 MARCA</v>
      </c>
      <c r="L3224" s="32">
        <f>IFERROR(__xludf.DUMMYFUNCTION("""COMPUTED_VALUE"""),3.0)</f>
        <v>3</v>
      </c>
      <c r="M3224" s="4" t="str">
        <f>IFERROR(__xludf.DUMMYFUNCTION("""COMPUTED_VALUE"""),"N/A (Not found)")</f>
        <v>N/A (Not found)</v>
      </c>
      <c r="N3224" s="33">
        <f>IFERROR(__xludf.DUMMYFUNCTION("""COMPUTED_VALUE"""),1.0)</f>
        <v>1</v>
      </c>
      <c r="O3224" s="4" t="str">
        <f>IFERROR(__xludf.DUMMYFUNCTION("""COMPUTED_VALUE"""),"N/A (Not found)")</f>
        <v>N/A (Not found)</v>
      </c>
      <c r="P3224" s="33">
        <f>IFERROR(__xludf.DUMMYFUNCTION("""COMPUTED_VALUE"""),1.0)</f>
        <v>1</v>
      </c>
      <c r="Q3224" s="4" t="str">
        <f>IFERROR(__xludf.DUMMYFUNCTION("""COMPUTED_VALUE"""),"N/A (Not found)")</f>
        <v>N/A (Not found)</v>
      </c>
      <c r="R3224" s="33">
        <f>IFERROR(__xludf.DUMMYFUNCTION("""COMPUTED_VALUE"""),1.0)</f>
        <v>1</v>
      </c>
      <c r="S3224" s="4" t="str">
        <f>IFERROR(__xludf.DUMMYFUNCTION("""COMPUTED_VALUE"""),"N/A (Not found)")</f>
        <v>N/A (Not found)</v>
      </c>
      <c r="T3224" s="33">
        <f>IFERROR(__xludf.DUMMYFUNCTION("""COMPUTED_VALUE"""),1.0)</f>
        <v>1</v>
      </c>
      <c r="U3224" s="4" t="str">
        <f>IFERROR(__xludf.DUMMYFUNCTION("""COMPUTED_VALUE"""),"N/A (Not found)")</f>
        <v>N/A (Not found)</v>
      </c>
      <c r="V3224" s="33">
        <f>IFERROR(__xludf.DUMMYFUNCTION("""COMPUTED_VALUE"""),1.0)</f>
        <v>1</v>
      </c>
      <c r="W3224" s="4" t="str">
        <f>IFERROR(__xludf.DUMMYFUNCTION("""COMPUTED_VALUE"""),"N/A (Not found)")</f>
        <v>N/A (Not found)</v>
      </c>
      <c r="X3224" s="33">
        <f>IFERROR(__xludf.DUMMYFUNCTION("""COMPUTED_VALUE"""),1.0)</f>
        <v>1</v>
      </c>
    </row>
    <row r="3225">
      <c r="K3225" s="4" t="str">
        <f>IFERROR(__xludf.DUMMYFUNCTION("""COMPUTED_VALUE"""),"BERDINAZZI FOOD GRILL")</f>
        <v>BERDINAZZI FOOD GRILL</v>
      </c>
      <c r="L3225" s="32">
        <f>IFERROR(__xludf.DUMMYFUNCTION("""COMPUTED_VALUE"""),3.0)</f>
        <v>3</v>
      </c>
      <c r="M3225" s="4" t="str">
        <f>IFERROR(__xludf.DUMMYFUNCTION("""COMPUTED_VALUE"""),"Anota Ai Solucoes Digitais S/a")</f>
        <v>Anota Ai Solucoes Digitais S/a</v>
      </c>
      <c r="N3225" s="33">
        <f>IFERROR(__xludf.DUMMYFUNCTION("""COMPUTED_VALUE"""),1.0)</f>
        <v>1</v>
      </c>
      <c r="O3225" s="4" t="str">
        <f>IFERROR(__xludf.DUMMYFUNCTION("""COMPUTED_VALUE"""),"Anota Ai Solucoes Digitais S/a")</f>
        <v>Anota Ai Solucoes Digitais S/a</v>
      </c>
      <c r="P3225" s="33">
        <f>IFERROR(__xludf.DUMMYFUNCTION("""COMPUTED_VALUE"""),1.0)</f>
        <v>1</v>
      </c>
      <c r="Q3225" s="4" t="str">
        <f>IFERROR(__xludf.DUMMYFUNCTION("""COMPUTED_VALUE"""),"Anota Ai Solucoes Digitais S/a")</f>
        <v>Anota Ai Solucoes Digitais S/a</v>
      </c>
      <c r="R3225" s="33">
        <f>IFERROR(__xludf.DUMMYFUNCTION("""COMPUTED_VALUE"""),1.0)</f>
        <v>1</v>
      </c>
      <c r="S3225" s="4" t="str">
        <f>IFERROR(__xludf.DUMMYFUNCTION("""COMPUTED_VALUE"""),"Anota Ai Solucoes Digitais S/a")</f>
        <v>Anota Ai Solucoes Digitais S/a</v>
      </c>
      <c r="T3225" s="33">
        <f>IFERROR(__xludf.DUMMYFUNCTION("""COMPUTED_VALUE"""),1.0)</f>
        <v>1</v>
      </c>
      <c r="U3225" s="4" t="str">
        <f>IFERROR(__xludf.DUMMYFUNCTION("""COMPUTED_VALUE"""),"Anota Ai Solucoes Digitais S/a")</f>
        <v>Anota Ai Solucoes Digitais S/a</v>
      </c>
      <c r="V3225" s="33">
        <f>IFERROR(__xludf.DUMMYFUNCTION("""COMPUTED_VALUE"""),0.6666666666666666)</f>
        <v>0.6666666667</v>
      </c>
      <c r="W3225" s="4" t="str">
        <f>IFERROR(__xludf.DUMMYFUNCTION("""COMPUTED_VALUE"""),"Anota Ai Solucoes Digitais S/a")</f>
        <v>Anota Ai Solucoes Digitais S/a</v>
      </c>
      <c r="X3225" s="33">
        <f>IFERROR(__xludf.DUMMYFUNCTION("""COMPUTED_VALUE"""),0.3333333333333333)</f>
        <v>0.3333333333</v>
      </c>
    </row>
    <row r="3226">
      <c r="K3226" s="4" t="str">
        <f>IFERROR(__xludf.DUMMYFUNCTION("""COMPUTED_VALUE"""),"BERNARDINOS LANCHES")</f>
        <v>BERNARDINOS LANCHES</v>
      </c>
      <c r="L3226" s="32">
        <f>IFERROR(__xludf.DUMMYFUNCTION("""COMPUTED_VALUE"""),3.0)</f>
        <v>3</v>
      </c>
      <c r="M3226" s="4" t="str">
        <f>IFERROR(__xludf.DUMMYFUNCTION("""COMPUTED_VALUE"""),"Consumer Soluções Em Tecnologia Ltda")</f>
        <v>Consumer Soluções Em Tecnologia Ltda</v>
      </c>
      <c r="N3226" s="33">
        <f>IFERROR(__xludf.DUMMYFUNCTION("""COMPUTED_VALUE"""),1.0)</f>
        <v>1</v>
      </c>
      <c r="O3226" s="4" t="str">
        <f>IFERROR(__xludf.DUMMYFUNCTION("""COMPUTED_VALUE"""),"null")</f>
        <v>null</v>
      </c>
      <c r="P3226" s="33">
        <f>IFERROR(__xludf.DUMMYFUNCTION("""COMPUTED_VALUE"""),1.0)</f>
        <v>1</v>
      </c>
      <c r="Q3226" s="4" t="str">
        <f>IFERROR(__xludf.DUMMYFUNCTION("""COMPUTED_VALUE"""),"Consumer Soluções Em Tecnologia Ltda")</f>
        <v>Consumer Soluções Em Tecnologia Ltda</v>
      </c>
      <c r="R3226" s="33">
        <f>IFERROR(__xludf.DUMMYFUNCTION("""COMPUTED_VALUE"""),0.6666666666666666)</f>
        <v>0.6666666667</v>
      </c>
      <c r="S3226" s="4" t="str">
        <f>IFERROR(__xludf.DUMMYFUNCTION("""COMPUTED_VALUE"""),"Consumer Soluções Em Tecnologia Ltda")</f>
        <v>Consumer Soluções Em Tecnologia Ltda</v>
      </c>
      <c r="T3226" s="33">
        <f>IFERROR(__xludf.DUMMYFUNCTION("""COMPUTED_VALUE"""),0.6666666666666666)</f>
        <v>0.6666666667</v>
      </c>
      <c r="U3226" s="4" t="str">
        <f>IFERROR(__xludf.DUMMYFUNCTION("""COMPUTED_VALUE"""),"Consumer Soluções Em Tecnologia Ltda")</f>
        <v>Consumer Soluções Em Tecnologia Ltda</v>
      </c>
      <c r="V3226" s="33">
        <f>IFERROR(__xludf.DUMMYFUNCTION("""COMPUTED_VALUE"""),0.6666666666666666)</f>
        <v>0.6666666667</v>
      </c>
      <c r="W3226" s="4" t="str">
        <f>IFERROR(__xludf.DUMMYFUNCTION("""COMPUTED_VALUE"""),"null")</f>
        <v>null</v>
      </c>
      <c r="X3226" s="33">
        <f>IFERROR(__xludf.DUMMYFUNCTION("""COMPUTED_VALUE"""),0.6666666666666666)</f>
        <v>0.6666666667</v>
      </c>
    </row>
    <row r="3227">
      <c r="K3227" s="4" t="str">
        <f>IFERROR(__xludf.DUMMYFUNCTION("""COMPUTED_VALUE"""),"BEST FOODS")</f>
        <v>BEST FOODS</v>
      </c>
      <c r="L3227" s="32">
        <f>IFERROR(__xludf.DUMMYFUNCTION("""COMPUTED_VALUE"""),3.0)</f>
        <v>3</v>
      </c>
      <c r="M3227" s="4" t="str">
        <f>IFERROR(__xludf.DUMMYFUNCTION("""COMPUTED_VALUE"""),"Saipos Serviços De Software")</f>
        <v>Saipos Serviços De Software</v>
      </c>
      <c r="N3227" s="33">
        <f>IFERROR(__xludf.DUMMYFUNCTION("""COMPUTED_VALUE"""),1.0)</f>
        <v>1</v>
      </c>
      <c r="O3227" s="4" t="str">
        <f>IFERROR(__xludf.DUMMYFUNCTION("""COMPUTED_VALUE"""),"Saipos Serviços De Software")</f>
        <v>Saipos Serviços De Software</v>
      </c>
      <c r="P3227" s="33">
        <f>IFERROR(__xludf.DUMMYFUNCTION("""COMPUTED_VALUE"""),0.6666666666666666)</f>
        <v>0.6666666667</v>
      </c>
      <c r="Q3227" s="4" t="str">
        <f>IFERROR(__xludf.DUMMYFUNCTION("""COMPUTED_VALUE"""),"Saipos Serviços De Software")</f>
        <v>Saipos Serviços De Software</v>
      </c>
      <c r="R3227" s="33">
        <f>IFERROR(__xludf.DUMMYFUNCTION("""COMPUTED_VALUE"""),0.6666666666666666)</f>
        <v>0.6666666667</v>
      </c>
      <c r="S3227" s="4" t="str">
        <f>IFERROR(__xludf.DUMMYFUNCTION("""COMPUTED_VALUE"""),"Saipos Serviços De Software")</f>
        <v>Saipos Serviços De Software</v>
      </c>
      <c r="T3227" s="33">
        <f>IFERROR(__xludf.DUMMYFUNCTION("""COMPUTED_VALUE"""),0.6666666666666666)</f>
        <v>0.6666666667</v>
      </c>
      <c r="U3227" s="4" t="str">
        <f>IFERROR(__xludf.DUMMYFUNCTION("""COMPUTED_VALUE"""),"Saipos Serviços De Software")</f>
        <v>Saipos Serviços De Software</v>
      </c>
      <c r="V3227" s="33">
        <f>IFERROR(__xludf.DUMMYFUNCTION("""COMPUTED_VALUE"""),0.6666666666666666)</f>
        <v>0.6666666667</v>
      </c>
      <c r="W3227" s="4" t="str">
        <f>IFERROR(__xludf.DUMMYFUNCTION("""COMPUTED_VALUE"""),"Saipos Serviços De Software")</f>
        <v>Saipos Serviços De Software</v>
      </c>
      <c r="X3227" s="33">
        <f>IFERROR(__xludf.DUMMYFUNCTION("""COMPUTED_VALUE"""),0.6666666666666666)</f>
        <v>0.6666666667</v>
      </c>
    </row>
    <row r="3228">
      <c r="K3228" s="4" t="str">
        <f>IFERROR(__xludf.DUMMYFUNCTION("""COMPUTED_VALUE"""),"BIG DOG LANCHES - CONTA PAI")</f>
        <v>BIG DOG LANCHES - CONTA PAI</v>
      </c>
      <c r="L3228" s="32">
        <f>IFERROR(__xludf.DUMMYFUNCTION("""COMPUTED_VALUE"""),3.0)</f>
        <v>3</v>
      </c>
      <c r="M3228" s="4" t="str">
        <f>IFERROR(__xludf.DUMMYFUNCTION("""COMPUTED_VALUE"""),"Mp Multipedidos")</f>
        <v>Mp Multipedidos</v>
      </c>
      <c r="N3228" s="33">
        <f>IFERROR(__xludf.DUMMYFUNCTION("""COMPUTED_VALUE"""),0.6666666666666666)</f>
        <v>0.6666666667</v>
      </c>
      <c r="O3228" s="4" t="str">
        <f>IFERROR(__xludf.DUMMYFUNCTION("""COMPUTED_VALUE"""),"Mp Multipedidos")</f>
        <v>Mp Multipedidos</v>
      </c>
      <c r="P3228" s="33">
        <f>IFERROR(__xludf.DUMMYFUNCTION("""COMPUTED_VALUE"""),0.6666666666666666)</f>
        <v>0.6666666667</v>
      </c>
      <c r="Q3228" s="4" t="str">
        <f>IFERROR(__xludf.DUMMYFUNCTION("""COMPUTED_VALUE"""),"Mp Multipedidos")</f>
        <v>Mp Multipedidos</v>
      </c>
      <c r="R3228" s="33">
        <f>IFERROR(__xludf.DUMMYFUNCTION("""COMPUTED_VALUE"""),0.6666666666666666)</f>
        <v>0.6666666667</v>
      </c>
      <c r="S3228" s="4" t="str">
        <f>IFERROR(__xludf.DUMMYFUNCTION("""COMPUTED_VALUE"""),"Mp Multipedidos")</f>
        <v>Mp Multipedidos</v>
      </c>
      <c r="T3228" s="33">
        <f>IFERROR(__xludf.DUMMYFUNCTION("""COMPUTED_VALUE"""),0.6666666666666666)</f>
        <v>0.6666666667</v>
      </c>
      <c r="U3228" s="4" t="str">
        <f>IFERROR(__xludf.DUMMYFUNCTION("""COMPUTED_VALUE"""),"Mp Multipedidos")</f>
        <v>Mp Multipedidos</v>
      </c>
      <c r="V3228" s="33">
        <f>IFERROR(__xludf.DUMMYFUNCTION("""COMPUTED_VALUE"""),0.6666666666666666)</f>
        <v>0.6666666667</v>
      </c>
      <c r="W3228" s="4" t="str">
        <f>IFERROR(__xludf.DUMMYFUNCTION("""COMPUTED_VALUE"""),"Mp Multipedidos")</f>
        <v>Mp Multipedidos</v>
      </c>
      <c r="X3228" s="33">
        <f>IFERROR(__xludf.DUMMYFUNCTION("""COMPUTED_VALUE"""),0.6666666666666666)</f>
        <v>0.6666666667</v>
      </c>
    </row>
    <row r="3229">
      <c r="K3229" s="4" t="str">
        <f>IFERROR(__xludf.DUMMYFUNCTION("""COMPUTED_VALUE"""),"BIRO BIRO MARMITARIA - CONTA PAI")</f>
        <v>BIRO BIRO MARMITARIA - CONTA PAI</v>
      </c>
      <c r="L3229" s="32">
        <f>IFERROR(__xludf.DUMMYFUNCTION("""COMPUTED_VALUE"""),3.0)</f>
        <v>3</v>
      </c>
      <c r="M3229" s="4" t="str">
        <f>IFERROR(__xludf.DUMMYFUNCTION("""COMPUTED_VALUE"""),"Saipos Serviços De Software")</f>
        <v>Saipos Serviços De Software</v>
      </c>
      <c r="N3229" s="33">
        <f>IFERROR(__xludf.DUMMYFUNCTION("""COMPUTED_VALUE"""),1.0)</f>
        <v>1</v>
      </c>
      <c r="O3229" s="4" t="str">
        <f>IFERROR(__xludf.DUMMYFUNCTION("""COMPUTED_VALUE"""),"Saipos Serviços De Software")</f>
        <v>Saipos Serviços De Software</v>
      </c>
      <c r="P3229" s="33">
        <f>IFERROR(__xludf.DUMMYFUNCTION("""COMPUTED_VALUE"""),1.0)</f>
        <v>1</v>
      </c>
      <c r="Q3229" s="4" t="str">
        <f>IFERROR(__xludf.DUMMYFUNCTION("""COMPUTED_VALUE"""),"Saipos Serviços De Software")</f>
        <v>Saipos Serviços De Software</v>
      </c>
      <c r="R3229" s="33">
        <f>IFERROR(__xludf.DUMMYFUNCTION("""COMPUTED_VALUE"""),1.0)</f>
        <v>1</v>
      </c>
      <c r="S3229" s="4" t="str">
        <f>IFERROR(__xludf.DUMMYFUNCTION("""COMPUTED_VALUE"""),"Saipos Serviços De Software")</f>
        <v>Saipos Serviços De Software</v>
      </c>
      <c r="T3229" s="33">
        <f>IFERROR(__xludf.DUMMYFUNCTION("""COMPUTED_VALUE"""),1.0)</f>
        <v>1</v>
      </c>
      <c r="U3229" s="4" t="str">
        <f>IFERROR(__xludf.DUMMYFUNCTION("""COMPUTED_VALUE"""),"Saipos Serviços De Software")</f>
        <v>Saipos Serviços De Software</v>
      </c>
      <c r="V3229" s="33">
        <f>IFERROR(__xludf.DUMMYFUNCTION("""COMPUTED_VALUE"""),1.0)</f>
        <v>1</v>
      </c>
      <c r="W3229" s="4" t="str">
        <f>IFERROR(__xludf.DUMMYFUNCTION("""COMPUTED_VALUE"""),"Saipos Serviços De Software")</f>
        <v>Saipos Serviços De Software</v>
      </c>
      <c r="X3229" s="33">
        <f>IFERROR(__xludf.DUMMYFUNCTION("""COMPUTED_VALUE"""),1.0)</f>
        <v>1</v>
      </c>
    </row>
    <row r="3230">
      <c r="K3230" s="4" t="str">
        <f>IFERROR(__xludf.DUMMYFUNCTION("""COMPUTED_VALUE"""),"BISTRO RESTAURANTE BELEM")</f>
        <v>BISTRO RESTAURANTE BELEM</v>
      </c>
      <c r="L3230" s="32">
        <f>IFERROR(__xludf.DUMMYFUNCTION("""COMPUTED_VALUE"""),3.0)</f>
        <v>3</v>
      </c>
      <c r="M3230" s="4" t="str">
        <f>IFERROR(__xludf.DUMMYFUNCTION("""COMPUTED_VALUE"""),"Saipos Serviços De Software")</f>
        <v>Saipos Serviços De Software</v>
      </c>
      <c r="N3230" s="33">
        <f>IFERROR(__xludf.DUMMYFUNCTION("""COMPUTED_VALUE"""),1.0)</f>
        <v>1</v>
      </c>
      <c r="O3230" s="4" t="str">
        <f>IFERROR(__xludf.DUMMYFUNCTION("""COMPUTED_VALUE"""),"Saipos Serviços De Software")</f>
        <v>Saipos Serviços De Software</v>
      </c>
      <c r="P3230" s="33">
        <f>IFERROR(__xludf.DUMMYFUNCTION("""COMPUTED_VALUE"""),1.0)</f>
        <v>1</v>
      </c>
      <c r="Q3230" s="4" t="str">
        <f>IFERROR(__xludf.DUMMYFUNCTION("""COMPUTED_VALUE"""),"Saipos Serviços De Software")</f>
        <v>Saipos Serviços De Software</v>
      </c>
      <c r="R3230" s="33">
        <f>IFERROR(__xludf.DUMMYFUNCTION("""COMPUTED_VALUE"""),1.0)</f>
        <v>1</v>
      </c>
      <c r="S3230" s="4" t="str">
        <f>IFERROR(__xludf.DUMMYFUNCTION("""COMPUTED_VALUE"""),"Saipos Serviços De Software")</f>
        <v>Saipos Serviços De Software</v>
      </c>
      <c r="T3230" s="33">
        <f>IFERROR(__xludf.DUMMYFUNCTION("""COMPUTED_VALUE"""),1.0)</f>
        <v>1</v>
      </c>
      <c r="U3230" s="4" t="str">
        <f>IFERROR(__xludf.DUMMYFUNCTION("""COMPUTED_VALUE"""),"Saipos Serviços De Software")</f>
        <v>Saipos Serviços De Software</v>
      </c>
      <c r="V3230" s="33">
        <f>IFERROR(__xludf.DUMMYFUNCTION("""COMPUTED_VALUE"""),1.0)</f>
        <v>1</v>
      </c>
      <c r="W3230" s="4" t="str">
        <f>IFERROR(__xludf.DUMMYFUNCTION("""COMPUTED_VALUE"""),"Saipos Serviços De Software")</f>
        <v>Saipos Serviços De Software</v>
      </c>
      <c r="X3230" s="33">
        <f>IFERROR(__xludf.DUMMYFUNCTION("""COMPUTED_VALUE"""),1.0)</f>
        <v>1</v>
      </c>
    </row>
    <row r="3231">
      <c r="K3231" s="4" t="str">
        <f>IFERROR(__xludf.DUMMYFUNCTION("""COMPUTED_VALUE"""),"BITZ BURGUER")</f>
        <v>BITZ BURGUER</v>
      </c>
      <c r="L3231" s="32">
        <f>IFERROR(__xludf.DUMMYFUNCTION("""COMPUTED_VALUE"""),3.0)</f>
        <v>3</v>
      </c>
      <c r="M3231" s="4" t="str">
        <f>IFERROR(__xludf.DUMMYFUNCTION("""COMPUTED_VALUE"""),"null")</f>
        <v>null</v>
      </c>
      <c r="N3231" s="33">
        <f>IFERROR(__xludf.DUMMYFUNCTION("""COMPUTED_VALUE"""),0.6666666666666666)</f>
        <v>0.6666666667</v>
      </c>
      <c r="O3231" s="4" t="str">
        <f>IFERROR(__xludf.DUMMYFUNCTION("""COMPUTED_VALUE"""),"null")</f>
        <v>null</v>
      </c>
      <c r="P3231" s="33">
        <f>IFERROR(__xludf.DUMMYFUNCTION("""COMPUTED_VALUE"""),0.6666666666666666)</f>
        <v>0.6666666667</v>
      </c>
      <c r="Q3231" s="4" t="str">
        <f>IFERROR(__xludf.DUMMYFUNCTION("""COMPUTED_VALUE"""),"Saipos Serviços De Software")</f>
        <v>Saipos Serviços De Software</v>
      </c>
      <c r="R3231" s="33">
        <f>IFERROR(__xludf.DUMMYFUNCTION("""COMPUTED_VALUE"""),0.6666666666666666)</f>
        <v>0.6666666667</v>
      </c>
      <c r="S3231" s="4" t="str">
        <f>IFERROR(__xludf.DUMMYFUNCTION("""COMPUTED_VALUE"""),"Saipos Serviços De Software")</f>
        <v>Saipos Serviços De Software</v>
      </c>
      <c r="T3231" s="33">
        <f>IFERROR(__xludf.DUMMYFUNCTION("""COMPUTED_VALUE"""),0.6666666666666666)</f>
        <v>0.6666666667</v>
      </c>
      <c r="U3231" s="4" t="str">
        <f>IFERROR(__xludf.DUMMYFUNCTION("""COMPUTED_VALUE"""),"Saipos Serviços De Software")</f>
        <v>Saipos Serviços De Software</v>
      </c>
      <c r="V3231" s="33">
        <f>IFERROR(__xludf.DUMMYFUNCTION("""COMPUTED_VALUE"""),1.0)</f>
        <v>1</v>
      </c>
      <c r="W3231" s="4" t="str">
        <f>IFERROR(__xludf.DUMMYFUNCTION("""COMPUTED_VALUE"""),"Saipos Serviços De Software")</f>
        <v>Saipos Serviços De Software</v>
      </c>
      <c r="X3231" s="33">
        <f>IFERROR(__xludf.DUMMYFUNCTION("""COMPUTED_VALUE"""),1.0)</f>
        <v>1</v>
      </c>
    </row>
    <row r="3232">
      <c r="K3232" s="4" t="str">
        <f>IFERROR(__xludf.DUMMYFUNCTION("""COMPUTED_VALUE"""),"BLAZZE BURGER")</f>
        <v>BLAZZE BURGER</v>
      </c>
      <c r="L3232" s="32">
        <f>IFERROR(__xludf.DUMMYFUNCTION("""COMPUTED_VALUE"""),3.0)</f>
        <v>3</v>
      </c>
      <c r="M3232" s="4" t="str">
        <f>IFERROR(__xludf.DUMMYFUNCTION("""COMPUTED_VALUE"""),"Saipos Serviços De Software")</f>
        <v>Saipos Serviços De Software</v>
      </c>
      <c r="N3232" s="33">
        <f>IFERROR(__xludf.DUMMYFUNCTION("""COMPUTED_VALUE"""),0.6666666666666666)</f>
        <v>0.6666666667</v>
      </c>
      <c r="O3232" s="4" t="str">
        <f>IFERROR(__xludf.DUMMYFUNCTION("""COMPUTED_VALUE"""),"Saipos Serviços De Software")</f>
        <v>Saipos Serviços De Software</v>
      </c>
      <c r="P3232" s="33">
        <f>IFERROR(__xludf.DUMMYFUNCTION("""COMPUTED_VALUE"""),0.6666666666666666)</f>
        <v>0.6666666667</v>
      </c>
      <c r="Q3232" s="4" t="str">
        <f>IFERROR(__xludf.DUMMYFUNCTION("""COMPUTED_VALUE"""),"Saipos Serviços De Software")</f>
        <v>Saipos Serviços De Software</v>
      </c>
      <c r="R3232" s="33">
        <f>IFERROR(__xludf.DUMMYFUNCTION("""COMPUTED_VALUE"""),0.6666666666666666)</f>
        <v>0.6666666667</v>
      </c>
      <c r="S3232" s="4" t="str">
        <f>IFERROR(__xludf.DUMMYFUNCTION("""COMPUTED_VALUE"""),"Saipos Serviços De Software")</f>
        <v>Saipos Serviços De Software</v>
      </c>
      <c r="T3232" s="33">
        <f>IFERROR(__xludf.DUMMYFUNCTION("""COMPUTED_VALUE"""),0.6666666666666666)</f>
        <v>0.6666666667</v>
      </c>
      <c r="U3232" s="4" t="str">
        <f>IFERROR(__xludf.DUMMYFUNCTION("""COMPUTED_VALUE"""),"Saipos Serviços De Software")</f>
        <v>Saipos Serviços De Software</v>
      </c>
      <c r="V3232" s="33">
        <f>IFERROR(__xludf.DUMMYFUNCTION("""COMPUTED_VALUE"""),1.0)</f>
        <v>1</v>
      </c>
      <c r="W3232" s="4" t="str">
        <f>IFERROR(__xludf.DUMMYFUNCTION("""COMPUTED_VALUE"""),"Saipos Serviços De Software")</f>
        <v>Saipos Serviços De Software</v>
      </c>
      <c r="X3232" s="33">
        <f>IFERROR(__xludf.DUMMYFUNCTION("""COMPUTED_VALUE"""),1.0)</f>
        <v>1</v>
      </c>
    </row>
    <row r="3233">
      <c r="K3233" s="4" t="str">
        <f>IFERROR(__xludf.DUMMYFUNCTION("""COMPUTED_VALUE"""),"BLU LANCHES")</f>
        <v>BLU LANCHES</v>
      </c>
      <c r="L3233" s="32">
        <f>IFERROR(__xludf.DUMMYFUNCTION("""COMPUTED_VALUE"""),3.0)</f>
        <v>3</v>
      </c>
      <c r="M3233" s="4" t="str">
        <f>IFERROR(__xludf.DUMMYFUNCTION("""COMPUTED_VALUE"""),"Saipos Serviços De Software")</f>
        <v>Saipos Serviços De Software</v>
      </c>
      <c r="N3233" s="33">
        <f>IFERROR(__xludf.DUMMYFUNCTION("""COMPUTED_VALUE"""),0.6666666666666666)</f>
        <v>0.6666666667</v>
      </c>
      <c r="O3233" s="4" t="str">
        <f>IFERROR(__xludf.DUMMYFUNCTION("""COMPUTED_VALUE"""),"Saipos Serviços De Software")</f>
        <v>Saipos Serviços De Software</v>
      </c>
      <c r="P3233" s="33">
        <f>IFERROR(__xludf.DUMMYFUNCTION("""COMPUTED_VALUE"""),0.6666666666666666)</f>
        <v>0.6666666667</v>
      </c>
      <c r="Q3233" s="4" t="str">
        <f>IFERROR(__xludf.DUMMYFUNCTION("""COMPUTED_VALUE"""),"null")</f>
        <v>null</v>
      </c>
      <c r="R3233" s="33">
        <f>IFERROR(__xludf.DUMMYFUNCTION("""COMPUTED_VALUE"""),0.6666666666666666)</f>
        <v>0.6666666667</v>
      </c>
      <c r="S3233" s="4" t="str">
        <f>IFERROR(__xludf.DUMMYFUNCTION("""COMPUTED_VALUE"""),"null")</f>
        <v>null</v>
      </c>
      <c r="T3233" s="33">
        <f>IFERROR(__xludf.DUMMYFUNCTION("""COMPUTED_VALUE"""),0.6666666666666666)</f>
        <v>0.6666666667</v>
      </c>
      <c r="U3233" s="4" t="str">
        <f>IFERROR(__xludf.DUMMYFUNCTION("""COMPUTED_VALUE"""),"null")</f>
        <v>null</v>
      </c>
      <c r="V3233" s="33">
        <f>IFERROR(__xludf.DUMMYFUNCTION("""COMPUTED_VALUE"""),0.6666666666666666)</f>
        <v>0.6666666667</v>
      </c>
      <c r="W3233" s="4" t="str">
        <f>IFERROR(__xludf.DUMMYFUNCTION("""COMPUTED_VALUE"""),"Saipos Serviços De Software")</f>
        <v>Saipos Serviços De Software</v>
      </c>
      <c r="X3233" s="33">
        <f>IFERROR(__xludf.DUMMYFUNCTION("""COMPUTED_VALUE"""),0.3333333333333333)</f>
        <v>0.3333333333</v>
      </c>
    </row>
    <row r="3234">
      <c r="K3234" s="4" t="str">
        <f>IFERROR(__xludf.DUMMYFUNCTION("""COMPUTED_VALUE"""),"BOCADILLOS BURGUER - CONTA PAI")</f>
        <v>BOCADILLOS BURGUER - CONTA PAI</v>
      </c>
      <c r="L3234" s="32">
        <f>IFERROR(__xludf.DUMMYFUNCTION("""COMPUTED_VALUE"""),3.0)</f>
        <v>3</v>
      </c>
      <c r="M3234" s="4" t="str">
        <f>IFERROR(__xludf.DUMMYFUNCTION("""COMPUTED_VALUE"""),"Cardápio Web")</f>
        <v>Cardápio Web</v>
      </c>
      <c r="N3234" s="33">
        <f>IFERROR(__xludf.DUMMYFUNCTION("""COMPUTED_VALUE"""),1.0)</f>
        <v>1</v>
      </c>
      <c r="O3234" s="4" t="str">
        <f>IFERROR(__xludf.DUMMYFUNCTION("""COMPUTED_VALUE"""),"Cardápio Web")</f>
        <v>Cardápio Web</v>
      </c>
      <c r="P3234" s="33">
        <f>IFERROR(__xludf.DUMMYFUNCTION("""COMPUTED_VALUE"""),1.0)</f>
        <v>1</v>
      </c>
      <c r="Q3234" s="4" t="str">
        <f>IFERROR(__xludf.DUMMYFUNCTION("""COMPUTED_VALUE"""),"Cardápio Web")</f>
        <v>Cardápio Web</v>
      </c>
      <c r="R3234" s="33">
        <f>IFERROR(__xludf.DUMMYFUNCTION("""COMPUTED_VALUE"""),1.0)</f>
        <v>1</v>
      </c>
      <c r="S3234" s="4" t="str">
        <f>IFERROR(__xludf.DUMMYFUNCTION("""COMPUTED_VALUE"""),"Cardápio Web")</f>
        <v>Cardápio Web</v>
      </c>
      <c r="T3234" s="33">
        <f>IFERROR(__xludf.DUMMYFUNCTION("""COMPUTED_VALUE"""),1.0)</f>
        <v>1</v>
      </c>
      <c r="U3234" s="4" t="str">
        <f>IFERROR(__xludf.DUMMYFUNCTION("""COMPUTED_VALUE"""),"Cardápio Web")</f>
        <v>Cardápio Web</v>
      </c>
      <c r="V3234" s="33">
        <f>IFERROR(__xludf.DUMMYFUNCTION("""COMPUTED_VALUE"""),1.0)</f>
        <v>1</v>
      </c>
      <c r="W3234" s="4" t="str">
        <f>IFERROR(__xludf.DUMMYFUNCTION("""COMPUTED_VALUE"""),"Cardápio Web")</f>
        <v>Cardápio Web</v>
      </c>
      <c r="X3234" s="33">
        <f>IFERROR(__xludf.DUMMYFUNCTION("""COMPUTED_VALUE"""),1.0)</f>
        <v>1</v>
      </c>
    </row>
    <row r="3235">
      <c r="K3235" s="4" t="str">
        <f>IFERROR(__xludf.DUMMYFUNCTION("""COMPUTED_VALUE"""),"BOH GASTRONOMIA")</f>
        <v>BOH GASTRONOMIA</v>
      </c>
      <c r="L3235" s="32">
        <f>IFERROR(__xludf.DUMMYFUNCTION("""COMPUTED_VALUE"""),3.0)</f>
        <v>3</v>
      </c>
      <c r="M3235" s="4" t="str">
        <f>IFERROR(__xludf.DUMMYFUNCTION("""COMPUTED_VALUE"""),"null")</f>
        <v>null</v>
      </c>
      <c r="N3235" s="33">
        <f>IFERROR(__xludf.DUMMYFUNCTION("""COMPUTED_VALUE"""),0.6666666666666666)</f>
        <v>0.6666666667</v>
      </c>
      <c r="O3235" s="4" t="str">
        <f>IFERROR(__xludf.DUMMYFUNCTION("""COMPUTED_VALUE"""),"Netcontroll Xmenu")</f>
        <v>Netcontroll Xmenu</v>
      </c>
      <c r="P3235" s="33">
        <f>IFERROR(__xludf.DUMMYFUNCTION("""COMPUTED_VALUE"""),0.6666666666666666)</f>
        <v>0.6666666667</v>
      </c>
      <c r="Q3235" s="4" t="str">
        <f>IFERROR(__xludf.DUMMYFUNCTION("""COMPUTED_VALUE"""),"null")</f>
        <v>null</v>
      </c>
      <c r="R3235" s="33">
        <f>IFERROR(__xludf.DUMMYFUNCTION("""COMPUTED_VALUE"""),0.6666666666666666)</f>
        <v>0.6666666667</v>
      </c>
      <c r="S3235" s="4" t="str">
        <f>IFERROR(__xludf.DUMMYFUNCTION("""COMPUTED_VALUE"""),"Netcontroll Xmenu")</f>
        <v>Netcontroll Xmenu</v>
      </c>
      <c r="T3235" s="33">
        <f>IFERROR(__xludf.DUMMYFUNCTION("""COMPUTED_VALUE"""),1.0)</f>
        <v>1</v>
      </c>
      <c r="U3235" s="4" t="str">
        <f>IFERROR(__xludf.DUMMYFUNCTION("""COMPUTED_VALUE"""),"Netcontroll Xmenu")</f>
        <v>Netcontroll Xmenu</v>
      </c>
      <c r="V3235" s="33">
        <f>IFERROR(__xludf.DUMMYFUNCTION("""COMPUTED_VALUE"""),0.6666666666666666)</f>
        <v>0.6666666667</v>
      </c>
      <c r="W3235" s="4" t="str">
        <f>IFERROR(__xludf.DUMMYFUNCTION("""COMPUTED_VALUE"""),"Netcontroll Xmenu")</f>
        <v>Netcontroll Xmenu</v>
      </c>
      <c r="X3235" s="33">
        <f>IFERROR(__xludf.DUMMYFUNCTION("""COMPUTED_VALUE"""),0.6666666666666666)</f>
        <v>0.6666666667</v>
      </c>
    </row>
    <row r="3236">
      <c r="K3236" s="4" t="str">
        <f>IFERROR(__xludf.DUMMYFUNCTION("""COMPUTED_VALUE"""),"BOI AND BEER - CP")</f>
        <v>BOI AND BEER - CP</v>
      </c>
      <c r="L3236" s="32">
        <f>IFERROR(__xludf.DUMMYFUNCTION("""COMPUTED_VALUE"""),3.0)</f>
        <v>3</v>
      </c>
      <c r="M3236" s="4" t="str">
        <f>IFERROR(__xludf.DUMMYFUNCTION("""COMPUTED_VALUE"""),"Cloudfy")</f>
        <v>Cloudfy</v>
      </c>
      <c r="N3236" s="33">
        <f>IFERROR(__xludf.DUMMYFUNCTION("""COMPUTED_VALUE"""),1.0)</f>
        <v>1</v>
      </c>
      <c r="O3236" s="4" t="str">
        <f>IFERROR(__xludf.DUMMYFUNCTION("""COMPUTED_VALUE"""),"Cloudfy")</f>
        <v>Cloudfy</v>
      </c>
      <c r="P3236" s="33">
        <f>IFERROR(__xludf.DUMMYFUNCTION("""COMPUTED_VALUE"""),1.0)</f>
        <v>1</v>
      </c>
      <c r="Q3236" s="4" t="str">
        <f>IFERROR(__xludf.DUMMYFUNCTION("""COMPUTED_VALUE"""),"Cloudfy")</f>
        <v>Cloudfy</v>
      </c>
      <c r="R3236" s="33">
        <f>IFERROR(__xludf.DUMMYFUNCTION("""COMPUTED_VALUE"""),1.0)</f>
        <v>1</v>
      </c>
      <c r="S3236" s="4" t="str">
        <f>IFERROR(__xludf.DUMMYFUNCTION("""COMPUTED_VALUE"""),"Cloudfy")</f>
        <v>Cloudfy</v>
      </c>
      <c r="T3236" s="33">
        <f>IFERROR(__xludf.DUMMYFUNCTION("""COMPUTED_VALUE"""),1.0)</f>
        <v>1</v>
      </c>
      <c r="U3236" s="4" t="str">
        <f>IFERROR(__xludf.DUMMYFUNCTION("""COMPUTED_VALUE"""),"Cloudfy")</f>
        <v>Cloudfy</v>
      </c>
      <c r="V3236" s="33">
        <f>IFERROR(__xludf.DUMMYFUNCTION("""COMPUTED_VALUE"""),1.0)</f>
        <v>1</v>
      </c>
      <c r="W3236" s="4" t="str">
        <f>IFERROR(__xludf.DUMMYFUNCTION("""COMPUTED_VALUE"""),"Cloudfy")</f>
        <v>Cloudfy</v>
      </c>
      <c r="X3236" s="33">
        <f>IFERROR(__xludf.DUMMYFUNCTION("""COMPUTED_VALUE"""),0.6666666666666666)</f>
        <v>0.6666666667</v>
      </c>
    </row>
    <row r="3237">
      <c r="K3237" s="4" t="str">
        <f>IFERROR(__xludf.DUMMYFUNCTION("""COMPUTED_VALUE"""),"BON APPETIT - MARCA")</f>
        <v>BON APPETIT - MARCA</v>
      </c>
      <c r="L3237" s="32">
        <f>IFERROR(__xludf.DUMMYFUNCTION("""COMPUTED_VALUE"""),3.0)</f>
        <v>3</v>
      </c>
      <c r="M3237" s="4" t="str">
        <f>IFERROR(__xludf.DUMMYFUNCTION("""COMPUTED_VALUE"""),"Cardápio Web")</f>
        <v>Cardápio Web</v>
      </c>
      <c r="N3237" s="33">
        <f>IFERROR(__xludf.DUMMYFUNCTION("""COMPUTED_VALUE"""),1.0)</f>
        <v>1</v>
      </c>
      <c r="O3237" s="4" t="str">
        <f>IFERROR(__xludf.DUMMYFUNCTION("""COMPUTED_VALUE"""),"Cardápio Web")</f>
        <v>Cardápio Web</v>
      </c>
      <c r="P3237" s="33">
        <f>IFERROR(__xludf.DUMMYFUNCTION("""COMPUTED_VALUE"""),1.0)</f>
        <v>1</v>
      </c>
      <c r="Q3237" s="4" t="str">
        <f>IFERROR(__xludf.DUMMYFUNCTION("""COMPUTED_VALUE"""),"Cardápio Web")</f>
        <v>Cardápio Web</v>
      </c>
      <c r="R3237" s="33">
        <f>IFERROR(__xludf.DUMMYFUNCTION("""COMPUTED_VALUE"""),1.0)</f>
        <v>1</v>
      </c>
      <c r="S3237" s="4" t="str">
        <f>IFERROR(__xludf.DUMMYFUNCTION("""COMPUTED_VALUE"""),"Cardápio Web")</f>
        <v>Cardápio Web</v>
      </c>
      <c r="T3237" s="33">
        <f>IFERROR(__xludf.DUMMYFUNCTION("""COMPUTED_VALUE"""),1.0)</f>
        <v>1</v>
      </c>
      <c r="U3237" s="4" t="str">
        <f>IFERROR(__xludf.DUMMYFUNCTION("""COMPUTED_VALUE"""),"Cardápio Web")</f>
        <v>Cardápio Web</v>
      </c>
      <c r="V3237" s="33">
        <f>IFERROR(__xludf.DUMMYFUNCTION("""COMPUTED_VALUE"""),1.0)</f>
        <v>1</v>
      </c>
      <c r="W3237" s="4" t="str">
        <f>IFERROR(__xludf.DUMMYFUNCTION("""COMPUTED_VALUE"""),"Cardápio Web")</f>
        <v>Cardápio Web</v>
      </c>
      <c r="X3237" s="33">
        <f>IFERROR(__xludf.DUMMYFUNCTION("""COMPUTED_VALUE"""),1.0)</f>
        <v>1</v>
      </c>
    </row>
    <row r="3238">
      <c r="K3238" s="4" t="str">
        <f>IFERROR(__xludf.DUMMYFUNCTION("""COMPUTED_VALUE"""),"BONARABE")</f>
        <v>BONARABE</v>
      </c>
      <c r="L3238" s="32">
        <f>IFERROR(__xludf.DUMMYFUNCTION("""COMPUTED_VALUE"""),3.0)</f>
        <v>3</v>
      </c>
      <c r="M3238" s="4" t="str">
        <f>IFERROR(__xludf.DUMMYFUNCTION("""COMPUTED_VALUE"""),"Menew - Linx")</f>
        <v>Menew - Linx</v>
      </c>
      <c r="N3238" s="33">
        <f>IFERROR(__xludf.DUMMYFUNCTION("""COMPUTED_VALUE"""),0.6666666666666666)</f>
        <v>0.6666666667</v>
      </c>
      <c r="O3238" s="4" t="str">
        <f>IFERROR(__xludf.DUMMYFUNCTION("""COMPUTED_VALUE"""),"Menew - Linx")</f>
        <v>Menew - Linx</v>
      </c>
      <c r="P3238" s="33">
        <f>IFERROR(__xludf.DUMMYFUNCTION("""COMPUTED_VALUE"""),0.6666666666666666)</f>
        <v>0.6666666667</v>
      </c>
      <c r="Q3238" s="4" t="str">
        <f>IFERROR(__xludf.DUMMYFUNCTION("""COMPUTED_VALUE"""),"Menew - Linx")</f>
        <v>Menew - Linx</v>
      </c>
      <c r="R3238" s="33">
        <f>IFERROR(__xludf.DUMMYFUNCTION("""COMPUTED_VALUE"""),0.6666666666666666)</f>
        <v>0.6666666667</v>
      </c>
      <c r="S3238" s="4" t="str">
        <f>IFERROR(__xludf.DUMMYFUNCTION("""COMPUTED_VALUE"""),"Menew - Linx")</f>
        <v>Menew - Linx</v>
      </c>
      <c r="T3238" s="33">
        <f>IFERROR(__xludf.DUMMYFUNCTION("""COMPUTED_VALUE"""),0.6666666666666666)</f>
        <v>0.6666666667</v>
      </c>
      <c r="U3238" s="4" t="str">
        <f>IFERROR(__xludf.DUMMYFUNCTION("""COMPUTED_VALUE"""),"Menew - Linx")</f>
        <v>Menew - Linx</v>
      </c>
      <c r="V3238" s="33">
        <f>IFERROR(__xludf.DUMMYFUNCTION("""COMPUTED_VALUE"""),0.6666666666666666)</f>
        <v>0.6666666667</v>
      </c>
      <c r="W3238" s="4" t="str">
        <f>IFERROR(__xludf.DUMMYFUNCTION("""COMPUTED_VALUE"""),"Menew - Linx")</f>
        <v>Menew - Linx</v>
      </c>
      <c r="X3238" s="33">
        <f>IFERROR(__xludf.DUMMYFUNCTION("""COMPUTED_VALUE"""),0.6666666666666666)</f>
        <v>0.6666666667</v>
      </c>
    </row>
    <row r="3239">
      <c r="K3239" s="4" t="str">
        <f>IFERROR(__xludf.DUMMYFUNCTION("""COMPUTED_VALUE"""),"BOTECO DA GRANJA MARCA")</f>
        <v>BOTECO DA GRANJA MARCA</v>
      </c>
      <c r="L3239" s="32">
        <f>IFERROR(__xludf.DUMMYFUNCTION("""COMPUTED_VALUE"""),3.0)</f>
        <v>3</v>
      </c>
      <c r="M3239" s="4" t="str">
        <f>IFERROR(__xludf.DUMMYFUNCTION("""COMPUTED_VALUE"""),"Cardápio Web")</f>
        <v>Cardápio Web</v>
      </c>
      <c r="N3239" s="33">
        <f>IFERROR(__xludf.DUMMYFUNCTION("""COMPUTED_VALUE"""),1.0)</f>
        <v>1</v>
      </c>
      <c r="O3239" s="4" t="str">
        <f>IFERROR(__xludf.DUMMYFUNCTION("""COMPUTED_VALUE"""),"Cardápio Web")</f>
        <v>Cardápio Web</v>
      </c>
      <c r="P3239" s="33">
        <f>IFERROR(__xludf.DUMMYFUNCTION("""COMPUTED_VALUE"""),1.0)</f>
        <v>1</v>
      </c>
      <c r="Q3239" s="4" t="str">
        <f>IFERROR(__xludf.DUMMYFUNCTION("""COMPUTED_VALUE"""),"Cardápio Web")</f>
        <v>Cardápio Web</v>
      </c>
      <c r="R3239" s="33">
        <f>IFERROR(__xludf.DUMMYFUNCTION("""COMPUTED_VALUE"""),1.0)</f>
        <v>1</v>
      </c>
      <c r="S3239" s="4" t="str">
        <f>IFERROR(__xludf.DUMMYFUNCTION("""COMPUTED_VALUE"""),"Cardápio Web")</f>
        <v>Cardápio Web</v>
      </c>
      <c r="T3239" s="33">
        <f>IFERROR(__xludf.DUMMYFUNCTION("""COMPUTED_VALUE"""),1.0)</f>
        <v>1</v>
      </c>
      <c r="U3239" s="4" t="str">
        <f>IFERROR(__xludf.DUMMYFUNCTION("""COMPUTED_VALUE"""),"Cardápio Web")</f>
        <v>Cardápio Web</v>
      </c>
      <c r="V3239" s="33">
        <f>IFERROR(__xludf.DUMMYFUNCTION("""COMPUTED_VALUE"""),1.0)</f>
        <v>1</v>
      </c>
      <c r="W3239" s="4" t="str">
        <f>IFERROR(__xludf.DUMMYFUNCTION("""COMPUTED_VALUE"""),"Cardápio Web")</f>
        <v>Cardápio Web</v>
      </c>
      <c r="X3239" s="33">
        <f>IFERROR(__xludf.DUMMYFUNCTION("""COMPUTED_VALUE"""),1.0)</f>
        <v>1</v>
      </c>
    </row>
    <row r="3240">
      <c r="K3240" s="4" t="str">
        <f>IFERROR(__xludf.DUMMYFUNCTION("""COMPUTED_VALUE"""),"BOTECO DO CICO CONTA MARCA")</f>
        <v>BOTECO DO CICO CONTA MARCA</v>
      </c>
      <c r="L3240" s="32">
        <f>IFERROR(__xludf.DUMMYFUNCTION("""COMPUTED_VALUE"""),3.0)</f>
        <v>3</v>
      </c>
      <c r="M3240" s="4" t="str">
        <f>IFERROR(__xludf.DUMMYFUNCTION("""COMPUTED_VALUE"""),"Proabakus Desenvolvimento De Sistemas Ltda")</f>
        <v>Proabakus Desenvolvimento De Sistemas Ltda</v>
      </c>
      <c r="N3240" s="33">
        <f>IFERROR(__xludf.DUMMYFUNCTION("""COMPUTED_VALUE"""),0.6666666666666666)</f>
        <v>0.6666666667</v>
      </c>
      <c r="O3240" s="4" t="str">
        <f>IFERROR(__xludf.DUMMYFUNCTION("""COMPUTED_VALUE"""),"Proabakus Desenvolvimento De Sistemas Ltda")</f>
        <v>Proabakus Desenvolvimento De Sistemas Ltda</v>
      </c>
      <c r="P3240" s="33">
        <f>IFERROR(__xludf.DUMMYFUNCTION("""COMPUTED_VALUE"""),0.6666666666666666)</f>
        <v>0.6666666667</v>
      </c>
      <c r="Q3240" s="4" t="str">
        <f>IFERROR(__xludf.DUMMYFUNCTION("""COMPUTED_VALUE"""),"Proabakus Desenvolvimento De Sistemas Ltda")</f>
        <v>Proabakus Desenvolvimento De Sistemas Ltda</v>
      </c>
      <c r="R3240" s="33">
        <f>IFERROR(__xludf.DUMMYFUNCTION("""COMPUTED_VALUE"""),0.6666666666666666)</f>
        <v>0.6666666667</v>
      </c>
      <c r="S3240" s="4" t="str">
        <f>IFERROR(__xludf.DUMMYFUNCTION("""COMPUTED_VALUE"""),"Proabakus Desenvolvimento De Sistemas Ltda")</f>
        <v>Proabakus Desenvolvimento De Sistemas Ltda</v>
      </c>
      <c r="T3240" s="33">
        <f>IFERROR(__xludf.DUMMYFUNCTION("""COMPUTED_VALUE"""),0.6666666666666666)</f>
        <v>0.6666666667</v>
      </c>
      <c r="U3240" s="4" t="str">
        <f>IFERROR(__xludf.DUMMYFUNCTION("""COMPUTED_VALUE"""),"Proabakus Desenvolvimento De Sistemas Ltda")</f>
        <v>Proabakus Desenvolvimento De Sistemas Ltda</v>
      </c>
      <c r="V3240" s="33">
        <f>IFERROR(__xludf.DUMMYFUNCTION("""COMPUTED_VALUE"""),1.0)</f>
        <v>1</v>
      </c>
      <c r="W3240" s="4" t="str">
        <f>IFERROR(__xludf.DUMMYFUNCTION("""COMPUTED_VALUE"""),"Proabakus Desenvolvimento De Sistemas Ltda")</f>
        <v>Proabakus Desenvolvimento De Sistemas Ltda</v>
      </c>
      <c r="X3240" s="33">
        <f>IFERROR(__xludf.DUMMYFUNCTION("""COMPUTED_VALUE"""),0.6666666666666666)</f>
        <v>0.6666666667</v>
      </c>
    </row>
    <row r="3241">
      <c r="K3241" s="4" t="str">
        <f>IFERROR(__xludf.DUMMYFUNCTION("""COMPUTED_VALUE"""),"BOTTEGA BERNACCA")</f>
        <v>BOTTEGA BERNACCA</v>
      </c>
      <c r="L3241" s="32">
        <f>IFERROR(__xludf.DUMMYFUNCTION("""COMPUTED_VALUE"""),3.0)</f>
        <v>3</v>
      </c>
      <c r="M3241" s="4" t="str">
        <f>IFERROR(__xludf.DUMMYFUNCTION("""COMPUTED_VALUE"""),"null")</f>
        <v>null</v>
      </c>
      <c r="N3241" s="33">
        <f>IFERROR(__xludf.DUMMYFUNCTION("""COMPUTED_VALUE"""),0.6666666666666666)</f>
        <v>0.6666666667</v>
      </c>
      <c r="O3241" s="4" t="str">
        <f>IFERROR(__xludf.DUMMYFUNCTION("""COMPUTED_VALUE"""),"Zigpay")</f>
        <v>Zigpay</v>
      </c>
      <c r="P3241" s="33">
        <f>IFERROR(__xludf.DUMMYFUNCTION("""COMPUTED_VALUE"""),0.6666666666666666)</f>
        <v>0.6666666667</v>
      </c>
      <c r="Q3241" s="4" t="str">
        <f>IFERROR(__xludf.DUMMYFUNCTION("""COMPUTED_VALUE"""),"Zigpay")</f>
        <v>Zigpay</v>
      </c>
      <c r="R3241" s="33">
        <f>IFERROR(__xludf.DUMMYFUNCTION("""COMPUTED_VALUE"""),1.0)</f>
        <v>1</v>
      </c>
      <c r="S3241" s="4" t="str">
        <f>IFERROR(__xludf.DUMMYFUNCTION("""COMPUTED_VALUE"""),"null")</f>
        <v>null</v>
      </c>
      <c r="T3241" s="33">
        <f>IFERROR(__xludf.DUMMYFUNCTION("""COMPUTED_VALUE"""),0.6666666666666666)</f>
        <v>0.6666666667</v>
      </c>
      <c r="U3241" s="4" t="str">
        <f>IFERROR(__xludf.DUMMYFUNCTION("""COMPUTED_VALUE"""),"Zigpay")</f>
        <v>Zigpay</v>
      </c>
      <c r="V3241" s="33">
        <f>IFERROR(__xludf.DUMMYFUNCTION("""COMPUTED_VALUE"""),1.0)</f>
        <v>1</v>
      </c>
      <c r="W3241" s="4" t="str">
        <f>IFERROR(__xludf.DUMMYFUNCTION("""COMPUTED_VALUE"""),"null")</f>
        <v>null</v>
      </c>
      <c r="X3241" s="33">
        <f>IFERROR(__xludf.DUMMYFUNCTION("""COMPUTED_VALUE"""),0.6666666666666666)</f>
        <v>0.6666666667</v>
      </c>
    </row>
    <row r="3242">
      <c r="K3242" s="4" t="str">
        <f>IFERROR(__xludf.DUMMYFUNCTION("""COMPUTED_VALUE"""),"BOUCAN BURGER - HAMBURGUERIA ARTESANAL LANCHES-CONTA PAI")</f>
        <v>BOUCAN BURGER - HAMBURGUERIA ARTESANAL LANCHES-CONTA PAI</v>
      </c>
      <c r="L3242" s="32">
        <f>IFERROR(__xludf.DUMMYFUNCTION("""COMPUTED_VALUE"""),3.0)</f>
        <v>3</v>
      </c>
      <c r="M3242" s="4" t="str">
        <f>IFERROR(__xludf.DUMMYFUNCTION("""COMPUTED_VALUE"""),"Saipos Serviços De Software")</f>
        <v>Saipos Serviços De Software</v>
      </c>
      <c r="N3242" s="33">
        <f>IFERROR(__xludf.DUMMYFUNCTION("""COMPUTED_VALUE"""),1.0)</f>
        <v>1</v>
      </c>
      <c r="O3242" s="4" t="str">
        <f>IFERROR(__xludf.DUMMYFUNCTION("""COMPUTED_VALUE"""),"Saipos Serviços De Software")</f>
        <v>Saipos Serviços De Software</v>
      </c>
      <c r="P3242" s="33">
        <f>IFERROR(__xludf.DUMMYFUNCTION("""COMPUTED_VALUE"""),1.0)</f>
        <v>1</v>
      </c>
      <c r="Q3242" s="4" t="str">
        <f>IFERROR(__xludf.DUMMYFUNCTION("""COMPUTED_VALUE"""),"Saipos Serviços De Software")</f>
        <v>Saipos Serviços De Software</v>
      </c>
      <c r="R3242" s="33">
        <f>IFERROR(__xludf.DUMMYFUNCTION("""COMPUTED_VALUE"""),1.0)</f>
        <v>1</v>
      </c>
      <c r="S3242" s="4" t="str">
        <f>IFERROR(__xludf.DUMMYFUNCTION("""COMPUTED_VALUE"""),"Saipos Serviços De Software")</f>
        <v>Saipos Serviços De Software</v>
      </c>
      <c r="T3242" s="33">
        <f>IFERROR(__xludf.DUMMYFUNCTION("""COMPUTED_VALUE"""),1.0)</f>
        <v>1</v>
      </c>
      <c r="U3242" s="4" t="str">
        <f>IFERROR(__xludf.DUMMYFUNCTION("""COMPUTED_VALUE"""),"null")</f>
        <v>null</v>
      </c>
      <c r="V3242" s="33">
        <f>IFERROR(__xludf.DUMMYFUNCTION("""COMPUTED_VALUE"""),0.6666666666666666)</f>
        <v>0.6666666667</v>
      </c>
      <c r="W3242" s="4" t="str">
        <f>IFERROR(__xludf.DUMMYFUNCTION("""COMPUTED_VALUE"""),"null")</f>
        <v>null</v>
      </c>
      <c r="X3242" s="33">
        <f>IFERROR(__xludf.DUMMYFUNCTION("""COMPUTED_VALUE"""),0.6666666666666666)</f>
        <v>0.6666666667</v>
      </c>
    </row>
    <row r="3243">
      <c r="K3243" s="4" t="str">
        <f>IFERROR(__xludf.DUMMYFUNCTION("""COMPUTED_VALUE"""),"BR MANIA")</f>
        <v>BR MANIA</v>
      </c>
      <c r="L3243" s="32">
        <f>IFERROR(__xludf.DUMMYFUNCTION("""COMPUTED_VALUE"""),3.0)</f>
        <v>3</v>
      </c>
      <c r="M3243" s="4" t="str">
        <f>IFERROR(__xludf.DUMMYFUNCTION("""COMPUTED_VALUE"""),"Go2go")</f>
        <v>Go2go</v>
      </c>
      <c r="N3243" s="33">
        <f>IFERROR(__xludf.DUMMYFUNCTION("""COMPUTED_VALUE"""),1.0)</f>
        <v>1</v>
      </c>
      <c r="O3243" s="4" t="str">
        <f>IFERROR(__xludf.DUMMYFUNCTION("""COMPUTED_VALUE"""),"Go2go")</f>
        <v>Go2go</v>
      </c>
      <c r="P3243" s="33">
        <f>IFERROR(__xludf.DUMMYFUNCTION("""COMPUTED_VALUE"""),1.0)</f>
        <v>1</v>
      </c>
      <c r="Q3243" s="4" t="str">
        <f>IFERROR(__xludf.DUMMYFUNCTION("""COMPUTED_VALUE"""),"Go2go")</f>
        <v>Go2go</v>
      </c>
      <c r="R3243" s="33">
        <f>IFERROR(__xludf.DUMMYFUNCTION("""COMPUTED_VALUE"""),1.0)</f>
        <v>1</v>
      </c>
      <c r="S3243" s="4" t="str">
        <f>IFERROR(__xludf.DUMMYFUNCTION("""COMPUTED_VALUE"""),"Go2go")</f>
        <v>Go2go</v>
      </c>
      <c r="T3243" s="33">
        <f>IFERROR(__xludf.DUMMYFUNCTION("""COMPUTED_VALUE"""),1.0)</f>
        <v>1</v>
      </c>
      <c r="U3243" s="4" t="str">
        <f>IFERROR(__xludf.DUMMYFUNCTION("""COMPUTED_VALUE"""),"Go2go")</f>
        <v>Go2go</v>
      </c>
      <c r="V3243" s="33">
        <f>IFERROR(__xludf.DUMMYFUNCTION("""COMPUTED_VALUE"""),1.0)</f>
        <v>1</v>
      </c>
      <c r="W3243" s="4" t="str">
        <f>IFERROR(__xludf.DUMMYFUNCTION("""COMPUTED_VALUE"""),"Go2go")</f>
        <v>Go2go</v>
      </c>
      <c r="X3243" s="33">
        <f>IFERROR(__xludf.DUMMYFUNCTION("""COMPUTED_VALUE"""),0.6666666666666666)</f>
        <v>0.6666666667</v>
      </c>
    </row>
    <row r="3244">
      <c r="K3244" s="4" t="str">
        <f>IFERROR(__xludf.DUMMYFUNCTION("""COMPUTED_VALUE"""),"BRASADOR")</f>
        <v>BRASADOR</v>
      </c>
      <c r="L3244" s="32">
        <f>IFERROR(__xludf.DUMMYFUNCTION("""COMPUTED_VALUE"""),3.0)</f>
        <v>3</v>
      </c>
      <c r="M3244" s="4" t="str">
        <f>IFERROR(__xludf.DUMMYFUNCTION("""COMPUTED_VALUE"""),"Totvs Large Enterprise Tecnologia S.a.")</f>
        <v>Totvs Large Enterprise Tecnologia S.a.</v>
      </c>
      <c r="N3244" s="33">
        <f>IFERROR(__xludf.DUMMYFUNCTION("""COMPUTED_VALUE"""),0.6666666666666666)</f>
        <v>0.6666666667</v>
      </c>
      <c r="O3244" s="4" t="str">
        <f>IFERROR(__xludf.DUMMYFUNCTION("""COMPUTED_VALUE"""),"Netcontroll Xmenu")</f>
        <v>Netcontroll Xmenu</v>
      </c>
      <c r="P3244" s="33">
        <f>IFERROR(__xludf.DUMMYFUNCTION("""COMPUTED_VALUE"""),0.3333333333333333)</f>
        <v>0.3333333333</v>
      </c>
      <c r="Q3244" s="4" t="str">
        <f>IFERROR(__xludf.DUMMYFUNCTION("""COMPUTED_VALUE"""),"Netcontroll Xmenu")</f>
        <v>Netcontroll Xmenu</v>
      </c>
      <c r="R3244" s="33">
        <f>IFERROR(__xludf.DUMMYFUNCTION("""COMPUTED_VALUE"""),0.3333333333333333)</f>
        <v>0.3333333333</v>
      </c>
      <c r="S3244" s="4" t="str">
        <f>IFERROR(__xludf.DUMMYFUNCTION("""COMPUTED_VALUE"""),"Netcontroll Xmenu")</f>
        <v>Netcontroll Xmenu</v>
      </c>
      <c r="T3244" s="33">
        <f>IFERROR(__xludf.DUMMYFUNCTION("""COMPUTED_VALUE"""),0.3333333333333333)</f>
        <v>0.3333333333</v>
      </c>
      <c r="U3244" s="4" t="str">
        <f>IFERROR(__xludf.DUMMYFUNCTION("""COMPUTED_VALUE"""),"null")</f>
        <v>null</v>
      </c>
      <c r="V3244" s="33">
        <f>IFERROR(__xludf.DUMMYFUNCTION("""COMPUTED_VALUE"""),0.6666666666666666)</f>
        <v>0.6666666667</v>
      </c>
      <c r="W3244" s="4" t="str">
        <f>IFERROR(__xludf.DUMMYFUNCTION("""COMPUTED_VALUE"""),"Netcontroll Xmenu")</f>
        <v>Netcontroll Xmenu</v>
      </c>
      <c r="X3244" s="33">
        <f>IFERROR(__xludf.DUMMYFUNCTION("""COMPUTED_VALUE"""),0.3333333333333333)</f>
        <v>0.3333333333</v>
      </c>
    </row>
    <row r="3245">
      <c r="K3245" s="4" t="str">
        <f>IFERROR(__xludf.DUMMYFUNCTION("""COMPUTED_VALUE"""),"BRAZZA PIZZA")</f>
        <v>BRAZZA PIZZA</v>
      </c>
      <c r="L3245" s="32">
        <f>IFERROR(__xludf.DUMMYFUNCTION("""COMPUTED_VALUE"""),3.0)</f>
        <v>3</v>
      </c>
      <c r="M3245" s="4" t="str">
        <f>IFERROR(__xludf.DUMMYFUNCTION("""COMPUTED_VALUE"""),"Consumer Soluções Em Tecnologia Ltda")</f>
        <v>Consumer Soluções Em Tecnologia Ltda</v>
      </c>
      <c r="N3245" s="33">
        <f>IFERROR(__xludf.DUMMYFUNCTION("""COMPUTED_VALUE"""),0.6666666666666666)</f>
        <v>0.6666666667</v>
      </c>
      <c r="O3245" s="4" t="str">
        <f>IFERROR(__xludf.DUMMYFUNCTION("""COMPUTED_VALUE"""),"null")</f>
        <v>null</v>
      </c>
      <c r="P3245" s="33">
        <f>IFERROR(__xludf.DUMMYFUNCTION("""COMPUTED_VALUE"""),1.0)</f>
        <v>1</v>
      </c>
      <c r="Q3245" s="4" t="str">
        <f>IFERROR(__xludf.DUMMYFUNCTION("""COMPUTED_VALUE"""),"null")</f>
        <v>null</v>
      </c>
      <c r="R3245" s="33">
        <f>IFERROR(__xludf.DUMMYFUNCTION("""COMPUTED_VALUE"""),1.0)</f>
        <v>1</v>
      </c>
      <c r="S3245" s="4" t="str">
        <f>IFERROR(__xludf.DUMMYFUNCTION("""COMPUTED_VALUE"""),"Consumer Soluções Em Tecnologia Ltda")</f>
        <v>Consumer Soluções Em Tecnologia Ltda</v>
      </c>
      <c r="T3245" s="33">
        <f>IFERROR(__xludf.DUMMYFUNCTION("""COMPUTED_VALUE"""),0.6666666666666666)</f>
        <v>0.6666666667</v>
      </c>
      <c r="U3245" s="4" t="str">
        <f>IFERROR(__xludf.DUMMYFUNCTION("""COMPUTED_VALUE"""),"null")</f>
        <v>null</v>
      </c>
      <c r="V3245" s="33">
        <f>IFERROR(__xludf.DUMMYFUNCTION("""COMPUTED_VALUE"""),0.3333333333333333)</f>
        <v>0.3333333333</v>
      </c>
      <c r="W3245" s="4" t="str">
        <f>IFERROR(__xludf.DUMMYFUNCTION("""COMPUTED_VALUE"""),"null")</f>
        <v>null</v>
      </c>
      <c r="X3245" s="33">
        <f>IFERROR(__xludf.DUMMYFUNCTION("""COMPUTED_VALUE"""),1.0)</f>
        <v>1</v>
      </c>
    </row>
    <row r="3246">
      <c r="K3246" s="4" t="str">
        <f>IFERROR(__xludf.DUMMYFUNCTION("""COMPUTED_VALUE"""),"BREAK LAB BURGER")</f>
        <v>BREAK LAB BURGER</v>
      </c>
      <c r="L3246" s="32">
        <f>IFERROR(__xludf.DUMMYFUNCTION("""COMPUTED_VALUE"""),3.0)</f>
        <v>3</v>
      </c>
      <c r="M3246" s="4" t="str">
        <f>IFERROR(__xludf.DUMMYFUNCTION("""COMPUTED_VALUE"""),"Swfast Sistemas")</f>
        <v>Swfast Sistemas</v>
      </c>
      <c r="N3246" s="33">
        <f>IFERROR(__xludf.DUMMYFUNCTION("""COMPUTED_VALUE"""),1.0)</f>
        <v>1</v>
      </c>
      <c r="O3246" s="4" t="str">
        <f>IFERROR(__xludf.DUMMYFUNCTION("""COMPUTED_VALUE"""),"Swfast Sistemas")</f>
        <v>Swfast Sistemas</v>
      </c>
      <c r="P3246" s="33">
        <f>IFERROR(__xludf.DUMMYFUNCTION("""COMPUTED_VALUE"""),0.6666666666666666)</f>
        <v>0.6666666667</v>
      </c>
      <c r="Q3246" s="4" t="str">
        <f>IFERROR(__xludf.DUMMYFUNCTION("""COMPUTED_VALUE"""),"Swfast Sistemas")</f>
        <v>Swfast Sistemas</v>
      </c>
      <c r="R3246" s="33">
        <f>IFERROR(__xludf.DUMMYFUNCTION("""COMPUTED_VALUE"""),0.6666666666666666)</f>
        <v>0.6666666667</v>
      </c>
      <c r="S3246" s="4" t="str">
        <f>IFERROR(__xludf.DUMMYFUNCTION("""COMPUTED_VALUE"""),"Swfast Sistemas")</f>
        <v>Swfast Sistemas</v>
      </c>
      <c r="T3246" s="33">
        <f>IFERROR(__xludf.DUMMYFUNCTION("""COMPUTED_VALUE"""),0.6666666666666666)</f>
        <v>0.6666666667</v>
      </c>
      <c r="U3246" s="4" t="str">
        <f>IFERROR(__xludf.DUMMYFUNCTION("""COMPUTED_VALUE"""),"Swfast Sistemas")</f>
        <v>Swfast Sistemas</v>
      </c>
      <c r="V3246" s="33">
        <f>IFERROR(__xludf.DUMMYFUNCTION("""COMPUTED_VALUE"""),0.6666666666666666)</f>
        <v>0.6666666667</v>
      </c>
      <c r="W3246" s="4" t="str">
        <f>IFERROR(__xludf.DUMMYFUNCTION("""COMPUTED_VALUE"""),"Swfast Sistemas")</f>
        <v>Swfast Sistemas</v>
      </c>
      <c r="X3246" s="33">
        <f>IFERROR(__xludf.DUMMYFUNCTION("""COMPUTED_VALUE"""),0.6666666666666666)</f>
        <v>0.6666666667</v>
      </c>
    </row>
    <row r="3247">
      <c r="K3247" s="4" t="str">
        <f>IFERROR(__xludf.DUMMYFUNCTION("""COMPUTED_VALUE"""),"BRIOCHE CROCANTE - MARCA")</f>
        <v>BRIOCHE CROCANTE - MARCA</v>
      </c>
      <c r="L3247" s="32">
        <f>IFERROR(__xludf.DUMMYFUNCTION("""COMPUTED_VALUE"""),3.0)</f>
        <v>3</v>
      </c>
      <c r="M3247" s="4" t="str">
        <f>IFERROR(__xludf.DUMMYFUNCTION("""COMPUTED_VALUE"""),"Cloudfy")</f>
        <v>Cloudfy</v>
      </c>
      <c r="N3247" s="33">
        <f>IFERROR(__xludf.DUMMYFUNCTION("""COMPUTED_VALUE"""),1.0)</f>
        <v>1</v>
      </c>
      <c r="O3247" s="4" t="str">
        <f>IFERROR(__xludf.DUMMYFUNCTION("""COMPUTED_VALUE"""),"Cloudfy")</f>
        <v>Cloudfy</v>
      </c>
      <c r="P3247" s="33">
        <f>IFERROR(__xludf.DUMMYFUNCTION("""COMPUTED_VALUE"""),1.0)</f>
        <v>1</v>
      </c>
      <c r="Q3247" s="4" t="str">
        <f>IFERROR(__xludf.DUMMYFUNCTION("""COMPUTED_VALUE"""),"Cloudfy")</f>
        <v>Cloudfy</v>
      </c>
      <c r="R3247" s="33">
        <f>IFERROR(__xludf.DUMMYFUNCTION("""COMPUTED_VALUE"""),1.0)</f>
        <v>1</v>
      </c>
      <c r="S3247" s="4" t="str">
        <f>IFERROR(__xludf.DUMMYFUNCTION("""COMPUTED_VALUE"""),"Cloudfy")</f>
        <v>Cloudfy</v>
      </c>
      <c r="T3247" s="33">
        <f>IFERROR(__xludf.DUMMYFUNCTION("""COMPUTED_VALUE"""),1.0)</f>
        <v>1</v>
      </c>
      <c r="U3247" s="4" t="str">
        <f>IFERROR(__xludf.DUMMYFUNCTION("""COMPUTED_VALUE"""),"Cloudfy")</f>
        <v>Cloudfy</v>
      </c>
      <c r="V3247" s="33">
        <f>IFERROR(__xludf.DUMMYFUNCTION("""COMPUTED_VALUE"""),1.0)</f>
        <v>1</v>
      </c>
      <c r="W3247" s="4" t="str">
        <f>IFERROR(__xludf.DUMMYFUNCTION("""COMPUTED_VALUE"""),"Cloudfy")</f>
        <v>Cloudfy</v>
      </c>
      <c r="X3247" s="33">
        <f>IFERROR(__xludf.DUMMYFUNCTION("""COMPUTED_VALUE"""),1.0)</f>
        <v>1</v>
      </c>
    </row>
    <row r="3248">
      <c r="K3248" s="4" t="str">
        <f>IFERROR(__xludf.DUMMYFUNCTION("""COMPUTED_VALUE"""),"BRO ARTE BURGUER")</f>
        <v>BRO ARTE BURGUER</v>
      </c>
      <c r="L3248" s="32">
        <f>IFERROR(__xludf.DUMMYFUNCTION("""COMPUTED_VALUE"""),3.0)</f>
        <v>3</v>
      </c>
      <c r="M3248" s="4" t="str">
        <f>IFERROR(__xludf.DUMMYFUNCTION("""COMPUTED_VALUE"""),"Hubster")</f>
        <v>Hubster</v>
      </c>
      <c r="N3248" s="33">
        <f>IFERROR(__xludf.DUMMYFUNCTION("""COMPUTED_VALUE"""),0.6666666666666666)</f>
        <v>0.6666666667</v>
      </c>
      <c r="O3248" s="4" t="str">
        <f>IFERROR(__xludf.DUMMYFUNCTION("""COMPUTED_VALUE"""),"Hubster")</f>
        <v>Hubster</v>
      </c>
      <c r="P3248" s="33">
        <f>IFERROR(__xludf.DUMMYFUNCTION("""COMPUTED_VALUE"""),0.6666666666666666)</f>
        <v>0.6666666667</v>
      </c>
      <c r="Q3248" s="4" t="str">
        <f>IFERROR(__xludf.DUMMYFUNCTION("""COMPUTED_VALUE"""),"Hubster")</f>
        <v>Hubster</v>
      </c>
      <c r="R3248" s="33">
        <f>IFERROR(__xludf.DUMMYFUNCTION("""COMPUTED_VALUE"""),0.6666666666666666)</f>
        <v>0.6666666667</v>
      </c>
      <c r="S3248" s="4" t="str">
        <f>IFERROR(__xludf.DUMMYFUNCTION("""COMPUTED_VALUE"""),"Hubster")</f>
        <v>Hubster</v>
      </c>
      <c r="T3248" s="33">
        <f>IFERROR(__xludf.DUMMYFUNCTION("""COMPUTED_VALUE"""),0.6666666666666666)</f>
        <v>0.6666666667</v>
      </c>
      <c r="U3248" s="4" t="str">
        <f>IFERROR(__xludf.DUMMYFUNCTION("""COMPUTED_VALUE"""),"Hubster")</f>
        <v>Hubster</v>
      </c>
      <c r="V3248" s="33">
        <f>IFERROR(__xludf.DUMMYFUNCTION("""COMPUTED_VALUE"""),0.6666666666666666)</f>
        <v>0.6666666667</v>
      </c>
      <c r="W3248" s="4" t="str">
        <f>IFERROR(__xludf.DUMMYFUNCTION("""COMPUTED_VALUE"""),"Hubster")</f>
        <v>Hubster</v>
      </c>
      <c r="X3248" s="33">
        <f>IFERROR(__xludf.DUMMYFUNCTION("""COMPUTED_VALUE"""),0.6666666666666666)</f>
        <v>0.6666666667</v>
      </c>
    </row>
    <row r="3249">
      <c r="K3249" s="4" t="str">
        <f>IFERROR(__xludf.DUMMYFUNCTION("""COMPUTED_VALUE"""),"BROOKLYN PIZZAS - TERESINA")</f>
        <v>BROOKLYN PIZZAS - TERESINA</v>
      </c>
      <c r="L3249" s="32">
        <f>IFERROR(__xludf.DUMMYFUNCTION("""COMPUTED_VALUE"""),3.0)</f>
        <v>3</v>
      </c>
      <c r="M3249" s="4" t="str">
        <f>IFERROR(__xludf.DUMMYFUNCTION("""COMPUTED_VALUE"""),"Saipos Serviços De Software")</f>
        <v>Saipos Serviços De Software</v>
      </c>
      <c r="N3249" s="33">
        <f>IFERROR(__xludf.DUMMYFUNCTION("""COMPUTED_VALUE"""),1.0)</f>
        <v>1</v>
      </c>
      <c r="O3249" s="4" t="str">
        <f>IFERROR(__xludf.DUMMYFUNCTION("""COMPUTED_VALUE"""),"Saipos Serviços De Software")</f>
        <v>Saipos Serviços De Software</v>
      </c>
      <c r="P3249" s="33">
        <f>IFERROR(__xludf.DUMMYFUNCTION("""COMPUTED_VALUE"""),1.0)</f>
        <v>1</v>
      </c>
      <c r="Q3249" s="4" t="str">
        <f>IFERROR(__xludf.DUMMYFUNCTION("""COMPUTED_VALUE"""),"Saipos Serviços De Software")</f>
        <v>Saipos Serviços De Software</v>
      </c>
      <c r="R3249" s="33">
        <f>IFERROR(__xludf.DUMMYFUNCTION("""COMPUTED_VALUE"""),1.0)</f>
        <v>1</v>
      </c>
      <c r="S3249" s="4" t="str">
        <f>IFERROR(__xludf.DUMMYFUNCTION("""COMPUTED_VALUE"""),"Saipos Serviços De Software")</f>
        <v>Saipos Serviços De Software</v>
      </c>
      <c r="T3249" s="33">
        <f>IFERROR(__xludf.DUMMYFUNCTION("""COMPUTED_VALUE"""),1.0)</f>
        <v>1</v>
      </c>
      <c r="U3249" s="4" t="str">
        <f>IFERROR(__xludf.DUMMYFUNCTION("""COMPUTED_VALUE"""),"Saipos Serviços De Software")</f>
        <v>Saipos Serviços De Software</v>
      </c>
      <c r="V3249" s="33">
        <f>IFERROR(__xludf.DUMMYFUNCTION("""COMPUTED_VALUE"""),1.0)</f>
        <v>1</v>
      </c>
      <c r="W3249" s="4" t="str">
        <f>IFERROR(__xludf.DUMMYFUNCTION("""COMPUTED_VALUE"""),"Saipos Serviços De Software")</f>
        <v>Saipos Serviços De Software</v>
      </c>
      <c r="X3249" s="33">
        <f>IFERROR(__xludf.DUMMYFUNCTION("""COMPUTED_VALUE"""),1.0)</f>
        <v>1</v>
      </c>
    </row>
    <row r="3250">
      <c r="K3250" s="4" t="str">
        <f>IFERROR(__xludf.DUMMYFUNCTION("""COMPUTED_VALUE"""),"BROTHERS BURGUERS PONTA GROSSA")</f>
        <v>BROTHERS BURGUERS PONTA GROSSA</v>
      </c>
      <c r="L3250" s="32">
        <f>IFERROR(__xludf.DUMMYFUNCTION("""COMPUTED_VALUE"""),3.0)</f>
        <v>3</v>
      </c>
      <c r="M3250" s="4" t="str">
        <f>IFERROR(__xludf.DUMMYFUNCTION("""COMPUTED_VALUE"""),"Suitable Tecnologia E Gestao")</f>
        <v>Suitable Tecnologia E Gestao</v>
      </c>
      <c r="N3250" s="33">
        <f>IFERROR(__xludf.DUMMYFUNCTION("""COMPUTED_VALUE"""),0.6666666666666666)</f>
        <v>0.6666666667</v>
      </c>
      <c r="O3250" s="4" t="str">
        <f>IFERROR(__xludf.DUMMYFUNCTION("""COMPUTED_VALUE"""),"Suitable Tecnologia E Gestao")</f>
        <v>Suitable Tecnologia E Gestao</v>
      </c>
      <c r="P3250" s="33">
        <f>IFERROR(__xludf.DUMMYFUNCTION("""COMPUTED_VALUE"""),0.6666666666666666)</f>
        <v>0.6666666667</v>
      </c>
      <c r="Q3250" s="4" t="str">
        <f>IFERROR(__xludf.DUMMYFUNCTION("""COMPUTED_VALUE"""),"Suitable Tecnologia E Gestao")</f>
        <v>Suitable Tecnologia E Gestao</v>
      </c>
      <c r="R3250" s="33">
        <f>IFERROR(__xludf.DUMMYFUNCTION("""COMPUTED_VALUE"""),0.6666666666666666)</f>
        <v>0.6666666667</v>
      </c>
      <c r="S3250" s="4" t="str">
        <f>IFERROR(__xludf.DUMMYFUNCTION("""COMPUTED_VALUE"""),"Suitable Tecnologia E Gestao")</f>
        <v>Suitable Tecnologia E Gestao</v>
      </c>
      <c r="T3250" s="33">
        <f>IFERROR(__xludf.DUMMYFUNCTION("""COMPUTED_VALUE"""),0.6666666666666666)</f>
        <v>0.6666666667</v>
      </c>
      <c r="U3250" s="4" t="str">
        <f>IFERROR(__xludf.DUMMYFUNCTION("""COMPUTED_VALUE"""),"Suitable Tecnologia E Gestao")</f>
        <v>Suitable Tecnologia E Gestao</v>
      </c>
      <c r="V3250" s="33">
        <f>IFERROR(__xludf.DUMMYFUNCTION("""COMPUTED_VALUE"""),0.6666666666666666)</f>
        <v>0.6666666667</v>
      </c>
      <c r="W3250" s="4" t="str">
        <f>IFERROR(__xludf.DUMMYFUNCTION("""COMPUTED_VALUE"""),"Suitable Tecnologia E Gestao")</f>
        <v>Suitable Tecnologia E Gestao</v>
      </c>
      <c r="X3250" s="33">
        <f>IFERROR(__xludf.DUMMYFUNCTION("""COMPUTED_VALUE"""),0.6666666666666666)</f>
        <v>0.6666666667</v>
      </c>
    </row>
    <row r="3251">
      <c r="K3251" s="4" t="str">
        <f>IFERROR(__xludf.DUMMYFUNCTION("""COMPUTED_VALUE"""),"BROWNIE BROS - CONTA MARCA")</f>
        <v>BROWNIE BROS - CONTA MARCA</v>
      </c>
      <c r="L3251" s="32">
        <f>IFERROR(__xludf.DUMMYFUNCTION("""COMPUTED_VALUE"""),3.0)</f>
        <v>3</v>
      </c>
      <c r="M3251" s="4" t="str">
        <f>IFERROR(__xludf.DUMMYFUNCTION("""COMPUTED_VALUE"""),"Work Soft Comercio De Informatica E Serviços Eireli - Me")</f>
        <v>Work Soft Comercio De Informatica E Serviços Eireli - Me</v>
      </c>
      <c r="N3251" s="33">
        <f>IFERROR(__xludf.DUMMYFUNCTION("""COMPUTED_VALUE"""),1.0)</f>
        <v>1</v>
      </c>
      <c r="O3251" s="4" t="str">
        <f>IFERROR(__xludf.DUMMYFUNCTION("""COMPUTED_VALUE"""),"Work Soft Comercio De Informatica E Serviços Eireli - Me")</f>
        <v>Work Soft Comercio De Informatica E Serviços Eireli - Me</v>
      </c>
      <c r="P3251" s="33">
        <f>IFERROR(__xludf.DUMMYFUNCTION("""COMPUTED_VALUE"""),1.0)</f>
        <v>1</v>
      </c>
      <c r="Q3251" s="4" t="str">
        <f>IFERROR(__xludf.DUMMYFUNCTION("""COMPUTED_VALUE"""),"Work Soft Comercio De Informatica E Serviços Eireli - Me")</f>
        <v>Work Soft Comercio De Informatica E Serviços Eireli - Me</v>
      </c>
      <c r="R3251" s="33">
        <f>IFERROR(__xludf.DUMMYFUNCTION("""COMPUTED_VALUE"""),1.0)</f>
        <v>1</v>
      </c>
      <c r="S3251" s="4" t="str">
        <f>IFERROR(__xludf.DUMMYFUNCTION("""COMPUTED_VALUE"""),"Work Soft Comercio De Informatica E Serviços Eireli - Me")</f>
        <v>Work Soft Comercio De Informatica E Serviços Eireli - Me</v>
      </c>
      <c r="T3251" s="33">
        <f>IFERROR(__xludf.DUMMYFUNCTION("""COMPUTED_VALUE"""),1.0)</f>
        <v>1</v>
      </c>
      <c r="U3251" s="4" t="str">
        <f>IFERROR(__xludf.DUMMYFUNCTION("""COMPUTED_VALUE"""),"Eclética Tecnologia")</f>
        <v>Eclética Tecnologia</v>
      </c>
      <c r="V3251" s="33">
        <f>IFERROR(__xludf.DUMMYFUNCTION("""COMPUTED_VALUE"""),1.0)</f>
        <v>1</v>
      </c>
      <c r="W3251" s="4" t="str">
        <f>IFERROR(__xludf.DUMMYFUNCTION("""COMPUTED_VALUE"""),"Eclética Tecnologia")</f>
        <v>Eclética Tecnologia</v>
      </c>
      <c r="X3251" s="33">
        <f>IFERROR(__xludf.DUMMYFUNCTION("""COMPUTED_VALUE"""),1.0)</f>
        <v>1</v>
      </c>
    </row>
    <row r="3252">
      <c r="K3252" s="4" t="str">
        <f>IFERROR(__xludf.DUMMYFUNCTION("""COMPUTED_VALUE"""),"BUNGALOW PLANT BASED")</f>
        <v>BUNGALOW PLANT BASED</v>
      </c>
      <c r="L3252" s="32">
        <f>IFERROR(__xludf.DUMMYFUNCTION("""COMPUTED_VALUE"""),3.0)</f>
        <v>3</v>
      </c>
      <c r="M3252" s="4" t="str">
        <f>IFERROR(__xludf.DUMMYFUNCTION("""COMPUTED_VALUE"""),"Opdv")</f>
        <v>Opdv</v>
      </c>
      <c r="N3252" s="33">
        <f>IFERROR(__xludf.DUMMYFUNCTION("""COMPUTED_VALUE"""),1.0)</f>
        <v>1</v>
      </c>
      <c r="O3252" s="4" t="str">
        <f>IFERROR(__xludf.DUMMYFUNCTION("""COMPUTED_VALUE"""),"Opdv")</f>
        <v>Opdv</v>
      </c>
      <c r="P3252" s="33">
        <f>IFERROR(__xludf.DUMMYFUNCTION("""COMPUTED_VALUE"""),1.0)</f>
        <v>1</v>
      </c>
      <c r="Q3252" s="4" t="str">
        <f>IFERROR(__xludf.DUMMYFUNCTION("""COMPUTED_VALUE"""),"Opdv")</f>
        <v>Opdv</v>
      </c>
      <c r="R3252" s="33">
        <f>IFERROR(__xludf.DUMMYFUNCTION("""COMPUTED_VALUE"""),0.6666666666666666)</f>
        <v>0.6666666667</v>
      </c>
      <c r="S3252" s="4" t="str">
        <f>IFERROR(__xludf.DUMMYFUNCTION("""COMPUTED_VALUE"""),"Opdv")</f>
        <v>Opdv</v>
      </c>
      <c r="T3252" s="33">
        <f>IFERROR(__xludf.DUMMYFUNCTION("""COMPUTED_VALUE"""),0.6666666666666666)</f>
        <v>0.6666666667</v>
      </c>
      <c r="U3252" s="4" t="str">
        <f>IFERROR(__xludf.DUMMYFUNCTION("""COMPUTED_VALUE"""),"Opdv")</f>
        <v>Opdv</v>
      </c>
      <c r="V3252" s="33">
        <f>IFERROR(__xludf.DUMMYFUNCTION("""COMPUTED_VALUE"""),0.6666666666666666)</f>
        <v>0.6666666667</v>
      </c>
      <c r="W3252" s="4" t="str">
        <f>IFERROR(__xludf.DUMMYFUNCTION("""COMPUTED_VALUE"""),"Opdv")</f>
        <v>Opdv</v>
      </c>
      <c r="X3252" s="33">
        <f>IFERROR(__xludf.DUMMYFUNCTION("""COMPUTED_VALUE"""),0.6666666666666666)</f>
        <v>0.6666666667</v>
      </c>
    </row>
    <row r="3253">
      <c r="K3253" s="4" t="str">
        <f>IFERROR(__xludf.DUMMYFUNCTION("""COMPUTED_VALUE"""),"BURDOG")</f>
        <v>BURDOG</v>
      </c>
      <c r="L3253" s="32">
        <f>IFERROR(__xludf.DUMMYFUNCTION("""COMPUTED_VALUE"""),3.0)</f>
        <v>3</v>
      </c>
      <c r="M3253" s="4" t="str">
        <f>IFERROR(__xludf.DUMMYFUNCTION("""COMPUTED_VALUE"""),"Eclética Tecnologia")</f>
        <v>Eclética Tecnologia</v>
      </c>
      <c r="N3253" s="33">
        <f>IFERROR(__xludf.DUMMYFUNCTION("""COMPUTED_VALUE"""),0.6666666666666666)</f>
        <v>0.6666666667</v>
      </c>
      <c r="O3253" s="4" t="str">
        <f>IFERROR(__xludf.DUMMYFUNCTION("""COMPUTED_VALUE"""),"Eclética Tecnologia")</f>
        <v>Eclética Tecnologia</v>
      </c>
      <c r="P3253" s="33">
        <f>IFERROR(__xludf.DUMMYFUNCTION("""COMPUTED_VALUE"""),1.0)</f>
        <v>1</v>
      </c>
      <c r="Q3253" s="4" t="str">
        <f>IFERROR(__xludf.DUMMYFUNCTION("""COMPUTED_VALUE"""),"Eclética Tecnologia")</f>
        <v>Eclética Tecnologia</v>
      </c>
      <c r="R3253" s="33">
        <f>IFERROR(__xludf.DUMMYFUNCTION("""COMPUTED_VALUE"""),0.6666666666666666)</f>
        <v>0.6666666667</v>
      </c>
      <c r="S3253" s="4" t="str">
        <f>IFERROR(__xludf.DUMMYFUNCTION("""COMPUTED_VALUE"""),"Eclética Tecnologia")</f>
        <v>Eclética Tecnologia</v>
      </c>
      <c r="T3253" s="33">
        <f>IFERROR(__xludf.DUMMYFUNCTION("""COMPUTED_VALUE"""),0.6666666666666666)</f>
        <v>0.6666666667</v>
      </c>
      <c r="U3253" s="4" t="str">
        <f>IFERROR(__xludf.DUMMYFUNCTION("""COMPUTED_VALUE"""),"Eclética Tecnologia")</f>
        <v>Eclética Tecnologia</v>
      </c>
      <c r="V3253" s="33">
        <f>IFERROR(__xludf.DUMMYFUNCTION("""COMPUTED_VALUE"""),0.6666666666666666)</f>
        <v>0.6666666667</v>
      </c>
      <c r="W3253" s="4" t="str">
        <f>IFERROR(__xludf.DUMMYFUNCTION("""COMPUTED_VALUE"""),"Eclética Tecnologia")</f>
        <v>Eclética Tecnologia</v>
      </c>
      <c r="X3253" s="33">
        <f>IFERROR(__xludf.DUMMYFUNCTION("""COMPUTED_VALUE"""),0.6666666666666666)</f>
        <v>0.6666666667</v>
      </c>
    </row>
    <row r="3254">
      <c r="K3254" s="4" t="str">
        <f>IFERROR(__xludf.DUMMYFUNCTION("""COMPUTED_VALUE"""),"BURDOG LANCHES LAGOINHA")</f>
        <v>BURDOG LANCHES LAGOINHA</v>
      </c>
      <c r="L3254" s="32">
        <f>IFERROR(__xludf.DUMMYFUNCTION("""COMPUTED_VALUE"""),3.0)</f>
        <v>3</v>
      </c>
      <c r="M3254" s="4" t="str">
        <f>IFERROR(__xludf.DUMMYFUNCTION("""COMPUTED_VALUE"""),"Ccm Pedido Online")</f>
        <v>Ccm Pedido Online</v>
      </c>
      <c r="N3254" s="33">
        <f>IFERROR(__xludf.DUMMYFUNCTION("""COMPUTED_VALUE"""),1.0)</f>
        <v>1</v>
      </c>
      <c r="O3254" s="4" t="str">
        <f>IFERROR(__xludf.DUMMYFUNCTION("""COMPUTED_VALUE"""),"Ccm Pedido Online")</f>
        <v>Ccm Pedido Online</v>
      </c>
      <c r="P3254" s="33">
        <f>IFERROR(__xludf.DUMMYFUNCTION("""COMPUTED_VALUE"""),1.0)</f>
        <v>1</v>
      </c>
      <c r="Q3254" s="4" t="str">
        <f>IFERROR(__xludf.DUMMYFUNCTION("""COMPUTED_VALUE"""),"Ccm Pedido Online")</f>
        <v>Ccm Pedido Online</v>
      </c>
      <c r="R3254" s="33">
        <f>IFERROR(__xludf.DUMMYFUNCTION("""COMPUTED_VALUE"""),1.0)</f>
        <v>1</v>
      </c>
      <c r="S3254" s="4" t="str">
        <f>IFERROR(__xludf.DUMMYFUNCTION("""COMPUTED_VALUE"""),"Ccm Pedido Online")</f>
        <v>Ccm Pedido Online</v>
      </c>
      <c r="T3254" s="33">
        <f>IFERROR(__xludf.DUMMYFUNCTION("""COMPUTED_VALUE"""),1.0)</f>
        <v>1</v>
      </c>
      <c r="U3254" s="4" t="str">
        <f>IFERROR(__xludf.DUMMYFUNCTION("""COMPUTED_VALUE"""),"Ccm Pedido Online")</f>
        <v>Ccm Pedido Online</v>
      </c>
      <c r="V3254" s="33">
        <f>IFERROR(__xludf.DUMMYFUNCTION("""COMPUTED_VALUE"""),1.0)</f>
        <v>1</v>
      </c>
      <c r="W3254" s="4" t="str">
        <f>IFERROR(__xludf.DUMMYFUNCTION("""COMPUTED_VALUE"""),"Ccm Pedido Online")</f>
        <v>Ccm Pedido Online</v>
      </c>
      <c r="X3254" s="33">
        <f>IFERROR(__xludf.DUMMYFUNCTION("""COMPUTED_VALUE"""),1.0)</f>
        <v>1</v>
      </c>
    </row>
    <row r="3255">
      <c r="K3255" s="4" t="str">
        <f>IFERROR(__xludf.DUMMYFUNCTION("""COMPUTED_VALUE"""),"BURDOGS CONTA PAI")</f>
        <v>BURDOGS CONTA PAI</v>
      </c>
      <c r="L3255" s="32">
        <f>IFERROR(__xludf.DUMMYFUNCTION("""COMPUTED_VALUE"""),3.0)</f>
        <v>3</v>
      </c>
      <c r="M3255" s="4" t="str">
        <f>IFERROR(__xludf.DUMMYFUNCTION("""COMPUTED_VALUE"""),"Consumer Soluções Em Tecnologia Ltda")</f>
        <v>Consumer Soluções Em Tecnologia Ltda</v>
      </c>
      <c r="N3255" s="33">
        <f>IFERROR(__xludf.DUMMYFUNCTION("""COMPUTED_VALUE"""),1.0)</f>
        <v>1</v>
      </c>
      <c r="O3255" s="4" t="str">
        <f>IFERROR(__xludf.DUMMYFUNCTION("""COMPUTED_VALUE"""),"null")</f>
        <v>null</v>
      </c>
      <c r="P3255" s="33">
        <f>IFERROR(__xludf.DUMMYFUNCTION("""COMPUTED_VALUE"""),0.6666666666666666)</f>
        <v>0.6666666667</v>
      </c>
      <c r="Q3255" s="4" t="str">
        <f>IFERROR(__xludf.DUMMYFUNCTION("""COMPUTED_VALUE"""),"Consumer Soluções Em Tecnologia Ltda")</f>
        <v>Consumer Soluções Em Tecnologia Ltda</v>
      </c>
      <c r="R3255" s="33">
        <f>IFERROR(__xludf.DUMMYFUNCTION("""COMPUTED_VALUE"""),0.6666666666666666)</f>
        <v>0.6666666667</v>
      </c>
      <c r="S3255" s="4" t="str">
        <f>IFERROR(__xludf.DUMMYFUNCTION("""COMPUTED_VALUE"""),"Consumer Soluções Em Tecnologia Ltda")</f>
        <v>Consumer Soluções Em Tecnologia Ltda</v>
      </c>
      <c r="T3255" s="33">
        <f>IFERROR(__xludf.DUMMYFUNCTION("""COMPUTED_VALUE"""),1.0)</f>
        <v>1</v>
      </c>
      <c r="U3255" s="4" t="str">
        <f>IFERROR(__xludf.DUMMYFUNCTION("""COMPUTED_VALUE"""),"null")</f>
        <v>null</v>
      </c>
      <c r="V3255" s="33">
        <f>IFERROR(__xludf.DUMMYFUNCTION("""COMPUTED_VALUE"""),0.6666666666666666)</f>
        <v>0.6666666667</v>
      </c>
      <c r="W3255" s="4" t="str">
        <f>IFERROR(__xludf.DUMMYFUNCTION("""COMPUTED_VALUE"""),"Consumer Soluções Em Tecnologia Ltda")</f>
        <v>Consumer Soluções Em Tecnologia Ltda</v>
      </c>
      <c r="X3255" s="33">
        <f>IFERROR(__xludf.DUMMYFUNCTION("""COMPUTED_VALUE"""),0.6666666666666666)</f>
        <v>0.6666666667</v>
      </c>
    </row>
    <row r="3256">
      <c r="K3256" s="4" t="str">
        <f>IFERROR(__xludf.DUMMYFUNCTION("""COMPUTED_VALUE"""),"BURGACAI")</f>
        <v>BURGACAI</v>
      </c>
      <c r="L3256" s="32">
        <f>IFERROR(__xludf.DUMMYFUNCTION("""COMPUTED_VALUE"""),3.0)</f>
        <v>3</v>
      </c>
      <c r="M3256" s="4" t="str">
        <f>IFERROR(__xludf.DUMMYFUNCTION("""COMPUTED_VALUE"""),"Saipos Serviços De Software")</f>
        <v>Saipos Serviços De Software</v>
      </c>
      <c r="N3256" s="33">
        <f>IFERROR(__xludf.DUMMYFUNCTION("""COMPUTED_VALUE"""),1.0)</f>
        <v>1</v>
      </c>
      <c r="O3256" s="4" t="str">
        <f>IFERROR(__xludf.DUMMYFUNCTION("""COMPUTED_VALUE"""),"Saipos Serviços De Software")</f>
        <v>Saipos Serviços De Software</v>
      </c>
      <c r="P3256" s="33">
        <f>IFERROR(__xludf.DUMMYFUNCTION("""COMPUTED_VALUE"""),1.0)</f>
        <v>1</v>
      </c>
      <c r="Q3256" s="4" t="str">
        <f>IFERROR(__xludf.DUMMYFUNCTION("""COMPUTED_VALUE"""),"null")</f>
        <v>null</v>
      </c>
      <c r="R3256" s="33">
        <f>IFERROR(__xludf.DUMMYFUNCTION("""COMPUTED_VALUE"""),1.0)</f>
        <v>1</v>
      </c>
      <c r="S3256" s="4" t="str">
        <f>IFERROR(__xludf.DUMMYFUNCTION("""COMPUTED_VALUE"""),"Saipos Serviços De Software")</f>
        <v>Saipos Serviços De Software</v>
      </c>
      <c r="T3256" s="33">
        <f>IFERROR(__xludf.DUMMYFUNCTION("""COMPUTED_VALUE"""),0.6666666666666666)</f>
        <v>0.6666666667</v>
      </c>
      <c r="U3256" s="4" t="str">
        <f>IFERROR(__xludf.DUMMYFUNCTION("""COMPUTED_VALUE"""),"Saipos Serviços De Software")</f>
        <v>Saipos Serviços De Software</v>
      </c>
      <c r="V3256" s="33">
        <f>IFERROR(__xludf.DUMMYFUNCTION("""COMPUTED_VALUE"""),1.0)</f>
        <v>1</v>
      </c>
      <c r="W3256" s="4" t="str">
        <f>IFERROR(__xludf.DUMMYFUNCTION("""COMPUTED_VALUE"""),"Saipos Serviços De Software")</f>
        <v>Saipos Serviços De Software</v>
      </c>
      <c r="X3256" s="33">
        <f>IFERROR(__xludf.DUMMYFUNCTION("""COMPUTED_VALUE"""),1.0)</f>
        <v>1</v>
      </c>
    </row>
    <row r="3257">
      <c r="K3257" s="4" t="str">
        <f>IFERROR(__xludf.DUMMYFUNCTION("""COMPUTED_VALUE"""),"BURGERBRAVO")</f>
        <v>BURGERBRAVO</v>
      </c>
      <c r="L3257" s="32">
        <f>IFERROR(__xludf.DUMMYFUNCTION("""COMPUTED_VALUE"""),3.0)</f>
        <v>3</v>
      </c>
      <c r="M3257" s="4" t="str">
        <f>IFERROR(__xludf.DUMMYFUNCTION("""COMPUTED_VALUE"""),"Yooga")</f>
        <v>Yooga</v>
      </c>
      <c r="N3257" s="33">
        <f>IFERROR(__xludf.DUMMYFUNCTION("""COMPUTED_VALUE"""),1.0)</f>
        <v>1</v>
      </c>
      <c r="O3257" s="4" t="str">
        <f>IFERROR(__xludf.DUMMYFUNCTION("""COMPUTED_VALUE"""),"Yooga")</f>
        <v>Yooga</v>
      </c>
      <c r="P3257" s="33">
        <f>IFERROR(__xludf.DUMMYFUNCTION("""COMPUTED_VALUE"""),1.0)</f>
        <v>1</v>
      </c>
      <c r="Q3257" s="4" t="str">
        <f>IFERROR(__xludf.DUMMYFUNCTION("""COMPUTED_VALUE"""),"Yooga")</f>
        <v>Yooga</v>
      </c>
      <c r="R3257" s="33">
        <f>IFERROR(__xludf.DUMMYFUNCTION("""COMPUTED_VALUE"""),1.0)</f>
        <v>1</v>
      </c>
      <c r="S3257" s="4" t="str">
        <f>IFERROR(__xludf.DUMMYFUNCTION("""COMPUTED_VALUE"""),"Yooga")</f>
        <v>Yooga</v>
      </c>
      <c r="T3257" s="33">
        <f>IFERROR(__xludf.DUMMYFUNCTION("""COMPUTED_VALUE"""),1.0)</f>
        <v>1</v>
      </c>
      <c r="U3257" s="4" t="str">
        <f>IFERROR(__xludf.DUMMYFUNCTION("""COMPUTED_VALUE"""),"Yooga")</f>
        <v>Yooga</v>
      </c>
      <c r="V3257" s="33">
        <f>IFERROR(__xludf.DUMMYFUNCTION("""COMPUTED_VALUE"""),1.0)</f>
        <v>1</v>
      </c>
      <c r="W3257" s="4" t="str">
        <f>IFERROR(__xludf.DUMMYFUNCTION("""COMPUTED_VALUE"""),"Yooga")</f>
        <v>Yooga</v>
      </c>
      <c r="X3257" s="33">
        <f>IFERROR(__xludf.DUMMYFUNCTION("""COMPUTED_VALUE"""),1.0)</f>
        <v>1</v>
      </c>
    </row>
    <row r="3258">
      <c r="K3258" s="4" t="str">
        <f>IFERROR(__xludf.DUMMYFUNCTION("""COMPUTED_VALUE"""),"BURGUER BOX")</f>
        <v>BURGUER BOX</v>
      </c>
      <c r="L3258" s="32">
        <f>IFERROR(__xludf.DUMMYFUNCTION("""COMPUTED_VALUE"""),3.0)</f>
        <v>3</v>
      </c>
      <c r="M3258" s="4" t="str">
        <f>IFERROR(__xludf.DUMMYFUNCTION("""COMPUTED_VALUE"""),"Vuca Solution")</f>
        <v>Vuca Solution</v>
      </c>
      <c r="N3258" s="33">
        <f>IFERROR(__xludf.DUMMYFUNCTION("""COMPUTED_VALUE"""),1.0)</f>
        <v>1</v>
      </c>
      <c r="O3258" s="4" t="str">
        <f>IFERROR(__xludf.DUMMYFUNCTION("""COMPUTED_VALUE"""),"Vuca Solution")</f>
        <v>Vuca Solution</v>
      </c>
      <c r="P3258" s="33">
        <f>IFERROR(__xludf.DUMMYFUNCTION("""COMPUTED_VALUE"""),1.0)</f>
        <v>1</v>
      </c>
      <c r="Q3258" s="4" t="str">
        <f>IFERROR(__xludf.DUMMYFUNCTION("""COMPUTED_VALUE"""),"Vuca Solution")</f>
        <v>Vuca Solution</v>
      </c>
      <c r="R3258" s="33">
        <f>IFERROR(__xludf.DUMMYFUNCTION("""COMPUTED_VALUE"""),1.0)</f>
        <v>1</v>
      </c>
      <c r="S3258" s="4" t="str">
        <f>IFERROR(__xludf.DUMMYFUNCTION("""COMPUTED_VALUE"""),"Vuca Solution")</f>
        <v>Vuca Solution</v>
      </c>
      <c r="T3258" s="33">
        <f>IFERROR(__xludf.DUMMYFUNCTION("""COMPUTED_VALUE"""),1.0)</f>
        <v>1</v>
      </c>
      <c r="U3258" s="4" t="str">
        <f>IFERROR(__xludf.DUMMYFUNCTION("""COMPUTED_VALUE"""),"Vuca Solution")</f>
        <v>Vuca Solution</v>
      </c>
      <c r="V3258" s="33">
        <f>IFERROR(__xludf.DUMMYFUNCTION("""COMPUTED_VALUE"""),1.0)</f>
        <v>1</v>
      </c>
      <c r="W3258" s="4" t="str">
        <f>IFERROR(__xludf.DUMMYFUNCTION("""COMPUTED_VALUE"""),"Vuca Solution")</f>
        <v>Vuca Solution</v>
      </c>
      <c r="X3258" s="33">
        <f>IFERROR(__xludf.DUMMYFUNCTION("""COMPUTED_VALUE"""),1.0)</f>
        <v>1</v>
      </c>
    </row>
    <row r="3259">
      <c r="K3259" s="4" t="str">
        <f>IFERROR(__xludf.DUMMYFUNCTION("""COMPUTED_VALUE"""),"BURGUER SENSE")</f>
        <v>BURGUER SENSE</v>
      </c>
      <c r="L3259" s="32">
        <f>IFERROR(__xludf.DUMMYFUNCTION("""COMPUTED_VALUE"""),3.0)</f>
        <v>3</v>
      </c>
      <c r="M3259" s="4" t="str">
        <f>IFERROR(__xludf.DUMMYFUNCTION("""COMPUTED_VALUE"""),"Saipos Serviços De Software")</f>
        <v>Saipos Serviços De Software</v>
      </c>
      <c r="N3259" s="33">
        <f>IFERROR(__xludf.DUMMYFUNCTION("""COMPUTED_VALUE"""),1.0)</f>
        <v>1</v>
      </c>
      <c r="O3259" s="4" t="str">
        <f>IFERROR(__xludf.DUMMYFUNCTION("""COMPUTED_VALUE"""),"Saipos Serviços De Software")</f>
        <v>Saipos Serviços De Software</v>
      </c>
      <c r="P3259" s="33">
        <f>IFERROR(__xludf.DUMMYFUNCTION("""COMPUTED_VALUE"""),1.0)</f>
        <v>1</v>
      </c>
      <c r="Q3259" s="4" t="str">
        <f>IFERROR(__xludf.DUMMYFUNCTION("""COMPUTED_VALUE"""),"Saipos Serviços De Software")</f>
        <v>Saipos Serviços De Software</v>
      </c>
      <c r="R3259" s="33">
        <f>IFERROR(__xludf.DUMMYFUNCTION("""COMPUTED_VALUE"""),1.0)</f>
        <v>1</v>
      </c>
      <c r="S3259" s="4" t="str">
        <f>IFERROR(__xludf.DUMMYFUNCTION("""COMPUTED_VALUE"""),"Saipos Serviços De Software")</f>
        <v>Saipos Serviços De Software</v>
      </c>
      <c r="T3259" s="33">
        <f>IFERROR(__xludf.DUMMYFUNCTION("""COMPUTED_VALUE"""),1.0)</f>
        <v>1</v>
      </c>
      <c r="U3259" s="4" t="str">
        <f>IFERROR(__xludf.DUMMYFUNCTION("""COMPUTED_VALUE"""),"Saipos Serviços De Software")</f>
        <v>Saipos Serviços De Software</v>
      </c>
      <c r="V3259" s="33">
        <f>IFERROR(__xludf.DUMMYFUNCTION("""COMPUTED_VALUE"""),1.0)</f>
        <v>1</v>
      </c>
      <c r="W3259" s="4" t="str">
        <f>IFERROR(__xludf.DUMMYFUNCTION("""COMPUTED_VALUE"""),"Saipos Serviços De Software")</f>
        <v>Saipos Serviços De Software</v>
      </c>
      <c r="X3259" s="33">
        <f>IFERROR(__xludf.DUMMYFUNCTION("""COMPUTED_VALUE"""),1.0)</f>
        <v>1</v>
      </c>
    </row>
    <row r="3260">
      <c r="K3260" s="4" t="str">
        <f>IFERROR(__xludf.DUMMYFUNCTION("""COMPUTED_VALUE"""),"BY KOJI")</f>
        <v>BY KOJI</v>
      </c>
      <c r="L3260" s="32">
        <f>IFERROR(__xludf.DUMMYFUNCTION("""COMPUTED_VALUE"""),3.0)</f>
        <v>3</v>
      </c>
      <c r="M3260" s="4" t="str">
        <f>IFERROR(__xludf.DUMMYFUNCTION("""COMPUTED_VALUE"""),"Oz Technology")</f>
        <v>Oz Technology</v>
      </c>
      <c r="N3260" s="33">
        <f>IFERROR(__xludf.DUMMYFUNCTION("""COMPUTED_VALUE"""),1.0)</f>
        <v>1</v>
      </c>
      <c r="O3260" s="4" t="str">
        <f>IFERROR(__xludf.DUMMYFUNCTION("""COMPUTED_VALUE"""),"Oz Technology")</f>
        <v>Oz Technology</v>
      </c>
      <c r="P3260" s="33">
        <f>IFERROR(__xludf.DUMMYFUNCTION("""COMPUTED_VALUE"""),0.6666666666666666)</f>
        <v>0.6666666667</v>
      </c>
      <c r="Q3260" s="4" t="str">
        <f>IFERROR(__xludf.DUMMYFUNCTION("""COMPUTED_VALUE"""),"Oz Technology")</f>
        <v>Oz Technology</v>
      </c>
      <c r="R3260" s="33">
        <f>IFERROR(__xludf.DUMMYFUNCTION("""COMPUTED_VALUE"""),0.6666666666666666)</f>
        <v>0.6666666667</v>
      </c>
      <c r="S3260" s="4" t="str">
        <f>IFERROR(__xludf.DUMMYFUNCTION("""COMPUTED_VALUE"""),"Oz Technology")</f>
        <v>Oz Technology</v>
      </c>
      <c r="T3260" s="33">
        <f>IFERROR(__xludf.DUMMYFUNCTION("""COMPUTED_VALUE"""),0.6666666666666666)</f>
        <v>0.6666666667</v>
      </c>
      <c r="U3260" s="4" t="str">
        <f>IFERROR(__xludf.DUMMYFUNCTION("""COMPUTED_VALUE"""),"Oz Technology")</f>
        <v>Oz Technology</v>
      </c>
      <c r="V3260" s="33">
        <f>IFERROR(__xludf.DUMMYFUNCTION("""COMPUTED_VALUE"""),0.6666666666666666)</f>
        <v>0.6666666667</v>
      </c>
      <c r="W3260" s="4" t="str">
        <f>IFERROR(__xludf.DUMMYFUNCTION("""COMPUTED_VALUE"""),"Oz Technology")</f>
        <v>Oz Technology</v>
      </c>
      <c r="X3260" s="33">
        <f>IFERROR(__xludf.DUMMYFUNCTION("""COMPUTED_VALUE"""),0.6666666666666666)</f>
        <v>0.6666666667</v>
      </c>
    </row>
    <row r="3261">
      <c r="K3261" s="4" t="str">
        <f>IFERROR(__xludf.DUMMYFUNCTION("""COMPUTED_VALUE"""),"CABANA DO ACAI - MARCA")</f>
        <v>CABANA DO ACAI - MARCA</v>
      </c>
      <c r="L3261" s="32">
        <f>IFERROR(__xludf.DUMMYFUNCTION("""COMPUTED_VALUE"""),3.0)</f>
        <v>3</v>
      </c>
      <c r="M3261" s="4" t="str">
        <f>IFERROR(__xludf.DUMMYFUNCTION("""COMPUTED_VALUE"""),"Expresso Delivery")</f>
        <v>Expresso Delivery</v>
      </c>
      <c r="N3261" s="33">
        <f>IFERROR(__xludf.DUMMYFUNCTION("""COMPUTED_VALUE"""),0.6666666666666666)</f>
        <v>0.6666666667</v>
      </c>
      <c r="O3261" s="4" t="str">
        <f>IFERROR(__xludf.DUMMYFUNCTION("""COMPUTED_VALUE"""),"Expresso Delivery")</f>
        <v>Expresso Delivery</v>
      </c>
      <c r="P3261" s="33">
        <f>IFERROR(__xludf.DUMMYFUNCTION("""COMPUTED_VALUE"""),0.6666666666666666)</f>
        <v>0.6666666667</v>
      </c>
      <c r="Q3261" s="4" t="str">
        <f>IFERROR(__xludf.DUMMYFUNCTION("""COMPUTED_VALUE"""),"Expresso Delivery")</f>
        <v>Expresso Delivery</v>
      </c>
      <c r="R3261" s="33">
        <f>IFERROR(__xludf.DUMMYFUNCTION("""COMPUTED_VALUE"""),0.6666666666666666)</f>
        <v>0.6666666667</v>
      </c>
      <c r="S3261" s="4" t="str">
        <f>IFERROR(__xludf.DUMMYFUNCTION("""COMPUTED_VALUE"""),"Expresso Delivery")</f>
        <v>Expresso Delivery</v>
      </c>
      <c r="T3261" s="33">
        <f>IFERROR(__xludf.DUMMYFUNCTION("""COMPUTED_VALUE"""),0.6666666666666666)</f>
        <v>0.6666666667</v>
      </c>
      <c r="U3261" s="4" t="str">
        <f>IFERROR(__xludf.DUMMYFUNCTION("""COMPUTED_VALUE"""),"Expresso Delivery")</f>
        <v>Expresso Delivery</v>
      </c>
      <c r="V3261" s="33">
        <f>IFERROR(__xludf.DUMMYFUNCTION("""COMPUTED_VALUE"""),0.6666666666666666)</f>
        <v>0.6666666667</v>
      </c>
      <c r="W3261" s="4" t="str">
        <f>IFERROR(__xludf.DUMMYFUNCTION("""COMPUTED_VALUE"""),"Expresso Delivery")</f>
        <v>Expresso Delivery</v>
      </c>
      <c r="X3261" s="33">
        <f>IFERROR(__xludf.DUMMYFUNCTION("""COMPUTED_VALUE"""),0.6666666666666666)</f>
        <v>0.6666666667</v>
      </c>
    </row>
    <row r="3262">
      <c r="K3262" s="4" t="str">
        <f>IFERROR(__xludf.DUMMYFUNCTION("""COMPUTED_VALUE"""),"CABECAO - MARCA")</f>
        <v>CABECAO - MARCA</v>
      </c>
      <c r="L3262" s="32">
        <f>IFERROR(__xludf.DUMMYFUNCTION("""COMPUTED_VALUE"""),3.0)</f>
        <v>3</v>
      </c>
      <c r="M3262" s="4" t="str">
        <f>IFERROR(__xludf.DUMMYFUNCTION("""COMPUTED_VALUE"""),"Saipos Serviços De Software")</f>
        <v>Saipos Serviços De Software</v>
      </c>
      <c r="N3262" s="33">
        <f>IFERROR(__xludf.DUMMYFUNCTION("""COMPUTED_VALUE"""),1.0)</f>
        <v>1</v>
      </c>
      <c r="O3262" s="4" t="str">
        <f>IFERROR(__xludf.DUMMYFUNCTION("""COMPUTED_VALUE"""),"Saipos Serviços De Software")</f>
        <v>Saipos Serviços De Software</v>
      </c>
      <c r="P3262" s="33">
        <f>IFERROR(__xludf.DUMMYFUNCTION("""COMPUTED_VALUE"""),1.0)</f>
        <v>1</v>
      </c>
      <c r="Q3262" s="4" t="str">
        <f>IFERROR(__xludf.DUMMYFUNCTION("""COMPUTED_VALUE"""),"Saipos Serviços De Software")</f>
        <v>Saipos Serviços De Software</v>
      </c>
      <c r="R3262" s="33">
        <f>IFERROR(__xludf.DUMMYFUNCTION("""COMPUTED_VALUE"""),1.0)</f>
        <v>1</v>
      </c>
      <c r="S3262" s="4" t="str">
        <f>IFERROR(__xludf.DUMMYFUNCTION("""COMPUTED_VALUE"""),"Saipos Serviços De Software")</f>
        <v>Saipos Serviços De Software</v>
      </c>
      <c r="T3262" s="33">
        <f>IFERROR(__xludf.DUMMYFUNCTION("""COMPUTED_VALUE"""),1.0)</f>
        <v>1</v>
      </c>
      <c r="U3262" s="4" t="str">
        <f>IFERROR(__xludf.DUMMYFUNCTION("""COMPUTED_VALUE"""),"Saipos Serviços De Software")</f>
        <v>Saipos Serviços De Software</v>
      </c>
      <c r="V3262" s="33">
        <f>IFERROR(__xludf.DUMMYFUNCTION("""COMPUTED_VALUE"""),1.0)</f>
        <v>1</v>
      </c>
      <c r="W3262" s="4" t="str">
        <f>IFERROR(__xludf.DUMMYFUNCTION("""COMPUTED_VALUE"""),"Saipos Serviços De Software")</f>
        <v>Saipos Serviços De Software</v>
      </c>
      <c r="X3262" s="33">
        <f>IFERROR(__xludf.DUMMYFUNCTION("""COMPUTED_VALUE"""),1.0)</f>
        <v>1</v>
      </c>
    </row>
    <row r="3263">
      <c r="K3263" s="4" t="str">
        <f>IFERROR(__xludf.DUMMYFUNCTION("""COMPUTED_VALUE"""),"CABRONES HAMBURGUERIA - CONTA PAI")</f>
        <v>CABRONES HAMBURGUERIA - CONTA PAI</v>
      </c>
      <c r="L3263" s="32">
        <f>IFERROR(__xludf.DUMMYFUNCTION("""COMPUTED_VALUE"""),3.0)</f>
        <v>3</v>
      </c>
      <c r="M3263" s="4" t="str">
        <f>IFERROR(__xludf.DUMMYFUNCTION("""COMPUTED_VALUE"""),"null")</f>
        <v>null</v>
      </c>
      <c r="N3263" s="33">
        <f>IFERROR(__xludf.DUMMYFUNCTION("""COMPUTED_VALUE"""),0.6666666666666666)</f>
        <v>0.6666666667</v>
      </c>
      <c r="O3263" s="4" t="str">
        <f>IFERROR(__xludf.DUMMYFUNCTION("""COMPUTED_VALUE"""),"null")</f>
        <v>null</v>
      </c>
      <c r="P3263" s="33">
        <f>IFERROR(__xludf.DUMMYFUNCTION("""COMPUTED_VALUE"""),0.6666666666666666)</f>
        <v>0.6666666667</v>
      </c>
      <c r="Q3263" s="4" t="str">
        <f>IFERROR(__xludf.DUMMYFUNCTION("""COMPUTED_VALUE"""),"null")</f>
        <v>null</v>
      </c>
      <c r="R3263" s="33">
        <f>IFERROR(__xludf.DUMMYFUNCTION("""COMPUTED_VALUE"""),0.6666666666666666)</f>
        <v>0.6666666667</v>
      </c>
      <c r="S3263" s="4" t="str">
        <f>IFERROR(__xludf.DUMMYFUNCTION("""COMPUTED_VALUE"""),"null")</f>
        <v>null</v>
      </c>
      <c r="T3263" s="33">
        <f>IFERROR(__xludf.DUMMYFUNCTION("""COMPUTED_VALUE"""),0.6666666666666666)</f>
        <v>0.6666666667</v>
      </c>
      <c r="U3263" s="4" t="str">
        <f>IFERROR(__xludf.DUMMYFUNCTION("""COMPUTED_VALUE"""),"Saipos Serviços De Software")</f>
        <v>Saipos Serviços De Software</v>
      </c>
      <c r="V3263" s="33">
        <f>IFERROR(__xludf.DUMMYFUNCTION("""COMPUTED_VALUE"""),0.6666666666666666)</f>
        <v>0.6666666667</v>
      </c>
      <c r="W3263" s="4" t="str">
        <f>IFERROR(__xludf.DUMMYFUNCTION("""COMPUTED_VALUE"""),"Saipos Serviços De Software")</f>
        <v>Saipos Serviços De Software</v>
      </c>
      <c r="X3263" s="33">
        <f>IFERROR(__xludf.DUMMYFUNCTION("""COMPUTED_VALUE"""),0.6666666666666666)</f>
        <v>0.6666666667</v>
      </c>
    </row>
    <row r="3264">
      <c r="K3264" s="4" t="str">
        <f>IFERROR(__xludf.DUMMYFUNCTION("""COMPUTED_VALUE"""),"CACAROLA DO VISCONDE")</f>
        <v>CACAROLA DO VISCONDE</v>
      </c>
      <c r="L3264" s="32">
        <f>IFERROR(__xludf.DUMMYFUNCTION("""COMPUTED_VALUE"""),3.0)</f>
        <v>3</v>
      </c>
      <c r="M3264" s="4" t="str">
        <f>IFERROR(__xludf.DUMMYFUNCTION("""COMPUTED_VALUE"""),"Fas Tecnologia")</f>
        <v>Fas Tecnologia</v>
      </c>
      <c r="N3264" s="33">
        <f>IFERROR(__xludf.DUMMYFUNCTION("""COMPUTED_VALUE"""),1.0)</f>
        <v>1</v>
      </c>
      <c r="O3264" s="4" t="str">
        <f>IFERROR(__xludf.DUMMYFUNCTION("""COMPUTED_VALUE"""),"Fas Tecnologia")</f>
        <v>Fas Tecnologia</v>
      </c>
      <c r="P3264" s="33">
        <f>IFERROR(__xludf.DUMMYFUNCTION("""COMPUTED_VALUE"""),1.0)</f>
        <v>1</v>
      </c>
      <c r="Q3264" s="4" t="str">
        <f>IFERROR(__xludf.DUMMYFUNCTION("""COMPUTED_VALUE"""),"Fas Tecnologia")</f>
        <v>Fas Tecnologia</v>
      </c>
      <c r="R3264" s="33">
        <f>IFERROR(__xludf.DUMMYFUNCTION("""COMPUTED_VALUE"""),1.0)</f>
        <v>1</v>
      </c>
      <c r="S3264" s="4" t="str">
        <f>IFERROR(__xludf.DUMMYFUNCTION("""COMPUTED_VALUE"""),"Fas Tecnologia")</f>
        <v>Fas Tecnologia</v>
      </c>
      <c r="T3264" s="33">
        <f>IFERROR(__xludf.DUMMYFUNCTION("""COMPUTED_VALUE"""),1.0)</f>
        <v>1</v>
      </c>
      <c r="U3264" s="4" t="str">
        <f>IFERROR(__xludf.DUMMYFUNCTION("""COMPUTED_VALUE"""),"Fas Tecnologia")</f>
        <v>Fas Tecnologia</v>
      </c>
      <c r="V3264" s="33">
        <f>IFERROR(__xludf.DUMMYFUNCTION("""COMPUTED_VALUE"""),1.0)</f>
        <v>1</v>
      </c>
      <c r="W3264" s="4" t="str">
        <f>IFERROR(__xludf.DUMMYFUNCTION("""COMPUTED_VALUE"""),"Fas Tecnologia")</f>
        <v>Fas Tecnologia</v>
      </c>
      <c r="X3264" s="33">
        <f>IFERROR(__xludf.DUMMYFUNCTION("""COMPUTED_VALUE"""),1.0)</f>
        <v>1</v>
      </c>
    </row>
    <row r="3265">
      <c r="K3265" s="4" t="str">
        <f>IFERROR(__xludf.DUMMYFUNCTION("""COMPUTED_VALUE"""),"CACHACARIA DO DEDE")</f>
        <v>CACHACARIA DO DEDE</v>
      </c>
      <c r="L3265" s="32">
        <f>IFERROR(__xludf.DUMMYFUNCTION("""COMPUTED_VALUE"""),3.0)</f>
        <v>3</v>
      </c>
      <c r="M3265" s="4" t="str">
        <f>IFERROR(__xludf.DUMMYFUNCTION("""COMPUTED_VALUE"""),"Vekttor")</f>
        <v>Vekttor</v>
      </c>
      <c r="N3265" s="33">
        <f>IFERROR(__xludf.DUMMYFUNCTION("""COMPUTED_VALUE"""),1.0)</f>
        <v>1</v>
      </c>
      <c r="O3265" s="4" t="str">
        <f>IFERROR(__xludf.DUMMYFUNCTION("""COMPUTED_VALUE"""),"Vekttor")</f>
        <v>Vekttor</v>
      </c>
      <c r="P3265" s="33">
        <f>IFERROR(__xludf.DUMMYFUNCTION("""COMPUTED_VALUE"""),1.0)</f>
        <v>1</v>
      </c>
      <c r="Q3265" s="4" t="str">
        <f>IFERROR(__xludf.DUMMYFUNCTION("""COMPUTED_VALUE"""),"Vekttor")</f>
        <v>Vekttor</v>
      </c>
      <c r="R3265" s="33">
        <f>IFERROR(__xludf.DUMMYFUNCTION("""COMPUTED_VALUE"""),1.0)</f>
        <v>1</v>
      </c>
      <c r="S3265" s="4" t="str">
        <f>IFERROR(__xludf.DUMMYFUNCTION("""COMPUTED_VALUE"""),"Vekttor")</f>
        <v>Vekttor</v>
      </c>
      <c r="T3265" s="33">
        <f>IFERROR(__xludf.DUMMYFUNCTION("""COMPUTED_VALUE"""),1.0)</f>
        <v>1</v>
      </c>
      <c r="U3265" s="4" t="str">
        <f>IFERROR(__xludf.DUMMYFUNCTION("""COMPUTED_VALUE"""),"Vekttor")</f>
        <v>Vekttor</v>
      </c>
      <c r="V3265" s="33">
        <f>IFERROR(__xludf.DUMMYFUNCTION("""COMPUTED_VALUE"""),1.0)</f>
        <v>1</v>
      </c>
      <c r="W3265" s="4" t="str">
        <f>IFERROR(__xludf.DUMMYFUNCTION("""COMPUTED_VALUE"""),"Vekttor")</f>
        <v>Vekttor</v>
      </c>
      <c r="X3265" s="33">
        <f>IFERROR(__xludf.DUMMYFUNCTION("""COMPUTED_VALUE"""),1.0)</f>
        <v>1</v>
      </c>
    </row>
    <row r="3266">
      <c r="K3266" s="4" t="str">
        <f>IFERROR(__xludf.DUMMYFUNCTION("""COMPUTED_VALUE"""),"CADILAC AMERICAN BURGER")</f>
        <v>CADILAC AMERICAN BURGER</v>
      </c>
      <c r="L3266" s="32">
        <f>IFERROR(__xludf.DUMMYFUNCTION("""COMPUTED_VALUE"""),3.0)</f>
        <v>3</v>
      </c>
      <c r="M3266" s="4" t="str">
        <f>IFERROR(__xludf.DUMMYFUNCTION("""COMPUTED_VALUE"""),"Camila Carolina Medeiros")</f>
        <v>Camila Carolina Medeiros</v>
      </c>
      <c r="N3266" s="33">
        <f>IFERROR(__xludf.DUMMYFUNCTION("""COMPUTED_VALUE"""),0.6666666666666666)</f>
        <v>0.6666666667</v>
      </c>
      <c r="O3266" s="4" t="str">
        <f>IFERROR(__xludf.DUMMYFUNCTION("""COMPUTED_VALUE"""),"Camila Carolina Medeiros")</f>
        <v>Camila Carolina Medeiros</v>
      </c>
      <c r="P3266" s="33">
        <f>IFERROR(__xludf.DUMMYFUNCTION("""COMPUTED_VALUE"""),0.6666666666666666)</f>
        <v>0.6666666667</v>
      </c>
      <c r="Q3266" s="4" t="str">
        <f>IFERROR(__xludf.DUMMYFUNCTION("""COMPUTED_VALUE"""),"Camila Carolina Medeiros")</f>
        <v>Camila Carolina Medeiros</v>
      </c>
      <c r="R3266" s="33">
        <f>IFERROR(__xludf.DUMMYFUNCTION("""COMPUTED_VALUE"""),0.6666666666666666)</f>
        <v>0.6666666667</v>
      </c>
      <c r="S3266" s="4" t="str">
        <f>IFERROR(__xludf.DUMMYFUNCTION("""COMPUTED_VALUE"""),"null")</f>
        <v>null</v>
      </c>
      <c r="T3266" s="33">
        <f>IFERROR(__xludf.DUMMYFUNCTION("""COMPUTED_VALUE"""),0.6666666666666666)</f>
        <v>0.6666666667</v>
      </c>
      <c r="U3266" s="4" t="str">
        <f>IFERROR(__xludf.DUMMYFUNCTION("""COMPUTED_VALUE"""),"Camila Carolina Medeiros")</f>
        <v>Camila Carolina Medeiros</v>
      </c>
      <c r="V3266" s="33">
        <f>IFERROR(__xludf.DUMMYFUNCTION("""COMPUTED_VALUE"""),0.6666666666666666)</f>
        <v>0.6666666667</v>
      </c>
      <c r="W3266" s="4" t="str">
        <f>IFERROR(__xludf.DUMMYFUNCTION("""COMPUTED_VALUE"""),"Camila Carolina Medeiros")</f>
        <v>Camila Carolina Medeiros</v>
      </c>
      <c r="X3266" s="33">
        <f>IFERROR(__xludf.DUMMYFUNCTION("""COMPUTED_VALUE"""),0.6666666666666666)</f>
        <v>0.6666666667</v>
      </c>
    </row>
    <row r="3267">
      <c r="K3267" s="4" t="str">
        <f>IFERROR(__xludf.DUMMYFUNCTION("""COMPUTED_VALUE"""),"CAFE JOURNAL - SHOPPING JARDIM SUL")</f>
        <v>CAFE JOURNAL - SHOPPING JARDIM SUL</v>
      </c>
      <c r="L3267" s="32">
        <f>IFERROR(__xludf.DUMMYFUNCTION("""COMPUTED_VALUE"""),3.0)</f>
        <v>3</v>
      </c>
      <c r="M3267" s="4" t="str">
        <f>IFERROR(__xludf.DUMMYFUNCTION("""COMPUTED_VALUE"""),"Atena Tecnologia Da Informacao Ltda")</f>
        <v>Atena Tecnologia Da Informacao Ltda</v>
      </c>
      <c r="N3267" s="33">
        <f>IFERROR(__xludf.DUMMYFUNCTION("""COMPUTED_VALUE"""),1.0)</f>
        <v>1</v>
      </c>
      <c r="O3267" s="4" t="str">
        <f>IFERROR(__xludf.DUMMYFUNCTION("""COMPUTED_VALUE"""),"Atena Tecnologia Da Informacao Ltda")</f>
        <v>Atena Tecnologia Da Informacao Ltda</v>
      </c>
      <c r="P3267" s="33">
        <f>IFERROR(__xludf.DUMMYFUNCTION("""COMPUTED_VALUE"""),1.0)</f>
        <v>1</v>
      </c>
      <c r="Q3267" s="4" t="str">
        <f>IFERROR(__xludf.DUMMYFUNCTION("""COMPUTED_VALUE"""),"Atena Tecnologia Da Informacao Ltda")</f>
        <v>Atena Tecnologia Da Informacao Ltda</v>
      </c>
      <c r="R3267" s="33">
        <f>IFERROR(__xludf.DUMMYFUNCTION("""COMPUTED_VALUE"""),1.0)</f>
        <v>1</v>
      </c>
      <c r="S3267" s="4" t="str">
        <f>IFERROR(__xludf.DUMMYFUNCTION("""COMPUTED_VALUE"""),"Atena Tecnologia Da Informacao Ltda")</f>
        <v>Atena Tecnologia Da Informacao Ltda</v>
      </c>
      <c r="T3267" s="33">
        <f>IFERROR(__xludf.DUMMYFUNCTION("""COMPUTED_VALUE"""),1.0)</f>
        <v>1</v>
      </c>
      <c r="U3267" s="4" t="str">
        <f>IFERROR(__xludf.DUMMYFUNCTION("""COMPUTED_VALUE"""),"Atena Tecnologia Da Informacao Ltda")</f>
        <v>Atena Tecnologia Da Informacao Ltda</v>
      </c>
      <c r="V3267" s="33">
        <f>IFERROR(__xludf.DUMMYFUNCTION("""COMPUTED_VALUE"""),0.6666666666666666)</f>
        <v>0.6666666667</v>
      </c>
      <c r="W3267" s="4" t="str">
        <f>IFERROR(__xludf.DUMMYFUNCTION("""COMPUTED_VALUE"""),"Atena Tecnologia Da Informacao Ltda")</f>
        <v>Atena Tecnologia Da Informacao Ltda</v>
      </c>
      <c r="X3267" s="33">
        <f>IFERROR(__xludf.DUMMYFUNCTION("""COMPUTED_VALUE"""),1.0)</f>
        <v>1</v>
      </c>
    </row>
    <row r="3268">
      <c r="K3268" s="4" t="str">
        <f>IFERROR(__xludf.DUMMYFUNCTION("""COMPUTED_VALUE"""),"CAFE ZINN - CONTA MARCA")</f>
        <v>CAFE ZINN - CONTA MARCA</v>
      </c>
      <c r="L3268" s="32">
        <f>IFERROR(__xludf.DUMMYFUNCTION("""COMPUTED_VALUE"""),3.0)</f>
        <v>3</v>
      </c>
      <c r="M3268" s="4" t="str">
        <f>IFERROR(__xludf.DUMMYFUNCTION("""COMPUTED_VALUE"""),"Js Informatica E Equipamentos Ltda")</f>
        <v>Js Informatica E Equipamentos Ltda</v>
      </c>
      <c r="N3268" s="33">
        <f>IFERROR(__xludf.DUMMYFUNCTION("""COMPUTED_VALUE"""),1.0)</f>
        <v>1</v>
      </c>
      <c r="O3268" s="4" t="str">
        <f>IFERROR(__xludf.DUMMYFUNCTION("""COMPUTED_VALUE"""),"Js Informatica E Equipamentos Ltda")</f>
        <v>Js Informatica E Equipamentos Ltda</v>
      </c>
      <c r="P3268" s="33">
        <f>IFERROR(__xludf.DUMMYFUNCTION("""COMPUTED_VALUE"""),1.0)</f>
        <v>1</v>
      </c>
      <c r="Q3268" s="4" t="str">
        <f>IFERROR(__xludf.DUMMYFUNCTION("""COMPUTED_VALUE"""),"Js Informatica E Equipamentos Ltda")</f>
        <v>Js Informatica E Equipamentos Ltda</v>
      </c>
      <c r="R3268" s="33">
        <f>IFERROR(__xludf.DUMMYFUNCTION("""COMPUTED_VALUE"""),1.0)</f>
        <v>1</v>
      </c>
      <c r="S3268" s="4" t="str">
        <f>IFERROR(__xludf.DUMMYFUNCTION("""COMPUTED_VALUE"""),"Js Informatica E Equipamentos Ltda")</f>
        <v>Js Informatica E Equipamentos Ltda</v>
      </c>
      <c r="T3268" s="33">
        <f>IFERROR(__xludf.DUMMYFUNCTION("""COMPUTED_VALUE"""),1.0)</f>
        <v>1</v>
      </c>
      <c r="U3268" s="4" t="str">
        <f>IFERROR(__xludf.DUMMYFUNCTION("""COMPUTED_VALUE"""),"Js Informatica E Equipamentos Ltda")</f>
        <v>Js Informatica E Equipamentos Ltda</v>
      </c>
      <c r="V3268" s="33">
        <f>IFERROR(__xludf.DUMMYFUNCTION("""COMPUTED_VALUE"""),1.0)</f>
        <v>1</v>
      </c>
      <c r="W3268" s="4" t="str">
        <f>IFERROR(__xludf.DUMMYFUNCTION("""COMPUTED_VALUE"""),"Js Informatica E Equipamentos Ltda")</f>
        <v>Js Informatica E Equipamentos Ltda</v>
      </c>
      <c r="X3268" s="33">
        <f>IFERROR(__xludf.DUMMYFUNCTION("""COMPUTED_VALUE"""),1.0)</f>
        <v>1</v>
      </c>
    </row>
    <row r="3269">
      <c r="K3269" s="4" t="str">
        <f>IFERROR(__xludf.DUMMYFUNCTION("""COMPUTED_VALUE"""),"CALMASS CALDOS")</f>
        <v>CALMASS CALDOS</v>
      </c>
      <c r="L3269" s="32">
        <f>IFERROR(__xludf.DUMMYFUNCTION("""COMPUTED_VALUE"""),3.0)</f>
        <v>3</v>
      </c>
      <c r="M3269" s="4" t="str">
        <f>IFERROR(__xludf.DUMMYFUNCTION("""COMPUTED_VALUE"""),"null")</f>
        <v>null</v>
      </c>
      <c r="N3269" s="33">
        <f>IFERROR(__xludf.DUMMYFUNCTION("""COMPUTED_VALUE"""),0.3333333333333333)</f>
        <v>0.3333333333</v>
      </c>
      <c r="O3269" s="4" t="str">
        <f>IFERROR(__xludf.DUMMYFUNCTION("""COMPUTED_VALUE"""),"null")</f>
        <v>null</v>
      </c>
      <c r="P3269" s="33">
        <f>IFERROR(__xludf.DUMMYFUNCTION("""COMPUTED_VALUE"""),0.3333333333333333)</f>
        <v>0.3333333333</v>
      </c>
      <c r="Q3269" s="4" t="str">
        <f>IFERROR(__xludf.DUMMYFUNCTION("""COMPUTED_VALUE"""),"Solução Sistemas")</f>
        <v>Solução Sistemas</v>
      </c>
      <c r="R3269" s="33">
        <f>IFERROR(__xludf.DUMMYFUNCTION("""COMPUTED_VALUE"""),0.6666666666666666)</f>
        <v>0.6666666667</v>
      </c>
      <c r="S3269" s="4" t="str">
        <f>IFERROR(__xludf.DUMMYFUNCTION("""COMPUTED_VALUE"""),"null")</f>
        <v>null</v>
      </c>
      <c r="T3269" s="33">
        <f>IFERROR(__xludf.DUMMYFUNCTION("""COMPUTED_VALUE"""),0.3333333333333333)</f>
        <v>0.3333333333</v>
      </c>
      <c r="U3269" s="4" t="str">
        <f>IFERROR(__xludf.DUMMYFUNCTION("""COMPUTED_VALUE"""),"Solução Sistemas")</f>
        <v>Solução Sistemas</v>
      </c>
      <c r="V3269" s="33">
        <f>IFERROR(__xludf.DUMMYFUNCTION("""COMPUTED_VALUE"""),0.6666666666666666)</f>
        <v>0.6666666667</v>
      </c>
      <c r="W3269" s="4" t="str">
        <f>IFERROR(__xludf.DUMMYFUNCTION("""COMPUTED_VALUE"""),"Saipos Serviços De Software")</f>
        <v>Saipos Serviços De Software</v>
      </c>
      <c r="X3269" s="33">
        <f>IFERROR(__xludf.DUMMYFUNCTION("""COMPUTED_VALUE"""),0.6666666666666666)</f>
        <v>0.6666666667</v>
      </c>
    </row>
    <row r="3270">
      <c r="K3270" s="4" t="str">
        <f>IFERROR(__xludf.DUMMYFUNCTION("""COMPUTED_VALUE"""),"CANDIDUS RESTAURANTE - MARCA")</f>
        <v>CANDIDUS RESTAURANTE - MARCA</v>
      </c>
      <c r="L3270" s="32">
        <f>IFERROR(__xludf.DUMMYFUNCTION("""COMPUTED_VALUE"""),3.0)</f>
        <v>3</v>
      </c>
      <c r="M3270" s="4" t="str">
        <f>IFERROR(__xludf.DUMMYFUNCTION("""COMPUTED_VALUE"""),"Netcontroll Xmenu")</f>
        <v>Netcontroll Xmenu</v>
      </c>
      <c r="N3270" s="33">
        <f>IFERROR(__xludf.DUMMYFUNCTION("""COMPUTED_VALUE"""),0.6666666666666666)</f>
        <v>0.6666666667</v>
      </c>
      <c r="O3270" s="4" t="str">
        <f>IFERROR(__xludf.DUMMYFUNCTION("""COMPUTED_VALUE"""),"Netcontroll Xmenu")</f>
        <v>Netcontroll Xmenu</v>
      </c>
      <c r="P3270" s="33">
        <f>IFERROR(__xludf.DUMMYFUNCTION("""COMPUTED_VALUE"""),0.6666666666666666)</f>
        <v>0.6666666667</v>
      </c>
      <c r="Q3270" s="4" t="str">
        <f>IFERROR(__xludf.DUMMYFUNCTION("""COMPUTED_VALUE"""),"Netcontroll Xmenu")</f>
        <v>Netcontroll Xmenu</v>
      </c>
      <c r="R3270" s="33">
        <f>IFERROR(__xludf.DUMMYFUNCTION("""COMPUTED_VALUE"""),0.6666666666666666)</f>
        <v>0.6666666667</v>
      </c>
      <c r="S3270" s="4" t="str">
        <f>IFERROR(__xludf.DUMMYFUNCTION("""COMPUTED_VALUE"""),"null")</f>
        <v>null</v>
      </c>
      <c r="T3270" s="33">
        <f>IFERROR(__xludf.DUMMYFUNCTION("""COMPUTED_VALUE"""),1.0)</f>
        <v>1</v>
      </c>
      <c r="U3270" s="4" t="str">
        <f>IFERROR(__xludf.DUMMYFUNCTION("""COMPUTED_VALUE"""),"Netcontroll Xmenu")</f>
        <v>Netcontroll Xmenu</v>
      </c>
      <c r="V3270" s="33">
        <f>IFERROR(__xludf.DUMMYFUNCTION("""COMPUTED_VALUE"""),0.6666666666666666)</f>
        <v>0.6666666667</v>
      </c>
      <c r="W3270" s="4" t="str">
        <f>IFERROR(__xludf.DUMMYFUNCTION("""COMPUTED_VALUE"""),"Netcontroll Xmenu")</f>
        <v>Netcontroll Xmenu</v>
      </c>
      <c r="X3270" s="33">
        <f>IFERROR(__xludf.DUMMYFUNCTION("""COMPUTED_VALUE"""),1.0)</f>
        <v>1</v>
      </c>
    </row>
    <row r="3271">
      <c r="K3271" s="4" t="str">
        <f>IFERROR(__xludf.DUMMYFUNCTION("""COMPUTED_VALUE"""),"CANTINA D KA")</f>
        <v>CANTINA D KA</v>
      </c>
      <c r="L3271" s="32">
        <f>IFERROR(__xludf.DUMMYFUNCTION("""COMPUTED_VALUE"""),3.0)</f>
        <v>3</v>
      </c>
      <c r="M3271" s="4" t="str">
        <f>IFERROR(__xludf.DUMMYFUNCTION("""COMPUTED_VALUE"""),"Cardápio Web")</f>
        <v>Cardápio Web</v>
      </c>
      <c r="N3271" s="33">
        <f>IFERROR(__xludf.DUMMYFUNCTION("""COMPUTED_VALUE"""),1.0)</f>
        <v>1</v>
      </c>
      <c r="O3271" s="4" t="str">
        <f>IFERROR(__xludf.DUMMYFUNCTION("""COMPUTED_VALUE"""),"Cardápio Web")</f>
        <v>Cardápio Web</v>
      </c>
      <c r="P3271" s="33">
        <f>IFERROR(__xludf.DUMMYFUNCTION("""COMPUTED_VALUE"""),1.0)</f>
        <v>1</v>
      </c>
      <c r="Q3271" s="4" t="str">
        <f>IFERROR(__xludf.DUMMYFUNCTION("""COMPUTED_VALUE"""),"Cardápio Web")</f>
        <v>Cardápio Web</v>
      </c>
      <c r="R3271" s="33">
        <f>IFERROR(__xludf.DUMMYFUNCTION("""COMPUTED_VALUE"""),1.0)</f>
        <v>1</v>
      </c>
      <c r="S3271" s="4" t="str">
        <f>IFERROR(__xludf.DUMMYFUNCTION("""COMPUTED_VALUE"""),"Cardápio Web")</f>
        <v>Cardápio Web</v>
      </c>
      <c r="T3271" s="33">
        <f>IFERROR(__xludf.DUMMYFUNCTION("""COMPUTED_VALUE"""),1.0)</f>
        <v>1</v>
      </c>
      <c r="U3271" s="4" t="str">
        <f>IFERROR(__xludf.DUMMYFUNCTION("""COMPUTED_VALUE"""),"Cardápio Web")</f>
        <v>Cardápio Web</v>
      </c>
      <c r="V3271" s="33">
        <f>IFERROR(__xludf.DUMMYFUNCTION("""COMPUTED_VALUE"""),1.0)</f>
        <v>1</v>
      </c>
      <c r="W3271" s="4" t="str">
        <f>IFERROR(__xludf.DUMMYFUNCTION("""COMPUTED_VALUE"""),"Cardápio Web")</f>
        <v>Cardápio Web</v>
      </c>
      <c r="X3271" s="33">
        <f>IFERROR(__xludf.DUMMYFUNCTION("""COMPUTED_VALUE"""),1.0)</f>
        <v>1</v>
      </c>
    </row>
    <row r="3272">
      <c r="K3272" s="4" t="str">
        <f>IFERROR(__xludf.DUMMYFUNCTION("""COMPUTED_VALUE"""),"CANTINHO DO FRANGO")</f>
        <v>CANTINHO DO FRANGO</v>
      </c>
      <c r="L3272" s="32">
        <f>IFERROR(__xludf.DUMMYFUNCTION("""COMPUTED_VALUE"""),3.0)</f>
        <v>3</v>
      </c>
      <c r="M3272" s="4" t="str">
        <f>IFERROR(__xludf.DUMMYFUNCTION("""COMPUTED_VALUE"""),"Solução Sistemas")</f>
        <v>Solução Sistemas</v>
      </c>
      <c r="N3272" s="33">
        <f>IFERROR(__xludf.DUMMYFUNCTION("""COMPUTED_VALUE"""),0.6666666666666666)</f>
        <v>0.6666666667</v>
      </c>
      <c r="O3272" s="4" t="str">
        <f>IFERROR(__xludf.DUMMYFUNCTION("""COMPUTED_VALUE"""),"Solução Sistemas")</f>
        <v>Solução Sistemas</v>
      </c>
      <c r="P3272" s="33">
        <f>IFERROR(__xludf.DUMMYFUNCTION("""COMPUTED_VALUE"""),0.3333333333333333)</f>
        <v>0.3333333333</v>
      </c>
      <c r="Q3272" s="4" t="str">
        <f>IFERROR(__xludf.DUMMYFUNCTION("""COMPUTED_VALUE"""),"Solução Sistemas")</f>
        <v>Solução Sistemas</v>
      </c>
      <c r="R3272" s="33">
        <f>IFERROR(__xludf.DUMMYFUNCTION("""COMPUTED_VALUE"""),0.6666666666666666)</f>
        <v>0.6666666667</v>
      </c>
      <c r="S3272" s="4" t="str">
        <f>IFERROR(__xludf.DUMMYFUNCTION("""COMPUTED_VALUE"""),"Solução Sistemas")</f>
        <v>Solução Sistemas</v>
      </c>
      <c r="T3272" s="33">
        <f>IFERROR(__xludf.DUMMYFUNCTION("""COMPUTED_VALUE"""),0.6666666666666666)</f>
        <v>0.6666666667</v>
      </c>
      <c r="U3272" s="4" t="str">
        <f>IFERROR(__xludf.DUMMYFUNCTION("""COMPUTED_VALUE"""),"Solução Sistemas")</f>
        <v>Solução Sistemas</v>
      </c>
      <c r="V3272" s="33">
        <f>IFERROR(__xludf.DUMMYFUNCTION("""COMPUTED_VALUE"""),0.6666666666666666)</f>
        <v>0.6666666667</v>
      </c>
      <c r="W3272" s="4" t="str">
        <f>IFERROR(__xludf.DUMMYFUNCTION("""COMPUTED_VALUE"""),"Solução Sistemas")</f>
        <v>Solução Sistemas</v>
      </c>
      <c r="X3272" s="33">
        <f>IFERROR(__xludf.DUMMYFUNCTION("""COMPUTED_VALUE"""),0.6666666666666666)</f>
        <v>0.6666666667</v>
      </c>
    </row>
    <row r="3273">
      <c r="K3273" s="4" t="str">
        <f>IFERROR(__xludf.DUMMYFUNCTION("""COMPUTED_VALUE"""),"CANTO DE BALA - CONTA MARCA")</f>
        <v>CANTO DE BALA - CONTA MARCA</v>
      </c>
      <c r="L3273" s="32">
        <f>IFERROR(__xludf.DUMMYFUNCTION("""COMPUTED_VALUE"""),3.0)</f>
        <v>3</v>
      </c>
      <c r="M3273" s="4" t="str">
        <f>IFERROR(__xludf.DUMMYFUNCTION("""COMPUTED_VALUE"""),"N/A (Not found)")</f>
        <v>N/A (Not found)</v>
      </c>
      <c r="N3273" s="33">
        <f>IFERROR(__xludf.DUMMYFUNCTION("""COMPUTED_VALUE"""),1.0)</f>
        <v>1</v>
      </c>
      <c r="O3273" s="4" t="str">
        <f>IFERROR(__xludf.DUMMYFUNCTION("""COMPUTED_VALUE"""),"N/A (Not found)")</f>
        <v>N/A (Not found)</v>
      </c>
      <c r="P3273" s="33">
        <f>IFERROR(__xludf.DUMMYFUNCTION("""COMPUTED_VALUE"""),1.0)</f>
        <v>1</v>
      </c>
      <c r="Q3273" s="4" t="str">
        <f>IFERROR(__xludf.DUMMYFUNCTION("""COMPUTED_VALUE"""),"N/A (Not found)")</f>
        <v>N/A (Not found)</v>
      </c>
      <c r="R3273" s="33">
        <f>IFERROR(__xludf.DUMMYFUNCTION("""COMPUTED_VALUE"""),1.0)</f>
        <v>1</v>
      </c>
      <c r="S3273" s="4" t="str">
        <f>IFERROR(__xludf.DUMMYFUNCTION("""COMPUTED_VALUE"""),"N/A (Not found)")</f>
        <v>N/A (Not found)</v>
      </c>
      <c r="T3273" s="33">
        <f>IFERROR(__xludf.DUMMYFUNCTION("""COMPUTED_VALUE"""),1.0)</f>
        <v>1</v>
      </c>
      <c r="U3273" s="4" t="str">
        <f>IFERROR(__xludf.DUMMYFUNCTION("""COMPUTED_VALUE"""),"null")</f>
        <v>null</v>
      </c>
      <c r="V3273" s="33">
        <f>IFERROR(__xludf.DUMMYFUNCTION("""COMPUTED_VALUE"""),1.0)</f>
        <v>1</v>
      </c>
      <c r="W3273" s="4" t="str">
        <f>IFERROR(__xludf.DUMMYFUNCTION("""COMPUTED_VALUE"""),"null")</f>
        <v>null</v>
      </c>
      <c r="X3273" s="33">
        <f>IFERROR(__xludf.DUMMYFUNCTION("""COMPUTED_VALUE"""),1.0)</f>
        <v>1</v>
      </c>
    </row>
    <row r="3274">
      <c r="K3274" s="4" t="str">
        <f>IFERROR(__xludf.DUMMYFUNCTION("""COMPUTED_VALUE"""),"CAPRETZ")</f>
        <v>CAPRETZ</v>
      </c>
      <c r="L3274" s="32">
        <f>IFERROR(__xludf.DUMMYFUNCTION("""COMPUTED_VALUE"""),3.0)</f>
        <v>3</v>
      </c>
      <c r="M3274" s="4" t="str">
        <f>IFERROR(__xludf.DUMMYFUNCTION("""COMPUTED_VALUE"""),"null")</f>
        <v>null</v>
      </c>
      <c r="N3274" s="33">
        <f>IFERROR(__xludf.DUMMYFUNCTION("""COMPUTED_VALUE"""),1.0)</f>
        <v>1</v>
      </c>
      <c r="O3274" s="4" t="str">
        <f>IFERROR(__xludf.DUMMYFUNCTION("""COMPUTED_VALUE"""),"null")</f>
        <v>null</v>
      </c>
      <c r="P3274" s="33">
        <f>IFERROR(__xludf.DUMMYFUNCTION("""COMPUTED_VALUE"""),1.0)</f>
        <v>1</v>
      </c>
      <c r="Q3274" s="4" t="str">
        <f>IFERROR(__xludf.DUMMYFUNCTION("""COMPUTED_VALUE"""),"null")</f>
        <v>null</v>
      </c>
      <c r="R3274" s="33">
        <f>IFERROR(__xludf.DUMMYFUNCTION("""COMPUTED_VALUE"""),1.0)</f>
        <v>1</v>
      </c>
      <c r="S3274" s="4" t="str">
        <f>IFERROR(__xludf.DUMMYFUNCTION("""COMPUTED_VALUE"""),"null")</f>
        <v>null</v>
      </c>
      <c r="T3274" s="33">
        <f>IFERROR(__xludf.DUMMYFUNCTION("""COMPUTED_VALUE"""),1.0)</f>
        <v>1</v>
      </c>
      <c r="U3274" s="4" t="str">
        <f>IFERROR(__xludf.DUMMYFUNCTION("""COMPUTED_VALUE"""),"Saipos Serviços De Software")</f>
        <v>Saipos Serviços De Software</v>
      </c>
      <c r="V3274" s="33">
        <f>IFERROR(__xludf.DUMMYFUNCTION("""COMPUTED_VALUE"""),1.0)</f>
        <v>1</v>
      </c>
      <c r="W3274" s="4" t="str">
        <f>IFERROR(__xludf.DUMMYFUNCTION("""COMPUTED_VALUE"""),"Saipos Serviços De Software")</f>
        <v>Saipos Serviços De Software</v>
      </c>
      <c r="X3274" s="33">
        <f>IFERROR(__xludf.DUMMYFUNCTION("""COMPUTED_VALUE"""),1.0)</f>
        <v>1</v>
      </c>
    </row>
    <row r="3275">
      <c r="K3275" s="4" t="str">
        <f>IFERROR(__xludf.DUMMYFUNCTION("""COMPUTED_VALUE"""),"CARAMEL UBERLANDIA")</f>
        <v>CARAMEL UBERLANDIA</v>
      </c>
      <c r="L3275" s="32">
        <f>IFERROR(__xludf.DUMMYFUNCTION("""COMPUTED_VALUE"""),3.0)</f>
        <v>3</v>
      </c>
      <c r="M3275" s="4" t="str">
        <f>IFERROR(__xludf.DUMMYFUNCTION("""COMPUTED_VALUE"""),"Inforservice Soluções Em Sistemas Ltda")</f>
        <v>Inforservice Soluções Em Sistemas Ltda</v>
      </c>
      <c r="N3275" s="33">
        <f>IFERROR(__xludf.DUMMYFUNCTION("""COMPUTED_VALUE"""),0.6666666666666666)</f>
        <v>0.6666666667</v>
      </c>
      <c r="O3275" s="4" t="str">
        <f>IFERROR(__xludf.DUMMYFUNCTION("""COMPUTED_VALUE"""),"Inforservice Soluções Em Sistemas Ltda")</f>
        <v>Inforservice Soluções Em Sistemas Ltda</v>
      </c>
      <c r="P3275" s="33">
        <f>IFERROR(__xludf.DUMMYFUNCTION("""COMPUTED_VALUE"""),0.6666666666666666)</f>
        <v>0.6666666667</v>
      </c>
      <c r="Q3275" s="4" t="str">
        <f>IFERROR(__xludf.DUMMYFUNCTION("""COMPUTED_VALUE"""),"Inforservice Soluções Em Sistemas Ltda")</f>
        <v>Inforservice Soluções Em Sistemas Ltda</v>
      </c>
      <c r="R3275" s="33">
        <f>IFERROR(__xludf.DUMMYFUNCTION("""COMPUTED_VALUE"""),0.6666666666666666)</f>
        <v>0.6666666667</v>
      </c>
      <c r="S3275" s="4" t="str">
        <f>IFERROR(__xludf.DUMMYFUNCTION("""COMPUTED_VALUE"""),"null")</f>
        <v>null</v>
      </c>
      <c r="T3275" s="33">
        <f>IFERROR(__xludf.DUMMYFUNCTION("""COMPUTED_VALUE"""),1.0)</f>
        <v>1</v>
      </c>
      <c r="U3275" s="4" t="str">
        <f>IFERROR(__xludf.DUMMYFUNCTION("""COMPUTED_VALUE"""),"null")</f>
        <v>null</v>
      </c>
      <c r="V3275" s="33">
        <f>IFERROR(__xludf.DUMMYFUNCTION("""COMPUTED_VALUE"""),1.0)</f>
        <v>1</v>
      </c>
      <c r="W3275" s="4" t="str">
        <f>IFERROR(__xludf.DUMMYFUNCTION("""COMPUTED_VALUE"""),"Inforservice Soluções Em Sistemas Ltda")</f>
        <v>Inforservice Soluções Em Sistemas Ltda</v>
      </c>
      <c r="X3275" s="33">
        <f>IFERROR(__xludf.DUMMYFUNCTION("""COMPUTED_VALUE"""),0.6666666666666666)</f>
        <v>0.6666666667</v>
      </c>
    </row>
    <row r="3276">
      <c r="K3276" s="4" t="str">
        <f>IFERROR(__xludf.DUMMYFUNCTION("""COMPUTED_VALUE"""),"GRUPO ALMA FLORIANOPOLIS - CONTA GRUPO")</f>
        <v>GRUPO ALMA FLORIANOPOLIS - CONTA GRUPO</v>
      </c>
      <c r="L3276" s="32">
        <f>IFERROR(__xludf.DUMMYFUNCTION("""COMPUTED_VALUE"""),3.0)</f>
        <v>3</v>
      </c>
      <c r="M3276" s="4" t="str">
        <f>IFERROR(__xludf.DUMMYFUNCTION("""COMPUTED_VALUE"""),"Biz System Tecnologia Ltda")</f>
        <v>Biz System Tecnologia Ltda</v>
      </c>
      <c r="N3276" s="33">
        <f>IFERROR(__xludf.DUMMYFUNCTION("""COMPUTED_VALUE"""),0.6666666666666666)</f>
        <v>0.6666666667</v>
      </c>
      <c r="O3276" s="4" t="str">
        <f>IFERROR(__xludf.DUMMYFUNCTION("""COMPUTED_VALUE"""),"Biz System Tecnologia Ltda")</f>
        <v>Biz System Tecnologia Ltda</v>
      </c>
      <c r="P3276" s="33">
        <f>IFERROR(__xludf.DUMMYFUNCTION("""COMPUTED_VALUE"""),0.6666666666666666)</f>
        <v>0.6666666667</v>
      </c>
      <c r="Q3276" s="4" t="str">
        <f>IFERROR(__xludf.DUMMYFUNCTION("""COMPUTED_VALUE"""),"Biz System Tecnologia Ltda")</f>
        <v>Biz System Tecnologia Ltda</v>
      </c>
      <c r="R3276" s="33">
        <f>IFERROR(__xludf.DUMMYFUNCTION("""COMPUTED_VALUE"""),0.6666666666666666)</f>
        <v>0.6666666667</v>
      </c>
      <c r="S3276" s="4" t="str">
        <f>IFERROR(__xludf.DUMMYFUNCTION("""COMPUTED_VALUE"""),"Biz System Tecnologia Ltda")</f>
        <v>Biz System Tecnologia Ltda</v>
      </c>
      <c r="T3276" s="33">
        <f>IFERROR(__xludf.DUMMYFUNCTION("""COMPUTED_VALUE"""),0.6666666666666666)</f>
        <v>0.6666666667</v>
      </c>
      <c r="U3276" s="4" t="str">
        <f>IFERROR(__xludf.DUMMYFUNCTION("""COMPUTED_VALUE"""),"Biz System Tecnologia Ltda")</f>
        <v>Biz System Tecnologia Ltda</v>
      </c>
      <c r="V3276" s="33">
        <f>IFERROR(__xludf.DUMMYFUNCTION("""COMPUTED_VALUE"""),1.0)</f>
        <v>1</v>
      </c>
      <c r="W3276" s="4" t="str">
        <f>IFERROR(__xludf.DUMMYFUNCTION("""COMPUTED_VALUE"""),"null")</f>
        <v>null</v>
      </c>
      <c r="X3276" s="33">
        <f>IFERROR(__xludf.DUMMYFUNCTION("""COMPUTED_VALUE"""),0.6666666666666666)</f>
        <v>0.6666666667</v>
      </c>
    </row>
    <row r="3277">
      <c r="K3277" s="4" t="str">
        <f>IFERROR(__xludf.DUMMYFUNCTION("""COMPUTED_VALUE"""),"CARDAMOMO HAMBURGUERIA- CONTA PAI")</f>
        <v>CARDAMOMO HAMBURGUERIA- CONTA PAI</v>
      </c>
      <c r="L3277" s="32">
        <f>IFERROR(__xludf.DUMMYFUNCTION("""COMPUTED_VALUE"""),3.0)</f>
        <v>3</v>
      </c>
      <c r="M3277" s="4" t="str">
        <f>IFERROR(__xludf.DUMMYFUNCTION("""COMPUTED_VALUE"""),"Vuca Solution")</f>
        <v>Vuca Solution</v>
      </c>
      <c r="N3277" s="33">
        <f>IFERROR(__xludf.DUMMYFUNCTION("""COMPUTED_VALUE"""),1.0)</f>
        <v>1</v>
      </c>
      <c r="O3277" s="4" t="str">
        <f>IFERROR(__xludf.DUMMYFUNCTION("""COMPUTED_VALUE"""),"Vuca Solution")</f>
        <v>Vuca Solution</v>
      </c>
      <c r="P3277" s="33">
        <f>IFERROR(__xludf.DUMMYFUNCTION("""COMPUTED_VALUE"""),1.0)</f>
        <v>1</v>
      </c>
      <c r="Q3277" s="4" t="str">
        <f>IFERROR(__xludf.DUMMYFUNCTION("""COMPUTED_VALUE"""),"Vuca Solution")</f>
        <v>Vuca Solution</v>
      </c>
      <c r="R3277" s="33">
        <f>IFERROR(__xludf.DUMMYFUNCTION("""COMPUTED_VALUE"""),1.0)</f>
        <v>1</v>
      </c>
      <c r="S3277" s="4" t="str">
        <f>IFERROR(__xludf.DUMMYFUNCTION("""COMPUTED_VALUE"""),"Vuca Solution")</f>
        <v>Vuca Solution</v>
      </c>
      <c r="T3277" s="33">
        <f>IFERROR(__xludf.DUMMYFUNCTION("""COMPUTED_VALUE"""),1.0)</f>
        <v>1</v>
      </c>
      <c r="U3277" s="4" t="str">
        <f>IFERROR(__xludf.DUMMYFUNCTION("""COMPUTED_VALUE"""),"Vuca Solution")</f>
        <v>Vuca Solution</v>
      </c>
      <c r="V3277" s="33">
        <f>IFERROR(__xludf.DUMMYFUNCTION("""COMPUTED_VALUE"""),1.0)</f>
        <v>1</v>
      </c>
      <c r="W3277" s="4" t="str">
        <f>IFERROR(__xludf.DUMMYFUNCTION("""COMPUTED_VALUE"""),"Vuca Solution")</f>
        <v>Vuca Solution</v>
      </c>
      <c r="X3277" s="33">
        <f>IFERROR(__xludf.DUMMYFUNCTION("""COMPUTED_VALUE"""),1.0)</f>
        <v>1</v>
      </c>
    </row>
    <row r="3278">
      <c r="K3278" s="4" t="str">
        <f>IFERROR(__xludf.DUMMYFUNCTION("""COMPUTED_VALUE"""),"CARMELS PIPOCAS")</f>
        <v>CARMELS PIPOCAS</v>
      </c>
      <c r="L3278" s="32">
        <f>IFERROR(__xludf.DUMMYFUNCTION("""COMPUTED_VALUE"""),3.0)</f>
        <v>3</v>
      </c>
      <c r="M3278" s="4" t="str">
        <f>IFERROR(__xludf.DUMMYFUNCTION("""COMPUTED_VALUE"""),"Cloudfy")</f>
        <v>Cloudfy</v>
      </c>
      <c r="N3278" s="33">
        <f>IFERROR(__xludf.DUMMYFUNCTION("""COMPUTED_VALUE"""),1.0)</f>
        <v>1</v>
      </c>
      <c r="O3278" s="4" t="str">
        <f>IFERROR(__xludf.DUMMYFUNCTION("""COMPUTED_VALUE"""),"Cloudfy")</f>
        <v>Cloudfy</v>
      </c>
      <c r="P3278" s="33">
        <f>IFERROR(__xludf.DUMMYFUNCTION("""COMPUTED_VALUE"""),0.6666666666666666)</f>
        <v>0.6666666667</v>
      </c>
      <c r="Q3278" s="4" t="str">
        <f>IFERROR(__xludf.DUMMYFUNCTION("""COMPUTED_VALUE"""),"Cloudfy")</f>
        <v>Cloudfy</v>
      </c>
      <c r="R3278" s="33">
        <f>IFERROR(__xludf.DUMMYFUNCTION("""COMPUTED_VALUE"""),0.6666666666666666)</f>
        <v>0.6666666667</v>
      </c>
      <c r="S3278" s="4" t="str">
        <f>IFERROR(__xludf.DUMMYFUNCTION("""COMPUTED_VALUE"""),"Cloudfy")</f>
        <v>Cloudfy</v>
      </c>
      <c r="T3278" s="33">
        <f>IFERROR(__xludf.DUMMYFUNCTION("""COMPUTED_VALUE"""),1.0)</f>
        <v>1</v>
      </c>
      <c r="U3278" s="4" t="str">
        <f>IFERROR(__xludf.DUMMYFUNCTION("""COMPUTED_VALUE"""),"Cloudfy")</f>
        <v>Cloudfy</v>
      </c>
      <c r="V3278" s="33">
        <f>IFERROR(__xludf.DUMMYFUNCTION("""COMPUTED_VALUE"""),0.6666666666666666)</f>
        <v>0.6666666667</v>
      </c>
      <c r="W3278" s="4" t="str">
        <f>IFERROR(__xludf.DUMMYFUNCTION("""COMPUTED_VALUE"""),"Cloudfy")</f>
        <v>Cloudfy</v>
      </c>
      <c r="X3278" s="33">
        <f>IFERROR(__xludf.DUMMYFUNCTION("""COMPUTED_VALUE"""),0.6666666666666666)</f>
        <v>0.6666666667</v>
      </c>
    </row>
    <row r="3279">
      <c r="K3279" s="4" t="str">
        <f>IFERROR(__xludf.DUMMYFUNCTION("""COMPUTED_VALUE"""),"CARUARU SALGADOS")</f>
        <v>CARUARU SALGADOS</v>
      </c>
      <c r="L3279" s="32">
        <f>IFERROR(__xludf.DUMMYFUNCTION("""COMPUTED_VALUE"""),3.0)</f>
        <v>3</v>
      </c>
      <c r="M3279" s="4" t="str">
        <f>IFERROR(__xludf.DUMMYFUNCTION("""COMPUTED_VALUE"""),"Cardápio Web")</f>
        <v>Cardápio Web</v>
      </c>
      <c r="N3279" s="33">
        <f>IFERROR(__xludf.DUMMYFUNCTION("""COMPUTED_VALUE"""),1.0)</f>
        <v>1</v>
      </c>
      <c r="O3279" s="4" t="str">
        <f>IFERROR(__xludf.DUMMYFUNCTION("""COMPUTED_VALUE"""),"Cardápio Web")</f>
        <v>Cardápio Web</v>
      </c>
      <c r="P3279" s="33">
        <f>IFERROR(__xludf.DUMMYFUNCTION("""COMPUTED_VALUE"""),1.0)</f>
        <v>1</v>
      </c>
      <c r="Q3279" s="4" t="str">
        <f>IFERROR(__xludf.DUMMYFUNCTION("""COMPUTED_VALUE"""),"Cardápio Web")</f>
        <v>Cardápio Web</v>
      </c>
      <c r="R3279" s="33">
        <f>IFERROR(__xludf.DUMMYFUNCTION("""COMPUTED_VALUE"""),1.0)</f>
        <v>1</v>
      </c>
      <c r="S3279" s="4" t="str">
        <f>IFERROR(__xludf.DUMMYFUNCTION("""COMPUTED_VALUE"""),"Cardápio Web")</f>
        <v>Cardápio Web</v>
      </c>
      <c r="T3279" s="33">
        <f>IFERROR(__xludf.DUMMYFUNCTION("""COMPUTED_VALUE"""),1.0)</f>
        <v>1</v>
      </c>
      <c r="U3279" s="4" t="str">
        <f>IFERROR(__xludf.DUMMYFUNCTION("""COMPUTED_VALUE"""),"Cardápio Web")</f>
        <v>Cardápio Web</v>
      </c>
      <c r="V3279" s="33">
        <f>IFERROR(__xludf.DUMMYFUNCTION("""COMPUTED_VALUE"""),1.0)</f>
        <v>1</v>
      </c>
      <c r="W3279" s="4" t="str">
        <f>IFERROR(__xludf.DUMMYFUNCTION("""COMPUTED_VALUE"""),"null")</f>
        <v>null</v>
      </c>
      <c r="X3279" s="33">
        <f>IFERROR(__xludf.DUMMYFUNCTION("""COMPUTED_VALUE"""),0.6666666666666666)</f>
        <v>0.6666666667</v>
      </c>
    </row>
    <row r="3280">
      <c r="K3280" s="4" t="str">
        <f>IFERROR(__xludf.DUMMYFUNCTION("""COMPUTED_VALUE"""),"CASA CHARLOTTE")</f>
        <v>CASA CHARLOTTE</v>
      </c>
      <c r="L3280" s="32">
        <f>IFERROR(__xludf.DUMMYFUNCTION("""COMPUTED_VALUE"""),3.0)</f>
        <v>3</v>
      </c>
      <c r="M3280" s="4" t="str">
        <f>IFERROR(__xludf.DUMMYFUNCTION("""COMPUTED_VALUE"""),"Stone Co.")</f>
        <v>Stone Co.</v>
      </c>
      <c r="N3280" s="33">
        <f>IFERROR(__xludf.DUMMYFUNCTION("""COMPUTED_VALUE"""),1.0)</f>
        <v>1</v>
      </c>
      <c r="O3280" s="4" t="str">
        <f>IFERROR(__xludf.DUMMYFUNCTION("""COMPUTED_VALUE"""),"Stone Co.")</f>
        <v>Stone Co.</v>
      </c>
      <c r="P3280" s="33">
        <f>IFERROR(__xludf.DUMMYFUNCTION("""COMPUTED_VALUE"""),1.0)</f>
        <v>1</v>
      </c>
      <c r="Q3280" s="4" t="str">
        <f>IFERROR(__xludf.DUMMYFUNCTION("""COMPUTED_VALUE"""),"Stone Co.")</f>
        <v>Stone Co.</v>
      </c>
      <c r="R3280" s="33">
        <f>IFERROR(__xludf.DUMMYFUNCTION("""COMPUTED_VALUE"""),1.0)</f>
        <v>1</v>
      </c>
      <c r="S3280" s="4" t="str">
        <f>IFERROR(__xludf.DUMMYFUNCTION("""COMPUTED_VALUE"""),"Stone Co.")</f>
        <v>Stone Co.</v>
      </c>
      <c r="T3280" s="33">
        <f>IFERROR(__xludf.DUMMYFUNCTION("""COMPUTED_VALUE"""),1.0)</f>
        <v>1</v>
      </c>
      <c r="U3280" s="4" t="str">
        <f>IFERROR(__xludf.DUMMYFUNCTION("""COMPUTED_VALUE"""),"Stone Co.")</f>
        <v>Stone Co.</v>
      </c>
      <c r="V3280" s="33">
        <f>IFERROR(__xludf.DUMMYFUNCTION("""COMPUTED_VALUE"""),1.0)</f>
        <v>1</v>
      </c>
      <c r="W3280" s="4" t="str">
        <f>IFERROR(__xludf.DUMMYFUNCTION("""COMPUTED_VALUE"""),"Stone Co.")</f>
        <v>Stone Co.</v>
      </c>
      <c r="X3280" s="33">
        <f>IFERROR(__xludf.DUMMYFUNCTION("""COMPUTED_VALUE"""),1.0)</f>
        <v>1</v>
      </c>
    </row>
    <row r="3281">
      <c r="K3281" s="4" t="str">
        <f>IFERROR(__xludf.DUMMYFUNCTION("""COMPUTED_VALUE"""),"CASA DA CHAWARMA CASCAVEL")</f>
        <v>CASA DA CHAWARMA CASCAVEL</v>
      </c>
      <c r="L3281" s="32">
        <f>IFERROR(__xludf.DUMMYFUNCTION("""COMPUTED_VALUE"""),3.0)</f>
        <v>3</v>
      </c>
      <c r="M3281" s="4" t="str">
        <f>IFERROR(__xludf.DUMMYFUNCTION("""COMPUTED_VALUE"""),"Campos Grutzmacher E Cia Ltda")</f>
        <v>Campos Grutzmacher E Cia Ltda</v>
      </c>
      <c r="N3281" s="33">
        <f>IFERROR(__xludf.DUMMYFUNCTION("""COMPUTED_VALUE"""),1.0)</f>
        <v>1</v>
      </c>
      <c r="O3281" s="4" t="str">
        <f>IFERROR(__xludf.DUMMYFUNCTION("""COMPUTED_VALUE"""),"Campos Grutzmacher E Cia Ltda")</f>
        <v>Campos Grutzmacher E Cia Ltda</v>
      </c>
      <c r="P3281" s="33">
        <f>IFERROR(__xludf.DUMMYFUNCTION("""COMPUTED_VALUE"""),1.0)</f>
        <v>1</v>
      </c>
      <c r="Q3281" s="4" t="str">
        <f>IFERROR(__xludf.DUMMYFUNCTION("""COMPUTED_VALUE"""),"Campos Grutzmacher E Cia Ltda")</f>
        <v>Campos Grutzmacher E Cia Ltda</v>
      </c>
      <c r="R3281" s="33">
        <f>IFERROR(__xludf.DUMMYFUNCTION("""COMPUTED_VALUE"""),1.0)</f>
        <v>1</v>
      </c>
      <c r="S3281" s="4" t="str">
        <f>IFERROR(__xludf.DUMMYFUNCTION("""COMPUTED_VALUE"""),"Campos Grutzmacher E Cia Ltda")</f>
        <v>Campos Grutzmacher E Cia Ltda</v>
      </c>
      <c r="T3281" s="33">
        <f>IFERROR(__xludf.DUMMYFUNCTION("""COMPUTED_VALUE"""),1.0)</f>
        <v>1</v>
      </c>
      <c r="U3281" s="4" t="str">
        <f>IFERROR(__xludf.DUMMYFUNCTION("""COMPUTED_VALUE"""),"Campos Grutzmacher E Cia Ltda")</f>
        <v>Campos Grutzmacher E Cia Ltda</v>
      </c>
      <c r="V3281" s="33">
        <f>IFERROR(__xludf.DUMMYFUNCTION("""COMPUTED_VALUE"""),1.0)</f>
        <v>1</v>
      </c>
      <c r="W3281" s="4" t="str">
        <f>IFERROR(__xludf.DUMMYFUNCTION("""COMPUTED_VALUE"""),"Campos Grutzmacher E Cia Ltda")</f>
        <v>Campos Grutzmacher E Cia Ltda</v>
      </c>
      <c r="X3281" s="33">
        <f>IFERROR(__xludf.DUMMYFUNCTION("""COMPUTED_VALUE"""),1.0)</f>
        <v>1</v>
      </c>
    </row>
    <row r="3282">
      <c r="K3282" s="4" t="str">
        <f>IFERROR(__xludf.DUMMYFUNCTION("""COMPUTED_VALUE"""),"CASA DO CRIADOR PET PET - CONTA PAI")</f>
        <v>CASA DO CRIADOR PET PET - CONTA PAI</v>
      </c>
      <c r="L3282" s="32">
        <f>IFERROR(__xludf.DUMMYFUNCTION("""COMPUTED_VALUE"""),3.0)</f>
        <v>3</v>
      </c>
      <c r="M3282" s="4" t="str">
        <f>IFERROR(__xludf.DUMMYFUNCTION("""COMPUTED_VALUE"""),"N/A (Not found)")</f>
        <v>N/A (Not found)</v>
      </c>
      <c r="N3282" s="33">
        <f>IFERROR(__xludf.DUMMYFUNCTION("""COMPUTED_VALUE"""),1.0)</f>
        <v>1</v>
      </c>
      <c r="O3282" s="4" t="str">
        <f>IFERROR(__xludf.DUMMYFUNCTION("""COMPUTED_VALUE"""),"N/A (Not found)")</f>
        <v>N/A (Not found)</v>
      </c>
      <c r="P3282" s="33">
        <f>IFERROR(__xludf.DUMMYFUNCTION("""COMPUTED_VALUE"""),1.0)</f>
        <v>1</v>
      </c>
      <c r="Q3282" s="4" t="str">
        <f>IFERROR(__xludf.DUMMYFUNCTION("""COMPUTED_VALUE"""),"N/A (Not found)")</f>
        <v>N/A (Not found)</v>
      </c>
      <c r="R3282" s="33">
        <f>IFERROR(__xludf.DUMMYFUNCTION("""COMPUTED_VALUE"""),1.0)</f>
        <v>1</v>
      </c>
      <c r="S3282" s="4" t="str">
        <f>IFERROR(__xludf.DUMMYFUNCTION("""COMPUTED_VALUE"""),"N/A (Not found)")</f>
        <v>N/A (Not found)</v>
      </c>
      <c r="T3282" s="33">
        <f>IFERROR(__xludf.DUMMYFUNCTION("""COMPUTED_VALUE"""),1.0)</f>
        <v>1</v>
      </c>
      <c r="U3282" s="4" t="str">
        <f>IFERROR(__xludf.DUMMYFUNCTION("""COMPUTED_VALUE"""),"N/A (Not found)")</f>
        <v>N/A (Not found)</v>
      </c>
      <c r="V3282" s="33">
        <f>IFERROR(__xludf.DUMMYFUNCTION("""COMPUTED_VALUE"""),1.0)</f>
        <v>1</v>
      </c>
      <c r="W3282" s="4" t="str">
        <f>IFERROR(__xludf.DUMMYFUNCTION("""COMPUTED_VALUE"""),"N/A (Not found)")</f>
        <v>N/A (Not found)</v>
      </c>
      <c r="X3282" s="33">
        <f>IFERROR(__xludf.DUMMYFUNCTION("""COMPUTED_VALUE"""),1.0)</f>
        <v>1</v>
      </c>
    </row>
    <row r="3283">
      <c r="K3283" s="4" t="str">
        <f>IFERROR(__xludf.DUMMYFUNCTION("""COMPUTED_VALUE"""),"CASA DO LANCHE PELOTAS")</f>
        <v>CASA DO LANCHE PELOTAS</v>
      </c>
      <c r="L3283" s="32">
        <f>IFERROR(__xludf.DUMMYFUNCTION("""COMPUTED_VALUE"""),3.0)</f>
        <v>3</v>
      </c>
      <c r="M3283" s="4" t="str">
        <f>IFERROR(__xludf.DUMMYFUNCTION("""COMPUTED_VALUE"""),"Saipos Serviços De Software")</f>
        <v>Saipos Serviços De Software</v>
      </c>
      <c r="N3283" s="33">
        <f>IFERROR(__xludf.DUMMYFUNCTION("""COMPUTED_VALUE"""),1.0)</f>
        <v>1</v>
      </c>
      <c r="O3283" s="4" t="str">
        <f>IFERROR(__xludf.DUMMYFUNCTION("""COMPUTED_VALUE"""),"Saipos Serviços De Software")</f>
        <v>Saipos Serviços De Software</v>
      </c>
      <c r="P3283" s="33">
        <f>IFERROR(__xludf.DUMMYFUNCTION("""COMPUTED_VALUE"""),1.0)</f>
        <v>1</v>
      </c>
      <c r="Q3283" s="4" t="str">
        <f>IFERROR(__xludf.DUMMYFUNCTION("""COMPUTED_VALUE"""),"Saipos Serviços De Software")</f>
        <v>Saipos Serviços De Software</v>
      </c>
      <c r="R3283" s="33">
        <f>IFERROR(__xludf.DUMMYFUNCTION("""COMPUTED_VALUE"""),1.0)</f>
        <v>1</v>
      </c>
      <c r="S3283" s="4" t="str">
        <f>IFERROR(__xludf.DUMMYFUNCTION("""COMPUTED_VALUE"""),"Saipos Serviços De Software")</f>
        <v>Saipos Serviços De Software</v>
      </c>
      <c r="T3283" s="33">
        <f>IFERROR(__xludf.DUMMYFUNCTION("""COMPUTED_VALUE"""),1.0)</f>
        <v>1</v>
      </c>
      <c r="U3283" s="4" t="str">
        <f>IFERROR(__xludf.DUMMYFUNCTION("""COMPUTED_VALUE"""),"Saipos Serviços De Software")</f>
        <v>Saipos Serviços De Software</v>
      </c>
      <c r="V3283" s="33">
        <f>IFERROR(__xludf.DUMMYFUNCTION("""COMPUTED_VALUE"""),1.0)</f>
        <v>1</v>
      </c>
      <c r="W3283" s="4" t="str">
        <f>IFERROR(__xludf.DUMMYFUNCTION("""COMPUTED_VALUE"""),"Saipos Serviços De Software")</f>
        <v>Saipos Serviços De Software</v>
      </c>
      <c r="X3283" s="33">
        <f>IFERROR(__xludf.DUMMYFUNCTION("""COMPUTED_VALUE"""),1.0)</f>
        <v>1</v>
      </c>
    </row>
    <row r="3284">
      <c r="K3284" s="4" t="str">
        <f>IFERROR(__xludf.DUMMYFUNCTION("""COMPUTED_VALUE"""),"CASA MASSA")</f>
        <v>CASA MASSA</v>
      </c>
      <c r="L3284" s="32">
        <f>IFERROR(__xludf.DUMMYFUNCTION("""COMPUTED_VALUE"""),3.0)</f>
        <v>3</v>
      </c>
      <c r="M3284" s="4" t="str">
        <f>IFERROR(__xludf.DUMMYFUNCTION("""COMPUTED_VALUE"""),"Cardápio Web")</f>
        <v>Cardápio Web</v>
      </c>
      <c r="N3284" s="33">
        <f>IFERROR(__xludf.DUMMYFUNCTION("""COMPUTED_VALUE"""),1.0)</f>
        <v>1</v>
      </c>
      <c r="O3284" s="4" t="str">
        <f>IFERROR(__xludf.DUMMYFUNCTION("""COMPUTED_VALUE"""),"Cardápio Web")</f>
        <v>Cardápio Web</v>
      </c>
      <c r="P3284" s="33">
        <f>IFERROR(__xludf.DUMMYFUNCTION("""COMPUTED_VALUE"""),0.6666666666666666)</f>
        <v>0.6666666667</v>
      </c>
      <c r="Q3284" s="4" t="str">
        <f>IFERROR(__xludf.DUMMYFUNCTION("""COMPUTED_VALUE"""),"null")</f>
        <v>null</v>
      </c>
      <c r="R3284" s="33">
        <f>IFERROR(__xludf.DUMMYFUNCTION("""COMPUTED_VALUE"""),1.0)</f>
        <v>1</v>
      </c>
      <c r="S3284" s="4" t="str">
        <f>IFERROR(__xludf.DUMMYFUNCTION("""COMPUTED_VALUE"""),"null")</f>
        <v>null</v>
      </c>
      <c r="T3284" s="33">
        <f>IFERROR(__xludf.DUMMYFUNCTION("""COMPUTED_VALUE"""),1.0)</f>
        <v>1</v>
      </c>
      <c r="U3284" s="4" t="str">
        <f>IFERROR(__xludf.DUMMYFUNCTION("""COMPUTED_VALUE"""),"null")</f>
        <v>null</v>
      </c>
      <c r="V3284" s="33">
        <f>IFERROR(__xludf.DUMMYFUNCTION("""COMPUTED_VALUE"""),1.0)</f>
        <v>1</v>
      </c>
      <c r="W3284" s="4" t="str">
        <f>IFERROR(__xludf.DUMMYFUNCTION("""COMPUTED_VALUE"""),"null")</f>
        <v>null</v>
      </c>
      <c r="X3284" s="33">
        <f>IFERROR(__xludf.DUMMYFUNCTION("""COMPUTED_VALUE"""),1.0)</f>
        <v>1</v>
      </c>
    </row>
    <row r="3285">
      <c r="K3285" s="4" t="str">
        <f>IFERROR(__xludf.DUMMYFUNCTION("""COMPUTED_VALUE"""),"CASCATA PIZZAS FRANCA")</f>
        <v>CASCATA PIZZAS FRANCA</v>
      </c>
      <c r="L3285" s="32">
        <f>IFERROR(__xludf.DUMMYFUNCTION("""COMPUTED_VALUE"""),3.0)</f>
        <v>3</v>
      </c>
      <c r="M3285" s="4" t="str">
        <f>IFERROR(__xludf.DUMMYFUNCTION("""COMPUTED_VALUE"""),"Delivoro")</f>
        <v>Delivoro</v>
      </c>
      <c r="N3285" s="33">
        <f>IFERROR(__xludf.DUMMYFUNCTION("""COMPUTED_VALUE"""),1.0)</f>
        <v>1</v>
      </c>
      <c r="O3285" s="4" t="str">
        <f>IFERROR(__xludf.DUMMYFUNCTION("""COMPUTED_VALUE"""),"Delivoro")</f>
        <v>Delivoro</v>
      </c>
      <c r="P3285" s="33">
        <f>IFERROR(__xludf.DUMMYFUNCTION("""COMPUTED_VALUE"""),1.0)</f>
        <v>1</v>
      </c>
      <c r="Q3285" s="4" t="str">
        <f>IFERROR(__xludf.DUMMYFUNCTION("""COMPUTED_VALUE"""),"Delivoro")</f>
        <v>Delivoro</v>
      </c>
      <c r="R3285" s="33">
        <f>IFERROR(__xludf.DUMMYFUNCTION("""COMPUTED_VALUE"""),0.6666666666666666)</f>
        <v>0.6666666667</v>
      </c>
      <c r="S3285" s="4" t="str">
        <f>IFERROR(__xludf.DUMMYFUNCTION("""COMPUTED_VALUE"""),"Delivoro")</f>
        <v>Delivoro</v>
      </c>
      <c r="T3285" s="33">
        <f>IFERROR(__xludf.DUMMYFUNCTION("""COMPUTED_VALUE"""),1.0)</f>
        <v>1</v>
      </c>
      <c r="U3285" s="4" t="str">
        <f>IFERROR(__xludf.DUMMYFUNCTION("""COMPUTED_VALUE"""),"Delivoro")</f>
        <v>Delivoro</v>
      </c>
      <c r="V3285" s="33">
        <f>IFERROR(__xludf.DUMMYFUNCTION("""COMPUTED_VALUE"""),0.6666666666666666)</f>
        <v>0.6666666667</v>
      </c>
      <c r="W3285" s="4" t="str">
        <f>IFERROR(__xludf.DUMMYFUNCTION("""COMPUTED_VALUE"""),"Delivoro")</f>
        <v>Delivoro</v>
      </c>
      <c r="X3285" s="33">
        <f>IFERROR(__xludf.DUMMYFUNCTION("""COMPUTED_VALUE"""),0.6666666666666666)</f>
        <v>0.6666666667</v>
      </c>
    </row>
    <row r="3286">
      <c r="K3286" s="4" t="str">
        <f>IFERROR(__xludf.DUMMYFUNCTION("""COMPUTED_VALUE"""),"CATWO - MARCA")</f>
        <v>CATWO - MARCA</v>
      </c>
      <c r="L3286" s="32">
        <f>IFERROR(__xludf.DUMMYFUNCTION("""COMPUTED_VALUE"""),3.0)</f>
        <v>3</v>
      </c>
      <c r="M3286" s="4" t="str">
        <f>IFERROR(__xludf.DUMMYFUNCTION("""COMPUTED_VALUE"""),"Saipos Serviços De Software")</f>
        <v>Saipos Serviços De Software</v>
      </c>
      <c r="N3286" s="33">
        <f>IFERROR(__xludf.DUMMYFUNCTION("""COMPUTED_VALUE"""),1.0)</f>
        <v>1</v>
      </c>
      <c r="O3286" s="4" t="str">
        <f>IFERROR(__xludf.DUMMYFUNCTION("""COMPUTED_VALUE"""),"Saipos Serviços De Software")</f>
        <v>Saipos Serviços De Software</v>
      </c>
      <c r="P3286" s="33">
        <f>IFERROR(__xludf.DUMMYFUNCTION("""COMPUTED_VALUE"""),1.0)</f>
        <v>1</v>
      </c>
      <c r="Q3286" s="4" t="str">
        <f>IFERROR(__xludf.DUMMYFUNCTION("""COMPUTED_VALUE"""),"Saipos Serviços De Software")</f>
        <v>Saipos Serviços De Software</v>
      </c>
      <c r="R3286" s="33">
        <f>IFERROR(__xludf.DUMMYFUNCTION("""COMPUTED_VALUE"""),1.0)</f>
        <v>1</v>
      </c>
      <c r="S3286" s="4" t="str">
        <f>IFERROR(__xludf.DUMMYFUNCTION("""COMPUTED_VALUE"""),"Saipos Serviços De Software")</f>
        <v>Saipos Serviços De Software</v>
      </c>
      <c r="T3286" s="33">
        <f>IFERROR(__xludf.DUMMYFUNCTION("""COMPUTED_VALUE"""),1.0)</f>
        <v>1</v>
      </c>
      <c r="U3286" s="4" t="str">
        <f>IFERROR(__xludf.DUMMYFUNCTION("""COMPUTED_VALUE"""),"Saipos Serviços De Software")</f>
        <v>Saipos Serviços De Software</v>
      </c>
      <c r="V3286" s="33">
        <f>IFERROR(__xludf.DUMMYFUNCTION("""COMPUTED_VALUE"""),1.0)</f>
        <v>1</v>
      </c>
      <c r="W3286" s="4" t="str">
        <f>IFERROR(__xludf.DUMMYFUNCTION("""COMPUTED_VALUE"""),"Saipos Serviços De Software")</f>
        <v>Saipos Serviços De Software</v>
      </c>
      <c r="X3286" s="33">
        <f>IFERROR(__xludf.DUMMYFUNCTION("""COMPUTED_VALUE"""),1.0)</f>
        <v>1</v>
      </c>
    </row>
    <row r="3287">
      <c r="K3287" s="4" t="str">
        <f>IFERROR(__xludf.DUMMYFUNCTION("""COMPUTED_VALUE"""),"THE ORIGINAL")</f>
        <v>THE ORIGINAL</v>
      </c>
      <c r="L3287" s="32">
        <f>IFERROR(__xludf.DUMMYFUNCTION("""COMPUTED_VALUE"""),3.0)</f>
        <v>3</v>
      </c>
      <c r="M3287" s="4" t="str">
        <f>IFERROR(__xludf.DUMMYFUNCTION("""COMPUTED_VALUE"""),"Consumer Soluções Em Tecnologia Ltda")</f>
        <v>Consumer Soluções Em Tecnologia Ltda</v>
      </c>
      <c r="N3287" s="33">
        <f>IFERROR(__xludf.DUMMYFUNCTION("""COMPUTED_VALUE"""),0.6666666666666666)</f>
        <v>0.6666666667</v>
      </c>
      <c r="O3287" s="4" t="str">
        <f>IFERROR(__xludf.DUMMYFUNCTION("""COMPUTED_VALUE"""),"Consumer Soluções Em Tecnologia Ltda")</f>
        <v>Consumer Soluções Em Tecnologia Ltda</v>
      </c>
      <c r="P3287" s="33">
        <f>IFERROR(__xludf.DUMMYFUNCTION("""COMPUTED_VALUE"""),0.6666666666666666)</f>
        <v>0.6666666667</v>
      </c>
      <c r="Q3287" s="4" t="str">
        <f>IFERROR(__xludf.DUMMYFUNCTION("""COMPUTED_VALUE"""),"Consumer Soluções Em Tecnologia Ltda")</f>
        <v>Consumer Soluções Em Tecnologia Ltda</v>
      </c>
      <c r="R3287" s="33">
        <f>IFERROR(__xludf.DUMMYFUNCTION("""COMPUTED_VALUE"""),0.6666666666666666)</f>
        <v>0.6666666667</v>
      </c>
      <c r="S3287" s="4" t="str">
        <f>IFERROR(__xludf.DUMMYFUNCTION("""COMPUTED_VALUE"""),"Saipos Serviços De Software")</f>
        <v>Saipos Serviços De Software</v>
      </c>
      <c r="T3287" s="33">
        <f>IFERROR(__xludf.DUMMYFUNCTION("""COMPUTED_VALUE"""),0.3333333333333333)</f>
        <v>0.3333333333</v>
      </c>
      <c r="U3287" s="4" t="str">
        <f>IFERROR(__xludf.DUMMYFUNCTION("""COMPUTED_VALUE"""),"Saipos Serviços De Software")</f>
        <v>Saipos Serviços De Software</v>
      </c>
      <c r="V3287" s="33">
        <f>IFERROR(__xludf.DUMMYFUNCTION("""COMPUTED_VALUE"""),0.6666666666666666)</f>
        <v>0.6666666667</v>
      </c>
      <c r="W3287" s="4" t="str">
        <f>IFERROR(__xludf.DUMMYFUNCTION("""COMPUTED_VALUE"""),"Saipos Serviços De Software")</f>
        <v>Saipos Serviços De Software</v>
      </c>
      <c r="X3287" s="33">
        <f>IFERROR(__xludf.DUMMYFUNCTION("""COMPUTED_VALUE"""),0.6666666666666666)</f>
        <v>0.6666666667</v>
      </c>
    </row>
    <row r="3288">
      <c r="K3288" s="4" t="str">
        <f>IFERROR(__xludf.DUMMYFUNCTION("""COMPUTED_VALUE"""),"CG BRAVO - CONTA MARCA")</f>
        <v>CG BRAVO - CONTA MARCA</v>
      </c>
      <c r="L3288" s="32">
        <f>IFERROR(__xludf.DUMMYFUNCTION("""COMPUTED_VALUE"""),3.0)</f>
        <v>3</v>
      </c>
      <c r="M3288" s="4" t="str">
        <f>IFERROR(__xludf.DUMMYFUNCTION("""COMPUTED_VALUE"""),"null")</f>
        <v>null</v>
      </c>
      <c r="N3288" s="33">
        <f>IFERROR(__xludf.DUMMYFUNCTION("""COMPUTED_VALUE"""),1.0)</f>
        <v>1</v>
      </c>
      <c r="O3288" s="4" t="str">
        <f>IFERROR(__xludf.DUMMYFUNCTION("""COMPUTED_VALUE"""),"null")</f>
        <v>null</v>
      </c>
      <c r="P3288" s="33">
        <f>IFERROR(__xludf.DUMMYFUNCTION("""COMPUTED_VALUE"""),1.0)</f>
        <v>1</v>
      </c>
      <c r="Q3288" s="4" t="str">
        <f>IFERROR(__xludf.DUMMYFUNCTION("""COMPUTED_VALUE"""),"null")</f>
        <v>null</v>
      </c>
      <c r="R3288" s="33">
        <f>IFERROR(__xludf.DUMMYFUNCTION("""COMPUTED_VALUE"""),1.0)</f>
        <v>1</v>
      </c>
      <c r="S3288" s="4" t="str">
        <f>IFERROR(__xludf.DUMMYFUNCTION("""COMPUTED_VALUE"""),"null")</f>
        <v>null</v>
      </c>
      <c r="T3288" s="33">
        <f>IFERROR(__xludf.DUMMYFUNCTION("""COMPUTED_VALUE"""),1.0)</f>
        <v>1</v>
      </c>
      <c r="U3288" s="4" t="str">
        <f>IFERROR(__xludf.DUMMYFUNCTION("""COMPUTED_VALUE"""),"null")</f>
        <v>null</v>
      </c>
      <c r="V3288" s="33">
        <f>IFERROR(__xludf.DUMMYFUNCTION("""COMPUTED_VALUE"""),1.0)</f>
        <v>1</v>
      </c>
      <c r="W3288" s="4" t="str">
        <f>IFERROR(__xludf.DUMMYFUNCTION("""COMPUTED_VALUE"""),"N/A (Not found)")</f>
        <v>N/A (Not found)</v>
      </c>
      <c r="X3288" s="33">
        <f>IFERROR(__xludf.DUMMYFUNCTION("""COMPUTED_VALUE"""),1.0)</f>
        <v>1</v>
      </c>
    </row>
    <row r="3289">
      <c r="K3289" s="4" t="str">
        <f>IFERROR(__xludf.DUMMYFUNCTION("""COMPUTED_VALUE"""),"CHALEZINHO")</f>
        <v>CHALEZINHO</v>
      </c>
      <c r="L3289" s="32">
        <f>IFERROR(__xludf.DUMMYFUNCTION("""COMPUTED_VALUE"""),3.0)</f>
        <v>3</v>
      </c>
      <c r="M3289" s="4" t="str">
        <f>IFERROR(__xludf.DUMMYFUNCTION("""COMPUTED_VALUE"""),"Ncr")</f>
        <v>Ncr</v>
      </c>
      <c r="N3289" s="33">
        <f>IFERROR(__xludf.DUMMYFUNCTION("""COMPUTED_VALUE"""),1.0)</f>
        <v>1</v>
      </c>
      <c r="O3289" s="4" t="str">
        <f>IFERROR(__xludf.DUMMYFUNCTION("""COMPUTED_VALUE"""),"null")</f>
        <v>null</v>
      </c>
      <c r="P3289" s="33">
        <f>IFERROR(__xludf.DUMMYFUNCTION("""COMPUTED_VALUE"""),0.6666666666666666)</f>
        <v>0.6666666667</v>
      </c>
      <c r="Q3289" s="4" t="str">
        <f>IFERROR(__xludf.DUMMYFUNCTION("""COMPUTED_VALUE"""),"Ncr")</f>
        <v>Ncr</v>
      </c>
      <c r="R3289" s="33">
        <f>IFERROR(__xludf.DUMMYFUNCTION("""COMPUTED_VALUE"""),1.0)</f>
        <v>1</v>
      </c>
      <c r="S3289" s="4" t="str">
        <f>IFERROR(__xludf.DUMMYFUNCTION("""COMPUTED_VALUE"""),"Ncr")</f>
        <v>Ncr</v>
      </c>
      <c r="T3289" s="33">
        <f>IFERROR(__xludf.DUMMYFUNCTION("""COMPUTED_VALUE"""),0.6666666666666666)</f>
        <v>0.6666666667</v>
      </c>
      <c r="U3289" s="4" t="str">
        <f>IFERROR(__xludf.DUMMYFUNCTION("""COMPUTED_VALUE"""),"Ncr")</f>
        <v>Ncr</v>
      </c>
      <c r="V3289" s="33">
        <f>IFERROR(__xludf.DUMMYFUNCTION("""COMPUTED_VALUE"""),0.6666666666666666)</f>
        <v>0.6666666667</v>
      </c>
      <c r="W3289" s="4" t="str">
        <f>IFERROR(__xludf.DUMMYFUNCTION("""COMPUTED_VALUE"""),"Ncr")</f>
        <v>Ncr</v>
      </c>
      <c r="X3289" s="33">
        <f>IFERROR(__xludf.DUMMYFUNCTION("""COMPUTED_VALUE"""),0.6666666666666666)</f>
        <v>0.6666666667</v>
      </c>
    </row>
    <row r="3290">
      <c r="K3290" s="4" t="str">
        <f>IFERROR(__xludf.DUMMYFUNCTION("""COMPUTED_VALUE"""),"GRUPO CHAMA SUSHI")</f>
        <v>GRUPO CHAMA SUSHI</v>
      </c>
      <c r="L3290" s="32">
        <f>IFERROR(__xludf.DUMMYFUNCTION("""COMPUTED_VALUE"""),3.0)</f>
        <v>3</v>
      </c>
      <c r="M3290" s="4" t="str">
        <f>IFERROR(__xludf.DUMMYFUNCTION("""COMPUTED_VALUE"""),"Hubzy")</f>
        <v>Hubzy</v>
      </c>
      <c r="N3290" s="33">
        <f>IFERROR(__xludf.DUMMYFUNCTION("""COMPUTED_VALUE"""),1.0)</f>
        <v>1</v>
      </c>
      <c r="O3290" s="4" t="str">
        <f>IFERROR(__xludf.DUMMYFUNCTION("""COMPUTED_VALUE"""),"Hubzy")</f>
        <v>Hubzy</v>
      </c>
      <c r="P3290" s="33">
        <f>IFERROR(__xludf.DUMMYFUNCTION("""COMPUTED_VALUE"""),0.6666666666666666)</f>
        <v>0.6666666667</v>
      </c>
      <c r="Q3290" s="4" t="str">
        <f>IFERROR(__xludf.DUMMYFUNCTION("""COMPUTED_VALUE"""),"Hubzy")</f>
        <v>Hubzy</v>
      </c>
      <c r="R3290" s="33">
        <f>IFERROR(__xludf.DUMMYFUNCTION("""COMPUTED_VALUE"""),0.6666666666666666)</f>
        <v>0.6666666667</v>
      </c>
      <c r="S3290" s="4" t="str">
        <f>IFERROR(__xludf.DUMMYFUNCTION("""COMPUTED_VALUE"""),"Hubzy")</f>
        <v>Hubzy</v>
      </c>
      <c r="T3290" s="33">
        <f>IFERROR(__xludf.DUMMYFUNCTION("""COMPUTED_VALUE"""),0.6666666666666666)</f>
        <v>0.6666666667</v>
      </c>
      <c r="U3290" s="4" t="str">
        <f>IFERROR(__xludf.DUMMYFUNCTION("""COMPUTED_VALUE"""),"Hubzy")</f>
        <v>Hubzy</v>
      </c>
      <c r="V3290" s="33">
        <f>IFERROR(__xludf.DUMMYFUNCTION("""COMPUTED_VALUE"""),1.0)</f>
        <v>1</v>
      </c>
      <c r="W3290" s="4" t="str">
        <f>IFERROR(__xludf.DUMMYFUNCTION("""COMPUTED_VALUE"""),"Hubzy")</f>
        <v>Hubzy</v>
      </c>
      <c r="X3290" s="33">
        <f>IFERROR(__xludf.DUMMYFUNCTION("""COMPUTED_VALUE"""),1.0)</f>
        <v>1</v>
      </c>
    </row>
    <row r="3291">
      <c r="K3291" s="4" t="str">
        <f>IFERROR(__xludf.DUMMYFUNCTION("""COMPUTED_VALUE"""),"CHAMPS BURGUER")</f>
        <v>CHAMPS BURGUER</v>
      </c>
      <c r="L3291" s="32">
        <f>IFERROR(__xludf.DUMMYFUNCTION("""COMPUTED_VALUE"""),3.0)</f>
        <v>3</v>
      </c>
      <c r="M3291" s="4" t="str">
        <f>IFERROR(__xludf.DUMMYFUNCTION("""COMPUTED_VALUE"""),"Clickatende Tecnologia Ltda")</f>
        <v>Clickatende Tecnologia Ltda</v>
      </c>
      <c r="N3291" s="33">
        <f>IFERROR(__xludf.DUMMYFUNCTION("""COMPUTED_VALUE"""),1.0)</f>
        <v>1</v>
      </c>
      <c r="O3291" s="4" t="str">
        <f>IFERROR(__xludf.DUMMYFUNCTION("""COMPUTED_VALUE"""),"Clickatende Tecnologia Ltda")</f>
        <v>Clickatende Tecnologia Ltda</v>
      </c>
      <c r="P3291" s="33">
        <f>IFERROR(__xludf.DUMMYFUNCTION("""COMPUTED_VALUE"""),1.0)</f>
        <v>1</v>
      </c>
      <c r="Q3291" s="4" t="str">
        <f>IFERROR(__xludf.DUMMYFUNCTION("""COMPUTED_VALUE"""),"Clickatende Tecnologia Ltda")</f>
        <v>Clickatende Tecnologia Ltda</v>
      </c>
      <c r="R3291" s="33">
        <f>IFERROR(__xludf.DUMMYFUNCTION("""COMPUTED_VALUE"""),1.0)</f>
        <v>1</v>
      </c>
      <c r="S3291" s="4" t="str">
        <f>IFERROR(__xludf.DUMMYFUNCTION("""COMPUTED_VALUE"""),"Clickatende Tecnologia Ltda")</f>
        <v>Clickatende Tecnologia Ltda</v>
      </c>
      <c r="T3291" s="33">
        <f>IFERROR(__xludf.DUMMYFUNCTION("""COMPUTED_VALUE"""),1.0)</f>
        <v>1</v>
      </c>
      <c r="U3291" s="4" t="str">
        <f>IFERROR(__xludf.DUMMYFUNCTION("""COMPUTED_VALUE"""),"Clickatende Tecnologia Ltda")</f>
        <v>Clickatende Tecnologia Ltda</v>
      </c>
      <c r="V3291" s="33">
        <f>IFERROR(__xludf.DUMMYFUNCTION("""COMPUTED_VALUE"""),1.0)</f>
        <v>1</v>
      </c>
      <c r="W3291" s="4" t="str">
        <f>IFERROR(__xludf.DUMMYFUNCTION("""COMPUTED_VALUE"""),"Clickatende Tecnologia Ltda")</f>
        <v>Clickatende Tecnologia Ltda</v>
      </c>
      <c r="X3291" s="33">
        <f>IFERROR(__xludf.DUMMYFUNCTION("""COMPUTED_VALUE"""),1.0)</f>
        <v>1</v>
      </c>
    </row>
    <row r="3292">
      <c r="K3292" s="4" t="str">
        <f>IFERROR(__xludf.DUMMYFUNCTION("""COMPUTED_VALUE"""),"CHEESEHOUSE - CONTA GRUPO")</f>
        <v>CHEESEHOUSE - CONTA GRUPO</v>
      </c>
      <c r="L3292" s="32">
        <f>IFERROR(__xludf.DUMMYFUNCTION("""COMPUTED_VALUE"""),3.0)</f>
        <v>3</v>
      </c>
      <c r="M3292" s="4" t="str">
        <f>IFERROR(__xludf.DUMMYFUNCTION("""COMPUTED_VALUE"""),"Vuca Solution")</f>
        <v>Vuca Solution</v>
      </c>
      <c r="N3292" s="33">
        <f>IFERROR(__xludf.DUMMYFUNCTION("""COMPUTED_VALUE"""),1.0)</f>
        <v>1</v>
      </c>
      <c r="O3292" s="4" t="str">
        <f>IFERROR(__xludf.DUMMYFUNCTION("""COMPUTED_VALUE"""),"Vuca Solution")</f>
        <v>Vuca Solution</v>
      </c>
      <c r="P3292" s="33">
        <f>IFERROR(__xludf.DUMMYFUNCTION("""COMPUTED_VALUE"""),1.0)</f>
        <v>1</v>
      </c>
      <c r="Q3292" s="4" t="str">
        <f>IFERROR(__xludf.DUMMYFUNCTION("""COMPUTED_VALUE"""),"Vuca Solution")</f>
        <v>Vuca Solution</v>
      </c>
      <c r="R3292" s="33">
        <f>IFERROR(__xludf.DUMMYFUNCTION("""COMPUTED_VALUE"""),1.0)</f>
        <v>1</v>
      </c>
      <c r="S3292" s="4" t="str">
        <f>IFERROR(__xludf.DUMMYFUNCTION("""COMPUTED_VALUE"""),"Vuca Solution")</f>
        <v>Vuca Solution</v>
      </c>
      <c r="T3292" s="33">
        <f>IFERROR(__xludf.DUMMYFUNCTION("""COMPUTED_VALUE"""),1.0)</f>
        <v>1</v>
      </c>
      <c r="U3292" s="4" t="str">
        <f>IFERROR(__xludf.DUMMYFUNCTION("""COMPUTED_VALUE"""),"Vuca Solution")</f>
        <v>Vuca Solution</v>
      </c>
      <c r="V3292" s="33">
        <f>IFERROR(__xludf.DUMMYFUNCTION("""COMPUTED_VALUE"""),0.6666666666666666)</f>
        <v>0.6666666667</v>
      </c>
      <c r="W3292" s="4" t="str">
        <f>IFERROR(__xludf.DUMMYFUNCTION("""COMPUTED_VALUE"""),"Vuca Solution")</f>
        <v>Vuca Solution</v>
      </c>
      <c r="X3292" s="33">
        <f>IFERROR(__xludf.DUMMYFUNCTION("""COMPUTED_VALUE"""),1.0)</f>
        <v>1</v>
      </c>
    </row>
    <row r="3293">
      <c r="K3293" s="4" t="str">
        <f>IFERROR(__xludf.DUMMYFUNCTION("""COMPUTED_VALUE"""),"CHEIRO DBOLO CONFEITARIA MS")</f>
        <v>CHEIRO DBOLO CONFEITARIA MS</v>
      </c>
      <c r="L3293" s="32">
        <f>IFERROR(__xludf.DUMMYFUNCTION("""COMPUTED_VALUE"""),3.0)</f>
        <v>3</v>
      </c>
      <c r="M3293" s="4" t="str">
        <f>IFERROR(__xludf.DUMMYFUNCTION("""COMPUTED_VALUE"""),"Connectplug")</f>
        <v>Connectplug</v>
      </c>
      <c r="N3293" s="33">
        <f>IFERROR(__xludf.DUMMYFUNCTION("""COMPUTED_VALUE"""),1.0)</f>
        <v>1</v>
      </c>
      <c r="O3293" s="4" t="str">
        <f>IFERROR(__xludf.DUMMYFUNCTION("""COMPUTED_VALUE"""),"Connectplug")</f>
        <v>Connectplug</v>
      </c>
      <c r="P3293" s="33">
        <f>IFERROR(__xludf.DUMMYFUNCTION("""COMPUTED_VALUE"""),0.6666666666666666)</f>
        <v>0.6666666667</v>
      </c>
      <c r="Q3293" s="4" t="str">
        <f>IFERROR(__xludf.DUMMYFUNCTION("""COMPUTED_VALUE"""),"Connectplug")</f>
        <v>Connectplug</v>
      </c>
      <c r="R3293" s="33">
        <f>IFERROR(__xludf.DUMMYFUNCTION("""COMPUTED_VALUE"""),1.0)</f>
        <v>1</v>
      </c>
      <c r="S3293" s="4" t="str">
        <f>IFERROR(__xludf.DUMMYFUNCTION("""COMPUTED_VALUE"""),"Connectplug")</f>
        <v>Connectplug</v>
      </c>
      <c r="T3293" s="33">
        <f>IFERROR(__xludf.DUMMYFUNCTION("""COMPUTED_VALUE"""),1.0)</f>
        <v>1</v>
      </c>
      <c r="U3293" s="4" t="str">
        <f>IFERROR(__xludf.DUMMYFUNCTION("""COMPUTED_VALUE"""),"Connectplug")</f>
        <v>Connectplug</v>
      </c>
      <c r="V3293" s="33">
        <f>IFERROR(__xludf.DUMMYFUNCTION("""COMPUTED_VALUE"""),1.0)</f>
        <v>1</v>
      </c>
      <c r="W3293" s="4" t="str">
        <f>IFERROR(__xludf.DUMMYFUNCTION("""COMPUTED_VALUE"""),"Connectplug")</f>
        <v>Connectplug</v>
      </c>
      <c r="X3293" s="33">
        <f>IFERROR(__xludf.DUMMYFUNCTION("""COMPUTED_VALUE"""),1.0)</f>
        <v>1</v>
      </c>
    </row>
    <row r="3294">
      <c r="K3294" s="4" t="str">
        <f>IFERROR(__xludf.DUMMYFUNCTION("""COMPUTED_VALUE"""),"CHOCOMIA SWEET ATELIER - MARCA OFICIAL")</f>
        <v>CHOCOMIA SWEET ATELIER - MARCA OFICIAL</v>
      </c>
      <c r="L3294" s="32">
        <f>IFERROR(__xludf.DUMMYFUNCTION("""COMPUTED_VALUE"""),3.0)</f>
        <v>3</v>
      </c>
      <c r="M3294" s="4" t="str">
        <f>IFERROR(__xludf.DUMMYFUNCTION("""COMPUTED_VALUE"""),"null")</f>
        <v>null</v>
      </c>
      <c r="N3294" s="33">
        <f>IFERROR(__xludf.DUMMYFUNCTION("""COMPUTED_VALUE"""),0.6666666666666666)</f>
        <v>0.6666666667</v>
      </c>
      <c r="O3294" s="4" t="str">
        <f>IFERROR(__xludf.DUMMYFUNCTION("""COMPUTED_VALUE"""),"null")</f>
        <v>null</v>
      </c>
      <c r="P3294" s="33">
        <f>IFERROR(__xludf.DUMMYFUNCTION("""COMPUTED_VALUE"""),0.6666666666666666)</f>
        <v>0.6666666667</v>
      </c>
      <c r="Q3294" s="4" t="str">
        <f>IFERROR(__xludf.DUMMYFUNCTION("""COMPUTED_VALUE"""),"Cardápio Web")</f>
        <v>Cardápio Web</v>
      </c>
      <c r="R3294" s="33">
        <f>IFERROR(__xludf.DUMMYFUNCTION("""COMPUTED_VALUE"""),1.0)</f>
        <v>1</v>
      </c>
      <c r="S3294" s="4" t="str">
        <f>IFERROR(__xludf.DUMMYFUNCTION("""COMPUTED_VALUE"""),"Cardápio Web")</f>
        <v>Cardápio Web</v>
      </c>
      <c r="T3294" s="33">
        <f>IFERROR(__xludf.DUMMYFUNCTION("""COMPUTED_VALUE"""),1.0)</f>
        <v>1</v>
      </c>
      <c r="U3294" s="4" t="str">
        <f>IFERROR(__xludf.DUMMYFUNCTION("""COMPUTED_VALUE"""),"Cardápio Web")</f>
        <v>Cardápio Web</v>
      </c>
      <c r="V3294" s="33">
        <f>IFERROR(__xludf.DUMMYFUNCTION("""COMPUTED_VALUE"""),1.0)</f>
        <v>1</v>
      </c>
      <c r="W3294" s="4" t="str">
        <f>IFERROR(__xludf.DUMMYFUNCTION("""COMPUTED_VALUE"""),"Cardápio Web")</f>
        <v>Cardápio Web</v>
      </c>
      <c r="X3294" s="33">
        <f>IFERROR(__xludf.DUMMYFUNCTION("""COMPUTED_VALUE"""),0.6666666666666666)</f>
        <v>0.6666666667</v>
      </c>
    </row>
    <row r="3295">
      <c r="K3295" s="4" t="str">
        <f>IFERROR(__xludf.DUMMYFUNCTION("""COMPUTED_VALUE"""),"CHOPP DA FABRICA")</f>
        <v>CHOPP DA FABRICA</v>
      </c>
      <c r="L3295" s="32">
        <f>IFERROR(__xludf.DUMMYFUNCTION("""COMPUTED_VALUE"""),3.0)</f>
        <v>3</v>
      </c>
      <c r="M3295" s="4" t="str">
        <f>IFERROR(__xludf.DUMMYFUNCTION("""COMPUTED_VALUE"""),"Teknisa Service Ltda")</f>
        <v>Teknisa Service Ltda</v>
      </c>
      <c r="N3295" s="33">
        <f>IFERROR(__xludf.DUMMYFUNCTION("""COMPUTED_VALUE"""),1.0)</f>
        <v>1</v>
      </c>
      <c r="O3295" s="4" t="str">
        <f>IFERROR(__xludf.DUMMYFUNCTION("""COMPUTED_VALUE"""),"Teknisa Service Ltda")</f>
        <v>Teknisa Service Ltda</v>
      </c>
      <c r="P3295" s="33">
        <f>IFERROR(__xludf.DUMMYFUNCTION("""COMPUTED_VALUE"""),0.6666666666666666)</f>
        <v>0.6666666667</v>
      </c>
      <c r="Q3295" s="4" t="str">
        <f>IFERROR(__xludf.DUMMYFUNCTION("""COMPUTED_VALUE"""),"Teknisa Service Ltda")</f>
        <v>Teknisa Service Ltda</v>
      </c>
      <c r="R3295" s="33">
        <f>IFERROR(__xludf.DUMMYFUNCTION("""COMPUTED_VALUE"""),1.0)</f>
        <v>1</v>
      </c>
      <c r="S3295" s="4" t="str">
        <f>IFERROR(__xludf.DUMMYFUNCTION("""COMPUTED_VALUE"""),"null")</f>
        <v>null</v>
      </c>
      <c r="T3295" s="33">
        <f>IFERROR(__xludf.DUMMYFUNCTION("""COMPUTED_VALUE"""),0.6666666666666666)</f>
        <v>0.6666666667</v>
      </c>
      <c r="U3295" s="4" t="str">
        <f>IFERROR(__xludf.DUMMYFUNCTION("""COMPUTED_VALUE"""),"Teknisa Service Ltda")</f>
        <v>Teknisa Service Ltda</v>
      </c>
      <c r="V3295" s="33">
        <f>IFERROR(__xludf.DUMMYFUNCTION("""COMPUTED_VALUE"""),0.6666666666666666)</f>
        <v>0.6666666667</v>
      </c>
      <c r="W3295" s="4" t="str">
        <f>IFERROR(__xludf.DUMMYFUNCTION("""COMPUTED_VALUE"""),"Teknisa Service Ltda")</f>
        <v>Teknisa Service Ltda</v>
      </c>
      <c r="X3295" s="33">
        <f>IFERROR(__xludf.DUMMYFUNCTION("""COMPUTED_VALUE"""),0.6666666666666666)</f>
        <v>0.6666666667</v>
      </c>
    </row>
    <row r="3296">
      <c r="K3296" s="4" t="str">
        <f>IFERROR(__xludf.DUMMYFUNCTION("""COMPUTED_VALUE"""),"CHURRASCARIA E RESTAURANTE SERINGUEIRA")</f>
        <v>CHURRASCARIA E RESTAURANTE SERINGUEIRA</v>
      </c>
      <c r="L3296" s="32">
        <f>IFERROR(__xludf.DUMMYFUNCTION("""COMPUTED_VALUE"""),3.0)</f>
        <v>3</v>
      </c>
      <c r="M3296" s="4" t="str">
        <f>IFERROR(__xludf.DUMMYFUNCTION("""COMPUTED_VALUE"""),"Eclética Tecnologia")</f>
        <v>Eclética Tecnologia</v>
      </c>
      <c r="N3296" s="33">
        <f>IFERROR(__xludf.DUMMYFUNCTION("""COMPUTED_VALUE"""),0.6666666666666666)</f>
        <v>0.6666666667</v>
      </c>
      <c r="O3296" s="4" t="str">
        <f>IFERROR(__xludf.DUMMYFUNCTION("""COMPUTED_VALUE"""),"Eclética Tecnologia")</f>
        <v>Eclética Tecnologia</v>
      </c>
      <c r="P3296" s="33">
        <f>IFERROR(__xludf.DUMMYFUNCTION("""COMPUTED_VALUE"""),0.6666666666666666)</f>
        <v>0.6666666667</v>
      </c>
      <c r="Q3296" s="4" t="str">
        <f>IFERROR(__xludf.DUMMYFUNCTION("""COMPUTED_VALUE"""),"Eclética Tecnologia")</f>
        <v>Eclética Tecnologia</v>
      </c>
      <c r="R3296" s="33">
        <f>IFERROR(__xludf.DUMMYFUNCTION("""COMPUTED_VALUE"""),0.6666666666666666)</f>
        <v>0.6666666667</v>
      </c>
      <c r="S3296" s="4" t="str">
        <f>IFERROR(__xludf.DUMMYFUNCTION("""COMPUTED_VALUE"""),"Eclética Tecnologia")</f>
        <v>Eclética Tecnologia</v>
      </c>
      <c r="T3296" s="33">
        <f>IFERROR(__xludf.DUMMYFUNCTION("""COMPUTED_VALUE"""),0.6666666666666666)</f>
        <v>0.6666666667</v>
      </c>
      <c r="U3296" s="4" t="str">
        <f>IFERROR(__xludf.DUMMYFUNCTION("""COMPUTED_VALUE"""),"Eclética Tecnologia")</f>
        <v>Eclética Tecnologia</v>
      </c>
      <c r="V3296" s="33">
        <f>IFERROR(__xludf.DUMMYFUNCTION("""COMPUTED_VALUE"""),0.6666666666666666)</f>
        <v>0.6666666667</v>
      </c>
      <c r="W3296" s="4" t="str">
        <f>IFERROR(__xludf.DUMMYFUNCTION("""COMPUTED_VALUE"""),"Eclética Tecnologia")</f>
        <v>Eclética Tecnologia</v>
      </c>
      <c r="X3296" s="33">
        <f>IFERROR(__xludf.DUMMYFUNCTION("""COMPUTED_VALUE"""),0.6666666666666666)</f>
        <v>0.6666666667</v>
      </c>
    </row>
    <row r="3297">
      <c r="K3297" s="4" t="str">
        <f>IFERROR(__xludf.DUMMYFUNCTION("""COMPUTED_VALUE"""),"CIA 09 - MARCA")</f>
        <v>CIA 09 - MARCA</v>
      </c>
      <c r="L3297" s="32">
        <f>IFERROR(__xludf.DUMMYFUNCTION("""COMPUTED_VALUE"""),3.0)</f>
        <v>3</v>
      </c>
      <c r="M3297" s="4" t="str">
        <f>IFERROR(__xludf.DUMMYFUNCTION("""COMPUTED_VALUE"""),"Parseint Desenvolvimento De Sistemas Ltda")</f>
        <v>Parseint Desenvolvimento De Sistemas Ltda</v>
      </c>
      <c r="N3297" s="33">
        <f>IFERROR(__xludf.DUMMYFUNCTION("""COMPUTED_VALUE"""),0.6666666666666666)</f>
        <v>0.6666666667</v>
      </c>
      <c r="O3297" s="4" t="str">
        <f>IFERROR(__xludf.DUMMYFUNCTION("""COMPUTED_VALUE"""),"Parseint Desenvolvimento De Sistemas Ltda")</f>
        <v>Parseint Desenvolvimento De Sistemas Ltda</v>
      </c>
      <c r="P3297" s="33">
        <f>IFERROR(__xludf.DUMMYFUNCTION("""COMPUTED_VALUE"""),1.0)</f>
        <v>1</v>
      </c>
      <c r="Q3297" s="4" t="str">
        <f>IFERROR(__xludf.DUMMYFUNCTION("""COMPUTED_VALUE"""),"Parseint Desenvolvimento De Sistemas Ltda")</f>
        <v>Parseint Desenvolvimento De Sistemas Ltda</v>
      </c>
      <c r="R3297" s="33">
        <f>IFERROR(__xludf.DUMMYFUNCTION("""COMPUTED_VALUE"""),0.6666666666666666)</f>
        <v>0.6666666667</v>
      </c>
      <c r="S3297" s="4" t="str">
        <f>IFERROR(__xludf.DUMMYFUNCTION("""COMPUTED_VALUE"""),"Parseint Desenvolvimento De Sistemas Ltda")</f>
        <v>Parseint Desenvolvimento De Sistemas Ltda</v>
      </c>
      <c r="T3297" s="33">
        <f>IFERROR(__xludf.DUMMYFUNCTION("""COMPUTED_VALUE"""),0.6666666666666666)</f>
        <v>0.6666666667</v>
      </c>
      <c r="U3297" s="4" t="str">
        <f>IFERROR(__xludf.DUMMYFUNCTION("""COMPUTED_VALUE"""),"Parseint Desenvolvimento De Sistemas Ltda")</f>
        <v>Parseint Desenvolvimento De Sistemas Ltda</v>
      </c>
      <c r="V3297" s="33">
        <f>IFERROR(__xludf.DUMMYFUNCTION("""COMPUTED_VALUE"""),1.0)</f>
        <v>1</v>
      </c>
      <c r="W3297" s="4" t="str">
        <f>IFERROR(__xludf.DUMMYFUNCTION("""COMPUTED_VALUE"""),"null")</f>
        <v>null</v>
      </c>
      <c r="X3297" s="33">
        <f>IFERROR(__xludf.DUMMYFUNCTION("""COMPUTED_VALUE"""),0.6666666666666666)</f>
        <v>0.6666666667</v>
      </c>
    </row>
    <row r="3298">
      <c r="K3298" s="4" t="str">
        <f>IFERROR(__xludf.DUMMYFUNCTION("""COMPUTED_VALUE"""),"CIAO")</f>
        <v>CIAO</v>
      </c>
      <c r="L3298" s="32">
        <f>IFERROR(__xludf.DUMMYFUNCTION("""COMPUTED_VALUE"""),3.0)</f>
        <v>3</v>
      </c>
      <c r="M3298" s="4" t="str">
        <f>IFERROR(__xludf.DUMMYFUNCTION("""COMPUTED_VALUE"""),"Totvs Large Enterprise Tecnologia S.a.")</f>
        <v>Totvs Large Enterprise Tecnologia S.a.</v>
      </c>
      <c r="N3298" s="33">
        <f>IFERROR(__xludf.DUMMYFUNCTION("""COMPUTED_VALUE"""),1.0)</f>
        <v>1</v>
      </c>
      <c r="O3298" s="4" t="str">
        <f>IFERROR(__xludf.DUMMYFUNCTION("""COMPUTED_VALUE"""),"Totvs Large Enterprise Tecnologia S.a.")</f>
        <v>Totvs Large Enterprise Tecnologia S.a.</v>
      </c>
      <c r="P3298" s="33">
        <f>IFERROR(__xludf.DUMMYFUNCTION("""COMPUTED_VALUE"""),1.0)</f>
        <v>1</v>
      </c>
      <c r="Q3298" s="4" t="str">
        <f>IFERROR(__xludf.DUMMYFUNCTION("""COMPUTED_VALUE"""),"Totvs Large Enterprise Tecnologia S.a.")</f>
        <v>Totvs Large Enterprise Tecnologia S.a.</v>
      </c>
      <c r="R3298" s="33">
        <f>IFERROR(__xludf.DUMMYFUNCTION("""COMPUTED_VALUE"""),1.0)</f>
        <v>1</v>
      </c>
      <c r="S3298" s="4" t="str">
        <f>IFERROR(__xludf.DUMMYFUNCTION("""COMPUTED_VALUE"""),"Totvs Large Enterprise Tecnologia S.a.")</f>
        <v>Totvs Large Enterprise Tecnologia S.a.</v>
      </c>
      <c r="T3298" s="33">
        <f>IFERROR(__xludf.DUMMYFUNCTION("""COMPUTED_VALUE"""),0.6666666666666666)</f>
        <v>0.6666666667</v>
      </c>
      <c r="U3298" s="4" t="str">
        <f>IFERROR(__xludf.DUMMYFUNCTION("""COMPUTED_VALUE"""),"Totvs Large Enterprise Tecnologia S.a.")</f>
        <v>Totvs Large Enterprise Tecnologia S.a.</v>
      </c>
      <c r="V3298" s="33">
        <f>IFERROR(__xludf.DUMMYFUNCTION("""COMPUTED_VALUE"""),0.6666666666666666)</f>
        <v>0.6666666667</v>
      </c>
      <c r="W3298" s="4" t="str">
        <f>IFERROR(__xludf.DUMMYFUNCTION("""COMPUTED_VALUE"""),"Totvs Large Enterprise Tecnologia S.a.")</f>
        <v>Totvs Large Enterprise Tecnologia S.a.</v>
      </c>
      <c r="X3298" s="33">
        <f>IFERROR(__xludf.DUMMYFUNCTION("""COMPUTED_VALUE"""),1.0)</f>
        <v>1</v>
      </c>
    </row>
    <row r="3299">
      <c r="K3299" s="4" t="str">
        <f>IFERROR(__xludf.DUMMYFUNCTION("""COMPUTED_VALUE"""),"CINE CAFE - CONTA MARCA")</f>
        <v>CINE CAFE - CONTA MARCA</v>
      </c>
      <c r="L3299" s="32">
        <f>IFERROR(__xludf.DUMMYFUNCTION("""COMPUTED_VALUE"""),3.0)</f>
        <v>3</v>
      </c>
      <c r="M3299" s="4" t="str">
        <f>IFERROR(__xludf.DUMMYFUNCTION("""COMPUTED_VALUE"""),"Eclética Tecnologia")</f>
        <v>Eclética Tecnologia</v>
      </c>
      <c r="N3299" s="33">
        <f>IFERROR(__xludf.DUMMYFUNCTION("""COMPUTED_VALUE"""),0.6666666666666666)</f>
        <v>0.6666666667</v>
      </c>
      <c r="O3299" s="4" t="str">
        <f>IFERROR(__xludf.DUMMYFUNCTION("""COMPUTED_VALUE"""),"Eclética Tecnologia")</f>
        <v>Eclética Tecnologia</v>
      </c>
      <c r="P3299" s="33">
        <f>IFERROR(__xludf.DUMMYFUNCTION("""COMPUTED_VALUE"""),0.6666666666666666)</f>
        <v>0.6666666667</v>
      </c>
      <c r="Q3299" s="4" t="str">
        <f>IFERROR(__xludf.DUMMYFUNCTION("""COMPUTED_VALUE"""),"Eclética Tecnologia")</f>
        <v>Eclética Tecnologia</v>
      </c>
      <c r="R3299" s="33">
        <f>IFERROR(__xludf.DUMMYFUNCTION("""COMPUTED_VALUE"""),0.6666666666666666)</f>
        <v>0.6666666667</v>
      </c>
      <c r="S3299" s="4" t="str">
        <f>IFERROR(__xludf.DUMMYFUNCTION("""COMPUTED_VALUE"""),"Eclética Tecnologia")</f>
        <v>Eclética Tecnologia</v>
      </c>
      <c r="T3299" s="33">
        <f>IFERROR(__xludf.DUMMYFUNCTION("""COMPUTED_VALUE"""),0.6666666666666666)</f>
        <v>0.6666666667</v>
      </c>
      <c r="U3299" s="4" t="str">
        <f>IFERROR(__xludf.DUMMYFUNCTION("""COMPUTED_VALUE"""),"null")</f>
        <v>null</v>
      </c>
      <c r="V3299" s="33">
        <f>IFERROR(__xludf.DUMMYFUNCTION("""COMPUTED_VALUE"""),0.6666666666666666)</f>
        <v>0.6666666667</v>
      </c>
      <c r="W3299" s="4" t="str">
        <f>IFERROR(__xludf.DUMMYFUNCTION("""COMPUTED_VALUE"""),"null")</f>
        <v>null</v>
      </c>
      <c r="X3299" s="33">
        <f>IFERROR(__xludf.DUMMYFUNCTION("""COMPUTED_VALUE"""),0.6666666666666666)</f>
        <v>0.6666666667</v>
      </c>
    </row>
    <row r="3300">
      <c r="K3300" s="4" t="str">
        <f>IFERROR(__xludf.DUMMYFUNCTION("""COMPUTED_VALUE"""),"CLICK PAO")</f>
        <v>CLICK PAO</v>
      </c>
      <c r="L3300" s="32">
        <f>IFERROR(__xludf.DUMMYFUNCTION("""COMPUTED_VALUE"""),3.0)</f>
        <v>3</v>
      </c>
      <c r="M3300" s="4" t="str">
        <f>IFERROR(__xludf.DUMMYFUNCTION("""COMPUTED_VALUE"""),"Menew - Linx")</f>
        <v>Menew - Linx</v>
      </c>
      <c r="N3300" s="33">
        <f>IFERROR(__xludf.DUMMYFUNCTION("""COMPUTED_VALUE"""),1.0)</f>
        <v>1</v>
      </c>
      <c r="O3300" s="4" t="str">
        <f>IFERROR(__xludf.DUMMYFUNCTION("""COMPUTED_VALUE"""),"Menew - Linx")</f>
        <v>Menew - Linx</v>
      </c>
      <c r="P3300" s="33">
        <f>IFERROR(__xludf.DUMMYFUNCTION("""COMPUTED_VALUE"""),1.0)</f>
        <v>1</v>
      </c>
      <c r="Q3300" s="4" t="str">
        <f>IFERROR(__xludf.DUMMYFUNCTION("""COMPUTED_VALUE"""),"Menew - Linx")</f>
        <v>Menew - Linx</v>
      </c>
      <c r="R3300" s="33">
        <f>IFERROR(__xludf.DUMMYFUNCTION("""COMPUTED_VALUE"""),1.0)</f>
        <v>1</v>
      </c>
      <c r="S3300" s="4" t="str">
        <f>IFERROR(__xludf.DUMMYFUNCTION("""COMPUTED_VALUE"""),"Menew - Linx")</f>
        <v>Menew - Linx</v>
      </c>
      <c r="T3300" s="33">
        <f>IFERROR(__xludf.DUMMYFUNCTION("""COMPUTED_VALUE"""),1.0)</f>
        <v>1</v>
      </c>
      <c r="U3300" s="4" t="str">
        <f>IFERROR(__xludf.DUMMYFUNCTION("""COMPUTED_VALUE"""),"Menew - Linx")</f>
        <v>Menew - Linx</v>
      </c>
      <c r="V3300" s="33">
        <f>IFERROR(__xludf.DUMMYFUNCTION("""COMPUTED_VALUE"""),1.0)</f>
        <v>1</v>
      </c>
      <c r="W3300" s="4" t="str">
        <f>IFERROR(__xludf.DUMMYFUNCTION("""COMPUTED_VALUE"""),"Menew - Linx")</f>
        <v>Menew - Linx</v>
      </c>
      <c r="X3300" s="33">
        <f>IFERROR(__xludf.DUMMYFUNCTION("""COMPUTED_VALUE"""),1.0)</f>
        <v>1</v>
      </c>
    </row>
    <row r="3301">
      <c r="K3301" s="4" t="str">
        <f>IFERROR(__xludf.DUMMYFUNCTION("""COMPUTED_VALUE"""),"CLIMAS SUSHI")</f>
        <v>CLIMAS SUSHI</v>
      </c>
      <c r="L3301" s="32">
        <f>IFERROR(__xludf.DUMMYFUNCTION("""COMPUTED_VALUE"""),3.0)</f>
        <v>3</v>
      </c>
      <c r="M3301" s="4" t="str">
        <f>IFERROR(__xludf.DUMMYFUNCTION("""COMPUTED_VALUE"""),"Saipos Serviços De Software")</f>
        <v>Saipos Serviços De Software</v>
      </c>
      <c r="N3301" s="33">
        <f>IFERROR(__xludf.DUMMYFUNCTION("""COMPUTED_VALUE"""),1.0)</f>
        <v>1</v>
      </c>
      <c r="O3301" s="4" t="str">
        <f>IFERROR(__xludf.DUMMYFUNCTION("""COMPUTED_VALUE"""),"Saipos Serviços De Software")</f>
        <v>Saipos Serviços De Software</v>
      </c>
      <c r="P3301" s="33">
        <f>IFERROR(__xludf.DUMMYFUNCTION("""COMPUTED_VALUE"""),1.0)</f>
        <v>1</v>
      </c>
      <c r="Q3301" s="4" t="str">
        <f>IFERROR(__xludf.DUMMYFUNCTION("""COMPUTED_VALUE"""),"Saipos Serviços De Software")</f>
        <v>Saipos Serviços De Software</v>
      </c>
      <c r="R3301" s="33">
        <f>IFERROR(__xludf.DUMMYFUNCTION("""COMPUTED_VALUE"""),1.0)</f>
        <v>1</v>
      </c>
      <c r="S3301" s="4" t="str">
        <f>IFERROR(__xludf.DUMMYFUNCTION("""COMPUTED_VALUE"""),"Saipos Serviços De Software")</f>
        <v>Saipos Serviços De Software</v>
      </c>
      <c r="T3301" s="33">
        <f>IFERROR(__xludf.DUMMYFUNCTION("""COMPUTED_VALUE"""),1.0)</f>
        <v>1</v>
      </c>
      <c r="U3301" s="4" t="str">
        <f>IFERROR(__xludf.DUMMYFUNCTION("""COMPUTED_VALUE"""),"Saipos Serviços De Software")</f>
        <v>Saipos Serviços De Software</v>
      </c>
      <c r="V3301" s="33">
        <f>IFERROR(__xludf.DUMMYFUNCTION("""COMPUTED_VALUE"""),1.0)</f>
        <v>1</v>
      </c>
      <c r="W3301" s="4" t="str">
        <f>IFERROR(__xludf.DUMMYFUNCTION("""COMPUTED_VALUE"""),"Saipos Serviços De Software")</f>
        <v>Saipos Serviços De Software</v>
      </c>
      <c r="X3301" s="33">
        <f>IFERROR(__xludf.DUMMYFUNCTION("""COMPUTED_VALUE"""),1.0)</f>
        <v>1</v>
      </c>
    </row>
    <row r="3302">
      <c r="K3302" s="4" t="str">
        <f>IFERROR(__xludf.DUMMYFUNCTION("""COMPUTED_VALUE"""),"COHAB CO")</f>
        <v>COHAB CO</v>
      </c>
      <c r="L3302" s="32">
        <f>IFERROR(__xludf.DUMMYFUNCTION("""COMPUTED_VALUE"""),3.0)</f>
        <v>3</v>
      </c>
      <c r="M3302" s="4" t="str">
        <f>IFERROR(__xludf.DUMMYFUNCTION("""COMPUTED_VALUE"""),"Saipos Serviços De Software")</f>
        <v>Saipos Serviços De Software</v>
      </c>
      <c r="N3302" s="33">
        <f>IFERROR(__xludf.DUMMYFUNCTION("""COMPUTED_VALUE"""),1.0)</f>
        <v>1</v>
      </c>
      <c r="O3302" s="4" t="str">
        <f>IFERROR(__xludf.DUMMYFUNCTION("""COMPUTED_VALUE"""),"Saipos Serviços De Software")</f>
        <v>Saipos Serviços De Software</v>
      </c>
      <c r="P3302" s="33">
        <f>IFERROR(__xludf.DUMMYFUNCTION("""COMPUTED_VALUE"""),1.0)</f>
        <v>1</v>
      </c>
      <c r="Q3302" s="4" t="str">
        <f>IFERROR(__xludf.DUMMYFUNCTION("""COMPUTED_VALUE"""),"Saipos Serviços De Software")</f>
        <v>Saipos Serviços De Software</v>
      </c>
      <c r="R3302" s="33">
        <f>IFERROR(__xludf.DUMMYFUNCTION("""COMPUTED_VALUE"""),1.0)</f>
        <v>1</v>
      </c>
      <c r="S3302" s="4" t="str">
        <f>IFERROR(__xludf.DUMMYFUNCTION("""COMPUTED_VALUE"""),"Saipos Serviços De Software")</f>
        <v>Saipos Serviços De Software</v>
      </c>
      <c r="T3302" s="33">
        <f>IFERROR(__xludf.DUMMYFUNCTION("""COMPUTED_VALUE"""),1.0)</f>
        <v>1</v>
      </c>
      <c r="U3302" s="4" t="str">
        <f>IFERROR(__xludf.DUMMYFUNCTION("""COMPUTED_VALUE"""),"Saipos Serviços De Software")</f>
        <v>Saipos Serviços De Software</v>
      </c>
      <c r="V3302" s="33">
        <f>IFERROR(__xludf.DUMMYFUNCTION("""COMPUTED_VALUE"""),1.0)</f>
        <v>1</v>
      </c>
      <c r="W3302" s="4" t="str">
        <f>IFERROR(__xludf.DUMMYFUNCTION("""COMPUTED_VALUE"""),"Saipos Serviços De Software")</f>
        <v>Saipos Serviços De Software</v>
      </c>
      <c r="X3302" s="33">
        <f>IFERROR(__xludf.DUMMYFUNCTION("""COMPUTED_VALUE"""),1.0)</f>
        <v>1</v>
      </c>
    </row>
    <row r="3303">
      <c r="K3303" s="4" t="str">
        <f>IFERROR(__xludf.DUMMYFUNCTION("""COMPUTED_VALUE"""),"COISA QUERIDA - CONTA MARCA")</f>
        <v>COISA QUERIDA - CONTA MARCA</v>
      </c>
      <c r="L3303" s="32">
        <f>IFERROR(__xludf.DUMMYFUNCTION("""COMPUTED_VALUE"""),3.0)</f>
        <v>3</v>
      </c>
      <c r="M3303" s="4" t="str">
        <f>IFERROR(__xludf.DUMMYFUNCTION("""COMPUTED_VALUE"""),"Genuine Sistemas Ltda")</f>
        <v>Genuine Sistemas Ltda</v>
      </c>
      <c r="N3303" s="33">
        <f>IFERROR(__xludf.DUMMYFUNCTION("""COMPUTED_VALUE"""),0.6666666666666666)</f>
        <v>0.6666666667</v>
      </c>
      <c r="O3303" s="4" t="str">
        <f>IFERROR(__xludf.DUMMYFUNCTION("""COMPUTED_VALUE"""),"Genuine Sistemas Ltda")</f>
        <v>Genuine Sistemas Ltda</v>
      </c>
      <c r="P3303" s="33">
        <f>IFERROR(__xludf.DUMMYFUNCTION("""COMPUTED_VALUE"""),1.0)</f>
        <v>1</v>
      </c>
      <c r="Q3303" s="4" t="str">
        <f>IFERROR(__xludf.DUMMYFUNCTION("""COMPUTED_VALUE"""),"Genuine Sistemas Ltda")</f>
        <v>Genuine Sistemas Ltda</v>
      </c>
      <c r="R3303" s="33">
        <f>IFERROR(__xludf.DUMMYFUNCTION("""COMPUTED_VALUE"""),1.0)</f>
        <v>1</v>
      </c>
      <c r="S3303" s="4" t="str">
        <f>IFERROR(__xludf.DUMMYFUNCTION("""COMPUTED_VALUE"""),"Genuine Sistemas Ltda")</f>
        <v>Genuine Sistemas Ltda</v>
      </c>
      <c r="T3303" s="33">
        <f>IFERROR(__xludf.DUMMYFUNCTION("""COMPUTED_VALUE"""),1.0)</f>
        <v>1</v>
      </c>
      <c r="U3303" s="4" t="str">
        <f>IFERROR(__xludf.DUMMYFUNCTION("""COMPUTED_VALUE"""),"Genuine Sistemas Ltda")</f>
        <v>Genuine Sistemas Ltda</v>
      </c>
      <c r="V3303" s="33">
        <f>IFERROR(__xludf.DUMMYFUNCTION("""COMPUTED_VALUE"""),1.0)</f>
        <v>1</v>
      </c>
      <c r="W3303" s="4" t="str">
        <f>IFERROR(__xludf.DUMMYFUNCTION("""COMPUTED_VALUE"""),"Genuine Sistemas Ltda")</f>
        <v>Genuine Sistemas Ltda</v>
      </c>
      <c r="X3303" s="33">
        <f>IFERROR(__xludf.DUMMYFUNCTION("""COMPUTED_VALUE"""),1.0)</f>
        <v>1</v>
      </c>
    </row>
    <row r="3304">
      <c r="K3304" s="4" t="str">
        <f>IFERROR(__xludf.DUMMYFUNCTION("""COMPUTED_VALUE"""),"COMA BEM")</f>
        <v>COMA BEM</v>
      </c>
      <c r="L3304" s="32">
        <f>IFERROR(__xludf.DUMMYFUNCTION("""COMPUTED_VALUE"""),3.0)</f>
        <v>3</v>
      </c>
      <c r="M3304" s="4" t="str">
        <f>IFERROR(__xludf.DUMMYFUNCTION("""COMPUTED_VALUE"""),"Cardápio Web")</f>
        <v>Cardápio Web</v>
      </c>
      <c r="N3304" s="33">
        <f>IFERROR(__xludf.DUMMYFUNCTION("""COMPUTED_VALUE"""),1.0)</f>
        <v>1</v>
      </c>
      <c r="O3304" s="4" t="str">
        <f>IFERROR(__xludf.DUMMYFUNCTION("""COMPUTED_VALUE"""),"Cardápio Web")</f>
        <v>Cardápio Web</v>
      </c>
      <c r="P3304" s="33">
        <f>IFERROR(__xludf.DUMMYFUNCTION("""COMPUTED_VALUE"""),1.0)</f>
        <v>1</v>
      </c>
      <c r="Q3304" s="4" t="str">
        <f>IFERROR(__xludf.DUMMYFUNCTION("""COMPUTED_VALUE"""),"Cardápio Web")</f>
        <v>Cardápio Web</v>
      </c>
      <c r="R3304" s="33">
        <f>IFERROR(__xludf.DUMMYFUNCTION("""COMPUTED_VALUE"""),1.0)</f>
        <v>1</v>
      </c>
      <c r="S3304" s="4" t="str">
        <f>IFERROR(__xludf.DUMMYFUNCTION("""COMPUTED_VALUE"""),"Cardápio Web")</f>
        <v>Cardápio Web</v>
      </c>
      <c r="T3304" s="33">
        <f>IFERROR(__xludf.DUMMYFUNCTION("""COMPUTED_VALUE"""),1.0)</f>
        <v>1</v>
      </c>
      <c r="U3304" s="4" t="str">
        <f>IFERROR(__xludf.DUMMYFUNCTION("""COMPUTED_VALUE"""),"Cardápio Web")</f>
        <v>Cardápio Web</v>
      </c>
      <c r="V3304" s="33">
        <f>IFERROR(__xludf.DUMMYFUNCTION("""COMPUTED_VALUE"""),1.0)</f>
        <v>1</v>
      </c>
      <c r="W3304" s="4" t="str">
        <f>IFERROR(__xludf.DUMMYFUNCTION("""COMPUTED_VALUE"""),"Cardápio Web")</f>
        <v>Cardápio Web</v>
      </c>
      <c r="X3304" s="33">
        <f>IFERROR(__xludf.DUMMYFUNCTION("""COMPUTED_VALUE"""),1.0)</f>
        <v>1</v>
      </c>
    </row>
    <row r="3305">
      <c r="K3305" s="4" t="str">
        <f>IFERROR(__xludf.DUMMYFUNCTION("""COMPUTED_VALUE"""),"COMIDA DI REI")</f>
        <v>COMIDA DI REI</v>
      </c>
      <c r="L3305" s="32">
        <f>IFERROR(__xludf.DUMMYFUNCTION("""COMPUTED_VALUE"""),3.0)</f>
        <v>3</v>
      </c>
      <c r="M3305" s="4" t="str">
        <f>IFERROR(__xludf.DUMMYFUNCTION("""COMPUTED_VALUE"""),"null")</f>
        <v>null</v>
      </c>
      <c r="N3305" s="33">
        <f>IFERROR(__xludf.DUMMYFUNCTION("""COMPUTED_VALUE"""),0.6666666666666666)</f>
        <v>0.6666666667</v>
      </c>
      <c r="O3305" s="4" t="str">
        <f>IFERROR(__xludf.DUMMYFUNCTION("""COMPUTED_VALUE"""),"Datacaixa Pdv")</f>
        <v>Datacaixa Pdv</v>
      </c>
      <c r="P3305" s="33">
        <f>IFERROR(__xludf.DUMMYFUNCTION("""COMPUTED_VALUE"""),0.6666666666666666)</f>
        <v>0.6666666667</v>
      </c>
      <c r="Q3305" s="4" t="str">
        <f>IFERROR(__xludf.DUMMYFUNCTION("""COMPUTED_VALUE"""),"null")</f>
        <v>null</v>
      </c>
      <c r="R3305" s="33">
        <f>IFERROR(__xludf.DUMMYFUNCTION("""COMPUTED_VALUE"""),1.0)</f>
        <v>1</v>
      </c>
      <c r="S3305" s="4" t="str">
        <f>IFERROR(__xludf.DUMMYFUNCTION("""COMPUTED_VALUE"""),"null")</f>
        <v>null</v>
      </c>
      <c r="T3305" s="33">
        <f>IFERROR(__xludf.DUMMYFUNCTION("""COMPUTED_VALUE"""),0.6666666666666666)</f>
        <v>0.6666666667</v>
      </c>
      <c r="U3305" s="4" t="str">
        <f>IFERROR(__xludf.DUMMYFUNCTION("""COMPUTED_VALUE"""),"null")</f>
        <v>null</v>
      </c>
      <c r="V3305" s="33">
        <f>IFERROR(__xludf.DUMMYFUNCTION("""COMPUTED_VALUE"""),0.6666666666666666)</f>
        <v>0.6666666667</v>
      </c>
      <c r="W3305" s="4" t="str">
        <f>IFERROR(__xludf.DUMMYFUNCTION("""COMPUTED_VALUE"""),"null")</f>
        <v>null</v>
      </c>
      <c r="X3305" s="33">
        <f>IFERROR(__xludf.DUMMYFUNCTION("""COMPUTED_VALUE"""),1.0)</f>
        <v>1</v>
      </c>
    </row>
    <row r="3306">
      <c r="K3306" s="4" t="str">
        <f>IFERROR(__xludf.DUMMYFUNCTION("""COMPUTED_VALUE"""),"CONFEITARIA 2 IRMAOS")</f>
        <v>CONFEITARIA 2 IRMAOS</v>
      </c>
      <c r="L3306" s="32">
        <f>IFERROR(__xludf.DUMMYFUNCTION("""COMPUTED_VALUE"""),3.0)</f>
        <v>3</v>
      </c>
      <c r="M3306" s="4" t="str">
        <f>IFERROR(__xludf.DUMMYFUNCTION("""COMPUTED_VALUE"""),"null")</f>
        <v>null</v>
      </c>
      <c r="N3306" s="33">
        <f>IFERROR(__xludf.DUMMYFUNCTION("""COMPUTED_VALUE"""),1.0)</f>
        <v>1</v>
      </c>
      <c r="O3306" s="4" t="str">
        <f>IFERROR(__xludf.DUMMYFUNCTION("""COMPUTED_VALUE"""),"Agilizup Solucoes Ltda")</f>
        <v>Agilizup Solucoes Ltda</v>
      </c>
      <c r="P3306" s="33">
        <f>IFERROR(__xludf.DUMMYFUNCTION("""COMPUTED_VALUE"""),0.6666666666666666)</f>
        <v>0.6666666667</v>
      </c>
      <c r="Q3306" s="4" t="str">
        <f>IFERROR(__xludf.DUMMYFUNCTION("""COMPUTED_VALUE"""),"Agilizup Solucoes Ltda")</f>
        <v>Agilizup Solucoes Ltda</v>
      </c>
      <c r="R3306" s="33">
        <f>IFERROR(__xludf.DUMMYFUNCTION("""COMPUTED_VALUE"""),1.0)</f>
        <v>1</v>
      </c>
      <c r="S3306" s="4" t="str">
        <f>IFERROR(__xludf.DUMMYFUNCTION("""COMPUTED_VALUE"""),"Agilizup Solucoes Ltda")</f>
        <v>Agilizup Solucoes Ltda</v>
      </c>
      <c r="T3306" s="33">
        <f>IFERROR(__xludf.DUMMYFUNCTION("""COMPUTED_VALUE"""),1.0)</f>
        <v>1</v>
      </c>
      <c r="U3306" s="4" t="str">
        <f>IFERROR(__xludf.DUMMYFUNCTION("""COMPUTED_VALUE"""),"Agilizup Solucoes Ltda")</f>
        <v>Agilizup Solucoes Ltda</v>
      </c>
      <c r="V3306" s="33">
        <f>IFERROR(__xludf.DUMMYFUNCTION("""COMPUTED_VALUE"""),1.0)</f>
        <v>1</v>
      </c>
      <c r="W3306" s="4" t="str">
        <f>IFERROR(__xludf.DUMMYFUNCTION("""COMPUTED_VALUE"""),"Agilizup Solucoes Ltda")</f>
        <v>Agilizup Solucoes Ltda</v>
      </c>
      <c r="X3306" s="33">
        <f>IFERROR(__xludf.DUMMYFUNCTION("""COMPUTED_VALUE"""),1.0)</f>
        <v>1</v>
      </c>
    </row>
    <row r="3307">
      <c r="K3307" s="4" t="str">
        <f>IFERROR(__xludf.DUMMYFUNCTION("""COMPUTED_VALUE"""),"CONFEITARIA JAUENSE")</f>
        <v>CONFEITARIA JAUENSE</v>
      </c>
      <c r="L3307" s="32">
        <f>IFERROR(__xludf.DUMMYFUNCTION("""COMPUTED_VALUE"""),3.0)</f>
        <v>3</v>
      </c>
      <c r="M3307" s="4" t="str">
        <f>IFERROR(__xludf.DUMMYFUNCTION("""COMPUTED_VALUE"""),"Cloudfy")</f>
        <v>Cloudfy</v>
      </c>
      <c r="N3307" s="33">
        <f>IFERROR(__xludf.DUMMYFUNCTION("""COMPUTED_VALUE"""),1.0)</f>
        <v>1</v>
      </c>
      <c r="O3307" s="4" t="str">
        <f>IFERROR(__xludf.DUMMYFUNCTION("""COMPUTED_VALUE"""),"Cloudfy")</f>
        <v>Cloudfy</v>
      </c>
      <c r="P3307" s="33">
        <f>IFERROR(__xludf.DUMMYFUNCTION("""COMPUTED_VALUE"""),1.0)</f>
        <v>1</v>
      </c>
      <c r="Q3307" s="4" t="str">
        <f>IFERROR(__xludf.DUMMYFUNCTION("""COMPUTED_VALUE"""),"Cloudfy")</f>
        <v>Cloudfy</v>
      </c>
      <c r="R3307" s="33">
        <f>IFERROR(__xludf.DUMMYFUNCTION("""COMPUTED_VALUE"""),1.0)</f>
        <v>1</v>
      </c>
      <c r="S3307" s="4" t="str">
        <f>IFERROR(__xludf.DUMMYFUNCTION("""COMPUTED_VALUE"""),"Cloudfy")</f>
        <v>Cloudfy</v>
      </c>
      <c r="T3307" s="33">
        <f>IFERROR(__xludf.DUMMYFUNCTION("""COMPUTED_VALUE"""),1.0)</f>
        <v>1</v>
      </c>
      <c r="U3307" s="4" t="str">
        <f>IFERROR(__xludf.DUMMYFUNCTION("""COMPUTED_VALUE"""),"Cloudfy")</f>
        <v>Cloudfy</v>
      </c>
      <c r="V3307" s="33">
        <f>IFERROR(__xludf.DUMMYFUNCTION("""COMPUTED_VALUE"""),1.0)</f>
        <v>1</v>
      </c>
      <c r="W3307" s="4" t="str">
        <f>IFERROR(__xludf.DUMMYFUNCTION("""COMPUTED_VALUE"""),"Cloudfy")</f>
        <v>Cloudfy</v>
      </c>
      <c r="X3307" s="33">
        <f>IFERROR(__xludf.DUMMYFUNCTION("""COMPUTED_VALUE"""),1.0)</f>
        <v>1</v>
      </c>
    </row>
    <row r="3308">
      <c r="K3308" s="4" t="str">
        <f>IFERROR(__xludf.DUMMYFUNCTION("""COMPUTED_VALUE"""),"CONFRARIA DA PICANHA")</f>
        <v>CONFRARIA DA PICANHA</v>
      </c>
      <c r="L3308" s="32">
        <f>IFERROR(__xludf.DUMMYFUNCTION("""COMPUTED_VALUE"""),3.0)</f>
        <v>3</v>
      </c>
      <c r="M3308" s="4" t="str">
        <f>IFERROR(__xludf.DUMMYFUNCTION("""COMPUTED_VALUE"""),"Saipos Serviços De Software")</f>
        <v>Saipos Serviços De Software</v>
      </c>
      <c r="N3308" s="33">
        <f>IFERROR(__xludf.DUMMYFUNCTION("""COMPUTED_VALUE"""),1.0)</f>
        <v>1</v>
      </c>
      <c r="O3308" s="4" t="str">
        <f>IFERROR(__xludf.DUMMYFUNCTION("""COMPUTED_VALUE"""),"Saipos Serviços De Software")</f>
        <v>Saipos Serviços De Software</v>
      </c>
      <c r="P3308" s="33">
        <f>IFERROR(__xludf.DUMMYFUNCTION("""COMPUTED_VALUE"""),1.0)</f>
        <v>1</v>
      </c>
      <c r="Q3308" s="4" t="str">
        <f>IFERROR(__xludf.DUMMYFUNCTION("""COMPUTED_VALUE"""),"Saipos Serviços De Software")</f>
        <v>Saipos Serviços De Software</v>
      </c>
      <c r="R3308" s="33">
        <f>IFERROR(__xludf.DUMMYFUNCTION("""COMPUTED_VALUE"""),1.0)</f>
        <v>1</v>
      </c>
      <c r="S3308" s="4" t="str">
        <f>IFERROR(__xludf.DUMMYFUNCTION("""COMPUTED_VALUE"""),"Saipos Serviços De Software")</f>
        <v>Saipos Serviços De Software</v>
      </c>
      <c r="T3308" s="33">
        <f>IFERROR(__xludf.DUMMYFUNCTION("""COMPUTED_VALUE"""),1.0)</f>
        <v>1</v>
      </c>
      <c r="U3308" s="4" t="str">
        <f>IFERROR(__xludf.DUMMYFUNCTION("""COMPUTED_VALUE"""),"Saipos Serviços De Software")</f>
        <v>Saipos Serviços De Software</v>
      </c>
      <c r="V3308" s="33">
        <f>IFERROR(__xludf.DUMMYFUNCTION("""COMPUTED_VALUE"""),1.0)</f>
        <v>1</v>
      </c>
      <c r="W3308" s="4" t="str">
        <f>IFERROR(__xludf.DUMMYFUNCTION("""COMPUTED_VALUE"""),"Saipos Serviços De Software")</f>
        <v>Saipos Serviços De Software</v>
      </c>
      <c r="X3308" s="33">
        <f>IFERROR(__xludf.DUMMYFUNCTION("""COMPUTED_VALUE"""),1.0)</f>
        <v>1</v>
      </c>
    </row>
    <row r="3309">
      <c r="K3309" s="4" t="str">
        <f>IFERROR(__xludf.DUMMYFUNCTION("""COMPUTED_VALUE"""),"CONFRARIA DA PICANHA L")</f>
        <v>CONFRARIA DA PICANHA L</v>
      </c>
      <c r="L3309" s="32">
        <f>IFERROR(__xludf.DUMMYFUNCTION("""COMPUTED_VALUE"""),3.0)</f>
        <v>3</v>
      </c>
      <c r="M3309" s="4" t="str">
        <f>IFERROR(__xludf.DUMMYFUNCTION("""COMPUTED_VALUE"""),"Saipos Serviços De Software")</f>
        <v>Saipos Serviços De Software</v>
      </c>
      <c r="N3309" s="33">
        <f>IFERROR(__xludf.DUMMYFUNCTION("""COMPUTED_VALUE"""),1.0)</f>
        <v>1</v>
      </c>
      <c r="O3309" s="4" t="str">
        <f>IFERROR(__xludf.DUMMYFUNCTION("""COMPUTED_VALUE"""),"Saipos Serviços De Software")</f>
        <v>Saipos Serviços De Software</v>
      </c>
      <c r="P3309" s="33">
        <f>IFERROR(__xludf.DUMMYFUNCTION("""COMPUTED_VALUE"""),1.0)</f>
        <v>1</v>
      </c>
      <c r="Q3309" s="4" t="str">
        <f>IFERROR(__xludf.DUMMYFUNCTION("""COMPUTED_VALUE"""),"Saipos Serviços De Software")</f>
        <v>Saipos Serviços De Software</v>
      </c>
      <c r="R3309" s="33">
        <f>IFERROR(__xludf.DUMMYFUNCTION("""COMPUTED_VALUE"""),1.0)</f>
        <v>1</v>
      </c>
      <c r="S3309" s="4" t="str">
        <f>IFERROR(__xludf.DUMMYFUNCTION("""COMPUTED_VALUE"""),"Saipos Serviços De Software")</f>
        <v>Saipos Serviços De Software</v>
      </c>
      <c r="T3309" s="33">
        <f>IFERROR(__xludf.DUMMYFUNCTION("""COMPUTED_VALUE"""),1.0)</f>
        <v>1</v>
      </c>
      <c r="U3309" s="4" t="str">
        <f>IFERROR(__xludf.DUMMYFUNCTION("""COMPUTED_VALUE"""),"Saipos Serviços De Software")</f>
        <v>Saipos Serviços De Software</v>
      </c>
      <c r="V3309" s="33">
        <f>IFERROR(__xludf.DUMMYFUNCTION("""COMPUTED_VALUE"""),1.0)</f>
        <v>1</v>
      </c>
      <c r="W3309" s="4" t="str">
        <f>IFERROR(__xludf.DUMMYFUNCTION("""COMPUTED_VALUE"""),"Saipos Serviços De Software")</f>
        <v>Saipos Serviços De Software</v>
      </c>
      <c r="X3309" s="33">
        <f>IFERROR(__xludf.DUMMYFUNCTION("""COMPUTED_VALUE"""),1.0)</f>
        <v>1</v>
      </c>
    </row>
    <row r="3310">
      <c r="K3310" s="4" t="str">
        <f>IFERROR(__xludf.DUMMYFUNCTION("""COMPUTED_VALUE"""),"CONTA CAMARAO EXPRESS ORIGINAL")</f>
        <v>CONTA CAMARAO EXPRESS ORIGINAL</v>
      </c>
      <c r="L3310" s="32">
        <f>IFERROR(__xludf.DUMMYFUNCTION("""COMPUTED_VALUE"""),3.0)</f>
        <v>3</v>
      </c>
      <c r="M3310" s="4" t="str">
        <f>IFERROR(__xludf.DUMMYFUNCTION("""COMPUTED_VALUE"""),"Stone Co.")</f>
        <v>Stone Co.</v>
      </c>
      <c r="N3310" s="33">
        <f>IFERROR(__xludf.DUMMYFUNCTION("""COMPUTED_VALUE"""),0.6666666666666666)</f>
        <v>0.6666666667</v>
      </c>
      <c r="O3310" s="4" t="str">
        <f>IFERROR(__xludf.DUMMYFUNCTION("""COMPUTED_VALUE"""),"Stone Co.")</f>
        <v>Stone Co.</v>
      </c>
      <c r="P3310" s="33">
        <f>IFERROR(__xludf.DUMMYFUNCTION("""COMPUTED_VALUE"""),0.6666666666666666)</f>
        <v>0.6666666667</v>
      </c>
      <c r="Q3310" s="4" t="str">
        <f>IFERROR(__xludf.DUMMYFUNCTION("""COMPUTED_VALUE"""),"Stone Co.")</f>
        <v>Stone Co.</v>
      </c>
      <c r="R3310" s="33">
        <f>IFERROR(__xludf.DUMMYFUNCTION("""COMPUTED_VALUE"""),0.6666666666666666)</f>
        <v>0.6666666667</v>
      </c>
      <c r="S3310" s="4" t="str">
        <f>IFERROR(__xludf.DUMMYFUNCTION("""COMPUTED_VALUE"""),"Stone Co.")</f>
        <v>Stone Co.</v>
      </c>
      <c r="T3310" s="33">
        <f>IFERROR(__xludf.DUMMYFUNCTION("""COMPUTED_VALUE"""),0.6666666666666666)</f>
        <v>0.6666666667</v>
      </c>
      <c r="U3310" s="4" t="str">
        <f>IFERROR(__xludf.DUMMYFUNCTION("""COMPUTED_VALUE"""),"Stone Co.")</f>
        <v>Stone Co.</v>
      </c>
      <c r="V3310" s="33">
        <f>IFERROR(__xludf.DUMMYFUNCTION("""COMPUTED_VALUE"""),0.6666666666666666)</f>
        <v>0.6666666667</v>
      </c>
      <c r="W3310" s="4" t="str">
        <f>IFERROR(__xludf.DUMMYFUNCTION("""COMPUTED_VALUE"""),"Stone Co.")</f>
        <v>Stone Co.</v>
      </c>
      <c r="X3310" s="33">
        <f>IFERROR(__xludf.DUMMYFUNCTION("""COMPUTED_VALUE"""),0.6666666666666666)</f>
        <v>0.6666666667</v>
      </c>
    </row>
    <row r="3311">
      <c r="K3311" s="4" t="str">
        <f>IFERROR(__xludf.DUMMYFUNCTION("""COMPUTED_VALUE"""),"CONTAINER LANCHES - JOINVILLE")</f>
        <v>CONTAINER LANCHES - JOINVILLE</v>
      </c>
      <c r="L3311" s="32">
        <f>IFERROR(__xludf.DUMMYFUNCTION("""COMPUTED_VALUE"""),3.0)</f>
        <v>3</v>
      </c>
      <c r="M3311" s="4" t="str">
        <f>IFERROR(__xludf.DUMMYFUNCTION("""COMPUTED_VALUE"""),"Instadelivery")</f>
        <v>Instadelivery</v>
      </c>
      <c r="N3311" s="33">
        <f>IFERROR(__xludf.DUMMYFUNCTION("""COMPUTED_VALUE"""),1.0)</f>
        <v>1</v>
      </c>
      <c r="O3311" s="4" t="str">
        <f>IFERROR(__xludf.DUMMYFUNCTION("""COMPUTED_VALUE"""),"Instadelivery")</f>
        <v>Instadelivery</v>
      </c>
      <c r="P3311" s="33">
        <f>IFERROR(__xludf.DUMMYFUNCTION("""COMPUTED_VALUE"""),1.0)</f>
        <v>1</v>
      </c>
      <c r="Q3311" s="4" t="str">
        <f>IFERROR(__xludf.DUMMYFUNCTION("""COMPUTED_VALUE"""),"Instadelivery")</f>
        <v>Instadelivery</v>
      </c>
      <c r="R3311" s="33">
        <f>IFERROR(__xludf.DUMMYFUNCTION("""COMPUTED_VALUE"""),1.0)</f>
        <v>1</v>
      </c>
      <c r="S3311" s="4" t="str">
        <f>IFERROR(__xludf.DUMMYFUNCTION("""COMPUTED_VALUE"""),"Instadelivery")</f>
        <v>Instadelivery</v>
      </c>
      <c r="T3311" s="33">
        <f>IFERROR(__xludf.DUMMYFUNCTION("""COMPUTED_VALUE"""),1.0)</f>
        <v>1</v>
      </c>
      <c r="U3311" s="4" t="str">
        <f>IFERROR(__xludf.DUMMYFUNCTION("""COMPUTED_VALUE"""),"Instadelivery")</f>
        <v>Instadelivery</v>
      </c>
      <c r="V3311" s="33">
        <f>IFERROR(__xludf.DUMMYFUNCTION("""COMPUTED_VALUE"""),1.0)</f>
        <v>1</v>
      </c>
      <c r="W3311" s="4" t="str">
        <f>IFERROR(__xludf.DUMMYFUNCTION("""COMPUTED_VALUE"""),"Instadelivery")</f>
        <v>Instadelivery</v>
      </c>
      <c r="X3311" s="33">
        <f>IFERROR(__xludf.DUMMYFUNCTION("""COMPUTED_VALUE"""),1.0)</f>
        <v>1</v>
      </c>
    </row>
    <row r="3312">
      <c r="K3312" s="4" t="str">
        <f>IFERROR(__xludf.DUMMYFUNCTION("""COMPUTED_VALUE"""),"COOCERQUI - CONTA MARCA")</f>
        <v>COOCERQUI - CONTA MARCA</v>
      </c>
      <c r="L3312" s="32">
        <f>IFERROR(__xludf.DUMMYFUNCTION("""COMPUTED_VALUE"""),3.0)</f>
        <v>3</v>
      </c>
      <c r="M3312" s="4" t="str">
        <f>IFERROR(__xludf.DUMMYFUNCTION("""COMPUTED_VALUE"""),"N/A (Not found)")</f>
        <v>N/A (Not found)</v>
      </c>
      <c r="N3312" s="33">
        <f>IFERROR(__xludf.DUMMYFUNCTION("""COMPUTED_VALUE"""),1.0)</f>
        <v>1</v>
      </c>
      <c r="O3312" s="4" t="str">
        <f>IFERROR(__xludf.DUMMYFUNCTION("""COMPUTED_VALUE"""),"N/A (Not found)")</f>
        <v>N/A (Not found)</v>
      </c>
      <c r="P3312" s="33">
        <f>IFERROR(__xludf.DUMMYFUNCTION("""COMPUTED_VALUE"""),1.0)</f>
        <v>1</v>
      </c>
      <c r="Q3312" s="4" t="str">
        <f>IFERROR(__xludf.DUMMYFUNCTION("""COMPUTED_VALUE"""),"N/A (Not found)")</f>
        <v>N/A (Not found)</v>
      </c>
      <c r="R3312" s="33">
        <f>IFERROR(__xludf.DUMMYFUNCTION("""COMPUTED_VALUE"""),1.0)</f>
        <v>1</v>
      </c>
      <c r="S3312" s="4" t="str">
        <f>IFERROR(__xludf.DUMMYFUNCTION("""COMPUTED_VALUE"""),"N/A (Not found)")</f>
        <v>N/A (Not found)</v>
      </c>
      <c r="T3312" s="33">
        <f>IFERROR(__xludf.DUMMYFUNCTION("""COMPUTED_VALUE"""),1.0)</f>
        <v>1</v>
      </c>
      <c r="U3312" s="4" t="str">
        <f>IFERROR(__xludf.DUMMYFUNCTION("""COMPUTED_VALUE"""),"N/A (Not found)")</f>
        <v>N/A (Not found)</v>
      </c>
      <c r="V3312" s="33">
        <f>IFERROR(__xludf.DUMMYFUNCTION("""COMPUTED_VALUE"""),1.0)</f>
        <v>1</v>
      </c>
      <c r="W3312" s="4" t="str">
        <f>IFERROR(__xludf.DUMMYFUNCTION("""COMPUTED_VALUE"""),"N/A (Not found)")</f>
        <v>N/A (Not found)</v>
      </c>
      <c r="X3312" s="33">
        <f>IFERROR(__xludf.DUMMYFUNCTION("""COMPUTED_VALUE"""),1.0)</f>
        <v>1</v>
      </c>
    </row>
    <row r="3313">
      <c r="K3313" s="4" t="str">
        <f>IFERROR(__xludf.DUMMYFUNCTION("""COMPUTED_VALUE"""),"COOKIE BLISS")</f>
        <v>COOKIE BLISS</v>
      </c>
      <c r="L3313" s="32">
        <f>IFERROR(__xludf.DUMMYFUNCTION("""COMPUTED_VALUE"""),3.0)</f>
        <v>3</v>
      </c>
      <c r="M3313" s="4" t="str">
        <f>IFERROR(__xludf.DUMMYFUNCTION("""COMPUTED_VALUE"""),"Cardápio Web")</f>
        <v>Cardápio Web</v>
      </c>
      <c r="N3313" s="33">
        <f>IFERROR(__xludf.DUMMYFUNCTION("""COMPUTED_VALUE"""),0.6666666666666666)</f>
        <v>0.6666666667</v>
      </c>
      <c r="O3313" s="4" t="str">
        <f>IFERROR(__xludf.DUMMYFUNCTION("""COMPUTED_VALUE"""),"Cardápio Web")</f>
        <v>Cardápio Web</v>
      </c>
      <c r="P3313" s="33">
        <f>IFERROR(__xludf.DUMMYFUNCTION("""COMPUTED_VALUE"""),0.6666666666666666)</f>
        <v>0.6666666667</v>
      </c>
      <c r="Q3313" s="4" t="str">
        <f>IFERROR(__xludf.DUMMYFUNCTION("""COMPUTED_VALUE"""),"null")</f>
        <v>null</v>
      </c>
      <c r="R3313" s="33">
        <f>IFERROR(__xludf.DUMMYFUNCTION("""COMPUTED_VALUE"""),0.6666666666666666)</f>
        <v>0.6666666667</v>
      </c>
      <c r="S3313" s="4" t="str">
        <f>IFERROR(__xludf.DUMMYFUNCTION("""COMPUTED_VALUE"""),"Cardápio Web")</f>
        <v>Cardápio Web</v>
      </c>
      <c r="T3313" s="33">
        <f>IFERROR(__xludf.DUMMYFUNCTION("""COMPUTED_VALUE"""),0.6666666666666666)</f>
        <v>0.6666666667</v>
      </c>
      <c r="U3313" s="4" t="str">
        <f>IFERROR(__xludf.DUMMYFUNCTION("""COMPUTED_VALUE"""),"Cardápio Web")</f>
        <v>Cardápio Web</v>
      </c>
      <c r="V3313" s="33">
        <f>IFERROR(__xludf.DUMMYFUNCTION("""COMPUTED_VALUE"""),0.6666666666666666)</f>
        <v>0.6666666667</v>
      </c>
      <c r="W3313" s="4" t="str">
        <f>IFERROR(__xludf.DUMMYFUNCTION("""COMPUTED_VALUE"""),"Cardápio Web")</f>
        <v>Cardápio Web</v>
      </c>
      <c r="X3313" s="33">
        <f>IFERROR(__xludf.DUMMYFUNCTION("""COMPUTED_VALUE"""),0.6666666666666666)</f>
        <v>0.6666666667</v>
      </c>
    </row>
    <row r="3314">
      <c r="K3314" s="4" t="str">
        <f>IFERROR(__xludf.DUMMYFUNCTION("""COMPUTED_VALUE"""),"COPACABANA MASSAS E PIZZAS - UBERLANDIA")</f>
        <v>COPACABANA MASSAS E PIZZAS - UBERLANDIA</v>
      </c>
      <c r="L3314" s="32">
        <f>IFERROR(__xludf.DUMMYFUNCTION("""COMPUTED_VALUE"""),3.0)</f>
        <v>3</v>
      </c>
      <c r="M3314" s="4" t="str">
        <f>IFERROR(__xludf.DUMMYFUNCTION("""COMPUTED_VALUE"""),"Saipos Serviços De Software")</f>
        <v>Saipos Serviços De Software</v>
      </c>
      <c r="N3314" s="33">
        <f>IFERROR(__xludf.DUMMYFUNCTION("""COMPUTED_VALUE"""),1.0)</f>
        <v>1</v>
      </c>
      <c r="O3314" s="4" t="str">
        <f>IFERROR(__xludf.DUMMYFUNCTION("""COMPUTED_VALUE"""),"Saipos Serviços De Software")</f>
        <v>Saipos Serviços De Software</v>
      </c>
      <c r="P3314" s="33">
        <f>IFERROR(__xludf.DUMMYFUNCTION("""COMPUTED_VALUE"""),1.0)</f>
        <v>1</v>
      </c>
      <c r="Q3314" s="4" t="str">
        <f>IFERROR(__xludf.DUMMYFUNCTION("""COMPUTED_VALUE"""),"Saipos Serviços De Software")</f>
        <v>Saipos Serviços De Software</v>
      </c>
      <c r="R3314" s="33">
        <f>IFERROR(__xludf.DUMMYFUNCTION("""COMPUTED_VALUE"""),1.0)</f>
        <v>1</v>
      </c>
      <c r="S3314" s="4" t="str">
        <f>IFERROR(__xludf.DUMMYFUNCTION("""COMPUTED_VALUE"""),"Saipos Serviços De Software")</f>
        <v>Saipos Serviços De Software</v>
      </c>
      <c r="T3314" s="33">
        <f>IFERROR(__xludf.DUMMYFUNCTION("""COMPUTED_VALUE"""),1.0)</f>
        <v>1</v>
      </c>
      <c r="U3314" s="4" t="str">
        <f>IFERROR(__xludf.DUMMYFUNCTION("""COMPUTED_VALUE"""),"Saipos Serviços De Software")</f>
        <v>Saipos Serviços De Software</v>
      </c>
      <c r="V3314" s="33">
        <f>IFERROR(__xludf.DUMMYFUNCTION("""COMPUTED_VALUE"""),1.0)</f>
        <v>1</v>
      </c>
      <c r="W3314" s="4" t="str">
        <f>IFERROR(__xludf.DUMMYFUNCTION("""COMPUTED_VALUE"""),"Saipos Serviços De Software")</f>
        <v>Saipos Serviços De Software</v>
      </c>
      <c r="X3314" s="33">
        <f>IFERROR(__xludf.DUMMYFUNCTION("""COMPUTED_VALUE"""),1.0)</f>
        <v>1</v>
      </c>
    </row>
    <row r="3315">
      <c r="K3315" s="4" t="str">
        <f>IFERROR(__xludf.DUMMYFUNCTION("""COMPUTED_VALUE"""),"CORRIENTES 348")</f>
        <v>CORRIENTES 348</v>
      </c>
      <c r="L3315" s="32">
        <f>IFERROR(__xludf.DUMMYFUNCTION("""COMPUTED_VALUE"""),3.0)</f>
        <v>3</v>
      </c>
      <c r="M3315" s="4" t="str">
        <f>IFERROR(__xludf.DUMMYFUNCTION("""COMPUTED_VALUE"""),"Ncr")</f>
        <v>Ncr</v>
      </c>
      <c r="N3315" s="33">
        <f>IFERROR(__xludf.DUMMYFUNCTION("""COMPUTED_VALUE"""),0.6666666666666666)</f>
        <v>0.6666666667</v>
      </c>
      <c r="O3315" s="4" t="str">
        <f>IFERROR(__xludf.DUMMYFUNCTION("""COMPUTED_VALUE"""),"Venditx Ltda")</f>
        <v>Venditx Ltda</v>
      </c>
      <c r="P3315" s="33">
        <f>IFERROR(__xludf.DUMMYFUNCTION("""COMPUTED_VALUE"""),1.0)</f>
        <v>1</v>
      </c>
      <c r="Q3315" s="4" t="str">
        <f>IFERROR(__xludf.DUMMYFUNCTION("""COMPUTED_VALUE"""),"Venditx Ltda")</f>
        <v>Venditx Ltda</v>
      </c>
      <c r="R3315" s="33">
        <f>IFERROR(__xludf.DUMMYFUNCTION("""COMPUTED_VALUE"""),1.0)</f>
        <v>1</v>
      </c>
      <c r="S3315" s="4" t="str">
        <f>IFERROR(__xludf.DUMMYFUNCTION("""COMPUTED_VALUE"""),"Venditx Ltda")</f>
        <v>Venditx Ltda</v>
      </c>
      <c r="T3315" s="33">
        <f>IFERROR(__xludf.DUMMYFUNCTION("""COMPUTED_VALUE"""),1.0)</f>
        <v>1</v>
      </c>
      <c r="U3315" s="4" t="str">
        <f>IFERROR(__xludf.DUMMYFUNCTION("""COMPUTED_VALUE"""),"Venditx Ltda")</f>
        <v>Venditx Ltda</v>
      </c>
      <c r="V3315" s="33">
        <f>IFERROR(__xludf.DUMMYFUNCTION("""COMPUTED_VALUE"""),1.0)</f>
        <v>1</v>
      </c>
      <c r="W3315" s="4" t="str">
        <f>IFERROR(__xludf.DUMMYFUNCTION("""COMPUTED_VALUE"""),"Venditx Ltda")</f>
        <v>Venditx Ltda</v>
      </c>
      <c r="X3315" s="33">
        <f>IFERROR(__xludf.DUMMYFUNCTION("""COMPUTED_VALUE"""),1.0)</f>
        <v>1</v>
      </c>
    </row>
    <row r="3316">
      <c r="K3316" s="4" t="str">
        <f>IFERROR(__xludf.DUMMYFUNCTION("""COMPUTED_VALUE"""),"COSTA ATACADAO - CONTA GRUPO")</f>
        <v>COSTA ATACADAO - CONTA GRUPO</v>
      </c>
      <c r="L3316" s="32">
        <f>IFERROR(__xludf.DUMMYFUNCTION("""COMPUTED_VALUE"""),3.0)</f>
        <v>3</v>
      </c>
      <c r="M3316" s="4" t="str">
        <f>IFERROR(__xludf.DUMMYFUNCTION("""COMPUTED_VALUE"""),"null")</f>
        <v>null</v>
      </c>
      <c r="N3316" s="33">
        <f>IFERROR(__xludf.DUMMYFUNCTION("""COMPUTED_VALUE"""),0.6666666666666666)</f>
        <v>0.6666666667</v>
      </c>
      <c r="O3316" s="4" t="str">
        <f>IFERROR(__xludf.DUMMYFUNCTION("""COMPUTED_VALUE"""),"null")</f>
        <v>null</v>
      </c>
      <c r="P3316" s="33">
        <f>IFERROR(__xludf.DUMMYFUNCTION("""COMPUTED_VALUE"""),0.6666666666666666)</f>
        <v>0.6666666667</v>
      </c>
      <c r="Q3316" s="4" t="str">
        <f>IFERROR(__xludf.DUMMYFUNCTION("""COMPUTED_VALUE"""),"null")</f>
        <v>null</v>
      </c>
      <c r="R3316" s="33">
        <f>IFERROR(__xludf.DUMMYFUNCTION("""COMPUTED_VALUE"""),0.6666666666666666)</f>
        <v>0.6666666667</v>
      </c>
      <c r="S3316" s="4" t="str">
        <f>IFERROR(__xludf.DUMMYFUNCTION("""COMPUTED_VALUE"""),"null")</f>
        <v>null</v>
      </c>
      <c r="T3316" s="33">
        <f>IFERROR(__xludf.DUMMYFUNCTION("""COMPUTED_VALUE"""),0.6666666666666666)</f>
        <v>0.6666666667</v>
      </c>
      <c r="U3316" s="4" t="str">
        <f>IFERROR(__xludf.DUMMYFUNCTION("""COMPUTED_VALUE"""),"N/A (Not found)")</f>
        <v>N/A (Not found)</v>
      </c>
      <c r="V3316" s="33">
        <f>IFERROR(__xludf.DUMMYFUNCTION("""COMPUTED_VALUE"""),1.0)</f>
        <v>1</v>
      </c>
      <c r="W3316" s="4" t="str">
        <f>IFERROR(__xludf.DUMMYFUNCTION("""COMPUTED_VALUE"""),"N/A (Not found)")</f>
        <v>N/A (Not found)</v>
      </c>
      <c r="X3316" s="33">
        <f>IFERROR(__xludf.DUMMYFUNCTION("""COMPUTED_VALUE"""),1.0)</f>
        <v>1</v>
      </c>
    </row>
    <row r="3317">
      <c r="K3317" s="4" t="str">
        <f>IFERROR(__xludf.DUMMYFUNCTION("""COMPUTED_VALUE"""),"COSTA DO SOL DELIVERY")</f>
        <v>COSTA DO SOL DELIVERY</v>
      </c>
      <c r="L3317" s="32">
        <f>IFERROR(__xludf.DUMMYFUNCTION("""COMPUTED_VALUE"""),3.0)</f>
        <v>3</v>
      </c>
      <c r="M3317" s="4" t="str">
        <f>IFERROR(__xludf.DUMMYFUNCTION("""COMPUTED_VALUE"""),"Opdv")</f>
        <v>Opdv</v>
      </c>
      <c r="N3317" s="33">
        <f>IFERROR(__xludf.DUMMYFUNCTION("""COMPUTED_VALUE"""),1.0)</f>
        <v>1</v>
      </c>
      <c r="O3317" s="4" t="str">
        <f>IFERROR(__xludf.DUMMYFUNCTION("""COMPUTED_VALUE"""),"Opdv")</f>
        <v>Opdv</v>
      </c>
      <c r="P3317" s="33">
        <f>IFERROR(__xludf.DUMMYFUNCTION("""COMPUTED_VALUE"""),1.0)</f>
        <v>1</v>
      </c>
      <c r="Q3317" s="4" t="str">
        <f>IFERROR(__xludf.DUMMYFUNCTION("""COMPUTED_VALUE"""),"Opdv")</f>
        <v>Opdv</v>
      </c>
      <c r="R3317" s="33">
        <f>IFERROR(__xludf.DUMMYFUNCTION("""COMPUTED_VALUE"""),1.0)</f>
        <v>1</v>
      </c>
      <c r="S3317" s="4" t="str">
        <f>IFERROR(__xludf.DUMMYFUNCTION("""COMPUTED_VALUE"""),"Opdv")</f>
        <v>Opdv</v>
      </c>
      <c r="T3317" s="33">
        <f>IFERROR(__xludf.DUMMYFUNCTION("""COMPUTED_VALUE"""),1.0)</f>
        <v>1</v>
      </c>
      <c r="U3317" s="4" t="str">
        <f>IFERROR(__xludf.DUMMYFUNCTION("""COMPUTED_VALUE"""),"Saipos Serviços De Software")</f>
        <v>Saipos Serviços De Software</v>
      </c>
      <c r="V3317" s="33">
        <f>IFERROR(__xludf.DUMMYFUNCTION("""COMPUTED_VALUE"""),1.0)</f>
        <v>1</v>
      </c>
      <c r="W3317" s="4" t="str">
        <f>IFERROR(__xludf.DUMMYFUNCTION("""COMPUTED_VALUE"""),"Saipos Serviços De Software")</f>
        <v>Saipos Serviços De Software</v>
      </c>
      <c r="X3317" s="33">
        <f>IFERROR(__xludf.DUMMYFUNCTION("""COMPUTED_VALUE"""),1.0)</f>
        <v>1</v>
      </c>
    </row>
    <row r="3318">
      <c r="K3318" s="4" t="str">
        <f>IFERROR(__xludf.DUMMYFUNCTION("""COMPUTED_VALUE"""),"COXINHA DE OURO - LIMEIRA")</f>
        <v>COXINHA DE OURO - LIMEIRA</v>
      </c>
      <c r="L3318" s="32">
        <f>IFERROR(__xludf.DUMMYFUNCTION("""COMPUTED_VALUE"""),3.0)</f>
        <v>3</v>
      </c>
      <c r="M3318" s="4" t="str">
        <f>IFERROR(__xludf.DUMMYFUNCTION("""COMPUTED_VALUE"""),"Gplus Sistemas")</f>
        <v>Gplus Sistemas</v>
      </c>
      <c r="N3318" s="33">
        <f>IFERROR(__xludf.DUMMYFUNCTION("""COMPUTED_VALUE"""),0.6666666666666666)</f>
        <v>0.6666666667</v>
      </c>
      <c r="O3318" s="4" t="str">
        <f>IFERROR(__xludf.DUMMYFUNCTION("""COMPUTED_VALUE"""),"Gplus Sistemas")</f>
        <v>Gplus Sistemas</v>
      </c>
      <c r="P3318" s="33">
        <f>IFERROR(__xludf.DUMMYFUNCTION("""COMPUTED_VALUE"""),0.6666666666666666)</f>
        <v>0.6666666667</v>
      </c>
      <c r="Q3318" s="4" t="str">
        <f>IFERROR(__xludf.DUMMYFUNCTION("""COMPUTED_VALUE"""),"Gplus Sistemas")</f>
        <v>Gplus Sistemas</v>
      </c>
      <c r="R3318" s="33">
        <f>IFERROR(__xludf.DUMMYFUNCTION("""COMPUTED_VALUE"""),0.6666666666666666)</f>
        <v>0.6666666667</v>
      </c>
      <c r="S3318" s="4" t="str">
        <f>IFERROR(__xludf.DUMMYFUNCTION("""COMPUTED_VALUE"""),"Mp Multipedidos")</f>
        <v>Mp Multipedidos</v>
      </c>
      <c r="T3318" s="33">
        <f>IFERROR(__xludf.DUMMYFUNCTION("""COMPUTED_VALUE"""),0.3333333333333333)</f>
        <v>0.3333333333</v>
      </c>
      <c r="U3318" s="4" t="str">
        <f>IFERROR(__xludf.DUMMYFUNCTION("""COMPUTED_VALUE"""),"Gplus Sistemas")</f>
        <v>Gplus Sistemas</v>
      </c>
      <c r="V3318" s="33">
        <f>IFERROR(__xludf.DUMMYFUNCTION("""COMPUTED_VALUE"""),0.6666666666666666)</f>
        <v>0.6666666667</v>
      </c>
      <c r="W3318" s="4" t="str">
        <f>IFERROR(__xludf.DUMMYFUNCTION("""COMPUTED_VALUE"""),"Gplus Sistemas")</f>
        <v>Gplus Sistemas</v>
      </c>
      <c r="X3318" s="33">
        <f>IFERROR(__xludf.DUMMYFUNCTION("""COMPUTED_VALUE"""),0.6666666666666666)</f>
        <v>0.6666666667</v>
      </c>
    </row>
    <row r="3319">
      <c r="K3319" s="4" t="str">
        <f>IFERROR(__xludf.DUMMYFUNCTION("""COMPUTED_VALUE"""),"COXINHA DO GAGO")</f>
        <v>COXINHA DO GAGO</v>
      </c>
      <c r="L3319" s="32">
        <f>IFERROR(__xludf.DUMMYFUNCTION("""COMPUTED_VALUE"""),3.0)</f>
        <v>3</v>
      </c>
      <c r="M3319" s="4" t="str">
        <f>IFERROR(__xludf.DUMMYFUNCTION("""COMPUTED_VALUE"""),"Alpha Logo")</f>
        <v>Alpha Logo</v>
      </c>
      <c r="N3319" s="33">
        <f>IFERROR(__xludf.DUMMYFUNCTION("""COMPUTED_VALUE"""),0.6666666666666666)</f>
        <v>0.6666666667</v>
      </c>
      <c r="O3319" s="4" t="str">
        <f>IFERROR(__xludf.DUMMYFUNCTION("""COMPUTED_VALUE"""),"Alpha Logo")</f>
        <v>Alpha Logo</v>
      </c>
      <c r="P3319" s="33">
        <f>IFERROR(__xludf.DUMMYFUNCTION("""COMPUTED_VALUE"""),0.6666666666666666)</f>
        <v>0.6666666667</v>
      </c>
      <c r="Q3319" s="4" t="str">
        <f>IFERROR(__xludf.DUMMYFUNCTION("""COMPUTED_VALUE"""),"null")</f>
        <v>null</v>
      </c>
      <c r="R3319" s="33">
        <f>IFERROR(__xludf.DUMMYFUNCTION("""COMPUTED_VALUE"""),0.6666666666666666)</f>
        <v>0.6666666667</v>
      </c>
      <c r="S3319" s="4" t="str">
        <f>IFERROR(__xludf.DUMMYFUNCTION("""COMPUTED_VALUE"""),"Alpha Logo")</f>
        <v>Alpha Logo</v>
      </c>
      <c r="T3319" s="33">
        <f>IFERROR(__xludf.DUMMYFUNCTION("""COMPUTED_VALUE"""),0.6666666666666666)</f>
        <v>0.6666666667</v>
      </c>
      <c r="U3319" s="4" t="str">
        <f>IFERROR(__xludf.DUMMYFUNCTION("""COMPUTED_VALUE"""),"Alpha Logo")</f>
        <v>Alpha Logo</v>
      </c>
      <c r="V3319" s="33">
        <f>IFERROR(__xludf.DUMMYFUNCTION("""COMPUTED_VALUE"""),0.6666666666666666)</f>
        <v>0.6666666667</v>
      </c>
      <c r="W3319" s="4" t="str">
        <f>IFERROR(__xludf.DUMMYFUNCTION("""COMPUTED_VALUE"""),"Alpha Logo")</f>
        <v>Alpha Logo</v>
      </c>
      <c r="X3319" s="33">
        <f>IFERROR(__xludf.DUMMYFUNCTION("""COMPUTED_VALUE"""),0.6666666666666666)</f>
        <v>0.6666666667</v>
      </c>
    </row>
    <row r="3320">
      <c r="K3320" s="4" t="str">
        <f>IFERROR(__xludf.DUMMYFUNCTION("""COMPUTED_VALUE"""),"COXITOS SALGADOS - FLORIPA CONTA MARCA")</f>
        <v>COXITOS SALGADOS - FLORIPA CONTA MARCA</v>
      </c>
      <c r="L3320" s="32">
        <f>IFERROR(__xludf.DUMMYFUNCTION("""COMPUTED_VALUE"""),3.0)</f>
        <v>3</v>
      </c>
      <c r="M3320" s="4" t="str">
        <f>IFERROR(__xludf.DUMMYFUNCTION("""COMPUTED_VALUE"""),"Saipos Serviços De Software")</f>
        <v>Saipos Serviços De Software</v>
      </c>
      <c r="N3320" s="33">
        <f>IFERROR(__xludf.DUMMYFUNCTION("""COMPUTED_VALUE"""),1.0)</f>
        <v>1</v>
      </c>
      <c r="O3320" s="4" t="str">
        <f>IFERROR(__xludf.DUMMYFUNCTION("""COMPUTED_VALUE"""),"Saipos Serviços De Software")</f>
        <v>Saipos Serviços De Software</v>
      </c>
      <c r="P3320" s="33">
        <f>IFERROR(__xludf.DUMMYFUNCTION("""COMPUTED_VALUE"""),1.0)</f>
        <v>1</v>
      </c>
      <c r="Q3320" s="4" t="str">
        <f>IFERROR(__xludf.DUMMYFUNCTION("""COMPUTED_VALUE"""),"Saipos Serviços De Software")</f>
        <v>Saipos Serviços De Software</v>
      </c>
      <c r="R3320" s="33">
        <f>IFERROR(__xludf.DUMMYFUNCTION("""COMPUTED_VALUE"""),1.0)</f>
        <v>1</v>
      </c>
      <c r="S3320" s="4" t="str">
        <f>IFERROR(__xludf.DUMMYFUNCTION("""COMPUTED_VALUE"""),"Saipos Serviços De Software")</f>
        <v>Saipos Serviços De Software</v>
      </c>
      <c r="T3320" s="33">
        <f>IFERROR(__xludf.DUMMYFUNCTION("""COMPUTED_VALUE"""),1.0)</f>
        <v>1</v>
      </c>
      <c r="U3320" s="4" t="str">
        <f>IFERROR(__xludf.DUMMYFUNCTION("""COMPUTED_VALUE"""),"Saipos Serviços De Software")</f>
        <v>Saipos Serviços De Software</v>
      </c>
      <c r="V3320" s="33">
        <f>IFERROR(__xludf.DUMMYFUNCTION("""COMPUTED_VALUE"""),1.0)</f>
        <v>1</v>
      </c>
      <c r="W3320" s="4" t="str">
        <f>IFERROR(__xludf.DUMMYFUNCTION("""COMPUTED_VALUE"""),"Saipos Serviços De Software")</f>
        <v>Saipos Serviços De Software</v>
      </c>
      <c r="X3320" s="33">
        <f>IFERROR(__xludf.DUMMYFUNCTION("""COMPUTED_VALUE"""),1.0)</f>
        <v>1</v>
      </c>
    </row>
    <row r="3321">
      <c r="K3321" s="4" t="str">
        <f>IFERROR(__xludf.DUMMYFUNCTION("""COMPUTED_VALUE"""),"COZINHA DOS FUNDOS - BURGER ARTESANAL")</f>
        <v>COZINHA DOS FUNDOS - BURGER ARTESANAL</v>
      </c>
      <c r="L3321" s="32">
        <f>IFERROR(__xludf.DUMMYFUNCTION("""COMPUTED_VALUE"""),3.0)</f>
        <v>3</v>
      </c>
      <c r="M3321" s="4" t="str">
        <f>IFERROR(__xludf.DUMMYFUNCTION("""COMPUTED_VALUE"""),"Saipos Serviços De Software")</f>
        <v>Saipos Serviços De Software</v>
      </c>
      <c r="N3321" s="33">
        <f>IFERROR(__xludf.DUMMYFUNCTION("""COMPUTED_VALUE"""),1.0)</f>
        <v>1</v>
      </c>
      <c r="O3321" s="4" t="str">
        <f>IFERROR(__xludf.DUMMYFUNCTION("""COMPUTED_VALUE"""),"Saipos Serviços De Software")</f>
        <v>Saipos Serviços De Software</v>
      </c>
      <c r="P3321" s="33">
        <f>IFERROR(__xludf.DUMMYFUNCTION("""COMPUTED_VALUE"""),1.0)</f>
        <v>1</v>
      </c>
      <c r="Q3321" s="4" t="str">
        <f>IFERROR(__xludf.DUMMYFUNCTION("""COMPUTED_VALUE"""),"Saipos Serviços De Software")</f>
        <v>Saipos Serviços De Software</v>
      </c>
      <c r="R3321" s="33">
        <f>IFERROR(__xludf.DUMMYFUNCTION("""COMPUTED_VALUE"""),1.0)</f>
        <v>1</v>
      </c>
      <c r="S3321" s="4" t="str">
        <f>IFERROR(__xludf.DUMMYFUNCTION("""COMPUTED_VALUE"""),"Saipos Serviços De Software")</f>
        <v>Saipos Serviços De Software</v>
      </c>
      <c r="T3321" s="33">
        <f>IFERROR(__xludf.DUMMYFUNCTION("""COMPUTED_VALUE"""),1.0)</f>
        <v>1</v>
      </c>
      <c r="U3321" s="4" t="str">
        <f>IFERROR(__xludf.DUMMYFUNCTION("""COMPUTED_VALUE"""),"Saipos Serviços De Software")</f>
        <v>Saipos Serviços De Software</v>
      </c>
      <c r="V3321" s="33">
        <f>IFERROR(__xludf.DUMMYFUNCTION("""COMPUTED_VALUE"""),1.0)</f>
        <v>1</v>
      </c>
      <c r="W3321" s="4" t="str">
        <f>IFERROR(__xludf.DUMMYFUNCTION("""COMPUTED_VALUE"""),"Saipos Serviços De Software")</f>
        <v>Saipos Serviços De Software</v>
      </c>
      <c r="X3321" s="33">
        <f>IFERROR(__xludf.DUMMYFUNCTION("""COMPUTED_VALUE"""),1.0)</f>
        <v>1</v>
      </c>
    </row>
    <row r="3322">
      <c r="K3322" s="4" t="str">
        <f>IFERROR(__xludf.DUMMYFUNCTION("""COMPUTED_VALUE"""),"COZINHA DOS FUNDOS - CUIABA")</f>
        <v>COZINHA DOS FUNDOS - CUIABA</v>
      </c>
      <c r="L3322" s="32">
        <f>IFERROR(__xludf.DUMMYFUNCTION("""COMPUTED_VALUE"""),3.0)</f>
        <v>3</v>
      </c>
      <c r="M3322" s="4" t="str">
        <f>IFERROR(__xludf.DUMMYFUNCTION("""COMPUTED_VALUE"""),"Saipos Serviços De Software")</f>
        <v>Saipos Serviços De Software</v>
      </c>
      <c r="N3322" s="33">
        <f>IFERROR(__xludf.DUMMYFUNCTION("""COMPUTED_VALUE"""),1.0)</f>
        <v>1</v>
      </c>
      <c r="O3322" s="4" t="str">
        <f>IFERROR(__xludf.DUMMYFUNCTION("""COMPUTED_VALUE"""),"Saipos Serviços De Software")</f>
        <v>Saipos Serviços De Software</v>
      </c>
      <c r="P3322" s="33">
        <f>IFERROR(__xludf.DUMMYFUNCTION("""COMPUTED_VALUE"""),1.0)</f>
        <v>1</v>
      </c>
      <c r="Q3322" s="4" t="str">
        <f>IFERROR(__xludf.DUMMYFUNCTION("""COMPUTED_VALUE"""),"Saipos Serviços De Software")</f>
        <v>Saipos Serviços De Software</v>
      </c>
      <c r="R3322" s="33">
        <f>IFERROR(__xludf.DUMMYFUNCTION("""COMPUTED_VALUE"""),1.0)</f>
        <v>1</v>
      </c>
      <c r="S3322" s="4" t="str">
        <f>IFERROR(__xludf.DUMMYFUNCTION("""COMPUTED_VALUE"""),"Saipos Serviços De Software")</f>
        <v>Saipos Serviços De Software</v>
      </c>
      <c r="T3322" s="33">
        <f>IFERROR(__xludf.DUMMYFUNCTION("""COMPUTED_VALUE"""),1.0)</f>
        <v>1</v>
      </c>
      <c r="U3322" s="4" t="str">
        <f>IFERROR(__xludf.DUMMYFUNCTION("""COMPUTED_VALUE"""),"Saipos Serviços De Software")</f>
        <v>Saipos Serviços De Software</v>
      </c>
      <c r="V3322" s="33">
        <f>IFERROR(__xludf.DUMMYFUNCTION("""COMPUTED_VALUE"""),1.0)</f>
        <v>1</v>
      </c>
      <c r="W3322" s="4" t="str">
        <f>IFERROR(__xludf.DUMMYFUNCTION("""COMPUTED_VALUE"""),"Saipos Serviços De Software")</f>
        <v>Saipos Serviços De Software</v>
      </c>
      <c r="X3322" s="33">
        <f>IFERROR(__xludf.DUMMYFUNCTION("""COMPUTED_VALUE"""),1.0)</f>
        <v>1</v>
      </c>
    </row>
    <row r="3323">
      <c r="K3323" s="4" t="str">
        <f>IFERROR(__xludf.DUMMYFUNCTION("""COMPUTED_VALUE"""),"CREPE CEVADA")</f>
        <v>CREPE CEVADA</v>
      </c>
      <c r="L3323" s="32">
        <f>IFERROR(__xludf.DUMMYFUNCTION("""COMPUTED_VALUE"""),3.0)</f>
        <v>3</v>
      </c>
      <c r="M3323" s="4" t="str">
        <f>IFERROR(__xludf.DUMMYFUNCTION("""COMPUTED_VALUE"""),"F-rest Sistema Para Food Service Ltda")</f>
        <v>F-rest Sistema Para Food Service Ltda</v>
      </c>
      <c r="N3323" s="33">
        <f>IFERROR(__xludf.DUMMYFUNCTION("""COMPUTED_VALUE"""),1.0)</f>
        <v>1</v>
      </c>
      <c r="O3323" s="4" t="str">
        <f>IFERROR(__xludf.DUMMYFUNCTION("""COMPUTED_VALUE"""),"F-rest Sistema Para Food Service Ltda")</f>
        <v>F-rest Sistema Para Food Service Ltda</v>
      </c>
      <c r="P3323" s="33">
        <f>IFERROR(__xludf.DUMMYFUNCTION("""COMPUTED_VALUE"""),1.0)</f>
        <v>1</v>
      </c>
      <c r="Q3323" s="4" t="str">
        <f>IFERROR(__xludf.DUMMYFUNCTION("""COMPUTED_VALUE"""),"F-rest Sistema Para Food Service Ltda")</f>
        <v>F-rest Sistema Para Food Service Ltda</v>
      </c>
      <c r="R3323" s="33">
        <f>IFERROR(__xludf.DUMMYFUNCTION("""COMPUTED_VALUE"""),1.0)</f>
        <v>1</v>
      </c>
      <c r="S3323" s="4" t="str">
        <f>IFERROR(__xludf.DUMMYFUNCTION("""COMPUTED_VALUE"""),"F-rest Sistema Para Food Service Ltda")</f>
        <v>F-rest Sistema Para Food Service Ltda</v>
      </c>
      <c r="T3323" s="33">
        <f>IFERROR(__xludf.DUMMYFUNCTION("""COMPUTED_VALUE"""),1.0)</f>
        <v>1</v>
      </c>
      <c r="U3323" s="4" t="str">
        <f>IFERROR(__xludf.DUMMYFUNCTION("""COMPUTED_VALUE"""),"F-rest Sistema Para Food Service Ltda")</f>
        <v>F-rest Sistema Para Food Service Ltda</v>
      </c>
      <c r="V3323" s="33">
        <f>IFERROR(__xludf.DUMMYFUNCTION("""COMPUTED_VALUE"""),1.0)</f>
        <v>1</v>
      </c>
      <c r="W3323" s="4" t="str">
        <f>IFERROR(__xludf.DUMMYFUNCTION("""COMPUTED_VALUE"""),"F-rest Sistema Para Food Service Ltda")</f>
        <v>F-rest Sistema Para Food Service Ltda</v>
      </c>
      <c r="X3323" s="33">
        <f>IFERROR(__xludf.DUMMYFUNCTION("""COMPUTED_VALUE"""),1.0)</f>
        <v>1</v>
      </c>
    </row>
    <row r="3324">
      <c r="K3324" s="4" t="str">
        <f>IFERROR(__xludf.DUMMYFUNCTION("""COMPUTED_VALUE"""),"CROCO GASTROBAR")</f>
        <v>CROCO GASTROBAR</v>
      </c>
      <c r="L3324" s="32">
        <f>IFERROR(__xludf.DUMMYFUNCTION("""COMPUTED_VALUE"""),3.0)</f>
        <v>3</v>
      </c>
      <c r="M3324" s="4" t="str">
        <f>IFERROR(__xludf.DUMMYFUNCTION("""COMPUTED_VALUE"""),"null")</f>
        <v>null</v>
      </c>
      <c r="N3324" s="33">
        <f>IFERROR(__xludf.DUMMYFUNCTION("""COMPUTED_VALUE"""),0.6666666666666666)</f>
        <v>0.6666666667</v>
      </c>
      <c r="O3324" s="4" t="str">
        <f>IFERROR(__xludf.DUMMYFUNCTION("""COMPUTED_VALUE"""),"null")</f>
        <v>null</v>
      </c>
      <c r="P3324" s="33">
        <f>IFERROR(__xludf.DUMMYFUNCTION("""COMPUTED_VALUE"""),0.6666666666666666)</f>
        <v>0.6666666667</v>
      </c>
      <c r="Q3324" s="4" t="str">
        <f>IFERROR(__xludf.DUMMYFUNCTION("""COMPUTED_VALUE"""),"Ncr")</f>
        <v>Ncr</v>
      </c>
      <c r="R3324" s="33">
        <f>IFERROR(__xludf.DUMMYFUNCTION("""COMPUTED_VALUE"""),0.6666666666666666)</f>
        <v>0.6666666667</v>
      </c>
      <c r="S3324" s="4" t="str">
        <f>IFERROR(__xludf.DUMMYFUNCTION("""COMPUTED_VALUE"""),"Ncr")</f>
        <v>Ncr</v>
      </c>
      <c r="T3324" s="33">
        <f>IFERROR(__xludf.DUMMYFUNCTION("""COMPUTED_VALUE"""),1.0)</f>
        <v>1</v>
      </c>
      <c r="U3324" s="4" t="str">
        <f>IFERROR(__xludf.DUMMYFUNCTION("""COMPUTED_VALUE"""),"Ncr")</f>
        <v>Ncr</v>
      </c>
      <c r="V3324" s="33">
        <f>IFERROR(__xludf.DUMMYFUNCTION("""COMPUTED_VALUE"""),1.0)</f>
        <v>1</v>
      </c>
      <c r="W3324" s="4" t="str">
        <f>IFERROR(__xludf.DUMMYFUNCTION("""COMPUTED_VALUE"""),"Ncr")</f>
        <v>Ncr</v>
      </c>
      <c r="X3324" s="33">
        <f>IFERROR(__xludf.DUMMYFUNCTION("""COMPUTED_VALUE"""),1.0)</f>
        <v>1</v>
      </c>
    </row>
    <row r="3325">
      <c r="K3325" s="4" t="str">
        <f>IFERROR(__xludf.DUMMYFUNCTION("""COMPUTED_VALUE"""),"CUNAS BURGER")</f>
        <v>CUNAS BURGER</v>
      </c>
      <c r="L3325" s="32">
        <f>IFERROR(__xludf.DUMMYFUNCTION("""COMPUTED_VALUE"""),3.0)</f>
        <v>3</v>
      </c>
      <c r="M3325" s="4" t="str">
        <f>IFERROR(__xludf.DUMMYFUNCTION("""COMPUTED_VALUE"""),"Yooga")</f>
        <v>Yooga</v>
      </c>
      <c r="N3325" s="33">
        <f>IFERROR(__xludf.DUMMYFUNCTION("""COMPUTED_VALUE"""),1.0)</f>
        <v>1</v>
      </c>
      <c r="O3325" s="4" t="str">
        <f>IFERROR(__xludf.DUMMYFUNCTION("""COMPUTED_VALUE"""),"Yooga")</f>
        <v>Yooga</v>
      </c>
      <c r="P3325" s="33">
        <f>IFERROR(__xludf.DUMMYFUNCTION("""COMPUTED_VALUE"""),1.0)</f>
        <v>1</v>
      </c>
      <c r="Q3325" s="4" t="str">
        <f>IFERROR(__xludf.DUMMYFUNCTION("""COMPUTED_VALUE"""),"Saipos Serviços De Software")</f>
        <v>Saipos Serviços De Software</v>
      </c>
      <c r="R3325" s="33">
        <f>IFERROR(__xludf.DUMMYFUNCTION("""COMPUTED_VALUE"""),1.0)</f>
        <v>1</v>
      </c>
      <c r="S3325" s="4" t="str">
        <f>IFERROR(__xludf.DUMMYFUNCTION("""COMPUTED_VALUE"""),"Saipos Serviços De Software")</f>
        <v>Saipos Serviços De Software</v>
      </c>
      <c r="T3325" s="33">
        <f>IFERROR(__xludf.DUMMYFUNCTION("""COMPUTED_VALUE"""),1.0)</f>
        <v>1</v>
      </c>
      <c r="U3325" s="4" t="str">
        <f>IFERROR(__xludf.DUMMYFUNCTION("""COMPUTED_VALUE"""),"Saipos Serviços De Software")</f>
        <v>Saipos Serviços De Software</v>
      </c>
      <c r="V3325" s="33">
        <f>IFERROR(__xludf.DUMMYFUNCTION("""COMPUTED_VALUE"""),1.0)</f>
        <v>1</v>
      </c>
      <c r="W3325" s="4" t="str">
        <f>IFERROR(__xludf.DUMMYFUNCTION("""COMPUTED_VALUE"""),"Saipos Serviços De Software")</f>
        <v>Saipos Serviços De Software</v>
      </c>
      <c r="X3325" s="33">
        <f>IFERROR(__xludf.DUMMYFUNCTION("""COMPUTED_VALUE"""),1.0)</f>
        <v>1</v>
      </c>
    </row>
    <row r="3326">
      <c r="K3326" s="4" t="str">
        <f>IFERROR(__xludf.DUMMYFUNCTION("""COMPUTED_VALUE"""),"D VITAMINAS - CONTA MARCA")</f>
        <v>D VITAMINAS - CONTA MARCA</v>
      </c>
      <c r="L3326" s="32">
        <f>IFERROR(__xludf.DUMMYFUNCTION("""COMPUTED_VALUE"""),3.0)</f>
        <v>3</v>
      </c>
      <c r="M3326" s="4" t="str">
        <f>IFERROR(__xludf.DUMMYFUNCTION("""COMPUTED_VALUE"""),"N/A (Not found)")</f>
        <v>N/A (Not found)</v>
      </c>
      <c r="N3326" s="33">
        <f>IFERROR(__xludf.DUMMYFUNCTION("""COMPUTED_VALUE"""),0.6666666666666666)</f>
        <v>0.6666666667</v>
      </c>
      <c r="O3326" s="4" t="str">
        <f>IFERROR(__xludf.DUMMYFUNCTION("""COMPUTED_VALUE"""),"N/A (Not found)")</f>
        <v>N/A (Not found)</v>
      </c>
      <c r="P3326" s="33">
        <f>IFERROR(__xludf.DUMMYFUNCTION("""COMPUTED_VALUE"""),1.0)</f>
        <v>1</v>
      </c>
      <c r="Q3326" s="4" t="str">
        <f>IFERROR(__xludf.DUMMYFUNCTION("""COMPUTED_VALUE"""),"N/A (Not found)")</f>
        <v>N/A (Not found)</v>
      </c>
      <c r="R3326" s="33">
        <f>IFERROR(__xludf.DUMMYFUNCTION("""COMPUTED_VALUE"""),1.0)</f>
        <v>1</v>
      </c>
      <c r="S3326" s="4" t="str">
        <f>IFERROR(__xludf.DUMMYFUNCTION("""COMPUTED_VALUE"""),"N/A (Not found)")</f>
        <v>N/A (Not found)</v>
      </c>
      <c r="T3326" s="33">
        <f>IFERROR(__xludf.DUMMYFUNCTION("""COMPUTED_VALUE"""),0.6666666666666666)</f>
        <v>0.6666666667</v>
      </c>
      <c r="U3326" s="4" t="str">
        <f>IFERROR(__xludf.DUMMYFUNCTION("""COMPUTED_VALUE"""),"N/A (Not found)")</f>
        <v>N/A (Not found)</v>
      </c>
      <c r="V3326" s="33">
        <f>IFERROR(__xludf.DUMMYFUNCTION("""COMPUTED_VALUE"""),0.6666666666666666)</f>
        <v>0.6666666667</v>
      </c>
      <c r="W3326" s="4" t="str">
        <f>IFERROR(__xludf.DUMMYFUNCTION("""COMPUTED_VALUE"""),"null")</f>
        <v>null</v>
      </c>
      <c r="X3326" s="33">
        <f>IFERROR(__xludf.DUMMYFUNCTION("""COMPUTED_VALUE"""),0.6666666666666666)</f>
        <v>0.6666666667</v>
      </c>
    </row>
    <row r="3327">
      <c r="K3327" s="4" t="str">
        <f>IFERROR(__xludf.DUMMYFUNCTION("""COMPUTED_VALUE"""),"DA PONTE")</f>
        <v>DA PONTE</v>
      </c>
      <c r="L3327" s="32">
        <f>IFERROR(__xludf.DUMMYFUNCTION("""COMPUTED_VALUE"""),3.0)</f>
        <v>3</v>
      </c>
      <c r="M3327" s="4" t="str">
        <f>IFERROR(__xludf.DUMMYFUNCTION("""COMPUTED_VALUE"""),"Yooga")</f>
        <v>Yooga</v>
      </c>
      <c r="N3327" s="33">
        <f>IFERROR(__xludf.DUMMYFUNCTION("""COMPUTED_VALUE"""),1.0)</f>
        <v>1</v>
      </c>
      <c r="O3327" s="4" t="str">
        <f>IFERROR(__xludf.DUMMYFUNCTION("""COMPUTED_VALUE"""),"Yooga")</f>
        <v>Yooga</v>
      </c>
      <c r="P3327" s="33">
        <f>IFERROR(__xludf.DUMMYFUNCTION("""COMPUTED_VALUE"""),0.6666666666666666)</f>
        <v>0.6666666667</v>
      </c>
      <c r="Q3327" s="4" t="str">
        <f>IFERROR(__xludf.DUMMYFUNCTION("""COMPUTED_VALUE"""),"Yooga")</f>
        <v>Yooga</v>
      </c>
      <c r="R3327" s="33">
        <f>IFERROR(__xludf.DUMMYFUNCTION("""COMPUTED_VALUE"""),1.0)</f>
        <v>1</v>
      </c>
      <c r="S3327" s="4" t="str">
        <f>IFERROR(__xludf.DUMMYFUNCTION("""COMPUTED_VALUE"""),"Yooga")</f>
        <v>Yooga</v>
      </c>
      <c r="T3327" s="33">
        <f>IFERROR(__xludf.DUMMYFUNCTION("""COMPUTED_VALUE"""),1.0)</f>
        <v>1</v>
      </c>
      <c r="U3327" s="4" t="str">
        <f>IFERROR(__xludf.DUMMYFUNCTION("""COMPUTED_VALUE"""),"Yooga")</f>
        <v>Yooga</v>
      </c>
      <c r="V3327" s="33">
        <f>IFERROR(__xludf.DUMMYFUNCTION("""COMPUTED_VALUE"""),0.6666666666666666)</f>
        <v>0.6666666667</v>
      </c>
      <c r="W3327" s="4" t="str">
        <f>IFERROR(__xludf.DUMMYFUNCTION("""COMPUTED_VALUE"""),"Yooga")</f>
        <v>Yooga</v>
      </c>
      <c r="X3327" s="33">
        <f>IFERROR(__xludf.DUMMYFUNCTION("""COMPUTED_VALUE"""),0.6666666666666666)</f>
        <v>0.6666666667</v>
      </c>
    </row>
    <row r="3328">
      <c r="K3328" s="4" t="str">
        <f>IFERROR(__xludf.DUMMYFUNCTION("""COMPUTED_VALUE"""),"DA VINCI")</f>
        <v>DA VINCI</v>
      </c>
      <c r="L3328" s="32">
        <f>IFERROR(__xludf.DUMMYFUNCTION("""COMPUTED_VALUE"""),3.0)</f>
        <v>3</v>
      </c>
      <c r="M3328" s="4" t="str">
        <f>IFERROR(__xludf.DUMMYFUNCTION("""COMPUTED_VALUE"""),"Ncr")</f>
        <v>Ncr</v>
      </c>
      <c r="N3328" s="33">
        <f>IFERROR(__xludf.DUMMYFUNCTION("""COMPUTED_VALUE"""),1.0)</f>
        <v>1</v>
      </c>
      <c r="O3328" s="4" t="str">
        <f>IFERROR(__xludf.DUMMYFUNCTION("""COMPUTED_VALUE"""),"Ncr")</f>
        <v>Ncr</v>
      </c>
      <c r="P3328" s="33">
        <f>IFERROR(__xludf.DUMMYFUNCTION("""COMPUTED_VALUE"""),1.0)</f>
        <v>1</v>
      </c>
      <c r="Q3328" s="4" t="str">
        <f>IFERROR(__xludf.DUMMYFUNCTION("""COMPUTED_VALUE"""),"Ncr")</f>
        <v>Ncr</v>
      </c>
      <c r="R3328" s="33">
        <f>IFERROR(__xludf.DUMMYFUNCTION("""COMPUTED_VALUE"""),1.0)</f>
        <v>1</v>
      </c>
      <c r="S3328" s="4" t="str">
        <f>IFERROR(__xludf.DUMMYFUNCTION("""COMPUTED_VALUE"""),"null")</f>
        <v>null</v>
      </c>
      <c r="T3328" s="33">
        <f>IFERROR(__xludf.DUMMYFUNCTION("""COMPUTED_VALUE"""),1.0)</f>
        <v>1</v>
      </c>
      <c r="U3328" s="4" t="str">
        <f>IFERROR(__xludf.DUMMYFUNCTION("""COMPUTED_VALUE"""),"null")</f>
        <v>null</v>
      </c>
      <c r="V3328" s="33">
        <f>IFERROR(__xludf.DUMMYFUNCTION("""COMPUTED_VALUE"""),1.0)</f>
        <v>1</v>
      </c>
      <c r="W3328" s="4" t="str">
        <f>IFERROR(__xludf.DUMMYFUNCTION("""COMPUTED_VALUE"""),"null")</f>
        <v>null</v>
      </c>
      <c r="X3328" s="33">
        <f>IFERROR(__xludf.DUMMYFUNCTION("""COMPUTED_VALUE"""),1.0)</f>
        <v>1</v>
      </c>
    </row>
    <row r="3329">
      <c r="K3329" s="4" t="str">
        <f>IFERROR(__xludf.DUMMYFUNCTION("""COMPUTED_VALUE"""),"DAMARATE CONFEITARIA")</f>
        <v>DAMARATE CONFEITARIA</v>
      </c>
      <c r="L3329" s="32">
        <f>IFERROR(__xludf.DUMMYFUNCTION("""COMPUTED_VALUE"""),3.0)</f>
        <v>3</v>
      </c>
      <c r="M3329" s="4" t="str">
        <f>IFERROR(__xludf.DUMMYFUNCTION("""COMPUTED_VALUE"""),"Cloudfy")</f>
        <v>Cloudfy</v>
      </c>
      <c r="N3329" s="33">
        <f>IFERROR(__xludf.DUMMYFUNCTION("""COMPUTED_VALUE"""),1.0)</f>
        <v>1</v>
      </c>
      <c r="O3329" s="4" t="str">
        <f>IFERROR(__xludf.DUMMYFUNCTION("""COMPUTED_VALUE"""),"Cloudfy")</f>
        <v>Cloudfy</v>
      </c>
      <c r="P3329" s="33">
        <f>IFERROR(__xludf.DUMMYFUNCTION("""COMPUTED_VALUE"""),1.0)</f>
        <v>1</v>
      </c>
      <c r="Q3329" s="4" t="str">
        <f>IFERROR(__xludf.DUMMYFUNCTION("""COMPUTED_VALUE"""),"Cloudfy")</f>
        <v>Cloudfy</v>
      </c>
      <c r="R3329" s="33">
        <f>IFERROR(__xludf.DUMMYFUNCTION("""COMPUTED_VALUE"""),1.0)</f>
        <v>1</v>
      </c>
      <c r="S3329" s="4" t="str">
        <f>IFERROR(__xludf.DUMMYFUNCTION("""COMPUTED_VALUE"""),"Cloudfy")</f>
        <v>Cloudfy</v>
      </c>
      <c r="T3329" s="33">
        <f>IFERROR(__xludf.DUMMYFUNCTION("""COMPUTED_VALUE"""),1.0)</f>
        <v>1</v>
      </c>
      <c r="U3329" s="4" t="str">
        <f>IFERROR(__xludf.DUMMYFUNCTION("""COMPUTED_VALUE"""),"Cloudfy")</f>
        <v>Cloudfy</v>
      </c>
      <c r="V3329" s="33">
        <f>IFERROR(__xludf.DUMMYFUNCTION("""COMPUTED_VALUE"""),1.0)</f>
        <v>1</v>
      </c>
      <c r="W3329" s="4" t="str">
        <f>IFERROR(__xludf.DUMMYFUNCTION("""COMPUTED_VALUE"""),"Cloudfy")</f>
        <v>Cloudfy</v>
      </c>
      <c r="X3329" s="33">
        <f>IFERROR(__xludf.DUMMYFUNCTION("""COMPUTED_VALUE"""),1.0)</f>
        <v>1</v>
      </c>
    </row>
    <row r="3330">
      <c r="K3330" s="4" t="str">
        <f>IFERROR(__xludf.DUMMYFUNCTION("""COMPUTED_VALUE"""),"DAMARATE CONFEITARIA - CP")</f>
        <v>DAMARATE CONFEITARIA - CP</v>
      </c>
      <c r="L3330" s="32">
        <f>IFERROR(__xludf.DUMMYFUNCTION("""COMPUTED_VALUE"""),3.0)</f>
        <v>3</v>
      </c>
      <c r="M3330" s="4" t="str">
        <f>IFERROR(__xludf.DUMMYFUNCTION("""COMPUTED_VALUE"""),"Cloudfy")</f>
        <v>Cloudfy</v>
      </c>
      <c r="N3330" s="33">
        <f>IFERROR(__xludf.DUMMYFUNCTION("""COMPUTED_VALUE"""),1.0)</f>
        <v>1</v>
      </c>
      <c r="O3330" s="4" t="str">
        <f>IFERROR(__xludf.DUMMYFUNCTION("""COMPUTED_VALUE"""),"Cloudfy")</f>
        <v>Cloudfy</v>
      </c>
      <c r="P3330" s="33">
        <f>IFERROR(__xludf.DUMMYFUNCTION("""COMPUTED_VALUE"""),1.0)</f>
        <v>1</v>
      </c>
      <c r="Q3330" s="4" t="str">
        <f>IFERROR(__xludf.DUMMYFUNCTION("""COMPUTED_VALUE"""),"Cloudfy")</f>
        <v>Cloudfy</v>
      </c>
      <c r="R3330" s="33">
        <f>IFERROR(__xludf.DUMMYFUNCTION("""COMPUTED_VALUE"""),1.0)</f>
        <v>1</v>
      </c>
      <c r="S3330" s="4" t="str">
        <f>IFERROR(__xludf.DUMMYFUNCTION("""COMPUTED_VALUE"""),"Cloudfy")</f>
        <v>Cloudfy</v>
      </c>
      <c r="T3330" s="33">
        <f>IFERROR(__xludf.DUMMYFUNCTION("""COMPUTED_VALUE"""),1.0)</f>
        <v>1</v>
      </c>
      <c r="U3330" s="4" t="str">
        <f>IFERROR(__xludf.DUMMYFUNCTION("""COMPUTED_VALUE"""),"Cloudfy")</f>
        <v>Cloudfy</v>
      </c>
      <c r="V3330" s="33">
        <f>IFERROR(__xludf.DUMMYFUNCTION("""COMPUTED_VALUE"""),1.0)</f>
        <v>1</v>
      </c>
      <c r="W3330" s="4" t="str">
        <f>IFERROR(__xludf.DUMMYFUNCTION("""COMPUTED_VALUE"""),"Cloudfy")</f>
        <v>Cloudfy</v>
      </c>
      <c r="X3330" s="33">
        <f>IFERROR(__xludf.DUMMYFUNCTION("""COMPUTED_VALUE"""),1.0)</f>
        <v>1</v>
      </c>
    </row>
    <row r="3331">
      <c r="K3331" s="4" t="str">
        <f>IFERROR(__xludf.DUMMYFUNCTION("""COMPUTED_VALUE"""),"DB HOUSE")</f>
        <v>DB HOUSE</v>
      </c>
      <c r="L3331" s="32">
        <f>IFERROR(__xludf.DUMMYFUNCTION("""COMPUTED_VALUE"""),3.0)</f>
        <v>3</v>
      </c>
      <c r="M3331" s="4" t="str">
        <f>IFERROR(__xludf.DUMMYFUNCTION("""COMPUTED_VALUE"""),"F-rest Sistema Para Food Service Ltda")</f>
        <v>F-rest Sistema Para Food Service Ltda</v>
      </c>
      <c r="N3331" s="33">
        <f>IFERROR(__xludf.DUMMYFUNCTION("""COMPUTED_VALUE"""),0.6666666666666666)</f>
        <v>0.6666666667</v>
      </c>
      <c r="O3331" s="4" t="str">
        <f>IFERROR(__xludf.DUMMYFUNCTION("""COMPUTED_VALUE"""),"F-rest Sistema Para Food Service Ltda")</f>
        <v>F-rest Sistema Para Food Service Ltda</v>
      </c>
      <c r="P3331" s="33">
        <f>IFERROR(__xludf.DUMMYFUNCTION("""COMPUTED_VALUE"""),0.6666666666666666)</f>
        <v>0.6666666667</v>
      </c>
      <c r="Q3331" s="4" t="str">
        <f>IFERROR(__xludf.DUMMYFUNCTION("""COMPUTED_VALUE"""),"null")</f>
        <v>null</v>
      </c>
      <c r="R3331" s="33">
        <f>IFERROR(__xludf.DUMMYFUNCTION("""COMPUTED_VALUE"""),0.6666666666666666)</f>
        <v>0.6666666667</v>
      </c>
      <c r="S3331" s="4" t="str">
        <f>IFERROR(__xludf.DUMMYFUNCTION("""COMPUTED_VALUE"""),"null")</f>
        <v>null</v>
      </c>
      <c r="T3331" s="33">
        <f>IFERROR(__xludf.DUMMYFUNCTION("""COMPUTED_VALUE"""),0.6666666666666666)</f>
        <v>0.6666666667</v>
      </c>
      <c r="U3331" s="4" t="str">
        <f>IFERROR(__xludf.DUMMYFUNCTION("""COMPUTED_VALUE"""),"null")</f>
        <v>null</v>
      </c>
      <c r="V3331" s="33">
        <f>IFERROR(__xludf.DUMMYFUNCTION("""COMPUTED_VALUE"""),0.3333333333333333)</f>
        <v>0.3333333333</v>
      </c>
      <c r="W3331" s="4" t="str">
        <f>IFERROR(__xludf.DUMMYFUNCTION("""COMPUTED_VALUE"""),"null")</f>
        <v>null</v>
      </c>
      <c r="X3331" s="33">
        <f>IFERROR(__xludf.DUMMYFUNCTION("""COMPUTED_VALUE"""),0.3333333333333333)</f>
        <v>0.3333333333</v>
      </c>
    </row>
    <row r="3332">
      <c r="K3332" s="4" t="str">
        <f>IFERROR(__xludf.DUMMYFUNCTION("""COMPUTED_VALUE"""),"DEBETTI")</f>
        <v>DEBETTI</v>
      </c>
      <c r="L3332" s="32">
        <f>IFERROR(__xludf.DUMMYFUNCTION("""COMPUTED_VALUE"""),3.0)</f>
        <v>3</v>
      </c>
      <c r="M3332" s="4" t="str">
        <f>IFERROR(__xludf.DUMMYFUNCTION("""COMPUTED_VALUE"""),"Ncr")</f>
        <v>Ncr</v>
      </c>
      <c r="N3332" s="33">
        <f>IFERROR(__xludf.DUMMYFUNCTION("""COMPUTED_VALUE"""),1.0)</f>
        <v>1</v>
      </c>
      <c r="O3332" s="4" t="str">
        <f>IFERROR(__xludf.DUMMYFUNCTION("""COMPUTED_VALUE"""),"Ncr")</f>
        <v>Ncr</v>
      </c>
      <c r="P3332" s="33">
        <f>IFERROR(__xludf.DUMMYFUNCTION("""COMPUTED_VALUE"""),1.0)</f>
        <v>1</v>
      </c>
      <c r="Q3332" s="4" t="str">
        <f>IFERROR(__xludf.DUMMYFUNCTION("""COMPUTED_VALUE"""),"Ncr")</f>
        <v>Ncr</v>
      </c>
      <c r="R3332" s="33">
        <f>IFERROR(__xludf.DUMMYFUNCTION("""COMPUTED_VALUE"""),1.0)</f>
        <v>1</v>
      </c>
      <c r="S3332" s="4" t="str">
        <f>IFERROR(__xludf.DUMMYFUNCTION("""COMPUTED_VALUE"""),"Ncr")</f>
        <v>Ncr</v>
      </c>
      <c r="T3332" s="33">
        <f>IFERROR(__xludf.DUMMYFUNCTION("""COMPUTED_VALUE"""),1.0)</f>
        <v>1</v>
      </c>
      <c r="U3332" s="4" t="str">
        <f>IFERROR(__xludf.DUMMYFUNCTION("""COMPUTED_VALUE"""),"null")</f>
        <v>null</v>
      </c>
      <c r="V3332" s="33">
        <f>IFERROR(__xludf.DUMMYFUNCTION("""COMPUTED_VALUE"""),0.6666666666666666)</f>
        <v>0.6666666667</v>
      </c>
      <c r="W3332" s="4" t="str">
        <f>IFERROR(__xludf.DUMMYFUNCTION("""COMPUTED_VALUE"""),"null")</f>
        <v>null</v>
      </c>
      <c r="X3332" s="33">
        <f>IFERROR(__xludf.DUMMYFUNCTION("""COMPUTED_VALUE"""),1.0)</f>
        <v>1</v>
      </c>
    </row>
    <row r="3333">
      <c r="K3333" s="4" t="str">
        <f>IFERROR(__xludf.DUMMYFUNCTION("""COMPUTED_VALUE"""),"DECK GASTROBAR")</f>
        <v>DECK GASTROBAR</v>
      </c>
      <c r="L3333" s="32">
        <f>IFERROR(__xludf.DUMMYFUNCTION("""COMPUTED_VALUE"""),3.0)</f>
        <v>3</v>
      </c>
      <c r="M3333" s="4" t="str">
        <f>IFERROR(__xludf.DUMMYFUNCTION("""COMPUTED_VALUE"""),"null")</f>
        <v>null</v>
      </c>
      <c r="N3333" s="33">
        <f>IFERROR(__xludf.DUMMYFUNCTION("""COMPUTED_VALUE"""),0.3333333333333333)</f>
        <v>0.3333333333</v>
      </c>
      <c r="O3333" s="4" t="str">
        <f>IFERROR(__xludf.DUMMYFUNCTION("""COMPUTED_VALUE"""),"null")</f>
        <v>null</v>
      </c>
      <c r="P3333" s="33">
        <f>IFERROR(__xludf.DUMMYFUNCTION("""COMPUTED_VALUE"""),0.3333333333333333)</f>
        <v>0.3333333333</v>
      </c>
      <c r="Q3333" s="4" t="str">
        <f>IFERROR(__xludf.DUMMYFUNCTION("""COMPUTED_VALUE"""),"Lasertech Sistemas Ltda Me")</f>
        <v>Lasertech Sistemas Ltda Me</v>
      </c>
      <c r="R3333" s="33">
        <f>IFERROR(__xludf.DUMMYFUNCTION("""COMPUTED_VALUE"""),0.3333333333333333)</f>
        <v>0.3333333333</v>
      </c>
      <c r="S3333" s="4" t="str">
        <f>IFERROR(__xludf.DUMMYFUNCTION("""COMPUTED_VALUE"""),"null")</f>
        <v>null</v>
      </c>
      <c r="T3333" s="33">
        <f>IFERROR(__xludf.DUMMYFUNCTION("""COMPUTED_VALUE"""),0.6666666666666666)</f>
        <v>0.6666666667</v>
      </c>
      <c r="U3333" s="4" t="str">
        <f>IFERROR(__xludf.DUMMYFUNCTION("""COMPUTED_VALUE"""),"null")</f>
        <v>null</v>
      </c>
      <c r="V3333" s="33">
        <f>IFERROR(__xludf.DUMMYFUNCTION("""COMPUTED_VALUE"""),0.6666666666666666)</f>
        <v>0.6666666667</v>
      </c>
      <c r="W3333" s="4" t="str">
        <f>IFERROR(__xludf.DUMMYFUNCTION("""COMPUTED_VALUE"""),"null")</f>
        <v>null</v>
      </c>
      <c r="X3333" s="33">
        <f>IFERROR(__xludf.DUMMYFUNCTION("""COMPUTED_VALUE"""),0.6666666666666666)</f>
        <v>0.6666666667</v>
      </c>
    </row>
    <row r="3334">
      <c r="K3334" s="4" t="str">
        <f>IFERROR(__xludf.DUMMYFUNCTION("""COMPUTED_VALUE"""),"DEKOS - MARCA")</f>
        <v>DEKOS - MARCA</v>
      </c>
      <c r="L3334" s="32">
        <f>IFERROR(__xludf.DUMMYFUNCTION("""COMPUTED_VALUE"""),3.0)</f>
        <v>3</v>
      </c>
      <c r="M3334" s="4" t="str">
        <f>IFERROR(__xludf.DUMMYFUNCTION("""COMPUTED_VALUE"""),"Consumer Soluções Em Tecnologia Ltda")</f>
        <v>Consumer Soluções Em Tecnologia Ltda</v>
      </c>
      <c r="N3334" s="33">
        <f>IFERROR(__xludf.DUMMYFUNCTION("""COMPUTED_VALUE"""),0.6666666666666666)</f>
        <v>0.6666666667</v>
      </c>
      <c r="O3334" s="4" t="str">
        <f>IFERROR(__xludf.DUMMYFUNCTION("""COMPUTED_VALUE"""),"Consumer Soluções Em Tecnologia Ltda")</f>
        <v>Consumer Soluções Em Tecnologia Ltda</v>
      </c>
      <c r="P3334" s="33">
        <f>IFERROR(__xludf.DUMMYFUNCTION("""COMPUTED_VALUE"""),0.6666666666666666)</f>
        <v>0.6666666667</v>
      </c>
      <c r="Q3334" s="4" t="str">
        <f>IFERROR(__xludf.DUMMYFUNCTION("""COMPUTED_VALUE"""),"Consumer Soluções Em Tecnologia Ltda")</f>
        <v>Consumer Soluções Em Tecnologia Ltda</v>
      </c>
      <c r="R3334" s="33">
        <f>IFERROR(__xludf.DUMMYFUNCTION("""COMPUTED_VALUE"""),0.6666666666666666)</f>
        <v>0.6666666667</v>
      </c>
      <c r="S3334" s="4" t="str">
        <f>IFERROR(__xludf.DUMMYFUNCTION("""COMPUTED_VALUE"""),"Eclética Tecnologia")</f>
        <v>Eclética Tecnologia</v>
      </c>
      <c r="T3334" s="33">
        <f>IFERROR(__xludf.DUMMYFUNCTION("""COMPUTED_VALUE"""),0.6666666666666666)</f>
        <v>0.6666666667</v>
      </c>
      <c r="U3334" s="4" t="str">
        <f>IFERROR(__xludf.DUMMYFUNCTION("""COMPUTED_VALUE"""),"Eclética Tecnologia")</f>
        <v>Eclética Tecnologia</v>
      </c>
      <c r="V3334" s="33">
        <f>IFERROR(__xludf.DUMMYFUNCTION("""COMPUTED_VALUE"""),0.6666666666666666)</f>
        <v>0.6666666667</v>
      </c>
      <c r="W3334" s="4" t="str">
        <f>IFERROR(__xludf.DUMMYFUNCTION("""COMPUTED_VALUE"""),"Eclética Tecnologia")</f>
        <v>Eclética Tecnologia</v>
      </c>
      <c r="X3334" s="33">
        <f>IFERROR(__xludf.DUMMYFUNCTION("""COMPUTED_VALUE"""),0.6666666666666666)</f>
        <v>0.6666666667</v>
      </c>
    </row>
    <row r="3335">
      <c r="K3335" s="4" t="str">
        <f>IFERROR(__xludf.DUMMYFUNCTION("""COMPUTED_VALUE"""),"DELI DOCES DOCERIA")</f>
        <v>DELI DOCES DOCERIA</v>
      </c>
      <c r="L3335" s="32">
        <f>IFERROR(__xludf.DUMMYFUNCTION("""COMPUTED_VALUE"""),3.0)</f>
        <v>3</v>
      </c>
      <c r="M3335" s="4" t="str">
        <f>IFERROR(__xludf.DUMMYFUNCTION("""COMPUTED_VALUE"""),"Menew - Linx")</f>
        <v>Menew - Linx</v>
      </c>
      <c r="N3335" s="33">
        <f>IFERROR(__xludf.DUMMYFUNCTION("""COMPUTED_VALUE"""),1.0)</f>
        <v>1</v>
      </c>
      <c r="O3335" s="4" t="str">
        <f>IFERROR(__xludf.DUMMYFUNCTION("""COMPUTED_VALUE"""),"Menew - Linx")</f>
        <v>Menew - Linx</v>
      </c>
      <c r="P3335" s="33">
        <f>IFERROR(__xludf.DUMMYFUNCTION("""COMPUTED_VALUE"""),1.0)</f>
        <v>1</v>
      </c>
      <c r="Q3335" s="4" t="str">
        <f>IFERROR(__xludf.DUMMYFUNCTION("""COMPUTED_VALUE"""),"Menew - Linx")</f>
        <v>Menew - Linx</v>
      </c>
      <c r="R3335" s="33">
        <f>IFERROR(__xludf.DUMMYFUNCTION("""COMPUTED_VALUE"""),1.0)</f>
        <v>1</v>
      </c>
      <c r="S3335" s="4" t="str">
        <f>IFERROR(__xludf.DUMMYFUNCTION("""COMPUTED_VALUE"""),"Menew - Linx")</f>
        <v>Menew - Linx</v>
      </c>
      <c r="T3335" s="33">
        <f>IFERROR(__xludf.DUMMYFUNCTION("""COMPUTED_VALUE"""),1.0)</f>
        <v>1</v>
      </c>
      <c r="U3335" s="4" t="str">
        <f>IFERROR(__xludf.DUMMYFUNCTION("""COMPUTED_VALUE"""),"Saipos Serviços De Software")</f>
        <v>Saipos Serviços De Software</v>
      </c>
      <c r="V3335" s="33">
        <f>IFERROR(__xludf.DUMMYFUNCTION("""COMPUTED_VALUE"""),1.0)</f>
        <v>1</v>
      </c>
      <c r="W3335" s="4" t="str">
        <f>IFERROR(__xludf.DUMMYFUNCTION("""COMPUTED_VALUE"""),"Saipos Serviços De Software")</f>
        <v>Saipos Serviços De Software</v>
      </c>
      <c r="X3335" s="33">
        <f>IFERROR(__xludf.DUMMYFUNCTION("""COMPUTED_VALUE"""),1.0)</f>
        <v>1</v>
      </c>
    </row>
    <row r="3336">
      <c r="K3336" s="4" t="str">
        <f>IFERROR(__xludf.DUMMYFUNCTION("""COMPUTED_VALUE"""),"DELICIANDO STEAK CLUB")</f>
        <v>DELICIANDO STEAK CLUB</v>
      </c>
      <c r="L3336" s="32">
        <f>IFERROR(__xludf.DUMMYFUNCTION("""COMPUTED_VALUE"""),3.0)</f>
        <v>3</v>
      </c>
      <c r="M3336" s="4" t="str">
        <f>IFERROR(__xludf.DUMMYFUNCTION("""COMPUTED_VALUE"""),"Saipos Serviços De Software")</f>
        <v>Saipos Serviços De Software</v>
      </c>
      <c r="N3336" s="33">
        <f>IFERROR(__xludf.DUMMYFUNCTION("""COMPUTED_VALUE"""),0.6666666666666666)</f>
        <v>0.6666666667</v>
      </c>
      <c r="O3336" s="4" t="str">
        <f>IFERROR(__xludf.DUMMYFUNCTION("""COMPUTED_VALUE"""),"Saipos Serviços De Software")</f>
        <v>Saipos Serviços De Software</v>
      </c>
      <c r="P3336" s="33">
        <f>IFERROR(__xludf.DUMMYFUNCTION("""COMPUTED_VALUE"""),0.6666666666666666)</f>
        <v>0.6666666667</v>
      </c>
      <c r="Q3336" s="4" t="str">
        <f>IFERROR(__xludf.DUMMYFUNCTION("""COMPUTED_VALUE"""),"Saipos Serviços De Software")</f>
        <v>Saipos Serviços De Software</v>
      </c>
      <c r="R3336" s="33">
        <f>IFERROR(__xludf.DUMMYFUNCTION("""COMPUTED_VALUE"""),0.6666666666666666)</f>
        <v>0.6666666667</v>
      </c>
      <c r="S3336" s="4" t="str">
        <f>IFERROR(__xludf.DUMMYFUNCTION("""COMPUTED_VALUE"""),"Saipos Serviços De Software")</f>
        <v>Saipos Serviços De Software</v>
      </c>
      <c r="T3336" s="33">
        <f>IFERROR(__xludf.DUMMYFUNCTION("""COMPUTED_VALUE"""),1.0)</f>
        <v>1</v>
      </c>
      <c r="U3336" s="4" t="str">
        <f>IFERROR(__xludf.DUMMYFUNCTION("""COMPUTED_VALUE"""),"Saipos Serviços De Software")</f>
        <v>Saipos Serviços De Software</v>
      </c>
      <c r="V3336" s="33">
        <f>IFERROR(__xludf.DUMMYFUNCTION("""COMPUTED_VALUE"""),1.0)</f>
        <v>1</v>
      </c>
      <c r="W3336" s="4" t="str">
        <f>IFERROR(__xludf.DUMMYFUNCTION("""COMPUTED_VALUE"""),"Saipos Serviços De Software")</f>
        <v>Saipos Serviços De Software</v>
      </c>
      <c r="X3336" s="33">
        <f>IFERROR(__xludf.DUMMYFUNCTION("""COMPUTED_VALUE"""),1.0)</f>
        <v>1</v>
      </c>
    </row>
    <row r="3337">
      <c r="K3337" s="4" t="str">
        <f>IFERROR(__xludf.DUMMYFUNCTION("""COMPUTED_VALUE"""),"DENGO CHOCOLATES - CONTA PAI")</f>
        <v>DENGO CHOCOLATES - CONTA PAI</v>
      </c>
      <c r="L3337" s="32">
        <f>IFERROR(__xludf.DUMMYFUNCTION("""COMPUTED_VALUE"""),3.0)</f>
        <v>3</v>
      </c>
      <c r="M3337" s="4" t="str">
        <f>IFERROR(__xludf.DUMMYFUNCTION("""COMPUTED_VALUE"""),"null")</f>
        <v>null</v>
      </c>
      <c r="N3337" s="33">
        <f>IFERROR(__xludf.DUMMYFUNCTION("""COMPUTED_VALUE"""),1.0)</f>
        <v>1</v>
      </c>
      <c r="O3337" s="4" t="str">
        <f>IFERROR(__xludf.DUMMYFUNCTION("""COMPUTED_VALUE"""),"null")</f>
        <v>null</v>
      </c>
      <c r="P3337" s="33">
        <f>IFERROR(__xludf.DUMMYFUNCTION("""COMPUTED_VALUE"""),1.0)</f>
        <v>1</v>
      </c>
      <c r="Q3337" s="4" t="str">
        <f>IFERROR(__xludf.DUMMYFUNCTION("""COMPUTED_VALUE"""),"null")</f>
        <v>null</v>
      </c>
      <c r="R3337" s="33">
        <f>IFERROR(__xludf.DUMMYFUNCTION("""COMPUTED_VALUE"""),1.0)</f>
        <v>1</v>
      </c>
      <c r="S3337" s="4" t="str">
        <f>IFERROR(__xludf.DUMMYFUNCTION("""COMPUTED_VALUE"""),"null")</f>
        <v>null</v>
      </c>
      <c r="T3337" s="33">
        <f>IFERROR(__xludf.DUMMYFUNCTION("""COMPUTED_VALUE"""),0.6666666666666666)</f>
        <v>0.6666666667</v>
      </c>
      <c r="U3337" s="4" t="str">
        <f>IFERROR(__xludf.DUMMYFUNCTION("""COMPUTED_VALUE"""),"null")</f>
        <v>null</v>
      </c>
      <c r="V3337" s="33">
        <f>IFERROR(__xludf.DUMMYFUNCTION("""COMPUTED_VALUE"""),0.6666666666666666)</f>
        <v>0.6666666667</v>
      </c>
      <c r="W3337" s="4" t="str">
        <f>IFERROR(__xludf.DUMMYFUNCTION("""COMPUTED_VALUE"""),"Ciss S.a Gestao Para O Varejo")</f>
        <v>Ciss S.a Gestao Para O Varejo</v>
      </c>
      <c r="X3337" s="33">
        <f>IFERROR(__xludf.DUMMYFUNCTION("""COMPUTED_VALUE"""),0.6666666666666666)</f>
        <v>0.6666666667</v>
      </c>
    </row>
    <row r="3338">
      <c r="K3338" s="4" t="str">
        <f>IFERROR(__xludf.DUMMYFUNCTION("""COMPUTED_VALUE"""),"DENVER BURGER E GRILL")</f>
        <v>DENVER BURGER E GRILL</v>
      </c>
      <c r="L3338" s="32">
        <f>IFERROR(__xludf.DUMMYFUNCTION("""COMPUTED_VALUE"""),3.0)</f>
        <v>3</v>
      </c>
      <c r="M3338" s="4" t="str">
        <f>IFERROR(__xludf.DUMMYFUNCTION("""COMPUTED_VALUE"""),"Ncr")</f>
        <v>Ncr</v>
      </c>
      <c r="N3338" s="33">
        <f>IFERROR(__xludf.DUMMYFUNCTION("""COMPUTED_VALUE"""),1.0)</f>
        <v>1</v>
      </c>
      <c r="O3338" s="4" t="str">
        <f>IFERROR(__xludf.DUMMYFUNCTION("""COMPUTED_VALUE"""),"Ncr")</f>
        <v>Ncr</v>
      </c>
      <c r="P3338" s="33">
        <f>IFERROR(__xludf.DUMMYFUNCTION("""COMPUTED_VALUE"""),0.6666666666666666)</f>
        <v>0.6666666667</v>
      </c>
      <c r="Q3338" s="4" t="str">
        <f>IFERROR(__xludf.DUMMYFUNCTION("""COMPUTED_VALUE"""),"Ncr")</f>
        <v>Ncr</v>
      </c>
      <c r="R3338" s="33">
        <f>IFERROR(__xludf.DUMMYFUNCTION("""COMPUTED_VALUE"""),0.6666666666666666)</f>
        <v>0.6666666667</v>
      </c>
      <c r="S3338" s="4" t="str">
        <f>IFERROR(__xludf.DUMMYFUNCTION("""COMPUTED_VALUE"""),"Ncr")</f>
        <v>Ncr</v>
      </c>
      <c r="T3338" s="33">
        <f>IFERROR(__xludf.DUMMYFUNCTION("""COMPUTED_VALUE"""),0.6666666666666666)</f>
        <v>0.6666666667</v>
      </c>
      <c r="U3338" s="4" t="str">
        <f>IFERROR(__xludf.DUMMYFUNCTION("""COMPUTED_VALUE"""),"Saipos Serviços De Software")</f>
        <v>Saipos Serviços De Software</v>
      </c>
      <c r="V3338" s="33">
        <f>IFERROR(__xludf.DUMMYFUNCTION("""COMPUTED_VALUE"""),0.6666666666666666)</f>
        <v>0.6666666667</v>
      </c>
      <c r="W3338" s="4" t="str">
        <f>IFERROR(__xludf.DUMMYFUNCTION("""COMPUTED_VALUE"""),"Saipos Serviços De Software")</f>
        <v>Saipos Serviços De Software</v>
      </c>
      <c r="X3338" s="33">
        <f>IFERROR(__xludf.DUMMYFUNCTION("""COMPUTED_VALUE"""),1.0)</f>
        <v>1</v>
      </c>
    </row>
    <row r="3339">
      <c r="K3339" s="4" t="str">
        <f>IFERROR(__xludf.DUMMYFUNCTION("""COMPUTED_VALUE"""),"DETROIT STEAK HOUSE")</f>
        <v>DETROIT STEAK HOUSE</v>
      </c>
      <c r="L3339" s="32">
        <f>IFERROR(__xludf.DUMMYFUNCTION("""COMPUTED_VALUE"""),3.0)</f>
        <v>3</v>
      </c>
      <c r="M3339" s="4" t="str">
        <f>IFERROR(__xludf.DUMMYFUNCTION("""COMPUTED_VALUE"""),"Swfast Sistemas")</f>
        <v>Swfast Sistemas</v>
      </c>
      <c r="N3339" s="33">
        <f>IFERROR(__xludf.DUMMYFUNCTION("""COMPUTED_VALUE"""),0.3333333333333333)</f>
        <v>0.3333333333</v>
      </c>
      <c r="O3339" s="4" t="str">
        <f>IFERROR(__xludf.DUMMYFUNCTION("""COMPUTED_VALUE"""),"null")</f>
        <v>null</v>
      </c>
      <c r="P3339" s="33">
        <f>IFERROR(__xludf.DUMMYFUNCTION("""COMPUTED_VALUE"""),0.6666666666666666)</f>
        <v>0.6666666667</v>
      </c>
      <c r="Q3339" s="4" t="str">
        <f>IFERROR(__xludf.DUMMYFUNCTION("""COMPUTED_VALUE"""),"null")</f>
        <v>null</v>
      </c>
      <c r="R3339" s="33">
        <f>IFERROR(__xludf.DUMMYFUNCTION("""COMPUTED_VALUE"""),0.6666666666666666)</f>
        <v>0.6666666667</v>
      </c>
      <c r="S3339" s="4" t="str">
        <f>IFERROR(__xludf.DUMMYFUNCTION("""COMPUTED_VALUE"""),"null")</f>
        <v>null</v>
      </c>
      <c r="T3339" s="33">
        <f>IFERROR(__xludf.DUMMYFUNCTION("""COMPUTED_VALUE"""),1.0)</f>
        <v>1</v>
      </c>
      <c r="U3339" s="4" t="str">
        <f>IFERROR(__xludf.DUMMYFUNCTION("""COMPUTED_VALUE"""),"null")</f>
        <v>null</v>
      </c>
      <c r="V3339" s="33">
        <f>IFERROR(__xludf.DUMMYFUNCTION("""COMPUTED_VALUE"""),1.0)</f>
        <v>1</v>
      </c>
      <c r="W3339" s="4" t="str">
        <f>IFERROR(__xludf.DUMMYFUNCTION("""COMPUTED_VALUE"""),"null")</f>
        <v>null</v>
      </c>
      <c r="X3339" s="33">
        <f>IFERROR(__xludf.DUMMYFUNCTION("""COMPUTED_VALUE"""),0.6666666666666666)</f>
        <v>0.6666666667</v>
      </c>
    </row>
    <row r="3340">
      <c r="K3340" s="4" t="str">
        <f>IFERROR(__xludf.DUMMYFUNCTION("""COMPUTED_VALUE"""),"DGOES")</f>
        <v>DGOES</v>
      </c>
      <c r="L3340" s="32">
        <f>IFERROR(__xludf.DUMMYFUNCTION("""COMPUTED_VALUE"""),3.0)</f>
        <v>3</v>
      </c>
      <c r="M3340" s="4" t="str">
        <f>IFERROR(__xludf.DUMMYFUNCTION("""COMPUTED_VALUE"""),"Saipos Serviços De Software")</f>
        <v>Saipos Serviços De Software</v>
      </c>
      <c r="N3340" s="33">
        <f>IFERROR(__xludf.DUMMYFUNCTION("""COMPUTED_VALUE"""),1.0)</f>
        <v>1</v>
      </c>
      <c r="O3340" s="4" t="str">
        <f>IFERROR(__xludf.DUMMYFUNCTION("""COMPUTED_VALUE"""),"Saipos Serviços De Software")</f>
        <v>Saipos Serviços De Software</v>
      </c>
      <c r="P3340" s="33">
        <f>IFERROR(__xludf.DUMMYFUNCTION("""COMPUTED_VALUE"""),1.0)</f>
        <v>1</v>
      </c>
      <c r="Q3340" s="4" t="str">
        <f>IFERROR(__xludf.DUMMYFUNCTION("""COMPUTED_VALUE"""),"Saipos Serviços De Software")</f>
        <v>Saipos Serviços De Software</v>
      </c>
      <c r="R3340" s="33">
        <f>IFERROR(__xludf.DUMMYFUNCTION("""COMPUTED_VALUE"""),1.0)</f>
        <v>1</v>
      </c>
      <c r="S3340" s="4" t="str">
        <f>IFERROR(__xludf.DUMMYFUNCTION("""COMPUTED_VALUE"""),"Saipos Serviços De Software")</f>
        <v>Saipos Serviços De Software</v>
      </c>
      <c r="T3340" s="33">
        <f>IFERROR(__xludf.DUMMYFUNCTION("""COMPUTED_VALUE"""),1.0)</f>
        <v>1</v>
      </c>
      <c r="U3340" s="4" t="str">
        <f>IFERROR(__xludf.DUMMYFUNCTION("""COMPUTED_VALUE"""),"Saipos Serviços De Software")</f>
        <v>Saipos Serviços De Software</v>
      </c>
      <c r="V3340" s="33">
        <f>IFERROR(__xludf.DUMMYFUNCTION("""COMPUTED_VALUE"""),1.0)</f>
        <v>1</v>
      </c>
      <c r="W3340" s="4" t="str">
        <f>IFERROR(__xludf.DUMMYFUNCTION("""COMPUTED_VALUE"""),"Saipos Serviços De Software")</f>
        <v>Saipos Serviços De Software</v>
      </c>
      <c r="X3340" s="33">
        <f>IFERROR(__xludf.DUMMYFUNCTION("""COMPUTED_VALUE"""),1.0)</f>
        <v>1</v>
      </c>
    </row>
    <row r="3341">
      <c r="K3341" s="4" t="str">
        <f>IFERROR(__xludf.DUMMYFUNCTION("""COMPUTED_VALUE"""),"DI BROWNIE")</f>
        <v>DI BROWNIE</v>
      </c>
      <c r="L3341" s="32">
        <f>IFERROR(__xludf.DUMMYFUNCTION("""COMPUTED_VALUE"""),3.0)</f>
        <v>3</v>
      </c>
      <c r="M3341" s="4" t="str">
        <f>IFERROR(__xludf.DUMMYFUNCTION("""COMPUTED_VALUE"""),"Saipos Serviços De Software")</f>
        <v>Saipos Serviços De Software</v>
      </c>
      <c r="N3341" s="33">
        <f>IFERROR(__xludf.DUMMYFUNCTION("""COMPUTED_VALUE"""),1.0)</f>
        <v>1</v>
      </c>
      <c r="O3341" s="4" t="str">
        <f>IFERROR(__xludf.DUMMYFUNCTION("""COMPUTED_VALUE"""),"Saipos Serviços De Software")</f>
        <v>Saipos Serviços De Software</v>
      </c>
      <c r="P3341" s="33">
        <f>IFERROR(__xludf.DUMMYFUNCTION("""COMPUTED_VALUE"""),1.0)</f>
        <v>1</v>
      </c>
      <c r="Q3341" s="4" t="str">
        <f>IFERROR(__xludf.DUMMYFUNCTION("""COMPUTED_VALUE"""),"Saipos Serviços De Software")</f>
        <v>Saipos Serviços De Software</v>
      </c>
      <c r="R3341" s="33">
        <f>IFERROR(__xludf.DUMMYFUNCTION("""COMPUTED_VALUE"""),1.0)</f>
        <v>1</v>
      </c>
      <c r="S3341" s="4" t="str">
        <f>IFERROR(__xludf.DUMMYFUNCTION("""COMPUTED_VALUE"""),"Saipos Serviços De Software")</f>
        <v>Saipos Serviços De Software</v>
      </c>
      <c r="T3341" s="33">
        <f>IFERROR(__xludf.DUMMYFUNCTION("""COMPUTED_VALUE"""),1.0)</f>
        <v>1</v>
      </c>
      <c r="U3341" s="4" t="str">
        <f>IFERROR(__xludf.DUMMYFUNCTION("""COMPUTED_VALUE"""),"Saipos Serviços De Software")</f>
        <v>Saipos Serviços De Software</v>
      </c>
      <c r="V3341" s="33">
        <f>IFERROR(__xludf.DUMMYFUNCTION("""COMPUTED_VALUE"""),1.0)</f>
        <v>1</v>
      </c>
      <c r="W3341" s="4" t="str">
        <f>IFERROR(__xludf.DUMMYFUNCTION("""COMPUTED_VALUE"""),"Saipos Serviços De Software")</f>
        <v>Saipos Serviços De Software</v>
      </c>
      <c r="X3341" s="33">
        <f>IFERROR(__xludf.DUMMYFUNCTION("""COMPUTED_VALUE"""),1.0)</f>
        <v>1</v>
      </c>
    </row>
    <row r="3342">
      <c r="K3342" s="4" t="str">
        <f>IFERROR(__xludf.DUMMYFUNCTION("""COMPUTED_VALUE"""),"DI ROMA")</f>
        <v>DI ROMA</v>
      </c>
      <c r="L3342" s="32">
        <f>IFERROR(__xludf.DUMMYFUNCTION("""COMPUTED_VALUE"""),3.0)</f>
        <v>3</v>
      </c>
      <c r="M3342" s="4" t="str">
        <f>IFERROR(__xludf.DUMMYFUNCTION("""COMPUTED_VALUE"""),"Real Softwares")</f>
        <v>Real Softwares</v>
      </c>
      <c r="N3342" s="33">
        <f>IFERROR(__xludf.DUMMYFUNCTION("""COMPUTED_VALUE"""),1.0)</f>
        <v>1</v>
      </c>
      <c r="O3342" s="4" t="str">
        <f>IFERROR(__xludf.DUMMYFUNCTION("""COMPUTED_VALUE"""),"Real Softwares")</f>
        <v>Real Softwares</v>
      </c>
      <c r="P3342" s="33">
        <f>IFERROR(__xludf.DUMMYFUNCTION("""COMPUTED_VALUE"""),1.0)</f>
        <v>1</v>
      </c>
      <c r="Q3342" s="4" t="str">
        <f>IFERROR(__xludf.DUMMYFUNCTION("""COMPUTED_VALUE"""),"Real Softwares")</f>
        <v>Real Softwares</v>
      </c>
      <c r="R3342" s="33">
        <f>IFERROR(__xludf.DUMMYFUNCTION("""COMPUTED_VALUE"""),1.0)</f>
        <v>1</v>
      </c>
      <c r="S3342" s="4" t="str">
        <f>IFERROR(__xludf.DUMMYFUNCTION("""COMPUTED_VALUE"""),"Real Softwares")</f>
        <v>Real Softwares</v>
      </c>
      <c r="T3342" s="33">
        <f>IFERROR(__xludf.DUMMYFUNCTION("""COMPUTED_VALUE"""),1.0)</f>
        <v>1</v>
      </c>
      <c r="U3342" s="4" t="str">
        <f>IFERROR(__xludf.DUMMYFUNCTION("""COMPUTED_VALUE"""),"Real Softwares")</f>
        <v>Real Softwares</v>
      </c>
      <c r="V3342" s="33">
        <f>IFERROR(__xludf.DUMMYFUNCTION("""COMPUTED_VALUE"""),1.0)</f>
        <v>1</v>
      </c>
      <c r="W3342" s="4" t="str">
        <f>IFERROR(__xludf.DUMMYFUNCTION("""COMPUTED_VALUE"""),"Real Softwares")</f>
        <v>Real Softwares</v>
      </c>
      <c r="X3342" s="33">
        <f>IFERROR(__xludf.DUMMYFUNCTION("""COMPUTED_VALUE"""),1.0)</f>
        <v>1</v>
      </c>
    </row>
    <row r="3343">
      <c r="K3343" s="4" t="str">
        <f>IFERROR(__xludf.DUMMYFUNCTION("""COMPUTED_VALUE"""),"DIB - ESPECIALIDADES ARABES")</f>
        <v>DIB - ESPECIALIDADES ARABES</v>
      </c>
      <c r="L3343" s="32">
        <f>IFERROR(__xludf.DUMMYFUNCTION("""COMPUTED_VALUE"""),3.0)</f>
        <v>3</v>
      </c>
      <c r="M3343" s="4" t="str">
        <f>IFERROR(__xludf.DUMMYFUNCTION("""COMPUTED_VALUE"""),"Totvs Large Enterprise Tecnologia S.a.")</f>
        <v>Totvs Large Enterprise Tecnologia S.a.</v>
      </c>
      <c r="N3343" s="33">
        <f>IFERROR(__xludf.DUMMYFUNCTION("""COMPUTED_VALUE"""),1.0)</f>
        <v>1</v>
      </c>
      <c r="O3343" s="4" t="str">
        <f>IFERROR(__xludf.DUMMYFUNCTION("""COMPUTED_VALUE"""),"Totvs Large Enterprise Tecnologia S.a.")</f>
        <v>Totvs Large Enterprise Tecnologia S.a.</v>
      </c>
      <c r="P3343" s="33">
        <f>IFERROR(__xludf.DUMMYFUNCTION("""COMPUTED_VALUE"""),1.0)</f>
        <v>1</v>
      </c>
      <c r="Q3343" s="4" t="str">
        <f>IFERROR(__xludf.DUMMYFUNCTION("""COMPUTED_VALUE"""),"Totvs Large Enterprise Tecnologia S.a.")</f>
        <v>Totvs Large Enterprise Tecnologia S.a.</v>
      </c>
      <c r="R3343" s="33">
        <f>IFERROR(__xludf.DUMMYFUNCTION("""COMPUTED_VALUE"""),1.0)</f>
        <v>1</v>
      </c>
      <c r="S3343" s="4" t="str">
        <f>IFERROR(__xludf.DUMMYFUNCTION("""COMPUTED_VALUE"""),"Totvs Large Enterprise Tecnologia S.a.")</f>
        <v>Totvs Large Enterprise Tecnologia S.a.</v>
      </c>
      <c r="T3343" s="33">
        <f>IFERROR(__xludf.DUMMYFUNCTION("""COMPUTED_VALUE"""),1.0)</f>
        <v>1</v>
      </c>
      <c r="U3343" s="4" t="str">
        <f>IFERROR(__xludf.DUMMYFUNCTION("""COMPUTED_VALUE"""),"Totvs Large Enterprise Tecnologia S.a.")</f>
        <v>Totvs Large Enterprise Tecnologia S.a.</v>
      </c>
      <c r="V3343" s="33">
        <f>IFERROR(__xludf.DUMMYFUNCTION("""COMPUTED_VALUE"""),1.0)</f>
        <v>1</v>
      </c>
      <c r="W3343" s="4" t="str">
        <f>IFERROR(__xludf.DUMMYFUNCTION("""COMPUTED_VALUE"""),"Totvs Large Enterprise Tecnologia S.a.")</f>
        <v>Totvs Large Enterprise Tecnologia S.a.</v>
      </c>
      <c r="X3343" s="33">
        <f>IFERROR(__xludf.DUMMYFUNCTION("""COMPUTED_VALUE"""),1.0)</f>
        <v>1</v>
      </c>
    </row>
    <row r="3344">
      <c r="K3344" s="4" t="str">
        <f>IFERROR(__xludf.DUMMYFUNCTION("""COMPUTED_VALUE"""),"DIEGOS PIZZARIA")</f>
        <v>DIEGOS PIZZARIA</v>
      </c>
      <c r="L3344" s="32">
        <f>IFERROR(__xludf.DUMMYFUNCTION("""COMPUTED_VALUE"""),3.0)</f>
        <v>3</v>
      </c>
      <c r="M3344" s="4" t="str">
        <f>IFERROR(__xludf.DUMMYFUNCTION("""COMPUTED_VALUE"""),"Netcontroll Xmenu")</f>
        <v>Netcontroll Xmenu</v>
      </c>
      <c r="N3344" s="33">
        <f>IFERROR(__xludf.DUMMYFUNCTION("""COMPUTED_VALUE"""),1.0)</f>
        <v>1</v>
      </c>
      <c r="O3344" s="4" t="str">
        <f>IFERROR(__xludf.DUMMYFUNCTION("""COMPUTED_VALUE"""),"Netcontroll Xmenu")</f>
        <v>Netcontroll Xmenu</v>
      </c>
      <c r="P3344" s="33">
        <f>IFERROR(__xludf.DUMMYFUNCTION("""COMPUTED_VALUE"""),1.0)</f>
        <v>1</v>
      </c>
      <c r="Q3344" s="4" t="str">
        <f>IFERROR(__xludf.DUMMYFUNCTION("""COMPUTED_VALUE"""),"Netcontroll Xmenu")</f>
        <v>Netcontroll Xmenu</v>
      </c>
      <c r="R3344" s="33">
        <f>IFERROR(__xludf.DUMMYFUNCTION("""COMPUTED_VALUE"""),1.0)</f>
        <v>1</v>
      </c>
      <c r="S3344" s="4" t="str">
        <f>IFERROR(__xludf.DUMMYFUNCTION("""COMPUTED_VALUE"""),"Netcontroll Xmenu")</f>
        <v>Netcontroll Xmenu</v>
      </c>
      <c r="T3344" s="33">
        <f>IFERROR(__xludf.DUMMYFUNCTION("""COMPUTED_VALUE"""),1.0)</f>
        <v>1</v>
      </c>
      <c r="U3344" s="4" t="str">
        <f>IFERROR(__xludf.DUMMYFUNCTION("""COMPUTED_VALUE"""),"Netcontroll Xmenu")</f>
        <v>Netcontroll Xmenu</v>
      </c>
      <c r="V3344" s="33">
        <f>IFERROR(__xludf.DUMMYFUNCTION("""COMPUTED_VALUE"""),1.0)</f>
        <v>1</v>
      </c>
      <c r="W3344" s="4" t="str">
        <f>IFERROR(__xludf.DUMMYFUNCTION("""COMPUTED_VALUE"""),"Netcontroll Xmenu")</f>
        <v>Netcontroll Xmenu</v>
      </c>
      <c r="X3344" s="33">
        <f>IFERROR(__xludf.DUMMYFUNCTION("""COMPUTED_VALUE"""),1.0)</f>
        <v>1</v>
      </c>
    </row>
    <row r="3345">
      <c r="K3345" s="4" t="str">
        <f>IFERROR(__xludf.DUMMYFUNCTION("""COMPUTED_VALUE"""),"DIOR RESTAURANTE")</f>
        <v>DIOR RESTAURANTE</v>
      </c>
      <c r="L3345" s="32">
        <f>IFERROR(__xludf.DUMMYFUNCTION("""COMPUTED_VALUE"""),3.0)</f>
        <v>3</v>
      </c>
      <c r="M3345" s="4" t="str">
        <f>IFERROR(__xludf.DUMMYFUNCTION("""COMPUTED_VALUE"""),"Saipos Serviços De Software")</f>
        <v>Saipos Serviços De Software</v>
      </c>
      <c r="N3345" s="33">
        <f>IFERROR(__xludf.DUMMYFUNCTION("""COMPUTED_VALUE"""),1.0)</f>
        <v>1</v>
      </c>
      <c r="O3345" s="4" t="str">
        <f>IFERROR(__xludf.DUMMYFUNCTION("""COMPUTED_VALUE"""),"Saipos Serviços De Software")</f>
        <v>Saipos Serviços De Software</v>
      </c>
      <c r="P3345" s="33">
        <f>IFERROR(__xludf.DUMMYFUNCTION("""COMPUTED_VALUE"""),1.0)</f>
        <v>1</v>
      </c>
      <c r="Q3345" s="4" t="str">
        <f>IFERROR(__xludf.DUMMYFUNCTION("""COMPUTED_VALUE"""),"Saipos Serviços De Software")</f>
        <v>Saipos Serviços De Software</v>
      </c>
      <c r="R3345" s="33">
        <f>IFERROR(__xludf.DUMMYFUNCTION("""COMPUTED_VALUE"""),1.0)</f>
        <v>1</v>
      </c>
      <c r="S3345" s="4" t="str">
        <f>IFERROR(__xludf.DUMMYFUNCTION("""COMPUTED_VALUE"""),"Saipos Serviços De Software")</f>
        <v>Saipos Serviços De Software</v>
      </c>
      <c r="T3345" s="33">
        <f>IFERROR(__xludf.DUMMYFUNCTION("""COMPUTED_VALUE"""),1.0)</f>
        <v>1</v>
      </c>
      <c r="U3345" s="4" t="str">
        <f>IFERROR(__xludf.DUMMYFUNCTION("""COMPUTED_VALUE"""),"Saipos Serviços De Software")</f>
        <v>Saipos Serviços De Software</v>
      </c>
      <c r="V3345" s="33">
        <f>IFERROR(__xludf.DUMMYFUNCTION("""COMPUTED_VALUE"""),1.0)</f>
        <v>1</v>
      </c>
      <c r="W3345" s="4" t="str">
        <f>IFERROR(__xludf.DUMMYFUNCTION("""COMPUTED_VALUE"""),"Saipos Serviços De Software")</f>
        <v>Saipos Serviços De Software</v>
      </c>
      <c r="X3345" s="33">
        <f>IFERROR(__xludf.DUMMYFUNCTION("""COMPUTED_VALUE"""),1.0)</f>
        <v>1</v>
      </c>
    </row>
    <row r="3346">
      <c r="K3346" s="4" t="str">
        <f>IFERROR(__xludf.DUMMYFUNCTION("""COMPUTED_VALUE"""),"DIVINUS BURGUER CUIABA")</f>
        <v>DIVINUS BURGUER CUIABA</v>
      </c>
      <c r="L3346" s="32">
        <f>IFERROR(__xludf.DUMMYFUNCTION("""COMPUTED_VALUE"""),3.0)</f>
        <v>3</v>
      </c>
      <c r="M3346" s="4" t="str">
        <f>IFERROR(__xludf.DUMMYFUNCTION("""COMPUTED_VALUE"""),"Saipos Serviços De Software")</f>
        <v>Saipos Serviços De Software</v>
      </c>
      <c r="N3346" s="33">
        <f>IFERROR(__xludf.DUMMYFUNCTION("""COMPUTED_VALUE"""),1.0)</f>
        <v>1</v>
      </c>
      <c r="O3346" s="4" t="str">
        <f>IFERROR(__xludf.DUMMYFUNCTION("""COMPUTED_VALUE"""),"Saipos Serviços De Software")</f>
        <v>Saipos Serviços De Software</v>
      </c>
      <c r="P3346" s="33">
        <f>IFERROR(__xludf.DUMMYFUNCTION("""COMPUTED_VALUE"""),1.0)</f>
        <v>1</v>
      </c>
      <c r="Q3346" s="4" t="str">
        <f>IFERROR(__xludf.DUMMYFUNCTION("""COMPUTED_VALUE"""),"Saipos Serviços De Software")</f>
        <v>Saipos Serviços De Software</v>
      </c>
      <c r="R3346" s="33">
        <f>IFERROR(__xludf.DUMMYFUNCTION("""COMPUTED_VALUE"""),1.0)</f>
        <v>1</v>
      </c>
      <c r="S3346" s="4" t="str">
        <f>IFERROR(__xludf.DUMMYFUNCTION("""COMPUTED_VALUE"""),"Saipos Serviços De Software")</f>
        <v>Saipos Serviços De Software</v>
      </c>
      <c r="T3346" s="33">
        <f>IFERROR(__xludf.DUMMYFUNCTION("""COMPUTED_VALUE"""),1.0)</f>
        <v>1</v>
      </c>
      <c r="U3346" s="4" t="str">
        <f>IFERROR(__xludf.DUMMYFUNCTION("""COMPUTED_VALUE"""),"Saipos Serviços De Software")</f>
        <v>Saipos Serviços De Software</v>
      </c>
      <c r="V3346" s="33">
        <f>IFERROR(__xludf.DUMMYFUNCTION("""COMPUTED_VALUE"""),1.0)</f>
        <v>1</v>
      </c>
      <c r="W3346" s="4" t="str">
        <f>IFERROR(__xludf.DUMMYFUNCTION("""COMPUTED_VALUE"""),"Saipos Serviços De Software")</f>
        <v>Saipos Serviços De Software</v>
      </c>
      <c r="X3346" s="33">
        <f>IFERROR(__xludf.DUMMYFUNCTION("""COMPUTED_VALUE"""),1.0)</f>
        <v>1</v>
      </c>
    </row>
    <row r="3347">
      <c r="K3347" s="4" t="str">
        <f>IFERROR(__xludf.DUMMYFUNCTION("""COMPUTED_VALUE"""),"DO BATISTA")</f>
        <v>DO BATISTA</v>
      </c>
      <c r="L3347" s="32">
        <f>IFERROR(__xludf.DUMMYFUNCTION("""COMPUTED_VALUE"""),3.0)</f>
        <v>3</v>
      </c>
      <c r="M3347" s="4" t="str">
        <f>IFERROR(__xludf.DUMMYFUNCTION("""COMPUTED_VALUE"""),"null")</f>
        <v>null</v>
      </c>
      <c r="N3347" s="33">
        <f>IFERROR(__xludf.DUMMYFUNCTION("""COMPUTED_VALUE"""),0.3333333333333333)</f>
        <v>0.3333333333</v>
      </c>
      <c r="O3347" s="4" t="str">
        <f>IFERROR(__xludf.DUMMYFUNCTION("""COMPUTED_VALUE"""),"Gcom - Gestao Em Tecnologia De Informacao Eireli")</f>
        <v>Gcom - Gestao Em Tecnologia De Informacao Eireli</v>
      </c>
      <c r="P3347" s="33">
        <f>IFERROR(__xludf.DUMMYFUNCTION("""COMPUTED_VALUE"""),0.6666666666666666)</f>
        <v>0.6666666667</v>
      </c>
      <c r="Q3347" s="4" t="str">
        <f>IFERROR(__xludf.DUMMYFUNCTION("""COMPUTED_VALUE"""),"Gcom - Gestao Em Tecnologia De Informacao Eireli")</f>
        <v>Gcom - Gestao Em Tecnologia De Informacao Eireli</v>
      </c>
      <c r="R3347" s="33">
        <f>IFERROR(__xludf.DUMMYFUNCTION("""COMPUTED_VALUE"""),0.6666666666666666)</f>
        <v>0.6666666667</v>
      </c>
      <c r="S3347" s="4" t="str">
        <f>IFERROR(__xludf.DUMMYFUNCTION("""COMPUTED_VALUE"""),"Gcom - Gestao Em Tecnologia De Informacao Eireli")</f>
        <v>Gcom - Gestao Em Tecnologia De Informacao Eireli</v>
      </c>
      <c r="T3347" s="33">
        <f>IFERROR(__xludf.DUMMYFUNCTION("""COMPUTED_VALUE"""),0.6666666666666666)</f>
        <v>0.6666666667</v>
      </c>
      <c r="U3347" s="4" t="str">
        <f>IFERROR(__xludf.DUMMYFUNCTION("""COMPUTED_VALUE"""),"Gcom - Gestao Em Tecnologia De Informacao Eireli")</f>
        <v>Gcom - Gestao Em Tecnologia De Informacao Eireli</v>
      </c>
      <c r="V3347" s="33">
        <f>IFERROR(__xludf.DUMMYFUNCTION("""COMPUTED_VALUE"""),1.0)</f>
        <v>1</v>
      </c>
      <c r="W3347" s="4" t="str">
        <f>IFERROR(__xludf.DUMMYFUNCTION("""COMPUTED_VALUE"""),"Gcom - Gestao Em Tecnologia De Informacao Eireli")</f>
        <v>Gcom - Gestao Em Tecnologia De Informacao Eireli</v>
      </c>
      <c r="X3347" s="33">
        <f>IFERROR(__xludf.DUMMYFUNCTION("""COMPUTED_VALUE"""),1.0)</f>
        <v>1</v>
      </c>
    </row>
    <row r="3348">
      <c r="K3348" s="4" t="str">
        <f>IFERROR(__xludf.DUMMYFUNCTION("""COMPUTED_VALUE"""),"DOCERIA DO CHARLIE - CONTA MARCA")</f>
        <v>DOCERIA DO CHARLIE - CONTA MARCA</v>
      </c>
      <c r="L3348" s="32">
        <f>IFERROR(__xludf.DUMMYFUNCTION("""COMPUTED_VALUE"""),3.0)</f>
        <v>3</v>
      </c>
      <c r="M3348" s="4" t="str">
        <f>IFERROR(__xludf.DUMMYFUNCTION("""COMPUTED_VALUE"""),"Lexsis Sistemas")</f>
        <v>Lexsis Sistemas</v>
      </c>
      <c r="N3348" s="33">
        <f>IFERROR(__xludf.DUMMYFUNCTION("""COMPUTED_VALUE"""),1.0)</f>
        <v>1</v>
      </c>
      <c r="O3348" s="4" t="str">
        <f>IFERROR(__xludf.DUMMYFUNCTION("""COMPUTED_VALUE"""),"Lexsis Sistemas")</f>
        <v>Lexsis Sistemas</v>
      </c>
      <c r="P3348" s="33">
        <f>IFERROR(__xludf.DUMMYFUNCTION("""COMPUTED_VALUE"""),1.0)</f>
        <v>1</v>
      </c>
      <c r="Q3348" s="4" t="str">
        <f>IFERROR(__xludf.DUMMYFUNCTION("""COMPUTED_VALUE"""),"Lexsis Sistemas")</f>
        <v>Lexsis Sistemas</v>
      </c>
      <c r="R3348" s="33">
        <f>IFERROR(__xludf.DUMMYFUNCTION("""COMPUTED_VALUE"""),1.0)</f>
        <v>1</v>
      </c>
      <c r="S3348" s="4" t="str">
        <f>IFERROR(__xludf.DUMMYFUNCTION("""COMPUTED_VALUE"""),"Lexsis Sistemas")</f>
        <v>Lexsis Sistemas</v>
      </c>
      <c r="T3348" s="33">
        <f>IFERROR(__xludf.DUMMYFUNCTION("""COMPUTED_VALUE"""),1.0)</f>
        <v>1</v>
      </c>
      <c r="U3348" s="4" t="str">
        <f>IFERROR(__xludf.DUMMYFUNCTION("""COMPUTED_VALUE"""),"Lexsis Sistemas")</f>
        <v>Lexsis Sistemas</v>
      </c>
      <c r="V3348" s="33">
        <f>IFERROR(__xludf.DUMMYFUNCTION("""COMPUTED_VALUE"""),0.6666666666666666)</f>
        <v>0.6666666667</v>
      </c>
      <c r="W3348" s="4" t="str">
        <f>IFERROR(__xludf.DUMMYFUNCTION("""COMPUTED_VALUE"""),"Lexsis Sistemas")</f>
        <v>Lexsis Sistemas</v>
      </c>
      <c r="X3348" s="33">
        <f>IFERROR(__xludf.DUMMYFUNCTION("""COMPUTED_VALUE"""),0.6666666666666666)</f>
        <v>0.6666666667</v>
      </c>
    </row>
    <row r="3349">
      <c r="K3349" s="4" t="str">
        <f>IFERROR(__xludf.DUMMYFUNCTION("""COMPUTED_VALUE"""),"DOCERIA ZUCKER")</f>
        <v>DOCERIA ZUCKER</v>
      </c>
      <c r="L3349" s="32">
        <f>IFERROR(__xludf.DUMMYFUNCTION("""COMPUTED_VALUE"""),3.0)</f>
        <v>3</v>
      </c>
      <c r="M3349" s="4" t="str">
        <f>IFERROR(__xludf.DUMMYFUNCTION("""COMPUTED_VALUE"""),"Saipos Serviços De Software")</f>
        <v>Saipos Serviços De Software</v>
      </c>
      <c r="N3349" s="33">
        <f>IFERROR(__xludf.DUMMYFUNCTION("""COMPUTED_VALUE"""),1.0)</f>
        <v>1</v>
      </c>
      <c r="O3349" s="4" t="str">
        <f>IFERROR(__xludf.DUMMYFUNCTION("""COMPUTED_VALUE"""),"Saipos Serviços De Software")</f>
        <v>Saipos Serviços De Software</v>
      </c>
      <c r="P3349" s="33">
        <f>IFERROR(__xludf.DUMMYFUNCTION("""COMPUTED_VALUE"""),1.0)</f>
        <v>1</v>
      </c>
      <c r="Q3349" s="4" t="str">
        <f>IFERROR(__xludf.DUMMYFUNCTION("""COMPUTED_VALUE"""),"Saipos Serviços De Software")</f>
        <v>Saipos Serviços De Software</v>
      </c>
      <c r="R3349" s="33">
        <f>IFERROR(__xludf.DUMMYFUNCTION("""COMPUTED_VALUE"""),1.0)</f>
        <v>1</v>
      </c>
      <c r="S3349" s="4" t="str">
        <f>IFERROR(__xludf.DUMMYFUNCTION("""COMPUTED_VALUE"""),"Saipos Serviços De Software")</f>
        <v>Saipos Serviços De Software</v>
      </c>
      <c r="T3349" s="33">
        <f>IFERROR(__xludf.DUMMYFUNCTION("""COMPUTED_VALUE"""),0.6666666666666666)</f>
        <v>0.6666666667</v>
      </c>
      <c r="U3349" s="4" t="str">
        <f>IFERROR(__xludf.DUMMYFUNCTION("""COMPUTED_VALUE"""),"Saipos Serviços De Software")</f>
        <v>Saipos Serviços De Software</v>
      </c>
      <c r="V3349" s="33">
        <f>IFERROR(__xludf.DUMMYFUNCTION("""COMPUTED_VALUE"""),0.6666666666666666)</f>
        <v>0.6666666667</v>
      </c>
      <c r="W3349" s="4" t="str">
        <f>IFERROR(__xludf.DUMMYFUNCTION("""COMPUTED_VALUE"""),"Saipos Serviços De Software")</f>
        <v>Saipos Serviços De Software</v>
      </c>
      <c r="X3349" s="33">
        <f>IFERROR(__xludf.DUMMYFUNCTION("""COMPUTED_VALUE"""),0.6666666666666666)</f>
        <v>0.6666666667</v>
      </c>
    </row>
    <row r="3350">
      <c r="K3350" s="4" t="str">
        <f>IFERROR(__xludf.DUMMYFUNCTION("""COMPUTED_VALUE"""),"DOGAO DO CALCADAO - CONTA PAI")</f>
        <v>DOGAO DO CALCADAO - CONTA PAI</v>
      </c>
      <c r="L3350" s="32">
        <f>IFERROR(__xludf.DUMMYFUNCTION("""COMPUTED_VALUE"""),3.0)</f>
        <v>3</v>
      </c>
      <c r="M3350" s="4" t="str">
        <f>IFERROR(__xludf.DUMMYFUNCTION("""COMPUTED_VALUE"""),"Sagres Automação Comercial")</f>
        <v>Sagres Automação Comercial</v>
      </c>
      <c r="N3350" s="33">
        <f>IFERROR(__xludf.DUMMYFUNCTION("""COMPUTED_VALUE"""),1.0)</f>
        <v>1</v>
      </c>
      <c r="O3350" s="4" t="str">
        <f>IFERROR(__xludf.DUMMYFUNCTION("""COMPUTED_VALUE"""),"Sagres Automação Comercial")</f>
        <v>Sagres Automação Comercial</v>
      </c>
      <c r="P3350" s="33">
        <f>IFERROR(__xludf.DUMMYFUNCTION("""COMPUTED_VALUE"""),1.0)</f>
        <v>1</v>
      </c>
      <c r="Q3350" s="4" t="str">
        <f>IFERROR(__xludf.DUMMYFUNCTION("""COMPUTED_VALUE"""),"Sagres Automação Comercial")</f>
        <v>Sagres Automação Comercial</v>
      </c>
      <c r="R3350" s="33">
        <f>IFERROR(__xludf.DUMMYFUNCTION("""COMPUTED_VALUE"""),1.0)</f>
        <v>1</v>
      </c>
      <c r="S3350" s="4" t="str">
        <f>IFERROR(__xludf.DUMMYFUNCTION("""COMPUTED_VALUE"""),"Sagres Automação Comercial")</f>
        <v>Sagres Automação Comercial</v>
      </c>
      <c r="T3350" s="33">
        <f>IFERROR(__xludf.DUMMYFUNCTION("""COMPUTED_VALUE"""),1.0)</f>
        <v>1</v>
      </c>
      <c r="U3350" s="4" t="str">
        <f>IFERROR(__xludf.DUMMYFUNCTION("""COMPUTED_VALUE"""),"Sagres Automação Comercial")</f>
        <v>Sagres Automação Comercial</v>
      </c>
      <c r="V3350" s="33">
        <f>IFERROR(__xludf.DUMMYFUNCTION("""COMPUTED_VALUE"""),1.0)</f>
        <v>1</v>
      </c>
      <c r="W3350" s="4" t="str">
        <f>IFERROR(__xludf.DUMMYFUNCTION("""COMPUTED_VALUE"""),"Sagres Automação Comercial")</f>
        <v>Sagres Automação Comercial</v>
      </c>
      <c r="X3350" s="33">
        <f>IFERROR(__xludf.DUMMYFUNCTION("""COMPUTED_VALUE"""),1.0)</f>
        <v>1</v>
      </c>
    </row>
    <row r="3351">
      <c r="K3351" s="4" t="str">
        <f>IFERROR(__xludf.DUMMYFUNCTION("""COMPUTED_VALUE"""),"DOHO SUSHI")</f>
        <v>DOHO SUSHI</v>
      </c>
      <c r="L3351" s="32">
        <f>IFERROR(__xludf.DUMMYFUNCTION("""COMPUTED_VALUE"""),3.0)</f>
        <v>3</v>
      </c>
      <c r="M3351" s="4" t="str">
        <f>IFERROR(__xludf.DUMMYFUNCTION("""COMPUTED_VALUE"""),"Saipos Serviços De Software")</f>
        <v>Saipos Serviços De Software</v>
      </c>
      <c r="N3351" s="33">
        <f>IFERROR(__xludf.DUMMYFUNCTION("""COMPUTED_VALUE"""),1.0)</f>
        <v>1</v>
      </c>
      <c r="O3351" s="4" t="str">
        <f>IFERROR(__xludf.DUMMYFUNCTION("""COMPUTED_VALUE"""),"Saipos Serviços De Software")</f>
        <v>Saipos Serviços De Software</v>
      </c>
      <c r="P3351" s="33">
        <f>IFERROR(__xludf.DUMMYFUNCTION("""COMPUTED_VALUE"""),1.0)</f>
        <v>1</v>
      </c>
      <c r="Q3351" s="4" t="str">
        <f>IFERROR(__xludf.DUMMYFUNCTION("""COMPUTED_VALUE"""),"Saipos Serviços De Software")</f>
        <v>Saipos Serviços De Software</v>
      </c>
      <c r="R3351" s="33">
        <f>IFERROR(__xludf.DUMMYFUNCTION("""COMPUTED_VALUE"""),1.0)</f>
        <v>1</v>
      </c>
      <c r="S3351" s="4" t="str">
        <f>IFERROR(__xludf.DUMMYFUNCTION("""COMPUTED_VALUE"""),"Saipos Serviços De Software")</f>
        <v>Saipos Serviços De Software</v>
      </c>
      <c r="T3351" s="33">
        <f>IFERROR(__xludf.DUMMYFUNCTION("""COMPUTED_VALUE"""),1.0)</f>
        <v>1</v>
      </c>
      <c r="U3351" s="4" t="str">
        <f>IFERROR(__xludf.DUMMYFUNCTION("""COMPUTED_VALUE"""),"Saipos Serviços De Software")</f>
        <v>Saipos Serviços De Software</v>
      </c>
      <c r="V3351" s="33">
        <f>IFERROR(__xludf.DUMMYFUNCTION("""COMPUTED_VALUE"""),1.0)</f>
        <v>1</v>
      </c>
      <c r="W3351" s="4" t="str">
        <f>IFERROR(__xludf.DUMMYFUNCTION("""COMPUTED_VALUE"""),"Saipos Serviços De Software")</f>
        <v>Saipos Serviços De Software</v>
      </c>
      <c r="X3351" s="33">
        <f>IFERROR(__xludf.DUMMYFUNCTION("""COMPUTED_VALUE"""),1.0)</f>
        <v>1</v>
      </c>
    </row>
    <row r="3352">
      <c r="K3352" s="4" t="str">
        <f>IFERROR(__xludf.DUMMYFUNCTION("""COMPUTED_VALUE"""),"DOIS CORACOES - CONTA PAI")</f>
        <v>DOIS CORACOES - CONTA PAI</v>
      </c>
      <c r="L3352" s="32">
        <f>IFERROR(__xludf.DUMMYFUNCTION("""COMPUTED_VALUE"""),3.0)</f>
        <v>3</v>
      </c>
      <c r="M3352" s="4" t="str">
        <f>IFERROR(__xludf.DUMMYFUNCTION("""COMPUTED_VALUE"""),"Cloudfy")</f>
        <v>Cloudfy</v>
      </c>
      <c r="N3352" s="33">
        <f>IFERROR(__xludf.DUMMYFUNCTION("""COMPUTED_VALUE"""),1.0)</f>
        <v>1</v>
      </c>
      <c r="O3352" s="4" t="str">
        <f>IFERROR(__xludf.DUMMYFUNCTION("""COMPUTED_VALUE"""),"Cloudfy")</f>
        <v>Cloudfy</v>
      </c>
      <c r="P3352" s="33">
        <f>IFERROR(__xludf.DUMMYFUNCTION("""COMPUTED_VALUE"""),1.0)</f>
        <v>1</v>
      </c>
      <c r="Q3352" s="4" t="str">
        <f>IFERROR(__xludf.DUMMYFUNCTION("""COMPUTED_VALUE"""),"Cloudfy")</f>
        <v>Cloudfy</v>
      </c>
      <c r="R3352" s="33">
        <f>IFERROR(__xludf.DUMMYFUNCTION("""COMPUTED_VALUE"""),1.0)</f>
        <v>1</v>
      </c>
      <c r="S3352" s="4" t="str">
        <f>IFERROR(__xludf.DUMMYFUNCTION("""COMPUTED_VALUE"""),"Cloudfy")</f>
        <v>Cloudfy</v>
      </c>
      <c r="T3352" s="33">
        <f>IFERROR(__xludf.DUMMYFUNCTION("""COMPUTED_VALUE"""),1.0)</f>
        <v>1</v>
      </c>
      <c r="U3352" s="4" t="str">
        <f>IFERROR(__xludf.DUMMYFUNCTION("""COMPUTED_VALUE"""),"Cloudfy")</f>
        <v>Cloudfy</v>
      </c>
      <c r="V3352" s="33">
        <f>IFERROR(__xludf.DUMMYFUNCTION("""COMPUTED_VALUE"""),1.0)</f>
        <v>1</v>
      </c>
      <c r="W3352" s="4" t="str">
        <f>IFERROR(__xludf.DUMMYFUNCTION("""COMPUTED_VALUE"""),"Cloudfy")</f>
        <v>Cloudfy</v>
      </c>
      <c r="X3352" s="33">
        <f>IFERROR(__xludf.DUMMYFUNCTION("""COMPUTED_VALUE"""),1.0)</f>
        <v>1</v>
      </c>
    </row>
    <row r="3353">
      <c r="K3353" s="4" t="str">
        <f>IFERROR(__xludf.DUMMYFUNCTION("""COMPUTED_VALUE"""),"DOM GALETOS GRILL")</f>
        <v>DOM GALETOS GRILL</v>
      </c>
      <c r="L3353" s="32">
        <f>IFERROR(__xludf.DUMMYFUNCTION("""COMPUTED_VALUE"""),3.0)</f>
        <v>3</v>
      </c>
      <c r="M3353" s="4" t="str">
        <f>IFERROR(__xludf.DUMMYFUNCTION("""COMPUTED_VALUE"""),"Netcontroll Xmenu")</f>
        <v>Netcontroll Xmenu</v>
      </c>
      <c r="N3353" s="33">
        <f>IFERROR(__xludf.DUMMYFUNCTION("""COMPUTED_VALUE"""),1.0)</f>
        <v>1</v>
      </c>
      <c r="O3353" s="4" t="str">
        <f>IFERROR(__xludf.DUMMYFUNCTION("""COMPUTED_VALUE"""),"Netcontroll Xmenu")</f>
        <v>Netcontroll Xmenu</v>
      </c>
      <c r="P3353" s="33">
        <f>IFERROR(__xludf.DUMMYFUNCTION("""COMPUTED_VALUE"""),1.0)</f>
        <v>1</v>
      </c>
      <c r="Q3353" s="4" t="str">
        <f>IFERROR(__xludf.DUMMYFUNCTION("""COMPUTED_VALUE"""),"Netcontroll Xmenu")</f>
        <v>Netcontroll Xmenu</v>
      </c>
      <c r="R3353" s="33">
        <f>IFERROR(__xludf.DUMMYFUNCTION("""COMPUTED_VALUE"""),1.0)</f>
        <v>1</v>
      </c>
      <c r="S3353" s="4" t="str">
        <f>IFERROR(__xludf.DUMMYFUNCTION("""COMPUTED_VALUE"""),"Netcontroll Xmenu")</f>
        <v>Netcontroll Xmenu</v>
      </c>
      <c r="T3353" s="33">
        <f>IFERROR(__xludf.DUMMYFUNCTION("""COMPUTED_VALUE"""),1.0)</f>
        <v>1</v>
      </c>
      <c r="U3353" s="4" t="str">
        <f>IFERROR(__xludf.DUMMYFUNCTION("""COMPUTED_VALUE"""),"Netcontroll Xmenu")</f>
        <v>Netcontroll Xmenu</v>
      </c>
      <c r="V3353" s="33">
        <f>IFERROR(__xludf.DUMMYFUNCTION("""COMPUTED_VALUE"""),1.0)</f>
        <v>1</v>
      </c>
      <c r="W3353" s="4" t="str">
        <f>IFERROR(__xludf.DUMMYFUNCTION("""COMPUTED_VALUE"""),"Netcontroll Xmenu")</f>
        <v>Netcontroll Xmenu</v>
      </c>
      <c r="X3353" s="33">
        <f>IFERROR(__xludf.DUMMYFUNCTION("""COMPUTED_VALUE"""),1.0)</f>
        <v>1</v>
      </c>
    </row>
    <row r="3354">
      <c r="K3354" s="4" t="str">
        <f>IFERROR(__xludf.DUMMYFUNCTION("""COMPUTED_VALUE"""),"DOM GEOVANNI")</f>
        <v>DOM GEOVANNI</v>
      </c>
      <c r="L3354" s="32">
        <f>IFERROR(__xludf.DUMMYFUNCTION("""COMPUTED_VALUE"""),3.0)</f>
        <v>3</v>
      </c>
      <c r="M3354" s="4" t="str">
        <f>IFERROR(__xludf.DUMMYFUNCTION("""COMPUTED_VALUE"""),"Saipos Serviços De Software")</f>
        <v>Saipos Serviços De Software</v>
      </c>
      <c r="N3354" s="33">
        <f>IFERROR(__xludf.DUMMYFUNCTION("""COMPUTED_VALUE"""),1.0)</f>
        <v>1</v>
      </c>
      <c r="O3354" s="4" t="str">
        <f>IFERROR(__xludf.DUMMYFUNCTION("""COMPUTED_VALUE"""),"Saipos Serviços De Software")</f>
        <v>Saipos Serviços De Software</v>
      </c>
      <c r="P3354" s="33">
        <f>IFERROR(__xludf.DUMMYFUNCTION("""COMPUTED_VALUE"""),1.0)</f>
        <v>1</v>
      </c>
      <c r="Q3354" s="4" t="str">
        <f>IFERROR(__xludf.DUMMYFUNCTION("""COMPUTED_VALUE"""),"Saipos Serviços De Software")</f>
        <v>Saipos Serviços De Software</v>
      </c>
      <c r="R3354" s="33">
        <f>IFERROR(__xludf.DUMMYFUNCTION("""COMPUTED_VALUE"""),1.0)</f>
        <v>1</v>
      </c>
      <c r="S3354" s="4" t="str">
        <f>IFERROR(__xludf.DUMMYFUNCTION("""COMPUTED_VALUE"""),"Saipos Serviços De Software")</f>
        <v>Saipos Serviços De Software</v>
      </c>
      <c r="T3354" s="33">
        <f>IFERROR(__xludf.DUMMYFUNCTION("""COMPUTED_VALUE"""),1.0)</f>
        <v>1</v>
      </c>
      <c r="U3354" s="4" t="str">
        <f>IFERROR(__xludf.DUMMYFUNCTION("""COMPUTED_VALUE"""),"Saipos Serviços De Software")</f>
        <v>Saipos Serviços De Software</v>
      </c>
      <c r="V3354" s="33">
        <f>IFERROR(__xludf.DUMMYFUNCTION("""COMPUTED_VALUE"""),1.0)</f>
        <v>1</v>
      </c>
      <c r="W3354" s="4" t="str">
        <f>IFERROR(__xludf.DUMMYFUNCTION("""COMPUTED_VALUE"""),"Saipos Serviços De Software")</f>
        <v>Saipos Serviços De Software</v>
      </c>
      <c r="X3354" s="33">
        <f>IFERROR(__xludf.DUMMYFUNCTION("""COMPUTED_VALUE"""),1.0)</f>
        <v>1</v>
      </c>
    </row>
    <row r="3355">
      <c r="K3355" s="4" t="str">
        <f>IFERROR(__xludf.DUMMYFUNCTION("""COMPUTED_VALUE"""),"DOM PIZZA 18 - MARCA")</f>
        <v>DOM PIZZA 18 - MARCA</v>
      </c>
      <c r="L3355" s="32">
        <f>IFERROR(__xludf.DUMMYFUNCTION("""COMPUTED_VALUE"""),3.0)</f>
        <v>3</v>
      </c>
      <c r="M3355" s="4" t="str">
        <f>IFERROR(__xludf.DUMMYFUNCTION("""COMPUTED_VALUE"""),"Sagres Automação Comercial")</f>
        <v>Sagres Automação Comercial</v>
      </c>
      <c r="N3355" s="33">
        <f>IFERROR(__xludf.DUMMYFUNCTION("""COMPUTED_VALUE"""),0.6666666666666666)</f>
        <v>0.6666666667</v>
      </c>
      <c r="O3355" s="4" t="str">
        <f>IFERROR(__xludf.DUMMYFUNCTION("""COMPUTED_VALUE"""),"Sagres Automação Comercial")</f>
        <v>Sagres Automação Comercial</v>
      </c>
      <c r="P3355" s="33">
        <f>IFERROR(__xludf.DUMMYFUNCTION("""COMPUTED_VALUE"""),0.6666666666666666)</f>
        <v>0.6666666667</v>
      </c>
      <c r="Q3355" s="4" t="str">
        <f>IFERROR(__xludf.DUMMYFUNCTION("""COMPUTED_VALUE"""),"Sagres Automação Comercial")</f>
        <v>Sagres Automação Comercial</v>
      </c>
      <c r="R3355" s="33">
        <f>IFERROR(__xludf.DUMMYFUNCTION("""COMPUTED_VALUE"""),0.6666666666666666)</f>
        <v>0.6666666667</v>
      </c>
      <c r="S3355" s="4" t="str">
        <f>IFERROR(__xludf.DUMMYFUNCTION("""COMPUTED_VALUE"""),"Sagres Automação Comercial")</f>
        <v>Sagres Automação Comercial</v>
      </c>
      <c r="T3355" s="33">
        <f>IFERROR(__xludf.DUMMYFUNCTION("""COMPUTED_VALUE"""),1.0)</f>
        <v>1</v>
      </c>
      <c r="U3355" s="4" t="str">
        <f>IFERROR(__xludf.DUMMYFUNCTION("""COMPUTED_VALUE"""),"Sagres Automação Comercial")</f>
        <v>Sagres Automação Comercial</v>
      </c>
      <c r="V3355" s="33">
        <f>IFERROR(__xludf.DUMMYFUNCTION("""COMPUTED_VALUE"""),0.6666666666666666)</f>
        <v>0.6666666667</v>
      </c>
      <c r="W3355" s="4" t="str">
        <f>IFERROR(__xludf.DUMMYFUNCTION("""COMPUTED_VALUE"""),"Sagres Automação Comercial")</f>
        <v>Sagres Automação Comercial</v>
      </c>
      <c r="X3355" s="33">
        <f>IFERROR(__xludf.DUMMYFUNCTION("""COMPUTED_VALUE"""),0.6666666666666666)</f>
        <v>0.6666666667</v>
      </c>
    </row>
    <row r="3356">
      <c r="K3356" s="4" t="str">
        <f>IFERROR(__xludf.DUMMYFUNCTION("""COMPUTED_VALUE"""),"DON BURGUERIA - CONTA PAI")</f>
        <v>DON BURGUERIA - CONTA PAI</v>
      </c>
      <c r="L3356" s="32">
        <f>IFERROR(__xludf.DUMMYFUNCTION("""COMPUTED_VALUE"""),3.0)</f>
        <v>3</v>
      </c>
      <c r="M3356" s="4" t="str">
        <f>IFERROR(__xludf.DUMMYFUNCTION("""COMPUTED_VALUE"""),"Consumer Soluções Em Tecnologia Ltda")</f>
        <v>Consumer Soluções Em Tecnologia Ltda</v>
      </c>
      <c r="N3356" s="33">
        <f>IFERROR(__xludf.DUMMYFUNCTION("""COMPUTED_VALUE"""),1.0)</f>
        <v>1</v>
      </c>
      <c r="O3356" s="4" t="str">
        <f>IFERROR(__xludf.DUMMYFUNCTION("""COMPUTED_VALUE"""),"Consumer Soluções Em Tecnologia Ltda")</f>
        <v>Consumer Soluções Em Tecnologia Ltda</v>
      </c>
      <c r="P3356" s="33">
        <f>IFERROR(__xludf.DUMMYFUNCTION("""COMPUTED_VALUE"""),0.6666666666666666)</f>
        <v>0.6666666667</v>
      </c>
      <c r="Q3356" s="4" t="str">
        <f>IFERROR(__xludf.DUMMYFUNCTION("""COMPUTED_VALUE"""),"Consumer Soluções Em Tecnologia Ltda")</f>
        <v>Consumer Soluções Em Tecnologia Ltda</v>
      </c>
      <c r="R3356" s="33">
        <f>IFERROR(__xludf.DUMMYFUNCTION("""COMPUTED_VALUE"""),0.6666666666666666)</f>
        <v>0.6666666667</v>
      </c>
      <c r="S3356" s="4" t="str">
        <f>IFERROR(__xludf.DUMMYFUNCTION("""COMPUTED_VALUE"""),"Consumer Soluções Em Tecnologia Ltda")</f>
        <v>Consumer Soluções Em Tecnologia Ltda</v>
      </c>
      <c r="T3356" s="33">
        <f>IFERROR(__xludf.DUMMYFUNCTION("""COMPUTED_VALUE"""),0.6666666666666666)</f>
        <v>0.6666666667</v>
      </c>
      <c r="U3356" s="4" t="str">
        <f>IFERROR(__xludf.DUMMYFUNCTION("""COMPUTED_VALUE"""),"Consumer Soluções Em Tecnologia Ltda")</f>
        <v>Consumer Soluções Em Tecnologia Ltda</v>
      </c>
      <c r="V3356" s="33">
        <f>IFERROR(__xludf.DUMMYFUNCTION("""COMPUTED_VALUE"""),0.6666666666666666)</f>
        <v>0.6666666667</v>
      </c>
      <c r="W3356" s="4" t="str">
        <f>IFERROR(__xludf.DUMMYFUNCTION("""COMPUTED_VALUE"""),"Consumer Soluções Em Tecnologia Ltda")</f>
        <v>Consumer Soluções Em Tecnologia Ltda</v>
      </c>
      <c r="X3356" s="33">
        <f>IFERROR(__xludf.DUMMYFUNCTION("""COMPUTED_VALUE"""),0.6666666666666666)</f>
        <v>0.6666666667</v>
      </c>
    </row>
    <row r="3357">
      <c r="K3357" s="4" t="str">
        <f>IFERROR(__xludf.DUMMYFUNCTION("""COMPUTED_VALUE"""),"DON NATO PIZZA")</f>
        <v>DON NATO PIZZA</v>
      </c>
      <c r="L3357" s="32">
        <f>IFERROR(__xludf.DUMMYFUNCTION("""COMPUTED_VALUE"""),3.0)</f>
        <v>3</v>
      </c>
      <c r="M3357" s="4" t="str">
        <f>IFERROR(__xludf.DUMMYFUNCTION("""COMPUTED_VALUE"""),"null")</f>
        <v>null</v>
      </c>
      <c r="N3357" s="33">
        <f>IFERROR(__xludf.DUMMYFUNCTION("""COMPUTED_VALUE"""),0.6666666666666666)</f>
        <v>0.6666666667</v>
      </c>
      <c r="O3357" s="4" t="str">
        <f>IFERROR(__xludf.DUMMYFUNCTION("""COMPUTED_VALUE"""),"null")</f>
        <v>null</v>
      </c>
      <c r="P3357" s="33">
        <f>IFERROR(__xludf.DUMMYFUNCTION("""COMPUTED_VALUE"""),0.6666666666666666)</f>
        <v>0.6666666667</v>
      </c>
      <c r="Q3357" s="4" t="str">
        <f>IFERROR(__xludf.DUMMYFUNCTION("""COMPUTED_VALUE"""),"null")</f>
        <v>null</v>
      </c>
      <c r="R3357" s="33">
        <f>IFERROR(__xludf.DUMMYFUNCTION("""COMPUTED_VALUE"""),0.6666666666666666)</f>
        <v>0.6666666667</v>
      </c>
      <c r="S3357" s="4" t="str">
        <f>IFERROR(__xludf.DUMMYFUNCTION("""COMPUTED_VALUE"""),"Saipos Serviços De Software")</f>
        <v>Saipos Serviços De Software</v>
      </c>
      <c r="T3357" s="33">
        <f>IFERROR(__xludf.DUMMYFUNCTION("""COMPUTED_VALUE"""),0.6666666666666666)</f>
        <v>0.6666666667</v>
      </c>
      <c r="U3357" s="4" t="str">
        <f>IFERROR(__xludf.DUMMYFUNCTION("""COMPUTED_VALUE"""),"Saipos Serviços De Software")</f>
        <v>Saipos Serviços De Software</v>
      </c>
      <c r="V3357" s="33">
        <f>IFERROR(__xludf.DUMMYFUNCTION("""COMPUTED_VALUE"""),0.6666666666666666)</f>
        <v>0.6666666667</v>
      </c>
      <c r="W3357" s="4" t="str">
        <f>IFERROR(__xludf.DUMMYFUNCTION("""COMPUTED_VALUE"""),"Saipos Serviços De Software")</f>
        <v>Saipos Serviços De Software</v>
      </c>
      <c r="X3357" s="33">
        <f>IFERROR(__xludf.DUMMYFUNCTION("""COMPUTED_VALUE"""),1.0)</f>
        <v>1</v>
      </c>
    </row>
    <row r="3358">
      <c r="K3358" s="4" t="str">
        <f>IFERROR(__xludf.DUMMYFUNCTION("""COMPUTED_VALUE"""),"DONA FOOD FLOW L")</f>
        <v>DONA FOOD FLOW L</v>
      </c>
      <c r="L3358" s="32">
        <f>IFERROR(__xludf.DUMMYFUNCTION("""COMPUTED_VALUE"""),3.0)</f>
        <v>3</v>
      </c>
      <c r="M3358" s="4" t="str">
        <f>IFERROR(__xludf.DUMMYFUNCTION("""COMPUTED_VALUE"""),"Cardápio Web")</f>
        <v>Cardápio Web</v>
      </c>
      <c r="N3358" s="33">
        <f>IFERROR(__xludf.DUMMYFUNCTION("""COMPUTED_VALUE"""),1.0)</f>
        <v>1</v>
      </c>
      <c r="O3358" s="4" t="str">
        <f>IFERROR(__xludf.DUMMYFUNCTION("""COMPUTED_VALUE"""),"Cardápio Web")</f>
        <v>Cardápio Web</v>
      </c>
      <c r="P3358" s="33">
        <f>IFERROR(__xludf.DUMMYFUNCTION("""COMPUTED_VALUE"""),0.6666666666666666)</f>
        <v>0.6666666667</v>
      </c>
      <c r="Q3358" s="4" t="str">
        <f>IFERROR(__xludf.DUMMYFUNCTION("""COMPUTED_VALUE"""),"Cardápio Web")</f>
        <v>Cardápio Web</v>
      </c>
      <c r="R3358" s="33">
        <f>IFERROR(__xludf.DUMMYFUNCTION("""COMPUTED_VALUE"""),1.0)</f>
        <v>1</v>
      </c>
      <c r="S3358" s="4" t="str">
        <f>IFERROR(__xludf.DUMMYFUNCTION("""COMPUTED_VALUE"""),"Cardápio Web")</f>
        <v>Cardápio Web</v>
      </c>
      <c r="T3358" s="33">
        <f>IFERROR(__xludf.DUMMYFUNCTION("""COMPUTED_VALUE"""),0.6666666666666666)</f>
        <v>0.6666666667</v>
      </c>
      <c r="U3358" s="4" t="str">
        <f>IFERROR(__xludf.DUMMYFUNCTION("""COMPUTED_VALUE"""),"Cardápio Web")</f>
        <v>Cardápio Web</v>
      </c>
      <c r="V3358" s="33">
        <f>IFERROR(__xludf.DUMMYFUNCTION("""COMPUTED_VALUE"""),0.6666666666666666)</f>
        <v>0.6666666667</v>
      </c>
      <c r="W3358" s="4" t="str">
        <f>IFERROR(__xludf.DUMMYFUNCTION("""COMPUTED_VALUE"""),"Cardápio Web")</f>
        <v>Cardápio Web</v>
      </c>
      <c r="X3358" s="33">
        <f>IFERROR(__xludf.DUMMYFUNCTION("""COMPUTED_VALUE"""),0.6666666666666666)</f>
        <v>0.6666666667</v>
      </c>
    </row>
    <row r="3359">
      <c r="K3359" s="4" t="str">
        <f>IFERROR(__xludf.DUMMYFUNCTION("""COMPUTED_VALUE"""),"DONA MAQUITA - CONTA MARCA")</f>
        <v>DONA MAQUITA - CONTA MARCA</v>
      </c>
      <c r="L3359" s="32">
        <f>IFERROR(__xludf.DUMMYFUNCTION("""COMPUTED_VALUE"""),3.0)</f>
        <v>3</v>
      </c>
      <c r="M3359" s="4" t="str">
        <f>IFERROR(__xludf.DUMMYFUNCTION("""COMPUTED_VALUE"""),"Saipos Serviços De Software")</f>
        <v>Saipos Serviços De Software</v>
      </c>
      <c r="N3359" s="33">
        <f>IFERROR(__xludf.DUMMYFUNCTION("""COMPUTED_VALUE"""),1.0)</f>
        <v>1</v>
      </c>
      <c r="O3359" s="4" t="str">
        <f>IFERROR(__xludf.DUMMYFUNCTION("""COMPUTED_VALUE"""),"Saipos Serviços De Software")</f>
        <v>Saipos Serviços De Software</v>
      </c>
      <c r="P3359" s="33">
        <f>IFERROR(__xludf.DUMMYFUNCTION("""COMPUTED_VALUE"""),0.6666666666666666)</f>
        <v>0.6666666667</v>
      </c>
      <c r="Q3359" s="4" t="str">
        <f>IFERROR(__xludf.DUMMYFUNCTION("""COMPUTED_VALUE"""),"Saipos Serviços De Software")</f>
        <v>Saipos Serviços De Software</v>
      </c>
      <c r="R3359" s="33">
        <f>IFERROR(__xludf.DUMMYFUNCTION("""COMPUTED_VALUE"""),0.6666666666666666)</f>
        <v>0.6666666667</v>
      </c>
      <c r="S3359" s="4" t="str">
        <f>IFERROR(__xludf.DUMMYFUNCTION("""COMPUTED_VALUE"""),"Saipos Serviços De Software")</f>
        <v>Saipos Serviços De Software</v>
      </c>
      <c r="T3359" s="33">
        <f>IFERROR(__xludf.DUMMYFUNCTION("""COMPUTED_VALUE"""),1.0)</f>
        <v>1</v>
      </c>
      <c r="U3359" s="4" t="str">
        <f>IFERROR(__xludf.DUMMYFUNCTION("""COMPUTED_VALUE"""),"Saipos Serviços De Software")</f>
        <v>Saipos Serviços De Software</v>
      </c>
      <c r="V3359" s="33">
        <f>IFERROR(__xludf.DUMMYFUNCTION("""COMPUTED_VALUE"""),0.6666666666666666)</f>
        <v>0.6666666667</v>
      </c>
      <c r="W3359" s="4" t="str">
        <f>IFERROR(__xludf.DUMMYFUNCTION("""COMPUTED_VALUE"""),"Saipos Serviços De Software")</f>
        <v>Saipos Serviços De Software</v>
      </c>
      <c r="X3359" s="33">
        <f>IFERROR(__xludf.DUMMYFUNCTION("""COMPUTED_VALUE"""),0.6666666666666666)</f>
        <v>0.6666666667</v>
      </c>
    </row>
    <row r="3360">
      <c r="K3360" s="4" t="str">
        <f>IFERROR(__xludf.DUMMYFUNCTION("""COMPUTED_VALUE"""),"DONAS PIZZA - UBERLANDIA")</f>
        <v>DONAS PIZZA - UBERLANDIA</v>
      </c>
      <c r="L3360" s="32">
        <f>IFERROR(__xludf.DUMMYFUNCTION("""COMPUTED_VALUE"""),3.0)</f>
        <v>3</v>
      </c>
      <c r="M3360" s="4" t="str">
        <f>IFERROR(__xludf.DUMMYFUNCTION("""COMPUTED_VALUE"""),"Saipos Serviços De Software")</f>
        <v>Saipos Serviços De Software</v>
      </c>
      <c r="N3360" s="33">
        <f>IFERROR(__xludf.DUMMYFUNCTION("""COMPUTED_VALUE"""),1.0)</f>
        <v>1</v>
      </c>
      <c r="O3360" s="4" t="str">
        <f>IFERROR(__xludf.DUMMYFUNCTION("""COMPUTED_VALUE"""),"Saipos Serviços De Software")</f>
        <v>Saipos Serviços De Software</v>
      </c>
      <c r="P3360" s="33">
        <f>IFERROR(__xludf.DUMMYFUNCTION("""COMPUTED_VALUE"""),1.0)</f>
        <v>1</v>
      </c>
      <c r="Q3360" s="4" t="str">
        <f>IFERROR(__xludf.DUMMYFUNCTION("""COMPUTED_VALUE"""),"Saipos Serviços De Software")</f>
        <v>Saipos Serviços De Software</v>
      </c>
      <c r="R3360" s="33">
        <f>IFERROR(__xludf.DUMMYFUNCTION("""COMPUTED_VALUE"""),1.0)</f>
        <v>1</v>
      </c>
      <c r="S3360" s="4" t="str">
        <f>IFERROR(__xludf.DUMMYFUNCTION("""COMPUTED_VALUE"""),"Saipos Serviços De Software")</f>
        <v>Saipos Serviços De Software</v>
      </c>
      <c r="T3360" s="33">
        <f>IFERROR(__xludf.DUMMYFUNCTION("""COMPUTED_VALUE"""),1.0)</f>
        <v>1</v>
      </c>
      <c r="U3360" s="4" t="str">
        <f>IFERROR(__xludf.DUMMYFUNCTION("""COMPUTED_VALUE"""),"Saipos Serviços De Software")</f>
        <v>Saipos Serviços De Software</v>
      </c>
      <c r="V3360" s="33">
        <f>IFERROR(__xludf.DUMMYFUNCTION("""COMPUTED_VALUE"""),1.0)</f>
        <v>1</v>
      </c>
      <c r="W3360" s="4" t="str">
        <f>IFERROR(__xludf.DUMMYFUNCTION("""COMPUTED_VALUE"""),"Saipos Serviços De Software")</f>
        <v>Saipos Serviços De Software</v>
      </c>
      <c r="X3360" s="33">
        <f>IFERROR(__xludf.DUMMYFUNCTION("""COMPUTED_VALUE"""),1.0)</f>
        <v>1</v>
      </c>
    </row>
    <row r="3361">
      <c r="K3361" s="4" t="str">
        <f>IFERROR(__xludf.DUMMYFUNCTION("""COMPUTED_VALUE"""),"DONUT 4U - CONTA MARCA")</f>
        <v>DONUT 4U - CONTA MARCA</v>
      </c>
      <c r="L3361" s="32">
        <f>IFERROR(__xludf.DUMMYFUNCTION("""COMPUTED_VALUE"""),3.0)</f>
        <v>3</v>
      </c>
      <c r="M3361" s="4" t="str">
        <f>IFERROR(__xludf.DUMMYFUNCTION("""COMPUTED_VALUE"""),"Cardápio Web")</f>
        <v>Cardápio Web</v>
      </c>
      <c r="N3361" s="33">
        <f>IFERROR(__xludf.DUMMYFUNCTION("""COMPUTED_VALUE"""),1.0)</f>
        <v>1</v>
      </c>
      <c r="O3361" s="4" t="str">
        <f>IFERROR(__xludf.DUMMYFUNCTION("""COMPUTED_VALUE"""),"Cardápio Web")</f>
        <v>Cardápio Web</v>
      </c>
      <c r="P3361" s="33">
        <f>IFERROR(__xludf.DUMMYFUNCTION("""COMPUTED_VALUE"""),1.0)</f>
        <v>1</v>
      </c>
      <c r="Q3361" s="4" t="str">
        <f>IFERROR(__xludf.DUMMYFUNCTION("""COMPUTED_VALUE"""),"Cardápio Web")</f>
        <v>Cardápio Web</v>
      </c>
      <c r="R3361" s="33">
        <f>IFERROR(__xludf.DUMMYFUNCTION("""COMPUTED_VALUE"""),1.0)</f>
        <v>1</v>
      </c>
      <c r="S3361" s="4" t="str">
        <f>IFERROR(__xludf.DUMMYFUNCTION("""COMPUTED_VALUE"""),"Cardápio Web")</f>
        <v>Cardápio Web</v>
      </c>
      <c r="T3361" s="33">
        <f>IFERROR(__xludf.DUMMYFUNCTION("""COMPUTED_VALUE"""),1.0)</f>
        <v>1</v>
      </c>
      <c r="U3361" s="4" t="str">
        <f>IFERROR(__xludf.DUMMYFUNCTION("""COMPUTED_VALUE"""),"Cardápio Web")</f>
        <v>Cardápio Web</v>
      </c>
      <c r="V3361" s="33">
        <f>IFERROR(__xludf.DUMMYFUNCTION("""COMPUTED_VALUE"""),1.0)</f>
        <v>1</v>
      </c>
      <c r="W3361" s="4" t="str">
        <f>IFERROR(__xludf.DUMMYFUNCTION("""COMPUTED_VALUE"""),"Cardápio Web")</f>
        <v>Cardápio Web</v>
      </c>
      <c r="X3361" s="33">
        <f>IFERROR(__xludf.DUMMYFUNCTION("""COMPUTED_VALUE"""),1.0)</f>
        <v>1</v>
      </c>
    </row>
    <row r="3362">
      <c r="K3362" s="4" t="str">
        <f>IFERROR(__xludf.DUMMYFUNCTION("""COMPUTED_VALUE"""),"DORALICE CANTINHO SAUDAVEL - MARCA")</f>
        <v>DORALICE CANTINHO SAUDAVEL - MARCA</v>
      </c>
      <c r="L3362" s="32">
        <f>IFERROR(__xludf.DUMMYFUNCTION("""COMPUTED_VALUE"""),3.0)</f>
        <v>3</v>
      </c>
      <c r="M3362" s="4" t="str">
        <f>IFERROR(__xludf.DUMMYFUNCTION("""COMPUTED_VALUE"""),"Opdv")</f>
        <v>Opdv</v>
      </c>
      <c r="N3362" s="33">
        <f>IFERROR(__xludf.DUMMYFUNCTION("""COMPUTED_VALUE"""),1.0)</f>
        <v>1</v>
      </c>
      <c r="O3362" s="4" t="str">
        <f>IFERROR(__xludf.DUMMYFUNCTION("""COMPUTED_VALUE"""),"Opdv")</f>
        <v>Opdv</v>
      </c>
      <c r="P3362" s="33">
        <f>IFERROR(__xludf.DUMMYFUNCTION("""COMPUTED_VALUE"""),1.0)</f>
        <v>1</v>
      </c>
      <c r="Q3362" s="4" t="str">
        <f>IFERROR(__xludf.DUMMYFUNCTION("""COMPUTED_VALUE"""),"Opdv")</f>
        <v>Opdv</v>
      </c>
      <c r="R3362" s="33">
        <f>IFERROR(__xludf.DUMMYFUNCTION("""COMPUTED_VALUE"""),1.0)</f>
        <v>1</v>
      </c>
      <c r="S3362" s="4" t="str">
        <f>IFERROR(__xludf.DUMMYFUNCTION("""COMPUTED_VALUE"""),"Opdv")</f>
        <v>Opdv</v>
      </c>
      <c r="T3362" s="33">
        <f>IFERROR(__xludf.DUMMYFUNCTION("""COMPUTED_VALUE"""),1.0)</f>
        <v>1</v>
      </c>
      <c r="U3362" s="4" t="str">
        <f>IFERROR(__xludf.DUMMYFUNCTION("""COMPUTED_VALUE"""),"Opdv")</f>
        <v>Opdv</v>
      </c>
      <c r="V3362" s="33">
        <f>IFERROR(__xludf.DUMMYFUNCTION("""COMPUTED_VALUE"""),1.0)</f>
        <v>1</v>
      </c>
      <c r="W3362" s="4" t="str">
        <f>IFERROR(__xludf.DUMMYFUNCTION("""COMPUTED_VALUE"""),"Opdv")</f>
        <v>Opdv</v>
      </c>
      <c r="X3362" s="33">
        <f>IFERROR(__xludf.DUMMYFUNCTION("""COMPUTED_VALUE"""),0.6666666666666666)</f>
        <v>0.6666666667</v>
      </c>
    </row>
    <row r="3363">
      <c r="K3363" s="4" t="str">
        <f>IFERROR(__xludf.DUMMYFUNCTION("""COMPUTED_VALUE"""),"DORSE BAR E RESTAURANTE")</f>
        <v>DORSE BAR E RESTAURANTE</v>
      </c>
      <c r="L3363" s="32">
        <f>IFERROR(__xludf.DUMMYFUNCTION("""COMPUTED_VALUE"""),3.0)</f>
        <v>3</v>
      </c>
      <c r="M3363" s="4" t="str">
        <f>IFERROR(__xludf.DUMMYFUNCTION("""COMPUTED_VALUE"""),"Totvs Large Enterprise Tecnologia S.a.")</f>
        <v>Totvs Large Enterprise Tecnologia S.a.</v>
      </c>
      <c r="N3363" s="33">
        <f>IFERROR(__xludf.DUMMYFUNCTION("""COMPUTED_VALUE"""),1.0)</f>
        <v>1</v>
      </c>
      <c r="O3363" s="4" t="str">
        <f>IFERROR(__xludf.DUMMYFUNCTION("""COMPUTED_VALUE"""),"null")</f>
        <v>null</v>
      </c>
      <c r="P3363" s="33">
        <f>IFERROR(__xludf.DUMMYFUNCTION("""COMPUTED_VALUE"""),0.6666666666666666)</f>
        <v>0.6666666667</v>
      </c>
      <c r="Q3363" s="4" t="str">
        <f>IFERROR(__xludf.DUMMYFUNCTION("""COMPUTED_VALUE"""),"null")</f>
        <v>null</v>
      </c>
      <c r="R3363" s="33">
        <f>IFERROR(__xludf.DUMMYFUNCTION("""COMPUTED_VALUE"""),0.6666666666666666)</f>
        <v>0.6666666667</v>
      </c>
      <c r="S3363" s="4" t="str">
        <f>IFERROR(__xludf.DUMMYFUNCTION("""COMPUTED_VALUE"""),"null")</f>
        <v>null</v>
      </c>
      <c r="T3363" s="33">
        <f>IFERROR(__xludf.DUMMYFUNCTION("""COMPUTED_VALUE"""),1.0)</f>
        <v>1</v>
      </c>
      <c r="U3363" s="4" t="str">
        <f>IFERROR(__xludf.DUMMYFUNCTION("""COMPUTED_VALUE"""),"null")</f>
        <v>null</v>
      </c>
      <c r="V3363" s="33">
        <f>IFERROR(__xludf.DUMMYFUNCTION("""COMPUTED_VALUE"""),0.6666666666666666)</f>
        <v>0.6666666667</v>
      </c>
      <c r="W3363" s="4" t="str">
        <f>IFERROR(__xludf.DUMMYFUNCTION("""COMPUTED_VALUE"""),"null")</f>
        <v>null</v>
      </c>
      <c r="X3363" s="33">
        <f>IFERROR(__xludf.DUMMYFUNCTION("""COMPUTED_VALUE"""),0.6666666666666666)</f>
        <v>0.6666666667</v>
      </c>
    </row>
    <row r="3364">
      <c r="K3364" s="4" t="str">
        <f>IFERROR(__xludf.DUMMYFUNCTION("""COMPUTED_VALUE"""),"DOUTOR PIZZA - CONTA PAI")</f>
        <v>DOUTOR PIZZA - CONTA PAI</v>
      </c>
      <c r="L3364" s="32">
        <f>IFERROR(__xludf.DUMMYFUNCTION("""COMPUTED_VALUE"""),3.0)</f>
        <v>3</v>
      </c>
      <c r="M3364" s="4" t="str">
        <f>IFERROR(__xludf.DUMMYFUNCTION("""COMPUTED_VALUE"""),"Saipos Serviços De Software")</f>
        <v>Saipos Serviços De Software</v>
      </c>
      <c r="N3364" s="33">
        <f>IFERROR(__xludf.DUMMYFUNCTION("""COMPUTED_VALUE"""),1.0)</f>
        <v>1</v>
      </c>
      <c r="O3364" s="4" t="str">
        <f>IFERROR(__xludf.DUMMYFUNCTION("""COMPUTED_VALUE"""),"Saipos Serviços De Software")</f>
        <v>Saipos Serviços De Software</v>
      </c>
      <c r="P3364" s="33">
        <f>IFERROR(__xludf.DUMMYFUNCTION("""COMPUTED_VALUE"""),1.0)</f>
        <v>1</v>
      </c>
      <c r="Q3364" s="4" t="str">
        <f>IFERROR(__xludf.DUMMYFUNCTION("""COMPUTED_VALUE"""),"Saipos Serviços De Software")</f>
        <v>Saipos Serviços De Software</v>
      </c>
      <c r="R3364" s="33">
        <f>IFERROR(__xludf.DUMMYFUNCTION("""COMPUTED_VALUE"""),1.0)</f>
        <v>1</v>
      </c>
      <c r="S3364" s="4" t="str">
        <f>IFERROR(__xludf.DUMMYFUNCTION("""COMPUTED_VALUE"""),"Saipos Serviços De Software")</f>
        <v>Saipos Serviços De Software</v>
      </c>
      <c r="T3364" s="33">
        <f>IFERROR(__xludf.DUMMYFUNCTION("""COMPUTED_VALUE"""),1.0)</f>
        <v>1</v>
      </c>
      <c r="U3364" s="4" t="str">
        <f>IFERROR(__xludf.DUMMYFUNCTION("""COMPUTED_VALUE"""),"Saipos Serviços De Software")</f>
        <v>Saipos Serviços De Software</v>
      </c>
      <c r="V3364" s="33">
        <f>IFERROR(__xludf.DUMMYFUNCTION("""COMPUTED_VALUE"""),1.0)</f>
        <v>1</v>
      </c>
      <c r="W3364" s="4" t="str">
        <f>IFERROR(__xludf.DUMMYFUNCTION("""COMPUTED_VALUE"""),"Saipos Serviços De Software")</f>
        <v>Saipos Serviços De Software</v>
      </c>
      <c r="X3364" s="33">
        <f>IFERROR(__xludf.DUMMYFUNCTION("""COMPUTED_VALUE"""),1.0)</f>
        <v>1</v>
      </c>
    </row>
    <row r="3365">
      <c r="K3365" s="4" t="str">
        <f>IFERROR(__xludf.DUMMYFUNCTION("""COMPUTED_VALUE"""),"DOZO SUSHI - CONTA MARCA")</f>
        <v>DOZO SUSHI - CONTA MARCA</v>
      </c>
      <c r="L3365" s="32">
        <f>IFERROR(__xludf.DUMMYFUNCTION("""COMPUTED_VALUE"""),3.0)</f>
        <v>3</v>
      </c>
      <c r="M3365" s="4" t="str">
        <f>IFERROR(__xludf.DUMMYFUNCTION("""COMPUTED_VALUE"""),"Saipos Serviços De Software")</f>
        <v>Saipos Serviços De Software</v>
      </c>
      <c r="N3365" s="33">
        <f>IFERROR(__xludf.DUMMYFUNCTION("""COMPUTED_VALUE"""),1.0)</f>
        <v>1</v>
      </c>
      <c r="O3365" s="4" t="str">
        <f>IFERROR(__xludf.DUMMYFUNCTION("""COMPUTED_VALUE"""),"Saipos Serviços De Software")</f>
        <v>Saipos Serviços De Software</v>
      </c>
      <c r="P3365" s="33">
        <f>IFERROR(__xludf.DUMMYFUNCTION("""COMPUTED_VALUE"""),1.0)</f>
        <v>1</v>
      </c>
      <c r="Q3365" s="4" t="str">
        <f>IFERROR(__xludf.DUMMYFUNCTION("""COMPUTED_VALUE"""),"Saipos Serviços De Software")</f>
        <v>Saipos Serviços De Software</v>
      </c>
      <c r="R3365" s="33">
        <f>IFERROR(__xludf.DUMMYFUNCTION("""COMPUTED_VALUE"""),0.6666666666666666)</f>
        <v>0.6666666667</v>
      </c>
      <c r="S3365" s="4" t="str">
        <f>IFERROR(__xludf.DUMMYFUNCTION("""COMPUTED_VALUE"""),"Saipos Serviços De Software")</f>
        <v>Saipos Serviços De Software</v>
      </c>
      <c r="T3365" s="33">
        <f>IFERROR(__xludf.DUMMYFUNCTION("""COMPUTED_VALUE"""),0.6666666666666666)</f>
        <v>0.6666666667</v>
      </c>
      <c r="U3365" s="4" t="str">
        <f>IFERROR(__xludf.DUMMYFUNCTION("""COMPUTED_VALUE"""),"Saipos Serviços De Software")</f>
        <v>Saipos Serviços De Software</v>
      </c>
      <c r="V3365" s="33">
        <f>IFERROR(__xludf.DUMMYFUNCTION("""COMPUTED_VALUE"""),0.6666666666666666)</f>
        <v>0.6666666667</v>
      </c>
      <c r="W3365" s="4" t="str">
        <f>IFERROR(__xludf.DUMMYFUNCTION("""COMPUTED_VALUE"""),"Saipos Serviços De Software")</f>
        <v>Saipos Serviços De Software</v>
      </c>
      <c r="X3365" s="33">
        <f>IFERROR(__xludf.DUMMYFUNCTION("""COMPUTED_VALUE"""),0.6666666666666666)</f>
        <v>0.6666666667</v>
      </c>
    </row>
    <row r="3366">
      <c r="K3366" s="4" t="str">
        <f>IFERROR(__xludf.DUMMYFUNCTION("""COMPUTED_VALUE"""),"DROGALIRA - CONTA MARCA")</f>
        <v>DROGALIRA - CONTA MARCA</v>
      </c>
      <c r="L3366" s="32">
        <f>IFERROR(__xludf.DUMMYFUNCTION("""COMPUTED_VALUE"""),3.0)</f>
        <v>3</v>
      </c>
      <c r="M3366" s="4" t="str">
        <f>IFERROR(__xludf.DUMMYFUNCTION("""COMPUTED_VALUE"""),"N/A (Not found)")</f>
        <v>N/A (Not found)</v>
      </c>
      <c r="N3366" s="33">
        <f>IFERROR(__xludf.DUMMYFUNCTION("""COMPUTED_VALUE"""),1.0)</f>
        <v>1</v>
      </c>
      <c r="O3366" s="4" t="str">
        <f>IFERROR(__xludf.DUMMYFUNCTION("""COMPUTED_VALUE"""),"N/A (Not found)")</f>
        <v>N/A (Not found)</v>
      </c>
      <c r="P3366" s="33">
        <f>IFERROR(__xludf.DUMMYFUNCTION("""COMPUTED_VALUE"""),1.0)</f>
        <v>1</v>
      </c>
      <c r="Q3366" s="4" t="str">
        <f>IFERROR(__xludf.DUMMYFUNCTION("""COMPUTED_VALUE"""),"N/A (Not found)")</f>
        <v>N/A (Not found)</v>
      </c>
      <c r="R3366" s="33">
        <f>IFERROR(__xludf.DUMMYFUNCTION("""COMPUTED_VALUE"""),1.0)</f>
        <v>1</v>
      </c>
      <c r="S3366" s="4" t="str">
        <f>IFERROR(__xludf.DUMMYFUNCTION("""COMPUTED_VALUE"""),"N/A (Not found)")</f>
        <v>N/A (Not found)</v>
      </c>
      <c r="T3366" s="33">
        <f>IFERROR(__xludf.DUMMYFUNCTION("""COMPUTED_VALUE"""),1.0)</f>
        <v>1</v>
      </c>
      <c r="U3366" s="4" t="str">
        <f>IFERROR(__xludf.DUMMYFUNCTION("""COMPUTED_VALUE"""),"N/A (Not found)")</f>
        <v>N/A (Not found)</v>
      </c>
      <c r="V3366" s="33">
        <f>IFERROR(__xludf.DUMMYFUNCTION("""COMPUTED_VALUE"""),1.0)</f>
        <v>1</v>
      </c>
      <c r="W3366" s="4" t="str">
        <f>IFERROR(__xludf.DUMMYFUNCTION("""COMPUTED_VALUE"""),"N/A (Not found)")</f>
        <v>N/A (Not found)</v>
      </c>
      <c r="X3366" s="33">
        <f>IFERROR(__xludf.DUMMYFUNCTION("""COMPUTED_VALUE"""),1.0)</f>
        <v>1</v>
      </c>
    </row>
    <row r="3367">
      <c r="K3367" s="4" t="str">
        <f>IFERROR(__xludf.DUMMYFUNCTION("""COMPUTED_VALUE"""),"DROGANEWS - LOJAS MIRON - CONTA MARCA")</f>
        <v>DROGANEWS - LOJAS MIRON - CONTA MARCA</v>
      </c>
      <c r="L3367" s="32">
        <f>IFERROR(__xludf.DUMMYFUNCTION("""COMPUTED_VALUE"""),3.0)</f>
        <v>3</v>
      </c>
      <c r="M3367" s="4" t="str">
        <f>IFERROR(__xludf.DUMMYFUNCTION("""COMPUTED_VALUE"""),"N/A (Not found)")</f>
        <v>N/A (Not found)</v>
      </c>
      <c r="N3367" s="33">
        <f>IFERROR(__xludf.DUMMYFUNCTION("""COMPUTED_VALUE"""),1.0)</f>
        <v>1</v>
      </c>
      <c r="O3367" s="4" t="str">
        <f>IFERROR(__xludf.DUMMYFUNCTION("""COMPUTED_VALUE"""),"N/A (Not found)")</f>
        <v>N/A (Not found)</v>
      </c>
      <c r="P3367" s="33">
        <f>IFERROR(__xludf.DUMMYFUNCTION("""COMPUTED_VALUE"""),1.0)</f>
        <v>1</v>
      </c>
      <c r="Q3367" s="4" t="str">
        <f>IFERROR(__xludf.DUMMYFUNCTION("""COMPUTED_VALUE"""),"N/A (Not found)")</f>
        <v>N/A (Not found)</v>
      </c>
      <c r="R3367" s="33">
        <f>IFERROR(__xludf.DUMMYFUNCTION("""COMPUTED_VALUE"""),1.0)</f>
        <v>1</v>
      </c>
      <c r="S3367" s="4" t="str">
        <f>IFERROR(__xludf.DUMMYFUNCTION("""COMPUTED_VALUE"""),"N/A (Not found)")</f>
        <v>N/A (Not found)</v>
      </c>
      <c r="T3367" s="33">
        <f>IFERROR(__xludf.DUMMYFUNCTION("""COMPUTED_VALUE"""),1.0)</f>
        <v>1</v>
      </c>
      <c r="U3367" s="4" t="str">
        <f>IFERROR(__xludf.DUMMYFUNCTION("""COMPUTED_VALUE"""),"N/A (Not found)")</f>
        <v>N/A (Not found)</v>
      </c>
      <c r="V3367" s="33">
        <f>IFERROR(__xludf.DUMMYFUNCTION("""COMPUTED_VALUE"""),1.0)</f>
        <v>1</v>
      </c>
      <c r="W3367" s="4" t="str">
        <f>IFERROR(__xludf.DUMMYFUNCTION("""COMPUTED_VALUE"""),"N/A (Not found)")</f>
        <v>N/A (Not found)</v>
      </c>
      <c r="X3367" s="33">
        <f>IFERROR(__xludf.DUMMYFUNCTION("""COMPUTED_VALUE"""),1.0)</f>
        <v>1</v>
      </c>
    </row>
    <row r="3368">
      <c r="K3368" s="4" t="str">
        <f>IFERROR(__xludf.DUMMYFUNCTION("""COMPUTED_VALUE"""),"DROGARIA AMERICANA - CONTA PAI")</f>
        <v>DROGARIA AMERICANA - CONTA PAI</v>
      </c>
      <c r="L3368" s="32">
        <f>IFERROR(__xludf.DUMMYFUNCTION("""COMPUTED_VALUE"""),3.0)</f>
        <v>3</v>
      </c>
      <c r="M3368" s="4" t="str">
        <f>IFERROR(__xludf.DUMMYFUNCTION("""COMPUTED_VALUE"""),"N/A (Not found)")</f>
        <v>N/A (Not found)</v>
      </c>
      <c r="N3368" s="33">
        <f>IFERROR(__xludf.DUMMYFUNCTION("""COMPUTED_VALUE"""),0.6666666666666666)</f>
        <v>0.6666666667</v>
      </c>
      <c r="O3368" s="4" t="str">
        <f>IFERROR(__xludf.DUMMYFUNCTION("""COMPUTED_VALUE"""),"N/A (Not found)")</f>
        <v>N/A (Not found)</v>
      </c>
      <c r="P3368" s="33">
        <f>IFERROR(__xludf.DUMMYFUNCTION("""COMPUTED_VALUE"""),0.6666666666666666)</f>
        <v>0.6666666667</v>
      </c>
      <c r="Q3368" s="4" t="str">
        <f>IFERROR(__xludf.DUMMYFUNCTION("""COMPUTED_VALUE"""),"N/A (Not found)")</f>
        <v>N/A (Not found)</v>
      </c>
      <c r="R3368" s="33">
        <f>IFERROR(__xludf.DUMMYFUNCTION("""COMPUTED_VALUE"""),0.6666666666666666)</f>
        <v>0.6666666667</v>
      </c>
      <c r="S3368" s="4" t="str">
        <f>IFERROR(__xludf.DUMMYFUNCTION("""COMPUTED_VALUE"""),"N/A (Not found)")</f>
        <v>N/A (Not found)</v>
      </c>
      <c r="T3368" s="33">
        <f>IFERROR(__xludf.DUMMYFUNCTION("""COMPUTED_VALUE"""),0.6666666666666666)</f>
        <v>0.6666666667</v>
      </c>
      <c r="U3368" s="4" t="str">
        <f>IFERROR(__xludf.DUMMYFUNCTION("""COMPUTED_VALUE"""),"N/A (Not found)")</f>
        <v>N/A (Not found)</v>
      </c>
      <c r="V3368" s="33">
        <f>IFERROR(__xludf.DUMMYFUNCTION("""COMPUTED_VALUE"""),1.0)</f>
        <v>1</v>
      </c>
      <c r="W3368" s="4" t="str">
        <f>IFERROR(__xludf.DUMMYFUNCTION("""COMPUTED_VALUE"""),"N/A (Not found)")</f>
        <v>N/A (Not found)</v>
      </c>
      <c r="X3368" s="33">
        <f>IFERROR(__xludf.DUMMYFUNCTION("""COMPUTED_VALUE"""),1.0)</f>
        <v>1</v>
      </c>
    </row>
    <row r="3369">
      <c r="K3369" s="4" t="str">
        <f>IFERROR(__xludf.DUMMYFUNCTION("""COMPUTED_VALUE"""),"DROGARIA BELLA FARMA - CONTA PAI")</f>
        <v>DROGARIA BELLA FARMA - CONTA PAI</v>
      </c>
      <c r="L3369" s="32">
        <f>IFERROR(__xludf.DUMMYFUNCTION("""COMPUTED_VALUE"""),3.0)</f>
        <v>3</v>
      </c>
      <c r="M3369" s="4" t="str">
        <f>IFERROR(__xludf.DUMMYFUNCTION("""COMPUTED_VALUE"""),"N/A (Not found)")</f>
        <v>N/A (Not found)</v>
      </c>
      <c r="N3369" s="33">
        <f>IFERROR(__xludf.DUMMYFUNCTION("""COMPUTED_VALUE"""),1.0)</f>
        <v>1</v>
      </c>
      <c r="O3369" s="4" t="str">
        <f>IFERROR(__xludf.DUMMYFUNCTION("""COMPUTED_VALUE"""),"N/A (Not found)")</f>
        <v>N/A (Not found)</v>
      </c>
      <c r="P3369" s="33">
        <f>IFERROR(__xludf.DUMMYFUNCTION("""COMPUTED_VALUE"""),1.0)</f>
        <v>1</v>
      </c>
      <c r="Q3369" s="4" t="str">
        <f>IFERROR(__xludf.DUMMYFUNCTION("""COMPUTED_VALUE"""),"N/A (Not found)")</f>
        <v>N/A (Not found)</v>
      </c>
      <c r="R3369" s="33">
        <f>IFERROR(__xludf.DUMMYFUNCTION("""COMPUTED_VALUE"""),1.0)</f>
        <v>1</v>
      </c>
      <c r="S3369" s="4" t="str">
        <f>IFERROR(__xludf.DUMMYFUNCTION("""COMPUTED_VALUE"""),"N/A (Not found)")</f>
        <v>N/A (Not found)</v>
      </c>
      <c r="T3369" s="33">
        <f>IFERROR(__xludf.DUMMYFUNCTION("""COMPUTED_VALUE"""),1.0)</f>
        <v>1</v>
      </c>
      <c r="U3369" s="4" t="str">
        <f>IFERROR(__xludf.DUMMYFUNCTION("""COMPUTED_VALUE"""),"N/A (Not found)")</f>
        <v>N/A (Not found)</v>
      </c>
      <c r="V3369" s="33">
        <f>IFERROR(__xludf.DUMMYFUNCTION("""COMPUTED_VALUE"""),1.0)</f>
        <v>1</v>
      </c>
      <c r="W3369" s="4" t="str">
        <f>IFERROR(__xludf.DUMMYFUNCTION("""COMPUTED_VALUE"""),"N/A (Not found)")</f>
        <v>N/A (Not found)</v>
      </c>
      <c r="X3369" s="33">
        <f>IFERROR(__xludf.DUMMYFUNCTION("""COMPUTED_VALUE"""),1.0)</f>
        <v>1</v>
      </c>
    </row>
    <row r="3370">
      <c r="K3370" s="4" t="str">
        <f>IFERROR(__xludf.DUMMYFUNCTION("""COMPUTED_VALUE"""),"DROGARIA CAMPEA - CONTA MARCA")</f>
        <v>DROGARIA CAMPEA - CONTA MARCA</v>
      </c>
      <c r="L3370" s="32">
        <f>IFERROR(__xludf.DUMMYFUNCTION("""COMPUTED_VALUE"""),3.0)</f>
        <v>3</v>
      </c>
      <c r="M3370" s="4" t="str">
        <f>IFERROR(__xludf.DUMMYFUNCTION("""COMPUTED_VALUE"""),"null")</f>
        <v>null</v>
      </c>
      <c r="N3370" s="33">
        <f>IFERROR(__xludf.DUMMYFUNCTION("""COMPUTED_VALUE"""),1.0)</f>
        <v>1</v>
      </c>
      <c r="O3370" s="4" t="str">
        <f>IFERROR(__xludf.DUMMYFUNCTION("""COMPUTED_VALUE"""),"null")</f>
        <v>null</v>
      </c>
      <c r="P3370" s="33">
        <f>IFERROR(__xludf.DUMMYFUNCTION("""COMPUTED_VALUE"""),0.6666666666666666)</f>
        <v>0.6666666667</v>
      </c>
      <c r="Q3370" s="4" t="str">
        <f>IFERROR(__xludf.DUMMYFUNCTION("""COMPUTED_VALUE"""),"null")</f>
        <v>null</v>
      </c>
      <c r="R3370" s="33">
        <f>IFERROR(__xludf.DUMMYFUNCTION("""COMPUTED_VALUE"""),0.6666666666666666)</f>
        <v>0.6666666667</v>
      </c>
      <c r="S3370" s="4" t="str">
        <f>IFERROR(__xludf.DUMMYFUNCTION("""COMPUTED_VALUE"""),"N/A (Not found)")</f>
        <v>N/A (Not found)</v>
      </c>
      <c r="T3370" s="33">
        <f>IFERROR(__xludf.DUMMYFUNCTION("""COMPUTED_VALUE"""),0.6666666666666666)</f>
        <v>0.6666666667</v>
      </c>
      <c r="U3370" s="4" t="str">
        <f>IFERROR(__xludf.DUMMYFUNCTION("""COMPUTED_VALUE"""),"N/A (Not found)")</f>
        <v>N/A (Not found)</v>
      </c>
      <c r="V3370" s="33">
        <f>IFERROR(__xludf.DUMMYFUNCTION("""COMPUTED_VALUE"""),1.0)</f>
        <v>1</v>
      </c>
      <c r="W3370" s="4" t="str">
        <f>IFERROR(__xludf.DUMMYFUNCTION("""COMPUTED_VALUE"""),"null")</f>
        <v>null</v>
      </c>
      <c r="X3370" s="33">
        <f>IFERROR(__xludf.DUMMYFUNCTION("""COMPUTED_VALUE"""),1.0)</f>
        <v>1</v>
      </c>
    </row>
    <row r="3371">
      <c r="K3371" s="4" t="str">
        <f>IFERROR(__xludf.DUMMYFUNCTION("""COMPUTED_VALUE"""),"DROGARIA DESTAQUE CENTRAL DA PRACA - CONTA MARCA")</f>
        <v>DROGARIA DESTAQUE CENTRAL DA PRACA - CONTA MARCA</v>
      </c>
      <c r="L3371" s="32">
        <f>IFERROR(__xludf.DUMMYFUNCTION("""COMPUTED_VALUE"""),3.0)</f>
        <v>3</v>
      </c>
      <c r="M3371" s="4" t="str">
        <f>IFERROR(__xludf.DUMMYFUNCTION("""COMPUTED_VALUE"""),"N/A (Not found)")</f>
        <v>N/A (Not found)</v>
      </c>
      <c r="N3371" s="33">
        <f>IFERROR(__xludf.DUMMYFUNCTION("""COMPUTED_VALUE"""),1.0)</f>
        <v>1</v>
      </c>
      <c r="O3371" s="4" t="str">
        <f>IFERROR(__xludf.DUMMYFUNCTION("""COMPUTED_VALUE"""),"N/A (Not found)")</f>
        <v>N/A (Not found)</v>
      </c>
      <c r="P3371" s="33">
        <f>IFERROR(__xludf.DUMMYFUNCTION("""COMPUTED_VALUE"""),1.0)</f>
        <v>1</v>
      </c>
      <c r="Q3371" s="4" t="str">
        <f>IFERROR(__xludf.DUMMYFUNCTION("""COMPUTED_VALUE"""),"N/A (Not found)")</f>
        <v>N/A (Not found)</v>
      </c>
      <c r="R3371" s="33">
        <f>IFERROR(__xludf.DUMMYFUNCTION("""COMPUTED_VALUE"""),1.0)</f>
        <v>1</v>
      </c>
      <c r="S3371" s="4" t="str">
        <f>IFERROR(__xludf.DUMMYFUNCTION("""COMPUTED_VALUE"""),"N/A (Not found)")</f>
        <v>N/A (Not found)</v>
      </c>
      <c r="T3371" s="33">
        <f>IFERROR(__xludf.DUMMYFUNCTION("""COMPUTED_VALUE"""),1.0)</f>
        <v>1</v>
      </c>
      <c r="U3371" s="4" t="str">
        <f>IFERROR(__xludf.DUMMYFUNCTION("""COMPUTED_VALUE"""),"N/A (Not found)")</f>
        <v>N/A (Not found)</v>
      </c>
      <c r="V3371" s="33">
        <f>IFERROR(__xludf.DUMMYFUNCTION("""COMPUTED_VALUE"""),1.0)</f>
        <v>1</v>
      </c>
      <c r="W3371" s="4" t="str">
        <f>IFERROR(__xludf.DUMMYFUNCTION("""COMPUTED_VALUE"""),"N/A (Not found)")</f>
        <v>N/A (Not found)</v>
      </c>
      <c r="X3371" s="33">
        <f>IFERROR(__xludf.DUMMYFUNCTION("""COMPUTED_VALUE"""),1.0)</f>
        <v>1</v>
      </c>
    </row>
    <row r="3372">
      <c r="K3372" s="4" t="str">
        <f>IFERROR(__xludf.DUMMYFUNCTION("""COMPUTED_VALUE"""),"DROGARIA E PERFUMARIA LAET - CONTA PAI")</f>
        <v>DROGARIA E PERFUMARIA LAET - CONTA PAI</v>
      </c>
      <c r="L3372" s="32">
        <f>IFERROR(__xludf.DUMMYFUNCTION("""COMPUTED_VALUE"""),3.0)</f>
        <v>3</v>
      </c>
      <c r="M3372" s="4" t="str">
        <f>IFERROR(__xludf.DUMMYFUNCTION("""COMPUTED_VALUE"""),"N/A (Not found)")</f>
        <v>N/A (Not found)</v>
      </c>
      <c r="N3372" s="33">
        <f>IFERROR(__xludf.DUMMYFUNCTION("""COMPUTED_VALUE"""),1.0)</f>
        <v>1</v>
      </c>
      <c r="O3372" s="4" t="str">
        <f>IFERROR(__xludf.DUMMYFUNCTION("""COMPUTED_VALUE"""),"null")</f>
        <v>null</v>
      </c>
      <c r="P3372" s="33">
        <f>IFERROR(__xludf.DUMMYFUNCTION("""COMPUTED_VALUE"""),0.6666666666666666)</f>
        <v>0.6666666667</v>
      </c>
      <c r="Q3372" s="4" t="str">
        <f>IFERROR(__xludf.DUMMYFUNCTION("""COMPUTED_VALUE"""),"null")</f>
        <v>null</v>
      </c>
      <c r="R3372" s="33">
        <f>IFERROR(__xludf.DUMMYFUNCTION("""COMPUTED_VALUE"""),0.6666666666666666)</f>
        <v>0.6666666667</v>
      </c>
      <c r="S3372" s="4" t="str">
        <f>IFERROR(__xludf.DUMMYFUNCTION("""COMPUTED_VALUE"""),"null")</f>
        <v>null</v>
      </c>
      <c r="T3372" s="33">
        <f>IFERROR(__xludf.DUMMYFUNCTION("""COMPUTED_VALUE"""),0.6666666666666666)</f>
        <v>0.6666666667</v>
      </c>
      <c r="U3372" s="4" t="str">
        <f>IFERROR(__xludf.DUMMYFUNCTION("""COMPUTED_VALUE"""),"null")</f>
        <v>null</v>
      </c>
      <c r="V3372" s="33">
        <f>IFERROR(__xludf.DUMMYFUNCTION("""COMPUTED_VALUE"""),0.6666666666666666)</f>
        <v>0.6666666667</v>
      </c>
      <c r="W3372" s="4" t="str">
        <f>IFERROR(__xludf.DUMMYFUNCTION("""COMPUTED_VALUE"""),"null")</f>
        <v>null</v>
      </c>
      <c r="X3372" s="33">
        <f>IFERROR(__xludf.DUMMYFUNCTION("""COMPUTED_VALUE"""),0.6666666666666666)</f>
        <v>0.6666666667</v>
      </c>
    </row>
    <row r="3373">
      <c r="K3373" s="4" t="str">
        <f>IFERROR(__xludf.DUMMYFUNCTION("""COMPUTED_VALUE"""),"DROGARIA FARMATECH - CONTA PAI")</f>
        <v>DROGARIA FARMATECH - CONTA PAI</v>
      </c>
      <c r="L3373" s="32">
        <f>IFERROR(__xludf.DUMMYFUNCTION("""COMPUTED_VALUE"""),3.0)</f>
        <v>3</v>
      </c>
      <c r="M3373" s="4" t="str">
        <f>IFERROR(__xludf.DUMMYFUNCTION("""COMPUTED_VALUE"""),"N/A (Not found)")</f>
        <v>N/A (Not found)</v>
      </c>
      <c r="N3373" s="33">
        <f>IFERROR(__xludf.DUMMYFUNCTION("""COMPUTED_VALUE"""),0.6666666666666666)</f>
        <v>0.6666666667</v>
      </c>
      <c r="O3373" s="4" t="str">
        <f>IFERROR(__xludf.DUMMYFUNCTION("""COMPUTED_VALUE"""),"N/A (Not found)")</f>
        <v>N/A (Not found)</v>
      </c>
      <c r="P3373" s="33">
        <f>IFERROR(__xludf.DUMMYFUNCTION("""COMPUTED_VALUE"""),0.6666666666666666)</f>
        <v>0.6666666667</v>
      </c>
      <c r="Q3373" s="4" t="str">
        <f>IFERROR(__xludf.DUMMYFUNCTION("""COMPUTED_VALUE"""),"null")</f>
        <v>null</v>
      </c>
      <c r="R3373" s="33">
        <f>IFERROR(__xludf.DUMMYFUNCTION("""COMPUTED_VALUE"""),0.6666666666666666)</f>
        <v>0.6666666667</v>
      </c>
      <c r="S3373" s="4" t="str">
        <f>IFERROR(__xludf.DUMMYFUNCTION("""COMPUTED_VALUE"""),"N/A (Not found)")</f>
        <v>N/A (Not found)</v>
      </c>
      <c r="T3373" s="33">
        <f>IFERROR(__xludf.DUMMYFUNCTION("""COMPUTED_VALUE"""),0.6666666666666666)</f>
        <v>0.6666666667</v>
      </c>
      <c r="U3373" s="4" t="str">
        <f>IFERROR(__xludf.DUMMYFUNCTION("""COMPUTED_VALUE"""),"N/A (Not found)")</f>
        <v>N/A (Not found)</v>
      </c>
      <c r="V3373" s="33">
        <f>IFERROR(__xludf.DUMMYFUNCTION("""COMPUTED_VALUE"""),1.0)</f>
        <v>1</v>
      </c>
      <c r="W3373" s="4" t="str">
        <f>IFERROR(__xludf.DUMMYFUNCTION("""COMPUTED_VALUE"""),"N/A (Not found)")</f>
        <v>N/A (Not found)</v>
      </c>
      <c r="X3373" s="33">
        <f>IFERROR(__xludf.DUMMYFUNCTION("""COMPUTED_VALUE"""),1.0)</f>
        <v>1</v>
      </c>
    </row>
    <row r="3374">
      <c r="K3374" s="4" t="str">
        <f>IFERROR(__xludf.DUMMYFUNCTION("""COMPUTED_VALUE"""),"DROGARIA HD - CONTA MARCA")</f>
        <v>DROGARIA HD - CONTA MARCA</v>
      </c>
      <c r="L3374" s="32">
        <f>IFERROR(__xludf.DUMMYFUNCTION("""COMPUTED_VALUE"""),3.0)</f>
        <v>3</v>
      </c>
      <c r="M3374" s="4" t="str">
        <f>IFERROR(__xludf.DUMMYFUNCTION("""COMPUTED_VALUE"""),"N/A (Not found)")</f>
        <v>N/A (Not found)</v>
      </c>
      <c r="N3374" s="33">
        <f>IFERROR(__xludf.DUMMYFUNCTION("""COMPUTED_VALUE"""),1.0)</f>
        <v>1</v>
      </c>
      <c r="O3374" s="4" t="str">
        <f>IFERROR(__xludf.DUMMYFUNCTION("""COMPUTED_VALUE"""),"N/A (Not found)")</f>
        <v>N/A (Not found)</v>
      </c>
      <c r="P3374" s="33">
        <f>IFERROR(__xludf.DUMMYFUNCTION("""COMPUTED_VALUE"""),1.0)</f>
        <v>1</v>
      </c>
      <c r="Q3374" s="4" t="str">
        <f>IFERROR(__xludf.DUMMYFUNCTION("""COMPUTED_VALUE"""),"N/A (Not found)")</f>
        <v>N/A (Not found)</v>
      </c>
      <c r="R3374" s="33">
        <f>IFERROR(__xludf.DUMMYFUNCTION("""COMPUTED_VALUE"""),1.0)</f>
        <v>1</v>
      </c>
      <c r="S3374" s="4" t="str">
        <f>IFERROR(__xludf.DUMMYFUNCTION("""COMPUTED_VALUE"""),"N/A (Not found)")</f>
        <v>N/A (Not found)</v>
      </c>
      <c r="T3374" s="33">
        <f>IFERROR(__xludf.DUMMYFUNCTION("""COMPUTED_VALUE"""),1.0)</f>
        <v>1</v>
      </c>
      <c r="U3374" s="4" t="str">
        <f>IFERROR(__xludf.DUMMYFUNCTION("""COMPUTED_VALUE"""),"N/A (Not found)")</f>
        <v>N/A (Not found)</v>
      </c>
      <c r="V3374" s="33">
        <f>IFERROR(__xludf.DUMMYFUNCTION("""COMPUTED_VALUE"""),1.0)</f>
        <v>1</v>
      </c>
      <c r="W3374" s="4" t="str">
        <f>IFERROR(__xludf.DUMMYFUNCTION("""COMPUTED_VALUE"""),"N/A (Not found)")</f>
        <v>N/A (Not found)</v>
      </c>
      <c r="X3374" s="33">
        <f>IFERROR(__xludf.DUMMYFUNCTION("""COMPUTED_VALUE"""),1.0)</f>
        <v>1</v>
      </c>
    </row>
    <row r="3375">
      <c r="K3375" s="4" t="str">
        <f>IFERROR(__xludf.DUMMYFUNCTION("""COMPUTED_VALUE"""),"DROGARIA LIDER DO ENGENHO DE DENTRO - CONTA MARCA")</f>
        <v>DROGARIA LIDER DO ENGENHO DE DENTRO - CONTA MARCA</v>
      </c>
      <c r="L3375" s="32">
        <f>IFERROR(__xludf.DUMMYFUNCTION("""COMPUTED_VALUE"""),3.0)</f>
        <v>3</v>
      </c>
      <c r="M3375" s="4" t="str">
        <f>IFERROR(__xludf.DUMMYFUNCTION("""COMPUTED_VALUE"""),"N/A (Not found)")</f>
        <v>N/A (Not found)</v>
      </c>
      <c r="N3375" s="33">
        <f>IFERROR(__xludf.DUMMYFUNCTION("""COMPUTED_VALUE"""),0.6666666666666666)</f>
        <v>0.6666666667</v>
      </c>
      <c r="O3375" s="4" t="str">
        <f>IFERROR(__xludf.DUMMYFUNCTION("""COMPUTED_VALUE"""),"N/A (Not found)")</f>
        <v>N/A (Not found)</v>
      </c>
      <c r="P3375" s="33">
        <f>IFERROR(__xludf.DUMMYFUNCTION("""COMPUTED_VALUE"""),0.6666666666666666)</f>
        <v>0.6666666667</v>
      </c>
      <c r="Q3375" s="4" t="str">
        <f>IFERROR(__xludf.DUMMYFUNCTION("""COMPUTED_VALUE"""),"N/A (Not found)")</f>
        <v>N/A (Not found)</v>
      </c>
      <c r="R3375" s="33">
        <f>IFERROR(__xludf.DUMMYFUNCTION("""COMPUTED_VALUE"""),0.6666666666666666)</f>
        <v>0.6666666667</v>
      </c>
      <c r="S3375" s="4" t="str">
        <f>IFERROR(__xludf.DUMMYFUNCTION("""COMPUTED_VALUE"""),"N/A (Not found)")</f>
        <v>N/A (Not found)</v>
      </c>
      <c r="T3375" s="33">
        <f>IFERROR(__xludf.DUMMYFUNCTION("""COMPUTED_VALUE"""),1.0)</f>
        <v>1</v>
      </c>
      <c r="U3375" s="4" t="str">
        <f>IFERROR(__xludf.DUMMYFUNCTION("""COMPUTED_VALUE"""),"N/A (Not found)")</f>
        <v>N/A (Not found)</v>
      </c>
      <c r="V3375" s="33">
        <f>IFERROR(__xludf.DUMMYFUNCTION("""COMPUTED_VALUE"""),0.6666666666666666)</f>
        <v>0.6666666667</v>
      </c>
      <c r="W3375" s="4" t="str">
        <f>IFERROR(__xludf.DUMMYFUNCTION("""COMPUTED_VALUE"""),"N/A (Not found)")</f>
        <v>N/A (Not found)</v>
      </c>
      <c r="X3375" s="33">
        <f>IFERROR(__xludf.DUMMYFUNCTION("""COMPUTED_VALUE"""),1.0)</f>
        <v>1</v>
      </c>
    </row>
    <row r="3376">
      <c r="K3376" s="4" t="str">
        <f>IFERROR(__xludf.DUMMYFUNCTION("""COMPUTED_VALUE"""),"DROGARIA MAIA - CONTA MARCA")</f>
        <v>DROGARIA MAIA - CONTA MARCA</v>
      </c>
      <c r="L3376" s="32">
        <f>IFERROR(__xludf.DUMMYFUNCTION("""COMPUTED_VALUE"""),3.0)</f>
        <v>3</v>
      </c>
      <c r="M3376" s="4" t="str">
        <f>IFERROR(__xludf.DUMMYFUNCTION("""COMPUTED_VALUE"""),"N/A (Not found)")</f>
        <v>N/A (Not found)</v>
      </c>
      <c r="N3376" s="33">
        <f>IFERROR(__xludf.DUMMYFUNCTION("""COMPUTED_VALUE"""),1.0)</f>
        <v>1</v>
      </c>
      <c r="O3376" s="4" t="str">
        <f>IFERROR(__xludf.DUMMYFUNCTION("""COMPUTED_VALUE"""),"N/A (Not found)")</f>
        <v>N/A (Not found)</v>
      </c>
      <c r="P3376" s="33">
        <f>IFERROR(__xludf.DUMMYFUNCTION("""COMPUTED_VALUE"""),1.0)</f>
        <v>1</v>
      </c>
      <c r="Q3376" s="4" t="str">
        <f>IFERROR(__xludf.DUMMYFUNCTION("""COMPUTED_VALUE"""),"N/A (Not found)")</f>
        <v>N/A (Not found)</v>
      </c>
      <c r="R3376" s="33">
        <f>IFERROR(__xludf.DUMMYFUNCTION("""COMPUTED_VALUE"""),1.0)</f>
        <v>1</v>
      </c>
      <c r="S3376" s="4" t="str">
        <f>IFERROR(__xludf.DUMMYFUNCTION("""COMPUTED_VALUE"""),"N/A (Not found)")</f>
        <v>N/A (Not found)</v>
      </c>
      <c r="T3376" s="33">
        <f>IFERROR(__xludf.DUMMYFUNCTION("""COMPUTED_VALUE"""),1.0)</f>
        <v>1</v>
      </c>
      <c r="U3376" s="4" t="str">
        <f>IFERROR(__xludf.DUMMYFUNCTION("""COMPUTED_VALUE"""),"N/A (Not found)")</f>
        <v>N/A (Not found)</v>
      </c>
      <c r="V3376" s="33">
        <f>IFERROR(__xludf.DUMMYFUNCTION("""COMPUTED_VALUE"""),1.0)</f>
        <v>1</v>
      </c>
      <c r="W3376" s="4" t="str">
        <f>IFERROR(__xludf.DUMMYFUNCTION("""COMPUTED_VALUE"""),"N/A (Not found)")</f>
        <v>N/A (Not found)</v>
      </c>
      <c r="X3376" s="33">
        <f>IFERROR(__xludf.DUMMYFUNCTION("""COMPUTED_VALUE"""),1.0)</f>
        <v>1</v>
      </c>
    </row>
    <row r="3377">
      <c r="K3377" s="4" t="str">
        <f>IFERROR(__xludf.DUMMYFUNCTION("""COMPUTED_VALUE"""),"DROGARIA MUITO MAIS - CONTA MARCA")</f>
        <v>DROGARIA MUITO MAIS - CONTA MARCA</v>
      </c>
      <c r="L3377" s="32">
        <f>IFERROR(__xludf.DUMMYFUNCTION("""COMPUTED_VALUE"""),3.0)</f>
        <v>3</v>
      </c>
      <c r="M3377" s="4" t="str">
        <f>IFERROR(__xludf.DUMMYFUNCTION("""COMPUTED_VALUE"""),"N/A (Not found)")</f>
        <v>N/A (Not found)</v>
      </c>
      <c r="N3377" s="33">
        <f>IFERROR(__xludf.DUMMYFUNCTION("""COMPUTED_VALUE"""),1.0)</f>
        <v>1</v>
      </c>
      <c r="O3377" s="4" t="str">
        <f>IFERROR(__xludf.DUMMYFUNCTION("""COMPUTED_VALUE"""),"N/A (Not found)")</f>
        <v>N/A (Not found)</v>
      </c>
      <c r="P3377" s="33">
        <f>IFERROR(__xludf.DUMMYFUNCTION("""COMPUTED_VALUE"""),1.0)</f>
        <v>1</v>
      </c>
      <c r="Q3377" s="4" t="str">
        <f>IFERROR(__xludf.DUMMYFUNCTION("""COMPUTED_VALUE"""),"N/A (Not found)")</f>
        <v>N/A (Not found)</v>
      </c>
      <c r="R3377" s="33">
        <f>IFERROR(__xludf.DUMMYFUNCTION("""COMPUTED_VALUE"""),0.6666666666666666)</f>
        <v>0.6666666667</v>
      </c>
      <c r="S3377" s="4" t="str">
        <f>IFERROR(__xludf.DUMMYFUNCTION("""COMPUTED_VALUE"""),"N/A (Not found)")</f>
        <v>N/A (Not found)</v>
      </c>
      <c r="T3377" s="33">
        <f>IFERROR(__xludf.DUMMYFUNCTION("""COMPUTED_VALUE"""),1.0)</f>
        <v>1</v>
      </c>
      <c r="U3377" s="4" t="str">
        <f>IFERROR(__xludf.DUMMYFUNCTION("""COMPUTED_VALUE"""),"N/A (Not found)")</f>
        <v>N/A (Not found)</v>
      </c>
      <c r="V3377" s="33">
        <f>IFERROR(__xludf.DUMMYFUNCTION("""COMPUTED_VALUE"""),1.0)</f>
        <v>1</v>
      </c>
      <c r="W3377" s="4" t="str">
        <f>IFERROR(__xludf.DUMMYFUNCTION("""COMPUTED_VALUE"""),"N/A (Not found)")</f>
        <v>N/A (Not found)</v>
      </c>
      <c r="X3377" s="33">
        <f>IFERROR(__xludf.DUMMYFUNCTION("""COMPUTED_VALUE"""),1.0)</f>
        <v>1</v>
      </c>
    </row>
    <row r="3378">
      <c r="K3378" s="4" t="str">
        <f>IFERROR(__xludf.DUMMYFUNCTION("""COMPUTED_VALUE"""),"DROGARIA POPUFARMA - CONTA PAI")</f>
        <v>DROGARIA POPUFARMA - CONTA PAI</v>
      </c>
      <c r="L3378" s="32">
        <f>IFERROR(__xludf.DUMMYFUNCTION("""COMPUTED_VALUE"""),3.0)</f>
        <v>3</v>
      </c>
      <c r="M3378" s="4" t="str">
        <f>IFERROR(__xludf.DUMMYFUNCTION("""COMPUTED_VALUE"""),"N/A (Not found)")</f>
        <v>N/A (Not found)</v>
      </c>
      <c r="N3378" s="33">
        <f>IFERROR(__xludf.DUMMYFUNCTION("""COMPUTED_VALUE"""),1.0)</f>
        <v>1</v>
      </c>
      <c r="O3378" s="4" t="str">
        <f>IFERROR(__xludf.DUMMYFUNCTION("""COMPUTED_VALUE"""),"N/A (Not found)")</f>
        <v>N/A (Not found)</v>
      </c>
      <c r="P3378" s="33">
        <f>IFERROR(__xludf.DUMMYFUNCTION("""COMPUTED_VALUE"""),1.0)</f>
        <v>1</v>
      </c>
      <c r="Q3378" s="4" t="str">
        <f>IFERROR(__xludf.DUMMYFUNCTION("""COMPUTED_VALUE"""),"N/A (Not found)")</f>
        <v>N/A (Not found)</v>
      </c>
      <c r="R3378" s="33">
        <f>IFERROR(__xludf.DUMMYFUNCTION("""COMPUTED_VALUE"""),1.0)</f>
        <v>1</v>
      </c>
      <c r="S3378" s="4" t="str">
        <f>IFERROR(__xludf.DUMMYFUNCTION("""COMPUTED_VALUE"""),"N/A (Not found)")</f>
        <v>N/A (Not found)</v>
      </c>
      <c r="T3378" s="33">
        <f>IFERROR(__xludf.DUMMYFUNCTION("""COMPUTED_VALUE"""),1.0)</f>
        <v>1</v>
      </c>
      <c r="U3378" s="4" t="str">
        <f>IFERROR(__xludf.DUMMYFUNCTION("""COMPUTED_VALUE"""),"N/A (Not found)")</f>
        <v>N/A (Not found)</v>
      </c>
      <c r="V3378" s="33">
        <f>IFERROR(__xludf.DUMMYFUNCTION("""COMPUTED_VALUE"""),1.0)</f>
        <v>1</v>
      </c>
      <c r="W3378" s="4" t="str">
        <f>IFERROR(__xludf.DUMMYFUNCTION("""COMPUTED_VALUE"""),"N/A (Not found)")</f>
        <v>N/A (Not found)</v>
      </c>
      <c r="X3378" s="33">
        <f>IFERROR(__xludf.DUMMYFUNCTION("""COMPUTED_VALUE"""),1.0)</f>
        <v>1</v>
      </c>
    </row>
    <row r="3379">
      <c r="K3379" s="4" t="str">
        <f>IFERROR(__xludf.DUMMYFUNCTION("""COMPUTED_VALUE"""),"DROGARIAS ATUAL GR YPIRANGA - CONTA MARCA")</f>
        <v>DROGARIAS ATUAL GR YPIRANGA - CONTA MARCA</v>
      </c>
      <c r="L3379" s="32">
        <f>IFERROR(__xludf.DUMMYFUNCTION("""COMPUTED_VALUE"""),3.0)</f>
        <v>3</v>
      </c>
      <c r="M3379" s="4" t="str">
        <f>IFERROR(__xludf.DUMMYFUNCTION("""COMPUTED_VALUE"""),"N/A (Not found)")</f>
        <v>N/A (Not found)</v>
      </c>
      <c r="N3379" s="33">
        <f>IFERROR(__xludf.DUMMYFUNCTION("""COMPUTED_VALUE"""),1.0)</f>
        <v>1</v>
      </c>
      <c r="O3379" s="4" t="str">
        <f>IFERROR(__xludf.DUMMYFUNCTION("""COMPUTED_VALUE"""),"N/A (Not found)")</f>
        <v>N/A (Not found)</v>
      </c>
      <c r="P3379" s="33">
        <f>IFERROR(__xludf.DUMMYFUNCTION("""COMPUTED_VALUE"""),1.0)</f>
        <v>1</v>
      </c>
      <c r="Q3379" s="4" t="str">
        <f>IFERROR(__xludf.DUMMYFUNCTION("""COMPUTED_VALUE"""),"N/A (Not found)")</f>
        <v>N/A (Not found)</v>
      </c>
      <c r="R3379" s="33">
        <f>IFERROR(__xludf.DUMMYFUNCTION("""COMPUTED_VALUE"""),1.0)</f>
        <v>1</v>
      </c>
      <c r="S3379" s="4" t="str">
        <f>IFERROR(__xludf.DUMMYFUNCTION("""COMPUTED_VALUE"""),"N/A (Not found)")</f>
        <v>N/A (Not found)</v>
      </c>
      <c r="T3379" s="33">
        <f>IFERROR(__xludf.DUMMYFUNCTION("""COMPUTED_VALUE"""),1.0)</f>
        <v>1</v>
      </c>
      <c r="U3379" s="4" t="str">
        <f>IFERROR(__xludf.DUMMYFUNCTION("""COMPUTED_VALUE"""),"N/A (Not found)")</f>
        <v>N/A (Not found)</v>
      </c>
      <c r="V3379" s="33">
        <f>IFERROR(__xludf.DUMMYFUNCTION("""COMPUTED_VALUE"""),1.0)</f>
        <v>1</v>
      </c>
      <c r="W3379" s="4" t="str">
        <f>IFERROR(__xludf.DUMMYFUNCTION("""COMPUTED_VALUE"""),"N/A (Not found)")</f>
        <v>N/A (Not found)</v>
      </c>
      <c r="X3379" s="33">
        <f>IFERROR(__xludf.DUMMYFUNCTION("""COMPUTED_VALUE"""),0.6666666666666666)</f>
        <v>0.6666666667</v>
      </c>
    </row>
    <row r="3380">
      <c r="K3380" s="4" t="str">
        <f>IFERROR(__xludf.DUMMYFUNCTION("""COMPUTED_VALUE"""),"DROGARIAS BIGFARMA - CONTA PAI")</f>
        <v>DROGARIAS BIGFARMA - CONTA PAI</v>
      </c>
      <c r="L3380" s="32">
        <f>IFERROR(__xludf.DUMMYFUNCTION("""COMPUTED_VALUE"""),3.0)</f>
        <v>3</v>
      </c>
      <c r="M3380" s="4" t="str">
        <f>IFERROR(__xludf.DUMMYFUNCTION("""COMPUTED_VALUE"""),"N/A (Not found)")</f>
        <v>N/A (Not found)</v>
      </c>
      <c r="N3380" s="33">
        <f>IFERROR(__xludf.DUMMYFUNCTION("""COMPUTED_VALUE"""),1.0)</f>
        <v>1</v>
      </c>
      <c r="O3380" s="4" t="str">
        <f>IFERROR(__xludf.DUMMYFUNCTION("""COMPUTED_VALUE"""),"N/A (Not found)")</f>
        <v>N/A (Not found)</v>
      </c>
      <c r="P3380" s="33">
        <f>IFERROR(__xludf.DUMMYFUNCTION("""COMPUTED_VALUE"""),0.6666666666666666)</f>
        <v>0.6666666667</v>
      </c>
      <c r="Q3380" s="4" t="str">
        <f>IFERROR(__xludf.DUMMYFUNCTION("""COMPUTED_VALUE"""),"N/A (Not found)")</f>
        <v>N/A (Not found)</v>
      </c>
      <c r="R3380" s="33">
        <f>IFERROR(__xludf.DUMMYFUNCTION("""COMPUTED_VALUE"""),1.0)</f>
        <v>1</v>
      </c>
      <c r="S3380" s="4" t="str">
        <f>IFERROR(__xludf.DUMMYFUNCTION("""COMPUTED_VALUE"""),"N/A (Not found)")</f>
        <v>N/A (Not found)</v>
      </c>
      <c r="T3380" s="33">
        <f>IFERROR(__xludf.DUMMYFUNCTION("""COMPUTED_VALUE"""),0.6666666666666666)</f>
        <v>0.6666666667</v>
      </c>
      <c r="U3380" s="4" t="str">
        <f>IFERROR(__xludf.DUMMYFUNCTION("""COMPUTED_VALUE"""),"N/A (Not found)")</f>
        <v>N/A (Not found)</v>
      </c>
      <c r="V3380" s="33">
        <f>IFERROR(__xludf.DUMMYFUNCTION("""COMPUTED_VALUE"""),1.0)</f>
        <v>1</v>
      </c>
      <c r="W3380" s="4" t="str">
        <f>IFERROR(__xludf.DUMMYFUNCTION("""COMPUTED_VALUE"""),"N/A (Not found)")</f>
        <v>N/A (Not found)</v>
      </c>
      <c r="X3380" s="33">
        <f>IFERROR(__xludf.DUMMYFUNCTION("""COMPUTED_VALUE"""),1.0)</f>
        <v>1</v>
      </c>
    </row>
    <row r="3381">
      <c r="K3381" s="4" t="str">
        <f>IFERROR(__xludf.DUMMYFUNCTION("""COMPUTED_VALUE"""),"DROGARIAS CONFIANCA - CONTA PAI")</f>
        <v>DROGARIAS CONFIANCA - CONTA PAI</v>
      </c>
      <c r="L3381" s="32">
        <f>IFERROR(__xludf.DUMMYFUNCTION("""COMPUTED_VALUE"""),3.0)</f>
        <v>3</v>
      </c>
      <c r="M3381" s="4" t="str">
        <f>IFERROR(__xludf.DUMMYFUNCTION("""COMPUTED_VALUE"""),"N/A (Not found)")</f>
        <v>N/A (Not found)</v>
      </c>
      <c r="N3381" s="33">
        <f>IFERROR(__xludf.DUMMYFUNCTION("""COMPUTED_VALUE"""),1.0)</f>
        <v>1</v>
      </c>
      <c r="O3381" s="4" t="str">
        <f>IFERROR(__xludf.DUMMYFUNCTION("""COMPUTED_VALUE"""),"N/A (Not found)")</f>
        <v>N/A (Not found)</v>
      </c>
      <c r="P3381" s="33">
        <f>IFERROR(__xludf.DUMMYFUNCTION("""COMPUTED_VALUE"""),1.0)</f>
        <v>1</v>
      </c>
      <c r="Q3381" s="4" t="str">
        <f>IFERROR(__xludf.DUMMYFUNCTION("""COMPUTED_VALUE"""),"N/A (Not found)")</f>
        <v>N/A (Not found)</v>
      </c>
      <c r="R3381" s="33">
        <f>IFERROR(__xludf.DUMMYFUNCTION("""COMPUTED_VALUE"""),1.0)</f>
        <v>1</v>
      </c>
      <c r="S3381" s="4" t="str">
        <f>IFERROR(__xludf.DUMMYFUNCTION("""COMPUTED_VALUE"""),"N/A (Not found)")</f>
        <v>N/A (Not found)</v>
      </c>
      <c r="T3381" s="33">
        <f>IFERROR(__xludf.DUMMYFUNCTION("""COMPUTED_VALUE"""),1.0)</f>
        <v>1</v>
      </c>
      <c r="U3381" s="4" t="str">
        <f>IFERROR(__xludf.DUMMYFUNCTION("""COMPUTED_VALUE"""),"N/A (Not found)")</f>
        <v>N/A (Not found)</v>
      </c>
      <c r="V3381" s="33">
        <f>IFERROR(__xludf.DUMMYFUNCTION("""COMPUTED_VALUE"""),1.0)</f>
        <v>1</v>
      </c>
      <c r="W3381" s="4" t="str">
        <f>IFERROR(__xludf.DUMMYFUNCTION("""COMPUTED_VALUE"""),"N/A (Not found)")</f>
        <v>N/A (Not found)</v>
      </c>
      <c r="X3381" s="33">
        <f>IFERROR(__xludf.DUMMYFUNCTION("""COMPUTED_VALUE"""),1.0)</f>
        <v>1</v>
      </c>
    </row>
    <row r="3382">
      <c r="K3382" s="4" t="str">
        <f>IFERROR(__xludf.DUMMYFUNCTION("""COMPUTED_VALUE"""),"DROGARIAS MUNDIAL RETIRO DOS ARTISTAS- CONTA MARCA")</f>
        <v>DROGARIAS MUNDIAL RETIRO DOS ARTISTAS- CONTA MARCA</v>
      </c>
      <c r="L3382" s="32">
        <f>IFERROR(__xludf.DUMMYFUNCTION("""COMPUTED_VALUE"""),3.0)</f>
        <v>3</v>
      </c>
      <c r="M3382" s="4" t="str">
        <f>IFERROR(__xludf.DUMMYFUNCTION("""COMPUTED_VALUE"""),"N/A (Not found)")</f>
        <v>N/A (Not found)</v>
      </c>
      <c r="N3382" s="33">
        <f>IFERROR(__xludf.DUMMYFUNCTION("""COMPUTED_VALUE"""),1.0)</f>
        <v>1</v>
      </c>
      <c r="O3382" s="4" t="str">
        <f>IFERROR(__xludf.DUMMYFUNCTION("""COMPUTED_VALUE"""),"N/A (Not found)")</f>
        <v>N/A (Not found)</v>
      </c>
      <c r="P3382" s="33">
        <f>IFERROR(__xludf.DUMMYFUNCTION("""COMPUTED_VALUE"""),1.0)</f>
        <v>1</v>
      </c>
      <c r="Q3382" s="4" t="str">
        <f>IFERROR(__xludf.DUMMYFUNCTION("""COMPUTED_VALUE"""),"N/A (Not found)")</f>
        <v>N/A (Not found)</v>
      </c>
      <c r="R3382" s="33">
        <f>IFERROR(__xludf.DUMMYFUNCTION("""COMPUTED_VALUE"""),1.0)</f>
        <v>1</v>
      </c>
      <c r="S3382" s="4" t="str">
        <f>IFERROR(__xludf.DUMMYFUNCTION("""COMPUTED_VALUE"""),"N/A (Not found)")</f>
        <v>N/A (Not found)</v>
      </c>
      <c r="T3382" s="33">
        <f>IFERROR(__xludf.DUMMYFUNCTION("""COMPUTED_VALUE"""),1.0)</f>
        <v>1</v>
      </c>
      <c r="U3382" s="4" t="str">
        <f>IFERROR(__xludf.DUMMYFUNCTION("""COMPUTED_VALUE"""),"N/A (Not found)")</f>
        <v>N/A (Not found)</v>
      </c>
      <c r="V3382" s="33">
        <f>IFERROR(__xludf.DUMMYFUNCTION("""COMPUTED_VALUE"""),1.0)</f>
        <v>1</v>
      </c>
      <c r="W3382" s="4" t="str">
        <f>IFERROR(__xludf.DUMMYFUNCTION("""COMPUTED_VALUE"""),"N/A (Not found)")</f>
        <v>N/A (Not found)</v>
      </c>
      <c r="X3382" s="33">
        <f>IFERROR(__xludf.DUMMYFUNCTION("""COMPUTED_VALUE"""),1.0)</f>
        <v>1</v>
      </c>
    </row>
    <row r="3383">
      <c r="K3383" s="4" t="str">
        <f>IFERROR(__xludf.DUMMYFUNCTION("""COMPUTED_VALUE"""),"DROGARIAS NAZARE - CONTA PAI")</f>
        <v>DROGARIAS NAZARE - CONTA PAI</v>
      </c>
      <c r="L3383" s="32">
        <f>IFERROR(__xludf.DUMMYFUNCTION("""COMPUTED_VALUE"""),3.0)</f>
        <v>3</v>
      </c>
      <c r="M3383" s="4" t="str">
        <f>IFERROR(__xludf.DUMMYFUNCTION("""COMPUTED_VALUE"""),"N/A (Not found)")</f>
        <v>N/A (Not found)</v>
      </c>
      <c r="N3383" s="33">
        <f>IFERROR(__xludf.DUMMYFUNCTION("""COMPUTED_VALUE"""),1.0)</f>
        <v>1</v>
      </c>
      <c r="O3383" s="4" t="str">
        <f>IFERROR(__xludf.DUMMYFUNCTION("""COMPUTED_VALUE"""),"N/A (Not found)")</f>
        <v>N/A (Not found)</v>
      </c>
      <c r="P3383" s="33">
        <f>IFERROR(__xludf.DUMMYFUNCTION("""COMPUTED_VALUE"""),1.0)</f>
        <v>1</v>
      </c>
      <c r="Q3383" s="4" t="str">
        <f>IFERROR(__xludf.DUMMYFUNCTION("""COMPUTED_VALUE"""),"N/A (Not found)")</f>
        <v>N/A (Not found)</v>
      </c>
      <c r="R3383" s="33">
        <f>IFERROR(__xludf.DUMMYFUNCTION("""COMPUTED_VALUE"""),1.0)</f>
        <v>1</v>
      </c>
      <c r="S3383" s="4" t="str">
        <f>IFERROR(__xludf.DUMMYFUNCTION("""COMPUTED_VALUE"""),"N/A (Not found)")</f>
        <v>N/A (Not found)</v>
      </c>
      <c r="T3383" s="33">
        <f>IFERROR(__xludf.DUMMYFUNCTION("""COMPUTED_VALUE"""),1.0)</f>
        <v>1</v>
      </c>
      <c r="U3383" s="4" t="str">
        <f>IFERROR(__xludf.DUMMYFUNCTION("""COMPUTED_VALUE"""),"N/A (Not found)")</f>
        <v>N/A (Not found)</v>
      </c>
      <c r="V3383" s="33">
        <f>IFERROR(__xludf.DUMMYFUNCTION("""COMPUTED_VALUE"""),1.0)</f>
        <v>1</v>
      </c>
      <c r="W3383" s="4" t="str">
        <f>IFERROR(__xludf.DUMMYFUNCTION("""COMPUTED_VALUE"""),"N/A (Not found)")</f>
        <v>N/A (Not found)</v>
      </c>
      <c r="X3383" s="33">
        <f>IFERROR(__xludf.DUMMYFUNCTION("""COMPUTED_VALUE"""),1.0)</f>
        <v>1</v>
      </c>
    </row>
    <row r="3384">
      <c r="K3384" s="4" t="str">
        <f>IFERROR(__xludf.DUMMYFUNCTION("""COMPUTED_VALUE"""),"DROGARIAS ULTRA POPULAR - LOJAS ANA - CONTA MARCA")</f>
        <v>DROGARIAS ULTRA POPULAR - LOJAS ANA - CONTA MARCA</v>
      </c>
      <c r="L3384" s="32">
        <f>IFERROR(__xludf.DUMMYFUNCTION("""COMPUTED_VALUE"""),3.0)</f>
        <v>3</v>
      </c>
      <c r="M3384" s="4" t="str">
        <f>IFERROR(__xludf.DUMMYFUNCTION("""COMPUTED_VALUE"""),"N/A (Not found)")</f>
        <v>N/A (Not found)</v>
      </c>
      <c r="N3384" s="33">
        <f>IFERROR(__xludf.DUMMYFUNCTION("""COMPUTED_VALUE"""),1.0)</f>
        <v>1</v>
      </c>
      <c r="O3384" s="4" t="str">
        <f>IFERROR(__xludf.DUMMYFUNCTION("""COMPUTED_VALUE"""),"N/A (Not found)")</f>
        <v>N/A (Not found)</v>
      </c>
      <c r="P3384" s="33">
        <f>IFERROR(__xludf.DUMMYFUNCTION("""COMPUTED_VALUE"""),1.0)</f>
        <v>1</v>
      </c>
      <c r="Q3384" s="4" t="str">
        <f>IFERROR(__xludf.DUMMYFUNCTION("""COMPUTED_VALUE"""),"N/A (Not found)")</f>
        <v>N/A (Not found)</v>
      </c>
      <c r="R3384" s="33">
        <f>IFERROR(__xludf.DUMMYFUNCTION("""COMPUTED_VALUE"""),1.0)</f>
        <v>1</v>
      </c>
      <c r="S3384" s="4" t="str">
        <f>IFERROR(__xludf.DUMMYFUNCTION("""COMPUTED_VALUE"""),"N/A (Not found)")</f>
        <v>N/A (Not found)</v>
      </c>
      <c r="T3384" s="33">
        <f>IFERROR(__xludf.DUMMYFUNCTION("""COMPUTED_VALUE"""),1.0)</f>
        <v>1</v>
      </c>
      <c r="U3384" s="4" t="str">
        <f>IFERROR(__xludf.DUMMYFUNCTION("""COMPUTED_VALUE"""),"N/A (Not found)")</f>
        <v>N/A (Not found)</v>
      </c>
      <c r="V3384" s="33">
        <f>IFERROR(__xludf.DUMMYFUNCTION("""COMPUTED_VALUE"""),1.0)</f>
        <v>1</v>
      </c>
      <c r="W3384" s="4" t="str">
        <f>IFERROR(__xludf.DUMMYFUNCTION("""COMPUTED_VALUE"""),"N/A (Not found)")</f>
        <v>N/A (Not found)</v>
      </c>
      <c r="X3384" s="33">
        <f>IFERROR(__xludf.DUMMYFUNCTION("""COMPUTED_VALUE"""),1.0)</f>
        <v>1</v>
      </c>
    </row>
    <row r="3385">
      <c r="K3385" s="4" t="str">
        <f>IFERROR(__xludf.DUMMYFUNCTION("""COMPUTED_VALUE"""),"DROGARIAS ULTRA POPULAR - LOJAS CARVALHO - CONTA MARCA")</f>
        <v>DROGARIAS ULTRA POPULAR - LOJAS CARVALHO - CONTA MARCA</v>
      </c>
      <c r="L3385" s="32">
        <f>IFERROR(__xludf.DUMMYFUNCTION("""COMPUTED_VALUE"""),3.0)</f>
        <v>3</v>
      </c>
      <c r="M3385" s="4" t="str">
        <f>IFERROR(__xludf.DUMMYFUNCTION("""COMPUTED_VALUE"""),"N/A (Not found)")</f>
        <v>N/A (Not found)</v>
      </c>
      <c r="N3385" s="33">
        <f>IFERROR(__xludf.DUMMYFUNCTION("""COMPUTED_VALUE"""),1.0)</f>
        <v>1</v>
      </c>
      <c r="O3385" s="4" t="str">
        <f>IFERROR(__xludf.DUMMYFUNCTION("""COMPUTED_VALUE"""),"N/A (Not found)")</f>
        <v>N/A (Not found)</v>
      </c>
      <c r="P3385" s="33">
        <f>IFERROR(__xludf.DUMMYFUNCTION("""COMPUTED_VALUE"""),1.0)</f>
        <v>1</v>
      </c>
      <c r="Q3385" s="4" t="str">
        <f>IFERROR(__xludf.DUMMYFUNCTION("""COMPUTED_VALUE"""),"N/A (Not found)")</f>
        <v>N/A (Not found)</v>
      </c>
      <c r="R3385" s="33">
        <f>IFERROR(__xludf.DUMMYFUNCTION("""COMPUTED_VALUE"""),1.0)</f>
        <v>1</v>
      </c>
      <c r="S3385" s="4" t="str">
        <f>IFERROR(__xludf.DUMMYFUNCTION("""COMPUTED_VALUE"""),"N/A (Not found)")</f>
        <v>N/A (Not found)</v>
      </c>
      <c r="T3385" s="33">
        <f>IFERROR(__xludf.DUMMYFUNCTION("""COMPUTED_VALUE"""),1.0)</f>
        <v>1</v>
      </c>
      <c r="U3385" s="4" t="str">
        <f>IFERROR(__xludf.DUMMYFUNCTION("""COMPUTED_VALUE"""),"N/A (Not found)")</f>
        <v>N/A (Not found)</v>
      </c>
      <c r="V3385" s="33">
        <f>IFERROR(__xludf.DUMMYFUNCTION("""COMPUTED_VALUE"""),1.0)</f>
        <v>1</v>
      </c>
      <c r="W3385" s="4" t="str">
        <f>IFERROR(__xludf.DUMMYFUNCTION("""COMPUTED_VALUE"""),"N/A (Not found)")</f>
        <v>N/A (Not found)</v>
      </c>
      <c r="X3385" s="33">
        <f>IFERROR(__xludf.DUMMYFUNCTION("""COMPUTED_VALUE"""),1.0)</f>
        <v>1</v>
      </c>
    </row>
    <row r="3386">
      <c r="K3386" s="4" t="str">
        <f>IFERROR(__xludf.DUMMYFUNCTION("""COMPUTED_VALUE"""),"DROGARIAS ULTRA POPULAR - LOJAS GILLIARD - CONTA MARCA")</f>
        <v>DROGARIAS ULTRA POPULAR - LOJAS GILLIARD - CONTA MARCA</v>
      </c>
      <c r="L3386" s="32">
        <f>IFERROR(__xludf.DUMMYFUNCTION("""COMPUTED_VALUE"""),3.0)</f>
        <v>3</v>
      </c>
      <c r="M3386" s="4" t="str">
        <f>IFERROR(__xludf.DUMMYFUNCTION("""COMPUTED_VALUE"""),"N/A (Not found)")</f>
        <v>N/A (Not found)</v>
      </c>
      <c r="N3386" s="33">
        <f>IFERROR(__xludf.DUMMYFUNCTION("""COMPUTED_VALUE"""),0.6666666666666666)</f>
        <v>0.6666666667</v>
      </c>
      <c r="O3386" s="4" t="str">
        <f>IFERROR(__xludf.DUMMYFUNCTION("""COMPUTED_VALUE"""),"N/A (Not found)")</f>
        <v>N/A (Not found)</v>
      </c>
      <c r="P3386" s="33">
        <f>IFERROR(__xludf.DUMMYFUNCTION("""COMPUTED_VALUE"""),1.0)</f>
        <v>1</v>
      </c>
      <c r="Q3386" s="4" t="str">
        <f>IFERROR(__xludf.DUMMYFUNCTION("""COMPUTED_VALUE"""),"N/A (Not found)")</f>
        <v>N/A (Not found)</v>
      </c>
      <c r="R3386" s="33">
        <f>IFERROR(__xludf.DUMMYFUNCTION("""COMPUTED_VALUE"""),1.0)</f>
        <v>1</v>
      </c>
      <c r="S3386" s="4" t="str">
        <f>IFERROR(__xludf.DUMMYFUNCTION("""COMPUTED_VALUE"""),"N/A (Not found)")</f>
        <v>N/A (Not found)</v>
      </c>
      <c r="T3386" s="33">
        <f>IFERROR(__xludf.DUMMYFUNCTION("""COMPUTED_VALUE"""),0.6666666666666666)</f>
        <v>0.6666666667</v>
      </c>
      <c r="U3386" s="4" t="str">
        <f>IFERROR(__xludf.DUMMYFUNCTION("""COMPUTED_VALUE"""),"N/A (Not found)")</f>
        <v>N/A (Not found)</v>
      </c>
      <c r="V3386" s="33">
        <f>IFERROR(__xludf.DUMMYFUNCTION("""COMPUTED_VALUE"""),0.6666666666666666)</f>
        <v>0.6666666667</v>
      </c>
      <c r="W3386" s="4" t="str">
        <f>IFERROR(__xludf.DUMMYFUNCTION("""COMPUTED_VALUE"""),"N/A (Not found)")</f>
        <v>N/A (Not found)</v>
      </c>
      <c r="X3386" s="33">
        <f>IFERROR(__xludf.DUMMYFUNCTION("""COMPUTED_VALUE"""),0.6666666666666666)</f>
        <v>0.6666666667</v>
      </c>
    </row>
    <row r="3387">
      <c r="K3387" s="4" t="str">
        <f>IFERROR(__xludf.DUMMYFUNCTION("""COMPUTED_VALUE"""),"DROGARIAS ULTRA POPULAR - LOJAS RONAN - CONTA MARCA")</f>
        <v>DROGARIAS ULTRA POPULAR - LOJAS RONAN - CONTA MARCA</v>
      </c>
      <c r="L3387" s="32">
        <f>IFERROR(__xludf.DUMMYFUNCTION("""COMPUTED_VALUE"""),3.0)</f>
        <v>3</v>
      </c>
      <c r="M3387" s="4" t="str">
        <f>IFERROR(__xludf.DUMMYFUNCTION("""COMPUTED_VALUE"""),"null")</f>
        <v>null</v>
      </c>
      <c r="N3387" s="33">
        <f>IFERROR(__xludf.DUMMYFUNCTION("""COMPUTED_VALUE"""),1.0)</f>
        <v>1</v>
      </c>
      <c r="O3387" s="4" t="str">
        <f>IFERROR(__xludf.DUMMYFUNCTION("""COMPUTED_VALUE"""),"null")</f>
        <v>null</v>
      </c>
      <c r="P3387" s="33">
        <f>IFERROR(__xludf.DUMMYFUNCTION("""COMPUTED_VALUE"""),1.0)</f>
        <v>1</v>
      </c>
      <c r="Q3387" s="4" t="str">
        <f>IFERROR(__xludf.DUMMYFUNCTION("""COMPUTED_VALUE"""),"null")</f>
        <v>null</v>
      </c>
      <c r="R3387" s="33">
        <f>IFERROR(__xludf.DUMMYFUNCTION("""COMPUTED_VALUE"""),1.0)</f>
        <v>1</v>
      </c>
      <c r="S3387" s="4" t="str">
        <f>IFERROR(__xludf.DUMMYFUNCTION("""COMPUTED_VALUE"""),"null")</f>
        <v>null</v>
      </c>
      <c r="T3387" s="33">
        <f>IFERROR(__xludf.DUMMYFUNCTION("""COMPUTED_VALUE"""),1.0)</f>
        <v>1</v>
      </c>
      <c r="U3387" s="4" t="str">
        <f>IFERROR(__xludf.DUMMYFUNCTION("""COMPUTED_VALUE"""),"N/A (Not found)")</f>
        <v>N/A (Not found)</v>
      </c>
      <c r="V3387" s="33">
        <f>IFERROR(__xludf.DUMMYFUNCTION("""COMPUTED_VALUE"""),1.0)</f>
        <v>1</v>
      </c>
      <c r="W3387" s="4" t="str">
        <f>IFERROR(__xludf.DUMMYFUNCTION("""COMPUTED_VALUE"""),"N/A (Not found)")</f>
        <v>N/A (Not found)</v>
      </c>
      <c r="X3387" s="33">
        <f>IFERROR(__xludf.DUMMYFUNCTION("""COMPUTED_VALUE"""),0.6666666666666666)</f>
        <v>0.6666666667</v>
      </c>
    </row>
    <row r="3388">
      <c r="K3388" s="4" t="str">
        <f>IFERROR(__xludf.DUMMYFUNCTION("""COMPUTED_VALUE"""),"DRUGSTORE ABC - CONTA MARCA")</f>
        <v>DRUGSTORE ABC - CONTA MARCA</v>
      </c>
      <c r="L3388" s="32">
        <f>IFERROR(__xludf.DUMMYFUNCTION("""COMPUTED_VALUE"""),3.0)</f>
        <v>3</v>
      </c>
      <c r="M3388" s="4" t="str">
        <f>IFERROR(__xludf.DUMMYFUNCTION("""COMPUTED_VALUE"""),"N/A (Not found)")</f>
        <v>N/A (Not found)</v>
      </c>
      <c r="N3388" s="33">
        <f>IFERROR(__xludf.DUMMYFUNCTION("""COMPUTED_VALUE"""),1.0)</f>
        <v>1</v>
      </c>
      <c r="O3388" s="4" t="str">
        <f>IFERROR(__xludf.DUMMYFUNCTION("""COMPUTED_VALUE"""),"N/A (Not found)")</f>
        <v>N/A (Not found)</v>
      </c>
      <c r="P3388" s="33">
        <f>IFERROR(__xludf.DUMMYFUNCTION("""COMPUTED_VALUE"""),1.0)</f>
        <v>1</v>
      </c>
      <c r="Q3388" s="4" t="str">
        <f>IFERROR(__xludf.DUMMYFUNCTION("""COMPUTED_VALUE"""),"N/A (Not found)")</f>
        <v>N/A (Not found)</v>
      </c>
      <c r="R3388" s="33">
        <f>IFERROR(__xludf.DUMMYFUNCTION("""COMPUTED_VALUE"""),1.0)</f>
        <v>1</v>
      </c>
      <c r="S3388" s="4" t="str">
        <f>IFERROR(__xludf.DUMMYFUNCTION("""COMPUTED_VALUE"""),"N/A (Not found)")</f>
        <v>N/A (Not found)</v>
      </c>
      <c r="T3388" s="33">
        <f>IFERROR(__xludf.DUMMYFUNCTION("""COMPUTED_VALUE"""),1.0)</f>
        <v>1</v>
      </c>
      <c r="U3388" s="4" t="str">
        <f>IFERROR(__xludf.DUMMYFUNCTION("""COMPUTED_VALUE"""),"N/A (Not found)")</f>
        <v>N/A (Not found)</v>
      </c>
      <c r="V3388" s="33">
        <f>IFERROR(__xludf.DUMMYFUNCTION("""COMPUTED_VALUE"""),1.0)</f>
        <v>1</v>
      </c>
      <c r="W3388" s="4" t="str">
        <f>IFERROR(__xludf.DUMMYFUNCTION("""COMPUTED_VALUE"""),"N/A (Not found)")</f>
        <v>N/A (Not found)</v>
      </c>
      <c r="X3388" s="33">
        <f>IFERROR(__xludf.DUMMYFUNCTION("""COMPUTED_VALUE"""),1.0)</f>
        <v>1</v>
      </c>
    </row>
    <row r="3389">
      <c r="K3389" s="4" t="str">
        <f>IFERROR(__xludf.DUMMYFUNCTION("""COMPUTED_VALUE"""),"DU MATO BURGUER - CAMPO GRANDE - MS")</f>
        <v>DU MATO BURGUER - CAMPO GRANDE - MS</v>
      </c>
      <c r="L3389" s="32">
        <f>IFERROR(__xludf.DUMMYFUNCTION("""COMPUTED_VALUE"""),3.0)</f>
        <v>3</v>
      </c>
      <c r="M3389" s="4" t="str">
        <f>IFERROR(__xludf.DUMMYFUNCTION("""COMPUTED_VALUE"""),"Saipos Serviços De Software")</f>
        <v>Saipos Serviços De Software</v>
      </c>
      <c r="N3389" s="33">
        <f>IFERROR(__xludf.DUMMYFUNCTION("""COMPUTED_VALUE"""),1.0)</f>
        <v>1</v>
      </c>
      <c r="O3389" s="4" t="str">
        <f>IFERROR(__xludf.DUMMYFUNCTION("""COMPUTED_VALUE"""),"Saipos Serviços De Software")</f>
        <v>Saipos Serviços De Software</v>
      </c>
      <c r="P3389" s="33">
        <f>IFERROR(__xludf.DUMMYFUNCTION("""COMPUTED_VALUE"""),1.0)</f>
        <v>1</v>
      </c>
      <c r="Q3389" s="4" t="str">
        <f>IFERROR(__xludf.DUMMYFUNCTION("""COMPUTED_VALUE"""),"Saipos Serviços De Software")</f>
        <v>Saipos Serviços De Software</v>
      </c>
      <c r="R3389" s="33">
        <f>IFERROR(__xludf.DUMMYFUNCTION("""COMPUTED_VALUE"""),1.0)</f>
        <v>1</v>
      </c>
      <c r="S3389" s="4" t="str">
        <f>IFERROR(__xludf.DUMMYFUNCTION("""COMPUTED_VALUE"""),"Saipos Serviços De Software")</f>
        <v>Saipos Serviços De Software</v>
      </c>
      <c r="T3389" s="33">
        <f>IFERROR(__xludf.DUMMYFUNCTION("""COMPUTED_VALUE"""),1.0)</f>
        <v>1</v>
      </c>
      <c r="U3389" s="4" t="str">
        <f>IFERROR(__xludf.DUMMYFUNCTION("""COMPUTED_VALUE"""),"Saipos Serviços De Software")</f>
        <v>Saipos Serviços De Software</v>
      </c>
      <c r="V3389" s="33">
        <f>IFERROR(__xludf.DUMMYFUNCTION("""COMPUTED_VALUE"""),1.0)</f>
        <v>1</v>
      </c>
      <c r="W3389" s="4" t="str">
        <f>IFERROR(__xludf.DUMMYFUNCTION("""COMPUTED_VALUE"""),"Saipos Serviços De Software")</f>
        <v>Saipos Serviços De Software</v>
      </c>
      <c r="X3389" s="33">
        <f>IFERROR(__xludf.DUMMYFUNCTION("""COMPUTED_VALUE"""),1.0)</f>
        <v>1</v>
      </c>
    </row>
    <row r="3390">
      <c r="K3390" s="4" t="str">
        <f>IFERROR(__xludf.DUMMYFUNCTION("""COMPUTED_VALUE"""),"DU MATO BURGUER - CENTRO")</f>
        <v>DU MATO BURGUER - CENTRO</v>
      </c>
      <c r="L3390" s="32">
        <f>IFERROR(__xludf.DUMMYFUNCTION("""COMPUTED_VALUE"""),3.0)</f>
        <v>3</v>
      </c>
      <c r="M3390" s="4" t="str">
        <f>IFERROR(__xludf.DUMMYFUNCTION("""COMPUTED_VALUE"""),"Saipos Serviços De Software")</f>
        <v>Saipos Serviços De Software</v>
      </c>
      <c r="N3390" s="33">
        <f>IFERROR(__xludf.DUMMYFUNCTION("""COMPUTED_VALUE"""),1.0)</f>
        <v>1</v>
      </c>
      <c r="O3390" s="4" t="str">
        <f>IFERROR(__xludf.DUMMYFUNCTION("""COMPUTED_VALUE"""),"Saipos Serviços De Software")</f>
        <v>Saipos Serviços De Software</v>
      </c>
      <c r="P3390" s="33">
        <f>IFERROR(__xludf.DUMMYFUNCTION("""COMPUTED_VALUE"""),1.0)</f>
        <v>1</v>
      </c>
      <c r="Q3390" s="4" t="str">
        <f>IFERROR(__xludf.DUMMYFUNCTION("""COMPUTED_VALUE"""),"Saipos Serviços De Software")</f>
        <v>Saipos Serviços De Software</v>
      </c>
      <c r="R3390" s="33">
        <f>IFERROR(__xludf.DUMMYFUNCTION("""COMPUTED_VALUE"""),1.0)</f>
        <v>1</v>
      </c>
      <c r="S3390" s="4" t="str">
        <f>IFERROR(__xludf.DUMMYFUNCTION("""COMPUTED_VALUE"""),"Saipos Serviços De Software")</f>
        <v>Saipos Serviços De Software</v>
      </c>
      <c r="T3390" s="33">
        <f>IFERROR(__xludf.DUMMYFUNCTION("""COMPUTED_VALUE"""),1.0)</f>
        <v>1</v>
      </c>
      <c r="U3390" s="4" t="str">
        <f>IFERROR(__xludf.DUMMYFUNCTION("""COMPUTED_VALUE"""),"Saipos Serviços De Software")</f>
        <v>Saipos Serviços De Software</v>
      </c>
      <c r="V3390" s="33">
        <f>IFERROR(__xludf.DUMMYFUNCTION("""COMPUTED_VALUE"""),1.0)</f>
        <v>1</v>
      </c>
      <c r="W3390" s="4" t="str">
        <f>IFERROR(__xludf.DUMMYFUNCTION("""COMPUTED_VALUE"""),"Saipos Serviços De Software")</f>
        <v>Saipos Serviços De Software</v>
      </c>
      <c r="X3390" s="33">
        <f>IFERROR(__xludf.DUMMYFUNCTION("""COMPUTED_VALUE"""),1.0)</f>
        <v>1</v>
      </c>
    </row>
    <row r="3391">
      <c r="K3391" s="4" t="str">
        <f>IFERROR(__xludf.DUMMYFUNCTION("""COMPUTED_VALUE"""),"DUCADU BRASA BURGER - CONTA MARCA")</f>
        <v>DUCADU BRASA BURGER - CONTA MARCA</v>
      </c>
      <c r="L3391" s="32">
        <f>IFERROR(__xludf.DUMMYFUNCTION("""COMPUTED_VALUE"""),3.0)</f>
        <v>3</v>
      </c>
      <c r="M3391" s="4" t="str">
        <f>IFERROR(__xludf.DUMMYFUNCTION("""COMPUTED_VALUE"""),"Saipos Serviços De Software")</f>
        <v>Saipos Serviços De Software</v>
      </c>
      <c r="N3391" s="33">
        <f>IFERROR(__xludf.DUMMYFUNCTION("""COMPUTED_VALUE"""),1.0)</f>
        <v>1</v>
      </c>
      <c r="O3391" s="4" t="str">
        <f>IFERROR(__xludf.DUMMYFUNCTION("""COMPUTED_VALUE"""),"Saipos Serviços De Software")</f>
        <v>Saipos Serviços De Software</v>
      </c>
      <c r="P3391" s="33">
        <f>IFERROR(__xludf.DUMMYFUNCTION("""COMPUTED_VALUE"""),1.0)</f>
        <v>1</v>
      </c>
      <c r="Q3391" s="4" t="str">
        <f>IFERROR(__xludf.DUMMYFUNCTION("""COMPUTED_VALUE"""),"Saipos Serviços De Software")</f>
        <v>Saipos Serviços De Software</v>
      </c>
      <c r="R3391" s="33">
        <f>IFERROR(__xludf.DUMMYFUNCTION("""COMPUTED_VALUE"""),1.0)</f>
        <v>1</v>
      </c>
      <c r="S3391" s="4" t="str">
        <f>IFERROR(__xludf.DUMMYFUNCTION("""COMPUTED_VALUE"""),"Saipos Serviços De Software")</f>
        <v>Saipos Serviços De Software</v>
      </c>
      <c r="T3391" s="33">
        <f>IFERROR(__xludf.DUMMYFUNCTION("""COMPUTED_VALUE"""),1.0)</f>
        <v>1</v>
      </c>
      <c r="U3391" s="4" t="str">
        <f>IFERROR(__xludf.DUMMYFUNCTION("""COMPUTED_VALUE"""),"Saipos Serviços De Software")</f>
        <v>Saipos Serviços De Software</v>
      </c>
      <c r="V3391" s="33">
        <f>IFERROR(__xludf.DUMMYFUNCTION("""COMPUTED_VALUE"""),1.0)</f>
        <v>1</v>
      </c>
      <c r="W3391" s="4" t="str">
        <f>IFERROR(__xludf.DUMMYFUNCTION("""COMPUTED_VALUE"""),"Saipos Serviços De Software")</f>
        <v>Saipos Serviços De Software</v>
      </c>
      <c r="X3391" s="33">
        <f>IFERROR(__xludf.DUMMYFUNCTION("""COMPUTED_VALUE"""),1.0)</f>
        <v>1</v>
      </c>
    </row>
    <row r="3392">
      <c r="K3392" s="4" t="str">
        <f>IFERROR(__xludf.DUMMYFUNCTION("""COMPUTED_VALUE"""),"ECA PIZZA - PIZZARIA - CP")</f>
        <v>ECA PIZZA - PIZZARIA - CP</v>
      </c>
      <c r="L3392" s="32">
        <f>IFERROR(__xludf.DUMMYFUNCTION("""COMPUTED_VALUE"""),3.0)</f>
        <v>3</v>
      </c>
      <c r="M3392" s="4" t="str">
        <f>IFERROR(__xludf.DUMMYFUNCTION("""COMPUTED_VALUE"""),"Saipos Serviços De Software")</f>
        <v>Saipos Serviços De Software</v>
      </c>
      <c r="N3392" s="33">
        <f>IFERROR(__xludf.DUMMYFUNCTION("""COMPUTED_VALUE"""),1.0)</f>
        <v>1</v>
      </c>
      <c r="O3392" s="4" t="str">
        <f>IFERROR(__xludf.DUMMYFUNCTION("""COMPUTED_VALUE"""),"Saipos Serviços De Software")</f>
        <v>Saipos Serviços De Software</v>
      </c>
      <c r="P3392" s="33">
        <f>IFERROR(__xludf.DUMMYFUNCTION("""COMPUTED_VALUE"""),1.0)</f>
        <v>1</v>
      </c>
      <c r="Q3392" s="4" t="str">
        <f>IFERROR(__xludf.DUMMYFUNCTION("""COMPUTED_VALUE"""),"Saipos Serviços De Software")</f>
        <v>Saipos Serviços De Software</v>
      </c>
      <c r="R3392" s="33">
        <f>IFERROR(__xludf.DUMMYFUNCTION("""COMPUTED_VALUE"""),1.0)</f>
        <v>1</v>
      </c>
      <c r="S3392" s="4" t="str">
        <f>IFERROR(__xludf.DUMMYFUNCTION("""COMPUTED_VALUE"""),"Saipos Serviços De Software")</f>
        <v>Saipos Serviços De Software</v>
      </c>
      <c r="T3392" s="33">
        <f>IFERROR(__xludf.DUMMYFUNCTION("""COMPUTED_VALUE"""),1.0)</f>
        <v>1</v>
      </c>
      <c r="U3392" s="4" t="str">
        <f>IFERROR(__xludf.DUMMYFUNCTION("""COMPUTED_VALUE"""),"Saipos Serviços De Software")</f>
        <v>Saipos Serviços De Software</v>
      </c>
      <c r="V3392" s="33">
        <f>IFERROR(__xludf.DUMMYFUNCTION("""COMPUTED_VALUE"""),1.0)</f>
        <v>1</v>
      </c>
      <c r="W3392" s="4" t="str">
        <f>IFERROR(__xludf.DUMMYFUNCTION("""COMPUTED_VALUE"""),"Saipos Serviços De Software")</f>
        <v>Saipos Serviços De Software</v>
      </c>
      <c r="X3392" s="33">
        <f>IFERROR(__xludf.DUMMYFUNCTION("""COMPUTED_VALUE"""),1.0)</f>
        <v>1</v>
      </c>
    </row>
    <row r="3393">
      <c r="K3393" s="4" t="str">
        <f>IFERROR(__xludf.DUMMYFUNCTION("""COMPUTED_VALUE"""),"ECONOMICO MEIO A MEIO - CONTA PAI")</f>
        <v>ECONOMICO MEIO A MEIO - CONTA PAI</v>
      </c>
      <c r="L3393" s="32">
        <f>IFERROR(__xludf.DUMMYFUNCTION("""COMPUTED_VALUE"""),3.0)</f>
        <v>3</v>
      </c>
      <c r="M3393" s="4" t="str">
        <f>IFERROR(__xludf.DUMMYFUNCTION("""COMPUTED_VALUE"""),"N/A (Not found)")</f>
        <v>N/A (Not found)</v>
      </c>
      <c r="N3393" s="33">
        <f>IFERROR(__xludf.DUMMYFUNCTION("""COMPUTED_VALUE"""),1.0)</f>
        <v>1</v>
      </c>
      <c r="O3393" s="4" t="str">
        <f>IFERROR(__xludf.DUMMYFUNCTION("""COMPUTED_VALUE"""),"N/A (Not found)")</f>
        <v>N/A (Not found)</v>
      </c>
      <c r="P3393" s="33">
        <f>IFERROR(__xludf.DUMMYFUNCTION("""COMPUTED_VALUE"""),1.0)</f>
        <v>1</v>
      </c>
      <c r="Q3393" s="4" t="str">
        <f>IFERROR(__xludf.DUMMYFUNCTION("""COMPUTED_VALUE"""),"N/A (Not found)")</f>
        <v>N/A (Not found)</v>
      </c>
      <c r="R3393" s="33">
        <f>IFERROR(__xludf.DUMMYFUNCTION("""COMPUTED_VALUE"""),0.6666666666666666)</f>
        <v>0.6666666667</v>
      </c>
      <c r="S3393" s="4" t="str">
        <f>IFERROR(__xludf.DUMMYFUNCTION("""COMPUTED_VALUE"""),"N/A (Not found)")</f>
        <v>N/A (Not found)</v>
      </c>
      <c r="T3393" s="33">
        <f>IFERROR(__xludf.DUMMYFUNCTION("""COMPUTED_VALUE"""),0.6666666666666666)</f>
        <v>0.6666666667</v>
      </c>
      <c r="U3393" s="4" t="str">
        <f>IFERROR(__xludf.DUMMYFUNCTION("""COMPUTED_VALUE"""),"N/A (Not found)")</f>
        <v>N/A (Not found)</v>
      </c>
      <c r="V3393" s="33">
        <f>IFERROR(__xludf.DUMMYFUNCTION("""COMPUTED_VALUE"""),0.6666666666666666)</f>
        <v>0.6666666667</v>
      </c>
      <c r="W3393" s="4" t="str">
        <f>IFERROR(__xludf.DUMMYFUNCTION("""COMPUTED_VALUE"""),"N/A (Not found)")</f>
        <v>N/A (Not found)</v>
      </c>
      <c r="X3393" s="33">
        <f>IFERROR(__xludf.DUMMYFUNCTION("""COMPUTED_VALUE"""),0.6666666666666666)</f>
        <v>0.6666666667</v>
      </c>
    </row>
    <row r="3394">
      <c r="K3394" s="4" t="str">
        <f>IFERROR(__xludf.DUMMYFUNCTION("""COMPUTED_VALUE"""),"EDO SUSHI - CONTA PAI")</f>
        <v>EDO SUSHI - CONTA PAI</v>
      </c>
      <c r="L3394" s="32">
        <f>IFERROR(__xludf.DUMMYFUNCTION("""COMPUTED_VALUE"""),3.0)</f>
        <v>3</v>
      </c>
      <c r="M3394" s="4" t="str">
        <f>IFERROR(__xludf.DUMMYFUNCTION("""COMPUTED_VALUE"""),"null")</f>
        <v>null</v>
      </c>
      <c r="N3394" s="33">
        <f>IFERROR(__xludf.DUMMYFUNCTION("""COMPUTED_VALUE"""),1.0)</f>
        <v>1</v>
      </c>
      <c r="O3394" s="4" t="str">
        <f>IFERROR(__xludf.DUMMYFUNCTION("""COMPUTED_VALUE"""),"null")</f>
        <v>null</v>
      </c>
      <c r="P3394" s="33">
        <f>IFERROR(__xludf.DUMMYFUNCTION("""COMPUTED_VALUE"""),1.0)</f>
        <v>1</v>
      </c>
      <c r="Q3394" s="4" t="str">
        <f>IFERROR(__xludf.DUMMYFUNCTION("""COMPUTED_VALUE"""),"null")</f>
        <v>null</v>
      </c>
      <c r="R3394" s="33">
        <f>IFERROR(__xludf.DUMMYFUNCTION("""COMPUTED_VALUE"""),1.0)</f>
        <v>1</v>
      </c>
      <c r="S3394" s="4" t="str">
        <f>IFERROR(__xludf.DUMMYFUNCTION("""COMPUTED_VALUE"""),"Saipos Serviços De Software")</f>
        <v>Saipos Serviços De Software</v>
      </c>
      <c r="T3394" s="33">
        <f>IFERROR(__xludf.DUMMYFUNCTION("""COMPUTED_VALUE"""),1.0)</f>
        <v>1</v>
      </c>
      <c r="U3394" s="4" t="str">
        <f>IFERROR(__xludf.DUMMYFUNCTION("""COMPUTED_VALUE"""),"Saipos Serviços De Software")</f>
        <v>Saipos Serviços De Software</v>
      </c>
      <c r="V3394" s="33">
        <f>IFERROR(__xludf.DUMMYFUNCTION("""COMPUTED_VALUE"""),1.0)</f>
        <v>1</v>
      </c>
      <c r="W3394" s="4" t="str">
        <f>IFERROR(__xludf.DUMMYFUNCTION("""COMPUTED_VALUE"""),"null")</f>
        <v>null</v>
      </c>
      <c r="X3394" s="33">
        <f>IFERROR(__xludf.DUMMYFUNCTION("""COMPUTED_VALUE"""),1.0)</f>
        <v>1</v>
      </c>
    </row>
    <row r="3395">
      <c r="K3395" s="4" t="str">
        <f>IFERROR(__xludf.DUMMYFUNCTION("""COMPUTED_VALUE"""),"ELETRIC BURGER- MARCA")</f>
        <v>ELETRIC BURGER- MARCA</v>
      </c>
      <c r="L3395" s="32">
        <f>IFERROR(__xludf.DUMMYFUNCTION("""COMPUTED_VALUE"""),3.0)</f>
        <v>3</v>
      </c>
      <c r="M3395" s="4" t="str">
        <f>IFERROR(__xludf.DUMMYFUNCTION("""COMPUTED_VALUE"""),"Consumer Soluções Em Tecnologia Ltda")</f>
        <v>Consumer Soluções Em Tecnologia Ltda</v>
      </c>
      <c r="N3395" s="33">
        <f>IFERROR(__xludf.DUMMYFUNCTION("""COMPUTED_VALUE"""),0.6666666666666666)</f>
        <v>0.6666666667</v>
      </c>
      <c r="O3395" s="4" t="str">
        <f>IFERROR(__xludf.DUMMYFUNCTION("""COMPUTED_VALUE"""),"Consumer Soluções Em Tecnologia Ltda")</f>
        <v>Consumer Soluções Em Tecnologia Ltda</v>
      </c>
      <c r="P3395" s="33">
        <f>IFERROR(__xludf.DUMMYFUNCTION("""COMPUTED_VALUE"""),0.6666666666666666)</f>
        <v>0.6666666667</v>
      </c>
      <c r="Q3395" s="4" t="str">
        <f>IFERROR(__xludf.DUMMYFUNCTION("""COMPUTED_VALUE"""),"Consumer Soluções Em Tecnologia Ltda")</f>
        <v>Consumer Soluções Em Tecnologia Ltda</v>
      </c>
      <c r="R3395" s="33">
        <f>IFERROR(__xludf.DUMMYFUNCTION("""COMPUTED_VALUE"""),0.6666666666666666)</f>
        <v>0.6666666667</v>
      </c>
      <c r="S3395" s="4" t="str">
        <f>IFERROR(__xludf.DUMMYFUNCTION("""COMPUTED_VALUE"""),"Consumer Soluções Em Tecnologia Ltda")</f>
        <v>Consumer Soluções Em Tecnologia Ltda</v>
      </c>
      <c r="T3395" s="33">
        <f>IFERROR(__xludf.DUMMYFUNCTION("""COMPUTED_VALUE"""),0.6666666666666666)</f>
        <v>0.6666666667</v>
      </c>
      <c r="U3395" s="4" t="str">
        <f>IFERROR(__xludf.DUMMYFUNCTION("""COMPUTED_VALUE"""),"Consumer Soluções Em Tecnologia Ltda")</f>
        <v>Consumer Soluções Em Tecnologia Ltda</v>
      </c>
      <c r="V3395" s="33">
        <f>IFERROR(__xludf.DUMMYFUNCTION("""COMPUTED_VALUE"""),0.6666666666666666)</f>
        <v>0.6666666667</v>
      </c>
      <c r="W3395" s="4" t="str">
        <f>IFERROR(__xludf.DUMMYFUNCTION("""COMPUTED_VALUE"""),"Consumer Soluções Em Tecnologia Ltda")</f>
        <v>Consumer Soluções Em Tecnologia Ltda</v>
      </c>
      <c r="X3395" s="33">
        <f>IFERROR(__xludf.DUMMYFUNCTION("""COMPUTED_VALUE"""),0.6666666666666666)</f>
        <v>0.6666666667</v>
      </c>
    </row>
    <row r="3396">
      <c r="K3396" s="4" t="str">
        <f>IFERROR(__xludf.DUMMYFUNCTION("""COMPUTED_VALUE"""),"ELOFARMA - LOJAS BARBOZA - CONTA MARCA")</f>
        <v>ELOFARMA - LOJAS BARBOZA - CONTA MARCA</v>
      </c>
      <c r="L3396" s="32">
        <f>IFERROR(__xludf.DUMMYFUNCTION("""COMPUTED_VALUE"""),3.0)</f>
        <v>3</v>
      </c>
      <c r="M3396" s="4" t="str">
        <f>IFERROR(__xludf.DUMMYFUNCTION("""COMPUTED_VALUE"""),"null")</f>
        <v>null</v>
      </c>
      <c r="N3396" s="33">
        <f>IFERROR(__xludf.DUMMYFUNCTION("""COMPUTED_VALUE"""),0.6666666666666666)</f>
        <v>0.6666666667</v>
      </c>
      <c r="O3396" s="4" t="str">
        <f>IFERROR(__xludf.DUMMYFUNCTION("""COMPUTED_VALUE"""),"N/A (Not found)")</f>
        <v>N/A (Not found)</v>
      </c>
      <c r="P3396" s="33">
        <f>IFERROR(__xludf.DUMMYFUNCTION("""COMPUTED_VALUE"""),1.0)</f>
        <v>1</v>
      </c>
      <c r="Q3396" s="4" t="str">
        <f>IFERROR(__xludf.DUMMYFUNCTION("""COMPUTED_VALUE"""),"N/A (Not found)")</f>
        <v>N/A (Not found)</v>
      </c>
      <c r="R3396" s="33">
        <f>IFERROR(__xludf.DUMMYFUNCTION("""COMPUTED_VALUE"""),1.0)</f>
        <v>1</v>
      </c>
      <c r="S3396" s="4" t="str">
        <f>IFERROR(__xludf.DUMMYFUNCTION("""COMPUTED_VALUE"""),"N/A (Not found)")</f>
        <v>N/A (Not found)</v>
      </c>
      <c r="T3396" s="33">
        <f>IFERROR(__xludf.DUMMYFUNCTION("""COMPUTED_VALUE"""),1.0)</f>
        <v>1</v>
      </c>
      <c r="U3396" s="4" t="str">
        <f>IFERROR(__xludf.DUMMYFUNCTION("""COMPUTED_VALUE"""),"N/A (Not found)")</f>
        <v>N/A (Not found)</v>
      </c>
      <c r="V3396" s="33">
        <f>IFERROR(__xludf.DUMMYFUNCTION("""COMPUTED_VALUE"""),1.0)</f>
        <v>1</v>
      </c>
      <c r="W3396" s="4" t="str">
        <f>IFERROR(__xludf.DUMMYFUNCTION("""COMPUTED_VALUE"""),"N/A (Not found)")</f>
        <v>N/A (Not found)</v>
      </c>
      <c r="X3396" s="33">
        <f>IFERROR(__xludf.DUMMYFUNCTION("""COMPUTED_VALUE"""),0.6666666666666666)</f>
        <v>0.6666666667</v>
      </c>
    </row>
    <row r="3397">
      <c r="K3397" s="4" t="str">
        <f>IFERROR(__xludf.DUMMYFUNCTION("""COMPUTED_VALUE"""),"EMPADAO A LENHA")</f>
        <v>EMPADAO A LENHA</v>
      </c>
      <c r="L3397" s="32">
        <f>IFERROR(__xludf.DUMMYFUNCTION("""COMPUTED_VALUE"""),3.0)</f>
        <v>3</v>
      </c>
      <c r="M3397" s="4" t="str">
        <f>IFERROR(__xludf.DUMMYFUNCTION("""COMPUTED_VALUE"""),"Lab Jota Marketing Digital Eirele")</f>
        <v>Lab Jota Marketing Digital Eirele</v>
      </c>
      <c r="N3397" s="33">
        <f>IFERROR(__xludf.DUMMYFUNCTION("""COMPUTED_VALUE"""),1.0)</f>
        <v>1</v>
      </c>
      <c r="O3397" s="4" t="str">
        <f>IFERROR(__xludf.DUMMYFUNCTION("""COMPUTED_VALUE"""),"Lab Jota Marketing Digital Eirele")</f>
        <v>Lab Jota Marketing Digital Eirele</v>
      </c>
      <c r="P3397" s="33">
        <f>IFERROR(__xludf.DUMMYFUNCTION("""COMPUTED_VALUE"""),1.0)</f>
        <v>1</v>
      </c>
      <c r="Q3397" s="4" t="str">
        <f>IFERROR(__xludf.DUMMYFUNCTION("""COMPUTED_VALUE"""),"Lab Jota Marketing Digital Eirele")</f>
        <v>Lab Jota Marketing Digital Eirele</v>
      </c>
      <c r="R3397" s="33">
        <f>IFERROR(__xludf.DUMMYFUNCTION("""COMPUTED_VALUE"""),0.3333333333333333)</f>
        <v>0.3333333333</v>
      </c>
      <c r="S3397" s="4" t="str">
        <f>IFERROR(__xludf.DUMMYFUNCTION("""COMPUTED_VALUE"""),"Agilizup Solucoes Ltda")</f>
        <v>Agilizup Solucoes Ltda</v>
      </c>
      <c r="T3397" s="33">
        <f>IFERROR(__xludf.DUMMYFUNCTION("""COMPUTED_VALUE"""),0.6666666666666666)</f>
        <v>0.6666666667</v>
      </c>
      <c r="U3397" s="4" t="str">
        <f>IFERROR(__xludf.DUMMYFUNCTION("""COMPUTED_VALUE"""),"Lab Jota Marketing Digital Eirele")</f>
        <v>Lab Jota Marketing Digital Eirele</v>
      </c>
      <c r="V3397" s="33">
        <f>IFERROR(__xludf.DUMMYFUNCTION("""COMPUTED_VALUE"""),1.0)</f>
        <v>1</v>
      </c>
      <c r="W3397" s="4" t="str">
        <f>IFERROR(__xludf.DUMMYFUNCTION("""COMPUTED_VALUE"""),"Lab Jota Marketing Digital Eirele")</f>
        <v>Lab Jota Marketing Digital Eirele</v>
      </c>
      <c r="X3397" s="33">
        <f>IFERROR(__xludf.DUMMYFUNCTION("""COMPUTED_VALUE"""),1.0)</f>
        <v>1</v>
      </c>
    </row>
    <row r="3398">
      <c r="K3398" s="4" t="str">
        <f>IFERROR(__xludf.DUMMYFUNCTION("""COMPUTED_VALUE"""),"EMPADINHA DA NENEN - GOIANIA")</f>
        <v>EMPADINHA DA NENEN - GOIANIA</v>
      </c>
      <c r="L3398" s="32">
        <f>IFERROR(__xludf.DUMMYFUNCTION("""COMPUTED_VALUE"""),3.0)</f>
        <v>3</v>
      </c>
      <c r="M3398" s="4" t="str">
        <f>IFERROR(__xludf.DUMMYFUNCTION("""COMPUTED_VALUE"""),"Saipos Serviços De Software")</f>
        <v>Saipos Serviços De Software</v>
      </c>
      <c r="N3398" s="33">
        <f>IFERROR(__xludf.DUMMYFUNCTION("""COMPUTED_VALUE"""),1.0)</f>
        <v>1</v>
      </c>
      <c r="O3398" s="4" t="str">
        <f>IFERROR(__xludf.DUMMYFUNCTION("""COMPUTED_VALUE"""),"Saipos Serviços De Software")</f>
        <v>Saipos Serviços De Software</v>
      </c>
      <c r="P3398" s="33">
        <f>IFERROR(__xludf.DUMMYFUNCTION("""COMPUTED_VALUE"""),1.0)</f>
        <v>1</v>
      </c>
      <c r="Q3398" s="4" t="str">
        <f>IFERROR(__xludf.DUMMYFUNCTION("""COMPUTED_VALUE"""),"Saipos Serviços De Software")</f>
        <v>Saipos Serviços De Software</v>
      </c>
      <c r="R3398" s="33">
        <f>IFERROR(__xludf.DUMMYFUNCTION("""COMPUTED_VALUE"""),1.0)</f>
        <v>1</v>
      </c>
      <c r="S3398" s="4" t="str">
        <f>IFERROR(__xludf.DUMMYFUNCTION("""COMPUTED_VALUE"""),"Saipos Serviços De Software")</f>
        <v>Saipos Serviços De Software</v>
      </c>
      <c r="T3398" s="33">
        <f>IFERROR(__xludf.DUMMYFUNCTION("""COMPUTED_VALUE"""),1.0)</f>
        <v>1</v>
      </c>
      <c r="U3398" s="4" t="str">
        <f>IFERROR(__xludf.DUMMYFUNCTION("""COMPUTED_VALUE"""),"Saipos Serviços De Software")</f>
        <v>Saipos Serviços De Software</v>
      </c>
      <c r="V3398" s="33">
        <f>IFERROR(__xludf.DUMMYFUNCTION("""COMPUTED_VALUE"""),1.0)</f>
        <v>1</v>
      </c>
      <c r="W3398" s="4" t="str">
        <f>IFERROR(__xludf.DUMMYFUNCTION("""COMPUTED_VALUE"""),"Saipos Serviços De Software")</f>
        <v>Saipos Serviços De Software</v>
      </c>
      <c r="X3398" s="33">
        <f>IFERROR(__xludf.DUMMYFUNCTION("""COMPUTED_VALUE"""),1.0)</f>
        <v>1</v>
      </c>
    </row>
    <row r="3399">
      <c r="K3399" s="4" t="str">
        <f>IFERROR(__xludf.DUMMYFUNCTION("""COMPUTED_VALUE"""),"EMPORIO 2B")</f>
        <v>EMPORIO 2B</v>
      </c>
      <c r="L3399" s="32">
        <f>IFERROR(__xludf.DUMMYFUNCTION("""COMPUTED_VALUE"""),3.0)</f>
        <v>3</v>
      </c>
      <c r="M3399" s="4" t="str">
        <f>IFERROR(__xludf.DUMMYFUNCTION("""COMPUTED_VALUE"""),"F-rest Sistema Para Food Service Ltda")</f>
        <v>F-rest Sistema Para Food Service Ltda</v>
      </c>
      <c r="N3399" s="33">
        <f>IFERROR(__xludf.DUMMYFUNCTION("""COMPUTED_VALUE"""),1.0)</f>
        <v>1</v>
      </c>
      <c r="O3399" s="4" t="str">
        <f>IFERROR(__xludf.DUMMYFUNCTION("""COMPUTED_VALUE"""),"null")</f>
        <v>null</v>
      </c>
      <c r="P3399" s="33">
        <f>IFERROR(__xludf.DUMMYFUNCTION("""COMPUTED_VALUE"""),0.6666666666666666)</f>
        <v>0.6666666667</v>
      </c>
      <c r="Q3399" s="4" t="str">
        <f>IFERROR(__xludf.DUMMYFUNCTION("""COMPUTED_VALUE"""),"F-rest Sistema Para Food Service Ltda")</f>
        <v>F-rest Sistema Para Food Service Ltda</v>
      </c>
      <c r="R3399" s="33">
        <f>IFERROR(__xludf.DUMMYFUNCTION("""COMPUTED_VALUE"""),0.6666666666666666)</f>
        <v>0.6666666667</v>
      </c>
      <c r="S3399" s="4" t="str">
        <f>IFERROR(__xludf.DUMMYFUNCTION("""COMPUTED_VALUE"""),"null")</f>
        <v>null</v>
      </c>
      <c r="T3399" s="33">
        <f>IFERROR(__xludf.DUMMYFUNCTION("""COMPUTED_VALUE"""),0.6666666666666666)</f>
        <v>0.6666666667</v>
      </c>
      <c r="U3399" s="4" t="str">
        <f>IFERROR(__xludf.DUMMYFUNCTION("""COMPUTED_VALUE"""),"F-rest Sistema Para Food Service Ltda")</f>
        <v>F-rest Sistema Para Food Service Ltda</v>
      </c>
      <c r="V3399" s="33">
        <f>IFERROR(__xludf.DUMMYFUNCTION("""COMPUTED_VALUE"""),0.6666666666666666)</f>
        <v>0.6666666667</v>
      </c>
      <c r="W3399" s="4" t="str">
        <f>IFERROR(__xludf.DUMMYFUNCTION("""COMPUTED_VALUE"""),"null")</f>
        <v>null</v>
      </c>
      <c r="X3399" s="33">
        <f>IFERROR(__xludf.DUMMYFUNCTION("""COMPUTED_VALUE"""),0.6666666666666666)</f>
        <v>0.6666666667</v>
      </c>
    </row>
    <row r="3400">
      <c r="K3400" s="4" t="str">
        <f>IFERROR(__xludf.DUMMYFUNCTION("""COMPUTED_VALUE"""),"EMPORIO DOS ANIMAIS - CONTA MARCA")</f>
        <v>EMPORIO DOS ANIMAIS - CONTA MARCA</v>
      </c>
      <c r="L3400" s="32">
        <f>IFERROR(__xludf.DUMMYFUNCTION("""COMPUTED_VALUE"""),3.0)</f>
        <v>3</v>
      </c>
      <c r="M3400" s="4" t="str">
        <f>IFERROR(__xludf.DUMMYFUNCTION("""COMPUTED_VALUE"""),"N/A (Not found)")</f>
        <v>N/A (Not found)</v>
      </c>
      <c r="N3400" s="33">
        <f>IFERROR(__xludf.DUMMYFUNCTION("""COMPUTED_VALUE"""),0.6666666666666666)</f>
        <v>0.6666666667</v>
      </c>
      <c r="O3400" s="4" t="str">
        <f>IFERROR(__xludf.DUMMYFUNCTION("""COMPUTED_VALUE"""),"N/A (Not found)")</f>
        <v>N/A (Not found)</v>
      </c>
      <c r="P3400" s="33">
        <f>IFERROR(__xludf.DUMMYFUNCTION("""COMPUTED_VALUE"""),0.6666666666666666)</f>
        <v>0.6666666667</v>
      </c>
      <c r="Q3400" s="4" t="str">
        <f>IFERROR(__xludf.DUMMYFUNCTION("""COMPUTED_VALUE"""),"N/A (Not found)")</f>
        <v>N/A (Not found)</v>
      </c>
      <c r="R3400" s="33">
        <f>IFERROR(__xludf.DUMMYFUNCTION("""COMPUTED_VALUE"""),0.6666666666666666)</f>
        <v>0.6666666667</v>
      </c>
      <c r="S3400" s="4" t="str">
        <f>IFERROR(__xludf.DUMMYFUNCTION("""COMPUTED_VALUE"""),"N/A (Not found)")</f>
        <v>N/A (Not found)</v>
      </c>
      <c r="T3400" s="33">
        <f>IFERROR(__xludf.DUMMYFUNCTION("""COMPUTED_VALUE"""),1.0)</f>
        <v>1</v>
      </c>
      <c r="U3400" s="4" t="str">
        <f>IFERROR(__xludf.DUMMYFUNCTION("""COMPUTED_VALUE"""),"N/A (Not found)")</f>
        <v>N/A (Not found)</v>
      </c>
      <c r="V3400" s="33">
        <f>IFERROR(__xludf.DUMMYFUNCTION("""COMPUTED_VALUE"""),1.0)</f>
        <v>1</v>
      </c>
      <c r="W3400" s="4" t="str">
        <f>IFERROR(__xludf.DUMMYFUNCTION("""COMPUTED_VALUE"""),"N/A (Not found)")</f>
        <v>N/A (Not found)</v>
      </c>
      <c r="X3400" s="33">
        <f>IFERROR(__xludf.DUMMYFUNCTION("""COMPUTED_VALUE"""),1.0)</f>
        <v>1</v>
      </c>
    </row>
    <row r="3401">
      <c r="K3401" s="4" t="str">
        <f>IFERROR(__xludf.DUMMYFUNCTION("""COMPUTED_VALUE"""),"EMPORIO MALUNGA - CONTA PAI")</f>
        <v>EMPORIO MALUNGA - CONTA PAI</v>
      </c>
      <c r="L3401" s="32">
        <f>IFERROR(__xludf.DUMMYFUNCTION("""COMPUTED_VALUE"""),3.0)</f>
        <v>3</v>
      </c>
      <c r="M3401" s="4" t="str">
        <f>IFERROR(__xludf.DUMMYFUNCTION("""COMPUTED_VALUE"""),"N/A (Not found)")</f>
        <v>N/A (Not found)</v>
      </c>
      <c r="N3401" s="33">
        <f>IFERROR(__xludf.DUMMYFUNCTION("""COMPUTED_VALUE"""),1.0)</f>
        <v>1</v>
      </c>
      <c r="O3401" s="4" t="str">
        <f>IFERROR(__xludf.DUMMYFUNCTION("""COMPUTED_VALUE"""),"null")</f>
        <v>null</v>
      </c>
      <c r="P3401" s="33">
        <f>IFERROR(__xludf.DUMMYFUNCTION("""COMPUTED_VALUE"""),0.6666666666666666)</f>
        <v>0.6666666667</v>
      </c>
      <c r="Q3401" s="4" t="str">
        <f>IFERROR(__xludf.DUMMYFUNCTION("""COMPUTED_VALUE"""),"null")</f>
        <v>null</v>
      </c>
      <c r="R3401" s="33">
        <f>IFERROR(__xludf.DUMMYFUNCTION("""COMPUTED_VALUE"""),1.0)</f>
        <v>1</v>
      </c>
      <c r="S3401" s="4" t="str">
        <f>IFERROR(__xludf.DUMMYFUNCTION("""COMPUTED_VALUE"""),"null")</f>
        <v>null</v>
      </c>
      <c r="T3401" s="33">
        <f>IFERROR(__xludf.DUMMYFUNCTION("""COMPUTED_VALUE"""),1.0)</f>
        <v>1</v>
      </c>
      <c r="U3401" s="4" t="str">
        <f>IFERROR(__xludf.DUMMYFUNCTION("""COMPUTED_VALUE"""),"null")</f>
        <v>null</v>
      </c>
      <c r="V3401" s="33">
        <f>IFERROR(__xludf.DUMMYFUNCTION("""COMPUTED_VALUE"""),1.0)</f>
        <v>1</v>
      </c>
      <c r="W3401" s="4" t="str">
        <f>IFERROR(__xludf.DUMMYFUNCTION("""COMPUTED_VALUE"""),"null")</f>
        <v>null</v>
      </c>
      <c r="X3401" s="33">
        <f>IFERROR(__xludf.DUMMYFUNCTION("""COMPUTED_VALUE"""),1.0)</f>
        <v>1</v>
      </c>
    </row>
    <row r="3402">
      <c r="K3402" s="4" t="str">
        <f>IFERROR(__xludf.DUMMYFUNCTION("""COMPUTED_VALUE"""),"ESFIHA DO ILARIO")</f>
        <v>ESFIHA DO ILARIO</v>
      </c>
      <c r="L3402" s="32">
        <f>IFERROR(__xludf.DUMMYFUNCTION("""COMPUTED_VALUE"""),3.0)</f>
        <v>3</v>
      </c>
      <c r="M3402" s="4" t="str">
        <f>IFERROR(__xludf.DUMMYFUNCTION("""COMPUTED_VALUE"""),"Saipos Serviços De Software")</f>
        <v>Saipos Serviços De Software</v>
      </c>
      <c r="N3402" s="33">
        <f>IFERROR(__xludf.DUMMYFUNCTION("""COMPUTED_VALUE"""),1.0)</f>
        <v>1</v>
      </c>
      <c r="O3402" s="4" t="str">
        <f>IFERROR(__xludf.DUMMYFUNCTION("""COMPUTED_VALUE"""),"Saipos Serviços De Software")</f>
        <v>Saipos Serviços De Software</v>
      </c>
      <c r="P3402" s="33">
        <f>IFERROR(__xludf.DUMMYFUNCTION("""COMPUTED_VALUE"""),1.0)</f>
        <v>1</v>
      </c>
      <c r="Q3402" s="4" t="str">
        <f>IFERROR(__xludf.DUMMYFUNCTION("""COMPUTED_VALUE"""),"Saipos Serviços De Software")</f>
        <v>Saipos Serviços De Software</v>
      </c>
      <c r="R3402" s="33">
        <f>IFERROR(__xludf.DUMMYFUNCTION("""COMPUTED_VALUE"""),1.0)</f>
        <v>1</v>
      </c>
      <c r="S3402" s="4" t="str">
        <f>IFERROR(__xludf.DUMMYFUNCTION("""COMPUTED_VALUE"""),"Saipos Serviços De Software")</f>
        <v>Saipos Serviços De Software</v>
      </c>
      <c r="T3402" s="33">
        <f>IFERROR(__xludf.DUMMYFUNCTION("""COMPUTED_VALUE"""),1.0)</f>
        <v>1</v>
      </c>
      <c r="U3402" s="4" t="str">
        <f>IFERROR(__xludf.DUMMYFUNCTION("""COMPUTED_VALUE"""),"Saipos Serviços De Software")</f>
        <v>Saipos Serviços De Software</v>
      </c>
      <c r="V3402" s="33">
        <f>IFERROR(__xludf.DUMMYFUNCTION("""COMPUTED_VALUE"""),1.0)</f>
        <v>1</v>
      </c>
      <c r="W3402" s="4" t="str">
        <f>IFERROR(__xludf.DUMMYFUNCTION("""COMPUTED_VALUE"""),"Saipos Serviços De Software")</f>
        <v>Saipos Serviços De Software</v>
      </c>
      <c r="X3402" s="33">
        <f>IFERROR(__xludf.DUMMYFUNCTION("""COMPUTED_VALUE"""),1.0)</f>
        <v>1</v>
      </c>
    </row>
    <row r="3403">
      <c r="K3403" s="4" t="str">
        <f>IFERROR(__xludf.DUMMYFUNCTION("""COMPUTED_VALUE"""),"ESFIHARIA FRIENDS")</f>
        <v>ESFIHARIA FRIENDS</v>
      </c>
      <c r="L3403" s="32">
        <f>IFERROR(__xludf.DUMMYFUNCTION("""COMPUTED_VALUE"""),3.0)</f>
        <v>3</v>
      </c>
      <c r="M3403" s="4" t="str">
        <f>IFERROR(__xludf.DUMMYFUNCTION("""COMPUTED_VALUE"""),"Mp Multipedidos")</f>
        <v>Mp Multipedidos</v>
      </c>
      <c r="N3403" s="33">
        <f>IFERROR(__xludf.DUMMYFUNCTION("""COMPUTED_VALUE"""),1.0)</f>
        <v>1</v>
      </c>
      <c r="O3403" s="4" t="str">
        <f>IFERROR(__xludf.DUMMYFUNCTION("""COMPUTED_VALUE"""),"Mp Multipedidos")</f>
        <v>Mp Multipedidos</v>
      </c>
      <c r="P3403" s="33">
        <f>IFERROR(__xludf.DUMMYFUNCTION("""COMPUTED_VALUE"""),1.0)</f>
        <v>1</v>
      </c>
      <c r="Q3403" s="4" t="str">
        <f>IFERROR(__xludf.DUMMYFUNCTION("""COMPUTED_VALUE"""),"Mp Multipedidos")</f>
        <v>Mp Multipedidos</v>
      </c>
      <c r="R3403" s="33">
        <f>IFERROR(__xludf.DUMMYFUNCTION("""COMPUTED_VALUE"""),1.0)</f>
        <v>1</v>
      </c>
      <c r="S3403" s="4" t="str">
        <f>IFERROR(__xludf.DUMMYFUNCTION("""COMPUTED_VALUE"""),"Mp Multipedidos")</f>
        <v>Mp Multipedidos</v>
      </c>
      <c r="T3403" s="33">
        <f>IFERROR(__xludf.DUMMYFUNCTION("""COMPUTED_VALUE"""),1.0)</f>
        <v>1</v>
      </c>
      <c r="U3403" s="4" t="str">
        <f>IFERROR(__xludf.DUMMYFUNCTION("""COMPUTED_VALUE"""),"Mp Multipedidos")</f>
        <v>Mp Multipedidos</v>
      </c>
      <c r="V3403" s="33">
        <f>IFERROR(__xludf.DUMMYFUNCTION("""COMPUTED_VALUE"""),1.0)</f>
        <v>1</v>
      </c>
      <c r="W3403" s="4" t="str">
        <f>IFERROR(__xludf.DUMMYFUNCTION("""COMPUTED_VALUE"""),"Mp Multipedidos")</f>
        <v>Mp Multipedidos</v>
      </c>
      <c r="X3403" s="33">
        <f>IFERROR(__xludf.DUMMYFUNCTION("""COMPUTED_VALUE"""),1.0)</f>
        <v>1</v>
      </c>
    </row>
    <row r="3404">
      <c r="K3404" s="4" t="str">
        <f>IFERROR(__xludf.DUMMYFUNCTION("""COMPUTED_VALUE"""),"ESQUINA HUUM")</f>
        <v>ESQUINA HUUM</v>
      </c>
      <c r="L3404" s="32">
        <f>IFERROR(__xludf.DUMMYFUNCTION("""COMPUTED_VALUE"""),3.0)</f>
        <v>3</v>
      </c>
      <c r="M3404" s="4" t="str">
        <f>IFERROR(__xludf.DUMMYFUNCTION("""COMPUTED_VALUE"""),"Solução Sistemas")</f>
        <v>Solução Sistemas</v>
      </c>
      <c r="N3404" s="33">
        <f>IFERROR(__xludf.DUMMYFUNCTION("""COMPUTED_VALUE"""),1.0)</f>
        <v>1</v>
      </c>
      <c r="O3404" s="4" t="str">
        <f>IFERROR(__xludf.DUMMYFUNCTION("""COMPUTED_VALUE"""),"Solução Sistemas")</f>
        <v>Solução Sistemas</v>
      </c>
      <c r="P3404" s="33">
        <f>IFERROR(__xludf.DUMMYFUNCTION("""COMPUTED_VALUE"""),0.6666666666666666)</f>
        <v>0.6666666667</v>
      </c>
      <c r="Q3404" s="4" t="str">
        <f>IFERROR(__xludf.DUMMYFUNCTION("""COMPUTED_VALUE"""),"Solução Sistemas")</f>
        <v>Solução Sistemas</v>
      </c>
      <c r="R3404" s="33">
        <f>IFERROR(__xludf.DUMMYFUNCTION("""COMPUTED_VALUE"""),1.0)</f>
        <v>1</v>
      </c>
      <c r="S3404" s="4" t="str">
        <f>IFERROR(__xludf.DUMMYFUNCTION("""COMPUTED_VALUE"""),"Solução Sistemas")</f>
        <v>Solução Sistemas</v>
      </c>
      <c r="T3404" s="33">
        <f>IFERROR(__xludf.DUMMYFUNCTION("""COMPUTED_VALUE"""),1.0)</f>
        <v>1</v>
      </c>
      <c r="U3404" s="4" t="str">
        <f>IFERROR(__xludf.DUMMYFUNCTION("""COMPUTED_VALUE"""),"Solução Sistemas")</f>
        <v>Solução Sistemas</v>
      </c>
      <c r="V3404" s="33">
        <f>IFERROR(__xludf.DUMMYFUNCTION("""COMPUTED_VALUE"""),1.0)</f>
        <v>1</v>
      </c>
      <c r="W3404" s="4" t="str">
        <f>IFERROR(__xludf.DUMMYFUNCTION("""COMPUTED_VALUE"""),"Solução Sistemas")</f>
        <v>Solução Sistemas</v>
      </c>
      <c r="X3404" s="33">
        <f>IFERROR(__xludf.DUMMYFUNCTION("""COMPUTED_VALUE"""),1.0)</f>
        <v>1</v>
      </c>
    </row>
    <row r="3405">
      <c r="K3405" s="4" t="str">
        <f>IFERROR(__xludf.DUMMYFUNCTION("""COMPUTED_VALUE"""),"ESTACAO CAMPINEIRA - CONTA MARCA")</f>
        <v>ESTACAO CAMPINEIRA - CONTA MARCA</v>
      </c>
      <c r="L3405" s="32">
        <f>IFERROR(__xludf.DUMMYFUNCTION("""COMPUTED_VALUE"""),3.0)</f>
        <v>3</v>
      </c>
      <c r="M3405" s="4" t="str">
        <f>IFERROR(__xludf.DUMMYFUNCTION("""COMPUTED_VALUE"""),"Saipos Serviços De Software")</f>
        <v>Saipos Serviços De Software</v>
      </c>
      <c r="N3405" s="33">
        <f>IFERROR(__xludf.DUMMYFUNCTION("""COMPUTED_VALUE"""),1.0)</f>
        <v>1</v>
      </c>
      <c r="O3405" s="4" t="str">
        <f>IFERROR(__xludf.DUMMYFUNCTION("""COMPUTED_VALUE"""),"Saipos Serviços De Software")</f>
        <v>Saipos Serviços De Software</v>
      </c>
      <c r="P3405" s="33">
        <f>IFERROR(__xludf.DUMMYFUNCTION("""COMPUTED_VALUE"""),1.0)</f>
        <v>1</v>
      </c>
      <c r="Q3405" s="4" t="str">
        <f>IFERROR(__xludf.DUMMYFUNCTION("""COMPUTED_VALUE"""),"Saipos Serviços De Software")</f>
        <v>Saipos Serviços De Software</v>
      </c>
      <c r="R3405" s="33">
        <f>IFERROR(__xludf.DUMMYFUNCTION("""COMPUTED_VALUE"""),1.0)</f>
        <v>1</v>
      </c>
      <c r="S3405" s="4" t="str">
        <f>IFERROR(__xludf.DUMMYFUNCTION("""COMPUTED_VALUE"""),"Saipos Serviços De Software")</f>
        <v>Saipos Serviços De Software</v>
      </c>
      <c r="T3405" s="33">
        <f>IFERROR(__xludf.DUMMYFUNCTION("""COMPUTED_VALUE"""),1.0)</f>
        <v>1</v>
      </c>
      <c r="U3405" s="4" t="str">
        <f>IFERROR(__xludf.DUMMYFUNCTION("""COMPUTED_VALUE"""),"Saipos Serviços De Software")</f>
        <v>Saipos Serviços De Software</v>
      </c>
      <c r="V3405" s="33">
        <f>IFERROR(__xludf.DUMMYFUNCTION("""COMPUTED_VALUE"""),1.0)</f>
        <v>1</v>
      </c>
      <c r="W3405" s="4" t="str">
        <f>IFERROR(__xludf.DUMMYFUNCTION("""COMPUTED_VALUE"""),"Saipos Serviços De Software")</f>
        <v>Saipos Serviços De Software</v>
      </c>
      <c r="X3405" s="33">
        <f>IFERROR(__xludf.DUMMYFUNCTION("""COMPUTED_VALUE"""),1.0)</f>
        <v>1</v>
      </c>
    </row>
    <row r="3406">
      <c r="K3406" s="4" t="str">
        <f>IFERROR(__xludf.DUMMYFUNCTION("""COMPUTED_VALUE"""),"ESTRELA DO CHOPP - CONTA PAI")</f>
        <v>ESTRELA DO CHOPP - CONTA PAI</v>
      </c>
      <c r="L3406" s="32">
        <f>IFERROR(__xludf.DUMMYFUNCTION("""COMPUTED_VALUE"""),3.0)</f>
        <v>3</v>
      </c>
      <c r="M3406" s="4" t="str">
        <f>IFERROR(__xludf.DUMMYFUNCTION("""COMPUTED_VALUE"""),"Dalcatech Automacao E Desenvolvimento De Software Ltda")</f>
        <v>Dalcatech Automacao E Desenvolvimento De Software Ltda</v>
      </c>
      <c r="N3406" s="33">
        <f>IFERROR(__xludf.DUMMYFUNCTION("""COMPUTED_VALUE"""),0.6666666666666666)</f>
        <v>0.6666666667</v>
      </c>
      <c r="O3406" s="4" t="str">
        <f>IFERROR(__xludf.DUMMYFUNCTION("""COMPUTED_VALUE"""),"Dalcatech Automacao E Desenvolvimento De Software Ltda")</f>
        <v>Dalcatech Automacao E Desenvolvimento De Software Ltda</v>
      </c>
      <c r="P3406" s="33">
        <f>IFERROR(__xludf.DUMMYFUNCTION("""COMPUTED_VALUE"""),0.6666666666666666)</f>
        <v>0.6666666667</v>
      </c>
      <c r="Q3406" s="4" t="str">
        <f>IFERROR(__xludf.DUMMYFUNCTION("""COMPUTED_VALUE"""),"Saipos Serviços De Software")</f>
        <v>Saipos Serviços De Software</v>
      </c>
      <c r="R3406" s="33">
        <f>IFERROR(__xludf.DUMMYFUNCTION("""COMPUTED_VALUE"""),0.3333333333333333)</f>
        <v>0.3333333333</v>
      </c>
      <c r="S3406" s="4" t="str">
        <f>IFERROR(__xludf.DUMMYFUNCTION("""COMPUTED_VALUE"""),"Dalcatech Automacao E Desenvolvimento De Software Ltda")</f>
        <v>Dalcatech Automacao E Desenvolvimento De Software Ltda</v>
      </c>
      <c r="T3406" s="33">
        <f>IFERROR(__xludf.DUMMYFUNCTION("""COMPUTED_VALUE"""),0.6666666666666666)</f>
        <v>0.6666666667</v>
      </c>
      <c r="U3406" s="4" t="str">
        <f>IFERROR(__xludf.DUMMYFUNCTION("""COMPUTED_VALUE"""),"Dalcatech Automacao E Desenvolvimento De Software Ltda")</f>
        <v>Dalcatech Automacao E Desenvolvimento De Software Ltda</v>
      </c>
      <c r="V3406" s="33">
        <f>IFERROR(__xludf.DUMMYFUNCTION("""COMPUTED_VALUE"""),0.6666666666666666)</f>
        <v>0.6666666667</v>
      </c>
      <c r="W3406" s="4" t="str">
        <f>IFERROR(__xludf.DUMMYFUNCTION("""COMPUTED_VALUE"""),"Dalcatech Automacao E Desenvolvimento De Software Ltda")</f>
        <v>Dalcatech Automacao E Desenvolvimento De Software Ltda</v>
      </c>
      <c r="X3406" s="33">
        <f>IFERROR(__xludf.DUMMYFUNCTION("""COMPUTED_VALUE"""),0.6666666666666666)</f>
        <v>0.6666666667</v>
      </c>
    </row>
    <row r="3407">
      <c r="K3407" s="4" t="str">
        <f>IFERROR(__xludf.DUMMYFUNCTION("""COMPUTED_VALUE"""),"EU AMO JAPA")</f>
        <v>EU AMO JAPA</v>
      </c>
      <c r="L3407" s="32">
        <f>IFERROR(__xludf.DUMMYFUNCTION("""COMPUTED_VALUE"""),3.0)</f>
        <v>3</v>
      </c>
      <c r="M3407" s="4" t="str">
        <f>IFERROR(__xludf.DUMMYFUNCTION("""COMPUTED_VALUE"""),"Saipos Serviços De Software")</f>
        <v>Saipos Serviços De Software</v>
      </c>
      <c r="N3407" s="33">
        <f>IFERROR(__xludf.DUMMYFUNCTION("""COMPUTED_VALUE"""),1.0)</f>
        <v>1</v>
      </c>
      <c r="O3407" s="4" t="str">
        <f>IFERROR(__xludf.DUMMYFUNCTION("""COMPUTED_VALUE"""),"Saipos Serviços De Software")</f>
        <v>Saipos Serviços De Software</v>
      </c>
      <c r="P3407" s="33">
        <f>IFERROR(__xludf.DUMMYFUNCTION("""COMPUTED_VALUE"""),1.0)</f>
        <v>1</v>
      </c>
      <c r="Q3407" s="4" t="str">
        <f>IFERROR(__xludf.DUMMYFUNCTION("""COMPUTED_VALUE"""),"Saipos Serviços De Software")</f>
        <v>Saipos Serviços De Software</v>
      </c>
      <c r="R3407" s="33">
        <f>IFERROR(__xludf.DUMMYFUNCTION("""COMPUTED_VALUE"""),1.0)</f>
        <v>1</v>
      </c>
      <c r="S3407" s="4" t="str">
        <f>IFERROR(__xludf.DUMMYFUNCTION("""COMPUTED_VALUE"""),"Saipos Serviços De Software")</f>
        <v>Saipos Serviços De Software</v>
      </c>
      <c r="T3407" s="33">
        <f>IFERROR(__xludf.DUMMYFUNCTION("""COMPUTED_VALUE"""),1.0)</f>
        <v>1</v>
      </c>
      <c r="U3407" s="4" t="str">
        <f>IFERROR(__xludf.DUMMYFUNCTION("""COMPUTED_VALUE"""),"Saipos Serviços De Software")</f>
        <v>Saipos Serviços De Software</v>
      </c>
      <c r="V3407" s="33">
        <f>IFERROR(__xludf.DUMMYFUNCTION("""COMPUTED_VALUE"""),1.0)</f>
        <v>1</v>
      </c>
      <c r="W3407" s="4" t="str">
        <f>IFERROR(__xludf.DUMMYFUNCTION("""COMPUTED_VALUE"""),"Saipos Serviços De Software")</f>
        <v>Saipos Serviços De Software</v>
      </c>
      <c r="X3407" s="33">
        <f>IFERROR(__xludf.DUMMYFUNCTION("""COMPUTED_VALUE"""),1.0)</f>
        <v>1</v>
      </c>
    </row>
    <row r="3408">
      <c r="K3408" s="4" t="str">
        <f>IFERROR(__xludf.DUMMYFUNCTION("""COMPUTED_VALUE"""),"EXPRESSO CHINA - CONTA PAI")</f>
        <v>EXPRESSO CHINA - CONTA PAI</v>
      </c>
      <c r="L3408" s="32">
        <f>IFERROR(__xludf.DUMMYFUNCTION("""COMPUTED_VALUE"""),3.0)</f>
        <v>3</v>
      </c>
      <c r="M3408" s="4" t="str">
        <f>IFERROR(__xludf.DUMMYFUNCTION("""COMPUTED_VALUE"""),"Saipos Serviços De Software")</f>
        <v>Saipos Serviços De Software</v>
      </c>
      <c r="N3408" s="33">
        <f>IFERROR(__xludf.DUMMYFUNCTION("""COMPUTED_VALUE"""),1.0)</f>
        <v>1</v>
      </c>
      <c r="O3408" s="4" t="str">
        <f>IFERROR(__xludf.DUMMYFUNCTION("""COMPUTED_VALUE"""),"Saipos Serviços De Software")</f>
        <v>Saipos Serviços De Software</v>
      </c>
      <c r="P3408" s="33">
        <f>IFERROR(__xludf.DUMMYFUNCTION("""COMPUTED_VALUE"""),1.0)</f>
        <v>1</v>
      </c>
      <c r="Q3408" s="4" t="str">
        <f>IFERROR(__xludf.DUMMYFUNCTION("""COMPUTED_VALUE"""),"Saipos Serviços De Software")</f>
        <v>Saipos Serviços De Software</v>
      </c>
      <c r="R3408" s="33">
        <f>IFERROR(__xludf.DUMMYFUNCTION("""COMPUTED_VALUE"""),1.0)</f>
        <v>1</v>
      </c>
      <c r="S3408" s="4" t="str">
        <f>IFERROR(__xludf.DUMMYFUNCTION("""COMPUTED_VALUE"""),"null")</f>
        <v>null</v>
      </c>
      <c r="T3408" s="33">
        <f>IFERROR(__xludf.DUMMYFUNCTION("""COMPUTED_VALUE"""),0.6666666666666666)</f>
        <v>0.6666666667</v>
      </c>
      <c r="U3408" s="4" t="str">
        <f>IFERROR(__xludf.DUMMYFUNCTION("""COMPUTED_VALUE"""),"null")</f>
        <v>null</v>
      </c>
      <c r="V3408" s="33">
        <f>IFERROR(__xludf.DUMMYFUNCTION("""COMPUTED_VALUE"""),1.0)</f>
        <v>1</v>
      </c>
      <c r="W3408" s="4" t="str">
        <f>IFERROR(__xludf.DUMMYFUNCTION("""COMPUTED_VALUE"""),"null")</f>
        <v>null</v>
      </c>
      <c r="X3408" s="33">
        <f>IFERROR(__xludf.DUMMYFUNCTION("""COMPUTED_VALUE"""),1.0)</f>
        <v>1</v>
      </c>
    </row>
    <row r="3409">
      <c r="K3409" s="4" t="str">
        <f>IFERROR(__xludf.DUMMYFUNCTION("""COMPUTED_VALUE"""),"FAACA BURGER")</f>
        <v>FAACA BURGER</v>
      </c>
      <c r="L3409" s="32">
        <f>IFERROR(__xludf.DUMMYFUNCTION("""COMPUTED_VALUE"""),3.0)</f>
        <v>3</v>
      </c>
      <c r="M3409" s="4" t="str">
        <f>IFERROR(__xludf.DUMMYFUNCTION("""COMPUTED_VALUE"""),"Saipos Serviços De Software")</f>
        <v>Saipos Serviços De Software</v>
      </c>
      <c r="N3409" s="33">
        <f>IFERROR(__xludf.DUMMYFUNCTION("""COMPUTED_VALUE"""),0.6666666666666666)</f>
        <v>0.6666666667</v>
      </c>
      <c r="O3409" s="4" t="str">
        <f>IFERROR(__xludf.DUMMYFUNCTION("""COMPUTED_VALUE"""),"Saipos Serviços De Software")</f>
        <v>Saipos Serviços De Software</v>
      </c>
      <c r="P3409" s="33">
        <f>IFERROR(__xludf.DUMMYFUNCTION("""COMPUTED_VALUE"""),0.6666666666666666)</f>
        <v>0.6666666667</v>
      </c>
      <c r="Q3409" s="4" t="str">
        <f>IFERROR(__xludf.DUMMYFUNCTION("""COMPUTED_VALUE"""),"Saipos Serviços De Software")</f>
        <v>Saipos Serviços De Software</v>
      </c>
      <c r="R3409" s="33">
        <f>IFERROR(__xludf.DUMMYFUNCTION("""COMPUTED_VALUE"""),0.6666666666666666)</f>
        <v>0.6666666667</v>
      </c>
      <c r="S3409" s="4" t="str">
        <f>IFERROR(__xludf.DUMMYFUNCTION("""COMPUTED_VALUE"""),"Saipos Serviços De Software")</f>
        <v>Saipos Serviços De Software</v>
      </c>
      <c r="T3409" s="33">
        <f>IFERROR(__xludf.DUMMYFUNCTION("""COMPUTED_VALUE"""),0.6666666666666666)</f>
        <v>0.6666666667</v>
      </c>
      <c r="U3409" s="4" t="str">
        <f>IFERROR(__xludf.DUMMYFUNCTION("""COMPUTED_VALUE"""),"Saipos Serviços De Software")</f>
        <v>Saipos Serviços De Software</v>
      </c>
      <c r="V3409" s="33">
        <f>IFERROR(__xludf.DUMMYFUNCTION("""COMPUTED_VALUE"""),0.6666666666666666)</f>
        <v>0.6666666667</v>
      </c>
      <c r="W3409" s="4" t="str">
        <f>IFERROR(__xludf.DUMMYFUNCTION("""COMPUTED_VALUE"""),"Saipos Serviços De Software")</f>
        <v>Saipos Serviços De Software</v>
      </c>
      <c r="X3409" s="33">
        <f>IFERROR(__xludf.DUMMYFUNCTION("""COMPUTED_VALUE"""),0.6666666666666666)</f>
        <v>0.6666666667</v>
      </c>
    </row>
    <row r="3410">
      <c r="K3410" s="4" t="str">
        <f>IFERROR(__xludf.DUMMYFUNCTION("""COMPUTED_VALUE"""),"FAMILIA PRESTO")</f>
        <v>FAMILIA PRESTO</v>
      </c>
      <c r="L3410" s="32">
        <f>IFERROR(__xludf.DUMMYFUNCTION("""COMPUTED_VALUE"""),3.0)</f>
        <v>3</v>
      </c>
      <c r="M3410" s="4" t="str">
        <f>IFERROR(__xludf.DUMMYFUNCTION("""COMPUTED_VALUE"""),"Saipos Serviços De Software")</f>
        <v>Saipos Serviços De Software</v>
      </c>
      <c r="N3410" s="33">
        <f>IFERROR(__xludf.DUMMYFUNCTION("""COMPUTED_VALUE"""),1.0)</f>
        <v>1</v>
      </c>
      <c r="O3410" s="4" t="str">
        <f>IFERROR(__xludf.DUMMYFUNCTION("""COMPUTED_VALUE"""),"Saipos Serviços De Software")</f>
        <v>Saipos Serviços De Software</v>
      </c>
      <c r="P3410" s="33">
        <f>IFERROR(__xludf.DUMMYFUNCTION("""COMPUTED_VALUE"""),1.0)</f>
        <v>1</v>
      </c>
      <c r="Q3410" s="4" t="str">
        <f>IFERROR(__xludf.DUMMYFUNCTION("""COMPUTED_VALUE"""),"Saipos Serviços De Software")</f>
        <v>Saipos Serviços De Software</v>
      </c>
      <c r="R3410" s="33">
        <f>IFERROR(__xludf.DUMMYFUNCTION("""COMPUTED_VALUE"""),1.0)</f>
        <v>1</v>
      </c>
      <c r="S3410" s="4" t="str">
        <f>IFERROR(__xludf.DUMMYFUNCTION("""COMPUTED_VALUE"""),"Saipos Serviços De Software")</f>
        <v>Saipos Serviços De Software</v>
      </c>
      <c r="T3410" s="33">
        <f>IFERROR(__xludf.DUMMYFUNCTION("""COMPUTED_VALUE"""),1.0)</f>
        <v>1</v>
      </c>
      <c r="U3410" s="4" t="str">
        <f>IFERROR(__xludf.DUMMYFUNCTION("""COMPUTED_VALUE"""),"Saipos Serviços De Software")</f>
        <v>Saipos Serviços De Software</v>
      </c>
      <c r="V3410" s="33">
        <f>IFERROR(__xludf.DUMMYFUNCTION("""COMPUTED_VALUE"""),1.0)</f>
        <v>1</v>
      </c>
      <c r="W3410" s="4" t="str">
        <f>IFERROR(__xludf.DUMMYFUNCTION("""COMPUTED_VALUE"""),"Saipos Serviços De Software")</f>
        <v>Saipos Serviços De Software</v>
      </c>
      <c r="X3410" s="33">
        <f>IFERROR(__xludf.DUMMYFUNCTION("""COMPUTED_VALUE"""),1.0)</f>
        <v>1</v>
      </c>
    </row>
    <row r="3411">
      <c r="K3411" s="4" t="str">
        <f>IFERROR(__xludf.DUMMYFUNCTION("""COMPUTED_VALUE"""),"FAMILIA SANTOS RESTAURANTE CHURRASCARIA")</f>
        <v>FAMILIA SANTOS RESTAURANTE CHURRASCARIA</v>
      </c>
      <c r="L3411" s="32">
        <f>IFERROR(__xludf.DUMMYFUNCTION("""COMPUTED_VALUE"""),3.0)</f>
        <v>3</v>
      </c>
      <c r="M3411" s="4" t="str">
        <f>IFERROR(__xludf.DUMMYFUNCTION("""COMPUTED_VALUE"""),"Ncr")</f>
        <v>Ncr</v>
      </c>
      <c r="N3411" s="33">
        <f>IFERROR(__xludf.DUMMYFUNCTION("""COMPUTED_VALUE"""),0.6666666666666666)</f>
        <v>0.6666666667</v>
      </c>
      <c r="O3411" s="4" t="str">
        <f>IFERROR(__xludf.DUMMYFUNCTION("""COMPUTED_VALUE"""),"Ncr")</f>
        <v>Ncr</v>
      </c>
      <c r="P3411" s="33">
        <f>IFERROR(__xludf.DUMMYFUNCTION("""COMPUTED_VALUE"""),0.6666666666666666)</f>
        <v>0.6666666667</v>
      </c>
      <c r="Q3411" s="4" t="str">
        <f>IFERROR(__xludf.DUMMYFUNCTION("""COMPUTED_VALUE"""),"Ncr")</f>
        <v>Ncr</v>
      </c>
      <c r="R3411" s="33">
        <f>IFERROR(__xludf.DUMMYFUNCTION("""COMPUTED_VALUE"""),0.6666666666666666)</f>
        <v>0.6666666667</v>
      </c>
      <c r="S3411" s="4" t="str">
        <f>IFERROR(__xludf.DUMMYFUNCTION("""COMPUTED_VALUE"""),"Ncr")</f>
        <v>Ncr</v>
      </c>
      <c r="T3411" s="33">
        <f>IFERROR(__xludf.DUMMYFUNCTION("""COMPUTED_VALUE"""),0.6666666666666666)</f>
        <v>0.6666666667</v>
      </c>
      <c r="U3411" s="4" t="str">
        <f>IFERROR(__xludf.DUMMYFUNCTION("""COMPUTED_VALUE"""),"Ncr")</f>
        <v>Ncr</v>
      </c>
      <c r="V3411" s="33">
        <f>IFERROR(__xludf.DUMMYFUNCTION("""COMPUTED_VALUE"""),0.6666666666666666)</f>
        <v>0.6666666667</v>
      </c>
      <c r="W3411" s="4" t="str">
        <f>IFERROR(__xludf.DUMMYFUNCTION("""COMPUTED_VALUE"""),"Saipos Serviços De Software")</f>
        <v>Saipos Serviços De Software</v>
      </c>
      <c r="X3411" s="33">
        <f>IFERROR(__xludf.DUMMYFUNCTION("""COMPUTED_VALUE"""),0.6666666666666666)</f>
        <v>0.6666666667</v>
      </c>
    </row>
    <row r="3412">
      <c r="K3412" s="4" t="str">
        <f>IFERROR(__xludf.DUMMYFUNCTION("""COMPUTED_VALUE"""),"FARABBUD DELICIAS ARABES")</f>
        <v>FARABBUD DELICIAS ARABES</v>
      </c>
      <c r="L3412" s="32">
        <f>IFERROR(__xludf.DUMMYFUNCTION("""COMPUTED_VALUE"""),3.0)</f>
        <v>3</v>
      </c>
      <c r="M3412" s="4" t="str">
        <f>IFERROR(__xludf.DUMMYFUNCTION("""COMPUTED_VALUE"""),"Ncr")</f>
        <v>Ncr</v>
      </c>
      <c r="N3412" s="33">
        <f>IFERROR(__xludf.DUMMYFUNCTION("""COMPUTED_VALUE"""),0.6666666666666666)</f>
        <v>0.6666666667</v>
      </c>
      <c r="O3412" s="4" t="str">
        <f>IFERROR(__xludf.DUMMYFUNCTION("""COMPUTED_VALUE"""),"Ncr")</f>
        <v>Ncr</v>
      </c>
      <c r="P3412" s="33">
        <f>IFERROR(__xludf.DUMMYFUNCTION("""COMPUTED_VALUE"""),0.6666666666666666)</f>
        <v>0.6666666667</v>
      </c>
      <c r="Q3412" s="4" t="str">
        <f>IFERROR(__xludf.DUMMYFUNCTION("""COMPUTED_VALUE"""),"Ncr")</f>
        <v>Ncr</v>
      </c>
      <c r="R3412" s="33">
        <f>IFERROR(__xludf.DUMMYFUNCTION("""COMPUTED_VALUE"""),0.6666666666666666)</f>
        <v>0.6666666667</v>
      </c>
      <c r="S3412" s="4" t="str">
        <f>IFERROR(__xludf.DUMMYFUNCTION("""COMPUTED_VALUE"""),"Ncr")</f>
        <v>Ncr</v>
      </c>
      <c r="T3412" s="33">
        <f>IFERROR(__xludf.DUMMYFUNCTION("""COMPUTED_VALUE"""),0.6666666666666666)</f>
        <v>0.6666666667</v>
      </c>
      <c r="U3412" s="4" t="str">
        <f>IFERROR(__xludf.DUMMYFUNCTION("""COMPUTED_VALUE"""),"Ncr")</f>
        <v>Ncr</v>
      </c>
      <c r="V3412" s="33">
        <f>IFERROR(__xludf.DUMMYFUNCTION("""COMPUTED_VALUE"""),0.6666666666666666)</f>
        <v>0.6666666667</v>
      </c>
      <c r="W3412" s="4" t="str">
        <f>IFERROR(__xludf.DUMMYFUNCTION("""COMPUTED_VALUE"""),"Ncr")</f>
        <v>Ncr</v>
      </c>
      <c r="X3412" s="33">
        <f>IFERROR(__xludf.DUMMYFUNCTION("""COMPUTED_VALUE"""),0.6666666666666666)</f>
        <v>0.6666666667</v>
      </c>
    </row>
    <row r="3413">
      <c r="K3413" s="4" t="str">
        <f>IFERROR(__xludf.DUMMYFUNCTION("""COMPUTED_VALUE"""),"GRUPO FARABBUD")</f>
        <v>GRUPO FARABBUD</v>
      </c>
      <c r="L3413" s="32">
        <f>IFERROR(__xludf.DUMMYFUNCTION("""COMPUTED_VALUE"""),3.0)</f>
        <v>3</v>
      </c>
      <c r="M3413" s="4" t="str">
        <f>IFERROR(__xludf.DUMMYFUNCTION("""COMPUTED_VALUE"""),"Ncr")</f>
        <v>Ncr</v>
      </c>
      <c r="N3413" s="33">
        <f>IFERROR(__xludf.DUMMYFUNCTION("""COMPUTED_VALUE"""),0.6666666666666666)</f>
        <v>0.6666666667</v>
      </c>
      <c r="O3413" s="4" t="str">
        <f>IFERROR(__xludf.DUMMYFUNCTION("""COMPUTED_VALUE"""),"Ncr")</f>
        <v>Ncr</v>
      </c>
      <c r="P3413" s="33">
        <f>IFERROR(__xludf.DUMMYFUNCTION("""COMPUTED_VALUE"""),0.6666666666666666)</f>
        <v>0.6666666667</v>
      </c>
      <c r="Q3413" s="4" t="str">
        <f>IFERROR(__xludf.DUMMYFUNCTION("""COMPUTED_VALUE"""),"Ncr")</f>
        <v>Ncr</v>
      </c>
      <c r="R3413" s="33">
        <f>IFERROR(__xludf.DUMMYFUNCTION("""COMPUTED_VALUE"""),0.6666666666666666)</f>
        <v>0.6666666667</v>
      </c>
      <c r="S3413" s="4" t="str">
        <f>IFERROR(__xludf.DUMMYFUNCTION("""COMPUTED_VALUE"""),"Ncr")</f>
        <v>Ncr</v>
      </c>
      <c r="T3413" s="33">
        <f>IFERROR(__xludf.DUMMYFUNCTION("""COMPUTED_VALUE"""),0.6666666666666666)</f>
        <v>0.6666666667</v>
      </c>
      <c r="U3413" s="4" t="str">
        <f>IFERROR(__xludf.DUMMYFUNCTION("""COMPUTED_VALUE"""),"Ncr")</f>
        <v>Ncr</v>
      </c>
      <c r="V3413" s="33">
        <f>IFERROR(__xludf.DUMMYFUNCTION("""COMPUTED_VALUE"""),0.6666666666666666)</f>
        <v>0.6666666667</v>
      </c>
      <c r="W3413" s="4" t="str">
        <f>IFERROR(__xludf.DUMMYFUNCTION("""COMPUTED_VALUE"""),"Ncr")</f>
        <v>Ncr</v>
      </c>
      <c r="X3413" s="33">
        <f>IFERROR(__xludf.DUMMYFUNCTION("""COMPUTED_VALUE"""),0.6666666666666666)</f>
        <v>0.6666666667</v>
      </c>
    </row>
    <row r="3414">
      <c r="K3414" s="4" t="str">
        <f>IFERROR(__xludf.DUMMYFUNCTION("""COMPUTED_VALUE"""),"FARM2GO ORIGINAL - CONTA GRUOO")</f>
        <v>FARM2GO ORIGINAL - CONTA GRUOO</v>
      </c>
      <c r="L3414" s="32">
        <f>IFERROR(__xludf.DUMMYFUNCTION("""COMPUTED_VALUE"""),3.0)</f>
        <v>3</v>
      </c>
      <c r="M3414" s="4" t="str">
        <f>IFERROR(__xludf.DUMMYFUNCTION("""COMPUTED_VALUE"""),"Saipos Serviços De Software")</f>
        <v>Saipos Serviços De Software</v>
      </c>
      <c r="N3414" s="33">
        <f>IFERROR(__xludf.DUMMYFUNCTION("""COMPUTED_VALUE"""),0.6666666666666666)</f>
        <v>0.6666666667</v>
      </c>
      <c r="O3414" s="4" t="str">
        <f>IFERROR(__xludf.DUMMYFUNCTION("""COMPUTED_VALUE"""),"Saipos Serviços De Software")</f>
        <v>Saipos Serviços De Software</v>
      </c>
      <c r="P3414" s="33">
        <f>IFERROR(__xludf.DUMMYFUNCTION("""COMPUTED_VALUE"""),0.3333333333333333)</f>
        <v>0.3333333333</v>
      </c>
      <c r="Q3414" s="4" t="str">
        <f>IFERROR(__xludf.DUMMYFUNCTION("""COMPUTED_VALUE"""),"Saipos Serviços De Software")</f>
        <v>Saipos Serviços De Software</v>
      </c>
      <c r="R3414" s="33">
        <f>IFERROR(__xludf.DUMMYFUNCTION("""COMPUTED_VALUE"""),0.6666666666666666)</f>
        <v>0.6666666667</v>
      </c>
      <c r="S3414" s="4" t="str">
        <f>IFERROR(__xludf.DUMMYFUNCTION("""COMPUTED_VALUE"""),"Saipos Serviços De Software")</f>
        <v>Saipos Serviços De Software</v>
      </c>
      <c r="T3414" s="33">
        <f>IFERROR(__xludf.DUMMYFUNCTION("""COMPUTED_VALUE"""),0.6666666666666666)</f>
        <v>0.6666666667</v>
      </c>
      <c r="U3414" s="4" t="str">
        <f>IFERROR(__xludf.DUMMYFUNCTION("""COMPUTED_VALUE"""),"Saipos Serviços De Software")</f>
        <v>Saipos Serviços De Software</v>
      </c>
      <c r="V3414" s="33">
        <f>IFERROR(__xludf.DUMMYFUNCTION("""COMPUTED_VALUE"""),0.3333333333333333)</f>
        <v>0.3333333333</v>
      </c>
      <c r="W3414" s="4" t="str">
        <f>IFERROR(__xludf.DUMMYFUNCTION("""COMPUTED_VALUE"""),"Saipos Serviços De Software")</f>
        <v>Saipos Serviços De Software</v>
      </c>
      <c r="X3414" s="33">
        <f>IFERROR(__xludf.DUMMYFUNCTION("""COMPUTED_VALUE"""),0.3333333333333333)</f>
        <v>0.3333333333</v>
      </c>
    </row>
    <row r="3415">
      <c r="K3415" s="4" t="str">
        <f>IFERROR(__xludf.DUMMYFUNCTION("""COMPUTED_VALUE"""),"FARMA FONTE - CONTA MARCA")</f>
        <v>FARMA FONTE - CONTA MARCA</v>
      </c>
      <c r="L3415" s="32">
        <f>IFERROR(__xludf.DUMMYFUNCTION("""COMPUTED_VALUE"""),3.0)</f>
        <v>3</v>
      </c>
      <c r="M3415" s="4" t="str">
        <f>IFERROR(__xludf.DUMMYFUNCTION("""COMPUTED_VALUE"""),"N/A (Not found)")</f>
        <v>N/A (Not found)</v>
      </c>
      <c r="N3415" s="33">
        <f>IFERROR(__xludf.DUMMYFUNCTION("""COMPUTED_VALUE"""),1.0)</f>
        <v>1</v>
      </c>
      <c r="O3415" s="4" t="str">
        <f>IFERROR(__xludf.DUMMYFUNCTION("""COMPUTED_VALUE"""),"N/A (Not found)")</f>
        <v>N/A (Not found)</v>
      </c>
      <c r="P3415" s="33">
        <f>IFERROR(__xludf.DUMMYFUNCTION("""COMPUTED_VALUE"""),1.0)</f>
        <v>1</v>
      </c>
      <c r="Q3415" s="4" t="str">
        <f>IFERROR(__xludf.DUMMYFUNCTION("""COMPUTED_VALUE"""),"N/A (Not found)")</f>
        <v>N/A (Not found)</v>
      </c>
      <c r="R3415" s="33">
        <f>IFERROR(__xludf.DUMMYFUNCTION("""COMPUTED_VALUE"""),1.0)</f>
        <v>1</v>
      </c>
      <c r="S3415" s="4" t="str">
        <f>IFERROR(__xludf.DUMMYFUNCTION("""COMPUTED_VALUE"""),"N/A (Not found)")</f>
        <v>N/A (Not found)</v>
      </c>
      <c r="T3415" s="33">
        <f>IFERROR(__xludf.DUMMYFUNCTION("""COMPUTED_VALUE"""),1.0)</f>
        <v>1</v>
      </c>
      <c r="U3415" s="4" t="str">
        <f>IFERROR(__xludf.DUMMYFUNCTION("""COMPUTED_VALUE"""),"N/A (Not found)")</f>
        <v>N/A (Not found)</v>
      </c>
      <c r="V3415" s="33">
        <f>IFERROR(__xludf.DUMMYFUNCTION("""COMPUTED_VALUE"""),1.0)</f>
        <v>1</v>
      </c>
      <c r="W3415" s="4" t="str">
        <f>IFERROR(__xludf.DUMMYFUNCTION("""COMPUTED_VALUE"""),"N/A (Not found)")</f>
        <v>N/A (Not found)</v>
      </c>
      <c r="X3415" s="33">
        <f>IFERROR(__xludf.DUMMYFUNCTION("""COMPUTED_VALUE"""),1.0)</f>
        <v>1</v>
      </c>
    </row>
    <row r="3416">
      <c r="K3416" s="4" t="str">
        <f>IFERROR(__xludf.DUMMYFUNCTION("""COMPUTED_VALUE"""),"FARMACIA DOSE CERTA - CONTA PAI")</f>
        <v>FARMACIA DOSE CERTA - CONTA PAI</v>
      </c>
      <c r="L3416" s="32">
        <f>IFERROR(__xludf.DUMMYFUNCTION("""COMPUTED_VALUE"""),3.0)</f>
        <v>3</v>
      </c>
      <c r="M3416" s="4" t="str">
        <f>IFERROR(__xludf.DUMMYFUNCTION("""COMPUTED_VALUE"""),"N/A (Not found)")</f>
        <v>N/A (Not found)</v>
      </c>
      <c r="N3416" s="33">
        <f>IFERROR(__xludf.DUMMYFUNCTION("""COMPUTED_VALUE"""),1.0)</f>
        <v>1</v>
      </c>
      <c r="O3416" s="4" t="str">
        <f>IFERROR(__xludf.DUMMYFUNCTION("""COMPUTED_VALUE"""),"N/A (Not found)")</f>
        <v>N/A (Not found)</v>
      </c>
      <c r="P3416" s="33">
        <f>IFERROR(__xludf.DUMMYFUNCTION("""COMPUTED_VALUE"""),1.0)</f>
        <v>1</v>
      </c>
      <c r="Q3416" s="4" t="str">
        <f>IFERROR(__xludf.DUMMYFUNCTION("""COMPUTED_VALUE"""),"N/A (Not found)")</f>
        <v>N/A (Not found)</v>
      </c>
      <c r="R3416" s="33">
        <f>IFERROR(__xludf.DUMMYFUNCTION("""COMPUTED_VALUE"""),1.0)</f>
        <v>1</v>
      </c>
      <c r="S3416" s="4" t="str">
        <f>IFERROR(__xludf.DUMMYFUNCTION("""COMPUTED_VALUE"""),"N/A (Not found)")</f>
        <v>N/A (Not found)</v>
      </c>
      <c r="T3416" s="33">
        <f>IFERROR(__xludf.DUMMYFUNCTION("""COMPUTED_VALUE"""),1.0)</f>
        <v>1</v>
      </c>
      <c r="U3416" s="4" t="str">
        <f>IFERROR(__xludf.DUMMYFUNCTION("""COMPUTED_VALUE"""),"N/A (Not found)")</f>
        <v>N/A (Not found)</v>
      </c>
      <c r="V3416" s="33">
        <f>IFERROR(__xludf.DUMMYFUNCTION("""COMPUTED_VALUE"""),1.0)</f>
        <v>1</v>
      </c>
      <c r="W3416" s="4" t="str">
        <f>IFERROR(__xludf.DUMMYFUNCTION("""COMPUTED_VALUE"""),"N/A (Not found)")</f>
        <v>N/A (Not found)</v>
      </c>
      <c r="X3416" s="33">
        <f>IFERROR(__xludf.DUMMYFUNCTION("""COMPUTED_VALUE"""),1.0)</f>
        <v>1</v>
      </c>
    </row>
    <row r="3417">
      <c r="K3417" s="4" t="str">
        <f>IFERROR(__xludf.DUMMYFUNCTION("""COMPUTED_VALUE"""),"FARMACIA SAMAX - CONTA MARCA")</f>
        <v>FARMACIA SAMAX - CONTA MARCA</v>
      </c>
      <c r="L3417" s="32">
        <f>IFERROR(__xludf.DUMMYFUNCTION("""COMPUTED_VALUE"""),3.0)</f>
        <v>3</v>
      </c>
      <c r="M3417" s="4" t="str">
        <f>IFERROR(__xludf.DUMMYFUNCTION("""COMPUTED_VALUE"""),"N/A (Not found)")</f>
        <v>N/A (Not found)</v>
      </c>
      <c r="N3417" s="33">
        <f>IFERROR(__xludf.DUMMYFUNCTION("""COMPUTED_VALUE"""),1.0)</f>
        <v>1</v>
      </c>
      <c r="O3417" s="4" t="str">
        <f>IFERROR(__xludf.DUMMYFUNCTION("""COMPUTED_VALUE"""),"N/A (Not found)")</f>
        <v>N/A (Not found)</v>
      </c>
      <c r="P3417" s="33">
        <f>IFERROR(__xludf.DUMMYFUNCTION("""COMPUTED_VALUE"""),1.0)</f>
        <v>1</v>
      </c>
      <c r="Q3417" s="4" t="str">
        <f>IFERROR(__xludf.DUMMYFUNCTION("""COMPUTED_VALUE"""),"N/A (Not found)")</f>
        <v>N/A (Not found)</v>
      </c>
      <c r="R3417" s="33">
        <f>IFERROR(__xludf.DUMMYFUNCTION("""COMPUTED_VALUE"""),0.6666666666666666)</f>
        <v>0.6666666667</v>
      </c>
      <c r="S3417" s="4" t="str">
        <f>IFERROR(__xludf.DUMMYFUNCTION("""COMPUTED_VALUE"""),"N/A (Not found)")</f>
        <v>N/A (Not found)</v>
      </c>
      <c r="T3417" s="33">
        <f>IFERROR(__xludf.DUMMYFUNCTION("""COMPUTED_VALUE"""),0.6666666666666666)</f>
        <v>0.6666666667</v>
      </c>
      <c r="U3417" s="4" t="str">
        <f>IFERROR(__xludf.DUMMYFUNCTION("""COMPUTED_VALUE"""),"N/A (Not found)")</f>
        <v>N/A (Not found)</v>
      </c>
      <c r="V3417" s="33">
        <f>IFERROR(__xludf.DUMMYFUNCTION("""COMPUTED_VALUE"""),0.6666666666666666)</f>
        <v>0.6666666667</v>
      </c>
      <c r="W3417" s="4" t="str">
        <f>IFERROR(__xludf.DUMMYFUNCTION("""COMPUTED_VALUE"""),"null")</f>
        <v>null</v>
      </c>
      <c r="X3417" s="33">
        <f>IFERROR(__xludf.DUMMYFUNCTION("""COMPUTED_VALUE"""),0.6666666666666666)</f>
        <v>0.6666666667</v>
      </c>
    </row>
    <row r="3418">
      <c r="K3418" s="4" t="str">
        <f>IFERROR(__xludf.DUMMYFUNCTION("""COMPUTED_VALUE"""),"FARMACIA TRADICAO JAQUEIRA - CONTA MARCA")</f>
        <v>FARMACIA TRADICAO JAQUEIRA - CONTA MARCA</v>
      </c>
      <c r="L3418" s="32">
        <f>IFERROR(__xludf.DUMMYFUNCTION("""COMPUTED_VALUE"""),3.0)</f>
        <v>3</v>
      </c>
      <c r="M3418" s="4" t="str">
        <f>IFERROR(__xludf.DUMMYFUNCTION("""COMPUTED_VALUE"""),"N/A (Not found)")</f>
        <v>N/A (Not found)</v>
      </c>
      <c r="N3418" s="33">
        <f>IFERROR(__xludf.DUMMYFUNCTION("""COMPUTED_VALUE"""),1.0)</f>
        <v>1</v>
      </c>
      <c r="O3418" s="4" t="str">
        <f>IFERROR(__xludf.DUMMYFUNCTION("""COMPUTED_VALUE"""),"N/A (Not found)")</f>
        <v>N/A (Not found)</v>
      </c>
      <c r="P3418" s="33">
        <f>IFERROR(__xludf.DUMMYFUNCTION("""COMPUTED_VALUE"""),1.0)</f>
        <v>1</v>
      </c>
      <c r="Q3418" s="4" t="str">
        <f>IFERROR(__xludf.DUMMYFUNCTION("""COMPUTED_VALUE"""),"N/A (Not found)")</f>
        <v>N/A (Not found)</v>
      </c>
      <c r="R3418" s="33">
        <f>IFERROR(__xludf.DUMMYFUNCTION("""COMPUTED_VALUE"""),0.6666666666666666)</f>
        <v>0.6666666667</v>
      </c>
      <c r="S3418" s="4" t="str">
        <f>IFERROR(__xludf.DUMMYFUNCTION("""COMPUTED_VALUE"""),"N/A (Not found)")</f>
        <v>N/A (Not found)</v>
      </c>
      <c r="T3418" s="33">
        <f>IFERROR(__xludf.DUMMYFUNCTION("""COMPUTED_VALUE"""),0.6666666666666666)</f>
        <v>0.6666666667</v>
      </c>
      <c r="U3418" s="4" t="str">
        <f>IFERROR(__xludf.DUMMYFUNCTION("""COMPUTED_VALUE"""),"N/A (Not found)")</f>
        <v>N/A (Not found)</v>
      </c>
      <c r="V3418" s="33">
        <f>IFERROR(__xludf.DUMMYFUNCTION("""COMPUTED_VALUE"""),0.6666666666666666)</f>
        <v>0.6666666667</v>
      </c>
      <c r="W3418" s="4" t="str">
        <f>IFERROR(__xludf.DUMMYFUNCTION("""COMPUTED_VALUE"""),"N/A (Not found)")</f>
        <v>N/A (Not found)</v>
      </c>
      <c r="X3418" s="33">
        <f>IFERROR(__xludf.DUMMYFUNCTION("""COMPUTED_VALUE"""),0.6666666666666666)</f>
        <v>0.6666666667</v>
      </c>
    </row>
    <row r="3419">
      <c r="K3419" s="4" t="str">
        <f>IFERROR(__xludf.DUMMYFUNCTION("""COMPUTED_VALUE"""),"FARMACIAS ECONOMIZAR - CONTA PAI")</f>
        <v>FARMACIAS ECONOMIZAR - CONTA PAI</v>
      </c>
      <c r="L3419" s="32">
        <f>IFERROR(__xludf.DUMMYFUNCTION("""COMPUTED_VALUE"""),3.0)</f>
        <v>3</v>
      </c>
      <c r="M3419" s="4" t="str">
        <f>IFERROR(__xludf.DUMMYFUNCTION("""COMPUTED_VALUE"""),"N/A (Not found)")</f>
        <v>N/A (Not found)</v>
      </c>
      <c r="N3419" s="33">
        <f>IFERROR(__xludf.DUMMYFUNCTION("""COMPUTED_VALUE"""),1.0)</f>
        <v>1</v>
      </c>
      <c r="O3419" s="4" t="str">
        <f>IFERROR(__xludf.DUMMYFUNCTION("""COMPUTED_VALUE"""),"N/A (Not found)")</f>
        <v>N/A (Not found)</v>
      </c>
      <c r="P3419" s="33">
        <f>IFERROR(__xludf.DUMMYFUNCTION("""COMPUTED_VALUE"""),1.0)</f>
        <v>1</v>
      </c>
      <c r="Q3419" s="4" t="str">
        <f>IFERROR(__xludf.DUMMYFUNCTION("""COMPUTED_VALUE"""),"N/A (Not found)")</f>
        <v>N/A (Not found)</v>
      </c>
      <c r="R3419" s="33">
        <f>IFERROR(__xludf.DUMMYFUNCTION("""COMPUTED_VALUE"""),1.0)</f>
        <v>1</v>
      </c>
      <c r="S3419" s="4" t="str">
        <f>IFERROR(__xludf.DUMMYFUNCTION("""COMPUTED_VALUE"""),"N/A (Not found)")</f>
        <v>N/A (Not found)</v>
      </c>
      <c r="T3419" s="33">
        <f>IFERROR(__xludf.DUMMYFUNCTION("""COMPUTED_VALUE"""),1.0)</f>
        <v>1</v>
      </c>
      <c r="U3419" s="4" t="str">
        <f>IFERROR(__xludf.DUMMYFUNCTION("""COMPUTED_VALUE"""),"N/A (Not found)")</f>
        <v>N/A (Not found)</v>
      </c>
      <c r="V3419" s="33">
        <f>IFERROR(__xludf.DUMMYFUNCTION("""COMPUTED_VALUE"""),1.0)</f>
        <v>1</v>
      </c>
      <c r="W3419" s="4" t="str">
        <f>IFERROR(__xludf.DUMMYFUNCTION("""COMPUTED_VALUE"""),"N/A (Not found)")</f>
        <v>N/A (Not found)</v>
      </c>
      <c r="X3419" s="33">
        <f>IFERROR(__xludf.DUMMYFUNCTION("""COMPUTED_VALUE"""),1.0)</f>
        <v>1</v>
      </c>
    </row>
    <row r="3420">
      <c r="K3420" s="4" t="str">
        <f>IFERROR(__xludf.DUMMYFUNCTION("""COMPUTED_VALUE"""),"FARMACIAS EDSON - LOJAS RAFAEL - CONTA MARCA")</f>
        <v>FARMACIAS EDSON - LOJAS RAFAEL - CONTA MARCA</v>
      </c>
      <c r="L3420" s="32">
        <f>IFERROR(__xludf.DUMMYFUNCTION("""COMPUTED_VALUE"""),3.0)</f>
        <v>3</v>
      </c>
      <c r="M3420" s="4" t="str">
        <f>IFERROR(__xludf.DUMMYFUNCTION("""COMPUTED_VALUE"""),"null")</f>
        <v>null</v>
      </c>
      <c r="N3420" s="33">
        <f>IFERROR(__xludf.DUMMYFUNCTION("""COMPUTED_VALUE"""),1.0)</f>
        <v>1</v>
      </c>
      <c r="O3420" s="4" t="str">
        <f>IFERROR(__xludf.DUMMYFUNCTION("""COMPUTED_VALUE"""),"N/A (Not found)")</f>
        <v>N/A (Not found)</v>
      </c>
      <c r="P3420" s="33">
        <f>IFERROR(__xludf.DUMMYFUNCTION("""COMPUTED_VALUE"""),0.6666666666666666)</f>
        <v>0.6666666667</v>
      </c>
      <c r="Q3420" s="4" t="str">
        <f>IFERROR(__xludf.DUMMYFUNCTION("""COMPUTED_VALUE"""),"N/A (Not found)")</f>
        <v>N/A (Not found)</v>
      </c>
      <c r="R3420" s="33">
        <f>IFERROR(__xludf.DUMMYFUNCTION("""COMPUTED_VALUE"""),1.0)</f>
        <v>1</v>
      </c>
      <c r="S3420" s="4" t="str">
        <f>IFERROR(__xludf.DUMMYFUNCTION("""COMPUTED_VALUE"""),"N/A (Not found)")</f>
        <v>N/A (Not found)</v>
      </c>
      <c r="T3420" s="33">
        <f>IFERROR(__xludf.DUMMYFUNCTION("""COMPUTED_VALUE"""),1.0)</f>
        <v>1</v>
      </c>
      <c r="U3420" s="4" t="str">
        <f>IFERROR(__xludf.DUMMYFUNCTION("""COMPUTED_VALUE"""),"N/A (Not found)")</f>
        <v>N/A (Not found)</v>
      </c>
      <c r="V3420" s="33">
        <f>IFERROR(__xludf.DUMMYFUNCTION("""COMPUTED_VALUE"""),1.0)</f>
        <v>1</v>
      </c>
      <c r="W3420" s="4" t="str">
        <f>IFERROR(__xludf.DUMMYFUNCTION("""COMPUTED_VALUE"""),"N/A (Not found)")</f>
        <v>N/A (Not found)</v>
      </c>
      <c r="X3420" s="33">
        <f>IFERROR(__xludf.DUMMYFUNCTION("""COMPUTED_VALUE"""),1.0)</f>
        <v>1</v>
      </c>
    </row>
    <row r="3421">
      <c r="K3421" s="4" t="str">
        <f>IFERROR(__xludf.DUMMYFUNCTION("""COMPUTED_VALUE"""),"FARMACIAS MINI PRECO - CONTA PAI")</f>
        <v>FARMACIAS MINI PRECO - CONTA PAI</v>
      </c>
      <c r="L3421" s="32">
        <f>IFERROR(__xludf.DUMMYFUNCTION("""COMPUTED_VALUE"""),3.0)</f>
        <v>3</v>
      </c>
      <c r="M3421" s="4" t="str">
        <f>IFERROR(__xludf.DUMMYFUNCTION("""COMPUTED_VALUE"""),"N/A (Not found)")</f>
        <v>N/A (Not found)</v>
      </c>
      <c r="N3421" s="33">
        <f>IFERROR(__xludf.DUMMYFUNCTION("""COMPUTED_VALUE"""),1.0)</f>
        <v>1</v>
      </c>
      <c r="O3421" s="4" t="str">
        <f>IFERROR(__xludf.DUMMYFUNCTION("""COMPUTED_VALUE"""),"N/A (Not found)")</f>
        <v>N/A (Not found)</v>
      </c>
      <c r="P3421" s="33">
        <f>IFERROR(__xludf.DUMMYFUNCTION("""COMPUTED_VALUE"""),1.0)</f>
        <v>1</v>
      </c>
      <c r="Q3421" s="4" t="str">
        <f>IFERROR(__xludf.DUMMYFUNCTION("""COMPUTED_VALUE"""),"N/A (Not found)")</f>
        <v>N/A (Not found)</v>
      </c>
      <c r="R3421" s="33">
        <f>IFERROR(__xludf.DUMMYFUNCTION("""COMPUTED_VALUE"""),1.0)</f>
        <v>1</v>
      </c>
      <c r="S3421" s="4" t="str">
        <f>IFERROR(__xludf.DUMMYFUNCTION("""COMPUTED_VALUE"""),"N/A (Not found)")</f>
        <v>N/A (Not found)</v>
      </c>
      <c r="T3421" s="33">
        <f>IFERROR(__xludf.DUMMYFUNCTION("""COMPUTED_VALUE"""),1.0)</f>
        <v>1</v>
      </c>
      <c r="U3421" s="4" t="str">
        <f>IFERROR(__xludf.DUMMYFUNCTION("""COMPUTED_VALUE"""),"N/A (Not found)")</f>
        <v>N/A (Not found)</v>
      </c>
      <c r="V3421" s="33">
        <f>IFERROR(__xludf.DUMMYFUNCTION("""COMPUTED_VALUE"""),1.0)</f>
        <v>1</v>
      </c>
      <c r="W3421" s="4" t="str">
        <f>IFERROR(__xludf.DUMMYFUNCTION("""COMPUTED_VALUE"""),"N/A (Not found)")</f>
        <v>N/A (Not found)</v>
      </c>
      <c r="X3421" s="33">
        <f>IFERROR(__xludf.DUMMYFUNCTION("""COMPUTED_VALUE"""),1.0)</f>
        <v>1</v>
      </c>
    </row>
    <row r="3422">
      <c r="K3422" s="4" t="str">
        <f>IFERROR(__xludf.DUMMYFUNCTION("""COMPUTED_VALUE"""),"FARMACIAS POUPE BEM - LOJAS SAMANTHA")</f>
        <v>FARMACIAS POUPE BEM - LOJAS SAMANTHA</v>
      </c>
      <c r="L3422" s="32">
        <f>IFERROR(__xludf.DUMMYFUNCTION("""COMPUTED_VALUE"""),3.0)</f>
        <v>3</v>
      </c>
      <c r="M3422" s="4" t="str">
        <f>IFERROR(__xludf.DUMMYFUNCTION("""COMPUTED_VALUE"""),"N/A (Not found)")</f>
        <v>N/A (Not found)</v>
      </c>
      <c r="N3422" s="33">
        <f>IFERROR(__xludf.DUMMYFUNCTION("""COMPUTED_VALUE"""),1.0)</f>
        <v>1</v>
      </c>
      <c r="O3422" s="4" t="str">
        <f>IFERROR(__xludf.DUMMYFUNCTION("""COMPUTED_VALUE"""),"N/A (Not found)")</f>
        <v>N/A (Not found)</v>
      </c>
      <c r="P3422" s="33">
        <f>IFERROR(__xludf.DUMMYFUNCTION("""COMPUTED_VALUE"""),1.0)</f>
        <v>1</v>
      </c>
      <c r="Q3422" s="4" t="str">
        <f>IFERROR(__xludf.DUMMYFUNCTION("""COMPUTED_VALUE"""),"N/A (Not found)")</f>
        <v>N/A (Not found)</v>
      </c>
      <c r="R3422" s="33">
        <f>IFERROR(__xludf.DUMMYFUNCTION("""COMPUTED_VALUE"""),1.0)</f>
        <v>1</v>
      </c>
      <c r="S3422" s="4" t="str">
        <f>IFERROR(__xludf.DUMMYFUNCTION("""COMPUTED_VALUE"""),"N/A (Not found)")</f>
        <v>N/A (Not found)</v>
      </c>
      <c r="T3422" s="33">
        <f>IFERROR(__xludf.DUMMYFUNCTION("""COMPUTED_VALUE"""),1.0)</f>
        <v>1</v>
      </c>
      <c r="U3422" s="4" t="str">
        <f>IFERROR(__xludf.DUMMYFUNCTION("""COMPUTED_VALUE"""),"N/A (Not found)")</f>
        <v>N/A (Not found)</v>
      </c>
      <c r="V3422" s="33">
        <f>IFERROR(__xludf.DUMMYFUNCTION("""COMPUTED_VALUE"""),1.0)</f>
        <v>1</v>
      </c>
      <c r="W3422" s="4" t="str">
        <f>IFERROR(__xludf.DUMMYFUNCTION("""COMPUTED_VALUE"""),"N/A (Not found)")</f>
        <v>N/A (Not found)</v>
      </c>
      <c r="X3422" s="33">
        <f>IFERROR(__xludf.DUMMYFUNCTION("""COMPUTED_VALUE"""),1.0)</f>
        <v>1</v>
      </c>
    </row>
    <row r="3423">
      <c r="K3423" s="4" t="str">
        <f>IFERROR(__xludf.DUMMYFUNCTION("""COMPUTED_VALUE"""),"FARMAIS DRACENA - CONTA PAI")</f>
        <v>FARMAIS DRACENA - CONTA PAI</v>
      </c>
      <c r="L3423" s="32">
        <f>IFERROR(__xludf.DUMMYFUNCTION("""COMPUTED_VALUE"""),3.0)</f>
        <v>3</v>
      </c>
      <c r="M3423" s="4" t="str">
        <f>IFERROR(__xludf.DUMMYFUNCTION("""COMPUTED_VALUE"""),"N/A (Not found)")</f>
        <v>N/A (Not found)</v>
      </c>
      <c r="N3423" s="33">
        <f>IFERROR(__xludf.DUMMYFUNCTION("""COMPUTED_VALUE"""),1.0)</f>
        <v>1</v>
      </c>
      <c r="O3423" s="4" t="str">
        <f>IFERROR(__xludf.DUMMYFUNCTION("""COMPUTED_VALUE"""),"N/A (Not found)")</f>
        <v>N/A (Not found)</v>
      </c>
      <c r="P3423" s="33">
        <f>IFERROR(__xludf.DUMMYFUNCTION("""COMPUTED_VALUE"""),1.0)</f>
        <v>1</v>
      </c>
      <c r="Q3423" s="4" t="str">
        <f>IFERROR(__xludf.DUMMYFUNCTION("""COMPUTED_VALUE"""),"N/A (Not found)")</f>
        <v>N/A (Not found)</v>
      </c>
      <c r="R3423" s="33">
        <f>IFERROR(__xludf.DUMMYFUNCTION("""COMPUTED_VALUE"""),1.0)</f>
        <v>1</v>
      </c>
      <c r="S3423" s="4" t="str">
        <f>IFERROR(__xludf.DUMMYFUNCTION("""COMPUTED_VALUE"""),"N/A (Not found)")</f>
        <v>N/A (Not found)</v>
      </c>
      <c r="T3423" s="33">
        <f>IFERROR(__xludf.DUMMYFUNCTION("""COMPUTED_VALUE"""),1.0)</f>
        <v>1</v>
      </c>
      <c r="U3423" s="4" t="str">
        <f>IFERROR(__xludf.DUMMYFUNCTION("""COMPUTED_VALUE"""),"N/A (Not found)")</f>
        <v>N/A (Not found)</v>
      </c>
      <c r="V3423" s="33">
        <f>IFERROR(__xludf.DUMMYFUNCTION("""COMPUTED_VALUE"""),1.0)</f>
        <v>1</v>
      </c>
      <c r="W3423" s="4" t="str">
        <f>IFERROR(__xludf.DUMMYFUNCTION("""COMPUTED_VALUE"""),"N/A (Not found)")</f>
        <v>N/A (Not found)</v>
      </c>
      <c r="X3423" s="33">
        <f>IFERROR(__xludf.DUMMYFUNCTION("""COMPUTED_VALUE"""),1.0)</f>
        <v>1</v>
      </c>
    </row>
    <row r="3424">
      <c r="K3424" s="4" t="str">
        <f>IFERROR(__xludf.DUMMYFUNCTION("""COMPUTED_VALUE"""),"FARMAPLUS CONTA MARCA")</f>
        <v>FARMAPLUS CONTA MARCA</v>
      </c>
      <c r="L3424" s="32">
        <f>IFERROR(__xludf.DUMMYFUNCTION("""COMPUTED_VALUE"""),3.0)</f>
        <v>3</v>
      </c>
      <c r="M3424" s="4" t="str">
        <f>IFERROR(__xludf.DUMMYFUNCTION("""COMPUTED_VALUE"""),"N/A (Not found)")</f>
        <v>N/A (Not found)</v>
      </c>
      <c r="N3424" s="33">
        <f>IFERROR(__xludf.DUMMYFUNCTION("""COMPUTED_VALUE"""),1.0)</f>
        <v>1</v>
      </c>
      <c r="O3424" s="4" t="str">
        <f>IFERROR(__xludf.DUMMYFUNCTION("""COMPUTED_VALUE"""),"N/A (Not found)")</f>
        <v>N/A (Not found)</v>
      </c>
      <c r="P3424" s="33">
        <f>IFERROR(__xludf.DUMMYFUNCTION("""COMPUTED_VALUE"""),1.0)</f>
        <v>1</v>
      </c>
      <c r="Q3424" s="4" t="str">
        <f>IFERROR(__xludf.DUMMYFUNCTION("""COMPUTED_VALUE"""),"N/A (Not found)")</f>
        <v>N/A (Not found)</v>
      </c>
      <c r="R3424" s="33">
        <f>IFERROR(__xludf.DUMMYFUNCTION("""COMPUTED_VALUE"""),1.0)</f>
        <v>1</v>
      </c>
      <c r="S3424" s="4" t="str">
        <f>IFERROR(__xludf.DUMMYFUNCTION("""COMPUTED_VALUE"""),"N/A (Not found)")</f>
        <v>N/A (Not found)</v>
      </c>
      <c r="T3424" s="33">
        <f>IFERROR(__xludf.DUMMYFUNCTION("""COMPUTED_VALUE"""),1.0)</f>
        <v>1</v>
      </c>
      <c r="U3424" s="4" t="str">
        <f>IFERROR(__xludf.DUMMYFUNCTION("""COMPUTED_VALUE"""),"N/A (Not found)")</f>
        <v>N/A (Not found)</v>
      </c>
      <c r="V3424" s="33">
        <f>IFERROR(__xludf.DUMMYFUNCTION("""COMPUTED_VALUE"""),1.0)</f>
        <v>1</v>
      </c>
      <c r="W3424" s="4" t="str">
        <f>IFERROR(__xludf.DUMMYFUNCTION("""COMPUTED_VALUE"""),"N/A (Not found)")</f>
        <v>N/A (Not found)</v>
      </c>
      <c r="X3424" s="33">
        <f>IFERROR(__xludf.DUMMYFUNCTION("""COMPUTED_VALUE"""),1.0)</f>
        <v>1</v>
      </c>
    </row>
    <row r="3425">
      <c r="K3425" s="4" t="str">
        <f>IFERROR(__xludf.DUMMYFUNCTION("""COMPUTED_VALUE"""),"FAST BURGUER - MARCA")</f>
        <v>FAST BURGUER - MARCA</v>
      </c>
      <c r="L3425" s="32">
        <f>IFERROR(__xludf.DUMMYFUNCTION("""COMPUTED_VALUE"""),3.0)</f>
        <v>3</v>
      </c>
      <c r="M3425" s="4" t="str">
        <f>IFERROR(__xludf.DUMMYFUNCTION("""COMPUTED_VALUE"""),"Saipos Serviços De Software")</f>
        <v>Saipos Serviços De Software</v>
      </c>
      <c r="N3425" s="33">
        <f>IFERROR(__xludf.DUMMYFUNCTION("""COMPUTED_VALUE"""),0.6666666666666666)</f>
        <v>0.6666666667</v>
      </c>
      <c r="O3425" s="4" t="str">
        <f>IFERROR(__xludf.DUMMYFUNCTION("""COMPUTED_VALUE"""),"Saipos Serviços De Software")</f>
        <v>Saipos Serviços De Software</v>
      </c>
      <c r="P3425" s="33">
        <f>IFERROR(__xludf.DUMMYFUNCTION("""COMPUTED_VALUE"""),0.6666666666666666)</f>
        <v>0.6666666667</v>
      </c>
      <c r="Q3425" s="4" t="str">
        <f>IFERROR(__xludf.DUMMYFUNCTION("""COMPUTED_VALUE"""),"Saipos Serviços De Software")</f>
        <v>Saipos Serviços De Software</v>
      </c>
      <c r="R3425" s="33">
        <f>IFERROR(__xludf.DUMMYFUNCTION("""COMPUTED_VALUE"""),0.6666666666666666)</f>
        <v>0.6666666667</v>
      </c>
      <c r="S3425" s="4" t="str">
        <f>IFERROR(__xludf.DUMMYFUNCTION("""COMPUTED_VALUE"""),"Saipos Serviços De Software")</f>
        <v>Saipos Serviços De Software</v>
      </c>
      <c r="T3425" s="33">
        <f>IFERROR(__xludf.DUMMYFUNCTION("""COMPUTED_VALUE"""),0.6666666666666666)</f>
        <v>0.6666666667</v>
      </c>
      <c r="U3425" s="4" t="str">
        <f>IFERROR(__xludf.DUMMYFUNCTION("""COMPUTED_VALUE"""),"Saipos Serviços De Software")</f>
        <v>Saipos Serviços De Software</v>
      </c>
      <c r="V3425" s="33">
        <f>IFERROR(__xludf.DUMMYFUNCTION("""COMPUTED_VALUE"""),1.0)</f>
        <v>1</v>
      </c>
      <c r="W3425" s="4" t="str">
        <f>IFERROR(__xludf.DUMMYFUNCTION("""COMPUTED_VALUE"""),"Saipos Serviços De Software")</f>
        <v>Saipos Serviços De Software</v>
      </c>
      <c r="X3425" s="33">
        <f>IFERROR(__xludf.DUMMYFUNCTION("""COMPUTED_VALUE"""),1.0)</f>
        <v>1</v>
      </c>
    </row>
    <row r="3426">
      <c r="K3426" s="4" t="str">
        <f>IFERROR(__xludf.DUMMYFUNCTION("""COMPUTED_VALUE"""),"FAT BUDDHA")</f>
        <v>FAT BUDDHA</v>
      </c>
      <c r="L3426" s="32">
        <f>IFERROR(__xludf.DUMMYFUNCTION("""COMPUTED_VALUE"""),3.0)</f>
        <v>3</v>
      </c>
      <c r="M3426" s="4" t="str">
        <f>IFERROR(__xludf.DUMMYFUNCTION("""COMPUTED_VALUE"""),"Saipos Serviços De Software")</f>
        <v>Saipos Serviços De Software</v>
      </c>
      <c r="N3426" s="33">
        <f>IFERROR(__xludf.DUMMYFUNCTION("""COMPUTED_VALUE"""),1.0)</f>
        <v>1</v>
      </c>
      <c r="O3426" s="4" t="str">
        <f>IFERROR(__xludf.DUMMYFUNCTION("""COMPUTED_VALUE"""),"Saipos Serviços De Software")</f>
        <v>Saipos Serviços De Software</v>
      </c>
      <c r="P3426" s="33">
        <f>IFERROR(__xludf.DUMMYFUNCTION("""COMPUTED_VALUE"""),1.0)</f>
        <v>1</v>
      </c>
      <c r="Q3426" s="4" t="str">
        <f>IFERROR(__xludf.DUMMYFUNCTION("""COMPUTED_VALUE"""),"Saipos Serviços De Software")</f>
        <v>Saipos Serviços De Software</v>
      </c>
      <c r="R3426" s="33">
        <f>IFERROR(__xludf.DUMMYFUNCTION("""COMPUTED_VALUE"""),1.0)</f>
        <v>1</v>
      </c>
      <c r="S3426" s="4" t="str">
        <f>IFERROR(__xludf.DUMMYFUNCTION("""COMPUTED_VALUE"""),"Saipos Serviços De Software")</f>
        <v>Saipos Serviços De Software</v>
      </c>
      <c r="T3426" s="33">
        <f>IFERROR(__xludf.DUMMYFUNCTION("""COMPUTED_VALUE"""),1.0)</f>
        <v>1</v>
      </c>
      <c r="U3426" s="4" t="str">
        <f>IFERROR(__xludf.DUMMYFUNCTION("""COMPUTED_VALUE"""),"Saipos Serviços De Software")</f>
        <v>Saipos Serviços De Software</v>
      </c>
      <c r="V3426" s="33">
        <f>IFERROR(__xludf.DUMMYFUNCTION("""COMPUTED_VALUE"""),1.0)</f>
        <v>1</v>
      </c>
      <c r="W3426" s="4" t="str">
        <f>IFERROR(__xludf.DUMMYFUNCTION("""COMPUTED_VALUE"""),"Ncr")</f>
        <v>Ncr</v>
      </c>
      <c r="X3426" s="33">
        <f>IFERROR(__xludf.DUMMYFUNCTION("""COMPUTED_VALUE"""),0.6666666666666666)</f>
        <v>0.6666666667</v>
      </c>
    </row>
    <row r="3427">
      <c r="K3427" s="4" t="str">
        <f>IFERROR(__xludf.DUMMYFUNCTION("""COMPUTED_VALUE"""),"FATILLE PIZZA BURGUER - CONTA MARCA")</f>
        <v>FATILLE PIZZA BURGUER - CONTA MARCA</v>
      </c>
      <c r="L3427" s="32">
        <f>IFERROR(__xludf.DUMMYFUNCTION("""COMPUTED_VALUE"""),3.0)</f>
        <v>3</v>
      </c>
      <c r="M3427" s="4" t="str">
        <f>IFERROR(__xludf.DUMMYFUNCTION("""COMPUTED_VALUE"""),"Mp Multipedidos")</f>
        <v>Mp Multipedidos</v>
      </c>
      <c r="N3427" s="33">
        <f>IFERROR(__xludf.DUMMYFUNCTION("""COMPUTED_VALUE"""),1.0)</f>
        <v>1</v>
      </c>
      <c r="O3427" s="4" t="str">
        <f>IFERROR(__xludf.DUMMYFUNCTION("""COMPUTED_VALUE"""),"Mp Multipedidos")</f>
        <v>Mp Multipedidos</v>
      </c>
      <c r="P3427" s="33">
        <f>IFERROR(__xludf.DUMMYFUNCTION("""COMPUTED_VALUE"""),1.0)</f>
        <v>1</v>
      </c>
      <c r="Q3427" s="4" t="str">
        <f>IFERROR(__xludf.DUMMYFUNCTION("""COMPUTED_VALUE"""),"Mp Multipedidos")</f>
        <v>Mp Multipedidos</v>
      </c>
      <c r="R3427" s="33">
        <f>IFERROR(__xludf.DUMMYFUNCTION("""COMPUTED_VALUE"""),1.0)</f>
        <v>1</v>
      </c>
      <c r="S3427" s="4" t="str">
        <f>IFERROR(__xludf.DUMMYFUNCTION("""COMPUTED_VALUE"""),"Mp Multipedidos")</f>
        <v>Mp Multipedidos</v>
      </c>
      <c r="T3427" s="33">
        <f>IFERROR(__xludf.DUMMYFUNCTION("""COMPUTED_VALUE"""),1.0)</f>
        <v>1</v>
      </c>
      <c r="U3427" s="4" t="str">
        <f>IFERROR(__xludf.DUMMYFUNCTION("""COMPUTED_VALUE"""),"Mp Multipedidos")</f>
        <v>Mp Multipedidos</v>
      </c>
      <c r="V3427" s="33">
        <f>IFERROR(__xludf.DUMMYFUNCTION("""COMPUTED_VALUE"""),1.0)</f>
        <v>1</v>
      </c>
      <c r="W3427" s="4" t="str">
        <f>IFERROR(__xludf.DUMMYFUNCTION("""COMPUTED_VALUE"""),"Mp Multipedidos")</f>
        <v>Mp Multipedidos</v>
      </c>
      <c r="X3427" s="33">
        <f>IFERROR(__xludf.DUMMYFUNCTION("""COMPUTED_VALUE"""),1.0)</f>
        <v>1</v>
      </c>
    </row>
    <row r="3428">
      <c r="K3428" s="4" t="str">
        <f>IFERROR(__xludf.DUMMYFUNCTION("""COMPUTED_VALUE"""),"GRUPO KOSHO")</f>
        <v>GRUPO KOSHO</v>
      </c>
      <c r="L3428" s="32">
        <f>IFERROR(__xludf.DUMMYFUNCTION("""COMPUTED_VALUE"""),3.0)</f>
        <v>3</v>
      </c>
      <c r="M3428" s="4" t="str">
        <f>IFERROR(__xludf.DUMMYFUNCTION("""COMPUTED_VALUE"""),"Ncr")</f>
        <v>Ncr</v>
      </c>
      <c r="N3428" s="33">
        <f>IFERROR(__xludf.DUMMYFUNCTION("""COMPUTED_VALUE"""),0.6)</f>
        <v>0.6</v>
      </c>
      <c r="O3428" s="4" t="str">
        <f>IFERROR(__xludf.DUMMYFUNCTION("""COMPUTED_VALUE"""),"Ncr")</f>
        <v>Ncr</v>
      </c>
      <c r="P3428" s="33">
        <f>IFERROR(__xludf.DUMMYFUNCTION("""COMPUTED_VALUE"""),0.6)</f>
        <v>0.6</v>
      </c>
      <c r="Q3428" s="4" t="str">
        <f>IFERROR(__xludf.DUMMYFUNCTION("""COMPUTED_VALUE"""),"Ncr")</f>
        <v>Ncr</v>
      </c>
      <c r="R3428" s="33">
        <f>IFERROR(__xludf.DUMMYFUNCTION("""COMPUTED_VALUE"""),0.6)</f>
        <v>0.6</v>
      </c>
      <c r="S3428" s="4" t="str">
        <f>IFERROR(__xludf.DUMMYFUNCTION("""COMPUTED_VALUE"""),"Ncr")</f>
        <v>Ncr</v>
      </c>
      <c r="T3428" s="33">
        <f>IFERROR(__xludf.DUMMYFUNCTION("""COMPUTED_VALUE"""),0.6)</f>
        <v>0.6</v>
      </c>
      <c r="U3428" s="4" t="str">
        <f>IFERROR(__xludf.DUMMYFUNCTION("""COMPUTED_VALUE"""),"Ncr")</f>
        <v>Ncr</v>
      </c>
      <c r="V3428" s="33">
        <f>IFERROR(__xludf.DUMMYFUNCTION("""COMPUTED_VALUE"""),0.6)</f>
        <v>0.6</v>
      </c>
      <c r="W3428" s="4" t="str">
        <f>IFERROR(__xludf.DUMMYFUNCTION("""COMPUTED_VALUE"""),"Ncr")</f>
        <v>Ncr</v>
      </c>
      <c r="X3428" s="33">
        <f>IFERROR(__xludf.DUMMYFUNCTION("""COMPUTED_VALUE"""),0.6)</f>
        <v>0.6</v>
      </c>
    </row>
    <row r="3429">
      <c r="K3429" s="4" t="str">
        <f>IFERROR(__xludf.DUMMYFUNCTION("""COMPUTED_VALUE"""),"FAZFARMA - CONTA PAI")</f>
        <v>FAZFARMA - CONTA PAI</v>
      </c>
      <c r="L3429" s="32">
        <f>IFERROR(__xludf.DUMMYFUNCTION("""COMPUTED_VALUE"""),3.0)</f>
        <v>3</v>
      </c>
      <c r="M3429" s="4" t="str">
        <f>IFERROR(__xludf.DUMMYFUNCTION("""COMPUTED_VALUE"""),"N/A (Not found)")</f>
        <v>N/A (Not found)</v>
      </c>
      <c r="N3429" s="33">
        <f>IFERROR(__xludf.DUMMYFUNCTION("""COMPUTED_VALUE"""),1.0)</f>
        <v>1</v>
      </c>
      <c r="O3429" s="4" t="str">
        <f>IFERROR(__xludf.DUMMYFUNCTION("""COMPUTED_VALUE"""),"N/A (Not found)")</f>
        <v>N/A (Not found)</v>
      </c>
      <c r="P3429" s="33">
        <f>IFERROR(__xludf.DUMMYFUNCTION("""COMPUTED_VALUE"""),1.0)</f>
        <v>1</v>
      </c>
      <c r="Q3429" s="4" t="str">
        <f>IFERROR(__xludf.DUMMYFUNCTION("""COMPUTED_VALUE"""),"N/A (Not found)")</f>
        <v>N/A (Not found)</v>
      </c>
      <c r="R3429" s="33">
        <f>IFERROR(__xludf.DUMMYFUNCTION("""COMPUTED_VALUE"""),1.0)</f>
        <v>1</v>
      </c>
      <c r="S3429" s="4" t="str">
        <f>IFERROR(__xludf.DUMMYFUNCTION("""COMPUTED_VALUE"""),"N/A (Not found)")</f>
        <v>N/A (Not found)</v>
      </c>
      <c r="T3429" s="33">
        <f>IFERROR(__xludf.DUMMYFUNCTION("""COMPUTED_VALUE"""),1.0)</f>
        <v>1</v>
      </c>
      <c r="U3429" s="4" t="str">
        <f>IFERROR(__xludf.DUMMYFUNCTION("""COMPUTED_VALUE"""),"N/A (Not found)")</f>
        <v>N/A (Not found)</v>
      </c>
      <c r="V3429" s="33">
        <f>IFERROR(__xludf.DUMMYFUNCTION("""COMPUTED_VALUE"""),1.0)</f>
        <v>1</v>
      </c>
      <c r="W3429" s="4" t="str">
        <f>IFERROR(__xludf.DUMMYFUNCTION("""COMPUTED_VALUE"""),"N/A (Not found)")</f>
        <v>N/A (Not found)</v>
      </c>
      <c r="X3429" s="33">
        <f>IFERROR(__xludf.DUMMYFUNCTION("""COMPUTED_VALUE"""),1.0)</f>
        <v>1</v>
      </c>
    </row>
    <row r="3430">
      <c r="K3430" s="4" t="str">
        <f>IFERROR(__xludf.DUMMYFUNCTION("""COMPUTED_VALUE"""),"FEDERAL BURGER")</f>
        <v>FEDERAL BURGER</v>
      </c>
      <c r="L3430" s="32">
        <f>IFERROR(__xludf.DUMMYFUNCTION("""COMPUTED_VALUE"""),3.0)</f>
        <v>3</v>
      </c>
      <c r="M3430" s="4" t="str">
        <f>IFERROR(__xludf.DUMMYFUNCTION("""COMPUTED_VALUE"""),"Work Soft Comercio De Informatica E Serviços Eireli - Me")</f>
        <v>Work Soft Comercio De Informatica E Serviços Eireli - Me</v>
      </c>
      <c r="N3430" s="33">
        <f>IFERROR(__xludf.DUMMYFUNCTION("""COMPUTED_VALUE"""),0.6666666666666666)</f>
        <v>0.6666666667</v>
      </c>
      <c r="O3430" s="4" t="str">
        <f>IFERROR(__xludf.DUMMYFUNCTION("""COMPUTED_VALUE"""),"Work Soft Comercio De Informatica E Serviços Eireli - Me")</f>
        <v>Work Soft Comercio De Informatica E Serviços Eireli - Me</v>
      </c>
      <c r="P3430" s="33">
        <f>IFERROR(__xludf.DUMMYFUNCTION("""COMPUTED_VALUE"""),0.6666666666666666)</f>
        <v>0.6666666667</v>
      </c>
      <c r="Q3430" s="4" t="str">
        <f>IFERROR(__xludf.DUMMYFUNCTION("""COMPUTED_VALUE"""),"Work Soft Comercio De Informatica E Serviços Eireli - Me")</f>
        <v>Work Soft Comercio De Informatica E Serviços Eireli - Me</v>
      </c>
      <c r="R3430" s="33">
        <f>IFERROR(__xludf.DUMMYFUNCTION("""COMPUTED_VALUE"""),0.6666666666666666)</f>
        <v>0.6666666667</v>
      </c>
      <c r="S3430" s="4" t="str">
        <f>IFERROR(__xludf.DUMMYFUNCTION("""COMPUTED_VALUE"""),"Work Soft Comercio De Informatica E Serviços Eireli - Me")</f>
        <v>Work Soft Comercio De Informatica E Serviços Eireli - Me</v>
      </c>
      <c r="T3430" s="33">
        <f>IFERROR(__xludf.DUMMYFUNCTION("""COMPUTED_VALUE"""),0.6666666666666666)</f>
        <v>0.6666666667</v>
      </c>
      <c r="U3430" s="4" t="str">
        <f>IFERROR(__xludf.DUMMYFUNCTION("""COMPUTED_VALUE"""),"Work Soft Comercio De Informatica E Serviços Eireli - Me")</f>
        <v>Work Soft Comercio De Informatica E Serviços Eireli - Me</v>
      </c>
      <c r="V3430" s="33">
        <f>IFERROR(__xludf.DUMMYFUNCTION("""COMPUTED_VALUE"""),0.6666666666666666)</f>
        <v>0.6666666667</v>
      </c>
      <c r="W3430" s="4" t="str">
        <f>IFERROR(__xludf.DUMMYFUNCTION("""COMPUTED_VALUE"""),"Work Soft Comercio De Informatica E Serviços Eireli - Me")</f>
        <v>Work Soft Comercio De Informatica E Serviços Eireli - Me</v>
      </c>
      <c r="X3430" s="33">
        <f>IFERROR(__xludf.DUMMYFUNCTION("""COMPUTED_VALUE"""),1.0)</f>
        <v>1</v>
      </c>
    </row>
    <row r="3431">
      <c r="K3431" s="4" t="str">
        <f>IFERROR(__xludf.DUMMYFUNCTION("""COMPUTED_VALUE"""),"FEIJUKINHA FEIJOADA GOURMET - MARCA")</f>
        <v>FEIJUKINHA FEIJOADA GOURMET - MARCA</v>
      </c>
      <c r="L3431" s="32">
        <f>IFERROR(__xludf.DUMMYFUNCTION("""COMPUTED_VALUE"""),3.0)</f>
        <v>3</v>
      </c>
      <c r="M3431" s="4" t="str">
        <f>IFERROR(__xludf.DUMMYFUNCTION("""COMPUTED_VALUE"""),"Saipos Serviços De Software")</f>
        <v>Saipos Serviços De Software</v>
      </c>
      <c r="N3431" s="33">
        <f>IFERROR(__xludf.DUMMYFUNCTION("""COMPUTED_VALUE"""),1.0)</f>
        <v>1</v>
      </c>
      <c r="O3431" s="4" t="str">
        <f>IFERROR(__xludf.DUMMYFUNCTION("""COMPUTED_VALUE"""),"Saipos Serviços De Software")</f>
        <v>Saipos Serviços De Software</v>
      </c>
      <c r="P3431" s="33">
        <f>IFERROR(__xludf.DUMMYFUNCTION("""COMPUTED_VALUE"""),1.0)</f>
        <v>1</v>
      </c>
      <c r="Q3431" s="4" t="str">
        <f>IFERROR(__xludf.DUMMYFUNCTION("""COMPUTED_VALUE"""),"Saipos Serviços De Software")</f>
        <v>Saipos Serviços De Software</v>
      </c>
      <c r="R3431" s="33">
        <f>IFERROR(__xludf.DUMMYFUNCTION("""COMPUTED_VALUE"""),1.0)</f>
        <v>1</v>
      </c>
      <c r="S3431" s="4" t="str">
        <f>IFERROR(__xludf.DUMMYFUNCTION("""COMPUTED_VALUE"""),"Saipos Serviços De Software")</f>
        <v>Saipos Serviços De Software</v>
      </c>
      <c r="T3431" s="33">
        <f>IFERROR(__xludf.DUMMYFUNCTION("""COMPUTED_VALUE"""),1.0)</f>
        <v>1</v>
      </c>
      <c r="U3431" s="4" t="str">
        <f>IFERROR(__xludf.DUMMYFUNCTION("""COMPUTED_VALUE"""),"Saipos Serviços De Software")</f>
        <v>Saipos Serviços De Software</v>
      </c>
      <c r="V3431" s="33">
        <f>IFERROR(__xludf.DUMMYFUNCTION("""COMPUTED_VALUE"""),1.0)</f>
        <v>1</v>
      </c>
      <c r="W3431" s="4" t="str">
        <f>IFERROR(__xludf.DUMMYFUNCTION("""COMPUTED_VALUE"""),"Saipos Serviços De Software")</f>
        <v>Saipos Serviços De Software</v>
      </c>
      <c r="X3431" s="33">
        <f>IFERROR(__xludf.DUMMYFUNCTION("""COMPUTED_VALUE"""),1.0)</f>
        <v>1</v>
      </c>
    </row>
    <row r="3432">
      <c r="K3432" s="4" t="str">
        <f>IFERROR(__xludf.DUMMYFUNCTION("""COMPUTED_VALUE"""),"FILIPEIA - PIZZAS E PARMEGIANAS - CONTA PAI")</f>
        <v>FILIPEIA - PIZZAS E PARMEGIANAS - CONTA PAI</v>
      </c>
      <c r="L3432" s="32">
        <f>IFERROR(__xludf.DUMMYFUNCTION("""COMPUTED_VALUE"""),3.0)</f>
        <v>3</v>
      </c>
      <c r="M3432" s="4" t="str">
        <f>IFERROR(__xludf.DUMMYFUNCTION("""COMPUTED_VALUE"""),"Cardápio Web")</f>
        <v>Cardápio Web</v>
      </c>
      <c r="N3432" s="33">
        <f>IFERROR(__xludf.DUMMYFUNCTION("""COMPUTED_VALUE"""),1.0)</f>
        <v>1</v>
      </c>
      <c r="O3432" s="4" t="str">
        <f>IFERROR(__xludf.DUMMYFUNCTION("""COMPUTED_VALUE"""),"Cardápio Web")</f>
        <v>Cardápio Web</v>
      </c>
      <c r="P3432" s="33">
        <f>IFERROR(__xludf.DUMMYFUNCTION("""COMPUTED_VALUE"""),1.0)</f>
        <v>1</v>
      </c>
      <c r="Q3432" s="4" t="str">
        <f>IFERROR(__xludf.DUMMYFUNCTION("""COMPUTED_VALUE"""),"Cardápio Web")</f>
        <v>Cardápio Web</v>
      </c>
      <c r="R3432" s="33">
        <f>IFERROR(__xludf.DUMMYFUNCTION("""COMPUTED_VALUE"""),1.0)</f>
        <v>1</v>
      </c>
      <c r="S3432" s="4" t="str">
        <f>IFERROR(__xludf.DUMMYFUNCTION("""COMPUTED_VALUE"""),"Cardápio Web")</f>
        <v>Cardápio Web</v>
      </c>
      <c r="T3432" s="33">
        <f>IFERROR(__xludf.DUMMYFUNCTION("""COMPUTED_VALUE"""),1.0)</f>
        <v>1</v>
      </c>
      <c r="U3432" s="4" t="str">
        <f>IFERROR(__xludf.DUMMYFUNCTION("""COMPUTED_VALUE"""),"Cardápio Web")</f>
        <v>Cardápio Web</v>
      </c>
      <c r="V3432" s="33">
        <f>IFERROR(__xludf.DUMMYFUNCTION("""COMPUTED_VALUE"""),0.6666666666666666)</f>
        <v>0.6666666667</v>
      </c>
      <c r="W3432" s="4" t="str">
        <f>IFERROR(__xludf.DUMMYFUNCTION("""COMPUTED_VALUE"""),"Cardápio Web")</f>
        <v>Cardápio Web</v>
      </c>
      <c r="X3432" s="33">
        <f>IFERROR(__xludf.DUMMYFUNCTION("""COMPUTED_VALUE"""),1.0)</f>
        <v>1</v>
      </c>
    </row>
    <row r="3433">
      <c r="K3433" s="4" t="str">
        <f>IFERROR(__xludf.DUMMYFUNCTION("""COMPUTED_VALUE"""),"FIT ON ME")</f>
        <v>FIT ON ME</v>
      </c>
      <c r="L3433" s="32">
        <f>IFERROR(__xludf.DUMMYFUNCTION("""COMPUTED_VALUE"""),3.0)</f>
        <v>3</v>
      </c>
      <c r="M3433" s="4" t="str">
        <f>IFERROR(__xludf.DUMMYFUNCTION("""COMPUTED_VALUE"""),"Yooga")</f>
        <v>Yooga</v>
      </c>
      <c r="N3433" s="33">
        <f>IFERROR(__xludf.DUMMYFUNCTION("""COMPUTED_VALUE"""),1.0)</f>
        <v>1</v>
      </c>
      <c r="O3433" s="4" t="str">
        <f>IFERROR(__xludf.DUMMYFUNCTION("""COMPUTED_VALUE"""),"Yooga")</f>
        <v>Yooga</v>
      </c>
      <c r="P3433" s="33">
        <f>IFERROR(__xludf.DUMMYFUNCTION("""COMPUTED_VALUE"""),1.0)</f>
        <v>1</v>
      </c>
      <c r="Q3433" s="4" t="str">
        <f>IFERROR(__xludf.DUMMYFUNCTION("""COMPUTED_VALUE"""),"Yooga")</f>
        <v>Yooga</v>
      </c>
      <c r="R3433" s="33">
        <f>IFERROR(__xludf.DUMMYFUNCTION("""COMPUTED_VALUE"""),0.6666666666666666)</f>
        <v>0.6666666667</v>
      </c>
      <c r="S3433" s="4" t="str">
        <f>IFERROR(__xludf.DUMMYFUNCTION("""COMPUTED_VALUE"""),"Yooga")</f>
        <v>Yooga</v>
      </c>
      <c r="T3433" s="33">
        <f>IFERROR(__xludf.DUMMYFUNCTION("""COMPUTED_VALUE"""),0.6666666666666666)</f>
        <v>0.6666666667</v>
      </c>
      <c r="U3433" s="4" t="str">
        <f>IFERROR(__xludf.DUMMYFUNCTION("""COMPUTED_VALUE"""),"Yooga")</f>
        <v>Yooga</v>
      </c>
      <c r="V3433" s="33">
        <f>IFERROR(__xludf.DUMMYFUNCTION("""COMPUTED_VALUE"""),0.6666666666666666)</f>
        <v>0.6666666667</v>
      </c>
      <c r="W3433" s="4" t="str">
        <f>IFERROR(__xludf.DUMMYFUNCTION("""COMPUTED_VALUE"""),"Yooga")</f>
        <v>Yooga</v>
      </c>
      <c r="X3433" s="33">
        <f>IFERROR(__xludf.DUMMYFUNCTION("""COMPUTED_VALUE"""),0.6666666666666666)</f>
        <v>0.6666666667</v>
      </c>
    </row>
    <row r="3434">
      <c r="K3434" s="4" t="str">
        <f>IFERROR(__xludf.DUMMYFUNCTION("""COMPUTED_VALUE"""),"FLOR DE SAL")</f>
        <v>FLOR DE SAL</v>
      </c>
      <c r="L3434" s="32">
        <f>IFERROR(__xludf.DUMMYFUNCTION("""COMPUTED_VALUE"""),3.0)</f>
        <v>3</v>
      </c>
      <c r="M3434" s="4" t="str">
        <f>IFERROR(__xludf.DUMMYFUNCTION("""COMPUTED_VALUE"""),"Saipos Serviços De Software")</f>
        <v>Saipos Serviços De Software</v>
      </c>
      <c r="N3434" s="33">
        <f>IFERROR(__xludf.DUMMYFUNCTION("""COMPUTED_VALUE"""),0.6666666666666666)</f>
        <v>0.6666666667</v>
      </c>
      <c r="O3434" s="4" t="str">
        <f>IFERROR(__xludf.DUMMYFUNCTION("""COMPUTED_VALUE"""),"Saipos Serviços De Software")</f>
        <v>Saipos Serviços De Software</v>
      </c>
      <c r="P3434" s="33">
        <f>IFERROR(__xludf.DUMMYFUNCTION("""COMPUTED_VALUE"""),0.6666666666666666)</f>
        <v>0.6666666667</v>
      </c>
      <c r="Q3434" s="4" t="str">
        <f>IFERROR(__xludf.DUMMYFUNCTION("""COMPUTED_VALUE"""),"null")</f>
        <v>null</v>
      </c>
      <c r="R3434" s="33">
        <f>IFERROR(__xludf.DUMMYFUNCTION("""COMPUTED_VALUE"""),0.3333333333333333)</f>
        <v>0.3333333333</v>
      </c>
      <c r="S3434" s="4" t="str">
        <f>IFERROR(__xludf.DUMMYFUNCTION("""COMPUTED_VALUE"""),"null")</f>
        <v>null</v>
      </c>
      <c r="T3434" s="33">
        <f>IFERROR(__xludf.DUMMYFUNCTION("""COMPUTED_VALUE"""),0.3333333333333333)</f>
        <v>0.3333333333</v>
      </c>
      <c r="U3434" s="4" t="str">
        <f>IFERROR(__xludf.DUMMYFUNCTION("""COMPUTED_VALUE"""),"null")</f>
        <v>null</v>
      </c>
      <c r="V3434" s="33">
        <f>IFERROR(__xludf.DUMMYFUNCTION("""COMPUTED_VALUE"""),0.3333333333333333)</f>
        <v>0.3333333333</v>
      </c>
      <c r="W3434" s="4" t="str">
        <f>IFERROR(__xludf.DUMMYFUNCTION("""COMPUTED_VALUE"""),"null")</f>
        <v>null</v>
      </c>
      <c r="X3434" s="33">
        <f>IFERROR(__xludf.DUMMYFUNCTION("""COMPUTED_VALUE"""),0.3333333333333333)</f>
        <v>0.3333333333</v>
      </c>
    </row>
    <row r="3435">
      <c r="K3435" s="4" t="str">
        <f>IFERROR(__xludf.DUMMYFUNCTION("""COMPUTED_VALUE"""),"FM PIZZARIA - AV JUSCELINO KUBITSCHEK")</f>
        <v>FM PIZZARIA - AV JUSCELINO KUBITSCHEK</v>
      </c>
      <c r="L3435" s="32">
        <f>IFERROR(__xludf.DUMMYFUNCTION("""COMPUTED_VALUE"""),3.0)</f>
        <v>3</v>
      </c>
      <c r="M3435" s="4" t="str">
        <f>IFERROR(__xludf.DUMMYFUNCTION("""COMPUTED_VALUE"""),"Saipos Serviços De Software")</f>
        <v>Saipos Serviços De Software</v>
      </c>
      <c r="N3435" s="33">
        <f>IFERROR(__xludf.DUMMYFUNCTION("""COMPUTED_VALUE"""),1.0)</f>
        <v>1</v>
      </c>
      <c r="O3435" s="4" t="str">
        <f>IFERROR(__xludf.DUMMYFUNCTION("""COMPUTED_VALUE"""),"Saipos Serviços De Software")</f>
        <v>Saipos Serviços De Software</v>
      </c>
      <c r="P3435" s="33">
        <f>IFERROR(__xludf.DUMMYFUNCTION("""COMPUTED_VALUE"""),1.0)</f>
        <v>1</v>
      </c>
      <c r="Q3435" s="4" t="str">
        <f>IFERROR(__xludf.DUMMYFUNCTION("""COMPUTED_VALUE"""),"Saipos Serviços De Software")</f>
        <v>Saipos Serviços De Software</v>
      </c>
      <c r="R3435" s="33">
        <f>IFERROR(__xludf.DUMMYFUNCTION("""COMPUTED_VALUE"""),1.0)</f>
        <v>1</v>
      </c>
      <c r="S3435" s="4" t="str">
        <f>IFERROR(__xludf.DUMMYFUNCTION("""COMPUTED_VALUE"""),"Saipos Serviços De Software")</f>
        <v>Saipos Serviços De Software</v>
      </c>
      <c r="T3435" s="33">
        <f>IFERROR(__xludf.DUMMYFUNCTION("""COMPUTED_VALUE"""),1.0)</f>
        <v>1</v>
      </c>
      <c r="U3435" s="4" t="str">
        <f>IFERROR(__xludf.DUMMYFUNCTION("""COMPUTED_VALUE"""),"Saipos Serviços De Software")</f>
        <v>Saipos Serviços De Software</v>
      </c>
      <c r="V3435" s="33">
        <f>IFERROR(__xludf.DUMMYFUNCTION("""COMPUTED_VALUE"""),1.0)</f>
        <v>1</v>
      </c>
      <c r="W3435" s="4" t="str">
        <f>IFERROR(__xludf.DUMMYFUNCTION("""COMPUTED_VALUE"""),"Saipos Serviços De Software")</f>
        <v>Saipos Serviços De Software</v>
      </c>
      <c r="X3435" s="33">
        <f>IFERROR(__xludf.DUMMYFUNCTION("""COMPUTED_VALUE"""),1.0)</f>
        <v>1</v>
      </c>
    </row>
    <row r="3436">
      <c r="K3436" s="4" t="str">
        <f>IFERROR(__xludf.DUMMYFUNCTION("""COMPUTED_VALUE"""),"FOGAREU - CONTA MARCA")</f>
        <v>FOGAREU - CONTA MARCA</v>
      </c>
      <c r="L3436" s="32">
        <f>IFERROR(__xludf.DUMMYFUNCTION("""COMPUTED_VALUE"""),3.0)</f>
        <v>3</v>
      </c>
      <c r="M3436" s="4" t="str">
        <f>IFERROR(__xludf.DUMMYFUNCTION("""COMPUTED_VALUE"""),"Saipos Serviços De Software")</f>
        <v>Saipos Serviços De Software</v>
      </c>
      <c r="N3436" s="33">
        <f>IFERROR(__xludf.DUMMYFUNCTION("""COMPUTED_VALUE"""),1.0)</f>
        <v>1</v>
      </c>
      <c r="O3436" s="4" t="str">
        <f>IFERROR(__xludf.DUMMYFUNCTION("""COMPUTED_VALUE"""),"Saipos Serviços De Software")</f>
        <v>Saipos Serviços De Software</v>
      </c>
      <c r="P3436" s="33">
        <f>IFERROR(__xludf.DUMMYFUNCTION("""COMPUTED_VALUE"""),1.0)</f>
        <v>1</v>
      </c>
      <c r="Q3436" s="4" t="str">
        <f>IFERROR(__xludf.DUMMYFUNCTION("""COMPUTED_VALUE"""),"Saipos Serviços De Software")</f>
        <v>Saipos Serviços De Software</v>
      </c>
      <c r="R3436" s="33">
        <f>IFERROR(__xludf.DUMMYFUNCTION("""COMPUTED_VALUE"""),1.0)</f>
        <v>1</v>
      </c>
      <c r="S3436" s="4" t="str">
        <f>IFERROR(__xludf.DUMMYFUNCTION("""COMPUTED_VALUE"""),"Saipos Serviços De Software")</f>
        <v>Saipos Serviços De Software</v>
      </c>
      <c r="T3436" s="33">
        <f>IFERROR(__xludf.DUMMYFUNCTION("""COMPUTED_VALUE"""),1.0)</f>
        <v>1</v>
      </c>
      <c r="U3436" s="4" t="str">
        <f>IFERROR(__xludf.DUMMYFUNCTION("""COMPUTED_VALUE"""),"Saipos Serviços De Software")</f>
        <v>Saipos Serviços De Software</v>
      </c>
      <c r="V3436" s="33">
        <f>IFERROR(__xludf.DUMMYFUNCTION("""COMPUTED_VALUE"""),1.0)</f>
        <v>1</v>
      </c>
      <c r="W3436" s="4" t="str">
        <f>IFERROR(__xludf.DUMMYFUNCTION("""COMPUTED_VALUE"""),"Saipos Serviços De Software")</f>
        <v>Saipos Serviços De Software</v>
      </c>
      <c r="X3436" s="33">
        <f>IFERROR(__xludf.DUMMYFUNCTION("""COMPUTED_VALUE"""),1.0)</f>
        <v>1</v>
      </c>
    </row>
    <row r="3437">
      <c r="K3437" s="4" t="str">
        <f>IFERROR(__xludf.DUMMYFUNCTION("""COMPUTED_VALUE"""),"FOGUEIRO STEAKHOUSE")</f>
        <v>FOGUEIRO STEAKHOUSE</v>
      </c>
      <c r="L3437" s="32">
        <f>IFERROR(__xludf.DUMMYFUNCTION("""COMPUTED_VALUE"""),3.0)</f>
        <v>3</v>
      </c>
      <c r="M3437" s="4" t="str">
        <f>IFERROR(__xludf.DUMMYFUNCTION("""COMPUTED_VALUE"""),"Vuca Solution")</f>
        <v>Vuca Solution</v>
      </c>
      <c r="N3437" s="33">
        <f>IFERROR(__xludf.DUMMYFUNCTION("""COMPUTED_VALUE"""),0.6666666666666666)</f>
        <v>0.6666666667</v>
      </c>
      <c r="O3437" s="4" t="str">
        <f>IFERROR(__xludf.DUMMYFUNCTION("""COMPUTED_VALUE"""),"Vuca Solution")</f>
        <v>Vuca Solution</v>
      </c>
      <c r="P3437" s="33">
        <f>IFERROR(__xludf.DUMMYFUNCTION("""COMPUTED_VALUE"""),0.6666666666666666)</f>
        <v>0.6666666667</v>
      </c>
      <c r="Q3437" s="4" t="str">
        <f>IFERROR(__xludf.DUMMYFUNCTION("""COMPUTED_VALUE"""),"Vuca Solution")</f>
        <v>Vuca Solution</v>
      </c>
      <c r="R3437" s="33">
        <f>IFERROR(__xludf.DUMMYFUNCTION("""COMPUTED_VALUE"""),0.6666666666666666)</f>
        <v>0.6666666667</v>
      </c>
      <c r="S3437" s="4" t="str">
        <f>IFERROR(__xludf.DUMMYFUNCTION("""COMPUTED_VALUE"""),"Vuca Solution")</f>
        <v>Vuca Solution</v>
      </c>
      <c r="T3437" s="33">
        <f>IFERROR(__xludf.DUMMYFUNCTION("""COMPUTED_VALUE"""),0.6666666666666666)</f>
        <v>0.6666666667</v>
      </c>
      <c r="U3437" s="4" t="str">
        <f>IFERROR(__xludf.DUMMYFUNCTION("""COMPUTED_VALUE"""),"Vuca Solution")</f>
        <v>Vuca Solution</v>
      </c>
      <c r="V3437" s="33">
        <f>IFERROR(__xludf.DUMMYFUNCTION("""COMPUTED_VALUE"""),0.6666666666666666)</f>
        <v>0.6666666667</v>
      </c>
      <c r="W3437" s="4" t="str">
        <f>IFERROR(__xludf.DUMMYFUNCTION("""COMPUTED_VALUE"""),"Vuca Solution")</f>
        <v>Vuca Solution</v>
      </c>
      <c r="X3437" s="33">
        <f>IFERROR(__xludf.DUMMYFUNCTION("""COMPUTED_VALUE"""),0.6666666666666666)</f>
        <v>0.6666666667</v>
      </c>
    </row>
    <row r="3438">
      <c r="K3438" s="4" t="str">
        <f>IFERROR(__xludf.DUMMYFUNCTION("""COMPUTED_VALUE"""),"FOME DE FILE")</f>
        <v>FOME DE FILE</v>
      </c>
      <c r="L3438" s="32">
        <f>IFERROR(__xludf.DUMMYFUNCTION("""COMPUTED_VALUE"""),3.0)</f>
        <v>3</v>
      </c>
      <c r="M3438" s="4" t="str">
        <f>IFERROR(__xludf.DUMMYFUNCTION("""COMPUTED_VALUE"""),"Opdv")</f>
        <v>Opdv</v>
      </c>
      <c r="N3438" s="33">
        <f>IFERROR(__xludf.DUMMYFUNCTION("""COMPUTED_VALUE"""),1.0)</f>
        <v>1</v>
      </c>
      <c r="O3438" s="4" t="str">
        <f>IFERROR(__xludf.DUMMYFUNCTION("""COMPUTED_VALUE"""),"Opdv")</f>
        <v>Opdv</v>
      </c>
      <c r="P3438" s="33">
        <f>IFERROR(__xludf.DUMMYFUNCTION("""COMPUTED_VALUE"""),1.0)</f>
        <v>1</v>
      </c>
      <c r="Q3438" s="4" t="str">
        <f>IFERROR(__xludf.DUMMYFUNCTION("""COMPUTED_VALUE"""),"Opdv")</f>
        <v>Opdv</v>
      </c>
      <c r="R3438" s="33">
        <f>IFERROR(__xludf.DUMMYFUNCTION("""COMPUTED_VALUE"""),1.0)</f>
        <v>1</v>
      </c>
      <c r="S3438" s="4" t="str">
        <f>IFERROR(__xludf.DUMMYFUNCTION("""COMPUTED_VALUE"""),"Opdv")</f>
        <v>Opdv</v>
      </c>
      <c r="T3438" s="33">
        <f>IFERROR(__xludf.DUMMYFUNCTION("""COMPUTED_VALUE"""),1.0)</f>
        <v>1</v>
      </c>
      <c r="U3438" s="4" t="str">
        <f>IFERROR(__xludf.DUMMYFUNCTION("""COMPUTED_VALUE"""),"Opdv")</f>
        <v>Opdv</v>
      </c>
      <c r="V3438" s="33">
        <f>IFERROR(__xludf.DUMMYFUNCTION("""COMPUTED_VALUE"""),1.0)</f>
        <v>1</v>
      </c>
      <c r="W3438" s="4" t="str">
        <f>IFERROR(__xludf.DUMMYFUNCTION("""COMPUTED_VALUE"""),"Opdv")</f>
        <v>Opdv</v>
      </c>
      <c r="X3438" s="33">
        <f>IFERROR(__xludf.DUMMYFUNCTION("""COMPUTED_VALUE"""),1.0)</f>
        <v>1</v>
      </c>
    </row>
    <row r="3439">
      <c r="K3439" s="4" t="str">
        <f>IFERROR(__xludf.DUMMYFUNCTION("""COMPUTED_VALUE"""),"FONTE LEONE")</f>
        <v>FONTE LEONE</v>
      </c>
      <c r="L3439" s="32">
        <f>IFERROR(__xludf.DUMMYFUNCTION("""COMPUTED_VALUE"""),3.0)</f>
        <v>3</v>
      </c>
      <c r="M3439" s="4" t="str">
        <f>IFERROR(__xludf.DUMMYFUNCTION("""COMPUTED_VALUE"""),"Ncr")</f>
        <v>Ncr</v>
      </c>
      <c r="N3439" s="33">
        <f>IFERROR(__xludf.DUMMYFUNCTION("""COMPUTED_VALUE"""),1.0)</f>
        <v>1</v>
      </c>
      <c r="O3439" s="4" t="str">
        <f>IFERROR(__xludf.DUMMYFUNCTION("""COMPUTED_VALUE"""),"Ncr")</f>
        <v>Ncr</v>
      </c>
      <c r="P3439" s="33">
        <f>IFERROR(__xludf.DUMMYFUNCTION("""COMPUTED_VALUE"""),1.0)</f>
        <v>1</v>
      </c>
      <c r="Q3439" s="4" t="str">
        <f>IFERROR(__xludf.DUMMYFUNCTION("""COMPUTED_VALUE"""),"Ncr")</f>
        <v>Ncr</v>
      </c>
      <c r="R3439" s="33">
        <f>IFERROR(__xludf.DUMMYFUNCTION("""COMPUTED_VALUE"""),1.0)</f>
        <v>1</v>
      </c>
      <c r="S3439" s="4" t="str">
        <f>IFERROR(__xludf.DUMMYFUNCTION("""COMPUTED_VALUE"""),"Ncr")</f>
        <v>Ncr</v>
      </c>
      <c r="T3439" s="33">
        <f>IFERROR(__xludf.DUMMYFUNCTION("""COMPUTED_VALUE"""),1.0)</f>
        <v>1</v>
      </c>
      <c r="U3439" s="4" t="str">
        <f>IFERROR(__xludf.DUMMYFUNCTION("""COMPUTED_VALUE"""),"Ncr")</f>
        <v>Ncr</v>
      </c>
      <c r="V3439" s="33">
        <f>IFERROR(__xludf.DUMMYFUNCTION("""COMPUTED_VALUE"""),1.0)</f>
        <v>1</v>
      </c>
      <c r="W3439" s="4" t="str">
        <f>IFERROR(__xludf.DUMMYFUNCTION("""COMPUTED_VALUE"""),"Ncr")</f>
        <v>Ncr</v>
      </c>
      <c r="X3439" s="33">
        <f>IFERROR(__xludf.DUMMYFUNCTION("""COMPUTED_VALUE"""),1.0)</f>
        <v>1</v>
      </c>
    </row>
    <row r="3440">
      <c r="K3440" s="4" t="str">
        <f>IFERROR(__xludf.DUMMYFUNCTION("""COMPUTED_VALUE"""),"FOOD CENTER")</f>
        <v>FOOD CENTER</v>
      </c>
      <c r="L3440" s="32">
        <f>IFERROR(__xludf.DUMMYFUNCTION("""COMPUTED_VALUE"""),3.0)</f>
        <v>3</v>
      </c>
      <c r="M3440" s="4" t="str">
        <f>IFERROR(__xludf.DUMMYFUNCTION("""COMPUTED_VALUE"""),"Saipos Serviços De Software")</f>
        <v>Saipos Serviços De Software</v>
      </c>
      <c r="N3440" s="33">
        <f>IFERROR(__xludf.DUMMYFUNCTION("""COMPUTED_VALUE"""),1.0)</f>
        <v>1</v>
      </c>
      <c r="O3440" s="4" t="str">
        <f>IFERROR(__xludf.DUMMYFUNCTION("""COMPUTED_VALUE"""),"Saipos Serviços De Software")</f>
        <v>Saipos Serviços De Software</v>
      </c>
      <c r="P3440" s="33">
        <f>IFERROR(__xludf.DUMMYFUNCTION("""COMPUTED_VALUE"""),1.0)</f>
        <v>1</v>
      </c>
      <c r="Q3440" s="4" t="str">
        <f>IFERROR(__xludf.DUMMYFUNCTION("""COMPUTED_VALUE"""),"Saipos Serviços De Software")</f>
        <v>Saipos Serviços De Software</v>
      </c>
      <c r="R3440" s="33">
        <f>IFERROR(__xludf.DUMMYFUNCTION("""COMPUTED_VALUE"""),1.0)</f>
        <v>1</v>
      </c>
      <c r="S3440" s="4" t="str">
        <f>IFERROR(__xludf.DUMMYFUNCTION("""COMPUTED_VALUE"""),"Saipos Serviços De Software")</f>
        <v>Saipos Serviços De Software</v>
      </c>
      <c r="T3440" s="33">
        <f>IFERROR(__xludf.DUMMYFUNCTION("""COMPUTED_VALUE"""),1.0)</f>
        <v>1</v>
      </c>
      <c r="U3440" s="4" t="str">
        <f>IFERROR(__xludf.DUMMYFUNCTION("""COMPUTED_VALUE"""),"Saipos Serviços De Software")</f>
        <v>Saipos Serviços De Software</v>
      </c>
      <c r="V3440" s="33">
        <f>IFERROR(__xludf.DUMMYFUNCTION("""COMPUTED_VALUE"""),1.0)</f>
        <v>1</v>
      </c>
      <c r="W3440" s="4" t="str">
        <f>IFERROR(__xludf.DUMMYFUNCTION("""COMPUTED_VALUE"""),"Saipos Serviços De Software")</f>
        <v>Saipos Serviços De Software</v>
      </c>
      <c r="X3440" s="33">
        <f>IFERROR(__xludf.DUMMYFUNCTION("""COMPUTED_VALUE"""),1.0)</f>
        <v>1</v>
      </c>
    </row>
    <row r="3441">
      <c r="K3441" s="4" t="str">
        <f>IFERROR(__xludf.DUMMYFUNCTION("""COMPUTED_VALUE"""),"FOOD HOUSE IGUARIAS DE RUA")</f>
        <v>FOOD HOUSE IGUARIAS DE RUA</v>
      </c>
      <c r="L3441" s="32">
        <f>IFERROR(__xludf.DUMMYFUNCTION("""COMPUTED_VALUE"""),3.0)</f>
        <v>3</v>
      </c>
      <c r="M3441" s="4" t="str">
        <f>IFERROR(__xludf.DUMMYFUNCTION("""COMPUTED_VALUE"""),"Consumer Soluções Em Tecnologia Ltda")</f>
        <v>Consumer Soluções Em Tecnologia Ltda</v>
      </c>
      <c r="N3441" s="33">
        <f>IFERROR(__xludf.DUMMYFUNCTION("""COMPUTED_VALUE"""),1.0)</f>
        <v>1</v>
      </c>
      <c r="O3441" s="4" t="str">
        <f>IFERROR(__xludf.DUMMYFUNCTION("""COMPUTED_VALUE"""),"Consumer Soluções Em Tecnologia Ltda")</f>
        <v>Consumer Soluções Em Tecnologia Ltda</v>
      </c>
      <c r="P3441" s="33">
        <f>IFERROR(__xludf.DUMMYFUNCTION("""COMPUTED_VALUE"""),0.6666666666666666)</f>
        <v>0.6666666667</v>
      </c>
      <c r="Q3441" s="4" t="str">
        <f>IFERROR(__xludf.DUMMYFUNCTION("""COMPUTED_VALUE"""),"Consumer Soluções Em Tecnologia Ltda")</f>
        <v>Consumer Soluções Em Tecnologia Ltda</v>
      </c>
      <c r="R3441" s="33">
        <f>IFERROR(__xludf.DUMMYFUNCTION("""COMPUTED_VALUE"""),0.6666666666666666)</f>
        <v>0.6666666667</v>
      </c>
      <c r="S3441" s="4" t="str">
        <f>IFERROR(__xludf.DUMMYFUNCTION("""COMPUTED_VALUE"""),"Consumer Soluções Em Tecnologia Ltda")</f>
        <v>Consumer Soluções Em Tecnologia Ltda</v>
      </c>
      <c r="T3441" s="33">
        <f>IFERROR(__xludf.DUMMYFUNCTION("""COMPUTED_VALUE"""),0.6666666666666666)</f>
        <v>0.6666666667</v>
      </c>
      <c r="U3441" s="4" t="str">
        <f>IFERROR(__xludf.DUMMYFUNCTION("""COMPUTED_VALUE"""),"Consumer Soluções Em Tecnologia Ltda")</f>
        <v>Consumer Soluções Em Tecnologia Ltda</v>
      </c>
      <c r="V3441" s="33">
        <f>IFERROR(__xludf.DUMMYFUNCTION("""COMPUTED_VALUE"""),1.0)</f>
        <v>1</v>
      </c>
      <c r="W3441" s="4" t="str">
        <f>IFERROR(__xludf.DUMMYFUNCTION("""COMPUTED_VALUE"""),"Consumer Soluções Em Tecnologia Ltda")</f>
        <v>Consumer Soluções Em Tecnologia Ltda</v>
      </c>
      <c r="X3441" s="33">
        <f>IFERROR(__xludf.DUMMYFUNCTION("""COMPUTED_VALUE"""),0.6666666666666666)</f>
        <v>0.6666666667</v>
      </c>
    </row>
    <row r="3442">
      <c r="K3442" s="4" t="str">
        <f>IFERROR(__xludf.DUMMYFUNCTION("""COMPUTED_VALUE"""),"FOOD PARK SANTO ANDRE")</f>
        <v>FOOD PARK SANTO ANDRE</v>
      </c>
      <c r="L3442" s="32">
        <f>IFERROR(__xludf.DUMMYFUNCTION("""COMPUTED_VALUE"""),3.0)</f>
        <v>3</v>
      </c>
      <c r="M3442" s="4" t="str">
        <f>IFERROR(__xludf.DUMMYFUNCTION("""COMPUTED_VALUE"""),"Saipos Serviços De Software")</f>
        <v>Saipos Serviços De Software</v>
      </c>
      <c r="N3442" s="33">
        <f>IFERROR(__xludf.DUMMYFUNCTION("""COMPUTED_VALUE"""),1.0)</f>
        <v>1</v>
      </c>
      <c r="O3442" s="4" t="str">
        <f>IFERROR(__xludf.DUMMYFUNCTION("""COMPUTED_VALUE"""),"Saipos Serviços De Software")</f>
        <v>Saipos Serviços De Software</v>
      </c>
      <c r="P3442" s="33">
        <f>IFERROR(__xludf.DUMMYFUNCTION("""COMPUTED_VALUE"""),1.0)</f>
        <v>1</v>
      </c>
      <c r="Q3442" s="4" t="str">
        <f>IFERROR(__xludf.DUMMYFUNCTION("""COMPUTED_VALUE"""),"Saipos Serviços De Software")</f>
        <v>Saipos Serviços De Software</v>
      </c>
      <c r="R3442" s="33">
        <f>IFERROR(__xludf.DUMMYFUNCTION("""COMPUTED_VALUE"""),1.0)</f>
        <v>1</v>
      </c>
      <c r="S3442" s="4" t="str">
        <f>IFERROR(__xludf.DUMMYFUNCTION("""COMPUTED_VALUE"""),"Saipos Serviços De Software")</f>
        <v>Saipos Serviços De Software</v>
      </c>
      <c r="T3442" s="33">
        <f>IFERROR(__xludf.DUMMYFUNCTION("""COMPUTED_VALUE"""),1.0)</f>
        <v>1</v>
      </c>
      <c r="U3442" s="4" t="str">
        <f>IFERROR(__xludf.DUMMYFUNCTION("""COMPUTED_VALUE"""),"Saipos Serviços De Software")</f>
        <v>Saipos Serviços De Software</v>
      </c>
      <c r="V3442" s="33">
        <f>IFERROR(__xludf.DUMMYFUNCTION("""COMPUTED_VALUE"""),1.0)</f>
        <v>1</v>
      </c>
      <c r="W3442" s="4" t="str">
        <f>IFERROR(__xludf.DUMMYFUNCTION("""COMPUTED_VALUE"""),"Saipos Serviços De Software")</f>
        <v>Saipos Serviços De Software</v>
      </c>
      <c r="X3442" s="33">
        <f>IFERROR(__xludf.DUMMYFUNCTION("""COMPUTED_VALUE"""),1.0)</f>
        <v>1</v>
      </c>
    </row>
    <row r="3443">
      <c r="K3443" s="4" t="str">
        <f>IFERROR(__xludf.DUMMYFUNCTION("""COMPUTED_VALUE"""),"FORMAGGIO 43 - FORNERIA")</f>
        <v>FORMAGGIO 43 - FORNERIA</v>
      </c>
      <c r="L3443" s="32">
        <f>IFERROR(__xludf.DUMMYFUNCTION("""COMPUTED_VALUE"""),3.0)</f>
        <v>3</v>
      </c>
      <c r="M3443" s="4" t="str">
        <f>IFERROR(__xludf.DUMMYFUNCTION("""COMPUTED_VALUE"""),"Menew - Linx")</f>
        <v>Menew - Linx</v>
      </c>
      <c r="N3443" s="33">
        <f>IFERROR(__xludf.DUMMYFUNCTION("""COMPUTED_VALUE"""),1.0)</f>
        <v>1</v>
      </c>
      <c r="O3443" s="4" t="str">
        <f>IFERROR(__xludf.DUMMYFUNCTION("""COMPUTED_VALUE"""),"Menew - Linx")</f>
        <v>Menew - Linx</v>
      </c>
      <c r="P3443" s="33">
        <f>IFERROR(__xludf.DUMMYFUNCTION("""COMPUTED_VALUE"""),1.0)</f>
        <v>1</v>
      </c>
      <c r="Q3443" s="4" t="str">
        <f>IFERROR(__xludf.DUMMYFUNCTION("""COMPUTED_VALUE"""),"Menew - Linx")</f>
        <v>Menew - Linx</v>
      </c>
      <c r="R3443" s="33">
        <f>IFERROR(__xludf.DUMMYFUNCTION("""COMPUTED_VALUE"""),1.0)</f>
        <v>1</v>
      </c>
      <c r="S3443" s="4" t="str">
        <f>IFERROR(__xludf.DUMMYFUNCTION("""COMPUTED_VALUE"""),"Menew - Linx")</f>
        <v>Menew - Linx</v>
      </c>
      <c r="T3443" s="33">
        <f>IFERROR(__xludf.DUMMYFUNCTION("""COMPUTED_VALUE"""),1.0)</f>
        <v>1</v>
      </c>
      <c r="U3443" s="4" t="str">
        <f>IFERROR(__xludf.DUMMYFUNCTION("""COMPUTED_VALUE"""),"Menew - Linx")</f>
        <v>Menew - Linx</v>
      </c>
      <c r="V3443" s="33">
        <f>IFERROR(__xludf.DUMMYFUNCTION("""COMPUTED_VALUE"""),1.0)</f>
        <v>1</v>
      </c>
      <c r="W3443" s="4" t="str">
        <f>IFERROR(__xludf.DUMMYFUNCTION("""COMPUTED_VALUE"""),"Menew - Linx")</f>
        <v>Menew - Linx</v>
      </c>
      <c r="X3443" s="33">
        <f>IFERROR(__xludf.DUMMYFUNCTION("""COMPUTED_VALUE"""),1.0)</f>
        <v>1</v>
      </c>
    </row>
    <row r="3444">
      <c r="K3444" s="4" t="str">
        <f>IFERROR(__xludf.DUMMYFUNCTION("""COMPUTED_VALUE"""),"FORNERIA CATARINA - CONTA GRUPO")</f>
        <v>FORNERIA CATARINA - CONTA GRUPO</v>
      </c>
      <c r="L3444" s="32">
        <f>IFERROR(__xludf.DUMMYFUNCTION("""COMPUTED_VALUE"""),3.0)</f>
        <v>3</v>
      </c>
      <c r="M3444" s="4" t="str">
        <f>IFERROR(__xludf.DUMMYFUNCTION("""COMPUTED_VALUE"""),"Stone Co.")</f>
        <v>Stone Co.</v>
      </c>
      <c r="N3444" s="33">
        <f>IFERROR(__xludf.DUMMYFUNCTION("""COMPUTED_VALUE"""),1.0)</f>
        <v>1</v>
      </c>
      <c r="O3444" s="4" t="str">
        <f>IFERROR(__xludf.DUMMYFUNCTION("""COMPUTED_VALUE"""),"Stone Co.")</f>
        <v>Stone Co.</v>
      </c>
      <c r="P3444" s="33">
        <f>IFERROR(__xludf.DUMMYFUNCTION("""COMPUTED_VALUE"""),1.0)</f>
        <v>1</v>
      </c>
      <c r="Q3444" s="4" t="str">
        <f>IFERROR(__xludf.DUMMYFUNCTION("""COMPUTED_VALUE"""),"Stone Co.")</f>
        <v>Stone Co.</v>
      </c>
      <c r="R3444" s="33">
        <f>IFERROR(__xludf.DUMMYFUNCTION("""COMPUTED_VALUE"""),1.0)</f>
        <v>1</v>
      </c>
      <c r="S3444" s="4" t="str">
        <f>IFERROR(__xludf.DUMMYFUNCTION("""COMPUTED_VALUE"""),"Stone Co.")</f>
        <v>Stone Co.</v>
      </c>
      <c r="T3444" s="33">
        <f>IFERROR(__xludf.DUMMYFUNCTION("""COMPUTED_VALUE"""),1.0)</f>
        <v>1</v>
      </c>
      <c r="U3444" s="4" t="str">
        <f>IFERROR(__xludf.DUMMYFUNCTION("""COMPUTED_VALUE"""),"Stone Co.")</f>
        <v>Stone Co.</v>
      </c>
      <c r="V3444" s="33">
        <f>IFERROR(__xludf.DUMMYFUNCTION("""COMPUTED_VALUE"""),1.0)</f>
        <v>1</v>
      </c>
      <c r="W3444" s="4" t="str">
        <f>IFERROR(__xludf.DUMMYFUNCTION("""COMPUTED_VALUE"""),"Stone Co.")</f>
        <v>Stone Co.</v>
      </c>
      <c r="X3444" s="33">
        <f>IFERROR(__xludf.DUMMYFUNCTION("""COMPUTED_VALUE"""),0.6666666666666666)</f>
        <v>0.6666666667</v>
      </c>
    </row>
    <row r="3445">
      <c r="K3445" s="4" t="str">
        <f>IFERROR(__xludf.DUMMYFUNCTION("""COMPUTED_VALUE"""),"FORNERIA SAN LAZZARO")</f>
        <v>FORNERIA SAN LAZZARO</v>
      </c>
      <c r="L3445" s="32">
        <f>IFERROR(__xludf.DUMMYFUNCTION("""COMPUTED_VALUE"""),3.0)</f>
        <v>3</v>
      </c>
      <c r="M3445" s="4" t="str">
        <f>IFERROR(__xludf.DUMMYFUNCTION("""COMPUTED_VALUE"""),"Saipos Serviços De Software")</f>
        <v>Saipos Serviços De Software</v>
      </c>
      <c r="N3445" s="33">
        <f>IFERROR(__xludf.DUMMYFUNCTION("""COMPUTED_VALUE"""),1.0)</f>
        <v>1</v>
      </c>
      <c r="O3445" s="4" t="str">
        <f>IFERROR(__xludf.DUMMYFUNCTION("""COMPUTED_VALUE"""),"Saipos Serviços De Software")</f>
        <v>Saipos Serviços De Software</v>
      </c>
      <c r="P3445" s="33">
        <f>IFERROR(__xludf.DUMMYFUNCTION("""COMPUTED_VALUE"""),1.0)</f>
        <v>1</v>
      </c>
      <c r="Q3445" s="4" t="str">
        <f>IFERROR(__xludf.DUMMYFUNCTION("""COMPUTED_VALUE"""),"Saipos Serviços De Software")</f>
        <v>Saipos Serviços De Software</v>
      </c>
      <c r="R3445" s="33">
        <f>IFERROR(__xludf.DUMMYFUNCTION("""COMPUTED_VALUE"""),1.0)</f>
        <v>1</v>
      </c>
      <c r="S3445" s="4" t="str">
        <f>IFERROR(__xludf.DUMMYFUNCTION("""COMPUTED_VALUE"""),"Saipos Serviços De Software")</f>
        <v>Saipos Serviços De Software</v>
      </c>
      <c r="T3445" s="33">
        <f>IFERROR(__xludf.DUMMYFUNCTION("""COMPUTED_VALUE"""),1.0)</f>
        <v>1</v>
      </c>
      <c r="U3445" s="4" t="str">
        <f>IFERROR(__xludf.DUMMYFUNCTION("""COMPUTED_VALUE"""),"Saipos Serviços De Software")</f>
        <v>Saipos Serviços De Software</v>
      </c>
      <c r="V3445" s="33">
        <f>IFERROR(__xludf.DUMMYFUNCTION("""COMPUTED_VALUE"""),1.0)</f>
        <v>1</v>
      </c>
      <c r="W3445" s="4" t="str">
        <f>IFERROR(__xludf.DUMMYFUNCTION("""COMPUTED_VALUE"""),"Saipos Serviços De Software")</f>
        <v>Saipos Serviços De Software</v>
      </c>
      <c r="X3445" s="33">
        <f>IFERROR(__xludf.DUMMYFUNCTION("""COMPUTED_VALUE"""),1.0)</f>
        <v>1</v>
      </c>
    </row>
    <row r="3446">
      <c r="K3446" s="4" t="str">
        <f>IFERROR(__xludf.DUMMYFUNCTION("""COMPUTED_VALUE"""),"FRANGO ATROPELADO BRASA DORO")</f>
        <v>FRANGO ATROPELADO BRASA DORO</v>
      </c>
      <c r="L3446" s="32">
        <f>IFERROR(__xludf.DUMMYFUNCTION("""COMPUTED_VALUE"""),3.0)</f>
        <v>3</v>
      </c>
      <c r="M3446" s="4" t="str">
        <f>IFERROR(__xludf.DUMMYFUNCTION("""COMPUTED_VALUE"""),"Swfast Sistemas")</f>
        <v>Swfast Sistemas</v>
      </c>
      <c r="N3446" s="33">
        <f>IFERROR(__xludf.DUMMYFUNCTION("""COMPUTED_VALUE"""),1.0)</f>
        <v>1</v>
      </c>
      <c r="O3446" s="4" t="str">
        <f>IFERROR(__xludf.DUMMYFUNCTION("""COMPUTED_VALUE"""),"Swfast Sistemas")</f>
        <v>Swfast Sistemas</v>
      </c>
      <c r="P3446" s="33">
        <f>IFERROR(__xludf.DUMMYFUNCTION("""COMPUTED_VALUE"""),1.0)</f>
        <v>1</v>
      </c>
      <c r="Q3446" s="4" t="str">
        <f>IFERROR(__xludf.DUMMYFUNCTION("""COMPUTED_VALUE"""),"Swfast Sistemas")</f>
        <v>Swfast Sistemas</v>
      </c>
      <c r="R3446" s="33">
        <f>IFERROR(__xludf.DUMMYFUNCTION("""COMPUTED_VALUE"""),1.0)</f>
        <v>1</v>
      </c>
      <c r="S3446" s="4" t="str">
        <f>IFERROR(__xludf.DUMMYFUNCTION("""COMPUTED_VALUE"""),"Swfast Sistemas")</f>
        <v>Swfast Sistemas</v>
      </c>
      <c r="T3446" s="33">
        <f>IFERROR(__xludf.DUMMYFUNCTION("""COMPUTED_VALUE"""),1.0)</f>
        <v>1</v>
      </c>
      <c r="U3446" s="4" t="str">
        <f>IFERROR(__xludf.DUMMYFUNCTION("""COMPUTED_VALUE"""),"Swfast Sistemas")</f>
        <v>Swfast Sistemas</v>
      </c>
      <c r="V3446" s="33">
        <f>IFERROR(__xludf.DUMMYFUNCTION("""COMPUTED_VALUE"""),1.0)</f>
        <v>1</v>
      </c>
      <c r="W3446" s="4" t="str">
        <f>IFERROR(__xludf.DUMMYFUNCTION("""COMPUTED_VALUE"""),"Swfast Sistemas")</f>
        <v>Swfast Sistemas</v>
      </c>
      <c r="X3446" s="33">
        <f>IFERROR(__xludf.DUMMYFUNCTION("""COMPUTED_VALUE"""),1.0)</f>
        <v>1</v>
      </c>
    </row>
    <row r="3447">
      <c r="K3447" s="4" t="str">
        <f>IFERROR(__xludf.DUMMYFUNCTION("""COMPUTED_VALUE"""),"FRANGO OFC")</f>
        <v>FRANGO OFC</v>
      </c>
      <c r="L3447" s="32">
        <f>IFERROR(__xludf.DUMMYFUNCTION("""COMPUTED_VALUE"""),3.0)</f>
        <v>3</v>
      </c>
      <c r="M3447" s="4" t="str">
        <f>IFERROR(__xludf.DUMMYFUNCTION("""COMPUTED_VALUE"""),"null")</f>
        <v>null</v>
      </c>
      <c r="N3447" s="33">
        <f>IFERROR(__xludf.DUMMYFUNCTION("""COMPUTED_VALUE"""),0.6666666666666666)</f>
        <v>0.6666666667</v>
      </c>
      <c r="O3447" s="4" t="str">
        <f>IFERROR(__xludf.DUMMYFUNCTION("""COMPUTED_VALUE"""),"null")</f>
        <v>null</v>
      </c>
      <c r="P3447" s="33">
        <f>IFERROR(__xludf.DUMMYFUNCTION("""COMPUTED_VALUE"""),0.6666666666666666)</f>
        <v>0.6666666667</v>
      </c>
      <c r="Q3447" s="4" t="str">
        <f>IFERROR(__xludf.DUMMYFUNCTION("""COMPUTED_VALUE"""),"null")</f>
        <v>null</v>
      </c>
      <c r="R3447" s="33">
        <f>IFERROR(__xludf.DUMMYFUNCTION("""COMPUTED_VALUE"""),0.6666666666666666)</f>
        <v>0.6666666667</v>
      </c>
      <c r="S3447" s="4" t="str">
        <f>IFERROR(__xludf.DUMMYFUNCTION("""COMPUTED_VALUE"""),"Yooga")</f>
        <v>Yooga</v>
      </c>
      <c r="T3447" s="33">
        <f>IFERROR(__xludf.DUMMYFUNCTION("""COMPUTED_VALUE"""),0.6666666666666666)</f>
        <v>0.6666666667</v>
      </c>
      <c r="U3447" s="4" t="str">
        <f>IFERROR(__xludf.DUMMYFUNCTION("""COMPUTED_VALUE"""),"Yooga")</f>
        <v>Yooga</v>
      </c>
      <c r="V3447" s="33">
        <f>IFERROR(__xludf.DUMMYFUNCTION("""COMPUTED_VALUE"""),0.6666666666666666)</f>
        <v>0.6666666667</v>
      </c>
      <c r="W3447" s="4" t="str">
        <f>IFERROR(__xludf.DUMMYFUNCTION("""COMPUTED_VALUE"""),"null")</f>
        <v>null</v>
      </c>
      <c r="X3447" s="33">
        <f>IFERROR(__xludf.DUMMYFUNCTION("""COMPUTED_VALUE"""),1.0)</f>
        <v>1</v>
      </c>
    </row>
    <row r="3448">
      <c r="K3448" s="4" t="str">
        <f>IFERROR(__xludf.DUMMYFUNCTION("""COMPUTED_VALUE"""),"FRESTO MORUMBI - CLUBE PAINEIRAS")</f>
        <v>FRESTO MORUMBI - CLUBE PAINEIRAS</v>
      </c>
      <c r="L3448" s="32">
        <f>IFERROR(__xludf.DUMMYFUNCTION("""COMPUTED_VALUE"""),3.0)</f>
        <v>3</v>
      </c>
      <c r="M3448" s="4" t="str">
        <f>IFERROR(__xludf.DUMMYFUNCTION("""COMPUTED_VALUE"""),"Garcom Web")</f>
        <v>Garcom Web</v>
      </c>
      <c r="N3448" s="33">
        <f>IFERROR(__xludf.DUMMYFUNCTION("""COMPUTED_VALUE"""),0.6666666666666666)</f>
        <v>0.6666666667</v>
      </c>
      <c r="O3448" s="4" t="str">
        <f>IFERROR(__xludf.DUMMYFUNCTION("""COMPUTED_VALUE"""),"Garcom Web")</f>
        <v>Garcom Web</v>
      </c>
      <c r="P3448" s="33">
        <f>IFERROR(__xludf.DUMMYFUNCTION("""COMPUTED_VALUE"""),0.6666666666666666)</f>
        <v>0.6666666667</v>
      </c>
      <c r="Q3448" s="4" t="str">
        <f>IFERROR(__xludf.DUMMYFUNCTION("""COMPUTED_VALUE"""),"Garcom Web")</f>
        <v>Garcom Web</v>
      </c>
      <c r="R3448" s="33">
        <f>IFERROR(__xludf.DUMMYFUNCTION("""COMPUTED_VALUE"""),0.6666666666666666)</f>
        <v>0.6666666667</v>
      </c>
      <c r="S3448" s="4" t="str">
        <f>IFERROR(__xludf.DUMMYFUNCTION("""COMPUTED_VALUE"""),"Garcom Web")</f>
        <v>Garcom Web</v>
      </c>
      <c r="T3448" s="33">
        <f>IFERROR(__xludf.DUMMYFUNCTION("""COMPUTED_VALUE"""),0.6666666666666666)</f>
        <v>0.6666666667</v>
      </c>
      <c r="U3448" s="4" t="str">
        <f>IFERROR(__xludf.DUMMYFUNCTION("""COMPUTED_VALUE"""),"Garcom Web")</f>
        <v>Garcom Web</v>
      </c>
      <c r="V3448" s="33">
        <f>IFERROR(__xludf.DUMMYFUNCTION("""COMPUTED_VALUE"""),0.6666666666666666)</f>
        <v>0.6666666667</v>
      </c>
      <c r="W3448" s="4" t="str">
        <f>IFERROR(__xludf.DUMMYFUNCTION("""COMPUTED_VALUE"""),"Garcom Web")</f>
        <v>Garcom Web</v>
      </c>
      <c r="X3448" s="33">
        <f>IFERROR(__xludf.DUMMYFUNCTION("""COMPUTED_VALUE"""),0.6666666666666666)</f>
        <v>0.6666666667</v>
      </c>
    </row>
    <row r="3449">
      <c r="K3449" s="4" t="str">
        <f>IFERROR(__xludf.DUMMYFUNCTION("""COMPUTED_VALUE"""),"FREVO")</f>
        <v>FREVO</v>
      </c>
      <c r="L3449" s="32">
        <f>IFERROR(__xludf.DUMMYFUNCTION("""COMPUTED_VALUE"""),3.0)</f>
        <v>3</v>
      </c>
      <c r="M3449" s="4" t="str">
        <f>IFERROR(__xludf.DUMMYFUNCTION("""COMPUTED_VALUE"""),"Eclética Tecnologia")</f>
        <v>Eclética Tecnologia</v>
      </c>
      <c r="N3449" s="33">
        <f>IFERROR(__xludf.DUMMYFUNCTION("""COMPUTED_VALUE"""),1.0)</f>
        <v>1</v>
      </c>
      <c r="O3449" s="4" t="str">
        <f>IFERROR(__xludf.DUMMYFUNCTION("""COMPUTED_VALUE"""),"Eclética Tecnologia")</f>
        <v>Eclética Tecnologia</v>
      </c>
      <c r="P3449" s="33">
        <f>IFERROR(__xludf.DUMMYFUNCTION("""COMPUTED_VALUE"""),1.0)</f>
        <v>1</v>
      </c>
      <c r="Q3449" s="4" t="str">
        <f>IFERROR(__xludf.DUMMYFUNCTION("""COMPUTED_VALUE"""),"Eclética Tecnologia")</f>
        <v>Eclética Tecnologia</v>
      </c>
      <c r="R3449" s="33">
        <f>IFERROR(__xludf.DUMMYFUNCTION("""COMPUTED_VALUE"""),1.0)</f>
        <v>1</v>
      </c>
      <c r="S3449" s="4" t="str">
        <f>IFERROR(__xludf.DUMMYFUNCTION("""COMPUTED_VALUE"""),"Eclética Tecnologia")</f>
        <v>Eclética Tecnologia</v>
      </c>
      <c r="T3449" s="33">
        <f>IFERROR(__xludf.DUMMYFUNCTION("""COMPUTED_VALUE"""),1.0)</f>
        <v>1</v>
      </c>
      <c r="U3449" s="4" t="str">
        <f>IFERROR(__xludf.DUMMYFUNCTION("""COMPUTED_VALUE"""),"Eclética Tecnologia")</f>
        <v>Eclética Tecnologia</v>
      </c>
      <c r="V3449" s="33">
        <f>IFERROR(__xludf.DUMMYFUNCTION("""COMPUTED_VALUE"""),1.0)</f>
        <v>1</v>
      </c>
      <c r="W3449" s="4" t="str">
        <f>IFERROR(__xludf.DUMMYFUNCTION("""COMPUTED_VALUE"""),"Eclética Tecnologia")</f>
        <v>Eclética Tecnologia</v>
      </c>
      <c r="X3449" s="33">
        <f>IFERROR(__xludf.DUMMYFUNCTION("""COMPUTED_VALUE"""),1.0)</f>
        <v>1</v>
      </c>
    </row>
    <row r="3450">
      <c r="K3450" s="4" t="str">
        <f>IFERROR(__xludf.DUMMYFUNCTION("""COMPUTED_VALUE"""),"GRUPO FREVO")</f>
        <v>GRUPO FREVO</v>
      </c>
      <c r="L3450" s="32">
        <f>IFERROR(__xludf.DUMMYFUNCTION("""COMPUTED_VALUE"""),3.0)</f>
        <v>3</v>
      </c>
      <c r="M3450" s="4" t="str">
        <f>IFERROR(__xludf.DUMMYFUNCTION("""COMPUTED_VALUE"""),"Eclética Tecnologia")</f>
        <v>Eclética Tecnologia</v>
      </c>
      <c r="N3450" s="33">
        <f>IFERROR(__xludf.DUMMYFUNCTION("""COMPUTED_VALUE"""),1.0)</f>
        <v>1</v>
      </c>
      <c r="O3450" s="4" t="str">
        <f>IFERROR(__xludf.DUMMYFUNCTION("""COMPUTED_VALUE"""),"Eclética Tecnologia")</f>
        <v>Eclética Tecnologia</v>
      </c>
      <c r="P3450" s="33">
        <f>IFERROR(__xludf.DUMMYFUNCTION("""COMPUTED_VALUE"""),1.0)</f>
        <v>1</v>
      </c>
      <c r="Q3450" s="4" t="str">
        <f>IFERROR(__xludf.DUMMYFUNCTION("""COMPUTED_VALUE"""),"Eclética Tecnologia")</f>
        <v>Eclética Tecnologia</v>
      </c>
      <c r="R3450" s="33">
        <f>IFERROR(__xludf.DUMMYFUNCTION("""COMPUTED_VALUE"""),1.0)</f>
        <v>1</v>
      </c>
      <c r="S3450" s="4" t="str">
        <f>IFERROR(__xludf.DUMMYFUNCTION("""COMPUTED_VALUE"""),"Eclética Tecnologia")</f>
        <v>Eclética Tecnologia</v>
      </c>
      <c r="T3450" s="33">
        <f>IFERROR(__xludf.DUMMYFUNCTION("""COMPUTED_VALUE"""),1.0)</f>
        <v>1</v>
      </c>
      <c r="U3450" s="4" t="str">
        <f>IFERROR(__xludf.DUMMYFUNCTION("""COMPUTED_VALUE"""),"Eclética Tecnologia")</f>
        <v>Eclética Tecnologia</v>
      </c>
      <c r="V3450" s="33">
        <f>IFERROR(__xludf.DUMMYFUNCTION("""COMPUTED_VALUE"""),1.0)</f>
        <v>1</v>
      </c>
      <c r="W3450" s="4" t="str">
        <f>IFERROR(__xludf.DUMMYFUNCTION("""COMPUTED_VALUE"""),"Eclética Tecnologia")</f>
        <v>Eclética Tecnologia</v>
      </c>
      <c r="X3450" s="33">
        <f>IFERROR(__xludf.DUMMYFUNCTION("""COMPUTED_VALUE"""),1.0)</f>
        <v>1</v>
      </c>
    </row>
    <row r="3451">
      <c r="K3451" s="4" t="str">
        <f>IFERROR(__xludf.DUMMYFUNCTION("""COMPUTED_VALUE"""),"FROZEN FRUIT YOGURTERIA ACAI - MARCA")</f>
        <v>FROZEN FRUIT YOGURTERIA ACAI - MARCA</v>
      </c>
      <c r="L3451" s="32">
        <f>IFERROR(__xludf.DUMMYFUNCTION("""COMPUTED_VALUE"""),3.0)</f>
        <v>3</v>
      </c>
      <c r="M3451" s="4" t="str">
        <f>IFERROR(__xludf.DUMMYFUNCTION("""COMPUTED_VALUE"""),"Cardápio Web")</f>
        <v>Cardápio Web</v>
      </c>
      <c r="N3451" s="33">
        <f>IFERROR(__xludf.DUMMYFUNCTION("""COMPUTED_VALUE"""),1.0)</f>
        <v>1</v>
      </c>
      <c r="O3451" s="4" t="str">
        <f>IFERROR(__xludf.DUMMYFUNCTION("""COMPUTED_VALUE"""),"Cardápio Web")</f>
        <v>Cardápio Web</v>
      </c>
      <c r="P3451" s="33">
        <f>IFERROR(__xludf.DUMMYFUNCTION("""COMPUTED_VALUE"""),1.0)</f>
        <v>1</v>
      </c>
      <c r="Q3451" s="4" t="str">
        <f>IFERROR(__xludf.DUMMYFUNCTION("""COMPUTED_VALUE"""),"Cardápio Web")</f>
        <v>Cardápio Web</v>
      </c>
      <c r="R3451" s="33">
        <f>IFERROR(__xludf.DUMMYFUNCTION("""COMPUTED_VALUE"""),1.0)</f>
        <v>1</v>
      </c>
      <c r="S3451" s="4" t="str">
        <f>IFERROR(__xludf.DUMMYFUNCTION("""COMPUTED_VALUE"""),"Cardápio Web")</f>
        <v>Cardápio Web</v>
      </c>
      <c r="T3451" s="33">
        <f>IFERROR(__xludf.DUMMYFUNCTION("""COMPUTED_VALUE"""),1.0)</f>
        <v>1</v>
      </c>
      <c r="U3451" s="4" t="str">
        <f>IFERROR(__xludf.DUMMYFUNCTION("""COMPUTED_VALUE"""),"Cardápio Web")</f>
        <v>Cardápio Web</v>
      </c>
      <c r="V3451" s="33">
        <f>IFERROR(__xludf.DUMMYFUNCTION("""COMPUTED_VALUE"""),1.0)</f>
        <v>1</v>
      </c>
      <c r="W3451" s="4" t="str">
        <f>IFERROR(__xludf.DUMMYFUNCTION("""COMPUTED_VALUE"""),"Cardápio Web")</f>
        <v>Cardápio Web</v>
      </c>
      <c r="X3451" s="33">
        <f>IFERROR(__xludf.DUMMYFUNCTION("""COMPUTED_VALUE"""),1.0)</f>
        <v>1</v>
      </c>
    </row>
    <row r="3452">
      <c r="K3452" s="4" t="str">
        <f>IFERROR(__xludf.DUMMYFUNCTION("""COMPUTED_VALUE"""),"GALETERIA DUCHIQUINHO NATAL")</f>
        <v>GALETERIA DUCHIQUINHO NATAL</v>
      </c>
      <c r="L3452" s="32">
        <f>IFERROR(__xludf.DUMMYFUNCTION("""COMPUTED_VALUE"""),3.0)</f>
        <v>3</v>
      </c>
      <c r="M3452" s="4" t="str">
        <f>IFERROR(__xludf.DUMMYFUNCTION("""COMPUTED_VALUE"""),"Netcontroll Xmenu")</f>
        <v>Netcontroll Xmenu</v>
      </c>
      <c r="N3452" s="33">
        <f>IFERROR(__xludf.DUMMYFUNCTION("""COMPUTED_VALUE"""),1.0)</f>
        <v>1</v>
      </c>
      <c r="O3452" s="4" t="str">
        <f>IFERROR(__xludf.DUMMYFUNCTION("""COMPUTED_VALUE"""),"Netcontroll Xmenu")</f>
        <v>Netcontroll Xmenu</v>
      </c>
      <c r="P3452" s="33">
        <f>IFERROR(__xludf.DUMMYFUNCTION("""COMPUTED_VALUE"""),0.6666666666666666)</f>
        <v>0.6666666667</v>
      </c>
      <c r="Q3452" s="4" t="str">
        <f>IFERROR(__xludf.DUMMYFUNCTION("""COMPUTED_VALUE"""),"Netcontroll Xmenu")</f>
        <v>Netcontroll Xmenu</v>
      </c>
      <c r="R3452" s="33">
        <f>IFERROR(__xludf.DUMMYFUNCTION("""COMPUTED_VALUE"""),0.6666666666666666)</f>
        <v>0.6666666667</v>
      </c>
      <c r="S3452" s="4" t="str">
        <f>IFERROR(__xludf.DUMMYFUNCTION("""COMPUTED_VALUE"""),"Netcontroll Xmenu")</f>
        <v>Netcontroll Xmenu</v>
      </c>
      <c r="T3452" s="33">
        <f>IFERROR(__xludf.DUMMYFUNCTION("""COMPUTED_VALUE"""),0.6666666666666666)</f>
        <v>0.6666666667</v>
      </c>
      <c r="U3452" s="4" t="str">
        <f>IFERROR(__xludf.DUMMYFUNCTION("""COMPUTED_VALUE"""),"Netcontroll Xmenu")</f>
        <v>Netcontroll Xmenu</v>
      </c>
      <c r="V3452" s="33">
        <f>IFERROR(__xludf.DUMMYFUNCTION("""COMPUTED_VALUE"""),1.0)</f>
        <v>1</v>
      </c>
      <c r="W3452" s="4" t="str">
        <f>IFERROR(__xludf.DUMMYFUNCTION("""COMPUTED_VALUE"""),"Netcontroll Xmenu")</f>
        <v>Netcontroll Xmenu</v>
      </c>
      <c r="X3452" s="33">
        <f>IFERROR(__xludf.DUMMYFUNCTION("""COMPUTED_VALUE"""),0.6666666666666666)</f>
        <v>0.6666666667</v>
      </c>
    </row>
    <row r="3453">
      <c r="K3453" s="4" t="str">
        <f>IFERROR(__xludf.DUMMYFUNCTION("""COMPUTED_VALUE"""),"GALETERIA METROPOLIS")</f>
        <v>GALETERIA METROPOLIS</v>
      </c>
      <c r="L3453" s="32">
        <f>IFERROR(__xludf.DUMMYFUNCTION("""COMPUTED_VALUE"""),3.0)</f>
        <v>3</v>
      </c>
      <c r="M3453" s="4" t="str">
        <f>IFERROR(__xludf.DUMMYFUNCTION("""COMPUTED_VALUE"""),"Saipos Serviços De Software")</f>
        <v>Saipos Serviços De Software</v>
      </c>
      <c r="N3453" s="33">
        <f>IFERROR(__xludf.DUMMYFUNCTION("""COMPUTED_VALUE"""),0.6666666666666666)</f>
        <v>0.6666666667</v>
      </c>
      <c r="O3453" s="4" t="str">
        <f>IFERROR(__xludf.DUMMYFUNCTION("""COMPUTED_VALUE"""),"Saipos Serviços De Software")</f>
        <v>Saipos Serviços De Software</v>
      </c>
      <c r="P3453" s="33">
        <f>IFERROR(__xludf.DUMMYFUNCTION("""COMPUTED_VALUE"""),0.6666666666666666)</f>
        <v>0.6666666667</v>
      </c>
      <c r="Q3453" s="4" t="str">
        <f>IFERROR(__xludf.DUMMYFUNCTION("""COMPUTED_VALUE"""),"Saipos Serviços De Software")</f>
        <v>Saipos Serviços De Software</v>
      </c>
      <c r="R3453" s="33">
        <f>IFERROR(__xludf.DUMMYFUNCTION("""COMPUTED_VALUE"""),0.6666666666666666)</f>
        <v>0.6666666667</v>
      </c>
      <c r="S3453" s="4" t="str">
        <f>IFERROR(__xludf.DUMMYFUNCTION("""COMPUTED_VALUE"""),"Saipos Serviços De Software")</f>
        <v>Saipos Serviços De Software</v>
      </c>
      <c r="T3453" s="33">
        <f>IFERROR(__xludf.DUMMYFUNCTION("""COMPUTED_VALUE"""),0.6666666666666666)</f>
        <v>0.6666666667</v>
      </c>
      <c r="U3453" s="4" t="str">
        <f>IFERROR(__xludf.DUMMYFUNCTION("""COMPUTED_VALUE"""),"Saipos Serviços De Software")</f>
        <v>Saipos Serviços De Software</v>
      </c>
      <c r="V3453" s="33">
        <f>IFERROR(__xludf.DUMMYFUNCTION("""COMPUTED_VALUE"""),1.0)</f>
        <v>1</v>
      </c>
      <c r="W3453" s="4" t="str">
        <f>IFERROR(__xludf.DUMMYFUNCTION("""COMPUTED_VALUE"""),"Saipos Serviços De Software")</f>
        <v>Saipos Serviços De Software</v>
      </c>
      <c r="X3453" s="33">
        <f>IFERROR(__xludf.DUMMYFUNCTION("""COMPUTED_VALUE"""),1.0)</f>
        <v>1</v>
      </c>
    </row>
    <row r="3454">
      <c r="K3454" s="4" t="str">
        <f>IFERROR(__xludf.DUMMYFUNCTION("""COMPUTED_VALUE"""),"GALPAO PADARIA NATURAL M")</f>
        <v>GALPAO PADARIA NATURAL M</v>
      </c>
      <c r="L3454" s="32">
        <f>IFERROR(__xludf.DUMMYFUNCTION("""COMPUTED_VALUE"""),3.0)</f>
        <v>3</v>
      </c>
      <c r="M3454" s="4" t="str">
        <f>IFERROR(__xludf.DUMMYFUNCTION("""COMPUTED_VALUE"""),"Saipos Serviços De Software")</f>
        <v>Saipos Serviços De Software</v>
      </c>
      <c r="N3454" s="33">
        <f>IFERROR(__xludf.DUMMYFUNCTION("""COMPUTED_VALUE"""),0.6666666666666666)</f>
        <v>0.6666666667</v>
      </c>
      <c r="O3454" s="4" t="str">
        <f>IFERROR(__xludf.DUMMYFUNCTION("""COMPUTED_VALUE"""),"Saipos Serviços De Software")</f>
        <v>Saipos Serviços De Software</v>
      </c>
      <c r="P3454" s="33">
        <f>IFERROR(__xludf.DUMMYFUNCTION("""COMPUTED_VALUE"""),0.6666666666666666)</f>
        <v>0.6666666667</v>
      </c>
      <c r="Q3454" s="4" t="str">
        <f>IFERROR(__xludf.DUMMYFUNCTION("""COMPUTED_VALUE"""),"Saipos Serviços De Software")</f>
        <v>Saipos Serviços De Software</v>
      </c>
      <c r="R3454" s="33">
        <f>IFERROR(__xludf.DUMMYFUNCTION("""COMPUTED_VALUE"""),0.6666666666666666)</f>
        <v>0.6666666667</v>
      </c>
      <c r="S3454" s="4" t="str">
        <f>IFERROR(__xludf.DUMMYFUNCTION("""COMPUTED_VALUE"""),"Saipos Serviços De Software")</f>
        <v>Saipos Serviços De Software</v>
      </c>
      <c r="T3454" s="33">
        <f>IFERROR(__xludf.DUMMYFUNCTION("""COMPUTED_VALUE"""),0.6666666666666666)</f>
        <v>0.6666666667</v>
      </c>
      <c r="U3454" s="4" t="str">
        <f>IFERROR(__xludf.DUMMYFUNCTION("""COMPUTED_VALUE"""),"Saipos Serviços De Software")</f>
        <v>Saipos Serviços De Software</v>
      </c>
      <c r="V3454" s="33">
        <f>IFERROR(__xludf.DUMMYFUNCTION("""COMPUTED_VALUE"""),1.0)</f>
        <v>1</v>
      </c>
      <c r="W3454" s="4" t="str">
        <f>IFERROR(__xludf.DUMMYFUNCTION("""COMPUTED_VALUE"""),"Saipos Serviços De Software")</f>
        <v>Saipos Serviços De Software</v>
      </c>
      <c r="X3454" s="33">
        <f>IFERROR(__xludf.DUMMYFUNCTION("""COMPUTED_VALUE"""),1.0)</f>
        <v>1</v>
      </c>
    </row>
    <row r="3455">
      <c r="K3455" s="4" t="str">
        <f>IFERROR(__xludf.DUMMYFUNCTION("""COMPUTED_VALUE"""),"GAMA BURGER CONTA PAI")</f>
        <v>GAMA BURGER CONTA PAI</v>
      </c>
      <c r="L3455" s="32">
        <f>IFERROR(__xludf.DUMMYFUNCTION("""COMPUTED_VALUE"""),3.0)</f>
        <v>3</v>
      </c>
      <c r="M3455" s="4" t="str">
        <f>IFERROR(__xludf.DUMMYFUNCTION("""COMPUTED_VALUE"""),"Cardápio Web")</f>
        <v>Cardápio Web</v>
      </c>
      <c r="N3455" s="33">
        <f>IFERROR(__xludf.DUMMYFUNCTION("""COMPUTED_VALUE"""),1.0)</f>
        <v>1</v>
      </c>
      <c r="O3455" s="4" t="str">
        <f>IFERROR(__xludf.DUMMYFUNCTION("""COMPUTED_VALUE"""),"Cardápio Web")</f>
        <v>Cardápio Web</v>
      </c>
      <c r="P3455" s="33">
        <f>IFERROR(__xludf.DUMMYFUNCTION("""COMPUTED_VALUE"""),1.0)</f>
        <v>1</v>
      </c>
      <c r="Q3455" s="4" t="str">
        <f>IFERROR(__xludf.DUMMYFUNCTION("""COMPUTED_VALUE"""),"Cardápio Web")</f>
        <v>Cardápio Web</v>
      </c>
      <c r="R3455" s="33">
        <f>IFERROR(__xludf.DUMMYFUNCTION("""COMPUTED_VALUE"""),1.0)</f>
        <v>1</v>
      </c>
      <c r="S3455" s="4" t="str">
        <f>IFERROR(__xludf.DUMMYFUNCTION("""COMPUTED_VALUE"""),"Cardápio Web")</f>
        <v>Cardápio Web</v>
      </c>
      <c r="T3455" s="33">
        <f>IFERROR(__xludf.DUMMYFUNCTION("""COMPUTED_VALUE"""),1.0)</f>
        <v>1</v>
      </c>
      <c r="U3455" s="4" t="str">
        <f>IFERROR(__xludf.DUMMYFUNCTION("""COMPUTED_VALUE"""),"Cardápio Web")</f>
        <v>Cardápio Web</v>
      </c>
      <c r="V3455" s="33">
        <f>IFERROR(__xludf.DUMMYFUNCTION("""COMPUTED_VALUE"""),1.0)</f>
        <v>1</v>
      </c>
      <c r="W3455" s="4" t="str">
        <f>IFERROR(__xludf.DUMMYFUNCTION("""COMPUTED_VALUE"""),"Cardápio Web")</f>
        <v>Cardápio Web</v>
      </c>
      <c r="X3455" s="33">
        <f>IFERROR(__xludf.DUMMYFUNCTION("""COMPUTED_VALUE"""),1.0)</f>
        <v>1</v>
      </c>
    </row>
    <row r="3456">
      <c r="K3456" s="4" t="str">
        <f>IFERROR(__xludf.DUMMYFUNCTION("""COMPUTED_VALUE"""),"GARAGE BURGUER MARCA")</f>
        <v>GARAGE BURGUER MARCA</v>
      </c>
      <c r="L3456" s="32">
        <f>IFERROR(__xludf.DUMMYFUNCTION("""COMPUTED_VALUE"""),3.0)</f>
        <v>3</v>
      </c>
      <c r="M3456" s="4" t="str">
        <f>IFERROR(__xludf.DUMMYFUNCTION("""COMPUTED_VALUE"""),"Consumer Soluções Em Tecnologia Ltda")</f>
        <v>Consumer Soluções Em Tecnologia Ltda</v>
      </c>
      <c r="N3456" s="33">
        <f>IFERROR(__xludf.DUMMYFUNCTION("""COMPUTED_VALUE"""),0.6666666666666666)</f>
        <v>0.6666666667</v>
      </c>
      <c r="O3456" s="4" t="str">
        <f>IFERROR(__xludf.DUMMYFUNCTION("""COMPUTED_VALUE"""),"Consumer Soluções Em Tecnologia Ltda")</f>
        <v>Consumer Soluções Em Tecnologia Ltda</v>
      </c>
      <c r="P3456" s="33">
        <f>IFERROR(__xludf.DUMMYFUNCTION("""COMPUTED_VALUE"""),0.6666666666666666)</f>
        <v>0.6666666667</v>
      </c>
      <c r="Q3456" s="4" t="str">
        <f>IFERROR(__xludf.DUMMYFUNCTION("""COMPUTED_VALUE"""),"Consumer Soluções Em Tecnologia Ltda")</f>
        <v>Consumer Soluções Em Tecnologia Ltda</v>
      </c>
      <c r="R3456" s="33">
        <f>IFERROR(__xludf.DUMMYFUNCTION("""COMPUTED_VALUE"""),0.6666666666666666)</f>
        <v>0.6666666667</v>
      </c>
      <c r="S3456" s="4" t="str">
        <f>IFERROR(__xludf.DUMMYFUNCTION("""COMPUTED_VALUE"""),"Consumer Soluções Em Tecnologia Ltda")</f>
        <v>Consumer Soluções Em Tecnologia Ltda</v>
      </c>
      <c r="T3456" s="33">
        <f>IFERROR(__xludf.DUMMYFUNCTION("""COMPUTED_VALUE"""),0.6666666666666666)</f>
        <v>0.6666666667</v>
      </c>
      <c r="U3456" s="4" t="str">
        <f>IFERROR(__xludf.DUMMYFUNCTION("""COMPUTED_VALUE"""),"Saipos Serviços De Software")</f>
        <v>Saipos Serviços De Software</v>
      </c>
      <c r="V3456" s="33">
        <f>IFERROR(__xludf.DUMMYFUNCTION("""COMPUTED_VALUE"""),0.6666666666666666)</f>
        <v>0.6666666667</v>
      </c>
      <c r="W3456" s="4" t="str">
        <f>IFERROR(__xludf.DUMMYFUNCTION("""COMPUTED_VALUE"""),"Saipos Serviços De Software")</f>
        <v>Saipos Serviços De Software</v>
      </c>
      <c r="X3456" s="33">
        <f>IFERROR(__xludf.DUMMYFUNCTION("""COMPUTED_VALUE"""),0.6666666666666666)</f>
        <v>0.6666666667</v>
      </c>
    </row>
    <row r="3457">
      <c r="K3457" s="4" t="str">
        <f>IFERROR(__xludf.DUMMYFUNCTION("""COMPUTED_VALUE"""),"GARDEN")</f>
        <v>GARDEN</v>
      </c>
      <c r="L3457" s="32">
        <f>IFERROR(__xludf.DUMMYFUNCTION("""COMPUTED_VALUE"""),3.0)</f>
        <v>3</v>
      </c>
      <c r="M3457" s="4" t="str">
        <f>IFERROR(__xludf.DUMMYFUNCTION("""COMPUTED_VALUE"""),"Totvs Large Enterprise Tecnologia S.a.")</f>
        <v>Totvs Large Enterprise Tecnologia S.a.</v>
      </c>
      <c r="N3457" s="33">
        <f>IFERROR(__xludf.DUMMYFUNCTION("""COMPUTED_VALUE"""),0.6666666666666666)</f>
        <v>0.6666666667</v>
      </c>
      <c r="O3457" s="4" t="str">
        <f>IFERROR(__xludf.DUMMYFUNCTION("""COMPUTED_VALUE"""),"null")</f>
        <v>null</v>
      </c>
      <c r="P3457" s="33">
        <f>IFERROR(__xludf.DUMMYFUNCTION("""COMPUTED_VALUE"""),0.6666666666666666)</f>
        <v>0.6666666667</v>
      </c>
      <c r="Q3457" s="4" t="str">
        <f>IFERROR(__xludf.DUMMYFUNCTION("""COMPUTED_VALUE"""),"null")</f>
        <v>null</v>
      </c>
      <c r="R3457" s="33">
        <f>IFERROR(__xludf.DUMMYFUNCTION("""COMPUTED_VALUE"""),1.0)</f>
        <v>1</v>
      </c>
      <c r="S3457" s="4" t="str">
        <f>IFERROR(__xludf.DUMMYFUNCTION("""COMPUTED_VALUE"""),"null")</f>
        <v>null</v>
      </c>
      <c r="T3457" s="33">
        <f>IFERROR(__xludf.DUMMYFUNCTION("""COMPUTED_VALUE"""),0.6666666666666666)</f>
        <v>0.6666666667</v>
      </c>
      <c r="U3457" s="4" t="str">
        <f>IFERROR(__xludf.DUMMYFUNCTION("""COMPUTED_VALUE"""),"null")</f>
        <v>null</v>
      </c>
      <c r="V3457" s="33">
        <f>IFERROR(__xludf.DUMMYFUNCTION("""COMPUTED_VALUE"""),1.0)</f>
        <v>1</v>
      </c>
      <c r="W3457" s="4" t="str">
        <f>IFERROR(__xludf.DUMMYFUNCTION("""COMPUTED_VALUE"""),"Totvs Large Enterprise Tecnologia S.a.")</f>
        <v>Totvs Large Enterprise Tecnologia S.a.</v>
      </c>
      <c r="X3457" s="33">
        <f>IFERROR(__xludf.DUMMYFUNCTION("""COMPUTED_VALUE"""),0.6666666666666666)</f>
        <v>0.6666666667</v>
      </c>
    </row>
    <row r="3458">
      <c r="K3458" s="4" t="str">
        <f>IFERROR(__xludf.DUMMYFUNCTION("""COMPUTED_VALUE"""),"GARFO TORTO PIZZARIA DELIVERY - MARCA")</f>
        <v>GARFO TORTO PIZZARIA DELIVERY - MARCA</v>
      </c>
      <c r="L3458" s="32">
        <f>IFERROR(__xludf.DUMMYFUNCTION("""COMPUTED_VALUE"""),3.0)</f>
        <v>3</v>
      </c>
      <c r="M3458" s="4" t="str">
        <f>IFERROR(__xludf.DUMMYFUNCTION("""COMPUTED_VALUE"""),"Saipos Serviços De Software")</f>
        <v>Saipos Serviços De Software</v>
      </c>
      <c r="N3458" s="33">
        <f>IFERROR(__xludf.DUMMYFUNCTION("""COMPUTED_VALUE"""),1.0)</f>
        <v>1</v>
      </c>
      <c r="O3458" s="4" t="str">
        <f>IFERROR(__xludf.DUMMYFUNCTION("""COMPUTED_VALUE"""),"null")</f>
        <v>null</v>
      </c>
      <c r="P3458" s="33">
        <f>IFERROR(__xludf.DUMMYFUNCTION("""COMPUTED_VALUE"""),1.0)</f>
        <v>1</v>
      </c>
      <c r="Q3458" s="4" t="str">
        <f>IFERROR(__xludf.DUMMYFUNCTION("""COMPUTED_VALUE"""),"null")</f>
        <v>null</v>
      </c>
      <c r="R3458" s="33">
        <f>IFERROR(__xludf.DUMMYFUNCTION("""COMPUTED_VALUE"""),1.0)</f>
        <v>1</v>
      </c>
      <c r="S3458" s="4" t="str">
        <f>IFERROR(__xludf.DUMMYFUNCTION("""COMPUTED_VALUE"""),"null")</f>
        <v>null</v>
      </c>
      <c r="T3458" s="33">
        <f>IFERROR(__xludf.DUMMYFUNCTION("""COMPUTED_VALUE"""),1.0)</f>
        <v>1</v>
      </c>
      <c r="U3458" s="4" t="str">
        <f>IFERROR(__xludf.DUMMYFUNCTION("""COMPUTED_VALUE"""),"null")</f>
        <v>null</v>
      </c>
      <c r="V3458" s="33">
        <f>IFERROR(__xludf.DUMMYFUNCTION("""COMPUTED_VALUE"""),1.0)</f>
        <v>1</v>
      </c>
      <c r="W3458" s="4" t="str">
        <f>IFERROR(__xludf.DUMMYFUNCTION("""COMPUTED_VALUE"""),"null")</f>
        <v>null</v>
      </c>
      <c r="X3458" s="33">
        <f>IFERROR(__xludf.DUMMYFUNCTION("""COMPUTED_VALUE"""),1.0)</f>
        <v>1</v>
      </c>
    </row>
    <row r="3459">
      <c r="K3459" s="4" t="str">
        <f>IFERROR(__xludf.DUMMYFUNCTION("""COMPUTED_VALUE"""),"GENIO DA ESFIHA VILA SONIA")</f>
        <v>GENIO DA ESFIHA VILA SONIA</v>
      </c>
      <c r="L3459" s="32">
        <f>IFERROR(__xludf.DUMMYFUNCTION("""COMPUTED_VALUE"""),3.0)</f>
        <v>3</v>
      </c>
      <c r="M3459" s="4" t="str">
        <f>IFERROR(__xludf.DUMMYFUNCTION("""COMPUTED_VALUE"""),"null")</f>
        <v>null</v>
      </c>
      <c r="N3459" s="33">
        <f>IFERROR(__xludf.DUMMYFUNCTION("""COMPUTED_VALUE"""),1.0)</f>
        <v>1</v>
      </c>
      <c r="O3459" s="4" t="str">
        <f>IFERROR(__xludf.DUMMYFUNCTION("""COMPUTED_VALUE"""),"null")</f>
        <v>null</v>
      </c>
      <c r="P3459" s="33">
        <f>IFERROR(__xludf.DUMMYFUNCTION("""COMPUTED_VALUE"""),1.0)</f>
        <v>1</v>
      </c>
      <c r="Q3459" s="4" t="str">
        <f>IFERROR(__xludf.DUMMYFUNCTION("""COMPUTED_VALUE"""),"null")</f>
        <v>null</v>
      </c>
      <c r="R3459" s="33">
        <f>IFERROR(__xludf.DUMMYFUNCTION("""COMPUTED_VALUE"""),1.0)</f>
        <v>1</v>
      </c>
      <c r="S3459" s="4" t="str">
        <f>IFERROR(__xludf.DUMMYFUNCTION("""COMPUTED_VALUE"""),"null")</f>
        <v>null</v>
      </c>
      <c r="T3459" s="33">
        <f>IFERROR(__xludf.DUMMYFUNCTION("""COMPUTED_VALUE"""),1.0)</f>
        <v>1</v>
      </c>
      <c r="U3459" s="4" t="str">
        <f>IFERROR(__xludf.DUMMYFUNCTION("""COMPUTED_VALUE"""),"null")</f>
        <v>null</v>
      </c>
      <c r="V3459" s="33">
        <f>IFERROR(__xludf.DUMMYFUNCTION("""COMPUTED_VALUE"""),1.0)</f>
        <v>1</v>
      </c>
      <c r="W3459" s="4" t="str">
        <f>IFERROR(__xludf.DUMMYFUNCTION("""COMPUTED_VALUE"""),"Saipos Serviços De Software")</f>
        <v>Saipos Serviços De Software</v>
      </c>
      <c r="X3459" s="33">
        <f>IFERROR(__xludf.DUMMYFUNCTION("""COMPUTED_VALUE"""),1.0)</f>
        <v>1</v>
      </c>
    </row>
    <row r="3460">
      <c r="K3460" s="4" t="str">
        <f>IFERROR(__xludf.DUMMYFUNCTION("""COMPUTED_VALUE"""),"GH BURGUER RJ")</f>
        <v>GH BURGUER RJ</v>
      </c>
      <c r="L3460" s="32">
        <f>IFERROR(__xludf.DUMMYFUNCTION("""COMPUTED_VALUE"""),3.0)</f>
        <v>3</v>
      </c>
      <c r="M3460" s="4" t="str">
        <f>IFERROR(__xludf.DUMMYFUNCTION("""COMPUTED_VALUE"""),"Saipos Serviços De Software")</f>
        <v>Saipos Serviços De Software</v>
      </c>
      <c r="N3460" s="33">
        <f>IFERROR(__xludf.DUMMYFUNCTION("""COMPUTED_VALUE"""),1.0)</f>
        <v>1</v>
      </c>
      <c r="O3460" s="4" t="str">
        <f>IFERROR(__xludf.DUMMYFUNCTION("""COMPUTED_VALUE"""),"Saipos Serviços De Software")</f>
        <v>Saipos Serviços De Software</v>
      </c>
      <c r="P3460" s="33">
        <f>IFERROR(__xludf.DUMMYFUNCTION("""COMPUTED_VALUE"""),1.0)</f>
        <v>1</v>
      </c>
      <c r="Q3460" s="4" t="str">
        <f>IFERROR(__xludf.DUMMYFUNCTION("""COMPUTED_VALUE"""),"Saipos Serviços De Software")</f>
        <v>Saipos Serviços De Software</v>
      </c>
      <c r="R3460" s="33">
        <f>IFERROR(__xludf.DUMMYFUNCTION("""COMPUTED_VALUE"""),1.0)</f>
        <v>1</v>
      </c>
      <c r="S3460" s="4" t="str">
        <f>IFERROR(__xludf.DUMMYFUNCTION("""COMPUTED_VALUE"""),"Saipos Serviços De Software")</f>
        <v>Saipos Serviços De Software</v>
      </c>
      <c r="T3460" s="33">
        <f>IFERROR(__xludf.DUMMYFUNCTION("""COMPUTED_VALUE"""),1.0)</f>
        <v>1</v>
      </c>
      <c r="U3460" s="4" t="str">
        <f>IFERROR(__xludf.DUMMYFUNCTION("""COMPUTED_VALUE"""),"Saipos Serviços De Software")</f>
        <v>Saipos Serviços De Software</v>
      </c>
      <c r="V3460" s="33">
        <f>IFERROR(__xludf.DUMMYFUNCTION("""COMPUTED_VALUE"""),1.0)</f>
        <v>1</v>
      </c>
      <c r="W3460" s="4" t="str">
        <f>IFERROR(__xludf.DUMMYFUNCTION("""COMPUTED_VALUE"""),"Saipos Serviços De Software")</f>
        <v>Saipos Serviços De Software</v>
      </c>
      <c r="X3460" s="33">
        <f>IFERROR(__xludf.DUMMYFUNCTION("""COMPUTED_VALUE"""),1.0)</f>
        <v>1</v>
      </c>
    </row>
    <row r="3461">
      <c r="K3461" s="4" t="str">
        <f>IFERROR(__xludf.DUMMYFUNCTION("""COMPUTED_VALUE"""),"GIULIANA FLORES - CONTA MARCA")</f>
        <v>GIULIANA FLORES - CONTA MARCA</v>
      </c>
      <c r="L3461" s="32">
        <f>IFERROR(__xludf.DUMMYFUNCTION("""COMPUTED_VALUE"""),3.0)</f>
        <v>3</v>
      </c>
      <c r="M3461" s="4" t="str">
        <f>IFERROR(__xludf.DUMMYFUNCTION("""COMPUTED_VALUE"""),"Giuliana Flores")</f>
        <v>Giuliana Flores</v>
      </c>
      <c r="N3461" s="33">
        <f>IFERROR(__xludf.DUMMYFUNCTION("""COMPUTED_VALUE"""),0.6666666666666666)</f>
        <v>0.6666666667</v>
      </c>
      <c r="O3461" s="4" t="str">
        <f>IFERROR(__xludf.DUMMYFUNCTION("""COMPUTED_VALUE"""),"Giuliana Flores")</f>
        <v>Giuliana Flores</v>
      </c>
      <c r="P3461" s="33">
        <f>IFERROR(__xludf.DUMMYFUNCTION("""COMPUTED_VALUE"""),0.6666666666666666)</f>
        <v>0.6666666667</v>
      </c>
      <c r="Q3461" s="4" t="str">
        <f>IFERROR(__xludf.DUMMYFUNCTION("""COMPUTED_VALUE"""),"Giuliana Flores")</f>
        <v>Giuliana Flores</v>
      </c>
      <c r="R3461" s="33">
        <f>IFERROR(__xludf.DUMMYFUNCTION("""COMPUTED_VALUE"""),1.0)</f>
        <v>1</v>
      </c>
      <c r="S3461" s="4" t="str">
        <f>IFERROR(__xludf.DUMMYFUNCTION("""COMPUTED_VALUE"""),"Giuliana Flores")</f>
        <v>Giuliana Flores</v>
      </c>
      <c r="T3461" s="33">
        <f>IFERROR(__xludf.DUMMYFUNCTION("""COMPUTED_VALUE"""),0.6666666666666666)</f>
        <v>0.6666666667</v>
      </c>
      <c r="U3461" s="4" t="str">
        <f>IFERROR(__xludf.DUMMYFUNCTION("""COMPUTED_VALUE"""),"Giuliana Flores")</f>
        <v>Giuliana Flores</v>
      </c>
      <c r="V3461" s="33">
        <f>IFERROR(__xludf.DUMMYFUNCTION("""COMPUTED_VALUE"""),0.6666666666666666)</f>
        <v>0.6666666667</v>
      </c>
      <c r="W3461" s="4" t="str">
        <f>IFERROR(__xludf.DUMMYFUNCTION("""COMPUTED_VALUE"""),"Giuliana Flores")</f>
        <v>Giuliana Flores</v>
      </c>
      <c r="X3461" s="33">
        <f>IFERROR(__xludf.DUMMYFUNCTION("""COMPUTED_VALUE"""),0.6666666666666666)</f>
        <v>0.6666666667</v>
      </c>
    </row>
    <row r="3462">
      <c r="K3462" s="4" t="str">
        <f>IFERROR(__xludf.DUMMYFUNCTION("""COMPUTED_VALUE"""),"GLACIE SORVETES - CONTA PAI")</f>
        <v>GLACIE SORVETES - CONTA PAI</v>
      </c>
      <c r="L3462" s="32">
        <f>IFERROR(__xludf.DUMMYFUNCTION("""COMPUTED_VALUE"""),3.0)</f>
        <v>3</v>
      </c>
      <c r="M3462" s="4" t="str">
        <f>IFERROR(__xludf.DUMMYFUNCTION("""COMPUTED_VALUE"""),"Dynaset Software")</f>
        <v>Dynaset Software</v>
      </c>
      <c r="N3462" s="33">
        <f>IFERROR(__xludf.DUMMYFUNCTION("""COMPUTED_VALUE"""),1.0)</f>
        <v>1</v>
      </c>
      <c r="O3462" s="4" t="str">
        <f>IFERROR(__xludf.DUMMYFUNCTION("""COMPUTED_VALUE"""),"Dynaset Software")</f>
        <v>Dynaset Software</v>
      </c>
      <c r="P3462" s="33">
        <f>IFERROR(__xludf.DUMMYFUNCTION("""COMPUTED_VALUE"""),1.0)</f>
        <v>1</v>
      </c>
      <c r="Q3462" s="4" t="str">
        <f>IFERROR(__xludf.DUMMYFUNCTION("""COMPUTED_VALUE"""),"Dynaset Software")</f>
        <v>Dynaset Software</v>
      </c>
      <c r="R3462" s="33">
        <f>IFERROR(__xludf.DUMMYFUNCTION("""COMPUTED_VALUE"""),0.6666666666666666)</f>
        <v>0.6666666667</v>
      </c>
      <c r="S3462" s="4" t="str">
        <f>IFERROR(__xludf.DUMMYFUNCTION("""COMPUTED_VALUE"""),"null")</f>
        <v>null</v>
      </c>
      <c r="T3462" s="33">
        <f>IFERROR(__xludf.DUMMYFUNCTION("""COMPUTED_VALUE"""),1.0)</f>
        <v>1</v>
      </c>
      <c r="U3462" s="4" t="str">
        <f>IFERROR(__xludf.DUMMYFUNCTION("""COMPUTED_VALUE"""),"null")</f>
        <v>null</v>
      </c>
      <c r="V3462" s="33">
        <f>IFERROR(__xludf.DUMMYFUNCTION("""COMPUTED_VALUE"""),1.0)</f>
        <v>1</v>
      </c>
      <c r="W3462" s="4" t="str">
        <f>IFERROR(__xludf.DUMMYFUNCTION("""COMPUTED_VALUE"""),"null")</f>
        <v>null</v>
      </c>
      <c r="X3462" s="33">
        <f>IFERROR(__xludf.DUMMYFUNCTION("""COMPUTED_VALUE"""),0.6666666666666666)</f>
        <v>0.6666666667</v>
      </c>
    </row>
    <row r="3463">
      <c r="K3463" s="4" t="str">
        <f>IFERROR(__xludf.DUMMYFUNCTION("""COMPUTED_VALUE"""),"GO BURGUER")</f>
        <v>GO BURGUER</v>
      </c>
      <c r="L3463" s="32">
        <f>IFERROR(__xludf.DUMMYFUNCTION("""COMPUTED_VALUE"""),3.0)</f>
        <v>3</v>
      </c>
      <c r="M3463" s="4" t="str">
        <f>IFERROR(__xludf.DUMMYFUNCTION("""COMPUTED_VALUE"""),"Eclética Tecnologia")</f>
        <v>Eclética Tecnologia</v>
      </c>
      <c r="N3463" s="33">
        <f>IFERROR(__xludf.DUMMYFUNCTION("""COMPUTED_VALUE"""),0.6666666666666666)</f>
        <v>0.6666666667</v>
      </c>
      <c r="O3463" s="4" t="str">
        <f>IFERROR(__xludf.DUMMYFUNCTION("""COMPUTED_VALUE"""),"Eclética Tecnologia")</f>
        <v>Eclética Tecnologia</v>
      </c>
      <c r="P3463" s="33">
        <f>IFERROR(__xludf.DUMMYFUNCTION("""COMPUTED_VALUE"""),0.6666666666666666)</f>
        <v>0.6666666667</v>
      </c>
      <c r="Q3463" s="4" t="str">
        <f>IFERROR(__xludf.DUMMYFUNCTION("""COMPUTED_VALUE"""),"Eclética Tecnologia")</f>
        <v>Eclética Tecnologia</v>
      </c>
      <c r="R3463" s="33">
        <f>IFERROR(__xludf.DUMMYFUNCTION("""COMPUTED_VALUE"""),0.6666666666666666)</f>
        <v>0.6666666667</v>
      </c>
      <c r="S3463" s="4" t="str">
        <f>IFERROR(__xludf.DUMMYFUNCTION("""COMPUTED_VALUE"""),"Eclética Tecnologia")</f>
        <v>Eclética Tecnologia</v>
      </c>
      <c r="T3463" s="33">
        <f>IFERROR(__xludf.DUMMYFUNCTION("""COMPUTED_VALUE"""),0.6666666666666666)</f>
        <v>0.6666666667</v>
      </c>
      <c r="U3463" s="4" t="str">
        <f>IFERROR(__xludf.DUMMYFUNCTION("""COMPUTED_VALUE"""),"Eclética Tecnologia")</f>
        <v>Eclética Tecnologia</v>
      </c>
      <c r="V3463" s="33">
        <f>IFERROR(__xludf.DUMMYFUNCTION("""COMPUTED_VALUE"""),0.6666666666666666)</f>
        <v>0.6666666667</v>
      </c>
      <c r="W3463" s="4" t="str">
        <f>IFERROR(__xludf.DUMMYFUNCTION("""COMPUTED_VALUE"""),"Eclética Tecnologia")</f>
        <v>Eclética Tecnologia</v>
      </c>
      <c r="X3463" s="33">
        <f>IFERROR(__xludf.DUMMYFUNCTION("""COMPUTED_VALUE"""),0.6666666666666666)</f>
        <v>0.6666666667</v>
      </c>
    </row>
    <row r="3464">
      <c r="K3464" s="4" t="str">
        <f>IFERROR(__xludf.DUMMYFUNCTION("""COMPUTED_VALUE"""),"GOL BURGER")</f>
        <v>GOL BURGER</v>
      </c>
      <c r="L3464" s="32">
        <f>IFERROR(__xludf.DUMMYFUNCTION("""COMPUTED_VALUE"""),3.0)</f>
        <v>3</v>
      </c>
      <c r="M3464" s="4" t="str">
        <f>IFERROR(__xludf.DUMMYFUNCTION("""COMPUTED_VALUE"""),"Takeat Tecnologia")</f>
        <v>Takeat Tecnologia</v>
      </c>
      <c r="N3464" s="33">
        <f>IFERROR(__xludf.DUMMYFUNCTION("""COMPUTED_VALUE"""),1.0)</f>
        <v>1</v>
      </c>
      <c r="O3464" s="4" t="str">
        <f>IFERROR(__xludf.DUMMYFUNCTION("""COMPUTED_VALUE"""),"Takeat Tecnologia")</f>
        <v>Takeat Tecnologia</v>
      </c>
      <c r="P3464" s="33">
        <f>IFERROR(__xludf.DUMMYFUNCTION("""COMPUTED_VALUE"""),1.0)</f>
        <v>1</v>
      </c>
      <c r="Q3464" s="4" t="str">
        <f>IFERROR(__xludf.DUMMYFUNCTION("""COMPUTED_VALUE"""),"Takeat Tecnologia")</f>
        <v>Takeat Tecnologia</v>
      </c>
      <c r="R3464" s="33">
        <f>IFERROR(__xludf.DUMMYFUNCTION("""COMPUTED_VALUE"""),1.0)</f>
        <v>1</v>
      </c>
      <c r="S3464" s="4" t="str">
        <f>IFERROR(__xludf.DUMMYFUNCTION("""COMPUTED_VALUE"""),"Takeat Tecnologia")</f>
        <v>Takeat Tecnologia</v>
      </c>
      <c r="T3464" s="33">
        <f>IFERROR(__xludf.DUMMYFUNCTION("""COMPUTED_VALUE"""),1.0)</f>
        <v>1</v>
      </c>
      <c r="U3464" s="4" t="str">
        <f>IFERROR(__xludf.DUMMYFUNCTION("""COMPUTED_VALUE"""),"Takeat Tecnologia")</f>
        <v>Takeat Tecnologia</v>
      </c>
      <c r="V3464" s="33">
        <f>IFERROR(__xludf.DUMMYFUNCTION("""COMPUTED_VALUE"""),1.0)</f>
        <v>1</v>
      </c>
      <c r="W3464" s="4" t="str">
        <f>IFERROR(__xludf.DUMMYFUNCTION("""COMPUTED_VALUE"""),"Takeat Tecnologia")</f>
        <v>Takeat Tecnologia</v>
      </c>
      <c r="X3464" s="33">
        <f>IFERROR(__xludf.DUMMYFUNCTION("""COMPUTED_VALUE"""),0.6666666666666666)</f>
        <v>0.6666666667</v>
      </c>
    </row>
    <row r="3465">
      <c r="K3465" s="4" t="str">
        <f>IFERROR(__xludf.DUMMYFUNCTION("""COMPUTED_VALUE"""),"GOURMET BURGER BOX - CONTA PAI")</f>
        <v>GOURMET BURGER BOX - CONTA PAI</v>
      </c>
      <c r="L3465" s="32">
        <f>IFERROR(__xludf.DUMMYFUNCTION("""COMPUTED_VALUE"""),3.0)</f>
        <v>3</v>
      </c>
      <c r="M3465" s="4" t="str">
        <f>IFERROR(__xludf.DUMMYFUNCTION("""COMPUTED_VALUE"""),"Menew - Linx")</f>
        <v>Menew - Linx</v>
      </c>
      <c r="N3465" s="33">
        <f>IFERROR(__xludf.DUMMYFUNCTION("""COMPUTED_VALUE"""),1.0)</f>
        <v>1</v>
      </c>
      <c r="O3465" s="4" t="str">
        <f>IFERROR(__xludf.DUMMYFUNCTION("""COMPUTED_VALUE"""),"Menew - Linx")</f>
        <v>Menew - Linx</v>
      </c>
      <c r="P3465" s="33">
        <f>IFERROR(__xludf.DUMMYFUNCTION("""COMPUTED_VALUE"""),1.0)</f>
        <v>1</v>
      </c>
      <c r="Q3465" s="4" t="str">
        <f>IFERROR(__xludf.DUMMYFUNCTION("""COMPUTED_VALUE"""),"Menew - Linx")</f>
        <v>Menew - Linx</v>
      </c>
      <c r="R3465" s="33">
        <f>IFERROR(__xludf.DUMMYFUNCTION("""COMPUTED_VALUE"""),1.0)</f>
        <v>1</v>
      </c>
      <c r="S3465" s="4" t="str">
        <f>IFERROR(__xludf.DUMMYFUNCTION("""COMPUTED_VALUE"""),"Menew - Linx")</f>
        <v>Menew - Linx</v>
      </c>
      <c r="T3465" s="33">
        <f>IFERROR(__xludf.DUMMYFUNCTION("""COMPUTED_VALUE"""),1.0)</f>
        <v>1</v>
      </c>
      <c r="U3465" s="4" t="str">
        <f>IFERROR(__xludf.DUMMYFUNCTION("""COMPUTED_VALUE"""),"Menew - Linx")</f>
        <v>Menew - Linx</v>
      </c>
      <c r="V3465" s="33">
        <f>IFERROR(__xludf.DUMMYFUNCTION("""COMPUTED_VALUE"""),1.0)</f>
        <v>1</v>
      </c>
      <c r="W3465" s="4" t="str">
        <f>IFERROR(__xludf.DUMMYFUNCTION("""COMPUTED_VALUE"""),"Menew - Linx")</f>
        <v>Menew - Linx</v>
      </c>
      <c r="X3465" s="33">
        <f>IFERROR(__xludf.DUMMYFUNCTION("""COMPUTED_VALUE"""),0.6666666666666666)</f>
        <v>0.6666666667</v>
      </c>
    </row>
    <row r="3466">
      <c r="K3466" s="4" t="str">
        <f>IFERROR(__xludf.DUMMYFUNCTION("""COMPUTED_VALUE"""),"GRANPASTA - CONTA PAI")</f>
        <v>GRANPASTA - CONTA PAI</v>
      </c>
      <c r="L3466" s="32">
        <f>IFERROR(__xludf.DUMMYFUNCTION("""COMPUTED_VALUE"""),3.0)</f>
        <v>3</v>
      </c>
      <c r="M3466" s="4" t="str">
        <f>IFERROR(__xludf.DUMMYFUNCTION("""COMPUTED_VALUE"""),"Saipos Serviços De Software")</f>
        <v>Saipos Serviços De Software</v>
      </c>
      <c r="N3466" s="33">
        <f>IFERROR(__xludf.DUMMYFUNCTION("""COMPUTED_VALUE"""),1.0)</f>
        <v>1</v>
      </c>
      <c r="O3466" s="4" t="str">
        <f>IFERROR(__xludf.DUMMYFUNCTION("""COMPUTED_VALUE"""),"Saipos Serviços De Software")</f>
        <v>Saipos Serviços De Software</v>
      </c>
      <c r="P3466" s="33">
        <f>IFERROR(__xludf.DUMMYFUNCTION("""COMPUTED_VALUE"""),1.0)</f>
        <v>1</v>
      </c>
      <c r="Q3466" s="4" t="str">
        <f>IFERROR(__xludf.DUMMYFUNCTION("""COMPUTED_VALUE"""),"Saipos Serviços De Software")</f>
        <v>Saipos Serviços De Software</v>
      </c>
      <c r="R3466" s="33">
        <f>IFERROR(__xludf.DUMMYFUNCTION("""COMPUTED_VALUE"""),1.0)</f>
        <v>1</v>
      </c>
      <c r="S3466" s="4" t="str">
        <f>IFERROR(__xludf.DUMMYFUNCTION("""COMPUTED_VALUE"""),"Saipos Serviços De Software")</f>
        <v>Saipos Serviços De Software</v>
      </c>
      <c r="T3466" s="33">
        <f>IFERROR(__xludf.DUMMYFUNCTION("""COMPUTED_VALUE"""),1.0)</f>
        <v>1</v>
      </c>
      <c r="U3466" s="4" t="str">
        <f>IFERROR(__xludf.DUMMYFUNCTION("""COMPUTED_VALUE"""),"Saipos Serviços De Software")</f>
        <v>Saipos Serviços De Software</v>
      </c>
      <c r="V3466" s="33">
        <f>IFERROR(__xludf.DUMMYFUNCTION("""COMPUTED_VALUE"""),1.0)</f>
        <v>1</v>
      </c>
      <c r="W3466" s="4" t="str">
        <f>IFERROR(__xludf.DUMMYFUNCTION("""COMPUTED_VALUE"""),"Saipos Serviços De Software")</f>
        <v>Saipos Serviços De Software</v>
      </c>
      <c r="X3466" s="33">
        <f>IFERROR(__xludf.DUMMYFUNCTION("""COMPUTED_VALUE"""),1.0)</f>
        <v>1</v>
      </c>
    </row>
    <row r="3467">
      <c r="K3467" s="4" t="str">
        <f>IFERROR(__xludf.DUMMYFUNCTION("""COMPUTED_VALUE"""),"GRATINADOG - HOT DOG")</f>
        <v>GRATINADOG - HOT DOG</v>
      </c>
      <c r="L3467" s="32">
        <f>IFERROR(__xludf.DUMMYFUNCTION("""COMPUTED_VALUE"""),3.0)</f>
        <v>3</v>
      </c>
      <c r="M3467" s="4" t="str">
        <f>IFERROR(__xludf.DUMMYFUNCTION("""COMPUTED_VALUE"""),"Insert Code Informatica Ltda")</f>
        <v>Insert Code Informatica Ltda</v>
      </c>
      <c r="N3467" s="33">
        <f>IFERROR(__xludf.DUMMYFUNCTION("""COMPUTED_VALUE"""),0.6666666666666666)</f>
        <v>0.6666666667</v>
      </c>
      <c r="O3467" s="4" t="str">
        <f>IFERROR(__xludf.DUMMYFUNCTION("""COMPUTED_VALUE"""),"Insert Code Informatica Ltda")</f>
        <v>Insert Code Informatica Ltda</v>
      </c>
      <c r="P3467" s="33">
        <f>IFERROR(__xludf.DUMMYFUNCTION("""COMPUTED_VALUE"""),0.6666666666666666)</f>
        <v>0.6666666667</v>
      </c>
      <c r="Q3467" s="4" t="str">
        <f>IFERROR(__xludf.DUMMYFUNCTION("""COMPUTED_VALUE"""),"Insert Code Informatica Ltda")</f>
        <v>Insert Code Informatica Ltda</v>
      </c>
      <c r="R3467" s="33">
        <f>IFERROR(__xludf.DUMMYFUNCTION("""COMPUTED_VALUE"""),0.6666666666666666)</f>
        <v>0.6666666667</v>
      </c>
      <c r="S3467" s="4" t="str">
        <f>IFERROR(__xludf.DUMMYFUNCTION("""COMPUTED_VALUE"""),"Insert Code Informatica Ltda")</f>
        <v>Insert Code Informatica Ltda</v>
      </c>
      <c r="T3467" s="33">
        <f>IFERROR(__xludf.DUMMYFUNCTION("""COMPUTED_VALUE"""),0.6666666666666666)</f>
        <v>0.6666666667</v>
      </c>
      <c r="U3467" s="4" t="str">
        <f>IFERROR(__xludf.DUMMYFUNCTION("""COMPUTED_VALUE"""),"Insert Code Informatica Ltda")</f>
        <v>Insert Code Informatica Ltda</v>
      </c>
      <c r="V3467" s="33">
        <f>IFERROR(__xludf.DUMMYFUNCTION("""COMPUTED_VALUE"""),0.6666666666666666)</f>
        <v>0.6666666667</v>
      </c>
      <c r="W3467" s="4" t="str">
        <f>IFERROR(__xludf.DUMMYFUNCTION("""COMPUTED_VALUE"""),"Insert Code Informatica Ltda")</f>
        <v>Insert Code Informatica Ltda</v>
      </c>
      <c r="X3467" s="33">
        <f>IFERROR(__xludf.DUMMYFUNCTION("""COMPUTED_VALUE"""),1.0)</f>
        <v>1</v>
      </c>
    </row>
    <row r="3468">
      <c r="K3468" s="4" t="str">
        <f>IFERROR(__xludf.DUMMYFUNCTION("""COMPUTED_VALUE"""),"GRATO STEAKHOUSE CONTA PAI")</f>
        <v>GRATO STEAKHOUSE CONTA PAI</v>
      </c>
      <c r="L3468" s="32">
        <f>IFERROR(__xludf.DUMMYFUNCTION("""COMPUTED_VALUE"""),3.0)</f>
        <v>3</v>
      </c>
      <c r="M3468" s="4" t="str">
        <f>IFERROR(__xludf.DUMMYFUNCTION("""COMPUTED_VALUE"""),"3a Solution")</f>
        <v>3a Solution</v>
      </c>
      <c r="N3468" s="33">
        <f>IFERROR(__xludf.DUMMYFUNCTION("""COMPUTED_VALUE"""),1.0)</f>
        <v>1</v>
      </c>
      <c r="O3468" s="4" t="str">
        <f>IFERROR(__xludf.DUMMYFUNCTION("""COMPUTED_VALUE"""),"3a Solution")</f>
        <v>3a Solution</v>
      </c>
      <c r="P3468" s="33">
        <f>IFERROR(__xludf.DUMMYFUNCTION("""COMPUTED_VALUE"""),1.0)</f>
        <v>1</v>
      </c>
      <c r="Q3468" s="4" t="str">
        <f>IFERROR(__xludf.DUMMYFUNCTION("""COMPUTED_VALUE"""),"3a Solution")</f>
        <v>3a Solution</v>
      </c>
      <c r="R3468" s="33">
        <f>IFERROR(__xludf.DUMMYFUNCTION("""COMPUTED_VALUE"""),1.0)</f>
        <v>1</v>
      </c>
      <c r="S3468" s="4" t="str">
        <f>IFERROR(__xludf.DUMMYFUNCTION("""COMPUTED_VALUE"""),"3a Solution")</f>
        <v>3a Solution</v>
      </c>
      <c r="T3468" s="33">
        <f>IFERROR(__xludf.DUMMYFUNCTION("""COMPUTED_VALUE"""),1.0)</f>
        <v>1</v>
      </c>
      <c r="U3468" s="4" t="str">
        <f>IFERROR(__xludf.DUMMYFUNCTION("""COMPUTED_VALUE"""),"3a Solution")</f>
        <v>3a Solution</v>
      </c>
      <c r="V3468" s="33">
        <f>IFERROR(__xludf.DUMMYFUNCTION("""COMPUTED_VALUE"""),1.0)</f>
        <v>1</v>
      </c>
      <c r="W3468" s="4" t="str">
        <f>IFERROR(__xludf.DUMMYFUNCTION("""COMPUTED_VALUE"""),"3a Solution")</f>
        <v>3a Solution</v>
      </c>
      <c r="X3468" s="33">
        <f>IFERROR(__xludf.DUMMYFUNCTION("""COMPUTED_VALUE"""),1.0)</f>
        <v>1</v>
      </c>
    </row>
    <row r="3469">
      <c r="K3469" s="4" t="str">
        <f>IFERROR(__xludf.DUMMYFUNCTION("""COMPUTED_VALUE"""),"GRECCO- MARCA")</f>
        <v>GRECCO- MARCA</v>
      </c>
      <c r="L3469" s="32">
        <f>IFERROR(__xludf.DUMMYFUNCTION("""COMPUTED_VALUE"""),3.0)</f>
        <v>3</v>
      </c>
      <c r="M3469" s="4" t="str">
        <f>IFERROR(__xludf.DUMMYFUNCTION("""COMPUTED_VALUE"""),"Ncr")</f>
        <v>Ncr</v>
      </c>
      <c r="N3469" s="33">
        <f>IFERROR(__xludf.DUMMYFUNCTION("""COMPUTED_VALUE"""),1.0)</f>
        <v>1</v>
      </c>
      <c r="O3469" s="4" t="str">
        <f>IFERROR(__xludf.DUMMYFUNCTION("""COMPUTED_VALUE"""),"Ncr")</f>
        <v>Ncr</v>
      </c>
      <c r="P3469" s="33">
        <f>IFERROR(__xludf.DUMMYFUNCTION("""COMPUTED_VALUE"""),1.0)</f>
        <v>1</v>
      </c>
      <c r="Q3469" s="4" t="str">
        <f>IFERROR(__xludf.DUMMYFUNCTION("""COMPUTED_VALUE"""),"Ncr")</f>
        <v>Ncr</v>
      </c>
      <c r="R3469" s="33">
        <f>IFERROR(__xludf.DUMMYFUNCTION("""COMPUTED_VALUE"""),1.0)</f>
        <v>1</v>
      </c>
      <c r="S3469" s="4" t="str">
        <f>IFERROR(__xludf.DUMMYFUNCTION("""COMPUTED_VALUE"""),"Ncr")</f>
        <v>Ncr</v>
      </c>
      <c r="T3469" s="33">
        <f>IFERROR(__xludf.DUMMYFUNCTION("""COMPUTED_VALUE"""),0.6666666666666666)</f>
        <v>0.6666666667</v>
      </c>
      <c r="U3469" s="4" t="str">
        <f>IFERROR(__xludf.DUMMYFUNCTION("""COMPUTED_VALUE"""),"Ncr")</f>
        <v>Ncr</v>
      </c>
      <c r="V3469" s="33">
        <f>IFERROR(__xludf.DUMMYFUNCTION("""COMPUTED_VALUE"""),1.0)</f>
        <v>1</v>
      </c>
      <c r="W3469" s="4" t="str">
        <f>IFERROR(__xludf.DUMMYFUNCTION("""COMPUTED_VALUE"""),"Ncr")</f>
        <v>Ncr</v>
      </c>
      <c r="X3469" s="33">
        <f>IFERROR(__xludf.DUMMYFUNCTION("""COMPUTED_VALUE"""),1.0)</f>
        <v>1</v>
      </c>
    </row>
    <row r="3470">
      <c r="K3470" s="4" t="str">
        <f>IFERROR(__xludf.DUMMYFUNCTION("""COMPUTED_VALUE"""),"GRUPO - DANKET SUSHI")</f>
        <v>GRUPO - DANKET SUSHI</v>
      </c>
      <c r="L3470" s="32">
        <f>IFERROR(__xludf.DUMMYFUNCTION("""COMPUTED_VALUE"""),3.0)</f>
        <v>3</v>
      </c>
      <c r="M3470" s="4" t="str">
        <f>IFERROR(__xludf.DUMMYFUNCTION("""COMPUTED_VALUE"""),"Saipos Serviços De Software")</f>
        <v>Saipos Serviços De Software</v>
      </c>
      <c r="N3470" s="33">
        <f>IFERROR(__xludf.DUMMYFUNCTION("""COMPUTED_VALUE"""),0.6666666666666666)</f>
        <v>0.6666666667</v>
      </c>
      <c r="O3470" s="4" t="str">
        <f>IFERROR(__xludf.DUMMYFUNCTION("""COMPUTED_VALUE"""),"Saipos Serviços De Software")</f>
        <v>Saipos Serviços De Software</v>
      </c>
      <c r="P3470" s="33">
        <f>IFERROR(__xludf.DUMMYFUNCTION("""COMPUTED_VALUE"""),1.0)</f>
        <v>1</v>
      </c>
      <c r="Q3470" s="4" t="str">
        <f>IFERROR(__xludf.DUMMYFUNCTION("""COMPUTED_VALUE"""),"Saipos Serviços De Software")</f>
        <v>Saipos Serviços De Software</v>
      </c>
      <c r="R3470" s="33">
        <f>IFERROR(__xludf.DUMMYFUNCTION("""COMPUTED_VALUE"""),1.0)</f>
        <v>1</v>
      </c>
      <c r="S3470" s="4" t="str">
        <f>IFERROR(__xludf.DUMMYFUNCTION("""COMPUTED_VALUE"""),"Saipos Serviços De Software")</f>
        <v>Saipos Serviços De Software</v>
      </c>
      <c r="T3470" s="33">
        <f>IFERROR(__xludf.DUMMYFUNCTION("""COMPUTED_VALUE"""),1.0)</f>
        <v>1</v>
      </c>
      <c r="U3470" s="4" t="str">
        <f>IFERROR(__xludf.DUMMYFUNCTION("""COMPUTED_VALUE"""),"Saipos Serviços De Software")</f>
        <v>Saipos Serviços De Software</v>
      </c>
      <c r="V3470" s="33">
        <f>IFERROR(__xludf.DUMMYFUNCTION("""COMPUTED_VALUE"""),1.0)</f>
        <v>1</v>
      </c>
      <c r="W3470" s="4" t="str">
        <f>IFERROR(__xludf.DUMMYFUNCTION("""COMPUTED_VALUE"""),"Saipos Serviços De Software")</f>
        <v>Saipos Serviços De Software</v>
      </c>
      <c r="X3470" s="33">
        <f>IFERROR(__xludf.DUMMYFUNCTION("""COMPUTED_VALUE"""),1.0)</f>
        <v>1</v>
      </c>
    </row>
    <row r="3471">
      <c r="K3471" s="4" t="str">
        <f>IFERROR(__xludf.DUMMYFUNCTION("""COMPUTED_VALUE"""),"GRUPO - PLANET BURGUER")</f>
        <v>GRUPO - PLANET BURGUER</v>
      </c>
      <c r="L3471" s="32">
        <f>IFERROR(__xludf.DUMMYFUNCTION("""COMPUTED_VALUE"""),3.0)</f>
        <v>3</v>
      </c>
      <c r="M3471" s="4" t="str">
        <f>IFERROR(__xludf.DUMMYFUNCTION("""COMPUTED_VALUE"""),"null")</f>
        <v>null</v>
      </c>
      <c r="N3471" s="33">
        <f>IFERROR(__xludf.DUMMYFUNCTION("""COMPUTED_VALUE"""),0.6666666666666666)</f>
        <v>0.6666666667</v>
      </c>
      <c r="O3471" s="4" t="str">
        <f>IFERROR(__xludf.DUMMYFUNCTION("""COMPUTED_VALUE"""),"Saipos Serviços De Software")</f>
        <v>Saipos Serviços De Software</v>
      </c>
      <c r="P3471" s="33">
        <f>IFERROR(__xludf.DUMMYFUNCTION("""COMPUTED_VALUE"""),0.6666666666666666)</f>
        <v>0.6666666667</v>
      </c>
      <c r="Q3471" s="4" t="str">
        <f>IFERROR(__xludf.DUMMYFUNCTION("""COMPUTED_VALUE"""),"Saipos Serviços De Software")</f>
        <v>Saipos Serviços De Software</v>
      </c>
      <c r="R3471" s="33">
        <f>IFERROR(__xludf.DUMMYFUNCTION("""COMPUTED_VALUE"""),1.0)</f>
        <v>1</v>
      </c>
      <c r="S3471" s="4" t="str">
        <f>IFERROR(__xludf.DUMMYFUNCTION("""COMPUTED_VALUE"""),"Saipos Serviços De Software")</f>
        <v>Saipos Serviços De Software</v>
      </c>
      <c r="T3471" s="33">
        <f>IFERROR(__xludf.DUMMYFUNCTION("""COMPUTED_VALUE"""),1.0)</f>
        <v>1</v>
      </c>
      <c r="U3471" s="4" t="str">
        <f>IFERROR(__xludf.DUMMYFUNCTION("""COMPUTED_VALUE"""),"Saipos Serviços De Software")</f>
        <v>Saipos Serviços De Software</v>
      </c>
      <c r="V3471" s="33">
        <f>IFERROR(__xludf.DUMMYFUNCTION("""COMPUTED_VALUE"""),1.0)</f>
        <v>1</v>
      </c>
      <c r="W3471" s="4" t="str">
        <f>IFERROR(__xludf.DUMMYFUNCTION("""COMPUTED_VALUE"""),"Saipos Serviços De Software")</f>
        <v>Saipos Serviços De Software</v>
      </c>
      <c r="X3471" s="33">
        <f>IFERROR(__xludf.DUMMYFUNCTION("""COMPUTED_VALUE"""),1.0)</f>
        <v>1</v>
      </c>
    </row>
    <row r="3472">
      <c r="K3472" s="4" t="str">
        <f>IFERROR(__xludf.DUMMYFUNCTION("""COMPUTED_VALUE"""),"GRUPO 380 PADARIA")</f>
        <v>GRUPO 380 PADARIA</v>
      </c>
      <c r="L3472" s="32">
        <f>IFERROR(__xludf.DUMMYFUNCTION("""COMPUTED_VALUE"""),3.0)</f>
        <v>3</v>
      </c>
      <c r="M3472" s="4" t="str">
        <f>IFERROR(__xludf.DUMMYFUNCTION("""COMPUTED_VALUE"""),"Saipos Serviços De Software")</f>
        <v>Saipos Serviços De Software</v>
      </c>
      <c r="N3472" s="33">
        <f>IFERROR(__xludf.DUMMYFUNCTION("""COMPUTED_VALUE"""),0.6666666666666666)</f>
        <v>0.6666666667</v>
      </c>
      <c r="O3472" s="4" t="str">
        <f>IFERROR(__xludf.DUMMYFUNCTION("""COMPUTED_VALUE"""),"Saipos Serviços De Software")</f>
        <v>Saipos Serviços De Software</v>
      </c>
      <c r="P3472" s="33">
        <f>IFERROR(__xludf.DUMMYFUNCTION("""COMPUTED_VALUE"""),0.6666666666666666)</f>
        <v>0.6666666667</v>
      </c>
      <c r="Q3472" s="4" t="str">
        <f>IFERROR(__xludf.DUMMYFUNCTION("""COMPUTED_VALUE"""),"Saipos Serviços De Software")</f>
        <v>Saipos Serviços De Software</v>
      </c>
      <c r="R3472" s="33">
        <f>IFERROR(__xludf.DUMMYFUNCTION("""COMPUTED_VALUE"""),1.0)</f>
        <v>1</v>
      </c>
      <c r="S3472" s="4" t="str">
        <f>IFERROR(__xludf.DUMMYFUNCTION("""COMPUTED_VALUE"""),"Saipos Serviços De Software")</f>
        <v>Saipos Serviços De Software</v>
      </c>
      <c r="T3472" s="33">
        <f>IFERROR(__xludf.DUMMYFUNCTION("""COMPUTED_VALUE"""),1.0)</f>
        <v>1</v>
      </c>
      <c r="U3472" s="4" t="str">
        <f>IFERROR(__xludf.DUMMYFUNCTION("""COMPUTED_VALUE"""),"Saipos Serviços De Software")</f>
        <v>Saipos Serviços De Software</v>
      </c>
      <c r="V3472" s="33">
        <f>IFERROR(__xludf.DUMMYFUNCTION("""COMPUTED_VALUE"""),1.0)</f>
        <v>1</v>
      </c>
      <c r="W3472" s="4" t="str">
        <f>IFERROR(__xludf.DUMMYFUNCTION("""COMPUTED_VALUE"""),"Saipos Serviços De Software")</f>
        <v>Saipos Serviços De Software</v>
      </c>
      <c r="X3472" s="33">
        <f>IFERROR(__xludf.DUMMYFUNCTION("""COMPUTED_VALUE"""),1.0)</f>
        <v>1</v>
      </c>
    </row>
    <row r="3473">
      <c r="K3473" s="4" t="str">
        <f>IFERROR(__xludf.DUMMYFUNCTION("""COMPUTED_VALUE"""),"GRUPO ADEON")</f>
        <v>GRUPO ADEON</v>
      </c>
      <c r="L3473" s="32">
        <f>IFERROR(__xludf.DUMMYFUNCTION("""COMPUTED_VALUE"""),3.0)</f>
        <v>3</v>
      </c>
      <c r="M3473" s="4" t="str">
        <f>IFERROR(__xludf.DUMMYFUNCTION("""COMPUTED_VALUE"""),"Saipos Serviços De Software")</f>
        <v>Saipos Serviços De Software</v>
      </c>
      <c r="N3473" s="33">
        <f>IFERROR(__xludf.DUMMYFUNCTION("""COMPUTED_VALUE"""),1.0)</f>
        <v>1</v>
      </c>
      <c r="O3473" s="4" t="str">
        <f>IFERROR(__xludf.DUMMYFUNCTION("""COMPUTED_VALUE"""),"Saipos Serviços De Software")</f>
        <v>Saipos Serviços De Software</v>
      </c>
      <c r="P3473" s="33">
        <f>IFERROR(__xludf.DUMMYFUNCTION("""COMPUTED_VALUE"""),1.0)</f>
        <v>1</v>
      </c>
      <c r="Q3473" s="4" t="str">
        <f>IFERROR(__xludf.DUMMYFUNCTION("""COMPUTED_VALUE"""),"Saipos Serviços De Software")</f>
        <v>Saipos Serviços De Software</v>
      </c>
      <c r="R3473" s="33">
        <f>IFERROR(__xludf.DUMMYFUNCTION("""COMPUTED_VALUE"""),1.0)</f>
        <v>1</v>
      </c>
      <c r="S3473" s="4" t="str">
        <f>IFERROR(__xludf.DUMMYFUNCTION("""COMPUTED_VALUE"""),"Saipos Serviços De Software")</f>
        <v>Saipos Serviços De Software</v>
      </c>
      <c r="T3473" s="33">
        <f>IFERROR(__xludf.DUMMYFUNCTION("""COMPUTED_VALUE"""),1.0)</f>
        <v>1</v>
      </c>
      <c r="U3473" s="4" t="str">
        <f>IFERROR(__xludf.DUMMYFUNCTION("""COMPUTED_VALUE"""),"Saipos Serviços De Software")</f>
        <v>Saipos Serviços De Software</v>
      </c>
      <c r="V3473" s="33">
        <f>IFERROR(__xludf.DUMMYFUNCTION("""COMPUTED_VALUE"""),1.0)</f>
        <v>1</v>
      </c>
      <c r="W3473" s="4" t="str">
        <f>IFERROR(__xludf.DUMMYFUNCTION("""COMPUTED_VALUE"""),"Saipos Serviços De Software")</f>
        <v>Saipos Serviços De Software</v>
      </c>
      <c r="X3473" s="33">
        <f>IFERROR(__xludf.DUMMYFUNCTION("""COMPUTED_VALUE"""),1.0)</f>
        <v>1</v>
      </c>
    </row>
    <row r="3474">
      <c r="K3474" s="4" t="str">
        <f>IFERROR(__xludf.DUMMYFUNCTION("""COMPUTED_VALUE"""),"GRUPO ANFITIRAO")</f>
        <v>GRUPO ANFITIRAO</v>
      </c>
      <c r="L3474" s="32">
        <f>IFERROR(__xludf.DUMMYFUNCTION("""COMPUTED_VALUE"""),3.0)</f>
        <v>3</v>
      </c>
      <c r="M3474" s="4" t="str">
        <f>IFERROR(__xludf.DUMMYFUNCTION("""COMPUTED_VALUE"""),"Saipos Serviços De Software")</f>
        <v>Saipos Serviços De Software</v>
      </c>
      <c r="N3474" s="33">
        <f>IFERROR(__xludf.DUMMYFUNCTION("""COMPUTED_VALUE"""),1.0)</f>
        <v>1</v>
      </c>
      <c r="O3474" s="4" t="str">
        <f>IFERROR(__xludf.DUMMYFUNCTION("""COMPUTED_VALUE"""),"Saipos Serviços De Software")</f>
        <v>Saipos Serviços De Software</v>
      </c>
      <c r="P3474" s="33">
        <f>IFERROR(__xludf.DUMMYFUNCTION("""COMPUTED_VALUE"""),1.0)</f>
        <v>1</v>
      </c>
      <c r="Q3474" s="4" t="str">
        <f>IFERROR(__xludf.DUMMYFUNCTION("""COMPUTED_VALUE"""),"Saipos Serviços De Software")</f>
        <v>Saipos Serviços De Software</v>
      </c>
      <c r="R3474" s="33">
        <f>IFERROR(__xludf.DUMMYFUNCTION("""COMPUTED_VALUE"""),1.0)</f>
        <v>1</v>
      </c>
      <c r="S3474" s="4" t="str">
        <f>IFERROR(__xludf.DUMMYFUNCTION("""COMPUTED_VALUE"""),"Saipos Serviços De Software")</f>
        <v>Saipos Serviços De Software</v>
      </c>
      <c r="T3474" s="33">
        <f>IFERROR(__xludf.DUMMYFUNCTION("""COMPUTED_VALUE"""),0.6666666666666666)</f>
        <v>0.6666666667</v>
      </c>
      <c r="U3474" s="4" t="str">
        <f>IFERROR(__xludf.DUMMYFUNCTION("""COMPUTED_VALUE"""),"Saipos Serviços De Software")</f>
        <v>Saipos Serviços De Software</v>
      </c>
      <c r="V3474" s="33">
        <f>IFERROR(__xludf.DUMMYFUNCTION("""COMPUTED_VALUE"""),1.0)</f>
        <v>1</v>
      </c>
      <c r="W3474" s="4" t="str">
        <f>IFERROR(__xludf.DUMMYFUNCTION("""COMPUTED_VALUE"""),"Saipos Serviços De Software")</f>
        <v>Saipos Serviços De Software</v>
      </c>
      <c r="X3474" s="33">
        <f>IFERROR(__xludf.DUMMYFUNCTION("""COMPUTED_VALUE"""),0.6666666666666666)</f>
        <v>0.6666666667</v>
      </c>
    </row>
    <row r="3475">
      <c r="K3475" s="4" t="str">
        <f>IFERROR(__xludf.DUMMYFUNCTION("""COMPUTED_VALUE"""),"GRUPO BACALHAUCIA")</f>
        <v>GRUPO BACALHAUCIA</v>
      </c>
      <c r="L3475" s="32">
        <f>IFERROR(__xludf.DUMMYFUNCTION("""COMPUTED_VALUE"""),3.0)</f>
        <v>3</v>
      </c>
      <c r="M3475" s="4" t="str">
        <f>IFERROR(__xludf.DUMMYFUNCTION("""COMPUTED_VALUE"""),"Consumer Soluções Em Tecnologia Ltda")</f>
        <v>Consumer Soluções Em Tecnologia Ltda</v>
      </c>
      <c r="N3475" s="33">
        <f>IFERROR(__xludf.DUMMYFUNCTION("""COMPUTED_VALUE"""),1.0)</f>
        <v>1</v>
      </c>
      <c r="O3475" s="4" t="str">
        <f>IFERROR(__xludf.DUMMYFUNCTION("""COMPUTED_VALUE"""),"Consumer Soluções Em Tecnologia Ltda")</f>
        <v>Consumer Soluções Em Tecnologia Ltda</v>
      </c>
      <c r="P3475" s="33">
        <f>IFERROR(__xludf.DUMMYFUNCTION("""COMPUTED_VALUE"""),0.6666666666666666)</f>
        <v>0.6666666667</v>
      </c>
      <c r="Q3475" s="4" t="str">
        <f>IFERROR(__xludf.DUMMYFUNCTION("""COMPUTED_VALUE"""),"null")</f>
        <v>null</v>
      </c>
      <c r="R3475" s="33">
        <f>IFERROR(__xludf.DUMMYFUNCTION("""COMPUTED_VALUE"""),0.6666666666666666)</f>
        <v>0.6666666667</v>
      </c>
      <c r="S3475" s="4" t="str">
        <f>IFERROR(__xludf.DUMMYFUNCTION("""COMPUTED_VALUE"""),"null")</f>
        <v>null</v>
      </c>
      <c r="T3475" s="33">
        <f>IFERROR(__xludf.DUMMYFUNCTION("""COMPUTED_VALUE"""),0.6666666666666666)</f>
        <v>0.6666666667</v>
      </c>
      <c r="U3475" s="4" t="str">
        <f>IFERROR(__xludf.DUMMYFUNCTION("""COMPUTED_VALUE"""),"null")</f>
        <v>null</v>
      </c>
      <c r="V3475" s="33">
        <f>IFERROR(__xludf.DUMMYFUNCTION("""COMPUTED_VALUE"""),0.6666666666666666)</f>
        <v>0.6666666667</v>
      </c>
      <c r="W3475" s="4" t="str">
        <f>IFERROR(__xludf.DUMMYFUNCTION("""COMPUTED_VALUE"""),"Consumer Soluções Em Tecnologia Ltda")</f>
        <v>Consumer Soluções Em Tecnologia Ltda</v>
      </c>
      <c r="X3475" s="33">
        <f>IFERROR(__xludf.DUMMYFUNCTION("""COMPUTED_VALUE"""),1.0)</f>
        <v>1</v>
      </c>
    </row>
    <row r="3476">
      <c r="K3476" s="4" t="str">
        <f>IFERROR(__xludf.DUMMYFUNCTION("""COMPUTED_VALUE"""),"GRUPO BATATA E BACON")</f>
        <v>GRUPO BATATA E BACON</v>
      </c>
      <c r="L3476" s="32">
        <f>IFERROR(__xludf.DUMMYFUNCTION("""COMPUTED_VALUE"""),3.0)</f>
        <v>3</v>
      </c>
      <c r="M3476" s="4" t="str">
        <f>IFERROR(__xludf.DUMMYFUNCTION("""COMPUTED_VALUE"""),"Cardápio Web")</f>
        <v>Cardápio Web</v>
      </c>
      <c r="N3476" s="33">
        <f>IFERROR(__xludf.DUMMYFUNCTION("""COMPUTED_VALUE"""),1.0)</f>
        <v>1</v>
      </c>
      <c r="O3476" s="4" t="str">
        <f>IFERROR(__xludf.DUMMYFUNCTION("""COMPUTED_VALUE"""),"Cardápio Web")</f>
        <v>Cardápio Web</v>
      </c>
      <c r="P3476" s="33">
        <f>IFERROR(__xludf.DUMMYFUNCTION("""COMPUTED_VALUE"""),1.0)</f>
        <v>1</v>
      </c>
      <c r="Q3476" s="4" t="str">
        <f>IFERROR(__xludf.DUMMYFUNCTION("""COMPUTED_VALUE"""),"Cardápio Web")</f>
        <v>Cardápio Web</v>
      </c>
      <c r="R3476" s="33">
        <f>IFERROR(__xludf.DUMMYFUNCTION("""COMPUTED_VALUE"""),1.0)</f>
        <v>1</v>
      </c>
      <c r="S3476" s="4" t="str">
        <f>IFERROR(__xludf.DUMMYFUNCTION("""COMPUTED_VALUE"""),"Cardápio Web")</f>
        <v>Cardápio Web</v>
      </c>
      <c r="T3476" s="33">
        <f>IFERROR(__xludf.DUMMYFUNCTION("""COMPUTED_VALUE"""),1.0)</f>
        <v>1</v>
      </c>
      <c r="U3476" s="4" t="str">
        <f>IFERROR(__xludf.DUMMYFUNCTION("""COMPUTED_VALUE"""),"Cardápio Web")</f>
        <v>Cardápio Web</v>
      </c>
      <c r="V3476" s="33">
        <f>IFERROR(__xludf.DUMMYFUNCTION("""COMPUTED_VALUE"""),1.0)</f>
        <v>1</v>
      </c>
      <c r="W3476" s="4" t="str">
        <f>IFERROR(__xludf.DUMMYFUNCTION("""COMPUTED_VALUE"""),"Cardápio Web")</f>
        <v>Cardápio Web</v>
      </c>
      <c r="X3476" s="33">
        <f>IFERROR(__xludf.DUMMYFUNCTION("""COMPUTED_VALUE"""),1.0)</f>
        <v>1</v>
      </c>
    </row>
    <row r="3477">
      <c r="K3477" s="4" t="str">
        <f>IFERROR(__xludf.DUMMYFUNCTION("""COMPUTED_VALUE"""),"GRUPO BIFAO")</f>
        <v>GRUPO BIFAO</v>
      </c>
      <c r="L3477" s="32">
        <f>IFERROR(__xludf.DUMMYFUNCTION("""COMPUTED_VALUE"""),3.0)</f>
        <v>3</v>
      </c>
      <c r="M3477" s="4" t="str">
        <f>IFERROR(__xludf.DUMMYFUNCTION("""COMPUTED_VALUE"""),"null")</f>
        <v>null</v>
      </c>
      <c r="N3477" s="33">
        <f>IFERROR(__xludf.DUMMYFUNCTION("""COMPUTED_VALUE"""),0.6666666666666666)</f>
        <v>0.6666666667</v>
      </c>
      <c r="O3477" s="4" t="str">
        <f>IFERROR(__xludf.DUMMYFUNCTION("""COMPUTED_VALUE"""),"null")</f>
        <v>null</v>
      </c>
      <c r="P3477" s="33">
        <f>IFERROR(__xludf.DUMMYFUNCTION("""COMPUTED_VALUE"""),0.6666666666666666)</f>
        <v>0.6666666667</v>
      </c>
      <c r="Q3477" s="4" t="str">
        <f>IFERROR(__xludf.DUMMYFUNCTION("""COMPUTED_VALUE"""),"Saipos Serviços De Software")</f>
        <v>Saipos Serviços De Software</v>
      </c>
      <c r="R3477" s="33">
        <f>IFERROR(__xludf.DUMMYFUNCTION("""COMPUTED_VALUE"""),0.6666666666666666)</f>
        <v>0.6666666667</v>
      </c>
      <c r="S3477" s="4" t="str">
        <f>IFERROR(__xludf.DUMMYFUNCTION("""COMPUTED_VALUE"""),"Saipos Serviços De Software")</f>
        <v>Saipos Serviços De Software</v>
      </c>
      <c r="T3477" s="33">
        <f>IFERROR(__xludf.DUMMYFUNCTION("""COMPUTED_VALUE"""),1.0)</f>
        <v>1</v>
      </c>
      <c r="U3477" s="4" t="str">
        <f>IFERROR(__xludf.DUMMYFUNCTION("""COMPUTED_VALUE"""),"Saipos Serviços De Software")</f>
        <v>Saipos Serviços De Software</v>
      </c>
      <c r="V3477" s="33">
        <f>IFERROR(__xludf.DUMMYFUNCTION("""COMPUTED_VALUE"""),1.0)</f>
        <v>1</v>
      </c>
      <c r="W3477" s="4" t="str">
        <f>IFERROR(__xludf.DUMMYFUNCTION("""COMPUTED_VALUE"""),"Saipos Serviços De Software")</f>
        <v>Saipos Serviços De Software</v>
      </c>
      <c r="X3477" s="33">
        <f>IFERROR(__xludf.DUMMYFUNCTION("""COMPUTED_VALUE"""),1.0)</f>
        <v>1</v>
      </c>
    </row>
    <row r="3478">
      <c r="K3478" s="4" t="str">
        <f>IFERROR(__xludf.DUMMYFUNCTION("""COMPUTED_VALUE"""),"GRUPO BLACK TRUCK")</f>
        <v>GRUPO BLACK TRUCK</v>
      </c>
      <c r="L3478" s="32">
        <f>IFERROR(__xludf.DUMMYFUNCTION("""COMPUTED_VALUE"""),3.0)</f>
        <v>3</v>
      </c>
      <c r="M3478" s="4" t="str">
        <f>IFERROR(__xludf.DUMMYFUNCTION("""COMPUTED_VALUE"""),"Vuca Solution")</f>
        <v>Vuca Solution</v>
      </c>
      <c r="N3478" s="33">
        <f>IFERROR(__xludf.DUMMYFUNCTION("""COMPUTED_VALUE"""),1.0)</f>
        <v>1</v>
      </c>
      <c r="O3478" s="4" t="str">
        <f>IFERROR(__xludf.DUMMYFUNCTION("""COMPUTED_VALUE"""),"Vuca Solution")</f>
        <v>Vuca Solution</v>
      </c>
      <c r="P3478" s="33">
        <f>IFERROR(__xludf.DUMMYFUNCTION("""COMPUTED_VALUE"""),1.0)</f>
        <v>1</v>
      </c>
      <c r="Q3478" s="4" t="str">
        <f>IFERROR(__xludf.DUMMYFUNCTION("""COMPUTED_VALUE"""),"Vuca Solution")</f>
        <v>Vuca Solution</v>
      </c>
      <c r="R3478" s="33">
        <f>IFERROR(__xludf.DUMMYFUNCTION("""COMPUTED_VALUE"""),0.6666666666666666)</f>
        <v>0.6666666667</v>
      </c>
      <c r="S3478" s="4" t="str">
        <f>IFERROR(__xludf.DUMMYFUNCTION("""COMPUTED_VALUE"""),"Vuca Solution")</f>
        <v>Vuca Solution</v>
      </c>
      <c r="T3478" s="33">
        <f>IFERROR(__xludf.DUMMYFUNCTION("""COMPUTED_VALUE"""),0.6666666666666666)</f>
        <v>0.6666666667</v>
      </c>
      <c r="U3478" s="4" t="str">
        <f>IFERROR(__xludf.DUMMYFUNCTION("""COMPUTED_VALUE"""),"Vuca Solution")</f>
        <v>Vuca Solution</v>
      </c>
      <c r="V3478" s="33">
        <f>IFERROR(__xludf.DUMMYFUNCTION("""COMPUTED_VALUE"""),0.6666666666666666)</f>
        <v>0.6666666667</v>
      </c>
      <c r="W3478" s="4" t="str">
        <f>IFERROR(__xludf.DUMMYFUNCTION("""COMPUTED_VALUE"""),"Vuca Solution")</f>
        <v>Vuca Solution</v>
      </c>
      <c r="X3478" s="33">
        <f>IFERROR(__xludf.DUMMYFUNCTION("""COMPUTED_VALUE"""),0.6666666666666666)</f>
        <v>0.6666666667</v>
      </c>
    </row>
    <row r="3479">
      <c r="K3479" s="4" t="str">
        <f>IFERROR(__xludf.DUMMYFUNCTION("""COMPUTED_VALUE"""),"GRUPO BOM SABOR")</f>
        <v>GRUPO BOM SABOR</v>
      </c>
      <c r="L3479" s="32">
        <f>IFERROR(__xludf.DUMMYFUNCTION("""COMPUTED_VALUE"""),3.0)</f>
        <v>3</v>
      </c>
      <c r="M3479" s="4" t="str">
        <f>IFERROR(__xludf.DUMMYFUNCTION("""COMPUTED_VALUE"""),"Saipos Serviços De Software")</f>
        <v>Saipos Serviços De Software</v>
      </c>
      <c r="N3479" s="33">
        <f>IFERROR(__xludf.DUMMYFUNCTION("""COMPUTED_VALUE"""),1.0)</f>
        <v>1</v>
      </c>
      <c r="O3479" s="4" t="str">
        <f>IFERROR(__xludf.DUMMYFUNCTION("""COMPUTED_VALUE"""),"Saipos Serviços De Software")</f>
        <v>Saipos Serviços De Software</v>
      </c>
      <c r="P3479" s="33">
        <f>IFERROR(__xludf.DUMMYFUNCTION("""COMPUTED_VALUE"""),1.0)</f>
        <v>1</v>
      </c>
      <c r="Q3479" s="4" t="str">
        <f>IFERROR(__xludf.DUMMYFUNCTION("""COMPUTED_VALUE"""),"Saipos Serviços De Software")</f>
        <v>Saipos Serviços De Software</v>
      </c>
      <c r="R3479" s="33">
        <f>IFERROR(__xludf.DUMMYFUNCTION("""COMPUTED_VALUE"""),1.0)</f>
        <v>1</v>
      </c>
      <c r="S3479" s="4" t="str">
        <f>IFERROR(__xludf.DUMMYFUNCTION("""COMPUTED_VALUE"""),"Saipos Serviços De Software")</f>
        <v>Saipos Serviços De Software</v>
      </c>
      <c r="T3479" s="33">
        <f>IFERROR(__xludf.DUMMYFUNCTION("""COMPUTED_VALUE"""),1.0)</f>
        <v>1</v>
      </c>
      <c r="U3479" s="4" t="str">
        <f>IFERROR(__xludf.DUMMYFUNCTION("""COMPUTED_VALUE"""),"Saipos Serviços De Software")</f>
        <v>Saipos Serviços De Software</v>
      </c>
      <c r="V3479" s="33">
        <f>IFERROR(__xludf.DUMMYFUNCTION("""COMPUTED_VALUE"""),1.0)</f>
        <v>1</v>
      </c>
      <c r="W3479" s="4" t="str">
        <f>IFERROR(__xludf.DUMMYFUNCTION("""COMPUTED_VALUE"""),"Saipos Serviços De Software")</f>
        <v>Saipos Serviços De Software</v>
      </c>
      <c r="X3479" s="33">
        <f>IFERROR(__xludf.DUMMYFUNCTION("""COMPUTED_VALUE"""),1.0)</f>
        <v>1</v>
      </c>
    </row>
    <row r="3480">
      <c r="K3480" s="4" t="str">
        <f>IFERROR(__xludf.DUMMYFUNCTION("""COMPUTED_VALUE"""),"GRUPO CASA ALMERIA")</f>
        <v>GRUPO CASA ALMERIA</v>
      </c>
      <c r="L3480" s="32">
        <f>IFERROR(__xludf.DUMMYFUNCTION("""COMPUTED_VALUE"""),3.0)</f>
        <v>3</v>
      </c>
      <c r="M3480" s="4" t="str">
        <f>IFERROR(__xludf.DUMMYFUNCTION("""COMPUTED_VALUE"""),"Netcontroll Xmenu")</f>
        <v>Netcontroll Xmenu</v>
      </c>
      <c r="N3480" s="33">
        <f>IFERROR(__xludf.DUMMYFUNCTION("""COMPUTED_VALUE"""),0.6666666666666666)</f>
        <v>0.6666666667</v>
      </c>
      <c r="O3480" s="4" t="str">
        <f>IFERROR(__xludf.DUMMYFUNCTION("""COMPUTED_VALUE"""),"null")</f>
        <v>null</v>
      </c>
      <c r="P3480" s="33">
        <f>IFERROR(__xludf.DUMMYFUNCTION("""COMPUTED_VALUE"""),0.6666666666666666)</f>
        <v>0.6666666667</v>
      </c>
      <c r="Q3480" s="4" t="str">
        <f>IFERROR(__xludf.DUMMYFUNCTION("""COMPUTED_VALUE"""),"null")</f>
        <v>null</v>
      </c>
      <c r="R3480" s="33">
        <f>IFERROR(__xludf.DUMMYFUNCTION("""COMPUTED_VALUE"""),0.6666666666666666)</f>
        <v>0.6666666667</v>
      </c>
      <c r="S3480" s="4" t="str">
        <f>IFERROR(__xludf.DUMMYFUNCTION("""COMPUTED_VALUE"""),"null")</f>
        <v>null</v>
      </c>
      <c r="T3480" s="33">
        <f>IFERROR(__xludf.DUMMYFUNCTION("""COMPUTED_VALUE"""),0.6666666666666666)</f>
        <v>0.6666666667</v>
      </c>
      <c r="U3480" s="4" t="str">
        <f>IFERROR(__xludf.DUMMYFUNCTION("""COMPUTED_VALUE"""),"null")</f>
        <v>null</v>
      </c>
      <c r="V3480" s="33">
        <f>IFERROR(__xludf.DUMMYFUNCTION("""COMPUTED_VALUE"""),0.6666666666666666)</f>
        <v>0.6666666667</v>
      </c>
      <c r="W3480" s="4" t="str">
        <f>IFERROR(__xludf.DUMMYFUNCTION("""COMPUTED_VALUE"""),"Netcontroll Xmenu")</f>
        <v>Netcontroll Xmenu</v>
      </c>
      <c r="X3480" s="33">
        <f>IFERROR(__xludf.DUMMYFUNCTION("""COMPUTED_VALUE"""),0.6666666666666666)</f>
        <v>0.6666666667</v>
      </c>
    </row>
    <row r="3481">
      <c r="K3481" s="4" t="str">
        <f>IFERROR(__xludf.DUMMYFUNCTION("""COMPUTED_VALUE"""),"GRUPO CHINCHO GORDO")</f>
        <v>GRUPO CHINCHO GORDO</v>
      </c>
      <c r="L3481" s="32">
        <f>IFERROR(__xludf.DUMMYFUNCTION("""COMPUTED_VALUE"""),3.0)</f>
        <v>3</v>
      </c>
      <c r="M3481" s="4" t="str">
        <f>IFERROR(__xludf.DUMMYFUNCTION("""COMPUTED_VALUE"""),"null")</f>
        <v>null</v>
      </c>
      <c r="N3481" s="33">
        <f>IFERROR(__xludf.DUMMYFUNCTION("""COMPUTED_VALUE"""),0.6666666666666666)</f>
        <v>0.6666666667</v>
      </c>
      <c r="O3481" s="4" t="str">
        <f>IFERROR(__xludf.DUMMYFUNCTION("""COMPUTED_VALUE"""),"null")</f>
        <v>null</v>
      </c>
      <c r="P3481" s="33">
        <f>IFERROR(__xludf.DUMMYFUNCTION("""COMPUTED_VALUE"""),0.6666666666666666)</f>
        <v>0.6666666667</v>
      </c>
      <c r="Q3481" s="4" t="str">
        <f>IFERROR(__xludf.DUMMYFUNCTION("""COMPUTED_VALUE"""),"null")</f>
        <v>null</v>
      </c>
      <c r="R3481" s="33">
        <f>IFERROR(__xludf.DUMMYFUNCTION("""COMPUTED_VALUE"""),0.6666666666666666)</f>
        <v>0.6666666667</v>
      </c>
      <c r="S3481" s="4" t="str">
        <f>IFERROR(__xludf.DUMMYFUNCTION("""COMPUTED_VALUE"""),"null")</f>
        <v>null</v>
      </c>
      <c r="T3481" s="33">
        <f>IFERROR(__xludf.DUMMYFUNCTION("""COMPUTED_VALUE"""),0.6666666666666666)</f>
        <v>0.6666666667</v>
      </c>
      <c r="U3481" s="4" t="str">
        <f>IFERROR(__xludf.DUMMYFUNCTION("""COMPUTED_VALUE"""),"null")</f>
        <v>null</v>
      </c>
      <c r="V3481" s="33">
        <f>IFERROR(__xludf.DUMMYFUNCTION("""COMPUTED_VALUE"""),0.6666666666666666)</f>
        <v>0.6666666667</v>
      </c>
      <c r="W3481" s="4" t="str">
        <f>IFERROR(__xludf.DUMMYFUNCTION("""COMPUTED_VALUE"""),"Saipos Serviços De Software")</f>
        <v>Saipos Serviços De Software</v>
      </c>
      <c r="X3481" s="33">
        <f>IFERROR(__xludf.DUMMYFUNCTION("""COMPUTED_VALUE"""),1.0)</f>
        <v>1</v>
      </c>
    </row>
    <row r="3482">
      <c r="K3482" s="4" t="str">
        <f>IFERROR(__xludf.DUMMYFUNCTION("""COMPUTED_VALUE"""),"GRUPO CLAUDINHO")</f>
        <v>GRUPO CLAUDINHO</v>
      </c>
      <c r="L3482" s="32">
        <f>IFERROR(__xludf.DUMMYFUNCTION("""COMPUTED_VALUE"""),3.0)</f>
        <v>3</v>
      </c>
      <c r="M3482" s="4" t="str">
        <f>IFERROR(__xludf.DUMMYFUNCTION("""COMPUTED_VALUE"""),"null")</f>
        <v>null</v>
      </c>
      <c r="N3482" s="33">
        <f>IFERROR(__xludf.DUMMYFUNCTION("""COMPUTED_VALUE"""),1.0)</f>
        <v>1</v>
      </c>
      <c r="O3482" s="4" t="str">
        <f>IFERROR(__xludf.DUMMYFUNCTION("""COMPUTED_VALUE"""),"null")</f>
        <v>null</v>
      </c>
      <c r="P3482" s="33">
        <f>IFERROR(__xludf.DUMMYFUNCTION("""COMPUTED_VALUE"""),1.0)</f>
        <v>1</v>
      </c>
      <c r="Q3482" s="4" t="str">
        <f>IFERROR(__xludf.DUMMYFUNCTION("""COMPUTED_VALUE"""),"null")</f>
        <v>null</v>
      </c>
      <c r="R3482" s="33">
        <f>IFERROR(__xludf.DUMMYFUNCTION("""COMPUTED_VALUE"""),1.0)</f>
        <v>1</v>
      </c>
      <c r="S3482" s="4" t="str">
        <f>IFERROR(__xludf.DUMMYFUNCTION("""COMPUTED_VALUE"""),"Saipos Serviços De Software")</f>
        <v>Saipos Serviços De Software</v>
      </c>
      <c r="T3482" s="33">
        <f>IFERROR(__xludf.DUMMYFUNCTION("""COMPUTED_VALUE"""),1.0)</f>
        <v>1</v>
      </c>
      <c r="U3482" s="4" t="str">
        <f>IFERROR(__xludf.DUMMYFUNCTION("""COMPUTED_VALUE"""),"Saipos Serviços De Software")</f>
        <v>Saipos Serviços De Software</v>
      </c>
      <c r="V3482" s="33">
        <f>IFERROR(__xludf.DUMMYFUNCTION("""COMPUTED_VALUE"""),0.6666666666666666)</f>
        <v>0.6666666667</v>
      </c>
      <c r="W3482" s="4" t="str">
        <f>IFERROR(__xludf.DUMMYFUNCTION("""COMPUTED_VALUE"""),"Saipos Serviços De Software")</f>
        <v>Saipos Serviços De Software</v>
      </c>
      <c r="X3482" s="33">
        <f>IFERROR(__xludf.DUMMYFUNCTION("""COMPUTED_VALUE"""),1.0)</f>
        <v>1</v>
      </c>
    </row>
    <row r="3483">
      <c r="K3483" s="4" t="str">
        <f>IFERROR(__xludf.DUMMYFUNCTION("""COMPUTED_VALUE"""),"GRUPO COLA NA BASE")</f>
        <v>GRUPO COLA NA BASE</v>
      </c>
      <c r="L3483" s="32">
        <f>IFERROR(__xludf.DUMMYFUNCTION("""COMPUTED_VALUE"""),3.0)</f>
        <v>3</v>
      </c>
      <c r="M3483" s="4" t="str">
        <f>IFERROR(__xludf.DUMMYFUNCTION("""COMPUTED_VALUE"""),"Yooga")</f>
        <v>Yooga</v>
      </c>
      <c r="N3483" s="33">
        <f>IFERROR(__xludf.DUMMYFUNCTION("""COMPUTED_VALUE"""),0.3333333333333333)</f>
        <v>0.3333333333</v>
      </c>
      <c r="O3483" s="4" t="str">
        <f>IFERROR(__xludf.DUMMYFUNCTION("""COMPUTED_VALUE"""),"Yooga")</f>
        <v>Yooga</v>
      </c>
      <c r="P3483" s="33">
        <f>IFERROR(__xludf.DUMMYFUNCTION("""COMPUTED_VALUE"""),0.3333333333333333)</f>
        <v>0.3333333333</v>
      </c>
      <c r="Q3483" s="4" t="str">
        <f>IFERROR(__xludf.DUMMYFUNCTION("""COMPUTED_VALUE"""),"Yooga")</f>
        <v>Yooga</v>
      </c>
      <c r="R3483" s="33">
        <f>IFERROR(__xludf.DUMMYFUNCTION("""COMPUTED_VALUE"""),0.3333333333333333)</f>
        <v>0.3333333333</v>
      </c>
      <c r="S3483" s="4" t="str">
        <f>IFERROR(__xludf.DUMMYFUNCTION("""COMPUTED_VALUE"""),"Netcontroll Xmenu")</f>
        <v>Netcontroll Xmenu</v>
      </c>
      <c r="T3483" s="33">
        <f>IFERROR(__xludf.DUMMYFUNCTION("""COMPUTED_VALUE"""),0.6666666666666666)</f>
        <v>0.6666666667</v>
      </c>
      <c r="U3483" s="4" t="str">
        <f>IFERROR(__xludf.DUMMYFUNCTION("""COMPUTED_VALUE"""),"Netcontroll Xmenu")</f>
        <v>Netcontroll Xmenu</v>
      </c>
      <c r="V3483" s="33">
        <f>IFERROR(__xludf.DUMMYFUNCTION("""COMPUTED_VALUE"""),0.6666666666666666)</f>
        <v>0.6666666667</v>
      </c>
      <c r="W3483" s="4" t="str">
        <f>IFERROR(__xludf.DUMMYFUNCTION("""COMPUTED_VALUE"""),"Netcontroll Xmenu")</f>
        <v>Netcontroll Xmenu</v>
      </c>
      <c r="X3483" s="33">
        <f>IFERROR(__xludf.DUMMYFUNCTION("""COMPUTED_VALUE"""),0.6666666666666666)</f>
        <v>0.6666666667</v>
      </c>
    </row>
    <row r="3484">
      <c r="K3484" s="4" t="str">
        <f>IFERROR(__xludf.DUMMYFUNCTION("""COMPUTED_VALUE"""),"GRUPO CURIO")</f>
        <v>GRUPO CURIO</v>
      </c>
      <c r="L3484" s="32">
        <f>IFERROR(__xludf.DUMMYFUNCTION("""COMPUTED_VALUE"""),3.0)</f>
        <v>3</v>
      </c>
      <c r="M3484" s="4" t="str">
        <f>IFERROR(__xludf.DUMMYFUNCTION("""COMPUTED_VALUE"""),"Vuca Solution")</f>
        <v>Vuca Solution</v>
      </c>
      <c r="N3484" s="33">
        <f>IFERROR(__xludf.DUMMYFUNCTION("""COMPUTED_VALUE"""),0.6666666666666666)</f>
        <v>0.6666666667</v>
      </c>
      <c r="O3484" s="4" t="str">
        <f>IFERROR(__xludf.DUMMYFUNCTION("""COMPUTED_VALUE"""),"Vuca Solution")</f>
        <v>Vuca Solution</v>
      </c>
      <c r="P3484" s="33">
        <f>IFERROR(__xludf.DUMMYFUNCTION("""COMPUTED_VALUE"""),0.6666666666666666)</f>
        <v>0.6666666667</v>
      </c>
      <c r="Q3484" s="4" t="str">
        <f>IFERROR(__xludf.DUMMYFUNCTION("""COMPUTED_VALUE"""),"Vuca Solution")</f>
        <v>Vuca Solution</v>
      </c>
      <c r="R3484" s="33">
        <f>IFERROR(__xludf.DUMMYFUNCTION("""COMPUTED_VALUE"""),0.6666666666666666)</f>
        <v>0.6666666667</v>
      </c>
      <c r="S3484" s="4" t="str">
        <f>IFERROR(__xludf.DUMMYFUNCTION("""COMPUTED_VALUE"""),"Vuca Solution")</f>
        <v>Vuca Solution</v>
      </c>
      <c r="T3484" s="33">
        <f>IFERROR(__xludf.DUMMYFUNCTION("""COMPUTED_VALUE"""),0.6666666666666666)</f>
        <v>0.6666666667</v>
      </c>
      <c r="U3484" s="4" t="str">
        <f>IFERROR(__xludf.DUMMYFUNCTION("""COMPUTED_VALUE"""),"Vuca Solution")</f>
        <v>Vuca Solution</v>
      </c>
      <c r="V3484" s="33">
        <f>IFERROR(__xludf.DUMMYFUNCTION("""COMPUTED_VALUE"""),0.6666666666666666)</f>
        <v>0.6666666667</v>
      </c>
      <c r="W3484" s="4" t="str">
        <f>IFERROR(__xludf.DUMMYFUNCTION("""COMPUTED_VALUE"""),"Vuca Solution")</f>
        <v>Vuca Solution</v>
      </c>
      <c r="X3484" s="33">
        <f>IFERROR(__xludf.DUMMYFUNCTION("""COMPUTED_VALUE"""),0.6666666666666666)</f>
        <v>0.6666666667</v>
      </c>
    </row>
    <row r="3485">
      <c r="K3485" s="4" t="str">
        <f>IFERROR(__xludf.DUMMYFUNCTION("""COMPUTED_VALUE"""),"GRUPO DLUCAS")</f>
        <v>GRUPO DLUCAS</v>
      </c>
      <c r="L3485" s="32">
        <f>IFERROR(__xludf.DUMMYFUNCTION("""COMPUTED_VALUE"""),3.0)</f>
        <v>3</v>
      </c>
      <c r="M3485" s="4" t="str">
        <f>IFERROR(__xludf.DUMMYFUNCTION("""COMPUTED_VALUE"""),"Saipos Serviços De Software")</f>
        <v>Saipos Serviços De Software</v>
      </c>
      <c r="N3485" s="33">
        <f>IFERROR(__xludf.DUMMYFUNCTION("""COMPUTED_VALUE"""),1.0)</f>
        <v>1</v>
      </c>
      <c r="O3485" s="4" t="str">
        <f>IFERROR(__xludf.DUMMYFUNCTION("""COMPUTED_VALUE"""),"Saipos Serviços De Software")</f>
        <v>Saipos Serviços De Software</v>
      </c>
      <c r="P3485" s="33">
        <f>IFERROR(__xludf.DUMMYFUNCTION("""COMPUTED_VALUE"""),1.0)</f>
        <v>1</v>
      </c>
      <c r="Q3485" s="4" t="str">
        <f>IFERROR(__xludf.DUMMYFUNCTION("""COMPUTED_VALUE"""),"Saipos Serviços De Software")</f>
        <v>Saipos Serviços De Software</v>
      </c>
      <c r="R3485" s="33">
        <f>IFERROR(__xludf.DUMMYFUNCTION("""COMPUTED_VALUE"""),1.0)</f>
        <v>1</v>
      </c>
      <c r="S3485" s="4" t="str">
        <f>IFERROR(__xludf.DUMMYFUNCTION("""COMPUTED_VALUE"""),"Saipos Serviços De Software")</f>
        <v>Saipos Serviços De Software</v>
      </c>
      <c r="T3485" s="33">
        <f>IFERROR(__xludf.DUMMYFUNCTION("""COMPUTED_VALUE"""),1.0)</f>
        <v>1</v>
      </c>
      <c r="U3485" s="4" t="str">
        <f>IFERROR(__xludf.DUMMYFUNCTION("""COMPUTED_VALUE"""),"Saipos Serviços De Software")</f>
        <v>Saipos Serviços De Software</v>
      </c>
      <c r="V3485" s="33">
        <f>IFERROR(__xludf.DUMMYFUNCTION("""COMPUTED_VALUE"""),1.0)</f>
        <v>1</v>
      </c>
      <c r="W3485" s="4" t="str">
        <f>IFERROR(__xludf.DUMMYFUNCTION("""COMPUTED_VALUE"""),"Saipos Serviços De Software")</f>
        <v>Saipos Serviços De Software</v>
      </c>
      <c r="X3485" s="33">
        <f>IFERROR(__xludf.DUMMYFUNCTION("""COMPUTED_VALUE"""),1.0)</f>
        <v>1</v>
      </c>
    </row>
    <row r="3486">
      <c r="K3486" s="4" t="str">
        <f>IFERROR(__xludf.DUMMYFUNCTION("""COMPUTED_VALUE"""),"GRUPO DON JOSEPH")</f>
        <v>GRUPO DON JOSEPH</v>
      </c>
      <c r="L3486" s="32">
        <f>IFERROR(__xludf.DUMMYFUNCTION("""COMPUTED_VALUE"""),3.0)</f>
        <v>3</v>
      </c>
      <c r="M3486" s="4" t="str">
        <f>IFERROR(__xludf.DUMMYFUNCTION("""COMPUTED_VALUE"""),"Anota Ai Solucoes Digitais S/a")</f>
        <v>Anota Ai Solucoes Digitais S/a</v>
      </c>
      <c r="N3486" s="33">
        <f>IFERROR(__xludf.DUMMYFUNCTION("""COMPUTED_VALUE"""),0.6666666666666666)</f>
        <v>0.6666666667</v>
      </c>
      <c r="O3486" s="4" t="str">
        <f>IFERROR(__xludf.DUMMYFUNCTION("""COMPUTED_VALUE"""),"Anota Ai Solucoes Digitais S/a")</f>
        <v>Anota Ai Solucoes Digitais S/a</v>
      </c>
      <c r="P3486" s="33">
        <f>IFERROR(__xludf.DUMMYFUNCTION("""COMPUTED_VALUE"""),0.6666666666666666)</f>
        <v>0.6666666667</v>
      </c>
      <c r="Q3486" s="4" t="str">
        <f>IFERROR(__xludf.DUMMYFUNCTION("""COMPUTED_VALUE"""),"Anota Ai Solucoes Digitais S/a")</f>
        <v>Anota Ai Solucoes Digitais S/a</v>
      </c>
      <c r="R3486" s="33">
        <f>IFERROR(__xludf.DUMMYFUNCTION("""COMPUTED_VALUE"""),0.6666666666666666)</f>
        <v>0.6666666667</v>
      </c>
      <c r="S3486" s="4" t="str">
        <f>IFERROR(__xludf.DUMMYFUNCTION("""COMPUTED_VALUE"""),"null")</f>
        <v>null</v>
      </c>
      <c r="T3486" s="33">
        <f>IFERROR(__xludf.DUMMYFUNCTION("""COMPUTED_VALUE"""),0.3333333333333333)</f>
        <v>0.3333333333</v>
      </c>
      <c r="U3486" s="4" t="str">
        <f>IFERROR(__xludf.DUMMYFUNCTION("""COMPUTED_VALUE"""),"null")</f>
        <v>null</v>
      </c>
      <c r="V3486" s="33">
        <f>IFERROR(__xludf.DUMMYFUNCTION("""COMPUTED_VALUE"""),0.3333333333333333)</f>
        <v>0.3333333333</v>
      </c>
      <c r="W3486" s="4" t="str">
        <f>IFERROR(__xludf.DUMMYFUNCTION("""COMPUTED_VALUE"""),"Anota Ai Solucoes Digitais S/a")</f>
        <v>Anota Ai Solucoes Digitais S/a</v>
      </c>
      <c r="X3486" s="33">
        <f>IFERROR(__xludf.DUMMYFUNCTION("""COMPUTED_VALUE"""),0.6666666666666666)</f>
        <v>0.6666666667</v>
      </c>
    </row>
    <row r="3487">
      <c r="K3487" s="4" t="str">
        <f>IFERROR(__xludf.DUMMYFUNCTION("""COMPUTED_VALUE"""),"GRUPO DORITOS")</f>
        <v>GRUPO DORITOS</v>
      </c>
      <c r="L3487" s="32">
        <f>IFERROR(__xludf.DUMMYFUNCTION("""COMPUTED_VALUE"""),3.0)</f>
        <v>3</v>
      </c>
      <c r="M3487" s="4" t="str">
        <f>IFERROR(__xludf.DUMMYFUNCTION("""COMPUTED_VALUE"""),"Saipos Serviços De Software")</f>
        <v>Saipos Serviços De Software</v>
      </c>
      <c r="N3487" s="33">
        <f>IFERROR(__xludf.DUMMYFUNCTION("""COMPUTED_VALUE"""),1.0)</f>
        <v>1</v>
      </c>
      <c r="O3487" s="4" t="str">
        <f>IFERROR(__xludf.DUMMYFUNCTION("""COMPUTED_VALUE"""),"Saipos Serviços De Software")</f>
        <v>Saipos Serviços De Software</v>
      </c>
      <c r="P3487" s="33">
        <f>IFERROR(__xludf.DUMMYFUNCTION("""COMPUTED_VALUE"""),1.0)</f>
        <v>1</v>
      </c>
      <c r="Q3487" s="4" t="str">
        <f>IFERROR(__xludf.DUMMYFUNCTION("""COMPUTED_VALUE"""),"Saipos Serviços De Software")</f>
        <v>Saipos Serviços De Software</v>
      </c>
      <c r="R3487" s="33">
        <f>IFERROR(__xludf.DUMMYFUNCTION("""COMPUTED_VALUE"""),1.0)</f>
        <v>1</v>
      </c>
      <c r="S3487" s="4" t="str">
        <f>IFERROR(__xludf.DUMMYFUNCTION("""COMPUTED_VALUE"""),"Saipos Serviços De Software")</f>
        <v>Saipos Serviços De Software</v>
      </c>
      <c r="T3487" s="33">
        <f>IFERROR(__xludf.DUMMYFUNCTION("""COMPUTED_VALUE"""),1.0)</f>
        <v>1</v>
      </c>
      <c r="U3487" s="4" t="str">
        <f>IFERROR(__xludf.DUMMYFUNCTION("""COMPUTED_VALUE"""),"Saipos Serviços De Software")</f>
        <v>Saipos Serviços De Software</v>
      </c>
      <c r="V3487" s="33">
        <f>IFERROR(__xludf.DUMMYFUNCTION("""COMPUTED_VALUE"""),1.0)</f>
        <v>1</v>
      </c>
      <c r="W3487" s="4" t="str">
        <f>IFERROR(__xludf.DUMMYFUNCTION("""COMPUTED_VALUE"""),"Saipos Serviços De Software")</f>
        <v>Saipos Serviços De Software</v>
      </c>
      <c r="X3487" s="33">
        <f>IFERROR(__xludf.DUMMYFUNCTION("""COMPUTED_VALUE"""),1.0)</f>
        <v>1</v>
      </c>
    </row>
    <row r="3488">
      <c r="K3488" s="4" t="str">
        <f>IFERROR(__xludf.DUMMYFUNCTION("""COMPUTED_VALUE"""),"GRUPO EDMILSON")</f>
        <v>GRUPO EDMILSON</v>
      </c>
      <c r="L3488" s="32">
        <f>IFERROR(__xludf.DUMMYFUNCTION("""COMPUTED_VALUE"""),3.0)</f>
        <v>3</v>
      </c>
      <c r="M3488" s="4" t="str">
        <f>IFERROR(__xludf.DUMMYFUNCTION("""COMPUTED_VALUE"""),"Vekttor")</f>
        <v>Vekttor</v>
      </c>
      <c r="N3488" s="33">
        <f>IFERROR(__xludf.DUMMYFUNCTION("""COMPUTED_VALUE"""),1.0)</f>
        <v>1</v>
      </c>
      <c r="O3488" s="4" t="str">
        <f>IFERROR(__xludf.DUMMYFUNCTION("""COMPUTED_VALUE"""),"Vekttor")</f>
        <v>Vekttor</v>
      </c>
      <c r="P3488" s="33">
        <f>IFERROR(__xludf.DUMMYFUNCTION("""COMPUTED_VALUE"""),1.0)</f>
        <v>1</v>
      </c>
      <c r="Q3488" s="4" t="str">
        <f>IFERROR(__xludf.DUMMYFUNCTION("""COMPUTED_VALUE"""),"Vekttor")</f>
        <v>Vekttor</v>
      </c>
      <c r="R3488" s="33">
        <f>IFERROR(__xludf.DUMMYFUNCTION("""COMPUTED_VALUE"""),1.0)</f>
        <v>1</v>
      </c>
      <c r="S3488" s="4" t="str">
        <f>IFERROR(__xludf.DUMMYFUNCTION("""COMPUTED_VALUE"""),"Vekttor")</f>
        <v>Vekttor</v>
      </c>
      <c r="T3488" s="33">
        <f>IFERROR(__xludf.DUMMYFUNCTION("""COMPUTED_VALUE"""),0.6666666666666666)</f>
        <v>0.6666666667</v>
      </c>
      <c r="U3488" s="4" t="str">
        <f>IFERROR(__xludf.DUMMYFUNCTION("""COMPUTED_VALUE"""),"Vekttor")</f>
        <v>Vekttor</v>
      </c>
      <c r="V3488" s="33">
        <f>IFERROR(__xludf.DUMMYFUNCTION("""COMPUTED_VALUE"""),1.0)</f>
        <v>1</v>
      </c>
      <c r="W3488" s="4" t="str">
        <f>IFERROR(__xludf.DUMMYFUNCTION("""COMPUTED_VALUE"""),"Vekttor")</f>
        <v>Vekttor</v>
      </c>
      <c r="X3488" s="33">
        <f>IFERROR(__xludf.DUMMYFUNCTION("""COMPUTED_VALUE"""),1.0)</f>
        <v>1</v>
      </c>
    </row>
    <row r="3489">
      <c r="K3489" s="4" t="str">
        <f>IFERROR(__xludf.DUMMYFUNCTION("""COMPUTED_VALUE"""),"GRUPO EL TOMATO CONTA PAI")</f>
        <v>GRUPO EL TOMATO CONTA PAI</v>
      </c>
      <c r="L3489" s="32">
        <f>IFERROR(__xludf.DUMMYFUNCTION("""COMPUTED_VALUE"""),3.0)</f>
        <v>3</v>
      </c>
      <c r="M3489" s="4" t="str">
        <f>IFERROR(__xludf.DUMMYFUNCTION("""COMPUTED_VALUE"""),"Saipos Serviços De Software")</f>
        <v>Saipos Serviços De Software</v>
      </c>
      <c r="N3489" s="33">
        <f>IFERROR(__xludf.DUMMYFUNCTION("""COMPUTED_VALUE"""),1.0)</f>
        <v>1</v>
      </c>
      <c r="O3489" s="4" t="str">
        <f>IFERROR(__xludf.DUMMYFUNCTION("""COMPUTED_VALUE"""),"Saipos Serviços De Software")</f>
        <v>Saipos Serviços De Software</v>
      </c>
      <c r="P3489" s="33">
        <f>IFERROR(__xludf.DUMMYFUNCTION("""COMPUTED_VALUE"""),1.0)</f>
        <v>1</v>
      </c>
      <c r="Q3489" s="4" t="str">
        <f>IFERROR(__xludf.DUMMYFUNCTION("""COMPUTED_VALUE"""),"Saipos Serviços De Software")</f>
        <v>Saipos Serviços De Software</v>
      </c>
      <c r="R3489" s="33">
        <f>IFERROR(__xludf.DUMMYFUNCTION("""COMPUTED_VALUE"""),1.0)</f>
        <v>1</v>
      </c>
      <c r="S3489" s="4" t="str">
        <f>IFERROR(__xludf.DUMMYFUNCTION("""COMPUTED_VALUE"""),"Saipos Serviços De Software")</f>
        <v>Saipos Serviços De Software</v>
      </c>
      <c r="T3489" s="33">
        <f>IFERROR(__xludf.DUMMYFUNCTION("""COMPUTED_VALUE"""),1.0)</f>
        <v>1</v>
      </c>
      <c r="U3489" s="4" t="str">
        <f>IFERROR(__xludf.DUMMYFUNCTION("""COMPUTED_VALUE"""),"Saipos Serviços De Software")</f>
        <v>Saipos Serviços De Software</v>
      </c>
      <c r="V3489" s="33">
        <f>IFERROR(__xludf.DUMMYFUNCTION("""COMPUTED_VALUE"""),1.0)</f>
        <v>1</v>
      </c>
      <c r="W3489" s="4" t="str">
        <f>IFERROR(__xludf.DUMMYFUNCTION("""COMPUTED_VALUE"""),"Saipos Serviços De Software")</f>
        <v>Saipos Serviços De Software</v>
      </c>
      <c r="X3489" s="33">
        <f>IFERROR(__xludf.DUMMYFUNCTION("""COMPUTED_VALUE"""),1.0)</f>
        <v>1</v>
      </c>
    </row>
    <row r="3490">
      <c r="K3490" s="4" t="str">
        <f>IFERROR(__xludf.DUMMYFUNCTION("""COMPUTED_VALUE"""),"GRUPO ERGO")</f>
        <v>GRUPO ERGO</v>
      </c>
      <c r="L3490" s="32">
        <f>IFERROR(__xludf.DUMMYFUNCTION("""COMPUTED_VALUE"""),3.0)</f>
        <v>3</v>
      </c>
      <c r="M3490" s="4" t="str">
        <f>IFERROR(__xludf.DUMMYFUNCTION("""COMPUTED_VALUE"""),"Ncr")</f>
        <v>Ncr</v>
      </c>
      <c r="N3490" s="33">
        <f>IFERROR(__xludf.DUMMYFUNCTION("""COMPUTED_VALUE"""),0.6666666666666666)</f>
        <v>0.6666666667</v>
      </c>
      <c r="O3490" s="4" t="str">
        <f>IFERROR(__xludf.DUMMYFUNCTION("""COMPUTED_VALUE"""),"null")</f>
        <v>null</v>
      </c>
      <c r="P3490" s="33">
        <f>IFERROR(__xludf.DUMMYFUNCTION("""COMPUTED_VALUE"""),1.0)</f>
        <v>1</v>
      </c>
      <c r="Q3490" s="4" t="str">
        <f>IFERROR(__xludf.DUMMYFUNCTION("""COMPUTED_VALUE"""),"Ncr")</f>
        <v>Ncr</v>
      </c>
      <c r="R3490" s="33">
        <f>IFERROR(__xludf.DUMMYFUNCTION("""COMPUTED_VALUE"""),0.3333333333333333)</f>
        <v>0.3333333333</v>
      </c>
      <c r="S3490" s="4" t="str">
        <f>IFERROR(__xludf.DUMMYFUNCTION("""COMPUTED_VALUE"""),"null")</f>
        <v>null</v>
      </c>
      <c r="T3490" s="33">
        <f>IFERROR(__xludf.DUMMYFUNCTION("""COMPUTED_VALUE"""),0.6666666666666666)</f>
        <v>0.6666666667</v>
      </c>
      <c r="U3490" s="4" t="str">
        <f>IFERROR(__xludf.DUMMYFUNCTION("""COMPUTED_VALUE"""),"null")</f>
        <v>null</v>
      </c>
      <c r="V3490" s="33">
        <f>IFERROR(__xludf.DUMMYFUNCTION("""COMPUTED_VALUE"""),0.6666666666666666)</f>
        <v>0.6666666667</v>
      </c>
      <c r="W3490" s="4" t="str">
        <f>IFERROR(__xludf.DUMMYFUNCTION("""COMPUTED_VALUE"""),"null")</f>
        <v>null</v>
      </c>
      <c r="X3490" s="33">
        <f>IFERROR(__xludf.DUMMYFUNCTION("""COMPUTED_VALUE"""),0.6666666666666666)</f>
        <v>0.6666666667</v>
      </c>
    </row>
    <row r="3491">
      <c r="K3491" s="4" t="str">
        <f>IFERROR(__xludf.DUMMYFUNCTION("""COMPUTED_VALUE"""),"GRUPO ESTACAO DO GUARANA")</f>
        <v>GRUPO ESTACAO DO GUARANA</v>
      </c>
      <c r="L3491" s="32">
        <f>IFERROR(__xludf.DUMMYFUNCTION("""COMPUTED_VALUE"""),3.0)</f>
        <v>3</v>
      </c>
      <c r="M3491" s="4" t="str">
        <f>IFERROR(__xludf.DUMMYFUNCTION("""COMPUTED_VALUE"""),"Saipos Serviços De Software")</f>
        <v>Saipos Serviços De Software</v>
      </c>
      <c r="N3491" s="33">
        <f>IFERROR(__xludf.DUMMYFUNCTION("""COMPUTED_VALUE"""),1.0)</f>
        <v>1</v>
      </c>
      <c r="O3491" s="4" t="str">
        <f>IFERROR(__xludf.DUMMYFUNCTION("""COMPUTED_VALUE"""),"Saipos Serviços De Software")</f>
        <v>Saipos Serviços De Software</v>
      </c>
      <c r="P3491" s="33">
        <f>IFERROR(__xludf.DUMMYFUNCTION("""COMPUTED_VALUE"""),1.0)</f>
        <v>1</v>
      </c>
      <c r="Q3491" s="4" t="str">
        <f>IFERROR(__xludf.DUMMYFUNCTION("""COMPUTED_VALUE"""),"Saipos Serviços De Software")</f>
        <v>Saipos Serviços De Software</v>
      </c>
      <c r="R3491" s="33">
        <f>IFERROR(__xludf.DUMMYFUNCTION("""COMPUTED_VALUE"""),1.0)</f>
        <v>1</v>
      </c>
      <c r="S3491" s="4" t="str">
        <f>IFERROR(__xludf.DUMMYFUNCTION("""COMPUTED_VALUE"""),"Saipos Serviços De Software")</f>
        <v>Saipos Serviços De Software</v>
      </c>
      <c r="T3491" s="33">
        <f>IFERROR(__xludf.DUMMYFUNCTION("""COMPUTED_VALUE"""),0.6666666666666666)</f>
        <v>0.6666666667</v>
      </c>
      <c r="U3491" s="4" t="str">
        <f>IFERROR(__xludf.DUMMYFUNCTION("""COMPUTED_VALUE"""),"Saipos Serviços De Software")</f>
        <v>Saipos Serviços De Software</v>
      </c>
      <c r="V3491" s="33">
        <f>IFERROR(__xludf.DUMMYFUNCTION("""COMPUTED_VALUE"""),0.6666666666666666)</f>
        <v>0.6666666667</v>
      </c>
      <c r="W3491" s="4" t="str">
        <f>IFERROR(__xludf.DUMMYFUNCTION("""COMPUTED_VALUE"""),"Saipos Serviços De Software")</f>
        <v>Saipos Serviços De Software</v>
      </c>
      <c r="X3491" s="33">
        <f>IFERROR(__xludf.DUMMYFUNCTION("""COMPUTED_VALUE"""),0.6666666666666666)</f>
        <v>0.6666666667</v>
      </c>
    </row>
    <row r="3492">
      <c r="K3492" s="4" t="str">
        <f>IFERROR(__xludf.DUMMYFUNCTION("""COMPUTED_VALUE"""),"GRUPO FAST FOOD PICANHA")</f>
        <v>GRUPO FAST FOOD PICANHA</v>
      </c>
      <c r="L3492" s="32">
        <f>IFERROR(__xludf.DUMMYFUNCTION("""COMPUTED_VALUE"""),3.0)</f>
        <v>3</v>
      </c>
      <c r="M3492" s="4" t="str">
        <f>IFERROR(__xludf.DUMMYFUNCTION("""COMPUTED_VALUE"""),"Consumer Soluções Em Tecnologia Ltda")</f>
        <v>Consumer Soluções Em Tecnologia Ltda</v>
      </c>
      <c r="N3492" s="33">
        <f>IFERROR(__xludf.DUMMYFUNCTION("""COMPUTED_VALUE"""),0.3333333333333333)</f>
        <v>0.3333333333</v>
      </c>
      <c r="O3492" s="4" t="str">
        <f>IFERROR(__xludf.DUMMYFUNCTION("""COMPUTED_VALUE"""),"Consumer Soluções Em Tecnologia Ltda")</f>
        <v>Consumer Soluções Em Tecnologia Ltda</v>
      </c>
      <c r="P3492" s="33">
        <f>IFERROR(__xludf.DUMMYFUNCTION("""COMPUTED_VALUE"""),0.3333333333333333)</f>
        <v>0.3333333333</v>
      </c>
      <c r="Q3492" s="4" t="str">
        <f>IFERROR(__xludf.DUMMYFUNCTION("""COMPUTED_VALUE"""),"Consumer Soluções Em Tecnologia Ltda")</f>
        <v>Consumer Soluções Em Tecnologia Ltda</v>
      </c>
      <c r="R3492" s="33">
        <f>IFERROR(__xludf.DUMMYFUNCTION("""COMPUTED_VALUE"""),0.3333333333333333)</f>
        <v>0.3333333333</v>
      </c>
      <c r="S3492" s="4" t="str">
        <f>IFERROR(__xludf.DUMMYFUNCTION("""COMPUTED_VALUE"""),"Consumer Soluções Em Tecnologia Ltda")</f>
        <v>Consumer Soluções Em Tecnologia Ltda</v>
      </c>
      <c r="T3492" s="33">
        <f>IFERROR(__xludf.DUMMYFUNCTION("""COMPUTED_VALUE"""),0.3333333333333333)</f>
        <v>0.3333333333</v>
      </c>
      <c r="U3492" s="4" t="str">
        <f>IFERROR(__xludf.DUMMYFUNCTION("""COMPUTED_VALUE"""),"Consumer Soluções Em Tecnologia Ltda")</f>
        <v>Consumer Soluções Em Tecnologia Ltda</v>
      </c>
      <c r="V3492" s="33">
        <f>IFERROR(__xludf.DUMMYFUNCTION("""COMPUTED_VALUE"""),0.3333333333333333)</f>
        <v>0.3333333333</v>
      </c>
      <c r="W3492" s="4" t="str">
        <f>IFERROR(__xludf.DUMMYFUNCTION("""COMPUTED_VALUE"""),"Anota Ai Solucoes Digitais S/a")</f>
        <v>Anota Ai Solucoes Digitais S/a</v>
      </c>
      <c r="X3492" s="33">
        <f>IFERROR(__xludf.DUMMYFUNCTION("""COMPUTED_VALUE"""),0.6666666666666666)</f>
        <v>0.6666666667</v>
      </c>
    </row>
    <row r="3493">
      <c r="K3493" s="4" t="str">
        <f>IFERROR(__xludf.DUMMYFUNCTION("""COMPUTED_VALUE"""),"GRUPO FIRE GARDEN")</f>
        <v>GRUPO FIRE GARDEN</v>
      </c>
      <c r="L3493" s="32">
        <f>IFERROR(__xludf.DUMMYFUNCTION("""COMPUTED_VALUE"""),3.0)</f>
        <v>3</v>
      </c>
      <c r="M3493" s="4" t="str">
        <f>IFERROR(__xludf.DUMMYFUNCTION("""COMPUTED_VALUE"""),"Cloudfy")</f>
        <v>Cloudfy</v>
      </c>
      <c r="N3493" s="33">
        <f>IFERROR(__xludf.DUMMYFUNCTION("""COMPUTED_VALUE"""),1.0)</f>
        <v>1</v>
      </c>
      <c r="O3493" s="4" t="str">
        <f>IFERROR(__xludf.DUMMYFUNCTION("""COMPUTED_VALUE"""),"Cloudfy")</f>
        <v>Cloudfy</v>
      </c>
      <c r="P3493" s="33">
        <f>IFERROR(__xludf.DUMMYFUNCTION("""COMPUTED_VALUE"""),0.6666666666666666)</f>
        <v>0.6666666667</v>
      </c>
      <c r="Q3493" s="4" t="str">
        <f>IFERROR(__xludf.DUMMYFUNCTION("""COMPUTED_VALUE"""),"Cloudfy")</f>
        <v>Cloudfy</v>
      </c>
      <c r="R3493" s="33">
        <f>IFERROR(__xludf.DUMMYFUNCTION("""COMPUTED_VALUE"""),1.0)</f>
        <v>1</v>
      </c>
      <c r="S3493" s="4" t="str">
        <f>IFERROR(__xludf.DUMMYFUNCTION("""COMPUTED_VALUE"""),"Cloudfy")</f>
        <v>Cloudfy</v>
      </c>
      <c r="T3493" s="33">
        <f>IFERROR(__xludf.DUMMYFUNCTION("""COMPUTED_VALUE"""),1.0)</f>
        <v>1</v>
      </c>
      <c r="U3493" s="4" t="str">
        <f>IFERROR(__xludf.DUMMYFUNCTION("""COMPUTED_VALUE"""),"Cloudfy")</f>
        <v>Cloudfy</v>
      </c>
      <c r="V3493" s="33">
        <f>IFERROR(__xludf.DUMMYFUNCTION("""COMPUTED_VALUE"""),1.0)</f>
        <v>1</v>
      </c>
      <c r="W3493" s="4" t="str">
        <f>IFERROR(__xludf.DUMMYFUNCTION("""COMPUTED_VALUE"""),"Cloudfy")</f>
        <v>Cloudfy</v>
      </c>
      <c r="X3493" s="33">
        <f>IFERROR(__xludf.DUMMYFUNCTION("""COMPUTED_VALUE"""),1.0)</f>
        <v>1</v>
      </c>
    </row>
    <row r="3494">
      <c r="K3494" s="4" t="str">
        <f>IFERROR(__xludf.DUMMYFUNCTION("""COMPUTED_VALUE"""),"GRUPO FLAMMA")</f>
        <v>GRUPO FLAMMA</v>
      </c>
      <c r="L3494" s="32">
        <f>IFERROR(__xludf.DUMMYFUNCTION("""COMPUTED_VALUE"""),3.0)</f>
        <v>3</v>
      </c>
      <c r="M3494" s="4" t="str">
        <f>IFERROR(__xludf.DUMMYFUNCTION("""COMPUTED_VALUE"""),"Ncr")</f>
        <v>Ncr</v>
      </c>
      <c r="N3494" s="33">
        <f>IFERROR(__xludf.DUMMYFUNCTION("""COMPUTED_VALUE"""),1.0)</f>
        <v>1</v>
      </c>
      <c r="O3494" s="4" t="str">
        <f>IFERROR(__xludf.DUMMYFUNCTION("""COMPUTED_VALUE"""),"Ncr")</f>
        <v>Ncr</v>
      </c>
      <c r="P3494" s="33">
        <f>IFERROR(__xludf.DUMMYFUNCTION("""COMPUTED_VALUE"""),1.0)</f>
        <v>1</v>
      </c>
      <c r="Q3494" s="4" t="str">
        <f>IFERROR(__xludf.DUMMYFUNCTION("""COMPUTED_VALUE"""),"Ncr")</f>
        <v>Ncr</v>
      </c>
      <c r="R3494" s="33">
        <f>IFERROR(__xludf.DUMMYFUNCTION("""COMPUTED_VALUE"""),1.0)</f>
        <v>1</v>
      </c>
      <c r="S3494" s="4" t="str">
        <f>IFERROR(__xludf.DUMMYFUNCTION("""COMPUTED_VALUE"""),"Ncr")</f>
        <v>Ncr</v>
      </c>
      <c r="T3494" s="33">
        <f>IFERROR(__xludf.DUMMYFUNCTION("""COMPUTED_VALUE"""),1.0)</f>
        <v>1</v>
      </c>
      <c r="U3494" s="4" t="str">
        <f>IFERROR(__xludf.DUMMYFUNCTION("""COMPUTED_VALUE"""),"Ncr")</f>
        <v>Ncr</v>
      </c>
      <c r="V3494" s="33">
        <f>IFERROR(__xludf.DUMMYFUNCTION("""COMPUTED_VALUE"""),1.0)</f>
        <v>1</v>
      </c>
      <c r="W3494" s="4" t="str">
        <f>IFERROR(__xludf.DUMMYFUNCTION("""COMPUTED_VALUE"""),"Ncr")</f>
        <v>Ncr</v>
      </c>
      <c r="X3494" s="33">
        <f>IFERROR(__xludf.DUMMYFUNCTION("""COMPUTED_VALUE"""),1.0)</f>
        <v>1</v>
      </c>
    </row>
    <row r="3495">
      <c r="K3495" s="4" t="str">
        <f>IFERROR(__xludf.DUMMYFUNCTION("""COMPUTED_VALUE"""),"GRUPO GRAN PEPE")</f>
        <v>GRUPO GRAN PEPE</v>
      </c>
      <c r="L3495" s="32">
        <f>IFERROR(__xludf.DUMMYFUNCTION("""COMPUTED_VALUE"""),3.0)</f>
        <v>3</v>
      </c>
      <c r="M3495" s="4" t="str">
        <f>IFERROR(__xludf.DUMMYFUNCTION("""COMPUTED_VALUE"""),"Saipos Serviços De Software")</f>
        <v>Saipos Serviços De Software</v>
      </c>
      <c r="N3495" s="33">
        <f>IFERROR(__xludf.DUMMYFUNCTION("""COMPUTED_VALUE"""),1.0)</f>
        <v>1</v>
      </c>
      <c r="O3495" s="4" t="str">
        <f>IFERROR(__xludf.DUMMYFUNCTION("""COMPUTED_VALUE"""),"Saipos Serviços De Software")</f>
        <v>Saipos Serviços De Software</v>
      </c>
      <c r="P3495" s="33">
        <f>IFERROR(__xludf.DUMMYFUNCTION("""COMPUTED_VALUE"""),1.0)</f>
        <v>1</v>
      </c>
      <c r="Q3495" s="4" t="str">
        <f>IFERROR(__xludf.DUMMYFUNCTION("""COMPUTED_VALUE"""),"Saipos Serviços De Software")</f>
        <v>Saipos Serviços De Software</v>
      </c>
      <c r="R3495" s="33">
        <f>IFERROR(__xludf.DUMMYFUNCTION("""COMPUTED_VALUE"""),1.0)</f>
        <v>1</v>
      </c>
      <c r="S3495" s="4" t="str">
        <f>IFERROR(__xludf.DUMMYFUNCTION("""COMPUTED_VALUE"""),"Saipos Serviços De Software")</f>
        <v>Saipos Serviços De Software</v>
      </c>
      <c r="T3495" s="33">
        <f>IFERROR(__xludf.DUMMYFUNCTION("""COMPUTED_VALUE"""),1.0)</f>
        <v>1</v>
      </c>
      <c r="U3495" s="4" t="str">
        <f>IFERROR(__xludf.DUMMYFUNCTION("""COMPUTED_VALUE"""),"Saipos Serviços De Software")</f>
        <v>Saipos Serviços De Software</v>
      </c>
      <c r="V3495" s="33">
        <f>IFERROR(__xludf.DUMMYFUNCTION("""COMPUTED_VALUE"""),1.0)</f>
        <v>1</v>
      </c>
      <c r="W3495" s="4" t="str">
        <f>IFERROR(__xludf.DUMMYFUNCTION("""COMPUTED_VALUE"""),"Saipos Serviços De Software")</f>
        <v>Saipos Serviços De Software</v>
      </c>
      <c r="X3495" s="33">
        <f>IFERROR(__xludf.DUMMYFUNCTION("""COMPUTED_VALUE"""),1.0)</f>
        <v>1</v>
      </c>
    </row>
    <row r="3496">
      <c r="K3496" s="4" t="str">
        <f>IFERROR(__xludf.DUMMYFUNCTION("""COMPUTED_VALUE"""),"GRUPO ILHA DA KOSTA")</f>
        <v>GRUPO ILHA DA KOSTA</v>
      </c>
      <c r="L3496" s="32">
        <f>IFERROR(__xludf.DUMMYFUNCTION("""COMPUTED_VALUE"""),3.0)</f>
        <v>3</v>
      </c>
      <c r="M3496" s="4" t="str">
        <f>IFERROR(__xludf.DUMMYFUNCTION("""COMPUTED_VALUE"""),"Menew - Linx")</f>
        <v>Menew - Linx</v>
      </c>
      <c r="N3496" s="33">
        <f>IFERROR(__xludf.DUMMYFUNCTION("""COMPUTED_VALUE"""),0.6666666666666666)</f>
        <v>0.6666666667</v>
      </c>
      <c r="O3496" s="4" t="str">
        <f>IFERROR(__xludf.DUMMYFUNCTION("""COMPUTED_VALUE"""),"Menew - Linx")</f>
        <v>Menew - Linx</v>
      </c>
      <c r="P3496" s="33">
        <f>IFERROR(__xludf.DUMMYFUNCTION("""COMPUTED_VALUE"""),0.6666666666666666)</f>
        <v>0.6666666667</v>
      </c>
      <c r="Q3496" s="4" t="str">
        <f>IFERROR(__xludf.DUMMYFUNCTION("""COMPUTED_VALUE"""),"Menew - Linx")</f>
        <v>Menew - Linx</v>
      </c>
      <c r="R3496" s="33">
        <f>IFERROR(__xludf.DUMMYFUNCTION("""COMPUTED_VALUE"""),0.6666666666666666)</f>
        <v>0.6666666667</v>
      </c>
      <c r="S3496" s="4" t="str">
        <f>IFERROR(__xludf.DUMMYFUNCTION("""COMPUTED_VALUE"""),"Menew - Linx")</f>
        <v>Menew - Linx</v>
      </c>
      <c r="T3496" s="33">
        <f>IFERROR(__xludf.DUMMYFUNCTION("""COMPUTED_VALUE"""),0.6666666666666666)</f>
        <v>0.6666666667</v>
      </c>
      <c r="U3496" s="4" t="str">
        <f>IFERROR(__xludf.DUMMYFUNCTION("""COMPUTED_VALUE"""),"Menew - Linx")</f>
        <v>Menew - Linx</v>
      </c>
      <c r="V3496" s="33">
        <f>IFERROR(__xludf.DUMMYFUNCTION("""COMPUTED_VALUE"""),0.6666666666666666)</f>
        <v>0.6666666667</v>
      </c>
      <c r="W3496" s="4" t="str">
        <f>IFERROR(__xludf.DUMMYFUNCTION("""COMPUTED_VALUE"""),"Menew - Linx")</f>
        <v>Menew - Linx</v>
      </c>
      <c r="X3496" s="33">
        <f>IFERROR(__xludf.DUMMYFUNCTION("""COMPUTED_VALUE"""),0.6666666666666666)</f>
        <v>0.6666666667</v>
      </c>
    </row>
    <row r="3497">
      <c r="K3497" s="4" t="str">
        <f>IFERROR(__xludf.DUMMYFUNCTION("""COMPUTED_VALUE"""),"GRUPO JAPAN BRASIL SUSHI")</f>
        <v>GRUPO JAPAN BRASIL SUSHI</v>
      </c>
      <c r="L3497" s="32">
        <f>IFERROR(__xludf.DUMMYFUNCTION("""COMPUTED_VALUE"""),3.0)</f>
        <v>3</v>
      </c>
      <c r="M3497" s="4" t="str">
        <f>IFERROR(__xludf.DUMMYFUNCTION("""COMPUTED_VALUE"""),"Tdp Sistemas De Informação")</f>
        <v>Tdp Sistemas De Informação</v>
      </c>
      <c r="N3497" s="33">
        <f>IFERROR(__xludf.DUMMYFUNCTION("""COMPUTED_VALUE"""),0.6666666666666666)</f>
        <v>0.6666666667</v>
      </c>
      <c r="O3497" s="4" t="str">
        <f>IFERROR(__xludf.DUMMYFUNCTION("""COMPUTED_VALUE"""),"null")</f>
        <v>null</v>
      </c>
      <c r="P3497" s="33">
        <f>IFERROR(__xludf.DUMMYFUNCTION("""COMPUTED_VALUE"""),0.3333333333333333)</f>
        <v>0.3333333333</v>
      </c>
      <c r="Q3497" s="4" t="str">
        <f>IFERROR(__xludf.DUMMYFUNCTION("""COMPUTED_VALUE"""),"null")</f>
        <v>null</v>
      </c>
      <c r="R3497" s="33">
        <f>IFERROR(__xludf.DUMMYFUNCTION("""COMPUTED_VALUE"""),0.3333333333333333)</f>
        <v>0.3333333333</v>
      </c>
      <c r="S3497" s="4" t="str">
        <f>IFERROR(__xludf.DUMMYFUNCTION("""COMPUTED_VALUE"""),"Tdp Sistemas De Informação")</f>
        <v>Tdp Sistemas De Informação</v>
      </c>
      <c r="T3497" s="33">
        <f>IFERROR(__xludf.DUMMYFUNCTION("""COMPUTED_VALUE"""),0.6666666666666666)</f>
        <v>0.6666666667</v>
      </c>
      <c r="U3497" s="4" t="str">
        <f>IFERROR(__xludf.DUMMYFUNCTION("""COMPUTED_VALUE"""),"null")</f>
        <v>null</v>
      </c>
      <c r="V3497" s="33">
        <f>IFERROR(__xludf.DUMMYFUNCTION("""COMPUTED_VALUE"""),0.3333333333333333)</f>
        <v>0.3333333333</v>
      </c>
      <c r="W3497" s="4" t="str">
        <f>IFERROR(__xludf.DUMMYFUNCTION("""COMPUTED_VALUE"""),"Tdp Sistemas De Informação")</f>
        <v>Tdp Sistemas De Informação</v>
      </c>
      <c r="X3497" s="33">
        <f>IFERROR(__xludf.DUMMYFUNCTION("""COMPUTED_VALUE"""),0.6666666666666666)</f>
        <v>0.6666666667</v>
      </c>
    </row>
    <row r="3498">
      <c r="K3498" s="4" t="str">
        <f>IFERROR(__xludf.DUMMYFUNCTION("""COMPUTED_VALUE"""),"GRUPO JOE ROBERT")</f>
        <v>GRUPO JOE ROBERT</v>
      </c>
      <c r="L3498" s="32">
        <f>IFERROR(__xludf.DUMMYFUNCTION("""COMPUTED_VALUE"""),3.0)</f>
        <v>3</v>
      </c>
      <c r="M3498" s="4" t="str">
        <f>IFERROR(__xludf.DUMMYFUNCTION("""COMPUTED_VALUE"""),"N/A (Not found)")</f>
        <v>N/A (Not found)</v>
      </c>
      <c r="N3498" s="33">
        <f>IFERROR(__xludf.DUMMYFUNCTION("""COMPUTED_VALUE"""),0.3333333333333333)</f>
        <v>0.3333333333</v>
      </c>
      <c r="O3498" s="4" t="str">
        <f>IFERROR(__xludf.DUMMYFUNCTION("""COMPUTED_VALUE"""),"N/A (Not found)")</f>
        <v>N/A (Not found)</v>
      </c>
      <c r="P3498" s="33">
        <f>IFERROR(__xludf.DUMMYFUNCTION("""COMPUTED_VALUE"""),0.3333333333333333)</f>
        <v>0.3333333333</v>
      </c>
      <c r="Q3498" s="4" t="str">
        <f>IFERROR(__xludf.DUMMYFUNCTION("""COMPUTED_VALUE"""),"N/A (Not found)")</f>
        <v>N/A (Not found)</v>
      </c>
      <c r="R3498" s="33">
        <f>IFERROR(__xludf.DUMMYFUNCTION("""COMPUTED_VALUE"""),0.3333333333333333)</f>
        <v>0.3333333333</v>
      </c>
      <c r="S3498" s="4" t="str">
        <f>IFERROR(__xludf.DUMMYFUNCTION("""COMPUTED_VALUE"""),"N/A (Not found)")</f>
        <v>N/A (Not found)</v>
      </c>
      <c r="T3498" s="33">
        <f>IFERROR(__xludf.DUMMYFUNCTION("""COMPUTED_VALUE"""),0.3333333333333333)</f>
        <v>0.3333333333</v>
      </c>
      <c r="U3498" s="4" t="str">
        <f>IFERROR(__xludf.DUMMYFUNCTION("""COMPUTED_VALUE"""),"N/A (Not found)")</f>
        <v>N/A (Not found)</v>
      </c>
      <c r="V3498" s="33">
        <f>IFERROR(__xludf.DUMMYFUNCTION("""COMPUTED_VALUE"""),0.3333333333333333)</f>
        <v>0.3333333333</v>
      </c>
      <c r="W3498" s="4" t="str">
        <f>IFERROR(__xludf.DUMMYFUNCTION("""COMPUTED_VALUE"""),"N/A (Not found)")</f>
        <v>N/A (Not found)</v>
      </c>
      <c r="X3498" s="33">
        <f>IFERROR(__xludf.DUMMYFUNCTION("""COMPUTED_VALUE"""),0.3333333333333333)</f>
        <v>0.3333333333</v>
      </c>
    </row>
    <row r="3499">
      <c r="K3499" s="4" t="str">
        <f>IFERROR(__xludf.DUMMYFUNCTION("""COMPUTED_VALUE"""),"GRUPO KATSURO")</f>
        <v>GRUPO KATSURO</v>
      </c>
      <c r="L3499" s="32">
        <f>IFERROR(__xludf.DUMMYFUNCTION("""COMPUTED_VALUE"""),3.0)</f>
        <v>3</v>
      </c>
      <c r="M3499" s="4" t="str">
        <f>IFERROR(__xludf.DUMMYFUNCTION("""COMPUTED_VALUE"""),"Saipos Serviços De Software")</f>
        <v>Saipos Serviços De Software</v>
      </c>
      <c r="N3499" s="33">
        <f>IFERROR(__xludf.DUMMYFUNCTION("""COMPUTED_VALUE"""),1.0)</f>
        <v>1</v>
      </c>
      <c r="O3499" s="4" t="str">
        <f>IFERROR(__xludf.DUMMYFUNCTION("""COMPUTED_VALUE"""),"Saipos Serviços De Software")</f>
        <v>Saipos Serviços De Software</v>
      </c>
      <c r="P3499" s="33">
        <f>IFERROR(__xludf.DUMMYFUNCTION("""COMPUTED_VALUE"""),1.0)</f>
        <v>1</v>
      </c>
      <c r="Q3499" s="4" t="str">
        <f>IFERROR(__xludf.DUMMYFUNCTION("""COMPUTED_VALUE"""),"Saipos Serviços De Software")</f>
        <v>Saipos Serviços De Software</v>
      </c>
      <c r="R3499" s="33">
        <f>IFERROR(__xludf.DUMMYFUNCTION("""COMPUTED_VALUE"""),1.0)</f>
        <v>1</v>
      </c>
      <c r="S3499" s="4" t="str">
        <f>IFERROR(__xludf.DUMMYFUNCTION("""COMPUTED_VALUE"""),"Saipos Serviços De Software")</f>
        <v>Saipos Serviços De Software</v>
      </c>
      <c r="T3499" s="33">
        <f>IFERROR(__xludf.DUMMYFUNCTION("""COMPUTED_VALUE"""),0.6666666666666666)</f>
        <v>0.6666666667</v>
      </c>
      <c r="U3499" s="4" t="str">
        <f>IFERROR(__xludf.DUMMYFUNCTION("""COMPUTED_VALUE"""),"Saipos Serviços De Software")</f>
        <v>Saipos Serviços De Software</v>
      </c>
      <c r="V3499" s="33">
        <f>IFERROR(__xludf.DUMMYFUNCTION("""COMPUTED_VALUE"""),0.6666666666666666)</f>
        <v>0.6666666667</v>
      </c>
      <c r="W3499" s="4" t="str">
        <f>IFERROR(__xludf.DUMMYFUNCTION("""COMPUTED_VALUE"""),"Saipos Serviços De Software")</f>
        <v>Saipos Serviços De Software</v>
      </c>
      <c r="X3499" s="33">
        <f>IFERROR(__xludf.DUMMYFUNCTION("""COMPUTED_VALUE"""),0.6666666666666666)</f>
        <v>0.6666666667</v>
      </c>
    </row>
    <row r="3500">
      <c r="K3500" s="4" t="str">
        <f>IFERROR(__xludf.DUMMYFUNCTION("""COMPUTED_VALUE"""),"GRUPO LERO LERO")</f>
        <v>GRUPO LERO LERO</v>
      </c>
      <c r="L3500" s="32">
        <f>IFERROR(__xludf.DUMMYFUNCTION("""COMPUTED_VALUE"""),3.0)</f>
        <v>3</v>
      </c>
      <c r="M3500" s="4" t="str">
        <f>IFERROR(__xludf.DUMMYFUNCTION("""COMPUTED_VALUE"""),"Saipos Serviços De Software")</f>
        <v>Saipos Serviços De Software</v>
      </c>
      <c r="N3500" s="33">
        <f>IFERROR(__xludf.DUMMYFUNCTION("""COMPUTED_VALUE"""),0.6666666666666666)</f>
        <v>0.6666666667</v>
      </c>
      <c r="O3500" s="4" t="str">
        <f>IFERROR(__xludf.DUMMYFUNCTION("""COMPUTED_VALUE"""),"Saipos Serviços De Software")</f>
        <v>Saipos Serviços De Software</v>
      </c>
      <c r="P3500" s="33">
        <f>IFERROR(__xludf.DUMMYFUNCTION("""COMPUTED_VALUE"""),1.0)</f>
        <v>1</v>
      </c>
      <c r="Q3500" s="4" t="str">
        <f>IFERROR(__xludf.DUMMYFUNCTION("""COMPUTED_VALUE"""),"Saipos Serviços De Software")</f>
        <v>Saipos Serviços De Software</v>
      </c>
      <c r="R3500" s="33">
        <f>IFERROR(__xludf.DUMMYFUNCTION("""COMPUTED_VALUE"""),1.0)</f>
        <v>1</v>
      </c>
      <c r="S3500" s="4" t="str">
        <f>IFERROR(__xludf.DUMMYFUNCTION("""COMPUTED_VALUE"""),"Saipos Serviços De Software")</f>
        <v>Saipos Serviços De Software</v>
      </c>
      <c r="T3500" s="33">
        <f>IFERROR(__xludf.DUMMYFUNCTION("""COMPUTED_VALUE"""),1.0)</f>
        <v>1</v>
      </c>
      <c r="U3500" s="4" t="str">
        <f>IFERROR(__xludf.DUMMYFUNCTION("""COMPUTED_VALUE"""),"Saipos Serviços De Software")</f>
        <v>Saipos Serviços De Software</v>
      </c>
      <c r="V3500" s="33">
        <f>IFERROR(__xludf.DUMMYFUNCTION("""COMPUTED_VALUE"""),1.0)</f>
        <v>1</v>
      </c>
      <c r="W3500" s="4" t="str">
        <f>IFERROR(__xludf.DUMMYFUNCTION("""COMPUTED_VALUE"""),"Saipos Serviços De Software")</f>
        <v>Saipos Serviços De Software</v>
      </c>
      <c r="X3500" s="33">
        <f>IFERROR(__xludf.DUMMYFUNCTION("""COMPUTED_VALUE"""),1.0)</f>
        <v>1</v>
      </c>
    </row>
    <row r="3501">
      <c r="K3501" s="4" t="str">
        <f>IFERROR(__xludf.DUMMYFUNCTION("""COMPUTED_VALUE"""),"GRUPO MAFS")</f>
        <v>GRUPO MAFS</v>
      </c>
      <c r="L3501" s="32">
        <f>IFERROR(__xludf.DUMMYFUNCTION("""COMPUTED_VALUE"""),3.0)</f>
        <v>3</v>
      </c>
      <c r="M3501" s="4" t="str">
        <f>IFERROR(__xludf.DUMMYFUNCTION("""COMPUTED_VALUE"""),"Ncr")</f>
        <v>Ncr</v>
      </c>
      <c r="N3501" s="33">
        <f>IFERROR(__xludf.DUMMYFUNCTION("""COMPUTED_VALUE"""),0.3333333333333333)</f>
        <v>0.3333333333</v>
      </c>
      <c r="O3501" s="4" t="str">
        <f>IFERROR(__xludf.DUMMYFUNCTION("""COMPUTED_VALUE"""),"Ncr")</f>
        <v>Ncr</v>
      </c>
      <c r="P3501" s="33">
        <f>IFERROR(__xludf.DUMMYFUNCTION("""COMPUTED_VALUE"""),0.3333333333333333)</f>
        <v>0.3333333333</v>
      </c>
      <c r="Q3501" s="4" t="str">
        <f>IFERROR(__xludf.DUMMYFUNCTION("""COMPUTED_VALUE"""),"Ncr")</f>
        <v>Ncr</v>
      </c>
      <c r="R3501" s="33">
        <f>IFERROR(__xludf.DUMMYFUNCTION("""COMPUTED_VALUE"""),0.3333333333333333)</f>
        <v>0.3333333333</v>
      </c>
      <c r="S3501" s="4" t="str">
        <f>IFERROR(__xludf.DUMMYFUNCTION("""COMPUTED_VALUE"""),"null")</f>
        <v>null</v>
      </c>
      <c r="T3501" s="33">
        <f>IFERROR(__xludf.DUMMYFUNCTION("""COMPUTED_VALUE"""),0.3333333333333333)</f>
        <v>0.3333333333</v>
      </c>
      <c r="U3501" s="4" t="str">
        <f>IFERROR(__xludf.DUMMYFUNCTION("""COMPUTED_VALUE"""),"Ncr")</f>
        <v>Ncr</v>
      </c>
      <c r="V3501" s="33">
        <f>IFERROR(__xludf.DUMMYFUNCTION("""COMPUTED_VALUE"""),0.3333333333333333)</f>
        <v>0.3333333333</v>
      </c>
      <c r="W3501" s="4" t="str">
        <f>IFERROR(__xludf.DUMMYFUNCTION("""COMPUTED_VALUE"""),"Ncr")</f>
        <v>Ncr</v>
      </c>
      <c r="X3501" s="33">
        <f>IFERROR(__xludf.DUMMYFUNCTION("""COMPUTED_VALUE"""),0.3333333333333333)</f>
        <v>0.3333333333</v>
      </c>
    </row>
    <row r="3502">
      <c r="K3502" s="4" t="str">
        <f>IFERROR(__xludf.DUMMYFUNCTION("""COMPUTED_VALUE"""),"GRUPO MAIKESOBA")</f>
        <v>GRUPO MAIKESOBA</v>
      </c>
      <c r="L3502" s="32">
        <f>IFERROR(__xludf.DUMMYFUNCTION("""COMPUTED_VALUE"""),3.0)</f>
        <v>3</v>
      </c>
      <c r="M3502" s="4" t="str">
        <f>IFERROR(__xludf.DUMMYFUNCTION("""COMPUTED_VALUE"""),"null")</f>
        <v>null</v>
      </c>
      <c r="N3502" s="33">
        <f>IFERROR(__xludf.DUMMYFUNCTION("""COMPUTED_VALUE"""),0.6666666666666666)</f>
        <v>0.6666666667</v>
      </c>
      <c r="O3502" s="4" t="str">
        <f>IFERROR(__xludf.DUMMYFUNCTION("""COMPUTED_VALUE"""),"null")</f>
        <v>null</v>
      </c>
      <c r="P3502" s="33">
        <f>IFERROR(__xludf.DUMMYFUNCTION("""COMPUTED_VALUE"""),0.6666666666666666)</f>
        <v>0.6666666667</v>
      </c>
      <c r="Q3502" s="4" t="str">
        <f>IFERROR(__xludf.DUMMYFUNCTION("""COMPUTED_VALUE"""),"Saipos Serviços De Software")</f>
        <v>Saipos Serviços De Software</v>
      </c>
      <c r="R3502" s="33">
        <f>IFERROR(__xludf.DUMMYFUNCTION("""COMPUTED_VALUE"""),0.6666666666666666)</f>
        <v>0.6666666667</v>
      </c>
      <c r="S3502" s="4" t="str">
        <f>IFERROR(__xludf.DUMMYFUNCTION("""COMPUTED_VALUE"""),"Cardápio Web")</f>
        <v>Cardápio Web</v>
      </c>
      <c r="T3502" s="33">
        <f>IFERROR(__xludf.DUMMYFUNCTION("""COMPUTED_VALUE"""),1.0)</f>
        <v>1</v>
      </c>
      <c r="U3502" s="4" t="str">
        <f>IFERROR(__xludf.DUMMYFUNCTION("""COMPUTED_VALUE"""),"Cardápio Web")</f>
        <v>Cardápio Web</v>
      </c>
      <c r="V3502" s="33">
        <f>IFERROR(__xludf.DUMMYFUNCTION("""COMPUTED_VALUE"""),1.0)</f>
        <v>1</v>
      </c>
      <c r="W3502" s="4" t="str">
        <f>IFERROR(__xludf.DUMMYFUNCTION("""COMPUTED_VALUE"""),"Cardápio Web")</f>
        <v>Cardápio Web</v>
      </c>
      <c r="X3502" s="33">
        <f>IFERROR(__xludf.DUMMYFUNCTION("""COMPUTED_VALUE"""),1.0)</f>
        <v>1</v>
      </c>
    </row>
    <row r="3503">
      <c r="K3503" s="4" t="str">
        <f>IFERROR(__xludf.DUMMYFUNCTION("""COMPUTED_VALUE"""),"GRUPO MAIS FARMACIAS - CONTA MARCA")</f>
        <v>GRUPO MAIS FARMACIAS - CONTA MARCA</v>
      </c>
      <c r="L3503" s="32">
        <f>IFERROR(__xludf.DUMMYFUNCTION("""COMPUTED_VALUE"""),3.0)</f>
        <v>3</v>
      </c>
      <c r="M3503" s="4" t="str">
        <f>IFERROR(__xludf.DUMMYFUNCTION("""COMPUTED_VALUE"""),"N/A (Not found)")</f>
        <v>N/A (Not found)</v>
      </c>
      <c r="N3503" s="33">
        <f>IFERROR(__xludf.DUMMYFUNCTION("""COMPUTED_VALUE"""),1.0)</f>
        <v>1</v>
      </c>
      <c r="O3503" s="4" t="str">
        <f>IFERROR(__xludf.DUMMYFUNCTION("""COMPUTED_VALUE"""),"N/A (Not found)")</f>
        <v>N/A (Not found)</v>
      </c>
      <c r="P3503" s="33">
        <f>IFERROR(__xludf.DUMMYFUNCTION("""COMPUTED_VALUE"""),1.0)</f>
        <v>1</v>
      </c>
      <c r="Q3503" s="4" t="str">
        <f>IFERROR(__xludf.DUMMYFUNCTION("""COMPUTED_VALUE"""),"N/A (Not found)")</f>
        <v>N/A (Not found)</v>
      </c>
      <c r="R3503" s="33">
        <f>IFERROR(__xludf.DUMMYFUNCTION("""COMPUTED_VALUE"""),1.0)</f>
        <v>1</v>
      </c>
      <c r="S3503" s="4" t="str">
        <f>IFERROR(__xludf.DUMMYFUNCTION("""COMPUTED_VALUE"""),"N/A (Not found)")</f>
        <v>N/A (Not found)</v>
      </c>
      <c r="T3503" s="33">
        <f>IFERROR(__xludf.DUMMYFUNCTION("""COMPUTED_VALUE"""),0.6666666666666666)</f>
        <v>0.6666666667</v>
      </c>
      <c r="U3503" s="4" t="str">
        <f>IFERROR(__xludf.DUMMYFUNCTION("""COMPUTED_VALUE"""),"N/A (Not found)")</f>
        <v>N/A (Not found)</v>
      </c>
      <c r="V3503" s="33">
        <f>IFERROR(__xludf.DUMMYFUNCTION("""COMPUTED_VALUE"""),0.6666666666666666)</f>
        <v>0.6666666667</v>
      </c>
      <c r="W3503" s="4" t="str">
        <f>IFERROR(__xludf.DUMMYFUNCTION("""COMPUTED_VALUE"""),"N/A (Not found)")</f>
        <v>N/A (Not found)</v>
      </c>
      <c r="X3503" s="33">
        <f>IFERROR(__xludf.DUMMYFUNCTION("""COMPUTED_VALUE"""),1.0)</f>
        <v>1</v>
      </c>
    </row>
    <row r="3504">
      <c r="K3504" s="4" t="str">
        <f>IFERROR(__xludf.DUMMYFUNCTION("""COMPUTED_VALUE"""),"GRUPO MALTA")</f>
        <v>GRUPO MALTA</v>
      </c>
      <c r="L3504" s="32">
        <f>IFERROR(__xludf.DUMMYFUNCTION("""COMPUTED_VALUE"""),3.0)</f>
        <v>3</v>
      </c>
      <c r="M3504" s="4" t="str">
        <f>IFERROR(__xludf.DUMMYFUNCTION("""COMPUTED_VALUE"""),"null")</f>
        <v>null</v>
      </c>
      <c r="N3504" s="33">
        <f>IFERROR(__xludf.DUMMYFUNCTION("""COMPUTED_VALUE"""),0.6666666666666666)</f>
        <v>0.6666666667</v>
      </c>
      <c r="O3504" s="4" t="str">
        <f>IFERROR(__xludf.DUMMYFUNCTION("""COMPUTED_VALUE"""),"null")</f>
        <v>null</v>
      </c>
      <c r="P3504" s="33">
        <f>IFERROR(__xludf.DUMMYFUNCTION("""COMPUTED_VALUE"""),0.6666666666666666)</f>
        <v>0.6666666667</v>
      </c>
      <c r="Q3504" s="4" t="str">
        <f>IFERROR(__xludf.DUMMYFUNCTION("""COMPUTED_VALUE"""),"null")</f>
        <v>null</v>
      </c>
      <c r="R3504" s="33">
        <f>IFERROR(__xludf.DUMMYFUNCTION("""COMPUTED_VALUE"""),0.6666666666666666)</f>
        <v>0.6666666667</v>
      </c>
      <c r="S3504" s="4" t="str">
        <f>IFERROR(__xludf.DUMMYFUNCTION("""COMPUTED_VALUE"""),"null")</f>
        <v>null</v>
      </c>
      <c r="T3504" s="33">
        <f>IFERROR(__xludf.DUMMYFUNCTION("""COMPUTED_VALUE"""),0.6666666666666666)</f>
        <v>0.6666666667</v>
      </c>
      <c r="U3504" s="4" t="str">
        <f>IFERROR(__xludf.DUMMYFUNCTION("""COMPUTED_VALUE"""),"null")</f>
        <v>null</v>
      </c>
      <c r="V3504" s="33">
        <f>IFERROR(__xludf.DUMMYFUNCTION("""COMPUTED_VALUE"""),0.3333333333333333)</f>
        <v>0.3333333333</v>
      </c>
      <c r="W3504" s="4" t="str">
        <f>IFERROR(__xludf.DUMMYFUNCTION("""COMPUTED_VALUE"""),"Cloudfy")</f>
        <v>Cloudfy</v>
      </c>
      <c r="X3504" s="33">
        <f>IFERROR(__xludf.DUMMYFUNCTION("""COMPUTED_VALUE"""),0.6666666666666666)</f>
        <v>0.6666666667</v>
      </c>
    </row>
    <row r="3505">
      <c r="K3505" s="4" t="str">
        <f>IFERROR(__xludf.DUMMYFUNCTION("""COMPUTED_VALUE"""),"GRUPO MANDAKA")</f>
        <v>GRUPO MANDAKA</v>
      </c>
      <c r="L3505" s="32">
        <f>IFERROR(__xludf.DUMMYFUNCTION("""COMPUTED_VALUE"""),3.0)</f>
        <v>3</v>
      </c>
      <c r="M3505" s="4" t="str">
        <f>IFERROR(__xludf.DUMMYFUNCTION("""COMPUTED_VALUE"""),"Vuca Solution")</f>
        <v>Vuca Solution</v>
      </c>
      <c r="N3505" s="33">
        <f>IFERROR(__xludf.DUMMYFUNCTION("""COMPUTED_VALUE"""),1.0)</f>
        <v>1</v>
      </c>
      <c r="O3505" s="4" t="str">
        <f>IFERROR(__xludf.DUMMYFUNCTION("""COMPUTED_VALUE"""),"Vuca Solution")</f>
        <v>Vuca Solution</v>
      </c>
      <c r="P3505" s="33">
        <f>IFERROR(__xludf.DUMMYFUNCTION("""COMPUTED_VALUE"""),1.0)</f>
        <v>1</v>
      </c>
      <c r="Q3505" s="4" t="str">
        <f>IFERROR(__xludf.DUMMYFUNCTION("""COMPUTED_VALUE"""),"Vuca Solution")</f>
        <v>Vuca Solution</v>
      </c>
      <c r="R3505" s="33">
        <f>IFERROR(__xludf.DUMMYFUNCTION("""COMPUTED_VALUE"""),1.0)</f>
        <v>1</v>
      </c>
      <c r="S3505" s="4" t="str">
        <f>IFERROR(__xludf.DUMMYFUNCTION("""COMPUTED_VALUE"""),"Vuca Solution")</f>
        <v>Vuca Solution</v>
      </c>
      <c r="T3505" s="33">
        <f>IFERROR(__xludf.DUMMYFUNCTION("""COMPUTED_VALUE"""),1.0)</f>
        <v>1</v>
      </c>
      <c r="U3505" s="4" t="str">
        <f>IFERROR(__xludf.DUMMYFUNCTION("""COMPUTED_VALUE"""),"Vuca Solution")</f>
        <v>Vuca Solution</v>
      </c>
      <c r="V3505" s="33">
        <f>IFERROR(__xludf.DUMMYFUNCTION("""COMPUTED_VALUE"""),1.0)</f>
        <v>1</v>
      </c>
      <c r="W3505" s="4" t="str">
        <f>IFERROR(__xludf.DUMMYFUNCTION("""COMPUTED_VALUE"""),"Vuca Solution")</f>
        <v>Vuca Solution</v>
      </c>
      <c r="X3505" s="33">
        <f>IFERROR(__xludf.DUMMYFUNCTION("""COMPUTED_VALUE"""),1.0)</f>
        <v>1</v>
      </c>
    </row>
    <row r="3506">
      <c r="K3506" s="4" t="str">
        <f>IFERROR(__xludf.DUMMYFUNCTION("""COMPUTED_VALUE"""),"GRUPO MANGIARE SANO")</f>
        <v>GRUPO MANGIARE SANO</v>
      </c>
      <c r="L3506" s="32">
        <f>IFERROR(__xludf.DUMMYFUNCTION("""COMPUTED_VALUE"""),3.0)</f>
        <v>3</v>
      </c>
      <c r="M3506" s="4" t="str">
        <f>IFERROR(__xludf.DUMMYFUNCTION("""COMPUTED_VALUE"""),"Saipos Serviços De Software")</f>
        <v>Saipos Serviços De Software</v>
      </c>
      <c r="N3506" s="33">
        <f>IFERROR(__xludf.DUMMYFUNCTION("""COMPUTED_VALUE"""),1.0)</f>
        <v>1</v>
      </c>
      <c r="O3506" s="4" t="str">
        <f>IFERROR(__xludf.DUMMYFUNCTION("""COMPUTED_VALUE"""),"Saipos Serviços De Software")</f>
        <v>Saipos Serviços De Software</v>
      </c>
      <c r="P3506" s="33">
        <f>IFERROR(__xludf.DUMMYFUNCTION("""COMPUTED_VALUE"""),1.0)</f>
        <v>1</v>
      </c>
      <c r="Q3506" s="4" t="str">
        <f>IFERROR(__xludf.DUMMYFUNCTION("""COMPUTED_VALUE"""),"Saipos Serviços De Software")</f>
        <v>Saipos Serviços De Software</v>
      </c>
      <c r="R3506" s="33">
        <f>IFERROR(__xludf.DUMMYFUNCTION("""COMPUTED_VALUE"""),1.0)</f>
        <v>1</v>
      </c>
      <c r="S3506" s="4" t="str">
        <f>IFERROR(__xludf.DUMMYFUNCTION("""COMPUTED_VALUE"""),"Saipos Serviços De Software")</f>
        <v>Saipos Serviços De Software</v>
      </c>
      <c r="T3506" s="33">
        <f>IFERROR(__xludf.DUMMYFUNCTION("""COMPUTED_VALUE"""),1.0)</f>
        <v>1</v>
      </c>
      <c r="U3506" s="4" t="str">
        <f>IFERROR(__xludf.DUMMYFUNCTION("""COMPUTED_VALUE"""),"Saipos Serviços De Software")</f>
        <v>Saipos Serviços De Software</v>
      </c>
      <c r="V3506" s="33">
        <f>IFERROR(__xludf.DUMMYFUNCTION("""COMPUTED_VALUE"""),1.0)</f>
        <v>1</v>
      </c>
      <c r="W3506" s="4" t="str">
        <f>IFERROR(__xludf.DUMMYFUNCTION("""COMPUTED_VALUE"""),"Saipos Serviços De Software")</f>
        <v>Saipos Serviços De Software</v>
      </c>
      <c r="X3506" s="33">
        <f>IFERROR(__xludf.DUMMYFUNCTION("""COMPUTED_VALUE"""),1.0)</f>
        <v>1</v>
      </c>
    </row>
    <row r="3507">
      <c r="K3507" s="4" t="str">
        <f>IFERROR(__xludf.DUMMYFUNCTION("""COMPUTED_VALUE"""),"GRUPO MARZUK")</f>
        <v>GRUPO MARZUK</v>
      </c>
      <c r="L3507" s="32">
        <f>IFERROR(__xludf.DUMMYFUNCTION("""COMPUTED_VALUE"""),3.0)</f>
        <v>3</v>
      </c>
      <c r="M3507" s="4" t="str">
        <f>IFERROR(__xludf.DUMMYFUNCTION("""COMPUTED_VALUE"""),"null")</f>
        <v>null</v>
      </c>
      <c r="N3507" s="33">
        <f>IFERROR(__xludf.DUMMYFUNCTION("""COMPUTED_VALUE"""),1.0)</f>
        <v>1</v>
      </c>
      <c r="O3507" s="4" t="str">
        <f>IFERROR(__xludf.DUMMYFUNCTION("""COMPUTED_VALUE"""),"null")</f>
        <v>null</v>
      </c>
      <c r="P3507" s="33">
        <f>IFERROR(__xludf.DUMMYFUNCTION("""COMPUTED_VALUE"""),1.0)</f>
        <v>1</v>
      </c>
      <c r="Q3507" s="4" t="str">
        <f>IFERROR(__xludf.DUMMYFUNCTION("""COMPUTED_VALUE"""),"Alterdata Tecnologia Em Informatica Ltda")</f>
        <v>Alterdata Tecnologia Em Informatica Ltda</v>
      </c>
      <c r="R3507" s="33">
        <f>IFERROR(__xludf.DUMMYFUNCTION("""COMPUTED_VALUE"""),1.0)</f>
        <v>1</v>
      </c>
      <c r="S3507" s="4" t="str">
        <f>IFERROR(__xludf.DUMMYFUNCTION("""COMPUTED_VALUE"""),"Alterdata Tecnologia Em Informatica Ltda")</f>
        <v>Alterdata Tecnologia Em Informatica Ltda</v>
      </c>
      <c r="T3507" s="33">
        <f>IFERROR(__xludf.DUMMYFUNCTION("""COMPUTED_VALUE"""),1.0)</f>
        <v>1</v>
      </c>
      <c r="U3507" s="4" t="str">
        <f>IFERROR(__xludf.DUMMYFUNCTION("""COMPUTED_VALUE"""),"Alterdata Tecnologia Em Informatica Ltda")</f>
        <v>Alterdata Tecnologia Em Informatica Ltda</v>
      </c>
      <c r="V3507" s="33">
        <f>IFERROR(__xludf.DUMMYFUNCTION("""COMPUTED_VALUE"""),1.0)</f>
        <v>1</v>
      </c>
      <c r="W3507" s="4" t="str">
        <f>IFERROR(__xludf.DUMMYFUNCTION("""COMPUTED_VALUE"""),"Alterdata Tecnologia Em Informatica Ltda")</f>
        <v>Alterdata Tecnologia Em Informatica Ltda</v>
      </c>
      <c r="X3507" s="33">
        <f>IFERROR(__xludf.DUMMYFUNCTION("""COMPUTED_VALUE"""),1.0)</f>
        <v>1</v>
      </c>
    </row>
    <row r="3508">
      <c r="K3508" s="4" t="str">
        <f>IFERROR(__xludf.DUMMYFUNCTION("""COMPUTED_VALUE"""),"GRUPO NOTTE")</f>
        <v>GRUPO NOTTE</v>
      </c>
      <c r="L3508" s="32">
        <f>IFERROR(__xludf.DUMMYFUNCTION("""COMPUTED_VALUE"""),3.0)</f>
        <v>3</v>
      </c>
      <c r="M3508" s="4" t="str">
        <f>IFERROR(__xludf.DUMMYFUNCTION("""COMPUTED_VALUE"""),"Saipos Serviços De Software")</f>
        <v>Saipos Serviços De Software</v>
      </c>
      <c r="N3508" s="33">
        <f>IFERROR(__xludf.DUMMYFUNCTION("""COMPUTED_VALUE"""),1.0)</f>
        <v>1</v>
      </c>
      <c r="O3508" s="4" t="str">
        <f>IFERROR(__xludf.DUMMYFUNCTION("""COMPUTED_VALUE"""),"Saipos Serviços De Software")</f>
        <v>Saipos Serviços De Software</v>
      </c>
      <c r="P3508" s="33">
        <f>IFERROR(__xludf.DUMMYFUNCTION("""COMPUTED_VALUE"""),1.0)</f>
        <v>1</v>
      </c>
      <c r="Q3508" s="4" t="str">
        <f>IFERROR(__xludf.DUMMYFUNCTION("""COMPUTED_VALUE"""),"Saipos Serviços De Software")</f>
        <v>Saipos Serviços De Software</v>
      </c>
      <c r="R3508" s="33">
        <f>IFERROR(__xludf.DUMMYFUNCTION("""COMPUTED_VALUE"""),1.0)</f>
        <v>1</v>
      </c>
      <c r="S3508" s="4" t="str">
        <f>IFERROR(__xludf.DUMMYFUNCTION("""COMPUTED_VALUE"""),"Saipos Serviços De Software")</f>
        <v>Saipos Serviços De Software</v>
      </c>
      <c r="T3508" s="33">
        <f>IFERROR(__xludf.DUMMYFUNCTION("""COMPUTED_VALUE"""),1.0)</f>
        <v>1</v>
      </c>
      <c r="U3508" s="4" t="str">
        <f>IFERROR(__xludf.DUMMYFUNCTION("""COMPUTED_VALUE"""),"Saipos Serviços De Software")</f>
        <v>Saipos Serviços De Software</v>
      </c>
      <c r="V3508" s="33">
        <f>IFERROR(__xludf.DUMMYFUNCTION("""COMPUTED_VALUE"""),1.0)</f>
        <v>1</v>
      </c>
      <c r="W3508" s="4" t="str">
        <f>IFERROR(__xludf.DUMMYFUNCTION("""COMPUTED_VALUE"""),"Saipos Serviços De Software")</f>
        <v>Saipos Serviços De Software</v>
      </c>
      <c r="X3508" s="33">
        <f>IFERROR(__xludf.DUMMYFUNCTION("""COMPUTED_VALUE"""),1.0)</f>
        <v>1</v>
      </c>
    </row>
    <row r="3509">
      <c r="K3509" s="4" t="str">
        <f>IFERROR(__xludf.DUMMYFUNCTION("""COMPUTED_VALUE"""),"GRUPO O BOM DA CHINA")</f>
        <v>GRUPO O BOM DA CHINA</v>
      </c>
      <c r="L3509" s="32">
        <f>IFERROR(__xludf.DUMMYFUNCTION("""COMPUTED_VALUE"""),3.0)</f>
        <v>3</v>
      </c>
      <c r="M3509" s="4" t="str">
        <f>IFERROR(__xludf.DUMMYFUNCTION("""COMPUTED_VALUE"""),"Consumer Soluções Em Tecnologia Ltda")</f>
        <v>Consumer Soluções Em Tecnologia Ltda</v>
      </c>
      <c r="N3509" s="33">
        <f>IFERROR(__xludf.DUMMYFUNCTION("""COMPUTED_VALUE"""),1.0)</f>
        <v>1</v>
      </c>
      <c r="O3509" s="4" t="str">
        <f>IFERROR(__xludf.DUMMYFUNCTION("""COMPUTED_VALUE"""),"Consumer Soluções Em Tecnologia Ltda")</f>
        <v>Consumer Soluções Em Tecnologia Ltda</v>
      </c>
      <c r="P3509" s="33">
        <f>IFERROR(__xludf.DUMMYFUNCTION("""COMPUTED_VALUE"""),0.6666666666666666)</f>
        <v>0.6666666667</v>
      </c>
      <c r="Q3509" s="4" t="str">
        <f>IFERROR(__xludf.DUMMYFUNCTION("""COMPUTED_VALUE"""),"Consumer Soluções Em Tecnologia Ltda")</f>
        <v>Consumer Soluções Em Tecnologia Ltda</v>
      </c>
      <c r="R3509" s="33">
        <f>IFERROR(__xludf.DUMMYFUNCTION("""COMPUTED_VALUE"""),0.6666666666666666)</f>
        <v>0.6666666667</v>
      </c>
      <c r="S3509" s="4" t="str">
        <f>IFERROR(__xludf.DUMMYFUNCTION("""COMPUTED_VALUE"""),"Consumer Soluções Em Tecnologia Ltda")</f>
        <v>Consumer Soluções Em Tecnologia Ltda</v>
      </c>
      <c r="T3509" s="33">
        <f>IFERROR(__xludf.DUMMYFUNCTION("""COMPUTED_VALUE"""),0.6666666666666666)</f>
        <v>0.6666666667</v>
      </c>
      <c r="U3509" s="4" t="str">
        <f>IFERROR(__xludf.DUMMYFUNCTION("""COMPUTED_VALUE"""),"Consumer Soluções Em Tecnologia Ltda")</f>
        <v>Consumer Soluções Em Tecnologia Ltda</v>
      </c>
      <c r="V3509" s="33">
        <f>IFERROR(__xludf.DUMMYFUNCTION("""COMPUTED_VALUE"""),0.6666666666666666)</f>
        <v>0.6666666667</v>
      </c>
      <c r="W3509" s="4" t="str">
        <f>IFERROR(__xludf.DUMMYFUNCTION("""COMPUTED_VALUE"""),"Consumer Soluções Em Tecnologia Ltda")</f>
        <v>Consumer Soluções Em Tecnologia Ltda</v>
      </c>
      <c r="X3509" s="33">
        <f>IFERROR(__xludf.DUMMYFUNCTION("""COMPUTED_VALUE"""),1.0)</f>
        <v>1</v>
      </c>
    </row>
    <row r="3510">
      <c r="K3510" s="4" t="str">
        <f>IFERROR(__xludf.DUMMYFUNCTION("""COMPUTED_VALUE"""),"GRUPO ORION BURGER")</f>
        <v>GRUPO ORION BURGER</v>
      </c>
      <c r="L3510" s="32">
        <f>IFERROR(__xludf.DUMMYFUNCTION("""COMPUTED_VALUE"""),3.0)</f>
        <v>3</v>
      </c>
      <c r="M3510" s="4" t="str">
        <f>IFERROR(__xludf.DUMMYFUNCTION("""COMPUTED_VALUE"""),"null")</f>
        <v>null</v>
      </c>
      <c r="N3510" s="33">
        <f>IFERROR(__xludf.DUMMYFUNCTION("""COMPUTED_VALUE"""),1.0)</f>
        <v>1</v>
      </c>
      <c r="O3510" s="4" t="str">
        <f>IFERROR(__xludf.DUMMYFUNCTION("""COMPUTED_VALUE"""),"null")</f>
        <v>null</v>
      </c>
      <c r="P3510" s="33">
        <f>IFERROR(__xludf.DUMMYFUNCTION("""COMPUTED_VALUE"""),1.0)</f>
        <v>1</v>
      </c>
      <c r="Q3510" s="4" t="str">
        <f>IFERROR(__xludf.DUMMYFUNCTION("""COMPUTED_VALUE"""),"null")</f>
        <v>null</v>
      </c>
      <c r="R3510" s="33">
        <f>IFERROR(__xludf.DUMMYFUNCTION("""COMPUTED_VALUE"""),1.0)</f>
        <v>1</v>
      </c>
      <c r="S3510" s="4" t="str">
        <f>IFERROR(__xludf.DUMMYFUNCTION("""COMPUTED_VALUE"""),"null")</f>
        <v>null</v>
      </c>
      <c r="T3510" s="33">
        <f>IFERROR(__xludf.DUMMYFUNCTION("""COMPUTED_VALUE"""),1.0)</f>
        <v>1</v>
      </c>
      <c r="U3510" s="4" t="str">
        <f>IFERROR(__xludf.DUMMYFUNCTION("""COMPUTED_VALUE"""),"Saipos Serviços De Software")</f>
        <v>Saipos Serviços De Software</v>
      </c>
      <c r="V3510" s="33">
        <f>IFERROR(__xludf.DUMMYFUNCTION("""COMPUTED_VALUE"""),1.0)</f>
        <v>1</v>
      </c>
      <c r="W3510" s="4" t="str">
        <f>IFERROR(__xludf.DUMMYFUNCTION("""COMPUTED_VALUE"""),"null")</f>
        <v>null</v>
      </c>
      <c r="X3510" s="33">
        <f>IFERROR(__xludf.DUMMYFUNCTION("""COMPUTED_VALUE"""),0.6666666666666666)</f>
        <v>0.6666666667</v>
      </c>
    </row>
    <row r="3511">
      <c r="K3511" s="4" t="str">
        <f>IFERROR(__xludf.DUMMYFUNCTION("""COMPUTED_VALUE"""),"GRUPO PARMEGIANA CHEFF DELIVERY")</f>
        <v>GRUPO PARMEGIANA CHEFF DELIVERY</v>
      </c>
      <c r="L3511" s="32">
        <f>IFERROR(__xludf.DUMMYFUNCTION("""COMPUTED_VALUE"""),3.0)</f>
        <v>3</v>
      </c>
      <c r="M3511" s="4" t="str">
        <f>IFERROR(__xludf.DUMMYFUNCTION("""COMPUTED_VALUE"""),"null")</f>
        <v>null</v>
      </c>
      <c r="N3511" s="33">
        <f>IFERROR(__xludf.DUMMYFUNCTION("""COMPUTED_VALUE"""),1.0)</f>
        <v>1</v>
      </c>
      <c r="O3511" s="4" t="str">
        <f>IFERROR(__xludf.DUMMYFUNCTION("""COMPUTED_VALUE"""),"null")</f>
        <v>null</v>
      </c>
      <c r="P3511" s="33">
        <f>IFERROR(__xludf.DUMMYFUNCTION("""COMPUTED_VALUE"""),1.0)</f>
        <v>1</v>
      </c>
      <c r="Q3511" s="4" t="str">
        <f>IFERROR(__xludf.DUMMYFUNCTION("""COMPUTED_VALUE"""),"Saipos Serviços De Software")</f>
        <v>Saipos Serviços De Software</v>
      </c>
      <c r="R3511" s="33">
        <f>IFERROR(__xludf.DUMMYFUNCTION("""COMPUTED_VALUE"""),1.0)</f>
        <v>1</v>
      </c>
      <c r="S3511" s="4" t="str">
        <f>IFERROR(__xludf.DUMMYFUNCTION("""COMPUTED_VALUE"""),"Saipos Serviços De Software")</f>
        <v>Saipos Serviços De Software</v>
      </c>
      <c r="T3511" s="33">
        <f>IFERROR(__xludf.DUMMYFUNCTION("""COMPUTED_VALUE"""),1.0)</f>
        <v>1</v>
      </c>
      <c r="U3511" s="4" t="str">
        <f>IFERROR(__xludf.DUMMYFUNCTION("""COMPUTED_VALUE"""),"Saipos Serviços De Software")</f>
        <v>Saipos Serviços De Software</v>
      </c>
      <c r="V3511" s="33">
        <f>IFERROR(__xludf.DUMMYFUNCTION("""COMPUTED_VALUE"""),1.0)</f>
        <v>1</v>
      </c>
      <c r="W3511" s="4" t="str">
        <f>IFERROR(__xludf.DUMMYFUNCTION("""COMPUTED_VALUE"""),"Saipos Serviços De Software")</f>
        <v>Saipos Serviços De Software</v>
      </c>
      <c r="X3511" s="33">
        <f>IFERROR(__xludf.DUMMYFUNCTION("""COMPUTED_VALUE"""),1.0)</f>
        <v>1</v>
      </c>
    </row>
    <row r="3512">
      <c r="K3512" s="4" t="str">
        <f>IFERROR(__xludf.DUMMYFUNCTION("""COMPUTED_VALUE"""),"GRUPO PASTA EM CASA")</f>
        <v>GRUPO PASTA EM CASA</v>
      </c>
      <c r="L3512" s="32">
        <f>IFERROR(__xludf.DUMMYFUNCTION("""COMPUTED_VALUE"""),3.0)</f>
        <v>3</v>
      </c>
      <c r="M3512" s="4" t="str">
        <f>IFERROR(__xludf.DUMMYFUNCTION("""COMPUTED_VALUE"""),"Ncr")</f>
        <v>Ncr</v>
      </c>
      <c r="N3512" s="33">
        <f>IFERROR(__xludf.DUMMYFUNCTION("""COMPUTED_VALUE"""),1.0)</f>
        <v>1</v>
      </c>
      <c r="O3512" s="4" t="str">
        <f>IFERROR(__xludf.DUMMYFUNCTION("""COMPUTED_VALUE"""),"Ncr")</f>
        <v>Ncr</v>
      </c>
      <c r="P3512" s="33">
        <f>IFERROR(__xludf.DUMMYFUNCTION("""COMPUTED_VALUE"""),1.0)</f>
        <v>1</v>
      </c>
      <c r="Q3512" s="4" t="str">
        <f>IFERROR(__xludf.DUMMYFUNCTION("""COMPUTED_VALUE"""),"Ncr")</f>
        <v>Ncr</v>
      </c>
      <c r="R3512" s="33">
        <f>IFERROR(__xludf.DUMMYFUNCTION("""COMPUTED_VALUE"""),1.0)</f>
        <v>1</v>
      </c>
      <c r="S3512" s="4" t="str">
        <f>IFERROR(__xludf.DUMMYFUNCTION("""COMPUTED_VALUE"""),"Ncr")</f>
        <v>Ncr</v>
      </c>
      <c r="T3512" s="33">
        <f>IFERROR(__xludf.DUMMYFUNCTION("""COMPUTED_VALUE"""),1.0)</f>
        <v>1</v>
      </c>
      <c r="U3512" s="4" t="str">
        <f>IFERROR(__xludf.DUMMYFUNCTION("""COMPUTED_VALUE"""),"Ncr")</f>
        <v>Ncr</v>
      </c>
      <c r="V3512" s="33">
        <f>IFERROR(__xludf.DUMMYFUNCTION("""COMPUTED_VALUE"""),1.0)</f>
        <v>1</v>
      </c>
      <c r="W3512" s="4" t="str">
        <f>IFERROR(__xludf.DUMMYFUNCTION("""COMPUTED_VALUE"""),"Ncr")</f>
        <v>Ncr</v>
      </c>
      <c r="X3512" s="33">
        <f>IFERROR(__xludf.DUMMYFUNCTION("""COMPUTED_VALUE"""),1.0)</f>
        <v>1</v>
      </c>
    </row>
    <row r="3513">
      <c r="K3513" s="4" t="str">
        <f>IFERROR(__xludf.DUMMYFUNCTION("""COMPUTED_VALUE"""),"GRUPO PEDACINHOS PIZZA")</f>
        <v>GRUPO PEDACINHOS PIZZA</v>
      </c>
      <c r="L3513" s="32">
        <f>IFERROR(__xludf.DUMMYFUNCTION("""COMPUTED_VALUE"""),3.0)</f>
        <v>3</v>
      </c>
      <c r="M3513" s="4" t="str">
        <f>IFERROR(__xludf.DUMMYFUNCTION("""COMPUTED_VALUE"""),"Ncr")</f>
        <v>Ncr</v>
      </c>
      <c r="N3513" s="33">
        <f>IFERROR(__xludf.DUMMYFUNCTION("""COMPUTED_VALUE"""),1.0)</f>
        <v>1</v>
      </c>
      <c r="O3513" s="4" t="str">
        <f>IFERROR(__xludf.DUMMYFUNCTION("""COMPUTED_VALUE"""),"Ncr")</f>
        <v>Ncr</v>
      </c>
      <c r="P3513" s="33">
        <f>IFERROR(__xludf.DUMMYFUNCTION("""COMPUTED_VALUE"""),1.0)</f>
        <v>1</v>
      </c>
      <c r="Q3513" s="4" t="str">
        <f>IFERROR(__xludf.DUMMYFUNCTION("""COMPUTED_VALUE"""),"Ncr")</f>
        <v>Ncr</v>
      </c>
      <c r="R3513" s="33">
        <f>IFERROR(__xludf.DUMMYFUNCTION("""COMPUTED_VALUE"""),1.0)</f>
        <v>1</v>
      </c>
      <c r="S3513" s="4" t="str">
        <f>IFERROR(__xludf.DUMMYFUNCTION("""COMPUTED_VALUE"""),"Ncr")</f>
        <v>Ncr</v>
      </c>
      <c r="T3513" s="33">
        <f>IFERROR(__xludf.DUMMYFUNCTION("""COMPUTED_VALUE"""),1.0)</f>
        <v>1</v>
      </c>
      <c r="U3513" s="4" t="str">
        <f>IFERROR(__xludf.DUMMYFUNCTION("""COMPUTED_VALUE"""),"Ncr")</f>
        <v>Ncr</v>
      </c>
      <c r="V3513" s="33">
        <f>IFERROR(__xludf.DUMMYFUNCTION("""COMPUTED_VALUE"""),1.0)</f>
        <v>1</v>
      </c>
      <c r="W3513" s="4" t="str">
        <f>IFERROR(__xludf.DUMMYFUNCTION("""COMPUTED_VALUE"""),"Ncr")</f>
        <v>Ncr</v>
      </c>
      <c r="X3513" s="33">
        <f>IFERROR(__xludf.DUMMYFUNCTION("""COMPUTED_VALUE"""),1.0)</f>
        <v>1</v>
      </c>
    </row>
    <row r="3514">
      <c r="K3514" s="4" t="str">
        <f>IFERROR(__xludf.DUMMYFUNCTION("""COMPUTED_VALUE"""),"GRUPO PIZZARIA BAURU")</f>
        <v>GRUPO PIZZARIA BAURU</v>
      </c>
      <c r="L3514" s="32">
        <f>IFERROR(__xludf.DUMMYFUNCTION("""COMPUTED_VALUE"""),3.0)</f>
        <v>3</v>
      </c>
      <c r="M3514" s="4" t="str">
        <f>IFERROR(__xludf.DUMMYFUNCTION("""COMPUTED_VALUE"""),"Cardápio Web")</f>
        <v>Cardápio Web</v>
      </c>
      <c r="N3514" s="33">
        <f>IFERROR(__xludf.DUMMYFUNCTION("""COMPUTED_VALUE"""),1.0)</f>
        <v>1</v>
      </c>
      <c r="O3514" s="4" t="str">
        <f>IFERROR(__xludf.DUMMYFUNCTION("""COMPUTED_VALUE"""),"Cardápio Web")</f>
        <v>Cardápio Web</v>
      </c>
      <c r="P3514" s="33">
        <f>IFERROR(__xludf.DUMMYFUNCTION("""COMPUTED_VALUE"""),1.0)</f>
        <v>1</v>
      </c>
      <c r="Q3514" s="4" t="str">
        <f>IFERROR(__xludf.DUMMYFUNCTION("""COMPUTED_VALUE"""),"Cardápio Web")</f>
        <v>Cardápio Web</v>
      </c>
      <c r="R3514" s="33">
        <f>IFERROR(__xludf.DUMMYFUNCTION("""COMPUTED_VALUE"""),1.0)</f>
        <v>1</v>
      </c>
      <c r="S3514" s="4" t="str">
        <f>IFERROR(__xludf.DUMMYFUNCTION("""COMPUTED_VALUE"""),"Cardápio Web")</f>
        <v>Cardápio Web</v>
      </c>
      <c r="T3514" s="33">
        <f>IFERROR(__xludf.DUMMYFUNCTION("""COMPUTED_VALUE"""),1.0)</f>
        <v>1</v>
      </c>
      <c r="U3514" s="4" t="str">
        <f>IFERROR(__xludf.DUMMYFUNCTION("""COMPUTED_VALUE"""),"Cardápio Web")</f>
        <v>Cardápio Web</v>
      </c>
      <c r="V3514" s="33">
        <f>IFERROR(__xludf.DUMMYFUNCTION("""COMPUTED_VALUE"""),0.6666666666666666)</f>
        <v>0.6666666667</v>
      </c>
      <c r="W3514" s="4" t="str">
        <f>IFERROR(__xludf.DUMMYFUNCTION("""COMPUTED_VALUE"""),"Cardápio Web")</f>
        <v>Cardápio Web</v>
      </c>
      <c r="X3514" s="33">
        <f>IFERROR(__xludf.DUMMYFUNCTION("""COMPUTED_VALUE"""),1.0)</f>
        <v>1</v>
      </c>
    </row>
    <row r="3515">
      <c r="K3515" s="4" t="str">
        <f>IFERROR(__xludf.DUMMYFUNCTION("""COMPUTED_VALUE"""),"GRUPO PRACA DO GOURMET")</f>
        <v>GRUPO PRACA DO GOURMET</v>
      </c>
      <c r="L3515" s="32">
        <f>IFERROR(__xludf.DUMMYFUNCTION("""COMPUTED_VALUE"""),3.0)</f>
        <v>3</v>
      </c>
      <c r="M3515" s="4" t="str">
        <f>IFERROR(__xludf.DUMMYFUNCTION("""COMPUTED_VALUE"""),"Saipos Serviços De Software")</f>
        <v>Saipos Serviços De Software</v>
      </c>
      <c r="N3515" s="33">
        <f>IFERROR(__xludf.DUMMYFUNCTION("""COMPUTED_VALUE"""),1.0)</f>
        <v>1</v>
      </c>
      <c r="O3515" s="4" t="str">
        <f>IFERROR(__xludf.DUMMYFUNCTION("""COMPUTED_VALUE"""),"Saipos Serviços De Software")</f>
        <v>Saipos Serviços De Software</v>
      </c>
      <c r="P3515" s="33">
        <f>IFERROR(__xludf.DUMMYFUNCTION("""COMPUTED_VALUE"""),1.0)</f>
        <v>1</v>
      </c>
      <c r="Q3515" s="4" t="str">
        <f>IFERROR(__xludf.DUMMYFUNCTION("""COMPUTED_VALUE"""),"Saipos Serviços De Software")</f>
        <v>Saipos Serviços De Software</v>
      </c>
      <c r="R3515" s="33">
        <f>IFERROR(__xludf.DUMMYFUNCTION("""COMPUTED_VALUE"""),1.0)</f>
        <v>1</v>
      </c>
      <c r="S3515" s="4" t="str">
        <f>IFERROR(__xludf.DUMMYFUNCTION("""COMPUTED_VALUE"""),"Saipos Serviços De Software")</f>
        <v>Saipos Serviços De Software</v>
      </c>
      <c r="T3515" s="33">
        <f>IFERROR(__xludf.DUMMYFUNCTION("""COMPUTED_VALUE"""),1.0)</f>
        <v>1</v>
      </c>
      <c r="U3515" s="4" t="str">
        <f>IFERROR(__xludf.DUMMYFUNCTION("""COMPUTED_VALUE"""),"Saipos Serviços De Software")</f>
        <v>Saipos Serviços De Software</v>
      </c>
      <c r="V3515" s="33">
        <f>IFERROR(__xludf.DUMMYFUNCTION("""COMPUTED_VALUE"""),1.0)</f>
        <v>1</v>
      </c>
      <c r="W3515" s="4" t="str">
        <f>IFERROR(__xludf.DUMMYFUNCTION("""COMPUTED_VALUE"""),"Saipos Serviços De Software")</f>
        <v>Saipos Serviços De Software</v>
      </c>
      <c r="X3515" s="33">
        <f>IFERROR(__xludf.DUMMYFUNCTION("""COMPUTED_VALUE"""),1.0)</f>
        <v>1</v>
      </c>
    </row>
    <row r="3516">
      <c r="K3516" s="4" t="str">
        <f>IFERROR(__xludf.DUMMYFUNCTION("""COMPUTED_VALUE"""),"GRUPO QUINTEIROS")</f>
        <v>GRUPO QUINTEIROS</v>
      </c>
      <c r="L3516" s="32">
        <f>IFERROR(__xludf.DUMMYFUNCTION("""COMPUTED_VALUE"""),3.0)</f>
        <v>3</v>
      </c>
      <c r="M3516" s="4" t="str">
        <f>IFERROR(__xludf.DUMMYFUNCTION("""COMPUTED_VALUE"""),"Ncr")</f>
        <v>Ncr</v>
      </c>
      <c r="N3516" s="33">
        <f>IFERROR(__xludf.DUMMYFUNCTION("""COMPUTED_VALUE"""),0.6666666666666666)</f>
        <v>0.6666666667</v>
      </c>
      <c r="O3516" s="4" t="str">
        <f>IFERROR(__xludf.DUMMYFUNCTION("""COMPUTED_VALUE"""),"Ncr")</f>
        <v>Ncr</v>
      </c>
      <c r="P3516" s="33">
        <f>IFERROR(__xludf.DUMMYFUNCTION("""COMPUTED_VALUE"""),1.0)</f>
        <v>1</v>
      </c>
      <c r="Q3516" s="4" t="str">
        <f>IFERROR(__xludf.DUMMYFUNCTION("""COMPUTED_VALUE"""),"Ncr")</f>
        <v>Ncr</v>
      </c>
      <c r="R3516" s="33">
        <f>IFERROR(__xludf.DUMMYFUNCTION("""COMPUTED_VALUE"""),1.0)</f>
        <v>1</v>
      </c>
      <c r="S3516" s="4" t="str">
        <f>IFERROR(__xludf.DUMMYFUNCTION("""COMPUTED_VALUE"""),"Ncr")</f>
        <v>Ncr</v>
      </c>
      <c r="T3516" s="33">
        <f>IFERROR(__xludf.DUMMYFUNCTION("""COMPUTED_VALUE"""),1.0)</f>
        <v>1</v>
      </c>
      <c r="U3516" s="4" t="str">
        <f>IFERROR(__xludf.DUMMYFUNCTION("""COMPUTED_VALUE"""),"Ncr")</f>
        <v>Ncr</v>
      </c>
      <c r="V3516" s="33">
        <f>IFERROR(__xludf.DUMMYFUNCTION("""COMPUTED_VALUE"""),1.0)</f>
        <v>1</v>
      </c>
      <c r="W3516" s="4" t="str">
        <f>IFERROR(__xludf.DUMMYFUNCTION("""COMPUTED_VALUE"""),"Ncr")</f>
        <v>Ncr</v>
      </c>
      <c r="X3516" s="33">
        <f>IFERROR(__xludf.DUMMYFUNCTION("""COMPUTED_VALUE"""),1.0)</f>
        <v>1</v>
      </c>
    </row>
    <row r="3517">
      <c r="K3517" s="4" t="str">
        <f>IFERROR(__xludf.DUMMYFUNCTION("""COMPUTED_VALUE"""),"GRUPO RAF HAMBURGUERIA")</f>
        <v>GRUPO RAF HAMBURGUERIA</v>
      </c>
      <c r="L3517" s="32">
        <f>IFERROR(__xludf.DUMMYFUNCTION("""COMPUTED_VALUE"""),3.0)</f>
        <v>3</v>
      </c>
      <c r="M3517" s="4" t="str">
        <f>IFERROR(__xludf.DUMMYFUNCTION("""COMPUTED_VALUE"""),"Saipos Serviços De Software")</f>
        <v>Saipos Serviços De Software</v>
      </c>
      <c r="N3517" s="33">
        <f>IFERROR(__xludf.DUMMYFUNCTION("""COMPUTED_VALUE"""),1.0)</f>
        <v>1</v>
      </c>
      <c r="O3517" s="4" t="str">
        <f>IFERROR(__xludf.DUMMYFUNCTION("""COMPUTED_VALUE"""),"Saipos Serviços De Software")</f>
        <v>Saipos Serviços De Software</v>
      </c>
      <c r="P3517" s="33">
        <f>IFERROR(__xludf.DUMMYFUNCTION("""COMPUTED_VALUE"""),1.0)</f>
        <v>1</v>
      </c>
      <c r="Q3517" s="4" t="str">
        <f>IFERROR(__xludf.DUMMYFUNCTION("""COMPUTED_VALUE"""),"Saipos Serviços De Software")</f>
        <v>Saipos Serviços De Software</v>
      </c>
      <c r="R3517" s="33">
        <f>IFERROR(__xludf.DUMMYFUNCTION("""COMPUTED_VALUE"""),1.0)</f>
        <v>1</v>
      </c>
      <c r="S3517" s="4" t="str">
        <f>IFERROR(__xludf.DUMMYFUNCTION("""COMPUTED_VALUE"""),"Saipos Serviços De Software")</f>
        <v>Saipos Serviços De Software</v>
      </c>
      <c r="T3517" s="33">
        <f>IFERROR(__xludf.DUMMYFUNCTION("""COMPUTED_VALUE"""),1.0)</f>
        <v>1</v>
      </c>
      <c r="U3517" s="4" t="str">
        <f>IFERROR(__xludf.DUMMYFUNCTION("""COMPUTED_VALUE"""),"Saipos Serviços De Software")</f>
        <v>Saipos Serviços De Software</v>
      </c>
      <c r="V3517" s="33">
        <f>IFERROR(__xludf.DUMMYFUNCTION("""COMPUTED_VALUE"""),1.0)</f>
        <v>1</v>
      </c>
      <c r="W3517" s="4" t="str">
        <f>IFERROR(__xludf.DUMMYFUNCTION("""COMPUTED_VALUE"""),"Saipos Serviços De Software")</f>
        <v>Saipos Serviços De Software</v>
      </c>
      <c r="X3517" s="33">
        <f>IFERROR(__xludf.DUMMYFUNCTION("""COMPUTED_VALUE"""),1.0)</f>
        <v>1</v>
      </c>
    </row>
    <row r="3518">
      <c r="K3518" s="4" t="str">
        <f>IFERROR(__xludf.DUMMYFUNCTION("""COMPUTED_VALUE"""),"GRUPO RED SPOT")</f>
        <v>GRUPO RED SPOT</v>
      </c>
      <c r="L3518" s="32">
        <f>IFERROR(__xludf.DUMMYFUNCTION("""COMPUTED_VALUE"""),3.0)</f>
        <v>3</v>
      </c>
      <c r="M3518" s="4" t="str">
        <f>IFERROR(__xludf.DUMMYFUNCTION("""COMPUTED_VALUE"""),"Saipos Serviços De Software")</f>
        <v>Saipos Serviços De Software</v>
      </c>
      <c r="N3518" s="33">
        <f>IFERROR(__xludf.DUMMYFUNCTION("""COMPUTED_VALUE"""),1.0)</f>
        <v>1</v>
      </c>
      <c r="O3518" s="4" t="str">
        <f>IFERROR(__xludf.DUMMYFUNCTION("""COMPUTED_VALUE"""),"Saipos Serviços De Software")</f>
        <v>Saipos Serviços De Software</v>
      </c>
      <c r="P3518" s="33">
        <f>IFERROR(__xludf.DUMMYFUNCTION("""COMPUTED_VALUE"""),0.6666666666666666)</f>
        <v>0.6666666667</v>
      </c>
      <c r="Q3518" s="4" t="str">
        <f>IFERROR(__xludf.DUMMYFUNCTION("""COMPUTED_VALUE"""),"Saipos Serviços De Software")</f>
        <v>Saipos Serviços De Software</v>
      </c>
      <c r="R3518" s="33">
        <f>IFERROR(__xludf.DUMMYFUNCTION("""COMPUTED_VALUE"""),1.0)</f>
        <v>1</v>
      </c>
      <c r="S3518" s="4" t="str">
        <f>IFERROR(__xludf.DUMMYFUNCTION("""COMPUTED_VALUE"""),"Saipos Serviços De Software")</f>
        <v>Saipos Serviços De Software</v>
      </c>
      <c r="T3518" s="33">
        <f>IFERROR(__xludf.DUMMYFUNCTION("""COMPUTED_VALUE"""),0.6666666666666666)</f>
        <v>0.6666666667</v>
      </c>
      <c r="U3518" s="4" t="str">
        <f>IFERROR(__xludf.DUMMYFUNCTION("""COMPUTED_VALUE"""),"Saipos Serviços De Software")</f>
        <v>Saipos Serviços De Software</v>
      </c>
      <c r="V3518" s="33">
        <f>IFERROR(__xludf.DUMMYFUNCTION("""COMPUTED_VALUE"""),0.6666666666666666)</f>
        <v>0.6666666667</v>
      </c>
      <c r="W3518" s="4" t="str">
        <f>IFERROR(__xludf.DUMMYFUNCTION("""COMPUTED_VALUE"""),"Saipos Serviços De Software")</f>
        <v>Saipos Serviços De Software</v>
      </c>
      <c r="X3518" s="33">
        <f>IFERROR(__xludf.DUMMYFUNCTION("""COMPUTED_VALUE"""),0.6666666666666666)</f>
        <v>0.6666666667</v>
      </c>
    </row>
    <row r="3519">
      <c r="K3519" s="4" t="str">
        <f>IFERROR(__xludf.DUMMYFUNCTION("""COMPUTED_VALUE"""),"GRUPO RICO")</f>
        <v>GRUPO RICO</v>
      </c>
      <c r="L3519" s="32">
        <f>IFERROR(__xludf.DUMMYFUNCTION("""COMPUTED_VALUE"""),3.0)</f>
        <v>3</v>
      </c>
      <c r="M3519" s="4" t="str">
        <f>IFERROR(__xludf.DUMMYFUNCTION("""COMPUTED_VALUE"""),"Saipos Serviços De Software")</f>
        <v>Saipos Serviços De Software</v>
      </c>
      <c r="N3519" s="33">
        <f>IFERROR(__xludf.DUMMYFUNCTION("""COMPUTED_VALUE"""),1.0)</f>
        <v>1</v>
      </c>
      <c r="O3519" s="4" t="str">
        <f>IFERROR(__xludf.DUMMYFUNCTION("""COMPUTED_VALUE"""),"Saipos Serviços De Software")</f>
        <v>Saipos Serviços De Software</v>
      </c>
      <c r="P3519" s="33">
        <f>IFERROR(__xludf.DUMMYFUNCTION("""COMPUTED_VALUE"""),1.0)</f>
        <v>1</v>
      </c>
      <c r="Q3519" s="4" t="str">
        <f>IFERROR(__xludf.DUMMYFUNCTION("""COMPUTED_VALUE"""),"Saipos Serviços De Software")</f>
        <v>Saipos Serviços De Software</v>
      </c>
      <c r="R3519" s="33">
        <f>IFERROR(__xludf.DUMMYFUNCTION("""COMPUTED_VALUE"""),1.0)</f>
        <v>1</v>
      </c>
      <c r="S3519" s="4" t="str">
        <f>IFERROR(__xludf.DUMMYFUNCTION("""COMPUTED_VALUE"""),"Saipos Serviços De Software")</f>
        <v>Saipos Serviços De Software</v>
      </c>
      <c r="T3519" s="33">
        <f>IFERROR(__xludf.DUMMYFUNCTION("""COMPUTED_VALUE"""),1.0)</f>
        <v>1</v>
      </c>
      <c r="U3519" s="4" t="str">
        <f>IFERROR(__xludf.DUMMYFUNCTION("""COMPUTED_VALUE"""),"Saipos Serviços De Software")</f>
        <v>Saipos Serviços De Software</v>
      </c>
      <c r="V3519" s="33">
        <f>IFERROR(__xludf.DUMMYFUNCTION("""COMPUTED_VALUE"""),1.0)</f>
        <v>1</v>
      </c>
      <c r="W3519" s="4" t="str">
        <f>IFERROR(__xludf.DUMMYFUNCTION("""COMPUTED_VALUE"""),"Saipos Serviços De Software")</f>
        <v>Saipos Serviços De Software</v>
      </c>
      <c r="X3519" s="33">
        <f>IFERROR(__xludf.DUMMYFUNCTION("""COMPUTED_VALUE"""),1.0)</f>
        <v>1</v>
      </c>
    </row>
    <row r="3520">
      <c r="K3520" s="4" t="str">
        <f>IFERROR(__xludf.DUMMYFUNCTION("""COMPUTED_VALUE"""),"GRUPO ROCKS BURGUERS")</f>
        <v>GRUPO ROCKS BURGUERS</v>
      </c>
      <c r="L3520" s="32">
        <f>IFERROR(__xludf.DUMMYFUNCTION("""COMPUTED_VALUE"""),3.0)</f>
        <v>3</v>
      </c>
      <c r="M3520" s="4" t="str">
        <f>IFERROR(__xludf.DUMMYFUNCTION("""COMPUTED_VALUE"""),"null")</f>
        <v>null</v>
      </c>
      <c r="N3520" s="33">
        <f>IFERROR(__xludf.DUMMYFUNCTION("""COMPUTED_VALUE"""),0.6666666666666666)</f>
        <v>0.6666666667</v>
      </c>
      <c r="O3520" s="4" t="str">
        <f>IFERROR(__xludf.DUMMYFUNCTION("""COMPUTED_VALUE"""),"null")</f>
        <v>null</v>
      </c>
      <c r="P3520" s="33">
        <f>IFERROR(__xludf.DUMMYFUNCTION("""COMPUTED_VALUE"""),1.0)</f>
        <v>1</v>
      </c>
      <c r="Q3520" s="4" t="str">
        <f>IFERROR(__xludf.DUMMYFUNCTION("""COMPUTED_VALUE"""),"null")</f>
        <v>null</v>
      </c>
      <c r="R3520" s="33">
        <f>IFERROR(__xludf.DUMMYFUNCTION("""COMPUTED_VALUE"""),0.6666666666666666)</f>
        <v>0.6666666667</v>
      </c>
      <c r="S3520" s="4" t="str">
        <f>IFERROR(__xludf.DUMMYFUNCTION("""COMPUTED_VALUE"""),"null")</f>
        <v>null</v>
      </c>
      <c r="T3520" s="33">
        <f>IFERROR(__xludf.DUMMYFUNCTION("""COMPUTED_VALUE"""),1.0)</f>
        <v>1</v>
      </c>
      <c r="U3520" s="4" t="str">
        <f>IFERROR(__xludf.DUMMYFUNCTION("""COMPUTED_VALUE"""),"null")</f>
        <v>null</v>
      </c>
      <c r="V3520" s="33">
        <f>IFERROR(__xludf.DUMMYFUNCTION("""COMPUTED_VALUE"""),1.0)</f>
        <v>1</v>
      </c>
      <c r="W3520" s="4" t="str">
        <f>IFERROR(__xludf.DUMMYFUNCTION("""COMPUTED_VALUE"""),"Cliente Fiel")</f>
        <v>Cliente Fiel</v>
      </c>
      <c r="X3520" s="33">
        <f>IFERROR(__xludf.DUMMYFUNCTION("""COMPUTED_VALUE"""),1.0)</f>
        <v>1</v>
      </c>
    </row>
    <row r="3521">
      <c r="K3521" s="4" t="str">
        <f>IFERROR(__xludf.DUMMYFUNCTION("""COMPUTED_VALUE"""),"GRUPO SANCHO")</f>
        <v>GRUPO SANCHO</v>
      </c>
      <c r="L3521" s="32">
        <f>IFERROR(__xludf.DUMMYFUNCTION("""COMPUTED_VALUE"""),3.0)</f>
        <v>3</v>
      </c>
      <c r="M3521" s="4" t="str">
        <f>IFERROR(__xludf.DUMMYFUNCTION("""COMPUTED_VALUE"""),"Netcontroll Xmenu")</f>
        <v>Netcontroll Xmenu</v>
      </c>
      <c r="N3521" s="33">
        <f>IFERROR(__xludf.DUMMYFUNCTION("""COMPUTED_VALUE"""),0.6666666666666666)</f>
        <v>0.6666666667</v>
      </c>
      <c r="O3521" s="4" t="str">
        <f>IFERROR(__xludf.DUMMYFUNCTION("""COMPUTED_VALUE"""),"Netcontroll Xmenu")</f>
        <v>Netcontroll Xmenu</v>
      </c>
      <c r="P3521" s="33">
        <f>IFERROR(__xludf.DUMMYFUNCTION("""COMPUTED_VALUE"""),0.6666666666666666)</f>
        <v>0.6666666667</v>
      </c>
      <c r="Q3521" s="4" t="str">
        <f>IFERROR(__xludf.DUMMYFUNCTION("""COMPUTED_VALUE"""),"Netcontroll Xmenu")</f>
        <v>Netcontroll Xmenu</v>
      </c>
      <c r="R3521" s="33">
        <f>IFERROR(__xludf.DUMMYFUNCTION("""COMPUTED_VALUE"""),0.6666666666666666)</f>
        <v>0.6666666667</v>
      </c>
      <c r="S3521" s="4" t="str">
        <f>IFERROR(__xludf.DUMMYFUNCTION("""COMPUTED_VALUE"""),"Netcontroll Xmenu")</f>
        <v>Netcontroll Xmenu</v>
      </c>
      <c r="T3521" s="33">
        <f>IFERROR(__xludf.DUMMYFUNCTION("""COMPUTED_VALUE"""),0.6666666666666666)</f>
        <v>0.6666666667</v>
      </c>
      <c r="U3521" s="4" t="str">
        <f>IFERROR(__xludf.DUMMYFUNCTION("""COMPUTED_VALUE"""),"Netcontroll Xmenu")</f>
        <v>Netcontroll Xmenu</v>
      </c>
      <c r="V3521" s="33">
        <f>IFERROR(__xludf.DUMMYFUNCTION("""COMPUTED_VALUE"""),1.0)</f>
        <v>1</v>
      </c>
      <c r="W3521" s="4" t="str">
        <f>IFERROR(__xludf.DUMMYFUNCTION("""COMPUTED_VALUE"""),"Netcontroll Xmenu")</f>
        <v>Netcontroll Xmenu</v>
      </c>
      <c r="X3521" s="33">
        <f>IFERROR(__xludf.DUMMYFUNCTION("""COMPUTED_VALUE"""),0.6666666666666666)</f>
        <v>0.6666666667</v>
      </c>
    </row>
    <row r="3522">
      <c r="K3522" s="4" t="str">
        <f>IFERROR(__xludf.DUMMYFUNCTION("""COMPUTED_VALUE"""),"GRUPO SEIKO SUSHI")</f>
        <v>GRUPO SEIKO SUSHI</v>
      </c>
      <c r="L3522" s="32">
        <f>IFERROR(__xludf.DUMMYFUNCTION("""COMPUTED_VALUE"""),3.0)</f>
        <v>3</v>
      </c>
      <c r="M3522" s="4" t="str">
        <f>IFERROR(__xludf.DUMMYFUNCTION("""COMPUTED_VALUE"""),"Saipos Serviços De Software")</f>
        <v>Saipos Serviços De Software</v>
      </c>
      <c r="N3522" s="33">
        <f>IFERROR(__xludf.DUMMYFUNCTION("""COMPUTED_VALUE"""),1.0)</f>
        <v>1</v>
      </c>
      <c r="O3522" s="4" t="str">
        <f>IFERROR(__xludf.DUMMYFUNCTION("""COMPUTED_VALUE"""),"Saipos Serviços De Software")</f>
        <v>Saipos Serviços De Software</v>
      </c>
      <c r="P3522" s="33">
        <f>IFERROR(__xludf.DUMMYFUNCTION("""COMPUTED_VALUE"""),1.0)</f>
        <v>1</v>
      </c>
      <c r="Q3522" s="4" t="str">
        <f>IFERROR(__xludf.DUMMYFUNCTION("""COMPUTED_VALUE"""),"Saipos Serviços De Software")</f>
        <v>Saipos Serviços De Software</v>
      </c>
      <c r="R3522" s="33">
        <f>IFERROR(__xludf.DUMMYFUNCTION("""COMPUTED_VALUE"""),1.0)</f>
        <v>1</v>
      </c>
      <c r="S3522" s="4" t="str">
        <f>IFERROR(__xludf.DUMMYFUNCTION("""COMPUTED_VALUE"""),"Saipos Serviços De Software")</f>
        <v>Saipos Serviços De Software</v>
      </c>
      <c r="T3522" s="33">
        <f>IFERROR(__xludf.DUMMYFUNCTION("""COMPUTED_VALUE"""),1.0)</f>
        <v>1</v>
      </c>
      <c r="U3522" s="4" t="str">
        <f>IFERROR(__xludf.DUMMYFUNCTION("""COMPUTED_VALUE"""),"Saipos Serviços De Software")</f>
        <v>Saipos Serviços De Software</v>
      </c>
      <c r="V3522" s="33">
        <f>IFERROR(__xludf.DUMMYFUNCTION("""COMPUTED_VALUE"""),1.0)</f>
        <v>1</v>
      </c>
      <c r="W3522" s="4" t="str">
        <f>IFERROR(__xludf.DUMMYFUNCTION("""COMPUTED_VALUE"""),"Saipos Serviços De Software")</f>
        <v>Saipos Serviços De Software</v>
      </c>
      <c r="X3522" s="33">
        <f>IFERROR(__xludf.DUMMYFUNCTION("""COMPUTED_VALUE"""),1.0)</f>
        <v>1</v>
      </c>
    </row>
    <row r="3523">
      <c r="K3523" s="4" t="str">
        <f>IFERROR(__xludf.DUMMYFUNCTION("""COMPUTED_VALUE"""),"GRUPO SESCONETTOS PIZZARIA NAPOLITANA")</f>
        <v>GRUPO SESCONETTOS PIZZARIA NAPOLITANA</v>
      </c>
      <c r="L3523" s="32">
        <f>IFERROR(__xludf.DUMMYFUNCTION("""COMPUTED_VALUE"""),3.0)</f>
        <v>3</v>
      </c>
      <c r="M3523" s="4" t="str">
        <f>IFERROR(__xludf.DUMMYFUNCTION("""COMPUTED_VALUE"""),"Saipos Serviços De Software")</f>
        <v>Saipos Serviços De Software</v>
      </c>
      <c r="N3523" s="33">
        <f>IFERROR(__xludf.DUMMYFUNCTION("""COMPUTED_VALUE"""),0.3333333333333333)</f>
        <v>0.3333333333</v>
      </c>
      <c r="O3523" s="4" t="str">
        <f>IFERROR(__xludf.DUMMYFUNCTION("""COMPUTED_VALUE"""),"Saipos Serviços De Software")</f>
        <v>Saipos Serviços De Software</v>
      </c>
      <c r="P3523" s="33">
        <f>IFERROR(__xludf.DUMMYFUNCTION("""COMPUTED_VALUE"""),0.3333333333333333)</f>
        <v>0.3333333333</v>
      </c>
      <c r="Q3523" s="4" t="str">
        <f>IFERROR(__xludf.DUMMYFUNCTION("""COMPUTED_VALUE"""),"Saipos Serviços De Software")</f>
        <v>Saipos Serviços De Software</v>
      </c>
      <c r="R3523" s="33">
        <f>IFERROR(__xludf.DUMMYFUNCTION("""COMPUTED_VALUE"""),0.3333333333333333)</f>
        <v>0.3333333333</v>
      </c>
      <c r="S3523" s="4" t="str">
        <f>IFERROR(__xludf.DUMMYFUNCTION("""COMPUTED_VALUE"""),"Saipos Serviços De Software")</f>
        <v>Saipos Serviços De Software</v>
      </c>
      <c r="T3523" s="33">
        <f>IFERROR(__xludf.DUMMYFUNCTION("""COMPUTED_VALUE"""),1.0)</f>
        <v>1</v>
      </c>
      <c r="U3523" s="4" t="str">
        <f>IFERROR(__xludf.DUMMYFUNCTION("""COMPUTED_VALUE"""),"Saipos Serviços De Software")</f>
        <v>Saipos Serviços De Software</v>
      </c>
      <c r="V3523" s="33">
        <f>IFERROR(__xludf.DUMMYFUNCTION("""COMPUTED_VALUE"""),0.6666666666666666)</f>
        <v>0.6666666667</v>
      </c>
      <c r="W3523" s="4" t="str">
        <f>IFERROR(__xludf.DUMMYFUNCTION("""COMPUTED_VALUE"""),"Saipos Serviços De Software")</f>
        <v>Saipos Serviços De Software</v>
      </c>
      <c r="X3523" s="33">
        <f>IFERROR(__xludf.DUMMYFUNCTION("""COMPUTED_VALUE"""),0.6666666666666666)</f>
        <v>0.6666666667</v>
      </c>
    </row>
    <row r="3524">
      <c r="K3524" s="4" t="str">
        <f>IFERROR(__xludf.DUMMYFUNCTION("""COMPUTED_VALUE"""),"GRUPO SINGULAR SUSHI - MANAUS")</f>
        <v>GRUPO SINGULAR SUSHI - MANAUS</v>
      </c>
      <c r="L3524" s="32">
        <f>IFERROR(__xludf.DUMMYFUNCTION("""COMPUTED_VALUE"""),3.0)</f>
        <v>3</v>
      </c>
      <c r="M3524" s="4" t="str">
        <f>IFERROR(__xludf.DUMMYFUNCTION("""COMPUTED_VALUE"""),"null")</f>
        <v>null</v>
      </c>
      <c r="N3524" s="33">
        <f>IFERROR(__xludf.DUMMYFUNCTION("""COMPUTED_VALUE"""),0.6666666666666666)</f>
        <v>0.6666666667</v>
      </c>
      <c r="O3524" s="4" t="str">
        <f>IFERROR(__xludf.DUMMYFUNCTION("""COMPUTED_VALUE"""),"Saipos Serviços De Software")</f>
        <v>Saipos Serviços De Software</v>
      </c>
      <c r="P3524" s="33">
        <f>IFERROR(__xludf.DUMMYFUNCTION("""COMPUTED_VALUE"""),0.6666666666666666)</f>
        <v>0.6666666667</v>
      </c>
      <c r="Q3524" s="4" t="str">
        <f>IFERROR(__xludf.DUMMYFUNCTION("""COMPUTED_VALUE"""),"Saipos Serviços De Software")</f>
        <v>Saipos Serviços De Software</v>
      </c>
      <c r="R3524" s="33">
        <f>IFERROR(__xludf.DUMMYFUNCTION("""COMPUTED_VALUE"""),0.6666666666666666)</f>
        <v>0.6666666667</v>
      </c>
      <c r="S3524" s="4" t="str">
        <f>IFERROR(__xludf.DUMMYFUNCTION("""COMPUTED_VALUE"""),"Saipos Serviços De Software")</f>
        <v>Saipos Serviços De Software</v>
      </c>
      <c r="T3524" s="33">
        <f>IFERROR(__xludf.DUMMYFUNCTION("""COMPUTED_VALUE"""),0.6666666666666666)</f>
        <v>0.6666666667</v>
      </c>
      <c r="U3524" s="4" t="str">
        <f>IFERROR(__xludf.DUMMYFUNCTION("""COMPUTED_VALUE"""),"Saipos Serviços De Software")</f>
        <v>Saipos Serviços De Software</v>
      </c>
      <c r="V3524" s="33">
        <f>IFERROR(__xludf.DUMMYFUNCTION("""COMPUTED_VALUE"""),1.0)</f>
        <v>1</v>
      </c>
      <c r="W3524" s="4" t="str">
        <f>IFERROR(__xludf.DUMMYFUNCTION("""COMPUTED_VALUE"""),"Saipos Serviços De Software")</f>
        <v>Saipos Serviços De Software</v>
      </c>
      <c r="X3524" s="33">
        <f>IFERROR(__xludf.DUMMYFUNCTION("""COMPUTED_VALUE"""),0.6666666666666666)</f>
        <v>0.6666666667</v>
      </c>
    </row>
    <row r="3525">
      <c r="K3525" s="4" t="str">
        <f>IFERROR(__xludf.DUMMYFUNCTION("""COMPUTED_VALUE"""),"GRUPO SKYS")</f>
        <v>GRUPO SKYS</v>
      </c>
      <c r="L3525" s="32">
        <f>IFERROR(__xludf.DUMMYFUNCTION("""COMPUTED_VALUE"""),3.0)</f>
        <v>3</v>
      </c>
      <c r="M3525" s="4" t="str">
        <f>IFERROR(__xludf.DUMMYFUNCTION("""COMPUTED_VALUE"""),"Ncr")</f>
        <v>Ncr</v>
      </c>
      <c r="N3525" s="33">
        <f>IFERROR(__xludf.DUMMYFUNCTION("""COMPUTED_VALUE"""),1.0)</f>
        <v>1</v>
      </c>
      <c r="O3525" s="4" t="str">
        <f>IFERROR(__xludf.DUMMYFUNCTION("""COMPUTED_VALUE"""),"Ncr")</f>
        <v>Ncr</v>
      </c>
      <c r="P3525" s="33">
        <f>IFERROR(__xludf.DUMMYFUNCTION("""COMPUTED_VALUE"""),1.0)</f>
        <v>1</v>
      </c>
      <c r="Q3525" s="4" t="str">
        <f>IFERROR(__xludf.DUMMYFUNCTION("""COMPUTED_VALUE"""),"Ncr")</f>
        <v>Ncr</v>
      </c>
      <c r="R3525" s="33">
        <f>IFERROR(__xludf.DUMMYFUNCTION("""COMPUTED_VALUE"""),1.0)</f>
        <v>1</v>
      </c>
      <c r="S3525" s="4" t="str">
        <f>IFERROR(__xludf.DUMMYFUNCTION("""COMPUTED_VALUE"""),"Ncr")</f>
        <v>Ncr</v>
      </c>
      <c r="T3525" s="33">
        <f>IFERROR(__xludf.DUMMYFUNCTION("""COMPUTED_VALUE"""),1.0)</f>
        <v>1</v>
      </c>
      <c r="U3525" s="4" t="str">
        <f>IFERROR(__xludf.DUMMYFUNCTION("""COMPUTED_VALUE"""),"Ncr")</f>
        <v>Ncr</v>
      </c>
      <c r="V3525" s="33">
        <f>IFERROR(__xludf.DUMMYFUNCTION("""COMPUTED_VALUE"""),1.0)</f>
        <v>1</v>
      </c>
      <c r="W3525" s="4" t="str">
        <f>IFERROR(__xludf.DUMMYFUNCTION("""COMPUTED_VALUE"""),"Ncr")</f>
        <v>Ncr</v>
      </c>
      <c r="X3525" s="33">
        <f>IFERROR(__xludf.DUMMYFUNCTION("""COMPUTED_VALUE"""),1.0)</f>
        <v>1</v>
      </c>
    </row>
    <row r="3526">
      <c r="K3526" s="4" t="str">
        <f>IFERROR(__xludf.DUMMYFUNCTION("""COMPUTED_VALUE"""),"GRUPO SR GRAO")</f>
        <v>GRUPO SR GRAO</v>
      </c>
      <c r="L3526" s="32">
        <f>IFERROR(__xludf.DUMMYFUNCTION("""COMPUTED_VALUE"""),3.0)</f>
        <v>3</v>
      </c>
      <c r="M3526" s="4" t="str">
        <f>IFERROR(__xludf.DUMMYFUNCTION("""COMPUTED_VALUE"""),"Saipos Serviços De Software")</f>
        <v>Saipos Serviços De Software</v>
      </c>
      <c r="N3526" s="33">
        <f>IFERROR(__xludf.DUMMYFUNCTION("""COMPUTED_VALUE"""),1.0)</f>
        <v>1</v>
      </c>
      <c r="O3526" s="4" t="str">
        <f>IFERROR(__xludf.DUMMYFUNCTION("""COMPUTED_VALUE"""),"Saipos Serviços De Software")</f>
        <v>Saipos Serviços De Software</v>
      </c>
      <c r="P3526" s="33">
        <f>IFERROR(__xludf.DUMMYFUNCTION("""COMPUTED_VALUE"""),0.6666666666666666)</f>
        <v>0.6666666667</v>
      </c>
      <c r="Q3526" s="4" t="str">
        <f>IFERROR(__xludf.DUMMYFUNCTION("""COMPUTED_VALUE"""),"Saipos Serviços De Software")</f>
        <v>Saipos Serviços De Software</v>
      </c>
      <c r="R3526" s="33">
        <f>IFERROR(__xludf.DUMMYFUNCTION("""COMPUTED_VALUE"""),0.6666666666666666)</f>
        <v>0.6666666667</v>
      </c>
      <c r="S3526" s="4" t="str">
        <f>IFERROR(__xludf.DUMMYFUNCTION("""COMPUTED_VALUE"""),"Saipos Serviços De Software")</f>
        <v>Saipos Serviços De Software</v>
      </c>
      <c r="T3526" s="33">
        <f>IFERROR(__xludf.DUMMYFUNCTION("""COMPUTED_VALUE"""),1.0)</f>
        <v>1</v>
      </c>
      <c r="U3526" s="4" t="str">
        <f>IFERROR(__xludf.DUMMYFUNCTION("""COMPUTED_VALUE"""),"Saipos Serviços De Software")</f>
        <v>Saipos Serviços De Software</v>
      </c>
      <c r="V3526" s="33">
        <f>IFERROR(__xludf.DUMMYFUNCTION("""COMPUTED_VALUE"""),1.0)</f>
        <v>1</v>
      </c>
      <c r="W3526" s="4" t="str">
        <f>IFERROR(__xludf.DUMMYFUNCTION("""COMPUTED_VALUE"""),"Saipos Serviços De Software")</f>
        <v>Saipos Serviços De Software</v>
      </c>
      <c r="X3526" s="33">
        <f>IFERROR(__xludf.DUMMYFUNCTION("""COMPUTED_VALUE"""),0.6666666666666666)</f>
        <v>0.6666666667</v>
      </c>
    </row>
    <row r="3527">
      <c r="K3527" s="4" t="str">
        <f>IFERROR(__xludf.DUMMYFUNCTION("""COMPUTED_VALUE"""),"GRUPO SUSHI BEER")</f>
        <v>GRUPO SUSHI BEER</v>
      </c>
      <c r="L3527" s="32">
        <f>IFERROR(__xludf.DUMMYFUNCTION("""COMPUTED_VALUE"""),3.0)</f>
        <v>3</v>
      </c>
      <c r="M3527" s="4" t="str">
        <f>IFERROR(__xludf.DUMMYFUNCTION("""COMPUTED_VALUE"""),"Saipos Serviços De Software")</f>
        <v>Saipos Serviços De Software</v>
      </c>
      <c r="N3527" s="33">
        <f>IFERROR(__xludf.DUMMYFUNCTION("""COMPUTED_VALUE"""),0.6666666666666666)</f>
        <v>0.6666666667</v>
      </c>
      <c r="O3527" s="4" t="str">
        <f>IFERROR(__xludf.DUMMYFUNCTION("""COMPUTED_VALUE"""),"Saipos Serviços De Software")</f>
        <v>Saipos Serviços De Software</v>
      </c>
      <c r="P3527" s="33">
        <f>IFERROR(__xludf.DUMMYFUNCTION("""COMPUTED_VALUE"""),0.6666666666666666)</f>
        <v>0.6666666667</v>
      </c>
      <c r="Q3527" s="4" t="str">
        <f>IFERROR(__xludf.DUMMYFUNCTION("""COMPUTED_VALUE"""),"Saipos Serviços De Software")</f>
        <v>Saipos Serviços De Software</v>
      </c>
      <c r="R3527" s="33">
        <f>IFERROR(__xludf.DUMMYFUNCTION("""COMPUTED_VALUE"""),0.6666666666666666)</f>
        <v>0.6666666667</v>
      </c>
      <c r="S3527" s="4" t="str">
        <f>IFERROR(__xludf.DUMMYFUNCTION("""COMPUTED_VALUE"""),"Saipos Serviços De Software")</f>
        <v>Saipos Serviços De Software</v>
      </c>
      <c r="T3527" s="33">
        <f>IFERROR(__xludf.DUMMYFUNCTION("""COMPUTED_VALUE"""),1.0)</f>
        <v>1</v>
      </c>
      <c r="U3527" s="4" t="str">
        <f>IFERROR(__xludf.DUMMYFUNCTION("""COMPUTED_VALUE"""),"Saipos Serviços De Software")</f>
        <v>Saipos Serviços De Software</v>
      </c>
      <c r="V3527" s="33">
        <f>IFERROR(__xludf.DUMMYFUNCTION("""COMPUTED_VALUE"""),1.0)</f>
        <v>1</v>
      </c>
      <c r="W3527" s="4" t="str">
        <f>IFERROR(__xludf.DUMMYFUNCTION("""COMPUTED_VALUE"""),"Saipos Serviços De Software")</f>
        <v>Saipos Serviços De Software</v>
      </c>
      <c r="X3527" s="33">
        <f>IFERROR(__xludf.DUMMYFUNCTION("""COMPUTED_VALUE"""),1.0)</f>
        <v>1</v>
      </c>
    </row>
    <row r="3528">
      <c r="K3528" s="4" t="str">
        <f>IFERROR(__xludf.DUMMYFUNCTION("""COMPUTED_VALUE"""),"GRUPO TAYU")</f>
        <v>GRUPO TAYU</v>
      </c>
      <c r="L3528" s="32">
        <f>IFERROR(__xludf.DUMMYFUNCTION("""COMPUTED_VALUE"""),3.0)</f>
        <v>3</v>
      </c>
      <c r="M3528" s="4" t="str">
        <f>IFERROR(__xludf.DUMMYFUNCTION("""COMPUTED_VALUE"""),"Winfood")</f>
        <v>Winfood</v>
      </c>
      <c r="N3528" s="33">
        <f>IFERROR(__xludf.DUMMYFUNCTION("""COMPUTED_VALUE"""),1.0)</f>
        <v>1</v>
      </c>
      <c r="O3528" s="4" t="str">
        <f>IFERROR(__xludf.DUMMYFUNCTION("""COMPUTED_VALUE"""),"Winfood")</f>
        <v>Winfood</v>
      </c>
      <c r="P3528" s="33">
        <f>IFERROR(__xludf.DUMMYFUNCTION("""COMPUTED_VALUE"""),1.0)</f>
        <v>1</v>
      </c>
      <c r="Q3528" s="4" t="str">
        <f>IFERROR(__xludf.DUMMYFUNCTION("""COMPUTED_VALUE"""),"Winfood")</f>
        <v>Winfood</v>
      </c>
      <c r="R3528" s="33">
        <f>IFERROR(__xludf.DUMMYFUNCTION("""COMPUTED_VALUE"""),1.0)</f>
        <v>1</v>
      </c>
      <c r="S3528" s="4" t="str">
        <f>IFERROR(__xludf.DUMMYFUNCTION("""COMPUTED_VALUE"""),"Winfood")</f>
        <v>Winfood</v>
      </c>
      <c r="T3528" s="33">
        <f>IFERROR(__xludf.DUMMYFUNCTION("""COMPUTED_VALUE"""),1.0)</f>
        <v>1</v>
      </c>
      <c r="U3528" s="4" t="str">
        <f>IFERROR(__xludf.DUMMYFUNCTION("""COMPUTED_VALUE"""),"Winfood")</f>
        <v>Winfood</v>
      </c>
      <c r="V3528" s="33">
        <f>IFERROR(__xludf.DUMMYFUNCTION("""COMPUTED_VALUE"""),1.0)</f>
        <v>1</v>
      </c>
      <c r="W3528" s="4" t="str">
        <f>IFERROR(__xludf.DUMMYFUNCTION("""COMPUTED_VALUE"""),"Winfood")</f>
        <v>Winfood</v>
      </c>
      <c r="X3528" s="33">
        <f>IFERROR(__xludf.DUMMYFUNCTION("""COMPUTED_VALUE"""),1.0)</f>
        <v>1</v>
      </c>
    </row>
    <row r="3529">
      <c r="K3529" s="4" t="str">
        <f>IFERROR(__xludf.DUMMYFUNCTION("""COMPUTED_VALUE"""),"GRUPO TEMPERO BRASILEIRO - RIBEIRAO PRETO")</f>
        <v>GRUPO TEMPERO BRASILEIRO - RIBEIRAO PRETO</v>
      </c>
      <c r="L3529" s="32">
        <f>IFERROR(__xludf.DUMMYFUNCTION("""COMPUTED_VALUE"""),3.0)</f>
        <v>3</v>
      </c>
      <c r="M3529" s="4" t="str">
        <f>IFERROR(__xludf.DUMMYFUNCTION("""COMPUTED_VALUE"""),"Cloudfy")</f>
        <v>Cloudfy</v>
      </c>
      <c r="N3529" s="33">
        <f>IFERROR(__xludf.DUMMYFUNCTION("""COMPUTED_VALUE"""),1.0)</f>
        <v>1</v>
      </c>
      <c r="O3529" s="4" t="str">
        <f>IFERROR(__xludf.DUMMYFUNCTION("""COMPUTED_VALUE"""),"Cloudfy")</f>
        <v>Cloudfy</v>
      </c>
      <c r="P3529" s="33">
        <f>IFERROR(__xludf.DUMMYFUNCTION("""COMPUTED_VALUE"""),1.0)</f>
        <v>1</v>
      </c>
      <c r="Q3529" s="4" t="str">
        <f>IFERROR(__xludf.DUMMYFUNCTION("""COMPUTED_VALUE"""),"Cloudfy")</f>
        <v>Cloudfy</v>
      </c>
      <c r="R3529" s="33">
        <f>IFERROR(__xludf.DUMMYFUNCTION("""COMPUTED_VALUE"""),1.0)</f>
        <v>1</v>
      </c>
      <c r="S3529" s="4" t="str">
        <f>IFERROR(__xludf.DUMMYFUNCTION("""COMPUTED_VALUE"""),"Cloudfy")</f>
        <v>Cloudfy</v>
      </c>
      <c r="T3529" s="33">
        <f>IFERROR(__xludf.DUMMYFUNCTION("""COMPUTED_VALUE"""),1.0)</f>
        <v>1</v>
      </c>
      <c r="U3529" s="4" t="str">
        <f>IFERROR(__xludf.DUMMYFUNCTION("""COMPUTED_VALUE"""),"Cloudfy")</f>
        <v>Cloudfy</v>
      </c>
      <c r="V3529" s="33">
        <f>IFERROR(__xludf.DUMMYFUNCTION("""COMPUTED_VALUE"""),1.0)</f>
        <v>1</v>
      </c>
      <c r="W3529" s="4" t="str">
        <f>IFERROR(__xludf.DUMMYFUNCTION("""COMPUTED_VALUE"""),"Cloudfy")</f>
        <v>Cloudfy</v>
      </c>
      <c r="X3529" s="33">
        <f>IFERROR(__xludf.DUMMYFUNCTION("""COMPUTED_VALUE"""),1.0)</f>
        <v>1</v>
      </c>
    </row>
    <row r="3530">
      <c r="K3530" s="4" t="str">
        <f>IFERROR(__xludf.DUMMYFUNCTION("""COMPUTED_VALUE"""),"GRUPO TOCCO")</f>
        <v>GRUPO TOCCO</v>
      </c>
      <c r="L3530" s="32">
        <f>IFERROR(__xludf.DUMMYFUNCTION("""COMPUTED_VALUE"""),3.0)</f>
        <v>3</v>
      </c>
      <c r="M3530" s="4" t="str">
        <f>IFERROR(__xludf.DUMMYFUNCTION("""COMPUTED_VALUE"""),"Saipos Serviços De Software")</f>
        <v>Saipos Serviços De Software</v>
      </c>
      <c r="N3530" s="33">
        <f>IFERROR(__xludf.DUMMYFUNCTION("""COMPUTED_VALUE"""),1.0)</f>
        <v>1</v>
      </c>
      <c r="O3530" s="4" t="str">
        <f>IFERROR(__xludf.DUMMYFUNCTION("""COMPUTED_VALUE"""),"Saipos Serviços De Software")</f>
        <v>Saipos Serviços De Software</v>
      </c>
      <c r="P3530" s="33">
        <f>IFERROR(__xludf.DUMMYFUNCTION("""COMPUTED_VALUE"""),1.0)</f>
        <v>1</v>
      </c>
      <c r="Q3530" s="4" t="str">
        <f>IFERROR(__xludf.DUMMYFUNCTION("""COMPUTED_VALUE"""),"Saipos Serviços De Software")</f>
        <v>Saipos Serviços De Software</v>
      </c>
      <c r="R3530" s="33">
        <f>IFERROR(__xludf.DUMMYFUNCTION("""COMPUTED_VALUE"""),1.0)</f>
        <v>1</v>
      </c>
      <c r="S3530" s="4" t="str">
        <f>IFERROR(__xludf.DUMMYFUNCTION("""COMPUTED_VALUE"""),"Saipos Serviços De Software")</f>
        <v>Saipos Serviços De Software</v>
      </c>
      <c r="T3530" s="33">
        <f>IFERROR(__xludf.DUMMYFUNCTION("""COMPUTED_VALUE"""),1.0)</f>
        <v>1</v>
      </c>
      <c r="U3530" s="4" t="str">
        <f>IFERROR(__xludf.DUMMYFUNCTION("""COMPUTED_VALUE"""),"Saipos Serviços De Software")</f>
        <v>Saipos Serviços De Software</v>
      </c>
      <c r="V3530" s="33">
        <f>IFERROR(__xludf.DUMMYFUNCTION("""COMPUTED_VALUE"""),1.0)</f>
        <v>1</v>
      </c>
      <c r="W3530" s="4" t="str">
        <f>IFERROR(__xludf.DUMMYFUNCTION("""COMPUTED_VALUE"""),"Saipos Serviços De Software")</f>
        <v>Saipos Serviços De Software</v>
      </c>
      <c r="X3530" s="33">
        <f>IFERROR(__xludf.DUMMYFUNCTION("""COMPUTED_VALUE"""),1.0)</f>
        <v>1</v>
      </c>
    </row>
    <row r="3531">
      <c r="K3531" s="4" t="str">
        <f>IFERROR(__xludf.DUMMYFUNCTION("""COMPUTED_VALUE"""),"GRUPO TROPICAL")</f>
        <v>GRUPO TROPICAL</v>
      </c>
      <c r="L3531" s="32">
        <f>IFERROR(__xludf.DUMMYFUNCTION("""COMPUTED_VALUE"""),3.0)</f>
        <v>3</v>
      </c>
      <c r="M3531" s="4" t="str">
        <f>IFERROR(__xludf.DUMMYFUNCTION("""COMPUTED_VALUE"""),"Saipos Serviços De Software")</f>
        <v>Saipos Serviços De Software</v>
      </c>
      <c r="N3531" s="33">
        <f>IFERROR(__xludf.DUMMYFUNCTION("""COMPUTED_VALUE"""),1.0)</f>
        <v>1</v>
      </c>
      <c r="O3531" s="4" t="str">
        <f>IFERROR(__xludf.DUMMYFUNCTION("""COMPUTED_VALUE"""),"Saipos Serviços De Software")</f>
        <v>Saipos Serviços De Software</v>
      </c>
      <c r="P3531" s="33">
        <f>IFERROR(__xludf.DUMMYFUNCTION("""COMPUTED_VALUE"""),1.0)</f>
        <v>1</v>
      </c>
      <c r="Q3531" s="4" t="str">
        <f>IFERROR(__xludf.DUMMYFUNCTION("""COMPUTED_VALUE"""),"Saipos Serviços De Software")</f>
        <v>Saipos Serviços De Software</v>
      </c>
      <c r="R3531" s="33">
        <f>IFERROR(__xludf.DUMMYFUNCTION("""COMPUTED_VALUE"""),1.0)</f>
        <v>1</v>
      </c>
      <c r="S3531" s="4" t="str">
        <f>IFERROR(__xludf.DUMMYFUNCTION("""COMPUTED_VALUE"""),"Saipos Serviços De Software")</f>
        <v>Saipos Serviços De Software</v>
      </c>
      <c r="T3531" s="33">
        <f>IFERROR(__xludf.DUMMYFUNCTION("""COMPUTED_VALUE"""),1.0)</f>
        <v>1</v>
      </c>
      <c r="U3531" s="4" t="str">
        <f>IFERROR(__xludf.DUMMYFUNCTION("""COMPUTED_VALUE"""),"Saipos Serviços De Software")</f>
        <v>Saipos Serviços De Software</v>
      </c>
      <c r="V3531" s="33">
        <f>IFERROR(__xludf.DUMMYFUNCTION("""COMPUTED_VALUE"""),1.0)</f>
        <v>1</v>
      </c>
      <c r="W3531" s="4" t="str">
        <f>IFERROR(__xludf.DUMMYFUNCTION("""COMPUTED_VALUE"""),"Saipos Serviços De Software")</f>
        <v>Saipos Serviços De Software</v>
      </c>
      <c r="X3531" s="33">
        <f>IFERROR(__xludf.DUMMYFUNCTION("""COMPUTED_VALUE"""),1.0)</f>
        <v>1</v>
      </c>
    </row>
    <row r="3532">
      <c r="K3532" s="4" t="str">
        <f>IFERROR(__xludf.DUMMYFUNCTION("""COMPUTED_VALUE"""),"GRUPO TUILE COOKIES")</f>
        <v>GRUPO TUILE COOKIES</v>
      </c>
      <c r="L3532" s="32">
        <f>IFERROR(__xludf.DUMMYFUNCTION("""COMPUTED_VALUE"""),3.0)</f>
        <v>3</v>
      </c>
      <c r="M3532" s="4" t="str">
        <f>IFERROR(__xludf.DUMMYFUNCTION("""COMPUTED_VALUE"""),"Menew - Linx")</f>
        <v>Menew - Linx</v>
      </c>
      <c r="N3532" s="33">
        <f>IFERROR(__xludf.DUMMYFUNCTION("""COMPUTED_VALUE"""),1.0)</f>
        <v>1</v>
      </c>
      <c r="O3532" s="4" t="str">
        <f>IFERROR(__xludf.DUMMYFUNCTION("""COMPUTED_VALUE"""),"Menew - Linx")</f>
        <v>Menew - Linx</v>
      </c>
      <c r="P3532" s="33">
        <f>IFERROR(__xludf.DUMMYFUNCTION("""COMPUTED_VALUE"""),1.0)</f>
        <v>1</v>
      </c>
      <c r="Q3532" s="4" t="str">
        <f>IFERROR(__xludf.DUMMYFUNCTION("""COMPUTED_VALUE"""),"Menew - Linx")</f>
        <v>Menew - Linx</v>
      </c>
      <c r="R3532" s="33">
        <f>IFERROR(__xludf.DUMMYFUNCTION("""COMPUTED_VALUE"""),1.0)</f>
        <v>1</v>
      </c>
      <c r="S3532" s="4" t="str">
        <f>IFERROR(__xludf.DUMMYFUNCTION("""COMPUTED_VALUE"""),"Menew - Linx")</f>
        <v>Menew - Linx</v>
      </c>
      <c r="T3532" s="33">
        <f>IFERROR(__xludf.DUMMYFUNCTION("""COMPUTED_VALUE"""),1.0)</f>
        <v>1</v>
      </c>
      <c r="U3532" s="4" t="str">
        <f>IFERROR(__xludf.DUMMYFUNCTION("""COMPUTED_VALUE"""),"Menew - Linx")</f>
        <v>Menew - Linx</v>
      </c>
      <c r="V3532" s="33">
        <f>IFERROR(__xludf.DUMMYFUNCTION("""COMPUTED_VALUE"""),1.0)</f>
        <v>1</v>
      </c>
      <c r="W3532" s="4" t="str">
        <f>IFERROR(__xludf.DUMMYFUNCTION("""COMPUTED_VALUE"""),"Menew - Linx")</f>
        <v>Menew - Linx</v>
      </c>
      <c r="X3532" s="33">
        <f>IFERROR(__xludf.DUMMYFUNCTION("""COMPUTED_VALUE"""),1.0)</f>
        <v>1</v>
      </c>
    </row>
    <row r="3533">
      <c r="K3533" s="4" t="str">
        <f>IFERROR(__xludf.DUMMYFUNCTION("""COMPUTED_VALUE"""),"GRUPO URBAN KITCHEN")</f>
        <v>GRUPO URBAN KITCHEN</v>
      </c>
      <c r="L3533" s="32">
        <f>IFERROR(__xludf.DUMMYFUNCTION("""COMPUTED_VALUE"""),3.0)</f>
        <v>3</v>
      </c>
      <c r="M3533" s="4" t="str">
        <f>IFERROR(__xludf.DUMMYFUNCTION("""COMPUTED_VALUE"""),"Altec Sistemas")</f>
        <v>Altec Sistemas</v>
      </c>
      <c r="N3533" s="33">
        <f>IFERROR(__xludf.DUMMYFUNCTION("""COMPUTED_VALUE"""),1.0)</f>
        <v>1</v>
      </c>
      <c r="O3533" s="4" t="str">
        <f>IFERROR(__xludf.DUMMYFUNCTION("""COMPUTED_VALUE"""),"Altec Sistemas")</f>
        <v>Altec Sistemas</v>
      </c>
      <c r="P3533" s="33">
        <f>IFERROR(__xludf.DUMMYFUNCTION("""COMPUTED_VALUE"""),1.0)</f>
        <v>1</v>
      </c>
      <c r="Q3533" s="4" t="str">
        <f>IFERROR(__xludf.DUMMYFUNCTION("""COMPUTED_VALUE"""),"Altec Sistemas")</f>
        <v>Altec Sistemas</v>
      </c>
      <c r="R3533" s="33">
        <f>IFERROR(__xludf.DUMMYFUNCTION("""COMPUTED_VALUE"""),1.0)</f>
        <v>1</v>
      </c>
      <c r="S3533" s="4" t="str">
        <f>IFERROR(__xludf.DUMMYFUNCTION("""COMPUTED_VALUE"""),"Altec Sistemas")</f>
        <v>Altec Sistemas</v>
      </c>
      <c r="T3533" s="33">
        <f>IFERROR(__xludf.DUMMYFUNCTION("""COMPUTED_VALUE"""),1.0)</f>
        <v>1</v>
      </c>
      <c r="U3533" s="4" t="str">
        <f>IFERROR(__xludf.DUMMYFUNCTION("""COMPUTED_VALUE"""),"Altec Sistemas")</f>
        <v>Altec Sistemas</v>
      </c>
      <c r="V3533" s="33">
        <f>IFERROR(__xludf.DUMMYFUNCTION("""COMPUTED_VALUE"""),1.0)</f>
        <v>1</v>
      </c>
      <c r="W3533" s="4" t="str">
        <f>IFERROR(__xludf.DUMMYFUNCTION("""COMPUTED_VALUE"""),"Altec Sistemas")</f>
        <v>Altec Sistemas</v>
      </c>
      <c r="X3533" s="33">
        <f>IFERROR(__xludf.DUMMYFUNCTION("""COMPUTED_VALUE"""),1.0)</f>
        <v>1</v>
      </c>
    </row>
    <row r="3534">
      <c r="K3534" s="4" t="str">
        <f>IFERROR(__xludf.DUMMYFUNCTION("""COMPUTED_VALUE"""),"GRUPO VALENTINA")</f>
        <v>GRUPO VALENTINA</v>
      </c>
      <c r="L3534" s="32">
        <f>IFERROR(__xludf.DUMMYFUNCTION("""COMPUTED_VALUE"""),3.0)</f>
        <v>3</v>
      </c>
      <c r="M3534" s="4" t="str">
        <f>IFERROR(__xludf.DUMMYFUNCTION("""COMPUTED_VALUE"""),"Ncr")</f>
        <v>Ncr</v>
      </c>
      <c r="N3534" s="33">
        <f>IFERROR(__xludf.DUMMYFUNCTION("""COMPUTED_VALUE"""),1.0)</f>
        <v>1</v>
      </c>
      <c r="O3534" s="4" t="str">
        <f>IFERROR(__xludf.DUMMYFUNCTION("""COMPUTED_VALUE"""),"Ncr")</f>
        <v>Ncr</v>
      </c>
      <c r="P3534" s="33">
        <f>IFERROR(__xludf.DUMMYFUNCTION("""COMPUTED_VALUE"""),1.0)</f>
        <v>1</v>
      </c>
      <c r="Q3534" s="4" t="str">
        <f>IFERROR(__xludf.DUMMYFUNCTION("""COMPUTED_VALUE"""),"Ncr")</f>
        <v>Ncr</v>
      </c>
      <c r="R3534" s="33">
        <f>IFERROR(__xludf.DUMMYFUNCTION("""COMPUTED_VALUE"""),1.0)</f>
        <v>1</v>
      </c>
      <c r="S3534" s="4" t="str">
        <f>IFERROR(__xludf.DUMMYFUNCTION("""COMPUTED_VALUE"""),"Ncr")</f>
        <v>Ncr</v>
      </c>
      <c r="T3534" s="33">
        <f>IFERROR(__xludf.DUMMYFUNCTION("""COMPUTED_VALUE"""),1.0)</f>
        <v>1</v>
      </c>
      <c r="U3534" s="4" t="str">
        <f>IFERROR(__xludf.DUMMYFUNCTION("""COMPUTED_VALUE"""),"Ncr")</f>
        <v>Ncr</v>
      </c>
      <c r="V3534" s="33">
        <f>IFERROR(__xludf.DUMMYFUNCTION("""COMPUTED_VALUE"""),1.0)</f>
        <v>1</v>
      </c>
      <c r="W3534" s="4" t="str">
        <f>IFERROR(__xludf.DUMMYFUNCTION("""COMPUTED_VALUE"""),"Ncr")</f>
        <v>Ncr</v>
      </c>
      <c r="X3534" s="33">
        <f>IFERROR(__xludf.DUMMYFUNCTION("""COMPUTED_VALUE"""),1.0)</f>
        <v>1</v>
      </c>
    </row>
    <row r="3535">
      <c r="K3535" s="4" t="str">
        <f>IFERROR(__xludf.DUMMYFUNCTION("""COMPUTED_VALUE"""),"GRUPO VARANDA")</f>
        <v>GRUPO VARANDA</v>
      </c>
      <c r="L3535" s="32">
        <f>IFERROR(__xludf.DUMMYFUNCTION("""COMPUTED_VALUE"""),3.0)</f>
        <v>3</v>
      </c>
      <c r="M3535" s="4" t="str">
        <f>IFERROR(__xludf.DUMMYFUNCTION("""COMPUTED_VALUE"""),"Teknisa Service Ltda")</f>
        <v>Teknisa Service Ltda</v>
      </c>
      <c r="N3535" s="33">
        <f>IFERROR(__xludf.DUMMYFUNCTION("""COMPUTED_VALUE"""),1.0)</f>
        <v>1</v>
      </c>
      <c r="O3535" s="4" t="str">
        <f>IFERROR(__xludf.DUMMYFUNCTION("""COMPUTED_VALUE"""),"Teknisa Service Ltda")</f>
        <v>Teknisa Service Ltda</v>
      </c>
      <c r="P3535" s="33">
        <f>IFERROR(__xludf.DUMMYFUNCTION("""COMPUTED_VALUE"""),0.6666666666666666)</f>
        <v>0.6666666667</v>
      </c>
      <c r="Q3535" s="4" t="str">
        <f>IFERROR(__xludf.DUMMYFUNCTION("""COMPUTED_VALUE"""),"Teknisa Service Ltda")</f>
        <v>Teknisa Service Ltda</v>
      </c>
      <c r="R3535" s="33">
        <f>IFERROR(__xludf.DUMMYFUNCTION("""COMPUTED_VALUE"""),0.6666666666666666)</f>
        <v>0.6666666667</v>
      </c>
      <c r="S3535" s="4" t="str">
        <f>IFERROR(__xludf.DUMMYFUNCTION("""COMPUTED_VALUE"""),"Teknisa Service Ltda")</f>
        <v>Teknisa Service Ltda</v>
      </c>
      <c r="T3535" s="33">
        <f>IFERROR(__xludf.DUMMYFUNCTION("""COMPUTED_VALUE"""),1.0)</f>
        <v>1</v>
      </c>
      <c r="U3535" s="4" t="str">
        <f>IFERROR(__xludf.DUMMYFUNCTION("""COMPUTED_VALUE"""),"null")</f>
        <v>null</v>
      </c>
      <c r="V3535" s="33">
        <f>IFERROR(__xludf.DUMMYFUNCTION("""COMPUTED_VALUE"""),0.6666666666666666)</f>
        <v>0.6666666667</v>
      </c>
      <c r="W3535" s="4" t="str">
        <f>IFERROR(__xludf.DUMMYFUNCTION("""COMPUTED_VALUE"""),"Teknisa Service Ltda")</f>
        <v>Teknisa Service Ltda</v>
      </c>
      <c r="X3535" s="33">
        <f>IFERROR(__xludf.DUMMYFUNCTION("""COMPUTED_VALUE"""),0.6666666666666666)</f>
        <v>0.6666666667</v>
      </c>
    </row>
    <row r="3536">
      <c r="K3536" s="4" t="str">
        <f>IFERROR(__xludf.DUMMYFUNCTION("""COMPUTED_VALUE"""),"GRUPO VIA ROMA")</f>
        <v>GRUPO VIA ROMA</v>
      </c>
      <c r="L3536" s="32">
        <f>IFERROR(__xludf.DUMMYFUNCTION("""COMPUTED_VALUE"""),3.0)</f>
        <v>3</v>
      </c>
      <c r="M3536" s="4" t="str">
        <f>IFERROR(__xludf.DUMMYFUNCTION("""COMPUTED_VALUE"""),"Saipos Serviços De Software")</f>
        <v>Saipos Serviços De Software</v>
      </c>
      <c r="N3536" s="33">
        <f>IFERROR(__xludf.DUMMYFUNCTION("""COMPUTED_VALUE"""),1.0)</f>
        <v>1</v>
      </c>
      <c r="O3536" s="4" t="str">
        <f>IFERROR(__xludf.DUMMYFUNCTION("""COMPUTED_VALUE"""),"Saipos Serviços De Software")</f>
        <v>Saipos Serviços De Software</v>
      </c>
      <c r="P3536" s="33">
        <f>IFERROR(__xludf.DUMMYFUNCTION("""COMPUTED_VALUE"""),1.0)</f>
        <v>1</v>
      </c>
      <c r="Q3536" s="4" t="str">
        <f>IFERROR(__xludf.DUMMYFUNCTION("""COMPUTED_VALUE"""),"Saipos Serviços De Software")</f>
        <v>Saipos Serviços De Software</v>
      </c>
      <c r="R3536" s="33">
        <f>IFERROR(__xludf.DUMMYFUNCTION("""COMPUTED_VALUE"""),1.0)</f>
        <v>1</v>
      </c>
      <c r="S3536" s="4" t="str">
        <f>IFERROR(__xludf.DUMMYFUNCTION("""COMPUTED_VALUE"""),"Saipos Serviços De Software")</f>
        <v>Saipos Serviços De Software</v>
      </c>
      <c r="T3536" s="33">
        <f>IFERROR(__xludf.DUMMYFUNCTION("""COMPUTED_VALUE"""),1.0)</f>
        <v>1</v>
      </c>
      <c r="U3536" s="4" t="str">
        <f>IFERROR(__xludf.DUMMYFUNCTION("""COMPUTED_VALUE"""),"Saipos Serviços De Software")</f>
        <v>Saipos Serviços De Software</v>
      </c>
      <c r="V3536" s="33">
        <f>IFERROR(__xludf.DUMMYFUNCTION("""COMPUTED_VALUE"""),1.0)</f>
        <v>1</v>
      </c>
      <c r="W3536" s="4" t="str">
        <f>IFERROR(__xludf.DUMMYFUNCTION("""COMPUTED_VALUE"""),"Saipos Serviços De Software")</f>
        <v>Saipos Serviços De Software</v>
      </c>
      <c r="X3536" s="33">
        <f>IFERROR(__xludf.DUMMYFUNCTION("""COMPUTED_VALUE"""),1.0)</f>
        <v>1</v>
      </c>
    </row>
    <row r="3537">
      <c r="K3537" s="4" t="str">
        <f>IFERROR(__xludf.DUMMYFUNCTION("""COMPUTED_VALUE"""),"GRUPO VITICAS PIZZARIA")</f>
        <v>GRUPO VITICAS PIZZARIA</v>
      </c>
      <c r="L3537" s="32">
        <f>IFERROR(__xludf.DUMMYFUNCTION("""COMPUTED_VALUE"""),3.0)</f>
        <v>3</v>
      </c>
      <c r="M3537" s="4" t="str">
        <f>IFERROR(__xludf.DUMMYFUNCTION("""COMPUTED_VALUE"""),"Cardápio Web")</f>
        <v>Cardápio Web</v>
      </c>
      <c r="N3537" s="33">
        <f>IFERROR(__xludf.DUMMYFUNCTION("""COMPUTED_VALUE"""),0.6666666666666666)</f>
        <v>0.6666666667</v>
      </c>
      <c r="O3537" s="4" t="str">
        <f>IFERROR(__xludf.DUMMYFUNCTION("""COMPUTED_VALUE"""),"Cardápio Web")</f>
        <v>Cardápio Web</v>
      </c>
      <c r="P3537" s="33">
        <f>IFERROR(__xludf.DUMMYFUNCTION("""COMPUTED_VALUE"""),0.6666666666666666)</f>
        <v>0.6666666667</v>
      </c>
      <c r="Q3537" s="4" t="str">
        <f>IFERROR(__xludf.DUMMYFUNCTION("""COMPUTED_VALUE"""),"Cardápio Web")</f>
        <v>Cardápio Web</v>
      </c>
      <c r="R3537" s="33">
        <f>IFERROR(__xludf.DUMMYFUNCTION("""COMPUTED_VALUE"""),1.0)</f>
        <v>1</v>
      </c>
      <c r="S3537" s="4" t="str">
        <f>IFERROR(__xludf.DUMMYFUNCTION("""COMPUTED_VALUE"""),"Cardápio Web")</f>
        <v>Cardápio Web</v>
      </c>
      <c r="T3537" s="33">
        <f>IFERROR(__xludf.DUMMYFUNCTION("""COMPUTED_VALUE"""),1.0)</f>
        <v>1</v>
      </c>
      <c r="U3537" s="4" t="str">
        <f>IFERROR(__xludf.DUMMYFUNCTION("""COMPUTED_VALUE"""),"Cardápio Web")</f>
        <v>Cardápio Web</v>
      </c>
      <c r="V3537" s="33">
        <f>IFERROR(__xludf.DUMMYFUNCTION("""COMPUTED_VALUE"""),1.0)</f>
        <v>1</v>
      </c>
      <c r="W3537" s="4" t="str">
        <f>IFERROR(__xludf.DUMMYFUNCTION("""COMPUTED_VALUE"""),"Cardápio Web")</f>
        <v>Cardápio Web</v>
      </c>
      <c r="X3537" s="33">
        <f>IFERROR(__xludf.DUMMYFUNCTION("""COMPUTED_VALUE"""),1.0)</f>
        <v>1</v>
      </c>
    </row>
    <row r="3538">
      <c r="K3538" s="4" t="str">
        <f>IFERROR(__xludf.DUMMYFUNCTION("""COMPUTED_VALUE"""),"GRUPO XINELA - CONTA PAI")</f>
        <v>GRUPO XINELA - CONTA PAI</v>
      </c>
      <c r="L3538" s="32">
        <f>IFERROR(__xludf.DUMMYFUNCTION("""COMPUTED_VALUE"""),3.0)</f>
        <v>3</v>
      </c>
      <c r="M3538" s="4" t="str">
        <f>IFERROR(__xludf.DUMMYFUNCTION("""COMPUTED_VALUE"""),"Sagres Automação Comercial")</f>
        <v>Sagres Automação Comercial</v>
      </c>
      <c r="N3538" s="33">
        <f>IFERROR(__xludf.DUMMYFUNCTION("""COMPUTED_VALUE"""),1.0)</f>
        <v>1</v>
      </c>
      <c r="O3538" s="4" t="str">
        <f>IFERROR(__xludf.DUMMYFUNCTION("""COMPUTED_VALUE"""),"Sagres Automação Comercial")</f>
        <v>Sagres Automação Comercial</v>
      </c>
      <c r="P3538" s="33">
        <f>IFERROR(__xludf.DUMMYFUNCTION("""COMPUTED_VALUE"""),1.0)</f>
        <v>1</v>
      </c>
      <c r="Q3538" s="4" t="str">
        <f>IFERROR(__xludf.DUMMYFUNCTION("""COMPUTED_VALUE"""),"Sagres Automação Comercial")</f>
        <v>Sagres Automação Comercial</v>
      </c>
      <c r="R3538" s="33">
        <f>IFERROR(__xludf.DUMMYFUNCTION("""COMPUTED_VALUE"""),1.0)</f>
        <v>1</v>
      </c>
      <c r="S3538" s="4" t="str">
        <f>IFERROR(__xludf.DUMMYFUNCTION("""COMPUTED_VALUE"""),"Sagres Automação Comercial")</f>
        <v>Sagres Automação Comercial</v>
      </c>
      <c r="T3538" s="33">
        <f>IFERROR(__xludf.DUMMYFUNCTION("""COMPUTED_VALUE"""),1.0)</f>
        <v>1</v>
      </c>
      <c r="U3538" s="4" t="str">
        <f>IFERROR(__xludf.DUMMYFUNCTION("""COMPUTED_VALUE"""),"Sagres Automação Comercial")</f>
        <v>Sagres Automação Comercial</v>
      </c>
      <c r="V3538" s="33">
        <f>IFERROR(__xludf.DUMMYFUNCTION("""COMPUTED_VALUE"""),1.0)</f>
        <v>1</v>
      </c>
      <c r="W3538" s="4" t="str">
        <f>IFERROR(__xludf.DUMMYFUNCTION("""COMPUTED_VALUE"""),"Sagres Automação Comercial")</f>
        <v>Sagres Automação Comercial</v>
      </c>
      <c r="X3538" s="33">
        <f>IFERROR(__xludf.DUMMYFUNCTION("""COMPUTED_VALUE"""),1.0)</f>
        <v>1</v>
      </c>
    </row>
    <row r="3539">
      <c r="K3539" s="4" t="str">
        <f>IFERROR(__xludf.DUMMYFUNCTION("""COMPUTED_VALUE"""),"GRUPO YAKIN")</f>
        <v>GRUPO YAKIN</v>
      </c>
      <c r="L3539" s="32">
        <f>IFERROR(__xludf.DUMMYFUNCTION("""COMPUTED_VALUE"""),3.0)</f>
        <v>3</v>
      </c>
      <c r="M3539" s="4" t="str">
        <f>IFERROR(__xludf.DUMMYFUNCTION("""COMPUTED_VALUE"""),"Saipos Serviços De Software")</f>
        <v>Saipos Serviços De Software</v>
      </c>
      <c r="N3539" s="33">
        <f>IFERROR(__xludf.DUMMYFUNCTION("""COMPUTED_VALUE"""),1.0)</f>
        <v>1</v>
      </c>
      <c r="O3539" s="4" t="str">
        <f>IFERROR(__xludf.DUMMYFUNCTION("""COMPUTED_VALUE"""),"Saipos Serviços De Software")</f>
        <v>Saipos Serviços De Software</v>
      </c>
      <c r="P3539" s="33">
        <f>IFERROR(__xludf.DUMMYFUNCTION("""COMPUTED_VALUE"""),1.0)</f>
        <v>1</v>
      </c>
      <c r="Q3539" s="4" t="str">
        <f>IFERROR(__xludf.DUMMYFUNCTION("""COMPUTED_VALUE"""),"Saipos Serviços De Software")</f>
        <v>Saipos Serviços De Software</v>
      </c>
      <c r="R3539" s="33">
        <f>IFERROR(__xludf.DUMMYFUNCTION("""COMPUTED_VALUE"""),1.0)</f>
        <v>1</v>
      </c>
      <c r="S3539" s="4" t="str">
        <f>IFERROR(__xludf.DUMMYFUNCTION("""COMPUTED_VALUE"""),"Saipos Serviços De Software")</f>
        <v>Saipos Serviços De Software</v>
      </c>
      <c r="T3539" s="33">
        <f>IFERROR(__xludf.DUMMYFUNCTION("""COMPUTED_VALUE"""),1.0)</f>
        <v>1</v>
      </c>
      <c r="U3539" s="4" t="str">
        <f>IFERROR(__xludf.DUMMYFUNCTION("""COMPUTED_VALUE"""),"Saipos Serviços De Software")</f>
        <v>Saipos Serviços De Software</v>
      </c>
      <c r="V3539" s="33">
        <f>IFERROR(__xludf.DUMMYFUNCTION("""COMPUTED_VALUE"""),1.0)</f>
        <v>1</v>
      </c>
      <c r="W3539" s="4" t="str">
        <f>IFERROR(__xludf.DUMMYFUNCTION("""COMPUTED_VALUE"""),"Saipos Serviços De Software")</f>
        <v>Saipos Serviços De Software</v>
      </c>
      <c r="X3539" s="33">
        <f>IFERROR(__xludf.DUMMYFUNCTION("""COMPUTED_VALUE"""),1.0)</f>
        <v>1</v>
      </c>
    </row>
    <row r="3540">
      <c r="K3540" s="4" t="str">
        <f>IFERROR(__xludf.DUMMYFUNCTION("""COMPUTED_VALUE"""),"GUDIMIS TERESINA")</f>
        <v>GUDIMIS TERESINA</v>
      </c>
      <c r="L3540" s="32">
        <f>IFERROR(__xludf.DUMMYFUNCTION("""COMPUTED_VALUE"""),3.0)</f>
        <v>3</v>
      </c>
      <c r="M3540" s="4" t="str">
        <f>IFERROR(__xludf.DUMMYFUNCTION("""COMPUTED_VALUE"""),"Saipos Serviços De Software")</f>
        <v>Saipos Serviços De Software</v>
      </c>
      <c r="N3540" s="33">
        <f>IFERROR(__xludf.DUMMYFUNCTION("""COMPUTED_VALUE"""),0.6666666666666666)</f>
        <v>0.6666666667</v>
      </c>
      <c r="O3540" s="4" t="str">
        <f>IFERROR(__xludf.DUMMYFUNCTION("""COMPUTED_VALUE"""),"Saipos Serviços De Software")</f>
        <v>Saipos Serviços De Software</v>
      </c>
      <c r="P3540" s="33">
        <f>IFERROR(__xludf.DUMMYFUNCTION("""COMPUTED_VALUE"""),0.6666666666666666)</f>
        <v>0.6666666667</v>
      </c>
      <c r="Q3540" s="4" t="str">
        <f>IFERROR(__xludf.DUMMYFUNCTION("""COMPUTED_VALUE"""),"Saipos Serviços De Software")</f>
        <v>Saipos Serviços De Software</v>
      </c>
      <c r="R3540" s="33">
        <f>IFERROR(__xludf.DUMMYFUNCTION("""COMPUTED_VALUE"""),0.6666666666666666)</f>
        <v>0.6666666667</v>
      </c>
      <c r="S3540" s="4" t="str">
        <f>IFERROR(__xludf.DUMMYFUNCTION("""COMPUTED_VALUE"""),"Saipos Serviços De Software")</f>
        <v>Saipos Serviços De Software</v>
      </c>
      <c r="T3540" s="33">
        <f>IFERROR(__xludf.DUMMYFUNCTION("""COMPUTED_VALUE"""),0.6666666666666666)</f>
        <v>0.6666666667</v>
      </c>
      <c r="U3540" s="4" t="str">
        <f>IFERROR(__xludf.DUMMYFUNCTION("""COMPUTED_VALUE"""),"Saipos Serviços De Software")</f>
        <v>Saipos Serviços De Software</v>
      </c>
      <c r="V3540" s="33">
        <f>IFERROR(__xludf.DUMMYFUNCTION("""COMPUTED_VALUE"""),1.0)</f>
        <v>1</v>
      </c>
      <c r="W3540" s="4" t="str">
        <f>IFERROR(__xludf.DUMMYFUNCTION("""COMPUTED_VALUE"""),"Saipos Serviços De Software")</f>
        <v>Saipos Serviços De Software</v>
      </c>
      <c r="X3540" s="33">
        <f>IFERROR(__xludf.DUMMYFUNCTION("""COMPUTED_VALUE"""),1.0)</f>
        <v>1</v>
      </c>
    </row>
    <row r="3541">
      <c r="K3541" s="4" t="str">
        <f>IFERROR(__xludf.DUMMYFUNCTION("""COMPUTED_VALUE"""),"GURUGAS")</f>
        <v>GURUGAS</v>
      </c>
      <c r="L3541" s="32">
        <f>IFERROR(__xludf.DUMMYFUNCTION("""COMPUTED_VALUE"""),3.0)</f>
        <v>3</v>
      </c>
      <c r="M3541" s="4" t="str">
        <f>IFERROR(__xludf.DUMMYFUNCTION("""COMPUTED_VALUE"""),"Mp Multipedidos")</f>
        <v>Mp Multipedidos</v>
      </c>
      <c r="N3541" s="33">
        <f>IFERROR(__xludf.DUMMYFUNCTION("""COMPUTED_VALUE"""),1.0)</f>
        <v>1</v>
      </c>
      <c r="O3541" s="4" t="str">
        <f>IFERROR(__xludf.DUMMYFUNCTION("""COMPUTED_VALUE"""),"Mp Multipedidos")</f>
        <v>Mp Multipedidos</v>
      </c>
      <c r="P3541" s="33">
        <f>IFERROR(__xludf.DUMMYFUNCTION("""COMPUTED_VALUE"""),0.6666666666666666)</f>
        <v>0.6666666667</v>
      </c>
      <c r="Q3541" s="4" t="str">
        <f>IFERROR(__xludf.DUMMYFUNCTION("""COMPUTED_VALUE"""),"Mp Multipedidos")</f>
        <v>Mp Multipedidos</v>
      </c>
      <c r="R3541" s="33">
        <f>IFERROR(__xludf.DUMMYFUNCTION("""COMPUTED_VALUE"""),1.0)</f>
        <v>1</v>
      </c>
      <c r="S3541" s="4" t="str">
        <f>IFERROR(__xludf.DUMMYFUNCTION("""COMPUTED_VALUE"""),"Mp Multipedidos")</f>
        <v>Mp Multipedidos</v>
      </c>
      <c r="T3541" s="33">
        <f>IFERROR(__xludf.DUMMYFUNCTION("""COMPUTED_VALUE"""),1.0)</f>
        <v>1</v>
      </c>
      <c r="U3541" s="4" t="str">
        <f>IFERROR(__xludf.DUMMYFUNCTION("""COMPUTED_VALUE"""),"Mp Multipedidos")</f>
        <v>Mp Multipedidos</v>
      </c>
      <c r="V3541" s="33">
        <f>IFERROR(__xludf.DUMMYFUNCTION("""COMPUTED_VALUE"""),1.0)</f>
        <v>1</v>
      </c>
      <c r="W3541" s="4" t="str">
        <f>IFERROR(__xludf.DUMMYFUNCTION("""COMPUTED_VALUE"""),"Mp Multipedidos")</f>
        <v>Mp Multipedidos</v>
      </c>
      <c r="X3541" s="33">
        <f>IFERROR(__xludf.DUMMYFUNCTION("""COMPUTED_VALUE"""),0.6666666666666666)</f>
        <v>0.6666666667</v>
      </c>
    </row>
    <row r="3542">
      <c r="K3542" s="4" t="str">
        <f>IFERROR(__xludf.DUMMYFUNCTION("""COMPUTED_VALUE"""),"HAMBURGUERIA BROW")</f>
        <v>HAMBURGUERIA BROW</v>
      </c>
      <c r="L3542" s="32">
        <f>IFERROR(__xludf.DUMMYFUNCTION("""COMPUTED_VALUE"""),3.0)</f>
        <v>3</v>
      </c>
      <c r="M3542" s="4" t="str">
        <f>IFERROR(__xludf.DUMMYFUNCTION("""COMPUTED_VALUE"""),"Saipos Serviços De Software")</f>
        <v>Saipos Serviços De Software</v>
      </c>
      <c r="N3542" s="33">
        <f>IFERROR(__xludf.DUMMYFUNCTION("""COMPUTED_VALUE"""),1.0)</f>
        <v>1</v>
      </c>
      <c r="O3542" s="4" t="str">
        <f>IFERROR(__xludf.DUMMYFUNCTION("""COMPUTED_VALUE"""),"Saipos Serviços De Software")</f>
        <v>Saipos Serviços De Software</v>
      </c>
      <c r="P3542" s="33">
        <f>IFERROR(__xludf.DUMMYFUNCTION("""COMPUTED_VALUE"""),1.0)</f>
        <v>1</v>
      </c>
      <c r="Q3542" s="4" t="str">
        <f>IFERROR(__xludf.DUMMYFUNCTION("""COMPUTED_VALUE"""),"Saipos Serviços De Software")</f>
        <v>Saipos Serviços De Software</v>
      </c>
      <c r="R3542" s="33">
        <f>IFERROR(__xludf.DUMMYFUNCTION("""COMPUTED_VALUE"""),1.0)</f>
        <v>1</v>
      </c>
      <c r="S3542" s="4" t="str">
        <f>IFERROR(__xludf.DUMMYFUNCTION("""COMPUTED_VALUE"""),"Saipos Serviços De Software")</f>
        <v>Saipos Serviços De Software</v>
      </c>
      <c r="T3542" s="33">
        <f>IFERROR(__xludf.DUMMYFUNCTION("""COMPUTED_VALUE"""),1.0)</f>
        <v>1</v>
      </c>
      <c r="U3542" s="4" t="str">
        <f>IFERROR(__xludf.DUMMYFUNCTION("""COMPUTED_VALUE"""),"Saipos Serviços De Software")</f>
        <v>Saipos Serviços De Software</v>
      </c>
      <c r="V3542" s="33">
        <f>IFERROR(__xludf.DUMMYFUNCTION("""COMPUTED_VALUE"""),1.0)</f>
        <v>1</v>
      </c>
      <c r="W3542" s="4" t="str">
        <f>IFERROR(__xludf.DUMMYFUNCTION("""COMPUTED_VALUE"""),"Saipos Serviços De Software")</f>
        <v>Saipos Serviços De Software</v>
      </c>
      <c r="X3542" s="33">
        <f>IFERROR(__xludf.DUMMYFUNCTION("""COMPUTED_VALUE"""),1.0)</f>
        <v>1</v>
      </c>
    </row>
    <row r="3543">
      <c r="K3543" s="4" t="str">
        <f>IFERROR(__xludf.DUMMYFUNCTION("""COMPUTED_VALUE"""),"HAMBURGUERIA BULLRGER")</f>
        <v>HAMBURGUERIA BULLRGER</v>
      </c>
      <c r="L3543" s="32">
        <f>IFERROR(__xludf.DUMMYFUNCTION("""COMPUTED_VALUE"""),3.0)</f>
        <v>3</v>
      </c>
      <c r="M3543" s="4" t="str">
        <f>IFERROR(__xludf.DUMMYFUNCTION("""COMPUTED_VALUE"""),"Saipos Serviços De Software")</f>
        <v>Saipos Serviços De Software</v>
      </c>
      <c r="N3543" s="33">
        <f>IFERROR(__xludf.DUMMYFUNCTION("""COMPUTED_VALUE"""),0.6666666666666666)</f>
        <v>0.6666666667</v>
      </c>
      <c r="O3543" s="4" t="str">
        <f>IFERROR(__xludf.DUMMYFUNCTION("""COMPUTED_VALUE"""),"Saipos Serviços De Software")</f>
        <v>Saipos Serviços De Software</v>
      </c>
      <c r="P3543" s="33">
        <f>IFERROR(__xludf.DUMMYFUNCTION("""COMPUTED_VALUE"""),0.6666666666666666)</f>
        <v>0.6666666667</v>
      </c>
      <c r="Q3543" s="4" t="str">
        <f>IFERROR(__xludf.DUMMYFUNCTION("""COMPUTED_VALUE"""),"Saipos Serviços De Software")</f>
        <v>Saipos Serviços De Software</v>
      </c>
      <c r="R3543" s="33">
        <f>IFERROR(__xludf.DUMMYFUNCTION("""COMPUTED_VALUE"""),1.0)</f>
        <v>1</v>
      </c>
      <c r="S3543" s="4" t="str">
        <f>IFERROR(__xludf.DUMMYFUNCTION("""COMPUTED_VALUE"""),"Saipos Serviços De Software")</f>
        <v>Saipos Serviços De Software</v>
      </c>
      <c r="T3543" s="33">
        <f>IFERROR(__xludf.DUMMYFUNCTION("""COMPUTED_VALUE"""),0.6666666666666666)</f>
        <v>0.6666666667</v>
      </c>
      <c r="U3543" s="4" t="str">
        <f>IFERROR(__xludf.DUMMYFUNCTION("""COMPUTED_VALUE"""),"Saipos Serviços De Software")</f>
        <v>Saipos Serviços De Software</v>
      </c>
      <c r="V3543" s="33">
        <f>IFERROR(__xludf.DUMMYFUNCTION("""COMPUTED_VALUE"""),1.0)</f>
        <v>1</v>
      </c>
      <c r="W3543" s="4" t="str">
        <f>IFERROR(__xludf.DUMMYFUNCTION("""COMPUTED_VALUE"""),"Saipos Serviços De Software")</f>
        <v>Saipos Serviços De Software</v>
      </c>
      <c r="X3543" s="33">
        <f>IFERROR(__xludf.DUMMYFUNCTION("""COMPUTED_VALUE"""),1.0)</f>
        <v>1</v>
      </c>
    </row>
    <row r="3544">
      <c r="K3544" s="4" t="str">
        <f>IFERROR(__xludf.DUMMYFUNCTION("""COMPUTED_VALUE"""),"HAMBURGUERIA MOOT BURGER - CONTA MARCA")</f>
        <v>HAMBURGUERIA MOOT BURGER - CONTA MARCA</v>
      </c>
      <c r="L3544" s="32">
        <f>IFERROR(__xludf.DUMMYFUNCTION("""COMPUTED_VALUE"""),3.0)</f>
        <v>3</v>
      </c>
      <c r="M3544" s="4" t="str">
        <f>IFERROR(__xludf.DUMMYFUNCTION("""COMPUTED_VALUE"""),"null")</f>
        <v>null</v>
      </c>
      <c r="N3544" s="33">
        <f>IFERROR(__xludf.DUMMYFUNCTION("""COMPUTED_VALUE"""),0.6666666666666666)</f>
        <v>0.6666666667</v>
      </c>
      <c r="O3544" s="4" t="str">
        <f>IFERROR(__xludf.DUMMYFUNCTION("""COMPUTED_VALUE"""),"Saipos Serviços De Software")</f>
        <v>Saipos Serviços De Software</v>
      </c>
      <c r="P3544" s="33">
        <f>IFERROR(__xludf.DUMMYFUNCTION("""COMPUTED_VALUE"""),0.6666666666666666)</f>
        <v>0.6666666667</v>
      </c>
      <c r="Q3544" s="4" t="str">
        <f>IFERROR(__xludf.DUMMYFUNCTION("""COMPUTED_VALUE"""),"Saipos Serviços De Software")</f>
        <v>Saipos Serviços De Software</v>
      </c>
      <c r="R3544" s="33">
        <f>IFERROR(__xludf.DUMMYFUNCTION("""COMPUTED_VALUE"""),0.6666666666666666)</f>
        <v>0.6666666667</v>
      </c>
      <c r="S3544" s="4" t="str">
        <f>IFERROR(__xludf.DUMMYFUNCTION("""COMPUTED_VALUE"""),"Saipos Serviços De Software")</f>
        <v>Saipos Serviços De Software</v>
      </c>
      <c r="T3544" s="33">
        <f>IFERROR(__xludf.DUMMYFUNCTION("""COMPUTED_VALUE"""),0.6666666666666666)</f>
        <v>0.6666666667</v>
      </c>
      <c r="U3544" s="4" t="str">
        <f>IFERROR(__xludf.DUMMYFUNCTION("""COMPUTED_VALUE"""),"Saipos Serviços De Software")</f>
        <v>Saipos Serviços De Software</v>
      </c>
      <c r="V3544" s="33">
        <f>IFERROR(__xludf.DUMMYFUNCTION("""COMPUTED_VALUE"""),0.6666666666666666)</f>
        <v>0.6666666667</v>
      </c>
      <c r="W3544" s="4" t="str">
        <f>IFERROR(__xludf.DUMMYFUNCTION("""COMPUTED_VALUE"""),"Saipos Serviços De Software")</f>
        <v>Saipos Serviços De Software</v>
      </c>
      <c r="X3544" s="33">
        <f>IFERROR(__xludf.DUMMYFUNCTION("""COMPUTED_VALUE"""),1.0)</f>
        <v>1</v>
      </c>
    </row>
    <row r="3545">
      <c r="K3545" s="4" t="str">
        <f>IFERROR(__xludf.DUMMYFUNCTION("""COMPUTED_VALUE"""),"HANGAR DOS PAES - CONTA PAI")</f>
        <v>HANGAR DOS PAES - CONTA PAI</v>
      </c>
      <c r="L3545" s="32">
        <f>IFERROR(__xludf.DUMMYFUNCTION("""COMPUTED_VALUE"""),3.0)</f>
        <v>3</v>
      </c>
      <c r="M3545" s="4" t="str">
        <f>IFERROR(__xludf.DUMMYFUNCTION("""COMPUTED_VALUE"""),"null")</f>
        <v>null</v>
      </c>
      <c r="N3545" s="33">
        <f>IFERROR(__xludf.DUMMYFUNCTION("""COMPUTED_VALUE"""),1.0)</f>
        <v>1</v>
      </c>
      <c r="O3545" s="4" t="str">
        <f>IFERROR(__xludf.DUMMYFUNCTION("""COMPUTED_VALUE"""),"null")</f>
        <v>null</v>
      </c>
      <c r="P3545" s="33">
        <f>IFERROR(__xludf.DUMMYFUNCTION("""COMPUTED_VALUE"""),1.0)</f>
        <v>1</v>
      </c>
      <c r="Q3545" s="4" t="str">
        <f>IFERROR(__xludf.DUMMYFUNCTION("""COMPUTED_VALUE"""),"null")</f>
        <v>null</v>
      </c>
      <c r="R3545" s="33">
        <f>IFERROR(__xludf.DUMMYFUNCTION("""COMPUTED_VALUE"""),1.0)</f>
        <v>1</v>
      </c>
      <c r="S3545" s="4" t="str">
        <f>IFERROR(__xludf.DUMMYFUNCTION("""COMPUTED_VALUE"""),"null")</f>
        <v>null</v>
      </c>
      <c r="T3545" s="33">
        <f>IFERROR(__xludf.DUMMYFUNCTION("""COMPUTED_VALUE"""),1.0)</f>
        <v>1</v>
      </c>
      <c r="U3545" s="4" t="str">
        <f>IFERROR(__xludf.DUMMYFUNCTION("""COMPUTED_VALUE"""),"null")</f>
        <v>null</v>
      </c>
      <c r="V3545" s="33">
        <f>IFERROR(__xludf.DUMMYFUNCTION("""COMPUTED_VALUE"""),1.0)</f>
        <v>1</v>
      </c>
      <c r="W3545" s="4" t="str">
        <f>IFERROR(__xludf.DUMMYFUNCTION("""COMPUTED_VALUE"""),"Saipos Serviços De Software")</f>
        <v>Saipos Serviços De Software</v>
      </c>
      <c r="X3545" s="33">
        <f>IFERROR(__xludf.DUMMYFUNCTION("""COMPUTED_VALUE"""),1.0)</f>
        <v>1</v>
      </c>
    </row>
    <row r="3546">
      <c r="K3546" s="4" t="str">
        <f>IFERROR(__xludf.DUMMYFUNCTION("""COMPUTED_VALUE"""),"HAPPY OGGE BURGER")</f>
        <v>HAPPY OGGE BURGER</v>
      </c>
      <c r="L3546" s="32">
        <f>IFERROR(__xludf.DUMMYFUNCTION("""COMPUTED_VALUE"""),3.0)</f>
        <v>3</v>
      </c>
      <c r="M3546" s="4" t="str">
        <f>IFERROR(__xludf.DUMMYFUNCTION("""COMPUTED_VALUE"""),"Junsoft Tecnologia")</f>
        <v>Junsoft Tecnologia</v>
      </c>
      <c r="N3546" s="33">
        <f>IFERROR(__xludf.DUMMYFUNCTION("""COMPUTED_VALUE"""),1.0)</f>
        <v>1</v>
      </c>
      <c r="O3546" s="4" t="str">
        <f>IFERROR(__xludf.DUMMYFUNCTION("""COMPUTED_VALUE"""),"Junsoft Tecnologia")</f>
        <v>Junsoft Tecnologia</v>
      </c>
      <c r="P3546" s="33">
        <f>IFERROR(__xludf.DUMMYFUNCTION("""COMPUTED_VALUE"""),0.6666666666666666)</f>
        <v>0.6666666667</v>
      </c>
      <c r="Q3546" s="4" t="str">
        <f>IFERROR(__xludf.DUMMYFUNCTION("""COMPUTED_VALUE"""),"Junsoft Tecnologia")</f>
        <v>Junsoft Tecnologia</v>
      </c>
      <c r="R3546" s="33">
        <f>IFERROR(__xludf.DUMMYFUNCTION("""COMPUTED_VALUE"""),0.6666666666666666)</f>
        <v>0.6666666667</v>
      </c>
      <c r="S3546" s="4" t="str">
        <f>IFERROR(__xludf.DUMMYFUNCTION("""COMPUTED_VALUE"""),"Junsoft Tecnologia")</f>
        <v>Junsoft Tecnologia</v>
      </c>
      <c r="T3546" s="33">
        <f>IFERROR(__xludf.DUMMYFUNCTION("""COMPUTED_VALUE"""),1.0)</f>
        <v>1</v>
      </c>
      <c r="U3546" s="4" t="str">
        <f>IFERROR(__xludf.DUMMYFUNCTION("""COMPUTED_VALUE"""),"Junsoft Tecnologia")</f>
        <v>Junsoft Tecnologia</v>
      </c>
      <c r="V3546" s="33">
        <f>IFERROR(__xludf.DUMMYFUNCTION("""COMPUTED_VALUE"""),1.0)</f>
        <v>1</v>
      </c>
      <c r="W3546" s="4" t="str">
        <f>IFERROR(__xludf.DUMMYFUNCTION("""COMPUTED_VALUE"""),"Junsoft Tecnologia")</f>
        <v>Junsoft Tecnologia</v>
      </c>
      <c r="X3546" s="33">
        <f>IFERROR(__xludf.DUMMYFUNCTION("""COMPUTED_VALUE"""),0.6666666666666666)</f>
        <v>0.6666666667</v>
      </c>
    </row>
    <row r="3547">
      <c r="K3547" s="4" t="str">
        <f>IFERROR(__xludf.DUMMYFUNCTION("""COMPUTED_VALUE"""),"HASHI EXPRESS SUSHI - MARCA")</f>
        <v>HASHI EXPRESS SUSHI - MARCA</v>
      </c>
      <c r="L3547" s="32">
        <f>IFERROR(__xludf.DUMMYFUNCTION("""COMPUTED_VALUE"""),3.0)</f>
        <v>3</v>
      </c>
      <c r="M3547" s="4" t="str">
        <f>IFERROR(__xludf.DUMMYFUNCTION("""COMPUTED_VALUE"""),"Saipos Serviços De Software")</f>
        <v>Saipos Serviços De Software</v>
      </c>
      <c r="N3547" s="33">
        <f>IFERROR(__xludf.DUMMYFUNCTION("""COMPUTED_VALUE"""),0.6666666666666666)</f>
        <v>0.6666666667</v>
      </c>
      <c r="O3547" s="4" t="str">
        <f>IFERROR(__xludf.DUMMYFUNCTION("""COMPUTED_VALUE"""),"Saipos Serviços De Software")</f>
        <v>Saipos Serviços De Software</v>
      </c>
      <c r="P3547" s="33">
        <f>IFERROR(__xludf.DUMMYFUNCTION("""COMPUTED_VALUE"""),0.6666666666666666)</f>
        <v>0.6666666667</v>
      </c>
      <c r="Q3547" s="4" t="str">
        <f>IFERROR(__xludf.DUMMYFUNCTION("""COMPUTED_VALUE"""),"Saipos Serviços De Software")</f>
        <v>Saipos Serviços De Software</v>
      </c>
      <c r="R3547" s="33">
        <f>IFERROR(__xludf.DUMMYFUNCTION("""COMPUTED_VALUE"""),0.6666666666666666)</f>
        <v>0.6666666667</v>
      </c>
      <c r="S3547" s="4" t="str">
        <f>IFERROR(__xludf.DUMMYFUNCTION("""COMPUTED_VALUE"""),"Saipos Serviços De Software")</f>
        <v>Saipos Serviços De Software</v>
      </c>
      <c r="T3547" s="33">
        <f>IFERROR(__xludf.DUMMYFUNCTION("""COMPUTED_VALUE"""),0.6666666666666666)</f>
        <v>0.6666666667</v>
      </c>
      <c r="U3547" s="4" t="str">
        <f>IFERROR(__xludf.DUMMYFUNCTION("""COMPUTED_VALUE"""),"Saipos Serviços De Software")</f>
        <v>Saipos Serviços De Software</v>
      </c>
      <c r="V3547" s="33">
        <f>IFERROR(__xludf.DUMMYFUNCTION("""COMPUTED_VALUE"""),1.0)</f>
        <v>1</v>
      </c>
      <c r="W3547" s="4" t="str">
        <f>IFERROR(__xludf.DUMMYFUNCTION("""COMPUTED_VALUE"""),"Saipos Serviços De Software")</f>
        <v>Saipos Serviços De Software</v>
      </c>
      <c r="X3547" s="33">
        <f>IFERROR(__xludf.DUMMYFUNCTION("""COMPUTED_VALUE"""),1.0)</f>
        <v>1</v>
      </c>
    </row>
    <row r="3548">
      <c r="K3548" s="4" t="str">
        <f>IFERROR(__xludf.DUMMYFUNCTION("""COMPUTED_VALUE"""),"HAYAI SUSHI - CONTA MARCA")</f>
        <v>HAYAI SUSHI - CONTA MARCA</v>
      </c>
      <c r="L3548" s="32">
        <f>IFERROR(__xludf.DUMMYFUNCTION("""COMPUTED_VALUE"""),3.0)</f>
        <v>3</v>
      </c>
      <c r="M3548" s="4" t="str">
        <f>IFERROR(__xludf.DUMMYFUNCTION("""COMPUTED_VALUE"""),"null")</f>
        <v>null</v>
      </c>
      <c r="N3548" s="33">
        <f>IFERROR(__xludf.DUMMYFUNCTION("""COMPUTED_VALUE"""),0.6666666666666666)</f>
        <v>0.6666666667</v>
      </c>
      <c r="O3548" s="4" t="str">
        <f>IFERROR(__xludf.DUMMYFUNCTION("""COMPUTED_VALUE"""),"null")</f>
        <v>null</v>
      </c>
      <c r="P3548" s="33">
        <f>IFERROR(__xludf.DUMMYFUNCTION("""COMPUTED_VALUE"""),0.6666666666666666)</f>
        <v>0.6666666667</v>
      </c>
      <c r="Q3548" s="4" t="str">
        <f>IFERROR(__xludf.DUMMYFUNCTION("""COMPUTED_VALUE"""),"null")</f>
        <v>null</v>
      </c>
      <c r="R3548" s="33">
        <f>IFERROR(__xludf.DUMMYFUNCTION("""COMPUTED_VALUE"""),1.0)</f>
        <v>1</v>
      </c>
      <c r="S3548" s="4" t="str">
        <f>IFERROR(__xludf.DUMMYFUNCTION("""COMPUTED_VALUE"""),"null")</f>
        <v>null</v>
      </c>
      <c r="T3548" s="33">
        <f>IFERROR(__xludf.DUMMYFUNCTION("""COMPUTED_VALUE"""),1.0)</f>
        <v>1</v>
      </c>
      <c r="U3548" s="4" t="str">
        <f>IFERROR(__xludf.DUMMYFUNCTION("""COMPUTED_VALUE"""),"null")</f>
        <v>null</v>
      </c>
      <c r="V3548" s="33">
        <f>IFERROR(__xludf.DUMMYFUNCTION("""COMPUTED_VALUE"""),1.0)</f>
        <v>1</v>
      </c>
      <c r="W3548" s="4" t="str">
        <f>IFERROR(__xludf.DUMMYFUNCTION("""COMPUTED_VALUE"""),"Takeat Tecnologia")</f>
        <v>Takeat Tecnologia</v>
      </c>
      <c r="X3548" s="33">
        <f>IFERROR(__xludf.DUMMYFUNCTION("""COMPUTED_VALUE"""),0.3333333333333333)</f>
        <v>0.3333333333</v>
      </c>
    </row>
    <row r="3549">
      <c r="K3549" s="4" t="str">
        <f>IFERROR(__xludf.DUMMYFUNCTION("""COMPUTED_VALUE"""),"HIPPO SUPERMERCADOS - CONTA PAI")</f>
        <v>HIPPO SUPERMERCADOS - CONTA PAI</v>
      </c>
      <c r="L3549" s="32">
        <f>IFERROR(__xludf.DUMMYFUNCTION("""COMPUTED_VALUE"""),3.0)</f>
        <v>3</v>
      </c>
      <c r="M3549" s="4" t="str">
        <f>IFERROR(__xludf.DUMMYFUNCTION("""COMPUTED_VALUE"""),"N/A (Not found)")</f>
        <v>N/A (Not found)</v>
      </c>
      <c r="N3549" s="33">
        <f>IFERROR(__xludf.DUMMYFUNCTION("""COMPUTED_VALUE"""),1.0)</f>
        <v>1</v>
      </c>
      <c r="O3549" s="4" t="str">
        <f>IFERROR(__xludf.DUMMYFUNCTION("""COMPUTED_VALUE"""),"N/A (Not found)")</f>
        <v>N/A (Not found)</v>
      </c>
      <c r="P3549" s="33">
        <f>IFERROR(__xludf.DUMMYFUNCTION("""COMPUTED_VALUE"""),1.0)</f>
        <v>1</v>
      </c>
      <c r="Q3549" s="4" t="str">
        <f>IFERROR(__xludf.DUMMYFUNCTION("""COMPUTED_VALUE"""),"N/A (Not found)")</f>
        <v>N/A (Not found)</v>
      </c>
      <c r="R3549" s="33">
        <f>IFERROR(__xludf.DUMMYFUNCTION("""COMPUTED_VALUE"""),1.0)</f>
        <v>1</v>
      </c>
      <c r="S3549" s="4" t="str">
        <f>IFERROR(__xludf.DUMMYFUNCTION("""COMPUTED_VALUE"""),"N/A (Not found)")</f>
        <v>N/A (Not found)</v>
      </c>
      <c r="T3549" s="33">
        <f>IFERROR(__xludf.DUMMYFUNCTION("""COMPUTED_VALUE"""),1.0)</f>
        <v>1</v>
      </c>
      <c r="U3549" s="4" t="str">
        <f>IFERROR(__xludf.DUMMYFUNCTION("""COMPUTED_VALUE"""),"N/A (Not found)")</f>
        <v>N/A (Not found)</v>
      </c>
      <c r="V3549" s="33">
        <f>IFERROR(__xludf.DUMMYFUNCTION("""COMPUTED_VALUE"""),1.0)</f>
        <v>1</v>
      </c>
      <c r="W3549" s="4" t="str">
        <f>IFERROR(__xludf.DUMMYFUNCTION("""COMPUTED_VALUE"""),"N/A (Not found)")</f>
        <v>N/A (Not found)</v>
      </c>
      <c r="X3549" s="33">
        <f>IFERROR(__xludf.DUMMYFUNCTION("""COMPUTED_VALUE"""),0.6666666666666666)</f>
        <v>0.6666666667</v>
      </c>
    </row>
    <row r="3550">
      <c r="K3550" s="4" t="str">
        <f>IFERROR(__xludf.DUMMYFUNCTION("""COMPUTED_VALUE"""),"HOCCA BAR")</f>
        <v>HOCCA BAR</v>
      </c>
      <c r="L3550" s="32">
        <f>IFERROR(__xludf.DUMMYFUNCTION("""COMPUTED_VALUE"""),3.0)</f>
        <v>3</v>
      </c>
      <c r="M3550" s="4" t="str">
        <f>IFERROR(__xludf.DUMMYFUNCTION("""COMPUTED_VALUE"""),"Totvs Large Enterprise Tecnologia S.a.")</f>
        <v>Totvs Large Enterprise Tecnologia S.a.</v>
      </c>
      <c r="N3550" s="33">
        <f>IFERROR(__xludf.DUMMYFUNCTION("""COMPUTED_VALUE"""),1.0)</f>
        <v>1</v>
      </c>
      <c r="O3550" s="4" t="str">
        <f>IFERROR(__xludf.DUMMYFUNCTION("""COMPUTED_VALUE"""),"Totvs Large Enterprise Tecnologia S.a.")</f>
        <v>Totvs Large Enterprise Tecnologia S.a.</v>
      </c>
      <c r="P3550" s="33">
        <f>IFERROR(__xludf.DUMMYFUNCTION("""COMPUTED_VALUE"""),0.6666666666666666)</f>
        <v>0.6666666667</v>
      </c>
      <c r="Q3550" s="4" t="str">
        <f>IFERROR(__xludf.DUMMYFUNCTION("""COMPUTED_VALUE"""),"Totvs Large Enterprise Tecnologia S.a.")</f>
        <v>Totvs Large Enterprise Tecnologia S.a.</v>
      </c>
      <c r="R3550" s="33">
        <f>IFERROR(__xludf.DUMMYFUNCTION("""COMPUTED_VALUE"""),1.0)</f>
        <v>1</v>
      </c>
      <c r="S3550" s="4" t="str">
        <f>IFERROR(__xludf.DUMMYFUNCTION("""COMPUTED_VALUE"""),"Totvs Large Enterprise Tecnologia S.a.")</f>
        <v>Totvs Large Enterprise Tecnologia S.a.</v>
      </c>
      <c r="T3550" s="33">
        <f>IFERROR(__xludf.DUMMYFUNCTION("""COMPUTED_VALUE"""),1.0)</f>
        <v>1</v>
      </c>
      <c r="U3550" s="4" t="str">
        <f>IFERROR(__xludf.DUMMYFUNCTION("""COMPUTED_VALUE"""),"Totvs Large Enterprise Tecnologia S.a.")</f>
        <v>Totvs Large Enterprise Tecnologia S.a.</v>
      </c>
      <c r="V3550" s="33">
        <f>IFERROR(__xludf.DUMMYFUNCTION("""COMPUTED_VALUE"""),0.6666666666666666)</f>
        <v>0.6666666667</v>
      </c>
      <c r="W3550" s="4" t="str">
        <f>IFERROR(__xludf.DUMMYFUNCTION("""COMPUTED_VALUE"""),"Totvs Large Enterprise Tecnologia S.a.")</f>
        <v>Totvs Large Enterprise Tecnologia S.a.</v>
      </c>
      <c r="X3550" s="33">
        <f>IFERROR(__xludf.DUMMYFUNCTION("""COMPUTED_VALUE"""),1.0)</f>
        <v>1</v>
      </c>
    </row>
    <row r="3551">
      <c r="K3551" s="4" t="str">
        <f>IFERROR(__xludf.DUMMYFUNCTION("""COMPUTED_VALUE"""),"HOLANDESA PADARIA")</f>
        <v>HOLANDESA PADARIA</v>
      </c>
      <c r="L3551" s="32">
        <f>IFERROR(__xludf.DUMMYFUNCTION("""COMPUTED_VALUE"""),3.0)</f>
        <v>3</v>
      </c>
      <c r="M3551" s="4" t="str">
        <f>IFERROR(__xludf.DUMMYFUNCTION("""COMPUTED_VALUE"""),"Sagres Automação Comercial")</f>
        <v>Sagres Automação Comercial</v>
      </c>
      <c r="N3551" s="33">
        <f>IFERROR(__xludf.DUMMYFUNCTION("""COMPUTED_VALUE"""),1.0)</f>
        <v>1</v>
      </c>
      <c r="O3551" s="4" t="str">
        <f>IFERROR(__xludf.DUMMYFUNCTION("""COMPUTED_VALUE"""),"Sagres Automação Comercial")</f>
        <v>Sagres Automação Comercial</v>
      </c>
      <c r="P3551" s="33">
        <f>IFERROR(__xludf.DUMMYFUNCTION("""COMPUTED_VALUE"""),1.0)</f>
        <v>1</v>
      </c>
      <c r="Q3551" s="4" t="str">
        <f>IFERROR(__xludf.DUMMYFUNCTION("""COMPUTED_VALUE"""),"Sagres Automação Comercial")</f>
        <v>Sagres Automação Comercial</v>
      </c>
      <c r="R3551" s="33">
        <f>IFERROR(__xludf.DUMMYFUNCTION("""COMPUTED_VALUE"""),1.0)</f>
        <v>1</v>
      </c>
      <c r="S3551" s="4" t="str">
        <f>IFERROR(__xludf.DUMMYFUNCTION("""COMPUTED_VALUE"""),"Sagres Automação Comercial")</f>
        <v>Sagres Automação Comercial</v>
      </c>
      <c r="T3551" s="33">
        <f>IFERROR(__xludf.DUMMYFUNCTION("""COMPUTED_VALUE"""),1.0)</f>
        <v>1</v>
      </c>
      <c r="U3551" s="4" t="str">
        <f>IFERROR(__xludf.DUMMYFUNCTION("""COMPUTED_VALUE"""),"Sagres Automação Comercial")</f>
        <v>Sagres Automação Comercial</v>
      </c>
      <c r="V3551" s="33">
        <f>IFERROR(__xludf.DUMMYFUNCTION("""COMPUTED_VALUE"""),1.0)</f>
        <v>1</v>
      </c>
      <c r="W3551" s="4" t="str">
        <f>IFERROR(__xludf.DUMMYFUNCTION("""COMPUTED_VALUE"""),"Sagres Automação Comercial")</f>
        <v>Sagres Automação Comercial</v>
      </c>
      <c r="X3551" s="33">
        <f>IFERROR(__xludf.DUMMYFUNCTION("""COMPUTED_VALUE"""),1.0)</f>
        <v>1</v>
      </c>
    </row>
    <row r="3552">
      <c r="K3552" s="4" t="str">
        <f>IFERROR(__xludf.DUMMYFUNCTION("""COMPUTED_VALUE"""),"HOOK SMASH - CONTA MARCA")</f>
        <v>HOOK SMASH - CONTA MARCA</v>
      </c>
      <c r="L3552" s="32">
        <f>IFERROR(__xludf.DUMMYFUNCTION("""COMPUTED_VALUE"""),3.0)</f>
        <v>3</v>
      </c>
      <c r="M3552" s="4" t="str">
        <f>IFERROR(__xludf.DUMMYFUNCTION("""COMPUTED_VALUE"""),"Saipos Serviços De Software")</f>
        <v>Saipos Serviços De Software</v>
      </c>
      <c r="N3552" s="33">
        <f>IFERROR(__xludf.DUMMYFUNCTION("""COMPUTED_VALUE"""),1.0)</f>
        <v>1</v>
      </c>
      <c r="O3552" s="4" t="str">
        <f>IFERROR(__xludf.DUMMYFUNCTION("""COMPUTED_VALUE"""),"Saipos Serviços De Software")</f>
        <v>Saipos Serviços De Software</v>
      </c>
      <c r="P3552" s="33">
        <f>IFERROR(__xludf.DUMMYFUNCTION("""COMPUTED_VALUE"""),1.0)</f>
        <v>1</v>
      </c>
      <c r="Q3552" s="4" t="str">
        <f>IFERROR(__xludf.DUMMYFUNCTION("""COMPUTED_VALUE"""),"Saipos Serviços De Software")</f>
        <v>Saipos Serviços De Software</v>
      </c>
      <c r="R3552" s="33">
        <f>IFERROR(__xludf.DUMMYFUNCTION("""COMPUTED_VALUE"""),1.0)</f>
        <v>1</v>
      </c>
      <c r="S3552" s="4" t="str">
        <f>IFERROR(__xludf.DUMMYFUNCTION("""COMPUTED_VALUE"""),"Saipos Serviços De Software")</f>
        <v>Saipos Serviços De Software</v>
      </c>
      <c r="T3552" s="33">
        <f>IFERROR(__xludf.DUMMYFUNCTION("""COMPUTED_VALUE"""),1.0)</f>
        <v>1</v>
      </c>
      <c r="U3552" s="4" t="str">
        <f>IFERROR(__xludf.DUMMYFUNCTION("""COMPUTED_VALUE"""),"Saipos Serviços De Software")</f>
        <v>Saipos Serviços De Software</v>
      </c>
      <c r="V3552" s="33">
        <f>IFERROR(__xludf.DUMMYFUNCTION("""COMPUTED_VALUE"""),0.6666666666666666)</f>
        <v>0.6666666667</v>
      </c>
      <c r="W3552" s="4" t="str">
        <f>IFERROR(__xludf.DUMMYFUNCTION("""COMPUTED_VALUE"""),"Saipos Serviços De Software")</f>
        <v>Saipos Serviços De Software</v>
      </c>
      <c r="X3552" s="33">
        <f>IFERROR(__xludf.DUMMYFUNCTION("""COMPUTED_VALUE"""),0.6666666666666666)</f>
        <v>0.6666666667</v>
      </c>
    </row>
    <row r="3553">
      <c r="K3553" s="4" t="str">
        <f>IFERROR(__xludf.DUMMYFUNCTION("""COMPUTED_VALUE"""),"HOT DOG BRASIL")</f>
        <v>HOT DOG BRASIL</v>
      </c>
      <c r="L3553" s="32">
        <f>IFERROR(__xludf.DUMMYFUNCTION("""COMPUTED_VALUE"""),3.0)</f>
        <v>3</v>
      </c>
      <c r="M3553" s="4" t="str">
        <f>IFERROR(__xludf.DUMMYFUNCTION("""COMPUTED_VALUE"""),"Braspartner Soluções Em Tecnologia Da Informação Ltda")</f>
        <v>Braspartner Soluções Em Tecnologia Da Informação Ltda</v>
      </c>
      <c r="N3553" s="33">
        <f>IFERROR(__xludf.DUMMYFUNCTION("""COMPUTED_VALUE"""),0.6666666666666666)</f>
        <v>0.6666666667</v>
      </c>
      <c r="O3553" s="4" t="str">
        <f>IFERROR(__xludf.DUMMYFUNCTION("""COMPUTED_VALUE"""),"Braspartner Soluções Em Tecnologia Da Informação Ltda")</f>
        <v>Braspartner Soluções Em Tecnologia Da Informação Ltda</v>
      </c>
      <c r="P3553" s="33">
        <f>IFERROR(__xludf.DUMMYFUNCTION("""COMPUTED_VALUE"""),0.6666666666666666)</f>
        <v>0.6666666667</v>
      </c>
      <c r="Q3553" s="4" t="str">
        <f>IFERROR(__xludf.DUMMYFUNCTION("""COMPUTED_VALUE"""),"Braspartner Soluções Em Tecnologia Da Informação Ltda")</f>
        <v>Braspartner Soluções Em Tecnologia Da Informação Ltda</v>
      </c>
      <c r="R3553" s="33">
        <f>IFERROR(__xludf.DUMMYFUNCTION("""COMPUTED_VALUE"""),0.6666666666666666)</f>
        <v>0.6666666667</v>
      </c>
      <c r="S3553" s="4" t="str">
        <f>IFERROR(__xludf.DUMMYFUNCTION("""COMPUTED_VALUE"""),"Braspartner Soluções Em Tecnologia Da Informação Ltda")</f>
        <v>Braspartner Soluções Em Tecnologia Da Informação Ltda</v>
      </c>
      <c r="T3553" s="33">
        <f>IFERROR(__xludf.DUMMYFUNCTION("""COMPUTED_VALUE"""),1.0)</f>
        <v>1</v>
      </c>
      <c r="U3553" s="4" t="str">
        <f>IFERROR(__xludf.DUMMYFUNCTION("""COMPUTED_VALUE"""),"Braspartner Soluções Em Tecnologia Da Informação Ltda")</f>
        <v>Braspartner Soluções Em Tecnologia Da Informação Ltda</v>
      </c>
      <c r="V3553" s="33">
        <f>IFERROR(__xludf.DUMMYFUNCTION("""COMPUTED_VALUE"""),0.6666666666666666)</f>
        <v>0.6666666667</v>
      </c>
      <c r="W3553" s="4" t="str">
        <f>IFERROR(__xludf.DUMMYFUNCTION("""COMPUTED_VALUE"""),"null")</f>
        <v>null</v>
      </c>
      <c r="X3553" s="33">
        <f>IFERROR(__xludf.DUMMYFUNCTION("""COMPUTED_VALUE"""),0.6666666666666666)</f>
        <v>0.6666666667</v>
      </c>
    </row>
    <row r="3554">
      <c r="K3554" s="4" t="str">
        <f>IFERROR(__xludf.DUMMYFUNCTION("""COMPUTED_VALUE"""),"HOT DOG DO MARCELO - MARCA")</f>
        <v>HOT DOG DO MARCELO - MARCA</v>
      </c>
      <c r="L3554" s="32">
        <f>IFERROR(__xludf.DUMMYFUNCTION("""COMPUTED_VALUE"""),3.0)</f>
        <v>3</v>
      </c>
      <c r="M3554" s="4" t="str">
        <f>IFERROR(__xludf.DUMMYFUNCTION("""COMPUTED_VALUE"""),"null")</f>
        <v>null</v>
      </c>
      <c r="N3554" s="33">
        <f>IFERROR(__xludf.DUMMYFUNCTION("""COMPUTED_VALUE"""),0.6666666666666666)</f>
        <v>0.6666666667</v>
      </c>
      <c r="O3554" s="4" t="str">
        <f>IFERROR(__xludf.DUMMYFUNCTION("""COMPUTED_VALUE"""),"null")</f>
        <v>null</v>
      </c>
      <c r="P3554" s="33">
        <f>IFERROR(__xludf.DUMMYFUNCTION("""COMPUTED_VALUE"""),0.6666666666666666)</f>
        <v>0.6666666667</v>
      </c>
      <c r="Q3554" s="4" t="str">
        <f>IFERROR(__xludf.DUMMYFUNCTION("""COMPUTED_VALUE"""),"null")</f>
        <v>null</v>
      </c>
      <c r="R3554" s="33">
        <f>IFERROR(__xludf.DUMMYFUNCTION("""COMPUTED_VALUE"""),0.6666666666666666)</f>
        <v>0.6666666667</v>
      </c>
      <c r="S3554" s="4" t="str">
        <f>IFERROR(__xludf.DUMMYFUNCTION("""COMPUTED_VALUE"""),"Saipos Serviços De Software")</f>
        <v>Saipos Serviços De Software</v>
      </c>
      <c r="T3554" s="33">
        <f>IFERROR(__xludf.DUMMYFUNCTION("""COMPUTED_VALUE"""),0.3333333333333333)</f>
        <v>0.3333333333</v>
      </c>
      <c r="U3554" s="4" t="str">
        <f>IFERROR(__xludf.DUMMYFUNCTION("""COMPUTED_VALUE"""),"Saipos Serviços De Software")</f>
        <v>Saipos Serviços De Software</v>
      </c>
      <c r="V3554" s="33">
        <f>IFERROR(__xludf.DUMMYFUNCTION("""COMPUTED_VALUE"""),0.3333333333333333)</f>
        <v>0.3333333333</v>
      </c>
      <c r="W3554" s="4" t="str">
        <f>IFERROR(__xludf.DUMMYFUNCTION("""COMPUTED_VALUE"""),"Saipos Serviços De Software")</f>
        <v>Saipos Serviços De Software</v>
      </c>
      <c r="X3554" s="33">
        <f>IFERROR(__xludf.DUMMYFUNCTION("""COMPUTED_VALUE"""),0.3333333333333333)</f>
        <v>0.3333333333</v>
      </c>
    </row>
    <row r="3555">
      <c r="K3555" s="4" t="str">
        <f>IFERROR(__xludf.DUMMYFUNCTION("""COMPUTED_VALUE"""),"HOT DOG DO MARCELO - CP")</f>
        <v>HOT DOG DO MARCELO - CP</v>
      </c>
      <c r="L3555" s="32">
        <f>IFERROR(__xludf.DUMMYFUNCTION("""COMPUTED_VALUE"""),3.0)</f>
        <v>3</v>
      </c>
      <c r="M3555" s="4" t="str">
        <f>IFERROR(__xludf.DUMMYFUNCTION("""COMPUTED_VALUE"""),"null")</f>
        <v>null</v>
      </c>
      <c r="N3555" s="33">
        <f>IFERROR(__xludf.DUMMYFUNCTION("""COMPUTED_VALUE"""),0.6666666666666666)</f>
        <v>0.6666666667</v>
      </c>
      <c r="O3555" s="4" t="str">
        <f>IFERROR(__xludf.DUMMYFUNCTION("""COMPUTED_VALUE"""),"null")</f>
        <v>null</v>
      </c>
      <c r="P3555" s="33">
        <f>IFERROR(__xludf.DUMMYFUNCTION("""COMPUTED_VALUE"""),0.6666666666666666)</f>
        <v>0.6666666667</v>
      </c>
      <c r="Q3555" s="4" t="str">
        <f>IFERROR(__xludf.DUMMYFUNCTION("""COMPUTED_VALUE"""),"null")</f>
        <v>null</v>
      </c>
      <c r="R3555" s="33">
        <f>IFERROR(__xludf.DUMMYFUNCTION("""COMPUTED_VALUE"""),0.6666666666666666)</f>
        <v>0.6666666667</v>
      </c>
      <c r="S3555" s="4" t="str">
        <f>IFERROR(__xludf.DUMMYFUNCTION("""COMPUTED_VALUE"""),"Saipos Serviços De Software")</f>
        <v>Saipos Serviços De Software</v>
      </c>
      <c r="T3555" s="33">
        <f>IFERROR(__xludf.DUMMYFUNCTION("""COMPUTED_VALUE"""),0.3333333333333333)</f>
        <v>0.3333333333</v>
      </c>
      <c r="U3555" s="4" t="str">
        <f>IFERROR(__xludf.DUMMYFUNCTION("""COMPUTED_VALUE"""),"Saipos Serviços De Software")</f>
        <v>Saipos Serviços De Software</v>
      </c>
      <c r="V3555" s="33">
        <f>IFERROR(__xludf.DUMMYFUNCTION("""COMPUTED_VALUE"""),0.3333333333333333)</f>
        <v>0.3333333333</v>
      </c>
      <c r="W3555" s="4" t="str">
        <f>IFERROR(__xludf.DUMMYFUNCTION("""COMPUTED_VALUE"""),"Saipos Serviços De Software")</f>
        <v>Saipos Serviços De Software</v>
      </c>
      <c r="X3555" s="33">
        <f>IFERROR(__xludf.DUMMYFUNCTION("""COMPUTED_VALUE"""),0.3333333333333333)</f>
        <v>0.3333333333</v>
      </c>
    </row>
    <row r="3556">
      <c r="K3556" s="4" t="str">
        <f>IFERROR(__xludf.DUMMYFUNCTION("""COMPUTED_VALUE"""),"HOT DOG DO SEU ANGELO CONTA PAI")</f>
        <v>HOT DOG DO SEU ANGELO CONTA PAI</v>
      </c>
      <c r="L3556" s="32">
        <f>IFERROR(__xludf.DUMMYFUNCTION("""COMPUTED_VALUE"""),3.0)</f>
        <v>3</v>
      </c>
      <c r="M3556" s="4" t="str">
        <f>IFERROR(__xludf.DUMMYFUNCTION("""COMPUTED_VALUE"""),"null")</f>
        <v>null</v>
      </c>
      <c r="N3556" s="33">
        <f>IFERROR(__xludf.DUMMYFUNCTION("""COMPUTED_VALUE"""),0.6666666666666666)</f>
        <v>0.6666666667</v>
      </c>
      <c r="O3556" s="4" t="str">
        <f>IFERROR(__xludf.DUMMYFUNCTION("""COMPUTED_VALUE"""),"Takeat Tecnologia")</f>
        <v>Takeat Tecnologia</v>
      </c>
      <c r="P3556" s="33">
        <f>IFERROR(__xludf.DUMMYFUNCTION("""COMPUTED_VALUE"""),0.3333333333333333)</f>
        <v>0.3333333333</v>
      </c>
      <c r="Q3556" s="4" t="str">
        <f>IFERROR(__xludf.DUMMYFUNCTION("""COMPUTED_VALUE"""),"Hubster")</f>
        <v>Hubster</v>
      </c>
      <c r="R3556" s="33">
        <f>IFERROR(__xludf.DUMMYFUNCTION("""COMPUTED_VALUE"""),0.6666666666666666)</f>
        <v>0.6666666667</v>
      </c>
      <c r="S3556" s="4" t="str">
        <f>IFERROR(__xludf.DUMMYFUNCTION("""COMPUTED_VALUE"""),"Hubster")</f>
        <v>Hubster</v>
      </c>
      <c r="T3556" s="33">
        <f>IFERROR(__xludf.DUMMYFUNCTION("""COMPUTED_VALUE"""),0.6666666666666666)</f>
        <v>0.6666666667</v>
      </c>
      <c r="U3556" s="4" t="str">
        <f>IFERROR(__xludf.DUMMYFUNCTION("""COMPUTED_VALUE"""),"Hubster")</f>
        <v>Hubster</v>
      </c>
      <c r="V3556" s="33">
        <f>IFERROR(__xludf.DUMMYFUNCTION("""COMPUTED_VALUE"""),0.6666666666666666)</f>
        <v>0.6666666667</v>
      </c>
      <c r="W3556" s="4" t="str">
        <f>IFERROR(__xludf.DUMMYFUNCTION("""COMPUTED_VALUE"""),"Hubster")</f>
        <v>Hubster</v>
      </c>
      <c r="X3556" s="33">
        <f>IFERROR(__xludf.DUMMYFUNCTION("""COMPUTED_VALUE"""),0.6666666666666666)</f>
        <v>0.6666666667</v>
      </c>
    </row>
    <row r="3557">
      <c r="K3557" s="4" t="str">
        <f>IFERROR(__xludf.DUMMYFUNCTION("""COMPUTED_VALUE"""),"HOT DOOGS - CONTA PAI")</f>
        <v>HOT DOOGS - CONTA PAI</v>
      </c>
      <c r="L3557" s="32">
        <f>IFERROR(__xludf.DUMMYFUNCTION("""COMPUTED_VALUE"""),3.0)</f>
        <v>3</v>
      </c>
      <c r="M3557" s="4" t="str">
        <f>IFERROR(__xludf.DUMMYFUNCTION("""COMPUTED_VALUE"""),"Sagres Automação Comercial")</f>
        <v>Sagres Automação Comercial</v>
      </c>
      <c r="N3557" s="33">
        <f>IFERROR(__xludf.DUMMYFUNCTION("""COMPUTED_VALUE"""),1.0)</f>
        <v>1</v>
      </c>
      <c r="O3557" s="4" t="str">
        <f>IFERROR(__xludf.DUMMYFUNCTION("""COMPUTED_VALUE"""),"Instadelivery")</f>
        <v>Instadelivery</v>
      </c>
      <c r="P3557" s="33">
        <f>IFERROR(__xludf.DUMMYFUNCTION("""COMPUTED_VALUE"""),1.0)</f>
        <v>1</v>
      </c>
      <c r="Q3557" s="4" t="str">
        <f>IFERROR(__xludf.DUMMYFUNCTION("""COMPUTED_VALUE"""),"Sagres Automação Comercial")</f>
        <v>Sagres Automação Comercial</v>
      </c>
      <c r="R3557" s="33">
        <f>IFERROR(__xludf.DUMMYFUNCTION("""COMPUTED_VALUE"""),0.6666666666666666)</f>
        <v>0.6666666667</v>
      </c>
      <c r="S3557" s="4" t="str">
        <f>IFERROR(__xludf.DUMMYFUNCTION("""COMPUTED_VALUE"""),"Instadelivery")</f>
        <v>Instadelivery</v>
      </c>
      <c r="T3557" s="33">
        <f>IFERROR(__xludf.DUMMYFUNCTION("""COMPUTED_VALUE"""),1.0)</f>
        <v>1</v>
      </c>
      <c r="U3557" s="4" t="str">
        <f>IFERROR(__xludf.DUMMYFUNCTION("""COMPUTED_VALUE"""),"Instadelivery")</f>
        <v>Instadelivery</v>
      </c>
      <c r="V3557" s="33">
        <f>IFERROR(__xludf.DUMMYFUNCTION("""COMPUTED_VALUE"""),1.0)</f>
        <v>1</v>
      </c>
      <c r="W3557" s="4" t="str">
        <f>IFERROR(__xludf.DUMMYFUNCTION("""COMPUTED_VALUE"""),"Instadelivery")</f>
        <v>Instadelivery</v>
      </c>
      <c r="X3557" s="33">
        <f>IFERROR(__xludf.DUMMYFUNCTION("""COMPUTED_VALUE"""),0.6666666666666666)</f>
        <v>0.6666666667</v>
      </c>
    </row>
    <row r="3558">
      <c r="K3558" s="4" t="str">
        <f>IFERROR(__xludf.DUMMYFUNCTION("""COMPUTED_VALUE"""),"HOT FOOD CANOAS")</f>
        <v>HOT FOOD CANOAS</v>
      </c>
      <c r="L3558" s="32">
        <f>IFERROR(__xludf.DUMMYFUNCTION("""COMPUTED_VALUE"""),3.0)</f>
        <v>3</v>
      </c>
      <c r="M3558" s="4" t="str">
        <f>IFERROR(__xludf.DUMMYFUNCTION("""COMPUTED_VALUE"""),"Saipos Serviços De Software")</f>
        <v>Saipos Serviços De Software</v>
      </c>
      <c r="N3558" s="33">
        <f>IFERROR(__xludf.DUMMYFUNCTION("""COMPUTED_VALUE"""),1.0)</f>
        <v>1</v>
      </c>
      <c r="O3558" s="4" t="str">
        <f>IFERROR(__xludf.DUMMYFUNCTION("""COMPUTED_VALUE"""),"Saipos Serviços De Software")</f>
        <v>Saipos Serviços De Software</v>
      </c>
      <c r="P3558" s="33">
        <f>IFERROR(__xludf.DUMMYFUNCTION("""COMPUTED_VALUE"""),1.0)</f>
        <v>1</v>
      </c>
      <c r="Q3558" s="4" t="str">
        <f>IFERROR(__xludf.DUMMYFUNCTION("""COMPUTED_VALUE"""),"Saipos Serviços De Software")</f>
        <v>Saipos Serviços De Software</v>
      </c>
      <c r="R3558" s="33">
        <f>IFERROR(__xludf.DUMMYFUNCTION("""COMPUTED_VALUE"""),1.0)</f>
        <v>1</v>
      </c>
      <c r="S3558" s="4" t="str">
        <f>IFERROR(__xludf.DUMMYFUNCTION("""COMPUTED_VALUE"""),"Saipos Serviços De Software")</f>
        <v>Saipos Serviços De Software</v>
      </c>
      <c r="T3558" s="33">
        <f>IFERROR(__xludf.DUMMYFUNCTION("""COMPUTED_VALUE"""),1.0)</f>
        <v>1</v>
      </c>
      <c r="U3558" s="4" t="str">
        <f>IFERROR(__xludf.DUMMYFUNCTION("""COMPUTED_VALUE"""),"Saipos Serviços De Software")</f>
        <v>Saipos Serviços De Software</v>
      </c>
      <c r="V3558" s="33">
        <f>IFERROR(__xludf.DUMMYFUNCTION("""COMPUTED_VALUE"""),0.6666666666666666)</f>
        <v>0.6666666667</v>
      </c>
      <c r="W3558" s="4" t="str">
        <f>IFERROR(__xludf.DUMMYFUNCTION("""COMPUTED_VALUE"""),"Saipos Serviços De Software")</f>
        <v>Saipos Serviços De Software</v>
      </c>
      <c r="X3558" s="33">
        <f>IFERROR(__xludf.DUMMYFUNCTION("""COMPUTED_VALUE"""),0.6666666666666666)</f>
        <v>0.6666666667</v>
      </c>
    </row>
    <row r="3559">
      <c r="K3559" s="4" t="str">
        <f>IFERROR(__xludf.DUMMYFUNCTION("""COMPUTED_VALUE"""),"HOUSE HAMBURGUERIA - CONTA PAI")</f>
        <v>HOUSE HAMBURGUERIA - CONTA PAI</v>
      </c>
      <c r="L3559" s="32">
        <f>IFERROR(__xludf.DUMMYFUNCTION("""COMPUTED_VALUE"""),3.0)</f>
        <v>3</v>
      </c>
      <c r="M3559" s="4" t="str">
        <f>IFERROR(__xludf.DUMMYFUNCTION("""COMPUTED_VALUE"""),"Saipos Serviços De Software")</f>
        <v>Saipos Serviços De Software</v>
      </c>
      <c r="N3559" s="33">
        <f>IFERROR(__xludf.DUMMYFUNCTION("""COMPUTED_VALUE"""),0.6666666666666666)</f>
        <v>0.6666666667</v>
      </c>
      <c r="O3559" s="4" t="str">
        <f>IFERROR(__xludf.DUMMYFUNCTION("""COMPUTED_VALUE"""),"Saipos Serviços De Software")</f>
        <v>Saipos Serviços De Software</v>
      </c>
      <c r="P3559" s="33">
        <f>IFERROR(__xludf.DUMMYFUNCTION("""COMPUTED_VALUE"""),0.6666666666666666)</f>
        <v>0.6666666667</v>
      </c>
      <c r="Q3559" s="4" t="str">
        <f>IFERROR(__xludf.DUMMYFUNCTION("""COMPUTED_VALUE"""),"Saipos Serviços De Software")</f>
        <v>Saipos Serviços De Software</v>
      </c>
      <c r="R3559" s="33">
        <f>IFERROR(__xludf.DUMMYFUNCTION("""COMPUTED_VALUE"""),0.6666666666666666)</f>
        <v>0.6666666667</v>
      </c>
      <c r="S3559" s="4" t="str">
        <f>IFERROR(__xludf.DUMMYFUNCTION("""COMPUTED_VALUE"""),"Saipos Serviços De Software")</f>
        <v>Saipos Serviços De Software</v>
      </c>
      <c r="T3559" s="33">
        <f>IFERROR(__xludf.DUMMYFUNCTION("""COMPUTED_VALUE"""),1.0)</f>
        <v>1</v>
      </c>
      <c r="U3559" s="4" t="str">
        <f>IFERROR(__xludf.DUMMYFUNCTION("""COMPUTED_VALUE"""),"Saipos Serviços De Software")</f>
        <v>Saipos Serviços De Software</v>
      </c>
      <c r="V3559" s="33">
        <f>IFERROR(__xludf.DUMMYFUNCTION("""COMPUTED_VALUE"""),1.0)</f>
        <v>1</v>
      </c>
      <c r="W3559" s="4" t="str">
        <f>IFERROR(__xludf.DUMMYFUNCTION("""COMPUTED_VALUE"""),"Saipos Serviços De Software")</f>
        <v>Saipos Serviços De Software</v>
      </c>
      <c r="X3559" s="33">
        <f>IFERROR(__xludf.DUMMYFUNCTION("""COMPUTED_VALUE"""),1.0)</f>
        <v>1</v>
      </c>
    </row>
    <row r="3560">
      <c r="K3560" s="4" t="str">
        <f>IFERROR(__xludf.DUMMYFUNCTION("""COMPUTED_VALUE"""),"HUNTER ORIGINAL BURGUER PVH")</f>
        <v>HUNTER ORIGINAL BURGUER PVH</v>
      </c>
      <c r="L3560" s="32">
        <f>IFERROR(__xludf.DUMMYFUNCTION("""COMPUTED_VALUE"""),3.0)</f>
        <v>3</v>
      </c>
      <c r="M3560" s="4" t="str">
        <f>IFERROR(__xludf.DUMMYFUNCTION("""COMPUTED_VALUE"""),"Saipos Serviços De Software")</f>
        <v>Saipos Serviços De Software</v>
      </c>
      <c r="N3560" s="33">
        <f>IFERROR(__xludf.DUMMYFUNCTION("""COMPUTED_VALUE"""),0.6666666666666666)</f>
        <v>0.6666666667</v>
      </c>
      <c r="O3560" s="4" t="str">
        <f>IFERROR(__xludf.DUMMYFUNCTION("""COMPUTED_VALUE"""),"Saipos Serviços De Software")</f>
        <v>Saipos Serviços De Software</v>
      </c>
      <c r="P3560" s="33">
        <f>IFERROR(__xludf.DUMMYFUNCTION("""COMPUTED_VALUE"""),0.6666666666666666)</f>
        <v>0.6666666667</v>
      </c>
      <c r="Q3560" s="4" t="str">
        <f>IFERROR(__xludf.DUMMYFUNCTION("""COMPUTED_VALUE"""),"Saipos Serviços De Software")</f>
        <v>Saipos Serviços De Software</v>
      </c>
      <c r="R3560" s="33">
        <f>IFERROR(__xludf.DUMMYFUNCTION("""COMPUTED_VALUE"""),0.6666666666666666)</f>
        <v>0.6666666667</v>
      </c>
      <c r="S3560" s="4" t="str">
        <f>IFERROR(__xludf.DUMMYFUNCTION("""COMPUTED_VALUE"""),"Saipos Serviços De Software")</f>
        <v>Saipos Serviços De Software</v>
      </c>
      <c r="T3560" s="33">
        <f>IFERROR(__xludf.DUMMYFUNCTION("""COMPUTED_VALUE"""),0.6666666666666666)</f>
        <v>0.6666666667</v>
      </c>
      <c r="U3560" s="4" t="str">
        <f>IFERROR(__xludf.DUMMYFUNCTION("""COMPUTED_VALUE"""),"Saipos Serviços De Software")</f>
        <v>Saipos Serviços De Software</v>
      </c>
      <c r="V3560" s="33">
        <f>IFERROR(__xludf.DUMMYFUNCTION("""COMPUTED_VALUE"""),1.0)</f>
        <v>1</v>
      </c>
      <c r="W3560" s="4" t="str">
        <f>IFERROR(__xludf.DUMMYFUNCTION("""COMPUTED_VALUE"""),"Saipos Serviços De Software")</f>
        <v>Saipos Serviços De Software</v>
      </c>
      <c r="X3560" s="33">
        <f>IFERROR(__xludf.DUMMYFUNCTION("""COMPUTED_VALUE"""),1.0)</f>
        <v>1</v>
      </c>
    </row>
    <row r="3561">
      <c r="K3561" s="4" t="str">
        <f>IFERROR(__xludf.DUMMYFUNCTION("""COMPUTED_VALUE"""),"HWA KUO - CONTA PAI - CONTRATO")</f>
        <v>HWA KUO - CONTA PAI - CONTRATO</v>
      </c>
      <c r="L3561" s="32">
        <f>IFERROR(__xludf.DUMMYFUNCTION("""COMPUTED_VALUE"""),3.0)</f>
        <v>3</v>
      </c>
      <c r="M3561" s="4" t="str">
        <f>IFERROR(__xludf.DUMMYFUNCTION("""COMPUTED_VALUE"""),"null")</f>
        <v>null</v>
      </c>
      <c r="N3561" s="33">
        <f>IFERROR(__xludf.DUMMYFUNCTION("""COMPUTED_VALUE"""),0.6666666666666666)</f>
        <v>0.6666666667</v>
      </c>
      <c r="O3561" s="4" t="str">
        <f>IFERROR(__xludf.DUMMYFUNCTION("""COMPUTED_VALUE"""),"Ncr")</f>
        <v>Ncr</v>
      </c>
      <c r="P3561" s="33">
        <f>IFERROR(__xludf.DUMMYFUNCTION("""COMPUTED_VALUE"""),1.0)</f>
        <v>1</v>
      </c>
      <c r="Q3561" s="4" t="str">
        <f>IFERROR(__xludf.DUMMYFUNCTION("""COMPUTED_VALUE"""),"Ncr")</f>
        <v>Ncr</v>
      </c>
      <c r="R3561" s="33">
        <f>IFERROR(__xludf.DUMMYFUNCTION("""COMPUTED_VALUE"""),1.0)</f>
        <v>1</v>
      </c>
      <c r="S3561" s="4" t="str">
        <f>IFERROR(__xludf.DUMMYFUNCTION("""COMPUTED_VALUE"""),"null")</f>
        <v>null</v>
      </c>
      <c r="T3561" s="33">
        <f>IFERROR(__xludf.DUMMYFUNCTION("""COMPUTED_VALUE"""),0.6666666666666666)</f>
        <v>0.6666666667</v>
      </c>
      <c r="U3561" s="4" t="str">
        <f>IFERROR(__xludf.DUMMYFUNCTION("""COMPUTED_VALUE"""),"Ncr")</f>
        <v>Ncr</v>
      </c>
      <c r="V3561" s="33">
        <f>IFERROR(__xludf.DUMMYFUNCTION("""COMPUTED_VALUE"""),0.6666666666666666)</f>
        <v>0.6666666667</v>
      </c>
      <c r="W3561" s="4" t="str">
        <f>IFERROR(__xludf.DUMMYFUNCTION("""COMPUTED_VALUE"""),"Ncr")</f>
        <v>Ncr</v>
      </c>
      <c r="X3561" s="33">
        <f>IFERROR(__xludf.DUMMYFUNCTION("""COMPUTED_VALUE"""),0.6666666666666666)</f>
        <v>0.6666666667</v>
      </c>
    </row>
    <row r="3562">
      <c r="K3562" s="4" t="str">
        <f>IFERROR(__xludf.DUMMYFUNCTION("""COMPUTED_VALUE"""),"INVEST FARMA - CONTA PAI")</f>
        <v>INVEST FARMA - CONTA PAI</v>
      </c>
      <c r="L3562" s="32">
        <f>IFERROR(__xludf.DUMMYFUNCTION("""COMPUTED_VALUE"""),3.0)</f>
        <v>3</v>
      </c>
      <c r="M3562" s="4" t="str">
        <f>IFERROR(__xludf.DUMMYFUNCTION("""COMPUTED_VALUE"""),"N/A (Not found)")</f>
        <v>N/A (Not found)</v>
      </c>
      <c r="N3562" s="33">
        <f>IFERROR(__xludf.DUMMYFUNCTION("""COMPUTED_VALUE"""),1.0)</f>
        <v>1</v>
      </c>
      <c r="O3562" s="4" t="str">
        <f>IFERROR(__xludf.DUMMYFUNCTION("""COMPUTED_VALUE"""),"N/A (Not found)")</f>
        <v>N/A (Not found)</v>
      </c>
      <c r="P3562" s="33">
        <f>IFERROR(__xludf.DUMMYFUNCTION("""COMPUTED_VALUE"""),1.0)</f>
        <v>1</v>
      </c>
      <c r="Q3562" s="4" t="str">
        <f>IFERROR(__xludf.DUMMYFUNCTION("""COMPUTED_VALUE"""),"N/A (Not found)")</f>
        <v>N/A (Not found)</v>
      </c>
      <c r="R3562" s="33">
        <f>IFERROR(__xludf.DUMMYFUNCTION("""COMPUTED_VALUE"""),1.0)</f>
        <v>1</v>
      </c>
      <c r="S3562" s="4" t="str">
        <f>IFERROR(__xludf.DUMMYFUNCTION("""COMPUTED_VALUE"""),"N/A (Not found)")</f>
        <v>N/A (Not found)</v>
      </c>
      <c r="T3562" s="33">
        <f>IFERROR(__xludf.DUMMYFUNCTION("""COMPUTED_VALUE"""),1.0)</f>
        <v>1</v>
      </c>
      <c r="U3562" s="4" t="str">
        <f>IFERROR(__xludf.DUMMYFUNCTION("""COMPUTED_VALUE"""),"N/A (Not found)")</f>
        <v>N/A (Not found)</v>
      </c>
      <c r="V3562" s="33">
        <f>IFERROR(__xludf.DUMMYFUNCTION("""COMPUTED_VALUE"""),1.0)</f>
        <v>1</v>
      </c>
      <c r="W3562" s="4" t="str">
        <f>IFERROR(__xludf.DUMMYFUNCTION("""COMPUTED_VALUE"""),"N/A (Not found)")</f>
        <v>N/A (Not found)</v>
      </c>
      <c r="X3562" s="33">
        <f>IFERROR(__xludf.DUMMYFUNCTION("""COMPUTED_VALUE"""),1.0)</f>
        <v>1</v>
      </c>
    </row>
    <row r="3563">
      <c r="K3563" s="4" t="str">
        <f>IFERROR(__xludf.DUMMYFUNCTION("""COMPUTED_VALUE"""),"ITACHI OFICIAL - CONTA GRUPO")</f>
        <v>ITACHI OFICIAL - CONTA GRUPO</v>
      </c>
      <c r="L3563" s="32">
        <f>IFERROR(__xludf.DUMMYFUNCTION("""COMPUTED_VALUE"""),3.0)</f>
        <v>3</v>
      </c>
      <c r="M3563" s="4" t="str">
        <f>IFERROR(__xludf.DUMMYFUNCTION("""COMPUTED_VALUE"""),"Alloy Tecnologia")</f>
        <v>Alloy Tecnologia</v>
      </c>
      <c r="N3563" s="33">
        <f>IFERROR(__xludf.DUMMYFUNCTION("""COMPUTED_VALUE"""),1.0)</f>
        <v>1</v>
      </c>
      <c r="O3563" s="4" t="str">
        <f>IFERROR(__xludf.DUMMYFUNCTION("""COMPUTED_VALUE"""),"Alloy Tecnologia")</f>
        <v>Alloy Tecnologia</v>
      </c>
      <c r="P3563" s="33">
        <f>IFERROR(__xludf.DUMMYFUNCTION("""COMPUTED_VALUE"""),1.0)</f>
        <v>1</v>
      </c>
      <c r="Q3563" s="4" t="str">
        <f>IFERROR(__xludf.DUMMYFUNCTION("""COMPUTED_VALUE"""),"Alloy Tecnologia")</f>
        <v>Alloy Tecnologia</v>
      </c>
      <c r="R3563" s="33">
        <f>IFERROR(__xludf.DUMMYFUNCTION("""COMPUTED_VALUE"""),0.6666666666666666)</f>
        <v>0.6666666667</v>
      </c>
      <c r="S3563" s="4" t="str">
        <f>IFERROR(__xludf.DUMMYFUNCTION("""COMPUTED_VALUE"""),"Alloy Tecnologia")</f>
        <v>Alloy Tecnologia</v>
      </c>
      <c r="T3563" s="33">
        <f>IFERROR(__xludf.DUMMYFUNCTION("""COMPUTED_VALUE"""),1.0)</f>
        <v>1</v>
      </c>
      <c r="U3563" s="4" t="str">
        <f>IFERROR(__xludf.DUMMYFUNCTION("""COMPUTED_VALUE"""),"Alloy Tecnologia")</f>
        <v>Alloy Tecnologia</v>
      </c>
      <c r="V3563" s="33">
        <f>IFERROR(__xludf.DUMMYFUNCTION("""COMPUTED_VALUE"""),1.0)</f>
        <v>1</v>
      </c>
      <c r="W3563" s="4" t="str">
        <f>IFERROR(__xludf.DUMMYFUNCTION("""COMPUTED_VALUE"""),"Alloy Tecnologia")</f>
        <v>Alloy Tecnologia</v>
      </c>
      <c r="X3563" s="33">
        <f>IFERROR(__xludf.DUMMYFUNCTION("""COMPUTED_VALUE"""),1.0)</f>
        <v>1</v>
      </c>
    </row>
    <row r="3564">
      <c r="K3564" s="4" t="str">
        <f>IFERROR(__xludf.DUMMYFUNCTION("""COMPUTED_VALUE"""),"ITS BURGUER - HAMBURGUERIA")</f>
        <v>ITS BURGUER - HAMBURGUERIA</v>
      </c>
      <c r="L3564" s="32">
        <f>IFERROR(__xludf.DUMMYFUNCTION("""COMPUTED_VALUE"""),3.0)</f>
        <v>3</v>
      </c>
      <c r="M3564" s="4" t="str">
        <f>IFERROR(__xludf.DUMMYFUNCTION("""COMPUTED_VALUE"""),"Saipos Serviços De Software")</f>
        <v>Saipos Serviços De Software</v>
      </c>
      <c r="N3564" s="33">
        <f>IFERROR(__xludf.DUMMYFUNCTION("""COMPUTED_VALUE"""),1.0)</f>
        <v>1</v>
      </c>
      <c r="O3564" s="4" t="str">
        <f>IFERROR(__xludf.DUMMYFUNCTION("""COMPUTED_VALUE"""),"Saipos Serviços De Software")</f>
        <v>Saipos Serviços De Software</v>
      </c>
      <c r="P3564" s="33">
        <f>IFERROR(__xludf.DUMMYFUNCTION("""COMPUTED_VALUE"""),1.0)</f>
        <v>1</v>
      </c>
      <c r="Q3564" s="4" t="str">
        <f>IFERROR(__xludf.DUMMYFUNCTION("""COMPUTED_VALUE"""),"Saipos Serviços De Software")</f>
        <v>Saipos Serviços De Software</v>
      </c>
      <c r="R3564" s="33">
        <f>IFERROR(__xludf.DUMMYFUNCTION("""COMPUTED_VALUE"""),1.0)</f>
        <v>1</v>
      </c>
      <c r="S3564" s="4" t="str">
        <f>IFERROR(__xludf.DUMMYFUNCTION("""COMPUTED_VALUE"""),"Saipos Serviços De Software")</f>
        <v>Saipos Serviços De Software</v>
      </c>
      <c r="T3564" s="33">
        <f>IFERROR(__xludf.DUMMYFUNCTION("""COMPUTED_VALUE"""),1.0)</f>
        <v>1</v>
      </c>
      <c r="U3564" s="4" t="str">
        <f>IFERROR(__xludf.DUMMYFUNCTION("""COMPUTED_VALUE"""),"Saipos Serviços De Software")</f>
        <v>Saipos Serviços De Software</v>
      </c>
      <c r="V3564" s="33">
        <f>IFERROR(__xludf.DUMMYFUNCTION("""COMPUTED_VALUE"""),1.0)</f>
        <v>1</v>
      </c>
      <c r="W3564" s="4" t="str">
        <f>IFERROR(__xludf.DUMMYFUNCTION("""COMPUTED_VALUE"""),"Saipos Serviços De Software")</f>
        <v>Saipos Serviços De Software</v>
      </c>
      <c r="X3564" s="33">
        <f>IFERROR(__xludf.DUMMYFUNCTION("""COMPUTED_VALUE"""),1.0)</f>
        <v>1</v>
      </c>
    </row>
    <row r="3565">
      <c r="K3565" s="4" t="str">
        <f>IFERROR(__xludf.DUMMYFUNCTION("""COMPUTED_VALUE"""),"IZU JAPANESE")</f>
        <v>IZU JAPANESE</v>
      </c>
      <c r="L3565" s="32">
        <f>IFERROR(__xludf.DUMMYFUNCTION("""COMPUTED_VALUE"""),3.0)</f>
        <v>3</v>
      </c>
      <c r="M3565" s="4" t="str">
        <f>IFERROR(__xludf.DUMMYFUNCTION("""COMPUTED_VALUE"""),"Ncr")</f>
        <v>Ncr</v>
      </c>
      <c r="N3565" s="33">
        <f>IFERROR(__xludf.DUMMYFUNCTION("""COMPUTED_VALUE"""),1.0)</f>
        <v>1</v>
      </c>
      <c r="O3565" s="4" t="str">
        <f>IFERROR(__xludf.DUMMYFUNCTION("""COMPUTED_VALUE"""),"Ncr")</f>
        <v>Ncr</v>
      </c>
      <c r="P3565" s="33">
        <f>IFERROR(__xludf.DUMMYFUNCTION("""COMPUTED_VALUE"""),0.6666666666666666)</f>
        <v>0.6666666667</v>
      </c>
      <c r="Q3565" s="4" t="str">
        <f>IFERROR(__xludf.DUMMYFUNCTION("""COMPUTED_VALUE"""),"Lad Sistemas")</f>
        <v>Lad Sistemas</v>
      </c>
      <c r="R3565" s="33">
        <f>IFERROR(__xludf.DUMMYFUNCTION("""COMPUTED_VALUE"""),0.6666666666666666)</f>
        <v>0.6666666667</v>
      </c>
      <c r="S3565" s="4" t="str">
        <f>IFERROR(__xludf.DUMMYFUNCTION("""COMPUTED_VALUE"""),"Lad Sistemas")</f>
        <v>Lad Sistemas</v>
      </c>
      <c r="T3565" s="33">
        <f>IFERROR(__xludf.DUMMYFUNCTION("""COMPUTED_VALUE"""),0.6666666666666666)</f>
        <v>0.6666666667</v>
      </c>
      <c r="U3565" s="4" t="str">
        <f>IFERROR(__xludf.DUMMYFUNCTION("""COMPUTED_VALUE"""),"Lad Sistemas")</f>
        <v>Lad Sistemas</v>
      </c>
      <c r="V3565" s="33">
        <f>IFERROR(__xludf.DUMMYFUNCTION("""COMPUTED_VALUE"""),0.6666666666666666)</f>
        <v>0.6666666667</v>
      </c>
      <c r="W3565" s="4" t="str">
        <f>IFERROR(__xludf.DUMMYFUNCTION("""COMPUTED_VALUE"""),"Lad Sistemas")</f>
        <v>Lad Sistemas</v>
      </c>
      <c r="X3565" s="33">
        <f>IFERROR(__xludf.DUMMYFUNCTION("""COMPUTED_VALUE"""),0.6666666666666666)</f>
        <v>0.6666666667</v>
      </c>
    </row>
    <row r="3566">
      <c r="K3566" s="4" t="str">
        <f>IFERROR(__xludf.DUMMYFUNCTION("""COMPUTED_VALUE"""),"JACK BULLS - PATOS DE MINAS")</f>
        <v>JACK BULLS - PATOS DE MINAS</v>
      </c>
      <c r="L3566" s="32">
        <f>IFERROR(__xludf.DUMMYFUNCTION("""COMPUTED_VALUE"""),3.0)</f>
        <v>3</v>
      </c>
      <c r="M3566" s="4" t="str">
        <f>IFERROR(__xludf.DUMMYFUNCTION("""COMPUTED_VALUE"""),"null")</f>
        <v>null</v>
      </c>
      <c r="N3566" s="33">
        <f>IFERROR(__xludf.DUMMYFUNCTION("""COMPUTED_VALUE"""),0.6666666666666666)</f>
        <v>0.6666666667</v>
      </c>
      <c r="O3566" s="4" t="str">
        <f>IFERROR(__xludf.DUMMYFUNCTION("""COMPUTED_VALUE"""),"Cardápio Web")</f>
        <v>Cardápio Web</v>
      </c>
      <c r="P3566" s="33">
        <f>IFERROR(__xludf.DUMMYFUNCTION("""COMPUTED_VALUE"""),0.6666666666666666)</f>
        <v>0.6666666667</v>
      </c>
      <c r="Q3566" s="4" t="str">
        <f>IFERROR(__xludf.DUMMYFUNCTION("""COMPUTED_VALUE"""),"Cardápio Web")</f>
        <v>Cardápio Web</v>
      </c>
      <c r="R3566" s="33">
        <f>IFERROR(__xludf.DUMMYFUNCTION("""COMPUTED_VALUE"""),1.0)</f>
        <v>1</v>
      </c>
      <c r="S3566" s="4" t="str">
        <f>IFERROR(__xludf.DUMMYFUNCTION("""COMPUTED_VALUE"""),"Cardápio Web")</f>
        <v>Cardápio Web</v>
      </c>
      <c r="T3566" s="33">
        <f>IFERROR(__xludf.DUMMYFUNCTION("""COMPUTED_VALUE"""),1.0)</f>
        <v>1</v>
      </c>
      <c r="U3566" s="4" t="str">
        <f>IFERROR(__xludf.DUMMYFUNCTION("""COMPUTED_VALUE"""),"Cardápio Web")</f>
        <v>Cardápio Web</v>
      </c>
      <c r="V3566" s="33">
        <f>IFERROR(__xludf.DUMMYFUNCTION("""COMPUTED_VALUE"""),1.0)</f>
        <v>1</v>
      </c>
      <c r="W3566" s="4" t="str">
        <f>IFERROR(__xludf.DUMMYFUNCTION("""COMPUTED_VALUE"""),"Cardápio Web")</f>
        <v>Cardápio Web</v>
      </c>
      <c r="X3566" s="33">
        <f>IFERROR(__xludf.DUMMYFUNCTION("""COMPUTED_VALUE"""),1.0)</f>
        <v>1</v>
      </c>
    </row>
    <row r="3567">
      <c r="K3567" s="4" t="str">
        <f>IFERROR(__xludf.DUMMYFUNCTION("""COMPUTED_VALUE"""),"JAFFAR - CONTA PAI")</f>
        <v>JAFFAR - CONTA PAI</v>
      </c>
      <c r="L3567" s="32">
        <f>IFERROR(__xludf.DUMMYFUNCTION("""COMPUTED_VALUE"""),3.0)</f>
        <v>3</v>
      </c>
      <c r="M3567" s="4" t="str">
        <f>IFERROR(__xludf.DUMMYFUNCTION("""COMPUTED_VALUE"""),"null")</f>
        <v>null</v>
      </c>
      <c r="N3567" s="33">
        <f>IFERROR(__xludf.DUMMYFUNCTION("""COMPUTED_VALUE"""),0.6666666666666666)</f>
        <v>0.6666666667</v>
      </c>
      <c r="O3567" s="4" t="str">
        <f>IFERROR(__xludf.DUMMYFUNCTION("""COMPUTED_VALUE"""),"Dalcatech Automacao E Desenvolvimento De Software Ltda")</f>
        <v>Dalcatech Automacao E Desenvolvimento De Software Ltda</v>
      </c>
      <c r="P3567" s="33">
        <f>IFERROR(__xludf.DUMMYFUNCTION("""COMPUTED_VALUE"""),0.3333333333333333)</f>
        <v>0.3333333333</v>
      </c>
      <c r="Q3567" s="4" t="str">
        <f>IFERROR(__xludf.DUMMYFUNCTION("""COMPUTED_VALUE"""),"Dalcatech Automacao E Desenvolvimento De Software Ltda")</f>
        <v>Dalcatech Automacao E Desenvolvimento De Software Ltda</v>
      </c>
      <c r="R3567" s="33">
        <f>IFERROR(__xludf.DUMMYFUNCTION("""COMPUTED_VALUE"""),0.3333333333333333)</f>
        <v>0.3333333333</v>
      </c>
      <c r="S3567" s="4" t="str">
        <f>IFERROR(__xludf.DUMMYFUNCTION("""COMPUTED_VALUE"""),"Dalcatech Automacao E Desenvolvimento De Software Ltda")</f>
        <v>Dalcatech Automacao E Desenvolvimento De Software Ltda</v>
      </c>
      <c r="T3567" s="33">
        <f>IFERROR(__xludf.DUMMYFUNCTION("""COMPUTED_VALUE"""),0.3333333333333333)</f>
        <v>0.3333333333</v>
      </c>
      <c r="U3567" s="4" t="str">
        <f>IFERROR(__xludf.DUMMYFUNCTION("""COMPUTED_VALUE"""),"Dalcatech Automacao E Desenvolvimento De Software Ltda")</f>
        <v>Dalcatech Automacao E Desenvolvimento De Software Ltda</v>
      </c>
      <c r="V3567" s="33">
        <f>IFERROR(__xludf.DUMMYFUNCTION("""COMPUTED_VALUE"""),0.3333333333333333)</f>
        <v>0.3333333333</v>
      </c>
      <c r="W3567" s="4" t="str">
        <f>IFERROR(__xludf.DUMMYFUNCTION("""COMPUTED_VALUE"""),"Dalcatech Automacao E Desenvolvimento De Software Ltda")</f>
        <v>Dalcatech Automacao E Desenvolvimento De Software Ltda</v>
      </c>
      <c r="X3567" s="33">
        <f>IFERROR(__xludf.DUMMYFUNCTION("""COMPUTED_VALUE"""),0.3333333333333333)</f>
        <v>0.3333333333</v>
      </c>
    </row>
    <row r="3568">
      <c r="K3568" s="4" t="str">
        <f>IFERROR(__xludf.DUMMYFUNCTION("""COMPUTED_VALUE"""),"JAMBOM CONTA PAI")</f>
        <v>JAMBOM CONTA PAI</v>
      </c>
      <c r="L3568" s="32">
        <f>IFERROR(__xludf.DUMMYFUNCTION("""COMPUTED_VALUE"""),3.0)</f>
        <v>3</v>
      </c>
      <c r="M3568" s="4" t="str">
        <f>IFERROR(__xludf.DUMMYFUNCTION("""COMPUTED_VALUE"""),"Saipos Serviços De Software")</f>
        <v>Saipos Serviços De Software</v>
      </c>
      <c r="N3568" s="33">
        <f>IFERROR(__xludf.DUMMYFUNCTION("""COMPUTED_VALUE"""),1.0)</f>
        <v>1</v>
      </c>
      <c r="O3568" s="4" t="str">
        <f>IFERROR(__xludf.DUMMYFUNCTION("""COMPUTED_VALUE"""),"Saipos Serviços De Software")</f>
        <v>Saipos Serviços De Software</v>
      </c>
      <c r="P3568" s="33">
        <f>IFERROR(__xludf.DUMMYFUNCTION("""COMPUTED_VALUE"""),1.0)</f>
        <v>1</v>
      </c>
      <c r="Q3568" s="4" t="str">
        <f>IFERROR(__xludf.DUMMYFUNCTION("""COMPUTED_VALUE"""),"Saipos Serviços De Software")</f>
        <v>Saipos Serviços De Software</v>
      </c>
      <c r="R3568" s="33">
        <f>IFERROR(__xludf.DUMMYFUNCTION("""COMPUTED_VALUE"""),1.0)</f>
        <v>1</v>
      </c>
      <c r="S3568" s="4" t="str">
        <f>IFERROR(__xludf.DUMMYFUNCTION("""COMPUTED_VALUE"""),"Saipos Serviços De Software")</f>
        <v>Saipos Serviços De Software</v>
      </c>
      <c r="T3568" s="33">
        <f>IFERROR(__xludf.DUMMYFUNCTION("""COMPUTED_VALUE"""),1.0)</f>
        <v>1</v>
      </c>
      <c r="U3568" s="4" t="str">
        <f>IFERROR(__xludf.DUMMYFUNCTION("""COMPUTED_VALUE"""),"Saipos Serviços De Software")</f>
        <v>Saipos Serviços De Software</v>
      </c>
      <c r="V3568" s="33">
        <f>IFERROR(__xludf.DUMMYFUNCTION("""COMPUTED_VALUE"""),1.0)</f>
        <v>1</v>
      </c>
      <c r="W3568" s="4" t="str">
        <f>IFERROR(__xludf.DUMMYFUNCTION("""COMPUTED_VALUE"""),"Saipos Serviços De Software")</f>
        <v>Saipos Serviços De Software</v>
      </c>
      <c r="X3568" s="33">
        <f>IFERROR(__xludf.DUMMYFUNCTION("""COMPUTED_VALUE"""),1.0)</f>
        <v>1</v>
      </c>
    </row>
    <row r="3569">
      <c r="K3569" s="4" t="str">
        <f>IFERROR(__xludf.DUMMYFUNCTION("""COMPUTED_VALUE"""),"JANELA - CP")</f>
        <v>JANELA - CP</v>
      </c>
      <c r="L3569" s="32">
        <f>IFERROR(__xludf.DUMMYFUNCTION("""COMPUTED_VALUE"""),3.0)</f>
        <v>3</v>
      </c>
      <c r="M3569" s="4" t="str">
        <f>IFERROR(__xludf.DUMMYFUNCTION("""COMPUTED_VALUE"""),"Alpha Logo")</f>
        <v>Alpha Logo</v>
      </c>
      <c r="N3569" s="33">
        <f>IFERROR(__xludf.DUMMYFUNCTION("""COMPUTED_VALUE"""),1.0)</f>
        <v>1</v>
      </c>
      <c r="O3569" s="4" t="str">
        <f>IFERROR(__xludf.DUMMYFUNCTION("""COMPUTED_VALUE"""),"Alpha Logo")</f>
        <v>Alpha Logo</v>
      </c>
      <c r="P3569" s="33">
        <f>IFERROR(__xludf.DUMMYFUNCTION("""COMPUTED_VALUE"""),1.0)</f>
        <v>1</v>
      </c>
      <c r="Q3569" s="4" t="str">
        <f>IFERROR(__xludf.DUMMYFUNCTION("""COMPUTED_VALUE"""),"Alpha Logo")</f>
        <v>Alpha Logo</v>
      </c>
      <c r="R3569" s="33">
        <f>IFERROR(__xludf.DUMMYFUNCTION("""COMPUTED_VALUE"""),1.0)</f>
        <v>1</v>
      </c>
      <c r="S3569" s="4" t="str">
        <f>IFERROR(__xludf.DUMMYFUNCTION("""COMPUTED_VALUE"""),"Alpha Logo")</f>
        <v>Alpha Logo</v>
      </c>
      <c r="T3569" s="33">
        <f>IFERROR(__xludf.DUMMYFUNCTION("""COMPUTED_VALUE"""),1.0)</f>
        <v>1</v>
      </c>
      <c r="U3569" s="4" t="str">
        <f>IFERROR(__xludf.DUMMYFUNCTION("""COMPUTED_VALUE"""),"Alpha Logo")</f>
        <v>Alpha Logo</v>
      </c>
      <c r="V3569" s="33">
        <f>IFERROR(__xludf.DUMMYFUNCTION("""COMPUTED_VALUE"""),1.0)</f>
        <v>1</v>
      </c>
      <c r="W3569" s="4" t="str">
        <f>IFERROR(__xludf.DUMMYFUNCTION("""COMPUTED_VALUE"""),"Alpha Logo")</f>
        <v>Alpha Logo</v>
      </c>
      <c r="X3569" s="33">
        <f>IFERROR(__xludf.DUMMYFUNCTION("""COMPUTED_VALUE"""),1.0)</f>
        <v>1</v>
      </c>
    </row>
    <row r="3570">
      <c r="K3570" s="4" t="str">
        <f>IFERROR(__xludf.DUMMYFUNCTION("""COMPUTED_VALUE"""),"JAPA IN PUB CONTA MARCA")</f>
        <v>JAPA IN PUB CONTA MARCA</v>
      </c>
      <c r="L3570" s="32">
        <f>IFERROR(__xludf.DUMMYFUNCTION("""COMPUTED_VALUE"""),3.0)</f>
        <v>3</v>
      </c>
      <c r="M3570" s="4" t="str">
        <f>IFERROR(__xludf.DUMMYFUNCTION("""COMPUTED_VALUE"""),"null")</f>
        <v>null</v>
      </c>
      <c r="N3570" s="33">
        <f>IFERROR(__xludf.DUMMYFUNCTION("""COMPUTED_VALUE"""),1.0)</f>
        <v>1</v>
      </c>
      <c r="O3570" s="4" t="str">
        <f>IFERROR(__xludf.DUMMYFUNCTION("""COMPUTED_VALUE"""),"null")</f>
        <v>null</v>
      </c>
      <c r="P3570" s="33">
        <f>IFERROR(__xludf.DUMMYFUNCTION("""COMPUTED_VALUE"""),1.0)</f>
        <v>1</v>
      </c>
      <c r="Q3570" s="4" t="str">
        <f>IFERROR(__xludf.DUMMYFUNCTION("""COMPUTED_VALUE"""),"null")</f>
        <v>null</v>
      </c>
      <c r="R3570" s="33">
        <f>IFERROR(__xludf.DUMMYFUNCTION("""COMPUTED_VALUE"""),1.0)</f>
        <v>1</v>
      </c>
      <c r="S3570" s="4" t="str">
        <f>IFERROR(__xludf.DUMMYFUNCTION("""COMPUTED_VALUE"""),"Saipos Serviços De Software")</f>
        <v>Saipos Serviços De Software</v>
      </c>
      <c r="T3570" s="33">
        <f>IFERROR(__xludf.DUMMYFUNCTION("""COMPUTED_VALUE"""),1.0)</f>
        <v>1</v>
      </c>
      <c r="U3570" s="4" t="str">
        <f>IFERROR(__xludf.DUMMYFUNCTION("""COMPUTED_VALUE"""),"Saipos Serviços De Software")</f>
        <v>Saipos Serviços De Software</v>
      </c>
      <c r="V3570" s="33">
        <f>IFERROR(__xludf.DUMMYFUNCTION("""COMPUTED_VALUE"""),1.0)</f>
        <v>1</v>
      </c>
      <c r="W3570" s="4" t="str">
        <f>IFERROR(__xludf.DUMMYFUNCTION("""COMPUTED_VALUE"""),"Saipos Serviços De Software")</f>
        <v>Saipos Serviços De Software</v>
      </c>
      <c r="X3570" s="33">
        <f>IFERROR(__xludf.DUMMYFUNCTION("""COMPUTED_VALUE"""),1.0)</f>
        <v>1</v>
      </c>
    </row>
    <row r="3571">
      <c r="K3571" s="4" t="str">
        <f>IFERROR(__xludf.DUMMYFUNCTION("""COMPUTED_VALUE"""),"JAPA NIGHT")</f>
        <v>JAPA NIGHT</v>
      </c>
      <c r="L3571" s="32">
        <f>IFERROR(__xludf.DUMMYFUNCTION("""COMPUTED_VALUE"""),3.0)</f>
        <v>3</v>
      </c>
      <c r="M3571" s="4" t="str">
        <f>IFERROR(__xludf.DUMMYFUNCTION("""COMPUTED_VALUE"""),"Saipos Serviços De Software")</f>
        <v>Saipos Serviços De Software</v>
      </c>
      <c r="N3571" s="33">
        <f>IFERROR(__xludf.DUMMYFUNCTION("""COMPUTED_VALUE"""),1.0)</f>
        <v>1</v>
      </c>
      <c r="O3571" s="4" t="str">
        <f>IFERROR(__xludf.DUMMYFUNCTION("""COMPUTED_VALUE"""),"Saipos Serviços De Software")</f>
        <v>Saipos Serviços De Software</v>
      </c>
      <c r="P3571" s="33">
        <f>IFERROR(__xludf.DUMMYFUNCTION("""COMPUTED_VALUE"""),1.0)</f>
        <v>1</v>
      </c>
      <c r="Q3571" s="4" t="str">
        <f>IFERROR(__xludf.DUMMYFUNCTION("""COMPUTED_VALUE"""),"Saipos Serviços De Software")</f>
        <v>Saipos Serviços De Software</v>
      </c>
      <c r="R3571" s="33">
        <f>IFERROR(__xludf.DUMMYFUNCTION("""COMPUTED_VALUE"""),1.0)</f>
        <v>1</v>
      </c>
      <c r="S3571" s="4" t="str">
        <f>IFERROR(__xludf.DUMMYFUNCTION("""COMPUTED_VALUE"""),"Saipos Serviços De Software")</f>
        <v>Saipos Serviços De Software</v>
      </c>
      <c r="T3571" s="33">
        <f>IFERROR(__xludf.DUMMYFUNCTION("""COMPUTED_VALUE"""),1.0)</f>
        <v>1</v>
      </c>
      <c r="U3571" s="4" t="str">
        <f>IFERROR(__xludf.DUMMYFUNCTION("""COMPUTED_VALUE"""),"Saipos Serviços De Software")</f>
        <v>Saipos Serviços De Software</v>
      </c>
      <c r="V3571" s="33">
        <f>IFERROR(__xludf.DUMMYFUNCTION("""COMPUTED_VALUE"""),1.0)</f>
        <v>1</v>
      </c>
      <c r="W3571" s="4" t="str">
        <f>IFERROR(__xludf.DUMMYFUNCTION("""COMPUTED_VALUE"""),"Saipos Serviços De Software")</f>
        <v>Saipos Serviços De Software</v>
      </c>
      <c r="X3571" s="33">
        <f>IFERROR(__xludf.DUMMYFUNCTION("""COMPUTED_VALUE"""),1.0)</f>
        <v>1</v>
      </c>
    </row>
    <row r="3572">
      <c r="K3572" s="4" t="str">
        <f>IFERROR(__xludf.DUMMYFUNCTION("""COMPUTED_VALUE"""),"JAPAIXONADOS SUSHI DELIVERY")</f>
        <v>JAPAIXONADOS SUSHI DELIVERY</v>
      </c>
      <c r="L3572" s="32">
        <f>IFERROR(__xludf.DUMMYFUNCTION("""COMPUTED_VALUE"""),3.0)</f>
        <v>3</v>
      </c>
      <c r="M3572" s="4" t="str">
        <f>IFERROR(__xludf.DUMMYFUNCTION("""COMPUTED_VALUE"""),"Yooga")</f>
        <v>Yooga</v>
      </c>
      <c r="N3572" s="33">
        <f>IFERROR(__xludf.DUMMYFUNCTION("""COMPUTED_VALUE"""),1.0)</f>
        <v>1</v>
      </c>
      <c r="O3572" s="4" t="str">
        <f>IFERROR(__xludf.DUMMYFUNCTION("""COMPUTED_VALUE"""),"Yooga")</f>
        <v>Yooga</v>
      </c>
      <c r="P3572" s="33">
        <f>IFERROR(__xludf.DUMMYFUNCTION("""COMPUTED_VALUE"""),1.0)</f>
        <v>1</v>
      </c>
      <c r="Q3572" s="4" t="str">
        <f>IFERROR(__xludf.DUMMYFUNCTION("""COMPUTED_VALUE"""),"Yooga")</f>
        <v>Yooga</v>
      </c>
      <c r="R3572" s="33">
        <f>IFERROR(__xludf.DUMMYFUNCTION("""COMPUTED_VALUE"""),0.6666666666666666)</f>
        <v>0.6666666667</v>
      </c>
      <c r="S3572" s="4" t="str">
        <f>IFERROR(__xludf.DUMMYFUNCTION("""COMPUTED_VALUE"""),"Yooga")</f>
        <v>Yooga</v>
      </c>
      <c r="T3572" s="33">
        <f>IFERROR(__xludf.DUMMYFUNCTION("""COMPUTED_VALUE"""),0.6666666666666666)</f>
        <v>0.6666666667</v>
      </c>
      <c r="U3572" s="4" t="str">
        <f>IFERROR(__xludf.DUMMYFUNCTION("""COMPUTED_VALUE"""),"Yooga")</f>
        <v>Yooga</v>
      </c>
      <c r="V3572" s="33">
        <f>IFERROR(__xludf.DUMMYFUNCTION("""COMPUTED_VALUE"""),1.0)</f>
        <v>1</v>
      </c>
      <c r="W3572" s="4" t="str">
        <f>IFERROR(__xludf.DUMMYFUNCTION("""COMPUTED_VALUE"""),"Yooga")</f>
        <v>Yooga</v>
      </c>
      <c r="X3572" s="33">
        <f>IFERROR(__xludf.DUMMYFUNCTION("""COMPUTED_VALUE"""),1.0)</f>
        <v>1</v>
      </c>
    </row>
    <row r="3573">
      <c r="K3573" s="4" t="str">
        <f>IFERROR(__xludf.DUMMYFUNCTION("""COMPUTED_VALUE"""),"JARDIM CAFETERIA")</f>
        <v>JARDIM CAFETERIA</v>
      </c>
      <c r="L3573" s="32">
        <f>IFERROR(__xludf.DUMMYFUNCTION("""COMPUTED_VALUE"""),3.0)</f>
        <v>3</v>
      </c>
      <c r="M3573" s="4" t="str">
        <f>IFERROR(__xludf.DUMMYFUNCTION("""COMPUTED_VALUE"""),"Saipos Serviços De Software")</f>
        <v>Saipos Serviços De Software</v>
      </c>
      <c r="N3573" s="33">
        <f>IFERROR(__xludf.DUMMYFUNCTION("""COMPUTED_VALUE"""),1.0)</f>
        <v>1</v>
      </c>
      <c r="O3573" s="4" t="str">
        <f>IFERROR(__xludf.DUMMYFUNCTION("""COMPUTED_VALUE"""),"Saipos Serviços De Software")</f>
        <v>Saipos Serviços De Software</v>
      </c>
      <c r="P3573" s="33">
        <f>IFERROR(__xludf.DUMMYFUNCTION("""COMPUTED_VALUE"""),1.0)</f>
        <v>1</v>
      </c>
      <c r="Q3573" s="4" t="str">
        <f>IFERROR(__xludf.DUMMYFUNCTION("""COMPUTED_VALUE"""),"Saipos Serviços De Software")</f>
        <v>Saipos Serviços De Software</v>
      </c>
      <c r="R3573" s="33">
        <f>IFERROR(__xludf.DUMMYFUNCTION("""COMPUTED_VALUE"""),1.0)</f>
        <v>1</v>
      </c>
      <c r="S3573" s="4" t="str">
        <f>IFERROR(__xludf.DUMMYFUNCTION("""COMPUTED_VALUE"""),"Saipos Serviços De Software")</f>
        <v>Saipos Serviços De Software</v>
      </c>
      <c r="T3573" s="33">
        <f>IFERROR(__xludf.DUMMYFUNCTION("""COMPUTED_VALUE"""),1.0)</f>
        <v>1</v>
      </c>
      <c r="U3573" s="4" t="str">
        <f>IFERROR(__xludf.DUMMYFUNCTION("""COMPUTED_VALUE"""),"Saipos Serviços De Software")</f>
        <v>Saipos Serviços De Software</v>
      </c>
      <c r="V3573" s="33">
        <f>IFERROR(__xludf.DUMMYFUNCTION("""COMPUTED_VALUE"""),1.0)</f>
        <v>1</v>
      </c>
      <c r="W3573" s="4" t="str">
        <f>IFERROR(__xludf.DUMMYFUNCTION("""COMPUTED_VALUE"""),"Saipos Serviços De Software")</f>
        <v>Saipos Serviços De Software</v>
      </c>
      <c r="X3573" s="33">
        <f>IFERROR(__xludf.DUMMYFUNCTION("""COMPUTED_VALUE"""),1.0)</f>
        <v>1</v>
      </c>
    </row>
    <row r="3574">
      <c r="K3574" s="4" t="str">
        <f>IFERROR(__xludf.DUMMYFUNCTION("""COMPUTED_VALUE"""),"JHOWS PASTEIS - UBERLANDIA")</f>
        <v>JHOWS PASTEIS - UBERLANDIA</v>
      </c>
      <c r="L3574" s="32">
        <f>IFERROR(__xludf.DUMMYFUNCTION("""COMPUTED_VALUE"""),3.0)</f>
        <v>3</v>
      </c>
      <c r="M3574" s="4" t="str">
        <f>IFERROR(__xludf.DUMMYFUNCTION("""COMPUTED_VALUE"""),"Saipos Serviços De Software")</f>
        <v>Saipos Serviços De Software</v>
      </c>
      <c r="N3574" s="33">
        <f>IFERROR(__xludf.DUMMYFUNCTION("""COMPUTED_VALUE"""),1.0)</f>
        <v>1</v>
      </c>
      <c r="O3574" s="4" t="str">
        <f>IFERROR(__xludf.DUMMYFUNCTION("""COMPUTED_VALUE"""),"Saipos Serviços De Software")</f>
        <v>Saipos Serviços De Software</v>
      </c>
      <c r="P3574" s="33">
        <f>IFERROR(__xludf.DUMMYFUNCTION("""COMPUTED_VALUE"""),1.0)</f>
        <v>1</v>
      </c>
      <c r="Q3574" s="4" t="str">
        <f>IFERROR(__xludf.DUMMYFUNCTION("""COMPUTED_VALUE"""),"Saipos Serviços De Software")</f>
        <v>Saipos Serviços De Software</v>
      </c>
      <c r="R3574" s="33">
        <f>IFERROR(__xludf.DUMMYFUNCTION("""COMPUTED_VALUE"""),1.0)</f>
        <v>1</v>
      </c>
      <c r="S3574" s="4" t="str">
        <f>IFERROR(__xludf.DUMMYFUNCTION("""COMPUTED_VALUE"""),"Saipos Serviços De Software")</f>
        <v>Saipos Serviços De Software</v>
      </c>
      <c r="T3574" s="33">
        <f>IFERROR(__xludf.DUMMYFUNCTION("""COMPUTED_VALUE"""),1.0)</f>
        <v>1</v>
      </c>
      <c r="U3574" s="4" t="str">
        <f>IFERROR(__xludf.DUMMYFUNCTION("""COMPUTED_VALUE"""),"Saipos Serviços De Software")</f>
        <v>Saipos Serviços De Software</v>
      </c>
      <c r="V3574" s="33">
        <f>IFERROR(__xludf.DUMMYFUNCTION("""COMPUTED_VALUE"""),1.0)</f>
        <v>1</v>
      </c>
      <c r="W3574" s="4" t="str">
        <f>IFERROR(__xludf.DUMMYFUNCTION("""COMPUTED_VALUE"""),"Saipos Serviços De Software")</f>
        <v>Saipos Serviços De Software</v>
      </c>
      <c r="X3574" s="33">
        <f>IFERROR(__xludf.DUMMYFUNCTION("""COMPUTED_VALUE"""),1.0)</f>
        <v>1</v>
      </c>
    </row>
    <row r="3575">
      <c r="K3575" s="4" t="str">
        <f>IFERROR(__xludf.DUMMYFUNCTION("""COMPUTED_VALUE"""),"JJ REI DO CENTRO - MANAUS")</f>
        <v>JJ REI DO CENTRO - MANAUS</v>
      </c>
      <c r="L3575" s="32">
        <f>IFERROR(__xludf.DUMMYFUNCTION("""COMPUTED_VALUE"""),3.0)</f>
        <v>3</v>
      </c>
      <c r="M3575" s="4" t="str">
        <f>IFERROR(__xludf.DUMMYFUNCTION("""COMPUTED_VALUE"""),"Saipos Serviços De Software")</f>
        <v>Saipos Serviços De Software</v>
      </c>
      <c r="N3575" s="33">
        <f>IFERROR(__xludf.DUMMYFUNCTION("""COMPUTED_VALUE"""),0.6666666666666666)</f>
        <v>0.6666666667</v>
      </c>
      <c r="O3575" s="4" t="str">
        <f>IFERROR(__xludf.DUMMYFUNCTION("""COMPUTED_VALUE"""),"Saipos Serviços De Software")</f>
        <v>Saipos Serviços De Software</v>
      </c>
      <c r="P3575" s="33">
        <f>IFERROR(__xludf.DUMMYFUNCTION("""COMPUTED_VALUE"""),1.0)</f>
        <v>1</v>
      </c>
      <c r="Q3575" s="4" t="str">
        <f>IFERROR(__xludf.DUMMYFUNCTION("""COMPUTED_VALUE"""),"Saipos Serviços De Software")</f>
        <v>Saipos Serviços De Software</v>
      </c>
      <c r="R3575" s="33">
        <f>IFERROR(__xludf.DUMMYFUNCTION("""COMPUTED_VALUE"""),1.0)</f>
        <v>1</v>
      </c>
      <c r="S3575" s="4" t="str">
        <f>IFERROR(__xludf.DUMMYFUNCTION("""COMPUTED_VALUE"""),"Saipos Serviços De Software")</f>
        <v>Saipos Serviços De Software</v>
      </c>
      <c r="T3575" s="33">
        <f>IFERROR(__xludf.DUMMYFUNCTION("""COMPUTED_VALUE"""),0.6666666666666666)</f>
        <v>0.6666666667</v>
      </c>
      <c r="U3575" s="4" t="str">
        <f>IFERROR(__xludf.DUMMYFUNCTION("""COMPUTED_VALUE"""),"Saipos Serviços De Software")</f>
        <v>Saipos Serviços De Software</v>
      </c>
      <c r="V3575" s="33">
        <f>IFERROR(__xludf.DUMMYFUNCTION("""COMPUTED_VALUE"""),0.6666666666666666)</f>
        <v>0.6666666667</v>
      </c>
      <c r="W3575" s="4" t="str">
        <f>IFERROR(__xludf.DUMMYFUNCTION("""COMPUTED_VALUE"""),"Saipos Serviços De Software")</f>
        <v>Saipos Serviços De Software</v>
      </c>
      <c r="X3575" s="33">
        <f>IFERROR(__xludf.DUMMYFUNCTION("""COMPUTED_VALUE"""),0.6666666666666666)</f>
        <v>0.6666666667</v>
      </c>
    </row>
    <row r="3576">
      <c r="K3576" s="4" t="str">
        <f>IFERROR(__xludf.DUMMYFUNCTION("""COMPUTED_VALUE"""),"JO PIZZARIA E ESFIHARIA")</f>
        <v>JO PIZZARIA E ESFIHARIA</v>
      </c>
      <c r="L3576" s="32">
        <f>IFERROR(__xludf.DUMMYFUNCTION("""COMPUTED_VALUE"""),3.0)</f>
        <v>3</v>
      </c>
      <c r="M3576" s="4" t="str">
        <f>IFERROR(__xludf.DUMMYFUNCTION("""COMPUTED_VALUE"""),"Premio Sistemas Ltda")</f>
        <v>Premio Sistemas Ltda</v>
      </c>
      <c r="N3576" s="33">
        <f>IFERROR(__xludf.DUMMYFUNCTION("""COMPUTED_VALUE"""),1.0)</f>
        <v>1</v>
      </c>
      <c r="O3576" s="4" t="str">
        <f>IFERROR(__xludf.DUMMYFUNCTION("""COMPUTED_VALUE"""),"Premio Sistemas Ltda")</f>
        <v>Premio Sistemas Ltda</v>
      </c>
      <c r="P3576" s="33">
        <f>IFERROR(__xludf.DUMMYFUNCTION("""COMPUTED_VALUE"""),1.0)</f>
        <v>1</v>
      </c>
      <c r="Q3576" s="4" t="str">
        <f>IFERROR(__xludf.DUMMYFUNCTION("""COMPUTED_VALUE"""),"Premio Sistemas Ltda")</f>
        <v>Premio Sistemas Ltda</v>
      </c>
      <c r="R3576" s="33">
        <f>IFERROR(__xludf.DUMMYFUNCTION("""COMPUTED_VALUE"""),1.0)</f>
        <v>1</v>
      </c>
      <c r="S3576" s="4" t="str">
        <f>IFERROR(__xludf.DUMMYFUNCTION("""COMPUTED_VALUE"""),"Premio Sistemas Ltda")</f>
        <v>Premio Sistemas Ltda</v>
      </c>
      <c r="T3576" s="33">
        <f>IFERROR(__xludf.DUMMYFUNCTION("""COMPUTED_VALUE"""),1.0)</f>
        <v>1</v>
      </c>
      <c r="U3576" s="4" t="str">
        <f>IFERROR(__xludf.DUMMYFUNCTION("""COMPUTED_VALUE"""),"Premio Sistemas Ltda")</f>
        <v>Premio Sistemas Ltda</v>
      </c>
      <c r="V3576" s="33">
        <f>IFERROR(__xludf.DUMMYFUNCTION("""COMPUTED_VALUE"""),0.6666666666666666)</f>
        <v>0.6666666667</v>
      </c>
      <c r="W3576" s="4" t="str">
        <f>IFERROR(__xludf.DUMMYFUNCTION("""COMPUTED_VALUE"""),"Premio Sistemas Ltda")</f>
        <v>Premio Sistemas Ltda</v>
      </c>
      <c r="X3576" s="33">
        <f>IFERROR(__xludf.DUMMYFUNCTION("""COMPUTED_VALUE"""),1.0)</f>
        <v>1</v>
      </c>
    </row>
    <row r="3577">
      <c r="K3577" s="4" t="str">
        <f>IFERROR(__xludf.DUMMYFUNCTION("""COMPUTED_VALUE"""),"JOES BURGUER GUARA CO")</f>
        <v>JOES BURGUER GUARA CO</v>
      </c>
      <c r="L3577" s="32">
        <f>IFERROR(__xludf.DUMMYFUNCTION("""COMPUTED_VALUE"""),3.0)</f>
        <v>3</v>
      </c>
      <c r="M3577" s="4" t="str">
        <f>IFERROR(__xludf.DUMMYFUNCTION("""COMPUTED_VALUE"""),"Consumer Soluções Em Tecnologia Ltda")</f>
        <v>Consumer Soluções Em Tecnologia Ltda</v>
      </c>
      <c r="N3577" s="33">
        <f>IFERROR(__xludf.DUMMYFUNCTION("""COMPUTED_VALUE"""),1.0)</f>
        <v>1</v>
      </c>
      <c r="O3577" s="4" t="str">
        <f>IFERROR(__xludf.DUMMYFUNCTION("""COMPUTED_VALUE"""),"Consumer Soluções Em Tecnologia Ltda")</f>
        <v>Consumer Soluções Em Tecnologia Ltda</v>
      </c>
      <c r="P3577" s="33">
        <f>IFERROR(__xludf.DUMMYFUNCTION("""COMPUTED_VALUE"""),1.0)</f>
        <v>1</v>
      </c>
      <c r="Q3577" s="4" t="str">
        <f>IFERROR(__xludf.DUMMYFUNCTION("""COMPUTED_VALUE"""),"Consumer Soluções Em Tecnologia Ltda")</f>
        <v>Consumer Soluções Em Tecnologia Ltda</v>
      </c>
      <c r="R3577" s="33">
        <f>IFERROR(__xludf.DUMMYFUNCTION("""COMPUTED_VALUE"""),1.0)</f>
        <v>1</v>
      </c>
      <c r="S3577" s="4" t="str">
        <f>IFERROR(__xludf.DUMMYFUNCTION("""COMPUTED_VALUE"""),"Consumer Soluções Em Tecnologia Ltda")</f>
        <v>Consumer Soluções Em Tecnologia Ltda</v>
      </c>
      <c r="T3577" s="33">
        <f>IFERROR(__xludf.DUMMYFUNCTION("""COMPUTED_VALUE"""),0.6666666666666666)</f>
        <v>0.6666666667</v>
      </c>
      <c r="U3577" s="4" t="str">
        <f>IFERROR(__xludf.DUMMYFUNCTION("""COMPUTED_VALUE"""),"Consumer Soluções Em Tecnologia Ltda")</f>
        <v>Consumer Soluções Em Tecnologia Ltda</v>
      </c>
      <c r="V3577" s="33">
        <f>IFERROR(__xludf.DUMMYFUNCTION("""COMPUTED_VALUE"""),0.6666666666666666)</f>
        <v>0.6666666667</v>
      </c>
      <c r="W3577" s="4" t="str">
        <f>IFERROR(__xludf.DUMMYFUNCTION("""COMPUTED_VALUE"""),"Consumer Soluções Em Tecnologia Ltda")</f>
        <v>Consumer Soluções Em Tecnologia Ltda</v>
      </c>
      <c r="X3577" s="33">
        <f>IFERROR(__xludf.DUMMYFUNCTION("""COMPUTED_VALUE"""),0.6666666666666666)</f>
        <v>0.6666666667</v>
      </c>
    </row>
    <row r="3578">
      <c r="K3578" s="4" t="str">
        <f>IFERROR(__xludf.DUMMYFUNCTION("""COMPUTED_VALUE"""),"JOHNNIE JACK - MARCA")</f>
        <v>JOHNNIE JACK - MARCA</v>
      </c>
      <c r="L3578" s="32">
        <f>IFERROR(__xludf.DUMMYFUNCTION("""COMPUTED_VALUE"""),3.0)</f>
        <v>3</v>
      </c>
      <c r="M3578" s="4" t="str">
        <f>IFERROR(__xludf.DUMMYFUNCTION("""COMPUTED_VALUE"""),"Eclética Tecnologia")</f>
        <v>Eclética Tecnologia</v>
      </c>
      <c r="N3578" s="33">
        <f>IFERROR(__xludf.DUMMYFUNCTION("""COMPUTED_VALUE"""),1.0)</f>
        <v>1</v>
      </c>
      <c r="O3578" s="4" t="str">
        <f>IFERROR(__xludf.DUMMYFUNCTION("""COMPUTED_VALUE"""),"Eclética Tecnologia")</f>
        <v>Eclética Tecnologia</v>
      </c>
      <c r="P3578" s="33">
        <f>IFERROR(__xludf.DUMMYFUNCTION("""COMPUTED_VALUE"""),1.0)</f>
        <v>1</v>
      </c>
      <c r="Q3578" s="4" t="str">
        <f>IFERROR(__xludf.DUMMYFUNCTION("""COMPUTED_VALUE"""),"Eclética Tecnologia")</f>
        <v>Eclética Tecnologia</v>
      </c>
      <c r="R3578" s="33">
        <f>IFERROR(__xludf.DUMMYFUNCTION("""COMPUTED_VALUE"""),1.0)</f>
        <v>1</v>
      </c>
      <c r="S3578" s="4" t="str">
        <f>IFERROR(__xludf.DUMMYFUNCTION("""COMPUTED_VALUE"""),"Eclética Tecnologia")</f>
        <v>Eclética Tecnologia</v>
      </c>
      <c r="T3578" s="33">
        <f>IFERROR(__xludf.DUMMYFUNCTION("""COMPUTED_VALUE"""),1.0)</f>
        <v>1</v>
      </c>
      <c r="U3578" s="4" t="str">
        <f>IFERROR(__xludf.DUMMYFUNCTION("""COMPUTED_VALUE"""),"Eclética Tecnologia")</f>
        <v>Eclética Tecnologia</v>
      </c>
      <c r="V3578" s="33">
        <f>IFERROR(__xludf.DUMMYFUNCTION("""COMPUTED_VALUE"""),1.0)</f>
        <v>1</v>
      </c>
      <c r="W3578" s="4" t="str">
        <f>IFERROR(__xludf.DUMMYFUNCTION("""COMPUTED_VALUE"""),"Eclética Tecnologia")</f>
        <v>Eclética Tecnologia</v>
      </c>
      <c r="X3578" s="33">
        <f>IFERROR(__xludf.DUMMYFUNCTION("""COMPUTED_VALUE"""),1.0)</f>
        <v>1</v>
      </c>
    </row>
    <row r="3579">
      <c r="K3579" s="4" t="str">
        <f>IFERROR(__xludf.DUMMYFUNCTION("""COMPUTED_VALUE"""),"JOJO RAMEN")</f>
        <v>JOJO RAMEN</v>
      </c>
      <c r="L3579" s="32">
        <f>IFERROR(__xludf.DUMMYFUNCTION("""COMPUTED_VALUE"""),3.0)</f>
        <v>3</v>
      </c>
      <c r="M3579" s="4" t="str">
        <f>IFERROR(__xludf.DUMMYFUNCTION("""COMPUTED_VALUE"""),"Ncr")</f>
        <v>Ncr</v>
      </c>
      <c r="N3579" s="33">
        <f>IFERROR(__xludf.DUMMYFUNCTION("""COMPUTED_VALUE"""),1.0)</f>
        <v>1</v>
      </c>
      <c r="O3579" s="4" t="str">
        <f>IFERROR(__xludf.DUMMYFUNCTION("""COMPUTED_VALUE"""),"Ncr")</f>
        <v>Ncr</v>
      </c>
      <c r="P3579" s="33">
        <f>IFERROR(__xludf.DUMMYFUNCTION("""COMPUTED_VALUE"""),1.0)</f>
        <v>1</v>
      </c>
      <c r="Q3579" s="4" t="str">
        <f>IFERROR(__xludf.DUMMYFUNCTION("""COMPUTED_VALUE"""),"Ncr")</f>
        <v>Ncr</v>
      </c>
      <c r="R3579" s="33">
        <f>IFERROR(__xludf.DUMMYFUNCTION("""COMPUTED_VALUE"""),1.0)</f>
        <v>1</v>
      </c>
      <c r="S3579" s="4" t="str">
        <f>IFERROR(__xludf.DUMMYFUNCTION("""COMPUTED_VALUE"""),"Ncr")</f>
        <v>Ncr</v>
      </c>
      <c r="T3579" s="33">
        <f>IFERROR(__xludf.DUMMYFUNCTION("""COMPUTED_VALUE"""),1.0)</f>
        <v>1</v>
      </c>
      <c r="U3579" s="4" t="str">
        <f>IFERROR(__xludf.DUMMYFUNCTION("""COMPUTED_VALUE"""),"Ncr")</f>
        <v>Ncr</v>
      </c>
      <c r="V3579" s="33">
        <f>IFERROR(__xludf.DUMMYFUNCTION("""COMPUTED_VALUE"""),1.0)</f>
        <v>1</v>
      </c>
      <c r="W3579" s="4" t="str">
        <f>IFERROR(__xludf.DUMMYFUNCTION("""COMPUTED_VALUE"""),"Ncr")</f>
        <v>Ncr</v>
      </c>
      <c r="X3579" s="33">
        <f>IFERROR(__xludf.DUMMYFUNCTION("""COMPUTED_VALUE"""),1.0)</f>
        <v>1</v>
      </c>
    </row>
    <row r="3580">
      <c r="K3580" s="4" t="str">
        <f>IFERROR(__xludf.DUMMYFUNCTION("""COMPUTED_VALUE"""),"JOTABE PIZZERIA")</f>
        <v>JOTABE PIZZERIA</v>
      </c>
      <c r="L3580" s="32">
        <f>IFERROR(__xludf.DUMMYFUNCTION("""COMPUTED_VALUE"""),3.0)</f>
        <v>3</v>
      </c>
      <c r="M3580" s="4" t="str">
        <f>IFERROR(__xludf.DUMMYFUNCTION("""COMPUTED_VALUE"""),"Saipos Serviços De Software")</f>
        <v>Saipos Serviços De Software</v>
      </c>
      <c r="N3580" s="33">
        <f>IFERROR(__xludf.DUMMYFUNCTION("""COMPUTED_VALUE"""),1.0)</f>
        <v>1</v>
      </c>
      <c r="O3580" s="4" t="str">
        <f>IFERROR(__xludf.DUMMYFUNCTION("""COMPUTED_VALUE"""),"Saipos Serviços De Software")</f>
        <v>Saipos Serviços De Software</v>
      </c>
      <c r="P3580" s="33">
        <f>IFERROR(__xludf.DUMMYFUNCTION("""COMPUTED_VALUE"""),1.0)</f>
        <v>1</v>
      </c>
      <c r="Q3580" s="4" t="str">
        <f>IFERROR(__xludf.DUMMYFUNCTION("""COMPUTED_VALUE"""),"Saipos Serviços De Software")</f>
        <v>Saipos Serviços De Software</v>
      </c>
      <c r="R3580" s="33">
        <f>IFERROR(__xludf.DUMMYFUNCTION("""COMPUTED_VALUE"""),1.0)</f>
        <v>1</v>
      </c>
      <c r="S3580" s="4" t="str">
        <f>IFERROR(__xludf.DUMMYFUNCTION("""COMPUTED_VALUE"""),"Saipos Serviços De Software")</f>
        <v>Saipos Serviços De Software</v>
      </c>
      <c r="T3580" s="33">
        <f>IFERROR(__xludf.DUMMYFUNCTION("""COMPUTED_VALUE"""),1.0)</f>
        <v>1</v>
      </c>
      <c r="U3580" s="4" t="str">
        <f>IFERROR(__xludf.DUMMYFUNCTION("""COMPUTED_VALUE"""),"Saipos Serviços De Software")</f>
        <v>Saipos Serviços De Software</v>
      </c>
      <c r="V3580" s="33">
        <f>IFERROR(__xludf.DUMMYFUNCTION("""COMPUTED_VALUE"""),1.0)</f>
        <v>1</v>
      </c>
      <c r="W3580" s="4" t="str">
        <f>IFERROR(__xludf.DUMMYFUNCTION("""COMPUTED_VALUE"""),"Saipos Serviços De Software")</f>
        <v>Saipos Serviços De Software</v>
      </c>
      <c r="X3580" s="33">
        <f>IFERROR(__xludf.DUMMYFUNCTION("""COMPUTED_VALUE"""),1.0)</f>
        <v>1</v>
      </c>
    </row>
    <row r="3581">
      <c r="K3581" s="4" t="str">
        <f>IFERROR(__xludf.DUMMYFUNCTION("""COMPUTED_VALUE"""),"JP STEAKHOUSE - CONTA MARCA")</f>
        <v>JP STEAKHOUSE - CONTA MARCA</v>
      </c>
      <c r="L3581" s="32">
        <f>IFERROR(__xludf.DUMMYFUNCTION("""COMPUTED_VALUE"""),3.0)</f>
        <v>3</v>
      </c>
      <c r="M3581" s="4" t="str">
        <f>IFERROR(__xludf.DUMMYFUNCTION("""COMPUTED_VALUE"""),"Jaxtech")</f>
        <v>Jaxtech</v>
      </c>
      <c r="N3581" s="33">
        <f>IFERROR(__xludf.DUMMYFUNCTION("""COMPUTED_VALUE"""),1.0)</f>
        <v>1</v>
      </c>
      <c r="O3581" s="4" t="str">
        <f>IFERROR(__xludf.DUMMYFUNCTION("""COMPUTED_VALUE"""),"Jaxtech")</f>
        <v>Jaxtech</v>
      </c>
      <c r="P3581" s="33">
        <f>IFERROR(__xludf.DUMMYFUNCTION("""COMPUTED_VALUE"""),1.0)</f>
        <v>1</v>
      </c>
      <c r="Q3581" s="4" t="str">
        <f>IFERROR(__xludf.DUMMYFUNCTION("""COMPUTED_VALUE"""),"Jaxtech")</f>
        <v>Jaxtech</v>
      </c>
      <c r="R3581" s="33">
        <f>IFERROR(__xludf.DUMMYFUNCTION("""COMPUTED_VALUE"""),0.6666666666666666)</f>
        <v>0.6666666667</v>
      </c>
      <c r="S3581" s="4" t="str">
        <f>IFERROR(__xludf.DUMMYFUNCTION("""COMPUTED_VALUE"""),"Jaxtech")</f>
        <v>Jaxtech</v>
      </c>
      <c r="T3581" s="33">
        <f>IFERROR(__xludf.DUMMYFUNCTION("""COMPUTED_VALUE"""),0.6666666666666666)</f>
        <v>0.6666666667</v>
      </c>
      <c r="U3581" s="4" t="str">
        <f>IFERROR(__xludf.DUMMYFUNCTION("""COMPUTED_VALUE"""),"Jaxtech")</f>
        <v>Jaxtech</v>
      </c>
      <c r="V3581" s="33">
        <f>IFERROR(__xludf.DUMMYFUNCTION("""COMPUTED_VALUE"""),0.6666666666666666)</f>
        <v>0.6666666667</v>
      </c>
      <c r="W3581" s="4" t="str">
        <f>IFERROR(__xludf.DUMMYFUNCTION("""COMPUTED_VALUE"""),"Jaxtech")</f>
        <v>Jaxtech</v>
      </c>
      <c r="X3581" s="33">
        <f>IFERROR(__xludf.DUMMYFUNCTION("""COMPUTED_VALUE"""),0.6666666666666666)</f>
        <v>0.6666666667</v>
      </c>
    </row>
    <row r="3582">
      <c r="K3582" s="4" t="str">
        <f>IFERROR(__xludf.DUMMYFUNCTION("""COMPUTED_VALUE"""),"KADO SUSHI BAR")</f>
        <v>KADO SUSHI BAR</v>
      </c>
      <c r="L3582" s="32">
        <f>IFERROR(__xludf.DUMMYFUNCTION("""COMPUTED_VALUE"""),3.0)</f>
        <v>3</v>
      </c>
      <c r="M3582" s="4" t="str">
        <f>IFERROR(__xludf.DUMMYFUNCTION("""COMPUTED_VALUE"""),"Cloudfy")</f>
        <v>Cloudfy</v>
      </c>
      <c r="N3582" s="33">
        <f>IFERROR(__xludf.DUMMYFUNCTION("""COMPUTED_VALUE"""),1.0)</f>
        <v>1</v>
      </c>
      <c r="O3582" s="4" t="str">
        <f>IFERROR(__xludf.DUMMYFUNCTION("""COMPUTED_VALUE"""),"Cloudfy")</f>
        <v>Cloudfy</v>
      </c>
      <c r="P3582" s="33">
        <f>IFERROR(__xludf.DUMMYFUNCTION("""COMPUTED_VALUE"""),1.0)</f>
        <v>1</v>
      </c>
      <c r="Q3582" s="4" t="str">
        <f>IFERROR(__xludf.DUMMYFUNCTION("""COMPUTED_VALUE"""),"Cloudfy")</f>
        <v>Cloudfy</v>
      </c>
      <c r="R3582" s="33">
        <f>IFERROR(__xludf.DUMMYFUNCTION("""COMPUTED_VALUE"""),1.0)</f>
        <v>1</v>
      </c>
      <c r="S3582" s="4" t="str">
        <f>IFERROR(__xludf.DUMMYFUNCTION("""COMPUTED_VALUE"""),"Cloudfy")</f>
        <v>Cloudfy</v>
      </c>
      <c r="T3582" s="33">
        <f>IFERROR(__xludf.DUMMYFUNCTION("""COMPUTED_VALUE"""),1.0)</f>
        <v>1</v>
      </c>
      <c r="U3582" s="4" t="str">
        <f>IFERROR(__xludf.DUMMYFUNCTION("""COMPUTED_VALUE"""),"Cloudfy")</f>
        <v>Cloudfy</v>
      </c>
      <c r="V3582" s="33">
        <f>IFERROR(__xludf.DUMMYFUNCTION("""COMPUTED_VALUE"""),1.0)</f>
        <v>1</v>
      </c>
      <c r="W3582" s="4" t="str">
        <f>IFERROR(__xludf.DUMMYFUNCTION("""COMPUTED_VALUE"""),"Cloudfy")</f>
        <v>Cloudfy</v>
      </c>
      <c r="X3582" s="33">
        <f>IFERROR(__xludf.DUMMYFUNCTION("""COMPUTED_VALUE"""),1.0)</f>
        <v>1</v>
      </c>
    </row>
    <row r="3583">
      <c r="K3583" s="4" t="str">
        <f>IFERROR(__xludf.DUMMYFUNCTION("""COMPUTED_VALUE"""),"KANBAN PASTELARIA - CONTA PAI")</f>
        <v>KANBAN PASTELARIA - CONTA PAI</v>
      </c>
      <c r="L3583" s="32">
        <f>IFERROR(__xludf.DUMMYFUNCTION("""COMPUTED_VALUE"""),3.0)</f>
        <v>3</v>
      </c>
      <c r="M3583" s="4" t="str">
        <f>IFERROR(__xludf.DUMMYFUNCTION("""COMPUTED_VALUE"""),"Kcms")</f>
        <v>Kcms</v>
      </c>
      <c r="N3583" s="33">
        <f>IFERROR(__xludf.DUMMYFUNCTION("""COMPUTED_VALUE"""),1.0)</f>
        <v>1</v>
      </c>
      <c r="O3583" s="4" t="str">
        <f>IFERROR(__xludf.DUMMYFUNCTION("""COMPUTED_VALUE"""),"Kcms")</f>
        <v>Kcms</v>
      </c>
      <c r="P3583" s="33">
        <f>IFERROR(__xludf.DUMMYFUNCTION("""COMPUTED_VALUE"""),1.0)</f>
        <v>1</v>
      </c>
      <c r="Q3583" s="4" t="str">
        <f>IFERROR(__xludf.DUMMYFUNCTION("""COMPUTED_VALUE"""),"Kcms")</f>
        <v>Kcms</v>
      </c>
      <c r="R3583" s="33">
        <f>IFERROR(__xludf.DUMMYFUNCTION("""COMPUTED_VALUE"""),1.0)</f>
        <v>1</v>
      </c>
      <c r="S3583" s="4" t="str">
        <f>IFERROR(__xludf.DUMMYFUNCTION("""COMPUTED_VALUE"""),"Kcms")</f>
        <v>Kcms</v>
      </c>
      <c r="T3583" s="33">
        <f>IFERROR(__xludf.DUMMYFUNCTION("""COMPUTED_VALUE"""),1.0)</f>
        <v>1</v>
      </c>
      <c r="U3583" s="4" t="str">
        <f>IFERROR(__xludf.DUMMYFUNCTION("""COMPUTED_VALUE"""),"Kcms")</f>
        <v>Kcms</v>
      </c>
      <c r="V3583" s="33">
        <f>IFERROR(__xludf.DUMMYFUNCTION("""COMPUTED_VALUE"""),1.0)</f>
        <v>1</v>
      </c>
      <c r="W3583" s="4" t="str">
        <f>IFERROR(__xludf.DUMMYFUNCTION("""COMPUTED_VALUE"""),"Kcms")</f>
        <v>Kcms</v>
      </c>
      <c r="X3583" s="33">
        <f>IFERROR(__xludf.DUMMYFUNCTION("""COMPUTED_VALUE"""),1.0)</f>
        <v>1</v>
      </c>
    </row>
    <row r="3584">
      <c r="K3584" s="4" t="str">
        <f>IFERROR(__xludf.DUMMYFUNCTION("""COMPUTED_VALUE"""),"KAO BY K SUSHI")</f>
        <v>KAO BY K SUSHI</v>
      </c>
      <c r="L3584" s="32">
        <f>IFERROR(__xludf.DUMMYFUNCTION("""COMPUTED_VALUE"""),3.0)</f>
        <v>3</v>
      </c>
      <c r="M3584" s="4" t="str">
        <f>IFERROR(__xludf.DUMMYFUNCTION("""COMPUTED_VALUE"""),"Ncr")</f>
        <v>Ncr</v>
      </c>
      <c r="N3584" s="33">
        <f>IFERROR(__xludf.DUMMYFUNCTION("""COMPUTED_VALUE"""),0.6666666666666666)</f>
        <v>0.6666666667</v>
      </c>
      <c r="O3584" s="4" t="str">
        <f>IFERROR(__xludf.DUMMYFUNCTION("""COMPUTED_VALUE"""),"Ncr")</f>
        <v>Ncr</v>
      </c>
      <c r="P3584" s="33">
        <f>IFERROR(__xludf.DUMMYFUNCTION("""COMPUTED_VALUE"""),0.6666666666666666)</f>
        <v>0.6666666667</v>
      </c>
      <c r="Q3584" s="4" t="str">
        <f>IFERROR(__xludf.DUMMYFUNCTION("""COMPUTED_VALUE"""),"Ncr")</f>
        <v>Ncr</v>
      </c>
      <c r="R3584" s="33">
        <f>IFERROR(__xludf.DUMMYFUNCTION("""COMPUTED_VALUE"""),0.6666666666666666)</f>
        <v>0.6666666667</v>
      </c>
      <c r="S3584" s="4" t="str">
        <f>IFERROR(__xludf.DUMMYFUNCTION("""COMPUTED_VALUE"""),"Ncr")</f>
        <v>Ncr</v>
      </c>
      <c r="T3584" s="33">
        <f>IFERROR(__xludf.DUMMYFUNCTION("""COMPUTED_VALUE"""),1.0)</f>
        <v>1</v>
      </c>
      <c r="U3584" s="4" t="str">
        <f>IFERROR(__xludf.DUMMYFUNCTION("""COMPUTED_VALUE"""),"Ncr")</f>
        <v>Ncr</v>
      </c>
      <c r="V3584" s="33">
        <f>IFERROR(__xludf.DUMMYFUNCTION("""COMPUTED_VALUE"""),0.6666666666666666)</f>
        <v>0.6666666667</v>
      </c>
      <c r="W3584" s="4" t="str">
        <f>IFERROR(__xludf.DUMMYFUNCTION("""COMPUTED_VALUE"""),"Ncr")</f>
        <v>Ncr</v>
      </c>
      <c r="X3584" s="33">
        <f>IFERROR(__xludf.DUMMYFUNCTION("""COMPUTED_VALUE"""),1.0)</f>
        <v>1</v>
      </c>
    </row>
    <row r="3585">
      <c r="K3585" s="4" t="str">
        <f>IFERROR(__xludf.DUMMYFUNCTION("""COMPUTED_VALUE"""),"KHARINA")</f>
        <v>KHARINA</v>
      </c>
      <c r="L3585" s="32">
        <f>IFERROR(__xludf.DUMMYFUNCTION("""COMPUTED_VALUE"""),3.0)</f>
        <v>3</v>
      </c>
      <c r="M3585" s="4" t="str">
        <f>IFERROR(__xludf.DUMMYFUNCTION("""COMPUTED_VALUE"""),"Teknisa Service Ltda")</f>
        <v>Teknisa Service Ltda</v>
      </c>
      <c r="N3585" s="33">
        <f>IFERROR(__xludf.DUMMYFUNCTION("""COMPUTED_VALUE"""),0.6666666666666666)</f>
        <v>0.6666666667</v>
      </c>
      <c r="O3585" s="4" t="str">
        <f>IFERROR(__xludf.DUMMYFUNCTION("""COMPUTED_VALUE"""),"Teknisa Service Ltda")</f>
        <v>Teknisa Service Ltda</v>
      </c>
      <c r="P3585" s="33">
        <f>IFERROR(__xludf.DUMMYFUNCTION("""COMPUTED_VALUE"""),1.0)</f>
        <v>1</v>
      </c>
      <c r="Q3585" s="4" t="str">
        <f>IFERROR(__xludf.DUMMYFUNCTION("""COMPUTED_VALUE"""),"Teknisa Service Ltda")</f>
        <v>Teknisa Service Ltda</v>
      </c>
      <c r="R3585" s="33">
        <f>IFERROR(__xludf.DUMMYFUNCTION("""COMPUTED_VALUE"""),1.0)</f>
        <v>1</v>
      </c>
      <c r="S3585" s="4" t="str">
        <f>IFERROR(__xludf.DUMMYFUNCTION("""COMPUTED_VALUE"""),"Teknisa Service Ltda")</f>
        <v>Teknisa Service Ltda</v>
      </c>
      <c r="T3585" s="33">
        <f>IFERROR(__xludf.DUMMYFUNCTION("""COMPUTED_VALUE"""),1.0)</f>
        <v>1</v>
      </c>
      <c r="U3585" s="4" t="str">
        <f>IFERROR(__xludf.DUMMYFUNCTION("""COMPUTED_VALUE"""),"Teknisa Service Ltda")</f>
        <v>Teknisa Service Ltda</v>
      </c>
      <c r="V3585" s="33">
        <f>IFERROR(__xludf.DUMMYFUNCTION("""COMPUTED_VALUE"""),1.0)</f>
        <v>1</v>
      </c>
      <c r="W3585" s="4" t="str">
        <f>IFERROR(__xludf.DUMMYFUNCTION("""COMPUTED_VALUE"""),"Teknisa Service Ltda")</f>
        <v>Teknisa Service Ltda</v>
      </c>
      <c r="X3585" s="33">
        <f>IFERROR(__xludf.DUMMYFUNCTION("""COMPUTED_VALUE"""),1.0)</f>
        <v>1</v>
      </c>
    </row>
    <row r="3586">
      <c r="K3586" s="4" t="str">
        <f>IFERROR(__xludf.DUMMYFUNCTION("""COMPUTED_VALUE"""),"KIBS ARABE - JOINVILLE")</f>
        <v>KIBS ARABE - JOINVILLE</v>
      </c>
      <c r="L3586" s="32">
        <f>IFERROR(__xludf.DUMMYFUNCTION("""COMPUTED_VALUE"""),3.0)</f>
        <v>3</v>
      </c>
      <c r="M3586" s="4" t="str">
        <f>IFERROR(__xludf.DUMMYFUNCTION("""COMPUTED_VALUE"""),"Totvs Large Enterprise Tecnologia S.a.")</f>
        <v>Totvs Large Enterprise Tecnologia S.a.</v>
      </c>
      <c r="N3586" s="33">
        <f>IFERROR(__xludf.DUMMYFUNCTION("""COMPUTED_VALUE"""),1.0)</f>
        <v>1</v>
      </c>
      <c r="O3586" s="4" t="str">
        <f>IFERROR(__xludf.DUMMYFUNCTION("""COMPUTED_VALUE"""),"Totvs Large Enterprise Tecnologia S.a.")</f>
        <v>Totvs Large Enterprise Tecnologia S.a.</v>
      </c>
      <c r="P3586" s="33">
        <f>IFERROR(__xludf.DUMMYFUNCTION("""COMPUTED_VALUE"""),0.6666666666666666)</f>
        <v>0.6666666667</v>
      </c>
      <c r="Q3586" s="4" t="str">
        <f>IFERROR(__xludf.DUMMYFUNCTION("""COMPUTED_VALUE"""),"Totvs Large Enterprise Tecnologia S.a.")</f>
        <v>Totvs Large Enterprise Tecnologia S.a.</v>
      </c>
      <c r="R3586" s="33">
        <f>IFERROR(__xludf.DUMMYFUNCTION("""COMPUTED_VALUE"""),0.6666666666666666)</f>
        <v>0.6666666667</v>
      </c>
      <c r="S3586" s="4" t="str">
        <f>IFERROR(__xludf.DUMMYFUNCTION("""COMPUTED_VALUE"""),"null")</f>
        <v>null</v>
      </c>
      <c r="T3586" s="33">
        <f>IFERROR(__xludf.DUMMYFUNCTION("""COMPUTED_VALUE"""),1.0)</f>
        <v>1</v>
      </c>
      <c r="U3586" s="4" t="str">
        <f>IFERROR(__xludf.DUMMYFUNCTION("""COMPUTED_VALUE"""),"Totvs Large Enterprise Tecnologia S.a.")</f>
        <v>Totvs Large Enterprise Tecnologia S.a.</v>
      </c>
      <c r="V3586" s="33">
        <f>IFERROR(__xludf.DUMMYFUNCTION("""COMPUTED_VALUE"""),0.6666666666666666)</f>
        <v>0.6666666667</v>
      </c>
      <c r="W3586" s="4" t="str">
        <f>IFERROR(__xludf.DUMMYFUNCTION("""COMPUTED_VALUE"""),"null")</f>
        <v>null</v>
      </c>
      <c r="X3586" s="33">
        <f>IFERROR(__xludf.DUMMYFUNCTION("""COMPUTED_VALUE"""),0.6666666666666666)</f>
        <v>0.6666666667</v>
      </c>
    </row>
    <row r="3587">
      <c r="K3587" s="4" t="str">
        <f>IFERROR(__xludf.DUMMYFUNCTION("""COMPUTED_VALUE"""),"KIDOGAO")</f>
        <v>KIDOGAO</v>
      </c>
      <c r="L3587" s="32">
        <f>IFERROR(__xludf.DUMMYFUNCTION("""COMPUTED_VALUE"""),3.0)</f>
        <v>3</v>
      </c>
      <c r="M3587" s="4" t="str">
        <f>IFERROR(__xludf.DUMMYFUNCTION("""COMPUTED_VALUE"""),"Saipos Serviços De Software")</f>
        <v>Saipos Serviços De Software</v>
      </c>
      <c r="N3587" s="33">
        <f>IFERROR(__xludf.DUMMYFUNCTION("""COMPUTED_VALUE"""),0.6666666666666666)</f>
        <v>0.6666666667</v>
      </c>
      <c r="O3587" s="4" t="str">
        <f>IFERROR(__xludf.DUMMYFUNCTION("""COMPUTED_VALUE"""),"Saipos Serviços De Software")</f>
        <v>Saipos Serviços De Software</v>
      </c>
      <c r="P3587" s="33">
        <f>IFERROR(__xludf.DUMMYFUNCTION("""COMPUTED_VALUE"""),0.6666666666666666)</f>
        <v>0.6666666667</v>
      </c>
      <c r="Q3587" s="4" t="str">
        <f>IFERROR(__xludf.DUMMYFUNCTION("""COMPUTED_VALUE"""),"Saipos Serviços De Software")</f>
        <v>Saipos Serviços De Software</v>
      </c>
      <c r="R3587" s="33">
        <f>IFERROR(__xludf.DUMMYFUNCTION("""COMPUTED_VALUE"""),0.6666666666666666)</f>
        <v>0.6666666667</v>
      </c>
      <c r="S3587" s="4" t="str">
        <f>IFERROR(__xludf.DUMMYFUNCTION("""COMPUTED_VALUE"""),"Saipos Serviços De Software")</f>
        <v>Saipos Serviços De Software</v>
      </c>
      <c r="T3587" s="33">
        <f>IFERROR(__xludf.DUMMYFUNCTION("""COMPUTED_VALUE"""),0.6666666666666666)</f>
        <v>0.6666666667</v>
      </c>
      <c r="U3587" s="4" t="str">
        <f>IFERROR(__xludf.DUMMYFUNCTION("""COMPUTED_VALUE"""),"Saipos Serviços De Software")</f>
        <v>Saipos Serviços De Software</v>
      </c>
      <c r="V3587" s="33">
        <f>IFERROR(__xludf.DUMMYFUNCTION("""COMPUTED_VALUE"""),0.6666666666666666)</f>
        <v>0.6666666667</v>
      </c>
      <c r="W3587" s="4" t="str">
        <f>IFERROR(__xludf.DUMMYFUNCTION("""COMPUTED_VALUE"""),"Saipos Serviços De Software")</f>
        <v>Saipos Serviços De Software</v>
      </c>
      <c r="X3587" s="33">
        <f>IFERROR(__xludf.DUMMYFUNCTION("""COMPUTED_VALUE"""),1.0)</f>
        <v>1</v>
      </c>
    </row>
    <row r="3588">
      <c r="K3588" s="4" t="str">
        <f>IFERROR(__xludf.DUMMYFUNCTION("""COMPUTED_VALUE"""),"KIKONI JAPAFOOD SC - CONTA MARCA")</f>
        <v>KIKONI JAPAFOOD SC - CONTA MARCA</v>
      </c>
      <c r="L3588" s="32">
        <f>IFERROR(__xludf.DUMMYFUNCTION("""COMPUTED_VALUE"""),3.0)</f>
        <v>3</v>
      </c>
      <c r="M3588" s="4" t="str">
        <f>IFERROR(__xludf.DUMMYFUNCTION("""COMPUTED_VALUE"""),"Saipos Serviços De Software")</f>
        <v>Saipos Serviços De Software</v>
      </c>
      <c r="N3588" s="33">
        <f>IFERROR(__xludf.DUMMYFUNCTION("""COMPUTED_VALUE"""),0.6666666666666666)</f>
        <v>0.6666666667</v>
      </c>
      <c r="O3588" s="4" t="str">
        <f>IFERROR(__xludf.DUMMYFUNCTION("""COMPUTED_VALUE"""),"Saipos Serviços De Software")</f>
        <v>Saipos Serviços De Software</v>
      </c>
      <c r="P3588" s="33">
        <f>IFERROR(__xludf.DUMMYFUNCTION("""COMPUTED_VALUE"""),0.6666666666666666)</f>
        <v>0.6666666667</v>
      </c>
      <c r="Q3588" s="4" t="str">
        <f>IFERROR(__xludf.DUMMYFUNCTION("""COMPUTED_VALUE"""),"Saipos Serviços De Software")</f>
        <v>Saipos Serviços De Software</v>
      </c>
      <c r="R3588" s="33">
        <f>IFERROR(__xludf.DUMMYFUNCTION("""COMPUTED_VALUE"""),0.6666666666666666)</f>
        <v>0.6666666667</v>
      </c>
      <c r="S3588" s="4" t="str">
        <f>IFERROR(__xludf.DUMMYFUNCTION("""COMPUTED_VALUE"""),"Saipos Serviços De Software")</f>
        <v>Saipos Serviços De Software</v>
      </c>
      <c r="T3588" s="33">
        <f>IFERROR(__xludf.DUMMYFUNCTION("""COMPUTED_VALUE"""),0.6666666666666666)</f>
        <v>0.6666666667</v>
      </c>
      <c r="U3588" s="4" t="str">
        <f>IFERROR(__xludf.DUMMYFUNCTION("""COMPUTED_VALUE"""),"Saipos Serviços De Software")</f>
        <v>Saipos Serviços De Software</v>
      </c>
      <c r="V3588" s="33">
        <f>IFERROR(__xludf.DUMMYFUNCTION("""COMPUTED_VALUE"""),1.0)</f>
        <v>1</v>
      </c>
      <c r="W3588" s="4" t="str">
        <f>IFERROR(__xludf.DUMMYFUNCTION("""COMPUTED_VALUE"""),"Saipos Serviços De Software")</f>
        <v>Saipos Serviços De Software</v>
      </c>
      <c r="X3588" s="33">
        <f>IFERROR(__xludf.DUMMYFUNCTION("""COMPUTED_VALUE"""),1.0)</f>
        <v>1</v>
      </c>
    </row>
    <row r="3589">
      <c r="K3589" s="4" t="str">
        <f>IFERROR(__xludf.DUMMYFUNCTION("""COMPUTED_VALUE"""),"KILO NOBRE RESTAURANTE - CONTA GRUPO")</f>
        <v>KILO NOBRE RESTAURANTE - CONTA GRUPO</v>
      </c>
      <c r="L3589" s="32">
        <f>IFERROR(__xludf.DUMMYFUNCTION("""COMPUTED_VALUE"""),3.0)</f>
        <v>3</v>
      </c>
      <c r="M3589" s="4" t="str">
        <f>IFERROR(__xludf.DUMMYFUNCTION("""COMPUTED_VALUE"""),"Anota Ai Solucoes Digitais S/a")</f>
        <v>Anota Ai Solucoes Digitais S/a</v>
      </c>
      <c r="N3589" s="33">
        <f>IFERROR(__xludf.DUMMYFUNCTION("""COMPUTED_VALUE"""),1.0)</f>
        <v>1</v>
      </c>
      <c r="O3589" s="4" t="str">
        <f>IFERROR(__xludf.DUMMYFUNCTION("""COMPUTED_VALUE"""),"Anota Ai Solucoes Digitais S/a")</f>
        <v>Anota Ai Solucoes Digitais S/a</v>
      </c>
      <c r="P3589" s="33">
        <f>IFERROR(__xludf.DUMMYFUNCTION("""COMPUTED_VALUE"""),1.0)</f>
        <v>1</v>
      </c>
      <c r="Q3589" s="4" t="str">
        <f>IFERROR(__xludf.DUMMYFUNCTION("""COMPUTED_VALUE"""),"Anota Ai Solucoes Digitais S/a")</f>
        <v>Anota Ai Solucoes Digitais S/a</v>
      </c>
      <c r="R3589" s="33">
        <f>IFERROR(__xludf.DUMMYFUNCTION("""COMPUTED_VALUE"""),1.0)</f>
        <v>1</v>
      </c>
      <c r="S3589" s="4" t="str">
        <f>IFERROR(__xludf.DUMMYFUNCTION("""COMPUTED_VALUE"""),"Anota Ai Solucoes Digitais S/a")</f>
        <v>Anota Ai Solucoes Digitais S/a</v>
      </c>
      <c r="T3589" s="33">
        <f>IFERROR(__xludf.DUMMYFUNCTION("""COMPUTED_VALUE"""),1.0)</f>
        <v>1</v>
      </c>
      <c r="U3589" s="4" t="str">
        <f>IFERROR(__xludf.DUMMYFUNCTION("""COMPUTED_VALUE"""),"Anota Ai Solucoes Digitais S/a")</f>
        <v>Anota Ai Solucoes Digitais S/a</v>
      </c>
      <c r="V3589" s="33">
        <f>IFERROR(__xludf.DUMMYFUNCTION("""COMPUTED_VALUE"""),1.0)</f>
        <v>1</v>
      </c>
      <c r="W3589" s="4" t="str">
        <f>IFERROR(__xludf.DUMMYFUNCTION("""COMPUTED_VALUE"""),"Anota Ai Solucoes Digitais S/a")</f>
        <v>Anota Ai Solucoes Digitais S/a</v>
      </c>
      <c r="X3589" s="33">
        <f>IFERROR(__xludf.DUMMYFUNCTION("""COMPUTED_VALUE"""),1.0)</f>
        <v>1</v>
      </c>
    </row>
    <row r="3590">
      <c r="K3590" s="4" t="str">
        <f>IFERROR(__xludf.DUMMYFUNCTION("""COMPUTED_VALUE"""),"KINA CE")</f>
        <v>KINA CE</v>
      </c>
      <c r="L3590" s="32">
        <f>IFERROR(__xludf.DUMMYFUNCTION("""COMPUTED_VALUE"""),3.0)</f>
        <v>3</v>
      </c>
      <c r="M3590" s="4" t="str">
        <f>IFERROR(__xludf.DUMMYFUNCTION("""COMPUTED_VALUE"""),"Solução Sistemas")</f>
        <v>Solução Sistemas</v>
      </c>
      <c r="N3590" s="33">
        <f>IFERROR(__xludf.DUMMYFUNCTION("""COMPUTED_VALUE"""),1.0)</f>
        <v>1</v>
      </c>
      <c r="O3590" s="4" t="str">
        <f>IFERROR(__xludf.DUMMYFUNCTION("""COMPUTED_VALUE"""),"null")</f>
        <v>null</v>
      </c>
      <c r="P3590" s="33">
        <f>IFERROR(__xludf.DUMMYFUNCTION("""COMPUTED_VALUE"""),1.0)</f>
        <v>1</v>
      </c>
      <c r="Q3590" s="4" t="str">
        <f>IFERROR(__xludf.DUMMYFUNCTION("""COMPUTED_VALUE"""),"null")</f>
        <v>null</v>
      </c>
      <c r="R3590" s="33">
        <f>IFERROR(__xludf.DUMMYFUNCTION("""COMPUTED_VALUE"""),0.6666666666666666)</f>
        <v>0.6666666667</v>
      </c>
      <c r="S3590" s="4" t="str">
        <f>IFERROR(__xludf.DUMMYFUNCTION("""COMPUTED_VALUE"""),"null")</f>
        <v>null</v>
      </c>
      <c r="T3590" s="33">
        <f>IFERROR(__xludf.DUMMYFUNCTION("""COMPUTED_VALUE"""),0.6666666666666666)</f>
        <v>0.6666666667</v>
      </c>
      <c r="U3590" s="4" t="str">
        <f>IFERROR(__xludf.DUMMYFUNCTION("""COMPUTED_VALUE"""),"null")</f>
        <v>null</v>
      </c>
      <c r="V3590" s="33">
        <f>IFERROR(__xludf.DUMMYFUNCTION("""COMPUTED_VALUE"""),0.6666666666666666)</f>
        <v>0.6666666667</v>
      </c>
      <c r="W3590" s="4" t="str">
        <f>IFERROR(__xludf.DUMMYFUNCTION("""COMPUTED_VALUE"""),"Solução Sistemas")</f>
        <v>Solução Sistemas</v>
      </c>
      <c r="X3590" s="33">
        <f>IFERROR(__xludf.DUMMYFUNCTION("""COMPUTED_VALUE"""),0.6666666666666666)</f>
        <v>0.6666666667</v>
      </c>
    </row>
    <row r="3591">
      <c r="K3591" s="4" t="str">
        <f>IFERROR(__xludf.DUMMYFUNCTION("""COMPUTED_VALUE"""),"KING CRISPY FRANGO FRITO AMERICANO - MARCA")</f>
        <v>KING CRISPY FRANGO FRITO AMERICANO - MARCA</v>
      </c>
      <c r="L3591" s="32">
        <f>IFERROR(__xludf.DUMMYFUNCTION("""COMPUTED_VALUE"""),3.0)</f>
        <v>3</v>
      </c>
      <c r="M3591" s="4" t="str">
        <f>IFERROR(__xludf.DUMMYFUNCTION("""COMPUTED_VALUE"""),"Sti3 Soluções Em Ti")</f>
        <v>Sti3 Soluções Em Ti</v>
      </c>
      <c r="N3591" s="33">
        <f>IFERROR(__xludf.DUMMYFUNCTION("""COMPUTED_VALUE"""),0.6666666666666666)</f>
        <v>0.6666666667</v>
      </c>
      <c r="O3591" s="4" t="str">
        <f>IFERROR(__xludf.DUMMYFUNCTION("""COMPUTED_VALUE"""),"Sti3 Soluções Em Ti")</f>
        <v>Sti3 Soluções Em Ti</v>
      </c>
      <c r="P3591" s="33">
        <f>IFERROR(__xludf.DUMMYFUNCTION("""COMPUTED_VALUE"""),0.6666666666666666)</f>
        <v>0.6666666667</v>
      </c>
      <c r="Q3591" s="4" t="str">
        <f>IFERROR(__xludf.DUMMYFUNCTION("""COMPUTED_VALUE"""),"Sti3 Soluções Em Ti")</f>
        <v>Sti3 Soluções Em Ti</v>
      </c>
      <c r="R3591" s="33">
        <f>IFERROR(__xludf.DUMMYFUNCTION("""COMPUTED_VALUE"""),0.6666666666666666)</f>
        <v>0.6666666667</v>
      </c>
      <c r="S3591" s="4" t="str">
        <f>IFERROR(__xludf.DUMMYFUNCTION("""COMPUTED_VALUE"""),"null")</f>
        <v>null</v>
      </c>
      <c r="T3591" s="33">
        <f>IFERROR(__xludf.DUMMYFUNCTION("""COMPUTED_VALUE"""),0.6666666666666666)</f>
        <v>0.6666666667</v>
      </c>
      <c r="U3591" s="4" t="str">
        <f>IFERROR(__xludf.DUMMYFUNCTION("""COMPUTED_VALUE"""),"null")</f>
        <v>null</v>
      </c>
      <c r="V3591" s="33">
        <f>IFERROR(__xludf.DUMMYFUNCTION("""COMPUTED_VALUE"""),0.6666666666666666)</f>
        <v>0.6666666667</v>
      </c>
      <c r="W3591" s="4" t="str">
        <f>IFERROR(__xludf.DUMMYFUNCTION("""COMPUTED_VALUE"""),"null")</f>
        <v>null</v>
      </c>
      <c r="X3591" s="33">
        <f>IFERROR(__xludf.DUMMYFUNCTION("""COMPUTED_VALUE"""),0.6666666666666666)</f>
        <v>0.6666666667</v>
      </c>
    </row>
    <row r="3592">
      <c r="K3592" s="4" t="str">
        <f>IFERROR(__xludf.DUMMYFUNCTION("""COMPUTED_VALUE"""),"KIOSQUE DA ROSEIRA - MARCA")</f>
        <v>KIOSQUE DA ROSEIRA - MARCA</v>
      </c>
      <c r="L3592" s="32">
        <f>IFERROR(__xludf.DUMMYFUNCTION("""COMPUTED_VALUE"""),3.0)</f>
        <v>3</v>
      </c>
      <c r="M3592" s="4" t="str">
        <f>IFERROR(__xludf.DUMMYFUNCTION("""COMPUTED_VALUE"""),"Bbifood")</f>
        <v>Bbifood</v>
      </c>
      <c r="N3592" s="33">
        <f>IFERROR(__xludf.DUMMYFUNCTION("""COMPUTED_VALUE"""),0.6666666666666666)</f>
        <v>0.6666666667</v>
      </c>
      <c r="O3592" s="4" t="str">
        <f>IFERROR(__xludf.DUMMYFUNCTION("""COMPUTED_VALUE"""),"null")</f>
        <v>null</v>
      </c>
      <c r="P3592" s="33">
        <f>IFERROR(__xludf.DUMMYFUNCTION("""COMPUTED_VALUE"""),0.6666666666666666)</f>
        <v>0.6666666667</v>
      </c>
      <c r="Q3592" s="4" t="str">
        <f>IFERROR(__xludf.DUMMYFUNCTION("""COMPUTED_VALUE"""),"null")</f>
        <v>null</v>
      </c>
      <c r="R3592" s="33">
        <f>IFERROR(__xludf.DUMMYFUNCTION("""COMPUTED_VALUE"""),0.6666666666666666)</f>
        <v>0.6666666667</v>
      </c>
      <c r="S3592" s="4" t="str">
        <f>IFERROR(__xludf.DUMMYFUNCTION("""COMPUTED_VALUE"""),"null")</f>
        <v>null</v>
      </c>
      <c r="T3592" s="33">
        <f>IFERROR(__xludf.DUMMYFUNCTION("""COMPUTED_VALUE"""),0.6666666666666666)</f>
        <v>0.6666666667</v>
      </c>
      <c r="U3592" s="4" t="str">
        <f>IFERROR(__xludf.DUMMYFUNCTION("""COMPUTED_VALUE"""),"null")</f>
        <v>null</v>
      </c>
      <c r="V3592" s="33">
        <f>IFERROR(__xludf.DUMMYFUNCTION("""COMPUTED_VALUE"""),0.6666666666666666)</f>
        <v>0.6666666667</v>
      </c>
      <c r="W3592" s="4" t="str">
        <f>IFERROR(__xludf.DUMMYFUNCTION("""COMPUTED_VALUE"""),"null")</f>
        <v>null</v>
      </c>
      <c r="X3592" s="33">
        <f>IFERROR(__xludf.DUMMYFUNCTION("""COMPUTED_VALUE"""),0.6666666666666666)</f>
        <v>0.6666666667</v>
      </c>
    </row>
    <row r="3593">
      <c r="K3593" s="4" t="str">
        <f>IFERROR(__xludf.DUMMYFUNCTION("""COMPUTED_VALUE"""),"KOMBO SALGADOS")</f>
        <v>KOMBO SALGADOS</v>
      </c>
      <c r="L3593" s="32">
        <f>IFERROR(__xludf.DUMMYFUNCTION("""COMPUTED_VALUE"""),3.0)</f>
        <v>3</v>
      </c>
      <c r="M3593" s="4" t="str">
        <f>IFERROR(__xludf.DUMMYFUNCTION("""COMPUTED_VALUE"""),"Saipos Serviços De Software")</f>
        <v>Saipos Serviços De Software</v>
      </c>
      <c r="N3593" s="33">
        <f>IFERROR(__xludf.DUMMYFUNCTION("""COMPUTED_VALUE"""),1.0)</f>
        <v>1</v>
      </c>
      <c r="O3593" s="4" t="str">
        <f>IFERROR(__xludf.DUMMYFUNCTION("""COMPUTED_VALUE"""),"Saipos Serviços De Software")</f>
        <v>Saipos Serviços De Software</v>
      </c>
      <c r="P3593" s="33">
        <f>IFERROR(__xludf.DUMMYFUNCTION("""COMPUTED_VALUE"""),1.0)</f>
        <v>1</v>
      </c>
      <c r="Q3593" s="4" t="str">
        <f>IFERROR(__xludf.DUMMYFUNCTION("""COMPUTED_VALUE"""),"Saipos Serviços De Software")</f>
        <v>Saipos Serviços De Software</v>
      </c>
      <c r="R3593" s="33">
        <f>IFERROR(__xludf.DUMMYFUNCTION("""COMPUTED_VALUE"""),1.0)</f>
        <v>1</v>
      </c>
      <c r="S3593" s="4" t="str">
        <f>IFERROR(__xludf.DUMMYFUNCTION("""COMPUTED_VALUE"""),"Saipos Serviços De Software")</f>
        <v>Saipos Serviços De Software</v>
      </c>
      <c r="T3593" s="33">
        <f>IFERROR(__xludf.DUMMYFUNCTION("""COMPUTED_VALUE"""),1.0)</f>
        <v>1</v>
      </c>
      <c r="U3593" s="4" t="str">
        <f>IFERROR(__xludf.DUMMYFUNCTION("""COMPUTED_VALUE"""),"Saipos Serviços De Software")</f>
        <v>Saipos Serviços De Software</v>
      </c>
      <c r="V3593" s="33">
        <f>IFERROR(__xludf.DUMMYFUNCTION("""COMPUTED_VALUE"""),1.0)</f>
        <v>1</v>
      </c>
      <c r="W3593" s="4" t="str">
        <f>IFERROR(__xludf.DUMMYFUNCTION("""COMPUTED_VALUE"""),"Saipos Serviços De Software")</f>
        <v>Saipos Serviços De Software</v>
      </c>
      <c r="X3593" s="33">
        <f>IFERROR(__xludf.DUMMYFUNCTION("""COMPUTED_VALUE"""),1.0)</f>
        <v>1</v>
      </c>
    </row>
    <row r="3594">
      <c r="K3594" s="4" t="str">
        <f>IFERROR(__xludf.DUMMYFUNCTION("""COMPUTED_VALUE"""),"KOMI KOMI - SUSHI")</f>
        <v>KOMI KOMI - SUSHI</v>
      </c>
      <c r="L3594" s="32">
        <f>IFERROR(__xludf.DUMMYFUNCTION("""COMPUTED_VALUE"""),3.0)</f>
        <v>3</v>
      </c>
      <c r="M3594" s="4" t="str">
        <f>IFERROR(__xludf.DUMMYFUNCTION("""COMPUTED_VALUE"""),"Saipos Serviços De Software")</f>
        <v>Saipos Serviços De Software</v>
      </c>
      <c r="N3594" s="33">
        <f>IFERROR(__xludf.DUMMYFUNCTION("""COMPUTED_VALUE"""),1.0)</f>
        <v>1</v>
      </c>
      <c r="O3594" s="4" t="str">
        <f>IFERROR(__xludf.DUMMYFUNCTION("""COMPUTED_VALUE"""),"Saipos Serviços De Software")</f>
        <v>Saipos Serviços De Software</v>
      </c>
      <c r="P3594" s="33">
        <f>IFERROR(__xludf.DUMMYFUNCTION("""COMPUTED_VALUE"""),1.0)</f>
        <v>1</v>
      </c>
      <c r="Q3594" s="4" t="str">
        <f>IFERROR(__xludf.DUMMYFUNCTION("""COMPUTED_VALUE"""),"Saipos Serviços De Software")</f>
        <v>Saipos Serviços De Software</v>
      </c>
      <c r="R3594" s="33">
        <f>IFERROR(__xludf.DUMMYFUNCTION("""COMPUTED_VALUE"""),1.0)</f>
        <v>1</v>
      </c>
      <c r="S3594" s="4" t="str">
        <f>IFERROR(__xludf.DUMMYFUNCTION("""COMPUTED_VALUE"""),"Saipos Serviços De Software")</f>
        <v>Saipos Serviços De Software</v>
      </c>
      <c r="T3594" s="33">
        <f>IFERROR(__xludf.DUMMYFUNCTION("""COMPUTED_VALUE"""),1.0)</f>
        <v>1</v>
      </c>
      <c r="U3594" s="4" t="str">
        <f>IFERROR(__xludf.DUMMYFUNCTION("""COMPUTED_VALUE"""),"Saipos Serviços De Software")</f>
        <v>Saipos Serviços De Software</v>
      </c>
      <c r="V3594" s="33">
        <f>IFERROR(__xludf.DUMMYFUNCTION("""COMPUTED_VALUE"""),1.0)</f>
        <v>1</v>
      </c>
      <c r="W3594" s="4" t="str">
        <f>IFERROR(__xludf.DUMMYFUNCTION("""COMPUTED_VALUE"""),"Saipos Serviços De Software")</f>
        <v>Saipos Serviços De Software</v>
      </c>
      <c r="X3594" s="33">
        <f>IFERROR(__xludf.DUMMYFUNCTION("""COMPUTED_VALUE"""),1.0)</f>
        <v>1</v>
      </c>
    </row>
    <row r="3595">
      <c r="K3595" s="4" t="str">
        <f>IFERROR(__xludf.DUMMYFUNCTION("""COMPUTED_VALUE"""),"KOSUSHI")</f>
        <v>KOSUSHI</v>
      </c>
      <c r="L3595" s="32">
        <f>IFERROR(__xludf.DUMMYFUNCTION("""COMPUTED_VALUE"""),3.0)</f>
        <v>3</v>
      </c>
      <c r="M3595" s="4" t="str">
        <f>IFERROR(__xludf.DUMMYFUNCTION("""COMPUTED_VALUE"""),"Altec Sistemas")</f>
        <v>Altec Sistemas</v>
      </c>
      <c r="N3595" s="33">
        <f>IFERROR(__xludf.DUMMYFUNCTION("""COMPUTED_VALUE"""),1.0)</f>
        <v>1</v>
      </c>
      <c r="O3595" s="4" t="str">
        <f>IFERROR(__xludf.DUMMYFUNCTION("""COMPUTED_VALUE"""),"Altec Sistemas")</f>
        <v>Altec Sistemas</v>
      </c>
      <c r="P3595" s="33">
        <f>IFERROR(__xludf.DUMMYFUNCTION("""COMPUTED_VALUE"""),0.6666666666666666)</f>
        <v>0.6666666667</v>
      </c>
      <c r="Q3595" s="4" t="str">
        <f>IFERROR(__xludf.DUMMYFUNCTION("""COMPUTED_VALUE"""),"Altec Sistemas")</f>
        <v>Altec Sistemas</v>
      </c>
      <c r="R3595" s="33">
        <f>IFERROR(__xludf.DUMMYFUNCTION("""COMPUTED_VALUE"""),0.6666666666666666)</f>
        <v>0.6666666667</v>
      </c>
      <c r="S3595" s="4" t="str">
        <f>IFERROR(__xludf.DUMMYFUNCTION("""COMPUTED_VALUE"""),"Altec Sistemas")</f>
        <v>Altec Sistemas</v>
      </c>
      <c r="T3595" s="33">
        <f>IFERROR(__xludf.DUMMYFUNCTION("""COMPUTED_VALUE"""),0.6666666666666666)</f>
        <v>0.6666666667</v>
      </c>
      <c r="U3595" s="4" t="str">
        <f>IFERROR(__xludf.DUMMYFUNCTION("""COMPUTED_VALUE"""),"Altec Sistemas")</f>
        <v>Altec Sistemas</v>
      </c>
      <c r="V3595" s="33">
        <f>IFERROR(__xludf.DUMMYFUNCTION("""COMPUTED_VALUE"""),0.6666666666666666)</f>
        <v>0.6666666667</v>
      </c>
      <c r="W3595" s="4" t="str">
        <f>IFERROR(__xludf.DUMMYFUNCTION("""COMPUTED_VALUE"""),"Alpha Logo")</f>
        <v>Alpha Logo</v>
      </c>
      <c r="X3595" s="33">
        <f>IFERROR(__xludf.DUMMYFUNCTION("""COMPUTED_VALUE"""),0.6666666666666666)</f>
        <v>0.6666666667</v>
      </c>
    </row>
    <row r="3596">
      <c r="K3596" s="4" t="str">
        <f>IFERROR(__xludf.DUMMYFUNCTION("""COMPUTED_VALUE"""),"KPOP CHIKEN")</f>
        <v>KPOP CHIKEN</v>
      </c>
      <c r="L3596" s="32">
        <f>IFERROR(__xludf.DUMMYFUNCTION("""COMPUTED_VALUE"""),3.0)</f>
        <v>3</v>
      </c>
      <c r="M3596" s="4" t="str">
        <f>IFERROR(__xludf.DUMMYFUNCTION("""COMPUTED_VALUE"""),"Saipos Serviços De Software")</f>
        <v>Saipos Serviços De Software</v>
      </c>
      <c r="N3596" s="33">
        <f>IFERROR(__xludf.DUMMYFUNCTION("""COMPUTED_VALUE"""),1.0)</f>
        <v>1</v>
      </c>
      <c r="O3596" s="4" t="str">
        <f>IFERROR(__xludf.DUMMYFUNCTION("""COMPUTED_VALUE"""),"Saipos Serviços De Software")</f>
        <v>Saipos Serviços De Software</v>
      </c>
      <c r="P3596" s="33">
        <f>IFERROR(__xludf.DUMMYFUNCTION("""COMPUTED_VALUE"""),1.0)</f>
        <v>1</v>
      </c>
      <c r="Q3596" s="4" t="str">
        <f>IFERROR(__xludf.DUMMYFUNCTION("""COMPUTED_VALUE"""),"Saipos Serviços De Software")</f>
        <v>Saipos Serviços De Software</v>
      </c>
      <c r="R3596" s="33">
        <f>IFERROR(__xludf.DUMMYFUNCTION("""COMPUTED_VALUE"""),1.0)</f>
        <v>1</v>
      </c>
      <c r="S3596" s="4" t="str">
        <f>IFERROR(__xludf.DUMMYFUNCTION("""COMPUTED_VALUE"""),"Saipos Serviços De Software")</f>
        <v>Saipos Serviços De Software</v>
      </c>
      <c r="T3596" s="33">
        <f>IFERROR(__xludf.DUMMYFUNCTION("""COMPUTED_VALUE"""),1.0)</f>
        <v>1</v>
      </c>
      <c r="U3596" s="4" t="str">
        <f>IFERROR(__xludf.DUMMYFUNCTION("""COMPUTED_VALUE"""),"Saipos Serviços De Software")</f>
        <v>Saipos Serviços De Software</v>
      </c>
      <c r="V3596" s="33">
        <f>IFERROR(__xludf.DUMMYFUNCTION("""COMPUTED_VALUE"""),1.0)</f>
        <v>1</v>
      </c>
      <c r="W3596" s="4" t="str">
        <f>IFERROR(__xludf.DUMMYFUNCTION("""COMPUTED_VALUE"""),"Saipos Serviços De Software")</f>
        <v>Saipos Serviços De Software</v>
      </c>
      <c r="X3596" s="33">
        <f>IFERROR(__xludf.DUMMYFUNCTION("""COMPUTED_VALUE"""),1.0)</f>
        <v>1</v>
      </c>
    </row>
    <row r="3597">
      <c r="K3597" s="4" t="str">
        <f>IFERROR(__xludf.DUMMYFUNCTION("""COMPUTED_VALUE"""),"KROKE SALGADOS")</f>
        <v>KROKE SALGADOS</v>
      </c>
      <c r="L3597" s="32">
        <f>IFERROR(__xludf.DUMMYFUNCTION("""COMPUTED_VALUE"""),3.0)</f>
        <v>3</v>
      </c>
      <c r="M3597" s="4" t="str">
        <f>IFERROR(__xludf.DUMMYFUNCTION("""COMPUTED_VALUE"""),"Glow")</f>
        <v>Glow</v>
      </c>
      <c r="N3597" s="33">
        <f>IFERROR(__xludf.DUMMYFUNCTION("""COMPUTED_VALUE"""),1.0)</f>
        <v>1</v>
      </c>
      <c r="O3597" s="4" t="str">
        <f>IFERROR(__xludf.DUMMYFUNCTION("""COMPUTED_VALUE"""),"Glow")</f>
        <v>Glow</v>
      </c>
      <c r="P3597" s="33">
        <f>IFERROR(__xludf.DUMMYFUNCTION("""COMPUTED_VALUE"""),1.0)</f>
        <v>1</v>
      </c>
      <c r="Q3597" s="4" t="str">
        <f>IFERROR(__xludf.DUMMYFUNCTION("""COMPUTED_VALUE"""),"Glow")</f>
        <v>Glow</v>
      </c>
      <c r="R3597" s="33">
        <f>IFERROR(__xludf.DUMMYFUNCTION("""COMPUTED_VALUE"""),0.6666666666666666)</f>
        <v>0.6666666667</v>
      </c>
      <c r="S3597" s="4" t="str">
        <f>IFERROR(__xludf.DUMMYFUNCTION("""COMPUTED_VALUE"""),"Glow")</f>
        <v>Glow</v>
      </c>
      <c r="T3597" s="33">
        <f>IFERROR(__xludf.DUMMYFUNCTION("""COMPUTED_VALUE"""),1.0)</f>
        <v>1</v>
      </c>
      <c r="U3597" s="4" t="str">
        <f>IFERROR(__xludf.DUMMYFUNCTION("""COMPUTED_VALUE"""),"Glow")</f>
        <v>Glow</v>
      </c>
      <c r="V3597" s="33">
        <f>IFERROR(__xludf.DUMMYFUNCTION("""COMPUTED_VALUE"""),0.6666666666666666)</f>
        <v>0.6666666667</v>
      </c>
      <c r="W3597" s="4" t="str">
        <f>IFERROR(__xludf.DUMMYFUNCTION("""COMPUTED_VALUE"""),"Glow")</f>
        <v>Glow</v>
      </c>
      <c r="X3597" s="33">
        <f>IFERROR(__xludf.DUMMYFUNCTION("""COMPUTED_VALUE"""),1.0)</f>
        <v>1</v>
      </c>
    </row>
    <row r="3598">
      <c r="K3598" s="4" t="str">
        <f>IFERROR(__xludf.DUMMYFUNCTION("""COMPUTED_VALUE"""),"KURO FAST SUSHI")</f>
        <v>KURO FAST SUSHI</v>
      </c>
      <c r="L3598" s="32">
        <f>IFERROR(__xludf.DUMMYFUNCTION("""COMPUTED_VALUE"""),3.0)</f>
        <v>3</v>
      </c>
      <c r="M3598" s="4" t="str">
        <f>IFERROR(__xludf.DUMMYFUNCTION("""COMPUTED_VALUE"""),"Saipos Serviços De Software")</f>
        <v>Saipos Serviços De Software</v>
      </c>
      <c r="N3598" s="33">
        <f>IFERROR(__xludf.DUMMYFUNCTION("""COMPUTED_VALUE"""),0.6666666666666666)</f>
        <v>0.6666666667</v>
      </c>
      <c r="O3598" s="4" t="str">
        <f>IFERROR(__xludf.DUMMYFUNCTION("""COMPUTED_VALUE"""),"Saipos Serviços De Software")</f>
        <v>Saipos Serviços De Software</v>
      </c>
      <c r="P3598" s="33">
        <f>IFERROR(__xludf.DUMMYFUNCTION("""COMPUTED_VALUE"""),1.0)</f>
        <v>1</v>
      </c>
      <c r="Q3598" s="4" t="str">
        <f>IFERROR(__xludf.DUMMYFUNCTION("""COMPUTED_VALUE"""),"Saipos Serviços De Software")</f>
        <v>Saipos Serviços De Software</v>
      </c>
      <c r="R3598" s="33">
        <f>IFERROR(__xludf.DUMMYFUNCTION("""COMPUTED_VALUE"""),1.0)</f>
        <v>1</v>
      </c>
      <c r="S3598" s="4" t="str">
        <f>IFERROR(__xludf.DUMMYFUNCTION("""COMPUTED_VALUE"""),"Saipos Serviços De Software")</f>
        <v>Saipos Serviços De Software</v>
      </c>
      <c r="T3598" s="33">
        <f>IFERROR(__xludf.DUMMYFUNCTION("""COMPUTED_VALUE"""),1.0)</f>
        <v>1</v>
      </c>
      <c r="U3598" s="4" t="str">
        <f>IFERROR(__xludf.DUMMYFUNCTION("""COMPUTED_VALUE"""),"Saipos Serviços De Software")</f>
        <v>Saipos Serviços De Software</v>
      </c>
      <c r="V3598" s="33">
        <f>IFERROR(__xludf.DUMMYFUNCTION("""COMPUTED_VALUE"""),1.0)</f>
        <v>1</v>
      </c>
      <c r="W3598" s="4" t="str">
        <f>IFERROR(__xludf.DUMMYFUNCTION("""COMPUTED_VALUE"""),"Saipos Serviços De Software")</f>
        <v>Saipos Serviços De Software</v>
      </c>
      <c r="X3598" s="33">
        <f>IFERROR(__xludf.DUMMYFUNCTION("""COMPUTED_VALUE"""),1.0)</f>
        <v>1</v>
      </c>
    </row>
    <row r="3599">
      <c r="K3599" s="4" t="str">
        <f>IFERROR(__xludf.DUMMYFUNCTION("""COMPUTED_VALUE"""),"KURODA ATACAREJO - CONTA GRUPO")</f>
        <v>KURODA ATACAREJO - CONTA GRUPO</v>
      </c>
      <c r="L3599" s="32">
        <f>IFERROR(__xludf.DUMMYFUNCTION("""COMPUTED_VALUE"""),3.0)</f>
        <v>3</v>
      </c>
      <c r="M3599" s="4" t="str">
        <f>IFERROR(__xludf.DUMMYFUNCTION("""COMPUTED_VALUE"""),"N/A (Not found)")</f>
        <v>N/A (Not found)</v>
      </c>
      <c r="N3599" s="33">
        <f>IFERROR(__xludf.DUMMYFUNCTION("""COMPUTED_VALUE"""),1.0)</f>
        <v>1</v>
      </c>
      <c r="O3599" s="4" t="str">
        <f>IFERROR(__xludf.DUMMYFUNCTION("""COMPUTED_VALUE"""),"N/A (Not found)")</f>
        <v>N/A (Not found)</v>
      </c>
      <c r="P3599" s="33">
        <f>IFERROR(__xludf.DUMMYFUNCTION("""COMPUTED_VALUE"""),1.0)</f>
        <v>1</v>
      </c>
      <c r="Q3599" s="4" t="str">
        <f>IFERROR(__xludf.DUMMYFUNCTION("""COMPUTED_VALUE"""),"N/A (Not found)")</f>
        <v>N/A (Not found)</v>
      </c>
      <c r="R3599" s="33">
        <f>IFERROR(__xludf.DUMMYFUNCTION("""COMPUTED_VALUE"""),1.0)</f>
        <v>1</v>
      </c>
      <c r="S3599" s="4" t="str">
        <f>IFERROR(__xludf.DUMMYFUNCTION("""COMPUTED_VALUE"""),"N/A (Not found)")</f>
        <v>N/A (Not found)</v>
      </c>
      <c r="T3599" s="33">
        <f>IFERROR(__xludf.DUMMYFUNCTION("""COMPUTED_VALUE"""),1.0)</f>
        <v>1</v>
      </c>
      <c r="U3599" s="4" t="str">
        <f>IFERROR(__xludf.DUMMYFUNCTION("""COMPUTED_VALUE"""),"N/A (Not found)")</f>
        <v>N/A (Not found)</v>
      </c>
      <c r="V3599" s="33">
        <f>IFERROR(__xludf.DUMMYFUNCTION("""COMPUTED_VALUE"""),1.0)</f>
        <v>1</v>
      </c>
      <c r="W3599" s="4" t="str">
        <f>IFERROR(__xludf.DUMMYFUNCTION("""COMPUTED_VALUE"""),"N/A (Not found)")</f>
        <v>N/A (Not found)</v>
      </c>
      <c r="X3599" s="33">
        <f>IFERROR(__xludf.DUMMYFUNCTION("""COMPUTED_VALUE"""),1.0)</f>
        <v>1</v>
      </c>
    </row>
    <row r="3600">
      <c r="K3600" s="4" t="str">
        <f>IFERROR(__xludf.DUMMYFUNCTION("""COMPUTED_VALUE"""),"L R ARTESANAL BURGUER - CONTA PAI")</f>
        <v>L R ARTESANAL BURGUER - CONTA PAI</v>
      </c>
      <c r="L3600" s="32">
        <f>IFERROR(__xludf.DUMMYFUNCTION("""COMPUTED_VALUE"""),3.0)</f>
        <v>3</v>
      </c>
      <c r="M3600" s="4" t="str">
        <f>IFERROR(__xludf.DUMMYFUNCTION("""COMPUTED_VALUE"""),"null")</f>
        <v>null</v>
      </c>
      <c r="N3600" s="33">
        <f>IFERROR(__xludf.DUMMYFUNCTION("""COMPUTED_VALUE"""),1.0)</f>
        <v>1</v>
      </c>
      <c r="O3600" s="4" t="str">
        <f>IFERROR(__xludf.DUMMYFUNCTION("""COMPUTED_VALUE"""),"null")</f>
        <v>null</v>
      </c>
      <c r="P3600" s="33">
        <f>IFERROR(__xludf.DUMMYFUNCTION("""COMPUTED_VALUE"""),1.0)</f>
        <v>1</v>
      </c>
      <c r="Q3600" s="4" t="str">
        <f>IFERROR(__xludf.DUMMYFUNCTION("""COMPUTED_VALUE"""),"null")</f>
        <v>null</v>
      </c>
      <c r="R3600" s="33">
        <f>IFERROR(__xludf.DUMMYFUNCTION("""COMPUTED_VALUE"""),1.0)</f>
        <v>1</v>
      </c>
      <c r="S3600" s="4" t="str">
        <f>IFERROR(__xludf.DUMMYFUNCTION("""COMPUTED_VALUE"""),"null")</f>
        <v>null</v>
      </c>
      <c r="T3600" s="33">
        <f>IFERROR(__xludf.DUMMYFUNCTION("""COMPUTED_VALUE"""),1.0)</f>
        <v>1</v>
      </c>
      <c r="U3600" s="4" t="str">
        <f>IFERROR(__xludf.DUMMYFUNCTION("""COMPUTED_VALUE"""),"null")</f>
        <v>null</v>
      </c>
      <c r="V3600" s="33">
        <f>IFERROR(__xludf.DUMMYFUNCTION("""COMPUTED_VALUE"""),0.6666666666666666)</f>
        <v>0.6666666667</v>
      </c>
      <c r="W3600" s="4" t="str">
        <f>IFERROR(__xludf.DUMMYFUNCTION("""COMPUTED_VALUE"""),"Saipos Serviços De Software")</f>
        <v>Saipos Serviços De Software</v>
      </c>
      <c r="X3600" s="33">
        <f>IFERROR(__xludf.DUMMYFUNCTION("""COMPUTED_VALUE"""),1.0)</f>
        <v>1</v>
      </c>
    </row>
    <row r="3601">
      <c r="K3601" s="4" t="str">
        <f>IFERROR(__xludf.DUMMYFUNCTION("""COMPUTED_VALUE"""),"LA DOLCE")</f>
        <v>LA DOLCE</v>
      </c>
      <c r="L3601" s="32">
        <f>IFERROR(__xludf.DUMMYFUNCTION("""COMPUTED_VALUE"""),3.0)</f>
        <v>3</v>
      </c>
      <c r="M3601" s="4" t="str">
        <f>IFERROR(__xludf.DUMMYFUNCTION("""COMPUTED_VALUE"""),"Cardápio Web")</f>
        <v>Cardápio Web</v>
      </c>
      <c r="N3601" s="33">
        <f>IFERROR(__xludf.DUMMYFUNCTION("""COMPUTED_VALUE"""),1.0)</f>
        <v>1</v>
      </c>
      <c r="O3601" s="4" t="str">
        <f>IFERROR(__xludf.DUMMYFUNCTION("""COMPUTED_VALUE"""),"Cardápio Web")</f>
        <v>Cardápio Web</v>
      </c>
      <c r="P3601" s="33">
        <f>IFERROR(__xludf.DUMMYFUNCTION("""COMPUTED_VALUE"""),1.0)</f>
        <v>1</v>
      </c>
      <c r="Q3601" s="4" t="str">
        <f>IFERROR(__xludf.DUMMYFUNCTION("""COMPUTED_VALUE"""),"Cardápio Web")</f>
        <v>Cardápio Web</v>
      </c>
      <c r="R3601" s="33">
        <f>IFERROR(__xludf.DUMMYFUNCTION("""COMPUTED_VALUE"""),1.0)</f>
        <v>1</v>
      </c>
      <c r="S3601" s="4" t="str">
        <f>IFERROR(__xludf.DUMMYFUNCTION("""COMPUTED_VALUE"""),"Cardápio Web")</f>
        <v>Cardápio Web</v>
      </c>
      <c r="T3601" s="33">
        <f>IFERROR(__xludf.DUMMYFUNCTION("""COMPUTED_VALUE"""),1.0)</f>
        <v>1</v>
      </c>
      <c r="U3601" s="4" t="str">
        <f>IFERROR(__xludf.DUMMYFUNCTION("""COMPUTED_VALUE"""),"Cardápio Web")</f>
        <v>Cardápio Web</v>
      </c>
      <c r="V3601" s="33">
        <f>IFERROR(__xludf.DUMMYFUNCTION("""COMPUTED_VALUE"""),1.0)</f>
        <v>1</v>
      </c>
      <c r="W3601" s="4" t="str">
        <f>IFERROR(__xludf.DUMMYFUNCTION("""COMPUTED_VALUE"""),"Cardápio Web")</f>
        <v>Cardápio Web</v>
      </c>
      <c r="X3601" s="33">
        <f>IFERROR(__xludf.DUMMYFUNCTION("""COMPUTED_VALUE"""),1.0)</f>
        <v>1</v>
      </c>
    </row>
    <row r="3602">
      <c r="K3602" s="4" t="str">
        <f>IFERROR(__xludf.DUMMYFUNCTION("""COMPUTED_VALUE"""),"LA DOLINA")</f>
        <v>LA DOLINA</v>
      </c>
      <c r="L3602" s="32">
        <f>IFERROR(__xludf.DUMMYFUNCTION("""COMPUTED_VALUE"""),3.0)</f>
        <v>3</v>
      </c>
      <c r="M3602" s="4" t="str">
        <f>IFERROR(__xludf.DUMMYFUNCTION("""COMPUTED_VALUE"""),"Vuca Solution")</f>
        <v>Vuca Solution</v>
      </c>
      <c r="N3602" s="33">
        <f>IFERROR(__xludf.DUMMYFUNCTION("""COMPUTED_VALUE"""),0.6666666666666666)</f>
        <v>0.6666666667</v>
      </c>
      <c r="O3602" s="4" t="str">
        <f>IFERROR(__xludf.DUMMYFUNCTION("""COMPUTED_VALUE"""),"Vuca Solution")</f>
        <v>Vuca Solution</v>
      </c>
      <c r="P3602" s="33">
        <f>IFERROR(__xludf.DUMMYFUNCTION("""COMPUTED_VALUE"""),1.0)</f>
        <v>1</v>
      </c>
      <c r="Q3602" s="4" t="str">
        <f>IFERROR(__xludf.DUMMYFUNCTION("""COMPUTED_VALUE"""),"Vuca Solution")</f>
        <v>Vuca Solution</v>
      </c>
      <c r="R3602" s="33">
        <f>IFERROR(__xludf.DUMMYFUNCTION("""COMPUTED_VALUE"""),1.0)</f>
        <v>1</v>
      </c>
      <c r="S3602" s="4" t="str">
        <f>IFERROR(__xludf.DUMMYFUNCTION("""COMPUTED_VALUE"""),"Vuca Solution")</f>
        <v>Vuca Solution</v>
      </c>
      <c r="T3602" s="33">
        <f>IFERROR(__xludf.DUMMYFUNCTION("""COMPUTED_VALUE"""),1.0)</f>
        <v>1</v>
      </c>
      <c r="U3602" s="4" t="str">
        <f>IFERROR(__xludf.DUMMYFUNCTION("""COMPUTED_VALUE"""),"Vuca Solution")</f>
        <v>Vuca Solution</v>
      </c>
      <c r="V3602" s="33">
        <f>IFERROR(__xludf.DUMMYFUNCTION("""COMPUTED_VALUE"""),1.0)</f>
        <v>1</v>
      </c>
      <c r="W3602" s="4" t="str">
        <f>IFERROR(__xludf.DUMMYFUNCTION("""COMPUTED_VALUE"""),"Vuca Solution")</f>
        <v>Vuca Solution</v>
      </c>
      <c r="X3602" s="33">
        <f>IFERROR(__xludf.DUMMYFUNCTION("""COMPUTED_VALUE"""),1.0)</f>
        <v>1</v>
      </c>
    </row>
    <row r="3603">
      <c r="K3603" s="4" t="str">
        <f>IFERROR(__xludf.DUMMYFUNCTION("""COMPUTED_VALUE"""),"LA EM CASA MARMITARIA")</f>
        <v>LA EM CASA MARMITARIA</v>
      </c>
      <c r="L3603" s="32">
        <f>IFERROR(__xludf.DUMMYFUNCTION("""COMPUTED_VALUE"""),3.0)</f>
        <v>3</v>
      </c>
      <c r="M3603" s="4" t="str">
        <f>IFERROR(__xludf.DUMMYFUNCTION("""COMPUTED_VALUE"""),"Saipos Serviços De Software")</f>
        <v>Saipos Serviços De Software</v>
      </c>
      <c r="N3603" s="33">
        <f>IFERROR(__xludf.DUMMYFUNCTION("""COMPUTED_VALUE"""),0.6666666666666666)</f>
        <v>0.6666666667</v>
      </c>
      <c r="O3603" s="4" t="str">
        <f>IFERROR(__xludf.DUMMYFUNCTION("""COMPUTED_VALUE"""),"Saipos Serviços De Software")</f>
        <v>Saipos Serviços De Software</v>
      </c>
      <c r="P3603" s="33">
        <f>IFERROR(__xludf.DUMMYFUNCTION("""COMPUTED_VALUE"""),0.6666666666666666)</f>
        <v>0.6666666667</v>
      </c>
      <c r="Q3603" s="4" t="str">
        <f>IFERROR(__xludf.DUMMYFUNCTION("""COMPUTED_VALUE"""),"Saipos Serviços De Software")</f>
        <v>Saipos Serviços De Software</v>
      </c>
      <c r="R3603" s="33">
        <f>IFERROR(__xludf.DUMMYFUNCTION("""COMPUTED_VALUE"""),1.0)</f>
        <v>1</v>
      </c>
      <c r="S3603" s="4" t="str">
        <f>IFERROR(__xludf.DUMMYFUNCTION("""COMPUTED_VALUE"""),"Saipos Serviços De Software")</f>
        <v>Saipos Serviços De Software</v>
      </c>
      <c r="T3603" s="33">
        <f>IFERROR(__xludf.DUMMYFUNCTION("""COMPUTED_VALUE"""),1.0)</f>
        <v>1</v>
      </c>
      <c r="U3603" s="4" t="str">
        <f>IFERROR(__xludf.DUMMYFUNCTION("""COMPUTED_VALUE"""),"Saipos Serviços De Software")</f>
        <v>Saipos Serviços De Software</v>
      </c>
      <c r="V3603" s="33">
        <f>IFERROR(__xludf.DUMMYFUNCTION("""COMPUTED_VALUE"""),0.6666666666666666)</f>
        <v>0.6666666667</v>
      </c>
      <c r="W3603" s="4" t="str">
        <f>IFERROR(__xludf.DUMMYFUNCTION("""COMPUTED_VALUE"""),"Saipos Serviços De Software")</f>
        <v>Saipos Serviços De Software</v>
      </c>
      <c r="X3603" s="33">
        <f>IFERROR(__xludf.DUMMYFUNCTION("""COMPUTED_VALUE"""),0.6666666666666666)</f>
        <v>0.6666666667</v>
      </c>
    </row>
    <row r="3604">
      <c r="K3604" s="4" t="str">
        <f>IFERROR(__xludf.DUMMYFUNCTION("""COMPUTED_VALUE"""),"LA TOSCANA PIZZARIA FOZ")</f>
        <v>LA TOSCANA PIZZARIA FOZ</v>
      </c>
      <c r="L3604" s="32">
        <f>IFERROR(__xludf.DUMMYFUNCTION("""COMPUTED_VALUE"""),3.0)</f>
        <v>3</v>
      </c>
      <c r="M3604" s="4" t="str">
        <f>IFERROR(__xludf.DUMMYFUNCTION("""COMPUTED_VALUE"""),"Saipos Serviços De Software")</f>
        <v>Saipos Serviços De Software</v>
      </c>
      <c r="N3604" s="33">
        <f>IFERROR(__xludf.DUMMYFUNCTION("""COMPUTED_VALUE"""),1.0)</f>
        <v>1</v>
      </c>
      <c r="O3604" s="4" t="str">
        <f>IFERROR(__xludf.DUMMYFUNCTION("""COMPUTED_VALUE"""),"Saipos Serviços De Software")</f>
        <v>Saipos Serviços De Software</v>
      </c>
      <c r="P3604" s="33">
        <f>IFERROR(__xludf.DUMMYFUNCTION("""COMPUTED_VALUE"""),1.0)</f>
        <v>1</v>
      </c>
      <c r="Q3604" s="4" t="str">
        <f>IFERROR(__xludf.DUMMYFUNCTION("""COMPUTED_VALUE"""),"Saipos Serviços De Software")</f>
        <v>Saipos Serviços De Software</v>
      </c>
      <c r="R3604" s="33">
        <f>IFERROR(__xludf.DUMMYFUNCTION("""COMPUTED_VALUE"""),1.0)</f>
        <v>1</v>
      </c>
      <c r="S3604" s="4" t="str">
        <f>IFERROR(__xludf.DUMMYFUNCTION("""COMPUTED_VALUE"""),"Saipos Serviços De Software")</f>
        <v>Saipos Serviços De Software</v>
      </c>
      <c r="T3604" s="33">
        <f>IFERROR(__xludf.DUMMYFUNCTION("""COMPUTED_VALUE"""),1.0)</f>
        <v>1</v>
      </c>
      <c r="U3604" s="4" t="str">
        <f>IFERROR(__xludf.DUMMYFUNCTION("""COMPUTED_VALUE"""),"Saipos Serviços De Software")</f>
        <v>Saipos Serviços De Software</v>
      </c>
      <c r="V3604" s="33">
        <f>IFERROR(__xludf.DUMMYFUNCTION("""COMPUTED_VALUE"""),1.0)</f>
        <v>1</v>
      </c>
      <c r="W3604" s="4" t="str">
        <f>IFERROR(__xludf.DUMMYFUNCTION("""COMPUTED_VALUE"""),"Saipos Serviços De Software")</f>
        <v>Saipos Serviços De Software</v>
      </c>
      <c r="X3604" s="33">
        <f>IFERROR(__xludf.DUMMYFUNCTION("""COMPUTED_VALUE"""),1.0)</f>
        <v>1</v>
      </c>
    </row>
    <row r="3605">
      <c r="K3605" s="4" t="str">
        <f>IFERROR(__xludf.DUMMYFUNCTION("""COMPUTED_VALUE"""),"LAMBUZA - MARCA")</f>
        <v>LAMBUZA - MARCA</v>
      </c>
      <c r="L3605" s="32">
        <f>IFERROR(__xludf.DUMMYFUNCTION("""COMPUTED_VALUE"""),3.0)</f>
        <v>3</v>
      </c>
      <c r="M3605" s="4" t="str">
        <f>IFERROR(__xludf.DUMMYFUNCTION("""COMPUTED_VALUE"""),"Bbifood")</f>
        <v>Bbifood</v>
      </c>
      <c r="N3605" s="33">
        <f>IFERROR(__xludf.DUMMYFUNCTION("""COMPUTED_VALUE"""),0.6666666666666666)</f>
        <v>0.6666666667</v>
      </c>
      <c r="O3605" s="4" t="str">
        <f>IFERROR(__xludf.DUMMYFUNCTION("""COMPUTED_VALUE"""),"Bbifood")</f>
        <v>Bbifood</v>
      </c>
      <c r="P3605" s="33">
        <f>IFERROR(__xludf.DUMMYFUNCTION("""COMPUTED_VALUE"""),1.0)</f>
        <v>1</v>
      </c>
      <c r="Q3605" s="4" t="str">
        <f>IFERROR(__xludf.DUMMYFUNCTION("""COMPUTED_VALUE"""),"Bbifood")</f>
        <v>Bbifood</v>
      </c>
      <c r="R3605" s="33">
        <f>IFERROR(__xludf.DUMMYFUNCTION("""COMPUTED_VALUE"""),0.6666666666666666)</f>
        <v>0.6666666667</v>
      </c>
      <c r="S3605" s="4" t="str">
        <f>IFERROR(__xludf.DUMMYFUNCTION("""COMPUTED_VALUE"""),"Bbifood")</f>
        <v>Bbifood</v>
      </c>
      <c r="T3605" s="33">
        <f>IFERROR(__xludf.DUMMYFUNCTION("""COMPUTED_VALUE"""),0.6666666666666666)</f>
        <v>0.6666666667</v>
      </c>
      <c r="U3605" s="4" t="str">
        <f>IFERROR(__xludf.DUMMYFUNCTION("""COMPUTED_VALUE"""),"Bbifood")</f>
        <v>Bbifood</v>
      </c>
      <c r="V3605" s="33">
        <f>IFERROR(__xludf.DUMMYFUNCTION("""COMPUTED_VALUE"""),1.0)</f>
        <v>1</v>
      </c>
      <c r="W3605" s="4" t="str">
        <f>IFERROR(__xludf.DUMMYFUNCTION("""COMPUTED_VALUE"""),"Bbifood")</f>
        <v>Bbifood</v>
      </c>
      <c r="X3605" s="33">
        <f>IFERROR(__xludf.DUMMYFUNCTION("""COMPUTED_VALUE"""),1.0)</f>
        <v>1</v>
      </c>
    </row>
    <row r="3606">
      <c r="K3606" s="4" t="str">
        <f>IFERROR(__xludf.DUMMYFUNCTION("""COMPUTED_VALUE"""),"LANCHE DO CHEFFS")</f>
        <v>LANCHE DO CHEFFS</v>
      </c>
      <c r="L3606" s="32">
        <f>IFERROR(__xludf.DUMMYFUNCTION("""COMPUTED_VALUE"""),3.0)</f>
        <v>3</v>
      </c>
      <c r="M3606" s="4" t="str">
        <f>IFERROR(__xludf.DUMMYFUNCTION("""COMPUTED_VALUE"""),"Saipos Serviços De Software")</f>
        <v>Saipos Serviços De Software</v>
      </c>
      <c r="N3606" s="33">
        <f>IFERROR(__xludf.DUMMYFUNCTION("""COMPUTED_VALUE"""),1.0)</f>
        <v>1</v>
      </c>
      <c r="O3606" s="4" t="str">
        <f>IFERROR(__xludf.DUMMYFUNCTION("""COMPUTED_VALUE"""),"null")</f>
        <v>null</v>
      </c>
      <c r="P3606" s="33">
        <f>IFERROR(__xludf.DUMMYFUNCTION("""COMPUTED_VALUE"""),1.0)</f>
        <v>1</v>
      </c>
      <c r="Q3606" s="4" t="str">
        <f>IFERROR(__xludf.DUMMYFUNCTION("""COMPUTED_VALUE"""),"null")</f>
        <v>null</v>
      </c>
      <c r="R3606" s="33">
        <f>IFERROR(__xludf.DUMMYFUNCTION("""COMPUTED_VALUE"""),1.0)</f>
        <v>1</v>
      </c>
      <c r="S3606" s="4" t="str">
        <f>IFERROR(__xludf.DUMMYFUNCTION("""COMPUTED_VALUE"""),"null")</f>
        <v>null</v>
      </c>
      <c r="T3606" s="33">
        <f>IFERROR(__xludf.DUMMYFUNCTION("""COMPUTED_VALUE"""),1.0)</f>
        <v>1</v>
      </c>
      <c r="U3606" s="4" t="str">
        <f>IFERROR(__xludf.DUMMYFUNCTION("""COMPUTED_VALUE"""),"null")</f>
        <v>null</v>
      </c>
      <c r="V3606" s="33">
        <f>IFERROR(__xludf.DUMMYFUNCTION("""COMPUTED_VALUE"""),1.0)</f>
        <v>1</v>
      </c>
      <c r="W3606" s="4" t="str">
        <f>IFERROR(__xludf.DUMMYFUNCTION("""COMPUTED_VALUE"""),"null")</f>
        <v>null</v>
      </c>
      <c r="X3606" s="33">
        <f>IFERROR(__xludf.DUMMYFUNCTION("""COMPUTED_VALUE"""),1.0)</f>
        <v>1</v>
      </c>
    </row>
    <row r="3607">
      <c r="K3607" s="4" t="str">
        <f>IFERROR(__xludf.DUMMYFUNCTION("""COMPUTED_VALUE"""),"LE CHEF DELIVERY SAUDAVEL")</f>
        <v>LE CHEF DELIVERY SAUDAVEL</v>
      </c>
      <c r="L3607" s="32">
        <f>IFERROR(__xludf.DUMMYFUNCTION("""COMPUTED_VALUE"""),3.0)</f>
        <v>3</v>
      </c>
      <c r="M3607" s="4" t="str">
        <f>IFERROR(__xludf.DUMMYFUNCTION("""COMPUTED_VALUE"""),"Saipos Serviços De Software")</f>
        <v>Saipos Serviços De Software</v>
      </c>
      <c r="N3607" s="33">
        <f>IFERROR(__xludf.DUMMYFUNCTION("""COMPUTED_VALUE"""),1.0)</f>
        <v>1</v>
      </c>
      <c r="O3607" s="4" t="str">
        <f>IFERROR(__xludf.DUMMYFUNCTION("""COMPUTED_VALUE"""),"Saipos Serviços De Software")</f>
        <v>Saipos Serviços De Software</v>
      </c>
      <c r="P3607" s="33">
        <f>IFERROR(__xludf.DUMMYFUNCTION("""COMPUTED_VALUE"""),1.0)</f>
        <v>1</v>
      </c>
      <c r="Q3607" s="4" t="str">
        <f>IFERROR(__xludf.DUMMYFUNCTION("""COMPUTED_VALUE"""),"Saipos Serviços De Software")</f>
        <v>Saipos Serviços De Software</v>
      </c>
      <c r="R3607" s="33">
        <f>IFERROR(__xludf.DUMMYFUNCTION("""COMPUTED_VALUE"""),1.0)</f>
        <v>1</v>
      </c>
      <c r="S3607" s="4" t="str">
        <f>IFERROR(__xludf.DUMMYFUNCTION("""COMPUTED_VALUE"""),"Saipos Serviços De Software")</f>
        <v>Saipos Serviços De Software</v>
      </c>
      <c r="T3607" s="33">
        <f>IFERROR(__xludf.DUMMYFUNCTION("""COMPUTED_VALUE"""),1.0)</f>
        <v>1</v>
      </c>
      <c r="U3607" s="4" t="str">
        <f>IFERROR(__xludf.DUMMYFUNCTION("""COMPUTED_VALUE"""),"Saipos Serviços De Software")</f>
        <v>Saipos Serviços De Software</v>
      </c>
      <c r="V3607" s="33">
        <f>IFERROR(__xludf.DUMMYFUNCTION("""COMPUTED_VALUE"""),1.0)</f>
        <v>1</v>
      </c>
      <c r="W3607" s="4" t="str">
        <f>IFERROR(__xludf.DUMMYFUNCTION("""COMPUTED_VALUE"""),"Saipos Serviços De Software")</f>
        <v>Saipos Serviços De Software</v>
      </c>
      <c r="X3607" s="33">
        <f>IFERROR(__xludf.DUMMYFUNCTION("""COMPUTED_VALUE"""),1.0)</f>
        <v>1</v>
      </c>
    </row>
    <row r="3608">
      <c r="K3608" s="4" t="str">
        <f>IFERROR(__xludf.DUMMYFUNCTION("""COMPUTED_VALUE"""),"LELLIS TRATTORIA - MATRIZ")</f>
        <v>LELLIS TRATTORIA - MATRIZ</v>
      </c>
      <c r="L3608" s="32">
        <f>IFERROR(__xludf.DUMMYFUNCTION("""COMPUTED_VALUE"""),3.0)</f>
        <v>3</v>
      </c>
      <c r="M3608" s="4" t="str">
        <f>IFERROR(__xludf.DUMMYFUNCTION("""COMPUTED_VALUE"""),"Hubster")</f>
        <v>Hubster</v>
      </c>
      <c r="N3608" s="33">
        <f>IFERROR(__xludf.DUMMYFUNCTION("""COMPUTED_VALUE"""),1.0)</f>
        <v>1</v>
      </c>
      <c r="O3608" s="4" t="str">
        <f>IFERROR(__xludf.DUMMYFUNCTION("""COMPUTED_VALUE"""),"Hubster")</f>
        <v>Hubster</v>
      </c>
      <c r="P3608" s="33">
        <f>IFERROR(__xludf.DUMMYFUNCTION("""COMPUTED_VALUE"""),0.6666666666666666)</f>
        <v>0.6666666667</v>
      </c>
      <c r="Q3608" s="4" t="str">
        <f>IFERROR(__xludf.DUMMYFUNCTION("""COMPUTED_VALUE"""),"Hubster")</f>
        <v>Hubster</v>
      </c>
      <c r="R3608" s="33">
        <f>IFERROR(__xludf.DUMMYFUNCTION("""COMPUTED_VALUE"""),0.6666666666666666)</f>
        <v>0.6666666667</v>
      </c>
      <c r="S3608" s="4" t="str">
        <f>IFERROR(__xludf.DUMMYFUNCTION("""COMPUTED_VALUE"""),"Hubster")</f>
        <v>Hubster</v>
      </c>
      <c r="T3608" s="33">
        <f>IFERROR(__xludf.DUMMYFUNCTION("""COMPUTED_VALUE"""),0.6666666666666666)</f>
        <v>0.6666666667</v>
      </c>
      <c r="U3608" s="4" t="str">
        <f>IFERROR(__xludf.DUMMYFUNCTION("""COMPUTED_VALUE"""),"null")</f>
        <v>null</v>
      </c>
      <c r="V3608" s="33">
        <f>IFERROR(__xludf.DUMMYFUNCTION("""COMPUTED_VALUE"""),0.6666666666666666)</f>
        <v>0.6666666667</v>
      </c>
      <c r="W3608" s="4" t="str">
        <f>IFERROR(__xludf.DUMMYFUNCTION("""COMPUTED_VALUE"""),"null")</f>
        <v>null</v>
      </c>
      <c r="X3608" s="33">
        <f>IFERROR(__xludf.DUMMYFUNCTION("""COMPUTED_VALUE"""),0.6666666666666666)</f>
        <v>0.6666666667</v>
      </c>
    </row>
    <row r="3609">
      <c r="K3609" s="4" t="str">
        <f>IFERROR(__xludf.DUMMYFUNCTION("""COMPUTED_VALUE"""),"LENHARETTO FORNO E BRASA - MARCA")</f>
        <v>LENHARETTO FORNO E BRASA - MARCA</v>
      </c>
      <c r="L3609" s="32">
        <f>IFERROR(__xludf.DUMMYFUNCTION("""COMPUTED_VALUE"""),3.0)</f>
        <v>3</v>
      </c>
      <c r="M3609" s="4" t="str">
        <f>IFERROR(__xludf.DUMMYFUNCTION("""COMPUTED_VALUE"""),"Garcom Web")</f>
        <v>Garcom Web</v>
      </c>
      <c r="N3609" s="33">
        <f>IFERROR(__xludf.DUMMYFUNCTION("""COMPUTED_VALUE"""),0.6666666666666666)</f>
        <v>0.6666666667</v>
      </c>
      <c r="O3609" s="4" t="str">
        <f>IFERROR(__xludf.DUMMYFUNCTION("""COMPUTED_VALUE"""),"Garcom Web")</f>
        <v>Garcom Web</v>
      </c>
      <c r="P3609" s="33">
        <f>IFERROR(__xludf.DUMMYFUNCTION("""COMPUTED_VALUE"""),0.6666666666666666)</f>
        <v>0.6666666667</v>
      </c>
      <c r="Q3609" s="4" t="str">
        <f>IFERROR(__xludf.DUMMYFUNCTION("""COMPUTED_VALUE"""),"Garcom Web")</f>
        <v>Garcom Web</v>
      </c>
      <c r="R3609" s="33">
        <f>IFERROR(__xludf.DUMMYFUNCTION("""COMPUTED_VALUE"""),0.6666666666666666)</f>
        <v>0.6666666667</v>
      </c>
      <c r="S3609" s="4" t="str">
        <f>IFERROR(__xludf.DUMMYFUNCTION("""COMPUTED_VALUE"""),"Garcom Web")</f>
        <v>Garcom Web</v>
      </c>
      <c r="T3609" s="33">
        <f>IFERROR(__xludf.DUMMYFUNCTION("""COMPUTED_VALUE"""),0.6666666666666666)</f>
        <v>0.6666666667</v>
      </c>
      <c r="U3609" s="4" t="str">
        <f>IFERROR(__xludf.DUMMYFUNCTION("""COMPUTED_VALUE"""),"Garcom Web")</f>
        <v>Garcom Web</v>
      </c>
      <c r="V3609" s="33">
        <f>IFERROR(__xludf.DUMMYFUNCTION("""COMPUTED_VALUE"""),0.6666666666666666)</f>
        <v>0.6666666667</v>
      </c>
      <c r="W3609" s="4" t="str">
        <f>IFERROR(__xludf.DUMMYFUNCTION("""COMPUTED_VALUE"""),"Garcom Web")</f>
        <v>Garcom Web</v>
      </c>
      <c r="X3609" s="33">
        <f>IFERROR(__xludf.DUMMYFUNCTION("""COMPUTED_VALUE"""),1.0)</f>
        <v>1</v>
      </c>
    </row>
    <row r="3610">
      <c r="K3610" s="4" t="str">
        <f>IFERROR(__xludf.DUMMYFUNCTION("""COMPUTED_VALUE"""),"LEPETII CONTA PAI")</f>
        <v>LEPETII CONTA PAI</v>
      </c>
      <c r="L3610" s="32">
        <f>IFERROR(__xludf.DUMMYFUNCTION("""COMPUTED_VALUE"""),3.0)</f>
        <v>3</v>
      </c>
      <c r="M3610" s="4" t="str">
        <f>IFERROR(__xludf.DUMMYFUNCTION("""COMPUTED_VALUE"""),"N/A (Not found)")</f>
        <v>N/A (Not found)</v>
      </c>
      <c r="N3610" s="33">
        <f>IFERROR(__xludf.DUMMYFUNCTION("""COMPUTED_VALUE"""),1.0)</f>
        <v>1</v>
      </c>
      <c r="O3610" s="4" t="str">
        <f>IFERROR(__xludf.DUMMYFUNCTION("""COMPUTED_VALUE"""),"N/A (Not found)")</f>
        <v>N/A (Not found)</v>
      </c>
      <c r="P3610" s="33">
        <f>IFERROR(__xludf.DUMMYFUNCTION("""COMPUTED_VALUE"""),1.0)</f>
        <v>1</v>
      </c>
      <c r="Q3610" s="4" t="str">
        <f>IFERROR(__xludf.DUMMYFUNCTION("""COMPUTED_VALUE"""),"N/A (Not found)")</f>
        <v>N/A (Not found)</v>
      </c>
      <c r="R3610" s="33">
        <f>IFERROR(__xludf.DUMMYFUNCTION("""COMPUTED_VALUE"""),1.0)</f>
        <v>1</v>
      </c>
      <c r="S3610" s="4" t="str">
        <f>IFERROR(__xludf.DUMMYFUNCTION("""COMPUTED_VALUE"""),"N/A (Not found)")</f>
        <v>N/A (Not found)</v>
      </c>
      <c r="T3610" s="33">
        <f>IFERROR(__xludf.DUMMYFUNCTION("""COMPUTED_VALUE"""),1.0)</f>
        <v>1</v>
      </c>
      <c r="U3610" s="4" t="str">
        <f>IFERROR(__xludf.DUMMYFUNCTION("""COMPUTED_VALUE"""),"N/A (Not found)")</f>
        <v>N/A (Not found)</v>
      </c>
      <c r="V3610" s="33">
        <f>IFERROR(__xludf.DUMMYFUNCTION("""COMPUTED_VALUE"""),1.0)</f>
        <v>1</v>
      </c>
      <c r="W3610" s="4" t="str">
        <f>IFERROR(__xludf.DUMMYFUNCTION("""COMPUTED_VALUE"""),"N/A (Not found)")</f>
        <v>N/A (Not found)</v>
      </c>
      <c r="X3610" s="33">
        <f>IFERROR(__xludf.DUMMYFUNCTION("""COMPUTED_VALUE"""),1.0)</f>
        <v>1</v>
      </c>
    </row>
    <row r="3611">
      <c r="K3611" s="4" t="str">
        <f>IFERROR(__xludf.DUMMYFUNCTION("""COMPUTED_VALUE"""),"LEVVE FIT CONTA PAI")</f>
        <v>LEVVE FIT CONTA PAI</v>
      </c>
      <c r="L3611" s="32">
        <f>IFERROR(__xludf.DUMMYFUNCTION("""COMPUTED_VALUE"""),3.0)</f>
        <v>3</v>
      </c>
      <c r="M3611" s="4" t="str">
        <f>IFERROR(__xludf.DUMMYFUNCTION("""COMPUTED_VALUE"""),"Menew - Linx")</f>
        <v>Menew - Linx</v>
      </c>
      <c r="N3611" s="33">
        <f>IFERROR(__xludf.DUMMYFUNCTION("""COMPUTED_VALUE"""),0.6666666666666666)</f>
        <v>0.6666666667</v>
      </c>
      <c r="O3611" s="4" t="str">
        <f>IFERROR(__xludf.DUMMYFUNCTION("""COMPUTED_VALUE"""),"Menew - Linx")</f>
        <v>Menew - Linx</v>
      </c>
      <c r="P3611" s="33">
        <f>IFERROR(__xludf.DUMMYFUNCTION("""COMPUTED_VALUE"""),0.6666666666666666)</f>
        <v>0.6666666667</v>
      </c>
      <c r="Q3611" s="4" t="str">
        <f>IFERROR(__xludf.DUMMYFUNCTION("""COMPUTED_VALUE"""),"Menew - Linx")</f>
        <v>Menew - Linx</v>
      </c>
      <c r="R3611" s="33">
        <f>IFERROR(__xludf.DUMMYFUNCTION("""COMPUTED_VALUE"""),0.6666666666666666)</f>
        <v>0.6666666667</v>
      </c>
      <c r="S3611" s="4" t="str">
        <f>IFERROR(__xludf.DUMMYFUNCTION("""COMPUTED_VALUE"""),"Menew - Linx")</f>
        <v>Menew - Linx</v>
      </c>
      <c r="T3611" s="33">
        <f>IFERROR(__xludf.DUMMYFUNCTION("""COMPUTED_VALUE"""),0.6666666666666666)</f>
        <v>0.6666666667</v>
      </c>
      <c r="U3611" s="4" t="str">
        <f>IFERROR(__xludf.DUMMYFUNCTION("""COMPUTED_VALUE"""),"Menew - Linx")</f>
        <v>Menew - Linx</v>
      </c>
      <c r="V3611" s="33">
        <f>IFERROR(__xludf.DUMMYFUNCTION("""COMPUTED_VALUE"""),0.6666666666666666)</f>
        <v>0.6666666667</v>
      </c>
      <c r="W3611" s="4" t="str">
        <f>IFERROR(__xludf.DUMMYFUNCTION("""COMPUTED_VALUE"""),"Menew - Linx")</f>
        <v>Menew - Linx</v>
      </c>
      <c r="X3611" s="33">
        <f>IFERROR(__xludf.DUMMYFUNCTION("""COMPUTED_VALUE"""),0.6666666666666666)</f>
        <v>0.6666666667</v>
      </c>
    </row>
    <row r="3612">
      <c r="K3612" s="4" t="str">
        <f>IFERROR(__xludf.DUMMYFUNCTION("""COMPUTED_VALUE"""),"SEHAT SC - CONTA GRUPO")</f>
        <v>SEHAT SC - CONTA GRUPO</v>
      </c>
      <c r="L3612" s="32">
        <f>IFERROR(__xludf.DUMMYFUNCTION("""COMPUTED_VALUE"""),3.0)</f>
        <v>3</v>
      </c>
      <c r="M3612" s="4" t="str">
        <f>IFERROR(__xludf.DUMMYFUNCTION("""COMPUTED_VALUE"""),"Ncr")</f>
        <v>Ncr</v>
      </c>
      <c r="N3612" s="33">
        <f>IFERROR(__xludf.DUMMYFUNCTION("""COMPUTED_VALUE"""),1.0)</f>
        <v>1</v>
      </c>
      <c r="O3612" s="4" t="str">
        <f>IFERROR(__xludf.DUMMYFUNCTION("""COMPUTED_VALUE"""),"Ncr")</f>
        <v>Ncr</v>
      </c>
      <c r="P3612" s="33">
        <f>IFERROR(__xludf.DUMMYFUNCTION("""COMPUTED_VALUE"""),0.6666666666666666)</f>
        <v>0.6666666667</v>
      </c>
      <c r="Q3612" s="4" t="str">
        <f>IFERROR(__xludf.DUMMYFUNCTION("""COMPUTED_VALUE"""),"Ncr")</f>
        <v>Ncr</v>
      </c>
      <c r="R3612" s="33">
        <f>IFERROR(__xludf.DUMMYFUNCTION("""COMPUTED_VALUE"""),0.6666666666666666)</f>
        <v>0.6666666667</v>
      </c>
      <c r="S3612" s="4" t="str">
        <f>IFERROR(__xludf.DUMMYFUNCTION("""COMPUTED_VALUE"""),"Ncr")</f>
        <v>Ncr</v>
      </c>
      <c r="T3612" s="33">
        <f>IFERROR(__xludf.DUMMYFUNCTION("""COMPUTED_VALUE"""),1.0)</f>
        <v>1</v>
      </c>
      <c r="U3612" s="4" t="str">
        <f>IFERROR(__xludf.DUMMYFUNCTION("""COMPUTED_VALUE"""),"Ncr")</f>
        <v>Ncr</v>
      </c>
      <c r="V3612" s="33">
        <f>IFERROR(__xludf.DUMMYFUNCTION("""COMPUTED_VALUE"""),1.0)</f>
        <v>1</v>
      </c>
      <c r="W3612" s="4" t="str">
        <f>IFERROR(__xludf.DUMMYFUNCTION("""COMPUTED_VALUE"""),"Ncr")</f>
        <v>Ncr</v>
      </c>
      <c r="X3612" s="33">
        <f>IFERROR(__xludf.DUMMYFUNCTION("""COMPUTED_VALUE"""),1.0)</f>
        <v>1</v>
      </c>
    </row>
    <row r="3613">
      <c r="K3613" s="4" t="str">
        <f>IFERROR(__xludf.DUMMYFUNCTION("""COMPUTED_VALUE"""),"LO SPAGHETTO")</f>
        <v>LO SPAGHETTO</v>
      </c>
      <c r="L3613" s="32">
        <f>IFERROR(__xludf.DUMMYFUNCTION("""COMPUTED_VALUE"""),3.0)</f>
        <v>3</v>
      </c>
      <c r="M3613" s="4" t="str">
        <f>IFERROR(__xludf.DUMMYFUNCTION("""COMPUTED_VALUE"""),"Ncr")</f>
        <v>Ncr</v>
      </c>
      <c r="N3613" s="33">
        <f>IFERROR(__xludf.DUMMYFUNCTION("""COMPUTED_VALUE"""),1.0)</f>
        <v>1</v>
      </c>
      <c r="O3613" s="4" t="str">
        <f>IFERROR(__xludf.DUMMYFUNCTION("""COMPUTED_VALUE"""),"Ncr")</f>
        <v>Ncr</v>
      </c>
      <c r="P3613" s="33">
        <f>IFERROR(__xludf.DUMMYFUNCTION("""COMPUTED_VALUE"""),1.0)</f>
        <v>1</v>
      </c>
      <c r="Q3613" s="4" t="str">
        <f>IFERROR(__xludf.DUMMYFUNCTION("""COMPUTED_VALUE"""),"Ncr")</f>
        <v>Ncr</v>
      </c>
      <c r="R3613" s="33">
        <f>IFERROR(__xludf.DUMMYFUNCTION("""COMPUTED_VALUE"""),1.0)</f>
        <v>1</v>
      </c>
      <c r="S3613" s="4" t="str">
        <f>IFERROR(__xludf.DUMMYFUNCTION("""COMPUTED_VALUE"""),"Ncr")</f>
        <v>Ncr</v>
      </c>
      <c r="T3613" s="33">
        <f>IFERROR(__xludf.DUMMYFUNCTION("""COMPUTED_VALUE"""),1.0)</f>
        <v>1</v>
      </c>
      <c r="U3613" s="4" t="str">
        <f>IFERROR(__xludf.DUMMYFUNCTION("""COMPUTED_VALUE"""),"Ncr")</f>
        <v>Ncr</v>
      </c>
      <c r="V3613" s="33">
        <f>IFERROR(__xludf.DUMMYFUNCTION("""COMPUTED_VALUE"""),1.0)</f>
        <v>1</v>
      </c>
      <c r="W3613" s="4" t="str">
        <f>IFERROR(__xludf.DUMMYFUNCTION("""COMPUTED_VALUE"""),"Ncr")</f>
        <v>Ncr</v>
      </c>
      <c r="X3613" s="33">
        <f>IFERROR(__xludf.DUMMYFUNCTION("""COMPUTED_VALUE"""),1.0)</f>
        <v>1</v>
      </c>
    </row>
    <row r="3614">
      <c r="K3614" s="4" t="str">
        <f>IFERROR(__xludf.DUMMYFUNCTION("""COMPUTED_VALUE"""),"LORENA COZINHA")</f>
        <v>LORENA COZINHA</v>
      </c>
      <c r="L3614" s="32">
        <f>IFERROR(__xludf.DUMMYFUNCTION("""COMPUTED_VALUE"""),3.0)</f>
        <v>3</v>
      </c>
      <c r="M3614" s="4" t="str">
        <f>IFERROR(__xludf.DUMMYFUNCTION("""COMPUTED_VALUE"""),"Ncr")</f>
        <v>Ncr</v>
      </c>
      <c r="N3614" s="33">
        <f>IFERROR(__xludf.DUMMYFUNCTION("""COMPUTED_VALUE"""),0.6666666666666666)</f>
        <v>0.6666666667</v>
      </c>
      <c r="O3614" s="4" t="str">
        <f>IFERROR(__xludf.DUMMYFUNCTION("""COMPUTED_VALUE"""),"Ncr")</f>
        <v>Ncr</v>
      </c>
      <c r="P3614" s="33">
        <f>IFERROR(__xludf.DUMMYFUNCTION("""COMPUTED_VALUE"""),0.6666666666666666)</f>
        <v>0.6666666667</v>
      </c>
      <c r="Q3614" s="4" t="str">
        <f>IFERROR(__xludf.DUMMYFUNCTION("""COMPUTED_VALUE"""),"Ncr")</f>
        <v>Ncr</v>
      </c>
      <c r="R3614" s="33">
        <f>IFERROR(__xludf.DUMMYFUNCTION("""COMPUTED_VALUE"""),0.6666666666666666)</f>
        <v>0.6666666667</v>
      </c>
      <c r="S3614" s="4" t="str">
        <f>IFERROR(__xludf.DUMMYFUNCTION("""COMPUTED_VALUE"""),"Ncr")</f>
        <v>Ncr</v>
      </c>
      <c r="T3614" s="33">
        <f>IFERROR(__xludf.DUMMYFUNCTION("""COMPUTED_VALUE"""),1.0)</f>
        <v>1</v>
      </c>
      <c r="U3614" s="4" t="str">
        <f>IFERROR(__xludf.DUMMYFUNCTION("""COMPUTED_VALUE"""),"Ncr")</f>
        <v>Ncr</v>
      </c>
      <c r="V3614" s="33">
        <f>IFERROR(__xludf.DUMMYFUNCTION("""COMPUTED_VALUE"""),1.0)</f>
        <v>1</v>
      </c>
      <c r="W3614" s="4" t="str">
        <f>IFERROR(__xludf.DUMMYFUNCTION("""COMPUTED_VALUE"""),"Ncr")</f>
        <v>Ncr</v>
      </c>
      <c r="X3614" s="33">
        <f>IFERROR(__xludf.DUMMYFUNCTION("""COMPUTED_VALUE"""),1.0)</f>
        <v>1</v>
      </c>
    </row>
    <row r="3615">
      <c r="K3615" s="4" t="str">
        <f>IFERROR(__xludf.DUMMYFUNCTION("""COMPUTED_VALUE"""),"LOS BURGUERITOS")</f>
        <v>LOS BURGUERITOS</v>
      </c>
      <c r="L3615" s="32">
        <f>IFERROR(__xludf.DUMMYFUNCTION("""COMPUTED_VALUE"""),3.0)</f>
        <v>3</v>
      </c>
      <c r="M3615" s="4" t="str">
        <f>IFERROR(__xludf.DUMMYFUNCTION("""COMPUTED_VALUE"""),"Saipos Serviços De Software")</f>
        <v>Saipos Serviços De Software</v>
      </c>
      <c r="N3615" s="33">
        <f>IFERROR(__xludf.DUMMYFUNCTION("""COMPUTED_VALUE"""),1.0)</f>
        <v>1</v>
      </c>
      <c r="O3615" s="4" t="str">
        <f>IFERROR(__xludf.DUMMYFUNCTION("""COMPUTED_VALUE"""),"Saipos Serviços De Software")</f>
        <v>Saipos Serviços De Software</v>
      </c>
      <c r="P3615" s="33">
        <f>IFERROR(__xludf.DUMMYFUNCTION("""COMPUTED_VALUE"""),1.0)</f>
        <v>1</v>
      </c>
      <c r="Q3615" s="4" t="str">
        <f>IFERROR(__xludf.DUMMYFUNCTION("""COMPUTED_VALUE"""),"Saipos Serviços De Software")</f>
        <v>Saipos Serviços De Software</v>
      </c>
      <c r="R3615" s="33">
        <f>IFERROR(__xludf.DUMMYFUNCTION("""COMPUTED_VALUE"""),0.6666666666666666)</f>
        <v>0.6666666667</v>
      </c>
      <c r="S3615" s="4" t="str">
        <f>IFERROR(__xludf.DUMMYFUNCTION("""COMPUTED_VALUE"""),"null")</f>
        <v>null</v>
      </c>
      <c r="T3615" s="33">
        <f>IFERROR(__xludf.DUMMYFUNCTION("""COMPUTED_VALUE"""),1.0)</f>
        <v>1</v>
      </c>
      <c r="U3615" s="4" t="str">
        <f>IFERROR(__xludf.DUMMYFUNCTION("""COMPUTED_VALUE"""),"null")</f>
        <v>null</v>
      </c>
      <c r="V3615" s="33">
        <f>IFERROR(__xludf.DUMMYFUNCTION("""COMPUTED_VALUE"""),0.6666666666666666)</f>
        <v>0.6666666667</v>
      </c>
      <c r="W3615" s="4" t="str">
        <f>IFERROR(__xludf.DUMMYFUNCTION("""COMPUTED_VALUE"""),"null")</f>
        <v>null</v>
      </c>
      <c r="X3615" s="33">
        <f>IFERROR(__xludf.DUMMYFUNCTION("""COMPUTED_VALUE"""),0.6666666666666666)</f>
        <v>0.6666666667</v>
      </c>
    </row>
    <row r="3616">
      <c r="K3616" s="4" t="str">
        <f>IFERROR(__xludf.DUMMYFUNCTION("""COMPUTED_VALUE"""),"LOS CHAPAS - MARCA")</f>
        <v>LOS CHAPAS - MARCA</v>
      </c>
      <c r="L3616" s="32">
        <f>IFERROR(__xludf.DUMMYFUNCTION("""COMPUTED_VALUE"""),3.0)</f>
        <v>3</v>
      </c>
      <c r="M3616" s="4" t="str">
        <f>IFERROR(__xludf.DUMMYFUNCTION("""COMPUTED_VALUE"""),"Suitable Tecnologia E Gestao")</f>
        <v>Suitable Tecnologia E Gestao</v>
      </c>
      <c r="N3616" s="33">
        <f>IFERROR(__xludf.DUMMYFUNCTION("""COMPUTED_VALUE"""),1.0)</f>
        <v>1</v>
      </c>
      <c r="O3616" s="4" t="str">
        <f>IFERROR(__xludf.DUMMYFUNCTION("""COMPUTED_VALUE"""),"Suitable Tecnologia E Gestao")</f>
        <v>Suitable Tecnologia E Gestao</v>
      </c>
      <c r="P3616" s="33">
        <f>IFERROR(__xludf.DUMMYFUNCTION("""COMPUTED_VALUE"""),1.0)</f>
        <v>1</v>
      </c>
      <c r="Q3616" s="4" t="str">
        <f>IFERROR(__xludf.DUMMYFUNCTION("""COMPUTED_VALUE"""),"Suitable Tecnologia E Gestao")</f>
        <v>Suitable Tecnologia E Gestao</v>
      </c>
      <c r="R3616" s="33">
        <f>IFERROR(__xludf.DUMMYFUNCTION("""COMPUTED_VALUE"""),1.0)</f>
        <v>1</v>
      </c>
      <c r="S3616" s="4" t="str">
        <f>IFERROR(__xludf.DUMMYFUNCTION("""COMPUTED_VALUE"""),"Suitable Tecnologia E Gestao")</f>
        <v>Suitable Tecnologia E Gestao</v>
      </c>
      <c r="T3616" s="33">
        <f>IFERROR(__xludf.DUMMYFUNCTION("""COMPUTED_VALUE"""),1.0)</f>
        <v>1</v>
      </c>
      <c r="U3616" s="4" t="str">
        <f>IFERROR(__xludf.DUMMYFUNCTION("""COMPUTED_VALUE"""),"Suitable Tecnologia E Gestao")</f>
        <v>Suitable Tecnologia E Gestao</v>
      </c>
      <c r="V3616" s="33">
        <f>IFERROR(__xludf.DUMMYFUNCTION("""COMPUTED_VALUE"""),1.0)</f>
        <v>1</v>
      </c>
      <c r="W3616" s="4" t="str">
        <f>IFERROR(__xludf.DUMMYFUNCTION("""COMPUTED_VALUE"""),"Suitable Tecnologia E Gestao")</f>
        <v>Suitable Tecnologia E Gestao</v>
      </c>
      <c r="X3616" s="33">
        <f>IFERROR(__xludf.DUMMYFUNCTION("""COMPUTED_VALUE"""),1.0)</f>
        <v>1</v>
      </c>
    </row>
    <row r="3617">
      <c r="K3617" s="4" t="str">
        <f>IFERROR(__xludf.DUMMYFUNCTION("""COMPUTED_VALUE"""),"LOS POLLOS BRASILEIROS")</f>
        <v>LOS POLLOS BRASILEIROS</v>
      </c>
      <c r="L3617" s="32">
        <f>IFERROR(__xludf.DUMMYFUNCTION("""COMPUTED_VALUE"""),3.0)</f>
        <v>3</v>
      </c>
      <c r="M3617" s="4" t="str">
        <f>IFERROR(__xludf.DUMMYFUNCTION("""COMPUTED_VALUE"""),"Saipos Serviços De Software")</f>
        <v>Saipos Serviços De Software</v>
      </c>
      <c r="N3617" s="33">
        <f>IFERROR(__xludf.DUMMYFUNCTION("""COMPUTED_VALUE"""),1.0)</f>
        <v>1</v>
      </c>
      <c r="O3617" s="4" t="str">
        <f>IFERROR(__xludf.DUMMYFUNCTION("""COMPUTED_VALUE"""),"Saipos Serviços De Software")</f>
        <v>Saipos Serviços De Software</v>
      </c>
      <c r="P3617" s="33">
        <f>IFERROR(__xludf.DUMMYFUNCTION("""COMPUTED_VALUE"""),1.0)</f>
        <v>1</v>
      </c>
      <c r="Q3617" s="4" t="str">
        <f>IFERROR(__xludf.DUMMYFUNCTION("""COMPUTED_VALUE"""),"Saipos Serviços De Software")</f>
        <v>Saipos Serviços De Software</v>
      </c>
      <c r="R3617" s="33">
        <f>IFERROR(__xludf.DUMMYFUNCTION("""COMPUTED_VALUE"""),1.0)</f>
        <v>1</v>
      </c>
      <c r="S3617" s="4" t="str">
        <f>IFERROR(__xludf.DUMMYFUNCTION("""COMPUTED_VALUE"""),"Saipos Serviços De Software")</f>
        <v>Saipos Serviços De Software</v>
      </c>
      <c r="T3617" s="33">
        <f>IFERROR(__xludf.DUMMYFUNCTION("""COMPUTED_VALUE"""),1.0)</f>
        <v>1</v>
      </c>
      <c r="U3617" s="4" t="str">
        <f>IFERROR(__xludf.DUMMYFUNCTION("""COMPUTED_VALUE"""),"Saipos Serviços De Software")</f>
        <v>Saipos Serviços De Software</v>
      </c>
      <c r="V3617" s="33">
        <f>IFERROR(__xludf.DUMMYFUNCTION("""COMPUTED_VALUE"""),1.0)</f>
        <v>1</v>
      </c>
      <c r="W3617" s="4" t="str">
        <f>IFERROR(__xludf.DUMMYFUNCTION("""COMPUTED_VALUE"""),"Saipos Serviços De Software")</f>
        <v>Saipos Serviços De Software</v>
      </c>
      <c r="X3617" s="33">
        <f>IFERROR(__xludf.DUMMYFUNCTION("""COMPUTED_VALUE"""),1.0)</f>
        <v>1</v>
      </c>
    </row>
    <row r="3618">
      <c r="K3618" s="4" t="str">
        <f>IFERROR(__xludf.DUMMYFUNCTION("""COMPUTED_VALUE"""),"LOUCOS POR PIZZA - MANAUS")</f>
        <v>LOUCOS POR PIZZA - MANAUS</v>
      </c>
      <c r="L3618" s="32">
        <f>IFERROR(__xludf.DUMMYFUNCTION("""COMPUTED_VALUE"""),3.0)</f>
        <v>3</v>
      </c>
      <c r="M3618" s="4" t="str">
        <f>IFERROR(__xludf.DUMMYFUNCTION("""COMPUTED_VALUE"""),"Vekttor")</f>
        <v>Vekttor</v>
      </c>
      <c r="N3618" s="33">
        <f>IFERROR(__xludf.DUMMYFUNCTION("""COMPUTED_VALUE"""),0.6666666666666666)</f>
        <v>0.6666666667</v>
      </c>
      <c r="O3618" s="4" t="str">
        <f>IFERROR(__xludf.DUMMYFUNCTION("""COMPUTED_VALUE"""),"null")</f>
        <v>null</v>
      </c>
      <c r="P3618" s="33">
        <f>IFERROR(__xludf.DUMMYFUNCTION("""COMPUTED_VALUE"""),0.6666666666666666)</f>
        <v>0.6666666667</v>
      </c>
      <c r="Q3618" s="4" t="str">
        <f>IFERROR(__xludf.DUMMYFUNCTION("""COMPUTED_VALUE"""),"null")</f>
        <v>null</v>
      </c>
      <c r="R3618" s="33">
        <f>IFERROR(__xludf.DUMMYFUNCTION("""COMPUTED_VALUE"""),0.6666666666666666)</f>
        <v>0.6666666667</v>
      </c>
      <c r="S3618" s="4" t="str">
        <f>IFERROR(__xludf.DUMMYFUNCTION("""COMPUTED_VALUE"""),"Saipos Serviços De Software")</f>
        <v>Saipos Serviços De Software</v>
      </c>
      <c r="T3618" s="33">
        <f>IFERROR(__xludf.DUMMYFUNCTION("""COMPUTED_VALUE"""),0.6666666666666666)</f>
        <v>0.6666666667</v>
      </c>
      <c r="U3618" s="4" t="str">
        <f>IFERROR(__xludf.DUMMYFUNCTION("""COMPUTED_VALUE"""),"Saipos Serviços De Software")</f>
        <v>Saipos Serviços De Software</v>
      </c>
      <c r="V3618" s="33">
        <f>IFERROR(__xludf.DUMMYFUNCTION("""COMPUTED_VALUE"""),0.6666666666666666)</f>
        <v>0.6666666667</v>
      </c>
      <c r="W3618" s="4" t="str">
        <f>IFERROR(__xludf.DUMMYFUNCTION("""COMPUTED_VALUE"""),"Saipos Serviços De Software")</f>
        <v>Saipos Serviços De Software</v>
      </c>
      <c r="X3618" s="33">
        <f>IFERROR(__xludf.DUMMYFUNCTION("""COMPUTED_VALUE"""),0.6666666666666666)</f>
        <v>0.6666666667</v>
      </c>
    </row>
    <row r="3619">
      <c r="K3619" s="4" t="str">
        <f>IFERROR(__xludf.DUMMYFUNCTION("""COMPUTED_VALUE"""),"LOURO FREIJO RESTAURANTE DELIVERY")</f>
        <v>LOURO FREIJO RESTAURANTE DELIVERY</v>
      </c>
      <c r="L3619" s="32">
        <f>IFERROR(__xludf.DUMMYFUNCTION("""COMPUTED_VALUE"""),3.0)</f>
        <v>3</v>
      </c>
      <c r="M3619" s="4" t="str">
        <f>IFERROR(__xludf.DUMMYFUNCTION("""COMPUTED_VALUE"""),"Parseint Desenvolvimento De Sistemas Ltda")</f>
        <v>Parseint Desenvolvimento De Sistemas Ltda</v>
      </c>
      <c r="N3619" s="33">
        <f>IFERROR(__xludf.DUMMYFUNCTION("""COMPUTED_VALUE"""),1.0)</f>
        <v>1</v>
      </c>
      <c r="O3619" s="4" t="str">
        <f>IFERROR(__xludf.DUMMYFUNCTION("""COMPUTED_VALUE"""),"Parseint Desenvolvimento De Sistemas Ltda")</f>
        <v>Parseint Desenvolvimento De Sistemas Ltda</v>
      </c>
      <c r="P3619" s="33">
        <f>IFERROR(__xludf.DUMMYFUNCTION("""COMPUTED_VALUE"""),1.0)</f>
        <v>1</v>
      </c>
      <c r="Q3619" s="4" t="str">
        <f>IFERROR(__xludf.DUMMYFUNCTION("""COMPUTED_VALUE"""),"Parseint Desenvolvimento De Sistemas Ltda")</f>
        <v>Parseint Desenvolvimento De Sistemas Ltda</v>
      </c>
      <c r="R3619" s="33">
        <f>IFERROR(__xludf.DUMMYFUNCTION("""COMPUTED_VALUE"""),1.0)</f>
        <v>1</v>
      </c>
      <c r="S3619" s="4" t="str">
        <f>IFERROR(__xludf.DUMMYFUNCTION("""COMPUTED_VALUE"""),"Parseint Desenvolvimento De Sistemas Ltda")</f>
        <v>Parseint Desenvolvimento De Sistemas Ltda</v>
      </c>
      <c r="T3619" s="33">
        <f>IFERROR(__xludf.DUMMYFUNCTION("""COMPUTED_VALUE"""),1.0)</f>
        <v>1</v>
      </c>
      <c r="U3619" s="4" t="str">
        <f>IFERROR(__xludf.DUMMYFUNCTION("""COMPUTED_VALUE"""),"Parseint Desenvolvimento De Sistemas Ltda")</f>
        <v>Parseint Desenvolvimento De Sistemas Ltda</v>
      </c>
      <c r="V3619" s="33">
        <f>IFERROR(__xludf.DUMMYFUNCTION("""COMPUTED_VALUE"""),1.0)</f>
        <v>1</v>
      </c>
      <c r="W3619" s="4" t="str">
        <f>IFERROR(__xludf.DUMMYFUNCTION("""COMPUTED_VALUE"""),"Parseint Desenvolvimento De Sistemas Ltda")</f>
        <v>Parseint Desenvolvimento De Sistemas Ltda</v>
      </c>
      <c r="X3619" s="33">
        <f>IFERROR(__xludf.DUMMYFUNCTION("""COMPUTED_VALUE"""),1.0)</f>
        <v>1</v>
      </c>
    </row>
    <row r="3620">
      <c r="K3620" s="4" t="str">
        <f>IFERROR(__xludf.DUMMYFUNCTION("""COMPUTED_VALUE"""),"LUCKY DOG PETSHOP - CONTA MARCA")</f>
        <v>LUCKY DOG PETSHOP - CONTA MARCA</v>
      </c>
      <c r="L3620" s="32">
        <f>IFERROR(__xludf.DUMMYFUNCTION("""COMPUTED_VALUE"""),3.0)</f>
        <v>3</v>
      </c>
      <c r="M3620" s="4" t="str">
        <f>IFERROR(__xludf.DUMMYFUNCTION("""COMPUTED_VALUE"""),"N/A (Not found)")</f>
        <v>N/A (Not found)</v>
      </c>
      <c r="N3620" s="33">
        <f>IFERROR(__xludf.DUMMYFUNCTION("""COMPUTED_VALUE"""),1.0)</f>
        <v>1</v>
      </c>
      <c r="O3620" s="4" t="str">
        <f>IFERROR(__xludf.DUMMYFUNCTION("""COMPUTED_VALUE"""),"N/A (Not found)")</f>
        <v>N/A (Not found)</v>
      </c>
      <c r="P3620" s="33">
        <f>IFERROR(__xludf.DUMMYFUNCTION("""COMPUTED_VALUE"""),1.0)</f>
        <v>1</v>
      </c>
      <c r="Q3620" s="4" t="str">
        <f>IFERROR(__xludf.DUMMYFUNCTION("""COMPUTED_VALUE"""),"N/A (Not found)")</f>
        <v>N/A (Not found)</v>
      </c>
      <c r="R3620" s="33">
        <f>IFERROR(__xludf.DUMMYFUNCTION("""COMPUTED_VALUE"""),1.0)</f>
        <v>1</v>
      </c>
      <c r="S3620" s="4" t="str">
        <f>IFERROR(__xludf.DUMMYFUNCTION("""COMPUTED_VALUE"""),"N/A (Not found)")</f>
        <v>N/A (Not found)</v>
      </c>
      <c r="T3620" s="33">
        <f>IFERROR(__xludf.DUMMYFUNCTION("""COMPUTED_VALUE"""),1.0)</f>
        <v>1</v>
      </c>
      <c r="U3620" s="4" t="str">
        <f>IFERROR(__xludf.DUMMYFUNCTION("""COMPUTED_VALUE"""),"N/A (Not found)")</f>
        <v>N/A (Not found)</v>
      </c>
      <c r="V3620" s="33">
        <f>IFERROR(__xludf.DUMMYFUNCTION("""COMPUTED_VALUE"""),1.0)</f>
        <v>1</v>
      </c>
      <c r="W3620" s="4" t="str">
        <f>IFERROR(__xludf.DUMMYFUNCTION("""COMPUTED_VALUE"""),"N/A (Not found)")</f>
        <v>N/A (Not found)</v>
      </c>
      <c r="X3620" s="33">
        <f>IFERROR(__xludf.DUMMYFUNCTION("""COMPUTED_VALUE"""),1.0)</f>
        <v>1</v>
      </c>
    </row>
    <row r="3621">
      <c r="K3621" s="4" t="str">
        <f>IFERROR(__xludf.DUMMYFUNCTION("""COMPUTED_VALUE"""),"LUDOLFO PIZZA")</f>
        <v>LUDOLFO PIZZA</v>
      </c>
      <c r="L3621" s="32">
        <f>IFERROR(__xludf.DUMMYFUNCTION("""COMPUTED_VALUE"""),3.0)</f>
        <v>3</v>
      </c>
      <c r="M3621" s="4" t="str">
        <f>IFERROR(__xludf.DUMMYFUNCTION("""COMPUTED_VALUE"""),"Saipos Serviços De Software")</f>
        <v>Saipos Serviços De Software</v>
      </c>
      <c r="N3621" s="33">
        <f>IFERROR(__xludf.DUMMYFUNCTION("""COMPUTED_VALUE"""),1.0)</f>
        <v>1</v>
      </c>
      <c r="O3621" s="4" t="str">
        <f>IFERROR(__xludf.DUMMYFUNCTION("""COMPUTED_VALUE"""),"Saipos Serviços De Software")</f>
        <v>Saipos Serviços De Software</v>
      </c>
      <c r="P3621" s="33">
        <f>IFERROR(__xludf.DUMMYFUNCTION("""COMPUTED_VALUE"""),1.0)</f>
        <v>1</v>
      </c>
      <c r="Q3621" s="4" t="str">
        <f>IFERROR(__xludf.DUMMYFUNCTION("""COMPUTED_VALUE"""),"Saipos Serviços De Software")</f>
        <v>Saipos Serviços De Software</v>
      </c>
      <c r="R3621" s="33">
        <f>IFERROR(__xludf.DUMMYFUNCTION("""COMPUTED_VALUE"""),1.0)</f>
        <v>1</v>
      </c>
      <c r="S3621" s="4" t="str">
        <f>IFERROR(__xludf.DUMMYFUNCTION("""COMPUTED_VALUE"""),"Saipos Serviços De Software")</f>
        <v>Saipos Serviços De Software</v>
      </c>
      <c r="T3621" s="33">
        <f>IFERROR(__xludf.DUMMYFUNCTION("""COMPUTED_VALUE"""),1.0)</f>
        <v>1</v>
      </c>
      <c r="U3621" s="4" t="str">
        <f>IFERROR(__xludf.DUMMYFUNCTION("""COMPUTED_VALUE"""),"Saipos Serviços De Software")</f>
        <v>Saipos Serviços De Software</v>
      </c>
      <c r="V3621" s="33">
        <f>IFERROR(__xludf.DUMMYFUNCTION("""COMPUTED_VALUE"""),1.0)</f>
        <v>1</v>
      </c>
      <c r="W3621" s="4" t="str">
        <f>IFERROR(__xludf.DUMMYFUNCTION("""COMPUTED_VALUE"""),"Saipos Serviços De Software")</f>
        <v>Saipos Serviços De Software</v>
      </c>
      <c r="X3621" s="33">
        <f>IFERROR(__xludf.DUMMYFUNCTION("""COMPUTED_VALUE"""),0.6666666666666666)</f>
        <v>0.6666666667</v>
      </c>
    </row>
    <row r="3622">
      <c r="K3622" s="4" t="str">
        <f>IFERROR(__xludf.DUMMYFUNCTION("""COMPUTED_VALUE"""),"LUPI PET - CONTA PAI")</f>
        <v>LUPI PET - CONTA PAI</v>
      </c>
      <c r="L3622" s="32">
        <f>IFERROR(__xludf.DUMMYFUNCTION("""COMPUTED_VALUE"""),3.0)</f>
        <v>3</v>
      </c>
      <c r="M3622" s="4" t="str">
        <f>IFERROR(__xludf.DUMMYFUNCTION("""COMPUTED_VALUE"""),"N/A (Not found)")</f>
        <v>N/A (Not found)</v>
      </c>
      <c r="N3622" s="33">
        <f>IFERROR(__xludf.DUMMYFUNCTION("""COMPUTED_VALUE"""),1.0)</f>
        <v>1</v>
      </c>
      <c r="O3622" s="4" t="str">
        <f>IFERROR(__xludf.DUMMYFUNCTION("""COMPUTED_VALUE"""),"N/A (Not found)")</f>
        <v>N/A (Not found)</v>
      </c>
      <c r="P3622" s="33">
        <f>IFERROR(__xludf.DUMMYFUNCTION("""COMPUTED_VALUE"""),1.0)</f>
        <v>1</v>
      </c>
      <c r="Q3622" s="4" t="str">
        <f>IFERROR(__xludf.DUMMYFUNCTION("""COMPUTED_VALUE"""),"N/A (Not found)")</f>
        <v>N/A (Not found)</v>
      </c>
      <c r="R3622" s="33">
        <f>IFERROR(__xludf.DUMMYFUNCTION("""COMPUTED_VALUE"""),1.0)</f>
        <v>1</v>
      </c>
      <c r="S3622" s="4" t="str">
        <f>IFERROR(__xludf.DUMMYFUNCTION("""COMPUTED_VALUE"""),"N/A (Not found)")</f>
        <v>N/A (Not found)</v>
      </c>
      <c r="T3622" s="33">
        <f>IFERROR(__xludf.DUMMYFUNCTION("""COMPUTED_VALUE"""),1.0)</f>
        <v>1</v>
      </c>
      <c r="U3622" s="4" t="str">
        <f>IFERROR(__xludf.DUMMYFUNCTION("""COMPUTED_VALUE"""),"N/A (Not found)")</f>
        <v>N/A (Not found)</v>
      </c>
      <c r="V3622" s="33">
        <f>IFERROR(__xludf.DUMMYFUNCTION("""COMPUTED_VALUE"""),1.0)</f>
        <v>1</v>
      </c>
      <c r="W3622" s="4" t="str">
        <f>IFERROR(__xludf.DUMMYFUNCTION("""COMPUTED_VALUE"""),"N/A (Not found)")</f>
        <v>N/A (Not found)</v>
      </c>
      <c r="X3622" s="33">
        <f>IFERROR(__xludf.DUMMYFUNCTION("""COMPUTED_VALUE"""),1.0)</f>
        <v>1</v>
      </c>
    </row>
    <row r="3623">
      <c r="K3623" s="4" t="str">
        <f>IFERROR(__xludf.DUMMYFUNCTION("""COMPUTED_VALUE"""),"MACARRONE IN BOX CONTA PAI")</f>
        <v>MACARRONE IN BOX CONTA PAI</v>
      </c>
      <c r="L3623" s="32">
        <f>IFERROR(__xludf.DUMMYFUNCTION("""COMPUTED_VALUE"""),3.0)</f>
        <v>3</v>
      </c>
      <c r="M3623" s="4" t="str">
        <f>IFERROR(__xludf.DUMMYFUNCTION("""COMPUTED_VALUE"""),"Saipos Serviços De Software")</f>
        <v>Saipos Serviços De Software</v>
      </c>
      <c r="N3623" s="33">
        <f>IFERROR(__xludf.DUMMYFUNCTION("""COMPUTED_VALUE"""),0.6666666666666666)</f>
        <v>0.6666666667</v>
      </c>
      <c r="O3623" s="4" t="str">
        <f>IFERROR(__xludf.DUMMYFUNCTION("""COMPUTED_VALUE"""),"Saipos Serviços De Software")</f>
        <v>Saipos Serviços De Software</v>
      </c>
      <c r="P3623" s="33">
        <f>IFERROR(__xludf.DUMMYFUNCTION("""COMPUTED_VALUE"""),0.6666666666666666)</f>
        <v>0.6666666667</v>
      </c>
      <c r="Q3623" s="4" t="str">
        <f>IFERROR(__xludf.DUMMYFUNCTION("""COMPUTED_VALUE"""),"Saipos Serviços De Software")</f>
        <v>Saipos Serviços De Software</v>
      </c>
      <c r="R3623" s="33">
        <f>IFERROR(__xludf.DUMMYFUNCTION("""COMPUTED_VALUE"""),0.6666666666666666)</f>
        <v>0.6666666667</v>
      </c>
      <c r="S3623" s="4" t="str">
        <f>IFERROR(__xludf.DUMMYFUNCTION("""COMPUTED_VALUE"""),"Saipos Serviços De Software")</f>
        <v>Saipos Serviços De Software</v>
      </c>
      <c r="T3623" s="33">
        <f>IFERROR(__xludf.DUMMYFUNCTION("""COMPUTED_VALUE"""),0.6666666666666666)</f>
        <v>0.6666666667</v>
      </c>
      <c r="U3623" s="4" t="str">
        <f>IFERROR(__xludf.DUMMYFUNCTION("""COMPUTED_VALUE"""),"Saipos Serviços De Software")</f>
        <v>Saipos Serviços De Software</v>
      </c>
      <c r="V3623" s="33">
        <f>IFERROR(__xludf.DUMMYFUNCTION("""COMPUTED_VALUE"""),1.0)</f>
        <v>1</v>
      </c>
      <c r="W3623" s="4" t="str">
        <f>IFERROR(__xludf.DUMMYFUNCTION("""COMPUTED_VALUE"""),"Saipos Serviços De Software")</f>
        <v>Saipos Serviços De Software</v>
      </c>
      <c r="X3623" s="33">
        <f>IFERROR(__xludf.DUMMYFUNCTION("""COMPUTED_VALUE"""),0.6666666666666666)</f>
        <v>0.6666666667</v>
      </c>
    </row>
    <row r="3624">
      <c r="K3624" s="4" t="str">
        <f>IFERROR(__xludf.DUMMYFUNCTION("""COMPUTED_VALUE"""),"MADUREIRA - GRUPO")</f>
        <v>MADUREIRA - GRUPO</v>
      </c>
      <c r="L3624" s="32">
        <f>IFERROR(__xludf.DUMMYFUNCTION("""COMPUTED_VALUE"""),3.0)</f>
        <v>3</v>
      </c>
      <c r="M3624" s="4" t="str">
        <f>IFERROR(__xludf.DUMMYFUNCTION("""COMPUTED_VALUE"""),"Oz Technology")</f>
        <v>Oz Technology</v>
      </c>
      <c r="N3624" s="33">
        <f>IFERROR(__xludf.DUMMYFUNCTION("""COMPUTED_VALUE"""),1.0)</f>
        <v>1</v>
      </c>
      <c r="O3624" s="4" t="str">
        <f>IFERROR(__xludf.DUMMYFUNCTION("""COMPUTED_VALUE"""),"Oz Technology")</f>
        <v>Oz Technology</v>
      </c>
      <c r="P3624" s="33">
        <f>IFERROR(__xludf.DUMMYFUNCTION("""COMPUTED_VALUE"""),1.0)</f>
        <v>1</v>
      </c>
      <c r="Q3624" s="4" t="str">
        <f>IFERROR(__xludf.DUMMYFUNCTION("""COMPUTED_VALUE"""),"Oz Technology")</f>
        <v>Oz Technology</v>
      </c>
      <c r="R3624" s="33">
        <f>IFERROR(__xludf.DUMMYFUNCTION("""COMPUTED_VALUE"""),1.0)</f>
        <v>1</v>
      </c>
      <c r="S3624" s="4" t="str">
        <f>IFERROR(__xludf.DUMMYFUNCTION("""COMPUTED_VALUE"""),"Oz Technology")</f>
        <v>Oz Technology</v>
      </c>
      <c r="T3624" s="33">
        <f>IFERROR(__xludf.DUMMYFUNCTION("""COMPUTED_VALUE"""),1.0)</f>
        <v>1</v>
      </c>
      <c r="U3624" s="4" t="str">
        <f>IFERROR(__xludf.DUMMYFUNCTION("""COMPUTED_VALUE"""),"Oz Technology")</f>
        <v>Oz Technology</v>
      </c>
      <c r="V3624" s="33">
        <f>IFERROR(__xludf.DUMMYFUNCTION("""COMPUTED_VALUE"""),1.0)</f>
        <v>1</v>
      </c>
      <c r="W3624" s="4" t="str">
        <f>IFERROR(__xludf.DUMMYFUNCTION("""COMPUTED_VALUE"""),"Oz Technology")</f>
        <v>Oz Technology</v>
      </c>
      <c r="X3624" s="33">
        <f>IFERROR(__xludf.DUMMYFUNCTION("""COMPUTED_VALUE"""),1.0)</f>
        <v>1</v>
      </c>
    </row>
    <row r="3625">
      <c r="K3625" s="4" t="str">
        <f>IFERROR(__xludf.DUMMYFUNCTION("""COMPUTED_VALUE"""),"MAFIA DA PIZZA")</f>
        <v>MAFIA DA PIZZA</v>
      </c>
      <c r="L3625" s="32">
        <f>IFERROR(__xludf.DUMMYFUNCTION("""COMPUTED_VALUE"""),3.0)</f>
        <v>3</v>
      </c>
      <c r="M3625" s="4" t="str">
        <f>IFERROR(__xludf.DUMMYFUNCTION("""COMPUTED_VALUE"""),"null")</f>
        <v>null</v>
      </c>
      <c r="N3625" s="33">
        <f>IFERROR(__xludf.DUMMYFUNCTION("""COMPUTED_VALUE"""),0.3333333333333333)</f>
        <v>0.3333333333</v>
      </c>
      <c r="O3625" s="4" t="str">
        <f>IFERROR(__xludf.DUMMYFUNCTION("""COMPUTED_VALUE"""),"Expresso Delivery")</f>
        <v>Expresso Delivery</v>
      </c>
      <c r="P3625" s="33">
        <f>IFERROR(__xludf.DUMMYFUNCTION("""COMPUTED_VALUE"""),0.6666666666666666)</f>
        <v>0.6666666667</v>
      </c>
      <c r="Q3625" s="4" t="str">
        <f>IFERROR(__xludf.DUMMYFUNCTION("""COMPUTED_VALUE"""),"Expresso Delivery")</f>
        <v>Expresso Delivery</v>
      </c>
      <c r="R3625" s="33">
        <f>IFERROR(__xludf.DUMMYFUNCTION("""COMPUTED_VALUE"""),0.6666666666666666)</f>
        <v>0.6666666667</v>
      </c>
      <c r="S3625" s="4" t="str">
        <f>IFERROR(__xludf.DUMMYFUNCTION("""COMPUTED_VALUE"""),"Expresso Delivery")</f>
        <v>Expresso Delivery</v>
      </c>
      <c r="T3625" s="33">
        <f>IFERROR(__xludf.DUMMYFUNCTION("""COMPUTED_VALUE"""),0.6666666666666666)</f>
        <v>0.6666666667</v>
      </c>
      <c r="U3625" s="4" t="str">
        <f>IFERROR(__xludf.DUMMYFUNCTION("""COMPUTED_VALUE"""),"Expresso Delivery")</f>
        <v>Expresso Delivery</v>
      </c>
      <c r="V3625" s="33">
        <f>IFERROR(__xludf.DUMMYFUNCTION("""COMPUTED_VALUE"""),0.6666666666666666)</f>
        <v>0.6666666667</v>
      </c>
      <c r="W3625" s="4" t="str">
        <f>IFERROR(__xludf.DUMMYFUNCTION("""COMPUTED_VALUE"""),"Expresso Delivery")</f>
        <v>Expresso Delivery</v>
      </c>
      <c r="X3625" s="33">
        <f>IFERROR(__xludf.DUMMYFUNCTION("""COMPUTED_VALUE"""),0.6666666666666666)</f>
        <v>0.6666666667</v>
      </c>
    </row>
    <row r="3626">
      <c r="K3626" s="4" t="str">
        <f>IFERROR(__xludf.DUMMYFUNCTION("""COMPUTED_VALUE"""),"MAICONS BURGER")</f>
        <v>MAICONS BURGER</v>
      </c>
      <c r="L3626" s="32">
        <f>IFERROR(__xludf.DUMMYFUNCTION("""COMPUTED_VALUE"""),3.0)</f>
        <v>3</v>
      </c>
      <c r="M3626" s="4" t="str">
        <f>IFERROR(__xludf.DUMMYFUNCTION("""COMPUTED_VALUE"""),"Saipos Serviços De Software")</f>
        <v>Saipos Serviços De Software</v>
      </c>
      <c r="N3626" s="33">
        <f>IFERROR(__xludf.DUMMYFUNCTION("""COMPUTED_VALUE"""),1.0)</f>
        <v>1</v>
      </c>
      <c r="O3626" s="4" t="str">
        <f>IFERROR(__xludf.DUMMYFUNCTION("""COMPUTED_VALUE"""),"Saipos Serviços De Software")</f>
        <v>Saipos Serviços De Software</v>
      </c>
      <c r="P3626" s="33">
        <f>IFERROR(__xludf.DUMMYFUNCTION("""COMPUTED_VALUE"""),1.0)</f>
        <v>1</v>
      </c>
      <c r="Q3626" s="4" t="str">
        <f>IFERROR(__xludf.DUMMYFUNCTION("""COMPUTED_VALUE"""),"Saipos Serviços De Software")</f>
        <v>Saipos Serviços De Software</v>
      </c>
      <c r="R3626" s="33">
        <f>IFERROR(__xludf.DUMMYFUNCTION("""COMPUTED_VALUE"""),0.6666666666666666)</f>
        <v>0.6666666667</v>
      </c>
      <c r="S3626" s="4" t="str">
        <f>IFERROR(__xludf.DUMMYFUNCTION("""COMPUTED_VALUE"""),"Saipos Serviços De Software")</f>
        <v>Saipos Serviços De Software</v>
      </c>
      <c r="T3626" s="33">
        <f>IFERROR(__xludf.DUMMYFUNCTION("""COMPUTED_VALUE"""),1.0)</f>
        <v>1</v>
      </c>
      <c r="U3626" s="4" t="str">
        <f>IFERROR(__xludf.DUMMYFUNCTION("""COMPUTED_VALUE"""),"Saipos Serviços De Software")</f>
        <v>Saipos Serviços De Software</v>
      </c>
      <c r="V3626" s="33">
        <f>IFERROR(__xludf.DUMMYFUNCTION("""COMPUTED_VALUE"""),1.0)</f>
        <v>1</v>
      </c>
      <c r="W3626" s="4" t="str">
        <f>IFERROR(__xludf.DUMMYFUNCTION("""COMPUTED_VALUE"""),"Saipos Serviços De Software")</f>
        <v>Saipos Serviços De Software</v>
      </c>
      <c r="X3626" s="33">
        <f>IFERROR(__xludf.DUMMYFUNCTION("""COMPUTED_VALUE"""),1.0)</f>
        <v>1</v>
      </c>
    </row>
    <row r="3627">
      <c r="K3627" s="4" t="str">
        <f>IFERROR(__xludf.DUMMYFUNCTION("""COMPUTED_VALUE"""),"MAIS BRASIL REDE DE DROGARIAS - CONTA MARCA")</f>
        <v>MAIS BRASIL REDE DE DROGARIAS - CONTA MARCA</v>
      </c>
      <c r="L3627" s="32">
        <f>IFERROR(__xludf.DUMMYFUNCTION("""COMPUTED_VALUE"""),3.0)</f>
        <v>3</v>
      </c>
      <c r="M3627" s="4" t="str">
        <f>IFERROR(__xludf.DUMMYFUNCTION("""COMPUTED_VALUE"""),"N/A (Not found)")</f>
        <v>N/A (Not found)</v>
      </c>
      <c r="N3627" s="33">
        <f>IFERROR(__xludf.DUMMYFUNCTION("""COMPUTED_VALUE"""),0.6666666666666666)</f>
        <v>0.6666666667</v>
      </c>
      <c r="O3627" s="4" t="str">
        <f>IFERROR(__xludf.DUMMYFUNCTION("""COMPUTED_VALUE"""),"N/A (Not found)")</f>
        <v>N/A (Not found)</v>
      </c>
      <c r="P3627" s="33">
        <f>IFERROR(__xludf.DUMMYFUNCTION("""COMPUTED_VALUE"""),1.0)</f>
        <v>1</v>
      </c>
      <c r="Q3627" s="4" t="str">
        <f>IFERROR(__xludf.DUMMYFUNCTION("""COMPUTED_VALUE"""),"N/A (Not found)")</f>
        <v>N/A (Not found)</v>
      </c>
      <c r="R3627" s="33">
        <f>IFERROR(__xludf.DUMMYFUNCTION("""COMPUTED_VALUE"""),0.6666666666666666)</f>
        <v>0.6666666667</v>
      </c>
      <c r="S3627" s="4" t="str">
        <f>IFERROR(__xludf.DUMMYFUNCTION("""COMPUTED_VALUE"""),"N/A (Not found)")</f>
        <v>N/A (Not found)</v>
      </c>
      <c r="T3627" s="33">
        <f>IFERROR(__xludf.DUMMYFUNCTION("""COMPUTED_VALUE"""),0.6666666666666666)</f>
        <v>0.6666666667</v>
      </c>
      <c r="U3627" s="4" t="str">
        <f>IFERROR(__xludf.DUMMYFUNCTION("""COMPUTED_VALUE"""),"N/A (Not found)")</f>
        <v>N/A (Not found)</v>
      </c>
      <c r="V3627" s="33">
        <f>IFERROR(__xludf.DUMMYFUNCTION("""COMPUTED_VALUE"""),0.6666666666666666)</f>
        <v>0.6666666667</v>
      </c>
      <c r="W3627" s="4" t="str">
        <f>IFERROR(__xludf.DUMMYFUNCTION("""COMPUTED_VALUE"""),"N/A (Not found)")</f>
        <v>N/A (Not found)</v>
      </c>
      <c r="X3627" s="33">
        <f>IFERROR(__xludf.DUMMYFUNCTION("""COMPUTED_VALUE"""),1.0)</f>
        <v>1</v>
      </c>
    </row>
    <row r="3628">
      <c r="K3628" s="4" t="str">
        <f>IFERROR(__xludf.DUMMYFUNCTION("""COMPUTED_VALUE"""),"MANA PRIME THE")</f>
        <v>MANA PRIME THE</v>
      </c>
      <c r="L3628" s="32">
        <f>IFERROR(__xludf.DUMMYFUNCTION("""COMPUTED_VALUE"""),3.0)</f>
        <v>3</v>
      </c>
      <c r="M3628" s="4" t="str">
        <f>IFERROR(__xludf.DUMMYFUNCTION("""COMPUTED_VALUE"""),"Saipos Serviços De Software")</f>
        <v>Saipos Serviços De Software</v>
      </c>
      <c r="N3628" s="33">
        <f>IFERROR(__xludf.DUMMYFUNCTION("""COMPUTED_VALUE"""),0.6666666666666666)</f>
        <v>0.6666666667</v>
      </c>
      <c r="O3628" s="4" t="str">
        <f>IFERROR(__xludf.DUMMYFUNCTION("""COMPUTED_VALUE"""),"Saipos Serviços De Software")</f>
        <v>Saipos Serviços De Software</v>
      </c>
      <c r="P3628" s="33">
        <f>IFERROR(__xludf.DUMMYFUNCTION("""COMPUTED_VALUE"""),1.0)</f>
        <v>1</v>
      </c>
      <c r="Q3628" s="4" t="str">
        <f>IFERROR(__xludf.DUMMYFUNCTION("""COMPUTED_VALUE"""),"Saipos Serviços De Software")</f>
        <v>Saipos Serviços De Software</v>
      </c>
      <c r="R3628" s="33">
        <f>IFERROR(__xludf.DUMMYFUNCTION("""COMPUTED_VALUE"""),1.0)</f>
        <v>1</v>
      </c>
      <c r="S3628" s="4" t="str">
        <f>IFERROR(__xludf.DUMMYFUNCTION("""COMPUTED_VALUE"""),"null")</f>
        <v>null</v>
      </c>
      <c r="T3628" s="33">
        <f>IFERROR(__xludf.DUMMYFUNCTION("""COMPUTED_VALUE"""),0.6666666666666666)</f>
        <v>0.6666666667</v>
      </c>
      <c r="U3628" s="4" t="str">
        <f>IFERROR(__xludf.DUMMYFUNCTION("""COMPUTED_VALUE"""),"Saipos Serviços De Software")</f>
        <v>Saipos Serviços De Software</v>
      </c>
      <c r="V3628" s="33">
        <f>IFERROR(__xludf.DUMMYFUNCTION("""COMPUTED_VALUE"""),0.6666666666666666)</f>
        <v>0.6666666667</v>
      </c>
      <c r="W3628" s="4" t="str">
        <f>IFERROR(__xludf.DUMMYFUNCTION("""COMPUTED_VALUE"""),"Saipos Serviços De Software")</f>
        <v>Saipos Serviços De Software</v>
      </c>
      <c r="X3628" s="33">
        <f>IFERROR(__xludf.DUMMYFUNCTION("""COMPUTED_VALUE"""),0.6666666666666666)</f>
        <v>0.6666666667</v>
      </c>
    </row>
    <row r="3629">
      <c r="K3629" s="4" t="str">
        <f>IFERROR(__xludf.DUMMYFUNCTION("""COMPUTED_VALUE"""),"MANDA PIZZA")</f>
        <v>MANDA PIZZA</v>
      </c>
      <c r="L3629" s="32">
        <f>IFERROR(__xludf.DUMMYFUNCTION("""COMPUTED_VALUE"""),3.0)</f>
        <v>3</v>
      </c>
      <c r="M3629" s="4" t="str">
        <f>IFERROR(__xludf.DUMMYFUNCTION("""COMPUTED_VALUE"""),"Saipos Serviços De Software")</f>
        <v>Saipos Serviços De Software</v>
      </c>
      <c r="N3629" s="33">
        <f>IFERROR(__xludf.DUMMYFUNCTION("""COMPUTED_VALUE"""),1.0)</f>
        <v>1</v>
      </c>
      <c r="O3629" s="4" t="str">
        <f>IFERROR(__xludf.DUMMYFUNCTION("""COMPUTED_VALUE"""),"Saipos Serviços De Software")</f>
        <v>Saipos Serviços De Software</v>
      </c>
      <c r="P3629" s="33">
        <f>IFERROR(__xludf.DUMMYFUNCTION("""COMPUTED_VALUE"""),1.0)</f>
        <v>1</v>
      </c>
      <c r="Q3629" s="4" t="str">
        <f>IFERROR(__xludf.DUMMYFUNCTION("""COMPUTED_VALUE"""),"Saipos Serviços De Software")</f>
        <v>Saipos Serviços De Software</v>
      </c>
      <c r="R3629" s="33">
        <f>IFERROR(__xludf.DUMMYFUNCTION("""COMPUTED_VALUE"""),1.0)</f>
        <v>1</v>
      </c>
      <c r="S3629" s="4" t="str">
        <f>IFERROR(__xludf.DUMMYFUNCTION("""COMPUTED_VALUE"""),"Saipos Serviços De Software")</f>
        <v>Saipos Serviços De Software</v>
      </c>
      <c r="T3629" s="33">
        <f>IFERROR(__xludf.DUMMYFUNCTION("""COMPUTED_VALUE"""),1.0)</f>
        <v>1</v>
      </c>
      <c r="U3629" s="4" t="str">
        <f>IFERROR(__xludf.DUMMYFUNCTION("""COMPUTED_VALUE"""),"Saipos Serviços De Software")</f>
        <v>Saipos Serviços De Software</v>
      </c>
      <c r="V3629" s="33">
        <f>IFERROR(__xludf.DUMMYFUNCTION("""COMPUTED_VALUE"""),1.0)</f>
        <v>1</v>
      </c>
      <c r="W3629" s="4" t="str">
        <f>IFERROR(__xludf.DUMMYFUNCTION("""COMPUTED_VALUE"""),"Saipos Serviços De Software")</f>
        <v>Saipos Serviços De Software</v>
      </c>
      <c r="X3629" s="33">
        <f>IFERROR(__xludf.DUMMYFUNCTION("""COMPUTED_VALUE"""),1.0)</f>
        <v>1</v>
      </c>
    </row>
    <row r="3630">
      <c r="K3630" s="4" t="str">
        <f>IFERROR(__xludf.DUMMYFUNCTION("""COMPUTED_VALUE"""),"MANGA CANELA PIZZARIA - CONTA MARCA")</f>
        <v>MANGA CANELA PIZZARIA - CONTA MARCA</v>
      </c>
      <c r="L3630" s="32">
        <f>IFERROR(__xludf.DUMMYFUNCTION("""COMPUTED_VALUE"""),3.0)</f>
        <v>3</v>
      </c>
      <c r="M3630" s="4" t="str">
        <f>IFERROR(__xludf.DUMMYFUNCTION("""COMPUTED_VALUE"""),"Opdv")</f>
        <v>Opdv</v>
      </c>
      <c r="N3630" s="33">
        <f>IFERROR(__xludf.DUMMYFUNCTION("""COMPUTED_VALUE"""),0.3333333333333333)</f>
        <v>0.3333333333</v>
      </c>
      <c r="O3630" s="4" t="str">
        <f>IFERROR(__xludf.DUMMYFUNCTION("""COMPUTED_VALUE"""),"Opdv")</f>
        <v>Opdv</v>
      </c>
      <c r="P3630" s="33">
        <f>IFERROR(__xludf.DUMMYFUNCTION("""COMPUTED_VALUE"""),0.3333333333333333)</f>
        <v>0.3333333333</v>
      </c>
      <c r="Q3630" s="4" t="str">
        <f>IFERROR(__xludf.DUMMYFUNCTION("""COMPUTED_VALUE"""),"Opdv")</f>
        <v>Opdv</v>
      </c>
      <c r="R3630" s="33">
        <f>IFERROR(__xludf.DUMMYFUNCTION("""COMPUTED_VALUE"""),0.3333333333333333)</f>
        <v>0.3333333333</v>
      </c>
      <c r="S3630" s="4" t="str">
        <f>IFERROR(__xludf.DUMMYFUNCTION("""COMPUTED_VALUE"""),"Opdv")</f>
        <v>Opdv</v>
      </c>
      <c r="T3630" s="33">
        <f>IFERROR(__xludf.DUMMYFUNCTION("""COMPUTED_VALUE"""),0.3333333333333333)</f>
        <v>0.3333333333</v>
      </c>
      <c r="U3630" s="4" t="str">
        <f>IFERROR(__xludf.DUMMYFUNCTION("""COMPUTED_VALUE"""),"Opdv")</f>
        <v>Opdv</v>
      </c>
      <c r="V3630" s="33">
        <f>IFERROR(__xludf.DUMMYFUNCTION("""COMPUTED_VALUE"""),0.3333333333333333)</f>
        <v>0.3333333333</v>
      </c>
      <c r="W3630" s="4" t="str">
        <f>IFERROR(__xludf.DUMMYFUNCTION("""COMPUTED_VALUE"""),"Saipos Serviços De Software")</f>
        <v>Saipos Serviços De Software</v>
      </c>
      <c r="X3630" s="33">
        <f>IFERROR(__xludf.DUMMYFUNCTION("""COMPUTED_VALUE"""),0.6666666666666666)</f>
        <v>0.6666666667</v>
      </c>
    </row>
    <row r="3631">
      <c r="K3631" s="4" t="str">
        <f>IFERROR(__xludf.DUMMYFUNCTION("""COMPUTED_VALUE"""),"MANIHI SUSHI")</f>
        <v>MANIHI SUSHI</v>
      </c>
      <c r="L3631" s="32">
        <f>IFERROR(__xludf.DUMMYFUNCTION("""COMPUTED_VALUE"""),3.0)</f>
        <v>3</v>
      </c>
      <c r="M3631" s="4" t="str">
        <f>IFERROR(__xludf.DUMMYFUNCTION("""COMPUTED_VALUE"""),"Garcom Web")</f>
        <v>Garcom Web</v>
      </c>
      <c r="N3631" s="33">
        <f>IFERROR(__xludf.DUMMYFUNCTION("""COMPUTED_VALUE"""),0.6666666666666666)</f>
        <v>0.6666666667</v>
      </c>
      <c r="O3631" s="4" t="str">
        <f>IFERROR(__xludf.DUMMYFUNCTION("""COMPUTED_VALUE"""),"Garcom Web")</f>
        <v>Garcom Web</v>
      </c>
      <c r="P3631" s="33">
        <f>IFERROR(__xludf.DUMMYFUNCTION("""COMPUTED_VALUE"""),0.6666666666666666)</f>
        <v>0.6666666667</v>
      </c>
      <c r="Q3631" s="4" t="str">
        <f>IFERROR(__xludf.DUMMYFUNCTION("""COMPUTED_VALUE"""),"Garcom Web")</f>
        <v>Garcom Web</v>
      </c>
      <c r="R3631" s="33">
        <f>IFERROR(__xludf.DUMMYFUNCTION("""COMPUTED_VALUE"""),0.6666666666666666)</f>
        <v>0.6666666667</v>
      </c>
      <c r="S3631" s="4" t="str">
        <f>IFERROR(__xludf.DUMMYFUNCTION("""COMPUTED_VALUE"""),"Garcom Web")</f>
        <v>Garcom Web</v>
      </c>
      <c r="T3631" s="33">
        <f>IFERROR(__xludf.DUMMYFUNCTION("""COMPUTED_VALUE"""),0.6666666666666666)</f>
        <v>0.6666666667</v>
      </c>
      <c r="U3631" s="4" t="str">
        <f>IFERROR(__xludf.DUMMYFUNCTION("""COMPUTED_VALUE"""),"Garcom Web")</f>
        <v>Garcom Web</v>
      </c>
      <c r="V3631" s="33">
        <f>IFERROR(__xludf.DUMMYFUNCTION("""COMPUTED_VALUE"""),0.6666666666666666)</f>
        <v>0.6666666667</v>
      </c>
      <c r="W3631" s="4" t="str">
        <f>IFERROR(__xludf.DUMMYFUNCTION("""COMPUTED_VALUE"""),"Garcom Web")</f>
        <v>Garcom Web</v>
      </c>
      <c r="X3631" s="33">
        <f>IFERROR(__xludf.DUMMYFUNCTION("""COMPUTED_VALUE"""),0.6666666666666666)</f>
        <v>0.6666666667</v>
      </c>
    </row>
    <row r="3632">
      <c r="K3632" s="4" t="str">
        <f>IFERROR(__xludf.DUMMYFUNCTION("""COMPUTED_VALUE"""),"MARANATA")</f>
        <v>MARANATA</v>
      </c>
      <c r="L3632" s="32">
        <f>IFERROR(__xludf.DUMMYFUNCTION("""COMPUTED_VALUE"""),3.0)</f>
        <v>3</v>
      </c>
      <c r="M3632" s="4" t="str">
        <f>IFERROR(__xludf.DUMMYFUNCTION("""COMPUTED_VALUE"""),"Consumer Soluções Em Tecnologia Ltda")</f>
        <v>Consumer Soluções Em Tecnologia Ltda</v>
      </c>
      <c r="N3632" s="33">
        <f>IFERROR(__xludf.DUMMYFUNCTION("""COMPUTED_VALUE"""),1.0)</f>
        <v>1</v>
      </c>
      <c r="O3632" s="4" t="str">
        <f>IFERROR(__xludf.DUMMYFUNCTION("""COMPUTED_VALUE"""),"Consumer Soluções Em Tecnologia Ltda")</f>
        <v>Consumer Soluções Em Tecnologia Ltda</v>
      </c>
      <c r="P3632" s="33">
        <f>IFERROR(__xludf.DUMMYFUNCTION("""COMPUTED_VALUE"""),1.0)</f>
        <v>1</v>
      </c>
      <c r="Q3632" s="4" t="str">
        <f>IFERROR(__xludf.DUMMYFUNCTION("""COMPUTED_VALUE"""),"Consumer Soluções Em Tecnologia Ltda")</f>
        <v>Consumer Soluções Em Tecnologia Ltda</v>
      </c>
      <c r="R3632" s="33">
        <f>IFERROR(__xludf.DUMMYFUNCTION("""COMPUTED_VALUE"""),1.0)</f>
        <v>1</v>
      </c>
      <c r="S3632" s="4" t="str">
        <f>IFERROR(__xludf.DUMMYFUNCTION("""COMPUTED_VALUE"""),"Consumer Soluções Em Tecnologia Ltda")</f>
        <v>Consumer Soluções Em Tecnologia Ltda</v>
      </c>
      <c r="T3632" s="33">
        <f>IFERROR(__xludf.DUMMYFUNCTION("""COMPUTED_VALUE"""),1.0)</f>
        <v>1</v>
      </c>
      <c r="U3632" s="4" t="str">
        <f>IFERROR(__xludf.DUMMYFUNCTION("""COMPUTED_VALUE"""),"Consumer Soluções Em Tecnologia Ltda")</f>
        <v>Consumer Soluções Em Tecnologia Ltda</v>
      </c>
      <c r="V3632" s="33">
        <f>IFERROR(__xludf.DUMMYFUNCTION("""COMPUTED_VALUE"""),1.0)</f>
        <v>1</v>
      </c>
      <c r="W3632" s="4" t="str">
        <f>IFERROR(__xludf.DUMMYFUNCTION("""COMPUTED_VALUE"""),"Consumer Soluções Em Tecnologia Ltda")</f>
        <v>Consumer Soluções Em Tecnologia Ltda</v>
      </c>
      <c r="X3632" s="33">
        <f>IFERROR(__xludf.DUMMYFUNCTION("""COMPUTED_VALUE"""),0.6666666666666666)</f>
        <v>0.6666666667</v>
      </c>
    </row>
    <row r="3633">
      <c r="K3633" s="4" t="str">
        <f>IFERROR(__xludf.DUMMYFUNCTION("""COMPUTED_VALUE"""),"MARCA FRANGAL")</f>
        <v>MARCA FRANGAL</v>
      </c>
      <c r="L3633" s="32">
        <f>IFERROR(__xludf.DUMMYFUNCTION("""COMPUTED_VALUE"""),3.0)</f>
        <v>3</v>
      </c>
      <c r="M3633" s="4" t="str">
        <f>IFERROR(__xludf.DUMMYFUNCTION("""COMPUTED_VALUE"""),"Cardápio Web")</f>
        <v>Cardápio Web</v>
      </c>
      <c r="N3633" s="33">
        <f>IFERROR(__xludf.DUMMYFUNCTION("""COMPUTED_VALUE"""),1.0)</f>
        <v>1</v>
      </c>
      <c r="O3633" s="4" t="str">
        <f>IFERROR(__xludf.DUMMYFUNCTION("""COMPUTED_VALUE"""),"Cardápio Web")</f>
        <v>Cardápio Web</v>
      </c>
      <c r="P3633" s="33">
        <f>IFERROR(__xludf.DUMMYFUNCTION("""COMPUTED_VALUE"""),1.0)</f>
        <v>1</v>
      </c>
      <c r="Q3633" s="4" t="str">
        <f>IFERROR(__xludf.DUMMYFUNCTION("""COMPUTED_VALUE"""),"Cardápio Web")</f>
        <v>Cardápio Web</v>
      </c>
      <c r="R3633" s="33">
        <f>IFERROR(__xludf.DUMMYFUNCTION("""COMPUTED_VALUE"""),1.0)</f>
        <v>1</v>
      </c>
      <c r="S3633" s="4" t="str">
        <f>IFERROR(__xludf.DUMMYFUNCTION("""COMPUTED_VALUE"""),"Cardápio Web")</f>
        <v>Cardápio Web</v>
      </c>
      <c r="T3633" s="33">
        <f>IFERROR(__xludf.DUMMYFUNCTION("""COMPUTED_VALUE"""),1.0)</f>
        <v>1</v>
      </c>
      <c r="U3633" s="4" t="str">
        <f>IFERROR(__xludf.DUMMYFUNCTION("""COMPUTED_VALUE"""),"Cardápio Web")</f>
        <v>Cardápio Web</v>
      </c>
      <c r="V3633" s="33">
        <f>IFERROR(__xludf.DUMMYFUNCTION("""COMPUTED_VALUE"""),1.0)</f>
        <v>1</v>
      </c>
      <c r="W3633" s="4" t="str">
        <f>IFERROR(__xludf.DUMMYFUNCTION("""COMPUTED_VALUE"""),"Cardápio Web")</f>
        <v>Cardápio Web</v>
      </c>
      <c r="X3633" s="33">
        <f>IFERROR(__xludf.DUMMYFUNCTION("""COMPUTED_VALUE"""),1.0)</f>
        <v>1</v>
      </c>
    </row>
    <row r="3634">
      <c r="K3634" s="4" t="str">
        <f>IFERROR(__xludf.DUMMYFUNCTION("""COMPUTED_VALUE"""),"MARCA MEU BEM SAUDAVEL")</f>
        <v>MARCA MEU BEM SAUDAVEL</v>
      </c>
      <c r="L3634" s="32">
        <f>IFERROR(__xludf.DUMMYFUNCTION("""COMPUTED_VALUE"""),3.0)</f>
        <v>3</v>
      </c>
      <c r="M3634" s="4" t="str">
        <f>IFERROR(__xludf.DUMMYFUNCTION("""COMPUTED_VALUE"""),"Consumer Soluções Em Tecnologia Ltda")</f>
        <v>Consumer Soluções Em Tecnologia Ltda</v>
      </c>
      <c r="N3634" s="33">
        <f>IFERROR(__xludf.DUMMYFUNCTION("""COMPUTED_VALUE"""),1.0)</f>
        <v>1</v>
      </c>
      <c r="O3634" s="4" t="str">
        <f>IFERROR(__xludf.DUMMYFUNCTION("""COMPUTED_VALUE"""),"Consumer Soluções Em Tecnologia Ltda")</f>
        <v>Consumer Soluções Em Tecnologia Ltda</v>
      </c>
      <c r="P3634" s="33">
        <f>IFERROR(__xludf.DUMMYFUNCTION("""COMPUTED_VALUE"""),1.0)</f>
        <v>1</v>
      </c>
      <c r="Q3634" s="4" t="str">
        <f>IFERROR(__xludf.DUMMYFUNCTION("""COMPUTED_VALUE"""),"null")</f>
        <v>null</v>
      </c>
      <c r="R3634" s="33">
        <f>IFERROR(__xludf.DUMMYFUNCTION("""COMPUTED_VALUE"""),0.6666666666666666)</f>
        <v>0.6666666667</v>
      </c>
      <c r="S3634" s="4" t="str">
        <f>IFERROR(__xludf.DUMMYFUNCTION("""COMPUTED_VALUE"""),"null")</f>
        <v>null</v>
      </c>
      <c r="T3634" s="33">
        <f>IFERROR(__xludf.DUMMYFUNCTION("""COMPUTED_VALUE"""),1.0)</f>
        <v>1</v>
      </c>
      <c r="U3634" s="4" t="str">
        <f>IFERROR(__xludf.DUMMYFUNCTION("""COMPUTED_VALUE"""),"null")</f>
        <v>null</v>
      </c>
      <c r="V3634" s="33">
        <f>IFERROR(__xludf.DUMMYFUNCTION("""COMPUTED_VALUE"""),1.0)</f>
        <v>1</v>
      </c>
      <c r="W3634" s="4" t="str">
        <f>IFERROR(__xludf.DUMMYFUNCTION("""COMPUTED_VALUE"""),"null")</f>
        <v>null</v>
      </c>
      <c r="X3634" s="33">
        <f>IFERROR(__xludf.DUMMYFUNCTION("""COMPUTED_VALUE"""),1.0)</f>
        <v>1</v>
      </c>
    </row>
    <row r="3635">
      <c r="K3635" s="4" t="str">
        <f>IFERROR(__xludf.DUMMYFUNCTION("""COMPUTED_VALUE"""),"MARCA NEW FLAVOR")</f>
        <v>MARCA NEW FLAVOR</v>
      </c>
      <c r="L3635" s="32">
        <f>IFERROR(__xludf.DUMMYFUNCTION("""COMPUTED_VALUE"""),3.0)</f>
        <v>3</v>
      </c>
      <c r="M3635" s="4" t="str">
        <f>IFERROR(__xludf.DUMMYFUNCTION("""COMPUTED_VALUE"""),"Cityfoods Ltda")</f>
        <v>Cityfoods Ltda</v>
      </c>
      <c r="N3635" s="33">
        <f>IFERROR(__xludf.DUMMYFUNCTION("""COMPUTED_VALUE"""),1.0)</f>
        <v>1</v>
      </c>
      <c r="O3635" s="4" t="str">
        <f>IFERROR(__xludf.DUMMYFUNCTION("""COMPUTED_VALUE"""),"Cityfoods Ltda")</f>
        <v>Cityfoods Ltda</v>
      </c>
      <c r="P3635" s="33">
        <f>IFERROR(__xludf.DUMMYFUNCTION("""COMPUTED_VALUE"""),0.6666666666666666)</f>
        <v>0.6666666667</v>
      </c>
      <c r="Q3635" s="4" t="str">
        <f>IFERROR(__xludf.DUMMYFUNCTION("""COMPUTED_VALUE"""),"null")</f>
        <v>null</v>
      </c>
      <c r="R3635" s="33">
        <f>IFERROR(__xludf.DUMMYFUNCTION("""COMPUTED_VALUE"""),0.6666666666666666)</f>
        <v>0.6666666667</v>
      </c>
      <c r="S3635" s="4" t="str">
        <f>IFERROR(__xludf.DUMMYFUNCTION("""COMPUTED_VALUE"""),"Cityfoods Ltda")</f>
        <v>Cityfoods Ltda</v>
      </c>
      <c r="T3635" s="33">
        <f>IFERROR(__xludf.DUMMYFUNCTION("""COMPUTED_VALUE"""),1.0)</f>
        <v>1</v>
      </c>
      <c r="U3635" s="4" t="str">
        <f>IFERROR(__xludf.DUMMYFUNCTION("""COMPUTED_VALUE"""),"Cityfoods Ltda")</f>
        <v>Cityfoods Ltda</v>
      </c>
      <c r="V3635" s="33">
        <f>IFERROR(__xludf.DUMMYFUNCTION("""COMPUTED_VALUE"""),0.6666666666666666)</f>
        <v>0.6666666667</v>
      </c>
      <c r="W3635" s="4" t="str">
        <f>IFERROR(__xludf.DUMMYFUNCTION("""COMPUTED_VALUE"""),"Cityfoods Ltda")</f>
        <v>Cityfoods Ltda</v>
      </c>
      <c r="X3635" s="33">
        <f>IFERROR(__xludf.DUMMYFUNCTION("""COMPUTED_VALUE"""),1.0)</f>
        <v>1</v>
      </c>
    </row>
    <row r="3636">
      <c r="K3636" s="4" t="str">
        <f>IFERROR(__xludf.DUMMYFUNCTION("""COMPUTED_VALUE"""),"MARCA SEU VIRIATO")</f>
        <v>MARCA SEU VIRIATO</v>
      </c>
      <c r="L3636" s="32">
        <f>IFERROR(__xludf.DUMMYFUNCTION("""COMPUTED_VALUE"""),3.0)</f>
        <v>3</v>
      </c>
      <c r="M3636" s="4" t="str">
        <f>IFERROR(__xludf.DUMMYFUNCTION("""COMPUTED_VALUE"""),"Opdv")</f>
        <v>Opdv</v>
      </c>
      <c r="N3636" s="33">
        <f>IFERROR(__xludf.DUMMYFUNCTION("""COMPUTED_VALUE"""),1.0)</f>
        <v>1</v>
      </c>
      <c r="O3636" s="4" t="str">
        <f>IFERROR(__xludf.DUMMYFUNCTION("""COMPUTED_VALUE"""),"Opdv")</f>
        <v>Opdv</v>
      </c>
      <c r="P3636" s="33">
        <f>IFERROR(__xludf.DUMMYFUNCTION("""COMPUTED_VALUE"""),1.0)</f>
        <v>1</v>
      </c>
      <c r="Q3636" s="4" t="str">
        <f>IFERROR(__xludf.DUMMYFUNCTION("""COMPUTED_VALUE"""),"Opdv")</f>
        <v>Opdv</v>
      </c>
      <c r="R3636" s="33">
        <f>IFERROR(__xludf.DUMMYFUNCTION("""COMPUTED_VALUE"""),1.0)</f>
        <v>1</v>
      </c>
      <c r="S3636" s="4" t="str">
        <f>IFERROR(__xludf.DUMMYFUNCTION("""COMPUTED_VALUE"""),"Opdv")</f>
        <v>Opdv</v>
      </c>
      <c r="T3636" s="33">
        <f>IFERROR(__xludf.DUMMYFUNCTION("""COMPUTED_VALUE"""),1.0)</f>
        <v>1</v>
      </c>
      <c r="U3636" s="4" t="str">
        <f>IFERROR(__xludf.DUMMYFUNCTION("""COMPUTED_VALUE"""),"Opdv")</f>
        <v>Opdv</v>
      </c>
      <c r="V3636" s="33">
        <f>IFERROR(__xludf.DUMMYFUNCTION("""COMPUTED_VALUE"""),1.0)</f>
        <v>1</v>
      </c>
      <c r="W3636" s="4" t="str">
        <f>IFERROR(__xludf.DUMMYFUNCTION("""COMPUTED_VALUE"""),"Opdv")</f>
        <v>Opdv</v>
      </c>
      <c r="X3636" s="33">
        <f>IFERROR(__xludf.DUMMYFUNCTION("""COMPUTED_VALUE"""),1.0)</f>
        <v>1</v>
      </c>
    </row>
    <row r="3637">
      <c r="K3637" s="4" t="str">
        <f>IFERROR(__xludf.DUMMYFUNCTION("""COMPUTED_VALUE"""),"MARIA REDONDA")</f>
        <v>MARIA REDONDA</v>
      </c>
      <c r="L3637" s="32">
        <f>IFERROR(__xludf.DUMMYFUNCTION("""COMPUTED_VALUE"""),3.0)</f>
        <v>3</v>
      </c>
      <c r="M3637" s="4" t="str">
        <f>IFERROR(__xludf.DUMMYFUNCTION("""COMPUTED_VALUE"""),"Consumer Soluções Em Tecnologia Ltda")</f>
        <v>Consumer Soluções Em Tecnologia Ltda</v>
      </c>
      <c r="N3637" s="33">
        <f>IFERROR(__xludf.DUMMYFUNCTION("""COMPUTED_VALUE"""),1.0)</f>
        <v>1</v>
      </c>
      <c r="O3637" s="4" t="str">
        <f>IFERROR(__xludf.DUMMYFUNCTION("""COMPUTED_VALUE"""),"Consumer Soluções Em Tecnologia Ltda")</f>
        <v>Consumer Soluções Em Tecnologia Ltda</v>
      </c>
      <c r="P3637" s="33">
        <f>IFERROR(__xludf.DUMMYFUNCTION("""COMPUTED_VALUE"""),1.0)</f>
        <v>1</v>
      </c>
      <c r="Q3637" s="4" t="str">
        <f>IFERROR(__xludf.DUMMYFUNCTION("""COMPUTED_VALUE"""),"Consumer Soluções Em Tecnologia Ltda")</f>
        <v>Consumer Soluções Em Tecnologia Ltda</v>
      </c>
      <c r="R3637" s="33">
        <f>IFERROR(__xludf.DUMMYFUNCTION("""COMPUTED_VALUE"""),1.0)</f>
        <v>1</v>
      </c>
      <c r="S3637" s="4" t="str">
        <f>IFERROR(__xludf.DUMMYFUNCTION("""COMPUTED_VALUE"""),"Consumer Soluções Em Tecnologia Ltda")</f>
        <v>Consumer Soluções Em Tecnologia Ltda</v>
      </c>
      <c r="T3637" s="33">
        <f>IFERROR(__xludf.DUMMYFUNCTION("""COMPUTED_VALUE"""),1.0)</f>
        <v>1</v>
      </c>
      <c r="U3637" s="4" t="str">
        <f>IFERROR(__xludf.DUMMYFUNCTION("""COMPUTED_VALUE"""),"Consumer Soluções Em Tecnologia Ltda")</f>
        <v>Consumer Soluções Em Tecnologia Ltda</v>
      </c>
      <c r="V3637" s="33">
        <f>IFERROR(__xludf.DUMMYFUNCTION("""COMPUTED_VALUE"""),1.0)</f>
        <v>1</v>
      </c>
      <c r="W3637" s="4" t="str">
        <f>IFERROR(__xludf.DUMMYFUNCTION("""COMPUTED_VALUE"""),"Consumer Soluções Em Tecnologia Ltda")</f>
        <v>Consumer Soluções Em Tecnologia Ltda</v>
      </c>
      <c r="X3637" s="33">
        <f>IFERROR(__xludf.DUMMYFUNCTION("""COMPUTED_VALUE"""),1.0)</f>
        <v>1</v>
      </c>
    </row>
    <row r="3638">
      <c r="K3638" s="4" t="str">
        <f>IFERROR(__xludf.DUMMYFUNCTION("""COMPUTED_VALUE"""),"MARIAH CULINARIA ORIENTAL")</f>
        <v>MARIAH CULINARIA ORIENTAL</v>
      </c>
      <c r="L3638" s="32">
        <f>IFERROR(__xludf.DUMMYFUNCTION("""COMPUTED_VALUE"""),3.0)</f>
        <v>3</v>
      </c>
      <c r="M3638" s="4" t="str">
        <f>IFERROR(__xludf.DUMMYFUNCTION("""COMPUTED_VALUE"""),"Saipos Serviços De Software")</f>
        <v>Saipos Serviços De Software</v>
      </c>
      <c r="N3638" s="33">
        <f>IFERROR(__xludf.DUMMYFUNCTION("""COMPUTED_VALUE"""),1.0)</f>
        <v>1</v>
      </c>
      <c r="O3638" s="4" t="str">
        <f>IFERROR(__xludf.DUMMYFUNCTION("""COMPUTED_VALUE"""),"Saipos Serviços De Software")</f>
        <v>Saipos Serviços De Software</v>
      </c>
      <c r="P3638" s="33">
        <f>IFERROR(__xludf.DUMMYFUNCTION("""COMPUTED_VALUE"""),1.0)</f>
        <v>1</v>
      </c>
      <c r="Q3638" s="4" t="str">
        <f>IFERROR(__xludf.DUMMYFUNCTION("""COMPUTED_VALUE"""),"Saipos Serviços De Software")</f>
        <v>Saipos Serviços De Software</v>
      </c>
      <c r="R3638" s="33">
        <f>IFERROR(__xludf.DUMMYFUNCTION("""COMPUTED_VALUE"""),1.0)</f>
        <v>1</v>
      </c>
      <c r="S3638" s="4" t="str">
        <f>IFERROR(__xludf.DUMMYFUNCTION("""COMPUTED_VALUE"""),"Saipos Serviços De Software")</f>
        <v>Saipos Serviços De Software</v>
      </c>
      <c r="T3638" s="33">
        <f>IFERROR(__xludf.DUMMYFUNCTION("""COMPUTED_VALUE"""),1.0)</f>
        <v>1</v>
      </c>
      <c r="U3638" s="4" t="str">
        <f>IFERROR(__xludf.DUMMYFUNCTION("""COMPUTED_VALUE"""),"Saipos Serviços De Software")</f>
        <v>Saipos Serviços De Software</v>
      </c>
      <c r="V3638" s="33">
        <f>IFERROR(__xludf.DUMMYFUNCTION("""COMPUTED_VALUE"""),1.0)</f>
        <v>1</v>
      </c>
      <c r="W3638" s="4" t="str">
        <f>IFERROR(__xludf.DUMMYFUNCTION("""COMPUTED_VALUE"""),"Saipos Serviços De Software")</f>
        <v>Saipos Serviços De Software</v>
      </c>
      <c r="X3638" s="33">
        <f>IFERROR(__xludf.DUMMYFUNCTION("""COMPUTED_VALUE"""),1.0)</f>
        <v>1</v>
      </c>
    </row>
    <row r="3639">
      <c r="K3639" s="4" t="str">
        <f>IFERROR(__xludf.DUMMYFUNCTION("""COMPUTED_VALUE"""),"MARIAZINHA")</f>
        <v>MARIAZINHA</v>
      </c>
      <c r="L3639" s="32">
        <f>IFERROR(__xludf.DUMMYFUNCTION("""COMPUTED_VALUE"""),3.0)</f>
        <v>3</v>
      </c>
      <c r="M3639" s="4" t="str">
        <f>IFERROR(__xludf.DUMMYFUNCTION("""COMPUTED_VALUE"""),"Menew - Linx")</f>
        <v>Menew - Linx</v>
      </c>
      <c r="N3639" s="33">
        <f>IFERROR(__xludf.DUMMYFUNCTION("""COMPUTED_VALUE"""),1.0)</f>
        <v>1</v>
      </c>
      <c r="O3639" s="4" t="str">
        <f>IFERROR(__xludf.DUMMYFUNCTION("""COMPUTED_VALUE"""),"null")</f>
        <v>null</v>
      </c>
      <c r="P3639" s="33">
        <f>IFERROR(__xludf.DUMMYFUNCTION("""COMPUTED_VALUE"""),1.0)</f>
        <v>1</v>
      </c>
      <c r="Q3639" s="4" t="str">
        <f>IFERROR(__xludf.DUMMYFUNCTION("""COMPUTED_VALUE"""),"null")</f>
        <v>null</v>
      </c>
      <c r="R3639" s="33">
        <f>IFERROR(__xludf.DUMMYFUNCTION("""COMPUTED_VALUE"""),1.0)</f>
        <v>1</v>
      </c>
      <c r="S3639" s="4" t="str">
        <f>IFERROR(__xludf.DUMMYFUNCTION("""COMPUTED_VALUE"""),"null")</f>
        <v>null</v>
      </c>
      <c r="T3639" s="33">
        <f>IFERROR(__xludf.DUMMYFUNCTION("""COMPUTED_VALUE"""),1.0)</f>
        <v>1</v>
      </c>
      <c r="U3639" s="4" t="str">
        <f>IFERROR(__xludf.DUMMYFUNCTION("""COMPUTED_VALUE"""),"null")</f>
        <v>null</v>
      </c>
      <c r="V3639" s="33">
        <f>IFERROR(__xludf.DUMMYFUNCTION("""COMPUTED_VALUE"""),1.0)</f>
        <v>1</v>
      </c>
      <c r="W3639" s="4" t="str">
        <f>IFERROR(__xludf.DUMMYFUNCTION("""COMPUTED_VALUE"""),"null")</f>
        <v>null</v>
      </c>
      <c r="X3639" s="33">
        <f>IFERROR(__xludf.DUMMYFUNCTION("""COMPUTED_VALUE"""),1.0)</f>
        <v>1</v>
      </c>
    </row>
    <row r="3640">
      <c r="K3640" s="4" t="str">
        <f>IFERROR(__xludf.DUMMYFUNCTION("""COMPUTED_VALUE"""),"MARIAZINHA PE")</f>
        <v>MARIAZINHA PE</v>
      </c>
      <c r="L3640" s="32">
        <f>IFERROR(__xludf.DUMMYFUNCTION("""COMPUTED_VALUE"""),3.0)</f>
        <v>3</v>
      </c>
      <c r="M3640" s="4" t="str">
        <f>IFERROR(__xludf.DUMMYFUNCTION("""COMPUTED_VALUE"""),"Menew - Linx")</f>
        <v>Menew - Linx</v>
      </c>
      <c r="N3640" s="33">
        <f>IFERROR(__xludf.DUMMYFUNCTION("""COMPUTED_VALUE"""),1.0)</f>
        <v>1</v>
      </c>
      <c r="O3640" s="4" t="str">
        <f>IFERROR(__xludf.DUMMYFUNCTION("""COMPUTED_VALUE"""),"null")</f>
        <v>null</v>
      </c>
      <c r="P3640" s="33">
        <f>IFERROR(__xludf.DUMMYFUNCTION("""COMPUTED_VALUE"""),1.0)</f>
        <v>1</v>
      </c>
      <c r="Q3640" s="4" t="str">
        <f>IFERROR(__xludf.DUMMYFUNCTION("""COMPUTED_VALUE"""),"null")</f>
        <v>null</v>
      </c>
      <c r="R3640" s="33">
        <f>IFERROR(__xludf.DUMMYFUNCTION("""COMPUTED_VALUE"""),1.0)</f>
        <v>1</v>
      </c>
      <c r="S3640" s="4" t="str">
        <f>IFERROR(__xludf.DUMMYFUNCTION("""COMPUTED_VALUE"""),"null")</f>
        <v>null</v>
      </c>
      <c r="T3640" s="33">
        <f>IFERROR(__xludf.DUMMYFUNCTION("""COMPUTED_VALUE"""),1.0)</f>
        <v>1</v>
      </c>
      <c r="U3640" s="4" t="str">
        <f>IFERROR(__xludf.DUMMYFUNCTION("""COMPUTED_VALUE"""),"null")</f>
        <v>null</v>
      </c>
      <c r="V3640" s="33">
        <f>IFERROR(__xludf.DUMMYFUNCTION("""COMPUTED_VALUE"""),1.0)</f>
        <v>1</v>
      </c>
      <c r="W3640" s="4" t="str">
        <f>IFERROR(__xludf.DUMMYFUNCTION("""COMPUTED_VALUE"""),"null")</f>
        <v>null</v>
      </c>
      <c r="X3640" s="33">
        <f>IFERROR(__xludf.DUMMYFUNCTION("""COMPUTED_VALUE"""),1.0)</f>
        <v>1</v>
      </c>
    </row>
    <row r="3641">
      <c r="K3641" s="4" t="str">
        <f>IFERROR(__xludf.DUMMYFUNCTION("""COMPUTED_VALUE"""),"MARIQUETI - BOLOS, DOCES E SALGADOS")</f>
        <v>MARIQUETI - BOLOS, DOCES E SALGADOS</v>
      </c>
      <c r="L3641" s="32">
        <f>IFERROR(__xludf.DUMMYFUNCTION("""COMPUTED_VALUE"""),3.0)</f>
        <v>3</v>
      </c>
      <c r="M3641" s="4" t="str">
        <f>IFERROR(__xludf.DUMMYFUNCTION("""COMPUTED_VALUE"""),"Cloudfy")</f>
        <v>Cloudfy</v>
      </c>
      <c r="N3641" s="33">
        <f>IFERROR(__xludf.DUMMYFUNCTION("""COMPUTED_VALUE"""),0.6666666666666666)</f>
        <v>0.6666666667</v>
      </c>
      <c r="O3641" s="4" t="str">
        <f>IFERROR(__xludf.DUMMYFUNCTION("""COMPUTED_VALUE"""),"Cloudfy")</f>
        <v>Cloudfy</v>
      </c>
      <c r="P3641" s="33">
        <f>IFERROR(__xludf.DUMMYFUNCTION("""COMPUTED_VALUE"""),0.6666666666666666)</f>
        <v>0.6666666667</v>
      </c>
      <c r="Q3641" s="4" t="str">
        <f>IFERROR(__xludf.DUMMYFUNCTION("""COMPUTED_VALUE"""),"Cloudfy")</f>
        <v>Cloudfy</v>
      </c>
      <c r="R3641" s="33">
        <f>IFERROR(__xludf.DUMMYFUNCTION("""COMPUTED_VALUE"""),0.6666666666666666)</f>
        <v>0.6666666667</v>
      </c>
      <c r="S3641" s="4" t="str">
        <f>IFERROR(__xludf.DUMMYFUNCTION("""COMPUTED_VALUE"""),"Cloudfy")</f>
        <v>Cloudfy</v>
      </c>
      <c r="T3641" s="33">
        <f>IFERROR(__xludf.DUMMYFUNCTION("""COMPUTED_VALUE"""),0.6666666666666666)</f>
        <v>0.6666666667</v>
      </c>
      <c r="U3641" s="4" t="str">
        <f>IFERROR(__xludf.DUMMYFUNCTION("""COMPUTED_VALUE"""),"Cloudfy")</f>
        <v>Cloudfy</v>
      </c>
      <c r="V3641" s="33">
        <f>IFERROR(__xludf.DUMMYFUNCTION("""COMPUTED_VALUE"""),0.6666666666666666)</f>
        <v>0.6666666667</v>
      </c>
      <c r="W3641" s="4" t="str">
        <f>IFERROR(__xludf.DUMMYFUNCTION("""COMPUTED_VALUE"""),"Cloudfy")</f>
        <v>Cloudfy</v>
      </c>
      <c r="X3641" s="33">
        <f>IFERROR(__xludf.DUMMYFUNCTION("""COMPUTED_VALUE"""),0.6666666666666666)</f>
        <v>0.6666666667</v>
      </c>
    </row>
    <row r="3642">
      <c r="K3642" s="4" t="str">
        <f>IFERROR(__xludf.DUMMYFUNCTION("""COMPUTED_VALUE"""),"MARM FAST")</f>
        <v>MARM FAST</v>
      </c>
      <c r="L3642" s="32">
        <f>IFERROR(__xludf.DUMMYFUNCTION("""COMPUTED_VALUE"""),3.0)</f>
        <v>3</v>
      </c>
      <c r="M3642" s="4" t="str">
        <f>IFERROR(__xludf.DUMMYFUNCTION("""COMPUTED_VALUE"""),"Saipos Serviços De Software")</f>
        <v>Saipos Serviços De Software</v>
      </c>
      <c r="N3642" s="33">
        <f>IFERROR(__xludf.DUMMYFUNCTION("""COMPUTED_VALUE"""),1.0)</f>
        <v>1</v>
      </c>
      <c r="O3642" s="4" t="str">
        <f>IFERROR(__xludf.DUMMYFUNCTION("""COMPUTED_VALUE"""),"Saipos Serviços De Software")</f>
        <v>Saipos Serviços De Software</v>
      </c>
      <c r="P3642" s="33">
        <f>IFERROR(__xludf.DUMMYFUNCTION("""COMPUTED_VALUE"""),1.0)</f>
        <v>1</v>
      </c>
      <c r="Q3642" s="4" t="str">
        <f>IFERROR(__xludf.DUMMYFUNCTION("""COMPUTED_VALUE"""),"Saipos Serviços De Software")</f>
        <v>Saipos Serviços De Software</v>
      </c>
      <c r="R3642" s="33">
        <f>IFERROR(__xludf.DUMMYFUNCTION("""COMPUTED_VALUE"""),1.0)</f>
        <v>1</v>
      </c>
      <c r="S3642" s="4" t="str">
        <f>IFERROR(__xludf.DUMMYFUNCTION("""COMPUTED_VALUE"""),"Saipos Serviços De Software")</f>
        <v>Saipos Serviços De Software</v>
      </c>
      <c r="T3642" s="33">
        <f>IFERROR(__xludf.DUMMYFUNCTION("""COMPUTED_VALUE"""),0.6666666666666666)</f>
        <v>0.6666666667</v>
      </c>
      <c r="U3642" s="4" t="str">
        <f>IFERROR(__xludf.DUMMYFUNCTION("""COMPUTED_VALUE"""),"Saipos Serviços De Software")</f>
        <v>Saipos Serviços De Software</v>
      </c>
      <c r="V3642" s="33">
        <f>IFERROR(__xludf.DUMMYFUNCTION("""COMPUTED_VALUE"""),0.6666666666666666)</f>
        <v>0.6666666667</v>
      </c>
      <c r="W3642" s="4" t="str">
        <f>IFERROR(__xludf.DUMMYFUNCTION("""COMPUTED_VALUE"""),"Saipos Serviços De Software")</f>
        <v>Saipos Serviços De Software</v>
      </c>
      <c r="X3642" s="33">
        <f>IFERROR(__xludf.DUMMYFUNCTION("""COMPUTED_VALUE"""),0.6666666666666666)</f>
        <v>0.6666666667</v>
      </c>
    </row>
    <row r="3643">
      <c r="K3643" s="4" t="str">
        <f>IFERROR(__xludf.DUMMYFUNCTION("""COMPUTED_VALUE"""),"MARMITA PONTO DO SABOR SC - CONTA MARCA")</f>
        <v>MARMITA PONTO DO SABOR SC - CONTA MARCA</v>
      </c>
      <c r="L3643" s="32">
        <f>IFERROR(__xludf.DUMMYFUNCTION("""COMPUTED_VALUE"""),3.0)</f>
        <v>3</v>
      </c>
      <c r="M3643" s="4" t="str">
        <f>IFERROR(__xludf.DUMMYFUNCTION("""COMPUTED_VALUE"""),"Saipos Serviços De Software")</f>
        <v>Saipos Serviços De Software</v>
      </c>
      <c r="N3643" s="33">
        <f>IFERROR(__xludf.DUMMYFUNCTION("""COMPUTED_VALUE"""),0.6666666666666666)</f>
        <v>0.6666666667</v>
      </c>
      <c r="O3643" s="4" t="str">
        <f>IFERROR(__xludf.DUMMYFUNCTION("""COMPUTED_VALUE"""),"Saipos Serviços De Software")</f>
        <v>Saipos Serviços De Software</v>
      </c>
      <c r="P3643" s="33">
        <f>IFERROR(__xludf.DUMMYFUNCTION("""COMPUTED_VALUE"""),0.6666666666666666)</f>
        <v>0.6666666667</v>
      </c>
      <c r="Q3643" s="4" t="str">
        <f>IFERROR(__xludf.DUMMYFUNCTION("""COMPUTED_VALUE"""),"Saipos Serviços De Software")</f>
        <v>Saipos Serviços De Software</v>
      </c>
      <c r="R3643" s="33">
        <f>IFERROR(__xludf.DUMMYFUNCTION("""COMPUTED_VALUE"""),0.6666666666666666)</f>
        <v>0.6666666667</v>
      </c>
      <c r="S3643" s="4" t="str">
        <f>IFERROR(__xludf.DUMMYFUNCTION("""COMPUTED_VALUE"""),"Saipos Serviços De Software")</f>
        <v>Saipos Serviços De Software</v>
      </c>
      <c r="T3643" s="33">
        <f>IFERROR(__xludf.DUMMYFUNCTION("""COMPUTED_VALUE"""),0.6666666666666666)</f>
        <v>0.6666666667</v>
      </c>
      <c r="U3643" s="4" t="str">
        <f>IFERROR(__xludf.DUMMYFUNCTION("""COMPUTED_VALUE"""),"Saipos Serviços De Software")</f>
        <v>Saipos Serviços De Software</v>
      </c>
      <c r="V3643" s="33">
        <f>IFERROR(__xludf.DUMMYFUNCTION("""COMPUTED_VALUE"""),1.0)</f>
        <v>1</v>
      </c>
      <c r="W3643" s="4" t="str">
        <f>IFERROR(__xludf.DUMMYFUNCTION("""COMPUTED_VALUE"""),"Saipos Serviços De Software")</f>
        <v>Saipos Serviços De Software</v>
      </c>
      <c r="X3643" s="33">
        <f>IFERROR(__xludf.DUMMYFUNCTION("""COMPUTED_VALUE"""),1.0)</f>
        <v>1</v>
      </c>
    </row>
    <row r="3644">
      <c r="K3644" s="4" t="str">
        <f>IFERROR(__xludf.DUMMYFUNCTION("""COMPUTED_VALUE"""),"MARMITARIA FAZENDOCA - CONTA MARCA")</f>
        <v>MARMITARIA FAZENDOCA - CONTA MARCA</v>
      </c>
      <c r="L3644" s="32">
        <f>IFERROR(__xludf.DUMMYFUNCTION("""COMPUTED_VALUE"""),3.0)</f>
        <v>3</v>
      </c>
      <c r="M3644" s="4" t="str">
        <f>IFERROR(__xludf.DUMMYFUNCTION("""COMPUTED_VALUE"""),"Ld Consultoria Em Gestão Empresarial")</f>
        <v>Ld Consultoria Em Gestão Empresarial</v>
      </c>
      <c r="N3644" s="33">
        <f>IFERROR(__xludf.DUMMYFUNCTION("""COMPUTED_VALUE"""),1.0)</f>
        <v>1</v>
      </c>
      <c r="O3644" s="4" t="str">
        <f>IFERROR(__xludf.DUMMYFUNCTION("""COMPUTED_VALUE"""),"Ld Consultoria Em Gestão Empresarial")</f>
        <v>Ld Consultoria Em Gestão Empresarial</v>
      </c>
      <c r="P3644" s="33">
        <f>IFERROR(__xludf.DUMMYFUNCTION("""COMPUTED_VALUE"""),1.0)</f>
        <v>1</v>
      </c>
      <c r="Q3644" s="4" t="str">
        <f>IFERROR(__xludf.DUMMYFUNCTION("""COMPUTED_VALUE"""),"Ld Consultoria Em Gestão Empresarial")</f>
        <v>Ld Consultoria Em Gestão Empresarial</v>
      </c>
      <c r="R3644" s="33">
        <f>IFERROR(__xludf.DUMMYFUNCTION("""COMPUTED_VALUE"""),0.6666666666666666)</f>
        <v>0.6666666667</v>
      </c>
      <c r="S3644" s="4" t="str">
        <f>IFERROR(__xludf.DUMMYFUNCTION("""COMPUTED_VALUE"""),"Ld Consultoria Em Gestão Empresarial")</f>
        <v>Ld Consultoria Em Gestão Empresarial</v>
      </c>
      <c r="T3644" s="33">
        <f>IFERROR(__xludf.DUMMYFUNCTION("""COMPUTED_VALUE"""),0.6666666666666666)</f>
        <v>0.6666666667</v>
      </c>
      <c r="U3644" s="4" t="str">
        <f>IFERROR(__xludf.DUMMYFUNCTION("""COMPUTED_VALUE"""),"Ld Consultoria Em Gestão Empresarial")</f>
        <v>Ld Consultoria Em Gestão Empresarial</v>
      </c>
      <c r="V3644" s="33">
        <f>IFERROR(__xludf.DUMMYFUNCTION("""COMPUTED_VALUE"""),0.6666666666666666)</f>
        <v>0.6666666667</v>
      </c>
      <c r="W3644" s="4" t="str">
        <f>IFERROR(__xludf.DUMMYFUNCTION("""COMPUTED_VALUE"""),"Ld Consultoria Em Gestão Empresarial")</f>
        <v>Ld Consultoria Em Gestão Empresarial</v>
      </c>
      <c r="X3644" s="33">
        <f>IFERROR(__xludf.DUMMYFUNCTION("""COMPUTED_VALUE"""),0.6666666666666666)</f>
        <v>0.6666666667</v>
      </c>
    </row>
    <row r="3645">
      <c r="K3645" s="4" t="str">
        <f>IFERROR(__xludf.DUMMYFUNCTION("""COMPUTED_VALUE"""),"MARMITERIA DA VO NIKA")</f>
        <v>MARMITERIA DA VO NIKA</v>
      </c>
      <c r="L3645" s="32">
        <f>IFERROR(__xludf.DUMMYFUNCTION("""COMPUTED_VALUE"""),3.0)</f>
        <v>3</v>
      </c>
      <c r="M3645" s="4" t="str">
        <f>IFERROR(__xludf.DUMMYFUNCTION("""COMPUTED_VALUE"""),"Cardápio Web")</f>
        <v>Cardápio Web</v>
      </c>
      <c r="N3645" s="33">
        <f>IFERROR(__xludf.DUMMYFUNCTION("""COMPUTED_VALUE"""),1.0)</f>
        <v>1</v>
      </c>
      <c r="O3645" s="4" t="str">
        <f>IFERROR(__xludf.DUMMYFUNCTION("""COMPUTED_VALUE"""),"Cardápio Web")</f>
        <v>Cardápio Web</v>
      </c>
      <c r="P3645" s="33">
        <f>IFERROR(__xludf.DUMMYFUNCTION("""COMPUTED_VALUE"""),1.0)</f>
        <v>1</v>
      </c>
      <c r="Q3645" s="4" t="str">
        <f>IFERROR(__xludf.DUMMYFUNCTION("""COMPUTED_VALUE"""),"Cardápio Web")</f>
        <v>Cardápio Web</v>
      </c>
      <c r="R3645" s="33">
        <f>IFERROR(__xludf.DUMMYFUNCTION("""COMPUTED_VALUE"""),1.0)</f>
        <v>1</v>
      </c>
      <c r="S3645" s="4" t="str">
        <f>IFERROR(__xludf.DUMMYFUNCTION("""COMPUTED_VALUE"""),"Cardápio Web")</f>
        <v>Cardápio Web</v>
      </c>
      <c r="T3645" s="33">
        <f>IFERROR(__xludf.DUMMYFUNCTION("""COMPUTED_VALUE"""),1.0)</f>
        <v>1</v>
      </c>
      <c r="U3645" s="4" t="str">
        <f>IFERROR(__xludf.DUMMYFUNCTION("""COMPUTED_VALUE"""),"Cardápio Web")</f>
        <v>Cardápio Web</v>
      </c>
      <c r="V3645" s="33">
        <f>IFERROR(__xludf.DUMMYFUNCTION("""COMPUTED_VALUE"""),1.0)</f>
        <v>1</v>
      </c>
      <c r="W3645" s="4" t="str">
        <f>IFERROR(__xludf.DUMMYFUNCTION("""COMPUTED_VALUE"""),"Cardápio Web")</f>
        <v>Cardápio Web</v>
      </c>
      <c r="X3645" s="33">
        <f>IFERROR(__xludf.DUMMYFUNCTION("""COMPUTED_VALUE"""),1.0)</f>
        <v>1</v>
      </c>
    </row>
    <row r="3646">
      <c r="K3646" s="4" t="str">
        <f>IFERROR(__xludf.DUMMYFUNCTION("""COMPUTED_VALUE"""),"MARMITEX CAJURU - CP")</f>
        <v>MARMITEX CAJURU - CP</v>
      </c>
      <c r="L3646" s="32">
        <f>IFERROR(__xludf.DUMMYFUNCTION("""COMPUTED_VALUE"""),3.0)</f>
        <v>3</v>
      </c>
      <c r="M3646" s="4" t="str">
        <f>IFERROR(__xludf.DUMMYFUNCTION("""COMPUTED_VALUE"""),"null")</f>
        <v>null</v>
      </c>
      <c r="N3646" s="33">
        <f>IFERROR(__xludf.DUMMYFUNCTION("""COMPUTED_VALUE"""),1.0)</f>
        <v>1</v>
      </c>
      <c r="O3646" s="4" t="str">
        <f>IFERROR(__xludf.DUMMYFUNCTION("""COMPUTED_VALUE"""),"null")</f>
        <v>null</v>
      </c>
      <c r="P3646" s="33">
        <f>IFERROR(__xludf.DUMMYFUNCTION("""COMPUTED_VALUE"""),1.0)</f>
        <v>1</v>
      </c>
      <c r="Q3646" s="4" t="str">
        <f>IFERROR(__xludf.DUMMYFUNCTION("""COMPUTED_VALUE"""),"null")</f>
        <v>null</v>
      </c>
      <c r="R3646" s="33">
        <f>IFERROR(__xludf.DUMMYFUNCTION("""COMPUTED_VALUE"""),1.0)</f>
        <v>1</v>
      </c>
      <c r="S3646" s="4" t="str">
        <f>IFERROR(__xludf.DUMMYFUNCTION("""COMPUTED_VALUE"""),"Anota Ai Solucoes Digitais S/a")</f>
        <v>Anota Ai Solucoes Digitais S/a</v>
      </c>
      <c r="T3646" s="33">
        <f>IFERROR(__xludf.DUMMYFUNCTION("""COMPUTED_VALUE"""),1.0)</f>
        <v>1</v>
      </c>
      <c r="U3646" s="4" t="str">
        <f>IFERROR(__xludf.DUMMYFUNCTION("""COMPUTED_VALUE"""),"Anota Ai Solucoes Digitais S/a")</f>
        <v>Anota Ai Solucoes Digitais S/a</v>
      </c>
      <c r="V3646" s="33">
        <f>IFERROR(__xludf.DUMMYFUNCTION("""COMPUTED_VALUE"""),1.0)</f>
        <v>1</v>
      </c>
      <c r="W3646" s="4" t="str">
        <f>IFERROR(__xludf.DUMMYFUNCTION("""COMPUTED_VALUE"""),"Anota Ai Solucoes Digitais S/a")</f>
        <v>Anota Ai Solucoes Digitais S/a</v>
      </c>
      <c r="X3646" s="33">
        <f>IFERROR(__xludf.DUMMYFUNCTION("""COMPUTED_VALUE"""),1.0)</f>
        <v>1</v>
      </c>
    </row>
    <row r="3647">
      <c r="K3647" s="4" t="str">
        <f>IFERROR(__xludf.DUMMYFUNCTION("""COMPUTED_VALUE"""),"MARQUES HAMBURGUER")</f>
        <v>MARQUES HAMBURGUER</v>
      </c>
      <c r="L3647" s="32">
        <f>IFERROR(__xludf.DUMMYFUNCTION("""COMPUTED_VALUE"""),3.0)</f>
        <v>3</v>
      </c>
      <c r="M3647" s="4" t="str">
        <f>IFERROR(__xludf.DUMMYFUNCTION("""COMPUTED_VALUE"""),"Control P Informática Ltda Me")</f>
        <v>Control P Informática Ltda Me</v>
      </c>
      <c r="N3647" s="33">
        <f>IFERROR(__xludf.DUMMYFUNCTION("""COMPUTED_VALUE"""),0.6666666666666666)</f>
        <v>0.6666666667</v>
      </c>
      <c r="O3647" s="4" t="str">
        <f>IFERROR(__xludf.DUMMYFUNCTION("""COMPUTED_VALUE"""),"Control P Informática Ltda Me")</f>
        <v>Control P Informática Ltda Me</v>
      </c>
      <c r="P3647" s="33">
        <f>IFERROR(__xludf.DUMMYFUNCTION("""COMPUTED_VALUE"""),1.0)</f>
        <v>1</v>
      </c>
      <c r="Q3647" s="4" t="str">
        <f>IFERROR(__xludf.DUMMYFUNCTION("""COMPUTED_VALUE"""),"Control P Informática Ltda Me")</f>
        <v>Control P Informática Ltda Me</v>
      </c>
      <c r="R3647" s="33">
        <f>IFERROR(__xludf.DUMMYFUNCTION("""COMPUTED_VALUE"""),0.6666666666666666)</f>
        <v>0.6666666667</v>
      </c>
      <c r="S3647" s="4" t="str">
        <f>IFERROR(__xludf.DUMMYFUNCTION("""COMPUTED_VALUE"""),"Control P Informática Ltda Me")</f>
        <v>Control P Informática Ltda Me</v>
      </c>
      <c r="T3647" s="33">
        <f>IFERROR(__xludf.DUMMYFUNCTION("""COMPUTED_VALUE"""),0.6666666666666666)</f>
        <v>0.6666666667</v>
      </c>
      <c r="U3647" s="4" t="str">
        <f>IFERROR(__xludf.DUMMYFUNCTION("""COMPUTED_VALUE"""),"Ncr")</f>
        <v>Ncr</v>
      </c>
      <c r="V3647" s="33">
        <f>IFERROR(__xludf.DUMMYFUNCTION("""COMPUTED_VALUE"""),0.6666666666666666)</f>
        <v>0.6666666667</v>
      </c>
      <c r="W3647" s="4" t="str">
        <f>IFERROR(__xludf.DUMMYFUNCTION("""COMPUTED_VALUE"""),"Ncr")</f>
        <v>Ncr</v>
      </c>
      <c r="X3647" s="33">
        <f>IFERROR(__xludf.DUMMYFUNCTION("""COMPUTED_VALUE"""),0.6666666666666666)</f>
        <v>0.6666666667</v>
      </c>
    </row>
    <row r="3648">
      <c r="K3648" s="4" t="str">
        <f>IFERROR(__xludf.DUMMYFUNCTION("""COMPUTED_VALUE"""),"MARRUA GOURMET")</f>
        <v>MARRUA GOURMET</v>
      </c>
      <c r="L3648" s="32">
        <f>IFERROR(__xludf.DUMMYFUNCTION("""COMPUTED_VALUE"""),3.0)</f>
        <v>3</v>
      </c>
      <c r="M3648" s="4" t="str">
        <f>IFERROR(__xludf.DUMMYFUNCTION("""COMPUTED_VALUE"""),"Grancheff Software")</f>
        <v>Grancheff Software</v>
      </c>
      <c r="N3648" s="33">
        <f>IFERROR(__xludf.DUMMYFUNCTION("""COMPUTED_VALUE"""),1.0)</f>
        <v>1</v>
      </c>
      <c r="O3648" s="4" t="str">
        <f>IFERROR(__xludf.DUMMYFUNCTION("""COMPUTED_VALUE"""),"Grancheff Software")</f>
        <v>Grancheff Software</v>
      </c>
      <c r="P3648" s="33">
        <f>IFERROR(__xludf.DUMMYFUNCTION("""COMPUTED_VALUE"""),1.0)</f>
        <v>1</v>
      </c>
      <c r="Q3648" s="4" t="str">
        <f>IFERROR(__xludf.DUMMYFUNCTION("""COMPUTED_VALUE"""),"Grancheff Software")</f>
        <v>Grancheff Software</v>
      </c>
      <c r="R3648" s="33">
        <f>IFERROR(__xludf.DUMMYFUNCTION("""COMPUTED_VALUE"""),1.0)</f>
        <v>1</v>
      </c>
      <c r="S3648" s="4" t="str">
        <f>IFERROR(__xludf.DUMMYFUNCTION("""COMPUTED_VALUE"""),"Grancheff Software")</f>
        <v>Grancheff Software</v>
      </c>
      <c r="T3648" s="33">
        <f>IFERROR(__xludf.DUMMYFUNCTION("""COMPUTED_VALUE"""),1.0)</f>
        <v>1</v>
      </c>
      <c r="U3648" s="4" t="str">
        <f>IFERROR(__xludf.DUMMYFUNCTION("""COMPUTED_VALUE"""),"Grancheff Software")</f>
        <v>Grancheff Software</v>
      </c>
      <c r="V3648" s="33">
        <f>IFERROR(__xludf.DUMMYFUNCTION("""COMPUTED_VALUE"""),1.0)</f>
        <v>1</v>
      </c>
      <c r="W3648" s="4" t="str">
        <f>IFERROR(__xludf.DUMMYFUNCTION("""COMPUTED_VALUE"""),"Grancheff Software")</f>
        <v>Grancheff Software</v>
      </c>
      <c r="X3648" s="33">
        <f>IFERROR(__xludf.DUMMYFUNCTION("""COMPUTED_VALUE"""),0.6666666666666666)</f>
        <v>0.6666666667</v>
      </c>
    </row>
    <row r="3649">
      <c r="K3649" s="4" t="str">
        <f>IFERROR(__xludf.DUMMYFUNCTION("""COMPUTED_VALUE"""),"MASSA QUE AMASSA RJ")</f>
        <v>MASSA QUE AMASSA RJ</v>
      </c>
      <c r="L3649" s="32">
        <f>IFERROR(__xludf.DUMMYFUNCTION("""COMPUTED_VALUE"""),3.0)</f>
        <v>3</v>
      </c>
      <c r="M3649" s="4">
        <f>IFERROR(__xludf.DUMMYFUNCTION("""COMPUTED_VALUE"""),88.0)</f>
        <v>88</v>
      </c>
      <c r="N3649" s="33">
        <f>IFERROR(__xludf.DUMMYFUNCTION("""COMPUTED_VALUE"""),0.6666666666666666)</f>
        <v>0.6666666667</v>
      </c>
      <c r="O3649" s="4">
        <f>IFERROR(__xludf.DUMMYFUNCTION("""COMPUTED_VALUE"""),88.0)</f>
        <v>88</v>
      </c>
      <c r="P3649" s="33">
        <f>IFERROR(__xludf.DUMMYFUNCTION("""COMPUTED_VALUE"""),0.6666666666666666)</f>
        <v>0.6666666667</v>
      </c>
      <c r="Q3649" s="4">
        <f>IFERROR(__xludf.DUMMYFUNCTION("""COMPUTED_VALUE"""),88.0)</f>
        <v>88</v>
      </c>
      <c r="R3649" s="33">
        <f>IFERROR(__xludf.DUMMYFUNCTION("""COMPUTED_VALUE"""),0.6666666666666666)</f>
        <v>0.6666666667</v>
      </c>
      <c r="S3649" s="4" t="str">
        <f>IFERROR(__xludf.DUMMYFUNCTION("""COMPUTED_VALUE"""),"null")</f>
        <v>null</v>
      </c>
      <c r="T3649" s="33">
        <f>IFERROR(__xludf.DUMMYFUNCTION("""COMPUTED_VALUE"""),1.0)</f>
        <v>1</v>
      </c>
      <c r="U3649" s="4">
        <f>IFERROR(__xludf.DUMMYFUNCTION("""COMPUTED_VALUE"""),88.0)</f>
        <v>88</v>
      </c>
      <c r="V3649" s="33">
        <f>IFERROR(__xludf.DUMMYFUNCTION("""COMPUTED_VALUE"""),0.6666666666666666)</f>
        <v>0.6666666667</v>
      </c>
      <c r="W3649" s="4">
        <f>IFERROR(__xludf.DUMMYFUNCTION("""COMPUTED_VALUE"""),88.0)</f>
        <v>88</v>
      </c>
      <c r="X3649" s="33">
        <f>IFERROR(__xludf.DUMMYFUNCTION("""COMPUTED_VALUE"""),1.0)</f>
        <v>1</v>
      </c>
    </row>
    <row r="3650">
      <c r="K3650" s="4" t="str">
        <f>IFERROR(__xludf.DUMMYFUNCTION("""COMPUTED_VALUE"""),"MASSA SHOW")</f>
        <v>MASSA SHOW</v>
      </c>
      <c r="L3650" s="32">
        <f>IFERROR(__xludf.DUMMYFUNCTION("""COMPUTED_VALUE"""),3.0)</f>
        <v>3</v>
      </c>
      <c r="M3650" s="4" t="str">
        <f>IFERROR(__xludf.DUMMYFUNCTION("""COMPUTED_VALUE"""),"Saipos Serviços De Software")</f>
        <v>Saipos Serviços De Software</v>
      </c>
      <c r="N3650" s="33">
        <f>IFERROR(__xludf.DUMMYFUNCTION("""COMPUTED_VALUE"""),1.0)</f>
        <v>1</v>
      </c>
      <c r="O3650" s="4" t="str">
        <f>IFERROR(__xludf.DUMMYFUNCTION("""COMPUTED_VALUE"""),"Saipos Serviços De Software")</f>
        <v>Saipos Serviços De Software</v>
      </c>
      <c r="P3650" s="33">
        <f>IFERROR(__xludf.DUMMYFUNCTION("""COMPUTED_VALUE"""),1.0)</f>
        <v>1</v>
      </c>
      <c r="Q3650" s="4" t="str">
        <f>IFERROR(__xludf.DUMMYFUNCTION("""COMPUTED_VALUE"""),"Saipos Serviços De Software")</f>
        <v>Saipos Serviços De Software</v>
      </c>
      <c r="R3650" s="33">
        <f>IFERROR(__xludf.DUMMYFUNCTION("""COMPUTED_VALUE"""),1.0)</f>
        <v>1</v>
      </c>
      <c r="S3650" s="4" t="str">
        <f>IFERROR(__xludf.DUMMYFUNCTION("""COMPUTED_VALUE"""),"Saipos Serviços De Software")</f>
        <v>Saipos Serviços De Software</v>
      </c>
      <c r="T3650" s="33">
        <f>IFERROR(__xludf.DUMMYFUNCTION("""COMPUTED_VALUE"""),1.0)</f>
        <v>1</v>
      </c>
      <c r="U3650" s="4" t="str">
        <f>IFERROR(__xludf.DUMMYFUNCTION("""COMPUTED_VALUE"""),"Saipos Serviços De Software")</f>
        <v>Saipos Serviços De Software</v>
      </c>
      <c r="V3650" s="33">
        <f>IFERROR(__xludf.DUMMYFUNCTION("""COMPUTED_VALUE"""),1.0)</f>
        <v>1</v>
      </c>
      <c r="W3650" s="4" t="str">
        <f>IFERROR(__xludf.DUMMYFUNCTION("""COMPUTED_VALUE"""),"Saipos Serviços De Software")</f>
        <v>Saipos Serviços De Software</v>
      </c>
      <c r="X3650" s="33">
        <f>IFERROR(__xludf.DUMMYFUNCTION("""COMPUTED_VALUE"""),1.0)</f>
        <v>1</v>
      </c>
    </row>
    <row r="3651">
      <c r="K3651" s="4" t="str">
        <f>IFERROR(__xludf.DUMMYFUNCTION("""COMPUTED_VALUE"""),"MASTER FRANGOS FRANGO FRITO 01 CONTA PAI")</f>
        <v>MASTER FRANGOS FRANGO FRITO 01 CONTA PAI</v>
      </c>
      <c r="L3651" s="32">
        <f>IFERROR(__xludf.DUMMYFUNCTION("""COMPUTED_VALUE"""),3.0)</f>
        <v>3</v>
      </c>
      <c r="M3651" s="4" t="str">
        <f>IFERROR(__xludf.DUMMYFUNCTION("""COMPUTED_VALUE"""),"Yooga")</f>
        <v>Yooga</v>
      </c>
      <c r="N3651" s="33">
        <f>IFERROR(__xludf.DUMMYFUNCTION("""COMPUTED_VALUE"""),0.6666666666666666)</f>
        <v>0.6666666667</v>
      </c>
      <c r="O3651" s="4" t="str">
        <f>IFERROR(__xludf.DUMMYFUNCTION("""COMPUTED_VALUE"""),"Saipos Serviços De Software")</f>
        <v>Saipos Serviços De Software</v>
      </c>
      <c r="P3651" s="33">
        <f>IFERROR(__xludf.DUMMYFUNCTION("""COMPUTED_VALUE"""),1.0)</f>
        <v>1</v>
      </c>
      <c r="Q3651" s="4" t="str">
        <f>IFERROR(__xludf.DUMMYFUNCTION("""COMPUTED_VALUE"""),"Saipos Serviços De Software")</f>
        <v>Saipos Serviços De Software</v>
      </c>
      <c r="R3651" s="33">
        <f>IFERROR(__xludf.DUMMYFUNCTION("""COMPUTED_VALUE"""),1.0)</f>
        <v>1</v>
      </c>
      <c r="S3651" s="4" t="str">
        <f>IFERROR(__xludf.DUMMYFUNCTION("""COMPUTED_VALUE"""),"Saipos Serviços De Software")</f>
        <v>Saipos Serviços De Software</v>
      </c>
      <c r="T3651" s="33">
        <f>IFERROR(__xludf.DUMMYFUNCTION("""COMPUTED_VALUE"""),1.0)</f>
        <v>1</v>
      </c>
      <c r="U3651" s="4" t="str">
        <f>IFERROR(__xludf.DUMMYFUNCTION("""COMPUTED_VALUE"""),"Saipos Serviços De Software")</f>
        <v>Saipos Serviços De Software</v>
      </c>
      <c r="V3651" s="33">
        <f>IFERROR(__xludf.DUMMYFUNCTION("""COMPUTED_VALUE"""),1.0)</f>
        <v>1</v>
      </c>
      <c r="W3651" s="4" t="str">
        <f>IFERROR(__xludf.DUMMYFUNCTION("""COMPUTED_VALUE"""),"Saipos Serviços De Software")</f>
        <v>Saipos Serviços De Software</v>
      </c>
      <c r="X3651" s="33">
        <f>IFERROR(__xludf.DUMMYFUNCTION("""COMPUTED_VALUE"""),1.0)</f>
        <v>1</v>
      </c>
    </row>
    <row r="3652">
      <c r="K3652" s="4" t="str">
        <f>IFERROR(__xludf.DUMMYFUNCTION("""COMPUTED_VALUE"""),"MASTER SUSHI")</f>
        <v>MASTER SUSHI</v>
      </c>
      <c r="L3652" s="32">
        <f>IFERROR(__xludf.DUMMYFUNCTION("""COMPUTED_VALUE"""),3.0)</f>
        <v>3</v>
      </c>
      <c r="M3652" s="4" t="str">
        <f>IFERROR(__xludf.DUMMYFUNCTION("""COMPUTED_VALUE"""),"Consumer Soluções Em Tecnologia Ltda")</f>
        <v>Consumer Soluções Em Tecnologia Ltda</v>
      </c>
      <c r="N3652" s="33">
        <f>IFERROR(__xludf.DUMMYFUNCTION("""COMPUTED_VALUE"""),0.6666666666666666)</f>
        <v>0.6666666667</v>
      </c>
      <c r="O3652" s="4" t="str">
        <f>IFERROR(__xludf.DUMMYFUNCTION("""COMPUTED_VALUE"""),"Consumer Soluções Em Tecnologia Ltda")</f>
        <v>Consumer Soluções Em Tecnologia Ltda</v>
      </c>
      <c r="P3652" s="33">
        <f>IFERROR(__xludf.DUMMYFUNCTION("""COMPUTED_VALUE"""),0.6666666666666666)</f>
        <v>0.6666666667</v>
      </c>
      <c r="Q3652" s="4" t="str">
        <f>IFERROR(__xludf.DUMMYFUNCTION("""COMPUTED_VALUE"""),"Consumer Soluções Em Tecnologia Ltda")</f>
        <v>Consumer Soluções Em Tecnologia Ltda</v>
      </c>
      <c r="R3652" s="33">
        <f>IFERROR(__xludf.DUMMYFUNCTION("""COMPUTED_VALUE"""),0.6666666666666666)</f>
        <v>0.6666666667</v>
      </c>
      <c r="S3652" s="4" t="str">
        <f>IFERROR(__xludf.DUMMYFUNCTION("""COMPUTED_VALUE"""),"Consumer Soluções Em Tecnologia Ltda")</f>
        <v>Consumer Soluções Em Tecnologia Ltda</v>
      </c>
      <c r="T3652" s="33">
        <f>IFERROR(__xludf.DUMMYFUNCTION("""COMPUTED_VALUE"""),0.6666666666666666)</f>
        <v>0.6666666667</v>
      </c>
      <c r="U3652" s="4" t="str">
        <f>IFERROR(__xludf.DUMMYFUNCTION("""COMPUTED_VALUE"""),"null")</f>
        <v>null</v>
      </c>
      <c r="V3652" s="33">
        <f>IFERROR(__xludf.DUMMYFUNCTION("""COMPUTED_VALUE"""),0.6666666666666666)</f>
        <v>0.6666666667</v>
      </c>
      <c r="W3652" s="4" t="str">
        <f>IFERROR(__xludf.DUMMYFUNCTION("""COMPUTED_VALUE"""),"null")</f>
        <v>null</v>
      </c>
      <c r="X3652" s="33">
        <f>IFERROR(__xludf.DUMMYFUNCTION("""COMPUTED_VALUE"""),0.6666666666666666)</f>
        <v>0.6666666667</v>
      </c>
    </row>
    <row r="3653">
      <c r="K3653" s="4" t="str">
        <f>IFERROR(__xludf.DUMMYFUNCTION("""COMPUTED_VALUE"""),"MASTERBOI - CONTA MARCA")</f>
        <v>MASTERBOI - CONTA MARCA</v>
      </c>
      <c r="L3653" s="32">
        <f>IFERROR(__xludf.DUMMYFUNCTION("""COMPUTED_VALUE"""),3.0)</f>
        <v>3</v>
      </c>
      <c r="M3653" s="4" t="str">
        <f>IFERROR(__xludf.DUMMYFUNCTION("""COMPUTED_VALUE"""),"null")</f>
        <v>null</v>
      </c>
      <c r="N3653" s="33">
        <f>IFERROR(__xludf.DUMMYFUNCTION("""COMPUTED_VALUE"""),1.0)</f>
        <v>1</v>
      </c>
      <c r="O3653" s="4" t="str">
        <f>IFERROR(__xludf.DUMMYFUNCTION("""COMPUTED_VALUE"""),"null")</f>
        <v>null</v>
      </c>
      <c r="P3653" s="33">
        <f>IFERROR(__xludf.DUMMYFUNCTION("""COMPUTED_VALUE"""),1.0)</f>
        <v>1</v>
      </c>
      <c r="Q3653" s="4" t="str">
        <f>IFERROR(__xludf.DUMMYFUNCTION("""COMPUTED_VALUE"""),"null")</f>
        <v>null</v>
      </c>
      <c r="R3653" s="33">
        <f>IFERROR(__xludf.DUMMYFUNCTION("""COMPUTED_VALUE"""),0.6666666666666666)</f>
        <v>0.6666666667</v>
      </c>
      <c r="S3653" s="4" t="str">
        <f>IFERROR(__xludf.DUMMYFUNCTION("""COMPUTED_VALUE"""),"N/A (Not found)")</f>
        <v>N/A (Not found)</v>
      </c>
      <c r="T3653" s="33">
        <f>IFERROR(__xludf.DUMMYFUNCTION("""COMPUTED_VALUE"""),1.0)</f>
        <v>1</v>
      </c>
      <c r="U3653" s="4" t="str">
        <f>IFERROR(__xludf.DUMMYFUNCTION("""COMPUTED_VALUE"""),"N/A (Not found)")</f>
        <v>N/A (Not found)</v>
      </c>
      <c r="V3653" s="33">
        <f>IFERROR(__xludf.DUMMYFUNCTION("""COMPUTED_VALUE"""),1.0)</f>
        <v>1</v>
      </c>
      <c r="W3653" s="4" t="str">
        <f>IFERROR(__xludf.DUMMYFUNCTION("""COMPUTED_VALUE"""),"N/A (Not found)")</f>
        <v>N/A (Not found)</v>
      </c>
      <c r="X3653" s="33">
        <f>IFERROR(__xludf.DUMMYFUNCTION("""COMPUTED_VALUE"""),1.0)</f>
        <v>1</v>
      </c>
    </row>
    <row r="3654">
      <c r="K3654" s="4" t="str">
        <f>IFERROR(__xludf.DUMMYFUNCTION("""COMPUTED_VALUE"""),"MATCH PIZZA CONTA PAI")</f>
        <v>MATCH PIZZA CONTA PAI</v>
      </c>
      <c r="L3654" s="32">
        <f>IFERROR(__xludf.DUMMYFUNCTION("""COMPUTED_VALUE"""),3.0)</f>
        <v>3</v>
      </c>
      <c r="M3654" s="4" t="str">
        <f>IFERROR(__xludf.DUMMYFUNCTION("""COMPUTED_VALUE"""),"Saipos Serviços De Software")</f>
        <v>Saipos Serviços De Software</v>
      </c>
      <c r="N3654" s="33">
        <f>IFERROR(__xludf.DUMMYFUNCTION("""COMPUTED_VALUE"""),1.0)</f>
        <v>1</v>
      </c>
      <c r="O3654" s="4" t="str">
        <f>IFERROR(__xludf.DUMMYFUNCTION("""COMPUTED_VALUE"""),"Saipos Serviços De Software")</f>
        <v>Saipos Serviços De Software</v>
      </c>
      <c r="P3654" s="33">
        <f>IFERROR(__xludf.DUMMYFUNCTION("""COMPUTED_VALUE"""),1.0)</f>
        <v>1</v>
      </c>
      <c r="Q3654" s="4" t="str">
        <f>IFERROR(__xludf.DUMMYFUNCTION("""COMPUTED_VALUE"""),"Saipos Serviços De Software")</f>
        <v>Saipos Serviços De Software</v>
      </c>
      <c r="R3654" s="33">
        <f>IFERROR(__xludf.DUMMYFUNCTION("""COMPUTED_VALUE"""),0.6666666666666666)</f>
        <v>0.6666666667</v>
      </c>
      <c r="S3654" s="4" t="str">
        <f>IFERROR(__xludf.DUMMYFUNCTION("""COMPUTED_VALUE"""),"null")</f>
        <v>null</v>
      </c>
      <c r="T3654" s="33">
        <f>IFERROR(__xludf.DUMMYFUNCTION("""COMPUTED_VALUE"""),0.6666666666666666)</f>
        <v>0.6666666667</v>
      </c>
      <c r="U3654" s="4" t="str">
        <f>IFERROR(__xludf.DUMMYFUNCTION("""COMPUTED_VALUE"""),"null")</f>
        <v>null</v>
      </c>
      <c r="V3654" s="33">
        <f>IFERROR(__xludf.DUMMYFUNCTION("""COMPUTED_VALUE"""),0.6666666666666666)</f>
        <v>0.6666666667</v>
      </c>
      <c r="W3654" s="4" t="str">
        <f>IFERROR(__xludf.DUMMYFUNCTION("""COMPUTED_VALUE"""),"null")</f>
        <v>null</v>
      </c>
      <c r="X3654" s="33">
        <f>IFERROR(__xludf.DUMMYFUNCTION("""COMPUTED_VALUE"""),0.6666666666666666)</f>
        <v>0.6666666667</v>
      </c>
    </row>
    <row r="3655">
      <c r="K3655" s="4" t="str">
        <f>IFERROR(__xludf.DUMMYFUNCTION("""COMPUTED_VALUE"""),"MATEUS SUSHIMAN BELEM")</f>
        <v>MATEUS SUSHIMAN BELEM</v>
      </c>
      <c r="L3655" s="32">
        <f>IFERROR(__xludf.DUMMYFUNCTION("""COMPUTED_VALUE"""),3.0)</f>
        <v>3</v>
      </c>
      <c r="M3655" s="4" t="str">
        <f>IFERROR(__xludf.DUMMYFUNCTION("""COMPUTED_VALUE"""),"Saipos Serviços De Software")</f>
        <v>Saipos Serviços De Software</v>
      </c>
      <c r="N3655" s="33">
        <f>IFERROR(__xludf.DUMMYFUNCTION("""COMPUTED_VALUE"""),1.0)</f>
        <v>1</v>
      </c>
      <c r="O3655" s="4" t="str">
        <f>IFERROR(__xludf.DUMMYFUNCTION("""COMPUTED_VALUE"""),"Saipos Serviços De Software")</f>
        <v>Saipos Serviços De Software</v>
      </c>
      <c r="P3655" s="33">
        <f>IFERROR(__xludf.DUMMYFUNCTION("""COMPUTED_VALUE"""),1.0)</f>
        <v>1</v>
      </c>
      <c r="Q3655" s="4" t="str">
        <f>IFERROR(__xludf.DUMMYFUNCTION("""COMPUTED_VALUE"""),"Saipos Serviços De Software")</f>
        <v>Saipos Serviços De Software</v>
      </c>
      <c r="R3655" s="33">
        <f>IFERROR(__xludf.DUMMYFUNCTION("""COMPUTED_VALUE"""),1.0)</f>
        <v>1</v>
      </c>
      <c r="S3655" s="4" t="str">
        <f>IFERROR(__xludf.DUMMYFUNCTION("""COMPUTED_VALUE"""),"Saipos Serviços De Software")</f>
        <v>Saipos Serviços De Software</v>
      </c>
      <c r="T3655" s="33">
        <f>IFERROR(__xludf.DUMMYFUNCTION("""COMPUTED_VALUE"""),1.0)</f>
        <v>1</v>
      </c>
      <c r="U3655" s="4" t="str">
        <f>IFERROR(__xludf.DUMMYFUNCTION("""COMPUTED_VALUE"""),"Saipos Serviços De Software")</f>
        <v>Saipos Serviços De Software</v>
      </c>
      <c r="V3655" s="33">
        <f>IFERROR(__xludf.DUMMYFUNCTION("""COMPUTED_VALUE"""),1.0)</f>
        <v>1</v>
      </c>
      <c r="W3655" s="4" t="str">
        <f>IFERROR(__xludf.DUMMYFUNCTION("""COMPUTED_VALUE"""),"Saipos Serviços De Software")</f>
        <v>Saipos Serviços De Software</v>
      </c>
      <c r="X3655" s="33">
        <f>IFERROR(__xludf.DUMMYFUNCTION("""COMPUTED_VALUE"""),1.0)</f>
        <v>1</v>
      </c>
    </row>
    <row r="3656">
      <c r="K3656" s="4" t="str">
        <f>IFERROR(__xludf.DUMMYFUNCTION("""COMPUTED_VALUE"""),"MATHEUS SANTANNA PATISSERIE")</f>
        <v>MATHEUS SANTANNA PATISSERIE</v>
      </c>
      <c r="L3656" s="32">
        <f>IFERROR(__xludf.DUMMYFUNCTION("""COMPUTED_VALUE"""),3.0)</f>
        <v>3</v>
      </c>
      <c r="M3656" s="4" t="str">
        <f>IFERROR(__xludf.DUMMYFUNCTION("""COMPUTED_VALUE"""),"Alloy Tecnologia")</f>
        <v>Alloy Tecnologia</v>
      </c>
      <c r="N3656" s="33">
        <f>IFERROR(__xludf.DUMMYFUNCTION("""COMPUTED_VALUE"""),0.3333333333333333)</f>
        <v>0.3333333333</v>
      </c>
      <c r="O3656" s="4" t="str">
        <f>IFERROR(__xludf.DUMMYFUNCTION("""COMPUTED_VALUE"""),"Alloy Tecnologia")</f>
        <v>Alloy Tecnologia</v>
      </c>
      <c r="P3656" s="33">
        <f>IFERROR(__xludf.DUMMYFUNCTION("""COMPUTED_VALUE"""),0.6666666666666666)</f>
        <v>0.6666666667</v>
      </c>
      <c r="Q3656" s="4" t="str">
        <f>IFERROR(__xludf.DUMMYFUNCTION("""COMPUTED_VALUE"""),"null")</f>
        <v>null</v>
      </c>
      <c r="R3656" s="33">
        <f>IFERROR(__xludf.DUMMYFUNCTION("""COMPUTED_VALUE"""),1.0)</f>
        <v>1</v>
      </c>
      <c r="S3656" s="4" t="str">
        <f>IFERROR(__xludf.DUMMYFUNCTION("""COMPUTED_VALUE"""),"null")</f>
        <v>null</v>
      </c>
      <c r="T3656" s="33">
        <f>IFERROR(__xludf.DUMMYFUNCTION("""COMPUTED_VALUE"""),0.6666666666666666)</f>
        <v>0.6666666667</v>
      </c>
      <c r="U3656" s="4" t="str">
        <f>IFERROR(__xludf.DUMMYFUNCTION("""COMPUTED_VALUE"""),"null")</f>
        <v>null</v>
      </c>
      <c r="V3656" s="33">
        <f>IFERROR(__xludf.DUMMYFUNCTION("""COMPUTED_VALUE"""),0.6666666666666666)</f>
        <v>0.6666666667</v>
      </c>
      <c r="W3656" s="4" t="str">
        <f>IFERROR(__xludf.DUMMYFUNCTION("""COMPUTED_VALUE"""),"Agilizup Solucoes Ltda")</f>
        <v>Agilizup Solucoes Ltda</v>
      </c>
      <c r="X3656" s="33">
        <f>IFERROR(__xludf.DUMMYFUNCTION("""COMPUTED_VALUE"""),0.6666666666666666)</f>
        <v>0.6666666667</v>
      </c>
    </row>
    <row r="3657">
      <c r="K3657" s="4" t="str">
        <f>IFERROR(__xludf.DUMMYFUNCTION("""COMPUTED_VALUE"""),"MATSURI - JAPONES FOOD - CONTA PAI")</f>
        <v>MATSURI - JAPONES FOOD - CONTA PAI</v>
      </c>
      <c r="L3657" s="32">
        <f>IFERROR(__xludf.DUMMYFUNCTION("""COMPUTED_VALUE"""),3.0)</f>
        <v>3</v>
      </c>
      <c r="M3657" s="4" t="str">
        <f>IFERROR(__xludf.DUMMYFUNCTION("""COMPUTED_VALUE"""),"Cardápio Web")</f>
        <v>Cardápio Web</v>
      </c>
      <c r="N3657" s="33">
        <f>IFERROR(__xludf.DUMMYFUNCTION("""COMPUTED_VALUE"""),0.6666666666666666)</f>
        <v>0.6666666667</v>
      </c>
      <c r="O3657" s="4" t="str">
        <f>IFERROR(__xludf.DUMMYFUNCTION("""COMPUTED_VALUE"""),"Cardápio Web")</f>
        <v>Cardápio Web</v>
      </c>
      <c r="P3657" s="33">
        <f>IFERROR(__xludf.DUMMYFUNCTION("""COMPUTED_VALUE"""),0.6666666666666666)</f>
        <v>0.6666666667</v>
      </c>
      <c r="Q3657" s="4" t="str">
        <f>IFERROR(__xludf.DUMMYFUNCTION("""COMPUTED_VALUE"""),"Cardápio Web")</f>
        <v>Cardápio Web</v>
      </c>
      <c r="R3657" s="33">
        <f>IFERROR(__xludf.DUMMYFUNCTION("""COMPUTED_VALUE"""),0.6666666666666666)</f>
        <v>0.6666666667</v>
      </c>
      <c r="S3657" s="4" t="str">
        <f>IFERROR(__xludf.DUMMYFUNCTION("""COMPUTED_VALUE"""),"null")</f>
        <v>null</v>
      </c>
      <c r="T3657" s="33">
        <f>IFERROR(__xludf.DUMMYFUNCTION("""COMPUTED_VALUE"""),0.6666666666666666)</f>
        <v>0.6666666667</v>
      </c>
      <c r="U3657" s="4" t="str">
        <f>IFERROR(__xludf.DUMMYFUNCTION("""COMPUTED_VALUE"""),"Cardápio Web")</f>
        <v>Cardápio Web</v>
      </c>
      <c r="V3657" s="33">
        <f>IFERROR(__xludf.DUMMYFUNCTION("""COMPUTED_VALUE"""),0.6666666666666666)</f>
        <v>0.6666666667</v>
      </c>
      <c r="W3657" s="4" t="str">
        <f>IFERROR(__xludf.DUMMYFUNCTION("""COMPUTED_VALUE"""),"Cardápio Web")</f>
        <v>Cardápio Web</v>
      </c>
      <c r="X3657" s="33">
        <f>IFERROR(__xludf.DUMMYFUNCTION("""COMPUTED_VALUE"""),0.6666666666666666)</f>
        <v>0.6666666667</v>
      </c>
    </row>
    <row r="3658">
      <c r="K3658" s="4" t="str">
        <f>IFERROR(__xludf.DUMMYFUNCTION("""COMPUTED_VALUE"""),"MAX DOG DOGUERIA")</f>
        <v>MAX DOG DOGUERIA</v>
      </c>
      <c r="L3658" s="32">
        <f>IFERROR(__xludf.DUMMYFUNCTION("""COMPUTED_VALUE"""),3.0)</f>
        <v>3</v>
      </c>
      <c r="M3658" s="4" t="str">
        <f>IFERROR(__xludf.DUMMYFUNCTION("""COMPUTED_VALUE"""),"null")</f>
        <v>null</v>
      </c>
      <c r="N3658" s="33">
        <f>IFERROR(__xludf.DUMMYFUNCTION("""COMPUTED_VALUE"""),1.0)</f>
        <v>1</v>
      </c>
      <c r="O3658" s="4" t="str">
        <f>IFERROR(__xludf.DUMMYFUNCTION("""COMPUTED_VALUE"""),"Saipos Serviços De Software")</f>
        <v>Saipos Serviços De Software</v>
      </c>
      <c r="P3658" s="33">
        <f>IFERROR(__xludf.DUMMYFUNCTION("""COMPUTED_VALUE"""),0.6666666666666666)</f>
        <v>0.6666666667</v>
      </c>
      <c r="Q3658" s="4" t="str">
        <f>IFERROR(__xludf.DUMMYFUNCTION("""COMPUTED_VALUE"""),"Saipos Serviços De Software")</f>
        <v>Saipos Serviços De Software</v>
      </c>
      <c r="R3658" s="33">
        <f>IFERROR(__xludf.DUMMYFUNCTION("""COMPUTED_VALUE"""),1.0)</f>
        <v>1</v>
      </c>
      <c r="S3658" s="4" t="str">
        <f>IFERROR(__xludf.DUMMYFUNCTION("""COMPUTED_VALUE"""),"Saipos Serviços De Software")</f>
        <v>Saipos Serviços De Software</v>
      </c>
      <c r="T3658" s="33">
        <f>IFERROR(__xludf.DUMMYFUNCTION("""COMPUTED_VALUE"""),1.0)</f>
        <v>1</v>
      </c>
      <c r="U3658" s="4" t="str">
        <f>IFERROR(__xludf.DUMMYFUNCTION("""COMPUTED_VALUE"""),"Saipos Serviços De Software")</f>
        <v>Saipos Serviços De Software</v>
      </c>
      <c r="V3658" s="33">
        <f>IFERROR(__xludf.DUMMYFUNCTION("""COMPUTED_VALUE"""),0.6666666666666666)</f>
        <v>0.6666666667</v>
      </c>
      <c r="W3658" s="4" t="str">
        <f>IFERROR(__xludf.DUMMYFUNCTION("""COMPUTED_VALUE"""),"Saipos Serviços De Software")</f>
        <v>Saipos Serviços De Software</v>
      </c>
      <c r="X3658" s="33">
        <f>IFERROR(__xludf.DUMMYFUNCTION("""COMPUTED_VALUE"""),0.6666666666666666)</f>
        <v>0.6666666667</v>
      </c>
    </row>
    <row r="3659">
      <c r="K3659" s="4" t="str">
        <f>IFERROR(__xludf.DUMMYFUNCTION("""COMPUTED_VALUE"""),"MAX FLAVOR")</f>
        <v>MAX FLAVOR</v>
      </c>
      <c r="L3659" s="32">
        <f>IFERROR(__xludf.DUMMYFUNCTION("""COMPUTED_VALUE"""),3.0)</f>
        <v>3</v>
      </c>
      <c r="M3659" s="4" t="str">
        <f>IFERROR(__xludf.DUMMYFUNCTION("""COMPUTED_VALUE"""),"Saipos Serviços De Software")</f>
        <v>Saipos Serviços De Software</v>
      </c>
      <c r="N3659" s="33">
        <f>IFERROR(__xludf.DUMMYFUNCTION("""COMPUTED_VALUE"""),0.6666666666666666)</f>
        <v>0.6666666667</v>
      </c>
      <c r="O3659" s="4" t="str">
        <f>IFERROR(__xludf.DUMMYFUNCTION("""COMPUTED_VALUE"""),"Saipos Serviços De Software")</f>
        <v>Saipos Serviços De Software</v>
      </c>
      <c r="P3659" s="33">
        <f>IFERROR(__xludf.DUMMYFUNCTION("""COMPUTED_VALUE"""),0.6666666666666666)</f>
        <v>0.6666666667</v>
      </c>
      <c r="Q3659" s="4" t="str">
        <f>IFERROR(__xludf.DUMMYFUNCTION("""COMPUTED_VALUE"""),"Saipos Serviços De Software")</f>
        <v>Saipos Serviços De Software</v>
      </c>
      <c r="R3659" s="33">
        <f>IFERROR(__xludf.DUMMYFUNCTION("""COMPUTED_VALUE"""),1.0)</f>
        <v>1</v>
      </c>
      <c r="S3659" s="4" t="str">
        <f>IFERROR(__xludf.DUMMYFUNCTION("""COMPUTED_VALUE"""),"Saipos Serviços De Software")</f>
        <v>Saipos Serviços De Software</v>
      </c>
      <c r="T3659" s="33">
        <f>IFERROR(__xludf.DUMMYFUNCTION("""COMPUTED_VALUE"""),1.0)</f>
        <v>1</v>
      </c>
      <c r="U3659" s="4" t="str">
        <f>IFERROR(__xludf.DUMMYFUNCTION("""COMPUTED_VALUE"""),"Saipos Serviços De Software")</f>
        <v>Saipos Serviços De Software</v>
      </c>
      <c r="V3659" s="33">
        <f>IFERROR(__xludf.DUMMYFUNCTION("""COMPUTED_VALUE"""),1.0)</f>
        <v>1</v>
      </c>
      <c r="W3659" s="4" t="str">
        <f>IFERROR(__xludf.DUMMYFUNCTION("""COMPUTED_VALUE"""),"Saipos Serviços De Software")</f>
        <v>Saipos Serviços De Software</v>
      </c>
      <c r="X3659" s="33">
        <f>IFERROR(__xludf.DUMMYFUNCTION("""COMPUTED_VALUE"""),1.0)</f>
        <v>1</v>
      </c>
    </row>
    <row r="3660">
      <c r="K3660" s="4" t="str">
        <f>IFERROR(__xludf.DUMMYFUNCTION("""COMPUTED_VALUE"""),"MAYU - CONTA PAI")</f>
        <v>MAYU - CONTA PAI</v>
      </c>
      <c r="L3660" s="32">
        <f>IFERROR(__xludf.DUMMYFUNCTION("""COMPUTED_VALUE"""),3.0)</f>
        <v>3</v>
      </c>
      <c r="M3660" s="4" t="str">
        <f>IFERROR(__xludf.DUMMYFUNCTION("""COMPUTED_VALUE"""),"Gfr Tec")</f>
        <v>Gfr Tec</v>
      </c>
      <c r="N3660" s="33">
        <f>IFERROR(__xludf.DUMMYFUNCTION("""COMPUTED_VALUE"""),0.6666666666666666)</f>
        <v>0.6666666667</v>
      </c>
      <c r="O3660" s="4" t="str">
        <f>IFERROR(__xludf.DUMMYFUNCTION("""COMPUTED_VALUE"""),"Gfr Tec")</f>
        <v>Gfr Tec</v>
      </c>
      <c r="P3660" s="33">
        <f>IFERROR(__xludf.DUMMYFUNCTION("""COMPUTED_VALUE"""),0.3333333333333333)</f>
        <v>0.3333333333</v>
      </c>
      <c r="Q3660" s="4" t="str">
        <f>IFERROR(__xludf.DUMMYFUNCTION("""COMPUTED_VALUE"""),"Gfr Tec")</f>
        <v>Gfr Tec</v>
      </c>
      <c r="R3660" s="33">
        <f>IFERROR(__xludf.DUMMYFUNCTION("""COMPUTED_VALUE"""),0.3333333333333333)</f>
        <v>0.3333333333</v>
      </c>
      <c r="S3660" s="4" t="str">
        <f>IFERROR(__xludf.DUMMYFUNCTION("""COMPUTED_VALUE"""),"Gfr Tec")</f>
        <v>Gfr Tec</v>
      </c>
      <c r="T3660" s="33">
        <f>IFERROR(__xludf.DUMMYFUNCTION("""COMPUTED_VALUE"""),0.6666666666666666)</f>
        <v>0.6666666667</v>
      </c>
      <c r="U3660" s="4" t="str">
        <f>IFERROR(__xludf.DUMMYFUNCTION("""COMPUTED_VALUE"""),"null")</f>
        <v>null</v>
      </c>
      <c r="V3660" s="33">
        <f>IFERROR(__xludf.DUMMYFUNCTION("""COMPUTED_VALUE"""),0.6666666666666666)</f>
        <v>0.6666666667</v>
      </c>
      <c r="W3660" s="4" t="str">
        <f>IFERROR(__xludf.DUMMYFUNCTION("""COMPUTED_VALUE"""),"Saipos Serviços De Software")</f>
        <v>Saipos Serviços De Software</v>
      </c>
      <c r="X3660" s="33">
        <f>IFERROR(__xludf.DUMMYFUNCTION("""COMPUTED_VALUE"""),0.6666666666666666)</f>
        <v>0.6666666667</v>
      </c>
    </row>
    <row r="3661">
      <c r="K3661" s="4" t="str">
        <f>IFERROR(__xludf.DUMMYFUNCTION("""COMPUTED_VALUE"""),"MEATPACK")</f>
        <v>MEATPACK</v>
      </c>
      <c r="L3661" s="32">
        <f>IFERROR(__xludf.DUMMYFUNCTION("""COMPUTED_VALUE"""),3.0)</f>
        <v>3</v>
      </c>
      <c r="M3661" s="4" t="str">
        <f>IFERROR(__xludf.DUMMYFUNCTION("""COMPUTED_VALUE"""),"Takeat Tecnologia")</f>
        <v>Takeat Tecnologia</v>
      </c>
      <c r="N3661" s="33">
        <f>IFERROR(__xludf.DUMMYFUNCTION("""COMPUTED_VALUE"""),1.0)</f>
        <v>1</v>
      </c>
      <c r="O3661" s="4" t="str">
        <f>IFERROR(__xludf.DUMMYFUNCTION("""COMPUTED_VALUE"""),"Takeat Tecnologia")</f>
        <v>Takeat Tecnologia</v>
      </c>
      <c r="P3661" s="33">
        <f>IFERROR(__xludf.DUMMYFUNCTION("""COMPUTED_VALUE"""),1.0)</f>
        <v>1</v>
      </c>
      <c r="Q3661" s="4" t="str">
        <f>IFERROR(__xludf.DUMMYFUNCTION("""COMPUTED_VALUE"""),"Takeat Tecnologia")</f>
        <v>Takeat Tecnologia</v>
      </c>
      <c r="R3661" s="33">
        <f>IFERROR(__xludf.DUMMYFUNCTION("""COMPUTED_VALUE"""),1.0)</f>
        <v>1</v>
      </c>
      <c r="S3661" s="4" t="str">
        <f>IFERROR(__xludf.DUMMYFUNCTION("""COMPUTED_VALUE"""),"Takeat Tecnologia")</f>
        <v>Takeat Tecnologia</v>
      </c>
      <c r="T3661" s="33">
        <f>IFERROR(__xludf.DUMMYFUNCTION("""COMPUTED_VALUE"""),1.0)</f>
        <v>1</v>
      </c>
      <c r="U3661" s="4" t="str">
        <f>IFERROR(__xludf.DUMMYFUNCTION("""COMPUTED_VALUE"""),"Takeat Tecnologia")</f>
        <v>Takeat Tecnologia</v>
      </c>
      <c r="V3661" s="33">
        <f>IFERROR(__xludf.DUMMYFUNCTION("""COMPUTED_VALUE"""),1.0)</f>
        <v>1</v>
      </c>
      <c r="W3661" s="4" t="str">
        <f>IFERROR(__xludf.DUMMYFUNCTION("""COMPUTED_VALUE"""),"Takeat Tecnologia")</f>
        <v>Takeat Tecnologia</v>
      </c>
      <c r="X3661" s="33">
        <f>IFERROR(__xludf.DUMMYFUNCTION("""COMPUTED_VALUE"""),0.6666666666666666)</f>
        <v>0.6666666667</v>
      </c>
    </row>
    <row r="3662">
      <c r="K3662" s="4" t="str">
        <f>IFERROR(__xludf.DUMMYFUNCTION("""COMPUTED_VALUE"""),"MEATPACKING BURGER - ALDEOTA")</f>
        <v>MEATPACKING BURGER - ALDEOTA</v>
      </c>
      <c r="L3662" s="32">
        <f>IFERROR(__xludf.DUMMYFUNCTION("""COMPUTED_VALUE"""),3.0)</f>
        <v>3</v>
      </c>
      <c r="M3662" s="4" t="str">
        <f>IFERROR(__xludf.DUMMYFUNCTION("""COMPUTED_VALUE"""),"Cardápio Web")</f>
        <v>Cardápio Web</v>
      </c>
      <c r="N3662" s="33">
        <f>IFERROR(__xludf.DUMMYFUNCTION("""COMPUTED_VALUE"""),1.0)</f>
        <v>1</v>
      </c>
      <c r="O3662" s="4" t="str">
        <f>IFERROR(__xludf.DUMMYFUNCTION("""COMPUTED_VALUE"""),"Cardápio Web")</f>
        <v>Cardápio Web</v>
      </c>
      <c r="P3662" s="33">
        <f>IFERROR(__xludf.DUMMYFUNCTION("""COMPUTED_VALUE"""),1.0)</f>
        <v>1</v>
      </c>
      <c r="Q3662" s="4" t="str">
        <f>IFERROR(__xludf.DUMMYFUNCTION("""COMPUTED_VALUE"""),"Cardápio Web")</f>
        <v>Cardápio Web</v>
      </c>
      <c r="R3662" s="33">
        <f>IFERROR(__xludf.DUMMYFUNCTION("""COMPUTED_VALUE"""),1.0)</f>
        <v>1</v>
      </c>
      <c r="S3662" s="4" t="str">
        <f>IFERROR(__xludf.DUMMYFUNCTION("""COMPUTED_VALUE"""),"Cardápio Web")</f>
        <v>Cardápio Web</v>
      </c>
      <c r="T3662" s="33">
        <f>IFERROR(__xludf.DUMMYFUNCTION("""COMPUTED_VALUE"""),1.0)</f>
        <v>1</v>
      </c>
      <c r="U3662" s="4" t="str">
        <f>IFERROR(__xludf.DUMMYFUNCTION("""COMPUTED_VALUE"""),"Cardápio Web")</f>
        <v>Cardápio Web</v>
      </c>
      <c r="V3662" s="33">
        <f>IFERROR(__xludf.DUMMYFUNCTION("""COMPUTED_VALUE"""),1.0)</f>
        <v>1</v>
      </c>
      <c r="W3662" s="4" t="str">
        <f>IFERROR(__xludf.DUMMYFUNCTION("""COMPUTED_VALUE"""),"Cardápio Web")</f>
        <v>Cardápio Web</v>
      </c>
      <c r="X3662" s="33">
        <f>IFERROR(__xludf.DUMMYFUNCTION("""COMPUTED_VALUE"""),1.0)</f>
        <v>1</v>
      </c>
    </row>
    <row r="3663">
      <c r="K3663" s="4" t="str">
        <f>IFERROR(__xludf.DUMMYFUNCTION("""COMPUTED_VALUE"""),"MEGA DOG")</f>
        <v>MEGA DOG</v>
      </c>
      <c r="L3663" s="32">
        <f>IFERROR(__xludf.DUMMYFUNCTION("""COMPUTED_VALUE"""),3.0)</f>
        <v>3</v>
      </c>
      <c r="M3663" s="4" t="str">
        <f>IFERROR(__xludf.DUMMYFUNCTION("""COMPUTED_VALUE"""),"Saipos Serviços De Software")</f>
        <v>Saipos Serviços De Software</v>
      </c>
      <c r="N3663" s="33">
        <f>IFERROR(__xludf.DUMMYFUNCTION("""COMPUTED_VALUE"""),1.0)</f>
        <v>1</v>
      </c>
      <c r="O3663" s="4" t="str">
        <f>IFERROR(__xludf.DUMMYFUNCTION("""COMPUTED_VALUE"""),"Saipos Serviços De Software")</f>
        <v>Saipos Serviços De Software</v>
      </c>
      <c r="P3663" s="33">
        <f>IFERROR(__xludf.DUMMYFUNCTION("""COMPUTED_VALUE"""),1.0)</f>
        <v>1</v>
      </c>
      <c r="Q3663" s="4" t="str">
        <f>IFERROR(__xludf.DUMMYFUNCTION("""COMPUTED_VALUE"""),"Saipos Serviços De Software")</f>
        <v>Saipos Serviços De Software</v>
      </c>
      <c r="R3663" s="33">
        <f>IFERROR(__xludf.DUMMYFUNCTION("""COMPUTED_VALUE"""),1.0)</f>
        <v>1</v>
      </c>
      <c r="S3663" s="4" t="str">
        <f>IFERROR(__xludf.DUMMYFUNCTION("""COMPUTED_VALUE"""),"Saipos Serviços De Software")</f>
        <v>Saipos Serviços De Software</v>
      </c>
      <c r="T3663" s="33">
        <f>IFERROR(__xludf.DUMMYFUNCTION("""COMPUTED_VALUE"""),1.0)</f>
        <v>1</v>
      </c>
      <c r="U3663" s="4" t="str">
        <f>IFERROR(__xludf.DUMMYFUNCTION("""COMPUTED_VALUE"""),"Saipos Serviços De Software")</f>
        <v>Saipos Serviços De Software</v>
      </c>
      <c r="V3663" s="33">
        <f>IFERROR(__xludf.DUMMYFUNCTION("""COMPUTED_VALUE"""),1.0)</f>
        <v>1</v>
      </c>
      <c r="W3663" s="4" t="str">
        <f>IFERROR(__xludf.DUMMYFUNCTION("""COMPUTED_VALUE"""),"Saipos Serviços De Software")</f>
        <v>Saipos Serviços De Software</v>
      </c>
      <c r="X3663" s="33">
        <f>IFERROR(__xludf.DUMMYFUNCTION("""COMPUTED_VALUE"""),1.0)</f>
        <v>1</v>
      </c>
    </row>
    <row r="3664">
      <c r="K3664" s="4" t="str">
        <f>IFERROR(__xludf.DUMMYFUNCTION("""COMPUTED_VALUE"""),"MEGA FARMA - LOJAS PEDRO - CONTA MARCA")</f>
        <v>MEGA FARMA - LOJAS PEDRO - CONTA MARCA</v>
      </c>
      <c r="L3664" s="32">
        <f>IFERROR(__xludf.DUMMYFUNCTION("""COMPUTED_VALUE"""),3.0)</f>
        <v>3</v>
      </c>
      <c r="M3664" s="4" t="str">
        <f>IFERROR(__xludf.DUMMYFUNCTION("""COMPUTED_VALUE"""),"N/A (Not found)")</f>
        <v>N/A (Not found)</v>
      </c>
      <c r="N3664" s="33">
        <f>IFERROR(__xludf.DUMMYFUNCTION("""COMPUTED_VALUE"""),1.0)</f>
        <v>1</v>
      </c>
      <c r="O3664" s="4" t="str">
        <f>IFERROR(__xludf.DUMMYFUNCTION("""COMPUTED_VALUE"""),"N/A (Not found)")</f>
        <v>N/A (Not found)</v>
      </c>
      <c r="P3664" s="33">
        <f>IFERROR(__xludf.DUMMYFUNCTION("""COMPUTED_VALUE"""),1.0)</f>
        <v>1</v>
      </c>
      <c r="Q3664" s="4" t="str">
        <f>IFERROR(__xludf.DUMMYFUNCTION("""COMPUTED_VALUE"""),"N/A (Not found)")</f>
        <v>N/A (Not found)</v>
      </c>
      <c r="R3664" s="33">
        <f>IFERROR(__xludf.DUMMYFUNCTION("""COMPUTED_VALUE"""),1.0)</f>
        <v>1</v>
      </c>
      <c r="S3664" s="4" t="str">
        <f>IFERROR(__xludf.DUMMYFUNCTION("""COMPUTED_VALUE"""),"N/A (Not found)")</f>
        <v>N/A (Not found)</v>
      </c>
      <c r="T3664" s="33">
        <f>IFERROR(__xludf.DUMMYFUNCTION("""COMPUTED_VALUE"""),1.0)</f>
        <v>1</v>
      </c>
      <c r="U3664" s="4" t="str">
        <f>IFERROR(__xludf.DUMMYFUNCTION("""COMPUTED_VALUE"""),"N/A (Not found)")</f>
        <v>N/A (Not found)</v>
      </c>
      <c r="V3664" s="33">
        <f>IFERROR(__xludf.DUMMYFUNCTION("""COMPUTED_VALUE"""),1.0)</f>
        <v>1</v>
      </c>
      <c r="W3664" s="4" t="str">
        <f>IFERROR(__xludf.DUMMYFUNCTION("""COMPUTED_VALUE"""),"N/A (Not found)")</f>
        <v>N/A (Not found)</v>
      </c>
      <c r="X3664" s="33">
        <f>IFERROR(__xludf.DUMMYFUNCTION("""COMPUTED_VALUE"""),1.0)</f>
        <v>1</v>
      </c>
    </row>
    <row r="3665">
      <c r="K3665" s="4" t="str">
        <f>IFERROR(__xludf.DUMMYFUNCTION("""COMPUTED_VALUE"""),"MELHOR PUDIM DA VIDA")</f>
        <v>MELHOR PUDIM DA VIDA</v>
      </c>
      <c r="L3665" s="32">
        <f>IFERROR(__xludf.DUMMYFUNCTION("""COMPUTED_VALUE"""),3.0)</f>
        <v>3</v>
      </c>
      <c r="M3665" s="4" t="str">
        <f>IFERROR(__xludf.DUMMYFUNCTION("""COMPUTED_VALUE"""),"Saipos Serviços De Software")</f>
        <v>Saipos Serviços De Software</v>
      </c>
      <c r="N3665" s="33">
        <f>IFERROR(__xludf.DUMMYFUNCTION("""COMPUTED_VALUE"""),1.0)</f>
        <v>1</v>
      </c>
      <c r="O3665" s="4" t="str">
        <f>IFERROR(__xludf.DUMMYFUNCTION("""COMPUTED_VALUE"""),"Saipos Serviços De Software")</f>
        <v>Saipos Serviços De Software</v>
      </c>
      <c r="P3665" s="33">
        <f>IFERROR(__xludf.DUMMYFUNCTION("""COMPUTED_VALUE"""),1.0)</f>
        <v>1</v>
      </c>
      <c r="Q3665" s="4" t="str">
        <f>IFERROR(__xludf.DUMMYFUNCTION("""COMPUTED_VALUE"""),"Saipos Serviços De Software")</f>
        <v>Saipos Serviços De Software</v>
      </c>
      <c r="R3665" s="33">
        <f>IFERROR(__xludf.DUMMYFUNCTION("""COMPUTED_VALUE"""),1.0)</f>
        <v>1</v>
      </c>
      <c r="S3665" s="4" t="str">
        <f>IFERROR(__xludf.DUMMYFUNCTION("""COMPUTED_VALUE"""),"Saipos Serviços De Software")</f>
        <v>Saipos Serviços De Software</v>
      </c>
      <c r="T3665" s="33">
        <f>IFERROR(__xludf.DUMMYFUNCTION("""COMPUTED_VALUE"""),1.0)</f>
        <v>1</v>
      </c>
      <c r="U3665" s="4" t="str">
        <f>IFERROR(__xludf.DUMMYFUNCTION("""COMPUTED_VALUE"""),"Saipos Serviços De Software")</f>
        <v>Saipos Serviços De Software</v>
      </c>
      <c r="V3665" s="33">
        <f>IFERROR(__xludf.DUMMYFUNCTION("""COMPUTED_VALUE"""),1.0)</f>
        <v>1</v>
      </c>
      <c r="W3665" s="4" t="str">
        <f>IFERROR(__xludf.DUMMYFUNCTION("""COMPUTED_VALUE"""),"Saipos Serviços De Software")</f>
        <v>Saipos Serviços De Software</v>
      </c>
      <c r="X3665" s="33">
        <f>IFERROR(__xludf.DUMMYFUNCTION("""COMPUTED_VALUE"""),0.6666666666666666)</f>
        <v>0.6666666667</v>
      </c>
    </row>
    <row r="3666">
      <c r="K3666" s="4" t="str">
        <f>IFERROR(__xludf.DUMMYFUNCTION("""COMPUTED_VALUE"""),"MERCADO BRASILIA JOINVILLE- CONTA PAI")</f>
        <v>MERCADO BRASILIA JOINVILLE- CONTA PAI</v>
      </c>
      <c r="L3666" s="32">
        <f>IFERROR(__xludf.DUMMYFUNCTION("""COMPUTED_VALUE"""),3.0)</f>
        <v>3</v>
      </c>
      <c r="M3666" s="4" t="str">
        <f>IFERROR(__xludf.DUMMYFUNCTION("""COMPUTED_VALUE"""),"N/A (Not found)")</f>
        <v>N/A (Not found)</v>
      </c>
      <c r="N3666" s="33">
        <f>IFERROR(__xludf.DUMMYFUNCTION("""COMPUTED_VALUE"""),1.0)</f>
        <v>1</v>
      </c>
      <c r="O3666" s="4" t="str">
        <f>IFERROR(__xludf.DUMMYFUNCTION("""COMPUTED_VALUE"""),"N/A (Not found)")</f>
        <v>N/A (Not found)</v>
      </c>
      <c r="P3666" s="33">
        <f>IFERROR(__xludf.DUMMYFUNCTION("""COMPUTED_VALUE"""),1.0)</f>
        <v>1</v>
      </c>
      <c r="Q3666" s="4" t="str">
        <f>IFERROR(__xludf.DUMMYFUNCTION("""COMPUTED_VALUE"""),"N/A (Not found)")</f>
        <v>N/A (Not found)</v>
      </c>
      <c r="R3666" s="33">
        <f>IFERROR(__xludf.DUMMYFUNCTION("""COMPUTED_VALUE"""),1.0)</f>
        <v>1</v>
      </c>
      <c r="S3666" s="4" t="str">
        <f>IFERROR(__xludf.DUMMYFUNCTION("""COMPUTED_VALUE"""),"N/A (Not found)")</f>
        <v>N/A (Not found)</v>
      </c>
      <c r="T3666" s="33">
        <f>IFERROR(__xludf.DUMMYFUNCTION("""COMPUTED_VALUE"""),1.0)</f>
        <v>1</v>
      </c>
      <c r="U3666" s="4" t="str">
        <f>IFERROR(__xludf.DUMMYFUNCTION("""COMPUTED_VALUE"""),"N/A (Not found)")</f>
        <v>N/A (Not found)</v>
      </c>
      <c r="V3666" s="33">
        <f>IFERROR(__xludf.DUMMYFUNCTION("""COMPUTED_VALUE"""),1.0)</f>
        <v>1</v>
      </c>
      <c r="W3666" s="4" t="str">
        <f>IFERROR(__xludf.DUMMYFUNCTION("""COMPUTED_VALUE"""),"N/A (Not found)")</f>
        <v>N/A (Not found)</v>
      </c>
      <c r="X3666" s="33">
        <f>IFERROR(__xludf.DUMMYFUNCTION("""COMPUTED_VALUE"""),1.0)</f>
        <v>1</v>
      </c>
    </row>
    <row r="3667">
      <c r="K3667" s="4" t="str">
        <f>IFERROR(__xludf.DUMMYFUNCTION("""COMPUTED_VALUE"""),"MERCADO GUANABARA")</f>
        <v>MERCADO GUANABARA</v>
      </c>
      <c r="L3667" s="32">
        <f>IFERROR(__xludf.DUMMYFUNCTION("""COMPUTED_VALUE"""),3.0)</f>
        <v>3</v>
      </c>
      <c r="M3667" s="4" t="str">
        <f>IFERROR(__xludf.DUMMYFUNCTION("""COMPUTED_VALUE"""),"Cloudfy")</f>
        <v>Cloudfy</v>
      </c>
      <c r="N3667" s="33">
        <f>IFERROR(__xludf.DUMMYFUNCTION("""COMPUTED_VALUE"""),1.0)</f>
        <v>1</v>
      </c>
      <c r="O3667" s="4" t="str">
        <f>IFERROR(__xludf.DUMMYFUNCTION("""COMPUTED_VALUE"""),"Cloudfy")</f>
        <v>Cloudfy</v>
      </c>
      <c r="P3667" s="33">
        <f>IFERROR(__xludf.DUMMYFUNCTION("""COMPUTED_VALUE"""),1.0)</f>
        <v>1</v>
      </c>
      <c r="Q3667" s="4" t="str">
        <f>IFERROR(__xludf.DUMMYFUNCTION("""COMPUTED_VALUE"""),"Cloudfy")</f>
        <v>Cloudfy</v>
      </c>
      <c r="R3667" s="33">
        <f>IFERROR(__xludf.DUMMYFUNCTION("""COMPUTED_VALUE"""),1.0)</f>
        <v>1</v>
      </c>
      <c r="S3667" s="4" t="str">
        <f>IFERROR(__xludf.DUMMYFUNCTION("""COMPUTED_VALUE"""),"Cloudfy")</f>
        <v>Cloudfy</v>
      </c>
      <c r="T3667" s="33">
        <f>IFERROR(__xludf.DUMMYFUNCTION("""COMPUTED_VALUE"""),1.0)</f>
        <v>1</v>
      </c>
      <c r="U3667" s="4" t="str">
        <f>IFERROR(__xludf.DUMMYFUNCTION("""COMPUTED_VALUE"""),"Cloudfy")</f>
        <v>Cloudfy</v>
      </c>
      <c r="V3667" s="33">
        <f>IFERROR(__xludf.DUMMYFUNCTION("""COMPUTED_VALUE"""),1.0)</f>
        <v>1</v>
      </c>
      <c r="W3667" s="4" t="str">
        <f>IFERROR(__xludf.DUMMYFUNCTION("""COMPUTED_VALUE"""),"Cloudfy")</f>
        <v>Cloudfy</v>
      </c>
      <c r="X3667" s="33">
        <f>IFERROR(__xludf.DUMMYFUNCTION("""COMPUTED_VALUE"""),1.0)</f>
        <v>1</v>
      </c>
    </row>
    <row r="3668">
      <c r="K3668" s="4" t="str">
        <f>IFERROR(__xludf.DUMMYFUNCTION("""COMPUTED_VALUE"""),"MERE TERESINA")</f>
        <v>MERE TERESINA</v>
      </c>
      <c r="L3668" s="32">
        <f>IFERROR(__xludf.DUMMYFUNCTION("""COMPUTED_VALUE"""),3.0)</f>
        <v>3</v>
      </c>
      <c r="M3668" s="4" t="str">
        <f>IFERROR(__xludf.DUMMYFUNCTION("""COMPUTED_VALUE"""),"Saipos Serviços De Software")</f>
        <v>Saipos Serviços De Software</v>
      </c>
      <c r="N3668" s="33">
        <f>IFERROR(__xludf.DUMMYFUNCTION("""COMPUTED_VALUE"""),1.0)</f>
        <v>1</v>
      </c>
      <c r="O3668" s="4" t="str">
        <f>IFERROR(__xludf.DUMMYFUNCTION("""COMPUTED_VALUE"""),"Saipos Serviços De Software")</f>
        <v>Saipos Serviços De Software</v>
      </c>
      <c r="P3668" s="33">
        <f>IFERROR(__xludf.DUMMYFUNCTION("""COMPUTED_VALUE"""),1.0)</f>
        <v>1</v>
      </c>
      <c r="Q3668" s="4" t="str">
        <f>IFERROR(__xludf.DUMMYFUNCTION("""COMPUTED_VALUE"""),"Saipos Serviços De Software")</f>
        <v>Saipos Serviços De Software</v>
      </c>
      <c r="R3668" s="33">
        <f>IFERROR(__xludf.DUMMYFUNCTION("""COMPUTED_VALUE"""),1.0)</f>
        <v>1</v>
      </c>
      <c r="S3668" s="4" t="str">
        <f>IFERROR(__xludf.DUMMYFUNCTION("""COMPUTED_VALUE"""),"Saipos Serviços De Software")</f>
        <v>Saipos Serviços De Software</v>
      </c>
      <c r="T3668" s="33">
        <f>IFERROR(__xludf.DUMMYFUNCTION("""COMPUTED_VALUE"""),1.0)</f>
        <v>1</v>
      </c>
      <c r="U3668" s="4" t="str">
        <f>IFERROR(__xludf.DUMMYFUNCTION("""COMPUTED_VALUE"""),"Saipos Serviços De Software")</f>
        <v>Saipos Serviços De Software</v>
      </c>
      <c r="V3668" s="33">
        <f>IFERROR(__xludf.DUMMYFUNCTION("""COMPUTED_VALUE"""),1.0)</f>
        <v>1</v>
      </c>
      <c r="W3668" s="4" t="str">
        <f>IFERROR(__xludf.DUMMYFUNCTION("""COMPUTED_VALUE"""),"Saipos Serviços De Software")</f>
        <v>Saipos Serviços De Software</v>
      </c>
      <c r="X3668" s="33">
        <f>IFERROR(__xludf.DUMMYFUNCTION("""COMPUTED_VALUE"""),1.0)</f>
        <v>1</v>
      </c>
    </row>
    <row r="3669">
      <c r="K3669" s="4" t="str">
        <f>IFERROR(__xludf.DUMMYFUNCTION("""COMPUTED_VALUE"""),"MESTRE PIZZAS - MOOCA")</f>
        <v>MESTRE PIZZAS - MOOCA</v>
      </c>
      <c r="L3669" s="32">
        <f>IFERROR(__xludf.DUMMYFUNCTION("""COMPUTED_VALUE"""),3.0)</f>
        <v>3</v>
      </c>
      <c r="M3669" s="4" t="str">
        <f>IFERROR(__xludf.DUMMYFUNCTION("""COMPUTED_VALUE"""),"Grk Soluções Informatica Eireli")</f>
        <v>Grk Soluções Informatica Eireli</v>
      </c>
      <c r="N3669" s="33">
        <f>IFERROR(__xludf.DUMMYFUNCTION("""COMPUTED_VALUE"""),1.0)</f>
        <v>1</v>
      </c>
      <c r="O3669" s="4" t="str">
        <f>IFERROR(__xludf.DUMMYFUNCTION("""COMPUTED_VALUE"""),"Grk Soluções Informatica Eireli")</f>
        <v>Grk Soluções Informatica Eireli</v>
      </c>
      <c r="P3669" s="33">
        <f>IFERROR(__xludf.DUMMYFUNCTION("""COMPUTED_VALUE"""),1.0)</f>
        <v>1</v>
      </c>
      <c r="Q3669" s="4" t="str">
        <f>IFERROR(__xludf.DUMMYFUNCTION("""COMPUTED_VALUE"""),"Grk Soluções Informatica Eireli")</f>
        <v>Grk Soluções Informatica Eireli</v>
      </c>
      <c r="R3669" s="33">
        <f>IFERROR(__xludf.DUMMYFUNCTION("""COMPUTED_VALUE"""),1.0)</f>
        <v>1</v>
      </c>
      <c r="S3669" s="4" t="str">
        <f>IFERROR(__xludf.DUMMYFUNCTION("""COMPUTED_VALUE"""),"Grk Soluções Informatica Eireli")</f>
        <v>Grk Soluções Informatica Eireli</v>
      </c>
      <c r="T3669" s="33">
        <f>IFERROR(__xludf.DUMMYFUNCTION("""COMPUTED_VALUE"""),1.0)</f>
        <v>1</v>
      </c>
      <c r="U3669" s="4" t="str">
        <f>IFERROR(__xludf.DUMMYFUNCTION("""COMPUTED_VALUE"""),"Grk Soluções Informatica Eireli")</f>
        <v>Grk Soluções Informatica Eireli</v>
      </c>
      <c r="V3669" s="33">
        <f>IFERROR(__xludf.DUMMYFUNCTION("""COMPUTED_VALUE"""),1.0)</f>
        <v>1</v>
      </c>
      <c r="W3669" s="4" t="str">
        <f>IFERROR(__xludf.DUMMYFUNCTION("""COMPUTED_VALUE"""),"Grk Soluções Informatica Eireli")</f>
        <v>Grk Soluções Informatica Eireli</v>
      </c>
      <c r="X3669" s="33">
        <f>IFERROR(__xludf.DUMMYFUNCTION("""COMPUTED_VALUE"""),1.0)</f>
        <v>1</v>
      </c>
    </row>
    <row r="3670">
      <c r="K3670" s="4" t="str">
        <f>IFERROR(__xludf.DUMMYFUNCTION("""COMPUTED_VALUE"""),"MESTRE SUSHI")</f>
        <v>MESTRE SUSHI</v>
      </c>
      <c r="L3670" s="32">
        <f>IFERROR(__xludf.DUMMYFUNCTION("""COMPUTED_VALUE"""),3.0)</f>
        <v>3</v>
      </c>
      <c r="M3670" s="4" t="str">
        <f>IFERROR(__xludf.DUMMYFUNCTION("""COMPUTED_VALUE"""),"Consumer Soluções Em Tecnologia Ltda")</f>
        <v>Consumer Soluções Em Tecnologia Ltda</v>
      </c>
      <c r="N3670" s="33">
        <f>IFERROR(__xludf.DUMMYFUNCTION("""COMPUTED_VALUE"""),1.0)</f>
        <v>1</v>
      </c>
      <c r="O3670" s="4" t="str">
        <f>IFERROR(__xludf.DUMMYFUNCTION("""COMPUTED_VALUE"""),"Consumer Soluções Em Tecnologia Ltda")</f>
        <v>Consumer Soluções Em Tecnologia Ltda</v>
      </c>
      <c r="P3670" s="33">
        <f>IFERROR(__xludf.DUMMYFUNCTION("""COMPUTED_VALUE"""),0.6666666666666666)</f>
        <v>0.6666666667</v>
      </c>
      <c r="Q3670" s="4" t="str">
        <f>IFERROR(__xludf.DUMMYFUNCTION("""COMPUTED_VALUE"""),"Consumer Soluções Em Tecnologia Ltda")</f>
        <v>Consumer Soluções Em Tecnologia Ltda</v>
      </c>
      <c r="R3670" s="33">
        <f>IFERROR(__xludf.DUMMYFUNCTION("""COMPUTED_VALUE"""),0.6666666666666666)</f>
        <v>0.6666666667</v>
      </c>
      <c r="S3670" s="4" t="str">
        <f>IFERROR(__xludf.DUMMYFUNCTION("""COMPUTED_VALUE"""),"Consumer Soluções Em Tecnologia Ltda")</f>
        <v>Consumer Soluções Em Tecnologia Ltda</v>
      </c>
      <c r="T3670" s="33">
        <f>IFERROR(__xludf.DUMMYFUNCTION("""COMPUTED_VALUE"""),0.6666666666666666)</f>
        <v>0.6666666667</v>
      </c>
      <c r="U3670" s="4" t="str">
        <f>IFERROR(__xludf.DUMMYFUNCTION("""COMPUTED_VALUE"""),"null")</f>
        <v>null</v>
      </c>
      <c r="V3670" s="33">
        <f>IFERROR(__xludf.DUMMYFUNCTION("""COMPUTED_VALUE"""),0.6666666666666666)</f>
        <v>0.6666666667</v>
      </c>
      <c r="W3670" s="4" t="str">
        <f>IFERROR(__xludf.DUMMYFUNCTION("""COMPUTED_VALUE"""),"Saipos Serviços De Software")</f>
        <v>Saipos Serviços De Software</v>
      </c>
      <c r="X3670" s="33">
        <f>IFERROR(__xludf.DUMMYFUNCTION("""COMPUTED_VALUE"""),0.6666666666666666)</f>
        <v>0.6666666667</v>
      </c>
    </row>
    <row r="3671">
      <c r="K3671" s="4" t="str">
        <f>IFERROR(__xludf.DUMMYFUNCTION("""COMPUTED_VALUE"""),"MEU AMADO - CONTA MARCA")</f>
        <v>MEU AMADO - CONTA MARCA</v>
      </c>
      <c r="L3671" s="32">
        <f>IFERROR(__xludf.DUMMYFUNCTION("""COMPUTED_VALUE"""),3.0)</f>
        <v>3</v>
      </c>
      <c r="M3671" s="4" t="str">
        <f>IFERROR(__xludf.DUMMYFUNCTION("""COMPUTED_VALUE"""),"null")</f>
        <v>null</v>
      </c>
      <c r="N3671" s="33">
        <f>IFERROR(__xludf.DUMMYFUNCTION("""COMPUTED_VALUE"""),1.0)</f>
        <v>1</v>
      </c>
      <c r="O3671" s="4" t="str">
        <f>IFERROR(__xludf.DUMMYFUNCTION("""COMPUTED_VALUE"""),"null")</f>
        <v>null</v>
      </c>
      <c r="P3671" s="33">
        <f>IFERROR(__xludf.DUMMYFUNCTION("""COMPUTED_VALUE"""),0.6666666666666666)</f>
        <v>0.6666666667</v>
      </c>
      <c r="Q3671" s="4" t="str">
        <f>IFERROR(__xludf.DUMMYFUNCTION("""COMPUTED_VALUE"""),"null")</f>
        <v>null</v>
      </c>
      <c r="R3671" s="33">
        <f>IFERROR(__xludf.DUMMYFUNCTION("""COMPUTED_VALUE"""),0.6666666666666666)</f>
        <v>0.6666666667</v>
      </c>
      <c r="S3671" s="4" t="str">
        <f>IFERROR(__xludf.DUMMYFUNCTION("""COMPUTED_VALUE"""),"Totvs Large Enterprise Tecnologia S.a.")</f>
        <v>Totvs Large Enterprise Tecnologia S.a.</v>
      </c>
      <c r="T3671" s="33">
        <f>IFERROR(__xludf.DUMMYFUNCTION("""COMPUTED_VALUE"""),0.3333333333333333)</f>
        <v>0.3333333333</v>
      </c>
      <c r="U3671" s="4" t="str">
        <f>IFERROR(__xludf.DUMMYFUNCTION("""COMPUTED_VALUE"""),"null")</f>
        <v>null</v>
      </c>
      <c r="V3671" s="33">
        <f>IFERROR(__xludf.DUMMYFUNCTION("""COMPUTED_VALUE"""),0.6666666666666666)</f>
        <v>0.6666666667</v>
      </c>
      <c r="W3671" s="4" t="str">
        <f>IFERROR(__xludf.DUMMYFUNCTION("""COMPUTED_VALUE"""),"null")</f>
        <v>null</v>
      </c>
      <c r="X3671" s="33">
        <f>IFERROR(__xludf.DUMMYFUNCTION("""COMPUTED_VALUE"""),0.6666666666666666)</f>
        <v>0.6666666667</v>
      </c>
    </row>
    <row r="3672">
      <c r="K3672" s="4" t="str">
        <f>IFERROR(__xludf.DUMMYFUNCTION("""COMPUTED_VALUE"""),"MEU AMADO - CONTA PAI")</f>
        <v>MEU AMADO - CONTA PAI</v>
      </c>
      <c r="L3672" s="32">
        <f>IFERROR(__xludf.DUMMYFUNCTION("""COMPUTED_VALUE"""),3.0)</f>
        <v>3</v>
      </c>
      <c r="M3672" s="4" t="str">
        <f>IFERROR(__xludf.DUMMYFUNCTION("""COMPUTED_VALUE"""),"null")</f>
        <v>null</v>
      </c>
      <c r="N3672" s="33">
        <f>IFERROR(__xludf.DUMMYFUNCTION("""COMPUTED_VALUE"""),1.0)</f>
        <v>1</v>
      </c>
      <c r="O3672" s="4" t="str">
        <f>IFERROR(__xludf.DUMMYFUNCTION("""COMPUTED_VALUE"""),"null")</f>
        <v>null</v>
      </c>
      <c r="P3672" s="33">
        <f>IFERROR(__xludf.DUMMYFUNCTION("""COMPUTED_VALUE"""),0.6666666666666666)</f>
        <v>0.6666666667</v>
      </c>
      <c r="Q3672" s="4" t="str">
        <f>IFERROR(__xludf.DUMMYFUNCTION("""COMPUTED_VALUE"""),"null")</f>
        <v>null</v>
      </c>
      <c r="R3672" s="33">
        <f>IFERROR(__xludf.DUMMYFUNCTION("""COMPUTED_VALUE"""),0.6666666666666666)</f>
        <v>0.6666666667</v>
      </c>
      <c r="S3672" s="4" t="str">
        <f>IFERROR(__xludf.DUMMYFUNCTION("""COMPUTED_VALUE"""),"Totvs Large Enterprise Tecnologia S.a.")</f>
        <v>Totvs Large Enterprise Tecnologia S.a.</v>
      </c>
      <c r="T3672" s="33">
        <f>IFERROR(__xludf.DUMMYFUNCTION("""COMPUTED_VALUE"""),0.3333333333333333)</f>
        <v>0.3333333333</v>
      </c>
      <c r="U3672" s="4" t="str">
        <f>IFERROR(__xludf.DUMMYFUNCTION("""COMPUTED_VALUE"""),"null")</f>
        <v>null</v>
      </c>
      <c r="V3672" s="33">
        <f>IFERROR(__xludf.DUMMYFUNCTION("""COMPUTED_VALUE"""),0.6666666666666666)</f>
        <v>0.6666666667</v>
      </c>
      <c r="W3672" s="4" t="str">
        <f>IFERROR(__xludf.DUMMYFUNCTION("""COMPUTED_VALUE"""),"null")</f>
        <v>null</v>
      </c>
      <c r="X3672" s="33">
        <f>IFERROR(__xludf.DUMMYFUNCTION("""COMPUTED_VALUE"""),0.6666666666666666)</f>
        <v>0.6666666667</v>
      </c>
    </row>
    <row r="3673">
      <c r="K3673" s="4" t="str">
        <f>IFERROR(__xludf.DUMMYFUNCTION("""COMPUTED_VALUE"""),"MEU BURGUER - RN")</f>
        <v>MEU BURGUER - RN</v>
      </c>
      <c r="L3673" s="32">
        <f>IFERROR(__xludf.DUMMYFUNCTION("""COMPUTED_VALUE"""),3.0)</f>
        <v>3</v>
      </c>
      <c r="M3673" s="4" t="str">
        <f>IFERROR(__xludf.DUMMYFUNCTION("""COMPUTED_VALUE"""),"Saipos Serviços De Software")</f>
        <v>Saipos Serviços De Software</v>
      </c>
      <c r="N3673" s="33">
        <f>IFERROR(__xludf.DUMMYFUNCTION("""COMPUTED_VALUE"""),1.0)</f>
        <v>1</v>
      </c>
      <c r="O3673" s="4" t="str">
        <f>IFERROR(__xludf.DUMMYFUNCTION("""COMPUTED_VALUE"""),"null")</f>
        <v>null</v>
      </c>
      <c r="P3673" s="33">
        <f>IFERROR(__xludf.DUMMYFUNCTION("""COMPUTED_VALUE"""),1.0)</f>
        <v>1</v>
      </c>
      <c r="Q3673" s="4" t="str">
        <f>IFERROR(__xludf.DUMMYFUNCTION("""COMPUTED_VALUE"""),"null")</f>
        <v>null</v>
      </c>
      <c r="R3673" s="33">
        <f>IFERROR(__xludf.DUMMYFUNCTION("""COMPUTED_VALUE"""),1.0)</f>
        <v>1</v>
      </c>
      <c r="S3673" s="4" t="str">
        <f>IFERROR(__xludf.DUMMYFUNCTION("""COMPUTED_VALUE"""),"null")</f>
        <v>null</v>
      </c>
      <c r="T3673" s="33">
        <f>IFERROR(__xludf.DUMMYFUNCTION("""COMPUTED_VALUE"""),1.0)</f>
        <v>1</v>
      </c>
      <c r="U3673" s="4" t="str">
        <f>IFERROR(__xludf.DUMMYFUNCTION("""COMPUTED_VALUE"""),"null")</f>
        <v>null</v>
      </c>
      <c r="V3673" s="33">
        <f>IFERROR(__xludf.DUMMYFUNCTION("""COMPUTED_VALUE"""),1.0)</f>
        <v>1</v>
      </c>
      <c r="W3673" s="4" t="str">
        <f>IFERROR(__xludf.DUMMYFUNCTION("""COMPUTED_VALUE"""),"null")</f>
        <v>null</v>
      </c>
      <c r="X3673" s="33">
        <f>IFERROR(__xludf.DUMMYFUNCTION("""COMPUTED_VALUE"""),1.0)</f>
        <v>1</v>
      </c>
    </row>
    <row r="3674">
      <c r="K3674" s="4" t="str">
        <f>IFERROR(__xludf.DUMMYFUNCTION("""COMPUTED_VALUE"""),"MI MADRE SANDUICHES")</f>
        <v>MI MADRE SANDUICHES</v>
      </c>
      <c r="L3674" s="32">
        <f>IFERROR(__xludf.DUMMYFUNCTION("""COMPUTED_VALUE"""),3.0)</f>
        <v>3</v>
      </c>
      <c r="M3674" s="4" t="str">
        <f>IFERROR(__xludf.DUMMYFUNCTION("""COMPUTED_VALUE"""),"Hubster")</f>
        <v>Hubster</v>
      </c>
      <c r="N3674" s="33">
        <f>IFERROR(__xludf.DUMMYFUNCTION("""COMPUTED_VALUE"""),1.0)</f>
        <v>1</v>
      </c>
      <c r="O3674" s="4" t="str">
        <f>IFERROR(__xludf.DUMMYFUNCTION("""COMPUTED_VALUE"""),"Hubster")</f>
        <v>Hubster</v>
      </c>
      <c r="P3674" s="33">
        <f>IFERROR(__xludf.DUMMYFUNCTION("""COMPUTED_VALUE"""),1.0)</f>
        <v>1</v>
      </c>
      <c r="Q3674" s="4" t="str">
        <f>IFERROR(__xludf.DUMMYFUNCTION("""COMPUTED_VALUE"""),"Hubster")</f>
        <v>Hubster</v>
      </c>
      <c r="R3674" s="33">
        <f>IFERROR(__xludf.DUMMYFUNCTION("""COMPUTED_VALUE"""),1.0)</f>
        <v>1</v>
      </c>
      <c r="S3674" s="4" t="str">
        <f>IFERROR(__xludf.DUMMYFUNCTION("""COMPUTED_VALUE"""),"Hubster")</f>
        <v>Hubster</v>
      </c>
      <c r="T3674" s="33">
        <f>IFERROR(__xludf.DUMMYFUNCTION("""COMPUTED_VALUE"""),1.0)</f>
        <v>1</v>
      </c>
      <c r="U3674" s="4" t="str">
        <f>IFERROR(__xludf.DUMMYFUNCTION("""COMPUTED_VALUE"""),"Hubster")</f>
        <v>Hubster</v>
      </c>
      <c r="V3674" s="33">
        <f>IFERROR(__xludf.DUMMYFUNCTION("""COMPUTED_VALUE"""),1.0)</f>
        <v>1</v>
      </c>
      <c r="W3674" s="4" t="str">
        <f>IFERROR(__xludf.DUMMYFUNCTION("""COMPUTED_VALUE"""),"Hubster")</f>
        <v>Hubster</v>
      </c>
      <c r="X3674" s="33">
        <f>IFERROR(__xludf.DUMMYFUNCTION("""COMPUTED_VALUE"""),1.0)</f>
        <v>1</v>
      </c>
    </row>
    <row r="3675">
      <c r="K3675" s="4" t="str">
        <f>IFERROR(__xludf.DUMMYFUNCTION("""COMPUTED_VALUE"""),"MICHELUCCIO PIZZARIA")</f>
        <v>MICHELUCCIO PIZZARIA</v>
      </c>
      <c r="L3675" s="32">
        <f>IFERROR(__xludf.DUMMYFUNCTION("""COMPUTED_VALUE"""),3.0)</f>
        <v>3</v>
      </c>
      <c r="M3675" s="4" t="str">
        <f>IFERROR(__xludf.DUMMYFUNCTION("""COMPUTED_VALUE"""),"Atena Tecnologia Da Informacao Ltda")</f>
        <v>Atena Tecnologia Da Informacao Ltda</v>
      </c>
      <c r="N3675" s="33">
        <f>IFERROR(__xludf.DUMMYFUNCTION("""COMPUTED_VALUE"""),1.0)</f>
        <v>1</v>
      </c>
      <c r="O3675" s="4" t="str">
        <f>IFERROR(__xludf.DUMMYFUNCTION("""COMPUTED_VALUE"""),"Atena Tecnologia Da Informacao Ltda")</f>
        <v>Atena Tecnologia Da Informacao Ltda</v>
      </c>
      <c r="P3675" s="33">
        <f>IFERROR(__xludf.DUMMYFUNCTION("""COMPUTED_VALUE"""),1.0)</f>
        <v>1</v>
      </c>
      <c r="Q3675" s="4" t="str">
        <f>IFERROR(__xludf.DUMMYFUNCTION("""COMPUTED_VALUE"""),"Atena Tecnologia Da Informacao Ltda")</f>
        <v>Atena Tecnologia Da Informacao Ltda</v>
      </c>
      <c r="R3675" s="33">
        <f>IFERROR(__xludf.DUMMYFUNCTION("""COMPUTED_VALUE"""),1.0)</f>
        <v>1</v>
      </c>
      <c r="S3675" s="4" t="str">
        <f>IFERROR(__xludf.DUMMYFUNCTION("""COMPUTED_VALUE"""),"Atena Tecnologia Da Informacao Ltda")</f>
        <v>Atena Tecnologia Da Informacao Ltda</v>
      </c>
      <c r="T3675" s="33">
        <f>IFERROR(__xludf.DUMMYFUNCTION("""COMPUTED_VALUE"""),1.0)</f>
        <v>1</v>
      </c>
      <c r="U3675" s="4" t="str">
        <f>IFERROR(__xludf.DUMMYFUNCTION("""COMPUTED_VALUE"""),"Atena Tecnologia Da Informacao Ltda")</f>
        <v>Atena Tecnologia Da Informacao Ltda</v>
      </c>
      <c r="V3675" s="33">
        <f>IFERROR(__xludf.DUMMYFUNCTION("""COMPUTED_VALUE"""),1.0)</f>
        <v>1</v>
      </c>
      <c r="W3675" s="4" t="str">
        <f>IFERROR(__xludf.DUMMYFUNCTION("""COMPUTED_VALUE"""),"Atena Tecnologia Da Informacao Ltda")</f>
        <v>Atena Tecnologia Da Informacao Ltda</v>
      </c>
      <c r="X3675" s="33">
        <f>IFERROR(__xludf.DUMMYFUNCTION("""COMPUTED_VALUE"""),0.6666666666666666)</f>
        <v>0.6666666667</v>
      </c>
    </row>
    <row r="3676">
      <c r="K3676" s="4" t="str">
        <f>IFERROR(__xludf.DUMMYFUNCTION("""COMPUTED_VALUE"""),"MIGARBA")</f>
        <v>MIGARBA</v>
      </c>
      <c r="L3676" s="32">
        <f>IFERROR(__xludf.DUMMYFUNCTION("""COMPUTED_VALUE"""),3.0)</f>
        <v>3</v>
      </c>
      <c r="M3676" s="4" t="str">
        <f>IFERROR(__xludf.DUMMYFUNCTION("""COMPUTED_VALUE"""),"Ncr")</f>
        <v>Ncr</v>
      </c>
      <c r="N3676" s="33">
        <f>IFERROR(__xludf.DUMMYFUNCTION("""COMPUTED_VALUE"""),1.0)</f>
        <v>1</v>
      </c>
      <c r="O3676" s="4" t="str">
        <f>IFERROR(__xludf.DUMMYFUNCTION("""COMPUTED_VALUE"""),"Ncr")</f>
        <v>Ncr</v>
      </c>
      <c r="P3676" s="33">
        <f>IFERROR(__xludf.DUMMYFUNCTION("""COMPUTED_VALUE"""),1.0)</f>
        <v>1</v>
      </c>
      <c r="Q3676" s="4" t="str">
        <f>IFERROR(__xludf.DUMMYFUNCTION("""COMPUTED_VALUE"""),"Ncr")</f>
        <v>Ncr</v>
      </c>
      <c r="R3676" s="33">
        <f>IFERROR(__xludf.DUMMYFUNCTION("""COMPUTED_VALUE"""),1.0)</f>
        <v>1</v>
      </c>
      <c r="S3676" s="4" t="str">
        <f>IFERROR(__xludf.DUMMYFUNCTION("""COMPUTED_VALUE"""),"Ncr")</f>
        <v>Ncr</v>
      </c>
      <c r="T3676" s="33">
        <f>IFERROR(__xludf.DUMMYFUNCTION("""COMPUTED_VALUE"""),1.0)</f>
        <v>1</v>
      </c>
      <c r="U3676" s="4" t="str">
        <f>IFERROR(__xludf.DUMMYFUNCTION("""COMPUTED_VALUE"""),"Ncr")</f>
        <v>Ncr</v>
      </c>
      <c r="V3676" s="33">
        <f>IFERROR(__xludf.DUMMYFUNCTION("""COMPUTED_VALUE"""),1.0)</f>
        <v>1</v>
      </c>
      <c r="W3676" s="4" t="str">
        <f>IFERROR(__xludf.DUMMYFUNCTION("""COMPUTED_VALUE"""),"Ncr")</f>
        <v>Ncr</v>
      </c>
      <c r="X3676" s="33">
        <f>IFERROR(__xludf.DUMMYFUNCTION("""COMPUTED_VALUE"""),1.0)</f>
        <v>1</v>
      </c>
    </row>
    <row r="3677">
      <c r="K3677" s="4" t="str">
        <f>IFERROR(__xludf.DUMMYFUNCTION("""COMPUTED_VALUE"""),"MIKROLOT")</f>
        <v>MIKROLOT</v>
      </c>
      <c r="L3677" s="32">
        <f>IFERROR(__xludf.DUMMYFUNCTION("""COMPUTED_VALUE"""),3.0)</f>
        <v>3</v>
      </c>
      <c r="M3677" s="4" t="str">
        <f>IFERROR(__xludf.DUMMYFUNCTION("""COMPUTED_VALUE"""),"Saipos Serviços De Software")</f>
        <v>Saipos Serviços De Software</v>
      </c>
      <c r="N3677" s="33">
        <f>IFERROR(__xludf.DUMMYFUNCTION("""COMPUTED_VALUE"""),1.0)</f>
        <v>1</v>
      </c>
      <c r="O3677" s="4" t="str">
        <f>IFERROR(__xludf.DUMMYFUNCTION("""COMPUTED_VALUE"""),"Saipos Serviços De Software")</f>
        <v>Saipos Serviços De Software</v>
      </c>
      <c r="P3677" s="33">
        <f>IFERROR(__xludf.DUMMYFUNCTION("""COMPUTED_VALUE"""),1.0)</f>
        <v>1</v>
      </c>
      <c r="Q3677" s="4" t="str">
        <f>IFERROR(__xludf.DUMMYFUNCTION("""COMPUTED_VALUE"""),"Saipos Serviços De Software")</f>
        <v>Saipos Serviços De Software</v>
      </c>
      <c r="R3677" s="33">
        <f>IFERROR(__xludf.DUMMYFUNCTION("""COMPUTED_VALUE"""),1.0)</f>
        <v>1</v>
      </c>
      <c r="S3677" s="4" t="str">
        <f>IFERROR(__xludf.DUMMYFUNCTION("""COMPUTED_VALUE"""),"Saipos Serviços De Software")</f>
        <v>Saipos Serviços De Software</v>
      </c>
      <c r="T3677" s="33">
        <f>IFERROR(__xludf.DUMMYFUNCTION("""COMPUTED_VALUE"""),1.0)</f>
        <v>1</v>
      </c>
      <c r="U3677" s="4" t="str">
        <f>IFERROR(__xludf.DUMMYFUNCTION("""COMPUTED_VALUE"""),"Saipos Serviços De Software")</f>
        <v>Saipos Serviços De Software</v>
      </c>
      <c r="V3677" s="33">
        <f>IFERROR(__xludf.DUMMYFUNCTION("""COMPUTED_VALUE"""),1.0)</f>
        <v>1</v>
      </c>
      <c r="W3677" s="4" t="str">
        <f>IFERROR(__xludf.DUMMYFUNCTION("""COMPUTED_VALUE"""),"Saipos Serviços De Software")</f>
        <v>Saipos Serviços De Software</v>
      </c>
      <c r="X3677" s="33">
        <f>IFERROR(__xludf.DUMMYFUNCTION("""COMPUTED_VALUE"""),1.0)</f>
        <v>1</v>
      </c>
    </row>
    <row r="3678">
      <c r="K3678" s="4" t="str">
        <f>IFERROR(__xludf.DUMMYFUNCTION("""COMPUTED_VALUE"""),"MILANO CONTA PAI")</f>
        <v>MILANO CONTA PAI</v>
      </c>
      <c r="L3678" s="32">
        <f>IFERROR(__xludf.DUMMYFUNCTION("""COMPUTED_VALUE"""),3.0)</f>
        <v>3</v>
      </c>
      <c r="M3678" s="4" t="str">
        <f>IFERROR(__xludf.DUMMYFUNCTION("""COMPUTED_VALUE"""),"Saipos Serviços De Software")</f>
        <v>Saipos Serviços De Software</v>
      </c>
      <c r="N3678" s="33">
        <f>IFERROR(__xludf.DUMMYFUNCTION("""COMPUTED_VALUE"""),1.0)</f>
        <v>1</v>
      </c>
      <c r="O3678" s="4" t="str">
        <f>IFERROR(__xludf.DUMMYFUNCTION("""COMPUTED_VALUE"""),"null")</f>
        <v>null</v>
      </c>
      <c r="P3678" s="33">
        <f>IFERROR(__xludf.DUMMYFUNCTION("""COMPUTED_VALUE"""),1.0)</f>
        <v>1</v>
      </c>
      <c r="Q3678" s="4" t="str">
        <f>IFERROR(__xludf.DUMMYFUNCTION("""COMPUTED_VALUE"""),"null")</f>
        <v>null</v>
      </c>
      <c r="R3678" s="33">
        <f>IFERROR(__xludf.DUMMYFUNCTION("""COMPUTED_VALUE"""),1.0)</f>
        <v>1</v>
      </c>
      <c r="S3678" s="4" t="str">
        <f>IFERROR(__xludf.DUMMYFUNCTION("""COMPUTED_VALUE"""),"null")</f>
        <v>null</v>
      </c>
      <c r="T3678" s="33">
        <f>IFERROR(__xludf.DUMMYFUNCTION("""COMPUTED_VALUE"""),1.0)</f>
        <v>1</v>
      </c>
      <c r="U3678" s="4" t="str">
        <f>IFERROR(__xludf.DUMMYFUNCTION("""COMPUTED_VALUE"""),"null")</f>
        <v>null</v>
      </c>
      <c r="V3678" s="33">
        <f>IFERROR(__xludf.DUMMYFUNCTION("""COMPUTED_VALUE"""),1.0)</f>
        <v>1</v>
      </c>
      <c r="W3678" s="4" t="str">
        <f>IFERROR(__xludf.DUMMYFUNCTION("""COMPUTED_VALUE"""),"null")</f>
        <v>null</v>
      </c>
      <c r="X3678" s="33">
        <f>IFERROR(__xludf.DUMMYFUNCTION("""COMPUTED_VALUE"""),1.0)</f>
        <v>1</v>
      </c>
    </row>
    <row r="3679">
      <c r="K3679" s="4" t="str">
        <f>IFERROR(__xludf.DUMMYFUNCTION("""COMPUTED_VALUE"""),"MIRSAH")</f>
        <v>MIRSAH</v>
      </c>
      <c r="L3679" s="32">
        <f>IFERROR(__xludf.DUMMYFUNCTION("""COMPUTED_VALUE"""),3.0)</f>
        <v>3</v>
      </c>
      <c r="M3679" s="4" t="str">
        <f>IFERROR(__xludf.DUMMYFUNCTION("""COMPUTED_VALUE"""),"Swfast Sistemas")</f>
        <v>Swfast Sistemas</v>
      </c>
      <c r="N3679" s="33">
        <f>IFERROR(__xludf.DUMMYFUNCTION("""COMPUTED_VALUE"""),0.6666666666666666)</f>
        <v>0.6666666667</v>
      </c>
      <c r="O3679" s="4" t="str">
        <f>IFERROR(__xludf.DUMMYFUNCTION("""COMPUTED_VALUE"""),"Swfast Sistemas")</f>
        <v>Swfast Sistemas</v>
      </c>
      <c r="P3679" s="33">
        <f>IFERROR(__xludf.DUMMYFUNCTION("""COMPUTED_VALUE"""),0.6666666666666666)</f>
        <v>0.6666666667</v>
      </c>
      <c r="Q3679" s="4" t="str">
        <f>IFERROR(__xludf.DUMMYFUNCTION("""COMPUTED_VALUE"""),"Swfast Sistemas")</f>
        <v>Swfast Sistemas</v>
      </c>
      <c r="R3679" s="33">
        <f>IFERROR(__xludf.DUMMYFUNCTION("""COMPUTED_VALUE"""),0.6666666666666666)</f>
        <v>0.6666666667</v>
      </c>
      <c r="S3679" s="4" t="str">
        <f>IFERROR(__xludf.DUMMYFUNCTION("""COMPUTED_VALUE"""),"Swfast Sistemas")</f>
        <v>Swfast Sistemas</v>
      </c>
      <c r="T3679" s="33">
        <f>IFERROR(__xludf.DUMMYFUNCTION("""COMPUTED_VALUE"""),0.6666666666666666)</f>
        <v>0.6666666667</v>
      </c>
      <c r="U3679" s="4" t="str">
        <f>IFERROR(__xludf.DUMMYFUNCTION("""COMPUTED_VALUE"""),"null")</f>
        <v>null</v>
      </c>
      <c r="V3679" s="33">
        <f>IFERROR(__xludf.DUMMYFUNCTION("""COMPUTED_VALUE"""),1.0)</f>
        <v>1</v>
      </c>
      <c r="W3679" s="4" t="str">
        <f>IFERROR(__xludf.DUMMYFUNCTION("""COMPUTED_VALUE"""),"Swfast Sistemas")</f>
        <v>Swfast Sistemas</v>
      </c>
      <c r="X3679" s="33">
        <f>IFERROR(__xludf.DUMMYFUNCTION("""COMPUTED_VALUE"""),0.6666666666666666)</f>
        <v>0.6666666667</v>
      </c>
    </row>
    <row r="3680">
      <c r="K3680" s="4" t="str">
        <f>IFERROR(__xludf.DUMMYFUNCTION("""COMPUTED_VALUE"""),"MISSES CAKES")</f>
        <v>MISSES CAKES</v>
      </c>
      <c r="L3680" s="32">
        <f>IFERROR(__xludf.DUMMYFUNCTION("""COMPUTED_VALUE"""),3.0)</f>
        <v>3</v>
      </c>
      <c r="M3680" s="4" t="str">
        <f>IFERROR(__xludf.DUMMYFUNCTION("""COMPUTED_VALUE"""),"Opdv")</f>
        <v>Opdv</v>
      </c>
      <c r="N3680" s="33">
        <f>IFERROR(__xludf.DUMMYFUNCTION("""COMPUTED_VALUE"""),1.0)</f>
        <v>1</v>
      </c>
      <c r="O3680" s="4" t="str">
        <f>IFERROR(__xludf.DUMMYFUNCTION("""COMPUTED_VALUE"""),"Opdv")</f>
        <v>Opdv</v>
      </c>
      <c r="P3680" s="33">
        <f>IFERROR(__xludf.DUMMYFUNCTION("""COMPUTED_VALUE"""),1.0)</f>
        <v>1</v>
      </c>
      <c r="Q3680" s="4" t="str">
        <f>IFERROR(__xludf.DUMMYFUNCTION("""COMPUTED_VALUE"""),"Opdv")</f>
        <v>Opdv</v>
      </c>
      <c r="R3680" s="33">
        <f>IFERROR(__xludf.DUMMYFUNCTION("""COMPUTED_VALUE"""),1.0)</f>
        <v>1</v>
      </c>
      <c r="S3680" s="4" t="str">
        <f>IFERROR(__xludf.DUMMYFUNCTION("""COMPUTED_VALUE"""),"Saipos Serviços De Software")</f>
        <v>Saipos Serviços De Software</v>
      </c>
      <c r="T3680" s="33">
        <f>IFERROR(__xludf.DUMMYFUNCTION("""COMPUTED_VALUE"""),0.6666666666666666)</f>
        <v>0.6666666667</v>
      </c>
      <c r="U3680" s="4" t="str">
        <f>IFERROR(__xludf.DUMMYFUNCTION("""COMPUTED_VALUE"""),"Opdv")</f>
        <v>Opdv</v>
      </c>
      <c r="V3680" s="33">
        <f>IFERROR(__xludf.DUMMYFUNCTION("""COMPUTED_VALUE"""),1.0)</f>
        <v>1</v>
      </c>
      <c r="W3680" s="4" t="str">
        <f>IFERROR(__xludf.DUMMYFUNCTION("""COMPUTED_VALUE"""),"Saipos Serviços De Software")</f>
        <v>Saipos Serviços De Software</v>
      </c>
      <c r="X3680" s="33">
        <f>IFERROR(__xludf.DUMMYFUNCTION("""COMPUTED_VALUE"""),1.0)</f>
        <v>1</v>
      </c>
    </row>
    <row r="3681">
      <c r="K3681" s="4" t="str">
        <f>IFERROR(__xludf.DUMMYFUNCTION("""COMPUTED_VALUE"""),"MISTER DOG- NAVEGANTES - CONTA MARCA")</f>
        <v>MISTER DOG- NAVEGANTES - CONTA MARCA</v>
      </c>
      <c r="L3681" s="32">
        <f>IFERROR(__xludf.DUMMYFUNCTION("""COMPUTED_VALUE"""),3.0)</f>
        <v>3</v>
      </c>
      <c r="M3681" s="4" t="str">
        <f>IFERROR(__xludf.DUMMYFUNCTION("""COMPUTED_VALUE"""),"Saipos Serviços De Software")</f>
        <v>Saipos Serviços De Software</v>
      </c>
      <c r="N3681" s="33">
        <f>IFERROR(__xludf.DUMMYFUNCTION("""COMPUTED_VALUE"""),1.0)</f>
        <v>1</v>
      </c>
      <c r="O3681" s="4" t="str">
        <f>IFERROR(__xludf.DUMMYFUNCTION("""COMPUTED_VALUE"""),"Saipos Serviços De Software")</f>
        <v>Saipos Serviços De Software</v>
      </c>
      <c r="P3681" s="33">
        <f>IFERROR(__xludf.DUMMYFUNCTION("""COMPUTED_VALUE"""),1.0)</f>
        <v>1</v>
      </c>
      <c r="Q3681" s="4" t="str">
        <f>IFERROR(__xludf.DUMMYFUNCTION("""COMPUTED_VALUE"""),"Saipos Serviços De Software")</f>
        <v>Saipos Serviços De Software</v>
      </c>
      <c r="R3681" s="33">
        <f>IFERROR(__xludf.DUMMYFUNCTION("""COMPUTED_VALUE"""),1.0)</f>
        <v>1</v>
      </c>
      <c r="S3681" s="4" t="str">
        <f>IFERROR(__xludf.DUMMYFUNCTION("""COMPUTED_VALUE"""),"Saipos Serviços De Software")</f>
        <v>Saipos Serviços De Software</v>
      </c>
      <c r="T3681" s="33">
        <f>IFERROR(__xludf.DUMMYFUNCTION("""COMPUTED_VALUE"""),1.0)</f>
        <v>1</v>
      </c>
      <c r="U3681" s="4" t="str">
        <f>IFERROR(__xludf.DUMMYFUNCTION("""COMPUTED_VALUE"""),"Saipos Serviços De Software")</f>
        <v>Saipos Serviços De Software</v>
      </c>
      <c r="V3681" s="33">
        <f>IFERROR(__xludf.DUMMYFUNCTION("""COMPUTED_VALUE"""),1.0)</f>
        <v>1</v>
      </c>
      <c r="W3681" s="4" t="str">
        <f>IFERROR(__xludf.DUMMYFUNCTION("""COMPUTED_VALUE"""),"Saipos Serviços De Software")</f>
        <v>Saipos Serviços De Software</v>
      </c>
      <c r="X3681" s="33">
        <f>IFERROR(__xludf.DUMMYFUNCTION("""COMPUTED_VALUE"""),1.0)</f>
        <v>1</v>
      </c>
    </row>
    <row r="3682">
      <c r="K3682" s="4" t="str">
        <f>IFERROR(__xludf.DUMMYFUNCTION("""COMPUTED_VALUE"""),"MLG")</f>
        <v>MLG</v>
      </c>
      <c r="L3682" s="32">
        <f>IFERROR(__xludf.DUMMYFUNCTION("""COMPUTED_VALUE"""),3.0)</f>
        <v>3</v>
      </c>
      <c r="M3682" s="4" t="str">
        <f>IFERROR(__xludf.DUMMYFUNCTION("""COMPUTED_VALUE"""),"null")</f>
        <v>null</v>
      </c>
      <c r="N3682" s="33">
        <f>IFERROR(__xludf.DUMMYFUNCTION("""COMPUTED_VALUE"""),1.0)</f>
        <v>1</v>
      </c>
      <c r="O3682" s="4" t="str">
        <f>IFERROR(__xludf.DUMMYFUNCTION("""COMPUTED_VALUE"""),"null")</f>
        <v>null</v>
      </c>
      <c r="P3682" s="33">
        <f>IFERROR(__xludf.DUMMYFUNCTION("""COMPUTED_VALUE"""),1.0)</f>
        <v>1</v>
      </c>
      <c r="Q3682" s="4" t="str">
        <f>IFERROR(__xludf.DUMMYFUNCTION("""COMPUTED_VALUE"""),"Saipos Serviços De Software")</f>
        <v>Saipos Serviços De Software</v>
      </c>
      <c r="R3682" s="33">
        <f>IFERROR(__xludf.DUMMYFUNCTION("""COMPUTED_VALUE"""),1.0)</f>
        <v>1</v>
      </c>
      <c r="S3682" s="4" t="str">
        <f>IFERROR(__xludf.DUMMYFUNCTION("""COMPUTED_VALUE"""),"Saipos Serviços De Software")</f>
        <v>Saipos Serviços De Software</v>
      </c>
      <c r="T3682" s="33">
        <f>IFERROR(__xludf.DUMMYFUNCTION("""COMPUTED_VALUE"""),1.0)</f>
        <v>1</v>
      </c>
      <c r="U3682" s="4" t="str">
        <f>IFERROR(__xludf.DUMMYFUNCTION("""COMPUTED_VALUE"""),"Saipos Serviços De Software")</f>
        <v>Saipos Serviços De Software</v>
      </c>
      <c r="V3682" s="33">
        <f>IFERROR(__xludf.DUMMYFUNCTION("""COMPUTED_VALUE"""),1.0)</f>
        <v>1</v>
      </c>
      <c r="W3682" s="4" t="str">
        <f>IFERROR(__xludf.DUMMYFUNCTION("""COMPUTED_VALUE"""),"Saipos Serviços De Software")</f>
        <v>Saipos Serviços De Software</v>
      </c>
      <c r="X3682" s="33">
        <f>IFERROR(__xludf.DUMMYFUNCTION("""COMPUTED_VALUE"""),1.0)</f>
        <v>1</v>
      </c>
    </row>
    <row r="3683">
      <c r="K3683" s="4" t="str">
        <f>IFERROR(__xludf.DUMMYFUNCTION("""COMPUTED_VALUE"""),"MM PASTEIS E SALGADOS - CONTA MARCA")</f>
        <v>MM PASTEIS E SALGADOS - CONTA MARCA</v>
      </c>
      <c r="L3683" s="32">
        <f>IFERROR(__xludf.DUMMYFUNCTION("""COMPUTED_VALUE"""),3.0)</f>
        <v>3</v>
      </c>
      <c r="M3683" s="4" t="str">
        <f>IFERROR(__xludf.DUMMYFUNCTION("""COMPUTED_VALUE"""),"Vekttor")</f>
        <v>Vekttor</v>
      </c>
      <c r="N3683" s="33">
        <f>IFERROR(__xludf.DUMMYFUNCTION("""COMPUTED_VALUE"""),1.0)</f>
        <v>1</v>
      </c>
      <c r="O3683" s="4" t="str">
        <f>IFERROR(__xludf.DUMMYFUNCTION("""COMPUTED_VALUE"""),"Vekttor")</f>
        <v>Vekttor</v>
      </c>
      <c r="P3683" s="33">
        <f>IFERROR(__xludf.DUMMYFUNCTION("""COMPUTED_VALUE"""),0.6666666666666666)</f>
        <v>0.6666666667</v>
      </c>
      <c r="Q3683" s="4" t="str">
        <f>IFERROR(__xludf.DUMMYFUNCTION("""COMPUTED_VALUE"""),"null")</f>
        <v>null</v>
      </c>
      <c r="R3683" s="33">
        <f>IFERROR(__xludf.DUMMYFUNCTION("""COMPUTED_VALUE"""),1.0)</f>
        <v>1</v>
      </c>
      <c r="S3683" s="4" t="str">
        <f>IFERROR(__xludf.DUMMYFUNCTION("""COMPUTED_VALUE"""),"null")</f>
        <v>null</v>
      </c>
      <c r="T3683" s="33">
        <f>IFERROR(__xludf.DUMMYFUNCTION("""COMPUTED_VALUE"""),1.0)</f>
        <v>1</v>
      </c>
      <c r="U3683" s="4" t="str">
        <f>IFERROR(__xludf.DUMMYFUNCTION("""COMPUTED_VALUE"""),"null")</f>
        <v>null</v>
      </c>
      <c r="V3683" s="33">
        <f>IFERROR(__xludf.DUMMYFUNCTION("""COMPUTED_VALUE"""),1.0)</f>
        <v>1</v>
      </c>
      <c r="W3683" s="4" t="str">
        <f>IFERROR(__xludf.DUMMYFUNCTION("""COMPUTED_VALUE"""),"null")</f>
        <v>null</v>
      </c>
      <c r="X3683" s="33">
        <f>IFERROR(__xludf.DUMMYFUNCTION("""COMPUTED_VALUE"""),1.0)</f>
        <v>1</v>
      </c>
    </row>
    <row r="3684">
      <c r="K3684" s="4" t="str">
        <f>IFERROR(__xludf.DUMMYFUNCTION("""COMPUTED_VALUE"""),"MOCOTO")</f>
        <v>MOCOTO</v>
      </c>
      <c r="L3684" s="32">
        <f>IFERROR(__xludf.DUMMYFUNCTION("""COMPUTED_VALUE"""),3.0)</f>
        <v>3</v>
      </c>
      <c r="M3684" s="4" t="str">
        <f>IFERROR(__xludf.DUMMYFUNCTION("""COMPUTED_VALUE"""),"Ncr")</f>
        <v>Ncr</v>
      </c>
      <c r="N3684" s="33">
        <f>IFERROR(__xludf.DUMMYFUNCTION("""COMPUTED_VALUE"""),0.6666666666666666)</f>
        <v>0.6666666667</v>
      </c>
      <c r="O3684" s="4" t="str">
        <f>IFERROR(__xludf.DUMMYFUNCTION("""COMPUTED_VALUE"""),"Ncr")</f>
        <v>Ncr</v>
      </c>
      <c r="P3684" s="33">
        <f>IFERROR(__xludf.DUMMYFUNCTION("""COMPUTED_VALUE"""),0.6666666666666666)</f>
        <v>0.6666666667</v>
      </c>
      <c r="Q3684" s="4" t="str">
        <f>IFERROR(__xludf.DUMMYFUNCTION("""COMPUTED_VALUE"""),"Ncr")</f>
        <v>Ncr</v>
      </c>
      <c r="R3684" s="33">
        <f>IFERROR(__xludf.DUMMYFUNCTION("""COMPUTED_VALUE"""),0.6666666666666666)</f>
        <v>0.6666666667</v>
      </c>
      <c r="S3684" s="4" t="str">
        <f>IFERROR(__xludf.DUMMYFUNCTION("""COMPUTED_VALUE"""),"Ncr")</f>
        <v>Ncr</v>
      </c>
      <c r="T3684" s="33">
        <f>IFERROR(__xludf.DUMMYFUNCTION("""COMPUTED_VALUE"""),0.6666666666666666)</f>
        <v>0.6666666667</v>
      </c>
      <c r="U3684" s="4" t="str">
        <f>IFERROR(__xludf.DUMMYFUNCTION("""COMPUTED_VALUE"""),"Ncr")</f>
        <v>Ncr</v>
      </c>
      <c r="V3684" s="33">
        <f>IFERROR(__xludf.DUMMYFUNCTION("""COMPUTED_VALUE"""),0.6666666666666666)</f>
        <v>0.6666666667</v>
      </c>
      <c r="W3684" s="4" t="str">
        <f>IFERROR(__xludf.DUMMYFUNCTION("""COMPUTED_VALUE"""),"Ncr")</f>
        <v>Ncr</v>
      </c>
      <c r="X3684" s="33">
        <f>IFERROR(__xludf.DUMMYFUNCTION("""COMPUTED_VALUE"""),0.6666666666666666)</f>
        <v>0.6666666667</v>
      </c>
    </row>
    <row r="3685">
      <c r="K3685" s="4" t="str">
        <f>IFERROR(__xludf.DUMMYFUNCTION("""COMPUTED_VALUE"""),"MONEY MONEY - CUIABA")</f>
        <v>MONEY MONEY - CUIABA</v>
      </c>
      <c r="L3685" s="32">
        <f>IFERROR(__xludf.DUMMYFUNCTION("""COMPUTED_VALUE"""),3.0)</f>
        <v>3</v>
      </c>
      <c r="M3685" s="4" t="str">
        <f>IFERROR(__xludf.DUMMYFUNCTION("""COMPUTED_VALUE"""),"null")</f>
        <v>null</v>
      </c>
      <c r="N3685" s="33">
        <f>IFERROR(__xludf.DUMMYFUNCTION("""COMPUTED_VALUE"""),0.6666666666666666)</f>
        <v>0.6666666667</v>
      </c>
      <c r="O3685" s="4" t="str">
        <f>IFERROR(__xludf.DUMMYFUNCTION("""COMPUTED_VALUE"""),"null")</f>
        <v>null</v>
      </c>
      <c r="P3685" s="33">
        <f>IFERROR(__xludf.DUMMYFUNCTION("""COMPUTED_VALUE"""),0.6666666666666666)</f>
        <v>0.6666666667</v>
      </c>
      <c r="Q3685" s="4" t="str">
        <f>IFERROR(__xludf.DUMMYFUNCTION("""COMPUTED_VALUE"""),"Tacto Sistemas")</f>
        <v>Tacto Sistemas</v>
      </c>
      <c r="R3685" s="33">
        <f>IFERROR(__xludf.DUMMYFUNCTION("""COMPUTED_VALUE"""),1.0)</f>
        <v>1</v>
      </c>
      <c r="S3685" s="4" t="str">
        <f>IFERROR(__xludf.DUMMYFUNCTION("""COMPUTED_VALUE"""),"Tacto Sistemas")</f>
        <v>Tacto Sistemas</v>
      </c>
      <c r="T3685" s="33">
        <f>IFERROR(__xludf.DUMMYFUNCTION("""COMPUTED_VALUE"""),1.0)</f>
        <v>1</v>
      </c>
      <c r="U3685" s="4" t="str">
        <f>IFERROR(__xludf.DUMMYFUNCTION("""COMPUTED_VALUE"""),"Tacto Sistemas")</f>
        <v>Tacto Sistemas</v>
      </c>
      <c r="V3685" s="33">
        <f>IFERROR(__xludf.DUMMYFUNCTION("""COMPUTED_VALUE"""),1.0)</f>
        <v>1</v>
      </c>
      <c r="W3685" s="4" t="str">
        <f>IFERROR(__xludf.DUMMYFUNCTION("""COMPUTED_VALUE"""),"Tacto Sistemas")</f>
        <v>Tacto Sistemas</v>
      </c>
      <c r="X3685" s="33">
        <f>IFERROR(__xludf.DUMMYFUNCTION("""COMPUTED_VALUE"""),1.0)</f>
        <v>1</v>
      </c>
    </row>
    <row r="3686">
      <c r="K3686" s="4" t="str">
        <f>IFERROR(__xludf.DUMMYFUNCTION("""COMPUTED_VALUE"""),"MOOI MOOI")</f>
        <v>MOOI MOOI</v>
      </c>
      <c r="L3686" s="32">
        <f>IFERROR(__xludf.DUMMYFUNCTION("""COMPUTED_VALUE"""),3.0)</f>
        <v>3</v>
      </c>
      <c r="M3686" s="4" t="str">
        <f>IFERROR(__xludf.DUMMYFUNCTION("""COMPUTED_VALUE"""),"Stone Co.")</f>
        <v>Stone Co.</v>
      </c>
      <c r="N3686" s="33">
        <f>IFERROR(__xludf.DUMMYFUNCTION("""COMPUTED_VALUE"""),0.6666666666666666)</f>
        <v>0.6666666667</v>
      </c>
      <c r="O3686" s="4" t="str">
        <f>IFERROR(__xludf.DUMMYFUNCTION("""COMPUTED_VALUE"""),"Stone Co.")</f>
        <v>Stone Co.</v>
      </c>
      <c r="P3686" s="33">
        <f>IFERROR(__xludf.DUMMYFUNCTION("""COMPUTED_VALUE"""),0.6666666666666666)</f>
        <v>0.6666666667</v>
      </c>
      <c r="Q3686" s="4" t="str">
        <f>IFERROR(__xludf.DUMMYFUNCTION("""COMPUTED_VALUE"""),"Stone Co.")</f>
        <v>Stone Co.</v>
      </c>
      <c r="R3686" s="33">
        <f>IFERROR(__xludf.DUMMYFUNCTION("""COMPUTED_VALUE"""),0.6666666666666666)</f>
        <v>0.6666666667</v>
      </c>
      <c r="S3686" s="4" t="str">
        <f>IFERROR(__xludf.DUMMYFUNCTION("""COMPUTED_VALUE"""),"Stone Co.")</f>
        <v>Stone Co.</v>
      </c>
      <c r="T3686" s="33">
        <f>IFERROR(__xludf.DUMMYFUNCTION("""COMPUTED_VALUE"""),1.0)</f>
        <v>1</v>
      </c>
      <c r="U3686" s="4" t="str">
        <f>IFERROR(__xludf.DUMMYFUNCTION("""COMPUTED_VALUE"""),"Stone Co.")</f>
        <v>Stone Co.</v>
      </c>
      <c r="V3686" s="33">
        <f>IFERROR(__xludf.DUMMYFUNCTION("""COMPUTED_VALUE"""),1.0)</f>
        <v>1</v>
      </c>
      <c r="W3686" s="4" t="str">
        <f>IFERROR(__xludf.DUMMYFUNCTION("""COMPUTED_VALUE"""),"Stone Co.")</f>
        <v>Stone Co.</v>
      </c>
      <c r="X3686" s="33">
        <f>IFERROR(__xludf.DUMMYFUNCTION("""COMPUTED_VALUE"""),1.0)</f>
        <v>1</v>
      </c>
    </row>
    <row r="3687">
      <c r="K3687" s="4" t="str">
        <f>IFERROR(__xludf.DUMMYFUNCTION("""COMPUTED_VALUE"""),"MOONK PIZZARIA")</f>
        <v>MOONK PIZZARIA</v>
      </c>
      <c r="L3687" s="32">
        <f>IFERROR(__xludf.DUMMYFUNCTION("""COMPUTED_VALUE"""),3.0)</f>
        <v>3</v>
      </c>
      <c r="M3687" s="4" t="str">
        <f>IFERROR(__xludf.DUMMYFUNCTION("""COMPUTED_VALUE"""),"Latech Informatica Ltda")</f>
        <v>Latech Informatica Ltda</v>
      </c>
      <c r="N3687" s="33">
        <f>IFERROR(__xludf.DUMMYFUNCTION("""COMPUTED_VALUE"""),1.0)</f>
        <v>1</v>
      </c>
      <c r="O3687" s="4" t="str">
        <f>IFERROR(__xludf.DUMMYFUNCTION("""COMPUTED_VALUE"""),"Latech Informatica Ltda")</f>
        <v>Latech Informatica Ltda</v>
      </c>
      <c r="P3687" s="33">
        <f>IFERROR(__xludf.DUMMYFUNCTION("""COMPUTED_VALUE"""),1.0)</f>
        <v>1</v>
      </c>
      <c r="Q3687" s="4" t="str">
        <f>IFERROR(__xludf.DUMMYFUNCTION("""COMPUTED_VALUE"""),"Latech Informatica Ltda")</f>
        <v>Latech Informatica Ltda</v>
      </c>
      <c r="R3687" s="33">
        <f>IFERROR(__xludf.DUMMYFUNCTION("""COMPUTED_VALUE"""),1.0)</f>
        <v>1</v>
      </c>
      <c r="S3687" s="4" t="str">
        <f>IFERROR(__xludf.DUMMYFUNCTION("""COMPUTED_VALUE"""),"Latech Informatica Ltda")</f>
        <v>Latech Informatica Ltda</v>
      </c>
      <c r="T3687" s="33">
        <f>IFERROR(__xludf.DUMMYFUNCTION("""COMPUTED_VALUE"""),1.0)</f>
        <v>1</v>
      </c>
      <c r="U3687" s="4" t="str">
        <f>IFERROR(__xludf.DUMMYFUNCTION("""COMPUTED_VALUE"""),"Saipos Serviços De Software")</f>
        <v>Saipos Serviços De Software</v>
      </c>
      <c r="V3687" s="33">
        <f>IFERROR(__xludf.DUMMYFUNCTION("""COMPUTED_VALUE"""),0.6666666666666666)</f>
        <v>0.6666666667</v>
      </c>
      <c r="W3687" s="4" t="str">
        <f>IFERROR(__xludf.DUMMYFUNCTION("""COMPUTED_VALUE"""),"Saipos Serviços De Software")</f>
        <v>Saipos Serviços De Software</v>
      </c>
      <c r="X3687" s="33">
        <f>IFERROR(__xludf.DUMMYFUNCTION("""COMPUTED_VALUE"""),0.6666666666666666)</f>
        <v>0.6666666667</v>
      </c>
    </row>
    <row r="3688">
      <c r="K3688" s="4" t="str">
        <f>IFERROR(__xludf.DUMMYFUNCTION("""COMPUTED_VALUE"""),"MR JENS HAMBURGUERIA")</f>
        <v>MR JENS HAMBURGUERIA</v>
      </c>
      <c r="L3688" s="32">
        <f>IFERROR(__xludf.DUMMYFUNCTION("""COMPUTED_VALUE"""),3.0)</f>
        <v>3</v>
      </c>
      <c r="M3688" s="4" t="str">
        <f>IFERROR(__xludf.DUMMYFUNCTION("""COMPUTED_VALUE"""),"Saipos Serviços De Software")</f>
        <v>Saipos Serviços De Software</v>
      </c>
      <c r="N3688" s="33">
        <f>IFERROR(__xludf.DUMMYFUNCTION("""COMPUTED_VALUE"""),1.0)</f>
        <v>1</v>
      </c>
      <c r="O3688" s="4" t="str">
        <f>IFERROR(__xludf.DUMMYFUNCTION("""COMPUTED_VALUE"""),"Consumer Soluções Em Tecnologia Ltda")</f>
        <v>Consumer Soluções Em Tecnologia Ltda</v>
      </c>
      <c r="P3688" s="33">
        <f>IFERROR(__xludf.DUMMYFUNCTION("""COMPUTED_VALUE"""),1.0)</f>
        <v>1</v>
      </c>
      <c r="Q3688" s="4" t="str">
        <f>IFERROR(__xludf.DUMMYFUNCTION("""COMPUTED_VALUE"""),"Consumer Soluções Em Tecnologia Ltda")</f>
        <v>Consumer Soluções Em Tecnologia Ltda</v>
      </c>
      <c r="R3688" s="33">
        <f>IFERROR(__xludf.DUMMYFUNCTION("""COMPUTED_VALUE"""),1.0)</f>
        <v>1</v>
      </c>
      <c r="S3688" s="4" t="str">
        <f>IFERROR(__xludf.DUMMYFUNCTION("""COMPUTED_VALUE"""),"Consumer Soluções Em Tecnologia Ltda")</f>
        <v>Consumer Soluções Em Tecnologia Ltda</v>
      </c>
      <c r="T3688" s="33">
        <f>IFERROR(__xludf.DUMMYFUNCTION("""COMPUTED_VALUE"""),1.0)</f>
        <v>1</v>
      </c>
      <c r="U3688" s="4" t="str">
        <f>IFERROR(__xludf.DUMMYFUNCTION("""COMPUTED_VALUE"""),"Consumer Soluções Em Tecnologia Ltda")</f>
        <v>Consumer Soluções Em Tecnologia Ltda</v>
      </c>
      <c r="V3688" s="33">
        <f>IFERROR(__xludf.DUMMYFUNCTION("""COMPUTED_VALUE"""),1.0)</f>
        <v>1</v>
      </c>
      <c r="W3688" s="4" t="str">
        <f>IFERROR(__xludf.DUMMYFUNCTION("""COMPUTED_VALUE"""),"Consumer Soluções Em Tecnologia Ltda")</f>
        <v>Consumer Soluções Em Tecnologia Ltda</v>
      </c>
      <c r="X3688" s="33">
        <f>IFERROR(__xludf.DUMMYFUNCTION("""COMPUTED_VALUE"""),1.0)</f>
        <v>1</v>
      </c>
    </row>
    <row r="3689">
      <c r="K3689" s="4" t="str">
        <f>IFERROR(__xludf.DUMMYFUNCTION("""COMPUTED_VALUE"""),"MULTTT FARMA CENTER - CONTA MARCA")</f>
        <v>MULTTT FARMA CENTER - CONTA MARCA</v>
      </c>
      <c r="L3689" s="32">
        <f>IFERROR(__xludf.DUMMYFUNCTION("""COMPUTED_VALUE"""),3.0)</f>
        <v>3</v>
      </c>
      <c r="M3689" s="4" t="str">
        <f>IFERROR(__xludf.DUMMYFUNCTION("""COMPUTED_VALUE"""),"N/A (Not found)")</f>
        <v>N/A (Not found)</v>
      </c>
      <c r="N3689" s="33">
        <f>IFERROR(__xludf.DUMMYFUNCTION("""COMPUTED_VALUE"""),1.0)</f>
        <v>1</v>
      </c>
      <c r="O3689" s="4" t="str">
        <f>IFERROR(__xludf.DUMMYFUNCTION("""COMPUTED_VALUE"""),"N/A (Not found)")</f>
        <v>N/A (Not found)</v>
      </c>
      <c r="P3689" s="33">
        <f>IFERROR(__xludf.DUMMYFUNCTION("""COMPUTED_VALUE"""),1.0)</f>
        <v>1</v>
      </c>
      <c r="Q3689" s="4" t="str">
        <f>IFERROR(__xludf.DUMMYFUNCTION("""COMPUTED_VALUE"""),"N/A (Not found)")</f>
        <v>N/A (Not found)</v>
      </c>
      <c r="R3689" s="33">
        <f>IFERROR(__xludf.DUMMYFUNCTION("""COMPUTED_VALUE"""),1.0)</f>
        <v>1</v>
      </c>
      <c r="S3689" s="4" t="str">
        <f>IFERROR(__xludf.DUMMYFUNCTION("""COMPUTED_VALUE"""),"N/A (Not found)")</f>
        <v>N/A (Not found)</v>
      </c>
      <c r="T3689" s="33">
        <f>IFERROR(__xludf.DUMMYFUNCTION("""COMPUTED_VALUE"""),1.0)</f>
        <v>1</v>
      </c>
      <c r="U3689" s="4" t="str">
        <f>IFERROR(__xludf.DUMMYFUNCTION("""COMPUTED_VALUE"""),"N/A (Not found)")</f>
        <v>N/A (Not found)</v>
      </c>
      <c r="V3689" s="33">
        <f>IFERROR(__xludf.DUMMYFUNCTION("""COMPUTED_VALUE"""),1.0)</f>
        <v>1</v>
      </c>
      <c r="W3689" s="4" t="str">
        <f>IFERROR(__xludf.DUMMYFUNCTION("""COMPUTED_VALUE"""),"N/A (Not found)")</f>
        <v>N/A (Not found)</v>
      </c>
      <c r="X3689" s="33">
        <f>IFERROR(__xludf.DUMMYFUNCTION("""COMPUTED_VALUE"""),1.0)</f>
        <v>1</v>
      </c>
    </row>
    <row r="3690">
      <c r="K3690" s="4" t="str">
        <f>IFERROR(__xludf.DUMMYFUNCTION("""COMPUTED_VALUE"""),"MUQUECA BARAO GERALDO")</f>
        <v>MUQUECA BARAO GERALDO</v>
      </c>
      <c r="L3690" s="32">
        <f>IFERROR(__xludf.DUMMYFUNCTION("""COMPUTED_VALUE"""),3.0)</f>
        <v>3</v>
      </c>
      <c r="M3690" s="4" t="str">
        <f>IFERROR(__xludf.DUMMYFUNCTION("""COMPUTED_VALUE"""),"Saipos Serviços De Software")</f>
        <v>Saipos Serviços De Software</v>
      </c>
      <c r="N3690" s="33">
        <f>IFERROR(__xludf.DUMMYFUNCTION("""COMPUTED_VALUE"""),0.6666666666666666)</f>
        <v>0.6666666667</v>
      </c>
      <c r="O3690" s="4" t="str">
        <f>IFERROR(__xludf.DUMMYFUNCTION("""COMPUTED_VALUE"""),"Saipos Serviços De Software")</f>
        <v>Saipos Serviços De Software</v>
      </c>
      <c r="P3690" s="33">
        <f>IFERROR(__xludf.DUMMYFUNCTION("""COMPUTED_VALUE"""),0.6666666666666666)</f>
        <v>0.6666666667</v>
      </c>
      <c r="Q3690" s="4" t="str">
        <f>IFERROR(__xludf.DUMMYFUNCTION("""COMPUTED_VALUE"""),"Saipos Serviços De Software")</f>
        <v>Saipos Serviços De Software</v>
      </c>
      <c r="R3690" s="33">
        <f>IFERROR(__xludf.DUMMYFUNCTION("""COMPUTED_VALUE"""),0.6666666666666666)</f>
        <v>0.6666666667</v>
      </c>
      <c r="S3690" s="4" t="str">
        <f>IFERROR(__xludf.DUMMYFUNCTION("""COMPUTED_VALUE"""),"Saipos Serviços De Software")</f>
        <v>Saipos Serviços De Software</v>
      </c>
      <c r="T3690" s="33">
        <f>IFERROR(__xludf.DUMMYFUNCTION("""COMPUTED_VALUE"""),0.6666666666666666)</f>
        <v>0.6666666667</v>
      </c>
      <c r="U3690" s="4" t="str">
        <f>IFERROR(__xludf.DUMMYFUNCTION("""COMPUTED_VALUE"""),"Saipos Serviços De Software")</f>
        <v>Saipos Serviços De Software</v>
      </c>
      <c r="V3690" s="33">
        <f>IFERROR(__xludf.DUMMYFUNCTION("""COMPUTED_VALUE"""),0.6666666666666666)</f>
        <v>0.6666666667</v>
      </c>
      <c r="W3690" s="4" t="str">
        <f>IFERROR(__xludf.DUMMYFUNCTION("""COMPUTED_VALUE"""),"Saipos Serviços De Software")</f>
        <v>Saipos Serviços De Software</v>
      </c>
      <c r="X3690" s="33">
        <f>IFERROR(__xludf.DUMMYFUNCTION("""COMPUTED_VALUE"""),0.6666666666666666)</f>
        <v>0.6666666667</v>
      </c>
    </row>
    <row r="3691">
      <c r="K3691" s="4" t="str">
        <f>IFERROR(__xludf.DUMMYFUNCTION("""COMPUTED_VALUE"""),"NA VILLA PANQUECAS E PRATOS")</f>
        <v>NA VILLA PANQUECAS E PRATOS</v>
      </c>
      <c r="L3691" s="32">
        <f>IFERROR(__xludf.DUMMYFUNCTION("""COMPUTED_VALUE"""),3.0)</f>
        <v>3</v>
      </c>
      <c r="M3691" s="4" t="str">
        <f>IFERROR(__xludf.DUMMYFUNCTION("""COMPUTED_VALUE"""),"Saipos Serviços De Software")</f>
        <v>Saipos Serviços De Software</v>
      </c>
      <c r="N3691" s="33">
        <f>IFERROR(__xludf.DUMMYFUNCTION("""COMPUTED_VALUE"""),1.0)</f>
        <v>1</v>
      </c>
      <c r="O3691" s="4" t="str">
        <f>IFERROR(__xludf.DUMMYFUNCTION("""COMPUTED_VALUE"""),"Saipos Serviços De Software")</f>
        <v>Saipos Serviços De Software</v>
      </c>
      <c r="P3691" s="33">
        <f>IFERROR(__xludf.DUMMYFUNCTION("""COMPUTED_VALUE"""),1.0)</f>
        <v>1</v>
      </c>
      <c r="Q3691" s="4" t="str">
        <f>IFERROR(__xludf.DUMMYFUNCTION("""COMPUTED_VALUE"""),"Saipos Serviços De Software")</f>
        <v>Saipos Serviços De Software</v>
      </c>
      <c r="R3691" s="33">
        <f>IFERROR(__xludf.DUMMYFUNCTION("""COMPUTED_VALUE"""),1.0)</f>
        <v>1</v>
      </c>
      <c r="S3691" s="4" t="str">
        <f>IFERROR(__xludf.DUMMYFUNCTION("""COMPUTED_VALUE"""),"Saipos Serviços De Software")</f>
        <v>Saipos Serviços De Software</v>
      </c>
      <c r="T3691" s="33">
        <f>IFERROR(__xludf.DUMMYFUNCTION("""COMPUTED_VALUE"""),1.0)</f>
        <v>1</v>
      </c>
      <c r="U3691" s="4" t="str">
        <f>IFERROR(__xludf.DUMMYFUNCTION("""COMPUTED_VALUE"""),"Saipos Serviços De Software")</f>
        <v>Saipos Serviços De Software</v>
      </c>
      <c r="V3691" s="33">
        <f>IFERROR(__xludf.DUMMYFUNCTION("""COMPUTED_VALUE"""),1.0)</f>
        <v>1</v>
      </c>
      <c r="W3691" s="4" t="str">
        <f>IFERROR(__xludf.DUMMYFUNCTION("""COMPUTED_VALUE"""),"Saipos Serviços De Software")</f>
        <v>Saipos Serviços De Software</v>
      </c>
      <c r="X3691" s="33">
        <f>IFERROR(__xludf.DUMMYFUNCTION("""COMPUTED_VALUE"""),1.0)</f>
        <v>1</v>
      </c>
    </row>
    <row r="3692">
      <c r="K3692" s="4" t="str">
        <f>IFERROR(__xludf.DUMMYFUNCTION("""COMPUTED_VALUE"""),"NAHRUNG - CONTA MARCA")</f>
        <v>NAHRUNG - CONTA MARCA</v>
      </c>
      <c r="L3692" s="32">
        <f>IFERROR(__xludf.DUMMYFUNCTION("""COMPUTED_VALUE"""),3.0)</f>
        <v>3</v>
      </c>
      <c r="M3692" s="4" t="str">
        <f>IFERROR(__xludf.DUMMYFUNCTION("""COMPUTED_VALUE"""),"Anota Ai Solucoes Digitais S/a")</f>
        <v>Anota Ai Solucoes Digitais S/a</v>
      </c>
      <c r="N3692" s="33">
        <f>IFERROR(__xludf.DUMMYFUNCTION("""COMPUTED_VALUE"""),0.6666666666666666)</f>
        <v>0.6666666667</v>
      </c>
      <c r="O3692" s="4" t="str">
        <f>IFERROR(__xludf.DUMMYFUNCTION("""COMPUTED_VALUE"""),"Anota Ai Solucoes Digitais S/a")</f>
        <v>Anota Ai Solucoes Digitais S/a</v>
      </c>
      <c r="P3692" s="33">
        <f>IFERROR(__xludf.DUMMYFUNCTION("""COMPUTED_VALUE"""),1.0)</f>
        <v>1</v>
      </c>
      <c r="Q3692" s="4" t="str">
        <f>IFERROR(__xludf.DUMMYFUNCTION("""COMPUTED_VALUE"""),"Anota Ai Solucoes Digitais S/a")</f>
        <v>Anota Ai Solucoes Digitais S/a</v>
      </c>
      <c r="R3692" s="33">
        <f>IFERROR(__xludf.DUMMYFUNCTION("""COMPUTED_VALUE"""),1.0)</f>
        <v>1</v>
      </c>
      <c r="S3692" s="4" t="str">
        <f>IFERROR(__xludf.DUMMYFUNCTION("""COMPUTED_VALUE"""),"Anota Ai Solucoes Digitais S/a")</f>
        <v>Anota Ai Solucoes Digitais S/a</v>
      </c>
      <c r="T3692" s="33">
        <f>IFERROR(__xludf.DUMMYFUNCTION("""COMPUTED_VALUE"""),1.0)</f>
        <v>1</v>
      </c>
      <c r="U3692" s="4" t="str">
        <f>IFERROR(__xludf.DUMMYFUNCTION("""COMPUTED_VALUE"""),"Anota Ai Solucoes Digitais S/a")</f>
        <v>Anota Ai Solucoes Digitais S/a</v>
      </c>
      <c r="V3692" s="33">
        <f>IFERROR(__xludf.DUMMYFUNCTION("""COMPUTED_VALUE"""),1.0)</f>
        <v>1</v>
      </c>
      <c r="W3692" s="4" t="str">
        <f>IFERROR(__xludf.DUMMYFUNCTION("""COMPUTED_VALUE"""),"Anota Ai Solucoes Digitais S/a")</f>
        <v>Anota Ai Solucoes Digitais S/a</v>
      </c>
      <c r="X3692" s="33">
        <f>IFERROR(__xludf.DUMMYFUNCTION("""COMPUTED_VALUE"""),0.6666666666666666)</f>
        <v>0.6666666667</v>
      </c>
    </row>
    <row r="3693">
      <c r="K3693" s="4" t="str">
        <f>IFERROR(__xludf.DUMMYFUNCTION("""COMPUTED_VALUE"""),"NARA SUSHI")</f>
        <v>NARA SUSHI</v>
      </c>
      <c r="L3693" s="32">
        <f>IFERROR(__xludf.DUMMYFUNCTION("""COMPUTED_VALUE"""),3.0)</f>
        <v>3</v>
      </c>
      <c r="M3693" s="4" t="str">
        <f>IFERROR(__xludf.DUMMYFUNCTION("""COMPUTED_VALUE"""),"Cardápio Web")</f>
        <v>Cardápio Web</v>
      </c>
      <c r="N3693" s="33">
        <f>IFERROR(__xludf.DUMMYFUNCTION("""COMPUTED_VALUE"""),1.0)</f>
        <v>1</v>
      </c>
      <c r="O3693" s="4" t="str">
        <f>IFERROR(__xludf.DUMMYFUNCTION("""COMPUTED_VALUE"""),"Cardápio Web")</f>
        <v>Cardápio Web</v>
      </c>
      <c r="P3693" s="33">
        <f>IFERROR(__xludf.DUMMYFUNCTION("""COMPUTED_VALUE"""),1.0)</f>
        <v>1</v>
      </c>
      <c r="Q3693" s="4" t="str">
        <f>IFERROR(__xludf.DUMMYFUNCTION("""COMPUTED_VALUE"""),"null")</f>
        <v>null</v>
      </c>
      <c r="R3693" s="33">
        <f>IFERROR(__xludf.DUMMYFUNCTION("""COMPUTED_VALUE"""),1.0)</f>
        <v>1</v>
      </c>
      <c r="S3693" s="4" t="str">
        <f>IFERROR(__xludf.DUMMYFUNCTION("""COMPUTED_VALUE"""),"null")</f>
        <v>null</v>
      </c>
      <c r="T3693" s="33">
        <f>IFERROR(__xludf.DUMMYFUNCTION("""COMPUTED_VALUE"""),1.0)</f>
        <v>1</v>
      </c>
      <c r="U3693" s="4" t="str">
        <f>IFERROR(__xludf.DUMMYFUNCTION("""COMPUTED_VALUE"""),"null")</f>
        <v>null</v>
      </c>
      <c r="V3693" s="33">
        <f>IFERROR(__xludf.DUMMYFUNCTION("""COMPUTED_VALUE"""),1.0)</f>
        <v>1</v>
      </c>
      <c r="W3693" s="4" t="str">
        <f>IFERROR(__xludf.DUMMYFUNCTION("""COMPUTED_VALUE"""),"null")</f>
        <v>null</v>
      </c>
      <c r="X3693" s="33">
        <f>IFERROR(__xludf.DUMMYFUNCTION("""COMPUTED_VALUE"""),1.0)</f>
        <v>1</v>
      </c>
    </row>
    <row r="3694">
      <c r="K3694" s="4" t="str">
        <f>IFERROR(__xludf.DUMMYFUNCTION("""COMPUTED_VALUE"""),"NASSER ESFIHA")</f>
        <v>NASSER ESFIHA</v>
      </c>
      <c r="L3694" s="32">
        <f>IFERROR(__xludf.DUMMYFUNCTION("""COMPUTED_VALUE"""),3.0)</f>
        <v>3</v>
      </c>
      <c r="M3694" s="4" t="str">
        <f>IFERROR(__xludf.DUMMYFUNCTION("""COMPUTED_VALUE"""),"Mp Multipedidos")</f>
        <v>Mp Multipedidos</v>
      </c>
      <c r="N3694" s="33">
        <f>IFERROR(__xludf.DUMMYFUNCTION("""COMPUTED_VALUE"""),1.0)</f>
        <v>1</v>
      </c>
      <c r="O3694" s="4" t="str">
        <f>IFERROR(__xludf.DUMMYFUNCTION("""COMPUTED_VALUE"""),"Mp Multipedidos")</f>
        <v>Mp Multipedidos</v>
      </c>
      <c r="P3694" s="33">
        <f>IFERROR(__xludf.DUMMYFUNCTION("""COMPUTED_VALUE"""),1.0)</f>
        <v>1</v>
      </c>
      <c r="Q3694" s="4" t="str">
        <f>IFERROR(__xludf.DUMMYFUNCTION("""COMPUTED_VALUE"""),"Mp Multipedidos")</f>
        <v>Mp Multipedidos</v>
      </c>
      <c r="R3694" s="33">
        <f>IFERROR(__xludf.DUMMYFUNCTION("""COMPUTED_VALUE"""),1.0)</f>
        <v>1</v>
      </c>
      <c r="S3694" s="4" t="str">
        <f>IFERROR(__xludf.DUMMYFUNCTION("""COMPUTED_VALUE"""),"Mp Multipedidos")</f>
        <v>Mp Multipedidos</v>
      </c>
      <c r="T3694" s="33">
        <f>IFERROR(__xludf.DUMMYFUNCTION("""COMPUTED_VALUE"""),1.0)</f>
        <v>1</v>
      </c>
      <c r="U3694" s="4" t="str">
        <f>IFERROR(__xludf.DUMMYFUNCTION("""COMPUTED_VALUE"""),"Mp Multipedidos")</f>
        <v>Mp Multipedidos</v>
      </c>
      <c r="V3694" s="33">
        <f>IFERROR(__xludf.DUMMYFUNCTION("""COMPUTED_VALUE"""),1.0)</f>
        <v>1</v>
      </c>
      <c r="W3694" s="4" t="str">
        <f>IFERROR(__xludf.DUMMYFUNCTION("""COMPUTED_VALUE"""),"Mp Multipedidos")</f>
        <v>Mp Multipedidos</v>
      </c>
      <c r="X3694" s="33">
        <f>IFERROR(__xludf.DUMMYFUNCTION("""COMPUTED_VALUE"""),1.0)</f>
        <v>1</v>
      </c>
    </row>
    <row r="3695">
      <c r="K3695" s="4" t="str">
        <f>IFERROR(__xludf.DUMMYFUNCTION("""COMPUTED_VALUE"""),"NEKOSUSHI_BAR -")</f>
        <v>NEKOSUSHI_BAR -</v>
      </c>
      <c r="L3695" s="32">
        <f>IFERROR(__xludf.DUMMYFUNCTION("""COMPUTED_VALUE"""),3.0)</f>
        <v>3</v>
      </c>
      <c r="M3695" s="4" t="str">
        <f>IFERROR(__xludf.DUMMYFUNCTION("""COMPUTED_VALUE"""),"Saipos Serviços De Software")</f>
        <v>Saipos Serviços De Software</v>
      </c>
      <c r="N3695" s="33">
        <f>IFERROR(__xludf.DUMMYFUNCTION("""COMPUTED_VALUE"""),1.0)</f>
        <v>1</v>
      </c>
      <c r="O3695" s="4" t="str">
        <f>IFERROR(__xludf.DUMMYFUNCTION("""COMPUTED_VALUE"""),"null")</f>
        <v>null</v>
      </c>
      <c r="P3695" s="33">
        <f>IFERROR(__xludf.DUMMYFUNCTION("""COMPUTED_VALUE"""),1.0)</f>
        <v>1</v>
      </c>
      <c r="Q3695" s="4" t="str">
        <f>IFERROR(__xludf.DUMMYFUNCTION("""COMPUTED_VALUE"""),"null")</f>
        <v>null</v>
      </c>
      <c r="R3695" s="33">
        <f>IFERROR(__xludf.DUMMYFUNCTION("""COMPUTED_VALUE"""),1.0)</f>
        <v>1</v>
      </c>
      <c r="S3695" s="4" t="str">
        <f>IFERROR(__xludf.DUMMYFUNCTION("""COMPUTED_VALUE"""),"null")</f>
        <v>null</v>
      </c>
      <c r="T3695" s="33">
        <f>IFERROR(__xludf.DUMMYFUNCTION("""COMPUTED_VALUE"""),1.0)</f>
        <v>1</v>
      </c>
      <c r="U3695" s="4" t="str">
        <f>IFERROR(__xludf.DUMMYFUNCTION("""COMPUTED_VALUE"""),"null")</f>
        <v>null</v>
      </c>
      <c r="V3695" s="33">
        <f>IFERROR(__xludf.DUMMYFUNCTION("""COMPUTED_VALUE"""),1.0)</f>
        <v>1</v>
      </c>
      <c r="W3695" s="4" t="str">
        <f>IFERROR(__xludf.DUMMYFUNCTION("""COMPUTED_VALUE"""),"null")</f>
        <v>null</v>
      </c>
      <c r="X3695" s="33">
        <f>IFERROR(__xludf.DUMMYFUNCTION("""COMPUTED_VALUE"""),1.0)</f>
        <v>1</v>
      </c>
    </row>
    <row r="3696">
      <c r="K3696" s="4" t="str">
        <f>IFERROR(__xludf.DUMMYFUNCTION("""COMPUTED_VALUE"""),"NERI LANCHES")</f>
        <v>NERI LANCHES</v>
      </c>
      <c r="L3696" s="32">
        <f>IFERROR(__xludf.DUMMYFUNCTION("""COMPUTED_VALUE"""),3.0)</f>
        <v>3</v>
      </c>
      <c r="M3696" s="4" t="str">
        <f>IFERROR(__xludf.DUMMYFUNCTION("""COMPUTED_VALUE"""),"Saipos Serviços De Software")</f>
        <v>Saipos Serviços De Software</v>
      </c>
      <c r="N3696" s="33">
        <f>IFERROR(__xludf.DUMMYFUNCTION("""COMPUTED_VALUE"""),1.0)</f>
        <v>1</v>
      </c>
      <c r="O3696" s="4" t="str">
        <f>IFERROR(__xludf.DUMMYFUNCTION("""COMPUTED_VALUE"""),"Saipos Serviços De Software")</f>
        <v>Saipos Serviços De Software</v>
      </c>
      <c r="P3696" s="33">
        <f>IFERROR(__xludf.DUMMYFUNCTION("""COMPUTED_VALUE"""),1.0)</f>
        <v>1</v>
      </c>
      <c r="Q3696" s="4" t="str">
        <f>IFERROR(__xludf.DUMMYFUNCTION("""COMPUTED_VALUE"""),"Saipos Serviços De Software")</f>
        <v>Saipos Serviços De Software</v>
      </c>
      <c r="R3696" s="33">
        <f>IFERROR(__xludf.DUMMYFUNCTION("""COMPUTED_VALUE"""),1.0)</f>
        <v>1</v>
      </c>
      <c r="S3696" s="4" t="str">
        <f>IFERROR(__xludf.DUMMYFUNCTION("""COMPUTED_VALUE"""),"Saipos Serviços De Software")</f>
        <v>Saipos Serviços De Software</v>
      </c>
      <c r="T3696" s="33">
        <f>IFERROR(__xludf.DUMMYFUNCTION("""COMPUTED_VALUE"""),1.0)</f>
        <v>1</v>
      </c>
      <c r="U3696" s="4" t="str">
        <f>IFERROR(__xludf.DUMMYFUNCTION("""COMPUTED_VALUE"""),"Saipos Serviços De Software")</f>
        <v>Saipos Serviços De Software</v>
      </c>
      <c r="V3696" s="33">
        <f>IFERROR(__xludf.DUMMYFUNCTION("""COMPUTED_VALUE"""),1.0)</f>
        <v>1</v>
      </c>
      <c r="W3696" s="4" t="str">
        <f>IFERROR(__xludf.DUMMYFUNCTION("""COMPUTED_VALUE"""),"Saipos Serviços De Software")</f>
        <v>Saipos Serviços De Software</v>
      </c>
      <c r="X3696" s="33">
        <f>IFERROR(__xludf.DUMMYFUNCTION("""COMPUTED_VALUE"""),1.0)</f>
        <v>1</v>
      </c>
    </row>
    <row r="3697">
      <c r="K3697" s="4" t="str">
        <f>IFERROR(__xludf.DUMMYFUNCTION("""COMPUTED_VALUE"""),"NEW FABULOSO BURGER")</f>
        <v>NEW FABULOSO BURGER</v>
      </c>
      <c r="L3697" s="32">
        <f>IFERROR(__xludf.DUMMYFUNCTION("""COMPUTED_VALUE"""),3.0)</f>
        <v>3</v>
      </c>
      <c r="M3697" s="4" t="str">
        <f>IFERROR(__xludf.DUMMYFUNCTION("""COMPUTED_VALUE"""),"Menew - Linx")</f>
        <v>Menew - Linx</v>
      </c>
      <c r="N3697" s="33">
        <f>IFERROR(__xludf.DUMMYFUNCTION("""COMPUTED_VALUE"""),1.0)</f>
        <v>1</v>
      </c>
      <c r="O3697" s="4" t="str">
        <f>IFERROR(__xludf.DUMMYFUNCTION("""COMPUTED_VALUE"""),"Menew - Linx")</f>
        <v>Menew - Linx</v>
      </c>
      <c r="P3697" s="33">
        <f>IFERROR(__xludf.DUMMYFUNCTION("""COMPUTED_VALUE"""),1.0)</f>
        <v>1</v>
      </c>
      <c r="Q3697" s="4" t="str">
        <f>IFERROR(__xludf.DUMMYFUNCTION("""COMPUTED_VALUE"""),"Menew - Linx")</f>
        <v>Menew - Linx</v>
      </c>
      <c r="R3697" s="33">
        <f>IFERROR(__xludf.DUMMYFUNCTION("""COMPUTED_VALUE"""),1.0)</f>
        <v>1</v>
      </c>
      <c r="S3697" s="4" t="str">
        <f>IFERROR(__xludf.DUMMYFUNCTION("""COMPUTED_VALUE"""),"Menew - Linx")</f>
        <v>Menew - Linx</v>
      </c>
      <c r="T3697" s="33">
        <f>IFERROR(__xludf.DUMMYFUNCTION("""COMPUTED_VALUE"""),1.0)</f>
        <v>1</v>
      </c>
      <c r="U3697" s="4" t="str">
        <f>IFERROR(__xludf.DUMMYFUNCTION("""COMPUTED_VALUE"""),"Menew - Linx")</f>
        <v>Menew - Linx</v>
      </c>
      <c r="V3697" s="33">
        <f>IFERROR(__xludf.DUMMYFUNCTION("""COMPUTED_VALUE"""),1.0)</f>
        <v>1</v>
      </c>
      <c r="W3697" s="4" t="str">
        <f>IFERROR(__xludf.DUMMYFUNCTION("""COMPUTED_VALUE"""),"Menew - Linx")</f>
        <v>Menew - Linx</v>
      </c>
      <c r="X3697" s="33">
        <f>IFERROR(__xludf.DUMMYFUNCTION("""COMPUTED_VALUE"""),1.0)</f>
        <v>1</v>
      </c>
    </row>
    <row r="3698">
      <c r="K3698" s="4" t="str">
        <f>IFERROR(__xludf.DUMMYFUNCTION("""COMPUTED_VALUE"""),"NEW VINTAGES PIZZAS")</f>
        <v>NEW VINTAGES PIZZAS</v>
      </c>
      <c r="L3698" s="32">
        <f>IFERROR(__xludf.DUMMYFUNCTION("""COMPUTED_VALUE"""),3.0)</f>
        <v>3</v>
      </c>
      <c r="M3698" s="4" t="str">
        <f>IFERROR(__xludf.DUMMYFUNCTION("""COMPUTED_VALUE"""),"Anove Tecnologia")</f>
        <v>Anove Tecnologia</v>
      </c>
      <c r="N3698" s="33">
        <f>IFERROR(__xludf.DUMMYFUNCTION("""COMPUTED_VALUE"""),0.6666666666666666)</f>
        <v>0.6666666667</v>
      </c>
      <c r="O3698" s="4" t="str">
        <f>IFERROR(__xludf.DUMMYFUNCTION("""COMPUTED_VALUE"""),"Anove Tecnologia")</f>
        <v>Anove Tecnologia</v>
      </c>
      <c r="P3698" s="33">
        <f>IFERROR(__xludf.DUMMYFUNCTION("""COMPUTED_VALUE"""),0.6666666666666666)</f>
        <v>0.6666666667</v>
      </c>
      <c r="Q3698" s="4" t="str">
        <f>IFERROR(__xludf.DUMMYFUNCTION("""COMPUTED_VALUE"""),"Anove Tecnologia")</f>
        <v>Anove Tecnologia</v>
      </c>
      <c r="R3698" s="33">
        <f>IFERROR(__xludf.DUMMYFUNCTION("""COMPUTED_VALUE"""),0.6666666666666666)</f>
        <v>0.6666666667</v>
      </c>
      <c r="S3698" s="4" t="str">
        <f>IFERROR(__xludf.DUMMYFUNCTION("""COMPUTED_VALUE"""),"Anove Tecnologia")</f>
        <v>Anove Tecnologia</v>
      </c>
      <c r="T3698" s="33">
        <f>IFERROR(__xludf.DUMMYFUNCTION("""COMPUTED_VALUE"""),0.6666666666666666)</f>
        <v>0.6666666667</v>
      </c>
      <c r="U3698" s="4" t="str">
        <f>IFERROR(__xludf.DUMMYFUNCTION("""COMPUTED_VALUE"""),"Anove Tecnologia")</f>
        <v>Anove Tecnologia</v>
      </c>
      <c r="V3698" s="33">
        <f>IFERROR(__xludf.DUMMYFUNCTION("""COMPUTED_VALUE"""),0.3333333333333333)</f>
        <v>0.3333333333</v>
      </c>
      <c r="W3698" s="4" t="str">
        <f>IFERROR(__xludf.DUMMYFUNCTION("""COMPUTED_VALUE"""),"null")</f>
        <v>null</v>
      </c>
      <c r="X3698" s="33">
        <f>IFERROR(__xludf.DUMMYFUNCTION("""COMPUTED_VALUE"""),0.3333333333333333)</f>
        <v>0.3333333333</v>
      </c>
    </row>
    <row r="3699">
      <c r="K3699" s="4" t="str">
        <f>IFERROR(__xludf.DUMMYFUNCTION("""COMPUTED_VALUE"""),"NIPO SUSHI")</f>
        <v>NIPO SUSHI</v>
      </c>
      <c r="L3699" s="32">
        <f>IFERROR(__xludf.DUMMYFUNCTION("""COMPUTED_VALUE"""),3.0)</f>
        <v>3</v>
      </c>
      <c r="M3699" s="4" t="str">
        <f>IFERROR(__xludf.DUMMYFUNCTION("""COMPUTED_VALUE"""),"Jaxtech")</f>
        <v>Jaxtech</v>
      </c>
      <c r="N3699" s="33">
        <f>IFERROR(__xludf.DUMMYFUNCTION("""COMPUTED_VALUE"""),0.6666666666666666)</f>
        <v>0.6666666667</v>
      </c>
      <c r="O3699" s="4" t="str">
        <f>IFERROR(__xludf.DUMMYFUNCTION("""COMPUTED_VALUE"""),"null")</f>
        <v>null</v>
      </c>
      <c r="P3699" s="33">
        <f>IFERROR(__xludf.DUMMYFUNCTION("""COMPUTED_VALUE"""),0.6666666666666666)</f>
        <v>0.6666666667</v>
      </c>
      <c r="Q3699" s="4" t="str">
        <f>IFERROR(__xludf.DUMMYFUNCTION("""COMPUTED_VALUE"""),"null")</f>
        <v>null</v>
      </c>
      <c r="R3699" s="33">
        <f>IFERROR(__xludf.DUMMYFUNCTION("""COMPUTED_VALUE"""),0.6666666666666666)</f>
        <v>0.6666666667</v>
      </c>
      <c r="S3699" s="4" t="str">
        <f>IFERROR(__xludf.DUMMYFUNCTION("""COMPUTED_VALUE"""),"Jaxtech")</f>
        <v>Jaxtech</v>
      </c>
      <c r="T3699" s="33">
        <f>IFERROR(__xludf.DUMMYFUNCTION("""COMPUTED_VALUE"""),0.6666666666666666)</f>
        <v>0.6666666667</v>
      </c>
      <c r="U3699" s="4" t="str">
        <f>IFERROR(__xludf.DUMMYFUNCTION("""COMPUTED_VALUE"""),"Jaxtech")</f>
        <v>Jaxtech</v>
      </c>
      <c r="V3699" s="33">
        <f>IFERROR(__xludf.DUMMYFUNCTION("""COMPUTED_VALUE"""),1.0)</f>
        <v>1</v>
      </c>
      <c r="W3699" s="4" t="str">
        <f>IFERROR(__xludf.DUMMYFUNCTION("""COMPUTED_VALUE"""),"Jaxtech")</f>
        <v>Jaxtech</v>
      </c>
      <c r="X3699" s="33">
        <f>IFERROR(__xludf.DUMMYFUNCTION("""COMPUTED_VALUE"""),0.6666666666666666)</f>
        <v>0.6666666667</v>
      </c>
    </row>
    <row r="3700">
      <c r="K3700" s="4" t="str">
        <f>IFERROR(__xludf.DUMMYFUNCTION("""COMPUTED_VALUE"""),"NONA PIZZA")</f>
        <v>NONA PIZZA</v>
      </c>
      <c r="L3700" s="32">
        <f>IFERROR(__xludf.DUMMYFUNCTION("""COMPUTED_VALUE"""),3.0)</f>
        <v>3</v>
      </c>
      <c r="M3700" s="4" t="str">
        <f>IFERROR(__xludf.DUMMYFUNCTION("""COMPUTED_VALUE"""),"null")</f>
        <v>null</v>
      </c>
      <c r="N3700" s="33">
        <f>IFERROR(__xludf.DUMMYFUNCTION("""COMPUTED_VALUE"""),0.3333333333333333)</f>
        <v>0.3333333333</v>
      </c>
      <c r="O3700" s="4" t="str">
        <f>IFERROR(__xludf.DUMMYFUNCTION("""COMPUTED_VALUE"""),"null")</f>
        <v>null</v>
      </c>
      <c r="P3700" s="33">
        <f>IFERROR(__xludf.DUMMYFUNCTION("""COMPUTED_VALUE"""),0.3333333333333333)</f>
        <v>0.3333333333</v>
      </c>
      <c r="Q3700" s="4" t="str">
        <f>IFERROR(__xludf.DUMMYFUNCTION("""COMPUTED_VALUE"""),"null")</f>
        <v>null</v>
      </c>
      <c r="R3700" s="33">
        <f>IFERROR(__xludf.DUMMYFUNCTION("""COMPUTED_VALUE"""),0.3333333333333333)</f>
        <v>0.3333333333</v>
      </c>
      <c r="S3700" s="4" t="str">
        <f>IFERROR(__xludf.DUMMYFUNCTION("""COMPUTED_VALUE"""),"null")</f>
        <v>null</v>
      </c>
      <c r="T3700" s="33">
        <f>IFERROR(__xludf.DUMMYFUNCTION("""COMPUTED_VALUE"""),0.3333333333333333)</f>
        <v>0.3333333333</v>
      </c>
      <c r="U3700" s="4" t="str">
        <f>IFERROR(__xludf.DUMMYFUNCTION("""COMPUTED_VALUE"""),"Garcom Web")</f>
        <v>Garcom Web</v>
      </c>
      <c r="V3700" s="33">
        <f>IFERROR(__xludf.DUMMYFUNCTION("""COMPUTED_VALUE"""),0.6666666666666666)</f>
        <v>0.6666666667</v>
      </c>
      <c r="W3700" s="4" t="str">
        <f>IFERROR(__xludf.DUMMYFUNCTION("""COMPUTED_VALUE"""),"null")</f>
        <v>null</v>
      </c>
      <c r="X3700" s="33">
        <f>IFERROR(__xludf.DUMMYFUNCTION("""COMPUTED_VALUE"""),0.3333333333333333)</f>
        <v>0.3333333333</v>
      </c>
    </row>
    <row r="3701">
      <c r="K3701" s="4" t="str">
        <f>IFERROR(__xludf.DUMMYFUNCTION("""COMPUTED_VALUE"""),"NOSSA CARNE")</f>
        <v>NOSSA CARNE</v>
      </c>
      <c r="L3701" s="32">
        <f>IFERROR(__xludf.DUMMYFUNCTION("""COMPUTED_VALUE"""),3.0)</f>
        <v>3</v>
      </c>
      <c r="M3701" s="4" t="str">
        <f>IFERROR(__xludf.DUMMYFUNCTION("""COMPUTED_VALUE"""),"Ncr")</f>
        <v>Ncr</v>
      </c>
      <c r="N3701" s="33">
        <f>IFERROR(__xludf.DUMMYFUNCTION("""COMPUTED_VALUE"""),0.6666666666666666)</f>
        <v>0.6666666667</v>
      </c>
      <c r="O3701" s="4" t="str">
        <f>IFERROR(__xludf.DUMMYFUNCTION("""COMPUTED_VALUE"""),"Ncr")</f>
        <v>Ncr</v>
      </c>
      <c r="P3701" s="33">
        <f>IFERROR(__xludf.DUMMYFUNCTION("""COMPUTED_VALUE"""),1.0)</f>
        <v>1</v>
      </c>
      <c r="Q3701" s="4" t="str">
        <f>IFERROR(__xludf.DUMMYFUNCTION("""COMPUTED_VALUE"""),"Ncr")</f>
        <v>Ncr</v>
      </c>
      <c r="R3701" s="33">
        <f>IFERROR(__xludf.DUMMYFUNCTION("""COMPUTED_VALUE"""),1.0)</f>
        <v>1</v>
      </c>
      <c r="S3701" s="4" t="str">
        <f>IFERROR(__xludf.DUMMYFUNCTION("""COMPUTED_VALUE"""),"Ncr")</f>
        <v>Ncr</v>
      </c>
      <c r="T3701" s="33">
        <f>IFERROR(__xludf.DUMMYFUNCTION("""COMPUTED_VALUE"""),1.0)</f>
        <v>1</v>
      </c>
      <c r="U3701" s="4" t="str">
        <f>IFERROR(__xludf.DUMMYFUNCTION("""COMPUTED_VALUE"""),"Ncr")</f>
        <v>Ncr</v>
      </c>
      <c r="V3701" s="33">
        <f>IFERROR(__xludf.DUMMYFUNCTION("""COMPUTED_VALUE"""),1.0)</f>
        <v>1</v>
      </c>
      <c r="W3701" s="4" t="str">
        <f>IFERROR(__xludf.DUMMYFUNCTION("""COMPUTED_VALUE"""),"Ncr")</f>
        <v>Ncr</v>
      </c>
      <c r="X3701" s="33">
        <f>IFERROR(__xludf.DUMMYFUNCTION("""COMPUTED_VALUE"""),1.0)</f>
        <v>1</v>
      </c>
    </row>
    <row r="3702">
      <c r="K3702" s="4" t="str">
        <f>IFERROR(__xludf.DUMMYFUNCTION("""COMPUTED_VALUE"""),"NOVO RUMO CERTO - MARCA")</f>
        <v>NOVO RUMO CERTO - MARCA</v>
      </c>
      <c r="L3702" s="32">
        <f>IFERROR(__xludf.DUMMYFUNCTION("""COMPUTED_VALUE"""),3.0)</f>
        <v>3</v>
      </c>
      <c r="M3702" s="4" t="str">
        <f>IFERROR(__xludf.DUMMYFUNCTION("""COMPUTED_VALUE"""),"N/A (Not found)")</f>
        <v>N/A (Not found)</v>
      </c>
      <c r="N3702" s="33">
        <f>IFERROR(__xludf.DUMMYFUNCTION("""COMPUTED_VALUE"""),1.0)</f>
        <v>1</v>
      </c>
      <c r="O3702" s="4" t="str">
        <f>IFERROR(__xludf.DUMMYFUNCTION("""COMPUTED_VALUE"""),"N/A (Not found)")</f>
        <v>N/A (Not found)</v>
      </c>
      <c r="P3702" s="33">
        <f>IFERROR(__xludf.DUMMYFUNCTION("""COMPUTED_VALUE"""),1.0)</f>
        <v>1</v>
      </c>
      <c r="Q3702" s="4" t="str">
        <f>IFERROR(__xludf.DUMMYFUNCTION("""COMPUTED_VALUE"""),"N/A (Not found)")</f>
        <v>N/A (Not found)</v>
      </c>
      <c r="R3702" s="33">
        <f>IFERROR(__xludf.DUMMYFUNCTION("""COMPUTED_VALUE"""),1.0)</f>
        <v>1</v>
      </c>
      <c r="S3702" s="4" t="str">
        <f>IFERROR(__xludf.DUMMYFUNCTION("""COMPUTED_VALUE"""),"N/A (Not found)")</f>
        <v>N/A (Not found)</v>
      </c>
      <c r="T3702" s="33">
        <f>IFERROR(__xludf.DUMMYFUNCTION("""COMPUTED_VALUE"""),1.0)</f>
        <v>1</v>
      </c>
      <c r="U3702" s="4" t="str">
        <f>IFERROR(__xludf.DUMMYFUNCTION("""COMPUTED_VALUE"""),"N/A (Not found)")</f>
        <v>N/A (Not found)</v>
      </c>
      <c r="V3702" s="33">
        <f>IFERROR(__xludf.DUMMYFUNCTION("""COMPUTED_VALUE"""),1.0)</f>
        <v>1</v>
      </c>
      <c r="W3702" s="4" t="str">
        <f>IFERROR(__xludf.DUMMYFUNCTION("""COMPUTED_VALUE"""),"N/A (Not found)")</f>
        <v>N/A (Not found)</v>
      </c>
      <c r="X3702" s="33">
        <f>IFERROR(__xludf.DUMMYFUNCTION("""COMPUTED_VALUE"""),1.0)</f>
        <v>1</v>
      </c>
    </row>
    <row r="3703">
      <c r="K3703" s="4" t="str">
        <f>IFERROR(__xludf.DUMMYFUNCTION("""COMPUTED_VALUE"""),"NU JAPA SUSHI DELIVEY - CONTA PAI")</f>
        <v>NU JAPA SUSHI DELIVEY - CONTA PAI</v>
      </c>
      <c r="L3703" s="32">
        <f>IFERROR(__xludf.DUMMYFUNCTION("""COMPUTED_VALUE"""),3.0)</f>
        <v>3</v>
      </c>
      <c r="M3703" s="4" t="str">
        <f>IFERROR(__xludf.DUMMYFUNCTION("""COMPUTED_VALUE"""),"Saipos Serviços De Software")</f>
        <v>Saipos Serviços De Software</v>
      </c>
      <c r="N3703" s="33">
        <f>IFERROR(__xludf.DUMMYFUNCTION("""COMPUTED_VALUE"""),1.0)</f>
        <v>1</v>
      </c>
      <c r="O3703" s="4" t="str">
        <f>IFERROR(__xludf.DUMMYFUNCTION("""COMPUTED_VALUE"""),"Saipos Serviços De Software")</f>
        <v>Saipos Serviços De Software</v>
      </c>
      <c r="P3703" s="33">
        <f>IFERROR(__xludf.DUMMYFUNCTION("""COMPUTED_VALUE"""),1.0)</f>
        <v>1</v>
      </c>
      <c r="Q3703" s="4" t="str">
        <f>IFERROR(__xludf.DUMMYFUNCTION("""COMPUTED_VALUE"""),"Saipos Serviços De Software")</f>
        <v>Saipos Serviços De Software</v>
      </c>
      <c r="R3703" s="33">
        <f>IFERROR(__xludf.DUMMYFUNCTION("""COMPUTED_VALUE"""),1.0)</f>
        <v>1</v>
      </c>
      <c r="S3703" s="4" t="str">
        <f>IFERROR(__xludf.DUMMYFUNCTION("""COMPUTED_VALUE"""),"Saipos Serviços De Software")</f>
        <v>Saipos Serviços De Software</v>
      </c>
      <c r="T3703" s="33">
        <f>IFERROR(__xludf.DUMMYFUNCTION("""COMPUTED_VALUE"""),1.0)</f>
        <v>1</v>
      </c>
      <c r="U3703" s="4" t="str">
        <f>IFERROR(__xludf.DUMMYFUNCTION("""COMPUTED_VALUE"""),"Saipos Serviços De Software")</f>
        <v>Saipos Serviços De Software</v>
      </c>
      <c r="V3703" s="33">
        <f>IFERROR(__xludf.DUMMYFUNCTION("""COMPUTED_VALUE"""),1.0)</f>
        <v>1</v>
      </c>
      <c r="W3703" s="4" t="str">
        <f>IFERROR(__xludf.DUMMYFUNCTION("""COMPUTED_VALUE"""),"Saipos Serviços De Software")</f>
        <v>Saipos Serviços De Software</v>
      </c>
      <c r="X3703" s="33">
        <f>IFERROR(__xludf.DUMMYFUNCTION("""COMPUTED_VALUE"""),1.0)</f>
        <v>1</v>
      </c>
    </row>
    <row r="3704">
      <c r="K3704" s="4" t="str">
        <f>IFERROR(__xludf.DUMMYFUNCTION("""COMPUTED_VALUE"""),"NUTRIR THE SALADA - CONTA PAI OFICIAL")</f>
        <v>NUTRIR THE SALADA - CONTA PAI OFICIAL</v>
      </c>
      <c r="L3704" s="32">
        <f>IFERROR(__xludf.DUMMYFUNCTION("""COMPUTED_VALUE"""),3.0)</f>
        <v>3</v>
      </c>
      <c r="M3704" s="4" t="str">
        <f>IFERROR(__xludf.DUMMYFUNCTION("""COMPUTED_VALUE"""),"Saipos Serviços De Software")</f>
        <v>Saipos Serviços De Software</v>
      </c>
      <c r="N3704" s="33">
        <f>IFERROR(__xludf.DUMMYFUNCTION("""COMPUTED_VALUE"""),0.6666666666666666)</f>
        <v>0.6666666667</v>
      </c>
      <c r="O3704" s="4" t="str">
        <f>IFERROR(__xludf.DUMMYFUNCTION("""COMPUTED_VALUE"""),"Saipos Serviços De Software")</f>
        <v>Saipos Serviços De Software</v>
      </c>
      <c r="P3704" s="33">
        <f>IFERROR(__xludf.DUMMYFUNCTION("""COMPUTED_VALUE"""),0.6666666666666666)</f>
        <v>0.6666666667</v>
      </c>
      <c r="Q3704" s="4" t="str">
        <f>IFERROR(__xludf.DUMMYFUNCTION("""COMPUTED_VALUE"""),"Saipos Serviços De Software")</f>
        <v>Saipos Serviços De Software</v>
      </c>
      <c r="R3704" s="33">
        <f>IFERROR(__xludf.DUMMYFUNCTION("""COMPUTED_VALUE"""),0.6666666666666666)</f>
        <v>0.6666666667</v>
      </c>
      <c r="S3704" s="4" t="str">
        <f>IFERROR(__xludf.DUMMYFUNCTION("""COMPUTED_VALUE"""),"Anota Ai Solucoes Digitais S/a")</f>
        <v>Anota Ai Solucoes Digitais S/a</v>
      </c>
      <c r="T3704" s="33">
        <f>IFERROR(__xludf.DUMMYFUNCTION("""COMPUTED_VALUE"""),0.6666666666666666)</f>
        <v>0.6666666667</v>
      </c>
      <c r="U3704" s="4" t="str">
        <f>IFERROR(__xludf.DUMMYFUNCTION("""COMPUTED_VALUE"""),"Saipos Serviços De Software")</f>
        <v>Saipos Serviços De Software</v>
      </c>
      <c r="V3704" s="33">
        <f>IFERROR(__xludf.DUMMYFUNCTION("""COMPUTED_VALUE"""),0.3333333333333333)</f>
        <v>0.3333333333</v>
      </c>
      <c r="W3704" s="4" t="str">
        <f>IFERROR(__xludf.DUMMYFUNCTION("""COMPUTED_VALUE"""),"Saipos Serviços De Software")</f>
        <v>Saipos Serviços De Software</v>
      </c>
      <c r="X3704" s="33">
        <f>IFERROR(__xludf.DUMMYFUNCTION("""COMPUTED_VALUE"""),0.3333333333333333)</f>
        <v>0.3333333333</v>
      </c>
    </row>
    <row r="3705">
      <c r="K3705" s="4" t="str">
        <f>IFERROR(__xludf.DUMMYFUNCTION("""COMPUTED_VALUE"""),"NUTTY BAVARIAN")</f>
        <v>NUTTY BAVARIAN</v>
      </c>
      <c r="L3705" s="32">
        <f>IFERROR(__xludf.DUMMYFUNCTION("""COMPUTED_VALUE"""),3.0)</f>
        <v>3</v>
      </c>
      <c r="M3705" s="4" t="str">
        <f>IFERROR(__xludf.DUMMYFUNCTION("""COMPUTED_VALUE"""),"Stone Co.")</f>
        <v>Stone Co.</v>
      </c>
      <c r="N3705" s="33">
        <f>IFERROR(__xludf.DUMMYFUNCTION("""COMPUTED_VALUE"""),0.6666666666666666)</f>
        <v>0.6666666667</v>
      </c>
      <c r="O3705" s="4" t="str">
        <f>IFERROR(__xludf.DUMMYFUNCTION("""COMPUTED_VALUE"""),"Stone Co.")</f>
        <v>Stone Co.</v>
      </c>
      <c r="P3705" s="33">
        <f>IFERROR(__xludf.DUMMYFUNCTION("""COMPUTED_VALUE"""),0.6666666666666666)</f>
        <v>0.6666666667</v>
      </c>
      <c r="Q3705" s="4" t="str">
        <f>IFERROR(__xludf.DUMMYFUNCTION("""COMPUTED_VALUE"""),"Stone Co.")</f>
        <v>Stone Co.</v>
      </c>
      <c r="R3705" s="33">
        <f>IFERROR(__xludf.DUMMYFUNCTION("""COMPUTED_VALUE"""),0.6666666666666666)</f>
        <v>0.6666666667</v>
      </c>
      <c r="S3705" s="4" t="str">
        <f>IFERROR(__xludf.DUMMYFUNCTION("""COMPUTED_VALUE"""),"Stone Co.")</f>
        <v>Stone Co.</v>
      </c>
      <c r="T3705" s="33">
        <f>IFERROR(__xludf.DUMMYFUNCTION("""COMPUTED_VALUE"""),0.6666666666666666)</f>
        <v>0.6666666667</v>
      </c>
      <c r="U3705" s="4" t="str">
        <f>IFERROR(__xludf.DUMMYFUNCTION("""COMPUTED_VALUE"""),"Stone Co.")</f>
        <v>Stone Co.</v>
      </c>
      <c r="V3705" s="33">
        <f>IFERROR(__xludf.DUMMYFUNCTION("""COMPUTED_VALUE"""),0.6666666666666666)</f>
        <v>0.6666666667</v>
      </c>
      <c r="W3705" s="4" t="str">
        <f>IFERROR(__xludf.DUMMYFUNCTION("""COMPUTED_VALUE"""),"Stone Co.")</f>
        <v>Stone Co.</v>
      </c>
      <c r="X3705" s="33">
        <f>IFERROR(__xludf.DUMMYFUNCTION("""COMPUTED_VALUE"""),0.6666666666666666)</f>
        <v>0.6666666667</v>
      </c>
    </row>
    <row r="3706">
      <c r="K3706" s="4" t="str">
        <f>IFERROR(__xludf.DUMMYFUNCTION("""COMPUTED_VALUE"""),"O CAMARAO ARTE BIA")</f>
        <v>O CAMARAO ARTE BIA</v>
      </c>
      <c r="L3706" s="32">
        <f>IFERROR(__xludf.DUMMYFUNCTION("""COMPUTED_VALUE"""),3.0)</f>
        <v>3</v>
      </c>
      <c r="M3706" s="4" t="str">
        <f>IFERROR(__xludf.DUMMYFUNCTION("""COMPUTED_VALUE"""),"Lab Jota Marketing Digital Eirele")</f>
        <v>Lab Jota Marketing Digital Eirele</v>
      </c>
      <c r="N3706" s="33">
        <f>IFERROR(__xludf.DUMMYFUNCTION("""COMPUTED_VALUE"""),1.0)</f>
        <v>1</v>
      </c>
      <c r="O3706" s="4" t="str">
        <f>IFERROR(__xludf.DUMMYFUNCTION("""COMPUTED_VALUE"""),"Lab Jota Marketing Digital Eirele")</f>
        <v>Lab Jota Marketing Digital Eirele</v>
      </c>
      <c r="P3706" s="33">
        <f>IFERROR(__xludf.DUMMYFUNCTION("""COMPUTED_VALUE"""),0.6666666666666666)</f>
        <v>0.6666666667</v>
      </c>
      <c r="Q3706" s="4" t="str">
        <f>IFERROR(__xludf.DUMMYFUNCTION("""COMPUTED_VALUE"""),"Lab Jota Marketing Digital Eirele")</f>
        <v>Lab Jota Marketing Digital Eirele</v>
      </c>
      <c r="R3706" s="33">
        <f>IFERROR(__xludf.DUMMYFUNCTION("""COMPUTED_VALUE"""),1.0)</f>
        <v>1</v>
      </c>
      <c r="S3706" s="4" t="str">
        <f>IFERROR(__xludf.DUMMYFUNCTION("""COMPUTED_VALUE"""),"Lab Jota Marketing Digital Eirele")</f>
        <v>Lab Jota Marketing Digital Eirele</v>
      </c>
      <c r="T3706" s="33">
        <f>IFERROR(__xludf.DUMMYFUNCTION("""COMPUTED_VALUE"""),1.0)</f>
        <v>1</v>
      </c>
      <c r="U3706" s="4" t="str">
        <f>IFERROR(__xludf.DUMMYFUNCTION("""COMPUTED_VALUE"""),"Lab Jota Marketing Digital Eirele")</f>
        <v>Lab Jota Marketing Digital Eirele</v>
      </c>
      <c r="V3706" s="33">
        <f>IFERROR(__xludf.DUMMYFUNCTION("""COMPUTED_VALUE"""),0.6666666666666666)</f>
        <v>0.6666666667</v>
      </c>
      <c r="W3706" s="4" t="str">
        <f>IFERROR(__xludf.DUMMYFUNCTION("""COMPUTED_VALUE"""),"Lab Jota Marketing Digital Eirele")</f>
        <v>Lab Jota Marketing Digital Eirele</v>
      </c>
      <c r="X3706" s="33">
        <f>IFERROR(__xludf.DUMMYFUNCTION("""COMPUTED_VALUE"""),1.0)</f>
        <v>1</v>
      </c>
    </row>
    <row r="3707">
      <c r="K3707" s="4" t="str">
        <f>IFERROR(__xludf.DUMMYFUNCTION("""COMPUTED_VALUE"""),"O ESFIHEIRO")</f>
        <v>O ESFIHEIRO</v>
      </c>
      <c r="L3707" s="32">
        <f>IFERROR(__xludf.DUMMYFUNCTION("""COMPUTED_VALUE"""),3.0)</f>
        <v>3</v>
      </c>
      <c r="M3707" s="4" t="str">
        <f>IFERROR(__xludf.DUMMYFUNCTION("""COMPUTED_VALUE"""),"Consumer Soluções Em Tecnologia Ltda")</f>
        <v>Consumer Soluções Em Tecnologia Ltda</v>
      </c>
      <c r="N3707" s="33">
        <f>IFERROR(__xludf.DUMMYFUNCTION("""COMPUTED_VALUE"""),1.0)</f>
        <v>1</v>
      </c>
      <c r="O3707" s="4" t="str">
        <f>IFERROR(__xludf.DUMMYFUNCTION("""COMPUTED_VALUE"""),"Consumer Soluções Em Tecnologia Ltda")</f>
        <v>Consumer Soluções Em Tecnologia Ltda</v>
      </c>
      <c r="P3707" s="33">
        <f>IFERROR(__xludf.DUMMYFUNCTION("""COMPUTED_VALUE"""),0.6666666666666666)</f>
        <v>0.6666666667</v>
      </c>
      <c r="Q3707" s="4" t="str">
        <f>IFERROR(__xludf.DUMMYFUNCTION("""COMPUTED_VALUE"""),"Consumer Soluções Em Tecnologia Ltda")</f>
        <v>Consumer Soluções Em Tecnologia Ltda</v>
      </c>
      <c r="R3707" s="33">
        <f>IFERROR(__xludf.DUMMYFUNCTION("""COMPUTED_VALUE"""),0.6666666666666666)</f>
        <v>0.6666666667</v>
      </c>
      <c r="S3707" s="4" t="str">
        <f>IFERROR(__xludf.DUMMYFUNCTION("""COMPUTED_VALUE"""),"null")</f>
        <v>null</v>
      </c>
      <c r="T3707" s="33">
        <f>IFERROR(__xludf.DUMMYFUNCTION("""COMPUTED_VALUE"""),0.6666666666666666)</f>
        <v>0.6666666667</v>
      </c>
      <c r="U3707" s="4" t="str">
        <f>IFERROR(__xludf.DUMMYFUNCTION("""COMPUTED_VALUE"""),"Consumer Soluções Em Tecnologia Ltda")</f>
        <v>Consumer Soluções Em Tecnologia Ltda</v>
      </c>
      <c r="V3707" s="33">
        <f>IFERROR(__xludf.DUMMYFUNCTION("""COMPUTED_VALUE"""),0.6666666666666666)</f>
        <v>0.6666666667</v>
      </c>
      <c r="W3707" s="4" t="str">
        <f>IFERROR(__xludf.DUMMYFUNCTION("""COMPUTED_VALUE"""),"Consumer Soluções Em Tecnologia Ltda")</f>
        <v>Consumer Soluções Em Tecnologia Ltda</v>
      </c>
      <c r="X3707" s="33">
        <f>IFERROR(__xludf.DUMMYFUNCTION("""COMPUTED_VALUE"""),0.6666666666666666)</f>
        <v>0.6666666667</v>
      </c>
    </row>
    <row r="3708">
      <c r="K3708" s="4" t="str">
        <f>IFERROR(__xludf.DUMMYFUNCTION("""COMPUTED_VALUE"""),"O FRANGUEIRO - CONTA PAI")</f>
        <v>O FRANGUEIRO - CONTA PAI</v>
      </c>
      <c r="L3708" s="32">
        <f>IFERROR(__xludf.DUMMYFUNCTION("""COMPUTED_VALUE"""),3.0)</f>
        <v>3</v>
      </c>
      <c r="M3708" s="4" t="str">
        <f>IFERROR(__xludf.DUMMYFUNCTION("""COMPUTED_VALUE"""),"Saipos Serviços De Software")</f>
        <v>Saipos Serviços De Software</v>
      </c>
      <c r="N3708" s="33">
        <f>IFERROR(__xludf.DUMMYFUNCTION("""COMPUTED_VALUE"""),1.0)</f>
        <v>1</v>
      </c>
      <c r="O3708" s="4" t="str">
        <f>IFERROR(__xludf.DUMMYFUNCTION("""COMPUTED_VALUE"""),"Saipos Serviços De Software")</f>
        <v>Saipos Serviços De Software</v>
      </c>
      <c r="P3708" s="33">
        <f>IFERROR(__xludf.DUMMYFUNCTION("""COMPUTED_VALUE"""),0.6666666666666666)</f>
        <v>0.6666666667</v>
      </c>
      <c r="Q3708" s="4" t="str">
        <f>IFERROR(__xludf.DUMMYFUNCTION("""COMPUTED_VALUE"""),"Saipos Serviços De Software")</f>
        <v>Saipos Serviços De Software</v>
      </c>
      <c r="R3708" s="33">
        <f>IFERROR(__xludf.DUMMYFUNCTION("""COMPUTED_VALUE"""),0.6666666666666666)</f>
        <v>0.6666666667</v>
      </c>
      <c r="S3708" s="4" t="str">
        <f>IFERROR(__xludf.DUMMYFUNCTION("""COMPUTED_VALUE"""),"Saipos Serviços De Software")</f>
        <v>Saipos Serviços De Software</v>
      </c>
      <c r="T3708" s="33">
        <f>IFERROR(__xludf.DUMMYFUNCTION("""COMPUTED_VALUE"""),0.6666666666666666)</f>
        <v>0.6666666667</v>
      </c>
      <c r="U3708" s="4" t="str">
        <f>IFERROR(__xludf.DUMMYFUNCTION("""COMPUTED_VALUE"""),"Saipos Serviços De Software")</f>
        <v>Saipos Serviços De Software</v>
      </c>
      <c r="V3708" s="33">
        <f>IFERROR(__xludf.DUMMYFUNCTION("""COMPUTED_VALUE"""),0.6666666666666666)</f>
        <v>0.6666666667</v>
      </c>
      <c r="W3708" s="4" t="str">
        <f>IFERROR(__xludf.DUMMYFUNCTION("""COMPUTED_VALUE"""),"Saipos Serviços De Software")</f>
        <v>Saipos Serviços De Software</v>
      </c>
      <c r="X3708" s="33">
        <f>IFERROR(__xludf.DUMMYFUNCTION("""COMPUTED_VALUE"""),0.6666666666666666)</f>
        <v>0.6666666667</v>
      </c>
    </row>
    <row r="3709">
      <c r="K3709" s="4" t="str">
        <f>IFERROR(__xludf.DUMMYFUNCTION("""COMPUTED_VALUE"""),"O PAO FORTALEZA CONTA MARCA")</f>
        <v>O PAO FORTALEZA CONTA MARCA</v>
      </c>
      <c r="L3709" s="32">
        <f>IFERROR(__xludf.DUMMYFUNCTION("""COMPUTED_VALUE"""),3.0)</f>
        <v>3</v>
      </c>
      <c r="M3709" s="4" t="str">
        <f>IFERROR(__xludf.DUMMYFUNCTION("""COMPUTED_VALUE"""),"Agilizup Solucoes Ltda")</f>
        <v>Agilizup Solucoes Ltda</v>
      </c>
      <c r="N3709" s="33">
        <f>IFERROR(__xludf.DUMMYFUNCTION("""COMPUTED_VALUE"""),1.0)</f>
        <v>1</v>
      </c>
      <c r="O3709" s="4" t="str">
        <f>IFERROR(__xludf.DUMMYFUNCTION("""COMPUTED_VALUE"""),"null")</f>
        <v>null</v>
      </c>
      <c r="P3709" s="33">
        <f>IFERROR(__xludf.DUMMYFUNCTION("""COMPUTED_VALUE"""),1.0)</f>
        <v>1</v>
      </c>
      <c r="Q3709" s="4" t="str">
        <f>IFERROR(__xludf.DUMMYFUNCTION("""COMPUTED_VALUE"""),"null")</f>
        <v>null</v>
      </c>
      <c r="R3709" s="33">
        <f>IFERROR(__xludf.DUMMYFUNCTION("""COMPUTED_VALUE"""),1.0)</f>
        <v>1</v>
      </c>
      <c r="S3709" s="4" t="str">
        <f>IFERROR(__xludf.DUMMYFUNCTION("""COMPUTED_VALUE"""),"null")</f>
        <v>null</v>
      </c>
      <c r="T3709" s="33">
        <f>IFERROR(__xludf.DUMMYFUNCTION("""COMPUTED_VALUE"""),1.0)</f>
        <v>1</v>
      </c>
      <c r="U3709" s="4" t="str">
        <f>IFERROR(__xludf.DUMMYFUNCTION("""COMPUTED_VALUE"""),"null")</f>
        <v>null</v>
      </c>
      <c r="V3709" s="33">
        <f>IFERROR(__xludf.DUMMYFUNCTION("""COMPUTED_VALUE"""),1.0)</f>
        <v>1</v>
      </c>
      <c r="W3709" s="4" t="str">
        <f>IFERROR(__xludf.DUMMYFUNCTION("""COMPUTED_VALUE"""),"null")</f>
        <v>null</v>
      </c>
      <c r="X3709" s="33">
        <f>IFERROR(__xludf.DUMMYFUNCTION("""COMPUTED_VALUE"""),1.0)</f>
        <v>1</v>
      </c>
    </row>
    <row r="3710">
      <c r="K3710" s="4" t="str">
        <f>IFERROR(__xludf.DUMMYFUNCTION("""COMPUTED_VALUE"""),"O POSTINHO")</f>
        <v>O POSTINHO</v>
      </c>
      <c r="L3710" s="32">
        <f>IFERROR(__xludf.DUMMYFUNCTION("""COMPUTED_VALUE"""),3.0)</f>
        <v>3</v>
      </c>
      <c r="M3710" s="4" t="str">
        <f>IFERROR(__xludf.DUMMYFUNCTION("""COMPUTED_VALUE"""),"Altec Sistemas")</f>
        <v>Altec Sistemas</v>
      </c>
      <c r="N3710" s="33">
        <f>IFERROR(__xludf.DUMMYFUNCTION("""COMPUTED_VALUE"""),1.0)</f>
        <v>1</v>
      </c>
      <c r="O3710" s="4" t="str">
        <f>IFERROR(__xludf.DUMMYFUNCTION("""COMPUTED_VALUE"""),"Altec Sistemas")</f>
        <v>Altec Sistemas</v>
      </c>
      <c r="P3710" s="33">
        <f>IFERROR(__xludf.DUMMYFUNCTION("""COMPUTED_VALUE"""),1.0)</f>
        <v>1</v>
      </c>
      <c r="Q3710" s="4" t="str">
        <f>IFERROR(__xludf.DUMMYFUNCTION("""COMPUTED_VALUE"""),"Altec Sistemas")</f>
        <v>Altec Sistemas</v>
      </c>
      <c r="R3710" s="33">
        <f>IFERROR(__xludf.DUMMYFUNCTION("""COMPUTED_VALUE"""),1.0)</f>
        <v>1</v>
      </c>
      <c r="S3710" s="4" t="str">
        <f>IFERROR(__xludf.DUMMYFUNCTION("""COMPUTED_VALUE"""),"Altec Sistemas")</f>
        <v>Altec Sistemas</v>
      </c>
      <c r="T3710" s="33">
        <f>IFERROR(__xludf.DUMMYFUNCTION("""COMPUTED_VALUE"""),1.0)</f>
        <v>1</v>
      </c>
      <c r="U3710" s="4" t="str">
        <f>IFERROR(__xludf.DUMMYFUNCTION("""COMPUTED_VALUE"""),"Altec Sistemas")</f>
        <v>Altec Sistemas</v>
      </c>
      <c r="V3710" s="33">
        <f>IFERROR(__xludf.DUMMYFUNCTION("""COMPUTED_VALUE"""),0.6666666666666666)</f>
        <v>0.6666666667</v>
      </c>
      <c r="W3710" s="4" t="str">
        <f>IFERROR(__xludf.DUMMYFUNCTION("""COMPUTED_VALUE"""),"Altec Sistemas")</f>
        <v>Altec Sistemas</v>
      </c>
      <c r="X3710" s="33">
        <f>IFERROR(__xludf.DUMMYFUNCTION("""COMPUTED_VALUE"""),0.6666666666666666)</f>
        <v>0.6666666667</v>
      </c>
    </row>
    <row r="3711">
      <c r="K3711" s="4" t="str">
        <f>IFERROR(__xludf.DUMMYFUNCTION("""COMPUTED_VALUE"""),"O REI DA LASANHA")</f>
        <v>O REI DA LASANHA</v>
      </c>
      <c r="L3711" s="32">
        <f>IFERROR(__xludf.DUMMYFUNCTION("""COMPUTED_VALUE"""),3.0)</f>
        <v>3</v>
      </c>
      <c r="M3711" s="4" t="str">
        <f>IFERROR(__xludf.DUMMYFUNCTION("""COMPUTED_VALUE"""),"null")</f>
        <v>null</v>
      </c>
      <c r="N3711" s="33">
        <f>IFERROR(__xludf.DUMMYFUNCTION("""COMPUTED_VALUE"""),1.0)</f>
        <v>1</v>
      </c>
      <c r="O3711" s="4" t="str">
        <f>IFERROR(__xludf.DUMMYFUNCTION("""COMPUTED_VALUE"""),"null")</f>
        <v>null</v>
      </c>
      <c r="P3711" s="33">
        <f>IFERROR(__xludf.DUMMYFUNCTION("""COMPUTED_VALUE"""),1.0)</f>
        <v>1</v>
      </c>
      <c r="Q3711" s="4" t="str">
        <f>IFERROR(__xludf.DUMMYFUNCTION("""COMPUTED_VALUE"""),"Saipos Serviços De Software")</f>
        <v>Saipos Serviços De Software</v>
      </c>
      <c r="R3711" s="33">
        <f>IFERROR(__xludf.DUMMYFUNCTION("""COMPUTED_VALUE"""),1.0)</f>
        <v>1</v>
      </c>
      <c r="S3711" s="4" t="str">
        <f>IFERROR(__xludf.DUMMYFUNCTION("""COMPUTED_VALUE"""),"Saipos Serviços De Software")</f>
        <v>Saipos Serviços De Software</v>
      </c>
      <c r="T3711" s="33">
        <f>IFERROR(__xludf.DUMMYFUNCTION("""COMPUTED_VALUE"""),1.0)</f>
        <v>1</v>
      </c>
      <c r="U3711" s="4" t="str">
        <f>IFERROR(__xludf.DUMMYFUNCTION("""COMPUTED_VALUE"""),"Saipos Serviços De Software")</f>
        <v>Saipos Serviços De Software</v>
      </c>
      <c r="V3711" s="33">
        <f>IFERROR(__xludf.DUMMYFUNCTION("""COMPUTED_VALUE"""),1.0)</f>
        <v>1</v>
      </c>
      <c r="W3711" s="4" t="str">
        <f>IFERROR(__xludf.DUMMYFUNCTION("""COMPUTED_VALUE"""),"Saipos Serviços De Software")</f>
        <v>Saipos Serviços De Software</v>
      </c>
      <c r="X3711" s="33">
        <f>IFERROR(__xludf.DUMMYFUNCTION("""COMPUTED_VALUE"""),1.0)</f>
        <v>1</v>
      </c>
    </row>
    <row r="3712">
      <c r="K3712" s="4" t="str">
        <f>IFERROR(__xludf.DUMMYFUNCTION("""COMPUTED_VALUE"""),"O TAO")</f>
        <v>O TAO</v>
      </c>
      <c r="L3712" s="32">
        <f>IFERROR(__xludf.DUMMYFUNCTION("""COMPUTED_VALUE"""),3.0)</f>
        <v>3</v>
      </c>
      <c r="M3712" s="4" t="str">
        <f>IFERROR(__xludf.DUMMYFUNCTION("""COMPUTED_VALUE"""),"Deeliv")</f>
        <v>Deeliv</v>
      </c>
      <c r="N3712" s="33">
        <f>IFERROR(__xludf.DUMMYFUNCTION("""COMPUTED_VALUE"""),0.6666666666666666)</f>
        <v>0.6666666667</v>
      </c>
      <c r="O3712" s="4" t="str">
        <f>IFERROR(__xludf.DUMMYFUNCTION("""COMPUTED_VALUE"""),"Deeliv")</f>
        <v>Deeliv</v>
      </c>
      <c r="P3712" s="33">
        <f>IFERROR(__xludf.DUMMYFUNCTION("""COMPUTED_VALUE"""),0.6666666666666666)</f>
        <v>0.6666666667</v>
      </c>
      <c r="Q3712" s="4" t="str">
        <f>IFERROR(__xludf.DUMMYFUNCTION("""COMPUTED_VALUE"""),"null")</f>
        <v>null</v>
      </c>
      <c r="R3712" s="33">
        <f>IFERROR(__xludf.DUMMYFUNCTION("""COMPUTED_VALUE"""),0.6666666666666666)</f>
        <v>0.6666666667</v>
      </c>
      <c r="S3712" s="4" t="str">
        <f>IFERROR(__xludf.DUMMYFUNCTION("""COMPUTED_VALUE"""),"Deeliv")</f>
        <v>Deeliv</v>
      </c>
      <c r="T3712" s="33">
        <f>IFERROR(__xludf.DUMMYFUNCTION("""COMPUTED_VALUE"""),0.6666666666666666)</f>
        <v>0.6666666667</v>
      </c>
      <c r="U3712" s="4" t="str">
        <f>IFERROR(__xludf.DUMMYFUNCTION("""COMPUTED_VALUE"""),"Deeliv")</f>
        <v>Deeliv</v>
      </c>
      <c r="V3712" s="33">
        <f>IFERROR(__xludf.DUMMYFUNCTION("""COMPUTED_VALUE"""),0.6666666666666666)</f>
        <v>0.6666666667</v>
      </c>
      <c r="W3712" s="4" t="str">
        <f>IFERROR(__xludf.DUMMYFUNCTION("""COMPUTED_VALUE"""),"null")</f>
        <v>null</v>
      </c>
      <c r="X3712" s="33">
        <f>IFERROR(__xludf.DUMMYFUNCTION("""COMPUTED_VALUE"""),0.6666666666666666)</f>
        <v>0.6666666667</v>
      </c>
    </row>
    <row r="3713">
      <c r="K3713" s="4" t="str">
        <f>IFERROR(__xludf.DUMMYFUNCTION("""COMPUTED_VALUE"""),"O TEMAKEIRO 013")</f>
        <v>O TEMAKEIRO 013</v>
      </c>
      <c r="L3713" s="32">
        <f>IFERROR(__xludf.DUMMYFUNCTION("""COMPUTED_VALUE"""),3.0)</f>
        <v>3</v>
      </c>
      <c r="M3713" s="4" t="str">
        <f>IFERROR(__xludf.DUMMYFUNCTION("""COMPUTED_VALUE"""),"Netcontroll Xmenu")</f>
        <v>Netcontroll Xmenu</v>
      </c>
      <c r="N3713" s="33">
        <f>IFERROR(__xludf.DUMMYFUNCTION("""COMPUTED_VALUE"""),1.0)</f>
        <v>1</v>
      </c>
      <c r="O3713" s="4" t="str">
        <f>IFERROR(__xludf.DUMMYFUNCTION("""COMPUTED_VALUE"""),"Netcontroll Xmenu")</f>
        <v>Netcontroll Xmenu</v>
      </c>
      <c r="P3713" s="33">
        <f>IFERROR(__xludf.DUMMYFUNCTION("""COMPUTED_VALUE"""),1.0)</f>
        <v>1</v>
      </c>
      <c r="Q3713" s="4" t="str">
        <f>IFERROR(__xludf.DUMMYFUNCTION("""COMPUTED_VALUE"""),"Netcontroll Xmenu")</f>
        <v>Netcontroll Xmenu</v>
      </c>
      <c r="R3713" s="33">
        <f>IFERROR(__xludf.DUMMYFUNCTION("""COMPUTED_VALUE"""),1.0)</f>
        <v>1</v>
      </c>
      <c r="S3713" s="4" t="str">
        <f>IFERROR(__xludf.DUMMYFUNCTION("""COMPUTED_VALUE"""),"Netcontroll Xmenu")</f>
        <v>Netcontroll Xmenu</v>
      </c>
      <c r="T3713" s="33">
        <f>IFERROR(__xludf.DUMMYFUNCTION("""COMPUTED_VALUE"""),1.0)</f>
        <v>1</v>
      </c>
      <c r="U3713" s="4" t="str">
        <f>IFERROR(__xludf.DUMMYFUNCTION("""COMPUTED_VALUE"""),"Netcontroll Xmenu")</f>
        <v>Netcontroll Xmenu</v>
      </c>
      <c r="V3713" s="33">
        <f>IFERROR(__xludf.DUMMYFUNCTION("""COMPUTED_VALUE"""),1.0)</f>
        <v>1</v>
      </c>
      <c r="W3713" s="4" t="str">
        <f>IFERROR(__xludf.DUMMYFUNCTION("""COMPUTED_VALUE"""),"Netcontroll Xmenu")</f>
        <v>Netcontroll Xmenu</v>
      </c>
      <c r="X3713" s="33">
        <f>IFERROR(__xludf.DUMMYFUNCTION("""COMPUTED_VALUE"""),1.0)</f>
        <v>1</v>
      </c>
    </row>
    <row r="3714">
      <c r="K3714" s="4" t="str">
        <f>IFERROR(__xludf.DUMMYFUNCTION("""COMPUTED_VALUE"""),"OBBA ACAI DELIVERY")</f>
        <v>OBBA ACAI DELIVERY</v>
      </c>
      <c r="L3714" s="32">
        <f>IFERROR(__xludf.DUMMYFUNCTION("""COMPUTED_VALUE"""),3.0)</f>
        <v>3</v>
      </c>
      <c r="M3714" s="4" t="str">
        <f>IFERROR(__xludf.DUMMYFUNCTION("""COMPUTED_VALUE"""),"Saipos Serviços De Software")</f>
        <v>Saipos Serviços De Software</v>
      </c>
      <c r="N3714" s="33">
        <f>IFERROR(__xludf.DUMMYFUNCTION("""COMPUTED_VALUE"""),1.0)</f>
        <v>1</v>
      </c>
      <c r="O3714" s="4" t="str">
        <f>IFERROR(__xludf.DUMMYFUNCTION("""COMPUTED_VALUE"""),"Saipos Serviços De Software")</f>
        <v>Saipos Serviços De Software</v>
      </c>
      <c r="P3714" s="33">
        <f>IFERROR(__xludf.DUMMYFUNCTION("""COMPUTED_VALUE"""),1.0)</f>
        <v>1</v>
      </c>
      <c r="Q3714" s="4" t="str">
        <f>IFERROR(__xludf.DUMMYFUNCTION("""COMPUTED_VALUE"""),"Saipos Serviços De Software")</f>
        <v>Saipos Serviços De Software</v>
      </c>
      <c r="R3714" s="33">
        <f>IFERROR(__xludf.DUMMYFUNCTION("""COMPUTED_VALUE"""),1.0)</f>
        <v>1</v>
      </c>
      <c r="S3714" s="4" t="str">
        <f>IFERROR(__xludf.DUMMYFUNCTION("""COMPUTED_VALUE"""),"Saipos Serviços De Software")</f>
        <v>Saipos Serviços De Software</v>
      </c>
      <c r="T3714" s="33">
        <f>IFERROR(__xludf.DUMMYFUNCTION("""COMPUTED_VALUE"""),1.0)</f>
        <v>1</v>
      </c>
      <c r="U3714" s="4" t="str">
        <f>IFERROR(__xludf.DUMMYFUNCTION("""COMPUTED_VALUE"""),"Saipos Serviços De Software")</f>
        <v>Saipos Serviços De Software</v>
      </c>
      <c r="V3714" s="33">
        <f>IFERROR(__xludf.DUMMYFUNCTION("""COMPUTED_VALUE"""),1.0)</f>
        <v>1</v>
      </c>
      <c r="W3714" s="4" t="str">
        <f>IFERROR(__xludf.DUMMYFUNCTION("""COMPUTED_VALUE"""),"Saipos Serviços De Software")</f>
        <v>Saipos Serviços De Software</v>
      </c>
      <c r="X3714" s="33">
        <f>IFERROR(__xludf.DUMMYFUNCTION("""COMPUTED_VALUE"""),1.0)</f>
        <v>1</v>
      </c>
    </row>
    <row r="3715">
      <c r="K3715" s="4" t="str">
        <f>IFERROR(__xludf.DUMMYFUNCTION("""COMPUTED_VALUE"""),"OCA DE SAVOIA")</f>
        <v>OCA DE SAVOIA</v>
      </c>
      <c r="L3715" s="32">
        <f>IFERROR(__xludf.DUMMYFUNCTION("""COMPUTED_VALUE"""),3.0)</f>
        <v>3</v>
      </c>
      <c r="M3715" s="4" t="str">
        <f>IFERROR(__xludf.DUMMYFUNCTION("""COMPUTED_VALUE"""),"Saipos Serviços De Software")</f>
        <v>Saipos Serviços De Software</v>
      </c>
      <c r="N3715" s="33">
        <f>IFERROR(__xludf.DUMMYFUNCTION("""COMPUTED_VALUE"""),1.0)</f>
        <v>1</v>
      </c>
      <c r="O3715" s="4" t="str">
        <f>IFERROR(__xludf.DUMMYFUNCTION("""COMPUTED_VALUE"""),"Saipos Serviços De Software")</f>
        <v>Saipos Serviços De Software</v>
      </c>
      <c r="P3715" s="33">
        <f>IFERROR(__xludf.DUMMYFUNCTION("""COMPUTED_VALUE"""),0.6666666666666666)</f>
        <v>0.6666666667</v>
      </c>
      <c r="Q3715" s="4" t="str">
        <f>IFERROR(__xludf.DUMMYFUNCTION("""COMPUTED_VALUE"""),"Saipos Serviços De Software")</f>
        <v>Saipos Serviços De Software</v>
      </c>
      <c r="R3715" s="33">
        <f>IFERROR(__xludf.DUMMYFUNCTION("""COMPUTED_VALUE"""),0.6666666666666666)</f>
        <v>0.6666666667</v>
      </c>
      <c r="S3715" s="4" t="str">
        <f>IFERROR(__xludf.DUMMYFUNCTION("""COMPUTED_VALUE"""),"Saipos Serviços De Software")</f>
        <v>Saipos Serviços De Software</v>
      </c>
      <c r="T3715" s="33">
        <f>IFERROR(__xludf.DUMMYFUNCTION("""COMPUTED_VALUE"""),0.6666666666666666)</f>
        <v>0.6666666667</v>
      </c>
      <c r="U3715" s="4" t="str">
        <f>IFERROR(__xludf.DUMMYFUNCTION("""COMPUTED_VALUE"""),"Saipos Serviços De Software")</f>
        <v>Saipos Serviços De Software</v>
      </c>
      <c r="V3715" s="33">
        <f>IFERROR(__xludf.DUMMYFUNCTION("""COMPUTED_VALUE"""),0.6666666666666666)</f>
        <v>0.6666666667</v>
      </c>
      <c r="W3715" s="4" t="str">
        <f>IFERROR(__xludf.DUMMYFUNCTION("""COMPUTED_VALUE"""),"null")</f>
        <v>null</v>
      </c>
      <c r="X3715" s="33">
        <f>IFERROR(__xludf.DUMMYFUNCTION("""COMPUTED_VALUE"""),0.6666666666666666)</f>
        <v>0.6666666667</v>
      </c>
    </row>
    <row r="3716">
      <c r="K3716" s="4" t="str">
        <f>IFERROR(__xludf.DUMMYFUNCTION("""COMPUTED_VALUE"""),"OGA SUSHI JAPA - CONTA PAI")</f>
        <v>OGA SUSHI JAPA - CONTA PAI</v>
      </c>
      <c r="L3716" s="32">
        <f>IFERROR(__xludf.DUMMYFUNCTION("""COMPUTED_VALUE"""),3.0)</f>
        <v>3</v>
      </c>
      <c r="M3716" s="4" t="str">
        <f>IFERROR(__xludf.DUMMYFUNCTION("""COMPUTED_VALUE"""),"Saipos Serviços De Software")</f>
        <v>Saipos Serviços De Software</v>
      </c>
      <c r="N3716" s="33">
        <f>IFERROR(__xludf.DUMMYFUNCTION("""COMPUTED_VALUE"""),1.0)</f>
        <v>1</v>
      </c>
      <c r="O3716" s="4" t="str">
        <f>IFERROR(__xludf.DUMMYFUNCTION("""COMPUTED_VALUE"""),"Saipos Serviços De Software")</f>
        <v>Saipos Serviços De Software</v>
      </c>
      <c r="P3716" s="33">
        <f>IFERROR(__xludf.DUMMYFUNCTION("""COMPUTED_VALUE"""),1.0)</f>
        <v>1</v>
      </c>
      <c r="Q3716" s="4" t="str">
        <f>IFERROR(__xludf.DUMMYFUNCTION("""COMPUTED_VALUE"""),"Saipos Serviços De Software")</f>
        <v>Saipos Serviços De Software</v>
      </c>
      <c r="R3716" s="33">
        <f>IFERROR(__xludf.DUMMYFUNCTION("""COMPUTED_VALUE"""),1.0)</f>
        <v>1</v>
      </c>
      <c r="S3716" s="4" t="str">
        <f>IFERROR(__xludf.DUMMYFUNCTION("""COMPUTED_VALUE"""),"Saipos Serviços De Software")</f>
        <v>Saipos Serviços De Software</v>
      </c>
      <c r="T3716" s="33">
        <f>IFERROR(__xludf.DUMMYFUNCTION("""COMPUTED_VALUE"""),1.0)</f>
        <v>1</v>
      </c>
      <c r="U3716" s="4" t="str">
        <f>IFERROR(__xludf.DUMMYFUNCTION("""COMPUTED_VALUE"""),"Saipos Serviços De Software")</f>
        <v>Saipos Serviços De Software</v>
      </c>
      <c r="V3716" s="33">
        <f>IFERROR(__xludf.DUMMYFUNCTION("""COMPUTED_VALUE"""),1.0)</f>
        <v>1</v>
      </c>
      <c r="W3716" s="4" t="str">
        <f>IFERROR(__xludf.DUMMYFUNCTION("""COMPUTED_VALUE"""),"Saipos Serviços De Software")</f>
        <v>Saipos Serviços De Software</v>
      </c>
      <c r="X3716" s="33">
        <f>IFERROR(__xludf.DUMMYFUNCTION("""COMPUTED_VALUE"""),1.0)</f>
        <v>1</v>
      </c>
    </row>
    <row r="3717">
      <c r="K3717" s="4" t="str">
        <f>IFERROR(__xludf.DUMMYFUNCTION("""COMPUTED_VALUE"""),"OH BRUDER CAFE")</f>
        <v>OH BRUDER CAFE</v>
      </c>
      <c r="L3717" s="32">
        <f>IFERROR(__xludf.DUMMYFUNCTION("""COMPUTED_VALUE"""),3.0)</f>
        <v>3</v>
      </c>
      <c r="M3717" s="4" t="str">
        <f>IFERROR(__xludf.DUMMYFUNCTION("""COMPUTED_VALUE"""),"Totvs Large Enterprise Tecnologia S.a.")</f>
        <v>Totvs Large Enterprise Tecnologia S.a.</v>
      </c>
      <c r="N3717" s="33">
        <f>IFERROR(__xludf.DUMMYFUNCTION("""COMPUTED_VALUE"""),0.3333333333333333)</f>
        <v>0.3333333333</v>
      </c>
      <c r="O3717" s="4" t="str">
        <f>IFERROR(__xludf.DUMMYFUNCTION("""COMPUTED_VALUE"""),"Totvs Large Enterprise Tecnologia S.a.")</f>
        <v>Totvs Large Enterprise Tecnologia S.a.</v>
      </c>
      <c r="P3717" s="33">
        <f>IFERROR(__xludf.DUMMYFUNCTION("""COMPUTED_VALUE"""),0.3333333333333333)</f>
        <v>0.3333333333</v>
      </c>
      <c r="Q3717" s="4" t="str">
        <f>IFERROR(__xludf.DUMMYFUNCTION("""COMPUTED_VALUE"""),"Totvs Large Enterprise Tecnologia S.a.")</f>
        <v>Totvs Large Enterprise Tecnologia S.a.</v>
      </c>
      <c r="R3717" s="33">
        <f>IFERROR(__xludf.DUMMYFUNCTION("""COMPUTED_VALUE"""),0.6666666666666666)</f>
        <v>0.6666666667</v>
      </c>
      <c r="S3717" s="4" t="str">
        <f>IFERROR(__xludf.DUMMYFUNCTION("""COMPUTED_VALUE"""),"Totvs Large Enterprise Tecnologia S.a.")</f>
        <v>Totvs Large Enterprise Tecnologia S.a.</v>
      </c>
      <c r="T3717" s="33">
        <f>IFERROR(__xludf.DUMMYFUNCTION("""COMPUTED_VALUE"""),0.6666666666666666)</f>
        <v>0.6666666667</v>
      </c>
      <c r="U3717" s="4" t="str">
        <f>IFERROR(__xludf.DUMMYFUNCTION("""COMPUTED_VALUE"""),"Totvs Large Enterprise Tecnologia S.a.")</f>
        <v>Totvs Large Enterprise Tecnologia S.a.</v>
      </c>
      <c r="V3717" s="33">
        <f>IFERROR(__xludf.DUMMYFUNCTION("""COMPUTED_VALUE"""),0.6666666666666666)</f>
        <v>0.6666666667</v>
      </c>
      <c r="W3717" s="4" t="str">
        <f>IFERROR(__xludf.DUMMYFUNCTION("""COMPUTED_VALUE"""),"Totvs Large Enterprise Tecnologia S.a.")</f>
        <v>Totvs Large Enterprise Tecnologia S.a.</v>
      </c>
      <c r="X3717" s="33">
        <f>IFERROR(__xludf.DUMMYFUNCTION("""COMPUTED_VALUE"""),0.6666666666666666)</f>
        <v>0.6666666667</v>
      </c>
    </row>
    <row r="3718">
      <c r="K3718" s="4" t="str">
        <f>IFERROR(__xludf.DUMMYFUNCTION("""COMPUTED_VALUE"""),"OHANA LASANHAS - MARCA")</f>
        <v>OHANA LASANHAS - MARCA</v>
      </c>
      <c r="L3718" s="32">
        <f>IFERROR(__xludf.DUMMYFUNCTION("""COMPUTED_VALUE"""),3.0)</f>
        <v>3</v>
      </c>
      <c r="M3718" s="4" t="str">
        <f>IFERROR(__xludf.DUMMYFUNCTION("""COMPUTED_VALUE"""),"Cardápio Web")</f>
        <v>Cardápio Web</v>
      </c>
      <c r="N3718" s="33">
        <f>IFERROR(__xludf.DUMMYFUNCTION("""COMPUTED_VALUE"""),1.0)</f>
        <v>1</v>
      </c>
      <c r="O3718" s="4" t="str">
        <f>IFERROR(__xludf.DUMMYFUNCTION("""COMPUTED_VALUE"""),"Cardápio Web")</f>
        <v>Cardápio Web</v>
      </c>
      <c r="P3718" s="33">
        <f>IFERROR(__xludf.DUMMYFUNCTION("""COMPUTED_VALUE"""),1.0)</f>
        <v>1</v>
      </c>
      <c r="Q3718" s="4" t="str">
        <f>IFERROR(__xludf.DUMMYFUNCTION("""COMPUTED_VALUE"""),"Cardápio Web")</f>
        <v>Cardápio Web</v>
      </c>
      <c r="R3718" s="33">
        <f>IFERROR(__xludf.DUMMYFUNCTION("""COMPUTED_VALUE"""),1.0)</f>
        <v>1</v>
      </c>
      <c r="S3718" s="4" t="str">
        <f>IFERROR(__xludf.DUMMYFUNCTION("""COMPUTED_VALUE"""),"Cardápio Web")</f>
        <v>Cardápio Web</v>
      </c>
      <c r="T3718" s="33">
        <f>IFERROR(__xludf.DUMMYFUNCTION("""COMPUTED_VALUE"""),1.0)</f>
        <v>1</v>
      </c>
      <c r="U3718" s="4" t="str">
        <f>IFERROR(__xludf.DUMMYFUNCTION("""COMPUTED_VALUE"""),"Suitable Tecnologia E Gestao")</f>
        <v>Suitable Tecnologia E Gestao</v>
      </c>
      <c r="V3718" s="33">
        <f>IFERROR(__xludf.DUMMYFUNCTION("""COMPUTED_VALUE"""),1.0)</f>
        <v>1</v>
      </c>
      <c r="W3718" s="4" t="str">
        <f>IFERROR(__xludf.DUMMYFUNCTION("""COMPUTED_VALUE"""),"Cardápio Web")</f>
        <v>Cardápio Web</v>
      </c>
      <c r="X3718" s="33">
        <f>IFERROR(__xludf.DUMMYFUNCTION("""COMPUTED_VALUE"""),1.0)</f>
        <v>1</v>
      </c>
    </row>
    <row r="3719">
      <c r="K3719" s="4" t="str">
        <f>IFERROR(__xludf.DUMMYFUNCTION("""COMPUTED_VALUE"""),"OLLIVETA PIZZARIA DELIVERY")</f>
        <v>OLLIVETA PIZZARIA DELIVERY</v>
      </c>
      <c r="L3719" s="32">
        <f>IFERROR(__xludf.DUMMYFUNCTION("""COMPUTED_VALUE"""),3.0)</f>
        <v>3</v>
      </c>
      <c r="M3719" s="4" t="str">
        <f>IFERROR(__xludf.DUMMYFUNCTION("""COMPUTED_VALUE"""),"Saipos Serviços De Software")</f>
        <v>Saipos Serviços De Software</v>
      </c>
      <c r="N3719" s="33">
        <f>IFERROR(__xludf.DUMMYFUNCTION("""COMPUTED_VALUE"""),1.0)</f>
        <v>1</v>
      </c>
      <c r="O3719" s="4" t="str">
        <f>IFERROR(__xludf.DUMMYFUNCTION("""COMPUTED_VALUE"""),"Saipos Serviços De Software")</f>
        <v>Saipos Serviços De Software</v>
      </c>
      <c r="P3719" s="33">
        <f>IFERROR(__xludf.DUMMYFUNCTION("""COMPUTED_VALUE"""),1.0)</f>
        <v>1</v>
      </c>
      <c r="Q3719" s="4" t="str">
        <f>IFERROR(__xludf.DUMMYFUNCTION("""COMPUTED_VALUE"""),"Saipos Serviços De Software")</f>
        <v>Saipos Serviços De Software</v>
      </c>
      <c r="R3719" s="33">
        <f>IFERROR(__xludf.DUMMYFUNCTION("""COMPUTED_VALUE"""),1.0)</f>
        <v>1</v>
      </c>
      <c r="S3719" s="4" t="str">
        <f>IFERROR(__xludf.DUMMYFUNCTION("""COMPUTED_VALUE"""),"Saipos Serviços De Software")</f>
        <v>Saipos Serviços De Software</v>
      </c>
      <c r="T3719" s="33">
        <f>IFERROR(__xludf.DUMMYFUNCTION("""COMPUTED_VALUE"""),1.0)</f>
        <v>1</v>
      </c>
      <c r="U3719" s="4" t="str">
        <f>IFERROR(__xludf.DUMMYFUNCTION("""COMPUTED_VALUE"""),"Saipos Serviços De Software")</f>
        <v>Saipos Serviços De Software</v>
      </c>
      <c r="V3719" s="33">
        <f>IFERROR(__xludf.DUMMYFUNCTION("""COMPUTED_VALUE"""),1.0)</f>
        <v>1</v>
      </c>
      <c r="W3719" s="4" t="str">
        <f>IFERROR(__xludf.DUMMYFUNCTION("""COMPUTED_VALUE"""),"Saipos Serviços De Software")</f>
        <v>Saipos Serviços De Software</v>
      </c>
      <c r="X3719" s="33">
        <f>IFERROR(__xludf.DUMMYFUNCTION("""COMPUTED_VALUE"""),1.0)</f>
        <v>1</v>
      </c>
    </row>
    <row r="3720">
      <c r="K3720" s="4" t="str">
        <f>IFERROR(__xludf.DUMMYFUNCTION("""COMPUTED_VALUE"""),"ORIENTAL SUSHI - MANAUS")</f>
        <v>ORIENTAL SUSHI - MANAUS</v>
      </c>
      <c r="L3720" s="32">
        <f>IFERROR(__xludf.DUMMYFUNCTION("""COMPUTED_VALUE"""),3.0)</f>
        <v>3</v>
      </c>
      <c r="M3720" s="4" t="str">
        <f>IFERROR(__xludf.DUMMYFUNCTION("""COMPUTED_VALUE"""),"Saipos Serviços De Software")</f>
        <v>Saipos Serviços De Software</v>
      </c>
      <c r="N3720" s="33">
        <f>IFERROR(__xludf.DUMMYFUNCTION("""COMPUTED_VALUE"""),1.0)</f>
        <v>1</v>
      </c>
      <c r="O3720" s="4" t="str">
        <f>IFERROR(__xludf.DUMMYFUNCTION("""COMPUTED_VALUE"""),"Saipos Serviços De Software")</f>
        <v>Saipos Serviços De Software</v>
      </c>
      <c r="P3720" s="33">
        <f>IFERROR(__xludf.DUMMYFUNCTION("""COMPUTED_VALUE"""),1.0)</f>
        <v>1</v>
      </c>
      <c r="Q3720" s="4" t="str">
        <f>IFERROR(__xludf.DUMMYFUNCTION("""COMPUTED_VALUE"""),"Saipos Serviços De Software")</f>
        <v>Saipos Serviços De Software</v>
      </c>
      <c r="R3720" s="33">
        <f>IFERROR(__xludf.DUMMYFUNCTION("""COMPUTED_VALUE"""),1.0)</f>
        <v>1</v>
      </c>
      <c r="S3720" s="4" t="str">
        <f>IFERROR(__xludf.DUMMYFUNCTION("""COMPUTED_VALUE"""),"Saipos Serviços De Software")</f>
        <v>Saipos Serviços De Software</v>
      </c>
      <c r="T3720" s="33">
        <f>IFERROR(__xludf.DUMMYFUNCTION("""COMPUTED_VALUE"""),1.0)</f>
        <v>1</v>
      </c>
      <c r="U3720" s="4" t="str">
        <f>IFERROR(__xludf.DUMMYFUNCTION("""COMPUTED_VALUE"""),"Saipos Serviços De Software")</f>
        <v>Saipos Serviços De Software</v>
      </c>
      <c r="V3720" s="33">
        <f>IFERROR(__xludf.DUMMYFUNCTION("""COMPUTED_VALUE"""),1.0)</f>
        <v>1</v>
      </c>
      <c r="W3720" s="4" t="str">
        <f>IFERROR(__xludf.DUMMYFUNCTION("""COMPUTED_VALUE"""),"Saipos Serviços De Software")</f>
        <v>Saipos Serviços De Software</v>
      </c>
      <c r="X3720" s="33">
        <f>IFERROR(__xludf.DUMMYFUNCTION("""COMPUTED_VALUE"""),1.0)</f>
        <v>1</v>
      </c>
    </row>
    <row r="3721">
      <c r="K3721" s="4" t="str">
        <f>IFERROR(__xludf.DUMMYFUNCTION("""COMPUTED_VALUE"""),"ORYMAKI SUSHI HOUSE - CONTA MARCA")</f>
        <v>ORYMAKI SUSHI HOUSE - CONTA MARCA</v>
      </c>
      <c r="L3721" s="32">
        <f>IFERROR(__xludf.DUMMYFUNCTION("""COMPUTED_VALUE"""),3.0)</f>
        <v>3</v>
      </c>
      <c r="M3721" s="4" t="str">
        <f>IFERROR(__xludf.DUMMYFUNCTION("""COMPUTED_VALUE"""),"null")</f>
        <v>null</v>
      </c>
      <c r="N3721" s="33">
        <f>IFERROR(__xludf.DUMMYFUNCTION("""COMPUTED_VALUE"""),0.6666666666666666)</f>
        <v>0.6666666667</v>
      </c>
      <c r="O3721" s="4" t="str">
        <f>IFERROR(__xludf.DUMMYFUNCTION("""COMPUTED_VALUE"""),"Saipos Serviços De Software")</f>
        <v>Saipos Serviços De Software</v>
      </c>
      <c r="P3721" s="33">
        <f>IFERROR(__xludf.DUMMYFUNCTION("""COMPUTED_VALUE"""),0.6666666666666666)</f>
        <v>0.6666666667</v>
      </c>
      <c r="Q3721" s="4" t="str">
        <f>IFERROR(__xludf.DUMMYFUNCTION("""COMPUTED_VALUE"""),"Saipos Serviços De Software")</f>
        <v>Saipos Serviços De Software</v>
      </c>
      <c r="R3721" s="33">
        <f>IFERROR(__xludf.DUMMYFUNCTION("""COMPUTED_VALUE"""),0.6666666666666666)</f>
        <v>0.6666666667</v>
      </c>
      <c r="S3721" s="4" t="str">
        <f>IFERROR(__xludf.DUMMYFUNCTION("""COMPUTED_VALUE"""),"Saipos Serviços De Software")</f>
        <v>Saipos Serviços De Software</v>
      </c>
      <c r="T3721" s="33">
        <f>IFERROR(__xludf.DUMMYFUNCTION("""COMPUTED_VALUE"""),0.6666666666666666)</f>
        <v>0.6666666667</v>
      </c>
      <c r="U3721" s="4" t="str">
        <f>IFERROR(__xludf.DUMMYFUNCTION("""COMPUTED_VALUE"""),"Saipos Serviços De Software")</f>
        <v>Saipos Serviços De Software</v>
      </c>
      <c r="V3721" s="33">
        <f>IFERROR(__xludf.DUMMYFUNCTION("""COMPUTED_VALUE"""),0.6666666666666666)</f>
        <v>0.6666666667</v>
      </c>
      <c r="W3721" s="4" t="str">
        <f>IFERROR(__xludf.DUMMYFUNCTION("""COMPUTED_VALUE"""),"Saipos Serviços De Software")</f>
        <v>Saipos Serviços De Software</v>
      </c>
      <c r="X3721" s="33">
        <f>IFERROR(__xludf.DUMMYFUNCTION("""COMPUTED_VALUE"""),0.6666666666666666)</f>
        <v>0.6666666667</v>
      </c>
    </row>
    <row r="3722">
      <c r="K3722" s="4" t="str">
        <f>IFERROR(__xludf.DUMMYFUNCTION("""COMPUTED_VALUE"""),"OTTA SUSHI")</f>
        <v>OTTA SUSHI</v>
      </c>
      <c r="L3722" s="32">
        <f>IFERROR(__xludf.DUMMYFUNCTION("""COMPUTED_VALUE"""),3.0)</f>
        <v>3</v>
      </c>
      <c r="M3722" s="4" t="str">
        <f>IFERROR(__xludf.DUMMYFUNCTION("""COMPUTED_VALUE"""),"Menew - Linx")</f>
        <v>Menew - Linx</v>
      </c>
      <c r="N3722" s="33">
        <f>IFERROR(__xludf.DUMMYFUNCTION("""COMPUTED_VALUE"""),1.0)</f>
        <v>1</v>
      </c>
      <c r="O3722" s="4" t="str">
        <f>IFERROR(__xludf.DUMMYFUNCTION("""COMPUTED_VALUE"""),"Menew - Linx")</f>
        <v>Menew - Linx</v>
      </c>
      <c r="P3722" s="33">
        <f>IFERROR(__xludf.DUMMYFUNCTION("""COMPUTED_VALUE"""),1.0)</f>
        <v>1</v>
      </c>
      <c r="Q3722" s="4" t="str">
        <f>IFERROR(__xludf.DUMMYFUNCTION("""COMPUTED_VALUE"""),"Menew - Linx")</f>
        <v>Menew - Linx</v>
      </c>
      <c r="R3722" s="33">
        <f>IFERROR(__xludf.DUMMYFUNCTION("""COMPUTED_VALUE"""),1.0)</f>
        <v>1</v>
      </c>
      <c r="S3722" s="4" t="str">
        <f>IFERROR(__xludf.DUMMYFUNCTION("""COMPUTED_VALUE"""),"Menew - Linx")</f>
        <v>Menew - Linx</v>
      </c>
      <c r="T3722" s="33">
        <f>IFERROR(__xludf.DUMMYFUNCTION("""COMPUTED_VALUE"""),0.6666666666666666)</f>
        <v>0.6666666667</v>
      </c>
      <c r="U3722" s="4" t="str">
        <f>IFERROR(__xludf.DUMMYFUNCTION("""COMPUTED_VALUE"""),"Menew - Linx")</f>
        <v>Menew - Linx</v>
      </c>
      <c r="V3722" s="33">
        <f>IFERROR(__xludf.DUMMYFUNCTION("""COMPUTED_VALUE"""),0.6666666666666666)</f>
        <v>0.6666666667</v>
      </c>
      <c r="W3722" s="4" t="str">
        <f>IFERROR(__xludf.DUMMYFUNCTION("""COMPUTED_VALUE"""),"Menew - Linx")</f>
        <v>Menew - Linx</v>
      </c>
      <c r="X3722" s="33">
        <f>IFERROR(__xludf.DUMMYFUNCTION("""COMPUTED_VALUE"""),0.6666666666666666)</f>
        <v>0.6666666667</v>
      </c>
    </row>
    <row r="3723">
      <c r="K3723" s="4" t="str">
        <f>IFERROR(__xludf.DUMMYFUNCTION("""COMPUTED_VALUE"""),"PADARIA VALLE FORMOSO")</f>
        <v>PADARIA VALLE FORMOSO</v>
      </c>
      <c r="L3723" s="32">
        <f>IFERROR(__xludf.DUMMYFUNCTION("""COMPUTED_VALUE"""),3.0)</f>
        <v>3</v>
      </c>
      <c r="M3723" s="4" t="str">
        <f>IFERROR(__xludf.DUMMYFUNCTION("""COMPUTED_VALUE"""),"T4l Tecnologia Ltda Me")</f>
        <v>T4l Tecnologia Ltda Me</v>
      </c>
      <c r="N3723" s="33">
        <f>IFERROR(__xludf.DUMMYFUNCTION("""COMPUTED_VALUE"""),0.6666666666666666)</f>
        <v>0.6666666667</v>
      </c>
      <c r="O3723" s="4" t="str">
        <f>IFERROR(__xludf.DUMMYFUNCTION("""COMPUTED_VALUE"""),"T4l Tecnologia Ltda Me")</f>
        <v>T4l Tecnologia Ltda Me</v>
      </c>
      <c r="P3723" s="33">
        <f>IFERROR(__xludf.DUMMYFUNCTION("""COMPUTED_VALUE"""),0.6666666666666666)</f>
        <v>0.6666666667</v>
      </c>
      <c r="Q3723" s="4" t="str">
        <f>IFERROR(__xludf.DUMMYFUNCTION("""COMPUTED_VALUE"""),"T4l Tecnologia Ltda Me")</f>
        <v>T4l Tecnologia Ltda Me</v>
      </c>
      <c r="R3723" s="33">
        <f>IFERROR(__xludf.DUMMYFUNCTION("""COMPUTED_VALUE"""),0.6666666666666666)</f>
        <v>0.6666666667</v>
      </c>
      <c r="S3723" s="4" t="str">
        <f>IFERROR(__xludf.DUMMYFUNCTION("""COMPUTED_VALUE"""),"null")</f>
        <v>null</v>
      </c>
      <c r="T3723" s="33">
        <f>IFERROR(__xludf.DUMMYFUNCTION("""COMPUTED_VALUE"""),0.6666666666666666)</f>
        <v>0.6666666667</v>
      </c>
      <c r="U3723" s="4" t="str">
        <f>IFERROR(__xludf.DUMMYFUNCTION("""COMPUTED_VALUE"""),"T4l Tecnologia Ltda Me")</f>
        <v>T4l Tecnologia Ltda Me</v>
      </c>
      <c r="V3723" s="33">
        <f>IFERROR(__xludf.DUMMYFUNCTION("""COMPUTED_VALUE"""),1.0)</f>
        <v>1</v>
      </c>
      <c r="W3723" s="4" t="str">
        <f>IFERROR(__xludf.DUMMYFUNCTION("""COMPUTED_VALUE"""),"T4l Tecnologia Ltda Me")</f>
        <v>T4l Tecnologia Ltda Me</v>
      </c>
      <c r="X3723" s="33">
        <f>IFERROR(__xludf.DUMMYFUNCTION("""COMPUTED_VALUE"""),0.6666666666666666)</f>
        <v>0.6666666667</v>
      </c>
    </row>
    <row r="3724">
      <c r="K3724" s="4" t="str">
        <f>IFERROR(__xludf.DUMMYFUNCTION("""COMPUTED_VALUE"""),"PAELO HAMBURGUERIA")</f>
        <v>PAELO HAMBURGUERIA</v>
      </c>
      <c r="L3724" s="32">
        <f>IFERROR(__xludf.DUMMYFUNCTION("""COMPUTED_VALUE"""),3.0)</f>
        <v>3</v>
      </c>
      <c r="M3724" s="4" t="str">
        <f>IFERROR(__xludf.DUMMYFUNCTION("""COMPUTED_VALUE"""),"Saipos Serviços De Software")</f>
        <v>Saipos Serviços De Software</v>
      </c>
      <c r="N3724" s="33">
        <f>IFERROR(__xludf.DUMMYFUNCTION("""COMPUTED_VALUE"""),0.6666666666666666)</f>
        <v>0.6666666667</v>
      </c>
      <c r="O3724" s="4" t="str">
        <f>IFERROR(__xludf.DUMMYFUNCTION("""COMPUTED_VALUE"""),"Saipos Serviços De Software")</f>
        <v>Saipos Serviços De Software</v>
      </c>
      <c r="P3724" s="33">
        <f>IFERROR(__xludf.DUMMYFUNCTION("""COMPUTED_VALUE"""),0.6666666666666666)</f>
        <v>0.6666666667</v>
      </c>
      <c r="Q3724" s="4" t="str">
        <f>IFERROR(__xludf.DUMMYFUNCTION("""COMPUTED_VALUE"""),"Saipos Serviços De Software")</f>
        <v>Saipos Serviços De Software</v>
      </c>
      <c r="R3724" s="33">
        <f>IFERROR(__xludf.DUMMYFUNCTION("""COMPUTED_VALUE"""),0.6666666666666666)</f>
        <v>0.6666666667</v>
      </c>
      <c r="S3724" s="4" t="str">
        <f>IFERROR(__xludf.DUMMYFUNCTION("""COMPUTED_VALUE"""),"Saipos Serviços De Software")</f>
        <v>Saipos Serviços De Software</v>
      </c>
      <c r="T3724" s="33">
        <f>IFERROR(__xludf.DUMMYFUNCTION("""COMPUTED_VALUE"""),0.6666666666666666)</f>
        <v>0.6666666667</v>
      </c>
      <c r="U3724" s="4" t="str">
        <f>IFERROR(__xludf.DUMMYFUNCTION("""COMPUTED_VALUE"""),"Saipos Serviços De Software")</f>
        <v>Saipos Serviços De Software</v>
      </c>
      <c r="V3724" s="33">
        <f>IFERROR(__xludf.DUMMYFUNCTION("""COMPUTED_VALUE"""),0.6666666666666666)</f>
        <v>0.6666666667</v>
      </c>
      <c r="W3724" s="4" t="str">
        <f>IFERROR(__xludf.DUMMYFUNCTION("""COMPUTED_VALUE"""),"Saipos Serviços De Software")</f>
        <v>Saipos Serviços De Software</v>
      </c>
      <c r="X3724" s="33">
        <f>IFERROR(__xludf.DUMMYFUNCTION("""COMPUTED_VALUE"""),0.6666666666666666)</f>
        <v>0.6666666667</v>
      </c>
    </row>
    <row r="3725">
      <c r="K3725" s="4" t="str">
        <f>IFERROR(__xludf.DUMMYFUNCTION("""COMPUTED_VALUE"""),"PAHU POKE")</f>
        <v>PAHU POKE</v>
      </c>
      <c r="L3725" s="32">
        <f>IFERROR(__xludf.DUMMYFUNCTION("""COMPUTED_VALUE"""),3.0)</f>
        <v>3</v>
      </c>
      <c r="M3725" s="4" t="str">
        <f>IFERROR(__xludf.DUMMYFUNCTION("""COMPUTED_VALUE"""),"Vuca Solution")</f>
        <v>Vuca Solution</v>
      </c>
      <c r="N3725" s="33">
        <f>IFERROR(__xludf.DUMMYFUNCTION("""COMPUTED_VALUE"""),1.0)</f>
        <v>1</v>
      </c>
      <c r="O3725" s="4" t="str">
        <f>IFERROR(__xludf.DUMMYFUNCTION("""COMPUTED_VALUE"""),"Saipos Serviços De Software")</f>
        <v>Saipos Serviços De Software</v>
      </c>
      <c r="P3725" s="33">
        <f>IFERROR(__xludf.DUMMYFUNCTION("""COMPUTED_VALUE"""),1.0)</f>
        <v>1</v>
      </c>
      <c r="Q3725" s="4" t="str">
        <f>IFERROR(__xludf.DUMMYFUNCTION("""COMPUTED_VALUE"""),"Saipos Serviços De Software")</f>
        <v>Saipos Serviços De Software</v>
      </c>
      <c r="R3725" s="33">
        <f>IFERROR(__xludf.DUMMYFUNCTION("""COMPUTED_VALUE"""),1.0)</f>
        <v>1</v>
      </c>
      <c r="S3725" s="4" t="str">
        <f>IFERROR(__xludf.DUMMYFUNCTION("""COMPUTED_VALUE"""),"Saipos Serviços De Software")</f>
        <v>Saipos Serviços De Software</v>
      </c>
      <c r="T3725" s="33">
        <f>IFERROR(__xludf.DUMMYFUNCTION("""COMPUTED_VALUE"""),1.0)</f>
        <v>1</v>
      </c>
      <c r="U3725" s="4" t="str">
        <f>IFERROR(__xludf.DUMMYFUNCTION("""COMPUTED_VALUE"""),"Saipos Serviços De Software")</f>
        <v>Saipos Serviços De Software</v>
      </c>
      <c r="V3725" s="33">
        <f>IFERROR(__xludf.DUMMYFUNCTION("""COMPUTED_VALUE"""),1.0)</f>
        <v>1</v>
      </c>
      <c r="W3725" s="4" t="str">
        <f>IFERROR(__xludf.DUMMYFUNCTION("""COMPUTED_VALUE"""),"Saipos Serviços De Software")</f>
        <v>Saipos Serviços De Software</v>
      </c>
      <c r="X3725" s="33">
        <f>IFERROR(__xludf.DUMMYFUNCTION("""COMPUTED_VALUE"""),1.0)</f>
        <v>1</v>
      </c>
    </row>
    <row r="3726">
      <c r="K3726" s="4" t="str">
        <f>IFERROR(__xludf.DUMMYFUNCTION("""COMPUTED_VALUE"""),"PALATO SUPERMERCADO - CONTA PAI")</f>
        <v>PALATO SUPERMERCADO - CONTA PAI</v>
      </c>
      <c r="L3726" s="32">
        <f>IFERROR(__xludf.DUMMYFUNCTION("""COMPUTED_VALUE"""),3.0)</f>
        <v>3</v>
      </c>
      <c r="M3726" s="4" t="str">
        <f>IFERROR(__xludf.DUMMYFUNCTION("""COMPUTED_VALUE"""),"N/A (Not found)")</f>
        <v>N/A (Not found)</v>
      </c>
      <c r="N3726" s="33">
        <f>IFERROR(__xludf.DUMMYFUNCTION("""COMPUTED_VALUE"""),1.0)</f>
        <v>1</v>
      </c>
      <c r="O3726" s="4" t="str">
        <f>IFERROR(__xludf.DUMMYFUNCTION("""COMPUTED_VALUE"""),"N/A (Not found)")</f>
        <v>N/A (Not found)</v>
      </c>
      <c r="P3726" s="33">
        <f>IFERROR(__xludf.DUMMYFUNCTION("""COMPUTED_VALUE"""),1.0)</f>
        <v>1</v>
      </c>
      <c r="Q3726" s="4" t="str">
        <f>IFERROR(__xludf.DUMMYFUNCTION("""COMPUTED_VALUE"""),"N/A (Not found)")</f>
        <v>N/A (Not found)</v>
      </c>
      <c r="R3726" s="33">
        <f>IFERROR(__xludf.DUMMYFUNCTION("""COMPUTED_VALUE"""),1.0)</f>
        <v>1</v>
      </c>
      <c r="S3726" s="4" t="str">
        <f>IFERROR(__xludf.DUMMYFUNCTION("""COMPUTED_VALUE"""),"N/A (Not found)")</f>
        <v>N/A (Not found)</v>
      </c>
      <c r="T3726" s="33">
        <f>IFERROR(__xludf.DUMMYFUNCTION("""COMPUTED_VALUE"""),1.0)</f>
        <v>1</v>
      </c>
      <c r="U3726" s="4" t="str">
        <f>IFERROR(__xludf.DUMMYFUNCTION("""COMPUTED_VALUE"""),"N/A (Not found)")</f>
        <v>N/A (Not found)</v>
      </c>
      <c r="V3726" s="33">
        <f>IFERROR(__xludf.DUMMYFUNCTION("""COMPUTED_VALUE"""),1.0)</f>
        <v>1</v>
      </c>
      <c r="W3726" s="4" t="str">
        <f>IFERROR(__xludf.DUMMYFUNCTION("""COMPUTED_VALUE"""),"N/A (Not found)")</f>
        <v>N/A (Not found)</v>
      </c>
      <c r="X3726" s="33">
        <f>IFERROR(__xludf.DUMMYFUNCTION("""COMPUTED_VALUE"""),1.0)</f>
        <v>1</v>
      </c>
    </row>
    <row r="3727">
      <c r="K3727" s="4" t="str">
        <f>IFERROR(__xludf.DUMMYFUNCTION("""COMPUTED_VALUE"""),"PANELA DE BARRO")</f>
        <v>PANELA DE BARRO</v>
      </c>
      <c r="L3727" s="32">
        <f>IFERROR(__xludf.DUMMYFUNCTION("""COMPUTED_VALUE"""),3.0)</f>
        <v>3</v>
      </c>
      <c r="M3727" s="4" t="str">
        <f>IFERROR(__xludf.DUMMYFUNCTION("""COMPUTED_VALUE"""),"Cardápio Web")</f>
        <v>Cardápio Web</v>
      </c>
      <c r="N3727" s="33">
        <f>IFERROR(__xludf.DUMMYFUNCTION("""COMPUTED_VALUE"""),0.6666666666666666)</f>
        <v>0.6666666667</v>
      </c>
      <c r="O3727" s="4" t="str">
        <f>IFERROR(__xludf.DUMMYFUNCTION("""COMPUTED_VALUE"""),"Cardápio Web")</f>
        <v>Cardápio Web</v>
      </c>
      <c r="P3727" s="33">
        <f>IFERROR(__xludf.DUMMYFUNCTION("""COMPUTED_VALUE"""),0.6666666666666666)</f>
        <v>0.6666666667</v>
      </c>
      <c r="Q3727" s="4" t="str">
        <f>IFERROR(__xludf.DUMMYFUNCTION("""COMPUTED_VALUE"""),"Cardápio Web")</f>
        <v>Cardápio Web</v>
      </c>
      <c r="R3727" s="33">
        <f>IFERROR(__xludf.DUMMYFUNCTION("""COMPUTED_VALUE"""),0.6666666666666666)</f>
        <v>0.6666666667</v>
      </c>
      <c r="S3727" s="4" t="str">
        <f>IFERROR(__xludf.DUMMYFUNCTION("""COMPUTED_VALUE"""),"Cardápio Web")</f>
        <v>Cardápio Web</v>
      </c>
      <c r="T3727" s="33">
        <f>IFERROR(__xludf.DUMMYFUNCTION("""COMPUTED_VALUE"""),0.6666666666666666)</f>
        <v>0.6666666667</v>
      </c>
      <c r="U3727" s="4" t="str">
        <f>IFERROR(__xludf.DUMMYFUNCTION("""COMPUTED_VALUE"""),"Cardápio Web")</f>
        <v>Cardápio Web</v>
      </c>
      <c r="V3727" s="33">
        <f>IFERROR(__xludf.DUMMYFUNCTION("""COMPUTED_VALUE"""),0.6666666666666666)</f>
        <v>0.6666666667</v>
      </c>
      <c r="W3727" s="4" t="str">
        <f>IFERROR(__xludf.DUMMYFUNCTION("""COMPUTED_VALUE"""),"Cardápio Web")</f>
        <v>Cardápio Web</v>
      </c>
      <c r="X3727" s="33">
        <f>IFERROR(__xludf.DUMMYFUNCTION("""COMPUTED_VALUE"""),0.6666666666666666)</f>
        <v>0.6666666667</v>
      </c>
    </row>
    <row r="3728">
      <c r="K3728" s="4" t="str">
        <f>IFERROR(__xludf.DUMMYFUNCTION("""COMPUTED_VALUE"""),"PANTANO LANCHES")</f>
        <v>PANTANO LANCHES</v>
      </c>
      <c r="L3728" s="32">
        <f>IFERROR(__xludf.DUMMYFUNCTION("""COMPUTED_VALUE"""),3.0)</f>
        <v>3</v>
      </c>
      <c r="M3728" s="4" t="str">
        <f>IFERROR(__xludf.DUMMYFUNCTION("""COMPUTED_VALUE"""),"Cloudfy")</f>
        <v>Cloudfy</v>
      </c>
      <c r="N3728" s="33">
        <f>IFERROR(__xludf.DUMMYFUNCTION("""COMPUTED_VALUE"""),0.6666666666666666)</f>
        <v>0.6666666667</v>
      </c>
      <c r="O3728" s="4" t="str">
        <f>IFERROR(__xludf.DUMMYFUNCTION("""COMPUTED_VALUE"""),"Cloudfy")</f>
        <v>Cloudfy</v>
      </c>
      <c r="P3728" s="33">
        <f>IFERROR(__xludf.DUMMYFUNCTION("""COMPUTED_VALUE"""),0.6666666666666666)</f>
        <v>0.6666666667</v>
      </c>
      <c r="Q3728" s="4" t="str">
        <f>IFERROR(__xludf.DUMMYFUNCTION("""COMPUTED_VALUE"""),"Cloudfy")</f>
        <v>Cloudfy</v>
      </c>
      <c r="R3728" s="33">
        <f>IFERROR(__xludf.DUMMYFUNCTION("""COMPUTED_VALUE"""),0.6666666666666666)</f>
        <v>0.6666666667</v>
      </c>
      <c r="S3728" s="4" t="str">
        <f>IFERROR(__xludf.DUMMYFUNCTION("""COMPUTED_VALUE"""),"Cloudfy")</f>
        <v>Cloudfy</v>
      </c>
      <c r="T3728" s="33">
        <f>IFERROR(__xludf.DUMMYFUNCTION("""COMPUTED_VALUE"""),0.6666666666666666)</f>
        <v>0.6666666667</v>
      </c>
      <c r="U3728" s="4" t="str">
        <f>IFERROR(__xludf.DUMMYFUNCTION("""COMPUTED_VALUE"""),"Cloudfy")</f>
        <v>Cloudfy</v>
      </c>
      <c r="V3728" s="33">
        <f>IFERROR(__xludf.DUMMYFUNCTION("""COMPUTED_VALUE"""),0.6666666666666666)</f>
        <v>0.6666666667</v>
      </c>
      <c r="W3728" s="4" t="str">
        <f>IFERROR(__xludf.DUMMYFUNCTION("""COMPUTED_VALUE"""),"Cloudfy")</f>
        <v>Cloudfy</v>
      </c>
      <c r="X3728" s="33">
        <f>IFERROR(__xludf.DUMMYFUNCTION("""COMPUTED_VALUE"""),0.6666666666666666)</f>
        <v>0.6666666667</v>
      </c>
    </row>
    <row r="3729">
      <c r="K3729" s="4" t="str">
        <f>IFERROR(__xludf.DUMMYFUNCTION("""COMPUTED_VALUE"""),"PAO DE TRIGO CONTA MARCA")</f>
        <v>PAO DE TRIGO CONTA MARCA</v>
      </c>
      <c r="L3729" s="32">
        <f>IFERROR(__xludf.DUMMYFUNCTION("""COMPUTED_VALUE"""),3.0)</f>
        <v>3</v>
      </c>
      <c r="M3729" s="4" t="str">
        <f>IFERROR(__xludf.DUMMYFUNCTION("""COMPUTED_VALUE"""),"Tecnoweb Informatica Ltda")</f>
        <v>Tecnoweb Informatica Ltda</v>
      </c>
      <c r="N3729" s="33">
        <f>IFERROR(__xludf.DUMMYFUNCTION("""COMPUTED_VALUE"""),0.6666666666666666)</f>
        <v>0.6666666667</v>
      </c>
      <c r="O3729" s="4" t="str">
        <f>IFERROR(__xludf.DUMMYFUNCTION("""COMPUTED_VALUE"""),"Tecnoweb Informatica Ltda")</f>
        <v>Tecnoweb Informatica Ltda</v>
      </c>
      <c r="P3729" s="33">
        <f>IFERROR(__xludf.DUMMYFUNCTION("""COMPUTED_VALUE"""),0.6666666666666666)</f>
        <v>0.6666666667</v>
      </c>
      <c r="Q3729" s="4" t="str">
        <f>IFERROR(__xludf.DUMMYFUNCTION("""COMPUTED_VALUE"""),"Tecnoweb Informatica Ltda")</f>
        <v>Tecnoweb Informatica Ltda</v>
      </c>
      <c r="R3729" s="33">
        <f>IFERROR(__xludf.DUMMYFUNCTION("""COMPUTED_VALUE"""),0.6666666666666666)</f>
        <v>0.6666666667</v>
      </c>
      <c r="S3729" s="4" t="str">
        <f>IFERROR(__xludf.DUMMYFUNCTION("""COMPUTED_VALUE"""),"Tecnoweb Informatica Ltda")</f>
        <v>Tecnoweb Informatica Ltda</v>
      </c>
      <c r="T3729" s="33">
        <f>IFERROR(__xludf.DUMMYFUNCTION("""COMPUTED_VALUE"""),1.0)</f>
        <v>1</v>
      </c>
      <c r="U3729" s="4" t="str">
        <f>IFERROR(__xludf.DUMMYFUNCTION("""COMPUTED_VALUE"""),"Tecnoweb Informatica Ltda")</f>
        <v>Tecnoweb Informatica Ltda</v>
      </c>
      <c r="V3729" s="33">
        <f>IFERROR(__xludf.DUMMYFUNCTION("""COMPUTED_VALUE"""),0.6666666666666666)</f>
        <v>0.6666666667</v>
      </c>
      <c r="W3729" s="4" t="str">
        <f>IFERROR(__xludf.DUMMYFUNCTION("""COMPUTED_VALUE"""),"Tecnoweb Informatica Ltda")</f>
        <v>Tecnoweb Informatica Ltda</v>
      </c>
      <c r="X3729" s="33">
        <f>IFERROR(__xludf.DUMMYFUNCTION("""COMPUTED_VALUE"""),1.0)</f>
        <v>1</v>
      </c>
    </row>
    <row r="3730">
      <c r="K3730" s="4" t="str">
        <f>IFERROR(__xludf.DUMMYFUNCTION("""COMPUTED_VALUE"""),"KRISPY KREME")</f>
        <v>KRISPY KREME</v>
      </c>
      <c r="L3730" s="32">
        <f>IFERROR(__xludf.DUMMYFUNCTION("""COMPUTED_VALUE"""),3.0)</f>
        <v>3</v>
      </c>
      <c r="M3730" s="4" t="str">
        <f>IFERROR(__xludf.DUMMYFUNCTION("""COMPUTED_VALUE"""),"null")</f>
        <v>null</v>
      </c>
      <c r="N3730" s="33">
        <f>IFERROR(__xludf.DUMMYFUNCTION("""COMPUTED_VALUE"""),0.6666666666666666)</f>
        <v>0.6666666667</v>
      </c>
      <c r="O3730" s="4" t="str">
        <f>IFERROR(__xludf.DUMMYFUNCTION("""COMPUTED_VALUE"""),"null")</f>
        <v>null</v>
      </c>
      <c r="P3730" s="33">
        <f>IFERROR(__xludf.DUMMYFUNCTION("""COMPUTED_VALUE"""),0.6666666666666666)</f>
        <v>0.6666666667</v>
      </c>
      <c r="Q3730" s="4" t="str">
        <f>IFERROR(__xludf.DUMMYFUNCTION("""COMPUTED_VALUE"""),"null")</f>
        <v>null</v>
      </c>
      <c r="R3730" s="33">
        <f>IFERROR(__xludf.DUMMYFUNCTION("""COMPUTED_VALUE"""),0.6666666666666666)</f>
        <v>0.6666666667</v>
      </c>
      <c r="S3730" s="4" t="str">
        <f>IFERROR(__xludf.DUMMYFUNCTION("""COMPUTED_VALUE"""),"E-deploy Retail")</f>
        <v>E-deploy Retail</v>
      </c>
      <c r="T3730" s="33">
        <f>IFERROR(__xludf.DUMMYFUNCTION("""COMPUTED_VALUE"""),1.0)</f>
        <v>1</v>
      </c>
      <c r="U3730" s="4" t="str">
        <f>IFERROR(__xludf.DUMMYFUNCTION("""COMPUTED_VALUE"""),"E-deploy Retail")</f>
        <v>E-deploy Retail</v>
      </c>
      <c r="V3730" s="33">
        <f>IFERROR(__xludf.DUMMYFUNCTION("""COMPUTED_VALUE"""),1.0)</f>
        <v>1</v>
      </c>
      <c r="W3730" s="4" t="str">
        <f>IFERROR(__xludf.DUMMYFUNCTION("""COMPUTED_VALUE"""),"E-deploy Retail")</f>
        <v>E-deploy Retail</v>
      </c>
      <c r="X3730" s="33">
        <f>IFERROR(__xludf.DUMMYFUNCTION("""COMPUTED_VALUE"""),1.0)</f>
        <v>1</v>
      </c>
    </row>
    <row r="3731">
      <c r="K3731" s="4" t="str">
        <f>IFERROR(__xludf.DUMMYFUNCTION("""COMPUTED_VALUE"""),"PAPPARELLA PIZZARIA")</f>
        <v>PAPPARELLA PIZZARIA</v>
      </c>
      <c r="L3731" s="32">
        <f>IFERROR(__xludf.DUMMYFUNCTION("""COMPUTED_VALUE"""),3.0)</f>
        <v>3</v>
      </c>
      <c r="M3731" s="4" t="str">
        <f>IFERROR(__xludf.DUMMYFUNCTION("""COMPUTED_VALUE"""),"Osdweb Informatica Ltda  - Panterafood")</f>
        <v>Osdweb Informatica Ltda  - Panterafood</v>
      </c>
      <c r="N3731" s="33">
        <f>IFERROR(__xludf.DUMMYFUNCTION("""COMPUTED_VALUE"""),0.3333333333333333)</f>
        <v>0.3333333333</v>
      </c>
      <c r="O3731" s="4" t="str">
        <f>IFERROR(__xludf.DUMMYFUNCTION("""COMPUTED_VALUE"""),"null")</f>
        <v>null</v>
      </c>
      <c r="P3731" s="33">
        <f>IFERROR(__xludf.DUMMYFUNCTION("""COMPUTED_VALUE"""),0.6666666666666666)</f>
        <v>0.6666666667</v>
      </c>
      <c r="Q3731" s="4" t="str">
        <f>IFERROR(__xludf.DUMMYFUNCTION("""COMPUTED_VALUE"""),"Osdweb Informatica Ltda  - Panterafood")</f>
        <v>Osdweb Informatica Ltda  - Panterafood</v>
      </c>
      <c r="R3731" s="33">
        <f>IFERROR(__xludf.DUMMYFUNCTION("""COMPUTED_VALUE"""),0.3333333333333333)</f>
        <v>0.3333333333</v>
      </c>
      <c r="S3731" s="4" t="str">
        <f>IFERROR(__xludf.DUMMYFUNCTION("""COMPUTED_VALUE"""),"null")</f>
        <v>null</v>
      </c>
      <c r="T3731" s="33">
        <f>IFERROR(__xludf.DUMMYFUNCTION("""COMPUTED_VALUE"""),0.6666666666666666)</f>
        <v>0.6666666667</v>
      </c>
      <c r="U3731" s="4" t="str">
        <f>IFERROR(__xludf.DUMMYFUNCTION("""COMPUTED_VALUE"""),"null")</f>
        <v>null</v>
      </c>
      <c r="V3731" s="33">
        <f>IFERROR(__xludf.DUMMYFUNCTION("""COMPUTED_VALUE"""),0.6666666666666666)</f>
        <v>0.6666666667</v>
      </c>
      <c r="W3731" s="4" t="str">
        <f>IFERROR(__xludf.DUMMYFUNCTION("""COMPUTED_VALUE"""),"Saipos Serviços De Software")</f>
        <v>Saipos Serviços De Software</v>
      </c>
      <c r="X3731" s="33">
        <f>IFERROR(__xludf.DUMMYFUNCTION("""COMPUTED_VALUE"""),0.6666666666666666)</f>
        <v>0.6666666667</v>
      </c>
    </row>
    <row r="3732">
      <c r="K3732" s="4" t="str">
        <f>IFERROR(__xludf.DUMMYFUNCTION("""COMPUTED_VALUE"""),"PARAIBA DAS ARABIAS ESFIHARIA")</f>
        <v>PARAIBA DAS ARABIAS ESFIHARIA</v>
      </c>
      <c r="L3732" s="32">
        <f>IFERROR(__xludf.DUMMYFUNCTION("""COMPUTED_VALUE"""),3.0)</f>
        <v>3</v>
      </c>
      <c r="M3732" s="4" t="str">
        <f>IFERROR(__xludf.DUMMYFUNCTION("""COMPUTED_VALUE"""),"Saipos Serviços De Software")</f>
        <v>Saipos Serviços De Software</v>
      </c>
      <c r="N3732" s="33">
        <f>IFERROR(__xludf.DUMMYFUNCTION("""COMPUTED_VALUE"""),0.6666666666666666)</f>
        <v>0.6666666667</v>
      </c>
      <c r="O3732" s="4" t="str">
        <f>IFERROR(__xludf.DUMMYFUNCTION("""COMPUTED_VALUE"""),"Saipos Serviços De Software")</f>
        <v>Saipos Serviços De Software</v>
      </c>
      <c r="P3732" s="33">
        <f>IFERROR(__xludf.DUMMYFUNCTION("""COMPUTED_VALUE"""),0.6666666666666666)</f>
        <v>0.6666666667</v>
      </c>
      <c r="Q3732" s="4" t="str">
        <f>IFERROR(__xludf.DUMMYFUNCTION("""COMPUTED_VALUE"""),"Saipos Serviços De Software")</f>
        <v>Saipos Serviços De Software</v>
      </c>
      <c r="R3732" s="33">
        <f>IFERROR(__xludf.DUMMYFUNCTION("""COMPUTED_VALUE"""),0.6666666666666666)</f>
        <v>0.6666666667</v>
      </c>
      <c r="S3732" s="4" t="str">
        <f>IFERROR(__xludf.DUMMYFUNCTION("""COMPUTED_VALUE"""),"Saipos Serviços De Software")</f>
        <v>Saipos Serviços De Software</v>
      </c>
      <c r="T3732" s="33">
        <f>IFERROR(__xludf.DUMMYFUNCTION("""COMPUTED_VALUE"""),1.0)</f>
        <v>1</v>
      </c>
      <c r="U3732" s="4" t="str">
        <f>IFERROR(__xludf.DUMMYFUNCTION("""COMPUTED_VALUE"""),"Saipos Serviços De Software")</f>
        <v>Saipos Serviços De Software</v>
      </c>
      <c r="V3732" s="33">
        <f>IFERROR(__xludf.DUMMYFUNCTION("""COMPUTED_VALUE"""),1.0)</f>
        <v>1</v>
      </c>
      <c r="W3732" s="4" t="str">
        <f>IFERROR(__xludf.DUMMYFUNCTION("""COMPUTED_VALUE"""),"Saipos Serviços De Software")</f>
        <v>Saipos Serviços De Software</v>
      </c>
      <c r="X3732" s="33">
        <f>IFERROR(__xludf.DUMMYFUNCTION("""COMPUTED_VALUE"""),1.0)</f>
        <v>1</v>
      </c>
    </row>
    <row r="3733">
      <c r="K3733" s="4" t="str">
        <f>IFERROR(__xludf.DUMMYFUNCTION("""COMPUTED_VALUE"""),"PARANA SUPERMERCADOS PR - CONTA GRUPO")</f>
        <v>PARANA SUPERMERCADOS PR - CONTA GRUPO</v>
      </c>
      <c r="L3733" s="32">
        <f>IFERROR(__xludf.DUMMYFUNCTION("""COMPUTED_VALUE"""),3.0)</f>
        <v>3</v>
      </c>
      <c r="M3733" s="4" t="str">
        <f>IFERROR(__xludf.DUMMYFUNCTION("""COMPUTED_VALUE"""),"N/A (Not found)")</f>
        <v>N/A (Not found)</v>
      </c>
      <c r="N3733" s="33">
        <f>IFERROR(__xludf.DUMMYFUNCTION("""COMPUTED_VALUE"""),1.0)</f>
        <v>1</v>
      </c>
      <c r="O3733" s="4" t="str">
        <f>IFERROR(__xludf.DUMMYFUNCTION("""COMPUTED_VALUE"""),"N/A (Not found)")</f>
        <v>N/A (Not found)</v>
      </c>
      <c r="P3733" s="33">
        <f>IFERROR(__xludf.DUMMYFUNCTION("""COMPUTED_VALUE"""),1.0)</f>
        <v>1</v>
      </c>
      <c r="Q3733" s="4" t="str">
        <f>IFERROR(__xludf.DUMMYFUNCTION("""COMPUTED_VALUE"""),"N/A (Not found)")</f>
        <v>N/A (Not found)</v>
      </c>
      <c r="R3733" s="33">
        <f>IFERROR(__xludf.DUMMYFUNCTION("""COMPUTED_VALUE"""),1.0)</f>
        <v>1</v>
      </c>
      <c r="S3733" s="4" t="str">
        <f>IFERROR(__xludf.DUMMYFUNCTION("""COMPUTED_VALUE"""),"N/A (Not found)")</f>
        <v>N/A (Not found)</v>
      </c>
      <c r="T3733" s="33">
        <f>IFERROR(__xludf.DUMMYFUNCTION("""COMPUTED_VALUE"""),1.0)</f>
        <v>1</v>
      </c>
      <c r="U3733" s="4" t="str">
        <f>IFERROR(__xludf.DUMMYFUNCTION("""COMPUTED_VALUE"""),"N/A (Not found)")</f>
        <v>N/A (Not found)</v>
      </c>
      <c r="V3733" s="33">
        <f>IFERROR(__xludf.DUMMYFUNCTION("""COMPUTED_VALUE"""),1.0)</f>
        <v>1</v>
      </c>
      <c r="W3733" s="4" t="str">
        <f>IFERROR(__xludf.DUMMYFUNCTION("""COMPUTED_VALUE"""),"N/A (Not found)")</f>
        <v>N/A (Not found)</v>
      </c>
      <c r="X3733" s="33">
        <f>IFERROR(__xludf.DUMMYFUNCTION("""COMPUTED_VALUE"""),1.0)</f>
        <v>1</v>
      </c>
    </row>
    <row r="3734">
      <c r="K3734" s="4" t="str">
        <f>IFERROR(__xludf.DUMMYFUNCTION("""COMPUTED_VALUE"""),"PARANA SUPERMERCADOS SUMARE- CONTA PAI")</f>
        <v>PARANA SUPERMERCADOS SUMARE- CONTA PAI</v>
      </c>
      <c r="L3734" s="32">
        <f>IFERROR(__xludf.DUMMYFUNCTION("""COMPUTED_VALUE"""),3.0)</f>
        <v>3</v>
      </c>
      <c r="M3734" s="4" t="str">
        <f>IFERROR(__xludf.DUMMYFUNCTION("""COMPUTED_VALUE"""),"N/A (Not found)")</f>
        <v>N/A (Not found)</v>
      </c>
      <c r="N3734" s="33">
        <f>IFERROR(__xludf.DUMMYFUNCTION("""COMPUTED_VALUE"""),1.0)</f>
        <v>1</v>
      </c>
      <c r="O3734" s="4" t="str">
        <f>IFERROR(__xludf.DUMMYFUNCTION("""COMPUTED_VALUE"""),"N/A (Not found)")</f>
        <v>N/A (Not found)</v>
      </c>
      <c r="P3734" s="33">
        <f>IFERROR(__xludf.DUMMYFUNCTION("""COMPUTED_VALUE"""),1.0)</f>
        <v>1</v>
      </c>
      <c r="Q3734" s="4" t="str">
        <f>IFERROR(__xludf.DUMMYFUNCTION("""COMPUTED_VALUE"""),"N/A (Not found)")</f>
        <v>N/A (Not found)</v>
      </c>
      <c r="R3734" s="33">
        <f>IFERROR(__xludf.DUMMYFUNCTION("""COMPUTED_VALUE"""),1.0)</f>
        <v>1</v>
      </c>
      <c r="S3734" s="4" t="str">
        <f>IFERROR(__xludf.DUMMYFUNCTION("""COMPUTED_VALUE"""),"N/A (Not found)")</f>
        <v>N/A (Not found)</v>
      </c>
      <c r="T3734" s="33">
        <f>IFERROR(__xludf.DUMMYFUNCTION("""COMPUTED_VALUE"""),0.6666666666666666)</f>
        <v>0.6666666667</v>
      </c>
      <c r="U3734" s="4" t="str">
        <f>IFERROR(__xludf.DUMMYFUNCTION("""COMPUTED_VALUE"""),"N/A (Not found)")</f>
        <v>N/A (Not found)</v>
      </c>
      <c r="V3734" s="33">
        <f>IFERROR(__xludf.DUMMYFUNCTION("""COMPUTED_VALUE"""),1.0)</f>
        <v>1</v>
      </c>
      <c r="W3734" s="4" t="str">
        <f>IFERROR(__xludf.DUMMYFUNCTION("""COMPUTED_VALUE"""),"null")</f>
        <v>null</v>
      </c>
      <c r="X3734" s="33">
        <f>IFERROR(__xludf.DUMMYFUNCTION("""COMPUTED_VALUE"""),0.6666666666666666)</f>
        <v>0.6666666667</v>
      </c>
    </row>
    <row r="3735">
      <c r="K3735" s="4" t="str">
        <f>IFERROR(__xludf.DUMMYFUNCTION("""COMPUTED_VALUE"""),"PARMEGIANA - ATO PARMA")</f>
        <v>PARMEGIANA - ATO PARMA</v>
      </c>
      <c r="L3735" s="32">
        <f>IFERROR(__xludf.DUMMYFUNCTION("""COMPUTED_VALUE"""),3.0)</f>
        <v>3</v>
      </c>
      <c r="M3735" s="4" t="str">
        <f>IFERROR(__xludf.DUMMYFUNCTION("""COMPUTED_VALUE"""),"Saipos Serviços De Software")</f>
        <v>Saipos Serviços De Software</v>
      </c>
      <c r="N3735" s="33">
        <f>IFERROR(__xludf.DUMMYFUNCTION("""COMPUTED_VALUE"""),0.6666666666666666)</f>
        <v>0.6666666667</v>
      </c>
      <c r="O3735" s="4" t="str">
        <f>IFERROR(__xludf.DUMMYFUNCTION("""COMPUTED_VALUE"""),"Saipos Serviços De Software")</f>
        <v>Saipos Serviços De Software</v>
      </c>
      <c r="P3735" s="33">
        <f>IFERROR(__xludf.DUMMYFUNCTION("""COMPUTED_VALUE"""),0.6666666666666666)</f>
        <v>0.6666666667</v>
      </c>
      <c r="Q3735" s="4" t="str">
        <f>IFERROR(__xludf.DUMMYFUNCTION("""COMPUTED_VALUE"""),"Saipos Serviços De Software")</f>
        <v>Saipos Serviços De Software</v>
      </c>
      <c r="R3735" s="33">
        <f>IFERROR(__xludf.DUMMYFUNCTION("""COMPUTED_VALUE"""),0.6666666666666666)</f>
        <v>0.6666666667</v>
      </c>
      <c r="S3735" s="4" t="str">
        <f>IFERROR(__xludf.DUMMYFUNCTION("""COMPUTED_VALUE"""),"Saipos Serviços De Software")</f>
        <v>Saipos Serviços De Software</v>
      </c>
      <c r="T3735" s="33">
        <f>IFERROR(__xludf.DUMMYFUNCTION("""COMPUTED_VALUE"""),0.6666666666666666)</f>
        <v>0.6666666667</v>
      </c>
      <c r="U3735" s="4" t="str">
        <f>IFERROR(__xludf.DUMMYFUNCTION("""COMPUTED_VALUE"""),"Saipos Serviços De Software")</f>
        <v>Saipos Serviços De Software</v>
      </c>
      <c r="V3735" s="33">
        <f>IFERROR(__xludf.DUMMYFUNCTION("""COMPUTED_VALUE"""),0.6666666666666666)</f>
        <v>0.6666666667</v>
      </c>
      <c r="W3735" s="4" t="str">
        <f>IFERROR(__xludf.DUMMYFUNCTION("""COMPUTED_VALUE"""),"Saipos Serviços De Software")</f>
        <v>Saipos Serviços De Software</v>
      </c>
      <c r="X3735" s="33">
        <f>IFERROR(__xludf.DUMMYFUNCTION("""COMPUTED_VALUE"""),1.0)</f>
        <v>1</v>
      </c>
    </row>
    <row r="3736">
      <c r="K3736" s="4" t="str">
        <f>IFERROR(__xludf.DUMMYFUNCTION("""COMPUTED_VALUE"""),"PARMEGIANESE DELIVERY")</f>
        <v>PARMEGIANESE DELIVERY</v>
      </c>
      <c r="L3736" s="32">
        <f>IFERROR(__xludf.DUMMYFUNCTION("""COMPUTED_VALUE"""),3.0)</f>
        <v>3</v>
      </c>
      <c r="M3736" s="4" t="str">
        <f>IFERROR(__xludf.DUMMYFUNCTION("""COMPUTED_VALUE"""),"Parseint Desenvolvimento De Sistemas Ltda")</f>
        <v>Parseint Desenvolvimento De Sistemas Ltda</v>
      </c>
      <c r="N3736" s="33">
        <f>IFERROR(__xludf.DUMMYFUNCTION("""COMPUTED_VALUE"""),1.0)</f>
        <v>1</v>
      </c>
      <c r="O3736" s="4" t="str">
        <f>IFERROR(__xludf.DUMMYFUNCTION("""COMPUTED_VALUE"""),"Parseint Desenvolvimento De Sistemas Ltda")</f>
        <v>Parseint Desenvolvimento De Sistemas Ltda</v>
      </c>
      <c r="P3736" s="33">
        <f>IFERROR(__xludf.DUMMYFUNCTION("""COMPUTED_VALUE"""),1.0)</f>
        <v>1</v>
      </c>
      <c r="Q3736" s="4" t="str">
        <f>IFERROR(__xludf.DUMMYFUNCTION("""COMPUTED_VALUE"""),"Parseint Desenvolvimento De Sistemas Ltda")</f>
        <v>Parseint Desenvolvimento De Sistemas Ltda</v>
      </c>
      <c r="R3736" s="33">
        <f>IFERROR(__xludf.DUMMYFUNCTION("""COMPUTED_VALUE"""),1.0)</f>
        <v>1</v>
      </c>
      <c r="S3736" s="4" t="str">
        <f>IFERROR(__xludf.DUMMYFUNCTION("""COMPUTED_VALUE"""),"Parseint Desenvolvimento De Sistemas Ltda")</f>
        <v>Parseint Desenvolvimento De Sistemas Ltda</v>
      </c>
      <c r="T3736" s="33">
        <f>IFERROR(__xludf.DUMMYFUNCTION("""COMPUTED_VALUE"""),1.0)</f>
        <v>1</v>
      </c>
      <c r="U3736" s="4" t="str">
        <f>IFERROR(__xludf.DUMMYFUNCTION("""COMPUTED_VALUE"""),"Parseint Desenvolvimento De Sistemas Ltda")</f>
        <v>Parseint Desenvolvimento De Sistemas Ltda</v>
      </c>
      <c r="V3736" s="33">
        <f>IFERROR(__xludf.DUMMYFUNCTION("""COMPUTED_VALUE"""),1.0)</f>
        <v>1</v>
      </c>
      <c r="W3736" s="4" t="str">
        <f>IFERROR(__xludf.DUMMYFUNCTION("""COMPUTED_VALUE"""),"Parseint Desenvolvimento De Sistemas Ltda")</f>
        <v>Parseint Desenvolvimento De Sistemas Ltda</v>
      </c>
      <c r="X3736" s="33">
        <f>IFERROR(__xludf.DUMMYFUNCTION("""COMPUTED_VALUE"""),1.0)</f>
        <v>1</v>
      </c>
    </row>
    <row r="3737">
      <c r="K3737" s="4" t="str">
        <f>IFERROR(__xludf.DUMMYFUNCTION("""COMPUTED_VALUE"""),"PASSAPORTE DO MORAL CONTA PAI")</f>
        <v>PASSAPORTE DO MORAL CONTA PAI</v>
      </c>
      <c r="L3737" s="32">
        <f>IFERROR(__xludf.DUMMYFUNCTION("""COMPUTED_VALUE"""),3.0)</f>
        <v>3</v>
      </c>
      <c r="M3737" s="4" t="str">
        <f>IFERROR(__xludf.DUMMYFUNCTION("""COMPUTED_VALUE"""),"null")</f>
        <v>null</v>
      </c>
      <c r="N3737" s="33">
        <f>IFERROR(__xludf.DUMMYFUNCTION("""COMPUTED_VALUE"""),1.0)</f>
        <v>1</v>
      </c>
      <c r="O3737" s="4" t="str">
        <f>IFERROR(__xludf.DUMMYFUNCTION("""COMPUTED_VALUE"""),"null")</f>
        <v>null</v>
      </c>
      <c r="P3737" s="33">
        <f>IFERROR(__xludf.DUMMYFUNCTION("""COMPUTED_VALUE"""),1.0)</f>
        <v>1</v>
      </c>
      <c r="Q3737" s="4" t="str">
        <f>IFERROR(__xludf.DUMMYFUNCTION("""COMPUTED_VALUE"""),"null")</f>
        <v>null</v>
      </c>
      <c r="R3737" s="33">
        <f>IFERROR(__xludf.DUMMYFUNCTION("""COMPUTED_VALUE"""),1.0)</f>
        <v>1</v>
      </c>
      <c r="S3737" s="4" t="str">
        <f>IFERROR(__xludf.DUMMYFUNCTION("""COMPUTED_VALUE"""),"null")</f>
        <v>null</v>
      </c>
      <c r="T3737" s="33">
        <f>IFERROR(__xludf.DUMMYFUNCTION("""COMPUTED_VALUE"""),1.0)</f>
        <v>1</v>
      </c>
      <c r="U3737" s="4" t="str">
        <f>IFERROR(__xludf.DUMMYFUNCTION("""COMPUTED_VALUE"""),"Cardápio Web")</f>
        <v>Cardápio Web</v>
      </c>
      <c r="V3737" s="33">
        <f>IFERROR(__xludf.DUMMYFUNCTION("""COMPUTED_VALUE"""),1.0)</f>
        <v>1</v>
      </c>
      <c r="W3737" s="4" t="str">
        <f>IFERROR(__xludf.DUMMYFUNCTION("""COMPUTED_VALUE"""),"Cardápio Web")</f>
        <v>Cardápio Web</v>
      </c>
      <c r="X3737" s="33">
        <f>IFERROR(__xludf.DUMMYFUNCTION("""COMPUTED_VALUE"""),1.0)</f>
        <v>1</v>
      </c>
    </row>
    <row r="3738">
      <c r="K3738" s="4" t="str">
        <f>IFERROR(__xludf.DUMMYFUNCTION("""COMPUTED_VALUE"""),"PASTA MORADA- MANAUS")</f>
        <v>PASTA MORADA- MANAUS</v>
      </c>
      <c r="L3738" s="32">
        <f>IFERROR(__xludf.DUMMYFUNCTION("""COMPUTED_VALUE"""),3.0)</f>
        <v>3</v>
      </c>
      <c r="M3738" s="4" t="str">
        <f>IFERROR(__xludf.DUMMYFUNCTION("""COMPUTED_VALUE"""),"Cardápio Web")</f>
        <v>Cardápio Web</v>
      </c>
      <c r="N3738" s="33">
        <f>IFERROR(__xludf.DUMMYFUNCTION("""COMPUTED_VALUE"""),0.6666666666666666)</f>
        <v>0.6666666667</v>
      </c>
      <c r="O3738" s="4" t="str">
        <f>IFERROR(__xludf.DUMMYFUNCTION("""COMPUTED_VALUE"""),"null")</f>
        <v>null</v>
      </c>
      <c r="P3738" s="33">
        <f>IFERROR(__xludf.DUMMYFUNCTION("""COMPUTED_VALUE"""),0.6666666666666666)</f>
        <v>0.6666666667</v>
      </c>
      <c r="Q3738" s="4" t="str">
        <f>IFERROR(__xludf.DUMMYFUNCTION("""COMPUTED_VALUE"""),"Cardápio Web")</f>
        <v>Cardápio Web</v>
      </c>
      <c r="R3738" s="33">
        <f>IFERROR(__xludf.DUMMYFUNCTION("""COMPUTED_VALUE"""),0.6666666666666666)</f>
        <v>0.6666666667</v>
      </c>
      <c r="S3738" s="4" t="str">
        <f>IFERROR(__xludf.DUMMYFUNCTION("""COMPUTED_VALUE"""),"Cardápio Web")</f>
        <v>Cardápio Web</v>
      </c>
      <c r="T3738" s="33">
        <f>IFERROR(__xludf.DUMMYFUNCTION("""COMPUTED_VALUE"""),0.6666666666666666)</f>
        <v>0.6666666667</v>
      </c>
      <c r="U3738" s="4" t="str">
        <f>IFERROR(__xludf.DUMMYFUNCTION("""COMPUTED_VALUE"""),"Cardápio Web")</f>
        <v>Cardápio Web</v>
      </c>
      <c r="V3738" s="33">
        <f>IFERROR(__xludf.DUMMYFUNCTION("""COMPUTED_VALUE"""),1.0)</f>
        <v>1</v>
      </c>
      <c r="W3738" s="4" t="str">
        <f>IFERROR(__xludf.DUMMYFUNCTION("""COMPUTED_VALUE"""),"Cardápio Web")</f>
        <v>Cardápio Web</v>
      </c>
      <c r="X3738" s="33">
        <f>IFERROR(__xludf.DUMMYFUNCTION("""COMPUTED_VALUE"""),1.0)</f>
        <v>1</v>
      </c>
    </row>
    <row r="3739">
      <c r="K3739" s="4" t="str">
        <f>IFERROR(__xludf.DUMMYFUNCTION("""COMPUTED_VALUE"""),"PASTEL CIA - CONTA PAI")</f>
        <v>PASTEL CIA - CONTA PAI</v>
      </c>
      <c r="L3739" s="32">
        <f>IFERROR(__xludf.DUMMYFUNCTION("""COMPUTED_VALUE"""),3.0)</f>
        <v>3</v>
      </c>
      <c r="M3739" s="4" t="str">
        <f>IFERROR(__xludf.DUMMYFUNCTION("""COMPUTED_VALUE"""),"Saipos Serviços De Software")</f>
        <v>Saipos Serviços De Software</v>
      </c>
      <c r="N3739" s="33">
        <f>IFERROR(__xludf.DUMMYFUNCTION("""COMPUTED_VALUE"""),0.6666666666666666)</f>
        <v>0.6666666667</v>
      </c>
      <c r="O3739" s="4" t="str">
        <f>IFERROR(__xludf.DUMMYFUNCTION("""COMPUTED_VALUE"""),"Saipos Serviços De Software")</f>
        <v>Saipos Serviços De Software</v>
      </c>
      <c r="P3739" s="33">
        <f>IFERROR(__xludf.DUMMYFUNCTION("""COMPUTED_VALUE"""),0.6666666666666666)</f>
        <v>0.6666666667</v>
      </c>
      <c r="Q3739" s="4" t="str">
        <f>IFERROR(__xludf.DUMMYFUNCTION("""COMPUTED_VALUE"""),"Saipos Serviços De Software")</f>
        <v>Saipos Serviços De Software</v>
      </c>
      <c r="R3739" s="33">
        <f>IFERROR(__xludf.DUMMYFUNCTION("""COMPUTED_VALUE"""),0.6666666666666666)</f>
        <v>0.6666666667</v>
      </c>
      <c r="S3739" s="4" t="str">
        <f>IFERROR(__xludf.DUMMYFUNCTION("""COMPUTED_VALUE"""),"Saipos Serviços De Software")</f>
        <v>Saipos Serviços De Software</v>
      </c>
      <c r="T3739" s="33">
        <f>IFERROR(__xludf.DUMMYFUNCTION("""COMPUTED_VALUE"""),1.0)</f>
        <v>1</v>
      </c>
      <c r="U3739" s="4" t="str">
        <f>IFERROR(__xludf.DUMMYFUNCTION("""COMPUTED_VALUE"""),"Saipos Serviços De Software")</f>
        <v>Saipos Serviços De Software</v>
      </c>
      <c r="V3739" s="33">
        <f>IFERROR(__xludf.DUMMYFUNCTION("""COMPUTED_VALUE"""),1.0)</f>
        <v>1</v>
      </c>
      <c r="W3739" s="4" t="str">
        <f>IFERROR(__xludf.DUMMYFUNCTION("""COMPUTED_VALUE"""),"Saipos Serviços De Software")</f>
        <v>Saipos Serviços De Software</v>
      </c>
      <c r="X3739" s="33">
        <f>IFERROR(__xludf.DUMMYFUNCTION("""COMPUTED_VALUE"""),1.0)</f>
        <v>1</v>
      </c>
    </row>
    <row r="3740">
      <c r="K3740" s="4" t="str">
        <f>IFERROR(__xludf.DUMMYFUNCTION("""COMPUTED_VALUE"""),"PASTEL DO TETEU - CONTA PAI")</f>
        <v>PASTEL DO TETEU - CONTA PAI</v>
      </c>
      <c r="L3740" s="32">
        <f>IFERROR(__xludf.DUMMYFUNCTION("""COMPUTED_VALUE"""),3.0)</f>
        <v>3</v>
      </c>
      <c r="M3740" s="4" t="str">
        <f>IFERROR(__xludf.DUMMYFUNCTION("""COMPUTED_VALUE"""),"Cardápio Web")</f>
        <v>Cardápio Web</v>
      </c>
      <c r="N3740" s="33">
        <f>IFERROR(__xludf.DUMMYFUNCTION("""COMPUTED_VALUE"""),0.6666666666666666)</f>
        <v>0.6666666667</v>
      </c>
      <c r="O3740" s="4" t="str">
        <f>IFERROR(__xludf.DUMMYFUNCTION("""COMPUTED_VALUE"""),"Cardápio Web")</f>
        <v>Cardápio Web</v>
      </c>
      <c r="P3740" s="33">
        <f>IFERROR(__xludf.DUMMYFUNCTION("""COMPUTED_VALUE"""),0.6666666666666666)</f>
        <v>0.6666666667</v>
      </c>
      <c r="Q3740" s="4" t="str">
        <f>IFERROR(__xludf.DUMMYFUNCTION("""COMPUTED_VALUE"""),"Cardápio Web")</f>
        <v>Cardápio Web</v>
      </c>
      <c r="R3740" s="33">
        <f>IFERROR(__xludf.DUMMYFUNCTION("""COMPUTED_VALUE"""),0.6666666666666666)</f>
        <v>0.6666666667</v>
      </c>
      <c r="S3740" s="4" t="str">
        <f>IFERROR(__xludf.DUMMYFUNCTION("""COMPUTED_VALUE"""),"Cardápio Web")</f>
        <v>Cardápio Web</v>
      </c>
      <c r="T3740" s="33">
        <f>IFERROR(__xludf.DUMMYFUNCTION("""COMPUTED_VALUE"""),0.6666666666666666)</f>
        <v>0.6666666667</v>
      </c>
      <c r="U3740" s="4" t="str">
        <f>IFERROR(__xludf.DUMMYFUNCTION("""COMPUTED_VALUE"""),"Cardápio Web")</f>
        <v>Cardápio Web</v>
      </c>
      <c r="V3740" s="33">
        <f>IFERROR(__xludf.DUMMYFUNCTION("""COMPUTED_VALUE"""),1.0)</f>
        <v>1</v>
      </c>
      <c r="W3740" s="4" t="str">
        <f>IFERROR(__xludf.DUMMYFUNCTION("""COMPUTED_VALUE"""),"Cardápio Web")</f>
        <v>Cardápio Web</v>
      </c>
      <c r="X3740" s="33">
        <f>IFERROR(__xludf.DUMMYFUNCTION("""COMPUTED_VALUE"""),1.0)</f>
        <v>1</v>
      </c>
    </row>
    <row r="3741">
      <c r="K3741" s="4" t="str">
        <f>IFERROR(__xludf.DUMMYFUNCTION("""COMPUTED_VALUE"""),"PASTELARIA TANIA CAMPOS - CONTA PAI")</f>
        <v>PASTELARIA TANIA CAMPOS - CONTA PAI</v>
      </c>
      <c r="L3741" s="32">
        <f>IFERROR(__xludf.DUMMYFUNCTION("""COMPUTED_VALUE"""),3.0)</f>
        <v>3</v>
      </c>
      <c r="M3741" s="4" t="str">
        <f>IFERROR(__xludf.DUMMYFUNCTION("""COMPUTED_VALUE"""),"Totvs Large Enterprise Tecnologia S.a.")</f>
        <v>Totvs Large Enterprise Tecnologia S.a.</v>
      </c>
      <c r="N3741" s="33">
        <f>IFERROR(__xludf.DUMMYFUNCTION("""COMPUTED_VALUE"""),1.0)</f>
        <v>1</v>
      </c>
      <c r="O3741" s="4" t="str">
        <f>IFERROR(__xludf.DUMMYFUNCTION("""COMPUTED_VALUE"""),"Totvs Large Enterprise Tecnologia S.a.")</f>
        <v>Totvs Large Enterprise Tecnologia S.a.</v>
      </c>
      <c r="P3741" s="33">
        <f>IFERROR(__xludf.DUMMYFUNCTION("""COMPUTED_VALUE"""),1.0)</f>
        <v>1</v>
      </c>
      <c r="Q3741" s="4" t="str">
        <f>IFERROR(__xludf.DUMMYFUNCTION("""COMPUTED_VALUE"""),"Totvs Large Enterprise Tecnologia S.a.")</f>
        <v>Totvs Large Enterprise Tecnologia S.a.</v>
      </c>
      <c r="R3741" s="33">
        <f>IFERROR(__xludf.DUMMYFUNCTION("""COMPUTED_VALUE"""),1.0)</f>
        <v>1</v>
      </c>
      <c r="S3741" s="4" t="str">
        <f>IFERROR(__xludf.DUMMYFUNCTION("""COMPUTED_VALUE"""),"Totvs Large Enterprise Tecnologia S.a.")</f>
        <v>Totvs Large Enterprise Tecnologia S.a.</v>
      </c>
      <c r="T3741" s="33">
        <f>IFERROR(__xludf.DUMMYFUNCTION("""COMPUTED_VALUE"""),1.0)</f>
        <v>1</v>
      </c>
      <c r="U3741" s="4" t="str">
        <f>IFERROR(__xludf.DUMMYFUNCTION("""COMPUTED_VALUE"""),"Totvs Large Enterprise Tecnologia S.a.")</f>
        <v>Totvs Large Enterprise Tecnologia S.a.</v>
      </c>
      <c r="V3741" s="33">
        <f>IFERROR(__xludf.DUMMYFUNCTION("""COMPUTED_VALUE"""),1.0)</f>
        <v>1</v>
      </c>
      <c r="W3741" s="4" t="str">
        <f>IFERROR(__xludf.DUMMYFUNCTION("""COMPUTED_VALUE"""),"Totvs Large Enterprise Tecnologia S.a.")</f>
        <v>Totvs Large Enterprise Tecnologia S.a.</v>
      </c>
      <c r="X3741" s="33">
        <f>IFERROR(__xludf.DUMMYFUNCTION("""COMPUTED_VALUE"""),1.0)</f>
        <v>1</v>
      </c>
    </row>
    <row r="3742">
      <c r="K3742" s="4" t="str">
        <f>IFERROR(__xludf.DUMMYFUNCTION("""COMPUTED_VALUE"""),"PASTELARIA YAMADA - CONTA MARCA")</f>
        <v>PASTELARIA YAMADA - CONTA MARCA</v>
      </c>
      <c r="L3742" s="32">
        <f>IFERROR(__xludf.DUMMYFUNCTION("""COMPUTED_VALUE"""),3.0)</f>
        <v>3</v>
      </c>
      <c r="M3742" s="4" t="str">
        <f>IFERROR(__xludf.DUMMYFUNCTION("""COMPUTED_VALUE"""),"Stone Co.")</f>
        <v>Stone Co.</v>
      </c>
      <c r="N3742" s="33">
        <f>IFERROR(__xludf.DUMMYFUNCTION("""COMPUTED_VALUE"""),0.6666666666666666)</f>
        <v>0.6666666667</v>
      </c>
      <c r="O3742" s="4" t="str">
        <f>IFERROR(__xludf.DUMMYFUNCTION("""COMPUTED_VALUE"""),"Stone Co.")</f>
        <v>Stone Co.</v>
      </c>
      <c r="P3742" s="33">
        <f>IFERROR(__xludf.DUMMYFUNCTION("""COMPUTED_VALUE"""),0.6666666666666666)</f>
        <v>0.6666666667</v>
      </c>
      <c r="Q3742" s="4" t="str">
        <f>IFERROR(__xludf.DUMMYFUNCTION("""COMPUTED_VALUE"""),"Stone Co.")</f>
        <v>Stone Co.</v>
      </c>
      <c r="R3742" s="33">
        <f>IFERROR(__xludf.DUMMYFUNCTION("""COMPUTED_VALUE"""),0.6666666666666666)</f>
        <v>0.6666666667</v>
      </c>
      <c r="S3742" s="4" t="str">
        <f>IFERROR(__xludf.DUMMYFUNCTION("""COMPUTED_VALUE"""),"Stone Co.")</f>
        <v>Stone Co.</v>
      </c>
      <c r="T3742" s="33">
        <f>IFERROR(__xludf.DUMMYFUNCTION("""COMPUTED_VALUE"""),0.6666666666666666)</f>
        <v>0.6666666667</v>
      </c>
      <c r="U3742" s="4" t="str">
        <f>IFERROR(__xludf.DUMMYFUNCTION("""COMPUTED_VALUE"""),"Stone Co.")</f>
        <v>Stone Co.</v>
      </c>
      <c r="V3742" s="33">
        <f>IFERROR(__xludf.DUMMYFUNCTION("""COMPUTED_VALUE"""),0.6666666666666666)</f>
        <v>0.6666666667</v>
      </c>
      <c r="W3742" s="4" t="str">
        <f>IFERROR(__xludf.DUMMYFUNCTION("""COMPUTED_VALUE"""),"Stone Co.")</f>
        <v>Stone Co.</v>
      </c>
      <c r="X3742" s="33">
        <f>IFERROR(__xludf.DUMMYFUNCTION("""COMPUTED_VALUE"""),0.6666666666666666)</f>
        <v>0.6666666667</v>
      </c>
    </row>
    <row r="3743">
      <c r="K3743" s="4" t="str">
        <f>IFERROR(__xludf.DUMMYFUNCTION("""COMPUTED_VALUE"""),"PATRIK DOG")</f>
        <v>PATRIK DOG</v>
      </c>
      <c r="L3743" s="32">
        <f>IFERROR(__xludf.DUMMYFUNCTION("""COMPUTED_VALUE"""),3.0)</f>
        <v>3</v>
      </c>
      <c r="M3743" s="4" t="str">
        <f>IFERROR(__xludf.DUMMYFUNCTION("""COMPUTED_VALUE"""),"Anota Ai Solucoes Digitais S/a")</f>
        <v>Anota Ai Solucoes Digitais S/a</v>
      </c>
      <c r="N3743" s="33">
        <f>IFERROR(__xludf.DUMMYFUNCTION("""COMPUTED_VALUE"""),0.6666666666666666)</f>
        <v>0.6666666667</v>
      </c>
      <c r="O3743" s="4" t="str">
        <f>IFERROR(__xludf.DUMMYFUNCTION("""COMPUTED_VALUE"""),"Anota Ai Solucoes Digitais S/a")</f>
        <v>Anota Ai Solucoes Digitais S/a</v>
      </c>
      <c r="P3743" s="33">
        <f>IFERROR(__xludf.DUMMYFUNCTION("""COMPUTED_VALUE"""),0.6666666666666666)</f>
        <v>0.6666666667</v>
      </c>
      <c r="Q3743" s="4" t="str">
        <f>IFERROR(__xludf.DUMMYFUNCTION("""COMPUTED_VALUE"""),"Anota Ai Solucoes Digitais S/a")</f>
        <v>Anota Ai Solucoes Digitais S/a</v>
      </c>
      <c r="R3743" s="33">
        <f>IFERROR(__xludf.DUMMYFUNCTION("""COMPUTED_VALUE"""),0.6666666666666666)</f>
        <v>0.6666666667</v>
      </c>
      <c r="S3743" s="4" t="str">
        <f>IFERROR(__xludf.DUMMYFUNCTION("""COMPUTED_VALUE"""),"Anota Ai Solucoes Digitais S/a")</f>
        <v>Anota Ai Solucoes Digitais S/a</v>
      </c>
      <c r="T3743" s="33">
        <f>IFERROR(__xludf.DUMMYFUNCTION("""COMPUTED_VALUE"""),0.6666666666666666)</f>
        <v>0.6666666667</v>
      </c>
      <c r="U3743" s="4" t="str">
        <f>IFERROR(__xludf.DUMMYFUNCTION("""COMPUTED_VALUE"""),"Anota Ai Solucoes Digitais S/a")</f>
        <v>Anota Ai Solucoes Digitais S/a</v>
      </c>
      <c r="V3743" s="33">
        <f>IFERROR(__xludf.DUMMYFUNCTION("""COMPUTED_VALUE"""),0.6666666666666666)</f>
        <v>0.6666666667</v>
      </c>
      <c r="W3743" s="4" t="str">
        <f>IFERROR(__xludf.DUMMYFUNCTION("""COMPUTED_VALUE"""),"Anota Ai Solucoes Digitais S/a")</f>
        <v>Anota Ai Solucoes Digitais S/a</v>
      </c>
      <c r="X3743" s="33">
        <f>IFERROR(__xludf.DUMMYFUNCTION("""COMPUTED_VALUE"""),1.0)</f>
        <v>1</v>
      </c>
    </row>
    <row r="3744">
      <c r="K3744" s="4" t="str">
        <f>IFERROR(__xludf.DUMMYFUNCTION("""COMPUTED_VALUE"""),"PATY POINT")</f>
        <v>PATY POINT</v>
      </c>
      <c r="L3744" s="32">
        <f>IFERROR(__xludf.DUMMYFUNCTION("""COMPUTED_VALUE"""),3.0)</f>
        <v>3</v>
      </c>
      <c r="M3744" s="4" t="str">
        <f>IFERROR(__xludf.DUMMYFUNCTION("""COMPUTED_VALUE"""),"Saipos Serviços De Software")</f>
        <v>Saipos Serviços De Software</v>
      </c>
      <c r="N3744" s="33">
        <f>IFERROR(__xludf.DUMMYFUNCTION("""COMPUTED_VALUE"""),1.0)</f>
        <v>1</v>
      </c>
      <c r="O3744" s="4" t="str">
        <f>IFERROR(__xludf.DUMMYFUNCTION("""COMPUTED_VALUE"""),"Saipos Serviços De Software")</f>
        <v>Saipos Serviços De Software</v>
      </c>
      <c r="P3744" s="33">
        <f>IFERROR(__xludf.DUMMYFUNCTION("""COMPUTED_VALUE"""),1.0)</f>
        <v>1</v>
      </c>
      <c r="Q3744" s="4" t="str">
        <f>IFERROR(__xludf.DUMMYFUNCTION("""COMPUTED_VALUE"""),"Saipos Serviços De Software")</f>
        <v>Saipos Serviços De Software</v>
      </c>
      <c r="R3744" s="33">
        <f>IFERROR(__xludf.DUMMYFUNCTION("""COMPUTED_VALUE"""),1.0)</f>
        <v>1</v>
      </c>
      <c r="S3744" s="4" t="str">
        <f>IFERROR(__xludf.DUMMYFUNCTION("""COMPUTED_VALUE"""),"Saipos Serviços De Software")</f>
        <v>Saipos Serviços De Software</v>
      </c>
      <c r="T3744" s="33">
        <f>IFERROR(__xludf.DUMMYFUNCTION("""COMPUTED_VALUE"""),1.0)</f>
        <v>1</v>
      </c>
      <c r="U3744" s="4" t="str">
        <f>IFERROR(__xludf.DUMMYFUNCTION("""COMPUTED_VALUE"""),"Saipos Serviços De Software")</f>
        <v>Saipos Serviços De Software</v>
      </c>
      <c r="V3744" s="33">
        <f>IFERROR(__xludf.DUMMYFUNCTION("""COMPUTED_VALUE"""),1.0)</f>
        <v>1</v>
      </c>
      <c r="W3744" s="4" t="str">
        <f>IFERROR(__xludf.DUMMYFUNCTION("""COMPUTED_VALUE"""),"Saipos Serviços De Software")</f>
        <v>Saipos Serviços De Software</v>
      </c>
      <c r="X3744" s="33">
        <f>IFERROR(__xludf.DUMMYFUNCTION("""COMPUTED_VALUE"""),1.0)</f>
        <v>1</v>
      </c>
    </row>
    <row r="3745">
      <c r="K3745" s="4" t="str">
        <f>IFERROR(__xludf.DUMMYFUNCTION("""COMPUTED_VALUE"""),"PAULO SUSHI DELIVERY MATO GROSSO DO SUL")</f>
        <v>PAULO SUSHI DELIVERY MATO GROSSO DO SUL</v>
      </c>
      <c r="L3745" s="32">
        <f>IFERROR(__xludf.DUMMYFUNCTION("""COMPUTED_VALUE"""),3.0)</f>
        <v>3</v>
      </c>
      <c r="M3745" s="4" t="str">
        <f>IFERROR(__xludf.DUMMYFUNCTION("""COMPUTED_VALUE"""),"Alloy Tecnologia")</f>
        <v>Alloy Tecnologia</v>
      </c>
      <c r="N3745" s="33">
        <f>IFERROR(__xludf.DUMMYFUNCTION("""COMPUTED_VALUE"""),0.6666666666666666)</f>
        <v>0.6666666667</v>
      </c>
      <c r="O3745" s="4" t="str">
        <f>IFERROR(__xludf.DUMMYFUNCTION("""COMPUTED_VALUE"""),"Alloy Tecnologia")</f>
        <v>Alloy Tecnologia</v>
      </c>
      <c r="P3745" s="33">
        <f>IFERROR(__xludf.DUMMYFUNCTION("""COMPUTED_VALUE"""),0.6666666666666666)</f>
        <v>0.6666666667</v>
      </c>
      <c r="Q3745" s="4" t="str">
        <f>IFERROR(__xludf.DUMMYFUNCTION("""COMPUTED_VALUE"""),"Alloy Tecnologia")</f>
        <v>Alloy Tecnologia</v>
      </c>
      <c r="R3745" s="33">
        <f>IFERROR(__xludf.DUMMYFUNCTION("""COMPUTED_VALUE"""),0.6666666666666666)</f>
        <v>0.6666666667</v>
      </c>
      <c r="S3745" s="4" t="str">
        <f>IFERROR(__xludf.DUMMYFUNCTION("""COMPUTED_VALUE"""),"Alloy Tecnologia")</f>
        <v>Alloy Tecnologia</v>
      </c>
      <c r="T3745" s="33">
        <f>IFERROR(__xludf.DUMMYFUNCTION("""COMPUTED_VALUE"""),0.6666666666666666)</f>
        <v>0.6666666667</v>
      </c>
      <c r="U3745" s="4" t="str">
        <f>IFERROR(__xludf.DUMMYFUNCTION("""COMPUTED_VALUE"""),"Alloy Tecnologia")</f>
        <v>Alloy Tecnologia</v>
      </c>
      <c r="V3745" s="33">
        <f>IFERROR(__xludf.DUMMYFUNCTION("""COMPUTED_VALUE"""),0.6666666666666666)</f>
        <v>0.6666666667</v>
      </c>
      <c r="W3745" s="4" t="str">
        <f>IFERROR(__xludf.DUMMYFUNCTION("""COMPUTED_VALUE"""),"Saipos Serviços De Software")</f>
        <v>Saipos Serviços De Software</v>
      </c>
      <c r="X3745" s="33">
        <f>IFERROR(__xludf.DUMMYFUNCTION("""COMPUTED_VALUE"""),1.0)</f>
        <v>1</v>
      </c>
    </row>
    <row r="3746">
      <c r="K3746" s="4" t="str">
        <f>IFERROR(__xludf.DUMMYFUNCTION("""COMPUTED_VALUE"""),"PAULOS RESTAURANTES")</f>
        <v>PAULOS RESTAURANTES</v>
      </c>
      <c r="L3746" s="32">
        <f>IFERROR(__xludf.DUMMYFUNCTION("""COMPUTED_VALUE"""),3.0)</f>
        <v>3</v>
      </c>
      <c r="M3746" s="4" t="str">
        <f>IFERROR(__xludf.DUMMYFUNCTION("""COMPUTED_VALUE"""),"Menew - Linx")</f>
        <v>Menew - Linx</v>
      </c>
      <c r="N3746" s="33">
        <f>IFERROR(__xludf.DUMMYFUNCTION("""COMPUTED_VALUE"""),1.0)</f>
        <v>1</v>
      </c>
      <c r="O3746" s="4" t="str">
        <f>IFERROR(__xludf.DUMMYFUNCTION("""COMPUTED_VALUE"""),"Menew - Linx")</f>
        <v>Menew - Linx</v>
      </c>
      <c r="P3746" s="33">
        <f>IFERROR(__xludf.DUMMYFUNCTION("""COMPUTED_VALUE"""),1.0)</f>
        <v>1</v>
      </c>
      <c r="Q3746" s="4" t="str">
        <f>IFERROR(__xludf.DUMMYFUNCTION("""COMPUTED_VALUE"""),"Menew - Linx")</f>
        <v>Menew - Linx</v>
      </c>
      <c r="R3746" s="33">
        <f>IFERROR(__xludf.DUMMYFUNCTION("""COMPUTED_VALUE"""),1.0)</f>
        <v>1</v>
      </c>
      <c r="S3746" s="4" t="str">
        <f>IFERROR(__xludf.DUMMYFUNCTION("""COMPUTED_VALUE"""),"Menew - Linx")</f>
        <v>Menew - Linx</v>
      </c>
      <c r="T3746" s="33">
        <f>IFERROR(__xludf.DUMMYFUNCTION("""COMPUTED_VALUE"""),1.0)</f>
        <v>1</v>
      </c>
      <c r="U3746" s="4" t="str">
        <f>IFERROR(__xludf.DUMMYFUNCTION("""COMPUTED_VALUE"""),"Menew - Linx")</f>
        <v>Menew - Linx</v>
      </c>
      <c r="V3746" s="33">
        <f>IFERROR(__xludf.DUMMYFUNCTION("""COMPUTED_VALUE"""),1.0)</f>
        <v>1</v>
      </c>
      <c r="W3746" s="4" t="str">
        <f>IFERROR(__xludf.DUMMYFUNCTION("""COMPUTED_VALUE"""),"Menew - Linx")</f>
        <v>Menew - Linx</v>
      </c>
      <c r="X3746" s="33">
        <f>IFERROR(__xludf.DUMMYFUNCTION("""COMPUTED_VALUE"""),1.0)</f>
        <v>1</v>
      </c>
    </row>
    <row r="3747">
      <c r="K3747" s="4" t="str">
        <f>IFERROR(__xludf.DUMMYFUNCTION("""COMPUTED_VALUE"""),"PAULS BOUTIQUE")</f>
        <v>PAULS BOUTIQUE</v>
      </c>
      <c r="L3747" s="32">
        <f>IFERROR(__xludf.DUMMYFUNCTION("""COMPUTED_VALUE"""),3.0)</f>
        <v>3</v>
      </c>
      <c r="M3747" s="4" t="str">
        <f>IFERROR(__xludf.DUMMYFUNCTION("""COMPUTED_VALUE"""),"Stone Co.")</f>
        <v>Stone Co.</v>
      </c>
      <c r="N3747" s="33">
        <f>IFERROR(__xludf.DUMMYFUNCTION("""COMPUTED_VALUE"""),0.6666666666666666)</f>
        <v>0.6666666667</v>
      </c>
      <c r="O3747" s="4" t="str">
        <f>IFERROR(__xludf.DUMMYFUNCTION("""COMPUTED_VALUE"""),"Stone Co.")</f>
        <v>Stone Co.</v>
      </c>
      <c r="P3747" s="33">
        <f>IFERROR(__xludf.DUMMYFUNCTION("""COMPUTED_VALUE"""),0.6666666666666666)</f>
        <v>0.6666666667</v>
      </c>
      <c r="Q3747" s="4" t="str">
        <f>IFERROR(__xludf.DUMMYFUNCTION("""COMPUTED_VALUE"""),"Stone Co.")</f>
        <v>Stone Co.</v>
      </c>
      <c r="R3747" s="33">
        <f>IFERROR(__xludf.DUMMYFUNCTION("""COMPUTED_VALUE"""),0.6666666666666666)</f>
        <v>0.6666666667</v>
      </c>
      <c r="S3747" s="4" t="str">
        <f>IFERROR(__xludf.DUMMYFUNCTION("""COMPUTED_VALUE"""),"Stone Co.")</f>
        <v>Stone Co.</v>
      </c>
      <c r="T3747" s="33">
        <f>IFERROR(__xludf.DUMMYFUNCTION("""COMPUTED_VALUE"""),0.6666666666666666)</f>
        <v>0.6666666667</v>
      </c>
      <c r="U3747" s="4" t="str">
        <f>IFERROR(__xludf.DUMMYFUNCTION("""COMPUTED_VALUE"""),"Stone Co.")</f>
        <v>Stone Co.</v>
      </c>
      <c r="V3747" s="33">
        <f>IFERROR(__xludf.DUMMYFUNCTION("""COMPUTED_VALUE"""),0.6666666666666666)</f>
        <v>0.6666666667</v>
      </c>
      <c r="W3747" s="4" t="str">
        <f>IFERROR(__xludf.DUMMYFUNCTION("""COMPUTED_VALUE"""),"Stone Co.")</f>
        <v>Stone Co.</v>
      </c>
      <c r="X3747" s="33">
        <f>IFERROR(__xludf.DUMMYFUNCTION("""COMPUTED_VALUE"""),0.6666666666666666)</f>
        <v>0.6666666667</v>
      </c>
    </row>
    <row r="3748">
      <c r="K3748" s="4" t="str">
        <f>IFERROR(__xludf.DUMMYFUNCTION("""COMPUTED_VALUE"""),"PERFUMARIA HIROMI - MARCA")</f>
        <v>PERFUMARIA HIROMI - MARCA</v>
      </c>
      <c r="L3748" s="32">
        <f>IFERROR(__xludf.DUMMYFUNCTION("""COMPUTED_VALUE"""),3.0)</f>
        <v>3</v>
      </c>
      <c r="M3748" s="4" t="str">
        <f>IFERROR(__xludf.DUMMYFUNCTION("""COMPUTED_VALUE"""),"null")</f>
        <v>null</v>
      </c>
      <c r="N3748" s="33">
        <f>IFERROR(__xludf.DUMMYFUNCTION("""COMPUTED_VALUE"""),1.0)</f>
        <v>1</v>
      </c>
      <c r="O3748" s="4" t="str">
        <f>IFERROR(__xludf.DUMMYFUNCTION("""COMPUTED_VALUE"""),"N/A (Not found)")</f>
        <v>N/A (Not found)</v>
      </c>
      <c r="P3748" s="33">
        <f>IFERROR(__xludf.DUMMYFUNCTION("""COMPUTED_VALUE"""),0.6666666666666666)</f>
        <v>0.6666666667</v>
      </c>
      <c r="Q3748" s="4" t="str">
        <f>IFERROR(__xludf.DUMMYFUNCTION("""COMPUTED_VALUE"""),"null")</f>
        <v>null</v>
      </c>
      <c r="R3748" s="33">
        <f>IFERROR(__xludf.DUMMYFUNCTION("""COMPUTED_VALUE"""),1.0)</f>
        <v>1</v>
      </c>
      <c r="S3748" s="4" t="str">
        <f>IFERROR(__xludf.DUMMYFUNCTION("""COMPUTED_VALUE"""),"null")</f>
        <v>null</v>
      </c>
      <c r="T3748" s="33">
        <f>IFERROR(__xludf.DUMMYFUNCTION("""COMPUTED_VALUE"""),0.6666666666666666)</f>
        <v>0.6666666667</v>
      </c>
      <c r="U3748" s="4" t="str">
        <f>IFERROR(__xludf.DUMMYFUNCTION("""COMPUTED_VALUE"""),"N/A (Not found)")</f>
        <v>N/A (Not found)</v>
      </c>
      <c r="V3748" s="33">
        <f>IFERROR(__xludf.DUMMYFUNCTION("""COMPUTED_VALUE"""),1.0)</f>
        <v>1</v>
      </c>
      <c r="W3748" s="4" t="str">
        <f>IFERROR(__xludf.DUMMYFUNCTION("""COMPUTED_VALUE"""),"N/A (Not found)")</f>
        <v>N/A (Not found)</v>
      </c>
      <c r="X3748" s="33">
        <f>IFERROR(__xludf.DUMMYFUNCTION("""COMPUTED_VALUE"""),0.6666666666666666)</f>
        <v>0.6666666667</v>
      </c>
    </row>
    <row r="3749">
      <c r="K3749" s="4" t="str">
        <f>IFERROR(__xludf.DUMMYFUNCTION("""COMPUTED_VALUE"""),"PETISKEIRA - MARCA")</f>
        <v>PETISKEIRA - MARCA</v>
      </c>
      <c r="L3749" s="32">
        <f>IFERROR(__xludf.DUMMYFUNCTION("""COMPUTED_VALUE"""),3.0)</f>
        <v>3</v>
      </c>
      <c r="M3749" s="4" t="str">
        <f>IFERROR(__xludf.DUMMYFUNCTION("""COMPUTED_VALUE"""),"null")</f>
        <v>null</v>
      </c>
      <c r="N3749" s="33">
        <f>IFERROR(__xludf.DUMMYFUNCTION("""COMPUTED_VALUE"""),1.0)</f>
        <v>1</v>
      </c>
      <c r="O3749" s="4" t="str">
        <f>IFERROR(__xludf.DUMMYFUNCTION("""COMPUTED_VALUE"""),"null")</f>
        <v>null</v>
      </c>
      <c r="P3749" s="33">
        <f>IFERROR(__xludf.DUMMYFUNCTION("""COMPUTED_VALUE"""),1.0)</f>
        <v>1</v>
      </c>
      <c r="Q3749" s="4" t="str">
        <f>IFERROR(__xludf.DUMMYFUNCTION("""COMPUTED_VALUE"""),"null")</f>
        <v>null</v>
      </c>
      <c r="R3749" s="33">
        <f>IFERROR(__xludf.DUMMYFUNCTION("""COMPUTED_VALUE"""),1.0)</f>
        <v>1</v>
      </c>
      <c r="S3749" s="4" t="str">
        <f>IFERROR(__xludf.DUMMYFUNCTION("""COMPUTED_VALUE"""),"null")</f>
        <v>null</v>
      </c>
      <c r="T3749" s="33">
        <f>IFERROR(__xludf.DUMMYFUNCTION("""COMPUTED_VALUE"""),1.0)</f>
        <v>1</v>
      </c>
      <c r="U3749" s="4" t="str">
        <f>IFERROR(__xludf.DUMMYFUNCTION("""COMPUTED_VALUE"""),"null")</f>
        <v>null</v>
      </c>
      <c r="V3749" s="33">
        <f>IFERROR(__xludf.DUMMYFUNCTION("""COMPUTED_VALUE"""),0.6666666666666666)</f>
        <v>0.6666666667</v>
      </c>
      <c r="W3749" s="4" t="str">
        <f>IFERROR(__xludf.DUMMYFUNCTION("""COMPUTED_VALUE"""),"Lexsis Sistemas")</f>
        <v>Lexsis Sistemas</v>
      </c>
      <c r="X3749" s="33">
        <f>IFERROR(__xludf.DUMMYFUNCTION("""COMPUTED_VALUE"""),1.0)</f>
        <v>1</v>
      </c>
    </row>
    <row r="3750">
      <c r="K3750" s="4" t="str">
        <f>IFERROR(__xludf.DUMMYFUNCTION("""COMPUTED_VALUE"""),"PETSIM PETCENTER - CONTA MARCA")</f>
        <v>PETSIM PETCENTER - CONTA MARCA</v>
      </c>
      <c r="L3750" s="32">
        <f>IFERROR(__xludf.DUMMYFUNCTION("""COMPUTED_VALUE"""),3.0)</f>
        <v>3</v>
      </c>
      <c r="M3750" s="4" t="str">
        <f>IFERROR(__xludf.DUMMYFUNCTION("""COMPUTED_VALUE"""),"N/A (Not found)")</f>
        <v>N/A (Not found)</v>
      </c>
      <c r="N3750" s="33">
        <f>IFERROR(__xludf.DUMMYFUNCTION("""COMPUTED_VALUE"""),1.0)</f>
        <v>1</v>
      </c>
      <c r="O3750" s="4" t="str">
        <f>IFERROR(__xludf.DUMMYFUNCTION("""COMPUTED_VALUE"""),"N/A (Not found)")</f>
        <v>N/A (Not found)</v>
      </c>
      <c r="P3750" s="33">
        <f>IFERROR(__xludf.DUMMYFUNCTION("""COMPUTED_VALUE"""),1.0)</f>
        <v>1</v>
      </c>
      <c r="Q3750" s="4" t="str">
        <f>IFERROR(__xludf.DUMMYFUNCTION("""COMPUTED_VALUE"""),"N/A (Not found)")</f>
        <v>N/A (Not found)</v>
      </c>
      <c r="R3750" s="33">
        <f>IFERROR(__xludf.DUMMYFUNCTION("""COMPUTED_VALUE"""),1.0)</f>
        <v>1</v>
      </c>
      <c r="S3750" s="4" t="str">
        <f>IFERROR(__xludf.DUMMYFUNCTION("""COMPUTED_VALUE"""),"N/A (Not found)")</f>
        <v>N/A (Not found)</v>
      </c>
      <c r="T3750" s="33">
        <f>IFERROR(__xludf.DUMMYFUNCTION("""COMPUTED_VALUE"""),1.0)</f>
        <v>1</v>
      </c>
      <c r="U3750" s="4" t="str">
        <f>IFERROR(__xludf.DUMMYFUNCTION("""COMPUTED_VALUE"""),"N/A (Not found)")</f>
        <v>N/A (Not found)</v>
      </c>
      <c r="V3750" s="33">
        <f>IFERROR(__xludf.DUMMYFUNCTION("""COMPUTED_VALUE"""),1.0)</f>
        <v>1</v>
      </c>
      <c r="W3750" s="4" t="str">
        <f>IFERROR(__xludf.DUMMYFUNCTION("""COMPUTED_VALUE"""),"N/A (Not found)")</f>
        <v>N/A (Not found)</v>
      </c>
      <c r="X3750" s="33">
        <f>IFERROR(__xludf.DUMMYFUNCTION("""COMPUTED_VALUE"""),1.0)</f>
        <v>1</v>
      </c>
    </row>
    <row r="3751">
      <c r="K3751" s="4" t="str">
        <f>IFERROR(__xludf.DUMMYFUNCTION("""COMPUTED_VALUE"""),"PIATTO PIZZA - FORNO A LENHA")</f>
        <v>PIATTO PIZZA - FORNO A LENHA</v>
      </c>
      <c r="L3751" s="32">
        <f>IFERROR(__xludf.DUMMYFUNCTION("""COMPUTED_VALUE"""),3.0)</f>
        <v>3</v>
      </c>
      <c r="M3751" s="4" t="str">
        <f>IFERROR(__xludf.DUMMYFUNCTION("""COMPUTED_VALUE"""),"Bitbar")</f>
        <v>Bitbar</v>
      </c>
      <c r="N3751" s="33">
        <f>IFERROR(__xludf.DUMMYFUNCTION("""COMPUTED_VALUE"""),1.0)</f>
        <v>1</v>
      </c>
      <c r="O3751" s="4" t="str">
        <f>IFERROR(__xludf.DUMMYFUNCTION("""COMPUTED_VALUE"""),"Bitbar")</f>
        <v>Bitbar</v>
      </c>
      <c r="P3751" s="33">
        <f>IFERROR(__xludf.DUMMYFUNCTION("""COMPUTED_VALUE"""),1.0)</f>
        <v>1</v>
      </c>
      <c r="Q3751" s="4" t="str">
        <f>IFERROR(__xludf.DUMMYFUNCTION("""COMPUTED_VALUE"""),"Bitbar")</f>
        <v>Bitbar</v>
      </c>
      <c r="R3751" s="33">
        <f>IFERROR(__xludf.DUMMYFUNCTION("""COMPUTED_VALUE"""),1.0)</f>
        <v>1</v>
      </c>
      <c r="S3751" s="4" t="str">
        <f>IFERROR(__xludf.DUMMYFUNCTION("""COMPUTED_VALUE"""),"Bitbar")</f>
        <v>Bitbar</v>
      </c>
      <c r="T3751" s="33">
        <f>IFERROR(__xludf.DUMMYFUNCTION("""COMPUTED_VALUE"""),0.6666666666666666)</f>
        <v>0.6666666667</v>
      </c>
      <c r="U3751" s="4" t="str">
        <f>IFERROR(__xludf.DUMMYFUNCTION("""COMPUTED_VALUE"""),"Bitbar")</f>
        <v>Bitbar</v>
      </c>
      <c r="V3751" s="33">
        <f>IFERROR(__xludf.DUMMYFUNCTION("""COMPUTED_VALUE"""),1.0)</f>
        <v>1</v>
      </c>
      <c r="W3751" s="4" t="str">
        <f>IFERROR(__xludf.DUMMYFUNCTION("""COMPUTED_VALUE"""),"Bitbar")</f>
        <v>Bitbar</v>
      </c>
      <c r="X3751" s="33">
        <f>IFERROR(__xludf.DUMMYFUNCTION("""COMPUTED_VALUE"""),1.0)</f>
        <v>1</v>
      </c>
    </row>
    <row r="3752">
      <c r="K3752" s="4" t="str">
        <f>IFERROR(__xludf.DUMMYFUNCTION("""COMPUTED_VALUE"""),"PICUI PRAIA")</f>
        <v>PICUI PRAIA</v>
      </c>
      <c r="L3752" s="32">
        <f>IFERROR(__xludf.DUMMYFUNCTION("""COMPUTED_VALUE"""),3.0)</f>
        <v>3</v>
      </c>
      <c r="M3752" s="4" t="str">
        <f>IFERROR(__xludf.DUMMYFUNCTION("""COMPUTED_VALUE"""),"Menew - Linx")</f>
        <v>Menew - Linx</v>
      </c>
      <c r="N3752" s="33">
        <f>IFERROR(__xludf.DUMMYFUNCTION("""COMPUTED_VALUE"""),1.0)</f>
        <v>1</v>
      </c>
      <c r="O3752" s="4" t="str">
        <f>IFERROR(__xludf.DUMMYFUNCTION("""COMPUTED_VALUE"""),"Menew - Linx")</f>
        <v>Menew - Linx</v>
      </c>
      <c r="P3752" s="33">
        <f>IFERROR(__xludf.DUMMYFUNCTION("""COMPUTED_VALUE"""),1.0)</f>
        <v>1</v>
      </c>
      <c r="Q3752" s="4" t="str">
        <f>IFERROR(__xludf.DUMMYFUNCTION("""COMPUTED_VALUE"""),"Menew - Linx")</f>
        <v>Menew - Linx</v>
      </c>
      <c r="R3752" s="33">
        <f>IFERROR(__xludf.DUMMYFUNCTION("""COMPUTED_VALUE"""),1.0)</f>
        <v>1</v>
      </c>
      <c r="S3752" s="4" t="str">
        <f>IFERROR(__xludf.DUMMYFUNCTION("""COMPUTED_VALUE"""),"Menew - Linx")</f>
        <v>Menew - Linx</v>
      </c>
      <c r="T3752" s="33">
        <f>IFERROR(__xludf.DUMMYFUNCTION("""COMPUTED_VALUE"""),0.6666666666666666)</f>
        <v>0.6666666667</v>
      </c>
      <c r="U3752" s="4" t="str">
        <f>IFERROR(__xludf.DUMMYFUNCTION("""COMPUTED_VALUE"""),"Menew - Linx")</f>
        <v>Menew - Linx</v>
      </c>
      <c r="V3752" s="33">
        <f>IFERROR(__xludf.DUMMYFUNCTION("""COMPUTED_VALUE"""),0.6666666666666666)</f>
        <v>0.6666666667</v>
      </c>
      <c r="W3752" s="4" t="str">
        <f>IFERROR(__xludf.DUMMYFUNCTION("""COMPUTED_VALUE"""),"Menew - Linx")</f>
        <v>Menew - Linx</v>
      </c>
      <c r="X3752" s="33">
        <f>IFERROR(__xludf.DUMMYFUNCTION("""COMPUTED_VALUE"""),0.6666666666666666)</f>
        <v>0.6666666667</v>
      </c>
    </row>
    <row r="3753">
      <c r="K3753" s="4" t="str">
        <f>IFERROR(__xludf.DUMMYFUNCTION("""COMPUTED_VALUE"""),"PICUI TERESINA")</f>
        <v>PICUI TERESINA</v>
      </c>
      <c r="L3753" s="32">
        <f>IFERROR(__xludf.DUMMYFUNCTION("""COMPUTED_VALUE"""),3.0)</f>
        <v>3</v>
      </c>
      <c r="M3753" s="4" t="str">
        <f>IFERROR(__xludf.DUMMYFUNCTION("""COMPUTED_VALUE"""),"Anota Ai Solucoes Digitais S/a")</f>
        <v>Anota Ai Solucoes Digitais S/a</v>
      </c>
      <c r="N3753" s="33">
        <f>IFERROR(__xludf.DUMMYFUNCTION("""COMPUTED_VALUE"""),0.3333333333333333)</f>
        <v>0.3333333333</v>
      </c>
      <c r="O3753" s="4" t="str">
        <f>IFERROR(__xludf.DUMMYFUNCTION("""COMPUTED_VALUE"""),"Anota Ai Solucoes Digitais S/a")</f>
        <v>Anota Ai Solucoes Digitais S/a</v>
      </c>
      <c r="P3753" s="33">
        <f>IFERROR(__xludf.DUMMYFUNCTION("""COMPUTED_VALUE"""),0.3333333333333333)</f>
        <v>0.3333333333</v>
      </c>
      <c r="Q3753" s="4" t="str">
        <f>IFERROR(__xludf.DUMMYFUNCTION("""COMPUTED_VALUE"""),"Anota Ai Solucoes Digitais S/a")</f>
        <v>Anota Ai Solucoes Digitais S/a</v>
      </c>
      <c r="R3753" s="33">
        <f>IFERROR(__xludf.DUMMYFUNCTION("""COMPUTED_VALUE"""),0.3333333333333333)</f>
        <v>0.3333333333</v>
      </c>
      <c r="S3753" s="4" t="str">
        <f>IFERROR(__xludf.DUMMYFUNCTION("""COMPUTED_VALUE"""),"Anota Ai Solucoes Digitais S/a")</f>
        <v>Anota Ai Solucoes Digitais S/a</v>
      </c>
      <c r="T3753" s="33">
        <f>IFERROR(__xludf.DUMMYFUNCTION("""COMPUTED_VALUE"""),0.3333333333333333)</f>
        <v>0.3333333333</v>
      </c>
      <c r="U3753" s="4" t="str">
        <f>IFERROR(__xludf.DUMMYFUNCTION("""COMPUTED_VALUE"""),"Anota Ai Solucoes Digitais S/a")</f>
        <v>Anota Ai Solucoes Digitais S/a</v>
      </c>
      <c r="V3753" s="33">
        <f>IFERROR(__xludf.DUMMYFUNCTION("""COMPUTED_VALUE"""),0.3333333333333333)</f>
        <v>0.3333333333</v>
      </c>
      <c r="W3753" s="4" t="str">
        <f>IFERROR(__xludf.DUMMYFUNCTION("""COMPUTED_VALUE"""),"Anota Ai Solucoes Digitais S/a")</f>
        <v>Anota Ai Solucoes Digitais S/a</v>
      </c>
      <c r="X3753" s="33">
        <f>IFERROR(__xludf.DUMMYFUNCTION("""COMPUTED_VALUE"""),0.6666666666666666)</f>
        <v>0.6666666667</v>
      </c>
    </row>
    <row r="3754">
      <c r="K3754" s="4" t="str">
        <f>IFERROR(__xludf.DUMMYFUNCTION("""COMPUTED_VALUE"""),"PIPA SUSHI TEMAKERIA - CONTA MARCA")</f>
        <v>PIPA SUSHI TEMAKERIA - CONTA MARCA</v>
      </c>
      <c r="L3754" s="32">
        <f>IFERROR(__xludf.DUMMYFUNCTION("""COMPUTED_VALUE"""),3.0)</f>
        <v>3</v>
      </c>
      <c r="M3754" s="4" t="str">
        <f>IFERROR(__xludf.DUMMYFUNCTION("""COMPUTED_VALUE"""),"Menew - Linx")</f>
        <v>Menew - Linx</v>
      </c>
      <c r="N3754" s="33">
        <f>IFERROR(__xludf.DUMMYFUNCTION("""COMPUTED_VALUE"""),1.0)</f>
        <v>1</v>
      </c>
      <c r="O3754" s="4" t="str">
        <f>IFERROR(__xludf.DUMMYFUNCTION("""COMPUTED_VALUE"""),"Menew - Linx")</f>
        <v>Menew - Linx</v>
      </c>
      <c r="P3754" s="33">
        <f>IFERROR(__xludf.DUMMYFUNCTION("""COMPUTED_VALUE"""),1.0)</f>
        <v>1</v>
      </c>
      <c r="Q3754" s="4" t="str">
        <f>IFERROR(__xludf.DUMMYFUNCTION("""COMPUTED_VALUE"""),"Menew - Linx")</f>
        <v>Menew - Linx</v>
      </c>
      <c r="R3754" s="33">
        <f>IFERROR(__xludf.DUMMYFUNCTION("""COMPUTED_VALUE"""),1.0)</f>
        <v>1</v>
      </c>
      <c r="S3754" s="4" t="str">
        <f>IFERROR(__xludf.DUMMYFUNCTION("""COMPUTED_VALUE"""),"Menew - Linx")</f>
        <v>Menew - Linx</v>
      </c>
      <c r="T3754" s="33">
        <f>IFERROR(__xludf.DUMMYFUNCTION("""COMPUTED_VALUE"""),1.0)</f>
        <v>1</v>
      </c>
      <c r="U3754" s="4" t="str">
        <f>IFERROR(__xludf.DUMMYFUNCTION("""COMPUTED_VALUE"""),"Menew - Linx")</f>
        <v>Menew - Linx</v>
      </c>
      <c r="V3754" s="33">
        <f>IFERROR(__xludf.DUMMYFUNCTION("""COMPUTED_VALUE"""),1.0)</f>
        <v>1</v>
      </c>
      <c r="W3754" s="4" t="str">
        <f>IFERROR(__xludf.DUMMYFUNCTION("""COMPUTED_VALUE"""),"null")</f>
        <v>null</v>
      </c>
      <c r="X3754" s="33">
        <f>IFERROR(__xludf.DUMMYFUNCTION("""COMPUTED_VALUE"""),0.6666666666666666)</f>
        <v>0.6666666667</v>
      </c>
    </row>
    <row r="3755">
      <c r="K3755" s="4" t="str">
        <f>IFERROR(__xludf.DUMMYFUNCTION("""COMPUTED_VALUE"""),"PIZZA MAKERS")</f>
        <v>PIZZA MAKERS</v>
      </c>
      <c r="L3755" s="32">
        <f>IFERROR(__xludf.DUMMYFUNCTION("""COMPUTED_VALUE"""),3.0)</f>
        <v>3</v>
      </c>
      <c r="M3755" s="4" t="str">
        <f>IFERROR(__xludf.DUMMYFUNCTION("""COMPUTED_VALUE"""),"Eclética Tecnologia")</f>
        <v>Eclética Tecnologia</v>
      </c>
      <c r="N3755" s="33">
        <f>IFERROR(__xludf.DUMMYFUNCTION("""COMPUTED_VALUE"""),1.0)</f>
        <v>1</v>
      </c>
      <c r="O3755" s="4" t="str">
        <f>IFERROR(__xludf.DUMMYFUNCTION("""COMPUTED_VALUE"""),"null")</f>
        <v>null</v>
      </c>
      <c r="P3755" s="33">
        <f>IFERROR(__xludf.DUMMYFUNCTION("""COMPUTED_VALUE"""),0.6666666666666666)</f>
        <v>0.6666666667</v>
      </c>
      <c r="Q3755" s="4" t="str">
        <f>IFERROR(__xludf.DUMMYFUNCTION("""COMPUTED_VALUE"""),"null")</f>
        <v>null</v>
      </c>
      <c r="R3755" s="33">
        <f>IFERROR(__xludf.DUMMYFUNCTION("""COMPUTED_VALUE"""),0.6666666666666666)</f>
        <v>0.6666666667</v>
      </c>
      <c r="S3755" s="4" t="str">
        <f>IFERROR(__xludf.DUMMYFUNCTION("""COMPUTED_VALUE"""),"null")</f>
        <v>null</v>
      </c>
      <c r="T3755" s="33">
        <f>IFERROR(__xludf.DUMMYFUNCTION("""COMPUTED_VALUE"""),0.6666666666666666)</f>
        <v>0.6666666667</v>
      </c>
      <c r="U3755" s="4" t="str">
        <f>IFERROR(__xludf.DUMMYFUNCTION("""COMPUTED_VALUE"""),"null")</f>
        <v>null</v>
      </c>
      <c r="V3755" s="33">
        <f>IFERROR(__xludf.DUMMYFUNCTION("""COMPUTED_VALUE"""),0.6666666666666666)</f>
        <v>0.6666666667</v>
      </c>
      <c r="W3755" s="4" t="str">
        <f>IFERROR(__xludf.DUMMYFUNCTION("""COMPUTED_VALUE"""),"null")</f>
        <v>null</v>
      </c>
      <c r="X3755" s="33">
        <f>IFERROR(__xludf.DUMMYFUNCTION("""COMPUTED_VALUE"""),0.6666666666666666)</f>
        <v>0.6666666667</v>
      </c>
    </row>
    <row r="3756">
      <c r="K3756" s="4" t="str">
        <f>IFERROR(__xludf.DUMMYFUNCTION("""COMPUTED_VALUE"""),"PIZZA QUALY")</f>
        <v>PIZZA QUALY</v>
      </c>
      <c r="L3756" s="32">
        <f>IFERROR(__xludf.DUMMYFUNCTION("""COMPUTED_VALUE"""),3.0)</f>
        <v>3</v>
      </c>
      <c r="M3756" s="4" t="str">
        <f>IFERROR(__xludf.DUMMYFUNCTION("""COMPUTED_VALUE"""),"Cardápio Web")</f>
        <v>Cardápio Web</v>
      </c>
      <c r="N3756" s="33">
        <f>IFERROR(__xludf.DUMMYFUNCTION("""COMPUTED_VALUE"""),1.0)</f>
        <v>1</v>
      </c>
      <c r="O3756" s="4" t="str">
        <f>IFERROR(__xludf.DUMMYFUNCTION("""COMPUTED_VALUE"""),"Cardápio Web")</f>
        <v>Cardápio Web</v>
      </c>
      <c r="P3756" s="33">
        <f>IFERROR(__xludf.DUMMYFUNCTION("""COMPUTED_VALUE"""),1.0)</f>
        <v>1</v>
      </c>
      <c r="Q3756" s="4" t="str">
        <f>IFERROR(__xludf.DUMMYFUNCTION("""COMPUTED_VALUE"""),"Cardápio Web")</f>
        <v>Cardápio Web</v>
      </c>
      <c r="R3756" s="33">
        <f>IFERROR(__xludf.DUMMYFUNCTION("""COMPUTED_VALUE"""),1.0)</f>
        <v>1</v>
      </c>
      <c r="S3756" s="4" t="str">
        <f>IFERROR(__xludf.DUMMYFUNCTION("""COMPUTED_VALUE"""),"Cardápio Web")</f>
        <v>Cardápio Web</v>
      </c>
      <c r="T3756" s="33">
        <f>IFERROR(__xludf.DUMMYFUNCTION("""COMPUTED_VALUE"""),1.0)</f>
        <v>1</v>
      </c>
      <c r="U3756" s="4" t="str">
        <f>IFERROR(__xludf.DUMMYFUNCTION("""COMPUTED_VALUE"""),"Cardápio Web")</f>
        <v>Cardápio Web</v>
      </c>
      <c r="V3756" s="33">
        <f>IFERROR(__xludf.DUMMYFUNCTION("""COMPUTED_VALUE"""),1.0)</f>
        <v>1</v>
      </c>
      <c r="W3756" s="4" t="str">
        <f>IFERROR(__xludf.DUMMYFUNCTION("""COMPUTED_VALUE"""),"Cardápio Web")</f>
        <v>Cardápio Web</v>
      </c>
      <c r="X3756" s="33">
        <f>IFERROR(__xludf.DUMMYFUNCTION("""COMPUTED_VALUE"""),1.0)</f>
        <v>1</v>
      </c>
    </row>
    <row r="3757">
      <c r="K3757" s="4" t="str">
        <f>IFERROR(__xludf.DUMMYFUNCTION("""COMPUTED_VALUE"""),"PIZZA REI - CONTA MARCA")</f>
        <v>PIZZA REI - CONTA MARCA</v>
      </c>
      <c r="L3757" s="32">
        <f>IFERROR(__xludf.DUMMYFUNCTION("""COMPUTED_VALUE"""),3.0)</f>
        <v>3</v>
      </c>
      <c r="M3757" s="4" t="str">
        <f>IFERROR(__xludf.DUMMYFUNCTION("""COMPUTED_VALUE"""),"Saipos Serviços De Software")</f>
        <v>Saipos Serviços De Software</v>
      </c>
      <c r="N3757" s="33">
        <f>IFERROR(__xludf.DUMMYFUNCTION("""COMPUTED_VALUE"""),1.0)</f>
        <v>1</v>
      </c>
      <c r="O3757" s="4" t="str">
        <f>IFERROR(__xludf.DUMMYFUNCTION("""COMPUTED_VALUE"""),"Saipos Serviços De Software")</f>
        <v>Saipos Serviços De Software</v>
      </c>
      <c r="P3757" s="33">
        <f>IFERROR(__xludf.DUMMYFUNCTION("""COMPUTED_VALUE"""),1.0)</f>
        <v>1</v>
      </c>
      <c r="Q3757" s="4" t="str">
        <f>IFERROR(__xludf.DUMMYFUNCTION("""COMPUTED_VALUE"""),"Saipos Serviços De Software")</f>
        <v>Saipos Serviços De Software</v>
      </c>
      <c r="R3757" s="33">
        <f>IFERROR(__xludf.DUMMYFUNCTION("""COMPUTED_VALUE"""),1.0)</f>
        <v>1</v>
      </c>
      <c r="S3757" s="4" t="str">
        <f>IFERROR(__xludf.DUMMYFUNCTION("""COMPUTED_VALUE"""),"Saipos Serviços De Software")</f>
        <v>Saipos Serviços De Software</v>
      </c>
      <c r="T3757" s="33">
        <f>IFERROR(__xludf.DUMMYFUNCTION("""COMPUTED_VALUE"""),0.6666666666666666)</f>
        <v>0.6666666667</v>
      </c>
      <c r="U3757" s="4" t="str">
        <f>IFERROR(__xludf.DUMMYFUNCTION("""COMPUTED_VALUE"""),"Saipos Serviços De Software")</f>
        <v>Saipos Serviços De Software</v>
      </c>
      <c r="V3757" s="33">
        <f>IFERROR(__xludf.DUMMYFUNCTION("""COMPUTED_VALUE"""),0.6666666666666666)</f>
        <v>0.6666666667</v>
      </c>
      <c r="W3757" s="4" t="str">
        <f>IFERROR(__xludf.DUMMYFUNCTION("""COMPUTED_VALUE"""),"Cardápio Web")</f>
        <v>Cardápio Web</v>
      </c>
      <c r="X3757" s="33">
        <f>IFERROR(__xludf.DUMMYFUNCTION("""COMPUTED_VALUE"""),1.0)</f>
        <v>1</v>
      </c>
    </row>
    <row r="3758">
      <c r="K3758" s="4" t="str">
        <f>IFERROR(__xludf.DUMMYFUNCTION("""COMPUTED_VALUE"""),"PIZZA SCUOLA")</f>
        <v>PIZZA SCUOLA</v>
      </c>
      <c r="L3758" s="32">
        <f>IFERROR(__xludf.DUMMYFUNCTION("""COMPUTED_VALUE"""),3.0)</f>
        <v>3</v>
      </c>
      <c r="M3758" s="4" t="str">
        <f>IFERROR(__xludf.DUMMYFUNCTION("""COMPUTED_VALUE"""),"Anota Ai Solucoes Digitais S/a")</f>
        <v>Anota Ai Solucoes Digitais S/a</v>
      </c>
      <c r="N3758" s="33">
        <f>IFERROR(__xludf.DUMMYFUNCTION("""COMPUTED_VALUE"""),0.6666666666666666)</f>
        <v>0.6666666667</v>
      </c>
      <c r="O3758" s="4" t="str">
        <f>IFERROR(__xludf.DUMMYFUNCTION("""COMPUTED_VALUE"""),"Anota Ai Solucoes Digitais S/a")</f>
        <v>Anota Ai Solucoes Digitais S/a</v>
      </c>
      <c r="P3758" s="33">
        <f>IFERROR(__xludf.DUMMYFUNCTION("""COMPUTED_VALUE"""),0.6666666666666666)</f>
        <v>0.6666666667</v>
      </c>
      <c r="Q3758" s="4" t="str">
        <f>IFERROR(__xludf.DUMMYFUNCTION("""COMPUTED_VALUE"""),"Anota Ai Solucoes Digitais S/a")</f>
        <v>Anota Ai Solucoes Digitais S/a</v>
      </c>
      <c r="R3758" s="33">
        <f>IFERROR(__xludf.DUMMYFUNCTION("""COMPUTED_VALUE"""),0.6666666666666666)</f>
        <v>0.6666666667</v>
      </c>
      <c r="S3758" s="4" t="str">
        <f>IFERROR(__xludf.DUMMYFUNCTION("""COMPUTED_VALUE"""),"null")</f>
        <v>null</v>
      </c>
      <c r="T3758" s="33">
        <f>IFERROR(__xludf.DUMMYFUNCTION("""COMPUTED_VALUE"""),0.6666666666666666)</f>
        <v>0.6666666667</v>
      </c>
      <c r="U3758" s="4" t="str">
        <f>IFERROR(__xludf.DUMMYFUNCTION("""COMPUTED_VALUE"""),"Anota Ai Solucoes Digitais S/a")</f>
        <v>Anota Ai Solucoes Digitais S/a</v>
      </c>
      <c r="V3758" s="33">
        <f>IFERROR(__xludf.DUMMYFUNCTION("""COMPUTED_VALUE"""),0.6666666666666666)</f>
        <v>0.6666666667</v>
      </c>
      <c r="W3758" s="4" t="str">
        <f>IFERROR(__xludf.DUMMYFUNCTION("""COMPUTED_VALUE"""),"Anota Ai Solucoes Digitais S/a")</f>
        <v>Anota Ai Solucoes Digitais S/a</v>
      </c>
      <c r="X3758" s="33">
        <f>IFERROR(__xludf.DUMMYFUNCTION("""COMPUTED_VALUE"""),0.6666666666666666)</f>
        <v>0.6666666667</v>
      </c>
    </row>
    <row r="3759">
      <c r="K3759" s="4" t="str">
        <f>IFERROR(__xludf.DUMMYFUNCTION("""COMPUTED_VALUE"""),"PIZZA TORRE - CONTA MARCA")</f>
        <v>PIZZA TORRE - CONTA MARCA</v>
      </c>
      <c r="L3759" s="32">
        <f>IFERROR(__xludf.DUMMYFUNCTION("""COMPUTED_VALUE"""),3.0)</f>
        <v>3</v>
      </c>
      <c r="M3759" s="4" t="str">
        <f>IFERROR(__xludf.DUMMYFUNCTION("""COMPUTED_VALUE"""),"null")</f>
        <v>null</v>
      </c>
      <c r="N3759" s="33">
        <f>IFERROR(__xludf.DUMMYFUNCTION("""COMPUTED_VALUE"""),1.0)</f>
        <v>1</v>
      </c>
      <c r="O3759" s="4" t="str">
        <f>IFERROR(__xludf.DUMMYFUNCTION("""COMPUTED_VALUE"""),"null")</f>
        <v>null</v>
      </c>
      <c r="P3759" s="33">
        <f>IFERROR(__xludf.DUMMYFUNCTION("""COMPUTED_VALUE"""),1.0)</f>
        <v>1</v>
      </c>
      <c r="Q3759" s="4" t="str">
        <f>IFERROR(__xludf.DUMMYFUNCTION("""COMPUTED_VALUE"""),"null")</f>
        <v>null</v>
      </c>
      <c r="R3759" s="33">
        <f>IFERROR(__xludf.DUMMYFUNCTION("""COMPUTED_VALUE"""),1.0)</f>
        <v>1</v>
      </c>
      <c r="S3759" s="4" t="str">
        <f>IFERROR(__xludf.DUMMYFUNCTION("""COMPUTED_VALUE"""),"null")</f>
        <v>null</v>
      </c>
      <c r="T3759" s="33">
        <f>IFERROR(__xludf.DUMMYFUNCTION("""COMPUTED_VALUE"""),1.0)</f>
        <v>1</v>
      </c>
      <c r="U3759" s="4" t="str">
        <f>IFERROR(__xludf.DUMMYFUNCTION("""COMPUTED_VALUE"""),"Saipos Serviços De Software")</f>
        <v>Saipos Serviços De Software</v>
      </c>
      <c r="V3759" s="33">
        <f>IFERROR(__xludf.DUMMYFUNCTION("""COMPUTED_VALUE"""),1.0)</f>
        <v>1</v>
      </c>
      <c r="W3759" s="4" t="str">
        <f>IFERROR(__xludf.DUMMYFUNCTION("""COMPUTED_VALUE"""),"Saipos Serviços De Software")</f>
        <v>Saipos Serviços De Software</v>
      </c>
      <c r="X3759" s="33">
        <f>IFERROR(__xludf.DUMMYFUNCTION("""COMPUTED_VALUE"""),1.0)</f>
        <v>1</v>
      </c>
    </row>
    <row r="3760">
      <c r="K3760" s="4" t="str">
        <f>IFERROR(__xludf.DUMMYFUNCTION("""COMPUTED_VALUE"""),"PIZZARELLA - GRUPOS CG")</f>
        <v>PIZZARELLA - GRUPOS CG</v>
      </c>
      <c r="L3760" s="32">
        <f>IFERROR(__xludf.DUMMYFUNCTION("""COMPUTED_VALUE"""),3.0)</f>
        <v>3</v>
      </c>
      <c r="M3760" s="4" t="str">
        <f>IFERROR(__xludf.DUMMYFUNCTION("""COMPUTED_VALUE"""),"null")</f>
        <v>null</v>
      </c>
      <c r="N3760" s="33">
        <f>IFERROR(__xludf.DUMMYFUNCTION("""COMPUTED_VALUE"""),1.0)</f>
        <v>1</v>
      </c>
      <c r="O3760" s="4" t="str">
        <f>IFERROR(__xludf.DUMMYFUNCTION("""COMPUTED_VALUE"""),"null")</f>
        <v>null</v>
      </c>
      <c r="P3760" s="33">
        <f>IFERROR(__xludf.DUMMYFUNCTION("""COMPUTED_VALUE"""),1.0)</f>
        <v>1</v>
      </c>
      <c r="Q3760" s="4" t="str">
        <f>IFERROR(__xludf.DUMMYFUNCTION("""COMPUTED_VALUE"""),"null")</f>
        <v>null</v>
      </c>
      <c r="R3760" s="33">
        <f>IFERROR(__xludf.DUMMYFUNCTION("""COMPUTED_VALUE"""),0.6666666666666666)</f>
        <v>0.6666666667</v>
      </c>
      <c r="S3760" s="4" t="str">
        <f>IFERROR(__xludf.DUMMYFUNCTION("""COMPUTED_VALUE"""),"Suitable Tecnologia E Gestao")</f>
        <v>Suitable Tecnologia E Gestao</v>
      </c>
      <c r="T3760" s="33">
        <f>IFERROR(__xludf.DUMMYFUNCTION("""COMPUTED_VALUE"""),1.0)</f>
        <v>1</v>
      </c>
      <c r="U3760" s="4" t="str">
        <f>IFERROR(__xludf.DUMMYFUNCTION("""COMPUTED_VALUE"""),"Suitable Tecnologia E Gestao")</f>
        <v>Suitable Tecnologia E Gestao</v>
      </c>
      <c r="V3760" s="33">
        <f>IFERROR(__xludf.DUMMYFUNCTION("""COMPUTED_VALUE"""),0.6666666666666666)</f>
        <v>0.6666666667</v>
      </c>
      <c r="W3760" s="4" t="str">
        <f>IFERROR(__xludf.DUMMYFUNCTION("""COMPUTED_VALUE"""),"Suitable Tecnologia E Gestao")</f>
        <v>Suitable Tecnologia E Gestao</v>
      </c>
      <c r="X3760" s="33">
        <f>IFERROR(__xludf.DUMMYFUNCTION("""COMPUTED_VALUE"""),1.0)</f>
        <v>1</v>
      </c>
    </row>
    <row r="3761">
      <c r="K3761" s="4" t="str">
        <f>IFERROR(__xludf.DUMMYFUNCTION("""COMPUTED_VALUE"""),"PIZZARELLA PIZZARIA - CONTA MARCA")</f>
        <v>PIZZARELLA PIZZARIA - CONTA MARCA</v>
      </c>
      <c r="L3761" s="32">
        <f>IFERROR(__xludf.DUMMYFUNCTION("""COMPUTED_VALUE"""),3.0)</f>
        <v>3</v>
      </c>
      <c r="M3761" s="4" t="str">
        <f>IFERROR(__xludf.DUMMYFUNCTION("""COMPUTED_VALUE"""),"Cardápio Web")</f>
        <v>Cardápio Web</v>
      </c>
      <c r="N3761" s="33">
        <f>IFERROR(__xludf.DUMMYFUNCTION("""COMPUTED_VALUE"""),0.6666666666666666)</f>
        <v>0.6666666667</v>
      </c>
      <c r="O3761" s="4" t="str">
        <f>IFERROR(__xludf.DUMMYFUNCTION("""COMPUTED_VALUE"""),"Cardápio Web")</f>
        <v>Cardápio Web</v>
      </c>
      <c r="P3761" s="33">
        <f>IFERROR(__xludf.DUMMYFUNCTION("""COMPUTED_VALUE"""),0.6666666666666666)</f>
        <v>0.6666666667</v>
      </c>
      <c r="Q3761" s="4" t="str">
        <f>IFERROR(__xludf.DUMMYFUNCTION("""COMPUTED_VALUE"""),"null")</f>
        <v>null</v>
      </c>
      <c r="R3761" s="33">
        <f>IFERROR(__xludf.DUMMYFUNCTION("""COMPUTED_VALUE"""),0.3333333333333333)</f>
        <v>0.3333333333</v>
      </c>
      <c r="S3761" s="4" t="str">
        <f>IFERROR(__xludf.DUMMYFUNCTION("""COMPUTED_VALUE"""),"null")</f>
        <v>null</v>
      </c>
      <c r="T3761" s="33">
        <f>IFERROR(__xludf.DUMMYFUNCTION("""COMPUTED_VALUE"""),0.6666666666666666)</f>
        <v>0.6666666667</v>
      </c>
      <c r="U3761" s="4" t="str">
        <f>IFERROR(__xludf.DUMMYFUNCTION("""COMPUTED_VALUE"""),"null")</f>
        <v>null</v>
      </c>
      <c r="V3761" s="33">
        <f>IFERROR(__xludf.DUMMYFUNCTION("""COMPUTED_VALUE"""),0.3333333333333333)</f>
        <v>0.3333333333</v>
      </c>
      <c r="W3761" s="4" t="str">
        <f>IFERROR(__xludf.DUMMYFUNCTION("""COMPUTED_VALUE"""),"null")</f>
        <v>null</v>
      </c>
      <c r="X3761" s="33">
        <f>IFERROR(__xludf.DUMMYFUNCTION("""COMPUTED_VALUE"""),0.3333333333333333)</f>
        <v>0.3333333333</v>
      </c>
    </row>
    <row r="3762">
      <c r="K3762" s="4" t="str">
        <f>IFERROR(__xludf.DUMMYFUNCTION("""COMPUTED_VALUE"""),"PIZZARIA - SANTI PIZZA - SC - MARCA")</f>
        <v>PIZZARIA - SANTI PIZZA - SC - MARCA</v>
      </c>
      <c r="L3762" s="32">
        <f>IFERROR(__xludf.DUMMYFUNCTION("""COMPUTED_VALUE"""),3.0)</f>
        <v>3</v>
      </c>
      <c r="M3762" s="4" t="str">
        <f>IFERROR(__xludf.DUMMYFUNCTION("""COMPUTED_VALUE"""),"Saipos Serviços De Software")</f>
        <v>Saipos Serviços De Software</v>
      </c>
      <c r="N3762" s="33">
        <f>IFERROR(__xludf.DUMMYFUNCTION("""COMPUTED_VALUE"""),1.0)</f>
        <v>1</v>
      </c>
      <c r="O3762" s="4" t="str">
        <f>IFERROR(__xludf.DUMMYFUNCTION("""COMPUTED_VALUE"""),"Saipos Serviços De Software")</f>
        <v>Saipos Serviços De Software</v>
      </c>
      <c r="P3762" s="33">
        <f>IFERROR(__xludf.DUMMYFUNCTION("""COMPUTED_VALUE"""),1.0)</f>
        <v>1</v>
      </c>
      <c r="Q3762" s="4" t="str">
        <f>IFERROR(__xludf.DUMMYFUNCTION("""COMPUTED_VALUE"""),"Saipos Serviços De Software")</f>
        <v>Saipos Serviços De Software</v>
      </c>
      <c r="R3762" s="33">
        <f>IFERROR(__xludf.DUMMYFUNCTION("""COMPUTED_VALUE"""),1.0)</f>
        <v>1</v>
      </c>
      <c r="S3762" s="4" t="str">
        <f>IFERROR(__xludf.DUMMYFUNCTION("""COMPUTED_VALUE"""),"Saipos Serviços De Software")</f>
        <v>Saipos Serviços De Software</v>
      </c>
      <c r="T3762" s="33">
        <f>IFERROR(__xludf.DUMMYFUNCTION("""COMPUTED_VALUE"""),0.6666666666666666)</f>
        <v>0.6666666667</v>
      </c>
      <c r="U3762" s="4" t="str">
        <f>IFERROR(__xludf.DUMMYFUNCTION("""COMPUTED_VALUE"""),"Saipos Serviços De Software")</f>
        <v>Saipos Serviços De Software</v>
      </c>
      <c r="V3762" s="33">
        <f>IFERROR(__xludf.DUMMYFUNCTION("""COMPUTED_VALUE"""),1.0)</f>
        <v>1</v>
      </c>
      <c r="W3762" s="4" t="str">
        <f>IFERROR(__xludf.DUMMYFUNCTION("""COMPUTED_VALUE"""),"Saipos Serviços De Software")</f>
        <v>Saipos Serviços De Software</v>
      </c>
      <c r="X3762" s="33">
        <f>IFERROR(__xludf.DUMMYFUNCTION("""COMPUTED_VALUE"""),1.0)</f>
        <v>1</v>
      </c>
    </row>
    <row r="3763">
      <c r="K3763" s="4" t="str">
        <f>IFERROR(__xludf.DUMMYFUNCTION("""COMPUTED_VALUE"""),"PIZZARIA QUATRO QUEIJOS - SC")</f>
        <v>PIZZARIA QUATRO QUEIJOS - SC</v>
      </c>
      <c r="L3763" s="32">
        <f>IFERROR(__xludf.DUMMYFUNCTION("""COMPUTED_VALUE"""),3.0)</f>
        <v>3</v>
      </c>
      <c r="M3763" s="4" t="str">
        <f>IFERROR(__xludf.DUMMYFUNCTION("""COMPUTED_VALUE"""),"Bitbar")</f>
        <v>Bitbar</v>
      </c>
      <c r="N3763" s="33">
        <f>IFERROR(__xludf.DUMMYFUNCTION("""COMPUTED_VALUE"""),1.0)</f>
        <v>1</v>
      </c>
      <c r="O3763" s="4" t="str">
        <f>IFERROR(__xludf.DUMMYFUNCTION("""COMPUTED_VALUE"""),"Bitbar")</f>
        <v>Bitbar</v>
      </c>
      <c r="P3763" s="33">
        <f>IFERROR(__xludf.DUMMYFUNCTION("""COMPUTED_VALUE"""),1.0)</f>
        <v>1</v>
      </c>
      <c r="Q3763" s="4" t="str">
        <f>IFERROR(__xludf.DUMMYFUNCTION("""COMPUTED_VALUE"""),"Bitbar")</f>
        <v>Bitbar</v>
      </c>
      <c r="R3763" s="33">
        <f>IFERROR(__xludf.DUMMYFUNCTION("""COMPUTED_VALUE"""),0.6666666666666666)</f>
        <v>0.6666666667</v>
      </c>
      <c r="S3763" s="4" t="str">
        <f>IFERROR(__xludf.DUMMYFUNCTION("""COMPUTED_VALUE"""),"Bitbar")</f>
        <v>Bitbar</v>
      </c>
      <c r="T3763" s="33">
        <f>IFERROR(__xludf.DUMMYFUNCTION("""COMPUTED_VALUE"""),1.0)</f>
        <v>1</v>
      </c>
      <c r="U3763" s="4" t="str">
        <f>IFERROR(__xludf.DUMMYFUNCTION("""COMPUTED_VALUE"""),"Bitbar")</f>
        <v>Bitbar</v>
      </c>
      <c r="V3763" s="33">
        <f>IFERROR(__xludf.DUMMYFUNCTION("""COMPUTED_VALUE"""),0.6666666666666666)</f>
        <v>0.6666666667</v>
      </c>
      <c r="W3763" s="4" t="str">
        <f>IFERROR(__xludf.DUMMYFUNCTION("""COMPUTED_VALUE"""),"Bitbar")</f>
        <v>Bitbar</v>
      </c>
      <c r="X3763" s="33">
        <f>IFERROR(__xludf.DUMMYFUNCTION("""COMPUTED_VALUE"""),0.6666666666666666)</f>
        <v>0.6666666667</v>
      </c>
    </row>
    <row r="3764">
      <c r="K3764" s="4" t="str">
        <f>IFERROR(__xludf.DUMMYFUNCTION("""COMPUTED_VALUE"""),"PIZZARIA AMICI - CONTA PAI")</f>
        <v>PIZZARIA AMICI - CONTA PAI</v>
      </c>
      <c r="L3764" s="32">
        <f>IFERROR(__xludf.DUMMYFUNCTION("""COMPUTED_VALUE"""),3.0)</f>
        <v>3</v>
      </c>
      <c r="M3764" s="4" t="str">
        <f>IFERROR(__xludf.DUMMYFUNCTION("""COMPUTED_VALUE"""),"Gplus Sistemas")</f>
        <v>Gplus Sistemas</v>
      </c>
      <c r="N3764" s="33">
        <f>IFERROR(__xludf.DUMMYFUNCTION("""COMPUTED_VALUE"""),1.0)</f>
        <v>1</v>
      </c>
      <c r="O3764" s="4" t="str">
        <f>IFERROR(__xludf.DUMMYFUNCTION("""COMPUTED_VALUE"""),"Gplus Sistemas")</f>
        <v>Gplus Sistemas</v>
      </c>
      <c r="P3764" s="33">
        <f>IFERROR(__xludf.DUMMYFUNCTION("""COMPUTED_VALUE"""),1.0)</f>
        <v>1</v>
      </c>
      <c r="Q3764" s="4" t="str">
        <f>IFERROR(__xludf.DUMMYFUNCTION("""COMPUTED_VALUE"""),"Gplus Sistemas")</f>
        <v>Gplus Sistemas</v>
      </c>
      <c r="R3764" s="33">
        <f>IFERROR(__xludf.DUMMYFUNCTION("""COMPUTED_VALUE"""),1.0)</f>
        <v>1</v>
      </c>
      <c r="S3764" s="4" t="str">
        <f>IFERROR(__xludf.DUMMYFUNCTION("""COMPUTED_VALUE"""),"Gplus Sistemas")</f>
        <v>Gplus Sistemas</v>
      </c>
      <c r="T3764" s="33">
        <f>IFERROR(__xludf.DUMMYFUNCTION("""COMPUTED_VALUE"""),1.0)</f>
        <v>1</v>
      </c>
      <c r="U3764" s="4" t="str">
        <f>IFERROR(__xludf.DUMMYFUNCTION("""COMPUTED_VALUE"""),"Gplus Sistemas")</f>
        <v>Gplus Sistemas</v>
      </c>
      <c r="V3764" s="33">
        <f>IFERROR(__xludf.DUMMYFUNCTION("""COMPUTED_VALUE"""),1.0)</f>
        <v>1</v>
      </c>
      <c r="W3764" s="4" t="str">
        <f>IFERROR(__xludf.DUMMYFUNCTION("""COMPUTED_VALUE"""),"Gplus Sistemas")</f>
        <v>Gplus Sistemas</v>
      </c>
      <c r="X3764" s="33">
        <f>IFERROR(__xludf.DUMMYFUNCTION("""COMPUTED_VALUE"""),1.0)</f>
        <v>1</v>
      </c>
    </row>
    <row r="3765">
      <c r="K3765" s="4" t="str">
        <f>IFERROR(__xludf.DUMMYFUNCTION("""COMPUTED_VALUE"""),"PIZZARIA CANAA - PIZZA E LANCHES - MANAUS")</f>
        <v>PIZZARIA CANAA - PIZZA E LANCHES - MANAUS</v>
      </c>
      <c r="L3765" s="32">
        <f>IFERROR(__xludf.DUMMYFUNCTION("""COMPUTED_VALUE"""),3.0)</f>
        <v>3</v>
      </c>
      <c r="M3765" s="4" t="str">
        <f>IFERROR(__xludf.DUMMYFUNCTION("""COMPUTED_VALUE"""),"Saipos Serviços De Software")</f>
        <v>Saipos Serviços De Software</v>
      </c>
      <c r="N3765" s="33">
        <f>IFERROR(__xludf.DUMMYFUNCTION("""COMPUTED_VALUE"""),1.0)</f>
        <v>1</v>
      </c>
      <c r="O3765" s="4" t="str">
        <f>IFERROR(__xludf.DUMMYFUNCTION("""COMPUTED_VALUE"""),"Saipos Serviços De Software")</f>
        <v>Saipos Serviços De Software</v>
      </c>
      <c r="P3765" s="33">
        <f>IFERROR(__xludf.DUMMYFUNCTION("""COMPUTED_VALUE"""),1.0)</f>
        <v>1</v>
      </c>
      <c r="Q3765" s="4" t="str">
        <f>IFERROR(__xludf.DUMMYFUNCTION("""COMPUTED_VALUE"""),"Saipos Serviços De Software")</f>
        <v>Saipos Serviços De Software</v>
      </c>
      <c r="R3765" s="33">
        <f>IFERROR(__xludf.DUMMYFUNCTION("""COMPUTED_VALUE"""),1.0)</f>
        <v>1</v>
      </c>
      <c r="S3765" s="4" t="str">
        <f>IFERROR(__xludf.DUMMYFUNCTION("""COMPUTED_VALUE"""),"Saipos Serviços De Software")</f>
        <v>Saipos Serviços De Software</v>
      </c>
      <c r="T3765" s="33">
        <f>IFERROR(__xludf.DUMMYFUNCTION("""COMPUTED_VALUE"""),1.0)</f>
        <v>1</v>
      </c>
      <c r="U3765" s="4" t="str">
        <f>IFERROR(__xludf.DUMMYFUNCTION("""COMPUTED_VALUE"""),"Saipos Serviços De Software")</f>
        <v>Saipos Serviços De Software</v>
      </c>
      <c r="V3765" s="33">
        <f>IFERROR(__xludf.DUMMYFUNCTION("""COMPUTED_VALUE"""),1.0)</f>
        <v>1</v>
      </c>
      <c r="W3765" s="4" t="str">
        <f>IFERROR(__xludf.DUMMYFUNCTION("""COMPUTED_VALUE"""),"Saipos Serviços De Software")</f>
        <v>Saipos Serviços De Software</v>
      </c>
      <c r="X3765" s="33">
        <f>IFERROR(__xludf.DUMMYFUNCTION("""COMPUTED_VALUE"""),1.0)</f>
        <v>1</v>
      </c>
    </row>
    <row r="3766">
      <c r="K3766" s="4" t="str">
        <f>IFERROR(__xludf.DUMMYFUNCTION("""COMPUTED_VALUE"""),"PIZZARIA CATTANI")</f>
        <v>PIZZARIA CATTANI</v>
      </c>
      <c r="L3766" s="32">
        <f>IFERROR(__xludf.DUMMYFUNCTION("""COMPUTED_VALUE"""),3.0)</f>
        <v>3</v>
      </c>
      <c r="M3766" s="4" t="str">
        <f>IFERROR(__xludf.DUMMYFUNCTION("""COMPUTED_VALUE"""),"null")</f>
        <v>null</v>
      </c>
      <c r="N3766" s="33">
        <f>IFERROR(__xludf.DUMMYFUNCTION("""COMPUTED_VALUE"""),1.0)</f>
        <v>1</v>
      </c>
      <c r="O3766" s="4" t="str">
        <f>IFERROR(__xludf.DUMMYFUNCTION("""COMPUTED_VALUE"""),"null")</f>
        <v>null</v>
      </c>
      <c r="P3766" s="33">
        <f>IFERROR(__xludf.DUMMYFUNCTION("""COMPUTED_VALUE"""),1.0)</f>
        <v>1</v>
      </c>
      <c r="Q3766" s="4" t="str">
        <f>IFERROR(__xludf.DUMMYFUNCTION("""COMPUTED_VALUE"""),"null")</f>
        <v>null</v>
      </c>
      <c r="R3766" s="33">
        <f>IFERROR(__xludf.DUMMYFUNCTION("""COMPUTED_VALUE"""),1.0)</f>
        <v>1</v>
      </c>
      <c r="S3766" s="4" t="str">
        <f>IFERROR(__xludf.DUMMYFUNCTION("""COMPUTED_VALUE"""),"null")</f>
        <v>null</v>
      </c>
      <c r="T3766" s="33">
        <f>IFERROR(__xludf.DUMMYFUNCTION("""COMPUTED_VALUE"""),1.0)</f>
        <v>1</v>
      </c>
      <c r="U3766" s="4" t="str">
        <f>IFERROR(__xludf.DUMMYFUNCTION("""COMPUTED_VALUE"""),"Takeat Tecnologia")</f>
        <v>Takeat Tecnologia</v>
      </c>
      <c r="V3766" s="33">
        <f>IFERROR(__xludf.DUMMYFUNCTION("""COMPUTED_VALUE"""),0.6666666666666666)</f>
        <v>0.6666666667</v>
      </c>
      <c r="W3766" s="4" t="str">
        <f>IFERROR(__xludf.DUMMYFUNCTION("""COMPUTED_VALUE"""),"Takeat Tecnologia")</f>
        <v>Takeat Tecnologia</v>
      </c>
      <c r="X3766" s="33">
        <f>IFERROR(__xludf.DUMMYFUNCTION("""COMPUTED_VALUE"""),1.0)</f>
        <v>1</v>
      </c>
    </row>
    <row r="3767">
      <c r="K3767" s="4" t="str">
        <f>IFERROR(__xludf.DUMMYFUNCTION("""COMPUTED_VALUE"""),"PIZZARIA CATTANI - CONTA MARCA")</f>
        <v>PIZZARIA CATTANI - CONTA MARCA</v>
      </c>
      <c r="L3767" s="32">
        <f>IFERROR(__xludf.DUMMYFUNCTION("""COMPUTED_VALUE"""),3.0)</f>
        <v>3</v>
      </c>
      <c r="M3767" s="4" t="str">
        <f>IFERROR(__xludf.DUMMYFUNCTION("""COMPUTED_VALUE"""),"null")</f>
        <v>null</v>
      </c>
      <c r="N3767" s="33">
        <f>IFERROR(__xludf.DUMMYFUNCTION("""COMPUTED_VALUE"""),1.0)</f>
        <v>1</v>
      </c>
      <c r="O3767" s="4" t="str">
        <f>IFERROR(__xludf.DUMMYFUNCTION("""COMPUTED_VALUE"""),"null")</f>
        <v>null</v>
      </c>
      <c r="P3767" s="33">
        <f>IFERROR(__xludf.DUMMYFUNCTION("""COMPUTED_VALUE"""),1.0)</f>
        <v>1</v>
      </c>
      <c r="Q3767" s="4" t="str">
        <f>IFERROR(__xludf.DUMMYFUNCTION("""COMPUTED_VALUE"""),"null")</f>
        <v>null</v>
      </c>
      <c r="R3767" s="33">
        <f>IFERROR(__xludf.DUMMYFUNCTION("""COMPUTED_VALUE"""),1.0)</f>
        <v>1</v>
      </c>
      <c r="S3767" s="4" t="str">
        <f>IFERROR(__xludf.DUMMYFUNCTION("""COMPUTED_VALUE"""),"null")</f>
        <v>null</v>
      </c>
      <c r="T3767" s="33">
        <f>IFERROR(__xludf.DUMMYFUNCTION("""COMPUTED_VALUE"""),1.0)</f>
        <v>1</v>
      </c>
      <c r="U3767" s="4" t="str">
        <f>IFERROR(__xludf.DUMMYFUNCTION("""COMPUTED_VALUE"""),"Takeat Tecnologia")</f>
        <v>Takeat Tecnologia</v>
      </c>
      <c r="V3767" s="33">
        <f>IFERROR(__xludf.DUMMYFUNCTION("""COMPUTED_VALUE"""),0.6666666666666666)</f>
        <v>0.6666666667</v>
      </c>
      <c r="W3767" s="4" t="str">
        <f>IFERROR(__xludf.DUMMYFUNCTION("""COMPUTED_VALUE"""),"Takeat Tecnologia")</f>
        <v>Takeat Tecnologia</v>
      </c>
      <c r="X3767" s="33">
        <f>IFERROR(__xludf.DUMMYFUNCTION("""COMPUTED_VALUE"""),1.0)</f>
        <v>1</v>
      </c>
    </row>
    <row r="3768">
      <c r="K3768" s="4" t="str">
        <f>IFERROR(__xludf.DUMMYFUNCTION("""COMPUTED_VALUE"""),"PIZZARIA DNAPOLES")</f>
        <v>PIZZARIA DNAPOLES</v>
      </c>
      <c r="L3768" s="32">
        <f>IFERROR(__xludf.DUMMYFUNCTION("""COMPUTED_VALUE"""),3.0)</f>
        <v>3</v>
      </c>
      <c r="M3768" s="4" t="str">
        <f>IFERROR(__xludf.DUMMYFUNCTION("""COMPUTED_VALUE"""),"Saipos Serviços De Software")</f>
        <v>Saipos Serviços De Software</v>
      </c>
      <c r="N3768" s="33">
        <f>IFERROR(__xludf.DUMMYFUNCTION("""COMPUTED_VALUE"""),1.0)</f>
        <v>1</v>
      </c>
      <c r="O3768" s="4" t="str">
        <f>IFERROR(__xludf.DUMMYFUNCTION("""COMPUTED_VALUE"""),"Saipos Serviços De Software")</f>
        <v>Saipos Serviços De Software</v>
      </c>
      <c r="P3768" s="33">
        <f>IFERROR(__xludf.DUMMYFUNCTION("""COMPUTED_VALUE"""),1.0)</f>
        <v>1</v>
      </c>
      <c r="Q3768" s="4" t="str">
        <f>IFERROR(__xludf.DUMMYFUNCTION("""COMPUTED_VALUE"""),"Saipos Serviços De Software")</f>
        <v>Saipos Serviços De Software</v>
      </c>
      <c r="R3768" s="33">
        <f>IFERROR(__xludf.DUMMYFUNCTION("""COMPUTED_VALUE"""),1.0)</f>
        <v>1</v>
      </c>
      <c r="S3768" s="4" t="str">
        <f>IFERROR(__xludf.DUMMYFUNCTION("""COMPUTED_VALUE"""),"Saipos Serviços De Software")</f>
        <v>Saipos Serviços De Software</v>
      </c>
      <c r="T3768" s="33">
        <f>IFERROR(__xludf.DUMMYFUNCTION("""COMPUTED_VALUE"""),1.0)</f>
        <v>1</v>
      </c>
      <c r="U3768" s="4" t="str">
        <f>IFERROR(__xludf.DUMMYFUNCTION("""COMPUTED_VALUE"""),"Saipos Serviços De Software")</f>
        <v>Saipos Serviços De Software</v>
      </c>
      <c r="V3768" s="33">
        <f>IFERROR(__xludf.DUMMYFUNCTION("""COMPUTED_VALUE"""),1.0)</f>
        <v>1</v>
      </c>
      <c r="W3768" s="4" t="str">
        <f>IFERROR(__xludf.DUMMYFUNCTION("""COMPUTED_VALUE"""),"Saipos Serviços De Software")</f>
        <v>Saipos Serviços De Software</v>
      </c>
      <c r="X3768" s="33">
        <f>IFERROR(__xludf.DUMMYFUNCTION("""COMPUTED_VALUE"""),1.0)</f>
        <v>1</v>
      </c>
    </row>
    <row r="3769">
      <c r="K3769" s="4" t="str">
        <f>IFERROR(__xludf.DUMMYFUNCTION("""COMPUTED_VALUE"""),"PIZZARIA DOM CASSA")</f>
        <v>PIZZARIA DOM CASSA</v>
      </c>
      <c r="L3769" s="32">
        <f>IFERROR(__xludf.DUMMYFUNCTION("""COMPUTED_VALUE"""),3.0)</f>
        <v>3</v>
      </c>
      <c r="M3769" s="4" t="str">
        <f>IFERROR(__xludf.DUMMYFUNCTION("""COMPUTED_VALUE"""),"Takeat Tecnologia")</f>
        <v>Takeat Tecnologia</v>
      </c>
      <c r="N3769" s="33">
        <f>IFERROR(__xludf.DUMMYFUNCTION("""COMPUTED_VALUE"""),1.0)</f>
        <v>1</v>
      </c>
      <c r="O3769" s="4" t="str">
        <f>IFERROR(__xludf.DUMMYFUNCTION("""COMPUTED_VALUE"""),"Takeat Tecnologia")</f>
        <v>Takeat Tecnologia</v>
      </c>
      <c r="P3769" s="33">
        <f>IFERROR(__xludf.DUMMYFUNCTION("""COMPUTED_VALUE"""),0.6666666666666666)</f>
        <v>0.6666666667</v>
      </c>
      <c r="Q3769" s="4" t="str">
        <f>IFERROR(__xludf.DUMMYFUNCTION("""COMPUTED_VALUE"""),"Takeat Tecnologia")</f>
        <v>Takeat Tecnologia</v>
      </c>
      <c r="R3769" s="33">
        <f>IFERROR(__xludf.DUMMYFUNCTION("""COMPUTED_VALUE"""),0.6666666666666666)</f>
        <v>0.6666666667</v>
      </c>
      <c r="S3769" s="4" t="str">
        <f>IFERROR(__xludf.DUMMYFUNCTION("""COMPUTED_VALUE"""),"null")</f>
        <v>null</v>
      </c>
      <c r="T3769" s="33">
        <f>IFERROR(__xludf.DUMMYFUNCTION("""COMPUTED_VALUE"""),0.6666666666666666)</f>
        <v>0.6666666667</v>
      </c>
      <c r="U3769" s="4" t="str">
        <f>IFERROR(__xludf.DUMMYFUNCTION("""COMPUTED_VALUE"""),"Takeat Tecnologia")</f>
        <v>Takeat Tecnologia</v>
      </c>
      <c r="V3769" s="33">
        <f>IFERROR(__xludf.DUMMYFUNCTION("""COMPUTED_VALUE"""),0.6666666666666666)</f>
        <v>0.6666666667</v>
      </c>
      <c r="W3769" s="4" t="str">
        <f>IFERROR(__xludf.DUMMYFUNCTION("""COMPUTED_VALUE"""),"Takeat Tecnologia")</f>
        <v>Takeat Tecnologia</v>
      </c>
      <c r="X3769" s="33">
        <f>IFERROR(__xludf.DUMMYFUNCTION("""COMPUTED_VALUE"""),0.6666666666666666)</f>
        <v>0.6666666667</v>
      </c>
    </row>
    <row r="3770">
      <c r="K3770" s="4" t="str">
        <f>IFERROR(__xludf.DUMMYFUNCTION("""COMPUTED_VALUE"""),"PIZZARIA DOM MARTIELLO - CP")</f>
        <v>PIZZARIA DOM MARTIELLO - CP</v>
      </c>
      <c r="L3770" s="32">
        <f>IFERROR(__xludf.DUMMYFUNCTION("""COMPUTED_VALUE"""),3.0)</f>
        <v>3</v>
      </c>
      <c r="M3770" s="4" t="str">
        <f>IFERROR(__xludf.DUMMYFUNCTION("""COMPUTED_VALUE"""),"Cityfoods Ltda")</f>
        <v>Cityfoods Ltda</v>
      </c>
      <c r="N3770" s="33">
        <f>IFERROR(__xludf.DUMMYFUNCTION("""COMPUTED_VALUE"""),1.0)</f>
        <v>1</v>
      </c>
      <c r="O3770" s="4" t="str">
        <f>IFERROR(__xludf.DUMMYFUNCTION("""COMPUTED_VALUE"""),"Cityfoods Ltda")</f>
        <v>Cityfoods Ltda</v>
      </c>
      <c r="P3770" s="33">
        <f>IFERROR(__xludf.DUMMYFUNCTION("""COMPUTED_VALUE"""),0.6666666666666666)</f>
        <v>0.6666666667</v>
      </c>
      <c r="Q3770" s="4" t="str">
        <f>IFERROR(__xludf.DUMMYFUNCTION("""COMPUTED_VALUE"""),"Cityfoods Ltda")</f>
        <v>Cityfoods Ltda</v>
      </c>
      <c r="R3770" s="33">
        <f>IFERROR(__xludf.DUMMYFUNCTION("""COMPUTED_VALUE"""),1.0)</f>
        <v>1</v>
      </c>
      <c r="S3770" s="4" t="str">
        <f>IFERROR(__xludf.DUMMYFUNCTION("""COMPUTED_VALUE"""),"null")</f>
        <v>null</v>
      </c>
      <c r="T3770" s="33">
        <f>IFERROR(__xludf.DUMMYFUNCTION("""COMPUTED_VALUE"""),0.6666666666666666)</f>
        <v>0.6666666667</v>
      </c>
      <c r="U3770" s="4" t="str">
        <f>IFERROR(__xludf.DUMMYFUNCTION("""COMPUTED_VALUE"""),"Cityfoods Ltda")</f>
        <v>Cityfoods Ltda</v>
      </c>
      <c r="V3770" s="33">
        <f>IFERROR(__xludf.DUMMYFUNCTION("""COMPUTED_VALUE"""),0.6666666666666666)</f>
        <v>0.6666666667</v>
      </c>
      <c r="W3770" s="4" t="str">
        <f>IFERROR(__xludf.DUMMYFUNCTION("""COMPUTED_VALUE"""),"Cityfoods Ltda")</f>
        <v>Cityfoods Ltda</v>
      </c>
      <c r="X3770" s="33">
        <f>IFERROR(__xludf.DUMMYFUNCTION("""COMPUTED_VALUE"""),0.6666666666666666)</f>
        <v>0.6666666667</v>
      </c>
    </row>
    <row r="3771">
      <c r="K3771" s="4" t="str">
        <f>IFERROR(__xludf.DUMMYFUNCTION("""COMPUTED_VALUE"""),"PIZZARIA DONA MOEMA - MARCA")</f>
        <v>PIZZARIA DONA MOEMA - MARCA</v>
      </c>
      <c r="L3771" s="32">
        <f>IFERROR(__xludf.DUMMYFUNCTION("""COMPUTED_VALUE"""),3.0)</f>
        <v>3</v>
      </c>
      <c r="M3771" s="4" t="str">
        <f>IFERROR(__xludf.DUMMYFUNCTION("""COMPUTED_VALUE"""),"Hubster")</f>
        <v>Hubster</v>
      </c>
      <c r="N3771" s="33">
        <f>IFERROR(__xludf.DUMMYFUNCTION("""COMPUTED_VALUE"""),1.0)</f>
        <v>1</v>
      </c>
      <c r="O3771" s="4" t="str">
        <f>IFERROR(__xludf.DUMMYFUNCTION("""COMPUTED_VALUE"""),"Hubster")</f>
        <v>Hubster</v>
      </c>
      <c r="P3771" s="33">
        <f>IFERROR(__xludf.DUMMYFUNCTION("""COMPUTED_VALUE"""),1.0)</f>
        <v>1</v>
      </c>
      <c r="Q3771" s="4" t="str">
        <f>IFERROR(__xludf.DUMMYFUNCTION("""COMPUTED_VALUE"""),"Hubster")</f>
        <v>Hubster</v>
      </c>
      <c r="R3771" s="33">
        <f>IFERROR(__xludf.DUMMYFUNCTION("""COMPUTED_VALUE"""),1.0)</f>
        <v>1</v>
      </c>
      <c r="S3771" s="4" t="str">
        <f>IFERROR(__xludf.DUMMYFUNCTION("""COMPUTED_VALUE"""),"Hubster")</f>
        <v>Hubster</v>
      </c>
      <c r="T3771" s="33">
        <f>IFERROR(__xludf.DUMMYFUNCTION("""COMPUTED_VALUE"""),1.0)</f>
        <v>1</v>
      </c>
      <c r="U3771" s="4" t="str">
        <f>IFERROR(__xludf.DUMMYFUNCTION("""COMPUTED_VALUE"""),"null")</f>
        <v>null</v>
      </c>
      <c r="V3771" s="33">
        <f>IFERROR(__xludf.DUMMYFUNCTION("""COMPUTED_VALUE"""),1.0)</f>
        <v>1</v>
      </c>
      <c r="W3771" s="4" t="str">
        <f>IFERROR(__xludf.DUMMYFUNCTION("""COMPUTED_VALUE"""),"null")</f>
        <v>null</v>
      </c>
      <c r="X3771" s="33">
        <f>IFERROR(__xludf.DUMMYFUNCTION("""COMPUTED_VALUE"""),1.0)</f>
        <v>1</v>
      </c>
    </row>
    <row r="3772">
      <c r="K3772" s="4" t="str">
        <f>IFERROR(__xludf.DUMMYFUNCTION("""COMPUTED_VALUE"""),"PIZZARIA DONNA LOURDES")</f>
        <v>PIZZARIA DONNA LOURDES</v>
      </c>
      <c r="L3772" s="32">
        <f>IFERROR(__xludf.DUMMYFUNCTION("""COMPUTED_VALUE"""),3.0)</f>
        <v>3</v>
      </c>
      <c r="M3772" s="4" t="str">
        <f>IFERROR(__xludf.DUMMYFUNCTION("""COMPUTED_VALUE"""),"Saipos Serviços De Software")</f>
        <v>Saipos Serviços De Software</v>
      </c>
      <c r="N3772" s="33">
        <f>IFERROR(__xludf.DUMMYFUNCTION("""COMPUTED_VALUE"""),1.0)</f>
        <v>1</v>
      </c>
      <c r="O3772" s="4" t="str">
        <f>IFERROR(__xludf.DUMMYFUNCTION("""COMPUTED_VALUE"""),"Saipos Serviços De Software")</f>
        <v>Saipos Serviços De Software</v>
      </c>
      <c r="P3772" s="33">
        <f>IFERROR(__xludf.DUMMYFUNCTION("""COMPUTED_VALUE"""),1.0)</f>
        <v>1</v>
      </c>
      <c r="Q3772" s="4" t="str">
        <f>IFERROR(__xludf.DUMMYFUNCTION("""COMPUTED_VALUE"""),"Saipos Serviços De Software")</f>
        <v>Saipos Serviços De Software</v>
      </c>
      <c r="R3772" s="33">
        <f>IFERROR(__xludf.DUMMYFUNCTION("""COMPUTED_VALUE"""),1.0)</f>
        <v>1</v>
      </c>
      <c r="S3772" s="4" t="str">
        <f>IFERROR(__xludf.DUMMYFUNCTION("""COMPUTED_VALUE"""),"Saipos Serviços De Software")</f>
        <v>Saipos Serviços De Software</v>
      </c>
      <c r="T3772" s="33">
        <f>IFERROR(__xludf.DUMMYFUNCTION("""COMPUTED_VALUE"""),0.6666666666666666)</f>
        <v>0.6666666667</v>
      </c>
      <c r="U3772" s="4" t="str">
        <f>IFERROR(__xludf.DUMMYFUNCTION("""COMPUTED_VALUE"""),"Saipos Serviços De Software")</f>
        <v>Saipos Serviços De Software</v>
      </c>
      <c r="V3772" s="33">
        <f>IFERROR(__xludf.DUMMYFUNCTION("""COMPUTED_VALUE"""),1.0)</f>
        <v>1</v>
      </c>
      <c r="W3772" s="4" t="str">
        <f>IFERROR(__xludf.DUMMYFUNCTION("""COMPUTED_VALUE"""),"Saipos Serviços De Software")</f>
        <v>Saipos Serviços De Software</v>
      </c>
      <c r="X3772" s="33">
        <f>IFERROR(__xludf.DUMMYFUNCTION("""COMPUTED_VALUE"""),1.0)</f>
        <v>1</v>
      </c>
    </row>
    <row r="3773">
      <c r="K3773" s="4" t="str">
        <f>IFERROR(__xludf.DUMMYFUNCTION("""COMPUTED_VALUE"""),"PIZZARIA E ESFIHARIA TROPIKAL")</f>
        <v>PIZZARIA E ESFIHARIA TROPIKAL</v>
      </c>
      <c r="L3773" s="32">
        <f>IFERROR(__xludf.DUMMYFUNCTION("""COMPUTED_VALUE"""),3.0)</f>
        <v>3</v>
      </c>
      <c r="M3773" s="4" t="str">
        <f>IFERROR(__xludf.DUMMYFUNCTION("""COMPUTED_VALUE"""),"Premio Sistemas Ltda")</f>
        <v>Premio Sistemas Ltda</v>
      </c>
      <c r="N3773" s="33">
        <f>IFERROR(__xludf.DUMMYFUNCTION("""COMPUTED_VALUE"""),1.0)</f>
        <v>1</v>
      </c>
      <c r="O3773" s="4" t="str">
        <f>IFERROR(__xludf.DUMMYFUNCTION("""COMPUTED_VALUE"""),"Premio Sistemas Ltda")</f>
        <v>Premio Sistemas Ltda</v>
      </c>
      <c r="P3773" s="33">
        <f>IFERROR(__xludf.DUMMYFUNCTION("""COMPUTED_VALUE"""),1.0)</f>
        <v>1</v>
      </c>
      <c r="Q3773" s="4" t="str">
        <f>IFERROR(__xludf.DUMMYFUNCTION("""COMPUTED_VALUE"""),"Premio Sistemas Ltda")</f>
        <v>Premio Sistemas Ltda</v>
      </c>
      <c r="R3773" s="33">
        <f>IFERROR(__xludf.DUMMYFUNCTION("""COMPUTED_VALUE"""),1.0)</f>
        <v>1</v>
      </c>
      <c r="S3773" s="4" t="str">
        <f>IFERROR(__xludf.DUMMYFUNCTION("""COMPUTED_VALUE"""),"Premio Sistemas Ltda")</f>
        <v>Premio Sistemas Ltda</v>
      </c>
      <c r="T3773" s="33">
        <f>IFERROR(__xludf.DUMMYFUNCTION("""COMPUTED_VALUE"""),1.0)</f>
        <v>1</v>
      </c>
      <c r="U3773" s="4" t="str">
        <f>IFERROR(__xludf.DUMMYFUNCTION("""COMPUTED_VALUE"""),"Premio Sistemas Ltda")</f>
        <v>Premio Sistemas Ltda</v>
      </c>
      <c r="V3773" s="33">
        <f>IFERROR(__xludf.DUMMYFUNCTION("""COMPUTED_VALUE"""),1.0)</f>
        <v>1</v>
      </c>
      <c r="W3773" s="4" t="str">
        <f>IFERROR(__xludf.DUMMYFUNCTION("""COMPUTED_VALUE"""),"Premio Sistemas Ltda")</f>
        <v>Premio Sistemas Ltda</v>
      </c>
      <c r="X3773" s="33">
        <f>IFERROR(__xludf.DUMMYFUNCTION("""COMPUTED_VALUE"""),1.0)</f>
        <v>1</v>
      </c>
    </row>
    <row r="3774">
      <c r="K3774" s="4" t="str">
        <f>IFERROR(__xludf.DUMMYFUNCTION("""COMPUTED_VALUE"""),"PIZZARIA E RESTAURANTE BOAVENTURA")</f>
        <v>PIZZARIA E RESTAURANTE BOAVENTURA</v>
      </c>
      <c r="L3774" s="32">
        <f>IFERROR(__xludf.DUMMYFUNCTION("""COMPUTED_VALUE"""),3.0)</f>
        <v>3</v>
      </c>
      <c r="M3774" s="4" t="str">
        <f>IFERROR(__xludf.DUMMYFUNCTION("""COMPUTED_VALUE"""),"Anota Ai Solucoes Digitais S/a")</f>
        <v>Anota Ai Solucoes Digitais S/a</v>
      </c>
      <c r="N3774" s="33">
        <f>IFERROR(__xludf.DUMMYFUNCTION("""COMPUTED_VALUE"""),0.6666666666666666)</f>
        <v>0.6666666667</v>
      </c>
      <c r="O3774" s="4" t="str">
        <f>IFERROR(__xludf.DUMMYFUNCTION("""COMPUTED_VALUE"""),"Anota Ai Solucoes Digitais S/a")</f>
        <v>Anota Ai Solucoes Digitais S/a</v>
      </c>
      <c r="P3774" s="33">
        <f>IFERROR(__xludf.DUMMYFUNCTION("""COMPUTED_VALUE"""),0.6666666666666666)</f>
        <v>0.6666666667</v>
      </c>
      <c r="Q3774" s="4" t="str">
        <f>IFERROR(__xludf.DUMMYFUNCTION("""COMPUTED_VALUE"""),"Anota Ai Solucoes Digitais S/a")</f>
        <v>Anota Ai Solucoes Digitais S/a</v>
      </c>
      <c r="R3774" s="33">
        <f>IFERROR(__xludf.DUMMYFUNCTION("""COMPUTED_VALUE"""),0.6666666666666666)</f>
        <v>0.6666666667</v>
      </c>
      <c r="S3774" s="4" t="str">
        <f>IFERROR(__xludf.DUMMYFUNCTION("""COMPUTED_VALUE"""),"Anota Ai Solucoes Digitais S/a")</f>
        <v>Anota Ai Solucoes Digitais S/a</v>
      </c>
      <c r="T3774" s="33">
        <f>IFERROR(__xludf.DUMMYFUNCTION("""COMPUTED_VALUE"""),0.6666666666666666)</f>
        <v>0.6666666667</v>
      </c>
      <c r="U3774" s="4" t="str">
        <f>IFERROR(__xludf.DUMMYFUNCTION("""COMPUTED_VALUE"""),"Anota Ai Solucoes Digitais S/a")</f>
        <v>Anota Ai Solucoes Digitais S/a</v>
      </c>
      <c r="V3774" s="33">
        <f>IFERROR(__xludf.DUMMYFUNCTION("""COMPUTED_VALUE"""),1.0)</f>
        <v>1</v>
      </c>
      <c r="W3774" s="4" t="str">
        <f>IFERROR(__xludf.DUMMYFUNCTION("""COMPUTED_VALUE"""),"Anota Ai Solucoes Digitais S/a")</f>
        <v>Anota Ai Solucoes Digitais S/a</v>
      </c>
      <c r="X3774" s="33">
        <f>IFERROR(__xludf.DUMMYFUNCTION("""COMPUTED_VALUE"""),1.0)</f>
        <v>1</v>
      </c>
    </row>
    <row r="3775">
      <c r="K3775" s="4" t="str">
        <f>IFERROR(__xludf.DUMMYFUNCTION("""COMPUTED_VALUE"""),"PIZZARIA E RESTAURANTE DIO MIO")</f>
        <v>PIZZARIA E RESTAURANTE DIO MIO</v>
      </c>
      <c r="L3775" s="32">
        <f>IFERROR(__xludf.DUMMYFUNCTION("""COMPUTED_VALUE"""),3.0)</f>
        <v>3</v>
      </c>
      <c r="M3775" s="4" t="str">
        <f>IFERROR(__xludf.DUMMYFUNCTION("""COMPUTED_VALUE"""),"Cardápio Web")</f>
        <v>Cardápio Web</v>
      </c>
      <c r="N3775" s="33">
        <f>IFERROR(__xludf.DUMMYFUNCTION("""COMPUTED_VALUE"""),1.0)</f>
        <v>1</v>
      </c>
      <c r="O3775" s="4" t="str">
        <f>IFERROR(__xludf.DUMMYFUNCTION("""COMPUTED_VALUE"""),"Cardápio Web")</f>
        <v>Cardápio Web</v>
      </c>
      <c r="P3775" s="33">
        <f>IFERROR(__xludf.DUMMYFUNCTION("""COMPUTED_VALUE"""),1.0)</f>
        <v>1</v>
      </c>
      <c r="Q3775" s="4" t="str">
        <f>IFERROR(__xludf.DUMMYFUNCTION("""COMPUTED_VALUE"""),"Cardápio Web")</f>
        <v>Cardápio Web</v>
      </c>
      <c r="R3775" s="33">
        <f>IFERROR(__xludf.DUMMYFUNCTION("""COMPUTED_VALUE"""),1.0)</f>
        <v>1</v>
      </c>
      <c r="S3775" s="4" t="str">
        <f>IFERROR(__xludf.DUMMYFUNCTION("""COMPUTED_VALUE"""),"Cardápio Web")</f>
        <v>Cardápio Web</v>
      </c>
      <c r="T3775" s="33">
        <f>IFERROR(__xludf.DUMMYFUNCTION("""COMPUTED_VALUE"""),1.0)</f>
        <v>1</v>
      </c>
      <c r="U3775" s="4" t="str">
        <f>IFERROR(__xludf.DUMMYFUNCTION("""COMPUTED_VALUE"""),"Cardápio Web")</f>
        <v>Cardápio Web</v>
      </c>
      <c r="V3775" s="33">
        <f>IFERROR(__xludf.DUMMYFUNCTION("""COMPUTED_VALUE"""),1.0)</f>
        <v>1</v>
      </c>
      <c r="W3775" s="4" t="str">
        <f>IFERROR(__xludf.DUMMYFUNCTION("""COMPUTED_VALUE"""),"Cardápio Web")</f>
        <v>Cardápio Web</v>
      </c>
      <c r="X3775" s="33">
        <f>IFERROR(__xludf.DUMMYFUNCTION("""COMPUTED_VALUE"""),1.0)</f>
        <v>1</v>
      </c>
    </row>
    <row r="3776">
      <c r="K3776" s="4" t="str">
        <f>IFERROR(__xludf.DUMMYFUNCTION("""COMPUTED_VALUE"""),"PIZZARIA FORNELLE - UBERLANDIA")</f>
        <v>PIZZARIA FORNELLE - UBERLANDIA</v>
      </c>
      <c r="L3776" s="32">
        <f>IFERROR(__xludf.DUMMYFUNCTION("""COMPUTED_VALUE"""),3.0)</f>
        <v>3</v>
      </c>
      <c r="M3776" s="4" t="str">
        <f>IFERROR(__xludf.DUMMYFUNCTION("""COMPUTED_VALUE"""),"null")</f>
        <v>null</v>
      </c>
      <c r="N3776" s="33">
        <f>IFERROR(__xludf.DUMMYFUNCTION("""COMPUTED_VALUE"""),1.0)</f>
        <v>1</v>
      </c>
      <c r="O3776" s="4" t="str">
        <f>IFERROR(__xludf.DUMMYFUNCTION("""COMPUTED_VALUE"""),"null")</f>
        <v>null</v>
      </c>
      <c r="P3776" s="33">
        <f>IFERROR(__xludf.DUMMYFUNCTION("""COMPUTED_VALUE"""),1.0)</f>
        <v>1</v>
      </c>
      <c r="Q3776" s="4" t="str">
        <f>IFERROR(__xludf.DUMMYFUNCTION("""COMPUTED_VALUE"""),"null")</f>
        <v>null</v>
      </c>
      <c r="R3776" s="33">
        <f>IFERROR(__xludf.DUMMYFUNCTION("""COMPUTED_VALUE"""),1.0)</f>
        <v>1</v>
      </c>
      <c r="S3776" s="4" t="str">
        <f>IFERROR(__xludf.DUMMYFUNCTION("""COMPUTED_VALUE"""),"null")</f>
        <v>null</v>
      </c>
      <c r="T3776" s="33">
        <f>IFERROR(__xludf.DUMMYFUNCTION("""COMPUTED_VALUE"""),1.0)</f>
        <v>1</v>
      </c>
      <c r="U3776" s="4" t="str">
        <f>IFERROR(__xludf.DUMMYFUNCTION("""COMPUTED_VALUE"""),"null")</f>
        <v>null</v>
      </c>
      <c r="V3776" s="33">
        <f>IFERROR(__xludf.DUMMYFUNCTION("""COMPUTED_VALUE"""),1.0)</f>
        <v>1</v>
      </c>
      <c r="W3776" s="4" t="str">
        <f>IFERROR(__xludf.DUMMYFUNCTION("""COMPUTED_VALUE"""),"Saipos Serviços De Software")</f>
        <v>Saipos Serviços De Software</v>
      </c>
      <c r="X3776" s="33">
        <f>IFERROR(__xludf.DUMMYFUNCTION("""COMPUTED_VALUE"""),1.0)</f>
        <v>1</v>
      </c>
    </row>
    <row r="3777">
      <c r="K3777" s="4" t="str">
        <f>IFERROR(__xludf.DUMMYFUNCTION("""COMPUTED_VALUE"""),"PIZZARIA FRATELLO LONDRINA")</f>
        <v>PIZZARIA FRATELLO LONDRINA</v>
      </c>
      <c r="L3777" s="32">
        <f>IFERROR(__xludf.DUMMYFUNCTION("""COMPUTED_VALUE"""),3.0)</f>
        <v>3</v>
      </c>
      <c r="M3777" s="4" t="str">
        <f>IFERROR(__xludf.DUMMYFUNCTION("""COMPUTED_VALUE"""),"null")</f>
        <v>null</v>
      </c>
      <c r="N3777" s="33">
        <f>IFERROR(__xludf.DUMMYFUNCTION("""COMPUTED_VALUE"""),1.0)</f>
        <v>1</v>
      </c>
      <c r="O3777" s="4" t="str">
        <f>IFERROR(__xludf.DUMMYFUNCTION("""COMPUTED_VALUE"""),"null")</f>
        <v>null</v>
      </c>
      <c r="P3777" s="33">
        <f>IFERROR(__xludf.DUMMYFUNCTION("""COMPUTED_VALUE"""),0.6666666666666666)</f>
        <v>0.6666666667</v>
      </c>
      <c r="Q3777" s="4" t="str">
        <f>IFERROR(__xludf.DUMMYFUNCTION("""COMPUTED_VALUE"""),"Cardápio Web")</f>
        <v>Cardápio Web</v>
      </c>
      <c r="R3777" s="33">
        <f>IFERROR(__xludf.DUMMYFUNCTION("""COMPUTED_VALUE"""),1.0)</f>
        <v>1</v>
      </c>
      <c r="S3777" s="4" t="str">
        <f>IFERROR(__xludf.DUMMYFUNCTION("""COMPUTED_VALUE"""),"Cardápio Web")</f>
        <v>Cardápio Web</v>
      </c>
      <c r="T3777" s="33">
        <f>IFERROR(__xludf.DUMMYFUNCTION("""COMPUTED_VALUE"""),1.0)</f>
        <v>1</v>
      </c>
      <c r="U3777" s="4" t="str">
        <f>IFERROR(__xludf.DUMMYFUNCTION("""COMPUTED_VALUE"""),"Cardápio Web")</f>
        <v>Cardápio Web</v>
      </c>
      <c r="V3777" s="33">
        <f>IFERROR(__xludf.DUMMYFUNCTION("""COMPUTED_VALUE"""),1.0)</f>
        <v>1</v>
      </c>
      <c r="W3777" s="4" t="str">
        <f>IFERROR(__xludf.DUMMYFUNCTION("""COMPUTED_VALUE"""),"Cardápio Web")</f>
        <v>Cardápio Web</v>
      </c>
      <c r="X3777" s="33">
        <f>IFERROR(__xludf.DUMMYFUNCTION("""COMPUTED_VALUE"""),1.0)</f>
        <v>1</v>
      </c>
    </row>
    <row r="3778">
      <c r="K3778" s="4" t="str">
        <f>IFERROR(__xludf.DUMMYFUNCTION("""COMPUTED_VALUE"""),"PIZZARIA GUERRIER")</f>
        <v>PIZZARIA GUERRIER</v>
      </c>
      <c r="L3778" s="32">
        <f>IFERROR(__xludf.DUMMYFUNCTION("""COMPUTED_VALUE"""),3.0)</f>
        <v>3</v>
      </c>
      <c r="M3778" s="4" t="str">
        <f>IFERROR(__xludf.DUMMYFUNCTION("""COMPUTED_VALUE"""),"Cardápio Web")</f>
        <v>Cardápio Web</v>
      </c>
      <c r="N3778" s="33">
        <f>IFERROR(__xludf.DUMMYFUNCTION("""COMPUTED_VALUE"""),1.0)</f>
        <v>1</v>
      </c>
      <c r="O3778" s="4" t="str">
        <f>IFERROR(__xludf.DUMMYFUNCTION("""COMPUTED_VALUE"""),"Cardápio Web")</f>
        <v>Cardápio Web</v>
      </c>
      <c r="P3778" s="33">
        <f>IFERROR(__xludf.DUMMYFUNCTION("""COMPUTED_VALUE"""),1.0)</f>
        <v>1</v>
      </c>
      <c r="Q3778" s="4" t="str">
        <f>IFERROR(__xludf.DUMMYFUNCTION("""COMPUTED_VALUE"""),"Cardápio Web")</f>
        <v>Cardápio Web</v>
      </c>
      <c r="R3778" s="33">
        <f>IFERROR(__xludf.DUMMYFUNCTION("""COMPUTED_VALUE"""),1.0)</f>
        <v>1</v>
      </c>
      <c r="S3778" s="4" t="str">
        <f>IFERROR(__xludf.DUMMYFUNCTION("""COMPUTED_VALUE"""),"Cardápio Web")</f>
        <v>Cardápio Web</v>
      </c>
      <c r="T3778" s="33">
        <f>IFERROR(__xludf.DUMMYFUNCTION("""COMPUTED_VALUE"""),1.0)</f>
        <v>1</v>
      </c>
      <c r="U3778" s="4" t="str">
        <f>IFERROR(__xludf.DUMMYFUNCTION("""COMPUTED_VALUE"""),"Cardápio Web")</f>
        <v>Cardápio Web</v>
      </c>
      <c r="V3778" s="33">
        <f>IFERROR(__xludf.DUMMYFUNCTION("""COMPUTED_VALUE"""),1.0)</f>
        <v>1</v>
      </c>
      <c r="W3778" s="4" t="str">
        <f>IFERROR(__xludf.DUMMYFUNCTION("""COMPUTED_VALUE"""),"Cardápio Web")</f>
        <v>Cardápio Web</v>
      </c>
      <c r="X3778" s="33">
        <f>IFERROR(__xludf.DUMMYFUNCTION("""COMPUTED_VALUE"""),1.0)</f>
        <v>1</v>
      </c>
    </row>
    <row r="3779">
      <c r="K3779" s="4" t="str">
        <f>IFERROR(__xludf.DUMMYFUNCTION("""COMPUTED_VALUE"""),"PIZZARIA JOHNNY - CONTA PAI")</f>
        <v>PIZZARIA JOHNNY - CONTA PAI</v>
      </c>
      <c r="L3779" s="32">
        <f>IFERROR(__xludf.DUMMYFUNCTION("""COMPUTED_VALUE"""),3.0)</f>
        <v>3</v>
      </c>
      <c r="M3779" s="4" t="str">
        <f>IFERROR(__xludf.DUMMYFUNCTION("""COMPUTED_VALUE"""),"Lh Byte Comercio E Servicoes Ltda")</f>
        <v>Lh Byte Comercio E Servicoes Ltda</v>
      </c>
      <c r="N3779" s="33">
        <f>IFERROR(__xludf.DUMMYFUNCTION("""COMPUTED_VALUE"""),0.6666666666666666)</f>
        <v>0.6666666667</v>
      </c>
      <c r="O3779" s="4" t="str">
        <f>IFERROR(__xludf.DUMMYFUNCTION("""COMPUTED_VALUE"""),"null")</f>
        <v>null</v>
      </c>
      <c r="P3779" s="33">
        <f>IFERROR(__xludf.DUMMYFUNCTION("""COMPUTED_VALUE"""),0.6666666666666666)</f>
        <v>0.6666666667</v>
      </c>
      <c r="Q3779" s="4" t="str">
        <f>IFERROR(__xludf.DUMMYFUNCTION("""COMPUTED_VALUE"""),"null")</f>
        <v>null</v>
      </c>
      <c r="R3779" s="33">
        <f>IFERROR(__xludf.DUMMYFUNCTION("""COMPUTED_VALUE"""),0.6666666666666666)</f>
        <v>0.6666666667</v>
      </c>
      <c r="S3779" s="4" t="str">
        <f>IFERROR(__xludf.DUMMYFUNCTION("""COMPUTED_VALUE"""),"null")</f>
        <v>null</v>
      </c>
      <c r="T3779" s="33">
        <f>IFERROR(__xludf.DUMMYFUNCTION("""COMPUTED_VALUE"""),0.6666666666666666)</f>
        <v>0.6666666667</v>
      </c>
      <c r="U3779" s="4" t="str">
        <f>IFERROR(__xludf.DUMMYFUNCTION("""COMPUTED_VALUE"""),"null")</f>
        <v>null</v>
      </c>
      <c r="V3779" s="33">
        <f>IFERROR(__xludf.DUMMYFUNCTION("""COMPUTED_VALUE"""),0.6666666666666666)</f>
        <v>0.6666666667</v>
      </c>
      <c r="W3779" s="4" t="str">
        <f>IFERROR(__xludf.DUMMYFUNCTION("""COMPUTED_VALUE"""),"null")</f>
        <v>null</v>
      </c>
      <c r="X3779" s="33">
        <f>IFERROR(__xludf.DUMMYFUNCTION("""COMPUTED_VALUE"""),0.6666666666666666)</f>
        <v>0.6666666667</v>
      </c>
    </row>
    <row r="3780">
      <c r="K3780" s="4" t="str">
        <f>IFERROR(__xludf.DUMMYFUNCTION("""COMPUTED_VALUE"""),"PIZZARIA JULIOS 1 - FREGUESIA DO O")</f>
        <v>PIZZARIA JULIOS 1 - FREGUESIA DO O</v>
      </c>
      <c r="L3780" s="32">
        <f>IFERROR(__xludf.DUMMYFUNCTION("""COMPUTED_VALUE"""),3.0)</f>
        <v>3</v>
      </c>
      <c r="M3780" s="4" t="str">
        <f>IFERROR(__xludf.DUMMYFUNCTION("""COMPUTED_VALUE"""),"Grk Soluções Informatica Eireli")</f>
        <v>Grk Soluções Informatica Eireli</v>
      </c>
      <c r="N3780" s="33">
        <f>IFERROR(__xludf.DUMMYFUNCTION("""COMPUTED_VALUE"""),0.6666666666666666)</f>
        <v>0.6666666667</v>
      </c>
      <c r="O3780" s="4" t="str">
        <f>IFERROR(__xludf.DUMMYFUNCTION("""COMPUTED_VALUE"""),"Grk Soluções Informatica Eireli")</f>
        <v>Grk Soluções Informatica Eireli</v>
      </c>
      <c r="P3780" s="33">
        <f>IFERROR(__xludf.DUMMYFUNCTION("""COMPUTED_VALUE"""),0.6666666666666666)</f>
        <v>0.6666666667</v>
      </c>
      <c r="Q3780" s="4" t="str">
        <f>IFERROR(__xludf.DUMMYFUNCTION("""COMPUTED_VALUE"""),"Grk Soluções Informatica Eireli")</f>
        <v>Grk Soluções Informatica Eireli</v>
      </c>
      <c r="R3780" s="33">
        <f>IFERROR(__xludf.DUMMYFUNCTION("""COMPUTED_VALUE"""),0.6666666666666666)</f>
        <v>0.6666666667</v>
      </c>
      <c r="S3780" s="4" t="str">
        <f>IFERROR(__xludf.DUMMYFUNCTION("""COMPUTED_VALUE"""),"Grk Soluções Informatica Eireli")</f>
        <v>Grk Soluções Informatica Eireli</v>
      </c>
      <c r="T3780" s="33">
        <f>IFERROR(__xludf.DUMMYFUNCTION("""COMPUTED_VALUE"""),0.6666666666666666)</f>
        <v>0.6666666667</v>
      </c>
      <c r="U3780" s="4" t="str">
        <f>IFERROR(__xludf.DUMMYFUNCTION("""COMPUTED_VALUE"""),"Grk Soluções Informatica Eireli")</f>
        <v>Grk Soluções Informatica Eireli</v>
      </c>
      <c r="V3780" s="33">
        <f>IFERROR(__xludf.DUMMYFUNCTION("""COMPUTED_VALUE"""),0.6666666666666666)</f>
        <v>0.6666666667</v>
      </c>
      <c r="W3780" s="4" t="str">
        <f>IFERROR(__xludf.DUMMYFUNCTION("""COMPUTED_VALUE"""),"Grk Soluções Informatica Eireli")</f>
        <v>Grk Soluções Informatica Eireli</v>
      </c>
      <c r="X3780" s="33">
        <f>IFERROR(__xludf.DUMMYFUNCTION("""COMPUTED_VALUE"""),0.6666666666666666)</f>
        <v>0.6666666667</v>
      </c>
    </row>
    <row r="3781">
      <c r="K3781" s="4" t="str">
        <f>IFERROR(__xludf.DUMMYFUNCTION("""COMPUTED_VALUE"""),"PIZZARIA LA DONOS DON SAPORI")</f>
        <v>PIZZARIA LA DONOS DON SAPORI</v>
      </c>
      <c r="L3781" s="32">
        <f>IFERROR(__xludf.DUMMYFUNCTION("""COMPUTED_VALUE"""),3.0)</f>
        <v>3</v>
      </c>
      <c r="M3781" s="4" t="str">
        <f>IFERROR(__xludf.DUMMYFUNCTION("""COMPUTED_VALUE"""),"Saipos Serviços De Software")</f>
        <v>Saipos Serviços De Software</v>
      </c>
      <c r="N3781" s="33">
        <f>IFERROR(__xludf.DUMMYFUNCTION("""COMPUTED_VALUE"""),0.6666666666666666)</f>
        <v>0.6666666667</v>
      </c>
      <c r="O3781" s="4" t="str">
        <f>IFERROR(__xludf.DUMMYFUNCTION("""COMPUTED_VALUE"""),"Saipos Serviços De Software")</f>
        <v>Saipos Serviços De Software</v>
      </c>
      <c r="P3781" s="33">
        <f>IFERROR(__xludf.DUMMYFUNCTION("""COMPUTED_VALUE"""),0.6666666666666666)</f>
        <v>0.6666666667</v>
      </c>
      <c r="Q3781" s="4" t="str">
        <f>IFERROR(__xludf.DUMMYFUNCTION("""COMPUTED_VALUE"""),"Saipos Serviços De Software")</f>
        <v>Saipos Serviços De Software</v>
      </c>
      <c r="R3781" s="33">
        <f>IFERROR(__xludf.DUMMYFUNCTION("""COMPUTED_VALUE"""),1.0)</f>
        <v>1</v>
      </c>
      <c r="S3781" s="4" t="str">
        <f>IFERROR(__xludf.DUMMYFUNCTION("""COMPUTED_VALUE"""),"Saipos Serviços De Software")</f>
        <v>Saipos Serviços De Software</v>
      </c>
      <c r="T3781" s="33">
        <f>IFERROR(__xludf.DUMMYFUNCTION("""COMPUTED_VALUE"""),0.6666666666666666)</f>
        <v>0.6666666667</v>
      </c>
      <c r="U3781" s="4" t="str">
        <f>IFERROR(__xludf.DUMMYFUNCTION("""COMPUTED_VALUE"""),"Saipos Serviços De Software")</f>
        <v>Saipos Serviços De Software</v>
      </c>
      <c r="V3781" s="33">
        <f>IFERROR(__xludf.DUMMYFUNCTION("""COMPUTED_VALUE"""),0.6666666666666666)</f>
        <v>0.6666666667</v>
      </c>
      <c r="W3781" s="4" t="str">
        <f>IFERROR(__xludf.DUMMYFUNCTION("""COMPUTED_VALUE"""),"Saipos Serviços De Software")</f>
        <v>Saipos Serviços De Software</v>
      </c>
      <c r="X3781" s="33">
        <f>IFERROR(__xludf.DUMMYFUNCTION("""COMPUTED_VALUE"""),0.6666666666666666)</f>
        <v>0.6666666667</v>
      </c>
    </row>
    <row r="3782">
      <c r="K3782" s="4" t="str">
        <f>IFERROR(__xludf.DUMMYFUNCTION("""COMPUTED_VALUE"""),"PIZZARIA LUPERTINE")</f>
        <v>PIZZARIA LUPERTINE</v>
      </c>
      <c r="L3782" s="32">
        <f>IFERROR(__xludf.DUMMYFUNCTION("""COMPUTED_VALUE"""),3.0)</f>
        <v>3</v>
      </c>
      <c r="M3782" s="4" t="str">
        <f>IFERROR(__xludf.DUMMYFUNCTION("""COMPUTED_VALUE"""),"Consumer Soluções Em Tecnologia Ltda")</f>
        <v>Consumer Soluções Em Tecnologia Ltda</v>
      </c>
      <c r="N3782" s="33">
        <f>IFERROR(__xludf.DUMMYFUNCTION("""COMPUTED_VALUE"""),1.0)</f>
        <v>1</v>
      </c>
      <c r="O3782" s="4" t="str">
        <f>IFERROR(__xludf.DUMMYFUNCTION("""COMPUTED_VALUE"""),"Consumer Soluções Em Tecnologia Ltda")</f>
        <v>Consumer Soluções Em Tecnologia Ltda</v>
      </c>
      <c r="P3782" s="33">
        <f>IFERROR(__xludf.DUMMYFUNCTION("""COMPUTED_VALUE"""),0.6666666666666666)</f>
        <v>0.6666666667</v>
      </c>
      <c r="Q3782" s="4" t="str">
        <f>IFERROR(__xludf.DUMMYFUNCTION("""COMPUTED_VALUE"""),"Consumer Soluções Em Tecnologia Ltda")</f>
        <v>Consumer Soluções Em Tecnologia Ltda</v>
      </c>
      <c r="R3782" s="33">
        <f>IFERROR(__xludf.DUMMYFUNCTION("""COMPUTED_VALUE"""),1.0)</f>
        <v>1</v>
      </c>
      <c r="S3782" s="4" t="str">
        <f>IFERROR(__xludf.DUMMYFUNCTION("""COMPUTED_VALUE"""),"Consumer Soluções Em Tecnologia Ltda")</f>
        <v>Consumer Soluções Em Tecnologia Ltda</v>
      </c>
      <c r="T3782" s="33">
        <f>IFERROR(__xludf.DUMMYFUNCTION("""COMPUTED_VALUE"""),0.6666666666666666)</f>
        <v>0.6666666667</v>
      </c>
      <c r="U3782" s="4" t="str">
        <f>IFERROR(__xludf.DUMMYFUNCTION("""COMPUTED_VALUE"""),"Consumer Soluções Em Tecnologia Ltda")</f>
        <v>Consumer Soluções Em Tecnologia Ltda</v>
      </c>
      <c r="V3782" s="33">
        <f>IFERROR(__xludf.DUMMYFUNCTION("""COMPUTED_VALUE"""),0.6666666666666666)</f>
        <v>0.6666666667</v>
      </c>
      <c r="W3782" s="4" t="str">
        <f>IFERROR(__xludf.DUMMYFUNCTION("""COMPUTED_VALUE"""),"null")</f>
        <v>null</v>
      </c>
      <c r="X3782" s="33">
        <f>IFERROR(__xludf.DUMMYFUNCTION("""COMPUTED_VALUE"""),0.6666666666666666)</f>
        <v>0.6666666667</v>
      </c>
    </row>
    <row r="3783">
      <c r="K3783" s="4" t="str">
        <f>IFERROR(__xludf.DUMMYFUNCTION("""COMPUTED_VALUE"""),"PIZZARIA MACARENKO")</f>
        <v>PIZZARIA MACARENKO</v>
      </c>
      <c r="L3783" s="32">
        <f>IFERROR(__xludf.DUMMYFUNCTION("""COMPUTED_VALUE"""),3.0)</f>
        <v>3</v>
      </c>
      <c r="M3783" s="4" t="str">
        <f>IFERROR(__xludf.DUMMYFUNCTION("""COMPUTED_VALUE"""),"Latech Informatica Ltda")</f>
        <v>Latech Informatica Ltda</v>
      </c>
      <c r="N3783" s="33">
        <f>IFERROR(__xludf.DUMMYFUNCTION("""COMPUTED_VALUE"""),1.0)</f>
        <v>1</v>
      </c>
      <c r="O3783" s="4" t="str">
        <f>IFERROR(__xludf.DUMMYFUNCTION("""COMPUTED_VALUE"""),"Latech Informatica Ltda")</f>
        <v>Latech Informatica Ltda</v>
      </c>
      <c r="P3783" s="33">
        <f>IFERROR(__xludf.DUMMYFUNCTION("""COMPUTED_VALUE"""),1.0)</f>
        <v>1</v>
      </c>
      <c r="Q3783" s="4" t="str">
        <f>IFERROR(__xludf.DUMMYFUNCTION("""COMPUTED_VALUE"""),"Latech Informatica Ltda")</f>
        <v>Latech Informatica Ltda</v>
      </c>
      <c r="R3783" s="33">
        <f>IFERROR(__xludf.DUMMYFUNCTION("""COMPUTED_VALUE"""),1.0)</f>
        <v>1</v>
      </c>
      <c r="S3783" s="4" t="str">
        <f>IFERROR(__xludf.DUMMYFUNCTION("""COMPUTED_VALUE"""),"Latech Informatica Ltda")</f>
        <v>Latech Informatica Ltda</v>
      </c>
      <c r="T3783" s="33">
        <f>IFERROR(__xludf.DUMMYFUNCTION("""COMPUTED_VALUE"""),1.0)</f>
        <v>1</v>
      </c>
      <c r="U3783" s="4" t="str">
        <f>IFERROR(__xludf.DUMMYFUNCTION("""COMPUTED_VALUE"""),"Latech Informatica Ltda")</f>
        <v>Latech Informatica Ltda</v>
      </c>
      <c r="V3783" s="33">
        <f>IFERROR(__xludf.DUMMYFUNCTION("""COMPUTED_VALUE"""),1.0)</f>
        <v>1</v>
      </c>
      <c r="W3783" s="4" t="str">
        <f>IFERROR(__xludf.DUMMYFUNCTION("""COMPUTED_VALUE"""),"Latech Informatica Ltda")</f>
        <v>Latech Informatica Ltda</v>
      </c>
      <c r="X3783" s="33">
        <f>IFERROR(__xludf.DUMMYFUNCTION("""COMPUTED_VALUE"""),1.0)</f>
        <v>1</v>
      </c>
    </row>
    <row r="3784">
      <c r="K3784" s="4" t="str">
        <f>IFERROR(__xludf.DUMMYFUNCTION("""COMPUTED_VALUE"""),"PIZZARIA MANJE - PIZZAS ARTESANAIS - MATO GROSSO DO SUL")</f>
        <v>PIZZARIA MANJE - PIZZAS ARTESANAIS - MATO GROSSO DO SUL</v>
      </c>
      <c r="L3784" s="32">
        <f>IFERROR(__xludf.DUMMYFUNCTION("""COMPUTED_VALUE"""),3.0)</f>
        <v>3</v>
      </c>
      <c r="M3784" s="4" t="str">
        <f>IFERROR(__xludf.DUMMYFUNCTION("""COMPUTED_VALUE"""),"Cardápio Web")</f>
        <v>Cardápio Web</v>
      </c>
      <c r="N3784" s="33">
        <f>IFERROR(__xludf.DUMMYFUNCTION("""COMPUTED_VALUE"""),0.6666666666666666)</f>
        <v>0.6666666667</v>
      </c>
      <c r="O3784" s="4" t="str">
        <f>IFERROR(__xludf.DUMMYFUNCTION("""COMPUTED_VALUE"""),"Cardápio Web")</f>
        <v>Cardápio Web</v>
      </c>
      <c r="P3784" s="33">
        <f>IFERROR(__xludf.DUMMYFUNCTION("""COMPUTED_VALUE"""),0.6666666666666666)</f>
        <v>0.6666666667</v>
      </c>
      <c r="Q3784" s="4" t="str">
        <f>IFERROR(__xludf.DUMMYFUNCTION("""COMPUTED_VALUE"""),"Cardápio Web")</f>
        <v>Cardápio Web</v>
      </c>
      <c r="R3784" s="33">
        <f>IFERROR(__xludf.DUMMYFUNCTION("""COMPUTED_VALUE"""),1.0)</f>
        <v>1</v>
      </c>
      <c r="S3784" s="4" t="str">
        <f>IFERROR(__xludf.DUMMYFUNCTION("""COMPUTED_VALUE"""),"Cardápio Web")</f>
        <v>Cardápio Web</v>
      </c>
      <c r="T3784" s="33">
        <f>IFERROR(__xludf.DUMMYFUNCTION("""COMPUTED_VALUE"""),1.0)</f>
        <v>1</v>
      </c>
      <c r="U3784" s="4" t="str">
        <f>IFERROR(__xludf.DUMMYFUNCTION("""COMPUTED_VALUE"""),"Cardápio Web")</f>
        <v>Cardápio Web</v>
      </c>
      <c r="V3784" s="33">
        <f>IFERROR(__xludf.DUMMYFUNCTION("""COMPUTED_VALUE"""),1.0)</f>
        <v>1</v>
      </c>
      <c r="W3784" s="4" t="str">
        <f>IFERROR(__xludf.DUMMYFUNCTION("""COMPUTED_VALUE"""),"Cardápio Web")</f>
        <v>Cardápio Web</v>
      </c>
      <c r="X3784" s="33">
        <f>IFERROR(__xludf.DUMMYFUNCTION("""COMPUTED_VALUE"""),1.0)</f>
        <v>1</v>
      </c>
    </row>
    <row r="3785">
      <c r="K3785" s="4" t="str">
        <f>IFERROR(__xludf.DUMMYFUNCTION("""COMPUTED_VALUE"""),"PIZZARIA MANUELLITA - CONTA PAI")</f>
        <v>PIZZARIA MANUELLITA - CONTA PAI</v>
      </c>
      <c r="L3785" s="32">
        <f>IFERROR(__xludf.DUMMYFUNCTION("""COMPUTED_VALUE"""),3.0)</f>
        <v>3</v>
      </c>
      <c r="M3785" s="4" t="str">
        <f>IFERROR(__xludf.DUMMYFUNCTION("""COMPUTED_VALUE"""),"Cardápio Web")</f>
        <v>Cardápio Web</v>
      </c>
      <c r="N3785" s="33">
        <f>IFERROR(__xludf.DUMMYFUNCTION("""COMPUTED_VALUE"""),0.6666666666666666)</f>
        <v>0.6666666667</v>
      </c>
      <c r="O3785" s="4" t="str">
        <f>IFERROR(__xludf.DUMMYFUNCTION("""COMPUTED_VALUE"""),"Cardápio Web")</f>
        <v>Cardápio Web</v>
      </c>
      <c r="P3785" s="33">
        <f>IFERROR(__xludf.DUMMYFUNCTION("""COMPUTED_VALUE"""),0.6666666666666666)</f>
        <v>0.6666666667</v>
      </c>
      <c r="Q3785" s="4" t="str">
        <f>IFERROR(__xludf.DUMMYFUNCTION("""COMPUTED_VALUE"""),"Cardápio Web")</f>
        <v>Cardápio Web</v>
      </c>
      <c r="R3785" s="33">
        <f>IFERROR(__xludf.DUMMYFUNCTION("""COMPUTED_VALUE"""),0.6666666666666666)</f>
        <v>0.6666666667</v>
      </c>
      <c r="S3785" s="4" t="str">
        <f>IFERROR(__xludf.DUMMYFUNCTION("""COMPUTED_VALUE"""),"Cardápio Web")</f>
        <v>Cardápio Web</v>
      </c>
      <c r="T3785" s="33">
        <f>IFERROR(__xludf.DUMMYFUNCTION("""COMPUTED_VALUE"""),1.0)</f>
        <v>1</v>
      </c>
      <c r="U3785" s="4" t="str">
        <f>IFERROR(__xludf.DUMMYFUNCTION("""COMPUTED_VALUE"""),"Cardápio Web")</f>
        <v>Cardápio Web</v>
      </c>
      <c r="V3785" s="33">
        <f>IFERROR(__xludf.DUMMYFUNCTION("""COMPUTED_VALUE"""),1.0)</f>
        <v>1</v>
      </c>
      <c r="W3785" s="4" t="str">
        <f>IFERROR(__xludf.DUMMYFUNCTION("""COMPUTED_VALUE"""),"Cardápio Web")</f>
        <v>Cardápio Web</v>
      </c>
      <c r="X3785" s="33">
        <f>IFERROR(__xludf.DUMMYFUNCTION("""COMPUTED_VALUE"""),1.0)</f>
        <v>1</v>
      </c>
    </row>
    <row r="3786">
      <c r="K3786" s="4" t="str">
        <f>IFERROR(__xludf.DUMMYFUNCTION("""COMPUTED_VALUE"""),"PIZZARIA PAPALUZZO - MANAUS")</f>
        <v>PIZZARIA PAPALUZZO - MANAUS</v>
      </c>
      <c r="L3786" s="32">
        <f>IFERROR(__xludf.DUMMYFUNCTION("""COMPUTED_VALUE"""),3.0)</f>
        <v>3</v>
      </c>
      <c r="M3786" s="4" t="str">
        <f>IFERROR(__xludf.DUMMYFUNCTION("""COMPUTED_VALUE"""),"Mp Multipedidos")</f>
        <v>Mp Multipedidos</v>
      </c>
      <c r="N3786" s="33">
        <f>IFERROR(__xludf.DUMMYFUNCTION("""COMPUTED_VALUE"""),1.0)</f>
        <v>1</v>
      </c>
      <c r="O3786" s="4" t="str">
        <f>IFERROR(__xludf.DUMMYFUNCTION("""COMPUTED_VALUE"""),"Mp Multipedidos")</f>
        <v>Mp Multipedidos</v>
      </c>
      <c r="P3786" s="33">
        <f>IFERROR(__xludf.DUMMYFUNCTION("""COMPUTED_VALUE"""),1.0)</f>
        <v>1</v>
      </c>
      <c r="Q3786" s="4" t="str">
        <f>IFERROR(__xludf.DUMMYFUNCTION("""COMPUTED_VALUE"""),"Mp Multipedidos")</f>
        <v>Mp Multipedidos</v>
      </c>
      <c r="R3786" s="33">
        <f>IFERROR(__xludf.DUMMYFUNCTION("""COMPUTED_VALUE"""),0.6666666666666666)</f>
        <v>0.6666666667</v>
      </c>
      <c r="S3786" s="4" t="str">
        <f>IFERROR(__xludf.DUMMYFUNCTION("""COMPUTED_VALUE"""),"Mp Multipedidos")</f>
        <v>Mp Multipedidos</v>
      </c>
      <c r="T3786" s="33">
        <f>IFERROR(__xludf.DUMMYFUNCTION("""COMPUTED_VALUE"""),0.6666666666666666)</f>
        <v>0.6666666667</v>
      </c>
      <c r="U3786" s="4" t="str">
        <f>IFERROR(__xludf.DUMMYFUNCTION("""COMPUTED_VALUE"""),"Saipos Serviços De Software")</f>
        <v>Saipos Serviços De Software</v>
      </c>
      <c r="V3786" s="33">
        <f>IFERROR(__xludf.DUMMYFUNCTION("""COMPUTED_VALUE"""),0.3333333333333333)</f>
        <v>0.3333333333</v>
      </c>
      <c r="W3786" s="4" t="str">
        <f>IFERROR(__xludf.DUMMYFUNCTION("""COMPUTED_VALUE"""),"Saipos Serviços De Software")</f>
        <v>Saipos Serviços De Software</v>
      </c>
      <c r="X3786" s="33">
        <f>IFERROR(__xludf.DUMMYFUNCTION("""COMPUTED_VALUE"""),0.3333333333333333)</f>
        <v>0.3333333333</v>
      </c>
    </row>
    <row r="3787">
      <c r="K3787" s="4" t="str">
        <f>IFERROR(__xludf.DUMMYFUNCTION("""COMPUTED_VALUE"""),"PIZZARIA RAFAEL MANAUS - CONTA MARCA")</f>
        <v>PIZZARIA RAFAEL MANAUS - CONTA MARCA</v>
      </c>
      <c r="L3787" s="32">
        <f>IFERROR(__xludf.DUMMYFUNCTION("""COMPUTED_VALUE"""),3.0)</f>
        <v>3</v>
      </c>
      <c r="M3787" s="4" t="str">
        <f>IFERROR(__xludf.DUMMYFUNCTION("""COMPUTED_VALUE"""),"Saipos Serviços De Software")</f>
        <v>Saipos Serviços De Software</v>
      </c>
      <c r="N3787" s="33">
        <f>IFERROR(__xludf.DUMMYFUNCTION("""COMPUTED_VALUE"""),0.6666666666666666)</f>
        <v>0.6666666667</v>
      </c>
      <c r="O3787" s="4" t="str">
        <f>IFERROR(__xludf.DUMMYFUNCTION("""COMPUTED_VALUE"""),"Saipos Serviços De Software")</f>
        <v>Saipos Serviços De Software</v>
      </c>
      <c r="P3787" s="33">
        <f>IFERROR(__xludf.DUMMYFUNCTION("""COMPUTED_VALUE"""),0.6666666666666666)</f>
        <v>0.6666666667</v>
      </c>
      <c r="Q3787" s="4" t="str">
        <f>IFERROR(__xludf.DUMMYFUNCTION("""COMPUTED_VALUE"""),"Saipos Serviços De Software")</f>
        <v>Saipos Serviços De Software</v>
      </c>
      <c r="R3787" s="33">
        <f>IFERROR(__xludf.DUMMYFUNCTION("""COMPUTED_VALUE"""),0.6666666666666666)</f>
        <v>0.6666666667</v>
      </c>
      <c r="S3787" s="4" t="str">
        <f>IFERROR(__xludf.DUMMYFUNCTION("""COMPUTED_VALUE"""),"Saipos Serviços De Software")</f>
        <v>Saipos Serviços De Software</v>
      </c>
      <c r="T3787" s="33">
        <f>IFERROR(__xludf.DUMMYFUNCTION("""COMPUTED_VALUE"""),0.6666666666666666)</f>
        <v>0.6666666667</v>
      </c>
      <c r="U3787" s="4" t="str">
        <f>IFERROR(__xludf.DUMMYFUNCTION("""COMPUTED_VALUE"""),"Saipos Serviços De Software")</f>
        <v>Saipos Serviços De Software</v>
      </c>
      <c r="V3787" s="33">
        <f>IFERROR(__xludf.DUMMYFUNCTION("""COMPUTED_VALUE"""),0.6666666666666666)</f>
        <v>0.6666666667</v>
      </c>
      <c r="W3787" s="4" t="str">
        <f>IFERROR(__xludf.DUMMYFUNCTION("""COMPUTED_VALUE"""),"Saipos Serviços De Software")</f>
        <v>Saipos Serviços De Software</v>
      </c>
      <c r="X3787" s="33">
        <f>IFERROR(__xludf.DUMMYFUNCTION("""COMPUTED_VALUE"""),0.6666666666666666)</f>
        <v>0.6666666667</v>
      </c>
    </row>
    <row r="3788">
      <c r="K3788" s="4" t="str">
        <f>IFERROR(__xludf.DUMMYFUNCTION("""COMPUTED_VALUE"""),"PIZZARIA ROAST - CONTA MARCA")</f>
        <v>PIZZARIA ROAST - CONTA MARCA</v>
      </c>
      <c r="L3788" s="32">
        <f>IFERROR(__xludf.DUMMYFUNCTION("""COMPUTED_VALUE"""),3.0)</f>
        <v>3</v>
      </c>
      <c r="M3788" s="4" t="str">
        <f>IFERROR(__xludf.DUMMYFUNCTION("""COMPUTED_VALUE"""),"null")</f>
        <v>null</v>
      </c>
      <c r="N3788" s="33">
        <f>IFERROR(__xludf.DUMMYFUNCTION("""COMPUTED_VALUE"""),1.0)</f>
        <v>1</v>
      </c>
      <c r="O3788" s="4" t="str">
        <f>IFERROR(__xludf.DUMMYFUNCTION("""COMPUTED_VALUE"""),"null")</f>
        <v>null</v>
      </c>
      <c r="P3788" s="33">
        <f>IFERROR(__xludf.DUMMYFUNCTION("""COMPUTED_VALUE"""),1.0)</f>
        <v>1</v>
      </c>
      <c r="Q3788" s="4" t="str">
        <f>IFERROR(__xludf.DUMMYFUNCTION("""COMPUTED_VALUE"""),"Saipos Serviços De Software")</f>
        <v>Saipos Serviços De Software</v>
      </c>
      <c r="R3788" s="33">
        <f>IFERROR(__xludf.DUMMYFUNCTION("""COMPUTED_VALUE"""),1.0)</f>
        <v>1</v>
      </c>
      <c r="S3788" s="4" t="str">
        <f>IFERROR(__xludf.DUMMYFUNCTION("""COMPUTED_VALUE"""),"Saipos Serviços De Software")</f>
        <v>Saipos Serviços De Software</v>
      </c>
      <c r="T3788" s="33">
        <f>IFERROR(__xludf.DUMMYFUNCTION("""COMPUTED_VALUE"""),1.0)</f>
        <v>1</v>
      </c>
      <c r="U3788" s="4" t="str">
        <f>IFERROR(__xludf.DUMMYFUNCTION("""COMPUTED_VALUE"""),"Saipos Serviços De Software")</f>
        <v>Saipos Serviços De Software</v>
      </c>
      <c r="V3788" s="33">
        <f>IFERROR(__xludf.DUMMYFUNCTION("""COMPUTED_VALUE"""),1.0)</f>
        <v>1</v>
      </c>
      <c r="W3788" s="4" t="str">
        <f>IFERROR(__xludf.DUMMYFUNCTION("""COMPUTED_VALUE"""),"Saipos Serviços De Software")</f>
        <v>Saipos Serviços De Software</v>
      </c>
      <c r="X3788" s="33">
        <f>IFERROR(__xludf.DUMMYFUNCTION("""COMPUTED_VALUE"""),1.0)</f>
        <v>1</v>
      </c>
    </row>
    <row r="3789">
      <c r="K3789" s="4" t="str">
        <f>IFERROR(__xludf.DUMMYFUNCTION("""COMPUTED_VALUE"""),"PIZZARIA ROTA 955")</f>
        <v>PIZZARIA ROTA 955</v>
      </c>
      <c r="L3789" s="32">
        <f>IFERROR(__xludf.DUMMYFUNCTION("""COMPUTED_VALUE"""),3.0)</f>
        <v>3</v>
      </c>
      <c r="M3789" s="4" t="str">
        <f>IFERROR(__xludf.DUMMYFUNCTION("""COMPUTED_VALUE"""),"Saipos Serviços De Software")</f>
        <v>Saipos Serviços De Software</v>
      </c>
      <c r="N3789" s="33">
        <f>IFERROR(__xludf.DUMMYFUNCTION("""COMPUTED_VALUE"""),1.0)</f>
        <v>1</v>
      </c>
      <c r="O3789" s="4" t="str">
        <f>IFERROR(__xludf.DUMMYFUNCTION("""COMPUTED_VALUE"""),"Saipos Serviços De Software")</f>
        <v>Saipos Serviços De Software</v>
      </c>
      <c r="P3789" s="33">
        <f>IFERROR(__xludf.DUMMYFUNCTION("""COMPUTED_VALUE"""),1.0)</f>
        <v>1</v>
      </c>
      <c r="Q3789" s="4" t="str">
        <f>IFERROR(__xludf.DUMMYFUNCTION("""COMPUTED_VALUE"""),"Saipos Serviços De Software")</f>
        <v>Saipos Serviços De Software</v>
      </c>
      <c r="R3789" s="33">
        <f>IFERROR(__xludf.DUMMYFUNCTION("""COMPUTED_VALUE"""),1.0)</f>
        <v>1</v>
      </c>
      <c r="S3789" s="4" t="str">
        <f>IFERROR(__xludf.DUMMYFUNCTION("""COMPUTED_VALUE"""),"Saipos Serviços De Software")</f>
        <v>Saipos Serviços De Software</v>
      </c>
      <c r="T3789" s="33">
        <f>IFERROR(__xludf.DUMMYFUNCTION("""COMPUTED_VALUE"""),1.0)</f>
        <v>1</v>
      </c>
      <c r="U3789" s="4" t="str">
        <f>IFERROR(__xludf.DUMMYFUNCTION("""COMPUTED_VALUE"""),"Saipos Serviços De Software")</f>
        <v>Saipos Serviços De Software</v>
      </c>
      <c r="V3789" s="33">
        <f>IFERROR(__xludf.DUMMYFUNCTION("""COMPUTED_VALUE"""),1.0)</f>
        <v>1</v>
      </c>
      <c r="W3789" s="4" t="str">
        <f>IFERROR(__xludf.DUMMYFUNCTION("""COMPUTED_VALUE"""),"Saipos Serviços De Software")</f>
        <v>Saipos Serviços De Software</v>
      </c>
      <c r="X3789" s="33">
        <f>IFERROR(__xludf.DUMMYFUNCTION("""COMPUTED_VALUE"""),1.0)</f>
        <v>1</v>
      </c>
    </row>
    <row r="3790">
      <c r="K3790" s="4" t="str">
        <f>IFERROR(__xludf.DUMMYFUNCTION("""COMPUTED_VALUE"""),"PIZZARIA SANTA PAULA")</f>
        <v>PIZZARIA SANTA PAULA</v>
      </c>
      <c r="L3790" s="32">
        <f>IFERROR(__xludf.DUMMYFUNCTION("""COMPUTED_VALUE"""),3.0)</f>
        <v>3</v>
      </c>
      <c r="M3790" s="4" t="str">
        <f>IFERROR(__xludf.DUMMYFUNCTION("""COMPUTED_VALUE"""),"Saipos Serviços De Software")</f>
        <v>Saipos Serviços De Software</v>
      </c>
      <c r="N3790" s="33">
        <f>IFERROR(__xludf.DUMMYFUNCTION("""COMPUTED_VALUE"""),1.0)</f>
        <v>1</v>
      </c>
      <c r="O3790" s="4" t="str">
        <f>IFERROR(__xludf.DUMMYFUNCTION("""COMPUTED_VALUE"""),"Saipos Serviços De Software")</f>
        <v>Saipos Serviços De Software</v>
      </c>
      <c r="P3790" s="33">
        <f>IFERROR(__xludf.DUMMYFUNCTION("""COMPUTED_VALUE"""),1.0)</f>
        <v>1</v>
      </c>
      <c r="Q3790" s="4" t="str">
        <f>IFERROR(__xludf.DUMMYFUNCTION("""COMPUTED_VALUE"""),"Saipos Serviços De Software")</f>
        <v>Saipos Serviços De Software</v>
      </c>
      <c r="R3790" s="33">
        <f>IFERROR(__xludf.DUMMYFUNCTION("""COMPUTED_VALUE"""),1.0)</f>
        <v>1</v>
      </c>
      <c r="S3790" s="4" t="str">
        <f>IFERROR(__xludf.DUMMYFUNCTION("""COMPUTED_VALUE"""),"Saipos Serviços De Software")</f>
        <v>Saipos Serviços De Software</v>
      </c>
      <c r="T3790" s="33">
        <f>IFERROR(__xludf.DUMMYFUNCTION("""COMPUTED_VALUE"""),1.0)</f>
        <v>1</v>
      </c>
      <c r="U3790" s="4" t="str">
        <f>IFERROR(__xludf.DUMMYFUNCTION("""COMPUTED_VALUE"""),"Saipos Serviços De Software")</f>
        <v>Saipos Serviços De Software</v>
      </c>
      <c r="V3790" s="33">
        <f>IFERROR(__xludf.DUMMYFUNCTION("""COMPUTED_VALUE"""),1.0)</f>
        <v>1</v>
      </c>
      <c r="W3790" s="4" t="str">
        <f>IFERROR(__xludf.DUMMYFUNCTION("""COMPUTED_VALUE"""),"Saipos Serviços De Software")</f>
        <v>Saipos Serviços De Software</v>
      </c>
      <c r="X3790" s="33">
        <f>IFERROR(__xludf.DUMMYFUNCTION("""COMPUTED_VALUE"""),1.0)</f>
        <v>1</v>
      </c>
    </row>
    <row r="3791">
      <c r="K3791" s="4" t="str">
        <f>IFERROR(__xludf.DUMMYFUNCTION("""COMPUTED_VALUE"""),"PIZZARIA SKALONE")</f>
        <v>PIZZARIA SKALONE</v>
      </c>
      <c r="L3791" s="32">
        <f>IFERROR(__xludf.DUMMYFUNCTION("""COMPUTED_VALUE"""),3.0)</f>
        <v>3</v>
      </c>
      <c r="M3791" s="4" t="str">
        <f>IFERROR(__xludf.DUMMYFUNCTION("""COMPUTED_VALUE"""),"Expresso Delivery")</f>
        <v>Expresso Delivery</v>
      </c>
      <c r="N3791" s="33">
        <f>IFERROR(__xludf.DUMMYFUNCTION("""COMPUTED_VALUE"""),0.6666666666666666)</f>
        <v>0.6666666667</v>
      </c>
      <c r="O3791" s="4" t="str">
        <f>IFERROR(__xludf.DUMMYFUNCTION("""COMPUTED_VALUE"""),"Expresso Delivery")</f>
        <v>Expresso Delivery</v>
      </c>
      <c r="P3791" s="33">
        <f>IFERROR(__xludf.DUMMYFUNCTION("""COMPUTED_VALUE"""),1.0)</f>
        <v>1</v>
      </c>
      <c r="Q3791" s="4" t="str">
        <f>IFERROR(__xludf.DUMMYFUNCTION("""COMPUTED_VALUE"""),"Saipos Serviços De Software")</f>
        <v>Saipos Serviços De Software</v>
      </c>
      <c r="R3791" s="33">
        <f>IFERROR(__xludf.DUMMYFUNCTION("""COMPUTED_VALUE"""),1.0)</f>
        <v>1</v>
      </c>
      <c r="S3791" s="4" t="str">
        <f>IFERROR(__xludf.DUMMYFUNCTION("""COMPUTED_VALUE"""),"Saipos Serviços De Software")</f>
        <v>Saipos Serviços De Software</v>
      </c>
      <c r="T3791" s="33">
        <f>IFERROR(__xludf.DUMMYFUNCTION("""COMPUTED_VALUE"""),1.0)</f>
        <v>1</v>
      </c>
      <c r="U3791" s="4" t="str">
        <f>IFERROR(__xludf.DUMMYFUNCTION("""COMPUTED_VALUE"""),"Saipos Serviços De Software")</f>
        <v>Saipos Serviços De Software</v>
      </c>
      <c r="V3791" s="33">
        <f>IFERROR(__xludf.DUMMYFUNCTION("""COMPUTED_VALUE"""),1.0)</f>
        <v>1</v>
      </c>
      <c r="W3791" s="4" t="str">
        <f>IFERROR(__xludf.DUMMYFUNCTION("""COMPUTED_VALUE"""),"Saipos Serviços De Software")</f>
        <v>Saipos Serviços De Software</v>
      </c>
      <c r="X3791" s="33">
        <f>IFERROR(__xludf.DUMMYFUNCTION("""COMPUTED_VALUE"""),1.0)</f>
        <v>1</v>
      </c>
    </row>
    <row r="3792">
      <c r="K3792" s="4" t="str">
        <f>IFERROR(__xludf.DUMMYFUNCTION("""COMPUTED_VALUE"""),"PIZZARIA SPECIALE")</f>
        <v>PIZZARIA SPECIALE</v>
      </c>
      <c r="L3792" s="32">
        <f>IFERROR(__xludf.DUMMYFUNCTION("""COMPUTED_VALUE"""),3.0)</f>
        <v>3</v>
      </c>
      <c r="M3792" s="4" t="str">
        <f>IFERROR(__xludf.DUMMYFUNCTION("""COMPUTED_VALUE"""),"Saipos Serviços De Software")</f>
        <v>Saipos Serviços De Software</v>
      </c>
      <c r="N3792" s="33">
        <f>IFERROR(__xludf.DUMMYFUNCTION("""COMPUTED_VALUE"""),1.0)</f>
        <v>1</v>
      </c>
      <c r="O3792" s="4" t="str">
        <f>IFERROR(__xludf.DUMMYFUNCTION("""COMPUTED_VALUE"""),"Saipos Serviços De Software")</f>
        <v>Saipos Serviços De Software</v>
      </c>
      <c r="P3792" s="33">
        <f>IFERROR(__xludf.DUMMYFUNCTION("""COMPUTED_VALUE"""),1.0)</f>
        <v>1</v>
      </c>
      <c r="Q3792" s="4" t="str">
        <f>IFERROR(__xludf.DUMMYFUNCTION("""COMPUTED_VALUE"""),"Saipos Serviços De Software")</f>
        <v>Saipos Serviços De Software</v>
      </c>
      <c r="R3792" s="33">
        <f>IFERROR(__xludf.DUMMYFUNCTION("""COMPUTED_VALUE"""),1.0)</f>
        <v>1</v>
      </c>
      <c r="S3792" s="4" t="str">
        <f>IFERROR(__xludf.DUMMYFUNCTION("""COMPUTED_VALUE"""),"Saipos Serviços De Software")</f>
        <v>Saipos Serviços De Software</v>
      </c>
      <c r="T3792" s="33">
        <f>IFERROR(__xludf.DUMMYFUNCTION("""COMPUTED_VALUE"""),1.0)</f>
        <v>1</v>
      </c>
      <c r="U3792" s="4" t="str">
        <f>IFERROR(__xludf.DUMMYFUNCTION("""COMPUTED_VALUE"""),"Saipos Serviços De Software")</f>
        <v>Saipos Serviços De Software</v>
      </c>
      <c r="V3792" s="33">
        <f>IFERROR(__xludf.DUMMYFUNCTION("""COMPUTED_VALUE"""),1.0)</f>
        <v>1</v>
      </c>
      <c r="W3792" s="4" t="str">
        <f>IFERROR(__xludf.DUMMYFUNCTION("""COMPUTED_VALUE"""),"Saipos Serviços De Software")</f>
        <v>Saipos Serviços De Software</v>
      </c>
      <c r="X3792" s="33">
        <f>IFERROR(__xludf.DUMMYFUNCTION("""COMPUTED_VALUE"""),1.0)</f>
        <v>1</v>
      </c>
    </row>
    <row r="3793">
      <c r="K3793" s="4" t="str">
        <f>IFERROR(__xludf.DUMMYFUNCTION("""COMPUTED_VALUE"""),"PIZZARIA TROPICANA")</f>
        <v>PIZZARIA TROPICANA</v>
      </c>
      <c r="L3793" s="32">
        <f>IFERROR(__xludf.DUMMYFUNCTION("""COMPUTED_VALUE"""),3.0)</f>
        <v>3</v>
      </c>
      <c r="M3793" s="4" t="str">
        <f>IFERROR(__xludf.DUMMYFUNCTION("""COMPUTED_VALUE"""),"Stone Co.")</f>
        <v>Stone Co.</v>
      </c>
      <c r="N3793" s="33">
        <f>IFERROR(__xludf.DUMMYFUNCTION("""COMPUTED_VALUE"""),1.0)</f>
        <v>1</v>
      </c>
      <c r="O3793" s="4" t="str">
        <f>IFERROR(__xludf.DUMMYFUNCTION("""COMPUTED_VALUE"""),"Stone Co.")</f>
        <v>Stone Co.</v>
      </c>
      <c r="P3793" s="33">
        <f>IFERROR(__xludf.DUMMYFUNCTION("""COMPUTED_VALUE"""),1.0)</f>
        <v>1</v>
      </c>
      <c r="Q3793" s="4" t="str">
        <f>IFERROR(__xludf.DUMMYFUNCTION("""COMPUTED_VALUE"""),"Parseint Desenvolvimento De Sistemas Ltda")</f>
        <v>Parseint Desenvolvimento De Sistemas Ltda</v>
      </c>
      <c r="R3793" s="33">
        <f>IFERROR(__xludf.DUMMYFUNCTION("""COMPUTED_VALUE"""),0.6666666666666666)</f>
        <v>0.6666666667</v>
      </c>
      <c r="S3793" s="4" t="str">
        <f>IFERROR(__xludf.DUMMYFUNCTION("""COMPUTED_VALUE"""),"Parseint Desenvolvimento De Sistemas Ltda")</f>
        <v>Parseint Desenvolvimento De Sistemas Ltda</v>
      </c>
      <c r="T3793" s="33">
        <f>IFERROR(__xludf.DUMMYFUNCTION("""COMPUTED_VALUE"""),1.0)</f>
        <v>1</v>
      </c>
      <c r="U3793" s="4" t="str">
        <f>IFERROR(__xludf.DUMMYFUNCTION("""COMPUTED_VALUE"""),"Parseint Desenvolvimento De Sistemas Ltda")</f>
        <v>Parseint Desenvolvimento De Sistemas Ltda</v>
      </c>
      <c r="V3793" s="33">
        <f>IFERROR(__xludf.DUMMYFUNCTION("""COMPUTED_VALUE"""),1.0)</f>
        <v>1</v>
      </c>
      <c r="W3793" s="4" t="str">
        <f>IFERROR(__xludf.DUMMYFUNCTION("""COMPUTED_VALUE"""),"Parseint Desenvolvimento De Sistemas Ltda")</f>
        <v>Parseint Desenvolvimento De Sistemas Ltda</v>
      </c>
      <c r="X3793" s="33">
        <f>IFERROR(__xludf.DUMMYFUNCTION("""COMPUTED_VALUE"""),1.0)</f>
        <v>1</v>
      </c>
    </row>
    <row r="3794">
      <c r="K3794" s="4" t="str">
        <f>IFERROR(__xludf.DUMMYFUNCTION("""COMPUTED_VALUE"""),"PIZZARIAS SIENA E MASERATI")</f>
        <v>PIZZARIAS SIENA E MASERATI</v>
      </c>
      <c r="L3794" s="32">
        <f>IFERROR(__xludf.DUMMYFUNCTION("""COMPUTED_VALUE"""),3.0)</f>
        <v>3</v>
      </c>
      <c r="M3794" s="4" t="str">
        <f>IFERROR(__xludf.DUMMYFUNCTION("""COMPUTED_VALUE"""),"Cloudfy")</f>
        <v>Cloudfy</v>
      </c>
      <c r="N3794" s="33">
        <f>IFERROR(__xludf.DUMMYFUNCTION("""COMPUTED_VALUE"""),1.0)</f>
        <v>1</v>
      </c>
      <c r="O3794" s="4" t="str">
        <f>IFERROR(__xludf.DUMMYFUNCTION("""COMPUTED_VALUE"""),"Cloudfy")</f>
        <v>Cloudfy</v>
      </c>
      <c r="P3794" s="33">
        <f>IFERROR(__xludf.DUMMYFUNCTION("""COMPUTED_VALUE"""),1.0)</f>
        <v>1</v>
      </c>
      <c r="Q3794" s="4" t="str">
        <f>IFERROR(__xludf.DUMMYFUNCTION("""COMPUTED_VALUE"""),"Cloudfy")</f>
        <v>Cloudfy</v>
      </c>
      <c r="R3794" s="33">
        <f>IFERROR(__xludf.DUMMYFUNCTION("""COMPUTED_VALUE"""),1.0)</f>
        <v>1</v>
      </c>
      <c r="S3794" s="4" t="str">
        <f>IFERROR(__xludf.DUMMYFUNCTION("""COMPUTED_VALUE"""),"Cloudfy")</f>
        <v>Cloudfy</v>
      </c>
      <c r="T3794" s="33">
        <f>IFERROR(__xludf.DUMMYFUNCTION("""COMPUTED_VALUE"""),0.6666666666666666)</f>
        <v>0.6666666667</v>
      </c>
      <c r="U3794" s="4" t="str">
        <f>IFERROR(__xludf.DUMMYFUNCTION("""COMPUTED_VALUE"""),"Cloudfy")</f>
        <v>Cloudfy</v>
      </c>
      <c r="V3794" s="33">
        <f>IFERROR(__xludf.DUMMYFUNCTION("""COMPUTED_VALUE"""),1.0)</f>
        <v>1</v>
      </c>
      <c r="W3794" s="4" t="str">
        <f>IFERROR(__xludf.DUMMYFUNCTION("""COMPUTED_VALUE"""),"Cloudfy")</f>
        <v>Cloudfy</v>
      </c>
      <c r="X3794" s="33">
        <f>IFERROR(__xludf.DUMMYFUNCTION("""COMPUTED_VALUE"""),1.0)</f>
        <v>1</v>
      </c>
    </row>
    <row r="3795">
      <c r="K3795" s="4" t="str">
        <f>IFERROR(__xludf.DUMMYFUNCTION("""COMPUTED_VALUE"""),"PIZZAS FORNALLE")</f>
        <v>PIZZAS FORNALLE</v>
      </c>
      <c r="L3795" s="32">
        <f>IFERROR(__xludf.DUMMYFUNCTION("""COMPUTED_VALUE"""),3.0)</f>
        <v>3</v>
      </c>
      <c r="M3795" s="4" t="str">
        <f>IFERROR(__xludf.DUMMYFUNCTION("""COMPUTED_VALUE"""),"Cardápio Web")</f>
        <v>Cardápio Web</v>
      </c>
      <c r="N3795" s="33">
        <f>IFERROR(__xludf.DUMMYFUNCTION("""COMPUTED_VALUE"""),1.0)</f>
        <v>1</v>
      </c>
      <c r="O3795" s="4" t="str">
        <f>IFERROR(__xludf.DUMMYFUNCTION("""COMPUTED_VALUE"""),"Cardápio Web")</f>
        <v>Cardápio Web</v>
      </c>
      <c r="P3795" s="33">
        <f>IFERROR(__xludf.DUMMYFUNCTION("""COMPUTED_VALUE"""),1.0)</f>
        <v>1</v>
      </c>
      <c r="Q3795" s="4" t="str">
        <f>IFERROR(__xludf.DUMMYFUNCTION("""COMPUTED_VALUE"""),"Cardápio Web")</f>
        <v>Cardápio Web</v>
      </c>
      <c r="R3795" s="33">
        <f>IFERROR(__xludf.DUMMYFUNCTION("""COMPUTED_VALUE"""),1.0)</f>
        <v>1</v>
      </c>
      <c r="S3795" s="4" t="str">
        <f>IFERROR(__xludf.DUMMYFUNCTION("""COMPUTED_VALUE"""),"Cardápio Web")</f>
        <v>Cardápio Web</v>
      </c>
      <c r="T3795" s="33">
        <f>IFERROR(__xludf.DUMMYFUNCTION("""COMPUTED_VALUE"""),1.0)</f>
        <v>1</v>
      </c>
      <c r="U3795" s="4" t="str">
        <f>IFERROR(__xludf.DUMMYFUNCTION("""COMPUTED_VALUE"""),"Cardápio Web")</f>
        <v>Cardápio Web</v>
      </c>
      <c r="V3795" s="33">
        <f>IFERROR(__xludf.DUMMYFUNCTION("""COMPUTED_VALUE"""),1.0)</f>
        <v>1</v>
      </c>
      <c r="W3795" s="4" t="str">
        <f>IFERROR(__xludf.DUMMYFUNCTION("""COMPUTED_VALUE"""),"Cardápio Web")</f>
        <v>Cardápio Web</v>
      </c>
      <c r="X3795" s="33">
        <f>IFERROR(__xludf.DUMMYFUNCTION("""COMPUTED_VALUE"""),1.0)</f>
        <v>1</v>
      </c>
    </row>
    <row r="3796">
      <c r="K3796" s="4" t="str">
        <f>IFERROR(__xludf.DUMMYFUNCTION("""COMPUTED_VALUE"""),"PIZZAYOLO")</f>
        <v>PIZZAYOLO</v>
      </c>
      <c r="L3796" s="32">
        <f>IFERROR(__xludf.DUMMYFUNCTION("""COMPUTED_VALUE"""),3.0)</f>
        <v>3</v>
      </c>
      <c r="M3796" s="4" t="str">
        <f>IFERROR(__xludf.DUMMYFUNCTION("""COMPUTED_VALUE"""),"Saipos Serviços De Software")</f>
        <v>Saipos Serviços De Software</v>
      </c>
      <c r="N3796" s="33">
        <f>IFERROR(__xludf.DUMMYFUNCTION("""COMPUTED_VALUE"""),1.0)</f>
        <v>1</v>
      </c>
      <c r="O3796" s="4" t="str">
        <f>IFERROR(__xludf.DUMMYFUNCTION("""COMPUTED_VALUE"""),"Saipos Serviços De Software")</f>
        <v>Saipos Serviços De Software</v>
      </c>
      <c r="P3796" s="33">
        <f>IFERROR(__xludf.DUMMYFUNCTION("""COMPUTED_VALUE"""),1.0)</f>
        <v>1</v>
      </c>
      <c r="Q3796" s="4" t="str">
        <f>IFERROR(__xludf.DUMMYFUNCTION("""COMPUTED_VALUE"""),"Saipos Serviços De Software")</f>
        <v>Saipos Serviços De Software</v>
      </c>
      <c r="R3796" s="33">
        <f>IFERROR(__xludf.DUMMYFUNCTION("""COMPUTED_VALUE"""),1.0)</f>
        <v>1</v>
      </c>
      <c r="S3796" s="4" t="str">
        <f>IFERROR(__xludf.DUMMYFUNCTION("""COMPUTED_VALUE"""),"Saipos Serviços De Software")</f>
        <v>Saipos Serviços De Software</v>
      </c>
      <c r="T3796" s="33">
        <f>IFERROR(__xludf.DUMMYFUNCTION("""COMPUTED_VALUE"""),1.0)</f>
        <v>1</v>
      </c>
      <c r="U3796" s="4" t="str">
        <f>IFERROR(__xludf.DUMMYFUNCTION("""COMPUTED_VALUE"""),"Saipos Serviços De Software")</f>
        <v>Saipos Serviços De Software</v>
      </c>
      <c r="V3796" s="33">
        <f>IFERROR(__xludf.DUMMYFUNCTION("""COMPUTED_VALUE"""),1.0)</f>
        <v>1</v>
      </c>
      <c r="W3796" s="4" t="str">
        <f>IFERROR(__xludf.DUMMYFUNCTION("""COMPUTED_VALUE"""),"Saipos Serviços De Software")</f>
        <v>Saipos Serviços De Software</v>
      </c>
      <c r="X3796" s="33">
        <f>IFERROR(__xludf.DUMMYFUNCTION("""COMPUTED_VALUE"""),1.0)</f>
        <v>1</v>
      </c>
    </row>
    <row r="3797">
      <c r="K3797" s="4" t="str">
        <f>IFERROR(__xludf.DUMMYFUNCTION("""COMPUTED_VALUE"""),"PLAYBOYBURGUER")</f>
        <v>PLAYBOYBURGUER</v>
      </c>
      <c r="L3797" s="32">
        <f>IFERROR(__xludf.DUMMYFUNCTION("""COMPUTED_VALUE"""),3.0)</f>
        <v>3</v>
      </c>
      <c r="M3797" s="4" t="str">
        <f>IFERROR(__xludf.DUMMYFUNCTION("""COMPUTED_VALUE"""),"null")</f>
        <v>null</v>
      </c>
      <c r="N3797" s="33">
        <f>IFERROR(__xludf.DUMMYFUNCTION("""COMPUTED_VALUE"""),0.6666666666666666)</f>
        <v>0.6666666667</v>
      </c>
      <c r="O3797" s="4" t="str">
        <f>IFERROR(__xludf.DUMMYFUNCTION("""COMPUTED_VALUE"""),"null")</f>
        <v>null</v>
      </c>
      <c r="P3797" s="33">
        <f>IFERROR(__xludf.DUMMYFUNCTION("""COMPUTED_VALUE"""),0.6666666666666666)</f>
        <v>0.6666666667</v>
      </c>
      <c r="Q3797" s="4" t="str">
        <f>IFERROR(__xludf.DUMMYFUNCTION("""COMPUTED_VALUE"""),"Cardápio Web")</f>
        <v>Cardápio Web</v>
      </c>
      <c r="R3797" s="33">
        <f>IFERROR(__xludf.DUMMYFUNCTION("""COMPUTED_VALUE"""),1.0)</f>
        <v>1</v>
      </c>
      <c r="S3797" s="4" t="str">
        <f>IFERROR(__xludf.DUMMYFUNCTION("""COMPUTED_VALUE"""),"Cardápio Web")</f>
        <v>Cardápio Web</v>
      </c>
      <c r="T3797" s="33">
        <f>IFERROR(__xludf.DUMMYFUNCTION("""COMPUTED_VALUE"""),1.0)</f>
        <v>1</v>
      </c>
      <c r="U3797" s="4" t="str">
        <f>IFERROR(__xludf.DUMMYFUNCTION("""COMPUTED_VALUE"""),"Cardápio Web")</f>
        <v>Cardápio Web</v>
      </c>
      <c r="V3797" s="33">
        <f>IFERROR(__xludf.DUMMYFUNCTION("""COMPUTED_VALUE"""),1.0)</f>
        <v>1</v>
      </c>
      <c r="W3797" s="4" t="str">
        <f>IFERROR(__xludf.DUMMYFUNCTION("""COMPUTED_VALUE"""),"Cardápio Web")</f>
        <v>Cardápio Web</v>
      </c>
      <c r="X3797" s="33">
        <f>IFERROR(__xludf.DUMMYFUNCTION("""COMPUTED_VALUE"""),0.6666666666666666)</f>
        <v>0.6666666667</v>
      </c>
    </row>
    <row r="3798">
      <c r="K3798" s="4" t="str">
        <f>IFERROR(__xludf.DUMMYFUNCTION("""COMPUTED_VALUE"""),"PLEIN CONTA PAI")</f>
        <v>PLEIN CONTA PAI</v>
      </c>
      <c r="L3798" s="32">
        <f>IFERROR(__xludf.DUMMYFUNCTION("""COMPUTED_VALUE"""),3.0)</f>
        <v>3</v>
      </c>
      <c r="M3798" s="4" t="str">
        <f>IFERROR(__xludf.DUMMYFUNCTION("""COMPUTED_VALUE"""),"Sagres Automação Comercial")</f>
        <v>Sagres Automação Comercial</v>
      </c>
      <c r="N3798" s="33">
        <f>IFERROR(__xludf.DUMMYFUNCTION("""COMPUTED_VALUE"""),0.6666666666666666)</f>
        <v>0.6666666667</v>
      </c>
      <c r="O3798" s="4" t="str">
        <f>IFERROR(__xludf.DUMMYFUNCTION("""COMPUTED_VALUE"""),"null")</f>
        <v>null</v>
      </c>
      <c r="P3798" s="33">
        <f>IFERROR(__xludf.DUMMYFUNCTION("""COMPUTED_VALUE"""),1.0)</f>
        <v>1</v>
      </c>
      <c r="Q3798" s="4" t="str">
        <f>IFERROR(__xludf.DUMMYFUNCTION("""COMPUTED_VALUE"""),"null")</f>
        <v>null</v>
      </c>
      <c r="R3798" s="33">
        <f>IFERROR(__xludf.DUMMYFUNCTION("""COMPUTED_VALUE"""),0.6666666666666666)</f>
        <v>0.6666666667</v>
      </c>
      <c r="S3798" s="4" t="str">
        <f>IFERROR(__xludf.DUMMYFUNCTION("""COMPUTED_VALUE"""),"Sagres Automação Comercial")</f>
        <v>Sagres Automação Comercial</v>
      </c>
      <c r="T3798" s="33">
        <f>IFERROR(__xludf.DUMMYFUNCTION("""COMPUTED_VALUE"""),0.6666666666666666)</f>
        <v>0.6666666667</v>
      </c>
      <c r="U3798" s="4" t="str">
        <f>IFERROR(__xludf.DUMMYFUNCTION("""COMPUTED_VALUE"""),"Sagres Automação Comercial")</f>
        <v>Sagres Automação Comercial</v>
      </c>
      <c r="V3798" s="33">
        <f>IFERROR(__xludf.DUMMYFUNCTION("""COMPUTED_VALUE"""),0.6666666666666666)</f>
        <v>0.6666666667</v>
      </c>
      <c r="W3798" s="4" t="str">
        <f>IFERROR(__xludf.DUMMYFUNCTION("""COMPUTED_VALUE"""),"Sagres Automação Comercial")</f>
        <v>Sagres Automação Comercial</v>
      </c>
      <c r="X3798" s="33">
        <f>IFERROR(__xludf.DUMMYFUNCTION("""COMPUTED_VALUE"""),1.0)</f>
        <v>1</v>
      </c>
    </row>
    <row r="3799">
      <c r="K3799" s="4" t="str">
        <f>IFERROR(__xludf.DUMMYFUNCTION("""COMPUTED_VALUE"""),"PODRAO BURGUER")</f>
        <v>PODRAO BURGUER</v>
      </c>
      <c r="L3799" s="32">
        <f>IFERROR(__xludf.DUMMYFUNCTION("""COMPUTED_VALUE"""),3.0)</f>
        <v>3</v>
      </c>
      <c r="M3799" s="4" t="str">
        <f>IFERROR(__xludf.DUMMYFUNCTION("""COMPUTED_VALUE"""),"Saipos Serviços De Software")</f>
        <v>Saipos Serviços De Software</v>
      </c>
      <c r="N3799" s="33">
        <f>IFERROR(__xludf.DUMMYFUNCTION("""COMPUTED_VALUE"""),0.6666666666666666)</f>
        <v>0.6666666667</v>
      </c>
      <c r="O3799" s="4" t="str">
        <f>IFERROR(__xludf.DUMMYFUNCTION("""COMPUTED_VALUE"""),"Saipos Serviços De Software")</f>
        <v>Saipos Serviços De Software</v>
      </c>
      <c r="P3799" s="33">
        <f>IFERROR(__xludf.DUMMYFUNCTION("""COMPUTED_VALUE"""),0.6666666666666666)</f>
        <v>0.6666666667</v>
      </c>
      <c r="Q3799" s="4" t="str">
        <f>IFERROR(__xludf.DUMMYFUNCTION("""COMPUTED_VALUE"""),"Saipos Serviços De Software")</f>
        <v>Saipos Serviços De Software</v>
      </c>
      <c r="R3799" s="33">
        <f>IFERROR(__xludf.DUMMYFUNCTION("""COMPUTED_VALUE"""),0.6666666666666666)</f>
        <v>0.6666666667</v>
      </c>
      <c r="S3799" s="4" t="str">
        <f>IFERROR(__xludf.DUMMYFUNCTION("""COMPUTED_VALUE"""),"Saipos Serviços De Software")</f>
        <v>Saipos Serviços De Software</v>
      </c>
      <c r="T3799" s="33">
        <f>IFERROR(__xludf.DUMMYFUNCTION("""COMPUTED_VALUE"""),0.6666666666666666)</f>
        <v>0.6666666667</v>
      </c>
      <c r="U3799" s="4" t="str">
        <f>IFERROR(__xludf.DUMMYFUNCTION("""COMPUTED_VALUE"""),"Saipos Serviços De Software")</f>
        <v>Saipos Serviços De Software</v>
      </c>
      <c r="V3799" s="33">
        <f>IFERROR(__xludf.DUMMYFUNCTION("""COMPUTED_VALUE"""),1.0)</f>
        <v>1</v>
      </c>
      <c r="W3799" s="4" t="str">
        <f>IFERROR(__xludf.DUMMYFUNCTION("""COMPUTED_VALUE"""),"Saipos Serviços De Software")</f>
        <v>Saipos Serviços De Software</v>
      </c>
      <c r="X3799" s="33">
        <f>IFERROR(__xludf.DUMMYFUNCTION("""COMPUTED_VALUE"""),1.0)</f>
        <v>1</v>
      </c>
    </row>
    <row r="3800">
      <c r="K3800" s="4" t="str">
        <f>IFERROR(__xludf.DUMMYFUNCTION("""COMPUTED_VALUE"""),"POINT TEMAKI")</f>
        <v>POINT TEMAKI</v>
      </c>
      <c r="L3800" s="32">
        <f>IFERROR(__xludf.DUMMYFUNCTION("""COMPUTED_VALUE"""),3.0)</f>
        <v>3</v>
      </c>
      <c r="M3800" s="4" t="str">
        <f>IFERROR(__xludf.DUMMYFUNCTION("""COMPUTED_VALUE"""),"null")</f>
        <v>null</v>
      </c>
      <c r="N3800" s="33">
        <f>IFERROR(__xludf.DUMMYFUNCTION("""COMPUTED_VALUE"""),1.0)</f>
        <v>1</v>
      </c>
      <c r="O3800" s="4" t="str">
        <f>IFERROR(__xludf.DUMMYFUNCTION("""COMPUTED_VALUE"""),"null")</f>
        <v>null</v>
      </c>
      <c r="P3800" s="33">
        <f>IFERROR(__xludf.DUMMYFUNCTION("""COMPUTED_VALUE"""),1.0)</f>
        <v>1</v>
      </c>
      <c r="Q3800" s="4" t="str">
        <f>IFERROR(__xludf.DUMMYFUNCTION("""COMPUTED_VALUE"""),"Saipos Serviços De Software")</f>
        <v>Saipos Serviços De Software</v>
      </c>
      <c r="R3800" s="33">
        <f>IFERROR(__xludf.DUMMYFUNCTION("""COMPUTED_VALUE"""),1.0)</f>
        <v>1</v>
      </c>
      <c r="S3800" s="4" t="str">
        <f>IFERROR(__xludf.DUMMYFUNCTION("""COMPUTED_VALUE"""),"Saipos Serviços De Software")</f>
        <v>Saipos Serviços De Software</v>
      </c>
      <c r="T3800" s="33">
        <f>IFERROR(__xludf.DUMMYFUNCTION("""COMPUTED_VALUE"""),1.0)</f>
        <v>1</v>
      </c>
      <c r="U3800" s="4" t="str">
        <f>IFERROR(__xludf.DUMMYFUNCTION("""COMPUTED_VALUE"""),"Saipos Serviços De Software")</f>
        <v>Saipos Serviços De Software</v>
      </c>
      <c r="V3800" s="33">
        <f>IFERROR(__xludf.DUMMYFUNCTION("""COMPUTED_VALUE"""),1.0)</f>
        <v>1</v>
      </c>
      <c r="W3800" s="4" t="str">
        <f>IFERROR(__xludf.DUMMYFUNCTION("""COMPUTED_VALUE"""),"Saipos Serviços De Software")</f>
        <v>Saipos Serviços De Software</v>
      </c>
      <c r="X3800" s="33">
        <f>IFERROR(__xludf.DUMMYFUNCTION("""COMPUTED_VALUE"""),1.0)</f>
        <v>1</v>
      </c>
    </row>
    <row r="3801">
      <c r="K3801" s="4" t="str">
        <f>IFERROR(__xludf.DUMMYFUNCTION("""COMPUTED_VALUE"""),"POMPEIAS BURGER")</f>
        <v>POMPEIAS BURGER</v>
      </c>
      <c r="L3801" s="32">
        <f>IFERROR(__xludf.DUMMYFUNCTION("""COMPUTED_VALUE"""),3.0)</f>
        <v>3</v>
      </c>
      <c r="M3801" s="4" t="str">
        <f>IFERROR(__xludf.DUMMYFUNCTION("""COMPUTED_VALUE"""),"Tdp Sistemas De Informação")</f>
        <v>Tdp Sistemas De Informação</v>
      </c>
      <c r="N3801" s="33">
        <f>IFERROR(__xludf.DUMMYFUNCTION("""COMPUTED_VALUE"""),0.6666666666666666)</f>
        <v>0.6666666667</v>
      </c>
      <c r="O3801" s="4" t="str">
        <f>IFERROR(__xludf.DUMMYFUNCTION("""COMPUTED_VALUE"""),"Tdp Sistemas De Informação")</f>
        <v>Tdp Sistemas De Informação</v>
      </c>
      <c r="P3801" s="33">
        <f>IFERROR(__xludf.DUMMYFUNCTION("""COMPUTED_VALUE"""),1.0)</f>
        <v>1</v>
      </c>
      <c r="Q3801" s="4" t="str">
        <f>IFERROR(__xludf.DUMMYFUNCTION("""COMPUTED_VALUE"""),"null")</f>
        <v>null</v>
      </c>
      <c r="R3801" s="33">
        <f>IFERROR(__xludf.DUMMYFUNCTION("""COMPUTED_VALUE"""),0.6666666666666666)</f>
        <v>0.6666666667</v>
      </c>
      <c r="S3801" s="4" t="str">
        <f>IFERROR(__xludf.DUMMYFUNCTION("""COMPUTED_VALUE"""),"null")</f>
        <v>null</v>
      </c>
      <c r="T3801" s="33">
        <f>IFERROR(__xludf.DUMMYFUNCTION("""COMPUTED_VALUE"""),0.6666666666666666)</f>
        <v>0.6666666667</v>
      </c>
      <c r="U3801" s="4" t="str">
        <f>IFERROR(__xludf.DUMMYFUNCTION("""COMPUTED_VALUE"""),"null")</f>
        <v>null</v>
      </c>
      <c r="V3801" s="33">
        <f>IFERROR(__xludf.DUMMYFUNCTION("""COMPUTED_VALUE"""),0.6666666666666666)</f>
        <v>0.6666666667</v>
      </c>
      <c r="W3801" s="4" t="str">
        <f>IFERROR(__xludf.DUMMYFUNCTION("""COMPUTED_VALUE"""),"Tdp Sistemas De Informação")</f>
        <v>Tdp Sistemas De Informação</v>
      </c>
      <c r="X3801" s="33">
        <f>IFERROR(__xludf.DUMMYFUNCTION("""COMPUTED_VALUE"""),0.6666666666666666)</f>
        <v>0.6666666667</v>
      </c>
    </row>
    <row r="3802">
      <c r="K3802" s="4" t="str">
        <f>IFERROR(__xludf.DUMMYFUNCTION("""COMPUTED_VALUE"""),"PONTO CHIC SP")</f>
        <v>PONTO CHIC SP</v>
      </c>
      <c r="L3802" s="32">
        <f>IFERROR(__xludf.DUMMYFUNCTION("""COMPUTED_VALUE"""),3.0)</f>
        <v>3</v>
      </c>
      <c r="M3802" s="4" t="str">
        <f>IFERROR(__xludf.DUMMYFUNCTION("""COMPUTED_VALUE"""),"Jaxtech")</f>
        <v>Jaxtech</v>
      </c>
      <c r="N3802" s="33">
        <f>IFERROR(__xludf.DUMMYFUNCTION("""COMPUTED_VALUE"""),0.6666666666666666)</f>
        <v>0.6666666667</v>
      </c>
      <c r="O3802" s="4" t="str">
        <f>IFERROR(__xludf.DUMMYFUNCTION("""COMPUTED_VALUE"""),"Jaxtech")</f>
        <v>Jaxtech</v>
      </c>
      <c r="P3802" s="33">
        <f>IFERROR(__xludf.DUMMYFUNCTION("""COMPUTED_VALUE"""),0.3333333333333333)</f>
        <v>0.3333333333</v>
      </c>
      <c r="Q3802" s="4" t="str">
        <f>IFERROR(__xludf.DUMMYFUNCTION("""COMPUTED_VALUE"""),"null")</f>
        <v>null</v>
      </c>
      <c r="R3802" s="33">
        <f>IFERROR(__xludf.DUMMYFUNCTION("""COMPUTED_VALUE"""),0.6666666666666666)</f>
        <v>0.6666666667</v>
      </c>
      <c r="S3802" s="4" t="str">
        <f>IFERROR(__xludf.DUMMYFUNCTION("""COMPUTED_VALUE"""),"Jaxtech")</f>
        <v>Jaxtech</v>
      </c>
      <c r="T3802" s="33">
        <f>IFERROR(__xludf.DUMMYFUNCTION("""COMPUTED_VALUE"""),0.3333333333333333)</f>
        <v>0.3333333333</v>
      </c>
      <c r="U3802" s="4" t="str">
        <f>IFERROR(__xludf.DUMMYFUNCTION("""COMPUTED_VALUE"""),"null")</f>
        <v>null</v>
      </c>
      <c r="V3802" s="33">
        <f>IFERROR(__xludf.DUMMYFUNCTION("""COMPUTED_VALUE"""),0.6666666666666666)</f>
        <v>0.6666666667</v>
      </c>
      <c r="W3802" s="4" t="str">
        <f>IFERROR(__xludf.DUMMYFUNCTION("""COMPUTED_VALUE"""),"Jaxtech")</f>
        <v>Jaxtech</v>
      </c>
      <c r="X3802" s="33">
        <f>IFERROR(__xludf.DUMMYFUNCTION("""COMPUTED_VALUE"""),0.6666666666666666)</f>
        <v>0.6666666667</v>
      </c>
    </row>
    <row r="3803">
      <c r="K3803" s="4" t="str">
        <f>IFERROR(__xludf.DUMMYFUNCTION("""COMPUTED_VALUE"""),"PONTO DO ACAI BETIM")</f>
        <v>PONTO DO ACAI BETIM</v>
      </c>
      <c r="L3803" s="32">
        <f>IFERROR(__xludf.DUMMYFUNCTION("""COMPUTED_VALUE"""),3.0)</f>
        <v>3</v>
      </c>
      <c r="M3803" s="4" t="str">
        <f>IFERROR(__xludf.DUMMYFUNCTION("""COMPUTED_VALUE"""),"Saipos Serviços De Software")</f>
        <v>Saipos Serviços De Software</v>
      </c>
      <c r="N3803" s="33">
        <f>IFERROR(__xludf.DUMMYFUNCTION("""COMPUTED_VALUE"""),1.0)</f>
        <v>1</v>
      </c>
      <c r="O3803" s="4" t="str">
        <f>IFERROR(__xludf.DUMMYFUNCTION("""COMPUTED_VALUE"""),"Cardápio Web")</f>
        <v>Cardápio Web</v>
      </c>
      <c r="P3803" s="33">
        <f>IFERROR(__xludf.DUMMYFUNCTION("""COMPUTED_VALUE"""),0.6666666666666666)</f>
        <v>0.6666666667</v>
      </c>
      <c r="Q3803" s="4" t="str">
        <f>IFERROR(__xludf.DUMMYFUNCTION("""COMPUTED_VALUE"""),"Cardápio Web")</f>
        <v>Cardápio Web</v>
      </c>
      <c r="R3803" s="33">
        <f>IFERROR(__xludf.DUMMYFUNCTION("""COMPUTED_VALUE"""),0.6666666666666666)</f>
        <v>0.6666666667</v>
      </c>
      <c r="S3803" s="4" t="str">
        <f>IFERROR(__xludf.DUMMYFUNCTION("""COMPUTED_VALUE"""),"Cardápio Web")</f>
        <v>Cardápio Web</v>
      </c>
      <c r="T3803" s="33">
        <f>IFERROR(__xludf.DUMMYFUNCTION("""COMPUTED_VALUE"""),1.0)</f>
        <v>1</v>
      </c>
      <c r="U3803" s="4" t="str">
        <f>IFERROR(__xludf.DUMMYFUNCTION("""COMPUTED_VALUE"""),"Cardápio Web")</f>
        <v>Cardápio Web</v>
      </c>
      <c r="V3803" s="33">
        <f>IFERROR(__xludf.DUMMYFUNCTION("""COMPUTED_VALUE"""),1.0)</f>
        <v>1</v>
      </c>
      <c r="W3803" s="4" t="str">
        <f>IFERROR(__xludf.DUMMYFUNCTION("""COMPUTED_VALUE"""),"Cardápio Web")</f>
        <v>Cardápio Web</v>
      </c>
      <c r="X3803" s="33">
        <f>IFERROR(__xludf.DUMMYFUNCTION("""COMPUTED_VALUE"""),1.0)</f>
        <v>1</v>
      </c>
    </row>
    <row r="3804">
      <c r="K3804" s="4" t="str">
        <f>IFERROR(__xludf.DUMMYFUNCTION("""COMPUTED_VALUE"""),"PORCINI")</f>
        <v>PORCINI</v>
      </c>
      <c r="L3804" s="32">
        <f>IFERROR(__xludf.DUMMYFUNCTION("""COMPUTED_VALUE"""),3.0)</f>
        <v>3</v>
      </c>
      <c r="M3804" s="4" t="str">
        <f>IFERROR(__xludf.DUMMYFUNCTION("""COMPUTED_VALUE"""),"Softwar")</f>
        <v>Softwar</v>
      </c>
      <c r="N3804" s="33">
        <f>IFERROR(__xludf.DUMMYFUNCTION("""COMPUTED_VALUE"""),1.0)</f>
        <v>1</v>
      </c>
      <c r="O3804" s="4" t="str">
        <f>IFERROR(__xludf.DUMMYFUNCTION("""COMPUTED_VALUE"""),"Softwar")</f>
        <v>Softwar</v>
      </c>
      <c r="P3804" s="33">
        <f>IFERROR(__xludf.DUMMYFUNCTION("""COMPUTED_VALUE"""),1.0)</f>
        <v>1</v>
      </c>
      <c r="Q3804" s="4" t="str">
        <f>IFERROR(__xludf.DUMMYFUNCTION("""COMPUTED_VALUE"""),"Softwar")</f>
        <v>Softwar</v>
      </c>
      <c r="R3804" s="33">
        <f>IFERROR(__xludf.DUMMYFUNCTION("""COMPUTED_VALUE"""),1.0)</f>
        <v>1</v>
      </c>
      <c r="S3804" s="4" t="str">
        <f>IFERROR(__xludf.DUMMYFUNCTION("""COMPUTED_VALUE"""),"Softwar")</f>
        <v>Softwar</v>
      </c>
      <c r="T3804" s="33">
        <f>IFERROR(__xludf.DUMMYFUNCTION("""COMPUTED_VALUE"""),1.0)</f>
        <v>1</v>
      </c>
      <c r="U3804" s="4" t="str">
        <f>IFERROR(__xludf.DUMMYFUNCTION("""COMPUTED_VALUE"""),"Softwar")</f>
        <v>Softwar</v>
      </c>
      <c r="V3804" s="33">
        <f>IFERROR(__xludf.DUMMYFUNCTION("""COMPUTED_VALUE"""),1.0)</f>
        <v>1</v>
      </c>
      <c r="W3804" s="4" t="str">
        <f>IFERROR(__xludf.DUMMYFUNCTION("""COMPUTED_VALUE"""),"Softwar")</f>
        <v>Softwar</v>
      </c>
      <c r="X3804" s="33">
        <f>IFERROR(__xludf.DUMMYFUNCTION("""COMPUTED_VALUE"""),1.0)</f>
        <v>1</v>
      </c>
    </row>
    <row r="3805">
      <c r="K3805" s="4" t="str">
        <f>IFERROR(__xludf.DUMMYFUNCTION("""COMPUTED_VALUE"""),"PORCINI - CONTA MARCA")</f>
        <v>PORCINI - CONTA MARCA</v>
      </c>
      <c r="L3805" s="32">
        <f>IFERROR(__xludf.DUMMYFUNCTION("""COMPUTED_VALUE"""),3.0)</f>
        <v>3</v>
      </c>
      <c r="M3805" s="4" t="str">
        <f>IFERROR(__xludf.DUMMYFUNCTION("""COMPUTED_VALUE"""),"Softwar")</f>
        <v>Softwar</v>
      </c>
      <c r="N3805" s="33">
        <f>IFERROR(__xludf.DUMMYFUNCTION("""COMPUTED_VALUE"""),1.0)</f>
        <v>1</v>
      </c>
      <c r="O3805" s="4" t="str">
        <f>IFERROR(__xludf.DUMMYFUNCTION("""COMPUTED_VALUE"""),"Softwar")</f>
        <v>Softwar</v>
      </c>
      <c r="P3805" s="33">
        <f>IFERROR(__xludf.DUMMYFUNCTION("""COMPUTED_VALUE"""),1.0)</f>
        <v>1</v>
      </c>
      <c r="Q3805" s="4" t="str">
        <f>IFERROR(__xludf.DUMMYFUNCTION("""COMPUTED_VALUE"""),"Softwar")</f>
        <v>Softwar</v>
      </c>
      <c r="R3805" s="33">
        <f>IFERROR(__xludf.DUMMYFUNCTION("""COMPUTED_VALUE"""),1.0)</f>
        <v>1</v>
      </c>
      <c r="S3805" s="4" t="str">
        <f>IFERROR(__xludf.DUMMYFUNCTION("""COMPUTED_VALUE"""),"Softwar")</f>
        <v>Softwar</v>
      </c>
      <c r="T3805" s="33">
        <f>IFERROR(__xludf.DUMMYFUNCTION("""COMPUTED_VALUE"""),1.0)</f>
        <v>1</v>
      </c>
      <c r="U3805" s="4" t="str">
        <f>IFERROR(__xludf.DUMMYFUNCTION("""COMPUTED_VALUE"""),"Softwar")</f>
        <v>Softwar</v>
      </c>
      <c r="V3805" s="33">
        <f>IFERROR(__xludf.DUMMYFUNCTION("""COMPUTED_VALUE"""),1.0)</f>
        <v>1</v>
      </c>
      <c r="W3805" s="4" t="str">
        <f>IFERROR(__xludf.DUMMYFUNCTION("""COMPUTED_VALUE"""),"Softwar")</f>
        <v>Softwar</v>
      </c>
      <c r="X3805" s="33">
        <f>IFERROR(__xludf.DUMMYFUNCTION("""COMPUTED_VALUE"""),1.0)</f>
        <v>1</v>
      </c>
    </row>
    <row r="3806">
      <c r="K3806" s="4" t="str">
        <f>IFERROR(__xludf.DUMMYFUNCTION("""COMPUTED_VALUE"""),"PORCO ATREVIDO")</f>
        <v>PORCO ATREVIDO</v>
      </c>
      <c r="L3806" s="32">
        <f>IFERROR(__xludf.DUMMYFUNCTION("""COMPUTED_VALUE"""),3.0)</f>
        <v>3</v>
      </c>
      <c r="M3806" s="4" t="str">
        <f>IFERROR(__xludf.DUMMYFUNCTION("""COMPUTED_VALUE"""),"Luol Informática E Tecnologia")</f>
        <v>Luol Informática E Tecnologia</v>
      </c>
      <c r="N3806" s="33">
        <f>IFERROR(__xludf.DUMMYFUNCTION("""COMPUTED_VALUE"""),1.0)</f>
        <v>1</v>
      </c>
      <c r="O3806" s="4" t="str">
        <f>IFERROR(__xludf.DUMMYFUNCTION("""COMPUTED_VALUE"""),"Luol Informática E Tecnologia")</f>
        <v>Luol Informática E Tecnologia</v>
      </c>
      <c r="P3806" s="33">
        <f>IFERROR(__xludf.DUMMYFUNCTION("""COMPUTED_VALUE"""),1.0)</f>
        <v>1</v>
      </c>
      <c r="Q3806" s="4" t="str">
        <f>IFERROR(__xludf.DUMMYFUNCTION("""COMPUTED_VALUE"""),"Luol Informática E Tecnologia")</f>
        <v>Luol Informática E Tecnologia</v>
      </c>
      <c r="R3806" s="33">
        <f>IFERROR(__xludf.DUMMYFUNCTION("""COMPUTED_VALUE"""),1.0)</f>
        <v>1</v>
      </c>
      <c r="S3806" s="4" t="str">
        <f>IFERROR(__xludf.DUMMYFUNCTION("""COMPUTED_VALUE"""),"Luol Informática E Tecnologia")</f>
        <v>Luol Informática E Tecnologia</v>
      </c>
      <c r="T3806" s="33">
        <f>IFERROR(__xludf.DUMMYFUNCTION("""COMPUTED_VALUE"""),1.0)</f>
        <v>1</v>
      </c>
      <c r="U3806" s="4" t="str">
        <f>IFERROR(__xludf.DUMMYFUNCTION("""COMPUTED_VALUE"""),"Luol Informática E Tecnologia")</f>
        <v>Luol Informática E Tecnologia</v>
      </c>
      <c r="V3806" s="33">
        <f>IFERROR(__xludf.DUMMYFUNCTION("""COMPUTED_VALUE"""),1.0)</f>
        <v>1</v>
      </c>
      <c r="W3806" s="4" t="str">
        <f>IFERROR(__xludf.DUMMYFUNCTION("""COMPUTED_VALUE"""),"Luol Informática E Tecnologia")</f>
        <v>Luol Informática E Tecnologia</v>
      </c>
      <c r="X3806" s="33">
        <f>IFERROR(__xludf.DUMMYFUNCTION("""COMPUTED_VALUE"""),1.0)</f>
        <v>1</v>
      </c>
    </row>
    <row r="3807">
      <c r="K3807" s="4" t="str">
        <f>IFERROR(__xludf.DUMMYFUNCTION("""COMPUTED_VALUE"""),"PRECO BAIXO MEIO A MEIO - CONTA MARCA")</f>
        <v>PRECO BAIXO MEIO A MEIO - CONTA MARCA</v>
      </c>
      <c r="L3807" s="32">
        <f>IFERROR(__xludf.DUMMYFUNCTION("""COMPUTED_VALUE"""),3.0)</f>
        <v>3</v>
      </c>
      <c r="M3807" s="4" t="str">
        <f>IFERROR(__xludf.DUMMYFUNCTION("""COMPUTED_VALUE"""),"N/A (Not found)")</f>
        <v>N/A (Not found)</v>
      </c>
      <c r="N3807" s="33">
        <f>IFERROR(__xludf.DUMMYFUNCTION("""COMPUTED_VALUE"""),1.0)</f>
        <v>1</v>
      </c>
      <c r="O3807" s="4" t="str">
        <f>IFERROR(__xludf.DUMMYFUNCTION("""COMPUTED_VALUE"""),"N/A (Not found)")</f>
        <v>N/A (Not found)</v>
      </c>
      <c r="P3807" s="33">
        <f>IFERROR(__xludf.DUMMYFUNCTION("""COMPUTED_VALUE"""),1.0)</f>
        <v>1</v>
      </c>
      <c r="Q3807" s="4" t="str">
        <f>IFERROR(__xludf.DUMMYFUNCTION("""COMPUTED_VALUE"""),"N/A (Not found)")</f>
        <v>N/A (Not found)</v>
      </c>
      <c r="R3807" s="33">
        <f>IFERROR(__xludf.DUMMYFUNCTION("""COMPUTED_VALUE"""),1.0)</f>
        <v>1</v>
      </c>
      <c r="S3807" s="4" t="str">
        <f>IFERROR(__xludf.DUMMYFUNCTION("""COMPUTED_VALUE"""),"N/A (Not found)")</f>
        <v>N/A (Not found)</v>
      </c>
      <c r="T3807" s="33">
        <f>IFERROR(__xludf.DUMMYFUNCTION("""COMPUTED_VALUE"""),1.0)</f>
        <v>1</v>
      </c>
      <c r="U3807" s="4" t="str">
        <f>IFERROR(__xludf.DUMMYFUNCTION("""COMPUTED_VALUE"""),"N/A (Not found)")</f>
        <v>N/A (Not found)</v>
      </c>
      <c r="V3807" s="33">
        <f>IFERROR(__xludf.DUMMYFUNCTION("""COMPUTED_VALUE"""),1.0)</f>
        <v>1</v>
      </c>
      <c r="W3807" s="4" t="str">
        <f>IFERROR(__xludf.DUMMYFUNCTION("""COMPUTED_VALUE"""),"N/A (Not found)")</f>
        <v>N/A (Not found)</v>
      </c>
      <c r="X3807" s="33">
        <f>IFERROR(__xludf.DUMMYFUNCTION("""COMPUTED_VALUE"""),1.0)</f>
        <v>1</v>
      </c>
    </row>
    <row r="3808">
      <c r="K3808" s="4" t="str">
        <f>IFERROR(__xludf.DUMMYFUNCTION("""COMPUTED_VALUE"""),"PREFERITO MARCA")</f>
        <v>PREFERITO MARCA</v>
      </c>
      <c r="L3808" s="32">
        <f>IFERROR(__xludf.DUMMYFUNCTION("""COMPUTED_VALUE"""),3.0)</f>
        <v>3</v>
      </c>
      <c r="M3808" s="4" t="str">
        <f>IFERROR(__xludf.DUMMYFUNCTION("""COMPUTED_VALUE"""),"Consumer Soluções Em Tecnologia Ltda")</f>
        <v>Consumer Soluções Em Tecnologia Ltda</v>
      </c>
      <c r="N3808" s="33">
        <f>IFERROR(__xludf.DUMMYFUNCTION("""COMPUTED_VALUE"""),0.6666666666666666)</f>
        <v>0.6666666667</v>
      </c>
      <c r="O3808" s="4" t="str">
        <f>IFERROR(__xludf.DUMMYFUNCTION("""COMPUTED_VALUE"""),"null")</f>
        <v>null</v>
      </c>
      <c r="P3808" s="33">
        <f>IFERROR(__xludf.DUMMYFUNCTION("""COMPUTED_VALUE"""),0.3333333333333333)</f>
        <v>0.3333333333</v>
      </c>
      <c r="Q3808" s="4" t="str">
        <f>IFERROR(__xludf.DUMMYFUNCTION("""COMPUTED_VALUE"""),"Consumer Soluções Em Tecnologia Ltda")</f>
        <v>Consumer Soluções Em Tecnologia Ltda</v>
      </c>
      <c r="R3808" s="33">
        <f>IFERROR(__xludf.DUMMYFUNCTION("""COMPUTED_VALUE"""),0.3333333333333333)</f>
        <v>0.3333333333</v>
      </c>
      <c r="S3808" s="4" t="str">
        <f>IFERROR(__xludf.DUMMYFUNCTION("""COMPUTED_VALUE"""),"Consumer Soluções Em Tecnologia Ltda")</f>
        <v>Consumer Soluções Em Tecnologia Ltda</v>
      </c>
      <c r="T3808" s="33">
        <f>IFERROR(__xludf.DUMMYFUNCTION("""COMPUTED_VALUE"""),0.3333333333333333)</f>
        <v>0.3333333333</v>
      </c>
      <c r="U3808" s="4" t="str">
        <f>IFERROR(__xludf.DUMMYFUNCTION("""COMPUTED_VALUE"""),"Consumer Soluções Em Tecnologia Ltda")</f>
        <v>Consumer Soluções Em Tecnologia Ltda</v>
      </c>
      <c r="V3808" s="33">
        <f>IFERROR(__xludf.DUMMYFUNCTION("""COMPUTED_VALUE"""),0.6666666666666666)</f>
        <v>0.6666666667</v>
      </c>
      <c r="W3808" s="4" t="str">
        <f>IFERROR(__xludf.DUMMYFUNCTION("""COMPUTED_VALUE"""),"Consumer Soluções Em Tecnologia Ltda")</f>
        <v>Consumer Soluções Em Tecnologia Ltda</v>
      </c>
      <c r="X3808" s="33">
        <f>IFERROR(__xludf.DUMMYFUNCTION("""COMPUTED_VALUE"""),0.3333333333333333)</f>
        <v>0.3333333333</v>
      </c>
    </row>
    <row r="3809">
      <c r="K3809" s="4" t="str">
        <f>IFERROR(__xludf.DUMMYFUNCTION("""COMPUTED_VALUE"""),"PRO BURGER - DELIVERY")</f>
        <v>PRO BURGER - DELIVERY</v>
      </c>
      <c r="L3809" s="32">
        <f>IFERROR(__xludf.DUMMYFUNCTION("""COMPUTED_VALUE"""),3.0)</f>
        <v>3</v>
      </c>
      <c r="M3809" s="4" t="str">
        <f>IFERROR(__xludf.DUMMYFUNCTION("""COMPUTED_VALUE"""),"null")</f>
        <v>null</v>
      </c>
      <c r="N3809" s="33">
        <f>IFERROR(__xludf.DUMMYFUNCTION("""COMPUTED_VALUE"""),0.3333333333333333)</f>
        <v>0.3333333333</v>
      </c>
      <c r="O3809" s="4" t="str">
        <f>IFERROR(__xludf.DUMMYFUNCTION("""COMPUTED_VALUE"""),"Tacto Sistemas")</f>
        <v>Tacto Sistemas</v>
      </c>
      <c r="P3809" s="33">
        <f>IFERROR(__xludf.DUMMYFUNCTION("""COMPUTED_VALUE"""),0.6666666666666666)</f>
        <v>0.6666666667</v>
      </c>
      <c r="Q3809" s="4" t="str">
        <f>IFERROR(__xludf.DUMMYFUNCTION("""COMPUTED_VALUE"""),"Tacto Sistemas")</f>
        <v>Tacto Sistemas</v>
      </c>
      <c r="R3809" s="33">
        <f>IFERROR(__xludf.DUMMYFUNCTION("""COMPUTED_VALUE"""),0.6666666666666666)</f>
        <v>0.6666666667</v>
      </c>
      <c r="S3809" s="4" t="str">
        <f>IFERROR(__xludf.DUMMYFUNCTION("""COMPUTED_VALUE"""),"null")</f>
        <v>null</v>
      </c>
      <c r="T3809" s="33">
        <f>IFERROR(__xludf.DUMMYFUNCTION("""COMPUTED_VALUE"""),0.6666666666666666)</f>
        <v>0.6666666667</v>
      </c>
      <c r="U3809" s="4" t="str">
        <f>IFERROR(__xludf.DUMMYFUNCTION("""COMPUTED_VALUE"""),"null")</f>
        <v>null</v>
      </c>
      <c r="V3809" s="33">
        <f>IFERROR(__xludf.DUMMYFUNCTION("""COMPUTED_VALUE"""),0.6666666666666666)</f>
        <v>0.6666666667</v>
      </c>
      <c r="W3809" s="4" t="str">
        <f>IFERROR(__xludf.DUMMYFUNCTION("""COMPUTED_VALUE"""),"Vedas Automação Comercial")</f>
        <v>Vedas Automação Comercial</v>
      </c>
      <c r="X3809" s="33">
        <f>IFERROR(__xludf.DUMMYFUNCTION("""COMPUTED_VALUE"""),0.3333333333333333)</f>
        <v>0.3333333333</v>
      </c>
    </row>
    <row r="3810">
      <c r="K3810" s="4" t="str">
        <f>IFERROR(__xludf.DUMMYFUNCTION("""COMPUTED_VALUE"""),"PSIU RESTAURANTE - CONTA MARCA")</f>
        <v>PSIU RESTAURANTE - CONTA MARCA</v>
      </c>
      <c r="L3810" s="32">
        <f>IFERROR(__xludf.DUMMYFUNCTION("""COMPUTED_VALUE"""),3.0)</f>
        <v>3</v>
      </c>
      <c r="M3810" s="4" t="str">
        <f>IFERROR(__xludf.DUMMYFUNCTION("""COMPUTED_VALUE"""),"null")</f>
        <v>null</v>
      </c>
      <c r="N3810" s="33">
        <f>IFERROR(__xludf.DUMMYFUNCTION("""COMPUTED_VALUE"""),1.0)</f>
        <v>1</v>
      </c>
      <c r="O3810" s="4" t="str">
        <f>IFERROR(__xludf.DUMMYFUNCTION("""COMPUTED_VALUE"""),"Anota Ai Solucoes Digitais S/a")</f>
        <v>Anota Ai Solucoes Digitais S/a</v>
      </c>
      <c r="P3810" s="33">
        <f>IFERROR(__xludf.DUMMYFUNCTION("""COMPUTED_VALUE"""),1.0)</f>
        <v>1</v>
      </c>
      <c r="Q3810" s="4" t="str">
        <f>IFERROR(__xludf.DUMMYFUNCTION("""COMPUTED_VALUE"""),"Anota Ai Solucoes Digitais S/a")</f>
        <v>Anota Ai Solucoes Digitais S/a</v>
      </c>
      <c r="R3810" s="33">
        <f>IFERROR(__xludf.DUMMYFUNCTION("""COMPUTED_VALUE"""),1.0)</f>
        <v>1</v>
      </c>
      <c r="S3810" s="4" t="str">
        <f>IFERROR(__xludf.DUMMYFUNCTION("""COMPUTED_VALUE"""),"Anota Ai Solucoes Digitais S/a")</f>
        <v>Anota Ai Solucoes Digitais S/a</v>
      </c>
      <c r="T3810" s="33">
        <f>IFERROR(__xludf.DUMMYFUNCTION("""COMPUTED_VALUE"""),1.0)</f>
        <v>1</v>
      </c>
      <c r="U3810" s="4" t="str">
        <f>IFERROR(__xludf.DUMMYFUNCTION("""COMPUTED_VALUE"""),"Anota Ai Solucoes Digitais S/a")</f>
        <v>Anota Ai Solucoes Digitais S/a</v>
      </c>
      <c r="V3810" s="33">
        <f>IFERROR(__xludf.DUMMYFUNCTION("""COMPUTED_VALUE"""),1.0)</f>
        <v>1</v>
      </c>
      <c r="W3810" s="4" t="str">
        <f>IFERROR(__xludf.DUMMYFUNCTION("""COMPUTED_VALUE"""),"Anota Ai Solucoes Digitais S/a")</f>
        <v>Anota Ai Solucoes Digitais S/a</v>
      </c>
      <c r="X3810" s="33">
        <f>IFERROR(__xludf.DUMMYFUNCTION("""COMPUTED_VALUE"""),1.0)</f>
        <v>1</v>
      </c>
    </row>
    <row r="3811">
      <c r="K3811" s="4" t="str">
        <f>IFERROR(__xludf.DUMMYFUNCTION("""COMPUTED_VALUE"""),"PURO SABOR ACAI")</f>
        <v>PURO SABOR ACAI</v>
      </c>
      <c r="L3811" s="32">
        <f>IFERROR(__xludf.DUMMYFUNCTION("""COMPUTED_VALUE"""),3.0)</f>
        <v>3</v>
      </c>
      <c r="M3811" s="4" t="str">
        <f>IFERROR(__xludf.DUMMYFUNCTION("""COMPUTED_VALUE"""),"null")</f>
        <v>null</v>
      </c>
      <c r="N3811" s="33">
        <f>IFERROR(__xludf.DUMMYFUNCTION("""COMPUTED_VALUE"""),1.0)</f>
        <v>1</v>
      </c>
      <c r="O3811" s="4" t="str">
        <f>IFERROR(__xludf.DUMMYFUNCTION("""COMPUTED_VALUE"""),"null")</f>
        <v>null</v>
      </c>
      <c r="P3811" s="33">
        <f>IFERROR(__xludf.DUMMYFUNCTION("""COMPUTED_VALUE"""),1.0)</f>
        <v>1</v>
      </c>
      <c r="Q3811" s="4" t="str">
        <f>IFERROR(__xludf.DUMMYFUNCTION("""COMPUTED_VALUE"""),"null")</f>
        <v>null</v>
      </c>
      <c r="R3811" s="33">
        <f>IFERROR(__xludf.DUMMYFUNCTION("""COMPUTED_VALUE"""),1.0)</f>
        <v>1</v>
      </c>
      <c r="S3811" s="4" t="str">
        <f>IFERROR(__xludf.DUMMYFUNCTION("""COMPUTED_VALUE"""),"null")</f>
        <v>null</v>
      </c>
      <c r="T3811" s="33">
        <f>IFERROR(__xludf.DUMMYFUNCTION("""COMPUTED_VALUE"""),1.0)</f>
        <v>1</v>
      </c>
      <c r="U3811" s="4" t="str">
        <f>IFERROR(__xludf.DUMMYFUNCTION("""COMPUTED_VALUE"""),"Saipos Serviços De Software")</f>
        <v>Saipos Serviços De Software</v>
      </c>
      <c r="V3811" s="33">
        <f>IFERROR(__xludf.DUMMYFUNCTION("""COMPUTED_VALUE"""),1.0)</f>
        <v>1</v>
      </c>
      <c r="W3811" s="4" t="str">
        <f>IFERROR(__xludf.DUMMYFUNCTION("""COMPUTED_VALUE"""),"Saipos Serviços De Software")</f>
        <v>Saipos Serviços De Software</v>
      </c>
      <c r="X3811" s="33">
        <f>IFERROR(__xludf.DUMMYFUNCTION("""COMPUTED_VALUE"""),1.0)</f>
        <v>1</v>
      </c>
    </row>
    <row r="3812">
      <c r="K3812" s="4" t="str">
        <f>IFERROR(__xludf.DUMMYFUNCTION("""COMPUTED_VALUE"""),"Q-BURGER")</f>
        <v>Q-BURGER</v>
      </c>
      <c r="L3812" s="32">
        <f>IFERROR(__xludf.DUMMYFUNCTION("""COMPUTED_VALUE"""),3.0)</f>
        <v>3</v>
      </c>
      <c r="M3812" s="4" t="str">
        <f>IFERROR(__xludf.DUMMYFUNCTION("""COMPUTED_VALUE"""),"Swfast Sistemas")</f>
        <v>Swfast Sistemas</v>
      </c>
      <c r="N3812" s="33">
        <f>IFERROR(__xludf.DUMMYFUNCTION("""COMPUTED_VALUE"""),0.6666666666666666)</f>
        <v>0.6666666667</v>
      </c>
      <c r="O3812" s="4" t="str">
        <f>IFERROR(__xludf.DUMMYFUNCTION("""COMPUTED_VALUE"""),"Swfast Sistemas")</f>
        <v>Swfast Sistemas</v>
      </c>
      <c r="P3812" s="33">
        <f>IFERROR(__xludf.DUMMYFUNCTION("""COMPUTED_VALUE"""),0.6666666666666666)</f>
        <v>0.6666666667</v>
      </c>
      <c r="Q3812" s="4" t="str">
        <f>IFERROR(__xludf.DUMMYFUNCTION("""COMPUTED_VALUE"""),"Swfast Sistemas")</f>
        <v>Swfast Sistemas</v>
      </c>
      <c r="R3812" s="33">
        <f>IFERROR(__xludf.DUMMYFUNCTION("""COMPUTED_VALUE"""),0.6666666666666666)</f>
        <v>0.6666666667</v>
      </c>
      <c r="S3812" s="4" t="str">
        <f>IFERROR(__xludf.DUMMYFUNCTION("""COMPUTED_VALUE"""),"Swfast Sistemas")</f>
        <v>Swfast Sistemas</v>
      </c>
      <c r="T3812" s="33">
        <f>IFERROR(__xludf.DUMMYFUNCTION("""COMPUTED_VALUE"""),0.6666666666666666)</f>
        <v>0.6666666667</v>
      </c>
      <c r="U3812" s="4" t="str">
        <f>IFERROR(__xludf.DUMMYFUNCTION("""COMPUTED_VALUE"""),"Swfast Sistemas")</f>
        <v>Swfast Sistemas</v>
      </c>
      <c r="V3812" s="33">
        <f>IFERROR(__xludf.DUMMYFUNCTION("""COMPUTED_VALUE"""),0.6666666666666666)</f>
        <v>0.6666666667</v>
      </c>
      <c r="W3812" s="4" t="str">
        <f>IFERROR(__xludf.DUMMYFUNCTION("""COMPUTED_VALUE"""),"Swfast Sistemas")</f>
        <v>Swfast Sistemas</v>
      </c>
      <c r="X3812" s="33">
        <f>IFERROR(__xludf.DUMMYFUNCTION("""COMPUTED_VALUE"""),0.6666666666666666)</f>
        <v>0.6666666667</v>
      </c>
    </row>
    <row r="3813">
      <c r="K3813" s="4" t="str">
        <f>IFERROR(__xludf.DUMMYFUNCTION("""COMPUTED_VALUE"""),"QUENTITAS - CP")</f>
        <v>QUENTITAS - CP</v>
      </c>
      <c r="L3813" s="32">
        <f>IFERROR(__xludf.DUMMYFUNCTION("""COMPUTED_VALUE"""),3.0)</f>
        <v>3</v>
      </c>
      <c r="M3813" s="4" t="str">
        <f>IFERROR(__xludf.DUMMYFUNCTION("""COMPUTED_VALUE"""),"null")</f>
        <v>null</v>
      </c>
      <c r="N3813" s="33">
        <f>IFERROR(__xludf.DUMMYFUNCTION("""COMPUTED_VALUE"""),0.6666666666666666)</f>
        <v>0.6666666667</v>
      </c>
      <c r="O3813" s="4" t="str">
        <f>IFERROR(__xludf.DUMMYFUNCTION("""COMPUTED_VALUE"""),"null")</f>
        <v>null</v>
      </c>
      <c r="P3813" s="33">
        <f>IFERROR(__xludf.DUMMYFUNCTION("""COMPUTED_VALUE"""),0.6666666666666666)</f>
        <v>0.6666666667</v>
      </c>
      <c r="Q3813" s="4" t="str">
        <f>IFERROR(__xludf.DUMMYFUNCTION("""COMPUTED_VALUE"""),"null")</f>
        <v>null</v>
      </c>
      <c r="R3813" s="33">
        <f>IFERROR(__xludf.DUMMYFUNCTION("""COMPUTED_VALUE"""),0.6666666666666666)</f>
        <v>0.6666666667</v>
      </c>
      <c r="S3813" s="4" t="str">
        <f>IFERROR(__xludf.DUMMYFUNCTION("""COMPUTED_VALUE"""),"Saipos Serviços De Software")</f>
        <v>Saipos Serviços De Software</v>
      </c>
      <c r="T3813" s="33">
        <f>IFERROR(__xludf.DUMMYFUNCTION("""COMPUTED_VALUE"""),1.0)</f>
        <v>1</v>
      </c>
      <c r="U3813" s="4" t="str">
        <f>IFERROR(__xludf.DUMMYFUNCTION("""COMPUTED_VALUE"""),"Saipos Serviços De Software")</f>
        <v>Saipos Serviços De Software</v>
      </c>
      <c r="V3813" s="33">
        <f>IFERROR(__xludf.DUMMYFUNCTION("""COMPUTED_VALUE"""),1.0)</f>
        <v>1</v>
      </c>
      <c r="W3813" s="4" t="str">
        <f>IFERROR(__xludf.DUMMYFUNCTION("""COMPUTED_VALUE"""),"Saipos Serviços De Software")</f>
        <v>Saipos Serviços De Software</v>
      </c>
      <c r="X3813" s="33">
        <f>IFERROR(__xludf.DUMMYFUNCTION("""COMPUTED_VALUE"""),1.0)</f>
        <v>1</v>
      </c>
    </row>
    <row r="3814">
      <c r="K3814" s="4" t="str">
        <f>IFERROR(__xludf.DUMMYFUNCTION("""COMPUTED_VALUE"""),"QUINA DO FUTURO")</f>
        <v>QUINA DO FUTURO</v>
      </c>
      <c r="L3814" s="32">
        <f>IFERROR(__xludf.DUMMYFUNCTION("""COMPUTED_VALUE"""),3.0)</f>
        <v>3</v>
      </c>
      <c r="M3814" s="4" t="str">
        <f>IFERROR(__xludf.DUMMYFUNCTION("""COMPUTED_VALUE"""),"Totvs Large Enterprise Tecnologia S.a.")</f>
        <v>Totvs Large Enterprise Tecnologia S.a.</v>
      </c>
      <c r="N3814" s="33">
        <f>IFERROR(__xludf.DUMMYFUNCTION("""COMPUTED_VALUE"""),1.0)</f>
        <v>1</v>
      </c>
      <c r="O3814" s="4" t="str">
        <f>IFERROR(__xludf.DUMMYFUNCTION("""COMPUTED_VALUE"""),"Totvs Large Enterprise Tecnologia S.a.")</f>
        <v>Totvs Large Enterprise Tecnologia S.a.</v>
      </c>
      <c r="P3814" s="33">
        <f>IFERROR(__xludf.DUMMYFUNCTION("""COMPUTED_VALUE"""),1.0)</f>
        <v>1</v>
      </c>
      <c r="Q3814" s="4" t="str">
        <f>IFERROR(__xludf.DUMMYFUNCTION("""COMPUTED_VALUE"""),"Totvs Large Enterprise Tecnologia S.a.")</f>
        <v>Totvs Large Enterprise Tecnologia S.a.</v>
      </c>
      <c r="R3814" s="33">
        <f>IFERROR(__xludf.DUMMYFUNCTION("""COMPUTED_VALUE"""),1.0)</f>
        <v>1</v>
      </c>
      <c r="S3814" s="4" t="str">
        <f>IFERROR(__xludf.DUMMYFUNCTION("""COMPUTED_VALUE"""),"Totvs Large Enterprise Tecnologia S.a.")</f>
        <v>Totvs Large Enterprise Tecnologia S.a.</v>
      </c>
      <c r="T3814" s="33">
        <f>IFERROR(__xludf.DUMMYFUNCTION("""COMPUTED_VALUE"""),1.0)</f>
        <v>1</v>
      </c>
      <c r="U3814" s="4" t="str">
        <f>IFERROR(__xludf.DUMMYFUNCTION("""COMPUTED_VALUE"""),"Totvs Large Enterprise Tecnologia S.a.")</f>
        <v>Totvs Large Enterprise Tecnologia S.a.</v>
      </c>
      <c r="V3814" s="33">
        <f>IFERROR(__xludf.DUMMYFUNCTION("""COMPUTED_VALUE"""),0.6666666666666666)</f>
        <v>0.6666666667</v>
      </c>
      <c r="W3814" s="4" t="str">
        <f>IFERROR(__xludf.DUMMYFUNCTION("""COMPUTED_VALUE"""),"Totvs Large Enterprise Tecnologia S.a.")</f>
        <v>Totvs Large Enterprise Tecnologia S.a.</v>
      </c>
      <c r="X3814" s="33">
        <f>IFERROR(__xludf.DUMMYFUNCTION("""COMPUTED_VALUE"""),1.0)</f>
        <v>1</v>
      </c>
    </row>
    <row r="3815">
      <c r="K3815" s="4" t="str">
        <f>IFERROR(__xludf.DUMMYFUNCTION("""COMPUTED_VALUE"""),"QUINTAL NORDESTINO")</f>
        <v>QUINTAL NORDESTINO</v>
      </c>
      <c r="L3815" s="32">
        <f>IFERROR(__xludf.DUMMYFUNCTION("""COMPUTED_VALUE"""),3.0)</f>
        <v>3</v>
      </c>
      <c r="M3815" s="4" t="str">
        <f>IFERROR(__xludf.DUMMYFUNCTION("""COMPUTED_VALUE"""),"Saipos Serviços De Software")</f>
        <v>Saipos Serviços De Software</v>
      </c>
      <c r="N3815" s="33">
        <f>IFERROR(__xludf.DUMMYFUNCTION("""COMPUTED_VALUE"""),1.0)</f>
        <v>1</v>
      </c>
      <c r="O3815" s="4" t="str">
        <f>IFERROR(__xludf.DUMMYFUNCTION("""COMPUTED_VALUE"""),"Saipos Serviços De Software")</f>
        <v>Saipos Serviços De Software</v>
      </c>
      <c r="P3815" s="33">
        <f>IFERROR(__xludf.DUMMYFUNCTION("""COMPUTED_VALUE"""),1.0)</f>
        <v>1</v>
      </c>
      <c r="Q3815" s="4" t="str">
        <f>IFERROR(__xludf.DUMMYFUNCTION("""COMPUTED_VALUE"""),"Saipos Serviços De Software")</f>
        <v>Saipos Serviços De Software</v>
      </c>
      <c r="R3815" s="33">
        <f>IFERROR(__xludf.DUMMYFUNCTION("""COMPUTED_VALUE"""),1.0)</f>
        <v>1</v>
      </c>
      <c r="S3815" s="4" t="str">
        <f>IFERROR(__xludf.DUMMYFUNCTION("""COMPUTED_VALUE"""),"Saipos Serviços De Software")</f>
        <v>Saipos Serviços De Software</v>
      </c>
      <c r="T3815" s="33">
        <f>IFERROR(__xludf.DUMMYFUNCTION("""COMPUTED_VALUE"""),1.0)</f>
        <v>1</v>
      </c>
      <c r="U3815" s="4" t="str">
        <f>IFERROR(__xludf.DUMMYFUNCTION("""COMPUTED_VALUE"""),"Saipos Serviços De Software")</f>
        <v>Saipos Serviços De Software</v>
      </c>
      <c r="V3815" s="33">
        <f>IFERROR(__xludf.DUMMYFUNCTION("""COMPUTED_VALUE"""),1.0)</f>
        <v>1</v>
      </c>
      <c r="W3815" s="4" t="str">
        <f>IFERROR(__xludf.DUMMYFUNCTION("""COMPUTED_VALUE"""),"Saipos Serviços De Software")</f>
        <v>Saipos Serviços De Software</v>
      </c>
      <c r="X3815" s="33">
        <f>IFERROR(__xludf.DUMMYFUNCTION("""COMPUTED_VALUE"""),1.0)</f>
        <v>1</v>
      </c>
    </row>
    <row r="3816">
      <c r="K3816" s="4" t="str">
        <f>IFERROR(__xludf.DUMMYFUNCTION("""COMPUTED_VALUE"""),"R21 CONVENIENCIA EXPRESS - CONTA MARCA")</f>
        <v>R21 CONVENIENCIA EXPRESS - CONTA MARCA</v>
      </c>
      <c r="L3816" s="32">
        <f>IFERROR(__xludf.DUMMYFUNCTION("""COMPUTED_VALUE"""),3.0)</f>
        <v>3</v>
      </c>
      <c r="M3816" s="4" t="str">
        <f>IFERROR(__xludf.DUMMYFUNCTION("""COMPUTED_VALUE"""),"Consumer Soluções Em Tecnologia Ltda")</f>
        <v>Consumer Soluções Em Tecnologia Ltda</v>
      </c>
      <c r="N3816" s="33">
        <f>IFERROR(__xludf.DUMMYFUNCTION("""COMPUTED_VALUE"""),1.0)</f>
        <v>1</v>
      </c>
      <c r="O3816" s="4" t="str">
        <f>IFERROR(__xludf.DUMMYFUNCTION("""COMPUTED_VALUE"""),"Consumer Soluções Em Tecnologia Ltda")</f>
        <v>Consumer Soluções Em Tecnologia Ltda</v>
      </c>
      <c r="P3816" s="33">
        <f>IFERROR(__xludf.DUMMYFUNCTION("""COMPUTED_VALUE"""),0.6666666666666666)</f>
        <v>0.6666666667</v>
      </c>
      <c r="Q3816" s="4" t="str">
        <f>IFERROR(__xludf.DUMMYFUNCTION("""COMPUTED_VALUE"""),"Consumer Soluções Em Tecnologia Ltda")</f>
        <v>Consumer Soluções Em Tecnologia Ltda</v>
      </c>
      <c r="R3816" s="33">
        <f>IFERROR(__xludf.DUMMYFUNCTION("""COMPUTED_VALUE"""),1.0)</f>
        <v>1</v>
      </c>
      <c r="S3816" s="4" t="str">
        <f>IFERROR(__xludf.DUMMYFUNCTION("""COMPUTED_VALUE"""),"null")</f>
        <v>null</v>
      </c>
      <c r="T3816" s="33">
        <f>IFERROR(__xludf.DUMMYFUNCTION("""COMPUTED_VALUE"""),0.6666666666666666)</f>
        <v>0.6666666667</v>
      </c>
      <c r="U3816" s="4" t="str">
        <f>IFERROR(__xludf.DUMMYFUNCTION("""COMPUTED_VALUE"""),"null")</f>
        <v>null</v>
      </c>
      <c r="V3816" s="33">
        <f>IFERROR(__xludf.DUMMYFUNCTION("""COMPUTED_VALUE"""),1.0)</f>
        <v>1</v>
      </c>
      <c r="W3816" s="4" t="str">
        <f>IFERROR(__xludf.DUMMYFUNCTION("""COMPUTED_VALUE"""),"null")</f>
        <v>null</v>
      </c>
      <c r="X3816" s="33">
        <f>IFERROR(__xludf.DUMMYFUNCTION("""COMPUTED_VALUE"""),0.6666666666666666)</f>
        <v>0.6666666667</v>
      </c>
    </row>
    <row r="3817">
      <c r="K3817" s="4" t="str">
        <f>IFERROR(__xludf.DUMMYFUNCTION("""COMPUTED_VALUE"""),"RA - CHU CAMPINAS")</f>
        <v>RA - CHU CAMPINAS</v>
      </c>
      <c r="L3817" s="32">
        <f>IFERROR(__xludf.DUMMYFUNCTION("""COMPUTED_VALUE"""),3.0)</f>
        <v>3</v>
      </c>
      <c r="M3817" s="4" t="str">
        <f>IFERROR(__xludf.DUMMYFUNCTION("""COMPUTED_VALUE"""),"null")</f>
        <v>null</v>
      </c>
      <c r="N3817" s="33">
        <f>IFERROR(__xludf.DUMMYFUNCTION("""COMPUTED_VALUE"""),0.6666666666666666)</f>
        <v>0.6666666667</v>
      </c>
      <c r="O3817" s="4" t="str">
        <f>IFERROR(__xludf.DUMMYFUNCTION("""COMPUTED_VALUE"""),"null")</f>
        <v>null</v>
      </c>
      <c r="P3817" s="33">
        <f>IFERROR(__xludf.DUMMYFUNCTION("""COMPUTED_VALUE"""),0.6666666666666666)</f>
        <v>0.6666666667</v>
      </c>
      <c r="Q3817" s="4" t="str">
        <f>IFERROR(__xludf.DUMMYFUNCTION("""COMPUTED_VALUE"""),"null")</f>
        <v>null</v>
      </c>
      <c r="R3817" s="33">
        <f>IFERROR(__xludf.DUMMYFUNCTION("""COMPUTED_VALUE"""),0.6666666666666666)</f>
        <v>0.6666666667</v>
      </c>
      <c r="S3817" s="4" t="str">
        <f>IFERROR(__xludf.DUMMYFUNCTION("""COMPUTED_VALUE"""),"null")</f>
        <v>null</v>
      </c>
      <c r="T3817" s="33">
        <f>IFERROR(__xludf.DUMMYFUNCTION("""COMPUTED_VALUE"""),0.6666666666666666)</f>
        <v>0.6666666667</v>
      </c>
      <c r="U3817" s="4" t="str">
        <f>IFERROR(__xludf.DUMMYFUNCTION("""COMPUTED_VALUE"""),"Teknisa Service Ltda")</f>
        <v>Teknisa Service Ltda</v>
      </c>
      <c r="V3817" s="33">
        <f>IFERROR(__xludf.DUMMYFUNCTION("""COMPUTED_VALUE"""),0.6666666666666666)</f>
        <v>0.6666666667</v>
      </c>
      <c r="W3817" s="4" t="str">
        <f>IFERROR(__xludf.DUMMYFUNCTION("""COMPUTED_VALUE"""),"Teknisa Service Ltda")</f>
        <v>Teknisa Service Ltda</v>
      </c>
      <c r="X3817" s="33">
        <f>IFERROR(__xludf.DUMMYFUNCTION("""COMPUTED_VALUE"""),0.6666666666666666)</f>
        <v>0.6666666667</v>
      </c>
    </row>
    <row r="3818">
      <c r="K3818" s="4" t="str">
        <f>IFERROR(__xludf.DUMMYFUNCTION("""COMPUTED_VALUE"""),"RAFAS BURGUERS - MARCA")</f>
        <v>RAFAS BURGUERS - MARCA</v>
      </c>
      <c r="L3818" s="32">
        <f>IFERROR(__xludf.DUMMYFUNCTION("""COMPUTED_VALUE"""),3.0)</f>
        <v>3</v>
      </c>
      <c r="M3818" s="4" t="str">
        <f>IFERROR(__xludf.DUMMYFUNCTION("""COMPUTED_VALUE"""),"null")</f>
        <v>null</v>
      </c>
      <c r="N3818" s="33">
        <f>IFERROR(__xludf.DUMMYFUNCTION("""COMPUTED_VALUE"""),1.0)</f>
        <v>1</v>
      </c>
      <c r="O3818" s="4" t="str">
        <f>IFERROR(__xludf.DUMMYFUNCTION("""COMPUTED_VALUE"""),"null")</f>
        <v>null</v>
      </c>
      <c r="P3818" s="33">
        <f>IFERROR(__xludf.DUMMYFUNCTION("""COMPUTED_VALUE"""),1.0)</f>
        <v>1</v>
      </c>
      <c r="Q3818" s="4" t="str">
        <f>IFERROR(__xludf.DUMMYFUNCTION("""COMPUTED_VALUE"""),"null")</f>
        <v>null</v>
      </c>
      <c r="R3818" s="33">
        <f>IFERROR(__xludf.DUMMYFUNCTION("""COMPUTED_VALUE"""),1.0)</f>
        <v>1</v>
      </c>
      <c r="S3818" s="4" t="str">
        <f>IFERROR(__xludf.DUMMYFUNCTION("""COMPUTED_VALUE"""),"null")</f>
        <v>null</v>
      </c>
      <c r="T3818" s="33">
        <f>IFERROR(__xludf.DUMMYFUNCTION("""COMPUTED_VALUE"""),0.6666666666666666)</f>
        <v>0.6666666667</v>
      </c>
      <c r="U3818" s="4" t="str">
        <f>IFERROR(__xludf.DUMMYFUNCTION("""COMPUTED_VALUE"""),"null")</f>
        <v>null</v>
      </c>
      <c r="V3818" s="33">
        <f>IFERROR(__xludf.DUMMYFUNCTION("""COMPUTED_VALUE"""),0.6666666666666666)</f>
        <v>0.6666666667</v>
      </c>
      <c r="W3818" s="4" t="str">
        <f>IFERROR(__xludf.DUMMYFUNCTION("""COMPUTED_VALUE"""),"Saipos Serviços De Software")</f>
        <v>Saipos Serviços De Software</v>
      </c>
      <c r="X3818" s="33">
        <f>IFERROR(__xludf.DUMMYFUNCTION("""COMPUTED_VALUE"""),0.6666666666666666)</f>
        <v>0.6666666667</v>
      </c>
    </row>
    <row r="3819">
      <c r="K3819" s="4" t="str">
        <f>IFERROR(__xludf.DUMMYFUNCTION("""COMPUTED_VALUE"""),"RAINHA DAS ESFIHAS PIZZAS LORENA")</f>
        <v>RAINHA DAS ESFIHAS PIZZAS LORENA</v>
      </c>
      <c r="L3819" s="32">
        <f>IFERROR(__xludf.DUMMYFUNCTION("""COMPUTED_VALUE"""),3.0)</f>
        <v>3</v>
      </c>
      <c r="M3819" s="4" t="str">
        <f>IFERROR(__xludf.DUMMYFUNCTION("""COMPUTED_VALUE"""),"null")</f>
        <v>null</v>
      </c>
      <c r="N3819" s="33">
        <f>IFERROR(__xludf.DUMMYFUNCTION("""COMPUTED_VALUE"""),1.0)</f>
        <v>1</v>
      </c>
      <c r="O3819" s="4" t="str">
        <f>IFERROR(__xludf.DUMMYFUNCTION("""COMPUTED_VALUE"""),"null")</f>
        <v>null</v>
      </c>
      <c r="P3819" s="33">
        <f>IFERROR(__xludf.DUMMYFUNCTION("""COMPUTED_VALUE"""),1.0)</f>
        <v>1</v>
      </c>
      <c r="Q3819" s="4" t="str">
        <f>IFERROR(__xludf.DUMMYFUNCTION("""COMPUTED_VALUE"""),"Saipos Serviços De Software")</f>
        <v>Saipos Serviços De Software</v>
      </c>
      <c r="R3819" s="33">
        <f>IFERROR(__xludf.DUMMYFUNCTION("""COMPUTED_VALUE"""),1.0)</f>
        <v>1</v>
      </c>
      <c r="S3819" s="4" t="str">
        <f>IFERROR(__xludf.DUMMYFUNCTION("""COMPUTED_VALUE"""),"Saipos Serviços De Software")</f>
        <v>Saipos Serviços De Software</v>
      </c>
      <c r="T3819" s="33">
        <f>IFERROR(__xludf.DUMMYFUNCTION("""COMPUTED_VALUE"""),1.0)</f>
        <v>1</v>
      </c>
      <c r="U3819" s="4" t="str">
        <f>IFERROR(__xludf.DUMMYFUNCTION("""COMPUTED_VALUE"""),"Saipos Serviços De Software")</f>
        <v>Saipos Serviços De Software</v>
      </c>
      <c r="V3819" s="33">
        <f>IFERROR(__xludf.DUMMYFUNCTION("""COMPUTED_VALUE"""),1.0)</f>
        <v>1</v>
      </c>
      <c r="W3819" s="4" t="str">
        <f>IFERROR(__xludf.DUMMYFUNCTION("""COMPUTED_VALUE"""),"Saipos Serviços De Software")</f>
        <v>Saipos Serviços De Software</v>
      </c>
      <c r="X3819" s="33">
        <f>IFERROR(__xludf.DUMMYFUNCTION("""COMPUTED_VALUE"""),1.0)</f>
        <v>1</v>
      </c>
    </row>
    <row r="3820">
      <c r="K3820" s="4" t="str">
        <f>IFERROR(__xludf.DUMMYFUNCTION("""COMPUTED_VALUE"""),"RAW")</f>
        <v>RAW</v>
      </c>
      <c r="L3820" s="32">
        <f>IFERROR(__xludf.DUMMYFUNCTION("""COMPUTED_VALUE"""),3.0)</f>
        <v>3</v>
      </c>
      <c r="M3820" s="4" t="str">
        <f>IFERROR(__xludf.DUMMYFUNCTION("""COMPUTED_VALUE"""),"Hubster")</f>
        <v>Hubster</v>
      </c>
      <c r="N3820" s="33">
        <f>IFERROR(__xludf.DUMMYFUNCTION("""COMPUTED_VALUE"""),1.0)</f>
        <v>1</v>
      </c>
      <c r="O3820" s="4" t="str">
        <f>IFERROR(__xludf.DUMMYFUNCTION("""COMPUTED_VALUE"""),"Hubster")</f>
        <v>Hubster</v>
      </c>
      <c r="P3820" s="33">
        <f>IFERROR(__xludf.DUMMYFUNCTION("""COMPUTED_VALUE"""),0.6666666666666666)</f>
        <v>0.6666666667</v>
      </c>
      <c r="Q3820" s="4" t="str">
        <f>IFERROR(__xludf.DUMMYFUNCTION("""COMPUTED_VALUE"""),"Hubster")</f>
        <v>Hubster</v>
      </c>
      <c r="R3820" s="33">
        <f>IFERROR(__xludf.DUMMYFUNCTION("""COMPUTED_VALUE"""),1.0)</f>
        <v>1</v>
      </c>
      <c r="S3820" s="4" t="str">
        <f>IFERROR(__xludf.DUMMYFUNCTION("""COMPUTED_VALUE"""),"Hubster")</f>
        <v>Hubster</v>
      </c>
      <c r="T3820" s="33">
        <f>IFERROR(__xludf.DUMMYFUNCTION("""COMPUTED_VALUE"""),1.0)</f>
        <v>1</v>
      </c>
      <c r="U3820" s="4" t="str">
        <f>IFERROR(__xludf.DUMMYFUNCTION("""COMPUTED_VALUE"""),"Hubster")</f>
        <v>Hubster</v>
      </c>
      <c r="V3820" s="33">
        <f>IFERROR(__xludf.DUMMYFUNCTION("""COMPUTED_VALUE"""),1.0)</f>
        <v>1</v>
      </c>
      <c r="W3820" s="4" t="str">
        <f>IFERROR(__xludf.DUMMYFUNCTION("""COMPUTED_VALUE"""),"null")</f>
        <v>null</v>
      </c>
      <c r="X3820" s="33">
        <f>IFERROR(__xludf.DUMMYFUNCTION("""COMPUTED_VALUE"""),1.0)</f>
        <v>1</v>
      </c>
    </row>
    <row r="3821">
      <c r="K3821" s="4" t="str">
        <f>IFERROR(__xludf.DUMMYFUNCTION("""COMPUTED_VALUE"""),"REAL PARMA")</f>
        <v>REAL PARMA</v>
      </c>
      <c r="L3821" s="32">
        <f>IFERROR(__xludf.DUMMYFUNCTION("""COMPUTED_VALUE"""),3.0)</f>
        <v>3</v>
      </c>
      <c r="M3821" s="4" t="str">
        <f>IFERROR(__xludf.DUMMYFUNCTION("""COMPUTED_VALUE"""),"Jaxtech")</f>
        <v>Jaxtech</v>
      </c>
      <c r="N3821" s="33">
        <f>IFERROR(__xludf.DUMMYFUNCTION("""COMPUTED_VALUE"""),1.0)</f>
        <v>1</v>
      </c>
      <c r="O3821" s="4" t="str">
        <f>IFERROR(__xludf.DUMMYFUNCTION("""COMPUTED_VALUE"""),"Jaxtech")</f>
        <v>Jaxtech</v>
      </c>
      <c r="P3821" s="33">
        <f>IFERROR(__xludf.DUMMYFUNCTION("""COMPUTED_VALUE"""),1.0)</f>
        <v>1</v>
      </c>
      <c r="Q3821" s="4" t="str">
        <f>IFERROR(__xludf.DUMMYFUNCTION("""COMPUTED_VALUE"""),"Jaxtech")</f>
        <v>Jaxtech</v>
      </c>
      <c r="R3821" s="33">
        <f>IFERROR(__xludf.DUMMYFUNCTION("""COMPUTED_VALUE"""),1.0)</f>
        <v>1</v>
      </c>
      <c r="S3821" s="4" t="str">
        <f>IFERROR(__xludf.DUMMYFUNCTION("""COMPUTED_VALUE"""),"Jaxtech")</f>
        <v>Jaxtech</v>
      </c>
      <c r="T3821" s="33">
        <f>IFERROR(__xludf.DUMMYFUNCTION("""COMPUTED_VALUE"""),1.0)</f>
        <v>1</v>
      </c>
      <c r="U3821" s="4" t="str">
        <f>IFERROR(__xludf.DUMMYFUNCTION("""COMPUTED_VALUE"""),"Jaxtech")</f>
        <v>Jaxtech</v>
      </c>
      <c r="V3821" s="33">
        <f>IFERROR(__xludf.DUMMYFUNCTION("""COMPUTED_VALUE"""),1.0)</f>
        <v>1</v>
      </c>
      <c r="W3821" s="4" t="str">
        <f>IFERROR(__xludf.DUMMYFUNCTION("""COMPUTED_VALUE"""),"Jaxtech")</f>
        <v>Jaxtech</v>
      </c>
      <c r="X3821" s="33">
        <f>IFERROR(__xludf.DUMMYFUNCTION("""COMPUTED_VALUE"""),1.0)</f>
        <v>1</v>
      </c>
    </row>
    <row r="3822">
      <c r="K3822" s="4" t="str">
        <f>IFERROR(__xludf.DUMMYFUNCTION("""COMPUTED_VALUE"""),"REDE COMPRE CERTO - CONTA PAI")</f>
        <v>REDE COMPRE CERTO - CONTA PAI</v>
      </c>
      <c r="L3822" s="32">
        <f>IFERROR(__xludf.DUMMYFUNCTION("""COMPUTED_VALUE"""),3.0)</f>
        <v>3</v>
      </c>
      <c r="M3822" s="4" t="str">
        <f>IFERROR(__xludf.DUMMYFUNCTION("""COMPUTED_VALUE"""),"N/A (Not found)")</f>
        <v>N/A (Not found)</v>
      </c>
      <c r="N3822" s="33">
        <f>IFERROR(__xludf.DUMMYFUNCTION("""COMPUTED_VALUE"""),1.0)</f>
        <v>1</v>
      </c>
      <c r="O3822" s="4" t="str">
        <f>IFERROR(__xludf.DUMMYFUNCTION("""COMPUTED_VALUE"""),"N/A (Not found)")</f>
        <v>N/A (Not found)</v>
      </c>
      <c r="P3822" s="33">
        <f>IFERROR(__xludf.DUMMYFUNCTION("""COMPUTED_VALUE"""),1.0)</f>
        <v>1</v>
      </c>
      <c r="Q3822" s="4" t="str">
        <f>IFERROR(__xludf.DUMMYFUNCTION("""COMPUTED_VALUE"""),"N/A (Not found)")</f>
        <v>N/A (Not found)</v>
      </c>
      <c r="R3822" s="33">
        <f>IFERROR(__xludf.DUMMYFUNCTION("""COMPUTED_VALUE"""),1.0)</f>
        <v>1</v>
      </c>
      <c r="S3822" s="4" t="str">
        <f>IFERROR(__xludf.DUMMYFUNCTION("""COMPUTED_VALUE"""),"N/A (Not found)")</f>
        <v>N/A (Not found)</v>
      </c>
      <c r="T3822" s="33">
        <f>IFERROR(__xludf.DUMMYFUNCTION("""COMPUTED_VALUE"""),0.6666666666666666)</f>
        <v>0.6666666667</v>
      </c>
      <c r="U3822" s="4" t="str">
        <f>IFERROR(__xludf.DUMMYFUNCTION("""COMPUTED_VALUE"""),"N/A (Not found)")</f>
        <v>N/A (Not found)</v>
      </c>
      <c r="V3822" s="33">
        <f>IFERROR(__xludf.DUMMYFUNCTION("""COMPUTED_VALUE"""),0.6666666666666666)</f>
        <v>0.6666666667</v>
      </c>
      <c r="W3822" s="4" t="str">
        <f>IFERROR(__xludf.DUMMYFUNCTION("""COMPUTED_VALUE"""),"N/A (Not found)")</f>
        <v>N/A (Not found)</v>
      </c>
      <c r="X3822" s="33">
        <f>IFERROR(__xludf.DUMMYFUNCTION("""COMPUTED_VALUE"""),0.6666666666666666)</f>
        <v>0.6666666667</v>
      </c>
    </row>
    <row r="3823">
      <c r="K3823" s="4" t="str">
        <f>IFERROR(__xludf.DUMMYFUNCTION("""COMPUTED_VALUE"""),"REDE DOS COSMETICOS - CONTA PAI")</f>
        <v>REDE DOS COSMETICOS - CONTA PAI</v>
      </c>
      <c r="L3823" s="32">
        <f>IFERROR(__xludf.DUMMYFUNCTION("""COMPUTED_VALUE"""),3.0)</f>
        <v>3</v>
      </c>
      <c r="M3823" s="4" t="str">
        <f>IFERROR(__xludf.DUMMYFUNCTION("""COMPUTED_VALUE"""),"null")</f>
        <v>null</v>
      </c>
      <c r="N3823" s="33">
        <f>IFERROR(__xludf.DUMMYFUNCTION("""COMPUTED_VALUE"""),0.6666666666666666)</f>
        <v>0.6666666667</v>
      </c>
      <c r="O3823" s="4" t="str">
        <f>IFERROR(__xludf.DUMMYFUNCTION("""COMPUTED_VALUE"""),"null")</f>
        <v>null</v>
      </c>
      <c r="P3823" s="33">
        <f>IFERROR(__xludf.DUMMYFUNCTION("""COMPUTED_VALUE"""),0.6666666666666666)</f>
        <v>0.6666666667</v>
      </c>
      <c r="Q3823" s="4" t="str">
        <f>IFERROR(__xludf.DUMMYFUNCTION("""COMPUTED_VALUE"""),"N/A (Not found)")</f>
        <v>N/A (Not found)</v>
      </c>
      <c r="R3823" s="33">
        <f>IFERROR(__xludf.DUMMYFUNCTION("""COMPUTED_VALUE"""),0.6666666666666666)</f>
        <v>0.6666666667</v>
      </c>
      <c r="S3823" s="4" t="str">
        <f>IFERROR(__xludf.DUMMYFUNCTION("""COMPUTED_VALUE"""),"null")</f>
        <v>null</v>
      </c>
      <c r="T3823" s="33">
        <f>IFERROR(__xludf.DUMMYFUNCTION("""COMPUTED_VALUE"""),1.0)</f>
        <v>1</v>
      </c>
      <c r="U3823" s="4" t="str">
        <f>IFERROR(__xludf.DUMMYFUNCTION("""COMPUTED_VALUE"""),"null")</f>
        <v>null</v>
      </c>
      <c r="V3823" s="33">
        <f>IFERROR(__xludf.DUMMYFUNCTION("""COMPUTED_VALUE"""),1.0)</f>
        <v>1</v>
      </c>
      <c r="W3823" s="4" t="str">
        <f>IFERROR(__xludf.DUMMYFUNCTION("""COMPUTED_VALUE"""),"null")</f>
        <v>null</v>
      </c>
      <c r="X3823" s="33">
        <f>IFERROR(__xludf.DUMMYFUNCTION("""COMPUTED_VALUE"""),1.0)</f>
        <v>1</v>
      </c>
    </row>
    <row r="3824">
      <c r="K3824" s="4" t="str">
        <f>IFERROR(__xludf.DUMMYFUNCTION("""COMPUTED_VALUE"""),"REDE LITORAL ATACADISTA - CONTA PAI")</f>
        <v>REDE LITORAL ATACADISTA - CONTA PAI</v>
      </c>
      <c r="L3824" s="32">
        <f>IFERROR(__xludf.DUMMYFUNCTION("""COMPUTED_VALUE"""),3.0)</f>
        <v>3</v>
      </c>
      <c r="M3824" s="4" t="str">
        <f>IFERROR(__xludf.DUMMYFUNCTION("""COMPUTED_VALUE"""),"N/A (Not found)")</f>
        <v>N/A (Not found)</v>
      </c>
      <c r="N3824" s="33">
        <f>IFERROR(__xludf.DUMMYFUNCTION("""COMPUTED_VALUE"""),0.6666666666666666)</f>
        <v>0.6666666667</v>
      </c>
      <c r="O3824" s="4" t="str">
        <f>IFERROR(__xludf.DUMMYFUNCTION("""COMPUTED_VALUE"""),"N/A (Not found)")</f>
        <v>N/A (Not found)</v>
      </c>
      <c r="P3824" s="33">
        <f>IFERROR(__xludf.DUMMYFUNCTION("""COMPUTED_VALUE"""),0.6666666666666666)</f>
        <v>0.6666666667</v>
      </c>
      <c r="Q3824" s="4" t="str">
        <f>IFERROR(__xludf.DUMMYFUNCTION("""COMPUTED_VALUE"""),"N/A (Not found)")</f>
        <v>N/A (Not found)</v>
      </c>
      <c r="R3824" s="33">
        <f>IFERROR(__xludf.DUMMYFUNCTION("""COMPUTED_VALUE"""),1.0)</f>
        <v>1</v>
      </c>
      <c r="S3824" s="4" t="str">
        <f>IFERROR(__xludf.DUMMYFUNCTION("""COMPUTED_VALUE"""),"N/A (Not found)")</f>
        <v>N/A (Not found)</v>
      </c>
      <c r="T3824" s="33">
        <f>IFERROR(__xludf.DUMMYFUNCTION("""COMPUTED_VALUE"""),1.0)</f>
        <v>1</v>
      </c>
      <c r="U3824" s="4" t="str">
        <f>IFERROR(__xludf.DUMMYFUNCTION("""COMPUTED_VALUE"""),"N/A (Not found)")</f>
        <v>N/A (Not found)</v>
      </c>
      <c r="V3824" s="33">
        <f>IFERROR(__xludf.DUMMYFUNCTION("""COMPUTED_VALUE"""),1.0)</f>
        <v>1</v>
      </c>
      <c r="W3824" s="4" t="str">
        <f>IFERROR(__xludf.DUMMYFUNCTION("""COMPUTED_VALUE"""),"N/A (Not found)")</f>
        <v>N/A (Not found)</v>
      </c>
      <c r="X3824" s="33">
        <f>IFERROR(__xludf.DUMMYFUNCTION("""COMPUTED_VALUE"""),1.0)</f>
        <v>1</v>
      </c>
    </row>
    <row r="3825">
      <c r="K3825" s="4" t="str">
        <f>IFERROR(__xludf.DUMMYFUNCTION("""COMPUTED_VALUE"""),"REDE PLUS SUPERMERCADOS - CONTA GRUPO")</f>
        <v>REDE PLUS SUPERMERCADOS - CONTA GRUPO</v>
      </c>
      <c r="L3825" s="32">
        <f>IFERROR(__xludf.DUMMYFUNCTION("""COMPUTED_VALUE"""),3.0)</f>
        <v>3</v>
      </c>
      <c r="M3825" s="4" t="str">
        <f>IFERROR(__xludf.DUMMYFUNCTION("""COMPUTED_VALUE"""),"N/A (Not found)")</f>
        <v>N/A (Not found)</v>
      </c>
      <c r="N3825" s="33">
        <f>IFERROR(__xludf.DUMMYFUNCTION("""COMPUTED_VALUE"""),1.0)</f>
        <v>1</v>
      </c>
      <c r="O3825" s="4" t="str">
        <f>IFERROR(__xludf.DUMMYFUNCTION("""COMPUTED_VALUE"""),"N/A (Not found)")</f>
        <v>N/A (Not found)</v>
      </c>
      <c r="P3825" s="33">
        <f>IFERROR(__xludf.DUMMYFUNCTION("""COMPUTED_VALUE"""),1.0)</f>
        <v>1</v>
      </c>
      <c r="Q3825" s="4" t="str">
        <f>IFERROR(__xludf.DUMMYFUNCTION("""COMPUTED_VALUE"""),"N/A (Not found)")</f>
        <v>N/A (Not found)</v>
      </c>
      <c r="R3825" s="33">
        <f>IFERROR(__xludf.DUMMYFUNCTION("""COMPUTED_VALUE"""),1.0)</f>
        <v>1</v>
      </c>
      <c r="S3825" s="4" t="str">
        <f>IFERROR(__xludf.DUMMYFUNCTION("""COMPUTED_VALUE"""),"null")</f>
        <v>null</v>
      </c>
      <c r="T3825" s="33">
        <f>IFERROR(__xludf.DUMMYFUNCTION("""COMPUTED_VALUE"""),1.0)</f>
        <v>1</v>
      </c>
      <c r="U3825" s="4" t="str">
        <f>IFERROR(__xludf.DUMMYFUNCTION("""COMPUTED_VALUE"""),"null")</f>
        <v>null</v>
      </c>
      <c r="V3825" s="33">
        <f>IFERROR(__xludf.DUMMYFUNCTION("""COMPUTED_VALUE"""),1.0)</f>
        <v>1</v>
      </c>
      <c r="W3825" s="4" t="str">
        <f>IFERROR(__xludf.DUMMYFUNCTION("""COMPUTED_VALUE"""),"null")</f>
        <v>null</v>
      </c>
      <c r="X3825" s="33">
        <f>IFERROR(__xludf.DUMMYFUNCTION("""COMPUTED_VALUE"""),1.0)</f>
        <v>1</v>
      </c>
    </row>
    <row r="3826">
      <c r="K3826" s="4" t="str">
        <f>IFERROR(__xludf.DUMMYFUNCTION("""COMPUTED_VALUE"""),"REI DO BAIAO - MANAUS")</f>
        <v>REI DO BAIAO - MANAUS</v>
      </c>
      <c r="L3826" s="32">
        <f>IFERROR(__xludf.DUMMYFUNCTION("""COMPUTED_VALUE"""),3.0)</f>
        <v>3</v>
      </c>
      <c r="M3826" s="4" t="str">
        <f>IFERROR(__xludf.DUMMYFUNCTION("""COMPUTED_VALUE"""),"Izzy Way Tecnologia")</f>
        <v>Izzy Way Tecnologia</v>
      </c>
      <c r="N3826" s="33">
        <f>IFERROR(__xludf.DUMMYFUNCTION("""COMPUTED_VALUE"""),1.0)</f>
        <v>1</v>
      </c>
      <c r="O3826" s="4" t="str">
        <f>IFERROR(__xludf.DUMMYFUNCTION("""COMPUTED_VALUE"""),"Izzy Way Tecnologia")</f>
        <v>Izzy Way Tecnologia</v>
      </c>
      <c r="P3826" s="33">
        <f>IFERROR(__xludf.DUMMYFUNCTION("""COMPUTED_VALUE"""),1.0)</f>
        <v>1</v>
      </c>
      <c r="Q3826" s="4" t="str">
        <f>IFERROR(__xludf.DUMMYFUNCTION("""COMPUTED_VALUE"""),"Izzy Way Tecnologia")</f>
        <v>Izzy Way Tecnologia</v>
      </c>
      <c r="R3826" s="33">
        <f>IFERROR(__xludf.DUMMYFUNCTION("""COMPUTED_VALUE"""),1.0)</f>
        <v>1</v>
      </c>
      <c r="S3826" s="4" t="str">
        <f>IFERROR(__xludf.DUMMYFUNCTION("""COMPUTED_VALUE"""),"Izzy Way Tecnologia")</f>
        <v>Izzy Way Tecnologia</v>
      </c>
      <c r="T3826" s="33">
        <f>IFERROR(__xludf.DUMMYFUNCTION("""COMPUTED_VALUE"""),1.0)</f>
        <v>1</v>
      </c>
      <c r="U3826" s="4" t="str">
        <f>IFERROR(__xludf.DUMMYFUNCTION("""COMPUTED_VALUE"""),"Izzy Way Tecnologia")</f>
        <v>Izzy Way Tecnologia</v>
      </c>
      <c r="V3826" s="33">
        <f>IFERROR(__xludf.DUMMYFUNCTION("""COMPUTED_VALUE"""),1.0)</f>
        <v>1</v>
      </c>
      <c r="W3826" s="4" t="str">
        <f>IFERROR(__xludf.DUMMYFUNCTION("""COMPUTED_VALUE"""),"Izzy Way Tecnologia")</f>
        <v>Izzy Way Tecnologia</v>
      </c>
      <c r="X3826" s="33">
        <f>IFERROR(__xludf.DUMMYFUNCTION("""COMPUTED_VALUE"""),1.0)</f>
        <v>1</v>
      </c>
    </row>
    <row r="3827">
      <c r="K3827" s="4" t="str">
        <f>IFERROR(__xludf.DUMMYFUNCTION("""COMPUTED_VALUE"""),"REI DO SANDUICHE - CONTA MARCA")</f>
        <v>REI DO SANDUICHE - CONTA MARCA</v>
      </c>
      <c r="L3827" s="32">
        <f>IFERROR(__xludf.DUMMYFUNCTION("""COMPUTED_VALUE"""),3.0)</f>
        <v>3</v>
      </c>
      <c r="M3827" s="4" t="str">
        <f>IFERROR(__xludf.DUMMYFUNCTION("""COMPUTED_VALUE"""),"Cardápio Web")</f>
        <v>Cardápio Web</v>
      </c>
      <c r="N3827" s="33">
        <f>IFERROR(__xludf.DUMMYFUNCTION("""COMPUTED_VALUE"""),1.0)</f>
        <v>1</v>
      </c>
      <c r="O3827" s="4" t="str">
        <f>IFERROR(__xludf.DUMMYFUNCTION("""COMPUTED_VALUE"""),"Cardápio Web")</f>
        <v>Cardápio Web</v>
      </c>
      <c r="P3827" s="33">
        <f>IFERROR(__xludf.DUMMYFUNCTION("""COMPUTED_VALUE"""),0.6666666666666666)</f>
        <v>0.6666666667</v>
      </c>
      <c r="Q3827" s="4" t="str">
        <f>IFERROR(__xludf.DUMMYFUNCTION("""COMPUTED_VALUE"""),"Cardápio Web")</f>
        <v>Cardápio Web</v>
      </c>
      <c r="R3827" s="33">
        <f>IFERROR(__xludf.DUMMYFUNCTION("""COMPUTED_VALUE"""),0.6666666666666666)</f>
        <v>0.6666666667</v>
      </c>
      <c r="S3827" s="4" t="str">
        <f>IFERROR(__xludf.DUMMYFUNCTION("""COMPUTED_VALUE"""),"Cardápio Web")</f>
        <v>Cardápio Web</v>
      </c>
      <c r="T3827" s="33">
        <f>IFERROR(__xludf.DUMMYFUNCTION("""COMPUTED_VALUE"""),0.6666666666666666)</f>
        <v>0.6666666667</v>
      </c>
      <c r="U3827" s="4" t="str">
        <f>IFERROR(__xludf.DUMMYFUNCTION("""COMPUTED_VALUE"""),"Cardápio Web")</f>
        <v>Cardápio Web</v>
      </c>
      <c r="V3827" s="33">
        <f>IFERROR(__xludf.DUMMYFUNCTION("""COMPUTED_VALUE"""),1.0)</f>
        <v>1</v>
      </c>
      <c r="W3827" s="4" t="str">
        <f>IFERROR(__xludf.DUMMYFUNCTION("""COMPUTED_VALUE"""),"Cardápio Web")</f>
        <v>Cardápio Web</v>
      </c>
      <c r="X3827" s="33">
        <f>IFERROR(__xludf.DUMMYFUNCTION("""COMPUTED_VALUE"""),1.0)</f>
        <v>1</v>
      </c>
    </row>
    <row r="3828">
      <c r="K3828" s="4" t="str">
        <f>IFERROR(__xludf.DUMMYFUNCTION("""COMPUTED_VALUE"""),"RELLICARIO BRIGADERIA - CONTA PAI")</f>
        <v>RELLICARIO BRIGADERIA - CONTA PAI</v>
      </c>
      <c r="L3828" s="32">
        <f>IFERROR(__xludf.DUMMYFUNCTION("""COMPUTED_VALUE"""),3.0)</f>
        <v>3</v>
      </c>
      <c r="M3828" s="4" t="str">
        <f>IFERROR(__xludf.DUMMYFUNCTION("""COMPUTED_VALUE"""),"Totvs Large Enterprise Tecnologia S.a.")</f>
        <v>Totvs Large Enterprise Tecnologia S.a.</v>
      </c>
      <c r="N3828" s="33">
        <f>IFERROR(__xludf.DUMMYFUNCTION("""COMPUTED_VALUE"""),1.0)</f>
        <v>1</v>
      </c>
      <c r="O3828" s="4" t="str">
        <f>IFERROR(__xludf.DUMMYFUNCTION("""COMPUTED_VALUE"""),"Totvs Large Enterprise Tecnologia S.a.")</f>
        <v>Totvs Large Enterprise Tecnologia S.a.</v>
      </c>
      <c r="P3828" s="33">
        <f>IFERROR(__xludf.DUMMYFUNCTION("""COMPUTED_VALUE"""),1.0)</f>
        <v>1</v>
      </c>
      <c r="Q3828" s="4" t="str">
        <f>IFERROR(__xludf.DUMMYFUNCTION("""COMPUTED_VALUE"""),"Totvs Large Enterprise Tecnologia S.a.")</f>
        <v>Totvs Large Enterprise Tecnologia S.a.</v>
      </c>
      <c r="R3828" s="33">
        <f>IFERROR(__xludf.DUMMYFUNCTION("""COMPUTED_VALUE"""),1.0)</f>
        <v>1</v>
      </c>
      <c r="S3828" s="4" t="str">
        <f>IFERROR(__xludf.DUMMYFUNCTION("""COMPUTED_VALUE"""),"Totvs Large Enterprise Tecnologia S.a.")</f>
        <v>Totvs Large Enterprise Tecnologia S.a.</v>
      </c>
      <c r="T3828" s="33">
        <f>IFERROR(__xludf.DUMMYFUNCTION("""COMPUTED_VALUE"""),1.0)</f>
        <v>1</v>
      </c>
      <c r="U3828" s="4" t="str">
        <f>IFERROR(__xludf.DUMMYFUNCTION("""COMPUTED_VALUE"""),"Totvs Large Enterprise Tecnologia S.a.")</f>
        <v>Totvs Large Enterprise Tecnologia S.a.</v>
      </c>
      <c r="V3828" s="33">
        <f>IFERROR(__xludf.DUMMYFUNCTION("""COMPUTED_VALUE"""),0.6666666666666666)</f>
        <v>0.6666666667</v>
      </c>
      <c r="W3828" s="4" t="str">
        <f>IFERROR(__xludf.DUMMYFUNCTION("""COMPUTED_VALUE"""),"Totvs Large Enterprise Tecnologia S.a.")</f>
        <v>Totvs Large Enterprise Tecnologia S.a.</v>
      </c>
      <c r="X3828" s="33">
        <f>IFERROR(__xludf.DUMMYFUNCTION("""COMPUTED_VALUE"""),0.6666666666666666)</f>
        <v>0.6666666667</v>
      </c>
    </row>
    <row r="3829">
      <c r="K3829" s="4" t="str">
        <f>IFERROR(__xludf.DUMMYFUNCTION("""COMPUTED_VALUE"""),"RESTAURANTE CAFE VIVA")</f>
        <v>RESTAURANTE CAFE VIVA</v>
      </c>
      <c r="L3829" s="32">
        <f>IFERROR(__xludf.DUMMYFUNCTION("""COMPUTED_VALUE"""),3.0)</f>
        <v>3</v>
      </c>
      <c r="M3829" s="4" t="str">
        <f>IFERROR(__xludf.DUMMYFUNCTION("""COMPUTED_VALUE"""),"Saipos Serviços De Software")</f>
        <v>Saipos Serviços De Software</v>
      </c>
      <c r="N3829" s="33">
        <f>IFERROR(__xludf.DUMMYFUNCTION("""COMPUTED_VALUE"""),0.6666666666666666)</f>
        <v>0.6666666667</v>
      </c>
      <c r="O3829" s="4" t="str">
        <f>IFERROR(__xludf.DUMMYFUNCTION("""COMPUTED_VALUE"""),"Saipos Serviços De Software")</f>
        <v>Saipos Serviços De Software</v>
      </c>
      <c r="P3829" s="33">
        <f>IFERROR(__xludf.DUMMYFUNCTION("""COMPUTED_VALUE"""),1.0)</f>
        <v>1</v>
      </c>
      <c r="Q3829" s="4" t="str">
        <f>IFERROR(__xludf.DUMMYFUNCTION("""COMPUTED_VALUE"""),"Saipos Serviços De Software")</f>
        <v>Saipos Serviços De Software</v>
      </c>
      <c r="R3829" s="33">
        <f>IFERROR(__xludf.DUMMYFUNCTION("""COMPUTED_VALUE"""),1.0)</f>
        <v>1</v>
      </c>
      <c r="S3829" s="4" t="str">
        <f>IFERROR(__xludf.DUMMYFUNCTION("""COMPUTED_VALUE"""),"Saipos Serviços De Software")</f>
        <v>Saipos Serviços De Software</v>
      </c>
      <c r="T3829" s="33">
        <f>IFERROR(__xludf.DUMMYFUNCTION("""COMPUTED_VALUE"""),1.0)</f>
        <v>1</v>
      </c>
      <c r="U3829" s="4" t="str">
        <f>IFERROR(__xludf.DUMMYFUNCTION("""COMPUTED_VALUE"""),"Saipos Serviços De Software")</f>
        <v>Saipos Serviços De Software</v>
      </c>
      <c r="V3829" s="33">
        <f>IFERROR(__xludf.DUMMYFUNCTION("""COMPUTED_VALUE"""),1.0)</f>
        <v>1</v>
      </c>
      <c r="W3829" s="4" t="str">
        <f>IFERROR(__xludf.DUMMYFUNCTION("""COMPUTED_VALUE"""),"Saipos Serviços De Software")</f>
        <v>Saipos Serviços De Software</v>
      </c>
      <c r="X3829" s="33">
        <f>IFERROR(__xludf.DUMMYFUNCTION("""COMPUTED_VALUE"""),1.0)</f>
        <v>1</v>
      </c>
    </row>
    <row r="3830">
      <c r="K3830" s="4" t="str">
        <f>IFERROR(__xludf.DUMMYFUNCTION("""COMPUTED_VALUE"""),"RESTAURANTE CASARRARA")</f>
        <v>RESTAURANTE CASARRARA</v>
      </c>
      <c r="L3830" s="32">
        <f>IFERROR(__xludf.DUMMYFUNCTION("""COMPUTED_VALUE"""),3.0)</f>
        <v>3</v>
      </c>
      <c r="M3830" s="4" t="str">
        <f>IFERROR(__xludf.DUMMYFUNCTION("""COMPUTED_VALUE"""),"Saipos Serviços De Software")</f>
        <v>Saipos Serviços De Software</v>
      </c>
      <c r="N3830" s="33">
        <f>IFERROR(__xludf.DUMMYFUNCTION("""COMPUTED_VALUE"""),1.0)</f>
        <v>1</v>
      </c>
      <c r="O3830" s="4" t="str">
        <f>IFERROR(__xludf.DUMMYFUNCTION("""COMPUTED_VALUE"""),"Saipos Serviços De Software")</f>
        <v>Saipos Serviços De Software</v>
      </c>
      <c r="P3830" s="33">
        <f>IFERROR(__xludf.DUMMYFUNCTION("""COMPUTED_VALUE"""),1.0)</f>
        <v>1</v>
      </c>
      <c r="Q3830" s="4" t="str">
        <f>IFERROR(__xludf.DUMMYFUNCTION("""COMPUTED_VALUE"""),"Saipos Serviços De Software")</f>
        <v>Saipos Serviços De Software</v>
      </c>
      <c r="R3830" s="33">
        <f>IFERROR(__xludf.DUMMYFUNCTION("""COMPUTED_VALUE"""),1.0)</f>
        <v>1</v>
      </c>
      <c r="S3830" s="4" t="str">
        <f>IFERROR(__xludf.DUMMYFUNCTION("""COMPUTED_VALUE"""),"Saipos Serviços De Software")</f>
        <v>Saipos Serviços De Software</v>
      </c>
      <c r="T3830" s="33">
        <f>IFERROR(__xludf.DUMMYFUNCTION("""COMPUTED_VALUE"""),1.0)</f>
        <v>1</v>
      </c>
      <c r="U3830" s="4" t="str">
        <f>IFERROR(__xludf.DUMMYFUNCTION("""COMPUTED_VALUE"""),"Saipos Serviços De Software")</f>
        <v>Saipos Serviços De Software</v>
      </c>
      <c r="V3830" s="33">
        <f>IFERROR(__xludf.DUMMYFUNCTION("""COMPUTED_VALUE"""),1.0)</f>
        <v>1</v>
      </c>
      <c r="W3830" s="4" t="str">
        <f>IFERROR(__xludf.DUMMYFUNCTION("""COMPUTED_VALUE"""),"Saipos Serviços De Software")</f>
        <v>Saipos Serviços De Software</v>
      </c>
      <c r="X3830" s="33">
        <f>IFERROR(__xludf.DUMMYFUNCTION("""COMPUTED_VALUE"""),1.0)</f>
        <v>1</v>
      </c>
    </row>
    <row r="3831">
      <c r="K3831" s="4" t="str">
        <f>IFERROR(__xludf.DUMMYFUNCTION("""COMPUTED_VALUE"""),"RESTAURANTE FELIX")</f>
        <v>RESTAURANTE FELIX</v>
      </c>
      <c r="L3831" s="32">
        <f>IFERROR(__xludf.DUMMYFUNCTION("""COMPUTED_VALUE"""),3.0)</f>
        <v>3</v>
      </c>
      <c r="M3831" s="4" t="str">
        <f>IFERROR(__xludf.DUMMYFUNCTION("""COMPUTED_VALUE"""),"Premio Sistemas Ltda")</f>
        <v>Premio Sistemas Ltda</v>
      </c>
      <c r="N3831" s="33">
        <f>IFERROR(__xludf.DUMMYFUNCTION("""COMPUTED_VALUE"""),1.0)</f>
        <v>1</v>
      </c>
      <c r="O3831" s="4" t="str">
        <f>IFERROR(__xludf.DUMMYFUNCTION("""COMPUTED_VALUE"""),"Premio Sistemas Ltda")</f>
        <v>Premio Sistemas Ltda</v>
      </c>
      <c r="P3831" s="33">
        <f>IFERROR(__xludf.DUMMYFUNCTION("""COMPUTED_VALUE"""),0.6666666666666666)</f>
        <v>0.6666666667</v>
      </c>
      <c r="Q3831" s="4" t="str">
        <f>IFERROR(__xludf.DUMMYFUNCTION("""COMPUTED_VALUE"""),"null")</f>
        <v>null</v>
      </c>
      <c r="R3831" s="33">
        <f>IFERROR(__xludf.DUMMYFUNCTION("""COMPUTED_VALUE"""),0.6666666666666666)</f>
        <v>0.6666666667</v>
      </c>
      <c r="S3831" s="4" t="str">
        <f>IFERROR(__xludf.DUMMYFUNCTION("""COMPUTED_VALUE"""),"Premio Sistemas Ltda")</f>
        <v>Premio Sistemas Ltda</v>
      </c>
      <c r="T3831" s="33">
        <f>IFERROR(__xludf.DUMMYFUNCTION("""COMPUTED_VALUE"""),0.6666666666666666)</f>
        <v>0.6666666667</v>
      </c>
      <c r="U3831" s="4" t="str">
        <f>IFERROR(__xludf.DUMMYFUNCTION("""COMPUTED_VALUE"""),"null")</f>
        <v>null</v>
      </c>
      <c r="V3831" s="33">
        <f>IFERROR(__xludf.DUMMYFUNCTION("""COMPUTED_VALUE"""),0.6666666666666666)</f>
        <v>0.6666666667</v>
      </c>
      <c r="W3831" s="4" t="str">
        <f>IFERROR(__xludf.DUMMYFUNCTION("""COMPUTED_VALUE"""),"Premio Sistemas Ltda")</f>
        <v>Premio Sistemas Ltda</v>
      </c>
      <c r="X3831" s="33">
        <f>IFERROR(__xludf.DUMMYFUNCTION("""COMPUTED_VALUE"""),0.6666666666666666)</f>
        <v>0.6666666667</v>
      </c>
    </row>
    <row r="3832">
      <c r="K3832" s="4" t="str">
        <f>IFERROR(__xludf.DUMMYFUNCTION("""COMPUTED_VALUE"""),"RESTAURANTE PARMEGIANA")</f>
        <v>RESTAURANTE PARMEGIANA</v>
      </c>
      <c r="L3832" s="32">
        <f>IFERROR(__xludf.DUMMYFUNCTION("""COMPUTED_VALUE"""),3.0)</f>
        <v>3</v>
      </c>
      <c r="M3832" s="4" t="str">
        <f>IFERROR(__xludf.DUMMYFUNCTION("""COMPUTED_VALUE"""),"Saipos Serviços De Software")</f>
        <v>Saipos Serviços De Software</v>
      </c>
      <c r="N3832" s="33">
        <f>IFERROR(__xludf.DUMMYFUNCTION("""COMPUTED_VALUE"""),1.0)</f>
        <v>1</v>
      </c>
      <c r="O3832" s="4" t="str">
        <f>IFERROR(__xludf.DUMMYFUNCTION("""COMPUTED_VALUE"""),"Saipos Serviços De Software")</f>
        <v>Saipos Serviços De Software</v>
      </c>
      <c r="P3832" s="33">
        <f>IFERROR(__xludf.DUMMYFUNCTION("""COMPUTED_VALUE"""),1.0)</f>
        <v>1</v>
      </c>
      <c r="Q3832" s="4" t="str">
        <f>IFERROR(__xludf.DUMMYFUNCTION("""COMPUTED_VALUE"""),"Saipos Serviços De Software")</f>
        <v>Saipos Serviços De Software</v>
      </c>
      <c r="R3832" s="33">
        <f>IFERROR(__xludf.DUMMYFUNCTION("""COMPUTED_VALUE"""),1.0)</f>
        <v>1</v>
      </c>
      <c r="S3832" s="4" t="str">
        <f>IFERROR(__xludf.DUMMYFUNCTION("""COMPUTED_VALUE"""),"Saipos Serviços De Software")</f>
        <v>Saipos Serviços De Software</v>
      </c>
      <c r="T3832" s="33">
        <f>IFERROR(__xludf.DUMMYFUNCTION("""COMPUTED_VALUE"""),1.0)</f>
        <v>1</v>
      </c>
      <c r="U3832" s="4" t="str">
        <f>IFERROR(__xludf.DUMMYFUNCTION("""COMPUTED_VALUE"""),"Saipos Serviços De Software")</f>
        <v>Saipos Serviços De Software</v>
      </c>
      <c r="V3832" s="33">
        <f>IFERROR(__xludf.DUMMYFUNCTION("""COMPUTED_VALUE"""),1.0)</f>
        <v>1</v>
      </c>
      <c r="W3832" s="4" t="str">
        <f>IFERROR(__xludf.DUMMYFUNCTION("""COMPUTED_VALUE"""),"Saipos Serviços De Software")</f>
        <v>Saipos Serviços De Software</v>
      </c>
      <c r="X3832" s="33">
        <f>IFERROR(__xludf.DUMMYFUNCTION("""COMPUTED_VALUE"""),1.0)</f>
        <v>1</v>
      </c>
    </row>
    <row r="3833">
      <c r="K3833" s="4" t="str">
        <f>IFERROR(__xludf.DUMMYFUNCTION("""COMPUTED_VALUE"""),"RESTAURANTE QUINTAL DO FELIX")</f>
        <v>RESTAURANTE QUINTAL DO FELIX</v>
      </c>
      <c r="L3833" s="32">
        <f>IFERROR(__xludf.DUMMYFUNCTION("""COMPUTED_VALUE"""),3.0)</f>
        <v>3</v>
      </c>
      <c r="M3833" s="4" t="str">
        <f>IFERROR(__xludf.DUMMYFUNCTION("""COMPUTED_VALUE"""),"Saipos Serviços De Software")</f>
        <v>Saipos Serviços De Software</v>
      </c>
      <c r="N3833" s="33">
        <f>IFERROR(__xludf.DUMMYFUNCTION("""COMPUTED_VALUE"""),1.0)</f>
        <v>1</v>
      </c>
      <c r="O3833" s="4" t="str">
        <f>IFERROR(__xludf.DUMMYFUNCTION("""COMPUTED_VALUE"""),"Saipos Serviços De Software")</f>
        <v>Saipos Serviços De Software</v>
      </c>
      <c r="P3833" s="33">
        <f>IFERROR(__xludf.DUMMYFUNCTION("""COMPUTED_VALUE"""),1.0)</f>
        <v>1</v>
      </c>
      <c r="Q3833" s="4" t="str">
        <f>IFERROR(__xludf.DUMMYFUNCTION("""COMPUTED_VALUE"""),"Saipos Serviços De Software")</f>
        <v>Saipos Serviços De Software</v>
      </c>
      <c r="R3833" s="33">
        <f>IFERROR(__xludf.DUMMYFUNCTION("""COMPUTED_VALUE"""),1.0)</f>
        <v>1</v>
      </c>
      <c r="S3833" s="4" t="str">
        <f>IFERROR(__xludf.DUMMYFUNCTION("""COMPUTED_VALUE"""),"Saipos Serviços De Software")</f>
        <v>Saipos Serviços De Software</v>
      </c>
      <c r="T3833" s="33">
        <f>IFERROR(__xludf.DUMMYFUNCTION("""COMPUTED_VALUE"""),0.6666666666666666)</f>
        <v>0.6666666667</v>
      </c>
      <c r="U3833" s="4" t="str">
        <f>IFERROR(__xludf.DUMMYFUNCTION("""COMPUTED_VALUE"""),"Saipos Serviços De Software")</f>
        <v>Saipos Serviços De Software</v>
      </c>
      <c r="V3833" s="33">
        <f>IFERROR(__xludf.DUMMYFUNCTION("""COMPUTED_VALUE"""),1.0)</f>
        <v>1</v>
      </c>
      <c r="W3833" s="4" t="str">
        <f>IFERROR(__xludf.DUMMYFUNCTION("""COMPUTED_VALUE"""),"Saipos Serviços De Software")</f>
        <v>Saipos Serviços De Software</v>
      </c>
      <c r="X3833" s="33">
        <f>IFERROR(__xludf.DUMMYFUNCTION("""COMPUTED_VALUE"""),1.0)</f>
        <v>1</v>
      </c>
    </row>
    <row r="3834">
      <c r="K3834" s="4" t="str">
        <f>IFERROR(__xludf.DUMMYFUNCTION("""COMPUTED_VALUE"""),"RESTAURANTE RECANTO SERTANEJO - MARMITAS CONTA PAI")</f>
        <v>RESTAURANTE RECANTO SERTANEJO - MARMITAS CONTA PAI</v>
      </c>
      <c r="L3834" s="32">
        <f>IFERROR(__xludf.DUMMYFUNCTION("""COMPUTED_VALUE"""),3.0)</f>
        <v>3</v>
      </c>
      <c r="M3834" s="4" t="str">
        <f>IFERROR(__xludf.DUMMYFUNCTION("""COMPUTED_VALUE"""),"Saipos Serviços De Software")</f>
        <v>Saipos Serviços De Software</v>
      </c>
      <c r="N3834" s="33">
        <f>IFERROR(__xludf.DUMMYFUNCTION("""COMPUTED_VALUE"""),0.6666666666666666)</f>
        <v>0.6666666667</v>
      </c>
      <c r="O3834" s="4" t="str">
        <f>IFERROR(__xludf.DUMMYFUNCTION("""COMPUTED_VALUE"""),"Saipos Serviços De Software")</f>
        <v>Saipos Serviços De Software</v>
      </c>
      <c r="P3834" s="33">
        <f>IFERROR(__xludf.DUMMYFUNCTION("""COMPUTED_VALUE"""),0.6666666666666666)</f>
        <v>0.6666666667</v>
      </c>
      <c r="Q3834" s="4" t="str">
        <f>IFERROR(__xludf.DUMMYFUNCTION("""COMPUTED_VALUE"""),"Saipos Serviços De Software")</f>
        <v>Saipos Serviços De Software</v>
      </c>
      <c r="R3834" s="33">
        <f>IFERROR(__xludf.DUMMYFUNCTION("""COMPUTED_VALUE"""),0.6666666666666666)</f>
        <v>0.6666666667</v>
      </c>
      <c r="S3834" s="4" t="str">
        <f>IFERROR(__xludf.DUMMYFUNCTION("""COMPUTED_VALUE"""),"Saipos Serviços De Software")</f>
        <v>Saipos Serviços De Software</v>
      </c>
      <c r="T3834" s="33">
        <f>IFERROR(__xludf.DUMMYFUNCTION("""COMPUTED_VALUE"""),0.6666666666666666)</f>
        <v>0.6666666667</v>
      </c>
      <c r="U3834" s="4" t="str">
        <f>IFERROR(__xludf.DUMMYFUNCTION("""COMPUTED_VALUE"""),"Saipos Serviços De Software")</f>
        <v>Saipos Serviços De Software</v>
      </c>
      <c r="V3834" s="33">
        <f>IFERROR(__xludf.DUMMYFUNCTION("""COMPUTED_VALUE"""),0.6666666666666666)</f>
        <v>0.6666666667</v>
      </c>
      <c r="W3834" s="4" t="str">
        <f>IFERROR(__xludf.DUMMYFUNCTION("""COMPUTED_VALUE"""),"Saipos Serviços De Software")</f>
        <v>Saipos Serviços De Software</v>
      </c>
      <c r="X3834" s="33">
        <f>IFERROR(__xludf.DUMMYFUNCTION("""COMPUTED_VALUE"""),1.0)</f>
        <v>1</v>
      </c>
    </row>
    <row r="3835">
      <c r="K3835" s="4" t="str">
        <f>IFERROR(__xludf.DUMMYFUNCTION("""COMPUTED_VALUE"""),"RESTAURANTE ROANI")</f>
        <v>RESTAURANTE ROANI</v>
      </c>
      <c r="L3835" s="32">
        <f>IFERROR(__xludf.DUMMYFUNCTION("""COMPUTED_VALUE"""),3.0)</f>
        <v>3</v>
      </c>
      <c r="M3835" s="4" t="str">
        <f>IFERROR(__xludf.DUMMYFUNCTION("""COMPUTED_VALUE"""),"null")</f>
        <v>null</v>
      </c>
      <c r="N3835" s="33">
        <f>IFERROR(__xludf.DUMMYFUNCTION("""COMPUTED_VALUE"""),1.0)</f>
        <v>1</v>
      </c>
      <c r="O3835" s="4" t="str">
        <f>IFERROR(__xludf.DUMMYFUNCTION("""COMPUTED_VALUE"""),"null")</f>
        <v>null</v>
      </c>
      <c r="P3835" s="33">
        <f>IFERROR(__xludf.DUMMYFUNCTION("""COMPUTED_VALUE"""),1.0)</f>
        <v>1</v>
      </c>
      <c r="Q3835" s="4" t="str">
        <f>IFERROR(__xludf.DUMMYFUNCTION("""COMPUTED_VALUE"""),"null")</f>
        <v>null</v>
      </c>
      <c r="R3835" s="33">
        <f>IFERROR(__xludf.DUMMYFUNCTION("""COMPUTED_VALUE"""),1.0)</f>
        <v>1</v>
      </c>
      <c r="S3835" s="4" t="str">
        <f>IFERROR(__xludf.DUMMYFUNCTION("""COMPUTED_VALUE"""),"Cardápio Web")</f>
        <v>Cardápio Web</v>
      </c>
      <c r="T3835" s="33">
        <f>IFERROR(__xludf.DUMMYFUNCTION("""COMPUTED_VALUE"""),1.0)</f>
        <v>1</v>
      </c>
      <c r="U3835" s="4" t="str">
        <f>IFERROR(__xludf.DUMMYFUNCTION("""COMPUTED_VALUE"""),"Cardápio Web")</f>
        <v>Cardápio Web</v>
      </c>
      <c r="V3835" s="33">
        <f>IFERROR(__xludf.DUMMYFUNCTION("""COMPUTED_VALUE"""),1.0)</f>
        <v>1</v>
      </c>
      <c r="W3835" s="4" t="str">
        <f>IFERROR(__xludf.DUMMYFUNCTION("""COMPUTED_VALUE"""),"Saipos Serviços De Software")</f>
        <v>Saipos Serviços De Software</v>
      </c>
      <c r="X3835" s="33">
        <f>IFERROR(__xludf.DUMMYFUNCTION("""COMPUTED_VALUE"""),1.0)</f>
        <v>1</v>
      </c>
    </row>
    <row r="3836">
      <c r="K3836" s="4" t="str">
        <f>IFERROR(__xludf.DUMMYFUNCTION("""COMPUTED_VALUE"""),"RESTAURANTE SR BIGODE - MARCA")</f>
        <v>RESTAURANTE SR BIGODE - MARCA</v>
      </c>
      <c r="L3836" s="32">
        <f>IFERROR(__xludf.DUMMYFUNCTION("""COMPUTED_VALUE"""),3.0)</f>
        <v>3</v>
      </c>
      <c r="M3836" s="4" t="str">
        <f>IFERROR(__xludf.DUMMYFUNCTION("""COMPUTED_VALUE"""),"Saipos Serviços De Software")</f>
        <v>Saipos Serviços De Software</v>
      </c>
      <c r="N3836" s="33">
        <f>IFERROR(__xludf.DUMMYFUNCTION("""COMPUTED_VALUE"""),0.6666666666666666)</f>
        <v>0.6666666667</v>
      </c>
      <c r="O3836" s="4" t="str">
        <f>IFERROR(__xludf.DUMMYFUNCTION("""COMPUTED_VALUE"""),"Saipos Serviços De Software")</f>
        <v>Saipos Serviços De Software</v>
      </c>
      <c r="P3836" s="33">
        <f>IFERROR(__xludf.DUMMYFUNCTION("""COMPUTED_VALUE"""),0.6666666666666666)</f>
        <v>0.6666666667</v>
      </c>
      <c r="Q3836" s="4" t="str">
        <f>IFERROR(__xludf.DUMMYFUNCTION("""COMPUTED_VALUE"""),"Saipos Serviços De Software")</f>
        <v>Saipos Serviços De Software</v>
      </c>
      <c r="R3836" s="33">
        <f>IFERROR(__xludf.DUMMYFUNCTION("""COMPUTED_VALUE"""),1.0)</f>
        <v>1</v>
      </c>
      <c r="S3836" s="4" t="str">
        <f>IFERROR(__xludf.DUMMYFUNCTION("""COMPUTED_VALUE"""),"Saipos Serviços De Software")</f>
        <v>Saipos Serviços De Software</v>
      </c>
      <c r="T3836" s="33">
        <f>IFERROR(__xludf.DUMMYFUNCTION("""COMPUTED_VALUE"""),1.0)</f>
        <v>1</v>
      </c>
      <c r="U3836" s="4" t="str">
        <f>IFERROR(__xludf.DUMMYFUNCTION("""COMPUTED_VALUE"""),"Saipos Serviços De Software")</f>
        <v>Saipos Serviços De Software</v>
      </c>
      <c r="V3836" s="33">
        <f>IFERROR(__xludf.DUMMYFUNCTION("""COMPUTED_VALUE"""),1.0)</f>
        <v>1</v>
      </c>
      <c r="W3836" s="4" t="str">
        <f>IFERROR(__xludf.DUMMYFUNCTION("""COMPUTED_VALUE"""),"Saipos Serviços De Software")</f>
        <v>Saipos Serviços De Software</v>
      </c>
      <c r="X3836" s="33">
        <f>IFERROR(__xludf.DUMMYFUNCTION("""COMPUTED_VALUE"""),1.0)</f>
        <v>1</v>
      </c>
    </row>
    <row r="3837">
      <c r="K3837" s="4" t="str">
        <f>IFERROR(__xludf.DUMMYFUNCTION("""COMPUTED_VALUE"""),"RESTAURANTE TUDO DE BOM")</f>
        <v>RESTAURANTE TUDO DE BOM</v>
      </c>
      <c r="L3837" s="32">
        <f>IFERROR(__xludf.DUMMYFUNCTION("""COMPUTED_VALUE"""),3.0)</f>
        <v>3</v>
      </c>
      <c r="M3837" s="4" t="str">
        <f>IFERROR(__xludf.DUMMYFUNCTION("""COMPUTED_VALUE"""),"Mp Multipedidos")</f>
        <v>Mp Multipedidos</v>
      </c>
      <c r="N3837" s="33">
        <f>IFERROR(__xludf.DUMMYFUNCTION("""COMPUTED_VALUE"""),1.0)</f>
        <v>1</v>
      </c>
      <c r="O3837" s="4" t="str">
        <f>IFERROR(__xludf.DUMMYFUNCTION("""COMPUTED_VALUE"""),"Mp Multipedidos")</f>
        <v>Mp Multipedidos</v>
      </c>
      <c r="P3837" s="33">
        <f>IFERROR(__xludf.DUMMYFUNCTION("""COMPUTED_VALUE"""),1.0)</f>
        <v>1</v>
      </c>
      <c r="Q3837" s="4" t="str">
        <f>IFERROR(__xludf.DUMMYFUNCTION("""COMPUTED_VALUE"""),"Mp Multipedidos")</f>
        <v>Mp Multipedidos</v>
      </c>
      <c r="R3837" s="33">
        <f>IFERROR(__xludf.DUMMYFUNCTION("""COMPUTED_VALUE"""),0.6666666666666666)</f>
        <v>0.6666666667</v>
      </c>
      <c r="S3837" s="4" t="str">
        <f>IFERROR(__xludf.DUMMYFUNCTION("""COMPUTED_VALUE"""),"Mp Multipedidos")</f>
        <v>Mp Multipedidos</v>
      </c>
      <c r="T3837" s="33">
        <f>IFERROR(__xludf.DUMMYFUNCTION("""COMPUTED_VALUE"""),1.0)</f>
        <v>1</v>
      </c>
      <c r="U3837" s="4" t="str">
        <f>IFERROR(__xludf.DUMMYFUNCTION("""COMPUTED_VALUE"""),"Mp Multipedidos")</f>
        <v>Mp Multipedidos</v>
      </c>
      <c r="V3837" s="33">
        <f>IFERROR(__xludf.DUMMYFUNCTION("""COMPUTED_VALUE"""),1.0)</f>
        <v>1</v>
      </c>
      <c r="W3837" s="4" t="str">
        <f>IFERROR(__xludf.DUMMYFUNCTION("""COMPUTED_VALUE"""),"Mp Multipedidos")</f>
        <v>Mp Multipedidos</v>
      </c>
      <c r="X3837" s="33">
        <f>IFERROR(__xludf.DUMMYFUNCTION("""COMPUTED_VALUE"""),0.6666666666666666)</f>
        <v>0.6666666667</v>
      </c>
    </row>
    <row r="3838">
      <c r="K3838" s="4" t="str">
        <f>IFERROR(__xludf.DUMMYFUNCTION("""COMPUTED_VALUE"""),"RESTAURANTE VINTAGE- CONTA PAI")</f>
        <v>RESTAURANTE VINTAGE- CONTA PAI</v>
      </c>
      <c r="L3838" s="32">
        <f>IFERROR(__xludf.DUMMYFUNCTION("""COMPUTED_VALUE"""),3.0)</f>
        <v>3</v>
      </c>
      <c r="M3838" s="4" t="str">
        <f>IFERROR(__xludf.DUMMYFUNCTION("""COMPUTED_VALUE"""),"Clickatende Tecnologia Ltda")</f>
        <v>Clickatende Tecnologia Ltda</v>
      </c>
      <c r="N3838" s="33">
        <f>IFERROR(__xludf.DUMMYFUNCTION("""COMPUTED_VALUE"""),0.6666666666666666)</f>
        <v>0.6666666667</v>
      </c>
      <c r="O3838" s="4" t="str">
        <f>IFERROR(__xludf.DUMMYFUNCTION("""COMPUTED_VALUE"""),"Clickatende Tecnologia Ltda")</f>
        <v>Clickatende Tecnologia Ltda</v>
      </c>
      <c r="P3838" s="33">
        <f>IFERROR(__xludf.DUMMYFUNCTION("""COMPUTED_VALUE"""),1.0)</f>
        <v>1</v>
      </c>
      <c r="Q3838" s="4" t="str">
        <f>IFERROR(__xludf.DUMMYFUNCTION("""COMPUTED_VALUE"""),"Clickatende Tecnologia Ltda")</f>
        <v>Clickatende Tecnologia Ltda</v>
      </c>
      <c r="R3838" s="33">
        <f>IFERROR(__xludf.DUMMYFUNCTION("""COMPUTED_VALUE"""),1.0)</f>
        <v>1</v>
      </c>
      <c r="S3838" s="4" t="str">
        <f>IFERROR(__xludf.DUMMYFUNCTION("""COMPUTED_VALUE"""),"Clickatende Tecnologia Ltda")</f>
        <v>Clickatende Tecnologia Ltda</v>
      </c>
      <c r="T3838" s="33">
        <f>IFERROR(__xludf.DUMMYFUNCTION("""COMPUTED_VALUE"""),1.0)</f>
        <v>1</v>
      </c>
      <c r="U3838" s="4" t="str">
        <f>IFERROR(__xludf.DUMMYFUNCTION("""COMPUTED_VALUE"""),"Clickatende Tecnologia Ltda")</f>
        <v>Clickatende Tecnologia Ltda</v>
      </c>
      <c r="V3838" s="33">
        <f>IFERROR(__xludf.DUMMYFUNCTION("""COMPUTED_VALUE"""),1.0)</f>
        <v>1</v>
      </c>
      <c r="W3838" s="4" t="str">
        <f>IFERROR(__xludf.DUMMYFUNCTION("""COMPUTED_VALUE"""),"Clickatende Tecnologia Ltda")</f>
        <v>Clickatende Tecnologia Ltda</v>
      </c>
      <c r="X3838" s="33">
        <f>IFERROR(__xludf.DUMMYFUNCTION("""COMPUTED_VALUE"""),1.0)</f>
        <v>1</v>
      </c>
    </row>
    <row r="3839">
      <c r="K3839" s="4" t="str">
        <f>IFERROR(__xludf.DUMMYFUNCTION("""COMPUTED_VALUE"""),"RESTAURANTE VO CIDA")</f>
        <v>RESTAURANTE VO CIDA</v>
      </c>
      <c r="L3839" s="32">
        <f>IFERROR(__xludf.DUMMYFUNCTION("""COMPUTED_VALUE"""),3.0)</f>
        <v>3</v>
      </c>
      <c r="M3839" s="4" t="str">
        <f>IFERROR(__xludf.DUMMYFUNCTION("""COMPUTED_VALUE"""),"null")</f>
        <v>null</v>
      </c>
      <c r="N3839" s="33">
        <f>IFERROR(__xludf.DUMMYFUNCTION("""COMPUTED_VALUE"""),0.6666666666666666)</f>
        <v>0.6666666667</v>
      </c>
      <c r="O3839" s="4" t="str">
        <f>IFERROR(__xludf.DUMMYFUNCTION("""COMPUTED_VALUE"""),"Parseint Desenvolvimento De Sistemas Ltda")</f>
        <v>Parseint Desenvolvimento De Sistemas Ltda</v>
      </c>
      <c r="P3839" s="33">
        <f>IFERROR(__xludf.DUMMYFUNCTION("""COMPUTED_VALUE"""),0.6666666666666666)</f>
        <v>0.6666666667</v>
      </c>
      <c r="Q3839" s="4" t="str">
        <f>IFERROR(__xludf.DUMMYFUNCTION("""COMPUTED_VALUE"""),"Parseint Desenvolvimento De Sistemas Ltda")</f>
        <v>Parseint Desenvolvimento De Sistemas Ltda</v>
      </c>
      <c r="R3839" s="33">
        <f>IFERROR(__xludf.DUMMYFUNCTION("""COMPUTED_VALUE"""),0.6666666666666666)</f>
        <v>0.6666666667</v>
      </c>
      <c r="S3839" s="4" t="str">
        <f>IFERROR(__xludf.DUMMYFUNCTION("""COMPUTED_VALUE"""),"Parseint Desenvolvimento De Sistemas Ltda")</f>
        <v>Parseint Desenvolvimento De Sistemas Ltda</v>
      </c>
      <c r="T3839" s="33">
        <f>IFERROR(__xludf.DUMMYFUNCTION("""COMPUTED_VALUE"""),0.6666666666666666)</f>
        <v>0.6666666667</v>
      </c>
      <c r="U3839" s="4" t="str">
        <f>IFERROR(__xludf.DUMMYFUNCTION("""COMPUTED_VALUE"""),"Parseint Desenvolvimento De Sistemas Ltda")</f>
        <v>Parseint Desenvolvimento De Sistemas Ltda</v>
      </c>
      <c r="V3839" s="33">
        <f>IFERROR(__xludf.DUMMYFUNCTION("""COMPUTED_VALUE"""),0.6666666666666666)</f>
        <v>0.6666666667</v>
      </c>
      <c r="W3839" s="4" t="str">
        <f>IFERROR(__xludf.DUMMYFUNCTION("""COMPUTED_VALUE"""),"Parseint Desenvolvimento De Sistemas Ltda")</f>
        <v>Parseint Desenvolvimento De Sistemas Ltda</v>
      </c>
      <c r="X3839" s="33">
        <f>IFERROR(__xludf.DUMMYFUNCTION("""COMPUTED_VALUE"""),0.6666666666666666)</f>
        <v>0.6666666667</v>
      </c>
    </row>
    <row r="3840">
      <c r="K3840" s="4" t="str">
        <f>IFERROR(__xludf.DUMMYFUNCTION("""COMPUTED_VALUE"""),"REVERSO RESTAURANTE CONTEMPORANEO")</f>
        <v>REVERSO RESTAURANTE CONTEMPORANEO</v>
      </c>
      <c r="L3840" s="32">
        <f>IFERROR(__xludf.DUMMYFUNCTION("""COMPUTED_VALUE"""),3.0)</f>
        <v>3</v>
      </c>
      <c r="M3840" s="4" t="str">
        <f>IFERROR(__xludf.DUMMYFUNCTION("""COMPUTED_VALUE"""),"Connectplug")</f>
        <v>Connectplug</v>
      </c>
      <c r="N3840" s="33">
        <f>IFERROR(__xludf.DUMMYFUNCTION("""COMPUTED_VALUE"""),1.0)</f>
        <v>1</v>
      </c>
      <c r="O3840" s="4" t="str">
        <f>IFERROR(__xludf.DUMMYFUNCTION("""COMPUTED_VALUE"""),"Connectplug")</f>
        <v>Connectplug</v>
      </c>
      <c r="P3840" s="33">
        <f>IFERROR(__xludf.DUMMYFUNCTION("""COMPUTED_VALUE"""),1.0)</f>
        <v>1</v>
      </c>
      <c r="Q3840" s="4" t="str">
        <f>IFERROR(__xludf.DUMMYFUNCTION("""COMPUTED_VALUE"""),"Connectplug")</f>
        <v>Connectplug</v>
      </c>
      <c r="R3840" s="33">
        <f>IFERROR(__xludf.DUMMYFUNCTION("""COMPUTED_VALUE"""),1.0)</f>
        <v>1</v>
      </c>
      <c r="S3840" s="4" t="str">
        <f>IFERROR(__xludf.DUMMYFUNCTION("""COMPUTED_VALUE"""),"Connectplug")</f>
        <v>Connectplug</v>
      </c>
      <c r="T3840" s="33">
        <f>IFERROR(__xludf.DUMMYFUNCTION("""COMPUTED_VALUE"""),1.0)</f>
        <v>1</v>
      </c>
      <c r="U3840" s="4" t="str">
        <f>IFERROR(__xludf.DUMMYFUNCTION("""COMPUTED_VALUE"""),"Connectplug")</f>
        <v>Connectplug</v>
      </c>
      <c r="V3840" s="33">
        <f>IFERROR(__xludf.DUMMYFUNCTION("""COMPUTED_VALUE"""),1.0)</f>
        <v>1</v>
      </c>
      <c r="W3840" s="4" t="str">
        <f>IFERROR(__xludf.DUMMYFUNCTION("""COMPUTED_VALUE"""),"Connectplug")</f>
        <v>Connectplug</v>
      </c>
      <c r="X3840" s="33">
        <f>IFERROR(__xludf.DUMMYFUNCTION("""COMPUTED_VALUE"""),1.0)</f>
        <v>1</v>
      </c>
    </row>
    <row r="3841">
      <c r="K3841" s="4" t="str">
        <f>IFERROR(__xludf.DUMMYFUNCTION("""COMPUTED_VALUE"""),"RICARDO BUFFET DELIVERY")</f>
        <v>RICARDO BUFFET DELIVERY</v>
      </c>
      <c r="L3841" s="32">
        <f>IFERROR(__xludf.DUMMYFUNCTION("""COMPUTED_VALUE"""),3.0)</f>
        <v>3</v>
      </c>
      <c r="M3841" s="4" t="str">
        <f>IFERROR(__xludf.DUMMYFUNCTION("""COMPUTED_VALUE"""),"Saipos Serviços De Software")</f>
        <v>Saipos Serviços De Software</v>
      </c>
      <c r="N3841" s="33">
        <f>IFERROR(__xludf.DUMMYFUNCTION("""COMPUTED_VALUE"""),0.3333333333333333)</f>
        <v>0.3333333333</v>
      </c>
      <c r="O3841" s="4" t="str">
        <f>IFERROR(__xludf.DUMMYFUNCTION("""COMPUTED_VALUE"""),"Saipos Serviços De Software")</f>
        <v>Saipos Serviços De Software</v>
      </c>
      <c r="P3841" s="33">
        <f>IFERROR(__xludf.DUMMYFUNCTION("""COMPUTED_VALUE"""),0.3333333333333333)</f>
        <v>0.3333333333</v>
      </c>
      <c r="Q3841" s="4" t="str">
        <f>IFERROR(__xludf.DUMMYFUNCTION("""COMPUTED_VALUE"""),"Saipos Serviços De Software")</f>
        <v>Saipos Serviços De Software</v>
      </c>
      <c r="R3841" s="33">
        <f>IFERROR(__xludf.DUMMYFUNCTION("""COMPUTED_VALUE"""),0.3333333333333333)</f>
        <v>0.3333333333</v>
      </c>
      <c r="S3841" s="4" t="str">
        <f>IFERROR(__xludf.DUMMYFUNCTION("""COMPUTED_VALUE"""),"Saipos Serviços De Software")</f>
        <v>Saipos Serviços De Software</v>
      </c>
      <c r="T3841" s="33">
        <f>IFERROR(__xludf.DUMMYFUNCTION("""COMPUTED_VALUE"""),0.3333333333333333)</f>
        <v>0.3333333333</v>
      </c>
      <c r="U3841" s="4" t="str">
        <f>IFERROR(__xludf.DUMMYFUNCTION("""COMPUTED_VALUE"""),"Saipos Serviços De Software")</f>
        <v>Saipos Serviços De Software</v>
      </c>
      <c r="V3841" s="33">
        <f>IFERROR(__xludf.DUMMYFUNCTION("""COMPUTED_VALUE"""),0.3333333333333333)</f>
        <v>0.3333333333</v>
      </c>
      <c r="W3841" s="4" t="str">
        <f>IFERROR(__xludf.DUMMYFUNCTION("""COMPUTED_VALUE"""),"Saipos Serviços De Software")</f>
        <v>Saipos Serviços De Software</v>
      </c>
      <c r="X3841" s="33">
        <f>IFERROR(__xludf.DUMMYFUNCTION("""COMPUTED_VALUE"""),0.3333333333333333)</f>
        <v>0.3333333333</v>
      </c>
    </row>
    <row r="3842">
      <c r="K3842" s="4" t="str">
        <f>IFERROR(__xludf.DUMMYFUNCTION("""COMPUTED_VALUE"""),"RICARDO HAMDAN COZ ARABE - CONTA MARCA")</f>
        <v>RICARDO HAMDAN COZ ARABE - CONTA MARCA</v>
      </c>
      <c r="L3842" s="32">
        <f>IFERROR(__xludf.DUMMYFUNCTION("""COMPUTED_VALUE"""),3.0)</f>
        <v>3</v>
      </c>
      <c r="M3842" s="4" t="str">
        <f>IFERROR(__xludf.DUMMYFUNCTION("""COMPUTED_VALUE"""),"Saipos Serviços De Software")</f>
        <v>Saipos Serviços De Software</v>
      </c>
      <c r="N3842" s="33">
        <f>IFERROR(__xludf.DUMMYFUNCTION("""COMPUTED_VALUE"""),0.6666666666666666)</f>
        <v>0.6666666667</v>
      </c>
      <c r="O3842" s="4" t="str">
        <f>IFERROR(__xludf.DUMMYFUNCTION("""COMPUTED_VALUE"""),"Saipos Serviços De Software")</f>
        <v>Saipos Serviços De Software</v>
      </c>
      <c r="P3842" s="33">
        <f>IFERROR(__xludf.DUMMYFUNCTION("""COMPUTED_VALUE"""),0.6666666666666666)</f>
        <v>0.6666666667</v>
      </c>
      <c r="Q3842" s="4" t="str">
        <f>IFERROR(__xludf.DUMMYFUNCTION("""COMPUTED_VALUE"""),"Saipos Serviços De Software")</f>
        <v>Saipos Serviços De Software</v>
      </c>
      <c r="R3842" s="33">
        <f>IFERROR(__xludf.DUMMYFUNCTION("""COMPUTED_VALUE"""),1.0)</f>
        <v>1</v>
      </c>
      <c r="S3842" s="4" t="str">
        <f>IFERROR(__xludf.DUMMYFUNCTION("""COMPUTED_VALUE"""),"Saipos Serviços De Software")</f>
        <v>Saipos Serviços De Software</v>
      </c>
      <c r="T3842" s="33">
        <f>IFERROR(__xludf.DUMMYFUNCTION("""COMPUTED_VALUE"""),1.0)</f>
        <v>1</v>
      </c>
      <c r="U3842" s="4" t="str">
        <f>IFERROR(__xludf.DUMMYFUNCTION("""COMPUTED_VALUE"""),"Saipos Serviços De Software")</f>
        <v>Saipos Serviços De Software</v>
      </c>
      <c r="V3842" s="33">
        <f>IFERROR(__xludf.DUMMYFUNCTION("""COMPUTED_VALUE"""),1.0)</f>
        <v>1</v>
      </c>
      <c r="W3842" s="4" t="str">
        <f>IFERROR(__xludf.DUMMYFUNCTION("""COMPUTED_VALUE"""),"Saipos Serviços De Software")</f>
        <v>Saipos Serviços De Software</v>
      </c>
      <c r="X3842" s="33">
        <f>IFERROR(__xludf.DUMMYFUNCTION("""COMPUTED_VALUE"""),1.0)</f>
        <v>1</v>
      </c>
    </row>
    <row r="3843">
      <c r="K3843" s="4" t="str">
        <f>IFERROR(__xludf.DUMMYFUNCTION("""COMPUTED_VALUE"""),"RITZ")</f>
        <v>RITZ</v>
      </c>
      <c r="L3843" s="32">
        <f>IFERROR(__xludf.DUMMYFUNCTION("""COMPUTED_VALUE"""),3.0)</f>
        <v>3</v>
      </c>
      <c r="M3843" s="4" t="str">
        <f>IFERROR(__xludf.DUMMYFUNCTION("""COMPUTED_VALUE"""),"Altec Sistemas")</f>
        <v>Altec Sistemas</v>
      </c>
      <c r="N3843" s="33">
        <f>IFERROR(__xludf.DUMMYFUNCTION("""COMPUTED_VALUE"""),1.0)</f>
        <v>1</v>
      </c>
      <c r="O3843" s="4" t="str">
        <f>IFERROR(__xludf.DUMMYFUNCTION("""COMPUTED_VALUE"""),"Altec Sistemas")</f>
        <v>Altec Sistemas</v>
      </c>
      <c r="P3843" s="33">
        <f>IFERROR(__xludf.DUMMYFUNCTION("""COMPUTED_VALUE"""),1.0)</f>
        <v>1</v>
      </c>
      <c r="Q3843" s="4" t="str">
        <f>IFERROR(__xludf.DUMMYFUNCTION("""COMPUTED_VALUE"""),"Altec Sistemas")</f>
        <v>Altec Sistemas</v>
      </c>
      <c r="R3843" s="33">
        <f>IFERROR(__xludf.DUMMYFUNCTION("""COMPUTED_VALUE"""),1.0)</f>
        <v>1</v>
      </c>
      <c r="S3843" s="4" t="str">
        <f>IFERROR(__xludf.DUMMYFUNCTION("""COMPUTED_VALUE"""),"Altec Sistemas")</f>
        <v>Altec Sistemas</v>
      </c>
      <c r="T3843" s="33">
        <f>IFERROR(__xludf.DUMMYFUNCTION("""COMPUTED_VALUE"""),1.0)</f>
        <v>1</v>
      </c>
      <c r="U3843" s="4" t="str">
        <f>IFERROR(__xludf.DUMMYFUNCTION("""COMPUTED_VALUE"""),"Altec Sistemas")</f>
        <v>Altec Sistemas</v>
      </c>
      <c r="V3843" s="33">
        <f>IFERROR(__xludf.DUMMYFUNCTION("""COMPUTED_VALUE"""),1.0)</f>
        <v>1</v>
      </c>
      <c r="W3843" s="4" t="str">
        <f>IFERROR(__xludf.DUMMYFUNCTION("""COMPUTED_VALUE"""),"Altec Sistemas")</f>
        <v>Altec Sistemas</v>
      </c>
      <c r="X3843" s="33">
        <f>IFERROR(__xludf.DUMMYFUNCTION("""COMPUTED_VALUE"""),1.0)</f>
        <v>1</v>
      </c>
    </row>
    <row r="3844">
      <c r="K3844" s="4" t="str">
        <f>IFERROR(__xludf.DUMMYFUNCTION("""COMPUTED_VALUE"""),"ROLE SUSHI DELIVERY")</f>
        <v>ROLE SUSHI DELIVERY</v>
      </c>
      <c r="L3844" s="32">
        <f>IFERROR(__xludf.DUMMYFUNCTION("""COMPUTED_VALUE"""),3.0)</f>
        <v>3</v>
      </c>
      <c r="M3844" s="4" t="str">
        <f>IFERROR(__xludf.DUMMYFUNCTION("""COMPUTED_VALUE"""),"Saipos Serviços De Software")</f>
        <v>Saipos Serviços De Software</v>
      </c>
      <c r="N3844" s="33">
        <f>IFERROR(__xludf.DUMMYFUNCTION("""COMPUTED_VALUE"""),1.0)</f>
        <v>1</v>
      </c>
      <c r="O3844" s="4" t="str">
        <f>IFERROR(__xludf.DUMMYFUNCTION("""COMPUTED_VALUE"""),"Saipos Serviços De Software")</f>
        <v>Saipos Serviços De Software</v>
      </c>
      <c r="P3844" s="33">
        <f>IFERROR(__xludf.DUMMYFUNCTION("""COMPUTED_VALUE"""),1.0)</f>
        <v>1</v>
      </c>
      <c r="Q3844" s="4" t="str">
        <f>IFERROR(__xludf.DUMMYFUNCTION("""COMPUTED_VALUE"""),"Saipos Serviços De Software")</f>
        <v>Saipos Serviços De Software</v>
      </c>
      <c r="R3844" s="33">
        <f>IFERROR(__xludf.DUMMYFUNCTION("""COMPUTED_VALUE"""),1.0)</f>
        <v>1</v>
      </c>
      <c r="S3844" s="4" t="str">
        <f>IFERROR(__xludf.DUMMYFUNCTION("""COMPUTED_VALUE"""),"Saipos Serviços De Software")</f>
        <v>Saipos Serviços De Software</v>
      </c>
      <c r="T3844" s="33">
        <f>IFERROR(__xludf.DUMMYFUNCTION("""COMPUTED_VALUE"""),1.0)</f>
        <v>1</v>
      </c>
      <c r="U3844" s="4" t="str">
        <f>IFERROR(__xludf.DUMMYFUNCTION("""COMPUTED_VALUE"""),"Saipos Serviços De Software")</f>
        <v>Saipos Serviços De Software</v>
      </c>
      <c r="V3844" s="33">
        <f>IFERROR(__xludf.DUMMYFUNCTION("""COMPUTED_VALUE"""),1.0)</f>
        <v>1</v>
      </c>
      <c r="W3844" s="4" t="str">
        <f>IFERROR(__xludf.DUMMYFUNCTION("""COMPUTED_VALUE"""),"Saipos Serviços De Software")</f>
        <v>Saipos Serviços De Software</v>
      </c>
      <c r="X3844" s="33">
        <f>IFERROR(__xludf.DUMMYFUNCTION("""COMPUTED_VALUE"""),1.0)</f>
        <v>1</v>
      </c>
    </row>
    <row r="3845">
      <c r="K3845" s="4" t="str">
        <f>IFERROR(__xludf.DUMMYFUNCTION("""COMPUTED_VALUE"""),"ROMAGU")</f>
        <v>ROMAGU</v>
      </c>
      <c r="L3845" s="32">
        <f>IFERROR(__xludf.DUMMYFUNCTION("""COMPUTED_VALUE"""),3.0)</f>
        <v>3</v>
      </c>
      <c r="M3845" s="4" t="str">
        <f>IFERROR(__xludf.DUMMYFUNCTION("""COMPUTED_VALUE"""),"Eclética Tecnologia")</f>
        <v>Eclética Tecnologia</v>
      </c>
      <c r="N3845" s="33">
        <f>IFERROR(__xludf.DUMMYFUNCTION("""COMPUTED_VALUE"""),1.0)</f>
        <v>1</v>
      </c>
      <c r="O3845" s="4" t="str">
        <f>IFERROR(__xludf.DUMMYFUNCTION("""COMPUTED_VALUE"""),"Eclética Tecnologia")</f>
        <v>Eclética Tecnologia</v>
      </c>
      <c r="P3845" s="33">
        <f>IFERROR(__xludf.DUMMYFUNCTION("""COMPUTED_VALUE"""),0.6666666666666666)</f>
        <v>0.6666666667</v>
      </c>
      <c r="Q3845" s="4" t="str">
        <f>IFERROR(__xludf.DUMMYFUNCTION("""COMPUTED_VALUE"""),"Eclética Tecnologia")</f>
        <v>Eclética Tecnologia</v>
      </c>
      <c r="R3845" s="33">
        <f>IFERROR(__xludf.DUMMYFUNCTION("""COMPUTED_VALUE"""),0.6666666666666666)</f>
        <v>0.6666666667</v>
      </c>
      <c r="S3845" s="4" t="str">
        <f>IFERROR(__xludf.DUMMYFUNCTION("""COMPUTED_VALUE"""),"Eclética Tecnologia")</f>
        <v>Eclética Tecnologia</v>
      </c>
      <c r="T3845" s="33">
        <f>IFERROR(__xludf.DUMMYFUNCTION("""COMPUTED_VALUE"""),1.0)</f>
        <v>1</v>
      </c>
      <c r="U3845" s="4" t="str">
        <f>IFERROR(__xludf.DUMMYFUNCTION("""COMPUTED_VALUE"""),"null")</f>
        <v>null</v>
      </c>
      <c r="V3845" s="33">
        <f>IFERROR(__xludf.DUMMYFUNCTION("""COMPUTED_VALUE"""),0.6666666666666666)</f>
        <v>0.6666666667</v>
      </c>
      <c r="W3845" s="4" t="str">
        <f>IFERROR(__xludf.DUMMYFUNCTION("""COMPUTED_VALUE"""),"null")</f>
        <v>null</v>
      </c>
      <c r="X3845" s="33">
        <f>IFERROR(__xludf.DUMMYFUNCTION("""COMPUTED_VALUE"""),1.0)</f>
        <v>1</v>
      </c>
    </row>
    <row r="3846">
      <c r="K3846" s="4" t="str">
        <f>IFERROR(__xludf.DUMMYFUNCTION("""COMPUTED_VALUE"""),"ROUTE41BURGUERS")</f>
        <v>ROUTE41BURGUERS</v>
      </c>
      <c r="L3846" s="32">
        <f>IFERROR(__xludf.DUMMYFUNCTION("""COMPUTED_VALUE"""),3.0)</f>
        <v>3</v>
      </c>
      <c r="M3846" s="4" t="str">
        <f>IFERROR(__xludf.DUMMYFUNCTION("""COMPUTED_VALUE"""),"Hubzy")</f>
        <v>Hubzy</v>
      </c>
      <c r="N3846" s="33">
        <f>IFERROR(__xludf.DUMMYFUNCTION("""COMPUTED_VALUE"""),0.6666666666666666)</f>
        <v>0.6666666667</v>
      </c>
      <c r="O3846" s="4" t="str">
        <f>IFERROR(__xludf.DUMMYFUNCTION("""COMPUTED_VALUE"""),"Hubzy")</f>
        <v>Hubzy</v>
      </c>
      <c r="P3846" s="33">
        <f>IFERROR(__xludf.DUMMYFUNCTION("""COMPUTED_VALUE"""),1.0)</f>
        <v>1</v>
      </c>
      <c r="Q3846" s="4" t="str">
        <f>IFERROR(__xludf.DUMMYFUNCTION("""COMPUTED_VALUE"""),"Hubzy")</f>
        <v>Hubzy</v>
      </c>
      <c r="R3846" s="33">
        <f>IFERROR(__xludf.DUMMYFUNCTION("""COMPUTED_VALUE"""),1.0)</f>
        <v>1</v>
      </c>
      <c r="S3846" s="4" t="str">
        <f>IFERROR(__xludf.DUMMYFUNCTION("""COMPUTED_VALUE"""),"Hubzy")</f>
        <v>Hubzy</v>
      </c>
      <c r="T3846" s="33">
        <f>IFERROR(__xludf.DUMMYFUNCTION("""COMPUTED_VALUE"""),0.6666666666666666)</f>
        <v>0.6666666667</v>
      </c>
      <c r="U3846" s="4" t="str">
        <f>IFERROR(__xludf.DUMMYFUNCTION("""COMPUTED_VALUE"""),"Hubzy")</f>
        <v>Hubzy</v>
      </c>
      <c r="V3846" s="33">
        <f>IFERROR(__xludf.DUMMYFUNCTION("""COMPUTED_VALUE"""),1.0)</f>
        <v>1</v>
      </c>
      <c r="W3846" s="4" t="str">
        <f>IFERROR(__xludf.DUMMYFUNCTION("""COMPUTED_VALUE"""),"Hubzy")</f>
        <v>Hubzy</v>
      </c>
      <c r="X3846" s="33">
        <f>IFERROR(__xludf.DUMMYFUNCTION("""COMPUTED_VALUE"""),1.0)</f>
        <v>1</v>
      </c>
    </row>
    <row r="3847">
      <c r="K3847" s="4" t="str">
        <f>IFERROR(__xludf.DUMMYFUNCTION("""COMPUTED_VALUE"""),"SABOR DA VILA 013")</f>
        <v>SABOR DA VILA 013</v>
      </c>
      <c r="L3847" s="32">
        <f>IFERROR(__xludf.DUMMYFUNCTION("""COMPUTED_VALUE"""),3.0)</f>
        <v>3</v>
      </c>
      <c r="M3847" s="4" t="str">
        <f>IFERROR(__xludf.DUMMYFUNCTION("""COMPUTED_VALUE"""),"Parseint Desenvolvimento De Sistemas Ltda")</f>
        <v>Parseint Desenvolvimento De Sistemas Ltda</v>
      </c>
      <c r="N3847" s="33">
        <f>IFERROR(__xludf.DUMMYFUNCTION("""COMPUTED_VALUE"""),1.0)</f>
        <v>1</v>
      </c>
      <c r="O3847" s="4" t="str">
        <f>IFERROR(__xludf.DUMMYFUNCTION("""COMPUTED_VALUE"""),"null")</f>
        <v>null</v>
      </c>
      <c r="P3847" s="33">
        <f>IFERROR(__xludf.DUMMYFUNCTION("""COMPUTED_VALUE"""),0.6666666666666666)</f>
        <v>0.6666666667</v>
      </c>
      <c r="Q3847" s="4" t="str">
        <f>IFERROR(__xludf.DUMMYFUNCTION("""COMPUTED_VALUE"""),"Parseint Desenvolvimento De Sistemas Ltda")</f>
        <v>Parseint Desenvolvimento De Sistemas Ltda</v>
      </c>
      <c r="R3847" s="33">
        <f>IFERROR(__xludf.DUMMYFUNCTION("""COMPUTED_VALUE"""),1.0)</f>
        <v>1</v>
      </c>
      <c r="S3847" s="4" t="str">
        <f>IFERROR(__xludf.DUMMYFUNCTION("""COMPUTED_VALUE"""),"Parseint Desenvolvimento De Sistemas Ltda")</f>
        <v>Parseint Desenvolvimento De Sistemas Ltda</v>
      </c>
      <c r="T3847" s="33">
        <f>IFERROR(__xludf.DUMMYFUNCTION("""COMPUTED_VALUE"""),1.0)</f>
        <v>1</v>
      </c>
      <c r="U3847" s="4" t="str">
        <f>IFERROR(__xludf.DUMMYFUNCTION("""COMPUTED_VALUE"""),"null")</f>
        <v>null</v>
      </c>
      <c r="V3847" s="33">
        <f>IFERROR(__xludf.DUMMYFUNCTION("""COMPUTED_VALUE"""),1.0)</f>
        <v>1</v>
      </c>
      <c r="W3847" s="4" t="str">
        <f>IFERROR(__xludf.DUMMYFUNCTION("""COMPUTED_VALUE"""),"null")</f>
        <v>null</v>
      </c>
      <c r="X3847" s="33">
        <f>IFERROR(__xludf.DUMMYFUNCTION("""COMPUTED_VALUE"""),1.0)</f>
        <v>1</v>
      </c>
    </row>
    <row r="3848">
      <c r="K3848" s="4" t="str">
        <f>IFERROR(__xludf.DUMMYFUNCTION("""COMPUTED_VALUE"""),"SABOR DE LUNA - CONTA MARCA")</f>
        <v>SABOR DE LUNA - CONTA MARCA</v>
      </c>
      <c r="L3848" s="32">
        <f>IFERROR(__xludf.DUMMYFUNCTION("""COMPUTED_VALUE"""),3.0)</f>
        <v>3</v>
      </c>
      <c r="M3848" s="4" t="str">
        <f>IFERROR(__xludf.DUMMYFUNCTION("""COMPUTED_VALUE"""),"Cloudfy")</f>
        <v>Cloudfy</v>
      </c>
      <c r="N3848" s="33">
        <f>IFERROR(__xludf.DUMMYFUNCTION("""COMPUTED_VALUE"""),1.0)</f>
        <v>1</v>
      </c>
      <c r="O3848" s="4" t="str">
        <f>IFERROR(__xludf.DUMMYFUNCTION("""COMPUTED_VALUE"""),"Cloudfy")</f>
        <v>Cloudfy</v>
      </c>
      <c r="P3848" s="33">
        <f>IFERROR(__xludf.DUMMYFUNCTION("""COMPUTED_VALUE"""),1.0)</f>
        <v>1</v>
      </c>
      <c r="Q3848" s="4" t="str">
        <f>IFERROR(__xludf.DUMMYFUNCTION("""COMPUTED_VALUE"""),"Cloudfy")</f>
        <v>Cloudfy</v>
      </c>
      <c r="R3848" s="33">
        <f>IFERROR(__xludf.DUMMYFUNCTION("""COMPUTED_VALUE"""),1.0)</f>
        <v>1</v>
      </c>
      <c r="S3848" s="4" t="str">
        <f>IFERROR(__xludf.DUMMYFUNCTION("""COMPUTED_VALUE"""),"Cloudfy")</f>
        <v>Cloudfy</v>
      </c>
      <c r="T3848" s="33">
        <f>IFERROR(__xludf.DUMMYFUNCTION("""COMPUTED_VALUE"""),1.0)</f>
        <v>1</v>
      </c>
      <c r="U3848" s="4" t="str">
        <f>IFERROR(__xludf.DUMMYFUNCTION("""COMPUTED_VALUE"""),"Cloudfy")</f>
        <v>Cloudfy</v>
      </c>
      <c r="V3848" s="33">
        <f>IFERROR(__xludf.DUMMYFUNCTION("""COMPUTED_VALUE"""),1.0)</f>
        <v>1</v>
      </c>
      <c r="W3848" s="4" t="str">
        <f>IFERROR(__xludf.DUMMYFUNCTION("""COMPUTED_VALUE"""),"Cloudfy")</f>
        <v>Cloudfy</v>
      </c>
      <c r="X3848" s="33">
        <f>IFERROR(__xludf.DUMMYFUNCTION("""COMPUTED_VALUE"""),0.6666666666666666)</f>
        <v>0.6666666667</v>
      </c>
    </row>
    <row r="3849">
      <c r="K3849" s="4" t="str">
        <f>IFERROR(__xludf.DUMMYFUNCTION("""COMPUTED_VALUE"""),"SABOR E ARTE RESTAURANTE E BISTRO")</f>
        <v>SABOR E ARTE RESTAURANTE E BISTRO</v>
      </c>
      <c r="L3849" s="32">
        <f>IFERROR(__xludf.DUMMYFUNCTION("""COMPUTED_VALUE"""),3.0)</f>
        <v>3</v>
      </c>
      <c r="M3849" s="4" t="str">
        <f>IFERROR(__xludf.DUMMYFUNCTION("""COMPUTED_VALUE"""),"Hubzy")</f>
        <v>Hubzy</v>
      </c>
      <c r="N3849" s="33">
        <f>IFERROR(__xludf.DUMMYFUNCTION("""COMPUTED_VALUE"""),0.6666666666666666)</f>
        <v>0.6666666667</v>
      </c>
      <c r="O3849" s="4" t="str">
        <f>IFERROR(__xludf.DUMMYFUNCTION("""COMPUTED_VALUE"""),"null")</f>
        <v>null</v>
      </c>
      <c r="P3849" s="33">
        <f>IFERROR(__xludf.DUMMYFUNCTION("""COMPUTED_VALUE"""),1.0)</f>
        <v>1</v>
      </c>
      <c r="Q3849" s="4" t="str">
        <f>IFERROR(__xludf.DUMMYFUNCTION("""COMPUTED_VALUE"""),"null")</f>
        <v>null</v>
      </c>
      <c r="R3849" s="33">
        <f>IFERROR(__xludf.DUMMYFUNCTION("""COMPUTED_VALUE"""),0.6666666666666666)</f>
        <v>0.6666666667</v>
      </c>
      <c r="S3849" s="4" t="str">
        <f>IFERROR(__xludf.DUMMYFUNCTION("""COMPUTED_VALUE"""),"null")</f>
        <v>null</v>
      </c>
      <c r="T3849" s="33">
        <f>IFERROR(__xludf.DUMMYFUNCTION("""COMPUTED_VALUE"""),0.3333333333333333)</f>
        <v>0.3333333333</v>
      </c>
      <c r="U3849" s="4" t="str">
        <f>IFERROR(__xludf.DUMMYFUNCTION("""COMPUTED_VALUE"""),"null")</f>
        <v>null</v>
      </c>
      <c r="V3849" s="33">
        <f>IFERROR(__xludf.DUMMYFUNCTION("""COMPUTED_VALUE"""),0.3333333333333333)</f>
        <v>0.3333333333</v>
      </c>
      <c r="W3849" s="4" t="str">
        <f>IFERROR(__xludf.DUMMYFUNCTION("""COMPUTED_VALUE"""),"Hubzy")</f>
        <v>Hubzy</v>
      </c>
      <c r="X3849" s="33">
        <f>IFERROR(__xludf.DUMMYFUNCTION("""COMPUTED_VALUE"""),0.6666666666666666)</f>
        <v>0.6666666667</v>
      </c>
    </row>
    <row r="3850">
      <c r="K3850" s="4" t="str">
        <f>IFERROR(__xludf.DUMMYFUNCTION("""COMPUTED_VALUE"""),"SABORES - UBERLANDIA")</f>
        <v>SABORES - UBERLANDIA</v>
      </c>
      <c r="L3850" s="32">
        <f>IFERROR(__xludf.DUMMYFUNCTION("""COMPUTED_VALUE"""),3.0)</f>
        <v>3</v>
      </c>
      <c r="M3850" s="4" t="str">
        <f>IFERROR(__xludf.DUMMYFUNCTION("""COMPUTED_VALUE"""),"null")</f>
        <v>null</v>
      </c>
      <c r="N3850" s="33">
        <f>IFERROR(__xludf.DUMMYFUNCTION("""COMPUTED_VALUE"""),1.0)</f>
        <v>1</v>
      </c>
      <c r="O3850" s="4" t="str">
        <f>IFERROR(__xludf.DUMMYFUNCTION("""COMPUTED_VALUE"""),"null")</f>
        <v>null</v>
      </c>
      <c r="P3850" s="33">
        <f>IFERROR(__xludf.DUMMYFUNCTION("""COMPUTED_VALUE"""),1.0)</f>
        <v>1</v>
      </c>
      <c r="Q3850" s="4" t="str">
        <f>IFERROR(__xludf.DUMMYFUNCTION("""COMPUTED_VALUE"""),"null")</f>
        <v>null</v>
      </c>
      <c r="R3850" s="33">
        <f>IFERROR(__xludf.DUMMYFUNCTION("""COMPUTED_VALUE"""),1.0)</f>
        <v>1</v>
      </c>
      <c r="S3850" s="4" t="str">
        <f>IFERROR(__xludf.DUMMYFUNCTION("""COMPUTED_VALUE"""),"null")</f>
        <v>null</v>
      </c>
      <c r="T3850" s="33">
        <f>IFERROR(__xludf.DUMMYFUNCTION("""COMPUTED_VALUE"""),1.0)</f>
        <v>1</v>
      </c>
      <c r="U3850" s="4" t="str">
        <f>IFERROR(__xludf.DUMMYFUNCTION("""COMPUTED_VALUE"""),"Saipos Serviços De Software")</f>
        <v>Saipos Serviços De Software</v>
      </c>
      <c r="V3850" s="33">
        <f>IFERROR(__xludf.DUMMYFUNCTION("""COMPUTED_VALUE"""),1.0)</f>
        <v>1</v>
      </c>
      <c r="W3850" s="4" t="str">
        <f>IFERROR(__xludf.DUMMYFUNCTION("""COMPUTED_VALUE"""),"Saipos Serviços De Software")</f>
        <v>Saipos Serviços De Software</v>
      </c>
      <c r="X3850" s="33">
        <f>IFERROR(__xludf.DUMMYFUNCTION("""COMPUTED_VALUE"""),1.0)</f>
        <v>1</v>
      </c>
    </row>
    <row r="3851">
      <c r="K3851" s="4" t="str">
        <f>IFERROR(__xludf.DUMMYFUNCTION("""COMPUTED_VALUE"""),"SABORES NA MARMITA - MARCA")</f>
        <v>SABORES NA MARMITA - MARCA</v>
      </c>
      <c r="L3851" s="32">
        <f>IFERROR(__xludf.DUMMYFUNCTION("""COMPUTED_VALUE"""),3.0)</f>
        <v>3</v>
      </c>
      <c r="M3851" s="4" t="str">
        <f>IFERROR(__xludf.DUMMYFUNCTION("""COMPUTED_VALUE"""),"Saipos Serviços De Software")</f>
        <v>Saipos Serviços De Software</v>
      </c>
      <c r="N3851" s="33">
        <f>IFERROR(__xludf.DUMMYFUNCTION("""COMPUTED_VALUE"""),1.0)</f>
        <v>1</v>
      </c>
      <c r="O3851" s="4" t="str">
        <f>IFERROR(__xludf.DUMMYFUNCTION("""COMPUTED_VALUE"""),"Saipos Serviços De Software")</f>
        <v>Saipos Serviços De Software</v>
      </c>
      <c r="P3851" s="33">
        <f>IFERROR(__xludf.DUMMYFUNCTION("""COMPUTED_VALUE"""),1.0)</f>
        <v>1</v>
      </c>
      <c r="Q3851" s="4" t="str">
        <f>IFERROR(__xludf.DUMMYFUNCTION("""COMPUTED_VALUE"""),"Saipos Serviços De Software")</f>
        <v>Saipos Serviços De Software</v>
      </c>
      <c r="R3851" s="33">
        <f>IFERROR(__xludf.DUMMYFUNCTION("""COMPUTED_VALUE"""),1.0)</f>
        <v>1</v>
      </c>
      <c r="S3851" s="4" t="str">
        <f>IFERROR(__xludf.DUMMYFUNCTION("""COMPUTED_VALUE"""),"Saipos Serviços De Software")</f>
        <v>Saipos Serviços De Software</v>
      </c>
      <c r="T3851" s="33">
        <f>IFERROR(__xludf.DUMMYFUNCTION("""COMPUTED_VALUE"""),1.0)</f>
        <v>1</v>
      </c>
      <c r="U3851" s="4" t="str">
        <f>IFERROR(__xludf.DUMMYFUNCTION("""COMPUTED_VALUE"""),"Saipos Serviços De Software")</f>
        <v>Saipos Serviços De Software</v>
      </c>
      <c r="V3851" s="33">
        <f>IFERROR(__xludf.DUMMYFUNCTION("""COMPUTED_VALUE"""),1.0)</f>
        <v>1</v>
      </c>
      <c r="W3851" s="4" t="str">
        <f>IFERROR(__xludf.DUMMYFUNCTION("""COMPUTED_VALUE"""),"Saipos Serviços De Software")</f>
        <v>Saipos Serviços De Software</v>
      </c>
      <c r="X3851" s="33">
        <f>IFERROR(__xludf.DUMMYFUNCTION("""COMPUTED_VALUE"""),1.0)</f>
        <v>1</v>
      </c>
    </row>
    <row r="3852">
      <c r="K3852" s="4" t="str">
        <f>IFERROR(__xludf.DUMMYFUNCTION("""COMPUTED_VALUE"""),"SACHO")</f>
        <v>SACHO</v>
      </c>
      <c r="L3852" s="32">
        <f>IFERROR(__xludf.DUMMYFUNCTION("""COMPUTED_VALUE"""),3.0)</f>
        <v>3</v>
      </c>
      <c r="M3852" s="4" t="str">
        <f>IFERROR(__xludf.DUMMYFUNCTION("""COMPUTED_VALUE"""),"Eclética Tecnologia")</f>
        <v>Eclética Tecnologia</v>
      </c>
      <c r="N3852" s="33">
        <f>IFERROR(__xludf.DUMMYFUNCTION("""COMPUTED_VALUE"""),1.0)</f>
        <v>1</v>
      </c>
      <c r="O3852" s="4" t="str">
        <f>IFERROR(__xludf.DUMMYFUNCTION("""COMPUTED_VALUE"""),"Eclética Tecnologia")</f>
        <v>Eclética Tecnologia</v>
      </c>
      <c r="P3852" s="33">
        <f>IFERROR(__xludf.DUMMYFUNCTION("""COMPUTED_VALUE"""),1.0)</f>
        <v>1</v>
      </c>
      <c r="Q3852" s="4" t="str">
        <f>IFERROR(__xludf.DUMMYFUNCTION("""COMPUTED_VALUE"""),"Eclética Tecnologia")</f>
        <v>Eclética Tecnologia</v>
      </c>
      <c r="R3852" s="33">
        <f>IFERROR(__xludf.DUMMYFUNCTION("""COMPUTED_VALUE"""),1.0)</f>
        <v>1</v>
      </c>
      <c r="S3852" s="4" t="str">
        <f>IFERROR(__xludf.DUMMYFUNCTION("""COMPUTED_VALUE"""),"Eclética Tecnologia")</f>
        <v>Eclética Tecnologia</v>
      </c>
      <c r="T3852" s="33">
        <f>IFERROR(__xludf.DUMMYFUNCTION("""COMPUTED_VALUE"""),1.0)</f>
        <v>1</v>
      </c>
      <c r="U3852" s="4" t="str">
        <f>IFERROR(__xludf.DUMMYFUNCTION("""COMPUTED_VALUE"""),"Eclética Tecnologia")</f>
        <v>Eclética Tecnologia</v>
      </c>
      <c r="V3852" s="33">
        <f>IFERROR(__xludf.DUMMYFUNCTION("""COMPUTED_VALUE"""),1.0)</f>
        <v>1</v>
      </c>
      <c r="W3852" s="4" t="str">
        <f>IFERROR(__xludf.DUMMYFUNCTION("""COMPUTED_VALUE"""),"Eclética Tecnologia")</f>
        <v>Eclética Tecnologia</v>
      </c>
      <c r="X3852" s="33">
        <f>IFERROR(__xludf.DUMMYFUNCTION("""COMPUTED_VALUE"""),1.0)</f>
        <v>1</v>
      </c>
    </row>
    <row r="3853">
      <c r="K3853" s="4" t="str">
        <f>IFERROR(__xludf.DUMMYFUNCTION("""COMPUTED_VALUE"""),"SAINT JOE BURGERHOUSE")</f>
        <v>SAINT JOE BURGERHOUSE</v>
      </c>
      <c r="L3853" s="32">
        <f>IFERROR(__xludf.DUMMYFUNCTION("""COMPUTED_VALUE"""),3.0)</f>
        <v>3</v>
      </c>
      <c r="M3853" s="4" t="str">
        <f>IFERROR(__xludf.DUMMYFUNCTION("""COMPUTED_VALUE"""),"Netcontroll Xmenu")</f>
        <v>Netcontroll Xmenu</v>
      </c>
      <c r="N3853" s="33">
        <f>IFERROR(__xludf.DUMMYFUNCTION("""COMPUTED_VALUE"""),1.0)</f>
        <v>1</v>
      </c>
      <c r="O3853" s="4" t="str">
        <f>IFERROR(__xludf.DUMMYFUNCTION("""COMPUTED_VALUE"""),"Netcontroll Xmenu")</f>
        <v>Netcontroll Xmenu</v>
      </c>
      <c r="P3853" s="33">
        <f>IFERROR(__xludf.DUMMYFUNCTION("""COMPUTED_VALUE"""),1.0)</f>
        <v>1</v>
      </c>
      <c r="Q3853" s="4" t="str">
        <f>IFERROR(__xludf.DUMMYFUNCTION("""COMPUTED_VALUE"""),"Netcontroll Xmenu")</f>
        <v>Netcontroll Xmenu</v>
      </c>
      <c r="R3853" s="33">
        <f>IFERROR(__xludf.DUMMYFUNCTION("""COMPUTED_VALUE"""),1.0)</f>
        <v>1</v>
      </c>
      <c r="S3853" s="4" t="str">
        <f>IFERROR(__xludf.DUMMYFUNCTION("""COMPUTED_VALUE"""),"Netcontroll Xmenu")</f>
        <v>Netcontroll Xmenu</v>
      </c>
      <c r="T3853" s="33">
        <f>IFERROR(__xludf.DUMMYFUNCTION("""COMPUTED_VALUE"""),1.0)</f>
        <v>1</v>
      </c>
      <c r="U3853" s="4" t="str">
        <f>IFERROR(__xludf.DUMMYFUNCTION("""COMPUTED_VALUE"""),"Netcontroll Xmenu")</f>
        <v>Netcontroll Xmenu</v>
      </c>
      <c r="V3853" s="33">
        <f>IFERROR(__xludf.DUMMYFUNCTION("""COMPUTED_VALUE"""),1.0)</f>
        <v>1</v>
      </c>
      <c r="W3853" s="4" t="str">
        <f>IFERROR(__xludf.DUMMYFUNCTION("""COMPUTED_VALUE"""),"Netcontroll Xmenu")</f>
        <v>Netcontroll Xmenu</v>
      </c>
      <c r="X3853" s="33">
        <f>IFERROR(__xludf.DUMMYFUNCTION("""COMPUTED_VALUE"""),1.0)</f>
        <v>1</v>
      </c>
    </row>
    <row r="3854">
      <c r="K3854" s="4" t="str">
        <f>IFERROR(__xludf.DUMMYFUNCTION("""COMPUTED_VALUE"""),"SALADEX - CONTA MARCA")</f>
        <v>SALADEX - CONTA MARCA</v>
      </c>
      <c r="L3854" s="32">
        <f>IFERROR(__xludf.DUMMYFUNCTION("""COMPUTED_VALUE"""),3.0)</f>
        <v>3</v>
      </c>
      <c r="M3854" s="4" t="str">
        <f>IFERROR(__xludf.DUMMYFUNCTION("""COMPUTED_VALUE"""),"Stone Co.")</f>
        <v>Stone Co.</v>
      </c>
      <c r="N3854" s="33">
        <f>IFERROR(__xludf.DUMMYFUNCTION("""COMPUTED_VALUE"""),0.6666666666666666)</f>
        <v>0.6666666667</v>
      </c>
      <c r="O3854" s="4" t="str">
        <f>IFERROR(__xludf.DUMMYFUNCTION("""COMPUTED_VALUE"""),"Stone Co.")</f>
        <v>Stone Co.</v>
      </c>
      <c r="P3854" s="33">
        <f>IFERROR(__xludf.DUMMYFUNCTION("""COMPUTED_VALUE"""),0.6666666666666666)</f>
        <v>0.6666666667</v>
      </c>
      <c r="Q3854" s="4" t="str">
        <f>IFERROR(__xludf.DUMMYFUNCTION("""COMPUTED_VALUE"""),"Stone Co.")</f>
        <v>Stone Co.</v>
      </c>
      <c r="R3854" s="33">
        <f>IFERROR(__xludf.DUMMYFUNCTION("""COMPUTED_VALUE"""),0.6666666666666666)</f>
        <v>0.6666666667</v>
      </c>
      <c r="S3854" s="4" t="str">
        <f>IFERROR(__xludf.DUMMYFUNCTION("""COMPUTED_VALUE"""),"Stone Co.")</f>
        <v>Stone Co.</v>
      </c>
      <c r="T3854" s="33">
        <f>IFERROR(__xludf.DUMMYFUNCTION("""COMPUTED_VALUE"""),0.6666666666666666)</f>
        <v>0.6666666667</v>
      </c>
      <c r="U3854" s="4" t="str">
        <f>IFERROR(__xludf.DUMMYFUNCTION("""COMPUTED_VALUE"""),"Stone Co.")</f>
        <v>Stone Co.</v>
      </c>
      <c r="V3854" s="33">
        <f>IFERROR(__xludf.DUMMYFUNCTION("""COMPUTED_VALUE"""),0.6666666666666666)</f>
        <v>0.6666666667</v>
      </c>
      <c r="W3854" s="4" t="str">
        <f>IFERROR(__xludf.DUMMYFUNCTION("""COMPUTED_VALUE"""),"Stone Co.")</f>
        <v>Stone Co.</v>
      </c>
      <c r="X3854" s="33">
        <f>IFERROR(__xludf.DUMMYFUNCTION("""COMPUTED_VALUE"""),0.6666666666666666)</f>
        <v>0.6666666667</v>
      </c>
    </row>
    <row r="3855">
      <c r="K3855" s="4" t="str">
        <f>IFERROR(__xludf.DUMMYFUNCTION("""COMPUTED_VALUE"""),"SALAMANCA - CONTA MARCA")</f>
        <v>SALAMANCA - CONTA MARCA</v>
      </c>
      <c r="L3855" s="32">
        <f>IFERROR(__xludf.DUMMYFUNCTION("""COMPUTED_VALUE"""),3.0)</f>
        <v>3</v>
      </c>
      <c r="M3855" s="4">
        <f>IFERROR(__xludf.DUMMYFUNCTION("""COMPUTED_VALUE"""),88.0)</f>
        <v>88</v>
      </c>
      <c r="N3855" s="33">
        <f>IFERROR(__xludf.DUMMYFUNCTION("""COMPUTED_VALUE"""),1.0)</f>
        <v>1</v>
      </c>
      <c r="O3855" s="4" t="str">
        <f>IFERROR(__xludf.DUMMYFUNCTION("""COMPUTED_VALUE"""),"null")</f>
        <v>null</v>
      </c>
      <c r="P3855" s="33">
        <f>IFERROR(__xludf.DUMMYFUNCTION("""COMPUTED_VALUE"""),1.0)</f>
        <v>1</v>
      </c>
      <c r="Q3855" s="4" t="str">
        <f>IFERROR(__xludf.DUMMYFUNCTION("""COMPUTED_VALUE"""),"null")</f>
        <v>null</v>
      </c>
      <c r="R3855" s="33">
        <f>IFERROR(__xludf.DUMMYFUNCTION("""COMPUTED_VALUE"""),1.0)</f>
        <v>1</v>
      </c>
      <c r="S3855" s="4" t="str">
        <f>IFERROR(__xludf.DUMMYFUNCTION("""COMPUTED_VALUE"""),"null")</f>
        <v>null</v>
      </c>
      <c r="T3855" s="33">
        <f>IFERROR(__xludf.DUMMYFUNCTION("""COMPUTED_VALUE"""),1.0)</f>
        <v>1</v>
      </c>
      <c r="U3855" s="4" t="str">
        <f>IFERROR(__xludf.DUMMYFUNCTION("""COMPUTED_VALUE"""),"null")</f>
        <v>null</v>
      </c>
      <c r="V3855" s="33">
        <f>IFERROR(__xludf.DUMMYFUNCTION("""COMPUTED_VALUE"""),1.0)</f>
        <v>1</v>
      </c>
      <c r="W3855" s="4" t="str">
        <f>IFERROR(__xludf.DUMMYFUNCTION("""COMPUTED_VALUE"""),"null")</f>
        <v>null</v>
      </c>
      <c r="X3855" s="33">
        <f>IFERROR(__xludf.DUMMYFUNCTION("""COMPUTED_VALUE"""),1.0)</f>
        <v>1</v>
      </c>
    </row>
    <row r="3856">
      <c r="K3856" s="4" t="str">
        <f>IFERROR(__xludf.DUMMYFUNCTION("""COMPUTED_VALUE"""),"SALAMANCA MARCA")</f>
        <v>SALAMANCA MARCA</v>
      </c>
      <c r="L3856" s="32">
        <f>IFERROR(__xludf.DUMMYFUNCTION("""COMPUTED_VALUE"""),3.0)</f>
        <v>3</v>
      </c>
      <c r="M3856" s="4">
        <f>IFERROR(__xludf.DUMMYFUNCTION("""COMPUTED_VALUE"""),88.0)</f>
        <v>88</v>
      </c>
      <c r="N3856" s="33">
        <f>IFERROR(__xludf.DUMMYFUNCTION("""COMPUTED_VALUE"""),1.0)</f>
        <v>1</v>
      </c>
      <c r="O3856" s="4" t="str">
        <f>IFERROR(__xludf.DUMMYFUNCTION("""COMPUTED_VALUE"""),"null")</f>
        <v>null</v>
      </c>
      <c r="P3856" s="33">
        <f>IFERROR(__xludf.DUMMYFUNCTION("""COMPUTED_VALUE"""),1.0)</f>
        <v>1</v>
      </c>
      <c r="Q3856" s="4" t="str">
        <f>IFERROR(__xludf.DUMMYFUNCTION("""COMPUTED_VALUE"""),"null")</f>
        <v>null</v>
      </c>
      <c r="R3856" s="33">
        <f>IFERROR(__xludf.DUMMYFUNCTION("""COMPUTED_VALUE"""),1.0)</f>
        <v>1</v>
      </c>
      <c r="S3856" s="4" t="str">
        <f>IFERROR(__xludf.DUMMYFUNCTION("""COMPUTED_VALUE"""),"null")</f>
        <v>null</v>
      </c>
      <c r="T3856" s="33">
        <f>IFERROR(__xludf.DUMMYFUNCTION("""COMPUTED_VALUE"""),1.0)</f>
        <v>1</v>
      </c>
      <c r="U3856" s="4" t="str">
        <f>IFERROR(__xludf.DUMMYFUNCTION("""COMPUTED_VALUE"""),"null")</f>
        <v>null</v>
      </c>
      <c r="V3856" s="33">
        <f>IFERROR(__xludf.DUMMYFUNCTION("""COMPUTED_VALUE"""),1.0)</f>
        <v>1</v>
      </c>
      <c r="W3856" s="4" t="str">
        <f>IFERROR(__xludf.DUMMYFUNCTION("""COMPUTED_VALUE"""),"null")</f>
        <v>null</v>
      </c>
      <c r="X3856" s="33">
        <f>IFERROR(__xludf.DUMMYFUNCTION("""COMPUTED_VALUE"""),1.0)</f>
        <v>1</v>
      </c>
    </row>
    <row r="3857">
      <c r="K3857" s="4" t="str">
        <f>IFERROR(__xludf.DUMMYFUNCTION("""COMPUTED_VALUE"""),"SALGADERIA CAMPINAS")</f>
        <v>SALGADERIA CAMPINAS</v>
      </c>
      <c r="L3857" s="32">
        <f>IFERROR(__xludf.DUMMYFUNCTION("""COMPUTED_VALUE"""),3.0)</f>
        <v>3</v>
      </c>
      <c r="M3857" s="4" t="str">
        <f>IFERROR(__xludf.DUMMYFUNCTION("""COMPUTED_VALUE"""),"Eclética Tecnologia")</f>
        <v>Eclética Tecnologia</v>
      </c>
      <c r="N3857" s="33">
        <f>IFERROR(__xludf.DUMMYFUNCTION("""COMPUTED_VALUE"""),0.3333333333333333)</f>
        <v>0.3333333333</v>
      </c>
      <c r="O3857" s="4" t="str">
        <f>IFERROR(__xludf.DUMMYFUNCTION("""COMPUTED_VALUE"""),"Eclética Tecnologia")</f>
        <v>Eclética Tecnologia</v>
      </c>
      <c r="P3857" s="33">
        <f>IFERROR(__xludf.DUMMYFUNCTION("""COMPUTED_VALUE"""),0.3333333333333333)</f>
        <v>0.3333333333</v>
      </c>
      <c r="Q3857" s="4" t="str">
        <f>IFERROR(__xludf.DUMMYFUNCTION("""COMPUTED_VALUE"""),"Eclética Tecnologia")</f>
        <v>Eclética Tecnologia</v>
      </c>
      <c r="R3857" s="33">
        <f>IFERROR(__xludf.DUMMYFUNCTION("""COMPUTED_VALUE"""),0.3333333333333333)</f>
        <v>0.3333333333</v>
      </c>
      <c r="S3857" s="4" t="str">
        <f>IFERROR(__xludf.DUMMYFUNCTION("""COMPUTED_VALUE"""),"Eclética Tecnologia")</f>
        <v>Eclética Tecnologia</v>
      </c>
      <c r="T3857" s="33">
        <f>IFERROR(__xludf.DUMMYFUNCTION("""COMPUTED_VALUE"""),0.3333333333333333)</f>
        <v>0.3333333333</v>
      </c>
      <c r="U3857" s="4" t="str">
        <f>IFERROR(__xludf.DUMMYFUNCTION("""COMPUTED_VALUE"""),"Eclética Tecnologia")</f>
        <v>Eclética Tecnologia</v>
      </c>
      <c r="V3857" s="33">
        <f>IFERROR(__xludf.DUMMYFUNCTION("""COMPUTED_VALUE"""),0.3333333333333333)</f>
        <v>0.3333333333</v>
      </c>
      <c r="W3857" s="4" t="str">
        <f>IFERROR(__xludf.DUMMYFUNCTION("""COMPUTED_VALUE"""),"Eclética Tecnologia")</f>
        <v>Eclética Tecnologia</v>
      </c>
      <c r="X3857" s="33">
        <f>IFERROR(__xludf.DUMMYFUNCTION("""COMPUTED_VALUE"""),0.3333333333333333)</f>
        <v>0.3333333333</v>
      </c>
    </row>
    <row r="3858">
      <c r="K3858" s="4" t="str">
        <f>IFERROR(__xludf.DUMMYFUNCTION("""COMPUTED_VALUE"""),"SALGADINHOS VIDA - SALGADOS E PASTEIS")</f>
        <v>SALGADINHOS VIDA - SALGADOS E PASTEIS</v>
      </c>
      <c r="L3858" s="32">
        <f>IFERROR(__xludf.DUMMYFUNCTION("""COMPUTED_VALUE"""),3.0)</f>
        <v>3</v>
      </c>
      <c r="M3858" s="4" t="str">
        <f>IFERROR(__xludf.DUMMYFUNCTION("""COMPUTED_VALUE"""),"Opdv")</f>
        <v>Opdv</v>
      </c>
      <c r="N3858" s="33">
        <f>IFERROR(__xludf.DUMMYFUNCTION("""COMPUTED_VALUE"""),0.6666666666666666)</f>
        <v>0.6666666667</v>
      </c>
      <c r="O3858" s="4" t="str">
        <f>IFERROR(__xludf.DUMMYFUNCTION("""COMPUTED_VALUE"""),"Opdv")</f>
        <v>Opdv</v>
      </c>
      <c r="P3858" s="33">
        <f>IFERROR(__xludf.DUMMYFUNCTION("""COMPUTED_VALUE"""),0.6666666666666666)</f>
        <v>0.6666666667</v>
      </c>
      <c r="Q3858" s="4" t="str">
        <f>IFERROR(__xludf.DUMMYFUNCTION("""COMPUTED_VALUE"""),"Opdv")</f>
        <v>Opdv</v>
      </c>
      <c r="R3858" s="33">
        <f>IFERROR(__xludf.DUMMYFUNCTION("""COMPUTED_VALUE"""),0.6666666666666666)</f>
        <v>0.6666666667</v>
      </c>
      <c r="S3858" s="4" t="str">
        <f>IFERROR(__xludf.DUMMYFUNCTION("""COMPUTED_VALUE"""),"Opdv")</f>
        <v>Opdv</v>
      </c>
      <c r="T3858" s="33">
        <f>IFERROR(__xludf.DUMMYFUNCTION("""COMPUTED_VALUE"""),0.6666666666666666)</f>
        <v>0.6666666667</v>
      </c>
      <c r="U3858" s="4" t="str">
        <f>IFERROR(__xludf.DUMMYFUNCTION("""COMPUTED_VALUE"""),"Saipos Serviços De Software")</f>
        <v>Saipos Serviços De Software</v>
      </c>
      <c r="V3858" s="33">
        <f>IFERROR(__xludf.DUMMYFUNCTION("""COMPUTED_VALUE"""),0.6666666666666666)</f>
        <v>0.6666666667</v>
      </c>
      <c r="W3858" s="4" t="str">
        <f>IFERROR(__xludf.DUMMYFUNCTION("""COMPUTED_VALUE"""),"Saipos Serviços De Software")</f>
        <v>Saipos Serviços De Software</v>
      </c>
      <c r="X3858" s="33">
        <f>IFERROR(__xludf.DUMMYFUNCTION("""COMPUTED_VALUE"""),0.6666666666666666)</f>
        <v>0.6666666667</v>
      </c>
    </row>
    <row r="3859">
      <c r="K3859" s="4" t="str">
        <f>IFERROR(__xludf.DUMMYFUNCTION("""COMPUTED_VALUE"""),"SALGADOS GABMAR CONTA PAI")</f>
        <v>SALGADOS GABMAR CONTA PAI</v>
      </c>
      <c r="L3859" s="32">
        <f>IFERROR(__xludf.DUMMYFUNCTION("""COMPUTED_VALUE"""),3.0)</f>
        <v>3</v>
      </c>
      <c r="M3859" s="4" t="str">
        <f>IFERROR(__xludf.DUMMYFUNCTION("""COMPUTED_VALUE"""),"Saipos Serviços De Software")</f>
        <v>Saipos Serviços De Software</v>
      </c>
      <c r="N3859" s="33">
        <f>IFERROR(__xludf.DUMMYFUNCTION("""COMPUTED_VALUE"""),1.0)</f>
        <v>1</v>
      </c>
      <c r="O3859" s="4" t="str">
        <f>IFERROR(__xludf.DUMMYFUNCTION("""COMPUTED_VALUE"""),"Saipos Serviços De Software")</f>
        <v>Saipos Serviços De Software</v>
      </c>
      <c r="P3859" s="33">
        <f>IFERROR(__xludf.DUMMYFUNCTION("""COMPUTED_VALUE"""),1.0)</f>
        <v>1</v>
      </c>
      <c r="Q3859" s="4" t="str">
        <f>IFERROR(__xludf.DUMMYFUNCTION("""COMPUTED_VALUE"""),"Saipos Serviços De Software")</f>
        <v>Saipos Serviços De Software</v>
      </c>
      <c r="R3859" s="33">
        <f>IFERROR(__xludf.DUMMYFUNCTION("""COMPUTED_VALUE"""),1.0)</f>
        <v>1</v>
      </c>
      <c r="S3859" s="4" t="str">
        <f>IFERROR(__xludf.DUMMYFUNCTION("""COMPUTED_VALUE"""),"Saipos Serviços De Software")</f>
        <v>Saipos Serviços De Software</v>
      </c>
      <c r="T3859" s="33">
        <f>IFERROR(__xludf.DUMMYFUNCTION("""COMPUTED_VALUE"""),1.0)</f>
        <v>1</v>
      </c>
      <c r="U3859" s="4" t="str">
        <f>IFERROR(__xludf.DUMMYFUNCTION("""COMPUTED_VALUE"""),"Saipos Serviços De Software")</f>
        <v>Saipos Serviços De Software</v>
      </c>
      <c r="V3859" s="33">
        <f>IFERROR(__xludf.DUMMYFUNCTION("""COMPUTED_VALUE"""),1.0)</f>
        <v>1</v>
      </c>
      <c r="W3859" s="4" t="str">
        <f>IFERROR(__xludf.DUMMYFUNCTION("""COMPUTED_VALUE"""),"Saipos Serviços De Software")</f>
        <v>Saipos Serviços De Software</v>
      </c>
      <c r="X3859" s="33">
        <f>IFERROR(__xludf.DUMMYFUNCTION("""COMPUTED_VALUE"""),1.0)</f>
        <v>1</v>
      </c>
    </row>
    <row r="3860">
      <c r="K3860" s="4" t="str">
        <f>IFERROR(__xludf.DUMMYFUNCTION("""COMPUTED_VALUE"""),"SALT ZN")</f>
        <v>SALT ZN</v>
      </c>
      <c r="L3860" s="32">
        <f>IFERROR(__xludf.DUMMYFUNCTION("""COMPUTED_VALUE"""),3.0)</f>
        <v>3</v>
      </c>
      <c r="M3860" s="4" t="str">
        <f>IFERROR(__xludf.DUMMYFUNCTION("""COMPUTED_VALUE"""),"Ncr")</f>
        <v>Ncr</v>
      </c>
      <c r="N3860" s="33">
        <f>IFERROR(__xludf.DUMMYFUNCTION("""COMPUTED_VALUE"""),1.0)</f>
        <v>1</v>
      </c>
      <c r="O3860" s="4" t="str">
        <f>IFERROR(__xludf.DUMMYFUNCTION("""COMPUTED_VALUE"""),"Ncr")</f>
        <v>Ncr</v>
      </c>
      <c r="P3860" s="33">
        <f>IFERROR(__xludf.DUMMYFUNCTION("""COMPUTED_VALUE"""),1.0)</f>
        <v>1</v>
      </c>
      <c r="Q3860" s="4" t="str">
        <f>IFERROR(__xludf.DUMMYFUNCTION("""COMPUTED_VALUE"""),"Ncr")</f>
        <v>Ncr</v>
      </c>
      <c r="R3860" s="33">
        <f>IFERROR(__xludf.DUMMYFUNCTION("""COMPUTED_VALUE"""),1.0)</f>
        <v>1</v>
      </c>
      <c r="S3860" s="4" t="str">
        <f>IFERROR(__xludf.DUMMYFUNCTION("""COMPUTED_VALUE"""),"Ncr")</f>
        <v>Ncr</v>
      </c>
      <c r="T3860" s="33">
        <f>IFERROR(__xludf.DUMMYFUNCTION("""COMPUTED_VALUE"""),1.0)</f>
        <v>1</v>
      </c>
      <c r="U3860" s="4" t="str">
        <f>IFERROR(__xludf.DUMMYFUNCTION("""COMPUTED_VALUE"""),"Ncr")</f>
        <v>Ncr</v>
      </c>
      <c r="V3860" s="33">
        <f>IFERROR(__xludf.DUMMYFUNCTION("""COMPUTED_VALUE"""),1.0)</f>
        <v>1</v>
      </c>
      <c r="W3860" s="4" t="str">
        <f>IFERROR(__xludf.DUMMYFUNCTION("""COMPUTED_VALUE"""),"Ncr")</f>
        <v>Ncr</v>
      </c>
      <c r="X3860" s="33">
        <f>IFERROR(__xludf.DUMMYFUNCTION("""COMPUTED_VALUE"""),1.0)</f>
        <v>1</v>
      </c>
    </row>
    <row r="3861">
      <c r="K3861" s="4" t="str">
        <f>IFERROR(__xludf.DUMMYFUNCTION("""COMPUTED_VALUE"""),"SALVADOR BURGER")</f>
        <v>SALVADOR BURGER</v>
      </c>
      <c r="L3861" s="32">
        <f>IFERROR(__xludf.DUMMYFUNCTION("""COMPUTED_VALUE"""),3.0)</f>
        <v>3</v>
      </c>
      <c r="M3861" s="4" t="str">
        <f>IFERROR(__xludf.DUMMYFUNCTION("""COMPUTED_VALUE"""),"null")</f>
        <v>null</v>
      </c>
      <c r="N3861" s="33">
        <f>IFERROR(__xludf.DUMMYFUNCTION("""COMPUTED_VALUE"""),0.3333333333333333)</f>
        <v>0.3333333333</v>
      </c>
      <c r="O3861" s="4" t="str">
        <f>IFERROR(__xludf.DUMMYFUNCTION("""COMPUTED_VALUE"""),"Saipos Serviços De Software")</f>
        <v>Saipos Serviços De Software</v>
      </c>
      <c r="P3861" s="33">
        <f>IFERROR(__xludf.DUMMYFUNCTION("""COMPUTED_VALUE"""),0.6666666666666666)</f>
        <v>0.6666666667</v>
      </c>
      <c r="Q3861" s="4" t="str">
        <f>IFERROR(__xludf.DUMMYFUNCTION("""COMPUTED_VALUE"""),"Saipos Serviços De Software")</f>
        <v>Saipos Serviços De Software</v>
      </c>
      <c r="R3861" s="33">
        <f>IFERROR(__xludf.DUMMYFUNCTION("""COMPUTED_VALUE"""),0.6666666666666666)</f>
        <v>0.6666666667</v>
      </c>
      <c r="S3861" s="4" t="str">
        <f>IFERROR(__xludf.DUMMYFUNCTION("""COMPUTED_VALUE"""),"Saipos Serviços De Software")</f>
        <v>Saipos Serviços De Software</v>
      </c>
      <c r="T3861" s="33">
        <f>IFERROR(__xludf.DUMMYFUNCTION("""COMPUTED_VALUE"""),0.6666666666666666)</f>
        <v>0.6666666667</v>
      </c>
      <c r="U3861" s="4" t="str">
        <f>IFERROR(__xludf.DUMMYFUNCTION("""COMPUTED_VALUE"""),"Saipos Serviços De Software")</f>
        <v>Saipos Serviços De Software</v>
      </c>
      <c r="V3861" s="33">
        <f>IFERROR(__xludf.DUMMYFUNCTION("""COMPUTED_VALUE"""),0.6666666666666666)</f>
        <v>0.6666666667</v>
      </c>
      <c r="W3861" s="4" t="str">
        <f>IFERROR(__xludf.DUMMYFUNCTION("""COMPUTED_VALUE"""),"Saipos Serviços De Software")</f>
        <v>Saipos Serviços De Software</v>
      </c>
      <c r="X3861" s="33">
        <f>IFERROR(__xludf.DUMMYFUNCTION("""COMPUTED_VALUE"""),0.6666666666666666)</f>
        <v>0.6666666667</v>
      </c>
    </row>
    <row r="3862">
      <c r="K3862" s="4" t="str">
        <f>IFERROR(__xludf.DUMMYFUNCTION("""COMPUTED_VALUE"""),"SAMPA BURGUER - MARCA")</f>
        <v>SAMPA BURGUER - MARCA</v>
      </c>
      <c r="L3862" s="32">
        <f>IFERROR(__xludf.DUMMYFUNCTION("""COMPUTED_VALUE"""),3.0)</f>
        <v>3</v>
      </c>
      <c r="M3862" s="4" t="str">
        <f>IFERROR(__xludf.DUMMYFUNCTION("""COMPUTED_VALUE"""),"Saipos Serviços De Software")</f>
        <v>Saipos Serviços De Software</v>
      </c>
      <c r="N3862" s="33">
        <f>IFERROR(__xludf.DUMMYFUNCTION("""COMPUTED_VALUE"""),0.6666666666666666)</f>
        <v>0.6666666667</v>
      </c>
      <c r="O3862" s="4" t="str">
        <f>IFERROR(__xludf.DUMMYFUNCTION("""COMPUTED_VALUE"""),"Saipos Serviços De Software")</f>
        <v>Saipos Serviços De Software</v>
      </c>
      <c r="P3862" s="33">
        <f>IFERROR(__xludf.DUMMYFUNCTION("""COMPUTED_VALUE"""),0.6666666666666666)</f>
        <v>0.6666666667</v>
      </c>
      <c r="Q3862" s="4" t="str">
        <f>IFERROR(__xludf.DUMMYFUNCTION("""COMPUTED_VALUE"""),"Saipos Serviços De Software")</f>
        <v>Saipos Serviços De Software</v>
      </c>
      <c r="R3862" s="33">
        <f>IFERROR(__xludf.DUMMYFUNCTION("""COMPUTED_VALUE"""),0.6666666666666666)</f>
        <v>0.6666666667</v>
      </c>
      <c r="S3862" s="4" t="str">
        <f>IFERROR(__xludf.DUMMYFUNCTION("""COMPUTED_VALUE"""),"Saipos Serviços De Software")</f>
        <v>Saipos Serviços De Software</v>
      </c>
      <c r="T3862" s="33">
        <f>IFERROR(__xludf.DUMMYFUNCTION("""COMPUTED_VALUE"""),0.6666666666666666)</f>
        <v>0.6666666667</v>
      </c>
      <c r="U3862" s="4" t="str">
        <f>IFERROR(__xludf.DUMMYFUNCTION("""COMPUTED_VALUE"""),"Saipos Serviços De Software")</f>
        <v>Saipos Serviços De Software</v>
      </c>
      <c r="V3862" s="33">
        <f>IFERROR(__xludf.DUMMYFUNCTION("""COMPUTED_VALUE"""),0.6666666666666666)</f>
        <v>0.6666666667</v>
      </c>
      <c r="W3862" s="4" t="str">
        <f>IFERROR(__xludf.DUMMYFUNCTION("""COMPUTED_VALUE"""),"Saipos Serviços De Software")</f>
        <v>Saipos Serviços De Software</v>
      </c>
      <c r="X3862" s="33">
        <f>IFERROR(__xludf.DUMMYFUNCTION("""COMPUTED_VALUE"""),0.6666666666666666)</f>
        <v>0.6666666667</v>
      </c>
    </row>
    <row r="3863">
      <c r="K3863" s="4" t="str">
        <f>IFERROR(__xludf.DUMMYFUNCTION("""COMPUTED_VALUE"""),"SAN SUPERMERCADOS - CONTA PAI")</f>
        <v>SAN SUPERMERCADOS - CONTA PAI</v>
      </c>
      <c r="L3863" s="32">
        <f>IFERROR(__xludf.DUMMYFUNCTION("""COMPUTED_VALUE"""),3.0)</f>
        <v>3</v>
      </c>
      <c r="M3863" s="4" t="str">
        <f>IFERROR(__xludf.DUMMYFUNCTION("""COMPUTED_VALUE"""),"N/A (Not found)")</f>
        <v>N/A (Not found)</v>
      </c>
      <c r="N3863" s="33">
        <f>IFERROR(__xludf.DUMMYFUNCTION("""COMPUTED_VALUE"""),1.0)</f>
        <v>1</v>
      </c>
      <c r="O3863" s="4" t="str">
        <f>IFERROR(__xludf.DUMMYFUNCTION("""COMPUTED_VALUE"""),"N/A (Not found)")</f>
        <v>N/A (Not found)</v>
      </c>
      <c r="P3863" s="33">
        <f>IFERROR(__xludf.DUMMYFUNCTION("""COMPUTED_VALUE"""),1.0)</f>
        <v>1</v>
      </c>
      <c r="Q3863" s="4" t="str">
        <f>IFERROR(__xludf.DUMMYFUNCTION("""COMPUTED_VALUE"""),"N/A (Not found)")</f>
        <v>N/A (Not found)</v>
      </c>
      <c r="R3863" s="33">
        <f>IFERROR(__xludf.DUMMYFUNCTION("""COMPUTED_VALUE"""),1.0)</f>
        <v>1</v>
      </c>
      <c r="S3863" s="4" t="str">
        <f>IFERROR(__xludf.DUMMYFUNCTION("""COMPUTED_VALUE"""),"N/A (Not found)")</f>
        <v>N/A (Not found)</v>
      </c>
      <c r="T3863" s="33">
        <f>IFERROR(__xludf.DUMMYFUNCTION("""COMPUTED_VALUE"""),1.0)</f>
        <v>1</v>
      </c>
      <c r="U3863" s="4" t="str">
        <f>IFERROR(__xludf.DUMMYFUNCTION("""COMPUTED_VALUE"""),"N/A (Not found)")</f>
        <v>N/A (Not found)</v>
      </c>
      <c r="V3863" s="33">
        <f>IFERROR(__xludf.DUMMYFUNCTION("""COMPUTED_VALUE"""),1.0)</f>
        <v>1</v>
      </c>
      <c r="W3863" s="4" t="str">
        <f>IFERROR(__xludf.DUMMYFUNCTION("""COMPUTED_VALUE"""),"N/A (Not found)")</f>
        <v>N/A (Not found)</v>
      </c>
      <c r="X3863" s="33">
        <f>IFERROR(__xludf.DUMMYFUNCTION("""COMPUTED_VALUE"""),1.0)</f>
        <v>1</v>
      </c>
    </row>
    <row r="3864">
      <c r="K3864" s="4" t="str">
        <f>IFERROR(__xludf.DUMMYFUNCTION("""COMPUTED_VALUE"""),"SANTA BRASA - UBERABA")</f>
        <v>SANTA BRASA - UBERABA</v>
      </c>
      <c r="L3864" s="32">
        <f>IFERROR(__xludf.DUMMYFUNCTION("""COMPUTED_VALUE"""),3.0)</f>
        <v>3</v>
      </c>
      <c r="M3864" s="4" t="str">
        <f>IFERROR(__xludf.DUMMYFUNCTION("""COMPUTED_VALUE"""),"Eclética Tecnologia")</f>
        <v>Eclética Tecnologia</v>
      </c>
      <c r="N3864" s="33">
        <f>IFERROR(__xludf.DUMMYFUNCTION("""COMPUTED_VALUE"""),1.0)</f>
        <v>1</v>
      </c>
      <c r="O3864" s="4" t="str">
        <f>IFERROR(__xludf.DUMMYFUNCTION("""COMPUTED_VALUE"""),"Eclética Tecnologia")</f>
        <v>Eclética Tecnologia</v>
      </c>
      <c r="P3864" s="33">
        <f>IFERROR(__xludf.DUMMYFUNCTION("""COMPUTED_VALUE"""),1.0)</f>
        <v>1</v>
      </c>
      <c r="Q3864" s="4" t="str">
        <f>IFERROR(__xludf.DUMMYFUNCTION("""COMPUTED_VALUE"""),"Eclética Tecnologia")</f>
        <v>Eclética Tecnologia</v>
      </c>
      <c r="R3864" s="33">
        <f>IFERROR(__xludf.DUMMYFUNCTION("""COMPUTED_VALUE"""),1.0)</f>
        <v>1</v>
      </c>
      <c r="S3864" s="4" t="str">
        <f>IFERROR(__xludf.DUMMYFUNCTION("""COMPUTED_VALUE"""),"Eclética Tecnologia")</f>
        <v>Eclética Tecnologia</v>
      </c>
      <c r="T3864" s="33">
        <f>IFERROR(__xludf.DUMMYFUNCTION("""COMPUTED_VALUE"""),1.0)</f>
        <v>1</v>
      </c>
      <c r="U3864" s="4" t="str">
        <f>IFERROR(__xludf.DUMMYFUNCTION("""COMPUTED_VALUE"""),"Eclética Tecnologia")</f>
        <v>Eclética Tecnologia</v>
      </c>
      <c r="V3864" s="33">
        <f>IFERROR(__xludf.DUMMYFUNCTION("""COMPUTED_VALUE"""),1.0)</f>
        <v>1</v>
      </c>
      <c r="W3864" s="4" t="str">
        <f>IFERROR(__xludf.DUMMYFUNCTION("""COMPUTED_VALUE"""),"Eclética Tecnologia")</f>
        <v>Eclética Tecnologia</v>
      </c>
      <c r="X3864" s="33">
        <f>IFERROR(__xludf.DUMMYFUNCTION("""COMPUTED_VALUE"""),1.0)</f>
        <v>1</v>
      </c>
    </row>
    <row r="3865">
      <c r="K3865" s="4" t="str">
        <f>IFERROR(__xludf.DUMMYFUNCTION("""COMPUTED_VALUE"""),"SANTA FE A COSTELA")</f>
        <v>SANTA FE A COSTELA</v>
      </c>
      <c r="L3865" s="32">
        <f>IFERROR(__xludf.DUMMYFUNCTION("""COMPUTED_VALUE"""),3.0)</f>
        <v>3</v>
      </c>
      <c r="M3865" s="4" t="str">
        <f>IFERROR(__xludf.DUMMYFUNCTION("""COMPUTED_VALUE"""),"Totvs Large Enterprise Tecnologia S.a.")</f>
        <v>Totvs Large Enterprise Tecnologia S.a.</v>
      </c>
      <c r="N3865" s="33">
        <f>IFERROR(__xludf.DUMMYFUNCTION("""COMPUTED_VALUE"""),1.0)</f>
        <v>1</v>
      </c>
      <c r="O3865" s="4" t="str">
        <f>IFERROR(__xludf.DUMMYFUNCTION("""COMPUTED_VALUE"""),"Totvs Large Enterprise Tecnologia S.a.")</f>
        <v>Totvs Large Enterprise Tecnologia S.a.</v>
      </c>
      <c r="P3865" s="33">
        <f>IFERROR(__xludf.DUMMYFUNCTION("""COMPUTED_VALUE"""),1.0)</f>
        <v>1</v>
      </c>
      <c r="Q3865" s="4" t="str">
        <f>IFERROR(__xludf.DUMMYFUNCTION("""COMPUTED_VALUE"""),"Totvs Large Enterprise Tecnologia S.a.")</f>
        <v>Totvs Large Enterprise Tecnologia S.a.</v>
      </c>
      <c r="R3865" s="33">
        <f>IFERROR(__xludf.DUMMYFUNCTION("""COMPUTED_VALUE"""),1.0)</f>
        <v>1</v>
      </c>
      <c r="S3865" s="4" t="str">
        <f>IFERROR(__xludf.DUMMYFUNCTION("""COMPUTED_VALUE"""),"null")</f>
        <v>null</v>
      </c>
      <c r="T3865" s="33">
        <f>IFERROR(__xludf.DUMMYFUNCTION("""COMPUTED_VALUE"""),1.0)</f>
        <v>1</v>
      </c>
      <c r="U3865" s="4" t="str">
        <f>IFERROR(__xludf.DUMMYFUNCTION("""COMPUTED_VALUE"""),"null")</f>
        <v>null</v>
      </c>
      <c r="V3865" s="33">
        <f>IFERROR(__xludf.DUMMYFUNCTION("""COMPUTED_VALUE"""),0.6666666666666666)</f>
        <v>0.6666666667</v>
      </c>
      <c r="W3865" s="4" t="str">
        <f>IFERROR(__xludf.DUMMYFUNCTION("""COMPUTED_VALUE"""),"Totvs Large Enterprise Tecnologia S.a.")</f>
        <v>Totvs Large Enterprise Tecnologia S.a.</v>
      </c>
      <c r="X3865" s="33">
        <f>IFERROR(__xludf.DUMMYFUNCTION("""COMPUTED_VALUE"""),0.6666666666666666)</f>
        <v>0.6666666667</v>
      </c>
    </row>
    <row r="3866">
      <c r="K3866" s="4" t="str">
        <f>IFERROR(__xludf.DUMMYFUNCTION("""COMPUTED_VALUE"""),"SANTA LUCCI PIZZA")</f>
        <v>SANTA LUCCI PIZZA</v>
      </c>
      <c r="L3866" s="32">
        <f>IFERROR(__xludf.DUMMYFUNCTION("""COMPUTED_VALUE"""),3.0)</f>
        <v>3</v>
      </c>
      <c r="M3866" s="4" t="str">
        <f>IFERROR(__xludf.DUMMYFUNCTION("""COMPUTED_VALUE"""),"Grk Soluções Informatica Eireli")</f>
        <v>Grk Soluções Informatica Eireli</v>
      </c>
      <c r="N3866" s="33">
        <f>IFERROR(__xludf.DUMMYFUNCTION("""COMPUTED_VALUE"""),1.0)</f>
        <v>1</v>
      </c>
      <c r="O3866" s="4" t="str">
        <f>IFERROR(__xludf.DUMMYFUNCTION("""COMPUTED_VALUE"""),"Grk Soluções Informatica Eireli")</f>
        <v>Grk Soluções Informatica Eireli</v>
      </c>
      <c r="P3866" s="33">
        <f>IFERROR(__xludf.DUMMYFUNCTION("""COMPUTED_VALUE"""),1.0)</f>
        <v>1</v>
      </c>
      <c r="Q3866" s="4" t="str">
        <f>IFERROR(__xludf.DUMMYFUNCTION("""COMPUTED_VALUE"""),"Grk Soluções Informatica Eireli")</f>
        <v>Grk Soluções Informatica Eireli</v>
      </c>
      <c r="R3866" s="33">
        <f>IFERROR(__xludf.DUMMYFUNCTION("""COMPUTED_VALUE"""),0.6666666666666666)</f>
        <v>0.6666666667</v>
      </c>
      <c r="S3866" s="4" t="str">
        <f>IFERROR(__xludf.DUMMYFUNCTION("""COMPUTED_VALUE"""),"Grk Soluções Informatica Eireli")</f>
        <v>Grk Soluções Informatica Eireli</v>
      </c>
      <c r="T3866" s="33">
        <f>IFERROR(__xludf.DUMMYFUNCTION("""COMPUTED_VALUE"""),0.6666666666666666)</f>
        <v>0.6666666667</v>
      </c>
      <c r="U3866" s="4" t="str">
        <f>IFERROR(__xludf.DUMMYFUNCTION("""COMPUTED_VALUE"""),"Grk Soluções Informatica Eireli")</f>
        <v>Grk Soluções Informatica Eireli</v>
      </c>
      <c r="V3866" s="33">
        <f>IFERROR(__xludf.DUMMYFUNCTION("""COMPUTED_VALUE"""),0.6666666666666666)</f>
        <v>0.6666666667</v>
      </c>
      <c r="W3866" s="4" t="str">
        <f>IFERROR(__xludf.DUMMYFUNCTION("""COMPUTED_VALUE"""),"Grk Soluções Informatica Eireli")</f>
        <v>Grk Soluções Informatica Eireli</v>
      </c>
      <c r="X3866" s="33">
        <f>IFERROR(__xludf.DUMMYFUNCTION("""COMPUTED_VALUE"""),1.0)</f>
        <v>1</v>
      </c>
    </row>
    <row r="3867">
      <c r="K3867" s="4" t="str">
        <f>IFERROR(__xludf.DUMMYFUNCTION("""COMPUTED_VALUE"""),"SANTA LUCCI PIZZA - CONTA PAI")</f>
        <v>SANTA LUCCI PIZZA - CONTA PAI</v>
      </c>
      <c r="L3867" s="32">
        <f>IFERROR(__xludf.DUMMYFUNCTION("""COMPUTED_VALUE"""),3.0)</f>
        <v>3</v>
      </c>
      <c r="M3867" s="4" t="str">
        <f>IFERROR(__xludf.DUMMYFUNCTION("""COMPUTED_VALUE"""),"Grk Soluções Informatica Eireli")</f>
        <v>Grk Soluções Informatica Eireli</v>
      </c>
      <c r="N3867" s="33">
        <f>IFERROR(__xludf.DUMMYFUNCTION("""COMPUTED_VALUE"""),1.0)</f>
        <v>1</v>
      </c>
      <c r="O3867" s="4" t="str">
        <f>IFERROR(__xludf.DUMMYFUNCTION("""COMPUTED_VALUE"""),"Grk Soluções Informatica Eireli")</f>
        <v>Grk Soluções Informatica Eireli</v>
      </c>
      <c r="P3867" s="33">
        <f>IFERROR(__xludf.DUMMYFUNCTION("""COMPUTED_VALUE"""),1.0)</f>
        <v>1</v>
      </c>
      <c r="Q3867" s="4" t="str">
        <f>IFERROR(__xludf.DUMMYFUNCTION("""COMPUTED_VALUE"""),"Grk Soluções Informatica Eireli")</f>
        <v>Grk Soluções Informatica Eireli</v>
      </c>
      <c r="R3867" s="33">
        <f>IFERROR(__xludf.DUMMYFUNCTION("""COMPUTED_VALUE"""),0.6666666666666666)</f>
        <v>0.6666666667</v>
      </c>
      <c r="S3867" s="4" t="str">
        <f>IFERROR(__xludf.DUMMYFUNCTION("""COMPUTED_VALUE"""),"Grk Soluções Informatica Eireli")</f>
        <v>Grk Soluções Informatica Eireli</v>
      </c>
      <c r="T3867" s="33">
        <f>IFERROR(__xludf.DUMMYFUNCTION("""COMPUTED_VALUE"""),0.6666666666666666)</f>
        <v>0.6666666667</v>
      </c>
      <c r="U3867" s="4" t="str">
        <f>IFERROR(__xludf.DUMMYFUNCTION("""COMPUTED_VALUE"""),"Grk Soluções Informatica Eireli")</f>
        <v>Grk Soluções Informatica Eireli</v>
      </c>
      <c r="V3867" s="33">
        <f>IFERROR(__xludf.DUMMYFUNCTION("""COMPUTED_VALUE"""),0.6666666666666666)</f>
        <v>0.6666666667</v>
      </c>
      <c r="W3867" s="4" t="str">
        <f>IFERROR(__xludf.DUMMYFUNCTION("""COMPUTED_VALUE"""),"Grk Soluções Informatica Eireli")</f>
        <v>Grk Soluções Informatica Eireli</v>
      </c>
      <c r="X3867" s="33">
        <f>IFERROR(__xludf.DUMMYFUNCTION("""COMPUTED_VALUE"""),1.0)</f>
        <v>1</v>
      </c>
    </row>
    <row r="3868">
      <c r="K3868" s="4" t="str">
        <f>IFERROR(__xludf.DUMMYFUNCTION("""COMPUTED_VALUE"""),"SANTO BURGER ARTESANAL - MANAUS")</f>
        <v>SANTO BURGER ARTESANAL - MANAUS</v>
      </c>
      <c r="L3868" s="32">
        <f>IFERROR(__xludf.DUMMYFUNCTION("""COMPUTED_VALUE"""),3.0)</f>
        <v>3</v>
      </c>
      <c r="M3868" s="4" t="str">
        <f>IFERROR(__xludf.DUMMYFUNCTION("""COMPUTED_VALUE"""),"null")</f>
        <v>null</v>
      </c>
      <c r="N3868" s="33">
        <f>IFERROR(__xludf.DUMMYFUNCTION("""COMPUTED_VALUE"""),1.0)</f>
        <v>1</v>
      </c>
      <c r="O3868" s="4" t="str">
        <f>IFERROR(__xludf.DUMMYFUNCTION("""COMPUTED_VALUE"""),"Saipos Serviços De Software")</f>
        <v>Saipos Serviços De Software</v>
      </c>
      <c r="P3868" s="33">
        <f>IFERROR(__xludf.DUMMYFUNCTION("""COMPUTED_VALUE"""),1.0)</f>
        <v>1</v>
      </c>
      <c r="Q3868" s="4" t="str">
        <f>IFERROR(__xludf.DUMMYFUNCTION("""COMPUTED_VALUE"""),"Saipos Serviços De Software")</f>
        <v>Saipos Serviços De Software</v>
      </c>
      <c r="R3868" s="33">
        <f>IFERROR(__xludf.DUMMYFUNCTION("""COMPUTED_VALUE"""),1.0)</f>
        <v>1</v>
      </c>
      <c r="S3868" s="4" t="str">
        <f>IFERROR(__xludf.DUMMYFUNCTION("""COMPUTED_VALUE"""),"null")</f>
        <v>null</v>
      </c>
      <c r="T3868" s="33">
        <f>IFERROR(__xludf.DUMMYFUNCTION("""COMPUTED_VALUE"""),1.0)</f>
        <v>1</v>
      </c>
      <c r="U3868" s="4" t="str">
        <f>IFERROR(__xludf.DUMMYFUNCTION("""COMPUTED_VALUE"""),"Saipos Serviços De Software")</f>
        <v>Saipos Serviços De Software</v>
      </c>
      <c r="V3868" s="33">
        <f>IFERROR(__xludf.DUMMYFUNCTION("""COMPUTED_VALUE"""),1.0)</f>
        <v>1</v>
      </c>
      <c r="W3868" s="4" t="str">
        <f>IFERROR(__xludf.DUMMYFUNCTION("""COMPUTED_VALUE"""),"Saipos Serviços De Software")</f>
        <v>Saipos Serviços De Software</v>
      </c>
      <c r="X3868" s="33">
        <f>IFERROR(__xludf.DUMMYFUNCTION("""COMPUTED_VALUE"""),1.0)</f>
        <v>1</v>
      </c>
    </row>
    <row r="3869">
      <c r="K3869" s="4" t="str">
        <f>IFERROR(__xludf.DUMMYFUNCTION("""COMPUTED_VALUE"""),"SANTO MAR")</f>
        <v>SANTO MAR</v>
      </c>
      <c r="L3869" s="32">
        <f>IFERROR(__xludf.DUMMYFUNCTION("""COMPUTED_VALUE"""),3.0)</f>
        <v>3</v>
      </c>
      <c r="M3869" s="4" t="str">
        <f>IFERROR(__xludf.DUMMYFUNCTION("""COMPUTED_VALUE"""),"null")</f>
        <v>null</v>
      </c>
      <c r="N3869" s="33">
        <f>IFERROR(__xludf.DUMMYFUNCTION("""COMPUTED_VALUE"""),1.0)</f>
        <v>1</v>
      </c>
      <c r="O3869" s="4" t="str">
        <f>IFERROR(__xludf.DUMMYFUNCTION("""COMPUTED_VALUE"""),"null")</f>
        <v>null</v>
      </c>
      <c r="P3869" s="33">
        <f>IFERROR(__xludf.DUMMYFUNCTION("""COMPUTED_VALUE"""),1.0)</f>
        <v>1</v>
      </c>
      <c r="Q3869" s="4" t="str">
        <f>IFERROR(__xludf.DUMMYFUNCTION("""COMPUTED_VALUE"""),"null")</f>
        <v>null</v>
      </c>
      <c r="R3869" s="33">
        <f>IFERROR(__xludf.DUMMYFUNCTION("""COMPUTED_VALUE"""),1.0)</f>
        <v>1</v>
      </c>
      <c r="S3869" s="4" t="str">
        <f>IFERROR(__xludf.DUMMYFUNCTION("""COMPUTED_VALUE"""),"null")</f>
        <v>null</v>
      </c>
      <c r="T3869" s="33">
        <f>IFERROR(__xludf.DUMMYFUNCTION("""COMPUTED_VALUE"""),1.0)</f>
        <v>1</v>
      </c>
      <c r="U3869" s="4" t="str">
        <f>IFERROR(__xludf.DUMMYFUNCTION("""COMPUTED_VALUE"""),"null")</f>
        <v>null</v>
      </c>
      <c r="V3869" s="33">
        <f>IFERROR(__xludf.DUMMYFUNCTION("""COMPUTED_VALUE"""),1.0)</f>
        <v>1</v>
      </c>
      <c r="W3869" s="4" t="str">
        <f>IFERROR(__xludf.DUMMYFUNCTION("""COMPUTED_VALUE"""),"Saipos Serviços De Software")</f>
        <v>Saipos Serviços De Software</v>
      </c>
      <c r="X3869" s="33">
        <f>IFERROR(__xludf.DUMMYFUNCTION("""COMPUTED_VALUE"""),1.0)</f>
        <v>1</v>
      </c>
    </row>
    <row r="3870">
      <c r="K3870" s="4" t="str">
        <f>IFERROR(__xludf.DUMMYFUNCTION("""COMPUTED_VALUE"""),"SAO PAULO HAMBURGUERIA")</f>
        <v>SAO PAULO HAMBURGUERIA</v>
      </c>
      <c r="L3870" s="32">
        <f>IFERROR(__xludf.DUMMYFUNCTION("""COMPUTED_VALUE"""),3.0)</f>
        <v>3</v>
      </c>
      <c r="M3870" s="4" t="str">
        <f>IFERROR(__xludf.DUMMYFUNCTION("""COMPUTED_VALUE"""),"Ncr")</f>
        <v>Ncr</v>
      </c>
      <c r="N3870" s="33">
        <f>IFERROR(__xludf.DUMMYFUNCTION("""COMPUTED_VALUE"""),1.0)</f>
        <v>1</v>
      </c>
      <c r="O3870" s="4" t="str">
        <f>IFERROR(__xludf.DUMMYFUNCTION("""COMPUTED_VALUE"""),"Ncr")</f>
        <v>Ncr</v>
      </c>
      <c r="P3870" s="33">
        <f>IFERROR(__xludf.DUMMYFUNCTION("""COMPUTED_VALUE"""),1.0)</f>
        <v>1</v>
      </c>
      <c r="Q3870" s="4" t="str">
        <f>IFERROR(__xludf.DUMMYFUNCTION("""COMPUTED_VALUE"""),"Ncr")</f>
        <v>Ncr</v>
      </c>
      <c r="R3870" s="33">
        <f>IFERROR(__xludf.DUMMYFUNCTION("""COMPUTED_VALUE"""),1.0)</f>
        <v>1</v>
      </c>
      <c r="S3870" s="4" t="str">
        <f>IFERROR(__xludf.DUMMYFUNCTION("""COMPUTED_VALUE"""),"Ncr")</f>
        <v>Ncr</v>
      </c>
      <c r="T3870" s="33">
        <f>IFERROR(__xludf.DUMMYFUNCTION("""COMPUTED_VALUE"""),0.6666666666666666)</f>
        <v>0.6666666667</v>
      </c>
      <c r="U3870" s="4" t="str">
        <f>IFERROR(__xludf.DUMMYFUNCTION("""COMPUTED_VALUE"""),"Ncr")</f>
        <v>Ncr</v>
      </c>
      <c r="V3870" s="33">
        <f>IFERROR(__xludf.DUMMYFUNCTION("""COMPUTED_VALUE"""),1.0)</f>
        <v>1</v>
      </c>
      <c r="W3870" s="4" t="str">
        <f>IFERROR(__xludf.DUMMYFUNCTION("""COMPUTED_VALUE"""),"Ncr")</f>
        <v>Ncr</v>
      </c>
      <c r="X3870" s="33">
        <f>IFERROR(__xludf.DUMMYFUNCTION("""COMPUTED_VALUE"""),1.0)</f>
        <v>1</v>
      </c>
    </row>
    <row r="3871">
      <c r="K3871" s="4" t="str">
        <f>IFERROR(__xludf.DUMMYFUNCTION("""COMPUTED_VALUE"""),"SAO PAULO HAMBURGUERIA - CONTA MARCA")</f>
        <v>SAO PAULO HAMBURGUERIA - CONTA MARCA</v>
      </c>
      <c r="L3871" s="32">
        <f>IFERROR(__xludf.DUMMYFUNCTION("""COMPUTED_VALUE"""),3.0)</f>
        <v>3</v>
      </c>
      <c r="M3871" s="4" t="str">
        <f>IFERROR(__xludf.DUMMYFUNCTION("""COMPUTED_VALUE"""),"Ncr")</f>
        <v>Ncr</v>
      </c>
      <c r="N3871" s="33">
        <f>IFERROR(__xludf.DUMMYFUNCTION("""COMPUTED_VALUE"""),1.0)</f>
        <v>1</v>
      </c>
      <c r="O3871" s="4" t="str">
        <f>IFERROR(__xludf.DUMMYFUNCTION("""COMPUTED_VALUE"""),"Ncr")</f>
        <v>Ncr</v>
      </c>
      <c r="P3871" s="33">
        <f>IFERROR(__xludf.DUMMYFUNCTION("""COMPUTED_VALUE"""),1.0)</f>
        <v>1</v>
      </c>
      <c r="Q3871" s="4" t="str">
        <f>IFERROR(__xludf.DUMMYFUNCTION("""COMPUTED_VALUE"""),"Ncr")</f>
        <v>Ncr</v>
      </c>
      <c r="R3871" s="33">
        <f>IFERROR(__xludf.DUMMYFUNCTION("""COMPUTED_VALUE"""),1.0)</f>
        <v>1</v>
      </c>
      <c r="S3871" s="4" t="str">
        <f>IFERROR(__xludf.DUMMYFUNCTION("""COMPUTED_VALUE"""),"Ncr")</f>
        <v>Ncr</v>
      </c>
      <c r="T3871" s="33">
        <f>IFERROR(__xludf.DUMMYFUNCTION("""COMPUTED_VALUE"""),0.6666666666666666)</f>
        <v>0.6666666667</v>
      </c>
      <c r="U3871" s="4" t="str">
        <f>IFERROR(__xludf.DUMMYFUNCTION("""COMPUTED_VALUE"""),"Ncr")</f>
        <v>Ncr</v>
      </c>
      <c r="V3871" s="33">
        <f>IFERROR(__xludf.DUMMYFUNCTION("""COMPUTED_VALUE"""),1.0)</f>
        <v>1</v>
      </c>
      <c r="W3871" s="4" t="str">
        <f>IFERROR(__xludf.DUMMYFUNCTION("""COMPUTED_VALUE"""),"Ncr")</f>
        <v>Ncr</v>
      </c>
      <c r="X3871" s="33">
        <f>IFERROR(__xludf.DUMMYFUNCTION("""COMPUTED_VALUE"""),1.0)</f>
        <v>1</v>
      </c>
    </row>
    <row r="3872">
      <c r="K3872" s="4" t="str">
        <f>IFERROR(__xludf.DUMMYFUNCTION("""COMPUTED_VALUE"""),"SEMEVE - CONTA PAI")</f>
        <v>SEMEVE - CONTA PAI</v>
      </c>
      <c r="L3872" s="32">
        <f>IFERROR(__xludf.DUMMYFUNCTION("""COMPUTED_VALUE"""),3.0)</f>
        <v>3</v>
      </c>
      <c r="M3872" s="4" t="str">
        <f>IFERROR(__xludf.DUMMYFUNCTION("""COMPUTED_VALUE"""),"N/A (Not found)")</f>
        <v>N/A (Not found)</v>
      </c>
      <c r="N3872" s="33">
        <f>IFERROR(__xludf.DUMMYFUNCTION("""COMPUTED_VALUE"""),0.6666666666666666)</f>
        <v>0.6666666667</v>
      </c>
      <c r="O3872" s="4" t="str">
        <f>IFERROR(__xludf.DUMMYFUNCTION("""COMPUTED_VALUE"""),"N/A (Not found)")</f>
        <v>N/A (Not found)</v>
      </c>
      <c r="P3872" s="33">
        <f>IFERROR(__xludf.DUMMYFUNCTION("""COMPUTED_VALUE"""),0.6666666666666666)</f>
        <v>0.6666666667</v>
      </c>
      <c r="Q3872" s="4" t="str">
        <f>IFERROR(__xludf.DUMMYFUNCTION("""COMPUTED_VALUE"""),"N/A (Not found)")</f>
        <v>N/A (Not found)</v>
      </c>
      <c r="R3872" s="33">
        <f>IFERROR(__xludf.DUMMYFUNCTION("""COMPUTED_VALUE"""),0.6666666666666666)</f>
        <v>0.6666666667</v>
      </c>
      <c r="S3872" s="4" t="str">
        <f>IFERROR(__xludf.DUMMYFUNCTION("""COMPUTED_VALUE"""),"N/A (Not found)")</f>
        <v>N/A (Not found)</v>
      </c>
      <c r="T3872" s="33">
        <f>IFERROR(__xludf.DUMMYFUNCTION("""COMPUTED_VALUE"""),0.6666666666666666)</f>
        <v>0.6666666667</v>
      </c>
      <c r="U3872" s="4" t="str">
        <f>IFERROR(__xludf.DUMMYFUNCTION("""COMPUTED_VALUE"""),"N/A (Not found)")</f>
        <v>N/A (Not found)</v>
      </c>
      <c r="V3872" s="33">
        <f>IFERROR(__xludf.DUMMYFUNCTION("""COMPUTED_VALUE"""),1.0)</f>
        <v>1</v>
      </c>
      <c r="W3872" s="4" t="str">
        <f>IFERROR(__xludf.DUMMYFUNCTION("""COMPUTED_VALUE"""),"N/A (Not found)")</f>
        <v>N/A (Not found)</v>
      </c>
      <c r="X3872" s="33">
        <f>IFERROR(__xludf.DUMMYFUNCTION("""COMPUTED_VALUE"""),1.0)</f>
        <v>1</v>
      </c>
    </row>
    <row r="3873">
      <c r="K3873" s="4" t="str">
        <f>IFERROR(__xludf.DUMMYFUNCTION("""COMPUTED_VALUE"""),"SENHOR BOTEQUIM RESTAURANTE E BAR")</f>
        <v>SENHOR BOTEQUIM RESTAURANTE E BAR</v>
      </c>
      <c r="L3873" s="32">
        <f>IFERROR(__xludf.DUMMYFUNCTION("""COMPUTED_VALUE"""),3.0)</f>
        <v>3</v>
      </c>
      <c r="M3873" s="4" t="str">
        <f>IFERROR(__xludf.DUMMYFUNCTION("""COMPUTED_VALUE"""),"Saipos Serviços De Software")</f>
        <v>Saipos Serviços De Software</v>
      </c>
      <c r="N3873" s="33">
        <f>IFERROR(__xludf.DUMMYFUNCTION("""COMPUTED_VALUE"""),1.0)</f>
        <v>1</v>
      </c>
      <c r="O3873" s="4" t="str">
        <f>IFERROR(__xludf.DUMMYFUNCTION("""COMPUTED_VALUE"""),"Saipos Serviços De Software")</f>
        <v>Saipos Serviços De Software</v>
      </c>
      <c r="P3873" s="33">
        <f>IFERROR(__xludf.DUMMYFUNCTION("""COMPUTED_VALUE"""),1.0)</f>
        <v>1</v>
      </c>
      <c r="Q3873" s="4" t="str">
        <f>IFERROR(__xludf.DUMMYFUNCTION("""COMPUTED_VALUE"""),"Saipos Serviços De Software")</f>
        <v>Saipos Serviços De Software</v>
      </c>
      <c r="R3873" s="33">
        <f>IFERROR(__xludf.DUMMYFUNCTION("""COMPUTED_VALUE"""),1.0)</f>
        <v>1</v>
      </c>
      <c r="S3873" s="4" t="str">
        <f>IFERROR(__xludf.DUMMYFUNCTION("""COMPUTED_VALUE"""),"Cardápio Web")</f>
        <v>Cardápio Web</v>
      </c>
      <c r="T3873" s="33">
        <f>IFERROR(__xludf.DUMMYFUNCTION("""COMPUTED_VALUE"""),1.0)</f>
        <v>1</v>
      </c>
      <c r="U3873" s="4" t="str">
        <f>IFERROR(__xludf.DUMMYFUNCTION("""COMPUTED_VALUE"""),"Cardápio Web")</f>
        <v>Cardápio Web</v>
      </c>
      <c r="V3873" s="33">
        <f>IFERROR(__xludf.DUMMYFUNCTION("""COMPUTED_VALUE"""),1.0)</f>
        <v>1</v>
      </c>
      <c r="W3873" s="4" t="str">
        <f>IFERROR(__xludf.DUMMYFUNCTION("""COMPUTED_VALUE"""),"Cardápio Web")</f>
        <v>Cardápio Web</v>
      </c>
      <c r="X3873" s="33">
        <f>IFERROR(__xludf.DUMMYFUNCTION("""COMPUTED_VALUE"""),1.0)</f>
        <v>1</v>
      </c>
    </row>
    <row r="3874">
      <c r="K3874" s="4" t="str">
        <f>IFERROR(__xludf.DUMMYFUNCTION("""COMPUTED_VALUE"""),"SENHORA FATIA")</f>
        <v>SENHORA FATIA</v>
      </c>
      <c r="L3874" s="32">
        <f>IFERROR(__xludf.DUMMYFUNCTION("""COMPUTED_VALUE"""),3.0)</f>
        <v>3</v>
      </c>
      <c r="M3874" s="4" t="str">
        <f>IFERROR(__xludf.DUMMYFUNCTION("""COMPUTED_VALUE"""),"Saipos Serviços De Software")</f>
        <v>Saipos Serviços De Software</v>
      </c>
      <c r="N3874" s="33">
        <f>IFERROR(__xludf.DUMMYFUNCTION("""COMPUTED_VALUE"""),1.0)</f>
        <v>1</v>
      </c>
      <c r="O3874" s="4" t="str">
        <f>IFERROR(__xludf.DUMMYFUNCTION("""COMPUTED_VALUE"""),"Saipos Serviços De Software")</f>
        <v>Saipos Serviços De Software</v>
      </c>
      <c r="P3874" s="33">
        <f>IFERROR(__xludf.DUMMYFUNCTION("""COMPUTED_VALUE"""),1.0)</f>
        <v>1</v>
      </c>
      <c r="Q3874" s="4" t="str">
        <f>IFERROR(__xludf.DUMMYFUNCTION("""COMPUTED_VALUE"""),"Saipos Serviços De Software")</f>
        <v>Saipos Serviços De Software</v>
      </c>
      <c r="R3874" s="33">
        <f>IFERROR(__xludf.DUMMYFUNCTION("""COMPUTED_VALUE"""),1.0)</f>
        <v>1</v>
      </c>
      <c r="S3874" s="4" t="str">
        <f>IFERROR(__xludf.DUMMYFUNCTION("""COMPUTED_VALUE"""),"Saipos Serviços De Software")</f>
        <v>Saipos Serviços De Software</v>
      </c>
      <c r="T3874" s="33">
        <f>IFERROR(__xludf.DUMMYFUNCTION("""COMPUTED_VALUE"""),1.0)</f>
        <v>1</v>
      </c>
      <c r="U3874" s="4" t="str">
        <f>IFERROR(__xludf.DUMMYFUNCTION("""COMPUTED_VALUE"""),"Saipos Serviços De Software")</f>
        <v>Saipos Serviços De Software</v>
      </c>
      <c r="V3874" s="33">
        <f>IFERROR(__xludf.DUMMYFUNCTION("""COMPUTED_VALUE"""),1.0)</f>
        <v>1</v>
      </c>
      <c r="W3874" s="4" t="str">
        <f>IFERROR(__xludf.DUMMYFUNCTION("""COMPUTED_VALUE"""),"Saipos Serviços De Software")</f>
        <v>Saipos Serviços De Software</v>
      </c>
      <c r="X3874" s="33">
        <f>IFERROR(__xludf.DUMMYFUNCTION("""COMPUTED_VALUE"""),0.6666666666666666)</f>
        <v>0.6666666667</v>
      </c>
    </row>
    <row r="3875">
      <c r="K3875" s="4" t="str">
        <f>IFERROR(__xludf.DUMMYFUNCTION("""COMPUTED_VALUE"""),"SEO CREPE - CREPES, SALADAS E POKES")</f>
        <v>SEO CREPE - CREPES, SALADAS E POKES</v>
      </c>
      <c r="L3875" s="32">
        <f>IFERROR(__xludf.DUMMYFUNCTION("""COMPUTED_VALUE"""),3.0)</f>
        <v>3</v>
      </c>
      <c r="M3875" s="4" t="str">
        <f>IFERROR(__xludf.DUMMYFUNCTION("""COMPUTED_VALUE"""),"Cardápio Web")</f>
        <v>Cardápio Web</v>
      </c>
      <c r="N3875" s="33">
        <f>IFERROR(__xludf.DUMMYFUNCTION("""COMPUTED_VALUE"""),1.0)</f>
        <v>1</v>
      </c>
      <c r="O3875" s="4" t="str">
        <f>IFERROR(__xludf.DUMMYFUNCTION("""COMPUTED_VALUE"""),"Cardápio Web")</f>
        <v>Cardápio Web</v>
      </c>
      <c r="P3875" s="33">
        <f>IFERROR(__xludf.DUMMYFUNCTION("""COMPUTED_VALUE"""),1.0)</f>
        <v>1</v>
      </c>
      <c r="Q3875" s="4" t="str">
        <f>IFERROR(__xludf.DUMMYFUNCTION("""COMPUTED_VALUE"""),"Cardápio Web")</f>
        <v>Cardápio Web</v>
      </c>
      <c r="R3875" s="33">
        <f>IFERROR(__xludf.DUMMYFUNCTION("""COMPUTED_VALUE"""),0.6666666666666666)</f>
        <v>0.6666666667</v>
      </c>
      <c r="S3875" s="4" t="str">
        <f>IFERROR(__xludf.DUMMYFUNCTION("""COMPUTED_VALUE"""),"Cardápio Web")</f>
        <v>Cardápio Web</v>
      </c>
      <c r="T3875" s="33">
        <f>IFERROR(__xludf.DUMMYFUNCTION("""COMPUTED_VALUE"""),0.6666666666666666)</f>
        <v>0.6666666667</v>
      </c>
      <c r="U3875" s="4" t="str">
        <f>IFERROR(__xludf.DUMMYFUNCTION("""COMPUTED_VALUE"""),"Cardápio Web")</f>
        <v>Cardápio Web</v>
      </c>
      <c r="V3875" s="33">
        <f>IFERROR(__xludf.DUMMYFUNCTION("""COMPUTED_VALUE"""),0.6666666666666666)</f>
        <v>0.6666666667</v>
      </c>
      <c r="W3875" s="4" t="str">
        <f>IFERROR(__xludf.DUMMYFUNCTION("""COMPUTED_VALUE"""),"Cardápio Web")</f>
        <v>Cardápio Web</v>
      </c>
      <c r="X3875" s="33">
        <f>IFERROR(__xludf.DUMMYFUNCTION("""COMPUTED_VALUE"""),1.0)</f>
        <v>1</v>
      </c>
    </row>
    <row r="3876">
      <c r="K3876" s="4" t="str">
        <f>IFERROR(__xludf.DUMMYFUNCTION("""COMPUTED_VALUE"""),"SEU ESPETO CONTA PAI")</f>
        <v>SEU ESPETO CONTA PAI</v>
      </c>
      <c r="L3876" s="32">
        <f>IFERROR(__xludf.DUMMYFUNCTION("""COMPUTED_VALUE"""),3.0)</f>
        <v>3</v>
      </c>
      <c r="M3876" s="4" t="str">
        <f>IFERROR(__xludf.DUMMYFUNCTION("""COMPUTED_VALUE"""),"null")</f>
        <v>null</v>
      </c>
      <c r="N3876" s="33">
        <f>IFERROR(__xludf.DUMMYFUNCTION("""COMPUTED_VALUE"""),0.6666666666666666)</f>
        <v>0.6666666667</v>
      </c>
      <c r="O3876" s="4" t="str">
        <f>IFERROR(__xludf.DUMMYFUNCTION("""COMPUTED_VALUE"""),"Saipos Serviços De Software")</f>
        <v>Saipos Serviços De Software</v>
      </c>
      <c r="P3876" s="33">
        <f>IFERROR(__xludf.DUMMYFUNCTION("""COMPUTED_VALUE"""),1.0)</f>
        <v>1</v>
      </c>
      <c r="Q3876" s="4" t="str">
        <f>IFERROR(__xludf.DUMMYFUNCTION("""COMPUTED_VALUE"""),"Saipos Serviços De Software")</f>
        <v>Saipos Serviços De Software</v>
      </c>
      <c r="R3876" s="33">
        <f>IFERROR(__xludf.DUMMYFUNCTION("""COMPUTED_VALUE"""),1.0)</f>
        <v>1</v>
      </c>
      <c r="S3876" s="4" t="str">
        <f>IFERROR(__xludf.DUMMYFUNCTION("""COMPUTED_VALUE"""),"Saipos Serviços De Software")</f>
        <v>Saipos Serviços De Software</v>
      </c>
      <c r="T3876" s="33">
        <f>IFERROR(__xludf.DUMMYFUNCTION("""COMPUTED_VALUE"""),1.0)</f>
        <v>1</v>
      </c>
      <c r="U3876" s="4" t="str">
        <f>IFERROR(__xludf.DUMMYFUNCTION("""COMPUTED_VALUE"""),"Saipos Serviços De Software")</f>
        <v>Saipos Serviços De Software</v>
      </c>
      <c r="V3876" s="33">
        <f>IFERROR(__xludf.DUMMYFUNCTION("""COMPUTED_VALUE"""),1.0)</f>
        <v>1</v>
      </c>
      <c r="W3876" s="4" t="str">
        <f>IFERROR(__xludf.DUMMYFUNCTION("""COMPUTED_VALUE"""),"Saipos Serviços De Software")</f>
        <v>Saipos Serviços De Software</v>
      </c>
      <c r="X3876" s="33">
        <f>IFERROR(__xludf.DUMMYFUNCTION("""COMPUTED_VALUE"""),1.0)</f>
        <v>1</v>
      </c>
    </row>
    <row r="3877">
      <c r="K3877" s="4" t="str">
        <f>IFERROR(__xludf.DUMMYFUNCTION("""COMPUTED_VALUE"""),"SEU MAJO")</f>
        <v>SEU MAJO</v>
      </c>
      <c r="L3877" s="32">
        <f>IFERROR(__xludf.DUMMYFUNCTION("""COMPUTED_VALUE"""),3.0)</f>
        <v>3</v>
      </c>
      <c r="M3877" s="4" t="str">
        <f>IFERROR(__xludf.DUMMYFUNCTION("""COMPUTED_VALUE"""),"Tacto Sistemas")</f>
        <v>Tacto Sistemas</v>
      </c>
      <c r="N3877" s="33">
        <f>IFERROR(__xludf.DUMMYFUNCTION("""COMPUTED_VALUE"""),1.0)</f>
        <v>1</v>
      </c>
      <c r="O3877" s="4" t="str">
        <f>IFERROR(__xludf.DUMMYFUNCTION("""COMPUTED_VALUE"""),"Tacto Sistemas")</f>
        <v>Tacto Sistemas</v>
      </c>
      <c r="P3877" s="33">
        <f>IFERROR(__xludf.DUMMYFUNCTION("""COMPUTED_VALUE"""),0.6666666666666666)</f>
        <v>0.6666666667</v>
      </c>
      <c r="Q3877" s="4" t="str">
        <f>IFERROR(__xludf.DUMMYFUNCTION("""COMPUTED_VALUE"""),"Tacto Sistemas")</f>
        <v>Tacto Sistemas</v>
      </c>
      <c r="R3877" s="33">
        <f>IFERROR(__xludf.DUMMYFUNCTION("""COMPUTED_VALUE"""),0.6666666666666666)</f>
        <v>0.6666666667</v>
      </c>
      <c r="S3877" s="4" t="str">
        <f>IFERROR(__xludf.DUMMYFUNCTION("""COMPUTED_VALUE"""),"Tacto Sistemas")</f>
        <v>Tacto Sistemas</v>
      </c>
      <c r="T3877" s="33">
        <f>IFERROR(__xludf.DUMMYFUNCTION("""COMPUTED_VALUE"""),0.6666666666666666)</f>
        <v>0.6666666667</v>
      </c>
      <c r="U3877" s="4" t="str">
        <f>IFERROR(__xludf.DUMMYFUNCTION("""COMPUTED_VALUE"""),"Tacto Sistemas")</f>
        <v>Tacto Sistemas</v>
      </c>
      <c r="V3877" s="33">
        <f>IFERROR(__xludf.DUMMYFUNCTION("""COMPUTED_VALUE"""),0.6666666666666666)</f>
        <v>0.6666666667</v>
      </c>
      <c r="W3877" s="4" t="str">
        <f>IFERROR(__xludf.DUMMYFUNCTION("""COMPUTED_VALUE"""),"Tacto Sistemas")</f>
        <v>Tacto Sistemas</v>
      </c>
      <c r="X3877" s="33">
        <f>IFERROR(__xludf.DUMMYFUNCTION("""COMPUTED_VALUE"""),1.0)</f>
        <v>1</v>
      </c>
    </row>
    <row r="3878">
      <c r="K3878" s="4" t="str">
        <f>IFERROR(__xludf.DUMMYFUNCTION("""COMPUTED_VALUE"""),"SEU NELSON BURGERS NA BRASA - CONTA PAI")</f>
        <v>SEU NELSON BURGERS NA BRASA - CONTA PAI</v>
      </c>
      <c r="L3878" s="32">
        <f>IFERROR(__xludf.DUMMYFUNCTION("""COMPUTED_VALUE"""),3.0)</f>
        <v>3</v>
      </c>
      <c r="M3878" s="4" t="str">
        <f>IFERROR(__xludf.DUMMYFUNCTION("""COMPUTED_VALUE"""),"Cardápio Web")</f>
        <v>Cardápio Web</v>
      </c>
      <c r="N3878" s="33">
        <f>IFERROR(__xludf.DUMMYFUNCTION("""COMPUTED_VALUE"""),1.0)</f>
        <v>1</v>
      </c>
      <c r="O3878" s="4" t="str">
        <f>IFERROR(__xludf.DUMMYFUNCTION("""COMPUTED_VALUE"""),"Cardápio Web")</f>
        <v>Cardápio Web</v>
      </c>
      <c r="P3878" s="33">
        <f>IFERROR(__xludf.DUMMYFUNCTION("""COMPUTED_VALUE"""),1.0)</f>
        <v>1</v>
      </c>
      <c r="Q3878" s="4" t="str">
        <f>IFERROR(__xludf.DUMMYFUNCTION("""COMPUTED_VALUE"""),"Cardápio Web")</f>
        <v>Cardápio Web</v>
      </c>
      <c r="R3878" s="33">
        <f>IFERROR(__xludf.DUMMYFUNCTION("""COMPUTED_VALUE"""),1.0)</f>
        <v>1</v>
      </c>
      <c r="S3878" s="4" t="str">
        <f>IFERROR(__xludf.DUMMYFUNCTION("""COMPUTED_VALUE"""),"Cardápio Web")</f>
        <v>Cardápio Web</v>
      </c>
      <c r="T3878" s="33">
        <f>IFERROR(__xludf.DUMMYFUNCTION("""COMPUTED_VALUE"""),1.0)</f>
        <v>1</v>
      </c>
      <c r="U3878" s="4" t="str">
        <f>IFERROR(__xludf.DUMMYFUNCTION("""COMPUTED_VALUE"""),"Cardápio Web")</f>
        <v>Cardápio Web</v>
      </c>
      <c r="V3878" s="33">
        <f>IFERROR(__xludf.DUMMYFUNCTION("""COMPUTED_VALUE"""),1.0)</f>
        <v>1</v>
      </c>
      <c r="W3878" s="4" t="str">
        <f>IFERROR(__xludf.DUMMYFUNCTION("""COMPUTED_VALUE"""),"Cardápio Web")</f>
        <v>Cardápio Web</v>
      </c>
      <c r="X3878" s="33">
        <f>IFERROR(__xludf.DUMMYFUNCTION("""COMPUTED_VALUE"""),1.0)</f>
        <v>1</v>
      </c>
    </row>
    <row r="3879">
      <c r="K3879" s="4" t="str">
        <f>IFERROR(__xludf.DUMMYFUNCTION("""COMPUTED_VALUE"""),"SEVEN KINGS")</f>
        <v>SEVEN KINGS</v>
      </c>
      <c r="L3879" s="32">
        <f>IFERROR(__xludf.DUMMYFUNCTION("""COMPUTED_VALUE"""),3.0)</f>
        <v>3</v>
      </c>
      <c r="M3879" s="4" t="str">
        <f>IFERROR(__xludf.DUMMYFUNCTION("""COMPUTED_VALUE"""),"Eclética Tecnologia")</f>
        <v>Eclética Tecnologia</v>
      </c>
      <c r="N3879" s="33">
        <f>IFERROR(__xludf.DUMMYFUNCTION("""COMPUTED_VALUE"""),1.0)</f>
        <v>1</v>
      </c>
      <c r="O3879" s="4" t="str">
        <f>IFERROR(__xludf.DUMMYFUNCTION("""COMPUTED_VALUE"""),"Eclética Tecnologia")</f>
        <v>Eclética Tecnologia</v>
      </c>
      <c r="P3879" s="33">
        <f>IFERROR(__xludf.DUMMYFUNCTION("""COMPUTED_VALUE"""),1.0)</f>
        <v>1</v>
      </c>
      <c r="Q3879" s="4" t="str">
        <f>IFERROR(__xludf.DUMMYFUNCTION("""COMPUTED_VALUE"""),"Eclética Tecnologia")</f>
        <v>Eclética Tecnologia</v>
      </c>
      <c r="R3879" s="33">
        <f>IFERROR(__xludf.DUMMYFUNCTION("""COMPUTED_VALUE"""),0.6666666666666666)</f>
        <v>0.6666666667</v>
      </c>
      <c r="S3879" s="4" t="str">
        <f>IFERROR(__xludf.DUMMYFUNCTION("""COMPUTED_VALUE"""),"Eclética Tecnologia")</f>
        <v>Eclética Tecnologia</v>
      </c>
      <c r="T3879" s="33">
        <f>IFERROR(__xludf.DUMMYFUNCTION("""COMPUTED_VALUE"""),0.6666666666666666)</f>
        <v>0.6666666667</v>
      </c>
      <c r="U3879" s="4" t="str">
        <f>IFERROR(__xludf.DUMMYFUNCTION("""COMPUTED_VALUE"""),"Eclética Tecnologia")</f>
        <v>Eclética Tecnologia</v>
      </c>
      <c r="V3879" s="33">
        <f>IFERROR(__xludf.DUMMYFUNCTION("""COMPUTED_VALUE"""),1.0)</f>
        <v>1</v>
      </c>
      <c r="W3879" s="4" t="str">
        <f>IFERROR(__xludf.DUMMYFUNCTION("""COMPUTED_VALUE"""),"Eclética Tecnologia")</f>
        <v>Eclética Tecnologia</v>
      </c>
      <c r="X3879" s="33">
        <f>IFERROR(__xludf.DUMMYFUNCTION("""COMPUTED_VALUE"""),1.0)</f>
        <v>1</v>
      </c>
    </row>
    <row r="3880">
      <c r="K3880" s="4" t="str">
        <f>IFERROR(__xludf.DUMMYFUNCTION("""COMPUTED_VALUE"""),"SKINAO SERTANEJO")</f>
        <v>SKINAO SERTANEJO</v>
      </c>
      <c r="L3880" s="32">
        <f>IFERROR(__xludf.DUMMYFUNCTION("""COMPUTED_VALUE"""),3.0)</f>
        <v>3</v>
      </c>
      <c r="M3880" s="4" t="str">
        <f>IFERROR(__xludf.DUMMYFUNCTION("""COMPUTED_VALUE"""),"Saipos Serviços De Software")</f>
        <v>Saipos Serviços De Software</v>
      </c>
      <c r="N3880" s="33">
        <f>IFERROR(__xludf.DUMMYFUNCTION("""COMPUTED_VALUE"""),1.0)</f>
        <v>1</v>
      </c>
      <c r="O3880" s="4" t="str">
        <f>IFERROR(__xludf.DUMMYFUNCTION("""COMPUTED_VALUE"""),"Saipos Serviços De Software")</f>
        <v>Saipos Serviços De Software</v>
      </c>
      <c r="P3880" s="33">
        <f>IFERROR(__xludf.DUMMYFUNCTION("""COMPUTED_VALUE"""),1.0)</f>
        <v>1</v>
      </c>
      <c r="Q3880" s="4" t="str">
        <f>IFERROR(__xludf.DUMMYFUNCTION("""COMPUTED_VALUE"""),"Saipos Serviços De Software")</f>
        <v>Saipos Serviços De Software</v>
      </c>
      <c r="R3880" s="33">
        <f>IFERROR(__xludf.DUMMYFUNCTION("""COMPUTED_VALUE"""),1.0)</f>
        <v>1</v>
      </c>
      <c r="S3880" s="4" t="str">
        <f>IFERROR(__xludf.DUMMYFUNCTION("""COMPUTED_VALUE"""),"Saipos Serviços De Software")</f>
        <v>Saipos Serviços De Software</v>
      </c>
      <c r="T3880" s="33">
        <f>IFERROR(__xludf.DUMMYFUNCTION("""COMPUTED_VALUE"""),1.0)</f>
        <v>1</v>
      </c>
      <c r="U3880" s="4" t="str">
        <f>IFERROR(__xludf.DUMMYFUNCTION("""COMPUTED_VALUE"""),"Saipos Serviços De Software")</f>
        <v>Saipos Serviços De Software</v>
      </c>
      <c r="V3880" s="33">
        <f>IFERROR(__xludf.DUMMYFUNCTION("""COMPUTED_VALUE"""),1.0)</f>
        <v>1</v>
      </c>
      <c r="W3880" s="4" t="str">
        <f>IFERROR(__xludf.DUMMYFUNCTION("""COMPUTED_VALUE"""),"Saipos Serviços De Software")</f>
        <v>Saipos Serviços De Software</v>
      </c>
      <c r="X3880" s="33">
        <f>IFERROR(__xludf.DUMMYFUNCTION("""COMPUTED_VALUE"""),1.0)</f>
        <v>1</v>
      </c>
    </row>
    <row r="3881">
      <c r="K3881" s="4" t="str">
        <f>IFERROR(__xludf.DUMMYFUNCTION("""COMPUTED_VALUE"""),"SO PIZZAS DELIVERY")</f>
        <v>SO PIZZAS DELIVERY</v>
      </c>
      <c r="L3881" s="32">
        <f>IFERROR(__xludf.DUMMYFUNCTION("""COMPUTED_VALUE"""),3.0)</f>
        <v>3</v>
      </c>
      <c r="M3881" s="4" t="str">
        <f>IFERROR(__xludf.DUMMYFUNCTION("""COMPUTED_VALUE"""),"Cityfoods Ltda")</f>
        <v>Cityfoods Ltda</v>
      </c>
      <c r="N3881" s="33">
        <f>IFERROR(__xludf.DUMMYFUNCTION("""COMPUTED_VALUE"""),0.6666666666666666)</f>
        <v>0.6666666667</v>
      </c>
      <c r="O3881" s="4" t="str">
        <f>IFERROR(__xludf.DUMMYFUNCTION("""COMPUTED_VALUE"""),"Cityfoods Ltda")</f>
        <v>Cityfoods Ltda</v>
      </c>
      <c r="P3881" s="33">
        <f>IFERROR(__xludf.DUMMYFUNCTION("""COMPUTED_VALUE"""),0.6666666666666666)</f>
        <v>0.6666666667</v>
      </c>
      <c r="Q3881" s="4" t="str">
        <f>IFERROR(__xludf.DUMMYFUNCTION("""COMPUTED_VALUE"""),"Cityfoods Ltda")</f>
        <v>Cityfoods Ltda</v>
      </c>
      <c r="R3881" s="33">
        <f>IFERROR(__xludf.DUMMYFUNCTION("""COMPUTED_VALUE"""),0.6666666666666666)</f>
        <v>0.6666666667</v>
      </c>
      <c r="S3881" s="4" t="str">
        <f>IFERROR(__xludf.DUMMYFUNCTION("""COMPUTED_VALUE"""),"Cityfoods Ltda")</f>
        <v>Cityfoods Ltda</v>
      </c>
      <c r="T3881" s="33">
        <f>IFERROR(__xludf.DUMMYFUNCTION("""COMPUTED_VALUE"""),0.6666666666666666)</f>
        <v>0.6666666667</v>
      </c>
      <c r="U3881" s="4" t="str">
        <f>IFERROR(__xludf.DUMMYFUNCTION("""COMPUTED_VALUE"""),"Cityfoods Ltda")</f>
        <v>Cityfoods Ltda</v>
      </c>
      <c r="V3881" s="33">
        <f>IFERROR(__xludf.DUMMYFUNCTION("""COMPUTED_VALUE"""),1.0)</f>
        <v>1</v>
      </c>
      <c r="W3881" s="4" t="str">
        <f>IFERROR(__xludf.DUMMYFUNCTION("""COMPUTED_VALUE"""),"Cityfoods Ltda")</f>
        <v>Cityfoods Ltda</v>
      </c>
      <c r="X3881" s="33">
        <f>IFERROR(__xludf.DUMMYFUNCTION("""COMPUTED_VALUE"""),1.0)</f>
        <v>1</v>
      </c>
    </row>
    <row r="3882">
      <c r="K3882" s="4" t="str">
        <f>IFERROR(__xludf.DUMMYFUNCTION("""COMPUTED_VALUE"""),"SOBREMESA")</f>
        <v>SOBREMESA</v>
      </c>
      <c r="L3882" s="32">
        <f>IFERROR(__xludf.DUMMYFUNCTION("""COMPUTED_VALUE"""),3.0)</f>
        <v>3</v>
      </c>
      <c r="M3882" s="4" t="str">
        <f>IFERROR(__xludf.DUMMYFUNCTION("""COMPUTED_VALUE"""),"Saipos Serviços De Software")</f>
        <v>Saipos Serviços De Software</v>
      </c>
      <c r="N3882" s="33">
        <f>IFERROR(__xludf.DUMMYFUNCTION("""COMPUTED_VALUE"""),0.6666666666666666)</f>
        <v>0.6666666667</v>
      </c>
      <c r="O3882" s="4" t="str">
        <f>IFERROR(__xludf.DUMMYFUNCTION("""COMPUTED_VALUE"""),"Saipos Serviços De Software")</f>
        <v>Saipos Serviços De Software</v>
      </c>
      <c r="P3882" s="33">
        <f>IFERROR(__xludf.DUMMYFUNCTION("""COMPUTED_VALUE"""),1.0)</f>
        <v>1</v>
      </c>
      <c r="Q3882" s="4" t="str">
        <f>IFERROR(__xludf.DUMMYFUNCTION("""COMPUTED_VALUE"""),"Saipos Serviços De Software")</f>
        <v>Saipos Serviços De Software</v>
      </c>
      <c r="R3882" s="33">
        <f>IFERROR(__xludf.DUMMYFUNCTION("""COMPUTED_VALUE"""),1.0)</f>
        <v>1</v>
      </c>
      <c r="S3882" s="4" t="str">
        <f>IFERROR(__xludf.DUMMYFUNCTION("""COMPUTED_VALUE"""),"Saipos Serviços De Software")</f>
        <v>Saipos Serviços De Software</v>
      </c>
      <c r="T3882" s="33">
        <f>IFERROR(__xludf.DUMMYFUNCTION("""COMPUTED_VALUE"""),1.0)</f>
        <v>1</v>
      </c>
      <c r="U3882" s="4" t="str">
        <f>IFERROR(__xludf.DUMMYFUNCTION("""COMPUTED_VALUE"""),"Saipos Serviços De Software")</f>
        <v>Saipos Serviços De Software</v>
      </c>
      <c r="V3882" s="33">
        <f>IFERROR(__xludf.DUMMYFUNCTION("""COMPUTED_VALUE"""),1.0)</f>
        <v>1</v>
      </c>
      <c r="W3882" s="4" t="str">
        <f>IFERROR(__xludf.DUMMYFUNCTION("""COMPUTED_VALUE"""),"Saipos Serviços De Software")</f>
        <v>Saipos Serviços De Software</v>
      </c>
      <c r="X3882" s="33">
        <f>IFERROR(__xludf.DUMMYFUNCTION("""COMPUTED_VALUE"""),1.0)</f>
        <v>1</v>
      </c>
    </row>
    <row r="3883">
      <c r="K3883" s="4" t="str">
        <f>IFERROR(__xludf.DUMMYFUNCTION("""COMPUTED_VALUE"""),"SOPA COM AMOR - CONTA MARCA")</f>
        <v>SOPA COM AMOR - CONTA MARCA</v>
      </c>
      <c r="L3883" s="32">
        <f>IFERROR(__xludf.DUMMYFUNCTION("""COMPUTED_VALUE"""),3.0)</f>
        <v>3</v>
      </c>
      <c r="M3883" s="4" t="str">
        <f>IFERROR(__xludf.DUMMYFUNCTION("""COMPUTED_VALUE"""),"null")</f>
        <v>null</v>
      </c>
      <c r="N3883" s="33">
        <f>IFERROR(__xludf.DUMMYFUNCTION("""COMPUTED_VALUE"""),1.0)</f>
        <v>1</v>
      </c>
      <c r="O3883" s="4" t="str">
        <f>IFERROR(__xludf.DUMMYFUNCTION("""COMPUTED_VALUE"""),"null")</f>
        <v>null</v>
      </c>
      <c r="P3883" s="33">
        <f>IFERROR(__xludf.DUMMYFUNCTION("""COMPUTED_VALUE"""),1.0)</f>
        <v>1</v>
      </c>
      <c r="Q3883" s="4" t="str">
        <f>IFERROR(__xludf.DUMMYFUNCTION("""COMPUTED_VALUE"""),"null")</f>
        <v>null</v>
      </c>
      <c r="R3883" s="33">
        <f>IFERROR(__xludf.DUMMYFUNCTION("""COMPUTED_VALUE"""),1.0)</f>
        <v>1</v>
      </c>
      <c r="S3883" s="4" t="str">
        <f>IFERROR(__xludf.DUMMYFUNCTION("""COMPUTED_VALUE"""),"null")</f>
        <v>null</v>
      </c>
      <c r="T3883" s="33">
        <f>IFERROR(__xludf.DUMMYFUNCTION("""COMPUTED_VALUE"""),0.6666666666666666)</f>
        <v>0.6666666667</v>
      </c>
      <c r="U3883" s="4" t="str">
        <f>IFERROR(__xludf.DUMMYFUNCTION("""COMPUTED_VALUE"""),"Izzy Way Tecnologia")</f>
        <v>Izzy Way Tecnologia</v>
      </c>
      <c r="V3883" s="33">
        <f>IFERROR(__xludf.DUMMYFUNCTION("""COMPUTED_VALUE"""),1.0)</f>
        <v>1</v>
      </c>
      <c r="W3883" s="4" t="str">
        <f>IFERROR(__xludf.DUMMYFUNCTION("""COMPUTED_VALUE"""),"Izzy Way Tecnologia")</f>
        <v>Izzy Way Tecnologia</v>
      </c>
      <c r="X3883" s="33">
        <f>IFERROR(__xludf.DUMMYFUNCTION("""COMPUTED_VALUE"""),1.0)</f>
        <v>1</v>
      </c>
    </row>
    <row r="3884">
      <c r="K3884" s="4" t="str">
        <f>IFERROR(__xludf.DUMMYFUNCTION("""COMPUTED_VALUE"""),"SOTTILE MATO GROSSO DO SUL")</f>
        <v>SOTTILE MATO GROSSO DO SUL</v>
      </c>
      <c r="L3884" s="32">
        <f>IFERROR(__xludf.DUMMYFUNCTION("""COMPUTED_VALUE"""),3.0)</f>
        <v>3</v>
      </c>
      <c r="M3884" s="4" t="str">
        <f>IFERROR(__xludf.DUMMYFUNCTION("""COMPUTED_VALUE"""),"Saipos Serviços De Software")</f>
        <v>Saipos Serviços De Software</v>
      </c>
      <c r="N3884" s="33">
        <f>IFERROR(__xludf.DUMMYFUNCTION("""COMPUTED_VALUE"""),0.6666666666666666)</f>
        <v>0.6666666667</v>
      </c>
      <c r="O3884" s="4" t="str">
        <f>IFERROR(__xludf.DUMMYFUNCTION("""COMPUTED_VALUE"""),"Saipos Serviços De Software")</f>
        <v>Saipos Serviços De Software</v>
      </c>
      <c r="P3884" s="33">
        <f>IFERROR(__xludf.DUMMYFUNCTION("""COMPUTED_VALUE"""),0.6666666666666666)</f>
        <v>0.6666666667</v>
      </c>
      <c r="Q3884" s="4" t="str">
        <f>IFERROR(__xludf.DUMMYFUNCTION("""COMPUTED_VALUE"""),"Saipos Serviços De Software")</f>
        <v>Saipos Serviços De Software</v>
      </c>
      <c r="R3884" s="33">
        <f>IFERROR(__xludf.DUMMYFUNCTION("""COMPUTED_VALUE"""),0.6666666666666666)</f>
        <v>0.6666666667</v>
      </c>
      <c r="S3884" s="4" t="str">
        <f>IFERROR(__xludf.DUMMYFUNCTION("""COMPUTED_VALUE"""),"Saipos Serviços De Software")</f>
        <v>Saipos Serviços De Software</v>
      </c>
      <c r="T3884" s="33">
        <f>IFERROR(__xludf.DUMMYFUNCTION("""COMPUTED_VALUE"""),0.6666666666666666)</f>
        <v>0.6666666667</v>
      </c>
      <c r="U3884" s="4" t="str">
        <f>IFERROR(__xludf.DUMMYFUNCTION("""COMPUTED_VALUE"""),"Saipos Serviços De Software")</f>
        <v>Saipos Serviços De Software</v>
      </c>
      <c r="V3884" s="33">
        <f>IFERROR(__xludf.DUMMYFUNCTION("""COMPUTED_VALUE"""),0.6666666666666666)</f>
        <v>0.6666666667</v>
      </c>
      <c r="W3884" s="4" t="str">
        <f>IFERROR(__xludf.DUMMYFUNCTION("""COMPUTED_VALUE"""),"Saipos Serviços De Software")</f>
        <v>Saipos Serviços De Software</v>
      </c>
      <c r="X3884" s="33">
        <f>IFERROR(__xludf.DUMMYFUNCTION("""COMPUTED_VALUE"""),0.6666666666666666)</f>
        <v>0.6666666667</v>
      </c>
    </row>
    <row r="3885">
      <c r="K3885" s="4" t="str">
        <f>IFERROR(__xludf.DUMMYFUNCTION("""COMPUTED_VALUE"""),"SOTTILES")</f>
        <v>SOTTILES</v>
      </c>
      <c r="L3885" s="32">
        <f>IFERROR(__xludf.DUMMYFUNCTION("""COMPUTED_VALUE"""),3.0)</f>
        <v>3</v>
      </c>
      <c r="M3885" s="4" t="str">
        <f>IFERROR(__xludf.DUMMYFUNCTION("""COMPUTED_VALUE"""),"Cityfoods Ltda")</f>
        <v>Cityfoods Ltda</v>
      </c>
      <c r="N3885" s="33">
        <f>IFERROR(__xludf.DUMMYFUNCTION("""COMPUTED_VALUE"""),0.6666666666666666)</f>
        <v>0.6666666667</v>
      </c>
      <c r="O3885" s="4" t="str">
        <f>IFERROR(__xludf.DUMMYFUNCTION("""COMPUTED_VALUE"""),"Cityfoods Ltda")</f>
        <v>Cityfoods Ltda</v>
      </c>
      <c r="P3885" s="33">
        <f>IFERROR(__xludf.DUMMYFUNCTION("""COMPUTED_VALUE"""),0.6666666666666666)</f>
        <v>0.6666666667</v>
      </c>
      <c r="Q3885" s="4" t="str">
        <f>IFERROR(__xludf.DUMMYFUNCTION("""COMPUTED_VALUE"""),"Cityfoods Ltda")</f>
        <v>Cityfoods Ltda</v>
      </c>
      <c r="R3885" s="33">
        <f>IFERROR(__xludf.DUMMYFUNCTION("""COMPUTED_VALUE"""),1.0)</f>
        <v>1</v>
      </c>
      <c r="S3885" s="4" t="str">
        <f>IFERROR(__xludf.DUMMYFUNCTION("""COMPUTED_VALUE"""),"Cityfoods Ltda")</f>
        <v>Cityfoods Ltda</v>
      </c>
      <c r="T3885" s="33">
        <f>IFERROR(__xludf.DUMMYFUNCTION("""COMPUTED_VALUE"""),0.6666666666666666)</f>
        <v>0.6666666667</v>
      </c>
      <c r="U3885" s="4" t="str">
        <f>IFERROR(__xludf.DUMMYFUNCTION("""COMPUTED_VALUE"""),"Cityfoods Ltda")</f>
        <v>Cityfoods Ltda</v>
      </c>
      <c r="V3885" s="33">
        <f>IFERROR(__xludf.DUMMYFUNCTION("""COMPUTED_VALUE"""),1.0)</f>
        <v>1</v>
      </c>
      <c r="W3885" s="4" t="str">
        <f>IFERROR(__xludf.DUMMYFUNCTION("""COMPUTED_VALUE"""),"Cityfoods Ltda")</f>
        <v>Cityfoods Ltda</v>
      </c>
      <c r="X3885" s="33">
        <f>IFERROR(__xludf.DUMMYFUNCTION("""COMPUTED_VALUE"""),0.6666666666666666)</f>
        <v>0.6666666667</v>
      </c>
    </row>
    <row r="3886">
      <c r="K3886" s="4" t="str">
        <f>IFERROR(__xludf.DUMMYFUNCTION("""COMPUTED_VALUE"""),"SPAGHETTI CIA")</f>
        <v>SPAGHETTI CIA</v>
      </c>
      <c r="L3886" s="32">
        <f>IFERROR(__xludf.DUMMYFUNCTION("""COMPUTED_VALUE"""),3.0)</f>
        <v>3</v>
      </c>
      <c r="M3886" s="4" t="str">
        <f>IFERROR(__xludf.DUMMYFUNCTION("""COMPUTED_VALUE"""),"Cloudfy")</f>
        <v>Cloudfy</v>
      </c>
      <c r="N3886" s="33">
        <f>IFERROR(__xludf.DUMMYFUNCTION("""COMPUTED_VALUE"""),1.0)</f>
        <v>1</v>
      </c>
      <c r="O3886" s="4" t="str">
        <f>IFERROR(__xludf.DUMMYFUNCTION("""COMPUTED_VALUE"""),"Cloudfy")</f>
        <v>Cloudfy</v>
      </c>
      <c r="P3886" s="33">
        <f>IFERROR(__xludf.DUMMYFUNCTION("""COMPUTED_VALUE"""),1.0)</f>
        <v>1</v>
      </c>
      <c r="Q3886" s="4" t="str">
        <f>IFERROR(__xludf.DUMMYFUNCTION("""COMPUTED_VALUE"""),"Cloudfy")</f>
        <v>Cloudfy</v>
      </c>
      <c r="R3886" s="33">
        <f>IFERROR(__xludf.DUMMYFUNCTION("""COMPUTED_VALUE"""),1.0)</f>
        <v>1</v>
      </c>
      <c r="S3886" s="4" t="str">
        <f>IFERROR(__xludf.DUMMYFUNCTION("""COMPUTED_VALUE"""),"Cloudfy")</f>
        <v>Cloudfy</v>
      </c>
      <c r="T3886" s="33">
        <f>IFERROR(__xludf.DUMMYFUNCTION("""COMPUTED_VALUE"""),1.0)</f>
        <v>1</v>
      </c>
      <c r="U3886" s="4" t="str">
        <f>IFERROR(__xludf.DUMMYFUNCTION("""COMPUTED_VALUE"""),"Cloudfy")</f>
        <v>Cloudfy</v>
      </c>
      <c r="V3886" s="33">
        <f>IFERROR(__xludf.DUMMYFUNCTION("""COMPUTED_VALUE"""),1.0)</f>
        <v>1</v>
      </c>
      <c r="W3886" s="4" t="str">
        <f>IFERROR(__xludf.DUMMYFUNCTION("""COMPUTED_VALUE"""),"Cloudfy")</f>
        <v>Cloudfy</v>
      </c>
      <c r="X3886" s="33">
        <f>IFERROR(__xludf.DUMMYFUNCTION("""COMPUTED_VALUE"""),1.0)</f>
        <v>1</v>
      </c>
    </row>
    <row r="3887">
      <c r="K3887" s="4" t="str">
        <f>IFERROR(__xludf.DUMMYFUNCTION("""COMPUTED_VALUE"""),"SPECIALE PIZZERIA DELIVERY")</f>
        <v>SPECIALE PIZZERIA DELIVERY</v>
      </c>
      <c r="L3887" s="32">
        <f>IFERROR(__xludf.DUMMYFUNCTION("""COMPUTED_VALUE"""),3.0)</f>
        <v>3</v>
      </c>
      <c r="M3887" s="4" t="str">
        <f>IFERROR(__xludf.DUMMYFUNCTION("""COMPUTED_VALUE"""),"Saipos Serviços De Software")</f>
        <v>Saipos Serviços De Software</v>
      </c>
      <c r="N3887" s="33">
        <f>IFERROR(__xludf.DUMMYFUNCTION("""COMPUTED_VALUE"""),1.0)</f>
        <v>1</v>
      </c>
      <c r="O3887" s="4" t="str">
        <f>IFERROR(__xludf.DUMMYFUNCTION("""COMPUTED_VALUE"""),"Saipos Serviços De Software")</f>
        <v>Saipos Serviços De Software</v>
      </c>
      <c r="P3887" s="33">
        <f>IFERROR(__xludf.DUMMYFUNCTION("""COMPUTED_VALUE"""),0.6666666666666666)</f>
        <v>0.6666666667</v>
      </c>
      <c r="Q3887" s="4" t="str">
        <f>IFERROR(__xludf.DUMMYFUNCTION("""COMPUTED_VALUE"""),"Saipos Serviços De Software")</f>
        <v>Saipos Serviços De Software</v>
      </c>
      <c r="R3887" s="33">
        <f>IFERROR(__xludf.DUMMYFUNCTION("""COMPUTED_VALUE"""),0.6666666666666666)</f>
        <v>0.6666666667</v>
      </c>
      <c r="S3887" s="4" t="str">
        <f>IFERROR(__xludf.DUMMYFUNCTION("""COMPUTED_VALUE"""),"Saipos Serviços De Software")</f>
        <v>Saipos Serviços De Software</v>
      </c>
      <c r="T3887" s="33">
        <f>IFERROR(__xludf.DUMMYFUNCTION("""COMPUTED_VALUE"""),0.6666666666666666)</f>
        <v>0.6666666667</v>
      </c>
      <c r="U3887" s="4" t="str">
        <f>IFERROR(__xludf.DUMMYFUNCTION("""COMPUTED_VALUE"""),"Saipos Serviços De Software")</f>
        <v>Saipos Serviços De Software</v>
      </c>
      <c r="V3887" s="33">
        <f>IFERROR(__xludf.DUMMYFUNCTION("""COMPUTED_VALUE"""),0.6666666666666666)</f>
        <v>0.6666666667</v>
      </c>
      <c r="W3887" s="4" t="str">
        <f>IFERROR(__xludf.DUMMYFUNCTION("""COMPUTED_VALUE"""),"Saipos Serviços De Software")</f>
        <v>Saipos Serviços De Software</v>
      </c>
      <c r="X3887" s="33">
        <f>IFERROR(__xludf.DUMMYFUNCTION("""COMPUTED_VALUE"""),1.0)</f>
        <v>1</v>
      </c>
    </row>
    <row r="3888">
      <c r="K3888" s="4" t="str">
        <f>IFERROR(__xludf.DUMMYFUNCTION("""COMPUTED_VALUE"""),"SPECIALITY BURGER")</f>
        <v>SPECIALITY BURGER</v>
      </c>
      <c r="L3888" s="32">
        <f>IFERROR(__xludf.DUMMYFUNCTION("""COMPUTED_VALUE"""),3.0)</f>
        <v>3</v>
      </c>
      <c r="M3888" s="4" t="str">
        <f>IFERROR(__xludf.DUMMYFUNCTION("""COMPUTED_VALUE"""),"null")</f>
        <v>null</v>
      </c>
      <c r="N3888" s="33">
        <f>IFERROR(__xludf.DUMMYFUNCTION("""COMPUTED_VALUE"""),0.6666666666666666)</f>
        <v>0.6666666667</v>
      </c>
      <c r="O3888" s="4" t="str">
        <f>IFERROR(__xludf.DUMMYFUNCTION("""COMPUTED_VALUE"""),"null")</f>
        <v>null</v>
      </c>
      <c r="P3888" s="33">
        <f>IFERROR(__xludf.DUMMYFUNCTION("""COMPUTED_VALUE"""),0.6666666666666666)</f>
        <v>0.6666666667</v>
      </c>
      <c r="Q3888" s="4" t="str">
        <f>IFERROR(__xludf.DUMMYFUNCTION("""COMPUTED_VALUE"""),"null")</f>
        <v>null</v>
      </c>
      <c r="R3888" s="33">
        <f>IFERROR(__xludf.DUMMYFUNCTION("""COMPUTED_VALUE"""),0.6666666666666666)</f>
        <v>0.6666666667</v>
      </c>
      <c r="S3888" s="4" t="str">
        <f>IFERROR(__xludf.DUMMYFUNCTION("""COMPUTED_VALUE"""),"null")</f>
        <v>null</v>
      </c>
      <c r="T3888" s="33">
        <f>IFERROR(__xludf.DUMMYFUNCTION("""COMPUTED_VALUE"""),0.6666666666666666)</f>
        <v>0.6666666667</v>
      </c>
      <c r="U3888" s="4" t="str">
        <f>IFERROR(__xludf.DUMMYFUNCTION("""COMPUTED_VALUE"""),"Saipos Serviços De Software")</f>
        <v>Saipos Serviços De Software</v>
      </c>
      <c r="V3888" s="33">
        <f>IFERROR(__xludf.DUMMYFUNCTION("""COMPUTED_VALUE"""),0.3333333333333333)</f>
        <v>0.3333333333</v>
      </c>
      <c r="W3888" s="4" t="str">
        <f>IFERROR(__xludf.DUMMYFUNCTION("""COMPUTED_VALUE"""),"Saipos Serviços De Software")</f>
        <v>Saipos Serviços De Software</v>
      </c>
      <c r="X3888" s="33">
        <f>IFERROR(__xludf.DUMMYFUNCTION("""COMPUTED_VALUE"""),0.6666666666666666)</f>
        <v>0.6666666667</v>
      </c>
    </row>
    <row r="3889">
      <c r="K3889" s="4" t="str">
        <f>IFERROR(__xludf.DUMMYFUNCTION("""COMPUTED_VALUE"""),"SPECIALLY")</f>
        <v>SPECIALLY</v>
      </c>
      <c r="L3889" s="32">
        <f>IFERROR(__xludf.DUMMYFUNCTION("""COMPUTED_VALUE"""),3.0)</f>
        <v>3</v>
      </c>
      <c r="M3889" s="4" t="str">
        <f>IFERROR(__xludf.DUMMYFUNCTION("""COMPUTED_VALUE"""),"null")</f>
        <v>null</v>
      </c>
      <c r="N3889" s="33">
        <f>IFERROR(__xludf.DUMMYFUNCTION("""COMPUTED_VALUE"""),0.6666666666666666)</f>
        <v>0.6666666667</v>
      </c>
      <c r="O3889" s="4" t="str">
        <f>IFERROR(__xludf.DUMMYFUNCTION("""COMPUTED_VALUE"""),"null")</f>
        <v>null</v>
      </c>
      <c r="P3889" s="33">
        <f>IFERROR(__xludf.DUMMYFUNCTION("""COMPUTED_VALUE"""),1.0)</f>
        <v>1</v>
      </c>
      <c r="Q3889" s="4" t="str">
        <f>IFERROR(__xludf.DUMMYFUNCTION("""COMPUTED_VALUE"""),"null")</f>
        <v>null</v>
      </c>
      <c r="R3889" s="33">
        <f>IFERROR(__xludf.DUMMYFUNCTION("""COMPUTED_VALUE"""),0.6666666666666666)</f>
        <v>0.6666666667</v>
      </c>
      <c r="S3889" s="4" t="str">
        <f>IFERROR(__xludf.DUMMYFUNCTION("""COMPUTED_VALUE"""),"null")</f>
        <v>null</v>
      </c>
      <c r="T3889" s="33">
        <f>IFERROR(__xludf.DUMMYFUNCTION("""COMPUTED_VALUE"""),0.6666666666666666)</f>
        <v>0.6666666667</v>
      </c>
      <c r="U3889" s="4" t="str">
        <f>IFERROR(__xludf.DUMMYFUNCTION("""COMPUTED_VALUE"""),"null")</f>
        <v>null</v>
      </c>
      <c r="V3889" s="33">
        <f>IFERROR(__xludf.DUMMYFUNCTION("""COMPUTED_VALUE"""),0.6666666666666666)</f>
        <v>0.6666666667</v>
      </c>
      <c r="W3889" s="4" t="str">
        <f>IFERROR(__xludf.DUMMYFUNCTION("""COMPUTED_VALUE"""),"null")</f>
        <v>null</v>
      </c>
      <c r="X3889" s="33">
        <f>IFERROR(__xludf.DUMMYFUNCTION("""COMPUTED_VALUE"""),0.6666666666666666)</f>
        <v>0.6666666667</v>
      </c>
    </row>
    <row r="3890">
      <c r="K3890" s="4" t="str">
        <f>IFERROR(__xludf.DUMMYFUNCTION("""COMPUTED_VALUE"""),"SPENCER PIZZA L")</f>
        <v>SPENCER PIZZA L</v>
      </c>
      <c r="L3890" s="32">
        <f>IFERROR(__xludf.DUMMYFUNCTION("""COMPUTED_VALUE"""),3.0)</f>
        <v>3</v>
      </c>
      <c r="M3890" s="4" t="str">
        <f>IFERROR(__xludf.DUMMYFUNCTION("""COMPUTED_VALUE"""),"Grsoft")</f>
        <v>Grsoft</v>
      </c>
      <c r="N3890" s="33">
        <f>IFERROR(__xludf.DUMMYFUNCTION("""COMPUTED_VALUE"""),1.0)</f>
        <v>1</v>
      </c>
      <c r="O3890" s="4" t="str">
        <f>IFERROR(__xludf.DUMMYFUNCTION("""COMPUTED_VALUE"""),"Grsoft")</f>
        <v>Grsoft</v>
      </c>
      <c r="P3890" s="33">
        <f>IFERROR(__xludf.DUMMYFUNCTION("""COMPUTED_VALUE"""),0.6666666666666666)</f>
        <v>0.6666666667</v>
      </c>
      <c r="Q3890" s="4" t="str">
        <f>IFERROR(__xludf.DUMMYFUNCTION("""COMPUTED_VALUE"""),"Saipos Serviços De Software")</f>
        <v>Saipos Serviços De Software</v>
      </c>
      <c r="R3890" s="33">
        <f>IFERROR(__xludf.DUMMYFUNCTION("""COMPUTED_VALUE"""),1.0)</f>
        <v>1</v>
      </c>
      <c r="S3890" s="4" t="str">
        <f>IFERROR(__xludf.DUMMYFUNCTION("""COMPUTED_VALUE"""),"Saipos Serviços De Software")</f>
        <v>Saipos Serviços De Software</v>
      </c>
      <c r="T3890" s="33">
        <f>IFERROR(__xludf.DUMMYFUNCTION("""COMPUTED_VALUE"""),1.0)</f>
        <v>1</v>
      </c>
      <c r="U3890" s="4" t="str">
        <f>IFERROR(__xludf.DUMMYFUNCTION("""COMPUTED_VALUE"""),"Saipos Serviços De Software")</f>
        <v>Saipos Serviços De Software</v>
      </c>
      <c r="V3890" s="33">
        <f>IFERROR(__xludf.DUMMYFUNCTION("""COMPUTED_VALUE"""),1.0)</f>
        <v>1</v>
      </c>
      <c r="W3890" s="4" t="str">
        <f>IFERROR(__xludf.DUMMYFUNCTION("""COMPUTED_VALUE"""),"Saipos Serviços De Software")</f>
        <v>Saipos Serviços De Software</v>
      </c>
      <c r="X3890" s="33">
        <f>IFERROR(__xludf.DUMMYFUNCTION("""COMPUTED_VALUE"""),1.0)</f>
        <v>1</v>
      </c>
    </row>
    <row r="3891">
      <c r="K3891" s="4" t="str">
        <f>IFERROR(__xludf.DUMMYFUNCTION("""COMPUTED_VALUE"""),"SPENCER PIZZA-")</f>
        <v>SPENCER PIZZA-</v>
      </c>
      <c r="L3891" s="32">
        <f>IFERROR(__xludf.DUMMYFUNCTION("""COMPUTED_VALUE"""),3.0)</f>
        <v>3</v>
      </c>
      <c r="M3891" s="4" t="str">
        <f>IFERROR(__xludf.DUMMYFUNCTION("""COMPUTED_VALUE"""),"Grsoft")</f>
        <v>Grsoft</v>
      </c>
      <c r="N3891" s="33">
        <f>IFERROR(__xludf.DUMMYFUNCTION("""COMPUTED_VALUE"""),1.0)</f>
        <v>1</v>
      </c>
      <c r="O3891" s="4" t="str">
        <f>IFERROR(__xludf.DUMMYFUNCTION("""COMPUTED_VALUE"""),"Grsoft")</f>
        <v>Grsoft</v>
      </c>
      <c r="P3891" s="33">
        <f>IFERROR(__xludf.DUMMYFUNCTION("""COMPUTED_VALUE"""),0.6666666666666666)</f>
        <v>0.6666666667</v>
      </c>
      <c r="Q3891" s="4" t="str">
        <f>IFERROR(__xludf.DUMMYFUNCTION("""COMPUTED_VALUE"""),"Saipos Serviços De Software")</f>
        <v>Saipos Serviços De Software</v>
      </c>
      <c r="R3891" s="33">
        <f>IFERROR(__xludf.DUMMYFUNCTION("""COMPUTED_VALUE"""),1.0)</f>
        <v>1</v>
      </c>
      <c r="S3891" s="4" t="str">
        <f>IFERROR(__xludf.DUMMYFUNCTION("""COMPUTED_VALUE"""),"Saipos Serviços De Software")</f>
        <v>Saipos Serviços De Software</v>
      </c>
      <c r="T3891" s="33">
        <f>IFERROR(__xludf.DUMMYFUNCTION("""COMPUTED_VALUE"""),1.0)</f>
        <v>1</v>
      </c>
      <c r="U3891" s="4" t="str">
        <f>IFERROR(__xludf.DUMMYFUNCTION("""COMPUTED_VALUE"""),"Saipos Serviços De Software")</f>
        <v>Saipos Serviços De Software</v>
      </c>
      <c r="V3891" s="33">
        <f>IFERROR(__xludf.DUMMYFUNCTION("""COMPUTED_VALUE"""),1.0)</f>
        <v>1</v>
      </c>
      <c r="W3891" s="4" t="str">
        <f>IFERROR(__xludf.DUMMYFUNCTION("""COMPUTED_VALUE"""),"Saipos Serviços De Software")</f>
        <v>Saipos Serviços De Software</v>
      </c>
      <c r="X3891" s="33">
        <f>IFERROR(__xludf.DUMMYFUNCTION("""COMPUTED_VALUE"""),1.0)</f>
        <v>1</v>
      </c>
    </row>
    <row r="3892">
      <c r="K3892" s="4" t="str">
        <f>IFERROR(__xludf.DUMMYFUNCTION("""COMPUTED_VALUE"""),"SPITFIRE PIZZA - CONTA MARCA")</f>
        <v>SPITFIRE PIZZA - CONTA MARCA</v>
      </c>
      <c r="L3892" s="32">
        <f>IFERROR(__xludf.DUMMYFUNCTION("""COMPUTED_VALUE"""),3.0)</f>
        <v>3</v>
      </c>
      <c r="M3892" s="4" t="str">
        <f>IFERROR(__xludf.DUMMYFUNCTION("""COMPUTED_VALUE"""),"Consumer Soluções Em Tecnologia Ltda")</f>
        <v>Consumer Soluções Em Tecnologia Ltda</v>
      </c>
      <c r="N3892" s="33">
        <f>IFERROR(__xludf.DUMMYFUNCTION("""COMPUTED_VALUE"""),0.6666666666666666)</f>
        <v>0.6666666667</v>
      </c>
      <c r="O3892" s="4" t="str">
        <f>IFERROR(__xludf.DUMMYFUNCTION("""COMPUTED_VALUE"""),"Saipos Serviços De Software")</f>
        <v>Saipos Serviços De Software</v>
      </c>
      <c r="P3892" s="33">
        <f>IFERROR(__xludf.DUMMYFUNCTION("""COMPUTED_VALUE"""),1.0)</f>
        <v>1</v>
      </c>
      <c r="Q3892" s="4" t="str">
        <f>IFERROR(__xludf.DUMMYFUNCTION("""COMPUTED_VALUE"""),"Saipos Serviços De Software")</f>
        <v>Saipos Serviços De Software</v>
      </c>
      <c r="R3892" s="33">
        <f>IFERROR(__xludf.DUMMYFUNCTION("""COMPUTED_VALUE"""),1.0)</f>
        <v>1</v>
      </c>
      <c r="S3892" s="4" t="str">
        <f>IFERROR(__xludf.DUMMYFUNCTION("""COMPUTED_VALUE"""),"Saipos Serviços De Software")</f>
        <v>Saipos Serviços De Software</v>
      </c>
      <c r="T3892" s="33">
        <f>IFERROR(__xludf.DUMMYFUNCTION("""COMPUTED_VALUE"""),1.0)</f>
        <v>1</v>
      </c>
      <c r="U3892" s="4" t="str">
        <f>IFERROR(__xludf.DUMMYFUNCTION("""COMPUTED_VALUE"""),"Saipos Serviços De Software")</f>
        <v>Saipos Serviços De Software</v>
      </c>
      <c r="V3892" s="33">
        <f>IFERROR(__xludf.DUMMYFUNCTION("""COMPUTED_VALUE"""),1.0)</f>
        <v>1</v>
      </c>
      <c r="W3892" s="4" t="str">
        <f>IFERROR(__xludf.DUMMYFUNCTION("""COMPUTED_VALUE"""),"Saipos Serviços De Software")</f>
        <v>Saipos Serviços De Software</v>
      </c>
      <c r="X3892" s="33">
        <f>IFERROR(__xludf.DUMMYFUNCTION("""COMPUTED_VALUE"""),1.0)</f>
        <v>1</v>
      </c>
    </row>
    <row r="3893">
      <c r="K3893" s="4" t="str">
        <f>IFERROR(__xludf.DUMMYFUNCTION("""COMPUTED_VALUE"""),"SR MUKEKKA - MANAUS")</f>
        <v>SR MUKEKKA - MANAUS</v>
      </c>
      <c r="L3893" s="32">
        <f>IFERROR(__xludf.DUMMYFUNCTION("""COMPUTED_VALUE"""),3.0)</f>
        <v>3</v>
      </c>
      <c r="M3893" s="4" t="str">
        <f>IFERROR(__xludf.DUMMYFUNCTION("""COMPUTED_VALUE"""),"Vekttor")</f>
        <v>Vekttor</v>
      </c>
      <c r="N3893" s="33">
        <f>IFERROR(__xludf.DUMMYFUNCTION("""COMPUTED_VALUE"""),1.0)</f>
        <v>1</v>
      </c>
      <c r="O3893" s="4" t="str">
        <f>IFERROR(__xludf.DUMMYFUNCTION("""COMPUTED_VALUE"""),"Vekttor")</f>
        <v>Vekttor</v>
      </c>
      <c r="P3893" s="33">
        <f>IFERROR(__xludf.DUMMYFUNCTION("""COMPUTED_VALUE"""),1.0)</f>
        <v>1</v>
      </c>
      <c r="Q3893" s="4" t="str">
        <f>IFERROR(__xludf.DUMMYFUNCTION("""COMPUTED_VALUE"""),"Vekttor")</f>
        <v>Vekttor</v>
      </c>
      <c r="R3893" s="33">
        <f>IFERROR(__xludf.DUMMYFUNCTION("""COMPUTED_VALUE"""),1.0)</f>
        <v>1</v>
      </c>
      <c r="S3893" s="4" t="str">
        <f>IFERROR(__xludf.DUMMYFUNCTION("""COMPUTED_VALUE"""),"Vekttor")</f>
        <v>Vekttor</v>
      </c>
      <c r="T3893" s="33">
        <f>IFERROR(__xludf.DUMMYFUNCTION("""COMPUTED_VALUE"""),1.0)</f>
        <v>1</v>
      </c>
      <c r="U3893" s="4" t="str">
        <f>IFERROR(__xludf.DUMMYFUNCTION("""COMPUTED_VALUE"""),"Vekttor")</f>
        <v>Vekttor</v>
      </c>
      <c r="V3893" s="33">
        <f>IFERROR(__xludf.DUMMYFUNCTION("""COMPUTED_VALUE"""),1.0)</f>
        <v>1</v>
      </c>
      <c r="W3893" s="4" t="str">
        <f>IFERROR(__xludf.DUMMYFUNCTION("""COMPUTED_VALUE"""),"Vekttor")</f>
        <v>Vekttor</v>
      </c>
      <c r="X3893" s="33">
        <f>IFERROR(__xludf.DUMMYFUNCTION("""COMPUTED_VALUE"""),1.0)</f>
        <v>1</v>
      </c>
    </row>
    <row r="3894">
      <c r="K3894" s="4" t="str">
        <f>IFERROR(__xludf.DUMMYFUNCTION("""COMPUTED_VALUE"""),"SR OHASHI - CONTA MARCA")</f>
        <v>SR OHASHI - CONTA MARCA</v>
      </c>
      <c r="L3894" s="32">
        <f>IFERROR(__xludf.DUMMYFUNCTION("""COMPUTED_VALUE"""),3.0)</f>
        <v>3</v>
      </c>
      <c r="M3894" s="4" t="str">
        <f>IFERROR(__xludf.DUMMYFUNCTION("""COMPUTED_VALUE"""),"null")</f>
        <v>null</v>
      </c>
      <c r="N3894" s="33">
        <f>IFERROR(__xludf.DUMMYFUNCTION("""COMPUTED_VALUE"""),0.6666666666666666)</f>
        <v>0.6666666667</v>
      </c>
      <c r="O3894" s="4" t="str">
        <f>IFERROR(__xludf.DUMMYFUNCTION("""COMPUTED_VALUE"""),"null")</f>
        <v>null</v>
      </c>
      <c r="P3894" s="33">
        <f>IFERROR(__xludf.DUMMYFUNCTION("""COMPUTED_VALUE"""),0.6666666666666666)</f>
        <v>0.6666666667</v>
      </c>
      <c r="Q3894" s="4" t="str">
        <f>IFERROR(__xludf.DUMMYFUNCTION("""COMPUTED_VALUE"""),"null")</f>
        <v>null</v>
      </c>
      <c r="R3894" s="33">
        <f>IFERROR(__xludf.DUMMYFUNCTION("""COMPUTED_VALUE"""),0.6666666666666666)</f>
        <v>0.6666666667</v>
      </c>
      <c r="S3894" s="4" t="str">
        <f>IFERROR(__xludf.DUMMYFUNCTION("""COMPUTED_VALUE"""),"null")</f>
        <v>null</v>
      </c>
      <c r="T3894" s="33">
        <f>IFERROR(__xludf.DUMMYFUNCTION("""COMPUTED_VALUE"""),0.6666666666666666)</f>
        <v>0.6666666667</v>
      </c>
      <c r="U3894" s="4" t="str">
        <f>IFERROR(__xludf.DUMMYFUNCTION("""COMPUTED_VALUE"""),"Mp Multipedidos")</f>
        <v>Mp Multipedidos</v>
      </c>
      <c r="V3894" s="33">
        <f>IFERROR(__xludf.DUMMYFUNCTION("""COMPUTED_VALUE"""),1.0)</f>
        <v>1</v>
      </c>
      <c r="W3894" s="4" t="str">
        <f>IFERROR(__xludf.DUMMYFUNCTION("""COMPUTED_VALUE"""),"Mp Multipedidos")</f>
        <v>Mp Multipedidos</v>
      </c>
      <c r="X3894" s="33">
        <f>IFERROR(__xludf.DUMMYFUNCTION("""COMPUTED_VALUE"""),1.0)</f>
        <v>1</v>
      </c>
    </row>
    <row r="3895">
      <c r="K3895" s="4" t="str">
        <f>IFERROR(__xludf.DUMMYFUNCTION("""COMPUTED_VALUE"""),"SR ZANONI COSTELARIA E CHOPERIA")</f>
        <v>SR ZANONI COSTELARIA E CHOPERIA</v>
      </c>
      <c r="L3895" s="32">
        <f>IFERROR(__xludf.DUMMYFUNCTION("""COMPUTED_VALUE"""),3.0)</f>
        <v>3</v>
      </c>
      <c r="M3895" s="4" t="str">
        <f>IFERROR(__xludf.DUMMYFUNCTION("""COMPUTED_VALUE"""),"Sagres Automação Comercial")</f>
        <v>Sagres Automação Comercial</v>
      </c>
      <c r="N3895" s="33">
        <f>IFERROR(__xludf.DUMMYFUNCTION("""COMPUTED_VALUE"""),1.0)</f>
        <v>1</v>
      </c>
      <c r="O3895" s="4" t="str">
        <f>IFERROR(__xludf.DUMMYFUNCTION("""COMPUTED_VALUE"""),"Sagres Automação Comercial")</f>
        <v>Sagres Automação Comercial</v>
      </c>
      <c r="P3895" s="33">
        <f>IFERROR(__xludf.DUMMYFUNCTION("""COMPUTED_VALUE"""),1.0)</f>
        <v>1</v>
      </c>
      <c r="Q3895" s="4" t="str">
        <f>IFERROR(__xludf.DUMMYFUNCTION("""COMPUTED_VALUE"""),"Sagres Automação Comercial")</f>
        <v>Sagres Automação Comercial</v>
      </c>
      <c r="R3895" s="33">
        <f>IFERROR(__xludf.DUMMYFUNCTION("""COMPUTED_VALUE"""),1.0)</f>
        <v>1</v>
      </c>
      <c r="S3895" s="4" t="str">
        <f>IFERROR(__xludf.DUMMYFUNCTION("""COMPUTED_VALUE"""),"Sagres Automação Comercial")</f>
        <v>Sagres Automação Comercial</v>
      </c>
      <c r="T3895" s="33">
        <f>IFERROR(__xludf.DUMMYFUNCTION("""COMPUTED_VALUE"""),0.6666666666666666)</f>
        <v>0.6666666667</v>
      </c>
      <c r="U3895" s="4" t="str">
        <f>IFERROR(__xludf.DUMMYFUNCTION("""COMPUTED_VALUE"""),"Sagres Automação Comercial")</f>
        <v>Sagres Automação Comercial</v>
      </c>
      <c r="V3895" s="33">
        <f>IFERROR(__xludf.DUMMYFUNCTION("""COMPUTED_VALUE"""),1.0)</f>
        <v>1</v>
      </c>
      <c r="W3895" s="4" t="str">
        <f>IFERROR(__xludf.DUMMYFUNCTION("""COMPUTED_VALUE"""),"Sagres Automação Comercial")</f>
        <v>Sagres Automação Comercial</v>
      </c>
      <c r="X3895" s="33">
        <f>IFERROR(__xludf.DUMMYFUNCTION("""COMPUTED_VALUE"""),1.0)</f>
        <v>1</v>
      </c>
    </row>
    <row r="3896">
      <c r="K3896" s="4" t="str">
        <f>IFERROR(__xludf.DUMMYFUNCTION("""COMPUTED_VALUE"""),"ST JONES M")</f>
        <v>ST JONES M</v>
      </c>
      <c r="L3896" s="32">
        <f>IFERROR(__xludf.DUMMYFUNCTION("""COMPUTED_VALUE"""),3.0)</f>
        <v>3</v>
      </c>
      <c r="M3896" s="4" t="str">
        <f>IFERROR(__xludf.DUMMYFUNCTION("""COMPUTED_VALUE"""),"Saipos Serviços De Software")</f>
        <v>Saipos Serviços De Software</v>
      </c>
      <c r="N3896" s="33">
        <f>IFERROR(__xludf.DUMMYFUNCTION("""COMPUTED_VALUE"""),1.0)</f>
        <v>1</v>
      </c>
      <c r="O3896" s="4" t="str">
        <f>IFERROR(__xludf.DUMMYFUNCTION("""COMPUTED_VALUE"""),"Saipos Serviços De Software")</f>
        <v>Saipos Serviços De Software</v>
      </c>
      <c r="P3896" s="33">
        <f>IFERROR(__xludf.DUMMYFUNCTION("""COMPUTED_VALUE"""),1.0)</f>
        <v>1</v>
      </c>
      <c r="Q3896" s="4" t="str">
        <f>IFERROR(__xludf.DUMMYFUNCTION("""COMPUTED_VALUE"""),"Saipos Serviços De Software")</f>
        <v>Saipos Serviços De Software</v>
      </c>
      <c r="R3896" s="33">
        <f>IFERROR(__xludf.DUMMYFUNCTION("""COMPUTED_VALUE"""),1.0)</f>
        <v>1</v>
      </c>
      <c r="S3896" s="4" t="str">
        <f>IFERROR(__xludf.DUMMYFUNCTION("""COMPUTED_VALUE"""),"Saipos Serviços De Software")</f>
        <v>Saipos Serviços De Software</v>
      </c>
      <c r="T3896" s="33">
        <f>IFERROR(__xludf.DUMMYFUNCTION("""COMPUTED_VALUE"""),1.0)</f>
        <v>1</v>
      </c>
      <c r="U3896" s="4" t="str">
        <f>IFERROR(__xludf.DUMMYFUNCTION("""COMPUTED_VALUE"""),"Saipos Serviços De Software")</f>
        <v>Saipos Serviços De Software</v>
      </c>
      <c r="V3896" s="33">
        <f>IFERROR(__xludf.DUMMYFUNCTION("""COMPUTED_VALUE"""),1.0)</f>
        <v>1</v>
      </c>
      <c r="W3896" s="4" t="str">
        <f>IFERROR(__xludf.DUMMYFUNCTION("""COMPUTED_VALUE"""),"Saipos Serviços De Software")</f>
        <v>Saipos Serviços De Software</v>
      </c>
      <c r="X3896" s="33">
        <f>IFERROR(__xludf.DUMMYFUNCTION("""COMPUTED_VALUE"""),0.6666666666666666)</f>
        <v>0.6666666667</v>
      </c>
    </row>
    <row r="3897">
      <c r="K3897" s="4" t="str">
        <f>IFERROR(__xludf.DUMMYFUNCTION("""COMPUTED_VALUE"""),"STANDARD BURGER")</f>
        <v>STANDARD BURGER</v>
      </c>
      <c r="L3897" s="32">
        <f>IFERROR(__xludf.DUMMYFUNCTION("""COMPUTED_VALUE"""),3.0)</f>
        <v>3</v>
      </c>
      <c r="M3897" s="4" t="str">
        <f>IFERROR(__xludf.DUMMYFUNCTION("""COMPUTED_VALUE"""),"Stone Co.")</f>
        <v>Stone Co.</v>
      </c>
      <c r="N3897" s="33">
        <f>IFERROR(__xludf.DUMMYFUNCTION("""COMPUTED_VALUE"""),0.6666666666666666)</f>
        <v>0.6666666667</v>
      </c>
      <c r="O3897" s="4" t="str">
        <f>IFERROR(__xludf.DUMMYFUNCTION("""COMPUTED_VALUE"""),"Stone Co.")</f>
        <v>Stone Co.</v>
      </c>
      <c r="P3897" s="33">
        <f>IFERROR(__xludf.DUMMYFUNCTION("""COMPUTED_VALUE"""),0.6666666666666666)</f>
        <v>0.6666666667</v>
      </c>
      <c r="Q3897" s="4" t="str">
        <f>IFERROR(__xludf.DUMMYFUNCTION("""COMPUTED_VALUE"""),"Stone Co.")</f>
        <v>Stone Co.</v>
      </c>
      <c r="R3897" s="33">
        <f>IFERROR(__xludf.DUMMYFUNCTION("""COMPUTED_VALUE"""),0.6666666666666666)</f>
        <v>0.6666666667</v>
      </c>
      <c r="S3897" s="4" t="str">
        <f>IFERROR(__xludf.DUMMYFUNCTION("""COMPUTED_VALUE"""),"Stone Co.")</f>
        <v>Stone Co.</v>
      </c>
      <c r="T3897" s="33">
        <f>IFERROR(__xludf.DUMMYFUNCTION("""COMPUTED_VALUE"""),0.6666666666666666)</f>
        <v>0.6666666667</v>
      </c>
      <c r="U3897" s="4" t="str">
        <f>IFERROR(__xludf.DUMMYFUNCTION("""COMPUTED_VALUE"""),"Stone Co.")</f>
        <v>Stone Co.</v>
      </c>
      <c r="V3897" s="33">
        <f>IFERROR(__xludf.DUMMYFUNCTION("""COMPUTED_VALUE"""),0.6666666666666666)</f>
        <v>0.6666666667</v>
      </c>
      <c r="W3897" s="4" t="str">
        <f>IFERROR(__xludf.DUMMYFUNCTION("""COMPUTED_VALUE"""),"Stone Co.")</f>
        <v>Stone Co.</v>
      </c>
      <c r="X3897" s="33">
        <f>IFERROR(__xludf.DUMMYFUNCTION("""COMPUTED_VALUE"""),0.6666666666666666)</f>
        <v>0.6666666667</v>
      </c>
    </row>
    <row r="3898">
      <c r="K3898" s="4" t="str">
        <f>IFERROR(__xludf.DUMMYFUNCTION("""COMPUTED_VALUE"""),"START BURGER - HAMBURGUERIA")</f>
        <v>START BURGER - HAMBURGUERIA</v>
      </c>
      <c r="L3898" s="32">
        <f>IFERROR(__xludf.DUMMYFUNCTION("""COMPUTED_VALUE"""),3.0)</f>
        <v>3</v>
      </c>
      <c r="M3898" s="4" t="str">
        <f>IFERROR(__xludf.DUMMYFUNCTION("""COMPUTED_VALUE"""),"Saipos Serviços De Software")</f>
        <v>Saipos Serviços De Software</v>
      </c>
      <c r="N3898" s="33">
        <f>IFERROR(__xludf.DUMMYFUNCTION("""COMPUTED_VALUE"""),1.0)</f>
        <v>1</v>
      </c>
      <c r="O3898" s="4" t="str">
        <f>IFERROR(__xludf.DUMMYFUNCTION("""COMPUTED_VALUE"""),"Saipos Serviços De Software")</f>
        <v>Saipos Serviços De Software</v>
      </c>
      <c r="P3898" s="33">
        <f>IFERROR(__xludf.DUMMYFUNCTION("""COMPUTED_VALUE"""),1.0)</f>
        <v>1</v>
      </c>
      <c r="Q3898" s="4" t="str">
        <f>IFERROR(__xludf.DUMMYFUNCTION("""COMPUTED_VALUE"""),"Saipos Serviços De Software")</f>
        <v>Saipos Serviços De Software</v>
      </c>
      <c r="R3898" s="33">
        <f>IFERROR(__xludf.DUMMYFUNCTION("""COMPUTED_VALUE"""),1.0)</f>
        <v>1</v>
      </c>
      <c r="S3898" s="4" t="str">
        <f>IFERROR(__xludf.DUMMYFUNCTION("""COMPUTED_VALUE"""),"Saipos Serviços De Software")</f>
        <v>Saipos Serviços De Software</v>
      </c>
      <c r="T3898" s="33">
        <f>IFERROR(__xludf.DUMMYFUNCTION("""COMPUTED_VALUE"""),1.0)</f>
        <v>1</v>
      </c>
      <c r="U3898" s="4" t="str">
        <f>IFERROR(__xludf.DUMMYFUNCTION("""COMPUTED_VALUE"""),"Saipos Serviços De Software")</f>
        <v>Saipos Serviços De Software</v>
      </c>
      <c r="V3898" s="33">
        <f>IFERROR(__xludf.DUMMYFUNCTION("""COMPUTED_VALUE"""),1.0)</f>
        <v>1</v>
      </c>
      <c r="W3898" s="4" t="str">
        <f>IFERROR(__xludf.DUMMYFUNCTION("""COMPUTED_VALUE"""),"Saipos Serviços De Software")</f>
        <v>Saipos Serviços De Software</v>
      </c>
      <c r="X3898" s="33">
        <f>IFERROR(__xludf.DUMMYFUNCTION("""COMPUTED_VALUE"""),1.0)</f>
        <v>1</v>
      </c>
    </row>
    <row r="3899">
      <c r="K3899" s="4" t="str">
        <f>IFERROR(__xludf.DUMMYFUNCTION("""COMPUTED_VALUE"""),"STEFAN BEHAR")</f>
        <v>STEFAN BEHAR</v>
      </c>
      <c r="L3899" s="32">
        <f>IFERROR(__xludf.DUMMYFUNCTION("""COMPUTED_VALUE"""),3.0)</f>
        <v>3</v>
      </c>
      <c r="M3899" s="4" t="str">
        <f>IFERROR(__xludf.DUMMYFUNCTION("""COMPUTED_VALUE"""),"Stone Co.")</f>
        <v>Stone Co.</v>
      </c>
      <c r="N3899" s="33">
        <f>IFERROR(__xludf.DUMMYFUNCTION("""COMPUTED_VALUE"""),0.6666666666666666)</f>
        <v>0.6666666667</v>
      </c>
      <c r="O3899" s="4" t="str">
        <f>IFERROR(__xludf.DUMMYFUNCTION("""COMPUTED_VALUE"""),"Stone Co.")</f>
        <v>Stone Co.</v>
      </c>
      <c r="P3899" s="33">
        <f>IFERROR(__xludf.DUMMYFUNCTION("""COMPUTED_VALUE"""),0.6666666666666666)</f>
        <v>0.6666666667</v>
      </c>
      <c r="Q3899" s="4" t="str">
        <f>IFERROR(__xludf.DUMMYFUNCTION("""COMPUTED_VALUE"""),"Stone Co.")</f>
        <v>Stone Co.</v>
      </c>
      <c r="R3899" s="33">
        <f>IFERROR(__xludf.DUMMYFUNCTION("""COMPUTED_VALUE"""),0.6666666666666666)</f>
        <v>0.6666666667</v>
      </c>
      <c r="S3899" s="4" t="str">
        <f>IFERROR(__xludf.DUMMYFUNCTION("""COMPUTED_VALUE"""),"Stone Co.")</f>
        <v>Stone Co.</v>
      </c>
      <c r="T3899" s="33">
        <f>IFERROR(__xludf.DUMMYFUNCTION("""COMPUTED_VALUE"""),0.6666666666666666)</f>
        <v>0.6666666667</v>
      </c>
      <c r="U3899" s="4" t="str">
        <f>IFERROR(__xludf.DUMMYFUNCTION("""COMPUTED_VALUE"""),"Stone Co.")</f>
        <v>Stone Co.</v>
      </c>
      <c r="V3899" s="33">
        <f>IFERROR(__xludf.DUMMYFUNCTION("""COMPUTED_VALUE"""),1.0)</f>
        <v>1</v>
      </c>
      <c r="W3899" s="4" t="str">
        <f>IFERROR(__xludf.DUMMYFUNCTION("""COMPUTED_VALUE"""),"Stone Co.")</f>
        <v>Stone Co.</v>
      </c>
      <c r="X3899" s="33">
        <f>IFERROR(__xludf.DUMMYFUNCTION("""COMPUTED_VALUE"""),1.0)</f>
        <v>1</v>
      </c>
    </row>
    <row r="3900">
      <c r="K3900" s="4" t="str">
        <f>IFERROR(__xludf.DUMMYFUNCTION("""COMPUTED_VALUE"""),"STOUT BURGER")</f>
        <v>STOUT BURGER</v>
      </c>
      <c r="L3900" s="32">
        <f>IFERROR(__xludf.DUMMYFUNCTION("""COMPUTED_VALUE"""),3.0)</f>
        <v>3</v>
      </c>
      <c r="M3900" s="4" t="str">
        <f>IFERROR(__xludf.DUMMYFUNCTION("""COMPUTED_VALUE"""),"Você Pede")</f>
        <v>Você Pede</v>
      </c>
      <c r="N3900" s="33">
        <f>IFERROR(__xludf.DUMMYFUNCTION("""COMPUTED_VALUE"""),0.6666666666666666)</f>
        <v>0.6666666667</v>
      </c>
      <c r="O3900" s="4" t="str">
        <f>IFERROR(__xludf.DUMMYFUNCTION("""COMPUTED_VALUE"""),"Você Pede")</f>
        <v>Você Pede</v>
      </c>
      <c r="P3900" s="33">
        <f>IFERROR(__xludf.DUMMYFUNCTION("""COMPUTED_VALUE"""),0.6666666666666666)</f>
        <v>0.6666666667</v>
      </c>
      <c r="Q3900" s="4" t="str">
        <f>IFERROR(__xludf.DUMMYFUNCTION("""COMPUTED_VALUE"""),"Você Pede")</f>
        <v>Você Pede</v>
      </c>
      <c r="R3900" s="33">
        <f>IFERROR(__xludf.DUMMYFUNCTION("""COMPUTED_VALUE"""),0.6666666666666666)</f>
        <v>0.6666666667</v>
      </c>
      <c r="S3900" s="4" t="str">
        <f>IFERROR(__xludf.DUMMYFUNCTION("""COMPUTED_VALUE"""),"Você Pede")</f>
        <v>Você Pede</v>
      </c>
      <c r="T3900" s="33">
        <f>IFERROR(__xludf.DUMMYFUNCTION("""COMPUTED_VALUE"""),0.6666666666666666)</f>
        <v>0.6666666667</v>
      </c>
      <c r="U3900" s="4" t="str">
        <f>IFERROR(__xludf.DUMMYFUNCTION("""COMPUTED_VALUE"""),"Você Pede")</f>
        <v>Você Pede</v>
      </c>
      <c r="V3900" s="33">
        <f>IFERROR(__xludf.DUMMYFUNCTION("""COMPUTED_VALUE"""),0.6666666666666666)</f>
        <v>0.6666666667</v>
      </c>
      <c r="W3900" s="4" t="str">
        <f>IFERROR(__xludf.DUMMYFUNCTION("""COMPUTED_VALUE"""),"Você Pede")</f>
        <v>Você Pede</v>
      </c>
      <c r="X3900" s="33">
        <f>IFERROR(__xludf.DUMMYFUNCTION("""COMPUTED_VALUE"""),0.6666666666666666)</f>
        <v>0.6666666667</v>
      </c>
    </row>
    <row r="3901">
      <c r="K3901" s="4" t="str">
        <f>IFERROR(__xludf.DUMMYFUNCTION("""COMPUTED_VALUE"""),"SULTAO KEBAB ESFIHA PRIME")</f>
        <v>SULTAO KEBAB ESFIHA PRIME</v>
      </c>
      <c r="L3901" s="32">
        <f>IFERROR(__xludf.DUMMYFUNCTION("""COMPUTED_VALUE"""),3.0)</f>
        <v>3</v>
      </c>
      <c r="M3901" s="4" t="str">
        <f>IFERROR(__xludf.DUMMYFUNCTION("""COMPUTED_VALUE"""),"Hubster")</f>
        <v>Hubster</v>
      </c>
      <c r="N3901" s="33">
        <f>IFERROR(__xludf.DUMMYFUNCTION("""COMPUTED_VALUE"""),1.0)</f>
        <v>1</v>
      </c>
      <c r="O3901" s="4" t="str">
        <f>IFERROR(__xludf.DUMMYFUNCTION("""COMPUTED_VALUE"""),"Hubster")</f>
        <v>Hubster</v>
      </c>
      <c r="P3901" s="33">
        <f>IFERROR(__xludf.DUMMYFUNCTION("""COMPUTED_VALUE"""),1.0)</f>
        <v>1</v>
      </c>
      <c r="Q3901" s="4" t="str">
        <f>IFERROR(__xludf.DUMMYFUNCTION("""COMPUTED_VALUE"""),"Hubster")</f>
        <v>Hubster</v>
      </c>
      <c r="R3901" s="33">
        <f>IFERROR(__xludf.DUMMYFUNCTION("""COMPUTED_VALUE"""),1.0)</f>
        <v>1</v>
      </c>
      <c r="S3901" s="4" t="str">
        <f>IFERROR(__xludf.DUMMYFUNCTION("""COMPUTED_VALUE"""),"Hubster")</f>
        <v>Hubster</v>
      </c>
      <c r="T3901" s="33">
        <f>IFERROR(__xludf.DUMMYFUNCTION("""COMPUTED_VALUE"""),1.0)</f>
        <v>1</v>
      </c>
      <c r="U3901" s="4" t="str">
        <f>IFERROR(__xludf.DUMMYFUNCTION("""COMPUTED_VALUE"""),"Hubster")</f>
        <v>Hubster</v>
      </c>
      <c r="V3901" s="33">
        <f>IFERROR(__xludf.DUMMYFUNCTION("""COMPUTED_VALUE"""),1.0)</f>
        <v>1</v>
      </c>
      <c r="W3901" s="4" t="str">
        <f>IFERROR(__xludf.DUMMYFUNCTION("""COMPUTED_VALUE"""),"Hubster")</f>
        <v>Hubster</v>
      </c>
      <c r="X3901" s="33">
        <f>IFERROR(__xludf.DUMMYFUNCTION("""COMPUTED_VALUE"""),1.0)</f>
        <v>1</v>
      </c>
    </row>
    <row r="3902">
      <c r="K3902" s="4" t="str">
        <f>IFERROR(__xludf.DUMMYFUNCTION("""COMPUTED_VALUE"""),"SUPER MONIARI - CONTA PAI")</f>
        <v>SUPER MONIARI - CONTA PAI</v>
      </c>
      <c r="L3902" s="32">
        <f>IFERROR(__xludf.DUMMYFUNCTION("""COMPUTED_VALUE"""),3.0)</f>
        <v>3</v>
      </c>
      <c r="M3902" s="4" t="str">
        <f>IFERROR(__xludf.DUMMYFUNCTION("""COMPUTED_VALUE"""),"N/A (Not found)")</f>
        <v>N/A (Not found)</v>
      </c>
      <c r="N3902" s="33">
        <f>IFERROR(__xludf.DUMMYFUNCTION("""COMPUTED_VALUE"""),1.0)</f>
        <v>1</v>
      </c>
      <c r="O3902" s="4" t="str">
        <f>IFERROR(__xludf.DUMMYFUNCTION("""COMPUTED_VALUE"""),"N/A (Not found)")</f>
        <v>N/A (Not found)</v>
      </c>
      <c r="P3902" s="33">
        <f>IFERROR(__xludf.DUMMYFUNCTION("""COMPUTED_VALUE"""),1.0)</f>
        <v>1</v>
      </c>
      <c r="Q3902" s="4" t="str">
        <f>IFERROR(__xludf.DUMMYFUNCTION("""COMPUTED_VALUE"""),"N/A (Not found)")</f>
        <v>N/A (Not found)</v>
      </c>
      <c r="R3902" s="33">
        <f>IFERROR(__xludf.DUMMYFUNCTION("""COMPUTED_VALUE"""),1.0)</f>
        <v>1</v>
      </c>
      <c r="S3902" s="4" t="str">
        <f>IFERROR(__xludf.DUMMYFUNCTION("""COMPUTED_VALUE"""),"N/A (Not found)")</f>
        <v>N/A (Not found)</v>
      </c>
      <c r="T3902" s="33">
        <f>IFERROR(__xludf.DUMMYFUNCTION("""COMPUTED_VALUE"""),1.0)</f>
        <v>1</v>
      </c>
      <c r="U3902" s="4" t="str">
        <f>IFERROR(__xludf.DUMMYFUNCTION("""COMPUTED_VALUE"""),"N/A (Not found)")</f>
        <v>N/A (Not found)</v>
      </c>
      <c r="V3902" s="33">
        <f>IFERROR(__xludf.DUMMYFUNCTION("""COMPUTED_VALUE"""),1.0)</f>
        <v>1</v>
      </c>
      <c r="W3902" s="4" t="str">
        <f>IFERROR(__xludf.DUMMYFUNCTION("""COMPUTED_VALUE"""),"N/A (Not found)")</f>
        <v>N/A (Not found)</v>
      </c>
      <c r="X3902" s="33">
        <f>IFERROR(__xludf.DUMMYFUNCTION("""COMPUTED_VALUE"""),1.0)</f>
        <v>1</v>
      </c>
    </row>
    <row r="3903">
      <c r="K3903" s="4" t="str">
        <f>IFERROR(__xludf.DUMMYFUNCTION("""COMPUTED_VALUE"""),"SUPERMERCADO CO - CONTA PAI")</f>
        <v>SUPERMERCADO CO - CONTA PAI</v>
      </c>
      <c r="L3903" s="32">
        <f>IFERROR(__xludf.DUMMYFUNCTION("""COMPUTED_VALUE"""),3.0)</f>
        <v>3</v>
      </c>
      <c r="M3903" s="4" t="str">
        <f>IFERROR(__xludf.DUMMYFUNCTION("""COMPUTED_VALUE"""),"N/A (Not found)")</f>
        <v>N/A (Not found)</v>
      </c>
      <c r="N3903" s="33">
        <f>IFERROR(__xludf.DUMMYFUNCTION("""COMPUTED_VALUE"""),1.0)</f>
        <v>1</v>
      </c>
      <c r="O3903" s="4" t="str">
        <f>IFERROR(__xludf.DUMMYFUNCTION("""COMPUTED_VALUE"""),"N/A (Not found)")</f>
        <v>N/A (Not found)</v>
      </c>
      <c r="P3903" s="33">
        <f>IFERROR(__xludf.DUMMYFUNCTION("""COMPUTED_VALUE"""),1.0)</f>
        <v>1</v>
      </c>
      <c r="Q3903" s="4" t="str">
        <f>IFERROR(__xludf.DUMMYFUNCTION("""COMPUTED_VALUE"""),"N/A (Not found)")</f>
        <v>N/A (Not found)</v>
      </c>
      <c r="R3903" s="33">
        <f>IFERROR(__xludf.DUMMYFUNCTION("""COMPUTED_VALUE"""),1.0)</f>
        <v>1</v>
      </c>
      <c r="S3903" s="4" t="str">
        <f>IFERROR(__xludf.DUMMYFUNCTION("""COMPUTED_VALUE"""),"N/A (Not found)")</f>
        <v>N/A (Not found)</v>
      </c>
      <c r="T3903" s="33">
        <f>IFERROR(__xludf.DUMMYFUNCTION("""COMPUTED_VALUE"""),1.0)</f>
        <v>1</v>
      </c>
      <c r="U3903" s="4" t="str">
        <f>IFERROR(__xludf.DUMMYFUNCTION("""COMPUTED_VALUE"""),"N/A (Not found)")</f>
        <v>N/A (Not found)</v>
      </c>
      <c r="V3903" s="33">
        <f>IFERROR(__xludf.DUMMYFUNCTION("""COMPUTED_VALUE"""),1.0)</f>
        <v>1</v>
      </c>
      <c r="W3903" s="4" t="str">
        <f>IFERROR(__xludf.DUMMYFUNCTION("""COMPUTED_VALUE"""),"N/A (Not found)")</f>
        <v>N/A (Not found)</v>
      </c>
      <c r="X3903" s="33">
        <f>IFERROR(__xludf.DUMMYFUNCTION("""COMPUTED_VALUE"""),1.0)</f>
        <v>1</v>
      </c>
    </row>
    <row r="3904">
      <c r="K3904" s="4" t="str">
        <f>IFERROR(__xludf.DUMMYFUNCTION("""COMPUTED_VALUE"""),"SUPERMERCADO DU BAIRRO - CONTA PAI")</f>
        <v>SUPERMERCADO DU BAIRRO - CONTA PAI</v>
      </c>
      <c r="L3904" s="32">
        <f>IFERROR(__xludf.DUMMYFUNCTION("""COMPUTED_VALUE"""),3.0)</f>
        <v>3</v>
      </c>
      <c r="M3904" s="4" t="str">
        <f>IFERROR(__xludf.DUMMYFUNCTION("""COMPUTED_VALUE"""),"N/A (Not found)")</f>
        <v>N/A (Not found)</v>
      </c>
      <c r="N3904" s="33">
        <f>IFERROR(__xludf.DUMMYFUNCTION("""COMPUTED_VALUE"""),1.0)</f>
        <v>1</v>
      </c>
      <c r="O3904" s="4" t="str">
        <f>IFERROR(__xludf.DUMMYFUNCTION("""COMPUTED_VALUE"""),"N/A (Not found)")</f>
        <v>N/A (Not found)</v>
      </c>
      <c r="P3904" s="33">
        <f>IFERROR(__xludf.DUMMYFUNCTION("""COMPUTED_VALUE"""),1.0)</f>
        <v>1</v>
      </c>
      <c r="Q3904" s="4" t="str">
        <f>IFERROR(__xludf.DUMMYFUNCTION("""COMPUTED_VALUE"""),"N/A (Not found)")</f>
        <v>N/A (Not found)</v>
      </c>
      <c r="R3904" s="33">
        <f>IFERROR(__xludf.DUMMYFUNCTION("""COMPUTED_VALUE"""),1.0)</f>
        <v>1</v>
      </c>
      <c r="S3904" s="4" t="str">
        <f>IFERROR(__xludf.DUMMYFUNCTION("""COMPUTED_VALUE"""),"N/A (Not found)")</f>
        <v>N/A (Not found)</v>
      </c>
      <c r="T3904" s="33">
        <f>IFERROR(__xludf.DUMMYFUNCTION("""COMPUTED_VALUE"""),1.0)</f>
        <v>1</v>
      </c>
      <c r="U3904" s="4" t="str">
        <f>IFERROR(__xludf.DUMMYFUNCTION("""COMPUTED_VALUE"""),"N/A (Not found)")</f>
        <v>N/A (Not found)</v>
      </c>
      <c r="V3904" s="33">
        <f>IFERROR(__xludf.DUMMYFUNCTION("""COMPUTED_VALUE"""),1.0)</f>
        <v>1</v>
      </c>
      <c r="W3904" s="4" t="str">
        <f>IFERROR(__xludf.DUMMYFUNCTION("""COMPUTED_VALUE"""),"N/A (Not found)")</f>
        <v>N/A (Not found)</v>
      </c>
      <c r="X3904" s="33">
        <f>IFERROR(__xludf.DUMMYFUNCTION("""COMPUTED_VALUE"""),1.0)</f>
        <v>1</v>
      </c>
    </row>
    <row r="3905">
      <c r="K3905" s="4" t="str">
        <f>IFERROR(__xludf.DUMMYFUNCTION("""COMPUTED_VALUE"""),"SUPERMERCADO MULTISHOW - CONTA MARCA")</f>
        <v>SUPERMERCADO MULTISHOW - CONTA MARCA</v>
      </c>
      <c r="L3905" s="32">
        <f>IFERROR(__xludf.DUMMYFUNCTION("""COMPUTED_VALUE"""),3.0)</f>
        <v>3</v>
      </c>
      <c r="M3905" s="4" t="str">
        <f>IFERROR(__xludf.DUMMYFUNCTION("""COMPUTED_VALUE"""),"N/A (Not found)")</f>
        <v>N/A (Not found)</v>
      </c>
      <c r="N3905" s="33">
        <f>IFERROR(__xludf.DUMMYFUNCTION("""COMPUTED_VALUE"""),0.6666666666666666)</f>
        <v>0.6666666667</v>
      </c>
      <c r="O3905" s="4" t="str">
        <f>IFERROR(__xludf.DUMMYFUNCTION("""COMPUTED_VALUE"""),"N/A (Not found)")</f>
        <v>N/A (Not found)</v>
      </c>
      <c r="P3905" s="33">
        <f>IFERROR(__xludf.DUMMYFUNCTION("""COMPUTED_VALUE"""),0.6666666666666666)</f>
        <v>0.6666666667</v>
      </c>
      <c r="Q3905" s="4" t="str">
        <f>IFERROR(__xludf.DUMMYFUNCTION("""COMPUTED_VALUE"""),"N/A (Not found)")</f>
        <v>N/A (Not found)</v>
      </c>
      <c r="R3905" s="33">
        <f>IFERROR(__xludf.DUMMYFUNCTION("""COMPUTED_VALUE"""),1.0)</f>
        <v>1</v>
      </c>
      <c r="S3905" s="4" t="str">
        <f>IFERROR(__xludf.DUMMYFUNCTION("""COMPUTED_VALUE"""),"N/A (Not found)")</f>
        <v>N/A (Not found)</v>
      </c>
      <c r="T3905" s="33">
        <f>IFERROR(__xludf.DUMMYFUNCTION("""COMPUTED_VALUE"""),0.6666666666666666)</f>
        <v>0.6666666667</v>
      </c>
      <c r="U3905" s="4" t="str">
        <f>IFERROR(__xludf.DUMMYFUNCTION("""COMPUTED_VALUE"""),"N/A (Not found)")</f>
        <v>N/A (Not found)</v>
      </c>
      <c r="V3905" s="33">
        <f>IFERROR(__xludf.DUMMYFUNCTION("""COMPUTED_VALUE"""),0.6666666666666666)</f>
        <v>0.6666666667</v>
      </c>
      <c r="W3905" s="4" t="str">
        <f>IFERROR(__xludf.DUMMYFUNCTION("""COMPUTED_VALUE"""),"N/A (Not found)")</f>
        <v>N/A (Not found)</v>
      </c>
      <c r="X3905" s="33">
        <f>IFERROR(__xludf.DUMMYFUNCTION("""COMPUTED_VALUE"""),0.6666666666666666)</f>
        <v>0.6666666667</v>
      </c>
    </row>
    <row r="3906">
      <c r="K3906" s="4" t="str">
        <f>IFERROR(__xludf.DUMMYFUNCTION("""COMPUTED_VALUE"""),"SUPERMERCADO SEMPRE VALE - CONTA PAI")</f>
        <v>SUPERMERCADO SEMPRE VALE - CONTA PAI</v>
      </c>
      <c r="L3906" s="32">
        <f>IFERROR(__xludf.DUMMYFUNCTION("""COMPUTED_VALUE"""),3.0)</f>
        <v>3</v>
      </c>
      <c r="M3906" s="4" t="str">
        <f>IFERROR(__xludf.DUMMYFUNCTION("""COMPUTED_VALUE"""),"N/A (Not found)")</f>
        <v>N/A (Not found)</v>
      </c>
      <c r="N3906" s="33">
        <f>IFERROR(__xludf.DUMMYFUNCTION("""COMPUTED_VALUE"""),0.6666666666666666)</f>
        <v>0.6666666667</v>
      </c>
      <c r="O3906" s="4" t="str">
        <f>IFERROR(__xludf.DUMMYFUNCTION("""COMPUTED_VALUE"""),"null")</f>
        <v>null</v>
      </c>
      <c r="P3906" s="33">
        <f>IFERROR(__xludf.DUMMYFUNCTION("""COMPUTED_VALUE"""),1.0)</f>
        <v>1</v>
      </c>
      <c r="Q3906" s="4" t="str">
        <f>IFERROR(__xludf.DUMMYFUNCTION("""COMPUTED_VALUE"""),"null")</f>
        <v>null</v>
      </c>
      <c r="R3906" s="33">
        <f>IFERROR(__xludf.DUMMYFUNCTION("""COMPUTED_VALUE"""),0.6666666666666666)</f>
        <v>0.6666666667</v>
      </c>
      <c r="S3906" s="4" t="str">
        <f>IFERROR(__xludf.DUMMYFUNCTION("""COMPUTED_VALUE"""),"N/A (Not found)")</f>
        <v>N/A (Not found)</v>
      </c>
      <c r="T3906" s="33">
        <f>IFERROR(__xludf.DUMMYFUNCTION("""COMPUTED_VALUE"""),0.6666666666666666)</f>
        <v>0.6666666667</v>
      </c>
      <c r="U3906" s="4" t="str">
        <f>IFERROR(__xludf.DUMMYFUNCTION("""COMPUTED_VALUE"""),"N/A (Not found)")</f>
        <v>N/A (Not found)</v>
      </c>
      <c r="V3906" s="33">
        <f>IFERROR(__xludf.DUMMYFUNCTION("""COMPUTED_VALUE"""),1.0)</f>
        <v>1</v>
      </c>
      <c r="W3906" s="4" t="str">
        <f>IFERROR(__xludf.DUMMYFUNCTION("""COMPUTED_VALUE"""),"N/A (Not found)")</f>
        <v>N/A (Not found)</v>
      </c>
      <c r="X3906" s="33">
        <f>IFERROR(__xludf.DUMMYFUNCTION("""COMPUTED_VALUE"""),1.0)</f>
        <v>1</v>
      </c>
    </row>
    <row r="3907">
      <c r="K3907" s="4" t="str">
        <f>IFERROR(__xludf.DUMMYFUNCTION("""COMPUTED_VALUE"""),"SUPERMERCADO TISSI - CONTA PAI")</f>
        <v>SUPERMERCADO TISSI - CONTA PAI</v>
      </c>
      <c r="L3907" s="32">
        <f>IFERROR(__xludf.DUMMYFUNCTION("""COMPUTED_VALUE"""),3.0)</f>
        <v>3</v>
      </c>
      <c r="M3907" s="4" t="str">
        <f>IFERROR(__xludf.DUMMYFUNCTION("""COMPUTED_VALUE"""),"N/A (Not found)")</f>
        <v>N/A (Not found)</v>
      </c>
      <c r="N3907" s="33">
        <f>IFERROR(__xludf.DUMMYFUNCTION("""COMPUTED_VALUE"""),1.0)</f>
        <v>1</v>
      </c>
      <c r="O3907" s="4" t="str">
        <f>IFERROR(__xludf.DUMMYFUNCTION("""COMPUTED_VALUE"""),"N/A (Not found)")</f>
        <v>N/A (Not found)</v>
      </c>
      <c r="P3907" s="33">
        <f>IFERROR(__xludf.DUMMYFUNCTION("""COMPUTED_VALUE"""),1.0)</f>
        <v>1</v>
      </c>
      <c r="Q3907" s="4" t="str">
        <f>IFERROR(__xludf.DUMMYFUNCTION("""COMPUTED_VALUE"""),"N/A (Not found)")</f>
        <v>N/A (Not found)</v>
      </c>
      <c r="R3907" s="33">
        <f>IFERROR(__xludf.DUMMYFUNCTION("""COMPUTED_VALUE"""),1.0)</f>
        <v>1</v>
      </c>
      <c r="S3907" s="4" t="str">
        <f>IFERROR(__xludf.DUMMYFUNCTION("""COMPUTED_VALUE"""),"N/A (Not found)")</f>
        <v>N/A (Not found)</v>
      </c>
      <c r="T3907" s="33">
        <f>IFERROR(__xludf.DUMMYFUNCTION("""COMPUTED_VALUE"""),1.0)</f>
        <v>1</v>
      </c>
      <c r="U3907" s="4" t="str">
        <f>IFERROR(__xludf.DUMMYFUNCTION("""COMPUTED_VALUE"""),"N/A (Not found)")</f>
        <v>N/A (Not found)</v>
      </c>
      <c r="V3907" s="33">
        <f>IFERROR(__xludf.DUMMYFUNCTION("""COMPUTED_VALUE"""),1.0)</f>
        <v>1</v>
      </c>
      <c r="W3907" s="4" t="str">
        <f>IFERROR(__xludf.DUMMYFUNCTION("""COMPUTED_VALUE"""),"N/A (Not found)")</f>
        <v>N/A (Not found)</v>
      </c>
      <c r="X3907" s="33">
        <f>IFERROR(__xludf.DUMMYFUNCTION("""COMPUTED_VALUE"""),1.0)</f>
        <v>1</v>
      </c>
    </row>
    <row r="3908">
      <c r="K3908" s="4" t="str">
        <f>IFERROR(__xludf.DUMMYFUNCTION("""COMPUTED_VALUE"""),"SUPERMERCADOS FRATUCCI - CONTA PAI")</f>
        <v>SUPERMERCADOS FRATUCCI - CONTA PAI</v>
      </c>
      <c r="L3908" s="32">
        <f>IFERROR(__xludf.DUMMYFUNCTION("""COMPUTED_VALUE"""),3.0)</f>
        <v>3</v>
      </c>
      <c r="M3908" s="4" t="str">
        <f>IFERROR(__xludf.DUMMYFUNCTION("""COMPUTED_VALUE"""),"N/A (Not found)")</f>
        <v>N/A (Not found)</v>
      </c>
      <c r="N3908" s="33">
        <f>IFERROR(__xludf.DUMMYFUNCTION("""COMPUTED_VALUE"""),1.0)</f>
        <v>1</v>
      </c>
      <c r="O3908" s="4" t="str">
        <f>IFERROR(__xludf.DUMMYFUNCTION("""COMPUTED_VALUE"""),"N/A (Not found)")</f>
        <v>N/A (Not found)</v>
      </c>
      <c r="P3908" s="33">
        <f>IFERROR(__xludf.DUMMYFUNCTION("""COMPUTED_VALUE"""),1.0)</f>
        <v>1</v>
      </c>
      <c r="Q3908" s="4" t="str">
        <f>IFERROR(__xludf.DUMMYFUNCTION("""COMPUTED_VALUE"""),"N/A (Not found)")</f>
        <v>N/A (Not found)</v>
      </c>
      <c r="R3908" s="33">
        <f>IFERROR(__xludf.DUMMYFUNCTION("""COMPUTED_VALUE"""),1.0)</f>
        <v>1</v>
      </c>
      <c r="S3908" s="4" t="str">
        <f>IFERROR(__xludf.DUMMYFUNCTION("""COMPUTED_VALUE"""),"N/A (Not found)")</f>
        <v>N/A (Not found)</v>
      </c>
      <c r="T3908" s="33">
        <f>IFERROR(__xludf.DUMMYFUNCTION("""COMPUTED_VALUE"""),1.0)</f>
        <v>1</v>
      </c>
      <c r="U3908" s="4" t="str">
        <f>IFERROR(__xludf.DUMMYFUNCTION("""COMPUTED_VALUE"""),"N/A (Not found)")</f>
        <v>N/A (Not found)</v>
      </c>
      <c r="V3908" s="33">
        <f>IFERROR(__xludf.DUMMYFUNCTION("""COMPUTED_VALUE"""),1.0)</f>
        <v>1</v>
      </c>
      <c r="W3908" s="4" t="str">
        <f>IFERROR(__xludf.DUMMYFUNCTION("""COMPUTED_VALUE"""),"N/A (Not found)")</f>
        <v>N/A (Not found)</v>
      </c>
      <c r="X3908" s="33">
        <f>IFERROR(__xludf.DUMMYFUNCTION("""COMPUTED_VALUE"""),1.0)</f>
        <v>1</v>
      </c>
    </row>
    <row r="3909">
      <c r="K3909" s="4" t="str">
        <f>IFERROR(__xludf.DUMMYFUNCTION("""COMPUTED_VALUE"""),"SUPERMERCADOS YROYAK - CONTA PAI")</f>
        <v>SUPERMERCADOS YROYAK - CONTA PAI</v>
      </c>
      <c r="L3909" s="32">
        <f>IFERROR(__xludf.DUMMYFUNCTION("""COMPUTED_VALUE"""),3.0)</f>
        <v>3</v>
      </c>
      <c r="M3909" s="4" t="str">
        <f>IFERROR(__xludf.DUMMYFUNCTION("""COMPUTED_VALUE"""),"N/A (Not found)")</f>
        <v>N/A (Not found)</v>
      </c>
      <c r="N3909" s="33">
        <f>IFERROR(__xludf.DUMMYFUNCTION("""COMPUTED_VALUE"""),1.0)</f>
        <v>1</v>
      </c>
      <c r="O3909" s="4" t="str">
        <f>IFERROR(__xludf.DUMMYFUNCTION("""COMPUTED_VALUE"""),"N/A (Not found)")</f>
        <v>N/A (Not found)</v>
      </c>
      <c r="P3909" s="33">
        <f>IFERROR(__xludf.DUMMYFUNCTION("""COMPUTED_VALUE"""),1.0)</f>
        <v>1</v>
      </c>
      <c r="Q3909" s="4" t="str">
        <f>IFERROR(__xludf.DUMMYFUNCTION("""COMPUTED_VALUE"""),"N/A (Not found)")</f>
        <v>N/A (Not found)</v>
      </c>
      <c r="R3909" s="33">
        <f>IFERROR(__xludf.DUMMYFUNCTION("""COMPUTED_VALUE"""),1.0)</f>
        <v>1</v>
      </c>
      <c r="S3909" s="4" t="str">
        <f>IFERROR(__xludf.DUMMYFUNCTION("""COMPUTED_VALUE"""),"N/A (Not found)")</f>
        <v>N/A (Not found)</v>
      </c>
      <c r="T3909" s="33">
        <f>IFERROR(__xludf.DUMMYFUNCTION("""COMPUTED_VALUE"""),1.0)</f>
        <v>1</v>
      </c>
      <c r="U3909" s="4" t="str">
        <f>IFERROR(__xludf.DUMMYFUNCTION("""COMPUTED_VALUE"""),"N/A (Not found)")</f>
        <v>N/A (Not found)</v>
      </c>
      <c r="V3909" s="33">
        <f>IFERROR(__xludf.DUMMYFUNCTION("""COMPUTED_VALUE"""),1.0)</f>
        <v>1</v>
      </c>
      <c r="W3909" s="4" t="str">
        <f>IFERROR(__xludf.DUMMYFUNCTION("""COMPUTED_VALUE"""),"N/A (Not found)")</f>
        <v>N/A (Not found)</v>
      </c>
      <c r="X3909" s="33">
        <f>IFERROR(__xludf.DUMMYFUNCTION("""COMPUTED_VALUE"""),1.0)</f>
        <v>1</v>
      </c>
    </row>
    <row r="3910">
      <c r="K3910" s="4" t="str">
        <f>IFERROR(__xludf.DUMMYFUNCTION("""COMPUTED_VALUE"""),"SUPERMINI - CONTA PAI")</f>
        <v>SUPERMINI - CONTA PAI</v>
      </c>
      <c r="L3910" s="32">
        <f>IFERROR(__xludf.DUMMYFUNCTION("""COMPUTED_VALUE"""),3.0)</f>
        <v>3</v>
      </c>
      <c r="M3910" s="4" t="str">
        <f>IFERROR(__xludf.DUMMYFUNCTION("""COMPUTED_VALUE"""),"N/A (Not found)")</f>
        <v>N/A (Not found)</v>
      </c>
      <c r="N3910" s="33">
        <f>IFERROR(__xludf.DUMMYFUNCTION("""COMPUTED_VALUE"""),1.0)</f>
        <v>1</v>
      </c>
      <c r="O3910" s="4" t="str">
        <f>IFERROR(__xludf.DUMMYFUNCTION("""COMPUTED_VALUE"""),"N/A (Not found)")</f>
        <v>N/A (Not found)</v>
      </c>
      <c r="P3910" s="33">
        <f>IFERROR(__xludf.DUMMYFUNCTION("""COMPUTED_VALUE"""),1.0)</f>
        <v>1</v>
      </c>
      <c r="Q3910" s="4" t="str">
        <f>IFERROR(__xludf.DUMMYFUNCTION("""COMPUTED_VALUE"""),"N/A (Not found)")</f>
        <v>N/A (Not found)</v>
      </c>
      <c r="R3910" s="33">
        <f>IFERROR(__xludf.DUMMYFUNCTION("""COMPUTED_VALUE"""),1.0)</f>
        <v>1</v>
      </c>
      <c r="S3910" s="4" t="str">
        <f>IFERROR(__xludf.DUMMYFUNCTION("""COMPUTED_VALUE"""),"N/A (Not found)")</f>
        <v>N/A (Not found)</v>
      </c>
      <c r="T3910" s="33">
        <f>IFERROR(__xludf.DUMMYFUNCTION("""COMPUTED_VALUE"""),1.0)</f>
        <v>1</v>
      </c>
      <c r="U3910" s="4" t="str">
        <f>IFERROR(__xludf.DUMMYFUNCTION("""COMPUTED_VALUE"""),"N/A (Not found)")</f>
        <v>N/A (Not found)</v>
      </c>
      <c r="V3910" s="33">
        <f>IFERROR(__xludf.DUMMYFUNCTION("""COMPUTED_VALUE"""),1.0)</f>
        <v>1</v>
      </c>
      <c r="W3910" s="4" t="str">
        <f>IFERROR(__xludf.DUMMYFUNCTION("""COMPUTED_VALUE"""),"N/A (Not found)")</f>
        <v>N/A (Not found)</v>
      </c>
      <c r="X3910" s="33">
        <f>IFERROR(__xludf.DUMMYFUNCTION("""COMPUTED_VALUE"""),1.0)</f>
        <v>1</v>
      </c>
    </row>
    <row r="3911">
      <c r="K3911" s="4" t="str">
        <f>IFERROR(__xludf.DUMMYFUNCTION("""COMPUTED_VALUE"""),"SUPRA DI MAURO MAIA")</f>
        <v>SUPRA DI MAURO MAIA</v>
      </c>
      <c r="L3911" s="32">
        <f>IFERROR(__xludf.DUMMYFUNCTION("""COMPUTED_VALUE"""),3.0)</f>
        <v>3</v>
      </c>
      <c r="M3911" s="4" t="str">
        <f>IFERROR(__xludf.DUMMYFUNCTION("""COMPUTED_VALUE"""),"Altec Sistemas")</f>
        <v>Altec Sistemas</v>
      </c>
      <c r="N3911" s="33">
        <f>IFERROR(__xludf.DUMMYFUNCTION("""COMPUTED_VALUE"""),0.6666666666666666)</f>
        <v>0.6666666667</v>
      </c>
      <c r="O3911" s="4" t="str">
        <f>IFERROR(__xludf.DUMMYFUNCTION("""COMPUTED_VALUE"""),"Altec Sistemas")</f>
        <v>Altec Sistemas</v>
      </c>
      <c r="P3911" s="33">
        <f>IFERROR(__xludf.DUMMYFUNCTION("""COMPUTED_VALUE"""),0.6666666666666666)</f>
        <v>0.6666666667</v>
      </c>
      <c r="Q3911" s="4" t="str">
        <f>IFERROR(__xludf.DUMMYFUNCTION("""COMPUTED_VALUE"""),"null")</f>
        <v>null</v>
      </c>
      <c r="R3911" s="33">
        <f>IFERROR(__xludf.DUMMYFUNCTION("""COMPUTED_VALUE"""),0.6666666666666666)</f>
        <v>0.6666666667</v>
      </c>
      <c r="S3911" s="4" t="str">
        <f>IFERROR(__xludf.DUMMYFUNCTION("""COMPUTED_VALUE"""),"Altec Sistemas")</f>
        <v>Altec Sistemas</v>
      </c>
      <c r="T3911" s="33">
        <f>IFERROR(__xludf.DUMMYFUNCTION("""COMPUTED_VALUE"""),0.6666666666666666)</f>
        <v>0.6666666667</v>
      </c>
      <c r="U3911" s="4" t="str">
        <f>IFERROR(__xludf.DUMMYFUNCTION("""COMPUTED_VALUE"""),"Altec Sistemas")</f>
        <v>Altec Sistemas</v>
      </c>
      <c r="V3911" s="33">
        <f>IFERROR(__xludf.DUMMYFUNCTION("""COMPUTED_VALUE"""),0.6666666666666666)</f>
        <v>0.6666666667</v>
      </c>
      <c r="W3911" s="4" t="str">
        <f>IFERROR(__xludf.DUMMYFUNCTION("""COMPUTED_VALUE"""),"Altec Sistemas")</f>
        <v>Altec Sistemas</v>
      </c>
      <c r="X3911" s="33">
        <f>IFERROR(__xludf.DUMMYFUNCTION("""COMPUTED_VALUE"""),0.6666666666666666)</f>
        <v>0.6666666667</v>
      </c>
    </row>
    <row r="3912">
      <c r="K3912" s="4" t="str">
        <f>IFERROR(__xludf.DUMMYFUNCTION("""COMPUTED_VALUE"""),"SUSHI ITAQUERA - CONTA MARCA")</f>
        <v>SUSHI ITAQUERA - CONTA MARCA</v>
      </c>
      <c r="L3912" s="32">
        <f>IFERROR(__xludf.DUMMYFUNCTION("""COMPUTED_VALUE"""),3.0)</f>
        <v>3</v>
      </c>
      <c r="M3912" s="4" t="str">
        <f>IFERROR(__xludf.DUMMYFUNCTION("""COMPUTED_VALUE"""),"null")</f>
        <v>null</v>
      </c>
      <c r="N3912" s="33">
        <f>IFERROR(__xludf.DUMMYFUNCTION("""COMPUTED_VALUE"""),0.6666666666666666)</f>
        <v>0.6666666667</v>
      </c>
      <c r="O3912" s="4" t="str">
        <f>IFERROR(__xludf.DUMMYFUNCTION("""COMPUTED_VALUE"""),"null")</f>
        <v>null</v>
      </c>
      <c r="P3912" s="33">
        <f>IFERROR(__xludf.DUMMYFUNCTION("""COMPUTED_VALUE"""),0.6666666666666666)</f>
        <v>0.6666666667</v>
      </c>
      <c r="Q3912" s="4" t="str">
        <f>IFERROR(__xludf.DUMMYFUNCTION("""COMPUTED_VALUE"""),"Mobility Sistemas")</f>
        <v>Mobility Sistemas</v>
      </c>
      <c r="R3912" s="33">
        <f>IFERROR(__xludf.DUMMYFUNCTION("""COMPUTED_VALUE"""),0.3333333333333333)</f>
        <v>0.3333333333</v>
      </c>
      <c r="S3912" s="4" t="str">
        <f>IFERROR(__xludf.DUMMYFUNCTION("""COMPUTED_VALUE"""),"null")</f>
        <v>null</v>
      </c>
      <c r="T3912" s="33">
        <f>IFERROR(__xludf.DUMMYFUNCTION("""COMPUTED_VALUE"""),0.6666666666666666)</f>
        <v>0.6666666667</v>
      </c>
      <c r="U3912" s="4" t="str">
        <f>IFERROR(__xludf.DUMMYFUNCTION("""COMPUTED_VALUE"""),"null")</f>
        <v>null</v>
      </c>
      <c r="V3912" s="33">
        <f>IFERROR(__xludf.DUMMYFUNCTION("""COMPUTED_VALUE"""),0.6666666666666666)</f>
        <v>0.6666666667</v>
      </c>
      <c r="W3912" s="4" t="str">
        <f>IFERROR(__xludf.DUMMYFUNCTION("""COMPUTED_VALUE"""),"Saipos Serviços De Software")</f>
        <v>Saipos Serviços De Software</v>
      </c>
      <c r="X3912" s="33">
        <f>IFERROR(__xludf.DUMMYFUNCTION("""COMPUTED_VALUE"""),1.0)</f>
        <v>1</v>
      </c>
    </row>
    <row r="3913">
      <c r="K3913" s="4" t="str">
        <f>IFERROR(__xludf.DUMMYFUNCTION("""COMPUTED_VALUE"""),"SUSHI PAPAIA")</f>
        <v>SUSHI PAPAIA</v>
      </c>
      <c r="L3913" s="32">
        <f>IFERROR(__xludf.DUMMYFUNCTION("""COMPUTED_VALUE"""),3.0)</f>
        <v>3</v>
      </c>
      <c r="M3913" s="4" t="str">
        <f>IFERROR(__xludf.DUMMYFUNCTION("""COMPUTED_VALUE"""),"Garcom Web")</f>
        <v>Garcom Web</v>
      </c>
      <c r="N3913" s="33">
        <f>IFERROR(__xludf.DUMMYFUNCTION("""COMPUTED_VALUE"""),1.0)</f>
        <v>1</v>
      </c>
      <c r="O3913" s="4" t="str">
        <f>IFERROR(__xludf.DUMMYFUNCTION("""COMPUTED_VALUE"""),"Garcom Web")</f>
        <v>Garcom Web</v>
      </c>
      <c r="P3913" s="33">
        <f>IFERROR(__xludf.DUMMYFUNCTION("""COMPUTED_VALUE"""),1.0)</f>
        <v>1</v>
      </c>
      <c r="Q3913" s="4" t="str">
        <f>IFERROR(__xludf.DUMMYFUNCTION("""COMPUTED_VALUE"""),"Garcom Web")</f>
        <v>Garcom Web</v>
      </c>
      <c r="R3913" s="33">
        <f>IFERROR(__xludf.DUMMYFUNCTION("""COMPUTED_VALUE"""),1.0)</f>
        <v>1</v>
      </c>
      <c r="S3913" s="4" t="str">
        <f>IFERROR(__xludf.DUMMYFUNCTION("""COMPUTED_VALUE"""),"Garcom Web")</f>
        <v>Garcom Web</v>
      </c>
      <c r="T3913" s="33">
        <f>IFERROR(__xludf.DUMMYFUNCTION("""COMPUTED_VALUE"""),0.6666666666666666)</f>
        <v>0.6666666667</v>
      </c>
      <c r="U3913" s="4" t="str">
        <f>IFERROR(__xludf.DUMMYFUNCTION("""COMPUTED_VALUE"""),"Garcom Web")</f>
        <v>Garcom Web</v>
      </c>
      <c r="V3913" s="33">
        <f>IFERROR(__xludf.DUMMYFUNCTION("""COMPUTED_VALUE"""),0.6666666666666666)</f>
        <v>0.6666666667</v>
      </c>
      <c r="W3913" s="4" t="str">
        <f>IFERROR(__xludf.DUMMYFUNCTION("""COMPUTED_VALUE"""),"Garcom Web")</f>
        <v>Garcom Web</v>
      </c>
      <c r="X3913" s="33">
        <f>IFERROR(__xludf.DUMMYFUNCTION("""COMPUTED_VALUE"""),0.6666666666666666)</f>
        <v>0.6666666667</v>
      </c>
    </row>
    <row r="3914">
      <c r="K3914" s="4" t="str">
        <f>IFERROR(__xludf.DUMMYFUNCTION("""COMPUTED_VALUE"""),"SUSHIBAR - MARCA")</f>
        <v>SUSHIBAR - MARCA</v>
      </c>
      <c r="L3914" s="32">
        <f>IFERROR(__xludf.DUMMYFUNCTION("""COMPUTED_VALUE"""),3.0)</f>
        <v>3</v>
      </c>
      <c r="M3914" s="4" t="str">
        <f>IFERROR(__xludf.DUMMYFUNCTION("""COMPUTED_VALUE"""),"Saipos Serviços De Software")</f>
        <v>Saipos Serviços De Software</v>
      </c>
      <c r="N3914" s="33">
        <f>IFERROR(__xludf.DUMMYFUNCTION("""COMPUTED_VALUE"""),0.6666666666666666)</f>
        <v>0.6666666667</v>
      </c>
      <c r="O3914" s="4" t="str">
        <f>IFERROR(__xludf.DUMMYFUNCTION("""COMPUTED_VALUE"""),"Saipos Serviços De Software")</f>
        <v>Saipos Serviços De Software</v>
      </c>
      <c r="P3914" s="33">
        <f>IFERROR(__xludf.DUMMYFUNCTION("""COMPUTED_VALUE"""),0.6666666666666666)</f>
        <v>0.6666666667</v>
      </c>
      <c r="Q3914" s="4" t="str">
        <f>IFERROR(__xludf.DUMMYFUNCTION("""COMPUTED_VALUE"""),"Saipos Serviços De Software")</f>
        <v>Saipos Serviços De Software</v>
      </c>
      <c r="R3914" s="33">
        <f>IFERROR(__xludf.DUMMYFUNCTION("""COMPUTED_VALUE"""),1.0)</f>
        <v>1</v>
      </c>
      <c r="S3914" s="4" t="str">
        <f>IFERROR(__xludf.DUMMYFUNCTION("""COMPUTED_VALUE"""),"Saipos Serviços De Software")</f>
        <v>Saipos Serviços De Software</v>
      </c>
      <c r="T3914" s="33">
        <f>IFERROR(__xludf.DUMMYFUNCTION("""COMPUTED_VALUE"""),1.0)</f>
        <v>1</v>
      </c>
      <c r="U3914" s="4" t="str">
        <f>IFERROR(__xludf.DUMMYFUNCTION("""COMPUTED_VALUE"""),"Saipos Serviços De Software")</f>
        <v>Saipos Serviços De Software</v>
      </c>
      <c r="V3914" s="33">
        <f>IFERROR(__xludf.DUMMYFUNCTION("""COMPUTED_VALUE"""),1.0)</f>
        <v>1</v>
      </c>
      <c r="W3914" s="4" t="str">
        <f>IFERROR(__xludf.DUMMYFUNCTION("""COMPUTED_VALUE"""),"Saipos Serviços De Software")</f>
        <v>Saipos Serviços De Software</v>
      </c>
      <c r="X3914" s="33">
        <f>IFERROR(__xludf.DUMMYFUNCTION("""COMPUTED_VALUE"""),1.0)</f>
        <v>1</v>
      </c>
    </row>
    <row r="3915">
      <c r="K3915" s="4" t="str">
        <f>IFERROR(__xludf.DUMMYFUNCTION("""COMPUTED_VALUE"""),"SUZY SUSHI")</f>
        <v>SUZY SUSHI</v>
      </c>
      <c r="L3915" s="32">
        <f>IFERROR(__xludf.DUMMYFUNCTION("""COMPUTED_VALUE"""),3.0)</f>
        <v>3</v>
      </c>
      <c r="M3915" s="4" t="str">
        <f>IFERROR(__xludf.DUMMYFUNCTION("""COMPUTED_VALUE"""),"null")</f>
        <v>null</v>
      </c>
      <c r="N3915" s="33">
        <f>IFERROR(__xludf.DUMMYFUNCTION("""COMPUTED_VALUE"""),0.3333333333333333)</f>
        <v>0.3333333333</v>
      </c>
      <c r="O3915" s="4" t="str">
        <f>IFERROR(__xludf.DUMMYFUNCTION("""COMPUTED_VALUE"""),"null")</f>
        <v>null</v>
      </c>
      <c r="P3915" s="33">
        <f>IFERROR(__xludf.DUMMYFUNCTION("""COMPUTED_VALUE"""),0.6666666666666666)</f>
        <v>0.6666666667</v>
      </c>
      <c r="Q3915" s="4" t="str">
        <f>IFERROR(__xludf.DUMMYFUNCTION("""COMPUTED_VALUE"""),"Consumer Soluções Em Tecnologia Ltda")</f>
        <v>Consumer Soluções Em Tecnologia Ltda</v>
      </c>
      <c r="R3915" s="33">
        <f>IFERROR(__xludf.DUMMYFUNCTION("""COMPUTED_VALUE"""),0.6666666666666666)</f>
        <v>0.6666666667</v>
      </c>
      <c r="S3915" s="4" t="str">
        <f>IFERROR(__xludf.DUMMYFUNCTION("""COMPUTED_VALUE"""),"Consumer Soluções Em Tecnologia Ltda")</f>
        <v>Consumer Soluções Em Tecnologia Ltda</v>
      </c>
      <c r="T3915" s="33">
        <f>IFERROR(__xludf.DUMMYFUNCTION("""COMPUTED_VALUE"""),0.3333333333333333)</f>
        <v>0.3333333333</v>
      </c>
      <c r="U3915" s="4" t="str">
        <f>IFERROR(__xludf.DUMMYFUNCTION("""COMPUTED_VALUE"""),"Consumer Soluções Em Tecnologia Ltda")</f>
        <v>Consumer Soluções Em Tecnologia Ltda</v>
      </c>
      <c r="V3915" s="33">
        <f>IFERROR(__xludf.DUMMYFUNCTION("""COMPUTED_VALUE"""),0.3333333333333333)</f>
        <v>0.3333333333</v>
      </c>
      <c r="W3915" s="4" t="str">
        <f>IFERROR(__xludf.DUMMYFUNCTION("""COMPUTED_VALUE"""),"Consumer Soluções Em Tecnologia Ltda")</f>
        <v>Consumer Soluções Em Tecnologia Ltda</v>
      </c>
      <c r="X3915" s="33">
        <f>IFERROR(__xludf.DUMMYFUNCTION("""COMPUTED_VALUE"""),0.3333333333333333)</f>
        <v>0.3333333333</v>
      </c>
    </row>
    <row r="3916">
      <c r="K3916" s="4" t="str">
        <f>IFERROR(__xludf.DUMMYFUNCTION("""COMPUTED_VALUE"""),"TACOS NACHOS MEXICANOS")</f>
        <v>TACOS NACHOS MEXICANOS</v>
      </c>
      <c r="L3916" s="32">
        <f>IFERROR(__xludf.DUMMYFUNCTION("""COMPUTED_VALUE"""),3.0)</f>
        <v>3</v>
      </c>
      <c r="M3916" s="4" t="str">
        <f>IFERROR(__xludf.DUMMYFUNCTION("""COMPUTED_VALUE"""),"Saipos Serviços De Software")</f>
        <v>Saipos Serviços De Software</v>
      </c>
      <c r="N3916" s="33">
        <f>IFERROR(__xludf.DUMMYFUNCTION("""COMPUTED_VALUE"""),1.0)</f>
        <v>1</v>
      </c>
      <c r="O3916" s="4" t="str">
        <f>IFERROR(__xludf.DUMMYFUNCTION("""COMPUTED_VALUE"""),"Saipos Serviços De Software")</f>
        <v>Saipos Serviços De Software</v>
      </c>
      <c r="P3916" s="33">
        <f>IFERROR(__xludf.DUMMYFUNCTION("""COMPUTED_VALUE"""),1.0)</f>
        <v>1</v>
      </c>
      <c r="Q3916" s="4" t="str">
        <f>IFERROR(__xludf.DUMMYFUNCTION("""COMPUTED_VALUE"""),"Saipos Serviços De Software")</f>
        <v>Saipos Serviços De Software</v>
      </c>
      <c r="R3916" s="33">
        <f>IFERROR(__xludf.DUMMYFUNCTION("""COMPUTED_VALUE"""),1.0)</f>
        <v>1</v>
      </c>
      <c r="S3916" s="4" t="str">
        <f>IFERROR(__xludf.DUMMYFUNCTION("""COMPUTED_VALUE"""),"Saipos Serviços De Software")</f>
        <v>Saipos Serviços De Software</v>
      </c>
      <c r="T3916" s="33">
        <f>IFERROR(__xludf.DUMMYFUNCTION("""COMPUTED_VALUE"""),0.6666666666666666)</f>
        <v>0.6666666667</v>
      </c>
      <c r="U3916" s="4" t="str">
        <f>IFERROR(__xludf.DUMMYFUNCTION("""COMPUTED_VALUE"""),"Saipos Serviços De Software")</f>
        <v>Saipos Serviços De Software</v>
      </c>
      <c r="V3916" s="33">
        <f>IFERROR(__xludf.DUMMYFUNCTION("""COMPUTED_VALUE"""),0.6666666666666666)</f>
        <v>0.6666666667</v>
      </c>
      <c r="W3916" s="4" t="str">
        <f>IFERROR(__xludf.DUMMYFUNCTION("""COMPUTED_VALUE"""),"Saipos Serviços De Software")</f>
        <v>Saipos Serviços De Software</v>
      </c>
      <c r="X3916" s="33">
        <f>IFERROR(__xludf.DUMMYFUNCTION("""COMPUTED_VALUE"""),0.6666666666666666)</f>
        <v>0.6666666667</v>
      </c>
    </row>
    <row r="3917">
      <c r="K3917" s="4" t="str">
        <f>IFERROR(__xludf.DUMMYFUNCTION("""COMPUTED_VALUE"""),"TADARASHI MARCA")</f>
        <v>TADARASHI MARCA</v>
      </c>
      <c r="L3917" s="32">
        <f>IFERROR(__xludf.DUMMYFUNCTION("""COMPUTED_VALUE"""),3.0)</f>
        <v>3</v>
      </c>
      <c r="M3917" s="4" t="str">
        <f>IFERROR(__xludf.DUMMYFUNCTION("""COMPUTED_VALUE"""),"Opdv")</f>
        <v>Opdv</v>
      </c>
      <c r="N3917" s="33">
        <f>IFERROR(__xludf.DUMMYFUNCTION("""COMPUTED_VALUE"""),1.0)</f>
        <v>1</v>
      </c>
      <c r="O3917" s="4" t="str">
        <f>IFERROR(__xludf.DUMMYFUNCTION("""COMPUTED_VALUE"""),"Opdv")</f>
        <v>Opdv</v>
      </c>
      <c r="P3917" s="33">
        <f>IFERROR(__xludf.DUMMYFUNCTION("""COMPUTED_VALUE"""),1.0)</f>
        <v>1</v>
      </c>
      <c r="Q3917" s="4" t="str">
        <f>IFERROR(__xludf.DUMMYFUNCTION("""COMPUTED_VALUE"""),"Opdv")</f>
        <v>Opdv</v>
      </c>
      <c r="R3917" s="33">
        <f>IFERROR(__xludf.DUMMYFUNCTION("""COMPUTED_VALUE"""),1.0)</f>
        <v>1</v>
      </c>
      <c r="S3917" s="4" t="str">
        <f>IFERROR(__xludf.DUMMYFUNCTION("""COMPUTED_VALUE"""),"Opdv")</f>
        <v>Opdv</v>
      </c>
      <c r="T3917" s="33">
        <f>IFERROR(__xludf.DUMMYFUNCTION("""COMPUTED_VALUE"""),0.6666666666666666)</f>
        <v>0.6666666667</v>
      </c>
      <c r="U3917" s="4" t="str">
        <f>IFERROR(__xludf.DUMMYFUNCTION("""COMPUTED_VALUE"""),"Saipos Serviços De Software")</f>
        <v>Saipos Serviços De Software</v>
      </c>
      <c r="V3917" s="33">
        <f>IFERROR(__xludf.DUMMYFUNCTION("""COMPUTED_VALUE"""),0.6666666666666666)</f>
        <v>0.6666666667</v>
      </c>
      <c r="W3917" s="4" t="str">
        <f>IFERROR(__xludf.DUMMYFUNCTION("""COMPUTED_VALUE"""),"Saipos Serviços De Software")</f>
        <v>Saipos Serviços De Software</v>
      </c>
      <c r="X3917" s="33">
        <f>IFERROR(__xludf.DUMMYFUNCTION("""COMPUTED_VALUE"""),1.0)</f>
        <v>1</v>
      </c>
    </row>
    <row r="3918">
      <c r="K3918" s="4" t="str">
        <f>IFERROR(__xludf.DUMMYFUNCTION("""COMPUTED_VALUE"""),"TAJ BAR")</f>
        <v>TAJ BAR</v>
      </c>
      <c r="L3918" s="32">
        <f>IFERROR(__xludf.DUMMYFUNCTION("""COMPUTED_VALUE"""),3.0)</f>
        <v>3</v>
      </c>
      <c r="M3918" s="4" t="str">
        <f>IFERROR(__xludf.DUMMYFUNCTION("""COMPUTED_VALUE"""),"Cloudfy")</f>
        <v>Cloudfy</v>
      </c>
      <c r="N3918" s="33">
        <f>IFERROR(__xludf.DUMMYFUNCTION("""COMPUTED_VALUE"""),0.6666666666666666)</f>
        <v>0.6666666667</v>
      </c>
      <c r="O3918" s="4" t="str">
        <f>IFERROR(__xludf.DUMMYFUNCTION("""COMPUTED_VALUE"""),"Cloudfy")</f>
        <v>Cloudfy</v>
      </c>
      <c r="P3918" s="33">
        <f>IFERROR(__xludf.DUMMYFUNCTION("""COMPUTED_VALUE"""),0.6666666666666666)</f>
        <v>0.6666666667</v>
      </c>
      <c r="Q3918" s="4" t="str">
        <f>IFERROR(__xludf.DUMMYFUNCTION("""COMPUTED_VALUE"""),"Cloudfy")</f>
        <v>Cloudfy</v>
      </c>
      <c r="R3918" s="33">
        <f>IFERROR(__xludf.DUMMYFUNCTION("""COMPUTED_VALUE"""),0.6666666666666666)</f>
        <v>0.6666666667</v>
      </c>
      <c r="S3918" s="4" t="str">
        <f>IFERROR(__xludf.DUMMYFUNCTION("""COMPUTED_VALUE"""),"Cloudfy")</f>
        <v>Cloudfy</v>
      </c>
      <c r="T3918" s="33">
        <f>IFERROR(__xludf.DUMMYFUNCTION("""COMPUTED_VALUE"""),0.6666666666666666)</f>
        <v>0.6666666667</v>
      </c>
      <c r="U3918" s="4" t="str">
        <f>IFERROR(__xludf.DUMMYFUNCTION("""COMPUTED_VALUE"""),"Cloudfy")</f>
        <v>Cloudfy</v>
      </c>
      <c r="V3918" s="33">
        <f>IFERROR(__xludf.DUMMYFUNCTION("""COMPUTED_VALUE"""),0.6666666666666666)</f>
        <v>0.6666666667</v>
      </c>
      <c r="W3918" s="4" t="str">
        <f>IFERROR(__xludf.DUMMYFUNCTION("""COMPUTED_VALUE"""),"Cloudfy")</f>
        <v>Cloudfy</v>
      </c>
      <c r="X3918" s="33">
        <f>IFERROR(__xludf.DUMMYFUNCTION("""COMPUTED_VALUE"""),0.6666666666666666)</f>
        <v>0.6666666667</v>
      </c>
    </row>
    <row r="3919">
      <c r="K3919" s="4" t="str">
        <f>IFERROR(__xludf.DUMMYFUNCTION("""COMPUTED_VALUE"""),"TAKAI SUSHI - MARCA")</f>
        <v>TAKAI SUSHI - MARCA</v>
      </c>
      <c r="L3919" s="32">
        <f>IFERROR(__xludf.DUMMYFUNCTION("""COMPUTED_VALUE"""),3.0)</f>
        <v>3</v>
      </c>
      <c r="M3919" s="4" t="str">
        <f>IFERROR(__xludf.DUMMYFUNCTION("""COMPUTED_VALUE"""),"Cardápio Web")</f>
        <v>Cardápio Web</v>
      </c>
      <c r="N3919" s="33">
        <f>IFERROR(__xludf.DUMMYFUNCTION("""COMPUTED_VALUE"""),1.0)</f>
        <v>1</v>
      </c>
      <c r="O3919" s="4" t="str">
        <f>IFERROR(__xludf.DUMMYFUNCTION("""COMPUTED_VALUE"""),"Cardápio Web")</f>
        <v>Cardápio Web</v>
      </c>
      <c r="P3919" s="33">
        <f>IFERROR(__xludf.DUMMYFUNCTION("""COMPUTED_VALUE"""),0.6666666666666666)</f>
        <v>0.6666666667</v>
      </c>
      <c r="Q3919" s="4" t="str">
        <f>IFERROR(__xludf.DUMMYFUNCTION("""COMPUTED_VALUE"""),"null")</f>
        <v>null</v>
      </c>
      <c r="R3919" s="33">
        <f>IFERROR(__xludf.DUMMYFUNCTION("""COMPUTED_VALUE"""),1.0)</f>
        <v>1</v>
      </c>
      <c r="S3919" s="4" t="str">
        <f>IFERROR(__xludf.DUMMYFUNCTION("""COMPUTED_VALUE"""),"null")</f>
        <v>null</v>
      </c>
      <c r="T3919" s="33">
        <f>IFERROR(__xludf.DUMMYFUNCTION("""COMPUTED_VALUE"""),1.0)</f>
        <v>1</v>
      </c>
      <c r="U3919" s="4" t="str">
        <f>IFERROR(__xludf.DUMMYFUNCTION("""COMPUTED_VALUE"""),"null")</f>
        <v>null</v>
      </c>
      <c r="V3919" s="33">
        <f>IFERROR(__xludf.DUMMYFUNCTION("""COMPUTED_VALUE"""),0.6666666666666666)</f>
        <v>0.6666666667</v>
      </c>
      <c r="W3919" s="4" t="str">
        <f>IFERROR(__xludf.DUMMYFUNCTION("""COMPUTED_VALUE"""),"Cardápio Web")</f>
        <v>Cardápio Web</v>
      </c>
      <c r="X3919" s="33">
        <f>IFERROR(__xludf.DUMMYFUNCTION("""COMPUTED_VALUE"""),1.0)</f>
        <v>1</v>
      </c>
    </row>
    <row r="3920">
      <c r="K3920" s="4" t="str">
        <f>IFERROR(__xludf.DUMMYFUNCTION("""COMPUTED_VALUE"""),"TAKANAMI SUSHI - CONTA PAI")</f>
        <v>TAKANAMI SUSHI - CONTA PAI</v>
      </c>
      <c r="L3920" s="32">
        <f>IFERROR(__xludf.DUMMYFUNCTION("""COMPUTED_VALUE"""),3.0)</f>
        <v>3</v>
      </c>
      <c r="M3920" s="4" t="str">
        <f>IFERROR(__xludf.DUMMYFUNCTION("""COMPUTED_VALUE"""),"Cardápio Web")</f>
        <v>Cardápio Web</v>
      </c>
      <c r="N3920" s="33">
        <f>IFERROR(__xludf.DUMMYFUNCTION("""COMPUTED_VALUE"""),1.0)</f>
        <v>1</v>
      </c>
      <c r="O3920" s="4" t="str">
        <f>IFERROR(__xludf.DUMMYFUNCTION("""COMPUTED_VALUE"""),"Cardápio Web")</f>
        <v>Cardápio Web</v>
      </c>
      <c r="P3920" s="33">
        <f>IFERROR(__xludf.DUMMYFUNCTION("""COMPUTED_VALUE"""),1.0)</f>
        <v>1</v>
      </c>
      <c r="Q3920" s="4" t="str">
        <f>IFERROR(__xludf.DUMMYFUNCTION("""COMPUTED_VALUE"""),"Cardápio Web")</f>
        <v>Cardápio Web</v>
      </c>
      <c r="R3920" s="33">
        <f>IFERROR(__xludf.DUMMYFUNCTION("""COMPUTED_VALUE"""),1.0)</f>
        <v>1</v>
      </c>
      <c r="S3920" s="4" t="str">
        <f>IFERROR(__xludf.DUMMYFUNCTION("""COMPUTED_VALUE"""),"Cardápio Web")</f>
        <v>Cardápio Web</v>
      </c>
      <c r="T3920" s="33">
        <f>IFERROR(__xludf.DUMMYFUNCTION("""COMPUTED_VALUE"""),1.0)</f>
        <v>1</v>
      </c>
      <c r="U3920" s="4" t="str">
        <f>IFERROR(__xludf.DUMMYFUNCTION("""COMPUTED_VALUE"""),"Cardápio Web")</f>
        <v>Cardápio Web</v>
      </c>
      <c r="V3920" s="33">
        <f>IFERROR(__xludf.DUMMYFUNCTION("""COMPUTED_VALUE"""),1.0)</f>
        <v>1</v>
      </c>
      <c r="W3920" s="4" t="str">
        <f>IFERROR(__xludf.DUMMYFUNCTION("""COMPUTED_VALUE"""),"Cardápio Web")</f>
        <v>Cardápio Web</v>
      </c>
      <c r="X3920" s="33">
        <f>IFERROR(__xludf.DUMMYFUNCTION("""COMPUTED_VALUE"""),1.0)</f>
        <v>1</v>
      </c>
    </row>
    <row r="3921">
      <c r="K3921" s="4" t="str">
        <f>IFERROR(__xludf.DUMMYFUNCTION("""COMPUTED_VALUE"""),"TAKEDO")</f>
        <v>TAKEDO</v>
      </c>
      <c r="L3921" s="32">
        <f>IFERROR(__xludf.DUMMYFUNCTION("""COMPUTED_VALUE"""),3.0)</f>
        <v>3</v>
      </c>
      <c r="M3921" s="4" t="str">
        <f>IFERROR(__xludf.DUMMYFUNCTION("""COMPUTED_VALUE"""),"Bitbar")</f>
        <v>Bitbar</v>
      </c>
      <c r="N3921" s="33">
        <f>IFERROR(__xludf.DUMMYFUNCTION("""COMPUTED_VALUE"""),1.0)</f>
        <v>1</v>
      </c>
      <c r="O3921" s="4" t="str">
        <f>IFERROR(__xludf.DUMMYFUNCTION("""COMPUTED_VALUE"""),"Bitbar")</f>
        <v>Bitbar</v>
      </c>
      <c r="P3921" s="33">
        <f>IFERROR(__xludf.DUMMYFUNCTION("""COMPUTED_VALUE"""),0.6666666666666666)</f>
        <v>0.6666666667</v>
      </c>
      <c r="Q3921" s="4" t="str">
        <f>IFERROR(__xludf.DUMMYFUNCTION("""COMPUTED_VALUE"""),"Bitbar")</f>
        <v>Bitbar</v>
      </c>
      <c r="R3921" s="33">
        <f>IFERROR(__xludf.DUMMYFUNCTION("""COMPUTED_VALUE"""),0.6666666666666666)</f>
        <v>0.6666666667</v>
      </c>
      <c r="S3921" s="4" t="str">
        <f>IFERROR(__xludf.DUMMYFUNCTION("""COMPUTED_VALUE"""),"Bitbar")</f>
        <v>Bitbar</v>
      </c>
      <c r="T3921" s="33">
        <f>IFERROR(__xludf.DUMMYFUNCTION("""COMPUTED_VALUE"""),0.6666666666666666)</f>
        <v>0.6666666667</v>
      </c>
      <c r="U3921" s="4" t="str">
        <f>IFERROR(__xludf.DUMMYFUNCTION("""COMPUTED_VALUE"""),"Bitbar")</f>
        <v>Bitbar</v>
      </c>
      <c r="V3921" s="33">
        <f>IFERROR(__xludf.DUMMYFUNCTION("""COMPUTED_VALUE"""),1.0)</f>
        <v>1</v>
      </c>
      <c r="W3921" s="4" t="str">
        <f>IFERROR(__xludf.DUMMYFUNCTION("""COMPUTED_VALUE"""),"Bitbar")</f>
        <v>Bitbar</v>
      </c>
      <c r="X3921" s="33">
        <f>IFERROR(__xludf.DUMMYFUNCTION("""COMPUTED_VALUE"""),0.6666666666666666)</f>
        <v>0.6666666667</v>
      </c>
    </row>
    <row r="3922">
      <c r="K3922" s="4" t="str">
        <f>IFERROR(__xludf.DUMMYFUNCTION("""COMPUTED_VALUE"""),"TANTO FAZ")</f>
        <v>TANTO FAZ</v>
      </c>
      <c r="L3922" s="32">
        <f>IFERROR(__xludf.DUMMYFUNCTION("""COMPUTED_VALUE"""),3.0)</f>
        <v>3</v>
      </c>
      <c r="M3922" s="4" t="str">
        <f>IFERROR(__xludf.DUMMYFUNCTION("""COMPUTED_VALUE"""),"Saipos Serviços De Software")</f>
        <v>Saipos Serviços De Software</v>
      </c>
      <c r="N3922" s="33">
        <f>IFERROR(__xludf.DUMMYFUNCTION("""COMPUTED_VALUE"""),1.0)</f>
        <v>1</v>
      </c>
      <c r="O3922" s="4" t="str">
        <f>IFERROR(__xludf.DUMMYFUNCTION("""COMPUTED_VALUE"""),"Saipos Serviços De Software")</f>
        <v>Saipos Serviços De Software</v>
      </c>
      <c r="P3922" s="33">
        <f>IFERROR(__xludf.DUMMYFUNCTION("""COMPUTED_VALUE"""),1.0)</f>
        <v>1</v>
      </c>
      <c r="Q3922" s="4" t="str">
        <f>IFERROR(__xludf.DUMMYFUNCTION("""COMPUTED_VALUE"""),"Saipos Serviços De Software")</f>
        <v>Saipos Serviços De Software</v>
      </c>
      <c r="R3922" s="33">
        <f>IFERROR(__xludf.DUMMYFUNCTION("""COMPUTED_VALUE"""),1.0)</f>
        <v>1</v>
      </c>
      <c r="S3922" s="4" t="str">
        <f>IFERROR(__xludf.DUMMYFUNCTION("""COMPUTED_VALUE"""),"Saipos Serviços De Software")</f>
        <v>Saipos Serviços De Software</v>
      </c>
      <c r="T3922" s="33">
        <f>IFERROR(__xludf.DUMMYFUNCTION("""COMPUTED_VALUE"""),1.0)</f>
        <v>1</v>
      </c>
      <c r="U3922" s="4" t="str">
        <f>IFERROR(__xludf.DUMMYFUNCTION("""COMPUTED_VALUE"""),"Saipos Serviços De Software")</f>
        <v>Saipos Serviços De Software</v>
      </c>
      <c r="V3922" s="33">
        <f>IFERROR(__xludf.DUMMYFUNCTION("""COMPUTED_VALUE"""),1.0)</f>
        <v>1</v>
      </c>
      <c r="W3922" s="4" t="str">
        <f>IFERROR(__xludf.DUMMYFUNCTION("""COMPUTED_VALUE"""),"Saipos Serviços De Software")</f>
        <v>Saipos Serviços De Software</v>
      </c>
      <c r="X3922" s="33">
        <f>IFERROR(__xludf.DUMMYFUNCTION("""COMPUTED_VALUE"""),0.6666666666666666)</f>
        <v>0.6666666667</v>
      </c>
    </row>
    <row r="3923">
      <c r="K3923" s="4" t="str">
        <f>IFERROR(__xludf.DUMMYFUNCTION("""COMPUTED_VALUE"""),"TANTO TEMAKERIA - CONTA PAI")</f>
        <v>TANTO TEMAKERIA - CONTA PAI</v>
      </c>
      <c r="L3923" s="32">
        <f>IFERROR(__xludf.DUMMYFUNCTION("""COMPUTED_VALUE"""),3.0)</f>
        <v>3</v>
      </c>
      <c r="M3923" s="4" t="str">
        <f>IFERROR(__xludf.DUMMYFUNCTION("""COMPUTED_VALUE"""),"Totvs Large Enterprise Tecnologia S.a.")</f>
        <v>Totvs Large Enterprise Tecnologia S.a.</v>
      </c>
      <c r="N3923" s="33">
        <f>IFERROR(__xludf.DUMMYFUNCTION("""COMPUTED_VALUE"""),1.0)</f>
        <v>1</v>
      </c>
      <c r="O3923" s="4" t="str">
        <f>IFERROR(__xludf.DUMMYFUNCTION("""COMPUTED_VALUE"""),"Totvs Large Enterprise Tecnologia S.a.")</f>
        <v>Totvs Large Enterprise Tecnologia S.a.</v>
      </c>
      <c r="P3923" s="33">
        <f>IFERROR(__xludf.DUMMYFUNCTION("""COMPUTED_VALUE"""),1.0)</f>
        <v>1</v>
      </c>
      <c r="Q3923" s="4" t="str">
        <f>IFERROR(__xludf.DUMMYFUNCTION("""COMPUTED_VALUE"""),"Totvs Large Enterprise Tecnologia S.a.")</f>
        <v>Totvs Large Enterprise Tecnologia S.a.</v>
      </c>
      <c r="R3923" s="33">
        <f>IFERROR(__xludf.DUMMYFUNCTION("""COMPUTED_VALUE"""),1.0)</f>
        <v>1</v>
      </c>
      <c r="S3923" s="4" t="str">
        <f>IFERROR(__xludf.DUMMYFUNCTION("""COMPUTED_VALUE"""),"Totvs Large Enterprise Tecnologia S.a.")</f>
        <v>Totvs Large Enterprise Tecnologia S.a.</v>
      </c>
      <c r="T3923" s="33">
        <f>IFERROR(__xludf.DUMMYFUNCTION("""COMPUTED_VALUE"""),1.0)</f>
        <v>1</v>
      </c>
      <c r="U3923" s="4" t="str">
        <f>IFERROR(__xludf.DUMMYFUNCTION("""COMPUTED_VALUE"""),"Totvs Large Enterprise Tecnologia S.a.")</f>
        <v>Totvs Large Enterprise Tecnologia S.a.</v>
      </c>
      <c r="V3923" s="33">
        <f>IFERROR(__xludf.DUMMYFUNCTION("""COMPUTED_VALUE"""),1.0)</f>
        <v>1</v>
      </c>
      <c r="W3923" s="4" t="str">
        <f>IFERROR(__xludf.DUMMYFUNCTION("""COMPUTED_VALUE"""),"Totvs Large Enterprise Tecnologia S.a.")</f>
        <v>Totvs Large Enterprise Tecnologia S.a.</v>
      </c>
      <c r="X3923" s="33">
        <f>IFERROR(__xludf.DUMMYFUNCTION("""COMPUTED_VALUE"""),1.0)</f>
        <v>1</v>
      </c>
    </row>
    <row r="3924">
      <c r="K3924" s="4" t="str">
        <f>IFERROR(__xludf.DUMMYFUNCTION("""COMPUTED_VALUE"""),"TATA")</f>
        <v>TATA</v>
      </c>
      <c r="L3924" s="32">
        <f>IFERROR(__xludf.DUMMYFUNCTION("""COMPUTED_VALUE"""),3.0)</f>
        <v>3</v>
      </c>
      <c r="M3924" s="4" t="str">
        <f>IFERROR(__xludf.DUMMYFUNCTION("""COMPUTED_VALUE"""),"Teknisa Service Ltda")</f>
        <v>Teknisa Service Ltda</v>
      </c>
      <c r="N3924" s="33">
        <f>IFERROR(__xludf.DUMMYFUNCTION("""COMPUTED_VALUE"""),1.0)</f>
        <v>1</v>
      </c>
      <c r="O3924" s="4" t="str">
        <f>IFERROR(__xludf.DUMMYFUNCTION("""COMPUTED_VALUE"""),"Teknisa Service Ltda")</f>
        <v>Teknisa Service Ltda</v>
      </c>
      <c r="P3924" s="33">
        <f>IFERROR(__xludf.DUMMYFUNCTION("""COMPUTED_VALUE"""),1.0)</f>
        <v>1</v>
      </c>
      <c r="Q3924" s="4" t="str">
        <f>IFERROR(__xludf.DUMMYFUNCTION("""COMPUTED_VALUE"""),"Teknisa Service Ltda")</f>
        <v>Teknisa Service Ltda</v>
      </c>
      <c r="R3924" s="33">
        <f>IFERROR(__xludf.DUMMYFUNCTION("""COMPUTED_VALUE"""),0.6666666666666666)</f>
        <v>0.6666666667</v>
      </c>
      <c r="S3924" s="4" t="str">
        <f>IFERROR(__xludf.DUMMYFUNCTION("""COMPUTED_VALUE"""),"Teknisa Service Ltda")</f>
        <v>Teknisa Service Ltda</v>
      </c>
      <c r="T3924" s="33">
        <f>IFERROR(__xludf.DUMMYFUNCTION("""COMPUTED_VALUE"""),1.0)</f>
        <v>1</v>
      </c>
      <c r="U3924" s="4" t="str">
        <f>IFERROR(__xludf.DUMMYFUNCTION("""COMPUTED_VALUE"""),"Teknisa Service Ltda")</f>
        <v>Teknisa Service Ltda</v>
      </c>
      <c r="V3924" s="33">
        <f>IFERROR(__xludf.DUMMYFUNCTION("""COMPUTED_VALUE"""),0.6666666666666666)</f>
        <v>0.6666666667</v>
      </c>
      <c r="W3924" s="4" t="str">
        <f>IFERROR(__xludf.DUMMYFUNCTION("""COMPUTED_VALUE"""),"null")</f>
        <v>null</v>
      </c>
      <c r="X3924" s="33">
        <f>IFERROR(__xludf.DUMMYFUNCTION("""COMPUTED_VALUE"""),1.0)</f>
        <v>1</v>
      </c>
    </row>
    <row r="3925">
      <c r="K3925" s="4" t="str">
        <f>IFERROR(__xludf.DUMMYFUNCTION("""COMPUTED_VALUE"""),"TATI DOCES")</f>
        <v>TATI DOCES</v>
      </c>
      <c r="L3925" s="32">
        <f>IFERROR(__xludf.DUMMYFUNCTION("""COMPUTED_VALUE"""),3.0)</f>
        <v>3</v>
      </c>
      <c r="M3925" s="4" t="str">
        <f>IFERROR(__xludf.DUMMYFUNCTION("""COMPUTED_VALUE"""),"Menew - Linx")</f>
        <v>Menew - Linx</v>
      </c>
      <c r="N3925" s="33">
        <f>IFERROR(__xludf.DUMMYFUNCTION("""COMPUTED_VALUE"""),1.0)</f>
        <v>1</v>
      </c>
      <c r="O3925" s="4" t="str">
        <f>IFERROR(__xludf.DUMMYFUNCTION("""COMPUTED_VALUE"""),"Menew - Linx")</f>
        <v>Menew - Linx</v>
      </c>
      <c r="P3925" s="33">
        <f>IFERROR(__xludf.DUMMYFUNCTION("""COMPUTED_VALUE"""),1.0)</f>
        <v>1</v>
      </c>
      <c r="Q3925" s="4" t="str">
        <f>IFERROR(__xludf.DUMMYFUNCTION("""COMPUTED_VALUE"""),"Menew - Linx")</f>
        <v>Menew - Linx</v>
      </c>
      <c r="R3925" s="33">
        <f>IFERROR(__xludf.DUMMYFUNCTION("""COMPUTED_VALUE"""),0.6666666666666666)</f>
        <v>0.6666666667</v>
      </c>
      <c r="S3925" s="4" t="str">
        <f>IFERROR(__xludf.DUMMYFUNCTION("""COMPUTED_VALUE"""),"Saipos Serviços De Software")</f>
        <v>Saipos Serviços De Software</v>
      </c>
      <c r="T3925" s="33">
        <f>IFERROR(__xludf.DUMMYFUNCTION("""COMPUTED_VALUE"""),1.0)</f>
        <v>1</v>
      </c>
      <c r="U3925" s="4" t="str">
        <f>IFERROR(__xludf.DUMMYFUNCTION("""COMPUTED_VALUE"""),"Saipos Serviços De Software")</f>
        <v>Saipos Serviços De Software</v>
      </c>
      <c r="V3925" s="33">
        <f>IFERROR(__xludf.DUMMYFUNCTION("""COMPUTED_VALUE"""),1.0)</f>
        <v>1</v>
      </c>
      <c r="W3925" s="4" t="str">
        <f>IFERROR(__xludf.DUMMYFUNCTION("""COMPUTED_VALUE"""),"Saipos Serviços De Software")</f>
        <v>Saipos Serviços De Software</v>
      </c>
      <c r="X3925" s="33">
        <f>IFERROR(__xludf.DUMMYFUNCTION("""COMPUTED_VALUE"""),1.0)</f>
        <v>1</v>
      </c>
    </row>
    <row r="3926">
      <c r="K3926" s="4" t="str">
        <f>IFERROR(__xludf.DUMMYFUNCTION("""COMPUTED_VALUE"""),"TCHILIS TAQUERIA - MARCA OFICIAL")</f>
        <v>TCHILIS TAQUERIA - MARCA OFICIAL</v>
      </c>
      <c r="L3926" s="32">
        <f>IFERROR(__xludf.DUMMYFUNCTION("""COMPUTED_VALUE"""),3.0)</f>
        <v>3</v>
      </c>
      <c r="M3926" s="4" t="str">
        <f>IFERROR(__xludf.DUMMYFUNCTION("""COMPUTED_VALUE"""),"Bbifood")</f>
        <v>Bbifood</v>
      </c>
      <c r="N3926" s="33">
        <f>IFERROR(__xludf.DUMMYFUNCTION("""COMPUTED_VALUE"""),1.0)</f>
        <v>1</v>
      </c>
      <c r="O3926" s="4" t="str">
        <f>IFERROR(__xludf.DUMMYFUNCTION("""COMPUTED_VALUE"""),"Bbifood")</f>
        <v>Bbifood</v>
      </c>
      <c r="P3926" s="33">
        <f>IFERROR(__xludf.DUMMYFUNCTION("""COMPUTED_VALUE"""),1.0)</f>
        <v>1</v>
      </c>
      <c r="Q3926" s="4" t="str">
        <f>IFERROR(__xludf.DUMMYFUNCTION("""COMPUTED_VALUE"""),"Bbifood")</f>
        <v>Bbifood</v>
      </c>
      <c r="R3926" s="33">
        <f>IFERROR(__xludf.DUMMYFUNCTION("""COMPUTED_VALUE"""),1.0)</f>
        <v>1</v>
      </c>
      <c r="S3926" s="4" t="str">
        <f>IFERROR(__xludf.DUMMYFUNCTION("""COMPUTED_VALUE"""),"Bbifood")</f>
        <v>Bbifood</v>
      </c>
      <c r="T3926" s="33">
        <f>IFERROR(__xludf.DUMMYFUNCTION("""COMPUTED_VALUE"""),1.0)</f>
        <v>1</v>
      </c>
      <c r="U3926" s="4" t="str">
        <f>IFERROR(__xludf.DUMMYFUNCTION("""COMPUTED_VALUE"""),"Bbifood")</f>
        <v>Bbifood</v>
      </c>
      <c r="V3926" s="33">
        <f>IFERROR(__xludf.DUMMYFUNCTION("""COMPUTED_VALUE"""),1.0)</f>
        <v>1</v>
      </c>
      <c r="W3926" s="4" t="str">
        <f>IFERROR(__xludf.DUMMYFUNCTION("""COMPUTED_VALUE"""),"Bbifood")</f>
        <v>Bbifood</v>
      </c>
      <c r="X3926" s="33">
        <f>IFERROR(__xludf.DUMMYFUNCTION("""COMPUTED_VALUE"""),1.0)</f>
        <v>1</v>
      </c>
    </row>
    <row r="3927">
      <c r="K3927" s="4" t="str">
        <f>IFERROR(__xludf.DUMMYFUNCTION("""COMPUTED_VALUE"""),"TCHILIS TAQUERIA")</f>
        <v>TCHILIS TAQUERIA</v>
      </c>
      <c r="L3927" s="32">
        <f>IFERROR(__xludf.DUMMYFUNCTION("""COMPUTED_VALUE"""),3.0)</f>
        <v>3</v>
      </c>
      <c r="M3927" s="4" t="str">
        <f>IFERROR(__xludf.DUMMYFUNCTION("""COMPUTED_VALUE"""),"Bbifood")</f>
        <v>Bbifood</v>
      </c>
      <c r="N3927" s="33">
        <f>IFERROR(__xludf.DUMMYFUNCTION("""COMPUTED_VALUE"""),1.0)</f>
        <v>1</v>
      </c>
      <c r="O3927" s="4" t="str">
        <f>IFERROR(__xludf.DUMMYFUNCTION("""COMPUTED_VALUE"""),"Bbifood")</f>
        <v>Bbifood</v>
      </c>
      <c r="P3927" s="33">
        <f>IFERROR(__xludf.DUMMYFUNCTION("""COMPUTED_VALUE"""),1.0)</f>
        <v>1</v>
      </c>
      <c r="Q3927" s="4" t="str">
        <f>IFERROR(__xludf.DUMMYFUNCTION("""COMPUTED_VALUE"""),"Bbifood")</f>
        <v>Bbifood</v>
      </c>
      <c r="R3927" s="33">
        <f>IFERROR(__xludf.DUMMYFUNCTION("""COMPUTED_VALUE"""),1.0)</f>
        <v>1</v>
      </c>
      <c r="S3927" s="4" t="str">
        <f>IFERROR(__xludf.DUMMYFUNCTION("""COMPUTED_VALUE"""),"Bbifood")</f>
        <v>Bbifood</v>
      </c>
      <c r="T3927" s="33">
        <f>IFERROR(__xludf.DUMMYFUNCTION("""COMPUTED_VALUE"""),1.0)</f>
        <v>1</v>
      </c>
      <c r="U3927" s="4" t="str">
        <f>IFERROR(__xludf.DUMMYFUNCTION("""COMPUTED_VALUE"""),"Bbifood")</f>
        <v>Bbifood</v>
      </c>
      <c r="V3927" s="33">
        <f>IFERROR(__xludf.DUMMYFUNCTION("""COMPUTED_VALUE"""),1.0)</f>
        <v>1</v>
      </c>
      <c r="W3927" s="4" t="str">
        <f>IFERROR(__xludf.DUMMYFUNCTION("""COMPUTED_VALUE"""),"Bbifood")</f>
        <v>Bbifood</v>
      </c>
      <c r="X3927" s="33">
        <f>IFERROR(__xludf.DUMMYFUNCTION("""COMPUTED_VALUE"""),1.0)</f>
        <v>1</v>
      </c>
    </row>
    <row r="3928">
      <c r="K3928" s="4" t="str">
        <f>IFERROR(__xludf.DUMMYFUNCTION("""COMPUTED_VALUE"""),"TEMAKERIA UNIVERSITARIA")</f>
        <v>TEMAKERIA UNIVERSITARIA</v>
      </c>
      <c r="L3928" s="32">
        <f>IFERROR(__xludf.DUMMYFUNCTION("""COMPUTED_VALUE"""),3.0)</f>
        <v>3</v>
      </c>
      <c r="M3928" s="4" t="str">
        <f>IFERROR(__xludf.DUMMYFUNCTION("""COMPUTED_VALUE"""),"Saipos Serviços De Software")</f>
        <v>Saipos Serviços De Software</v>
      </c>
      <c r="N3928" s="33">
        <f>IFERROR(__xludf.DUMMYFUNCTION("""COMPUTED_VALUE"""),1.0)</f>
        <v>1</v>
      </c>
      <c r="O3928" s="4" t="str">
        <f>IFERROR(__xludf.DUMMYFUNCTION("""COMPUTED_VALUE"""),"Saipos Serviços De Software")</f>
        <v>Saipos Serviços De Software</v>
      </c>
      <c r="P3928" s="33">
        <f>IFERROR(__xludf.DUMMYFUNCTION("""COMPUTED_VALUE"""),1.0)</f>
        <v>1</v>
      </c>
      <c r="Q3928" s="4" t="str">
        <f>IFERROR(__xludf.DUMMYFUNCTION("""COMPUTED_VALUE"""),"Saipos Serviços De Software")</f>
        <v>Saipos Serviços De Software</v>
      </c>
      <c r="R3928" s="33">
        <f>IFERROR(__xludf.DUMMYFUNCTION("""COMPUTED_VALUE"""),1.0)</f>
        <v>1</v>
      </c>
      <c r="S3928" s="4" t="str">
        <f>IFERROR(__xludf.DUMMYFUNCTION("""COMPUTED_VALUE"""),"Saipos Serviços De Software")</f>
        <v>Saipos Serviços De Software</v>
      </c>
      <c r="T3928" s="33">
        <f>IFERROR(__xludf.DUMMYFUNCTION("""COMPUTED_VALUE"""),1.0)</f>
        <v>1</v>
      </c>
      <c r="U3928" s="4" t="str">
        <f>IFERROR(__xludf.DUMMYFUNCTION("""COMPUTED_VALUE"""),"Saipos Serviços De Software")</f>
        <v>Saipos Serviços De Software</v>
      </c>
      <c r="V3928" s="33">
        <f>IFERROR(__xludf.DUMMYFUNCTION("""COMPUTED_VALUE"""),1.0)</f>
        <v>1</v>
      </c>
      <c r="W3928" s="4" t="str">
        <f>IFERROR(__xludf.DUMMYFUNCTION("""COMPUTED_VALUE"""),"Saipos Serviços De Software")</f>
        <v>Saipos Serviços De Software</v>
      </c>
      <c r="X3928" s="33">
        <f>IFERROR(__xludf.DUMMYFUNCTION("""COMPUTED_VALUE"""),1.0)</f>
        <v>1</v>
      </c>
    </row>
    <row r="3929">
      <c r="K3929" s="4" t="str">
        <f>IFERROR(__xludf.DUMMYFUNCTION("""COMPUTED_VALUE"""),"TEMAKI STATION")</f>
        <v>TEMAKI STATION</v>
      </c>
      <c r="L3929" s="32">
        <f>IFERROR(__xludf.DUMMYFUNCTION("""COMPUTED_VALUE"""),3.0)</f>
        <v>3</v>
      </c>
      <c r="M3929" s="4" t="str">
        <f>IFERROR(__xludf.DUMMYFUNCTION("""COMPUTED_VALUE"""),"Ncr")</f>
        <v>Ncr</v>
      </c>
      <c r="N3929" s="33">
        <f>IFERROR(__xludf.DUMMYFUNCTION("""COMPUTED_VALUE"""),1.0)</f>
        <v>1</v>
      </c>
      <c r="O3929" s="4" t="str">
        <f>IFERROR(__xludf.DUMMYFUNCTION("""COMPUTED_VALUE"""),"Ncr")</f>
        <v>Ncr</v>
      </c>
      <c r="P3929" s="33">
        <f>IFERROR(__xludf.DUMMYFUNCTION("""COMPUTED_VALUE"""),0.6666666666666666)</f>
        <v>0.6666666667</v>
      </c>
      <c r="Q3929" s="4" t="str">
        <f>IFERROR(__xludf.DUMMYFUNCTION("""COMPUTED_VALUE"""),"Ncr")</f>
        <v>Ncr</v>
      </c>
      <c r="R3929" s="33">
        <f>IFERROR(__xludf.DUMMYFUNCTION("""COMPUTED_VALUE"""),1.0)</f>
        <v>1</v>
      </c>
      <c r="S3929" s="4" t="str">
        <f>IFERROR(__xludf.DUMMYFUNCTION("""COMPUTED_VALUE"""),"Ncr")</f>
        <v>Ncr</v>
      </c>
      <c r="T3929" s="33">
        <f>IFERROR(__xludf.DUMMYFUNCTION("""COMPUTED_VALUE"""),0.6666666666666666)</f>
        <v>0.6666666667</v>
      </c>
      <c r="U3929" s="4" t="str">
        <f>IFERROR(__xludf.DUMMYFUNCTION("""COMPUTED_VALUE"""),"Ncr")</f>
        <v>Ncr</v>
      </c>
      <c r="V3929" s="33">
        <f>IFERROR(__xludf.DUMMYFUNCTION("""COMPUTED_VALUE"""),0.6666666666666666)</f>
        <v>0.6666666667</v>
      </c>
      <c r="W3929" s="4" t="str">
        <f>IFERROR(__xludf.DUMMYFUNCTION("""COMPUTED_VALUE"""),"null")</f>
        <v>null</v>
      </c>
      <c r="X3929" s="33">
        <f>IFERROR(__xludf.DUMMYFUNCTION("""COMPUTED_VALUE"""),1.0)</f>
        <v>1</v>
      </c>
    </row>
    <row r="3930">
      <c r="K3930" s="4" t="str">
        <f>IFERROR(__xludf.DUMMYFUNCTION("""COMPUTED_VALUE"""),"TEMPLO DA CARNE MARCOS BASSI")</f>
        <v>TEMPLO DA CARNE MARCOS BASSI</v>
      </c>
      <c r="L3930" s="32">
        <f>IFERROR(__xludf.DUMMYFUNCTION("""COMPUTED_VALUE"""),3.0)</f>
        <v>3</v>
      </c>
      <c r="M3930" s="4" t="str">
        <f>IFERROR(__xludf.DUMMYFUNCTION("""COMPUTED_VALUE"""),"Altec Sistemas")</f>
        <v>Altec Sistemas</v>
      </c>
      <c r="N3930" s="33">
        <f>IFERROR(__xludf.DUMMYFUNCTION("""COMPUTED_VALUE"""),0.6666666666666666)</f>
        <v>0.6666666667</v>
      </c>
      <c r="O3930" s="4" t="str">
        <f>IFERROR(__xludf.DUMMYFUNCTION("""COMPUTED_VALUE"""),"Altec Sistemas")</f>
        <v>Altec Sistemas</v>
      </c>
      <c r="P3930" s="33">
        <f>IFERROR(__xludf.DUMMYFUNCTION("""COMPUTED_VALUE"""),1.0)</f>
        <v>1</v>
      </c>
      <c r="Q3930" s="4" t="str">
        <f>IFERROR(__xludf.DUMMYFUNCTION("""COMPUTED_VALUE"""),"Altec Sistemas")</f>
        <v>Altec Sistemas</v>
      </c>
      <c r="R3930" s="33">
        <f>IFERROR(__xludf.DUMMYFUNCTION("""COMPUTED_VALUE"""),0.6666666666666666)</f>
        <v>0.6666666667</v>
      </c>
      <c r="S3930" s="4" t="str">
        <f>IFERROR(__xludf.DUMMYFUNCTION("""COMPUTED_VALUE"""),"Altec Sistemas")</f>
        <v>Altec Sistemas</v>
      </c>
      <c r="T3930" s="33">
        <f>IFERROR(__xludf.DUMMYFUNCTION("""COMPUTED_VALUE"""),0.6666666666666666)</f>
        <v>0.6666666667</v>
      </c>
      <c r="U3930" s="4" t="str">
        <f>IFERROR(__xludf.DUMMYFUNCTION("""COMPUTED_VALUE"""),"Altec Sistemas")</f>
        <v>Altec Sistemas</v>
      </c>
      <c r="V3930" s="33">
        <f>IFERROR(__xludf.DUMMYFUNCTION("""COMPUTED_VALUE"""),0.6666666666666666)</f>
        <v>0.6666666667</v>
      </c>
      <c r="W3930" s="4" t="str">
        <f>IFERROR(__xludf.DUMMYFUNCTION("""COMPUTED_VALUE"""),"Altec Sistemas")</f>
        <v>Altec Sistemas</v>
      </c>
      <c r="X3930" s="33">
        <f>IFERROR(__xludf.DUMMYFUNCTION("""COMPUTED_VALUE"""),0.3333333333333333)</f>
        <v>0.3333333333</v>
      </c>
    </row>
    <row r="3931">
      <c r="K3931" s="4" t="str">
        <f>IFERROR(__xludf.DUMMYFUNCTION("""COMPUTED_VALUE"""),"TENNESSEE - RIBEIRAO PRETO")</f>
        <v>TENNESSEE - RIBEIRAO PRETO</v>
      </c>
      <c r="L3931" s="32">
        <f>IFERROR(__xludf.DUMMYFUNCTION("""COMPUTED_VALUE"""),3.0)</f>
        <v>3</v>
      </c>
      <c r="M3931" s="4" t="str">
        <f>IFERROR(__xludf.DUMMYFUNCTION("""COMPUTED_VALUE"""),"Totvs Large Enterprise Tecnologia S.a.")</f>
        <v>Totvs Large Enterprise Tecnologia S.a.</v>
      </c>
      <c r="N3931" s="33">
        <f>IFERROR(__xludf.DUMMYFUNCTION("""COMPUTED_VALUE"""),1.0)</f>
        <v>1</v>
      </c>
      <c r="O3931" s="4" t="str">
        <f>IFERROR(__xludf.DUMMYFUNCTION("""COMPUTED_VALUE"""),"Totvs Large Enterprise Tecnologia S.a.")</f>
        <v>Totvs Large Enterprise Tecnologia S.a.</v>
      </c>
      <c r="P3931" s="33">
        <f>IFERROR(__xludf.DUMMYFUNCTION("""COMPUTED_VALUE"""),1.0)</f>
        <v>1</v>
      </c>
      <c r="Q3931" s="4" t="str">
        <f>IFERROR(__xludf.DUMMYFUNCTION("""COMPUTED_VALUE"""),"Totvs Large Enterprise Tecnologia S.a.")</f>
        <v>Totvs Large Enterprise Tecnologia S.a.</v>
      </c>
      <c r="R3931" s="33">
        <f>IFERROR(__xludf.DUMMYFUNCTION("""COMPUTED_VALUE"""),0.6666666666666666)</f>
        <v>0.6666666667</v>
      </c>
      <c r="S3931" s="4" t="str">
        <f>IFERROR(__xludf.DUMMYFUNCTION("""COMPUTED_VALUE"""),"Totvs Large Enterprise Tecnologia S.a.")</f>
        <v>Totvs Large Enterprise Tecnologia S.a.</v>
      </c>
      <c r="T3931" s="33">
        <f>IFERROR(__xludf.DUMMYFUNCTION("""COMPUTED_VALUE"""),1.0)</f>
        <v>1</v>
      </c>
      <c r="U3931" s="4" t="str">
        <f>IFERROR(__xludf.DUMMYFUNCTION("""COMPUTED_VALUE"""),"Totvs Large Enterprise Tecnologia S.a.")</f>
        <v>Totvs Large Enterprise Tecnologia S.a.</v>
      </c>
      <c r="V3931" s="33">
        <f>IFERROR(__xludf.DUMMYFUNCTION("""COMPUTED_VALUE"""),1.0)</f>
        <v>1</v>
      </c>
      <c r="W3931" s="4" t="str">
        <f>IFERROR(__xludf.DUMMYFUNCTION("""COMPUTED_VALUE"""),"Totvs Large Enterprise Tecnologia S.a.")</f>
        <v>Totvs Large Enterprise Tecnologia S.a.</v>
      </c>
      <c r="X3931" s="33">
        <f>IFERROR(__xludf.DUMMYFUNCTION("""COMPUTED_VALUE"""),0.6666666666666666)</f>
        <v>0.6666666667</v>
      </c>
    </row>
    <row r="3932">
      <c r="K3932" s="4" t="str">
        <f>IFERROR(__xludf.DUMMYFUNCTION("""COMPUTED_VALUE"""),"THE ACAI PERFECT TERESINA")</f>
        <v>THE ACAI PERFECT TERESINA</v>
      </c>
      <c r="L3932" s="32">
        <f>IFERROR(__xludf.DUMMYFUNCTION("""COMPUTED_VALUE"""),3.0)</f>
        <v>3</v>
      </c>
      <c r="M3932" s="4" t="str">
        <f>IFERROR(__xludf.DUMMYFUNCTION("""COMPUTED_VALUE"""),"Cardápio Web")</f>
        <v>Cardápio Web</v>
      </c>
      <c r="N3932" s="33">
        <f>IFERROR(__xludf.DUMMYFUNCTION("""COMPUTED_VALUE"""),1.0)</f>
        <v>1</v>
      </c>
      <c r="O3932" s="4" t="str">
        <f>IFERROR(__xludf.DUMMYFUNCTION("""COMPUTED_VALUE"""),"Cardápio Web")</f>
        <v>Cardápio Web</v>
      </c>
      <c r="P3932" s="33">
        <f>IFERROR(__xludf.DUMMYFUNCTION("""COMPUTED_VALUE"""),1.0)</f>
        <v>1</v>
      </c>
      <c r="Q3932" s="4" t="str">
        <f>IFERROR(__xludf.DUMMYFUNCTION("""COMPUTED_VALUE"""),"null")</f>
        <v>null</v>
      </c>
      <c r="R3932" s="33">
        <f>IFERROR(__xludf.DUMMYFUNCTION("""COMPUTED_VALUE"""),0.6666666666666666)</f>
        <v>0.6666666667</v>
      </c>
      <c r="S3932" s="4" t="str">
        <f>IFERROR(__xludf.DUMMYFUNCTION("""COMPUTED_VALUE"""),"null")</f>
        <v>null</v>
      </c>
      <c r="T3932" s="33">
        <f>IFERROR(__xludf.DUMMYFUNCTION("""COMPUTED_VALUE"""),1.0)</f>
        <v>1</v>
      </c>
      <c r="U3932" s="4" t="str">
        <f>IFERROR(__xludf.DUMMYFUNCTION("""COMPUTED_VALUE"""),"null")</f>
        <v>null</v>
      </c>
      <c r="V3932" s="33">
        <f>IFERROR(__xludf.DUMMYFUNCTION("""COMPUTED_VALUE"""),1.0)</f>
        <v>1</v>
      </c>
      <c r="W3932" s="4" t="str">
        <f>IFERROR(__xludf.DUMMYFUNCTION("""COMPUTED_VALUE"""),"null")</f>
        <v>null</v>
      </c>
      <c r="X3932" s="33">
        <f>IFERROR(__xludf.DUMMYFUNCTION("""COMPUTED_VALUE"""),1.0)</f>
        <v>1</v>
      </c>
    </row>
    <row r="3933">
      <c r="K3933" s="4" t="str">
        <f>IFERROR(__xludf.DUMMYFUNCTION("""COMPUTED_VALUE"""),"THE BARBER BURGUER - CP")</f>
        <v>THE BARBER BURGUER - CP</v>
      </c>
      <c r="L3933" s="32">
        <f>IFERROR(__xludf.DUMMYFUNCTION("""COMPUTED_VALUE"""),3.0)</f>
        <v>3</v>
      </c>
      <c r="M3933" s="4" t="str">
        <f>IFERROR(__xludf.DUMMYFUNCTION("""COMPUTED_VALUE"""),"M-du Tecnologia")</f>
        <v>M-du Tecnologia</v>
      </c>
      <c r="N3933" s="33">
        <f>IFERROR(__xludf.DUMMYFUNCTION("""COMPUTED_VALUE"""),0.3333333333333333)</f>
        <v>0.3333333333</v>
      </c>
      <c r="O3933" s="4" t="str">
        <f>IFERROR(__xludf.DUMMYFUNCTION("""COMPUTED_VALUE"""),"M-du Tecnologia")</f>
        <v>M-du Tecnologia</v>
      </c>
      <c r="P3933" s="33">
        <f>IFERROR(__xludf.DUMMYFUNCTION("""COMPUTED_VALUE"""),0.3333333333333333)</f>
        <v>0.3333333333</v>
      </c>
      <c r="Q3933" s="4" t="str">
        <f>IFERROR(__xludf.DUMMYFUNCTION("""COMPUTED_VALUE"""),"M-du Tecnologia")</f>
        <v>M-du Tecnologia</v>
      </c>
      <c r="R3933" s="33">
        <f>IFERROR(__xludf.DUMMYFUNCTION("""COMPUTED_VALUE"""),0.6666666666666666)</f>
        <v>0.6666666667</v>
      </c>
      <c r="S3933" s="4" t="str">
        <f>IFERROR(__xludf.DUMMYFUNCTION("""COMPUTED_VALUE"""),"M-du Tecnologia")</f>
        <v>M-du Tecnologia</v>
      </c>
      <c r="T3933" s="33">
        <f>IFERROR(__xludf.DUMMYFUNCTION("""COMPUTED_VALUE"""),0.6666666666666666)</f>
        <v>0.6666666667</v>
      </c>
      <c r="U3933" s="4" t="str">
        <f>IFERROR(__xludf.DUMMYFUNCTION("""COMPUTED_VALUE"""),"M-du Tecnologia")</f>
        <v>M-du Tecnologia</v>
      </c>
      <c r="V3933" s="33">
        <f>IFERROR(__xludf.DUMMYFUNCTION("""COMPUTED_VALUE"""),0.6666666666666666)</f>
        <v>0.6666666667</v>
      </c>
      <c r="W3933" s="4" t="str">
        <f>IFERROR(__xludf.DUMMYFUNCTION("""COMPUTED_VALUE"""),"M-du Tecnologia")</f>
        <v>M-du Tecnologia</v>
      </c>
      <c r="X3933" s="33">
        <f>IFERROR(__xludf.DUMMYFUNCTION("""COMPUTED_VALUE"""),0.6666666666666666)</f>
        <v>0.6666666667</v>
      </c>
    </row>
    <row r="3934">
      <c r="K3934" s="4" t="str">
        <f>IFERROR(__xludf.DUMMYFUNCTION("""COMPUTED_VALUE"""),"THE BOILER BURGUER")</f>
        <v>THE BOILER BURGUER</v>
      </c>
      <c r="L3934" s="32">
        <f>IFERROR(__xludf.DUMMYFUNCTION("""COMPUTED_VALUE"""),3.0)</f>
        <v>3</v>
      </c>
      <c r="M3934" s="4" t="str">
        <f>IFERROR(__xludf.DUMMYFUNCTION("""COMPUTED_VALUE"""),"Saipos Serviços De Software")</f>
        <v>Saipos Serviços De Software</v>
      </c>
      <c r="N3934" s="33">
        <f>IFERROR(__xludf.DUMMYFUNCTION("""COMPUTED_VALUE"""),1.0)</f>
        <v>1</v>
      </c>
      <c r="O3934" s="4" t="str">
        <f>IFERROR(__xludf.DUMMYFUNCTION("""COMPUTED_VALUE"""),"Saipos Serviços De Software")</f>
        <v>Saipos Serviços De Software</v>
      </c>
      <c r="P3934" s="33">
        <f>IFERROR(__xludf.DUMMYFUNCTION("""COMPUTED_VALUE"""),1.0)</f>
        <v>1</v>
      </c>
      <c r="Q3934" s="4" t="str">
        <f>IFERROR(__xludf.DUMMYFUNCTION("""COMPUTED_VALUE"""),"Saipos Serviços De Software")</f>
        <v>Saipos Serviços De Software</v>
      </c>
      <c r="R3934" s="33">
        <f>IFERROR(__xludf.DUMMYFUNCTION("""COMPUTED_VALUE"""),1.0)</f>
        <v>1</v>
      </c>
      <c r="S3934" s="4" t="str">
        <f>IFERROR(__xludf.DUMMYFUNCTION("""COMPUTED_VALUE"""),"Saipos Serviços De Software")</f>
        <v>Saipos Serviços De Software</v>
      </c>
      <c r="T3934" s="33">
        <f>IFERROR(__xludf.DUMMYFUNCTION("""COMPUTED_VALUE"""),1.0)</f>
        <v>1</v>
      </c>
      <c r="U3934" s="4" t="str">
        <f>IFERROR(__xludf.DUMMYFUNCTION("""COMPUTED_VALUE"""),"Saipos Serviços De Software")</f>
        <v>Saipos Serviços De Software</v>
      </c>
      <c r="V3934" s="33">
        <f>IFERROR(__xludf.DUMMYFUNCTION("""COMPUTED_VALUE"""),1.0)</f>
        <v>1</v>
      </c>
      <c r="W3934" s="4" t="str">
        <f>IFERROR(__xludf.DUMMYFUNCTION("""COMPUTED_VALUE"""),"Saipos Serviços De Software")</f>
        <v>Saipos Serviços De Software</v>
      </c>
      <c r="X3934" s="33">
        <f>IFERROR(__xludf.DUMMYFUNCTION("""COMPUTED_VALUE"""),1.0)</f>
        <v>1</v>
      </c>
    </row>
    <row r="3935">
      <c r="K3935" s="4" t="str">
        <f>IFERROR(__xludf.DUMMYFUNCTION("""COMPUTED_VALUE"""),"THE FRITZS")</f>
        <v>THE FRITZS</v>
      </c>
      <c r="L3935" s="32">
        <f>IFERROR(__xludf.DUMMYFUNCTION("""COMPUTED_VALUE"""),3.0)</f>
        <v>3</v>
      </c>
      <c r="M3935" s="4" t="str">
        <f>IFERROR(__xludf.DUMMYFUNCTION("""COMPUTED_VALUE"""),"Ncr")</f>
        <v>Ncr</v>
      </c>
      <c r="N3935" s="33">
        <f>IFERROR(__xludf.DUMMYFUNCTION("""COMPUTED_VALUE"""),1.0)</f>
        <v>1</v>
      </c>
      <c r="O3935" s="4" t="str">
        <f>IFERROR(__xludf.DUMMYFUNCTION("""COMPUTED_VALUE"""),"Ncr")</f>
        <v>Ncr</v>
      </c>
      <c r="P3935" s="33">
        <f>IFERROR(__xludf.DUMMYFUNCTION("""COMPUTED_VALUE"""),0.6666666666666666)</f>
        <v>0.6666666667</v>
      </c>
      <c r="Q3935" s="4" t="str">
        <f>IFERROR(__xludf.DUMMYFUNCTION("""COMPUTED_VALUE"""),"Ncr")</f>
        <v>Ncr</v>
      </c>
      <c r="R3935" s="33">
        <f>IFERROR(__xludf.DUMMYFUNCTION("""COMPUTED_VALUE"""),0.6666666666666666)</f>
        <v>0.6666666667</v>
      </c>
      <c r="S3935" s="4" t="str">
        <f>IFERROR(__xludf.DUMMYFUNCTION("""COMPUTED_VALUE"""),"null")</f>
        <v>null</v>
      </c>
      <c r="T3935" s="33">
        <f>IFERROR(__xludf.DUMMYFUNCTION("""COMPUTED_VALUE"""),0.6666666666666666)</f>
        <v>0.6666666667</v>
      </c>
      <c r="U3935" s="4" t="str">
        <f>IFERROR(__xludf.DUMMYFUNCTION("""COMPUTED_VALUE"""),"Saipos Serviços De Software")</f>
        <v>Saipos Serviços De Software</v>
      </c>
      <c r="V3935" s="33">
        <f>IFERROR(__xludf.DUMMYFUNCTION("""COMPUTED_VALUE"""),0.3333333333333333)</f>
        <v>0.3333333333</v>
      </c>
      <c r="W3935" s="4" t="str">
        <f>IFERROR(__xludf.DUMMYFUNCTION("""COMPUTED_VALUE"""),"Saipos Serviços De Software")</f>
        <v>Saipos Serviços De Software</v>
      </c>
      <c r="X3935" s="33">
        <f>IFERROR(__xludf.DUMMYFUNCTION("""COMPUTED_VALUE"""),0.6666666666666666)</f>
        <v>0.6666666667</v>
      </c>
    </row>
    <row r="3936">
      <c r="K3936" s="4" t="str">
        <f>IFERROR(__xludf.DUMMYFUNCTION("""COMPUTED_VALUE"""),"THE OZZY")</f>
        <v>THE OZZY</v>
      </c>
      <c r="L3936" s="32">
        <f>IFERROR(__xludf.DUMMYFUNCTION("""COMPUTED_VALUE"""),3.0)</f>
        <v>3</v>
      </c>
      <c r="M3936" s="4" t="str">
        <f>IFERROR(__xludf.DUMMYFUNCTION("""COMPUTED_VALUE"""),"Eclética Tecnologia")</f>
        <v>Eclética Tecnologia</v>
      </c>
      <c r="N3936" s="33">
        <f>IFERROR(__xludf.DUMMYFUNCTION("""COMPUTED_VALUE"""),1.0)</f>
        <v>1</v>
      </c>
      <c r="O3936" s="4" t="str">
        <f>IFERROR(__xludf.DUMMYFUNCTION("""COMPUTED_VALUE"""),"Eclética Tecnologia")</f>
        <v>Eclética Tecnologia</v>
      </c>
      <c r="P3936" s="33">
        <f>IFERROR(__xludf.DUMMYFUNCTION("""COMPUTED_VALUE"""),1.0)</f>
        <v>1</v>
      </c>
      <c r="Q3936" s="4" t="str">
        <f>IFERROR(__xludf.DUMMYFUNCTION("""COMPUTED_VALUE"""),"Eclética Tecnologia")</f>
        <v>Eclética Tecnologia</v>
      </c>
      <c r="R3936" s="33">
        <f>IFERROR(__xludf.DUMMYFUNCTION("""COMPUTED_VALUE"""),1.0)</f>
        <v>1</v>
      </c>
      <c r="S3936" s="4" t="str">
        <f>IFERROR(__xludf.DUMMYFUNCTION("""COMPUTED_VALUE"""),"Eclética Tecnologia")</f>
        <v>Eclética Tecnologia</v>
      </c>
      <c r="T3936" s="33">
        <f>IFERROR(__xludf.DUMMYFUNCTION("""COMPUTED_VALUE"""),1.0)</f>
        <v>1</v>
      </c>
      <c r="U3936" s="4" t="str">
        <f>IFERROR(__xludf.DUMMYFUNCTION("""COMPUTED_VALUE"""),"Eclética Tecnologia")</f>
        <v>Eclética Tecnologia</v>
      </c>
      <c r="V3936" s="33">
        <f>IFERROR(__xludf.DUMMYFUNCTION("""COMPUTED_VALUE"""),1.0)</f>
        <v>1</v>
      </c>
      <c r="W3936" s="4" t="str">
        <f>IFERROR(__xludf.DUMMYFUNCTION("""COMPUTED_VALUE"""),"null")</f>
        <v>null</v>
      </c>
      <c r="X3936" s="33">
        <f>IFERROR(__xludf.DUMMYFUNCTION("""COMPUTED_VALUE"""),0.6666666666666666)</f>
        <v>0.6666666667</v>
      </c>
    </row>
    <row r="3937">
      <c r="K3937" s="4" t="str">
        <f>IFERROR(__xludf.DUMMYFUNCTION("""COMPUTED_VALUE"""),"THE RUSTIC ESFIHAS")</f>
        <v>THE RUSTIC ESFIHAS</v>
      </c>
      <c r="L3937" s="32">
        <f>IFERROR(__xludf.DUMMYFUNCTION("""COMPUTED_VALUE"""),3.0)</f>
        <v>3</v>
      </c>
      <c r="M3937" s="4" t="str">
        <f>IFERROR(__xludf.DUMMYFUNCTION("""COMPUTED_VALUE"""),"Cardápio Web")</f>
        <v>Cardápio Web</v>
      </c>
      <c r="N3937" s="33">
        <f>IFERROR(__xludf.DUMMYFUNCTION("""COMPUTED_VALUE"""),1.0)</f>
        <v>1</v>
      </c>
      <c r="O3937" s="4" t="str">
        <f>IFERROR(__xludf.DUMMYFUNCTION("""COMPUTED_VALUE"""),"Cardápio Web")</f>
        <v>Cardápio Web</v>
      </c>
      <c r="P3937" s="33">
        <f>IFERROR(__xludf.DUMMYFUNCTION("""COMPUTED_VALUE"""),1.0)</f>
        <v>1</v>
      </c>
      <c r="Q3937" s="4" t="str">
        <f>IFERROR(__xludf.DUMMYFUNCTION("""COMPUTED_VALUE"""),"Cardápio Web")</f>
        <v>Cardápio Web</v>
      </c>
      <c r="R3937" s="33">
        <f>IFERROR(__xludf.DUMMYFUNCTION("""COMPUTED_VALUE"""),1.0)</f>
        <v>1</v>
      </c>
      <c r="S3937" s="4" t="str">
        <f>IFERROR(__xludf.DUMMYFUNCTION("""COMPUTED_VALUE"""),"Cardápio Web")</f>
        <v>Cardápio Web</v>
      </c>
      <c r="T3937" s="33">
        <f>IFERROR(__xludf.DUMMYFUNCTION("""COMPUTED_VALUE"""),1.0)</f>
        <v>1</v>
      </c>
      <c r="U3937" s="4" t="str">
        <f>IFERROR(__xludf.DUMMYFUNCTION("""COMPUTED_VALUE"""),"Cardápio Web")</f>
        <v>Cardápio Web</v>
      </c>
      <c r="V3937" s="33">
        <f>IFERROR(__xludf.DUMMYFUNCTION("""COMPUTED_VALUE"""),1.0)</f>
        <v>1</v>
      </c>
      <c r="W3937" s="4" t="str">
        <f>IFERROR(__xludf.DUMMYFUNCTION("""COMPUTED_VALUE"""),"Cardápio Web")</f>
        <v>Cardápio Web</v>
      </c>
      <c r="X3937" s="33">
        <f>IFERROR(__xludf.DUMMYFUNCTION("""COMPUTED_VALUE"""),1.0)</f>
        <v>1</v>
      </c>
    </row>
    <row r="3938">
      <c r="K3938" s="4" t="str">
        <f>IFERROR(__xludf.DUMMYFUNCTION("""COMPUTED_VALUE"""),"THE STEAK FACTORY")</f>
        <v>THE STEAK FACTORY</v>
      </c>
      <c r="L3938" s="32">
        <f>IFERROR(__xludf.DUMMYFUNCTION("""COMPUTED_VALUE"""),3.0)</f>
        <v>3</v>
      </c>
      <c r="M3938" s="4" t="str">
        <f>IFERROR(__xludf.DUMMYFUNCTION("""COMPUTED_VALUE"""),"Stone Co.")</f>
        <v>Stone Co.</v>
      </c>
      <c r="N3938" s="33">
        <f>IFERROR(__xludf.DUMMYFUNCTION("""COMPUTED_VALUE"""),1.0)</f>
        <v>1</v>
      </c>
      <c r="O3938" s="4" t="str">
        <f>IFERROR(__xludf.DUMMYFUNCTION("""COMPUTED_VALUE"""),"Stone Co.")</f>
        <v>Stone Co.</v>
      </c>
      <c r="P3938" s="33">
        <f>IFERROR(__xludf.DUMMYFUNCTION("""COMPUTED_VALUE"""),1.0)</f>
        <v>1</v>
      </c>
      <c r="Q3938" s="4" t="str">
        <f>IFERROR(__xludf.DUMMYFUNCTION("""COMPUTED_VALUE"""),"Stone Co.")</f>
        <v>Stone Co.</v>
      </c>
      <c r="R3938" s="33">
        <f>IFERROR(__xludf.DUMMYFUNCTION("""COMPUTED_VALUE"""),1.0)</f>
        <v>1</v>
      </c>
      <c r="S3938" s="4" t="str">
        <f>IFERROR(__xludf.DUMMYFUNCTION("""COMPUTED_VALUE"""),"Stone Co.")</f>
        <v>Stone Co.</v>
      </c>
      <c r="T3938" s="33">
        <f>IFERROR(__xludf.DUMMYFUNCTION("""COMPUTED_VALUE"""),0.6666666666666666)</f>
        <v>0.6666666667</v>
      </c>
      <c r="U3938" s="4" t="str">
        <f>IFERROR(__xludf.DUMMYFUNCTION("""COMPUTED_VALUE"""),"Stone Co.")</f>
        <v>Stone Co.</v>
      </c>
      <c r="V3938" s="33">
        <f>IFERROR(__xludf.DUMMYFUNCTION("""COMPUTED_VALUE"""),0.6666666666666666)</f>
        <v>0.6666666667</v>
      </c>
      <c r="W3938" s="4" t="str">
        <f>IFERROR(__xludf.DUMMYFUNCTION("""COMPUTED_VALUE"""),"null")</f>
        <v>null</v>
      </c>
      <c r="X3938" s="33">
        <f>IFERROR(__xludf.DUMMYFUNCTION("""COMPUTED_VALUE"""),1.0)</f>
        <v>1</v>
      </c>
    </row>
    <row r="3939">
      <c r="K3939" s="4" t="str">
        <f>IFERROR(__xludf.DUMMYFUNCTION("""COMPUTED_VALUE"""),"THE SUSHI STORE PRIME")</f>
        <v>THE SUSHI STORE PRIME</v>
      </c>
      <c r="L3939" s="32">
        <f>IFERROR(__xludf.DUMMYFUNCTION("""COMPUTED_VALUE"""),3.0)</f>
        <v>3</v>
      </c>
      <c r="M3939" s="4" t="str">
        <f>IFERROR(__xludf.DUMMYFUNCTION("""COMPUTED_VALUE"""),"Saipos Serviços De Software")</f>
        <v>Saipos Serviços De Software</v>
      </c>
      <c r="N3939" s="33">
        <f>IFERROR(__xludf.DUMMYFUNCTION("""COMPUTED_VALUE"""),0.6666666666666666)</f>
        <v>0.6666666667</v>
      </c>
      <c r="O3939" s="4" t="str">
        <f>IFERROR(__xludf.DUMMYFUNCTION("""COMPUTED_VALUE"""),"Saipos Serviços De Software")</f>
        <v>Saipos Serviços De Software</v>
      </c>
      <c r="P3939" s="33">
        <f>IFERROR(__xludf.DUMMYFUNCTION("""COMPUTED_VALUE"""),0.6666666666666666)</f>
        <v>0.6666666667</v>
      </c>
      <c r="Q3939" s="4" t="str">
        <f>IFERROR(__xludf.DUMMYFUNCTION("""COMPUTED_VALUE"""),"Saipos Serviços De Software")</f>
        <v>Saipos Serviços De Software</v>
      </c>
      <c r="R3939" s="33">
        <f>IFERROR(__xludf.DUMMYFUNCTION("""COMPUTED_VALUE"""),0.6666666666666666)</f>
        <v>0.6666666667</v>
      </c>
      <c r="S3939" s="4" t="str">
        <f>IFERROR(__xludf.DUMMYFUNCTION("""COMPUTED_VALUE"""),"Saipos Serviços De Software")</f>
        <v>Saipos Serviços De Software</v>
      </c>
      <c r="T3939" s="33">
        <f>IFERROR(__xludf.DUMMYFUNCTION("""COMPUTED_VALUE"""),0.6666666666666666)</f>
        <v>0.6666666667</v>
      </c>
      <c r="U3939" s="4" t="str">
        <f>IFERROR(__xludf.DUMMYFUNCTION("""COMPUTED_VALUE"""),"Saipos Serviços De Software")</f>
        <v>Saipos Serviços De Software</v>
      </c>
      <c r="V3939" s="33">
        <f>IFERROR(__xludf.DUMMYFUNCTION("""COMPUTED_VALUE"""),0.6666666666666666)</f>
        <v>0.6666666667</v>
      </c>
      <c r="W3939" s="4" t="str">
        <f>IFERROR(__xludf.DUMMYFUNCTION("""COMPUTED_VALUE"""),"Saipos Serviços De Software")</f>
        <v>Saipos Serviços De Software</v>
      </c>
      <c r="X3939" s="33">
        <f>IFERROR(__xludf.DUMMYFUNCTION("""COMPUTED_VALUE"""),0.6666666666666666)</f>
        <v>0.6666666667</v>
      </c>
    </row>
    <row r="3940">
      <c r="K3940" s="4" t="str">
        <f>IFERROR(__xludf.DUMMYFUNCTION("""COMPUTED_VALUE"""),"TIA SANDRA SC - CONTA MARCA")</f>
        <v>TIA SANDRA SC - CONTA MARCA</v>
      </c>
      <c r="L3940" s="32">
        <f>IFERROR(__xludf.DUMMYFUNCTION("""COMPUTED_VALUE"""),3.0)</f>
        <v>3</v>
      </c>
      <c r="M3940" s="4" t="str">
        <f>IFERROR(__xludf.DUMMYFUNCTION("""COMPUTED_VALUE"""),"Saipos Serviços De Software")</f>
        <v>Saipos Serviços De Software</v>
      </c>
      <c r="N3940" s="33">
        <f>IFERROR(__xludf.DUMMYFUNCTION("""COMPUTED_VALUE"""),1.0)</f>
        <v>1</v>
      </c>
      <c r="O3940" s="4" t="str">
        <f>IFERROR(__xludf.DUMMYFUNCTION("""COMPUTED_VALUE"""),"Saipos Serviços De Software")</f>
        <v>Saipos Serviços De Software</v>
      </c>
      <c r="P3940" s="33">
        <f>IFERROR(__xludf.DUMMYFUNCTION("""COMPUTED_VALUE"""),1.0)</f>
        <v>1</v>
      </c>
      <c r="Q3940" s="4" t="str">
        <f>IFERROR(__xludf.DUMMYFUNCTION("""COMPUTED_VALUE"""),"Saipos Serviços De Software")</f>
        <v>Saipos Serviços De Software</v>
      </c>
      <c r="R3940" s="33">
        <f>IFERROR(__xludf.DUMMYFUNCTION("""COMPUTED_VALUE"""),1.0)</f>
        <v>1</v>
      </c>
      <c r="S3940" s="4" t="str">
        <f>IFERROR(__xludf.DUMMYFUNCTION("""COMPUTED_VALUE"""),"Saipos Serviços De Software")</f>
        <v>Saipos Serviços De Software</v>
      </c>
      <c r="T3940" s="33">
        <f>IFERROR(__xludf.DUMMYFUNCTION("""COMPUTED_VALUE"""),1.0)</f>
        <v>1</v>
      </c>
      <c r="U3940" s="4" t="str">
        <f>IFERROR(__xludf.DUMMYFUNCTION("""COMPUTED_VALUE"""),"Saipos Serviços De Software")</f>
        <v>Saipos Serviços De Software</v>
      </c>
      <c r="V3940" s="33">
        <f>IFERROR(__xludf.DUMMYFUNCTION("""COMPUTED_VALUE"""),1.0)</f>
        <v>1</v>
      </c>
      <c r="W3940" s="4" t="str">
        <f>IFERROR(__xludf.DUMMYFUNCTION("""COMPUTED_VALUE"""),"Saipos Serviços De Software")</f>
        <v>Saipos Serviços De Software</v>
      </c>
      <c r="X3940" s="33">
        <f>IFERROR(__xludf.DUMMYFUNCTION("""COMPUTED_VALUE"""),1.0)</f>
        <v>1</v>
      </c>
    </row>
    <row r="3941">
      <c r="K3941" s="4" t="str">
        <f>IFERROR(__xludf.DUMMYFUNCTION("""COMPUTED_VALUE"""),"TIBAUS GOURMET")</f>
        <v>TIBAUS GOURMET</v>
      </c>
      <c r="L3941" s="32">
        <f>IFERROR(__xludf.DUMMYFUNCTION("""COMPUTED_VALUE"""),3.0)</f>
        <v>3</v>
      </c>
      <c r="M3941" s="4" t="str">
        <f>IFERROR(__xludf.DUMMYFUNCTION("""COMPUTED_VALUE"""),"Saipos Serviços De Software")</f>
        <v>Saipos Serviços De Software</v>
      </c>
      <c r="N3941" s="33">
        <f>IFERROR(__xludf.DUMMYFUNCTION("""COMPUTED_VALUE"""),1.0)</f>
        <v>1</v>
      </c>
      <c r="O3941" s="4" t="str">
        <f>IFERROR(__xludf.DUMMYFUNCTION("""COMPUTED_VALUE"""),"Saipos Serviços De Software")</f>
        <v>Saipos Serviços De Software</v>
      </c>
      <c r="P3941" s="33">
        <f>IFERROR(__xludf.DUMMYFUNCTION("""COMPUTED_VALUE"""),1.0)</f>
        <v>1</v>
      </c>
      <c r="Q3941" s="4" t="str">
        <f>IFERROR(__xludf.DUMMYFUNCTION("""COMPUTED_VALUE"""),"Saipos Serviços De Software")</f>
        <v>Saipos Serviços De Software</v>
      </c>
      <c r="R3941" s="33">
        <f>IFERROR(__xludf.DUMMYFUNCTION("""COMPUTED_VALUE"""),1.0)</f>
        <v>1</v>
      </c>
      <c r="S3941" s="4" t="str">
        <f>IFERROR(__xludf.DUMMYFUNCTION("""COMPUTED_VALUE"""),"Saipos Serviços De Software")</f>
        <v>Saipos Serviços De Software</v>
      </c>
      <c r="T3941" s="33">
        <f>IFERROR(__xludf.DUMMYFUNCTION("""COMPUTED_VALUE"""),1.0)</f>
        <v>1</v>
      </c>
      <c r="U3941" s="4" t="str">
        <f>IFERROR(__xludf.DUMMYFUNCTION("""COMPUTED_VALUE"""),"Saipos Serviços De Software")</f>
        <v>Saipos Serviços De Software</v>
      </c>
      <c r="V3941" s="33">
        <f>IFERROR(__xludf.DUMMYFUNCTION("""COMPUTED_VALUE"""),1.0)</f>
        <v>1</v>
      </c>
      <c r="W3941" s="4" t="str">
        <f>IFERROR(__xludf.DUMMYFUNCTION("""COMPUTED_VALUE"""),"Saipos Serviços De Software")</f>
        <v>Saipos Serviços De Software</v>
      </c>
      <c r="X3941" s="33">
        <f>IFERROR(__xludf.DUMMYFUNCTION("""COMPUTED_VALUE"""),1.0)</f>
        <v>1</v>
      </c>
    </row>
    <row r="3942">
      <c r="K3942" s="4" t="str">
        <f>IFERROR(__xludf.DUMMYFUNCTION("""COMPUTED_VALUE"""),"TNE DELIVERY - CONTA MARCA")</f>
        <v>TNE DELIVERY - CONTA MARCA</v>
      </c>
      <c r="L3942" s="32">
        <f>IFERROR(__xludf.DUMMYFUNCTION("""COMPUTED_VALUE"""),3.0)</f>
        <v>3</v>
      </c>
      <c r="M3942" s="4" t="str">
        <f>IFERROR(__xludf.DUMMYFUNCTION("""COMPUTED_VALUE"""),"Vuca Solution")</f>
        <v>Vuca Solution</v>
      </c>
      <c r="N3942" s="33">
        <f>IFERROR(__xludf.DUMMYFUNCTION("""COMPUTED_VALUE"""),1.0)</f>
        <v>1</v>
      </c>
      <c r="O3942" s="4" t="str">
        <f>IFERROR(__xludf.DUMMYFUNCTION("""COMPUTED_VALUE"""),"Vuca Solution")</f>
        <v>Vuca Solution</v>
      </c>
      <c r="P3942" s="33">
        <f>IFERROR(__xludf.DUMMYFUNCTION("""COMPUTED_VALUE"""),1.0)</f>
        <v>1</v>
      </c>
      <c r="Q3942" s="4" t="str">
        <f>IFERROR(__xludf.DUMMYFUNCTION("""COMPUTED_VALUE"""),"Vuca Solution")</f>
        <v>Vuca Solution</v>
      </c>
      <c r="R3942" s="33">
        <f>IFERROR(__xludf.DUMMYFUNCTION("""COMPUTED_VALUE"""),1.0)</f>
        <v>1</v>
      </c>
      <c r="S3942" s="4" t="str">
        <f>IFERROR(__xludf.DUMMYFUNCTION("""COMPUTED_VALUE"""),"Vuca Solution")</f>
        <v>Vuca Solution</v>
      </c>
      <c r="T3942" s="33">
        <f>IFERROR(__xludf.DUMMYFUNCTION("""COMPUTED_VALUE"""),1.0)</f>
        <v>1</v>
      </c>
      <c r="U3942" s="4" t="str">
        <f>IFERROR(__xludf.DUMMYFUNCTION("""COMPUTED_VALUE"""),"Vuca Solution")</f>
        <v>Vuca Solution</v>
      </c>
      <c r="V3942" s="33">
        <f>IFERROR(__xludf.DUMMYFUNCTION("""COMPUTED_VALUE"""),1.0)</f>
        <v>1</v>
      </c>
      <c r="W3942" s="4" t="str">
        <f>IFERROR(__xludf.DUMMYFUNCTION("""COMPUTED_VALUE"""),"Vuca Solution")</f>
        <v>Vuca Solution</v>
      </c>
      <c r="X3942" s="33">
        <f>IFERROR(__xludf.DUMMYFUNCTION("""COMPUTED_VALUE"""),1.0)</f>
        <v>1</v>
      </c>
    </row>
    <row r="3943">
      <c r="K3943" s="4" t="str">
        <f>IFERROR(__xludf.DUMMYFUNCTION("""COMPUTED_VALUE"""),"TOCA DO ACAI RN")</f>
        <v>TOCA DO ACAI RN</v>
      </c>
      <c r="L3943" s="32">
        <f>IFERROR(__xludf.DUMMYFUNCTION("""COMPUTED_VALUE"""),3.0)</f>
        <v>3</v>
      </c>
      <c r="M3943" s="4" t="str">
        <f>IFERROR(__xludf.DUMMYFUNCTION("""COMPUTED_VALUE"""),"Connectplug")</f>
        <v>Connectplug</v>
      </c>
      <c r="N3943" s="33">
        <f>IFERROR(__xludf.DUMMYFUNCTION("""COMPUTED_VALUE"""),0.6666666666666666)</f>
        <v>0.6666666667</v>
      </c>
      <c r="O3943" s="4" t="str">
        <f>IFERROR(__xludf.DUMMYFUNCTION("""COMPUTED_VALUE"""),"Connectplug")</f>
        <v>Connectplug</v>
      </c>
      <c r="P3943" s="33">
        <f>IFERROR(__xludf.DUMMYFUNCTION("""COMPUTED_VALUE"""),1.0)</f>
        <v>1</v>
      </c>
      <c r="Q3943" s="4" t="str">
        <f>IFERROR(__xludf.DUMMYFUNCTION("""COMPUTED_VALUE"""),"Connectplug")</f>
        <v>Connectplug</v>
      </c>
      <c r="R3943" s="33">
        <f>IFERROR(__xludf.DUMMYFUNCTION("""COMPUTED_VALUE"""),1.0)</f>
        <v>1</v>
      </c>
      <c r="S3943" s="4" t="str">
        <f>IFERROR(__xludf.DUMMYFUNCTION("""COMPUTED_VALUE"""),"Connectplug")</f>
        <v>Connectplug</v>
      </c>
      <c r="T3943" s="33">
        <f>IFERROR(__xludf.DUMMYFUNCTION("""COMPUTED_VALUE"""),1.0)</f>
        <v>1</v>
      </c>
      <c r="U3943" s="4" t="str">
        <f>IFERROR(__xludf.DUMMYFUNCTION("""COMPUTED_VALUE"""),"Connectplug")</f>
        <v>Connectplug</v>
      </c>
      <c r="V3943" s="33">
        <f>IFERROR(__xludf.DUMMYFUNCTION("""COMPUTED_VALUE"""),1.0)</f>
        <v>1</v>
      </c>
      <c r="W3943" s="4" t="str">
        <f>IFERROR(__xludf.DUMMYFUNCTION("""COMPUTED_VALUE"""),"Connectplug")</f>
        <v>Connectplug</v>
      </c>
      <c r="X3943" s="33">
        <f>IFERROR(__xludf.DUMMYFUNCTION("""COMPUTED_VALUE"""),1.0)</f>
        <v>1</v>
      </c>
    </row>
    <row r="3944">
      <c r="K3944" s="4" t="str">
        <f>IFERROR(__xludf.DUMMYFUNCTION("""COMPUTED_VALUE"""),"TODO DIA SAO CARLOS - CONTA PAI")</f>
        <v>TODO DIA SAO CARLOS - CONTA PAI</v>
      </c>
      <c r="L3944" s="32">
        <f>IFERROR(__xludf.DUMMYFUNCTION("""COMPUTED_VALUE"""),3.0)</f>
        <v>3</v>
      </c>
      <c r="M3944" s="4" t="str">
        <f>IFERROR(__xludf.DUMMYFUNCTION("""COMPUTED_VALUE"""),"N/A (Not found)")</f>
        <v>N/A (Not found)</v>
      </c>
      <c r="N3944" s="33">
        <f>IFERROR(__xludf.DUMMYFUNCTION("""COMPUTED_VALUE"""),1.0)</f>
        <v>1</v>
      </c>
      <c r="O3944" s="4" t="str">
        <f>IFERROR(__xludf.DUMMYFUNCTION("""COMPUTED_VALUE"""),"N/A (Not found)")</f>
        <v>N/A (Not found)</v>
      </c>
      <c r="P3944" s="33">
        <f>IFERROR(__xludf.DUMMYFUNCTION("""COMPUTED_VALUE"""),1.0)</f>
        <v>1</v>
      </c>
      <c r="Q3944" s="4" t="str">
        <f>IFERROR(__xludf.DUMMYFUNCTION("""COMPUTED_VALUE"""),"N/A (Not found)")</f>
        <v>N/A (Not found)</v>
      </c>
      <c r="R3944" s="33">
        <f>IFERROR(__xludf.DUMMYFUNCTION("""COMPUTED_VALUE"""),1.0)</f>
        <v>1</v>
      </c>
      <c r="S3944" s="4" t="str">
        <f>IFERROR(__xludf.DUMMYFUNCTION("""COMPUTED_VALUE"""),"N/A (Not found)")</f>
        <v>N/A (Not found)</v>
      </c>
      <c r="T3944" s="33">
        <f>IFERROR(__xludf.DUMMYFUNCTION("""COMPUTED_VALUE"""),1.0)</f>
        <v>1</v>
      </c>
      <c r="U3944" s="4" t="str">
        <f>IFERROR(__xludf.DUMMYFUNCTION("""COMPUTED_VALUE"""),"N/A (Not found)")</f>
        <v>N/A (Not found)</v>
      </c>
      <c r="V3944" s="33">
        <f>IFERROR(__xludf.DUMMYFUNCTION("""COMPUTED_VALUE"""),1.0)</f>
        <v>1</v>
      </c>
      <c r="W3944" s="4" t="str">
        <f>IFERROR(__xludf.DUMMYFUNCTION("""COMPUTED_VALUE"""),"N/A (Not found)")</f>
        <v>N/A (Not found)</v>
      </c>
      <c r="X3944" s="33">
        <f>IFERROR(__xludf.DUMMYFUNCTION("""COMPUTED_VALUE"""),1.0)</f>
        <v>1</v>
      </c>
    </row>
    <row r="3945">
      <c r="K3945" s="4" t="str">
        <f>IFERROR(__xludf.DUMMYFUNCTION("""COMPUTED_VALUE"""),"TOKYO 99 G")</f>
        <v>TOKYO 99 G</v>
      </c>
      <c r="L3945" s="32">
        <f>IFERROR(__xludf.DUMMYFUNCTION("""COMPUTED_VALUE"""),3.0)</f>
        <v>3</v>
      </c>
      <c r="M3945" s="4" t="str">
        <f>IFERROR(__xludf.DUMMYFUNCTION("""COMPUTED_VALUE"""),"Saipos Serviços De Software")</f>
        <v>Saipos Serviços De Software</v>
      </c>
      <c r="N3945" s="33">
        <f>IFERROR(__xludf.DUMMYFUNCTION("""COMPUTED_VALUE"""),1.0)</f>
        <v>1</v>
      </c>
      <c r="O3945" s="4" t="str">
        <f>IFERROR(__xludf.DUMMYFUNCTION("""COMPUTED_VALUE"""),"Saipos Serviços De Software")</f>
        <v>Saipos Serviços De Software</v>
      </c>
      <c r="P3945" s="33">
        <f>IFERROR(__xludf.DUMMYFUNCTION("""COMPUTED_VALUE"""),1.0)</f>
        <v>1</v>
      </c>
      <c r="Q3945" s="4" t="str">
        <f>IFERROR(__xludf.DUMMYFUNCTION("""COMPUTED_VALUE"""),"Saipos Serviços De Software")</f>
        <v>Saipos Serviços De Software</v>
      </c>
      <c r="R3945" s="33">
        <f>IFERROR(__xludf.DUMMYFUNCTION("""COMPUTED_VALUE"""),0.6666666666666666)</f>
        <v>0.6666666667</v>
      </c>
      <c r="S3945" s="4" t="str">
        <f>IFERROR(__xludf.DUMMYFUNCTION("""COMPUTED_VALUE"""),"Saipos Serviços De Software")</f>
        <v>Saipos Serviços De Software</v>
      </c>
      <c r="T3945" s="33">
        <f>IFERROR(__xludf.DUMMYFUNCTION("""COMPUTED_VALUE"""),1.0)</f>
        <v>1</v>
      </c>
      <c r="U3945" s="4" t="str">
        <f>IFERROR(__xludf.DUMMYFUNCTION("""COMPUTED_VALUE"""),"Saipos Serviços De Software")</f>
        <v>Saipos Serviços De Software</v>
      </c>
      <c r="V3945" s="33">
        <f>IFERROR(__xludf.DUMMYFUNCTION("""COMPUTED_VALUE"""),1.0)</f>
        <v>1</v>
      </c>
      <c r="W3945" s="4" t="str">
        <f>IFERROR(__xludf.DUMMYFUNCTION("""COMPUTED_VALUE"""),"Saipos Serviços De Software")</f>
        <v>Saipos Serviços De Software</v>
      </c>
      <c r="X3945" s="33">
        <f>IFERROR(__xludf.DUMMYFUNCTION("""COMPUTED_VALUE"""),1.0)</f>
        <v>1</v>
      </c>
    </row>
    <row r="3946">
      <c r="K3946" s="4" t="str">
        <f>IFERROR(__xludf.DUMMYFUNCTION("""COMPUTED_VALUE"""),"TOMATE CRU")</f>
        <v>TOMATE CRU</v>
      </c>
      <c r="L3946" s="32">
        <f>IFERROR(__xludf.DUMMYFUNCTION("""COMPUTED_VALUE"""),3.0)</f>
        <v>3</v>
      </c>
      <c r="M3946" s="4" t="str">
        <f>IFERROR(__xludf.DUMMYFUNCTION("""COMPUTED_VALUE"""),"Saipos Serviços De Software")</f>
        <v>Saipos Serviços De Software</v>
      </c>
      <c r="N3946" s="33">
        <f>IFERROR(__xludf.DUMMYFUNCTION("""COMPUTED_VALUE"""),0.6666666666666666)</f>
        <v>0.6666666667</v>
      </c>
      <c r="O3946" s="4" t="str">
        <f>IFERROR(__xludf.DUMMYFUNCTION("""COMPUTED_VALUE"""),"Saipos Serviços De Software")</f>
        <v>Saipos Serviços De Software</v>
      </c>
      <c r="P3946" s="33">
        <f>IFERROR(__xludf.DUMMYFUNCTION("""COMPUTED_VALUE"""),0.6666666666666666)</f>
        <v>0.6666666667</v>
      </c>
      <c r="Q3946" s="4" t="str">
        <f>IFERROR(__xludf.DUMMYFUNCTION("""COMPUTED_VALUE"""),"Saipos Serviços De Software")</f>
        <v>Saipos Serviços De Software</v>
      </c>
      <c r="R3946" s="33">
        <f>IFERROR(__xludf.DUMMYFUNCTION("""COMPUTED_VALUE"""),0.6666666666666666)</f>
        <v>0.6666666667</v>
      </c>
      <c r="S3946" s="4" t="str">
        <f>IFERROR(__xludf.DUMMYFUNCTION("""COMPUTED_VALUE"""),"Saipos Serviços De Software")</f>
        <v>Saipos Serviços De Software</v>
      </c>
      <c r="T3946" s="33">
        <f>IFERROR(__xludf.DUMMYFUNCTION("""COMPUTED_VALUE"""),1.0)</f>
        <v>1</v>
      </c>
      <c r="U3946" s="4" t="str">
        <f>IFERROR(__xludf.DUMMYFUNCTION("""COMPUTED_VALUE"""),"Saipos Serviços De Software")</f>
        <v>Saipos Serviços De Software</v>
      </c>
      <c r="V3946" s="33">
        <f>IFERROR(__xludf.DUMMYFUNCTION("""COMPUTED_VALUE"""),1.0)</f>
        <v>1</v>
      </c>
      <c r="W3946" s="4" t="str">
        <f>IFERROR(__xludf.DUMMYFUNCTION("""COMPUTED_VALUE"""),"Saipos Serviços De Software")</f>
        <v>Saipos Serviços De Software</v>
      </c>
      <c r="X3946" s="33">
        <f>IFERROR(__xludf.DUMMYFUNCTION("""COMPUTED_VALUE"""),0.6666666666666666)</f>
        <v>0.6666666667</v>
      </c>
    </row>
    <row r="3947">
      <c r="K3947" s="4" t="str">
        <f>IFERROR(__xludf.DUMMYFUNCTION("""COMPUTED_VALUE"""),"TOMAZA PIZZARIA SC - CONTA MARCA")</f>
        <v>TOMAZA PIZZARIA SC - CONTA MARCA</v>
      </c>
      <c r="L3947" s="32">
        <f>IFERROR(__xludf.DUMMYFUNCTION("""COMPUTED_VALUE"""),3.0)</f>
        <v>3</v>
      </c>
      <c r="M3947" s="4" t="str">
        <f>IFERROR(__xludf.DUMMYFUNCTION("""COMPUTED_VALUE"""),"Hubzy")</f>
        <v>Hubzy</v>
      </c>
      <c r="N3947" s="33">
        <f>IFERROR(__xludf.DUMMYFUNCTION("""COMPUTED_VALUE"""),1.0)</f>
        <v>1</v>
      </c>
      <c r="O3947" s="4" t="str">
        <f>IFERROR(__xludf.DUMMYFUNCTION("""COMPUTED_VALUE"""),"Hubzy")</f>
        <v>Hubzy</v>
      </c>
      <c r="P3947" s="33">
        <f>IFERROR(__xludf.DUMMYFUNCTION("""COMPUTED_VALUE"""),1.0)</f>
        <v>1</v>
      </c>
      <c r="Q3947" s="4" t="str">
        <f>IFERROR(__xludf.DUMMYFUNCTION("""COMPUTED_VALUE"""),"Hubzy")</f>
        <v>Hubzy</v>
      </c>
      <c r="R3947" s="33">
        <f>IFERROR(__xludf.DUMMYFUNCTION("""COMPUTED_VALUE"""),1.0)</f>
        <v>1</v>
      </c>
      <c r="S3947" s="4" t="str">
        <f>IFERROR(__xludf.DUMMYFUNCTION("""COMPUTED_VALUE"""),"Hubzy")</f>
        <v>Hubzy</v>
      </c>
      <c r="T3947" s="33">
        <f>IFERROR(__xludf.DUMMYFUNCTION("""COMPUTED_VALUE"""),1.0)</f>
        <v>1</v>
      </c>
      <c r="U3947" s="4" t="str">
        <f>IFERROR(__xludf.DUMMYFUNCTION("""COMPUTED_VALUE"""),"Hubzy")</f>
        <v>Hubzy</v>
      </c>
      <c r="V3947" s="33">
        <f>IFERROR(__xludf.DUMMYFUNCTION("""COMPUTED_VALUE"""),1.0)</f>
        <v>1</v>
      </c>
      <c r="W3947" s="4" t="str">
        <f>IFERROR(__xludf.DUMMYFUNCTION("""COMPUTED_VALUE"""),"Hubzy")</f>
        <v>Hubzy</v>
      </c>
      <c r="X3947" s="33">
        <f>IFERROR(__xludf.DUMMYFUNCTION("""COMPUTED_VALUE"""),1.0)</f>
        <v>1</v>
      </c>
    </row>
    <row r="3948">
      <c r="K3948" s="4" t="str">
        <f>IFERROR(__xludf.DUMMYFUNCTION("""COMPUTED_VALUE"""),"TOMO GASTRONOMIA-CONTA PAI")</f>
        <v>TOMO GASTRONOMIA-CONTA PAI</v>
      </c>
      <c r="L3948" s="32">
        <f>IFERROR(__xludf.DUMMYFUNCTION("""COMPUTED_VALUE"""),3.0)</f>
        <v>3</v>
      </c>
      <c r="M3948" s="4" t="str">
        <f>IFERROR(__xludf.DUMMYFUNCTION("""COMPUTED_VALUE"""),"Ncr")</f>
        <v>Ncr</v>
      </c>
      <c r="N3948" s="33">
        <f>IFERROR(__xludf.DUMMYFUNCTION("""COMPUTED_VALUE"""),1.0)</f>
        <v>1</v>
      </c>
      <c r="O3948" s="4" t="str">
        <f>IFERROR(__xludf.DUMMYFUNCTION("""COMPUTED_VALUE"""),"Ncr")</f>
        <v>Ncr</v>
      </c>
      <c r="P3948" s="33">
        <f>IFERROR(__xludf.DUMMYFUNCTION("""COMPUTED_VALUE"""),1.0)</f>
        <v>1</v>
      </c>
      <c r="Q3948" s="4" t="str">
        <f>IFERROR(__xludf.DUMMYFUNCTION("""COMPUTED_VALUE"""),"Ncr")</f>
        <v>Ncr</v>
      </c>
      <c r="R3948" s="33">
        <f>IFERROR(__xludf.DUMMYFUNCTION("""COMPUTED_VALUE"""),1.0)</f>
        <v>1</v>
      </c>
      <c r="S3948" s="4" t="str">
        <f>IFERROR(__xludf.DUMMYFUNCTION("""COMPUTED_VALUE"""),"Ncr")</f>
        <v>Ncr</v>
      </c>
      <c r="T3948" s="33">
        <f>IFERROR(__xludf.DUMMYFUNCTION("""COMPUTED_VALUE"""),1.0)</f>
        <v>1</v>
      </c>
      <c r="U3948" s="4" t="str">
        <f>IFERROR(__xludf.DUMMYFUNCTION("""COMPUTED_VALUE"""),"Ncr")</f>
        <v>Ncr</v>
      </c>
      <c r="V3948" s="33">
        <f>IFERROR(__xludf.DUMMYFUNCTION("""COMPUTED_VALUE"""),1.0)</f>
        <v>1</v>
      </c>
      <c r="W3948" s="4" t="str">
        <f>IFERROR(__xludf.DUMMYFUNCTION("""COMPUTED_VALUE"""),"Ncr")</f>
        <v>Ncr</v>
      </c>
      <c r="X3948" s="33">
        <f>IFERROR(__xludf.DUMMYFUNCTION("""COMPUTED_VALUE"""),0.6666666666666666)</f>
        <v>0.6666666667</v>
      </c>
    </row>
    <row r="3949">
      <c r="K3949" s="4" t="str">
        <f>IFERROR(__xludf.DUMMYFUNCTION("""COMPUTED_VALUE"""),"TONHO DE MARTINHA - CONTA MARCA")</f>
        <v>TONHO DE MARTINHA - CONTA MARCA</v>
      </c>
      <c r="L3949" s="32">
        <f>IFERROR(__xludf.DUMMYFUNCTION("""COMPUTED_VALUE"""),3.0)</f>
        <v>3</v>
      </c>
      <c r="M3949" s="4" t="str">
        <f>IFERROR(__xludf.DUMMYFUNCTION("""COMPUTED_VALUE"""),"Yooga")</f>
        <v>Yooga</v>
      </c>
      <c r="N3949" s="33">
        <f>IFERROR(__xludf.DUMMYFUNCTION("""COMPUTED_VALUE"""),0.6666666666666666)</f>
        <v>0.6666666667</v>
      </c>
      <c r="O3949" s="4" t="str">
        <f>IFERROR(__xludf.DUMMYFUNCTION("""COMPUTED_VALUE"""),"Yooga")</f>
        <v>Yooga</v>
      </c>
      <c r="P3949" s="33">
        <f>IFERROR(__xludf.DUMMYFUNCTION("""COMPUTED_VALUE"""),0.6666666666666666)</f>
        <v>0.6666666667</v>
      </c>
      <c r="Q3949" s="4" t="str">
        <f>IFERROR(__xludf.DUMMYFUNCTION("""COMPUTED_VALUE"""),"Yooga")</f>
        <v>Yooga</v>
      </c>
      <c r="R3949" s="33">
        <f>IFERROR(__xludf.DUMMYFUNCTION("""COMPUTED_VALUE"""),1.0)</f>
        <v>1</v>
      </c>
      <c r="S3949" s="4" t="str">
        <f>IFERROR(__xludf.DUMMYFUNCTION("""COMPUTED_VALUE"""),"Yooga")</f>
        <v>Yooga</v>
      </c>
      <c r="T3949" s="33">
        <f>IFERROR(__xludf.DUMMYFUNCTION("""COMPUTED_VALUE"""),1.0)</f>
        <v>1</v>
      </c>
      <c r="U3949" s="4" t="str">
        <f>IFERROR(__xludf.DUMMYFUNCTION("""COMPUTED_VALUE"""),"Yooga")</f>
        <v>Yooga</v>
      </c>
      <c r="V3949" s="33">
        <f>IFERROR(__xludf.DUMMYFUNCTION("""COMPUTED_VALUE"""),1.0)</f>
        <v>1</v>
      </c>
      <c r="W3949" s="4" t="str">
        <f>IFERROR(__xludf.DUMMYFUNCTION("""COMPUTED_VALUE"""),"Yooga")</f>
        <v>Yooga</v>
      </c>
      <c r="X3949" s="33">
        <f>IFERROR(__xludf.DUMMYFUNCTION("""COMPUTED_VALUE"""),1.0)</f>
        <v>1</v>
      </c>
    </row>
    <row r="3950">
      <c r="K3950" s="4" t="str">
        <f>IFERROR(__xludf.DUMMYFUNCTION("""COMPUTED_VALUE"""),"TOP 10 FLORIANOPOLIS - CONTA MARCA")</f>
        <v>TOP 10 FLORIANOPOLIS - CONTA MARCA</v>
      </c>
      <c r="L3950" s="32">
        <f>IFERROR(__xludf.DUMMYFUNCTION("""COMPUTED_VALUE"""),3.0)</f>
        <v>3</v>
      </c>
      <c r="M3950" s="4" t="str">
        <f>IFERROR(__xludf.DUMMYFUNCTION("""COMPUTED_VALUE"""),"Alloy Tecnologia")</f>
        <v>Alloy Tecnologia</v>
      </c>
      <c r="N3950" s="33">
        <f>IFERROR(__xludf.DUMMYFUNCTION("""COMPUTED_VALUE"""),1.0)</f>
        <v>1</v>
      </c>
      <c r="O3950" s="4" t="str">
        <f>IFERROR(__xludf.DUMMYFUNCTION("""COMPUTED_VALUE"""),"null")</f>
        <v>null</v>
      </c>
      <c r="P3950" s="33">
        <f>IFERROR(__xludf.DUMMYFUNCTION("""COMPUTED_VALUE"""),0.6666666666666666)</f>
        <v>0.6666666667</v>
      </c>
      <c r="Q3950" s="4" t="str">
        <f>IFERROR(__xludf.DUMMYFUNCTION("""COMPUTED_VALUE"""),"null")</f>
        <v>null</v>
      </c>
      <c r="R3950" s="33">
        <f>IFERROR(__xludf.DUMMYFUNCTION("""COMPUTED_VALUE"""),1.0)</f>
        <v>1</v>
      </c>
      <c r="S3950" s="4" t="str">
        <f>IFERROR(__xludf.DUMMYFUNCTION("""COMPUTED_VALUE"""),"null")</f>
        <v>null</v>
      </c>
      <c r="T3950" s="33">
        <f>IFERROR(__xludf.DUMMYFUNCTION("""COMPUTED_VALUE"""),0.6666666666666666)</f>
        <v>0.6666666667</v>
      </c>
      <c r="U3950" s="4" t="str">
        <f>IFERROR(__xludf.DUMMYFUNCTION("""COMPUTED_VALUE"""),"null")</f>
        <v>null</v>
      </c>
      <c r="V3950" s="33">
        <f>IFERROR(__xludf.DUMMYFUNCTION("""COMPUTED_VALUE"""),1.0)</f>
        <v>1</v>
      </c>
      <c r="W3950" s="4" t="str">
        <f>IFERROR(__xludf.DUMMYFUNCTION("""COMPUTED_VALUE"""),"Alloy Tecnologia")</f>
        <v>Alloy Tecnologia</v>
      </c>
      <c r="X3950" s="33">
        <f>IFERROR(__xludf.DUMMYFUNCTION("""COMPUTED_VALUE"""),1.0)</f>
        <v>1</v>
      </c>
    </row>
    <row r="3951">
      <c r="K3951" s="4" t="str">
        <f>IFERROR(__xludf.DUMMYFUNCTION("""COMPUTED_VALUE"""),"TOP ALA MINUTA MARMITA")</f>
        <v>TOP ALA MINUTA MARMITA</v>
      </c>
      <c r="L3951" s="32">
        <f>IFERROR(__xludf.DUMMYFUNCTION("""COMPUTED_VALUE"""),3.0)</f>
        <v>3</v>
      </c>
      <c r="M3951" s="4" t="str">
        <f>IFERROR(__xludf.DUMMYFUNCTION("""COMPUTED_VALUE"""),"Saipos Serviços De Software")</f>
        <v>Saipos Serviços De Software</v>
      </c>
      <c r="N3951" s="33">
        <f>IFERROR(__xludf.DUMMYFUNCTION("""COMPUTED_VALUE"""),1.0)</f>
        <v>1</v>
      </c>
      <c r="O3951" s="4" t="str">
        <f>IFERROR(__xludf.DUMMYFUNCTION("""COMPUTED_VALUE"""),"Saipos Serviços De Software")</f>
        <v>Saipos Serviços De Software</v>
      </c>
      <c r="P3951" s="33">
        <f>IFERROR(__xludf.DUMMYFUNCTION("""COMPUTED_VALUE"""),1.0)</f>
        <v>1</v>
      </c>
      <c r="Q3951" s="4" t="str">
        <f>IFERROR(__xludf.DUMMYFUNCTION("""COMPUTED_VALUE"""),"Saipos Serviços De Software")</f>
        <v>Saipos Serviços De Software</v>
      </c>
      <c r="R3951" s="33">
        <f>IFERROR(__xludf.DUMMYFUNCTION("""COMPUTED_VALUE"""),1.0)</f>
        <v>1</v>
      </c>
      <c r="S3951" s="4" t="str">
        <f>IFERROR(__xludf.DUMMYFUNCTION("""COMPUTED_VALUE"""),"Saipos Serviços De Software")</f>
        <v>Saipos Serviços De Software</v>
      </c>
      <c r="T3951" s="33">
        <f>IFERROR(__xludf.DUMMYFUNCTION("""COMPUTED_VALUE"""),1.0)</f>
        <v>1</v>
      </c>
      <c r="U3951" s="4" t="str">
        <f>IFERROR(__xludf.DUMMYFUNCTION("""COMPUTED_VALUE"""),"Saipos Serviços De Software")</f>
        <v>Saipos Serviços De Software</v>
      </c>
      <c r="V3951" s="33">
        <f>IFERROR(__xludf.DUMMYFUNCTION("""COMPUTED_VALUE"""),1.0)</f>
        <v>1</v>
      </c>
      <c r="W3951" s="4" t="str">
        <f>IFERROR(__xludf.DUMMYFUNCTION("""COMPUTED_VALUE"""),"Saipos Serviços De Software")</f>
        <v>Saipos Serviços De Software</v>
      </c>
      <c r="X3951" s="33">
        <f>IFERROR(__xludf.DUMMYFUNCTION("""COMPUTED_VALUE"""),1.0)</f>
        <v>1</v>
      </c>
    </row>
    <row r="3952">
      <c r="K3952" s="4" t="str">
        <f>IFERROR(__xludf.DUMMYFUNCTION("""COMPUTED_VALUE"""),"TOP CENTER ELETRONICOS - CONTA GRUPO")</f>
        <v>TOP CENTER ELETRONICOS - CONTA GRUPO</v>
      </c>
      <c r="L3952" s="32">
        <f>IFERROR(__xludf.DUMMYFUNCTION("""COMPUTED_VALUE"""),3.0)</f>
        <v>3</v>
      </c>
      <c r="M3952" s="4" t="str">
        <f>IFERROR(__xludf.DUMMYFUNCTION("""COMPUTED_VALUE"""),"N/A (Not found)")</f>
        <v>N/A (Not found)</v>
      </c>
      <c r="N3952" s="33">
        <f>IFERROR(__xludf.DUMMYFUNCTION("""COMPUTED_VALUE"""),1.0)</f>
        <v>1</v>
      </c>
      <c r="O3952" s="4" t="str">
        <f>IFERROR(__xludf.DUMMYFUNCTION("""COMPUTED_VALUE"""),"N/A (Not found)")</f>
        <v>N/A (Not found)</v>
      </c>
      <c r="P3952" s="33">
        <f>IFERROR(__xludf.DUMMYFUNCTION("""COMPUTED_VALUE"""),1.0)</f>
        <v>1</v>
      </c>
      <c r="Q3952" s="4" t="str">
        <f>IFERROR(__xludf.DUMMYFUNCTION("""COMPUTED_VALUE"""),"N/A (Not found)")</f>
        <v>N/A (Not found)</v>
      </c>
      <c r="R3952" s="33">
        <f>IFERROR(__xludf.DUMMYFUNCTION("""COMPUTED_VALUE"""),1.0)</f>
        <v>1</v>
      </c>
      <c r="S3952" s="4" t="str">
        <f>IFERROR(__xludf.DUMMYFUNCTION("""COMPUTED_VALUE"""),"N/A (Not found)")</f>
        <v>N/A (Not found)</v>
      </c>
      <c r="T3952" s="33">
        <f>IFERROR(__xludf.DUMMYFUNCTION("""COMPUTED_VALUE"""),1.0)</f>
        <v>1</v>
      </c>
      <c r="U3952" s="4" t="str">
        <f>IFERROR(__xludf.DUMMYFUNCTION("""COMPUTED_VALUE"""),"N/A (Not found)")</f>
        <v>N/A (Not found)</v>
      </c>
      <c r="V3952" s="33">
        <f>IFERROR(__xludf.DUMMYFUNCTION("""COMPUTED_VALUE"""),1.0)</f>
        <v>1</v>
      </c>
      <c r="W3952" s="4" t="str">
        <f>IFERROR(__xludf.DUMMYFUNCTION("""COMPUTED_VALUE"""),"N/A (Not found)")</f>
        <v>N/A (Not found)</v>
      </c>
      <c r="X3952" s="33">
        <f>IFERROR(__xludf.DUMMYFUNCTION("""COMPUTED_VALUE"""),1.0)</f>
        <v>1</v>
      </c>
    </row>
    <row r="3953">
      <c r="K3953" s="4" t="str">
        <f>IFERROR(__xludf.DUMMYFUNCTION("""COMPUTED_VALUE"""),"TORONTO BURGUER")</f>
        <v>TORONTO BURGUER</v>
      </c>
      <c r="L3953" s="32">
        <f>IFERROR(__xludf.DUMMYFUNCTION("""COMPUTED_VALUE"""),3.0)</f>
        <v>3</v>
      </c>
      <c r="M3953" s="4" t="str">
        <f>IFERROR(__xludf.DUMMYFUNCTION("""COMPUTED_VALUE"""),"null")</f>
        <v>null</v>
      </c>
      <c r="N3953" s="33">
        <f>IFERROR(__xludf.DUMMYFUNCTION("""COMPUTED_VALUE"""),1.0)</f>
        <v>1</v>
      </c>
      <c r="O3953" s="4" t="str">
        <f>IFERROR(__xludf.DUMMYFUNCTION("""COMPUTED_VALUE"""),"null")</f>
        <v>null</v>
      </c>
      <c r="P3953" s="33">
        <f>IFERROR(__xludf.DUMMYFUNCTION("""COMPUTED_VALUE"""),1.0)</f>
        <v>1</v>
      </c>
      <c r="Q3953" s="4" t="str">
        <f>IFERROR(__xludf.DUMMYFUNCTION("""COMPUTED_VALUE"""),"null")</f>
        <v>null</v>
      </c>
      <c r="R3953" s="33">
        <f>IFERROR(__xludf.DUMMYFUNCTION("""COMPUTED_VALUE"""),1.0)</f>
        <v>1</v>
      </c>
      <c r="S3953" s="4" t="str">
        <f>IFERROR(__xludf.DUMMYFUNCTION("""COMPUTED_VALUE"""),"null")</f>
        <v>null</v>
      </c>
      <c r="T3953" s="33">
        <f>IFERROR(__xludf.DUMMYFUNCTION("""COMPUTED_VALUE"""),0.6666666666666666)</f>
        <v>0.6666666667</v>
      </c>
      <c r="U3953" s="4" t="str">
        <f>IFERROR(__xludf.DUMMYFUNCTION("""COMPUTED_VALUE"""),"Saipos Serviços De Software")</f>
        <v>Saipos Serviços De Software</v>
      </c>
      <c r="V3953" s="33">
        <f>IFERROR(__xludf.DUMMYFUNCTION("""COMPUTED_VALUE"""),0.6666666666666666)</f>
        <v>0.6666666667</v>
      </c>
      <c r="W3953" s="4" t="str">
        <f>IFERROR(__xludf.DUMMYFUNCTION("""COMPUTED_VALUE"""),"Saipos Serviços De Software")</f>
        <v>Saipos Serviços De Software</v>
      </c>
      <c r="X3953" s="33">
        <f>IFERROR(__xludf.DUMMYFUNCTION("""COMPUTED_VALUE"""),0.6666666666666666)</f>
        <v>0.6666666667</v>
      </c>
    </row>
    <row r="3954">
      <c r="K3954" s="4" t="str">
        <f>IFERROR(__xludf.DUMMYFUNCTION("""COMPUTED_VALUE"""),"TORTA CIA")</f>
        <v>TORTA CIA</v>
      </c>
      <c r="L3954" s="32">
        <f>IFERROR(__xludf.DUMMYFUNCTION("""COMPUTED_VALUE"""),3.0)</f>
        <v>3</v>
      </c>
      <c r="M3954" s="4" t="str">
        <f>IFERROR(__xludf.DUMMYFUNCTION("""COMPUTED_VALUE"""),"F-rest Sistema Para Food Service Ltda")</f>
        <v>F-rest Sistema Para Food Service Ltda</v>
      </c>
      <c r="N3954" s="33">
        <f>IFERROR(__xludf.DUMMYFUNCTION("""COMPUTED_VALUE"""),0.6666666666666666)</f>
        <v>0.6666666667</v>
      </c>
      <c r="O3954" s="4" t="str">
        <f>IFERROR(__xludf.DUMMYFUNCTION("""COMPUTED_VALUE"""),"F-rest Sistema Para Food Service Ltda")</f>
        <v>F-rest Sistema Para Food Service Ltda</v>
      </c>
      <c r="P3954" s="33">
        <f>IFERROR(__xludf.DUMMYFUNCTION("""COMPUTED_VALUE"""),0.6666666666666666)</f>
        <v>0.6666666667</v>
      </c>
      <c r="Q3954" s="4" t="str">
        <f>IFERROR(__xludf.DUMMYFUNCTION("""COMPUTED_VALUE"""),"null")</f>
        <v>null</v>
      </c>
      <c r="R3954" s="33">
        <f>IFERROR(__xludf.DUMMYFUNCTION("""COMPUTED_VALUE"""),0.6666666666666666)</f>
        <v>0.6666666667</v>
      </c>
      <c r="S3954" s="4" t="str">
        <f>IFERROR(__xludf.DUMMYFUNCTION("""COMPUTED_VALUE"""),"null")</f>
        <v>null</v>
      </c>
      <c r="T3954" s="33">
        <f>IFERROR(__xludf.DUMMYFUNCTION("""COMPUTED_VALUE"""),0.6666666666666666)</f>
        <v>0.6666666667</v>
      </c>
      <c r="U3954" s="4" t="str">
        <f>IFERROR(__xludf.DUMMYFUNCTION("""COMPUTED_VALUE"""),"null")</f>
        <v>null</v>
      </c>
      <c r="V3954" s="33">
        <f>IFERROR(__xludf.DUMMYFUNCTION("""COMPUTED_VALUE"""),0.6666666666666666)</f>
        <v>0.6666666667</v>
      </c>
      <c r="W3954" s="4" t="str">
        <f>IFERROR(__xludf.DUMMYFUNCTION("""COMPUTED_VALUE"""),"F-rest Sistema Para Food Service Ltda")</f>
        <v>F-rest Sistema Para Food Service Ltda</v>
      </c>
      <c r="X3954" s="33">
        <f>IFERROR(__xludf.DUMMYFUNCTION("""COMPUTED_VALUE"""),0.6666666666666666)</f>
        <v>0.6666666667</v>
      </c>
    </row>
    <row r="3955">
      <c r="K3955" s="4" t="str">
        <f>IFERROR(__xludf.DUMMYFUNCTION("""COMPUTED_VALUE"""),"TOSCANA PARK - BLUMENAU")</f>
        <v>TOSCANA PARK - BLUMENAU</v>
      </c>
      <c r="L3955" s="32">
        <f>IFERROR(__xludf.DUMMYFUNCTION("""COMPUTED_VALUE"""),3.0)</f>
        <v>3</v>
      </c>
      <c r="M3955" s="4" t="str">
        <f>IFERROR(__xludf.DUMMYFUNCTION("""COMPUTED_VALUE"""),"null")</f>
        <v>null</v>
      </c>
      <c r="N3955" s="33">
        <f>IFERROR(__xludf.DUMMYFUNCTION("""COMPUTED_VALUE"""),0.6666666666666666)</f>
        <v>0.6666666667</v>
      </c>
      <c r="O3955" s="4" t="str">
        <f>IFERROR(__xludf.DUMMYFUNCTION("""COMPUTED_VALUE"""),"Saipos Serviços De Software")</f>
        <v>Saipos Serviços De Software</v>
      </c>
      <c r="P3955" s="33">
        <f>IFERROR(__xludf.DUMMYFUNCTION("""COMPUTED_VALUE"""),0.6666666666666666)</f>
        <v>0.6666666667</v>
      </c>
      <c r="Q3955" s="4" t="str">
        <f>IFERROR(__xludf.DUMMYFUNCTION("""COMPUTED_VALUE"""),"Saipos Serviços De Software")</f>
        <v>Saipos Serviços De Software</v>
      </c>
      <c r="R3955" s="33">
        <f>IFERROR(__xludf.DUMMYFUNCTION("""COMPUTED_VALUE"""),0.6666666666666666)</f>
        <v>0.6666666667</v>
      </c>
      <c r="S3955" s="4" t="str">
        <f>IFERROR(__xludf.DUMMYFUNCTION("""COMPUTED_VALUE"""),"Saipos Serviços De Software")</f>
        <v>Saipos Serviços De Software</v>
      </c>
      <c r="T3955" s="33">
        <f>IFERROR(__xludf.DUMMYFUNCTION("""COMPUTED_VALUE"""),0.6666666666666666)</f>
        <v>0.6666666667</v>
      </c>
      <c r="U3955" s="4" t="str">
        <f>IFERROR(__xludf.DUMMYFUNCTION("""COMPUTED_VALUE"""),"Saipos Serviços De Software")</f>
        <v>Saipos Serviços De Software</v>
      </c>
      <c r="V3955" s="33">
        <f>IFERROR(__xludf.DUMMYFUNCTION("""COMPUTED_VALUE"""),1.0)</f>
        <v>1</v>
      </c>
      <c r="W3955" s="4" t="str">
        <f>IFERROR(__xludf.DUMMYFUNCTION("""COMPUTED_VALUE"""),"Saipos Serviços De Software")</f>
        <v>Saipos Serviços De Software</v>
      </c>
      <c r="X3955" s="33">
        <f>IFERROR(__xludf.DUMMYFUNCTION("""COMPUTED_VALUE"""),1.0)</f>
        <v>1</v>
      </c>
    </row>
    <row r="3956">
      <c r="K3956" s="4" t="str">
        <f>IFERROR(__xludf.DUMMYFUNCTION("""COMPUTED_VALUE"""),"TOTONHO - CONTA MARCA")</f>
        <v>TOTONHO - CONTA MARCA</v>
      </c>
      <c r="L3956" s="32">
        <f>IFERROR(__xludf.DUMMYFUNCTION("""COMPUTED_VALUE"""),3.0)</f>
        <v>3</v>
      </c>
      <c r="M3956" s="4" t="str">
        <f>IFERROR(__xludf.DUMMYFUNCTION("""COMPUTED_VALUE"""),"Saipos Serviços De Software")</f>
        <v>Saipos Serviços De Software</v>
      </c>
      <c r="N3956" s="33">
        <f>IFERROR(__xludf.DUMMYFUNCTION("""COMPUTED_VALUE"""),1.0)</f>
        <v>1</v>
      </c>
      <c r="O3956" s="4" t="str">
        <f>IFERROR(__xludf.DUMMYFUNCTION("""COMPUTED_VALUE"""),"Saipos Serviços De Software")</f>
        <v>Saipos Serviços De Software</v>
      </c>
      <c r="P3956" s="33">
        <f>IFERROR(__xludf.DUMMYFUNCTION("""COMPUTED_VALUE"""),1.0)</f>
        <v>1</v>
      </c>
      <c r="Q3956" s="4" t="str">
        <f>IFERROR(__xludf.DUMMYFUNCTION("""COMPUTED_VALUE"""),"Saipos Serviços De Software")</f>
        <v>Saipos Serviços De Software</v>
      </c>
      <c r="R3956" s="33">
        <f>IFERROR(__xludf.DUMMYFUNCTION("""COMPUTED_VALUE"""),1.0)</f>
        <v>1</v>
      </c>
      <c r="S3956" s="4" t="str">
        <f>IFERROR(__xludf.DUMMYFUNCTION("""COMPUTED_VALUE"""),"Saipos Serviços De Software")</f>
        <v>Saipos Serviços De Software</v>
      </c>
      <c r="T3956" s="33">
        <f>IFERROR(__xludf.DUMMYFUNCTION("""COMPUTED_VALUE"""),1.0)</f>
        <v>1</v>
      </c>
      <c r="U3956" s="4" t="str">
        <f>IFERROR(__xludf.DUMMYFUNCTION("""COMPUTED_VALUE"""),"Saipos Serviços De Software")</f>
        <v>Saipos Serviços De Software</v>
      </c>
      <c r="V3956" s="33">
        <f>IFERROR(__xludf.DUMMYFUNCTION("""COMPUTED_VALUE"""),1.0)</f>
        <v>1</v>
      </c>
      <c r="W3956" s="4" t="str">
        <f>IFERROR(__xludf.DUMMYFUNCTION("""COMPUTED_VALUE"""),"Saipos Serviços De Software")</f>
        <v>Saipos Serviços De Software</v>
      </c>
      <c r="X3956" s="33">
        <f>IFERROR(__xludf.DUMMYFUNCTION("""COMPUTED_VALUE"""),1.0)</f>
        <v>1</v>
      </c>
    </row>
    <row r="3957">
      <c r="K3957" s="4" t="str">
        <f>IFERROR(__xludf.DUMMYFUNCTION("""COMPUTED_VALUE"""),"TOUROS SMASH BURGUERS")</f>
        <v>TOUROS SMASH BURGUERS</v>
      </c>
      <c r="L3957" s="32">
        <f>IFERROR(__xludf.DUMMYFUNCTION("""COMPUTED_VALUE"""),3.0)</f>
        <v>3</v>
      </c>
      <c r="M3957" s="4" t="str">
        <f>IFERROR(__xludf.DUMMYFUNCTION("""COMPUTED_VALUE"""),"Saipos Serviços De Software")</f>
        <v>Saipos Serviços De Software</v>
      </c>
      <c r="N3957" s="33">
        <f>IFERROR(__xludf.DUMMYFUNCTION("""COMPUTED_VALUE"""),0.6666666666666666)</f>
        <v>0.6666666667</v>
      </c>
      <c r="O3957" s="4" t="str">
        <f>IFERROR(__xludf.DUMMYFUNCTION("""COMPUTED_VALUE"""),"Saipos Serviços De Software")</f>
        <v>Saipos Serviços De Software</v>
      </c>
      <c r="P3957" s="33">
        <f>IFERROR(__xludf.DUMMYFUNCTION("""COMPUTED_VALUE"""),0.6666666666666666)</f>
        <v>0.6666666667</v>
      </c>
      <c r="Q3957" s="4" t="str">
        <f>IFERROR(__xludf.DUMMYFUNCTION("""COMPUTED_VALUE"""),"Saipos Serviços De Software")</f>
        <v>Saipos Serviços De Software</v>
      </c>
      <c r="R3957" s="33">
        <f>IFERROR(__xludf.DUMMYFUNCTION("""COMPUTED_VALUE"""),0.6666666666666666)</f>
        <v>0.6666666667</v>
      </c>
      <c r="S3957" s="4" t="str">
        <f>IFERROR(__xludf.DUMMYFUNCTION("""COMPUTED_VALUE"""),"Saipos Serviços De Software")</f>
        <v>Saipos Serviços De Software</v>
      </c>
      <c r="T3957" s="33">
        <f>IFERROR(__xludf.DUMMYFUNCTION("""COMPUTED_VALUE"""),0.6666666666666666)</f>
        <v>0.6666666667</v>
      </c>
      <c r="U3957" s="4" t="str">
        <f>IFERROR(__xludf.DUMMYFUNCTION("""COMPUTED_VALUE"""),"Saipos Serviços De Software")</f>
        <v>Saipos Serviços De Software</v>
      </c>
      <c r="V3957" s="33">
        <f>IFERROR(__xludf.DUMMYFUNCTION("""COMPUTED_VALUE"""),1.0)</f>
        <v>1</v>
      </c>
      <c r="W3957" s="4" t="str">
        <f>IFERROR(__xludf.DUMMYFUNCTION("""COMPUTED_VALUE"""),"Saipos Serviços De Software")</f>
        <v>Saipos Serviços De Software</v>
      </c>
      <c r="X3957" s="33">
        <f>IFERROR(__xludf.DUMMYFUNCTION("""COMPUTED_VALUE"""),1.0)</f>
        <v>1</v>
      </c>
    </row>
    <row r="3958">
      <c r="K3958" s="4" t="str">
        <f>IFERROR(__xludf.DUMMYFUNCTION("""COMPUTED_VALUE"""),"TRAJANO GASTRONOMIA")</f>
        <v>TRAJANO GASTRONOMIA</v>
      </c>
      <c r="L3958" s="32">
        <f>IFERROR(__xludf.DUMMYFUNCTION("""COMPUTED_VALUE"""),3.0)</f>
        <v>3</v>
      </c>
      <c r="M3958" s="4" t="str">
        <f>IFERROR(__xludf.DUMMYFUNCTION("""COMPUTED_VALUE"""),"Netcontroll Xmenu")</f>
        <v>Netcontroll Xmenu</v>
      </c>
      <c r="N3958" s="33">
        <f>IFERROR(__xludf.DUMMYFUNCTION("""COMPUTED_VALUE"""),1.0)</f>
        <v>1</v>
      </c>
      <c r="O3958" s="4" t="str">
        <f>IFERROR(__xludf.DUMMYFUNCTION("""COMPUTED_VALUE"""),"Netcontroll Xmenu")</f>
        <v>Netcontroll Xmenu</v>
      </c>
      <c r="P3958" s="33">
        <f>IFERROR(__xludf.DUMMYFUNCTION("""COMPUTED_VALUE"""),1.0)</f>
        <v>1</v>
      </c>
      <c r="Q3958" s="4" t="str">
        <f>IFERROR(__xludf.DUMMYFUNCTION("""COMPUTED_VALUE"""),"Netcontroll Xmenu")</f>
        <v>Netcontroll Xmenu</v>
      </c>
      <c r="R3958" s="33">
        <f>IFERROR(__xludf.DUMMYFUNCTION("""COMPUTED_VALUE"""),1.0)</f>
        <v>1</v>
      </c>
      <c r="S3958" s="4" t="str">
        <f>IFERROR(__xludf.DUMMYFUNCTION("""COMPUTED_VALUE"""),"Netcontroll Xmenu")</f>
        <v>Netcontroll Xmenu</v>
      </c>
      <c r="T3958" s="33">
        <f>IFERROR(__xludf.DUMMYFUNCTION("""COMPUTED_VALUE"""),1.0)</f>
        <v>1</v>
      </c>
      <c r="U3958" s="4" t="str">
        <f>IFERROR(__xludf.DUMMYFUNCTION("""COMPUTED_VALUE"""),"Netcontroll Xmenu")</f>
        <v>Netcontroll Xmenu</v>
      </c>
      <c r="V3958" s="33">
        <f>IFERROR(__xludf.DUMMYFUNCTION("""COMPUTED_VALUE"""),1.0)</f>
        <v>1</v>
      </c>
      <c r="W3958" s="4" t="str">
        <f>IFERROR(__xludf.DUMMYFUNCTION("""COMPUTED_VALUE"""),"Netcontroll Xmenu")</f>
        <v>Netcontroll Xmenu</v>
      </c>
      <c r="X3958" s="33">
        <f>IFERROR(__xludf.DUMMYFUNCTION("""COMPUTED_VALUE"""),1.0)</f>
        <v>1</v>
      </c>
    </row>
    <row r="3959">
      <c r="K3959" s="4" t="str">
        <f>IFERROR(__xludf.DUMMYFUNCTION("""COMPUTED_VALUE"""),"TREM MINEIRO PIZZAS E BATATAS")</f>
        <v>TREM MINEIRO PIZZAS E BATATAS</v>
      </c>
      <c r="L3959" s="32">
        <f>IFERROR(__xludf.DUMMYFUNCTION("""COMPUTED_VALUE"""),3.0)</f>
        <v>3</v>
      </c>
      <c r="M3959" s="4" t="str">
        <f>IFERROR(__xludf.DUMMYFUNCTION("""COMPUTED_VALUE"""),"Saipos Serviços De Software")</f>
        <v>Saipos Serviços De Software</v>
      </c>
      <c r="N3959" s="33">
        <f>IFERROR(__xludf.DUMMYFUNCTION("""COMPUTED_VALUE"""),1.0)</f>
        <v>1</v>
      </c>
      <c r="O3959" s="4" t="str">
        <f>IFERROR(__xludf.DUMMYFUNCTION("""COMPUTED_VALUE"""),"Saipos Serviços De Software")</f>
        <v>Saipos Serviços De Software</v>
      </c>
      <c r="P3959" s="33">
        <f>IFERROR(__xludf.DUMMYFUNCTION("""COMPUTED_VALUE"""),1.0)</f>
        <v>1</v>
      </c>
      <c r="Q3959" s="4" t="str">
        <f>IFERROR(__xludf.DUMMYFUNCTION("""COMPUTED_VALUE"""),"Saipos Serviços De Software")</f>
        <v>Saipos Serviços De Software</v>
      </c>
      <c r="R3959" s="33">
        <f>IFERROR(__xludf.DUMMYFUNCTION("""COMPUTED_VALUE"""),1.0)</f>
        <v>1</v>
      </c>
      <c r="S3959" s="4" t="str">
        <f>IFERROR(__xludf.DUMMYFUNCTION("""COMPUTED_VALUE"""),"Saipos Serviços De Software")</f>
        <v>Saipos Serviços De Software</v>
      </c>
      <c r="T3959" s="33">
        <f>IFERROR(__xludf.DUMMYFUNCTION("""COMPUTED_VALUE"""),1.0)</f>
        <v>1</v>
      </c>
      <c r="U3959" s="4" t="str">
        <f>IFERROR(__xludf.DUMMYFUNCTION("""COMPUTED_VALUE"""),"Saipos Serviços De Software")</f>
        <v>Saipos Serviços De Software</v>
      </c>
      <c r="V3959" s="33">
        <f>IFERROR(__xludf.DUMMYFUNCTION("""COMPUTED_VALUE"""),1.0)</f>
        <v>1</v>
      </c>
      <c r="W3959" s="4" t="str">
        <f>IFERROR(__xludf.DUMMYFUNCTION("""COMPUTED_VALUE"""),"Saipos Serviços De Software")</f>
        <v>Saipos Serviços De Software</v>
      </c>
      <c r="X3959" s="33">
        <f>IFERROR(__xludf.DUMMYFUNCTION("""COMPUTED_VALUE"""),1.0)</f>
        <v>1</v>
      </c>
    </row>
    <row r="3960">
      <c r="K3960" s="4" t="str">
        <f>IFERROR(__xludf.DUMMYFUNCTION("""COMPUTED_VALUE"""),"TRILHA DO ACAI")</f>
        <v>TRILHA DO ACAI</v>
      </c>
      <c r="L3960" s="32">
        <f>IFERROR(__xludf.DUMMYFUNCTION("""COMPUTED_VALUE"""),3.0)</f>
        <v>3</v>
      </c>
      <c r="M3960" s="4" t="str">
        <f>IFERROR(__xludf.DUMMYFUNCTION("""COMPUTED_VALUE"""),"Totvs Large Enterprise Tecnologia S.a.")</f>
        <v>Totvs Large Enterprise Tecnologia S.a.</v>
      </c>
      <c r="N3960" s="33">
        <f>IFERROR(__xludf.DUMMYFUNCTION("""COMPUTED_VALUE"""),0.6666666666666666)</f>
        <v>0.6666666667</v>
      </c>
      <c r="O3960" s="4" t="str">
        <f>IFERROR(__xludf.DUMMYFUNCTION("""COMPUTED_VALUE"""),"Totvs Large Enterprise Tecnologia S.a.")</f>
        <v>Totvs Large Enterprise Tecnologia S.a.</v>
      </c>
      <c r="P3960" s="33">
        <f>IFERROR(__xludf.DUMMYFUNCTION("""COMPUTED_VALUE"""),0.6666666666666666)</f>
        <v>0.6666666667</v>
      </c>
      <c r="Q3960" s="4" t="str">
        <f>IFERROR(__xludf.DUMMYFUNCTION("""COMPUTED_VALUE"""),"Totvs Large Enterprise Tecnologia S.a.")</f>
        <v>Totvs Large Enterprise Tecnologia S.a.</v>
      </c>
      <c r="R3960" s="33">
        <f>IFERROR(__xludf.DUMMYFUNCTION("""COMPUTED_VALUE"""),0.6666666666666666)</f>
        <v>0.6666666667</v>
      </c>
      <c r="S3960" s="4" t="str">
        <f>IFERROR(__xludf.DUMMYFUNCTION("""COMPUTED_VALUE"""),"Cardápio Web")</f>
        <v>Cardápio Web</v>
      </c>
      <c r="T3960" s="33">
        <f>IFERROR(__xludf.DUMMYFUNCTION("""COMPUTED_VALUE"""),0.3333333333333333)</f>
        <v>0.3333333333</v>
      </c>
      <c r="U3960" s="4" t="str">
        <f>IFERROR(__xludf.DUMMYFUNCTION("""COMPUTED_VALUE"""),"Cardápio Web")</f>
        <v>Cardápio Web</v>
      </c>
      <c r="V3960" s="33">
        <f>IFERROR(__xludf.DUMMYFUNCTION("""COMPUTED_VALUE"""),0.3333333333333333)</f>
        <v>0.3333333333</v>
      </c>
      <c r="W3960" s="4" t="str">
        <f>IFERROR(__xludf.DUMMYFUNCTION("""COMPUTED_VALUE"""),"Cardápio Web")</f>
        <v>Cardápio Web</v>
      </c>
      <c r="X3960" s="33">
        <f>IFERROR(__xludf.DUMMYFUNCTION("""COMPUTED_VALUE"""),0.3333333333333333)</f>
        <v>0.3333333333</v>
      </c>
    </row>
    <row r="3961">
      <c r="K3961" s="4" t="str">
        <f>IFERROR(__xludf.DUMMYFUNCTION("""COMPUTED_VALUE"""),"TRIPOLI")</f>
        <v>TRIPOLI</v>
      </c>
      <c r="L3961" s="32">
        <f>IFERROR(__xludf.DUMMYFUNCTION("""COMPUTED_VALUE"""),3.0)</f>
        <v>3</v>
      </c>
      <c r="M3961" s="4" t="str">
        <f>IFERROR(__xludf.DUMMYFUNCTION("""COMPUTED_VALUE"""),"null")</f>
        <v>null</v>
      </c>
      <c r="N3961" s="33">
        <f>IFERROR(__xludf.DUMMYFUNCTION("""COMPUTED_VALUE"""),0.3333333333333333)</f>
        <v>0.3333333333</v>
      </c>
      <c r="O3961" s="4" t="str">
        <f>IFERROR(__xludf.DUMMYFUNCTION("""COMPUTED_VALUE"""),"null")</f>
        <v>null</v>
      </c>
      <c r="P3961" s="33">
        <f>IFERROR(__xludf.DUMMYFUNCTION("""COMPUTED_VALUE"""),0.3333333333333333)</f>
        <v>0.3333333333</v>
      </c>
      <c r="Q3961" s="4" t="str">
        <f>IFERROR(__xludf.DUMMYFUNCTION("""COMPUTED_VALUE"""),"null")</f>
        <v>null</v>
      </c>
      <c r="R3961" s="33">
        <f>IFERROR(__xludf.DUMMYFUNCTION("""COMPUTED_VALUE"""),0.3333333333333333)</f>
        <v>0.3333333333</v>
      </c>
      <c r="S3961" s="4" t="str">
        <f>IFERROR(__xludf.DUMMYFUNCTION("""COMPUTED_VALUE"""),"null")</f>
        <v>null</v>
      </c>
      <c r="T3961" s="33">
        <f>IFERROR(__xludf.DUMMYFUNCTION("""COMPUTED_VALUE"""),0.3333333333333333)</f>
        <v>0.3333333333</v>
      </c>
      <c r="U3961" s="4" t="str">
        <f>IFERROR(__xludf.DUMMYFUNCTION("""COMPUTED_VALUE"""),"Cityfoods Ltda")</f>
        <v>Cityfoods Ltda</v>
      </c>
      <c r="V3961" s="33">
        <f>IFERROR(__xludf.DUMMYFUNCTION("""COMPUTED_VALUE"""),0.6666666666666666)</f>
        <v>0.6666666667</v>
      </c>
      <c r="W3961" s="4" t="str">
        <f>IFERROR(__xludf.DUMMYFUNCTION("""COMPUTED_VALUE"""),"Cityfoods Ltda")</f>
        <v>Cityfoods Ltda</v>
      </c>
      <c r="X3961" s="33">
        <f>IFERROR(__xludf.DUMMYFUNCTION("""COMPUTED_VALUE"""),0.6666666666666666)</f>
        <v>0.6666666667</v>
      </c>
    </row>
    <row r="3962">
      <c r="K3962" s="4" t="str">
        <f>IFERROR(__xludf.DUMMYFUNCTION("""COMPUTED_VALUE"""),"TRIVIAL DEL CHEF")</f>
        <v>TRIVIAL DEL CHEF</v>
      </c>
      <c r="L3962" s="32">
        <f>IFERROR(__xludf.DUMMYFUNCTION("""COMPUTED_VALUE"""),3.0)</f>
        <v>3</v>
      </c>
      <c r="M3962" s="4" t="str">
        <f>IFERROR(__xludf.DUMMYFUNCTION("""COMPUTED_VALUE"""),"Ncr")</f>
        <v>Ncr</v>
      </c>
      <c r="N3962" s="33">
        <f>IFERROR(__xludf.DUMMYFUNCTION("""COMPUTED_VALUE"""),1.0)</f>
        <v>1</v>
      </c>
      <c r="O3962" s="4" t="str">
        <f>IFERROR(__xludf.DUMMYFUNCTION("""COMPUTED_VALUE"""),"Ncr")</f>
        <v>Ncr</v>
      </c>
      <c r="P3962" s="33">
        <f>IFERROR(__xludf.DUMMYFUNCTION("""COMPUTED_VALUE"""),0.6666666666666666)</f>
        <v>0.6666666667</v>
      </c>
      <c r="Q3962" s="4" t="str">
        <f>IFERROR(__xludf.DUMMYFUNCTION("""COMPUTED_VALUE"""),"Ncr")</f>
        <v>Ncr</v>
      </c>
      <c r="R3962" s="33">
        <f>IFERROR(__xludf.DUMMYFUNCTION("""COMPUTED_VALUE"""),1.0)</f>
        <v>1</v>
      </c>
      <c r="S3962" s="4" t="str">
        <f>IFERROR(__xludf.DUMMYFUNCTION("""COMPUTED_VALUE"""),"Ncr")</f>
        <v>Ncr</v>
      </c>
      <c r="T3962" s="33">
        <f>IFERROR(__xludf.DUMMYFUNCTION("""COMPUTED_VALUE"""),1.0)</f>
        <v>1</v>
      </c>
      <c r="U3962" s="4" t="str">
        <f>IFERROR(__xludf.DUMMYFUNCTION("""COMPUTED_VALUE"""),"Saipos Serviços De Software")</f>
        <v>Saipos Serviços De Software</v>
      </c>
      <c r="V3962" s="33">
        <f>IFERROR(__xludf.DUMMYFUNCTION("""COMPUTED_VALUE"""),0.6666666666666666)</f>
        <v>0.6666666667</v>
      </c>
      <c r="W3962" s="4" t="str">
        <f>IFERROR(__xludf.DUMMYFUNCTION("""COMPUTED_VALUE"""),"Saipos Serviços De Software")</f>
        <v>Saipos Serviços De Software</v>
      </c>
      <c r="X3962" s="33">
        <f>IFERROR(__xludf.DUMMYFUNCTION("""COMPUTED_VALUE"""),0.6666666666666666)</f>
        <v>0.6666666667</v>
      </c>
    </row>
    <row r="3963">
      <c r="K3963" s="4" t="str">
        <f>IFERROR(__xludf.DUMMYFUNCTION("""COMPUTED_VALUE"""),"TUCUNA")</f>
        <v>TUCUNA</v>
      </c>
      <c r="L3963" s="32">
        <f>IFERROR(__xludf.DUMMYFUNCTION("""COMPUTED_VALUE"""),3.0)</f>
        <v>3</v>
      </c>
      <c r="M3963" s="4" t="str">
        <f>IFERROR(__xludf.DUMMYFUNCTION("""COMPUTED_VALUE"""),"Grk Soluções Informatica Eireli")</f>
        <v>Grk Soluções Informatica Eireli</v>
      </c>
      <c r="N3963" s="33">
        <f>IFERROR(__xludf.DUMMYFUNCTION("""COMPUTED_VALUE"""),1.0)</f>
        <v>1</v>
      </c>
      <c r="O3963" s="4" t="str">
        <f>IFERROR(__xludf.DUMMYFUNCTION("""COMPUTED_VALUE"""),"Grk Soluções Informatica Eireli")</f>
        <v>Grk Soluções Informatica Eireli</v>
      </c>
      <c r="P3963" s="33">
        <f>IFERROR(__xludf.DUMMYFUNCTION("""COMPUTED_VALUE"""),1.0)</f>
        <v>1</v>
      </c>
      <c r="Q3963" s="4" t="str">
        <f>IFERROR(__xludf.DUMMYFUNCTION("""COMPUTED_VALUE"""),"Grk Soluções Informatica Eireli")</f>
        <v>Grk Soluções Informatica Eireli</v>
      </c>
      <c r="R3963" s="33">
        <f>IFERROR(__xludf.DUMMYFUNCTION("""COMPUTED_VALUE"""),1.0)</f>
        <v>1</v>
      </c>
      <c r="S3963" s="4" t="str">
        <f>IFERROR(__xludf.DUMMYFUNCTION("""COMPUTED_VALUE"""),"Grk Soluções Informatica Eireli")</f>
        <v>Grk Soluções Informatica Eireli</v>
      </c>
      <c r="T3963" s="33">
        <f>IFERROR(__xludf.DUMMYFUNCTION("""COMPUTED_VALUE"""),1.0)</f>
        <v>1</v>
      </c>
      <c r="U3963" s="4" t="str">
        <f>IFERROR(__xludf.DUMMYFUNCTION("""COMPUTED_VALUE"""),"Grk Soluções Informatica Eireli")</f>
        <v>Grk Soluções Informatica Eireli</v>
      </c>
      <c r="V3963" s="33">
        <f>IFERROR(__xludf.DUMMYFUNCTION("""COMPUTED_VALUE"""),1.0)</f>
        <v>1</v>
      </c>
      <c r="W3963" s="4" t="str">
        <f>IFERROR(__xludf.DUMMYFUNCTION("""COMPUTED_VALUE"""),"Grk Soluções Informatica Eireli")</f>
        <v>Grk Soluções Informatica Eireli</v>
      </c>
      <c r="X3963" s="33">
        <f>IFERROR(__xludf.DUMMYFUNCTION("""COMPUTED_VALUE"""),1.0)</f>
        <v>1</v>
      </c>
    </row>
    <row r="3964">
      <c r="K3964" s="4" t="str">
        <f>IFERROR(__xludf.DUMMYFUNCTION("""COMPUTED_VALUE"""),"TUDO NA BRASA CHURRASCARIA -")</f>
        <v>TUDO NA BRASA CHURRASCARIA -</v>
      </c>
      <c r="L3964" s="32">
        <f>IFERROR(__xludf.DUMMYFUNCTION("""COMPUTED_VALUE"""),3.0)</f>
        <v>3</v>
      </c>
      <c r="M3964" s="4" t="str">
        <f>IFERROR(__xludf.DUMMYFUNCTION("""COMPUTED_VALUE"""),"Totvs Large Enterprise Tecnologia S.a.")</f>
        <v>Totvs Large Enterprise Tecnologia S.a.</v>
      </c>
      <c r="N3964" s="33">
        <f>IFERROR(__xludf.DUMMYFUNCTION("""COMPUTED_VALUE"""),0.6666666666666666)</f>
        <v>0.6666666667</v>
      </c>
      <c r="O3964" s="4" t="str">
        <f>IFERROR(__xludf.DUMMYFUNCTION("""COMPUTED_VALUE"""),"Totvs Large Enterprise Tecnologia S.a.")</f>
        <v>Totvs Large Enterprise Tecnologia S.a.</v>
      </c>
      <c r="P3964" s="33">
        <f>IFERROR(__xludf.DUMMYFUNCTION("""COMPUTED_VALUE"""),0.6666666666666666)</f>
        <v>0.6666666667</v>
      </c>
      <c r="Q3964" s="4" t="str">
        <f>IFERROR(__xludf.DUMMYFUNCTION("""COMPUTED_VALUE"""),"null")</f>
        <v>null</v>
      </c>
      <c r="R3964" s="33">
        <f>IFERROR(__xludf.DUMMYFUNCTION("""COMPUTED_VALUE"""),0.6666666666666666)</f>
        <v>0.6666666667</v>
      </c>
      <c r="S3964" s="4" t="str">
        <f>IFERROR(__xludf.DUMMYFUNCTION("""COMPUTED_VALUE"""),"null")</f>
        <v>null</v>
      </c>
      <c r="T3964" s="33">
        <f>IFERROR(__xludf.DUMMYFUNCTION("""COMPUTED_VALUE"""),1.0)</f>
        <v>1</v>
      </c>
      <c r="U3964" s="4" t="str">
        <f>IFERROR(__xludf.DUMMYFUNCTION("""COMPUTED_VALUE"""),"Totvs Large Enterprise Tecnologia S.a.")</f>
        <v>Totvs Large Enterprise Tecnologia S.a.</v>
      </c>
      <c r="V3964" s="33">
        <f>IFERROR(__xludf.DUMMYFUNCTION("""COMPUTED_VALUE"""),0.6666666666666666)</f>
        <v>0.6666666667</v>
      </c>
      <c r="W3964" s="4" t="str">
        <f>IFERROR(__xludf.DUMMYFUNCTION("""COMPUTED_VALUE"""),"null")</f>
        <v>null</v>
      </c>
      <c r="X3964" s="33">
        <f>IFERROR(__xludf.DUMMYFUNCTION("""COMPUTED_VALUE"""),1.0)</f>
        <v>1</v>
      </c>
    </row>
    <row r="3965">
      <c r="K3965" s="4" t="str">
        <f>IFERROR(__xludf.DUMMYFUNCTION("""COMPUTED_VALUE"""),"TUKKAS RESTAURANTE")</f>
        <v>TUKKAS RESTAURANTE</v>
      </c>
      <c r="L3965" s="32">
        <f>IFERROR(__xludf.DUMMYFUNCTION("""COMPUTED_VALUE"""),3.0)</f>
        <v>3</v>
      </c>
      <c r="M3965" s="4" t="str">
        <f>IFERROR(__xludf.DUMMYFUNCTION("""COMPUTED_VALUE"""),"Saipos Serviços De Software")</f>
        <v>Saipos Serviços De Software</v>
      </c>
      <c r="N3965" s="33">
        <f>IFERROR(__xludf.DUMMYFUNCTION("""COMPUTED_VALUE"""),1.0)</f>
        <v>1</v>
      </c>
      <c r="O3965" s="4" t="str">
        <f>IFERROR(__xludf.DUMMYFUNCTION("""COMPUTED_VALUE"""),"Saipos Serviços De Software")</f>
        <v>Saipos Serviços De Software</v>
      </c>
      <c r="P3965" s="33">
        <f>IFERROR(__xludf.DUMMYFUNCTION("""COMPUTED_VALUE"""),1.0)</f>
        <v>1</v>
      </c>
      <c r="Q3965" s="4" t="str">
        <f>IFERROR(__xludf.DUMMYFUNCTION("""COMPUTED_VALUE"""),"Saipos Serviços De Software")</f>
        <v>Saipos Serviços De Software</v>
      </c>
      <c r="R3965" s="33">
        <f>IFERROR(__xludf.DUMMYFUNCTION("""COMPUTED_VALUE"""),1.0)</f>
        <v>1</v>
      </c>
      <c r="S3965" s="4" t="str">
        <f>IFERROR(__xludf.DUMMYFUNCTION("""COMPUTED_VALUE"""),"Saipos Serviços De Software")</f>
        <v>Saipos Serviços De Software</v>
      </c>
      <c r="T3965" s="33">
        <f>IFERROR(__xludf.DUMMYFUNCTION("""COMPUTED_VALUE"""),1.0)</f>
        <v>1</v>
      </c>
      <c r="U3965" s="4" t="str">
        <f>IFERROR(__xludf.DUMMYFUNCTION("""COMPUTED_VALUE"""),"Saipos Serviços De Software")</f>
        <v>Saipos Serviços De Software</v>
      </c>
      <c r="V3965" s="33">
        <f>IFERROR(__xludf.DUMMYFUNCTION("""COMPUTED_VALUE"""),1.0)</f>
        <v>1</v>
      </c>
      <c r="W3965" s="4" t="str">
        <f>IFERROR(__xludf.DUMMYFUNCTION("""COMPUTED_VALUE"""),"Saipos Serviços De Software")</f>
        <v>Saipos Serviços De Software</v>
      </c>
      <c r="X3965" s="33">
        <f>IFERROR(__xludf.DUMMYFUNCTION("""COMPUTED_VALUE"""),0.6666666666666666)</f>
        <v>0.6666666667</v>
      </c>
    </row>
    <row r="3966">
      <c r="K3966" s="4" t="str">
        <f>IFERROR(__xludf.DUMMYFUNCTION("""COMPUTED_VALUE"""),"TUTTO BUONA PIZZARIA")</f>
        <v>TUTTO BUONA PIZZARIA</v>
      </c>
      <c r="L3966" s="32">
        <f>IFERROR(__xludf.DUMMYFUNCTION("""COMPUTED_VALUE"""),3.0)</f>
        <v>3</v>
      </c>
      <c r="M3966" s="4" t="str">
        <f>IFERROR(__xludf.DUMMYFUNCTION("""COMPUTED_VALUE"""),"Eclética Tecnologia")</f>
        <v>Eclética Tecnologia</v>
      </c>
      <c r="N3966" s="33">
        <f>IFERROR(__xludf.DUMMYFUNCTION("""COMPUTED_VALUE"""),1.0)</f>
        <v>1</v>
      </c>
      <c r="O3966" s="4" t="str">
        <f>IFERROR(__xludf.DUMMYFUNCTION("""COMPUTED_VALUE"""),"Eclética Tecnologia")</f>
        <v>Eclética Tecnologia</v>
      </c>
      <c r="P3966" s="33">
        <f>IFERROR(__xludf.DUMMYFUNCTION("""COMPUTED_VALUE"""),1.0)</f>
        <v>1</v>
      </c>
      <c r="Q3966" s="4" t="str">
        <f>IFERROR(__xludf.DUMMYFUNCTION("""COMPUTED_VALUE"""),"Eclética Tecnologia")</f>
        <v>Eclética Tecnologia</v>
      </c>
      <c r="R3966" s="33">
        <f>IFERROR(__xludf.DUMMYFUNCTION("""COMPUTED_VALUE"""),1.0)</f>
        <v>1</v>
      </c>
      <c r="S3966" s="4" t="str">
        <f>IFERROR(__xludf.DUMMYFUNCTION("""COMPUTED_VALUE"""),"Eclética Tecnologia")</f>
        <v>Eclética Tecnologia</v>
      </c>
      <c r="T3966" s="33">
        <f>IFERROR(__xludf.DUMMYFUNCTION("""COMPUTED_VALUE"""),1.0)</f>
        <v>1</v>
      </c>
      <c r="U3966" s="4" t="str">
        <f>IFERROR(__xludf.DUMMYFUNCTION("""COMPUTED_VALUE"""),"Eclética Tecnologia")</f>
        <v>Eclética Tecnologia</v>
      </c>
      <c r="V3966" s="33">
        <f>IFERROR(__xludf.DUMMYFUNCTION("""COMPUTED_VALUE"""),0.6666666666666666)</f>
        <v>0.6666666667</v>
      </c>
      <c r="W3966" s="4" t="str">
        <f>IFERROR(__xludf.DUMMYFUNCTION("""COMPUTED_VALUE"""),"Eclética Tecnologia")</f>
        <v>Eclética Tecnologia</v>
      </c>
      <c r="X3966" s="33">
        <f>IFERROR(__xludf.DUMMYFUNCTION("""COMPUTED_VALUE"""),1.0)</f>
        <v>1</v>
      </c>
    </row>
    <row r="3967">
      <c r="K3967" s="4" t="str">
        <f>IFERROR(__xludf.DUMMYFUNCTION("""COMPUTED_VALUE"""),"TUZZAS BURGUER")</f>
        <v>TUZZAS BURGUER</v>
      </c>
      <c r="L3967" s="32">
        <f>IFERROR(__xludf.DUMMYFUNCTION("""COMPUTED_VALUE"""),3.0)</f>
        <v>3</v>
      </c>
      <c r="M3967" s="4" t="str">
        <f>IFERROR(__xludf.DUMMYFUNCTION("""COMPUTED_VALUE"""),"Beefood - Sistema Para Restaurantes")</f>
        <v>Beefood - Sistema Para Restaurantes</v>
      </c>
      <c r="N3967" s="33">
        <f>IFERROR(__xludf.DUMMYFUNCTION("""COMPUTED_VALUE"""),1.0)</f>
        <v>1</v>
      </c>
      <c r="O3967" s="4" t="str">
        <f>IFERROR(__xludf.DUMMYFUNCTION("""COMPUTED_VALUE"""),"Beefood - Sistema Para Restaurantes")</f>
        <v>Beefood - Sistema Para Restaurantes</v>
      </c>
      <c r="P3967" s="33">
        <f>IFERROR(__xludf.DUMMYFUNCTION("""COMPUTED_VALUE"""),1.0)</f>
        <v>1</v>
      </c>
      <c r="Q3967" s="4" t="str">
        <f>IFERROR(__xludf.DUMMYFUNCTION("""COMPUTED_VALUE"""),"Beefood - Sistema Para Restaurantes")</f>
        <v>Beefood - Sistema Para Restaurantes</v>
      </c>
      <c r="R3967" s="33">
        <f>IFERROR(__xludf.DUMMYFUNCTION("""COMPUTED_VALUE"""),0.6666666666666666)</f>
        <v>0.6666666667</v>
      </c>
      <c r="S3967" s="4" t="str">
        <f>IFERROR(__xludf.DUMMYFUNCTION("""COMPUTED_VALUE"""),"Beefood - Sistema Para Restaurantes")</f>
        <v>Beefood - Sistema Para Restaurantes</v>
      </c>
      <c r="T3967" s="33">
        <f>IFERROR(__xludf.DUMMYFUNCTION("""COMPUTED_VALUE"""),1.0)</f>
        <v>1</v>
      </c>
      <c r="U3967" s="4" t="str">
        <f>IFERROR(__xludf.DUMMYFUNCTION("""COMPUTED_VALUE"""),"Beefood - Sistema Para Restaurantes")</f>
        <v>Beefood - Sistema Para Restaurantes</v>
      </c>
      <c r="V3967" s="33">
        <f>IFERROR(__xludf.DUMMYFUNCTION("""COMPUTED_VALUE"""),1.0)</f>
        <v>1</v>
      </c>
      <c r="W3967" s="4" t="str">
        <f>IFERROR(__xludf.DUMMYFUNCTION("""COMPUTED_VALUE"""),"Beefood - Sistema Para Restaurantes")</f>
        <v>Beefood - Sistema Para Restaurantes</v>
      </c>
      <c r="X3967" s="33">
        <f>IFERROR(__xludf.DUMMYFUNCTION("""COMPUTED_VALUE"""),1.0)</f>
        <v>1</v>
      </c>
    </row>
    <row r="3968">
      <c r="K3968" s="4" t="str">
        <f>IFERROR(__xludf.DUMMYFUNCTION("""COMPUTED_VALUE"""),"TYLER STEAKHOUSE -")</f>
        <v>TYLER STEAKHOUSE -</v>
      </c>
      <c r="L3968" s="32">
        <f>IFERROR(__xludf.DUMMYFUNCTION("""COMPUTED_VALUE"""),3.0)</f>
        <v>3</v>
      </c>
      <c r="M3968" s="4" t="str">
        <f>IFERROR(__xludf.DUMMYFUNCTION("""COMPUTED_VALUE"""),"Saipos Serviços De Software")</f>
        <v>Saipos Serviços De Software</v>
      </c>
      <c r="N3968" s="33">
        <f>IFERROR(__xludf.DUMMYFUNCTION("""COMPUTED_VALUE"""),1.0)</f>
        <v>1</v>
      </c>
      <c r="O3968" s="4" t="str">
        <f>IFERROR(__xludf.DUMMYFUNCTION("""COMPUTED_VALUE"""),"Saipos Serviços De Software")</f>
        <v>Saipos Serviços De Software</v>
      </c>
      <c r="P3968" s="33">
        <f>IFERROR(__xludf.DUMMYFUNCTION("""COMPUTED_VALUE"""),1.0)</f>
        <v>1</v>
      </c>
      <c r="Q3968" s="4" t="str">
        <f>IFERROR(__xludf.DUMMYFUNCTION("""COMPUTED_VALUE"""),"Saipos Serviços De Software")</f>
        <v>Saipos Serviços De Software</v>
      </c>
      <c r="R3968" s="33">
        <f>IFERROR(__xludf.DUMMYFUNCTION("""COMPUTED_VALUE"""),1.0)</f>
        <v>1</v>
      </c>
      <c r="S3968" s="4" t="str">
        <f>IFERROR(__xludf.DUMMYFUNCTION("""COMPUTED_VALUE"""),"Saipos Serviços De Software")</f>
        <v>Saipos Serviços De Software</v>
      </c>
      <c r="T3968" s="33">
        <f>IFERROR(__xludf.DUMMYFUNCTION("""COMPUTED_VALUE"""),0.6666666666666666)</f>
        <v>0.6666666667</v>
      </c>
      <c r="U3968" s="4" t="str">
        <f>IFERROR(__xludf.DUMMYFUNCTION("""COMPUTED_VALUE"""),"Saipos Serviços De Software")</f>
        <v>Saipos Serviços De Software</v>
      </c>
      <c r="V3968" s="33">
        <f>IFERROR(__xludf.DUMMYFUNCTION("""COMPUTED_VALUE"""),1.0)</f>
        <v>1</v>
      </c>
      <c r="W3968" s="4" t="str">
        <f>IFERROR(__xludf.DUMMYFUNCTION("""COMPUTED_VALUE"""),"Saipos Serviços De Software")</f>
        <v>Saipos Serviços De Software</v>
      </c>
      <c r="X3968" s="33">
        <f>IFERROR(__xludf.DUMMYFUNCTION("""COMPUTED_VALUE"""),1.0)</f>
        <v>1</v>
      </c>
    </row>
    <row r="3969">
      <c r="K3969" s="4" t="str">
        <f>IFERROR(__xludf.DUMMYFUNCTION("""COMPUTED_VALUE"""),"UAU DOGUERIA - CONTA MARCA")</f>
        <v>UAU DOGUERIA - CONTA MARCA</v>
      </c>
      <c r="L3969" s="32">
        <f>IFERROR(__xludf.DUMMYFUNCTION("""COMPUTED_VALUE"""),3.0)</f>
        <v>3</v>
      </c>
      <c r="M3969" s="4" t="str">
        <f>IFERROR(__xludf.DUMMYFUNCTION("""COMPUTED_VALUE"""),"Saipos Serviços De Software")</f>
        <v>Saipos Serviços De Software</v>
      </c>
      <c r="N3969" s="33">
        <f>IFERROR(__xludf.DUMMYFUNCTION("""COMPUTED_VALUE"""),1.0)</f>
        <v>1</v>
      </c>
      <c r="O3969" s="4" t="str">
        <f>IFERROR(__xludf.DUMMYFUNCTION("""COMPUTED_VALUE"""),"Saipos Serviços De Software")</f>
        <v>Saipos Serviços De Software</v>
      </c>
      <c r="P3969" s="33">
        <f>IFERROR(__xludf.DUMMYFUNCTION("""COMPUTED_VALUE"""),1.0)</f>
        <v>1</v>
      </c>
      <c r="Q3969" s="4" t="str">
        <f>IFERROR(__xludf.DUMMYFUNCTION("""COMPUTED_VALUE"""),"Saipos Serviços De Software")</f>
        <v>Saipos Serviços De Software</v>
      </c>
      <c r="R3969" s="33">
        <f>IFERROR(__xludf.DUMMYFUNCTION("""COMPUTED_VALUE"""),1.0)</f>
        <v>1</v>
      </c>
      <c r="S3969" s="4" t="str">
        <f>IFERROR(__xludf.DUMMYFUNCTION("""COMPUTED_VALUE"""),"Saipos Serviços De Software")</f>
        <v>Saipos Serviços De Software</v>
      </c>
      <c r="T3969" s="33">
        <f>IFERROR(__xludf.DUMMYFUNCTION("""COMPUTED_VALUE"""),0.6666666666666666)</f>
        <v>0.6666666667</v>
      </c>
      <c r="U3969" s="4" t="str">
        <f>IFERROR(__xludf.DUMMYFUNCTION("""COMPUTED_VALUE"""),"Saipos Serviços De Software")</f>
        <v>Saipos Serviços De Software</v>
      </c>
      <c r="V3969" s="33">
        <f>IFERROR(__xludf.DUMMYFUNCTION("""COMPUTED_VALUE"""),1.0)</f>
        <v>1</v>
      </c>
      <c r="W3969" s="4" t="str">
        <f>IFERROR(__xludf.DUMMYFUNCTION("""COMPUTED_VALUE"""),"Saipos Serviços De Software")</f>
        <v>Saipos Serviços De Software</v>
      </c>
      <c r="X3969" s="33">
        <f>IFERROR(__xludf.DUMMYFUNCTION("""COMPUTED_VALUE"""),1.0)</f>
        <v>1</v>
      </c>
    </row>
    <row r="3970">
      <c r="K3970" s="4" t="str">
        <f>IFERROR(__xludf.DUMMYFUNCTION("""COMPUTED_VALUE"""),"UGAMI VEGAN FOOD - CONTA MARCA")</f>
        <v>UGAMI VEGAN FOOD - CONTA MARCA</v>
      </c>
      <c r="L3970" s="32">
        <f>IFERROR(__xludf.DUMMYFUNCTION("""COMPUTED_VALUE"""),3.0)</f>
        <v>3</v>
      </c>
      <c r="M3970" s="4" t="str">
        <f>IFERROR(__xludf.DUMMYFUNCTION("""COMPUTED_VALUE"""),"Cardápio Web")</f>
        <v>Cardápio Web</v>
      </c>
      <c r="N3970" s="33">
        <f>IFERROR(__xludf.DUMMYFUNCTION("""COMPUTED_VALUE"""),0.6666666666666666)</f>
        <v>0.6666666667</v>
      </c>
      <c r="O3970" s="4" t="str">
        <f>IFERROR(__xludf.DUMMYFUNCTION("""COMPUTED_VALUE"""),"Cardápio Web")</f>
        <v>Cardápio Web</v>
      </c>
      <c r="P3970" s="33">
        <f>IFERROR(__xludf.DUMMYFUNCTION("""COMPUTED_VALUE"""),1.0)</f>
        <v>1</v>
      </c>
      <c r="Q3970" s="4" t="str">
        <f>IFERROR(__xludf.DUMMYFUNCTION("""COMPUTED_VALUE"""),"Cardápio Web")</f>
        <v>Cardápio Web</v>
      </c>
      <c r="R3970" s="33">
        <f>IFERROR(__xludf.DUMMYFUNCTION("""COMPUTED_VALUE"""),1.0)</f>
        <v>1</v>
      </c>
      <c r="S3970" s="4" t="str">
        <f>IFERROR(__xludf.DUMMYFUNCTION("""COMPUTED_VALUE"""),"Cardápio Web")</f>
        <v>Cardápio Web</v>
      </c>
      <c r="T3970" s="33">
        <f>IFERROR(__xludf.DUMMYFUNCTION("""COMPUTED_VALUE"""),1.0)</f>
        <v>1</v>
      </c>
      <c r="U3970" s="4" t="str">
        <f>IFERROR(__xludf.DUMMYFUNCTION("""COMPUTED_VALUE"""),"Saipos Serviços De Software")</f>
        <v>Saipos Serviços De Software</v>
      </c>
      <c r="V3970" s="33">
        <f>IFERROR(__xludf.DUMMYFUNCTION("""COMPUTED_VALUE"""),1.0)</f>
        <v>1</v>
      </c>
      <c r="W3970" s="4" t="str">
        <f>IFERROR(__xludf.DUMMYFUNCTION("""COMPUTED_VALUE"""),"Saipos Serviços De Software")</f>
        <v>Saipos Serviços De Software</v>
      </c>
      <c r="X3970" s="33">
        <f>IFERROR(__xludf.DUMMYFUNCTION("""COMPUTED_VALUE"""),1.0)</f>
        <v>1</v>
      </c>
    </row>
    <row r="3971">
      <c r="K3971" s="4" t="str">
        <f>IFERROR(__xludf.DUMMYFUNCTION("""COMPUTED_VALUE"""),"ULTRAPOPULAR 03 - MARCA")</f>
        <v>ULTRAPOPULAR 03 - MARCA</v>
      </c>
      <c r="L3971" s="32">
        <f>IFERROR(__xludf.DUMMYFUNCTION("""COMPUTED_VALUE"""),3.0)</f>
        <v>3</v>
      </c>
      <c r="M3971" s="4" t="str">
        <f>IFERROR(__xludf.DUMMYFUNCTION("""COMPUTED_VALUE"""),"N/A (Not found)")</f>
        <v>N/A (Not found)</v>
      </c>
      <c r="N3971" s="33">
        <f>IFERROR(__xludf.DUMMYFUNCTION("""COMPUTED_VALUE"""),1.0)</f>
        <v>1</v>
      </c>
      <c r="O3971" s="4" t="str">
        <f>IFERROR(__xludf.DUMMYFUNCTION("""COMPUTED_VALUE"""),"N/A (Not found)")</f>
        <v>N/A (Not found)</v>
      </c>
      <c r="P3971" s="33">
        <f>IFERROR(__xludf.DUMMYFUNCTION("""COMPUTED_VALUE"""),1.0)</f>
        <v>1</v>
      </c>
      <c r="Q3971" s="4" t="str">
        <f>IFERROR(__xludf.DUMMYFUNCTION("""COMPUTED_VALUE"""),"N/A (Not found)")</f>
        <v>N/A (Not found)</v>
      </c>
      <c r="R3971" s="33">
        <f>IFERROR(__xludf.DUMMYFUNCTION("""COMPUTED_VALUE"""),1.0)</f>
        <v>1</v>
      </c>
      <c r="S3971" s="4" t="str">
        <f>IFERROR(__xludf.DUMMYFUNCTION("""COMPUTED_VALUE"""),"N/A (Not found)")</f>
        <v>N/A (Not found)</v>
      </c>
      <c r="T3971" s="33">
        <f>IFERROR(__xludf.DUMMYFUNCTION("""COMPUTED_VALUE"""),1.0)</f>
        <v>1</v>
      </c>
      <c r="U3971" s="4" t="str">
        <f>IFERROR(__xludf.DUMMYFUNCTION("""COMPUTED_VALUE"""),"N/A (Not found)")</f>
        <v>N/A (Not found)</v>
      </c>
      <c r="V3971" s="33">
        <f>IFERROR(__xludf.DUMMYFUNCTION("""COMPUTED_VALUE"""),1.0)</f>
        <v>1</v>
      </c>
      <c r="W3971" s="4" t="str">
        <f>IFERROR(__xludf.DUMMYFUNCTION("""COMPUTED_VALUE"""),"N/A (Not found)")</f>
        <v>N/A (Not found)</v>
      </c>
      <c r="X3971" s="33">
        <f>IFERROR(__xludf.DUMMYFUNCTION("""COMPUTED_VALUE"""),1.0)</f>
        <v>1</v>
      </c>
    </row>
    <row r="3972">
      <c r="K3972" s="4" t="str">
        <f>IFERROR(__xludf.DUMMYFUNCTION("""COMPUTED_VALUE"""),"ULTRAPOPULAR GRUPO LOBATO E RIBEIRO - CONTA MARCA")</f>
        <v>ULTRAPOPULAR GRUPO LOBATO E RIBEIRO - CONTA MARCA</v>
      </c>
      <c r="L3972" s="32">
        <f>IFERROR(__xludf.DUMMYFUNCTION("""COMPUTED_VALUE"""),3.0)</f>
        <v>3</v>
      </c>
      <c r="M3972" s="4" t="str">
        <f>IFERROR(__xludf.DUMMYFUNCTION("""COMPUTED_VALUE"""),"N/A (Not found)")</f>
        <v>N/A (Not found)</v>
      </c>
      <c r="N3972" s="33">
        <f>IFERROR(__xludf.DUMMYFUNCTION("""COMPUTED_VALUE"""),1.0)</f>
        <v>1</v>
      </c>
      <c r="O3972" s="4" t="str">
        <f>IFERROR(__xludf.DUMMYFUNCTION("""COMPUTED_VALUE"""),"N/A (Not found)")</f>
        <v>N/A (Not found)</v>
      </c>
      <c r="P3972" s="33">
        <f>IFERROR(__xludf.DUMMYFUNCTION("""COMPUTED_VALUE"""),1.0)</f>
        <v>1</v>
      </c>
      <c r="Q3972" s="4" t="str">
        <f>IFERROR(__xludf.DUMMYFUNCTION("""COMPUTED_VALUE"""),"N/A (Not found)")</f>
        <v>N/A (Not found)</v>
      </c>
      <c r="R3972" s="33">
        <f>IFERROR(__xludf.DUMMYFUNCTION("""COMPUTED_VALUE"""),1.0)</f>
        <v>1</v>
      </c>
      <c r="S3972" s="4" t="str">
        <f>IFERROR(__xludf.DUMMYFUNCTION("""COMPUTED_VALUE"""),"N/A (Not found)")</f>
        <v>N/A (Not found)</v>
      </c>
      <c r="T3972" s="33">
        <f>IFERROR(__xludf.DUMMYFUNCTION("""COMPUTED_VALUE"""),1.0)</f>
        <v>1</v>
      </c>
      <c r="U3972" s="4" t="str">
        <f>IFERROR(__xludf.DUMMYFUNCTION("""COMPUTED_VALUE"""),"N/A (Not found)")</f>
        <v>N/A (Not found)</v>
      </c>
      <c r="V3972" s="33">
        <f>IFERROR(__xludf.DUMMYFUNCTION("""COMPUTED_VALUE"""),1.0)</f>
        <v>1</v>
      </c>
      <c r="W3972" s="4" t="str">
        <f>IFERROR(__xludf.DUMMYFUNCTION("""COMPUTED_VALUE"""),"N/A (Not found)")</f>
        <v>N/A (Not found)</v>
      </c>
      <c r="X3972" s="33">
        <f>IFERROR(__xludf.DUMMYFUNCTION("""COMPUTED_VALUE"""),1.0)</f>
        <v>1</v>
      </c>
    </row>
    <row r="3973">
      <c r="K3973" s="4" t="str">
        <f>IFERROR(__xludf.DUMMYFUNCTION("""COMPUTED_VALUE"""),"UMMI SUSHI")</f>
        <v>UMMI SUSHI</v>
      </c>
      <c r="L3973" s="32">
        <f>IFERROR(__xludf.DUMMYFUNCTION("""COMPUTED_VALUE"""),3.0)</f>
        <v>3</v>
      </c>
      <c r="M3973" s="4" t="str">
        <f>IFERROR(__xludf.DUMMYFUNCTION("""COMPUTED_VALUE"""),"Hubster")</f>
        <v>Hubster</v>
      </c>
      <c r="N3973" s="33">
        <f>IFERROR(__xludf.DUMMYFUNCTION("""COMPUTED_VALUE"""),1.0)</f>
        <v>1</v>
      </c>
      <c r="O3973" s="4" t="str">
        <f>IFERROR(__xludf.DUMMYFUNCTION("""COMPUTED_VALUE"""),"Hubster")</f>
        <v>Hubster</v>
      </c>
      <c r="P3973" s="33">
        <f>IFERROR(__xludf.DUMMYFUNCTION("""COMPUTED_VALUE"""),1.0)</f>
        <v>1</v>
      </c>
      <c r="Q3973" s="4" t="str">
        <f>IFERROR(__xludf.DUMMYFUNCTION("""COMPUTED_VALUE"""),"Hubster")</f>
        <v>Hubster</v>
      </c>
      <c r="R3973" s="33">
        <f>IFERROR(__xludf.DUMMYFUNCTION("""COMPUTED_VALUE"""),1.0)</f>
        <v>1</v>
      </c>
      <c r="S3973" s="4" t="str">
        <f>IFERROR(__xludf.DUMMYFUNCTION("""COMPUTED_VALUE"""),"Hubster")</f>
        <v>Hubster</v>
      </c>
      <c r="T3973" s="33">
        <f>IFERROR(__xludf.DUMMYFUNCTION("""COMPUTED_VALUE"""),1.0)</f>
        <v>1</v>
      </c>
      <c r="U3973" s="4" t="str">
        <f>IFERROR(__xludf.DUMMYFUNCTION("""COMPUTED_VALUE"""),"Hubster")</f>
        <v>Hubster</v>
      </c>
      <c r="V3973" s="33">
        <f>IFERROR(__xludf.DUMMYFUNCTION("""COMPUTED_VALUE"""),1.0)</f>
        <v>1</v>
      </c>
      <c r="W3973" s="4" t="str">
        <f>IFERROR(__xludf.DUMMYFUNCTION("""COMPUTED_VALUE"""),"Hubster")</f>
        <v>Hubster</v>
      </c>
      <c r="X3973" s="33">
        <f>IFERROR(__xludf.DUMMYFUNCTION("""COMPUTED_VALUE"""),1.0)</f>
        <v>1</v>
      </c>
    </row>
    <row r="3974">
      <c r="K3974" s="4" t="str">
        <f>IFERROR(__xludf.DUMMYFUNCTION("""COMPUTED_VALUE"""),"UNI POKE")</f>
        <v>UNI POKE</v>
      </c>
      <c r="L3974" s="32">
        <f>IFERROR(__xludf.DUMMYFUNCTION("""COMPUTED_VALUE"""),3.0)</f>
        <v>3</v>
      </c>
      <c r="M3974" s="4" t="str">
        <f>IFERROR(__xludf.DUMMYFUNCTION("""COMPUTED_VALUE"""),"Saipos Serviços De Software")</f>
        <v>Saipos Serviços De Software</v>
      </c>
      <c r="N3974" s="33">
        <f>IFERROR(__xludf.DUMMYFUNCTION("""COMPUTED_VALUE"""),1.0)</f>
        <v>1</v>
      </c>
      <c r="O3974" s="4" t="str">
        <f>IFERROR(__xludf.DUMMYFUNCTION("""COMPUTED_VALUE"""),"Saipos Serviços De Software")</f>
        <v>Saipos Serviços De Software</v>
      </c>
      <c r="P3974" s="33">
        <f>IFERROR(__xludf.DUMMYFUNCTION("""COMPUTED_VALUE"""),1.0)</f>
        <v>1</v>
      </c>
      <c r="Q3974" s="4" t="str">
        <f>IFERROR(__xludf.DUMMYFUNCTION("""COMPUTED_VALUE"""),"Saipos Serviços De Software")</f>
        <v>Saipos Serviços De Software</v>
      </c>
      <c r="R3974" s="33">
        <f>IFERROR(__xludf.DUMMYFUNCTION("""COMPUTED_VALUE"""),1.0)</f>
        <v>1</v>
      </c>
      <c r="S3974" s="4" t="str">
        <f>IFERROR(__xludf.DUMMYFUNCTION("""COMPUTED_VALUE"""),"Saipos Serviços De Software")</f>
        <v>Saipos Serviços De Software</v>
      </c>
      <c r="T3974" s="33">
        <f>IFERROR(__xludf.DUMMYFUNCTION("""COMPUTED_VALUE"""),1.0)</f>
        <v>1</v>
      </c>
      <c r="U3974" s="4" t="str">
        <f>IFERROR(__xludf.DUMMYFUNCTION("""COMPUTED_VALUE"""),"Saipos Serviços De Software")</f>
        <v>Saipos Serviços De Software</v>
      </c>
      <c r="V3974" s="33">
        <f>IFERROR(__xludf.DUMMYFUNCTION("""COMPUTED_VALUE"""),1.0)</f>
        <v>1</v>
      </c>
      <c r="W3974" s="4" t="str">
        <f>IFERROR(__xludf.DUMMYFUNCTION("""COMPUTED_VALUE"""),"Saipos Serviços De Software")</f>
        <v>Saipos Serviços De Software</v>
      </c>
      <c r="X3974" s="33">
        <f>IFERROR(__xludf.DUMMYFUNCTION("""COMPUTED_VALUE"""),1.0)</f>
        <v>1</v>
      </c>
    </row>
    <row r="3975">
      <c r="K3975" s="4" t="str">
        <f>IFERROR(__xludf.DUMMYFUNCTION("""COMPUTED_VALUE"""),"UNIVERSIDADE DA CERVEJA")</f>
        <v>UNIVERSIDADE DA CERVEJA</v>
      </c>
      <c r="L3975" s="32">
        <f>IFERROR(__xludf.DUMMYFUNCTION("""COMPUTED_VALUE"""),3.0)</f>
        <v>3</v>
      </c>
      <c r="M3975" s="4" t="str">
        <f>IFERROR(__xludf.DUMMYFUNCTION("""COMPUTED_VALUE"""),"Saipos Serviços De Software")</f>
        <v>Saipos Serviços De Software</v>
      </c>
      <c r="N3975" s="33">
        <f>IFERROR(__xludf.DUMMYFUNCTION("""COMPUTED_VALUE"""),1.0)</f>
        <v>1</v>
      </c>
      <c r="O3975" s="4" t="str">
        <f>IFERROR(__xludf.DUMMYFUNCTION("""COMPUTED_VALUE"""),"Saipos Serviços De Software")</f>
        <v>Saipos Serviços De Software</v>
      </c>
      <c r="P3975" s="33">
        <f>IFERROR(__xludf.DUMMYFUNCTION("""COMPUTED_VALUE"""),1.0)</f>
        <v>1</v>
      </c>
      <c r="Q3975" s="4" t="str">
        <f>IFERROR(__xludf.DUMMYFUNCTION("""COMPUTED_VALUE"""),"null")</f>
        <v>null</v>
      </c>
      <c r="R3975" s="33">
        <f>IFERROR(__xludf.DUMMYFUNCTION("""COMPUTED_VALUE"""),1.0)</f>
        <v>1</v>
      </c>
      <c r="S3975" s="4" t="str">
        <f>IFERROR(__xludf.DUMMYFUNCTION("""COMPUTED_VALUE"""),"null")</f>
        <v>null</v>
      </c>
      <c r="T3975" s="33">
        <f>IFERROR(__xludf.DUMMYFUNCTION("""COMPUTED_VALUE"""),1.0)</f>
        <v>1</v>
      </c>
      <c r="U3975" s="4" t="str">
        <f>IFERROR(__xludf.DUMMYFUNCTION("""COMPUTED_VALUE"""),"null")</f>
        <v>null</v>
      </c>
      <c r="V3975" s="33">
        <f>IFERROR(__xludf.DUMMYFUNCTION("""COMPUTED_VALUE"""),1.0)</f>
        <v>1</v>
      </c>
      <c r="W3975" s="4" t="str">
        <f>IFERROR(__xludf.DUMMYFUNCTION("""COMPUTED_VALUE"""),"null")</f>
        <v>null</v>
      </c>
      <c r="X3975" s="33">
        <f>IFERROR(__xludf.DUMMYFUNCTION("""COMPUTED_VALUE"""),1.0)</f>
        <v>1</v>
      </c>
    </row>
    <row r="3976">
      <c r="K3976" s="4" t="str">
        <f>IFERROR(__xludf.DUMMYFUNCTION("""COMPUTED_VALUE"""),"VACUNO CARNES - CONTA MARCA")</f>
        <v>VACUNO CARNES - CONTA MARCA</v>
      </c>
      <c r="L3976" s="32">
        <f>IFERROR(__xludf.DUMMYFUNCTION("""COMPUTED_VALUE"""),3.0)</f>
        <v>3</v>
      </c>
      <c r="M3976" s="4" t="str">
        <f>IFERROR(__xludf.DUMMYFUNCTION("""COMPUTED_VALUE"""),"Stone Co.")</f>
        <v>Stone Co.</v>
      </c>
      <c r="N3976" s="33">
        <f>IFERROR(__xludf.DUMMYFUNCTION("""COMPUTED_VALUE"""),1.0)</f>
        <v>1</v>
      </c>
      <c r="O3976" s="4" t="str">
        <f>IFERROR(__xludf.DUMMYFUNCTION("""COMPUTED_VALUE"""),"Stone Co.")</f>
        <v>Stone Co.</v>
      </c>
      <c r="P3976" s="33">
        <f>IFERROR(__xludf.DUMMYFUNCTION("""COMPUTED_VALUE"""),1.0)</f>
        <v>1</v>
      </c>
      <c r="Q3976" s="4" t="str">
        <f>IFERROR(__xludf.DUMMYFUNCTION("""COMPUTED_VALUE"""),"Stone Co.")</f>
        <v>Stone Co.</v>
      </c>
      <c r="R3976" s="33">
        <f>IFERROR(__xludf.DUMMYFUNCTION("""COMPUTED_VALUE"""),1.0)</f>
        <v>1</v>
      </c>
      <c r="S3976" s="4" t="str">
        <f>IFERROR(__xludf.DUMMYFUNCTION("""COMPUTED_VALUE"""),"Stone Co.")</f>
        <v>Stone Co.</v>
      </c>
      <c r="T3976" s="33">
        <f>IFERROR(__xludf.DUMMYFUNCTION("""COMPUTED_VALUE"""),1.0)</f>
        <v>1</v>
      </c>
      <c r="U3976" s="4" t="str">
        <f>IFERROR(__xludf.DUMMYFUNCTION("""COMPUTED_VALUE"""),"Stone Co.")</f>
        <v>Stone Co.</v>
      </c>
      <c r="V3976" s="33">
        <f>IFERROR(__xludf.DUMMYFUNCTION("""COMPUTED_VALUE"""),1.0)</f>
        <v>1</v>
      </c>
      <c r="W3976" s="4" t="str">
        <f>IFERROR(__xludf.DUMMYFUNCTION("""COMPUTED_VALUE"""),"Stone Co.")</f>
        <v>Stone Co.</v>
      </c>
      <c r="X3976" s="33">
        <f>IFERROR(__xludf.DUMMYFUNCTION("""COMPUTED_VALUE"""),1.0)</f>
        <v>1</v>
      </c>
    </row>
    <row r="3977">
      <c r="K3977" s="4" t="str">
        <f>IFERROR(__xludf.DUMMYFUNCTION("""COMPUTED_VALUE"""),"VALENTINS BURGER")</f>
        <v>VALENTINS BURGER</v>
      </c>
      <c r="L3977" s="32">
        <f>IFERROR(__xludf.DUMMYFUNCTION("""COMPUTED_VALUE"""),3.0)</f>
        <v>3</v>
      </c>
      <c r="M3977" s="4" t="str">
        <f>IFERROR(__xludf.DUMMYFUNCTION("""COMPUTED_VALUE"""),"Saipos Serviços De Software")</f>
        <v>Saipos Serviços De Software</v>
      </c>
      <c r="N3977" s="33">
        <f>IFERROR(__xludf.DUMMYFUNCTION("""COMPUTED_VALUE"""),0.6666666666666666)</f>
        <v>0.6666666667</v>
      </c>
      <c r="O3977" s="4" t="str">
        <f>IFERROR(__xludf.DUMMYFUNCTION("""COMPUTED_VALUE"""),"Saipos Serviços De Software")</f>
        <v>Saipos Serviços De Software</v>
      </c>
      <c r="P3977" s="33">
        <f>IFERROR(__xludf.DUMMYFUNCTION("""COMPUTED_VALUE"""),0.6666666666666666)</f>
        <v>0.6666666667</v>
      </c>
      <c r="Q3977" s="4" t="str">
        <f>IFERROR(__xludf.DUMMYFUNCTION("""COMPUTED_VALUE"""),"Saipos Serviços De Software")</f>
        <v>Saipos Serviços De Software</v>
      </c>
      <c r="R3977" s="33">
        <f>IFERROR(__xludf.DUMMYFUNCTION("""COMPUTED_VALUE"""),0.6666666666666666)</f>
        <v>0.6666666667</v>
      </c>
      <c r="S3977" s="4" t="str">
        <f>IFERROR(__xludf.DUMMYFUNCTION("""COMPUTED_VALUE"""),"Saipos Serviços De Software")</f>
        <v>Saipos Serviços De Software</v>
      </c>
      <c r="T3977" s="33">
        <f>IFERROR(__xludf.DUMMYFUNCTION("""COMPUTED_VALUE"""),1.0)</f>
        <v>1</v>
      </c>
      <c r="U3977" s="4" t="str">
        <f>IFERROR(__xludf.DUMMYFUNCTION("""COMPUTED_VALUE"""),"Saipos Serviços De Software")</f>
        <v>Saipos Serviços De Software</v>
      </c>
      <c r="V3977" s="33">
        <f>IFERROR(__xludf.DUMMYFUNCTION("""COMPUTED_VALUE"""),1.0)</f>
        <v>1</v>
      </c>
      <c r="W3977" s="4" t="str">
        <f>IFERROR(__xludf.DUMMYFUNCTION("""COMPUTED_VALUE"""),"Saipos Serviços De Software")</f>
        <v>Saipos Serviços De Software</v>
      </c>
      <c r="X3977" s="33">
        <f>IFERROR(__xludf.DUMMYFUNCTION("""COMPUTED_VALUE"""),1.0)</f>
        <v>1</v>
      </c>
    </row>
    <row r="3978">
      <c r="K3978" s="4" t="str">
        <f>IFERROR(__xludf.DUMMYFUNCTION("""COMPUTED_VALUE"""),"VALHALLA BURGUER")</f>
        <v>VALHALLA BURGUER</v>
      </c>
      <c r="L3978" s="32">
        <f>IFERROR(__xludf.DUMMYFUNCTION("""COMPUTED_VALUE"""),3.0)</f>
        <v>3</v>
      </c>
      <c r="M3978" s="4" t="str">
        <f>IFERROR(__xludf.DUMMYFUNCTION("""COMPUTED_VALUE"""),"Saipos Serviços De Software")</f>
        <v>Saipos Serviços De Software</v>
      </c>
      <c r="N3978" s="33">
        <f>IFERROR(__xludf.DUMMYFUNCTION("""COMPUTED_VALUE"""),1.0)</f>
        <v>1</v>
      </c>
      <c r="O3978" s="4" t="str">
        <f>IFERROR(__xludf.DUMMYFUNCTION("""COMPUTED_VALUE"""),"Saipos Serviços De Software")</f>
        <v>Saipos Serviços De Software</v>
      </c>
      <c r="P3978" s="33">
        <f>IFERROR(__xludf.DUMMYFUNCTION("""COMPUTED_VALUE"""),1.0)</f>
        <v>1</v>
      </c>
      <c r="Q3978" s="4" t="str">
        <f>IFERROR(__xludf.DUMMYFUNCTION("""COMPUTED_VALUE"""),"Saipos Serviços De Software")</f>
        <v>Saipos Serviços De Software</v>
      </c>
      <c r="R3978" s="33">
        <f>IFERROR(__xludf.DUMMYFUNCTION("""COMPUTED_VALUE"""),1.0)</f>
        <v>1</v>
      </c>
      <c r="S3978" s="4" t="str">
        <f>IFERROR(__xludf.DUMMYFUNCTION("""COMPUTED_VALUE"""),"Saipos Serviços De Software")</f>
        <v>Saipos Serviços De Software</v>
      </c>
      <c r="T3978" s="33">
        <f>IFERROR(__xludf.DUMMYFUNCTION("""COMPUTED_VALUE"""),1.0)</f>
        <v>1</v>
      </c>
      <c r="U3978" s="4" t="str">
        <f>IFERROR(__xludf.DUMMYFUNCTION("""COMPUTED_VALUE"""),"Saipos Serviços De Software")</f>
        <v>Saipos Serviços De Software</v>
      </c>
      <c r="V3978" s="33">
        <f>IFERROR(__xludf.DUMMYFUNCTION("""COMPUTED_VALUE"""),1.0)</f>
        <v>1</v>
      </c>
      <c r="W3978" s="4" t="str">
        <f>IFERROR(__xludf.DUMMYFUNCTION("""COMPUTED_VALUE"""),"Saipos Serviços De Software")</f>
        <v>Saipos Serviços De Software</v>
      </c>
      <c r="X3978" s="33">
        <f>IFERROR(__xludf.DUMMYFUNCTION("""COMPUTED_VALUE"""),1.0)</f>
        <v>1</v>
      </c>
    </row>
    <row r="3979">
      <c r="K3979" s="4" t="str">
        <f>IFERROR(__xludf.DUMMYFUNCTION("""COMPUTED_VALUE"""),"VALONG-ENCRUZILHADA - PE")</f>
        <v>VALONG-ENCRUZILHADA - PE</v>
      </c>
      <c r="L3979" s="32">
        <f>IFERROR(__xludf.DUMMYFUNCTION("""COMPUTED_VALUE"""),3.0)</f>
        <v>3</v>
      </c>
      <c r="M3979" s="4" t="str">
        <f>IFERROR(__xludf.DUMMYFUNCTION("""COMPUTED_VALUE"""),"Grsoft")</f>
        <v>Grsoft</v>
      </c>
      <c r="N3979" s="33">
        <f>IFERROR(__xludf.DUMMYFUNCTION("""COMPUTED_VALUE"""),1.0)</f>
        <v>1</v>
      </c>
      <c r="O3979" s="4" t="str">
        <f>IFERROR(__xludf.DUMMYFUNCTION("""COMPUTED_VALUE"""),"Grsoft")</f>
        <v>Grsoft</v>
      </c>
      <c r="P3979" s="33">
        <f>IFERROR(__xludf.DUMMYFUNCTION("""COMPUTED_VALUE"""),1.0)</f>
        <v>1</v>
      </c>
      <c r="Q3979" s="4" t="str">
        <f>IFERROR(__xludf.DUMMYFUNCTION("""COMPUTED_VALUE"""),"Grsoft")</f>
        <v>Grsoft</v>
      </c>
      <c r="R3979" s="33">
        <f>IFERROR(__xludf.DUMMYFUNCTION("""COMPUTED_VALUE"""),1.0)</f>
        <v>1</v>
      </c>
      <c r="S3979" s="4" t="str">
        <f>IFERROR(__xludf.DUMMYFUNCTION("""COMPUTED_VALUE"""),"Grsoft")</f>
        <v>Grsoft</v>
      </c>
      <c r="T3979" s="33">
        <f>IFERROR(__xludf.DUMMYFUNCTION("""COMPUTED_VALUE"""),1.0)</f>
        <v>1</v>
      </c>
      <c r="U3979" s="4" t="str">
        <f>IFERROR(__xludf.DUMMYFUNCTION("""COMPUTED_VALUE"""),"Grsoft")</f>
        <v>Grsoft</v>
      </c>
      <c r="V3979" s="33">
        <f>IFERROR(__xludf.DUMMYFUNCTION("""COMPUTED_VALUE"""),1.0)</f>
        <v>1</v>
      </c>
      <c r="W3979" s="4" t="str">
        <f>IFERROR(__xludf.DUMMYFUNCTION("""COMPUTED_VALUE"""),"Grsoft")</f>
        <v>Grsoft</v>
      </c>
      <c r="X3979" s="33">
        <f>IFERROR(__xludf.DUMMYFUNCTION("""COMPUTED_VALUE"""),1.0)</f>
        <v>1</v>
      </c>
    </row>
    <row r="3980">
      <c r="K3980" s="4" t="str">
        <f>IFERROR(__xludf.DUMMYFUNCTION("""COMPUTED_VALUE"""),"VAMP LANCHES ES")</f>
        <v>VAMP LANCHES ES</v>
      </c>
      <c r="L3980" s="32">
        <f>IFERROR(__xludf.DUMMYFUNCTION("""COMPUTED_VALUE"""),3.0)</f>
        <v>3</v>
      </c>
      <c r="M3980" s="4" t="str">
        <f>IFERROR(__xludf.DUMMYFUNCTION("""COMPUTED_VALUE"""),"Eclética Tecnologia")</f>
        <v>Eclética Tecnologia</v>
      </c>
      <c r="N3980" s="33">
        <f>IFERROR(__xludf.DUMMYFUNCTION("""COMPUTED_VALUE"""),1.0)</f>
        <v>1</v>
      </c>
      <c r="O3980" s="4" t="str">
        <f>IFERROR(__xludf.DUMMYFUNCTION("""COMPUTED_VALUE"""),"Eclética Tecnologia")</f>
        <v>Eclética Tecnologia</v>
      </c>
      <c r="P3980" s="33">
        <f>IFERROR(__xludf.DUMMYFUNCTION("""COMPUTED_VALUE"""),1.0)</f>
        <v>1</v>
      </c>
      <c r="Q3980" s="4" t="str">
        <f>IFERROR(__xludf.DUMMYFUNCTION("""COMPUTED_VALUE"""),"Eclética Tecnologia")</f>
        <v>Eclética Tecnologia</v>
      </c>
      <c r="R3980" s="33">
        <f>IFERROR(__xludf.DUMMYFUNCTION("""COMPUTED_VALUE"""),1.0)</f>
        <v>1</v>
      </c>
      <c r="S3980" s="4" t="str">
        <f>IFERROR(__xludf.DUMMYFUNCTION("""COMPUTED_VALUE"""),"Eclética Tecnologia")</f>
        <v>Eclética Tecnologia</v>
      </c>
      <c r="T3980" s="33">
        <f>IFERROR(__xludf.DUMMYFUNCTION("""COMPUTED_VALUE"""),1.0)</f>
        <v>1</v>
      </c>
      <c r="U3980" s="4" t="str">
        <f>IFERROR(__xludf.DUMMYFUNCTION("""COMPUTED_VALUE"""),"Eclética Tecnologia")</f>
        <v>Eclética Tecnologia</v>
      </c>
      <c r="V3980" s="33">
        <f>IFERROR(__xludf.DUMMYFUNCTION("""COMPUTED_VALUE"""),1.0)</f>
        <v>1</v>
      </c>
      <c r="W3980" s="4" t="str">
        <f>IFERROR(__xludf.DUMMYFUNCTION("""COMPUTED_VALUE"""),"Eclética Tecnologia")</f>
        <v>Eclética Tecnologia</v>
      </c>
      <c r="X3980" s="33">
        <f>IFERROR(__xludf.DUMMYFUNCTION("""COMPUTED_VALUE"""),1.0)</f>
        <v>1</v>
      </c>
    </row>
    <row r="3981">
      <c r="K3981" s="4" t="str">
        <f>IFERROR(__xludf.DUMMYFUNCTION("""COMPUTED_VALUE"""),"VARANDA FILET PARMEGIANA CHIPS - MS")</f>
        <v>VARANDA FILET PARMEGIANA CHIPS - MS</v>
      </c>
      <c r="L3981" s="32">
        <f>IFERROR(__xludf.DUMMYFUNCTION("""COMPUTED_VALUE"""),3.0)</f>
        <v>3</v>
      </c>
      <c r="M3981" s="4" t="str">
        <f>IFERROR(__xludf.DUMMYFUNCTION("""COMPUTED_VALUE"""),"Saipos Serviços De Software")</f>
        <v>Saipos Serviços De Software</v>
      </c>
      <c r="N3981" s="33">
        <f>IFERROR(__xludf.DUMMYFUNCTION("""COMPUTED_VALUE"""),1.0)</f>
        <v>1</v>
      </c>
      <c r="O3981" s="4" t="str">
        <f>IFERROR(__xludf.DUMMYFUNCTION("""COMPUTED_VALUE"""),"Saipos Serviços De Software")</f>
        <v>Saipos Serviços De Software</v>
      </c>
      <c r="P3981" s="33">
        <f>IFERROR(__xludf.DUMMYFUNCTION("""COMPUTED_VALUE"""),1.0)</f>
        <v>1</v>
      </c>
      <c r="Q3981" s="4" t="str">
        <f>IFERROR(__xludf.DUMMYFUNCTION("""COMPUTED_VALUE"""),"Saipos Serviços De Software")</f>
        <v>Saipos Serviços De Software</v>
      </c>
      <c r="R3981" s="33">
        <f>IFERROR(__xludf.DUMMYFUNCTION("""COMPUTED_VALUE"""),1.0)</f>
        <v>1</v>
      </c>
      <c r="S3981" s="4" t="str">
        <f>IFERROR(__xludf.DUMMYFUNCTION("""COMPUTED_VALUE"""),"Saipos Serviços De Software")</f>
        <v>Saipos Serviços De Software</v>
      </c>
      <c r="T3981" s="33">
        <f>IFERROR(__xludf.DUMMYFUNCTION("""COMPUTED_VALUE"""),1.0)</f>
        <v>1</v>
      </c>
      <c r="U3981" s="4" t="str">
        <f>IFERROR(__xludf.DUMMYFUNCTION("""COMPUTED_VALUE"""),"Saipos Serviços De Software")</f>
        <v>Saipos Serviços De Software</v>
      </c>
      <c r="V3981" s="33">
        <f>IFERROR(__xludf.DUMMYFUNCTION("""COMPUTED_VALUE"""),1.0)</f>
        <v>1</v>
      </c>
      <c r="W3981" s="4" t="str">
        <f>IFERROR(__xludf.DUMMYFUNCTION("""COMPUTED_VALUE"""),"Saipos Serviços De Software")</f>
        <v>Saipos Serviços De Software</v>
      </c>
      <c r="X3981" s="33">
        <f>IFERROR(__xludf.DUMMYFUNCTION("""COMPUTED_VALUE"""),1.0)</f>
        <v>1</v>
      </c>
    </row>
    <row r="3982">
      <c r="K3982" s="4" t="str">
        <f>IFERROR(__xludf.DUMMYFUNCTION("""COMPUTED_VALUE"""),"VELHO BURGER")</f>
        <v>VELHO BURGER</v>
      </c>
      <c r="L3982" s="32">
        <f>IFERROR(__xludf.DUMMYFUNCTION("""COMPUTED_VALUE"""),3.0)</f>
        <v>3</v>
      </c>
      <c r="M3982" s="4" t="str">
        <f>IFERROR(__xludf.DUMMYFUNCTION("""COMPUTED_VALUE"""),"Cheff Solutions Tecnologia Brasil")</f>
        <v>Cheff Solutions Tecnologia Brasil</v>
      </c>
      <c r="N3982" s="33">
        <f>IFERROR(__xludf.DUMMYFUNCTION("""COMPUTED_VALUE"""),0.6666666666666666)</f>
        <v>0.6666666667</v>
      </c>
      <c r="O3982" s="4" t="str">
        <f>IFERROR(__xludf.DUMMYFUNCTION("""COMPUTED_VALUE"""),"Cheff Solutions Tecnologia Brasil")</f>
        <v>Cheff Solutions Tecnologia Brasil</v>
      </c>
      <c r="P3982" s="33">
        <f>IFERROR(__xludf.DUMMYFUNCTION("""COMPUTED_VALUE"""),0.6666666666666666)</f>
        <v>0.6666666667</v>
      </c>
      <c r="Q3982" s="4" t="str">
        <f>IFERROR(__xludf.DUMMYFUNCTION("""COMPUTED_VALUE"""),"Cheff Solutions Tecnologia Brasil")</f>
        <v>Cheff Solutions Tecnologia Brasil</v>
      </c>
      <c r="R3982" s="33">
        <f>IFERROR(__xludf.DUMMYFUNCTION("""COMPUTED_VALUE"""),0.6666666666666666)</f>
        <v>0.6666666667</v>
      </c>
      <c r="S3982" s="4" t="str">
        <f>IFERROR(__xludf.DUMMYFUNCTION("""COMPUTED_VALUE"""),"Cheff Solutions Tecnologia Brasil")</f>
        <v>Cheff Solutions Tecnologia Brasil</v>
      </c>
      <c r="T3982" s="33">
        <f>IFERROR(__xludf.DUMMYFUNCTION("""COMPUTED_VALUE"""),0.6666666666666666)</f>
        <v>0.6666666667</v>
      </c>
      <c r="U3982" s="4" t="str">
        <f>IFERROR(__xludf.DUMMYFUNCTION("""COMPUTED_VALUE"""),"Cheff Solutions Tecnologia Brasil")</f>
        <v>Cheff Solutions Tecnologia Brasil</v>
      </c>
      <c r="V3982" s="33">
        <f>IFERROR(__xludf.DUMMYFUNCTION("""COMPUTED_VALUE"""),0.6666666666666666)</f>
        <v>0.6666666667</v>
      </c>
      <c r="W3982" s="4" t="str">
        <f>IFERROR(__xludf.DUMMYFUNCTION("""COMPUTED_VALUE"""),"Cheff Solutions Tecnologia Brasil")</f>
        <v>Cheff Solutions Tecnologia Brasil</v>
      </c>
      <c r="X3982" s="33">
        <f>IFERROR(__xludf.DUMMYFUNCTION("""COMPUTED_VALUE"""),0.6666666666666666)</f>
        <v>0.6666666667</v>
      </c>
    </row>
    <row r="3983">
      <c r="K3983" s="4" t="str">
        <f>IFERROR(__xludf.DUMMYFUNCTION("""COMPUTED_VALUE"""),"VENTANA STEAK PASTA BURGER")</f>
        <v>VENTANA STEAK PASTA BURGER</v>
      </c>
      <c r="L3983" s="32">
        <f>IFERROR(__xludf.DUMMYFUNCTION("""COMPUTED_VALUE"""),3.0)</f>
        <v>3</v>
      </c>
      <c r="M3983" s="4" t="str">
        <f>IFERROR(__xludf.DUMMYFUNCTION("""COMPUTED_VALUE"""),"Saipos Serviços De Software")</f>
        <v>Saipos Serviços De Software</v>
      </c>
      <c r="N3983" s="33">
        <f>IFERROR(__xludf.DUMMYFUNCTION("""COMPUTED_VALUE"""),1.0)</f>
        <v>1</v>
      </c>
      <c r="O3983" s="4" t="str">
        <f>IFERROR(__xludf.DUMMYFUNCTION("""COMPUTED_VALUE"""),"Saipos Serviços De Software")</f>
        <v>Saipos Serviços De Software</v>
      </c>
      <c r="P3983" s="33">
        <f>IFERROR(__xludf.DUMMYFUNCTION("""COMPUTED_VALUE"""),1.0)</f>
        <v>1</v>
      </c>
      <c r="Q3983" s="4" t="str">
        <f>IFERROR(__xludf.DUMMYFUNCTION("""COMPUTED_VALUE"""),"Saipos Serviços De Software")</f>
        <v>Saipos Serviços De Software</v>
      </c>
      <c r="R3983" s="33">
        <f>IFERROR(__xludf.DUMMYFUNCTION("""COMPUTED_VALUE"""),1.0)</f>
        <v>1</v>
      </c>
      <c r="S3983" s="4" t="str">
        <f>IFERROR(__xludf.DUMMYFUNCTION("""COMPUTED_VALUE"""),"Saipos Serviços De Software")</f>
        <v>Saipos Serviços De Software</v>
      </c>
      <c r="T3983" s="33">
        <f>IFERROR(__xludf.DUMMYFUNCTION("""COMPUTED_VALUE"""),1.0)</f>
        <v>1</v>
      </c>
      <c r="U3983" s="4" t="str">
        <f>IFERROR(__xludf.DUMMYFUNCTION("""COMPUTED_VALUE"""),"Saipos Serviços De Software")</f>
        <v>Saipos Serviços De Software</v>
      </c>
      <c r="V3983" s="33">
        <f>IFERROR(__xludf.DUMMYFUNCTION("""COMPUTED_VALUE"""),1.0)</f>
        <v>1</v>
      </c>
      <c r="W3983" s="4" t="str">
        <f>IFERROR(__xludf.DUMMYFUNCTION("""COMPUTED_VALUE"""),"Saipos Serviços De Software")</f>
        <v>Saipos Serviços De Software</v>
      </c>
      <c r="X3983" s="33">
        <f>IFERROR(__xludf.DUMMYFUNCTION("""COMPUTED_VALUE"""),1.0)</f>
        <v>1</v>
      </c>
    </row>
    <row r="3984">
      <c r="K3984" s="4" t="str">
        <f>IFERROR(__xludf.DUMMYFUNCTION("""COMPUTED_VALUE"""),"VERIDIANA PIZZARIA")</f>
        <v>VERIDIANA PIZZARIA</v>
      </c>
      <c r="L3984" s="32">
        <f>IFERROR(__xludf.DUMMYFUNCTION("""COMPUTED_VALUE"""),3.0)</f>
        <v>3</v>
      </c>
      <c r="M3984" s="4" t="str">
        <f>IFERROR(__xludf.DUMMYFUNCTION("""COMPUTED_VALUE"""),"Food Plus")</f>
        <v>Food Plus</v>
      </c>
      <c r="N3984" s="33">
        <f>IFERROR(__xludf.DUMMYFUNCTION("""COMPUTED_VALUE"""),1.0)</f>
        <v>1</v>
      </c>
      <c r="O3984" s="4" t="str">
        <f>IFERROR(__xludf.DUMMYFUNCTION("""COMPUTED_VALUE"""),"null")</f>
        <v>null</v>
      </c>
      <c r="P3984" s="33">
        <f>IFERROR(__xludf.DUMMYFUNCTION("""COMPUTED_VALUE"""),1.0)</f>
        <v>1</v>
      </c>
      <c r="Q3984" s="4" t="str">
        <f>IFERROR(__xludf.DUMMYFUNCTION("""COMPUTED_VALUE"""),"null")</f>
        <v>null</v>
      </c>
      <c r="R3984" s="33">
        <f>IFERROR(__xludf.DUMMYFUNCTION("""COMPUTED_VALUE"""),1.0)</f>
        <v>1</v>
      </c>
      <c r="S3984" s="4" t="str">
        <f>IFERROR(__xludf.DUMMYFUNCTION("""COMPUTED_VALUE"""),"null")</f>
        <v>null</v>
      </c>
      <c r="T3984" s="33">
        <f>IFERROR(__xludf.DUMMYFUNCTION("""COMPUTED_VALUE"""),1.0)</f>
        <v>1</v>
      </c>
      <c r="U3984" s="4" t="str">
        <f>IFERROR(__xludf.DUMMYFUNCTION("""COMPUTED_VALUE"""),"null")</f>
        <v>null</v>
      </c>
      <c r="V3984" s="33">
        <f>IFERROR(__xludf.DUMMYFUNCTION("""COMPUTED_VALUE"""),1.0)</f>
        <v>1</v>
      </c>
      <c r="W3984" s="4" t="str">
        <f>IFERROR(__xludf.DUMMYFUNCTION("""COMPUTED_VALUE"""),"null")</f>
        <v>null</v>
      </c>
      <c r="X3984" s="33">
        <f>IFERROR(__xludf.DUMMYFUNCTION("""COMPUTED_VALUE"""),1.0)</f>
        <v>1</v>
      </c>
    </row>
    <row r="3985">
      <c r="K3985" s="4" t="str">
        <f>IFERROR(__xludf.DUMMYFUNCTION("""COMPUTED_VALUE"""),"VERONA")</f>
        <v>VERONA</v>
      </c>
      <c r="L3985" s="32">
        <f>IFERROR(__xludf.DUMMYFUNCTION("""COMPUTED_VALUE"""),3.0)</f>
        <v>3</v>
      </c>
      <c r="M3985" s="4" t="str">
        <f>IFERROR(__xludf.DUMMYFUNCTION("""COMPUTED_VALUE"""),"Saipos Serviços De Software")</f>
        <v>Saipos Serviços De Software</v>
      </c>
      <c r="N3985" s="33">
        <f>IFERROR(__xludf.DUMMYFUNCTION("""COMPUTED_VALUE"""),1.0)</f>
        <v>1</v>
      </c>
      <c r="O3985" s="4" t="str">
        <f>IFERROR(__xludf.DUMMYFUNCTION("""COMPUTED_VALUE"""),"Saipos Serviços De Software")</f>
        <v>Saipos Serviços De Software</v>
      </c>
      <c r="P3985" s="33">
        <f>IFERROR(__xludf.DUMMYFUNCTION("""COMPUTED_VALUE"""),1.0)</f>
        <v>1</v>
      </c>
      <c r="Q3985" s="4" t="str">
        <f>IFERROR(__xludf.DUMMYFUNCTION("""COMPUTED_VALUE"""),"Saipos Serviços De Software")</f>
        <v>Saipos Serviços De Software</v>
      </c>
      <c r="R3985" s="33">
        <f>IFERROR(__xludf.DUMMYFUNCTION("""COMPUTED_VALUE"""),1.0)</f>
        <v>1</v>
      </c>
      <c r="S3985" s="4" t="str">
        <f>IFERROR(__xludf.DUMMYFUNCTION("""COMPUTED_VALUE"""),"Saipos Serviços De Software")</f>
        <v>Saipos Serviços De Software</v>
      </c>
      <c r="T3985" s="33">
        <f>IFERROR(__xludf.DUMMYFUNCTION("""COMPUTED_VALUE"""),1.0)</f>
        <v>1</v>
      </c>
      <c r="U3985" s="4" t="str">
        <f>IFERROR(__xludf.DUMMYFUNCTION("""COMPUTED_VALUE"""),"Saipos Serviços De Software")</f>
        <v>Saipos Serviços De Software</v>
      </c>
      <c r="V3985" s="33">
        <f>IFERROR(__xludf.DUMMYFUNCTION("""COMPUTED_VALUE"""),1.0)</f>
        <v>1</v>
      </c>
      <c r="W3985" s="4" t="str">
        <f>IFERROR(__xludf.DUMMYFUNCTION("""COMPUTED_VALUE"""),"Saipos Serviços De Software")</f>
        <v>Saipos Serviços De Software</v>
      </c>
      <c r="X3985" s="33">
        <f>IFERROR(__xludf.DUMMYFUNCTION("""COMPUTED_VALUE"""),1.0)</f>
        <v>1</v>
      </c>
    </row>
    <row r="3986">
      <c r="K3986" s="4" t="str">
        <f>IFERROR(__xludf.DUMMYFUNCTION("""COMPUTED_VALUE"""),"VERONA SUPERMERCADOS - CONTA PAI")</f>
        <v>VERONA SUPERMERCADOS - CONTA PAI</v>
      </c>
      <c r="L3986" s="32">
        <f>IFERROR(__xludf.DUMMYFUNCTION("""COMPUTED_VALUE"""),3.0)</f>
        <v>3</v>
      </c>
      <c r="M3986" s="4" t="str">
        <f>IFERROR(__xludf.DUMMYFUNCTION("""COMPUTED_VALUE"""),"N/A (Not found)")</f>
        <v>N/A (Not found)</v>
      </c>
      <c r="N3986" s="33">
        <f>IFERROR(__xludf.DUMMYFUNCTION("""COMPUTED_VALUE"""),1.0)</f>
        <v>1</v>
      </c>
      <c r="O3986" s="4" t="str">
        <f>IFERROR(__xludf.DUMMYFUNCTION("""COMPUTED_VALUE"""),"N/A (Not found)")</f>
        <v>N/A (Not found)</v>
      </c>
      <c r="P3986" s="33">
        <f>IFERROR(__xludf.DUMMYFUNCTION("""COMPUTED_VALUE"""),1.0)</f>
        <v>1</v>
      </c>
      <c r="Q3986" s="4" t="str">
        <f>IFERROR(__xludf.DUMMYFUNCTION("""COMPUTED_VALUE"""),"N/A (Not found)")</f>
        <v>N/A (Not found)</v>
      </c>
      <c r="R3986" s="33">
        <f>IFERROR(__xludf.DUMMYFUNCTION("""COMPUTED_VALUE"""),1.0)</f>
        <v>1</v>
      </c>
      <c r="S3986" s="4" t="str">
        <f>IFERROR(__xludf.DUMMYFUNCTION("""COMPUTED_VALUE"""),"N/A (Not found)")</f>
        <v>N/A (Not found)</v>
      </c>
      <c r="T3986" s="33">
        <f>IFERROR(__xludf.DUMMYFUNCTION("""COMPUTED_VALUE"""),0.6666666666666666)</f>
        <v>0.6666666667</v>
      </c>
      <c r="U3986" s="4" t="str">
        <f>IFERROR(__xludf.DUMMYFUNCTION("""COMPUTED_VALUE"""),"N/A (Not found)")</f>
        <v>N/A (Not found)</v>
      </c>
      <c r="V3986" s="33">
        <f>IFERROR(__xludf.DUMMYFUNCTION("""COMPUTED_VALUE"""),0.6666666666666666)</f>
        <v>0.6666666667</v>
      </c>
      <c r="W3986" s="4" t="str">
        <f>IFERROR(__xludf.DUMMYFUNCTION("""COMPUTED_VALUE"""),"N/A (Not found)")</f>
        <v>N/A (Not found)</v>
      </c>
      <c r="X3986" s="33">
        <f>IFERROR(__xludf.DUMMYFUNCTION("""COMPUTED_VALUE"""),0.6666666666666666)</f>
        <v>0.6666666667</v>
      </c>
    </row>
    <row r="3987">
      <c r="K3987" s="4" t="str">
        <f>IFERROR(__xludf.DUMMYFUNCTION("""COMPUTED_VALUE"""),"VIA REGIONAL")</f>
        <v>VIA REGIONAL</v>
      </c>
      <c r="L3987" s="32">
        <f>IFERROR(__xludf.DUMMYFUNCTION("""COMPUTED_VALUE"""),3.0)</f>
        <v>3</v>
      </c>
      <c r="M3987" s="4" t="str">
        <f>IFERROR(__xludf.DUMMYFUNCTION("""COMPUTED_VALUE"""),"Menew - Linx")</f>
        <v>Menew - Linx</v>
      </c>
      <c r="N3987" s="33">
        <f>IFERROR(__xludf.DUMMYFUNCTION("""COMPUTED_VALUE"""),1.0)</f>
        <v>1</v>
      </c>
      <c r="O3987" s="4" t="str">
        <f>IFERROR(__xludf.DUMMYFUNCTION("""COMPUTED_VALUE"""),"Menew - Linx")</f>
        <v>Menew - Linx</v>
      </c>
      <c r="P3987" s="33">
        <f>IFERROR(__xludf.DUMMYFUNCTION("""COMPUTED_VALUE"""),1.0)</f>
        <v>1</v>
      </c>
      <c r="Q3987" s="4" t="str">
        <f>IFERROR(__xludf.DUMMYFUNCTION("""COMPUTED_VALUE"""),"Menew - Linx")</f>
        <v>Menew - Linx</v>
      </c>
      <c r="R3987" s="33">
        <f>IFERROR(__xludf.DUMMYFUNCTION("""COMPUTED_VALUE"""),1.0)</f>
        <v>1</v>
      </c>
      <c r="S3987" s="4" t="str">
        <f>IFERROR(__xludf.DUMMYFUNCTION("""COMPUTED_VALUE"""),"Menew - Linx")</f>
        <v>Menew - Linx</v>
      </c>
      <c r="T3987" s="33">
        <f>IFERROR(__xludf.DUMMYFUNCTION("""COMPUTED_VALUE"""),1.0)</f>
        <v>1</v>
      </c>
      <c r="U3987" s="4" t="str">
        <f>IFERROR(__xludf.DUMMYFUNCTION("""COMPUTED_VALUE"""),"Menew - Linx")</f>
        <v>Menew - Linx</v>
      </c>
      <c r="V3987" s="33">
        <f>IFERROR(__xludf.DUMMYFUNCTION("""COMPUTED_VALUE"""),1.0)</f>
        <v>1</v>
      </c>
      <c r="W3987" s="4" t="str">
        <f>IFERROR(__xludf.DUMMYFUNCTION("""COMPUTED_VALUE"""),"Menew - Linx")</f>
        <v>Menew - Linx</v>
      </c>
      <c r="X3987" s="33">
        <f>IFERROR(__xludf.DUMMYFUNCTION("""COMPUTED_VALUE"""),1.0)</f>
        <v>1</v>
      </c>
    </row>
    <row r="3988">
      <c r="K3988" s="4" t="str">
        <f>IFERROR(__xludf.DUMMYFUNCTION("""COMPUTED_VALUE"""),"VIKINGS STEAK SANDWICHES")</f>
        <v>VIKINGS STEAK SANDWICHES</v>
      </c>
      <c r="L3988" s="32">
        <f>IFERROR(__xludf.DUMMYFUNCTION("""COMPUTED_VALUE"""),3.0)</f>
        <v>3</v>
      </c>
      <c r="M3988" s="4" t="str">
        <f>IFERROR(__xludf.DUMMYFUNCTION("""COMPUTED_VALUE"""),"Jaxtech")</f>
        <v>Jaxtech</v>
      </c>
      <c r="N3988" s="33">
        <f>IFERROR(__xludf.DUMMYFUNCTION("""COMPUTED_VALUE"""),0.6666666666666666)</f>
        <v>0.6666666667</v>
      </c>
      <c r="O3988" s="4" t="str">
        <f>IFERROR(__xludf.DUMMYFUNCTION("""COMPUTED_VALUE"""),"null")</f>
        <v>null</v>
      </c>
      <c r="P3988" s="33">
        <f>IFERROR(__xludf.DUMMYFUNCTION("""COMPUTED_VALUE"""),0.3333333333333333)</f>
        <v>0.3333333333</v>
      </c>
      <c r="Q3988" s="4" t="str">
        <f>IFERROR(__xludf.DUMMYFUNCTION("""COMPUTED_VALUE"""),"Saipos Serviços De Software")</f>
        <v>Saipos Serviços De Software</v>
      </c>
      <c r="R3988" s="33">
        <f>IFERROR(__xludf.DUMMYFUNCTION("""COMPUTED_VALUE"""),1.0)</f>
        <v>1</v>
      </c>
      <c r="S3988" s="4" t="str">
        <f>IFERROR(__xludf.DUMMYFUNCTION("""COMPUTED_VALUE"""),"Saipos Serviços De Software")</f>
        <v>Saipos Serviços De Software</v>
      </c>
      <c r="T3988" s="33">
        <f>IFERROR(__xludf.DUMMYFUNCTION("""COMPUTED_VALUE"""),1.0)</f>
        <v>1</v>
      </c>
      <c r="U3988" s="4" t="str">
        <f>IFERROR(__xludf.DUMMYFUNCTION("""COMPUTED_VALUE"""),"Saipos Serviços De Software")</f>
        <v>Saipos Serviços De Software</v>
      </c>
      <c r="V3988" s="33">
        <f>IFERROR(__xludf.DUMMYFUNCTION("""COMPUTED_VALUE"""),0.6666666666666666)</f>
        <v>0.6666666667</v>
      </c>
      <c r="W3988" s="4" t="str">
        <f>IFERROR(__xludf.DUMMYFUNCTION("""COMPUTED_VALUE"""),"null")</f>
        <v>null</v>
      </c>
      <c r="X3988" s="33">
        <f>IFERROR(__xludf.DUMMYFUNCTION("""COMPUTED_VALUE"""),0.6666666666666666)</f>
        <v>0.6666666667</v>
      </c>
    </row>
    <row r="3989">
      <c r="K3989" s="4" t="str">
        <f>IFERROR(__xludf.DUMMYFUNCTION("""COMPUTED_VALUE"""),"VILA UNIVERSITARIA")</f>
        <v>VILA UNIVERSITARIA</v>
      </c>
      <c r="L3989" s="32">
        <f>IFERROR(__xludf.DUMMYFUNCTION("""COMPUTED_VALUE"""),3.0)</f>
        <v>3</v>
      </c>
      <c r="M3989" s="4" t="str">
        <f>IFERROR(__xludf.DUMMYFUNCTION("""COMPUTED_VALUE"""),"Ncr")</f>
        <v>Ncr</v>
      </c>
      <c r="N3989" s="33">
        <f>IFERROR(__xludf.DUMMYFUNCTION("""COMPUTED_VALUE"""),1.0)</f>
        <v>1</v>
      </c>
      <c r="O3989" s="4" t="str">
        <f>IFERROR(__xludf.DUMMYFUNCTION("""COMPUTED_VALUE"""),"Ncr")</f>
        <v>Ncr</v>
      </c>
      <c r="P3989" s="33">
        <f>IFERROR(__xludf.DUMMYFUNCTION("""COMPUTED_VALUE"""),1.0)</f>
        <v>1</v>
      </c>
      <c r="Q3989" s="4" t="str">
        <f>IFERROR(__xludf.DUMMYFUNCTION("""COMPUTED_VALUE"""),"Ncr")</f>
        <v>Ncr</v>
      </c>
      <c r="R3989" s="33">
        <f>IFERROR(__xludf.DUMMYFUNCTION("""COMPUTED_VALUE"""),1.0)</f>
        <v>1</v>
      </c>
      <c r="S3989" s="4" t="str">
        <f>IFERROR(__xludf.DUMMYFUNCTION("""COMPUTED_VALUE"""),"Ncr")</f>
        <v>Ncr</v>
      </c>
      <c r="T3989" s="33">
        <f>IFERROR(__xludf.DUMMYFUNCTION("""COMPUTED_VALUE"""),0.6666666666666666)</f>
        <v>0.6666666667</v>
      </c>
      <c r="U3989" s="4" t="str">
        <f>IFERROR(__xludf.DUMMYFUNCTION("""COMPUTED_VALUE"""),"Ncr")</f>
        <v>Ncr</v>
      </c>
      <c r="V3989" s="33">
        <f>IFERROR(__xludf.DUMMYFUNCTION("""COMPUTED_VALUE"""),0.6666666666666666)</f>
        <v>0.6666666667</v>
      </c>
      <c r="W3989" s="4" t="str">
        <f>IFERROR(__xludf.DUMMYFUNCTION("""COMPUTED_VALUE"""),"Ncr")</f>
        <v>Ncr</v>
      </c>
      <c r="X3989" s="33">
        <f>IFERROR(__xludf.DUMMYFUNCTION("""COMPUTED_VALUE"""),1.0)</f>
        <v>1</v>
      </c>
    </row>
    <row r="3990">
      <c r="K3990" s="4" t="str">
        <f>IFERROR(__xludf.DUMMYFUNCTION("""COMPUTED_VALUE"""),"VILA UNIVERSITARIA PE")</f>
        <v>VILA UNIVERSITARIA PE</v>
      </c>
      <c r="L3990" s="32">
        <f>IFERROR(__xludf.DUMMYFUNCTION("""COMPUTED_VALUE"""),3.0)</f>
        <v>3</v>
      </c>
      <c r="M3990" s="4" t="str">
        <f>IFERROR(__xludf.DUMMYFUNCTION("""COMPUTED_VALUE"""),"Ncr")</f>
        <v>Ncr</v>
      </c>
      <c r="N3990" s="33">
        <f>IFERROR(__xludf.DUMMYFUNCTION("""COMPUTED_VALUE"""),1.0)</f>
        <v>1</v>
      </c>
      <c r="O3990" s="4" t="str">
        <f>IFERROR(__xludf.DUMMYFUNCTION("""COMPUTED_VALUE"""),"Ncr")</f>
        <v>Ncr</v>
      </c>
      <c r="P3990" s="33">
        <f>IFERROR(__xludf.DUMMYFUNCTION("""COMPUTED_VALUE"""),1.0)</f>
        <v>1</v>
      </c>
      <c r="Q3990" s="4" t="str">
        <f>IFERROR(__xludf.DUMMYFUNCTION("""COMPUTED_VALUE"""),"Ncr")</f>
        <v>Ncr</v>
      </c>
      <c r="R3990" s="33">
        <f>IFERROR(__xludf.DUMMYFUNCTION("""COMPUTED_VALUE"""),1.0)</f>
        <v>1</v>
      </c>
      <c r="S3990" s="4" t="str">
        <f>IFERROR(__xludf.DUMMYFUNCTION("""COMPUTED_VALUE"""),"Ncr")</f>
        <v>Ncr</v>
      </c>
      <c r="T3990" s="33">
        <f>IFERROR(__xludf.DUMMYFUNCTION("""COMPUTED_VALUE"""),0.6666666666666666)</f>
        <v>0.6666666667</v>
      </c>
      <c r="U3990" s="4" t="str">
        <f>IFERROR(__xludf.DUMMYFUNCTION("""COMPUTED_VALUE"""),"Ncr")</f>
        <v>Ncr</v>
      </c>
      <c r="V3990" s="33">
        <f>IFERROR(__xludf.DUMMYFUNCTION("""COMPUTED_VALUE"""),0.6666666666666666)</f>
        <v>0.6666666667</v>
      </c>
      <c r="W3990" s="4" t="str">
        <f>IFERROR(__xludf.DUMMYFUNCTION("""COMPUTED_VALUE"""),"Ncr")</f>
        <v>Ncr</v>
      </c>
      <c r="X3990" s="33">
        <f>IFERROR(__xludf.DUMMYFUNCTION("""COMPUTED_VALUE"""),1.0)</f>
        <v>1</v>
      </c>
    </row>
    <row r="3991">
      <c r="K3991" s="4" t="str">
        <f>IFERROR(__xludf.DUMMYFUNCTION("""COMPUTED_VALUE"""),"VILLARE PIZZARIA SANTO ANDRE - CONTA PAI")</f>
        <v>VILLARE PIZZARIA SANTO ANDRE - CONTA PAI</v>
      </c>
      <c r="L3991" s="32">
        <f>IFERROR(__xludf.DUMMYFUNCTION("""COMPUTED_VALUE"""),3.0)</f>
        <v>3</v>
      </c>
      <c r="M3991" s="4" t="str">
        <f>IFERROR(__xludf.DUMMYFUNCTION("""COMPUTED_VALUE"""),"Saipos Serviços De Software")</f>
        <v>Saipos Serviços De Software</v>
      </c>
      <c r="N3991" s="33">
        <f>IFERROR(__xludf.DUMMYFUNCTION("""COMPUTED_VALUE"""),1.0)</f>
        <v>1</v>
      </c>
      <c r="O3991" s="4" t="str">
        <f>IFERROR(__xludf.DUMMYFUNCTION("""COMPUTED_VALUE"""),"Saipos Serviços De Software")</f>
        <v>Saipos Serviços De Software</v>
      </c>
      <c r="P3991" s="33">
        <f>IFERROR(__xludf.DUMMYFUNCTION("""COMPUTED_VALUE"""),1.0)</f>
        <v>1</v>
      </c>
      <c r="Q3991" s="4" t="str">
        <f>IFERROR(__xludf.DUMMYFUNCTION("""COMPUTED_VALUE"""),"Saipos Serviços De Software")</f>
        <v>Saipos Serviços De Software</v>
      </c>
      <c r="R3991" s="33">
        <f>IFERROR(__xludf.DUMMYFUNCTION("""COMPUTED_VALUE"""),1.0)</f>
        <v>1</v>
      </c>
      <c r="S3991" s="4" t="str">
        <f>IFERROR(__xludf.DUMMYFUNCTION("""COMPUTED_VALUE"""),"Saipos Serviços De Software")</f>
        <v>Saipos Serviços De Software</v>
      </c>
      <c r="T3991" s="33">
        <f>IFERROR(__xludf.DUMMYFUNCTION("""COMPUTED_VALUE"""),1.0)</f>
        <v>1</v>
      </c>
      <c r="U3991" s="4" t="str">
        <f>IFERROR(__xludf.DUMMYFUNCTION("""COMPUTED_VALUE"""),"Saipos Serviços De Software")</f>
        <v>Saipos Serviços De Software</v>
      </c>
      <c r="V3991" s="33">
        <f>IFERROR(__xludf.DUMMYFUNCTION("""COMPUTED_VALUE"""),1.0)</f>
        <v>1</v>
      </c>
      <c r="W3991" s="4" t="str">
        <f>IFERROR(__xludf.DUMMYFUNCTION("""COMPUTED_VALUE"""),"Saipos Serviços De Software")</f>
        <v>Saipos Serviços De Software</v>
      </c>
      <c r="X3991" s="33">
        <f>IFERROR(__xludf.DUMMYFUNCTION("""COMPUTED_VALUE"""),1.0)</f>
        <v>1</v>
      </c>
    </row>
    <row r="3992">
      <c r="K3992" s="4">
        <f>IFERROR(__xludf.DUMMYFUNCTION("""COMPUTED_VALUE"""),0.0)</f>
        <v>0</v>
      </c>
      <c r="L3992" s="32">
        <f>IFERROR(__xludf.DUMMYFUNCTION("""COMPUTED_VALUE"""),2.0)</f>
        <v>2</v>
      </c>
      <c r="M3992" s="4" t="str">
        <f>IFERROR(__xludf.DUMMYFUNCTION("""COMPUTED_VALUE"""),"Yooga")</f>
        <v>Yooga</v>
      </c>
      <c r="N3992" s="33">
        <f>IFERROR(__xludf.DUMMYFUNCTION("""COMPUTED_VALUE"""),0.5)</f>
        <v>0.5</v>
      </c>
      <c r="O3992" s="4" t="str">
        <f>IFERROR(__xludf.DUMMYFUNCTION("""COMPUTED_VALUE"""),"Yooga")</f>
        <v>Yooga</v>
      </c>
      <c r="P3992" s="33">
        <f>IFERROR(__xludf.DUMMYFUNCTION("""COMPUTED_VALUE"""),0.5)</f>
        <v>0.5</v>
      </c>
      <c r="Q3992" s="4" t="str">
        <f>IFERROR(__xludf.DUMMYFUNCTION("""COMPUTED_VALUE"""),"null")</f>
        <v>null</v>
      </c>
      <c r="R3992" s="33">
        <f>IFERROR(__xludf.DUMMYFUNCTION("""COMPUTED_VALUE"""),1.0)</f>
        <v>1</v>
      </c>
      <c r="S3992" s="4" t="str">
        <f>IFERROR(__xludf.DUMMYFUNCTION("""COMPUTED_VALUE"""),"null")</f>
        <v>null</v>
      </c>
      <c r="T3992" s="33">
        <f>IFERROR(__xludf.DUMMYFUNCTION("""COMPUTED_VALUE"""),1.0)</f>
        <v>1</v>
      </c>
      <c r="U3992" s="4" t="str">
        <f>IFERROR(__xludf.DUMMYFUNCTION("""COMPUTED_VALUE"""),"null")</f>
        <v>null</v>
      </c>
      <c r="V3992" s="33">
        <f>IFERROR(__xludf.DUMMYFUNCTION("""COMPUTED_VALUE"""),1.0)</f>
        <v>1</v>
      </c>
      <c r="W3992" s="4" t="str">
        <f>IFERROR(__xludf.DUMMYFUNCTION("""COMPUTED_VALUE"""),"null")</f>
        <v>null</v>
      </c>
      <c r="X3992" s="33">
        <f>IFERROR(__xludf.DUMMYFUNCTION("""COMPUTED_VALUE"""),1.0)</f>
        <v>1</v>
      </c>
    </row>
    <row r="3993">
      <c r="K3993" s="4" t="str">
        <f>IFERROR(__xludf.DUMMYFUNCTION("""COMPUTED_VALUE"""),"O PIZZAIOLO")</f>
        <v>O PIZZAIOLO</v>
      </c>
      <c r="L3993" s="32">
        <f>IFERROR(__xludf.DUMMYFUNCTION("""COMPUTED_VALUE"""),2.0)</f>
        <v>2</v>
      </c>
      <c r="M3993" s="4" t="str">
        <f>IFERROR(__xludf.DUMMYFUNCTION("""COMPUTED_VALUE"""),"Lasertech Sistemas Ltda Me")</f>
        <v>Lasertech Sistemas Ltda Me</v>
      </c>
      <c r="N3993" s="33">
        <f>IFERROR(__xludf.DUMMYFUNCTION("""COMPUTED_VALUE"""),0.5)</f>
        <v>0.5</v>
      </c>
      <c r="O3993" s="4" t="str">
        <f>IFERROR(__xludf.DUMMYFUNCTION("""COMPUTED_VALUE"""),"Lasertech Sistemas Ltda Me")</f>
        <v>Lasertech Sistemas Ltda Me</v>
      </c>
      <c r="P3993" s="33">
        <f>IFERROR(__xludf.DUMMYFUNCTION("""COMPUTED_VALUE"""),0.5)</f>
        <v>0.5</v>
      </c>
      <c r="Q3993" s="4" t="str">
        <f>IFERROR(__xludf.DUMMYFUNCTION("""COMPUTED_VALUE"""),"Lasertech Sistemas Ltda Me")</f>
        <v>Lasertech Sistemas Ltda Me</v>
      </c>
      <c r="R3993" s="33">
        <f>IFERROR(__xludf.DUMMYFUNCTION("""COMPUTED_VALUE"""),0.5)</f>
        <v>0.5</v>
      </c>
      <c r="S3993" s="4" t="str">
        <f>IFERROR(__xludf.DUMMYFUNCTION("""COMPUTED_VALUE"""),"Lasertech Sistemas Ltda Me")</f>
        <v>Lasertech Sistemas Ltda Me</v>
      </c>
      <c r="T3993" s="33">
        <f>IFERROR(__xludf.DUMMYFUNCTION("""COMPUTED_VALUE"""),0.5)</f>
        <v>0.5</v>
      </c>
      <c r="U3993" s="4" t="str">
        <f>IFERROR(__xludf.DUMMYFUNCTION("""COMPUTED_VALUE"""),"Lasertech Sistemas Ltda Me")</f>
        <v>Lasertech Sistemas Ltda Me</v>
      </c>
      <c r="V3993" s="33">
        <f>IFERROR(__xludf.DUMMYFUNCTION("""COMPUTED_VALUE"""),0.5)</f>
        <v>0.5</v>
      </c>
      <c r="W3993" s="4" t="str">
        <f>IFERROR(__xludf.DUMMYFUNCTION("""COMPUTED_VALUE"""),"Lasertech Sistemas Ltda Me")</f>
        <v>Lasertech Sistemas Ltda Me</v>
      </c>
      <c r="X3993" s="33">
        <f>IFERROR(__xludf.DUMMYFUNCTION("""COMPUTED_VALUE"""),0.5)</f>
        <v>0.5</v>
      </c>
    </row>
    <row r="3994">
      <c r="K3994" s="4" t="str">
        <f>IFERROR(__xludf.DUMMYFUNCTION("""COMPUTED_VALUE"""),"BOULEVARD ESFIHARIA E PIZZARIA")</f>
        <v>BOULEVARD ESFIHARIA E PIZZARIA</v>
      </c>
      <c r="L3994" s="32">
        <f>IFERROR(__xludf.DUMMYFUNCTION("""COMPUTED_VALUE"""),2.0)</f>
        <v>2</v>
      </c>
      <c r="M3994" s="4" t="str">
        <f>IFERROR(__xludf.DUMMYFUNCTION("""COMPUTED_VALUE"""),"Totvs Large Enterprise Tecnologia S.a.")</f>
        <v>Totvs Large Enterprise Tecnologia S.a.</v>
      </c>
      <c r="N3994" s="33">
        <f>IFERROR(__xludf.DUMMYFUNCTION("""COMPUTED_VALUE"""),0.5)</f>
        <v>0.5</v>
      </c>
      <c r="O3994" s="4" t="str">
        <f>IFERROR(__xludf.DUMMYFUNCTION("""COMPUTED_VALUE"""),"Totvs Large Enterprise Tecnologia S.a.")</f>
        <v>Totvs Large Enterprise Tecnologia S.a.</v>
      </c>
      <c r="P3994" s="33">
        <f>IFERROR(__xludf.DUMMYFUNCTION("""COMPUTED_VALUE"""),0.5)</f>
        <v>0.5</v>
      </c>
      <c r="Q3994" s="4" t="str">
        <f>IFERROR(__xludf.DUMMYFUNCTION("""COMPUTED_VALUE"""),"null")</f>
        <v>null</v>
      </c>
      <c r="R3994" s="33">
        <f>IFERROR(__xludf.DUMMYFUNCTION("""COMPUTED_VALUE"""),1.0)</f>
        <v>1</v>
      </c>
      <c r="S3994" s="4" t="str">
        <f>IFERROR(__xludf.DUMMYFUNCTION("""COMPUTED_VALUE"""),"null")</f>
        <v>null</v>
      </c>
      <c r="T3994" s="33">
        <f>IFERROR(__xludf.DUMMYFUNCTION("""COMPUTED_VALUE"""),0.5)</f>
        <v>0.5</v>
      </c>
      <c r="U3994" s="4" t="str">
        <f>IFERROR(__xludf.DUMMYFUNCTION("""COMPUTED_VALUE"""),"null")</f>
        <v>null</v>
      </c>
      <c r="V3994" s="33">
        <f>IFERROR(__xludf.DUMMYFUNCTION("""COMPUTED_VALUE"""),0.5)</f>
        <v>0.5</v>
      </c>
      <c r="W3994" s="4" t="str">
        <f>IFERROR(__xludf.DUMMYFUNCTION("""COMPUTED_VALUE"""),"Totvs Large Enterprise Tecnologia S.a.")</f>
        <v>Totvs Large Enterprise Tecnologia S.a.</v>
      </c>
      <c r="X3994" s="33">
        <f>IFERROR(__xludf.DUMMYFUNCTION("""COMPUTED_VALUE"""),0.5)</f>
        <v>0.5</v>
      </c>
    </row>
    <row r="3995">
      <c r="K3995" s="4" t="str">
        <f>IFERROR(__xludf.DUMMYFUNCTION("""COMPUTED_VALUE"""),"MANIA SALGADOS")</f>
        <v>MANIA SALGADOS</v>
      </c>
      <c r="L3995" s="32">
        <f>IFERROR(__xludf.DUMMYFUNCTION("""COMPUTED_VALUE"""),2.0)</f>
        <v>2</v>
      </c>
      <c r="M3995" s="4" t="str">
        <f>IFERROR(__xludf.DUMMYFUNCTION("""COMPUTED_VALUE"""),"Anota Ai Solucoes Digitais S/a")</f>
        <v>Anota Ai Solucoes Digitais S/a</v>
      </c>
      <c r="N3995" s="33">
        <f>IFERROR(__xludf.DUMMYFUNCTION("""COMPUTED_VALUE"""),0.5)</f>
        <v>0.5</v>
      </c>
      <c r="O3995" s="4" t="str">
        <f>IFERROR(__xludf.DUMMYFUNCTION("""COMPUTED_VALUE"""),"Anota Ai Solucoes Digitais S/a")</f>
        <v>Anota Ai Solucoes Digitais S/a</v>
      </c>
      <c r="P3995" s="33">
        <f>IFERROR(__xludf.DUMMYFUNCTION("""COMPUTED_VALUE"""),0.5)</f>
        <v>0.5</v>
      </c>
      <c r="Q3995" s="4" t="str">
        <f>IFERROR(__xludf.DUMMYFUNCTION("""COMPUTED_VALUE"""),"Anota Ai Solucoes Digitais S/a")</f>
        <v>Anota Ai Solucoes Digitais S/a</v>
      </c>
      <c r="R3995" s="33">
        <f>IFERROR(__xludf.DUMMYFUNCTION("""COMPUTED_VALUE"""),0.5)</f>
        <v>0.5</v>
      </c>
      <c r="S3995" s="4" t="str">
        <f>IFERROR(__xludf.DUMMYFUNCTION("""COMPUTED_VALUE"""),"Instadelivery")</f>
        <v>Instadelivery</v>
      </c>
      <c r="T3995" s="33">
        <f>IFERROR(__xludf.DUMMYFUNCTION("""COMPUTED_VALUE"""),0.5)</f>
        <v>0.5</v>
      </c>
      <c r="U3995" s="4" t="str">
        <f>IFERROR(__xludf.DUMMYFUNCTION("""COMPUTED_VALUE"""),"Anota Ai Solucoes Digitais S/a")</f>
        <v>Anota Ai Solucoes Digitais S/a</v>
      </c>
      <c r="V3995" s="33">
        <f>IFERROR(__xludf.DUMMYFUNCTION("""COMPUTED_VALUE"""),0.5)</f>
        <v>0.5</v>
      </c>
      <c r="W3995" s="4" t="str">
        <f>IFERROR(__xludf.DUMMYFUNCTION("""COMPUTED_VALUE"""),"Anota Ai Solucoes Digitais S/a")</f>
        <v>Anota Ai Solucoes Digitais S/a</v>
      </c>
      <c r="X3995" s="33">
        <f>IFERROR(__xludf.DUMMYFUNCTION("""COMPUTED_VALUE"""),0.5)</f>
        <v>0.5</v>
      </c>
    </row>
    <row r="3996">
      <c r="K3996" s="4" t="str">
        <f>IFERROR(__xludf.DUMMYFUNCTION("""COMPUTED_VALUE"""),"PIZZARIA - SUPER PIZZA CASTANHAL")</f>
        <v>PIZZARIA - SUPER PIZZA CASTANHAL</v>
      </c>
      <c r="L3996" s="32">
        <f>IFERROR(__xludf.DUMMYFUNCTION("""COMPUTED_VALUE"""),2.0)</f>
        <v>2</v>
      </c>
      <c r="M3996" s="4" t="str">
        <f>IFERROR(__xludf.DUMMYFUNCTION("""COMPUTED_VALUE"""),"Cardápio Web")</f>
        <v>Cardápio Web</v>
      </c>
      <c r="N3996" s="33">
        <f>IFERROR(__xludf.DUMMYFUNCTION("""COMPUTED_VALUE"""),1.0)</f>
        <v>1</v>
      </c>
      <c r="O3996" s="4" t="str">
        <f>IFERROR(__xludf.DUMMYFUNCTION("""COMPUTED_VALUE"""),"Cardápio Web")</f>
        <v>Cardápio Web</v>
      </c>
      <c r="P3996" s="33">
        <f>IFERROR(__xludf.DUMMYFUNCTION("""COMPUTED_VALUE"""),1.0)</f>
        <v>1</v>
      </c>
      <c r="Q3996" s="4" t="str">
        <f>IFERROR(__xludf.DUMMYFUNCTION("""COMPUTED_VALUE"""),"Cardápio Web")</f>
        <v>Cardápio Web</v>
      </c>
      <c r="R3996" s="33">
        <f>IFERROR(__xludf.DUMMYFUNCTION("""COMPUTED_VALUE"""),1.0)</f>
        <v>1</v>
      </c>
      <c r="S3996" s="4" t="str">
        <f>IFERROR(__xludf.DUMMYFUNCTION("""COMPUTED_VALUE"""),"Cardápio Web")</f>
        <v>Cardápio Web</v>
      </c>
      <c r="T3996" s="33">
        <f>IFERROR(__xludf.DUMMYFUNCTION("""COMPUTED_VALUE"""),1.0)</f>
        <v>1</v>
      </c>
      <c r="U3996" s="4" t="str">
        <f>IFERROR(__xludf.DUMMYFUNCTION("""COMPUTED_VALUE"""),"Cardápio Web")</f>
        <v>Cardápio Web</v>
      </c>
      <c r="V3996" s="33">
        <f>IFERROR(__xludf.DUMMYFUNCTION("""COMPUTED_VALUE"""),1.0)</f>
        <v>1</v>
      </c>
      <c r="W3996" s="4" t="str">
        <f>IFERROR(__xludf.DUMMYFUNCTION("""COMPUTED_VALUE"""),"Cardápio Web")</f>
        <v>Cardápio Web</v>
      </c>
      <c r="X3996" s="33">
        <f>IFERROR(__xludf.DUMMYFUNCTION("""COMPUTED_VALUE"""),1.0)</f>
        <v>1</v>
      </c>
    </row>
    <row r="3997">
      <c r="K3997" s="4" t="str">
        <f>IFERROR(__xludf.DUMMYFUNCTION("""COMPUTED_VALUE"""),"ALABAMA DELIVERY")</f>
        <v>ALABAMA DELIVERY</v>
      </c>
      <c r="L3997" s="32">
        <f>IFERROR(__xludf.DUMMYFUNCTION("""COMPUTED_VALUE"""),2.0)</f>
        <v>2</v>
      </c>
      <c r="M3997" s="4" t="str">
        <f>IFERROR(__xludf.DUMMYFUNCTION("""COMPUTED_VALUE"""),"Consumer Soluções Em Tecnologia Ltda")</f>
        <v>Consumer Soluções Em Tecnologia Ltda</v>
      </c>
      <c r="N3997" s="33">
        <f>IFERROR(__xludf.DUMMYFUNCTION("""COMPUTED_VALUE"""),0.5)</f>
        <v>0.5</v>
      </c>
      <c r="O3997" s="4" t="str">
        <f>IFERROR(__xludf.DUMMYFUNCTION("""COMPUTED_VALUE"""),"null")</f>
        <v>null</v>
      </c>
      <c r="P3997" s="33">
        <f>IFERROR(__xludf.DUMMYFUNCTION("""COMPUTED_VALUE"""),1.0)</f>
        <v>1</v>
      </c>
      <c r="Q3997" s="4" t="str">
        <f>IFERROR(__xludf.DUMMYFUNCTION("""COMPUTED_VALUE"""),"null")</f>
        <v>null</v>
      </c>
      <c r="R3997" s="33">
        <f>IFERROR(__xludf.DUMMYFUNCTION("""COMPUTED_VALUE"""),1.0)</f>
        <v>1</v>
      </c>
      <c r="S3997" s="4" t="str">
        <f>IFERROR(__xludf.DUMMYFUNCTION("""COMPUTED_VALUE"""),"Consumer Soluções Em Tecnologia Ltda")</f>
        <v>Consumer Soluções Em Tecnologia Ltda</v>
      </c>
      <c r="T3997" s="33">
        <f>IFERROR(__xludf.DUMMYFUNCTION("""COMPUTED_VALUE"""),0.5)</f>
        <v>0.5</v>
      </c>
      <c r="U3997" s="4" t="str">
        <f>IFERROR(__xludf.DUMMYFUNCTION("""COMPUTED_VALUE"""),"Consumer Soluções Em Tecnologia Ltda")</f>
        <v>Consumer Soluções Em Tecnologia Ltda</v>
      </c>
      <c r="V3997" s="33">
        <f>IFERROR(__xludf.DUMMYFUNCTION("""COMPUTED_VALUE"""),0.5)</f>
        <v>0.5</v>
      </c>
      <c r="W3997" s="4" t="str">
        <f>IFERROR(__xludf.DUMMYFUNCTION("""COMPUTED_VALUE"""),"Consumer Soluções Em Tecnologia Ltda")</f>
        <v>Consumer Soluções Em Tecnologia Ltda</v>
      </c>
      <c r="X3997" s="33">
        <f>IFERROR(__xludf.DUMMYFUNCTION("""COMPUTED_VALUE"""),0.5)</f>
        <v>0.5</v>
      </c>
    </row>
    <row r="3998">
      <c r="K3998" s="4" t="str">
        <f>IFERROR(__xludf.DUMMYFUNCTION("""COMPUTED_VALUE"""),"SR PEIXE")</f>
        <v>SR PEIXE</v>
      </c>
      <c r="L3998" s="32">
        <f>IFERROR(__xludf.DUMMYFUNCTION("""COMPUTED_VALUE"""),2.0)</f>
        <v>2</v>
      </c>
      <c r="M3998" s="4" t="str">
        <f>IFERROR(__xludf.DUMMYFUNCTION("""COMPUTED_VALUE"""),"Saipos Serviços De Software")</f>
        <v>Saipos Serviços De Software</v>
      </c>
      <c r="N3998" s="33">
        <f>IFERROR(__xludf.DUMMYFUNCTION("""COMPUTED_VALUE"""),1.0)</f>
        <v>1</v>
      </c>
      <c r="O3998" s="4" t="str">
        <f>IFERROR(__xludf.DUMMYFUNCTION("""COMPUTED_VALUE"""),"Saipos Serviços De Software")</f>
        <v>Saipos Serviços De Software</v>
      </c>
      <c r="P3998" s="33">
        <f>IFERROR(__xludf.DUMMYFUNCTION("""COMPUTED_VALUE"""),1.0)</f>
        <v>1</v>
      </c>
      <c r="Q3998" s="4" t="str">
        <f>IFERROR(__xludf.DUMMYFUNCTION("""COMPUTED_VALUE"""),"Saipos Serviços De Software")</f>
        <v>Saipos Serviços De Software</v>
      </c>
      <c r="R3998" s="33">
        <f>IFERROR(__xludf.DUMMYFUNCTION("""COMPUTED_VALUE"""),1.0)</f>
        <v>1</v>
      </c>
      <c r="S3998" s="4" t="str">
        <f>IFERROR(__xludf.DUMMYFUNCTION("""COMPUTED_VALUE"""),"Saipos Serviços De Software")</f>
        <v>Saipos Serviços De Software</v>
      </c>
      <c r="T3998" s="33">
        <f>IFERROR(__xludf.DUMMYFUNCTION("""COMPUTED_VALUE"""),1.0)</f>
        <v>1</v>
      </c>
      <c r="U3998" s="4" t="str">
        <f>IFERROR(__xludf.DUMMYFUNCTION("""COMPUTED_VALUE"""),"Saipos Serviços De Software")</f>
        <v>Saipos Serviços De Software</v>
      </c>
      <c r="V3998" s="33">
        <f>IFERROR(__xludf.DUMMYFUNCTION("""COMPUTED_VALUE"""),1.0)</f>
        <v>1</v>
      </c>
      <c r="W3998" s="4" t="str">
        <f>IFERROR(__xludf.DUMMYFUNCTION("""COMPUTED_VALUE"""),"Saipos Serviços De Software")</f>
        <v>Saipos Serviços De Software</v>
      </c>
      <c r="X3998" s="33">
        <f>IFERROR(__xludf.DUMMYFUNCTION("""COMPUTED_VALUE"""),1.0)</f>
        <v>1</v>
      </c>
    </row>
    <row r="3999">
      <c r="K3999" s="4" t="str">
        <f>IFERROR(__xludf.DUMMYFUNCTION("""COMPUTED_VALUE"""),"PIZZAI")</f>
        <v>PIZZAI</v>
      </c>
      <c r="L3999" s="32">
        <f>IFERROR(__xludf.DUMMYFUNCTION("""COMPUTED_VALUE"""),2.0)</f>
        <v>2</v>
      </c>
      <c r="M3999" s="4" t="str">
        <f>IFERROR(__xludf.DUMMYFUNCTION("""COMPUTED_VALUE"""),"Cardápio Web")</f>
        <v>Cardápio Web</v>
      </c>
      <c r="N3999" s="33">
        <f>IFERROR(__xludf.DUMMYFUNCTION("""COMPUTED_VALUE"""),1.0)</f>
        <v>1</v>
      </c>
      <c r="O3999" s="4" t="str">
        <f>IFERROR(__xludf.DUMMYFUNCTION("""COMPUTED_VALUE"""),"Cardápio Web")</f>
        <v>Cardápio Web</v>
      </c>
      <c r="P3999" s="33">
        <f>IFERROR(__xludf.DUMMYFUNCTION("""COMPUTED_VALUE"""),1.0)</f>
        <v>1</v>
      </c>
      <c r="Q3999" s="4" t="str">
        <f>IFERROR(__xludf.DUMMYFUNCTION("""COMPUTED_VALUE"""),"Cardápio Web")</f>
        <v>Cardápio Web</v>
      </c>
      <c r="R3999" s="33">
        <f>IFERROR(__xludf.DUMMYFUNCTION("""COMPUTED_VALUE"""),1.0)</f>
        <v>1</v>
      </c>
      <c r="S3999" s="4" t="str">
        <f>IFERROR(__xludf.DUMMYFUNCTION("""COMPUTED_VALUE"""),"Cardápio Web")</f>
        <v>Cardápio Web</v>
      </c>
      <c r="T3999" s="33">
        <f>IFERROR(__xludf.DUMMYFUNCTION("""COMPUTED_VALUE"""),1.0)</f>
        <v>1</v>
      </c>
      <c r="U3999" s="4" t="str">
        <f>IFERROR(__xludf.DUMMYFUNCTION("""COMPUTED_VALUE"""),"Cardápio Web")</f>
        <v>Cardápio Web</v>
      </c>
      <c r="V3999" s="33">
        <f>IFERROR(__xludf.DUMMYFUNCTION("""COMPUTED_VALUE"""),1.0)</f>
        <v>1</v>
      </c>
      <c r="W3999" s="4" t="str">
        <f>IFERROR(__xludf.DUMMYFUNCTION("""COMPUTED_VALUE"""),"Cardápio Web")</f>
        <v>Cardápio Web</v>
      </c>
      <c r="X3999" s="33">
        <f>IFERROR(__xludf.DUMMYFUNCTION("""COMPUTED_VALUE"""),1.0)</f>
        <v>1</v>
      </c>
    </row>
    <row r="4000">
      <c r="K4000" s="4" t="str">
        <f>IFERROR(__xludf.DUMMYFUNCTION("""COMPUTED_VALUE"""),"RESTAURANTE SABOR MARANHENSE")</f>
        <v>RESTAURANTE SABOR MARANHENSE</v>
      </c>
      <c r="L4000" s="32">
        <f>IFERROR(__xludf.DUMMYFUNCTION("""COMPUTED_VALUE"""),2.0)</f>
        <v>2</v>
      </c>
      <c r="M4000" s="4" t="str">
        <f>IFERROR(__xludf.DUMMYFUNCTION("""COMPUTED_VALUE"""),"Yooga")</f>
        <v>Yooga</v>
      </c>
      <c r="N4000" s="33">
        <f>IFERROR(__xludf.DUMMYFUNCTION("""COMPUTED_VALUE"""),0.5)</f>
        <v>0.5</v>
      </c>
      <c r="O4000" s="4" t="str">
        <f>IFERROR(__xludf.DUMMYFUNCTION("""COMPUTED_VALUE"""),"Yooga")</f>
        <v>Yooga</v>
      </c>
      <c r="P4000" s="33">
        <f>IFERROR(__xludf.DUMMYFUNCTION("""COMPUTED_VALUE"""),0.5)</f>
        <v>0.5</v>
      </c>
      <c r="Q4000" s="4" t="str">
        <f>IFERROR(__xludf.DUMMYFUNCTION("""COMPUTED_VALUE"""),"Yooga")</f>
        <v>Yooga</v>
      </c>
      <c r="R4000" s="33">
        <f>IFERROR(__xludf.DUMMYFUNCTION("""COMPUTED_VALUE"""),0.5)</f>
        <v>0.5</v>
      </c>
      <c r="S4000" s="4" t="str">
        <f>IFERROR(__xludf.DUMMYFUNCTION("""COMPUTED_VALUE"""),"Yooga")</f>
        <v>Yooga</v>
      </c>
      <c r="T4000" s="33">
        <f>IFERROR(__xludf.DUMMYFUNCTION("""COMPUTED_VALUE"""),0.5)</f>
        <v>0.5</v>
      </c>
      <c r="U4000" s="4" t="str">
        <f>IFERROR(__xludf.DUMMYFUNCTION("""COMPUTED_VALUE"""),"Yooga")</f>
        <v>Yooga</v>
      </c>
      <c r="V4000" s="33">
        <f>IFERROR(__xludf.DUMMYFUNCTION("""COMPUTED_VALUE"""),0.5)</f>
        <v>0.5</v>
      </c>
      <c r="W4000" s="4" t="str">
        <f>IFERROR(__xludf.DUMMYFUNCTION("""COMPUTED_VALUE"""),"Yooga")</f>
        <v>Yooga</v>
      </c>
      <c r="X4000" s="33">
        <f>IFERROR(__xludf.DUMMYFUNCTION("""COMPUTED_VALUE"""),0.5)</f>
        <v>0.5</v>
      </c>
    </row>
    <row r="4001">
      <c r="K4001" s="4" t="str">
        <f>IFERROR(__xludf.DUMMYFUNCTION("""COMPUTED_VALUE"""),"PLANET BURGUER")</f>
        <v>PLANET BURGUER</v>
      </c>
      <c r="L4001" s="32">
        <f>IFERROR(__xludf.DUMMYFUNCTION("""COMPUTED_VALUE"""),2.0)</f>
        <v>2</v>
      </c>
      <c r="M4001" s="4" t="str">
        <f>IFERROR(__xludf.DUMMYFUNCTION("""COMPUTED_VALUE"""),"Gama Tecnologias Ltda")</f>
        <v>Gama Tecnologias Ltda</v>
      </c>
      <c r="N4001" s="33">
        <f>IFERROR(__xludf.DUMMYFUNCTION("""COMPUTED_VALUE"""),0.5)</f>
        <v>0.5</v>
      </c>
      <c r="O4001" s="4" t="str">
        <f>IFERROR(__xludf.DUMMYFUNCTION("""COMPUTED_VALUE"""),"Gama Tecnologias Ltda")</f>
        <v>Gama Tecnologias Ltda</v>
      </c>
      <c r="P4001" s="33">
        <f>IFERROR(__xludf.DUMMYFUNCTION("""COMPUTED_VALUE"""),0.5)</f>
        <v>0.5</v>
      </c>
      <c r="Q4001" s="4" t="str">
        <f>IFERROR(__xludf.DUMMYFUNCTION("""COMPUTED_VALUE"""),"Gama Tecnologias Ltda")</f>
        <v>Gama Tecnologias Ltda</v>
      </c>
      <c r="R4001" s="33">
        <f>IFERROR(__xludf.DUMMYFUNCTION("""COMPUTED_VALUE"""),0.5)</f>
        <v>0.5</v>
      </c>
      <c r="S4001" s="4" t="str">
        <f>IFERROR(__xludf.DUMMYFUNCTION("""COMPUTED_VALUE"""),"Gama Tecnologias Ltda")</f>
        <v>Gama Tecnologias Ltda</v>
      </c>
      <c r="T4001" s="33">
        <f>IFERROR(__xludf.DUMMYFUNCTION("""COMPUTED_VALUE"""),0.5)</f>
        <v>0.5</v>
      </c>
      <c r="U4001" s="4" t="str">
        <f>IFERROR(__xludf.DUMMYFUNCTION("""COMPUTED_VALUE"""),"Gama Tecnologias Ltda")</f>
        <v>Gama Tecnologias Ltda</v>
      </c>
      <c r="V4001" s="33">
        <f>IFERROR(__xludf.DUMMYFUNCTION("""COMPUTED_VALUE"""),0.5)</f>
        <v>0.5</v>
      </c>
      <c r="W4001" s="4" t="str">
        <f>IFERROR(__xludf.DUMMYFUNCTION("""COMPUTED_VALUE"""),"Gama Tecnologias Ltda")</f>
        <v>Gama Tecnologias Ltda</v>
      </c>
      <c r="X4001" s="33">
        <f>IFERROR(__xludf.DUMMYFUNCTION("""COMPUTED_VALUE"""),0.5)</f>
        <v>0.5</v>
      </c>
    </row>
    <row r="4002">
      <c r="K4002" s="4" t="str">
        <f>IFERROR(__xludf.DUMMYFUNCTION("""COMPUTED_VALUE"""),"CHURROS DO JOAO")</f>
        <v>CHURROS DO JOAO</v>
      </c>
      <c r="L4002" s="32">
        <f>IFERROR(__xludf.DUMMYFUNCTION("""COMPUTED_VALUE"""),2.0)</f>
        <v>2</v>
      </c>
      <c r="M4002" s="4" t="str">
        <f>IFERROR(__xludf.DUMMYFUNCTION("""COMPUTED_VALUE"""),"Saipos Serviços De Software")</f>
        <v>Saipos Serviços De Software</v>
      </c>
      <c r="N4002" s="33">
        <f>IFERROR(__xludf.DUMMYFUNCTION("""COMPUTED_VALUE"""),0.5)</f>
        <v>0.5</v>
      </c>
      <c r="O4002" s="4" t="str">
        <f>IFERROR(__xludf.DUMMYFUNCTION("""COMPUTED_VALUE"""),"null")</f>
        <v>null</v>
      </c>
      <c r="P4002" s="33">
        <f>IFERROR(__xludf.DUMMYFUNCTION("""COMPUTED_VALUE"""),0.5)</f>
        <v>0.5</v>
      </c>
      <c r="Q4002" s="4" t="str">
        <f>IFERROR(__xludf.DUMMYFUNCTION("""COMPUTED_VALUE"""),"null")</f>
        <v>null</v>
      </c>
      <c r="R4002" s="33">
        <f>IFERROR(__xludf.DUMMYFUNCTION("""COMPUTED_VALUE"""),0.5)</f>
        <v>0.5</v>
      </c>
      <c r="S4002" s="4" t="str">
        <f>IFERROR(__xludf.DUMMYFUNCTION("""COMPUTED_VALUE"""),"null")</f>
        <v>null</v>
      </c>
      <c r="T4002" s="33">
        <f>IFERROR(__xludf.DUMMYFUNCTION("""COMPUTED_VALUE"""),0.5)</f>
        <v>0.5</v>
      </c>
      <c r="U4002" s="4" t="str">
        <f>IFERROR(__xludf.DUMMYFUNCTION("""COMPUTED_VALUE"""),"null")</f>
        <v>null</v>
      </c>
      <c r="V4002" s="33">
        <f>IFERROR(__xludf.DUMMYFUNCTION("""COMPUTED_VALUE"""),0.5)</f>
        <v>0.5</v>
      </c>
      <c r="W4002" s="4" t="str">
        <f>IFERROR(__xludf.DUMMYFUNCTION("""COMPUTED_VALUE"""),"null")</f>
        <v>null</v>
      </c>
      <c r="X4002" s="33">
        <f>IFERROR(__xludf.DUMMYFUNCTION("""COMPUTED_VALUE"""),0.5)</f>
        <v>0.5</v>
      </c>
    </row>
    <row r="4003">
      <c r="K4003" s="4" t="str">
        <f>IFERROR(__xludf.DUMMYFUNCTION("""COMPUTED_VALUE"""),"DOCE AMOR")</f>
        <v>DOCE AMOR</v>
      </c>
      <c r="L4003" s="32">
        <f>IFERROR(__xludf.DUMMYFUNCTION("""COMPUTED_VALUE"""),2.0)</f>
        <v>2</v>
      </c>
      <c r="M4003" s="4" t="str">
        <f>IFERROR(__xludf.DUMMYFUNCTION("""COMPUTED_VALUE"""),"Beefood - Sistema Para Restaurantes")</f>
        <v>Beefood - Sistema Para Restaurantes</v>
      </c>
      <c r="N4003" s="33">
        <f>IFERROR(__xludf.DUMMYFUNCTION("""COMPUTED_VALUE"""),0.5)</f>
        <v>0.5</v>
      </c>
      <c r="O4003" s="4" t="str">
        <f>IFERROR(__xludf.DUMMYFUNCTION("""COMPUTED_VALUE"""),"Beefood - Sistema Para Restaurantes")</f>
        <v>Beefood - Sistema Para Restaurantes</v>
      </c>
      <c r="P4003" s="33">
        <f>IFERROR(__xludf.DUMMYFUNCTION("""COMPUTED_VALUE"""),0.5)</f>
        <v>0.5</v>
      </c>
      <c r="Q4003" s="4" t="str">
        <f>IFERROR(__xludf.DUMMYFUNCTION("""COMPUTED_VALUE"""),"Beefood - Sistema Para Restaurantes")</f>
        <v>Beefood - Sistema Para Restaurantes</v>
      </c>
      <c r="R4003" s="33">
        <f>IFERROR(__xludf.DUMMYFUNCTION("""COMPUTED_VALUE"""),0.5)</f>
        <v>0.5</v>
      </c>
      <c r="S4003" s="4" t="str">
        <f>IFERROR(__xludf.DUMMYFUNCTION("""COMPUTED_VALUE"""),"Beefood - Sistema Para Restaurantes")</f>
        <v>Beefood - Sistema Para Restaurantes</v>
      </c>
      <c r="T4003" s="33">
        <f>IFERROR(__xludf.DUMMYFUNCTION("""COMPUTED_VALUE"""),0.5)</f>
        <v>0.5</v>
      </c>
      <c r="U4003" s="4" t="str">
        <f>IFERROR(__xludf.DUMMYFUNCTION("""COMPUTED_VALUE"""),"Beefood - Sistema Para Restaurantes")</f>
        <v>Beefood - Sistema Para Restaurantes</v>
      </c>
      <c r="V4003" s="33">
        <f>IFERROR(__xludf.DUMMYFUNCTION("""COMPUTED_VALUE"""),0.5)</f>
        <v>0.5</v>
      </c>
      <c r="W4003" s="4" t="str">
        <f>IFERROR(__xludf.DUMMYFUNCTION("""COMPUTED_VALUE"""),"Beefood - Sistema Para Restaurantes")</f>
        <v>Beefood - Sistema Para Restaurantes</v>
      </c>
      <c r="X4003" s="33">
        <f>IFERROR(__xludf.DUMMYFUNCTION("""COMPUTED_VALUE"""),0.5)</f>
        <v>0.5</v>
      </c>
    </row>
    <row r="4004">
      <c r="K4004" s="4" t="str">
        <f>IFERROR(__xludf.DUMMYFUNCTION("""COMPUTED_VALUE"""),"DAN SUSHI")</f>
        <v>DAN SUSHI</v>
      </c>
      <c r="L4004" s="32">
        <f>IFERROR(__xludf.DUMMYFUNCTION("""COMPUTED_VALUE"""),2.0)</f>
        <v>2</v>
      </c>
      <c r="M4004" s="4" t="str">
        <f>IFERROR(__xludf.DUMMYFUNCTION("""COMPUTED_VALUE"""),"Stone Co.")</f>
        <v>Stone Co.</v>
      </c>
      <c r="N4004" s="33">
        <f>IFERROR(__xludf.DUMMYFUNCTION("""COMPUTED_VALUE"""),0.5)</f>
        <v>0.5</v>
      </c>
      <c r="O4004" s="4" t="str">
        <f>IFERROR(__xludf.DUMMYFUNCTION("""COMPUTED_VALUE"""),"Stone Co.")</f>
        <v>Stone Co.</v>
      </c>
      <c r="P4004" s="33">
        <f>IFERROR(__xludf.DUMMYFUNCTION("""COMPUTED_VALUE"""),0.5)</f>
        <v>0.5</v>
      </c>
      <c r="Q4004" s="4" t="str">
        <f>IFERROR(__xludf.DUMMYFUNCTION("""COMPUTED_VALUE"""),"Stone Co.")</f>
        <v>Stone Co.</v>
      </c>
      <c r="R4004" s="33">
        <f>IFERROR(__xludf.DUMMYFUNCTION("""COMPUTED_VALUE"""),0.5)</f>
        <v>0.5</v>
      </c>
      <c r="S4004" s="4" t="str">
        <f>IFERROR(__xludf.DUMMYFUNCTION("""COMPUTED_VALUE"""),"Stone Co.")</f>
        <v>Stone Co.</v>
      </c>
      <c r="T4004" s="33">
        <f>IFERROR(__xludf.DUMMYFUNCTION("""COMPUTED_VALUE"""),0.5)</f>
        <v>0.5</v>
      </c>
      <c r="U4004" s="4" t="str">
        <f>IFERROR(__xludf.DUMMYFUNCTION("""COMPUTED_VALUE"""),"Stone Co.")</f>
        <v>Stone Co.</v>
      </c>
      <c r="V4004" s="33">
        <f>IFERROR(__xludf.DUMMYFUNCTION("""COMPUTED_VALUE"""),0.5)</f>
        <v>0.5</v>
      </c>
      <c r="W4004" s="4" t="str">
        <f>IFERROR(__xludf.DUMMYFUNCTION("""COMPUTED_VALUE"""),"Stone Co.")</f>
        <v>Stone Co.</v>
      </c>
      <c r="X4004" s="33">
        <f>IFERROR(__xludf.DUMMYFUNCTION("""COMPUTED_VALUE"""),0.5)</f>
        <v>0.5</v>
      </c>
    </row>
    <row r="4005">
      <c r="K4005" s="4" t="str">
        <f>IFERROR(__xludf.DUMMYFUNCTION("""COMPUTED_VALUE"""),"THE BOYS ACAI")</f>
        <v>THE BOYS ACAI</v>
      </c>
      <c r="L4005" s="32">
        <f>IFERROR(__xludf.DUMMYFUNCTION("""COMPUTED_VALUE"""),2.0)</f>
        <v>2</v>
      </c>
      <c r="M4005" s="4" t="str">
        <f>IFERROR(__xludf.DUMMYFUNCTION("""COMPUTED_VALUE"""),"Saipos Serviços De Software")</f>
        <v>Saipos Serviços De Software</v>
      </c>
      <c r="N4005" s="33">
        <f>IFERROR(__xludf.DUMMYFUNCTION("""COMPUTED_VALUE"""),1.0)</f>
        <v>1</v>
      </c>
      <c r="O4005" s="4" t="str">
        <f>IFERROR(__xludf.DUMMYFUNCTION("""COMPUTED_VALUE"""),"Saipos Serviços De Software")</f>
        <v>Saipos Serviços De Software</v>
      </c>
      <c r="P4005" s="33">
        <f>IFERROR(__xludf.DUMMYFUNCTION("""COMPUTED_VALUE"""),1.0)</f>
        <v>1</v>
      </c>
      <c r="Q4005" s="4" t="str">
        <f>IFERROR(__xludf.DUMMYFUNCTION("""COMPUTED_VALUE"""),"Saipos Serviços De Software")</f>
        <v>Saipos Serviços De Software</v>
      </c>
      <c r="R4005" s="33">
        <f>IFERROR(__xludf.DUMMYFUNCTION("""COMPUTED_VALUE"""),1.0)</f>
        <v>1</v>
      </c>
      <c r="S4005" s="4" t="str">
        <f>IFERROR(__xludf.DUMMYFUNCTION("""COMPUTED_VALUE"""),"Saipos Serviços De Software")</f>
        <v>Saipos Serviços De Software</v>
      </c>
      <c r="T4005" s="33">
        <f>IFERROR(__xludf.DUMMYFUNCTION("""COMPUTED_VALUE"""),1.0)</f>
        <v>1</v>
      </c>
      <c r="U4005" s="4" t="str">
        <f>IFERROR(__xludf.DUMMYFUNCTION("""COMPUTED_VALUE"""),"Saipos Serviços De Software")</f>
        <v>Saipos Serviços De Software</v>
      </c>
      <c r="V4005" s="33">
        <f>IFERROR(__xludf.DUMMYFUNCTION("""COMPUTED_VALUE"""),1.0)</f>
        <v>1</v>
      </c>
      <c r="W4005" s="4" t="str">
        <f>IFERROR(__xludf.DUMMYFUNCTION("""COMPUTED_VALUE"""),"Saipos Serviços De Software")</f>
        <v>Saipos Serviços De Software</v>
      </c>
      <c r="X4005" s="33">
        <f>IFERROR(__xludf.DUMMYFUNCTION("""COMPUTED_VALUE"""),1.0)</f>
        <v>1</v>
      </c>
    </row>
    <row r="4006">
      <c r="K4006" s="4" t="str">
        <f>IFERROR(__xludf.DUMMYFUNCTION("""COMPUTED_VALUE"""),"YOUR BURGER")</f>
        <v>YOUR BURGER</v>
      </c>
      <c r="L4006" s="32">
        <f>IFERROR(__xludf.DUMMYFUNCTION("""COMPUTED_VALUE"""),2.0)</f>
        <v>2</v>
      </c>
      <c r="M4006" s="4" t="str">
        <f>IFERROR(__xludf.DUMMYFUNCTION("""COMPUTED_VALUE"""),"null")</f>
        <v>null</v>
      </c>
      <c r="N4006" s="33">
        <f>IFERROR(__xludf.DUMMYFUNCTION("""COMPUTED_VALUE"""),0.5)</f>
        <v>0.5</v>
      </c>
      <c r="O4006" s="4" t="str">
        <f>IFERROR(__xludf.DUMMYFUNCTION("""COMPUTED_VALUE"""),"null")</f>
        <v>null</v>
      </c>
      <c r="P4006" s="33">
        <f>IFERROR(__xludf.DUMMYFUNCTION("""COMPUTED_VALUE"""),0.5)</f>
        <v>0.5</v>
      </c>
      <c r="Q4006" s="4" t="str">
        <f>IFERROR(__xludf.DUMMYFUNCTION("""COMPUTED_VALUE"""),"Saipos Serviços De Software")</f>
        <v>Saipos Serviços De Software</v>
      </c>
      <c r="R4006" s="33">
        <f>IFERROR(__xludf.DUMMYFUNCTION("""COMPUTED_VALUE"""),0.5)</f>
        <v>0.5</v>
      </c>
      <c r="S4006" s="4" t="str">
        <f>IFERROR(__xludf.DUMMYFUNCTION("""COMPUTED_VALUE"""),"Saipos Serviços De Software")</f>
        <v>Saipos Serviços De Software</v>
      </c>
      <c r="T4006" s="33">
        <f>IFERROR(__xludf.DUMMYFUNCTION("""COMPUTED_VALUE"""),0.5)</f>
        <v>0.5</v>
      </c>
      <c r="U4006" s="4" t="str">
        <f>IFERROR(__xludf.DUMMYFUNCTION("""COMPUTED_VALUE"""),"Saipos Serviços De Software")</f>
        <v>Saipos Serviços De Software</v>
      </c>
      <c r="V4006" s="33">
        <f>IFERROR(__xludf.DUMMYFUNCTION("""COMPUTED_VALUE"""),0.5)</f>
        <v>0.5</v>
      </c>
      <c r="W4006" s="4" t="str">
        <f>IFERROR(__xludf.DUMMYFUNCTION("""COMPUTED_VALUE"""),"Saipos Serviços De Software")</f>
        <v>Saipos Serviços De Software</v>
      </c>
      <c r="X4006" s="33">
        <f>IFERROR(__xludf.DUMMYFUNCTION("""COMPUTED_VALUE"""),0.5)</f>
        <v>0.5</v>
      </c>
    </row>
    <row r="4007">
      <c r="K4007" s="4" t="str">
        <f>IFERROR(__xludf.DUMMYFUNCTION("""COMPUTED_VALUE"""),"GUENKI SUSHI")</f>
        <v>GUENKI SUSHI</v>
      </c>
      <c r="L4007" s="32">
        <f>IFERROR(__xludf.DUMMYFUNCTION("""COMPUTED_VALUE"""),2.0)</f>
        <v>2</v>
      </c>
      <c r="M4007" s="4" t="str">
        <f>IFERROR(__xludf.DUMMYFUNCTION("""COMPUTED_VALUE"""),"Mp Multipedidos")</f>
        <v>Mp Multipedidos</v>
      </c>
      <c r="N4007" s="33">
        <f>IFERROR(__xludf.DUMMYFUNCTION("""COMPUTED_VALUE"""),0.5)</f>
        <v>0.5</v>
      </c>
      <c r="O4007" s="4" t="str">
        <f>IFERROR(__xludf.DUMMYFUNCTION("""COMPUTED_VALUE"""),"Mp Multipedidos")</f>
        <v>Mp Multipedidos</v>
      </c>
      <c r="P4007" s="33">
        <f>IFERROR(__xludf.DUMMYFUNCTION("""COMPUTED_VALUE"""),0.5)</f>
        <v>0.5</v>
      </c>
      <c r="Q4007" s="4" t="str">
        <f>IFERROR(__xludf.DUMMYFUNCTION("""COMPUTED_VALUE"""),"Mp Multipedidos")</f>
        <v>Mp Multipedidos</v>
      </c>
      <c r="R4007" s="33">
        <f>IFERROR(__xludf.DUMMYFUNCTION("""COMPUTED_VALUE"""),0.5)</f>
        <v>0.5</v>
      </c>
      <c r="S4007" s="4" t="str">
        <f>IFERROR(__xludf.DUMMYFUNCTION("""COMPUTED_VALUE"""),"Mp Multipedidos")</f>
        <v>Mp Multipedidos</v>
      </c>
      <c r="T4007" s="33">
        <f>IFERROR(__xludf.DUMMYFUNCTION("""COMPUTED_VALUE"""),0.5)</f>
        <v>0.5</v>
      </c>
      <c r="U4007" s="4" t="str">
        <f>IFERROR(__xludf.DUMMYFUNCTION("""COMPUTED_VALUE"""),"Mp Multipedidos")</f>
        <v>Mp Multipedidos</v>
      </c>
      <c r="V4007" s="33">
        <f>IFERROR(__xludf.DUMMYFUNCTION("""COMPUTED_VALUE"""),0.5)</f>
        <v>0.5</v>
      </c>
      <c r="W4007" s="4" t="str">
        <f>IFERROR(__xludf.DUMMYFUNCTION("""COMPUTED_VALUE"""),"Mp Multipedidos")</f>
        <v>Mp Multipedidos</v>
      </c>
      <c r="X4007" s="33">
        <f>IFERROR(__xludf.DUMMYFUNCTION("""COMPUTED_VALUE"""),0.5)</f>
        <v>0.5</v>
      </c>
    </row>
    <row r="4008">
      <c r="K4008" s="4" t="str">
        <f>IFERROR(__xludf.DUMMYFUNCTION("""COMPUTED_VALUE"""),"PIZZA PIZZA")</f>
        <v>PIZZA PIZZA</v>
      </c>
      <c r="L4008" s="32">
        <f>IFERROR(__xludf.DUMMYFUNCTION("""COMPUTED_VALUE"""),2.0)</f>
        <v>2</v>
      </c>
      <c r="M4008" s="4" t="str">
        <f>IFERROR(__xludf.DUMMYFUNCTION("""COMPUTED_VALUE"""),"Bitbar")</f>
        <v>Bitbar</v>
      </c>
      <c r="N4008" s="33">
        <f>IFERROR(__xludf.DUMMYFUNCTION("""COMPUTED_VALUE"""),0.5)</f>
        <v>0.5</v>
      </c>
      <c r="O4008" s="4" t="str">
        <f>IFERROR(__xludf.DUMMYFUNCTION("""COMPUTED_VALUE"""),"null")</f>
        <v>null</v>
      </c>
      <c r="P4008" s="33">
        <f>IFERROR(__xludf.DUMMYFUNCTION("""COMPUTED_VALUE"""),0.5)</f>
        <v>0.5</v>
      </c>
      <c r="Q4008" s="4" t="str">
        <f>IFERROR(__xludf.DUMMYFUNCTION("""COMPUTED_VALUE"""),"Bitbar")</f>
        <v>Bitbar</v>
      </c>
      <c r="R4008" s="33">
        <f>IFERROR(__xludf.DUMMYFUNCTION("""COMPUTED_VALUE"""),0.5)</f>
        <v>0.5</v>
      </c>
      <c r="S4008" s="4" t="str">
        <f>IFERROR(__xludf.DUMMYFUNCTION("""COMPUTED_VALUE"""),"Bitbar")</f>
        <v>Bitbar</v>
      </c>
      <c r="T4008" s="33">
        <f>IFERROR(__xludf.DUMMYFUNCTION("""COMPUTED_VALUE"""),0.5)</f>
        <v>0.5</v>
      </c>
      <c r="U4008" s="4" t="str">
        <f>IFERROR(__xludf.DUMMYFUNCTION("""COMPUTED_VALUE"""),"Bitbar")</f>
        <v>Bitbar</v>
      </c>
      <c r="V4008" s="33">
        <f>IFERROR(__xludf.DUMMYFUNCTION("""COMPUTED_VALUE"""),0.5)</f>
        <v>0.5</v>
      </c>
      <c r="W4008" s="4" t="str">
        <f>IFERROR(__xludf.DUMMYFUNCTION("""COMPUTED_VALUE"""),"Bitbar")</f>
        <v>Bitbar</v>
      </c>
      <c r="X4008" s="33">
        <f>IFERROR(__xludf.DUMMYFUNCTION("""COMPUTED_VALUE"""),0.5)</f>
        <v>0.5</v>
      </c>
    </row>
    <row r="4009">
      <c r="K4009" s="4" t="str">
        <f>IFERROR(__xludf.DUMMYFUNCTION("""COMPUTED_VALUE"""),"WESTERN BURGER")</f>
        <v>WESTERN BURGER</v>
      </c>
      <c r="L4009" s="32">
        <f>IFERROR(__xludf.DUMMYFUNCTION("""COMPUTED_VALUE"""),2.0)</f>
        <v>2</v>
      </c>
      <c r="M4009" s="4" t="str">
        <f>IFERROR(__xludf.DUMMYFUNCTION("""COMPUTED_VALUE"""),"Sagres Automação Comercial")</f>
        <v>Sagres Automação Comercial</v>
      </c>
      <c r="N4009" s="33">
        <f>IFERROR(__xludf.DUMMYFUNCTION("""COMPUTED_VALUE"""),0.5)</f>
        <v>0.5</v>
      </c>
      <c r="O4009" s="4" t="str">
        <f>IFERROR(__xludf.DUMMYFUNCTION("""COMPUTED_VALUE"""),"Sagres Automação Comercial")</f>
        <v>Sagres Automação Comercial</v>
      </c>
      <c r="P4009" s="33">
        <f>IFERROR(__xludf.DUMMYFUNCTION("""COMPUTED_VALUE"""),0.5)</f>
        <v>0.5</v>
      </c>
      <c r="Q4009" s="4" t="str">
        <f>IFERROR(__xludf.DUMMYFUNCTION("""COMPUTED_VALUE"""),"Sagres Automação Comercial")</f>
        <v>Sagres Automação Comercial</v>
      </c>
      <c r="R4009" s="33">
        <f>IFERROR(__xludf.DUMMYFUNCTION("""COMPUTED_VALUE"""),0.5)</f>
        <v>0.5</v>
      </c>
      <c r="S4009" s="4" t="str">
        <f>IFERROR(__xludf.DUMMYFUNCTION("""COMPUTED_VALUE"""),"Sagres Automação Comercial")</f>
        <v>Sagres Automação Comercial</v>
      </c>
      <c r="T4009" s="33">
        <f>IFERROR(__xludf.DUMMYFUNCTION("""COMPUTED_VALUE"""),0.5)</f>
        <v>0.5</v>
      </c>
      <c r="U4009" s="4" t="str">
        <f>IFERROR(__xludf.DUMMYFUNCTION("""COMPUTED_VALUE"""),"Sagres Automação Comercial")</f>
        <v>Sagres Automação Comercial</v>
      </c>
      <c r="V4009" s="33">
        <f>IFERROR(__xludf.DUMMYFUNCTION("""COMPUTED_VALUE"""),0.5)</f>
        <v>0.5</v>
      </c>
      <c r="W4009" s="4" t="str">
        <f>IFERROR(__xludf.DUMMYFUNCTION("""COMPUTED_VALUE"""),"Sagres Automação Comercial")</f>
        <v>Sagres Automação Comercial</v>
      </c>
      <c r="X4009" s="33">
        <f>IFERROR(__xludf.DUMMYFUNCTION("""COMPUTED_VALUE"""),0.5)</f>
        <v>0.5</v>
      </c>
    </row>
    <row r="4010">
      <c r="K4010" s="4" t="str">
        <f>IFERROR(__xludf.DUMMYFUNCTION("""COMPUTED_VALUE"""),"SPREZZATURA - FAMIGLIA DI LIDIA")</f>
        <v>SPREZZATURA - FAMIGLIA DI LIDIA</v>
      </c>
      <c r="L4010" s="32">
        <f>IFERROR(__xludf.DUMMYFUNCTION("""COMPUTED_VALUE"""),2.0)</f>
        <v>2</v>
      </c>
      <c r="M4010" s="4" t="str">
        <f>IFERROR(__xludf.DUMMYFUNCTION("""COMPUTED_VALUE"""),"Ncr")</f>
        <v>Ncr</v>
      </c>
      <c r="N4010" s="33">
        <f>IFERROR(__xludf.DUMMYFUNCTION("""COMPUTED_VALUE"""),1.0)</f>
        <v>1</v>
      </c>
      <c r="O4010" s="4" t="str">
        <f>IFERROR(__xludf.DUMMYFUNCTION("""COMPUTED_VALUE"""),"Ncr")</f>
        <v>Ncr</v>
      </c>
      <c r="P4010" s="33">
        <f>IFERROR(__xludf.DUMMYFUNCTION("""COMPUTED_VALUE"""),1.0)</f>
        <v>1</v>
      </c>
      <c r="Q4010" s="4" t="str">
        <f>IFERROR(__xludf.DUMMYFUNCTION("""COMPUTED_VALUE"""),"Ncr")</f>
        <v>Ncr</v>
      </c>
      <c r="R4010" s="33">
        <f>IFERROR(__xludf.DUMMYFUNCTION("""COMPUTED_VALUE"""),1.0)</f>
        <v>1</v>
      </c>
      <c r="S4010" s="4" t="str">
        <f>IFERROR(__xludf.DUMMYFUNCTION("""COMPUTED_VALUE"""),"Ncr")</f>
        <v>Ncr</v>
      </c>
      <c r="T4010" s="33">
        <f>IFERROR(__xludf.DUMMYFUNCTION("""COMPUTED_VALUE"""),1.0)</f>
        <v>1</v>
      </c>
      <c r="U4010" s="4" t="str">
        <f>IFERROR(__xludf.DUMMYFUNCTION("""COMPUTED_VALUE"""),"Ncr")</f>
        <v>Ncr</v>
      </c>
      <c r="V4010" s="33">
        <f>IFERROR(__xludf.DUMMYFUNCTION("""COMPUTED_VALUE"""),1.0)</f>
        <v>1</v>
      </c>
      <c r="W4010" s="4" t="str">
        <f>IFERROR(__xludf.DUMMYFUNCTION("""COMPUTED_VALUE"""),"Ncr")</f>
        <v>Ncr</v>
      </c>
      <c r="X4010" s="33">
        <f>IFERROR(__xludf.DUMMYFUNCTION("""COMPUTED_VALUE"""),1.0)</f>
        <v>1</v>
      </c>
    </row>
    <row r="4011">
      <c r="K4011" s="4" t="str">
        <f>IFERROR(__xludf.DUMMYFUNCTION("""COMPUTED_VALUE"""),"NEW YORK BURGER")</f>
        <v>NEW YORK BURGER</v>
      </c>
      <c r="L4011" s="32">
        <f>IFERROR(__xludf.DUMMYFUNCTION("""COMPUTED_VALUE"""),2.0)</f>
        <v>2</v>
      </c>
      <c r="M4011" s="4" t="str">
        <f>IFERROR(__xludf.DUMMYFUNCTION("""COMPUTED_VALUE"""),"Beefood - Sistema Para Restaurantes")</f>
        <v>Beefood - Sistema Para Restaurantes</v>
      </c>
      <c r="N4011" s="33">
        <f>IFERROR(__xludf.DUMMYFUNCTION("""COMPUTED_VALUE"""),0.5)</f>
        <v>0.5</v>
      </c>
      <c r="O4011" s="4" t="str">
        <f>IFERROR(__xludf.DUMMYFUNCTION("""COMPUTED_VALUE"""),"Beefood - Sistema Para Restaurantes")</f>
        <v>Beefood - Sistema Para Restaurantes</v>
      </c>
      <c r="P4011" s="33">
        <f>IFERROR(__xludf.DUMMYFUNCTION("""COMPUTED_VALUE"""),0.5)</f>
        <v>0.5</v>
      </c>
      <c r="Q4011" s="4" t="str">
        <f>IFERROR(__xludf.DUMMYFUNCTION("""COMPUTED_VALUE"""),"Beefood - Sistema Para Restaurantes")</f>
        <v>Beefood - Sistema Para Restaurantes</v>
      </c>
      <c r="R4011" s="33">
        <f>IFERROR(__xludf.DUMMYFUNCTION("""COMPUTED_VALUE"""),0.5)</f>
        <v>0.5</v>
      </c>
      <c r="S4011" s="4" t="str">
        <f>IFERROR(__xludf.DUMMYFUNCTION("""COMPUTED_VALUE"""),"Beefood - Sistema Para Restaurantes")</f>
        <v>Beefood - Sistema Para Restaurantes</v>
      </c>
      <c r="T4011" s="33">
        <f>IFERROR(__xludf.DUMMYFUNCTION("""COMPUTED_VALUE"""),0.5)</f>
        <v>0.5</v>
      </c>
      <c r="U4011" s="4" t="str">
        <f>IFERROR(__xludf.DUMMYFUNCTION("""COMPUTED_VALUE"""),"Beefood - Sistema Para Restaurantes")</f>
        <v>Beefood - Sistema Para Restaurantes</v>
      </c>
      <c r="V4011" s="33">
        <f>IFERROR(__xludf.DUMMYFUNCTION("""COMPUTED_VALUE"""),0.5)</f>
        <v>0.5</v>
      </c>
      <c r="W4011" s="4" t="str">
        <f>IFERROR(__xludf.DUMMYFUNCTION("""COMPUTED_VALUE"""),"Beefood - Sistema Para Restaurantes")</f>
        <v>Beefood - Sistema Para Restaurantes</v>
      </c>
      <c r="X4011" s="33">
        <f>IFERROR(__xludf.DUMMYFUNCTION("""COMPUTED_VALUE"""),0.5)</f>
        <v>0.5</v>
      </c>
    </row>
    <row r="4012">
      <c r="K4012" s="4" t="str">
        <f>IFERROR(__xludf.DUMMYFUNCTION("""COMPUTED_VALUE"""),"FORASTEIRO HAMBURGUERIA")</f>
        <v>FORASTEIRO HAMBURGUERIA</v>
      </c>
      <c r="L4012" s="32">
        <f>IFERROR(__xludf.DUMMYFUNCTION("""COMPUTED_VALUE"""),2.0)</f>
        <v>2</v>
      </c>
      <c r="M4012" s="4" t="str">
        <f>IFERROR(__xludf.DUMMYFUNCTION("""COMPUTED_VALUE"""),"Saipos Serviços De Software")</f>
        <v>Saipos Serviços De Software</v>
      </c>
      <c r="N4012" s="33">
        <f>IFERROR(__xludf.DUMMYFUNCTION("""COMPUTED_VALUE"""),0.5)</f>
        <v>0.5</v>
      </c>
      <c r="O4012" s="4" t="str">
        <f>IFERROR(__xludf.DUMMYFUNCTION("""COMPUTED_VALUE"""),"Saipos Serviços De Software")</f>
        <v>Saipos Serviços De Software</v>
      </c>
      <c r="P4012" s="33">
        <f>IFERROR(__xludf.DUMMYFUNCTION("""COMPUTED_VALUE"""),0.5)</f>
        <v>0.5</v>
      </c>
      <c r="Q4012" s="4" t="str">
        <f>IFERROR(__xludf.DUMMYFUNCTION("""COMPUTED_VALUE"""),"Saipos Serviços De Software")</f>
        <v>Saipos Serviços De Software</v>
      </c>
      <c r="R4012" s="33">
        <f>IFERROR(__xludf.DUMMYFUNCTION("""COMPUTED_VALUE"""),0.5)</f>
        <v>0.5</v>
      </c>
      <c r="S4012" s="4" t="str">
        <f>IFERROR(__xludf.DUMMYFUNCTION("""COMPUTED_VALUE"""),"Saipos Serviços De Software")</f>
        <v>Saipos Serviços De Software</v>
      </c>
      <c r="T4012" s="33">
        <f>IFERROR(__xludf.DUMMYFUNCTION("""COMPUTED_VALUE"""),0.5)</f>
        <v>0.5</v>
      </c>
      <c r="U4012" s="4" t="str">
        <f>IFERROR(__xludf.DUMMYFUNCTION("""COMPUTED_VALUE"""),"Saipos Serviços De Software")</f>
        <v>Saipos Serviços De Software</v>
      </c>
      <c r="V4012" s="33">
        <f>IFERROR(__xludf.DUMMYFUNCTION("""COMPUTED_VALUE"""),0.5)</f>
        <v>0.5</v>
      </c>
      <c r="W4012" s="4" t="str">
        <f>IFERROR(__xludf.DUMMYFUNCTION("""COMPUTED_VALUE"""),"Saipos Serviços De Software")</f>
        <v>Saipos Serviços De Software</v>
      </c>
      <c r="X4012" s="33">
        <f>IFERROR(__xludf.DUMMYFUNCTION("""COMPUTED_VALUE"""),0.5)</f>
        <v>0.5</v>
      </c>
    </row>
    <row r="4013">
      <c r="K4013" s="4" t="str">
        <f>IFERROR(__xludf.DUMMYFUNCTION("""COMPUTED_VALUE"""),"ANIMAL BURGUER")</f>
        <v>ANIMAL BURGUER</v>
      </c>
      <c r="L4013" s="32">
        <f>IFERROR(__xludf.DUMMYFUNCTION("""COMPUTED_VALUE"""),2.0)</f>
        <v>2</v>
      </c>
      <c r="M4013" s="4" t="str">
        <f>IFERROR(__xludf.DUMMYFUNCTION("""COMPUTED_VALUE"""),"Cardápio Web")</f>
        <v>Cardápio Web</v>
      </c>
      <c r="N4013" s="33">
        <f>IFERROR(__xludf.DUMMYFUNCTION("""COMPUTED_VALUE"""),1.0)</f>
        <v>1</v>
      </c>
      <c r="O4013" s="4" t="str">
        <f>IFERROR(__xludf.DUMMYFUNCTION("""COMPUTED_VALUE"""),"Cardápio Web")</f>
        <v>Cardápio Web</v>
      </c>
      <c r="P4013" s="33">
        <f>IFERROR(__xludf.DUMMYFUNCTION("""COMPUTED_VALUE"""),1.0)</f>
        <v>1</v>
      </c>
      <c r="Q4013" s="4" t="str">
        <f>IFERROR(__xludf.DUMMYFUNCTION("""COMPUTED_VALUE"""),"null")</f>
        <v>null</v>
      </c>
      <c r="R4013" s="33">
        <f>IFERROR(__xludf.DUMMYFUNCTION("""COMPUTED_VALUE"""),0.5)</f>
        <v>0.5</v>
      </c>
      <c r="S4013" s="4" t="str">
        <f>IFERROR(__xludf.DUMMYFUNCTION("""COMPUTED_VALUE"""),"null")</f>
        <v>null</v>
      </c>
      <c r="T4013" s="33">
        <f>IFERROR(__xludf.DUMMYFUNCTION("""COMPUTED_VALUE"""),0.5)</f>
        <v>0.5</v>
      </c>
      <c r="U4013" s="4" t="str">
        <f>IFERROR(__xludf.DUMMYFUNCTION("""COMPUTED_VALUE"""),"Cardápio Web")</f>
        <v>Cardápio Web</v>
      </c>
      <c r="V4013" s="33">
        <f>IFERROR(__xludf.DUMMYFUNCTION("""COMPUTED_VALUE"""),1.0)</f>
        <v>1</v>
      </c>
      <c r="W4013" s="4" t="str">
        <f>IFERROR(__xludf.DUMMYFUNCTION("""COMPUTED_VALUE"""),"null")</f>
        <v>null</v>
      </c>
      <c r="X4013" s="33">
        <f>IFERROR(__xludf.DUMMYFUNCTION("""COMPUTED_VALUE"""),1.0)</f>
        <v>1</v>
      </c>
    </row>
    <row r="4014">
      <c r="K4014" s="4" t="str">
        <f>IFERROR(__xludf.DUMMYFUNCTION("""COMPUTED_VALUE"""),"JC PANELADA")</f>
        <v>JC PANELADA</v>
      </c>
      <c r="L4014" s="32">
        <f>IFERROR(__xludf.DUMMYFUNCTION("""COMPUTED_VALUE"""),2.0)</f>
        <v>2</v>
      </c>
      <c r="M4014" s="4" t="str">
        <f>IFERROR(__xludf.DUMMYFUNCTION("""COMPUTED_VALUE"""),"Instadelivery")</f>
        <v>Instadelivery</v>
      </c>
      <c r="N4014" s="33">
        <f>IFERROR(__xludf.DUMMYFUNCTION("""COMPUTED_VALUE"""),1.0)</f>
        <v>1</v>
      </c>
      <c r="O4014" s="4" t="str">
        <f>IFERROR(__xludf.DUMMYFUNCTION("""COMPUTED_VALUE"""),"null")</f>
        <v>null</v>
      </c>
      <c r="P4014" s="33">
        <f>IFERROR(__xludf.DUMMYFUNCTION("""COMPUTED_VALUE"""),0.5)</f>
        <v>0.5</v>
      </c>
      <c r="Q4014" s="4" t="str">
        <f>IFERROR(__xludf.DUMMYFUNCTION("""COMPUTED_VALUE"""),"Instadelivery")</f>
        <v>Instadelivery</v>
      </c>
      <c r="R4014" s="33">
        <f>IFERROR(__xludf.DUMMYFUNCTION("""COMPUTED_VALUE"""),1.0)</f>
        <v>1</v>
      </c>
      <c r="S4014" s="4" t="str">
        <f>IFERROR(__xludf.DUMMYFUNCTION("""COMPUTED_VALUE"""),"Instadelivery")</f>
        <v>Instadelivery</v>
      </c>
      <c r="T4014" s="33">
        <f>IFERROR(__xludf.DUMMYFUNCTION("""COMPUTED_VALUE"""),1.0)</f>
        <v>1</v>
      </c>
      <c r="U4014" s="4" t="str">
        <f>IFERROR(__xludf.DUMMYFUNCTION("""COMPUTED_VALUE"""),"null")</f>
        <v>null</v>
      </c>
      <c r="V4014" s="33">
        <f>IFERROR(__xludf.DUMMYFUNCTION("""COMPUTED_VALUE"""),0.5)</f>
        <v>0.5</v>
      </c>
      <c r="W4014" s="4" t="str">
        <f>IFERROR(__xludf.DUMMYFUNCTION("""COMPUTED_VALUE"""),"Instadelivery")</f>
        <v>Instadelivery</v>
      </c>
      <c r="X4014" s="33">
        <f>IFERROR(__xludf.DUMMYFUNCTION("""COMPUTED_VALUE"""),1.0)</f>
        <v>1</v>
      </c>
    </row>
    <row r="4015">
      <c r="K4015" s="4" t="str">
        <f>IFERROR(__xludf.DUMMYFUNCTION("""COMPUTED_VALUE"""),"I LOVE PIZZA")</f>
        <v>I LOVE PIZZA</v>
      </c>
      <c r="L4015" s="32">
        <f>IFERROR(__xludf.DUMMYFUNCTION("""COMPUTED_VALUE"""),2.0)</f>
        <v>2</v>
      </c>
      <c r="M4015" s="4" t="str">
        <f>IFERROR(__xludf.DUMMYFUNCTION("""COMPUTED_VALUE"""),"Cardápio Web")</f>
        <v>Cardápio Web</v>
      </c>
      <c r="N4015" s="33">
        <f>IFERROR(__xludf.DUMMYFUNCTION("""COMPUTED_VALUE"""),0.5)</f>
        <v>0.5</v>
      </c>
      <c r="O4015" s="4" t="str">
        <f>IFERROR(__xludf.DUMMYFUNCTION("""COMPUTED_VALUE"""),"null")</f>
        <v>null</v>
      </c>
      <c r="P4015" s="33">
        <f>IFERROR(__xludf.DUMMYFUNCTION("""COMPUTED_VALUE"""),1.0)</f>
        <v>1</v>
      </c>
      <c r="Q4015" s="4" t="str">
        <f>IFERROR(__xludf.DUMMYFUNCTION("""COMPUTED_VALUE"""),"null")</f>
        <v>null</v>
      </c>
      <c r="R4015" s="33">
        <f>IFERROR(__xludf.DUMMYFUNCTION("""COMPUTED_VALUE"""),1.0)</f>
        <v>1</v>
      </c>
      <c r="S4015" s="4" t="str">
        <f>IFERROR(__xludf.DUMMYFUNCTION("""COMPUTED_VALUE"""),"null")</f>
        <v>null</v>
      </c>
      <c r="T4015" s="33">
        <f>IFERROR(__xludf.DUMMYFUNCTION("""COMPUTED_VALUE"""),1.0)</f>
        <v>1</v>
      </c>
      <c r="U4015" s="4" t="str">
        <f>IFERROR(__xludf.DUMMYFUNCTION("""COMPUTED_VALUE"""),"null")</f>
        <v>null</v>
      </c>
      <c r="V4015" s="33">
        <f>IFERROR(__xludf.DUMMYFUNCTION("""COMPUTED_VALUE"""),1.0)</f>
        <v>1</v>
      </c>
      <c r="W4015" s="4" t="str">
        <f>IFERROR(__xludf.DUMMYFUNCTION("""COMPUTED_VALUE"""),"null")</f>
        <v>null</v>
      </c>
      <c r="X4015" s="33">
        <f>IFERROR(__xludf.DUMMYFUNCTION("""COMPUTED_VALUE"""),1.0)</f>
        <v>1</v>
      </c>
    </row>
    <row r="4016">
      <c r="K4016" s="4" t="str">
        <f>IFERROR(__xludf.DUMMYFUNCTION("""COMPUTED_VALUE"""),"GUINHO BURGUER")</f>
        <v>GUINHO BURGUER</v>
      </c>
      <c r="L4016" s="32">
        <f>IFERROR(__xludf.DUMMYFUNCTION("""COMPUTED_VALUE"""),2.0)</f>
        <v>2</v>
      </c>
      <c r="M4016" s="4" t="str">
        <f>IFERROR(__xludf.DUMMYFUNCTION("""COMPUTED_VALUE"""),"Yooga")</f>
        <v>Yooga</v>
      </c>
      <c r="N4016" s="33">
        <f>IFERROR(__xludf.DUMMYFUNCTION("""COMPUTED_VALUE"""),0.5)</f>
        <v>0.5</v>
      </c>
      <c r="O4016" s="4" t="str">
        <f>IFERROR(__xludf.DUMMYFUNCTION("""COMPUTED_VALUE"""),"Yooga")</f>
        <v>Yooga</v>
      </c>
      <c r="P4016" s="33">
        <f>IFERROR(__xludf.DUMMYFUNCTION("""COMPUTED_VALUE"""),0.5)</f>
        <v>0.5</v>
      </c>
      <c r="Q4016" s="4" t="str">
        <f>IFERROR(__xludf.DUMMYFUNCTION("""COMPUTED_VALUE"""),"null")</f>
        <v>null</v>
      </c>
      <c r="R4016" s="33">
        <f>IFERROR(__xludf.DUMMYFUNCTION("""COMPUTED_VALUE"""),1.0)</f>
        <v>1</v>
      </c>
      <c r="S4016" s="4" t="str">
        <f>IFERROR(__xludf.DUMMYFUNCTION("""COMPUTED_VALUE"""),"null")</f>
        <v>null</v>
      </c>
      <c r="T4016" s="33">
        <f>IFERROR(__xludf.DUMMYFUNCTION("""COMPUTED_VALUE"""),1.0)</f>
        <v>1</v>
      </c>
      <c r="U4016" s="4" t="str">
        <f>IFERROR(__xludf.DUMMYFUNCTION("""COMPUTED_VALUE"""),"null")</f>
        <v>null</v>
      </c>
      <c r="V4016" s="33">
        <f>IFERROR(__xludf.DUMMYFUNCTION("""COMPUTED_VALUE"""),0.5)</f>
        <v>0.5</v>
      </c>
      <c r="W4016" s="4" t="str">
        <f>IFERROR(__xludf.DUMMYFUNCTION("""COMPUTED_VALUE"""),"null")</f>
        <v>null</v>
      </c>
      <c r="X4016" s="33">
        <f>IFERROR(__xludf.DUMMYFUNCTION("""COMPUTED_VALUE"""),0.5)</f>
        <v>0.5</v>
      </c>
    </row>
    <row r="4017">
      <c r="K4017" s="4" t="str">
        <f>IFERROR(__xludf.DUMMYFUNCTION("""COMPUTED_VALUE"""),"MIAMI CHICKEN - FRANGO FRITO AMERICANO")</f>
        <v>MIAMI CHICKEN - FRANGO FRITO AMERICANO</v>
      </c>
      <c r="L4017" s="32">
        <f>IFERROR(__xludf.DUMMYFUNCTION("""COMPUTED_VALUE"""),2.0)</f>
        <v>2</v>
      </c>
      <c r="M4017" s="4" t="str">
        <f>IFERROR(__xludf.DUMMYFUNCTION("""COMPUTED_VALUE"""),"Mp Multipedidos")</f>
        <v>Mp Multipedidos</v>
      </c>
      <c r="N4017" s="33">
        <f>IFERROR(__xludf.DUMMYFUNCTION("""COMPUTED_VALUE"""),1.0)</f>
        <v>1</v>
      </c>
      <c r="O4017" s="4" t="str">
        <f>IFERROR(__xludf.DUMMYFUNCTION("""COMPUTED_VALUE"""),"Mp Multipedidos")</f>
        <v>Mp Multipedidos</v>
      </c>
      <c r="P4017" s="33">
        <f>IFERROR(__xludf.DUMMYFUNCTION("""COMPUTED_VALUE"""),1.0)</f>
        <v>1</v>
      </c>
      <c r="Q4017" s="4" t="str">
        <f>IFERROR(__xludf.DUMMYFUNCTION("""COMPUTED_VALUE"""),"Mp Multipedidos")</f>
        <v>Mp Multipedidos</v>
      </c>
      <c r="R4017" s="33">
        <f>IFERROR(__xludf.DUMMYFUNCTION("""COMPUTED_VALUE"""),1.0)</f>
        <v>1</v>
      </c>
      <c r="S4017" s="4" t="str">
        <f>IFERROR(__xludf.DUMMYFUNCTION("""COMPUTED_VALUE"""),"Mp Multipedidos")</f>
        <v>Mp Multipedidos</v>
      </c>
      <c r="T4017" s="33">
        <f>IFERROR(__xludf.DUMMYFUNCTION("""COMPUTED_VALUE"""),1.0)</f>
        <v>1</v>
      </c>
      <c r="U4017" s="4" t="str">
        <f>IFERROR(__xludf.DUMMYFUNCTION("""COMPUTED_VALUE"""),"Mp Multipedidos")</f>
        <v>Mp Multipedidos</v>
      </c>
      <c r="V4017" s="33">
        <f>IFERROR(__xludf.DUMMYFUNCTION("""COMPUTED_VALUE"""),1.0)</f>
        <v>1</v>
      </c>
      <c r="W4017" s="4" t="str">
        <f>IFERROR(__xludf.DUMMYFUNCTION("""COMPUTED_VALUE"""),"Mp Multipedidos")</f>
        <v>Mp Multipedidos</v>
      </c>
      <c r="X4017" s="33">
        <f>IFERROR(__xludf.DUMMYFUNCTION("""COMPUTED_VALUE"""),1.0)</f>
        <v>1</v>
      </c>
    </row>
    <row r="4018">
      <c r="K4018" s="4" t="str">
        <f>IFERROR(__xludf.DUMMYFUNCTION("""COMPUTED_VALUE"""),"SUKI TEMAKERIA - COMIDA JAPONESA")</f>
        <v>SUKI TEMAKERIA - COMIDA JAPONESA</v>
      </c>
      <c r="L4018" s="32">
        <f>IFERROR(__xludf.DUMMYFUNCTION("""COMPUTED_VALUE"""),2.0)</f>
        <v>2</v>
      </c>
      <c r="M4018" s="4" t="str">
        <f>IFERROR(__xludf.DUMMYFUNCTION("""COMPUTED_VALUE"""),"null")</f>
        <v>null</v>
      </c>
      <c r="N4018" s="33">
        <f>IFERROR(__xludf.DUMMYFUNCTION("""COMPUTED_VALUE"""),1.0)</f>
        <v>1</v>
      </c>
      <c r="O4018" s="4" t="str">
        <f>IFERROR(__xludf.DUMMYFUNCTION("""COMPUTED_VALUE"""),"null")</f>
        <v>null</v>
      </c>
      <c r="P4018" s="33">
        <f>IFERROR(__xludf.DUMMYFUNCTION("""COMPUTED_VALUE"""),1.0)</f>
        <v>1</v>
      </c>
      <c r="Q4018" s="4" t="str">
        <f>IFERROR(__xludf.DUMMYFUNCTION("""COMPUTED_VALUE"""),"null")</f>
        <v>null</v>
      </c>
      <c r="R4018" s="33">
        <f>IFERROR(__xludf.DUMMYFUNCTION("""COMPUTED_VALUE"""),1.0)</f>
        <v>1</v>
      </c>
      <c r="S4018" s="4" t="str">
        <f>IFERROR(__xludf.DUMMYFUNCTION("""COMPUTED_VALUE"""),"null")</f>
        <v>null</v>
      </c>
      <c r="T4018" s="33">
        <f>IFERROR(__xludf.DUMMYFUNCTION("""COMPUTED_VALUE"""),1.0)</f>
        <v>1</v>
      </c>
      <c r="U4018" s="4" t="str">
        <f>IFERROR(__xludf.DUMMYFUNCTION("""COMPUTED_VALUE"""),"Saipos Serviços De Software")</f>
        <v>Saipos Serviços De Software</v>
      </c>
      <c r="V4018" s="33">
        <f>IFERROR(__xludf.DUMMYFUNCTION("""COMPUTED_VALUE"""),0.5)</f>
        <v>0.5</v>
      </c>
      <c r="W4018" s="4" t="str">
        <f>IFERROR(__xludf.DUMMYFUNCTION("""COMPUTED_VALUE"""),"Saipos Serviços De Software")</f>
        <v>Saipos Serviços De Software</v>
      </c>
      <c r="X4018" s="33">
        <f>IFERROR(__xludf.DUMMYFUNCTION("""COMPUTED_VALUE"""),0.5)</f>
        <v>0.5</v>
      </c>
    </row>
    <row r="4019">
      <c r="K4019" s="4" t="str">
        <f>IFERROR(__xludf.DUMMYFUNCTION("""COMPUTED_VALUE"""),"JAPAN HOUSE")</f>
        <v>JAPAN HOUSE</v>
      </c>
      <c r="L4019" s="32">
        <f>IFERROR(__xludf.DUMMYFUNCTION("""COMPUTED_VALUE"""),2.0)</f>
        <v>2</v>
      </c>
      <c r="M4019" s="4" t="str">
        <f>IFERROR(__xludf.DUMMYFUNCTION("""COMPUTED_VALUE"""),"Consumer Soluções Em Tecnologia Ltda")</f>
        <v>Consumer Soluções Em Tecnologia Ltda</v>
      </c>
      <c r="N4019" s="33">
        <f>IFERROR(__xludf.DUMMYFUNCTION("""COMPUTED_VALUE"""),0.5)</f>
        <v>0.5</v>
      </c>
      <c r="O4019" s="4" t="str">
        <f>IFERROR(__xludf.DUMMYFUNCTION("""COMPUTED_VALUE"""),"Consumer Soluções Em Tecnologia Ltda")</f>
        <v>Consumer Soluções Em Tecnologia Ltda</v>
      </c>
      <c r="P4019" s="33">
        <f>IFERROR(__xludf.DUMMYFUNCTION("""COMPUTED_VALUE"""),0.5)</f>
        <v>0.5</v>
      </c>
      <c r="Q4019" s="4" t="str">
        <f>IFERROR(__xludf.DUMMYFUNCTION("""COMPUTED_VALUE"""),"Consumer Soluções Em Tecnologia Ltda")</f>
        <v>Consumer Soluções Em Tecnologia Ltda</v>
      </c>
      <c r="R4019" s="33">
        <f>IFERROR(__xludf.DUMMYFUNCTION("""COMPUTED_VALUE"""),0.5)</f>
        <v>0.5</v>
      </c>
      <c r="S4019" s="4" t="str">
        <f>IFERROR(__xludf.DUMMYFUNCTION("""COMPUTED_VALUE"""),"Consumer Soluções Em Tecnologia Ltda")</f>
        <v>Consumer Soluções Em Tecnologia Ltda</v>
      </c>
      <c r="T4019" s="33">
        <f>IFERROR(__xludf.DUMMYFUNCTION("""COMPUTED_VALUE"""),0.5)</f>
        <v>0.5</v>
      </c>
      <c r="U4019" s="4" t="str">
        <f>IFERROR(__xludf.DUMMYFUNCTION("""COMPUTED_VALUE"""),"Consumer Soluções Em Tecnologia Ltda")</f>
        <v>Consumer Soluções Em Tecnologia Ltda</v>
      </c>
      <c r="V4019" s="33">
        <f>IFERROR(__xludf.DUMMYFUNCTION("""COMPUTED_VALUE"""),0.5)</f>
        <v>0.5</v>
      </c>
      <c r="W4019" s="4" t="str">
        <f>IFERROR(__xludf.DUMMYFUNCTION("""COMPUTED_VALUE"""),"Consumer Soluções Em Tecnologia Ltda")</f>
        <v>Consumer Soluções Em Tecnologia Ltda</v>
      </c>
      <c r="X4019" s="33">
        <f>IFERROR(__xludf.DUMMYFUNCTION("""COMPUTED_VALUE"""),0.5)</f>
        <v>0.5</v>
      </c>
    </row>
    <row r="4020">
      <c r="K4020" s="4" t="str">
        <f>IFERROR(__xludf.DUMMYFUNCTION("""COMPUTED_VALUE"""),"PIZZARIA CAPRI")</f>
        <v>PIZZARIA CAPRI</v>
      </c>
      <c r="L4020" s="32">
        <f>IFERROR(__xludf.DUMMYFUNCTION("""COMPUTED_VALUE"""),2.0)</f>
        <v>2</v>
      </c>
      <c r="M4020" s="4" t="str">
        <f>IFERROR(__xludf.DUMMYFUNCTION("""COMPUTED_VALUE"""),"Schneider Software")</f>
        <v>Schneider Software</v>
      </c>
      <c r="N4020" s="33">
        <f>IFERROR(__xludf.DUMMYFUNCTION("""COMPUTED_VALUE"""),0.5)</f>
        <v>0.5</v>
      </c>
      <c r="O4020" s="4" t="str">
        <f>IFERROR(__xludf.DUMMYFUNCTION("""COMPUTED_VALUE"""),"Schneider Software")</f>
        <v>Schneider Software</v>
      </c>
      <c r="P4020" s="33">
        <f>IFERROR(__xludf.DUMMYFUNCTION("""COMPUTED_VALUE"""),0.5)</f>
        <v>0.5</v>
      </c>
      <c r="Q4020" s="4" t="str">
        <f>IFERROR(__xludf.DUMMYFUNCTION("""COMPUTED_VALUE"""),"Schneider Software")</f>
        <v>Schneider Software</v>
      </c>
      <c r="R4020" s="33">
        <f>IFERROR(__xludf.DUMMYFUNCTION("""COMPUTED_VALUE"""),0.5)</f>
        <v>0.5</v>
      </c>
      <c r="S4020" s="4" t="str">
        <f>IFERROR(__xludf.DUMMYFUNCTION("""COMPUTED_VALUE"""),"Schneider Software")</f>
        <v>Schneider Software</v>
      </c>
      <c r="T4020" s="33">
        <f>IFERROR(__xludf.DUMMYFUNCTION("""COMPUTED_VALUE"""),0.5)</f>
        <v>0.5</v>
      </c>
      <c r="U4020" s="4" t="str">
        <f>IFERROR(__xludf.DUMMYFUNCTION("""COMPUTED_VALUE"""),"Schneider Software")</f>
        <v>Schneider Software</v>
      </c>
      <c r="V4020" s="33">
        <f>IFERROR(__xludf.DUMMYFUNCTION("""COMPUTED_VALUE"""),0.5)</f>
        <v>0.5</v>
      </c>
      <c r="W4020" s="4" t="str">
        <f>IFERROR(__xludf.DUMMYFUNCTION("""COMPUTED_VALUE"""),"Schneider Software")</f>
        <v>Schneider Software</v>
      </c>
      <c r="X4020" s="33">
        <f>IFERROR(__xludf.DUMMYFUNCTION("""COMPUTED_VALUE"""),0.5)</f>
        <v>0.5</v>
      </c>
    </row>
    <row r="4021">
      <c r="K4021" s="4" t="str">
        <f>IFERROR(__xludf.DUMMYFUNCTION("""COMPUTED_VALUE"""),"IMPERIO LANCHES E PORCOES")</f>
        <v>IMPERIO LANCHES E PORCOES</v>
      </c>
      <c r="L4021" s="32">
        <f>IFERROR(__xludf.DUMMYFUNCTION("""COMPUTED_VALUE"""),2.0)</f>
        <v>2</v>
      </c>
      <c r="M4021" s="4" t="str">
        <f>IFERROR(__xludf.DUMMYFUNCTION("""COMPUTED_VALUE"""),"Syslogica - Novo Conceito Em Software")</f>
        <v>Syslogica - Novo Conceito Em Software</v>
      </c>
      <c r="N4021" s="33">
        <f>IFERROR(__xludf.DUMMYFUNCTION("""COMPUTED_VALUE"""),0.5)</f>
        <v>0.5</v>
      </c>
      <c r="O4021" s="4" t="str">
        <f>IFERROR(__xludf.DUMMYFUNCTION("""COMPUTED_VALUE"""),"Syslogica - Novo Conceito Em Software")</f>
        <v>Syslogica - Novo Conceito Em Software</v>
      </c>
      <c r="P4021" s="33">
        <f>IFERROR(__xludf.DUMMYFUNCTION("""COMPUTED_VALUE"""),0.5)</f>
        <v>0.5</v>
      </c>
      <c r="Q4021" s="4" t="str">
        <f>IFERROR(__xludf.DUMMYFUNCTION("""COMPUTED_VALUE"""),"Syslogica - Novo Conceito Em Software")</f>
        <v>Syslogica - Novo Conceito Em Software</v>
      </c>
      <c r="R4021" s="33">
        <f>IFERROR(__xludf.DUMMYFUNCTION("""COMPUTED_VALUE"""),0.5)</f>
        <v>0.5</v>
      </c>
      <c r="S4021" s="4" t="str">
        <f>IFERROR(__xludf.DUMMYFUNCTION("""COMPUTED_VALUE"""),"Syslogica - Novo Conceito Em Software")</f>
        <v>Syslogica - Novo Conceito Em Software</v>
      </c>
      <c r="T4021" s="33">
        <f>IFERROR(__xludf.DUMMYFUNCTION("""COMPUTED_VALUE"""),0.5)</f>
        <v>0.5</v>
      </c>
      <c r="U4021" s="4" t="str">
        <f>IFERROR(__xludf.DUMMYFUNCTION("""COMPUTED_VALUE"""),"Syslogica - Novo Conceito Em Software")</f>
        <v>Syslogica - Novo Conceito Em Software</v>
      </c>
      <c r="V4021" s="33">
        <f>IFERROR(__xludf.DUMMYFUNCTION("""COMPUTED_VALUE"""),0.5)</f>
        <v>0.5</v>
      </c>
      <c r="W4021" s="4" t="str">
        <f>IFERROR(__xludf.DUMMYFUNCTION("""COMPUTED_VALUE"""),"Syslogica - Novo Conceito Em Software")</f>
        <v>Syslogica - Novo Conceito Em Software</v>
      </c>
      <c r="X4021" s="33">
        <f>IFERROR(__xludf.DUMMYFUNCTION("""COMPUTED_VALUE"""),0.5)</f>
        <v>0.5</v>
      </c>
    </row>
    <row r="4022">
      <c r="K4022" s="4" t="str">
        <f>IFERROR(__xludf.DUMMYFUNCTION("""COMPUTED_VALUE"""),"DIVINO SALGADOS")</f>
        <v>DIVINO SALGADOS</v>
      </c>
      <c r="L4022" s="32">
        <f>IFERROR(__xludf.DUMMYFUNCTION("""COMPUTED_VALUE"""),2.0)</f>
        <v>2</v>
      </c>
      <c r="M4022" s="4" t="str">
        <f>IFERROR(__xludf.DUMMYFUNCTION("""COMPUTED_VALUE"""),"Suitable Tecnologia E Gestao")</f>
        <v>Suitable Tecnologia E Gestao</v>
      </c>
      <c r="N4022" s="33">
        <f>IFERROR(__xludf.DUMMYFUNCTION("""COMPUTED_VALUE"""),0.5)</f>
        <v>0.5</v>
      </c>
      <c r="O4022" s="4" t="str">
        <f>IFERROR(__xludf.DUMMYFUNCTION("""COMPUTED_VALUE"""),"Suitable Tecnologia E Gestao")</f>
        <v>Suitable Tecnologia E Gestao</v>
      </c>
      <c r="P4022" s="33">
        <f>IFERROR(__xludf.DUMMYFUNCTION("""COMPUTED_VALUE"""),0.5)</f>
        <v>0.5</v>
      </c>
      <c r="Q4022" s="4" t="str">
        <f>IFERROR(__xludf.DUMMYFUNCTION("""COMPUTED_VALUE"""),"Suitable Tecnologia E Gestao")</f>
        <v>Suitable Tecnologia E Gestao</v>
      </c>
      <c r="R4022" s="33">
        <f>IFERROR(__xludf.DUMMYFUNCTION("""COMPUTED_VALUE"""),0.5)</f>
        <v>0.5</v>
      </c>
      <c r="S4022" s="4" t="str">
        <f>IFERROR(__xludf.DUMMYFUNCTION("""COMPUTED_VALUE"""),"Suitable Tecnologia E Gestao")</f>
        <v>Suitable Tecnologia E Gestao</v>
      </c>
      <c r="T4022" s="33">
        <f>IFERROR(__xludf.DUMMYFUNCTION("""COMPUTED_VALUE"""),0.5)</f>
        <v>0.5</v>
      </c>
      <c r="U4022" s="4" t="str">
        <f>IFERROR(__xludf.DUMMYFUNCTION("""COMPUTED_VALUE"""),"Suitable Tecnologia E Gestao")</f>
        <v>Suitable Tecnologia E Gestao</v>
      </c>
      <c r="V4022" s="33">
        <f>IFERROR(__xludf.DUMMYFUNCTION("""COMPUTED_VALUE"""),0.5)</f>
        <v>0.5</v>
      </c>
      <c r="W4022" s="4" t="str">
        <f>IFERROR(__xludf.DUMMYFUNCTION("""COMPUTED_VALUE"""),"Suitable Tecnologia E Gestao")</f>
        <v>Suitable Tecnologia E Gestao</v>
      </c>
      <c r="X4022" s="33">
        <f>IFERROR(__xludf.DUMMYFUNCTION("""COMPUTED_VALUE"""),0.5)</f>
        <v>0.5</v>
      </c>
    </row>
    <row r="4023">
      <c r="K4023" s="4" t="str">
        <f>IFERROR(__xludf.DUMMYFUNCTION("""COMPUTED_VALUE"""),"MR SALGADOS")</f>
        <v>MR SALGADOS</v>
      </c>
      <c r="L4023" s="32">
        <f>IFERROR(__xludf.DUMMYFUNCTION("""COMPUTED_VALUE"""),2.0)</f>
        <v>2</v>
      </c>
      <c r="M4023" s="4" t="str">
        <f>IFERROR(__xludf.DUMMYFUNCTION("""COMPUTED_VALUE"""),"Saipos Serviços De Software")</f>
        <v>Saipos Serviços De Software</v>
      </c>
      <c r="N4023" s="33">
        <f>IFERROR(__xludf.DUMMYFUNCTION("""COMPUTED_VALUE"""),1.0)</f>
        <v>1</v>
      </c>
      <c r="O4023" s="4" t="str">
        <f>IFERROR(__xludf.DUMMYFUNCTION("""COMPUTED_VALUE"""),"Saipos Serviços De Software")</f>
        <v>Saipos Serviços De Software</v>
      </c>
      <c r="P4023" s="33">
        <f>IFERROR(__xludf.DUMMYFUNCTION("""COMPUTED_VALUE"""),1.0)</f>
        <v>1</v>
      </c>
      <c r="Q4023" s="4" t="str">
        <f>IFERROR(__xludf.DUMMYFUNCTION("""COMPUTED_VALUE"""),"Saipos Serviços De Software")</f>
        <v>Saipos Serviços De Software</v>
      </c>
      <c r="R4023" s="33">
        <f>IFERROR(__xludf.DUMMYFUNCTION("""COMPUTED_VALUE"""),1.0)</f>
        <v>1</v>
      </c>
      <c r="S4023" s="4" t="str">
        <f>IFERROR(__xludf.DUMMYFUNCTION("""COMPUTED_VALUE"""),"Saipos Serviços De Software")</f>
        <v>Saipos Serviços De Software</v>
      </c>
      <c r="T4023" s="33">
        <f>IFERROR(__xludf.DUMMYFUNCTION("""COMPUTED_VALUE"""),1.0)</f>
        <v>1</v>
      </c>
      <c r="U4023" s="4" t="str">
        <f>IFERROR(__xludf.DUMMYFUNCTION("""COMPUTED_VALUE"""),"Saipos Serviços De Software")</f>
        <v>Saipos Serviços De Software</v>
      </c>
      <c r="V4023" s="33">
        <f>IFERROR(__xludf.DUMMYFUNCTION("""COMPUTED_VALUE"""),1.0)</f>
        <v>1</v>
      </c>
      <c r="W4023" s="4" t="str">
        <f>IFERROR(__xludf.DUMMYFUNCTION("""COMPUTED_VALUE"""),"Saipos Serviços De Software")</f>
        <v>Saipos Serviços De Software</v>
      </c>
      <c r="X4023" s="33">
        <f>IFERROR(__xludf.DUMMYFUNCTION("""COMPUTED_VALUE"""),1.0)</f>
        <v>1</v>
      </c>
    </row>
    <row r="4024">
      <c r="K4024" s="4" t="str">
        <f>IFERROR(__xludf.DUMMYFUNCTION("""COMPUTED_VALUE"""),"PIZZARIA JACK PIZZA")</f>
        <v>PIZZARIA JACK PIZZA</v>
      </c>
      <c r="L4024" s="32">
        <f>IFERROR(__xludf.DUMMYFUNCTION("""COMPUTED_VALUE"""),2.0)</f>
        <v>2</v>
      </c>
      <c r="M4024" s="4" t="str">
        <f>IFERROR(__xludf.DUMMYFUNCTION("""COMPUTED_VALUE"""),"Latech Informatica Ltda")</f>
        <v>Latech Informatica Ltda</v>
      </c>
      <c r="N4024" s="33">
        <f>IFERROR(__xludf.DUMMYFUNCTION("""COMPUTED_VALUE"""),0.5)</f>
        <v>0.5</v>
      </c>
      <c r="O4024" s="4" t="str">
        <f>IFERROR(__xludf.DUMMYFUNCTION("""COMPUTED_VALUE"""),"Latech Informatica Ltda")</f>
        <v>Latech Informatica Ltda</v>
      </c>
      <c r="P4024" s="33">
        <f>IFERROR(__xludf.DUMMYFUNCTION("""COMPUTED_VALUE"""),0.5)</f>
        <v>0.5</v>
      </c>
      <c r="Q4024" s="4" t="str">
        <f>IFERROR(__xludf.DUMMYFUNCTION("""COMPUTED_VALUE"""),"Latech Informatica Ltda")</f>
        <v>Latech Informatica Ltda</v>
      </c>
      <c r="R4024" s="33">
        <f>IFERROR(__xludf.DUMMYFUNCTION("""COMPUTED_VALUE"""),0.5)</f>
        <v>0.5</v>
      </c>
      <c r="S4024" s="4" t="str">
        <f>IFERROR(__xludf.DUMMYFUNCTION("""COMPUTED_VALUE"""),"Latech Informatica Ltda")</f>
        <v>Latech Informatica Ltda</v>
      </c>
      <c r="T4024" s="33">
        <f>IFERROR(__xludf.DUMMYFUNCTION("""COMPUTED_VALUE"""),0.5)</f>
        <v>0.5</v>
      </c>
      <c r="U4024" s="4" t="str">
        <f>IFERROR(__xludf.DUMMYFUNCTION("""COMPUTED_VALUE"""),"Latech Informatica Ltda")</f>
        <v>Latech Informatica Ltda</v>
      </c>
      <c r="V4024" s="33">
        <f>IFERROR(__xludf.DUMMYFUNCTION("""COMPUTED_VALUE"""),0.5)</f>
        <v>0.5</v>
      </c>
      <c r="W4024" s="4" t="str">
        <f>IFERROR(__xludf.DUMMYFUNCTION("""COMPUTED_VALUE"""),"Latech Informatica Ltda")</f>
        <v>Latech Informatica Ltda</v>
      </c>
      <c r="X4024" s="33">
        <f>IFERROR(__xludf.DUMMYFUNCTION("""COMPUTED_VALUE"""),0.5)</f>
        <v>0.5</v>
      </c>
    </row>
    <row r="4025">
      <c r="K4025" s="4" t="str">
        <f>IFERROR(__xludf.DUMMYFUNCTION("""COMPUTED_VALUE"""),"O BURGER NA BRASA HAMBURGUERIA")</f>
        <v>O BURGER NA BRASA HAMBURGUERIA</v>
      </c>
      <c r="L4025" s="32">
        <f>IFERROR(__xludf.DUMMYFUNCTION("""COMPUTED_VALUE"""),2.0)</f>
        <v>2</v>
      </c>
      <c r="M4025" s="4" t="str">
        <f>IFERROR(__xludf.DUMMYFUNCTION("""COMPUTED_VALUE"""),"Saipos Serviços De Software")</f>
        <v>Saipos Serviços De Software</v>
      </c>
      <c r="N4025" s="33">
        <f>IFERROR(__xludf.DUMMYFUNCTION("""COMPUTED_VALUE"""),1.0)</f>
        <v>1</v>
      </c>
      <c r="O4025" s="4" t="str">
        <f>IFERROR(__xludf.DUMMYFUNCTION("""COMPUTED_VALUE"""),"Saipos Serviços De Software")</f>
        <v>Saipos Serviços De Software</v>
      </c>
      <c r="P4025" s="33">
        <f>IFERROR(__xludf.DUMMYFUNCTION("""COMPUTED_VALUE"""),1.0)</f>
        <v>1</v>
      </c>
      <c r="Q4025" s="4" t="str">
        <f>IFERROR(__xludf.DUMMYFUNCTION("""COMPUTED_VALUE"""),"Saipos Serviços De Software")</f>
        <v>Saipos Serviços De Software</v>
      </c>
      <c r="R4025" s="33">
        <f>IFERROR(__xludf.DUMMYFUNCTION("""COMPUTED_VALUE"""),1.0)</f>
        <v>1</v>
      </c>
      <c r="S4025" s="4" t="str">
        <f>IFERROR(__xludf.DUMMYFUNCTION("""COMPUTED_VALUE"""),"Saipos Serviços De Software")</f>
        <v>Saipos Serviços De Software</v>
      </c>
      <c r="T4025" s="33">
        <f>IFERROR(__xludf.DUMMYFUNCTION("""COMPUTED_VALUE"""),1.0)</f>
        <v>1</v>
      </c>
      <c r="U4025" s="4" t="str">
        <f>IFERROR(__xludf.DUMMYFUNCTION("""COMPUTED_VALUE"""),"Saipos Serviços De Software")</f>
        <v>Saipos Serviços De Software</v>
      </c>
      <c r="V4025" s="33">
        <f>IFERROR(__xludf.DUMMYFUNCTION("""COMPUTED_VALUE"""),1.0)</f>
        <v>1</v>
      </c>
      <c r="W4025" s="4" t="str">
        <f>IFERROR(__xludf.DUMMYFUNCTION("""COMPUTED_VALUE"""),"Saipos Serviços De Software")</f>
        <v>Saipos Serviços De Software</v>
      </c>
      <c r="X4025" s="33">
        <f>IFERROR(__xludf.DUMMYFUNCTION("""COMPUTED_VALUE"""),1.0)</f>
        <v>1</v>
      </c>
    </row>
    <row r="4026">
      <c r="K4026" s="4" t="str">
        <f>IFERROR(__xludf.DUMMYFUNCTION("""COMPUTED_VALUE"""),"PIZZARIA MONALISA")</f>
        <v>PIZZARIA MONALISA</v>
      </c>
      <c r="L4026" s="32">
        <f>IFERROR(__xludf.DUMMYFUNCTION("""COMPUTED_VALUE"""),2.0)</f>
        <v>2</v>
      </c>
      <c r="M4026" s="4" t="str">
        <f>IFERROR(__xludf.DUMMYFUNCTION("""COMPUTED_VALUE"""),"null")</f>
        <v>null</v>
      </c>
      <c r="N4026" s="33">
        <f>IFERROR(__xludf.DUMMYFUNCTION("""COMPUTED_VALUE"""),0.5)</f>
        <v>0.5</v>
      </c>
      <c r="O4026" s="4" t="str">
        <f>IFERROR(__xludf.DUMMYFUNCTION("""COMPUTED_VALUE"""),"Anota Ai Solucoes Digitais S/a")</f>
        <v>Anota Ai Solucoes Digitais S/a</v>
      </c>
      <c r="P4026" s="33">
        <f>IFERROR(__xludf.DUMMYFUNCTION("""COMPUTED_VALUE"""),1.0)</f>
        <v>1</v>
      </c>
      <c r="Q4026" s="4" t="str">
        <f>IFERROR(__xludf.DUMMYFUNCTION("""COMPUTED_VALUE"""),"Anota Ai Solucoes Digitais S/a")</f>
        <v>Anota Ai Solucoes Digitais S/a</v>
      </c>
      <c r="R4026" s="33">
        <f>IFERROR(__xludf.DUMMYFUNCTION("""COMPUTED_VALUE"""),1.0)</f>
        <v>1</v>
      </c>
      <c r="S4026" s="4" t="str">
        <f>IFERROR(__xludf.DUMMYFUNCTION("""COMPUTED_VALUE"""),"null")</f>
        <v>null</v>
      </c>
      <c r="T4026" s="33">
        <f>IFERROR(__xludf.DUMMYFUNCTION("""COMPUTED_VALUE"""),0.5)</f>
        <v>0.5</v>
      </c>
      <c r="U4026" s="4" t="str">
        <f>IFERROR(__xludf.DUMMYFUNCTION("""COMPUTED_VALUE"""),"null")</f>
        <v>null</v>
      </c>
      <c r="V4026" s="33">
        <f>IFERROR(__xludf.DUMMYFUNCTION("""COMPUTED_VALUE"""),0.5)</f>
        <v>0.5</v>
      </c>
      <c r="W4026" s="4" t="str">
        <f>IFERROR(__xludf.DUMMYFUNCTION("""COMPUTED_VALUE"""),"Anota Ai Solucoes Digitais S/a")</f>
        <v>Anota Ai Solucoes Digitais S/a</v>
      </c>
      <c r="X4026" s="33">
        <f>IFERROR(__xludf.DUMMYFUNCTION("""COMPUTED_VALUE"""),1.0)</f>
        <v>1</v>
      </c>
    </row>
    <row r="4027">
      <c r="K4027" s="4" t="str">
        <f>IFERROR(__xludf.DUMMYFUNCTION("""COMPUTED_VALUE"""),"CARIOCAS LANCHES")</f>
        <v>CARIOCAS LANCHES</v>
      </c>
      <c r="L4027" s="32">
        <f>IFERROR(__xludf.DUMMYFUNCTION("""COMPUTED_VALUE"""),2.0)</f>
        <v>2</v>
      </c>
      <c r="M4027" s="4" t="str">
        <f>IFERROR(__xludf.DUMMYFUNCTION("""COMPUTED_VALUE"""),"Consumer Soluções Em Tecnologia Ltda")</f>
        <v>Consumer Soluções Em Tecnologia Ltda</v>
      </c>
      <c r="N4027" s="33">
        <f>IFERROR(__xludf.DUMMYFUNCTION("""COMPUTED_VALUE"""),1.0)</f>
        <v>1</v>
      </c>
      <c r="O4027" s="4" t="str">
        <f>IFERROR(__xludf.DUMMYFUNCTION("""COMPUTED_VALUE"""),"Consumer Soluções Em Tecnologia Ltda")</f>
        <v>Consumer Soluções Em Tecnologia Ltda</v>
      </c>
      <c r="P4027" s="33">
        <f>IFERROR(__xludf.DUMMYFUNCTION("""COMPUTED_VALUE"""),0.5)</f>
        <v>0.5</v>
      </c>
      <c r="Q4027" s="4" t="str">
        <f>IFERROR(__xludf.DUMMYFUNCTION("""COMPUTED_VALUE"""),"Consumer Soluções Em Tecnologia Ltda")</f>
        <v>Consumer Soluções Em Tecnologia Ltda</v>
      </c>
      <c r="R4027" s="33">
        <f>IFERROR(__xludf.DUMMYFUNCTION("""COMPUTED_VALUE"""),1.0)</f>
        <v>1</v>
      </c>
      <c r="S4027" s="4" t="str">
        <f>IFERROR(__xludf.DUMMYFUNCTION("""COMPUTED_VALUE"""),"null")</f>
        <v>null</v>
      </c>
      <c r="T4027" s="33">
        <f>IFERROR(__xludf.DUMMYFUNCTION("""COMPUTED_VALUE"""),0.5)</f>
        <v>0.5</v>
      </c>
      <c r="U4027" s="4" t="str">
        <f>IFERROR(__xludf.DUMMYFUNCTION("""COMPUTED_VALUE"""),"Consumer Soluções Em Tecnologia Ltda")</f>
        <v>Consumer Soluções Em Tecnologia Ltda</v>
      </c>
      <c r="V4027" s="33">
        <f>IFERROR(__xludf.DUMMYFUNCTION("""COMPUTED_VALUE"""),1.0)</f>
        <v>1</v>
      </c>
      <c r="W4027" s="4" t="str">
        <f>IFERROR(__xludf.DUMMYFUNCTION("""COMPUTED_VALUE"""),"Consumer Soluções Em Tecnologia Ltda")</f>
        <v>Consumer Soluções Em Tecnologia Ltda</v>
      </c>
      <c r="X4027" s="33">
        <f>IFERROR(__xludf.DUMMYFUNCTION("""COMPUTED_VALUE"""),1.0)</f>
        <v>1</v>
      </c>
    </row>
    <row r="4028">
      <c r="K4028" s="4" t="str">
        <f>IFERROR(__xludf.DUMMYFUNCTION("""COMPUTED_VALUE"""),"PIZZARIA GODEGA")</f>
        <v>PIZZARIA GODEGA</v>
      </c>
      <c r="L4028" s="32">
        <f>IFERROR(__xludf.DUMMYFUNCTION("""COMPUTED_VALUE"""),2.0)</f>
        <v>2</v>
      </c>
      <c r="M4028" s="4" t="str">
        <f>IFERROR(__xludf.DUMMYFUNCTION("""COMPUTED_VALUE"""),"Saipos Serviços De Software")</f>
        <v>Saipos Serviços De Software</v>
      </c>
      <c r="N4028" s="33">
        <f>IFERROR(__xludf.DUMMYFUNCTION("""COMPUTED_VALUE"""),1.0)</f>
        <v>1</v>
      </c>
      <c r="O4028" s="4" t="str">
        <f>IFERROR(__xludf.DUMMYFUNCTION("""COMPUTED_VALUE"""),"Saipos Serviços De Software")</f>
        <v>Saipos Serviços De Software</v>
      </c>
      <c r="P4028" s="33">
        <f>IFERROR(__xludf.DUMMYFUNCTION("""COMPUTED_VALUE"""),0.5)</f>
        <v>0.5</v>
      </c>
      <c r="Q4028" s="4" t="str">
        <f>IFERROR(__xludf.DUMMYFUNCTION("""COMPUTED_VALUE"""),"Saipos Serviços De Software")</f>
        <v>Saipos Serviços De Software</v>
      </c>
      <c r="R4028" s="33">
        <f>IFERROR(__xludf.DUMMYFUNCTION("""COMPUTED_VALUE"""),1.0)</f>
        <v>1</v>
      </c>
      <c r="S4028" s="4" t="str">
        <f>IFERROR(__xludf.DUMMYFUNCTION("""COMPUTED_VALUE"""),"Saipos Serviços De Software")</f>
        <v>Saipos Serviços De Software</v>
      </c>
      <c r="T4028" s="33">
        <f>IFERROR(__xludf.DUMMYFUNCTION("""COMPUTED_VALUE"""),0.5)</f>
        <v>0.5</v>
      </c>
      <c r="U4028" s="4" t="str">
        <f>IFERROR(__xludf.DUMMYFUNCTION("""COMPUTED_VALUE"""),"Saipos Serviços De Software")</f>
        <v>Saipos Serviços De Software</v>
      </c>
      <c r="V4028" s="33">
        <f>IFERROR(__xludf.DUMMYFUNCTION("""COMPUTED_VALUE"""),0.5)</f>
        <v>0.5</v>
      </c>
      <c r="W4028" s="4" t="str">
        <f>IFERROR(__xludf.DUMMYFUNCTION("""COMPUTED_VALUE"""),"Saipos Serviços De Software")</f>
        <v>Saipos Serviços De Software</v>
      </c>
      <c r="X4028" s="33">
        <f>IFERROR(__xludf.DUMMYFUNCTION("""COMPUTED_VALUE"""),0.5)</f>
        <v>0.5</v>
      </c>
    </row>
    <row r="4029">
      <c r="K4029" s="4" t="str">
        <f>IFERROR(__xludf.DUMMYFUNCTION("""COMPUTED_VALUE"""),"PAULO LANCHES")</f>
        <v>PAULO LANCHES</v>
      </c>
      <c r="L4029" s="32">
        <f>IFERROR(__xludf.DUMMYFUNCTION("""COMPUTED_VALUE"""),2.0)</f>
        <v>2</v>
      </c>
      <c r="M4029" s="4" t="str">
        <f>IFERROR(__xludf.DUMMYFUNCTION("""COMPUTED_VALUE"""),"Saipos Serviços De Software")</f>
        <v>Saipos Serviços De Software</v>
      </c>
      <c r="N4029" s="33">
        <f>IFERROR(__xludf.DUMMYFUNCTION("""COMPUTED_VALUE"""),0.5)</f>
        <v>0.5</v>
      </c>
      <c r="O4029" s="4" t="str">
        <f>IFERROR(__xludf.DUMMYFUNCTION("""COMPUTED_VALUE"""),"Saipos Serviços De Software")</f>
        <v>Saipos Serviços De Software</v>
      </c>
      <c r="P4029" s="33">
        <f>IFERROR(__xludf.DUMMYFUNCTION("""COMPUTED_VALUE"""),0.5)</f>
        <v>0.5</v>
      </c>
      <c r="Q4029" s="4" t="str">
        <f>IFERROR(__xludf.DUMMYFUNCTION("""COMPUTED_VALUE"""),"Saipos Serviços De Software")</f>
        <v>Saipos Serviços De Software</v>
      </c>
      <c r="R4029" s="33">
        <f>IFERROR(__xludf.DUMMYFUNCTION("""COMPUTED_VALUE"""),0.5)</f>
        <v>0.5</v>
      </c>
      <c r="S4029" s="4" t="str">
        <f>IFERROR(__xludf.DUMMYFUNCTION("""COMPUTED_VALUE"""),"Saipos Serviços De Software")</f>
        <v>Saipos Serviços De Software</v>
      </c>
      <c r="T4029" s="33">
        <f>IFERROR(__xludf.DUMMYFUNCTION("""COMPUTED_VALUE"""),0.5)</f>
        <v>0.5</v>
      </c>
      <c r="U4029" s="4" t="str">
        <f>IFERROR(__xludf.DUMMYFUNCTION("""COMPUTED_VALUE"""),"Saipos Serviços De Software")</f>
        <v>Saipos Serviços De Software</v>
      </c>
      <c r="V4029" s="33">
        <f>IFERROR(__xludf.DUMMYFUNCTION("""COMPUTED_VALUE"""),0.5)</f>
        <v>0.5</v>
      </c>
      <c r="W4029" s="4" t="str">
        <f>IFERROR(__xludf.DUMMYFUNCTION("""COMPUTED_VALUE"""),"Saipos Serviços De Software")</f>
        <v>Saipos Serviços De Software</v>
      </c>
      <c r="X4029" s="33">
        <f>IFERROR(__xludf.DUMMYFUNCTION("""COMPUTED_VALUE"""),0.5)</f>
        <v>0.5</v>
      </c>
    </row>
    <row r="4030">
      <c r="K4030" s="4" t="str">
        <f>IFERROR(__xludf.DUMMYFUNCTION("""COMPUTED_VALUE"""),"SAFFIRA OLIVEIRA CONFEITARIA")</f>
        <v>SAFFIRA OLIVEIRA CONFEITARIA</v>
      </c>
      <c r="L4030" s="32">
        <f>IFERROR(__xludf.DUMMYFUNCTION("""COMPUTED_VALUE"""),2.0)</f>
        <v>2</v>
      </c>
      <c r="M4030" s="4" t="str">
        <f>IFERROR(__xludf.DUMMYFUNCTION("""COMPUTED_VALUE"""),"Dual Sete Sistemas E Tecnologia")</f>
        <v>Dual Sete Sistemas E Tecnologia</v>
      </c>
      <c r="N4030" s="33">
        <f>IFERROR(__xludf.DUMMYFUNCTION("""COMPUTED_VALUE"""),1.0)</f>
        <v>1</v>
      </c>
      <c r="O4030" s="4" t="str">
        <f>IFERROR(__xludf.DUMMYFUNCTION("""COMPUTED_VALUE"""),"Dual Sete Sistemas E Tecnologia")</f>
        <v>Dual Sete Sistemas E Tecnologia</v>
      </c>
      <c r="P4030" s="33">
        <f>IFERROR(__xludf.DUMMYFUNCTION("""COMPUTED_VALUE"""),0.5)</f>
        <v>0.5</v>
      </c>
      <c r="Q4030" s="4" t="str">
        <f>IFERROR(__xludf.DUMMYFUNCTION("""COMPUTED_VALUE"""),"Dual Sete Sistemas E Tecnologia")</f>
        <v>Dual Sete Sistemas E Tecnologia</v>
      </c>
      <c r="R4030" s="33">
        <f>IFERROR(__xludf.DUMMYFUNCTION("""COMPUTED_VALUE"""),1.0)</f>
        <v>1</v>
      </c>
      <c r="S4030" s="4" t="str">
        <f>IFERROR(__xludf.DUMMYFUNCTION("""COMPUTED_VALUE"""),"Dual Sete Sistemas E Tecnologia")</f>
        <v>Dual Sete Sistemas E Tecnologia</v>
      </c>
      <c r="T4030" s="33">
        <f>IFERROR(__xludf.DUMMYFUNCTION("""COMPUTED_VALUE"""),1.0)</f>
        <v>1</v>
      </c>
      <c r="U4030" s="4" t="str">
        <f>IFERROR(__xludf.DUMMYFUNCTION("""COMPUTED_VALUE"""),"Dual Sete Sistemas E Tecnologia")</f>
        <v>Dual Sete Sistemas E Tecnologia</v>
      </c>
      <c r="V4030" s="33">
        <f>IFERROR(__xludf.DUMMYFUNCTION("""COMPUTED_VALUE"""),1.0)</f>
        <v>1</v>
      </c>
      <c r="W4030" s="4" t="str">
        <f>IFERROR(__xludf.DUMMYFUNCTION("""COMPUTED_VALUE"""),"Dual Sete Sistemas E Tecnologia")</f>
        <v>Dual Sete Sistemas E Tecnologia</v>
      </c>
      <c r="X4030" s="33">
        <f>IFERROR(__xludf.DUMMYFUNCTION("""COMPUTED_VALUE"""),1.0)</f>
        <v>1</v>
      </c>
    </row>
    <row r="4031">
      <c r="K4031" s="4" t="str">
        <f>IFERROR(__xludf.DUMMYFUNCTION("""COMPUTED_VALUE"""),"SABOR ARTE")</f>
        <v>SABOR ARTE</v>
      </c>
      <c r="L4031" s="32">
        <f>IFERROR(__xludf.DUMMYFUNCTION("""COMPUTED_VALUE"""),2.0)</f>
        <v>2</v>
      </c>
      <c r="M4031" s="4" t="str">
        <f>IFERROR(__xludf.DUMMYFUNCTION("""COMPUTED_VALUE"""),"Yooga")</f>
        <v>Yooga</v>
      </c>
      <c r="N4031" s="33">
        <f>IFERROR(__xludf.DUMMYFUNCTION("""COMPUTED_VALUE"""),0.5)</f>
        <v>0.5</v>
      </c>
      <c r="O4031" s="4" t="str">
        <f>IFERROR(__xludf.DUMMYFUNCTION("""COMPUTED_VALUE"""),"Yooga")</f>
        <v>Yooga</v>
      </c>
      <c r="P4031" s="33">
        <f>IFERROR(__xludf.DUMMYFUNCTION("""COMPUTED_VALUE"""),0.5)</f>
        <v>0.5</v>
      </c>
      <c r="Q4031" s="4" t="str">
        <f>IFERROR(__xludf.DUMMYFUNCTION("""COMPUTED_VALUE"""),"null")</f>
        <v>null</v>
      </c>
      <c r="R4031" s="33">
        <f>IFERROR(__xludf.DUMMYFUNCTION("""COMPUTED_VALUE"""),1.0)</f>
        <v>1</v>
      </c>
      <c r="S4031" s="4" t="str">
        <f>IFERROR(__xludf.DUMMYFUNCTION("""COMPUTED_VALUE"""),"null")</f>
        <v>null</v>
      </c>
      <c r="T4031" s="33">
        <f>IFERROR(__xludf.DUMMYFUNCTION("""COMPUTED_VALUE"""),1.0)</f>
        <v>1</v>
      </c>
      <c r="U4031" s="4" t="str">
        <f>IFERROR(__xludf.DUMMYFUNCTION("""COMPUTED_VALUE"""),"null")</f>
        <v>null</v>
      </c>
      <c r="V4031" s="33">
        <f>IFERROR(__xludf.DUMMYFUNCTION("""COMPUTED_VALUE"""),0.5)</f>
        <v>0.5</v>
      </c>
      <c r="W4031" s="4" t="str">
        <f>IFERROR(__xludf.DUMMYFUNCTION("""COMPUTED_VALUE"""),"null")</f>
        <v>null</v>
      </c>
      <c r="X4031" s="33">
        <f>IFERROR(__xludf.DUMMYFUNCTION("""COMPUTED_VALUE"""),0.5)</f>
        <v>0.5</v>
      </c>
    </row>
    <row r="4032">
      <c r="K4032" s="4" t="str">
        <f>IFERROR(__xludf.DUMMYFUNCTION("""COMPUTED_VALUE"""),"ADEGA DO MAGRAO")</f>
        <v>ADEGA DO MAGRAO</v>
      </c>
      <c r="L4032" s="32">
        <f>IFERROR(__xludf.DUMMYFUNCTION("""COMPUTED_VALUE"""),2.0)</f>
        <v>2</v>
      </c>
      <c r="M4032" s="4" t="str">
        <f>IFERROR(__xludf.DUMMYFUNCTION("""COMPUTED_VALUE"""),"Gplus Sistemas")</f>
        <v>Gplus Sistemas</v>
      </c>
      <c r="N4032" s="33">
        <f>IFERROR(__xludf.DUMMYFUNCTION("""COMPUTED_VALUE"""),0.5)</f>
        <v>0.5</v>
      </c>
      <c r="O4032" s="4" t="str">
        <f>IFERROR(__xludf.DUMMYFUNCTION("""COMPUTED_VALUE"""),"null")</f>
        <v>null</v>
      </c>
      <c r="P4032" s="33">
        <f>IFERROR(__xludf.DUMMYFUNCTION("""COMPUTED_VALUE"""),0.5)</f>
        <v>0.5</v>
      </c>
      <c r="Q4032" s="4" t="str">
        <f>IFERROR(__xludf.DUMMYFUNCTION("""COMPUTED_VALUE"""),"null")</f>
        <v>null</v>
      </c>
      <c r="R4032" s="33">
        <f>IFERROR(__xludf.DUMMYFUNCTION("""COMPUTED_VALUE"""),0.5)</f>
        <v>0.5</v>
      </c>
      <c r="S4032" s="4" t="str">
        <f>IFERROR(__xludf.DUMMYFUNCTION("""COMPUTED_VALUE"""),"null")</f>
        <v>null</v>
      </c>
      <c r="T4032" s="33">
        <f>IFERROR(__xludf.DUMMYFUNCTION("""COMPUTED_VALUE"""),0.5)</f>
        <v>0.5</v>
      </c>
      <c r="U4032" s="4" t="str">
        <f>IFERROR(__xludf.DUMMYFUNCTION("""COMPUTED_VALUE"""),"null")</f>
        <v>null</v>
      </c>
      <c r="V4032" s="33">
        <f>IFERROR(__xludf.DUMMYFUNCTION("""COMPUTED_VALUE"""),0.5)</f>
        <v>0.5</v>
      </c>
      <c r="W4032" s="4" t="str">
        <f>IFERROR(__xludf.DUMMYFUNCTION("""COMPUTED_VALUE"""),"null")</f>
        <v>null</v>
      </c>
      <c r="X4032" s="33">
        <f>IFERROR(__xludf.DUMMYFUNCTION("""COMPUTED_VALUE"""),0.5)</f>
        <v>0.5</v>
      </c>
    </row>
    <row r="4033">
      <c r="K4033" s="4" t="str">
        <f>IFERROR(__xludf.DUMMYFUNCTION("""COMPUTED_VALUE"""),"PRENSADAO DO LUCAO")</f>
        <v>PRENSADAO DO LUCAO</v>
      </c>
      <c r="L4033" s="32">
        <f>IFERROR(__xludf.DUMMYFUNCTION("""COMPUTED_VALUE"""),2.0)</f>
        <v>2</v>
      </c>
      <c r="M4033" s="4" t="str">
        <f>IFERROR(__xludf.DUMMYFUNCTION("""COMPUTED_VALUE"""),"Anota Ai Solucoes Digitais S/a")</f>
        <v>Anota Ai Solucoes Digitais S/a</v>
      </c>
      <c r="N4033" s="33">
        <f>IFERROR(__xludf.DUMMYFUNCTION("""COMPUTED_VALUE"""),0.5)</f>
        <v>0.5</v>
      </c>
      <c r="O4033" s="4" t="str">
        <f>IFERROR(__xludf.DUMMYFUNCTION("""COMPUTED_VALUE"""),"Anota Ai Solucoes Digitais S/a")</f>
        <v>Anota Ai Solucoes Digitais S/a</v>
      </c>
      <c r="P4033" s="33">
        <f>IFERROR(__xludf.DUMMYFUNCTION("""COMPUTED_VALUE"""),0.5)</f>
        <v>0.5</v>
      </c>
      <c r="Q4033" s="4" t="str">
        <f>IFERROR(__xludf.DUMMYFUNCTION("""COMPUTED_VALUE"""),"Anota Ai Solucoes Digitais S/a")</f>
        <v>Anota Ai Solucoes Digitais S/a</v>
      </c>
      <c r="R4033" s="33">
        <f>IFERROR(__xludf.DUMMYFUNCTION("""COMPUTED_VALUE"""),0.5)</f>
        <v>0.5</v>
      </c>
      <c r="S4033" s="4" t="str">
        <f>IFERROR(__xludf.DUMMYFUNCTION("""COMPUTED_VALUE"""),"null")</f>
        <v>null</v>
      </c>
      <c r="T4033" s="33">
        <f>IFERROR(__xludf.DUMMYFUNCTION("""COMPUTED_VALUE"""),0.5)</f>
        <v>0.5</v>
      </c>
      <c r="U4033" s="4" t="str">
        <f>IFERROR(__xludf.DUMMYFUNCTION("""COMPUTED_VALUE"""),"null")</f>
        <v>null</v>
      </c>
      <c r="V4033" s="33">
        <f>IFERROR(__xludf.DUMMYFUNCTION("""COMPUTED_VALUE"""),0.5)</f>
        <v>0.5</v>
      </c>
      <c r="W4033" s="4" t="str">
        <f>IFERROR(__xludf.DUMMYFUNCTION("""COMPUTED_VALUE"""),"null")</f>
        <v>null</v>
      </c>
      <c r="X4033" s="33">
        <f>IFERROR(__xludf.DUMMYFUNCTION("""COMPUTED_VALUE"""),0.5)</f>
        <v>0.5</v>
      </c>
    </row>
    <row r="4034">
      <c r="K4034" s="4" t="str">
        <f>IFERROR(__xludf.DUMMYFUNCTION("""COMPUTED_VALUE"""),"SENHOR HAMBURGUER")</f>
        <v>SENHOR HAMBURGUER</v>
      </c>
      <c r="L4034" s="32">
        <f>IFERROR(__xludf.DUMMYFUNCTION("""COMPUTED_VALUE"""),2.0)</f>
        <v>2</v>
      </c>
      <c r="M4034" s="4" t="str">
        <f>IFERROR(__xludf.DUMMYFUNCTION("""COMPUTED_VALUE"""),"Yooga")</f>
        <v>Yooga</v>
      </c>
      <c r="N4034" s="33">
        <f>IFERROR(__xludf.DUMMYFUNCTION("""COMPUTED_VALUE"""),0.5)</f>
        <v>0.5</v>
      </c>
      <c r="O4034" s="4" t="str">
        <f>IFERROR(__xludf.DUMMYFUNCTION("""COMPUTED_VALUE"""),"Yooga")</f>
        <v>Yooga</v>
      </c>
      <c r="P4034" s="33">
        <f>IFERROR(__xludf.DUMMYFUNCTION("""COMPUTED_VALUE"""),0.5)</f>
        <v>0.5</v>
      </c>
      <c r="Q4034" s="4" t="str">
        <f>IFERROR(__xludf.DUMMYFUNCTION("""COMPUTED_VALUE"""),"Yooga")</f>
        <v>Yooga</v>
      </c>
      <c r="R4034" s="33">
        <f>IFERROR(__xludf.DUMMYFUNCTION("""COMPUTED_VALUE"""),0.5)</f>
        <v>0.5</v>
      </c>
      <c r="S4034" s="4" t="str">
        <f>IFERROR(__xludf.DUMMYFUNCTION("""COMPUTED_VALUE"""),"Yooga")</f>
        <v>Yooga</v>
      </c>
      <c r="T4034" s="33">
        <f>IFERROR(__xludf.DUMMYFUNCTION("""COMPUTED_VALUE"""),0.5)</f>
        <v>0.5</v>
      </c>
      <c r="U4034" s="4" t="str">
        <f>IFERROR(__xludf.DUMMYFUNCTION("""COMPUTED_VALUE"""),"Yooga")</f>
        <v>Yooga</v>
      </c>
      <c r="V4034" s="33">
        <f>IFERROR(__xludf.DUMMYFUNCTION("""COMPUTED_VALUE"""),0.5)</f>
        <v>0.5</v>
      </c>
      <c r="W4034" s="4" t="str">
        <f>IFERROR(__xludf.DUMMYFUNCTION("""COMPUTED_VALUE"""),"null")</f>
        <v>null</v>
      </c>
      <c r="X4034" s="33">
        <f>IFERROR(__xludf.DUMMYFUNCTION("""COMPUTED_VALUE"""),0.5)</f>
        <v>0.5</v>
      </c>
    </row>
    <row r="4035">
      <c r="K4035" s="4" t="str">
        <f>IFERROR(__xludf.DUMMYFUNCTION("""COMPUTED_VALUE"""),"BOM PALADAR")</f>
        <v>BOM PALADAR</v>
      </c>
      <c r="L4035" s="32">
        <f>IFERROR(__xludf.DUMMYFUNCTION("""COMPUTED_VALUE"""),2.0)</f>
        <v>2</v>
      </c>
      <c r="M4035" s="4" t="str">
        <f>IFERROR(__xludf.DUMMYFUNCTION("""COMPUTED_VALUE"""),"Expresso Delivery")</f>
        <v>Expresso Delivery</v>
      </c>
      <c r="N4035" s="33">
        <f>IFERROR(__xludf.DUMMYFUNCTION("""COMPUTED_VALUE"""),0.5)</f>
        <v>0.5</v>
      </c>
      <c r="O4035" s="4" t="str">
        <f>IFERROR(__xludf.DUMMYFUNCTION("""COMPUTED_VALUE"""),"Expresso Delivery")</f>
        <v>Expresso Delivery</v>
      </c>
      <c r="P4035" s="33">
        <f>IFERROR(__xludf.DUMMYFUNCTION("""COMPUTED_VALUE"""),0.5)</f>
        <v>0.5</v>
      </c>
      <c r="Q4035" s="4" t="str">
        <f>IFERROR(__xludf.DUMMYFUNCTION("""COMPUTED_VALUE"""),"Expresso Delivery")</f>
        <v>Expresso Delivery</v>
      </c>
      <c r="R4035" s="33">
        <f>IFERROR(__xludf.DUMMYFUNCTION("""COMPUTED_VALUE"""),0.5)</f>
        <v>0.5</v>
      </c>
      <c r="S4035" s="4" t="str">
        <f>IFERROR(__xludf.DUMMYFUNCTION("""COMPUTED_VALUE"""),"Expresso Delivery")</f>
        <v>Expresso Delivery</v>
      </c>
      <c r="T4035" s="33">
        <f>IFERROR(__xludf.DUMMYFUNCTION("""COMPUTED_VALUE"""),0.5)</f>
        <v>0.5</v>
      </c>
      <c r="U4035" s="4" t="str">
        <f>IFERROR(__xludf.DUMMYFUNCTION("""COMPUTED_VALUE"""),"Expresso Delivery")</f>
        <v>Expresso Delivery</v>
      </c>
      <c r="V4035" s="33">
        <f>IFERROR(__xludf.DUMMYFUNCTION("""COMPUTED_VALUE"""),0.5)</f>
        <v>0.5</v>
      </c>
      <c r="W4035" s="4" t="str">
        <f>IFERROR(__xludf.DUMMYFUNCTION("""COMPUTED_VALUE"""),"Expresso Delivery")</f>
        <v>Expresso Delivery</v>
      </c>
      <c r="X4035" s="33">
        <f>IFERROR(__xludf.DUMMYFUNCTION("""COMPUTED_VALUE"""),0.5)</f>
        <v>0.5</v>
      </c>
    </row>
    <row r="4036">
      <c r="K4036" s="4" t="str">
        <f>IFERROR(__xludf.DUMMYFUNCTION("""COMPUTED_VALUE"""),"PIZZARIA ALTERNATIVA")</f>
        <v>PIZZARIA ALTERNATIVA</v>
      </c>
      <c r="L4036" s="32">
        <f>IFERROR(__xludf.DUMMYFUNCTION("""COMPUTED_VALUE"""),2.0)</f>
        <v>2</v>
      </c>
      <c r="M4036" s="4" t="str">
        <f>IFERROR(__xludf.DUMMYFUNCTION("""COMPUTED_VALUE"""),"Suitable Tecnologia E Gestao")</f>
        <v>Suitable Tecnologia E Gestao</v>
      </c>
      <c r="N4036" s="33">
        <f>IFERROR(__xludf.DUMMYFUNCTION("""COMPUTED_VALUE"""),0.5)</f>
        <v>0.5</v>
      </c>
      <c r="O4036" s="4" t="str">
        <f>IFERROR(__xludf.DUMMYFUNCTION("""COMPUTED_VALUE"""),"Suitable Tecnologia E Gestao")</f>
        <v>Suitable Tecnologia E Gestao</v>
      </c>
      <c r="P4036" s="33">
        <f>IFERROR(__xludf.DUMMYFUNCTION("""COMPUTED_VALUE"""),0.5)</f>
        <v>0.5</v>
      </c>
      <c r="Q4036" s="4" t="str">
        <f>IFERROR(__xludf.DUMMYFUNCTION("""COMPUTED_VALUE"""),"Suitable Tecnologia E Gestao")</f>
        <v>Suitable Tecnologia E Gestao</v>
      </c>
      <c r="R4036" s="33">
        <f>IFERROR(__xludf.DUMMYFUNCTION("""COMPUTED_VALUE"""),0.5)</f>
        <v>0.5</v>
      </c>
      <c r="S4036" s="4" t="str">
        <f>IFERROR(__xludf.DUMMYFUNCTION("""COMPUTED_VALUE"""),"Suitable Tecnologia E Gestao")</f>
        <v>Suitable Tecnologia E Gestao</v>
      </c>
      <c r="T4036" s="33">
        <f>IFERROR(__xludf.DUMMYFUNCTION("""COMPUTED_VALUE"""),0.5)</f>
        <v>0.5</v>
      </c>
      <c r="U4036" s="4" t="str">
        <f>IFERROR(__xludf.DUMMYFUNCTION("""COMPUTED_VALUE"""),"Suitable Tecnologia E Gestao")</f>
        <v>Suitable Tecnologia E Gestao</v>
      </c>
      <c r="V4036" s="33">
        <f>IFERROR(__xludf.DUMMYFUNCTION("""COMPUTED_VALUE"""),0.5)</f>
        <v>0.5</v>
      </c>
      <c r="W4036" s="4" t="str">
        <f>IFERROR(__xludf.DUMMYFUNCTION("""COMPUTED_VALUE"""),"Suitable Tecnologia E Gestao")</f>
        <v>Suitable Tecnologia E Gestao</v>
      </c>
      <c r="X4036" s="33">
        <f>IFERROR(__xludf.DUMMYFUNCTION("""COMPUTED_VALUE"""),0.5)</f>
        <v>0.5</v>
      </c>
    </row>
    <row r="4037">
      <c r="K4037" s="4" t="str">
        <f>IFERROR(__xludf.DUMMYFUNCTION("""COMPUTED_VALUE"""),"O GARFO - O MELHOR PARMEGIANA")</f>
        <v>O GARFO - O MELHOR PARMEGIANA</v>
      </c>
      <c r="L4037" s="32">
        <f>IFERROR(__xludf.DUMMYFUNCTION("""COMPUTED_VALUE"""),2.0)</f>
        <v>2</v>
      </c>
      <c r="M4037" s="4" t="str">
        <f>IFERROR(__xludf.DUMMYFUNCTION("""COMPUTED_VALUE"""),"Cloudfy")</f>
        <v>Cloudfy</v>
      </c>
      <c r="N4037" s="33">
        <f>IFERROR(__xludf.DUMMYFUNCTION("""COMPUTED_VALUE"""),1.0)</f>
        <v>1</v>
      </c>
      <c r="O4037" s="4" t="str">
        <f>IFERROR(__xludf.DUMMYFUNCTION("""COMPUTED_VALUE"""),"Cloudfy")</f>
        <v>Cloudfy</v>
      </c>
      <c r="P4037" s="33">
        <f>IFERROR(__xludf.DUMMYFUNCTION("""COMPUTED_VALUE"""),1.0)</f>
        <v>1</v>
      </c>
      <c r="Q4037" s="4" t="str">
        <f>IFERROR(__xludf.DUMMYFUNCTION("""COMPUTED_VALUE"""),"Cloudfy")</f>
        <v>Cloudfy</v>
      </c>
      <c r="R4037" s="33">
        <f>IFERROR(__xludf.DUMMYFUNCTION("""COMPUTED_VALUE"""),1.0)</f>
        <v>1</v>
      </c>
      <c r="S4037" s="4" t="str">
        <f>IFERROR(__xludf.DUMMYFUNCTION("""COMPUTED_VALUE"""),"Cloudfy")</f>
        <v>Cloudfy</v>
      </c>
      <c r="T4037" s="33">
        <f>IFERROR(__xludf.DUMMYFUNCTION("""COMPUTED_VALUE"""),1.0)</f>
        <v>1</v>
      </c>
      <c r="U4037" s="4" t="str">
        <f>IFERROR(__xludf.DUMMYFUNCTION("""COMPUTED_VALUE"""),"Cloudfy")</f>
        <v>Cloudfy</v>
      </c>
      <c r="V4037" s="33">
        <f>IFERROR(__xludf.DUMMYFUNCTION("""COMPUTED_VALUE"""),1.0)</f>
        <v>1</v>
      </c>
      <c r="W4037" s="4" t="str">
        <f>IFERROR(__xludf.DUMMYFUNCTION("""COMPUTED_VALUE"""),"Cloudfy")</f>
        <v>Cloudfy</v>
      </c>
      <c r="X4037" s="33">
        <f>IFERROR(__xludf.DUMMYFUNCTION("""COMPUTED_VALUE"""),1.0)</f>
        <v>1</v>
      </c>
    </row>
    <row r="4038">
      <c r="K4038" s="4" t="str">
        <f>IFERROR(__xludf.DUMMYFUNCTION("""COMPUTED_VALUE"""),"LETS HAMBURGUERIA")</f>
        <v>LETS HAMBURGUERIA</v>
      </c>
      <c r="L4038" s="32">
        <f>IFERROR(__xludf.DUMMYFUNCTION("""COMPUTED_VALUE"""),2.0)</f>
        <v>2</v>
      </c>
      <c r="M4038" s="4" t="str">
        <f>IFERROR(__xludf.DUMMYFUNCTION("""COMPUTED_VALUE"""),"Saipos Serviços De Software")</f>
        <v>Saipos Serviços De Software</v>
      </c>
      <c r="N4038" s="33">
        <f>IFERROR(__xludf.DUMMYFUNCTION("""COMPUTED_VALUE"""),0.5)</f>
        <v>0.5</v>
      </c>
      <c r="O4038" s="4" t="str">
        <f>IFERROR(__xludf.DUMMYFUNCTION("""COMPUTED_VALUE"""),"Saipos Serviços De Software")</f>
        <v>Saipos Serviços De Software</v>
      </c>
      <c r="P4038" s="33">
        <f>IFERROR(__xludf.DUMMYFUNCTION("""COMPUTED_VALUE"""),0.5)</f>
        <v>0.5</v>
      </c>
      <c r="Q4038" s="4" t="str">
        <f>IFERROR(__xludf.DUMMYFUNCTION("""COMPUTED_VALUE"""),"Saipos Serviços De Software")</f>
        <v>Saipos Serviços De Software</v>
      </c>
      <c r="R4038" s="33">
        <f>IFERROR(__xludf.DUMMYFUNCTION("""COMPUTED_VALUE"""),0.5)</f>
        <v>0.5</v>
      </c>
      <c r="S4038" s="4" t="str">
        <f>IFERROR(__xludf.DUMMYFUNCTION("""COMPUTED_VALUE"""),"Saipos Serviços De Software")</f>
        <v>Saipos Serviços De Software</v>
      </c>
      <c r="T4038" s="33">
        <f>IFERROR(__xludf.DUMMYFUNCTION("""COMPUTED_VALUE"""),0.5)</f>
        <v>0.5</v>
      </c>
      <c r="U4038" s="4" t="str">
        <f>IFERROR(__xludf.DUMMYFUNCTION("""COMPUTED_VALUE"""),"Saipos Serviços De Software")</f>
        <v>Saipos Serviços De Software</v>
      </c>
      <c r="V4038" s="33">
        <f>IFERROR(__xludf.DUMMYFUNCTION("""COMPUTED_VALUE"""),0.5)</f>
        <v>0.5</v>
      </c>
      <c r="W4038" s="4" t="str">
        <f>IFERROR(__xludf.DUMMYFUNCTION("""COMPUTED_VALUE"""),"Saipos Serviços De Software")</f>
        <v>Saipos Serviços De Software</v>
      </c>
      <c r="X4038" s="33">
        <f>IFERROR(__xludf.DUMMYFUNCTION("""COMPUTED_VALUE"""),0.5)</f>
        <v>0.5</v>
      </c>
    </row>
    <row r="4039">
      <c r="K4039" s="4" t="str">
        <f>IFERROR(__xludf.DUMMYFUNCTION("""COMPUTED_VALUE"""),"FARMACIA DESCONTO FACIL")</f>
        <v>FARMACIA DESCONTO FACIL</v>
      </c>
      <c r="L4039" s="32">
        <f>IFERROR(__xludf.DUMMYFUNCTION("""COMPUTED_VALUE"""),2.0)</f>
        <v>2</v>
      </c>
      <c r="M4039" s="4" t="str">
        <f>IFERROR(__xludf.DUMMYFUNCTION("""COMPUTED_VALUE"""),"N/A (Not found)")</f>
        <v>N/A (Not found)</v>
      </c>
      <c r="N4039" s="33">
        <f>IFERROR(__xludf.DUMMYFUNCTION("""COMPUTED_VALUE"""),0.5)</f>
        <v>0.5</v>
      </c>
      <c r="O4039" s="4" t="str">
        <f>IFERROR(__xludf.DUMMYFUNCTION("""COMPUTED_VALUE"""),"N/A (Not found)")</f>
        <v>N/A (Not found)</v>
      </c>
      <c r="P4039" s="33">
        <f>IFERROR(__xludf.DUMMYFUNCTION("""COMPUTED_VALUE"""),1.0)</f>
        <v>1</v>
      </c>
      <c r="Q4039" s="4" t="str">
        <f>IFERROR(__xludf.DUMMYFUNCTION("""COMPUTED_VALUE"""),"N/A (Not found)")</f>
        <v>N/A (Not found)</v>
      </c>
      <c r="R4039" s="33">
        <f>IFERROR(__xludf.DUMMYFUNCTION("""COMPUTED_VALUE"""),1.0)</f>
        <v>1</v>
      </c>
      <c r="S4039" s="4" t="str">
        <f>IFERROR(__xludf.DUMMYFUNCTION("""COMPUTED_VALUE"""),"N/A (Not found)")</f>
        <v>N/A (Not found)</v>
      </c>
      <c r="T4039" s="33">
        <f>IFERROR(__xludf.DUMMYFUNCTION("""COMPUTED_VALUE"""),1.0)</f>
        <v>1</v>
      </c>
      <c r="U4039" s="4" t="str">
        <f>IFERROR(__xludf.DUMMYFUNCTION("""COMPUTED_VALUE"""),"N/A (Not found)")</f>
        <v>N/A (Not found)</v>
      </c>
      <c r="V4039" s="33">
        <f>IFERROR(__xludf.DUMMYFUNCTION("""COMPUTED_VALUE"""),1.0)</f>
        <v>1</v>
      </c>
      <c r="W4039" s="4" t="str">
        <f>IFERROR(__xludf.DUMMYFUNCTION("""COMPUTED_VALUE"""),"N/A (Not found)")</f>
        <v>N/A (Not found)</v>
      </c>
      <c r="X4039" s="33">
        <f>IFERROR(__xludf.DUMMYFUNCTION("""COMPUTED_VALUE"""),1.0)</f>
        <v>1</v>
      </c>
    </row>
    <row r="4040">
      <c r="K4040" s="4" t="str">
        <f>IFERROR(__xludf.DUMMYFUNCTION("""COMPUTED_VALUE"""),"GULLA BURGUER")</f>
        <v>GULLA BURGUER</v>
      </c>
      <c r="L4040" s="32">
        <f>IFERROR(__xludf.DUMMYFUNCTION("""COMPUTED_VALUE"""),2.0)</f>
        <v>2</v>
      </c>
      <c r="M4040" s="4" t="str">
        <f>IFERROR(__xludf.DUMMYFUNCTION("""COMPUTED_VALUE"""),"Saipos Serviços De Software")</f>
        <v>Saipos Serviços De Software</v>
      </c>
      <c r="N4040" s="33">
        <f>IFERROR(__xludf.DUMMYFUNCTION("""COMPUTED_VALUE"""),1.0)</f>
        <v>1</v>
      </c>
      <c r="O4040" s="4" t="str">
        <f>IFERROR(__xludf.DUMMYFUNCTION("""COMPUTED_VALUE"""),"Saipos Serviços De Software")</f>
        <v>Saipos Serviços De Software</v>
      </c>
      <c r="P4040" s="33">
        <f>IFERROR(__xludf.DUMMYFUNCTION("""COMPUTED_VALUE"""),1.0)</f>
        <v>1</v>
      </c>
      <c r="Q4040" s="4" t="str">
        <f>IFERROR(__xludf.DUMMYFUNCTION("""COMPUTED_VALUE"""),"Saipos Serviços De Software")</f>
        <v>Saipos Serviços De Software</v>
      </c>
      <c r="R4040" s="33">
        <f>IFERROR(__xludf.DUMMYFUNCTION("""COMPUTED_VALUE"""),1.0)</f>
        <v>1</v>
      </c>
      <c r="S4040" s="4" t="str">
        <f>IFERROR(__xludf.DUMMYFUNCTION("""COMPUTED_VALUE"""),"Saipos Serviços De Software")</f>
        <v>Saipos Serviços De Software</v>
      </c>
      <c r="T4040" s="33">
        <f>IFERROR(__xludf.DUMMYFUNCTION("""COMPUTED_VALUE"""),1.0)</f>
        <v>1</v>
      </c>
      <c r="U4040" s="4" t="str">
        <f>IFERROR(__xludf.DUMMYFUNCTION("""COMPUTED_VALUE"""),"Saipos Serviços De Software")</f>
        <v>Saipos Serviços De Software</v>
      </c>
      <c r="V4040" s="33">
        <f>IFERROR(__xludf.DUMMYFUNCTION("""COMPUTED_VALUE"""),1.0)</f>
        <v>1</v>
      </c>
      <c r="W4040" s="4" t="str">
        <f>IFERROR(__xludf.DUMMYFUNCTION("""COMPUTED_VALUE"""),"Saipos Serviços De Software")</f>
        <v>Saipos Serviços De Software</v>
      </c>
      <c r="X4040" s="33">
        <f>IFERROR(__xludf.DUMMYFUNCTION("""COMPUTED_VALUE"""),1.0)</f>
        <v>1</v>
      </c>
    </row>
    <row r="4041">
      <c r="K4041" s="4" t="str">
        <f>IFERROR(__xludf.DUMMYFUNCTION("""COMPUTED_VALUE"""),"PADARIA ESTRELA")</f>
        <v>PADARIA ESTRELA</v>
      </c>
      <c r="L4041" s="32">
        <f>IFERROR(__xludf.DUMMYFUNCTION("""COMPUTED_VALUE"""),2.0)</f>
        <v>2</v>
      </c>
      <c r="M4041" s="4" t="str">
        <f>IFERROR(__xludf.DUMMYFUNCTION("""COMPUTED_VALUE"""),"Sistema Pallas")</f>
        <v>Sistema Pallas</v>
      </c>
      <c r="N4041" s="33">
        <f>IFERROR(__xludf.DUMMYFUNCTION("""COMPUTED_VALUE"""),0.5)</f>
        <v>0.5</v>
      </c>
      <c r="O4041" s="4" t="str">
        <f>IFERROR(__xludf.DUMMYFUNCTION("""COMPUTED_VALUE"""),"Sistema Pallas")</f>
        <v>Sistema Pallas</v>
      </c>
      <c r="P4041" s="33">
        <f>IFERROR(__xludf.DUMMYFUNCTION("""COMPUTED_VALUE"""),0.5)</f>
        <v>0.5</v>
      </c>
      <c r="Q4041" s="4" t="str">
        <f>IFERROR(__xludf.DUMMYFUNCTION("""COMPUTED_VALUE"""),"Sistema Pallas")</f>
        <v>Sistema Pallas</v>
      </c>
      <c r="R4041" s="33">
        <f>IFERROR(__xludf.DUMMYFUNCTION("""COMPUTED_VALUE"""),0.5)</f>
        <v>0.5</v>
      </c>
      <c r="S4041" s="4" t="str">
        <f>IFERROR(__xludf.DUMMYFUNCTION("""COMPUTED_VALUE"""),"Sistema Pallas")</f>
        <v>Sistema Pallas</v>
      </c>
      <c r="T4041" s="33">
        <f>IFERROR(__xludf.DUMMYFUNCTION("""COMPUTED_VALUE"""),0.5)</f>
        <v>0.5</v>
      </c>
      <c r="U4041" s="4" t="str">
        <f>IFERROR(__xludf.DUMMYFUNCTION("""COMPUTED_VALUE"""),"Sistema Pallas")</f>
        <v>Sistema Pallas</v>
      </c>
      <c r="V4041" s="33">
        <f>IFERROR(__xludf.DUMMYFUNCTION("""COMPUTED_VALUE"""),0.5)</f>
        <v>0.5</v>
      </c>
      <c r="W4041" s="4" t="str">
        <f>IFERROR(__xludf.DUMMYFUNCTION("""COMPUTED_VALUE"""),"Sistema Pallas")</f>
        <v>Sistema Pallas</v>
      </c>
      <c r="X4041" s="33">
        <f>IFERROR(__xludf.DUMMYFUNCTION("""COMPUTED_VALUE"""),0.5)</f>
        <v>0.5</v>
      </c>
    </row>
    <row r="4042">
      <c r="K4042" s="4" t="str">
        <f>IFERROR(__xludf.DUMMYFUNCTION("""COMPUTED_VALUE"""),"SAI DA TOCA")</f>
        <v>SAI DA TOCA</v>
      </c>
      <c r="L4042" s="32">
        <f>IFERROR(__xludf.DUMMYFUNCTION("""COMPUTED_VALUE"""),2.0)</f>
        <v>2</v>
      </c>
      <c r="M4042" s="4" t="str">
        <f>IFERROR(__xludf.DUMMYFUNCTION("""COMPUTED_VALUE"""),"null")</f>
        <v>null</v>
      </c>
      <c r="N4042" s="33">
        <f>IFERROR(__xludf.DUMMYFUNCTION("""COMPUTED_VALUE"""),1.0)</f>
        <v>1</v>
      </c>
      <c r="O4042" s="4" t="str">
        <f>IFERROR(__xludf.DUMMYFUNCTION("""COMPUTED_VALUE"""),"null")</f>
        <v>null</v>
      </c>
      <c r="P4042" s="33">
        <f>IFERROR(__xludf.DUMMYFUNCTION("""COMPUTED_VALUE"""),1.0)</f>
        <v>1</v>
      </c>
      <c r="Q4042" s="4" t="str">
        <f>IFERROR(__xludf.DUMMYFUNCTION("""COMPUTED_VALUE"""),"null")</f>
        <v>null</v>
      </c>
      <c r="R4042" s="33">
        <f>IFERROR(__xludf.DUMMYFUNCTION("""COMPUTED_VALUE"""),1.0)</f>
        <v>1</v>
      </c>
      <c r="S4042" s="4" t="str">
        <f>IFERROR(__xludf.DUMMYFUNCTION("""COMPUTED_VALUE"""),"null")</f>
        <v>null</v>
      </c>
      <c r="T4042" s="33">
        <f>IFERROR(__xludf.DUMMYFUNCTION("""COMPUTED_VALUE"""),1.0)</f>
        <v>1</v>
      </c>
      <c r="U4042" s="4" t="str">
        <f>IFERROR(__xludf.DUMMYFUNCTION("""COMPUTED_VALUE"""),"null")</f>
        <v>null</v>
      </c>
      <c r="V4042" s="33">
        <f>IFERROR(__xludf.DUMMYFUNCTION("""COMPUTED_VALUE"""),1.0)</f>
        <v>1</v>
      </c>
      <c r="W4042" s="4" t="str">
        <f>IFERROR(__xludf.DUMMYFUNCTION("""COMPUTED_VALUE"""),"Catedral Automação")</f>
        <v>Catedral Automação</v>
      </c>
      <c r="X4042" s="33">
        <f>IFERROR(__xludf.DUMMYFUNCTION("""COMPUTED_VALUE"""),1.0)</f>
        <v>1</v>
      </c>
    </row>
    <row r="4043">
      <c r="K4043" s="4" t="str">
        <f>IFERROR(__xludf.DUMMYFUNCTION("""COMPUTED_VALUE"""),"ACAI UNIVERSITARIO")</f>
        <v>ACAI UNIVERSITARIO</v>
      </c>
      <c r="L4043" s="32">
        <f>IFERROR(__xludf.DUMMYFUNCTION("""COMPUTED_VALUE"""),2.0)</f>
        <v>2</v>
      </c>
      <c r="M4043" s="4" t="str">
        <f>IFERROR(__xludf.DUMMYFUNCTION("""COMPUTED_VALUE"""),"Cainelli Automação Comercial")</f>
        <v>Cainelli Automação Comercial</v>
      </c>
      <c r="N4043" s="33">
        <f>IFERROR(__xludf.DUMMYFUNCTION("""COMPUTED_VALUE"""),0.5)</f>
        <v>0.5</v>
      </c>
      <c r="O4043" s="4" t="str">
        <f>IFERROR(__xludf.DUMMYFUNCTION("""COMPUTED_VALUE"""),"Cainelli Automação Comercial")</f>
        <v>Cainelli Automação Comercial</v>
      </c>
      <c r="P4043" s="33">
        <f>IFERROR(__xludf.DUMMYFUNCTION("""COMPUTED_VALUE"""),0.5)</f>
        <v>0.5</v>
      </c>
      <c r="Q4043" s="4" t="str">
        <f>IFERROR(__xludf.DUMMYFUNCTION("""COMPUTED_VALUE"""),"Cainelli Automação Comercial")</f>
        <v>Cainelli Automação Comercial</v>
      </c>
      <c r="R4043" s="33">
        <f>IFERROR(__xludf.DUMMYFUNCTION("""COMPUTED_VALUE"""),0.5)</f>
        <v>0.5</v>
      </c>
      <c r="S4043" s="4" t="str">
        <f>IFERROR(__xludf.DUMMYFUNCTION("""COMPUTED_VALUE"""),"Cainelli Automação Comercial")</f>
        <v>Cainelli Automação Comercial</v>
      </c>
      <c r="T4043" s="33">
        <f>IFERROR(__xludf.DUMMYFUNCTION("""COMPUTED_VALUE"""),0.5)</f>
        <v>0.5</v>
      </c>
      <c r="U4043" s="4" t="str">
        <f>IFERROR(__xludf.DUMMYFUNCTION("""COMPUTED_VALUE"""),"Cainelli Automação Comercial")</f>
        <v>Cainelli Automação Comercial</v>
      </c>
      <c r="V4043" s="33">
        <f>IFERROR(__xludf.DUMMYFUNCTION("""COMPUTED_VALUE"""),0.5)</f>
        <v>0.5</v>
      </c>
      <c r="W4043" s="4" t="str">
        <f>IFERROR(__xludf.DUMMYFUNCTION("""COMPUTED_VALUE"""),"Cainelli Automação Comercial")</f>
        <v>Cainelli Automação Comercial</v>
      </c>
      <c r="X4043" s="33">
        <f>IFERROR(__xludf.DUMMYFUNCTION("""COMPUTED_VALUE"""),0.5)</f>
        <v>0.5</v>
      </c>
    </row>
    <row r="4044">
      <c r="K4044" s="4" t="str">
        <f>IFERROR(__xludf.DUMMYFUNCTION("""COMPUTED_VALUE"""),"MIGUSTA PIZZA")</f>
        <v>MIGUSTA PIZZA</v>
      </c>
      <c r="L4044" s="32">
        <f>IFERROR(__xludf.DUMMYFUNCTION("""COMPUTED_VALUE"""),2.0)</f>
        <v>2</v>
      </c>
      <c r="M4044" s="4" t="str">
        <f>IFERROR(__xludf.DUMMYFUNCTION("""COMPUTED_VALUE"""),"Grk Soluções Informatica Eireli")</f>
        <v>Grk Soluções Informatica Eireli</v>
      </c>
      <c r="N4044" s="33">
        <f>IFERROR(__xludf.DUMMYFUNCTION("""COMPUTED_VALUE"""),1.0)</f>
        <v>1</v>
      </c>
      <c r="O4044" s="4" t="str">
        <f>IFERROR(__xludf.DUMMYFUNCTION("""COMPUTED_VALUE"""),"Grk Soluções Informatica Eireli")</f>
        <v>Grk Soluções Informatica Eireli</v>
      </c>
      <c r="P4044" s="33">
        <f>IFERROR(__xludf.DUMMYFUNCTION("""COMPUTED_VALUE"""),1.0)</f>
        <v>1</v>
      </c>
      <c r="Q4044" s="4" t="str">
        <f>IFERROR(__xludf.DUMMYFUNCTION("""COMPUTED_VALUE"""),"Grk Soluções Informatica Eireli")</f>
        <v>Grk Soluções Informatica Eireli</v>
      </c>
      <c r="R4044" s="33">
        <f>IFERROR(__xludf.DUMMYFUNCTION("""COMPUTED_VALUE"""),0.5)</f>
        <v>0.5</v>
      </c>
      <c r="S4044" s="4" t="str">
        <f>IFERROR(__xludf.DUMMYFUNCTION("""COMPUTED_VALUE"""),"Grk Soluções Informatica Eireli")</f>
        <v>Grk Soluções Informatica Eireli</v>
      </c>
      <c r="T4044" s="33">
        <f>IFERROR(__xludf.DUMMYFUNCTION("""COMPUTED_VALUE"""),0.5)</f>
        <v>0.5</v>
      </c>
      <c r="U4044" s="4" t="str">
        <f>IFERROR(__xludf.DUMMYFUNCTION("""COMPUTED_VALUE"""),"Grk Soluções Informatica Eireli")</f>
        <v>Grk Soluções Informatica Eireli</v>
      </c>
      <c r="V4044" s="33">
        <f>IFERROR(__xludf.DUMMYFUNCTION("""COMPUTED_VALUE"""),0.5)</f>
        <v>0.5</v>
      </c>
      <c r="W4044" s="4" t="str">
        <f>IFERROR(__xludf.DUMMYFUNCTION("""COMPUTED_VALUE"""),"Grk Soluções Informatica Eireli")</f>
        <v>Grk Soluções Informatica Eireli</v>
      </c>
      <c r="X4044" s="33">
        <f>IFERROR(__xludf.DUMMYFUNCTION("""COMPUTED_VALUE"""),0.5)</f>
        <v>0.5</v>
      </c>
    </row>
    <row r="4045">
      <c r="K4045" s="4" t="str">
        <f>IFERROR(__xludf.DUMMYFUNCTION("""COMPUTED_VALUE"""),"PIZZA RAPIDA")</f>
        <v>PIZZA RAPIDA</v>
      </c>
      <c r="L4045" s="32">
        <f>IFERROR(__xludf.DUMMYFUNCTION("""COMPUTED_VALUE"""),2.0)</f>
        <v>2</v>
      </c>
      <c r="M4045" s="4" t="str">
        <f>IFERROR(__xludf.DUMMYFUNCTION("""COMPUTED_VALUE"""),"Rodrigo Gomes Dos Santos")</f>
        <v>Rodrigo Gomes Dos Santos</v>
      </c>
      <c r="N4045" s="33">
        <f>IFERROR(__xludf.DUMMYFUNCTION("""COMPUTED_VALUE"""),0.5)</f>
        <v>0.5</v>
      </c>
      <c r="O4045" s="4" t="str">
        <f>IFERROR(__xludf.DUMMYFUNCTION("""COMPUTED_VALUE"""),"Rodrigo Gomes Dos Santos")</f>
        <v>Rodrigo Gomes Dos Santos</v>
      </c>
      <c r="P4045" s="33">
        <f>IFERROR(__xludf.DUMMYFUNCTION("""COMPUTED_VALUE"""),0.5)</f>
        <v>0.5</v>
      </c>
      <c r="Q4045" s="4" t="str">
        <f>IFERROR(__xludf.DUMMYFUNCTION("""COMPUTED_VALUE"""),"Rodrigo Gomes Dos Santos")</f>
        <v>Rodrigo Gomes Dos Santos</v>
      </c>
      <c r="R4045" s="33">
        <f>IFERROR(__xludf.DUMMYFUNCTION("""COMPUTED_VALUE"""),0.5)</f>
        <v>0.5</v>
      </c>
      <c r="S4045" s="4" t="str">
        <f>IFERROR(__xludf.DUMMYFUNCTION("""COMPUTED_VALUE"""),"Rodrigo Gomes Dos Santos")</f>
        <v>Rodrigo Gomes Dos Santos</v>
      </c>
      <c r="T4045" s="33">
        <f>IFERROR(__xludf.DUMMYFUNCTION("""COMPUTED_VALUE"""),0.5)</f>
        <v>0.5</v>
      </c>
      <c r="U4045" s="4" t="str">
        <f>IFERROR(__xludf.DUMMYFUNCTION("""COMPUTED_VALUE"""),"Rodrigo Gomes Dos Santos")</f>
        <v>Rodrigo Gomes Dos Santos</v>
      </c>
      <c r="V4045" s="33">
        <f>IFERROR(__xludf.DUMMYFUNCTION("""COMPUTED_VALUE"""),0.5)</f>
        <v>0.5</v>
      </c>
      <c r="W4045" s="4" t="str">
        <f>IFERROR(__xludf.DUMMYFUNCTION("""COMPUTED_VALUE"""),"Rodrigo Gomes Dos Santos")</f>
        <v>Rodrigo Gomes Dos Santos</v>
      </c>
      <c r="X4045" s="33">
        <f>IFERROR(__xludf.DUMMYFUNCTION("""COMPUTED_VALUE"""),0.5)</f>
        <v>0.5</v>
      </c>
    </row>
    <row r="4046">
      <c r="K4046" s="4" t="str">
        <f>IFERROR(__xludf.DUMMYFUNCTION("""COMPUTED_VALUE"""),"CHRIS BURGUER - HAMBURGUERIA ARTESANAL")</f>
        <v>CHRIS BURGUER - HAMBURGUERIA ARTESANAL</v>
      </c>
      <c r="L4046" s="32">
        <f>IFERROR(__xludf.DUMMYFUNCTION("""COMPUTED_VALUE"""),2.0)</f>
        <v>2</v>
      </c>
      <c r="M4046" s="4" t="str">
        <f>IFERROR(__xludf.DUMMYFUNCTION("""COMPUTED_VALUE"""),"Saipos Serviços De Software")</f>
        <v>Saipos Serviços De Software</v>
      </c>
      <c r="N4046" s="33">
        <f>IFERROR(__xludf.DUMMYFUNCTION("""COMPUTED_VALUE"""),1.0)</f>
        <v>1</v>
      </c>
      <c r="O4046" s="4" t="str">
        <f>IFERROR(__xludf.DUMMYFUNCTION("""COMPUTED_VALUE"""),"Saipos Serviços De Software")</f>
        <v>Saipos Serviços De Software</v>
      </c>
      <c r="P4046" s="33">
        <f>IFERROR(__xludf.DUMMYFUNCTION("""COMPUTED_VALUE"""),1.0)</f>
        <v>1</v>
      </c>
      <c r="Q4046" s="4" t="str">
        <f>IFERROR(__xludf.DUMMYFUNCTION("""COMPUTED_VALUE"""),"Ncr")</f>
        <v>Ncr</v>
      </c>
      <c r="R4046" s="33">
        <f>IFERROR(__xludf.DUMMYFUNCTION("""COMPUTED_VALUE"""),0.5)</f>
        <v>0.5</v>
      </c>
      <c r="S4046" s="4" t="str">
        <f>IFERROR(__xludf.DUMMYFUNCTION("""COMPUTED_VALUE"""),"Ncr")</f>
        <v>Ncr</v>
      </c>
      <c r="T4046" s="33">
        <f>IFERROR(__xludf.DUMMYFUNCTION("""COMPUTED_VALUE"""),1.0)</f>
        <v>1</v>
      </c>
      <c r="U4046" s="4" t="str">
        <f>IFERROR(__xludf.DUMMYFUNCTION("""COMPUTED_VALUE"""),"Ncr")</f>
        <v>Ncr</v>
      </c>
      <c r="V4046" s="33">
        <f>IFERROR(__xludf.DUMMYFUNCTION("""COMPUTED_VALUE"""),1.0)</f>
        <v>1</v>
      </c>
      <c r="W4046" s="4" t="str">
        <f>IFERROR(__xludf.DUMMYFUNCTION("""COMPUTED_VALUE"""),"Ncr")</f>
        <v>Ncr</v>
      </c>
      <c r="X4046" s="33">
        <f>IFERROR(__xludf.DUMMYFUNCTION("""COMPUTED_VALUE"""),1.0)</f>
        <v>1</v>
      </c>
    </row>
    <row r="4047">
      <c r="K4047" s="4" t="str">
        <f>IFERROR(__xludf.DUMMYFUNCTION("""COMPUTED_VALUE"""),"STOP ACAI")</f>
        <v>STOP ACAI</v>
      </c>
      <c r="L4047" s="32">
        <f>IFERROR(__xludf.DUMMYFUNCTION("""COMPUTED_VALUE"""),2.0)</f>
        <v>2</v>
      </c>
      <c r="M4047" s="4" t="str">
        <f>IFERROR(__xludf.DUMMYFUNCTION("""COMPUTED_VALUE"""),"Mp Multipedidos")</f>
        <v>Mp Multipedidos</v>
      </c>
      <c r="N4047" s="33">
        <f>IFERROR(__xludf.DUMMYFUNCTION("""COMPUTED_VALUE"""),0.5)</f>
        <v>0.5</v>
      </c>
      <c r="O4047" s="4" t="str">
        <f>IFERROR(__xludf.DUMMYFUNCTION("""COMPUTED_VALUE"""),"Mp Multipedidos")</f>
        <v>Mp Multipedidos</v>
      </c>
      <c r="P4047" s="33">
        <f>IFERROR(__xludf.DUMMYFUNCTION("""COMPUTED_VALUE"""),0.5)</f>
        <v>0.5</v>
      </c>
      <c r="Q4047" s="4" t="str">
        <f>IFERROR(__xludf.DUMMYFUNCTION("""COMPUTED_VALUE"""),"Mp Multipedidos")</f>
        <v>Mp Multipedidos</v>
      </c>
      <c r="R4047" s="33">
        <f>IFERROR(__xludf.DUMMYFUNCTION("""COMPUTED_VALUE"""),0.5)</f>
        <v>0.5</v>
      </c>
      <c r="S4047" s="4" t="str">
        <f>IFERROR(__xludf.DUMMYFUNCTION("""COMPUTED_VALUE"""),"null")</f>
        <v>null</v>
      </c>
      <c r="T4047" s="33">
        <f>IFERROR(__xludf.DUMMYFUNCTION("""COMPUTED_VALUE"""),0.5)</f>
        <v>0.5</v>
      </c>
      <c r="U4047" s="4" t="str">
        <f>IFERROR(__xludf.DUMMYFUNCTION("""COMPUTED_VALUE"""),"Mp Multipedidos")</f>
        <v>Mp Multipedidos</v>
      </c>
      <c r="V4047" s="33">
        <f>IFERROR(__xludf.DUMMYFUNCTION("""COMPUTED_VALUE"""),0.5)</f>
        <v>0.5</v>
      </c>
      <c r="W4047" s="4" t="str">
        <f>IFERROR(__xludf.DUMMYFUNCTION("""COMPUTED_VALUE"""),"Mp Multipedidos")</f>
        <v>Mp Multipedidos</v>
      </c>
      <c r="X4047" s="33">
        <f>IFERROR(__xludf.DUMMYFUNCTION("""COMPUTED_VALUE"""),0.5)</f>
        <v>0.5</v>
      </c>
    </row>
    <row r="4048">
      <c r="K4048" s="4" t="str">
        <f>IFERROR(__xludf.DUMMYFUNCTION("""COMPUTED_VALUE"""),"CASA DO STROGONOFF")</f>
        <v>CASA DO STROGONOFF</v>
      </c>
      <c r="L4048" s="32">
        <f>IFERROR(__xludf.DUMMYFUNCTION("""COMPUTED_VALUE"""),2.0)</f>
        <v>2</v>
      </c>
      <c r="M4048" s="4" t="str">
        <f>IFERROR(__xludf.DUMMYFUNCTION("""COMPUTED_VALUE"""),"null")</f>
        <v>null</v>
      </c>
      <c r="N4048" s="33">
        <f>IFERROR(__xludf.DUMMYFUNCTION("""COMPUTED_VALUE"""),1.0)</f>
        <v>1</v>
      </c>
      <c r="O4048" s="4" t="str">
        <f>IFERROR(__xludf.DUMMYFUNCTION("""COMPUTED_VALUE"""),"null")</f>
        <v>null</v>
      </c>
      <c r="P4048" s="33">
        <f>IFERROR(__xludf.DUMMYFUNCTION("""COMPUTED_VALUE"""),1.0)</f>
        <v>1</v>
      </c>
      <c r="Q4048" s="4" t="str">
        <f>IFERROR(__xludf.DUMMYFUNCTION("""COMPUTED_VALUE"""),"null")</f>
        <v>null</v>
      </c>
      <c r="R4048" s="33">
        <f>IFERROR(__xludf.DUMMYFUNCTION("""COMPUTED_VALUE"""),1.0)</f>
        <v>1</v>
      </c>
      <c r="S4048" s="4" t="str">
        <f>IFERROR(__xludf.DUMMYFUNCTION("""COMPUTED_VALUE"""),"null")</f>
        <v>null</v>
      </c>
      <c r="T4048" s="33">
        <f>IFERROR(__xludf.DUMMYFUNCTION("""COMPUTED_VALUE"""),0.5)</f>
        <v>0.5</v>
      </c>
      <c r="U4048" s="4" t="str">
        <f>IFERROR(__xludf.DUMMYFUNCTION("""COMPUTED_VALUE"""),"Brendi")</f>
        <v>Brendi</v>
      </c>
      <c r="V4048" s="33">
        <f>IFERROR(__xludf.DUMMYFUNCTION("""COMPUTED_VALUE"""),1.0)</f>
        <v>1</v>
      </c>
      <c r="W4048" s="4" t="str">
        <f>IFERROR(__xludf.DUMMYFUNCTION("""COMPUTED_VALUE"""),"Brendi")</f>
        <v>Brendi</v>
      </c>
      <c r="X4048" s="33">
        <f>IFERROR(__xludf.DUMMYFUNCTION("""COMPUTED_VALUE"""),1.0)</f>
        <v>1</v>
      </c>
    </row>
    <row r="4049">
      <c r="K4049" s="4" t="str">
        <f>IFERROR(__xludf.DUMMYFUNCTION("""COMPUTED_VALUE"""),"PRIMAVERA RESTAURANTE E PETISCARIA")</f>
        <v>PRIMAVERA RESTAURANTE E PETISCARIA</v>
      </c>
      <c r="L4049" s="32">
        <f>IFERROR(__xludf.DUMMYFUNCTION("""COMPUTED_VALUE"""),2.0)</f>
        <v>2</v>
      </c>
      <c r="M4049" s="4" t="str">
        <f>IFERROR(__xludf.DUMMYFUNCTION("""COMPUTED_VALUE"""),"Cardápio Web")</f>
        <v>Cardápio Web</v>
      </c>
      <c r="N4049" s="33">
        <f>IFERROR(__xludf.DUMMYFUNCTION("""COMPUTED_VALUE"""),0.5)</f>
        <v>0.5</v>
      </c>
      <c r="O4049" s="4" t="str">
        <f>IFERROR(__xludf.DUMMYFUNCTION("""COMPUTED_VALUE"""),"Cardápio Web")</f>
        <v>Cardápio Web</v>
      </c>
      <c r="P4049" s="33">
        <f>IFERROR(__xludf.DUMMYFUNCTION("""COMPUTED_VALUE"""),0.5)</f>
        <v>0.5</v>
      </c>
      <c r="Q4049" s="4" t="str">
        <f>IFERROR(__xludf.DUMMYFUNCTION("""COMPUTED_VALUE"""),"Cardápio Web")</f>
        <v>Cardápio Web</v>
      </c>
      <c r="R4049" s="33">
        <f>IFERROR(__xludf.DUMMYFUNCTION("""COMPUTED_VALUE"""),0.5)</f>
        <v>0.5</v>
      </c>
      <c r="S4049" s="4" t="str">
        <f>IFERROR(__xludf.DUMMYFUNCTION("""COMPUTED_VALUE"""),"Cardápio Web")</f>
        <v>Cardápio Web</v>
      </c>
      <c r="T4049" s="33">
        <f>IFERROR(__xludf.DUMMYFUNCTION("""COMPUTED_VALUE"""),0.5)</f>
        <v>0.5</v>
      </c>
      <c r="U4049" s="4" t="str">
        <f>IFERROR(__xludf.DUMMYFUNCTION("""COMPUTED_VALUE"""),"Cardápio Web")</f>
        <v>Cardápio Web</v>
      </c>
      <c r="V4049" s="33">
        <f>IFERROR(__xludf.DUMMYFUNCTION("""COMPUTED_VALUE"""),0.5)</f>
        <v>0.5</v>
      </c>
      <c r="W4049" s="4" t="str">
        <f>IFERROR(__xludf.DUMMYFUNCTION("""COMPUTED_VALUE"""),"Cardápio Web")</f>
        <v>Cardápio Web</v>
      </c>
      <c r="X4049" s="33">
        <f>IFERROR(__xludf.DUMMYFUNCTION("""COMPUTED_VALUE"""),0.5)</f>
        <v>0.5</v>
      </c>
    </row>
    <row r="4050">
      <c r="K4050" s="4" t="str">
        <f>IFERROR(__xludf.DUMMYFUNCTION("""COMPUTED_VALUE"""),"ACAI DA MATA")</f>
        <v>ACAI DA MATA</v>
      </c>
      <c r="L4050" s="32">
        <f>IFERROR(__xludf.DUMMYFUNCTION("""COMPUTED_VALUE"""),2.0)</f>
        <v>2</v>
      </c>
      <c r="M4050" s="4" t="str">
        <f>IFERROR(__xludf.DUMMYFUNCTION("""COMPUTED_VALUE"""),"null")</f>
        <v>null</v>
      </c>
      <c r="N4050" s="33">
        <f>IFERROR(__xludf.DUMMYFUNCTION("""COMPUTED_VALUE"""),0.5)</f>
        <v>0.5</v>
      </c>
      <c r="O4050" s="4" t="str">
        <f>IFERROR(__xludf.DUMMYFUNCTION("""COMPUTED_VALUE"""),"Anota Ai Solucoes Digitais S/a")</f>
        <v>Anota Ai Solucoes Digitais S/a</v>
      </c>
      <c r="P4050" s="33">
        <f>IFERROR(__xludf.DUMMYFUNCTION("""COMPUTED_VALUE"""),0.5)</f>
        <v>0.5</v>
      </c>
      <c r="Q4050" s="4" t="str">
        <f>IFERROR(__xludf.DUMMYFUNCTION("""COMPUTED_VALUE"""),"Anota Ai Solucoes Digitais S/a")</f>
        <v>Anota Ai Solucoes Digitais S/a</v>
      </c>
      <c r="R4050" s="33">
        <f>IFERROR(__xludf.DUMMYFUNCTION("""COMPUTED_VALUE"""),0.5)</f>
        <v>0.5</v>
      </c>
      <c r="S4050" s="4" t="str">
        <f>IFERROR(__xludf.DUMMYFUNCTION("""COMPUTED_VALUE"""),"Mp Multipedidos")</f>
        <v>Mp Multipedidos</v>
      </c>
      <c r="T4050" s="33">
        <f>IFERROR(__xludf.DUMMYFUNCTION("""COMPUTED_VALUE"""),0.5)</f>
        <v>0.5</v>
      </c>
      <c r="U4050" s="4" t="str">
        <f>IFERROR(__xludf.DUMMYFUNCTION("""COMPUTED_VALUE"""),"Mp Multipedidos")</f>
        <v>Mp Multipedidos</v>
      </c>
      <c r="V4050" s="33">
        <f>IFERROR(__xludf.DUMMYFUNCTION("""COMPUTED_VALUE"""),0.5)</f>
        <v>0.5</v>
      </c>
      <c r="W4050" s="4" t="str">
        <f>IFERROR(__xludf.DUMMYFUNCTION("""COMPUTED_VALUE"""),"Anota Ai Solucoes Digitais S/a")</f>
        <v>Anota Ai Solucoes Digitais S/a</v>
      </c>
      <c r="X4050" s="33">
        <f>IFERROR(__xludf.DUMMYFUNCTION("""COMPUTED_VALUE"""),0.5)</f>
        <v>0.5</v>
      </c>
    </row>
    <row r="4051">
      <c r="K4051" s="4" t="str">
        <f>IFERROR(__xludf.DUMMYFUNCTION("""COMPUTED_VALUE"""),"YAKI BOX - SUSHI COMIDA CHINESA")</f>
        <v>YAKI BOX - SUSHI COMIDA CHINESA</v>
      </c>
      <c r="L4051" s="32">
        <f>IFERROR(__xludf.DUMMYFUNCTION("""COMPUTED_VALUE"""),2.0)</f>
        <v>2</v>
      </c>
      <c r="M4051" s="4" t="str">
        <f>IFERROR(__xludf.DUMMYFUNCTION("""COMPUTED_VALUE"""),"Saipos Serviços De Software")</f>
        <v>Saipos Serviços De Software</v>
      </c>
      <c r="N4051" s="33">
        <f>IFERROR(__xludf.DUMMYFUNCTION("""COMPUTED_VALUE"""),1.0)</f>
        <v>1</v>
      </c>
      <c r="O4051" s="4" t="str">
        <f>IFERROR(__xludf.DUMMYFUNCTION("""COMPUTED_VALUE"""),"Saipos Serviços De Software")</f>
        <v>Saipos Serviços De Software</v>
      </c>
      <c r="P4051" s="33">
        <f>IFERROR(__xludf.DUMMYFUNCTION("""COMPUTED_VALUE"""),1.0)</f>
        <v>1</v>
      </c>
      <c r="Q4051" s="4" t="str">
        <f>IFERROR(__xludf.DUMMYFUNCTION("""COMPUTED_VALUE"""),"Saipos Serviços De Software")</f>
        <v>Saipos Serviços De Software</v>
      </c>
      <c r="R4051" s="33">
        <f>IFERROR(__xludf.DUMMYFUNCTION("""COMPUTED_VALUE"""),1.0)</f>
        <v>1</v>
      </c>
      <c r="S4051" s="4" t="str">
        <f>IFERROR(__xludf.DUMMYFUNCTION("""COMPUTED_VALUE"""),"Saipos Serviços De Software")</f>
        <v>Saipos Serviços De Software</v>
      </c>
      <c r="T4051" s="33">
        <f>IFERROR(__xludf.DUMMYFUNCTION("""COMPUTED_VALUE"""),1.0)</f>
        <v>1</v>
      </c>
      <c r="U4051" s="4" t="str">
        <f>IFERROR(__xludf.DUMMYFUNCTION("""COMPUTED_VALUE"""),"Saipos Serviços De Software")</f>
        <v>Saipos Serviços De Software</v>
      </c>
      <c r="V4051" s="33">
        <f>IFERROR(__xludf.DUMMYFUNCTION("""COMPUTED_VALUE"""),1.0)</f>
        <v>1</v>
      </c>
      <c r="W4051" s="4" t="str">
        <f>IFERROR(__xludf.DUMMYFUNCTION("""COMPUTED_VALUE"""),"Saipos Serviços De Software")</f>
        <v>Saipos Serviços De Software</v>
      </c>
      <c r="X4051" s="33">
        <f>IFERROR(__xludf.DUMMYFUNCTION("""COMPUTED_VALUE"""),1.0)</f>
        <v>1</v>
      </c>
    </row>
    <row r="4052">
      <c r="K4052" s="4" t="str">
        <f>IFERROR(__xludf.DUMMYFUNCTION("""COMPUTED_VALUE"""),"POINT PIZZARIA E PASTELARIA")</f>
        <v>POINT PIZZARIA E PASTELARIA</v>
      </c>
      <c r="L4052" s="32">
        <f>IFERROR(__xludf.DUMMYFUNCTION("""COMPUTED_VALUE"""),2.0)</f>
        <v>2</v>
      </c>
      <c r="M4052" s="4" t="str">
        <f>IFERROR(__xludf.DUMMYFUNCTION("""COMPUTED_VALUE"""),"Mp Multipedidos")</f>
        <v>Mp Multipedidos</v>
      </c>
      <c r="N4052" s="33">
        <f>IFERROR(__xludf.DUMMYFUNCTION("""COMPUTED_VALUE"""),1.0)</f>
        <v>1</v>
      </c>
      <c r="O4052" s="4" t="str">
        <f>IFERROR(__xludf.DUMMYFUNCTION("""COMPUTED_VALUE"""),"null")</f>
        <v>null</v>
      </c>
      <c r="P4052" s="33">
        <f>IFERROR(__xludf.DUMMYFUNCTION("""COMPUTED_VALUE"""),0.5)</f>
        <v>0.5</v>
      </c>
      <c r="Q4052" s="4" t="str">
        <f>IFERROR(__xludf.DUMMYFUNCTION("""COMPUTED_VALUE"""),"null")</f>
        <v>null</v>
      </c>
      <c r="R4052" s="33">
        <f>IFERROR(__xludf.DUMMYFUNCTION("""COMPUTED_VALUE"""),0.5)</f>
        <v>0.5</v>
      </c>
      <c r="S4052" s="4" t="str">
        <f>IFERROR(__xludf.DUMMYFUNCTION("""COMPUTED_VALUE"""),"null")</f>
        <v>null</v>
      </c>
      <c r="T4052" s="33">
        <f>IFERROR(__xludf.DUMMYFUNCTION("""COMPUTED_VALUE"""),1.0)</f>
        <v>1</v>
      </c>
      <c r="U4052" s="4" t="str">
        <f>IFERROR(__xludf.DUMMYFUNCTION("""COMPUTED_VALUE"""),"null")</f>
        <v>null</v>
      </c>
      <c r="V4052" s="33">
        <f>IFERROR(__xludf.DUMMYFUNCTION("""COMPUTED_VALUE"""),1.0)</f>
        <v>1</v>
      </c>
      <c r="W4052" s="4" t="str">
        <f>IFERROR(__xludf.DUMMYFUNCTION("""COMPUTED_VALUE"""),"null")</f>
        <v>null</v>
      </c>
      <c r="X4052" s="33">
        <f>IFERROR(__xludf.DUMMYFUNCTION("""COMPUTED_VALUE"""),1.0)</f>
        <v>1</v>
      </c>
    </row>
    <row r="4053">
      <c r="K4053" s="4" t="str">
        <f>IFERROR(__xludf.DUMMYFUNCTION("""COMPUTED_VALUE"""),"ESPACO DAS DELICIAS")</f>
        <v>ESPACO DAS DELICIAS</v>
      </c>
      <c r="L4053" s="32">
        <f>IFERROR(__xludf.DUMMYFUNCTION("""COMPUTED_VALUE"""),2.0)</f>
        <v>2</v>
      </c>
      <c r="M4053" s="4" t="str">
        <f>IFERROR(__xludf.DUMMYFUNCTION("""COMPUTED_VALUE"""),"Anota Ai Solucoes Digitais S/a")</f>
        <v>Anota Ai Solucoes Digitais S/a</v>
      </c>
      <c r="N4053" s="33">
        <f>IFERROR(__xludf.DUMMYFUNCTION("""COMPUTED_VALUE"""),0.5)</f>
        <v>0.5</v>
      </c>
      <c r="O4053" s="4" t="str">
        <f>IFERROR(__xludf.DUMMYFUNCTION("""COMPUTED_VALUE"""),"Anota Ai Solucoes Digitais S/a")</f>
        <v>Anota Ai Solucoes Digitais S/a</v>
      </c>
      <c r="P4053" s="33">
        <f>IFERROR(__xludf.DUMMYFUNCTION("""COMPUTED_VALUE"""),0.5)</f>
        <v>0.5</v>
      </c>
      <c r="Q4053" s="4" t="str">
        <f>IFERROR(__xludf.DUMMYFUNCTION("""COMPUTED_VALUE"""),"null")</f>
        <v>null</v>
      </c>
      <c r="R4053" s="33">
        <f>IFERROR(__xludf.DUMMYFUNCTION("""COMPUTED_VALUE"""),0.5)</f>
        <v>0.5</v>
      </c>
      <c r="S4053" s="4" t="str">
        <f>IFERROR(__xludf.DUMMYFUNCTION("""COMPUTED_VALUE"""),"null")</f>
        <v>null</v>
      </c>
      <c r="T4053" s="33">
        <f>IFERROR(__xludf.DUMMYFUNCTION("""COMPUTED_VALUE"""),0.5)</f>
        <v>0.5</v>
      </c>
      <c r="U4053" s="4" t="str">
        <f>IFERROR(__xludf.DUMMYFUNCTION("""COMPUTED_VALUE"""),"null")</f>
        <v>null</v>
      </c>
      <c r="V4053" s="33">
        <f>IFERROR(__xludf.DUMMYFUNCTION("""COMPUTED_VALUE"""),0.5)</f>
        <v>0.5</v>
      </c>
      <c r="W4053" s="4" t="str">
        <f>IFERROR(__xludf.DUMMYFUNCTION("""COMPUTED_VALUE"""),"Anota Ai Solucoes Digitais S/a")</f>
        <v>Anota Ai Solucoes Digitais S/a</v>
      </c>
      <c r="X4053" s="33">
        <f>IFERROR(__xludf.DUMMYFUNCTION("""COMPUTED_VALUE"""),0.5)</f>
        <v>0.5</v>
      </c>
    </row>
    <row r="4054">
      <c r="K4054" s="4" t="str">
        <f>IFERROR(__xludf.DUMMYFUNCTION("""COMPUTED_VALUE"""),"MARMITARIA NOSSO SABOR")</f>
        <v>MARMITARIA NOSSO SABOR</v>
      </c>
      <c r="L4054" s="32">
        <f>IFERROR(__xludf.DUMMYFUNCTION("""COMPUTED_VALUE"""),2.0)</f>
        <v>2</v>
      </c>
      <c r="M4054" s="4" t="str">
        <f>IFERROR(__xludf.DUMMYFUNCTION("""COMPUTED_VALUE"""),"Fudo Soluciones Sas")</f>
        <v>Fudo Soluciones Sas</v>
      </c>
      <c r="N4054" s="33">
        <f>IFERROR(__xludf.DUMMYFUNCTION("""COMPUTED_VALUE"""),0.5)</f>
        <v>0.5</v>
      </c>
      <c r="O4054" s="4" t="str">
        <f>IFERROR(__xludf.DUMMYFUNCTION("""COMPUTED_VALUE"""),"Fudo Soluciones Sas")</f>
        <v>Fudo Soluciones Sas</v>
      </c>
      <c r="P4054" s="33">
        <f>IFERROR(__xludf.DUMMYFUNCTION("""COMPUTED_VALUE"""),0.5)</f>
        <v>0.5</v>
      </c>
      <c r="Q4054" s="4" t="str">
        <f>IFERROR(__xludf.DUMMYFUNCTION("""COMPUTED_VALUE"""),"Fudo Soluciones Sas")</f>
        <v>Fudo Soluciones Sas</v>
      </c>
      <c r="R4054" s="33">
        <f>IFERROR(__xludf.DUMMYFUNCTION("""COMPUTED_VALUE"""),0.5)</f>
        <v>0.5</v>
      </c>
      <c r="S4054" s="4" t="str">
        <f>IFERROR(__xludf.DUMMYFUNCTION("""COMPUTED_VALUE"""),"null")</f>
        <v>null</v>
      </c>
      <c r="T4054" s="33">
        <f>IFERROR(__xludf.DUMMYFUNCTION("""COMPUTED_VALUE"""),0.5)</f>
        <v>0.5</v>
      </c>
      <c r="U4054" s="4" t="str">
        <f>IFERROR(__xludf.DUMMYFUNCTION("""COMPUTED_VALUE"""),"null")</f>
        <v>null</v>
      </c>
      <c r="V4054" s="33">
        <f>IFERROR(__xludf.DUMMYFUNCTION("""COMPUTED_VALUE"""),0.5)</f>
        <v>0.5</v>
      </c>
      <c r="W4054" s="4" t="str">
        <f>IFERROR(__xludf.DUMMYFUNCTION("""COMPUTED_VALUE"""),"null")</f>
        <v>null</v>
      </c>
      <c r="X4054" s="33">
        <f>IFERROR(__xludf.DUMMYFUNCTION("""COMPUTED_VALUE"""),0.5)</f>
        <v>0.5</v>
      </c>
    </row>
    <row r="4055">
      <c r="K4055" s="4" t="str">
        <f>IFERROR(__xludf.DUMMYFUNCTION("""COMPUTED_VALUE"""),"HAMBURGUINI")</f>
        <v>HAMBURGUINI</v>
      </c>
      <c r="L4055" s="32">
        <f>IFERROR(__xludf.DUMMYFUNCTION("""COMPUTED_VALUE"""),2.0)</f>
        <v>2</v>
      </c>
      <c r="M4055" s="4" t="str">
        <f>IFERROR(__xludf.DUMMYFUNCTION("""COMPUTED_VALUE"""),"Instadelivery")</f>
        <v>Instadelivery</v>
      </c>
      <c r="N4055" s="33">
        <f>IFERROR(__xludf.DUMMYFUNCTION("""COMPUTED_VALUE"""),0.5)</f>
        <v>0.5</v>
      </c>
      <c r="O4055" s="4" t="str">
        <f>IFERROR(__xludf.DUMMYFUNCTION("""COMPUTED_VALUE"""),"Instadelivery")</f>
        <v>Instadelivery</v>
      </c>
      <c r="P4055" s="33">
        <f>IFERROR(__xludf.DUMMYFUNCTION("""COMPUTED_VALUE"""),0.5)</f>
        <v>0.5</v>
      </c>
      <c r="Q4055" s="4" t="str">
        <f>IFERROR(__xludf.DUMMYFUNCTION("""COMPUTED_VALUE"""),"Instadelivery")</f>
        <v>Instadelivery</v>
      </c>
      <c r="R4055" s="33">
        <f>IFERROR(__xludf.DUMMYFUNCTION("""COMPUTED_VALUE"""),0.5)</f>
        <v>0.5</v>
      </c>
      <c r="S4055" s="4" t="str">
        <f>IFERROR(__xludf.DUMMYFUNCTION("""COMPUTED_VALUE"""),"Instadelivery")</f>
        <v>Instadelivery</v>
      </c>
      <c r="T4055" s="33">
        <f>IFERROR(__xludf.DUMMYFUNCTION("""COMPUTED_VALUE"""),0.5)</f>
        <v>0.5</v>
      </c>
      <c r="U4055" s="4" t="str">
        <f>IFERROR(__xludf.DUMMYFUNCTION("""COMPUTED_VALUE"""),"Instadelivery")</f>
        <v>Instadelivery</v>
      </c>
      <c r="V4055" s="33">
        <f>IFERROR(__xludf.DUMMYFUNCTION("""COMPUTED_VALUE"""),0.5)</f>
        <v>0.5</v>
      </c>
      <c r="W4055" s="4" t="str">
        <f>IFERROR(__xludf.DUMMYFUNCTION("""COMPUTED_VALUE"""),"Instadelivery")</f>
        <v>Instadelivery</v>
      </c>
      <c r="X4055" s="33">
        <f>IFERROR(__xludf.DUMMYFUNCTION("""COMPUTED_VALUE"""),0.5)</f>
        <v>0.5</v>
      </c>
    </row>
    <row r="4056">
      <c r="K4056" s="4" t="str">
        <f>IFERROR(__xludf.DUMMYFUNCTION("""COMPUTED_VALUE"""),"JAPINHA SUSHI")</f>
        <v>JAPINHA SUSHI</v>
      </c>
      <c r="L4056" s="32">
        <f>IFERROR(__xludf.DUMMYFUNCTION("""COMPUTED_VALUE"""),2.0)</f>
        <v>2</v>
      </c>
      <c r="M4056" s="4" t="str">
        <f>IFERROR(__xludf.DUMMYFUNCTION("""COMPUTED_VALUE"""),"Memória Informatica Ltda")</f>
        <v>Memória Informatica Ltda</v>
      </c>
      <c r="N4056" s="33">
        <f>IFERROR(__xludf.DUMMYFUNCTION("""COMPUTED_VALUE"""),0.5)</f>
        <v>0.5</v>
      </c>
      <c r="O4056" s="4" t="str">
        <f>IFERROR(__xludf.DUMMYFUNCTION("""COMPUTED_VALUE"""),"Memória Informatica Ltda")</f>
        <v>Memória Informatica Ltda</v>
      </c>
      <c r="P4056" s="33">
        <f>IFERROR(__xludf.DUMMYFUNCTION("""COMPUTED_VALUE"""),0.5)</f>
        <v>0.5</v>
      </c>
      <c r="Q4056" s="4" t="str">
        <f>IFERROR(__xludf.DUMMYFUNCTION("""COMPUTED_VALUE"""),"Memória Informatica Ltda")</f>
        <v>Memória Informatica Ltda</v>
      </c>
      <c r="R4056" s="33">
        <f>IFERROR(__xludf.DUMMYFUNCTION("""COMPUTED_VALUE"""),0.5)</f>
        <v>0.5</v>
      </c>
      <c r="S4056" s="4" t="str">
        <f>IFERROR(__xludf.DUMMYFUNCTION("""COMPUTED_VALUE"""),"Memória Informatica Ltda")</f>
        <v>Memória Informatica Ltda</v>
      </c>
      <c r="T4056" s="33">
        <f>IFERROR(__xludf.DUMMYFUNCTION("""COMPUTED_VALUE"""),0.5)</f>
        <v>0.5</v>
      </c>
      <c r="U4056" s="4" t="str">
        <f>IFERROR(__xludf.DUMMYFUNCTION("""COMPUTED_VALUE"""),"Memória Informatica Ltda")</f>
        <v>Memória Informatica Ltda</v>
      </c>
      <c r="V4056" s="33">
        <f>IFERROR(__xludf.DUMMYFUNCTION("""COMPUTED_VALUE"""),0.5)</f>
        <v>0.5</v>
      </c>
      <c r="W4056" s="4" t="str">
        <f>IFERROR(__xludf.DUMMYFUNCTION("""COMPUTED_VALUE"""),"Memória Informatica Ltda")</f>
        <v>Memória Informatica Ltda</v>
      </c>
      <c r="X4056" s="33">
        <f>IFERROR(__xludf.DUMMYFUNCTION("""COMPUTED_VALUE"""),0.5)</f>
        <v>0.5</v>
      </c>
    </row>
    <row r="4057">
      <c r="K4057" s="4" t="str">
        <f>IFERROR(__xludf.DUMMYFUNCTION("""COMPUTED_VALUE"""),"CAFE REGIONAL CANTINHO DA MARIA")</f>
        <v>CAFE REGIONAL CANTINHO DA MARIA</v>
      </c>
      <c r="L4057" s="32">
        <f>IFERROR(__xludf.DUMMYFUNCTION("""COMPUTED_VALUE"""),2.0)</f>
        <v>2</v>
      </c>
      <c r="M4057" s="4" t="str">
        <f>IFERROR(__xludf.DUMMYFUNCTION("""COMPUTED_VALUE"""),"Consumer Soluções Em Tecnologia Ltda")</f>
        <v>Consumer Soluções Em Tecnologia Ltda</v>
      </c>
      <c r="N4057" s="33">
        <f>IFERROR(__xludf.DUMMYFUNCTION("""COMPUTED_VALUE"""),0.5)</f>
        <v>0.5</v>
      </c>
      <c r="O4057" s="4" t="str">
        <f>IFERROR(__xludf.DUMMYFUNCTION("""COMPUTED_VALUE"""),"Consumer Soluções Em Tecnologia Ltda")</f>
        <v>Consumer Soluções Em Tecnologia Ltda</v>
      </c>
      <c r="P4057" s="33">
        <f>IFERROR(__xludf.DUMMYFUNCTION("""COMPUTED_VALUE"""),1.0)</f>
        <v>1</v>
      </c>
      <c r="Q4057" s="4" t="str">
        <f>IFERROR(__xludf.DUMMYFUNCTION("""COMPUTED_VALUE"""),"Consumer Soluções Em Tecnologia Ltda")</f>
        <v>Consumer Soluções Em Tecnologia Ltda</v>
      </c>
      <c r="R4057" s="33">
        <f>IFERROR(__xludf.DUMMYFUNCTION("""COMPUTED_VALUE"""),0.5)</f>
        <v>0.5</v>
      </c>
      <c r="S4057" s="4" t="str">
        <f>IFERROR(__xludf.DUMMYFUNCTION("""COMPUTED_VALUE"""),"Consumer Soluções Em Tecnologia Ltda")</f>
        <v>Consumer Soluções Em Tecnologia Ltda</v>
      </c>
      <c r="T4057" s="33">
        <f>IFERROR(__xludf.DUMMYFUNCTION("""COMPUTED_VALUE"""),0.5)</f>
        <v>0.5</v>
      </c>
      <c r="U4057" s="4" t="str">
        <f>IFERROR(__xludf.DUMMYFUNCTION("""COMPUTED_VALUE"""),"Consumer Soluções Em Tecnologia Ltda")</f>
        <v>Consumer Soluções Em Tecnologia Ltda</v>
      </c>
      <c r="V4057" s="33">
        <f>IFERROR(__xludf.DUMMYFUNCTION("""COMPUTED_VALUE"""),0.5)</f>
        <v>0.5</v>
      </c>
      <c r="W4057" s="4" t="str">
        <f>IFERROR(__xludf.DUMMYFUNCTION("""COMPUTED_VALUE"""),"Consumer Soluções Em Tecnologia Ltda")</f>
        <v>Consumer Soluções Em Tecnologia Ltda</v>
      </c>
      <c r="X4057" s="33">
        <f>IFERROR(__xludf.DUMMYFUNCTION("""COMPUTED_VALUE"""),0.5)</f>
        <v>0.5</v>
      </c>
    </row>
    <row r="4058">
      <c r="K4058" s="4" t="str">
        <f>IFERROR(__xludf.DUMMYFUNCTION("""COMPUTED_VALUE"""),"SNACK BURGUER")</f>
        <v>SNACK BURGUER</v>
      </c>
      <c r="L4058" s="32">
        <f>IFERROR(__xludf.DUMMYFUNCTION("""COMPUTED_VALUE"""),2.0)</f>
        <v>2</v>
      </c>
      <c r="M4058" s="4" t="str">
        <f>IFERROR(__xludf.DUMMYFUNCTION("""COMPUTED_VALUE"""),"Looksystem Tecnologia Em Sistemas Ltda")</f>
        <v>Looksystem Tecnologia Em Sistemas Ltda</v>
      </c>
      <c r="N4058" s="33">
        <f>IFERROR(__xludf.DUMMYFUNCTION("""COMPUTED_VALUE"""),0.5)</f>
        <v>0.5</v>
      </c>
      <c r="O4058" s="4" t="str">
        <f>IFERROR(__xludf.DUMMYFUNCTION("""COMPUTED_VALUE"""),"Looksystem Tecnologia Em Sistemas Ltda")</f>
        <v>Looksystem Tecnologia Em Sistemas Ltda</v>
      </c>
      <c r="P4058" s="33">
        <f>IFERROR(__xludf.DUMMYFUNCTION("""COMPUTED_VALUE"""),0.5)</f>
        <v>0.5</v>
      </c>
      <c r="Q4058" s="4" t="str">
        <f>IFERROR(__xludf.DUMMYFUNCTION("""COMPUTED_VALUE"""),"Looksystem Tecnologia Em Sistemas Ltda")</f>
        <v>Looksystem Tecnologia Em Sistemas Ltda</v>
      </c>
      <c r="R4058" s="33">
        <f>IFERROR(__xludf.DUMMYFUNCTION("""COMPUTED_VALUE"""),0.5)</f>
        <v>0.5</v>
      </c>
      <c r="S4058" s="4" t="str">
        <f>IFERROR(__xludf.DUMMYFUNCTION("""COMPUTED_VALUE"""),"Looksystem Tecnologia Em Sistemas Ltda")</f>
        <v>Looksystem Tecnologia Em Sistemas Ltda</v>
      </c>
      <c r="T4058" s="33">
        <f>IFERROR(__xludf.DUMMYFUNCTION("""COMPUTED_VALUE"""),0.5)</f>
        <v>0.5</v>
      </c>
      <c r="U4058" s="4" t="str">
        <f>IFERROR(__xludf.DUMMYFUNCTION("""COMPUTED_VALUE"""),"Looksystem Tecnologia Em Sistemas Ltda")</f>
        <v>Looksystem Tecnologia Em Sistemas Ltda</v>
      </c>
      <c r="V4058" s="33">
        <f>IFERROR(__xludf.DUMMYFUNCTION("""COMPUTED_VALUE"""),0.5)</f>
        <v>0.5</v>
      </c>
      <c r="W4058" s="4" t="str">
        <f>IFERROR(__xludf.DUMMYFUNCTION("""COMPUTED_VALUE"""),"Looksystem Tecnologia Em Sistemas Ltda")</f>
        <v>Looksystem Tecnologia Em Sistemas Ltda</v>
      </c>
      <c r="X4058" s="33">
        <f>IFERROR(__xludf.DUMMYFUNCTION("""COMPUTED_VALUE"""),0.5)</f>
        <v>0.5</v>
      </c>
    </row>
    <row r="4059">
      <c r="K4059" s="4" t="str">
        <f>IFERROR(__xludf.DUMMYFUNCTION("""COMPUTED_VALUE"""),"O SENHOR DOS PASTEIS")</f>
        <v>O SENHOR DOS PASTEIS</v>
      </c>
      <c r="L4059" s="32">
        <f>IFERROR(__xludf.DUMMYFUNCTION("""COMPUTED_VALUE"""),2.0)</f>
        <v>2</v>
      </c>
      <c r="M4059" s="4" t="str">
        <f>IFERROR(__xludf.DUMMYFUNCTION("""COMPUTED_VALUE"""),"Anota Ai Solucoes Digitais S/a")</f>
        <v>Anota Ai Solucoes Digitais S/a</v>
      </c>
      <c r="N4059" s="33">
        <f>IFERROR(__xludf.DUMMYFUNCTION("""COMPUTED_VALUE"""),1.0)</f>
        <v>1</v>
      </c>
      <c r="O4059" s="4" t="str">
        <f>IFERROR(__xludf.DUMMYFUNCTION("""COMPUTED_VALUE"""),"Anota Ai Solucoes Digitais S/a")</f>
        <v>Anota Ai Solucoes Digitais S/a</v>
      </c>
      <c r="P4059" s="33">
        <f>IFERROR(__xludf.DUMMYFUNCTION("""COMPUTED_VALUE"""),1.0)</f>
        <v>1</v>
      </c>
      <c r="Q4059" s="4" t="str">
        <f>IFERROR(__xludf.DUMMYFUNCTION("""COMPUTED_VALUE"""),"Anota Ai Solucoes Digitais S/a")</f>
        <v>Anota Ai Solucoes Digitais S/a</v>
      </c>
      <c r="R4059" s="33">
        <f>IFERROR(__xludf.DUMMYFUNCTION("""COMPUTED_VALUE"""),0.5)</f>
        <v>0.5</v>
      </c>
      <c r="S4059" s="4" t="str">
        <f>IFERROR(__xludf.DUMMYFUNCTION("""COMPUTED_VALUE"""),"Anota Ai Solucoes Digitais S/a")</f>
        <v>Anota Ai Solucoes Digitais S/a</v>
      </c>
      <c r="T4059" s="33">
        <f>IFERROR(__xludf.DUMMYFUNCTION("""COMPUTED_VALUE"""),0.5)</f>
        <v>0.5</v>
      </c>
      <c r="U4059" s="4" t="str">
        <f>IFERROR(__xludf.DUMMYFUNCTION("""COMPUTED_VALUE"""),"Anota Ai Solucoes Digitais S/a")</f>
        <v>Anota Ai Solucoes Digitais S/a</v>
      </c>
      <c r="V4059" s="33">
        <f>IFERROR(__xludf.DUMMYFUNCTION("""COMPUTED_VALUE"""),0.5)</f>
        <v>0.5</v>
      </c>
      <c r="W4059" s="4" t="str">
        <f>IFERROR(__xludf.DUMMYFUNCTION("""COMPUTED_VALUE"""),"Anota Ai Solucoes Digitais S/a")</f>
        <v>Anota Ai Solucoes Digitais S/a</v>
      </c>
      <c r="X4059" s="33">
        <f>IFERROR(__xludf.DUMMYFUNCTION("""COMPUTED_VALUE"""),0.5)</f>
        <v>0.5</v>
      </c>
    </row>
    <row r="4060">
      <c r="K4060" s="4" t="str">
        <f>IFERROR(__xludf.DUMMYFUNCTION("""COMPUTED_VALUE"""),"OIA BURGUER")</f>
        <v>OIA BURGUER</v>
      </c>
      <c r="L4060" s="32">
        <f>IFERROR(__xludf.DUMMYFUNCTION("""COMPUTED_VALUE"""),2.0)</f>
        <v>2</v>
      </c>
      <c r="M4060" s="4" t="str">
        <f>IFERROR(__xludf.DUMMYFUNCTION("""COMPUTED_VALUE"""),"Algoritma Sistemas De Software Ltda")</f>
        <v>Algoritma Sistemas De Software Ltda</v>
      </c>
      <c r="N4060" s="33">
        <f>IFERROR(__xludf.DUMMYFUNCTION("""COMPUTED_VALUE"""),1.0)</f>
        <v>1</v>
      </c>
      <c r="O4060" s="4" t="str">
        <f>IFERROR(__xludf.DUMMYFUNCTION("""COMPUTED_VALUE"""),"Algoritma Sistemas De Software Ltda")</f>
        <v>Algoritma Sistemas De Software Ltda</v>
      </c>
      <c r="P4060" s="33">
        <f>IFERROR(__xludf.DUMMYFUNCTION("""COMPUTED_VALUE"""),1.0)</f>
        <v>1</v>
      </c>
      <c r="Q4060" s="4" t="str">
        <f>IFERROR(__xludf.DUMMYFUNCTION("""COMPUTED_VALUE"""),"Algoritma Sistemas De Software Ltda")</f>
        <v>Algoritma Sistemas De Software Ltda</v>
      </c>
      <c r="R4060" s="33">
        <f>IFERROR(__xludf.DUMMYFUNCTION("""COMPUTED_VALUE"""),1.0)</f>
        <v>1</v>
      </c>
      <c r="S4060" s="4" t="str">
        <f>IFERROR(__xludf.DUMMYFUNCTION("""COMPUTED_VALUE"""),"Algoritma Sistemas De Software Ltda")</f>
        <v>Algoritma Sistemas De Software Ltda</v>
      </c>
      <c r="T4060" s="33">
        <f>IFERROR(__xludf.DUMMYFUNCTION("""COMPUTED_VALUE"""),1.0)</f>
        <v>1</v>
      </c>
      <c r="U4060" s="4" t="str">
        <f>IFERROR(__xludf.DUMMYFUNCTION("""COMPUTED_VALUE"""),"Algoritma Sistemas De Software Ltda")</f>
        <v>Algoritma Sistemas De Software Ltda</v>
      </c>
      <c r="V4060" s="33">
        <f>IFERROR(__xludf.DUMMYFUNCTION("""COMPUTED_VALUE"""),1.0)</f>
        <v>1</v>
      </c>
      <c r="W4060" s="4" t="str">
        <f>IFERROR(__xludf.DUMMYFUNCTION("""COMPUTED_VALUE"""),"Algoritma Sistemas De Software Ltda")</f>
        <v>Algoritma Sistemas De Software Ltda</v>
      </c>
      <c r="X4060" s="33">
        <f>IFERROR(__xludf.DUMMYFUNCTION("""COMPUTED_VALUE"""),1.0)</f>
        <v>1</v>
      </c>
    </row>
    <row r="4061">
      <c r="K4061" s="4" t="str">
        <f>IFERROR(__xludf.DUMMYFUNCTION("""COMPUTED_VALUE"""),"JULIOS FOOD")</f>
        <v>JULIOS FOOD</v>
      </c>
      <c r="L4061" s="32">
        <f>IFERROR(__xludf.DUMMYFUNCTION("""COMPUTED_VALUE"""),2.0)</f>
        <v>2</v>
      </c>
      <c r="M4061" s="4" t="str">
        <f>IFERROR(__xludf.DUMMYFUNCTION("""COMPUTED_VALUE"""),"Whatsmenu Ltda")</f>
        <v>Whatsmenu Ltda</v>
      </c>
      <c r="N4061" s="33">
        <f>IFERROR(__xludf.DUMMYFUNCTION("""COMPUTED_VALUE"""),0.5)</f>
        <v>0.5</v>
      </c>
      <c r="O4061" s="4" t="str">
        <f>IFERROR(__xludf.DUMMYFUNCTION("""COMPUTED_VALUE"""),"Whatsmenu Ltda")</f>
        <v>Whatsmenu Ltda</v>
      </c>
      <c r="P4061" s="33">
        <f>IFERROR(__xludf.DUMMYFUNCTION("""COMPUTED_VALUE"""),0.5)</f>
        <v>0.5</v>
      </c>
      <c r="Q4061" s="4" t="str">
        <f>IFERROR(__xludf.DUMMYFUNCTION("""COMPUTED_VALUE"""),"Whatsmenu Ltda")</f>
        <v>Whatsmenu Ltda</v>
      </c>
      <c r="R4061" s="33">
        <f>IFERROR(__xludf.DUMMYFUNCTION("""COMPUTED_VALUE"""),0.5)</f>
        <v>0.5</v>
      </c>
      <c r="S4061" s="4" t="str">
        <f>IFERROR(__xludf.DUMMYFUNCTION("""COMPUTED_VALUE"""),"null")</f>
        <v>null</v>
      </c>
      <c r="T4061" s="33">
        <f>IFERROR(__xludf.DUMMYFUNCTION("""COMPUTED_VALUE"""),0.5)</f>
        <v>0.5</v>
      </c>
      <c r="U4061" s="4" t="str">
        <f>IFERROR(__xludf.DUMMYFUNCTION("""COMPUTED_VALUE"""),"null")</f>
        <v>null</v>
      </c>
      <c r="V4061" s="33">
        <f>IFERROR(__xludf.DUMMYFUNCTION("""COMPUTED_VALUE"""),0.5)</f>
        <v>0.5</v>
      </c>
      <c r="W4061" s="4" t="str">
        <f>IFERROR(__xludf.DUMMYFUNCTION("""COMPUTED_VALUE"""),"null")</f>
        <v>null</v>
      </c>
      <c r="X4061" s="33">
        <f>IFERROR(__xludf.DUMMYFUNCTION("""COMPUTED_VALUE"""),1.0)</f>
        <v>1</v>
      </c>
    </row>
    <row r="4062">
      <c r="K4062" s="4" t="str">
        <f>IFERROR(__xludf.DUMMYFUNCTION("""COMPUTED_VALUE"""),"ZERO41 DISTRIBUIDORA")</f>
        <v>ZERO41 DISTRIBUIDORA</v>
      </c>
      <c r="L4062" s="32">
        <f>IFERROR(__xludf.DUMMYFUNCTION("""COMPUTED_VALUE"""),2.0)</f>
        <v>2</v>
      </c>
      <c r="M4062" s="4" t="str">
        <f>IFERROR(__xludf.DUMMYFUNCTION("""COMPUTED_VALUE"""),"null")</f>
        <v>null</v>
      </c>
      <c r="N4062" s="33">
        <f>IFERROR(__xludf.DUMMYFUNCTION("""COMPUTED_VALUE"""),1.0)</f>
        <v>1</v>
      </c>
      <c r="O4062" s="4" t="str">
        <f>IFERROR(__xludf.DUMMYFUNCTION("""COMPUTED_VALUE"""),"null")</f>
        <v>null</v>
      </c>
      <c r="P4062" s="33">
        <f>IFERROR(__xludf.DUMMYFUNCTION("""COMPUTED_VALUE"""),1.0)</f>
        <v>1</v>
      </c>
      <c r="Q4062" s="4" t="str">
        <f>IFERROR(__xludf.DUMMYFUNCTION("""COMPUTED_VALUE"""),"M-du Tecnologia")</f>
        <v>M-du Tecnologia</v>
      </c>
      <c r="R4062" s="33">
        <f>IFERROR(__xludf.DUMMYFUNCTION("""COMPUTED_VALUE"""),0.5)</f>
        <v>0.5</v>
      </c>
      <c r="S4062" s="4" t="str">
        <f>IFERROR(__xludf.DUMMYFUNCTION("""COMPUTED_VALUE"""),"M-du Tecnologia")</f>
        <v>M-du Tecnologia</v>
      </c>
      <c r="T4062" s="33">
        <f>IFERROR(__xludf.DUMMYFUNCTION("""COMPUTED_VALUE"""),0.5)</f>
        <v>0.5</v>
      </c>
      <c r="U4062" s="4" t="str">
        <f>IFERROR(__xludf.DUMMYFUNCTION("""COMPUTED_VALUE"""),"M-du Tecnologia")</f>
        <v>M-du Tecnologia</v>
      </c>
      <c r="V4062" s="33">
        <f>IFERROR(__xludf.DUMMYFUNCTION("""COMPUTED_VALUE"""),0.5)</f>
        <v>0.5</v>
      </c>
      <c r="W4062" s="4" t="str">
        <f>IFERROR(__xludf.DUMMYFUNCTION("""COMPUTED_VALUE"""),"null")</f>
        <v>null</v>
      </c>
      <c r="X4062" s="33">
        <f>IFERROR(__xludf.DUMMYFUNCTION("""COMPUTED_VALUE"""),0.5)</f>
        <v>0.5</v>
      </c>
    </row>
    <row r="4063">
      <c r="K4063" s="4" t="str">
        <f>IFERROR(__xludf.DUMMYFUNCTION("""COMPUTED_VALUE"""),"PRETEXTO - HAMBURGUERIA")</f>
        <v>PRETEXTO - HAMBURGUERIA</v>
      </c>
      <c r="L4063" s="32">
        <f>IFERROR(__xludf.DUMMYFUNCTION("""COMPUTED_VALUE"""),2.0)</f>
        <v>2</v>
      </c>
      <c r="M4063" s="4" t="str">
        <f>IFERROR(__xludf.DUMMYFUNCTION("""COMPUTED_VALUE"""),"null")</f>
        <v>null</v>
      </c>
      <c r="N4063" s="33">
        <f>IFERROR(__xludf.DUMMYFUNCTION("""COMPUTED_VALUE"""),1.0)</f>
        <v>1</v>
      </c>
      <c r="O4063" s="4" t="str">
        <f>IFERROR(__xludf.DUMMYFUNCTION("""COMPUTED_VALUE"""),"null")</f>
        <v>null</v>
      </c>
      <c r="P4063" s="33">
        <f>IFERROR(__xludf.DUMMYFUNCTION("""COMPUTED_VALUE"""),1.0)</f>
        <v>1</v>
      </c>
      <c r="Q4063" s="4" t="str">
        <f>IFERROR(__xludf.DUMMYFUNCTION("""COMPUTED_VALUE"""),"Instadelivery")</f>
        <v>Instadelivery</v>
      </c>
      <c r="R4063" s="33">
        <f>IFERROR(__xludf.DUMMYFUNCTION("""COMPUTED_VALUE"""),0.5)</f>
        <v>0.5</v>
      </c>
      <c r="S4063" s="4" t="str">
        <f>IFERROR(__xludf.DUMMYFUNCTION("""COMPUTED_VALUE"""),"Instadelivery")</f>
        <v>Instadelivery</v>
      </c>
      <c r="T4063" s="33">
        <f>IFERROR(__xludf.DUMMYFUNCTION("""COMPUTED_VALUE"""),1.0)</f>
        <v>1</v>
      </c>
      <c r="U4063" s="4" t="str">
        <f>IFERROR(__xludf.DUMMYFUNCTION("""COMPUTED_VALUE"""),"null")</f>
        <v>null</v>
      </c>
      <c r="V4063" s="33">
        <f>IFERROR(__xludf.DUMMYFUNCTION("""COMPUTED_VALUE"""),0.5)</f>
        <v>0.5</v>
      </c>
      <c r="W4063" s="4" t="str">
        <f>IFERROR(__xludf.DUMMYFUNCTION("""COMPUTED_VALUE"""),"null")</f>
        <v>null</v>
      </c>
      <c r="X4063" s="33">
        <f>IFERROR(__xludf.DUMMYFUNCTION("""COMPUTED_VALUE"""),0.5)</f>
        <v>0.5</v>
      </c>
    </row>
    <row r="4064">
      <c r="K4064" s="4" t="str">
        <f>IFERROR(__xludf.DUMMYFUNCTION("""COMPUTED_VALUE"""),"SATO SUSHI")</f>
        <v>SATO SUSHI</v>
      </c>
      <c r="L4064" s="32">
        <f>IFERROR(__xludf.DUMMYFUNCTION("""COMPUTED_VALUE"""),2.0)</f>
        <v>2</v>
      </c>
      <c r="M4064" s="4" t="str">
        <f>IFERROR(__xludf.DUMMYFUNCTION("""COMPUTED_VALUE"""),"Jrpdv")</f>
        <v>Jrpdv</v>
      </c>
      <c r="N4064" s="33">
        <f>IFERROR(__xludf.DUMMYFUNCTION("""COMPUTED_VALUE"""),0.5)</f>
        <v>0.5</v>
      </c>
      <c r="O4064" s="4" t="str">
        <f>IFERROR(__xludf.DUMMYFUNCTION("""COMPUTED_VALUE"""),"Jrpdv")</f>
        <v>Jrpdv</v>
      </c>
      <c r="P4064" s="33">
        <f>IFERROR(__xludf.DUMMYFUNCTION("""COMPUTED_VALUE"""),0.5)</f>
        <v>0.5</v>
      </c>
      <c r="Q4064" s="4" t="str">
        <f>IFERROR(__xludf.DUMMYFUNCTION("""COMPUTED_VALUE"""),"Jrpdv")</f>
        <v>Jrpdv</v>
      </c>
      <c r="R4064" s="33">
        <f>IFERROR(__xludf.DUMMYFUNCTION("""COMPUTED_VALUE"""),0.5)</f>
        <v>0.5</v>
      </c>
      <c r="S4064" s="4" t="str">
        <f>IFERROR(__xludf.DUMMYFUNCTION("""COMPUTED_VALUE"""),"Jrpdv")</f>
        <v>Jrpdv</v>
      </c>
      <c r="T4064" s="33">
        <f>IFERROR(__xludf.DUMMYFUNCTION("""COMPUTED_VALUE"""),0.5)</f>
        <v>0.5</v>
      </c>
      <c r="U4064" s="4" t="str">
        <f>IFERROR(__xludf.DUMMYFUNCTION("""COMPUTED_VALUE"""),"Saipos Serviços De Software")</f>
        <v>Saipos Serviços De Software</v>
      </c>
      <c r="V4064" s="33">
        <f>IFERROR(__xludf.DUMMYFUNCTION("""COMPUTED_VALUE"""),1.0)</f>
        <v>1</v>
      </c>
      <c r="W4064" s="4" t="str">
        <f>IFERROR(__xludf.DUMMYFUNCTION("""COMPUTED_VALUE"""),"Saipos Serviços De Software")</f>
        <v>Saipos Serviços De Software</v>
      </c>
      <c r="X4064" s="33">
        <f>IFERROR(__xludf.DUMMYFUNCTION("""COMPUTED_VALUE"""),1.0)</f>
        <v>1</v>
      </c>
    </row>
    <row r="4065">
      <c r="K4065" s="4" t="str">
        <f>IFERROR(__xludf.DUMMYFUNCTION("""COMPUTED_VALUE"""),"MARMITAS SEU ANTONIO")</f>
        <v>MARMITAS SEU ANTONIO</v>
      </c>
      <c r="L4065" s="32">
        <f>IFERROR(__xludf.DUMMYFUNCTION("""COMPUTED_VALUE"""),2.0)</f>
        <v>2</v>
      </c>
      <c r="M4065" s="4" t="str">
        <f>IFERROR(__xludf.DUMMYFUNCTION("""COMPUTED_VALUE"""),"Jclan Sistemas")</f>
        <v>Jclan Sistemas</v>
      </c>
      <c r="N4065" s="33">
        <f>IFERROR(__xludf.DUMMYFUNCTION("""COMPUTED_VALUE"""),1.0)</f>
        <v>1</v>
      </c>
      <c r="O4065" s="4" t="str">
        <f>IFERROR(__xludf.DUMMYFUNCTION("""COMPUTED_VALUE"""),"null")</f>
        <v>null</v>
      </c>
      <c r="P4065" s="33">
        <f>IFERROR(__xludf.DUMMYFUNCTION("""COMPUTED_VALUE"""),0.5)</f>
        <v>0.5</v>
      </c>
      <c r="Q4065" s="4" t="str">
        <f>IFERROR(__xludf.DUMMYFUNCTION("""COMPUTED_VALUE"""),"null")</f>
        <v>null</v>
      </c>
      <c r="R4065" s="33">
        <f>IFERROR(__xludf.DUMMYFUNCTION("""COMPUTED_VALUE"""),0.5)</f>
        <v>0.5</v>
      </c>
      <c r="S4065" s="4" t="str">
        <f>IFERROR(__xludf.DUMMYFUNCTION("""COMPUTED_VALUE"""),"null")</f>
        <v>null</v>
      </c>
      <c r="T4065" s="33">
        <f>IFERROR(__xludf.DUMMYFUNCTION("""COMPUTED_VALUE"""),0.5)</f>
        <v>0.5</v>
      </c>
      <c r="U4065" s="4" t="str">
        <f>IFERROR(__xludf.DUMMYFUNCTION("""COMPUTED_VALUE"""),"Jclan Sistemas")</f>
        <v>Jclan Sistemas</v>
      </c>
      <c r="V4065" s="33">
        <f>IFERROR(__xludf.DUMMYFUNCTION("""COMPUTED_VALUE"""),1.0)</f>
        <v>1</v>
      </c>
      <c r="W4065" s="4" t="str">
        <f>IFERROR(__xludf.DUMMYFUNCTION("""COMPUTED_VALUE"""),"Jclan Sistemas")</f>
        <v>Jclan Sistemas</v>
      </c>
      <c r="X4065" s="33">
        <f>IFERROR(__xludf.DUMMYFUNCTION("""COMPUTED_VALUE"""),1.0)</f>
        <v>1</v>
      </c>
    </row>
    <row r="4066">
      <c r="K4066" s="4" t="str">
        <f>IFERROR(__xludf.DUMMYFUNCTION("""COMPUTED_VALUE"""),"DELLA PAPELARIA")</f>
        <v>DELLA PAPELARIA</v>
      </c>
      <c r="L4066" s="32">
        <f>IFERROR(__xludf.DUMMYFUNCTION("""COMPUTED_VALUE"""),2.0)</f>
        <v>2</v>
      </c>
      <c r="M4066" s="4" t="str">
        <f>IFERROR(__xludf.DUMMYFUNCTION("""COMPUTED_VALUE"""),"null")</f>
        <v>null</v>
      </c>
      <c r="N4066" s="33">
        <f>IFERROR(__xludf.DUMMYFUNCTION("""COMPUTED_VALUE"""),0.5)</f>
        <v>0.5</v>
      </c>
      <c r="O4066" s="4" t="str">
        <f>IFERROR(__xludf.DUMMYFUNCTION("""COMPUTED_VALUE"""),"N/A (Not found)")</f>
        <v>N/A (Not found)</v>
      </c>
      <c r="P4066" s="33">
        <f>IFERROR(__xludf.DUMMYFUNCTION("""COMPUTED_VALUE"""),1.0)</f>
        <v>1</v>
      </c>
      <c r="Q4066" s="4" t="str">
        <f>IFERROR(__xludf.DUMMYFUNCTION("""COMPUTED_VALUE"""),"N/A (Not found)")</f>
        <v>N/A (Not found)</v>
      </c>
      <c r="R4066" s="33">
        <f>IFERROR(__xludf.DUMMYFUNCTION("""COMPUTED_VALUE"""),1.0)</f>
        <v>1</v>
      </c>
      <c r="S4066" s="4" t="str">
        <f>IFERROR(__xludf.DUMMYFUNCTION("""COMPUTED_VALUE"""),"null")</f>
        <v>null</v>
      </c>
      <c r="T4066" s="33">
        <f>IFERROR(__xludf.DUMMYFUNCTION("""COMPUTED_VALUE"""),0.5)</f>
        <v>0.5</v>
      </c>
      <c r="U4066" s="4" t="str">
        <f>IFERROR(__xludf.DUMMYFUNCTION("""COMPUTED_VALUE"""),"N/A (Not found)")</f>
        <v>N/A (Not found)</v>
      </c>
      <c r="V4066" s="33">
        <f>IFERROR(__xludf.DUMMYFUNCTION("""COMPUTED_VALUE"""),1.0)</f>
        <v>1</v>
      </c>
      <c r="W4066" s="4" t="str">
        <f>IFERROR(__xludf.DUMMYFUNCTION("""COMPUTED_VALUE"""),"null")</f>
        <v>null</v>
      </c>
      <c r="X4066" s="33">
        <f>IFERROR(__xludf.DUMMYFUNCTION("""COMPUTED_VALUE"""),1.0)</f>
        <v>1</v>
      </c>
    </row>
    <row r="4067">
      <c r="K4067" s="4" t="str">
        <f>IFERROR(__xludf.DUMMYFUNCTION("""COMPUTED_VALUE"""),"ZIPHARMA")</f>
        <v>ZIPHARMA</v>
      </c>
      <c r="L4067" s="32">
        <f>IFERROR(__xludf.DUMMYFUNCTION("""COMPUTED_VALUE"""),2.0)</f>
        <v>2</v>
      </c>
      <c r="M4067" s="4" t="str">
        <f>IFERROR(__xludf.DUMMYFUNCTION("""COMPUTED_VALUE"""),"N/A (Not found)")</f>
        <v>N/A (Not found)</v>
      </c>
      <c r="N4067" s="33">
        <f>IFERROR(__xludf.DUMMYFUNCTION("""COMPUTED_VALUE"""),0.5)</f>
        <v>0.5</v>
      </c>
      <c r="O4067" s="4" t="str">
        <f>IFERROR(__xludf.DUMMYFUNCTION("""COMPUTED_VALUE"""),"N/A (Not found)")</f>
        <v>N/A (Not found)</v>
      </c>
      <c r="P4067" s="33">
        <f>IFERROR(__xludf.DUMMYFUNCTION("""COMPUTED_VALUE"""),0.5)</f>
        <v>0.5</v>
      </c>
      <c r="Q4067" s="4" t="str">
        <f>IFERROR(__xludf.DUMMYFUNCTION("""COMPUTED_VALUE"""),"N/A (Not found)")</f>
        <v>N/A (Not found)</v>
      </c>
      <c r="R4067" s="33">
        <f>IFERROR(__xludf.DUMMYFUNCTION("""COMPUTED_VALUE"""),0.5)</f>
        <v>0.5</v>
      </c>
      <c r="S4067" s="4" t="str">
        <f>IFERROR(__xludf.DUMMYFUNCTION("""COMPUTED_VALUE"""),"N/A (Not found)")</f>
        <v>N/A (Not found)</v>
      </c>
      <c r="T4067" s="33">
        <f>IFERROR(__xludf.DUMMYFUNCTION("""COMPUTED_VALUE"""),0.5)</f>
        <v>0.5</v>
      </c>
      <c r="U4067" s="4" t="str">
        <f>IFERROR(__xludf.DUMMYFUNCTION("""COMPUTED_VALUE"""),"N/A (Not found)")</f>
        <v>N/A (Not found)</v>
      </c>
      <c r="V4067" s="33">
        <f>IFERROR(__xludf.DUMMYFUNCTION("""COMPUTED_VALUE"""),0.5)</f>
        <v>0.5</v>
      </c>
      <c r="W4067" s="4" t="str">
        <f>IFERROR(__xludf.DUMMYFUNCTION("""COMPUTED_VALUE"""),"N/A (Not found)")</f>
        <v>N/A (Not found)</v>
      </c>
      <c r="X4067" s="33">
        <f>IFERROR(__xludf.DUMMYFUNCTION("""COMPUTED_VALUE"""),1.0)</f>
        <v>1</v>
      </c>
    </row>
    <row r="4068">
      <c r="K4068" s="4" t="str">
        <f>IFERROR(__xludf.DUMMYFUNCTION("""COMPUTED_VALUE"""),"PIZZARIA TROPICAL")</f>
        <v>PIZZARIA TROPICAL</v>
      </c>
      <c r="L4068" s="32">
        <f>IFERROR(__xludf.DUMMYFUNCTION("""COMPUTED_VALUE"""),2.0)</f>
        <v>2</v>
      </c>
      <c r="M4068" s="4" t="str">
        <f>IFERROR(__xludf.DUMMYFUNCTION("""COMPUTED_VALUE"""),"Expresso Delivery")</f>
        <v>Expresso Delivery</v>
      </c>
      <c r="N4068" s="33">
        <f>IFERROR(__xludf.DUMMYFUNCTION("""COMPUTED_VALUE"""),0.5)</f>
        <v>0.5</v>
      </c>
      <c r="O4068" s="4" t="str">
        <f>IFERROR(__xludf.DUMMYFUNCTION("""COMPUTED_VALUE"""),"Expresso Delivery")</f>
        <v>Expresso Delivery</v>
      </c>
      <c r="P4068" s="33">
        <f>IFERROR(__xludf.DUMMYFUNCTION("""COMPUTED_VALUE"""),0.5)</f>
        <v>0.5</v>
      </c>
      <c r="Q4068" s="4" t="str">
        <f>IFERROR(__xludf.DUMMYFUNCTION("""COMPUTED_VALUE"""),"Expresso Delivery")</f>
        <v>Expresso Delivery</v>
      </c>
      <c r="R4068" s="33">
        <f>IFERROR(__xludf.DUMMYFUNCTION("""COMPUTED_VALUE"""),0.5)</f>
        <v>0.5</v>
      </c>
      <c r="S4068" s="4" t="str">
        <f>IFERROR(__xludf.DUMMYFUNCTION("""COMPUTED_VALUE"""),"Expresso Delivery")</f>
        <v>Expresso Delivery</v>
      </c>
      <c r="T4068" s="33">
        <f>IFERROR(__xludf.DUMMYFUNCTION("""COMPUTED_VALUE"""),0.5)</f>
        <v>0.5</v>
      </c>
      <c r="U4068" s="4" t="str">
        <f>IFERROR(__xludf.DUMMYFUNCTION("""COMPUTED_VALUE"""),"Expresso Delivery")</f>
        <v>Expresso Delivery</v>
      </c>
      <c r="V4068" s="33">
        <f>IFERROR(__xludf.DUMMYFUNCTION("""COMPUTED_VALUE"""),0.5)</f>
        <v>0.5</v>
      </c>
      <c r="W4068" s="4" t="str">
        <f>IFERROR(__xludf.DUMMYFUNCTION("""COMPUTED_VALUE"""),"Expresso Delivery")</f>
        <v>Expresso Delivery</v>
      </c>
      <c r="X4068" s="33">
        <f>IFERROR(__xludf.DUMMYFUNCTION("""COMPUTED_VALUE"""),0.5)</f>
        <v>0.5</v>
      </c>
    </row>
    <row r="4069">
      <c r="K4069" s="4" t="str">
        <f>IFERROR(__xludf.DUMMYFUNCTION("""COMPUTED_VALUE"""),"BIFROST BURGER")</f>
        <v>BIFROST BURGER</v>
      </c>
      <c r="L4069" s="32">
        <f>IFERROR(__xludf.DUMMYFUNCTION("""COMPUTED_VALUE"""),2.0)</f>
        <v>2</v>
      </c>
      <c r="M4069" s="4" t="str">
        <f>IFERROR(__xludf.DUMMYFUNCTION("""COMPUTED_VALUE"""),"Eclética Tecnologia")</f>
        <v>Eclética Tecnologia</v>
      </c>
      <c r="N4069" s="33">
        <f>IFERROR(__xludf.DUMMYFUNCTION("""COMPUTED_VALUE"""),1.0)</f>
        <v>1</v>
      </c>
      <c r="O4069" s="4" t="str">
        <f>IFERROR(__xludf.DUMMYFUNCTION("""COMPUTED_VALUE"""),"Eclética Tecnologia")</f>
        <v>Eclética Tecnologia</v>
      </c>
      <c r="P4069" s="33">
        <f>IFERROR(__xludf.DUMMYFUNCTION("""COMPUTED_VALUE"""),1.0)</f>
        <v>1</v>
      </c>
      <c r="Q4069" s="4" t="str">
        <f>IFERROR(__xludf.DUMMYFUNCTION("""COMPUTED_VALUE"""),"null")</f>
        <v>null</v>
      </c>
      <c r="R4069" s="33">
        <f>IFERROR(__xludf.DUMMYFUNCTION("""COMPUTED_VALUE"""),0.5)</f>
        <v>0.5</v>
      </c>
      <c r="S4069" s="4" t="str">
        <f>IFERROR(__xludf.DUMMYFUNCTION("""COMPUTED_VALUE"""),"Saipos Serviços De Software")</f>
        <v>Saipos Serviços De Software</v>
      </c>
      <c r="T4069" s="33">
        <f>IFERROR(__xludf.DUMMYFUNCTION("""COMPUTED_VALUE"""),1.0)</f>
        <v>1</v>
      </c>
      <c r="U4069" s="4" t="str">
        <f>IFERROR(__xludf.DUMMYFUNCTION("""COMPUTED_VALUE"""),"Saipos Serviços De Software")</f>
        <v>Saipos Serviços De Software</v>
      </c>
      <c r="V4069" s="33">
        <f>IFERROR(__xludf.DUMMYFUNCTION("""COMPUTED_VALUE"""),1.0)</f>
        <v>1</v>
      </c>
      <c r="W4069" s="4" t="str">
        <f>IFERROR(__xludf.DUMMYFUNCTION("""COMPUTED_VALUE"""),"Saipos Serviços De Software")</f>
        <v>Saipos Serviços De Software</v>
      </c>
      <c r="X4069" s="33">
        <f>IFERROR(__xludf.DUMMYFUNCTION("""COMPUTED_VALUE"""),1.0)</f>
        <v>1</v>
      </c>
    </row>
    <row r="4070">
      <c r="K4070" s="4" t="str">
        <f>IFERROR(__xludf.DUMMYFUNCTION("""COMPUTED_VALUE"""),"THE KINGS BURGUER")</f>
        <v>THE KINGS BURGUER</v>
      </c>
      <c r="L4070" s="32">
        <f>IFERROR(__xludf.DUMMYFUNCTION("""COMPUTED_VALUE"""),2.0)</f>
        <v>2</v>
      </c>
      <c r="M4070" s="4" t="str">
        <f>IFERROR(__xludf.DUMMYFUNCTION("""COMPUTED_VALUE"""),"Anota Ai Solucoes Digitais S/a")</f>
        <v>Anota Ai Solucoes Digitais S/a</v>
      </c>
      <c r="N4070" s="33">
        <f>IFERROR(__xludf.DUMMYFUNCTION("""COMPUTED_VALUE"""),0.5)</f>
        <v>0.5</v>
      </c>
      <c r="O4070" s="4" t="str">
        <f>IFERROR(__xludf.DUMMYFUNCTION("""COMPUTED_VALUE"""),"Anota Ai Solucoes Digitais S/a")</f>
        <v>Anota Ai Solucoes Digitais S/a</v>
      </c>
      <c r="P4070" s="33">
        <f>IFERROR(__xludf.DUMMYFUNCTION("""COMPUTED_VALUE"""),0.5)</f>
        <v>0.5</v>
      </c>
      <c r="Q4070" s="4" t="str">
        <f>IFERROR(__xludf.DUMMYFUNCTION("""COMPUTED_VALUE"""),"Anota Ai Solucoes Digitais S/a")</f>
        <v>Anota Ai Solucoes Digitais S/a</v>
      </c>
      <c r="R4070" s="33">
        <f>IFERROR(__xludf.DUMMYFUNCTION("""COMPUTED_VALUE"""),0.5)</f>
        <v>0.5</v>
      </c>
      <c r="S4070" s="4" t="str">
        <f>IFERROR(__xludf.DUMMYFUNCTION("""COMPUTED_VALUE"""),"Anota Ai Solucoes Digitais S/a")</f>
        <v>Anota Ai Solucoes Digitais S/a</v>
      </c>
      <c r="T4070" s="33">
        <f>IFERROR(__xludf.DUMMYFUNCTION("""COMPUTED_VALUE"""),0.5)</f>
        <v>0.5</v>
      </c>
      <c r="U4070" s="4" t="str">
        <f>IFERROR(__xludf.DUMMYFUNCTION("""COMPUTED_VALUE"""),"Anota Ai Solucoes Digitais S/a")</f>
        <v>Anota Ai Solucoes Digitais S/a</v>
      </c>
      <c r="V4070" s="33">
        <f>IFERROR(__xludf.DUMMYFUNCTION("""COMPUTED_VALUE"""),0.5)</f>
        <v>0.5</v>
      </c>
      <c r="W4070" s="4" t="str">
        <f>IFERROR(__xludf.DUMMYFUNCTION("""COMPUTED_VALUE"""),"Anota Ai Solucoes Digitais S/a")</f>
        <v>Anota Ai Solucoes Digitais S/a</v>
      </c>
      <c r="X4070" s="33">
        <f>IFERROR(__xludf.DUMMYFUNCTION("""COMPUTED_VALUE"""),0.5)</f>
        <v>0.5</v>
      </c>
    </row>
    <row r="4071">
      <c r="K4071" s="4" t="str">
        <f>IFERROR(__xludf.DUMMYFUNCTION("""COMPUTED_VALUE"""),"ESPETINHOS LF")</f>
        <v>ESPETINHOS LF</v>
      </c>
      <c r="L4071" s="32">
        <f>IFERROR(__xludf.DUMMYFUNCTION("""COMPUTED_VALUE"""),2.0)</f>
        <v>2</v>
      </c>
      <c r="M4071" s="4" t="str">
        <f>IFERROR(__xludf.DUMMYFUNCTION("""COMPUTED_VALUE"""),"Kcms")</f>
        <v>Kcms</v>
      </c>
      <c r="N4071" s="33">
        <f>IFERROR(__xludf.DUMMYFUNCTION("""COMPUTED_VALUE"""),0.5)</f>
        <v>0.5</v>
      </c>
      <c r="O4071" s="4" t="str">
        <f>IFERROR(__xludf.DUMMYFUNCTION("""COMPUTED_VALUE"""),"Kcms")</f>
        <v>Kcms</v>
      </c>
      <c r="P4071" s="33">
        <f>IFERROR(__xludf.DUMMYFUNCTION("""COMPUTED_VALUE"""),0.5)</f>
        <v>0.5</v>
      </c>
      <c r="Q4071" s="4" t="str">
        <f>IFERROR(__xludf.DUMMYFUNCTION("""COMPUTED_VALUE"""),"Kcms")</f>
        <v>Kcms</v>
      </c>
      <c r="R4071" s="33">
        <f>IFERROR(__xludf.DUMMYFUNCTION("""COMPUTED_VALUE"""),0.5)</f>
        <v>0.5</v>
      </c>
      <c r="S4071" s="4" t="str">
        <f>IFERROR(__xludf.DUMMYFUNCTION("""COMPUTED_VALUE"""),"Kcms")</f>
        <v>Kcms</v>
      </c>
      <c r="T4071" s="33">
        <f>IFERROR(__xludf.DUMMYFUNCTION("""COMPUTED_VALUE"""),0.5)</f>
        <v>0.5</v>
      </c>
      <c r="U4071" s="4" t="str">
        <f>IFERROR(__xludf.DUMMYFUNCTION("""COMPUTED_VALUE"""),"Kcms")</f>
        <v>Kcms</v>
      </c>
      <c r="V4071" s="33">
        <f>IFERROR(__xludf.DUMMYFUNCTION("""COMPUTED_VALUE"""),0.5)</f>
        <v>0.5</v>
      </c>
      <c r="W4071" s="4" t="str">
        <f>IFERROR(__xludf.DUMMYFUNCTION("""COMPUTED_VALUE"""),"Kcms")</f>
        <v>Kcms</v>
      </c>
      <c r="X4071" s="33">
        <f>IFERROR(__xludf.DUMMYFUNCTION("""COMPUTED_VALUE"""),0.5)</f>
        <v>0.5</v>
      </c>
    </row>
    <row r="4072">
      <c r="K4072" s="4" t="str">
        <f>IFERROR(__xludf.DUMMYFUNCTION("""COMPUTED_VALUE"""),"OISHI LA EM CASA")</f>
        <v>OISHI LA EM CASA</v>
      </c>
      <c r="L4072" s="32">
        <f>IFERROR(__xludf.DUMMYFUNCTION("""COMPUTED_VALUE"""),2.0)</f>
        <v>2</v>
      </c>
      <c r="M4072" s="4" t="str">
        <f>IFERROR(__xludf.DUMMYFUNCTION("""COMPUTED_VALUE"""),"Consumer Soluções Em Tecnologia Ltda")</f>
        <v>Consumer Soluções Em Tecnologia Ltda</v>
      </c>
      <c r="N4072" s="33">
        <f>IFERROR(__xludf.DUMMYFUNCTION("""COMPUTED_VALUE"""),1.0)</f>
        <v>1</v>
      </c>
      <c r="O4072" s="4" t="str">
        <f>IFERROR(__xludf.DUMMYFUNCTION("""COMPUTED_VALUE"""),"Consumer Soluções Em Tecnologia Ltda")</f>
        <v>Consumer Soluções Em Tecnologia Ltda</v>
      </c>
      <c r="P4072" s="33">
        <f>IFERROR(__xludf.DUMMYFUNCTION("""COMPUTED_VALUE"""),1.0)</f>
        <v>1</v>
      </c>
      <c r="Q4072" s="4" t="str">
        <f>IFERROR(__xludf.DUMMYFUNCTION("""COMPUTED_VALUE"""),"null")</f>
        <v>null</v>
      </c>
      <c r="R4072" s="33">
        <f>IFERROR(__xludf.DUMMYFUNCTION("""COMPUTED_VALUE"""),1.0)</f>
        <v>1</v>
      </c>
      <c r="S4072" s="4" t="str">
        <f>IFERROR(__xludf.DUMMYFUNCTION("""COMPUTED_VALUE"""),"null")</f>
        <v>null</v>
      </c>
      <c r="T4072" s="33">
        <f>IFERROR(__xludf.DUMMYFUNCTION("""COMPUTED_VALUE"""),1.0)</f>
        <v>1</v>
      </c>
      <c r="U4072" s="4" t="str">
        <f>IFERROR(__xludf.DUMMYFUNCTION("""COMPUTED_VALUE"""),"null")</f>
        <v>null</v>
      </c>
      <c r="V4072" s="33">
        <f>IFERROR(__xludf.DUMMYFUNCTION("""COMPUTED_VALUE"""),1.0)</f>
        <v>1</v>
      </c>
      <c r="W4072" s="4" t="str">
        <f>IFERROR(__xludf.DUMMYFUNCTION("""COMPUTED_VALUE"""),"null")</f>
        <v>null</v>
      </c>
      <c r="X4072" s="33">
        <f>IFERROR(__xludf.DUMMYFUNCTION("""COMPUTED_VALUE"""),1.0)</f>
        <v>1</v>
      </c>
    </row>
    <row r="4073">
      <c r="K4073" s="4" t="str">
        <f>IFERROR(__xludf.DUMMYFUNCTION("""COMPUTED_VALUE"""),"FACEBURGS LANCHES")</f>
        <v>FACEBURGS LANCHES</v>
      </c>
      <c r="L4073" s="32">
        <f>IFERROR(__xludf.DUMMYFUNCTION("""COMPUTED_VALUE"""),2.0)</f>
        <v>2</v>
      </c>
      <c r="M4073" s="4" t="str">
        <f>IFERROR(__xludf.DUMMYFUNCTION("""COMPUTED_VALUE"""),"Anota Ai Solucoes Digitais S/a")</f>
        <v>Anota Ai Solucoes Digitais S/a</v>
      </c>
      <c r="N4073" s="33">
        <f>IFERROR(__xludf.DUMMYFUNCTION("""COMPUTED_VALUE"""),0.5)</f>
        <v>0.5</v>
      </c>
      <c r="O4073" s="4" t="str">
        <f>IFERROR(__xludf.DUMMYFUNCTION("""COMPUTED_VALUE"""),"Anota Ai Solucoes Digitais S/a")</f>
        <v>Anota Ai Solucoes Digitais S/a</v>
      </c>
      <c r="P4073" s="33">
        <f>IFERROR(__xludf.DUMMYFUNCTION("""COMPUTED_VALUE"""),0.5)</f>
        <v>0.5</v>
      </c>
      <c r="Q4073" s="4" t="str">
        <f>IFERROR(__xludf.DUMMYFUNCTION("""COMPUTED_VALUE"""),"Anota Ai Solucoes Digitais S/a")</f>
        <v>Anota Ai Solucoes Digitais S/a</v>
      </c>
      <c r="R4073" s="33">
        <f>IFERROR(__xludf.DUMMYFUNCTION("""COMPUTED_VALUE"""),1.0)</f>
        <v>1</v>
      </c>
      <c r="S4073" s="4" t="str">
        <f>IFERROR(__xludf.DUMMYFUNCTION("""COMPUTED_VALUE"""),"null")</f>
        <v>null</v>
      </c>
      <c r="T4073" s="33">
        <f>IFERROR(__xludf.DUMMYFUNCTION("""COMPUTED_VALUE"""),0.5)</f>
        <v>0.5</v>
      </c>
      <c r="U4073" s="4" t="str">
        <f>IFERROR(__xludf.DUMMYFUNCTION("""COMPUTED_VALUE"""),"null")</f>
        <v>null</v>
      </c>
      <c r="V4073" s="33">
        <f>IFERROR(__xludf.DUMMYFUNCTION("""COMPUTED_VALUE"""),1.0)</f>
        <v>1</v>
      </c>
      <c r="W4073" s="4" t="str">
        <f>IFERROR(__xludf.DUMMYFUNCTION("""COMPUTED_VALUE"""),"null")</f>
        <v>null</v>
      </c>
      <c r="X4073" s="33">
        <f>IFERROR(__xludf.DUMMYFUNCTION("""COMPUTED_VALUE"""),1.0)</f>
        <v>1</v>
      </c>
    </row>
    <row r="4074">
      <c r="K4074" s="4" t="str">
        <f>IFERROR(__xludf.DUMMYFUNCTION("""COMPUTED_VALUE"""),"BRADOCK BURGUER")</f>
        <v>BRADOCK BURGUER</v>
      </c>
      <c r="L4074" s="32">
        <f>IFERROR(__xludf.DUMMYFUNCTION("""COMPUTED_VALUE"""),2.0)</f>
        <v>2</v>
      </c>
      <c r="M4074" s="4" t="str">
        <f>IFERROR(__xludf.DUMMYFUNCTION("""COMPUTED_VALUE"""),"Saipos Serviços De Software")</f>
        <v>Saipos Serviços De Software</v>
      </c>
      <c r="N4074" s="33">
        <f>IFERROR(__xludf.DUMMYFUNCTION("""COMPUTED_VALUE"""),0.5)</f>
        <v>0.5</v>
      </c>
      <c r="O4074" s="4" t="str">
        <f>IFERROR(__xludf.DUMMYFUNCTION("""COMPUTED_VALUE"""),"Saipos Serviços De Software")</f>
        <v>Saipos Serviços De Software</v>
      </c>
      <c r="P4074" s="33">
        <f>IFERROR(__xludf.DUMMYFUNCTION("""COMPUTED_VALUE"""),0.5)</f>
        <v>0.5</v>
      </c>
      <c r="Q4074" s="4" t="str">
        <f>IFERROR(__xludf.DUMMYFUNCTION("""COMPUTED_VALUE"""),"Saipos Serviços De Software")</f>
        <v>Saipos Serviços De Software</v>
      </c>
      <c r="R4074" s="33">
        <f>IFERROR(__xludf.DUMMYFUNCTION("""COMPUTED_VALUE"""),0.5)</f>
        <v>0.5</v>
      </c>
      <c r="S4074" s="4" t="str">
        <f>IFERROR(__xludf.DUMMYFUNCTION("""COMPUTED_VALUE"""),"Saipos Serviços De Software")</f>
        <v>Saipos Serviços De Software</v>
      </c>
      <c r="T4074" s="33">
        <f>IFERROR(__xludf.DUMMYFUNCTION("""COMPUTED_VALUE"""),0.5)</f>
        <v>0.5</v>
      </c>
      <c r="U4074" s="4" t="str">
        <f>IFERROR(__xludf.DUMMYFUNCTION("""COMPUTED_VALUE"""),"Saipos Serviços De Software")</f>
        <v>Saipos Serviços De Software</v>
      </c>
      <c r="V4074" s="33">
        <f>IFERROR(__xludf.DUMMYFUNCTION("""COMPUTED_VALUE"""),0.5)</f>
        <v>0.5</v>
      </c>
      <c r="W4074" s="4" t="str">
        <f>IFERROR(__xludf.DUMMYFUNCTION("""COMPUTED_VALUE"""),"Saipos Serviços De Software")</f>
        <v>Saipos Serviços De Software</v>
      </c>
      <c r="X4074" s="33">
        <f>IFERROR(__xludf.DUMMYFUNCTION("""COMPUTED_VALUE"""),0.5)</f>
        <v>0.5</v>
      </c>
    </row>
    <row r="4075">
      <c r="K4075" s="4" t="str">
        <f>IFERROR(__xludf.DUMMYFUNCTION("""COMPUTED_VALUE"""),"XIS PRENSADAO BAGUAL")</f>
        <v>XIS PRENSADAO BAGUAL</v>
      </c>
      <c r="L4075" s="32">
        <f>IFERROR(__xludf.DUMMYFUNCTION("""COMPUTED_VALUE"""),2.0)</f>
        <v>2</v>
      </c>
      <c r="M4075" s="4" t="str">
        <f>IFERROR(__xludf.DUMMYFUNCTION("""COMPUTED_VALUE"""),"Anota Ai Solucoes Digitais S/a")</f>
        <v>Anota Ai Solucoes Digitais S/a</v>
      </c>
      <c r="N4075" s="33">
        <f>IFERROR(__xludf.DUMMYFUNCTION("""COMPUTED_VALUE"""),1.0)</f>
        <v>1</v>
      </c>
      <c r="O4075" s="4" t="str">
        <f>IFERROR(__xludf.DUMMYFUNCTION("""COMPUTED_VALUE"""),"Anota Ai Solucoes Digitais S/a")</f>
        <v>Anota Ai Solucoes Digitais S/a</v>
      </c>
      <c r="P4075" s="33">
        <f>IFERROR(__xludf.DUMMYFUNCTION("""COMPUTED_VALUE"""),0.5)</f>
        <v>0.5</v>
      </c>
      <c r="Q4075" s="4" t="str">
        <f>IFERROR(__xludf.DUMMYFUNCTION("""COMPUTED_VALUE"""),"Anota Ai Solucoes Digitais S/a")</f>
        <v>Anota Ai Solucoes Digitais S/a</v>
      </c>
      <c r="R4075" s="33">
        <f>IFERROR(__xludf.DUMMYFUNCTION("""COMPUTED_VALUE"""),0.5)</f>
        <v>0.5</v>
      </c>
      <c r="S4075" s="4" t="str">
        <f>IFERROR(__xludf.DUMMYFUNCTION("""COMPUTED_VALUE"""),"Anota Ai Solucoes Digitais S/a")</f>
        <v>Anota Ai Solucoes Digitais S/a</v>
      </c>
      <c r="T4075" s="33">
        <f>IFERROR(__xludf.DUMMYFUNCTION("""COMPUTED_VALUE"""),0.5)</f>
        <v>0.5</v>
      </c>
      <c r="U4075" s="4" t="str">
        <f>IFERROR(__xludf.DUMMYFUNCTION("""COMPUTED_VALUE"""),"Anota Ai Solucoes Digitais S/a")</f>
        <v>Anota Ai Solucoes Digitais S/a</v>
      </c>
      <c r="V4075" s="33">
        <f>IFERROR(__xludf.DUMMYFUNCTION("""COMPUTED_VALUE"""),1.0)</f>
        <v>1</v>
      </c>
      <c r="W4075" s="4" t="str">
        <f>IFERROR(__xludf.DUMMYFUNCTION("""COMPUTED_VALUE"""),"Anota Ai Solucoes Digitais S/a")</f>
        <v>Anota Ai Solucoes Digitais S/a</v>
      </c>
      <c r="X4075" s="33">
        <f>IFERROR(__xludf.DUMMYFUNCTION("""COMPUTED_VALUE"""),1.0)</f>
        <v>1</v>
      </c>
    </row>
    <row r="4076">
      <c r="K4076" s="4" t="str">
        <f>IFERROR(__xludf.DUMMYFUNCTION("""COMPUTED_VALUE"""),"ACAI OHANA")</f>
        <v>ACAI OHANA</v>
      </c>
      <c r="L4076" s="32">
        <f>IFERROR(__xludf.DUMMYFUNCTION("""COMPUTED_VALUE"""),2.0)</f>
        <v>2</v>
      </c>
      <c r="M4076" s="4" t="str">
        <f>IFERROR(__xludf.DUMMYFUNCTION("""COMPUTED_VALUE"""),"Grsoft")</f>
        <v>Grsoft</v>
      </c>
      <c r="N4076" s="33">
        <f>IFERROR(__xludf.DUMMYFUNCTION("""COMPUTED_VALUE"""),0.5)</f>
        <v>0.5</v>
      </c>
      <c r="O4076" s="4" t="str">
        <f>IFERROR(__xludf.DUMMYFUNCTION("""COMPUTED_VALUE"""),"Grsoft")</f>
        <v>Grsoft</v>
      </c>
      <c r="P4076" s="33">
        <f>IFERROR(__xludf.DUMMYFUNCTION("""COMPUTED_VALUE"""),0.5)</f>
        <v>0.5</v>
      </c>
      <c r="Q4076" s="4" t="str">
        <f>IFERROR(__xludf.DUMMYFUNCTION("""COMPUTED_VALUE"""),"Grsoft")</f>
        <v>Grsoft</v>
      </c>
      <c r="R4076" s="33">
        <f>IFERROR(__xludf.DUMMYFUNCTION("""COMPUTED_VALUE"""),0.5)</f>
        <v>0.5</v>
      </c>
      <c r="S4076" s="4" t="str">
        <f>IFERROR(__xludf.DUMMYFUNCTION("""COMPUTED_VALUE"""),"Grsoft")</f>
        <v>Grsoft</v>
      </c>
      <c r="T4076" s="33">
        <f>IFERROR(__xludf.DUMMYFUNCTION("""COMPUTED_VALUE"""),0.5)</f>
        <v>0.5</v>
      </c>
      <c r="U4076" s="4" t="str">
        <f>IFERROR(__xludf.DUMMYFUNCTION("""COMPUTED_VALUE"""),"Grsoft")</f>
        <v>Grsoft</v>
      </c>
      <c r="V4076" s="33">
        <f>IFERROR(__xludf.DUMMYFUNCTION("""COMPUTED_VALUE"""),0.5)</f>
        <v>0.5</v>
      </c>
      <c r="W4076" s="4" t="str">
        <f>IFERROR(__xludf.DUMMYFUNCTION("""COMPUTED_VALUE"""),"Grsoft")</f>
        <v>Grsoft</v>
      </c>
      <c r="X4076" s="33">
        <f>IFERROR(__xludf.DUMMYFUNCTION("""COMPUTED_VALUE"""),0.5)</f>
        <v>0.5</v>
      </c>
    </row>
    <row r="4077">
      <c r="K4077" s="4" t="str">
        <f>IFERROR(__xludf.DUMMYFUNCTION("""COMPUTED_VALUE"""),"MANU DA PANELADA")</f>
        <v>MANU DA PANELADA</v>
      </c>
      <c r="L4077" s="32">
        <f>IFERROR(__xludf.DUMMYFUNCTION("""COMPUTED_VALUE"""),2.0)</f>
        <v>2</v>
      </c>
      <c r="M4077" s="4" t="str">
        <f>IFERROR(__xludf.DUMMYFUNCTION("""COMPUTED_VALUE"""),"Instadelivery")</f>
        <v>Instadelivery</v>
      </c>
      <c r="N4077" s="33">
        <f>IFERROR(__xludf.DUMMYFUNCTION("""COMPUTED_VALUE"""),1.0)</f>
        <v>1</v>
      </c>
      <c r="O4077" s="4" t="str">
        <f>IFERROR(__xludf.DUMMYFUNCTION("""COMPUTED_VALUE"""),"null")</f>
        <v>null</v>
      </c>
      <c r="P4077" s="33">
        <f>IFERROR(__xludf.DUMMYFUNCTION("""COMPUTED_VALUE"""),0.5)</f>
        <v>0.5</v>
      </c>
      <c r="Q4077" s="4" t="str">
        <f>IFERROR(__xludf.DUMMYFUNCTION("""COMPUTED_VALUE"""),"Instadelivery")</f>
        <v>Instadelivery</v>
      </c>
      <c r="R4077" s="33">
        <f>IFERROR(__xludf.DUMMYFUNCTION("""COMPUTED_VALUE"""),1.0)</f>
        <v>1</v>
      </c>
      <c r="S4077" s="4" t="str">
        <f>IFERROR(__xludf.DUMMYFUNCTION("""COMPUTED_VALUE"""),"Instadelivery")</f>
        <v>Instadelivery</v>
      </c>
      <c r="T4077" s="33">
        <f>IFERROR(__xludf.DUMMYFUNCTION("""COMPUTED_VALUE"""),1.0)</f>
        <v>1</v>
      </c>
      <c r="U4077" s="4" t="str">
        <f>IFERROR(__xludf.DUMMYFUNCTION("""COMPUTED_VALUE"""),"null")</f>
        <v>null</v>
      </c>
      <c r="V4077" s="33">
        <f>IFERROR(__xludf.DUMMYFUNCTION("""COMPUTED_VALUE"""),0.5)</f>
        <v>0.5</v>
      </c>
      <c r="W4077" s="4" t="str">
        <f>IFERROR(__xludf.DUMMYFUNCTION("""COMPUTED_VALUE"""),"Instadelivery")</f>
        <v>Instadelivery</v>
      </c>
      <c r="X4077" s="33">
        <f>IFERROR(__xludf.DUMMYFUNCTION("""COMPUTED_VALUE"""),1.0)</f>
        <v>1</v>
      </c>
    </row>
    <row r="4078">
      <c r="K4078" s="4" t="str">
        <f>IFERROR(__xludf.DUMMYFUNCTION("""COMPUTED_VALUE"""),"BURGUERIA")</f>
        <v>BURGUERIA</v>
      </c>
      <c r="L4078" s="32">
        <f>IFERROR(__xludf.DUMMYFUNCTION("""COMPUTED_VALUE"""),2.0)</f>
        <v>2</v>
      </c>
      <c r="M4078" s="4" t="str">
        <f>IFERROR(__xludf.DUMMYFUNCTION("""COMPUTED_VALUE"""),"Yooga")</f>
        <v>Yooga</v>
      </c>
      <c r="N4078" s="33">
        <f>IFERROR(__xludf.DUMMYFUNCTION("""COMPUTED_VALUE"""),0.5)</f>
        <v>0.5</v>
      </c>
      <c r="O4078" s="4" t="str">
        <f>IFERROR(__xludf.DUMMYFUNCTION("""COMPUTED_VALUE"""),"null")</f>
        <v>null</v>
      </c>
      <c r="P4078" s="33">
        <f>IFERROR(__xludf.DUMMYFUNCTION("""COMPUTED_VALUE"""),1.0)</f>
        <v>1</v>
      </c>
      <c r="Q4078" s="4" t="str">
        <f>IFERROR(__xludf.DUMMYFUNCTION("""COMPUTED_VALUE"""),"Yooga")</f>
        <v>Yooga</v>
      </c>
      <c r="R4078" s="33">
        <f>IFERROR(__xludf.DUMMYFUNCTION("""COMPUTED_VALUE"""),0.5)</f>
        <v>0.5</v>
      </c>
      <c r="S4078" s="4" t="str">
        <f>IFERROR(__xludf.DUMMYFUNCTION("""COMPUTED_VALUE"""),"null")</f>
        <v>null</v>
      </c>
      <c r="T4078" s="33">
        <f>IFERROR(__xludf.DUMMYFUNCTION("""COMPUTED_VALUE"""),1.0)</f>
        <v>1</v>
      </c>
      <c r="U4078" s="4" t="str">
        <f>IFERROR(__xludf.DUMMYFUNCTION("""COMPUTED_VALUE"""),"null")</f>
        <v>null</v>
      </c>
      <c r="V4078" s="33">
        <f>IFERROR(__xludf.DUMMYFUNCTION("""COMPUTED_VALUE"""),1.0)</f>
        <v>1</v>
      </c>
      <c r="W4078" s="4" t="str">
        <f>IFERROR(__xludf.DUMMYFUNCTION("""COMPUTED_VALUE"""),"null")</f>
        <v>null</v>
      </c>
      <c r="X4078" s="33">
        <f>IFERROR(__xludf.DUMMYFUNCTION("""COMPUTED_VALUE"""),0.5)</f>
        <v>0.5</v>
      </c>
    </row>
    <row r="4079">
      <c r="K4079" s="4" t="str">
        <f>IFERROR(__xludf.DUMMYFUNCTION("""COMPUTED_VALUE"""),"FARMACIA MODERNA")</f>
        <v>FARMACIA MODERNA</v>
      </c>
      <c r="L4079" s="32">
        <f>IFERROR(__xludf.DUMMYFUNCTION("""COMPUTED_VALUE"""),2.0)</f>
        <v>2</v>
      </c>
      <c r="M4079" s="4" t="str">
        <f>IFERROR(__xludf.DUMMYFUNCTION("""COMPUTED_VALUE"""),"null")</f>
        <v>null</v>
      </c>
      <c r="N4079" s="33">
        <f>IFERROR(__xludf.DUMMYFUNCTION("""COMPUTED_VALUE"""),1.0)</f>
        <v>1</v>
      </c>
      <c r="O4079" s="4" t="str">
        <f>IFERROR(__xludf.DUMMYFUNCTION("""COMPUTED_VALUE"""),"null")</f>
        <v>null</v>
      </c>
      <c r="P4079" s="33">
        <f>IFERROR(__xludf.DUMMYFUNCTION("""COMPUTED_VALUE"""),1.0)</f>
        <v>1</v>
      </c>
      <c r="Q4079" s="4" t="str">
        <f>IFERROR(__xludf.DUMMYFUNCTION("""COMPUTED_VALUE"""),"N/A (Not found)")</f>
        <v>N/A (Not found)</v>
      </c>
      <c r="R4079" s="33">
        <f>IFERROR(__xludf.DUMMYFUNCTION("""COMPUTED_VALUE"""),0.5)</f>
        <v>0.5</v>
      </c>
      <c r="S4079" s="4" t="str">
        <f>IFERROR(__xludf.DUMMYFUNCTION("""COMPUTED_VALUE"""),"N/A (Not found)")</f>
        <v>N/A (Not found)</v>
      </c>
      <c r="T4079" s="33">
        <f>IFERROR(__xludf.DUMMYFUNCTION("""COMPUTED_VALUE"""),0.5)</f>
        <v>0.5</v>
      </c>
      <c r="U4079" s="4" t="str">
        <f>IFERROR(__xludf.DUMMYFUNCTION("""COMPUTED_VALUE"""),"N/A (Not found)")</f>
        <v>N/A (Not found)</v>
      </c>
      <c r="V4079" s="33">
        <f>IFERROR(__xludf.DUMMYFUNCTION("""COMPUTED_VALUE"""),0.5)</f>
        <v>0.5</v>
      </c>
      <c r="W4079" s="4" t="str">
        <f>IFERROR(__xludf.DUMMYFUNCTION("""COMPUTED_VALUE"""),"N/A (Not found)")</f>
        <v>N/A (Not found)</v>
      </c>
      <c r="X4079" s="33">
        <f>IFERROR(__xludf.DUMMYFUNCTION("""COMPUTED_VALUE"""),1.0)</f>
        <v>1</v>
      </c>
    </row>
    <row r="4080">
      <c r="K4080" s="4" t="str">
        <f>IFERROR(__xludf.DUMMYFUNCTION("""COMPUTED_VALUE"""),"NEW BIG SORVETES E ACAI")</f>
        <v>NEW BIG SORVETES E ACAI</v>
      </c>
      <c r="L4080" s="32">
        <f>IFERROR(__xludf.DUMMYFUNCTION("""COMPUTED_VALUE"""),2.0)</f>
        <v>2</v>
      </c>
      <c r="M4080" s="4" t="str">
        <f>IFERROR(__xludf.DUMMYFUNCTION("""COMPUTED_VALUE"""),"null")</f>
        <v>null</v>
      </c>
      <c r="N4080" s="33">
        <f>IFERROR(__xludf.DUMMYFUNCTION("""COMPUTED_VALUE"""),0.5)</f>
        <v>0.5</v>
      </c>
      <c r="O4080" s="4" t="str">
        <f>IFERROR(__xludf.DUMMYFUNCTION("""COMPUTED_VALUE"""),"null")</f>
        <v>null</v>
      </c>
      <c r="P4080" s="33">
        <f>IFERROR(__xludf.DUMMYFUNCTION("""COMPUTED_VALUE"""),0.5)</f>
        <v>0.5</v>
      </c>
      <c r="Q4080" s="4" t="str">
        <f>IFERROR(__xludf.DUMMYFUNCTION("""COMPUTED_VALUE"""),"null")</f>
        <v>null</v>
      </c>
      <c r="R4080" s="33">
        <f>IFERROR(__xludf.DUMMYFUNCTION("""COMPUTED_VALUE"""),0.5)</f>
        <v>0.5</v>
      </c>
      <c r="S4080" s="4" t="str">
        <f>IFERROR(__xludf.DUMMYFUNCTION("""COMPUTED_VALUE"""),"null")</f>
        <v>null</v>
      </c>
      <c r="T4080" s="33">
        <f>IFERROR(__xludf.DUMMYFUNCTION("""COMPUTED_VALUE"""),0.5)</f>
        <v>0.5</v>
      </c>
      <c r="U4080" s="4" t="str">
        <f>IFERROR(__xludf.DUMMYFUNCTION("""COMPUTED_VALUE"""),"Lma Tecnologia Ltda")</f>
        <v>Lma Tecnologia Ltda</v>
      </c>
      <c r="V4080" s="33">
        <f>IFERROR(__xludf.DUMMYFUNCTION("""COMPUTED_VALUE"""),1.0)</f>
        <v>1</v>
      </c>
      <c r="W4080" s="4" t="str">
        <f>IFERROR(__xludf.DUMMYFUNCTION("""COMPUTED_VALUE"""),"null")</f>
        <v>null</v>
      </c>
      <c r="X4080" s="33">
        <f>IFERROR(__xludf.DUMMYFUNCTION("""COMPUTED_VALUE"""),1.0)</f>
        <v>1</v>
      </c>
    </row>
    <row r="4081">
      <c r="K4081" s="4" t="str">
        <f>IFERROR(__xludf.DUMMYFUNCTION("""COMPUTED_VALUE"""),"NATURALLE")</f>
        <v>NATURALLE</v>
      </c>
      <c r="L4081" s="32">
        <f>IFERROR(__xludf.DUMMYFUNCTION("""COMPUTED_VALUE"""),2.0)</f>
        <v>2</v>
      </c>
      <c r="M4081" s="4" t="str">
        <f>IFERROR(__xludf.DUMMYFUNCTION("""COMPUTED_VALUE"""),"Anota Ai Solucoes Digitais S/a")</f>
        <v>Anota Ai Solucoes Digitais S/a</v>
      </c>
      <c r="N4081" s="33">
        <f>IFERROR(__xludf.DUMMYFUNCTION("""COMPUTED_VALUE"""),0.5)</f>
        <v>0.5</v>
      </c>
      <c r="O4081" s="4" t="str">
        <f>IFERROR(__xludf.DUMMYFUNCTION("""COMPUTED_VALUE"""),"Anota Ai Solucoes Digitais S/a")</f>
        <v>Anota Ai Solucoes Digitais S/a</v>
      </c>
      <c r="P4081" s="33">
        <f>IFERROR(__xludf.DUMMYFUNCTION("""COMPUTED_VALUE"""),0.5)</f>
        <v>0.5</v>
      </c>
      <c r="Q4081" s="4" t="str">
        <f>IFERROR(__xludf.DUMMYFUNCTION("""COMPUTED_VALUE"""),"Anota Ai Solucoes Digitais S/a")</f>
        <v>Anota Ai Solucoes Digitais S/a</v>
      </c>
      <c r="R4081" s="33">
        <f>IFERROR(__xludf.DUMMYFUNCTION("""COMPUTED_VALUE"""),0.5)</f>
        <v>0.5</v>
      </c>
      <c r="S4081" s="4" t="str">
        <f>IFERROR(__xludf.DUMMYFUNCTION("""COMPUTED_VALUE"""),"Anota Ai Solucoes Digitais S/a")</f>
        <v>Anota Ai Solucoes Digitais S/a</v>
      </c>
      <c r="T4081" s="33">
        <f>IFERROR(__xludf.DUMMYFUNCTION("""COMPUTED_VALUE"""),0.5)</f>
        <v>0.5</v>
      </c>
      <c r="U4081" s="4" t="str">
        <f>IFERROR(__xludf.DUMMYFUNCTION("""COMPUTED_VALUE"""),"Anota Ai Solucoes Digitais S/a")</f>
        <v>Anota Ai Solucoes Digitais S/a</v>
      </c>
      <c r="V4081" s="33">
        <f>IFERROR(__xludf.DUMMYFUNCTION("""COMPUTED_VALUE"""),0.5)</f>
        <v>0.5</v>
      </c>
      <c r="W4081" s="4" t="str">
        <f>IFERROR(__xludf.DUMMYFUNCTION("""COMPUTED_VALUE"""),"Anota Ai Solucoes Digitais S/a")</f>
        <v>Anota Ai Solucoes Digitais S/a</v>
      </c>
      <c r="X4081" s="33">
        <f>IFERROR(__xludf.DUMMYFUNCTION("""COMPUTED_VALUE"""),0.5)</f>
        <v>0.5</v>
      </c>
    </row>
    <row r="4082">
      <c r="K4082" s="4" t="str">
        <f>IFERROR(__xludf.DUMMYFUNCTION("""COMPUTED_VALUE"""),"LIGA DA PIZZA")</f>
        <v>LIGA DA PIZZA</v>
      </c>
      <c r="L4082" s="32">
        <f>IFERROR(__xludf.DUMMYFUNCTION("""COMPUTED_VALUE"""),2.0)</f>
        <v>2</v>
      </c>
      <c r="M4082" s="4" t="str">
        <f>IFERROR(__xludf.DUMMYFUNCTION("""COMPUTED_VALUE"""),"Anota Ai Solucoes Digitais S/a")</f>
        <v>Anota Ai Solucoes Digitais S/a</v>
      </c>
      <c r="N4082" s="33">
        <f>IFERROR(__xludf.DUMMYFUNCTION("""COMPUTED_VALUE"""),0.5)</f>
        <v>0.5</v>
      </c>
      <c r="O4082" s="4" t="str">
        <f>IFERROR(__xludf.DUMMYFUNCTION("""COMPUTED_VALUE"""),"Anota Ai Solucoes Digitais S/a")</f>
        <v>Anota Ai Solucoes Digitais S/a</v>
      </c>
      <c r="P4082" s="33">
        <f>IFERROR(__xludf.DUMMYFUNCTION("""COMPUTED_VALUE"""),0.5)</f>
        <v>0.5</v>
      </c>
      <c r="Q4082" s="4" t="str">
        <f>IFERROR(__xludf.DUMMYFUNCTION("""COMPUTED_VALUE"""),"Anota Ai Solucoes Digitais S/a")</f>
        <v>Anota Ai Solucoes Digitais S/a</v>
      </c>
      <c r="R4082" s="33">
        <f>IFERROR(__xludf.DUMMYFUNCTION("""COMPUTED_VALUE"""),0.5)</f>
        <v>0.5</v>
      </c>
      <c r="S4082" s="4" t="str">
        <f>IFERROR(__xludf.DUMMYFUNCTION("""COMPUTED_VALUE"""),"Anota Ai Solucoes Digitais S/a")</f>
        <v>Anota Ai Solucoes Digitais S/a</v>
      </c>
      <c r="T4082" s="33">
        <f>IFERROR(__xludf.DUMMYFUNCTION("""COMPUTED_VALUE"""),0.5)</f>
        <v>0.5</v>
      </c>
      <c r="U4082" s="4" t="str">
        <f>IFERROR(__xludf.DUMMYFUNCTION("""COMPUTED_VALUE"""),"Anota Ai Solucoes Digitais S/a")</f>
        <v>Anota Ai Solucoes Digitais S/a</v>
      </c>
      <c r="V4082" s="33">
        <f>IFERROR(__xludf.DUMMYFUNCTION("""COMPUTED_VALUE"""),0.5)</f>
        <v>0.5</v>
      </c>
      <c r="W4082" s="4" t="str">
        <f>IFERROR(__xludf.DUMMYFUNCTION("""COMPUTED_VALUE"""),"Anota Ai Solucoes Digitais S/a")</f>
        <v>Anota Ai Solucoes Digitais S/a</v>
      </c>
      <c r="X4082" s="33">
        <f>IFERROR(__xludf.DUMMYFUNCTION("""COMPUTED_VALUE"""),0.5)</f>
        <v>0.5</v>
      </c>
    </row>
    <row r="4083">
      <c r="K4083" s="4" t="str">
        <f>IFERROR(__xludf.DUMMYFUNCTION("""COMPUTED_VALUE"""),"ACAI FICA FRIO")</f>
        <v>ACAI FICA FRIO</v>
      </c>
      <c r="L4083" s="32">
        <f>IFERROR(__xludf.DUMMYFUNCTION("""COMPUTED_VALUE"""),2.0)</f>
        <v>2</v>
      </c>
      <c r="M4083" s="4" t="str">
        <f>IFERROR(__xludf.DUMMYFUNCTION("""COMPUTED_VALUE"""),"Cardápio Web")</f>
        <v>Cardápio Web</v>
      </c>
      <c r="N4083" s="33">
        <f>IFERROR(__xludf.DUMMYFUNCTION("""COMPUTED_VALUE"""),0.5)</f>
        <v>0.5</v>
      </c>
      <c r="O4083" s="4" t="str">
        <f>IFERROR(__xludf.DUMMYFUNCTION("""COMPUTED_VALUE"""),"Cardápio Web")</f>
        <v>Cardápio Web</v>
      </c>
      <c r="P4083" s="33">
        <f>IFERROR(__xludf.DUMMYFUNCTION("""COMPUTED_VALUE"""),0.5)</f>
        <v>0.5</v>
      </c>
      <c r="Q4083" s="4" t="str">
        <f>IFERROR(__xludf.DUMMYFUNCTION("""COMPUTED_VALUE"""),"Cardápio Web")</f>
        <v>Cardápio Web</v>
      </c>
      <c r="R4083" s="33">
        <f>IFERROR(__xludf.DUMMYFUNCTION("""COMPUTED_VALUE"""),0.5)</f>
        <v>0.5</v>
      </c>
      <c r="S4083" s="4" t="str">
        <f>IFERROR(__xludf.DUMMYFUNCTION("""COMPUTED_VALUE"""),"Cardápio Web")</f>
        <v>Cardápio Web</v>
      </c>
      <c r="T4083" s="33">
        <f>IFERROR(__xludf.DUMMYFUNCTION("""COMPUTED_VALUE"""),0.5)</f>
        <v>0.5</v>
      </c>
      <c r="U4083" s="4" t="str">
        <f>IFERROR(__xludf.DUMMYFUNCTION("""COMPUTED_VALUE"""),"Cardápio Web")</f>
        <v>Cardápio Web</v>
      </c>
      <c r="V4083" s="33">
        <f>IFERROR(__xludf.DUMMYFUNCTION("""COMPUTED_VALUE"""),0.5)</f>
        <v>0.5</v>
      </c>
      <c r="W4083" s="4" t="str">
        <f>IFERROR(__xludf.DUMMYFUNCTION("""COMPUTED_VALUE"""),"Cardápio Web")</f>
        <v>Cardápio Web</v>
      </c>
      <c r="X4083" s="33">
        <f>IFERROR(__xludf.DUMMYFUNCTION("""COMPUTED_VALUE"""),0.5)</f>
        <v>0.5</v>
      </c>
    </row>
    <row r="4084">
      <c r="K4084" s="4" t="str">
        <f>IFERROR(__xludf.DUMMYFUNCTION("""COMPUTED_VALUE"""),"JESSICA GOURMET")</f>
        <v>JESSICA GOURMET</v>
      </c>
      <c r="L4084" s="32">
        <f>IFERROR(__xludf.DUMMYFUNCTION("""COMPUTED_VALUE"""),2.0)</f>
        <v>2</v>
      </c>
      <c r="M4084" s="4" t="str">
        <f>IFERROR(__xludf.DUMMYFUNCTION("""COMPUTED_VALUE"""),"null")</f>
        <v>null</v>
      </c>
      <c r="N4084" s="33">
        <f>IFERROR(__xludf.DUMMYFUNCTION("""COMPUTED_VALUE"""),0.5)</f>
        <v>0.5</v>
      </c>
      <c r="O4084" s="4" t="str">
        <f>IFERROR(__xludf.DUMMYFUNCTION("""COMPUTED_VALUE"""),"null")</f>
        <v>null</v>
      </c>
      <c r="P4084" s="33">
        <f>IFERROR(__xludf.DUMMYFUNCTION("""COMPUTED_VALUE"""),1.0)</f>
        <v>1</v>
      </c>
      <c r="Q4084" s="4" t="str">
        <f>IFERROR(__xludf.DUMMYFUNCTION("""COMPUTED_VALUE"""),"Instadelivery")</f>
        <v>Instadelivery</v>
      </c>
      <c r="R4084" s="33">
        <f>IFERROR(__xludf.DUMMYFUNCTION("""COMPUTED_VALUE"""),0.5)</f>
        <v>0.5</v>
      </c>
      <c r="S4084" s="4" t="str">
        <f>IFERROR(__xludf.DUMMYFUNCTION("""COMPUTED_VALUE"""),"null")</f>
        <v>null</v>
      </c>
      <c r="T4084" s="33">
        <f>IFERROR(__xludf.DUMMYFUNCTION("""COMPUTED_VALUE"""),1.0)</f>
        <v>1</v>
      </c>
      <c r="U4084" s="4" t="str">
        <f>IFERROR(__xludf.DUMMYFUNCTION("""COMPUTED_VALUE"""),"null")</f>
        <v>null</v>
      </c>
      <c r="V4084" s="33">
        <f>IFERROR(__xludf.DUMMYFUNCTION("""COMPUTED_VALUE"""),1.0)</f>
        <v>1</v>
      </c>
      <c r="W4084" s="4" t="str">
        <f>IFERROR(__xludf.DUMMYFUNCTION("""COMPUTED_VALUE"""),"null")</f>
        <v>null</v>
      </c>
      <c r="X4084" s="33">
        <f>IFERROR(__xludf.DUMMYFUNCTION("""COMPUTED_VALUE"""),1.0)</f>
        <v>1</v>
      </c>
    </row>
    <row r="4085">
      <c r="K4085" s="4" t="str">
        <f>IFERROR(__xludf.DUMMYFUNCTION("""COMPUTED_VALUE"""),"GLOBAL SALGADOS")</f>
        <v>GLOBAL SALGADOS</v>
      </c>
      <c r="L4085" s="32">
        <f>IFERROR(__xludf.DUMMYFUNCTION("""COMPUTED_VALUE"""),2.0)</f>
        <v>2</v>
      </c>
      <c r="M4085" s="4" t="str">
        <f>IFERROR(__xludf.DUMMYFUNCTION("""COMPUTED_VALUE"""),"Saipos Serviços De Software")</f>
        <v>Saipos Serviços De Software</v>
      </c>
      <c r="N4085" s="33">
        <f>IFERROR(__xludf.DUMMYFUNCTION("""COMPUTED_VALUE"""),0.5)</f>
        <v>0.5</v>
      </c>
      <c r="O4085" s="4" t="str">
        <f>IFERROR(__xludf.DUMMYFUNCTION("""COMPUTED_VALUE"""),"Saipos Serviços De Software")</f>
        <v>Saipos Serviços De Software</v>
      </c>
      <c r="P4085" s="33">
        <f>IFERROR(__xludf.DUMMYFUNCTION("""COMPUTED_VALUE"""),0.5)</f>
        <v>0.5</v>
      </c>
      <c r="Q4085" s="4" t="str">
        <f>IFERROR(__xludf.DUMMYFUNCTION("""COMPUTED_VALUE"""),"Saipos Serviços De Software")</f>
        <v>Saipos Serviços De Software</v>
      </c>
      <c r="R4085" s="33">
        <f>IFERROR(__xludf.DUMMYFUNCTION("""COMPUTED_VALUE"""),0.5)</f>
        <v>0.5</v>
      </c>
      <c r="S4085" s="4" t="str">
        <f>IFERROR(__xludf.DUMMYFUNCTION("""COMPUTED_VALUE"""),"Saipos Serviços De Software")</f>
        <v>Saipos Serviços De Software</v>
      </c>
      <c r="T4085" s="33">
        <f>IFERROR(__xludf.DUMMYFUNCTION("""COMPUTED_VALUE"""),0.5)</f>
        <v>0.5</v>
      </c>
      <c r="U4085" s="4" t="str">
        <f>IFERROR(__xludf.DUMMYFUNCTION("""COMPUTED_VALUE"""),"Saipos Serviços De Software")</f>
        <v>Saipos Serviços De Software</v>
      </c>
      <c r="V4085" s="33">
        <f>IFERROR(__xludf.DUMMYFUNCTION("""COMPUTED_VALUE"""),0.5)</f>
        <v>0.5</v>
      </c>
      <c r="W4085" s="4" t="str">
        <f>IFERROR(__xludf.DUMMYFUNCTION("""COMPUTED_VALUE"""),"Saipos Serviços De Software")</f>
        <v>Saipos Serviços De Software</v>
      </c>
      <c r="X4085" s="33">
        <f>IFERROR(__xludf.DUMMYFUNCTION("""COMPUTED_VALUE"""),0.5)</f>
        <v>0.5</v>
      </c>
    </row>
    <row r="4086">
      <c r="K4086" s="4" t="str">
        <f>IFERROR(__xludf.DUMMYFUNCTION("""COMPUTED_VALUE"""),"DROGARIA BEM POPULAR BRASIL")</f>
        <v>DROGARIA BEM POPULAR BRASIL</v>
      </c>
      <c r="L4086" s="32">
        <f>IFERROR(__xludf.DUMMYFUNCTION("""COMPUTED_VALUE"""),2.0)</f>
        <v>2</v>
      </c>
      <c r="M4086" s="4" t="str">
        <f>IFERROR(__xludf.DUMMYFUNCTION("""COMPUTED_VALUE"""),"null")</f>
        <v>null</v>
      </c>
      <c r="N4086" s="33">
        <f>IFERROR(__xludf.DUMMYFUNCTION("""COMPUTED_VALUE"""),0.5)</f>
        <v>0.5</v>
      </c>
      <c r="O4086" s="4" t="str">
        <f>IFERROR(__xludf.DUMMYFUNCTION("""COMPUTED_VALUE"""),"null")</f>
        <v>null</v>
      </c>
      <c r="P4086" s="33">
        <f>IFERROR(__xludf.DUMMYFUNCTION("""COMPUTED_VALUE"""),0.5)</f>
        <v>0.5</v>
      </c>
      <c r="Q4086" s="4" t="str">
        <f>IFERROR(__xludf.DUMMYFUNCTION("""COMPUTED_VALUE"""),"null")</f>
        <v>null</v>
      </c>
      <c r="R4086" s="33">
        <f>IFERROR(__xludf.DUMMYFUNCTION("""COMPUTED_VALUE"""),0.5)</f>
        <v>0.5</v>
      </c>
      <c r="S4086" s="4" t="str">
        <f>IFERROR(__xludf.DUMMYFUNCTION("""COMPUTED_VALUE"""),"null")</f>
        <v>null</v>
      </c>
      <c r="T4086" s="33">
        <f>IFERROR(__xludf.DUMMYFUNCTION("""COMPUTED_VALUE"""),0.5)</f>
        <v>0.5</v>
      </c>
      <c r="U4086" s="4" t="str">
        <f>IFERROR(__xludf.DUMMYFUNCTION("""COMPUTED_VALUE"""),"N/A (Not found)")</f>
        <v>N/A (Not found)</v>
      </c>
      <c r="V4086" s="33">
        <f>IFERROR(__xludf.DUMMYFUNCTION("""COMPUTED_VALUE"""),1.0)</f>
        <v>1</v>
      </c>
      <c r="W4086" s="4" t="str">
        <f>IFERROR(__xludf.DUMMYFUNCTION("""COMPUTED_VALUE"""),"N/A (Not found)")</f>
        <v>N/A (Not found)</v>
      </c>
      <c r="X4086" s="33">
        <f>IFERROR(__xludf.DUMMYFUNCTION("""COMPUTED_VALUE"""),1.0)</f>
        <v>1</v>
      </c>
    </row>
    <row r="4087">
      <c r="K4087" s="4" t="str">
        <f>IFERROR(__xludf.DUMMYFUNCTION("""COMPUTED_VALUE"""),"PIZZARIA MANDACARU")</f>
        <v>PIZZARIA MANDACARU</v>
      </c>
      <c r="L4087" s="32">
        <f>IFERROR(__xludf.DUMMYFUNCTION("""COMPUTED_VALUE"""),2.0)</f>
        <v>2</v>
      </c>
      <c r="M4087" s="4" t="str">
        <f>IFERROR(__xludf.DUMMYFUNCTION("""COMPUTED_VALUE"""),"null")</f>
        <v>null</v>
      </c>
      <c r="N4087" s="33">
        <f>IFERROR(__xludf.DUMMYFUNCTION("""COMPUTED_VALUE"""),0.5)</f>
        <v>0.5</v>
      </c>
      <c r="O4087" s="4" t="str">
        <f>IFERROR(__xludf.DUMMYFUNCTION("""COMPUTED_VALUE"""),"null")</f>
        <v>null</v>
      </c>
      <c r="P4087" s="33">
        <f>IFERROR(__xludf.DUMMYFUNCTION("""COMPUTED_VALUE"""),0.5)</f>
        <v>0.5</v>
      </c>
      <c r="Q4087" s="4" t="str">
        <f>IFERROR(__xludf.DUMMYFUNCTION("""COMPUTED_VALUE"""),"Anota Ai Solucoes Digitais S/a")</f>
        <v>Anota Ai Solucoes Digitais S/a</v>
      </c>
      <c r="R4087" s="33">
        <f>IFERROR(__xludf.DUMMYFUNCTION("""COMPUTED_VALUE"""),0.5)</f>
        <v>0.5</v>
      </c>
      <c r="S4087" s="4" t="str">
        <f>IFERROR(__xludf.DUMMYFUNCTION("""COMPUTED_VALUE"""),"null")</f>
        <v>null</v>
      </c>
      <c r="T4087" s="33">
        <f>IFERROR(__xludf.DUMMYFUNCTION("""COMPUTED_VALUE"""),0.5)</f>
        <v>0.5</v>
      </c>
      <c r="U4087" s="4" t="str">
        <f>IFERROR(__xludf.DUMMYFUNCTION("""COMPUTED_VALUE"""),"Anota Ai Solucoes Digitais S/a")</f>
        <v>Anota Ai Solucoes Digitais S/a</v>
      </c>
      <c r="V4087" s="33">
        <f>IFERROR(__xludf.DUMMYFUNCTION("""COMPUTED_VALUE"""),0.5)</f>
        <v>0.5</v>
      </c>
      <c r="W4087" s="4" t="str">
        <f>IFERROR(__xludf.DUMMYFUNCTION("""COMPUTED_VALUE"""),"Anota Ai Solucoes Digitais S/a")</f>
        <v>Anota Ai Solucoes Digitais S/a</v>
      </c>
      <c r="X4087" s="33">
        <f>IFERROR(__xludf.DUMMYFUNCTION("""COMPUTED_VALUE"""),0.5)</f>
        <v>0.5</v>
      </c>
    </row>
    <row r="4088">
      <c r="K4088" s="4" t="str">
        <f>IFERROR(__xludf.DUMMYFUNCTION("""COMPUTED_VALUE"""),"DOCE DESEJO")</f>
        <v>DOCE DESEJO</v>
      </c>
      <c r="L4088" s="32">
        <f>IFERROR(__xludf.DUMMYFUNCTION("""COMPUTED_VALUE"""),2.0)</f>
        <v>2</v>
      </c>
      <c r="M4088" s="4" t="str">
        <f>IFERROR(__xludf.DUMMYFUNCTION("""COMPUTED_VALUE"""),"null")</f>
        <v>null</v>
      </c>
      <c r="N4088" s="33">
        <f>IFERROR(__xludf.DUMMYFUNCTION("""COMPUTED_VALUE"""),1.0)</f>
        <v>1</v>
      </c>
      <c r="O4088" s="4" t="str">
        <f>IFERROR(__xludf.DUMMYFUNCTION("""COMPUTED_VALUE"""),"null")</f>
        <v>null</v>
      </c>
      <c r="P4088" s="33">
        <f>IFERROR(__xludf.DUMMYFUNCTION("""COMPUTED_VALUE"""),1.0)</f>
        <v>1</v>
      </c>
      <c r="Q4088" s="4" t="str">
        <f>IFERROR(__xludf.DUMMYFUNCTION("""COMPUTED_VALUE"""),"null")</f>
        <v>null</v>
      </c>
      <c r="R4088" s="33">
        <f>IFERROR(__xludf.DUMMYFUNCTION("""COMPUTED_VALUE"""),0.5)</f>
        <v>0.5</v>
      </c>
      <c r="S4088" s="4" t="str">
        <f>IFERROR(__xludf.DUMMYFUNCTION("""COMPUTED_VALUE"""),"null")</f>
        <v>null</v>
      </c>
      <c r="T4088" s="33">
        <f>IFERROR(__xludf.DUMMYFUNCTION("""COMPUTED_VALUE"""),1.0)</f>
        <v>1</v>
      </c>
      <c r="U4088" s="4" t="str">
        <f>IFERROR(__xludf.DUMMYFUNCTION("""COMPUTED_VALUE"""),"Anota Ai Solucoes Digitais S/a")</f>
        <v>Anota Ai Solucoes Digitais S/a</v>
      </c>
      <c r="V4088" s="33">
        <f>IFERROR(__xludf.DUMMYFUNCTION("""COMPUTED_VALUE"""),0.5)</f>
        <v>0.5</v>
      </c>
      <c r="W4088" s="4" t="str">
        <f>IFERROR(__xludf.DUMMYFUNCTION("""COMPUTED_VALUE"""),"Anota Ai Solucoes Digitais S/a")</f>
        <v>Anota Ai Solucoes Digitais S/a</v>
      </c>
      <c r="X4088" s="33">
        <f>IFERROR(__xludf.DUMMYFUNCTION("""COMPUTED_VALUE"""),0.5)</f>
        <v>0.5</v>
      </c>
    </row>
    <row r="4089">
      <c r="K4089" s="4" t="str">
        <f>IFERROR(__xludf.DUMMYFUNCTION("""COMPUTED_VALUE"""),"KOA POKE")</f>
        <v>KOA POKE</v>
      </c>
      <c r="L4089" s="32">
        <f>IFERROR(__xludf.DUMMYFUNCTION("""COMPUTED_VALUE"""),2.0)</f>
        <v>2</v>
      </c>
      <c r="M4089" s="4" t="str">
        <f>IFERROR(__xludf.DUMMYFUNCTION("""COMPUTED_VALUE"""),"Saipos Serviços De Software")</f>
        <v>Saipos Serviços De Software</v>
      </c>
      <c r="N4089" s="33">
        <f>IFERROR(__xludf.DUMMYFUNCTION("""COMPUTED_VALUE"""),1.0)</f>
        <v>1</v>
      </c>
      <c r="O4089" s="4" t="str">
        <f>IFERROR(__xludf.DUMMYFUNCTION("""COMPUTED_VALUE"""),"null")</f>
        <v>null</v>
      </c>
      <c r="P4089" s="33">
        <f>IFERROR(__xludf.DUMMYFUNCTION("""COMPUTED_VALUE"""),0.5)</f>
        <v>0.5</v>
      </c>
      <c r="Q4089" s="4" t="str">
        <f>IFERROR(__xludf.DUMMYFUNCTION("""COMPUTED_VALUE"""),"null")</f>
        <v>null</v>
      </c>
      <c r="R4089" s="33">
        <f>IFERROR(__xludf.DUMMYFUNCTION("""COMPUTED_VALUE"""),0.5)</f>
        <v>0.5</v>
      </c>
      <c r="S4089" s="4" t="str">
        <f>IFERROR(__xludf.DUMMYFUNCTION("""COMPUTED_VALUE"""),"null")</f>
        <v>null</v>
      </c>
      <c r="T4089" s="33">
        <f>IFERROR(__xludf.DUMMYFUNCTION("""COMPUTED_VALUE"""),0.5)</f>
        <v>0.5</v>
      </c>
      <c r="U4089" s="4" t="str">
        <f>IFERROR(__xludf.DUMMYFUNCTION("""COMPUTED_VALUE"""),"null")</f>
        <v>null</v>
      </c>
      <c r="V4089" s="33">
        <f>IFERROR(__xludf.DUMMYFUNCTION("""COMPUTED_VALUE"""),0.5)</f>
        <v>0.5</v>
      </c>
      <c r="W4089" s="4" t="str">
        <f>IFERROR(__xludf.DUMMYFUNCTION("""COMPUTED_VALUE"""),"null")</f>
        <v>null</v>
      </c>
      <c r="X4089" s="33">
        <f>IFERROR(__xludf.DUMMYFUNCTION("""COMPUTED_VALUE"""),0.5)</f>
        <v>0.5</v>
      </c>
    </row>
    <row r="4090">
      <c r="K4090" s="4" t="str">
        <f>IFERROR(__xludf.DUMMYFUNCTION("""COMPUTED_VALUE"""),"NOSSO CANTO")</f>
        <v>NOSSO CANTO</v>
      </c>
      <c r="L4090" s="32">
        <f>IFERROR(__xludf.DUMMYFUNCTION("""COMPUTED_VALUE"""),2.0)</f>
        <v>2</v>
      </c>
      <c r="M4090" s="4" t="str">
        <f>IFERROR(__xludf.DUMMYFUNCTION("""COMPUTED_VALUE"""),"null")</f>
        <v>null</v>
      </c>
      <c r="N4090" s="33">
        <f>IFERROR(__xludf.DUMMYFUNCTION("""COMPUTED_VALUE"""),0.5)</f>
        <v>0.5</v>
      </c>
      <c r="O4090" s="4" t="str">
        <f>IFERROR(__xludf.DUMMYFUNCTION("""COMPUTED_VALUE"""),"null")</f>
        <v>null</v>
      </c>
      <c r="P4090" s="33">
        <f>IFERROR(__xludf.DUMMYFUNCTION("""COMPUTED_VALUE"""),1.0)</f>
        <v>1</v>
      </c>
      <c r="Q4090" s="4" t="str">
        <f>IFERROR(__xludf.DUMMYFUNCTION("""COMPUTED_VALUE"""),"null")</f>
        <v>null</v>
      </c>
      <c r="R4090" s="33">
        <f>IFERROR(__xludf.DUMMYFUNCTION("""COMPUTED_VALUE"""),0.5)</f>
        <v>0.5</v>
      </c>
      <c r="S4090" s="4" t="str">
        <f>IFERROR(__xludf.DUMMYFUNCTION("""COMPUTED_VALUE"""),"null")</f>
        <v>null</v>
      </c>
      <c r="T4090" s="33">
        <f>IFERROR(__xludf.DUMMYFUNCTION("""COMPUTED_VALUE"""),1.0)</f>
        <v>1</v>
      </c>
      <c r="U4090" s="4" t="str">
        <f>IFERROR(__xludf.DUMMYFUNCTION("""COMPUTED_VALUE"""),"Consumer Soluções Em Tecnologia Ltda")</f>
        <v>Consumer Soluções Em Tecnologia Ltda</v>
      </c>
      <c r="V4090" s="33">
        <f>IFERROR(__xludf.DUMMYFUNCTION("""COMPUTED_VALUE"""),0.5)</f>
        <v>0.5</v>
      </c>
      <c r="W4090" s="4" t="str">
        <f>IFERROR(__xludf.DUMMYFUNCTION("""COMPUTED_VALUE"""),"Consumer Soluções Em Tecnologia Ltda")</f>
        <v>Consumer Soluções Em Tecnologia Ltda</v>
      </c>
      <c r="X4090" s="33">
        <f>IFERROR(__xludf.DUMMYFUNCTION("""COMPUTED_VALUE"""),0.5)</f>
        <v>0.5</v>
      </c>
    </row>
    <row r="4091">
      <c r="K4091" s="4" t="str">
        <f>IFERROR(__xludf.DUMMYFUNCTION("""COMPUTED_VALUE"""),"DOCERIA DA JESSICA")</f>
        <v>DOCERIA DA JESSICA</v>
      </c>
      <c r="L4091" s="32">
        <f>IFERROR(__xludf.DUMMYFUNCTION("""COMPUTED_VALUE"""),2.0)</f>
        <v>2</v>
      </c>
      <c r="M4091" s="4" t="str">
        <f>IFERROR(__xludf.DUMMYFUNCTION("""COMPUTED_VALUE"""),"null")</f>
        <v>null</v>
      </c>
      <c r="N4091" s="33">
        <f>IFERROR(__xludf.DUMMYFUNCTION("""COMPUTED_VALUE"""),1.0)</f>
        <v>1</v>
      </c>
      <c r="O4091" s="4" t="str">
        <f>IFERROR(__xludf.DUMMYFUNCTION("""COMPUTED_VALUE"""),"null")</f>
        <v>null</v>
      </c>
      <c r="P4091" s="33">
        <f>IFERROR(__xludf.DUMMYFUNCTION("""COMPUTED_VALUE"""),0.5)</f>
        <v>0.5</v>
      </c>
      <c r="Q4091" s="4" t="str">
        <f>IFERROR(__xludf.DUMMYFUNCTION("""COMPUTED_VALUE"""),"null")</f>
        <v>null</v>
      </c>
      <c r="R4091" s="33">
        <f>IFERROR(__xludf.DUMMYFUNCTION("""COMPUTED_VALUE"""),0.5)</f>
        <v>0.5</v>
      </c>
      <c r="S4091" s="4" t="str">
        <f>IFERROR(__xludf.DUMMYFUNCTION("""COMPUTED_VALUE"""),"Cardápio Web")</f>
        <v>Cardápio Web</v>
      </c>
      <c r="T4091" s="33">
        <f>IFERROR(__xludf.DUMMYFUNCTION("""COMPUTED_VALUE"""),0.5)</f>
        <v>0.5</v>
      </c>
      <c r="U4091" s="4" t="str">
        <f>IFERROR(__xludf.DUMMYFUNCTION("""COMPUTED_VALUE"""),"null")</f>
        <v>null</v>
      </c>
      <c r="V4091" s="33">
        <f>IFERROR(__xludf.DUMMYFUNCTION("""COMPUTED_VALUE"""),0.5)</f>
        <v>0.5</v>
      </c>
      <c r="W4091" s="4" t="str">
        <f>IFERROR(__xludf.DUMMYFUNCTION("""COMPUTED_VALUE"""),"null")</f>
        <v>null</v>
      </c>
      <c r="X4091" s="33">
        <f>IFERROR(__xludf.DUMMYFUNCTION("""COMPUTED_VALUE"""),0.5)</f>
        <v>0.5</v>
      </c>
    </row>
    <row r="4092">
      <c r="K4092" s="4" t="str">
        <f>IFERROR(__xludf.DUMMYFUNCTION("""COMPUTED_VALUE"""),"BENDITO XIS E DOG")</f>
        <v>BENDITO XIS E DOG</v>
      </c>
      <c r="L4092" s="32">
        <f>IFERROR(__xludf.DUMMYFUNCTION("""COMPUTED_VALUE"""),2.0)</f>
        <v>2</v>
      </c>
      <c r="M4092" s="4" t="str">
        <f>IFERROR(__xludf.DUMMYFUNCTION("""COMPUTED_VALUE"""),"null")</f>
        <v>null</v>
      </c>
      <c r="N4092" s="33">
        <f>IFERROR(__xludf.DUMMYFUNCTION("""COMPUTED_VALUE"""),1.0)</f>
        <v>1</v>
      </c>
      <c r="O4092" s="4" t="str">
        <f>IFERROR(__xludf.DUMMYFUNCTION("""COMPUTED_VALUE"""),"null")</f>
        <v>null</v>
      </c>
      <c r="P4092" s="33">
        <f>IFERROR(__xludf.DUMMYFUNCTION("""COMPUTED_VALUE"""),1.0)</f>
        <v>1</v>
      </c>
      <c r="Q4092" s="4" t="str">
        <f>IFERROR(__xludf.DUMMYFUNCTION("""COMPUTED_VALUE"""),"Yooga")</f>
        <v>Yooga</v>
      </c>
      <c r="R4092" s="33">
        <f>IFERROR(__xludf.DUMMYFUNCTION("""COMPUTED_VALUE"""),0.5)</f>
        <v>0.5</v>
      </c>
      <c r="S4092" s="4" t="str">
        <f>IFERROR(__xludf.DUMMYFUNCTION("""COMPUTED_VALUE"""),"Yooga")</f>
        <v>Yooga</v>
      </c>
      <c r="T4092" s="33">
        <f>IFERROR(__xludf.DUMMYFUNCTION("""COMPUTED_VALUE"""),1.0)</f>
        <v>1</v>
      </c>
      <c r="U4092" s="4" t="str">
        <f>IFERROR(__xludf.DUMMYFUNCTION("""COMPUTED_VALUE"""),"Yooga")</f>
        <v>Yooga</v>
      </c>
      <c r="V4092" s="33">
        <f>IFERROR(__xludf.DUMMYFUNCTION("""COMPUTED_VALUE"""),1.0)</f>
        <v>1</v>
      </c>
      <c r="W4092" s="4" t="str">
        <f>IFERROR(__xludf.DUMMYFUNCTION("""COMPUTED_VALUE"""),"Yooga")</f>
        <v>Yooga</v>
      </c>
      <c r="X4092" s="33">
        <f>IFERROR(__xludf.DUMMYFUNCTION("""COMPUTED_VALUE"""),1.0)</f>
        <v>1</v>
      </c>
    </row>
    <row r="4093">
      <c r="K4093" s="4" t="str">
        <f>IFERROR(__xludf.DUMMYFUNCTION("""COMPUTED_VALUE"""),"PIZZARIA ESPACO URBANO")</f>
        <v>PIZZARIA ESPACO URBANO</v>
      </c>
      <c r="L4093" s="32">
        <f>IFERROR(__xludf.DUMMYFUNCTION("""COMPUTED_VALUE"""),2.0)</f>
        <v>2</v>
      </c>
      <c r="M4093" s="4" t="str">
        <f>IFERROR(__xludf.DUMMYFUNCTION("""COMPUTED_VALUE"""),"null")</f>
        <v>null</v>
      </c>
      <c r="N4093" s="33">
        <f>IFERROR(__xludf.DUMMYFUNCTION("""COMPUTED_VALUE"""),1.0)</f>
        <v>1</v>
      </c>
      <c r="O4093" s="4" t="str">
        <f>IFERROR(__xludf.DUMMYFUNCTION("""COMPUTED_VALUE"""),"Cardápio Web")</f>
        <v>Cardápio Web</v>
      </c>
      <c r="P4093" s="33">
        <f>IFERROR(__xludf.DUMMYFUNCTION("""COMPUTED_VALUE"""),1.0)</f>
        <v>1</v>
      </c>
      <c r="Q4093" s="4" t="str">
        <f>IFERROR(__xludf.DUMMYFUNCTION("""COMPUTED_VALUE"""),"Cardápio Web")</f>
        <v>Cardápio Web</v>
      </c>
      <c r="R4093" s="33">
        <f>IFERROR(__xludf.DUMMYFUNCTION("""COMPUTED_VALUE"""),1.0)</f>
        <v>1</v>
      </c>
      <c r="S4093" s="4" t="str">
        <f>IFERROR(__xludf.DUMMYFUNCTION("""COMPUTED_VALUE"""),"null")</f>
        <v>null</v>
      </c>
      <c r="T4093" s="33">
        <f>IFERROR(__xludf.DUMMYFUNCTION("""COMPUTED_VALUE"""),0.5)</f>
        <v>0.5</v>
      </c>
      <c r="U4093" s="4" t="str">
        <f>IFERROR(__xludf.DUMMYFUNCTION("""COMPUTED_VALUE"""),"null")</f>
        <v>null</v>
      </c>
      <c r="V4093" s="33">
        <f>IFERROR(__xludf.DUMMYFUNCTION("""COMPUTED_VALUE"""),0.5)</f>
        <v>0.5</v>
      </c>
      <c r="W4093" s="4" t="str">
        <f>IFERROR(__xludf.DUMMYFUNCTION("""COMPUTED_VALUE"""),"null")</f>
        <v>null</v>
      </c>
      <c r="X4093" s="33">
        <f>IFERROR(__xludf.DUMMYFUNCTION("""COMPUTED_VALUE"""),0.5)</f>
        <v>0.5</v>
      </c>
    </row>
    <row r="4094">
      <c r="K4094" s="4" t="str">
        <f>IFERROR(__xludf.DUMMYFUNCTION("""COMPUTED_VALUE"""),"PARADA OBRIGATORIA LANCHES")</f>
        <v>PARADA OBRIGATORIA LANCHES</v>
      </c>
      <c r="L4094" s="32">
        <f>IFERROR(__xludf.DUMMYFUNCTION("""COMPUTED_VALUE"""),2.0)</f>
        <v>2</v>
      </c>
      <c r="M4094" s="4" t="str">
        <f>IFERROR(__xludf.DUMMYFUNCTION("""COMPUTED_VALUE"""),"Brendi")</f>
        <v>Brendi</v>
      </c>
      <c r="N4094" s="33">
        <f>IFERROR(__xludf.DUMMYFUNCTION("""COMPUTED_VALUE"""),0.5)</f>
        <v>0.5</v>
      </c>
      <c r="O4094" s="4" t="str">
        <f>IFERROR(__xludf.DUMMYFUNCTION("""COMPUTED_VALUE"""),"null")</f>
        <v>null</v>
      </c>
      <c r="P4094" s="33">
        <f>IFERROR(__xludf.DUMMYFUNCTION("""COMPUTED_VALUE"""),1.0)</f>
        <v>1</v>
      </c>
      <c r="Q4094" s="4" t="str">
        <f>IFERROR(__xludf.DUMMYFUNCTION("""COMPUTED_VALUE"""),"null")</f>
        <v>null</v>
      </c>
      <c r="R4094" s="33">
        <f>IFERROR(__xludf.DUMMYFUNCTION("""COMPUTED_VALUE"""),1.0)</f>
        <v>1</v>
      </c>
      <c r="S4094" s="4" t="str">
        <f>IFERROR(__xludf.DUMMYFUNCTION("""COMPUTED_VALUE"""),"null")</f>
        <v>null</v>
      </c>
      <c r="T4094" s="33">
        <f>IFERROR(__xludf.DUMMYFUNCTION("""COMPUTED_VALUE"""),1.0)</f>
        <v>1</v>
      </c>
      <c r="U4094" s="4" t="str">
        <f>IFERROR(__xludf.DUMMYFUNCTION("""COMPUTED_VALUE"""),"null")</f>
        <v>null</v>
      </c>
      <c r="V4094" s="33">
        <f>IFERROR(__xludf.DUMMYFUNCTION("""COMPUTED_VALUE"""),1.0)</f>
        <v>1</v>
      </c>
      <c r="W4094" s="4" t="str">
        <f>IFERROR(__xludf.DUMMYFUNCTION("""COMPUTED_VALUE"""),"null")</f>
        <v>null</v>
      </c>
      <c r="X4094" s="33">
        <f>IFERROR(__xludf.DUMMYFUNCTION("""COMPUTED_VALUE"""),0.5)</f>
        <v>0.5</v>
      </c>
    </row>
    <row r="4095">
      <c r="K4095" s="4" t="str">
        <f>IFERROR(__xludf.DUMMYFUNCTION("""COMPUTED_VALUE"""),"PIZZARIA CALANGO MCZ")</f>
        <v>PIZZARIA CALANGO MCZ</v>
      </c>
      <c r="L4095" s="32">
        <f>IFERROR(__xludf.DUMMYFUNCTION("""COMPUTED_VALUE"""),2.0)</f>
        <v>2</v>
      </c>
      <c r="M4095" s="4" t="str">
        <f>IFERROR(__xludf.DUMMYFUNCTION("""COMPUTED_VALUE"""),"null")</f>
        <v>null</v>
      </c>
      <c r="N4095" s="33">
        <f>IFERROR(__xludf.DUMMYFUNCTION("""COMPUTED_VALUE"""),0.5)</f>
        <v>0.5</v>
      </c>
      <c r="O4095" s="4" t="str">
        <f>IFERROR(__xludf.DUMMYFUNCTION("""COMPUTED_VALUE"""),"null")</f>
        <v>null</v>
      </c>
      <c r="P4095" s="33">
        <f>IFERROR(__xludf.DUMMYFUNCTION("""COMPUTED_VALUE"""),1.0)</f>
        <v>1</v>
      </c>
      <c r="Q4095" s="4" t="str">
        <f>IFERROR(__xludf.DUMMYFUNCTION("""COMPUTED_VALUE"""),"null")</f>
        <v>null</v>
      </c>
      <c r="R4095" s="33">
        <f>IFERROR(__xludf.DUMMYFUNCTION("""COMPUTED_VALUE"""),1.0)</f>
        <v>1</v>
      </c>
      <c r="S4095" s="4" t="str">
        <f>IFERROR(__xludf.DUMMYFUNCTION("""COMPUTED_VALUE"""),"null")</f>
        <v>null</v>
      </c>
      <c r="T4095" s="33">
        <f>IFERROR(__xludf.DUMMYFUNCTION("""COMPUTED_VALUE"""),1.0)</f>
        <v>1</v>
      </c>
      <c r="U4095" s="4" t="str">
        <f>IFERROR(__xludf.DUMMYFUNCTION("""COMPUTED_VALUE"""),"Cardápio Web")</f>
        <v>Cardápio Web</v>
      </c>
      <c r="V4095" s="33">
        <f>IFERROR(__xludf.DUMMYFUNCTION("""COMPUTED_VALUE"""),1.0)</f>
        <v>1</v>
      </c>
      <c r="W4095" s="4" t="str">
        <f>IFERROR(__xludf.DUMMYFUNCTION("""COMPUTED_VALUE"""),"Cardápio Web")</f>
        <v>Cardápio Web</v>
      </c>
      <c r="X4095" s="33">
        <f>IFERROR(__xludf.DUMMYFUNCTION("""COMPUTED_VALUE"""),1.0)</f>
        <v>1</v>
      </c>
    </row>
    <row r="4096">
      <c r="K4096" s="4" t="str">
        <f>IFERROR(__xludf.DUMMYFUNCTION("""COMPUTED_VALUE"""),"DOM CAFE")</f>
        <v>DOM CAFE</v>
      </c>
      <c r="L4096" s="32">
        <f>IFERROR(__xludf.DUMMYFUNCTION("""COMPUTED_VALUE"""),2.0)</f>
        <v>2</v>
      </c>
      <c r="M4096" s="4" t="str">
        <f>IFERROR(__xludf.DUMMYFUNCTION("""COMPUTED_VALUE"""),"Consumer Soluções Em Tecnologia Ltda")</f>
        <v>Consumer Soluções Em Tecnologia Ltda</v>
      </c>
      <c r="N4096" s="33">
        <f>IFERROR(__xludf.DUMMYFUNCTION("""COMPUTED_VALUE"""),0.5)</f>
        <v>0.5</v>
      </c>
      <c r="O4096" s="4" t="str">
        <f>IFERROR(__xludf.DUMMYFUNCTION("""COMPUTED_VALUE"""),"Consumer Soluções Em Tecnologia Ltda")</f>
        <v>Consumer Soluções Em Tecnologia Ltda</v>
      </c>
      <c r="P4096" s="33">
        <f>IFERROR(__xludf.DUMMYFUNCTION("""COMPUTED_VALUE"""),0.5)</f>
        <v>0.5</v>
      </c>
      <c r="Q4096" s="4" t="str">
        <f>IFERROR(__xludf.DUMMYFUNCTION("""COMPUTED_VALUE"""),"null")</f>
        <v>null</v>
      </c>
      <c r="R4096" s="33">
        <f>IFERROR(__xludf.DUMMYFUNCTION("""COMPUTED_VALUE"""),0.5)</f>
        <v>0.5</v>
      </c>
      <c r="S4096" s="4" t="str">
        <f>IFERROR(__xludf.DUMMYFUNCTION("""COMPUTED_VALUE"""),"null")</f>
        <v>null</v>
      </c>
      <c r="T4096" s="33">
        <f>IFERROR(__xludf.DUMMYFUNCTION("""COMPUTED_VALUE"""),0.5)</f>
        <v>0.5</v>
      </c>
      <c r="U4096" s="4" t="str">
        <f>IFERROR(__xludf.DUMMYFUNCTION("""COMPUTED_VALUE"""),"null")</f>
        <v>null</v>
      </c>
      <c r="V4096" s="33">
        <f>IFERROR(__xludf.DUMMYFUNCTION("""COMPUTED_VALUE"""),0.5)</f>
        <v>0.5</v>
      </c>
      <c r="W4096" s="4" t="str">
        <f>IFERROR(__xludf.DUMMYFUNCTION("""COMPUTED_VALUE"""),"null")</f>
        <v>null</v>
      </c>
      <c r="X4096" s="33">
        <f>IFERROR(__xludf.DUMMYFUNCTION("""COMPUTED_VALUE"""),0.5)</f>
        <v>0.5</v>
      </c>
    </row>
    <row r="4097">
      <c r="K4097" s="4" t="str">
        <f>IFERROR(__xludf.DUMMYFUNCTION("""COMPUTED_VALUE"""),"DROGARIA DO TRABALHADOR")</f>
        <v>DROGARIA DO TRABALHADOR</v>
      </c>
      <c r="L4097" s="32">
        <f>IFERROR(__xludf.DUMMYFUNCTION("""COMPUTED_VALUE"""),2.0)</f>
        <v>2</v>
      </c>
      <c r="M4097" s="4" t="str">
        <f>IFERROR(__xludf.DUMMYFUNCTION("""COMPUTED_VALUE"""),"N/A (Not found)")</f>
        <v>N/A (Not found)</v>
      </c>
      <c r="N4097" s="33">
        <f>IFERROR(__xludf.DUMMYFUNCTION("""COMPUTED_VALUE"""),1.0)</f>
        <v>1</v>
      </c>
      <c r="O4097" s="4" t="str">
        <f>IFERROR(__xludf.DUMMYFUNCTION("""COMPUTED_VALUE"""),"null")</f>
        <v>null</v>
      </c>
      <c r="P4097" s="33">
        <f>IFERROR(__xludf.DUMMYFUNCTION("""COMPUTED_VALUE"""),0.5)</f>
        <v>0.5</v>
      </c>
      <c r="Q4097" s="4" t="str">
        <f>IFERROR(__xludf.DUMMYFUNCTION("""COMPUTED_VALUE"""),"N/A (Not found)")</f>
        <v>N/A (Not found)</v>
      </c>
      <c r="R4097" s="33">
        <f>IFERROR(__xludf.DUMMYFUNCTION("""COMPUTED_VALUE"""),1.0)</f>
        <v>1</v>
      </c>
      <c r="S4097" s="4" t="str">
        <f>IFERROR(__xludf.DUMMYFUNCTION("""COMPUTED_VALUE"""),"N/A (Not found)")</f>
        <v>N/A (Not found)</v>
      </c>
      <c r="T4097" s="33">
        <f>IFERROR(__xludf.DUMMYFUNCTION("""COMPUTED_VALUE"""),1.0)</f>
        <v>1</v>
      </c>
      <c r="U4097" s="4" t="str">
        <f>IFERROR(__xludf.DUMMYFUNCTION("""COMPUTED_VALUE"""),"null")</f>
        <v>null</v>
      </c>
      <c r="V4097" s="33">
        <f>IFERROR(__xludf.DUMMYFUNCTION("""COMPUTED_VALUE"""),0.5)</f>
        <v>0.5</v>
      </c>
      <c r="W4097" s="4" t="str">
        <f>IFERROR(__xludf.DUMMYFUNCTION("""COMPUTED_VALUE"""),"null")</f>
        <v>null</v>
      </c>
      <c r="X4097" s="33">
        <f>IFERROR(__xludf.DUMMYFUNCTION("""COMPUTED_VALUE"""),0.5)</f>
        <v>0.5</v>
      </c>
    </row>
    <row r="4098">
      <c r="K4098" s="4" t="str">
        <f>IFERROR(__xludf.DUMMYFUNCTION("""COMPUTED_VALUE"""),"ACAIZADA")</f>
        <v>ACAIZADA</v>
      </c>
      <c r="L4098" s="32">
        <f>IFERROR(__xludf.DUMMYFUNCTION("""COMPUTED_VALUE"""),2.0)</f>
        <v>2</v>
      </c>
      <c r="M4098" s="4" t="str">
        <f>IFERROR(__xludf.DUMMYFUNCTION("""COMPUTED_VALUE"""),"null")</f>
        <v>null</v>
      </c>
      <c r="N4098" s="33">
        <f>IFERROR(__xludf.DUMMYFUNCTION("""COMPUTED_VALUE"""),1.0)</f>
        <v>1</v>
      </c>
      <c r="O4098" s="4" t="str">
        <f>IFERROR(__xludf.DUMMYFUNCTION("""COMPUTED_VALUE"""),"Saipos Serviços De Software")</f>
        <v>Saipos Serviços De Software</v>
      </c>
      <c r="P4098" s="33">
        <f>IFERROR(__xludf.DUMMYFUNCTION("""COMPUTED_VALUE"""),0.5)</f>
        <v>0.5</v>
      </c>
      <c r="Q4098" s="4" t="str">
        <f>IFERROR(__xludf.DUMMYFUNCTION("""COMPUTED_VALUE"""),"null")</f>
        <v>null</v>
      </c>
      <c r="R4098" s="33">
        <f>IFERROR(__xludf.DUMMYFUNCTION("""COMPUTED_VALUE"""),1.0)</f>
        <v>1</v>
      </c>
      <c r="S4098" s="4" t="str">
        <f>IFERROR(__xludf.DUMMYFUNCTION("""COMPUTED_VALUE"""),"null")</f>
        <v>null</v>
      </c>
      <c r="T4098" s="33">
        <f>IFERROR(__xludf.DUMMYFUNCTION("""COMPUTED_VALUE"""),1.0)</f>
        <v>1</v>
      </c>
      <c r="U4098" s="4" t="str">
        <f>IFERROR(__xludf.DUMMYFUNCTION("""COMPUTED_VALUE"""),"null")</f>
        <v>null</v>
      </c>
      <c r="V4098" s="33">
        <f>IFERROR(__xludf.DUMMYFUNCTION("""COMPUTED_VALUE"""),0.5)</f>
        <v>0.5</v>
      </c>
      <c r="W4098" s="4" t="str">
        <f>IFERROR(__xludf.DUMMYFUNCTION("""COMPUTED_VALUE"""),"null")</f>
        <v>null</v>
      </c>
      <c r="X4098" s="33">
        <f>IFERROR(__xludf.DUMMYFUNCTION("""COMPUTED_VALUE"""),0.5)</f>
        <v>0.5</v>
      </c>
    </row>
    <row r="4099">
      <c r="K4099" s="4" t="str">
        <f>IFERROR(__xludf.DUMMYFUNCTION("""COMPUTED_VALUE"""),"BITES BURGER")</f>
        <v>BITES BURGER</v>
      </c>
      <c r="L4099" s="32">
        <f>IFERROR(__xludf.DUMMYFUNCTION("""COMPUTED_VALUE"""),2.0)</f>
        <v>2</v>
      </c>
      <c r="M4099" s="4" t="str">
        <f>IFERROR(__xludf.DUMMYFUNCTION("""COMPUTED_VALUE"""),"Yooga")</f>
        <v>Yooga</v>
      </c>
      <c r="N4099" s="33">
        <f>IFERROR(__xludf.DUMMYFUNCTION("""COMPUTED_VALUE"""),0.5)</f>
        <v>0.5</v>
      </c>
      <c r="O4099" s="4" t="str">
        <f>IFERROR(__xludf.DUMMYFUNCTION("""COMPUTED_VALUE"""),"Yooga")</f>
        <v>Yooga</v>
      </c>
      <c r="P4099" s="33">
        <f>IFERROR(__xludf.DUMMYFUNCTION("""COMPUTED_VALUE"""),0.5)</f>
        <v>0.5</v>
      </c>
      <c r="Q4099" s="4" t="str">
        <f>IFERROR(__xludf.DUMMYFUNCTION("""COMPUTED_VALUE"""),"Yooga")</f>
        <v>Yooga</v>
      </c>
      <c r="R4099" s="33">
        <f>IFERROR(__xludf.DUMMYFUNCTION("""COMPUTED_VALUE"""),0.5)</f>
        <v>0.5</v>
      </c>
      <c r="S4099" s="4" t="str">
        <f>IFERROR(__xludf.DUMMYFUNCTION("""COMPUTED_VALUE"""),"Yooga")</f>
        <v>Yooga</v>
      </c>
      <c r="T4099" s="33">
        <f>IFERROR(__xludf.DUMMYFUNCTION("""COMPUTED_VALUE"""),0.5)</f>
        <v>0.5</v>
      </c>
      <c r="U4099" s="4" t="str">
        <f>IFERROR(__xludf.DUMMYFUNCTION("""COMPUTED_VALUE"""),"Yooga")</f>
        <v>Yooga</v>
      </c>
      <c r="V4099" s="33">
        <f>IFERROR(__xludf.DUMMYFUNCTION("""COMPUTED_VALUE"""),0.5)</f>
        <v>0.5</v>
      </c>
      <c r="W4099" s="4" t="str">
        <f>IFERROR(__xludf.DUMMYFUNCTION("""COMPUTED_VALUE"""),"Yooga")</f>
        <v>Yooga</v>
      </c>
      <c r="X4099" s="33">
        <f>IFERROR(__xludf.DUMMYFUNCTION("""COMPUTED_VALUE"""),0.5)</f>
        <v>0.5</v>
      </c>
    </row>
    <row r="4100">
      <c r="K4100" s="4" t="str">
        <f>IFERROR(__xludf.DUMMYFUNCTION("""COMPUTED_VALUE"""),"FERMENTA PIZZARIA")</f>
        <v>FERMENTA PIZZARIA</v>
      </c>
      <c r="L4100" s="32">
        <f>IFERROR(__xludf.DUMMYFUNCTION("""COMPUTED_VALUE"""),2.0)</f>
        <v>2</v>
      </c>
      <c r="M4100" s="4" t="str">
        <f>IFERROR(__xludf.DUMMYFUNCTION("""COMPUTED_VALUE"""),"Connectplug")</f>
        <v>Connectplug</v>
      </c>
      <c r="N4100" s="33">
        <f>IFERROR(__xludf.DUMMYFUNCTION("""COMPUTED_VALUE"""),0.5)</f>
        <v>0.5</v>
      </c>
      <c r="O4100" s="4" t="str">
        <f>IFERROR(__xludf.DUMMYFUNCTION("""COMPUTED_VALUE"""),"Connectplug")</f>
        <v>Connectplug</v>
      </c>
      <c r="P4100" s="33">
        <f>IFERROR(__xludf.DUMMYFUNCTION("""COMPUTED_VALUE"""),0.5)</f>
        <v>0.5</v>
      </c>
      <c r="Q4100" s="4" t="str">
        <f>IFERROR(__xludf.DUMMYFUNCTION("""COMPUTED_VALUE"""),"Connectplug")</f>
        <v>Connectplug</v>
      </c>
      <c r="R4100" s="33">
        <f>IFERROR(__xludf.DUMMYFUNCTION("""COMPUTED_VALUE"""),0.5)</f>
        <v>0.5</v>
      </c>
      <c r="S4100" s="4" t="str">
        <f>IFERROR(__xludf.DUMMYFUNCTION("""COMPUTED_VALUE"""),"Connectplug")</f>
        <v>Connectplug</v>
      </c>
      <c r="T4100" s="33">
        <f>IFERROR(__xludf.DUMMYFUNCTION("""COMPUTED_VALUE"""),0.5)</f>
        <v>0.5</v>
      </c>
      <c r="U4100" s="4" t="str">
        <f>IFERROR(__xludf.DUMMYFUNCTION("""COMPUTED_VALUE"""),"Connectplug")</f>
        <v>Connectplug</v>
      </c>
      <c r="V4100" s="33">
        <f>IFERROR(__xludf.DUMMYFUNCTION("""COMPUTED_VALUE"""),0.5)</f>
        <v>0.5</v>
      </c>
      <c r="W4100" s="4" t="str">
        <f>IFERROR(__xludf.DUMMYFUNCTION("""COMPUTED_VALUE"""),"Connectplug")</f>
        <v>Connectplug</v>
      </c>
      <c r="X4100" s="33">
        <f>IFERROR(__xludf.DUMMYFUNCTION("""COMPUTED_VALUE"""),0.5)</f>
        <v>0.5</v>
      </c>
    </row>
    <row r="4101">
      <c r="K4101" s="4" t="str">
        <f>IFERROR(__xludf.DUMMYFUNCTION("""COMPUTED_VALUE"""),"PIZZARIA - SUPER PIZZA DELIVERY")</f>
        <v>PIZZARIA - SUPER PIZZA DELIVERY</v>
      </c>
      <c r="L4101" s="32">
        <f>IFERROR(__xludf.DUMMYFUNCTION("""COMPUTED_VALUE"""),2.0)</f>
        <v>2</v>
      </c>
      <c r="M4101" s="4" t="str">
        <f>IFERROR(__xludf.DUMMYFUNCTION("""COMPUTED_VALUE"""),"Cardápio Web")</f>
        <v>Cardápio Web</v>
      </c>
      <c r="N4101" s="33">
        <f>IFERROR(__xludf.DUMMYFUNCTION("""COMPUTED_VALUE"""),1.0)</f>
        <v>1</v>
      </c>
      <c r="O4101" s="4" t="str">
        <f>IFERROR(__xludf.DUMMYFUNCTION("""COMPUTED_VALUE"""),"Cardápio Web")</f>
        <v>Cardápio Web</v>
      </c>
      <c r="P4101" s="33">
        <f>IFERROR(__xludf.DUMMYFUNCTION("""COMPUTED_VALUE"""),1.0)</f>
        <v>1</v>
      </c>
      <c r="Q4101" s="4" t="str">
        <f>IFERROR(__xludf.DUMMYFUNCTION("""COMPUTED_VALUE"""),"Cardápio Web")</f>
        <v>Cardápio Web</v>
      </c>
      <c r="R4101" s="33">
        <f>IFERROR(__xludf.DUMMYFUNCTION("""COMPUTED_VALUE"""),1.0)</f>
        <v>1</v>
      </c>
      <c r="S4101" s="4" t="str">
        <f>IFERROR(__xludf.DUMMYFUNCTION("""COMPUTED_VALUE"""),"Cardápio Web")</f>
        <v>Cardápio Web</v>
      </c>
      <c r="T4101" s="33">
        <f>IFERROR(__xludf.DUMMYFUNCTION("""COMPUTED_VALUE"""),1.0)</f>
        <v>1</v>
      </c>
      <c r="U4101" s="4" t="str">
        <f>IFERROR(__xludf.DUMMYFUNCTION("""COMPUTED_VALUE"""),"Cardápio Web")</f>
        <v>Cardápio Web</v>
      </c>
      <c r="V4101" s="33">
        <f>IFERROR(__xludf.DUMMYFUNCTION("""COMPUTED_VALUE"""),1.0)</f>
        <v>1</v>
      </c>
      <c r="W4101" s="4" t="str">
        <f>IFERROR(__xludf.DUMMYFUNCTION("""COMPUTED_VALUE"""),"Cardápio Web")</f>
        <v>Cardápio Web</v>
      </c>
      <c r="X4101" s="33">
        <f>IFERROR(__xludf.DUMMYFUNCTION("""COMPUTED_VALUE"""),1.0)</f>
        <v>1</v>
      </c>
    </row>
    <row r="4102">
      <c r="K4102" s="4" t="str">
        <f>IFERROR(__xludf.DUMMYFUNCTION("""COMPUTED_VALUE"""),"PONTO X")</f>
        <v>PONTO X</v>
      </c>
      <c r="L4102" s="32">
        <f>IFERROR(__xludf.DUMMYFUNCTION("""COMPUTED_VALUE"""),2.0)</f>
        <v>2</v>
      </c>
      <c r="M4102" s="4" t="str">
        <f>IFERROR(__xludf.DUMMYFUNCTION("""COMPUTED_VALUE"""),"null")</f>
        <v>null</v>
      </c>
      <c r="N4102" s="33">
        <f>IFERROR(__xludf.DUMMYFUNCTION("""COMPUTED_VALUE"""),1.0)</f>
        <v>1</v>
      </c>
      <c r="O4102" s="4" t="str">
        <f>IFERROR(__xludf.DUMMYFUNCTION("""COMPUTED_VALUE"""),"null")</f>
        <v>null</v>
      </c>
      <c r="P4102" s="33">
        <f>IFERROR(__xludf.DUMMYFUNCTION("""COMPUTED_VALUE"""),1.0)</f>
        <v>1</v>
      </c>
      <c r="Q4102" s="4" t="str">
        <f>IFERROR(__xludf.DUMMYFUNCTION("""COMPUTED_VALUE"""),"null")</f>
        <v>null</v>
      </c>
      <c r="R4102" s="33">
        <f>IFERROR(__xludf.DUMMYFUNCTION("""COMPUTED_VALUE"""),1.0)</f>
        <v>1</v>
      </c>
      <c r="S4102" s="4" t="str">
        <f>IFERROR(__xludf.DUMMYFUNCTION("""COMPUTED_VALUE"""),"null")</f>
        <v>null</v>
      </c>
      <c r="T4102" s="33">
        <f>IFERROR(__xludf.DUMMYFUNCTION("""COMPUTED_VALUE"""),1.0)</f>
        <v>1</v>
      </c>
      <c r="U4102" s="4" t="str">
        <f>IFERROR(__xludf.DUMMYFUNCTION("""COMPUTED_VALUE"""),"Brendi")</f>
        <v>Brendi</v>
      </c>
      <c r="V4102" s="33">
        <f>IFERROR(__xludf.DUMMYFUNCTION("""COMPUTED_VALUE"""),0.5)</f>
        <v>0.5</v>
      </c>
      <c r="W4102" s="4" t="str">
        <f>IFERROR(__xludf.DUMMYFUNCTION("""COMPUTED_VALUE"""),"null")</f>
        <v>null</v>
      </c>
      <c r="X4102" s="33">
        <f>IFERROR(__xludf.DUMMYFUNCTION("""COMPUTED_VALUE"""),0.5)</f>
        <v>0.5</v>
      </c>
    </row>
    <row r="4103">
      <c r="K4103" s="4" t="str">
        <f>IFERROR(__xludf.DUMMYFUNCTION("""COMPUTED_VALUE"""),"TO FRITO")</f>
        <v>TO FRITO</v>
      </c>
      <c r="L4103" s="32">
        <f>IFERROR(__xludf.DUMMYFUNCTION("""COMPUTED_VALUE"""),2.0)</f>
        <v>2</v>
      </c>
      <c r="M4103" s="4" t="str">
        <f>IFERROR(__xludf.DUMMYFUNCTION("""COMPUTED_VALUE"""),"Anota Ai Solucoes Digitais S/a")</f>
        <v>Anota Ai Solucoes Digitais S/a</v>
      </c>
      <c r="N4103" s="33">
        <f>IFERROR(__xludf.DUMMYFUNCTION("""COMPUTED_VALUE"""),0.5)</f>
        <v>0.5</v>
      </c>
      <c r="O4103" s="4" t="str">
        <f>IFERROR(__xludf.DUMMYFUNCTION("""COMPUTED_VALUE"""),"Anota Ai Solucoes Digitais S/a")</f>
        <v>Anota Ai Solucoes Digitais S/a</v>
      </c>
      <c r="P4103" s="33">
        <f>IFERROR(__xludf.DUMMYFUNCTION("""COMPUTED_VALUE"""),0.5)</f>
        <v>0.5</v>
      </c>
      <c r="Q4103" s="4" t="str">
        <f>IFERROR(__xludf.DUMMYFUNCTION("""COMPUTED_VALUE"""),"null")</f>
        <v>null</v>
      </c>
      <c r="R4103" s="33">
        <f>IFERROR(__xludf.DUMMYFUNCTION("""COMPUTED_VALUE"""),0.5)</f>
        <v>0.5</v>
      </c>
      <c r="S4103" s="4" t="str">
        <f>IFERROR(__xludf.DUMMYFUNCTION("""COMPUTED_VALUE"""),"Anota Ai Solucoes Digitais S/a")</f>
        <v>Anota Ai Solucoes Digitais S/a</v>
      </c>
      <c r="T4103" s="33">
        <f>IFERROR(__xludf.DUMMYFUNCTION("""COMPUTED_VALUE"""),0.5)</f>
        <v>0.5</v>
      </c>
      <c r="U4103" s="4" t="str">
        <f>IFERROR(__xludf.DUMMYFUNCTION("""COMPUTED_VALUE"""),"Anota Ai Solucoes Digitais S/a")</f>
        <v>Anota Ai Solucoes Digitais S/a</v>
      </c>
      <c r="V4103" s="33">
        <f>IFERROR(__xludf.DUMMYFUNCTION("""COMPUTED_VALUE"""),0.5)</f>
        <v>0.5</v>
      </c>
      <c r="W4103" s="4" t="str">
        <f>IFERROR(__xludf.DUMMYFUNCTION("""COMPUTED_VALUE"""),"Anota Ai Solucoes Digitais S/a")</f>
        <v>Anota Ai Solucoes Digitais S/a</v>
      </c>
      <c r="X4103" s="33">
        <f>IFERROR(__xludf.DUMMYFUNCTION("""COMPUTED_VALUE"""),0.5)</f>
        <v>0.5</v>
      </c>
    </row>
    <row r="4104">
      <c r="K4104" s="4" t="str">
        <f>IFERROR(__xludf.DUMMYFUNCTION("""COMPUTED_VALUE"""),"SENHOR PIZZA")</f>
        <v>SENHOR PIZZA</v>
      </c>
      <c r="L4104" s="32">
        <f>IFERROR(__xludf.DUMMYFUNCTION("""COMPUTED_VALUE"""),2.0)</f>
        <v>2</v>
      </c>
      <c r="M4104" s="4" t="str">
        <f>IFERROR(__xludf.DUMMYFUNCTION("""COMPUTED_VALUE"""),"Anota Ai Solucoes Digitais S/a")</f>
        <v>Anota Ai Solucoes Digitais S/a</v>
      </c>
      <c r="N4104" s="33">
        <f>IFERROR(__xludf.DUMMYFUNCTION("""COMPUTED_VALUE"""),0.5)</f>
        <v>0.5</v>
      </c>
      <c r="O4104" s="4" t="str">
        <f>IFERROR(__xludf.DUMMYFUNCTION("""COMPUTED_VALUE"""),"Anota Ai Solucoes Digitais S/a")</f>
        <v>Anota Ai Solucoes Digitais S/a</v>
      </c>
      <c r="P4104" s="33">
        <f>IFERROR(__xludf.DUMMYFUNCTION("""COMPUTED_VALUE"""),0.5)</f>
        <v>0.5</v>
      </c>
      <c r="Q4104" s="4" t="str">
        <f>IFERROR(__xludf.DUMMYFUNCTION("""COMPUTED_VALUE"""),"Anota Ai Solucoes Digitais S/a")</f>
        <v>Anota Ai Solucoes Digitais S/a</v>
      </c>
      <c r="R4104" s="33">
        <f>IFERROR(__xludf.DUMMYFUNCTION("""COMPUTED_VALUE"""),0.5)</f>
        <v>0.5</v>
      </c>
      <c r="S4104" s="4" t="str">
        <f>IFERROR(__xludf.DUMMYFUNCTION("""COMPUTED_VALUE"""),"Anota Ai Solucoes Digitais S/a")</f>
        <v>Anota Ai Solucoes Digitais S/a</v>
      </c>
      <c r="T4104" s="33">
        <f>IFERROR(__xludf.DUMMYFUNCTION("""COMPUTED_VALUE"""),0.5)</f>
        <v>0.5</v>
      </c>
      <c r="U4104" s="4" t="str">
        <f>IFERROR(__xludf.DUMMYFUNCTION("""COMPUTED_VALUE"""),"Anota Ai Solucoes Digitais S/a")</f>
        <v>Anota Ai Solucoes Digitais S/a</v>
      </c>
      <c r="V4104" s="33">
        <f>IFERROR(__xludf.DUMMYFUNCTION("""COMPUTED_VALUE"""),0.5)</f>
        <v>0.5</v>
      </c>
      <c r="W4104" s="4" t="str">
        <f>IFERROR(__xludf.DUMMYFUNCTION("""COMPUTED_VALUE"""),"Anota Ai Solucoes Digitais S/a")</f>
        <v>Anota Ai Solucoes Digitais S/a</v>
      </c>
      <c r="X4104" s="33">
        <f>IFERROR(__xludf.DUMMYFUNCTION("""COMPUTED_VALUE"""),0.5)</f>
        <v>0.5</v>
      </c>
    </row>
    <row r="4105">
      <c r="K4105" s="4" t="str">
        <f>IFERROR(__xludf.DUMMYFUNCTION("""COMPUTED_VALUE"""),"INSANOS BURGUER CHICKEN")</f>
        <v>INSANOS BURGUER CHICKEN</v>
      </c>
      <c r="L4105" s="32">
        <f>IFERROR(__xludf.DUMMYFUNCTION("""COMPUTED_VALUE"""),2.0)</f>
        <v>2</v>
      </c>
      <c r="M4105" s="4" t="str">
        <f>IFERROR(__xludf.DUMMYFUNCTION("""COMPUTED_VALUE"""),"Brendi")</f>
        <v>Brendi</v>
      </c>
      <c r="N4105" s="33">
        <f>IFERROR(__xludf.DUMMYFUNCTION("""COMPUTED_VALUE"""),1.0)</f>
        <v>1</v>
      </c>
      <c r="O4105" s="4" t="str">
        <f>IFERROR(__xludf.DUMMYFUNCTION("""COMPUTED_VALUE"""),"null")</f>
        <v>null</v>
      </c>
      <c r="P4105" s="33">
        <f>IFERROR(__xludf.DUMMYFUNCTION("""COMPUTED_VALUE"""),1.0)</f>
        <v>1</v>
      </c>
      <c r="Q4105" s="4" t="str">
        <f>IFERROR(__xludf.DUMMYFUNCTION("""COMPUTED_VALUE"""),"null")</f>
        <v>null</v>
      </c>
      <c r="R4105" s="33">
        <f>IFERROR(__xludf.DUMMYFUNCTION("""COMPUTED_VALUE"""),1.0)</f>
        <v>1</v>
      </c>
      <c r="S4105" s="4" t="str">
        <f>IFERROR(__xludf.DUMMYFUNCTION("""COMPUTED_VALUE"""),"null")</f>
        <v>null</v>
      </c>
      <c r="T4105" s="33">
        <f>IFERROR(__xludf.DUMMYFUNCTION("""COMPUTED_VALUE"""),1.0)</f>
        <v>1</v>
      </c>
      <c r="U4105" s="4" t="str">
        <f>IFERROR(__xludf.DUMMYFUNCTION("""COMPUTED_VALUE"""),"Yooga")</f>
        <v>Yooga</v>
      </c>
      <c r="V4105" s="33">
        <f>IFERROR(__xludf.DUMMYFUNCTION("""COMPUTED_VALUE"""),0.5)</f>
        <v>0.5</v>
      </c>
      <c r="W4105" s="4" t="str">
        <f>IFERROR(__xludf.DUMMYFUNCTION("""COMPUTED_VALUE"""),"Yooga")</f>
        <v>Yooga</v>
      </c>
      <c r="X4105" s="33">
        <f>IFERROR(__xludf.DUMMYFUNCTION("""COMPUTED_VALUE"""),0.5)</f>
        <v>0.5</v>
      </c>
    </row>
    <row r="4106">
      <c r="K4106" s="4" t="str">
        <f>IFERROR(__xludf.DUMMYFUNCTION("""COMPUTED_VALUE"""),"ECONOMIZE FARMA")</f>
        <v>ECONOMIZE FARMA</v>
      </c>
      <c r="L4106" s="32">
        <f>IFERROR(__xludf.DUMMYFUNCTION("""COMPUTED_VALUE"""),2.0)</f>
        <v>2</v>
      </c>
      <c r="M4106" s="4" t="str">
        <f>IFERROR(__xludf.DUMMYFUNCTION("""COMPUTED_VALUE"""),"N/A (Not found)")</f>
        <v>N/A (Not found)</v>
      </c>
      <c r="N4106" s="33">
        <f>IFERROR(__xludf.DUMMYFUNCTION("""COMPUTED_VALUE"""),1.0)</f>
        <v>1</v>
      </c>
      <c r="O4106" s="4" t="str">
        <f>IFERROR(__xludf.DUMMYFUNCTION("""COMPUTED_VALUE"""),"N/A (Not found)")</f>
        <v>N/A (Not found)</v>
      </c>
      <c r="P4106" s="33">
        <f>IFERROR(__xludf.DUMMYFUNCTION("""COMPUTED_VALUE"""),1.0)</f>
        <v>1</v>
      </c>
      <c r="Q4106" s="4" t="str">
        <f>IFERROR(__xludf.DUMMYFUNCTION("""COMPUTED_VALUE"""),"N/A (Not found)")</f>
        <v>N/A (Not found)</v>
      </c>
      <c r="R4106" s="33">
        <f>IFERROR(__xludf.DUMMYFUNCTION("""COMPUTED_VALUE"""),1.0)</f>
        <v>1</v>
      </c>
      <c r="S4106" s="4" t="str">
        <f>IFERROR(__xludf.DUMMYFUNCTION("""COMPUTED_VALUE"""),"N/A (Not found)")</f>
        <v>N/A (Not found)</v>
      </c>
      <c r="T4106" s="33">
        <f>IFERROR(__xludf.DUMMYFUNCTION("""COMPUTED_VALUE"""),0.5)</f>
        <v>0.5</v>
      </c>
      <c r="U4106" s="4" t="str">
        <f>IFERROR(__xludf.DUMMYFUNCTION("""COMPUTED_VALUE"""),"N/A (Not found)")</f>
        <v>N/A (Not found)</v>
      </c>
      <c r="V4106" s="33">
        <f>IFERROR(__xludf.DUMMYFUNCTION("""COMPUTED_VALUE"""),0.5)</f>
        <v>0.5</v>
      </c>
      <c r="W4106" s="4" t="str">
        <f>IFERROR(__xludf.DUMMYFUNCTION("""COMPUTED_VALUE"""),"N/A (Not found)")</f>
        <v>N/A (Not found)</v>
      </c>
      <c r="X4106" s="33">
        <f>IFERROR(__xludf.DUMMYFUNCTION("""COMPUTED_VALUE"""),0.5)</f>
        <v>0.5</v>
      </c>
    </row>
    <row r="4107">
      <c r="K4107" s="4" t="str">
        <f>IFERROR(__xludf.DUMMYFUNCTION("""COMPUTED_VALUE"""),"HOME BISTRO SALADAS, SANDUICHES E ULTRACONGELADOS")</f>
        <v>HOME BISTRO SALADAS, SANDUICHES E ULTRACONGELADOS</v>
      </c>
      <c r="L4107" s="32">
        <f>IFERROR(__xludf.DUMMYFUNCTION("""COMPUTED_VALUE"""),2.0)</f>
        <v>2</v>
      </c>
      <c r="M4107" s="4" t="str">
        <f>IFERROR(__xludf.DUMMYFUNCTION("""COMPUTED_VALUE"""),"Cardápio Web")</f>
        <v>Cardápio Web</v>
      </c>
      <c r="N4107" s="33">
        <f>IFERROR(__xludf.DUMMYFUNCTION("""COMPUTED_VALUE"""),1.0)</f>
        <v>1</v>
      </c>
      <c r="O4107" s="4" t="str">
        <f>IFERROR(__xludf.DUMMYFUNCTION("""COMPUTED_VALUE"""),"null")</f>
        <v>null</v>
      </c>
      <c r="P4107" s="33">
        <f>IFERROR(__xludf.DUMMYFUNCTION("""COMPUTED_VALUE"""),0.5)</f>
        <v>0.5</v>
      </c>
      <c r="Q4107" s="4" t="str">
        <f>IFERROR(__xludf.DUMMYFUNCTION("""COMPUTED_VALUE"""),"null")</f>
        <v>null</v>
      </c>
      <c r="R4107" s="33">
        <f>IFERROR(__xludf.DUMMYFUNCTION("""COMPUTED_VALUE"""),0.5)</f>
        <v>0.5</v>
      </c>
      <c r="S4107" s="4" t="str">
        <f>IFERROR(__xludf.DUMMYFUNCTION("""COMPUTED_VALUE"""),"null")</f>
        <v>null</v>
      </c>
      <c r="T4107" s="33">
        <f>IFERROR(__xludf.DUMMYFUNCTION("""COMPUTED_VALUE"""),0.5)</f>
        <v>0.5</v>
      </c>
      <c r="U4107" s="4" t="str">
        <f>IFERROR(__xludf.DUMMYFUNCTION("""COMPUTED_VALUE"""),"null")</f>
        <v>null</v>
      </c>
      <c r="V4107" s="33">
        <f>IFERROR(__xludf.DUMMYFUNCTION("""COMPUTED_VALUE"""),0.5)</f>
        <v>0.5</v>
      </c>
      <c r="W4107" s="4" t="str">
        <f>IFERROR(__xludf.DUMMYFUNCTION("""COMPUTED_VALUE"""),"null")</f>
        <v>null</v>
      </c>
      <c r="X4107" s="33">
        <f>IFERROR(__xludf.DUMMYFUNCTION("""COMPUTED_VALUE"""),0.5)</f>
        <v>0.5</v>
      </c>
    </row>
    <row r="4108">
      <c r="K4108" s="4" t="str">
        <f>IFERROR(__xludf.DUMMYFUNCTION("""COMPUTED_VALUE"""),"PREDILETO")</f>
        <v>PREDILETO</v>
      </c>
      <c r="L4108" s="32">
        <f>IFERROR(__xludf.DUMMYFUNCTION("""COMPUTED_VALUE"""),2.0)</f>
        <v>2</v>
      </c>
      <c r="M4108" s="4" t="str">
        <f>IFERROR(__xludf.DUMMYFUNCTION("""COMPUTED_VALUE"""),"Saipos Serviços De Software")</f>
        <v>Saipos Serviços De Software</v>
      </c>
      <c r="N4108" s="33">
        <f>IFERROR(__xludf.DUMMYFUNCTION("""COMPUTED_VALUE"""),0.5)</f>
        <v>0.5</v>
      </c>
      <c r="O4108" s="4" t="str">
        <f>IFERROR(__xludf.DUMMYFUNCTION("""COMPUTED_VALUE"""),"Saipos Serviços De Software")</f>
        <v>Saipos Serviços De Software</v>
      </c>
      <c r="P4108" s="33">
        <f>IFERROR(__xludf.DUMMYFUNCTION("""COMPUTED_VALUE"""),0.5)</f>
        <v>0.5</v>
      </c>
      <c r="Q4108" s="4" t="str">
        <f>IFERROR(__xludf.DUMMYFUNCTION("""COMPUTED_VALUE"""),"Saipos Serviços De Software")</f>
        <v>Saipos Serviços De Software</v>
      </c>
      <c r="R4108" s="33">
        <f>IFERROR(__xludf.DUMMYFUNCTION("""COMPUTED_VALUE"""),0.5)</f>
        <v>0.5</v>
      </c>
      <c r="S4108" s="4" t="str">
        <f>IFERROR(__xludf.DUMMYFUNCTION("""COMPUTED_VALUE"""),"Saipos Serviços De Software")</f>
        <v>Saipos Serviços De Software</v>
      </c>
      <c r="T4108" s="33">
        <f>IFERROR(__xludf.DUMMYFUNCTION("""COMPUTED_VALUE"""),0.5)</f>
        <v>0.5</v>
      </c>
      <c r="U4108" s="4" t="str">
        <f>IFERROR(__xludf.DUMMYFUNCTION("""COMPUTED_VALUE"""),"Saipos Serviços De Software")</f>
        <v>Saipos Serviços De Software</v>
      </c>
      <c r="V4108" s="33">
        <f>IFERROR(__xludf.DUMMYFUNCTION("""COMPUTED_VALUE"""),0.5)</f>
        <v>0.5</v>
      </c>
      <c r="W4108" s="4" t="str">
        <f>IFERROR(__xludf.DUMMYFUNCTION("""COMPUTED_VALUE"""),"Saipos Serviços De Software")</f>
        <v>Saipos Serviços De Software</v>
      </c>
      <c r="X4108" s="33">
        <f>IFERROR(__xludf.DUMMYFUNCTION("""COMPUTED_VALUE"""),0.5)</f>
        <v>0.5</v>
      </c>
    </row>
    <row r="4109">
      <c r="K4109" s="4" t="str">
        <f>IFERROR(__xludf.DUMMYFUNCTION("""COMPUTED_VALUE"""),"ESQUINA DO PASTEL")</f>
        <v>ESQUINA DO PASTEL</v>
      </c>
      <c r="L4109" s="32">
        <f>IFERROR(__xludf.DUMMYFUNCTION("""COMPUTED_VALUE"""),2.0)</f>
        <v>2</v>
      </c>
      <c r="M4109" s="4" t="str">
        <f>IFERROR(__xludf.DUMMYFUNCTION("""COMPUTED_VALUE"""),"Anota Ai Solucoes Digitais S/a")</f>
        <v>Anota Ai Solucoes Digitais S/a</v>
      </c>
      <c r="N4109" s="33">
        <f>IFERROR(__xludf.DUMMYFUNCTION("""COMPUTED_VALUE"""),0.5)</f>
        <v>0.5</v>
      </c>
      <c r="O4109" s="4" t="str">
        <f>IFERROR(__xludf.DUMMYFUNCTION("""COMPUTED_VALUE"""),"Anota Ai Solucoes Digitais S/a")</f>
        <v>Anota Ai Solucoes Digitais S/a</v>
      </c>
      <c r="P4109" s="33">
        <f>IFERROR(__xludf.DUMMYFUNCTION("""COMPUTED_VALUE"""),1.0)</f>
        <v>1</v>
      </c>
      <c r="Q4109" s="4" t="str">
        <f>IFERROR(__xludf.DUMMYFUNCTION("""COMPUTED_VALUE"""),"Anota Ai Solucoes Digitais S/a")</f>
        <v>Anota Ai Solucoes Digitais S/a</v>
      </c>
      <c r="R4109" s="33">
        <f>IFERROR(__xludf.DUMMYFUNCTION("""COMPUTED_VALUE"""),0.5)</f>
        <v>0.5</v>
      </c>
      <c r="S4109" s="4" t="str">
        <f>IFERROR(__xludf.DUMMYFUNCTION("""COMPUTED_VALUE"""),"Anota Ai Solucoes Digitais S/a")</f>
        <v>Anota Ai Solucoes Digitais S/a</v>
      </c>
      <c r="T4109" s="33">
        <f>IFERROR(__xludf.DUMMYFUNCTION("""COMPUTED_VALUE"""),1.0)</f>
        <v>1</v>
      </c>
      <c r="U4109" s="4" t="str">
        <f>IFERROR(__xludf.DUMMYFUNCTION("""COMPUTED_VALUE"""),"Anota Ai Solucoes Digitais S/a")</f>
        <v>Anota Ai Solucoes Digitais S/a</v>
      </c>
      <c r="V4109" s="33">
        <f>IFERROR(__xludf.DUMMYFUNCTION("""COMPUTED_VALUE"""),0.5)</f>
        <v>0.5</v>
      </c>
      <c r="W4109" s="4" t="str">
        <f>IFERROR(__xludf.DUMMYFUNCTION("""COMPUTED_VALUE"""),"Anota Ai Solucoes Digitais S/a")</f>
        <v>Anota Ai Solucoes Digitais S/a</v>
      </c>
      <c r="X4109" s="33">
        <f>IFERROR(__xludf.DUMMYFUNCTION("""COMPUTED_VALUE"""),1.0)</f>
        <v>1</v>
      </c>
    </row>
    <row r="4110">
      <c r="K4110" s="4" t="str">
        <f>IFERROR(__xludf.DUMMYFUNCTION("""COMPUTED_VALUE"""),"DELICIAS DA FRAN")</f>
        <v>DELICIAS DA FRAN</v>
      </c>
      <c r="L4110" s="32">
        <f>IFERROR(__xludf.DUMMYFUNCTION("""COMPUTED_VALUE"""),2.0)</f>
        <v>2</v>
      </c>
      <c r="M4110" s="4" t="str">
        <f>IFERROR(__xludf.DUMMYFUNCTION("""COMPUTED_VALUE"""),"Instadelivery")</f>
        <v>Instadelivery</v>
      </c>
      <c r="N4110" s="33">
        <f>IFERROR(__xludf.DUMMYFUNCTION("""COMPUTED_VALUE"""),0.5)</f>
        <v>0.5</v>
      </c>
      <c r="O4110" s="4" t="str">
        <f>IFERROR(__xludf.DUMMYFUNCTION("""COMPUTED_VALUE"""),"null")</f>
        <v>null</v>
      </c>
      <c r="P4110" s="33">
        <f>IFERROR(__xludf.DUMMYFUNCTION("""COMPUTED_VALUE"""),1.0)</f>
        <v>1</v>
      </c>
      <c r="Q4110" s="4" t="str">
        <f>IFERROR(__xludf.DUMMYFUNCTION("""COMPUTED_VALUE"""),"Instadelivery")</f>
        <v>Instadelivery</v>
      </c>
      <c r="R4110" s="33">
        <f>IFERROR(__xludf.DUMMYFUNCTION("""COMPUTED_VALUE"""),0.5)</f>
        <v>0.5</v>
      </c>
      <c r="S4110" s="4" t="str">
        <f>IFERROR(__xludf.DUMMYFUNCTION("""COMPUTED_VALUE"""),"Instadelivery")</f>
        <v>Instadelivery</v>
      </c>
      <c r="T4110" s="33">
        <f>IFERROR(__xludf.DUMMYFUNCTION("""COMPUTED_VALUE"""),0.5)</f>
        <v>0.5</v>
      </c>
      <c r="U4110" s="4" t="str">
        <f>IFERROR(__xludf.DUMMYFUNCTION("""COMPUTED_VALUE"""),"null")</f>
        <v>null</v>
      </c>
      <c r="V4110" s="33">
        <f>IFERROR(__xludf.DUMMYFUNCTION("""COMPUTED_VALUE"""),1.0)</f>
        <v>1</v>
      </c>
      <c r="W4110" s="4" t="str">
        <f>IFERROR(__xludf.DUMMYFUNCTION("""COMPUTED_VALUE"""),"null")</f>
        <v>null</v>
      </c>
      <c r="X4110" s="33">
        <f>IFERROR(__xludf.DUMMYFUNCTION("""COMPUTED_VALUE"""),0.5)</f>
        <v>0.5</v>
      </c>
    </row>
    <row r="4111">
      <c r="K4111" s="4" t="str">
        <f>IFERROR(__xludf.DUMMYFUNCTION("""COMPUTED_VALUE"""),"ASTERFARMA")</f>
        <v>ASTERFARMA</v>
      </c>
      <c r="L4111" s="32">
        <f>IFERROR(__xludf.DUMMYFUNCTION("""COMPUTED_VALUE"""),2.0)</f>
        <v>2</v>
      </c>
      <c r="M4111" s="4" t="str">
        <f>IFERROR(__xludf.DUMMYFUNCTION("""COMPUTED_VALUE"""),"N/A (Not found)")</f>
        <v>N/A (Not found)</v>
      </c>
      <c r="N4111" s="33">
        <f>IFERROR(__xludf.DUMMYFUNCTION("""COMPUTED_VALUE"""),1.0)</f>
        <v>1</v>
      </c>
      <c r="O4111" s="4" t="str">
        <f>IFERROR(__xludf.DUMMYFUNCTION("""COMPUTED_VALUE"""),"N/A (Not found)")</f>
        <v>N/A (Not found)</v>
      </c>
      <c r="P4111" s="33">
        <f>IFERROR(__xludf.DUMMYFUNCTION("""COMPUTED_VALUE"""),1.0)</f>
        <v>1</v>
      </c>
      <c r="Q4111" s="4" t="str">
        <f>IFERROR(__xludf.DUMMYFUNCTION("""COMPUTED_VALUE"""),"N/A (Not found)")</f>
        <v>N/A (Not found)</v>
      </c>
      <c r="R4111" s="33">
        <f>IFERROR(__xludf.DUMMYFUNCTION("""COMPUTED_VALUE"""),1.0)</f>
        <v>1</v>
      </c>
      <c r="S4111" s="4" t="str">
        <f>IFERROR(__xludf.DUMMYFUNCTION("""COMPUTED_VALUE"""),"N/A (Not found)")</f>
        <v>N/A (Not found)</v>
      </c>
      <c r="T4111" s="33">
        <f>IFERROR(__xludf.DUMMYFUNCTION("""COMPUTED_VALUE"""),1.0)</f>
        <v>1</v>
      </c>
      <c r="U4111" s="4" t="str">
        <f>IFERROR(__xludf.DUMMYFUNCTION("""COMPUTED_VALUE"""),"N/A (Not found)")</f>
        <v>N/A (Not found)</v>
      </c>
      <c r="V4111" s="33">
        <f>IFERROR(__xludf.DUMMYFUNCTION("""COMPUTED_VALUE"""),0.5)</f>
        <v>0.5</v>
      </c>
      <c r="W4111" s="4" t="str">
        <f>IFERROR(__xludf.DUMMYFUNCTION("""COMPUTED_VALUE"""),"null")</f>
        <v>null</v>
      </c>
      <c r="X4111" s="33">
        <f>IFERROR(__xludf.DUMMYFUNCTION("""COMPUTED_VALUE"""),1.0)</f>
        <v>1</v>
      </c>
    </row>
    <row r="4112">
      <c r="K4112" s="4" t="str">
        <f>IFERROR(__xludf.DUMMYFUNCTION("""COMPUTED_VALUE"""),"NILDS BEBIDAS")</f>
        <v>NILDS BEBIDAS</v>
      </c>
      <c r="L4112" s="32">
        <f>IFERROR(__xludf.DUMMYFUNCTION("""COMPUTED_VALUE"""),2.0)</f>
        <v>2</v>
      </c>
      <c r="M4112" s="4" t="str">
        <f>IFERROR(__xludf.DUMMYFUNCTION("""COMPUTED_VALUE"""),"null")</f>
        <v>null</v>
      </c>
      <c r="N4112" s="33">
        <f>IFERROR(__xludf.DUMMYFUNCTION("""COMPUTED_VALUE"""),1.0)</f>
        <v>1</v>
      </c>
      <c r="O4112" s="4" t="str">
        <f>IFERROR(__xludf.DUMMYFUNCTION("""COMPUTED_VALUE"""),"null")</f>
        <v>null</v>
      </c>
      <c r="P4112" s="33">
        <f>IFERROR(__xludf.DUMMYFUNCTION("""COMPUTED_VALUE"""),1.0)</f>
        <v>1</v>
      </c>
      <c r="Q4112" s="4" t="str">
        <f>IFERROR(__xludf.DUMMYFUNCTION("""COMPUTED_VALUE"""),"N/A (Not found)")</f>
        <v>N/A (Not found)</v>
      </c>
      <c r="R4112" s="33">
        <f>IFERROR(__xludf.DUMMYFUNCTION("""COMPUTED_VALUE"""),0.5)</f>
        <v>0.5</v>
      </c>
      <c r="S4112" s="4" t="str">
        <f>IFERROR(__xludf.DUMMYFUNCTION("""COMPUTED_VALUE"""),"N/A (Not found)")</f>
        <v>N/A (Not found)</v>
      </c>
      <c r="T4112" s="33">
        <f>IFERROR(__xludf.DUMMYFUNCTION("""COMPUTED_VALUE"""),0.5)</f>
        <v>0.5</v>
      </c>
      <c r="U4112" s="4" t="str">
        <f>IFERROR(__xludf.DUMMYFUNCTION("""COMPUTED_VALUE"""),"N/A (Not found)")</f>
        <v>N/A (Not found)</v>
      </c>
      <c r="V4112" s="33">
        <f>IFERROR(__xludf.DUMMYFUNCTION("""COMPUTED_VALUE"""),0.5)</f>
        <v>0.5</v>
      </c>
      <c r="W4112" s="4" t="str">
        <f>IFERROR(__xludf.DUMMYFUNCTION("""COMPUTED_VALUE"""),"N/A (Not found)")</f>
        <v>N/A (Not found)</v>
      </c>
      <c r="X4112" s="33">
        <f>IFERROR(__xludf.DUMMYFUNCTION("""COMPUTED_VALUE"""),0.5)</f>
        <v>0.5</v>
      </c>
    </row>
    <row r="4113">
      <c r="K4113" s="4" t="str">
        <f>IFERROR(__xludf.DUMMYFUNCTION("""COMPUTED_VALUE"""),"PIZZA EXPRESSO")</f>
        <v>PIZZA EXPRESSO</v>
      </c>
      <c r="L4113" s="32">
        <f>IFERROR(__xludf.DUMMYFUNCTION("""COMPUTED_VALUE"""),2.0)</f>
        <v>2</v>
      </c>
      <c r="M4113" s="4" t="str">
        <f>IFERROR(__xludf.DUMMYFUNCTION("""COMPUTED_VALUE"""),"null")</f>
        <v>null</v>
      </c>
      <c r="N4113" s="33">
        <f>IFERROR(__xludf.DUMMYFUNCTION("""COMPUTED_VALUE"""),1.0)</f>
        <v>1</v>
      </c>
      <c r="O4113" s="4" t="str">
        <f>IFERROR(__xludf.DUMMYFUNCTION("""COMPUTED_VALUE"""),"null")</f>
        <v>null</v>
      </c>
      <c r="P4113" s="33">
        <f>IFERROR(__xludf.DUMMYFUNCTION("""COMPUTED_VALUE"""),1.0)</f>
        <v>1</v>
      </c>
      <c r="Q4113" s="4" t="str">
        <f>IFERROR(__xludf.DUMMYFUNCTION("""COMPUTED_VALUE"""),"null")</f>
        <v>null</v>
      </c>
      <c r="R4113" s="33">
        <f>IFERROR(__xludf.DUMMYFUNCTION("""COMPUTED_VALUE"""),0.5)</f>
        <v>0.5</v>
      </c>
      <c r="S4113" s="4" t="str">
        <f>IFERROR(__xludf.DUMMYFUNCTION("""COMPUTED_VALUE"""),"null")</f>
        <v>null</v>
      </c>
      <c r="T4113" s="33">
        <f>IFERROR(__xludf.DUMMYFUNCTION("""COMPUTED_VALUE"""),0.5)</f>
        <v>0.5</v>
      </c>
      <c r="U4113" s="4" t="str">
        <f>IFERROR(__xludf.DUMMYFUNCTION("""COMPUTED_VALUE"""),"null")</f>
        <v>null</v>
      </c>
      <c r="V4113" s="33">
        <f>IFERROR(__xludf.DUMMYFUNCTION("""COMPUTED_VALUE"""),0.5)</f>
        <v>0.5</v>
      </c>
      <c r="W4113" s="4" t="str">
        <f>IFERROR(__xludf.DUMMYFUNCTION("""COMPUTED_VALUE"""),"Anota Ai Solucoes Digitais S/a")</f>
        <v>Anota Ai Solucoes Digitais S/a</v>
      </c>
      <c r="X4113" s="33">
        <f>IFERROR(__xludf.DUMMYFUNCTION("""COMPUTED_VALUE"""),1.0)</f>
        <v>1</v>
      </c>
    </row>
    <row r="4114">
      <c r="K4114" s="4" t="str">
        <f>IFERROR(__xludf.DUMMYFUNCTION("""COMPUTED_VALUE"""),"BULLS CARNE E PONTO - PRATOS E BURGER")</f>
        <v>BULLS CARNE E PONTO - PRATOS E BURGER</v>
      </c>
      <c r="L4114" s="32">
        <f>IFERROR(__xludf.DUMMYFUNCTION("""COMPUTED_VALUE"""),2.0)</f>
        <v>2</v>
      </c>
      <c r="M4114" s="4" t="str">
        <f>IFERROR(__xludf.DUMMYFUNCTION("""COMPUTED_VALUE"""),"Vuca Solution")</f>
        <v>Vuca Solution</v>
      </c>
      <c r="N4114" s="33">
        <f>IFERROR(__xludf.DUMMYFUNCTION("""COMPUTED_VALUE"""),1.0)</f>
        <v>1</v>
      </c>
      <c r="O4114" s="4" t="str">
        <f>IFERROR(__xludf.DUMMYFUNCTION("""COMPUTED_VALUE"""),"Vuca Solution")</f>
        <v>Vuca Solution</v>
      </c>
      <c r="P4114" s="33">
        <f>IFERROR(__xludf.DUMMYFUNCTION("""COMPUTED_VALUE"""),1.0)</f>
        <v>1</v>
      </c>
      <c r="Q4114" s="4" t="str">
        <f>IFERROR(__xludf.DUMMYFUNCTION("""COMPUTED_VALUE"""),"Vuca Solution")</f>
        <v>Vuca Solution</v>
      </c>
      <c r="R4114" s="33">
        <f>IFERROR(__xludf.DUMMYFUNCTION("""COMPUTED_VALUE"""),1.0)</f>
        <v>1</v>
      </c>
      <c r="S4114" s="4" t="str">
        <f>IFERROR(__xludf.DUMMYFUNCTION("""COMPUTED_VALUE"""),"Vuca Solution")</f>
        <v>Vuca Solution</v>
      </c>
      <c r="T4114" s="33">
        <f>IFERROR(__xludf.DUMMYFUNCTION("""COMPUTED_VALUE"""),1.0)</f>
        <v>1</v>
      </c>
      <c r="U4114" s="4" t="str">
        <f>IFERROR(__xludf.DUMMYFUNCTION("""COMPUTED_VALUE"""),"Vuca Solution")</f>
        <v>Vuca Solution</v>
      </c>
      <c r="V4114" s="33">
        <f>IFERROR(__xludf.DUMMYFUNCTION("""COMPUTED_VALUE"""),1.0)</f>
        <v>1</v>
      </c>
      <c r="W4114" s="4" t="str">
        <f>IFERROR(__xludf.DUMMYFUNCTION("""COMPUTED_VALUE"""),"Vuca Solution")</f>
        <v>Vuca Solution</v>
      </c>
      <c r="X4114" s="33">
        <f>IFERROR(__xludf.DUMMYFUNCTION("""COMPUTED_VALUE"""),1.0)</f>
        <v>1</v>
      </c>
    </row>
    <row r="4115">
      <c r="K4115" s="4" t="str">
        <f>IFERROR(__xludf.DUMMYFUNCTION("""COMPUTED_VALUE"""),"ESFIHARIA GIALIM")</f>
        <v>ESFIHARIA GIALIM</v>
      </c>
      <c r="L4115" s="32">
        <f>IFERROR(__xludf.DUMMYFUNCTION("""COMPUTED_VALUE"""),2.0)</f>
        <v>2</v>
      </c>
      <c r="M4115" s="4" t="str">
        <f>IFERROR(__xludf.DUMMYFUNCTION("""COMPUTED_VALUE"""),"null")</f>
        <v>null</v>
      </c>
      <c r="N4115" s="33">
        <f>IFERROR(__xludf.DUMMYFUNCTION("""COMPUTED_VALUE"""),0.5)</f>
        <v>0.5</v>
      </c>
      <c r="O4115" s="4" t="str">
        <f>IFERROR(__xludf.DUMMYFUNCTION("""COMPUTED_VALUE"""),"null")</f>
        <v>null</v>
      </c>
      <c r="P4115" s="33">
        <f>IFERROR(__xludf.DUMMYFUNCTION("""COMPUTED_VALUE"""),0.5)</f>
        <v>0.5</v>
      </c>
      <c r="Q4115" s="4" t="str">
        <f>IFERROR(__xludf.DUMMYFUNCTION("""COMPUTED_VALUE"""),"Anota Ai Solucoes Digitais S/a")</f>
        <v>Anota Ai Solucoes Digitais S/a</v>
      </c>
      <c r="R4115" s="33">
        <f>IFERROR(__xludf.DUMMYFUNCTION("""COMPUTED_VALUE"""),0.5)</f>
        <v>0.5</v>
      </c>
      <c r="S4115" s="4" t="str">
        <f>IFERROR(__xludf.DUMMYFUNCTION("""COMPUTED_VALUE"""),"Anota Ai Solucoes Digitais S/a")</f>
        <v>Anota Ai Solucoes Digitais S/a</v>
      </c>
      <c r="T4115" s="33">
        <f>IFERROR(__xludf.DUMMYFUNCTION("""COMPUTED_VALUE"""),0.5)</f>
        <v>0.5</v>
      </c>
      <c r="U4115" s="4" t="str">
        <f>IFERROR(__xludf.DUMMYFUNCTION("""COMPUTED_VALUE"""),"Anota Ai Solucoes Digitais S/a")</f>
        <v>Anota Ai Solucoes Digitais S/a</v>
      </c>
      <c r="V4115" s="33">
        <f>IFERROR(__xludf.DUMMYFUNCTION("""COMPUTED_VALUE"""),0.5)</f>
        <v>0.5</v>
      </c>
      <c r="W4115" s="4" t="str">
        <f>IFERROR(__xludf.DUMMYFUNCTION("""COMPUTED_VALUE"""),"Anota Ai Solucoes Digitais S/a")</f>
        <v>Anota Ai Solucoes Digitais S/a</v>
      </c>
      <c r="X4115" s="33">
        <f>IFERROR(__xludf.DUMMYFUNCTION("""COMPUTED_VALUE"""),0.5)</f>
        <v>0.5</v>
      </c>
    </row>
    <row r="4116">
      <c r="K4116" s="4" t="str">
        <f>IFERROR(__xludf.DUMMYFUNCTION("""COMPUTED_VALUE"""),"KOI SUSHI")</f>
        <v>KOI SUSHI</v>
      </c>
      <c r="L4116" s="32">
        <f>IFERROR(__xludf.DUMMYFUNCTION("""COMPUTED_VALUE"""),2.0)</f>
        <v>2</v>
      </c>
      <c r="M4116" s="4" t="str">
        <f>IFERROR(__xludf.DUMMYFUNCTION("""COMPUTED_VALUE"""),"null")</f>
        <v>null</v>
      </c>
      <c r="N4116" s="33">
        <f>IFERROR(__xludf.DUMMYFUNCTION("""COMPUTED_VALUE"""),1.0)</f>
        <v>1</v>
      </c>
      <c r="O4116" s="4" t="str">
        <f>IFERROR(__xludf.DUMMYFUNCTION("""COMPUTED_VALUE"""),"Cheff Solutions Tecnologia Brasil")</f>
        <v>Cheff Solutions Tecnologia Brasil</v>
      </c>
      <c r="P4116" s="33">
        <f>IFERROR(__xludf.DUMMYFUNCTION("""COMPUTED_VALUE"""),0.5)</f>
        <v>0.5</v>
      </c>
      <c r="Q4116" s="4" t="str">
        <f>IFERROR(__xludf.DUMMYFUNCTION("""COMPUTED_VALUE"""),"Cheff Solutions Tecnologia Brasil")</f>
        <v>Cheff Solutions Tecnologia Brasil</v>
      </c>
      <c r="R4116" s="33">
        <f>IFERROR(__xludf.DUMMYFUNCTION("""COMPUTED_VALUE"""),0.5)</f>
        <v>0.5</v>
      </c>
      <c r="S4116" s="4" t="str">
        <f>IFERROR(__xludf.DUMMYFUNCTION("""COMPUTED_VALUE"""),"Cheff Solutions Tecnologia Brasil")</f>
        <v>Cheff Solutions Tecnologia Brasil</v>
      </c>
      <c r="T4116" s="33">
        <f>IFERROR(__xludf.DUMMYFUNCTION("""COMPUTED_VALUE"""),0.5)</f>
        <v>0.5</v>
      </c>
      <c r="U4116" s="4" t="str">
        <f>IFERROR(__xludf.DUMMYFUNCTION("""COMPUTED_VALUE"""),"Cheff Solutions Tecnologia Brasil")</f>
        <v>Cheff Solutions Tecnologia Brasil</v>
      </c>
      <c r="V4116" s="33">
        <f>IFERROR(__xludf.DUMMYFUNCTION("""COMPUTED_VALUE"""),0.5)</f>
        <v>0.5</v>
      </c>
      <c r="W4116" s="4" t="str">
        <f>IFERROR(__xludf.DUMMYFUNCTION("""COMPUTED_VALUE"""),"Cheff Solutions Tecnologia Brasil")</f>
        <v>Cheff Solutions Tecnologia Brasil</v>
      </c>
      <c r="X4116" s="33">
        <f>IFERROR(__xludf.DUMMYFUNCTION("""COMPUTED_VALUE"""),0.5)</f>
        <v>0.5</v>
      </c>
    </row>
    <row r="4117">
      <c r="K4117" s="4" t="str">
        <f>IFERROR(__xludf.DUMMYFUNCTION("""COMPUTED_VALUE"""),"PUDIM DLEITE E SOBREMESAS DA TIA TALITA")</f>
        <v>PUDIM DLEITE E SOBREMESAS DA TIA TALITA</v>
      </c>
      <c r="L4117" s="32">
        <f>IFERROR(__xludf.DUMMYFUNCTION("""COMPUTED_VALUE"""),2.0)</f>
        <v>2</v>
      </c>
      <c r="M4117" s="4" t="str">
        <f>IFERROR(__xludf.DUMMYFUNCTION("""COMPUTED_VALUE"""),"Agilizup Solucoes Ltda")</f>
        <v>Agilizup Solucoes Ltda</v>
      </c>
      <c r="N4117" s="33">
        <f>IFERROR(__xludf.DUMMYFUNCTION("""COMPUTED_VALUE"""),1.0)</f>
        <v>1</v>
      </c>
      <c r="O4117" s="4" t="str">
        <f>IFERROR(__xludf.DUMMYFUNCTION("""COMPUTED_VALUE"""),"Agilizup Solucoes Ltda")</f>
        <v>Agilizup Solucoes Ltda</v>
      </c>
      <c r="P4117" s="33">
        <f>IFERROR(__xludf.DUMMYFUNCTION("""COMPUTED_VALUE"""),1.0)</f>
        <v>1</v>
      </c>
      <c r="Q4117" s="4" t="str">
        <f>IFERROR(__xludf.DUMMYFUNCTION("""COMPUTED_VALUE"""),"Agilizup Solucoes Ltda")</f>
        <v>Agilizup Solucoes Ltda</v>
      </c>
      <c r="R4117" s="33">
        <f>IFERROR(__xludf.DUMMYFUNCTION("""COMPUTED_VALUE"""),1.0)</f>
        <v>1</v>
      </c>
      <c r="S4117" s="4" t="str">
        <f>IFERROR(__xludf.DUMMYFUNCTION("""COMPUTED_VALUE"""),"Agilizup Solucoes Ltda")</f>
        <v>Agilizup Solucoes Ltda</v>
      </c>
      <c r="T4117" s="33">
        <f>IFERROR(__xludf.DUMMYFUNCTION("""COMPUTED_VALUE"""),1.0)</f>
        <v>1</v>
      </c>
      <c r="U4117" s="4" t="str">
        <f>IFERROR(__xludf.DUMMYFUNCTION("""COMPUTED_VALUE"""),"Agilizup Solucoes Ltda")</f>
        <v>Agilizup Solucoes Ltda</v>
      </c>
      <c r="V4117" s="33">
        <f>IFERROR(__xludf.DUMMYFUNCTION("""COMPUTED_VALUE"""),1.0)</f>
        <v>1</v>
      </c>
      <c r="W4117" s="4" t="str">
        <f>IFERROR(__xludf.DUMMYFUNCTION("""COMPUTED_VALUE"""),"Agilizup Solucoes Ltda")</f>
        <v>Agilizup Solucoes Ltda</v>
      </c>
      <c r="X4117" s="33">
        <f>IFERROR(__xludf.DUMMYFUNCTION("""COMPUTED_VALUE"""),1.0)</f>
        <v>1</v>
      </c>
    </row>
    <row r="4118">
      <c r="K4118" s="4" t="str">
        <f>IFERROR(__xludf.DUMMYFUNCTION("""COMPUTED_VALUE"""),"NOBRE ACAI")</f>
        <v>NOBRE ACAI</v>
      </c>
      <c r="L4118" s="32">
        <f>IFERROR(__xludf.DUMMYFUNCTION("""COMPUTED_VALUE"""),2.0)</f>
        <v>2</v>
      </c>
      <c r="M4118" s="4" t="str">
        <f>IFERROR(__xludf.DUMMYFUNCTION("""COMPUTED_VALUE"""),"null")</f>
        <v>null</v>
      </c>
      <c r="N4118" s="33">
        <f>IFERROR(__xludf.DUMMYFUNCTION("""COMPUTED_VALUE"""),1.0)</f>
        <v>1</v>
      </c>
      <c r="O4118" s="4" t="str">
        <f>IFERROR(__xludf.DUMMYFUNCTION("""COMPUTED_VALUE"""),"null")</f>
        <v>null</v>
      </c>
      <c r="P4118" s="33">
        <f>IFERROR(__xludf.DUMMYFUNCTION("""COMPUTED_VALUE"""),1.0)</f>
        <v>1</v>
      </c>
      <c r="Q4118" s="4" t="str">
        <f>IFERROR(__xludf.DUMMYFUNCTION("""COMPUTED_VALUE"""),"null")</f>
        <v>null</v>
      </c>
      <c r="R4118" s="33">
        <f>IFERROR(__xludf.DUMMYFUNCTION("""COMPUTED_VALUE"""),1.0)</f>
        <v>1</v>
      </c>
      <c r="S4118" s="4" t="str">
        <f>IFERROR(__xludf.DUMMYFUNCTION("""COMPUTED_VALUE"""),"Instadelivery")</f>
        <v>Instadelivery</v>
      </c>
      <c r="T4118" s="33">
        <f>IFERROR(__xludf.DUMMYFUNCTION("""COMPUTED_VALUE"""),0.5)</f>
        <v>0.5</v>
      </c>
      <c r="U4118" s="4" t="str">
        <f>IFERROR(__xludf.DUMMYFUNCTION("""COMPUTED_VALUE"""),"Instadelivery")</f>
        <v>Instadelivery</v>
      </c>
      <c r="V4118" s="33">
        <f>IFERROR(__xludf.DUMMYFUNCTION("""COMPUTED_VALUE"""),0.5)</f>
        <v>0.5</v>
      </c>
      <c r="W4118" s="4" t="str">
        <f>IFERROR(__xludf.DUMMYFUNCTION("""COMPUTED_VALUE"""),"Instadelivery")</f>
        <v>Instadelivery</v>
      </c>
      <c r="X4118" s="33">
        <f>IFERROR(__xludf.DUMMYFUNCTION("""COMPUTED_VALUE"""),0.5)</f>
        <v>0.5</v>
      </c>
    </row>
    <row r="4119">
      <c r="K4119" s="4" t="str">
        <f>IFERROR(__xludf.DUMMYFUNCTION("""COMPUTED_VALUE"""),"UNIAO BEBIDAS")</f>
        <v>UNIAO BEBIDAS</v>
      </c>
      <c r="L4119" s="32">
        <f>IFERROR(__xludf.DUMMYFUNCTION("""COMPUTED_VALUE"""),2.0)</f>
        <v>2</v>
      </c>
      <c r="M4119" s="4" t="str">
        <f>IFERROR(__xludf.DUMMYFUNCTION("""COMPUTED_VALUE"""),"N/A (Not found)")</f>
        <v>N/A (Not found)</v>
      </c>
      <c r="N4119" s="33">
        <f>IFERROR(__xludf.DUMMYFUNCTION("""COMPUTED_VALUE"""),1.0)</f>
        <v>1</v>
      </c>
      <c r="O4119" s="4" t="str">
        <f>IFERROR(__xludf.DUMMYFUNCTION("""COMPUTED_VALUE"""),"N/A (Not found)")</f>
        <v>N/A (Not found)</v>
      </c>
      <c r="P4119" s="33">
        <f>IFERROR(__xludf.DUMMYFUNCTION("""COMPUTED_VALUE"""),1.0)</f>
        <v>1</v>
      </c>
      <c r="Q4119" s="4" t="str">
        <f>IFERROR(__xludf.DUMMYFUNCTION("""COMPUTED_VALUE"""),"null")</f>
        <v>null</v>
      </c>
      <c r="R4119" s="33">
        <f>IFERROR(__xludf.DUMMYFUNCTION("""COMPUTED_VALUE"""),0.5)</f>
        <v>0.5</v>
      </c>
      <c r="S4119" s="4" t="str">
        <f>IFERROR(__xludf.DUMMYFUNCTION("""COMPUTED_VALUE"""),"null")</f>
        <v>null</v>
      </c>
      <c r="T4119" s="33">
        <f>IFERROR(__xludf.DUMMYFUNCTION("""COMPUTED_VALUE"""),0.5)</f>
        <v>0.5</v>
      </c>
      <c r="U4119" s="4" t="str">
        <f>IFERROR(__xludf.DUMMYFUNCTION("""COMPUTED_VALUE"""),"null")</f>
        <v>null</v>
      </c>
      <c r="V4119" s="33">
        <f>IFERROR(__xludf.DUMMYFUNCTION("""COMPUTED_VALUE"""),0.5)</f>
        <v>0.5</v>
      </c>
      <c r="W4119" s="4" t="str">
        <f>IFERROR(__xludf.DUMMYFUNCTION("""COMPUTED_VALUE"""),"null")</f>
        <v>null</v>
      </c>
      <c r="X4119" s="33">
        <f>IFERROR(__xludf.DUMMYFUNCTION("""COMPUTED_VALUE"""),0.5)</f>
        <v>0.5</v>
      </c>
    </row>
    <row r="4120">
      <c r="K4120" s="4" t="str">
        <f>IFERROR(__xludf.DUMMYFUNCTION("""COMPUTED_VALUE"""),"REI DOS SALGADOS")</f>
        <v>REI DOS SALGADOS</v>
      </c>
      <c r="L4120" s="32">
        <f>IFERROR(__xludf.DUMMYFUNCTION("""COMPUTED_VALUE"""),2.0)</f>
        <v>2</v>
      </c>
      <c r="M4120" s="4" t="str">
        <f>IFERROR(__xludf.DUMMYFUNCTION("""COMPUTED_VALUE"""),"Saipos Serviços De Software")</f>
        <v>Saipos Serviços De Software</v>
      </c>
      <c r="N4120" s="33">
        <f>IFERROR(__xludf.DUMMYFUNCTION("""COMPUTED_VALUE"""),0.5)</f>
        <v>0.5</v>
      </c>
      <c r="O4120" s="4" t="str">
        <f>IFERROR(__xludf.DUMMYFUNCTION("""COMPUTED_VALUE"""),"Saipos Serviços De Software")</f>
        <v>Saipos Serviços De Software</v>
      </c>
      <c r="P4120" s="33">
        <f>IFERROR(__xludf.DUMMYFUNCTION("""COMPUTED_VALUE"""),0.5)</f>
        <v>0.5</v>
      </c>
      <c r="Q4120" s="4" t="str">
        <f>IFERROR(__xludf.DUMMYFUNCTION("""COMPUTED_VALUE"""),"Saipos Serviços De Software")</f>
        <v>Saipos Serviços De Software</v>
      </c>
      <c r="R4120" s="33">
        <f>IFERROR(__xludf.DUMMYFUNCTION("""COMPUTED_VALUE"""),0.5)</f>
        <v>0.5</v>
      </c>
      <c r="S4120" s="4" t="str">
        <f>IFERROR(__xludf.DUMMYFUNCTION("""COMPUTED_VALUE"""),"Saipos Serviços De Software")</f>
        <v>Saipos Serviços De Software</v>
      </c>
      <c r="T4120" s="33">
        <f>IFERROR(__xludf.DUMMYFUNCTION("""COMPUTED_VALUE"""),0.5)</f>
        <v>0.5</v>
      </c>
      <c r="U4120" s="4" t="str">
        <f>IFERROR(__xludf.DUMMYFUNCTION("""COMPUTED_VALUE"""),"Saipos Serviços De Software")</f>
        <v>Saipos Serviços De Software</v>
      </c>
      <c r="V4120" s="33">
        <f>IFERROR(__xludf.DUMMYFUNCTION("""COMPUTED_VALUE"""),0.5)</f>
        <v>0.5</v>
      </c>
      <c r="W4120" s="4" t="str">
        <f>IFERROR(__xludf.DUMMYFUNCTION("""COMPUTED_VALUE"""),"Saipos Serviços De Software")</f>
        <v>Saipos Serviços De Software</v>
      </c>
      <c r="X4120" s="33">
        <f>IFERROR(__xludf.DUMMYFUNCTION("""COMPUTED_VALUE"""),0.5)</f>
        <v>0.5</v>
      </c>
    </row>
    <row r="4121">
      <c r="K4121" s="4" t="str">
        <f>IFERROR(__xludf.DUMMYFUNCTION("""COMPUTED_VALUE"""),"HAMBURGUERIA FROIS BURGUER VIDA NOVA")</f>
        <v>HAMBURGUERIA FROIS BURGUER VIDA NOVA</v>
      </c>
      <c r="L4121" s="32">
        <f>IFERROR(__xludf.DUMMYFUNCTION("""COMPUTED_VALUE"""),2.0)</f>
        <v>2</v>
      </c>
      <c r="M4121" s="4" t="str">
        <f>IFERROR(__xludf.DUMMYFUNCTION("""COMPUTED_VALUE"""),"Cardápio Web")</f>
        <v>Cardápio Web</v>
      </c>
      <c r="N4121" s="33">
        <f>IFERROR(__xludf.DUMMYFUNCTION("""COMPUTED_VALUE"""),0.5)</f>
        <v>0.5</v>
      </c>
      <c r="O4121" s="4" t="str">
        <f>IFERROR(__xludf.DUMMYFUNCTION("""COMPUTED_VALUE"""),"Cardápio Web")</f>
        <v>Cardápio Web</v>
      </c>
      <c r="P4121" s="33">
        <f>IFERROR(__xludf.DUMMYFUNCTION("""COMPUTED_VALUE"""),0.5)</f>
        <v>0.5</v>
      </c>
      <c r="Q4121" s="4" t="str">
        <f>IFERROR(__xludf.DUMMYFUNCTION("""COMPUTED_VALUE"""),"Cardápio Web")</f>
        <v>Cardápio Web</v>
      </c>
      <c r="R4121" s="33">
        <f>IFERROR(__xludf.DUMMYFUNCTION("""COMPUTED_VALUE"""),0.5)</f>
        <v>0.5</v>
      </c>
      <c r="S4121" s="4" t="str">
        <f>IFERROR(__xludf.DUMMYFUNCTION("""COMPUTED_VALUE"""),"Cardápio Web")</f>
        <v>Cardápio Web</v>
      </c>
      <c r="T4121" s="33">
        <f>IFERROR(__xludf.DUMMYFUNCTION("""COMPUTED_VALUE"""),0.5)</f>
        <v>0.5</v>
      </c>
      <c r="U4121" s="4" t="str">
        <f>IFERROR(__xludf.DUMMYFUNCTION("""COMPUTED_VALUE"""),"Cardápio Web")</f>
        <v>Cardápio Web</v>
      </c>
      <c r="V4121" s="33">
        <f>IFERROR(__xludf.DUMMYFUNCTION("""COMPUTED_VALUE"""),0.5)</f>
        <v>0.5</v>
      </c>
      <c r="W4121" s="4" t="str">
        <f>IFERROR(__xludf.DUMMYFUNCTION("""COMPUTED_VALUE"""),"Cardápio Web")</f>
        <v>Cardápio Web</v>
      </c>
      <c r="X4121" s="33">
        <f>IFERROR(__xludf.DUMMYFUNCTION("""COMPUTED_VALUE"""),1.0)</f>
        <v>1</v>
      </c>
    </row>
    <row r="4122">
      <c r="K4122" s="4" t="str">
        <f>IFERROR(__xludf.DUMMYFUNCTION("""COMPUTED_VALUE"""),"RESTAURANTE ALGARVE")</f>
        <v>RESTAURANTE ALGARVE</v>
      </c>
      <c r="L4122" s="32">
        <f>IFERROR(__xludf.DUMMYFUNCTION("""COMPUTED_VALUE"""),2.0)</f>
        <v>2</v>
      </c>
      <c r="M4122" s="4" t="str">
        <f>IFERROR(__xludf.DUMMYFUNCTION("""COMPUTED_VALUE"""),"null")</f>
        <v>null</v>
      </c>
      <c r="N4122" s="33">
        <f>IFERROR(__xludf.DUMMYFUNCTION("""COMPUTED_VALUE"""),0.5)</f>
        <v>0.5</v>
      </c>
      <c r="O4122" s="4" t="str">
        <f>IFERROR(__xludf.DUMMYFUNCTION("""COMPUTED_VALUE"""),"null")</f>
        <v>null</v>
      </c>
      <c r="P4122" s="33">
        <f>IFERROR(__xludf.DUMMYFUNCTION("""COMPUTED_VALUE"""),0.5)</f>
        <v>0.5</v>
      </c>
      <c r="Q4122" s="4" t="str">
        <f>IFERROR(__xludf.DUMMYFUNCTION("""COMPUTED_VALUE"""),"null")</f>
        <v>null</v>
      </c>
      <c r="R4122" s="33">
        <f>IFERROR(__xludf.DUMMYFUNCTION("""COMPUTED_VALUE"""),0.5)</f>
        <v>0.5</v>
      </c>
      <c r="S4122" s="4" t="str">
        <f>IFERROR(__xludf.DUMMYFUNCTION("""COMPUTED_VALUE"""),"null")</f>
        <v>null</v>
      </c>
      <c r="T4122" s="33">
        <f>IFERROR(__xludf.DUMMYFUNCTION("""COMPUTED_VALUE"""),0.5)</f>
        <v>0.5</v>
      </c>
      <c r="U4122" s="4" t="str">
        <f>IFERROR(__xludf.DUMMYFUNCTION("""COMPUTED_VALUE"""),"Saipos Serviços De Software")</f>
        <v>Saipos Serviços De Software</v>
      </c>
      <c r="V4122" s="33">
        <f>IFERROR(__xludf.DUMMYFUNCTION("""COMPUTED_VALUE"""),1.0)</f>
        <v>1</v>
      </c>
      <c r="W4122" s="4" t="str">
        <f>IFERROR(__xludf.DUMMYFUNCTION("""COMPUTED_VALUE"""),"Saipos Serviços De Software")</f>
        <v>Saipos Serviços De Software</v>
      </c>
      <c r="X4122" s="33">
        <f>IFERROR(__xludf.DUMMYFUNCTION("""COMPUTED_VALUE"""),1.0)</f>
        <v>1</v>
      </c>
    </row>
    <row r="4123">
      <c r="K4123" s="4" t="str">
        <f>IFERROR(__xludf.DUMMYFUNCTION("""COMPUTED_VALUE"""),"PIZZARIA CALANGO")</f>
        <v>PIZZARIA CALANGO</v>
      </c>
      <c r="L4123" s="32">
        <f>IFERROR(__xludf.DUMMYFUNCTION("""COMPUTED_VALUE"""),2.0)</f>
        <v>2</v>
      </c>
      <c r="M4123" s="4" t="str">
        <f>IFERROR(__xludf.DUMMYFUNCTION("""COMPUTED_VALUE"""),"null")</f>
        <v>null</v>
      </c>
      <c r="N4123" s="33">
        <f>IFERROR(__xludf.DUMMYFUNCTION("""COMPUTED_VALUE"""),0.5)</f>
        <v>0.5</v>
      </c>
      <c r="O4123" s="4" t="str">
        <f>IFERROR(__xludf.DUMMYFUNCTION("""COMPUTED_VALUE"""),"null")</f>
        <v>null</v>
      </c>
      <c r="P4123" s="33">
        <f>IFERROR(__xludf.DUMMYFUNCTION("""COMPUTED_VALUE"""),1.0)</f>
        <v>1</v>
      </c>
      <c r="Q4123" s="4" t="str">
        <f>IFERROR(__xludf.DUMMYFUNCTION("""COMPUTED_VALUE"""),"null")</f>
        <v>null</v>
      </c>
      <c r="R4123" s="33">
        <f>IFERROR(__xludf.DUMMYFUNCTION("""COMPUTED_VALUE"""),1.0)</f>
        <v>1</v>
      </c>
      <c r="S4123" s="4" t="str">
        <f>IFERROR(__xludf.DUMMYFUNCTION("""COMPUTED_VALUE"""),"null")</f>
        <v>null</v>
      </c>
      <c r="T4123" s="33">
        <f>IFERROR(__xludf.DUMMYFUNCTION("""COMPUTED_VALUE"""),1.0)</f>
        <v>1</v>
      </c>
      <c r="U4123" s="4" t="str">
        <f>IFERROR(__xludf.DUMMYFUNCTION("""COMPUTED_VALUE"""),"Cardápio Web")</f>
        <v>Cardápio Web</v>
      </c>
      <c r="V4123" s="33">
        <f>IFERROR(__xludf.DUMMYFUNCTION("""COMPUTED_VALUE"""),1.0)</f>
        <v>1</v>
      </c>
      <c r="W4123" s="4" t="str">
        <f>IFERROR(__xludf.DUMMYFUNCTION("""COMPUTED_VALUE"""),"Cardápio Web")</f>
        <v>Cardápio Web</v>
      </c>
      <c r="X4123" s="33">
        <f>IFERROR(__xludf.DUMMYFUNCTION("""COMPUTED_VALUE"""),1.0)</f>
        <v>1</v>
      </c>
    </row>
    <row r="4124">
      <c r="K4124" s="4" t="str">
        <f>IFERROR(__xludf.DUMMYFUNCTION("""COMPUTED_VALUE"""),"CANTINHO DO CAFE")</f>
        <v>CANTINHO DO CAFE</v>
      </c>
      <c r="L4124" s="32">
        <f>IFERROR(__xludf.DUMMYFUNCTION("""COMPUTED_VALUE"""),2.0)</f>
        <v>2</v>
      </c>
      <c r="M4124" s="4" t="str">
        <f>IFERROR(__xludf.DUMMYFUNCTION("""COMPUTED_VALUE"""),"null")</f>
        <v>null</v>
      </c>
      <c r="N4124" s="33">
        <f>IFERROR(__xludf.DUMMYFUNCTION("""COMPUTED_VALUE"""),0.5)</f>
        <v>0.5</v>
      </c>
      <c r="O4124" s="4" t="str">
        <f>IFERROR(__xludf.DUMMYFUNCTION("""COMPUTED_VALUE"""),"null")</f>
        <v>null</v>
      </c>
      <c r="P4124" s="33">
        <f>IFERROR(__xludf.DUMMYFUNCTION("""COMPUTED_VALUE"""),0.5)</f>
        <v>0.5</v>
      </c>
      <c r="Q4124" s="4" t="str">
        <f>IFERROR(__xludf.DUMMYFUNCTION("""COMPUTED_VALUE"""),"null")</f>
        <v>null</v>
      </c>
      <c r="R4124" s="33">
        <f>IFERROR(__xludf.DUMMYFUNCTION("""COMPUTED_VALUE"""),0.5)</f>
        <v>0.5</v>
      </c>
      <c r="S4124" s="4" t="str">
        <f>IFERROR(__xludf.DUMMYFUNCTION("""COMPUTED_VALUE"""),"Instadelivery")</f>
        <v>Instadelivery</v>
      </c>
      <c r="T4124" s="33">
        <f>IFERROR(__xludf.DUMMYFUNCTION("""COMPUTED_VALUE"""),0.5)</f>
        <v>0.5</v>
      </c>
      <c r="U4124" s="4" t="str">
        <f>IFERROR(__xludf.DUMMYFUNCTION("""COMPUTED_VALUE"""),"Instadelivery")</f>
        <v>Instadelivery</v>
      </c>
      <c r="V4124" s="33">
        <f>IFERROR(__xludf.DUMMYFUNCTION("""COMPUTED_VALUE"""),0.5)</f>
        <v>0.5</v>
      </c>
      <c r="W4124" s="4" t="str">
        <f>IFERROR(__xludf.DUMMYFUNCTION("""COMPUTED_VALUE"""),"Instadelivery")</f>
        <v>Instadelivery</v>
      </c>
      <c r="X4124" s="33">
        <f>IFERROR(__xludf.DUMMYFUNCTION("""COMPUTED_VALUE"""),0.5)</f>
        <v>0.5</v>
      </c>
    </row>
    <row r="4125">
      <c r="K4125" s="4" t="str">
        <f>IFERROR(__xludf.DUMMYFUNCTION("""COMPUTED_VALUE"""),"FRANGO ASSADO")</f>
        <v>FRANGO ASSADO</v>
      </c>
      <c r="L4125" s="32">
        <f>IFERROR(__xludf.DUMMYFUNCTION("""COMPUTED_VALUE"""),2.0)</f>
        <v>2</v>
      </c>
      <c r="M4125" s="4" t="str">
        <f>IFERROR(__xludf.DUMMYFUNCTION("""COMPUTED_VALUE"""),"Brendi")</f>
        <v>Brendi</v>
      </c>
      <c r="N4125" s="33">
        <f>IFERROR(__xludf.DUMMYFUNCTION("""COMPUTED_VALUE"""),0.5)</f>
        <v>0.5</v>
      </c>
      <c r="O4125" s="4" t="str">
        <f>IFERROR(__xludf.DUMMYFUNCTION("""COMPUTED_VALUE"""),"Brendi")</f>
        <v>Brendi</v>
      </c>
      <c r="P4125" s="33">
        <f>IFERROR(__xludf.DUMMYFUNCTION("""COMPUTED_VALUE"""),0.5)</f>
        <v>0.5</v>
      </c>
      <c r="Q4125" s="4" t="str">
        <f>IFERROR(__xludf.DUMMYFUNCTION("""COMPUTED_VALUE"""),"Brendi")</f>
        <v>Brendi</v>
      </c>
      <c r="R4125" s="33">
        <f>IFERROR(__xludf.DUMMYFUNCTION("""COMPUTED_VALUE"""),0.5)</f>
        <v>0.5</v>
      </c>
      <c r="S4125" s="4" t="str">
        <f>IFERROR(__xludf.DUMMYFUNCTION("""COMPUTED_VALUE"""),"Brendi")</f>
        <v>Brendi</v>
      </c>
      <c r="T4125" s="33">
        <f>IFERROR(__xludf.DUMMYFUNCTION("""COMPUTED_VALUE"""),0.5)</f>
        <v>0.5</v>
      </c>
      <c r="U4125" s="4" t="str">
        <f>IFERROR(__xludf.DUMMYFUNCTION("""COMPUTED_VALUE"""),"Brendi")</f>
        <v>Brendi</v>
      </c>
      <c r="V4125" s="33">
        <f>IFERROR(__xludf.DUMMYFUNCTION("""COMPUTED_VALUE"""),0.5)</f>
        <v>0.5</v>
      </c>
      <c r="W4125" s="4" t="str">
        <f>IFERROR(__xludf.DUMMYFUNCTION("""COMPUTED_VALUE"""),"Brendi")</f>
        <v>Brendi</v>
      </c>
      <c r="X4125" s="33">
        <f>IFERROR(__xludf.DUMMYFUNCTION("""COMPUTED_VALUE"""),0.5)</f>
        <v>0.5</v>
      </c>
    </row>
    <row r="4126">
      <c r="K4126" s="4" t="str">
        <f>IFERROR(__xludf.DUMMYFUNCTION("""COMPUTED_VALUE"""),"MINAS PET")</f>
        <v>MINAS PET</v>
      </c>
      <c r="L4126" s="32">
        <f>IFERROR(__xludf.DUMMYFUNCTION("""COMPUTED_VALUE"""),2.0)</f>
        <v>2</v>
      </c>
      <c r="M4126" s="4" t="str">
        <f>IFERROR(__xludf.DUMMYFUNCTION("""COMPUTED_VALUE"""),"N/A (Not found)")</f>
        <v>N/A (Not found)</v>
      </c>
      <c r="N4126" s="33">
        <f>IFERROR(__xludf.DUMMYFUNCTION("""COMPUTED_VALUE"""),0.5)</f>
        <v>0.5</v>
      </c>
      <c r="O4126" s="4" t="str">
        <f>IFERROR(__xludf.DUMMYFUNCTION("""COMPUTED_VALUE"""),"N/A (Not found)")</f>
        <v>N/A (Not found)</v>
      </c>
      <c r="P4126" s="33">
        <f>IFERROR(__xludf.DUMMYFUNCTION("""COMPUTED_VALUE"""),0.5)</f>
        <v>0.5</v>
      </c>
      <c r="Q4126" s="4" t="str">
        <f>IFERROR(__xludf.DUMMYFUNCTION("""COMPUTED_VALUE"""),"N/A (Not found)")</f>
        <v>N/A (Not found)</v>
      </c>
      <c r="R4126" s="33">
        <f>IFERROR(__xludf.DUMMYFUNCTION("""COMPUTED_VALUE"""),0.5)</f>
        <v>0.5</v>
      </c>
      <c r="S4126" s="4" t="str">
        <f>IFERROR(__xludf.DUMMYFUNCTION("""COMPUTED_VALUE"""),"N/A (Not found)")</f>
        <v>N/A (Not found)</v>
      </c>
      <c r="T4126" s="33">
        <f>IFERROR(__xludf.DUMMYFUNCTION("""COMPUTED_VALUE"""),0.5)</f>
        <v>0.5</v>
      </c>
      <c r="U4126" s="4" t="str">
        <f>IFERROR(__xludf.DUMMYFUNCTION("""COMPUTED_VALUE"""),"N/A (Not found)")</f>
        <v>N/A (Not found)</v>
      </c>
      <c r="V4126" s="33">
        <f>IFERROR(__xludf.DUMMYFUNCTION("""COMPUTED_VALUE"""),1.0)</f>
        <v>1</v>
      </c>
      <c r="W4126" s="4" t="str">
        <f>IFERROR(__xludf.DUMMYFUNCTION("""COMPUTED_VALUE"""),"N/A (Not found)")</f>
        <v>N/A (Not found)</v>
      </c>
      <c r="X4126" s="33">
        <f>IFERROR(__xludf.DUMMYFUNCTION("""COMPUTED_VALUE"""),1.0)</f>
        <v>1</v>
      </c>
    </row>
    <row r="4127">
      <c r="K4127" s="4" t="str">
        <f>IFERROR(__xludf.DUMMYFUNCTION("""COMPUTED_VALUE"""),"POINT DA BELEZA")</f>
        <v>POINT DA BELEZA</v>
      </c>
      <c r="L4127" s="32">
        <f>IFERROR(__xludf.DUMMYFUNCTION("""COMPUTED_VALUE"""),2.0)</f>
        <v>2</v>
      </c>
      <c r="M4127" s="4" t="str">
        <f>IFERROR(__xludf.DUMMYFUNCTION("""COMPUTED_VALUE"""),"null")</f>
        <v>null</v>
      </c>
      <c r="N4127" s="33">
        <f>IFERROR(__xludf.DUMMYFUNCTION("""COMPUTED_VALUE"""),1.0)</f>
        <v>1</v>
      </c>
      <c r="O4127" s="4" t="str">
        <f>IFERROR(__xludf.DUMMYFUNCTION("""COMPUTED_VALUE"""),"null")</f>
        <v>null</v>
      </c>
      <c r="P4127" s="33">
        <f>IFERROR(__xludf.DUMMYFUNCTION("""COMPUTED_VALUE"""),0.5)</f>
        <v>0.5</v>
      </c>
      <c r="Q4127" s="4" t="str">
        <f>IFERROR(__xludf.DUMMYFUNCTION("""COMPUTED_VALUE"""),"N/A (Not found)")</f>
        <v>N/A (Not found)</v>
      </c>
      <c r="R4127" s="33">
        <f>IFERROR(__xludf.DUMMYFUNCTION("""COMPUTED_VALUE"""),1.0)</f>
        <v>1</v>
      </c>
      <c r="S4127" s="4" t="str">
        <f>IFERROR(__xludf.DUMMYFUNCTION("""COMPUTED_VALUE"""),"N/A (Not found)")</f>
        <v>N/A (Not found)</v>
      </c>
      <c r="T4127" s="33">
        <f>IFERROR(__xludf.DUMMYFUNCTION("""COMPUTED_VALUE"""),1.0)</f>
        <v>1</v>
      </c>
      <c r="U4127" s="4" t="str">
        <f>IFERROR(__xludf.DUMMYFUNCTION("""COMPUTED_VALUE"""),"N/A (Not found)")</f>
        <v>N/A (Not found)</v>
      </c>
      <c r="V4127" s="33">
        <f>IFERROR(__xludf.DUMMYFUNCTION("""COMPUTED_VALUE"""),1.0)</f>
        <v>1</v>
      </c>
      <c r="W4127" s="4" t="str">
        <f>IFERROR(__xludf.DUMMYFUNCTION("""COMPUTED_VALUE"""),"N/A (Not found)")</f>
        <v>N/A (Not found)</v>
      </c>
      <c r="X4127" s="33">
        <f>IFERROR(__xludf.DUMMYFUNCTION("""COMPUTED_VALUE"""),1.0)</f>
        <v>1</v>
      </c>
    </row>
    <row r="4128">
      <c r="K4128" s="4" t="str">
        <f>IFERROR(__xludf.DUMMYFUNCTION("""COMPUTED_VALUE"""),"BRITOS LANCHES BURGUER, HOT-DOG FRITAS")</f>
        <v>BRITOS LANCHES BURGUER, HOT-DOG FRITAS</v>
      </c>
      <c r="L4128" s="32">
        <f>IFERROR(__xludf.DUMMYFUNCTION("""COMPUTED_VALUE"""),2.0)</f>
        <v>2</v>
      </c>
      <c r="M4128" s="4" t="str">
        <f>IFERROR(__xludf.DUMMYFUNCTION("""COMPUTED_VALUE"""),"Saipos Serviços De Software")</f>
        <v>Saipos Serviços De Software</v>
      </c>
      <c r="N4128" s="33">
        <f>IFERROR(__xludf.DUMMYFUNCTION("""COMPUTED_VALUE"""),1.0)</f>
        <v>1</v>
      </c>
      <c r="O4128" s="4" t="str">
        <f>IFERROR(__xludf.DUMMYFUNCTION("""COMPUTED_VALUE"""),"Saipos Serviços De Software")</f>
        <v>Saipos Serviços De Software</v>
      </c>
      <c r="P4128" s="33">
        <f>IFERROR(__xludf.DUMMYFUNCTION("""COMPUTED_VALUE"""),1.0)</f>
        <v>1</v>
      </c>
      <c r="Q4128" s="4" t="str">
        <f>IFERROR(__xludf.DUMMYFUNCTION("""COMPUTED_VALUE"""),"Saipos Serviços De Software")</f>
        <v>Saipos Serviços De Software</v>
      </c>
      <c r="R4128" s="33">
        <f>IFERROR(__xludf.DUMMYFUNCTION("""COMPUTED_VALUE"""),1.0)</f>
        <v>1</v>
      </c>
      <c r="S4128" s="4" t="str">
        <f>IFERROR(__xludf.DUMMYFUNCTION("""COMPUTED_VALUE"""),"Saipos Serviços De Software")</f>
        <v>Saipos Serviços De Software</v>
      </c>
      <c r="T4128" s="33">
        <f>IFERROR(__xludf.DUMMYFUNCTION("""COMPUTED_VALUE"""),1.0)</f>
        <v>1</v>
      </c>
      <c r="U4128" s="4" t="str">
        <f>IFERROR(__xludf.DUMMYFUNCTION("""COMPUTED_VALUE"""),"null")</f>
        <v>null</v>
      </c>
      <c r="V4128" s="33">
        <f>IFERROR(__xludf.DUMMYFUNCTION("""COMPUTED_VALUE"""),0.5)</f>
        <v>0.5</v>
      </c>
      <c r="W4128" s="4" t="str">
        <f>IFERROR(__xludf.DUMMYFUNCTION("""COMPUTED_VALUE"""),"Saipos Serviços De Software")</f>
        <v>Saipos Serviços De Software</v>
      </c>
      <c r="X4128" s="33">
        <f>IFERROR(__xludf.DUMMYFUNCTION("""COMPUTED_VALUE"""),1.0)</f>
        <v>1</v>
      </c>
    </row>
    <row r="4129">
      <c r="K4129" s="4" t="str">
        <f>IFERROR(__xludf.DUMMYFUNCTION("""COMPUTED_VALUE"""),"ACAI NO GRAU")</f>
        <v>ACAI NO GRAU</v>
      </c>
      <c r="L4129" s="32">
        <f>IFERROR(__xludf.DUMMYFUNCTION("""COMPUTED_VALUE"""),2.0)</f>
        <v>2</v>
      </c>
      <c r="M4129" s="4" t="str">
        <f>IFERROR(__xludf.DUMMYFUNCTION("""COMPUTED_VALUE"""),"Instadelivery")</f>
        <v>Instadelivery</v>
      </c>
      <c r="N4129" s="33">
        <f>IFERROR(__xludf.DUMMYFUNCTION("""COMPUTED_VALUE"""),0.5)</f>
        <v>0.5</v>
      </c>
      <c r="O4129" s="4" t="str">
        <f>IFERROR(__xludf.DUMMYFUNCTION("""COMPUTED_VALUE"""),"null")</f>
        <v>null</v>
      </c>
      <c r="P4129" s="33">
        <f>IFERROR(__xludf.DUMMYFUNCTION("""COMPUTED_VALUE"""),0.5)</f>
        <v>0.5</v>
      </c>
      <c r="Q4129" s="4" t="str">
        <f>IFERROR(__xludf.DUMMYFUNCTION("""COMPUTED_VALUE"""),"null")</f>
        <v>null</v>
      </c>
      <c r="R4129" s="33">
        <f>IFERROR(__xludf.DUMMYFUNCTION("""COMPUTED_VALUE"""),0.5)</f>
        <v>0.5</v>
      </c>
      <c r="S4129" s="4" t="str">
        <f>IFERROR(__xludf.DUMMYFUNCTION("""COMPUTED_VALUE"""),"null")</f>
        <v>null</v>
      </c>
      <c r="T4129" s="33">
        <f>IFERROR(__xludf.DUMMYFUNCTION("""COMPUTED_VALUE"""),1.0)</f>
        <v>1</v>
      </c>
      <c r="U4129" s="4" t="str">
        <f>IFERROR(__xludf.DUMMYFUNCTION("""COMPUTED_VALUE"""),"null")</f>
        <v>null</v>
      </c>
      <c r="V4129" s="33">
        <f>IFERROR(__xludf.DUMMYFUNCTION("""COMPUTED_VALUE"""),1.0)</f>
        <v>1</v>
      </c>
      <c r="W4129" s="4" t="str">
        <f>IFERROR(__xludf.DUMMYFUNCTION("""COMPUTED_VALUE"""),"null")</f>
        <v>null</v>
      </c>
      <c r="X4129" s="33">
        <f>IFERROR(__xludf.DUMMYFUNCTION("""COMPUTED_VALUE"""),1.0)</f>
        <v>1</v>
      </c>
    </row>
    <row r="4130">
      <c r="K4130" s="4" t="str">
        <f>IFERROR(__xludf.DUMMYFUNCTION("""COMPUTED_VALUE"""),"HAMBURGUERIA CHURRAS BURGER")</f>
        <v>HAMBURGUERIA CHURRAS BURGER</v>
      </c>
      <c r="L4130" s="32">
        <f>IFERROR(__xludf.DUMMYFUNCTION("""COMPUTED_VALUE"""),2.0)</f>
        <v>2</v>
      </c>
      <c r="M4130" s="4" t="str">
        <f>IFERROR(__xludf.DUMMYFUNCTION("""COMPUTED_VALUE"""),"Saipos Serviços De Software")</f>
        <v>Saipos Serviços De Software</v>
      </c>
      <c r="N4130" s="33">
        <f>IFERROR(__xludf.DUMMYFUNCTION("""COMPUTED_VALUE"""),0.5)</f>
        <v>0.5</v>
      </c>
      <c r="O4130" s="4" t="str">
        <f>IFERROR(__xludf.DUMMYFUNCTION("""COMPUTED_VALUE"""),"Saipos Serviços De Software")</f>
        <v>Saipos Serviços De Software</v>
      </c>
      <c r="P4130" s="33">
        <f>IFERROR(__xludf.DUMMYFUNCTION("""COMPUTED_VALUE"""),0.5)</f>
        <v>0.5</v>
      </c>
      <c r="Q4130" s="4" t="str">
        <f>IFERROR(__xludf.DUMMYFUNCTION("""COMPUTED_VALUE"""),"Saipos Serviços De Software")</f>
        <v>Saipos Serviços De Software</v>
      </c>
      <c r="R4130" s="33">
        <f>IFERROR(__xludf.DUMMYFUNCTION("""COMPUTED_VALUE"""),0.5)</f>
        <v>0.5</v>
      </c>
      <c r="S4130" s="4" t="str">
        <f>IFERROR(__xludf.DUMMYFUNCTION("""COMPUTED_VALUE"""),"Saipos Serviços De Software")</f>
        <v>Saipos Serviços De Software</v>
      </c>
      <c r="T4130" s="33">
        <f>IFERROR(__xludf.DUMMYFUNCTION("""COMPUTED_VALUE"""),0.5)</f>
        <v>0.5</v>
      </c>
      <c r="U4130" s="4" t="str">
        <f>IFERROR(__xludf.DUMMYFUNCTION("""COMPUTED_VALUE"""),"Saipos Serviços De Software")</f>
        <v>Saipos Serviços De Software</v>
      </c>
      <c r="V4130" s="33">
        <f>IFERROR(__xludf.DUMMYFUNCTION("""COMPUTED_VALUE"""),0.5)</f>
        <v>0.5</v>
      </c>
      <c r="W4130" s="4" t="str">
        <f>IFERROR(__xludf.DUMMYFUNCTION("""COMPUTED_VALUE"""),"Saipos Serviços De Software")</f>
        <v>Saipos Serviços De Software</v>
      </c>
      <c r="X4130" s="33">
        <f>IFERROR(__xludf.DUMMYFUNCTION("""COMPUTED_VALUE"""),0.5)</f>
        <v>0.5</v>
      </c>
    </row>
    <row r="4131">
      <c r="K4131" s="4" t="str">
        <f>IFERROR(__xludf.DUMMYFUNCTION("""COMPUTED_VALUE"""),"BENDITO RESTAURANTE")</f>
        <v>BENDITO RESTAURANTE</v>
      </c>
      <c r="L4131" s="32">
        <f>IFERROR(__xludf.DUMMYFUNCTION("""COMPUTED_VALUE"""),2.0)</f>
        <v>2</v>
      </c>
      <c r="M4131" s="4" t="str">
        <f>IFERROR(__xludf.DUMMYFUNCTION("""COMPUTED_VALUE"""),"null")</f>
        <v>null</v>
      </c>
      <c r="N4131" s="33">
        <f>IFERROR(__xludf.DUMMYFUNCTION("""COMPUTED_VALUE"""),0.5)</f>
        <v>0.5</v>
      </c>
      <c r="O4131" s="4" t="str">
        <f>IFERROR(__xludf.DUMMYFUNCTION("""COMPUTED_VALUE"""),"null")</f>
        <v>null</v>
      </c>
      <c r="P4131" s="33">
        <f>IFERROR(__xludf.DUMMYFUNCTION("""COMPUTED_VALUE"""),0.5)</f>
        <v>0.5</v>
      </c>
      <c r="Q4131" s="4" t="str">
        <f>IFERROR(__xludf.DUMMYFUNCTION("""COMPUTED_VALUE"""),"null")</f>
        <v>null</v>
      </c>
      <c r="R4131" s="33">
        <f>IFERROR(__xludf.DUMMYFUNCTION("""COMPUTED_VALUE"""),1.0)</f>
        <v>1</v>
      </c>
      <c r="S4131" s="4" t="str">
        <f>IFERROR(__xludf.DUMMYFUNCTION("""COMPUTED_VALUE"""),"null")</f>
        <v>null</v>
      </c>
      <c r="T4131" s="33">
        <f>IFERROR(__xludf.DUMMYFUNCTION("""COMPUTED_VALUE"""),0.5)</f>
        <v>0.5</v>
      </c>
      <c r="U4131" s="4" t="str">
        <f>IFERROR(__xludf.DUMMYFUNCTION("""COMPUTED_VALUE"""),"null")</f>
        <v>null</v>
      </c>
      <c r="V4131" s="33">
        <f>IFERROR(__xludf.DUMMYFUNCTION("""COMPUTED_VALUE"""),0.5)</f>
        <v>0.5</v>
      </c>
      <c r="W4131" s="4" t="str">
        <f>IFERROR(__xludf.DUMMYFUNCTION("""COMPUTED_VALUE"""),"Vuca Solution")</f>
        <v>Vuca Solution</v>
      </c>
      <c r="X4131" s="33">
        <f>IFERROR(__xludf.DUMMYFUNCTION("""COMPUTED_VALUE"""),0.5)</f>
        <v>0.5</v>
      </c>
    </row>
    <row r="4132">
      <c r="K4132" s="4" t="str">
        <f>IFERROR(__xludf.DUMMYFUNCTION("""COMPUTED_VALUE"""),"MELHOR SABOR")</f>
        <v>MELHOR SABOR</v>
      </c>
      <c r="L4132" s="32">
        <f>IFERROR(__xludf.DUMMYFUNCTION("""COMPUTED_VALUE"""),2.0)</f>
        <v>2</v>
      </c>
      <c r="M4132" s="4" t="str">
        <f>IFERROR(__xludf.DUMMYFUNCTION("""COMPUTED_VALUE"""),"null")</f>
        <v>null</v>
      </c>
      <c r="N4132" s="33">
        <f>IFERROR(__xludf.DUMMYFUNCTION("""COMPUTED_VALUE"""),0.5)</f>
        <v>0.5</v>
      </c>
      <c r="O4132" s="4" t="str">
        <f>IFERROR(__xludf.DUMMYFUNCTION("""COMPUTED_VALUE"""),"null")</f>
        <v>null</v>
      </c>
      <c r="P4132" s="33">
        <f>IFERROR(__xludf.DUMMYFUNCTION("""COMPUTED_VALUE"""),0.5)</f>
        <v>0.5</v>
      </c>
      <c r="Q4132" s="4" t="str">
        <f>IFERROR(__xludf.DUMMYFUNCTION("""COMPUTED_VALUE"""),"null")</f>
        <v>null</v>
      </c>
      <c r="R4132" s="33">
        <f>IFERROR(__xludf.DUMMYFUNCTION("""COMPUTED_VALUE"""),0.5)</f>
        <v>0.5</v>
      </c>
      <c r="S4132" s="4" t="str">
        <f>IFERROR(__xludf.DUMMYFUNCTION("""COMPUTED_VALUE"""),"Deeliv")</f>
        <v>Deeliv</v>
      </c>
      <c r="T4132" s="33">
        <f>IFERROR(__xludf.DUMMYFUNCTION("""COMPUTED_VALUE"""),0.5)</f>
        <v>0.5</v>
      </c>
      <c r="U4132" s="4" t="str">
        <f>IFERROR(__xludf.DUMMYFUNCTION("""COMPUTED_VALUE"""),"Deeliv")</f>
        <v>Deeliv</v>
      </c>
      <c r="V4132" s="33">
        <f>IFERROR(__xludf.DUMMYFUNCTION("""COMPUTED_VALUE"""),0.5)</f>
        <v>0.5</v>
      </c>
      <c r="W4132" s="4" t="str">
        <f>IFERROR(__xludf.DUMMYFUNCTION("""COMPUTED_VALUE"""),"Deeliv")</f>
        <v>Deeliv</v>
      </c>
      <c r="X4132" s="33">
        <f>IFERROR(__xludf.DUMMYFUNCTION("""COMPUTED_VALUE"""),0.5)</f>
        <v>0.5</v>
      </c>
    </row>
    <row r="4133">
      <c r="K4133" s="4" t="str">
        <f>IFERROR(__xludf.DUMMYFUNCTION("""COMPUTED_VALUE"""),"PIZZARIA BELLA PIZZA DELIVERY")</f>
        <v>PIZZARIA BELLA PIZZA DELIVERY</v>
      </c>
      <c r="L4133" s="32">
        <f>IFERROR(__xludf.DUMMYFUNCTION("""COMPUTED_VALUE"""),2.0)</f>
        <v>2</v>
      </c>
      <c r="M4133" s="4" t="str">
        <f>IFERROR(__xludf.DUMMYFUNCTION("""COMPUTED_VALUE"""),"null")</f>
        <v>null</v>
      </c>
      <c r="N4133" s="33">
        <f>IFERROR(__xludf.DUMMYFUNCTION("""COMPUTED_VALUE"""),0.5)</f>
        <v>0.5</v>
      </c>
      <c r="O4133" s="4" t="str">
        <f>IFERROR(__xludf.DUMMYFUNCTION("""COMPUTED_VALUE"""),"null")</f>
        <v>null</v>
      </c>
      <c r="P4133" s="33">
        <f>IFERROR(__xludf.DUMMYFUNCTION("""COMPUTED_VALUE"""),0.5)</f>
        <v>0.5</v>
      </c>
      <c r="Q4133" s="4" t="str">
        <f>IFERROR(__xludf.DUMMYFUNCTION("""COMPUTED_VALUE"""),"null")</f>
        <v>null</v>
      </c>
      <c r="R4133" s="33">
        <f>IFERROR(__xludf.DUMMYFUNCTION("""COMPUTED_VALUE"""),1.0)</f>
        <v>1</v>
      </c>
      <c r="S4133" s="4" t="str">
        <f>IFERROR(__xludf.DUMMYFUNCTION("""COMPUTED_VALUE"""),"null")</f>
        <v>null</v>
      </c>
      <c r="T4133" s="33">
        <f>IFERROR(__xludf.DUMMYFUNCTION("""COMPUTED_VALUE"""),1.0)</f>
        <v>1</v>
      </c>
      <c r="U4133" s="4" t="str">
        <f>IFERROR(__xludf.DUMMYFUNCTION("""COMPUTED_VALUE"""),"null")</f>
        <v>null</v>
      </c>
      <c r="V4133" s="33">
        <f>IFERROR(__xludf.DUMMYFUNCTION("""COMPUTED_VALUE"""),0.5)</f>
        <v>0.5</v>
      </c>
      <c r="W4133" s="4" t="str">
        <f>IFERROR(__xludf.DUMMYFUNCTION("""COMPUTED_VALUE"""),"Bbifood")</f>
        <v>Bbifood</v>
      </c>
      <c r="X4133" s="33">
        <f>IFERROR(__xludf.DUMMYFUNCTION("""COMPUTED_VALUE"""),1.0)</f>
        <v>1</v>
      </c>
    </row>
    <row r="4134">
      <c r="K4134" s="4" t="str">
        <f>IFERROR(__xludf.DUMMYFUNCTION("""COMPUTED_VALUE"""),"LA PRIZE HAMBURGUERIA")</f>
        <v>LA PRIZE HAMBURGUERIA</v>
      </c>
      <c r="L4134" s="32">
        <f>IFERROR(__xludf.DUMMYFUNCTION("""COMPUTED_VALUE"""),2.0)</f>
        <v>2</v>
      </c>
      <c r="M4134" s="4" t="str">
        <f>IFERROR(__xludf.DUMMYFUNCTION("""COMPUTED_VALUE"""),"Cardápio Web")</f>
        <v>Cardápio Web</v>
      </c>
      <c r="N4134" s="33">
        <f>IFERROR(__xludf.DUMMYFUNCTION("""COMPUTED_VALUE"""),0.5)</f>
        <v>0.5</v>
      </c>
      <c r="O4134" s="4" t="str">
        <f>IFERROR(__xludf.DUMMYFUNCTION("""COMPUTED_VALUE"""),"Cardápio Web")</f>
        <v>Cardápio Web</v>
      </c>
      <c r="P4134" s="33">
        <f>IFERROR(__xludf.DUMMYFUNCTION("""COMPUTED_VALUE"""),1.0)</f>
        <v>1</v>
      </c>
      <c r="Q4134" s="4" t="str">
        <f>IFERROR(__xludf.DUMMYFUNCTION("""COMPUTED_VALUE"""),"Cardápio Web")</f>
        <v>Cardápio Web</v>
      </c>
      <c r="R4134" s="33">
        <f>IFERROR(__xludf.DUMMYFUNCTION("""COMPUTED_VALUE"""),1.0)</f>
        <v>1</v>
      </c>
      <c r="S4134" s="4" t="str">
        <f>IFERROR(__xludf.DUMMYFUNCTION("""COMPUTED_VALUE"""),"null")</f>
        <v>null</v>
      </c>
      <c r="T4134" s="33">
        <f>IFERROR(__xludf.DUMMYFUNCTION("""COMPUTED_VALUE"""),0.5)</f>
        <v>0.5</v>
      </c>
      <c r="U4134" s="4" t="str">
        <f>IFERROR(__xludf.DUMMYFUNCTION("""COMPUTED_VALUE"""),"null")</f>
        <v>null</v>
      </c>
      <c r="V4134" s="33">
        <f>IFERROR(__xludf.DUMMYFUNCTION("""COMPUTED_VALUE"""),0.5)</f>
        <v>0.5</v>
      </c>
      <c r="W4134" s="4" t="str">
        <f>IFERROR(__xludf.DUMMYFUNCTION("""COMPUTED_VALUE"""),"null")</f>
        <v>null</v>
      </c>
      <c r="X4134" s="33">
        <f>IFERROR(__xludf.DUMMYFUNCTION("""COMPUTED_VALUE"""),0.5)</f>
        <v>0.5</v>
      </c>
    </row>
    <row r="4135">
      <c r="K4135" s="4" t="str">
        <f>IFERROR(__xludf.DUMMYFUNCTION("""COMPUTED_VALUE"""),"BOM SUSHI")</f>
        <v>BOM SUSHI</v>
      </c>
      <c r="L4135" s="32">
        <f>IFERROR(__xludf.DUMMYFUNCTION("""COMPUTED_VALUE"""),2.0)</f>
        <v>2</v>
      </c>
      <c r="M4135" s="4" t="str">
        <f>IFERROR(__xludf.DUMMYFUNCTION("""COMPUTED_VALUE"""),"null")</f>
        <v>null</v>
      </c>
      <c r="N4135" s="33">
        <f>IFERROR(__xludf.DUMMYFUNCTION("""COMPUTED_VALUE"""),0.5)</f>
        <v>0.5</v>
      </c>
      <c r="O4135" s="4" t="str">
        <f>IFERROR(__xludf.DUMMYFUNCTION("""COMPUTED_VALUE"""),"Olaclick")</f>
        <v>Olaclick</v>
      </c>
      <c r="P4135" s="33">
        <f>IFERROR(__xludf.DUMMYFUNCTION("""COMPUTED_VALUE"""),0.5)</f>
        <v>0.5</v>
      </c>
      <c r="Q4135" s="4" t="str">
        <f>IFERROR(__xludf.DUMMYFUNCTION("""COMPUTED_VALUE"""),"Olaclick")</f>
        <v>Olaclick</v>
      </c>
      <c r="R4135" s="33">
        <f>IFERROR(__xludf.DUMMYFUNCTION("""COMPUTED_VALUE"""),0.5)</f>
        <v>0.5</v>
      </c>
      <c r="S4135" s="4" t="str">
        <f>IFERROR(__xludf.DUMMYFUNCTION("""COMPUTED_VALUE"""),"Olaclick")</f>
        <v>Olaclick</v>
      </c>
      <c r="T4135" s="33">
        <f>IFERROR(__xludf.DUMMYFUNCTION("""COMPUTED_VALUE"""),0.5)</f>
        <v>0.5</v>
      </c>
      <c r="U4135" s="4" t="str">
        <f>IFERROR(__xludf.DUMMYFUNCTION("""COMPUTED_VALUE"""),"Olaclick")</f>
        <v>Olaclick</v>
      </c>
      <c r="V4135" s="33">
        <f>IFERROR(__xludf.DUMMYFUNCTION("""COMPUTED_VALUE"""),0.5)</f>
        <v>0.5</v>
      </c>
      <c r="W4135" s="4" t="str">
        <f>IFERROR(__xludf.DUMMYFUNCTION("""COMPUTED_VALUE"""),"Olaclick")</f>
        <v>Olaclick</v>
      </c>
      <c r="X4135" s="33">
        <f>IFERROR(__xludf.DUMMYFUNCTION("""COMPUTED_VALUE"""),0.5)</f>
        <v>0.5</v>
      </c>
    </row>
    <row r="4136">
      <c r="K4136" s="4" t="str">
        <f>IFERROR(__xludf.DUMMYFUNCTION("""COMPUTED_VALUE"""),"QUINTAL SEU ANTONIO")</f>
        <v>QUINTAL SEU ANTONIO</v>
      </c>
      <c r="L4136" s="32">
        <f>IFERROR(__xludf.DUMMYFUNCTION("""COMPUTED_VALUE"""),2.0)</f>
        <v>2</v>
      </c>
      <c r="M4136" s="4" t="str">
        <f>IFERROR(__xludf.DUMMYFUNCTION("""COMPUTED_VALUE"""),"Jclan Sistemas")</f>
        <v>Jclan Sistemas</v>
      </c>
      <c r="N4136" s="33">
        <f>IFERROR(__xludf.DUMMYFUNCTION("""COMPUTED_VALUE"""),1.0)</f>
        <v>1</v>
      </c>
      <c r="O4136" s="4" t="str">
        <f>IFERROR(__xludf.DUMMYFUNCTION("""COMPUTED_VALUE"""),"null")</f>
        <v>null</v>
      </c>
      <c r="P4136" s="33">
        <f>IFERROR(__xludf.DUMMYFUNCTION("""COMPUTED_VALUE"""),0.5)</f>
        <v>0.5</v>
      </c>
      <c r="Q4136" s="4" t="str">
        <f>IFERROR(__xludf.DUMMYFUNCTION("""COMPUTED_VALUE"""),"null")</f>
        <v>null</v>
      </c>
      <c r="R4136" s="33">
        <f>IFERROR(__xludf.DUMMYFUNCTION("""COMPUTED_VALUE"""),0.5)</f>
        <v>0.5</v>
      </c>
      <c r="S4136" s="4" t="str">
        <f>IFERROR(__xludf.DUMMYFUNCTION("""COMPUTED_VALUE"""),"null")</f>
        <v>null</v>
      </c>
      <c r="T4136" s="33">
        <f>IFERROR(__xludf.DUMMYFUNCTION("""COMPUTED_VALUE"""),0.5)</f>
        <v>0.5</v>
      </c>
      <c r="U4136" s="4" t="str">
        <f>IFERROR(__xludf.DUMMYFUNCTION("""COMPUTED_VALUE"""),"Jclan Sistemas")</f>
        <v>Jclan Sistemas</v>
      </c>
      <c r="V4136" s="33">
        <f>IFERROR(__xludf.DUMMYFUNCTION("""COMPUTED_VALUE"""),1.0)</f>
        <v>1</v>
      </c>
      <c r="W4136" s="4" t="str">
        <f>IFERROR(__xludf.DUMMYFUNCTION("""COMPUTED_VALUE"""),"Jclan Sistemas")</f>
        <v>Jclan Sistemas</v>
      </c>
      <c r="X4136" s="33">
        <f>IFERROR(__xludf.DUMMYFUNCTION("""COMPUTED_VALUE"""),1.0)</f>
        <v>1</v>
      </c>
    </row>
    <row r="4137">
      <c r="K4137" s="4" t="str">
        <f>IFERROR(__xludf.DUMMYFUNCTION("""COMPUTED_VALUE"""),"PETISCOS CIA")</f>
        <v>PETISCOS CIA</v>
      </c>
      <c r="L4137" s="32">
        <f>IFERROR(__xludf.DUMMYFUNCTION("""COMPUTED_VALUE"""),2.0)</f>
        <v>2</v>
      </c>
      <c r="M4137" s="4" t="str">
        <f>IFERROR(__xludf.DUMMYFUNCTION("""COMPUTED_VALUE"""),"Consumer Soluções Em Tecnologia Ltda")</f>
        <v>Consumer Soluções Em Tecnologia Ltda</v>
      </c>
      <c r="N4137" s="33">
        <f>IFERROR(__xludf.DUMMYFUNCTION("""COMPUTED_VALUE"""),0.5)</f>
        <v>0.5</v>
      </c>
      <c r="O4137" s="4" t="str">
        <f>IFERROR(__xludf.DUMMYFUNCTION("""COMPUTED_VALUE"""),"Consumer Soluções Em Tecnologia Ltda")</f>
        <v>Consumer Soluções Em Tecnologia Ltda</v>
      </c>
      <c r="P4137" s="33">
        <f>IFERROR(__xludf.DUMMYFUNCTION("""COMPUTED_VALUE"""),0.5)</f>
        <v>0.5</v>
      </c>
      <c r="Q4137" s="4" t="str">
        <f>IFERROR(__xludf.DUMMYFUNCTION("""COMPUTED_VALUE"""),"Consumer Soluções Em Tecnologia Ltda")</f>
        <v>Consumer Soluções Em Tecnologia Ltda</v>
      </c>
      <c r="R4137" s="33">
        <f>IFERROR(__xludf.DUMMYFUNCTION("""COMPUTED_VALUE"""),0.5)</f>
        <v>0.5</v>
      </c>
      <c r="S4137" s="4" t="str">
        <f>IFERROR(__xludf.DUMMYFUNCTION("""COMPUTED_VALUE"""),"Consumer Soluções Em Tecnologia Ltda")</f>
        <v>Consumer Soluções Em Tecnologia Ltda</v>
      </c>
      <c r="T4137" s="33">
        <f>IFERROR(__xludf.DUMMYFUNCTION("""COMPUTED_VALUE"""),0.5)</f>
        <v>0.5</v>
      </c>
      <c r="U4137" s="4" t="str">
        <f>IFERROR(__xludf.DUMMYFUNCTION("""COMPUTED_VALUE"""),"Consumer Soluções Em Tecnologia Ltda")</f>
        <v>Consumer Soluções Em Tecnologia Ltda</v>
      </c>
      <c r="V4137" s="33">
        <f>IFERROR(__xludf.DUMMYFUNCTION("""COMPUTED_VALUE"""),0.5)</f>
        <v>0.5</v>
      </c>
      <c r="W4137" s="4" t="str">
        <f>IFERROR(__xludf.DUMMYFUNCTION("""COMPUTED_VALUE"""),"Consumer Soluções Em Tecnologia Ltda")</f>
        <v>Consumer Soluções Em Tecnologia Ltda</v>
      </c>
      <c r="X4137" s="33">
        <f>IFERROR(__xludf.DUMMYFUNCTION("""COMPUTED_VALUE"""),0.5)</f>
        <v>0.5</v>
      </c>
    </row>
    <row r="4138">
      <c r="K4138" s="4" t="str">
        <f>IFERROR(__xludf.DUMMYFUNCTION("""COMPUTED_VALUE"""),"BIG PIZZA GRANDE PIZZARIA GOIANIA PIZZA DE CALABRESA PIZZA PERTO FRANGO COM CATU")</f>
        <v>BIG PIZZA GRANDE PIZZARIA GOIANIA PIZZA DE CALABRESA PIZZA PERTO FRANGO COM CATU</v>
      </c>
      <c r="L4138" s="32">
        <f>IFERROR(__xludf.DUMMYFUNCTION("""COMPUTED_VALUE"""),2.0)</f>
        <v>2</v>
      </c>
      <c r="M4138" s="4" t="str">
        <f>IFERROR(__xludf.DUMMYFUNCTION("""COMPUTED_VALUE"""),"Saipos Serviços De Software")</f>
        <v>Saipos Serviços De Software</v>
      </c>
      <c r="N4138" s="33">
        <f>IFERROR(__xludf.DUMMYFUNCTION("""COMPUTED_VALUE"""),1.0)</f>
        <v>1</v>
      </c>
      <c r="O4138" s="4" t="str">
        <f>IFERROR(__xludf.DUMMYFUNCTION("""COMPUTED_VALUE"""),"null")</f>
        <v>null</v>
      </c>
      <c r="P4138" s="33">
        <f>IFERROR(__xludf.DUMMYFUNCTION("""COMPUTED_VALUE"""),0.5)</f>
        <v>0.5</v>
      </c>
      <c r="Q4138" s="4" t="str">
        <f>IFERROR(__xludf.DUMMYFUNCTION("""COMPUTED_VALUE"""),"Saipos Serviços De Software")</f>
        <v>Saipos Serviços De Software</v>
      </c>
      <c r="R4138" s="33">
        <f>IFERROR(__xludf.DUMMYFUNCTION("""COMPUTED_VALUE"""),0.5)</f>
        <v>0.5</v>
      </c>
      <c r="S4138" s="4" t="str">
        <f>IFERROR(__xludf.DUMMYFUNCTION("""COMPUTED_VALUE"""),"null")</f>
        <v>null</v>
      </c>
      <c r="T4138" s="33">
        <f>IFERROR(__xludf.DUMMYFUNCTION("""COMPUTED_VALUE"""),1.0)</f>
        <v>1</v>
      </c>
      <c r="U4138" s="4" t="str">
        <f>IFERROR(__xludf.DUMMYFUNCTION("""COMPUTED_VALUE"""),"null")</f>
        <v>null</v>
      </c>
      <c r="V4138" s="33">
        <f>IFERROR(__xludf.DUMMYFUNCTION("""COMPUTED_VALUE"""),0.5)</f>
        <v>0.5</v>
      </c>
      <c r="W4138" s="4" t="str">
        <f>IFERROR(__xludf.DUMMYFUNCTION("""COMPUTED_VALUE"""),"null")</f>
        <v>null</v>
      </c>
      <c r="X4138" s="33">
        <f>IFERROR(__xludf.DUMMYFUNCTION("""COMPUTED_VALUE"""),0.5)</f>
        <v>0.5</v>
      </c>
    </row>
    <row r="4139">
      <c r="K4139" s="4" t="str">
        <f>IFERROR(__xludf.DUMMYFUNCTION("""COMPUTED_VALUE"""),"ACAIDEIRA")</f>
        <v>ACAIDEIRA</v>
      </c>
      <c r="L4139" s="32">
        <f>IFERROR(__xludf.DUMMYFUNCTION("""COMPUTED_VALUE"""),2.0)</f>
        <v>2</v>
      </c>
      <c r="M4139" s="4" t="str">
        <f>IFERROR(__xludf.DUMMYFUNCTION("""COMPUTED_VALUE"""),"null")</f>
        <v>null</v>
      </c>
      <c r="N4139" s="33">
        <f>IFERROR(__xludf.DUMMYFUNCTION("""COMPUTED_VALUE"""),1.0)</f>
        <v>1</v>
      </c>
      <c r="O4139" s="4" t="str">
        <f>IFERROR(__xludf.DUMMYFUNCTION("""COMPUTED_VALUE"""),"null")</f>
        <v>null</v>
      </c>
      <c r="P4139" s="33">
        <f>IFERROR(__xludf.DUMMYFUNCTION("""COMPUTED_VALUE"""),1.0)</f>
        <v>1</v>
      </c>
      <c r="Q4139" s="4" t="str">
        <f>IFERROR(__xludf.DUMMYFUNCTION("""COMPUTED_VALUE"""),"null")</f>
        <v>null</v>
      </c>
      <c r="R4139" s="33">
        <f>IFERROR(__xludf.DUMMYFUNCTION("""COMPUTED_VALUE"""),1.0)</f>
        <v>1</v>
      </c>
      <c r="S4139" s="4" t="str">
        <f>IFERROR(__xludf.DUMMYFUNCTION("""COMPUTED_VALUE"""),"null")</f>
        <v>null</v>
      </c>
      <c r="T4139" s="33">
        <f>IFERROR(__xludf.DUMMYFUNCTION("""COMPUTED_VALUE"""),1.0)</f>
        <v>1</v>
      </c>
      <c r="U4139" s="4" t="str">
        <f>IFERROR(__xludf.DUMMYFUNCTION("""COMPUTED_VALUE"""),"Dev10 Soluções Em Sotfware Ltda")</f>
        <v>Dev10 Soluções Em Sotfware Ltda</v>
      </c>
      <c r="V4139" s="33">
        <f>IFERROR(__xludf.DUMMYFUNCTION("""COMPUTED_VALUE"""),0.5)</f>
        <v>0.5</v>
      </c>
      <c r="W4139" s="4" t="str">
        <f>IFERROR(__xludf.DUMMYFUNCTION("""COMPUTED_VALUE"""),"null")</f>
        <v>null</v>
      </c>
      <c r="X4139" s="33">
        <f>IFERROR(__xludf.DUMMYFUNCTION("""COMPUTED_VALUE"""),0.5)</f>
        <v>0.5</v>
      </c>
    </row>
    <row r="4140">
      <c r="K4140" s="4" t="str">
        <f>IFERROR(__xludf.DUMMYFUNCTION("""COMPUTED_VALUE"""),"ACAI DA CORONEL")</f>
        <v>ACAI DA CORONEL</v>
      </c>
      <c r="L4140" s="32">
        <f>IFERROR(__xludf.DUMMYFUNCTION("""COMPUTED_VALUE"""),2.0)</f>
        <v>2</v>
      </c>
      <c r="M4140" s="4" t="str">
        <f>IFERROR(__xludf.DUMMYFUNCTION("""COMPUTED_VALUE"""),"null")</f>
        <v>null</v>
      </c>
      <c r="N4140" s="33">
        <f>IFERROR(__xludf.DUMMYFUNCTION("""COMPUTED_VALUE"""),1.0)</f>
        <v>1</v>
      </c>
      <c r="O4140" s="4" t="str">
        <f>IFERROR(__xludf.DUMMYFUNCTION("""COMPUTED_VALUE"""),"null")</f>
        <v>null</v>
      </c>
      <c r="P4140" s="33">
        <f>IFERROR(__xludf.DUMMYFUNCTION("""COMPUTED_VALUE"""),0.5)</f>
        <v>0.5</v>
      </c>
      <c r="Q4140" s="4" t="str">
        <f>IFERROR(__xludf.DUMMYFUNCTION("""COMPUTED_VALUE"""),"Saipos Serviços De Software")</f>
        <v>Saipos Serviços De Software</v>
      </c>
      <c r="R4140" s="33">
        <f>IFERROR(__xludf.DUMMYFUNCTION("""COMPUTED_VALUE"""),0.5)</f>
        <v>0.5</v>
      </c>
      <c r="S4140" s="4" t="str">
        <f>IFERROR(__xludf.DUMMYFUNCTION("""COMPUTED_VALUE"""),"Saipos Serviços De Software")</f>
        <v>Saipos Serviços De Software</v>
      </c>
      <c r="T4140" s="33">
        <f>IFERROR(__xludf.DUMMYFUNCTION("""COMPUTED_VALUE"""),1.0)</f>
        <v>1</v>
      </c>
      <c r="U4140" s="4" t="str">
        <f>IFERROR(__xludf.DUMMYFUNCTION("""COMPUTED_VALUE"""),"Saipos Serviços De Software")</f>
        <v>Saipos Serviços De Software</v>
      </c>
      <c r="V4140" s="33">
        <f>IFERROR(__xludf.DUMMYFUNCTION("""COMPUTED_VALUE"""),1.0)</f>
        <v>1</v>
      </c>
      <c r="W4140" s="4" t="str">
        <f>IFERROR(__xludf.DUMMYFUNCTION("""COMPUTED_VALUE"""),"Saipos Serviços De Software")</f>
        <v>Saipos Serviços De Software</v>
      </c>
      <c r="X4140" s="33">
        <f>IFERROR(__xludf.DUMMYFUNCTION("""COMPUTED_VALUE"""),1.0)</f>
        <v>1</v>
      </c>
    </row>
    <row r="4141">
      <c r="K4141" s="4" t="str">
        <f>IFERROR(__xludf.DUMMYFUNCTION("""COMPUTED_VALUE"""),"ZAHTARI ESFIRRARIA")</f>
        <v>ZAHTARI ESFIRRARIA</v>
      </c>
      <c r="L4141" s="32">
        <f>IFERROR(__xludf.DUMMYFUNCTION("""COMPUTED_VALUE"""),2.0)</f>
        <v>2</v>
      </c>
      <c r="M4141" s="4" t="str">
        <f>IFERROR(__xludf.DUMMYFUNCTION("""COMPUTED_VALUE"""),"null")</f>
        <v>null</v>
      </c>
      <c r="N4141" s="33">
        <f>IFERROR(__xludf.DUMMYFUNCTION("""COMPUTED_VALUE"""),0.5)</f>
        <v>0.5</v>
      </c>
      <c r="O4141" s="4" t="str">
        <f>IFERROR(__xludf.DUMMYFUNCTION("""COMPUTED_VALUE"""),"null")</f>
        <v>null</v>
      </c>
      <c r="P4141" s="33">
        <f>IFERROR(__xludf.DUMMYFUNCTION("""COMPUTED_VALUE"""),0.5)</f>
        <v>0.5</v>
      </c>
      <c r="Q4141" s="4" t="str">
        <f>IFERROR(__xludf.DUMMYFUNCTION("""COMPUTED_VALUE"""),"null")</f>
        <v>null</v>
      </c>
      <c r="R4141" s="33">
        <f>IFERROR(__xludf.DUMMYFUNCTION("""COMPUTED_VALUE"""),0.5)</f>
        <v>0.5</v>
      </c>
      <c r="S4141" s="4" t="str">
        <f>IFERROR(__xludf.DUMMYFUNCTION("""COMPUTED_VALUE"""),"Anota Ai Solucoes Digitais S/a")</f>
        <v>Anota Ai Solucoes Digitais S/a</v>
      </c>
      <c r="T4141" s="33">
        <f>IFERROR(__xludf.DUMMYFUNCTION("""COMPUTED_VALUE"""),0.5)</f>
        <v>0.5</v>
      </c>
      <c r="U4141" s="4" t="str">
        <f>IFERROR(__xludf.DUMMYFUNCTION("""COMPUTED_VALUE"""),"Anota Ai Solucoes Digitais S/a")</f>
        <v>Anota Ai Solucoes Digitais S/a</v>
      </c>
      <c r="V4141" s="33">
        <f>IFERROR(__xludf.DUMMYFUNCTION("""COMPUTED_VALUE"""),0.5)</f>
        <v>0.5</v>
      </c>
      <c r="W4141" s="4" t="str">
        <f>IFERROR(__xludf.DUMMYFUNCTION("""COMPUTED_VALUE"""),"Anota Ai Solucoes Digitais S/a")</f>
        <v>Anota Ai Solucoes Digitais S/a</v>
      </c>
      <c r="X4141" s="33">
        <f>IFERROR(__xludf.DUMMYFUNCTION("""COMPUTED_VALUE"""),0.5)</f>
        <v>0.5</v>
      </c>
    </row>
    <row r="4142">
      <c r="K4142" s="4" t="str">
        <f>IFERROR(__xludf.DUMMYFUNCTION("""COMPUTED_VALUE"""),"GELIN DELIVERY")</f>
        <v>GELIN DELIVERY</v>
      </c>
      <c r="L4142" s="32">
        <f>IFERROR(__xludf.DUMMYFUNCTION("""COMPUTED_VALUE"""),2.0)</f>
        <v>2</v>
      </c>
      <c r="M4142" s="4" t="str">
        <f>IFERROR(__xludf.DUMMYFUNCTION("""COMPUTED_VALUE"""),"N/A (Not found)")</f>
        <v>N/A (Not found)</v>
      </c>
      <c r="N4142" s="33">
        <f>IFERROR(__xludf.DUMMYFUNCTION("""COMPUTED_VALUE"""),0.5)</f>
        <v>0.5</v>
      </c>
      <c r="O4142" s="4" t="str">
        <f>IFERROR(__xludf.DUMMYFUNCTION("""COMPUTED_VALUE"""),"N/A (Not found)")</f>
        <v>N/A (Not found)</v>
      </c>
      <c r="P4142" s="33">
        <f>IFERROR(__xludf.DUMMYFUNCTION("""COMPUTED_VALUE"""),0.5)</f>
        <v>0.5</v>
      </c>
      <c r="Q4142" s="4" t="str">
        <f>IFERROR(__xludf.DUMMYFUNCTION("""COMPUTED_VALUE"""),"N/A (Not found)")</f>
        <v>N/A (Not found)</v>
      </c>
      <c r="R4142" s="33">
        <f>IFERROR(__xludf.DUMMYFUNCTION("""COMPUTED_VALUE"""),0.5)</f>
        <v>0.5</v>
      </c>
      <c r="S4142" s="4" t="str">
        <f>IFERROR(__xludf.DUMMYFUNCTION("""COMPUTED_VALUE"""),"N/A (Not found)")</f>
        <v>N/A (Not found)</v>
      </c>
      <c r="T4142" s="33">
        <f>IFERROR(__xludf.DUMMYFUNCTION("""COMPUTED_VALUE"""),0.5)</f>
        <v>0.5</v>
      </c>
      <c r="U4142" s="4" t="str">
        <f>IFERROR(__xludf.DUMMYFUNCTION("""COMPUTED_VALUE"""),"N/A (Not found)")</f>
        <v>N/A (Not found)</v>
      </c>
      <c r="V4142" s="33">
        <f>IFERROR(__xludf.DUMMYFUNCTION("""COMPUTED_VALUE"""),0.5)</f>
        <v>0.5</v>
      </c>
      <c r="W4142" s="4" t="str">
        <f>IFERROR(__xludf.DUMMYFUNCTION("""COMPUTED_VALUE"""),"N/A (Not found)")</f>
        <v>N/A (Not found)</v>
      </c>
      <c r="X4142" s="33">
        <f>IFERROR(__xludf.DUMMYFUNCTION("""COMPUTED_VALUE"""),0.5)</f>
        <v>0.5</v>
      </c>
    </row>
    <row r="4143">
      <c r="K4143" s="4" t="str">
        <f>IFERROR(__xludf.DUMMYFUNCTION("""COMPUTED_VALUE"""),"JF ACAI")</f>
        <v>JF ACAI</v>
      </c>
      <c r="L4143" s="32">
        <f>IFERROR(__xludf.DUMMYFUNCTION("""COMPUTED_VALUE"""),2.0)</f>
        <v>2</v>
      </c>
      <c r="M4143" s="4" t="str">
        <f>IFERROR(__xludf.DUMMYFUNCTION("""COMPUTED_VALUE"""),"Instadelivery")</f>
        <v>Instadelivery</v>
      </c>
      <c r="N4143" s="33">
        <f>IFERROR(__xludf.DUMMYFUNCTION("""COMPUTED_VALUE"""),0.5)</f>
        <v>0.5</v>
      </c>
      <c r="O4143" s="4" t="str">
        <f>IFERROR(__xludf.DUMMYFUNCTION("""COMPUTED_VALUE"""),"Instadelivery")</f>
        <v>Instadelivery</v>
      </c>
      <c r="P4143" s="33">
        <f>IFERROR(__xludf.DUMMYFUNCTION("""COMPUTED_VALUE"""),0.5)</f>
        <v>0.5</v>
      </c>
      <c r="Q4143" s="4" t="str">
        <f>IFERROR(__xludf.DUMMYFUNCTION("""COMPUTED_VALUE"""),"Instadelivery")</f>
        <v>Instadelivery</v>
      </c>
      <c r="R4143" s="33">
        <f>IFERROR(__xludf.DUMMYFUNCTION("""COMPUTED_VALUE"""),0.5)</f>
        <v>0.5</v>
      </c>
      <c r="S4143" s="4" t="str">
        <f>IFERROR(__xludf.DUMMYFUNCTION("""COMPUTED_VALUE"""),"Instadelivery")</f>
        <v>Instadelivery</v>
      </c>
      <c r="T4143" s="33">
        <f>IFERROR(__xludf.DUMMYFUNCTION("""COMPUTED_VALUE"""),1.0)</f>
        <v>1</v>
      </c>
      <c r="U4143" s="4" t="str">
        <f>IFERROR(__xludf.DUMMYFUNCTION("""COMPUTED_VALUE"""),"Instadelivery")</f>
        <v>Instadelivery</v>
      </c>
      <c r="V4143" s="33">
        <f>IFERROR(__xludf.DUMMYFUNCTION("""COMPUTED_VALUE"""),1.0)</f>
        <v>1</v>
      </c>
      <c r="W4143" s="4" t="str">
        <f>IFERROR(__xludf.DUMMYFUNCTION("""COMPUTED_VALUE"""),"Instadelivery")</f>
        <v>Instadelivery</v>
      </c>
      <c r="X4143" s="33">
        <f>IFERROR(__xludf.DUMMYFUNCTION("""COMPUTED_VALUE"""),1.0)</f>
        <v>1</v>
      </c>
    </row>
    <row r="4144">
      <c r="K4144" s="4" t="str">
        <f>IFERROR(__xludf.DUMMYFUNCTION("""COMPUTED_VALUE"""),"SURREAL PIZZARIA")</f>
        <v>SURREAL PIZZARIA</v>
      </c>
      <c r="L4144" s="32">
        <f>IFERROR(__xludf.DUMMYFUNCTION("""COMPUTED_VALUE"""),2.0)</f>
        <v>2</v>
      </c>
      <c r="M4144" s="4" t="str">
        <f>IFERROR(__xludf.DUMMYFUNCTION("""COMPUTED_VALUE"""),"null")</f>
        <v>null</v>
      </c>
      <c r="N4144" s="33">
        <f>IFERROR(__xludf.DUMMYFUNCTION("""COMPUTED_VALUE"""),0.5)</f>
        <v>0.5</v>
      </c>
      <c r="O4144" s="4" t="str">
        <f>IFERROR(__xludf.DUMMYFUNCTION("""COMPUTED_VALUE"""),"null")</f>
        <v>null</v>
      </c>
      <c r="P4144" s="33">
        <f>IFERROR(__xludf.DUMMYFUNCTION("""COMPUTED_VALUE"""),0.5)</f>
        <v>0.5</v>
      </c>
      <c r="Q4144" s="4" t="str">
        <f>IFERROR(__xludf.DUMMYFUNCTION("""COMPUTED_VALUE"""),"null")</f>
        <v>null</v>
      </c>
      <c r="R4144" s="33">
        <f>IFERROR(__xludf.DUMMYFUNCTION("""COMPUTED_VALUE"""),0.5)</f>
        <v>0.5</v>
      </c>
      <c r="S4144" s="4" t="str">
        <f>IFERROR(__xludf.DUMMYFUNCTION("""COMPUTED_VALUE"""),"null")</f>
        <v>null</v>
      </c>
      <c r="T4144" s="33">
        <f>IFERROR(__xludf.DUMMYFUNCTION("""COMPUTED_VALUE"""),0.5)</f>
        <v>0.5</v>
      </c>
      <c r="U4144" s="4" t="str">
        <f>IFERROR(__xludf.DUMMYFUNCTION("""COMPUTED_VALUE"""),"Saipos Serviços De Software")</f>
        <v>Saipos Serviços De Software</v>
      </c>
      <c r="V4144" s="33">
        <f>IFERROR(__xludf.DUMMYFUNCTION("""COMPUTED_VALUE"""),1.0)</f>
        <v>1</v>
      </c>
      <c r="W4144" s="4" t="str">
        <f>IFERROR(__xludf.DUMMYFUNCTION("""COMPUTED_VALUE"""),"Saipos Serviços De Software")</f>
        <v>Saipos Serviços De Software</v>
      </c>
      <c r="X4144" s="33">
        <f>IFERROR(__xludf.DUMMYFUNCTION("""COMPUTED_VALUE"""),1.0)</f>
        <v>1</v>
      </c>
    </row>
    <row r="4145">
      <c r="K4145" s="4" t="str">
        <f>IFERROR(__xludf.DUMMYFUNCTION("""COMPUTED_VALUE"""),"SAZA BEBIDAS")</f>
        <v>SAZA BEBIDAS</v>
      </c>
      <c r="L4145" s="32">
        <f>IFERROR(__xludf.DUMMYFUNCTION("""COMPUTED_VALUE"""),2.0)</f>
        <v>2</v>
      </c>
      <c r="M4145" s="4" t="str">
        <f>IFERROR(__xludf.DUMMYFUNCTION("""COMPUTED_VALUE"""),"N/A (Not found)")</f>
        <v>N/A (Not found)</v>
      </c>
      <c r="N4145" s="33">
        <f>IFERROR(__xludf.DUMMYFUNCTION("""COMPUTED_VALUE"""),0.5)</f>
        <v>0.5</v>
      </c>
      <c r="O4145" s="4" t="str">
        <f>IFERROR(__xludf.DUMMYFUNCTION("""COMPUTED_VALUE"""),"N/A (Not found)")</f>
        <v>N/A (Not found)</v>
      </c>
      <c r="P4145" s="33">
        <f>IFERROR(__xludf.DUMMYFUNCTION("""COMPUTED_VALUE"""),0.5)</f>
        <v>0.5</v>
      </c>
      <c r="Q4145" s="4" t="str">
        <f>IFERROR(__xludf.DUMMYFUNCTION("""COMPUTED_VALUE"""),"N/A (Not found)")</f>
        <v>N/A (Not found)</v>
      </c>
      <c r="R4145" s="33">
        <f>IFERROR(__xludf.DUMMYFUNCTION("""COMPUTED_VALUE"""),0.5)</f>
        <v>0.5</v>
      </c>
      <c r="S4145" s="4" t="str">
        <f>IFERROR(__xludf.DUMMYFUNCTION("""COMPUTED_VALUE"""),"N/A (Not found)")</f>
        <v>N/A (Not found)</v>
      </c>
      <c r="T4145" s="33">
        <f>IFERROR(__xludf.DUMMYFUNCTION("""COMPUTED_VALUE"""),0.5)</f>
        <v>0.5</v>
      </c>
      <c r="U4145" s="4" t="str">
        <f>IFERROR(__xludf.DUMMYFUNCTION("""COMPUTED_VALUE"""),"N/A (Not found)")</f>
        <v>N/A (Not found)</v>
      </c>
      <c r="V4145" s="33">
        <f>IFERROR(__xludf.DUMMYFUNCTION("""COMPUTED_VALUE"""),0.5)</f>
        <v>0.5</v>
      </c>
      <c r="W4145" s="4" t="str">
        <f>IFERROR(__xludf.DUMMYFUNCTION("""COMPUTED_VALUE"""),"N/A (Not found)")</f>
        <v>N/A (Not found)</v>
      </c>
      <c r="X4145" s="33">
        <f>IFERROR(__xludf.DUMMYFUNCTION("""COMPUTED_VALUE"""),0.5)</f>
        <v>0.5</v>
      </c>
    </row>
    <row r="4146">
      <c r="K4146" s="4" t="str">
        <f>IFERROR(__xludf.DUMMYFUNCTION("""COMPUTED_VALUE"""),"TRIBUZYS BURGERS - HAMBURGUERIA")</f>
        <v>TRIBUZYS BURGERS - HAMBURGUERIA</v>
      </c>
      <c r="L4146" s="32">
        <f>IFERROR(__xludf.DUMMYFUNCTION("""COMPUTED_VALUE"""),2.0)</f>
        <v>2</v>
      </c>
      <c r="M4146" s="4" t="str">
        <f>IFERROR(__xludf.DUMMYFUNCTION("""COMPUTED_VALUE"""),"Cardápio Web")</f>
        <v>Cardápio Web</v>
      </c>
      <c r="N4146" s="33">
        <f>IFERROR(__xludf.DUMMYFUNCTION("""COMPUTED_VALUE"""),1.0)</f>
        <v>1</v>
      </c>
      <c r="O4146" s="4" t="str">
        <f>IFERROR(__xludf.DUMMYFUNCTION("""COMPUTED_VALUE"""),"Cardápio Web")</f>
        <v>Cardápio Web</v>
      </c>
      <c r="P4146" s="33">
        <f>IFERROR(__xludf.DUMMYFUNCTION("""COMPUTED_VALUE"""),1.0)</f>
        <v>1</v>
      </c>
      <c r="Q4146" s="4" t="str">
        <f>IFERROR(__xludf.DUMMYFUNCTION("""COMPUTED_VALUE"""),"Cardápio Web")</f>
        <v>Cardápio Web</v>
      </c>
      <c r="R4146" s="33">
        <f>IFERROR(__xludf.DUMMYFUNCTION("""COMPUTED_VALUE"""),1.0)</f>
        <v>1</v>
      </c>
      <c r="S4146" s="4" t="str">
        <f>IFERROR(__xludf.DUMMYFUNCTION("""COMPUTED_VALUE"""),"Cardápio Web")</f>
        <v>Cardápio Web</v>
      </c>
      <c r="T4146" s="33">
        <f>IFERROR(__xludf.DUMMYFUNCTION("""COMPUTED_VALUE"""),0.5)</f>
        <v>0.5</v>
      </c>
      <c r="U4146" s="4" t="str">
        <f>IFERROR(__xludf.DUMMYFUNCTION("""COMPUTED_VALUE"""),"Cardápio Web")</f>
        <v>Cardápio Web</v>
      </c>
      <c r="V4146" s="33">
        <f>IFERROR(__xludf.DUMMYFUNCTION("""COMPUTED_VALUE"""),0.5)</f>
        <v>0.5</v>
      </c>
      <c r="W4146" s="4" t="str">
        <f>IFERROR(__xludf.DUMMYFUNCTION("""COMPUTED_VALUE"""),"Cardápio Web")</f>
        <v>Cardápio Web</v>
      </c>
      <c r="X4146" s="33">
        <f>IFERROR(__xludf.DUMMYFUNCTION("""COMPUTED_VALUE"""),0.5)</f>
        <v>0.5</v>
      </c>
    </row>
    <row r="4147">
      <c r="K4147" s="4" t="str">
        <f>IFERROR(__xludf.DUMMYFUNCTION("""COMPUTED_VALUE"""),"DROGATIVA")</f>
        <v>DROGATIVA</v>
      </c>
      <c r="L4147" s="32">
        <f>IFERROR(__xludf.DUMMYFUNCTION("""COMPUTED_VALUE"""),2.0)</f>
        <v>2</v>
      </c>
      <c r="M4147" s="4" t="str">
        <f>IFERROR(__xludf.DUMMYFUNCTION("""COMPUTED_VALUE"""),"null")</f>
        <v>null</v>
      </c>
      <c r="N4147" s="33">
        <f>IFERROR(__xludf.DUMMYFUNCTION("""COMPUTED_VALUE"""),1.0)</f>
        <v>1</v>
      </c>
      <c r="O4147" s="4" t="str">
        <f>IFERROR(__xludf.DUMMYFUNCTION("""COMPUTED_VALUE"""),"null")</f>
        <v>null</v>
      </c>
      <c r="P4147" s="33">
        <f>IFERROR(__xludf.DUMMYFUNCTION("""COMPUTED_VALUE"""),1.0)</f>
        <v>1</v>
      </c>
      <c r="Q4147" s="4" t="str">
        <f>IFERROR(__xludf.DUMMYFUNCTION("""COMPUTED_VALUE"""),"null")</f>
        <v>null</v>
      </c>
      <c r="R4147" s="33">
        <f>IFERROR(__xludf.DUMMYFUNCTION("""COMPUTED_VALUE"""),1.0)</f>
        <v>1</v>
      </c>
      <c r="S4147" s="4" t="str">
        <f>IFERROR(__xludf.DUMMYFUNCTION("""COMPUTED_VALUE"""),"null")</f>
        <v>null</v>
      </c>
      <c r="T4147" s="33">
        <f>IFERROR(__xludf.DUMMYFUNCTION("""COMPUTED_VALUE"""),1.0)</f>
        <v>1</v>
      </c>
      <c r="U4147" s="4" t="str">
        <f>IFERROR(__xludf.DUMMYFUNCTION("""COMPUTED_VALUE"""),"N/A (Not found)")</f>
        <v>N/A (Not found)</v>
      </c>
      <c r="V4147" s="33">
        <f>IFERROR(__xludf.DUMMYFUNCTION("""COMPUTED_VALUE"""),1.0)</f>
        <v>1</v>
      </c>
      <c r="W4147" s="4" t="str">
        <f>IFERROR(__xludf.DUMMYFUNCTION("""COMPUTED_VALUE"""),"N/A (Not found)")</f>
        <v>N/A (Not found)</v>
      </c>
      <c r="X4147" s="33">
        <f>IFERROR(__xludf.DUMMYFUNCTION("""COMPUTED_VALUE"""),0.5)</f>
        <v>0.5</v>
      </c>
    </row>
    <row r="4148">
      <c r="K4148" s="4" t="str">
        <f>IFERROR(__xludf.DUMMYFUNCTION("""COMPUTED_VALUE"""),"CONFEITARIA IB")</f>
        <v>CONFEITARIA IB</v>
      </c>
      <c r="L4148" s="32">
        <f>IFERROR(__xludf.DUMMYFUNCTION("""COMPUTED_VALUE"""),2.0)</f>
        <v>2</v>
      </c>
      <c r="M4148" s="4" t="str">
        <f>IFERROR(__xludf.DUMMYFUNCTION("""COMPUTED_VALUE"""),"null")</f>
        <v>null</v>
      </c>
      <c r="N4148" s="33">
        <f>IFERROR(__xludf.DUMMYFUNCTION("""COMPUTED_VALUE"""),1.0)</f>
        <v>1</v>
      </c>
      <c r="O4148" s="4" t="str">
        <f>IFERROR(__xludf.DUMMYFUNCTION("""COMPUTED_VALUE"""),"null")</f>
        <v>null</v>
      </c>
      <c r="P4148" s="33">
        <f>IFERROR(__xludf.DUMMYFUNCTION("""COMPUTED_VALUE"""),1.0)</f>
        <v>1</v>
      </c>
      <c r="Q4148" s="4" t="str">
        <f>IFERROR(__xludf.DUMMYFUNCTION("""COMPUTED_VALUE"""),"null")</f>
        <v>null</v>
      </c>
      <c r="R4148" s="33">
        <f>IFERROR(__xludf.DUMMYFUNCTION("""COMPUTED_VALUE"""),1.0)</f>
        <v>1</v>
      </c>
      <c r="S4148" s="4" t="str">
        <f>IFERROR(__xludf.DUMMYFUNCTION("""COMPUTED_VALUE"""),"null")</f>
        <v>null</v>
      </c>
      <c r="T4148" s="33">
        <f>IFERROR(__xludf.DUMMYFUNCTION("""COMPUTED_VALUE"""),1.0)</f>
        <v>1</v>
      </c>
      <c r="U4148" s="4" t="str">
        <f>IFERROR(__xludf.DUMMYFUNCTION("""COMPUTED_VALUE"""),"Instadelivery")</f>
        <v>Instadelivery</v>
      </c>
      <c r="V4148" s="33">
        <f>IFERROR(__xludf.DUMMYFUNCTION("""COMPUTED_VALUE"""),0.5)</f>
        <v>0.5</v>
      </c>
      <c r="W4148" s="4" t="str">
        <f>IFERROR(__xludf.DUMMYFUNCTION("""COMPUTED_VALUE"""),"Instadelivery")</f>
        <v>Instadelivery</v>
      </c>
      <c r="X4148" s="33">
        <f>IFERROR(__xludf.DUMMYFUNCTION("""COMPUTED_VALUE"""),1.0)</f>
        <v>1</v>
      </c>
    </row>
    <row r="4149">
      <c r="K4149" s="4" t="str">
        <f>IFERROR(__xludf.DUMMYFUNCTION("""COMPUTED_VALUE"""),"FARMACIA SANAR")</f>
        <v>FARMACIA SANAR</v>
      </c>
      <c r="L4149" s="32">
        <f>IFERROR(__xludf.DUMMYFUNCTION("""COMPUTED_VALUE"""),2.0)</f>
        <v>2</v>
      </c>
      <c r="M4149" s="4" t="str">
        <f>IFERROR(__xludf.DUMMYFUNCTION("""COMPUTED_VALUE"""),"null")</f>
        <v>null</v>
      </c>
      <c r="N4149" s="33">
        <f>IFERROR(__xludf.DUMMYFUNCTION("""COMPUTED_VALUE"""),1.0)</f>
        <v>1</v>
      </c>
      <c r="O4149" s="4" t="str">
        <f>IFERROR(__xludf.DUMMYFUNCTION("""COMPUTED_VALUE"""),"N/A (Not found)")</f>
        <v>N/A (Not found)</v>
      </c>
      <c r="P4149" s="33">
        <f>IFERROR(__xludf.DUMMYFUNCTION("""COMPUTED_VALUE"""),1.0)</f>
        <v>1</v>
      </c>
      <c r="Q4149" s="4" t="str">
        <f>IFERROR(__xludf.DUMMYFUNCTION("""COMPUTED_VALUE"""),"N/A (Not found)")</f>
        <v>N/A (Not found)</v>
      </c>
      <c r="R4149" s="33">
        <f>IFERROR(__xludf.DUMMYFUNCTION("""COMPUTED_VALUE"""),1.0)</f>
        <v>1</v>
      </c>
      <c r="S4149" s="4" t="str">
        <f>IFERROR(__xludf.DUMMYFUNCTION("""COMPUTED_VALUE"""),"N/A (Not found)")</f>
        <v>N/A (Not found)</v>
      </c>
      <c r="T4149" s="33">
        <f>IFERROR(__xludf.DUMMYFUNCTION("""COMPUTED_VALUE"""),0.5)</f>
        <v>0.5</v>
      </c>
      <c r="U4149" s="4" t="str">
        <f>IFERROR(__xludf.DUMMYFUNCTION("""COMPUTED_VALUE"""),"N/A (Not found)")</f>
        <v>N/A (Not found)</v>
      </c>
      <c r="V4149" s="33">
        <f>IFERROR(__xludf.DUMMYFUNCTION("""COMPUTED_VALUE"""),0.5)</f>
        <v>0.5</v>
      </c>
      <c r="W4149" s="4" t="str">
        <f>IFERROR(__xludf.DUMMYFUNCTION("""COMPUTED_VALUE"""),"N/A (Not found)")</f>
        <v>N/A (Not found)</v>
      </c>
      <c r="X4149" s="33">
        <f>IFERROR(__xludf.DUMMYFUNCTION("""COMPUTED_VALUE"""),0.5)</f>
        <v>0.5</v>
      </c>
    </row>
    <row r="4150">
      <c r="K4150" s="4" t="str">
        <f>IFERROR(__xludf.DUMMYFUNCTION("""COMPUTED_VALUE"""),"JAPABURGUER")</f>
        <v>JAPABURGUER</v>
      </c>
      <c r="L4150" s="32">
        <f>IFERROR(__xludf.DUMMYFUNCTION("""COMPUTED_VALUE"""),2.0)</f>
        <v>2</v>
      </c>
      <c r="M4150" s="4" t="str">
        <f>IFERROR(__xludf.DUMMYFUNCTION("""COMPUTED_VALUE"""),"null")</f>
        <v>null</v>
      </c>
      <c r="N4150" s="33">
        <f>IFERROR(__xludf.DUMMYFUNCTION("""COMPUTED_VALUE"""),0.5)</f>
        <v>0.5</v>
      </c>
      <c r="O4150" s="4" t="str">
        <f>IFERROR(__xludf.DUMMYFUNCTION("""COMPUTED_VALUE"""),"null")</f>
        <v>null</v>
      </c>
      <c r="P4150" s="33">
        <f>IFERROR(__xludf.DUMMYFUNCTION("""COMPUTED_VALUE"""),1.0)</f>
        <v>1</v>
      </c>
      <c r="Q4150" s="4" t="str">
        <f>IFERROR(__xludf.DUMMYFUNCTION("""COMPUTED_VALUE"""),"null")</f>
        <v>null</v>
      </c>
      <c r="R4150" s="33">
        <f>IFERROR(__xludf.DUMMYFUNCTION("""COMPUTED_VALUE"""),1.0)</f>
        <v>1</v>
      </c>
      <c r="S4150" s="4" t="str">
        <f>IFERROR(__xludf.DUMMYFUNCTION("""COMPUTED_VALUE"""),"null")</f>
        <v>null</v>
      </c>
      <c r="T4150" s="33">
        <f>IFERROR(__xludf.DUMMYFUNCTION("""COMPUTED_VALUE"""),1.0)</f>
        <v>1</v>
      </c>
      <c r="U4150" s="4" t="str">
        <f>IFERROR(__xludf.DUMMYFUNCTION("""COMPUTED_VALUE"""),"Saipos Serviços De Software")</f>
        <v>Saipos Serviços De Software</v>
      </c>
      <c r="V4150" s="33">
        <f>IFERROR(__xludf.DUMMYFUNCTION("""COMPUTED_VALUE"""),0.5)</f>
        <v>0.5</v>
      </c>
      <c r="W4150" s="4" t="str">
        <f>IFERROR(__xludf.DUMMYFUNCTION("""COMPUTED_VALUE"""),"null")</f>
        <v>null</v>
      </c>
      <c r="X4150" s="33">
        <f>IFERROR(__xludf.DUMMYFUNCTION("""COMPUTED_VALUE"""),1.0)</f>
        <v>1</v>
      </c>
    </row>
    <row r="4151">
      <c r="K4151" s="4" t="str">
        <f>IFERROR(__xludf.DUMMYFUNCTION("""COMPUTED_VALUE"""),"RECANTO DO SABOR")</f>
        <v>RECANTO DO SABOR</v>
      </c>
      <c r="L4151" s="32">
        <f>IFERROR(__xludf.DUMMYFUNCTION("""COMPUTED_VALUE"""),2.0)</f>
        <v>2</v>
      </c>
      <c r="M4151" s="4" t="str">
        <f>IFERROR(__xludf.DUMMYFUNCTION("""COMPUTED_VALUE"""),"null")</f>
        <v>null</v>
      </c>
      <c r="N4151" s="33">
        <f>IFERROR(__xludf.DUMMYFUNCTION("""COMPUTED_VALUE"""),0.5)</f>
        <v>0.5</v>
      </c>
      <c r="O4151" s="4" t="str">
        <f>IFERROR(__xludf.DUMMYFUNCTION("""COMPUTED_VALUE"""),"null")</f>
        <v>null</v>
      </c>
      <c r="P4151" s="33">
        <f>IFERROR(__xludf.DUMMYFUNCTION("""COMPUTED_VALUE"""),0.5)</f>
        <v>0.5</v>
      </c>
      <c r="Q4151" s="4" t="str">
        <f>IFERROR(__xludf.DUMMYFUNCTION("""COMPUTED_VALUE"""),"null")</f>
        <v>null</v>
      </c>
      <c r="R4151" s="33">
        <f>IFERROR(__xludf.DUMMYFUNCTION("""COMPUTED_VALUE"""),0.5)</f>
        <v>0.5</v>
      </c>
      <c r="S4151" s="4" t="str">
        <f>IFERROR(__xludf.DUMMYFUNCTION("""COMPUTED_VALUE"""),"null")</f>
        <v>null</v>
      </c>
      <c r="T4151" s="33">
        <f>IFERROR(__xludf.DUMMYFUNCTION("""COMPUTED_VALUE"""),0.5)</f>
        <v>0.5</v>
      </c>
      <c r="U4151" s="4" t="str">
        <f>IFERROR(__xludf.DUMMYFUNCTION("""COMPUTED_VALUE"""),"Cardápio Web")</f>
        <v>Cardápio Web</v>
      </c>
      <c r="V4151" s="33">
        <f>IFERROR(__xludf.DUMMYFUNCTION("""COMPUTED_VALUE"""),0.5)</f>
        <v>0.5</v>
      </c>
      <c r="W4151" s="4" t="str">
        <f>IFERROR(__xludf.DUMMYFUNCTION("""COMPUTED_VALUE"""),"Cardápio Web")</f>
        <v>Cardápio Web</v>
      </c>
      <c r="X4151" s="33">
        <f>IFERROR(__xludf.DUMMYFUNCTION("""COMPUTED_VALUE"""),0.5)</f>
        <v>0.5</v>
      </c>
    </row>
    <row r="4152">
      <c r="K4152" s="4" t="str">
        <f>IFERROR(__xludf.DUMMYFUNCTION("""COMPUTED_VALUE"""),"HORA DO ALMOCO")</f>
        <v>HORA DO ALMOCO</v>
      </c>
      <c r="L4152" s="32">
        <f>IFERROR(__xludf.DUMMYFUNCTION("""COMPUTED_VALUE"""),2.0)</f>
        <v>2</v>
      </c>
      <c r="M4152" s="4" t="str">
        <f>IFERROR(__xludf.DUMMYFUNCTION("""COMPUTED_VALUE"""),"null")</f>
        <v>null</v>
      </c>
      <c r="N4152" s="33">
        <f>IFERROR(__xludf.DUMMYFUNCTION("""COMPUTED_VALUE"""),0.5)</f>
        <v>0.5</v>
      </c>
      <c r="O4152" s="4" t="str">
        <f>IFERROR(__xludf.DUMMYFUNCTION("""COMPUTED_VALUE"""),"null")</f>
        <v>null</v>
      </c>
      <c r="P4152" s="33">
        <f>IFERROR(__xludf.DUMMYFUNCTION("""COMPUTED_VALUE"""),0.5)</f>
        <v>0.5</v>
      </c>
      <c r="Q4152" s="4" t="str">
        <f>IFERROR(__xludf.DUMMYFUNCTION("""COMPUTED_VALUE"""),"One Solucoes")</f>
        <v>One Solucoes</v>
      </c>
      <c r="R4152" s="33">
        <f>IFERROR(__xludf.DUMMYFUNCTION("""COMPUTED_VALUE"""),0.5)</f>
        <v>0.5</v>
      </c>
      <c r="S4152" s="4" t="str">
        <f>IFERROR(__xludf.DUMMYFUNCTION("""COMPUTED_VALUE"""),"One Solucoes")</f>
        <v>One Solucoes</v>
      </c>
      <c r="T4152" s="33">
        <f>IFERROR(__xludf.DUMMYFUNCTION("""COMPUTED_VALUE"""),0.5)</f>
        <v>0.5</v>
      </c>
      <c r="U4152" s="4" t="str">
        <f>IFERROR(__xludf.DUMMYFUNCTION("""COMPUTED_VALUE"""),"One Solucoes")</f>
        <v>One Solucoes</v>
      </c>
      <c r="V4152" s="33">
        <f>IFERROR(__xludf.DUMMYFUNCTION("""COMPUTED_VALUE"""),0.5)</f>
        <v>0.5</v>
      </c>
      <c r="W4152" s="4" t="str">
        <f>IFERROR(__xludf.DUMMYFUNCTION("""COMPUTED_VALUE"""),"One Solucoes")</f>
        <v>One Solucoes</v>
      </c>
      <c r="X4152" s="33">
        <f>IFERROR(__xludf.DUMMYFUNCTION("""COMPUTED_VALUE"""),0.5)</f>
        <v>0.5</v>
      </c>
    </row>
    <row r="4153">
      <c r="K4153" s="4" t="str">
        <f>IFERROR(__xludf.DUMMYFUNCTION("""COMPUTED_VALUE"""),"TOP CHEFF HAMBURGUERIA")</f>
        <v>TOP CHEFF HAMBURGUERIA</v>
      </c>
      <c r="L4153" s="32">
        <f>IFERROR(__xludf.DUMMYFUNCTION("""COMPUTED_VALUE"""),2.0)</f>
        <v>2</v>
      </c>
      <c r="M4153" s="4" t="str">
        <f>IFERROR(__xludf.DUMMYFUNCTION("""COMPUTED_VALUE"""),"Beefood - Sistema Para Restaurantes")</f>
        <v>Beefood - Sistema Para Restaurantes</v>
      </c>
      <c r="N4153" s="33">
        <f>IFERROR(__xludf.DUMMYFUNCTION("""COMPUTED_VALUE"""),0.5)</f>
        <v>0.5</v>
      </c>
      <c r="O4153" s="4" t="str">
        <f>IFERROR(__xludf.DUMMYFUNCTION("""COMPUTED_VALUE"""),"Beefood - Sistema Para Restaurantes")</f>
        <v>Beefood - Sistema Para Restaurantes</v>
      </c>
      <c r="P4153" s="33">
        <f>IFERROR(__xludf.DUMMYFUNCTION("""COMPUTED_VALUE"""),0.5)</f>
        <v>0.5</v>
      </c>
      <c r="Q4153" s="4" t="str">
        <f>IFERROR(__xludf.DUMMYFUNCTION("""COMPUTED_VALUE"""),"Beefood - Sistema Para Restaurantes")</f>
        <v>Beefood - Sistema Para Restaurantes</v>
      </c>
      <c r="R4153" s="33">
        <f>IFERROR(__xludf.DUMMYFUNCTION("""COMPUTED_VALUE"""),0.5)</f>
        <v>0.5</v>
      </c>
      <c r="S4153" s="4" t="str">
        <f>IFERROR(__xludf.DUMMYFUNCTION("""COMPUTED_VALUE"""),"null")</f>
        <v>null</v>
      </c>
      <c r="T4153" s="33">
        <f>IFERROR(__xludf.DUMMYFUNCTION("""COMPUTED_VALUE"""),0.5)</f>
        <v>0.5</v>
      </c>
      <c r="U4153" s="4" t="str">
        <f>IFERROR(__xludf.DUMMYFUNCTION("""COMPUTED_VALUE"""),"Beefood - Sistema Para Restaurantes")</f>
        <v>Beefood - Sistema Para Restaurantes</v>
      </c>
      <c r="V4153" s="33">
        <f>IFERROR(__xludf.DUMMYFUNCTION("""COMPUTED_VALUE"""),0.5)</f>
        <v>0.5</v>
      </c>
      <c r="W4153" s="4" t="str">
        <f>IFERROR(__xludf.DUMMYFUNCTION("""COMPUTED_VALUE"""),"null")</f>
        <v>null</v>
      </c>
      <c r="X4153" s="33">
        <f>IFERROR(__xludf.DUMMYFUNCTION("""COMPUTED_VALUE"""),0.5)</f>
        <v>0.5</v>
      </c>
    </row>
    <row r="4154">
      <c r="K4154" s="4" t="str">
        <f>IFERROR(__xludf.DUMMYFUNCTION("""COMPUTED_VALUE"""),"RESTAURANTE DO GAAH")</f>
        <v>RESTAURANTE DO GAAH</v>
      </c>
      <c r="L4154" s="32">
        <f>IFERROR(__xludf.DUMMYFUNCTION("""COMPUTED_VALUE"""),2.0)</f>
        <v>2</v>
      </c>
      <c r="M4154" s="4" t="str">
        <f>IFERROR(__xludf.DUMMYFUNCTION("""COMPUTED_VALUE"""),"Saipos Serviços De Software")</f>
        <v>Saipos Serviços De Software</v>
      </c>
      <c r="N4154" s="33">
        <f>IFERROR(__xludf.DUMMYFUNCTION("""COMPUTED_VALUE"""),1.0)</f>
        <v>1</v>
      </c>
      <c r="O4154" s="4" t="str">
        <f>IFERROR(__xludf.DUMMYFUNCTION("""COMPUTED_VALUE"""),"Saipos Serviços De Software")</f>
        <v>Saipos Serviços De Software</v>
      </c>
      <c r="P4154" s="33">
        <f>IFERROR(__xludf.DUMMYFUNCTION("""COMPUTED_VALUE"""),1.0)</f>
        <v>1</v>
      </c>
      <c r="Q4154" s="4" t="str">
        <f>IFERROR(__xludf.DUMMYFUNCTION("""COMPUTED_VALUE"""),"Saipos Serviços De Software")</f>
        <v>Saipos Serviços De Software</v>
      </c>
      <c r="R4154" s="33">
        <f>IFERROR(__xludf.DUMMYFUNCTION("""COMPUTED_VALUE"""),1.0)</f>
        <v>1</v>
      </c>
      <c r="S4154" s="4" t="str">
        <f>IFERROR(__xludf.DUMMYFUNCTION("""COMPUTED_VALUE"""),"Saipos Serviços De Software")</f>
        <v>Saipos Serviços De Software</v>
      </c>
      <c r="T4154" s="33">
        <f>IFERROR(__xludf.DUMMYFUNCTION("""COMPUTED_VALUE"""),1.0)</f>
        <v>1</v>
      </c>
      <c r="U4154" s="4" t="str">
        <f>IFERROR(__xludf.DUMMYFUNCTION("""COMPUTED_VALUE"""),"Saipos Serviços De Software")</f>
        <v>Saipos Serviços De Software</v>
      </c>
      <c r="V4154" s="33">
        <f>IFERROR(__xludf.DUMMYFUNCTION("""COMPUTED_VALUE"""),1.0)</f>
        <v>1</v>
      </c>
      <c r="W4154" s="4" t="str">
        <f>IFERROR(__xludf.DUMMYFUNCTION("""COMPUTED_VALUE"""),"Saipos Serviços De Software")</f>
        <v>Saipos Serviços De Software</v>
      </c>
      <c r="X4154" s="33">
        <f>IFERROR(__xludf.DUMMYFUNCTION("""COMPUTED_VALUE"""),1.0)</f>
        <v>1</v>
      </c>
    </row>
    <row r="4155">
      <c r="K4155" s="4" t="str">
        <f>IFERROR(__xludf.DUMMYFUNCTION("""COMPUTED_VALUE"""),"FARMACIA VITAFARMA")</f>
        <v>FARMACIA VITAFARMA</v>
      </c>
      <c r="L4155" s="32">
        <f>IFERROR(__xludf.DUMMYFUNCTION("""COMPUTED_VALUE"""),2.0)</f>
        <v>2</v>
      </c>
      <c r="M4155" s="4" t="str">
        <f>IFERROR(__xludf.DUMMYFUNCTION("""COMPUTED_VALUE"""),"N/A (Not found)")</f>
        <v>N/A (Not found)</v>
      </c>
      <c r="N4155" s="33">
        <f>IFERROR(__xludf.DUMMYFUNCTION("""COMPUTED_VALUE"""),0.5)</f>
        <v>0.5</v>
      </c>
      <c r="O4155" s="4" t="str">
        <f>IFERROR(__xludf.DUMMYFUNCTION("""COMPUTED_VALUE"""),"N/A (Not found)")</f>
        <v>N/A (Not found)</v>
      </c>
      <c r="P4155" s="33">
        <f>IFERROR(__xludf.DUMMYFUNCTION("""COMPUTED_VALUE"""),0.5)</f>
        <v>0.5</v>
      </c>
      <c r="Q4155" s="4" t="str">
        <f>IFERROR(__xludf.DUMMYFUNCTION("""COMPUTED_VALUE"""),"N/A (Not found)")</f>
        <v>N/A (Not found)</v>
      </c>
      <c r="R4155" s="33">
        <f>IFERROR(__xludf.DUMMYFUNCTION("""COMPUTED_VALUE"""),1.0)</f>
        <v>1</v>
      </c>
      <c r="S4155" s="4" t="str">
        <f>IFERROR(__xludf.DUMMYFUNCTION("""COMPUTED_VALUE"""),"N/A (Not found)")</f>
        <v>N/A (Not found)</v>
      </c>
      <c r="T4155" s="33">
        <f>IFERROR(__xludf.DUMMYFUNCTION("""COMPUTED_VALUE"""),1.0)</f>
        <v>1</v>
      </c>
      <c r="U4155" s="4" t="str">
        <f>IFERROR(__xludf.DUMMYFUNCTION("""COMPUTED_VALUE"""),"N/A (Not found)")</f>
        <v>N/A (Not found)</v>
      </c>
      <c r="V4155" s="33">
        <f>IFERROR(__xludf.DUMMYFUNCTION("""COMPUTED_VALUE"""),1.0)</f>
        <v>1</v>
      </c>
      <c r="W4155" s="4" t="str">
        <f>IFERROR(__xludf.DUMMYFUNCTION("""COMPUTED_VALUE"""),"N/A (Not found)")</f>
        <v>N/A (Not found)</v>
      </c>
      <c r="X4155" s="33">
        <f>IFERROR(__xludf.DUMMYFUNCTION("""COMPUTED_VALUE"""),0.5)</f>
        <v>0.5</v>
      </c>
    </row>
    <row r="4156">
      <c r="K4156" s="4" t="str">
        <f>IFERROR(__xludf.DUMMYFUNCTION("""COMPUTED_VALUE"""),"PANELA VELHA")</f>
        <v>PANELA VELHA</v>
      </c>
      <c r="L4156" s="32">
        <f>IFERROR(__xludf.DUMMYFUNCTION("""COMPUTED_VALUE"""),2.0)</f>
        <v>2</v>
      </c>
      <c r="M4156" s="4" t="str">
        <f>IFERROR(__xludf.DUMMYFUNCTION("""COMPUTED_VALUE"""),"Saipos Serviços De Software")</f>
        <v>Saipos Serviços De Software</v>
      </c>
      <c r="N4156" s="33">
        <f>IFERROR(__xludf.DUMMYFUNCTION("""COMPUTED_VALUE"""),0.5)</f>
        <v>0.5</v>
      </c>
      <c r="O4156" s="4" t="str">
        <f>IFERROR(__xludf.DUMMYFUNCTION("""COMPUTED_VALUE"""),"Saipos Serviços De Software")</f>
        <v>Saipos Serviços De Software</v>
      </c>
      <c r="P4156" s="33">
        <f>IFERROR(__xludf.DUMMYFUNCTION("""COMPUTED_VALUE"""),0.5)</f>
        <v>0.5</v>
      </c>
      <c r="Q4156" s="4" t="str">
        <f>IFERROR(__xludf.DUMMYFUNCTION("""COMPUTED_VALUE"""),"Saipos Serviços De Software")</f>
        <v>Saipos Serviços De Software</v>
      </c>
      <c r="R4156" s="33">
        <f>IFERROR(__xludf.DUMMYFUNCTION("""COMPUTED_VALUE"""),0.5)</f>
        <v>0.5</v>
      </c>
      <c r="S4156" s="4" t="str">
        <f>IFERROR(__xludf.DUMMYFUNCTION("""COMPUTED_VALUE"""),"Saipos Serviços De Software")</f>
        <v>Saipos Serviços De Software</v>
      </c>
      <c r="T4156" s="33">
        <f>IFERROR(__xludf.DUMMYFUNCTION("""COMPUTED_VALUE"""),0.5)</f>
        <v>0.5</v>
      </c>
      <c r="U4156" s="4" t="str">
        <f>IFERROR(__xludf.DUMMYFUNCTION("""COMPUTED_VALUE"""),"Saipos Serviços De Software")</f>
        <v>Saipos Serviços De Software</v>
      </c>
      <c r="V4156" s="33">
        <f>IFERROR(__xludf.DUMMYFUNCTION("""COMPUTED_VALUE"""),0.5)</f>
        <v>0.5</v>
      </c>
      <c r="W4156" s="4" t="str">
        <f>IFERROR(__xludf.DUMMYFUNCTION("""COMPUTED_VALUE"""),"Saipos Serviços De Software")</f>
        <v>Saipos Serviços De Software</v>
      </c>
      <c r="X4156" s="33">
        <f>IFERROR(__xludf.DUMMYFUNCTION("""COMPUTED_VALUE"""),0.5)</f>
        <v>0.5</v>
      </c>
    </row>
    <row r="4157">
      <c r="K4157" s="4" t="str">
        <f>IFERROR(__xludf.DUMMYFUNCTION("""COMPUTED_VALUE"""),"MESTRE PIZZA 2")</f>
        <v>MESTRE PIZZA 2</v>
      </c>
      <c r="L4157" s="32">
        <f>IFERROR(__xludf.DUMMYFUNCTION("""COMPUTED_VALUE"""),2.0)</f>
        <v>2</v>
      </c>
      <c r="M4157" s="4" t="str">
        <f>IFERROR(__xludf.DUMMYFUNCTION("""COMPUTED_VALUE"""),"null")</f>
        <v>null</v>
      </c>
      <c r="N4157" s="33">
        <f>IFERROR(__xludf.DUMMYFUNCTION("""COMPUTED_VALUE"""),0.5)</f>
        <v>0.5</v>
      </c>
      <c r="O4157" s="4" t="str">
        <f>IFERROR(__xludf.DUMMYFUNCTION("""COMPUTED_VALUE"""),"null")</f>
        <v>null</v>
      </c>
      <c r="P4157" s="33">
        <f>IFERROR(__xludf.DUMMYFUNCTION("""COMPUTED_VALUE"""),0.5)</f>
        <v>0.5</v>
      </c>
      <c r="Q4157" s="4" t="str">
        <f>IFERROR(__xludf.DUMMYFUNCTION("""COMPUTED_VALUE"""),"Saipos Serviços De Software")</f>
        <v>Saipos Serviços De Software</v>
      </c>
      <c r="R4157" s="33">
        <f>IFERROR(__xludf.DUMMYFUNCTION("""COMPUTED_VALUE"""),0.5)</f>
        <v>0.5</v>
      </c>
      <c r="S4157" s="4" t="str">
        <f>IFERROR(__xludf.DUMMYFUNCTION("""COMPUTED_VALUE"""),"Saipos Serviços De Software")</f>
        <v>Saipos Serviços De Software</v>
      </c>
      <c r="T4157" s="33">
        <f>IFERROR(__xludf.DUMMYFUNCTION("""COMPUTED_VALUE"""),0.5)</f>
        <v>0.5</v>
      </c>
      <c r="U4157" s="4" t="str">
        <f>IFERROR(__xludf.DUMMYFUNCTION("""COMPUTED_VALUE"""),"Saipos Serviços De Software")</f>
        <v>Saipos Serviços De Software</v>
      </c>
      <c r="V4157" s="33">
        <f>IFERROR(__xludf.DUMMYFUNCTION("""COMPUTED_VALUE"""),1.0)</f>
        <v>1</v>
      </c>
      <c r="W4157" s="4" t="str">
        <f>IFERROR(__xludf.DUMMYFUNCTION("""COMPUTED_VALUE"""),"Saipos Serviços De Software")</f>
        <v>Saipos Serviços De Software</v>
      </c>
      <c r="X4157" s="33">
        <f>IFERROR(__xludf.DUMMYFUNCTION("""COMPUTED_VALUE"""),1.0)</f>
        <v>1</v>
      </c>
    </row>
    <row r="4158">
      <c r="K4158" s="4" t="str">
        <f>IFERROR(__xludf.DUMMYFUNCTION("""COMPUTED_VALUE"""),"TWO BURGUER PIZZARIA E HAMBURGUERIA")</f>
        <v>TWO BURGUER PIZZARIA E HAMBURGUERIA</v>
      </c>
      <c r="L4158" s="32">
        <f>IFERROR(__xludf.DUMMYFUNCTION("""COMPUTED_VALUE"""),2.0)</f>
        <v>2</v>
      </c>
      <c r="M4158" s="4" t="str">
        <f>IFERROR(__xludf.DUMMYFUNCTION("""COMPUTED_VALUE"""),"Saipos Serviços De Software")</f>
        <v>Saipos Serviços De Software</v>
      </c>
      <c r="N4158" s="33">
        <f>IFERROR(__xludf.DUMMYFUNCTION("""COMPUTED_VALUE"""),0.5)</f>
        <v>0.5</v>
      </c>
      <c r="O4158" s="4" t="str">
        <f>IFERROR(__xludf.DUMMYFUNCTION("""COMPUTED_VALUE"""),"Saipos Serviços De Software")</f>
        <v>Saipos Serviços De Software</v>
      </c>
      <c r="P4158" s="33">
        <f>IFERROR(__xludf.DUMMYFUNCTION("""COMPUTED_VALUE"""),0.5)</f>
        <v>0.5</v>
      </c>
      <c r="Q4158" s="4" t="str">
        <f>IFERROR(__xludf.DUMMYFUNCTION("""COMPUTED_VALUE"""),"Saipos Serviços De Software")</f>
        <v>Saipos Serviços De Software</v>
      </c>
      <c r="R4158" s="33">
        <f>IFERROR(__xludf.DUMMYFUNCTION("""COMPUTED_VALUE"""),0.5)</f>
        <v>0.5</v>
      </c>
      <c r="S4158" s="4" t="str">
        <f>IFERROR(__xludf.DUMMYFUNCTION("""COMPUTED_VALUE"""),"Saipos Serviços De Software")</f>
        <v>Saipos Serviços De Software</v>
      </c>
      <c r="T4158" s="33">
        <f>IFERROR(__xludf.DUMMYFUNCTION("""COMPUTED_VALUE"""),0.5)</f>
        <v>0.5</v>
      </c>
      <c r="U4158" s="4" t="str">
        <f>IFERROR(__xludf.DUMMYFUNCTION("""COMPUTED_VALUE"""),"Saipos Serviços De Software")</f>
        <v>Saipos Serviços De Software</v>
      </c>
      <c r="V4158" s="33">
        <f>IFERROR(__xludf.DUMMYFUNCTION("""COMPUTED_VALUE"""),1.0)</f>
        <v>1</v>
      </c>
      <c r="W4158" s="4" t="str">
        <f>IFERROR(__xludf.DUMMYFUNCTION("""COMPUTED_VALUE"""),"null")</f>
        <v>null</v>
      </c>
      <c r="X4158" s="33">
        <f>IFERROR(__xludf.DUMMYFUNCTION("""COMPUTED_VALUE"""),0.5)</f>
        <v>0.5</v>
      </c>
    </row>
    <row r="4159">
      <c r="K4159" s="4" t="str">
        <f>IFERROR(__xludf.DUMMYFUNCTION("""COMPUTED_VALUE"""),"TUKAS HOT DOG CACHORRO QUENTE")</f>
        <v>TUKAS HOT DOG CACHORRO QUENTE</v>
      </c>
      <c r="L4159" s="32">
        <f>IFERROR(__xludf.DUMMYFUNCTION("""COMPUTED_VALUE"""),2.0)</f>
        <v>2</v>
      </c>
      <c r="M4159" s="4" t="str">
        <f>IFERROR(__xludf.DUMMYFUNCTION("""COMPUTED_VALUE"""),"Saipos Serviços De Software")</f>
        <v>Saipos Serviços De Software</v>
      </c>
      <c r="N4159" s="33">
        <f>IFERROR(__xludf.DUMMYFUNCTION("""COMPUTED_VALUE"""),1.0)</f>
        <v>1</v>
      </c>
      <c r="O4159" s="4" t="str">
        <f>IFERROR(__xludf.DUMMYFUNCTION("""COMPUTED_VALUE"""),"Saipos Serviços De Software")</f>
        <v>Saipos Serviços De Software</v>
      </c>
      <c r="P4159" s="33">
        <f>IFERROR(__xludf.DUMMYFUNCTION("""COMPUTED_VALUE"""),1.0)</f>
        <v>1</v>
      </c>
      <c r="Q4159" s="4" t="str">
        <f>IFERROR(__xludf.DUMMYFUNCTION("""COMPUTED_VALUE"""),"Saipos Serviços De Software")</f>
        <v>Saipos Serviços De Software</v>
      </c>
      <c r="R4159" s="33">
        <f>IFERROR(__xludf.DUMMYFUNCTION("""COMPUTED_VALUE"""),1.0)</f>
        <v>1</v>
      </c>
      <c r="S4159" s="4" t="str">
        <f>IFERROR(__xludf.DUMMYFUNCTION("""COMPUTED_VALUE"""),"Saipos Serviços De Software")</f>
        <v>Saipos Serviços De Software</v>
      </c>
      <c r="T4159" s="33">
        <f>IFERROR(__xludf.DUMMYFUNCTION("""COMPUTED_VALUE"""),1.0)</f>
        <v>1</v>
      </c>
      <c r="U4159" s="4" t="str">
        <f>IFERROR(__xludf.DUMMYFUNCTION("""COMPUTED_VALUE"""),"Saipos Serviços De Software")</f>
        <v>Saipos Serviços De Software</v>
      </c>
      <c r="V4159" s="33">
        <f>IFERROR(__xludf.DUMMYFUNCTION("""COMPUTED_VALUE"""),1.0)</f>
        <v>1</v>
      </c>
      <c r="W4159" s="4" t="str">
        <f>IFERROR(__xludf.DUMMYFUNCTION("""COMPUTED_VALUE"""),"Saipos Serviços De Software")</f>
        <v>Saipos Serviços De Software</v>
      </c>
      <c r="X4159" s="33">
        <f>IFERROR(__xludf.DUMMYFUNCTION("""COMPUTED_VALUE"""),1.0)</f>
        <v>1</v>
      </c>
    </row>
    <row r="4160">
      <c r="K4160" s="4" t="str">
        <f>IFERROR(__xludf.DUMMYFUNCTION("""COMPUTED_VALUE"""),"JAZZ BURGERS")</f>
        <v>JAZZ BURGERS</v>
      </c>
      <c r="L4160" s="32">
        <f>IFERROR(__xludf.DUMMYFUNCTION("""COMPUTED_VALUE"""),2.0)</f>
        <v>2</v>
      </c>
      <c r="M4160" s="4" t="str">
        <f>IFERROR(__xludf.DUMMYFUNCTION("""COMPUTED_VALUE"""),"Consumer Soluções Em Tecnologia Ltda")</f>
        <v>Consumer Soluções Em Tecnologia Ltda</v>
      </c>
      <c r="N4160" s="33">
        <f>IFERROR(__xludf.DUMMYFUNCTION("""COMPUTED_VALUE"""),1.0)</f>
        <v>1</v>
      </c>
      <c r="O4160" s="4" t="str">
        <f>IFERROR(__xludf.DUMMYFUNCTION("""COMPUTED_VALUE"""),"null")</f>
        <v>null</v>
      </c>
      <c r="P4160" s="33">
        <f>IFERROR(__xludf.DUMMYFUNCTION("""COMPUTED_VALUE"""),0.5)</f>
        <v>0.5</v>
      </c>
      <c r="Q4160" s="4" t="str">
        <f>IFERROR(__xludf.DUMMYFUNCTION("""COMPUTED_VALUE"""),"Saipos Serviços De Software")</f>
        <v>Saipos Serviços De Software</v>
      </c>
      <c r="R4160" s="33">
        <f>IFERROR(__xludf.DUMMYFUNCTION("""COMPUTED_VALUE"""),1.0)</f>
        <v>1</v>
      </c>
      <c r="S4160" s="4" t="str">
        <f>IFERROR(__xludf.DUMMYFUNCTION("""COMPUTED_VALUE"""),"Saipos Serviços De Software")</f>
        <v>Saipos Serviços De Software</v>
      </c>
      <c r="T4160" s="33">
        <f>IFERROR(__xludf.DUMMYFUNCTION("""COMPUTED_VALUE"""),1.0)</f>
        <v>1</v>
      </c>
      <c r="U4160" s="4" t="str">
        <f>IFERROR(__xludf.DUMMYFUNCTION("""COMPUTED_VALUE"""),"Saipos Serviços De Software")</f>
        <v>Saipos Serviços De Software</v>
      </c>
      <c r="V4160" s="33">
        <f>IFERROR(__xludf.DUMMYFUNCTION("""COMPUTED_VALUE"""),1.0)</f>
        <v>1</v>
      </c>
      <c r="W4160" s="4" t="str">
        <f>IFERROR(__xludf.DUMMYFUNCTION("""COMPUTED_VALUE"""),"Saipos Serviços De Software")</f>
        <v>Saipos Serviços De Software</v>
      </c>
      <c r="X4160" s="33">
        <f>IFERROR(__xludf.DUMMYFUNCTION("""COMPUTED_VALUE"""),1.0)</f>
        <v>1</v>
      </c>
    </row>
    <row r="4161">
      <c r="K4161" s="4" t="str">
        <f>IFERROR(__xludf.DUMMYFUNCTION("""COMPUTED_VALUE"""),"PIZZARIA RECANTO DA PIZZA")</f>
        <v>PIZZARIA RECANTO DA PIZZA</v>
      </c>
      <c r="L4161" s="32">
        <f>IFERROR(__xludf.DUMMYFUNCTION("""COMPUTED_VALUE"""),2.0)</f>
        <v>2</v>
      </c>
      <c r="M4161" s="4" t="str">
        <f>IFERROR(__xludf.DUMMYFUNCTION("""COMPUTED_VALUE"""),"Anota Ai Solucoes Digitais S/a")</f>
        <v>Anota Ai Solucoes Digitais S/a</v>
      </c>
      <c r="N4161" s="33">
        <f>IFERROR(__xludf.DUMMYFUNCTION("""COMPUTED_VALUE"""),0.5)</f>
        <v>0.5</v>
      </c>
      <c r="O4161" s="4" t="str">
        <f>IFERROR(__xludf.DUMMYFUNCTION("""COMPUTED_VALUE"""),"Anota Ai Solucoes Digitais S/a")</f>
        <v>Anota Ai Solucoes Digitais S/a</v>
      </c>
      <c r="P4161" s="33">
        <f>IFERROR(__xludf.DUMMYFUNCTION("""COMPUTED_VALUE"""),0.5)</f>
        <v>0.5</v>
      </c>
      <c r="Q4161" s="4" t="str">
        <f>IFERROR(__xludf.DUMMYFUNCTION("""COMPUTED_VALUE"""),"Saipos Serviços De Software")</f>
        <v>Saipos Serviços De Software</v>
      </c>
      <c r="R4161" s="33">
        <f>IFERROR(__xludf.DUMMYFUNCTION("""COMPUTED_VALUE"""),0.5)</f>
        <v>0.5</v>
      </c>
      <c r="S4161" s="4" t="str">
        <f>IFERROR(__xludf.DUMMYFUNCTION("""COMPUTED_VALUE"""),"Saipos Serviços De Software")</f>
        <v>Saipos Serviços De Software</v>
      </c>
      <c r="T4161" s="33">
        <f>IFERROR(__xludf.DUMMYFUNCTION("""COMPUTED_VALUE"""),0.5)</f>
        <v>0.5</v>
      </c>
      <c r="U4161" s="4" t="str">
        <f>IFERROR(__xludf.DUMMYFUNCTION("""COMPUTED_VALUE"""),"Saipos Serviços De Software")</f>
        <v>Saipos Serviços De Software</v>
      </c>
      <c r="V4161" s="33">
        <f>IFERROR(__xludf.DUMMYFUNCTION("""COMPUTED_VALUE"""),0.5)</f>
        <v>0.5</v>
      </c>
      <c r="W4161" s="4" t="str">
        <f>IFERROR(__xludf.DUMMYFUNCTION("""COMPUTED_VALUE"""),"Saipos Serviços De Software")</f>
        <v>Saipos Serviços De Software</v>
      </c>
      <c r="X4161" s="33">
        <f>IFERROR(__xludf.DUMMYFUNCTION("""COMPUTED_VALUE"""),0.5)</f>
        <v>0.5</v>
      </c>
    </row>
    <row r="4162">
      <c r="K4162" s="4" t="str">
        <f>IFERROR(__xludf.DUMMYFUNCTION("""COMPUTED_VALUE"""),"WOODSTOCK BURGER")</f>
        <v>WOODSTOCK BURGER</v>
      </c>
      <c r="L4162" s="32">
        <f>IFERROR(__xludf.DUMMYFUNCTION("""COMPUTED_VALUE"""),2.0)</f>
        <v>2</v>
      </c>
      <c r="M4162" s="4" t="str">
        <f>IFERROR(__xludf.DUMMYFUNCTION("""COMPUTED_VALUE"""),"Saipos Serviços De Software")</f>
        <v>Saipos Serviços De Software</v>
      </c>
      <c r="N4162" s="33">
        <f>IFERROR(__xludf.DUMMYFUNCTION("""COMPUTED_VALUE"""),0.5)</f>
        <v>0.5</v>
      </c>
      <c r="O4162" s="4" t="str">
        <f>IFERROR(__xludf.DUMMYFUNCTION("""COMPUTED_VALUE"""),"Saipos Serviços De Software")</f>
        <v>Saipos Serviços De Software</v>
      </c>
      <c r="P4162" s="33">
        <f>IFERROR(__xludf.DUMMYFUNCTION("""COMPUTED_VALUE"""),0.5)</f>
        <v>0.5</v>
      </c>
      <c r="Q4162" s="4" t="str">
        <f>IFERROR(__xludf.DUMMYFUNCTION("""COMPUTED_VALUE"""),"Saipos Serviços De Software")</f>
        <v>Saipos Serviços De Software</v>
      </c>
      <c r="R4162" s="33">
        <f>IFERROR(__xludf.DUMMYFUNCTION("""COMPUTED_VALUE"""),0.5)</f>
        <v>0.5</v>
      </c>
      <c r="S4162" s="4" t="str">
        <f>IFERROR(__xludf.DUMMYFUNCTION("""COMPUTED_VALUE"""),"Saipos Serviços De Software")</f>
        <v>Saipos Serviços De Software</v>
      </c>
      <c r="T4162" s="33">
        <f>IFERROR(__xludf.DUMMYFUNCTION("""COMPUTED_VALUE"""),1.0)</f>
        <v>1</v>
      </c>
      <c r="U4162" s="4" t="str">
        <f>IFERROR(__xludf.DUMMYFUNCTION("""COMPUTED_VALUE"""),"Saipos Serviços De Software")</f>
        <v>Saipos Serviços De Software</v>
      </c>
      <c r="V4162" s="33">
        <f>IFERROR(__xludf.DUMMYFUNCTION("""COMPUTED_VALUE"""),1.0)</f>
        <v>1</v>
      </c>
      <c r="W4162" s="4" t="str">
        <f>IFERROR(__xludf.DUMMYFUNCTION("""COMPUTED_VALUE"""),"Saipos Serviços De Software")</f>
        <v>Saipos Serviços De Software</v>
      </c>
      <c r="X4162" s="33">
        <f>IFERROR(__xludf.DUMMYFUNCTION("""COMPUTED_VALUE"""),1.0)</f>
        <v>1</v>
      </c>
    </row>
    <row r="4163">
      <c r="K4163" s="4" t="str">
        <f>IFERROR(__xludf.DUMMYFUNCTION("""COMPUTED_VALUE"""),"PIZZARIA COLODEL - PIZZAS DE LONGA FERMENTACAO")</f>
        <v>PIZZARIA COLODEL - PIZZAS DE LONGA FERMENTACAO</v>
      </c>
      <c r="L4163" s="32">
        <f>IFERROR(__xludf.DUMMYFUNCTION("""COMPUTED_VALUE"""),2.0)</f>
        <v>2</v>
      </c>
      <c r="M4163" s="4" t="str">
        <f>IFERROR(__xludf.DUMMYFUNCTION("""COMPUTED_VALUE"""),"Ncr")</f>
        <v>Ncr</v>
      </c>
      <c r="N4163" s="33">
        <f>IFERROR(__xludf.DUMMYFUNCTION("""COMPUTED_VALUE"""),1.0)</f>
        <v>1</v>
      </c>
      <c r="O4163" s="4" t="str">
        <f>IFERROR(__xludf.DUMMYFUNCTION("""COMPUTED_VALUE"""),"Ncr")</f>
        <v>Ncr</v>
      </c>
      <c r="P4163" s="33">
        <f>IFERROR(__xludf.DUMMYFUNCTION("""COMPUTED_VALUE"""),1.0)</f>
        <v>1</v>
      </c>
      <c r="Q4163" s="4" t="str">
        <f>IFERROR(__xludf.DUMMYFUNCTION("""COMPUTED_VALUE"""),"Ncr")</f>
        <v>Ncr</v>
      </c>
      <c r="R4163" s="33">
        <f>IFERROR(__xludf.DUMMYFUNCTION("""COMPUTED_VALUE"""),1.0)</f>
        <v>1</v>
      </c>
      <c r="S4163" s="4" t="str">
        <f>IFERROR(__xludf.DUMMYFUNCTION("""COMPUTED_VALUE"""),"Ncr")</f>
        <v>Ncr</v>
      </c>
      <c r="T4163" s="33">
        <f>IFERROR(__xludf.DUMMYFUNCTION("""COMPUTED_VALUE"""),1.0)</f>
        <v>1</v>
      </c>
      <c r="U4163" s="4" t="str">
        <f>IFERROR(__xludf.DUMMYFUNCTION("""COMPUTED_VALUE"""),"Ncr")</f>
        <v>Ncr</v>
      </c>
      <c r="V4163" s="33">
        <f>IFERROR(__xludf.DUMMYFUNCTION("""COMPUTED_VALUE"""),1.0)</f>
        <v>1</v>
      </c>
      <c r="W4163" s="4" t="str">
        <f>IFERROR(__xludf.DUMMYFUNCTION("""COMPUTED_VALUE"""),"Ncr")</f>
        <v>Ncr</v>
      </c>
      <c r="X4163" s="33">
        <f>IFERROR(__xludf.DUMMYFUNCTION("""COMPUTED_VALUE"""),1.0)</f>
        <v>1</v>
      </c>
    </row>
    <row r="4164">
      <c r="K4164" s="4" t="str">
        <f>IFERROR(__xludf.DUMMYFUNCTION("""COMPUTED_VALUE"""),"ACAI DA TATI")</f>
        <v>ACAI DA TATI</v>
      </c>
      <c r="L4164" s="32">
        <f>IFERROR(__xludf.DUMMYFUNCTION("""COMPUTED_VALUE"""),2.0)</f>
        <v>2</v>
      </c>
      <c r="M4164" s="4" t="str">
        <f>IFERROR(__xludf.DUMMYFUNCTION("""COMPUTED_VALUE"""),"Brendi")</f>
        <v>Brendi</v>
      </c>
      <c r="N4164" s="33">
        <f>IFERROR(__xludf.DUMMYFUNCTION("""COMPUTED_VALUE"""),0.5)</f>
        <v>0.5</v>
      </c>
      <c r="O4164" s="4" t="str">
        <f>IFERROR(__xludf.DUMMYFUNCTION("""COMPUTED_VALUE"""),"Brendi")</f>
        <v>Brendi</v>
      </c>
      <c r="P4164" s="33">
        <f>IFERROR(__xludf.DUMMYFUNCTION("""COMPUTED_VALUE"""),0.5)</f>
        <v>0.5</v>
      </c>
      <c r="Q4164" s="4" t="str">
        <f>IFERROR(__xludf.DUMMYFUNCTION("""COMPUTED_VALUE"""),"Brendi")</f>
        <v>Brendi</v>
      </c>
      <c r="R4164" s="33">
        <f>IFERROR(__xludf.DUMMYFUNCTION("""COMPUTED_VALUE"""),0.5)</f>
        <v>0.5</v>
      </c>
      <c r="S4164" s="4" t="str">
        <f>IFERROR(__xludf.DUMMYFUNCTION("""COMPUTED_VALUE"""),"Brendi")</f>
        <v>Brendi</v>
      </c>
      <c r="T4164" s="33">
        <f>IFERROR(__xludf.DUMMYFUNCTION("""COMPUTED_VALUE"""),0.5)</f>
        <v>0.5</v>
      </c>
      <c r="U4164" s="4" t="str">
        <f>IFERROR(__xludf.DUMMYFUNCTION("""COMPUTED_VALUE"""),"Brendi")</f>
        <v>Brendi</v>
      </c>
      <c r="V4164" s="33">
        <f>IFERROR(__xludf.DUMMYFUNCTION("""COMPUTED_VALUE"""),0.5)</f>
        <v>0.5</v>
      </c>
      <c r="W4164" s="4" t="str">
        <f>IFERROR(__xludf.DUMMYFUNCTION("""COMPUTED_VALUE"""),"Brendi")</f>
        <v>Brendi</v>
      </c>
      <c r="X4164" s="33">
        <f>IFERROR(__xludf.DUMMYFUNCTION("""COMPUTED_VALUE"""),0.5)</f>
        <v>0.5</v>
      </c>
    </row>
    <row r="4165">
      <c r="K4165" s="4" t="str">
        <f>IFERROR(__xludf.DUMMYFUNCTION("""COMPUTED_VALUE"""),"FORNERIA OLIVA")</f>
        <v>FORNERIA OLIVA</v>
      </c>
      <c r="L4165" s="32">
        <f>IFERROR(__xludf.DUMMYFUNCTION("""COMPUTED_VALUE"""),2.0)</f>
        <v>2</v>
      </c>
      <c r="M4165" s="4" t="str">
        <f>IFERROR(__xludf.DUMMYFUNCTION("""COMPUTED_VALUE"""),"Totvs Large Enterprise Tecnologia S.a.")</f>
        <v>Totvs Large Enterprise Tecnologia S.a.</v>
      </c>
      <c r="N4165" s="33">
        <f>IFERROR(__xludf.DUMMYFUNCTION("""COMPUTED_VALUE"""),1.0)</f>
        <v>1</v>
      </c>
      <c r="O4165" s="4" t="str">
        <f>IFERROR(__xludf.DUMMYFUNCTION("""COMPUTED_VALUE"""),"Totvs Large Enterprise Tecnologia S.a.")</f>
        <v>Totvs Large Enterprise Tecnologia S.a.</v>
      </c>
      <c r="P4165" s="33">
        <f>IFERROR(__xludf.DUMMYFUNCTION("""COMPUTED_VALUE"""),1.0)</f>
        <v>1</v>
      </c>
      <c r="Q4165" s="4" t="str">
        <f>IFERROR(__xludf.DUMMYFUNCTION("""COMPUTED_VALUE"""),"Totvs Large Enterprise Tecnologia S.a.")</f>
        <v>Totvs Large Enterprise Tecnologia S.a.</v>
      </c>
      <c r="R4165" s="33">
        <f>IFERROR(__xludf.DUMMYFUNCTION("""COMPUTED_VALUE"""),1.0)</f>
        <v>1</v>
      </c>
      <c r="S4165" s="4" t="str">
        <f>IFERROR(__xludf.DUMMYFUNCTION("""COMPUTED_VALUE"""),"Totvs Large Enterprise Tecnologia S.a.")</f>
        <v>Totvs Large Enterprise Tecnologia S.a.</v>
      </c>
      <c r="T4165" s="33">
        <f>IFERROR(__xludf.DUMMYFUNCTION("""COMPUTED_VALUE"""),0.5)</f>
        <v>0.5</v>
      </c>
      <c r="U4165" s="4" t="str">
        <f>IFERROR(__xludf.DUMMYFUNCTION("""COMPUTED_VALUE"""),"Totvs Large Enterprise Tecnologia S.a.")</f>
        <v>Totvs Large Enterprise Tecnologia S.a.</v>
      </c>
      <c r="V4165" s="33">
        <f>IFERROR(__xludf.DUMMYFUNCTION("""COMPUTED_VALUE"""),0.5)</f>
        <v>0.5</v>
      </c>
      <c r="W4165" s="4" t="str">
        <f>IFERROR(__xludf.DUMMYFUNCTION("""COMPUTED_VALUE"""),"Totvs Large Enterprise Tecnologia S.a.")</f>
        <v>Totvs Large Enterprise Tecnologia S.a.</v>
      </c>
      <c r="X4165" s="33">
        <f>IFERROR(__xludf.DUMMYFUNCTION("""COMPUTED_VALUE"""),1.0)</f>
        <v>1</v>
      </c>
    </row>
    <row r="4166">
      <c r="K4166" s="4" t="str">
        <f>IFERROR(__xludf.DUMMYFUNCTION("""COMPUTED_VALUE"""),"PIZZA HOT")</f>
        <v>PIZZA HOT</v>
      </c>
      <c r="L4166" s="32">
        <f>IFERROR(__xludf.DUMMYFUNCTION("""COMPUTED_VALUE"""),2.0)</f>
        <v>2</v>
      </c>
      <c r="M4166" s="4" t="str">
        <f>IFERROR(__xludf.DUMMYFUNCTION("""COMPUTED_VALUE"""),"Sagres Automação Comercial")</f>
        <v>Sagres Automação Comercial</v>
      </c>
      <c r="N4166" s="33">
        <f>IFERROR(__xludf.DUMMYFUNCTION("""COMPUTED_VALUE"""),0.5)</f>
        <v>0.5</v>
      </c>
      <c r="O4166" s="4" t="str">
        <f>IFERROR(__xludf.DUMMYFUNCTION("""COMPUTED_VALUE"""),"Sagres Automação Comercial")</f>
        <v>Sagres Automação Comercial</v>
      </c>
      <c r="P4166" s="33">
        <f>IFERROR(__xludf.DUMMYFUNCTION("""COMPUTED_VALUE"""),0.5)</f>
        <v>0.5</v>
      </c>
      <c r="Q4166" s="4" t="str">
        <f>IFERROR(__xludf.DUMMYFUNCTION("""COMPUTED_VALUE"""),"Sagres Automação Comercial")</f>
        <v>Sagres Automação Comercial</v>
      </c>
      <c r="R4166" s="33">
        <f>IFERROR(__xludf.DUMMYFUNCTION("""COMPUTED_VALUE"""),0.5)</f>
        <v>0.5</v>
      </c>
      <c r="S4166" s="4" t="str">
        <f>IFERROR(__xludf.DUMMYFUNCTION("""COMPUTED_VALUE"""),"Sagres Automação Comercial")</f>
        <v>Sagres Automação Comercial</v>
      </c>
      <c r="T4166" s="33">
        <f>IFERROR(__xludf.DUMMYFUNCTION("""COMPUTED_VALUE"""),0.5)</f>
        <v>0.5</v>
      </c>
      <c r="U4166" s="4" t="str">
        <f>IFERROR(__xludf.DUMMYFUNCTION("""COMPUTED_VALUE"""),"Sagres Automação Comercial")</f>
        <v>Sagres Automação Comercial</v>
      </c>
      <c r="V4166" s="33">
        <f>IFERROR(__xludf.DUMMYFUNCTION("""COMPUTED_VALUE"""),0.5)</f>
        <v>0.5</v>
      </c>
      <c r="W4166" s="4" t="str">
        <f>IFERROR(__xludf.DUMMYFUNCTION("""COMPUTED_VALUE"""),"Sagres Automação Comercial")</f>
        <v>Sagres Automação Comercial</v>
      </c>
      <c r="X4166" s="33">
        <f>IFERROR(__xludf.DUMMYFUNCTION("""COMPUTED_VALUE"""),0.5)</f>
        <v>0.5</v>
      </c>
    </row>
    <row r="4167">
      <c r="K4167" s="4" t="str">
        <f>IFERROR(__xludf.DUMMYFUNCTION("""COMPUTED_VALUE"""),"TEX BURGUER")</f>
        <v>TEX BURGUER</v>
      </c>
      <c r="L4167" s="32">
        <f>IFERROR(__xludf.DUMMYFUNCTION("""COMPUTED_VALUE"""),2.0)</f>
        <v>2</v>
      </c>
      <c r="M4167" s="4" t="str">
        <f>IFERROR(__xludf.DUMMYFUNCTION("""COMPUTED_VALUE"""),"Saipos Serviços De Software")</f>
        <v>Saipos Serviços De Software</v>
      </c>
      <c r="N4167" s="33">
        <f>IFERROR(__xludf.DUMMYFUNCTION("""COMPUTED_VALUE"""),0.5)</f>
        <v>0.5</v>
      </c>
      <c r="O4167" s="4" t="str">
        <f>IFERROR(__xludf.DUMMYFUNCTION("""COMPUTED_VALUE"""),"Saipos Serviços De Software")</f>
        <v>Saipos Serviços De Software</v>
      </c>
      <c r="P4167" s="33">
        <f>IFERROR(__xludf.DUMMYFUNCTION("""COMPUTED_VALUE"""),0.5)</f>
        <v>0.5</v>
      </c>
      <c r="Q4167" s="4" t="str">
        <f>IFERROR(__xludf.DUMMYFUNCTION("""COMPUTED_VALUE"""),"Saipos Serviços De Software")</f>
        <v>Saipos Serviços De Software</v>
      </c>
      <c r="R4167" s="33">
        <f>IFERROR(__xludf.DUMMYFUNCTION("""COMPUTED_VALUE"""),0.5)</f>
        <v>0.5</v>
      </c>
      <c r="S4167" s="4" t="str">
        <f>IFERROR(__xludf.DUMMYFUNCTION("""COMPUTED_VALUE"""),"Saipos Serviços De Software")</f>
        <v>Saipos Serviços De Software</v>
      </c>
      <c r="T4167" s="33">
        <f>IFERROR(__xludf.DUMMYFUNCTION("""COMPUTED_VALUE"""),0.5)</f>
        <v>0.5</v>
      </c>
      <c r="U4167" s="4" t="str">
        <f>IFERROR(__xludf.DUMMYFUNCTION("""COMPUTED_VALUE"""),"Saipos Serviços De Software")</f>
        <v>Saipos Serviços De Software</v>
      </c>
      <c r="V4167" s="33">
        <f>IFERROR(__xludf.DUMMYFUNCTION("""COMPUTED_VALUE"""),0.5)</f>
        <v>0.5</v>
      </c>
      <c r="W4167" s="4" t="str">
        <f>IFERROR(__xludf.DUMMYFUNCTION("""COMPUTED_VALUE"""),"Saipos Serviços De Software")</f>
        <v>Saipos Serviços De Software</v>
      </c>
      <c r="X4167" s="33">
        <f>IFERROR(__xludf.DUMMYFUNCTION("""COMPUTED_VALUE"""),0.5)</f>
        <v>0.5</v>
      </c>
    </row>
    <row r="4168">
      <c r="K4168" s="4" t="str">
        <f>IFERROR(__xludf.DUMMYFUNCTION("""COMPUTED_VALUE"""),"MESTRES DO SABOR BURGER")</f>
        <v>MESTRES DO SABOR BURGER</v>
      </c>
      <c r="L4168" s="32">
        <f>IFERROR(__xludf.DUMMYFUNCTION("""COMPUTED_VALUE"""),2.0)</f>
        <v>2</v>
      </c>
      <c r="M4168" s="4" t="str">
        <f>IFERROR(__xludf.DUMMYFUNCTION("""COMPUTED_VALUE"""),"Gerence Sistemas")</f>
        <v>Gerence Sistemas</v>
      </c>
      <c r="N4168" s="33">
        <f>IFERROR(__xludf.DUMMYFUNCTION("""COMPUTED_VALUE"""),1.0)</f>
        <v>1</v>
      </c>
      <c r="O4168" s="4" t="str">
        <f>IFERROR(__xludf.DUMMYFUNCTION("""COMPUTED_VALUE"""),"null")</f>
        <v>null</v>
      </c>
      <c r="P4168" s="33">
        <f>IFERROR(__xludf.DUMMYFUNCTION("""COMPUTED_VALUE"""),1.0)</f>
        <v>1</v>
      </c>
      <c r="Q4168" s="4" t="str">
        <f>IFERROR(__xludf.DUMMYFUNCTION("""COMPUTED_VALUE"""),"Gerence Sistemas")</f>
        <v>Gerence Sistemas</v>
      </c>
      <c r="R4168" s="33">
        <f>IFERROR(__xludf.DUMMYFUNCTION("""COMPUTED_VALUE"""),0.5)</f>
        <v>0.5</v>
      </c>
      <c r="S4168" s="4" t="str">
        <f>IFERROR(__xludf.DUMMYFUNCTION("""COMPUTED_VALUE"""),"Gerence Sistemas")</f>
        <v>Gerence Sistemas</v>
      </c>
      <c r="T4168" s="33">
        <f>IFERROR(__xludf.DUMMYFUNCTION("""COMPUTED_VALUE"""),1.0)</f>
        <v>1</v>
      </c>
      <c r="U4168" s="4" t="str">
        <f>IFERROR(__xludf.DUMMYFUNCTION("""COMPUTED_VALUE"""),"Gerence Sistemas")</f>
        <v>Gerence Sistemas</v>
      </c>
      <c r="V4168" s="33">
        <f>IFERROR(__xludf.DUMMYFUNCTION("""COMPUTED_VALUE"""),1.0)</f>
        <v>1</v>
      </c>
      <c r="W4168" s="4" t="str">
        <f>IFERROR(__xludf.DUMMYFUNCTION("""COMPUTED_VALUE"""),"Gerence Sistemas")</f>
        <v>Gerence Sistemas</v>
      </c>
      <c r="X4168" s="33">
        <f>IFERROR(__xludf.DUMMYFUNCTION("""COMPUTED_VALUE"""),1.0)</f>
        <v>1</v>
      </c>
    </row>
    <row r="4169">
      <c r="K4169" s="4" t="str">
        <f>IFERROR(__xludf.DUMMYFUNCTION("""COMPUTED_VALUE"""),"CH LANCHES")</f>
        <v>CH LANCHES</v>
      </c>
      <c r="L4169" s="32">
        <f>IFERROR(__xludf.DUMMYFUNCTION("""COMPUTED_VALUE"""),2.0)</f>
        <v>2</v>
      </c>
      <c r="M4169" s="4" t="str">
        <f>IFERROR(__xludf.DUMMYFUNCTION("""COMPUTED_VALUE"""),"Anota Ai Solucoes Digitais S/a")</f>
        <v>Anota Ai Solucoes Digitais S/a</v>
      </c>
      <c r="N4169" s="33">
        <f>IFERROR(__xludf.DUMMYFUNCTION("""COMPUTED_VALUE"""),0.5)</f>
        <v>0.5</v>
      </c>
      <c r="O4169" s="4" t="str">
        <f>IFERROR(__xludf.DUMMYFUNCTION("""COMPUTED_VALUE"""),"Saipos Serviços De Software")</f>
        <v>Saipos Serviços De Software</v>
      </c>
      <c r="P4169" s="33">
        <f>IFERROR(__xludf.DUMMYFUNCTION("""COMPUTED_VALUE"""),0.5)</f>
        <v>0.5</v>
      </c>
      <c r="Q4169" s="4" t="str">
        <f>IFERROR(__xludf.DUMMYFUNCTION("""COMPUTED_VALUE"""),"Saipos Serviços De Software")</f>
        <v>Saipos Serviços De Software</v>
      </c>
      <c r="R4169" s="33">
        <f>IFERROR(__xludf.DUMMYFUNCTION("""COMPUTED_VALUE"""),0.5)</f>
        <v>0.5</v>
      </c>
      <c r="S4169" s="4" t="str">
        <f>IFERROR(__xludf.DUMMYFUNCTION("""COMPUTED_VALUE"""),"Saipos Serviços De Software")</f>
        <v>Saipos Serviços De Software</v>
      </c>
      <c r="T4169" s="33">
        <f>IFERROR(__xludf.DUMMYFUNCTION("""COMPUTED_VALUE"""),0.5)</f>
        <v>0.5</v>
      </c>
      <c r="U4169" s="4" t="str">
        <f>IFERROR(__xludf.DUMMYFUNCTION("""COMPUTED_VALUE"""),"Saipos Serviços De Software")</f>
        <v>Saipos Serviços De Software</v>
      </c>
      <c r="V4169" s="33">
        <f>IFERROR(__xludf.DUMMYFUNCTION("""COMPUTED_VALUE"""),0.5)</f>
        <v>0.5</v>
      </c>
      <c r="W4169" s="4" t="str">
        <f>IFERROR(__xludf.DUMMYFUNCTION("""COMPUTED_VALUE"""),"Saipos Serviços De Software")</f>
        <v>Saipos Serviços De Software</v>
      </c>
      <c r="X4169" s="33">
        <f>IFERROR(__xludf.DUMMYFUNCTION("""COMPUTED_VALUE"""),0.5)</f>
        <v>0.5</v>
      </c>
    </row>
    <row r="4170">
      <c r="K4170" s="4" t="str">
        <f>IFERROR(__xludf.DUMMYFUNCTION("""COMPUTED_VALUE"""),"OHANA ACAI")</f>
        <v>OHANA ACAI</v>
      </c>
      <c r="L4170" s="32">
        <f>IFERROR(__xludf.DUMMYFUNCTION("""COMPUTED_VALUE"""),2.0)</f>
        <v>2</v>
      </c>
      <c r="M4170" s="4" t="str">
        <f>IFERROR(__xludf.DUMMYFUNCTION("""COMPUTED_VALUE"""),"Anota Ai Solucoes Digitais S/a")</f>
        <v>Anota Ai Solucoes Digitais S/a</v>
      </c>
      <c r="N4170" s="33">
        <f>IFERROR(__xludf.DUMMYFUNCTION("""COMPUTED_VALUE"""),0.5)</f>
        <v>0.5</v>
      </c>
      <c r="O4170" s="4" t="str">
        <f>IFERROR(__xludf.DUMMYFUNCTION("""COMPUTED_VALUE"""),"Anota Ai Solucoes Digitais S/a")</f>
        <v>Anota Ai Solucoes Digitais S/a</v>
      </c>
      <c r="P4170" s="33">
        <f>IFERROR(__xludf.DUMMYFUNCTION("""COMPUTED_VALUE"""),0.5)</f>
        <v>0.5</v>
      </c>
      <c r="Q4170" s="4" t="str">
        <f>IFERROR(__xludf.DUMMYFUNCTION("""COMPUTED_VALUE"""),"Anota Ai Solucoes Digitais S/a")</f>
        <v>Anota Ai Solucoes Digitais S/a</v>
      </c>
      <c r="R4170" s="33">
        <f>IFERROR(__xludf.DUMMYFUNCTION("""COMPUTED_VALUE"""),0.5)</f>
        <v>0.5</v>
      </c>
      <c r="S4170" s="4" t="str">
        <f>IFERROR(__xludf.DUMMYFUNCTION("""COMPUTED_VALUE"""),"Anota Ai Solucoes Digitais S/a")</f>
        <v>Anota Ai Solucoes Digitais S/a</v>
      </c>
      <c r="T4170" s="33">
        <f>IFERROR(__xludf.DUMMYFUNCTION("""COMPUTED_VALUE"""),0.5)</f>
        <v>0.5</v>
      </c>
      <c r="U4170" s="4" t="str">
        <f>IFERROR(__xludf.DUMMYFUNCTION("""COMPUTED_VALUE"""),"Anota Ai Solucoes Digitais S/a")</f>
        <v>Anota Ai Solucoes Digitais S/a</v>
      </c>
      <c r="V4170" s="33">
        <f>IFERROR(__xludf.DUMMYFUNCTION("""COMPUTED_VALUE"""),0.5)</f>
        <v>0.5</v>
      </c>
      <c r="W4170" s="4" t="str">
        <f>IFERROR(__xludf.DUMMYFUNCTION("""COMPUTED_VALUE"""),"Anota Ai Solucoes Digitais S/a")</f>
        <v>Anota Ai Solucoes Digitais S/a</v>
      </c>
      <c r="X4170" s="33">
        <f>IFERROR(__xludf.DUMMYFUNCTION("""COMPUTED_VALUE"""),0.5)</f>
        <v>0.5</v>
      </c>
    </row>
    <row r="4171">
      <c r="K4171" s="4" t="str">
        <f>IFERROR(__xludf.DUMMYFUNCTION("""COMPUTED_VALUE"""),"ACAI DA TINA")</f>
        <v>ACAI DA TINA</v>
      </c>
      <c r="L4171" s="32">
        <f>IFERROR(__xludf.DUMMYFUNCTION("""COMPUTED_VALUE"""),2.0)</f>
        <v>2</v>
      </c>
      <c r="M4171" s="4" t="str">
        <f>IFERROR(__xludf.DUMMYFUNCTION("""COMPUTED_VALUE"""),"Anota Ai Solucoes Digitais S/a")</f>
        <v>Anota Ai Solucoes Digitais S/a</v>
      </c>
      <c r="N4171" s="33">
        <f>IFERROR(__xludf.DUMMYFUNCTION("""COMPUTED_VALUE"""),0.5)</f>
        <v>0.5</v>
      </c>
      <c r="O4171" s="4" t="str">
        <f>IFERROR(__xludf.DUMMYFUNCTION("""COMPUTED_VALUE"""),"Anota Ai Solucoes Digitais S/a")</f>
        <v>Anota Ai Solucoes Digitais S/a</v>
      </c>
      <c r="P4171" s="33">
        <f>IFERROR(__xludf.DUMMYFUNCTION("""COMPUTED_VALUE"""),0.5)</f>
        <v>0.5</v>
      </c>
      <c r="Q4171" s="4" t="str">
        <f>IFERROR(__xludf.DUMMYFUNCTION("""COMPUTED_VALUE"""),"Anota Ai Solucoes Digitais S/a")</f>
        <v>Anota Ai Solucoes Digitais S/a</v>
      </c>
      <c r="R4171" s="33">
        <f>IFERROR(__xludf.DUMMYFUNCTION("""COMPUTED_VALUE"""),0.5)</f>
        <v>0.5</v>
      </c>
      <c r="S4171" s="4" t="str">
        <f>IFERROR(__xludf.DUMMYFUNCTION("""COMPUTED_VALUE"""),"Anota Ai Solucoes Digitais S/a")</f>
        <v>Anota Ai Solucoes Digitais S/a</v>
      </c>
      <c r="T4171" s="33">
        <f>IFERROR(__xludf.DUMMYFUNCTION("""COMPUTED_VALUE"""),0.5)</f>
        <v>0.5</v>
      </c>
      <c r="U4171" s="4" t="str">
        <f>IFERROR(__xludf.DUMMYFUNCTION("""COMPUTED_VALUE"""),"Anota Ai Solucoes Digitais S/a")</f>
        <v>Anota Ai Solucoes Digitais S/a</v>
      </c>
      <c r="V4171" s="33">
        <f>IFERROR(__xludf.DUMMYFUNCTION("""COMPUTED_VALUE"""),0.5)</f>
        <v>0.5</v>
      </c>
      <c r="W4171" s="4" t="str">
        <f>IFERROR(__xludf.DUMMYFUNCTION("""COMPUTED_VALUE"""),"Anota Ai Solucoes Digitais S/a")</f>
        <v>Anota Ai Solucoes Digitais S/a</v>
      </c>
      <c r="X4171" s="33">
        <f>IFERROR(__xludf.DUMMYFUNCTION("""COMPUTED_VALUE"""),0.5)</f>
        <v>0.5</v>
      </c>
    </row>
    <row r="4172">
      <c r="K4172" s="4" t="str">
        <f>IFERROR(__xludf.DUMMYFUNCTION("""COMPUTED_VALUE"""),"OXE ACAI")</f>
        <v>OXE ACAI</v>
      </c>
      <c r="L4172" s="32">
        <f>IFERROR(__xludf.DUMMYFUNCTION("""COMPUTED_VALUE"""),2.0)</f>
        <v>2</v>
      </c>
      <c r="M4172" s="4" t="str">
        <f>IFERROR(__xludf.DUMMYFUNCTION("""COMPUTED_VALUE"""),"Instadelivery")</f>
        <v>Instadelivery</v>
      </c>
      <c r="N4172" s="33">
        <f>IFERROR(__xludf.DUMMYFUNCTION("""COMPUTED_VALUE"""),0.5)</f>
        <v>0.5</v>
      </c>
      <c r="O4172" s="4" t="str">
        <f>IFERROR(__xludf.DUMMYFUNCTION("""COMPUTED_VALUE"""),"Instadelivery")</f>
        <v>Instadelivery</v>
      </c>
      <c r="P4172" s="33">
        <f>IFERROR(__xludf.DUMMYFUNCTION("""COMPUTED_VALUE"""),1.0)</f>
        <v>1</v>
      </c>
      <c r="Q4172" s="4" t="str">
        <f>IFERROR(__xludf.DUMMYFUNCTION("""COMPUTED_VALUE"""),"Instadelivery")</f>
        <v>Instadelivery</v>
      </c>
      <c r="R4172" s="33">
        <f>IFERROR(__xludf.DUMMYFUNCTION("""COMPUTED_VALUE"""),1.0)</f>
        <v>1</v>
      </c>
      <c r="S4172" s="4" t="str">
        <f>IFERROR(__xludf.DUMMYFUNCTION("""COMPUTED_VALUE"""),"Instadelivery")</f>
        <v>Instadelivery</v>
      </c>
      <c r="T4172" s="33">
        <f>IFERROR(__xludf.DUMMYFUNCTION("""COMPUTED_VALUE"""),1.0)</f>
        <v>1</v>
      </c>
      <c r="U4172" s="4" t="str">
        <f>IFERROR(__xludf.DUMMYFUNCTION("""COMPUTED_VALUE"""),"Instadelivery")</f>
        <v>Instadelivery</v>
      </c>
      <c r="V4172" s="33">
        <f>IFERROR(__xludf.DUMMYFUNCTION("""COMPUTED_VALUE"""),0.5)</f>
        <v>0.5</v>
      </c>
      <c r="W4172" s="4" t="str">
        <f>IFERROR(__xludf.DUMMYFUNCTION("""COMPUTED_VALUE"""),"Instadelivery")</f>
        <v>Instadelivery</v>
      </c>
      <c r="X4172" s="33">
        <f>IFERROR(__xludf.DUMMYFUNCTION("""COMPUTED_VALUE"""),0.5)</f>
        <v>0.5</v>
      </c>
    </row>
    <row r="4173">
      <c r="K4173" s="4" t="str">
        <f>IFERROR(__xludf.DUMMYFUNCTION("""COMPUTED_VALUE"""),"SAKAI SUSHI DELIVERY")</f>
        <v>SAKAI SUSHI DELIVERY</v>
      </c>
      <c r="L4173" s="32">
        <f>IFERROR(__xludf.DUMMYFUNCTION("""COMPUTED_VALUE"""),2.0)</f>
        <v>2</v>
      </c>
      <c r="M4173" s="4" t="str">
        <f>IFERROR(__xludf.DUMMYFUNCTION("""COMPUTED_VALUE"""),"Suitable Tecnologia E Gestao")</f>
        <v>Suitable Tecnologia E Gestao</v>
      </c>
      <c r="N4173" s="33">
        <f>IFERROR(__xludf.DUMMYFUNCTION("""COMPUTED_VALUE"""),0.5)</f>
        <v>0.5</v>
      </c>
      <c r="O4173" s="4" t="str">
        <f>IFERROR(__xludf.DUMMYFUNCTION("""COMPUTED_VALUE"""),"Suitable Tecnologia E Gestao")</f>
        <v>Suitable Tecnologia E Gestao</v>
      </c>
      <c r="P4173" s="33">
        <f>IFERROR(__xludf.DUMMYFUNCTION("""COMPUTED_VALUE"""),0.5)</f>
        <v>0.5</v>
      </c>
      <c r="Q4173" s="4" t="str">
        <f>IFERROR(__xludf.DUMMYFUNCTION("""COMPUTED_VALUE"""),"Suitable Tecnologia E Gestao")</f>
        <v>Suitable Tecnologia E Gestao</v>
      </c>
      <c r="R4173" s="33">
        <f>IFERROR(__xludf.DUMMYFUNCTION("""COMPUTED_VALUE"""),0.5)</f>
        <v>0.5</v>
      </c>
      <c r="S4173" s="4" t="str">
        <f>IFERROR(__xludf.DUMMYFUNCTION("""COMPUTED_VALUE"""),"Suitable Tecnologia E Gestao")</f>
        <v>Suitable Tecnologia E Gestao</v>
      </c>
      <c r="T4173" s="33">
        <f>IFERROR(__xludf.DUMMYFUNCTION("""COMPUTED_VALUE"""),0.5)</f>
        <v>0.5</v>
      </c>
      <c r="U4173" s="4" t="str">
        <f>IFERROR(__xludf.DUMMYFUNCTION("""COMPUTED_VALUE"""),"Suitable Tecnologia E Gestao")</f>
        <v>Suitable Tecnologia E Gestao</v>
      </c>
      <c r="V4173" s="33">
        <f>IFERROR(__xludf.DUMMYFUNCTION("""COMPUTED_VALUE"""),0.5)</f>
        <v>0.5</v>
      </c>
      <c r="W4173" s="4" t="str">
        <f>IFERROR(__xludf.DUMMYFUNCTION("""COMPUTED_VALUE"""),"Suitable Tecnologia E Gestao")</f>
        <v>Suitable Tecnologia E Gestao</v>
      </c>
      <c r="X4173" s="33">
        <f>IFERROR(__xludf.DUMMYFUNCTION("""COMPUTED_VALUE"""),0.5)</f>
        <v>0.5</v>
      </c>
    </row>
    <row r="4174">
      <c r="K4174" s="4" t="str">
        <f>IFERROR(__xludf.DUMMYFUNCTION("""COMPUTED_VALUE"""),"INSANUS BURGUER")</f>
        <v>INSANUS BURGUER</v>
      </c>
      <c r="L4174" s="32">
        <f>IFERROR(__xludf.DUMMYFUNCTION("""COMPUTED_VALUE"""),2.0)</f>
        <v>2</v>
      </c>
      <c r="M4174" s="4" t="str">
        <f>IFERROR(__xludf.DUMMYFUNCTION("""COMPUTED_VALUE"""),"Bitbar")</f>
        <v>Bitbar</v>
      </c>
      <c r="N4174" s="33">
        <f>IFERROR(__xludf.DUMMYFUNCTION("""COMPUTED_VALUE"""),1.0)</f>
        <v>1</v>
      </c>
      <c r="O4174" s="4" t="str">
        <f>IFERROR(__xludf.DUMMYFUNCTION("""COMPUTED_VALUE"""),"Bitbar")</f>
        <v>Bitbar</v>
      </c>
      <c r="P4174" s="33">
        <f>IFERROR(__xludf.DUMMYFUNCTION("""COMPUTED_VALUE"""),1.0)</f>
        <v>1</v>
      </c>
      <c r="Q4174" s="4" t="str">
        <f>IFERROR(__xludf.DUMMYFUNCTION("""COMPUTED_VALUE"""),"Bitbar")</f>
        <v>Bitbar</v>
      </c>
      <c r="R4174" s="33">
        <f>IFERROR(__xludf.DUMMYFUNCTION("""COMPUTED_VALUE"""),1.0)</f>
        <v>1</v>
      </c>
      <c r="S4174" s="4" t="str">
        <f>IFERROR(__xludf.DUMMYFUNCTION("""COMPUTED_VALUE"""),"Bitbar")</f>
        <v>Bitbar</v>
      </c>
      <c r="T4174" s="33">
        <f>IFERROR(__xludf.DUMMYFUNCTION("""COMPUTED_VALUE"""),1.0)</f>
        <v>1</v>
      </c>
      <c r="U4174" s="4" t="str">
        <f>IFERROR(__xludf.DUMMYFUNCTION("""COMPUTED_VALUE"""),"null")</f>
        <v>null</v>
      </c>
      <c r="V4174" s="33">
        <f>IFERROR(__xludf.DUMMYFUNCTION("""COMPUTED_VALUE"""),0.5)</f>
        <v>0.5</v>
      </c>
      <c r="W4174" s="4" t="str">
        <f>IFERROR(__xludf.DUMMYFUNCTION("""COMPUTED_VALUE"""),"Bitbar")</f>
        <v>Bitbar</v>
      </c>
      <c r="X4174" s="33">
        <f>IFERROR(__xludf.DUMMYFUNCTION("""COMPUTED_VALUE"""),0.5)</f>
        <v>0.5</v>
      </c>
    </row>
    <row r="4175">
      <c r="K4175" s="4" t="str">
        <f>IFERROR(__xludf.DUMMYFUNCTION("""COMPUTED_VALUE"""),"DITALIA PIZZARIA")</f>
        <v>DITALIA PIZZARIA</v>
      </c>
      <c r="L4175" s="32">
        <f>IFERROR(__xludf.DUMMYFUNCTION("""COMPUTED_VALUE"""),2.0)</f>
        <v>2</v>
      </c>
      <c r="M4175" s="4" t="str">
        <f>IFERROR(__xludf.DUMMYFUNCTION("""COMPUTED_VALUE"""),"Ccm Pedido Online")</f>
        <v>Ccm Pedido Online</v>
      </c>
      <c r="N4175" s="33">
        <f>IFERROR(__xludf.DUMMYFUNCTION("""COMPUTED_VALUE"""),0.5)</f>
        <v>0.5</v>
      </c>
      <c r="O4175" s="4" t="str">
        <f>IFERROR(__xludf.DUMMYFUNCTION("""COMPUTED_VALUE"""),"Ccm Pedido Online")</f>
        <v>Ccm Pedido Online</v>
      </c>
      <c r="P4175" s="33">
        <f>IFERROR(__xludf.DUMMYFUNCTION("""COMPUTED_VALUE"""),0.5)</f>
        <v>0.5</v>
      </c>
      <c r="Q4175" s="4" t="str">
        <f>IFERROR(__xludf.DUMMYFUNCTION("""COMPUTED_VALUE"""),"Ccm Pedido Online")</f>
        <v>Ccm Pedido Online</v>
      </c>
      <c r="R4175" s="33">
        <f>IFERROR(__xludf.DUMMYFUNCTION("""COMPUTED_VALUE"""),0.5)</f>
        <v>0.5</v>
      </c>
      <c r="S4175" s="4" t="str">
        <f>IFERROR(__xludf.DUMMYFUNCTION("""COMPUTED_VALUE"""),"Ccm Pedido Online")</f>
        <v>Ccm Pedido Online</v>
      </c>
      <c r="T4175" s="33">
        <f>IFERROR(__xludf.DUMMYFUNCTION("""COMPUTED_VALUE"""),0.5)</f>
        <v>0.5</v>
      </c>
      <c r="U4175" s="4" t="str">
        <f>IFERROR(__xludf.DUMMYFUNCTION("""COMPUTED_VALUE"""),"Ccm Pedido Online")</f>
        <v>Ccm Pedido Online</v>
      </c>
      <c r="V4175" s="33">
        <f>IFERROR(__xludf.DUMMYFUNCTION("""COMPUTED_VALUE"""),0.5)</f>
        <v>0.5</v>
      </c>
      <c r="W4175" s="4" t="str">
        <f>IFERROR(__xludf.DUMMYFUNCTION("""COMPUTED_VALUE"""),"Ccm Pedido Online")</f>
        <v>Ccm Pedido Online</v>
      </c>
      <c r="X4175" s="33">
        <f>IFERROR(__xludf.DUMMYFUNCTION("""COMPUTED_VALUE"""),0.5)</f>
        <v>0.5</v>
      </c>
    </row>
    <row r="4176">
      <c r="K4176" s="4" t="str">
        <f>IFERROR(__xludf.DUMMYFUNCTION("""COMPUTED_VALUE"""),"CHURRASQUINHO DA FABIANA")</f>
        <v>CHURRASQUINHO DA FABIANA</v>
      </c>
      <c r="L4176" s="32">
        <f>IFERROR(__xludf.DUMMYFUNCTION("""COMPUTED_VALUE"""),2.0)</f>
        <v>2</v>
      </c>
      <c r="M4176" s="4" t="str">
        <f>IFERROR(__xludf.DUMMYFUNCTION("""COMPUTED_VALUE"""),"Takeat Tecnologia")</f>
        <v>Takeat Tecnologia</v>
      </c>
      <c r="N4176" s="33">
        <f>IFERROR(__xludf.DUMMYFUNCTION("""COMPUTED_VALUE"""),1.0)</f>
        <v>1</v>
      </c>
      <c r="O4176" s="4" t="str">
        <f>IFERROR(__xludf.DUMMYFUNCTION("""COMPUTED_VALUE"""),"Takeat Tecnologia")</f>
        <v>Takeat Tecnologia</v>
      </c>
      <c r="P4176" s="33">
        <f>IFERROR(__xludf.DUMMYFUNCTION("""COMPUTED_VALUE"""),1.0)</f>
        <v>1</v>
      </c>
      <c r="Q4176" s="4" t="str">
        <f>IFERROR(__xludf.DUMMYFUNCTION("""COMPUTED_VALUE"""),"Takeat Tecnologia")</f>
        <v>Takeat Tecnologia</v>
      </c>
      <c r="R4176" s="33">
        <f>IFERROR(__xludf.DUMMYFUNCTION("""COMPUTED_VALUE"""),1.0)</f>
        <v>1</v>
      </c>
      <c r="S4176" s="4" t="str">
        <f>IFERROR(__xludf.DUMMYFUNCTION("""COMPUTED_VALUE"""),"Takeat Tecnologia")</f>
        <v>Takeat Tecnologia</v>
      </c>
      <c r="T4176" s="33">
        <f>IFERROR(__xludf.DUMMYFUNCTION("""COMPUTED_VALUE"""),1.0)</f>
        <v>1</v>
      </c>
      <c r="U4176" s="4" t="str">
        <f>IFERROR(__xludf.DUMMYFUNCTION("""COMPUTED_VALUE"""),"Takeat Tecnologia")</f>
        <v>Takeat Tecnologia</v>
      </c>
      <c r="V4176" s="33">
        <f>IFERROR(__xludf.DUMMYFUNCTION("""COMPUTED_VALUE"""),1.0)</f>
        <v>1</v>
      </c>
      <c r="W4176" s="4" t="str">
        <f>IFERROR(__xludf.DUMMYFUNCTION("""COMPUTED_VALUE"""),"Takeat Tecnologia")</f>
        <v>Takeat Tecnologia</v>
      </c>
      <c r="X4176" s="33">
        <f>IFERROR(__xludf.DUMMYFUNCTION("""COMPUTED_VALUE"""),1.0)</f>
        <v>1</v>
      </c>
    </row>
    <row r="4177">
      <c r="K4177" s="4" t="str">
        <f>IFERROR(__xludf.DUMMYFUNCTION("""COMPUTED_VALUE"""),"O REI DO ACAI")</f>
        <v>O REI DO ACAI</v>
      </c>
      <c r="L4177" s="32">
        <f>IFERROR(__xludf.DUMMYFUNCTION("""COMPUTED_VALUE"""),2.0)</f>
        <v>2</v>
      </c>
      <c r="M4177" s="4" t="str">
        <f>IFERROR(__xludf.DUMMYFUNCTION("""COMPUTED_VALUE"""),"Anota Ai Solucoes Digitais S/a")</f>
        <v>Anota Ai Solucoes Digitais S/a</v>
      </c>
      <c r="N4177" s="33">
        <f>IFERROR(__xludf.DUMMYFUNCTION("""COMPUTED_VALUE"""),0.5)</f>
        <v>0.5</v>
      </c>
      <c r="O4177" s="4" t="str">
        <f>IFERROR(__xludf.DUMMYFUNCTION("""COMPUTED_VALUE"""),"null")</f>
        <v>null</v>
      </c>
      <c r="P4177" s="33">
        <f>IFERROR(__xludf.DUMMYFUNCTION("""COMPUTED_VALUE"""),0.5)</f>
        <v>0.5</v>
      </c>
      <c r="Q4177" s="4" t="str">
        <f>IFERROR(__xludf.DUMMYFUNCTION("""COMPUTED_VALUE"""),"null")</f>
        <v>null</v>
      </c>
      <c r="R4177" s="33">
        <f>IFERROR(__xludf.DUMMYFUNCTION("""COMPUTED_VALUE"""),0.5)</f>
        <v>0.5</v>
      </c>
      <c r="S4177" s="4" t="str">
        <f>IFERROR(__xludf.DUMMYFUNCTION("""COMPUTED_VALUE"""),"null")</f>
        <v>null</v>
      </c>
      <c r="T4177" s="33">
        <f>IFERROR(__xludf.DUMMYFUNCTION("""COMPUTED_VALUE"""),0.5)</f>
        <v>0.5</v>
      </c>
      <c r="U4177" s="4" t="str">
        <f>IFERROR(__xludf.DUMMYFUNCTION("""COMPUTED_VALUE"""),"null")</f>
        <v>null</v>
      </c>
      <c r="V4177" s="33">
        <f>IFERROR(__xludf.DUMMYFUNCTION("""COMPUTED_VALUE"""),0.5)</f>
        <v>0.5</v>
      </c>
      <c r="W4177" s="4" t="str">
        <f>IFERROR(__xludf.DUMMYFUNCTION("""COMPUTED_VALUE"""),"null")</f>
        <v>null</v>
      </c>
      <c r="X4177" s="33">
        <f>IFERROR(__xludf.DUMMYFUNCTION("""COMPUTED_VALUE"""),0.5)</f>
        <v>0.5</v>
      </c>
    </row>
    <row r="4178">
      <c r="K4178" s="4" t="str">
        <f>IFERROR(__xludf.DUMMYFUNCTION("""COMPUTED_VALUE"""),"GELA BOCA ACAI")</f>
        <v>GELA BOCA ACAI</v>
      </c>
      <c r="L4178" s="32">
        <f>IFERROR(__xludf.DUMMYFUNCTION("""COMPUTED_VALUE"""),2.0)</f>
        <v>2</v>
      </c>
      <c r="M4178" s="4" t="str">
        <f>IFERROR(__xludf.DUMMYFUNCTION("""COMPUTED_VALUE"""),"null")</f>
        <v>null</v>
      </c>
      <c r="N4178" s="33">
        <f>IFERROR(__xludf.DUMMYFUNCTION("""COMPUTED_VALUE"""),1.0)</f>
        <v>1</v>
      </c>
      <c r="O4178" s="4" t="str">
        <f>IFERROR(__xludf.DUMMYFUNCTION("""COMPUTED_VALUE"""),"Santi")</f>
        <v>Santi</v>
      </c>
      <c r="P4178" s="33">
        <f>IFERROR(__xludf.DUMMYFUNCTION("""COMPUTED_VALUE"""),1.0)</f>
        <v>1</v>
      </c>
      <c r="Q4178" s="4" t="str">
        <f>IFERROR(__xludf.DUMMYFUNCTION("""COMPUTED_VALUE"""),"null")</f>
        <v>null</v>
      </c>
      <c r="R4178" s="33">
        <f>IFERROR(__xludf.DUMMYFUNCTION("""COMPUTED_VALUE"""),1.0)</f>
        <v>1</v>
      </c>
      <c r="S4178" s="4" t="str">
        <f>IFERROR(__xludf.DUMMYFUNCTION("""COMPUTED_VALUE"""),"Instadelivery")</f>
        <v>Instadelivery</v>
      </c>
      <c r="T4178" s="33">
        <f>IFERROR(__xludf.DUMMYFUNCTION("""COMPUTED_VALUE"""),1.0)</f>
        <v>1</v>
      </c>
      <c r="U4178" s="4" t="str">
        <f>IFERROR(__xludf.DUMMYFUNCTION("""COMPUTED_VALUE"""),"null")</f>
        <v>null</v>
      </c>
      <c r="V4178" s="33">
        <f>IFERROR(__xludf.DUMMYFUNCTION("""COMPUTED_VALUE"""),1.0)</f>
        <v>1</v>
      </c>
      <c r="W4178" s="4" t="str">
        <f>IFERROR(__xludf.DUMMYFUNCTION("""COMPUTED_VALUE"""),"null")</f>
        <v>null</v>
      </c>
      <c r="X4178" s="33">
        <f>IFERROR(__xludf.DUMMYFUNCTION("""COMPUTED_VALUE"""),1.0)</f>
        <v>1</v>
      </c>
    </row>
    <row r="4179">
      <c r="K4179" s="4" t="str">
        <f>IFERROR(__xludf.DUMMYFUNCTION("""COMPUTED_VALUE"""),"MASTERDOG PREMIUM MATRIZ")</f>
        <v>MASTERDOG PREMIUM MATRIZ</v>
      </c>
      <c r="L4179" s="32">
        <f>IFERROR(__xludf.DUMMYFUNCTION("""COMPUTED_VALUE"""),2.0)</f>
        <v>2</v>
      </c>
      <c r="M4179" s="4" t="str">
        <f>IFERROR(__xludf.DUMMYFUNCTION("""COMPUTED_VALUE"""),"Saipos Serviços De Software")</f>
        <v>Saipos Serviços De Software</v>
      </c>
      <c r="N4179" s="33">
        <f>IFERROR(__xludf.DUMMYFUNCTION("""COMPUTED_VALUE"""),0.5)</f>
        <v>0.5</v>
      </c>
      <c r="O4179" s="4" t="str">
        <f>IFERROR(__xludf.DUMMYFUNCTION("""COMPUTED_VALUE"""),"Saipos Serviços De Software")</f>
        <v>Saipos Serviços De Software</v>
      </c>
      <c r="P4179" s="33">
        <f>IFERROR(__xludf.DUMMYFUNCTION("""COMPUTED_VALUE"""),1.0)</f>
        <v>1</v>
      </c>
      <c r="Q4179" s="4" t="str">
        <f>IFERROR(__xludf.DUMMYFUNCTION("""COMPUTED_VALUE"""),"Saipos Serviços De Software")</f>
        <v>Saipos Serviços De Software</v>
      </c>
      <c r="R4179" s="33">
        <f>IFERROR(__xludf.DUMMYFUNCTION("""COMPUTED_VALUE"""),1.0)</f>
        <v>1</v>
      </c>
      <c r="S4179" s="4" t="str">
        <f>IFERROR(__xludf.DUMMYFUNCTION("""COMPUTED_VALUE"""),"Saipos Serviços De Software")</f>
        <v>Saipos Serviços De Software</v>
      </c>
      <c r="T4179" s="33">
        <f>IFERROR(__xludf.DUMMYFUNCTION("""COMPUTED_VALUE"""),1.0)</f>
        <v>1</v>
      </c>
      <c r="U4179" s="4" t="str">
        <f>IFERROR(__xludf.DUMMYFUNCTION("""COMPUTED_VALUE"""),"Saipos Serviços De Software")</f>
        <v>Saipos Serviços De Software</v>
      </c>
      <c r="V4179" s="33">
        <f>IFERROR(__xludf.DUMMYFUNCTION("""COMPUTED_VALUE"""),1.0)</f>
        <v>1</v>
      </c>
      <c r="W4179" s="4" t="str">
        <f>IFERROR(__xludf.DUMMYFUNCTION("""COMPUTED_VALUE"""),"Saipos Serviços De Software")</f>
        <v>Saipos Serviços De Software</v>
      </c>
      <c r="X4179" s="33">
        <f>IFERROR(__xludf.DUMMYFUNCTION("""COMPUTED_VALUE"""),1.0)</f>
        <v>1</v>
      </c>
    </row>
    <row r="4180">
      <c r="K4180" s="4" t="str">
        <f>IFERROR(__xludf.DUMMYFUNCTION("""COMPUTED_VALUE"""),"RESTAURANTE REAL")</f>
        <v>RESTAURANTE REAL</v>
      </c>
      <c r="L4180" s="32">
        <f>IFERROR(__xludf.DUMMYFUNCTION("""COMPUTED_VALUE"""),2.0)</f>
        <v>2</v>
      </c>
      <c r="M4180" s="4" t="str">
        <f>IFERROR(__xludf.DUMMYFUNCTION("""COMPUTED_VALUE"""),"Anota Ai Solucoes Digitais S/a")</f>
        <v>Anota Ai Solucoes Digitais S/a</v>
      </c>
      <c r="N4180" s="33">
        <f>IFERROR(__xludf.DUMMYFUNCTION("""COMPUTED_VALUE"""),1.0)</f>
        <v>1</v>
      </c>
      <c r="O4180" s="4" t="str">
        <f>IFERROR(__xludf.DUMMYFUNCTION("""COMPUTED_VALUE"""),"Anota Ai Solucoes Digitais S/a")</f>
        <v>Anota Ai Solucoes Digitais S/a</v>
      </c>
      <c r="P4180" s="33">
        <f>IFERROR(__xludf.DUMMYFUNCTION("""COMPUTED_VALUE"""),1.0)</f>
        <v>1</v>
      </c>
      <c r="Q4180" s="4" t="str">
        <f>IFERROR(__xludf.DUMMYFUNCTION("""COMPUTED_VALUE"""),"Saipos Serviços De Software")</f>
        <v>Saipos Serviços De Software</v>
      </c>
      <c r="R4180" s="33">
        <f>IFERROR(__xludf.DUMMYFUNCTION("""COMPUTED_VALUE"""),0.5)</f>
        <v>0.5</v>
      </c>
      <c r="S4180" s="4" t="str">
        <f>IFERROR(__xludf.DUMMYFUNCTION("""COMPUTED_VALUE"""),"Saipos Serviços De Software")</f>
        <v>Saipos Serviços De Software</v>
      </c>
      <c r="T4180" s="33">
        <f>IFERROR(__xludf.DUMMYFUNCTION("""COMPUTED_VALUE"""),0.5)</f>
        <v>0.5</v>
      </c>
      <c r="U4180" s="4" t="str">
        <f>IFERROR(__xludf.DUMMYFUNCTION("""COMPUTED_VALUE"""),"Saipos Serviços De Software")</f>
        <v>Saipos Serviços De Software</v>
      </c>
      <c r="V4180" s="33">
        <f>IFERROR(__xludf.DUMMYFUNCTION("""COMPUTED_VALUE"""),0.5)</f>
        <v>0.5</v>
      </c>
      <c r="W4180" s="4" t="str">
        <f>IFERROR(__xludf.DUMMYFUNCTION("""COMPUTED_VALUE"""),"Saipos Serviços De Software")</f>
        <v>Saipos Serviços De Software</v>
      </c>
      <c r="X4180" s="33">
        <f>IFERROR(__xludf.DUMMYFUNCTION("""COMPUTED_VALUE"""),1.0)</f>
        <v>1</v>
      </c>
    </row>
    <row r="4181">
      <c r="K4181" s="4" t="str">
        <f>IFERROR(__xludf.DUMMYFUNCTION("""COMPUTED_VALUE"""),"KS BURGUER")</f>
        <v>KS BURGUER</v>
      </c>
      <c r="L4181" s="32">
        <f>IFERROR(__xludf.DUMMYFUNCTION("""COMPUTED_VALUE"""),2.0)</f>
        <v>2</v>
      </c>
      <c r="M4181" s="4" t="str">
        <f>IFERROR(__xludf.DUMMYFUNCTION("""COMPUTED_VALUE"""),"Brendi")</f>
        <v>Brendi</v>
      </c>
      <c r="N4181" s="33">
        <f>IFERROR(__xludf.DUMMYFUNCTION("""COMPUTED_VALUE"""),0.5)</f>
        <v>0.5</v>
      </c>
      <c r="O4181" s="4" t="str">
        <f>IFERROR(__xludf.DUMMYFUNCTION("""COMPUTED_VALUE"""),"Brendi")</f>
        <v>Brendi</v>
      </c>
      <c r="P4181" s="33">
        <f>IFERROR(__xludf.DUMMYFUNCTION("""COMPUTED_VALUE"""),0.5)</f>
        <v>0.5</v>
      </c>
      <c r="Q4181" s="4" t="str">
        <f>IFERROR(__xludf.DUMMYFUNCTION("""COMPUTED_VALUE"""),"Brendi")</f>
        <v>Brendi</v>
      </c>
      <c r="R4181" s="33">
        <f>IFERROR(__xludf.DUMMYFUNCTION("""COMPUTED_VALUE"""),0.5)</f>
        <v>0.5</v>
      </c>
      <c r="S4181" s="4" t="str">
        <f>IFERROR(__xludf.DUMMYFUNCTION("""COMPUTED_VALUE"""),"Brendi")</f>
        <v>Brendi</v>
      </c>
      <c r="T4181" s="33">
        <f>IFERROR(__xludf.DUMMYFUNCTION("""COMPUTED_VALUE"""),0.5)</f>
        <v>0.5</v>
      </c>
      <c r="U4181" s="4" t="str">
        <f>IFERROR(__xludf.DUMMYFUNCTION("""COMPUTED_VALUE"""),"null")</f>
        <v>null</v>
      </c>
      <c r="V4181" s="33">
        <f>IFERROR(__xludf.DUMMYFUNCTION("""COMPUTED_VALUE"""),1.0)</f>
        <v>1</v>
      </c>
      <c r="W4181" s="4" t="str">
        <f>IFERROR(__xludf.DUMMYFUNCTION("""COMPUTED_VALUE"""),"Brendi")</f>
        <v>Brendi</v>
      </c>
      <c r="X4181" s="33">
        <f>IFERROR(__xludf.DUMMYFUNCTION("""COMPUTED_VALUE"""),0.5)</f>
        <v>0.5</v>
      </c>
    </row>
    <row r="4182">
      <c r="K4182" s="4" t="str">
        <f>IFERROR(__xludf.DUMMYFUNCTION("""COMPUTED_VALUE"""),"LOS HERMANOS")</f>
        <v>LOS HERMANOS</v>
      </c>
      <c r="L4182" s="32">
        <f>IFERROR(__xludf.DUMMYFUNCTION("""COMPUTED_VALUE"""),2.0)</f>
        <v>2</v>
      </c>
      <c r="M4182" s="4" t="str">
        <f>IFERROR(__xludf.DUMMYFUNCTION("""COMPUTED_VALUE"""),"null")</f>
        <v>null</v>
      </c>
      <c r="N4182" s="33">
        <f>IFERROR(__xludf.DUMMYFUNCTION("""COMPUTED_VALUE"""),1.0)</f>
        <v>1</v>
      </c>
      <c r="O4182" s="4" t="str">
        <f>IFERROR(__xludf.DUMMYFUNCTION("""COMPUTED_VALUE"""),"null")</f>
        <v>null</v>
      </c>
      <c r="P4182" s="33">
        <f>IFERROR(__xludf.DUMMYFUNCTION("""COMPUTED_VALUE"""),1.0)</f>
        <v>1</v>
      </c>
      <c r="Q4182" s="4" t="str">
        <f>IFERROR(__xludf.DUMMYFUNCTION("""COMPUTED_VALUE"""),"null")</f>
        <v>null</v>
      </c>
      <c r="R4182" s="33">
        <f>IFERROR(__xludf.DUMMYFUNCTION("""COMPUTED_VALUE"""),1.0)</f>
        <v>1</v>
      </c>
      <c r="S4182" s="4" t="str">
        <f>IFERROR(__xludf.DUMMYFUNCTION("""COMPUTED_VALUE"""),"null")</f>
        <v>null</v>
      </c>
      <c r="T4182" s="33">
        <f>IFERROR(__xludf.DUMMYFUNCTION("""COMPUTED_VALUE"""),0.5)</f>
        <v>0.5</v>
      </c>
      <c r="U4182" s="4" t="str">
        <f>IFERROR(__xludf.DUMMYFUNCTION("""COMPUTED_VALUE"""),"null")</f>
        <v>null</v>
      </c>
      <c r="V4182" s="33">
        <f>IFERROR(__xludf.DUMMYFUNCTION("""COMPUTED_VALUE"""),0.5)</f>
        <v>0.5</v>
      </c>
      <c r="W4182" s="4" t="str">
        <f>IFERROR(__xludf.DUMMYFUNCTION("""COMPUTED_VALUE"""),"Consumer Soluções Em Tecnologia Ltda")</f>
        <v>Consumer Soluções Em Tecnologia Ltda</v>
      </c>
      <c r="X4182" s="33">
        <f>IFERROR(__xludf.DUMMYFUNCTION("""COMPUTED_VALUE"""),0.5)</f>
        <v>0.5</v>
      </c>
    </row>
    <row r="4183">
      <c r="K4183" s="4" t="str">
        <f>IFERROR(__xludf.DUMMYFUNCTION("""COMPUTED_VALUE"""),"CALIFORNIA BURGER")</f>
        <v>CALIFORNIA BURGER</v>
      </c>
      <c r="L4183" s="32">
        <f>IFERROR(__xludf.DUMMYFUNCTION("""COMPUTED_VALUE"""),2.0)</f>
        <v>2</v>
      </c>
      <c r="M4183" s="4" t="str">
        <f>IFERROR(__xludf.DUMMYFUNCTION("""COMPUTED_VALUE"""),"Anota Ai Solucoes Digitais S/a")</f>
        <v>Anota Ai Solucoes Digitais S/a</v>
      </c>
      <c r="N4183" s="33">
        <f>IFERROR(__xludf.DUMMYFUNCTION("""COMPUTED_VALUE"""),0.5)</f>
        <v>0.5</v>
      </c>
      <c r="O4183" s="4" t="str">
        <f>IFERROR(__xludf.DUMMYFUNCTION("""COMPUTED_VALUE"""),"Anota Ai Solucoes Digitais S/a")</f>
        <v>Anota Ai Solucoes Digitais S/a</v>
      </c>
      <c r="P4183" s="33">
        <f>IFERROR(__xludf.DUMMYFUNCTION("""COMPUTED_VALUE"""),0.5)</f>
        <v>0.5</v>
      </c>
      <c r="Q4183" s="4" t="str">
        <f>IFERROR(__xludf.DUMMYFUNCTION("""COMPUTED_VALUE"""),"Anota Ai Solucoes Digitais S/a")</f>
        <v>Anota Ai Solucoes Digitais S/a</v>
      </c>
      <c r="R4183" s="33">
        <f>IFERROR(__xludf.DUMMYFUNCTION("""COMPUTED_VALUE"""),0.5)</f>
        <v>0.5</v>
      </c>
      <c r="S4183" s="4" t="str">
        <f>IFERROR(__xludf.DUMMYFUNCTION("""COMPUTED_VALUE"""),"Anota Ai Solucoes Digitais S/a")</f>
        <v>Anota Ai Solucoes Digitais S/a</v>
      </c>
      <c r="T4183" s="33">
        <f>IFERROR(__xludf.DUMMYFUNCTION("""COMPUTED_VALUE"""),0.5)</f>
        <v>0.5</v>
      </c>
      <c r="U4183" s="4" t="str">
        <f>IFERROR(__xludf.DUMMYFUNCTION("""COMPUTED_VALUE"""),"Anota Ai Solucoes Digitais S/a")</f>
        <v>Anota Ai Solucoes Digitais S/a</v>
      </c>
      <c r="V4183" s="33">
        <f>IFERROR(__xludf.DUMMYFUNCTION("""COMPUTED_VALUE"""),0.5)</f>
        <v>0.5</v>
      </c>
      <c r="W4183" s="4" t="str">
        <f>IFERROR(__xludf.DUMMYFUNCTION("""COMPUTED_VALUE"""),"Anota Ai Solucoes Digitais S/a")</f>
        <v>Anota Ai Solucoes Digitais S/a</v>
      </c>
      <c r="X4183" s="33">
        <f>IFERROR(__xludf.DUMMYFUNCTION("""COMPUTED_VALUE"""),0.5)</f>
        <v>0.5</v>
      </c>
    </row>
    <row r="4184">
      <c r="K4184" s="4" t="str">
        <f>IFERROR(__xludf.DUMMYFUNCTION("""COMPUTED_VALUE"""),"MASTER BURGERS")</f>
        <v>MASTER BURGERS</v>
      </c>
      <c r="L4184" s="32">
        <f>IFERROR(__xludf.DUMMYFUNCTION("""COMPUTED_VALUE"""),2.0)</f>
        <v>2</v>
      </c>
      <c r="M4184" s="4" t="str">
        <f>IFERROR(__xludf.DUMMYFUNCTION("""COMPUTED_VALUE"""),"Glow")</f>
        <v>Glow</v>
      </c>
      <c r="N4184" s="33">
        <f>IFERROR(__xludf.DUMMYFUNCTION("""COMPUTED_VALUE"""),0.5)</f>
        <v>0.5</v>
      </c>
      <c r="O4184" s="4" t="str">
        <f>IFERROR(__xludf.DUMMYFUNCTION("""COMPUTED_VALUE"""),"Glow")</f>
        <v>Glow</v>
      </c>
      <c r="P4184" s="33">
        <f>IFERROR(__xludf.DUMMYFUNCTION("""COMPUTED_VALUE"""),0.5)</f>
        <v>0.5</v>
      </c>
      <c r="Q4184" s="4" t="str">
        <f>IFERROR(__xludf.DUMMYFUNCTION("""COMPUTED_VALUE"""),"Glow")</f>
        <v>Glow</v>
      </c>
      <c r="R4184" s="33">
        <f>IFERROR(__xludf.DUMMYFUNCTION("""COMPUTED_VALUE"""),0.5)</f>
        <v>0.5</v>
      </c>
      <c r="S4184" s="4" t="str">
        <f>IFERROR(__xludf.DUMMYFUNCTION("""COMPUTED_VALUE"""),"null")</f>
        <v>null</v>
      </c>
      <c r="T4184" s="33">
        <f>IFERROR(__xludf.DUMMYFUNCTION("""COMPUTED_VALUE"""),0.5)</f>
        <v>0.5</v>
      </c>
      <c r="U4184" s="4" t="str">
        <f>IFERROR(__xludf.DUMMYFUNCTION("""COMPUTED_VALUE"""),"null")</f>
        <v>null</v>
      </c>
      <c r="V4184" s="33">
        <f>IFERROR(__xludf.DUMMYFUNCTION("""COMPUTED_VALUE"""),0.5)</f>
        <v>0.5</v>
      </c>
      <c r="W4184" s="4" t="str">
        <f>IFERROR(__xludf.DUMMYFUNCTION("""COMPUTED_VALUE"""),"null")</f>
        <v>null</v>
      </c>
      <c r="X4184" s="33">
        <f>IFERROR(__xludf.DUMMYFUNCTION("""COMPUTED_VALUE"""),0.5)</f>
        <v>0.5</v>
      </c>
    </row>
    <row r="4185">
      <c r="K4185" s="4" t="str">
        <f>IFERROR(__xludf.DUMMYFUNCTION("""COMPUTED_VALUE"""),"GOLDEN SUSHI")</f>
        <v>GOLDEN SUSHI</v>
      </c>
      <c r="L4185" s="32">
        <f>IFERROR(__xludf.DUMMYFUNCTION("""COMPUTED_VALUE"""),2.0)</f>
        <v>2</v>
      </c>
      <c r="M4185" s="4" t="str">
        <f>IFERROR(__xludf.DUMMYFUNCTION("""COMPUTED_VALUE"""),"Ncr")</f>
        <v>Ncr</v>
      </c>
      <c r="N4185" s="33">
        <f>IFERROR(__xludf.DUMMYFUNCTION("""COMPUTED_VALUE"""),0.5)</f>
        <v>0.5</v>
      </c>
      <c r="O4185" s="4" t="str">
        <f>IFERROR(__xludf.DUMMYFUNCTION("""COMPUTED_VALUE"""),"Ncr")</f>
        <v>Ncr</v>
      </c>
      <c r="P4185" s="33">
        <f>IFERROR(__xludf.DUMMYFUNCTION("""COMPUTED_VALUE"""),0.5)</f>
        <v>0.5</v>
      </c>
      <c r="Q4185" s="4" t="str">
        <f>IFERROR(__xludf.DUMMYFUNCTION("""COMPUTED_VALUE"""),"Ncr")</f>
        <v>Ncr</v>
      </c>
      <c r="R4185" s="33">
        <f>IFERROR(__xludf.DUMMYFUNCTION("""COMPUTED_VALUE"""),0.5)</f>
        <v>0.5</v>
      </c>
      <c r="S4185" s="4" t="str">
        <f>IFERROR(__xludf.DUMMYFUNCTION("""COMPUTED_VALUE"""),"Ncr")</f>
        <v>Ncr</v>
      </c>
      <c r="T4185" s="33">
        <f>IFERROR(__xludf.DUMMYFUNCTION("""COMPUTED_VALUE"""),0.5)</f>
        <v>0.5</v>
      </c>
      <c r="U4185" s="4" t="str">
        <f>IFERROR(__xludf.DUMMYFUNCTION("""COMPUTED_VALUE"""),"Ncr")</f>
        <v>Ncr</v>
      </c>
      <c r="V4185" s="33">
        <f>IFERROR(__xludf.DUMMYFUNCTION("""COMPUTED_VALUE"""),0.5)</f>
        <v>0.5</v>
      </c>
      <c r="W4185" s="4" t="str">
        <f>IFERROR(__xludf.DUMMYFUNCTION("""COMPUTED_VALUE"""),"Ncr")</f>
        <v>Ncr</v>
      </c>
      <c r="X4185" s="33">
        <f>IFERROR(__xludf.DUMMYFUNCTION("""COMPUTED_VALUE"""),0.5)</f>
        <v>0.5</v>
      </c>
    </row>
    <row r="4186">
      <c r="K4186" s="4" t="str">
        <f>IFERROR(__xludf.DUMMYFUNCTION("""COMPUTED_VALUE"""),"PASTEL DA AMIZADE")</f>
        <v>PASTEL DA AMIZADE</v>
      </c>
      <c r="L4186" s="32">
        <f>IFERROR(__xludf.DUMMYFUNCTION("""COMPUTED_VALUE"""),2.0)</f>
        <v>2</v>
      </c>
      <c r="M4186" s="4" t="str">
        <f>IFERROR(__xludf.DUMMYFUNCTION("""COMPUTED_VALUE"""),"Anota Ai Solucoes Digitais S/a")</f>
        <v>Anota Ai Solucoes Digitais S/a</v>
      </c>
      <c r="N4186" s="33">
        <f>IFERROR(__xludf.DUMMYFUNCTION("""COMPUTED_VALUE"""),0.5)</f>
        <v>0.5</v>
      </c>
      <c r="O4186" s="4" t="str">
        <f>IFERROR(__xludf.DUMMYFUNCTION("""COMPUTED_VALUE"""),"null")</f>
        <v>null</v>
      </c>
      <c r="P4186" s="33">
        <f>IFERROR(__xludf.DUMMYFUNCTION("""COMPUTED_VALUE"""),0.5)</f>
        <v>0.5</v>
      </c>
      <c r="Q4186" s="4" t="str">
        <f>IFERROR(__xludf.DUMMYFUNCTION("""COMPUTED_VALUE"""),"Anota Ai Solucoes Digitais S/a")</f>
        <v>Anota Ai Solucoes Digitais S/a</v>
      </c>
      <c r="R4186" s="33">
        <f>IFERROR(__xludf.DUMMYFUNCTION("""COMPUTED_VALUE"""),0.5)</f>
        <v>0.5</v>
      </c>
      <c r="S4186" s="4" t="str">
        <f>IFERROR(__xludf.DUMMYFUNCTION("""COMPUTED_VALUE"""),"Anota Ai Solucoes Digitais S/a")</f>
        <v>Anota Ai Solucoes Digitais S/a</v>
      </c>
      <c r="T4186" s="33">
        <f>IFERROR(__xludf.DUMMYFUNCTION("""COMPUTED_VALUE"""),0.5)</f>
        <v>0.5</v>
      </c>
      <c r="U4186" s="4" t="str">
        <f>IFERROR(__xludf.DUMMYFUNCTION("""COMPUTED_VALUE"""),"Anota Ai Solucoes Digitais S/a")</f>
        <v>Anota Ai Solucoes Digitais S/a</v>
      </c>
      <c r="V4186" s="33">
        <f>IFERROR(__xludf.DUMMYFUNCTION("""COMPUTED_VALUE"""),0.5)</f>
        <v>0.5</v>
      </c>
      <c r="W4186" s="4" t="str">
        <f>IFERROR(__xludf.DUMMYFUNCTION("""COMPUTED_VALUE"""),"Anota Ai Solucoes Digitais S/a")</f>
        <v>Anota Ai Solucoes Digitais S/a</v>
      </c>
      <c r="X4186" s="33">
        <f>IFERROR(__xludf.DUMMYFUNCTION("""COMPUTED_VALUE"""),0.5)</f>
        <v>0.5</v>
      </c>
    </row>
    <row r="4187">
      <c r="K4187" s="4" t="str">
        <f>IFERROR(__xludf.DUMMYFUNCTION("""COMPUTED_VALUE"""),"TUILE COOKIES CO - SUPER RECHEADOS")</f>
        <v>TUILE COOKIES CO - SUPER RECHEADOS</v>
      </c>
      <c r="L4187" s="32">
        <f>IFERROR(__xludf.DUMMYFUNCTION("""COMPUTED_VALUE"""),2.0)</f>
        <v>2</v>
      </c>
      <c r="M4187" s="4" t="str">
        <f>IFERROR(__xludf.DUMMYFUNCTION("""COMPUTED_VALUE"""),"Menew - Linx")</f>
        <v>Menew - Linx</v>
      </c>
      <c r="N4187" s="33">
        <f>IFERROR(__xludf.DUMMYFUNCTION("""COMPUTED_VALUE"""),1.0)</f>
        <v>1</v>
      </c>
      <c r="O4187" s="4" t="str">
        <f>IFERROR(__xludf.DUMMYFUNCTION("""COMPUTED_VALUE"""),"Menew - Linx")</f>
        <v>Menew - Linx</v>
      </c>
      <c r="P4187" s="33">
        <f>IFERROR(__xludf.DUMMYFUNCTION("""COMPUTED_VALUE"""),1.0)</f>
        <v>1</v>
      </c>
      <c r="Q4187" s="4" t="str">
        <f>IFERROR(__xludf.DUMMYFUNCTION("""COMPUTED_VALUE"""),"Menew - Linx")</f>
        <v>Menew - Linx</v>
      </c>
      <c r="R4187" s="33">
        <f>IFERROR(__xludf.DUMMYFUNCTION("""COMPUTED_VALUE"""),1.0)</f>
        <v>1</v>
      </c>
      <c r="S4187" s="4" t="str">
        <f>IFERROR(__xludf.DUMMYFUNCTION("""COMPUTED_VALUE"""),"Menew - Linx")</f>
        <v>Menew - Linx</v>
      </c>
      <c r="T4187" s="33">
        <f>IFERROR(__xludf.DUMMYFUNCTION("""COMPUTED_VALUE"""),1.0)</f>
        <v>1</v>
      </c>
      <c r="U4187" s="4" t="str">
        <f>IFERROR(__xludf.DUMMYFUNCTION("""COMPUTED_VALUE"""),"Menew - Linx")</f>
        <v>Menew - Linx</v>
      </c>
      <c r="V4187" s="33">
        <f>IFERROR(__xludf.DUMMYFUNCTION("""COMPUTED_VALUE"""),1.0)</f>
        <v>1</v>
      </c>
      <c r="W4187" s="4" t="str">
        <f>IFERROR(__xludf.DUMMYFUNCTION("""COMPUTED_VALUE"""),"Menew - Linx")</f>
        <v>Menew - Linx</v>
      </c>
      <c r="X4187" s="33">
        <f>IFERROR(__xludf.DUMMYFUNCTION("""COMPUTED_VALUE"""),1.0)</f>
        <v>1</v>
      </c>
    </row>
    <row r="4188">
      <c r="K4188" s="4" t="str">
        <f>IFERROR(__xludf.DUMMYFUNCTION("""COMPUTED_VALUE"""),"ITALIAN SQUARE PIZZA GRILL")</f>
        <v>ITALIAN SQUARE PIZZA GRILL</v>
      </c>
      <c r="L4188" s="32">
        <f>IFERROR(__xludf.DUMMYFUNCTION("""COMPUTED_VALUE"""),2.0)</f>
        <v>2</v>
      </c>
      <c r="M4188" s="4" t="str">
        <f>IFERROR(__xludf.DUMMYFUNCTION("""COMPUTED_VALUE"""),"null")</f>
        <v>null</v>
      </c>
      <c r="N4188" s="33">
        <f>IFERROR(__xludf.DUMMYFUNCTION("""COMPUTED_VALUE"""),0.5)</f>
        <v>0.5</v>
      </c>
      <c r="O4188" s="4" t="str">
        <f>IFERROR(__xludf.DUMMYFUNCTION("""COMPUTED_VALUE"""),"Catedral Automação")</f>
        <v>Catedral Automação</v>
      </c>
      <c r="P4188" s="33">
        <f>IFERROR(__xludf.DUMMYFUNCTION("""COMPUTED_VALUE"""),1.0)</f>
        <v>1</v>
      </c>
      <c r="Q4188" s="4" t="str">
        <f>IFERROR(__xludf.DUMMYFUNCTION("""COMPUTED_VALUE"""),"null")</f>
        <v>null</v>
      </c>
      <c r="R4188" s="33">
        <f>IFERROR(__xludf.DUMMYFUNCTION("""COMPUTED_VALUE"""),1.0)</f>
        <v>1</v>
      </c>
      <c r="S4188" s="4" t="str">
        <f>IFERROR(__xludf.DUMMYFUNCTION("""COMPUTED_VALUE"""),"null")</f>
        <v>null</v>
      </c>
      <c r="T4188" s="33">
        <f>IFERROR(__xludf.DUMMYFUNCTION("""COMPUTED_VALUE"""),0.5)</f>
        <v>0.5</v>
      </c>
      <c r="U4188" s="4" t="str">
        <f>IFERROR(__xludf.DUMMYFUNCTION("""COMPUTED_VALUE"""),"null")</f>
        <v>null</v>
      </c>
      <c r="V4188" s="33">
        <f>IFERROR(__xludf.DUMMYFUNCTION("""COMPUTED_VALUE"""),0.5)</f>
        <v>0.5</v>
      </c>
      <c r="W4188" s="4" t="str">
        <f>IFERROR(__xludf.DUMMYFUNCTION("""COMPUTED_VALUE"""),"null")</f>
        <v>null</v>
      </c>
      <c r="X4188" s="33">
        <f>IFERROR(__xludf.DUMMYFUNCTION("""COMPUTED_VALUE"""),0.5)</f>
        <v>0.5</v>
      </c>
    </row>
    <row r="4189">
      <c r="K4189" s="4" t="str">
        <f>IFERROR(__xludf.DUMMYFUNCTION("""COMPUTED_VALUE"""),"REI DO CALDO")</f>
        <v>REI DO CALDO</v>
      </c>
      <c r="L4189" s="32">
        <f>IFERROR(__xludf.DUMMYFUNCTION("""COMPUTED_VALUE"""),2.0)</f>
        <v>2</v>
      </c>
      <c r="M4189" s="4" t="str">
        <f>IFERROR(__xludf.DUMMYFUNCTION("""COMPUTED_VALUE"""),"Saipos Serviços De Software")</f>
        <v>Saipos Serviços De Software</v>
      </c>
      <c r="N4189" s="33">
        <f>IFERROR(__xludf.DUMMYFUNCTION("""COMPUTED_VALUE"""),0.5)</f>
        <v>0.5</v>
      </c>
      <c r="O4189" s="4" t="str">
        <f>IFERROR(__xludf.DUMMYFUNCTION("""COMPUTED_VALUE"""),"Saipos Serviços De Software")</f>
        <v>Saipos Serviços De Software</v>
      </c>
      <c r="P4189" s="33">
        <f>IFERROR(__xludf.DUMMYFUNCTION("""COMPUTED_VALUE"""),0.5)</f>
        <v>0.5</v>
      </c>
      <c r="Q4189" s="4" t="str">
        <f>IFERROR(__xludf.DUMMYFUNCTION("""COMPUTED_VALUE"""),"Saipos Serviços De Software")</f>
        <v>Saipos Serviços De Software</v>
      </c>
      <c r="R4189" s="33">
        <f>IFERROR(__xludf.DUMMYFUNCTION("""COMPUTED_VALUE"""),0.5)</f>
        <v>0.5</v>
      </c>
      <c r="S4189" s="4" t="str">
        <f>IFERROR(__xludf.DUMMYFUNCTION("""COMPUTED_VALUE"""),"Saipos Serviços De Software")</f>
        <v>Saipos Serviços De Software</v>
      </c>
      <c r="T4189" s="33">
        <f>IFERROR(__xludf.DUMMYFUNCTION("""COMPUTED_VALUE"""),0.5)</f>
        <v>0.5</v>
      </c>
      <c r="U4189" s="4" t="str">
        <f>IFERROR(__xludf.DUMMYFUNCTION("""COMPUTED_VALUE"""),"Saipos Serviços De Software")</f>
        <v>Saipos Serviços De Software</v>
      </c>
      <c r="V4189" s="33">
        <f>IFERROR(__xludf.DUMMYFUNCTION("""COMPUTED_VALUE"""),0.5)</f>
        <v>0.5</v>
      </c>
      <c r="W4189" s="4" t="str">
        <f>IFERROR(__xludf.DUMMYFUNCTION("""COMPUTED_VALUE"""),"Saipos Serviços De Software")</f>
        <v>Saipos Serviços De Software</v>
      </c>
      <c r="X4189" s="33">
        <f>IFERROR(__xludf.DUMMYFUNCTION("""COMPUTED_VALUE"""),0.5)</f>
        <v>0.5</v>
      </c>
    </row>
    <row r="4190">
      <c r="K4190" s="4" t="str">
        <f>IFERROR(__xludf.DUMMYFUNCTION("""COMPUTED_VALUE"""),"ELITE ACAI")</f>
        <v>ELITE ACAI</v>
      </c>
      <c r="L4190" s="32">
        <f>IFERROR(__xludf.DUMMYFUNCTION("""COMPUTED_VALUE"""),2.0)</f>
        <v>2</v>
      </c>
      <c r="M4190" s="4" t="str">
        <f>IFERROR(__xludf.DUMMYFUNCTION("""COMPUTED_VALUE"""),"null")</f>
        <v>null</v>
      </c>
      <c r="N4190" s="33">
        <f>IFERROR(__xludf.DUMMYFUNCTION("""COMPUTED_VALUE"""),0.5)</f>
        <v>0.5</v>
      </c>
      <c r="O4190" s="4" t="str">
        <f>IFERROR(__xludf.DUMMYFUNCTION("""COMPUTED_VALUE"""),"null")</f>
        <v>null</v>
      </c>
      <c r="P4190" s="33">
        <f>IFERROR(__xludf.DUMMYFUNCTION("""COMPUTED_VALUE"""),0.5)</f>
        <v>0.5</v>
      </c>
      <c r="Q4190" s="4" t="str">
        <f>IFERROR(__xludf.DUMMYFUNCTION("""COMPUTED_VALUE"""),"null")</f>
        <v>null</v>
      </c>
      <c r="R4190" s="33">
        <f>IFERROR(__xludf.DUMMYFUNCTION("""COMPUTED_VALUE"""),0.5)</f>
        <v>0.5</v>
      </c>
      <c r="S4190" s="4" t="str">
        <f>IFERROR(__xludf.DUMMYFUNCTION("""COMPUTED_VALUE"""),"null")</f>
        <v>null</v>
      </c>
      <c r="T4190" s="33">
        <f>IFERROR(__xludf.DUMMYFUNCTION("""COMPUTED_VALUE"""),0.5)</f>
        <v>0.5</v>
      </c>
      <c r="U4190" s="4" t="str">
        <f>IFERROR(__xludf.DUMMYFUNCTION("""COMPUTED_VALUE"""),"Yooga")</f>
        <v>Yooga</v>
      </c>
      <c r="V4190" s="33">
        <f>IFERROR(__xludf.DUMMYFUNCTION("""COMPUTED_VALUE"""),0.5)</f>
        <v>0.5</v>
      </c>
      <c r="W4190" s="4" t="str">
        <f>IFERROR(__xludf.DUMMYFUNCTION("""COMPUTED_VALUE"""),"null")</f>
        <v>null</v>
      </c>
      <c r="X4190" s="33">
        <f>IFERROR(__xludf.DUMMYFUNCTION("""COMPUTED_VALUE"""),1.0)</f>
        <v>1</v>
      </c>
    </row>
    <row r="4191">
      <c r="K4191" s="4" t="str">
        <f>IFERROR(__xludf.DUMMYFUNCTION("""COMPUTED_VALUE"""),"PIZZERIA SENSAZIONALE")</f>
        <v>PIZZERIA SENSAZIONALE</v>
      </c>
      <c r="L4191" s="32">
        <f>IFERROR(__xludf.DUMMYFUNCTION("""COMPUTED_VALUE"""),2.0)</f>
        <v>2</v>
      </c>
      <c r="M4191" s="4" t="str">
        <f>IFERROR(__xludf.DUMMYFUNCTION("""COMPUTED_VALUE"""),"Saipos Serviços De Software")</f>
        <v>Saipos Serviços De Software</v>
      </c>
      <c r="N4191" s="33">
        <f>IFERROR(__xludf.DUMMYFUNCTION("""COMPUTED_VALUE"""),1.0)</f>
        <v>1</v>
      </c>
      <c r="O4191" s="4" t="str">
        <f>IFERROR(__xludf.DUMMYFUNCTION("""COMPUTED_VALUE"""),"Saipos Serviços De Software")</f>
        <v>Saipos Serviços De Software</v>
      </c>
      <c r="P4191" s="33">
        <f>IFERROR(__xludf.DUMMYFUNCTION("""COMPUTED_VALUE"""),1.0)</f>
        <v>1</v>
      </c>
      <c r="Q4191" s="4" t="str">
        <f>IFERROR(__xludf.DUMMYFUNCTION("""COMPUTED_VALUE"""),"Saipos Serviços De Software")</f>
        <v>Saipos Serviços De Software</v>
      </c>
      <c r="R4191" s="33">
        <f>IFERROR(__xludf.DUMMYFUNCTION("""COMPUTED_VALUE"""),1.0)</f>
        <v>1</v>
      </c>
      <c r="S4191" s="4" t="str">
        <f>IFERROR(__xludf.DUMMYFUNCTION("""COMPUTED_VALUE"""),"Saipos Serviços De Software")</f>
        <v>Saipos Serviços De Software</v>
      </c>
      <c r="T4191" s="33">
        <f>IFERROR(__xludf.DUMMYFUNCTION("""COMPUTED_VALUE"""),1.0)</f>
        <v>1</v>
      </c>
      <c r="U4191" s="4" t="str">
        <f>IFERROR(__xludf.DUMMYFUNCTION("""COMPUTED_VALUE"""),"Saipos Serviços De Software")</f>
        <v>Saipos Serviços De Software</v>
      </c>
      <c r="V4191" s="33">
        <f>IFERROR(__xludf.DUMMYFUNCTION("""COMPUTED_VALUE"""),1.0)</f>
        <v>1</v>
      </c>
      <c r="W4191" s="4" t="str">
        <f>IFERROR(__xludf.DUMMYFUNCTION("""COMPUTED_VALUE"""),"Saipos Serviços De Software")</f>
        <v>Saipos Serviços De Software</v>
      </c>
      <c r="X4191" s="33">
        <f>IFERROR(__xludf.DUMMYFUNCTION("""COMPUTED_VALUE"""),1.0)</f>
        <v>1</v>
      </c>
    </row>
    <row r="4192">
      <c r="K4192" s="4" t="str">
        <f>IFERROR(__xludf.DUMMYFUNCTION("""COMPUTED_VALUE"""),"JEFS BURGER HAMBURGUERIA ARTESANAL")</f>
        <v>JEFS BURGER HAMBURGUERIA ARTESANAL</v>
      </c>
      <c r="L4192" s="32">
        <f>IFERROR(__xludf.DUMMYFUNCTION("""COMPUTED_VALUE"""),2.0)</f>
        <v>2</v>
      </c>
      <c r="M4192" s="4" t="str">
        <f>IFERROR(__xludf.DUMMYFUNCTION("""COMPUTED_VALUE"""),"Menu Integrado")</f>
        <v>Menu Integrado</v>
      </c>
      <c r="N4192" s="33">
        <f>IFERROR(__xludf.DUMMYFUNCTION("""COMPUTED_VALUE"""),1.0)</f>
        <v>1</v>
      </c>
      <c r="O4192" s="4" t="str">
        <f>IFERROR(__xludf.DUMMYFUNCTION("""COMPUTED_VALUE"""),"Menu Integrado")</f>
        <v>Menu Integrado</v>
      </c>
      <c r="P4192" s="33">
        <f>IFERROR(__xludf.DUMMYFUNCTION("""COMPUTED_VALUE"""),1.0)</f>
        <v>1</v>
      </c>
      <c r="Q4192" s="4" t="str">
        <f>IFERROR(__xludf.DUMMYFUNCTION("""COMPUTED_VALUE"""),"Menu Integrado")</f>
        <v>Menu Integrado</v>
      </c>
      <c r="R4192" s="33">
        <f>IFERROR(__xludf.DUMMYFUNCTION("""COMPUTED_VALUE"""),1.0)</f>
        <v>1</v>
      </c>
      <c r="S4192" s="4" t="str">
        <f>IFERROR(__xludf.DUMMYFUNCTION("""COMPUTED_VALUE"""),"Menu Integrado")</f>
        <v>Menu Integrado</v>
      </c>
      <c r="T4192" s="33">
        <f>IFERROR(__xludf.DUMMYFUNCTION("""COMPUTED_VALUE"""),1.0)</f>
        <v>1</v>
      </c>
      <c r="U4192" s="4" t="str">
        <f>IFERROR(__xludf.DUMMYFUNCTION("""COMPUTED_VALUE"""),"Menu Integrado")</f>
        <v>Menu Integrado</v>
      </c>
      <c r="V4192" s="33">
        <f>IFERROR(__xludf.DUMMYFUNCTION("""COMPUTED_VALUE"""),1.0)</f>
        <v>1</v>
      </c>
      <c r="W4192" s="4" t="str">
        <f>IFERROR(__xludf.DUMMYFUNCTION("""COMPUTED_VALUE"""),"Menu Integrado")</f>
        <v>Menu Integrado</v>
      </c>
      <c r="X4192" s="33">
        <f>IFERROR(__xludf.DUMMYFUNCTION("""COMPUTED_VALUE"""),1.0)</f>
        <v>1</v>
      </c>
    </row>
    <row r="4193">
      <c r="K4193" s="4" t="str">
        <f>IFERROR(__xludf.DUMMYFUNCTION("""COMPUTED_VALUE"""),"ALVES PIZZARIA")</f>
        <v>ALVES PIZZARIA</v>
      </c>
      <c r="L4193" s="32">
        <f>IFERROR(__xludf.DUMMYFUNCTION("""COMPUTED_VALUE"""),2.0)</f>
        <v>2</v>
      </c>
      <c r="M4193" s="4" t="str">
        <f>IFERROR(__xludf.DUMMYFUNCTION("""COMPUTED_VALUE"""),"Mp Multipedidos")</f>
        <v>Mp Multipedidos</v>
      </c>
      <c r="N4193" s="33">
        <f>IFERROR(__xludf.DUMMYFUNCTION("""COMPUTED_VALUE"""),0.5)</f>
        <v>0.5</v>
      </c>
      <c r="O4193" s="4" t="str">
        <f>IFERROR(__xludf.DUMMYFUNCTION("""COMPUTED_VALUE"""),"Mp Multipedidos")</f>
        <v>Mp Multipedidos</v>
      </c>
      <c r="P4193" s="33">
        <f>IFERROR(__xludf.DUMMYFUNCTION("""COMPUTED_VALUE"""),0.5)</f>
        <v>0.5</v>
      </c>
      <c r="Q4193" s="4" t="str">
        <f>IFERROR(__xludf.DUMMYFUNCTION("""COMPUTED_VALUE"""),"null")</f>
        <v>null</v>
      </c>
      <c r="R4193" s="33">
        <f>IFERROR(__xludf.DUMMYFUNCTION("""COMPUTED_VALUE"""),0.5)</f>
        <v>0.5</v>
      </c>
      <c r="S4193" s="4" t="str">
        <f>IFERROR(__xludf.DUMMYFUNCTION("""COMPUTED_VALUE"""),"Mp Multipedidos")</f>
        <v>Mp Multipedidos</v>
      </c>
      <c r="T4193" s="33">
        <f>IFERROR(__xludf.DUMMYFUNCTION("""COMPUTED_VALUE"""),0.5)</f>
        <v>0.5</v>
      </c>
      <c r="U4193" s="4" t="str">
        <f>IFERROR(__xludf.DUMMYFUNCTION("""COMPUTED_VALUE"""),"null")</f>
        <v>null</v>
      </c>
      <c r="V4193" s="33">
        <f>IFERROR(__xludf.DUMMYFUNCTION("""COMPUTED_VALUE"""),0.5)</f>
        <v>0.5</v>
      </c>
      <c r="W4193" s="4" t="str">
        <f>IFERROR(__xludf.DUMMYFUNCTION("""COMPUTED_VALUE"""),"Mp Multipedidos")</f>
        <v>Mp Multipedidos</v>
      </c>
      <c r="X4193" s="33">
        <f>IFERROR(__xludf.DUMMYFUNCTION("""COMPUTED_VALUE"""),0.5)</f>
        <v>0.5</v>
      </c>
    </row>
    <row r="4194">
      <c r="K4194" s="4" t="str">
        <f>IFERROR(__xludf.DUMMYFUNCTION("""COMPUTED_VALUE"""),"SOBERANO LANCHES")</f>
        <v>SOBERANO LANCHES</v>
      </c>
      <c r="L4194" s="32">
        <f>IFERROR(__xludf.DUMMYFUNCTION("""COMPUTED_VALUE"""),2.0)</f>
        <v>2</v>
      </c>
      <c r="M4194" s="4" t="str">
        <f>IFERROR(__xludf.DUMMYFUNCTION("""COMPUTED_VALUE"""),"Gerence Sistemas")</f>
        <v>Gerence Sistemas</v>
      </c>
      <c r="N4194" s="33">
        <f>IFERROR(__xludf.DUMMYFUNCTION("""COMPUTED_VALUE"""),0.5)</f>
        <v>0.5</v>
      </c>
      <c r="O4194" s="4" t="str">
        <f>IFERROR(__xludf.DUMMYFUNCTION("""COMPUTED_VALUE"""),"Gerence Sistemas")</f>
        <v>Gerence Sistemas</v>
      </c>
      <c r="P4194" s="33">
        <f>IFERROR(__xludf.DUMMYFUNCTION("""COMPUTED_VALUE"""),0.5)</f>
        <v>0.5</v>
      </c>
      <c r="Q4194" s="4" t="str">
        <f>IFERROR(__xludf.DUMMYFUNCTION("""COMPUTED_VALUE"""),"Gerence Sistemas")</f>
        <v>Gerence Sistemas</v>
      </c>
      <c r="R4194" s="33">
        <f>IFERROR(__xludf.DUMMYFUNCTION("""COMPUTED_VALUE"""),0.5)</f>
        <v>0.5</v>
      </c>
      <c r="S4194" s="4" t="str">
        <f>IFERROR(__xludf.DUMMYFUNCTION("""COMPUTED_VALUE"""),"null")</f>
        <v>null</v>
      </c>
      <c r="T4194" s="33">
        <f>IFERROR(__xludf.DUMMYFUNCTION("""COMPUTED_VALUE"""),0.5)</f>
        <v>0.5</v>
      </c>
      <c r="U4194" s="4" t="str">
        <f>IFERROR(__xludf.DUMMYFUNCTION("""COMPUTED_VALUE"""),"null")</f>
        <v>null</v>
      </c>
      <c r="V4194" s="33">
        <f>IFERROR(__xludf.DUMMYFUNCTION("""COMPUTED_VALUE"""),0.5)</f>
        <v>0.5</v>
      </c>
      <c r="W4194" s="4" t="str">
        <f>IFERROR(__xludf.DUMMYFUNCTION("""COMPUTED_VALUE"""),"null")</f>
        <v>null</v>
      </c>
      <c r="X4194" s="33">
        <f>IFERROR(__xludf.DUMMYFUNCTION("""COMPUTED_VALUE"""),0.5)</f>
        <v>0.5</v>
      </c>
    </row>
    <row r="4195">
      <c r="K4195" s="4" t="str">
        <f>IFERROR(__xludf.DUMMYFUNCTION("""COMPUTED_VALUE"""),"HOT DOG DO ALEMAO")</f>
        <v>HOT DOG DO ALEMAO</v>
      </c>
      <c r="L4195" s="32">
        <f>IFERROR(__xludf.DUMMYFUNCTION("""COMPUTED_VALUE"""),2.0)</f>
        <v>2</v>
      </c>
      <c r="M4195" s="4" t="str">
        <f>IFERROR(__xludf.DUMMYFUNCTION("""COMPUTED_VALUE"""),"Saipos Serviços De Software")</f>
        <v>Saipos Serviços De Software</v>
      </c>
      <c r="N4195" s="33">
        <f>IFERROR(__xludf.DUMMYFUNCTION("""COMPUTED_VALUE"""),0.5)</f>
        <v>0.5</v>
      </c>
      <c r="O4195" s="4" t="str">
        <f>IFERROR(__xludf.DUMMYFUNCTION("""COMPUTED_VALUE"""),"Saipos Serviços De Software")</f>
        <v>Saipos Serviços De Software</v>
      </c>
      <c r="P4195" s="33">
        <f>IFERROR(__xludf.DUMMYFUNCTION("""COMPUTED_VALUE"""),0.5)</f>
        <v>0.5</v>
      </c>
      <c r="Q4195" s="4" t="str">
        <f>IFERROR(__xludf.DUMMYFUNCTION("""COMPUTED_VALUE"""),"Saipos Serviços De Software")</f>
        <v>Saipos Serviços De Software</v>
      </c>
      <c r="R4195" s="33">
        <f>IFERROR(__xludf.DUMMYFUNCTION("""COMPUTED_VALUE"""),0.5)</f>
        <v>0.5</v>
      </c>
      <c r="S4195" s="4" t="str">
        <f>IFERROR(__xludf.DUMMYFUNCTION("""COMPUTED_VALUE"""),"Saipos Serviços De Software")</f>
        <v>Saipos Serviços De Software</v>
      </c>
      <c r="T4195" s="33">
        <f>IFERROR(__xludf.DUMMYFUNCTION("""COMPUTED_VALUE"""),0.5)</f>
        <v>0.5</v>
      </c>
      <c r="U4195" s="4" t="str">
        <f>IFERROR(__xludf.DUMMYFUNCTION("""COMPUTED_VALUE"""),"Saipos Serviços De Software")</f>
        <v>Saipos Serviços De Software</v>
      </c>
      <c r="V4195" s="33">
        <f>IFERROR(__xludf.DUMMYFUNCTION("""COMPUTED_VALUE"""),1.0)</f>
        <v>1</v>
      </c>
      <c r="W4195" s="4" t="str">
        <f>IFERROR(__xludf.DUMMYFUNCTION("""COMPUTED_VALUE"""),"Saipos Serviços De Software")</f>
        <v>Saipos Serviços De Software</v>
      </c>
      <c r="X4195" s="33">
        <f>IFERROR(__xludf.DUMMYFUNCTION("""COMPUTED_VALUE"""),1.0)</f>
        <v>1</v>
      </c>
    </row>
    <row r="4196">
      <c r="K4196" s="4" t="str">
        <f>IFERROR(__xludf.DUMMYFUNCTION("""COMPUTED_VALUE"""),"NORI SUSHI")</f>
        <v>NORI SUSHI</v>
      </c>
      <c r="L4196" s="32">
        <f>IFERROR(__xludf.DUMMYFUNCTION("""COMPUTED_VALUE"""),2.0)</f>
        <v>2</v>
      </c>
      <c r="M4196" s="4" t="str">
        <f>IFERROR(__xludf.DUMMYFUNCTION("""COMPUTED_VALUE"""),"Beefood - Sistema Para Restaurantes")</f>
        <v>Beefood - Sistema Para Restaurantes</v>
      </c>
      <c r="N4196" s="33">
        <f>IFERROR(__xludf.DUMMYFUNCTION("""COMPUTED_VALUE"""),0.5)</f>
        <v>0.5</v>
      </c>
      <c r="O4196" s="4" t="str">
        <f>IFERROR(__xludf.DUMMYFUNCTION("""COMPUTED_VALUE"""),"Beefood - Sistema Para Restaurantes")</f>
        <v>Beefood - Sistema Para Restaurantes</v>
      </c>
      <c r="P4196" s="33">
        <f>IFERROR(__xludf.DUMMYFUNCTION("""COMPUTED_VALUE"""),0.5)</f>
        <v>0.5</v>
      </c>
      <c r="Q4196" s="4" t="str">
        <f>IFERROR(__xludf.DUMMYFUNCTION("""COMPUTED_VALUE"""),"Beefood - Sistema Para Restaurantes")</f>
        <v>Beefood - Sistema Para Restaurantes</v>
      </c>
      <c r="R4196" s="33">
        <f>IFERROR(__xludf.DUMMYFUNCTION("""COMPUTED_VALUE"""),0.5)</f>
        <v>0.5</v>
      </c>
      <c r="S4196" s="4" t="str">
        <f>IFERROR(__xludf.DUMMYFUNCTION("""COMPUTED_VALUE"""),"Beefood - Sistema Para Restaurantes")</f>
        <v>Beefood - Sistema Para Restaurantes</v>
      </c>
      <c r="T4196" s="33">
        <f>IFERROR(__xludf.DUMMYFUNCTION("""COMPUTED_VALUE"""),0.5)</f>
        <v>0.5</v>
      </c>
      <c r="U4196" s="4" t="str">
        <f>IFERROR(__xludf.DUMMYFUNCTION("""COMPUTED_VALUE"""),"Beefood - Sistema Para Restaurantes")</f>
        <v>Beefood - Sistema Para Restaurantes</v>
      </c>
      <c r="V4196" s="33">
        <f>IFERROR(__xludf.DUMMYFUNCTION("""COMPUTED_VALUE"""),0.5)</f>
        <v>0.5</v>
      </c>
      <c r="W4196" s="4" t="str">
        <f>IFERROR(__xludf.DUMMYFUNCTION("""COMPUTED_VALUE"""),"Beefood - Sistema Para Restaurantes")</f>
        <v>Beefood - Sistema Para Restaurantes</v>
      </c>
      <c r="X4196" s="33">
        <f>IFERROR(__xludf.DUMMYFUNCTION("""COMPUTED_VALUE"""),0.5)</f>
        <v>0.5</v>
      </c>
    </row>
    <row r="4197">
      <c r="K4197" s="4" t="str">
        <f>IFERROR(__xludf.DUMMYFUNCTION("""COMPUTED_VALUE"""),"BIG BURGUER")</f>
        <v>BIG BURGUER</v>
      </c>
      <c r="L4197" s="32">
        <f>IFERROR(__xludf.DUMMYFUNCTION("""COMPUTED_VALUE"""),2.0)</f>
        <v>2</v>
      </c>
      <c r="M4197" s="4" t="str">
        <f>IFERROR(__xludf.DUMMYFUNCTION("""COMPUTED_VALUE"""),"Anota Ai Solucoes Digitais S/a")</f>
        <v>Anota Ai Solucoes Digitais S/a</v>
      </c>
      <c r="N4197" s="33">
        <f>IFERROR(__xludf.DUMMYFUNCTION("""COMPUTED_VALUE"""),0.5)</f>
        <v>0.5</v>
      </c>
      <c r="O4197" s="4" t="str">
        <f>IFERROR(__xludf.DUMMYFUNCTION("""COMPUTED_VALUE"""),"Anota Ai Solucoes Digitais S/a")</f>
        <v>Anota Ai Solucoes Digitais S/a</v>
      </c>
      <c r="P4197" s="33">
        <f>IFERROR(__xludf.DUMMYFUNCTION("""COMPUTED_VALUE"""),0.5)</f>
        <v>0.5</v>
      </c>
      <c r="Q4197" s="4" t="str">
        <f>IFERROR(__xludf.DUMMYFUNCTION("""COMPUTED_VALUE"""),"Anota Ai Solucoes Digitais S/a")</f>
        <v>Anota Ai Solucoes Digitais S/a</v>
      </c>
      <c r="R4197" s="33">
        <f>IFERROR(__xludf.DUMMYFUNCTION("""COMPUTED_VALUE"""),0.5)</f>
        <v>0.5</v>
      </c>
      <c r="S4197" s="4" t="str">
        <f>IFERROR(__xludf.DUMMYFUNCTION("""COMPUTED_VALUE"""),"Anota Ai Solucoes Digitais S/a")</f>
        <v>Anota Ai Solucoes Digitais S/a</v>
      </c>
      <c r="T4197" s="33">
        <f>IFERROR(__xludf.DUMMYFUNCTION("""COMPUTED_VALUE"""),0.5)</f>
        <v>0.5</v>
      </c>
      <c r="U4197" s="4" t="str">
        <f>IFERROR(__xludf.DUMMYFUNCTION("""COMPUTED_VALUE"""),"Anota Ai Solucoes Digitais S/a")</f>
        <v>Anota Ai Solucoes Digitais S/a</v>
      </c>
      <c r="V4197" s="33">
        <f>IFERROR(__xludf.DUMMYFUNCTION("""COMPUTED_VALUE"""),0.5)</f>
        <v>0.5</v>
      </c>
      <c r="W4197" s="4" t="str">
        <f>IFERROR(__xludf.DUMMYFUNCTION("""COMPUTED_VALUE"""),"Anota Ai Solucoes Digitais S/a")</f>
        <v>Anota Ai Solucoes Digitais S/a</v>
      </c>
      <c r="X4197" s="33">
        <f>IFERROR(__xludf.DUMMYFUNCTION("""COMPUTED_VALUE"""),0.5)</f>
        <v>0.5</v>
      </c>
    </row>
    <row r="4198">
      <c r="K4198" s="4" t="str">
        <f>IFERROR(__xludf.DUMMYFUNCTION("""COMPUTED_VALUE"""),"CACHORRAO DO VALE")</f>
        <v>CACHORRAO DO VALE</v>
      </c>
      <c r="L4198" s="32">
        <f>IFERROR(__xludf.DUMMYFUNCTION("""COMPUTED_VALUE"""),2.0)</f>
        <v>2</v>
      </c>
      <c r="M4198" s="4" t="str">
        <f>IFERROR(__xludf.DUMMYFUNCTION("""COMPUTED_VALUE"""),"null")</f>
        <v>null</v>
      </c>
      <c r="N4198" s="33">
        <f>IFERROR(__xludf.DUMMYFUNCTION("""COMPUTED_VALUE"""),0.5)</f>
        <v>0.5</v>
      </c>
      <c r="O4198" s="4" t="str">
        <f>IFERROR(__xludf.DUMMYFUNCTION("""COMPUTED_VALUE"""),"Bitbar")</f>
        <v>Bitbar</v>
      </c>
      <c r="P4198" s="33">
        <f>IFERROR(__xludf.DUMMYFUNCTION("""COMPUTED_VALUE"""),0.5)</f>
        <v>0.5</v>
      </c>
      <c r="Q4198" s="4" t="str">
        <f>IFERROR(__xludf.DUMMYFUNCTION("""COMPUTED_VALUE"""),"Bitbar")</f>
        <v>Bitbar</v>
      </c>
      <c r="R4198" s="33">
        <f>IFERROR(__xludf.DUMMYFUNCTION("""COMPUTED_VALUE"""),0.5)</f>
        <v>0.5</v>
      </c>
      <c r="S4198" s="4" t="str">
        <f>IFERROR(__xludf.DUMMYFUNCTION("""COMPUTED_VALUE"""),"Bitbar")</f>
        <v>Bitbar</v>
      </c>
      <c r="T4198" s="33">
        <f>IFERROR(__xludf.DUMMYFUNCTION("""COMPUTED_VALUE"""),0.5)</f>
        <v>0.5</v>
      </c>
      <c r="U4198" s="4" t="str">
        <f>IFERROR(__xludf.DUMMYFUNCTION("""COMPUTED_VALUE"""),"null")</f>
        <v>null</v>
      </c>
      <c r="V4198" s="33">
        <f>IFERROR(__xludf.DUMMYFUNCTION("""COMPUTED_VALUE"""),0.5)</f>
        <v>0.5</v>
      </c>
      <c r="W4198" s="4" t="str">
        <f>IFERROR(__xludf.DUMMYFUNCTION("""COMPUTED_VALUE"""),"Bitbar")</f>
        <v>Bitbar</v>
      </c>
      <c r="X4198" s="33">
        <f>IFERROR(__xludf.DUMMYFUNCTION("""COMPUTED_VALUE"""),0.5)</f>
        <v>0.5</v>
      </c>
    </row>
    <row r="4199">
      <c r="K4199" s="4" t="str">
        <f>IFERROR(__xludf.DUMMYFUNCTION("""COMPUTED_VALUE"""),"PIZZARIA DEBALLE GO")</f>
        <v>PIZZARIA DEBALLE GO</v>
      </c>
      <c r="L4199" s="32">
        <f>IFERROR(__xludf.DUMMYFUNCTION("""COMPUTED_VALUE"""),2.0)</f>
        <v>2</v>
      </c>
      <c r="M4199" s="4" t="str">
        <f>IFERROR(__xludf.DUMMYFUNCTION("""COMPUTED_VALUE"""),"Saipos Serviços De Software")</f>
        <v>Saipos Serviços De Software</v>
      </c>
      <c r="N4199" s="33">
        <f>IFERROR(__xludf.DUMMYFUNCTION("""COMPUTED_VALUE"""),1.0)</f>
        <v>1</v>
      </c>
      <c r="O4199" s="4" t="str">
        <f>IFERROR(__xludf.DUMMYFUNCTION("""COMPUTED_VALUE"""),"Saipos Serviços De Software")</f>
        <v>Saipos Serviços De Software</v>
      </c>
      <c r="P4199" s="33">
        <f>IFERROR(__xludf.DUMMYFUNCTION("""COMPUTED_VALUE"""),1.0)</f>
        <v>1</v>
      </c>
      <c r="Q4199" s="4" t="str">
        <f>IFERROR(__xludf.DUMMYFUNCTION("""COMPUTED_VALUE"""),"Saipos Serviços De Software")</f>
        <v>Saipos Serviços De Software</v>
      </c>
      <c r="R4199" s="33">
        <f>IFERROR(__xludf.DUMMYFUNCTION("""COMPUTED_VALUE"""),1.0)</f>
        <v>1</v>
      </c>
      <c r="S4199" s="4" t="str">
        <f>IFERROR(__xludf.DUMMYFUNCTION("""COMPUTED_VALUE"""),"Saipos Serviços De Software")</f>
        <v>Saipos Serviços De Software</v>
      </c>
      <c r="T4199" s="33">
        <f>IFERROR(__xludf.DUMMYFUNCTION("""COMPUTED_VALUE"""),1.0)</f>
        <v>1</v>
      </c>
      <c r="U4199" s="4" t="str">
        <f>IFERROR(__xludf.DUMMYFUNCTION("""COMPUTED_VALUE"""),"Saipos Serviços De Software")</f>
        <v>Saipos Serviços De Software</v>
      </c>
      <c r="V4199" s="33">
        <f>IFERROR(__xludf.DUMMYFUNCTION("""COMPUTED_VALUE"""),1.0)</f>
        <v>1</v>
      </c>
      <c r="W4199" s="4" t="str">
        <f>IFERROR(__xludf.DUMMYFUNCTION("""COMPUTED_VALUE"""),"Saipos Serviços De Software")</f>
        <v>Saipos Serviços De Software</v>
      </c>
      <c r="X4199" s="33">
        <f>IFERROR(__xludf.DUMMYFUNCTION("""COMPUTED_VALUE"""),1.0)</f>
        <v>1</v>
      </c>
    </row>
    <row r="4200">
      <c r="K4200" s="4" t="str">
        <f>IFERROR(__xludf.DUMMYFUNCTION("""COMPUTED_VALUE"""),"FRANCHICKEN FRANGO FRITO NO BALDE")</f>
        <v>FRANCHICKEN FRANGO FRITO NO BALDE</v>
      </c>
      <c r="L4200" s="32">
        <f>IFERROR(__xludf.DUMMYFUNCTION("""COMPUTED_VALUE"""),2.0)</f>
        <v>2</v>
      </c>
      <c r="M4200" s="4" t="str">
        <f>IFERROR(__xludf.DUMMYFUNCTION("""COMPUTED_VALUE"""),"Gh Tecnologia E Sistemas Eireli")</f>
        <v>Gh Tecnologia E Sistemas Eireli</v>
      </c>
      <c r="N4200" s="33">
        <f>IFERROR(__xludf.DUMMYFUNCTION("""COMPUTED_VALUE"""),1.0)</f>
        <v>1</v>
      </c>
      <c r="O4200" s="4" t="str">
        <f>IFERROR(__xludf.DUMMYFUNCTION("""COMPUTED_VALUE"""),"Gh Tecnologia E Sistemas Eireli")</f>
        <v>Gh Tecnologia E Sistemas Eireli</v>
      </c>
      <c r="P4200" s="33">
        <f>IFERROR(__xludf.DUMMYFUNCTION("""COMPUTED_VALUE"""),0.5)</f>
        <v>0.5</v>
      </c>
      <c r="Q4200" s="4" t="str">
        <f>IFERROR(__xludf.DUMMYFUNCTION("""COMPUTED_VALUE"""),"Gh Tecnologia E Sistemas Eireli")</f>
        <v>Gh Tecnologia E Sistemas Eireli</v>
      </c>
      <c r="R4200" s="33">
        <f>IFERROR(__xludf.DUMMYFUNCTION("""COMPUTED_VALUE"""),0.5)</f>
        <v>0.5</v>
      </c>
      <c r="S4200" s="4" t="str">
        <f>IFERROR(__xludf.DUMMYFUNCTION("""COMPUTED_VALUE"""),"Gh Tecnologia E Sistemas Eireli")</f>
        <v>Gh Tecnologia E Sistemas Eireli</v>
      </c>
      <c r="T4200" s="33">
        <f>IFERROR(__xludf.DUMMYFUNCTION("""COMPUTED_VALUE"""),0.5)</f>
        <v>0.5</v>
      </c>
      <c r="U4200" s="4" t="str">
        <f>IFERROR(__xludf.DUMMYFUNCTION("""COMPUTED_VALUE"""),"Gh Tecnologia E Sistemas Eireli")</f>
        <v>Gh Tecnologia E Sistemas Eireli</v>
      </c>
      <c r="V4200" s="33">
        <f>IFERROR(__xludf.DUMMYFUNCTION("""COMPUTED_VALUE"""),0.5)</f>
        <v>0.5</v>
      </c>
      <c r="W4200" s="4" t="str">
        <f>IFERROR(__xludf.DUMMYFUNCTION("""COMPUTED_VALUE"""),"Gh Tecnologia E Sistemas Eireli")</f>
        <v>Gh Tecnologia E Sistemas Eireli</v>
      </c>
      <c r="X4200" s="33">
        <f>IFERROR(__xludf.DUMMYFUNCTION("""COMPUTED_VALUE"""),0.5)</f>
        <v>0.5</v>
      </c>
    </row>
    <row r="4201">
      <c r="K4201" s="4" t="str">
        <f>IFERROR(__xludf.DUMMYFUNCTION("""COMPUTED_VALUE"""),"PODRAO KARIOCA")</f>
        <v>PODRAO KARIOCA</v>
      </c>
      <c r="L4201" s="32">
        <f>IFERROR(__xludf.DUMMYFUNCTION("""COMPUTED_VALUE"""),2.0)</f>
        <v>2</v>
      </c>
      <c r="M4201" s="4" t="str">
        <f>IFERROR(__xludf.DUMMYFUNCTION("""COMPUTED_VALUE"""),"Consumer Soluções Em Tecnologia Ltda")</f>
        <v>Consumer Soluções Em Tecnologia Ltda</v>
      </c>
      <c r="N4201" s="33">
        <f>IFERROR(__xludf.DUMMYFUNCTION("""COMPUTED_VALUE"""),1.0)</f>
        <v>1</v>
      </c>
      <c r="O4201" s="4" t="str">
        <f>IFERROR(__xludf.DUMMYFUNCTION("""COMPUTED_VALUE"""),"Consumer Soluções Em Tecnologia Ltda")</f>
        <v>Consumer Soluções Em Tecnologia Ltda</v>
      </c>
      <c r="P4201" s="33">
        <f>IFERROR(__xludf.DUMMYFUNCTION("""COMPUTED_VALUE"""),1.0)</f>
        <v>1</v>
      </c>
      <c r="Q4201" s="4" t="str">
        <f>IFERROR(__xludf.DUMMYFUNCTION("""COMPUTED_VALUE"""),"Consumer Soluções Em Tecnologia Ltda")</f>
        <v>Consumer Soluções Em Tecnologia Ltda</v>
      </c>
      <c r="R4201" s="33">
        <f>IFERROR(__xludf.DUMMYFUNCTION("""COMPUTED_VALUE"""),1.0)</f>
        <v>1</v>
      </c>
      <c r="S4201" s="4" t="str">
        <f>IFERROR(__xludf.DUMMYFUNCTION("""COMPUTED_VALUE"""),"null")</f>
        <v>null</v>
      </c>
      <c r="T4201" s="33">
        <f>IFERROR(__xludf.DUMMYFUNCTION("""COMPUTED_VALUE"""),0.5)</f>
        <v>0.5</v>
      </c>
      <c r="U4201" s="4" t="str">
        <f>IFERROR(__xludf.DUMMYFUNCTION("""COMPUTED_VALUE"""),"null")</f>
        <v>null</v>
      </c>
      <c r="V4201" s="33">
        <f>IFERROR(__xludf.DUMMYFUNCTION("""COMPUTED_VALUE"""),0.5)</f>
        <v>0.5</v>
      </c>
      <c r="W4201" s="4" t="str">
        <f>IFERROR(__xludf.DUMMYFUNCTION("""COMPUTED_VALUE"""),"Consumer Soluções Em Tecnologia Ltda")</f>
        <v>Consumer Soluções Em Tecnologia Ltda</v>
      </c>
      <c r="X4201" s="33">
        <f>IFERROR(__xludf.DUMMYFUNCTION("""COMPUTED_VALUE"""),1.0)</f>
        <v>1</v>
      </c>
    </row>
    <row r="4202">
      <c r="K4202" s="4" t="str">
        <f>IFERROR(__xludf.DUMMYFUNCTION("""COMPUTED_VALUE"""),"SOPA EM CASA")</f>
        <v>SOPA EM CASA</v>
      </c>
      <c r="L4202" s="32">
        <f>IFERROR(__xludf.DUMMYFUNCTION("""COMPUTED_VALUE"""),2.0)</f>
        <v>2</v>
      </c>
      <c r="M4202" s="4" t="str">
        <f>IFERROR(__xludf.DUMMYFUNCTION("""COMPUTED_VALUE"""),"Consumer Soluções Em Tecnologia Ltda")</f>
        <v>Consumer Soluções Em Tecnologia Ltda</v>
      </c>
      <c r="N4202" s="33">
        <f>IFERROR(__xludf.DUMMYFUNCTION("""COMPUTED_VALUE"""),1.0)</f>
        <v>1</v>
      </c>
      <c r="O4202" s="4" t="str">
        <f>IFERROR(__xludf.DUMMYFUNCTION("""COMPUTED_VALUE"""),"Consumer Soluções Em Tecnologia Ltda")</f>
        <v>Consumer Soluções Em Tecnologia Ltda</v>
      </c>
      <c r="P4202" s="33">
        <f>IFERROR(__xludf.DUMMYFUNCTION("""COMPUTED_VALUE"""),1.0)</f>
        <v>1</v>
      </c>
      <c r="Q4202" s="4" t="str">
        <f>IFERROR(__xludf.DUMMYFUNCTION("""COMPUTED_VALUE"""),"Consumer Soluções Em Tecnologia Ltda")</f>
        <v>Consumer Soluções Em Tecnologia Ltda</v>
      </c>
      <c r="R4202" s="33">
        <f>IFERROR(__xludf.DUMMYFUNCTION("""COMPUTED_VALUE"""),1.0)</f>
        <v>1</v>
      </c>
      <c r="S4202" s="4" t="str">
        <f>IFERROR(__xludf.DUMMYFUNCTION("""COMPUTED_VALUE"""),"null")</f>
        <v>null</v>
      </c>
      <c r="T4202" s="33">
        <f>IFERROR(__xludf.DUMMYFUNCTION("""COMPUTED_VALUE"""),1.0)</f>
        <v>1</v>
      </c>
      <c r="U4202" s="4" t="str">
        <f>IFERROR(__xludf.DUMMYFUNCTION("""COMPUTED_VALUE"""),"null")</f>
        <v>null</v>
      </c>
      <c r="V4202" s="33">
        <f>IFERROR(__xludf.DUMMYFUNCTION("""COMPUTED_VALUE"""),1.0)</f>
        <v>1</v>
      </c>
      <c r="W4202" s="4" t="str">
        <f>IFERROR(__xludf.DUMMYFUNCTION("""COMPUTED_VALUE"""),"null")</f>
        <v>null</v>
      </c>
      <c r="X4202" s="33">
        <f>IFERROR(__xludf.DUMMYFUNCTION("""COMPUTED_VALUE"""),1.0)</f>
        <v>1</v>
      </c>
    </row>
    <row r="4203">
      <c r="K4203" s="4" t="str">
        <f>IFERROR(__xludf.DUMMYFUNCTION("""COMPUTED_VALUE"""),"YAKISOBA EXPRESS CUIABA")</f>
        <v>YAKISOBA EXPRESS CUIABA</v>
      </c>
      <c r="L4203" s="32">
        <f>IFERROR(__xludf.DUMMYFUNCTION("""COMPUTED_VALUE"""),2.0)</f>
        <v>2</v>
      </c>
      <c r="M4203" s="4" t="str">
        <f>IFERROR(__xludf.DUMMYFUNCTION("""COMPUTED_VALUE"""),"null")</f>
        <v>null</v>
      </c>
      <c r="N4203" s="33">
        <f>IFERROR(__xludf.DUMMYFUNCTION("""COMPUTED_VALUE"""),1.0)</f>
        <v>1</v>
      </c>
      <c r="O4203" s="4" t="str">
        <f>IFERROR(__xludf.DUMMYFUNCTION("""COMPUTED_VALUE"""),"null")</f>
        <v>null</v>
      </c>
      <c r="P4203" s="33">
        <f>IFERROR(__xludf.DUMMYFUNCTION("""COMPUTED_VALUE"""),1.0)</f>
        <v>1</v>
      </c>
      <c r="Q4203" s="4" t="str">
        <f>IFERROR(__xludf.DUMMYFUNCTION("""COMPUTED_VALUE"""),"Saipos Serviços De Software")</f>
        <v>Saipos Serviços De Software</v>
      </c>
      <c r="R4203" s="33">
        <f>IFERROR(__xludf.DUMMYFUNCTION("""COMPUTED_VALUE"""),1.0)</f>
        <v>1</v>
      </c>
      <c r="S4203" s="4" t="str">
        <f>IFERROR(__xludf.DUMMYFUNCTION("""COMPUTED_VALUE"""),"Saipos Serviços De Software")</f>
        <v>Saipos Serviços De Software</v>
      </c>
      <c r="T4203" s="33">
        <f>IFERROR(__xludf.DUMMYFUNCTION("""COMPUTED_VALUE"""),1.0)</f>
        <v>1</v>
      </c>
      <c r="U4203" s="4" t="str">
        <f>IFERROR(__xludf.DUMMYFUNCTION("""COMPUTED_VALUE"""),"null")</f>
        <v>null</v>
      </c>
      <c r="V4203" s="33">
        <f>IFERROR(__xludf.DUMMYFUNCTION("""COMPUTED_VALUE"""),0.5)</f>
        <v>0.5</v>
      </c>
      <c r="W4203" s="4" t="str">
        <f>IFERROR(__xludf.DUMMYFUNCTION("""COMPUTED_VALUE"""),"null")</f>
        <v>null</v>
      </c>
      <c r="X4203" s="33">
        <f>IFERROR(__xludf.DUMMYFUNCTION("""COMPUTED_VALUE"""),0.5)</f>
        <v>0.5</v>
      </c>
    </row>
    <row r="4204">
      <c r="K4204" s="4" t="str">
        <f>IFERROR(__xludf.DUMMYFUNCTION("""COMPUTED_VALUE"""),"TAIYANG - COMIDA ORIENTAL")</f>
        <v>TAIYANG - COMIDA ORIENTAL</v>
      </c>
      <c r="L4204" s="32">
        <f>IFERROR(__xludf.DUMMYFUNCTION("""COMPUTED_VALUE"""),2.0)</f>
        <v>2</v>
      </c>
      <c r="M4204" s="4" t="str">
        <f>IFERROR(__xludf.DUMMYFUNCTION("""COMPUTED_VALUE"""),"Menew - Linx")</f>
        <v>Menew - Linx</v>
      </c>
      <c r="N4204" s="33">
        <f>IFERROR(__xludf.DUMMYFUNCTION("""COMPUTED_VALUE"""),1.0)</f>
        <v>1</v>
      </c>
      <c r="O4204" s="4" t="str">
        <f>IFERROR(__xludf.DUMMYFUNCTION("""COMPUTED_VALUE"""),"Menew - Linx")</f>
        <v>Menew - Linx</v>
      </c>
      <c r="P4204" s="33">
        <f>IFERROR(__xludf.DUMMYFUNCTION("""COMPUTED_VALUE"""),1.0)</f>
        <v>1</v>
      </c>
      <c r="Q4204" s="4" t="str">
        <f>IFERROR(__xludf.DUMMYFUNCTION("""COMPUTED_VALUE"""),"Menew - Linx")</f>
        <v>Menew - Linx</v>
      </c>
      <c r="R4204" s="33">
        <f>IFERROR(__xludf.DUMMYFUNCTION("""COMPUTED_VALUE"""),1.0)</f>
        <v>1</v>
      </c>
      <c r="S4204" s="4" t="str">
        <f>IFERROR(__xludf.DUMMYFUNCTION("""COMPUTED_VALUE"""),"Menew - Linx")</f>
        <v>Menew - Linx</v>
      </c>
      <c r="T4204" s="33">
        <f>IFERROR(__xludf.DUMMYFUNCTION("""COMPUTED_VALUE"""),1.0)</f>
        <v>1</v>
      </c>
      <c r="U4204" s="4" t="str">
        <f>IFERROR(__xludf.DUMMYFUNCTION("""COMPUTED_VALUE"""),"Menew - Linx")</f>
        <v>Menew - Linx</v>
      </c>
      <c r="V4204" s="33">
        <f>IFERROR(__xludf.DUMMYFUNCTION("""COMPUTED_VALUE"""),1.0)</f>
        <v>1</v>
      </c>
      <c r="W4204" s="4" t="str">
        <f>IFERROR(__xludf.DUMMYFUNCTION("""COMPUTED_VALUE"""),"Menew - Linx")</f>
        <v>Menew - Linx</v>
      </c>
      <c r="X4204" s="33">
        <f>IFERROR(__xludf.DUMMYFUNCTION("""COMPUTED_VALUE"""),0.5)</f>
        <v>0.5</v>
      </c>
    </row>
    <row r="4205">
      <c r="K4205" s="4" t="str">
        <f>IFERROR(__xludf.DUMMYFUNCTION("""COMPUTED_VALUE"""),"CALIFORNIA HAMBURGUERIA")</f>
        <v>CALIFORNIA HAMBURGUERIA</v>
      </c>
      <c r="L4205" s="32">
        <f>IFERROR(__xludf.DUMMYFUNCTION("""COMPUTED_VALUE"""),2.0)</f>
        <v>2</v>
      </c>
      <c r="M4205" s="4" t="str">
        <f>IFERROR(__xludf.DUMMYFUNCTION("""COMPUTED_VALUE"""),"Schneider Software")</f>
        <v>Schneider Software</v>
      </c>
      <c r="N4205" s="33">
        <f>IFERROR(__xludf.DUMMYFUNCTION("""COMPUTED_VALUE"""),0.5)</f>
        <v>0.5</v>
      </c>
      <c r="O4205" s="4" t="str">
        <f>IFERROR(__xludf.DUMMYFUNCTION("""COMPUTED_VALUE"""),"Schneider Software")</f>
        <v>Schneider Software</v>
      </c>
      <c r="P4205" s="33">
        <f>IFERROR(__xludf.DUMMYFUNCTION("""COMPUTED_VALUE"""),0.5)</f>
        <v>0.5</v>
      </c>
      <c r="Q4205" s="4" t="str">
        <f>IFERROR(__xludf.DUMMYFUNCTION("""COMPUTED_VALUE"""),"Schneider Software")</f>
        <v>Schneider Software</v>
      </c>
      <c r="R4205" s="33">
        <f>IFERROR(__xludf.DUMMYFUNCTION("""COMPUTED_VALUE"""),0.5)</f>
        <v>0.5</v>
      </c>
      <c r="S4205" s="4" t="str">
        <f>IFERROR(__xludf.DUMMYFUNCTION("""COMPUTED_VALUE"""),"Schneider Software")</f>
        <v>Schneider Software</v>
      </c>
      <c r="T4205" s="33">
        <f>IFERROR(__xludf.DUMMYFUNCTION("""COMPUTED_VALUE"""),0.5)</f>
        <v>0.5</v>
      </c>
      <c r="U4205" s="4" t="str">
        <f>IFERROR(__xludf.DUMMYFUNCTION("""COMPUTED_VALUE"""),"Schneider Software")</f>
        <v>Schneider Software</v>
      </c>
      <c r="V4205" s="33">
        <f>IFERROR(__xludf.DUMMYFUNCTION("""COMPUTED_VALUE"""),0.5)</f>
        <v>0.5</v>
      </c>
      <c r="W4205" s="4" t="str">
        <f>IFERROR(__xludf.DUMMYFUNCTION("""COMPUTED_VALUE"""),"Schneider Software")</f>
        <v>Schneider Software</v>
      </c>
      <c r="X4205" s="33">
        <f>IFERROR(__xludf.DUMMYFUNCTION("""COMPUTED_VALUE"""),0.5)</f>
        <v>0.5</v>
      </c>
    </row>
    <row r="4206">
      <c r="K4206" s="4" t="str">
        <f>IFERROR(__xludf.DUMMYFUNCTION("""COMPUTED_VALUE"""),"STOP BURGUER")</f>
        <v>STOP BURGUER</v>
      </c>
      <c r="L4206" s="32">
        <f>IFERROR(__xludf.DUMMYFUNCTION("""COMPUTED_VALUE"""),2.0)</f>
        <v>2</v>
      </c>
      <c r="M4206" s="4" t="str">
        <f>IFERROR(__xludf.DUMMYFUNCTION("""COMPUTED_VALUE"""),"Cardápio Web")</f>
        <v>Cardápio Web</v>
      </c>
      <c r="N4206" s="33">
        <f>IFERROR(__xludf.DUMMYFUNCTION("""COMPUTED_VALUE"""),0.5)</f>
        <v>0.5</v>
      </c>
      <c r="O4206" s="4" t="str">
        <f>IFERROR(__xludf.DUMMYFUNCTION("""COMPUTED_VALUE"""),"Cardápio Web")</f>
        <v>Cardápio Web</v>
      </c>
      <c r="P4206" s="33">
        <f>IFERROR(__xludf.DUMMYFUNCTION("""COMPUTED_VALUE"""),0.5)</f>
        <v>0.5</v>
      </c>
      <c r="Q4206" s="4" t="str">
        <f>IFERROR(__xludf.DUMMYFUNCTION("""COMPUTED_VALUE"""),"Cardápio Web")</f>
        <v>Cardápio Web</v>
      </c>
      <c r="R4206" s="33">
        <f>IFERROR(__xludf.DUMMYFUNCTION("""COMPUTED_VALUE"""),0.5)</f>
        <v>0.5</v>
      </c>
      <c r="S4206" s="4" t="str">
        <f>IFERROR(__xludf.DUMMYFUNCTION("""COMPUTED_VALUE"""),"Cardápio Web")</f>
        <v>Cardápio Web</v>
      </c>
      <c r="T4206" s="33">
        <f>IFERROR(__xludf.DUMMYFUNCTION("""COMPUTED_VALUE"""),0.5)</f>
        <v>0.5</v>
      </c>
      <c r="U4206" s="4" t="str">
        <f>IFERROR(__xludf.DUMMYFUNCTION("""COMPUTED_VALUE"""),"Cardápio Web")</f>
        <v>Cardápio Web</v>
      </c>
      <c r="V4206" s="33">
        <f>IFERROR(__xludf.DUMMYFUNCTION("""COMPUTED_VALUE"""),0.5)</f>
        <v>0.5</v>
      </c>
      <c r="W4206" s="4" t="str">
        <f>IFERROR(__xludf.DUMMYFUNCTION("""COMPUTED_VALUE"""),"Cardápio Web")</f>
        <v>Cardápio Web</v>
      </c>
      <c r="X4206" s="33">
        <f>IFERROR(__xludf.DUMMYFUNCTION("""COMPUTED_VALUE"""),0.5)</f>
        <v>0.5</v>
      </c>
    </row>
    <row r="4207">
      <c r="K4207" s="4" t="str">
        <f>IFERROR(__xludf.DUMMYFUNCTION("""COMPUTED_VALUE"""),"ESKINA DA PIZZA")</f>
        <v>ESKINA DA PIZZA</v>
      </c>
      <c r="L4207" s="32">
        <f>IFERROR(__xludf.DUMMYFUNCTION("""COMPUTED_VALUE"""),2.0)</f>
        <v>2</v>
      </c>
      <c r="M4207" s="4" t="str">
        <f>IFERROR(__xludf.DUMMYFUNCTION("""COMPUTED_VALUE"""),"Delivoro")</f>
        <v>Delivoro</v>
      </c>
      <c r="N4207" s="33">
        <f>IFERROR(__xludf.DUMMYFUNCTION("""COMPUTED_VALUE"""),0.5)</f>
        <v>0.5</v>
      </c>
      <c r="O4207" s="4" t="str">
        <f>IFERROR(__xludf.DUMMYFUNCTION("""COMPUTED_VALUE"""),"Delivoro")</f>
        <v>Delivoro</v>
      </c>
      <c r="P4207" s="33">
        <f>IFERROR(__xludf.DUMMYFUNCTION("""COMPUTED_VALUE"""),0.5)</f>
        <v>0.5</v>
      </c>
      <c r="Q4207" s="4" t="str">
        <f>IFERROR(__xludf.DUMMYFUNCTION("""COMPUTED_VALUE"""),"Delivoro")</f>
        <v>Delivoro</v>
      </c>
      <c r="R4207" s="33">
        <f>IFERROR(__xludf.DUMMYFUNCTION("""COMPUTED_VALUE"""),0.5)</f>
        <v>0.5</v>
      </c>
      <c r="S4207" s="4" t="str">
        <f>IFERROR(__xludf.DUMMYFUNCTION("""COMPUTED_VALUE"""),"Delivoro")</f>
        <v>Delivoro</v>
      </c>
      <c r="T4207" s="33">
        <f>IFERROR(__xludf.DUMMYFUNCTION("""COMPUTED_VALUE"""),0.5)</f>
        <v>0.5</v>
      </c>
      <c r="U4207" s="4" t="str">
        <f>IFERROR(__xludf.DUMMYFUNCTION("""COMPUTED_VALUE"""),"null")</f>
        <v>null</v>
      </c>
      <c r="V4207" s="33">
        <f>IFERROR(__xludf.DUMMYFUNCTION("""COMPUTED_VALUE"""),0.5)</f>
        <v>0.5</v>
      </c>
      <c r="W4207" s="4" t="str">
        <f>IFERROR(__xludf.DUMMYFUNCTION("""COMPUTED_VALUE"""),"Delivoro")</f>
        <v>Delivoro</v>
      </c>
      <c r="X4207" s="33">
        <f>IFERROR(__xludf.DUMMYFUNCTION("""COMPUTED_VALUE"""),0.5)</f>
        <v>0.5</v>
      </c>
    </row>
    <row r="4208">
      <c r="K4208" s="4" t="str">
        <f>IFERROR(__xludf.DUMMYFUNCTION("""COMPUTED_VALUE"""),"FITNIZZE")</f>
        <v>FITNIZZE</v>
      </c>
      <c r="L4208" s="32">
        <f>IFERROR(__xludf.DUMMYFUNCTION("""COMPUTED_VALUE"""),2.0)</f>
        <v>2</v>
      </c>
      <c r="M4208" s="4" t="str">
        <f>IFERROR(__xludf.DUMMYFUNCTION("""COMPUTED_VALUE"""),"Consumer Soluções Em Tecnologia Ltda")</f>
        <v>Consumer Soluções Em Tecnologia Ltda</v>
      </c>
      <c r="N4208" s="33">
        <f>IFERROR(__xludf.DUMMYFUNCTION("""COMPUTED_VALUE"""),1.0)</f>
        <v>1</v>
      </c>
      <c r="O4208" s="4" t="str">
        <f>IFERROR(__xludf.DUMMYFUNCTION("""COMPUTED_VALUE"""),"Consumer Soluções Em Tecnologia Ltda")</f>
        <v>Consumer Soluções Em Tecnologia Ltda</v>
      </c>
      <c r="P4208" s="33">
        <f>IFERROR(__xludf.DUMMYFUNCTION("""COMPUTED_VALUE"""),1.0)</f>
        <v>1</v>
      </c>
      <c r="Q4208" s="4" t="str">
        <f>IFERROR(__xludf.DUMMYFUNCTION("""COMPUTED_VALUE"""),"null")</f>
        <v>null</v>
      </c>
      <c r="R4208" s="33">
        <f>IFERROR(__xludf.DUMMYFUNCTION("""COMPUTED_VALUE"""),0.5)</f>
        <v>0.5</v>
      </c>
      <c r="S4208" s="4" t="str">
        <f>IFERROR(__xludf.DUMMYFUNCTION("""COMPUTED_VALUE"""),"null")</f>
        <v>null</v>
      </c>
      <c r="T4208" s="33">
        <f>IFERROR(__xludf.DUMMYFUNCTION("""COMPUTED_VALUE"""),1.0)</f>
        <v>1</v>
      </c>
      <c r="U4208" s="4" t="str">
        <f>IFERROR(__xludf.DUMMYFUNCTION("""COMPUTED_VALUE"""),"null")</f>
        <v>null</v>
      </c>
      <c r="V4208" s="33">
        <f>IFERROR(__xludf.DUMMYFUNCTION("""COMPUTED_VALUE"""),0.5)</f>
        <v>0.5</v>
      </c>
      <c r="W4208" s="4" t="str">
        <f>IFERROR(__xludf.DUMMYFUNCTION("""COMPUTED_VALUE"""),"null")</f>
        <v>null</v>
      </c>
      <c r="X4208" s="33">
        <f>IFERROR(__xludf.DUMMYFUNCTION("""COMPUTED_VALUE"""),1.0)</f>
        <v>1</v>
      </c>
    </row>
    <row r="4209">
      <c r="K4209" s="4" t="str">
        <f>IFERROR(__xludf.DUMMYFUNCTION("""COMPUTED_VALUE"""),"ENERGY ACAI")</f>
        <v>ENERGY ACAI</v>
      </c>
      <c r="L4209" s="32">
        <f>IFERROR(__xludf.DUMMYFUNCTION("""COMPUTED_VALUE"""),2.0)</f>
        <v>2</v>
      </c>
      <c r="M4209" s="4" t="str">
        <f>IFERROR(__xludf.DUMMYFUNCTION("""COMPUTED_VALUE"""),"Instadelivery")</f>
        <v>Instadelivery</v>
      </c>
      <c r="N4209" s="33">
        <f>IFERROR(__xludf.DUMMYFUNCTION("""COMPUTED_VALUE"""),0.5)</f>
        <v>0.5</v>
      </c>
      <c r="O4209" s="4" t="str">
        <f>IFERROR(__xludf.DUMMYFUNCTION("""COMPUTED_VALUE"""),"null")</f>
        <v>null</v>
      </c>
      <c r="P4209" s="33">
        <f>IFERROR(__xludf.DUMMYFUNCTION("""COMPUTED_VALUE"""),0.5)</f>
        <v>0.5</v>
      </c>
      <c r="Q4209" s="4" t="str">
        <f>IFERROR(__xludf.DUMMYFUNCTION("""COMPUTED_VALUE"""),"Instadelivery")</f>
        <v>Instadelivery</v>
      </c>
      <c r="R4209" s="33">
        <f>IFERROR(__xludf.DUMMYFUNCTION("""COMPUTED_VALUE"""),0.5)</f>
        <v>0.5</v>
      </c>
      <c r="S4209" s="4" t="str">
        <f>IFERROR(__xludf.DUMMYFUNCTION("""COMPUTED_VALUE"""),"null")</f>
        <v>null</v>
      </c>
      <c r="T4209" s="33">
        <f>IFERROR(__xludf.DUMMYFUNCTION("""COMPUTED_VALUE"""),1.0)</f>
        <v>1</v>
      </c>
      <c r="U4209" s="4" t="str">
        <f>IFERROR(__xludf.DUMMYFUNCTION("""COMPUTED_VALUE"""),"null")</f>
        <v>null</v>
      </c>
      <c r="V4209" s="33">
        <f>IFERROR(__xludf.DUMMYFUNCTION("""COMPUTED_VALUE"""),1.0)</f>
        <v>1</v>
      </c>
      <c r="W4209" s="4" t="str">
        <f>IFERROR(__xludf.DUMMYFUNCTION("""COMPUTED_VALUE"""),"null")</f>
        <v>null</v>
      </c>
      <c r="X4209" s="33">
        <f>IFERROR(__xludf.DUMMYFUNCTION("""COMPUTED_VALUE"""),1.0)</f>
        <v>1</v>
      </c>
    </row>
    <row r="4210">
      <c r="K4210" s="4" t="str">
        <f>IFERROR(__xludf.DUMMYFUNCTION("""COMPUTED_VALUE"""),"DELICIA")</f>
        <v>DELICIA</v>
      </c>
      <c r="L4210" s="32">
        <f>IFERROR(__xludf.DUMMYFUNCTION("""COMPUTED_VALUE"""),2.0)</f>
        <v>2</v>
      </c>
      <c r="M4210" s="4" t="str">
        <f>IFERROR(__xludf.DUMMYFUNCTION("""COMPUTED_VALUE"""),"Alpha Logo")</f>
        <v>Alpha Logo</v>
      </c>
      <c r="N4210" s="33">
        <f>IFERROR(__xludf.DUMMYFUNCTION("""COMPUTED_VALUE"""),0.5)</f>
        <v>0.5</v>
      </c>
      <c r="O4210" s="4" t="str">
        <f>IFERROR(__xludf.DUMMYFUNCTION("""COMPUTED_VALUE"""),"Alpha Logo")</f>
        <v>Alpha Logo</v>
      </c>
      <c r="P4210" s="33">
        <f>IFERROR(__xludf.DUMMYFUNCTION("""COMPUTED_VALUE"""),0.5)</f>
        <v>0.5</v>
      </c>
      <c r="Q4210" s="4" t="str">
        <f>IFERROR(__xludf.DUMMYFUNCTION("""COMPUTED_VALUE"""),"Alpha Logo")</f>
        <v>Alpha Logo</v>
      </c>
      <c r="R4210" s="33">
        <f>IFERROR(__xludf.DUMMYFUNCTION("""COMPUTED_VALUE"""),0.5)</f>
        <v>0.5</v>
      </c>
      <c r="S4210" s="4" t="str">
        <f>IFERROR(__xludf.DUMMYFUNCTION("""COMPUTED_VALUE"""),"Alpha Logo")</f>
        <v>Alpha Logo</v>
      </c>
      <c r="T4210" s="33">
        <f>IFERROR(__xludf.DUMMYFUNCTION("""COMPUTED_VALUE"""),0.5)</f>
        <v>0.5</v>
      </c>
      <c r="U4210" s="4" t="str">
        <f>IFERROR(__xludf.DUMMYFUNCTION("""COMPUTED_VALUE"""),"Alpha Logo")</f>
        <v>Alpha Logo</v>
      </c>
      <c r="V4210" s="33">
        <f>IFERROR(__xludf.DUMMYFUNCTION("""COMPUTED_VALUE"""),0.5)</f>
        <v>0.5</v>
      </c>
      <c r="W4210" s="4" t="str">
        <f>IFERROR(__xludf.DUMMYFUNCTION("""COMPUTED_VALUE"""),"Alpha Logo")</f>
        <v>Alpha Logo</v>
      </c>
      <c r="X4210" s="33">
        <f>IFERROR(__xludf.DUMMYFUNCTION("""COMPUTED_VALUE"""),0.5)</f>
        <v>0.5</v>
      </c>
    </row>
    <row r="4211">
      <c r="K4211" s="4" t="str">
        <f>IFERROR(__xludf.DUMMYFUNCTION("""COMPUTED_VALUE"""),"FARMACIA SANTA LUZIA")</f>
        <v>FARMACIA SANTA LUZIA</v>
      </c>
      <c r="L4211" s="32">
        <f>IFERROR(__xludf.DUMMYFUNCTION("""COMPUTED_VALUE"""),2.0)</f>
        <v>2</v>
      </c>
      <c r="M4211" s="4" t="str">
        <f>IFERROR(__xludf.DUMMYFUNCTION("""COMPUTED_VALUE"""),"N/A (Not found)")</f>
        <v>N/A (Not found)</v>
      </c>
      <c r="N4211" s="33">
        <f>IFERROR(__xludf.DUMMYFUNCTION("""COMPUTED_VALUE"""),1.0)</f>
        <v>1</v>
      </c>
      <c r="O4211" s="4" t="str">
        <f>IFERROR(__xludf.DUMMYFUNCTION("""COMPUTED_VALUE"""),"N/A (Not found)")</f>
        <v>N/A (Not found)</v>
      </c>
      <c r="P4211" s="33">
        <f>IFERROR(__xludf.DUMMYFUNCTION("""COMPUTED_VALUE"""),1.0)</f>
        <v>1</v>
      </c>
      <c r="Q4211" s="4" t="str">
        <f>IFERROR(__xludf.DUMMYFUNCTION("""COMPUTED_VALUE"""),"N/A (Not found)")</f>
        <v>N/A (Not found)</v>
      </c>
      <c r="R4211" s="33">
        <f>IFERROR(__xludf.DUMMYFUNCTION("""COMPUTED_VALUE"""),1.0)</f>
        <v>1</v>
      </c>
      <c r="S4211" s="4" t="str">
        <f>IFERROR(__xludf.DUMMYFUNCTION("""COMPUTED_VALUE"""),"N/A (Not found)")</f>
        <v>N/A (Not found)</v>
      </c>
      <c r="T4211" s="33">
        <f>IFERROR(__xludf.DUMMYFUNCTION("""COMPUTED_VALUE"""),1.0)</f>
        <v>1</v>
      </c>
      <c r="U4211" s="4" t="str">
        <f>IFERROR(__xludf.DUMMYFUNCTION("""COMPUTED_VALUE"""),"N/A (Not found)")</f>
        <v>N/A (Not found)</v>
      </c>
      <c r="V4211" s="33">
        <f>IFERROR(__xludf.DUMMYFUNCTION("""COMPUTED_VALUE"""),1.0)</f>
        <v>1</v>
      </c>
      <c r="W4211" s="4" t="str">
        <f>IFERROR(__xludf.DUMMYFUNCTION("""COMPUTED_VALUE"""),"N/A (Not found)")</f>
        <v>N/A (Not found)</v>
      </c>
      <c r="X4211" s="33">
        <f>IFERROR(__xludf.DUMMYFUNCTION("""COMPUTED_VALUE"""),1.0)</f>
        <v>1</v>
      </c>
    </row>
    <row r="4212">
      <c r="K4212" s="4" t="str">
        <f>IFERROR(__xludf.DUMMYFUNCTION("""COMPUTED_VALUE"""),"FUSION BURGER")</f>
        <v>FUSION BURGER</v>
      </c>
      <c r="L4212" s="32">
        <f>IFERROR(__xludf.DUMMYFUNCTION("""COMPUTED_VALUE"""),2.0)</f>
        <v>2</v>
      </c>
      <c r="M4212" s="4" t="str">
        <f>IFERROR(__xludf.DUMMYFUNCTION("""COMPUTED_VALUE"""),"Beefood - Sistema Para Restaurantes")</f>
        <v>Beefood - Sistema Para Restaurantes</v>
      </c>
      <c r="N4212" s="33">
        <f>IFERROR(__xludf.DUMMYFUNCTION("""COMPUTED_VALUE"""),0.5)</f>
        <v>0.5</v>
      </c>
      <c r="O4212" s="4" t="str">
        <f>IFERROR(__xludf.DUMMYFUNCTION("""COMPUTED_VALUE"""),"null")</f>
        <v>null</v>
      </c>
      <c r="P4212" s="33">
        <f>IFERROR(__xludf.DUMMYFUNCTION("""COMPUTED_VALUE"""),0.5)</f>
        <v>0.5</v>
      </c>
      <c r="Q4212" s="4" t="str">
        <f>IFERROR(__xludf.DUMMYFUNCTION("""COMPUTED_VALUE"""),"null")</f>
        <v>null</v>
      </c>
      <c r="R4212" s="33">
        <f>IFERROR(__xludf.DUMMYFUNCTION("""COMPUTED_VALUE"""),0.5)</f>
        <v>0.5</v>
      </c>
      <c r="S4212" s="4" t="str">
        <f>IFERROR(__xludf.DUMMYFUNCTION("""COMPUTED_VALUE"""),"null")</f>
        <v>null</v>
      </c>
      <c r="T4212" s="33">
        <f>IFERROR(__xludf.DUMMYFUNCTION("""COMPUTED_VALUE"""),0.5)</f>
        <v>0.5</v>
      </c>
      <c r="U4212" s="4" t="str">
        <f>IFERROR(__xludf.DUMMYFUNCTION("""COMPUTED_VALUE"""),"null")</f>
        <v>null</v>
      </c>
      <c r="V4212" s="33">
        <f>IFERROR(__xludf.DUMMYFUNCTION("""COMPUTED_VALUE"""),0.5)</f>
        <v>0.5</v>
      </c>
      <c r="W4212" s="4" t="str">
        <f>IFERROR(__xludf.DUMMYFUNCTION("""COMPUTED_VALUE"""),"null")</f>
        <v>null</v>
      </c>
      <c r="X4212" s="33">
        <f>IFERROR(__xludf.DUMMYFUNCTION("""COMPUTED_VALUE"""),0.5)</f>
        <v>0.5</v>
      </c>
    </row>
    <row r="4213">
      <c r="K4213" s="4" t="str">
        <f>IFERROR(__xludf.DUMMYFUNCTION("""COMPUTED_VALUE"""),"TROPA DO ACAI")</f>
        <v>TROPA DO ACAI</v>
      </c>
      <c r="L4213" s="32">
        <f>IFERROR(__xludf.DUMMYFUNCTION("""COMPUTED_VALUE"""),2.0)</f>
        <v>2</v>
      </c>
      <c r="M4213" s="4" t="str">
        <f>IFERROR(__xludf.DUMMYFUNCTION("""COMPUTED_VALUE"""),"Anota Ai Solucoes Digitais S/a")</f>
        <v>Anota Ai Solucoes Digitais S/a</v>
      </c>
      <c r="N4213" s="33">
        <f>IFERROR(__xludf.DUMMYFUNCTION("""COMPUTED_VALUE"""),0.5)</f>
        <v>0.5</v>
      </c>
      <c r="O4213" s="4" t="str">
        <f>IFERROR(__xludf.DUMMYFUNCTION("""COMPUTED_VALUE"""),"null")</f>
        <v>null</v>
      </c>
      <c r="P4213" s="33">
        <f>IFERROR(__xludf.DUMMYFUNCTION("""COMPUTED_VALUE"""),1.0)</f>
        <v>1</v>
      </c>
      <c r="Q4213" s="4" t="str">
        <f>IFERROR(__xludf.DUMMYFUNCTION("""COMPUTED_VALUE"""),"null")</f>
        <v>null</v>
      </c>
      <c r="R4213" s="33">
        <f>IFERROR(__xludf.DUMMYFUNCTION("""COMPUTED_VALUE"""),1.0)</f>
        <v>1</v>
      </c>
      <c r="S4213" s="4" t="str">
        <f>IFERROR(__xludf.DUMMYFUNCTION("""COMPUTED_VALUE"""),"null")</f>
        <v>null</v>
      </c>
      <c r="T4213" s="33">
        <f>IFERROR(__xludf.DUMMYFUNCTION("""COMPUTED_VALUE"""),1.0)</f>
        <v>1</v>
      </c>
      <c r="U4213" s="4" t="str">
        <f>IFERROR(__xludf.DUMMYFUNCTION("""COMPUTED_VALUE"""),"null")</f>
        <v>null</v>
      </c>
      <c r="V4213" s="33">
        <f>IFERROR(__xludf.DUMMYFUNCTION("""COMPUTED_VALUE"""),1.0)</f>
        <v>1</v>
      </c>
      <c r="W4213" s="4" t="str">
        <f>IFERROR(__xludf.DUMMYFUNCTION("""COMPUTED_VALUE"""),"null")</f>
        <v>null</v>
      </c>
      <c r="X4213" s="33">
        <f>IFERROR(__xludf.DUMMYFUNCTION("""COMPUTED_VALUE"""),0.5)</f>
        <v>0.5</v>
      </c>
    </row>
    <row r="4214">
      <c r="K4214" s="4" t="str">
        <f>IFERROR(__xludf.DUMMYFUNCTION("""COMPUTED_VALUE"""),"PODRAO LANCHES")</f>
        <v>PODRAO LANCHES</v>
      </c>
      <c r="L4214" s="32">
        <f>IFERROR(__xludf.DUMMYFUNCTION("""COMPUTED_VALUE"""),2.0)</f>
        <v>2</v>
      </c>
      <c r="M4214" s="4" t="str">
        <f>IFERROR(__xludf.DUMMYFUNCTION("""COMPUTED_VALUE"""),"null")</f>
        <v>null</v>
      </c>
      <c r="N4214" s="33">
        <f>IFERROR(__xludf.DUMMYFUNCTION("""COMPUTED_VALUE"""),0.5)</f>
        <v>0.5</v>
      </c>
      <c r="O4214" s="4" t="str">
        <f>IFERROR(__xludf.DUMMYFUNCTION("""COMPUTED_VALUE"""),"Saipos Serviços De Software")</f>
        <v>Saipos Serviços De Software</v>
      </c>
      <c r="P4214" s="33">
        <f>IFERROR(__xludf.DUMMYFUNCTION("""COMPUTED_VALUE"""),0.5)</f>
        <v>0.5</v>
      </c>
      <c r="Q4214" s="4" t="str">
        <f>IFERROR(__xludf.DUMMYFUNCTION("""COMPUTED_VALUE"""),"Saipos Serviços De Software")</f>
        <v>Saipos Serviços De Software</v>
      </c>
      <c r="R4214" s="33">
        <f>IFERROR(__xludf.DUMMYFUNCTION("""COMPUTED_VALUE"""),0.5)</f>
        <v>0.5</v>
      </c>
      <c r="S4214" s="4" t="str">
        <f>IFERROR(__xludf.DUMMYFUNCTION("""COMPUTED_VALUE"""),"Saipos Serviços De Software")</f>
        <v>Saipos Serviços De Software</v>
      </c>
      <c r="T4214" s="33">
        <f>IFERROR(__xludf.DUMMYFUNCTION("""COMPUTED_VALUE"""),0.5)</f>
        <v>0.5</v>
      </c>
      <c r="U4214" s="4" t="str">
        <f>IFERROR(__xludf.DUMMYFUNCTION("""COMPUTED_VALUE"""),"Saipos Serviços De Software")</f>
        <v>Saipos Serviços De Software</v>
      </c>
      <c r="V4214" s="33">
        <f>IFERROR(__xludf.DUMMYFUNCTION("""COMPUTED_VALUE"""),0.5)</f>
        <v>0.5</v>
      </c>
      <c r="W4214" s="4" t="str">
        <f>IFERROR(__xludf.DUMMYFUNCTION("""COMPUTED_VALUE"""),"Saipos Serviços De Software")</f>
        <v>Saipos Serviços De Software</v>
      </c>
      <c r="X4214" s="33">
        <f>IFERROR(__xludf.DUMMYFUNCTION("""COMPUTED_VALUE"""),0.5)</f>
        <v>0.5</v>
      </c>
    </row>
    <row r="4215">
      <c r="K4215" s="4" t="str">
        <f>IFERROR(__xludf.DUMMYFUNCTION("""COMPUTED_VALUE"""),"UDON SUSHI")</f>
        <v>UDON SUSHI</v>
      </c>
      <c r="L4215" s="32">
        <f>IFERROR(__xludf.DUMMYFUNCTION("""COMPUTED_VALUE"""),2.0)</f>
        <v>2</v>
      </c>
      <c r="M4215" s="4" t="str">
        <f>IFERROR(__xludf.DUMMYFUNCTION("""COMPUTED_VALUE"""),"Anota Ai Solucoes Digitais S/a")</f>
        <v>Anota Ai Solucoes Digitais S/a</v>
      </c>
      <c r="N4215" s="33">
        <f>IFERROR(__xludf.DUMMYFUNCTION("""COMPUTED_VALUE"""),0.5)</f>
        <v>0.5</v>
      </c>
      <c r="O4215" s="4" t="str">
        <f>IFERROR(__xludf.DUMMYFUNCTION("""COMPUTED_VALUE"""),"Anota Ai Solucoes Digitais S/a")</f>
        <v>Anota Ai Solucoes Digitais S/a</v>
      </c>
      <c r="P4215" s="33">
        <f>IFERROR(__xludf.DUMMYFUNCTION("""COMPUTED_VALUE"""),0.5)</f>
        <v>0.5</v>
      </c>
      <c r="Q4215" s="4" t="str">
        <f>IFERROR(__xludf.DUMMYFUNCTION("""COMPUTED_VALUE"""),"Anota Ai Solucoes Digitais S/a")</f>
        <v>Anota Ai Solucoes Digitais S/a</v>
      </c>
      <c r="R4215" s="33">
        <f>IFERROR(__xludf.DUMMYFUNCTION("""COMPUTED_VALUE"""),0.5)</f>
        <v>0.5</v>
      </c>
      <c r="S4215" s="4" t="str">
        <f>IFERROR(__xludf.DUMMYFUNCTION("""COMPUTED_VALUE"""),"Anota Ai Solucoes Digitais S/a")</f>
        <v>Anota Ai Solucoes Digitais S/a</v>
      </c>
      <c r="T4215" s="33">
        <f>IFERROR(__xludf.DUMMYFUNCTION("""COMPUTED_VALUE"""),0.5)</f>
        <v>0.5</v>
      </c>
      <c r="U4215" s="4" t="str">
        <f>IFERROR(__xludf.DUMMYFUNCTION("""COMPUTED_VALUE"""),"Anota Ai Solucoes Digitais S/a")</f>
        <v>Anota Ai Solucoes Digitais S/a</v>
      </c>
      <c r="V4215" s="33">
        <f>IFERROR(__xludf.DUMMYFUNCTION("""COMPUTED_VALUE"""),0.5)</f>
        <v>0.5</v>
      </c>
      <c r="W4215" s="4" t="str">
        <f>IFERROR(__xludf.DUMMYFUNCTION("""COMPUTED_VALUE"""),"Anota Ai Solucoes Digitais S/a")</f>
        <v>Anota Ai Solucoes Digitais S/a</v>
      </c>
      <c r="X4215" s="33">
        <f>IFERROR(__xludf.DUMMYFUNCTION("""COMPUTED_VALUE"""),0.5)</f>
        <v>0.5</v>
      </c>
    </row>
    <row r="4216">
      <c r="K4216" s="4" t="str">
        <f>IFERROR(__xludf.DUMMYFUNCTION("""COMPUTED_VALUE"""),"COBURG - HAMBURGUERIA ARTESANAL")</f>
        <v>COBURG - HAMBURGUERIA ARTESANAL</v>
      </c>
      <c r="L4216" s="32">
        <f>IFERROR(__xludf.DUMMYFUNCTION("""COMPUTED_VALUE"""),2.0)</f>
        <v>2</v>
      </c>
      <c r="M4216" s="4" t="str">
        <f>IFERROR(__xludf.DUMMYFUNCTION("""COMPUTED_VALUE"""),"Saipos Serviços De Software")</f>
        <v>Saipos Serviços De Software</v>
      </c>
      <c r="N4216" s="33">
        <f>IFERROR(__xludf.DUMMYFUNCTION("""COMPUTED_VALUE"""),1.0)</f>
        <v>1</v>
      </c>
      <c r="O4216" s="4" t="str">
        <f>IFERROR(__xludf.DUMMYFUNCTION("""COMPUTED_VALUE"""),"Saipos Serviços De Software")</f>
        <v>Saipos Serviços De Software</v>
      </c>
      <c r="P4216" s="33">
        <f>IFERROR(__xludf.DUMMYFUNCTION("""COMPUTED_VALUE"""),1.0)</f>
        <v>1</v>
      </c>
      <c r="Q4216" s="4" t="str">
        <f>IFERROR(__xludf.DUMMYFUNCTION("""COMPUTED_VALUE"""),"Saipos Serviços De Software")</f>
        <v>Saipos Serviços De Software</v>
      </c>
      <c r="R4216" s="33">
        <f>IFERROR(__xludf.DUMMYFUNCTION("""COMPUTED_VALUE"""),1.0)</f>
        <v>1</v>
      </c>
      <c r="S4216" s="4" t="str">
        <f>IFERROR(__xludf.DUMMYFUNCTION("""COMPUTED_VALUE"""),"Saipos Serviços De Software")</f>
        <v>Saipos Serviços De Software</v>
      </c>
      <c r="T4216" s="33">
        <f>IFERROR(__xludf.DUMMYFUNCTION("""COMPUTED_VALUE"""),1.0)</f>
        <v>1</v>
      </c>
      <c r="U4216" s="4" t="str">
        <f>IFERROR(__xludf.DUMMYFUNCTION("""COMPUTED_VALUE"""),"Saipos Serviços De Software")</f>
        <v>Saipos Serviços De Software</v>
      </c>
      <c r="V4216" s="33">
        <f>IFERROR(__xludf.DUMMYFUNCTION("""COMPUTED_VALUE"""),1.0)</f>
        <v>1</v>
      </c>
      <c r="W4216" s="4" t="str">
        <f>IFERROR(__xludf.DUMMYFUNCTION("""COMPUTED_VALUE"""),"Saipos Serviços De Software")</f>
        <v>Saipos Serviços De Software</v>
      </c>
      <c r="X4216" s="33">
        <f>IFERROR(__xludf.DUMMYFUNCTION("""COMPUTED_VALUE"""),1.0)</f>
        <v>1</v>
      </c>
    </row>
    <row r="4217">
      <c r="K4217" s="4" t="str">
        <f>IFERROR(__xludf.DUMMYFUNCTION("""COMPUTED_VALUE"""),"THE SOFT ITALY - GELATO SOFT")</f>
        <v>THE SOFT ITALY - GELATO SOFT</v>
      </c>
      <c r="L4217" s="32">
        <f>IFERROR(__xludf.DUMMYFUNCTION("""COMPUTED_VALUE"""),2.0)</f>
        <v>2</v>
      </c>
      <c r="M4217" s="4" t="str">
        <f>IFERROR(__xludf.DUMMYFUNCTION("""COMPUTED_VALUE"""),"null")</f>
        <v>null</v>
      </c>
      <c r="N4217" s="33">
        <f>IFERROR(__xludf.DUMMYFUNCTION("""COMPUTED_VALUE"""),1.0)</f>
        <v>1</v>
      </c>
      <c r="O4217" s="4" t="str">
        <f>IFERROR(__xludf.DUMMYFUNCTION("""COMPUTED_VALUE"""),"Totvs Large Enterprise Tecnologia S.a.")</f>
        <v>Totvs Large Enterprise Tecnologia S.a.</v>
      </c>
      <c r="P4217" s="33">
        <f>IFERROR(__xludf.DUMMYFUNCTION("""COMPUTED_VALUE"""),1.0)</f>
        <v>1</v>
      </c>
      <c r="Q4217" s="4" t="str">
        <f>IFERROR(__xludf.DUMMYFUNCTION("""COMPUTED_VALUE"""),"Totvs Large Enterprise Tecnologia S.a.")</f>
        <v>Totvs Large Enterprise Tecnologia S.a.</v>
      </c>
      <c r="R4217" s="33">
        <f>IFERROR(__xludf.DUMMYFUNCTION("""COMPUTED_VALUE"""),1.0)</f>
        <v>1</v>
      </c>
      <c r="S4217" s="4" t="str">
        <f>IFERROR(__xludf.DUMMYFUNCTION("""COMPUTED_VALUE"""),"Totvs Large Enterprise Tecnologia S.a.")</f>
        <v>Totvs Large Enterprise Tecnologia S.a.</v>
      </c>
      <c r="T4217" s="33">
        <f>IFERROR(__xludf.DUMMYFUNCTION("""COMPUTED_VALUE"""),0.5)</f>
        <v>0.5</v>
      </c>
      <c r="U4217" s="4" t="str">
        <f>IFERROR(__xludf.DUMMYFUNCTION("""COMPUTED_VALUE"""),"Totvs Large Enterprise Tecnologia S.a.")</f>
        <v>Totvs Large Enterprise Tecnologia S.a.</v>
      </c>
      <c r="V4217" s="33">
        <f>IFERROR(__xludf.DUMMYFUNCTION("""COMPUTED_VALUE"""),0.5)</f>
        <v>0.5</v>
      </c>
      <c r="W4217" s="4" t="str">
        <f>IFERROR(__xludf.DUMMYFUNCTION("""COMPUTED_VALUE"""),"Totvs Large Enterprise Tecnologia S.a.")</f>
        <v>Totvs Large Enterprise Tecnologia S.a.</v>
      </c>
      <c r="X4217" s="33">
        <f>IFERROR(__xludf.DUMMYFUNCTION("""COMPUTED_VALUE"""),0.5)</f>
        <v>0.5</v>
      </c>
    </row>
    <row r="4218">
      <c r="K4218" s="4" t="str">
        <f>IFERROR(__xludf.DUMMYFUNCTION("""COMPUTED_VALUE"""),"MERCADINHO EXPRESS")</f>
        <v>MERCADINHO EXPRESS</v>
      </c>
      <c r="L4218" s="32">
        <f>IFERROR(__xludf.DUMMYFUNCTION("""COMPUTED_VALUE"""),2.0)</f>
        <v>2</v>
      </c>
      <c r="M4218" s="4" t="str">
        <f>IFERROR(__xludf.DUMMYFUNCTION("""COMPUTED_VALUE"""),"N/A (Not found)")</f>
        <v>N/A (Not found)</v>
      </c>
      <c r="N4218" s="33">
        <f>IFERROR(__xludf.DUMMYFUNCTION("""COMPUTED_VALUE"""),0.5)</f>
        <v>0.5</v>
      </c>
      <c r="O4218" s="4" t="str">
        <f>IFERROR(__xludf.DUMMYFUNCTION("""COMPUTED_VALUE"""),"N/A (Not found)")</f>
        <v>N/A (Not found)</v>
      </c>
      <c r="P4218" s="33">
        <f>IFERROR(__xludf.DUMMYFUNCTION("""COMPUTED_VALUE"""),0.5)</f>
        <v>0.5</v>
      </c>
      <c r="Q4218" s="4" t="str">
        <f>IFERROR(__xludf.DUMMYFUNCTION("""COMPUTED_VALUE"""),"N/A (Not found)")</f>
        <v>N/A (Not found)</v>
      </c>
      <c r="R4218" s="33">
        <f>IFERROR(__xludf.DUMMYFUNCTION("""COMPUTED_VALUE"""),1.0)</f>
        <v>1</v>
      </c>
      <c r="S4218" s="4" t="str">
        <f>IFERROR(__xludf.DUMMYFUNCTION("""COMPUTED_VALUE"""),"N/A (Not found)")</f>
        <v>N/A (Not found)</v>
      </c>
      <c r="T4218" s="33">
        <f>IFERROR(__xludf.DUMMYFUNCTION("""COMPUTED_VALUE"""),1.0)</f>
        <v>1</v>
      </c>
      <c r="U4218" s="4" t="str">
        <f>IFERROR(__xludf.DUMMYFUNCTION("""COMPUTED_VALUE"""),"N/A (Not found)")</f>
        <v>N/A (Not found)</v>
      </c>
      <c r="V4218" s="33">
        <f>IFERROR(__xludf.DUMMYFUNCTION("""COMPUTED_VALUE"""),1.0)</f>
        <v>1</v>
      </c>
      <c r="W4218" s="4" t="str">
        <f>IFERROR(__xludf.DUMMYFUNCTION("""COMPUTED_VALUE"""),"N/A (Not found)")</f>
        <v>N/A (Not found)</v>
      </c>
      <c r="X4218" s="33">
        <f>IFERROR(__xludf.DUMMYFUNCTION("""COMPUTED_VALUE"""),0.5)</f>
        <v>0.5</v>
      </c>
    </row>
    <row r="4219">
      <c r="K4219" s="4" t="str">
        <f>IFERROR(__xludf.DUMMYFUNCTION("""COMPUTED_VALUE"""),"MARMITAS DO CHEFE")</f>
        <v>MARMITAS DO CHEFE</v>
      </c>
      <c r="L4219" s="32">
        <f>IFERROR(__xludf.DUMMYFUNCTION("""COMPUTED_VALUE"""),2.0)</f>
        <v>2</v>
      </c>
      <c r="M4219" s="4" t="str">
        <f>IFERROR(__xludf.DUMMYFUNCTION("""COMPUTED_VALUE"""),"Ncr")</f>
        <v>Ncr</v>
      </c>
      <c r="N4219" s="33">
        <f>IFERROR(__xludf.DUMMYFUNCTION("""COMPUTED_VALUE"""),1.0)</f>
        <v>1</v>
      </c>
      <c r="O4219" s="4" t="str">
        <f>IFERROR(__xludf.DUMMYFUNCTION("""COMPUTED_VALUE"""),"Ncr")</f>
        <v>Ncr</v>
      </c>
      <c r="P4219" s="33">
        <f>IFERROR(__xludf.DUMMYFUNCTION("""COMPUTED_VALUE"""),0.5)</f>
        <v>0.5</v>
      </c>
      <c r="Q4219" s="4" t="str">
        <f>IFERROR(__xludf.DUMMYFUNCTION("""COMPUTED_VALUE"""),"Ncr")</f>
        <v>Ncr</v>
      </c>
      <c r="R4219" s="33">
        <f>IFERROR(__xludf.DUMMYFUNCTION("""COMPUTED_VALUE"""),0.5)</f>
        <v>0.5</v>
      </c>
      <c r="S4219" s="4" t="str">
        <f>IFERROR(__xludf.DUMMYFUNCTION("""COMPUTED_VALUE"""),"Ncr")</f>
        <v>Ncr</v>
      </c>
      <c r="T4219" s="33">
        <f>IFERROR(__xludf.DUMMYFUNCTION("""COMPUTED_VALUE"""),0.5)</f>
        <v>0.5</v>
      </c>
      <c r="U4219" s="4" t="str">
        <f>IFERROR(__xludf.DUMMYFUNCTION("""COMPUTED_VALUE"""),"null")</f>
        <v>null</v>
      </c>
      <c r="V4219" s="33">
        <f>IFERROR(__xludf.DUMMYFUNCTION("""COMPUTED_VALUE"""),1.0)</f>
        <v>1</v>
      </c>
      <c r="W4219" s="4" t="str">
        <f>IFERROR(__xludf.DUMMYFUNCTION("""COMPUTED_VALUE"""),"Ncr")</f>
        <v>Ncr</v>
      </c>
      <c r="X4219" s="33">
        <f>IFERROR(__xludf.DUMMYFUNCTION("""COMPUTED_VALUE"""),0.5)</f>
        <v>0.5</v>
      </c>
    </row>
    <row r="4220">
      <c r="K4220" s="4" t="str">
        <f>IFERROR(__xludf.DUMMYFUNCTION("""COMPUTED_VALUE"""),"FREITAS PIZZARIA")</f>
        <v>FREITAS PIZZARIA</v>
      </c>
      <c r="L4220" s="32">
        <f>IFERROR(__xludf.DUMMYFUNCTION("""COMPUTED_VALUE"""),2.0)</f>
        <v>2</v>
      </c>
      <c r="M4220" s="4" t="str">
        <f>IFERROR(__xludf.DUMMYFUNCTION("""COMPUTED_VALUE"""),"Saipos Serviços De Software")</f>
        <v>Saipos Serviços De Software</v>
      </c>
      <c r="N4220" s="33">
        <f>IFERROR(__xludf.DUMMYFUNCTION("""COMPUTED_VALUE"""),0.5)</f>
        <v>0.5</v>
      </c>
      <c r="O4220" s="4" t="str">
        <f>IFERROR(__xludf.DUMMYFUNCTION("""COMPUTED_VALUE"""),"Saipos Serviços De Software")</f>
        <v>Saipos Serviços De Software</v>
      </c>
      <c r="P4220" s="33">
        <f>IFERROR(__xludf.DUMMYFUNCTION("""COMPUTED_VALUE"""),0.5)</f>
        <v>0.5</v>
      </c>
      <c r="Q4220" s="4" t="str">
        <f>IFERROR(__xludf.DUMMYFUNCTION("""COMPUTED_VALUE"""),"Saipos Serviços De Software")</f>
        <v>Saipos Serviços De Software</v>
      </c>
      <c r="R4220" s="33">
        <f>IFERROR(__xludf.DUMMYFUNCTION("""COMPUTED_VALUE"""),0.5)</f>
        <v>0.5</v>
      </c>
      <c r="S4220" s="4" t="str">
        <f>IFERROR(__xludf.DUMMYFUNCTION("""COMPUTED_VALUE"""),"Saipos Serviços De Software")</f>
        <v>Saipos Serviços De Software</v>
      </c>
      <c r="T4220" s="33">
        <f>IFERROR(__xludf.DUMMYFUNCTION("""COMPUTED_VALUE"""),0.5)</f>
        <v>0.5</v>
      </c>
      <c r="U4220" s="4" t="str">
        <f>IFERROR(__xludf.DUMMYFUNCTION("""COMPUTED_VALUE"""),"Saipos Serviços De Software")</f>
        <v>Saipos Serviços De Software</v>
      </c>
      <c r="V4220" s="33">
        <f>IFERROR(__xludf.DUMMYFUNCTION("""COMPUTED_VALUE"""),0.5)</f>
        <v>0.5</v>
      </c>
      <c r="W4220" s="4" t="str">
        <f>IFERROR(__xludf.DUMMYFUNCTION("""COMPUTED_VALUE"""),"Saipos Serviços De Software")</f>
        <v>Saipos Serviços De Software</v>
      </c>
      <c r="X4220" s="33">
        <f>IFERROR(__xludf.DUMMYFUNCTION("""COMPUTED_VALUE"""),0.5)</f>
        <v>0.5</v>
      </c>
    </row>
    <row r="4221">
      <c r="K4221" s="4" t="str">
        <f>IFERROR(__xludf.DUMMYFUNCTION("""COMPUTED_VALUE"""),"PIZZARIA ALTAS HORAS")</f>
        <v>PIZZARIA ALTAS HORAS</v>
      </c>
      <c r="L4221" s="32">
        <f>IFERROR(__xludf.DUMMYFUNCTION("""COMPUTED_VALUE"""),2.0)</f>
        <v>2</v>
      </c>
      <c r="M4221" s="4" t="str">
        <f>IFERROR(__xludf.DUMMYFUNCTION("""COMPUTED_VALUE"""),"Saipos Serviços De Software")</f>
        <v>Saipos Serviços De Software</v>
      </c>
      <c r="N4221" s="33">
        <f>IFERROR(__xludf.DUMMYFUNCTION("""COMPUTED_VALUE"""),0.6666666666666666)</f>
        <v>0.6666666667</v>
      </c>
      <c r="O4221" s="4" t="str">
        <f>IFERROR(__xludf.DUMMYFUNCTION("""COMPUTED_VALUE"""),"Saipos Serviços De Software")</f>
        <v>Saipos Serviços De Software</v>
      </c>
      <c r="P4221" s="33">
        <f>IFERROR(__xludf.DUMMYFUNCTION("""COMPUTED_VALUE"""),0.6666666666666666)</f>
        <v>0.6666666667</v>
      </c>
      <c r="Q4221" s="4" t="str">
        <f>IFERROR(__xludf.DUMMYFUNCTION("""COMPUTED_VALUE"""),"Saipos Serviços De Software")</f>
        <v>Saipos Serviços De Software</v>
      </c>
      <c r="R4221" s="33">
        <f>IFERROR(__xludf.DUMMYFUNCTION("""COMPUTED_VALUE"""),0.6666666666666666)</f>
        <v>0.6666666667</v>
      </c>
      <c r="S4221" s="4" t="str">
        <f>IFERROR(__xludf.DUMMYFUNCTION("""COMPUTED_VALUE"""),"Saipos Serviços De Software")</f>
        <v>Saipos Serviços De Software</v>
      </c>
      <c r="T4221" s="33">
        <f>IFERROR(__xludf.DUMMYFUNCTION("""COMPUTED_VALUE"""),0.6666666666666666)</f>
        <v>0.6666666667</v>
      </c>
      <c r="U4221" s="4" t="str">
        <f>IFERROR(__xludf.DUMMYFUNCTION("""COMPUTED_VALUE"""),"Saipos Serviços De Software")</f>
        <v>Saipos Serviços De Software</v>
      </c>
      <c r="V4221" s="33">
        <f>IFERROR(__xludf.DUMMYFUNCTION("""COMPUTED_VALUE"""),0.6666666666666666)</f>
        <v>0.6666666667</v>
      </c>
      <c r="W4221" s="4" t="str">
        <f>IFERROR(__xludf.DUMMYFUNCTION("""COMPUTED_VALUE"""),"Saipos Serviços De Software")</f>
        <v>Saipos Serviços De Software</v>
      </c>
      <c r="X4221" s="33">
        <f>IFERROR(__xludf.DUMMYFUNCTION("""COMPUTED_VALUE"""),0.6666666666666666)</f>
        <v>0.6666666667</v>
      </c>
    </row>
    <row r="4222">
      <c r="K4222" s="4" t="str">
        <f>IFERROR(__xludf.DUMMYFUNCTION("""COMPUTED_VALUE"""),"DECK 09")</f>
        <v>DECK 09</v>
      </c>
      <c r="L4222" s="32">
        <f>IFERROR(__xludf.DUMMYFUNCTION("""COMPUTED_VALUE"""),2.0)</f>
        <v>2</v>
      </c>
      <c r="M4222" s="4" t="str">
        <f>IFERROR(__xludf.DUMMYFUNCTION("""COMPUTED_VALUE"""),"Consumer Soluções Em Tecnologia Ltda")</f>
        <v>Consumer Soluções Em Tecnologia Ltda</v>
      </c>
      <c r="N4222" s="33">
        <f>IFERROR(__xludf.DUMMYFUNCTION("""COMPUTED_VALUE"""),0.5)</f>
        <v>0.5</v>
      </c>
      <c r="O4222" s="4" t="str">
        <f>IFERROR(__xludf.DUMMYFUNCTION("""COMPUTED_VALUE"""),"Consumer Soluções Em Tecnologia Ltda")</f>
        <v>Consumer Soluções Em Tecnologia Ltda</v>
      </c>
      <c r="P4222" s="33">
        <f>IFERROR(__xludf.DUMMYFUNCTION("""COMPUTED_VALUE"""),0.5)</f>
        <v>0.5</v>
      </c>
      <c r="Q4222" s="4" t="str">
        <f>IFERROR(__xludf.DUMMYFUNCTION("""COMPUTED_VALUE"""),"Consumer Soluções Em Tecnologia Ltda")</f>
        <v>Consumer Soluções Em Tecnologia Ltda</v>
      </c>
      <c r="R4222" s="33">
        <f>IFERROR(__xludf.DUMMYFUNCTION("""COMPUTED_VALUE"""),0.5)</f>
        <v>0.5</v>
      </c>
      <c r="S4222" s="4" t="str">
        <f>IFERROR(__xludf.DUMMYFUNCTION("""COMPUTED_VALUE"""),"Consumer Soluções Em Tecnologia Ltda")</f>
        <v>Consumer Soluções Em Tecnologia Ltda</v>
      </c>
      <c r="T4222" s="33">
        <f>IFERROR(__xludf.DUMMYFUNCTION("""COMPUTED_VALUE"""),0.5)</f>
        <v>0.5</v>
      </c>
      <c r="U4222" s="4" t="str">
        <f>IFERROR(__xludf.DUMMYFUNCTION("""COMPUTED_VALUE"""),"Consumer Soluções Em Tecnologia Ltda")</f>
        <v>Consumer Soluções Em Tecnologia Ltda</v>
      </c>
      <c r="V4222" s="33">
        <f>IFERROR(__xludf.DUMMYFUNCTION("""COMPUTED_VALUE"""),0.5)</f>
        <v>0.5</v>
      </c>
      <c r="W4222" s="4" t="str">
        <f>IFERROR(__xludf.DUMMYFUNCTION("""COMPUTED_VALUE"""),"null")</f>
        <v>null</v>
      </c>
      <c r="X4222" s="33">
        <f>IFERROR(__xludf.DUMMYFUNCTION("""COMPUTED_VALUE"""),1.0)</f>
        <v>1</v>
      </c>
    </row>
    <row r="4223">
      <c r="K4223" s="4" t="str">
        <f>IFERROR(__xludf.DUMMYFUNCTION("""COMPUTED_VALUE"""),"MECCA ACAI")</f>
        <v>MECCA ACAI</v>
      </c>
      <c r="L4223" s="32">
        <f>IFERROR(__xludf.DUMMYFUNCTION("""COMPUTED_VALUE"""),2.0)</f>
        <v>2</v>
      </c>
      <c r="M4223" s="4" t="str">
        <f>IFERROR(__xludf.DUMMYFUNCTION("""COMPUTED_VALUE"""),"Saipos Serviços De Software")</f>
        <v>Saipos Serviços De Software</v>
      </c>
      <c r="N4223" s="33">
        <f>IFERROR(__xludf.DUMMYFUNCTION("""COMPUTED_VALUE"""),1.0)</f>
        <v>1</v>
      </c>
      <c r="O4223" s="4" t="str">
        <f>IFERROR(__xludf.DUMMYFUNCTION("""COMPUTED_VALUE"""),"null")</f>
        <v>null</v>
      </c>
      <c r="P4223" s="33">
        <f>IFERROR(__xludf.DUMMYFUNCTION("""COMPUTED_VALUE"""),0.5)</f>
        <v>0.5</v>
      </c>
      <c r="Q4223" s="4" t="str">
        <f>IFERROR(__xludf.DUMMYFUNCTION("""COMPUTED_VALUE"""),"null")</f>
        <v>null</v>
      </c>
      <c r="R4223" s="33">
        <f>IFERROR(__xludf.DUMMYFUNCTION("""COMPUTED_VALUE"""),1.0)</f>
        <v>1</v>
      </c>
      <c r="S4223" s="4" t="str">
        <f>IFERROR(__xludf.DUMMYFUNCTION("""COMPUTED_VALUE"""),"null")</f>
        <v>null</v>
      </c>
      <c r="T4223" s="33">
        <f>IFERROR(__xludf.DUMMYFUNCTION("""COMPUTED_VALUE"""),1.0)</f>
        <v>1</v>
      </c>
      <c r="U4223" s="4" t="str">
        <f>IFERROR(__xludf.DUMMYFUNCTION("""COMPUTED_VALUE"""),"null")</f>
        <v>null</v>
      </c>
      <c r="V4223" s="33">
        <f>IFERROR(__xludf.DUMMYFUNCTION("""COMPUTED_VALUE"""),1.0)</f>
        <v>1</v>
      </c>
      <c r="W4223" s="4" t="str">
        <f>IFERROR(__xludf.DUMMYFUNCTION("""COMPUTED_VALUE"""),"null")</f>
        <v>null</v>
      </c>
      <c r="X4223" s="33">
        <f>IFERROR(__xludf.DUMMYFUNCTION("""COMPUTED_VALUE"""),1.0)</f>
        <v>1</v>
      </c>
    </row>
    <row r="4224">
      <c r="K4224" s="4" t="str">
        <f>IFERROR(__xludf.DUMMYFUNCTION("""COMPUTED_VALUE"""),"BURGER DA VILA")</f>
        <v>BURGER DA VILA</v>
      </c>
      <c r="L4224" s="32">
        <f>IFERROR(__xludf.DUMMYFUNCTION("""COMPUTED_VALUE"""),2.0)</f>
        <v>2</v>
      </c>
      <c r="M4224" s="4" t="str">
        <f>IFERROR(__xludf.DUMMYFUNCTION("""COMPUTED_VALUE"""),"Instadelivery")</f>
        <v>Instadelivery</v>
      </c>
      <c r="N4224" s="33">
        <f>IFERROR(__xludf.DUMMYFUNCTION("""COMPUTED_VALUE"""),0.5)</f>
        <v>0.5</v>
      </c>
      <c r="O4224" s="4" t="str">
        <f>IFERROR(__xludf.DUMMYFUNCTION("""COMPUTED_VALUE"""),"Instadelivery")</f>
        <v>Instadelivery</v>
      </c>
      <c r="P4224" s="33">
        <f>IFERROR(__xludf.DUMMYFUNCTION("""COMPUTED_VALUE"""),0.5)</f>
        <v>0.5</v>
      </c>
      <c r="Q4224" s="4" t="str">
        <f>IFERROR(__xludf.DUMMYFUNCTION("""COMPUTED_VALUE"""),"Instadelivery")</f>
        <v>Instadelivery</v>
      </c>
      <c r="R4224" s="33">
        <f>IFERROR(__xludf.DUMMYFUNCTION("""COMPUTED_VALUE"""),0.5)</f>
        <v>0.5</v>
      </c>
      <c r="S4224" s="4" t="str">
        <f>IFERROR(__xludf.DUMMYFUNCTION("""COMPUTED_VALUE"""),"Instadelivery")</f>
        <v>Instadelivery</v>
      </c>
      <c r="T4224" s="33">
        <f>IFERROR(__xludf.DUMMYFUNCTION("""COMPUTED_VALUE"""),0.5)</f>
        <v>0.5</v>
      </c>
      <c r="U4224" s="4" t="str">
        <f>IFERROR(__xludf.DUMMYFUNCTION("""COMPUTED_VALUE"""),"null")</f>
        <v>null</v>
      </c>
      <c r="V4224" s="33">
        <f>IFERROR(__xludf.DUMMYFUNCTION("""COMPUTED_VALUE"""),0.5)</f>
        <v>0.5</v>
      </c>
      <c r="W4224" s="4" t="str">
        <f>IFERROR(__xludf.DUMMYFUNCTION("""COMPUTED_VALUE"""),"null")</f>
        <v>null</v>
      </c>
      <c r="X4224" s="33">
        <f>IFERROR(__xludf.DUMMYFUNCTION("""COMPUTED_VALUE"""),0.5)</f>
        <v>0.5</v>
      </c>
    </row>
    <row r="4225">
      <c r="K4225" s="4" t="str">
        <f>IFERROR(__xludf.DUMMYFUNCTION("""COMPUTED_VALUE"""),"FE GASTRONOMIA")</f>
        <v>FE GASTRONOMIA</v>
      </c>
      <c r="L4225" s="32">
        <f>IFERROR(__xludf.DUMMYFUNCTION("""COMPUTED_VALUE"""),2.0)</f>
        <v>2</v>
      </c>
      <c r="M4225" s="4" t="str">
        <f>IFERROR(__xludf.DUMMYFUNCTION("""COMPUTED_VALUE"""),"Cardápio Web")</f>
        <v>Cardápio Web</v>
      </c>
      <c r="N4225" s="33">
        <f>IFERROR(__xludf.DUMMYFUNCTION("""COMPUTED_VALUE"""),1.0)</f>
        <v>1</v>
      </c>
      <c r="O4225" s="4" t="str">
        <f>IFERROR(__xludf.DUMMYFUNCTION("""COMPUTED_VALUE"""),"Cardápio Web")</f>
        <v>Cardápio Web</v>
      </c>
      <c r="P4225" s="33">
        <f>IFERROR(__xludf.DUMMYFUNCTION("""COMPUTED_VALUE"""),1.0)</f>
        <v>1</v>
      </c>
      <c r="Q4225" s="4" t="str">
        <f>IFERROR(__xludf.DUMMYFUNCTION("""COMPUTED_VALUE"""),"Cardápio Web")</f>
        <v>Cardápio Web</v>
      </c>
      <c r="R4225" s="33">
        <f>IFERROR(__xludf.DUMMYFUNCTION("""COMPUTED_VALUE"""),1.0)</f>
        <v>1</v>
      </c>
      <c r="S4225" s="4" t="str">
        <f>IFERROR(__xludf.DUMMYFUNCTION("""COMPUTED_VALUE"""),"Cardápio Web")</f>
        <v>Cardápio Web</v>
      </c>
      <c r="T4225" s="33">
        <f>IFERROR(__xludf.DUMMYFUNCTION("""COMPUTED_VALUE"""),1.0)</f>
        <v>1</v>
      </c>
      <c r="U4225" s="4" t="str">
        <f>IFERROR(__xludf.DUMMYFUNCTION("""COMPUTED_VALUE"""),"Cardápio Web")</f>
        <v>Cardápio Web</v>
      </c>
      <c r="V4225" s="33">
        <f>IFERROR(__xludf.DUMMYFUNCTION("""COMPUTED_VALUE"""),1.0)</f>
        <v>1</v>
      </c>
      <c r="W4225" s="4" t="str">
        <f>IFERROR(__xludf.DUMMYFUNCTION("""COMPUTED_VALUE"""),"Cardápio Web")</f>
        <v>Cardápio Web</v>
      </c>
      <c r="X4225" s="33">
        <f>IFERROR(__xludf.DUMMYFUNCTION("""COMPUTED_VALUE"""),1.0)</f>
        <v>1</v>
      </c>
    </row>
    <row r="4226">
      <c r="K4226" s="4" t="str">
        <f>IFERROR(__xludf.DUMMYFUNCTION("""COMPUTED_VALUE"""),"CLAUDIA CAKES")</f>
        <v>CLAUDIA CAKES</v>
      </c>
      <c r="L4226" s="32">
        <f>IFERROR(__xludf.DUMMYFUNCTION("""COMPUTED_VALUE"""),2.0)</f>
        <v>2</v>
      </c>
      <c r="M4226" s="4" t="str">
        <f>IFERROR(__xludf.DUMMYFUNCTION("""COMPUTED_VALUE"""),"Instadelivery")</f>
        <v>Instadelivery</v>
      </c>
      <c r="N4226" s="33">
        <f>IFERROR(__xludf.DUMMYFUNCTION("""COMPUTED_VALUE"""),0.5)</f>
        <v>0.5</v>
      </c>
      <c r="O4226" s="4" t="str">
        <f>IFERROR(__xludf.DUMMYFUNCTION("""COMPUTED_VALUE"""),"Instadelivery")</f>
        <v>Instadelivery</v>
      </c>
      <c r="P4226" s="33">
        <f>IFERROR(__xludf.DUMMYFUNCTION("""COMPUTED_VALUE"""),0.5)</f>
        <v>0.5</v>
      </c>
      <c r="Q4226" s="4" t="str">
        <f>IFERROR(__xludf.DUMMYFUNCTION("""COMPUTED_VALUE"""),"Instadelivery")</f>
        <v>Instadelivery</v>
      </c>
      <c r="R4226" s="33">
        <f>IFERROR(__xludf.DUMMYFUNCTION("""COMPUTED_VALUE"""),0.5)</f>
        <v>0.5</v>
      </c>
      <c r="S4226" s="4" t="str">
        <f>IFERROR(__xludf.DUMMYFUNCTION("""COMPUTED_VALUE"""),"Instadelivery")</f>
        <v>Instadelivery</v>
      </c>
      <c r="T4226" s="33">
        <f>IFERROR(__xludf.DUMMYFUNCTION("""COMPUTED_VALUE"""),0.5)</f>
        <v>0.5</v>
      </c>
      <c r="U4226" s="4" t="str">
        <f>IFERROR(__xludf.DUMMYFUNCTION("""COMPUTED_VALUE"""),"Instadelivery")</f>
        <v>Instadelivery</v>
      </c>
      <c r="V4226" s="33">
        <f>IFERROR(__xludf.DUMMYFUNCTION("""COMPUTED_VALUE"""),0.5)</f>
        <v>0.5</v>
      </c>
      <c r="W4226" s="4" t="str">
        <f>IFERROR(__xludf.DUMMYFUNCTION("""COMPUTED_VALUE"""),"Instadelivery")</f>
        <v>Instadelivery</v>
      </c>
      <c r="X4226" s="33">
        <f>IFERROR(__xludf.DUMMYFUNCTION("""COMPUTED_VALUE"""),0.5)</f>
        <v>0.5</v>
      </c>
    </row>
    <row r="4227">
      <c r="K4227" s="4" t="str">
        <f>IFERROR(__xludf.DUMMYFUNCTION("""COMPUTED_VALUE"""),"BOLOS DO CERRADO")</f>
        <v>BOLOS DO CERRADO</v>
      </c>
      <c r="L4227" s="32">
        <f>IFERROR(__xludf.DUMMYFUNCTION("""COMPUTED_VALUE"""),2.0)</f>
        <v>2</v>
      </c>
      <c r="M4227" s="4" t="str">
        <f>IFERROR(__xludf.DUMMYFUNCTION("""COMPUTED_VALUE"""),"null")</f>
        <v>null</v>
      </c>
      <c r="N4227" s="33">
        <f>IFERROR(__xludf.DUMMYFUNCTION("""COMPUTED_VALUE"""),0.5)</f>
        <v>0.5</v>
      </c>
      <c r="O4227" s="4" t="str">
        <f>IFERROR(__xludf.DUMMYFUNCTION("""COMPUTED_VALUE"""),"null")</f>
        <v>null</v>
      </c>
      <c r="P4227" s="33">
        <f>IFERROR(__xludf.DUMMYFUNCTION("""COMPUTED_VALUE"""),1.0)</f>
        <v>1</v>
      </c>
      <c r="Q4227" s="4" t="str">
        <f>IFERROR(__xludf.DUMMYFUNCTION("""COMPUTED_VALUE"""),"Mapp Sistemas")</f>
        <v>Mapp Sistemas</v>
      </c>
      <c r="R4227" s="33">
        <f>IFERROR(__xludf.DUMMYFUNCTION("""COMPUTED_VALUE"""),0.5)</f>
        <v>0.5</v>
      </c>
      <c r="S4227" s="4" t="str">
        <f>IFERROR(__xludf.DUMMYFUNCTION("""COMPUTED_VALUE"""),"null")</f>
        <v>null</v>
      </c>
      <c r="T4227" s="33">
        <f>IFERROR(__xludf.DUMMYFUNCTION("""COMPUTED_VALUE"""),1.0)</f>
        <v>1</v>
      </c>
      <c r="U4227" s="4" t="str">
        <f>IFERROR(__xludf.DUMMYFUNCTION("""COMPUTED_VALUE"""),"null")</f>
        <v>null</v>
      </c>
      <c r="V4227" s="33">
        <f>IFERROR(__xludf.DUMMYFUNCTION("""COMPUTED_VALUE"""),0.5)</f>
        <v>0.5</v>
      </c>
      <c r="W4227" s="4" t="str">
        <f>IFERROR(__xludf.DUMMYFUNCTION("""COMPUTED_VALUE"""),"null")</f>
        <v>null</v>
      </c>
      <c r="X4227" s="33">
        <f>IFERROR(__xludf.DUMMYFUNCTION("""COMPUTED_VALUE"""),0.5)</f>
        <v>0.5</v>
      </c>
    </row>
    <row r="4228">
      <c r="K4228" s="4" t="str">
        <f>IFERROR(__xludf.DUMMYFUNCTION("""COMPUTED_VALUE"""),"NOSSO SABOR")</f>
        <v>NOSSO SABOR</v>
      </c>
      <c r="L4228" s="32">
        <f>IFERROR(__xludf.DUMMYFUNCTION("""COMPUTED_VALUE"""),2.0)</f>
        <v>2</v>
      </c>
      <c r="M4228" s="4" t="str">
        <f>IFERROR(__xludf.DUMMYFUNCTION("""COMPUTED_VALUE"""),"null")</f>
        <v>null</v>
      </c>
      <c r="N4228" s="33">
        <f>IFERROR(__xludf.DUMMYFUNCTION("""COMPUTED_VALUE"""),0.5)</f>
        <v>0.5</v>
      </c>
      <c r="O4228" s="4" t="str">
        <f>IFERROR(__xludf.DUMMYFUNCTION("""COMPUTED_VALUE"""),"null")</f>
        <v>null</v>
      </c>
      <c r="P4228" s="33">
        <f>IFERROR(__xludf.DUMMYFUNCTION("""COMPUTED_VALUE"""),0.5)</f>
        <v>0.5</v>
      </c>
      <c r="Q4228" s="4" t="str">
        <f>IFERROR(__xludf.DUMMYFUNCTION("""COMPUTED_VALUE"""),"null")</f>
        <v>null</v>
      </c>
      <c r="R4228" s="33">
        <f>IFERROR(__xludf.DUMMYFUNCTION("""COMPUTED_VALUE"""),0.5)</f>
        <v>0.5</v>
      </c>
      <c r="S4228" s="4" t="str">
        <f>IFERROR(__xludf.DUMMYFUNCTION("""COMPUTED_VALUE"""),"null")</f>
        <v>null</v>
      </c>
      <c r="T4228" s="33">
        <f>IFERROR(__xludf.DUMMYFUNCTION("""COMPUTED_VALUE"""),0.5)</f>
        <v>0.5</v>
      </c>
      <c r="U4228" s="4" t="str">
        <f>IFERROR(__xludf.DUMMYFUNCTION("""COMPUTED_VALUE"""),"null")</f>
        <v>null</v>
      </c>
      <c r="V4228" s="33">
        <f>IFERROR(__xludf.DUMMYFUNCTION("""COMPUTED_VALUE"""),0.5)</f>
        <v>0.5</v>
      </c>
      <c r="W4228" s="4" t="str">
        <f>IFERROR(__xludf.DUMMYFUNCTION("""COMPUTED_VALUE"""),"Instadelivery")</f>
        <v>Instadelivery</v>
      </c>
      <c r="X4228" s="33">
        <f>IFERROR(__xludf.DUMMYFUNCTION("""COMPUTED_VALUE"""),0.5)</f>
        <v>0.5</v>
      </c>
    </row>
    <row r="4229">
      <c r="K4229" s="4" t="str">
        <f>IFERROR(__xludf.DUMMYFUNCTION("""COMPUTED_VALUE"""),"FARMACIA PRECO POPULAR")</f>
        <v>FARMACIA PRECO POPULAR</v>
      </c>
      <c r="L4229" s="32">
        <f>IFERROR(__xludf.DUMMYFUNCTION("""COMPUTED_VALUE"""),2.0)</f>
        <v>2</v>
      </c>
      <c r="M4229" s="4" t="str">
        <f>IFERROR(__xludf.DUMMYFUNCTION("""COMPUTED_VALUE"""),"null")</f>
        <v>null</v>
      </c>
      <c r="N4229" s="33">
        <f>IFERROR(__xludf.DUMMYFUNCTION("""COMPUTED_VALUE"""),1.0)</f>
        <v>1</v>
      </c>
      <c r="O4229" s="4" t="str">
        <f>IFERROR(__xludf.DUMMYFUNCTION("""COMPUTED_VALUE"""),"null")</f>
        <v>null</v>
      </c>
      <c r="P4229" s="33">
        <f>IFERROR(__xludf.DUMMYFUNCTION("""COMPUTED_VALUE"""),1.0)</f>
        <v>1</v>
      </c>
      <c r="Q4229" s="4" t="str">
        <f>IFERROR(__xludf.DUMMYFUNCTION("""COMPUTED_VALUE"""),"null")</f>
        <v>null</v>
      </c>
      <c r="R4229" s="33">
        <f>IFERROR(__xludf.DUMMYFUNCTION("""COMPUTED_VALUE"""),1.0)</f>
        <v>1</v>
      </c>
      <c r="S4229" s="4" t="str">
        <f>IFERROR(__xludf.DUMMYFUNCTION("""COMPUTED_VALUE"""),"null")</f>
        <v>null</v>
      </c>
      <c r="T4229" s="33">
        <f>IFERROR(__xludf.DUMMYFUNCTION("""COMPUTED_VALUE"""),0.5)</f>
        <v>0.5</v>
      </c>
      <c r="U4229" s="4" t="str">
        <f>IFERROR(__xludf.DUMMYFUNCTION("""COMPUTED_VALUE"""),"N/A (Not found)")</f>
        <v>N/A (Not found)</v>
      </c>
      <c r="V4229" s="33">
        <f>IFERROR(__xludf.DUMMYFUNCTION("""COMPUTED_VALUE"""),1.0)</f>
        <v>1</v>
      </c>
      <c r="W4229" s="4" t="str">
        <f>IFERROR(__xludf.DUMMYFUNCTION("""COMPUTED_VALUE"""),"N/A (Not found)")</f>
        <v>N/A (Not found)</v>
      </c>
      <c r="X4229" s="33">
        <f>IFERROR(__xludf.DUMMYFUNCTION("""COMPUTED_VALUE"""),1.0)</f>
        <v>1</v>
      </c>
    </row>
    <row r="4230">
      <c r="K4230" s="4" t="str">
        <f>IFERROR(__xludf.DUMMYFUNCTION("""COMPUTED_VALUE"""),"PIZZA NYB")</f>
        <v>PIZZA NYB</v>
      </c>
      <c r="L4230" s="32">
        <f>IFERROR(__xludf.DUMMYFUNCTION("""COMPUTED_VALUE"""),2.0)</f>
        <v>2</v>
      </c>
      <c r="M4230" s="4" t="str">
        <f>IFERROR(__xludf.DUMMYFUNCTION("""COMPUTED_VALUE"""),"Eclética Tecnologia")</f>
        <v>Eclética Tecnologia</v>
      </c>
      <c r="N4230" s="33">
        <f>IFERROR(__xludf.DUMMYFUNCTION("""COMPUTED_VALUE"""),1.0)</f>
        <v>1</v>
      </c>
      <c r="O4230" s="4" t="str">
        <f>IFERROR(__xludf.DUMMYFUNCTION("""COMPUTED_VALUE"""),"Eclética Tecnologia")</f>
        <v>Eclética Tecnologia</v>
      </c>
      <c r="P4230" s="33">
        <f>IFERROR(__xludf.DUMMYFUNCTION("""COMPUTED_VALUE"""),1.0)</f>
        <v>1</v>
      </c>
      <c r="Q4230" s="4" t="str">
        <f>IFERROR(__xludf.DUMMYFUNCTION("""COMPUTED_VALUE"""),"Eclética Tecnologia")</f>
        <v>Eclética Tecnologia</v>
      </c>
      <c r="R4230" s="33">
        <f>IFERROR(__xludf.DUMMYFUNCTION("""COMPUTED_VALUE"""),1.0)</f>
        <v>1</v>
      </c>
      <c r="S4230" s="4" t="str">
        <f>IFERROR(__xludf.DUMMYFUNCTION("""COMPUTED_VALUE"""),"null")</f>
        <v>null</v>
      </c>
      <c r="T4230" s="33">
        <f>IFERROR(__xludf.DUMMYFUNCTION("""COMPUTED_VALUE"""),0.5)</f>
        <v>0.5</v>
      </c>
      <c r="U4230" s="4" t="str">
        <f>IFERROR(__xludf.DUMMYFUNCTION("""COMPUTED_VALUE"""),"Eclética Tecnologia")</f>
        <v>Eclética Tecnologia</v>
      </c>
      <c r="V4230" s="33">
        <f>IFERROR(__xludf.DUMMYFUNCTION("""COMPUTED_VALUE"""),1.0)</f>
        <v>1</v>
      </c>
      <c r="W4230" s="4" t="str">
        <f>IFERROR(__xludf.DUMMYFUNCTION("""COMPUTED_VALUE"""),"null")</f>
        <v>null</v>
      </c>
      <c r="X4230" s="33">
        <f>IFERROR(__xludf.DUMMYFUNCTION("""COMPUTED_VALUE"""),0.5)</f>
        <v>0.5</v>
      </c>
    </row>
    <row r="4231">
      <c r="K4231" s="4" t="str">
        <f>IFERROR(__xludf.DUMMYFUNCTION("""COMPUTED_VALUE"""),"CANTINHO BRASILEIRO")</f>
        <v>CANTINHO BRASILEIRO</v>
      </c>
      <c r="L4231" s="32">
        <f>IFERROR(__xludf.DUMMYFUNCTION("""COMPUTED_VALUE"""),2.0)</f>
        <v>2</v>
      </c>
      <c r="M4231" s="4" t="str">
        <f>IFERROR(__xludf.DUMMYFUNCTION("""COMPUTED_VALUE"""),"Crm Ti Ltda.")</f>
        <v>Crm Ti Ltda.</v>
      </c>
      <c r="N4231" s="33">
        <f>IFERROR(__xludf.DUMMYFUNCTION("""COMPUTED_VALUE"""),0.5)</f>
        <v>0.5</v>
      </c>
      <c r="O4231" s="4" t="str">
        <f>IFERROR(__xludf.DUMMYFUNCTION("""COMPUTED_VALUE"""),"Crm Ti Ltda.")</f>
        <v>Crm Ti Ltda.</v>
      </c>
      <c r="P4231" s="33">
        <f>IFERROR(__xludf.DUMMYFUNCTION("""COMPUTED_VALUE"""),0.5)</f>
        <v>0.5</v>
      </c>
      <c r="Q4231" s="4" t="str">
        <f>IFERROR(__xludf.DUMMYFUNCTION("""COMPUTED_VALUE"""),"Crm Ti Ltda.")</f>
        <v>Crm Ti Ltda.</v>
      </c>
      <c r="R4231" s="33">
        <f>IFERROR(__xludf.DUMMYFUNCTION("""COMPUTED_VALUE"""),0.5)</f>
        <v>0.5</v>
      </c>
      <c r="S4231" s="4" t="str">
        <f>IFERROR(__xludf.DUMMYFUNCTION("""COMPUTED_VALUE"""),"Crm Ti Ltda.")</f>
        <v>Crm Ti Ltda.</v>
      </c>
      <c r="T4231" s="33">
        <f>IFERROR(__xludf.DUMMYFUNCTION("""COMPUTED_VALUE"""),0.5)</f>
        <v>0.5</v>
      </c>
      <c r="U4231" s="4" t="str">
        <f>IFERROR(__xludf.DUMMYFUNCTION("""COMPUTED_VALUE"""),"Crm Ti Ltda.")</f>
        <v>Crm Ti Ltda.</v>
      </c>
      <c r="V4231" s="33">
        <f>IFERROR(__xludf.DUMMYFUNCTION("""COMPUTED_VALUE"""),0.5)</f>
        <v>0.5</v>
      </c>
      <c r="W4231" s="4" t="str">
        <f>IFERROR(__xludf.DUMMYFUNCTION("""COMPUTED_VALUE"""),"Crm Ti Ltda.")</f>
        <v>Crm Ti Ltda.</v>
      </c>
      <c r="X4231" s="33">
        <f>IFERROR(__xludf.DUMMYFUNCTION("""COMPUTED_VALUE"""),0.5)</f>
        <v>0.5</v>
      </c>
    </row>
    <row r="4232">
      <c r="K4232" s="4" t="str">
        <f>IFERROR(__xludf.DUMMYFUNCTION("""COMPUTED_VALUE"""),"FARMA PRIME")</f>
        <v>FARMA PRIME</v>
      </c>
      <c r="L4232" s="32">
        <f>IFERROR(__xludf.DUMMYFUNCTION("""COMPUTED_VALUE"""),2.0)</f>
        <v>2</v>
      </c>
      <c r="M4232" s="4" t="str">
        <f>IFERROR(__xludf.DUMMYFUNCTION("""COMPUTED_VALUE"""),"null")</f>
        <v>null</v>
      </c>
      <c r="N4232" s="33">
        <f>IFERROR(__xludf.DUMMYFUNCTION("""COMPUTED_VALUE"""),1.0)</f>
        <v>1</v>
      </c>
      <c r="O4232" s="4" t="str">
        <f>IFERROR(__xludf.DUMMYFUNCTION("""COMPUTED_VALUE"""),"null")</f>
        <v>null</v>
      </c>
      <c r="P4232" s="33">
        <f>IFERROR(__xludf.DUMMYFUNCTION("""COMPUTED_VALUE"""),1.0)</f>
        <v>1</v>
      </c>
      <c r="Q4232" s="4" t="str">
        <f>IFERROR(__xludf.DUMMYFUNCTION("""COMPUTED_VALUE"""),"null")</f>
        <v>null</v>
      </c>
      <c r="R4232" s="33">
        <f>IFERROR(__xludf.DUMMYFUNCTION("""COMPUTED_VALUE"""),1.0)</f>
        <v>1</v>
      </c>
      <c r="S4232" s="4" t="str">
        <f>IFERROR(__xludf.DUMMYFUNCTION("""COMPUTED_VALUE"""),"null")</f>
        <v>null</v>
      </c>
      <c r="T4232" s="33">
        <f>IFERROR(__xludf.DUMMYFUNCTION("""COMPUTED_VALUE"""),1.0)</f>
        <v>1</v>
      </c>
      <c r="U4232" s="4" t="str">
        <f>IFERROR(__xludf.DUMMYFUNCTION("""COMPUTED_VALUE"""),"N/A (Not found)")</f>
        <v>N/A (Not found)</v>
      </c>
      <c r="V4232" s="33">
        <f>IFERROR(__xludf.DUMMYFUNCTION("""COMPUTED_VALUE"""),0.5)</f>
        <v>0.5</v>
      </c>
      <c r="W4232" s="4" t="str">
        <f>IFERROR(__xludf.DUMMYFUNCTION("""COMPUTED_VALUE"""),"N/A (Not found)")</f>
        <v>N/A (Not found)</v>
      </c>
      <c r="X4232" s="33">
        <f>IFERROR(__xludf.DUMMYFUNCTION("""COMPUTED_VALUE"""),1.0)</f>
        <v>1</v>
      </c>
    </row>
    <row r="4233">
      <c r="K4233" s="4" t="str">
        <f>IFERROR(__xludf.DUMMYFUNCTION("""COMPUTED_VALUE"""),"SHARK BURGUER")</f>
        <v>SHARK BURGUER</v>
      </c>
      <c r="L4233" s="32">
        <f>IFERROR(__xludf.DUMMYFUNCTION("""COMPUTED_VALUE"""),2.0)</f>
        <v>2</v>
      </c>
      <c r="M4233" s="4" t="str">
        <f>IFERROR(__xludf.DUMMYFUNCTION("""COMPUTED_VALUE"""),"Anota Ai Solucoes Digitais S/a")</f>
        <v>Anota Ai Solucoes Digitais S/a</v>
      </c>
      <c r="N4233" s="33">
        <f>IFERROR(__xludf.DUMMYFUNCTION("""COMPUTED_VALUE"""),0.5)</f>
        <v>0.5</v>
      </c>
      <c r="O4233" s="4" t="str">
        <f>IFERROR(__xludf.DUMMYFUNCTION("""COMPUTED_VALUE"""),"Anota Ai Solucoes Digitais S/a")</f>
        <v>Anota Ai Solucoes Digitais S/a</v>
      </c>
      <c r="P4233" s="33">
        <f>IFERROR(__xludf.DUMMYFUNCTION("""COMPUTED_VALUE"""),0.5)</f>
        <v>0.5</v>
      </c>
      <c r="Q4233" s="4" t="str">
        <f>IFERROR(__xludf.DUMMYFUNCTION("""COMPUTED_VALUE"""),"Anota Ai Solucoes Digitais S/a")</f>
        <v>Anota Ai Solucoes Digitais S/a</v>
      </c>
      <c r="R4233" s="33">
        <f>IFERROR(__xludf.DUMMYFUNCTION("""COMPUTED_VALUE"""),0.5)</f>
        <v>0.5</v>
      </c>
      <c r="S4233" s="4" t="str">
        <f>IFERROR(__xludf.DUMMYFUNCTION("""COMPUTED_VALUE"""),"null")</f>
        <v>null</v>
      </c>
      <c r="T4233" s="33">
        <f>IFERROR(__xludf.DUMMYFUNCTION("""COMPUTED_VALUE"""),1.0)</f>
        <v>1</v>
      </c>
      <c r="U4233" s="4" t="str">
        <f>IFERROR(__xludf.DUMMYFUNCTION("""COMPUTED_VALUE"""),"null")</f>
        <v>null</v>
      </c>
      <c r="V4233" s="33">
        <f>IFERROR(__xludf.DUMMYFUNCTION("""COMPUTED_VALUE"""),1.0)</f>
        <v>1</v>
      </c>
      <c r="W4233" s="4" t="str">
        <f>IFERROR(__xludf.DUMMYFUNCTION("""COMPUTED_VALUE"""),"null")</f>
        <v>null</v>
      </c>
      <c r="X4233" s="33">
        <f>IFERROR(__xludf.DUMMYFUNCTION("""COMPUTED_VALUE"""),1.0)</f>
        <v>1</v>
      </c>
    </row>
    <row r="4234">
      <c r="K4234" s="4" t="str">
        <f>IFERROR(__xludf.DUMMYFUNCTION("""COMPUTED_VALUE"""),"PIZZA UP")</f>
        <v>PIZZA UP</v>
      </c>
      <c r="L4234" s="32">
        <f>IFERROR(__xludf.DUMMYFUNCTION("""COMPUTED_VALUE"""),2.0)</f>
        <v>2</v>
      </c>
      <c r="M4234" s="4" t="str">
        <f>IFERROR(__xludf.DUMMYFUNCTION("""COMPUTED_VALUE"""),"null")</f>
        <v>null</v>
      </c>
      <c r="N4234" s="33">
        <f>IFERROR(__xludf.DUMMYFUNCTION("""COMPUTED_VALUE"""),0.5)</f>
        <v>0.5</v>
      </c>
      <c r="O4234" s="4" t="str">
        <f>IFERROR(__xludf.DUMMYFUNCTION("""COMPUTED_VALUE"""),"null")</f>
        <v>null</v>
      </c>
      <c r="P4234" s="33">
        <f>IFERROR(__xludf.DUMMYFUNCTION("""COMPUTED_VALUE"""),0.5)</f>
        <v>0.5</v>
      </c>
      <c r="Q4234" s="4" t="str">
        <f>IFERROR(__xludf.DUMMYFUNCTION("""COMPUTED_VALUE"""),"null")</f>
        <v>null</v>
      </c>
      <c r="R4234" s="33">
        <f>IFERROR(__xludf.DUMMYFUNCTION("""COMPUTED_VALUE"""),0.5)</f>
        <v>0.5</v>
      </c>
      <c r="S4234" s="4" t="str">
        <f>IFERROR(__xludf.DUMMYFUNCTION("""COMPUTED_VALUE"""),"null")</f>
        <v>null</v>
      </c>
      <c r="T4234" s="33">
        <f>IFERROR(__xludf.DUMMYFUNCTION("""COMPUTED_VALUE"""),0.5)</f>
        <v>0.5</v>
      </c>
      <c r="U4234" s="4" t="str">
        <f>IFERROR(__xludf.DUMMYFUNCTION("""COMPUTED_VALUE"""),"null")</f>
        <v>null</v>
      </c>
      <c r="V4234" s="33">
        <f>IFERROR(__xludf.DUMMYFUNCTION("""COMPUTED_VALUE"""),0.5)</f>
        <v>0.5</v>
      </c>
      <c r="W4234" s="4" t="str">
        <f>IFERROR(__xludf.DUMMYFUNCTION("""COMPUTED_VALUE"""),"Vuca Solution")</f>
        <v>Vuca Solution</v>
      </c>
      <c r="X4234" s="33">
        <f>IFERROR(__xludf.DUMMYFUNCTION("""COMPUTED_VALUE"""),0.5)</f>
        <v>0.5</v>
      </c>
    </row>
    <row r="4235">
      <c r="K4235" s="4" t="str">
        <f>IFERROR(__xludf.DUMMYFUNCTION("""COMPUTED_VALUE"""),"SUP PRIMEIRO DO BAIRRO")</f>
        <v>SUP PRIMEIRO DO BAIRRO</v>
      </c>
      <c r="L4235" s="32">
        <f>IFERROR(__xludf.DUMMYFUNCTION("""COMPUTED_VALUE"""),2.0)</f>
        <v>2</v>
      </c>
      <c r="M4235" s="4" t="str">
        <f>IFERROR(__xludf.DUMMYFUNCTION("""COMPUTED_VALUE"""),"N/A (Not found)")</f>
        <v>N/A (Not found)</v>
      </c>
      <c r="N4235" s="33">
        <f>IFERROR(__xludf.DUMMYFUNCTION("""COMPUTED_VALUE"""),0.5)</f>
        <v>0.5</v>
      </c>
      <c r="O4235" s="4" t="str">
        <f>IFERROR(__xludf.DUMMYFUNCTION("""COMPUTED_VALUE"""),"null")</f>
        <v>null</v>
      </c>
      <c r="P4235" s="33">
        <f>IFERROR(__xludf.DUMMYFUNCTION("""COMPUTED_VALUE"""),0.5)</f>
        <v>0.5</v>
      </c>
      <c r="Q4235" s="4" t="str">
        <f>IFERROR(__xludf.DUMMYFUNCTION("""COMPUTED_VALUE"""),"null")</f>
        <v>null</v>
      </c>
      <c r="R4235" s="33">
        <f>IFERROR(__xludf.DUMMYFUNCTION("""COMPUTED_VALUE"""),0.5)</f>
        <v>0.5</v>
      </c>
      <c r="S4235" s="4" t="str">
        <f>IFERROR(__xludf.DUMMYFUNCTION("""COMPUTED_VALUE"""),"null")</f>
        <v>null</v>
      </c>
      <c r="T4235" s="33">
        <f>IFERROR(__xludf.DUMMYFUNCTION("""COMPUTED_VALUE"""),0.5)</f>
        <v>0.5</v>
      </c>
      <c r="U4235" s="4" t="str">
        <f>IFERROR(__xludf.DUMMYFUNCTION("""COMPUTED_VALUE"""),"null")</f>
        <v>null</v>
      </c>
      <c r="V4235" s="33">
        <f>IFERROR(__xludf.DUMMYFUNCTION("""COMPUTED_VALUE"""),0.5)</f>
        <v>0.5</v>
      </c>
      <c r="W4235" s="4" t="str">
        <f>IFERROR(__xludf.DUMMYFUNCTION("""COMPUTED_VALUE"""),"null")</f>
        <v>null</v>
      </c>
      <c r="X4235" s="33">
        <f>IFERROR(__xludf.DUMMYFUNCTION("""COMPUTED_VALUE"""),0.5)</f>
        <v>0.5</v>
      </c>
    </row>
    <row r="4236">
      <c r="K4236" s="4" t="str">
        <f>IFERROR(__xludf.DUMMYFUNCTION("""COMPUTED_VALUE"""),"VO CHICA - COMIDA DE VO 3")</f>
        <v>VO CHICA - COMIDA DE VO 3</v>
      </c>
      <c r="L4236" s="32">
        <f>IFERROR(__xludf.DUMMYFUNCTION("""COMPUTED_VALUE"""),2.0)</f>
        <v>2</v>
      </c>
      <c r="M4236" s="4" t="str">
        <f>IFERROR(__xludf.DUMMYFUNCTION("""COMPUTED_VALUE"""),"null")</f>
        <v>null</v>
      </c>
      <c r="N4236" s="33">
        <f>IFERROR(__xludf.DUMMYFUNCTION("""COMPUTED_VALUE"""),0.5)</f>
        <v>0.5</v>
      </c>
      <c r="O4236" s="4" t="str">
        <f>IFERROR(__xludf.DUMMYFUNCTION("""COMPUTED_VALUE"""),"Teknisa Service Ltda")</f>
        <v>Teknisa Service Ltda</v>
      </c>
      <c r="P4236" s="33">
        <f>IFERROR(__xludf.DUMMYFUNCTION("""COMPUTED_VALUE"""),1.0)</f>
        <v>1</v>
      </c>
      <c r="Q4236" s="4" t="str">
        <f>IFERROR(__xludf.DUMMYFUNCTION("""COMPUTED_VALUE"""),"Teknisa Service Ltda")</f>
        <v>Teknisa Service Ltda</v>
      </c>
      <c r="R4236" s="33">
        <f>IFERROR(__xludf.DUMMYFUNCTION("""COMPUTED_VALUE"""),0.5)</f>
        <v>0.5</v>
      </c>
      <c r="S4236" s="4" t="str">
        <f>IFERROR(__xludf.DUMMYFUNCTION("""COMPUTED_VALUE"""),"null")</f>
        <v>null</v>
      </c>
      <c r="T4236" s="33">
        <f>IFERROR(__xludf.DUMMYFUNCTION("""COMPUTED_VALUE"""),0.5)</f>
        <v>0.5</v>
      </c>
      <c r="U4236" s="4" t="str">
        <f>IFERROR(__xludf.DUMMYFUNCTION("""COMPUTED_VALUE"""),"Teknisa Service Ltda")</f>
        <v>Teknisa Service Ltda</v>
      </c>
      <c r="V4236" s="33">
        <f>IFERROR(__xludf.DUMMYFUNCTION("""COMPUTED_VALUE"""),1.0)</f>
        <v>1</v>
      </c>
      <c r="W4236" s="4" t="str">
        <f>IFERROR(__xludf.DUMMYFUNCTION("""COMPUTED_VALUE"""),"Teknisa Service Ltda")</f>
        <v>Teknisa Service Ltda</v>
      </c>
      <c r="X4236" s="33">
        <f>IFERROR(__xludf.DUMMYFUNCTION("""COMPUTED_VALUE"""),1.0)</f>
        <v>1</v>
      </c>
    </row>
    <row r="4237">
      <c r="K4237" s="4" t="str">
        <f>IFERROR(__xludf.DUMMYFUNCTION("""COMPUTED_VALUE"""),"NINOS SMASH BURGER")</f>
        <v>NINOS SMASH BURGER</v>
      </c>
      <c r="L4237" s="32">
        <f>IFERROR(__xludf.DUMMYFUNCTION("""COMPUTED_VALUE"""),2.0)</f>
        <v>2</v>
      </c>
      <c r="M4237" s="4" t="str">
        <f>IFERROR(__xludf.DUMMYFUNCTION("""COMPUTED_VALUE"""),"Saipos Serviços De Software")</f>
        <v>Saipos Serviços De Software</v>
      </c>
      <c r="N4237" s="33">
        <f>IFERROR(__xludf.DUMMYFUNCTION("""COMPUTED_VALUE"""),1.0)</f>
        <v>1</v>
      </c>
      <c r="O4237" s="4" t="str">
        <f>IFERROR(__xludf.DUMMYFUNCTION("""COMPUTED_VALUE"""),"Saipos Serviços De Software")</f>
        <v>Saipos Serviços De Software</v>
      </c>
      <c r="P4237" s="33">
        <f>IFERROR(__xludf.DUMMYFUNCTION("""COMPUTED_VALUE"""),1.0)</f>
        <v>1</v>
      </c>
      <c r="Q4237" s="4" t="str">
        <f>IFERROR(__xludf.DUMMYFUNCTION("""COMPUTED_VALUE"""),"Saipos Serviços De Software")</f>
        <v>Saipos Serviços De Software</v>
      </c>
      <c r="R4237" s="33">
        <f>IFERROR(__xludf.DUMMYFUNCTION("""COMPUTED_VALUE"""),1.0)</f>
        <v>1</v>
      </c>
      <c r="S4237" s="4" t="str">
        <f>IFERROR(__xludf.DUMMYFUNCTION("""COMPUTED_VALUE"""),"Saipos Serviços De Software")</f>
        <v>Saipos Serviços De Software</v>
      </c>
      <c r="T4237" s="33">
        <f>IFERROR(__xludf.DUMMYFUNCTION("""COMPUTED_VALUE"""),1.0)</f>
        <v>1</v>
      </c>
      <c r="U4237" s="4" t="str">
        <f>IFERROR(__xludf.DUMMYFUNCTION("""COMPUTED_VALUE"""),"Saipos Serviços De Software")</f>
        <v>Saipos Serviços De Software</v>
      </c>
      <c r="V4237" s="33">
        <f>IFERROR(__xludf.DUMMYFUNCTION("""COMPUTED_VALUE"""),1.0)</f>
        <v>1</v>
      </c>
      <c r="W4237" s="4" t="str">
        <f>IFERROR(__xludf.DUMMYFUNCTION("""COMPUTED_VALUE"""),"Saipos Serviços De Software")</f>
        <v>Saipos Serviços De Software</v>
      </c>
      <c r="X4237" s="33">
        <f>IFERROR(__xludf.DUMMYFUNCTION("""COMPUTED_VALUE"""),1.0)</f>
        <v>1</v>
      </c>
    </row>
    <row r="4238">
      <c r="K4238" s="4" t="str">
        <f>IFERROR(__xludf.DUMMYFUNCTION("""COMPUTED_VALUE"""),"ACAI DUBOM")</f>
        <v>ACAI DUBOM</v>
      </c>
      <c r="L4238" s="32">
        <f>IFERROR(__xludf.DUMMYFUNCTION("""COMPUTED_VALUE"""),2.0)</f>
        <v>2</v>
      </c>
      <c r="M4238" s="4" t="str">
        <f>IFERROR(__xludf.DUMMYFUNCTION("""COMPUTED_VALUE"""),"Alloy Tecnologia")</f>
        <v>Alloy Tecnologia</v>
      </c>
      <c r="N4238" s="33">
        <f>IFERROR(__xludf.DUMMYFUNCTION("""COMPUTED_VALUE"""),0.5)</f>
        <v>0.5</v>
      </c>
      <c r="O4238" s="4" t="str">
        <f>IFERROR(__xludf.DUMMYFUNCTION("""COMPUTED_VALUE"""),"Alloy Tecnologia")</f>
        <v>Alloy Tecnologia</v>
      </c>
      <c r="P4238" s="33">
        <f>IFERROR(__xludf.DUMMYFUNCTION("""COMPUTED_VALUE"""),0.5)</f>
        <v>0.5</v>
      </c>
      <c r="Q4238" s="4" t="str">
        <f>IFERROR(__xludf.DUMMYFUNCTION("""COMPUTED_VALUE"""),"Alloy Tecnologia")</f>
        <v>Alloy Tecnologia</v>
      </c>
      <c r="R4238" s="33">
        <f>IFERROR(__xludf.DUMMYFUNCTION("""COMPUTED_VALUE"""),0.5)</f>
        <v>0.5</v>
      </c>
      <c r="S4238" s="4" t="str">
        <f>IFERROR(__xludf.DUMMYFUNCTION("""COMPUTED_VALUE"""),"Alloy Tecnologia")</f>
        <v>Alloy Tecnologia</v>
      </c>
      <c r="T4238" s="33">
        <f>IFERROR(__xludf.DUMMYFUNCTION("""COMPUTED_VALUE"""),0.5)</f>
        <v>0.5</v>
      </c>
      <c r="U4238" s="4" t="str">
        <f>IFERROR(__xludf.DUMMYFUNCTION("""COMPUTED_VALUE"""),"null")</f>
        <v>null</v>
      </c>
      <c r="V4238" s="33">
        <f>IFERROR(__xludf.DUMMYFUNCTION("""COMPUTED_VALUE"""),1.0)</f>
        <v>1</v>
      </c>
      <c r="W4238" s="4" t="str">
        <f>IFERROR(__xludf.DUMMYFUNCTION("""COMPUTED_VALUE"""),"Compucel Tecnologia | Restaurante Fácil")</f>
        <v>Compucel Tecnologia | Restaurante Fácil</v>
      </c>
      <c r="X4238" s="33">
        <f>IFERROR(__xludf.DUMMYFUNCTION("""COMPUTED_VALUE"""),0.5)</f>
        <v>0.5</v>
      </c>
    </row>
    <row r="4239">
      <c r="K4239" s="4" t="str">
        <f>IFERROR(__xludf.DUMMYFUNCTION("""COMPUTED_VALUE"""),"CLASSICS BURGER")</f>
        <v>CLASSICS BURGER</v>
      </c>
      <c r="L4239" s="32">
        <f>IFERROR(__xludf.DUMMYFUNCTION("""COMPUTED_VALUE"""),2.0)</f>
        <v>2</v>
      </c>
      <c r="M4239" s="4" t="str">
        <f>IFERROR(__xludf.DUMMYFUNCTION("""COMPUTED_VALUE"""),"null")</f>
        <v>null</v>
      </c>
      <c r="N4239" s="33">
        <f>IFERROR(__xludf.DUMMYFUNCTION("""COMPUTED_VALUE"""),0.5)</f>
        <v>0.5</v>
      </c>
      <c r="O4239" s="4" t="str">
        <f>IFERROR(__xludf.DUMMYFUNCTION("""COMPUTED_VALUE"""),"Takeat Tecnologia")</f>
        <v>Takeat Tecnologia</v>
      </c>
      <c r="P4239" s="33">
        <f>IFERROR(__xludf.DUMMYFUNCTION("""COMPUTED_VALUE"""),0.5)</f>
        <v>0.5</v>
      </c>
      <c r="Q4239" s="4" t="str">
        <f>IFERROR(__xludf.DUMMYFUNCTION("""COMPUTED_VALUE"""),"Takeat Tecnologia")</f>
        <v>Takeat Tecnologia</v>
      </c>
      <c r="R4239" s="33">
        <f>IFERROR(__xludf.DUMMYFUNCTION("""COMPUTED_VALUE"""),0.5)</f>
        <v>0.5</v>
      </c>
      <c r="S4239" s="4" t="str">
        <f>IFERROR(__xludf.DUMMYFUNCTION("""COMPUTED_VALUE"""),"Cardápio Web")</f>
        <v>Cardápio Web</v>
      </c>
      <c r="T4239" s="33">
        <f>IFERROR(__xludf.DUMMYFUNCTION("""COMPUTED_VALUE"""),0.5)</f>
        <v>0.5</v>
      </c>
      <c r="U4239" s="4" t="str">
        <f>IFERROR(__xludf.DUMMYFUNCTION("""COMPUTED_VALUE"""),"Cardápio Web")</f>
        <v>Cardápio Web</v>
      </c>
      <c r="V4239" s="33">
        <f>IFERROR(__xludf.DUMMYFUNCTION("""COMPUTED_VALUE"""),0.5)</f>
        <v>0.5</v>
      </c>
      <c r="W4239" s="4" t="str">
        <f>IFERROR(__xludf.DUMMYFUNCTION("""COMPUTED_VALUE"""),"Cardápio Web")</f>
        <v>Cardápio Web</v>
      </c>
      <c r="X4239" s="33">
        <f>IFERROR(__xludf.DUMMYFUNCTION("""COMPUTED_VALUE"""),0.5)</f>
        <v>0.5</v>
      </c>
    </row>
    <row r="4240">
      <c r="K4240" s="4" t="str">
        <f>IFERROR(__xludf.DUMMYFUNCTION("""COMPUTED_VALUE"""),"BRAVUS BURGER")</f>
        <v>BRAVUS BURGER</v>
      </c>
      <c r="L4240" s="32">
        <f>IFERROR(__xludf.DUMMYFUNCTION("""COMPUTED_VALUE"""),2.0)</f>
        <v>2</v>
      </c>
      <c r="M4240" s="4" t="str">
        <f>IFERROR(__xludf.DUMMYFUNCTION("""COMPUTED_VALUE"""),"null")</f>
        <v>null</v>
      </c>
      <c r="N4240" s="33">
        <f>IFERROR(__xludf.DUMMYFUNCTION("""COMPUTED_VALUE"""),1.0)</f>
        <v>1</v>
      </c>
      <c r="O4240" s="4" t="str">
        <f>IFERROR(__xludf.DUMMYFUNCTION("""COMPUTED_VALUE"""),"null")</f>
        <v>null</v>
      </c>
      <c r="P4240" s="33">
        <f>IFERROR(__xludf.DUMMYFUNCTION("""COMPUTED_VALUE"""),1.0)</f>
        <v>1</v>
      </c>
      <c r="Q4240" s="4" t="str">
        <f>IFERROR(__xludf.DUMMYFUNCTION("""COMPUTED_VALUE"""),"null")</f>
        <v>null</v>
      </c>
      <c r="R4240" s="33">
        <f>IFERROR(__xludf.DUMMYFUNCTION("""COMPUTED_VALUE"""),1.0)</f>
        <v>1</v>
      </c>
      <c r="S4240" s="4" t="str">
        <f>IFERROR(__xludf.DUMMYFUNCTION("""COMPUTED_VALUE"""),"null")</f>
        <v>null</v>
      </c>
      <c r="T4240" s="33">
        <f>IFERROR(__xludf.DUMMYFUNCTION("""COMPUTED_VALUE"""),1.0)</f>
        <v>1</v>
      </c>
      <c r="U4240" s="4" t="str">
        <f>IFERROR(__xludf.DUMMYFUNCTION("""COMPUTED_VALUE"""),"Brendi")</f>
        <v>Brendi</v>
      </c>
      <c r="V4240" s="33">
        <f>IFERROR(__xludf.DUMMYFUNCTION("""COMPUTED_VALUE"""),0.5)</f>
        <v>0.5</v>
      </c>
      <c r="W4240" s="4" t="str">
        <f>IFERROR(__xludf.DUMMYFUNCTION("""COMPUTED_VALUE"""),"Brendi")</f>
        <v>Brendi</v>
      </c>
      <c r="X4240" s="33">
        <f>IFERROR(__xludf.DUMMYFUNCTION("""COMPUTED_VALUE"""),0.5)</f>
        <v>0.5</v>
      </c>
    </row>
    <row r="4241">
      <c r="K4241" s="4" t="str">
        <f>IFERROR(__xludf.DUMMYFUNCTION("""COMPUTED_VALUE"""),"TUKAS HOT DOG")</f>
        <v>TUKAS HOT DOG</v>
      </c>
      <c r="L4241" s="32">
        <f>IFERROR(__xludf.DUMMYFUNCTION("""COMPUTED_VALUE"""),2.0)</f>
        <v>2</v>
      </c>
      <c r="M4241" s="4" t="str">
        <f>IFERROR(__xludf.DUMMYFUNCTION("""COMPUTED_VALUE"""),"Saipos Serviços De Software")</f>
        <v>Saipos Serviços De Software</v>
      </c>
      <c r="N4241" s="33">
        <f>IFERROR(__xludf.DUMMYFUNCTION("""COMPUTED_VALUE"""),0.5)</f>
        <v>0.5</v>
      </c>
      <c r="O4241" s="4" t="str">
        <f>IFERROR(__xludf.DUMMYFUNCTION("""COMPUTED_VALUE"""),"Saipos Serviços De Software")</f>
        <v>Saipos Serviços De Software</v>
      </c>
      <c r="P4241" s="33">
        <f>IFERROR(__xludf.DUMMYFUNCTION("""COMPUTED_VALUE"""),0.5)</f>
        <v>0.5</v>
      </c>
      <c r="Q4241" s="4" t="str">
        <f>IFERROR(__xludf.DUMMYFUNCTION("""COMPUTED_VALUE"""),"Saipos Serviços De Software")</f>
        <v>Saipos Serviços De Software</v>
      </c>
      <c r="R4241" s="33">
        <f>IFERROR(__xludf.DUMMYFUNCTION("""COMPUTED_VALUE"""),0.5)</f>
        <v>0.5</v>
      </c>
      <c r="S4241" s="4" t="str">
        <f>IFERROR(__xludf.DUMMYFUNCTION("""COMPUTED_VALUE"""),"Saipos Serviços De Software")</f>
        <v>Saipos Serviços De Software</v>
      </c>
      <c r="T4241" s="33">
        <f>IFERROR(__xludf.DUMMYFUNCTION("""COMPUTED_VALUE"""),0.5)</f>
        <v>0.5</v>
      </c>
      <c r="U4241" s="4" t="str">
        <f>IFERROR(__xludf.DUMMYFUNCTION("""COMPUTED_VALUE"""),"Saipos Serviços De Software")</f>
        <v>Saipos Serviços De Software</v>
      </c>
      <c r="V4241" s="33">
        <f>IFERROR(__xludf.DUMMYFUNCTION("""COMPUTED_VALUE"""),1.0)</f>
        <v>1</v>
      </c>
      <c r="W4241" s="4" t="str">
        <f>IFERROR(__xludf.DUMMYFUNCTION("""COMPUTED_VALUE"""),"Saipos Serviços De Software")</f>
        <v>Saipos Serviços De Software</v>
      </c>
      <c r="X4241" s="33">
        <f>IFERROR(__xludf.DUMMYFUNCTION("""COMPUTED_VALUE"""),1.0)</f>
        <v>1</v>
      </c>
    </row>
    <row r="4242">
      <c r="K4242" s="4" t="str">
        <f>IFERROR(__xludf.DUMMYFUNCTION("""COMPUTED_VALUE"""),"CONSTRUPET")</f>
        <v>CONSTRUPET</v>
      </c>
      <c r="L4242" s="32">
        <f>IFERROR(__xludf.DUMMYFUNCTION("""COMPUTED_VALUE"""),2.0)</f>
        <v>2</v>
      </c>
      <c r="M4242" s="4" t="str">
        <f>IFERROR(__xludf.DUMMYFUNCTION("""COMPUTED_VALUE"""),"N/A (Not found)")</f>
        <v>N/A (Not found)</v>
      </c>
      <c r="N4242" s="33">
        <f>IFERROR(__xludf.DUMMYFUNCTION("""COMPUTED_VALUE"""),1.0)</f>
        <v>1</v>
      </c>
      <c r="O4242" s="4" t="str">
        <f>IFERROR(__xludf.DUMMYFUNCTION("""COMPUTED_VALUE"""),"N/A (Not found)")</f>
        <v>N/A (Not found)</v>
      </c>
      <c r="P4242" s="33">
        <f>IFERROR(__xludf.DUMMYFUNCTION("""COMPUTED_VALUE"""),1.0)</f>
        <v>1</v>
      </c>
      <c r="Q4242" s="4" t="str">
        <f>IFERROR(__xludf.DUMMYFUNCTION("""COMPUTED_VALUE"""),"N/A (Not found)")</f>
        <v>N/A (Not found)</v>
      </c>
      <c r="R4242" s="33">
        <f>IFERROR(__xludf.DUMMYFUNCTION("""COMPUTED_VALUE"""),1.0)</f>
        <v>1</v>
      </c>
      <c r="S4242" s="4" t="str">
        <f>IFERROR(__xludf.DUMMYFUNCTION("""COMPUTED_VALUE"""),"N/A (Not found)")</f>
        <v>N/A (Not found)</v>
      </c>
      <c r="T4242" s="33">
        <f>IFERROR(__xludf.DUMMYFUNCTION("""COMPUTED_VALUE"""),1.0)</f>
        <v>1</v>
      </c>
      <c r="U4242" s="4" t="str">
        <f>IFERROR(__xludf.DUMMYFUNCTION("""COMPUTED_VALUE"""),"N/A (Not found)")</f>
        <v>N/A (Not found)</v>
      </c>
      <c r="V4242" s="33">
        <f>IFERROR(__xludf.DUMMYFUNCTION("""COMPUTED_VALUE"""),0.5)</f>
        <v>0.5</v>
      </c>
      <c r="W4242" s="4" t="str">
        <f>IFERROR(__xludf.DUMMYFUNCTION("""COMPUTED_VALUE"""),"N/A (Not found)")</f>
        <v>N/A (Not found)</v>
      </c>
      <c r="X4242" s="33">
        <f>IFERROR(__xludf.DUMMYFUNCTION("""COMPUTED_VALUE"""),0.5)</f>
        <v>0.5</v>
      </c>
    </row>
    <row r="4243">
      <c r="K4243" s="4" t="str">
        <f>IFERROR(__xludf.DUMMYFUNCTION("""COMPUTED_VALUE"""),"KONOHA BURGUER")</f>
        <v>KONOHA BURGUER</v>
      </c>
      <c r="L4243" s="32">
        <f>IFERROR(__xludf.DUMMYFUNCTION("""COMPUTED_VALUE"""),2.0)</f>
        <v>2</v>
      </c>
      <c r="M4243" s="4" t="str">
        <f>IFERROR(__xludf.DUMMYFUNCTION("""COMPUTED_VALUE"""),"null")</f>
        <v>null</v>
      </c>
      <c r="N4243" s="33">
        <f>IFERROR(__xludf.DUMMYFUNCTION("""COMPUTED_VALUE"""),0.5)</f>
        <v>0.5</v>
      </c>
      <c r="O4243" s="4" t="str">
        <f>IFERROR(__xludf.DUMMYFUNCTION("""COMPUTED_VALUE"""),"null")</f>
        <v>null</v>
      </c>
      <c r="P4243" s="33">
        <f>IFERROR(__xludf.DUMMYFUNCTION("""COMPUTED_VALUE"""),0.5)</f>
        <v>0.5</v>
      </c>
      <c r="Q4243" s="4" t="str">
        <f>IFERROR(__xludf.DUMMYFUNCTION("""COMPUTED_VALUE"""),"null")</f>
        <v>null</v>
      </c>
      <c r="R4243" s="33">
        <f>IFERROR(__xludf.DUMMYFUNCTION("""COMPUTED_VALUE"""),0.5)</f>
        <v>0.5</v>
      </c>
      <c r="S4243" s="4" t="str">
        <f>IFERROR(__xludf.DUMMYFUNCTION("""COMPUTED_VALUE"""),"null")</f>
        <v>null</v>
      </c>
      <c r="T4243" s="33">
        <f>IFERROR(__xludf.DUMMYFUNCTION("""COMPUTED_VALUE"""),0.5)</f>
        <v>0.5</v>
      </c>
      <c r="U4243" s="4" t="str">
        <f>IFERROR(__xludf.DUMMYFUNCTION("""COMPUTED_VALUE"""),"null")</f>
        <v>null</v>
      </c>
      <c r="V4243" s="33">
        <f>IFERROR(__xludf.DUMMYFUNCTION("""COMPUTED_VALUE"""),1.0)</f>
        <v>1</v>
      </c>
      <c r="W4243" s="4" t="str">
        <f>IFERROR(__xludf.DUMMYFUNCTION("""COMPUTED_VALUE"""),"Anota Ai Solucoes Digitais S/a")</f>
        <v>Anota Ai Solucoes Digitais S/a</v>
      </c>
      <c r="X4243" s="33">
        <f>IFERROR(__xludf.DUMMYFUNCTION("""COMPUTED_VALUE"""),0.5)</f>
        <v>0.5</v>
      </c>
    </row>
    <row r="4244">
      <c r="K4244" s="4" t="str">
        <f>IFERROR(__xludf.DUMMYFUNCTION("""COMPUTED_VALUE"""),"ACAI DIVINO")</f>
        <v>ACAI DIVINO</v>
      </c>
      <c r="L4244" s="32">
        <f>IFERROR(__xludf.DUMMYFUNCTION("""COMPUTED_VALUE"""),2.0)</f>
        <v>2</v>
      </c>
      <c r="M4244" s="4" t="str">
        <f>IFERROR(__xludf.DUMMYFUNCTION("""COMPUTED_VALUE"""),"null")</f>
        <v>null</v>
      </c>
      <c r="N4244" s="33">
        <f>IFERROR(__xludf.DUMMYFUNCTION("""COMPUTED_VALUE"""),0.5)</f>
        <v>0.5</v>
      </c>
      <c r="O4244" s="4" t="str">
        <f>IFERROR(__xludf.DUMMYFUNCTION("""COMPUTED_VALUE"""),"null")</f>
        <v>null</v>
      </c>
      <c r="P4244" s="33">
        <f>IFERROR(__xludf.DUMMYFUNCTION("""COMPUTED_VALUE"""),1.0)</f>
        <v>1</v>
      </c>
      <c r="Q4244" s="4" t="str">
        <f>IFERROR(__xludf.DUMMYFUNCTION("""COMPUTED_VALUE"""),"null")</f>
        <v>null</v>
      </c>
      <c r="R4244" s="33">
        <f>IFERROR(__xludf.DUMMYFUNCTION("""COMPUTED_VALUE"""),1.0)</f>
        <v>1</v>
      </c>
      <c r="S4244" s="4" t="str">
        <f>IFERROR(__xludf.DUMMYFUNCTION("""COMPUTED_VALUE"""),"null")</f>
        <v>null</v>
      </c>
      <c r="T4244" s="33">
        <f>IFERROR(__xludf.DUMMYFUNCTION("""COMPUTED_VALUE"""),1.0)</f>
        <v>1</v>
      </c>
      <c r="U4244" s="4" t="str">
        <f>IFERROR(__xludf.DUMMYFUNCTION("""COMPUTED_VALUE"""),"Instadelivery")</f>
        <v>Instadelivery</v>
      </c>
      <c r="V4244" s="33">
        <f>IFERROR(__xludf.DUMMYFUNCTION("""COMPUTED_VALUE"""),0.5)</f>
        <v>0.5</v>
      </c>
      <c r="W4244" s="4" t="str">
        <f>IFERROR(__xludf.DUMMYFUNCTION("""COMPUTED_VALUE"""),"null")</f>
        <v>null</v>
      </c>
      <c r="X4244" s="33">
        <f>IFERROR(__xludf.DUMMYFUNCTION("""COMPUTED_VALUE"""),0.5)</f>
        <v>0.5</v>
      </c>
    </row>
    <row r="4245">
      <c r="K4245" s="4" t="str">
        <f>IFERROR(__xludf.DUMMYFUNCTION("""COMPUTED_VALUE"""),"ONE BURGER")</f>
        <v>ONE BURGER</v>
      </c>
      <c r="L4245" s="32">
        <f>IFERROR(__xludf.DUMMYFUNCTION("""COMPUTED_VALUE"""),2.0)</f>
        <v>2</v>
      </c>
      <c r="M4245" s="4" t="str">
        <f>IFERROR(__xludf.DUMMYFUNCTION("""COMPUTED_VALUE"""),"Consumer Soluções Em Tecnologia Ltda")</f>
        <v>Consumer Soluções Em Tecnologia Ltda</v>
      </c>
      <c r="N4245" s="33">
        <f>IFERROR(__xludf.DUMMYFUNCTION("""COMPUTED_VALUE"""),0.5)</f>
        <v>0.5</v>
      </c>
      <c r="O4245" s="4" t="str">
        <f>IFERROR(__xludf.DUMMYFUNCTION("""COMPUTED_VALUE"""),"Consumer Soluções Em Tecnologia Ltda")</f>
        <v>Consumer Soluções Em Tecnologia Ltda</v>
      </c>
      <c r="P4245" s="33">
        <f>IFERROR(__xludf.DUMMYFUNCTION("""COMPUTED_VALUE"""),0.5)</f>
        <v>0.5</v>
      </c>
      <c r="Q4245" s="4" t="str">
        <f>IFERROR(__xludf.DUMMYFUNCTION("""COMPUTED_VALUE"""),"Anota Ai Solucoes Digitais S/a")</f>
        <v>Anota Ai Solucoes Digitais S/a</v>
      </c>
      <c r="R4245" s="33">
        <f>IFERROR(__xludf.DUMMYFUNCTION("""COMPUTED_VALUE"""),0.5)</f>
        <v>0.5</v>
      </c>
      <c r="S4245" s="4" t="str">
        <f>IFERROR(__xludf.DUMMYFUNCTION("""COMPUTED_VALUE"""),"Anota Ai Solucoes Digitais S/a")</f>
        <v>Anota Ai Solucoes Digitais S/a</v>
      </c>
      <c r="T4245" s="33">
        <f>IFERROR(__xludf.DUMMYFUNCTION("""COMPUTED_VALUE"""),0.5)</f>
        <v>0.5</v>
      </c>
      <c r="U4245" s="4" t="str">
        <f>IFERROR(__xludf.DUMMYFUNCTION("""COMPUTED_VALUE"""),"Anota Ai Solucoes Digitais S/a")</f>
        <v>Anota Ai Solucoes Digitais S/a</v>
      </c>
      <c r="V4245" s="33">
        <f>IFERROR(__xludf.DUMMYFUNCTION("""COMPUTED_VALUE"""),0.5)</f>
        <v>0.5</v>
      </c>
      <c r="W4245" s="4" t="str">
        <f>IFERROR(__xludf.DUMMYFUNCTION("""COMPUTED_VALUE"""),"Anota Ai Solucoes Digitais S/a")</f>
        <v>Anota Ai Solucoes Digitais S/a</v>
      </c>
      <c r="X4245" s="33">
        <f>IFERROR(__xludf.DUMMYFUNCTION("""COMPUTED_VALUE"""),0.5)</f>
        <v>0.5</v>
      </c>
    </row>
    <row r="4246">
      <c r="K4246" s="4" t="str">
        <f>IFERROR(__xludf.DUMMYFUNCTION("""COMPUTED_VALUE"""),"OPAIO SMASH BURGER")</f>
        <v>OPAIO SMASH BURGER</v>
      </c>
      <c r="L4246" s="32">
        <f>IFERROR(__xludf.DUMMYFUNCTION("""COMPUTED_VALUE"""),2.0)</f>
        <v>2</v>
      </c>
      <c r="M4246" s="4" t="str">
        <f>IFERROR(__xludf.DUMMYFUNCTION("""COMPUTED_VALUE"""),"One Solucoes")</f>
        <v>One Solucoes</v>
      </c>
      <c r="N4246" s="33">
        <f>IFERROR(__xludf.DUMMYFUNCTION("""COMPUTED_VALUE"""),0.5)</f>
        <v>0.5</v>
      </c>
      <c r="O4246" s="4" t="str">
        <f>IFERROR(__xludf.DUMMYFUNCTION("""COMPUTED_VALUE"""),"One Solucoes")</f>
        <v>One Solucoes</v>
      </c>
      <c r="P4246" s="33">
        <f>IFERROR(__xludf.DUMMYFUNCTION("""COMPUTED_VALUE"""),0.5)</f>
        <v>0.5</v>
      </c>
      <c r="Q4246" s="4" t="str">
        <f>IFERROR(__xludf.DUMMYFUNCTION("""COMPUTED_VALUE"""),"One Solucoes")</f>
        <v>One Solucoes</v>
      </c>
      <c r="R4246" s="33">
        <f>IFERROR(__xludf.DUMMYFUNCTION("""COMPUTED_VALUE"""),0.5)</f>
        <v>0.5</v>
      </c>
      <c r="S4246" s="4" t="str">
        <f>IFERROR(__xludf.DUMMYFUNCTION("""COMPUTED_VALUE"""),"One Solucoes")</f>
        <v>One Solucoes</v>
      </c>
      <c r="T4246" s="33">
        <f>IFERROR(__xludf.DUMMYFUNCTION("""COMPUTED_VALUE"""),1.0)</f>
        <v>1</v>
      </c>
      <c r="U4246" s="4" t="str">
        <f>IFERROR(__xludf.DUMMYFUNCTION("""COMPUTED_VALUE"""),"One Solucoes")</f>
        <v>One Solucoes</v>
      </c>
      <c r="V4246" s="33">
        <f>IFERROR(__xludf.DUMMYFUNCTION("""COMPUTED_VALUE"""),1.0)</f>
        <v>1</v>
      </c>
      <c r="W4246" s="4" t="str">
        <f>IFERROR(__xludf.DUMMYFUNCTION("""COMPUTED_VALUE"""),"One Solucoes")</f>
        <v>One Solucoes</v>
      </c>
      <c r="X4246" s="33">
        <f>IFERROR(__xludf.DUMMYFUNCTION("""COMPUTED_VALUE"""),1.0)</f>
        <v>1</v>
      </c>
    </row>
    <row r="4247">
      <c r="K4247" s="4" t="str">
        <f>IFERROR(__xludf.DUMMYFUNCTION("""COMPUTED_VALUE"""),"PIZZA BOX")</f>
        <v>PIZZA BOX</v>
      </c>
      <c r="L4247" s="32">
        <f>IFERROR(__xludf.DUMMYFUNCTION("""COMPUTED_VALUE"""),2.0)</f>
        <v>2</v>
      </c>
      <c r="M4247" s="4" t="str">
        <f>IFERROR(__xludf.DUMMYFUNCTION("""COMPUTED_VALUE"""),"null")</f>
        <v>null</v>
      </c>
      <c r="N4247" s="33">
        <f>IFERROR(__xludf.DUMMYFUNCTION("""COMPUTED_VALUE"""),1.0)</f>
        <v>1</v>
      </c>
      <c r="O4247" s="4" t="str">
        <f>IFERROR(__xludf.DUMMYFUNCTION("""COMPUTED_VALUE"""),"null")</f>
        <v>null</v>
      </c>
      <c r="P4247" s="33">
        <f>IFERROR(__xludf.DUMMYFUNCTION("""COMPUTED_VALUE"""),1.0)</f>
        <v>1</v>
      </c>
      <c r="Q4247" s="4" t="str">
        <f>IFERROR(__xludf.DUMMYFUNCTION("""COMPUTED_VALUE"""),"Bitbar")</f>
        <v>Bitbar</v>
      </c>
      <c r="R4247" s="33">
        <f>IFERROR(__xludf.DUMMYFUNCTION("""COMPUTED_VALUE"""),0.5)</f>
        <v>0.5</v>
      </c>
      <c r="S4247" s="4" t="str">
        <f>IFERROR(__xludf.DUMMYFUNCTION("""COMPUTED_VALUE"""),"Bitbar")</f>
        <v>Bitbar</v>
      </c>
      <c r="T4247" s="33">
        <f>IFERROR(__xludf.DUMMYFUNCTION("""COMPUTED_VALUE"""),0.5)</f>
        <v>0.5</v>
      </c>
      <c r="U4247" s="4" t="str">
        <f>IFERROR(__xludf.DUMMYFUNCTION("""COMPUTED_VALUE"""),"Bitbar")</f>
        <v>Bitbar</v>
      </c>
      <c r="V4247" s="33">
        <f>IFERROR(__xludf.DUMMYFUNCTION("""COMPUTED_VALUE"""),0.5)</f>
        <v>0.5</v>
      </c>
      <c r="W4247" s="4" t="str">
        <f>IFERROR(__xludf.DUMMYFUNCTION("""COMPUTED_VALUE"""),"null")</f>
        <v>null</v>
      </c>
      <c r="X4247" s="33">
        <f>IFERROR(__xludf.DUMMYFUNCTION("""COMPUTED_VALUE"""),0.5)</f>
        <v>0.5</v>
      </c>
    </row>
    <row r="4248">
      <c r="K4248" s="4" t="str">
        <f>IFERROR(__xludf.DUMMYFUNCTION("""COMPUTED_VALUE"""),"HAMBURGUERIA HELENAS BURGER")</f>
        <v>HAMBURGUERIA HELENAS BURGER</v>
      </c>
      <c r="L4248" s="32">
        <f>IFERROR(__xludf.DUMMYFUNCTION("""COMPUTED_VALUE"""),2.0)</f>
        <v>2</v>
      </c>
      <c r="M4248" s="4" t="str">
        <f>IFERROR(__xludf.DUMMYFUNCTION("""COMPUTED_VALUE"""),"Anota Ai Solucoes Digitais S/a")</f>
        <v>Anota Ai Solucoes Digitais S/a</v>
      </c>
      <c r="N4248" s="33">
        <f>IFERROR(__xludf.DUMMYFUNCTION("""COMPUTED_VALUE"""),1.0)</f>
        <v>1</v>
      </c>
      <c r="O4248" s="4" t="str">
        <f>IFERROR(__xludf.DUMMYFUNCTION("""COMPUTED_VALUE"""),"Anota Ai Solucoes Digitais S/a")</f>
        <v>Anota Ai Solucoes Digitais S/a</v>
      </c>
      <c r="P4248" s="33">
        <f>IFERROR(__xludf.DUMMYFUNCTION("""COMPUTED_VALUE"""),1.0)</f>
        <v>1</v>
      </c>
      <c r="Q4248" s="4" t="str">
        <f>IFERROR(__xludf.DUMMYFUNCTION("""COMPUTED_VALUE"""),"null")</f>
        <v>null</v>
      </c>
      <c r="R4248" s="33">
        <f>IFERROR(__xludf.DUMMYFUNCTION("""COMPUTED_VALUE"""),0.5)</f>
        <v>0.5</v>
      </c>
      <c r="S4248" s="4" t="str">
        <f>IFERROR(__xludf.DUMMYFUNCTION("""COMPUTED_VALUE"""),"Anota Ai Solucoes Digitais S/a")</f>
        <v>Anota Ai Solucoes Digitais S/a</v>
      </c>
      <c r="T4248" s="33">
        <f>IFERROR(__xludf.DUMMYFUNCTION("""COMPUTED_VALUE"""),1.0)</f>
        <v>1</v>
      </c>
      <c r="U4248" s="4" t="str">
        <f>IFERROR(__xludf.DUMMYFUNCTION("""COMPUTED_VALUE"""),"Anota Ai Solucoes Digitais S/a")</f>
        <v>Anota Ai Solucoes Digitais S/a</v>
      </c>
      <c r="V4248" s="33">
        <f>IFERROR(__xludf.DUMMYFUNCTION("""COMPUTED_VALUE"""),1.0)</f>
        <v>1</v>
      </c>
      <c r="W4248" s="4" t="str">
        <f>IFERROR(__xludf.DUMMYFUNCTION("""COMPUTED_VALUE"""),"Anota Ai Solucoes Digitais S/a")</f>
        <v>Anota Ai Solucoes Digitais S/a</v>
      </c>
      <c r="X4248" s="33">
        <f>IFERROR(__xludf.DUMMYFUNCTION("""COMPUTED_VALUE"""),0.5)</f>
        <v>0.5</v>
      </c>
    </row>
    <row r="4249">
      <c r="K4249" s="4" t="str">
        <f>IFERROR(__xludf.DUMMYFUNCTION("""COMPUTED_VALUE"""),"CROC ROLL")</f>
        <v>CROC ROLL</v>
      </c>
      <c r="L4249" s="32">
        <f>IFERROR(__xludf.DUMMYFUNCTION("""COMPUTED_VALUE"""),2.0)</f>
        <v>2</v>
      </c>
      <c r="M4249" s="4" t="str">
        <f>IFERROR(__xludf.DUMMYFUNCTION("""COMPUTED_VALUE"""),"null")</f>
        <v>null</v>
      </c>
      <c r="N4249" s="33">
        <f>IFERROR(__xludf.DUMMYFUNCTION("""COMPUTED_VALUE"""),0.5)</f>
        <v>0.5</v>
      </c>
      <c r="O4249" s="4" t="str">
        <f>IFERROR(__xludf.DUMMYFUNCTION("""COMPUTED_VALUE"""),"null")</f>
        <v>null</v>
      </c>
      <c r="P4249" s="33">
        <f>IFERROR(__xludf.DUMMYFUNCTION("""COMPUTED_VALUE"""),1.0)</f>
        <v>1</v>
      </c>
      <c r="Q4249" s="4" t="str">
        <f>IFERROR(__xludf.DUMMYFUNCTION("""COMPUTED_VALUE"""),"null")</f>
        <v>null</v>
      </c>
      <c r="R4249" s="33">
        <f>IFERROR(__xludf.DUMMYFUNCTION("""COMPUTED_VALUE"""),1.0)</f>
        <v>1</v>
      </c>
      <c r="S4249" s="4" t="str">
        <f>IFERROR(__xludf.DUMMYFUNCTION("""COMPUTED_VALUE"""),"null")</f>
        <v>null</v>
      </c>
      <c r="T4249" s="33">
        <f>IFERROR(__xludf.DUMMYFUNCTION("""COMPUTED_VALUE"""),1.0)</f>
        <v>1</v>
      </c>
      <c r="U4249" s="4" t="str">
        <f>IFERROR(__xludf.DUMMYFUNCTION("""COMPUTED_VALUE"""),"Bbifood")</f>
        <v>Bbifood</v>
      </c>
      <c r="V4249" s="33">
        <f>IFERROR(__xludf.DUMMYFUNCTION("""COMPUTED_VALUE"""),0.5)</f>
        <v>0.5</v>
      </c>
      <c r="W4249" s="4" t="str">
        <f>IFERROR(__xludf.DUMMYFUNCTION("""COMPUTED_VALUE"""),"null")</f>
        <v>null</v>
      </c>
      <c r="X4249" s="33">
        <f>IFERROR(__xludf.DUMMYFUNCTION("""COMPUTED_VALUE"""),1.0)</f>
        <v>1</v>
      </c>
    </row>
    <row r="4250">
      <c r="K4250" s="4" t="str">
        <f>IFERROR(__xludf.DUMMYFUNCTION("""COMPUTED_VALUE"""),"DROGAMIX")</f>
        <v>DROGAMIX</v>
      </c>
      <c r="L4250" s="32">
        <f>IFERROR(__xludf.DUMMYFUNCTION("""COMPUTED_VALUE"""),2.0)</f>
        <v>2</v>
      </c>
      <c r="M4250" s="4" t="str">
        <f>IFERROR(__xludf.DUMMYFUNCTION("""COMPUTED_VALUE"""),"N/A (Not found)")</f>
        <v>N/A (Not found)</v>
      </c>
      <c r="N4250" s="33">
        <f>IFERROR(__xludf.DUMMYFUNCTION("""COMPUTED_VALUE"""),1.0)</f>
        <v>1</v>
      </c>
      <c r="O4250" s="4" t="str">
        <f>IFERROR(__xludf.DUMMYFUNCTION("""COMPUTED_VALUE"""),"N/A (Not found)")</f>
        <v>N/A (Not found)</v>
      </c>
      <c r="P4250" s="33">
        <f>IFERROR(__xludf.DUMMYFUNCTION("""COMPUTED_VALUE"""),1.0)</f>
        <v>1</v>
      </c>
      <c r="Q4250" s="4" t="str">
        <f>IFERROR(__xludf.DUMMYFUNCTION("""COMPUTED_VALUE"""),"null")</f>
        <v>null</v>
      </c>
      <c r="R4250" s="33">
        <f>IFERROR(__xludf.DUMMYFUNCTION("""COMPUTED_VALUE"""),1.0)</f>
        <v>1</v>
      </c>
      <c r="S4250" s="4" t="str">
        <f>IFERROR(__xludf.DUMMYFUNCTION("""COMPUTED_VALUE"""),"null")</f>
        <v>null</v>
      </c>
      <c r="T4250" s="33">
        <f>IFERROR(__xludf.DUMMYFUNCTION("""COMPUTED_VALUE"""),0.5)</f>
        <v>0.5</v>
      </c>
      <c r="U4250" s="4" t="str">
        <f>IFERROR(__xludf.DUMMYFUNCTION("""COMPUTED_VALUE"""),"null")</f>
        <v>null</v>
      </c>
      <c r="V4250" s="33">
        <f>IFERROR(__xludf.DUMMYFUNCTION("""COMPUTED_VALUE"""),0.5)</f>
        <v>0.5</v>
      </c>
      <c r="W4250" s="4" t="str">
        <f>IFERROR(__xludf.DUMMYFUNCTION("""COMPUTED_VALUE"""),"null")</f>
        <v>null</v>
      </c>
      <c r="X4250" s="33">
        <f>IFERROR(__xludf.DUMMYFUNCTION("""COMPUTED_VALUE"""),0.5)</f>
        <v>0.5</v>
      </c>
    </row>
    <row r="4251">
      <c r="K4251" s="4" t="str">
        <f>IFERROR(__xludf.DUMMYFUNCTION("""COMPUTED_VALUE"""),"VIVA LA PIZZA")</f>
        <v>VIVA LA PIZZA</v>
      </c>
      <c r="L4251" s="32">
        <f>IFERROR(__xludf.DUMMYFUNCTION("""COMPUTED_VALUE"""),2.0)</f>
        <v>2</v>
      </c>
      <c r="M4251" s="4" t="str">
        <f>IFERROR(__xludf.DUMMYFUNCTION("""COMPUTED_VALUE"""),"Filialdigital")</f>
        <v>Filialdigital</v>
      </c>
      <c r="N4251" s="33">
        <f>IFERROR(__xludf.DUMMYFUNCTION("""COMPUTED_VALUE"""),0.5)</f>
        <v>0.5</v>
      </c>
      <c r="O4251" s="4" t="str">
        <f>IFERROR(__xludf.DUMMYFUNCTION("""COMPUTED_VALUE"""),"null")</f>
        <v>null</v>
      </c>
      <c r="P4251" s="33">
        <f>IFERROR(__xludf.DUMMYFUNCTION("""COMPUTED_VALUE"""),0.5)</f>
        <v>0.5</v>
      </c>
      <c r="Q4251" s="4" t="str">
        <f>IFERROR(__xludf.DUMMYFUNCTION("""COMPUTED_VALUE"""),"null")</f>
        <v>null</v>
      </c>
      <c r="R4251" s="33">
        <f>IFERROR(__xludf.DUMMYFUNCTION("""COMPUTED_VALUE"""),0.5)</f>
        <v>0.5</v>
      </c>
      <c r="S4251" s="4" t="str">
        <f>IFERROR(__xludf.DUMMYFUNCTION("""COMPUTED_VALUE"""),"null")</f>
        <v>null</v>
      </c>
      <c r="T4251" s="33">
        <f>IFERROR(__xludf.DUMMYFUNCTION("""COMPUTED_VALUE"""),0.5)</f>
        <v>0.5</v>
      </c>
      <c r="U4251" s="4" t="str">
        <f>IFERROR(__xludf.DUMMYFUNCTION("""COMPUTED_VALUE"""),"null")</f>
        <v>null</v>
      </c>
      <c r="V4251" s="33">
        <f>IFERROR(__xludf.DUMMYFUNCTION("""COMPUTED_VALUE"""),0.5)</f>
        <v>0.5</v>
      </c>
      <c r="W4251" s="4" t="str">
        <f>IFERROR(__xludf.DUMMYFUNCTION("""COMPUTED_VALUE"""),"null")</f>
        <v>null</v>
      </c>
      <c r="X4251" s="33">
        <f>IFERROR(__xludf.DUMMYFUNCTION("""COMPUTED_VALUE"""),0.5)</f>
        <v>0.5</v>
      </c>
    </row>
    <row r="4252">
      <c r="K4252" s="4" t="str">
        <f>IFERROR(__xludf.DUMMYFUNCTION("""COMPUTED_VALUE"""),"WAKAM DELIVERY - COMIDA JAPONESA E SUSHI")</f>
        <v>WAKAM DELIVERY - COMIDA JAPONESA E SUSHI</v>
      </c>
      <c r="L4252" s="32">
        <f>IFERROR(__xludf.DUMMYFUNCTION("""COMPUTED_VALUE"""),2.0)</f>
        <v>2</v>
      </c>
      <c r="M4252" s="4" t="str">
        <f>IFERROR(__xludf.DUMMYFUNCTION("""COMPUTED_VALUE"""),"Saipos Serviços De Software")</f>
        <v>Saipos Serviços De Software</v>
      </c>
      <c r="N4252" s="33">
        <f>IFERROR(__xludf.DUMMYFUNCTION("""COMPUTED_VALUE"""),1.0)</f>
        <v>1</v>
      </c>
      <c r="O4252" s="4" t="str">
        <f>IFERROR(__xludf.DUMMYFUNCTION("""COMPUTED_VALUE"""),"Saipos Serviços De Software")</f>
        <v>Saipos Serviços De Software</v>
      </c>
      <c r="P4252" s="33">
        <f>IFERROR(__xludf.DUMMYFUNCTION("""COMPUTED_VALUE"""),1.0)</f>
        <v>1</v>
      </c>
      <c r="Q4252" s="4" t="str">
        <f>IFERROR(__xludf.DUMMYFUNCTION("""COMPUTED_VALUE"""),"Saipos Serviços De Software")</f>
        <v>Saipos Serviços De Software</v>
      </c>
      <c r="R4252" s="33">
        <f>IFERROR(__xludf.DUMMYFUNCTION("""COMPUTED_VALUE"""),1.0)</f>
        <v>1</v>
      </c>
      <c r="S4252" s="4" t="str">
        <f>IFERROR(__xludf.DUMMYFUNCTION("""COMPUTED_VALUE"""),"Saipos Serviços De Software")</f>
        <v>Saipos Serviços De Software</v>
      </c>
      <c r="T4252" s="33">
        <f>IFERROR(__xludf.DUMMYFUNCTION("""COMPUTED_VALUE"""),0.5)</f>
        <v>0.5</v>
      </c>
      <c r="U4252" s="4" t="str">
        <f>IFERROR(__xludf.DUMMYFUNCTION("""COMPUTED_VALUE"""),"Saipos Serviços De Software")</f>
        <v>Saipos Serviços De Software</v>
      </c>
      <c r="V4252" s="33">
        <f>IFERROR(__xludf.DUMMYFUNCTION("""COMPUTED_VALUE"""),0.5)</f>
        <v>0.5</v>
      </c>
      <c r="W4252" s="4" t="str">
        <f>IFERROR(__xludf.DUMMYFUNCTION("""COMPUTED_VALUE"""),"Saipos Serviços De Software")</f>
        <v>Saipos Serviços De Software</v>
      </c>
      <c r="X4252" s="33">
        <f>IFERROR(__xludf.DUMMYFUNCTION("""COMPUTED_VALUE"""),0.5)</f>
        <v>0.5</v>
      </c>
    </row>
    <row r="4253">
      <c r="K4253" s="4" t="str">
        <f>IFERROR(__xludf.DUMMYFUNCTION("""COMPUTED_VALUE"""),"REI DA MARMITA FEIJOADA PARMEGIANA")</f>
        <v>REI DA MARMITA FEIJOADA PARMEGIANA</v>
      </c>
      <c r="L4253" s="32">
        <f>IFERROR(__xludf.DUMMYFUNCTION("""COMPUTED_VALUE"""),2.0)</f>
        <v>2</v>
      </c>
      <c r="M4253" s="4" t="str">
        <f>IFERROR(__xludf.DUMMYFUNCTION("""COMPUTED_VALUE"""),"null")</f>
        <v>null</v>
      </c>
      <c r="N4253" s="33">
        <f>IFERROR(__xludf.DUMMYFUNCTION("""COMPUTED_VALUE"""),0.5)</f>
        <v>0.5</v>
      </c>
      <c r="O4253" s="4" t="str">
        <f>IFERROR(__xludf.DUMMYFUNCTION("""COMPUTED_VALUE"""),"null")</f>
        <v>null</v>
      </c>
      <c r="P4253" s="33">
        <f>IFERROR(__xludf.DUMMYFUNCTION("""COMPUTED_VALUE"""),0.5)</f>
        <v>0.5</v>
      </c>
      <c r="Q4253" s="4" t="str">
        <f>IFERROR(__xludf.DUMMYFUNCTION("""COMPUTED_VALUE"""),"null")</f>
        <v>null</v>
      </c>
      <c r="R4253" s="33">
        <f>IFERROR(__xludf.DUMMYFUNCTION("""COMPUTED_VALUE"""),0.5)</f>
        <v>0.5</v>
      </c>
      <c r="S4253" s="4" t="str">
        <f>IFERROR(__xludf.DUMMYFUNCTION("""COMPUTED_VALUE"""),"null")</f>
        <v>null</v>
      </c>
      <c r="T4253" s="33">
        <f>IFERROR(__xludf.DUMMYFUNCTION("""COMPUTED_VALUE"""),0.5)</f>
        <v>0.5</v>
      </c>
      <c r="U4253" s="4" t="str">
        <f>IFERROR(__xludf.DUMMYFUNCTION("""COMPUTED_VALUE"""),"Saipos Serviços De Software")</f>
        <v>Saipos Serviços De Software</v>
      </c>
      <c r="V4253" s="33">
        <f>IFERROR(__xludf.DUMMYFUNCTION("""COMPUTED_VALUE"""),1.0)</f>
        <v>1</v>
      </c>
      <c r="W4253" s="4" t="str">
        <f>IFERROR(__xludf.DUMMYFUNCTION("""COMPUTED_VALUE"""),"Saipos Serviços De Software")</f>
        <v>Saipos Serviços De Software</v>
      </c>
      <c r="X4253" s="33">
        <f>IFERROR(__xludf.DUMMYFUNCTION("""COMPUTED_VALUE"""),1.0)</f>
        <v>1</v>
      </c>
    </row>
    <row r="4254">
      <c r="K4254" s="4" t="str">
        <f>IFERROR(__xludf.DUMMYFUNCTION("""COMPUTED_VALUE"""),"DON CARLOS FOOD")</f>
        <v>DON CARLOS FOOD</v>
      </c>
      <c r="L4254" s="32">
        <f>IFERROR(__xludf.DUMMYFUNCTION("""COMPUTED_VALUE"""),2.0)</f>
        <v>2</v>
      </c>
      <c r="M4254" s="4" t="str">
        <f>IFERROR(__xludf.DUMMYFUNCTION("""COMPUTED_VALUE"""),"null")</f>
        <v>null</v>
      </c>
      <c r="N4254" s="33">
        <f>IFERROR(__xludf.DUMMYFUNCTION("""COMPUTED_VALUE"""),0.5)</f>
        <v>0.5</v>
      </c>
      <c r="O4254" s="4" t="str">
        <f>IFERROR(__xludf.DUMMYFUNCTION("""COMPUTED_VALUE"""),"Grandchef Desenvolvimento De Sistemas Ltda")</f>
        <v>Grandchef Desenvolvimento De Sistemas Ltda</v>
      </c>
      <c r="P4254" s="33">
        <f>IFERROR(__xludf.DUMMYFUNCTION("""COMPUTED_VALUE"""),1.0)</f>
        <v>1</v>
      </c>
      <c r="Q4254" s="4" t="str">
        <f>IFERROR(__xludf.DUMMYFUNCTION("""COMPUTED_VALUE"""),"Grandchef Desenvolvimento De Sistemas Ltda")</f>
        <v>Grandchef Desenvolvimento De Sistemas Ltda</v>
      </c>
      <c r="R4254" s="33">
        <f>IFERROR(__xludf.DUMMYFUNCTION("""COMPUTED_VALUE"""),1.0)</f>
        <v>1</v>
      </c>
      <c r="S4254" s="4" t="str">
        <f>IFERROR(__xludf.DUMMYFUNCTION("""COMPUTED_VALUE"""),"Grandchef Desenvolvimento De Sistemas Ltda")</f>
        <v>Grandchef Desenvolvimento De Sistemas Ltda</v>
      </c>
      <c r="T4254" s="33">
        <f>IFERROR(__xludf.DUMMYFUNCTION("""COMPUTED_VALUE"""),1.0)</f>
        <v>1</v>
      </c>
      <c r="U4254" s="4" t="str">
        <f>IFERROR(__xludf.DUMMYFUNCTION("""COMPUTED_VALUE"""),"Grandchef Desenvolvimento De Sistemas Ltda")</f>
        <v>Grandchef Desenvolvimento De Sistemas Ltda</v>
      </c>
      <c r="V4254" s="33">
        <f>IFERROR(__xludf.DUMMYFUNCTION("""COMPUTED_VALUE"""),1.0)</f>
        <v>1</v>
      </c>
      <c r="W4254" s="4" t="str">
        <f>IFERROR(__xludf.DUMMYFUNCTION("""COMPUTED_VALUE"""),"null")</f>
        <v>null</v>
      </c>
      <c r="X4254" s="33">
        <f>IFERROR(__xludf.DUMMYFUNCTION("""COMPUTED_VALUE"""),1.0)</f>
        <v>1</v>
      </c>
    </row>
    <row r="4255">
      <c r="K4255" s="4" t="str">
        <f>IFERROR(__xludf.DUMMYFUNCTION("""COMPUTED_VALUE"""),"REDE VFARMA")</f>
        <v>REDE VFARMA</v>
      </c>
      <c r="L4255" s="32">
        <f>IFERROR(__xludf.DUMMYFUNCTION("""COMPUTED_VALUE"""),2.0)</f>
        <v>2</v>
      </c>
      <c r="M4255" s="4" t="str">
        <f>IFERROR(__xludf.DUMMYFUNCTION("""COMPUTED_VALUE"""),"N/A (Not found)")</f>
        <v>N/A (Not found)</v>
      </c>
      <c r="N4255" s="33">
        <f>IFERROR(__xludf.DUMMYFUNCTION("""COMPUTED_VALUE"""),1.0)</f>
        <v>1</v>
      </c>
      <c r="O4255" s="4" t="str">
        <f>IFERROR(__xludf.DUMMYFUNCTION("""COMPUTED_VALUE"""),"N/A (Not found)")</f>
        <v>N/A (Not found)</v>
      </c>
      <c r="P4255" s="33">
        <f>IFERROR(__xludf.DUMMYFUNCTION("""COMPUTED_VALUE"""),0.5)</f>
        <v>0.5</v>
      </c>
      <c r="Q4255" s="4" t="str">
        <f>IFERROR(__xludf.DUMMYFUNCTION("""COMPUTED_VALUE"""),"N/A (Not found)")</f>
        <v>N/A (Not found)</v>
      </c>
      <c r="R4255" s="33">
        <f>IFERROR(__xludf.DUMMYFUNCTION("""COMPUTED_VALUE"""),0.5)</f>
        <v>0.5</v>
      </c>
      <c r="S4255" s="4" t="str">
        <f>IFERROR(__xludf.DUMMYFUNCTION("""COMPUTED_VALUE"""),"N/A (Not found)")</f>
        <v>N/A (Not found)</v>
      </c>
      <c r="T4255" s="33">
        <f>IFERROR(__xludf.DUMMYFUNCTION("""COMPUTED_VALUE"""),0.5)</f>
        <v>0.5</v>
      </c>
      <c r="U4255" s="4" t="str">
        <f>IFERROR(__xludf.DUMMYFUNCTION("""COMPUTED_VALUE"""),"N/A (Not found)")</f>
        <v>N/A (Not found)</v>
      </c>
      <c r="V4255" s="33">
        <f>IFERROR(__xludf.DUMMYFUNCTION("""COMPUTED_VALUE"""),0.5)</f>
        <v>0.5</v>
      </c>
      <c r="W4255" s="4" t="str">
        <f>IFERROR(__xludf.DUMMYFUNCTION("""COMPUTED_VALUE"""),"N/A (Not found)")</f>
        <v>N/A (Not found)</v>
      </c>
      <c r="X4255" s="33">
        <f>IFERROR(__xludf.DUMMYFUNCTION("""COMPUTED_VALUE"""),0.5)</f>
        <v>0.5</v>
      </c>
    </row>
    <row r="4256">
      <c r="K4256" s="4" t="str">
        <f>IFERROR(__xludf.DUMMYFUNCTION("""COMPUTED_VALUE"""),"DROGARIAS MEP")</f>
        <v>DROGARIAS MEP</v>
      </c>
      <c r="L4256" s="32">
        <f>IFERROR(__xludf.DUMMYFUNCTION("""COMPUTED_VALUE"""),2.0)</f>
        <v>2</v>
      </c>
      <c r="M4256" s="4" t="str">
        <f>IFERROR(__xludf.DUMMYFUNCTION("""COMPUTED_VALUE"""),"N/A (Not found)")</f>
        <v>N/A (Not found)</v>
      </c>
      <c r="N4256" s="33">
        <f>IFERROR(__xludf.DUMMYFUNCTION("""COMPUTED_VALUE"""),0.5)</f>
        <v>0.5</v>
      </c>
      <c r="O4256" s="4" t="str">
        <f>IFERROR(__xludf.DUMMYFUNCTION("""COMPUTED_VALUE"""),"N/A (Not found)")</f>
        <v>N/A (Not found)</v>
      </c>
      <c r="P4256" s="33">
        <f>IFERROR(__xludf.DUMMYFUNCTION("""COMPUTED_VALUE"""),0.5)</f>
        <v>0.5</v>
      </c>
      <c r="Q4256" s="4" t="str">
        <f>IFERROR(__xludf.DUMMYFUNCTION("""COMPUTED_VALUE"""),"N/A (Not found)")</f>
        <v>N/A (Not found)</v>
      </c>
      <c r="R4256" s="33">
        <f>IFERROR(__xludf.DUMMYFUNCTION("""COMPUTED_VALUE"""),1.0)</f>
        <v>1</v>
      </c>
      <c r="S4256" s="4" t="str">
        <f>IFERROR(__xludf.DUMMYFUNCTION("""COMPUTED_VALUE"""),"N/A (Not found)")</f>
        <v>N/A (Not found)</v>
      </c>
      <c r="T4256" s="33">
        <f>IFERROR(__xludf.DUMMYFUNCTION("""COMPUTED_VALUE"""),1.0)</f>
        <v>1</v>
      </c>
      <c r="U4256" s="4" t="str">
        <f>IFERROR(__xludf.DUMMYFUNCTION("""COMPUTED_VALUE"""),"N/A (Not found)")</f>
        <v>N/A (Not found)</v>
      </c>
      <c r="V4256" s="33">
        <f>IFERROR(__xludf.DUMMYFUNCTION("""COMPUTED_VALUE"""),1.0)</f>
        <v>1</v>
      </c>
      <c r="W4256" s="4" t="str">
        <f>IFERROR(__xludf.DUMMYFUNCTION("""COMPUTED_VALUE"""),"N/A (Not found)")</f>
        <v>N/A (Not found)</v>
      </c>
      <c r="X4256" s="33">
        <f>IFERROR(__xludf.DUMMYFUNCTION("""COMPUTED_VALUE"""),1.0)</f>
        <v>1</v>
      </c>
    </row>
    <row r="4257">
      <c r="K4257" s="4" t="str">
        <f>IFERROR(__xludf.DUMMYFUNCTION("""COMPUTED_VALUE"""),"CENTRAL DA MARMITA MESTRES DO SABOR")</f>
        <v>CENTRAL DA MARMITA MESTRES DO SABOR</v>
      </c>
      <c r="L4257" s="32">
        <f>IFERROR(__xludf.DUMMYFUNCTION("""COMPUTED_VALUE"""),2.0)</f>
        <v>2</v>
      </c>
      <c r="M4257" s="4" t="str">
        <f>IFERROR(__xludf.DUMMYFUNCTION("""COMPUTED_VALUE"""),"Gerence Sistemas")</f>
        <v>Gerence Sistemas</v>
      </c>
      <c r="N4257" s="33">
        <f>IFERROR(__xludf.DUMMYFUNCTION("""COMPUTED_VALUE"""),1.0)</f>
        <v>1</v>
      </c>
      <c r="O4257" s="4" t="str">
        <f>IFERROR(__xludf.DUMMYFUNCTION("""COMPUTED_VALUE"""),"null")</f>
        <v>null</v>
      </c>
      <c r="P4257" s="33">
        <f>IFERROR(__xludf.DUMMYFUNCTION("""COMPUTED_VALUE"""),1.0)</f>
        <v>1</v>
      </c>
      <c r="Q4257" s="4" t="str">
        <f>IFERROR(__xludf.DUMMYFUNCTION("""COMPUTED_VALUE"""),"Gerence Sistemas")</f>
        <v>Gerence Sistemas</v>
      </c>
      <c r="R4257" s="33">
        <f>IFERROR(__xludf.DUMMYFUNCTION("""COMPUTED_VALUE"""),0.5)</f>
        <v>0.5</v>
      </c>
      <c r="S4257" s="4" t="str">
        <f>IFERROR(__xludf.DUMMYFUNCTION("""COMPUTED_VALUE"""),"Gerence Sistemas")</f>
        <v>Gerence Sistemas</v>
      </c>
      <c r="T4257" s="33">
        <f>IFERROR(__xludf.DUMMYFUNCTION("""COMPUTED_VALUE"""),1.0)</f>
        <v>1</v>
      </c>
      <c r="U4257" s="4" t="str">
        <f>IFERROR(__xludf.DUMMYFUNCTION("""COMPUTED_VALUE"""),"Gerence Sistemas")</f>
        <v>Gerence Sistemas</v>
      </c>
      <c r="V4257" s="33">
        <f>IFERROR(__xludf.DUMMYFUNCTION("""COMPUTED_VALUE"""),1.0)</f>
        <v>1</v>
      </c>
      <c r="W4257" s="4" t="str">
        <f>IFERROR(__xludf.DUMMYFUNCTION("""COMPUTED_VALUE"""),"Gerence Sistemas")</f>
        <v>Gerence Sistemas</v>
      </c>
      <c r="X4257" s="33">
        <f>IFERROR(__xludf.DUMMYFUNCTION("""COMPUTED_VALUE"""),1.0)</f>
        <v>1</v>
      </c>
    </row>
    <row r="4258">
      <c r="K4258" s="4" t="str">
        <f>IFERROR(__xludf.DUMMYFUNCTION("""COMPUTED_VALUE"""),"KONOMI")</f>
        <v>KONOMI</v>
      </c>
      <c r="L4258" s="32">
        <f>IFERROR(__xludf.DUMMYFUNCTION("""COMPUTED_VALUE"""),2.0)</f>
        <v>2</v>
      </c>
      <c r="M4258" s="4" t="str">
        <f>IFERROR(__xludf.DUMMYFUNCTION("""COMPUTED_VALUE"""),"null")</f>
        <v>null</v>
      </c>
      <c r="N4258" s="33">
        <f>IFERROR(__xludf.DUMMYFUNCTION("""COMPUTED_VALUE"""),0.5)</f>
        <v>0.5</v>
      </c>
      <c r="O4258" s="4" t="str">
        <f>IFERROR(__xludf.DUMMYFUNCTION("""COMPUTED_VALUE"""),"Saipos Serviços De Software")</f>
        <v>Saipos Serviços De Software</v>
      </c>
      <c r="P4258" s="33">
        <f>IFERROR(__xludf.DUMMYFUNCTION("""COMPUTED_VALUE"""),0.5)</f>
        <v>0.5</v>
      </c>
      <c r="Q4258" s="4" t="str">
        <f>IFERROR(__xludf.DUMMYFUNCTION("""COMPUTED_VALUE"""),"Saipos Serviços De Software")</f>
        <v>Saipos Serviços De Software</v>
      </c>
      <c r="R4258" s="33">
        <f>IFERROR(__xludf.DUMMYFUNCTION("""COMPUTED_VALUE"""),1.0)</f>
        <v>1</v>
      </c>
      <c r="S4258" s="4" t="str">
        <f>IFERROR(__xludf.DUMMYFUNCTION("""COMPUTED_VALUE"""),"Saipos Serviços De Software")</f>
        <v>Saipos Serviços De Software</v>
      </c>
      <c r="T4258" s="33">
        <f>IFERROR(__xludf.DUMMYFUNCTION("""COMPUTED_VALUE"""),1.0)</f>
        <v>1</v>
      </c>
      <c r="U4258" s="4" t="str">
        <f>IFERROR(__xludf.DUMMYFUNCTION("""COMPUTED_VALUE"""),"Saipos Serviços De Software")</f>
        <v>Saipos Serviços De Software</v>
      </c>
      <c r="V4258" s="33">
        <f>IFERROR(__xludf.DUMMYFUNCTION("""COMPUTED_VALUE"""),1.0)</f>
        <v>1</v>
      </c>
      <c r="W4258" s="4" t="str">
        <f>IFERROR(__xludf.DUMMYFUNCTION("""COMPUTED_VALUE"""),"Saipos Serviços De Software")</f>
        <v>Saipos Serviços De Software</v>
      </c>
      <c r="X4258" s="33">
        <f>IFERROR(__xludf.DUMMYFUNCTION("""COMPUTED_VALUE"""),1.0)</f>
        <v>1</v>
      </c>
    </row>
    <row r="4259">
      <c r="K4259" s="4" t="str">
        <f>IFERROR(__xludf.DUMMYFUNCTION("""COMPUTED_VALUE"""),"TOP PIZZAS")</f>
        <v>TOP PIZZAS</v>
      </c>
      <c r="L4259" s="32">
        <f>IFERROR(__xludf.DUMMYFUNCTION("""COMPUTED_VALUE"""),2.0)</f>
        <v>2</v>
      </c>
      <c r="M4259" s="4" t="str">
        <f>IFERROR(__xludf.DUMMYFUNCTION("""COMPUTED_VALUE"""),"null")</f>
        <v>null</v>
      </c>
      <c r="N4259" s="33">
        <f>IFERROR(__xludf.DUMMYFUNCTION("""COMPUTED_VALUE"""),1.0)</f>
        <v>1</v>
      </c>
      <c r="O4259" s="4" t="str">
        <f>IFERROR(__xludf.DUMMYFUNCTION("""COMPUTED_VALUE"""),"null")</f>
        <v>null</v>
      </c>
      <c r="P4259" s="33">
        <f>IFERROR(__xludf.DUMMYFUNCTION("""COMPUTED_VALUE"""),1.0)</f>
        <v>1</v>
      </c>
      <c r="Q4259" s="4" t="str">
        <f>IFERROR(__xludf.DUMMYFUNCTION("""COMPUTED_VALUE"""),"null")</f>
        <v>null</v>
      </c>
      <c r="R4259" s="33">
        <f>IFERROR(__xludf.DUMMYFUNCTION("""COMPUTED_VALUE"""),1.0)</f>
        <v>1</v>
      </c>
      <c r="S4259" s="4" t="str">
        <f>IFERROR(__xludf.DUMMYFUNCTION("""COMPUTED_VALUE"""),"null")</f>
        <v>null</v>
      </c>
      <c r="T4259" s="33">
        <f>IFERROR(__xludf.DUMMYFUNCTION("""COMPUTED_VALUE"""),1.0)</f>
        <v>1</v>
      </c>
      <c r="U4259" s="4" t="str">
        <f>IFERROR(__xludf.DUMMYFUNCTION("""COMPUTED_VALUE"""),"null")</f>
        <v>null</v>
      </c>
      <c r="V4259" s="33">
        <f>IFERROR(__xludf.DUMMYFUNCTION("""COMPUTED_VALUE"""),0.5)</f>
        <v>0.5</v>
      </c>
      <c r="W4259" s="4" t="str">
        <f>IFERROR(__xludf.DUMMYFUNCTION("""COMPUTED_VALUE"""),"Mp Multipedidos")</f>
        <v>Mp Multipedidos</v>
      </c>
      <c r="X4259" s="33">
        <f>IFERROR(__xludf.DUMMYFUNCTION("""COMPUTED_VALUE"""),0.5)</f>
        <v>0.5</v>
      </c>
    </row>
    <row r="4260">
      <c r="K4260" s="4" t="str">
        <f>IFERROR(__xludf.DUMMYFUNCTION("""COMPUTED_VALUE"""),"CHEZ MICHOU CREPERIE")</f>
        <v>CHEZ MICHOU CREPERIE</v>
      </c>
      <c r="L4260" s="32">
        <f>IFERROR(__xludf.DUMMYFUNCTION("""COMPUTED_VALUE"""),2.0)</f>
        <v>2</v>
      </c>
      <c r="M4260" s="4" t="str">
        <f>IFERROR(__xludf.DUMMYFUNCTION("""COMPUTED_VALUE"""),"null")</f>
        <v>null</v>
      </c>
      <c r="N4260" s="33">
        <f>IFERROR(__xludf.DUMMYFUNCTION("""COMPUTED_VALUE"""),0.5)</f>
        <v>0.5</v>
      </c>
      <c r="O4260" s="4" t="str">
        <f>IFERROR(__xludf.DUMMYFUNCTION("""COMPUTED_VALUE"""),"null")</f>
        <v>null</v>
      </c>
      <c r="P4260" s="33">
        <f>IFERROR(__xludf.DUMMYFUNCTION("""COMPUTED_VALUE"""),1.0)</f>
        <v>1</v>
      </c>
      <c r="Q4260" s="4" t="str">
        <f>IFERROR(__xludf.DUMMYFUNCTION("""COMPUTED_VALUE"""),"null")</f>
        <v>null</v>
      </c>
      <c r="R4260" s="33">
        <f>IFERROR(__xludf.DUMMYFUNCTION("""COMPUTED_VALUE"""),1.0)</f>
        <v>1</v>
      </c>
      <c r="S4260" s="4" t="str">
        <f>IFERROR(__xludf.DUMMYFUNCTION("""COMPUTED_VALUE"""),"Expresso Delivery")</f>
        <v>Expresso Delivery</v>
      </c>
      <c r="T4260" s="33">
        <f>IFERROR(__xludf.DUMMYFUNCTION("""COMPUTED_VALUE"""),0.5)</f>
        <v>0.5</v>
      </c>
      <c r="U4260" s="4" t="str">
        <f>IFERROR(__xludf.DUMMYFUNCTION("""COMPUTED_VALUE"""),"null")</f>
        <v>null</v>
      </c>
      <c r="V4260" s="33">
        <f>IFERROR(__xludf.DUMMYFUNCTION("""COMPUTED_VALUE"""),1.0)</f>
        <v>1</v>
      </c>
      <c r="W4260" s="4" t="str">
        <f>IFERROR(__xludf.DUMMYFUNCTION("""COMPUTED_VALUE"""),"null")</f>
        <v>null</v>
      </c>
      <c r="X4260" s="33">
        <f>IFERROR(__xludf.DUMMYFUNCTION("""COMPUTED_VALUE"""),1.0)</f>
        <v>1</v>
      </c>
    </row>
    <row r="4261">
      <c r="K4261" s="4" t="str">
        <f>IFERROR(__xludf.DUMMYFUNCTION("""COMPUTED_VALUE"""),"SMASHADINHO BURGER")</f>
        <v>SMASHADINHO BURGER</v>
      </c>
      <c r="L4261" s="32">
        <f>IFERROR(__xludf.DUMMYFUNCTION("""COMPUTED_VALUE"""),2.0)</f>
        <v>2</v>
      </c>
      <c r="M4261" s="4" t="str">
        <f>IFERROR(__xludf.DUMMYFUNCTION("""COMPUTED_VALUE"""),"null")</f>
        <v>null</v>
      </c>
      <c r="N4261" s="33">
        <f>IFERROR(__xludf.DUMMYFUNCTION("""COMPUTED_VALUE"""),0.5)</f>
        <v>0.5</v>
      </c>
      <c r="O4261" s="4" t="str">
        <f>IFERROR(__xludf.DUMMYFUNCTION("""COMPUTED_VALUE"""),"null")</f>
        <v>null</v>
      </c>
      <c r="P4261" s="33">
        <f>IFERROR(__xludf.DUMMYFUNCTION("""COMPUTED_VALUE"""),0.5)</f>
        <v>0.5</v>
      </c>
      <c r="Q4261" s="4" t="str">
        <f>IFERROR(__xludf.DUMMYFUNCTION("""COMPUTED_VALUE"""),"null")</f>
        <v>null</v>
      </c>
      <c r="R4261" s="33">
        <f>IFERROR(__xludf.DUMMYFUNCTION("""COMPUTED_VALUE"""),0.5)</f>
        <v>0.5</v>
      </c>
      <c r="S4261" s="4" t="str">
        <f>IFERROR(__xludf.DUMMYFUNCTION("""COMPUTED_VALUE"""),"null")</f>
        <v>null</v>
      </c>
      <c r="T4261" s="33">
        <f>IFERROR(__xludf.DUMMYFUNCTION("""COMPUTED_VALUE"""),0.5)</f>
        <v>0.5</v>
      </c>
      <c r="U4261" s="4" t="str">
        <f>IFERROR(__xludf.DUMMYFUNCTION("""COMPUTED_VALUE"""),"Cardápio Web")</f>
        <v>Cardápio Web</v>
      </c>
      <c r="V4261" s="33">
        <f>IFERROR(__xludf.DUMMYFUNCTION("""COMPUTED_VALUE"""),1.0)</f>
        <v>1</v>
      </c>
      <c r="W4261" s="4" t="str">
        <f>IFERROR(__xludf.DUMMYFUNCTION("""COMPUTED_VALUE"""),"Cardápio Web")</f>
        <v>Cardápio Web</v>
      </c>
      <c r="X4261" s="33">
        <f>IFERROR(__xludf.DUMMYFUNCTION("""COMPUTED_VALUE"""),0.5)</f>
        <v>0.5</v>
      </c>
    </row>
    <row r="4262">
      <c r="K4262" s="4" t="str">
        <f>IFERROR(__xludf.DUMMYFUNCTION("""COMPUTED_VALUE"""),"VALHALLA")</f>
        <v>VALHALLA</v>
      </c>
      <c r="L4262" s="32">
        <f>IFERROR(__xludf.DUMMYFUNCTION("""COMPUTED_VALUE"""),2.0)</f>
        <v>2</v>
      </c>
      <c r="M4262" s="4" t="str">
        <f>IFERROR(__xludf.DUMMYFUNCTION("""COMPUTED_VALUE"""),"Saipos Serviços De Software")</f>
        <v>Saipos Serviços De Software</v>
      </c>
      <c r="N4262" s="33">
        <f>IFERROR(__xludf.DUMMYFUNCTION("""COMPUTED_VALUE"""),0.5)</f>
        <v>0.5</v>
      </c>
      <c r="O4262" s="4" t="str">
        <f>IFERROR(__xludf.DUMMYFUNCTION("""COMPUTED_VALUE"""),"Saipos Serviços De Software")</f>
        <v>Saipos Serviços De Software</v>
      </c>
      <c r="P4262" s="33">
        <f>IFERROR(__xludf.DUMMYFUNCTION("""COMPUTED_VALUE"""),0.5)</f>
        <v>0.5</v>
      </c>
      <c r="Q4262" s="4" t="str">
        <f>IFERROR(__xludf.DUMMYFUNCTION("""COMPUTED_VALUE"""),"Saipos Serviços De Software")</f>
        <v>Saipos Serviços De Software</v>
      </c>
      <c r="R4262" s="33">
        <f>IFERROR(__xludf.DUMMYFUNCTION("""COMPUTED_VALUE"""),0.5)</f>
        <v>0.5</v>
      </c>
      <c r="S4262" s="4" t="str">
        <f>IFERROR(__xludf.DUMMYFUNCTION("""COMPUTED_VALUE"""),"Saipos Serviços De Software")</f>
        <v>Saipos Serviços De Software</v>
      </c>
      <c r="T4262" s="33">
        <f>IFERROR(__xludf.DUMMYFUNCTION("""COMPUTED_VALUE"""),0.5)</f>
        <v>0.5</v>
      </c>
      <c r="U4262" s="4" t="str">
        <f>IFERROR(__xludf.DUMMYFUNCTION("""COMPUTED_VALUE"""),"Saipos Serviços De Software")</f>
        <v>Saipos Serviços De Software</v>
      </c>
      <c r="V4262" s="33">
        <f>IFERROR(__xludf.DUMMYFUNCTION("""COMPUTED_VALUE"""),0.5)</f>
        <v>0.5</v>
      </c>
      <c r="W4262" s="4" t="str">
        <f>IFERROR(__xludf.DUMMYFUNCTION("""COMPUTED_VALUE"""),"Saipos Serviços De Software")</f>
        <v>Saipos Serviços De Software</v>
      </c>
      <c r="X4262" s="33">
        <f>IFERROR(__xludf.DUMMYFUNCTION("""COMPUTED_VALUE"""),1.0)</f>
        <v>1</v>
      </c>
    </row>
    <row r="4263">
      <c r="K4263" s="4" t="str">
        <f>IFERROR(__xludf.DUMMYFUNCTION("""COMPUTED_VALUE"""),"DROGARIA POUPAQUI - CENTRO")</f>
        <v>DROGARIA POUPAQUI - CENTRO</v>
      </c>
      <c r="L4263" s="32">
        <f>IFERROR(__xludf.DUMMYFUNCTION("""COMPUTED_VALUE"""),2.0)</f>
        <v>2</v>
      </c>
      <c r="M4263" s="4" t="str">
        <f>IFERROR(__xludf.DUMMYFUNCTION("""COMPUTED_VALUE"""),"N/A (Not found)")</f>
        <v>N/A (Not found)</v>
      </c>
      <c r="N4263" s="33">
        <f>IFERROR(__xludf.DUMMYFUNCTION("""COMPUTED_VALUE"""),1.0)</f>
        <v>1</v>
      </c>
      <c r="O4263" s="4" t="str">
        <f>IFERROR(__xludf.DUMMYFUNCTION("""COMPUTED_VALUE"""),"N/A (Not found)")</f>
        <v>N/A (Not found)</v>
      </c>
      <c r="P4263" s="33">
        <f>IFERROR(__xludf.DUMMYFUNCTION("""COMPUTED_VALUE"""),1.0)</f>
        <v>1</v>
      </c>
      <c r="Q4263" s="4" t="str">
        <f>IFERROR(__xludf.DUMMYFUNCTION("""COMPUTED_VALUE"""),"N/A (Not found)")</f>
        <v>N/A (Not found)</v>
      </c>
      <c r="R4263" s="33">
        <f>IFERROR(__xludf.DUMMYFUNCTION("""COMPUTED_VALUE"""),1.0)</f>
        <v>1</v>
      </c>
      <c r="S4263" s="4" t="str">
        <f>IFERROR(__xludf.DUMMYFUNCTION("""COMPUTED_VALUE"""),"N/A (Not found)")</f>
        <v>N/A (Not found)</v>
      </c>
      <c r="T4263" s="33">
        <f>IFERROR(__xludf.DUMMYFUNCTION("""COMPUTED_VALUE"""),1.0)</f>
        <v>1</v>
      </c>
      <c r="U4263" s="4" t="str">
        <f>IFERROR(__xludf.DUMMYFUNCTION("""COMPUTED_VALUE"""),"N/A (Not found)")</f>
        <v>N/A (Not found)</v>
      </c>
      <c r="V4263" s="33">
        <f>IFERROR(__xludf.DUMMYFUNCTION("""COMPUTED_VALUE"""),1.0)</f>
        <v>1</v>
      </c>
      <c r="W4263" s="4" t="str">
        <f>IFERROR(__xludf.DUMMYFUNCTION("""COMPUTED_VALUE"""),"N/A (Not found)")</f>
        <v>N/A (Not found)</v>
      </c>
      <c r="X4263" s="33">
        <f>IFERROR(__xludf.DUMMYFUNCTION("""COMPUTED_VALUE"""),1.0)</f>
        <v>1</v>
      </c>
    </row>
    <row r="4264">
      <c r="K4264" s="4" t="str">
        <f>IFERROR(__xludf.DUMMYFUNCTION("""COMPUTED_VALUE"""),"HEART BURGUER")</f>
        <v>HEART BURGUER</v>
      </c>
      <c r="L4264" s="32">
        <f>IFERROR(__xludf.DUMMYFUNCTION("""COMPUTED_VALUE"""),2.0)</f>
        <v>2</v>
      </c>
      <c r="M4264" s="4" t="str">
        <f>IFERROR(__xludf.DUMMYFUNCTION("""COMPUTED_VALUE"""),"Instadelivery")</f>
        <v>Instadelivery</v>
      </c>
      <c r="N4264" s="33">
        <f>IFERROR(__xludf.DUMMYFUNCTION("""COMPUTED_VALUE"""),0.5)</f>
        <v>0.5</v>
      </c>
      <c r="O4264" s="4" t="str">
        <f>IFERROR(__xludf.DUMMYFUNCTION("""COMPUTED_VALUE"""),"null")</f>
        <v>null</v>
      </c>
      <c r="P4264" s="33">
        <f>IFERROR(__xludf.DUMMYFUNCTION("""COMPUTED_VALUE"""),0.5)</f>
        <v>0.5</v>
      </c>
      <c r="Q4264" s="4" t="str">
        <f>IFERROR(__xludf.DUMMYFUNCTION("""COMPUTED_VALUE"""),"null")</f>
        <v>null</v>
      </c>
      <c r="R4264" s="33">
        <f>IFERROR(__xludf.DUMMYFUNCTION("""COMPUTED_VALUE"""),0.5)</f>
        <v>0.5</v>
      </c>
      <c r="S4264" s="4" t="str">
        <f>IFERROR(__xludf.DUMMYFUNCTION("""COMPUTED_VALUE"""),"null")</f>
        <v>null</v>
      </c>
      <c r="T4264" s="33">
        <f>IFERROR(__xludf.DUMMYFUNCTION("""COMPUTED_VALUE"""),0.5)</f>
        <v>0.5</v>
      </c>
      <c r="U4264" s="4" t="str">
        <f>IFERROR(__xludf.DUMMYFUNCTION("""COMPUTED_VALUE"""),"null")</f>
        <v>null</v>
      </c>
      <c r="V4264" s="33">
        <f>IFERROR(__xludf.DUMMYFUNCTION("""COMPUTED_VALUE"""),0.5)</f>
        <v>0.5</v>
      </c>
      <c r="W4264" s="4" t="str">
        <f>IFERROR(__xludf.DUMMYFUNCTION("""COMPUTED_VALUE"""),"null")</f>
        <v>null</v>
      </c>
      <c r="X4264" s="33">
        <f>IFERROR(__xludf.DUMMYFUNCTION("""COMPUTED_VALUE"""),0.5)</f>
        <v>0.5</v>
      </c>
    </row>
    <row r="4265">
      <c r="K4265" s="4" t="str">
        <f>IFERROR(__xludf.DUMMYFUNCTION("""COMPUTED_VALUE"""),"PIZZARIA QUEIROZ ARTESANAL")</f>
        <v>PIZZARIA QUEIROZ ARTESANAL</v>
      </c>
      <c r="L4265" s="32">
        <f>IFERROR(__xludf.DUMMYFUNCTION("""COMPUTED_VALUE"""),2.0)</f>
        <v>2</v>
      </c>
      <c r="M4265" s="4" t="str">
        <f>IFERROR(__xludf.DUMMYFUNCTION("""COMPUTED_VALUE"""),"Instadelivery")</f>
        <v>Instadelivery</v>
      </c>
      <c r="N4265" s="33">
        <f>IFERROR(__xludf.DUMMYFUNCTION("""COMPUTED_VALUE"""),0.5)</f>
        <v>0.5</v>
      </c>
      <c r="O4265" s="4" t="str">
        <f>IFERROR(__xludf.DUMMYFUNCTION("""COMPUTED_VALUE"""),"Instadelivery")</f>
        <v>Instadelivery</v>
      </c>
      <c r="P4265" s="33">
        <f>IFERROR(__xludf.DUMMYFUNCTION("""COMPUTED_VALUE"""),0.5)</f>
        <v>0.5</v>
      </c>
      <c r="Q4265" s="4" t="str">
        <f>IFERROR(__xludf.DUMMYFUNCTION("""COMPUTED_VALUE"""),"Instadelivery")</f>
        <v>Instadelivery</v>
      </c>
      <c r="R4265" s="33">
        <f>IFERROR(__xludf.DUMMYFUNCTION("""COMPUTED_VALUE"""),0.5)</f>
        <v>0.5</v>
      </c>
      <c r="S4265" s="4" t="str">
        <f>IFERROR(__xludf.DUMMYFUNCTION("""COMPUTED_VALUE"""),"Instadelivery")</f>
        <v>Instadelivery</v>
      </c>
      <c r="T4265" s="33">
        <f>IFERROR(__xludf.DUMMYFUNCTION("""COMPUTED_VALUE"""),0.5)</f>
        <v>0.5</v>
      </c>
      <c r="U4265" s="4" t="str">
        <f>IFERROR(__xludf.DUMMYFUNCTION("""COMPUTED_VALUE"""),"Instadelivery")</f>
        <v>Instadelivery</v>
      </c>
      <c r="V4265" s="33">
        <f>IFERROR(__xludf.DUMMYFUNCTION("""COMPUTED_VALUE"""),0.5)</f>
        <v>0.5</v>
      </c>
      <c r="W4265" s="4" t="str">
        <f>IFERROR(__xludf.DUMMYFUNCTION("""COMPUTED_VALUE"""),"Instadelivery")</f>
        <v>Instadelivery</v>
      </c>
      <c r="X4265" s="33">
        <f>IFERROR(__xludf.DUMMYFUNCTION("""COMPUTED_VALUE"""),0.5)</f>
        <v>0.5</v>
      </c>
    </row>
    <row r="4266">
      <c r="K4266" s="4" t="str">
        <f>IFERROR(__xludf.DUMMYFUNCTION("""COMPUTED_VALUE"""),"LION BURGUER")</f>
        <v>LION BURGUER</v>
      </c>
      <c r="L4266" s="32">
        <f>IFERROR(__xludf.DUMMYFUNCTION("""COMPUTED_VALUE"""),2.0)</f>
        <v>2</v>
      </c>
      <c r="M4266" s="4" t="str">
        <f>IFERROR(__xludf.DUMMYFUNCTION("""COMPUTED_VALUE"""),"Anota Ai Solucoes Digitais S/a")</f>
        <v>Anota Ai Solucoes Digitais S/a</v>
      </c>
      <c r="N4266" s="33">
        <f>IFERROR(__xludf.DUMMYFUNCTION("""COMPUTED_VALUE"""),0.5)</f>
        <v>0.5</v>
      </c>
      <c r="O4266" s="4" t="str">
        <f>IFERROR(__xludf.DUMMYFUNCTION("""COMPUTED_VALUE"""),"Anota Ai Solucoes Digitais S/a")</f>
        <v>Anota Ai Solucoes Digitais S/a</v>
      </c>
      <c r="P4266" s="33">
        <f>IFERROR(__xludf.DUMMYFUNCTION("""COMPUTED_VALUE"""),0.5)</f>
        <v>0.5</v>
      </c>
      <c r="Q4266" s="4" t="str">
        <f>IFERROR(__xludf.DUMMYFUNCTION("""COMPUTED_VALUE"""),"Anota Ai Solucoes Digitais S/a")</f>
        <v>Anota Ai Solucoes Digitais S/a</v>
      </c>
      <c r="R4266" s="33">
        <f>IFERROR(__xludf.DUMMYFUNCTION("""COMPUTED_VALUE"""),0.5)</f>
        <v>0.5</v>
      </c>
      <c r="S4266" s="4" t="str">
        <f>IFERROR(__xludf.DUMMYFUNCTION("""COMPUTED_VALUE"""),"Anota Ai Solucoes Digitais S/a")</f>
        <v>Anota Ai Solucoes Digitais S/a</v>
      </c>
      <c r="T4266" s="33">
        <f>IFERROR(__xludf.DUMMYFUNCTION("""COMPUTED_VALUE"""),0.5)</f>
        <v>0.5</v>
      </c>
      <c r="U4266" s="4" t="str">
        <f>IFERROR(__xludf.DUMMYFUNCTION("""COMPUTED_VALUE"""),"null")</f>
        <v>null</v>
      </c>
      <c r="V4266" s="33">
        <f>IFERROR(__xludf.DUMMYFUNCTION("""COMPUTED_VALUE"""),0.5)</f>
        <v>0.5</v>
      </c>
      <c r="W4266" s="4" t="str">
        <f>IFERROR(__xludf.DUMMYFUNCTION("""COMPUTED_VALUE"""),"null")</f>
        <v>null</v>
      </c>
      <c r="X4266" s="33">
        <f>IFERROR(__xludf.DUMMYFUNCTION("""COMPUTED_VALUE"""),0.5)</f>
        <v>0.5</v>
      </c>
    </row>
    <row r="4267">
      <c r="K4267" s="4" t="str">
        <f>IFERROR(__xludf.DUMMYFUNCTION("""COMPUTED_VALUE"""),"CAPITAO SUSHI")</f>
        <v>CAPITAO SUSHI</v>
      </c>
      <c r="L4267" s="32">
        <f>IFERROR(__xludf.DUMMYFUNCTION("""COMPUTED_VALUE"""),2.0)</f>
        <v>2</v>
      </c>
      <c r="M4267" s="4" t="str">
        <f>IFERROR(__xludf.DUMMYFUNCTION("""COMPUTED_VALUE"""),"Saipos Serviços De Software")</f>
        <v>Saipos Serviços De Software</v>
      </c>
      <c r="N4267" s="33">
        <f>IFERROR(__xludf.DUMMYFUNCTION("""COMPUTED_VALUE"""),1.0)</f>
        <v>1</v>
      </c>
      <c r="O4267" s="4" t="str">
        <f>IFERROR(__xludf.DUMMYFUNCTION("""COMPUTED_VALUE"""),"Saipos Serviços De Software")</f>
        <v>Saipos Serviços De Software</v>
      </c>
      <c r="P4267" s="33">
        <f>IFERROR(__xludf.DUMMYFUNCTION("""COMPUTED_VALUE"""),1.0)</f>
        <v>1</v>
      </c>
      <c r="Q4267" s="4" t="str">
        <f>IFERROR(__xludf.DUMMYFUNCTION("""COMPUTED_VALUE"""),"Saipos Serviços De Software")</f>
        <v>Saipos Serviços De Software</v>
      </c>
      <c r="R4267" s="33">
        <f>IFERROR(__xludf.DUMMYFUNCTION("""COMPUTED_VALUE"""),1.0)</f>
        <v>1</v>
      </c>
      <c r="S4267" s="4" t="str">
        <f>IFERROR(__xludf.DUMMYFUNCTION("""COMPUTED_VALUE"""),"Saipos Serviços De Software")</f>
        <v>Saipos Serviços De Software</v>
      </c>
      <c r="T4267" s="33">
        <f>IFERROR(__xludf.DUMMYFUNCTION("""COMPUTED_VALUE"""),1.0)</f>
        <v>1</v>
      </c>
      <c r="U4267" s="4" t="str">
        <f>IFERROR(__xludf.DUMMYFUNCTION("""COMPUTED_VALUE"""),"Saipos Serviços De Software")</f>
        <v>Saipos Serviços De Software</v>
      </c>
      <c r="V4267" s="33">
        <f>IFERROR(__xludf.DUMMYFUNCTION("""COMPUTED_VALUE"""),1.0)</f>
        <v>1</v>
      </c>
      <c r="W4267" s="4" t="str">
        <f>IFERROR(__xludf.DUMMYFUNCTION("""COMPUTED_VALUE"""),"Saipos Serviços De Software")</f>
        <v>Saipos Serviços De Software</v>
      </c>
      <c r="X4267" s="33">
        <f>IFERROR(__xludf.DUMMYFUNCTION("""COMPUTED_VALUE"""),1.0)</f>
        <v>1</v>
      </c>
    </row>
    <row r="4268">
      <c r="K4268" s="4" t="str">
        <f>IFERROR(__xludf.DUMMYFUNCTION("""COMPUTED_VALUE"""),"MALUHE SALGADOS")</f>
        <v>MALUHE SALGADOS</v>
      </c>
      <c r="L4268" s="32">
        <f>IFERROR(__xludf.DUMMYFUNCTION("""COMPUTED_VALUE"""),2.0)</f>
        <v>2</v>
      </c>
      <c r="M4268" s="4" t="str">
        <f>IFERROR(__xludf.DUMMYFUNCTION("""COMPUTED_VALUE"""),"Diggy")</f>
        <v>Diggy</v>
      </c>
      <c r="N4268" s="33">
        <f>IFERROR(__xludf.DUMMYFUNCTION("""COMPUTED_VALUE"""),1.0)</f>
        <v>1</v>
      </c>
      <c r="O4268" s="4" t="str">
        <f>IFERROR(__xludf.DUMMYFUNCTION("""COMPUTED_VALUE"""),"Diggy")</f>
        <v>Diggy</v>
      </c>
      <c r="P4268" s="33">
        <f>IFERROR(__xludf.DUMMYFUNCTION("""COMPUTED_VALUE"""),1.0)</f>
        <v>1</v>
      </c>
      <c r="Q4268" s="4" t="str">
        <f>IFERROR(__xludf.DUMMYFUNCTION("""COMPUTED_VALUE"""),"Diggy")</f>
        <v>Diggy</v>
      </c>
      <c r="R4268" s="33">
        <f>IFERROR(__xludf.DUMMYFUNCTION("""COMPUTED_VALUE"""),1.0)</f>
        <v>1</v>
      </c>
      <c r="S4268" s="4" t="str">
        <f>IFERROR(__xludf.DUMMYFUNCTION("""COMPUTED_VALUE"""),"Diggy")</f>
        <v>Diggy</v>
      </c>
      <c r="T4268" s="33">
        <f>IFERROR(__xludf.DUMMYFUNCTION("""COMPUTED_VALUE"""),1.0)</f>
        <v>1</v>
      </c>
      <c r="U4268" s="4" t="str">
        <f>IFERROR(__xludf.DUMMYFUNCTION("""COMPUTED_VALUE"""),"Diggy")</f>
        <v>Diggy</v>
      </c>
      <c r="V4268" s="33">
        <f>IFERROR(__xludf.DUMMYFUNCTION("""COMPUTED_VALUE"""),1.0)</f>
        <v>1</v>
      </c>
      <c r="W4268" s="4" t="str">
        <f>IFERROR(__xludf.DUMMYFUNCTION("""COMPUTED_VALUE"""),"Diggy")</f>
        <v>Diggy</v>
      </c>
      <c r="X4268" s="33">
        <f>IFERROR(__xludf.DUMMYFUNCTION("""COMPUTED_VALUE"""),1.0)</f>
        <v>1</v>
      </c>
    </row>
    <row r="4269">
      <c r="K4269" s="4" t="str">
        <f>IFERROR(__xludf.DUMMYFUNCTION("""COMPUTED_VALUE"""),"PIZZARIA A PREFERIDA")</f>
        <v>PIZZARIA A PREFERIDA</v>
      </c>
      <c r="L4269" s="32">
        <f>IFERROR(__xludf.DUMMYFUNCTION("""COMPUTED_VALUE"""),2.0)</f>
        <v>2</v>
      </c>
      <c r="M4269" s="4" t="str">
        <f>IFERROR(__xludf.DUMMYFUNCTION("""COMPUTED_VALUE"""),"Saipos Serviços De Software")</f>
        <v>Saipos Serviços De Software</v>
      </c>
      <c r="N4269" s="33">
        <f>IFERROR(__xludf.DUMMYFUNCTION("""COMPUTED_VALUE"""),1.0)</f>
        <v>1</v>
      </c>
      <c r="O4269" s="4" t="str">
        <f>IFERROR(__xludf.DUMMYFUNCTION("""COMPUTED_VALUE"""),"Saipos Serviços De Software")</f>
        <v>Saipos Serviços De Software</v>
      </c>
      <c r="P4269" s="33">
        <f>IFERROR(__xludf.DUMMYFUNCTION("""COMPUTED_VALUE"""),1.0)</f>
        <v>1</v>
      </c>
      <c r="Q4269" s="4" t="str">
        <f>IFERROR(__xludf.DUMMYFUNCTION("""COMPUTED_VALUE"""),"Saipos Serviços De Software")</f>
        <v>Saipos Serviços De Software</v>
      </c>
      <c r="R4269" s="33">
        <f>IFERROR(__xludf.DUMMYFUNCTION("""COMPUTED_VALUE"""),1.0)</f>
        <v>1</v>
      </c>
      <c r="S4269" s="4" t="str">
        <f>IFERROR(__xludf.DUMMYFUNCTION("""COMPUTED_VALUE"""),"Saipos Serviços De Software")</f>
        <v>Saipos Serviços De Software</v>
      </c>
      <c r="T4269" s="33">
        <f>IFERROR(__xludf.DUMMYFUNCTION("""COMPUTED_VALUE"""),1.0)</f>
        <v>1</v>
      </c>
      <c r="U4269" s="4" t="str">
        <f>IFERROR(__xludf.DUMMYFUNCTION("""COMPUTED_VALUE"""),"Saipos Serviços De Software")</f>
        <v>Saipos Serviços De Software</v>
      </c>
      <c r="V4269" s="33">
        <f>IFERROR(__xludf.DUMMYFUNCTION("""COMPUTED_VALUE"""),1.0)</f>
        <v>1</v>
      </c>
      <c r="W4269" s="4" t="str">
        <f>IFERROR(__xludf.DUMMYFUNCTION("""COMPUTED_VALUE"""),"Saipos Serviços De Software")</f>
        <v>Saipos Serviços De Software</v>
      </c>
      <c r="X4269" s="33">
        <f>IFERROR(__xludf.DUMMYFUNCTION("""COMPUTED_VALUE"""),1.0)</f>
        <v>1</v>
      </c>
    </row>
    <row r="4270">
      <c r="K4270" s="4" t="str">
        <f>IFERROR(__xludf.DUMMYFUNCTION("""COMPUTED_VALUE"""),"DROGARIA MAIS FARMA")</f>
        <v>DROGARIA MAIS FARMA</v>
      </c>
      <c r="L4270" s="32">
        <f>IFERROR(__xludf.DUMMYFUNCTION("""COMPUTED_VALUE"""),2.0)</f>
        <v>2</v>
      </c>
      <c r="M4270" s="4" t="str">
        <f>IFERROR(__xludf.DUMMYFUNCTION("""COMPUTED_VALUE"""),"N/A (Not found)")</f>
        <v>N/A (Not found)</v>
      </c>
      <c r="N4270" s="33">
        <f>IFERROR(__xludf.DUMMYFUNCTION("""COMPUTED_VALUE"""),1.0)</f>
        <v>1</v>
      </c>
      <c r="O4270" s="4" t="str">
        <f>IFERROR(__xludf.DUMMYFUNCTION("""COMPUTED_VALUE"""),"N/A (Not found)")</f>
        <v>N/A (Not found)</v>
      </c>
      <c r="P4270" s="33">
        <f>IFERROR(__xludf.DUMMYFUNCTION("""COMPUTED_VALUE"""),1.0)</f>
        <v>1</v>
      </c>
      <c r="Q4270" s="4" t="str">
        <f>IFERROR(__xludf.DUMMYFUNCTION("""COMPUTED_VALUE"""),"N/A (Not found)")</f>
        <v>N/A (Not found)</v>
      </c>
      <c r="R4270" s="33">
        <f>IFERROR(__xludf.DUMMYFUNCTION("""COMPUTED_VALUE"""),0.5)</f>
        <v>0.5</v>
      </c>
      <c r="S4270" s="4" t="str">
        <f>IFERROR(__xludf.DUMMYFUNCTION("""COMPUTED_VALUE"""),"N/A (Not found)")</f>
        <v>N/A (Not found)</v>
      </c>
      <c r="T4270" s="33">
        <f>IFERROR(__xludf.DUMMYFUNCTION("""COMPUTED_VALUE"""),0.5)</f>
        <v>0.5</v>
      </c>
      <c r="U4270" s="4" t="str">
        <f>IFERROR(__xludf.DUMMYFUNCTION("""COMPUTED_VALUE"""),"N/A (Not found)")</f>
        <v>N/A (Not found)</v>
      </c>
      <c r="V4270" s="33">
        <f>IFERROR(__xludf.DUMMYFUNCTION("""COMPUTED_VALUE"""),0.5)</f>
        <v>0.5</v>
      </c>
      <c r="W4270" s="4" t="str">
        <f>IFERROR(__xludf.DUMMYFUNCTION("""COMPUTED_VALUE"""),"N/A (Not found)")</f>
        <v>N/A (Not found)</v>
      </c>
      <c r="X4270" s="33">
        <f>IFERROR(__xludf.DUMMYFUNCTION("""COMPUTED_VALUE"""),0.5)</f>
        <v>0.5</v>
      </c>
    </row>
    <row r="4271">
      <c r="K4271" s="4" t="str">
        <f>IFERROR(__xludf.DUMMYFUNCTION("""COMPUTED_VALUE"""),"GRAN BURGER")</f>
        <v>GRAN BURGER</v>
      </c>
      <c r="L4271" s="32">
        <f>IFERROR(__xludf.DUMMYFUNCTION("""COMPUTED_VALUE"""),2.0)</f>
        <v>2</v>
      </c>
      <c r="M4271" s="4" t="str">
        <f>IFERROR(__xludf.DUMMYFUNCTION("""COMPUTED_VALUE"""),"Saipos Serviços De Software")</f>
        <v>Saipos Serviços De Software</v>
      </c>
      <c r="N4271" s="33">
        <f>IFERROR(__xludf.DUMMYFUNCTION("""COMPUTED_VALUE"""),0.5)</f>
        <v>0.5</v>
      </c>
      <c r="O4271" s="4" t="str">
        <f>IFERROR(__xludf.DUMMYFUNCTION("""COMPUTED_VALUE"""),"Saipos Serviços De Software")</f>
        <v>Saipos Serviços De Software</v>
      </c>
      <c r="P4271" s="33">
        <f>IFERROR(__xludf.DUMMYFUNCTION("""COMPUTED_VALUE"""),0.5)</f>
        <v>0.5</v>
      </c>
      <c r="Q4271" s="4" t="str">
        <f>IFERROR(__xludf.DUMMYFUNCTION("""COMPUTED_VALUE"""),"Saipos Serviços De Software")</f>
        <v>Saipos Serviços De Software</v>
      </c>
      <c r="R4271" s="33">
        <f>IFERROR(__xludf.DUMMYFUNCTION("""COMPUTED_VALUE"""),0.5)</f>
        <v>0.5</v>
      </c>
      <c r="S4271" s="4" t="str">
        <f>IFERROR(__xludf.DUMMYFUNCTION("""COMPUTED_VALUE"""),"Saipos Serviços De Software")</f>
        <v>Saipos Serviços De Software</v>
      </c>
      <c r="T4271" s="33">
        <f>IFERROR(__xludf.DUMMYFUNCTION("""COMPUTED_VALUE"""),0.5)</f>
        <v>0.5</v>
      </c>
      <c r="U4271" s="4" t="str">
        <f>IFERROR(__xludf.DUMMYFUNCTION("""COMPUTED_VALUE"""),"Saipos Serviços De Software")</f>
        <v>Saipos Serviços De Software</v>
      </c>
      <c r="V4271" s="33">
        <f>IFERROR(__xludf.DUMMYFUNCTION("""COMPUTED_VALUE"""),0.5)</f>
        <v>0.5</v>
      </c>
      <c r="W4271" s="4" t="str">
        <f>IFERROR(__xludf.DUMMYFUNCTION("""COMPUTED_VALUE"""),"Saipos Serviços De Software")</f>
        <v>Saipos Serviços De Software</v>
      </c>
      <c r="X4271" s="33">
        <f>IFERROR(__xludf.DUMMYFUNCTION("""COMPUTED_VALUE"""),0.5)</f>
        <v>0.5</v>
      </c>
    </row>
    <row r="4272">
      <c r="K4272" s="4" t="str">
        <f>IFERROR(__xludf.DUMMYFUNCTION("""COMPUTED_VALUE"""),"ADEGA IMPERIAL")</f>
        <v>ADEGA IMPERIAL</v>
      </c>
      <c r="L4272" s="32">
        <f>IFERROR(__xludf.DUMMYFUNCTION("""COMPUTED_VALUE"""),2.0)</f>
        <v>2</v>
      </c>
      <c r="M4272" s="4" t="str">
        <f>IFERROR(__xludf.DUMMYFUNCTION("""COMPUTED_VALUE"""),"null")</f>
        <v>null</v>
      </c>
      <c r="N4272" s="33">
        <f>IFERROR(__xludf.DUMMYFUNCTION("""COMPUTED_VALUE"""),1.0)</f>
        <v>1</v>
      </c>
      <c r="O4272" s="4" t="str">
        <f>IFERROR(__xludf.DUMMYFUNCTION("""COMPUTED_VALUE"""),"null")</f>
        <v>null</v>
      </c>
      <c r="P4272" s="33">
        <f>IFERROR(__xludf.DUMMYFUNCTION("""COMPUTED_VALUE"""),1.0)</f>
        <v>1</v>
      </c>
      <c r="Q4272" s="4" t="str">
        <f>IFERROR(__xludf.DUMMYFUNCTION("""COMPUTED_VALUE"""),"null")</f>
        <v>null</v>
      </c>
      <c r="R4272" s="33">
        <f>IFERROR(__xludf.DUMMYFUNCTION("""COMPUTED_VALUE"""),1.0)</f>
        <v>1</v>
      </c>
      <c r="S4272" s="4" t="str">
        <f>IFERROR(__xludf.DUMMYFUNCTION("""COMPUTED_VALUE"""),"Cardápio Web")</f>
        <v>Cardápio Web</v>
      </c>
      <c r="T4272" s="33">
        <f>IFERROR(__xludf.DUMMYFUNCTION("""COMPUTED_VALUE"""),0.5)</f>
        <v>0.5</v>
      </c>
      <c r="U4272" s="4" t="str">
        <f>IFERROR(__xludf.DUMMYFUNCTION("""COMPUTED_VALUE"""),"Cardápio Web")</f>
        <v>Cardápio Web</v>
      </c>
      <c r="V4272" s="33">
        <f>IFERROR(__xludf.DUMMYFUNCTION("""COMPUTED_VALUE"""),0.5)</f>
        <v>0.5</v>
      </c>
      <c r="W4272" s="4" t="str">
        <f>IFERROR(__xludf.DUMMYFUNCTION("""COMPUTED_VALUE"""),"Cardápio Web")</f>
        <v>Cardápio Web</v>
      </c>
      <c r="X4272" s="33">
        <f>IFERROR(__xludf.DUMMYFUNCTION("""COMPUTED_VALUE"""),0.5)</f>
        <v>0.5</v>
      </c>
    </row>
    <row r="4273">
      <c r="K4273" s="4" t="str">
        <f>IFERROR(__xludf.DUMMYFUNCTION("""COMPUTED_VALUE"""),"PIZZARIA EL SHADAY")</f>
        <v>PIZZARIA EL SHADAY</v>
      </c>
      <c r="L4273" s="32">
        <f>IFERROR(__xludf.DUMMYFUNCTION("""COMPUTED_VALUE"""),2.0)</f>
        <v>2</v>
      </c>
      <c r="M4273" s="4" t="str">
        <f>IFERROR(__xludf.DUMMYFUNCTION("""COMPUTED_VALUE"""),"null")</f>
        <v>null</v>
      </c>
      <c r="N4273" s="33">
        <f>IFERROR(__xludf.DUMMYFUNCTION("""COMPUTED_VALUE"""),0.5)</f>
        <v>0.5</v>
      </c>
      <c r="O4273" s="4" t="str">
        <f>IFERROR(__xludf.DUMMYFUNCTION("""COMPUTED_VALUE"""),"null")</f>
        <v>null</v>
      </c>
      <c r="P4273" s="33">
        <f>IFERROR(__xludf.DUMMYFUNCTION("""COMPUTED_VALUE"""),0.5)</f>
        <v>0.5</v>
      </c>
      <c r="Q4273" s="4" t="str">
        <f>IFERROR(__xludf.DUMMYFUNCTION("""COMPUTED_VALUE"""),"null")</f>
        <v>null</v>
      </c>
      <c r="R4273" s="33">
        <f>IFERROR(__xludf.DUMMYFUNCTION("""COMPUTED_VALUE"""),0.5)</f>
        <v>0.5</v>
      </c>
      <c r="S4273" s="4" t="str">
        <f>IFERROR(__xludf.DUMMYFUNCTION("""COMPUTED_VALUE"""),"Brendi")</f>
        <v>Brendi</v>
      </c>
      <c r="T4273" s="33">
        <f>IFERROR(__xludf.DUMMYFUNCTION("""COMPUTED_VALUE"""),0.5)</f>
        <v>0.5</v>
      </c>
      <c r="U4273" s="4" t="str">
        <f>IFERROR(__xludf.DUMMYFUNCTION("""COMPUTED_VALUE"""),"No Mercado Representacoes Ltda")</f>
        <v>No Mercado Representacoes Ltda</v>
      </c>
      <c r="V4273" s="33">
        <f>IFERROR(__xludf.DUMMYFUNCTION("""COMPUTED_VALUE"""),0.5)</f>
        <v>0.5</v>
      </c>
      <c r="W4273" s="4" t="str">
        <f>IFERROR(__xludf.DUMMYFUNCTION("""COMPUTED_VALUE"""),"Beefood - Sistema Para Restaurantes")</f>
        <v>Beefood - Sistema Para Restaurantes</v>
      </c>
      <c r="X4273" s="33">
        <f>IFERROR(__xludf.DUMMYFUNCTION("""COMPUTED_VALUE"""),0.5)</f>
        <v>0.5</v>
      </c>
    </row>
    <row r="4274">
      <c r="K4274" s="4" t="str">
        <f>IFERROR(__xludf.DUMMYFUNCTION("""COMPUTED_VALUE"""),"MURA SUSHI")</f>
        <v>MURA SUSHI</v>
      </c>
      <c r="L4274" s="32">
        <f>IFERROR(__xludf.DUMMYFUNCTION("""COMPUTED_VALUE"""),2.0)</f>
        <v>2</v>
      </c>
      <c r="M4274" s="4" t="str">
        <f>IFERROR(__xludf.DUMMYFUNCTION("""COMPUTED_VALUE"""),"Saipos Serviços De Software")</f>
        <v>Saipos Serviços De Software</v>
      </c>
      <c r="N4274" s="33">
        <f>IFERROR(__xludf.DUMMYFUNCTION("""COMPUTED_VALUE"""),0.5)</f>
        <v>0.5</v>
      </c>
      <c r="O4274" s="4" t="str">
        <f>IFERROR(__xludf.DUMMYFUNCTION("""COMPUTED_VALUE"""),"Saipos Serviços De Software")</f>
        <v>Saipos Serviços De Software</v>
      </c>
      <c r="P4274" s="33">
        <f>IFERROR(__xludf.DUMMYFUNCTION("""COMPUTED_VALUE"""),0.5)</f>
        <v>0.5</v>
      </c>
      <c r="Q4274" s="4" t="str">
        <f>IFERROR(__xludf.DUMMYFUNCTION("""COMPUTED_VALUE"""),"Saipos Serviços De Software")</f>
        <v>Saipos Serviços De Software</v>
      </c>
      <c r="R4274" s="33">
        <f>IFERROR(__xludf.DUMMYFUNCTION("""COMPUTED_VALUE"""),1.0)</f>
        <v>1</v>
      </c>
      <c r="S4274" s="4" t="str">
        <f>IFERROR(__xludf.DUMMYFUNCTION("""COMPUTED_VALUE"""),"Saipos Serviços De Software")</f>
        <v>Saipos Serviços De Software</v>
      </c>
      <c r="T4274" s="33">
        <f>IFERROR(__xludf.DUMMYFUNCTION("""COMPUTED_VALUE"""),1.0)</f>
        <v>1</v>
      </c>
      <c r="U4274" s="4" t="str">
        <f>IFERROR(__xludf.DUMMYFUNCTION("""COMPUTED_VALUE"""),"Saipos Serviços De Software")</f>
        <v>Saipos Serviços De Software</v>
      </c>
      <c r="V4274" s="33">
        <f>IFERROR(__xludf.DUMMYFUNCTION("""COMPUTED_VALUE"""),1.0)</f>
        <v>1</v>
      </c>
      <c r="W4274" s="4" t="str">
        <f>IFERROR(__xludf.DUMMYFUNCTION("""COMPUTED_VALUE"""),"Saipos Serviços De Software")</f>
        <v>Saipos Serviços De Software</v>
      </c>
      <c r="X4274" s="33">
        <f>IFERROR(__xludf.DUMMYFUNCTION("""COMPUTED_VALUE"""),1.0)</f>
        <v>1</v>
      </c>
    </row>
    <row r="4275">
      <c r="K4275" s="4" t="str">
        <f>IFERROR(__xludf.DUMMYFUNCTION("""COMPUTED_VALUE"""),"ESFIHARIA DO CHAVES")</f>
        <v>ESFIHARIA DO CHAVES</v>
      </c>
      <c r="L4275" s="32">
        <f>IFERROR(__xludf.DUMMYFUNCTION("""COMPUTED_VALUE"""),2.0)</f>
        <v>2</v>
      </c>
      <c r="M4275" s="4" t="str">
        <f>IFERROR(__xludf.DUMMYFUNCTION("""COMPUTED_VALUE"""),"null")</f>
        <v>null</v>
      </c>
      <c r="N4275" s="33">
        <f>IFERROR(__xludf.DUMMYFUNCTION("""COMPUTED_VALUE"""),0.5)</f>
        <v>0.5</v>
      </c>
      <c r="O4275" s="4" t="str">
        <f>IFERROR(__xludf.DUMMYFUNCTION("""COMPUTED_VALUE"""),"Saipos Serviços De Software")</f>
        <v>Saipos Serviços De Software</v>
      </c>
      <c r="P4275" s="33">
        <f>IFERROR(__xludf.DUMMYFUNCTION("""COMPUTED_VALUE"""),1.0)</f>
        <v>1</v>
      </c>
      <c r="Q4275" s="4" t="str">
        <f>IFERROR(__xludf.DUMMYFUNCTION("""COMPUTED_VALUE"""),"Saipos Serviços De Software")</f>
        <v>Saipos Serviços De Software</v>
      </c>
      <c r="R4275" s="33">
        <f>IFERROR(__xludf.DUMMYFUNCTION("""COMPUTED_VALUE"""),1.0)</f>
        <v>1</v>
      </c>
      <c r="S4275" s="4" t="str">
        <f>IFERROR(__xludf.DUMMYFUNCTION("""COMPUTED_VALUE"""),"Saipos Serviços De Software")</f>
        <v>Saipos Serviços De Software</v>
      </c>
      <c r="T4275" s="33">
        <f>IFERROR(__xludf.DUMMYFUNCTION("""COMPUTED_VALUE"""),1.0)</f>
        <v>1</v>
      </c>
      <c r="U4275" s="4" t="str">
        <f>IFERROR(__xludf.DUMMYFUNCTION("""COMPUTED_VALUE"""),"null")</f>
        <v>null</v>
      </c>
      <c r="V4275" s="33">
        <f>IFERROR(__xludf.DUMMYFUNCTION("""COMPUTED_VALUE"""),0.5)</f>
        <v>0.5</v>
      </c>
      <c r="W4275" s="4" t="str">
        <f>IFERROR(__xludf.DUMMYFUNCTION("""COMPUTED_VALUE"""),"Saipos Serviços De Software")</f>
        <v>Saipos Serviços De Software</v>
      </c>
      <c r="X4275" s="33">
        <f>IFERROR(__xludf.DUMMYFUNCTION("""COMPUTED_VALUE"""),1.0)</f>
        <v>1</v>
      </c>
    </row>
    <row r="4276">
      <c r="K4276" s="4" t="str">
        <f>IFERROR(__xludf.DUMMYFUNCTION("""COMPUTED_VALUE"""),"FARMACIA POPULAR DO BRASIL")</f>
        <v>FARMACIA POPULAR DO BRASIL</v>
      </c>
      <c r="L4276" s="32">
        <f>IFERROR(__xludf.DUMMYFUNCTION("""COMPUTED_VALUE"""),2.0)</f>
        <v>2</v>
      </c>
      <c r="M4276" s="4" t="str">
        <f>IFERROR(__xludf.DUMMYFUNCTION("""COMPUTED_VALUE"""),"null")</f>
        <v>null</v>
      </c>
      <c r="N4276" s="33">
        <f>IFERROR(__xludf.DUMMYFUNCTION("""COMPUTED_VALUE"""),0.5)</f>
        <v>0.5</v>
      </c>
      <c r="O4276" s="4" t="str">
        <f>IFERROR(__xludf.DUMMYFUNCTION("""COMPUTED_VALUE"""),"N/A (Not found)")</f>
        <v>N/A (Not found)</v>
      </c>
      <c r="P4276" s="33">
        <f>IFERROR(__xludf.DUMMYFUNCTION("""COMPUTED_VALUE"""),1.0)</f>
        <v>1</v>
      </c>
      <c r="Q4276" s="4" t="str">
        <f>IFERROR(__xludf.DUMMYFUNCTION("""COMPUTED_VALUE"""),"N/A (Not found)")</f>
        <v>N/A (Not found)</v>
      </c>
      <c r="R4276" s="33">
        <f>IFERROR(__xludf.DUMMYFUNCTION("""COMPUTED_VALUE"""),1.0)</f>
        <v>1</v>
      </c>
      <c r="S4276" s="4" t="str">
        <f>IFERROR(__xludf.DUMMYFUNCTION("""COMPUTED_VALUE"""),"N/A (Not found)")</f>
        <v>N/A (Not found)</v>
      </c>
      <c r="T4276" s="33">
        <f>IFERROR(__xludf.DUMMYFUNCTION("""COMPUTED_VALUE"""),1.0)</f>
        <v>1</v>
      </c>
      <c r="U4276" s="4" t="str">
        <f>IFERROR(__xludf.DUMMYFUNCTION("""COMPUTED_VALUE"""),"N/A (Not found)")</f>
        <v>N/A (Not found)</v>
      </c>
      <c r="V4276" s="33">
        <f>IFERROR(__xludf.DUMMYFUNCTION("""COMPUTED_VALUE"""),1.0)</f>
        <v>1</v>
      </c>
      <c r="W4276" s="4" t="str">
        <f>IFERROR(__xludf.DUMMYFUNCTION("""COMPUTED_VALUE"""),"N/A (Not found)")</f>
        <v>N/A (Not found)</v>
      </c>
      <c r="X4276" s="33">
        <f>IFERROR(__xludf.DUMMYFUNCTION("""COMPUTED_VALUE"""),1.0)</f>
        <v>1</v>
      </c>
    </row>
    <row r="4277">
      <c r="K4277" s="4" t="str">
        <f>IFERROR(__xludf.DUMMYFUNCTION("""COMPUTED_VALUE"""),"ODETTE FARMA")</f>
        <v>ODETTE FARMA</v>
      </c>
      <c r="L4277" s="32">
        <f>IFERROR(__xludf.DUMMYFUNCTION("""COMPUTED_VALUE"""),2.0)</f>
        <v>2</v>
      </c>
      <c r="M4277" s="4" t="str">
        <f>IFERROR(__xludf.DUMMYFUNCTION("""COMPUTED_VALUE"""),"N/A (Not found)")</f>
        <v>N/A (Not found)</v>
      </c>
      <c r="N4277" s="33">
        <f>IFERROR(__xludf.DUMMYFUNCTION("""COMPUTED_VALUE"""),1.0)</f>
        <v>1</v>
      </c>
      <c r="O4277" s="4" t="str">
        <f>IFERROR(__xludf.DUMMYFUNCTION("""COMPUTED_VALUE"""),"N/A (Not found)")</f>
        <v>N/A (Not found)</v>
      </c>
      <c r="P4277" s="33">
        <f>IFERROR(__xludf.DUMMYFUNCTION("""COMPUTED_VALUE"""),1.0)</f>
        <v>1</v>
      </c>
      <c r="Q4277" s="4" t="str">
        <f>IFERROR(__xludf.DUMMYFUNCTION("""COMPUTED_VALUE"""),"N/A (Not found)")</f>
        <v>N/A (Not found)</v>
      </c>
      <c r="R4277" s="33">
        <f>IFERROR(__xludf.DUMMYFUNCTION("""COMPUTED_VALUE"""),0.5)</f>
        <v>0.5</v>
      </c>
      <c r="S4277" s="4" t="str">
        <f>IFERROR(__xludf.DUMMYFUNCTION("""COMPUTED_VALUE"""),"N/A (Not found)")</f>
        <v>N/A (Not found)</v>
      </c>
      <c r="T4277" s="33">
        <f>IFERROR(__xludf.DUMMYFUNCTION("""COMPUTED_VALUE"""),0.5)</f>
        <v>0.5</v>
      </c>
      <c r="U4277" s="4" t="str">
        <f>IFERROR(__xludf.DUMMYFUNCTION("""COMPUTED_VALUE"""),"N/A (Not found)")</f>
        <v>N/A (Not found)</v>
      </c>
      <c r="V4277" s="33">
        <f>IFERROR(__xludf.DUMMYFUNCTION("""COMPUTED_VALUE"""),0.5)</f>
        <v>0.5</v>
      </c>
      <c r="W4277" s="4" t="str">
        <f>IFERROR(__xludf.DUMMYFUNCTION("""COMPUTED_VALUE"""),"N/A (Not found)")</f>
        <v>N/A (Not found)</v>
      </c>
      <c r="X4277" s="33">
        <f>IFERROR(__xludf.DUMMYFUNCTION("""COMPUTED_VALUE"""),0.5)</f>
        <v>0.5</v>
      </c>
    </row>
    <row r="4278">
      <c r="K4278" s="4" t="str">
        <f>IFERROR(__xludf.DUMMYFUNCTION("""COMPUTED_VALUE"""),"BATATA RECHEADA DA VOVO")</f>
        <v>BATATA RECHEADA DA VOVO</v>
      </c>
      <c r="L4278" s="32">
        <f>IFERROR(__xludf.DUMMYFUNCTION("""COMPUTED_VALUE"""),2.0)</f>
        <v>2</v>
      </c>
      <c r="M4278" s="4" t="str">
        <f>IFERROR(__xludf.DUMMYFUNCTION("""COMPUTED_VALUE"""),"Brendi")</f>
        <v>Brendi</v>
      </c>
      <c r="N4278" s="33">
        <f>IFERROR(__xludf.DUMMYFUNCTION("""COMPUTED_VALUE"""),0.5)</f>
        <v>0.5</v>
      </c>
      <c r="O4278" s="4" t="str">
        <f>IFERROR(__xludf.DUMMYFUNCTION("""COMPUTED_VALUE"""),"Brendi")</f>
        <v>Brendi</v>
      </c>
      <c r="P4278" s="33">
        <f>IFERROR(__xludf.DUMMYFUNCTION("""COMPUTED_VALUE"""),0.5)</f>
        <v>0.5</v>
      </c>
      <c r="Q4278" s="4" t="str">
        <f>IFERROR(__xludf.DUMMYFUNCTION("""COMPUTED_VALUE"""),"Brendi")</f>
        <v>Brendi</v>
      </c>
      <c r="R4278" s="33">
        <f>IFERROR(__xludf.DUMMYFUNCTION("""COMPUTED_VALUE"""),0.5)</f>
        <v>0.5</v>
      </c>
      <c r="S4278" s="4" t="str">
        <f>IFERROR(__xludf.DUMMYFUNCTION("""COMPUTED_VALUE"""),"Brendi")</f>
        <v>Brendi</v>
      </c>
      <c r="T4278" s="33">
        <f>IFERROR(__xludf.DUMMYFUNCTION("""COMPUTED_VALUE"""),0.5)</f>
        <v>0.5</v>
      </c>
      <c r="U4278" s="4" t="str">
        <f>IFERROR(__xludf.DUMMYFUNCTION("""COMPUTED_VALUE"""),"null")</f>
        <v>null</v>
      </c>
      <c r="V4278" s="33">
        <f>IFERROR(__xludf.DUMMYFUNCTION("""COMPUTED_VALUE"""),0.5)</f>
        <v>0.5</v>
      </c>
      <c r="W4278" s="4" t="str">
        <f>IFERROR(__xludf.DUMMYFUNCTION("""COMPUTED_VALUE"""),"null")</f>
        <v>null</v>
      </c>
      <c r="X4278" s="33">
        <f>IFERROR(__xludf.DUMMYFUNCTION("""COMPUTED_VALUE"""),0.5)</f>
        <v>0.5</v>
      </c>
    </row>
    <row r="4279">
      <c r="K4279" s="4" t="str">
        <f>IFERROR(__xludf.DUMMYFUNCTION("""COMPUTED_VALUE"""),"UNIVERSO ACAI")</f>
        <v>UNIVERSO ACAI</v>
      </c>
      <c r="L4279" s="32">
        <f>IFERROR(__xludf.DUMMYFUNCTION("""COMPUTED_VALUE"""),2.0)</f>
        <v>2</v>
      </c>
      <c r="M4279" s="4" t="str">
        <f>IFERROR(__xludf.DUMMYFUNCTION("""COMPUTED_VALUE"""),"Instadelivery")</f>
        <v>Instadelivery</v>
      </c>
      <c r="N4279" s="33">
        <f>IFERROR(__xludf.DUMMYFUNCTION("""COMPUTED_VALUE"""),0.5)</f>
        <v>0.5</v>
      </c>
      <c r="O4279" s="4" t="str">
        <f>IFERROR(__xludf.DUMMYFUNCTION("""COMPUTED_VALUE"""),"null")</f>
        <v>null</v>
      </c>
      <c r="P4279" s="33">
        <f>IFERROR(__xludf.DUMMYFUNCTION("""COMPUTED_VALUE"""),0.5)</f>
        <v>0.5</v>
      </c>
      <c r="Q4279" s="4" t="str">
        <f>IFERROR(__xludf.DUMMYFUNCTION("""COMPUTED_VALUE"""),"null")</f>
        <v>null</v>
      </c>
      <c r="R4279" s="33">
        <f>IFERROR(__xludf.DUMMYFUNCTION("""COMPUTED_VALUE"""),1.0)</f>
        <v>1</v>
      </c>
      <c r="S4279" s="4" t="str">
        <f>IFERROR(__xludf.DUMMYFUNCTION("""COMPUTED_VALUE"""),"null")</f>
        <v>null</v>
      </c>
      <c r="T4279" s="33">
        <f>IFERROR(__xludf.DUMMYFUNCTION("""COMPUTED_VALUE"""),1.0)</f>
        <v>1</v>
      </c>
      <c r="U4279" s="4" t="str">
        <f>IFERROR(__xludf.DUMMYFUNCTION("""COMPUTED_VALUE"""),"null")</f>
        <v>null</v>
      </c>
      <c r="V4279" s="33">
        <f>IFERROR(__xludf.DUMMYFUNCTION("""COMPUTED_VALUE"""),1.0)</f>
        <v>1</v>
      </c>
      <c r="W4279" s="4" t="str">
        <f>IFERROR(__xludf.DUMMYFUNCTION("""COMPUTED_VALUE"""),"null")</f>
        <v>null</v>
      </c>
      <c r="X4279" s="33">
        <f>IFERROR(__xludf.DUMMYFUNCTION("""COMPUTED_VALUE"""),1.0)</f>
        <v>1</v>
      </c>
    </row>
    <row r="4280">
      <c r="K4280" s="4" t="str">
        <f>IFERROR(__xludf.DUMMYFUNCTION("""COMPUTED_VALUE"""),"MERCADO PET")</f>
        <v>MERCADO PET</v>
      </c>
      <c r="L4280" s="32">
        <f>IFERROR(__xludf.DUMMYFUNCTION("""COMPUTED_VALUE"""),2.0)</f>
        <v>2</v>
      </c>
      <c r="M4280" s="4" t="str">
        <f>IFERROR(__xludf.DUMMYFUNCTION("""COMPUTED_VALUE"""),"null")</f>
        <v>null</v>
      </c>
      <c r="N4280" s="33">
        <f>IFERROR(__xludf.DUMMYFUNCTION("""COMPUTED_VALUE"""),0.5)</f>
        <v>0.5</v>
      </c>
      <c r="O4280" s="4" t="str">
        <f>IFERROR(__xludf.DUMMYFUNCTION("""COMPUTED_VALUE"""),"null")</f>
        <v>null</v>
      </c>
      <c r="P4280" s="33">
        <f>IFERROR(__xludf.DUMMYFUNCTION("""COMPUTED_VALUE"""),0.5)</f>
        <v>0.5</v>
      </c>
      <c r="Q4280" s="4" t="str">
        <f>IFERROR(__xludf.DUMMYFUNCTION("""COMPUTED_VALUE"""),"N/A (Not found)")</f>
        <v>N/A (Not found)</v>
      </c>
      <c r="R4280" s="33">
        <f>IFERROR(__xludf.DUMMYFUNCTION("""COMPUTED_VALUE"""),1.0)</f>
        <v>1</v>
      </c>
      <c r="S4280" s="4" t="str">
        <f>IFERROR(__xludf.DUMMYFUNCTION("""COMPUTED_VALUE"""),"N/A (Not found)")</f>
        <v>N/A (Not found)</v>
      </c>
      <c r="T4280" s="33">
        <f>IFERROR(__xludf.DUMMYFUNCTION("""COMPUTED_VALUE"""),1.0)</f>
        <v>1</v>
      </c>
      <c r="U4280" s="4" t="str">
        <f>IFERROR(__xludf.DUMMYFUNCTION("""COMPUTED_VALUE"""),"N/A (Not found)")</f>
        <v>N/A (Not found)</v>
      </c>
      <c r="V4280" s="33">
        <f>IFERROR(__xludf.DUMMYFUNCTION("""COMPUTED_VALUE"""),1.0)</f>
        <v>1</v>
      </c>
      <c r="W4280" s="4" t="str">
        <f>IFERROR(__xludf.DUMMYFUNCTION("""COMPUTED_VALUE"""),"null")</f>
        <v>null</v>
      </c>
      <c r="X4280" s="33">
        <f>IFERROR(__xludf.DUMMYFUNCTION("""COMPUTED_VALUE"""),0.5)</f>
        <v>0.5</v>
      </c>
    </row>
    <row r="4281">
      <c r="K4281" s="4" t="str">
        <f>IFERROR(__xludf.DUMMYFUNCTION("""COMPUTED_VALUE"""),"G BURGUER")</f>
        <v>G BURGUER</v>
      </c>
      <c r="L4281" s="32">
        <f>IFERROR(__xludf.DUMMYFUNCTION("""COMPUTED_VALUE"""),2.0)</f>
        <v>2</v>
      </c>
      <c r="M4281" s="4" t="str">
        <f>IFERROR(__xludf.DUMMYFUNCTION("""COMPUTED_VALUE"""),"Diggy")</f>
        <v>Diggy</v>
      </c>
      <c r="N4281" s="33">
        <f>IFERROR(__xludf.DUMMYFUNCTION("""COMPUTED_VALUE"""),0.5)</f>
        <v>0.5</v>
      </c>
      <c r="O4281" s="4" t="str">
        <f>IFERROR(__xludf.DUMMYFUNCTION("""COMPUTED_VALUE"""),"Diggy")</f>
        <v>Diggy</v>
      </c>
      <c r="P4281" s="33">
        <f>IFERROR(__xludf.DUMMYFUNCTION("""COMPUTED_VALUE"""),0.5)</f>
        <v>0.5</v>
      </c>
      <c r="Q4281" s="4" t="str">
        <f>IFERROR(__xludf.DUMMYFUNCTION("""COMPUTED_VALUE"""),"Diggy")</f>
        <v>Diggy</v>
      </c>
      <c r="R4281" s="33">
        <f>IFERROR(__xludf.DUMMYFUNCTION("""COMPUTED_VALUE"""),0.5)</f>
        <v>0.5</v>
      </c>
      <c r="S4281" s="4" t="str">
        <f>IFERROR(__xludf.DUMMYFUNCTION("""COMPUTED_VALUE"""),"Diggy")</f>
        <v>Diggy</v>
      </c>
      <c r="T4281" s="33">
        <f>IFERROR(__xludf.DUMMYFUNCTION("""COMPUTED_VALUE"""),0.5)</f>
        <v>0.5</v>
      </c>
      <c r="U4281" s="4" t="str">
        <f>IFERROR(__xludf.DUMMYFUNCTION("""COMPUTED_VALUE"""),"Diggy")</f>
        <v>Diggy</v>
      </c>
      <c r="V4281" s="33">
        <f>IFERROR(__xludf.DUMMYFUNCTION("""COMPUTED_VALUE"""),0.5)</f>
        <v>0.5</v>
      </c>
      <c r="W4281" s="4" t="str">
        <f>IFERROR(__xludf.DUMMYFUNCTION("""COMPUTED_VALUE"""),"null")</f>
        <v>null</v>
      </c>
      <c r="X4281" s="33">
        <f>IFERROR(__xludf.DUMMYFUNCTION("""COMPUTED_VALUE"""),0.5)</f>
        <v>0.5</v>
      </c>
    </row>
    <row r="4282">
      <c r="K4282" s="4" t="str">
        <f>IFERROR(__xludf.DUMMYFUNCTION("""COMPUTED_VALUE"""),"ROCKET ACAI")</f>
        <v>ROCKET ACAI</v>
      </c>
      <c r="L4282" s="32">
        <f>IFERROR(__xludf.DUMMYFUNCTION("""COMPUTED_VALUE"""),2.0)</f>
        <v>2</v>
      </c>
      <c r="M4282" s="4" t="str">
        <f>IFERROR(__xludf.DUMMYFUNCTION("""COMPUTED_VALUE"""),"null")</f>
        <v>null</v>
      </c>
      <c r="N4282" s="33">
        <f>IFERROR(__xludf.DUMMYFUNCTION("""COMPUTED_VALUE"""),0.5)</f>
        <v>0.5</v>
      </c>
      <c r="O4282" s="4" t="str">
        <f>IFERROR(__xludf.DUMMYFUNCTION("""COMPUTED_VALUE"""),"Suitable Tecnologia E Gestao")</f>
        <v>Suitable Tecnologia E Gestao</v>
      </c>
      <c r="P4282" s="33">
        <f>IFERROR(__xludf.DUMMYFUNCTION("""COMPUTED_VALUE"""),0.5)</f>
        <v>0.5</v>
      </c>
      <c r="Q4282" s="4" t="str">
        <f>IFERROR(__xludf.DUMMYFUNCTION("""COMPUTED_VALUE"""),"Suitable Tecnologia E Gestao")</f>
        <v>Suitable Tecnologia E Gestao</v>
      </c>
      <c r="R4282" s="33">
        <f>IFERROR(__xludf.DUMMYFUNCTION("""COMPUTED_VALUE"""),0.5)</f>
        <v>0.5</v>
      </c>
      <c r="S4282" s="4" t="str">
        <f>IFERROR(__xludf.DUMMYFUNCTION("""COMPUTED_VALUE"""),"Suitable Tecnologia E Gestao")</f>
        <v>Suitable Tecnologia E Gestao</v>
      </c>
      <c r="T4282" s="33">
        <f>IFERROR(__xludf.DUMMYFUNCTION("""COMPUTED_VALUE"""),0.5)</f>
        <v>0.5</v>
      </c>
      <c r="U4282" s="4" t="str">
        <f>IFERROR(__xludf.DUMMYFUNCTION("""COMPUTED_VALUE"""),"null")</f>
        <v>null</v>
      </c>
      <c r="V4282" s="33">
        <f>IFERROR(__xludf.DUMMYFUNCTION("""COMPUTED_VALUE"""),0.5)</f>
        <v>0.5</v>
      </c>
      <c r="W4282" s="4" t="str">
        <f>IFERROR(__xludf.DUMMYFUNCTION("""COMPUTED_VALUE"""),"null")</f>
        <v>null</v>
      </c>
      <c r="X4282" s="33">
        <f>IFERROR(__xludf.DUMMYFUNCTION("""COMPUTED_VALUE"""),0.5)</f>
        <v>0.5</v>
      </c>
    </row>
    <row r="4283">
      <c r="K4283" s="4" t="str">
        <f>IFERROR(__xludf.DUMMYFUNCTION("""COMPUTED_VALUE"""),"CACHORRO QUENTE PAULISTANO")</f>
        <v>CACHORRO QUENTE PAULISTANO</v>
      </c>
      <c r="L4283" s="32">
        <f>IFERROR(__xludf.DUMMYFUNCTION("""COMPUTED_VALUE"""),2.0)</f>
        <v>2</v>
      </c>
      <c r="M4283" s="4" t="str">
        <f>IFERROR(__xludf.DUMMYFUNCTION("""COMPUTED_VALUE"""),"Saipos Serviços De Software")</f>
        <v>Saipos Serviços De Software</v>
      </c>
      <c r="N4283" s="33">
        <f>IFERROR(__xludf.DUMMYFUNCTION("""COMPUTED_VALUE"""),1.0)</f>
        <v>1</v>
      </c>
      <c r="O4283" s="4" t="str">
        <f>IFERROR(__xludf.DUMMYFUNCTION("""COMPUTED_VALUE"""),"null")</f>
        <v>null</v>
      </c>
      <c r="P4283" s="33">
        <f>IFERROR(__xludf.DUMMYFUNCTION("""COMPUTED_VALUE"""),0.5)</f>
        <v>0.5</v>
      </c>
      <c r="Q4283" s="4" t="str">
        <f>IFERROR(__xludf.DUMMYFUNCTION("""COMPUTED_VALUE"""),"null")</f>
        <v>null</v>
      </c>
      <c r="R4283" s="33">
        <f>IFERROR(__xludf.DUMMYFUNCTION("""COMPUTED_VALUE"""),0.5)</f>
        <v>0.5</v>
      </c>
      <c r="S4283" s="4" t="str">
        <f>IFERROR(__xludf.DUMMYFUNCTION("""COMPUTED_VALUE"""),"null")</f>
        <v>null</v>
      </c>
      <c r="T4283" s="33">
        <f>IFERROR(__xludf.DUMMYFUNCTION("""COMPUTED_VALUE"""),0.5)</f>
        <v>0.5</v>
      </c>
      <c r="U4283" s="4" t="str">
        <f>IFERROR(__xludf.DUMMYFUNCTION("""COMPUTED_VALUE"""),"null")</f>
        <v>null</v>
      </c>
      <c r="V4283" s="33">
        <f>IFERROR(__xludf.DUMMYFUNCTION("""COMPUTED_VALUE"""),0.5)</f>
        <v>0.5</v>
      </c>
      <c r="W4283" s="4" t="str">
        <f>IFERROR(__xludf.DUMMYFUNCTION("""COMPUTED_VALUE"""),"null")</f>
        <v>null</v>
      </c>
      <c r="X4283" s="33">
        <f>IFERROR(__xludf.DUMMYFUNCTION("""COMPUTED_VALUE"""),0.5)</f>
        <v>0.5</v>
      </c>
    </row>
    <row r="4284">
      <c r="K4284" s="4" t="str">
        <f>IFERROR(__xludf.DUMMYFUNCTION("""COMPUTED_VALUE"""),"BL ACAI HOUSE")</f>
        <v>BL ACAI HOUSE</v>
      </c>
      <c r="L4284" s="32">
        <f>IFERROR(__xludf.DUMMYFUNCTION("""COMPUTED_VALUE"""),2.0)</f>
        <v>2</v>
      </c>
      <c r="M4284" s="4" t="str">
        <f>IFERROR(__xludf.DUMMYFUNCTION("""COMPUTED_VALUE"""),"null")</f>
        <v>null</v>
      </c>
      <c r="N4284" s="33">
        <f>IFERROR(__xludf.DUMMYFUNCTION("""COMPUTED_VALUE"""),1.0)</f>
        <v>1</v>
      </c>
      <c r="O4284" s="4" t="str">
        <f>IFERROR(__xludf.DUMMYFUNCTION("""COMPUTED_VALUE"""),"null")</f>
        <v>null</v>
      </c>
      <c r="P4284" s="33">
        <f>IFERROR(__xludf.DUMMYFUNCTION("""COMPUTED_VALUE"""),1.0)</f>
        <v>1</v>
      </c>
      <c r="Q4284" s="4" t="str">
        <f>IFERROR(__xludf.DUMMYFUNCTION("""COMPUTED_VALUE"""),"null")</f>
        <v>null</v>
      </c>
      <c r="R4284" s="33">
        <f>IFERROR(__xludf.DUMMYFUNCTION("""COMPUTED_VALUE"""),1.0)</f>
        <v>1</v>
      </c>
      <c r="S4284" s="4" t="str">
        <f>IFERROR(__xludf.DUMMYFUNCTION("""COMPUTED_VALUE"""),"Brendi")</f>
        <v>Brendi</v>
      </c>
      <c r="T4284" s="33">
        <f>IFERROR(__xludf.DUMMYFUNCTION("""COMPUTED_VALUE"""),1.0)</f>
        <v>1</v>
      </c>
      <c r="U4284" s="4" t="str">
        <f>IFERROR(__xludf.DUMMYFUNCTION("""COMPUTED_VALUE"""),"Brendi")</f>
        <v>Brendi</v>
      </c>
      <c r="V4284" s="33">
        <f>IFERROR(__xludf.DUMMYFUNCTION("""COMPUTED_VALUE"""),1.0)</f>
        <v>1</v>
      </c>
      <c r="W4284" s="4" t="str">
        <f>IFERROR(__xludf.DUMMYFUNCTION("""COMPUTED_VALUE"""),"Brendi")</f>
        <v>Brendi</v>
      </c>
      <c r="X4284" s="33">
        <f>IFERROR(__xludf.DUMMYFUNCTION("""COMPUTED_VALUE"""),1.0)</f>
        <v>1</v>
      </c>
    </row>
    <row r="4285">
      <c r="K4285" s="4" t="str">
        <f>IFERROR(__xludf.DUMMYFUNCTION("""COMPUTED_VALUE"""),"IMPERIO DO FRANGO")</f>
        <v>IMPERIO DO FRANGO</v>
      </c>
      <c r="L4285" s="32">
        <f>IFERROR(__xludf.DUMMYFUNCTION("""COMPUTED_VALUE"""),2.0)</f>
        <v>2</v>
      </c>
      <c r="M4285" s="4" t="str">
        <f>IFERROR(__xludf.DUMMYFUNCTION("""COMPUTED_VALUE"""),"Consumer Soluções Em Tecnologia Ltda")</f>
        <v>Consumer Soluções Em Tecnologia Ltda</v>
      </c>
      <c r="N4285" s="33">
        <f>IFERROR(__xludf.DUMMYFUNCTION("""COMPUTED_VALUE"""),0.5)</f>
        <v>0.5</v>
      </c>
      <c r="O4285" s="4" t="str">
        <f>IFERROR(__xludf.DUMMYFUNCTION("""COMPUTED_VALUE"""),"null")</f>
        <v>null</v>
      </c>
      <c r="P4285" s="33">
        <f>IFERROR(__xludf.DUMMYFUNCTION("""COMPUTED_VALUE"""),0.5)</f>
        <v>0.5</v>
      </c>
      <c r="Q4285" s="4" t="str">
        <f>IFERROR(__xludf.DUMMYFUNCTION("""COMPUTED_VALUE"""),"null")</f>
        <v>null</v>
      </c>
      <c r="R4285" s="33">
        <f>IFERROR(__xludf.DUMMYFUNCTION("""COMPUTED_VALUE"""),0.5)</f>
        <v>0.5</v>
      </c>
      <c r="S4285" s="4" t="str">
        <f>IFERROR(__xludf.DUMMYFUNCTION("""COMPUTED_VALUE"""),"null")</f>
        <v>null</v>
      </c>
      <c r="T4285" s="33">
        <f>IFERROR(__xludf.DUMMYFUNCTION("""COMPUTED_VALUE"""),1.0)</f>
        <v>1</v>
      </c>
      <c r="U4285" s="4" t="str">
        <f>IFERROR(__xludf.DUMMYFUNCTION("""COMPUTED_VALUE"""),"null")</f>
        <v>null</v>
      </c>
      <c r="V4285" s="33">
        <f>IFERROR(__xludf.DUMMYFUNCTION("""COMPUTED_VALUE"""),1.0)</f>
        <v>1</v>
      </c>
      <c r="W4285" s="4" t="str">
        <f>IFERROR(__xludf.DUMMYFUNCTION("""COMPUTED_VALUE"""),"null")</f>
        <v>null</v>
      </c>
      <c r="X4285" s="33">
        <f>IFERROR(__xludf.DUMMYFUNCTION("""COMPUTED_VALUE"""),1.0)</f>
        <v>1</v>
      </c>
    </row>
    <row r="4286">
      <c r="K4286" s="4" t="str">
        <f>IFERROR(__xludf.DUMMYFUNCTION("""COMPUTED_VALUE"""),"MEGA PETS")</f>
        <v>MEGA PETS</v>
      </c>
      <c r="L4286" s="32">
        <f>IFERROR(__xludf.DUMMYFUNCTION("""COMPUTED_VALUE"""),2.0)</f>
        <v>2</v>
      </c>
      <c r="M4286" s="4" t="str">
        <f>IFERROR(__xludf.DUMMYFUNCTION("""COMPUTED_VALUE"""),"null")</f>
        <v>null</v>
      </c>
      <c r="N4286" s="33">
        <f>IFERROR(__xludf.DUMMYFUNCTION("""COMPUTED_VALUE"""),0.5)</f>
        <v>0.5</v>
      </c>
      <c r="O4286" s="4" t="str">
        <f>IFERROR(__xludf.DUMMYFUNCTION("""COMPUTED_VALUE"""),"null")</f>
        <v>null</v>
      </c>
      <c r="P4286" s="33">
        <f>IFERROR(__xludf.DUMMYFUNCTION("""COMPUTED_VALUE"""),0.5)</f>
        <v>0.5</v>
      </c>
      <c r="Q4286" s="4" t="str">
        <f>IFERROR(__xludf.DUMMYFUNCTION("""COMPUTED_VALUE"""),"null")</f>
        <v>null</v>
      </c>
      <c r="R4286" s="33">
        <f>IFERROR(__xludf.DUMMYFUNCTION("""COMPUTED_VALUE"""),1.0)</f>
        <v>1</v>
      </c>
      <c r="S4286" s="4" t="str">
        <f>IFERROR(__xludf.DUMMYFUNCTION("""COMPUTED_VALUE"""),"N/A (Not found)")</f>
        <v>N/A (Not found)</v>
      </c>
      <c r="T4286" s="33">
        <f>IFERROR(__xludf.DUMMYFUNCTION("""COMPUTED_VALUE"""),0.5)</f>
        <v>0.5</v>
      </c>
      <c r="U4286" s="4" t="str">
        <f>IFERROR(__xludf.DUMMYFUNCTION("""COMPUTED_VALUE"""),"N/A (Not found)")</f>
        <v>N/A (Not found)</v>
      </c>
      <c r="V4286" s="33">
        <f>IFERROR(__xludf.DUMMYFUNCTION("""COMPUTED_VALUE"""),0.5)</f>
        <v>0.5</v>
      </c>
      <c r="W4286" s="4" t="str">
        <f>IFERROR(__xludf.DUMMYFUNCTION("""COMPUTED_VALUE"""),"N/A (Not found)")</f>
        <v>N/A (Not found)</v>
      </c>
      <c r="X4286" s="33">
        <f>IFERROR(__xludf.DUMMYFUNCTION("""COMPUTED_VALUE"""),0.5)</f>
        <v>0.5</v>
      </c>
    </row>
    <row r="4287">
      <c r="K4287" s="4" t="str">
        <f>IFERROR(__xludf.DUMMYFUNCTION("""COMPUTED_VALUE"""),"TUNA SUSHI")</f>
        <v>TUNA SUSHI</v>
      </c>
      <c r="L4287" s="32">
        <f>IFERROR(__xludf.DUMMYFUNCTION("""COMPUTED_VALUE"""),2.0)</f>
        <v>2</v>
      </c>
      <c r="M4287" s="4" t="str">
        <f>IFERROR(__xludf.DUMMYFUNCTION("""COMPUTED_VALUE"""),"Instadelivery")</f>
        <v>Instadelivery</v>
      </c>
      <c r="N4287" s="33">
        <f>IFERROR(__xludf.DUMMYFUNCTION("""COMPUTED_VALUE"""),0.5)</f>
        <v>0.5</v>
      </c>
      <c r="O4287" s="4" t="str">
        <f>IFERROR(__xludf.DUMMYFUNCTION("""COMPUTED_VALUE"""),"Instadelivery")</f>
        <v>Instadelivery</v>
      </c>
      <c r="P4287" s="33">
        <f>IFERROR(__xludf.DUMMYFUNCTION("""COMPUTED_VALUE"""),0.5)</f>
        <v>0.5</v>
      </c>
      <c r="Q4287" s="4" t="str">
        <f>IFERROR(__xludf.DUMMYFUNCTION("""COMPUTED_VALUE"""),"Instadelivery")</f>
        <v>Instadelivery</v>
      </c>
      <c r="R4287" s="33">
        <f>IFERROR(__xludf.DUMMYFUNCTION("""COMPUTED_VALUE"""),0.5)</f>
        <v>0.5</v>
      </c>
      <c r="S4287" s="4" t="str">
        <f>IFERROR(__xludf.DUMMYFUNCTION("""COMPUTED_VALUE"""),"Instadelivery")</f>
        <v>Instadelivery</v>
      </c>
      <c r="T4287" s="33">
        <f>IFERROR(__xludf.DUMMYFUNCTION("""COMPUTED_VALUE"""),0.5)</f>
        <v>0.5</v>
      </c>
      <c r="U4287" s="4" t="str">
        <f>IFERROR(__xludf.DUMMYFUNCTION("""COMPUTED_VALUE"""),"Instadelivery")</f>
        <v>Instadelivery</v>
      </c>
      <c r="V4287" s="33">
        <f>IFERROR(__xludf.DUMMYFUNCTION("""COMPUTED_VALUE"""),0.5)</f>
        <v>0.5</v>
      </c>
      <c r="W4287" s="4" t="str">
        <f>IFERROR(__xludf.DUMMYFUNCTION("""COMPUTED_VALUE"""),"Instadelivery")</f>
        <v>Instadelivery</v>
      </c>
      <c r="X4287" s="33">
        <f>IFERROR(__xludf.DUMMYFUNCTION("""COMPUTED_VALUE"""),0.5)</f>
        <v>0.5</v>
      </c>
    </row>
    <row r="4288">
      <c r="K4288" s="4" t="str">
        <f>IFERROR(__xludf.DUMMYFUNCTION("""COMPUTED_VALUE"""),"RECANTO MINEIRO")</f>
        <v>RECANTO MINEIRO</v>
      </c>
      <c r="L4288" s="32">
        <f>IFERROR(__xludf.DUMMYFUNCTION("""COMPUTED_VALUE"""),2.0)</f>
        <v>2</v>
      </c>
      <c r="M4288" s="4" t="str">
        <f>IFERROR(__xludf.DUMMYFUNCTION("""COMPUTED_VALUE"""),"null")</f>
        <v>null</v>
      </c>
      <c r="N4288" s="33">
        <f>IFERROR(__xludf.DUMMYFUNCTION("""COMPUTED_VALUE"""),1.0)</f>
        <v>1</v>
      </c>
      <c r="O4288" s="4" t="str">
        <f>IFERROR(__xludf.DUMMYFUNCTION("""COMPUTED_VALUE"""),"Cardápio Web")</f>
        <v>Cardápio Web</v>
      </c>
      <c r="P4288" s="33">
        <f>IFERROR(__xludf.DUMMYFUNCTION("""COMPUTED_VALUE"""),0.5)</f>
        <v>0.5</v>
      </c>
      <c r="Q4288" s="4" t="str">
        <f>IFERROR(__xludf.DUMMYFUNCTION("""COMPUTED_VALUE"""),"null")</f>
        <v>null</v>
      </c>
      <c r="R4288" s="33">
        <f>IFERROR(__xludf.DUMMYFUNCTION("""COMPUTED_VALUE"""),0.5)</f>
        <v>0.5</v>
      </c>
      <c r="S4288" s="4" t="str">
        <f>IFERROR(__xludf.DUMMYFUNCTION("""COMPUTED_VALUE"""),"Cardápio Web")</f>
        <v>Cardápio Web</v>
      </c>
      <c r="T4288" s="33">
        <f>IFERROR(__xludf.DUMMYFUNCTION("""COMPUTED_VALUE"""),0.5)</f>
        <v>0.5</v>
      </c>
      <c r="U4288" s="4" t="str">
        <f>IFERROR(__xludf.DUMMYFUNCTION("""COMPUTED_VALUE"""),"null")</f>
        <v>null</v>
      </c>
      <c r="V4288" s="33">
        <f>IFERROR(__xludf.DUMMYFUNCTION("""COMPUTED_VALUE"""),1.0)</f>
        <v>1</v>
      </c>
      <c r="W4288" s="4" t="str">
        <f>IFERROR(__xludf.DUMMYFUNCTION("""COMPUTED_VALUE"""),"null")</f>
        <v>null</v>
      </c>
      <c r="X4288" s="33">
        <f>IFERROR(__xludf.DUMMYFUNCTION("""COMPUTED_VALUE"""),1.0)</f>
        <v>1</v>
      </c>
    </row>
    <row r="4289">
      <c r="K4289" s="4" t="str">
        <f>IFERROR(__xludf.DUMMYFUNCTION("""COMPUTED_VALUE"""),"HOT DOG PREMIUM")</f>
        <v>HOT DOG PREMIUM</v>
      </c>
      <c r="L4289" s="32">
        <f>IFERROR(__xludf.DUMMYFUNCTION("""COMPUTED_VALUE"""),2.0)</f>
        <v>2</v>
      </c>
      <c r="M4289" s="4" t="str">
        <f>IFERROR(__xludf.DUMMYFUNCTION("""COMPUTED_VALUE"""),"Cardápio Web")</f>
        <v>Cardápio Web</v>
      </c>
      <c r="N4289" s="33">
        <f>IFERROR(__xludf.DUMMYFUNCTION("""COMPUTED_VALUE"""),0.5)</f>
        <v>0.5</v>
      </c>
      <c r="O4289" s="4" t="str">
        <f>IFERROR(__xludf.DUMMYFUNCTION("""COMPUTED_VALUE"""),"Cardápio Web")</f>
        <v>Cardápio Web</v>
      </c>
      <c r="P4289" s="33">
        <f>IFERROR(__xludf.DUMMYFUNCTION("""COMPUTED_VALUE"""),0.5)</f>
        <v>0.5</v>
      </c>
      <c r="Q4289" s="4" t="str">
        <f>IFERROR(__xludf.DUMMYFUNCTION("""COMPUTED_VALUE"""),"Cardápio Web")</f>
        <v>Cardápio Web</v>
      </c>
      <c r="R4289" s="33">
        <f>IFERROR(__xludf.DUMMYFUNCTION("""COMPUTED_VALUE"""),0.5)</f>
        <v>0.5</v>
      </c>
      <c r="S4289" s="4" t="str">
        <f>IFERROR(__xludf.DUMMYFUNCTION("""COMPUTED_VALUE"""),"Cardápio Web")</f>
        <v>Cardápio Web</v>
      </c>
      <c r="T4289" s="33">
        <f>IFERROR(__xludf.DUMMYFUNCTION("""COMPUTED_VALUE"""),0.5)</f>
        <v>0.5</v>
      </c>
      <c r="U4289" s="4" t="str">
        <f>IFERROR(__xludf.DUMMYFUNCTION("""COMPUTED_VALUE"""),"Cardápio Web")</f>
        <v>Cardápio Web</v>
      </c>
      <c r="V4289" s="33">
        <f>IFERROR(__xludf.DUMMYFUNCTION("""COMPUTED_VALUE"""),0.5)</f>
        <v>0.5</v>
      </c>
      <c r="W4289" s="4" t="str">
        <f>IFERROR(__xludf.DUMMYFUNCTION("""COMPUTED_VALUE"""),"null")</f>
        <v>null</v>
      </c>
      <c r="X4289" s="33">
        <f>IFERROR(__xludf.DUMMYFUNCTION("""COMPUTED_VALUE"""),0.5)</f>
        <v>0.5</v>
      </c>
    </row>
    <row r="4290">
      <c r="K4290" s="4" t="str">
        <f>IFERROR(__xludf.DUMMYFUNCTION("""COMPUTED_VALUE"""),"SR GREGO")</f>
        <v>SR GREGO</v>
      </c>
      <c r="L4290" s="32">
        <f>IFERROR(__xludf.DUMMYFUNCTION("""COMPUTED_VALUE"""),2.0)</f>
        <v>2</v>
      </c>
      <c r="M4290" s="4" t="str">
        <f>IFERROR(__xludf.DUMMYFUNCTION("""COMPUTED_VALUE"""),"Saipos Serviços De Software")</f>
        <v>Saipos Serviços De Software</v>
      </c>
      <c r="N4290" s="33">
        <f>IFERROR(__xludf.DUMMYFUNCTION("""COMPUTED_VALUE"""),0.5)</f>
        <v>0.5</v>
      </c>
      <c r="O4290" s="4" t="str">
        <f>IFERROR(__xludf.DUMMYFUNCTION("""COMPUTED_VALUE"""),"Saipos Serviços De Software")</f>
        <v>Saipos Serviços De Software</v>
      </c>
      <c r="P4290" s="33">
        <f>IFERROR(__xludf.DUMMYFUNCTION("""COMPUTED_VALUE"""),0.5)</f>
        <v>0.5</v>
      </c>
      <c r="Q4290" s="4" t="str">
        <f>IFERROR(__xludf.DUMMYFUNCTION("""COMPUTED_VALUE"""),"Saipos Serviços De Software")</f>
        <v>Saipos Serviços De Software</v>
      </c>
      <c r="R4290" s="33">
        <f>IFERROR(__xludf.DUMMYFUNCTION("""COMPUTED_VALUE"""),0.5)</f>
        <v>0.5</v>
      </c>
      <c r="S4290" s="4" t="str">
        <f>IFERROR(__xludf.DUMMYFUNCTION("""COMPUTED_VALUE"""),"Saipos Serviços De Software")</f>
        <v>Saipos Serviços De Software</v>
      </c>
      <c r="T4290" s="33">
        <f>IFERROR(__xludf.DUMMYFUNCTION("""COMPUTED_VALUE"""),0.5)</f>
        <v>0.5</v>
      </c>
      <c r="U4290" s="4" t="str">
        <f>IFERROR(__xludf.DUMMYFUNCTION("""COMPUTED_VALUE"""),"Saipos Serviços De Software")</f>
        <v>Saipos Serviços De Software</v>
      </c>
      <c r="V4290" s="33">
        <f>IFERROR(__xludf.DUMMYFUNCTION("""COMPUTED_VALUE"""),0.5)</f>
        <v>0.5</v>
      </c>
      <c r="W4290" s="4" t="str">
        <f>IFERROR(__xludf.DUMMYFUNCTION("""COMPUTED_VALUE"""),"Saipos Serviços De Software")</f>
        <v>Saipos Serviços De Software</v>
      </c>
      <c r="X4290" s="33">
        <f>IFERROR(__xludf.DUMMYFUNCTION("""COMPUTED_VALUE"""),0.5)</f>
        <v>0.5</v>
      </c>
    </row>
    <row r="4291">
      <c r="K4291" s="4" t="str">
        <f>IFERROR(__xludf.DUMMYFUNCTION("""COMPUTED_VALUE"""),"DROGARIA OLIVEIRA")</f>
        <v>DROGARIA OLIVEIRA</v>
      </c>
      <c r="L4291" s="32">
        <f>IFERROR(__xludf.DUMMYFUNCTION("""COMPUTED_VALUE"""),2.0)</f>
        <v>2</v>
      </c>
      <c r="M4291" s="4" t="str">
        <f>IFERROR(__xludf.DUMMYFUNCTION("""COMPUTED_VALUE"""),"null")</f>
        <v>null</v>
      </c>
      <c r="N4291" s="33">
        <f>IFERROR(__xludf.DUMMYFUNCTION("""COMPUTED_VALUE"""),1.0)</f>
        <v>1</v>
      </c>
      <c r="O4291" s="4" t="str">
        <f>IFERROR(__xludf.DUMMYFUNCTION("""COMPUTED_VALUE"""),"null")</f>
        <v>null</v>
      </c>
      <c r="P4291" s="33">
        <f>IFERROR(__xludf.DUMMYFUNCTION("""COMPUTED_VALUE"""),1.0)</f>
        <v>1</v>
      </c>
      <c r="Q4291" s="4" t="str">
        <f>IFERROR(__xludf.DUMMYFUNCTION("""COMPUTED_VALUE"""),"null")</f>
        <v>null</v>
      </c>
      <c r="R4291" s="33">
        <f>IFERROR(__xludf.DUMMYFUNCTION("""COMPUTED_VALUE"""),1.0)</f>
        <v>1</v>
      </c>
      <c r="S4291" s="4" t="str">
        <f>IFERROR(__xludf.DUMMYFUNCTION("""COMPUTED_VALUE"""),"null")</f>
        <v>null</v>
      </c>
      <c r="T4291" s="33">
        <f>IFERROR(__xludf.DUMMYFUNCTION("""COMPUTED_VALUE"""),1.0)</f>
        <v>1</v>
      </c>
      <c r="U4291" s="4" t="str">
        <f>IFERROR(__xludf.DUMMYFUNCTION("""COMPUTED_VALUE"""),"N/A (Not found)")</f>
        <v>N/A (Not found)</v>
      </c>
      <c r="V4291" s="33">
        <f>IFERROR(__xludf.DUMMYFUNCTION("""COMPUTED_VALUE"""),0.5)</f>
        <v>0.5</v>
      </c>
      <c r="W4291" s="4" t="str">
        <f>IFERROR(__xludf.DUMMYFUNCTION("""COMPUTED_VALUE"""),"N/A (Not found)")</f>
        <v>N/A (Not found)</v>
      </c>
      <c r="X4291" s="33">
        <f>IFERROR(__xludf.DUMMYFUNCTION("""COMPUTED_VALUE"""),1.0)</f>
        <v>1</v>
      </c>
    </row>
    <row r="4292">
      <c r="K4292" s="4" t="str">
        <f>IFERROR(__xludf.DUMMYFUNCTION("""COMPUTED_VALUE"""),"SALGADOU SALGADOS")</f>
        <v>SALGADOU SALGADOS</v>
      </c>
      <c r="L4292" s="32">
        <f>IFERROR(__xludf.DUMMYFUNCTION("""COMPUTED_VALUE"""),2.0)</f>
        <v>2</v>
      </c>
      <c r="M4292" s="4" t="str">
        <f>IFERROR(__xludf.DUMMYFUNCTION("""COMPUTED_VALUE"""),"null")</f>
        <v>null</v>
      </c>
      <c r="N4292" s="33">
        <f>IFERROR(__xludf.DUMMYFUNCTION("""COMPUTED_VALUE"""),0.5)</f>
        <v>0.5</v>
      </c>
      <c r="O4292" s="4" t="str">
        <f>IFERROR(__xludf.DUMMYFUNCTION("""COMPUTED_VALUE"""),"null")</f>
        <v>null</v>
      </c>
      <c r="P4292" s="33">
        <f>IFERROR(__xludf.DUMMYFUNCTION("""COMPUTED_VALUE"""),1.0)</f>
        <v>1</v>
      </c>
      <c r="Q4292" s="4" t="str">
        <f>IFERROR(__xludf.DUMMYFUNCTION("""COMPUTED_VALUE"""),"null")</f>
        <v>null</v>
      </c>
      <c r="R4292" s="33">
        <f>IFERROR(__xludf.DUMMYFUNCTION("""COMPUTED_VALUE"""),1.0)</f>
        <v>1</v>
      </c>
      <c r="S4292" s="4" t="str">
        <f>IFERROR(__xludf.DUMMYFUNCTION("""COMPUTED_VALUE"""),"null")</f>
        <v>null</v>
      </c>
      <c r="T4292" s="33">
        <f>IFERROR(__xludf.DUMMYFUNCTION("""COMPUTED_VALUE"""),0.5)</f>
        <v>0.5</v>
      </c>
      <c r="U4292" s="4" t="str">
        <f>IFERROR(__xludf.DUMMYFUNCTION("""COMPUTED_VALUE"""),"null")</f>
        <v>null</v>
      </c>
      <c r="V4292" s="33">
        <f>IFERROR(__xludf.DUMMYFUNCTION("""COMPUTED_VALUE"""),1.0)</f>
        <v>1</v>
      </c>
      <c r="W4292" s="4" t="str">
        <f>IFERROR(__xludf.DUMMYFUNCTION("""COMPUTED_VALUE"""),"N/A (Not found)")</f>
        <v>N/A (Not found)</v>
      </c>
      <c r="X4292" s="33">
        <f>IFERROR(__xludf.DUMMYFUNCTION("""COMPUTED_VALUE"""),0.5)</f>
        <v>0.5</v>
      </c>
    </row>
    <row r="4293">
      <c r="K4293" s="4" t="str">
        <f>IFERROR(__xludf.DUMMYFUNCTION("""COMPUTED_VALUE"""),"PIZZARIA JERUSALEM")</f>
        <v>PIZZARIA JERUSALEM</v>
      </c>
      <c r="L4293" s="32">
        <f>IFERROR(__xludf.DUMMYFUNCTION("""COMPUTED_VALUE"""),2.0)</f>
        <v>2</v>
      </c>
      <c r="M4293" s="4" t="str">
        <f>IFERROR(__xludf.DUMMYFUNCTION("""COMPUTED_VALUE"""),"Saipos Serviços De Software")</f>
        <v>Saipos Serviços De Software</v>
      </c>
      <c r="N4293" s="33">
        <f>IFERROR(__xludf.DUMMYFUNCTION("""COMPUTED_VALUE"""),1.0)</f>
        <v>1</v>
      </c>
      <c r="O4293" s="4" t="str">
        <f>IFERROR(__xludf.DUMMYFUNCTION("""COMPUTED_VALUE"""),"Saipos Serviços De Software")</f>
        <v>Saipos Serviços De Software</v>
      </c>
      <c r="P4293" s="33">
        <f>IFERROR(__xludf.DUMMYFUNCTION("""COMPUTED_VALUE"""),1.0)</f>
        <v>1</v>
      </c>
      <c r="Q4293" s="4" t="str">
        <f>IFERROR(__xludf.DUMMYFUNCTION("""COMPUTED_VALUE"""),"Saipos Serviços De Software")</f>
        <v>Saipos Serviços De Software</v>
      </c>
      <c r="R4293" s="33">
        <f>IFERROR(__xludf.DUMMYFUNCTION("""COMPUTED_VALUE"""),1.0)</f>
        <v>1</v>
      </c>
      <c r="S4293" s="4" t="str">
        <f>IFERROR(__xludf.DUMMYFUNCTION("""COMPUTED_VALUE"""),"Saipos Serviços De Software")</f>
        <v>Saipos Serviços De Software</v>
      </c>
      <c r="T4293" s="33">
        <f>IFERROR(__xludf.DUMMYFUNCTION("""COMPUTED_VALUE"""),1.0)</f>
        <v>1</v>
      </c>
      <c r="U4293" s="4" t="str">
        <f>IFERROR(__xludf.DUMMYFUNCTION("""COMPUTED_VALUE"""),"Saipos Serviços De Software")</f>
        <v>Saipos Serviços De Software</v>
      </c>
      <c r="V4293" s="33">
        <f>IFERROR(__xludf.DUMMYFUNCTION("""COMPUTED_VALUE"""),1.0)</f>
        <v>1</v>
      </c>
      <c r="W4293" s="4" t="str">
        <f>IFERROR(__xludf.DUMMYFUNCTION("""COMPUTED_VALUE"""),"Saipos Serviços De Software")</f>
        <v>Saipos Serviços De Software</v>
      </c>
      <c r="X4293" s="33">
        <f>IFERROR(__xludf.DUMMYFUNCTION("""COMPUTED_VALUE"""),1.0)</f>
        <v>1</v>
      </c>
    </row>
    <row r="4294">
      <c r="K4294" s="4" t="str">
        <f>IFERROR(__xludf.DUMMYFUNCTION("""COMPUTED_VALUE"""),"LUDS BURGER ASSIS")</f>
        <v>LUDS BURGER ASSIS</v>
      </c>
      <c r="L4294" s="32">
        <f>IFERROR(__xludf.DUMMYFUNCTION("""COMPUTED_VALUE"""),2.0)</f>
        <v>2</v>
      </c>
      <c r="M4294" s="4" t="str">
        <f>IFERROR(__xludf.DUMMYFUNCTION("""COMPUTED_VALUE"""),"null")</f>
        <v>null</v>
      </c>
      <c r="N4294" s="33">
        <f>IFERROR(__xludf.DUMMYFUNCTION("""COMPUTED_VALUE"""),1.0)</f>
        <v>1</v>
      </c>
      <c r="O4294" s="4" t="str">
        <f>IFERROR(__xludf.DUMMYFUNCTION("""COMPUTED_VALUE"""),"null")</f>
        <v>null</v>
      </c>
      <c r="P4294" s="33">
        <f>IFERROR(__xludf.DUMMYFUNCTION("""COMPUTED_VALUE"""),0.5)</f>
        <v>0.5</v>
      </c>
      <c r="Q4294" s="4" t="str">
        <f>IFERROR(__xludf.DUMMYFUNCTION("""COMPUTED_VALUE"""),"null")</f>
        <v>null</v>
      </c>
      <c r="R4294" s="33">
        <f>IFERROR(__xludf.DUMMYFUNCTION("""COMPUTED_VALUE"""),0.5)</f>
        <v>0.5</v>
      </c>
      <c r="S4294" s="4" t="str">
        <f>IFERROR(__xludf.DUMMYFUNCTION("""COMPUTED_VALUE"""),"Saipos Serviços De Software")</f>
        <v>Saipos Serviços De Software</v>
      </c>
      <c r="T4294" s="33">
        <f>IFERROR(__xludf.DUMMYFUNCTION("""COMPUTED_VALUE"""),0.5)</f>
        <v>0.5</v>
      </c>
      <c r="U4294" s="4" t="str">
        <f>IFERROR(__xludf.DUMMYFUNCTION("""COMPUTED_VALUE"""),"Saipos Serviços De Software")</f>
        <v>Saipos Serviços De Software</v>
      </c>
      <c r="V4294" s="33">
        <f>IFERROR(__xludf.DUMMYFUNCTION("""COMPUTED_VALUE"""),0.5)</f>
        <v>0.5</v>
      </c>
      <c r="W4294" s="4" t="str">
        <f>IFERROR(__xludf.DUMMYFUNCTION("""COMPUTED_VALUE"""),"Saipos Serviços De Software")</f>
        <v>Saipos Serviços De Software</v>
      </c>
      <c r="X4294" s="33">
        <f>IFERROR(__xludf.DUMMYFUNCTION("""COMPUTED_VALUE"""),0.5)</f>
        <v>0.5</v>
      </c>
    </row>
    <row r="4295">
      <c r="K4295" s="4" t="str">
        <f>IFERROR(__xludf.DUMMYFUNCTION("""COMPUTED_VALUE"""),"LANCHE RAPIDO CODO")</f>
        <v>LANCHE RAPIDO CODO</v>
      </c>
      <c r="L4295" s="32">
        <f>IFERROR(__xludf.DUMMYFUNCTION("""COMPUTED_VALUE"""),2.0)</f>
        <v>2</v>
      </c>
      <c r="M4295" s="4" t="str">
        <f>IFERROR(__xludf.DUMMYFUNCTION("""COMPUTED_VALUE"""),"Cardápio Web")</f>
        <v>Cardápio Web</v>
      </c>
      <c r="N4295" s="33">
        <f>IFERROR(__xludf.DUMMYFUNCTION("""COMPUTED_VALUE"""),1.0)</f>
        <v>1</v>
      </c>
      <c r="O4295" s="4" t="str">
        <f>IFERROR(__xludf.DUMMYFUNCTION("""COMPUTED_VALUE"""),"Cardápio Web")</f>
        <v>Cardápio Web</v>
      </c>
      <c r="P4295" s="33">
        <f>IFERROR(__xludf.DUMMYFUNCTION("""COMPUTED_VALUE"""),1.0)</f>
        <v>1</v>
      </c>
      <c r="Q4295" s="4" t="str">
        <f>IFERROR(__xludf.DUMMYFUNCTION("""COMPUTED_VALUE"""),"Cardápio Web")</f>
        <v>Cardápio Web</v>
      </c>
      <c r="R4295" s="33">
        <f>IFERROR(__xludf.DUMMYFUNCTION("""COMPUTED_VALUE"""),1.0)</f>
        <v>1</v>
      </c>
      <c r="S4295" s="4" t="str">
        <f>IFERROR(__xludf.DUMMYFUNCTION("""COMPUTED_VALUE"""),"Cardápio Web")</f>
        <v>Cardápio Web</v>
      </c>
      <c r="T4295" s="33">
        <f>IFERROR(__xludf.DUMMYFUNCTION("""COMPUTED_VALUE"""),1.0)</f>
        <v>1</v>
      </c>
      <c r="U4295" s="4" t="str">
        <f>IFERROR(__xludf.DUMMYFUNCTION("""COMPUTED_VALUE"""),"Cardápio Web")</f>
        <v>Cardápio Web</v>
      </c>
      <c r="V4295" s="33">
        <f>IFERROR(__xludf.DUMMYFUNCTION("""COMPUTED_VALUE"""),1.0)</f>
        <v>1</v>
      </c>
      <c r="W4295" s="4" t="str">
        <f>IFERROR(__xludf.DUMMYFUNCTION("""COMPUTED_VALUE"""),"Cardápio Web")</f>
        <v>Cardápio Web</v>
      </c>
      <c r="X4295" s="33">
        <f>IFERROR(__xludf.DUMMYFUNCTION("""COMPUTED_VALUE"""),1.0)</f>
        <v>1</v>
      </c>
    </row>
    <row r="4296">
      <c r="K4296" s="4" t="str">
        <f>IFERROR(__xludf.DUMMYFUNCTION("""COMPUTED_VALUE"""),"DR SMASH - HAMBURGUERIA")</f>
        <v>DR SMASH - HAMBURGUERIA</v>
      </c>
      <c r="L4296" s="32">
        <f>IFERROR(__xludf.DUMMYFUNCTION("""COMPUTED_VALUE"""),2.0)</f>
        <v>2</v>
      </c>
      <c r="M4296" s="4" t="str">
        <f>IFERROR(__xludf.DUMMYFUNCTION("""COMPUTED_VALUE"""),"Brendi")</f>
        <v>Brendi</v>
      </c>
      <c r="N4296" s="33">
        <f>IFERROR(__xludf.DUMMYFUNCTION("""COMPUTED_VALUE"""),0.5)</f>
        <v>0.5</v>
      </c>
      <c r="O4296" s="4" t="str">
        <f>IFERROR(__xludf.DUMMYFUNCTION("""COMPUTED_VALUE"""),"Brendi")</f>
        <v>Brendi</v>
      </c>
      <c r="P4296" s="33">
        <f>IFERROR(__xludf.DUMMYFUNCTION("""COMPUTED_VALUE"""),0.5)</f>
        <v>0.5</v>
      </c>
      <c r="Q4296" s="4" t="str">
        <f>IFERROR(__xludf.DUMMYFUNCTION("""COMPUTED_VALUE"""),"Brendi")</f>
        <v>Brendi</v>
      </c>
      <c r="R4296" s="33">
        <f>IFERROR(__xludf.DUMMYFUNCTION("""COMPUTED_VALUE"""),0.5)</f>
        <v>0.5</v>
      </c>
      <c r="S4296" s="4" t="str">
        <f>IFERROR(__xludf.DUMMYFUNCTION("""COMPUTED_VALUE"""),"Brendi")</f>
        <v>Brendi</v>
      </c>
      <c r="T4296" s="33">
        <f>IFERROR(__xludf.DUMMYFUNCTION("""COMPUTED_VALUE"""),0.5)</f>
        <v>0.5</v>
      </c>
      <c r="U4296" s="4" t="str">
        <f>IFERROR(__xludf.DUMMYFUNCTION("""COMPUTED_VALUE"""),"Brendi")</f>
        <v>Brendi</v>
      </c>
      <c r="V4296" s="33">
        <f>IFERROR(__xludf.DUMMYFUNCTION("""COMPUTED_VALUE"""),0.5)</f>
        <v>0.5</v>
      </c>
      <c r="W4296" s="4" t="str">
        <f>IFERROR(__xludf.DUMMYFUNCTION("""COMPUTED_VALUE"""),"Brendi")</f>
        <v>Brendi</v>
      </c>
      <c r="X4296" s="33">
        <f>IFERROR(__xludf.DUMMYFUNCTION("""COMPUTED_VALUE"""),0.5)</f>
        <v>0.5</v>
      </c>
    </row>
    <row r="4297">
      <c r="K4297" s="4" t="str">
        <f>IFERROR(__xludf.DUMMYFUNCTION("""COMPUTED_VALUE"""),"TEXAS CHICKEN")</f>
        <v>TEXAS CHICKEN</v>
      </c>
      <c r="L4297" s="32">
        <f>IFERROR(__xludf.DUMMYFUNCTION("""COMPUTED_VALUE"""),2.0)</f>
        <v>2</v>
      </c>
      <c r="M4297" s="4" t="str">
        <f>IFERROR(__xludf.DUMMYFUNCTION("""COMPUTED_VALUE"""),"Consumer Soluções Em Tecnologia Ltda")</f>
        <v>Consumer Soluções Em Tecnologia Ltda</v>
      </c>
      <c r="N4297" s="33">
        <f>IFERROR(__xludf.DUMMYFUNCTION("""COMPUTED_VALUE"""),0.5)</f>
        <v>0.5</v>
      </c>
      <c r="O4297" s="4" t="str">
        <f>IFERROR(__xludf.DUMMYFUNCTION("""COMPUTED_VALUE"""),"Consumer Soluções Em Tecnologia Ltda")</f>
        <v>Consumer Soluções Em Tecnologia Ltda</v>
      </c>
      <c r="P4297" s="33">
        <f>IFERROR(__xludf.DUMMYFUNCTION("""COMPUTED_VALUE"""),0.5)</f>
        <v>0.5</v>
      </c>
      <c r="Q4297" s="4" t="str">
        <f>IFERROR(__xludf.DUMMYFUNCTION("""COMPUTED_VALUE"""),"null")</f>
        <v>null</v>
      </c>
      <c r="R4297" s="33">
        <f>IFERROR(__xludf.DUMMYFUNCTION("""COMPUTED_VALUE"""),0.5)</f>
        <v>0.5</v>
      </c>
      <c r="S4297" s="4" t="str">
        <f>IFERROR(__xludf.DUMMYFUNCTION("""COMPUTED_VALUE"""),"null")</f>
        <v>null</v>
      </c>
      <c r="T4297" s="33">
        <f>IFERROR(__xludf.DUMMYFUNCTION("""COMPUTED_VALUE"""),0.5)</f>
        <v>0.5</v>
      </c>
      <c r="U4297" s="4" t="str">
        <f>IFERROR(__xludf.DUMMYFUNCTION("""COMPUTED_VALUE"""),"null")</f>
        <v>null</v>
      </c>
      <c r="V4297" s="33">
        <f>IFERROR(__xludf.DUMMYFUNCTION("""COMPUTED_VALUE"""),0.5)</f>
        <v>0.5</v>
      </c>
      <c r="W4297" s="4" t="str">
        <f>IFERROR(__xludf.DUMMYFUNCTION("""COMPUTED_VALUE"""),"null")</f>
        <v>null</v>
      </c>
      <c r="X4297" s="33">
        <f>IFERROR(__xludf.DUMMYFUNCTION("""COMPUTED_VALUE"""),0.5)</f>
        <v>0.5</v>
      </c>
    </row>
    <row r="4298">
      <c r="K4298" s="4" t="str">
        <f>IFERROR(__xludf.DUMMYFUNCTION("""COMPUTED_VALUE"""),"BRASA NOBRE")</f>
        <v>BRASA NOBRE</v>
      </c>
      <c r="L4298" s="32">
        <f>IFERROR(__xludf.DUMMYFUNCTION("""COMPUTED_VALUE"""),2.0)</f>
        <v>2</v>
      </c>
      <c r="M4298" s="4" t="str">
        <f>IFERROR(__xludf.DUMMYFUNCTION("""COMPUTED_VALUE"""),"Anota Ai Solucoes Digitais S/a")</f>
        <v>Anota Ai Solucoes Digitais S/a</v>
      </c>
      <c r="N4298" s="33">
        <f>IFERROR(__xludf.DUMMYFUNCTION("""COMPUTED_VALUE"""),0.5)</f>
        <v>0.5</v>
      </c>
      <c r="O4298" s="4" t="str">
        <f>IFERROR(__xludf.DUMMYFUNCTION("""COMPUTED_VALUE"""),"Anota Ai Solucoes Digitais S/a")</f>
        <v>Anota Ai Solucoes Digitais S/a</v>
      </c>
      <c r="P4298" s="33">
        <f>IFERROR(__xludf.DUMMYFUNCTION("""COMPUTED_VALUE"""),0.5)</f>
        <v>0.5</v>
      </c>
      <c r="Q4298" s="4" t="str">
        <f>IFERROR(__xludf.DUMMYFUNCTION("""COMPUTED_VALUE"""),"Anota Ai Solucoes Digitais S/a")</f>
        <v>Anota Ai Solucoes Digitais S/a</v>
      </c>
      <c r="R4298" s="33">
        <f>IFERROR(__xludf.DUMMYFUNCTION("""COMPUTED_VALUE"""),0.5)</f>
        <v>0.5</v>
      </c>
      <c r="S4298" s="4" t="str">
        <f>IFERROR(__xludf.DUMMYFUNCTION("""COMPUTED_VALUE"""),"Anota Ai Solucoes Digitais S/a")</f>
        <v>Anota Ai Solucoes Digitais S/a</v>
      </c>
      <c r="T4298" s="33">
        <f>IFERROR(__xludf.DUMMYFUNCTION("""COMPUTED_VALUE"""),0.5)</f>
        <v>0.5</v>
      </c>
      <c r="U4298" s="4" t="str">
        <f>IFERROR(__xludf.DUMMYFUNCTION("""COMPUTED_VALUE"""),"Anota Ai Solucoes Digitais S/a")</f>
        <v>Anota Ai Solucoes Digitais S/a</v>
      </c>
      <c r="V4298" s="33">
        <f>IFERROR(__xludf.DUMMYFUNCTION("""COMPUTED_VALUE"""),0.5)</f>
        <v>0.5</v>
      </c>
      <c r="W4298" s="4" t="str">
        <f>IFERROR(__xludf.DUMMYFUNCTION("""COMPUTED_VALUE"""),"Anota Ai Solucoes Digitais S/a")</f>
        <v>Anota Ai Solucoes Digitais S/a</v>
      </c>
      <c r="X4298" s="33">
        <f>IFERROR(__xludf.DUMMYFUNCTION("""COMPUTED_VALUE"""),0.5)</f>
        <v>0.5</v>
      </c>
    </row>
    <row r="4299">
      <c r="K4299" s="4" t="str">
        <f>IFERROR(__xludf.DUMMYFUNCTION("""COMPUTED_VALUE"""),"RESTAURANTE DO JOEL")</f>
        <v>RESTAURANTE DO JOEL</v>
      </c>
      <c r="L4299" s="32">
        <f>IFERROR(__xludf.DUMMYFUNCTION("""COMPUTED_VALUE"""),2.0)</f>
        <v>2</v>
      </c>
      <c r="M4299" s="4" t="str">
        <f>IFERROR(__xludf.DUMMYFUNCTION("""COMPUTED_VALUE"""),"null")</f>
        <v>null</v>
      </c>
      <c r="N4299" s="33">
        <f>IFERROR(__xludf.DUMMYFUNCTION("""COMPUTED_VALUE"""),0.5)</f>
        <v>0.5</v>
      </c>
      <c r="O4299" s="4" t="str">
        <f>IFERROR(__xludf.DUMMYFUNCTION("""COMPUTED_VALUE"""),"null")</f>
        <v>null</v>
      </c>
      <c r="P4299" s="33">
        <f>IFERROR(__xludf.DUMMYFUNCTION("""COMPUTED_VALUE"""),0.5)</f>
        <v>0.5</v>
      </c>
      <c r="Q4299" s="4" t="str">
        <f>IFERROR(__xludf.DUMMYFUNCTION("""COMPUTED_VALUE"""),"null")</f>
        <v>null</v>
      </c>
      <c r="R4299" s="33">
        <f>IFERROR(__xludf.DUMMYFUNCTION("""COMPUTED_VALUE"""),0.5)</f>
        <v>0.5</v>
      </c>
      <c r="S4299" s="4" t="str">
        <f>IFERROR(__xludf.DUMMYFUNCTION("""COMPUTED_VALUE"""),"null")</f>
        <v>null</v>
      </c>
      <c r="T4299" s="33">
        <f>IFERROR(__xludf.DUMMYFUNCTION("""COMPUTED_VALUE"""),0.5)</f>
        <v>0.5</v>
      </c>
      <c r="U4299" s="4" t="str">
        <f>IFERROR(__xludf.DUMMYFUNCTION("""COMPUTED_VALUE"""),"Saipos Serviços De Software")</f>
        <v>Saipos Serviços De Software</v>
      </c>
      <c r="V4299" s="33">
        <f>IFERROR(__xludf.DUMMYFUNCTION("""COMPUTED_VALUE"""),1.0)</f>
        <v>1</v>
      </c>
      <c r="W4299" s="4" t="str">
        <f>IFERROR(__xludf.DUMMYFUNCTION("""COMPUTED_VALUE"""),"Saipos Serviços De Software")</f>
        <v>Saipos Serviços De Software</v>
      </c>
      <c r="X4299" s="33">
        <f>IFERROR(__xludf.DUMMYFUNCTION("""COMPUTED_VALUE"""),1.0)</f>
        <v>1</v>
      </c>
    </row>
    <row r="4300">
      <c r="K4300" s="4" t="str">
        <f>IFERROR(__xludf.DUMMYFUNCTION("""COMPUTED_VALUE"""),"UAI BURGUER")</f>
        <v>UAI BURGUER</v>
      </c>
      <c r="L4300" s="32">
        <f>IFERROR(__xludf.DUMMYFUNCTION("""COMPUTED_VALUE"""),2.0)</f>
        <v>2</v>
      </c>
      <c r="M4300" s="4" t="str">
        <f>IFERROR(__xludf.DUMMYFUNCTION("""COMPUTED_VALUE"""),"null")</f>
        <v>null</v>
      </c>
      <c r="N4300" s="33">
        <f>IFERROR(__xludf.DUMMYFUNCTION("""COMPUTED_VALUE"""),1.0)</f>
        <v>1</v>
      </c>
      <c r="O4300" s="4" t="str">
        <f>IFERROR(__xludf.DUMMYFUNCTION("""COMPUTED_VALUE"""),"Cardápio Web")</f>
        <v>Cardápio Web</v>
      </c>
      <c r="P4300" s="33">
        <f>IFERROR(__xludf.DUMMYFUNCTION("""COMPUTED_VALUE"""),0.5)</f>
        <v>0.5</v>
      </c>
      <c r="Q4300" s="4" t="str">
        <f>IFERROR(__xludf.DUMMYFUNCTION("""COMPUTED_VALUE"""),"Cardápio Web")</f>
        <v>Cardápio Web</v>
      </c>
      <c r="R4300" s="33">
        <f>IFERROR(__xludf.DUMMYFUNCTION("""COMPUTED_VALUE"""),0.5)</f>
        <v>0.5</v>
      </c>
      <c r="S4300" s="4" t="str">
        <f>IFERROR(__xludf.DUMMYFUNCTION("""COMPUTED_VALUE"""),"Cardápio Web")</f>
        <v>Cardápio Web</v>
      </c>
      <c r="T4300" s="33">
        <f>IFERROR(__xludf.DUMMYFUNCTION("""COMPUTED_VALUE"""),0.5)</f>
        <v>0.5</v>
      </c>
      <c r="U4300" s="4" t="str">
        <f>IFERROR(__xludf.DUMMYFUNCTION("""COMPUTED_VALUE"""),"Cardápio Web")</f>
        <v>Cardápio Web</v>
      </c>
      <c r="V4300" s="33">
        <f>IFERROR(__xludf.DUMMYFUNCTION("""COMPUTED_VALUE"""),0.5)</f>
        <v>0.5</v>
      </c>
      <c r="W4300" s="4" t="str">
        <f>IFERROR(__xludf.DUMMYFUNCTION("""COMPUTED_VALUE"""),"Cardápio Web")</f>
        <v>Cardápio Web</v>
      </c>
      <c r="X4300" s="33">
        <f>IFERROR(__xludf.DUMMYFUNCTION("""COMPUTED_VALUE"""),0.5)</f>
        <v>0.5</v>
      </c>
    </row>
    <row r="4301">
      <c r="K4301" s="4" t="str">
        <f>IFERROR(__xludf.DUMMYFUNCTION("""COMPUTED_VALUE"""),"CASARAO LANCHES")</f>
        <v>CASARAO LANCHES</v>
      </c>
      <c r="L4301" s="32">
        <f>IFERROR(__xludf.DUMMYFUNCTION("""COMPUTED_VALUE"""),2.0)</f>
        <v>2</v>
      </c>
      <c r="M4301" s="4" t="str">
        <f>IFERROR(__xludf.DUMMYFUNCTION("""COMPUTED_VALUE"""),"Instadelivery")</f>
        <v>Instadelivery</v>
      </c>
      <c r="N4301" s="33">
        <f>IFERROR(__xludf.DUMMYFUNCTION("""COMPUTED_VALUE"""),1.0)</f>
        <v>1</v>
      </c>
      <c r="O4301" s="4" t="str">
        <f>IFERROR(__xludf.DUMMYFUNCTION("""COMPUTED_VALUE"""),"Instadelivery")</f>
        <v>Instadelivery</v>
      </c>
      <c r="P4301" s="33">
        <f>IFERROR(__xludf.DUMMYFUNCTION("""COMPUTED_VALUE"""),0.5)</f>
        <v>0.5</v>
      </c>
      <c r="Q4301" s="4" t="str">
        <f>IFERROR(__xludf.DUMMYFUNCTION("""COMPUTED_VALUE"""),"Instadelivery")</f>
        <v>Instadelivery</v>
      </c>
      <c r="R4301" s="33">
        <f>IFERROR(__xludf.DUMMYFUNCTION("""COMPUTED_VALUE"""),0.5)</f>
        <v>0.5</v>
      </c>
      <c r="S4301" s="4" t="str">
        <f>IFERROR(__xludf.DUMMYFUNCTION("""COMPUTED_VALUE"""),"Instadelivery")</f>
        <v>Instadelivery</v>
      </c>
      <c r="T4301" s="33">
        <f>IFERROR(__xludf.DUMMYFUNCTION("""COMPUTED_VALUE"""),0.5)</f>
        <v>0.5</v>
      </c>
      <c r="U4301" s="4" t="str">
        <f>IFERROR(__xludf.DUMMYFUNCTION("""COMPUTED_VALUE"""),"Instadelivery")</f>
        <v>Instadelivery</v>
      </c>
      <c r="V4301" s="33">
        <f>IFERROR(__xludf.DUMMYFUNCTION("""COMPUTED_VALUE"""),1.0)</f>
        <v>1</v>
      </c>
      <c r="W4301" s="4" t="str">
        <f>IFERROR(__xludf.DUMMYFUNCTION("""COMPUTED_VALUE"""),"null")</f>
        <v>null</v>
      </c>
      <c r="X4301" s="33">
        <f>IFERROR(__xludf.DUMMYFUNCTION("""COMPUTED_VALUE"""),0.5)</f>
        <v>0.5</v>
      </c>
    </row>
    <row r="4302">
      <c r="K4302" s="4" t="str">
        <f>IFERROR(__xludf.DUMMYFUNCTION("""COMPUTED_VALUE"""),"KANDO SUSHI")</f>
        <v>KANDO SUSHI</v>
      </c>
      <c r="L4302" s="32">
        <f>IFERROR(__xludf.DUMMYFUNCTION("""COMPUTED_VALUE"""),2.0)</f>
        <v>2</v>
      </c>
      <c r="M4302" s="4" t="str">
        <f>IFERROR(__xludf.DUMMYFUNCTION("""COMPUTED_VALUE"""),"Saipos Serviços De Software")</f>
        <v>Saipos Serviços De Software</v>
      </c>
      <c r="N4302" s="33">
        <f>IFERROR(__xludf.DUMMYFUNCTION("""COMPUTED_VALUE"""),0.5)</f>
        <v>0.5</v>
      </c>
      <c r="O4302" s="4" t="str">
        <f>IFERROR(__xludf.DUMMYFUNCTION("""COMPUTED_VALUE"""),"Saipos Serviços De Software")</f>
        <v>Saipos Serviços De Software</v>
      </c>
      <c r="P4302" s="33">
        <f>IFERROR(__xludf.DUMMYFUNCTION("""COMPUTED_VALUE"""),0.5)</f>
        <v>0.5</v>
      </c>
      <c r="Q4302" s="4" t="str">
        <f>IFERROR(__xludf.DUMMYFUNCTION("""COMPUTED_VALUE"""),"Saipos Serviços De Software")</f>
        <v>Saipos Serviços De Software</v>
      </c>
      <c r="R4302" s="33">
        <f>IFERROR(__xludf.DUMMYFUNCTION("""COMPUTED_VALUE"""),0.5)</f>
        <v>0.5</v>
      </c>
      <c r="S4302" s="4" t="str">
        <f>IFERROR(__xludf.DUMMYFUNCTION("""COMPUTED_VALUE"""),"Saipos Serviços De Software")</f>
        <v>Saipos Serviços De Software</v>
      </c>
      <c r="T4302" s="33">
        <f>IFERROR(__xludf.DUMMYFUNCTION("""COMPUTED_VALUE"""),0.5)</f>
        <v>0.5</v>
      </c>
      <c r="U4302" s="4" t="str">
        <f>IFERROR(__xludf.DUMMYFUNCTION("""COMPUTED_VALUE"""),"Saipos Serviços De Software")</f>
        <v>Saipos Serviços De Software</v>
      </c>
      <c r="V4302" s="33">
        <f>IFERROR(__xludf.DUMMYFUNCTION("""COMPUTED_VALUE"""),0.5)</f>
        <v>0.5</v>
      </c>
      <c r="W4302" s="4" t="str">
        <f>IFERROR(__xludf.DUMMYFUNCTION("""COMPUTED_VALUE"""),"Saipos Serviços De Software")</f>
        <v>Saipos Serviços De Software</v>
      </c>
      <c r="X4302" s="33">
        <f>IFERROR(__xludf.DUMMYFUNCTION("""COMPUTED_VALUE"""),0.5)</f>
        <v>0.5</v>
      </c>
    </row>
    <row r="4303">
      <c r="K4303" s="4" t="str">
        <f>IFERROR(__xludf.DUMMYFUNCTION("""COMPUTED_VALUE"""),"NIAGARA BURGUER E ACAI")</f>
        <v>NIAGARA BURGUER E ACAI</v>
      </c>
      <c r="L4303" s="32">
        <f>IFERROR(__xludf.DUMMYFUNCTION("""COMPUTED_VALUE"""),2.0)</f>
        <v>2</v>
      </c>
      <c r="M4303" s="4" t="str">
        <f>IFERROR(__xludf.DUMMYFUNCTION("""COMPUTED_VALUE"""),"Instadelivery")</f>
        <v>Instadelivery</v>
      </c>
      <c r="N4303" s="33">
        <f>IFERROR(__xludf.DUMMYFUNCTION("""COMPUTED_VALUE"""),0.5)</f>
        <v>0.5</v>
      </c>
      <c r="O4303" s="4" t="str">
        <f>IFERROR(__xludf.DUMMYFUNCTION("""COMPUTED_VALUE"""),"Instadelivery")</f>
        <v>Instadelivery</v>
      </c>
      <c r="P4303" s="33">
        <f>IFERROR(__xludf.DUMMYFUNCTION("""COMPUTED_VALUE"""),0.5)</f>
        <v>0.5</v>
      </c>
      <c r="Q4303" s="4" t="str">
        <f>IFERROR(__xludf.DUMMYFUNCTION("""COMPUTED_VALUE"""),"Instadelivery")</f>
        <v>Instadelivery</v>
      </c>
      <c r="R4303" s="33">
        <f>IFERROR(__xludf.DUMMYFUNCTION("""COMPUTED_VALUE"""),0.5)</f>
        <v>0.5</v>
      </c>
      <c r="S4303" s="4" t="str">
        <f>IFERROR(__xludf.DUMMYFUNCTION("""COMPUTED_VALUE"""),"Instadelivery")</f>
        <v>Instadelivery</v>
      </c>
      <c r="T4303" s="33">
        <f>IFERROR(__xludf.DUMMYFUNCTION("""COMPUTED_VALUE"""),0.5)</f>
        <v>0.5</v>
      </c>
      <c r="U4303" s="4" t="str">
        <f>IFERROR(__xludf.DUMMYFUNCTION("""COMPUTED_VALUE"""),"One Solucoes")</f>
        <v>One Solucoes</v>
      </c>
      <c r="V4303" s="33">
        <f>IFERROR(__xludf.DUMMYFUNCTION("""COMPUTED_VALUE"""),1.0)</f>
        <v>1</v>
      </c>
      <c r="W4303" s="4" t="str">
        <f>IFERROR(__xludf.DUMMYFUNCTION("""COMPUTED_VALUE"""),"One Solucoes")</f>
        <v>One Solucoes</v>
      </c>
      <c r="X4303" s="33">
        <f>IFERROR(__xludf.DUMMYFUNCTION("""COMPUTED_VALUE"""),1.0)</f>
        <v>1</v>
      </c>
    </row>
    <row r="4304">
      <c r="K4304" s="4" t="str">
        <f>IFERROR(__xludf.DUMMYFUNCTION("""COMPUTED_VALUE"""),"ESPACO DA PIZZA")</f>
        <v>ESPACO DA PIZZA</v>
      </c>
      <c r="L4304" s="32">
        <f>IFERROR(__xludf.DUMMYFUNCTION("""COMPUTED_VALUE"""),2.0)</f>
        <v>2</v>
      </c>
      <c r="M4304" s="4" t="str">
        <f>IFERROR(__xludf.DUMMYFUNCTION("""COMPUTED_VALUE"""),"Cardápio Web")</f>
        <v>Cardápio Web</v>
      </c>
      <c r="N4304" s="33">
        <f>IFERROR(__xludf.DUMMYFUNCTION("""COMPUTED_VALUE"""),0.5)</f>
        <v>0.5</v>
      </c>
      <c r="O4304" s="4" t="str">
        <f>IFERROR(__xludf.DUMMYFUNCTION("""COMPUTED_VALUE"""),"Cardápio Web")</f>
        <v>Cardápio Web</v>
      </c>
      <c r="P4304" s="33">
        <f>IFERROR(__xludf.DUMMYFUNCTION("""COMPUTED_VALUE"""),0.5)</f>
        <v>0.5</v>
      </c>
      <c r="Q4304" s="4" t="str">
        <f>IFERROR(__xludf.DUMMYFUNCTION("""COMPUTED_VALUE"""),"Cardápio Web")</f>
        <v>Cardápio Web</v>
      </c>
      <c r="R4304" s="33">
        <f>IFERROR(__xludf.DUMMYFUNCTION("""COMPUTED_VALUE"""),0.5)</f>
        <v>0.5</v>
      </c>
      <c r="S4304" s="4" t="str">
        <f>IFERROR(__xludf.DUMMYFUNCTION("""COMPUTED_VALUE"""),"Cardápio Web")</f>
        <v>Cardápio Web</v>
      </c>
      <c r="T4304" s="33">
        <f>IFERROR(__xludf.DUMMYFUNCTION("""COMPUTED_VALUE"""),0.5)</f>
        <v>0.5</v>
      </c>
      <c r="U4304" s="4" t="str">
        <f>IFERROR(__xludf.DUMMYFUNCTION("""COMPUTED_VALUE"""),"Cardápio Web")</f>
        <v>Cardápio Web</v>
      </c>
      <c r="V4304" s="33">
        <f>IFERROR(__xludf.DUMMYFUNCTION("""COMPUTED_VALUE"""),0.5)</f>
        <v>0.5</v>
      </c>
      <c r="W4304" s="4" t="str">
        <f>IFERROR(__xludf.DUMMYFUNCTION("""COMPUTED_VALUE"""),"Cardápio Web")</f>
        <v>Cardápio Web</v>
      </c>
      <c r="X4304" s="33">
        <f>IFERROR(__xludf.DUMMYFUNCTION("""COMPUTED_VALUE"""),0.5)</f>
        <v>0.5</v>
      </c>
    </row>
    <row r="4305">
      <c r="K4305" s="4" t="str">
        <f>IFERROR(__xludf.DUMMYFUNCTION("""COMPUTED_VALUE"""),"AMERICAN SMASH")</f>
        <v>AMERICAN SMASH</v>
      </c>
      <c r="L4305" s="32">
        <f>IFERROR(__xludf.DUMMYFUNCTION("""COMPUTED_VALUE"""),2.0)</f>
        <v>2</v>
      </c>
      <c r="M4305" s="4" t="str">
        <f>IFERROR(__xludf.DUMMYFUNCTION("""COMPUTED_VALUE"""),"Saipos Serviços De Software")</f>
        <v>Saipos Serviços De Software</v>
      </c>
      <c r="N4305" s="33">
        <f>IFERROR(__xludf.DUMMYFUNCTION("""COMPUTED_VALUE"""),1.0)</f>
        <v>1</v>
      </c>
      <c r="O4305" s="4" t="str">
        <f>IFERROR(__xludf.DUMMYFUNCTION("""COMPUTED_VALUE"""),"Saipos Serviços De Software")</f>
        <v>Saipos Serviços De Software</v>
      </c>
      <c r="P4305" s="33">
        <f>IFERROR(__xludf.DUMMYFUNCTION("""COMPUTED_VALUE"""),1.0)</f>
        <v>1</v>
      </c>
      <c r="Q4305" s="4" t="str">
        <f>IFERROR(__xludf.DUMMYFUNCTION("""COMPUTED_VALUE"""),"Saipos Serviços De Software")</f>
        <v>Saipos Serviços De Software</v>
      </c>
      <c r="R4305" s="33">
        <f>IFERROR(__xludf.DUMMYFUNCTION("""COMPUTED_VALUE"""),1.0)</f>
        <v>1</v>
      </c>
      <c r="S4305" s="4" t="str">
        <f>IFERROR(__xludf.DUMMYFUNCTION("""COMPUTED_VALUE"""),"Saipos Serviços De Software")</f>
        <v>Saipos Serviços De Software</v>
      </c>
      <c r="T4305" s="33">
        <f>IFERROR(__xludf.DUMMYFUNCTION("""COMPUTED_VALUE"""),1.0)</f>
        <v>1</v>
      </c>
      <c r="U4305" s="4" t="str">
        <f>IFERROR(__xludf.DUMMYFUNCTION("""COMPUTED_VALUE"""),"Saipos Serviços De Software")</f>
        <v>Saipos Serviços De Software</v>
      </c>
      <c r="V4305" s="33">
        <f>IFERROR(__xludf.DUMMYFUNCTION("""COMPUTED_VALUE"""),1.0)</f>
        <v>1</v>
      </c>
      <c r="W4305" s="4" t="str">
        <f>IFERROR(__xludf.DUMMYFUNCTION("""COMPUTED_VALUE"""),"Saipos Serviços De Software")</f>
        <v>Saipos Serviços De Software</v>
      </c>
      <c r="X4305" s="33">
        <f>IFERROR(__xludf.DUMMYFUNCTION("""COMPUTED_VALUE"""),1.0)</f>
        <v>1</v>
      </c>
    </row>
    <row r="4306">
      <c r="K4306" s="4" t="str">
        <f>IFERROR(__xludf.DUMMYFUNCTION("""COMPUTED_VALUE"""),"CIA BURGUER")</f>
        <v>CIA BURGUER</v>
      </c>
      <c r="L4306" s="32">
        <f>IFERROR(__xludf.DUMMYFUNCTION("""COMPUTED_VALUE"""),2.0)</f>
        <v>2</v>
      </c>
      <c r="M4306" s="4" t="str">
        <f>IFERROR(__xludf.DUMMYFUNCTION("""COMPUTED_VALUE"""),"null")</f>
        <v>null</v>
      </c>
      <c r="N4306" s="33">
        <f>IFERROR(__xludf.DUMMYFUNCTION("""COMPUTED_VALUE"""),1.0)</f>
        <v>1</v>
      </c>
      <c r="O4306" s="4" t="str">
        <f>IFERROR(__xludf.DUMMYFUNCTION("""COMPUTED_VALUE"""),"null")</f>
        <v>null</v>
      </c>
      <c r="P4306" s="33">
        <f>IFERROR(__xludf.DUMMYFUNCTION("""COMPUTED_VALUE"""),1.0)</f>
        <v>1</v>
      </c>
      <c r="Q4306" s="4" t="str">
        <f>IFERROR(__xludf.DUMMYFUNCTION("""COMPUTED_VALUE"""),"null")</f>
        <v>null</v>
      </c>
      <c r="R4306" s="33">
        <f>IFERROR(__xludf.DUMMYFUNCTION("""COMPUTED_VALUE"""),1.0)</f>
        <v>1</v>
      </c>
      <c r="S4306" s="4" t="str">
        <f>IFERROR(__xludf.DUMMYFUNCTION("""COMPUTED_VALUE"""),"Saipos Serviços De Software")</f>
        <v>Saipos Serviços De Software</v>
      </c>
      <c r="T4306" s="33">
        <f>IFERROR(__xludf.DUMMYFUNCTION("""COMPUTED_VALUE"""),1.0)</f>
        <v>1</v>
      </c>
      <c r="U4306" s="4" t="str">
        <f>IFERROR(__xludf.DUMMYFUNCTION("""COMPUTED_VALUE"""),"Saipos Serviços De Software")</f>
        <v>Saipos Serviços De Software</v>
      </c>
      <c r="V4306" s="33">
        <f>IFERROR(__xludf.DUMMYFUNCTION("""COMPUTED_VALUE"""),1.0)</f>
        <v>1</v>
      </c>
      <c r="W4306" s="4" t="str">
        <f>IFERROR(__xludf.DUMMYFUNCTION("""COMPUTED_VALUE"""),"Saipos Serviços De Software")</f>
        <v>Saipos Serviços De Software</v>
      </c>
      <c r="X4306" s="33">
        <f>IFERROR(__xludf.DUMMYFUNCTION("""COMPUTED_VALUE"""),1.0)</f>
        <v>1</v>
      </c>
    </row>
    <row r="4307">
      <c r="K4307" s="4" t="str">
        <f>IFERROR(__xludf.DUMMYFUNCTION("""COMPUTED_VALUE"""),"GENIN BRASA BURGER")</f>
        <v>GENIN BRASA BURGER</v>
      </c>
      <c r="L4307" s="32">
        <f>IFERROR(__xludf.DUMMYFUNCTION("""COMPUTED_VALUE"""),2.0)</f>
        <v>2</v>
      </c>
      <c r="M4307" s="4" t="str">
        <f>IFERROR(__xludf.DUMMYFUNCTION("""COMPUTED_VALUE"""),"Anota Ai Solucoes Digitais S/a")</f>
        <v>Anota Ai Solucoes Digitais S/a</v>
      </c>
      <c r="N4307" s="33">
        <f>IFERROR(__xludf.DUMMYFUNCTION("""COMPUTED_VALUE"""),0.5)</f>
        <v>0.5</v>
      </c>
      <c r="O4307" s="4" t="str">
        <f>IFERROR(__xludf.DUMMYFUNCTION("""COMPUTED_VALUE"""),"Anota Ai Solucoes Digitais S/a")</f>
        <v>Anota Ai Solucoes Digitais S/a</v>
      </c>
      <c r="P4307" s="33">
        <f>IFERROR(__xludf.DUMMYFUNCTION("""COMPUTED_VALUE"""),0.5)</f>
        <v>0.5</v>
      </c>
      <c r="Q4307" s="4" t="str">
        <f>IFERROR(__xludf.DUMMYFUNCTION("""COMPUTED_VALUE"""),"Anota Ai Solucoes Digitais S/a")</f>
        <v>Anota Ai Solucoes Digitais S/a</v>
      </c>
      <c r="R4307" s="33">
        <f>IFERROR(__xludf.DUMMYFUNCTION("""COMPUTED_VALUE"""),0.5)</f>
        <v>0.5</v>
      </c>
      <c r="S4307" s="4" t="str">
        <f>IFERROR(__xludf.DUMMYFUNCTION("""COMPUTED_VALUE"""),"Anota Ai Solucoes Digitais S/a")</f>
        <v>Anota Ai Solucoes Digitais S/a</v>
      </c>
      <c r="T4307" s="33">
        <f>IFERROR(__xludf.DUMMYFUNCTION("""COMPUTED_VALUE"""),0.5)</f>
        <v>0.5</v>
      </c>
      <c r="U4307" s="4" t="str">
        <f>IFERROR(__xludf.DUMMYFUNCTION("""COMPUTED_VALUE"""),"Anota Ai Solucoes Digitais S/a")</f>
        <v>Anota Ai Solucoes Digitais S/a</v>
      </c>
      <c r="V4307" s="33">
        <f>IFERROR(__xludf.DUMMYFUNCTION("""COMPUTED_VALUE"""),0.5)</f>
        <v>0.5</v>
      </c>
      <c r="W4307" s="4" t="str">
        <f>IFERROR(__xludf.DUMMYFUNCTION("""COMPUTED_VALUE"""),"null")</f>
        <v>null</v>
      </c>
      <c r="X4307" s="33">
        <f>IFERROR(__xludf.DUMMYFUNCTION("""COMPUTED_VALUE"""),0.5)</f>
        <v>0.5</v>
      </c>
    </row>
    <row r="4308">
      <c r="K4308" s="4" t="str">
        <f>IFERROR(__xludf.DUMMYFUNCTION("""COMPUTED_VALUE"""),"PIZZARIA LO STRANIERO")</f>
        <v>PIZZARIA LO STRANIERO</v>
      </c>
      <c r="L4308" s="32">
        <f>IFERROR(__xludf.DUMMYFUNCTION("""COMPUTED_VALUE"""),2.0)</f>
        <v>2</v>
      </c>
      <c r="M4308" s="4" t="str">
        <f>IFERROR(__xludf.DUMMYFUNCTION("""COMPUTED_VALUE"""),"Saipos Serviços De Software")</f>
        <v>Saipos Serviços De Software</v>
      </c>
      <c r="N4308" s="33">
        <f>IFERROR(__xludf.DUMMYFUNCTION("""COMPUTED_VALUE"""),1.0)</f>
        <v>1</v>
      </c>
      <c r="O4308" s="4" t="str">
        <f>IFERROR(__xludf.DUMMYFUNCTION("""COMPUTED_VALUE"""),"Saipos Serviços De Software")</f>
        <v>Saipos Serviços De Software</v>
      </c>
      <c r="P4308" s="33">
        <f>IFERROR(__xludf.DUMMYFUNCTION("""COMPUTED_VALUE"""),1.0)</f>
        <v>1</v>
      </c>
      <c r="Q4308" s="4" t="str">
        <f>IFERROR(__xludf.DUMMYFUNCTION("""COMPUTED_VALUE"""),"Saipos Serviços De Software")</f>
        <v>Saipos Serviços De Software</v>
      </c>
      <c r="R4308" s="33">
        <f>IFERROR(__xludf.DUMMYFUNCTION("""COMPUTED_VALUE"""),1.0)</f>
        <v>1</v>
      </c>
      <c r="S4308" s="4" t="str">
        <f>IFERROR(__xludf.DUMMYFUNCTION("""COMPUTED_VALUE"""),"null")</f>
        <v>null</v>
      </c>
      <c r="T4308" s="33">
        <f>IFERROR(__xludf.DUMMYFUNCTION("""COMPUTED_VALUE"""),0.5)</f>
        <v>0.5</v>
      </c>
      <c r="U4308" s="4" t="str">
        <f>IFERROR(__xludf.DUMMYFUNCTION("""COMPUTED_VALUE"""),"Saipos Serviços De Software")</f>
        <v>Saipos Serviços De Software</v>
      </c>
      <c r="V4308" s="33">
        <f>IFERROR(__xludf.DUMMYFUNCTION("""COMPUTED_VALUE"""),1.0)</f>
        <v>1</v>
      </c>
      <c r="W4308" s="4" t="str">
        <f>IFERROR(__xludf.DUMMYFUNCTION("""COMPUTED_VALUE"""),"Saipos Serviços De Software")</f>
        <v>Saipos Serviços De Software</v>
      </c>
      <c r="X4308" s="33">
        <f>IFERROR(__xludf.DUMMYFUNCTION("""COMPUTED_VALUE"""),1.0)</f>
        <v>1</v>
      </c>
    </row>
    <row r="4309">
      <c r="K4309" s="4" t="str">
        <f>IFERROR(__xludf.DUMMYFUNCTION("""COMPUTED_VALUE"""),"PIZZARIA RANCHO")</f>
        <v>PIZZARIA RANCHO</v>
      </c>
      <c r="L4309" s="32">
        <f>IFERROR(__xludf.DUMMYFUNCTION("""COMPUTED_VALUE"""),2.0)</f>
        <v>2</v>
      </c>
      <c r="M4309" s="4" t="str">
        <f>IFERROR(__xludf.DUMMYFUNCTION("""COMPUTED_VALUE"""),"Latech Informatica Ltda")</f>
        <v>Latech Informatica Ltda</v>
      </c>
      <c r="N4309" s="33">
        <f>IFERROR(__xludf.DUMMYFUNCTION("""COMPUTED_VALUE"""),0.5)</f>
        <v>0.5</v>
      </c>
      <c r="O4309" s="4" t="str">
        <f>IFERROR(__xludf.DUMMYFUNCTION("""COMPUTED_VALUE"""),"Latech Informatica Ltda")</f>
        <v>Latech Informatica Ltda</v>
      </c>
      <c r="P4309" s="33">
        <f>IFERROR(__xludf.DUMMYFUNCTION("""COMPUTED_VALUE"""),0.5)</f>
        <v>0.5</v>
      </c>
      <c r="Q4309" s="4" t="str">
        <f>IFERROR(__xludf.DUMMYFUNCTION("""COMPUTED_VALUE"""),"Latech Informatica Ltda")</f>
        <v>Latech Informatica Ltda</v>
      </c>
      <c r="R4309" s="33">
        <f>IFERROR(__xludf.DUMMYFUNCTION("""COMPUTED_VALUE"""),0.5)</f>
        <v>0.5</v>
      </c>
      <c r="S4309" s="4" t="str">
        <f>IFERROR(__xludf.DUMMYFUNCTION("""COMPUTED_VALUE"""),"Latech Informatica Ltda")</f>
        <v>Latech Informatica Ltda</v>
      </c>
      <c r="T4309" s="33">
        <f>IFERROR(__xludf.DUMMYFUNCTION("""COMPUTED_VALUE"""),0.5)</f>
        <v>0.5</v>
      </c>
      <c r="U4309" s="4" t="str">
        <f>IFERROR(__xludf.DUMMYFUNCTION("""COMPUTED_VALUE"""),"null")</f>
        <v>null</v>
      </c>
      <c r="V4309" s="33">
        <f>IFERROR(__xludf.DUMMYFUNCTION("""COMPUTED_VALUE"""),0.5)</f>
        <v>0.5</v>
      </c>
      <c r="W4309" s="4" t="str">
        <f>IFERROR(__xludf.DUMMYFUNCTION("""COMPUTED_VALUE"""),"null")</f>
        <v>null</v>
      </c>
      <c r="X4309" s="33">
        <f>IFERROR(__xludf.DUMMYFUNCTION("""COMPUTED_VALUE"""),0.5)</f>
        <v>0.5</v>
      </c>
    </row>
    <row r="4310">
      <c r="K4310" s="4" t="str">
        <f>IFERROR(__xludf.DUMMYFUNCTION("""COMPUTED_VALUE"""),"LOLOIZA SORVETES E ACAI")</f>
        <v>LOLOIZA SORVETES E ACAI</v>
      </c>
      <c r="L4310" s="32">
        <f>IFERROR(__xludf.DUMMYFUNCTION("""COMPUTED_VALUE"""),2.0)</f>
        <v>2</v>
      </c>
      <c r="M4310" s="4" t="str">
        <f>IFERROR(__xludf.DUMMYFUNCTION("""COMPUTED_VALUE"""),"Suitable Tecnologia E Gestao")</f>
        <v>Suitable Tecnologia E Gestao</v>
      </c>
      <c r="N4310" s="33">
        <f>IFERROR(__xludf.DUMMYFUNCTION("""COMPUTED_VALUE"""),0.5)</f>
        <v>0.5</v>
      </c>
      <c r="O4310" s="4" t="str">
        <f>IFERROR(__xludf.DUMMYFUNCTION("""COMPUTED_VALUE"""),"Suitable Tecnologia E Gestao")</f>
        <v>Suitable Tecnologia E Gestao</v>
      </c>
      <c r="P4310" s="33">
        <f>IFERROR(__xludf.DUMMYFUNCTION("""COMPUTED_VALUE"""),0.5)</f>
        <v>0.5</v>
      </c>
      <c r="Q4310" s="4" t="str">
        <f>IFERROR(__xludf.DUMMYFUNCTION("""COMPUTED_VALUE"""),"Suitable Tecnologia E Gestao")</f>
        <v>Suitable Tecnologia E Gestao</v>
      </c>
      <c r="R4310" s="33">
        <f>IFERROR(__xludf.DUMMYFUNCTION("""COMPUTED_VALUE"""),0.5)</f>
        <v>0.5</v>
      </c>
      <c r="S4310" s="4" t="str">
        <f>IFERROR(__xludf.DUMMYFUNCTION("""COMPUTED_VALUE"""),"Suitable Tecnologia E Gestao")</f>
        <v>Suitable Tecnologia E Gestao</v>
      </c>
      <c r="T4310" s="33">
        <f>IFERROR(__xludf.DUMMYFUNCTION("""COMPUTED_VALUE"""),0.5)</f>
        <v>0.5</v>
      </c>
      <c r="U4310" s="4" t="str">
        <f>IFERROR(__xludf.DUMMYFUNCTION("""COMPUTED_VALUE"""),"Suitable Tecnologia E Gestao")</f>
        <v>Suitable Tecnologia E Gestao</v>
      </c>
      <c r="V4310" s="33">
        <f>IFERROR(__xludf.DUMMYFUNCTION("""COMPUTED_VALUE"""),0.5)</f>
        <v>0.5</v>
      </c>
      <c r="W4310" s="4" t="str">
        <f>IFERROR(__xludf.DUMMYFUNCTION("""COMPUTED_VALUE"""),"Suitable Tecnologia E Gestao")</f>
        <v>Suitable Tecnologia E Gestao</v>
      </c>
      <c r="X4310" s="33">
        <f>IFERROR(__xludf.DUMMYFUNCTION("""COMPUTED_VALUE"""),0.5)</f>
        <v>0.5</v>
      </c>
    </row>
    <row r="4311">
      <c r="K4311" s="4" t="str">
        <f>IFERROR(__xludf.DUMMYFUNCTION("""COMPUTED_VALUE"""),"CRAZY TASTE HAMBURGUERIA")</f>
        <v>CRAZY TASTE HAMBURGUERIA</v>
      </c>
      <c r="L4311" s="32">
        <f>IFERROR(__xludf.DUMMYFUNCTION("""COMPUTED_VALUE"""),2.0)</f>
        <v>2</v>
      </c>
      <c r="M4311" s="4" t="str">
        <f>IFERROR(__xludf.DUMMYFUNCTION("""COMPUTED_VALUE"""),"Saipos Serviços De Software")</f>
        <v>Saipos Serviços De Software</v>
      </c>
      <c r="N4311" s="33">
        <f>IFERROR(__xludf.DUMMYFUNCTION("""COMPUTED_VALUE"""),0.5)</f>
        <v>0.5</v>
      </c>
      <c r="O4311" s="4" t="str">
        <f>IFERROR(__xludf.DUMMYFUNCTION("""COMPUTED_VALUE"""),"Saipos Serviços De Software")</f>
        <v>Saipos Serviços De Software</v>
      </c>
      <c r="P4311" s="33">
        <f>IFERROR(__xludf.DUMMYFUNCTION("""COMPUTED_VALUE"""),0.5)</f>
        <v>0.5</v>
      </c>
      <c r="Q4311" s="4" t="str">
        <f>IFERROR(__xludf.DUMMYFUNCTION("""COMPUTED_VALUE"""),"Saipos Serviços De Software")</f>
        <v>Saipos Serviços De Software</v>
      </c>
      <c r="R4311" s="33">
        <f>IFERROR(__xludf.DUMMYFUNCTION("""COMPUTED_VALUE"""),0.5)</f>
        <v>0.5</v>
      </c>
      <c r="S4311" s="4" t="str">
        <f>IFERROR(__xludf.DUMMYFUNCTION("""COMPUTED_VALUE"""),"Saipos Serviços De Software")</f>
        <v>Saipos Serviços De Software</v>
      </c>
      <c r="T4311" s="33">
        <f>IFERROR(__xludf.DUMMYFUNCTION("""COMPUTED_VALUE"""),0.5)</f>
        <v>0.5</v>
      </c>
      <c r="U4311" s="4" t="str">
        <f>IFERROR(__xludf.DUMMYFUNCTION("""COMPUTED_VALUE"""),"Saipos Serviços De Software")</f>
        <v>Saipos Serviços De Software</v>
      </c>
      <c r="V4311" s="33">
        <f>IFERROR(__xludf.DUMMYFUNCTION("""COMPUTED_VALUE"""),0.5)</f>
        <v>0.5</v>
      </c>
      <c r="W4311" s="4" t="str">
        <f>IFERROR(__xludf.DUMMYFUNCTION("""COMPUTED_VALUE"""),"Saipos Serviços De Software")</f>
        <v>Saipos Serviços De Software</v>
      </c>
      <c r="X4311" s="33">
        <f>IFERROR(__xludf.DUMMYFUNCTION("""COMPUTED_VALUE"""),0.5)</f>
        <v>0.5</v>
      </c>
    </row>
    <row r="4312">
      <c r="K4312" s="4" t="str">
        <f>IFERROR(__xludf.DUMMYFUNCTION("""COMPUTED_VALUE"""),"GUGANA BURGUER")</f>
        <v>GUGANA BURGUER</v>
      </c>
      <c r="L4312" s="32">
        <f>IFERROR(__xludf.DUMMYFUNCTION("""COMPUTED_VALUE"""),2.0)</f>
        <v>2</v>
      </c>
      <c r="M4312" s="4" t="str">
        <f>IFERROR(__xludf.DUMMYFUNCTION("""COMPUTED_VALUE"""),"Brendi")</f>
        <v>Brendi</v>
      </c>
      <c r="N4312" s="33">
        <f>IFERROR(__xludf.DUMMYFUNCTION("""COMPUTED_VALUE"""),1.0)</f>
        <v>1</v>
      </c>
      <c r="O4312" s="4" t="str">
        <f>IFERROR(__xludf.DUMMYFUNCTION("""COMPUTED_VALUE"""),"Brendi")</f>
        <v>Brendi</v>
      </c>
      <c r="P4312" s="33">
        <f>IFERROR(__xludf.DUMMYFUNCTION("""COMPUTED_VALUE"""),0.5)</f>
        <v>0.5</v>
      </c>
      <c r="Q4312" s="4" t="str">
        <f>IFERROR(__xludf.DUMMYFUNCTION("""COMPUTED_VALUE"""),"Brendi")</f>
        <v>Brendi</v>
      </c>
      <c r="R4312" s="33">
        <f>IFERROR(__xludf.DUMMYFUNCTION("""COMPUTED_VALUE"""),1.0)</f>
        <v>1</v>
      </c>
      <c r="S4312" s="4" t="str">
        <f>IFERROR(__xludf.DUMMYFUNCTION("""COMPUTED_VALUE"""),"Brendi")</f>
        <v>Brendi</v>
      </c>
      <c r="T4312" s="33">
        <f>IFERROR(__xludf.DUMMYFUNCTION("""COMPUTED_VALUE"""),0.5)</f>
        <v>0.5</v>
      </c>
      <c r="U4312" s="4" t="str">
        <f>IFERROR(__xludf.DUMMYFUNCTION("""COMPUTED_VALUE"""),"Brendi")</f>
        <v>Brendi</v>
      </c>
      <c r="V4312" s="33">
        <f>IFERROR(__xludf.DUMMYFUNCTION("""COMPUTED_VALUE"""),1.0)</f>
        <v>1</v>
      </c>
      <c r="W4312" s="4" t="str">
        <f>IFERROR(__xludf.DUMMYFUNCTION("""COMPUTED_VALUE"""),"Brendi")</f>
        <v>Brendi</v>
      </c>
      <c r="X4312" s="33">
        <f>IFERROR(__xludf.DUMMYFUNCTION("""COMPUTED_VALUE"""),1.0)</f>
        <v>1</v>
      </c>
    </row>
    <row r="4313">
      <c r="K4313" s="4" t="str">
        <f>IFERROR(__xludf.DUMMYFUNCTION("""COMPUTED_VALUE"""),"GLACE REAL - BOLOS DOCES SALGADOS")</f>
        <v>GLACE REAL - BOLOS DOCES SALGADOS</v>
      </c>
      <c r="L4313" s="32">
        <f>IFERROR(__xludf.DUMMYFUNCTION("""COMPUTED_VALUE"""),2.0)</f>
        <v>2</v>
      </c>
      <c r="M4313" s="4" t="str">
        <f>IFERROR(__xludf.DUMMYFUNCTION("""COMPUTED_VALUE"""),"null")</f>
        <v>null</v>
      </c>
      <c r="N4313" s="33">
        <f>IFERROR(__xludf.DUMMYFUNCTION("""COMPUTED_VALUE"""),1.0)</f>
        <v>1</v>
      </c>
      <c r="O4313" s="4" t="str">
        <f>IFERROR(__xludf.DUMMYFUNCTION("""COMPUTED_VALUE"""),"null")</f>
        <v>null</v>
      </c>
      <c r="P4313" s="33">
        <f>IFERROR(__xludf.DUMMYFUNCTION("""COMPUTED_VALUE"""),0.5)</f>
        <v>0.5</v>
      </c>
      <c r="Q4313" s="4" t="str">
        <f>IFERROR(__xludf.DUMMYFUNCTION("""COMPUTED_VALUE"""),"Altec Sistemas")</f>
        <v>Altec Sistemas</v>
      </c>
      <c r="R4313" s="33">
        <f>IFERROR(__xludf.DUMMYFUNCTION("""COMPUTED_VALUE"""),1.0)</f>
        <v>1</v>
      </c>
      <c r="S4313" s="4" t="str">
        <f>IFERROR(__xludf.DUMMYFUNCTION("""COMPUTED_VALUE"""),"Altec Sistemas")</f>
        <v>Altec Sistemas</v>
      </c>
      <c r="T4313" s="33">
        <f>IFERROR(__xludf.DUMMYFUNCTION("""COMPUTED_VALUE"""),1.0)</f>
        <v>1</v>
      </c>
      <c r="U4313" s="4" t="str">
        <f>IFERROR(__xludf.DUMMYFUNCTION("""COMPUTED_VALUE"""),"Altec Sistemas")</f>
        <v>Altec Sistemas</v>
      </c>
      <c r="V4313" s="33">
        <f>IFERROR(__xludf.DUMMYFUNCTION("""COMPUTED_VALUE"""),1.0)</f>
        <v>1</v>
      </c>
      <c r="W4313" s="4" t="str">
        <f>IFERROR(__xludf.DUMMYFUNCTION("""COMPUTED_VALUE"""),"Altec Sistemas")</f>
        <v>Altec Sistemas</v>
      </c>
      <c r="X4313" s="33">
        <f>IFERROR(__xludf.DUMMYFUNCTION("""COMPUTED_VALUE"""),1.0)</f>
        <v>1</v>
      </c>
    </row>
    <row r="4314">
      <c r="K4314" s="4" t="str">
        <f>IFERROR(__xludf.DUMMYFUNCTION("""COMPUTED_VALUE"""),"GARAGE PIZZA BURGER")</f>
        <v>GARAGE PIZZA BURGER</v>
      </c>
      <c r="L4314" s="32">
        <f>IFERROR(__xludf.DUMMYFUNCTION("""COMPUTED_VALUE"""),2.0)</f>
        <v>2</v>
      </c>
      <c r="M4314" s="4" t="str">
        <f>IFERROR(__xludf.DUMMYFUNCTION("""COMPUTED_VALUE"""),"Saipos Serviços De Software")</f>
        <v>Saipos Serviços De Software</v>
      </c>
      <c r="N4314" s="33">
        <f>IFERROR(__xludf.DUMMYFUNCTION("""COMPUTED_VALUE"""),1.0)</f>
        <v>1</v>
      </c>
      <c r="O4314" s="4" t="str">
        <f>IFERROR(__xludf.DUMMYFUNCTION("""COMPUTED_VALUE"""),"Saipos Serviços De Software")</f>
        <v>Saipos Serviços De Software</v>
      </c>
      <c r="P4314" s="33">
        <f>IFERROR(__xludf.DUMMYFUNCTION("""COMPUTED_VALUE"""),1.0)</f>
        <v>1</v>
      </c>
      <c r="Q4314" s="4" t="str">
        <f>IFERROR(__xludf.DUMMYFUNCTION("""COMPUTED_VALUE"""),"Saipos Serviços De Software")</f>
        <v>Saipos Serviços De Software</v>
      </c>
      <c r="R4314" s="33">
        <f>IFERROR(__xludf.DUMMYFUNCTION("""COMPUTED_VALUE"""),1.0)</f>
        <v>1</v>
      </c>
      <c r="S4314" s="4" t="str">
        <f>IFERROR(__xludf.DUMMYFUNCTION("""COMPUTED_VALUE"""),"Saipos Serviços De Software")</f>
        <v>Saipos Serviços De Software</v>
      </c>
      <c r="T4314" s="33">
        <f>IFERROR(__xludf.DUMMYFUNCTION("""COMPUTED_VALUE"""),1.0)</f>
        <v>1</v>
      </c>
      <c r="U4314" s="4" t="str">
        <f>IFERROR(__xludf.DUMMYFUNCTION("""COMPUTED_VALUE"""),"Saipos Serviços De Software")</f>
        <v>Saipos Serviços De Software</v>
      </c>
      <c r="V4314" s="33">
        <f>IFERROR(__xludf.DUMMYFUNCTION("""COMPUTED_VALUE"""),1.0)</f>
        <v>1</v>
      </c>
      <c r="W4314" s="4" t="str">
        <f>IFERROR(__xludf.DUMMYFUNCTION("""COMPUTED_VALUE"""),"Saipos Serviços De Software")</f>
        <v>Saipos Serviços De Software</v>
      </c>
      <c r="X4314" s="33">
        <f>IFERROR(__xludf.DUMMYFUNCTION("""COMPUTED_VALUE"""),1.0)</f>
        <v>1</v>
      </c>
    </row>
    <row r="4315">
      <c r="K4315" s="4" t="str">
        <f>IFERROR(__xludf.DUMMYFUNCTION("""COMPUTED_VALUE"""),"PAULO DO PEIXE")</f>
        <v>PAULO DO PEIXE</v>
      </c>
      <c r="L4315" s="32">
        <f>IFERROR(__xludf.DUMMYFUNCTION("""COMPUTED_VALUE"""),2.0)</f>
        <v>2</v>
      </c>
      <c r="M4315" s="4" t="str">
        <f>IFERROR(__xludf.DUMMYFUNCTION("""COMPUTED_VALUE"""),"Netcontroll Xmenu")</f>
        <v>Netcontroll Xmenu</v>
      </c>
      <c r="N4315" s="33">
        <f>IFERROR(__xludf.DUMMYFUNCTION("""COMPUTED_VALUE"""),1.0)</f>
        <v>1</v>
      </c>
      <c r="O4315" s="4" t="str">
        <f>IFERROR(__xludf.DUMMYFUNCTION("""COMPUTED_VALUE"""),"Netcontroll Xmenu")</f>
        <v>Netcontroll Xmenu</v>
      </c>
      <c r="P4315" s="33">
        <f>IFERROR(__xludf.DUMMYFUNCTION("""COMPUTED_VALUE"""),0.5)</f>
        <v>0.5</v>
      </c>
      <c r="Q4315" s="4" t="str">
        <f>IFERROR(__xludf.DUMMYFUNCTION("""COMPUTED_VALUE"""),"null")</f>
        <v>null</v>
      </c>
      <c r="R4315" s="33">
        <f>IFERROR(__xludf.DUMMYFUNCTION("""COMPUTED_VALUE"""),0.5)</f>
        <v>0.5</v>
      </c>
      <c r="S4315" s="4" t="str">
        <f>IFERROR(__xludf.DUMMYFUNCTION("""COMPUTED_VALUE"""),"Netcontroll Xmenu")</f>
        <v>Netcontroll Xmenu</v>
      </c>
      <c r="T4315" s="33">
        <f>IFERROR(__xludf.DUMMYFUNCTION("""COMPUTED_VALUE"""),1.0)</f>
        <v>1</v>
      </c>
      <c r="U4315" s="4" t="str">
        <f>IFERROR(__xludf.DUMMYFUNCTION("""COMPUTED_VALUE"""),"null")</f>
        <v>null</v>
      </c>
      <c r="V4315" s="33">
        <f>IFERROR(__xludf.DUMMYFUNCTION("""COMPUTED_VALUE"""),0.5)</f>
        <v>0.5</v>
      </c>
      <c r="W4315" s="4" t="str">
        <f>IFERROR(__xludf.DUMMYFUNCTION("""COMPUTED_VALUE"""),"Netcontroll Xmenu")</f>
        <v>Netcontroll Xmenu</v>
      </c>
      <c r="X4315" s="33">
        <f>IFERROR(__xludf.DUMMYFUNCTION("""COMPUTED_VALUE"""),1.0)</f>
        <v>1</v>
      </c>
    </row>
    <row r="4316">
      <c r="K4316" s="4" t="str">
        <f>IFERROR(__xludf.DUMMYFUNCTION("""COMPUTED_VALUE"""),"FROZENMIX MILKSHAKE E ACAI")</f>
        <v>FROZENMIX MILKSHAKE E ACAI</v>
      </c>
      <c r="L4316" s="32">
        <f>IFERROR(__xludf.DUMMYFUNCTION("""COMPUTED_VALUE"""),2.0)</f>
        <v>2</v>
      </c>
      <c r="M4316" s="4" t="str">
        <f>IFERROR(__xludf.DUMMYFUNCTION("""COMPUTED_VALUE"""),"Stone Co.")</f>
        <v>Stone Co.</v>
      </c>
      <c r="N4316" s="33">
        <f>IFERROR(__xludf.DUMMYFUNCTION("""COMPUTED_VALUE"""),0.5)</f>
        <v>0.5</v>
      </c>
      <c r="O4316" s="4" t="str">
        <f>IFERROR(__xludf.DUMMYFUNCTION("""COMPUTED_VALUE"""),"Stone Co.")</f>
        <v>Stone Co.</v>
      </c>
      <c r="P4316" s="33">
        <f>IFERROR(__xludf.DUMMYFUNCTION("""COMPUTED_VALUE"""),1.0)</f>
        <v>1</v>
      </c>
      <c r="Q4316" s="4" t="str">
        <f>IFERROR(__xludf.DUMMYFUNCTION("""COMPUTED_VALUE"""),"Stone Co.")</f>
        <v>Stone Co.</v>
      </c>
      <c r="R4316" s="33">
        <f>IFERROR(__xludf.DUMMYFUNCTION("""COMPUTED_VALUE"""),0.5)</f>
        <v>0.5</v>
      </c>
      <c r="S4316" s="4" t="str">
        <f>IFERROR(__xludf.DUMMYFUNCTION("""COMPUTED_VALUE"""),"Stone Co.")</f>
        <v>Stone Co.</v>
      </c>
      <c r="T4316" s="33">
        <f>IFERROR(__xludf.DUMMYFUNCTION("""COMPUTED_VALUE"""),0.5)</f>
        <v>0.5</v>
      </c>
      <c r="U4316" s="4" t="str">
        <f>IFERROR(__xludf.DUMMYFUNCTION("""COMPUTED_VALUE"""),"null")</f>
        <v>null</v>
      </c>
      <c r="V4316" s="33">
        <f>IFERROR(__xludf.DUMMYFUNCTION("""COMPUTED_VALUE"""),1.0)</f>
        <v>1</v>
      </c>
      <c r="W4316" s="4" t="str">
        <f>IFERROR(__xludf.DUMMYFUNCTION("""COMPUTED_VALUE"""),"null")</f>
        <v>null</v>
      </c>
      <c r="X4316" s="33">
        <f>IFERROR(__xludf.DUMMYFUNCTION("""COMPUTED_VALUE"""),1.0)</f>
        <v>1</v>
      </c>
    </row>
    <row r="4317">
      <c r="K4317" s="4" t="str">
        <f>IFERROR(__xludf.DUMMYFUNCTION("""COMPUTED_VALUE"""),"TEM SUSHI")</f>
        <v>TEM SUSHI</v>
      </c>
      <c r="L4317" s="32">
        <f>IFERROR(__xludf.DUMMYFUNCTION("""COMPUTED_VALUE"""),2.0)</f>
        <v>2</v>
      </c>
      <c r="M4317" s="4" t="str">
        <f>IFERROR(__xludf.DUMMYFUNCTION("""COMPUTED_VALUE"""),"Cardápio Web")</f>
        <v>Cardápio Web</v>
      </c>
      <c r="N4317" s="33">
        <f>IFERROR(__xludf.DUMMYFUNCTION("""COMPUTED_VALUE"""),0.5)</f>
        <v>0.5</v>
      </c>
      <c r="O4317" s="4" t="str">
        <f>IFERROR(__xludf.DUMMYFUNCTION("""COMPUTED_VALUE"""),"Cardápio Web")</f>
        <v>Cardápio Web</v>
      </c>
      <c r="P4317" s="33">
        <f>IFERROR(__xludf.DUMMYFUNCTION("""COMPUTED_VALUE"""),0.5)</f>
        <v>0.5</v>
      </c>
      <c r="Q4317" s="4" t="str">
        <f>IFERROR(__xludf.DUMMYFUNCTION("""COMPUTED_VALUE"""),"null")</f>
        <v>null</v>
      </c>
      <c r="R4317" s="33">
        <f>IFERROR(__xludf.DUMMYFUNCTION("""COMPUTED_VALUE"""),0.5)</f>
        <v>0.5</v>
      </c>
      <c r="S4317" s="4" t="str">
        <f>IFERROR(__xludf.DUMMYFUNCTION("""COMPUTED_VALUE"""),"null")</f>
        <v>null</v>
      </c>
      <c r="T4317" s="33">
        <f>IFERROR(__xludf.DUMMYFUNCTION("""COMPUTED_VALUE"""),0.5)</f>
        <v>0.5</v>
      </c>
      <c r="U4317" s="4" t="str">
        <f>IFERROR(__xludf.DUMMYFUNCTION("""COMPUTED_VALUE"""),"null")</f>
        <v>null</v>
      </c>
      <c r="V4317" s="33">
        <f>IFERROR(__xludf.DUMMYFUNCTION("""COMPUTED_VALUE"""),0.5)</f>
        <v>0.5</v>
      </c>
      <c r="W4317" s="4" t="str">
        <f>IFERROR(__xludf.DUMMYFUNCTION("""COMPUTED_VALUE"""),"null")</f>
        <v>null</v>
      </c>
      <c r="X4317" s="33">
        <f>IFERROR(__xludf.DUMMYFUNCTION("""COMPUTED_VALUE"""),0.5)</f>
        <v>0.5</v>
      </c>
    </row>
    <row r="4318">
      <c r="K4318" s="4" t="str">
        <f>IFERROR(__xludf.DUMMYFUNCTION("""COMPUTED_VALUE"""),"HACHIMITSU ATELIE DE DELICIAS")</f>
        <v>HACHIMITSU ATELIE DE DELICIAS</v>
      </c>
      <c r="L4318" s="32">
        <f>IFERROR(__xludf.DUMMYFUNCTION("""COMPUTED_VALUE"""),2.0)</f>
        <v>2</v>
      </c>
      <c r="M4318" s="4" t="str">
        <f>IFERROR(__xludf.DUMMYFUNCTION("""COMPUTED_VALUE"""),"null")</f>
        <v>null</v>
      </c>
      <c r="N4318" s="33">
        <f>IFERROR(__xludf.DUMMYFUNCTION("""COMPUTED_VALUE"""),0.5)</f>
        <v>0.5</v>
      </c>
      <c r="O4318" s="4" t="str">
        <f>IFERROR(__xludf.DUMMYFUNCTION("""COMPUTED_VALUE"""),"null")</f>
        <v>null</v>
      </c>
      <c r="P4318" s="33">
        <f>IFERROR(__xludf.DUMMYFUNCTION("""COMPUTED_VALUE"""),0.5)</f>
        <v>0.5</v>
      </c>
      <c r="Q4318" s="4" t="str">
        <f>IFERROR(__xludf.DUMMYFUNCTION("""COMPUTED_VALUE"""),"null")</f>
        <v>null</v>
      </c>
      <c r="R4318" s="33">
        <f>IFERROR(__xludf.DUMMYFUNCTION("""COMPUTED_VALUE"""),0.5)</f>
        <v>0.5</v>
      </c>
      <c r="S4318" s="4" t="str">
        <f>IFERROR(__xludf.DUMMYFUNCTION("""COMPUTED_VALUE"""),"null")</f>
        <v>null</v>
      </c>
      <c r="T4318" s="33">
        <f>IFERROR(__xludf.DUMMYFUNCTION("""COMPUTED_VALUE"""),1.0)</f>
        <v>1</v>
      </c>
      <c r="U4318" s="4" t="str">
        <f>IFERROR(__xludf.DUMMYFUNCTION("""COMPUTED_VALUE"""),"Saipos Serviços De Software")</f>
        <v>Saipos Serviços De Software</v>
      </c>
      <c r="V4318" s="33">
        <f>IFERROR(__xludf.DUMMYFUNCTION("""COMPUTED_VALUE"""),0.5)</f>
        <v>0.5</v>
      </c>
      <c r="W4318" s="4" t="str">
        <f>IFERROR(__xludf.DUMMYFUNCTION("""COMPUTED_VALUE"""),"Saipos Serviços De Software")</f>
        <v>Saipos Serviços De Software</v>
      </c>
      <c r="X4318" s="33">
        <f>IFERROR(__xludf.DUMMYFUNCTION("""COMPUTED_VALUE"""),0.5)</f>
        <v>0.5</v>
      </c>
    </row>
    <row r="4319">
      <c r="K4319" s="4" t="str">
        <f>IFERROR(__xludf.DUMMYFUNCTION("""COMPUTED_VALUE"""),"BARBAROS CHICKEN DELIVERY")</f>
        <v>BARBAROS CHICKEN DELIVERY</v>
      </c>
      <c r="L4319" s="32">
        <f>IFERROR(__xludf.DUMMYFUNCTION("""COMPUTED_VALUE"""),2.0)</f>
        <v>2</v>
      </c>
      <c r="M4319" s="4" t="str">
        <f>IFERROR(__xludf.DUMMYFUNCTION("""COMPUTED_VALUE"""),"Cardápio Web")</f>
        <v>Cardápio Web</v>
      </c>
      <c r="N4319" s="33">
        <f>IFERROR(__xludf.DUMMYFUNCTION("""COMPUTED_VALUE"""),0.5)</f>
        <v>0.5</v>
      </c>
      <c r="O4319" s="4" t="str">
        <f>IFERROR(__xludf.DUMMYFUNCTION("""COMPUTED_VALUE"""),"null")</f>
        <v>null</v>
      </c>
      <c r="P4319" s="33">
        <f>IFERROR(__xludf.DUMMYFUNCTION("""COMPUTED_VALUE"""),1.0)</f>
        <v>1</v>
      </c>
      <c r="Q4319" s="4" t="str">
        <f>IFERROR(__xludf.DUMMYFUNCTION("""COMPUTED_VALUE"""),"null")</f>
        <v>null</v>
      </c>
      <c r="R4319" s="33">
        <f>IFERROR(__xludf.DUMMYFUNCTION("""COMPUTED_VALUE"""),0.5)</f>
        <v>0.5</v>
      </c>
      <c r="S4319" s="4" t="str">
        <f>IFERROR(__xludf.DUMMYFUNCTION("""COMPUTED_VALUE"""),"null")</f>
        <v>null</v>
      </c>
      <c r="T4319" s="33">
        <f>IFERROR(__xludf.DUMMYFUNCTION("""COMPUTED_VALUE"""),0.5)</f>
        <v>0.5</v>
      </c>
      <c r="U4319" s="4" t="str">
        <f>IFERROR(__xludf.DUMMYFUNCTION("""COMPUTED_VALUE"""),"null")</f>
        <v>null</v>
      </c>
      <c r="V4319" s="33">
        <f>IFERROR(__xludf.DUMMYFUNCTION("""COMPUTED_VALUE"""),0.5)</f>
        <v>0.5</v>
      </c>
      <c r="W4319" s="4" t="str">
        <f>IFERROR(__xludf.DUMMYFUNCTION("""COMPUTED_VALUE"""),"null")</f>
        <v>null</v>
      </c>
      <c r="X4319" s="33">
        <f>IFERROR(__xludf.DUMMYFUNCTION("""COMPUTED_VALUE"""),1.0)</f>
        <v>1</v>
      </c>
    </row>
    <row r="4320">
      <c r="K4320" s="4" t="str">
        <f>IFERROR(__xludf.DUMMYFUNCTION("""COMPUTED_VALUE"""),"DUBLIN SUSHI")</f>
        <v>DUBLIN SUSHI</v>
      </c>
      <c r="L4320" s="32">
        <f>IFERROR(__xludf.DUMMYFUNCTION("""COMPUTED_VALUE"""),2.0)</f>
        <v>2</v>
      </c>
      <c r="M4320" s="4" t="str">
        <f>IFERROR(__xludf.DUMMYFUNCTION("""COMPUTED_VALUE"""),"Saipos Serviços De Software")</f>
        <v>Saipos Serviços De Software</v>
      </c>
      <c r="N4320" s="33">
        <f>IFERROR(__xludf.DUMMYFUNCTION("""COMPUTED_VALUE"""),1.0)</f>
        <v>1</v>
      </c>
      <c r="O4320" s="4" t="str">
        <f>IFERROR(__xludf.DUMMYFUNCTION("""COMPUTED_VALUE"""),"Saipos Serviços De Software")</f>
        <v>Saipos Serviços De Software</v>
      </c>
      <c r="P4320" s="33">
        <f>IFERROR(__xludf.DUMMYFUNCTION("""COMPUTED_VALUE"""),1.0)</f>
        <v>1</v>
      </c>
      <c r="Q4320" s="4" t="str">
        <f>IFERROR(__xludf.DUMMYFUNCTION("""COMPUTED_VALUE"""),"null")</f>
        <v>null</v>
      </c>
      <c r="R4320" s="33">
        <f>IFERROR(__xludf.DUMMYFUNCTION("""COMPUTED_VALUE"""),0.5)</f>
        <v>0.5</v>
      </c>
      <c r="S4320" s="4" t="str">
        <f>IFERROR(__xludf.DUMMYFUNCTION("""COMPUTED_VALUE"""),"Saipos Serviços De Software")</f>
        <v>Saipos Serviços De Software</v>
      </c>
      <c r="T4320" s="33">
        <f>IFERROR(__xludf.DUMMYFUNCTION("""COMPUTED_VALUE"""),1.0)</f>
        <v>1</v>
      </c>
      <c r="U4320" s="4" t="str">
        <f>IFERROR(__xludf.DUMMYFUNCTION("""COMPUTED_VALUE"""),"null")</f>
        <v>null</v>
      </c>
      <c r="V4320" s="33">
        <f>IFERROR(__xludf.DUMMYFUNCTION("""COMPUTED_VALUE"""),0.5)</f>
        <v>0.5</v>
      </c>
      <c r="W4320" s="4" t="str">
        <f>IFERROR(__xludf.DUMMYFUNCTION("""COMPUTED_VALUE"""),"Saipos Serviços De Software")</f>
        <v>Saipos Serviços De Software</v>
      </c>
      <c r="X4320" s="33">
        <f>IFERROR(__xludf.DUMMYFUNCTION("""COMPUTED_VALUE"""),1.0)</f>
        <v>1</v>
      </c>
    </row>
    <row r="4321">
      <c r="K4321" s="4" t="str">
        <f>IFERROR(__xludf.DUMMYFUNCTION("""COMPUTED_VALUE"""),"DOM BELLONI PIZZARIA")</f>
        <v>DOM BELLONI PIZZARIA</v>
      </c>
      <c r="L4321" s="32">
        <f>IFERROR(__xludf.DUMMYFUNCTION("""COMPUTED_VALUE"""),2.0)</f>
        <v>2</v>
      </c>
      <c r="M4321" s="4" t="str">
        <f>IFERROR(__xludf.DUMMYFUNCTION("""COMPUTED_VALUE"""),"Saipos Serviços De Software")</f>
        <v>Saipos Serviços De Software</v>
      </c>
      <c r="N4321" s="33">
        <f>IFERROR(__xludf.DUMMYFUNCTION("""COMPUTED_VALUE"""),0.5)</f>
        <v>0.5</v>
      </c>
      <c r="O4321" s="4" t="str">
        <f>IFERROR(__xludf.DUMMYFUNCTION("""COMPUTED_VALUE"""),"Saipos Serviços De Software")</f>
        <v>Saipos Serviços De Software</v>
      </c>
      <c r="P4321" s="33">
        <f>IFERROR(__xludf.DUMMYFUNCTION("""COMPUTED_VALUE"""),0.5)</f>
        <v>0.5</v>
      </c>
      <c r="Q4321" s="4" t="str">
        <f>IFERROR(__xludf.DUMMYFUNCTION("""COMPUTED_VALUE"""),"Saipos Serviços De Software")</f>
        <v>Saipos Serviços De Software</v>
      </c>
      <c r="R4321" s="33">
        <f>IFERROR(__xludf.DUMMYFUNCTION("""COMPUTED_VALUE"""),0.5)</f>
        <v>0.5</v>
      </c>
      <c r="S4321" s="4" t="str">
        <f>IFERROR(__xludf.DUMMYFUNCTION("""COMPUTED_VALUE"""),"Saipos Serviços De Software")</f>
        <v>Saipos Serviços De Software</v>
      </c>
      <c r="T4321" s="33">
        <f>IFERROR(__xludf.DUMMYFUNCTION("""COMPUTED_VALUE"""),0.5)</f>
        <v>0.5</v>
      </c>
      <c r="U4321" s="4" t="str">
        <f>IFERROR(__xludf.DUMMYFUNCTION("""COMPUTED_VALUE"""),"Cardápio Web")</f>
        <v>Cardápio Web</v>
      </c>
      <c r="V4321" s="33">
        <f>IFERROR(__xludf.DUMMYFUNCTION("""COMPUTED_VALUE"""),1.0)</f>
        <v>1</v>
      </c>
      <c r="W4321" s="4" t="str">
        <f>IFERROR(__xludf.DUMMYFUNCTION("""COMPUTED_VALUE"""),"Cardápio Web")</f>
        <v>Cardápio Web</v>
      </c>
      <c r="X4321" s="33">
        <f>IFERROR(__xludf.DUMMYFUNCTION("""COMPUTED_VALUE"""),1.0)</f>
        <v>1</v>
      </c>
    </row>
    <row r="4322">
      <c r="K4322" s="4" t="str">
        <f>IFERROR(__xludf.DUMMYFUNCTION("""COMPUTED_VALUE"""),"DNA FARMA")</f>
        <v>DNA FARMA</v>
      </c>
      <c r="L4322" s="32">
        <f>IFERROR(__xludf.DUMMYFUNCTION("""COMPUTED_VALUE"""),2.0)</f>
        <v>2</v>
      </c>
      <c r="M4322" s="4" t="str">
        <f>IFERROR(__xludf.DUMMYFUNCTION("""COMPUTED_VALUE"""),"N/A (Not found)")</f>
        <v>N/A (Not found)</v>
      </c>
      <c r="N4322" s="33">
        <f>IFERROR(__xludf.DUMMYFUNCTION("""COMPUTED_VALUE"""),1.0)</f>
        <v>1</v>
      </c>
      <c r="O4322" s="4" t="str">
        <f>IFERROR(__xludf.DUMMYFUNCTION("""COMPUTED_VALUE"""),"N/A (Not found)")</f>
        <v>N/A (Not found)</v>
      </c>
      <c r="P4322" s="33">
        <f>IFERROR(__xludf.DUMMYFUNCTION("""COMPUTED_VALUE"""),1.0)</f>
        <v>1</v>
      </c>
      <c r="Q4322" s="4" t="str">
        <f>IFERROR(__xludf.DUMMYFUNCTION("""COMPUTED_VALUE"""),"N/A (Not found)")</f>
        <v>N/A (Not found)</v>
      </c>
      <c r="R4322" s="33">
        <f>IFERROR(__xludf.DUMMYFUNCTION("""COMPUTED_VALUE"""),1.0)</f>
        <v>1</v>
      </c>
      <c r="S4322" s="4" t="str">
        <f>IFERROR(__xludf.DUMMYFUNCTION("""COMPUTED_VALUE"""),"N/A (Not found)")</f>
        <v>N/A (Not found)</v>
      </c>
      <c r="T4322" s="33">
        <f>IFERROR(__xludf.DUMMYFUNCTION("""COMPUTED_VALUE"""),1.0)</f>
        <v>1</v>
      </c>
      <c r="U4322" s="4" t="str">
        <f>IFERROR(__xludf.DUMMYFUNCTION("""COMPUTED_VALUE"""),"N/A (Not found)")</f>
        <v>N/A (Not found)</v>
      </c>
      <c r="V4322" s="33">
        <f>IFERROR(__xludf.DUMMYFUNCTION("""COMPUTED_VALUE"""),1.0)</f>
        <v>1</v>
      </c>
      <c r="W4322" s="4" t="str">
        <f>IFERROR(__xludf.DUMMYFUNCTION("""COMPUTED_VALUE"""),"N/A (Not found)")</f>
        <v>N/A (Not found)</v>
      </c>
      <c r="X4322" s="33">
        <f>IFERROR(__xludf.DUMMYFUNCTION("""COMPUTED_VALUE"""),0.5)</f>
        <v>0.5</v>
      </c>
    </row>
    <row r="4323">
      <c r="K4323" s="4" t="str">
        <f>IFERROR(__xludf.DUMMYFUNCTION("""COMPUTED_VALUE"""),"RESTAURANTE SABOR E CIA")</f>
        <v>RESTAURANTE SABOR E CIA</v>
      </c>
      <c r="L4323" s="32">
        <f>IFERROR(__xludf.DUMMYFUNCTION("""COMPUTED_VALUE"""),2.0)</f>
        <v>2</v>
      </c>
      <c r="M4323" s="4" t="str">
        <f>IFERROR(__xludf.DUMMYFUNCTION("""COMPUTED_VALUE"""),"Anota Ai Solucoes Digitais S/a")</f>
        <v>Anota Ai Solucoes Digitais S/a</v>
      </c>
      <c r="N4323" s="33">
        <f>IFERROR(__xludf.DUMMYFUNCTION("""COMPUTED_VALUE"""),0.5)</f>
        <v>0.5</v>
      </c>
      <c r="O4323" s="4" t="str">
        <f>IFERROR(__xludf.DUMMYFUNCTION("""COMPUTED_VALUE"""),"Anota Ai Solucoes Digitais S/a")</f>
        <v>Anota Ai Solucoes Digitais S/a</v>
      </c>
      <c r="P4323" s="33">
        <f>IFERROR(__xludf.DUMMYFUNCTION("""COMPUTED_VALUE"""),0.5)</f>
        <v>0.5</v>
      </c>
      <c r="Q4323" s="4" t="str">
        <f>IFERROR(__xludf.DUMMYFUNCTION("""COMPUTED_VALUE"""),"Anota Ai Solucoes Digitais S/a")</f>
        <v>Anota Ai Solucoes Digitais S/a</v>
      </c>
      <c r="R4323" s="33">
        <f>IFERROR(__xludf.DUMMYFUNCTION("""COMPUTED_VALUE"""),0.5)</f>
        <v>0.5</v>
      </c>
      <c r="S4323" s="4" t="str">
        <f>IFERROR(__xludf.DUMMYFUNCTION("""COMPUTED_VALUE"""),"Anota Ai Solucoes Digitais S/a")</f>
        <v>Anota Ai Solucoes Digitais S/a</v>
      </c>
      <c r="T4323" s="33">
        <f>IFERROR(__xludf.DUMMYFUNCTION("""COMPUTED_VALUE"""),0.5)</f>
        <v>0.5</v>
      </c>
      <c r="U4323" s="4" t="str">
        <f>IFERROR(__xludf.DUMMYFUNCTION("""COMPUTED_VALUE"""),"Anota Ai Solucoes Digitais S/a")</f>
        <v>Anota Ai Solucoes Digitais S/a</v>
      </c>
      <c r="V4323" s="33">
        <f>IFERROR(__xludf.DUMMYFUNCTION("""COMPUTED_VALUE"""),0.5)</f>
        <v>0.5</v>
      </c>
      <c r="W4323" s="4" t="str">
        <f>IFERROR(__xludf.DUMMYFUNCTION("""COMPUTED_VALUE"""),"Anota Ai Solucoes Digitais S/a")</f>
        <v>Anota Ai Solucoes Digitais S/a</v>
      </c>
      <c r="X4323" s="33">
        <f>IFERROR(__xludf.DUMMYFUNCTION("""COMPUTED_VALUE"""),0.5)</f>
        <v>0.5</v>
      </c>
    </row>
    <row r="4324">
      <c r="K4324" s="4" t="str">
        <f>IFERROR(__xludf.DUMMYFUNCTION("""COMPUTED_VALUE"""),"SALGADOS DA VOVO")</f>
        <v>SALGADOS DA VOVO</v>
      </c>
      <c r="L4324" s="32">
        <f>IFERROR(__xludf.DUMMYFUNCTION("""COMPUTED_VALUE"""),2.0)</f>
        <v>2</v>
      </c>
      <c r="M4324" s="4" t="str">
        <f>IFERROR(__xludf.DUMMYFUNCTION("""COMPUTED_VALUE"""),"Consumer Soluções Em Tecnologia Ltda")</f>
        <v>Consumer Soluções Em Tecnologia Ltda</v>
      </c>
      <c r="N4324" s="33">
        <f>IFERROR(__xludf.DUMMYFUNCTION("""COMPUTED_VALUE"""),0.5)</f>
        <v>0.5</v>
      </c>
      <c r="O4324" s="4" t="str">
        <f>IFERROR(__xludf.DUMMYFUNCTION("""COMPUTED_VALUE"""),"Consumer Soluções Em Tecnologia Ltda")</f>
        <v>Consumer Soluções Em Tecnologia Ltda</v>
      </c>
      <c r="P4324" s="33">
        <f>IFERROR(__xludf.DUMMYFUNCTION("""COMPUTED_VALUE"""),0.5)</f>
        <v>0.5</v>
      </c>
      <c r="Q4324" s="4" t="str">
        <f>IFERROR(__xludf.DUMMYFUNCTION("""COMPUTED_VALUE"""),"Consumer Soluções Em Tecnologia Ltda")</f>
        <v>Consumer Soluções Em Tecnologia Ltda</v>
      </c>
      <c r="R4324" s="33">
        <f>IFERROR(__xludf.DUMMYFUNCTION("""COMPUTED_VALUE"""),0.5)</f>
        <v>0.5</v>
      </c>
      <c r="S4324" s="4" t="str">
        <f>IFERROR(__xludf.DUMMYFUNCTION("""COMPUTED_VALUE"""),"Consumer Soluções Em Tecnologia Ltda")</f>
        <v>Consumer Soluções Em Tecnologia Ltda</v>
      </c>
      <c r="T4324" s="33">
        <f>IFERROR(__xludf.DUMMYFUNCTION("""COMPUTED_VALUE"""),0.5)</f>
        <v>0.5</v>
      </c>
      <c r="U4324" s="4" t="str">
        <f>IFERROR(__xludf.DUMMYFUNCTION("""COMPUTED_VALUE"""),"Consumer Soluções Em Tecnologia Ltda")</f>
        <v>Consumer Soluções Em Tecnologia Ltda</v>
      </c>
      <c r="V4324" s="33">
        <f>IFERROR(__xludf.DUMMYFUNCTION("""COMPUTED_VALUE"""),0.5)</f>
        <v>0.5</v>
      </c>
      <c r="W4324" s="4" t="str">
        <f>IFERROR(__xludf.DUMMYFUNCTION("""COMPUTED_VALUE"""),"Consumer Soluções Em Tecnologia Ltda")</f>
        <v>Consumer Soluções Em Tecnologia Ltda</v>
      </c>
      <c r="X4324" s="33">
        <f>IFERROR(__xludf.DUMMYFUNCTION("""COMPUTED_VALUE"""),0.5)</f>
        <v>0.5</v>
      </c>
    </row>
    <row r="4325">
      <c r="K4325" s="4" t="str">
        <f>IFERROR(__xludf.DUMMYFUNCTION("""COMPUTED_VALUE"""),"THE BURGER HOUSE")</f>
        <v>THE BURGER HOUSE</v>
      </c>
      <c r="L4325" s="32">
        <f>IFERROR(__xludf.DUMMYFUNCTION("""COMPUTED_VALUE"""),2.0)</f>
        <v>2</v>
      </c>
      <c r="M4325" s="4" t="str">
        <f>IFERROR(__xludf.DUMMYFUNCTION("""COMPUTED_VALUE"""),"Consumer Soluções Em Tecnologia Ltda")</f>
        <v>Consumer Soluções Em Tecnologia Ltda</v>
      </c>
      <c r="N4325" s="33">
        <f>IFERROR(__xludf.DUMMYFUNCTION("""COMPUTED_VALUE"""),0.5)</f>
        <v>0.5</v>
      </c>
      <c r="O4325" s="4" t="str">
        <f>IFERROR(__xludf.DUMMYFUNCTION("""COMPUTED_VALUE"""),"Consumer Soluções Em Tecnologia Ltda")</f>
        <v>Consumer Soluções Em Tecnologia Ltda</v>
      </c>
      <c r="P4325" s="33">
        <f>IFERROR(__xludf.DUMMYFUNCTION("""COMPUTED_VALUE"""),0.5)</f>
        <v>0.5</v>
      </c>
      <c r="Q4325" s="4" t="str">
        <f>IFERROR(__xludf.DUMMYFUNCTION("""COMPUTED_VALUE"""),"Consumer Soluções Em Tecnologia Ltda")</f>
        <v>Consumer Soluções Em Tecnologia Ltda</v>
      </c>
      <c r="R4325" s="33">
        <f>IFERROR(__xludf.DUMMYFUNCTION("""COMPUTED_VALUE"""),0.5)</f>
        <v>0.5</v>
      </c>
      <c r="S4325" s="4" t="str">
        <f>IFERROR(__xludf.DUMMYFUNCTION("""COMPUTED_VALUE"""),"null")</f>
        <v>null</v>
      </c>
      <c r="T4325" s="33">
        <f>IFERROR(__xludf.DUMMYFUNCTION("""COMPUTED_VALUE"""),1.0)</f>
        <v>1</v>
      </c>
      <c r="U4325" s="4" t="str">
        <f>IFERROR(__xludf.DUMMYFUNCTION("""COMPUTED_VALUE"""),"Consumer Soluções Em Tecnologia Ltda")</f>
        <v>Consumer Soluções Em Tecnologia Ltda</v>
      </c>
      <c r="V4325" s="33">
        <f>IFERROR(__xludf.DUMMYFUNCTION("""COMPUTED_VALUE"""),0.5)</f>
        <v>0.5</v>
      </c>
      <c r="W4325" s="4" t="str">
        <f>IFERROR(__xludf.DUMMYFUNCTION("""COMPUTED_VALUE"""),"Consumer Soluções Em Tecnologia Ltda")</f>
        <v>Consumer Soluções Em Tecnologia Ltda</v>
      </c>
      <c r="X4325" s="33">
        <f>IFERROR(__xludf.DUMMYFUNCTION("""COMPUTED_VALUE"""),0.5)</f>
        <v>0.5</v>
      </c>
    </row>
    <row r="4326">
      <c r="K4326" s="4" t="str">
        <f>IFERROR(__xludf.DUMMYFUNCTION("""COMPUTED_VALUE"""),"COXINHAS DOURADAS")</f>
        <v>COXINHAS DOURADAS</v>
      </c>
      <c r="L4326" s="32">
        <f>IFERROR(__xludf.DUMMYFUNCTION("""COMPUTED_VALUE"""),2.0)</f>
        <v>2</v>
      </c>
      <c r="M4326" s="4" t="str">
        <f>IFERROR(__xludf.DUMMYFUNCTION("""COMPUTED_VALUE"""),"Saurus Software")</f>
        <v>Saurus Software</v>
      </c>
      <c r="N4326" s="33">
        <f>IFERROR(__xludf.DUMMYFUNCTION("""COMPUTED_VALUE"""),1.0)</f>
        <v>1</v>
      </c>
      <c r="O4326" s="4" t="str">
        <f>IFERROR(__xludf.DUMMYFUNCTION("""COMPUTED_VALUE"""),"Saurus Software")</f>
        <v>Saurus Software</v>
      </c>
      <c r="P4326" s="33">
        <f>IFERROR(__xludf.DUMMYFUNCTION("""COMPUTED_VALUE"""),1.0)</f>
        <v>1</v>
      </c>
      <c r="Q4326" s="4" t="str">
        <f>IFERROR(__xludf.DUMMYFUNCTION("""COMPUTED_VALUE"""),"Parseint Desenvolvimento De Sistemas Ltda")</f>
        <v>Parseint Desenvolvimento De Sistemas Ltda</v>
      </c>
      <c r="R4326" s="33">
        <f>IFERROR(__xludf.DUMMYFUNCTION("""COMPUTED_VALUE"""),0.5)</f>
        <v>0.5</v>
      </c>
      <c r="S4326" s="4" t="str">
        <f>IFERROR(__xludf.DUMMYFUNCTION("""COMPUTED_VALUE"""),"null")</f>
        <v>null</v>
      </c>
      <c r="T4326" s="33">
        <f>IFERROR(__xludf.DUMMYFUNCTION("""COMPUTED_VALUE"""),0.5)</f>
        <v>0.5</v>
      </c>
      <c r="U4326" s="4" t="str">
        <f>IFERROR(__xludf.DUMMYFUNCTION("""COMPUTED_VALUE"""),"Parseint Desenvolvimento De Sistemas Ltda")</f>
        <v>Parseint Desenvolvimento De Sistemas Ltda</v>
      </c>
      <c r="V4326" s="33">
        <f>IFERROR(__xludf.DUMMYFUNCTION("""COMPUTED_VALUE"""),1.0)</f>
        <v>1</v>
      </c>
      <c r="W4326" s="4" t="str">
        <f>IFERROR(__xludf.DUMMYFUNCTION("""COMPUTED_VALUE"""),"Parseint Desenvolvimento De Sistemas Ltda")</f>
        <v>Parseint Desenvolvimento De Sistemas Ltda</v>
      </c>
      <c r="X4326" s="33">
        <f>IFERROR(__xludf.DUMMYFUNCTION("""COMPUTED_VALUE"""),1.0)</f>
        <v>1</v>
      </c>
    </row>
    <row r="4327">
      <c r="K4327" s="4" t="str">
        <f>IFERROR(__xludf.DUMMYFUNCTION("""COMPUTED_VALUE"""),"SELVA BURGER")</f>
        <v>SELVA BURGER</v>
      </c>
      <c r="L4327" s="32">
        <f>IFERROR(__xludf.DUMMYFUNCTION("""COMPUTED_VALUE"""),2.0)</f>
        <v>2</v>
      </c>
      <c r="M4327" s="4" t="str">
        <f>IFERROR(__xludf.DUMMYFUNCTION("""COMPUTED_VALUE"""),"Consumer Soluções Em Tecnologia Ltda")</f>
        <v>Consumer Soluções Em Tecnologia Ltda</v>
      </c>
      <c r="N4327" s="33">
        <f>IFERROR(__xludf.DUMMYFUNCTION("""COMPUTED_VALUE"""),0.5)</f>
        <v>0.5</v>
      </c>
      <c r="O4327" s="4" t="str">
        <f>IFERROR(__xludf.DUMMYFUNCTION("""COMPUTED_VALUE"""),"Consumer Soluções Em Tecnologia Ltda")</f>
        <v>Consumer Soluções Em Tecnologia Ltda</v>
      </c>
      <c r="P4327" s="33">
        <f>IFERROR(__xludf.DUMMYFUNCTION("""COMPUTED_VALUE"""),0.5)</f>
        <v>0.5</v>
      </c>
      <c r="Q4327" s="4" t="str">
        <f>IFERROR(__xludf.DUMMYFUNCTION("""COMPUTED_VALUE"""),"Consumer Soluções Em Tecnologia Ltda")</f>
        <v>Consumer Soluções Em Tecnologia Ltda</v>
      </c>
      <c r="R4327" s="33">
        <f>IFERROR(__xludf.DUMMYFUNCTION("""COMPUTED_VALUE"""),0.5)</f>
        <v>0.5</v>
      </c>
      <c r="S4327" s="4" t="str">
        <f>IFERROR(__xludf.DUMMYFUNCTION("""COMPUTED_VALUE"""),"Consumer Soluções Em Tecnologia Ltda")</f>
        <v>Consumer Soluções Em Tecnologia Ltda</v>
      </c>
      <c r="T4327" s="33">
        <f>IFERROR(__xludf.DUMMYFUNCTION("""COMPUTED_VALUE"""),0.5)</f>
        <v>0.5</v>
      </c>
      <c r="U4327" s="4" t="str">
        <f>IFERROR(__xludf.DUMMYFUNCTION("""COMPUTED_VALUE"""),"Consumer Soluções Em Tecnologia Ltda")</f>
        <v>Consumer Soluções Em Tecnologia Ltda</v>
      </c>
      <c r="V4327" s="33">
        <f>IFERROR(__xludf.DUMMYFUNCTION("""COMPUTED_VALUE"""),0.5)</f>
        <v>0.5</v>
      </c>
      <c r="W4327" s="4" t="str">
        <f>IFERROR(__xludf.DUMMYFUNCTION("""COMPUTED_VALUE"""),"Consumer Soluções Em Tecnologia Ltda")</f>
        <v>Consumer Soluções Em Tecnologia Ltda</v>
      </c>
      <c r="X4327" s="33">
        <f>IFERROR(__xludf.DUMMYFUNCTION("""COMPUTED_VALUE"""),0.5)</f>
        <v>0.5</v>
      </c>
    </row>
    <row r="4328">
      <c r="K4328" s="4" t="str">
        <f>IFERROR(__xludf.DUMMYFUNCTION("""COMPUTED_VALUE"""),"ACAI DO CRIS")</f>
        <v>ACAI DO CRIS</v>
      </c>
      <c r="L4328" s="32">
        <f>IFERROR(__xludf.DUMMYFUNCTION("""COMPUTED_VALUE"""),2.0)</f>
        <v>2</v>
      </c>
      <c r="M4328" s="4" t="str">
        <f>IFERROR(__xludf.DUMMYFUNCTION("""COMPUTED_VALUE"""),"null")</f>
        <v>null</v>
      </c>
      <c r="N4328" s="33">
        <f>IFERROR(__xludf.DUMMYFUNCTION("""COMPUTED_VALUE"""),0.5)</f>
        <v>0.5</v>
      </c>
      <c r="O4328" s="4" t="str">
        <f>IFERROR(__xludf.DUMMYFUNCTION("""COMPUTED_VALUE"""),"Insert Code Informatica Ltda")</f>
        <v>Insert Code Informatica Ltda</v>
      </c>
      <c r="P4328" s="33">
        <f>IFERROR(__xludf.DUMMYFUNCTION("""COMPUTED_VALUE"""),0.5)</f>
        <v>0.5</v>
      </c>
      <c r="Q4328" s="4" t="str">
        <f>IFERROR(__xludf.DUMMYFUNCTION("""COMPUTED_VALUE"""),"Insert Code Informatica Ltda")</f>
        <v>Insert Code Informatica Ltda</v>
      </c>
      <c r="R4328" s="33">
        <f>IFERROR(__xludf.DUMMYFUNCTION("""COMPUTED_VALUE"""),0.5)</f>
        <v>0.5</v>
      </c>
      <c r="S4328" s="4" t="str">
        <f>IFERROR(__xludf.DUMMYFUNCTION("""COMPUTED_VALUE"""),"Insert Code Informatica Ltda")</f>
        <v>Insert Code Informatica Ltda</v>
      </c>
      <c r="T4328" s="33">
        <f>IFERROR(__xludf.DUMMYFUNCTION("""COMPUTED_VALUE"""),0.5)</f>
        <v>0.5</v>
      </c>
      <c r="U4328" s="4" t="str">
        <f>IFERROR(__xludf.DUMMYFUNCTION("""COMPUTED_VALUE"""),"Insert Code Informatica Ltda")</f>
        <v>Insert Code Informatica Ltda</v>
      </c>
      <c r="V4328" s="33">
        <f>IFERROR(__xludf.DUMMYFUNCTION("""COMPUTED_VALUE"""),0.5)</f>
        <v>0.5</v>
      </c>
      <c r="W4328" s="4" t="str">
        <f>IFERROR(__xludf.DUMMYFUNCTION("""COMPUTED_VALUE"""),"Insert Code Informatica Ltda")</f>
        <v>Insert Code Informatica Ltda</v>
      </c>
      <c r="X4328" s="33">
        <f>IFERROR(__xludf.DUMMYFUNCTION("""COMPUTED_VALUE"""),0.5)</f>
        <v>0.5</v>
      </c>
    </row>
    <row r="4329">
      <c r="K4329" s="4" t="str">
        <f>IFERROR(__xludf.DUMMYFUNCTION("""COMPUTED_VALUE"""),"JUVS PIZZARIA - SAO JOAO DE MERITI")</f>
        <v>JUVS PIZZARIA - SAO JOAO DE MERITI</v>
      </c>
      <c r="L4329" s="32">
        <f>IFERROR(__xludf.DUMMYFUNCTION("""COMPUTED_VALUE"""),2.0)</f>
        <v>2</v>
      </c>
      <c r="M4329" s="4" t="str">
        <f>IFERROR(__xludf.DUMMYFUNCTION("""COMPUTED_VALUE"""),"Cardápio Web")</f>
        <v>Cardápio Web</v>
      </c>
      <c r="N4329" s="33">
        <f>IFERROR(__xludf.DUMMYFUNCTION("""COMPUTED_VALUE"""),1.0)</f>
        <v>1</v>
      </c>
      <c r="O4329" s="4" t="str">
        <f>IFERROR(__xludf.DUMMYFUNCTION("""COMPUTED_VALUE"""),"Cardápio Web")</f>
        <v>Cardápio Web</v>
      </c>
      <c r="P4329" s="33">
        <f>IFERROR(__xludf.DUMMYFUNCTION("""COMPUTED_VALUE"""),1.0)</f>
        <v>1</v>
      </c>
      <c r="Q4329" s="4" t="str">
        <f>IFERROR(__xludf.DUMMYFUNCTION("""COMPUTED_VALUE"""),"null")</f>
        <v>null</v>
      </c>
      <c r="R4329" s="33">
        <f>IFERROR(__xludf.DUMMYFUNCTION("""COMPUTED_VALUE"""),0.5)</f>
        <v>0.5</v>
      </c>
      <c r="S4329" s="4" t="str">
        <f>IFERROR(__xludf.DUMMYFUNCTION("""COMPUTED_VALUE"""),"Cardápio Web")</f>
        <v>Cardápio Web</v>
      </c>
      <c r="T4329" s="33">
        <f>IFERROR(__xludf.DUMMYFUNCTION("""COMPUTED_VALUE"""),1.0)</f>
        <v>1</v>
      </c>
      <c r="U4329" s="4" t="str">
        <f>IFERROR(__xludf.DUMMYFUNCTION("""COMPUTED_VALUE"""),"Cardápio Web")</f>
        <v>Cardápio Web</v>
      </c>
      <c r="V4329" s="33">
        <f>IFERROR(__xludf.DUMMYFUNCTION("""COMPUTED_VALUE"""),1.0)</f>
        <v>1</v>
      </c>
      <c r="W4329" s="4" t="str">
        <f>IFERROR(__xludf.DUMMYFUNCTION("""COMPUTED_VALUE"""),"null")</f>
        <v>null</v>
      </c>
      <c r="X4329" s="33">
        <f>IFERROR(__xludf.DUMMYFUNCTION("""COMPUTED_VALUE"""),0.5)</f>
        <v>0.5</v>
      </c>
    </row>
    <row r="4330">
      <c r="K4330" s="4" t="str">
        <f>IFERROR(__xludf.DUMMYFUNCTION("""COMPUTED_VALUE"""),"PISCA PIZZA")</f>
        <v>PISCA PIZZA</v>
      </c>
      <c r="L4330" s="32">
        <f>IFERROR(__xludf.DUMMYFUNCTION("""COMPUTED_VALUE"""),2.0)</f>
        <v>2</v>
      </c>
      <c r="M4330" s="4" t="str">
        <f>IFERROR(__xludf.DUMMYFUNCTION("""COMPUTED_VALUE"""),"Clickatende Tecnologia Ltda")</f>
        <v>Clickatende Tecnologia Ltda</v>
      </c>
      <c r="N4330" s="33">
        <f>IFERROR(__xludf.DUMMYFUNCTION("""COMPUTED_VALUE"""),1.0)</f>
        <v>1</v>
      </c>
      <c r="O4330" s="4" t="str">
        <f>IFERROR(__xludf.DUMMYFUNCTION("""COMPUTED_VALUE"""),"Clickatende Tecnologia Ltda")</f>
        <v>Clickatende Tecnologia Ltda</v>
      </c>
      <c r="P4330" s="33">
        <f>IFERROR(__xludf.DUMMYFUNCTION("""COMPUTED_VALUE"""),0.5)</f>
        <v>0.5</v>
      </c>
      <c r="Q4330" s="4" t="str">
        <f>IFERROR(__xludf.DUMMYFUNCTION("""COMPUTED_VALUE"""),"Clickatende Tecnologia Ltda")</f>
        <v>Clickatende Tecnologia Ltda</v>
      </c>
      <c r="R4330" s="33">
        <f>IFERROR(__xludf.DUMMYFUNCTION("""COMPUTED_VALUE"""),1.0)</f>
        <v>1</v>
      </c>
      <c r="S4330" s="4" t="str">
        <f>IFERROR(__xludf.DUMMYFUNCTION("""COMPUTED_VALUE"""),"Clickatende Tecnologia Ltda")</f>
        <v>Clickatende Tecnologia Ltda</v>
      </c>
      <c r="T4330" s="33">
        <f>IFERROR(__xludf.DUMMYFUNCTION("""COMPUTED_VALUE"""),1.0)</f>
        <v>1</v>
      </c>
      <c r="U4330" s="4" t="str">
        <f>IFERROR(__xludf.DUMMYFUNCTION("""COMPUTED_VALUE"""),"null")</f>
        <v>null</v>
      </c>
      <c r="V4330" s="33">
        <f>IFERROR(__xludf.DUMMYFUNCTION("""COMPUTED_VALUE"""),1.0)</f>
        <v>1</v>
      </c>
      <c r="W4330" s="4" t="str">
        <f>IFERROR(__xludf.DUMMYFUNCTION("""COMPUTED_VALUE"""),"Clickatende Tecnologia Ltda")</f>
        <v>Clickatende Tecnologia Ltda</v>
      </c>
      <c r="X4330" s="33">
        <f>IFERROR(__xludf.DUMMYFUNCTION("""COMPUTED_VALUE"""),0.5)</f>
        <v>0.5</v>
      </c>
    </row>
    <row r="4331">
      <c r="K4331" s="4" t="str">
        <f>IFERROR(__xludf.DUMMYFUNCTION("""COMPUTED_VALUE"""),"X AVENIDA")</f>
        <v>X AVENIDA</v>
      </c>
      <c r="L4331" s="32">
        <f>IFERROR(__xludf.DUMMYFUNCTION("""COMPUTED_VALUE"""),2.0)</f>
        <v>2</v>
      </c>
      <c r="M4331" s="4" t="str">
        <f>IFERROR(__xludf.DUMMYFUNCTION("""COMPUTED_VALUE"""),"null")</f>
        <v>null</v>
      </c>
      <c r="N4331" s="33">
        <f>IFERROR(__xludf.DUMMYFUNCTION("""COMPUTED_VALUE"""),1.0)</f>
        <v>1</v>
      </c>
      <c r="O4331" s="4" t="str">
        <f>IFERROR(__xludf.DUMMYFUNCTION("""COMPUTED_VALUE"""),"null")</f>
        <v>null</v>
      </c>
      <c r="P4331" s="33">
        <f>IFERROR(__xludf.DUMMYFUNCTION("""COMPUTED_VALUE"""),1.0)</f>
        <v>1</v>
      </c>
      <c r="Q4331" s="4" t="str">
        <f>IFERROR(__xludf.DUMMYFUNCTION("""COMPUTED_VALUE"""),"null")</f>
        <v>null</v>
      </c>
      <c r="R4331" s="33">
        <f>IFERROR(__xludf.DUMMYFUNCTION("""COMPUTED_VALUE"""),1.0)</f>
        <v>1</v>
      </c>
      <c r="S4331" s="4" t="str">
        <f>IFERROR(__xludf.DUMMYFUNCTION("""COMPUTED_VALUE"""),"null")</f>
        <v>null</v>
      </c>
      <c r="T4331" s="33">
        <f>IFERROR(__xludf.DUMMYFUNCTION("""COMPUTED_VALUE"""),1.0)</f>
        <v>1</v>
      </c>
      <c r="U4331" s="4" t="str">
        <f>IFERROR(__xludf.DUMMYFUNCTION("""COMPUTED_VALUE"""),"Saipos Serviços De Software")</f>
        <v>Saipos Serviços De Software</v>
      </c>
      <c r="V4331" s="33">
        <f>IFERROR(__xludf.DUMMYFUNCTION("""COMPUTED_VALUE"""),1.0)</f>
        <v>1</v>
      </c>
      <c r="W4331" s="4" t="str">
        <f>IFERROR(__xludf.DUMMYFUNCTION("""COMPUTED_VALUE"""),"Saipos Serviços De Software")</f>
        <v>Saipos Serviços De Software</v>
      </c>
      <c r="X4331" s="33">
        <f>IFERROR(__xludf.DUMMYFUNCTION("""COMPUTED_VALUE"""),1.0)</f>
        <v>1</v>
      </c>
    </row>
    <row r="4332">
      <c r="K4332" s="4" t="str">
        <f>IFERROR(__xludf.DUMMYFUNCTION("""COMPUTED_VALUE"""),"PIZZARIA PAULISTANA")</f>
        <v>PIZZARIA PAULISTANA</v>
      </c>
      <c r="L4332" s="32">
        <f>IFERROR(__xludf.DUMMYFUNCTION("""COMPUTED_VALUE"""),2.0)</f>
        <v>2</v>
      </c>
      <c r="M4332" s="4" t="str">
        <f>IFERROR(__xludf.DUMMYFUNCTION("""COMPUTED_VALUE"""),"Anota Ai Solucoes Digitais S/a")</f>
        <v>Anota Ai Solucoes Digitais S/a</v>
      </c>
      <c r="N4332" s="33">
        <f>IFERROR(__xludf.DUMMYFUNCTION("""COMPUTED_VALUE"""),0.5)</f>
        <v>0.5</v>
      </c>
      <c r="O4332" s="4" t="str">
        <f>IFERROR(__xludf.DUMMYFUNCTION("""COMPUTED_VALUE"""),"Anota Ai Solucoes Digitais S/a")</f>
        <v>Anota Ai Solucoes Digitais S/a</v>
      </c>
      <c r="P4332" s="33">
        <f>IFERROR(__xludf.DUMMYFUNCTION("""COMPUTED_VALUE"""),0.5)</f>
        <v>0.5</v>
      </c>
      <c r="Q4332" s="4" t="str">
        <f>IFERROR(__xludf.DUMMYFUNCTION("""COMPUTED_VALUE"""),"Anota Ai Solucoes Digitais S/a")</f>
        <v>Anota Ai Solucoes Digitais S/a</v>
      </c>
      <c r="R4332" s="33">
        <f>IFERROR(__xludf.DUMMYFUNCTION("""COMPUTED_VALUE"""),0.5)</f>
        <v>0.5</v>
      </c>
      <c r="S4332" s="4" t="str">
        <f>IFERROR(__xludf.DUMMYFUNCTION("""COMPUTED_VALUE"""),"Anota Ai Solucoes Digitais S/a")</f>
        <v>Anota Ai Solucoes Digitais S/a</v>
      </c>
      <c r="T4332" s="33">
        <f>IFERROR(__xludf.DUMMYFUNCTION("""COMPUTED_VALUE"""),0.5)</f>
        <v>0.5</v>
      </c>
      <c r="U4332" s="4" t="str">
        <f>IFERROR(__xludf.DUMMYFUNCTION("""COMPUTED_VALUE"""),"Anota Ai Solucoes Digitais S/a")</f>
        <v>Anota Ai Solucoes Digitais S/a</v>
      </c>
      <c r="V4332" s="33">
        <f>IFERROR(__xludf.DUMMYFUNCTION("""COMPUTED_VALUE"""),0.5)</f>
        <v>0.5</v>
      </c>
      <c r="W4332" s="4" t="str">
        <f>IFERROR(__xludf.DUMMYFUNCTION("""COMPUTED_VALUE"""),"Anota Ai Solucoes Digitais S/a")</f>
        <v>Anota Ai Solucoes Digitais S/a</v>
      </c>
      <c r="X4332" s="33">
        <f>IFERROR(__xludf.DUMMYFUNCTION("""COMPUTED_VALUE"""),0.5)</f>
        <v>0.5</v>
      </c>
    </row>
    <row r="4333">
      <c r="K4333" s="4" t="str">
        <f>IFERROR(__xludf.DUMMYFUNCTION("""COMPUTED_VALUE"""),"SALVE JORGE JANTINHAS - ENTREGA RAPIDA")</f>
        <v>SALVE JORGE JANTINHAS - ENTREGA RAPIDA</v>
      </c>
      <c r="L4333" s="32">
        <f>IFERROR(__xludf.DUMMYFUNCTION("""COMPUTED_VALUE"""),2.0)</f>
        <v>2</v>
      </c>
      <c r="M4333" s="4" t="str">
        <f>IFERROR(__xludf.DUMMYFUNCTION("""COMPUTED_VALUE"""),"Oz Technology")</f>
        <v>Oz Technology</v>
      </c>
      <c r="N4333" s="33">
        <f>IFERROR(__xludf.DUMMYFUNCTION("""COMPUTED_VALUE"""),1.0)</f>
        <v>1</v>
      </c>
      <c r="O4333" s="4" t="str">
        <f>IFERROR(__xludf.DUMMYFUNCTION("""COMPUTED_VALUE"""),"Oz Technology")</f>
        <v>Oz Technology</v>
      </c>
      <c r="P4333" s="33">
        <f>IFERROR(__xludf.DUMMYFUNCTION("""COMPUTED_VALUE"""),1.0)</f>
        <v>1</v>
      </c>
      <c r="Q4333" s="4" t="str">
        <f>IFERROR(__xludf.DUMMYFUNCTION("""COMPUTED_VALUE"""),"Oz Technology")</f>
        <v>Oz Technology</v>
      </c>
      <c r="R4333" s="33">
        <f>IFERROR(__xludf.DUMMYFUNCTION("""COMPUTED_VALUE"""),1.0)</f>
        <v>1</v>
      </c>
      <c r="S4333" s="4" t="str">
        <f>IFERROR(__xludf.DUMMYFUNCTION("""COMPUTED_VALUE"""),"Oz Technology")</f>
        <v>Oz Technology</v>
      </c>
      <c r="T4333" s="33">
        <f>IFERROR(__xludf.DUMMYFUNCTION("""COMPUTED_VALUE"""),1.0)</f>
        <v>1</v>
      </c>
      <c r="U4333" s="4" t="str">
        <f>IFERROR(__xludf.DUMMYFUNCTION("""COMPUTED_VALUE"""),"Oz Technology")</f>
        <v>Oz Technology</v>
      </c>
      <c r="V4333" s="33">
        <f>IFERROR(__xludf.DUMMYFUNCTION("""COMPUTED_VALUE"""),1.0)</f>
        <v>1</v>
      </c>
      <c r="W4333" s="4" t="str">
        <f>IFERROR(__xludf.DUMMYFUNCTION("""COMPUTED_VALUE"""),"null")</f>
        <v>null</v>
      </c>
      <c r="X4333" s="33">
        <f>IFERROR(__xludf.DUMMYFUNCTION("""COMPUTED_VALUE"""),1.0)</f>
        <v>1</v>
      </c>
    </row>
    <row r="4334">
      <c r="K4334" s="4" t="str">
        <f>IFERROR(__xludf.DUMMYFUNCTION("""COMPUTED_VALUE"""),"STARK TEMAKERIA")</f>
        <v>STARK TEMAKERIA</v>
      </c>
      <c r="L4334" s="32">
        <f>IFERROR(__xludf.DUMMYFUNCTION("""COMPUTED_VALUE"""),2.0)</f>
        <v>2</v>
      </c>
      <c r="M4334" s="4" t="str">
        <f>IFERROR(__xludf.DUMMYFUNCTION("""COMPUTED_VALUE"""),"Mp Multipedidos")</f>
        <v>Mp Multipedidos</v>
      </c>
      <c r="N4334" s="33">
        <f>IFERROR(__xludf.DUMMYFUNCTION("""COMPUTED_VALUE"""),1.0)</f>
        <v>1</v>
      </c>
      <c r="O4334" s="4" t="str">
        <f>IFERROR(__xludf.DUMMYFUNCTION("""COMPUTED_VALUE"""),"Mp Multipedidos")</f>
        <v>Mp Multipedidos</v>
      </c>
      <c r="P4334" s="33">
        <f>IFERROR(__xludf.DUMMYFUNCTION("""COMPUTED_VALUE"""),1.0)</f>
        <v>1</v>
      </c>
      <c r="Q4334" s="4" t="str">
        <f>IFERROR(__xludf.DUMMYFUNCTION("""COMPUTED_VALUE"""),"Mp Multipedidos")</f>
        <v>Mp Multipedidos</v>
      </c>
      <c r="R4334" s="33">
        <f>IFERROR(__xludf.DUMMYFUNCTION("""COMPUTED_VALUE"""),1.0)</f>
        <v>1</v>
      </c>
      <c r="S4334" s="4" t="str">
        <f>IFERROR(__xludf.DUMMYFUNCTION("""COMPUTED_VALUE"""),"Mp Multipedidos")</f>
        <v>Mp Multipedidos</v>
      </c>
      <c r="T4334" s="33">
        <f>IFERROR(__xludf.DUMMYFUNCTION("""COMPUTED_VALUE"""),1.0)</f>
        <v>1</v>
      </c>
      <c r="U4334" s="4" t="str">
        <f>IFERROR(__xludf.DUMMYFUNCTION("""COMPUTED_VALUE"""),"Mp Multipedidos")</f>
        <v>Mp Multipedidos</v>
      </c>
      <c r="V4334" s="33">
        <f>IFERROR(__xludf.DUMMYFUNCTION("""COMPUTED_VALUE"""),1.0)</f>
        <v>1</v>
      </c>
      <c r="W4334" s="4" t="str">
        <f>IFERROR(__xludf.DUMMYFUNCTION("""COMPUTED_VALUE"""),"Mp Multipedidos")</f>
        <v>Mp Multipedidos</v>
      </c>
      <c r="X4334" s="33">
        <f>IFERROR(__xludf.DUMMYFUNCTION("""COMPUTED_VALUE"""),1.0)</f>
        <v>1</v>
      </c>
    </row>
    <row r="4335">
      <c r="K4335" s="4" t="str">
        <f>IFERROR(__xludf.DUMMYFUNCTION("""COMPUTED_VALUE"""),"PRIME PET")</f>
        <v>PRIME PET</v>
      </c>
      <c r="L4335" s="32">
        <f>IFERROR(__xludf.DUMMYFUNCTION("""COMPUTED_VALUE"""),2.0)</f>
        <v>2</v>
      </c>
      <c r="M4335" s="4" t="str">
        <f>IFERROR(__xludf.DUMMYFUNCTION("""COMPUTED_VALUE"""),"N/A (Not found)")</f>
        <v>N/A (Not found)</v>
      </c>
      <c r="N4335" s="33">
        <f>IFERROR(__xludf.DUMMYFUNCTION("""COMPUTED_VALUE"""),1.0)</f>
        <v>1</v>
      </c>
      <c r="O4335" s="4" t="str">
        <f>IFERROR(__xludf.DUMMYFUNCTION("""COMPUTED_VALUE"""),"N/A (Not found)")</f>
        <v>N/A (Not found)</v>
      </c>
      <c r="P4335" s="33">
        <f>IFERROR(__xludf.DUMMYFUNCTION("""COMPUTED_VALUE"""),1.0)</f>
        <v>1</v>
      </c>
      <c r="Q4335" s="4" t="str">
        <f>IFERROR(__xludf.DUMMYFUNCTION("""COMPUTED_VALUE"""),"N/A (Not found)")</f>
        <v>N/A (Not found)</v>
      </c>
      <c r="R4335" s="33">
        <f>IFERROR(__xludf.DUMMYFUNCTION("""COMPUTED_VALUE"""),1.0)</f>
        <v>1</v>
      </c>
      <c r="S4335" s="4" t="str">
        <f>IFERROR(__xludf.DUMMYFUNCTION("""COMPUTED_VALUE"""),"N/A (Not found)")</f>
        <v>N/A (Not found)</v>
      </c>
      <c r="T4335" s="33">
        <f>IFERROR(__xludf.DUMMYFUNCTION("""COMPUTED_VALUE"""),1.0)</f>
        <v>1</v>
      </c>
      <c r="U4335" s="4" t="str">
        <f>IFERROR(__xludf.DUMMYFUNCTION("""COMPUTED_VALUE"""),"N/A (Not found)")</f>
        <v>N/A (Not found)</v>
      </c>
      <c r="V4335" s="33">
        <f>IFERROR(__xludf.DUMMYFUNCTION("""COMPUTED_VALUE"""),1.0)</f>
        <v>1</v>
      </c>
      <c r="W4335" s="4" t="str">
        <f>IFERROR(__xludf.DUMMYFUNCTION("""COMPUTED_VALUE"""),"N/A (Not found)")</f>
        <v>N/A (Not found)</v>
      </c>
      <c r="X4335" s="33">
        <f>IFERROR(__xludf.DUMMYFUNCTION("""COMPUTED_VALUE"""),1.0)</f>
        <v>1</v>
      </c>
    </row>
    <row r="4336">
      <c r="K4336" s="4" t="str">
        <f>IFERROR(__xludf.DUMMYFUNCTION("""COMPUTED_VALUE"""),"SPUD CLUB - BOWLS SAUDAVEIS")</f>
        <v>SPUD CLUB - BOWLS SAUDAVEIS</v>
      </c>
      <c r="L4336" s="32">
        <f>IFERROR(__xludf.DUMMYFUNCTION("""COMPUTED_VALUE"""),2.0)</f>
        <v>2</v>
      </c>
      <c r="M4336" s="4" t="str">
        <f>IFERROR(__xludf.DUMMYFUNCTION("""COMPUTED_VALUE"""),"Noah Sistemas Ltda")</f>
        <v>Noah Sistemas Ltda</v>
      </c>
      <c r="N4336" s="33">
        <f>IFERROR(__xludf.DUMMYFUNCTION("""COMPUTED_VALUE"""),1.0)</f>
        <v>1</v>
      </c>
      <c r="O4336" s="4" t="str">
        <f>IFERROR(__xludf.DUMMYFUNCTION("""COMPUTED_VALUE"""),"Noah Sistemas Ltda")</f>
        <v>Noah Sistemas Ltda</v>
      </c>
      <c r="P4336" s="33">
        <f>IFERROR(__xludf.DUMMYFUNCTION("""COMPUTED_VALUE"""),1.0)</f>
        <v>1</v>
      </c>
      <c r="Q4336" s="4" t="str">
        <f>IFERROR(__xludf.DUMMYFUNCTION("""COMPUTED_VALUE"""),"Noah Sistemas Ltda")</f>
        <v>Noah Sistemas Ltda</v>
      </c>
      <c r="R4336" s="33">
        <f>IFERROR(__xludf.DUMMYFUNCTION("""COMPUTED_VALUE"""),1.0)</f>
        <v>1</v>
      </c>
      <c r="S4336" s="4" t="str">
        <f>IFERROR(__xludf.DUMMYFUNCTION("""COMPUTED_VALUE"""),"Noah Sistemas Ltda")</f>
        <v>Noah Sistemas Ltda</v>
      </c>
      <c r="T4336" s="33">
        <f>IFERROR(__xludf.DUMMYFUNCTION("""COMPUTED_VALUE"""),1.0)</f>
        <v>1</v>
      </c>
      <c r="U4336" s="4" t="str">
        <f>IFERROR(__xludf.DUMMYFUNCTION("""COMPUTED_VALUE"""),"Noah Sistemas Ltda")</f>
        <v>Noah Sistemas Ltda</v>
      </c>
      <c r="V4336" s="33">
        <f>IFERROR(__xludf.DUMMYFUNCTION("""COMPUTED_VALUE"""),1.0)</f>
        <v>1</v>
      </c>
      <c r="W4336" s="4" t="str">
        <f>IFERROR(__xludf.DUMMYFUNCTION("""COMPUTED_VALUE"""),"Noah Sistemas Ltda")</f>
        <v>Noah Sistemas Ltda</v>
      </c>
      <c r="X4336" s="33">
        <f>IFERROR(__xludf.DUMMYFUNCTION("""COMPUTED_VALUE"""),1.0)</f>
        <v>1</v>
      </c>
    </row>
    <row r="4337">
      <c r="K4337" s="4" t="str">
        <f>IFERROR(__xludf.DUMMYFUNCTION("""COMPUTED_VALUE"""),"DBURGUER")</f>
        <v>DBURGUER</v>
      </c>
      <c r="L4337" s="32">
        <f>IFERROR(__xludf.DUMMYFUNCTION("""COMPUTED_VALUE"""),2.0)</f>
        <v>2</v>
      </c>
      <c r="M4337" s="4" t="str">
        <f>IFERROR(__xludf.DUMMYFUNCTION("""COMPUTED_VALUE"""),"null")</f>
        <v>null</v>
      </c>
      <c r="N4337" s="33">
        <f>IFERROR(__xludf.DUMMYFUNCTION("""COMPUTED_VALUE"""),1.0)</f>
        <v>1</v>
      </c>
      <c r="O4337" s="4" t="str">
        <f>IFERROR(__xludf.DUMMYFUNCTION("""COMPUTED_VALUE"""),"null")</f>
        <v>null</v>
      </c>
      <c r="P4337" s="33">
        <f>IFERROR(__xludf.DUMMYFUNCTION("""COMPUTED_VALUE"""),0.5)</f>
        <v>0.5</v>
      </c>
      <c r="Q4337" s="4" t="str">
        <f>IFERROR(__xludf.DUMMYFUNCTION("""COMPUTED_VALUE"""),"null")</f>
        <v>null</v>
      </c>
      <c r="R4337" s="33">
        <f>IFERROR(__xludf.DUMMYFUNCTION("""COMPUTED_VALUE"""),1.0)</f>
        <v>1</v>
      </c>
      <c r="S4337" s="4" t="str">
        <f>IFERROR(__xludf.DUMMYFUNCTION("""COMPUTED_VALUE"""),"null")</f>
        <v>null</v>
      </c>
      <c r="T4337" s="33">
        <f>IFERROR(__xludf.DUMMYFUNCTION("""COMPUTED_VALUE"""),0.5)</f>
        <v>0.5</v>
      </c>
      <c r="U4337" s="4" t="str">
        <f>IFERROR(__xludf.DUMMYFUNCTION("""COMPUTED_VALUE"""),"null")</f>
        <v>null</v>
      </c>
      <c r="V4337" s="33">
        <f>IFERROR(__xludf.DUMMYFUNCTION("""COMPUTED_VALUE"""),1.0)</f>
        <v>1</v>
      </c>
      <c r="W4337" s="4" t="str">
        <f>IFERROR(__xludf.DUMMYFUNCTION("""COMPUTED_VALUE"""),"Anota Ai Solucoes Digitais S/a")</f>
        <v>Anota Ai Solucoes Digitais S/a</v>
      </c>
      <c r="X4337" s="33">
        <f>IFERROR(__xludf.DUMMYFUNCTION("""COMPUTED_VALUE"""),0.5)</f>
        <v>0.5</v>
      </c>
    </row>
    <row r="4338">
      <c r="K4338" s="4" t="str">
        <f>IFERROR(__xludf.DUMMYFUNCTION("""COMPUTED_VALUE"""),"PIZZAVILHA")</f>
        <v>PIZZAVILHA</v>
      </c>
      <c r="L4338" s="32">
        <f>IFERROR(__xludf.DUMMYFUNCTION("""COMPUTED_VALUE"""),2.0)</f>
        <v>2</v>
      </c>
      <c r="M4338" s="4" t="str">
        <f>IFERROR(__xludf.DUMMYFUNCTION("""COMPUTED_VALUE"""),"Brendi")</f>
        <v>Brendi</v>
      </c>
      <c r="N4338" s="33">
        <f>IFERROR(__xludf.DUMMYFUNCTION("""COMPUTED_VALUE"""),0.5)</f>
        <v>0.5</v>
      </c>
      <c r="O4338" s="4" t="str">
        <f>IFERROR(__xludf.DUMMYFUNCTION("""COMPUTED_VALUE"""),"Saipos Serviços De Software")</f>
        <v>Saipos Serviços De Software</v>
      </c>
      <c r="P4338" s="33">
        <f>IFERROR(__xludf.DUMMYFUNCTION("""COMPUTED_VALUE"""),0.5)</f>
        <v>0.5</v>
      </c>
      <c r="Q4338" s="4" t="str">
        <f>IFERROR(__xludf.DUMMYFUNCTION("""COMPUTED_VALUE"""),"Saipos Serviços De Software")</f>
        <v>Saipos Serviços De Software</v>
      </c>
      <c r="R4338" s="33">
        <f>IFERROR(__xludf.DUMMYFUNCTION("""COMPUTED_VALUE"""),0.5)</f>
        <v>0.5</v>
      </c>
      <c r="S4338" s="4" t="str">
        <f>IFERROR(__xludf.DUMMYFUNCTION("""COMPUTED_VALUE"""),"Saipos Serviços De Software")</f>
        <v>Saipos Serviços De Software</v>
      </c>
      <c r="T4338" s="33">
        <f>IFERROR(__xludf.DUMMYFUNCTION("""COMPUTED_VALUE"""),1.0)</f>
        <v>1</v>
      </c>
      <c r="U4338" s="4" t="str">
        <f>IFERROR(__xludf.DUMMYFUNCTION("""COMPUTED_VALUE"""),"Saipos Serviços De Software")</f>
        <v>Saipos Serviços De Software</v>
      </c>
      <c r="V4338" s="33">
        <f>IFERROR(__xludf.DUMMYFUNCTION("""COMPUTED_VALUE"""),1.0)</f>
        <v>1</v>
      </c>
      <c r="W4338" s="4" t="str">
        <f>IFERROR(__xludf.DUMMYFUNCTION("""COMPUTED_VALUE"""),"Saipos Serviços De Software")</f>
        <v>Saipos Serviços De Software</v>
      </c>
      <c r="X4338" s="33">
        <f>IFERROR(__xludf.DUMMYFUNCTION("""COMPUTED_VALUE"""),0.5)</f>
        <v>0.5</v>
      </c>
    </row>
    <row r="4339">
      <c r="K4339" s="4" t="str">
        <f>IFERROR(__xludf.DUMMYFUNCTION("""COMPUTED_VALUE"""),"PIRATAS ACAI")</f>
        <v>PIRATAS ACAI</v>
      </c>
      <c r="L4339" s="32">
        <f>IFERROR(__xludf.DUMMYFUNCTION("""COMPUTED_VALUE"""),2.0)</f>
        <v>2</v>
      </c>
      <c r="M4339" s="4" t="str">
        <f>IFERROR(__xludf.DUMMYFUNCTION("""COMPUTED_VALUE"""),"null")</f>
        <v>null</v>
      </c>
      <c r="N4339" s="33">
        <f>IFERROR(__xludf.DUMMYFUNCTION("""COMPUTED_VALUE"""),0.5)</f>
        <v>0.5</v>
      </c>
      <c r="O4339" s="4" t="str">
        <f>IFERROR(__xludf.DUMMYFUNCTION("""COMPUTED_VALUE"""),"null")</f>
        <v>null</v>
      </c>
      <c r="P4339" s="33">
        <f>IFERROR(__xludf.DUMMYFUNCTION("""COMPUTED_VALUE"""),0.5)</f>
        <v>0.5</v>
      </c>
      <c r="Q4339" s="4" t="str">
        <f>IFERROR(__xludf.DUMMYFUNCTION("""COMPUTED_VALUE"""),"Nuc Tecnologia")</f>
        <v>Nuc Tecnologia</v>
      </c>
      <c r="R4339" s="33">
        <f>IFERROR(__xludf.DUMMYFUNCTION("""COMPUTED_VALUE"""),0.5)</f>
        <v>0.5</v>
      </c>
      <c r="S4339" s="4" t="str">
        <f>IFERROR(__xludf.DUMMYFUNCTION("""COMPUTED_VALUE"""),"null")</f>
        <v>null</v>
      </c>
      <c r="T4339" s="33">
        <f>IFERROR(__xludf.DUMMYFUNCTION("""COMPUTED_VALUE"""),0.5)</f>
        <v>0.5</v>
      </c>
      <c r="U4339" s="4" t="str">
        <f>IFERROR(__xludf.DUMMYFUNCTION("""COMPUTED_VALUE"""),"null")</f>
        <v>null</v>
      </c>
      <c r="V4339" s="33">
        <f>IFERROR(__xludf.DUMMYFUNCTION("""COMPUTED_VALUE"""),0.5)</f>
        <v>0.5</v>
      </c>
      <c r="W4339" s="4" t="str">
        <f>IFERROR(__xludf.DUMMYFUNCTION("""COMPUTED_VALUE"""),"null")</f>
        <v>null</v>
      </c>
      <c r="X4339" s="33">
        <f>IFERROR(__xludf.DUMMYFUNCTION("""COMPUTED_VALUE"""),0.5)</f>
        <v>0.5</v>
      </c>
    </row>
    <row r="4340">
      <c r="K4340" s="4" t="str">
        <f>IFERROR(__xludf.DUMMYFUNCTION("""COMPUTED_VALUE"""),"PIZZARIA MASSA NOBRE")</f>
        <v>PIZZARIA MASSA NOBRE</v>
      </c>
      <c r="L4340" s="32">
        <f>IFERROR(__xludf.DUMMYFUNCTION("""COMPUTED_VALUE"""),2.0)</f>
        <v>2</v>
      </c>
      <c r="M4340" s="4" t="str">
        <f>IFERROR(__xludf.DUMMYFUNCTION("""COMPUTED_VALUE"""),"Alloy Tecnologia")</f>
        <v>Alloy Tecnologia</v>
      </c>
      <c r="N4340" s="33">
        <f>IFERROR(__xludf.DUMMYFUNCTION("""COMPUTED_VALUE"""),0.5)</f>
        <v>0.5</v>
      </c>
      <c r="O4340" s="4" t="str">
        <f>IFERROR(__xludf.DUMMYFUNCTION("""COMPUTED_VALUE"""),"Alloy Tecnologia")</f>
        <v>Alloy Tecnologia</v>
      </c>
      <c r="P4340" s="33">
        <f>IFERROR(__xludf.DUMMYFUNCTION("""COMPUTED_VALUE"""),0.5)</f>
        <v>0.5</v>
      </c>
      <c r="Q4340" s="4" t="str">
        <f>IFERROR(__xludf.DUMMYFUNCTION("""COMPUTED_VALUE"""),"Alloy Tecnologia")</f>
        <v>Alloy Tecnologia</v>
      </c>
      <c r="R4340" s="33">
        <f>IFERROR(__xludf.DUMMYFUNCTION("""COMPUTED_VALUE"""),0.5)</f>
        <v>0.5</v>
      </c>
      <c r="S4340" s="4" t="str">
        <f>IFERROR(__xludf.DUMMYFUNCTION("""COMPUTED_VALUE"""),"Alloy Tecnologia")</f>
        <v>Alloy Tecnologia</v>
      </c>
      <c r="T4340" s="33">
        <f>IFERROR(__xludf.DUMMYFUNCTION("""COMPUTED_VALUE"""),0.5)</f>
        <v>0.5</v>
      </c>
      <c r="U4340" s="4" t="str">
        <f>IFERROR(__xludf.DUMMYFUNCTION("""COMPUTED_VALUE"""),"Alloy Tecnologia")</f>
        <v>Alloy Tecnologia</v>
      </c>
      <c r="V4340" s="33">
        <f>IFERROR(__xludf.DUMMYFUNCTION("""COMPUTED_VALUE"""),0.5)</f>
        <v>0.5</v>
      </c>
      <c r="W4340" s="4" t="str">
        <f>IFERROR(__xludf.DUMMYFUNCTION("""COMPUTED_VALUE"""),"Alloy Tecnologia")</f>
        <v>Alloy Tecnologia</v>
      </c>
      <c r="X4340" s="33">
        <f>IFERROR(__xludf.DUMMYFUNCTION("""COMPUTED_VALUE"""),0.5)</f>
        <v>0.5</v>
      </c>
    </row>
    <row r="4341">
      <c r="K4341" s="4" t="str">
        <f>IFERROR(__xludf.DUMMYFUNCTION("""COMPUTED_VALUE"""),"GARDEN PIZZA")</f>
        <v>GARDEN PIZZA</v>
      </c>
      <c r="L4341" s="32">
        <f>IFERROR(__xludf.DUMMYFUNCTION("""COMPUTED_VALUE"""),2.0)</f>
        <v>2</v>
      </c>
      <c r="M4341" s="4" t="str">
        <f>IFERROR(__xludf.DUMMYFUNCTION("""COMPUTED_VALUE"""),"Anota Ai Solucoes Digitais S/a")</f>
        <v>Anota Ai Solucoes Digitais S/a</v>
      </c>
      <c r="N4341" s="33">
        <f>IFERROR(__xludf.DUMMYFUNCTION("""COMPUTED_VALUE"""),0.5)</f>
        <v>0.5</v>
      </c>
      <c r="O4341" s="4" t="str">
        <f>IFERROR(__xludf.DUMMYFUNCTION("""COMPUTED_VALUE"""),"Anota Ai Solucoes Digitais S/a")</f>
        <v>Anota Ai Solucoes Digitais S/a</v>
      </c>
      <c r="P4341" s="33">
        <f>IFERROR(__xludf.DUMMYFUNCTION("""COMPUTED_VALUE"""),0.5)</f>
        <v>0.5</v>
      </c>
      <c r="Q4341" s="4" t="str">
        <f>IFERROR(__xludf.DUMMYFUNCTION("""COMPUTED_VALUE"""),"Anota Ai Solucoes Digitais S/a")</f>
        <v>Anota Ai Solucoes Digitais S/a</v>
      </c>
      <c r="R4341" s="33">
        <f>IFERROR(__xludf.DUMMYFUNCTION("""COMPUTED_VALUE"""),0.5)</f>
        <v>0.5</v>
      </c>
      <c r="S4341" s="4" t="str">
        <f>IFERROR(__xludf.DUMMYFUNCTION("""COMPUTED_VALUE"""),"Anota Ai Solucoes Digitais S/a")</f>
        <v>Anota Ai Solucoes Digitais S/a</v>
      </c>
      <c r="T4341" s="33">
        <f>IFERROR(__xludf.DUMMYFUNCTION("""COMPUTED_VALUE"""),0.5)</f>
        <v>0.5</v>
      </c>
      <c r="U4341" s="4" t="str">
        <f>IFERROR(__xludf.DUMMYFUNCTION("""COMPUTED_VALUE"""),"Anota Ai Solucoes Digitais S/a")</f>
        <v>Anota Ai Solucoes Digitais S/a</v>
      </c>
      <c r="V4341" s="33">
        <f>IFERROR(__xludf.DUMMYFUNCTION("""COMPUTED_VALUE"""),0.5)</f>
        <v>0.5</v>
      </c>
      <c r="W4341" s="4" t="str">
        <f>IFERROR(__xludf.DUMMYFUNCTION("""COMPUTED_VALUE"""),"Anota Ai Solucoes Digitais S/a")</f>
        <v>Anota Ai Solucoes Digitais S/a</v>
      </c>
      <c r="X4341" s="33">
        <f>IFERROR(__xludf.DUMMYFUNCTION("""COMPUTED_VALUE"""),0.5)</f>
        <v>0.5</v>
      </c>
    </row>
    <row r="4342">
      <c r="K4342" s="4" t="str">
        <f>IFERROR(__xludf.DUMMYFUNCTION("""COMPUTED_VALUE"""),"LA NOSTRA PIZZA")</f>
        <v>LA NOSTRA PIZZA</v>
      </c>
      <c r="L4342" s="32">
        <f>IFERROR(__xludf.DUMMYFUNCTION("""COMPUTED_VALUE"""),2.0)</f>
        <v>2</v>
      </c>
      <c r="M4342" s="4" t="str">
        <f>IFERROR(__xludf.DUMMYFUNCTION("""COMPUTED_VALUE"""),"Ccm Pedido Online")</f>
        <v>Ccm Pedido Online</v>
      </c>
      <c r="N4342" s="33">
        <f>IFERROR(__xludf.DUMMYFUNCTION("""COMPUTED_VALUE"""),0.5)</f>
        <v>0.5</v>
      </c>
      <c r="O4342" s="4" t="str">
        <f>IFERROR(__xludf.DUMMYFUNCTION("""COMPUTED_VALUE"""),"Ccm Pedido Online")</f>
        <v>Ccm Pedido Online</v>
      </c>
      <c r="P4342" s="33">
        <f>IFERROR(__xludf.DUMMYFUNCTION("""COMPUTED_VALUE"""),0.5)</f>
        <v>0.5</v>
      </c>
      <c r="Q4342" s="4" t="str">
        <f>IFERROR(__xludf.DUMMYFUNCTION("""COMPUTED_VALUE"""),"Ccm Pedido Online")</f>
        <v>Ccm Pedido Online</v>
      </c>
      <c r="R4342" s="33">
        <f>IFERROR(__xludf.DUMMYFUNCTION("""COMPUTED_VALUE"""),0.5)</f>
        <v>0.5</v>
      </c>
      <c r="S4342" s="4" t="str">
        <f>IFERROR(__xludf.DUMMYFUNCTION("""COMPUTED_VALUE"""),"Ccm Pedido Online")</f>
        <v>Ccm Pedido Online</v>
      </c>
      <c r="T4342" s="33">
        <f>IFERROR(__xludf.DUMMYFUNCTION("""COMPUTED_VALUE"""),0.5)</f>
        <v>0.5</v>
      </c>
      <c r="U4342" s="4" t="str">
        <f>IFERROR(__xludf.DUMMYFUNCTION("""COMPUTED_VALUE"""),"Ccm Pedido Online")</f>
        <v>Ccm Pedido Online</v>
      </c>
      <c r="V4342" s="33">
        <f>IFERROR(__xludf.DUMMYFUNCTION("""COMPUTED_VALUE"""),0.5)</f>
        <v>0.5</v>
      </c>
      <c r="W4342" s="4" t="str">
        <f>IFERROR(__xludf.DUMMYFUNCTION("""COMPUTED_VALUE"""),"Ccm Pedido Online")</f>
        <v>Ccm Pedido Online</v>
      </c>
      <c r="X4342" s="33">
        <f>IFERROR(__xludf.DUMMYFUNCTION("""COMPUTED_VALUE"""),0.5)</f>
        <v>0.5</v>
      </c>
    </row>
    <row r="4343">
      <c r="K4343" s="4" t="str">
        <f>IFERROR(__xludf.DUMMYFUNCTION("""COMPUTED_VALUE"""),"ACAI DO FABIO")</f>
        <v>ACAI DO FABIO</v>
      </c>
      <c r="L4343" s="32">
        <f>IFERROR(__xludf.DUMMYFUNCTION("""COMPUTED_VALUE"""),2.0)</f>
        <v>2</v>
      </c>
      <c r="M4343" s="4" t="str">
        <f>IFERROR(__xludf.DUMMYFUNCTION("""COMPUTED_VALUE"""),"Saipos Serviços De Software")</f>
        <v>Saipos Serviços De Software</v>
      </c>
      <c r="N4343" s="33">
        <f>IFERROR(__xludf.DUMMYFUNCTION("""COMPUTED_VALUE"""),0.5)</f>
        <v>0.5</v>
      </c>
      <c r="O4343" s="4" t="str">
        <f>IFERROR(__xludf.DUMMYFUNCTION("""COMPUTED_VALUE"""),"Saipos Serviços De Software")</f>
        <v>Saipos Serviços De Software</v>
      </c>
      <c r="P4343" s="33">
        <f>IFERROR(__xludf.DUMMYFUNCTION("""COMPUTED_VALUE"""),0.5)</f>
        <v>0.5</v>
      </c>
      <c r="Q4343" s="4" t="str">
        <f>IFERROR(__xludf.DUMMYFUNCTION("""COMPUTED_VALUE"""),"Saipos Serviços De Software")</f>
        <v>Saipos Serviços De Software</v>
      </c>
      <c r="R4343" s="33">
        <f>IFERROR(__xludf.DUMMYFUNCTION("""COMPUTED_VALUE"""),0.5)</f>
        <v>0.5</v>
      </c>
      <c r="S4343" s="4" t="str">
        <f>IFERROR(__xludf.DUMMYFUNCTION("""COMPUTED_VALUE"""),"Saipos Serviços De Software")</f>
        <v>Saipos Serviços De Software</v>
      </c>
      <c r="T4343" s="33">
        <f>IFERROR(__xludf.DUMMYFUNCTION("""COMPUTED_VALUE"""),0.5)</f>
        <v>0.5</v>
      </c>
      <c r="U4343" s="4" t="str">
        <f>IFERROR(__xludf.DUMMYFUNCTION("""COMPUTED_VALUE"""),"Saipos Serviços De Software")</f>
        <v>Saipos Serviços De Software</v>
      </c>
      <c r="V4343" s="33">
        <f>IFERROR(__xludf.DUMMYFUNCTION("""COMPUTED_VALUE"""),0.5)</f>
        <v>0.5</v>
      </c>
      <c r="W4343" s="4" t="str">
        <f>IFERROR(__xludf.DUMMYFUNCTION("""COMPUTED_VALUE"""),"Saipos Serviços De Software")</f>
        <v>Saipos Serviços De Software</v>
      </c>
      <c r="X4343" s="33">
        <f>IFERROR(__xludf.DUMMYFUNCTION("""COMPUTED_VALUE"""),0.5)</f>
        <v>0.5</v>
      </c>
    </row>
    <row r="4344">
      <c r="K4344" s="4" t="str">
        <f>IFERROR(__xludf.DUMMYFUNCTION("""COMPUTED_VALUE"""),"PARAISO DOS PASTEIS")</f>
        <v>PARAISO DOS PASTEIS</v>
      </c>
      <c r="L4344" s="32">
        <f>IFERROR(__xludf.DUMMYFUNCTION("""COMPUTED_VALUE"""),2.0)</f>
        <v>2</v>
      </c>
      <c r="M4344" s="4" t="str">
        <f>IFERROR(__xludf.DUMMYFUNCTION("""COMPUTED_VALUE"""),"null")</f>
        <v>null</v>
      </c>
      <c r="N4344" s="33">
        <f>IFERROR(__xludf.DUMMYFUNCTION("""COMPUTED_VALUE"""),0.5)</f>
        <v>0.5</v>
      </c>
      <c r="O4344" s="4" t="str">
        <f>IFERROR(__xludf.DUMMYFUNCTION("""COMPUTED_VALUE"""),"Jaxtech")</f>
        <v>Jaxtech</v>
      </c>
      <c r="P4344" s="33">
        <f>IFERROR(__xludf.DUMMYFUNCTION("""COMPUTED_VALUE"""),0.5)</f>
        <v>0.5</v>
      </c>
      <c r="Q4344" s="4" t="str">
        <f>IFERROR(__xludf.DUMMYFUNCTION("""COMPUTED_VALUE"""),"null")</f>
        <v>null</v>
      </c>
      <c r="R4344" s="33">
        <f>IFERROR(__xludf.DUMMYFUNCTION("""COMPUTED_VALUE"""),0.5)</f>
        <v>0.5</v>
      </c>
      <c r="S4344" s="4" t="str">
        <f>IFERROR(__xludf.DUMMYFUNCTION("""COMPUTED_VALUE"""),"null")</f>
        <v>null</v>
      </c>
      <c r="T4344" s="33">
        <f>IFERROR(__xludf.DUMMYFUNCTION("""COMPUTED_VALUE"""),0.5)</f>
        <v>0.5</v>
      </c>
      <c r="U4344" s="4" t="str">
        <f>IFERROR(__xludf.DUMMYFUNCTION("""COMPUTED_VALUE"""),"null")</f>
        <v>null</v>
      </c>
      <c r="V4344" s="33">
        <f>IFERROR(__xludf.DUMMYFUNCTION("""COMPUTED_VALUE"""),0.5)</f>
        <v>0.5</v>
      </c>
      <c r="W4344" s="4" t="str">
        <f>IFERROR(__xludf.DUMMYFUNCTION("""COMPUTED_VALUE"""),"Jaxtech")</f>
        <v>Jaxtech</v>
      </c>
      <c r="X4344" s="33">
        <f>IFERROR(__xludf.DUMMYFUNCTION("""COMPUTED_VALUE"""),0.5)</f>
        <v>0.5</v>
      </c>
    </row>
    <row r="4345">
      <c r="K4345" s="4" t="str">
        <f>IFERROR(__xludf.DUMMYFUNCTION("""COMPUTED_VALUE"""),"LUI FRATELLI PIZZARIA")</f>
        <v>LUI FRATELLI PIZZARIA</v>
      </c>
      <c r="L4345" s="32">
        <f>IFERROR(__xludf.DUMMYFUNCTION("""COMPUTED_VALUE"""),2.0)</f>
        <v>2</v>
      </c>
      <c r="M4345" s="4" t="str">
        <f>IFERROR(__xludf.DUMMYFUNCTION("""COMPUTED_VALUE"""),"Cardápio Web")</f>
        <v>Cardápio Web</v>
      </c>
      <c r="N4345" s="33">
        <f>IFERROR(__xludf.DUMMYFUNCTION("""COMPUTED_VALUE"""),1.0)</f>
        <v>1</v>
      </c>
      <c r="O4345" s="4" t="str">
        <f>IFERROR(__xludf.DUMMYFUNCTION("""COMPUTED_VALUE"""),"null")</f>
        <v>null</v>
      </c>
      <c r="P4345" s="33">
        <f>IFERROR(__xludf.DUMMYFUNCTION("""COMPUTED_VALUE"""),0.5)</f>
        <v>0.5</v>
      </c>
      <c r="Q4345" s="4" t="str">
        <f>IFERROR(__xludf.DUMMYFUNCTION("""COMPUTED_VALUE"""),"null")</f>
        <v>null</v>
      </c>
      <c r="R4345" s="33">
        <f>IFERROR(__xludf.DUMMYFUNCTION("""COMPUTED_VALUE"""),0.5)</f>
        <v>0.5</v>
      </c>
      <c r="S4345" s="4" t="str">
        <f>IFERROR(__xludf.DUMMYFUNCTION("""COMPUTED_VALUE"""),"null")</f>
        <v>null</v>
      </c>
      <c r="T4345" s="33">
        <f>IFERROR(__xludf.DUMMYFUNCTION("""COMPUTED_VALUE"""),0.5)</f>
        <v>0.5</v>
      </c>
      <c r="U4345" s="4" t="str">
        <f>IFERROR(__xludf.DUMMYFUNCTION("""COMPUTED_VALUE"""),"Cardápio Web")</f>
        <v>Cardápio Web</v>
      </c>
      <c r="V4345" s="33">
        <f>IFERROR(__xludf.DUMMYFUNCTION("""COMPUTED_VALUE"""),1.0)</f>
        <v>1</v>
      </c>
      <c r="W4345" s="4" t="str">
        <f>IFERROR(__xludf.DUMMYFUNCTION("""COMPUTED_VALUE"""),"Cardápio Web")</f>
        <v>Cardápio Web</v>
      </c>
      <c r="X4345" s="33">
        <f>IFERROR(__xludf.DUMMYFUNCTION("""COMPUTED_VALUE"""),1.0)</f>
        <v>1</v>
      </c>
    </row>
    <row r="4346">
      <c r="K4346" s="4" t="str">
        <f>IFERROR(__xludf.DUMMYFUNCTION("""COMPUTED_VALUE"""),"PASTEL BERTIOGA - RESTAURANTE BAR")</f>
        <v>PASTEL BERTIOGA - RESTAURANTE BAR</v>
      </c>
      <c r="L4346" s="32">
        <f>IFERROR(__xludf.DUMMYFUNCTION("""COMPUTED_VALUE"""),2.0)</f>
        <v>2</v>
      </c>
      <c r="M4346" s="4" t="str">
        <f>IFERROR(__xludf.DUMMYFUNCTION("""COMPUTED_VALUE"""),"Eclética Tecnologia")</f>
        <v>Eclética Tecnologia</v>
      </c>
      <c r="N4346" s="33">
        <f>IFERROR(__xludf.DUMMYFUNCTION("""COMPUTED_VALUE"""),1.0)</f>
        <v>1</v>
      </c>
      <c r="O4346" s="4" t="str">
        <f>IFERROR(__xludf.DUMMYFUNCTION("""COMPUTED_VALUE"""),"Eclética Tecnologia")</f>
        <v>Eclética Tecnologia</v>
      </c>
      <c r="P4346" s="33">
        <f>IFERROR(__xludf.DUMMYFUNCTION("""COMPUTED_VALUE"""),1.0)</f>
        <v>1</v>
      </c>
      <c r="Q4346" s="4" t="str">
        <f>IFERROR(__xludf.DUMMYFUNCTION("""COMPUTED_VALUE"""),"Eclética Tecnologia")</f>
        <v>Eclética Tecnologia</v>
      </c>
      <c r="R4346" s="33">
        <f>IFERROR(__xludf.DUMMYFUNCTION("""COMPUTED_VALUE"""),0.5)</f>
        <v>0.5</v>
      </c>
      <c r="S4346" s="4" t="str">
        <f>IFERROR(__xludf.DUMMYFUNCTION("""COMPUTED_VALUE"""),"null")</f>
        <v>null</v>
      </c>
      <c r="T4346" s="33">
        <f>IFERROR(__xludf.DUMMYFUNCTION("""COMPUTED_VALUE"""),1.0)</f>
        <v>1</v>
      </c>
      <c r="U4346" s="4" t="str">
        <f>IFERROR(__xludf.DUMMYFUNCTION("""COMPUTED_VALUE"""),"Eclética Tecnologia")</f>
        <v>Eclética Tecnologia</v>
      </c>
      <c r="V4346" s="33">
        <f>IFERROR(__xludf.DUMMYFUNCTION("""COMPUTED_VALUE"""),0.5)</f>
        <v>0.5</v>
      </c>
      <c r="W4346" s="4" t="str">
        <f>IFERROR(__xludf.DUMMYFUNCTION("""COMPUTED_VALUE"""),"null")</f>
        <v>null</v>
      </c>
      <c r="X4346" s="33">
        <f>IFERROR(__xludf.DUMMYFUNCTION("""COMPUTED_VALUE"""),1.0)</f>
        <v>1</v>
      </c>
    </row>
    <row r="4347">
      <c r="K4347" s="4" t="str">
        <f>IFERROR(__xludf.DUMMYFUNCTION("""COMPUTED_VALUE"""),"BRASEIRO PARRILLA")</f>
        <v>BRASEIRO PARRILLA</v>
      </c>
      <c r="L4347" s="32">
        <f>IFERROR(__xludf.DUMMYFUNCTION("""COMPUTED_VALUE"""),2.0)</f>
        <v>2</v>
      </c>
      <c r="M4347" s="4" t="str">
        <f>IFERROR(__xludf.DUMMYFUNCTION("""COMPUTED_VALUE"""),"Anota Ai Solucoes Digitais S/a")</f>
        <v>Anota Ai Solucoes Digitais S/a</v>
      </c>
      <c r="N4347" s="33">
        <f>IFERROR(__xludf.DUMMYFUNCTION("""COMPUTED_VALUE"""),0.5)</f>
        <v>0.5</v>
      </c>
      <c r="O4347" s="4" t="str">
        <f>IFERROR(__xludf.DUMMYFUNCTION("""COMPUTED_VALUE"""),"Anota Ai Solucoes Digitais S/a")</f>
        <v>Anota Ai Solucoes Digitais S/a</v>
      </c>
      <c r="P4347" s="33">
        <f>IFERROR(__xludf.DUMMYFUNCTION("""COMPUTED_VALUE"""),0.5)</f>
        <v>0.5</v>
      </c>
      <c r="Q4347" s="4" t="str">
        <f>IFERROR(__xludf.DUMMYFUNCTION("""COMPUTED_VALUE"""),"Anota Ai Solucoes Digitais S/a")</f>
        <v>Anota Ai Solucoes Digitais S/a</v>
      </c>
      <c r="R4347" s="33">
        <f>IFERROR(__xludf.DUMMYFUNCTION("""COMPUTED_VALUE"""),0.5)</f>
        <v>0.5</v>
      </c>
      <c r="S4347" s="4" t="str">
        <f>IFERROR(__xludf.DUMMYFUNCTION("""COMPUTED_VALUE"""),"null")</f>
        <v>null</v>
      </c>
      <c r="T4347" s="33">
        <f>IFERROR(__xludf.DUMMYFUNCTION("""COMPUTED_VALUE"""),0.5)</f>
        <v>0.5</v>
      </c>
      <c r="U4347" s="4" t="str">
        <f>IFERROR(__xludf.DUMMYFUNCTION("""COMPUTED_VALUE"""),"null")</f>
        <v>null</v>
      </c>
      <c r="V4347" s="33">
        <f>IFERROR(__xludf.DUMMYFUNCTION("""COMPUTED_VALUE"""),0.5)</f>
        <v>0.5</v>
      </c>
      <c r="W4347" s="4" t="str">
        <f>IFERROR(__xludf.DUMMYFUNCTION("""COMPUTED_VALUE"""),"null")</f>
        <v>null</v>
      </c>
      <c r="X4347" s="33">
        <f>IFERROR(__xludf.DUMMYFUNCTION("""COMPUTED_VALUE"""),0.5)</f>
        <v>0.5</v>
      </c>
    </row>
    <row r="4348">
      <c r="K4348" s="4" t="str">
        <f>IFERROR(__xludf.DUMMYFUNCTION("""COMPUTED_VALUE"""),"PRATOS DO SANTO")</f>
        <v>PRATOS DO SANTO</v>
      </c>
      <c r="L4348" s="32">
        <f>IFERROR(__xludf.DUMMYFUNCTION("""COMPUTED_VALUE"""),2.0)</f>
        <v>2</v>
      </c>
      <c r="M4348" s="4" t="str">
        <f>IFERROR(__xludf.DUMMYFUNCTION("""COMPUTED_VALUE"""),"Mp Multipedidos")</f>
        <v>Mp Multipedidos</v>
      </c>
      <c r="N4348" s="33">
        <f>IFERROR(__xludf.DUMMYFUNCTION("""COMPUTED_VALUE"""),1.0)</f>
        <v>1</v>
      </c>
      <c r="O4348" s="4" t="str">
        <f>IFERROR(__xludf.DUMMYFUNCTION("""COMPUTED_VALUE"""),"Mp Multipedidos")</f>
        <v>Mp Multipedidos</v>
      </c>
      <c r="P4348" s="33">
        <f>IFERROR(__xludf.DUMMYFUNCTION("""COMPUTED_VALUE"""),1.0)</f>
        <v>1</v>
      </c>
      <c r="Q4348" s="4" t="str">
        <f>IFERROR(__xludf.DUMMYFUNCTION("""COMPUTED_VALUE"""),"Mp Multipedidos")</f>
        <v>Mp Multipedidos</v>
      </c>
      <c r="R4348" s="33">
        <f>IFERROR(__xludf.DUMMYFUNCTION("""COMPUTED_VALUE"""),1.0)</f>
        <v>1</v>
      </c>
      <c r="S4348" s="4" t="str">
        <f>IFERROR(__xludf.DUMMYFUNCTION("""COMPUTED_VALUE"""),"null")</f>
        <v>null</v>
      </c>
      <c r="T4348" s="33">
        <f>IFERROR(__xludf.DUMMYFUNCTION("""COMPUTED_VALUE"""),0.5)</f>
        <v>0.5</v>
      </c>
      <c r="U4348" s="4" t="str">
        <f>IFERROR(__xludf.DUMMYFUNCTION("""COMPUTED_VALUE"""),"null")</f>
        <v>null</v>
      </c>
      <c r="V4348" s="33">
        <f>IFERROR(__xludf.DUMMYFUNCTION("""COMPUTED_VALUE"""),0.5)</f>
        <v>0.5</v>
      </c>
      <c r="W4348" s="4" t="str">
        <f>IFERROR(__xludf.DUMMYFUNCTION("""COMPUTED_VALUE"""),"null")</f>
        <v>null</v>
      </c>
      <c r="X4348" s="33">
        <f>IFERROR(__xludf.DUMMYFUNCTION("""COMPUTED_VALUE"""),0.5)</f>
        <v>0.5</v>
      </c>
    </row>
    <row r="4349">
      <c r="K4349" s="4" t="str">
        <f>IFERROR(__xludf.DUMMYFUNCTION("""COMPUTED_VALUE"""),"BAR DOS AMIGOS")</f>
        <v>BAR DOS AMIGOS</v>
      </c>
      <c r="L4349" s="32">
        <f>IFERROR(__xludf.DUMMYFUNCTION("""COMPUTED_VALUE"""),2.0)</f>
        <v>2</v>
      </c>
      <c r="M4349" s="4" t="str">
        <f>IFERROR(__xludf.DUMMYFUNCTION("""COMPUTED_VALUE"""),"Yooga")</f>
        <v>Yooga</v>
      </c>
      <c r="N4349" s="33">
        <f>IFERROR(__xludf.DUMMYFUNCTION("""COMPUTED_VALUE"""),0.5)</f>
        <v>0.5</v>
      </c>
      <c r="O4349" s="4" t="str">
        <f>IFERROR(__xludf.DUMMYFUNCTION("""COMPUTED_VALUE"""),"Yooga")</f>
        <v>Yooga</v>
      </c>
      <c r="P4349" s="33">
        <f>IFERROR(__xludf.DUMMYFUNCTION("""COMPUTED_VALUE"""),0.5)</f>
        <v>0.5</v>
      </c>
      <c r="Q4349" s="4" t="str">
        <f>IFERROR(__xludf.DUMMYFUNCTION("""COMPUTED_VALUE"""),"Yooga")</f>
        <v>Yooga</v>
      </c>
      <c r="R4349" s="33">
        <f>IFERROR(__xludf.DUMMYFUNCTION("""COMPUTED_VALUE"""),0.5)</f>
        <v>0.5</v>
      </c>
      <c r="S4349" s="4" t="str">
        <f>IFERROR(__xludf.DUMMYFUNCTION("""COMPUTED_VALUE"""),"Yooga")</f>
        <v>Yooga</v>
      </c>
      <c r="T4349" s="33">
        <f>IFERROR(__xludf.DUMMYFUNCTION("""COMPUTED_VALUE"""),0.5)</f>
        <v>0.5</v>
      </c>
      <c r="U4349" s="4" t="str">
        <f>IFERROR(__xludf.DUMMYFUNCTION("""COMPUTED_VALUE"""),"Yooga")</f>
        <v>Yooga</v>
      </c>
      <c r="V4349" s="33">
        <f>IFERROR(__xludf.DUMMYFUNCTION("""COMPUTED_VALUE"""),0.5)</f>
        <v>0.5</v>
      </c>
      <c r="W4349" s="4" t="str">
        <f>IFERROR(__xludf.DUMMYFUNCTION("""COMPUTED_VALUE"""),"Yooga")</f>
        <v>Yooga</v>
      </c>
      <c r="X4349" s="33">
        <f>IFERROR(__xludf.DUMMYFUNCTION("""COMPUTED_VALUE"""),0.5)</f>
        <v>0.5</v>
      </c>
    </row>
    <row r="4350">
      <c r="K4350" s="4" t="str">
        <f>IFERROR(__xludf.DUMMYFUNCTION("""COMPUTED_VALUE"""),"PIZZA IT - CENTRO")</f>
        <v>PIZZA IT - CENTRO</v>
      </c>
      <c r="L4350" s="32">
        <f>IFERROR(__xludf.DUMMYFUNCTION("""COMPUTED_VALUE"""),2.0)</f>
        <v>2</v>
      </c>
      <c r="M4350" s="4" t="str">
        <f>IFERROR(__xludf.DUMMYFUNCTION("""COMPUTED_VALUE"""),"Saipos Serviços De Software")</f>
        <v>Saipos Serviços De Software</v>
      </c>
      <c r="N4350" s="33">
        <f>IFERROR(__xludf.DUMMYFUNCTION("""COMPUTED_VALUE"""),1.0)</f>
        <v>1</v>
      </c>
      <c r="O4350" s="4" t="str">
        <f>IFERROR(__xludf.DUMMYFUNCTION("""COMPUTED_VALUE"""),"Saipos Serviços De Software")</f>
        <v>Saipos Serviços De Software</v>
      </c>
      <c r="P4350" s="33">
        <f>IFERROR(__xludf.DUMMYFUNCTION("""COMPUTED_VALUE"""),1.0)</f>
        <v>1</v>
      </c>
      <c r="Q4350" s="4" t="str">
        <f>IFERROR(__xludf.DUMMYFUNCTION("""COMPUTED_VALUE"""),"Saipos Serviços De Software")</f>
        <v>Saipos Serviços De Software</v>
      </c>
      <c r="R4350" s="33">
        <f>IFERROR(__xludf.DUMMYFUNCTION("""COMPUTED_VALUE"""),1.0)</f>
        <v>1</v>
      </c>
      <c r="S4350" s="4" t="str">
        <f>IFERROR(__xludf.DUMMYFUNCTION("""COMPUTED_VALUE"""),"Saipos Serviços De Software")</f>
        <v>Saipos Serviços De Software</v>
      </c>
      <c r="T4350" s="33">
        <f>IFERROR(__xludf.DUMMYFUNCTION("""COMPUTED_VALUE"""),1.0)</f>
        <v>1</v>
      </c>
      <c r="U4350" s="4" t="str">
        <f>IFERROR(__xludf.DUMMYFUNCTION("""COMPUTED_VALUE"""),"null")</f>
        <v>null</v>
      </c>
      <c r="V4350" s="33">
        <f>IFERROR(__xludf.DUMMYFUNCTION("""COMPUTED_VALUE"""),0.5)</f>
        <v>0.5</v>
      </c>
      <c r="W4350" s="4" t="str">
        <f>IFERROR(__xludf.DUMMYFUNCTION("""COMPUTED_VALUE"""),"null")</f>
        <v>null</v>
      </c>
      <c r="X4350" s="33">
        <f>IFERROR(__xludf.DUMMYFUNCTION("""COMPUTED_VALUE"""),0.5)</f>
        <v>0.5</v>
      </c>
    </row>
    <row r="4351">
      <c r="K4351" s="4" t="str">
        <f>IFERROR(__xludf.DUMMYFUNCTION("""COMPUTED_VALUE"""),"GUGANA BURGUER BARREIROS")</f>
        <v>GUGANA BURGUER BARREIROS</v>
      </c>
      <c r="L4351" s="32">
        <f>IFERROR(__xludf.DUMMYFUNCTION("""COMPUTED_VALUE"""),2.0)</f>
        <v>2</v>
      </c>
      <c r="M4351" s="4" t="str">
        <f>IFERROR(__xludf.DUMMYFUNCTION("""COMPUTED_VALUE"""),"Brendi")</f>
        <v>Brendi</v>
      </c>
      <c r="N4351" s="33">
        <f>IFERROR(__xludf.DUMMYFUNCTION("""COMPUTED_VALUE"""),1.0)</f>
        <v>1</v>
      </c>
      <c r="O4351" s="4" t="str">
        <f>IFERROR(__xludf.DUMMYFUNCTION("""COMPUTED_VALUE"""),"Brendi")</f>
        <v>Brendi</v>
      </c>
      <c r="P4351" s="33">
        <f>IFERROR(__xludf.DUMMYFUNCTION("""COMPUTED_VALUE"""),0.5)</f>
        <v>0.5</v>
      </c>
      <c r="Q4351" s="4" t="str">
        <f>IFERROR(__xludf.DUMMYFUNCTION("""COMPUTED_VALUE"""),"Brendi")</f>
        <v>Brendi</v>
      </c>
      <c r="R4351" s="33">
        <f>IFERROR(__xludf.DUMMYFUNCTION("""COMPUTED_VALUE"""),1.0)</f>
        <v>1</v>
      </c>
      <c r="S4351" s="4" t="str">
        <f>IFERROR(__xludf.DUMMYFUNCTION("""COMPUTED_VALUE"""),"Brendi")</f>
        <v>Brendi</v>
      </c>
      <c r="T4351" s="33">
        <f>IFERROR(__xludf.DUMMYFUNCTION("""COMPUTED_VALUE"""),0.5)</f>
        <v>0.5</v>
      </c>
      <c r="U4351" s="4" t="str">
        <f>IFERROR(__xludf.DUMMYFUNCTION("""COMPUTED_VALUE"""),"Brendi")</f>
        <v>Brendi</v>
      </c>
      <c r="V4351" s="33">
        <f>IFERROR(__xludf.DUMMYFUNCTION("""COMPUTED_VALUE"""),1.0)</f>
        <v>1</v>
      </c>
      <c r="W4351" s="4" t="str">
        <f>IFERROR(__xludf.DUMMYFUNCTION("""COMPUTED_VALUE"""),"Brendi")</f>
        <v>Brendi</v>
      </c>
      <c r="X4351" s="33">
        <f>IFERROR(__xludf.DUMMYFUNCTION("""COMPUTED_VALUE"""),1.0)</f>
        <v>1</v>
      </c>
    </row>
    <row r="4352">
      <c r="K4352" s="4" t="str">
        <f>IFERROR(__xludf.DUMMYFUNCTION("""COMPUTED_VALUE"""),"DROGARIA ULTRANACIONAL")</f>
        <v>DROGARIA ULTRANACIONAL</v>
      </c>
      <c r="L4352" s="32">
        <f>IFERROR(__xludf.DUMMYFUNCTION("""COMPUTED_VALUE"""),2.0)</f>
        <v>2</v>
      </c>
      <c r="M4352" s="4" t="str">
        <f>IFERROR(__xludf.DUMMYFUNCTION("""COMPUTED_VALUE"""),"N/A (Not found)")</f>
        <v>N/A (Not found)</v>
      </c>
      <c r="N4352" s="33">
        <f>IFERROR(__xludf.DUMMYFUNCTION("""COMPUTED_VALUE"""),1.0)</f>
        <v>1</v>
      </c>
      <c r="O4352" s="4" t="str">
        <f>IFERROR(__xludf.DUMMYFUNCTION("""COMPUTED_VALUE"""),"N/A (Not found)")</f>
        <v>N/A (Not found)</v>
      </c>
      <c r="P4352" s="33">
        <f>IFERROR(__xludf.DUMMYFUNCTION("""COMPUTED_VALUE"""),1.0)</f>
        <v>1</v>
      </c>
      <c r="Q4352" s="4" t="str">
        <f>IFERROR(__xludf.DUMMYFUNCTION("""COMPUTED_VALUE"""),"N/A (Not found)")</f>
        <v>N/A (Not found)</v>
      </c>
      <c r="R4352" s="33">
        <f>IFERROR(__xludf.DUMMYFUNCTION("""COMPUTED_VALUE"""),1.0)</f>
        <v>1</v>
      </c>
      <c r="S4352" s="4" t="str">
        <f>IFERROR(__xludf.DUMMYFUNCTION("""COMPUTED_VALUE"""),"N/A (Not found)")</f>
        <v>N/A (Not found)</v>
      </c>
      <c r="T4352" s="33">
        <f>IFERROR(__xludf.DUMMYFUNCTION("""COMPUTED_VALUE"""),1.0)</f>
        <v>1</v>
      </c>
      <c r="U4352" s="4" t="str">
        <f>IFERROR(__xludf.DUMMYFUNCTION("""COMPUTED_VALUE"""),"N/A (Not found)")</f>
        <v>N/A (Not found)</v>
      </c>
      <c r="V4352" s="33">
        <f>IFERROR(__xludf.DUMMYFUNCTION("""COMPUTED_VALUE"""),1.0)</f>
        <v>1</v>
      </c>
      <c r="W4352" s="4" t="str">
        <f>IFERROR(__xludf.DUMMYFUNCTION("""COMPUTED_VALUE"""),"null")</f>
        <v>null</v>
      </c>
      <c r="X4352" s="33">
        <f>IFERROR(__xludf.DUMMYFUNCTION("""COMPUTED_VALUE"""),1.0)</f>
        <v>1</v>
      </c>
    </row>
    <row r="4353">
      <c r="K4353" s="4" t="str">
        <f>IFERROR(__xludf.DUMMYFUNCTION("""COMPUTED_VALUE"""),"PARADA PET")</f>
        <v>PARADA PET</v>
      </c>
      <c r="L4353" s="32">
        <f>IFERROR(__xludf.DUMMYFUNCTION("""COMPUTED_VALUE"""),2.0)</f>
        <v>2</v>
      </c>
      <c r="M4353" s="4" t="str">
        <f>IFERROR(__xludf.DUMMYFUNCTION("""COMPUTED_VALUE"""),"null")</f>
        <v>null</v>
      </c>
      <c r="N4353" s="33">
        <f>IFERROR(__xludf.DUMMYFUNCTION("""COMPUTED_VALUE"""),0.5)</f>
        <v>0.5</v>
      </c>
      <c r="O4353" s="4" t="str">
        <f>IFERROR(__xludf.DUMMYFUNCTION("""COMPUTED_VALUE"""),"null")</f>
        <v>null</v>
      </c>
      <c r="P4353" s="33">
        <f>IFERROR(__xludf.DUMMYFUNCTION("""COMPUTED_VALUE"""),1.0)</f>
        <v>1</v>
      </c>
      <c r="Q4353" s="4" t="str">
        <f>IFERROR(__xludf.DUMMYFUNCTION("""COMPUTED_VALUE"""),"null")</f>
        <v>null</v>
      </c>
      <c r="R4353" s="33">
        <f>IFERROR(__xludf.DUMMYFUNCTION("""COMPUTED_VALUE"""),0.5)</f>
        <v>0.5</v>
      </c>
      <c r="S4353" s="4" t="str">
        <f>IFERROR(__xludf.DUMMYFUNCTION("""COMPUTED_VALUE"""),"null")</f>
        <v>null</v>
      </c>
      <c r="T4353" s="33">
        <f>IFERROR(__xludf.DUMMYFUNCTION("""COMPUTED_VALUE"""),0.5)</f>
        <v>0.5</v>
      </c>
      <c r="U4353" s="4" t="str">
        <f>IFERROR(__xludf.DUMMYFUNCTION("""COMPUTED_VALUE"""),"null")</f>
        <v>null</v>
      </c>
      <c r="V4353" s="33">
        <f>IFERROR(__xludf.DUMMYFUNCTION("""COMPUTED_VALUE"""),1.0)</f>
        <v>1</v>
      </c>
      <c r="W4353" s="4" t="str">
        <f>IFERROR(__xludf.DUMMYFUNCTION("""COMPUTED_VALUE"""),"N/A (Not found)")</f>
        <v>N/A (Not found)</v>
      </c>
      <c r="X4353" s="33">
        <f>IFERROR(__xludf.DUMMYFUNCTION("""COMPUTED_VALUE"""),0.5)</f>
        <v>0.5</v>
      </c>
    </row>
    <row r="4354">
      <c r="K4354" s="4" t="str">
        <f>IFERROR(__xludf.DUMMYFUNCTION("""COMPUTED_VALUE"""),"MARROCOS LANCHES")</f>
        <v>MARROCOS LANCHES</v>
      </c>
      <c r="L4354" s="32">
        <f>IFERROR(__xludf.DUMMYFUNCTION("""COMPUTED_VALUE"""),2.0)</f>
        <v>2</v>
      </c>
      <c r="M4354" s="4" t="str">
        <f>IFERROR(__xludf.DUMMYFUNCTION("""COMPUTED_VALUE"""),"Saipos Serviços De Software")</f>
        <v>Saipos Serviços De Software</v>
      </c>
      <c r="N4354" s="33">
        <f>IFERROR(__xludf.DUMMYFUNCTION("""COMPUTED_VALUE"""),1.0)</f>
        <v>1</v>
      </c>
      <c r="O4354" s="4" t="str">
        <f>IFERROR(__xludf.DUMMYFUNCTION("""COMPUTED_VALUE"""),"Saipos Serviços De Software")</f>
        <v>Saipos Serviços De Software</v>
      </c>
      <c r="P4354" s="33">
        <f>IFERROR(__xludf.DUMMYFUNCTION("""COMPUTED_VALUE"""),1.0)</f>
        <v>1</v>
      </c>
      <c r="Q4354" s="4" t="str">
        <f>IFERROR(__xludf.DUMMYFUNCTION("""COMPUTED_VALUE"""),"Saipos Serviços De Software")</f>
        <v>Saipos Serviços De Software</v>
      </c>
      <c r="R4354" s="33">
        <f>IFERROR(__xludf.DUMMYFUNCTION("""COMPUTED_VALUE"""),1.0)</f>
        <v>1</v>
      </c>
      <c r="S4354" s="4" t="str">
        <f>IFERROR(__xludf.DUMMYFUNCTION("""COMPUTED_VALUE"""),"Saipos Serviços De Software")</f>
        <v>Saipos Serviços De Software</v>
      </c>
      <c r="T4354" s="33">
        <f>IFERROR(__xludf.DUMMYFUNCTION("""COMPUTED_VALUE"""),1.0)</f>
        <v>1</v>
      </c>
      <c r="U4354" s="4" t="str">
        <f>IFERROR(__xludf.DUMMYFUNCTION("""COMPUTED_VALUE"""),"Saipos Serviços De Software")</f>
        <v>Saipos Serviços De Software</v>
      </c>
      <c r="V4354" s="33">
        <f>IFERROR(__xludf.DUMMYFUNCTION("""COMPUTED_VALUE"""),1.0)</f>
        <v>1</v>
      </c>
      <c r="W4354" s="4" t="str">
        <f>IFERROR(__xludf.DUMMYFUNCTION("""COMPUTED_VALUE"""),"Saipos Serviços De Software")</f>
        <v>Saipos Serviços De Software</v>
      </c>
      <c r="X4354" s="33">
        <f>IFERROR(__xludf.DUMMYFUNCTION("""COMPUTED_VALUE"""),1.0)</f>
        <v>1</v>
      </c>
    </row>
    <row r="4355">
      <c r="K4355" s="4" t="str">
        <f>IFERROR(__xludf.DUMMYFUNCTION("""COMPUTED_VALUE"""),"GARAGE PIZZA")</f>
        <v>GARAGE PIZZA</v>
      </c>
      <c r="L4355" s="32">
        <f>IFERROR(__xludf.DUMMYFUNCTION("""COMPUTED_VALUE"""),2.0)</f>
        <v>2</v>
      </c>
      <c r="M4355" s="4" t="str">
        <f>IFERROR(__xludf.DUMMYFUNCTION("""COMPUTED_VALUE"""),"Saipos Serviços De Software")</f>
        <v>Saipos Serviços De Software</v>
      </c>
      <c r="N4355" s="33">
        <f>IFERROR(__xludf.DUMMYFUNCTION("""COMPUTED_VALUE"""),1.0)</f>
        <v>1</v>
      </c>
      <c r="O4355" s="4" t="str">
        <f>IFERROR(__xludf.DUMMYFUNCTION("""COMPUTED_VALUE"""),"Saipos Serviços De Software")</f>
        <v>Saipos Serviços De Software</v>
      </c>
      <c r="P4355" s="33">
        <f>IFERROR(__xludf.DUMMYFUNCTION("""COMPUTED_VALUE"""),1.0)</f>
        <v>1</v>
      </c>
      <c r="Q4355" s="4" t="str">
        <f>IFERROR(__xludf.DUMMYFUNCTION("""COMPUTED_VALUE"""),"Saipos Serviços De Software")</f>
        <v>Saipos Serviços De Software</v>
      </c>
      <c r="R4355" s="33">
        <f>IFERROR(__xludf.DUMMYFUNCTION("""COMPUTED_VALUE"""),1.0)</f>
        <v>1</v>
      </c>
      <c r="S4355" s="4" t="str">
        <f>IFERROR(__xludf.DUMMYFUNCTION("""COMPUTED_VALUE"""),"Saipos Serviços De Software")</f>
        <v>Saipos Serviços De Software</v>
      </c>
      <c r="T4355" s="33">
        <f>IFERROR(__xludf.DUMMYFUNCTION("""COMPUTED_VALUE"""),1.0)</f>
        <v>1</v>
      </c>
      <c r="U4355" s="4" t="str">
        <f>IFERROR(__xludf.DUMMYFUNCTION("""COMPUTED_VALUE"""),"Saipos Serviços De Software")</f>
        <v>Saipos Serviços De Software</v>
      </c>
      <c r="V4355" s="33">
        <f>IFERROR(__xludf.DUMMYFUNCTION("""COMPUTED_VALUE"""),1.0)</f>
        <v>1</v>
      </c>
      <c r="W4355" s="4" t="str">
        <f>IFERROR(__xludf.DUMMYFUNCTION("""COMPUTED_VALUE"""),"Saipos Serviços De Software")</f>
        <v>Saipos Serviços De Software</v>
      </c>
      <c r="X4355" s="33">
        <f>IFERROR(__xludf.DUMMYFUNCTION("""COMPUTED_VALUE"""),1.0)</f>
        <v>1</v>
      </c>
    </row>
    <row r="4356">
      <c r="K4356" s="4" t="str">
        <f>IFERROR(__xludf.DUMMYFUNCTION("""COMPUTED_VALUE"""),"RESTAURANTE DA GABY")</f>
        <v>RESTAURANTE DA GABY</v>
      </c>
      <c r="L4356" s="32">
        <f>IFERROR(__xludf.DUMMYFUNCTION("""COMPUTED_VALUE"""),2.0)</f>
        <v>2</v>
      </c>
      <c r="M4356" s="4" t="str">
        <f>IFERROR(__xludf.DUMMYFUNCTION("""COMPUTED_VALUE"""),"Saipos Serviços De Software")</f>
        <v>Saipos Serviços De Software</v>
      </c>
      <c r="N4356" s="33">
        <f>IFERROR(__xludf.DUMMYFUNCTION("""COMPUTED_VALUE"""),1.0)</f>
        <v>1</v>
      </c>
      <c r="O4356" s="4" t="str">
        <f>IFERROR(__xludf.DUMMYFUNCTION("""COMPUTED_VALUE"""),"Saipos Serviços De Software")</f>
        <v>Saipos Serviços De Software</v>
      </c>
      <c r="P4356" s="33">
        <f>IFERROR(__xludf.DUMMYFUNCTION("""COMPUTED_VALUE"""),1.0)</f>
        <v>1</v>
      </c>
      <c r="Q4356" s="4" t="str">
        <f>IFERROR(__xludf.DUMMYFUNCTION("""COMPUTED_VALUE"""),"Saipos Serviços De Software")</f>
        <v>Saipos Serviços De Software</v>
      </c>
      <c r="R4356" s="33">
        <f>IFERROR(__xludf.DUMMYFUNCTION("""COMPUTED_VALUE"""),1.0)</f>
        <v>1</v>
      </c>
      <c r="S4356" s="4" t="str">
        <f>IFERROR(__xludf.DUMMYFUNCTION("""COMPUTED_VALUE"""),"Saipos Serviços De Software")</f>
        <v>Saipos Serviços De Software</v>
      </c>
      <c r="T4356" s="33">
        <f>IFERROR(__xludf.DUMMYFUNCTION("""COMPUTED_VALUE"""),1.0)</f>
        <v>1</v>
      </c>
      <c r="U4356" s="4" t="str">
        <f>IFERROR(__xludf.DUMMYFUNCTION("""COMPUTED_VALUE"""),"Saipos Serviços De Software")</f>
        <v>Saipos Serviços De Software</v>
      </c>
      <c r="V4356" s="33">
        <f>IFERROR(__xludf.DUMMYFUNCTION("""COMPUTED_VALUE"""),1.0)</f>
        <v>1</v>
      </c>
      <c r="W4356" s="4" t="str">
        <f>IFERROR(__xludf.DUMMYFUNCTION("""COMPUTED_VALUE"""),"Saipos Serviços De Software")</f>
        <v>Saipos Serviços De Software</v>
      </c>
      <c r="X4356" s="33">
        <f>IFERROR(__xludf.DUMMYFUNCTION("""COMPUTED_VALUE"""),1.0)</f>
        <v>1</v>
      </c>
    </row>
    <row r="4357">
      <c r="K4357" s="4" t="str">
        <f>IFERROR(__xludf.DUMMYFUNCTION("""COMPUTED_VALUE"""),"LA PIZZA DELIVERY")</f>
        <v>LA PIZZA DELIVERY</v>
      </c>
      <c r="L4357" s="32">
        <f>IFERROR(__xludf.DUMMYFUNCTION("""COMPUTED_VALUE"""),2.0)</f>
        <v>2</v>
      </c>
      <c r="M4357" s="4" t="str">
        <f>IFERROR(__xludf.DUMMYFUNCTION("""COMPUTED_VALUE"""),"Saipos Serviços De Software")</f>
        <v>Saipos Serviços De Software</v>
      </c>
      <c r="N4357" s="33">
        <f>IFERROR(__xludf.DUMMYFUNCTION("""COMPUTED_VALUE"""),0.5)</f>
        <v>0.5</v>
      </c>
      <c r="O4357" s="4" t="str">
        <f>IFERROR(__xludf.DUMMYFUNCTION("""COMPUTED_VALUE"""),"Saipos Serviços De Software")</f>
        <v>Saipos Serviços De Software</v>
      </c>
      <c r="P4357" s="33">
        <f>IFERROR(__xludf.DUMMYFUNCTION("""COMPUTED_VALUE"""),0.5)</f>
        <v>0.5</v>
      </c>
      <c r="Q4357" s="4" t="str">
        <f>IFERROR(__xludf.DUMMYFUNCTION("""COMPUTED_VALUE"""),"Saipos Serviços De Software")</f>
        <v>Saipos Serviços De Software</v>
      </c>
      <c r="R4357" s="33">
        <f>IFERROR(__xludf.DUMMYFUNCTION("""COMPUTED_VALUE"""),0.5)</f>
        <v>0.5</v>
      </c>
      <c r="S4357" s="4" t="str">
        <f>IFERROR(__xludf.DUMMYFUNCTION("""COMPUTED_VALUE"""),"Saipos Serviços De Software")</f>
        <v>Saipos Serviços De Software</v>
      </c>
      <c r="T4357" s="33">
        <f>IFERROR(__xludf.DUMMYFUNCTION("""COMPUTED_VALUE"""),0.5)</f>
        <v>0.5</v>
      </c>
      <c r="U4357" s="4" t="str">
        <f>IFERROR(__xludf.DUMMYFUNCTION("""COMPUTED_VALUE"""),"Saipos Serviços De Software")</f>
        <v>Saipos Serviços De Software</v>
      </c>
      <c r="V4357" s="33">
        <f>IFERROR(__xludf.DUMMYFUNCTION("""COMPUTED_VALUE"""),0.5)</f>
        <v>0.5</v>
      </c>
      <c r="W4357" s="4" t="str">
        <f>IFERROR(__xludf.DUMMYFUNCTION("""COMPUTED_VALUE"""),"Saipos Serviços De Software")</f>
        <v>Saipos Serviços De Software</v>
      </c>
      <c r="X4357" s="33">
        <f>IFERROR(__xludf.DUMMYFUNCTION("""COMPUTED_VALUE"""),0.5)</f>
        <v>0.5</v>
      </c>
    </row>
    <row r="4358">
      <c r="K4358" s="4" t="str">
        <f>IFERROR(__xludf.DUMMYFUNCTION("""COMPUTED_VALUE"""),"AMOR PRESENTE - CESTAS FLORES PREMIUM")</f>
        <v>AMOR PRESENTE - CESTAS FLORES PREMIUM</v>
      </c>
      <c r="L4358" s="32">
        <f>IFERROR(__xludf.DUMMYFUNCTION("""COMPUTED_VALUE"""),2.0)</f>
        <v>2</v>
      </c>
      <c r="M4358" s="4" t="str">
        <f>IFERROR(__xludf.DUMMYFUNCTION("""COMPUTED_VALUE"""),"null")</f>
        <v>null</v>
      </c>
      <c r="N4358" s="33">
        <f>IFERROR(__xludf.DUMMYFUNCTION("""COMPUTED_VALUE"""),1.0)</f>
        <v>1</v>
      </c>
      <c r="O4358" s="4" t="str">
        <f>IFERROR(__xludf.DUMMYFUNCTION("""COMPUTED_VALUE"""),"Cardápio Web")</f>
        <v>Cardápio Web</v>
      </c>
      <c r="P4358" s="33">
        <f>IFERROR(__xludf.DUMMYFUNCTION("""COMPUTED_VALUE"""),1.0)</f>
        <v>1</v>
      </c>
      <c r="Q4358" s="4" t="str">
        <f>IFERROR(__xludf.DUMMYFUNCTION("""COMPUTED_VALUE"""),"Cardápio Web")</f>
        <v>Cardápio Web</v>
      </c>
      <c r="R4358" s="33">
        <f>IFERROR(__xludf.DUMMYFUNCTION("""COMPUTED_VALUE"""),1.0)</f>
        <v>1</v>
      </c>
      <c r="S4358" s="4" t="str">
        <f>IFERROR(__xludf.DUMMYFUNCTION("""COMPUTED_VALUE"""),"Cardápio Web")</f>
        <v>Cardápio Web</v>
      </c>
      <c r="T4358" s="33">
        <f>IFERROR(__xludf.DUMMYFUNCTION("""COMPUTED_VALUE"""),1.0)</f>
        <v>1</v>
      </c>
      <c r="U4358" s="4" t="str">
        <f>IFERROR(__xludf.DUMMYFUNCTION("""COMPUTED_VALUE"""),"Cardápio Web")</f>
        <v>Cardápio Web</v>
      </c>
      <c r="V4358" s="33">
        <f>IFERROR(__xludf.DUMMYFUNCTION("""COMPUTED_VALUE"""),1.0)</f>
        <v>1</v>
      </c>
      <c r="W4358" s="4" t="str">
        <f>IFERROR(__xludf.DUMMYFUNCTION("""COMPUTED_VALUE"""),"Cardápio Web")</f>
        <v>Cardápio Web</v>
      </c>
      <c r="X4358" s="33">
        <f>IFERROR(__xludf.DUMMYFUNCTION("""COMPUTED_VALUE"""),1.0)</f>
        <v>1</v>
      </c>
    </row>
    <row r="4359">
      <c r="K4359" s="4" t="str">
        <f>IFERROR(__xludf.DUMMYFUNCTION("""COMPUTED_VALUE"""),"ORIGINAL LANCHES")</f>
        <v>ORIGINAL LANCHES</v>
      </c>
      <c r="L4359" s="32">
        <f>IFERROR(__xludf.DUMMYFUNCTION("""COMPUTED_VALUE"""),2.0)</f>
        <v>2</v>
      </c>
      <c r="M4359" s="4" t="str">
        <f>IFERROR(__xludf.DUMMYFUNCTION("""COMPUTED_VALUE"""),"Consumer Soluções Em Tecnologia Ltda")</f>
        <v>Consumer Soluções Em Tecnologia Ltda</v>
      </c>
      <c r="N4359" s="33">
        <f>IFERROR(__xludf.DUMMYFUNCTION("""COMPUTED_VALUE"""),0.5)</f>
        <v>0.5</v>
      </c>
      <c r="O4359" s="4" t="str">
        <f>IFERROR(__xludf.DUMMYFUNCTION("""COMPUTED_VALUE"""),"Consumer Soluções Em Tecnologia Ltda")</f>
        <v>Consumer Soluções Em Tecnologia Ltda</v>
      </c>
      <c r="P4359" s="33">
        <f>IFERROR(__xludf.DUMMYFUNCTION("""COMPUTED_VALUE"""),0.5)</f>
        <v>0.5</v>
      </c>
      <c r="Q4359" s="4" t="str">
        <f>IFERROR(__xludf.DUMMYFUNCTION("""COMPUTED_VALUE"""),"Consumer Soluções Em Tecnologia Ltda")</f>
        <v>Consumer Soluções Em Tecnologia Ltda</v>
      </c>
      <c r="R4359" s="33">
        <f>IFERROR(__xludf.DUMMYFUNCTION("""COMPUTED_VALUE"""),0.5)</f>
        <v>0.5</v>
      </c>
      <c r="S4359" s="4" t="str">
        <f>IFERROR(__xludf.DUMMYFUNCTION("""COMPUTED_VALUE"""),"null")</f>
        <v>null</v>
      </c>
      <c r="T4359" s="33">
        <f>IFERROR(__xludf.DUMMYFUNCTION("""COMPUTED_VALUE"""),0.5)</f>
        <v>0.5</v>
      </c>
      <c r="U4359" s="4" t="str">
        <f>IFERROR(__xludf.DUMMYFUNCTION("""COMPUTED_VALUE"""),"Consumer Soluções Em Tecnologia Ltda")</f>
        <v>Consumer Soluções Em Tecnologia Ltda</v>
      </c>
      <c r="V4359" s="33">
        <f>IFERROR(__xludf.DUMMYFUNCTION("""COMPUTED_VALUE"""),0.5)</f>
        <v>0.5</v>
      </c>
      <c r="W4359" s="4" t="str">
        <f>IFERROR(__xludf.DUMMYFUNCTION("""COMPUTED_VALUE"""),"Consumer Soluções Em Tecnologia Ltda")</f>
        <v>Consumer Soluções Em Tecnologia Ltda</v>
      </c>
      <c r="X4359" s="33">
        <f>IFERROR(__xludf.DUMMYFUNCTION("""COMPUTED_VALUE"""),0.5)</f>
        <v>0.5</v>
      </c>
    </row>
    <row r="4360">
      <c r="K4360" s="4" t="str">
        <f>IFERROR(__xludf.DUMMYFUNCTION("""COMPUTED_VALUE"""),"CEARA LANCHES")</f>
        <v>CEARA LANCHES</v>
      </c>
      <c r="L4360" s="32">
        <f>IFERROR(__xludf.DUMMYFUNCTION("""COMPUTED_VALUE"""),2.0)</f>
        <v>2</v>
      </c>
      <c r="M4360" s="4" t="str">
        <f>IFERROR(__xludf.DUMMYFUNCTION("""COMPUTED_VALUE"""),"Anota Ai Solucoes Digitais S/a")</f>
        <v>Anota Ai Solucoes Digitais S/a</v>
      </c>
      <c r="N4360" s="33">
        <f>IFERROR(__xludf.DUMMYFUNCTION("""COMPUTED_VALUE"""),0.5)</f>
        <v>0.5</v>
      </c>
      <c r="O4360" s="4" t="str">
        <f>IFERROR(__xludf.DUMMYFUNCTION("""COMPUTED_VALUE"""),"Anota Ai Solucoes Digitais S/a")</f>
        <v>Anota Ai Solucoes Digitais S/a</v>
      </c>
      <c r="P4360" s="33">
        <f>IFERROR(__xludf.DUMMYFUNCTION("""COMPUTED_VALUE"""),0.5)</f>
        <v>0.5</v>
      </c>
      <c r="Q4360" s="4" t="str">
        <f>IFERROR(__xludf.DUMMYFUNCTION("""COMPUTED_VALUE"""),"Anota Ai Solucoes Digitais S/a")</f>
        <v>Anota Ai Solucoes Digitais S/a</v>
      </c>
      <c r="R4360" s="33">
        <f>IFERROR(__xludf.DUMMYFUNCTION("""COMPUTED_VALUE"""),0.5)</f>
        <v>0.5</v>
      </c>
      <c r="S4360" s="4" t="str">
        <f>IFERROR(__xludf.DUMMYFUNCTION("""COMPUTED_VALUE"""),"null")</f>
        <v>null</v>
      </c>
      <c r="T4360" s="33">
        <f>IFERROR(__xludf.DUMMYFUNCTION("""COMPUTED_VALUE"""),1.0)</f>
        <v>1</v>
      </c>
      <c r="U4360" s="4" t="str">
        <f>IFERROR(__xludf.DUMMYFUNCTION("""COMPUTED_VALUE"""),"Anota Ai Solucoes Digitais S/a")</f>
        <v>Anota Ai Solucoes Digitais S/a</v>
      </c>
      <c r="V4360" s="33">
        <f>IFERROR(__xludf.DUMMYFUNCTION("""COMPUTED_VALUE"""),0.5)</f>
        <v>0.5</v>
      </c>
      <c r="W4360" s="4" t="str">
        <f>IFERROR(__xludf.DUMMYFUNCTION("""COMPUTED_VALUE"""),"Anota Ai Solucoes Digitais S/a")</f>
        <v>Anota Ai Solucoes Digitais S/a</v>
      </c>
      <c r="X4360" s="33">
        <f>IFERROR(__xludf.DUMMYFUNCTION("""COMPUTED_VALUE"""),0.5)</f>
        <v>0.5</v>
      </c>
    </row>
    <row r="4361">
      <c r="K4361" s="4" t="str">
        <f>IFERROR(__xludf.DUMMYFUNCTION("""COMPUTED_VALUE"""),"EMPORIO DO ACAI")</f>
        <v>EMPORIO DO ACAI</v>
      </c>
      <c r="L4361" s="32">
        <f>IFERROR(__xludf.DUMMYFUNCTION("""COMPUTED_VALUE"""),2.0)</f>
        <v>2</v>
      </c>
      <c r="M4361" s="4" t="str">
        <f>IFERROR(__xludf.DUMMYFUNCTION("""COMPUTED_VALUE"""),"Anota Ai Solucoes Digitais S/a")</f>
        <v>Anota Ai Solucoes Digitais S/a</v>
      </c>
      <c r="N4361" s="33">
        <f>IFERROR(__xludf.DUMMYFUNCTION("""COMPUTED_VALUE"""),0.5)</f>
        <v>0.5</v>
      </c>
      <c r="O4361" s="4" t="str">
        <f>IFERROR(__xludf.DUMMYFUNCTION("""COMPUTED_VALUE"""),"null")</f>
        <v>null</v>
      </c>
      <c r="P4361" s="33">
        <f>IFERROR(__xludf.DUMMYFUNCTION("""COMPUTED_VALUE"""),0.5)</f>
        <v>0.5</v>
      </c>
      <c r="Q4361" s="4" t="str">
        <f>IFERROR(__xludf.DUMMYFUNCTION("""COMPUTED_VALUE"""),"null")</f>
        <v>null</v>
      </c>
      <c r="R4361" s="33">
        <f>IFERROR(__xludf.DUMMYFUNCTION("""COMPUTED_VALUE"""),0.5)</f>
        <v>0.5</v>
      </c>
      <c r="S4361" s="4" t="str">
        <f>IFERROR(__xludf.DUMMYFUNCTION("""COMPUTED_VALUE"""),"Anota Ai Solucoes Digitais S/a")</f>
        <v>Anota Ai Solucoes Digitais S/a</v>
      </c>
      <c r="T4361" s="33">
        <f>IFERROR(__xludf.DUMMYFUNCTION("""COMPUTED_VALUE"""),0.5)</f>
        <v>0.5</v>
      </c>
      <c r="U4361" s="4" t="str">
        <f>IFERROR(__xludf.DUMMYFUNCTION("""COMPUTED_VALUE"""),"Anota Ai Solucoes Digitais S/a")</f>
        <v>Anota Ai Solucoes Digitais S/a</v>
      </c>
      <c r="V4361" s="33">
        <f>IFERROR(__xludf.DUMMYFUNCTION("""COMPUTED_VALUE"""),0.5)</f>
        <v>0.5</v>
      </c>
      <c r="W4361" s="4" t="str">
        <f>IFERROR(__xludf.DUMMYFUNCTION("""COMPUTED_VALUE"""),"Anota Ai Solucoes Digitais S/a")</f>
        <v>Anota Ai Solucoes Digitais S/a</v>
      </c>
      <c r="X4361" s="33">
        <f>IFERROR(__xludf.DUMMYFUNCTION("""COMPUTED_VALUE"""),0.5)</f>
        <v>0.5</v>
      </c>
    </row>
    <row r="4362">
      <c r="K4362" s="4" t="str">
        <f>IFERROR(__xludf.DUMMYFUNCTION("""COMPUTED_VALUE"""),"HAMBURGUERIA VIKINGS")</f>
        <v>HAMBURGUERIA VIKINGS</v>
      </c>
      <c r="L4362" s="32">
        <f>IFERROR(__xludf.DUMMYFUNCTION("""COMPUTED_VALUE"""),2.0)</f>
        <v>2</v>
      </c>
      <c r="M4362" s="4" t="str">
        <f>IFERROR(__xludf.DUMMYFUNCTION("""COMPUTED_VALUE"""),"null")</f>
        <v>null</v>
      </c>
      <c r="N4362" s="33">
        <f>IFERROR(__xludf.DUMMYFUNCTION("""COMPUTED_VALUE"""),0.5)</f>
        <v>0.5</v>
      </c>
      <c r="O4362" s="4" t="str">
        <f>IFERROR(__xludf.DUMMYFUNCTION("""COMPUTED_VALUE"""),"null")</f>
        <v>null</v>
      </c>
      <c r="P4362" s="33">
        <f>IFERROR(__xludf.DUMMYFUNCTION("""COMPUTED_VALUE"""),0.5)</f>
        <v>0.5</v>
      </c>
      <c r="Q4362" s="4" t="str">
        <f>IFERROR(__xludf.DUMMYFUNCTION("""COMPUTED_VALUE"""),"null")</f>
        <v>null</v>
      </c>
      <c r="R4362" s="33">
        <f>IFERROR(__xludf.DUMMYFUNCTION("""COMPUTED_VALUE"""),0.5)</f>
        <v>0.5</v>
      </c>
      <c r="S4362" s="4" t="str">
        <f>IFERROR(__xludf.DUMMYFUNCTION("""COMPUTED_VALUE"""),"Saipos Serviços De Software")</f>
        <v>Saipos Serviços De Software</v>
      </c>
      <c r="T4362" s="33">
        <f>IFERROR(__xludf.DUMMYFUNCTION("""COMPUTED_VALUE"""),0.5)</f>
        <v>0.5</v>
      </c>
      <c r="U4362" s="4" t="str">
        <f>IFERROR(__xludf.DUMMYFUNCTION("""COMPUTED_VALUE"""),"Saipos Serviços De Software")</f>
        <v>Saipos Serviços De Software</v>
      </c>
      <c r="V4362" s="33">
        <f>IFERROR(__xludf.DUMMYFUNCTION("""COMPUTED_VALUE"""),0.5)</f>
        <v>0.5</v>
      </c>
      <c r="W4362" s="4" t="str">
        <f>IFERROR(__xludf.DUMMYFUNCTION("""COMPUTED_VALUE"""),"Saipos Serviços De Software")</f>
        <v>Saipos Serviços De Software</v>
      </c>
      <c r="X4362" s="33">
        <f>IFERROR(__xludf.DUMMYFUNCTION("""COMPUTED_VALUE"""),0.5)</f>
        <v>0.5</v>
      </c>
    </row>
    <row r="4363">
      <c r="K4363" s="4" t="str">
        <f>IFERROR(__xludf.DUMMYFUNCTION("""COMPUTED_VALUE"""),"PARRILLA BURGER")</f>
        <v>PARRILLA BURGER</v>
      </c>
      <c r="L4363" s="32">
        <f>IFERROR(__xludf.DUMMYFUNCTION("""COMPUTED_VALUE"""),2.0)</f>
        <v>2</v>
      </c>
      <c r="M4363" s="4" t="str">
        <f>IFERROR(__xludf.DUMMYFUNCTION("""COMPUTED_VALUE"""),"Cardápio Web")</f>
        <v>Cardápio Web</v>
      </c>
      <c r="N4363" s="33">
        <f>IFERROR(__xludf.DUMMYFUNCTION("""COMPUTED_VALUE"""),0.5)</f>
        <v>0.5</v>
      </c>
      <c r="O4363" s="4" t="str">
        <f>IFERROR(__xludf.DUMMYFUNCTION("""COMPUTED_VALUE"""),"null")</f>
        <v>null</v>
      </c>
      <c r="P4363" s="33">
        <f>IFERROR(__xludf.DUMMYFUNCTION("""COMPUTED_VALUE"""),0.5)</f>
        <v>0.5</v>
      </c>
      <c r="Q4363" s="4" t="str">
        <f>IFERROR(__xludf.DUMMYFUNCTION("""COMPUTED_VALUE"""),"null")</f>
        <v>null</v>
      </c>
      <c r="R4363" s="33">
        <f>IFERROR(__xludf.DUMMYFUNCTION("""COMPUTED_VALUE"""),0.5)</f>
        <v>0.5</v>
      </c>
      <c r="S4363" s="4" t="str">
        <f>IFERROR(__xludf.DUMMYFUNCTION("""COMPUTED_VALUE"""),"Cardápio Web")</f>
        <v>Cardápio Web</v>
      </c>
      <c r="T4363" s="33">
        <f>IFERROR(__xludf.DUMMYFUNCTION("""COMPUTED_VALUE"""),0.5)</f>
        <v>0.5</v>
      </c>
      <c r="U4363" s="4" t="str">
        <f>IFERROR(__xludf.DUMMYFUNCTION("""COMPUTED_VALUE"""),"Cardápio Web")</f>
        <v>Cardápio Web</v>
      </c>
      <c r="V4363" s="33">
        <f>IFERROR(__xludf.DUMMYFUNCTION("""COMPUTED_VALUE"""),0.5)</f>
        <v>0.5</v>
      </c>
      <c r="W4363" s="4" t="str">
        <f>IFERROR(__xludf.DUMMYFUNCTION("""COMPUTED_VALUE"""),"Cardápio Web")</f>
        <v>Cardápio Web</v>
      </c>
      <c r="X4363" s="33">
        <f>IFERROR(__xludf.DUMMYFUNCTION("""COMPUTED_VALUE"""),0.5)</f>
        <v>0.5</v>
      </c>
    </row>
    <row r="4364">
      <c r="K4364" s="4" t="str">
        <f>IFERROR(__xludf.DUMMYFUNCTION("""COMPUTED_VALUE"""),"YARU RESTAURANTE JAPONES")</f>
        <v>YARU RESTAURANTE JAPONES</v>
      </c>
      <c r="L4364" s="32">
        <f>IFERROR(__xludf.DUMMYFUNCTION("""COMPUTED_VALUE"""),2.0)</f>
        <v>2</v>
      </c>
      <c r="M4364" s="4" t="str">
        <f>IFERROR(__xludf.DUMMYFUNCTION("""COMPUTED_VALUE"""),"Saipos Serviços De Software")</f>
        <v>Saipos Serviços De Software</v>
      </c>
      <c r="N4364" s="33">
        <f>IFERROR(__xludf.DUMMYFUNCTION("""COMPUTED_VALUE"""),1.0)</f>
        <v>1</v>
      </c>
      <c r="O4364" s="4" t="str">
        <f>IFERROR(__xludf.DUMMYFUNCTION("""COMPUTED_VALUE"""),"Saipos Serviços De Software")</f>
        <v>Saipos Serviços De Software</v>
      </c>
      <c r="P4364" s="33">
        <f>IFERROR(__xludf.DUMMYFUNCTION("""COMPUTED_VALUE"""),1.0)</f>
        <v>1</v>
      </c>
      <c r="Q4364" s="4" t="str">
        <f>IFERROR(__xludf.DUMMYFUNCTION("""COMPUTED_VALUE"""),"Saipos Serviços De Software")</f>
        <v>Saipos Serviços De Software</v>
      </c>
      <c r="R4364" s="33">
        <f>IFERROR(__xludf.DUMMYFUNCTION("""COMPUTED_VALUE"""),1.0)</f>
        <v>1</v>
      </c>
      <c r="S4364" s="4" t="str">
        <f>IFERROR(__xludf.DUMMYFUNCTION("""COMPUTED_VALUE"""),"Saipos Serviços De Software")</f>
        <v>Saipos Serviços De Software</v>
      </c>
      <c r="T4364" s="33">
        <f>IFERROR(__xludf.DUMMYFUNCTION("""COMPUTED_VALUE"""),1.0)</f>
        <v>1</v>
      </c>
      <c r="U4364" s="4" t="str">
        <f>IFERROR(__xludf.DUMMYFUNCTION("""COMPUTED_VALUE"""),"Vuca Solution")</f>
        <v>Vuca Solution</v>
      </c>
      <c r="V4364" s="33">
        <f>IFERROR(__xludf.DUMMYFUNCTION("""COMPUTED_VALUE"""),1.0)</f>
        <v>1</v>
      </c>
      <c r="W4364" s="4" t="str">
        <f>IFERROR(__xludf.DUMMYFUNCTION("""COMPUTED_VALUE"""),"Vuca Solution")</f>
        <v>Vuca Solution</v>
      </c>
      <c r="X4364" s="33">
        <f>IFERROR(__xludf.DUMMYFUNCTION("""COMPUTED_VALUE"""),1.0)</f>
        <v>1</v>
      </c>
    </row>
    <row r="4365">
      <c r="K4365" s="4" t="str">
        <f>IFERROR(__xludf.DUMMYFUNCTION("""COMPUTED_VALUE"""),"FAST TELEPIZZA E TELEBURGUER")</f>
        <v>FAST TELEPIZZA E TELEBURGUER</v>
      </c>
      <c r="L4365" s="32">
        <f>IFERROR(__xludf.DUMMYFUNCTION("""COMPUTED_VALUE"""),2.0)</f>
        <v>2</v>
      </c>
      <c r="M4365" s="4" t="str">
        <f>IFERROR(__xludf.DUMMYFUNCTION("""COMPUTED_VALUE"""),"Saipos Serviços De Software")</f>
        <v>Saipos Serviços De Software</v>
      </c>
      <c r="N4365" s="33">
        <f>IFERROR(__xludf.DUMMYFUNCTION("""COMPUTED_VALUE"""),1.0)</f>
        <v>1</v>
      </c>
      <c r="O4365" s="4" t="str">
        <f>IFERROR(__xludf.DUMMYFUNCTION("""COMPUTED_VALUE"""),"Saipos Serviços De Software")</f>
        <v>Saipos Serviços De Software</v>
      </c>
      <c r="P4365" s="33">
        <f>IFERROR(__xludf.DUMMYFUNCTION("""COMPUTED_VALUE"""),1.0)</f>
        <v>1</v>
      </c>
      <c r="Q4365" s="4" t="str">
        <f>IFERROR(__xludf.DUMMYFUNCTION("""COMPUTED_VALUE"""),"Saipos Serviços De Software")</f>
        <v>Saipos Serviços De Software</v>
      </c>
      <c r="R4365" s="33">
        <f>IFERROR(__xludf.DUMMYFUNCTION("""COMPUTED_VALUE"""),1.0)</f>
        <v>1</v>
      </c>
      <c r="S4365" s="4" t="str">
        <f>IFERROR(__xludf.DUMMYFUNCTION("""COMPUTED_VALUE"""),"Saipos Serviços De Software")</f>
        <v>Saipos Serviços De Software</v>
      </c>
      <c r="T4365" s="33">
        <f>IFERROR(__xludf.DUMMYFUNCTION("""COMPUTED_VALUE"""),0.5)</f>
        <v>0.5</v>
      </c>
      <c r="U4365" s="4" t="str">
        <f>IFERROR(__xludf.DUMMYFUNCTION("""COMPUTED_VALUE"""),"Saipos Serviços De Software")</f>
        <v>Saipos Serviços De Software</v>
      </c>
      <c r="V4365" s="33">
        <f>IFERROR(__xludf.DUMMYFUNCTION("""COMPUTED_VALUE"""),1.0)</f>
        <v>1</v>
      </c>
      <c r="W4365" s="4" t="str">
        <f>IFERROR(__xludf.DUMMYFUNCTION("""COMPUTED_VALUE"""),"Saipos Serviços De Software")</f>
        <v>Saipos Serviços De Software</v>
      </c>
      <c r="X4365" s="33">
        <f>IFERROR(__xludf.DUMMYFUNCTION("""COMPUTED_VALUE"""),1.0)</f>
        <v>1</v>
      </c>
    </row>
    <row r="4366">
      <c r="K4366" s="4" t="str">
        <f>IFERROR(__xludf.DUMMYFUNCTION("""COMPUTED_VALUE"""),"JUNIOR LANCHES")</f>
        <v>JUNIOR LANCHES</v>
      </c>
      <c r="L4366" s="32">
        <f>IFERROR(__xludf.DUMMYFUNCTION("""COMPUTED_VALUE"""),2.0)</f>
        <v>2</v>
      </c>
      <c r="M4366" s="4" t="str">
        <f>IFERROR(__xludf.DUMMYFUNCTION("""COMPUTED_VALUE"""),"Cardápio Web")</f>
        <v>Cardápio Web</v>
      </c>
      <c r="N4366" s="33">
        <f>IFERROR(__xludf.DUMMYFUNCTION("""COMPUTED_VALUE"""),0.5)</f>
        <v>0.5</v>
      </c>
      <c r="O4366" s="4" t="str">
        <f>IFERROR(__xludf.DUMMYFUNCTION("""COMPUTED_VALUE"""),"Cardápio Web")</f>
        <v>Cardápio Web</v>
      </c>
      <c r="P4366" s="33">
        <f>IFERROR(__xludf.DUMMYFUNCTION("""COMPUTED_VALUE"""),0.5)</f>
        <v>0.5</v>
      </c>
      <c r="Q4366" s="4" t="str">
        <f>IFERROR(__xludf.DUMMYFUNCTION("""COMPUTED_VALUE"""),"Cardápio Web")</f>
        <v>Cardápio Web</v>
      </c>
      <c r="R4366" s="33">
        <f>IFERROR(__xludf.DUMMYFUNCTION("""COMPUTED_VALUE"""),0.5)</f>
        <v>0.5</v>
      </c>
      <c r="S4366" s="4" t="str">
        <f>IFERROR(__xludf.DUMMYFUNCTION("""COMPUTED_VALUE"""),"Cardápio Web")</f>
        <v>Cardápio Web</v>
      </c>
      <c r="T4366" s="33">
        <f>IFERROR(__xludf.DUMMYFUNCTION("""COMPUTED_VALUE"""),0.5)</f>
        <v>0.5</v>
      </c>
      <c r="U4366" s="4" t="str">
        <f>IFERROR(__xludf.DUMMYFUNCTION("""COMPUTED_VALUE"""),"Cardápio Web")</f>
        <v>Cardápio Web</v>
      </c>
      <c r="V4366" s="33">
        <f>IFERROR(__xludf.DUMMYFUNCTION("""COMPUTED_VALUE"""),0.5)</f>
        <v>0.5</v>
      </c>
      <c r="W4366" s="4" t="str">
        <f>IFERROR(__xludf.DUMMYFUNCTION("""COMPUTED_VALUE"""),"Cardápio Web")</f>
        <v>Cardápio Web</v>
      </c>
      <c r="X4366" s="33">
        <f>IFERROR(__xludf.DUMMYFUNCTION("""COMPUTED_VALUE"""),0.5)</f>
        <v>0.5</v>
      </c>
    </row>
    <row r="4367">
      <c r="K4367" s="4" t="str">
        <f>IFERROR(__xludf.DUMMYFUNCTION("""COMPUTED_VALUE"""),"EBI FRAY JAPA FUSION")</f>
        <v>EBI FRAY JAPA FUSION</v>
      </c>
      <c r="L4367" s="32">
        <f>IFERROR(__xludf.DUMMYFUNCTION("""COMPUTED_VALUE"""),2.0)</f>
        <v>2</v>
      </c>
      <c r="M4367" s="4" t="str">
        <f>IFERROR(__xludf.DUMMYFUNCTION("""COMPUTED_VALUE"""),"Glow")</f>
        <v>Glow</v>
      </c>
      <c r="N4367" s="33">
        <f>IFERROR(__xludf.DUMMYFUNCTION("""COMPUTED_VALUE"""),1.0)</f>
        <v>1</v>
      </c>
      <c r="O4367" s="4" t="str">
        <f>IFERROR(__xludf.DUMMYFUNCTION("""COMPUTED_VALUE"""),"Glow")</f>
        <v>Glow</v>
      </c>
      <c r="P4367" s="33">
        <f>IFERROR(__xludf.DUMMYFUNCTION("""COMPUTED_VALUE"""),0.5)</f>
        <v>0.5</v>
      </c>
      <c r="Q4367" s="4" t="str">
        <f>IFERROR(__xludf.DUMMYFUNCTION("""COMPUTED_VALUE"""),"Glow")</f>
        <v>Glow</v>
      </c>
      <c r="R4367" s="33">
        <f>IFERROR(__xludf.DUMMYFUNCTION("""COMPUTED_VALUE"""),0.5)</f>
        <v>0.5</v>
      </c>
      <c r="S4367" s="4" t="str">
        <f>IFERROR(__xludf.DUMMYFUNCTION("""COMPUTED_VALUE"""),"Glow")</f>
        <v>Glow</v>
      </c>
      <c r="T4367" s="33">
        <f>IFERROR(__xludf.DUMMYFUNCTION("""COMPUTED_VALUE"""),1.0)</f>
        <v>1</v>
      </c>
      <c r="U4367" s="4" t="str">
        <f>IFERROR(__xludf.DUMMYFUNCTION("""COMPUTED_VALUE"""),"Glow")</f>
        <v>Glow</v>
      </c>
      <c r="V4367" s="33">
        <f>IFERROR(__xludf.DUMMYFUNCTION("""COMPUTED_VALUE"""),1.0)</f>
        <v>1</v>
      </c>
      <c r="W4367" s="4" t="str">
        <f>IFERROR(__xludf.DUMMYFUNCTION("""COMPUTED_VALUE"""),"Glow")</f>
        <v>Glow</v>
      </c>
      <c r="X4367" s="33">
        <f>IFERROR(__xludf.DUMMYFUNCTION("""COMPUTED_VALUE"""),1.0)</f>
        <v>1</v>
      </c>
    </row>
    <row r="4368">
      <c r="K4368" s="4" t="str">
        <f>IFERROR(__xludf.DUMMYFUNCTION("""COMPUTED_VALUE"""),"PIZZARIA SHALOM")</f>
        <v>PIZZARIA SHALOM</v>
      </c>
      <c r="L4368" s="32">
        <f>IFERROR(__xludf.DUMMYFUNCTION("""COMPUTED_VALUE"""),2.0)</f>
        <v>2</v>
      </c>
      <c r="M4368" s="4" t="str">
        <f>IFERROR(__xludf.DUMMYFUNCTION("""COMPUTED_VALUE"""),"Anota Ai Solucoes Digitais S/a")</f>
        <v>Anota Ai Solucoes Digitais S/a</v>
      </c>
      <c r="N4368" s="33">
        <f>IFERROR(__xludf.DUMMYFUNCTION("""COMPUTED_VALUE"""),0.5)</f>
        <v>0.5</v>
      </c>
      <c r="O4368" s="4" t="str">
        <f>IFERROR(__xludf.DUMMYFUNCTION("""COMPUTED_VALUE"""),"Anota Ai Solucoes Digitais S/a")</f>
        <v>Anota Ai Solucoes Digitais S/a</v>
      </c>
      <c r="P4368" s="33">
        <f>IFERROR(__xludf.DUMMYFUNCTION("""COMPUTED_VALUE"""),0.5)</f>
        <v>0.5</v>
      </c>
      <c r="Q4368" s="4" t="str">
        <f>IFERROR(__xludf.DUMMYFUNCTION("""COMPUTED_VALUE"""),"Anota Ai Solucoes Digitais S/a")</f>
        <v>Anota Ai Solucoes Digitais S/a</v>
      </c>
      <c r="R4368" s="33">
        <f>IFERROR(__xludf.DUMMYFUNCTION("""COMPUTED_VALUE"""),0.5)</f>
        <v>0.5</v>
      </c>
      <c r="S4368" s="4" t="str">
        <f>IFERROR(__xludf.DUMMYFUNCTION("""COMPUTED_VALUE"""),"Anota Ai Solucoes Digitais S/a")</f>
        <v>Anota Ai Solucoes Digitais S/a</v>
      </c>
      <c r="T4368" s="33">
        <f>IFERROR(__xludf.DUMMYFUNCTION("""COMPUTED_VALUE"""),0.5)</f>
        <v>0.5</v>
      </c>
      <c r="U4368" s="4" t="str">
        <f>IFERROR(__xludf.DUMMYFUNCTION("""COMPUTED_VALUE"""),"Anota Ai Solucoes Digitais S/a")</f>
        <v>Anota Ai Solucoes Digitais S/a</v>
      </c>
      <c r="V4368" s="33">
        <f>IFERROR(__xludf.DUMMYFUNCTION("""COMPUTED_VALUE"""),0.5)</f>
        <v>0.5</v>
      </c>
      <c r="W4368" s="4" t="str">
        <f>IFERROR(__xludf.DUMMYFUNCTION("""COMPUTED_VALUE"""),"null")</f>
        <v>null</v>
      </c>
      <c r="X4368" s="33">
        <f>IFERROR(__xludf.DUMMYFUNCTION("""COMPUTED_VALUE"""),0.5)</f>
        <v>0.5</v>
      </c>
    </row>
    <row r="4369">
      <c r="K4369" s="4" t="str">
        <f>IFERROR(__xludf.DUMMYFUNCTION("""COMPUTED_VALUE"""),"DELICIAS DA NANDA")</f>
        <v>DELICIAS DA NANDA</v>
      </c>
      <c r="L4369" s="32">
        <f>IFERROR(__xludf.DUMMYFUNCTION("""COMPUTED_VALUE"""),2.0)</f>
        <v>2</v>
      </c>
      <c r="M4369" s="4" t="str">
        <f>IFERROR(__xludf.DUMMYFUNCTION("""COMPUTED_VALUE"""),"null")</f>
        <v>null</v>
      </c>
      <c r="N4369" s="33">
        <f>IFERROR(__xludf.DUMMYFUNCTION("""COMPUTED_VALUE"""),1.0)</f>
        <v>1</v>
      </c>
      <c r="O4369" s="4" t="str">
        <f>IFERROR(__xludf.DUMMYFUNCTION("""COMPUTED_VALUE"""),"null")</f>
        <v>null</v>
      </c>
      <c r="P4369" s="33">
        <f>IFERROR(__xludf.DUMMYFUNCTION("""COMPUTED_VALUE"""),1.0)</f>
        <v>1</v>
      </c>
      <c r="Q4369" s="4" t="str">
        <f>IFERROR(__xludf.DUMMYFUNCTION("""COMPUTED_VALUE"""),"Yooga")</f>
        <v>Yooga</v>
      </c>
      <c r="R4369" s="33">
        <f>IFERROR(__xludf.DUMMYFUNCTION("""COMPUTED_VALUE"""),0.5)</f>
        <v>0.5</v>
      </c>
      <c r="S4369" s="4" t="str">
        <f>IFERROR(__xludf.DUMMYFUNCTION("""COMPUTED_VALUE"""),"Yooga")</f>
        <v>Yooga</v>
      </c>
      <c r="T4369" s="33">
        <f>IFERROR(__xludf.DUMMYFUNCTION("""COMPUTED_VALUE"""),0.5)</f>
        <v>0.5</v>
      </c>
      <c r="U4369" s="4" t="str">
        <f>IFERROR(__xludf.DUMMYFUNCTION("""COMPUTED_VALUE"""),"Yooga")</f>
        <v>Yooga</v>
      </c>
      <c r="V4369" s="33">
        <f>IFERROR(__xludf.DUMMYFUNCTION("""COMPUTED_VALUE"""),0.5)</f>
        <v>0.5</v>
      </c>
      <c r="W4369" s="4" t="str">
        <f>IFERROR(__xludf.DUMMYFUNCTION("""COMPUTED_VALUE"""),"Yooga")</f>
        <v>Yooga</v>
      </c>
      <c r="X4369" s="33">
        <f>IFERROR(__xludf.DUMMYFUNCTION("""COMPUTED_VALUE"""),0.5)</f>
        <v>0.5</v>
      </c>
    </row>
    <row r="4370">
      <c r="K4370" s="4" t="str">
        <f>IFERROR(__xludf.DUMMYFUNCTION("""COMPUTED_VALUE"""),"RESTAURANTE COLHER DE PAU")</f>
        <v>RESTAURANTE COLHER DE PAU</v>
      </c>
      <c r="L4370" s="32">
        <f>IFERROR(__xludf.DUMMYFUNCTION("""COMPUTED_VALUE"""),2.0)</f>
        <v>2</v>
      </c>
      <c r="M4370" s="4" t="str">
        <f>IFERROR(__xludf.DUMMYFUNCTION("""COMPUTED_VALUE"""),"Gplus Sistemas")</f>
        <v>Gplus Sistemas</v>
      </c>
      <c r="N4370" s="33">
        <f>IFERROR(__xludf.DUMMYFUNCTION("""COMPUTED_VALUE"""),0.5)</f>
        <v>0.5</v>
      </c>
      <c r="O4370" s="4" t="str">
        <f>IFERROR(__xludf.DUMMYFUNCTION("""COMPUTED_VALUE"""),"null")</f>
        <v>null</v>
      </c>
      <c r="P4370" s="33">
        <f>IFERROR(__xludf.DUMMYFUNCTION("""COMPUTED_VALUE"""),0.5)</f>
        <v>0.5</v>
      </c>
      <c r="Q4370" s="4" t="str">
        <f>IFERROR(__xludf.DUMMYFUNCTION("""COMPUTED_VALUE"""),"Gplus Sistemas")</f>
        <v>Gplus Sistemas</v>
      </c>
      <c r="R4370" s="33">
        <f>IFERROR(__xludf.DUMMYFUNCTION("""COMPUTED_VALUE"""),0.5)</f>
        <v>0.5</v>
      </c>
      <c r="S4370" s="4" t="str">
        <f>IFERROR(__xludf.DUMMYFUNCTION("""COMPUTED_VALUE"""),"Gplus Sistemas")</f>
        <v>Gplus Sistemas</v>
      </c>
      <c r="T4370" s="33">
        <f>IFERROR(__xludf.DUMMYFUNCTION("""COMPUTED_VALUE"""),0.5)</f>
        <v>0.5</v>
      </c>
      <c r="U4370" s="4" t="str">
        <f>IFERROR(__xludf.DUMMYFUNCTION("""COMPUTED_VALUE"""),"Gplus Sistemas")</f>
        <v>Gplus Sistemas</v>
      </c>
      <c r="V4370" s="33">
        <f>IFERROR(__xludf.DUMMYFUNCTION("""COMPUTED_VALUE"""),0.5)</f>
        <v>0.5</v>
      </c>
      <c r="W4370" s="4" t="str">
        <f>IFERROR(__xludf.DUMMYFUNCTION("""COMPUTED_VALUE"""),"null")</f>
        <v>null</v>
      </c>
      <c r="X4370" s="33">
        <f>IFERROR(__xludf.DUMMYFUNCTION("""COMPUTED_VALUE"""),0.5)</f>
        <v>0.5</v>
      </c>
    </row>
    <row r="4371">
      <c r="K4371" s="4" t="str">
        <f>IFERROR(__xludf.DUMMYFUNCTION("""COMPUTED_VALUE"""),"MINI BROWNIE")</f>
        <v>MINI BROWNIE</v>
      </c>
      <c r="L4371" s="32">
        <f>IFERROR(__xludf.DUMMYFUNCTION("""COMPUTED_VALUE"""),2.0)</f>
        <v>2</v>
      </c>
      <c r="M4371" s="4" t="str">
        <f>IFERROR(__xludf.DUMMYFUNCTION("""COMPUTED_VALUE"""),"Saipos Serviços De Software")</f>
        <v>Saipos Serviços De Software</v>
      </c>
      <c r="N4371" s="33">
        <f>IFERROR(__xludf.DUMMYFUNCTION("""COMPUTED_VALUE"""),1.0)</f>
        <v>1</v>
      </c>
      <c r="O4371" s="4" t="str">
        <f>IFERROR(__xludf.DUMMYFUNCTION("""COMPUTED_VALUE"""),"Saipos Serviços De Software")</f>
        <v>Saipos Serviços De Software</v>
      </c>
      <c r="P4371" s="33">
        <f>IFERROR(__xludf.DUMMYFUNCTION("""COMPUTED_VALUE"""),1.0)</f>
        <v>1</v>
      </c>
      <c r="Q4371" s="4" t="str">
        <f>IFERROR(__xludf.DUMMYFUNCTION("""COMPUTED_VALUE"""),"Saipos Serviços De Software")</f>
        <v>Saipos Serviços De Software</v>
      </c>
      <c r="R4371" s="33">
        <f>IFERROR(__xludf.DUMMYFUNCTION("""COMPUTED_VALUE"""),1.0)</f>
        <v>1</v>
      </c>
      <c r="S4371" s="4" t="str">
        <f>IFERROR(__xludf.DUMMYFUNCTION("""COMPUTED_VALUE"""),"Saipos Serviços De Software")</f>
        <v>Saipos Serviços De Software</v>
      </c>
      <c r="T4371" s="33">
        <f>IFERROR(__xludf.DUMMYFUNCTION("""COMPUTED_VALUE"""),1.0)</f>
        <v>1</v>
      </c>
      <c r="U4371" s="4" t="str">
        <f>IFERROR(__xludf.DUMMYFUNCTION("""COMPUTED_VALUE"""),"Saipos Serviços De Software")</f>
        <v>Saipos Serviços De Software</v>
      </c>
      <c r="V4371" s="33">
        <f>IFERROR(__xludf.DUMMYFUNCTION("""COMPUTED_VALUE"""),1.0)</f>
        <v>1</v>
      </c>
      <c r="W4371" s="4" t="str">
        <f>IFERROR(__xludf.DUMMYFUNCTION("""COMPUTED_VALUE"""),"Saipos Serviços De Software")</f>
        <v>Saipos Serviços De Software</v>
      </c>
      <c r="X4371" s="33">
        <f>IFERROR(__xludf.DUMMYFUNCTION("""COMPUTED_VALUE"""),1.0)</f>
        <v>1</v>
      </c>
    </row>
    <row r="4372">
      <c r="K4372" s="4" t="str">
        <f>IFERROR(__xludf.DUMMYFUNCTION("""COMPUTED_VALUE"""),"TOKYO SUSHI DELIVERY")</f>
        <v>TOKYO SUSHI DELIVERY</v>
      </c>
      <c r="L4372" s="32">
        <f>IFERROR(__xludf.DUMMYFUNCTION("""COMPUTED_VALUE"""),2.0)</f>
        <v>2</v>
      </c>
      <c r="M4372" s="4" t="str">
        <f>IFERROR(__xludf.DUMMYFUNCTION("""COMPUTED_VALUE"""),"Digitalvikn")</f>
        <v>Digitalvikn</v>
      </c>
      <c r="N4372" s="33">
        <f>IFERROR(__xludf.DUMMYFUNCTION("""COMPUTED_VALUE"""),0.5)</f>
        <v>0.5</v>
      </c>
      <c r="O4372" s="4" t="str">
        <f>IFERROR(__xludf.DUMMYFUNCTION("""COMPUTED_VALUE"""),"null")</f>
        <v>null</v>
      </c>
      <c r="P4372" s="33">
        <f>IFERROR(__xludf.DUMMYFUNCTION("""COMPUTED_VALUE"""),0.5)</f>
        <v>0.5</v>
      </c>
      <c r="Q4372" s="4" t="str">
        <f>IFERROR(__xludf.DUMMYFUNCTION("""COMPUTED_VALUE"""),"Digitalvikn")</f>
        <v>Digitalvikn</v>
      </c>
      <c r="R4372" s="33">
        <f>IFERROR(__xludf.DUMMYFUNCTION("""COMPUTED_VALUE"""),0.5)</f>
        <v>0.5</v>
      </c>
      <c r="S4372" s="4" t="str">
        <f>IFERROR(__xludf.DUMMYFUNCTION("""COMPUTED_VALUE"""),"Digitalvikn")</f>
        <v>Digitalvikn</v>
      </c>
      <c r="T4372" s="33">
        <f>IFERROR(__xludf.DUMMYFUNCTION("""COMPUTED_VALUE"""),0.5)</f>
        <v>0.5</v>
      </c>
      <c r="U4372" s="4" t="str">
        <f>IFERROR(__xludf.DUMMYFUNCTION("""COMPUTED_VALUE"""),"Digitalvikn")</f>
        <v>Digitalvikn</v>
      </c>
      <c r="V4372" s="33">
        <f>IFERROR(__xludf.DUMMYFUNCTION("""COMPUTED_VALUE"""),0.5)</f>
        <v>0.5</v>
      </c>
      <c r="W4372" s="4" t="str">
        <f>IFERROR(__xludf.DUMMYFUNCTION("""COMPUTED_VALUE"""),"Digitalvikn")</f>
        <v>Digitalvikn</v>
      </c>
      <c r="X4372" s="33">
        <f>IFERROR(__xludf.DUMMYFUNCTION("""COMPUTED_VALUE"""),0.5)</f>
        <v>0.5</v>
      </c>
    </row>
    <row r="4373">
      <c r="K4373" s="4" t="str">
        <f>IFERROR(__xludf.DUMMYFUNCTION("""COMPUTED_VALUE"""),"SANTO LANCHE DELIVERY")</f>
        <v>SANTO LANCHE DELIVERY</v>
      </c>
      <c r="L4373" s="32">
        <f>IFERROR(__xludf.DUMMYFUNCTION("""COMPUTED_VALUE"""),2.0)</f>
        <v>2</v>
      </c>
      <c r="M4373" s="4" t="str">
        <f>IFERROR(__xludf.DUMMYFUNCTION("""COMPUTED_VALUE"""),"Mp Multipedidos")</f>
        <v>Mp Multipedidos</v>
      </c>
      <c r="N4373" s="33">
        <f>IFERROR(__xludf.DUMMYFUNCTION("""COMPUTED_VALUE"""),1.0)</f>
        <v>1</v>
      </c>
      <c r="O4373" s="4" t="str">
        <f>IFERROR(__xludf.DUMMYFUNCTION("""COMPUTED_VALUE"""),"Mp Multipedidos")</f>
        <v>Mp Multipedidos</v>
      </c>
      <c r="P4373" s="33">
        <f>IFERROR(__xludf.DUMMYFUNCTION("""COMPUTED_VALUE"""),1.0)</f>
        <v>1</v>
      </c>
      <c r="Q4373" s="4" t="str">
        <f>IFERROR(__xludf.DUMMYFUNCTION("""COMPUTED_VALUE"""),"Mp Multipedidos")</f>
        <v>Mp Multipedidos</v>
      </c>
      <c r="R4373" s="33">
        <f>IFERROR(__xludf.DUMMYFUNCTION("""COMPUTED_VALUE"""),1.0)</f>
        <v>1</v>
      </c>
      <c r="S4373" s="4" t="str">
        <f>IFERROR(__xludf.DUMMYFUNCTION("""COMPUTED_VALUE"""),"Mp Multipedidos")</f>
        <v>Mp Multipedidos</v>
      </c>
      <c r="T4373" s="33">
        <f>IFERROR(__xludf.DUMMYFUNCTION("""COMPUTED_VALUE"""),0.5)</f>
        <v>0.5</v>
      </c>
      <c r="U4373" s="4" t="str">
        <f>IFERROR(__xludf.DUMMYFUNCTION("""COMPUTED_VALUE"""),"Mp Multipedidos")</f>
        <v>Mp Multipedidos</v>
      </c>
      <c r="V4373" s="33">
        <f>IFERROR(__xludf.DUMMYFUNCTION("""COMPUTED_VALUE"""),0.5)</f>
        <v>0.5</v>
      </c>
      <c r="W4373" s="4" t="str">
        <f>IFERROR(__xludf.DUMMYFUNCTION("""COMPUTED_VALUE"""),"Mp Multipedidos")</f>
        <v>Mp Multipedidos</v>
      </c>
      <c r="X4373" s="33">
        <f>IFERROR(__xludf.DUMMYFUNCTION("""COMPUTED_VALUE"""),0.5)</f>
        <v>0.5</v>
      </c>
    </row>
    <row r="4374">
      <c r="K4374" s="4" t="str">
        <f>IFERROR(__xludf.DUMMYFUNCTION("""COMPUTED_VALUE"""),"DENAS GOURMET - O MELHOR XIS DE GRAVATAI")</f>
        <v>DENAS GOURMET - O MELHOR XIS DE GRAVATAI</v>
      </c>
      <c r="L4374" s="32">
        <f>IFERROR(__xludf.DUMMYFUNCTION("""COMPUTED_VALUE"""),2.0)</f>
        <v>2</v>
      </c>
      <c r="M4374" s="4" t="str">
        <f>IFERROR(__xludf.DUMMYFUNCTION("""COMPUTED_VALUE"""),"Cardápio Web")</f>
        <v>Cardápio Web</v>
      </c>
      <c r="N4374" s="33">
        <f>IFERROR(__xludf.DUMMYFUNCTION("""COMPUTED_VALUE"""),0.5)</f>
        <v>0.5</v>
      </c>
      <c r="O4374" s="4" t="str">
        <f>IFERROR(__xludf.DUMMYFUNCTION("""COMPUTED_VALUE"""),"Cardápio Web")</f>
        <v>Cardápio Web</v>
      </c>
      <c r="P4374" s="33">
        <f>IFERROR(__xludf.DUMMYFUNCTION("""COMPUTED_VALUE"""),0.5)</f>
        <v>0.5</v>
      </c>
      <c r="Q4374" s="4" t="str">
        <f>IFERROR(__xludf.DUMMYFUNCTION("""COMPUTED_VALUE"""),"Cardápio Web")</f>
        <v>Cardápio Web</v>
      </c>
      <c r="R4374" s="33">
        <f>IFERROR(__xludf.DUMMYFUNCTION("""COMPUTED_VALUE"""),0.5)</f>
        <v>0.5</v>
      </c>
      <c r="S4374" s="4" t="str">
        <f>IFERROR(__xludf.DUMMYFUNCTION("""COMPUTED_VALUE"""),"null")</f>
        <v>null</v>
      </c>
      <c r="T4374" s="33">
        <f>IFERROR(__xludf.DUMMYFUNCTION("""COMPUTED_VALUE"""),1.0)</f>
        <v>1</v>
      </c>
      <c r="U4374" s="4" t="str">
        <f>IFERROR(__xludf.DUMMYFUNCTION("""COMPUTED_VALUE"""),"null")</f>
        <v>null</v>
      </c>
      <c r="V4374" s="33">
        <f>IFERROR(__xludf.DUMMYFUNCTION("""COMPUTED_VALUE"""),0.5)</f>
        <v>0.5</v>
      </c>
      <c r="W4374" s="4" t="str">
        <f>IFERROR(__xludf.DUMMYFUNCTION("""COMPUTED_VALUE"""),"null")</f>
        <v>null</v>
      </c>
      <c r="X4374" s="33">
        <f>IFERROR(__xludf.DUMMYFUNCTION("""COMPUTED_VALUE"""),0.5)</f>
        <v>0.5</v>
      </c>
    </row>
    <row r="4375">
      <c r="K4375" s="4" t="str">
        <f>IFERROR(__xludf.DUMMYFUNCTION("""COMPUTED_VALUE"""),"MARMITAS EXPRESS")</f>
        <v>MARMITAS EXPRESS</v>
      </c>
      <c r="L4375" s="32">
        <f>IFERROR(__xludf.DUMMYFUNCTION("""COMPUTED_VALUE"""),2.0)</f>
        <v>2</v>
      </c>
      <c r="M4375" s="4" t="str">
        <f>IFERROR(__xludf.DUMMYFUNCTION("""COMPUTED_VALUE"""),"Cardápio Web")</f>
        <v>Cardápio Web</v>
      </c>
      <c r="N4375" s="33">
        <f>IFERROR(__xludf.DUMMYFUNCTION("""COMPUTED_VALUE"""),1.0)</f>
        <v>1</v>
      </c>
      <c r="O4375" s="4" t="str">
        <f>IFERROR(__xludf.DUMMYFUNCTION("""COMPUTED_VALUE"""),"Cardápio Web")</f>
        <v>Cardápio Web</v>
      </c>
      <c r="P4375" s="33">
        <f>IFERROR(__xludf.DUMMYFUNCTION("""COMPUTED_VALUE"""),1.0)</f>
        <v>1</v>
      </c>
      <c r="Q4375" s="4" t="str">
        <f>IFERROR(__xludf.DUMMYFUNCTION("""COMPUTED_VALUE"""),"Cardápio Web")</f>
        <v>Cardápio Web</v>
      </c>
      <c r="R4375" s="33">
        <f>IFERROR(__xludf.DUMMYFUNCTION("""COMPUTED_VALUE"""),1.0)</f>
        <v>1</v>
      </c>
      <c r="S4375" s="4" t="str">
        <f>IFERROR(__xludf.DUMMYFUNCTION("""COMPUTED_VALUE"""),"Cardápio Web")</f>
        <v>Cardápio Web</v>
      </c>
      <c r="T4375" s="33">
        <f>IFERROR(__xludf.DUMMYFUNCTION("""COMPUTED_VALUE"""),1.0)</f>
        <v>1</v>
      </c>
      <c r="U4375" s="4" t="str">
        <f>IFERROR(__xludf.DUMMYFUNCTION("""COMPUTED_VALUE"""),"Cardápio Web")</f>
        <v>Cardápio Web</v>
      </c>
      <c r="V4375" s="33">
        <f>IFERROR(__xludf.DUMMYFUNCTION("""COMPUTED_VALUE"""),0.5)</f>
        <v>0.5</v>
      </c>
      <c r="W4375" s="4" t="str">
        <f>IFERROR(__xludf.DUMMYFUNCTION("""COMPUTED_VALUE"""),"Cardápio Web")</f>
        <v>Cardápio Web</v>
      </c>
      <c r="X4375" s="33">
        <f>IFERROR(__xludf.DUMMYFUNCTION("""COMPUTED_VALUE"""),0.5)</f>
        <v>0.5</v>
      </c>
    </row>
    <row r="4376">
      <c r="K4376" s="4" t="str">
        <f>IFERROR(__xludf.DUMMYFUNCTION("""COMPUTED_VALUE"""),"FARMACIA MENOR PRECO")</f>
        <v>FARMACIA MENOR PRECO</v>
      </c>
      <c r="L4376" s="32">
        <f>IFERROR(__xludf.DUMMYFUNCTION("""COMPUTED_VALUE"""),2.0)</f>
        <v>2</v>
      </c>
      <c r="M4376" s="4" t="str">
        <f>IFERROR(__xludf.DUMMYFUNCTION("""COMPUTED_VALUE"""),"N/A (Not found)")</f>
        <v>N/A (Not found)</v>
      </c>
      <c r="N4376" s="33">
        <f>IFERROR(__xludf.DUMMYFUNCTION("""COMPUTED_VALUE"""),0.5)</f>
        <v>0.5</v>
      </c>
      <c r="O4376" s="4" t="str">
        <f>IFERROR(__xludf.DUMMYFUNCTION("""COMPUTED_VALUE"""),"N/A (Not found)")</f>
        <v>N/A (Not found)</v>
      </c>
      <c r="P4376" s="33">
        <f>IFERROR(__xludf.DUMMYFUNCTION("""COMPUTED_VALUE"""),0.5)</f>
        <v>0.5</v>
      </c>
      <c r="Q4376" s="4" t="str">
        <f>IFERROR(__xludf.DUMMYFUNCTION("""COMPUTED_VALUE"""),"N/A (Not found)")</f>
        <v>N/A (Not found)</v>
      </c>
      <c r="R4376" s="33">
        <f>IFERROR(__xludf.DUMMYFUNCTION("""COMPUTED_VALUE"""),0.5)</f>
        <v>0.5</v>
      </c>
      <c r="S4376" s="4" t="str">
        <f>IFERROR(__xludf.DUMMYFUNCTION("""COMPUTED_VALUE"""),"N/A (Not found)")</f>
        <v>N/A (Not found)</v>
      </c>
      <c r="T4376" s="33">
        <f>IFERROR(__xludf.DUMMYFUNCTION("""COMPUTED_VALUE"""),0.5)</f>
        <v>0.5</v>
      </c>
      <c r="U4376" s="4" t="str">
        <f>IFERROR(__xludf.DUMMYFUNCTION("""COMPUTED_VALUE"""),"N/A (Not found)")</f>
        <v>N/A (Not found)</v>
      </c>
      <c r="V4376" s="33">
        <f>IFERROR(__xludf.DUMMYFUNCTION("""COMPUTED_VALUE"""),1.0)</f>
        <v>1</v>
      </c>
      <c r="W4376" s="4" t="str">
        <f>IFERROR(__xludf.DUMMYFUNCTION("""COMPUTED_VALUE"""),"null")</f>
        <v>null</v>
      </c>
      <c r="X4376" s="33">
        <f>IFERROR(__xludf.DUMMYFUNCTION("""COMPUTED_VALUE"""),1.0)</f>
        <v>1</v>
      </c>
    </row>
    <row r="4377">
      <c r="K4377" s="4" t="str">
        <f>IFERROR(__xludf.DUMMYFUNCTION("""COMPUTED_VALUE"""),"ABU LANCHES")</f>
        <v>ABU LANCHES</v>
      </c>
      <c r="L4377" s="32">
        <f>IFERROR(__xludf.DUMMYFUNCTION("""COMPUTED_VALUE"""),2.0)</f>
        <v>2</v>
      </c>
      <c r="M4377" s="4" t="str">
        <f>IFERROR(__xludf.DUMMYFUNCTION("""COMPUTED_VALUE"""),"null")</f>
        <v>null</v>
      </c>
      <c r="N4377" s="33">
        <f>IFERROR(__xludf.DUMMYFUNCTION("""COMPUTED_VALUE"""),0.5)</f>
        <v>0.5</v>
      </c>
      <c r="O4377" s="4" t="str">
        <f>IFERROR(__xludf.DUMMYFUNCTION("""COMPUTED_VALUE"""),"Anota Ai Solucoes Digitais S/a")</f>
        <v>Anota Ai Solucoes Digitais S/a</v>
      </c>
      <c r="P4377" s="33">
        <f>IFERROR(__xludf.DUMMYFUNCTION("""COMPUTED_VALUE"""),0.5)</f>
        <v>0.5</v>
      </c>
      <c r="Q4377" s="4" t="str">
        <f>IFERROR(__xludf.DUMMYFUNCTION("""COMPUTED_VALUE"""),"null")</f>
        <v>null</v>
      </c>
      <c r="R4377" s="33">
        <f>IFERROR(__xludf.DUMMYFUNCTION("""COMPUTED_VALUE"""),0.5)</f>
        <v>0.5</v>
      </c>
      <c r="S4377" s="4" t="str">
        <f>IFERROR(__xludf.DUMMYFUNCTION("""COMPUTED_VALUE"""),"null")</f>
        <v>null</v>
      </c>
      <c r="T4377" s="33">
        <f>IFERROR(__xludf.DUMMYFUNCTION("""COMPUTED_VALUE"""),0.5)</f>
        <v>0.5</v>
      </c>
      <c r="U4377" s="4" t="str">
        <f>IFERROR(__xludf.DUMMYFUNCTION("""COMPUTED_VALUE"""),"null")</f>
        <v>null</v>
      </c>
      <c r="V4377" s="33">
        <f>IFERROR(__xludf.DUMMYFUNCTION("""COMPUTED_VALUE"""),0.5)</f>
        <v>0.5</v>
      </c>
      <c r="W4377" s="4" t="str">
        <f>IFERROR(__xludf.DUMMYFUNCTION("""COMPUTED_VALUE"""),"null")</f>
        <v>null</v>
      </c>
      <c r="X4377" s="33">
        <f>IFERROR(__xludf.DUMMYFUNCTION("""COMPUTED_VALUE"""),0.5)</f>
        <v>0.5</v>
      </c>
    </row>
    <row r="4378">
      <c r="K4378" s="4" t="str">
        <f>IFERROR(__xludf.DUMMYFUNCTION("""COMPUTED_VALUE"""),"GALAXIAS BURGER")</f>
        <v>GALAXIAS BURGER</v>
      </c>
      <c r="L4378" s="32">
        <f>IFERROR(__xludf.DUMMYFUNCTION("""COMPUTED_VALUE"""),2.0)</f>
        <v>2</v>
      </c>
      <c r="M4378" s="4" t="str">
        <f>IFERROR(__xludf.DUMMYFUNCTION("""COMPUTED_VALUE"""),"Premio Sistemas Ltda")</f>
        <v>Premio Sistemas Ltda</v>
      </c>
      <c r="N4378" s="33">
        <f>IFERROR(__xludf.DUMMYFUNCTION("""COMPUTED_VALUE"""),0.5)</f>
        <v>0.5</v>
      </c>
      <c r="O4378" s="4" t="str">
        <f>IFERROR(__xludf.DUMMYFUNCTION("""COMPUTED_VALUE"""),"null")</f>
        <v>null</v>
      </c>
      <c r="P4378" s="33">
        <f>IFERROR(__xludf.DUMMYFUNCTION("""COMPUTED_VALUE"""),1.0)</f>
        <v>1</v>
      </c>
      <c r="Q4378" s="4" t="str">
        <f>IFERROR(__xludf.DUMMYFUNCTION("""COMPUTED_VALUE"""),"Premio Sistemas Ltda")</f>
        <v>Premio Sistemas Ltda</v>
      </c>
      <c r="R4378" s="33">
        <f>IFERROR(__xludf.DUMMYFUNCTION("""COMPUTED_VALUE"""),0.5)</f>
        <v>0.5</v>
      </c>
      <c r="S4378" s="4" t="str">
        <f>IFERROR(__xludf.DUMMYFUNCTION("""COMPUTED_VALUE"""),"Premio Sistemas Ltda")</f>
        <v>Premio Sistemas Ltda</v>
      </c>
      <c r="T4378" s="33">
        <f>IFERROR(__xludf.DUMMYFUNCTION("""COMPUTED_VALUE"""),1.0)</f>
        <v>1</v>
      </c>
      <c r="U4378" s="4" t="str">
        <f>IFERROR(__xludf.DUMMYFUNCTION("""COMPUTED_VALUE"""),"null")</f>
        <v>null</v>
      </c>
      <c r="V4378" s="33">
        <f>IFERROR(__xludf.DUMMYFUNCTION("""COMPUTED_VALUE"""),1.0)</f>
        <v>1</v>
      </c>
      <c r="W4378" s="4" t="str">
        <f>IFERROR(__xludf.DUMMYFUNCTION("""COMPUTED_VALUE"""),"Premio Sistemas Ltda")</f>
        <v>Premio Sistemas Ltda</v>
      </c>
      <c r="X4378" s="33">
        <f>IFERROR(__xludf.DUMMYFUNCTION("""COMPUTED_VALUE"""),1.0)</f>
        <v>1</v>
      </c>
    </row>
    <row r="4379">
      <c r="K4379" s="4" t="str">
        <f>IFERROR(__xludf.DUMMYFUNCTION("""COMPUTED_VALUE"""),"BIG LANCHE")</f>
        <v>BIG LANCHE</v>
      </c>
      <c r="L4379" s="32">
        <f>IFERROR(__xludf.DUMMYFUNCTION("""COMPUTED_VALUE"""),2.0)</f>
        <v>2</v>
      </c>
      <c r="M4379" s="4" t="str">
        <f>IFERROR(__xludf.DUMMYFUNCTION("""COMPUTED_VALUE"""),"Olaclick")</f>
        <v>Olaclick</v>
      </c>
      <c r="N4379" s="33">
        <f>IFERROR(__xludf.DUMMYFUNCTION("""COMPUTED_VALUE"""),0.5)</f>
        <v>0.5</v>
      </c>
      <c r="O4379" s="4" t="str">
        <f>IFERROR(__xludf.DUMMYFUNCTION("""COMPUTED_VALUE"""),"Olaclick")</f>
        <v>Olaclick</v>
      </c>
      <c r="P4379" s="33">
        <f>IFERROR(__xludf.DUMMYFUNCTION("""COMPUTED_VALUE"""),0.5)</f>
        <v>0.5</v>
      </c>
      <c r="Q4379" s="4" t="str">
        <f>IFERROR(__xludf.DUMMYFUNCTION("""COMPUTED_VALUE"""),"Olaclick")</f>
        <v>Olaclick</v>
      </c>
      <c r="R4379" s="33">
        <f>IFERROR(__xludf.DUMMYFUNCTION("""COMPUTED_VALUE"""),0.5)</f>
        <v>0.5</v>
      </c>
      <c r="S4379" s="4" t="str">
        <f>IFERROR(__xludf.DUMMYFUNCTION("""COMPUTED_VALUE"""),"Olaclick")</f>
        <v>Olaclick</v>
      </c>
      <c r="T4379" s="33">
        <f>IFERROR(__xludf.DUMMYFUNCTION("""COMPUTED_VALUE"""),0.5)</f>
        <v>0.5</v>
      </c>
      <c r="U4379" s="4" t="str">
        <f>IFERROR(__xludf.DUMMYFUNCTION("""COMPUTED_VALUE"""),"Olaclick")</f>
        <v>Olaclick</v>
      </c>
      <c r="V4379" s="33">
        <f>IFERROR(__xludf.DUMMYFUNCTION("""COMPUTED_VALUE"""),0.5)</f>
        <v>0.5</v>
      </c>
      <c r="W4379" s="4" t="str">
        <f>IFERROR(__xludf.DUMMYFUNCTION("""COMPUTED_VALUE"""),"Olaclick")</f>
        <v>Olaclick</v>
      </c>
      <c r="X4379" s="33">
        <f>IFERROR(__xludf.DUMMYFUNCTION("""COMPUTED_VALUE"""),0.5)</f>
        <v>0.5</v>
      </c>
    </row>
    <row r="4380">
      <c r="K4380" s="4" t="str">
        <f>IFERROR(__xludf.DUMMYFUNCTION("""COMPUTED_VALUE"""),"PIMENTA DE CHEIRO RESTAURANTE")</f>
        <v>PIMENTA DE CHEIRO RESTAURANTE</v>
      </c>
      <c r="L4380" s="32">
        <f>IFERROR(__xludf.DUMMYFUNCTION("""COMPUTED_VALUE"""),2.0)</f>
        <v>2</v>
      </c>
      <c r="M4380" s="4" t="str">
        <f>IFERROR(__xludf.DUMMYFUNCTION("""COMPUTED_VALUE"""),"null")</f>
        <v>null</v>
      </c>
      <c r="N4380" s="33">
        <f>IFERROR(__xludf.DUMMYFUNCTION("""COMPUTED_VALUE"""),0.5)</f>
        <v>0.5</v>
      </c>
      <c r="O4380" s="4" t="str">
        <f>IFERROR(__xludf.DUMMYFUNCTION("""COMPUTED_VALUE"""),"null")</f>
        <v>null</v>
      </c>
      <c r="P4380" s="33">
        <f>IFERROR(__xludf.DUMMYFUNCTION("""COMPUTED_VALUE"""),1.0)</f>
        <v>1</v>
      </c>
      <c r="Q4380" s="4" t="str">
        <f>IFERROR(__xludf.DUMMYFUNCTION("""COMPUTED_VALUE"""),"Saipos Serviços De Software")</f>
        <v>Saipos Serviços De Software</v>
      </c>
      <c r="R4380" s="33">
        <f>IFERROR(__xludf.DUMMYFUNCTION("""COMPUTED_VALUE"""),0.5)</f>
        <v>0.5</v>
      </c>
      <c r="S4380" s="4" t="str">
        <f>IFERROR(__xludf.DUMMYFUNCTION("""COMPUTED_VALUE"""),"Saipos Serviços De Software")</f>
        <v>Saipos Serviços De Software</v>
      </c>
      <c r="T4380" s="33">
        <f>IFERROR(__xludf.DUMMYFUNCTION("""COMPUTED_VALUE"""),0.5)</f>
        <v>0.5</v>
      </c>
      <c r="U4380" s="4" t="str">
        <f>IFERROR(__xludf.DUMMYFUNCTION("""COMPUTED_VALUE"""),"Saipos Serviços De Software")</f>
        <v>Saipos Serviços De Software</v>
      </c>
      <c r="V4380" s="33">
        <f>IFERROR(__xludf.DUMMYFUNCTION("""COMPUTED_VALUE"""),0.5)</f>
        <v>0.5</v>
      </c>
      <c r="W4380" s="4" t="str">
        <f>IFERROR(__xludf.DUMMYFUNCTION("""COMPUTED_VALUE"""),"Saipos Serviços De Software")</f>
        <v>Saipos Serviços De Software</v>
      </c>
      <c r="X4380" s="33">
        <f>IFERROR(__xludf.DUMMYFUNCTION("""COMPUTED_VALUE"""),0.5)</f>
        <v>0.5</v>
      </c>
    </row>
    <row r="4381">
      <c r="K4381" s="4" t="str">
        <f>IFERROR(__xludf.DUMMYFUNCTION("""COMPUTED_VALUE"""),"PIZZA CONE DA CHEFA")</f>
        <v>PIZZA CONE DA CHEFA</v>
      </c>
      <c r="L4381" s="32">
        <f>IFERROR(__xludf.DUMMYFUNCTION("""COMPUTED_VALUE"""),2.0)</f>
        <v>2</v>
      </c>
      <c r="M4381" s="4" t="str">
        <f>IFERROR(__xludf.DUMMYFUNCTION("""COMPUTED_VALUE"""),"Anota Ai Solucoes Digitais S/a")</f>
        <v>Anota Ai Solucoes Digitais S/a</v>
      </c>
      <c r="N4381" s="33">
        <f>IFERROR(__xludf.DUMMYFUNCTION("""COMPUTED_VALUE"""),0.5)</f>
        <v>0.5</v>
      </c>
      <c r="O4381" s="4" t="str">
        <f>IFERROR(__xludf.DUMMYFUNCTION("""COMPUTED_VALUE"""),"Anota Ai Solucoes Digitais S/a")</f>
        <v>Anota Ai Solucoes Digitais S/a</v>
      </c>
      <c r="P4381" s="33">
        <f>IFERROR(__xludf.DUMMYFUNCTION("""COMPUTED_VALUE"""),0.5)</f>
        <v>0.5</v>
      </c>
      <c r="Q4381" s="4" t="str">
        <f>IFERROR(__xludf.DUMMYFUNCTION("""COMPUTED_VALUE"""),"Anota Ai Solucoes Digitais S/a")</f>
        <v>Anota Ai Solucoes Digitais S/a</v>
      </c>
      <c r="R4381" s="33">
        <f>IFERROR(__xludf.DUMMYFUNCTION("""COMPUTED_VALUE"""),0.5)</f>
        <v>0.5</v>
      </c>
      <c r="S4381" s="4" t="str">
        <f>IFERROR(__xludf.DUMMYFUNCTION("""COMPUTED_VALUE"""),"Anota Ai Solucoes Digitais S/a")</f>
        <v>Anota Ai Solucoes Digitais S/a</v>
      </c>
      <c r="T4381" s="33">
        <f>IFERROR(__xludf.DUMMYFUNCTION("""COMPUTED_VALUE"""),0.5)</f>
        <v>0.5</v>
      </c>
      <c r="U4381" s="4" t="str">
        <f>IFERROR(__xludf.DUMMYFUNCTION("""COMPUTED_VALUE"""),"Anota Ai Solucoes Digitais S/a")</f>
        <v>Anota Ai Solucoes Digitais S/a</v>
      </c>
      <c r="V4381" s="33">
        <f>IFERROR(__xludf.DUMMYFUNCTION("""COMPUTED_VALUE"""),1.0)</f>
        <v>1</v>
      </c>
      <c r="W4381" s="4" t="str">
        <f>IFERROR(__xludf.DUMMYFUNCTION("""COMPUTED_VALUE"""),"null")</f>
        <v>null</v>
      </c>
      <c r="X4381" s="33">
        <f>IFERROR(__xludf.DUMMYFUNCTION("""COMPUTED_VALUE"""),0.5)</f>
        <v>0.5</v>
      </c>
    </row>
    <row r="4382">
      <c r="K4382" s="4" t="str">
        <f>IFERROR(__xludf.DUMMYFUNCTION("""COMPUTED_VALUE"""),"JOHNNY BURGER")</f>
        <v>JOHNNY BURGER</v>
      </c>
      <c r="L4382" s="32">
        <f>IFERROR(__xludf.DUMMYFUNCTION("""COMPUTED_VALUE"""),2.0)</f>
        <v>2</v>
      </c>
      <c r="M4382" s="4" t="str">
        <f>IFERROR(__xludf.DUMMYFUNCTION("""COMPUTED_VALUE"""),"Cardápio Web")</f>
        <v>Cardápio Web</v>
      </c>
      <c r="N4382" s="33">
        <f>IFERROR(__xludf.DUMMYFUNCTION("""COMPUTED_VALUE"""),0.5)</f>
        <v>0.5</v>
      </c>
      <c r="O4382" s="4" t="str">
        <f>IFERROR(__xludf.DUMMYFUNCTION("""COMPUTED_VALUE"""),"Cardápio Web")</f>
        <v>Cardápio Web</v>
      </c>
      <c r="P4382" s="33">
        <f>IFERROR(__xludf.DUMMYFUNCTION("""COMPUTED_VALUE"""),0.5)</f>
        <v>0.5</v>
      </c>
      <c r="Q4382" s="4" t="str">
        <f>IFERROR(__xludf.DUMMYFUNCTION("""COMPUTED_VALUE"""),"Cardápio Web")</f>
        <v>Cardápio Web</v>
      </c>
      <c r="R4382" s="33">
        <f>IFERROR(__xludf.DUMMYFUNCTION("""COMPUTED_VALUE"""),0.5)</f>
        <v>0.5</v>
      </c>
      <c r="S4382" s="4" t="str">
        <f>IFERROR(__xludf.DUMMYFUNCTION("""COMPUTED_VALUE"""),"Cardápio Web")</f>
        <v>Cardápio Web</v>
      </c>
      <c r="T4382" s="33">
        <f>IFERROR(__xludf.DUMMYFUNCTION("""COMPUTED_VALUE"""),0.5)</f>
        <v>0.5</v>
      </c>
      <c r="U4382" s="4" t="str">
        <f>IFERROR(__xludf.DUMMYFUNCTION("""COMPUTED_VALUE"""),"Cardápio Web")</f>
        <v>Cardápio Web</v>
      </c>
      <c r="V4382" s="33">
        <f>IFERROR(__xludf.DUMMYFUNCTION("""COMPUTED_VALUE"""),0.5)</f>
        <v>0.5</v>
      </c>
      <c r="W4382" s="4" t="str">
        <f>IFERROR(__xludf.DUMMYFUNCTION("""COMPUTED_VALUE"""),"Cardápio Web")</f>
        <v>Cardápio Web</v>
      </c>
      <c r="X4382" s="33">
        <f>IFERROR(__xludf.DUMMYFUNCTION("""COMPUTED_VALUE"""),0.5)</f>
        <v>0.5</v>
      </c>
    </row>
    <row r="4383">
      <c r="K4383" s="4" t="str">
        <f>IFERROR(__xludf.DUMMYFUNCTION("""COMPUTED_VALUE"""),"ROCHAS PIZZARIA")</f>
        <v>ROCHAS PIZZARIA</v>
      </c>
      <c r="L4383" s="32">
        <f>IFERROR(__xludf.DUMMYFUNCTION("""COMPUTED_VALUE"""),2.0)</f>
        <v>2</v>
      </c>
      <c r="M4383" s="4" t="str">
        <f>IFERROR(__xludf.DUMMYFUNCTION("""COMPUTED_VALUE"""),"Cardápio Web")</f>
        <v>Cardápio Web</v>
      </c>
      <c r="N4383" s="33">
        <f>IFERROR(__xludf.DUMMYFUNCTION("""COMPUTED_VALUE"""),1.0)</f>
        <v>1</v>
      </c>
      <c r="O4383" s="4" t="str">
        <f>IFERROR(__xludf.DUMMYFUNCTION("""COMPUTED_VALUE"""),"Cardápio Web")</f>
        <v>Cardápio Web</v>
      </c>
      <c r="P4383" s="33">
        <f>IFERROR(__xludf.DUMMYFUNCTION("""COMPUTED_VALUE"""),1.0)</f>
        <v>1</v>
      </c>
      <c r="Q4383" s="4" t="str">
        <f>IFERROR(__xludf.DUMMYFUNCTION("""COMPUTED_VALUE"""),"Cardápio Web")</f>
        <v>Cardápio Web</v>
      </c>
      <c r="R4383" s="33">
        <f>IFERROR(__xludf.DUMMYFUNCTION("""COMPUTED_VALUE"""),1.0)</f>
        <v>1</v>
      </c>
      <c r="S4383" s="4" t="str">
        <f>IFERROR(__xludf.DUMMYFUNCTION("""COMPUTED_VALUE"""),"null")</f>
        <v>null</v>
      </c>
      <c r="T4383" s="33">
        <f>IFERROR(__xludf.DUMMYFUNCTION("""COMPUTED_VALUE"""),0.5)</f>
        <v>0.5</v>
      </c>
      <c r="U4383" s="4" t="str">
        <f>IFERROR(__xludf.DUMMYFUNCTION("""COMPUTED_VALUE"""),"null")</f>
        <v>null</v>
      </c>
      <c r="V4383" s="33">
        <f>IFERROR(__xludf.DUMMYFUNCTION("""COMPUTED_VALUE"""),0.5)</f>
        <v>0.5</v>
      </c>
      <c r="W4383" s="4" t="str">
        <f>IFERROR(__xludf.DUMMYFUNCTION("""COMPUTED_VALUE"""),"null")</f>
        <v>null</v>
      </c>
      <c r="X4383" s="33">
        <f>IFERROR(__xludf.DUMMYFUNCTION("""COMPUTED_VALUE"""),0.5)</f>
        <v>0.5</v>
      </c>
    </row>
    <row r="4384">
      <c r="K4384" s="4" t="str">
        <f>IFERROR(__xludf.DUMMYFUNCTION("""COMPUTED_VALUE"""),"LANCHES DA JO")</f>
        <v>LANCHES DA JO</v>
      </c>
      <c r="L4384" s="32">
        <f>IFERROR(__xludf.DUMMYFUNCTION("""COMPUTED_VALUE"""),2.0)</f>
        <v>2</v>
      </c>
      <c r="M4384" s="4" t="str">
        <f>IFERROR(__xludf.DUMMYFUNCTION("""COMPUTED_VALUE"""),"Anota Ai Solucoes Digitais S/a")</f>
        <v>Anota Ai Solucoes Digitais S/a</v>
      </c>
      <c r="N4384" s="33">
        <f>IFERROR(__xludf.DUMMYFUNCTION("""COMPUTED_VALUE"""),0.5)</f>
        <v>0.5</v>
      </c>
      <c r="O4384" s="4" t="str">
        <f>IFERROR(__xludf.DUMMYFUNCTION("""COMPUTED_VALUE"""),"Anota Ai Solucoes Digitais S/a")</f>
        <v>Anota Ai Solucoes Digitais S/a</v>
      </c>
      <c r="P4384" s="33">
        <f>IFERROR(__xludf.DUMMYFUNCTION("""COMPUTED_VALUE"""),0.5)</f>
        <v>0.5</v>
      </c>
      <c r="Q4384" s="4" t="str">
        <f>IFERROR(__xludf.DUMMYFUNCTION("""COMPUTED_VALUE"""),"Anota Ai Solucoes Digitais S/a")</f>
        <v>Anota Ai Solucoes Digitais S/a</v>
      </c>
      <c r="R4384" s="33">
        <f>IFERROR(__xludf.DUMMYFUNCTION("""COMPUTED_VALUE"""),0.5)</f>
        <v>0.5</v>
      </c>
      <c r="S4384" s="4" t="str">
        <f>IFERROR(__xludf.DUMMYFUNCTION("""COMPUTED_VALUE"""),"Anota Ai Solucoes Digitais S/a")</f>
        <v>Anota Ai Solucoes Digitais S/a</v>
      </c>
      <c r="T4384" s="33">
        <f>IFERROR(__xludf.DUMMYFUNCTION("""COMPUTED_VALUE"""),0.5)</f>
        <v>0.5</v>
      </c>
      <c r="U4384" s="4" t="str">
        <f>IFERROR(__xludf.DUMMYFUNCTION("""COMPUTED_VALUE"""),"Anota Ai Solucoes Digitais S/a")</f>
        <v>Anota Ai Solucoes Digitais S/a</v>
      </c>
      <c r="V4384" s="33">
        <f>IFERROR(__xludf.DUMMYFUNCTION("""COMPUTED_VALUE"""),0.5)</f>
        <v>0.5</v>
      </c>
      <c r="W4384" s="4" t="str">
        <f>IFERROR(__xludf.DUMMYFUNCTION("""COMPUTED_VALUE"""),"Anota Ai Solucoes Digitais S/a")</f>
        <v>Anota Ai Solucoes Digitais S/a</v>
      </c>
      <c r="X4384" s="33">
        <f>IFERROR(__xludf.DUMMYFUNCTION("""COMPUTED_VALUE"""),0.5)</f>
        <v>0.5</v>
      </c>
    </row>
    <row r="4385">
      <c r="K4385" s="4" t="str">
        <f>IFERROR(__xludf.DUMMYFUNCTION("""COMPUTED_VALUE"""),"BOM SABOR")</f>
        <v>BOM SABOR</v>
      </c>
      <c r="L4385" s="32">
        <f>IFERROR(__xludf.DUMMYFUNCTION("""COMPUTED_VALUE"""),2.0)</f>
        <v>2</v>
      </c>
      <c r="M4385" s="4" t="str">
        <f>IFERROR(__xludf.DUMMYFUNCTION("""COMPUTED_VALUE"""),"Anota Ai Solucoes Digitais S/a")</f>
        <v>Anota Ai Solucoes Digitais S/a</v>
      </c>
      <c r="N4385" s="33">
        <f>IFERROR(__xludf.DUMMYFUNCTION("""COMPUTED_VALUE"""),0.5)</f>
        <v>0.5</v>
      </c>
      <c r="O4385" s="4" t="str">
        <f>IFERROR(__xludf.DUMMYFUNCTION("""COMPUTED_VALUE"""),"Anota Ai Solucoes Digitais S/a")</f>
        <v>Anota Ai Solucoes Digitais S/a</v>
      </c>
      <c r="P4385" s="33">
        <f>IFERROR(__xludf.DUMMYFUNCTION("""COMPUTED_VALUE"""),1.0)</f>
        <v>1</v>
      </c>
      <c r="Q4385" s="4" t="str">
        <f>IFERROR(__xludf.DUMMYFUNCTION("""COMPUTED_VALUE"""),"null")</f>
        <v>null</v>
      </c>
      <c r="R4385" s="33">
        <f>IFERROR(__xludf.DUMMYFUNCTION("""COMPUTED_VALUE"""),0.5)</f>
        <v>0.5</v>
      </c>
      <c r="S4385" s="4" t="str">
        <f>IFERROR(__xludf.DUMMYFUNCTION("""COMPUTED_VALUE"""),"null")</f>
        <v>null</v>
      </c>
      <c r="T4385" s="33">
        <f>IFERROR(__xludf.DUMMYFUNCTION("""COMPUTED_VALUE"""),0.5)</f>
        <v>0.5</v>
      </c>
      <c r="U4385" s="4" t="str">
        <f>IFERROR(__xludf.DUMMYFUNCTION("""COMPUTED_VALUE"""),"null")</f>
        <v>null</v>
      </c>
      <c r="V4385" s="33">
        <f>IFERROR(__xludf.DUMMYFUNCTION("""COMPUTED_VALUE"""),0.5)</f>
        <v>0.5</v>
      </c>
      <c r="W4385" s="4" t="str">
        <f>IFERROR(__xludf.DUMMYFUNCTION("""COMPUTED_VALUE"""),"null")</f>
        <v>null</v>
      </c>
      <c r="X4385" s="33">
        <f>IFERROR(__xludf.DUMMYFUNCTION("""COMPUTED_VALUE"""),1.0)</f>
        <v>1</v>
      </c>
    </row>
    <row r="4386">
      <c r="K4386" s="4" t="str">
        <f>IFERROR(__xludf.DUMMYFUNCTION("""COMPUTED_VALUE"""),"MORDOMIA PIZZARIA")</f>
        <v>MORDOMIA PIZZARIA</v>
      </c>
      <c r="L4386" s="32">
        <f>IFERROR(__xludf.DUMMYFUNCTION("""COMPUTED_VALUE"""),2.0)</f>
        <v>2</v>
      </c>
      <c r="M4386" s="4" t="str">
        <f>IFERROR(__xludf.DUMMYFUNCTION("""COMPUTED_VALUE"""),"Anota Ai Solucoes Digitais S/a")</f>
        <v>Anota Ai Solucoes Digitais S/a</v>
      </c>
      <c r="N4386" s="33">
        <f>IFERROR(__xludf.DUMMYFUNCTION("""COMPUTED_VALUE"""),0.5)</f>
        <v>0.5</v>
      </c>
      <c r="O4386" s="4" t="str">
        <f>IFERROR(__xludf.DUMMYFUNCTION("""COMPUTED_VALUE"""),"null")</f>
        <v>null</v>
      </c>
      <c r="P4386" s="33">
        <f>IFERROR(__xludf.DUMMYFUNCTION("""COMPUTED_VALUE"""),0.5)</f>
        <v>0.5</v>
      </c>
      <c r="Q4386" s="4" t="str">
        <f>IFERROR(__xludf.DUMMYFUNCTION("""COMPUTED_VALUE"""),"null")</f>
        <v>null</v>
      </c>
      <c r="R4386" s="33">
        <f>IFERROR(__xludf.DUMMYFUNCTION("""COMPUTED_VALUE"""),0.5)</f>
        <v>0.5</v>
      </c>
      <c r="S4386" s="4" t="str">
        <f>IFERROR(__xludf.DUMMYFUNCTION("""COMPUTED_VALUE"""),"Anota Ai Solucoes Digitais S/a")</f>
        <v>Anota Ai Solucoes Digitais S/a</v>
      </c>
      <c r="T4386" s="33">
        <f>IFERROR(__xludf.DUMMYFUNCTION("""COMPUTED_VALUE"""),0.5)</f>
        <v>0.5</v>
      </c>
      <c r="U4386" s="4" t="str">
        <f>IFERROR(__xludf.DUMMYFUNCTION("""COMPUTED_VALUE"""),"Anota Ai Solucoes Digitais S/a")</f>
        <v>Anota Ai Solucoes Digitais S/a</v>
      </c>
      <c r="V4386" s="33">
        <f>IFERROR(__xludf.DUMMYFUNCTION("""COMPUTED_VALUE"""),0.5)</f>
        <v>0.5</v>
      </c>
      <c r="W4386" s="4" t="str">
        <f>IFERROR(__xludf.DUMMYFUNCTION("""COMPUTED_VALUE"""),"Anota Ai Solucoes Digitais S/a")</f>
        <v>Anota Ai Solucoes Digitais S/a</v>
      </c>
      <c r="X4386" s="33">
        <f>IFERROR(__xludf.DUMMYFUNCTION("""COMPUTED_VALUE"""),0.5)</f>
        <v>0.5</v>
      </c>
    </row>
    <row r="4387">
      <c r="K4387" s="4" t="str">
        <f>IFERROR(__xludf.DUMMYFUNCTION("""COMPUTED_VALUE"""),"NEXO PADARIA ARTESANAL")</f>
        <v>NEXO PADARIA ARTESANAL</v>
      </c>
      <c r="L4387" s="32">
        <f>IFERROR(__xludf.DUMMYFUNCTION("""COMPUTED_VALUE"""),2.0)</f>
        <v>2</v>
      </c>
      <c r="M4387" s="4" t="str">
        <f>IFERROR(__xludf.DUMMYFUNCTION("""COMPUTED_VALUE"""),"Sistema Pallas")</f>
        <v>Sistema Pallas</v>
      </c>
      <c r="N4387" s="33">
        <f>IFERROR(__xludf.DUMMYFUNCTION("""COMPUTED_VALUE"""),1.0)</f>
        <v>1</v>
      </c>
      <c r="O4387" s="4" t="str">
        <f>IFERROR(__xludf.DUMMYFUNCTION("""COMPUTED_VALUE"""),"Sistema Pallas")</f>
        <v>Sistema Pallas</v>
      </c>
      <c r="P4387" s="33">
        <f>IFERROR(__xludf.DUMMYFUNCTION("""COMPUTED_VALUE"""),1.0)</f>
        <v>1</v>
      </c>
      <c r="Q4387" s="4" t="str">
        <f>IFERROR(__xludf.DUMMYFUNCTION("""COMPUTED_VALUE"""),"Sistema Pallas")</f>
        <v>Sistema Pallas</v>
      </c>
      <c r="R4387" s="33">
        <f>IFERROR(__xludf.DUMMYFUNCTION("""COMPUTED_VALUE"""),1.0)</f>
        <v>1</v>
      </c>
      <c r="S4387" s="4" t="str">
        <f>IFERROR(__xludf.DUMMYFUNCTION("""COMPUTED_VALUE"""),"Sistema Pallas")</f>
        <v>Sistema Pallas</v>
      </c>
      <c r="T4387" s="33">
        <f>IFERROR(__xludf.DUMMYFUNCTION("""COMPUTED_VALUE"""),1.0)</f>
        <v>1</v>
      </c>
      <c r="U4387" s="4" t="str">
        <f>IFERROR(__xludf.DUMMYFUNCTION("""COMPUTED_VALUE"""),"Sistema Pallas")</f>
        <v>Sistema Pallas</v>
      </c>
      <c r="V4387" s="33">
        <f>IFERROR(__xludf.DUMMYFUNCTION("""COMPUTED_VALUE"""),1.0)</f>
        <v>1</v>
      </c>
      <c r="W4387" s="4" t="str">
        <f>IFERROR(__xludf.DUMMYFUNCTION("""COMPUTED_VALUE"""),"Sistema Pallas")</f>
        <v>Sistema Pallas</v>
      </c>
      <c r="X4387" s="33">
        <f>IFERROR(__xludf.DUMMYFUNCTION("""COMPUTED_VALUE"""),1.0)</f>
        <v>1</v>
      </c>
    </row>
    <row r="4388">
      <c r="K4388" s="4" t="str">
        <f>IFERROR(__xludf.DUMMYFUNCTION("""COMPUTED_VALUE"""),"VAI DE MASSA")</f>
        <v>VAI DE MASSA</v>
      </c>
      <c r="L4388" s="32">
        <f>IFERROR(__xludf.DUMMYFUNCTION("""COMPUTED_VALUE"""),2.0)</f>
        <v>2</v>
      </c>
      <c r="M4388" s="4" t="str">
        <f>IFERROR(__xludf.DUMMYFUNCTION("""COMPUTED_VALUE"""),"Saipos Serviços De Software")</f>
        <v>Saipos Serviços De Software</v>
      </c>
      <c r="N4388" s="33">
        <f>IFERROR(__xludf.DUMMYFUNCTION("""COMPUTED_VALUE"""),0.5)</f>
        <v>0.5</v>
      </c>
      <c r="O4388" s="4" t="str">
        <f>IFERROR(__xludf.DUMMYFUNCTION("""COMPUTED_VALUE"""),"Saipos Serviços De Software")</f>
        <v>Saipos Serviços De Software</v>
      </c>
      <c r="P4388" s="33">
        <f>IFERROR(__xludf.DUMMYFUNCTION("""COMPUTED_VALUE"""),0.5)</f>
        <v>0.5</v>
      </c>
      <c r="Q4388" s="4" t="str">
        <f>IFERROR(__xludf.DUMMYFUNCTION("""COMPUTED_VALUE"""),"Saipos Serviços De Software")</f>
        <v>Saipos Serviços De Software</v>
      </c>
      <c r="R4388" s="33">
        <f>IFERROR(__xludf.DUMMYFUNCTION("""COMPUTED_VALUE"""),0.5)</f>
        <v>0.5</v>
      </c>
      <c r="S4388" s="4" t="str">
        <f>IFERROR(__xludf.DUMMYFUNCTION("""COMPUTED_VALUE"""),"Saipos Serviços De Software")</f>
        <v>Saipos Serviços De Software</v>
      </c>
      <c r="T4388" s="33">
        <f>IFERROR(__xludf.DUMMYFUNCTION("""COMPUTED_VALUE"""),0.5)</f>
        <v>0.5</v>
      </c>
      <c r="U4388" s="4" t="str">
        <f>IFERROR(__xludf.DUMMYFUNCTION("""COMPUTED_VALUE"""),"Saipos Serviços De Software")</f>
        <v>Saipos Serviços De Software</v>
      </c>
      <c r="V4388" s="33">
        <f>IFERROR(__xludf.DUMMYFUNCTION("""COMPUTED_VALUE"""),0.5)</f>
        <v>0.5</v>
      </c>
      <c r="W4388" s="4" t="str">
        <f>IFERROR(__xludf.DUMMYFUNCTION("""COMPUTED_VALUE"""),"Saipos Serviços De Software")</f>
        <v>Saipos Serviços De Software</v>
      </c>
      <c r="X4388" s="33">
        <f>IFERROR(__xludf.DUMMYFUNCTION("""COMPUTED_VALUE"""),0.5)</f>
        <v>0.5</v>
      </c>
    </row>
    <row r="4389">
      <c r="K4389" s="4" t="str">
        <f>IFERROR(__xludf.DUMMYFUNCTION("""COMPUTED_VALUE"""),"FARMACIA FARMAGNUS")</f>
        <v>FARMACIA FARMAGNUS</v>
      </c>
      <c r="L4389" s="32">
        <f>IFERROR(__xludf.DUMMYFUNCTION("""COMPUTED_VALUE"""),2.0)</f>
        <v>2</v>
      </c>
      <c r="M4389" s="4" t="str">
        <f>IFERROR(__xludf.DUMMYFUNCTION("""COMPUTED_VALUE"""),"null")</f>
        <v>null</v>
      </c>
      <c r="N4389" s="33">
        <f>IFERROR(__xludf.DUMMYFUNCTION("""COMPUTED_VALUE"""),1.0)</f>
        <v>1</v>
      </c>
      <c r="O4389" s="4" t="str">
        <f>IFERROR(__xludf.DUMMYFUNCTION("""COMPUTED_VALUE"""),"null")</f>
        <v>null</v>
      </c>
      <c r="P4389" s="33">
        <f>IFERROR(__xludf.DUMMYFUNCTION("""COMPUTED_VALUE"""),1.0)</f>
        <v>1</v>
      </c>
      <c r="Q4389" s="4" t="str">
        <f>IFERROR(__xludf.DUMMYFUNCTION("""COMPUTED_VALUE"""),"null")</f>
        <v>null</v>
      </c>
      <c r="R4389" s="33">
        <f>IFERROR(__xludf.DUMMYFUNCTION("""COMPUTED_VALUE"""),0.5)</f>
        <v>0.5</v>
      </c>
      <c r="S4389" s="4" t="str">
        <f>IFERROR(__xludf.DUMMYFUNCTION("""COMPUTED_VALUE"""),"N/A (Not found)")</f>
        <v>N/A (Not found)</v>
      </c>
      <c r="T4389" s="33">
        <f>IFERROR(__xludf.DUMMYFUNCTION("""COMPUTED_VALUE"""),1.0)</f>
        <v>1</v>
      </c>
      <c r="U4389" s="4" t="str">
        <f>IFERROR(__xludf.DUMMYFUNCTION("""COMPUTED_VALUE"""),"N/A (Not found)")</f>
        <v>N/A (Not found)</v>
      </c>
      <c r="V4389" s="33">
        <f>IFERROR(__xludf.DUMMYFUNCTION("""COMPUTED_VALUE"""),1.0)</f>
        <v>1</v>
      </c>
      <c r="W4389" s="4" t="str">
        <f>IFERROR(__xludf.DUMMYFUNCTION("""COMPUTED_VALUE"""),"N/A (Not found)")</f>
        <v>N/A (Not found)</v>
      </c>
      <c r="X4389" s="33">
        <f>IFERROR(__xludf.DUMMYFUNCTION("""COMPUTED_VALUE"""),1.0)</f>
        <v>1</v>
      </c>
    </row>
    <row r="4390">
      <c r="K4390" s="4" t="str">
        <f>IFERROR(__xludf.DUMMYFUNCTION("""COMPUTED_VALUE"""),"BABY BURGER")</f>
        <v>BABY BURGER</v>
      </c>
      <c r="L4390" s="32">
        <f>IFERROR(__xludf.DUMMYFUNCTION("""COMPUTED_VALUE"""),2.0)</f>
        <v>2</v>
      </c>
      <c r="M4390" s="4" t="str">
        <f>IFERROR(__xludf.DUMMYFUNCTION("""COMPUTED_VALUE"""),"Saipos Serviços De Software")</f>
        <v>Saipos Serviços De Software</v>
      </c>
      <c r="N4390" s="33">
        <f>IFERROR(__xludf.DUMMYFUNCTION("""COMPUTED_VALUE"""),1.0)</f>
        <v>1</v>
      </c>
      <c r="O4390" s="4" t="str">
        <f>IFERROR(__xludf.DUMMYFUNCTION("""COMPUTED_VALUE"""),"Saipos Serviços De Software")</f>
        <v>Saipos Serviços De Software</v>
      </c>
      <c r="P4390" s="33">
        <f>IFERROR(__xludf.DUMMYFUNCTION("""COMPUTED_VALUE"""),1.0)</f>
        <v>1</v>
      </c>
      <c r="Q4390" s="4" t="str">
        <f>IFERROR(__xludf.DUMMYFUNCTION("""COMPUTED_VALUE"""),"Saipos Serviços De Software")</f>
        <v>Saipos Serviços De Software</v>
      </c>
      <c r="R4390" s="33">
        <f>IFERROR(__xludf.DUMMYFUNCTION("""COMPUTED_VALUE"""),1.0)</f>
        <v>1</v>
      </c>
      <c r="S4390" s="4" t="str">
        <f>IFERROR(__xludf.DUMMYFUNCTION("""COMPUTED_VALUE"""),"Saipos Serviços De Software")</f>
        <v>Saipos Serviços De Software</v>
      </c>
      <c r="T4390" s="33">
        <f>IFERROR(__xludf.DUMMYFUNCTION("""COMPUTED_VALUE"""),1.0)</f>
        <v>1</v>
      </c>
      <c r="U4390" s="4" t="str">
        <f>IFERROR(__xludf.DUMMYFUNCTION("""COMPUTED_VALUE"""),"Saipos Serviços De Software")</f>
        <v>Saipos Serviços De Software</v>
      </c>
      <c r="V4390" s="33">
        <f>IFERROR(__xludf.DUMMYFUNCTION("""COMPUTED_VALUE"""),1.0)</f>
        <v>1</v>
      </c>
      <c r="W4390" s="4" t="str">
        <f>IFERROR(__xludf.DUMMYFUNCTION("""COMPUTED_VALUE"""),"Saipos Serviços De Software")</f>
        <v>Saipos Serviços De Software</v>
      </c>
      <c r="X4390" s="33">
        <f>IFERROR(__xludf.DUMMYFUNCTION("""COMPUTED_VALUE"""),1.0)</f>
        <v>1</v>
      </c>
    </row>
    <row r="4391">
      <c r="K4391" s="4" t="str">
        <f>IFERROR(__xludf.DUMMYFUNCTION("""COMPUTED_VALUE"""),"DROGARIA NOVA POPULAR")</f>
        <v>DROGARIA NOVA POPULAR</v>
      </c>
      <c r="L4391" s="32">
        <f>IFERROR(__xludf.DUMMYFUNCTION("""COMPUTED_VALUE"""),2.0)</f>
        <v>2</v>
      </c>
      <c r="M4391" s="4" t="str">
        <f>IFERROR(__xludf.DUMMYFUNCTION("""COMPUTED_VALUE"""),"N/A (Not found)")</f>
        <v>N/A (Not found)</v>
      </c>
      <c r="N4391" s="33">
        <f>IFERROR(__xludf.DUMMYFUNCTION("""COMPUTED_VALUE"""),1.0)</f>
        <v>1</v>
      </c>
      <c r="O4391" s="4" t="str">
        <f>IFERROR(__xludf.DUMMYFUNCTION("""COMPUTED_VALUE"""),"N/A (Not found)")</f>
        <v>N/A (Not found)</v>
      </c>
      <c r="P4391" s="33">
        <f>IFERROR(__xludf.DUMMYFUNCTION("""COMPUTED_VALUE"""),1.0)</f>
        <v>1</v>
      </c>
      <c r="Q4391" s="4" t="str">
        <f>IFERROR(__xludf.DUMMYFUNCTION("""COMPUTED_VALUE"""),"N/A (Not found)")</f>
        <v>N/A (Not found)</v>
      </c>
      <c r="R4391" s="33">
        <f>IFERROR(__xludf.DUMMYFUNCTION("""COMPUTED_VALUE"""),1.0)</f>
        <v>1</v>
      </c>
      <c r="S4391" s="4" t="str">
        <f>IFERROR(__xludf.DUMMYFUNCTION("""COMPUTED_VALUE"""),"null")</f>
        <v>null</v>
      </c>
      <c r="T4391" s="33">
        <f>IFERROR(__xludf.DUMMYFUNCTION("""COMPUTED_VALUE"""),0.5)</f>
        <v>0.5</v>
      </c>
      <c r="U4391" s="4" t="str">
        <f>IFERROR(__xludf.DUMMYFUNCTION("""COMPUTED_VALUE"""),"null")</f>
        <v>null</v>
      </c>
      <c r="V4391" s="33">
        <f>IFERROR(__xludf.DUMMYFUNCTION("""COMPUTED_VALUE"""),0.5)</f>
        <v>0.5</v>
      </c>
      <c r="W4391" s="4" t="str">
        <f>IFERROR(__xludf.DUMMYFUNCTION("""COMPUTED_VALUE"""),"null")</f>
        <v>null</v>
      </c>
      <c r="X4391" s="33">
        <f>IFERROR(__xludf.DUMMYFUNCTION("""COMPUTED_VALUE"""),0.5)</f>
        <v>0.5</v>
      </c>
    </row>
    <row r="4392">
      <c r="K4392" s="4" t="str">
        <f>IFERROR(__xludf.DUMMYFUNCTION("""COMPUTED_VALUE"""),"IMPERIO PIZZA")</f>
        <v>IMPERIO PIZZA</v>
      </c>
      <c r="L4392" s="32">
        <f>IFERROR(__xludf.DUMMYFUNCTION("""COMPUTED_VALUE"""),2.0)</f>
        <v>2</v>
      </c>
      <c r="M4392" s="4" t="str">
        <f>IFERROR(__xludf.DUMMYFUNCTION("""COMPUTED_VALUE"""),"Agilizup Solucoes Ltda")</f>
        <v>Agilizup Solucoes Ltda</v>
      </c>
      <c r="N4392" s="33">
        <f>IFERROR(__xludf.DUMMYFUNCTION("""COMPUTED_VALUE"""),0.5)</f>
        <v>0.5</v>
      </c>
      <c r="O4392" s="4" t="str">
        <f>IFERROR(__xludf.DUMMYFUNCTION("""COMPUTED_VALUE"""),"Agilizup Solucoes Ltda")</f>
        <v>Agilizup Solucoes Ltda</v>
      </c>
      <c r="P4392" s="33">
        <f>IFERROR(__xludf.DUMMYFUNCTION("""COMPUTED_VALUE"""),0.5)</f>
        <v>0.5</v>
      </c>
      <c r="Q4392" s="4" t="str">
        <f>IFERROR(__xludf.DUMMYFUNCTION("""COMPUTED_VALUE"""),"Agilizup Solucoes Ltda")</f>
        <v>Agilizup Solucoes Ltda</v>
      </c>
      <c r="R4392" s="33">
        <f>IFERROR(__xludf.DUMMYFUNCTION("""COMPUTED_VALUE"""),0.5)</f>
        <v>0.5</v>
      </c>
      <c r="S4392" s="4" t="str">
        <f>IFERROR(__xludf.DUMMYFUNCTION("""COMPUTED_VALUE"""),"Agilizup Solucoes Ltda")</f>
        <v>Agilizup Solucoes Ltda</v>
      </c>
      <c r="T4392" s="33">
        <f>IFERROR(__xludf.DUMMYFUNCTION("""COMPUTED_VALUE"""),0.5)</f>
        <v>0.5</v>
      </c>
      <c r="U4392" s="4" t="str">
        <f>IFERROR(__xludf.DUMMYFUNCTION("""COMPUTED_VALUE"""),"Agilizup Solucoes Ltda")</f>
        <v>Agilizup Solucoes Ltda</v>
      </c>
      <c r="V4392" s="33">
        <f>IFERROR(__xludf.DUMMYFUNCTION("""COMPUTED_VALUE"""),0.5)</f>
        <v>0.5</v>
      </c>
      <c r="W4392" s="4" t="str">
        <f>IFERROR(__xludf.DUMMYFUNCTION("""COMPUTED_VALUE"""),"null")</f>
        <v>null</v>
      </c>
      <c r="X4392" s="33">
        <f>IFERROR(__xludf.DUMMYFUNCTION("""COMPUTED_VALUE"""),0.5)</f>
        <v>0.5</v>
      </c>
    </row>
    <row r="4393">
      <c r="K4393" s="4" t="str">
        <f>IFERROR(__xludf.DUMMYFUNCTION("""COMPUTED_VALUE"""),"VELOCE PIZZA MOSELA")</f>
        <v>VELOCE PIZZA MOSELA</v>
      </c>
      <c r="L4393" s="32">
        <f>IFERROR(__xludf.DUMMYFUNCTION("""COMPUTED_VALUE"""),2.0)</f>
        <v>2</v>
      </c>
      <c r="M4393" s="4" t="str">
        <f>IFERROR(__xludf.DUMMYFUNCTION("""COMPUTED_VALUE"""),"Saipos Serviços De Software")</f>
        <v>Saipos Serviços De Software</v>
      </c>
      <c r="N4393" s="33">
        <f>IFERROR(__xludf.DUMMYFUNCTION("""COMPUTED_VALUE"""),1.0)</f>
        <v>1</v>
      </c>
      <c r="O4393" s="4" t="str">
        <f>IFERROR(__xludf.DUMMYFUNCTION("""COMPUTED_VALUE"""),"Saipos Serviços De Software")</f>
        <v>Saipos Serviços De Software</v>
      </c>
      <c r="P4393" s="33">
        <f>IFERROR(__xludf.DUMMYFUNCTION("""COMPUTED_VALUE"""),0.5)</f>
        <v>0.5</v>
      </c>
      <c r="Q4393" s="4" t="str">
        <f>IFERROR(__xludf.DUMMYFUNCTION("""COMPUTED_VALUE"""),"Saipos Serviços De Software")</f>
        <v>Saipos Serviços De Software</v>
      </c>
      <c r="R4393" s="33">
        <f>IFERROR(__xludf.DUMMYFUNCTION("""COMPUTED_VALUE"""),1.0)</f>
        <v>1</v>
      </c>
      <c r="S4393" s="4" t="str">
        <f>IFERROR(__xludf.DUMMYFUNCTION("""COMPUTED_VALUE"""),"Saipos Serviços De Software")</f>
        <v>Saipos Serviços De Software</v>
      </c>
      <c r="T4393" s="33">
        <f>IFERROR(__xludf.DUMMYFUNCTION("""COMPUTED_VALUE"""),0.5)</f>
        <v>0.5</v>
      </c>
      <c r="U4393" s="4" t="str">
        <f>IFERROR(__xludf.DUMMYFUNCTION("""COMPUTED_VALUE"""),"Saipos Serviços De Software")</f>
        <v>Saipos Serviços De Software</v>
      </c>
      <c r="V4393" s="33">
        <f>IFERROR(__xludf.DUMMYFUNCTION("""COMPUTED_VALUE"""),1.0)</f>
        <v>1</v>
      </c>
      <c r="W4393" s="4" t="str">
        <f>IFERROR(__xludf.DUMMYFUNCTION("""COMPUTED_VALUE"""),"Saipos Serviços De Software")</f>
        <v>Saipos Serviços De Software</v>
      </c>
      <c r="X4393" s="33">
        <f>IFERROR(__xludf.DUMMYFUNCTION("""COMPUTED_VALUE"""),1.0)</f>
        <v>1</v>
      </c>
    </row>
    <row r="4394">
      <c r="K4394" s="4" t="str">
        <f>IFERROR(__xludf.DUMMYFUNCTION("""COMPUTED_VALUE"""),"PANZOLLI PIZZA")</f>
        <v>PANZOLLI PIZZA</v>
      </c>
      <c r="L4394" s="32">
        <f>IFERROR(__xludf.DUMMYFUNCTION("""COMPUTED_VALUE"""),2.0)</f>
        <v>2</v>
      </c>
      <c r="M4394" s="4" t="str">
        <f>IFERROR(__xludf.DUMMYFUNCTION("""COMPUTED_VALUE"""),"null")</f>
        <v>null</v>
      </c>
      <c r="N4394" s="33">
        <f>IFERROR(__xludf.DUMMYFUNCTION("""COMPUTED_VALUE"""),0.5)</f>
        <v>0.5</v>
      </c>
      <c r="O4394" s="4" t="str">
        <f>IFERROR(__xludf.DUMMYFUNCTION("""COMPUTED_VALUE"""),"Saipos Serviços De Software")</f>
        <v>Saipos Serviços De Software</v>
      </c>
      <c r="P4394" s="33">
        <f>IFERROR(__xludf.DUMMYFUNCTION("""COMPUTED_VALUE"""),1.0)</f>
        <v>1</v>
      </c>
      <c r="Q4394" s="4" t="str">
        <f>IFERROR(__xludf.DUMMYFUNCTION("""COMPUTED_VALUE"""),"null")</f>
        <v>null</v>
      </c>
      <c r="R4394" s="33">
        <f>IFERROR(__xludf.DUMMYFUNCTION("""COMPUTED_VALUE"""),0.5)</f>
        <v>0.5</v>
      </c>
      <c r="S4394" s="4" t="str">
        <f>IFERROR(__xludf.DUMMYFUNCTION("""COMPUTED_VALUE"""),"null")</f>
        <v>null</v>
      </c>
      <c r="T4394" s="33">
        <f>IFERROR(__xludf.DUMMYFUNCTION("""COMPUTED_VALUE"""),0.5)</f>
        <v>0.5</v>
      </c>
      <c r="U4394" s="4" t="str">
        <f>IFERROR(__xludf.DUMMYFUNCTION("""COMPUTED_VALUE"""),"null")</f>
        <v>null</v>
      </c>
      <c r="V4394" s="33">
        <f>IFERROR(__xludf.DUMMYFUNCTION("""COMPUTED_VALUE"""),0.5)</f>
        <v>0.5</v>
      </c>
      <c r="W4394" s="4" t="str">
        <f>IFERROR(__xludf.DUMMYFUNCTION("""COMPUTED_VALUE"""),"null")</f>
        <v>null</v>
      </c>
      <c r="X4394" s="33">
        <f>IFERROR(__xludf.DUMMYFUNCTION("""COMPUTED_VALUE"""),0.5)</f>
        <v>0.5</v>
      </c>
    </row>
    <row r="4395">
      <c r="K4395" s="4" t="str">
        <f>IFERROR(__xludf.DUMMYFUNCTION("""COMPUTED_VALUE"""),"BRASEIRO HAMBURGUERIA")</f>
        <v>BRASEIRO HAMBURGUERIA</v>
      </c>
      <c r="L4395" s="32">
        <f>IFERROR(__xludf.DUMMYFUNCTION("""COMPUTED_VALUE"""),2.0)</f>
        <v>2</v>
      </c>
      <c r="M4395" s="4" t="str">
        <f>IFERROR(__xludf.DUMMYFUNCTION("""COMPUTED_VALUE"""),"Beefood - Sistema Para Restaurantes")</f>
        <v>Beefood - Sistema Para Restaurantes</v>
      </c>
      <c r="N4395" s="33">
        <f>IFERROR(__xludf.DUMMYFUNCTION("""COMPUTED_VALUE"""),0.5)</f>
        <v>0.5</v>
      </c>
      <c r="O4395" s="4" t="str">
        <f>IFERROR(__xludf.DUMMYFUNCTION("""COMPUTED_VALUE"""),"Beefood - Sistema Para Restaurantes")</f>
        <v>Beefood - Sistema Para Restaurantes</v>
      </c>
      <c r="P4395" s="33">
        <f>IFERROR(__xludf.DUMMYFUNCTION("""COMPUTED_VALUE"""),0.5)</f>
        <v>0.5</v>
      </c>
      <c r="Q4395" s="4" t="str">
        <f>IFERROR(__xludf.DUMMYFUNCTION("""COMPUTED_VALUE"""),"Beefood - Sistema Para Restaurantes")</f>
        <v>Beefood - Sistema Para Restaurantes</v>
      </c>
      <c r="R4395" s="33">
        <f>IFERROR(__xludf.DUMMYFUNCTION("""COMPUTED_VALUE"""),0.5)</f>
        <v>0.5</v>
      </c>
      <c r="S4395" s="4" t="str">
        <f>IFERROR(__xludf.DUMMYFUNCTION("""COMPUTED_VALUE"""),"Beefood - Sistema Para Restaurantes")</f>
        <v>Beefood - Sistema Para Restaurantes</v>
      </c>
      <c r="T4395" s="33">
        <f>IFERROR(__xludf.DUMMYFUNCTION("""COMPUTED_VALUE"""),0.5)</f>
        <v>0.5</v>
      </c>
      <c r="U4395" s="4" t="str">
        <f>IFERROR(__xludf.DUMMYFUNCTION("""COMPUTED_VALUE"""),"Beefood - Sistema Para Restaurantes")</f>
        <v>Beefood - Sistema Para Restaurantes</v>
      </c>
      <c r="V4395" s="33">
        <f>IFERROR(__xludf.DUMMYFUNCTION("""COMPUTED_VALUE"""),0.5)</f>
        <v>0.5</v>
      </c>
      <c r="W4395" s="4" t="str">
        <f>IFERROR(__xludf.DUMMYFUNCTION("""COMPUTED_VALUE"""),"Beefood - Sistema Para Restaurantes")</f>
        <v>Beefood - Sistema Para Restaurantes</v>
      </c>
      <c r="X4395" s="33">
        <f>IFERROR(__xludf.DUMMYFUNCTION("""COMPUTED_VALUE"""),0.5)</f>
        <v>0.5</v>
      </c>
    </row>
    <row r="4396">
      <c r="K4396" s="4" t="str">
        <f>IFERROR(__xludf.DUMMYFUNCTION("""COMPUTED_VALUE"""),"HOUSE BEER")</f>
        <v>HOUSE BEER</v>
      </c>
      <c r="L4396" s="32">
        <f>IFERROR(__xludf.DUMMYFUNCTION("""COMPUTED_VALUE"""),2.0)</f>
        <v>2</v>
      </c>
      <c r="M4396" s="4" t="str">
        <f>IFERROR(__xludf.DUMMYFUNCTION("""COMPUTED_VALUE"""),"N/A (Not found)")</f>
        <v>N/A (Not found)</v>
      </c>
      <c r="N4396" s="33">
        <f>IFERROR(__xludf.DUMMYFUNCTION("""COMPUTED_VALUE"""),0.5)</f>
        <v>0.5</v>
      </c>
      <c r="O4396" s="4" t="str">
        <f>IFERROR(__xludf.DUMMYFUNCTION("""COMPUTED_VALUE"""),"N/A (Not found)")</f>
        <v>N/A (Not found)</v>
      </c>
      <c r="P4396" s="33">
        <f>IFERROR(__xludf.DUMMYFUNCTION("""COMPUTED_VALUE"""),0.5)</f>
        <v>0.5</v>
      </c>
      <c r="Q4396" s="4" t="str">
        <f>IFERROR(__xludf.DUMMYFUNCTION("""COMPUTED_VALUE"""),"N/A (Not found)")</f>
        <v>N/A (Not found)</v>
      </c>
      <c r="R4396" s="33">
        <f>IFERROR(__xludf.DUMMYFUNCTION("""COMPUTED_VALUE"""),0.5)</f>
        <v>0.5</v>
      </c>
      <c r="S4396" s="4" t="str">
        <f>IFERROR(__xludf.DUMMYFUNCTION("""COMPUTED_VALUE"""),"N/A (Not found)")</f>
        <v>N/A (Not found)</v>
      </c>
      <c r="T4396" s="33">
        <f>IFERROR(__xludf.DUMMYFUNCTION("""COMPUTED_VALUE"""),0.5)</f>
        <v>0.5</v>
      </c>
      <c r="U4396" s="4" t="str">
        <f>IFERROR(__xludf.DUMMYFUNCTION("""COMPUTED_VALUE"""),"N/A (Not found)")</f>
        <v>N/A (Not found)</v>
      </c>
      <c r="V4396" s="33">
        <f>IFERROR(__xludf.DUMMYFUNCTION("""COMPUTED_VALUE"""),0.5)</f>
        <v>0.5</v>
      </c>
      <c r="W4396" s="4" t="str">
        <f>IFERROR(__xludf.DUMMYFUNCTION("""COMPUTED_VALUE"""),"N/A (Not found)")</f>
        <v>N/A (Not found)</v>
      </c>
      <c r="X4396" s="33">
        <f>IFERROR(__xludf.DUMMYFUNCTION("""COMPUTED_VALUE"""),0.5)</f>
        <v>0.5</v>
      </c>
    </row>
    <row r="4397">
      <c r="K4397" s="4" t="str">
        <f>IFERROR(__xludf.DUMMYFUNCTION("""COMPUTED_VALUE"""),"AMOR PRESENTE - CESTAS DE CAFE DA MANHA FLORES NATURAIS")</f>
        <v>AMOR PRESENTE - CESTAS DE CAFE DA MANHA FLORES NATURAIS</v>
      </c>
      <c r="L4397" s="32">
        <f>IFERROR(__xludf.DUMMYFUNCTION("""COMPUTED_VALUE"""),2.0)</f>
        <v>2</v>
      </c>
      <c r="M4397" s="4" t="str">
        <f>IFERROR(__xludf.DUMMYFUNCTION("""COMPUTED_VALUE"""),"null")</f>
        <v>null</v>
      </c>
      <c r="N4397" s="33">
        <f>IFERROR(__xludf.DUMMYFUNCTION("""COMPUTED_VALUE"""),1.0)</f>
        <v>1</v>
      </c>
      <c r="O4397" s="4" t="str">
        <f>IFERROR(__xludf.DUMMYFUNCTION("""COMPUTED_VALUE"""),"Cardápio Web")</f>
        <v>Cardápio Web</v>
      </c>
      <c r="P4397" s="33">
        <f>IFERROR(__xludf.DUMMYFUNCTION("""COMPUTED_VALUE"""),1.0)</f>
        <v>1</v>
      </c>
      <c r="Q4397" s="4" t="str">
        <f>IFERROR(__xludf.DUMMYFUNCTION("""COMPUTED_VALUE"""),"Cardápio Web")</f>
        <v>Cardápio Web</v>
      </c>
      <c r="R4397" s="33">
        <f>IFERROR(__xludf.DUMMYFUNCTION("""COMPUTED_VALUE"""),1.0)</f>
        <v>1</v>
      </c>
      <c r="S4397" s="4" t="str">
        <f>IFERROR(__xludf.DUMMYFUNCTION("""COMPUTED_VALUE"""),"Cardápio Web")</f>
        <v>Cardápio Web</v>
      </c>
      <c r="T4397" s="33">
        <f>IFERROR(__xludf.DUMMYFUNCTION("""COMPUTED_VALUE"""),1.0)</f>
        <v>1</v>
      </c>
      <c r="U4397" s="4" t="str">
        <f>IFERROR(__xludf.DUMMYFUNCTION("""COMPUTED_VALUE"""),"Cardápio Web")</f>
        <v>Cardápio Web</v>
      </c>
      <c r="V4397" s="33">
        <f>IFERROR(__xludf.DUMMYFUNCTION("""COMPUTED_VALUE"""),1.0)</f>
        <v>1</v>
      </c>
      <c r="W4397" s="4" t="str">
        <f>IFERROR(__xludf.DUMMYFUNCTION("""COMPUTED_VALUE"""),"Cardápio Web")</f>
        <v>Cardápio Web</v>
      </c>
      <c r="X4397" s="33">
        <f>IFERROR(__xludf.DUMMYFUNCTION("""COMPUTED_VALUE"""),1.0)</f>
        <v>1</v>
      </c>
    </row>
    <row r="4398">
      <c r="K4398" s="4" t="str">
        <f>IFERROR(__xludf.DUMMYFUNCTION("""COMPUTED_VALUE"""),"OISHII SUSHI")</f>
        <v>OISHII SUSHI</v>
      </c>
      <c r="L4398" s="32">
        <f>IFERROR(__xludf.DUMMYFUNCTION("""COMPUTED_VALUE"""),2.0)</f>
        <v>2</v>
      </c>
      <c r="M4398" s="4" t="str">
        <f>IFERROR(__xludf.DUMMYFUNCTION("""COMPUTED_VALUE"""),"null")</f>
        <v>null</v>
      </c>
      <c r="N4398" s="33">
        <f>IFERROR(__xludf.DUMMYFUNCTION("""COMPUTED_VALUE"""),0.5)</f>
        <v>0.5</v>
      </c>
      <c r="O4398" s="4" t="str">
        <f>IFERROR(__xludf.DUMMYFUNCTION("""COMPUTED_VALUE"""),"null")</f>
        <v>null</v>
      </c>
      <c r="P4398" s="33">
        <f>IFERROR(__xludf.DUMMYFUNCTION("""COMPUTED_VALUE"""),0.5)</f>
        <v>0.5</v>
      </c>
      <c r="Q4398" s="4" t="str">
        <f>IFERROR(__xludf.DUMMYFUNCTION("""COMPUTED_VALUE"""),"null")</f>
        <v>null</v>
      </c>
      <c r="R4398" s="33">
        <f>IFERROR(__xludf.DUMMYFUNCTION("""COMPUTED_VALUE"""),0.5)</f>
        <v>0.5</v>
      </c>
      <c r="S4398" s="4" t="str">
        <f>IFERROR(__xludf.DUMMYFUNCTION("""COMPUTED_VALUE"""),"null")</f>
        <v>null</v>
      </c>
      <c r="T4398" s="33">
        <f>IFERROR(__xludf.DUMMYFUNCTION("""COMPUTED_VALUE"""),0.5)</f>
        <v>0.5</v>
      </c>
      <c r="U4398" s="4" t="str">
        <f>IFERROR(__xludf.DUMMYFUNCTION("""COMPUTED_VALUE"""),"Consumer Soluções Em Tecnologia Ltda")</f>
        <v>Consumer Soluções Em Tecnologia Ltda</v>
      </c>
      <c r="V4398" s="33">
        <f>IFERROR(__xludf.DUMMYFUNCTION("""COMPUTED_VALUE"""),0.5)</f>
        <v>0.5</v>
      </c>
      <c r="W4398" s="4" t="str">
        <f>IFERROR(__xludf.DUMMYFUNCTION("""COMPUTED_VALUE"""),"Consumer Soluções Em Tecnologia Ltda")</f>
        <v>Consumer Soluções Em Tecnologia Ltda</v>
      </c>
      <c r="X4398" s="33">
        <f>IFERROR(__xludf.DUMMYFUNCTION("""COMPUTED_VALUE"""),1.0)</f>
        <v>1</v>
      </c>
    </row>
    <row r="4399">
      <c r="K4399" s="4" t="str">
        <f>IFERROR(__xludf.DUMMYFUNCTION("""COMPUTED_VALUE"""),"QUINTAL ESPETARIA")</f>
        <v>QUINTAL ESPETARIA</v>
      </c>
      <c r="L4399" s="32">
        <f>IFERROR(__xludf.DUMMYFUNCTION("""COMPUTED_VALUE"""),2.0)</f>
        <v>2</v>
      </c>
      <c r="M4399" s="4" t="str">
        <f>IFERROR(__xludf.DUMMYFUNCTION("""COMPUTED_VALUE"""),"Sti3 Soluções Em Ti")</f>
        <v>Sti3 Soluções Em Ti</v>
      </c>
      <c r="N4399" s="33">
        <f>IFERROR(__xludf.DUMMYFUNCTION("""COMPUTED_VALUE"""),0.5)</f>
        <v>0.5</v>
      </c>
      <c r="O4399" s="4" t="str">
        <f>IFERROR(__xludf.DUMMYFUNCTION("""COMPUTED_VALUE"""),"Sti3 Soluções Em Ti")</f>
        <v>Sti3 Soluções Em Ti</v>
      </c>
      <c r="P4399" s="33">
        <f>IFERROR(__xludf.DUMMYFUNCTION("""COMPUTED_VALUE"""),0.5)</f>
        <v>0.5</v>
      </c>
      <c r="Q4399" s="4" t="str">
        <f>IFERROR(__xludf.DUMMYFUNCTION("""COMPUTED_VALUE"""),"Sti3 Soluções Em Ti")</f>
        <v>Sti3 Soluções Em Ti</v>
      </c>
      <c r="R4399" s="33">
        <f>IFERROR(__xludf.DUMMYFUNCTION("""COMPUTED_VALUE"""),0.5)</f>
        <v>0.5</v>
      </c>
      <c r="S4399" s="4" t="str">
        <f>IFERROR(__xludf.DUMMYFUNCTION("""COMPUTED_VALUE"""),"Sti3 Soluções Em Ti")</f>
        <v>Sti3 Soluções Em Ti</v>
      </c>
      <c r="T4399" s="33">
        <f>IFERROR(__xludf.DUMMYFUNCTION("""COMPUTED_VALUE"""),0.5)</f>
        <v>0.5</v>
      </c>
      <c r="U4399" s="4" t="str">
        <f>IFERROR(__xludf.DUMMYFUNCTION("""COMPUTED_VALUE"""),"Sti3 Soluções Em Ti")</f>
        <v>Sti3 Soluções Em Ti</v>
      </c>
      <c r="V4399" s="33">
        <f>IFERROR(__xludf.DUMMYFUNCTION("""COMPUTED_VALUE"""),0.5)</f>
        <v>0.5</v>
      </c>
      <c r="W4399" s="4" t="str">
        <f>IFERROR(__xludf.DUMMYFUNCTION("""COMPUTED_VALUE"""),"Sti3 Soluções Em Ti")</f>
        <v>Sti3 Soluções Em Ti</v>
      </c>
      <c r="X4399" s="33">
        <f>IFERROR(__xludf.DUMMYFUNCTION("""COMPUTED_VALUE"""),0.5)</f>
        <v>0.5</v>
      </c>
    </row>
    <row r="4400">
      <c r="K4400" s="4" t="str">
        <f>IFERROR(__xludf.DUMMYFUNCTION("""COMPUTED_VALUE"""),"MASSA NO POTE")</f>
        <v>MASSA NO POTE</v>
      </c>
      <c r="L4400" s="32">
        <f>IFERROR(__xludf.DUMMYFUNCTION("""COMPUTED_VALUE"""),2.0)</f>
        <v>2</v>
      </c>
      <c r="M4400" s="4" t="str">
        <f>IFERROR(__xludf.DUMMYFUNCTION("""COMPUTED_VALUE"""),"Consumer Soluções Em Tecnologia Ltda")</f>
        <v>Consumer Soluções Em Tecnologia Ltda</v>
      </c>
      <c r="N4400" s="33">
        <f>IFERROR(__xludf.DUMMYFUNCTION("""COMPUTED_VALUE"""),0.5)</f>
        <v>0.5</v>
      </c>
      <c r="O4400" s="4" t="str">
        <f>IFERROR(__xludf.DUMMYFUNCTION("""COMPUTED_VALUE"""),"Consumer Soluções Em Tecnologia Ltda")</f>
        <v>Consumer Soluções Em Tecnologia Ltda</v>
      </c>
      <c r="P4400" s="33">
        <f>IFERROR(__xludf.DUMMYFUNCTION("""COMPUTED_VALUE"""),0.5)</f>
        <v>0.5</v>
      </c>
      <c r="Q4400" s="4" t="str">
        <f>IFERROR(__xludf.DUMMYFUNCTION("""COMPUTED_VALUE"""),"Consumer Soluções Em Tecnologia Ltda")</f>
        <v>Consumer Soluções Em Tecnologia Ltda</v>
      </c>
      <c r="R4400" s="33">
        <f>IFERROR(__xludf.DUMMYFUNCTION("""COMPUTED_VALUE"""),0.5)</f>
        <v>0.5</v>
      </c>
      <c r="S4400" s="4" t="str">
        <f>IFERROR(__xludf.DUMMYFUNCTION("""COMPUTED_VALUE"""),"Consumer Soluções Em Tecnologia Ltda")</f>
        <v>Consumer Soluções Em Tecnologia Ltda</v>
      </c>
      <c r="T4400" s="33">
        <f>IFERROR(__xludf.DUMMYFUNCTION("""COMPUTED_VALUE"""),0.5)</f>
        <v>0.5</v>
      </c>
      <c r="U4400" s="4" t="str">
        <f>IFERROR(__xludf.DUMMYFUNCTION("""COMPUTED_VALUE"""),"Consumer Soluções Em Tecnologia Ltda")</f>
        <v>Consumer Soluções Em Tecnologia Ltda</v>
      </c>
      <c r="V4400" s="33">
        <f>IFERROR(__xludf.DUMMYFUNCTION("""COMPUTED_VALUE"""),0.5)</f>
        <v>0.5</v>
      </c>
      <c r="W4400" s="4" t="str">
        <f>IFERROR(__xludf.DUMMYFUNCTION("""COMPUTED_VALUE"""),"Consumer Soluções Em Tecnologia Ltda")</f>
        <v>Consumer Soluções Em Tecnologia Ltda</v>
      </c>
      <c r="X4400" s="33">
        <f>IFERROR(__xludf.DUMMYFUNCTION("""COMPUTED_VALUE"""),0.5)</f>
        <v>0.5</v>
      </c>
    </row>
    <row r="4401">
      <c r="K4401" s="4" t="str">
        <f>IFERROR(__xludf.DUMMYFUNCTION("""COMPUTED_VALUE"""),"VINI BURGER")</f>
        <v>VINI BURGER</v>
      </c>
      <c r="L4401" s="32">
        <f>IFERROR(__xludf.DUMMYFUNCTION("""COMPUTED_VALUE"""),2.0)</f>
        <v>2</v>
      </c>
      <c r="M4401" s="4" t="str">
        <f>IFERROR(__xludf.DUMMYFUNCTION("""COMPUTED_VALUE"""),"Mp Multipedidos")</f>
        <v>Mp Multipedidos</v>
      </c>
      <c r="N4401" s="33">
        <f>IFERROR(__xludf.DUMMYFUNCTION("""COMPUTED_VALUE"""),0.5)</f>
        <v>0.5</v>
      </c>
      <c r="O4401" s="4" t="str">
        <f>IFERROR(__xludf.DUMMYFUNCTION("""COMPUTED_VALUE"""),"Mp Multipedidos")</f>
        <v>Mp Multipedidos</v>
      </c>
      <c r="P4401" s="33">
        <f>IFERROR(__xludf.DUMMYFUNCTION("""COMPUTED_VALUE"""),0.5)</f>
        <v>0.5</v>
      </c>
      <c r="Q4401" s="4" t="str">
        <f>IFERROR(__xludf.DUMMYFUNCTION("""COMPUTED_VALUE"""),"Mp Multipedidos")</f>
        <v>Mp Multipedidos</v>
      </c>
      <c r="R4401" s="33">
        <f>IFERROR(__xludf.DUMMYFUNCTION("""COMPUTED_VALUE"""),0.5)</f>
        <v>0.5</v>
      </c>
      <c r="S4401" s="4" t="str">
        <f>IFERROR(__xludf.DUMMYFUNCTION("""COMPUTED_VALUE"""),"Mp Multipedidos")</f>
        <v>Mp Multipedidos</v>
      </c>
      <c r="T4401" s="33">
        <f>IFERROR(__xludf.DUMMYFUNCTION("""COMPUTED_VALUE"""),0.5)</f>
        <v>0.5</v>
      </c>
      <c r="U4401" s="4" t="str">
        <f>IFERROR(__xludf.DUMMYFUNCTION("""COMPUTED_VALUE"""),"Mp Multipedidos")</f>
        <v>Mp Multipedidos</v>
      </c>
      <c r="V4401" s="33">
        <f>IFERROR(__xludf.DUMMYFUNCTION("""COMPUTED_VALUE"""),0.5)</f>
        <v>0.5</v>
      </c>
      <c r="W4401" s="4" t="str">
        <f>IFERROR(__xludf.DUMMYFUNCTION("""COMPUTED_VALUE"""),"Mp Multipedidos")</f>
        <v>Mp Multipedidos</v>
      </c>
      <c r="X4401" s="33">
        <f>IFERROR(__xludf.DUMMYFUNCTION("""COMPUTED_VALUE"""),0.5)</f>
        <v>0.5</v>
      </c>
    </row>
    <row r="4402">
      <c r="K4402" s="4" t="str">
        <f>IFERROR(__xludf.DUMMYFUNCTION("""COMPUTED_VALUE"""),"FABRICA MONSTROVERSO")</f>
        <v>FABRICA MONSTROVERSO</v>
      </c>
      <c r="L4402" s="32">
        <f>IFERROR(__xludf.DUMMYFUNCTION("""COMPUTED_VALUE"""),2.0)</f>
        <v>2</v>
      </c>
      <c r="M4402" s="4" t="str">
        <f>IFERROR(__xludf.DUMMYFUNCTION("""COMPUTED_VALUE"""),"Cardápio Web")</f>
        <v>Cardápio Web</v>
      </c>
      <c r="N4402" s="33">
        <f>IFERROR(__xludf.DUMMYFUNCTION("""COMPUTED_VALUE"""),1.0)</f>
        <v>1</v>
      </c>
      <c r="O4402" s="4" t="str">
        <f>IFERROR(__xludf.DUMMYFUNCTION("""COMPUTED_VALUE"""),"Cardápio Web")</f>
        <v>Cardápio Web</v>
      </c>
      <c r="P4402" s="33">
        <f>IFERROR(__xludf.DUMMYFUNCTION("""COMPUTED_VALUE"""),1.0)</f>
        <v>1</v>
      </c>
      <c r="Q4402" s="4" t="str">
        <f>IFERROR(__xludf.DUMMYFUNCTION("""COMPUTED_VALUE"""),"Cardápio Web")</f>
        <v>Cardápio Web</v>
      </c>
      <c r="R4402" s="33">
        <f>IFERROR(__xludf.DUMMYFUNCTION("""COMPUTED_VALUE"""),1.0)</f>
        <v>1</v>
      </c>
      <c r="S4402" s="4" t="str">
        <f>IFERROR(__xludf.DUMMYFUNCTION("""COMPUTED_VALUE"""),"Cardápio Web")</f>
        <v>Cardápio Web</v>
      </c>
      <c r="T4402" s="33">
        <f>IFERROR(__xludf.DUMMYFUNCTION("""COMPUTED_VALUE"""),1.0)</f>
        <v>1</v>
      </c>
      <c r="U4402" s="4" t="str">
        <f>IFERROR(__xludf.DUMMYFUNCTION("""COMPUTED_VALUE"""),"Cardápio Web")</f>
        <v>Cardápio Web</v>
      </c>
      <c r="V4402" s="33">
        <f>IFERROR(__xludf.DUMMYFUNCTION("""COMPUTED_VALUE"""),1.0)</f>
        <v>1</v>
      </c>
      <c r="W4402" s="4" t="str">
        <f>IFERROR(__xludf.DUMMYFUNCTION("""COMPUTED_VALUE"""),"Cardápio Web")</f>
        <v>Cardápio Web</v>
      </c>
      <c r="X4402" s="33">
        <f>IFERROR(__xludf.DUMMYFUNCTION("""COMPUTED_VALUE"""),1.0)</f>
        <v>1</v>
      </c>
    </row>
    <row r="4403">
      <c r="K4403" s="4" t="str">
        <f>IFERROR(__xludf.DUMMYFUNCTION("""COMPUTED_VALUE"""),"QDOCE")</f>
        <v>QDOCE</v>
      </c>
      <c r="L4403" s="32">
        <f>IFERROR(__xludf.DUMMYFUNCTION("""COMPUTED_VALUE"""),2.0)</f>
        <v>2</v>
      </c>
      <c r="M4403" s="4" t="str">
        <f>IFERROR(__xludf.DUMMYFUNCTION("""COMPUTED_VALUE"""),"null")</f>
        <v>null</v>
      </c>
      <c r="N4403" s="33">
        <f>IFERROR(__xludf.DUMMYFUNCTION("""COMPUTED_VALUE"""),0.5)</f>
        <v>0.5</v>
      </c>
      <c r="O4403" s="4" t="str">
        <f>IFERROR(__xludf.DUMMYFUNCTION("""COMPUTED_VALUE"""),"null")</f>
        <v>null</v>
      </c>
      <c r="P4403" s="33">
        <f>IFERROR(__xludf.DUMMYFUNCTION("""COMPUTED_VALUE"""),0.5)</f>
        <v>0.5</v>
      </c>
      <c r="Q4403" s="4" t="str">
        <f>IFERROR(__xludf.DUMMYFUNCTION("""COMPUTED_VALUE"""),"null")</f>
        <v>null</v>
      </c>
      <c r="R4403" s="33">
        <f>IFERROR(__xludf.DUMMYFUNCTION("""COMPUTED_VALUE"""),0.5)</f>
        <v>0.5</v>
      </c>
      <c r="S4403" s="4" t="str">
        <f>IFERROR(__xludf.DUMMYFUNCTION("""COMPUTED_VALUE"""),"null")</f>
        <v>null</v>
      </c>
      <c r="T4403" s="33">
        <f>IFERROR(__xludf.DUMMYFUNCTION("""COMPUTED_VALUE"""),0.5)</f>
        <v>0.5</v>
      </c>
      <c r="U4403" s="4" t="str">
        <f>IFERROR(__xludf.DUMMYFUNCTION("""COMPUTED_VALUE"""),"null")</f>
        <v>null</v>
      </c>
      <c r="V4403" s="33">
        <f>IFERROR(__xludf.DUMMYFUNCTION("""COMPUTED_VALUE"""),0.5)</f>
        <v>0.5</v>
      </c>
      <c r="W4403" s="4" t="str">
        <f>IFERROR(__xludf.DUMMYFUNCTION("""COMPUTED_VALUE"""),"Instadelivery")</f>
        <v>Instadelivery</v>
      </c>
      <c r="X4403" s="33">
        <f>IFERROR(__xludf.DUMMYFUNCTION("""COMPUTED_VALUE"""),0.5)</f>
        <v>0.5</v>
      </c>
    </row>
    <row r="4404">
      <c r="K4404" s="4" t="str">
        <f>IFERROR(__xludf.DUMMYFUNCTION("""COMPUTED_VALUE"""),"DELICIAS NA BRASA")</f>
        <v>DELICIAS NA BRASA</v>
      </c>
      <c r="L4404" s="32">
        <f>IFERROR(__xludf.DUMMYFUNCTION("""COMPUTED_VALUE"""),2.0)</f>
        <v>2</v>
      </c>
      <c r="M4404" s="4" t="str">
        <f>IFERROR(__xludf.DUMMYFUNCTION("""COMPUTED_VALUE"""),"null")</f>
        <v>null</v>
      </c>
      <c r="N4404" s="33">
        <f>IFERROR(__xludf.DUMMYFUNCTION("""COMPUTED_VALUE"""),0.5)</f>
        <v>0.5</v>
      </c>
      <c r="O4404" s="4" t="str">
        <f>IFERROR(__xludf.DUMMYFUNCTION("""COMPUTED_VALUE"""),"null")</f>
        <v>null</v>
      </c>
      <c r="P4404" s="33">
        <f>IFERROR(__xludf.DUMMYFUNCTION("""COMPUTED_VALUE"""),1.0)</f>
        <v>1</v>
      </c>
      <c r="Q4404" s="4" t="str">
        <f>IFERROR(__xludf.DUMMYFUNCTION("""COMPUTED_VALUE"""),"null")</f>
        <v>null</v>
      </c>
      <c r="R4404" s="33">
        <f>IFERROR(__xludf.DUMMYFUNCTION("""COMPUTED_VALUE"""),0.5)</f>
        <v>0.5</v>
      </c>
      <c r="S4404" s="4" t="str">
        <f>IFERROR(__xludf.DUMMYFUNCTION("""COMPUTED_VALUE"""),"Anota Ai Solucoes Digitais S/a")</f>
        <v>Anota Ai Solucoes Digitais S/a</v>
      </c>
      <c r="T4404" s="33">
        <f>IFERROR(__xludf.DUMMYFUNCTION("""COMPUTED_VALUE"""),0.5)</f>
        <v>0.5</v>
      </c>
      <c r="U4404" s="4" t="str">
        <f>IFERROR(__xludf.DUMMYFUNCTION("""COMPUTED_VALUE"""),"null")</f>
        <v>null</v>
      </c>
      <c r="V4404" s="33">
        <f>IFERROR(__xludf.DUMMYFUNCTION("""COMPUTED_VALUE"""),1.0)</f>
        <v>1</v>
      </c>
      <c r="W4404" s="4" t="str">
        <f>IFERROR(__xludf.DUMMYFUNCTION("""COMPUTED_VALUE"""),"null")</f>
        <v>null</v>
      </c>
      <c r="X4404" s="33">
        <f>IFERROR(__xludf.DUMMYFUNCTION("""COMPUTED_VALUE"""),1.0)</f>
        <v>1</v>
      </c>
    </row>
    <row r="4405">
      <c r="K4405" s="4" t="str">
        <f>IFERROR(__xludf.DUMMYFUNCTION("""COMPUTED_VALUE"""),"FARMACIA BELA VIDA")</f>
        <v>FARMACIA BELA VIDA</v>
      </c>
      <c r="L4405" s="32">
        <f>IFERROR(__xludf.DUMMYFUNCTION("""COMPUTED_VALUE"""),2.0)</f>
        <v>2</v>
      </c>
      <c r="M4405" s="4" t="str">
        <f>IFERROR(__xludf.DUMMYFUNCTION("""COMPUTED_VALUE"""),"N/A (Not found)")</f>
        <v>N/A (Not found)</v>
      </c>
      <c r="N4405" s="33">
        <f>IFERROR(__xludf.DUMMYFUNCTION("""COMPUTED_VALUE"""),0.5)</f>
        <v>0.5</v>
      </c>
      <c r="O4405" s="4" t="str">
        <f>IFERROR(__xludf.DUMMYFUNCTION("""COMPUTED_VALUE"""),"N/A (Not found)")</f>
        <v>N/A (Not found)</v>
      </c>
      <c r="P4405" s="33">
        <f>IFERROR(__xludf.DUMMYFUNCTION("""COMPUTED_VALUE"""),1.0)</f>
        <v>1</v>
      </c>
      <c r="Q4405" s="4" t="str">
        <f>IFERROR(__xludf.DUMMYFUNCTION("""COMPUTED_VALUE"""),"N/A (Not found)")</f>
        <v>N/A (Not found)</v>
      </c>
      <c r="R4405" s="33">
        <f>IFERROR(__xludf.DUMMYFUNCTION("""COMPUTED_VALUE"""),1.0)</f>
        <v>1</v>
      </c>
      <c r="S4405" s="4" t="str">
        <f>IFERROR(__xludf.DUMMYFUNCTION("""COMPUTED_VALUE"""),"N/A (Not found)")</f>
        <v>N/A (Not found)</v>
      </c>
      <c r="T4405" s="33">
        <f>IFERROR(__xludf.DUMMYFUNCTION("""COMPUTED_VALUE"""),1.0)</f>
        <v>1</v>
      </c>
      <c r="U4405" s="4" t="str">
        <f>IFERROR(__xludf.DUMMYFUNCTION("""COMPUTED_VALUE"""),"N/A (Not found)")</f>
        <v>N/A (Not found)</v>
      </c>
      <c r="V4405" s="33">
        <f>IFERROR(__xludf.DUMMYFUNCTION("""COMPUTED_VALUE"""),1.0)</f>
        <v>1</v>
      </c>
      <c r="W4405" s="4" t="str">
        <f>IFERROR(__xludf.DUMMYFUNCTION("""COMPUTED_VALUE"""),"N/A (Not found)")</f>
        <v>N/A (Not found)</v>
      </c>
      <c r="X4405" s="33">
        <f>IFERROR(__xludf.DUMMYFUNCTION("""COMPUTED_VALUE"""),1.0)</f>
        <v>1</v>
      </c>
    </row>
    <row r="4406">
      <c r="K4406" s="4" t="str">
        <f>IFERROR(__xludf.DUMMYFUNCTION("""COMPUTED_VALUE"""),"MR ACAI")</f>
        <v>MR ACAI</v>
      </c>
      <c r="L4406" s="32">
        <f>IFERROR(__xludf.DUMMYFUNCTION("""COMPUTED_VALUE"""),2.0)</f>
        <v>2</v>
      </c>
      <c r="M4406" s="4" t="str">
        <f>IFERROR(__xludf.DUMMYFUNCTION("""COMPUTED_VALUE"""),"Instadelivery")</f>
        <v>Instadelivery</v>
      </c>
      <c r="N4406" s="33">
        <f>IFERROR(__xludf.DUMMYFUNCTION("""COMPUTED_VALUE"""),0.5)</f>
        <v>0.5</v>
      </c>
      <c r="O4406" s="4" t="str">
        <f>IFERROR(__xludf.DUMMYFUNCTION("""COMPUTED_VALUE"""),"null")</f>
        <v>null</v>
      </c>
      <c r="P4406" s="33">
        <f>IFERROR(__xludf.DUMMYFUNCTION("""COMPUTED_VALUE"""),0.5)</f>
        <v>0.5</v>
      </c>
      <c r="Q4406" s="4" t="str">
        <f>IFERROR(__xludf.DUMMYFUNCTION("""COMPUTED_VALUE"""),"Instadelivery")</f>
        <v>Instadelivery</v>
      </c>
      <c r="R4406" s="33">
        <f>IFERROR(__xludf.DUMMYFUNCTION("""COMPUTED_VALUE"""),0.5)</f>
        <v>0.5</v>
      </c>
      <c r="S4406" s="4" t="str">
        <f>IFERROR(__xludf.DUMMYFUNCTION("""COMPUTED_VALUE"""),"Instadelivery")</f>
        <v>Instadelivery</v>
      </c>
      <c r="T4406" s="33">
        <f>IFERROR(__xludf.DUMMYFUNCTION("""COMPUTED_VALUE"""),0.5)</f>
        <v>0.5</v>
      </c>
      <c r="U4406" s="4" t="str">
        <f>IFERROR(__xludf.DUMMYFUNCTION("""COMPUTED_VALUE"""),"Instadelivery")</f>
        <v>Instadelivery</v>
      </c>
      <c r="V4406" s="33">
        <f>IFERROR(__xludf.DUMMYFUNCTION("""COMPUTED_VALUE"""),0.5)</f>
        <v>0.5</v>
      </c>
      <c r="W4406" s="4" t="str">
        <f>IFERROR(__xludf.DUMMYFUNCTION("""COMPUTED_VALUE"""),"Instadelivery")</f>
        <v>Instadelivery</v>
      </c>
      <c r="X4406" s="33">
        <f>IFERROR(__xludf.DUMMYFUNCTION("""COMPUTED_VALUE"""),0.5)</f>
        <v>0.5</v>
      </c>
    </row>
    <row r="4407">
      <c r="K4407" s="4" t="str">
        <f>IFERROR(__xludf.DUMMYFUNCTION("""COMPUTED_VALUE"""),"VILLAS PIZZA BURGUER")</f>
        <v>VILLAS PIZZA BURGUER</v>
      </c>
      <c r="L4407" s="32">
        <f>IFERROR(__xludf.DUMMYFUNCTION("""COMPUTED_VALUE"""),2.0)</f>
        <v>2</v>
      </c>
      <c r="M4407" s="4" t="str">
        <f>IFERROR(__xludf.DUMMYFUNCTION("""COMPUTED_VALUE"""),"null")</f>
        <v>null</v>
      </c>
      <c r="N4407" s="33">
        <f>IFERROR(__xludf.DUMMYFUNCTION("""COMPUTED_VALUE"""),0.5)</f>
        <v>0.5</v>
      </c>
      <c r="O4407" s="4" t="str">
        <f>IFERROR(__xludf.DUMMYFUNCTION("""COMPUTED_VALUE"""),"null")</f>
        <v>null</v>
      </c>
      <c r="P4407" s="33">
        <f>IFERROR(__xludf.DUMMYFUNCTION("""COMPUTED_VALUE"""),0.5)</f>
        <v>0.5</v>
      </c>
      <c r="Q4407" s="4" t="str">
        <f>IFERROR(__xludf.DUMMYFUNCTION("""COMPUTED_VALUE"""),"null")</f>
        <v>null</v>
      </c>
      <c r="R4407" s="33">
        <f>IFERROR(__xludf.DUMMYFUNCTION("""COMPUTED_VALUE"""),0.5)</f>
        <v>0.5</v>
      </c>
      <c r="S4407" s="4" t="str">
        <f>IFERROR(__xludf.DUMMYFUNCTION("""COMPUTED_VALUE"""),"null")</f>
        <v>null</v>
      </c>
      <c r="T4407" s="33">
        <f>IFERROR(__xludf.DUMMYFUNCTION("""COMPUTED_VALUE"""),0.5)</f>
        <v>0.5</v>
      </c>
      <c r="U4407" s="4" t="str">
        <f>IFERROR(__xludf.DUMMYFUNCTION("""COMPUTED_VALUE"""),"Cardápio Web")</f>
        <v>Cardápio Web</v>
      </c>
      <c r="V4407" s="33">
        <f>IFERROR(__xludf.DUMMYFUNCTION("""COMPUTED_VALUE"""),0.5)</f>
        <v>0.5</v>
      </c>
      <c r="W4407" s="4" t="str">
        <f>IFERROR(__xludf.DUMMYFUNCTION("""COMPUTED_VALUE"""),"Cardápio Web")</f>
        <v>Cardápio Web</v>
      </c>
      <c r="X4407" s="33">
        <f>IFERROR(__xludf.DUMMYFUNCTION("""COMPUTED_VALUE"""),0.5)</f>
        <v>0.5</v>
      </c>
    </row>
    <row r="4408">
      <c r="K4408" s="4" t="str">
        <f>IFERROR(__xludf.DUMMYFUNCTION("""COMPUTED_VALUE"""),"SEVEN PIZZA CLUB")</f>
        <v>SEVEN PIZZA CLUB</v>
      </c>
      <c r="L4408" s="32">
        <f>IFERROR(__xludf.DUMMYFUNCTION("""COMPUTED_VALUE"""),2.0)</f>
        <v>2</v>
      </c>
      <c r="M4408" s="4" t="str">
        <f>IFERROR(__xludf.DUMMYFUNCTION("""COMPUTED_VALUE"""),"Expresso Delivery")</f>
        <v>Expresso Delivery</v>
      </c>
      <c r="N4408" s="33">
        <f>IFERROR(__xludf.DUMMYFUNCTION("""COMPUTED_VALUE"""),0.5)</f>
        <v>0.5</v>
      </c>
      <c r="O4408" s="4" t="str">
        <f>IFERROR(__xludf.DUMMYFUNCTION("""COMPUTED_VALUE"""),"Expresso Delivery")</f>
        <v>Expresso Delivery</v>
      </c>
      <c r="P4408" s="33">
        <f>IFERROR(__xludf.DUMMYFUNCTION("""COMPUTED_VALUE"""),0.5)</f>
        <v>0.5</v>
      </c>
      <c r="Q4408" s="4" t="str">
        <f>IFERROR(__xludf.DUMMYFUNCTION("""COMPUTED_VALUE"""),"Expresso Delivery")</f>
        <v>Expresso Delivery</v>
      </c>
      <c r="R4408" s="33">
        <f>IFERROR(__xludf.DUMMYFUNCTION("""COMPUTED_VALUE"""),0.5)</f>
        <v>0.5</v>
      </c>
      <c r="S4408" s="4" t="str">
        <f>IFERROR(__xludf.DUMMYFUNCTION("""COMPUTED_VALUE"""),"Expresso Delivery")</f>
        <v>Expresso Delivery</v>
      </c>
      <c r="T4408" s="33">
        <f>IFERROR(__xludf.DUMMYFUNCTION("""COMPUTED_VALUE"""),0.5)</f>
        <v>0.5</v>
      </c>
      <c r="U4408" s="4" t="str">
        <f>IFERROR(__xludf.DUMMYFUNCTION("""COMPUTED_VALUE"""),"null")</f>
        <v>null</v>
      </c>
      <c r="V4408" s="33">
        <f>IFERROR(__xludf.DUMMYFUNCTION("""COMPUTED_VALUE"""),1.0)</f>
        <v>1</v>
      </c>
      <c r="W4408" s="4" t="str">
        <f>IFERROR(__xludf.DUMMYFUNCTION("""COMPUTED_VALUE"""),"Expresso Delivery")</f>
        <v>Expresso Delivery</v>
      </c>
      <c r="X4408" s="33">
        <f>IFERROR(__xludf.DUMMYFUNCTION("""COMPUTED_VALUE"""),0.5)</f>
        <v>0.5</v>
      </c>
    </row>
    <row r="4409">
      <c r="K4409" s="4" t="str">
        <f>IFERROR(__xludf.DUMMYFUNCTION("""COMPUTED_VALUE"""),"PARADA BURGUER")</f>
        <v>PARADA BURGUER</v>
      </c>
      <c r="L4409" s="32">
        <f>IFERROR(__xludf.DUMMYFUNCTION("""COMPUTED_VALUE"""),2.0)</f>
        <v>2</v>
      </c>
      <c r="M4409" s="4" t="str">
        <f>IFERROR(__xludf.DUMMYFUNCTION("""COMPUTED_VALUE"""),"null")</f>
        <v>null</v>
      </c>
      <c r="N4409" s="33">
        <f>IFERROR(__xludf.DUMMYFUNCTION("""COMPUTED_VALUE"""),1.0)</f>
        <v>1</v>
      </c>
      <c r="O4409" s="4" t="str">
        <f>IFERROR(__xludf.DUMMYFUNCTION("""COMPUTED_VALUE"""),"null")</f>
        <v>null</v>
      </c>
      <c r="P4409" s="33">
        <f>IFERROR(__xludf.DUMMYFUNCTION("""COMPUTED_VALUE"""),1.0)</f>
        <v>1</v>
      </c>
      <c r="Q4409" s="4" t="str">
        <f>IFERROR(__xludf.DUMMYFUNCTION("""COMPUTED_VALUE"""),"null")</f>
        <v>null</v>
      </c>
      <c r="R4409" s="33">
        <f>IFERROR(__xludf.DUMMYFUNCTION("""COMPUTED_VALUE"""),1.0)</f>
        <v>1</v>
      </c>
      <c r="S4409" s="4" t="str">
        <f>IFERROR(__xludf.DUMMYFUNCTION("""COMPUTED_VALUE"""),"null")</f>
        <v>null</v>
      </c>
      <c r="T4409" s="33">
        <f>IFERROR(__xludf.DUMMYFUNCTION("""COMPUTED_VALUE"""),0.5)</f>
        <v>0.5</v>
      </c>
      <c r="U4409" s="4" t="str">
        <f>IFERROR(__xludf.DUMMYFUNCTION("""COMPUTED_VALUE"""),"Beefood - Sistema Para Restaurantes")</f>
        <v>Beefood - Sistema Para Restaurantes</v>
      </c>
      <c r="V4409" s="33">
        <f>IFERROR(__xludf.DUMMYFUNCTION("""COMPUTED_VALUE"""),0.5)</f>
        <v>0.5</v>
      </c>
      <c r="W4409" s="4" t="str">
        <f>IFERROR(__xludf.DUMMYFUNCTION("""COMPUTED_VALUE"""),"Beefood - Sistema Para Restaurantes")</f>
        <v>Beefood - Sistema Para Restaurantes</v>
      </c>
      <c r="X4409" s="33">
        <f>IFERROR(__xludf.DUMMYFUNCTION("""COMPUTED_VALUE"""),0.5)</f>
        <v>0.5</v>
      </c>
    </row>
    <row r="4410">
      <c r="K4410" s="4" t="str">
        <f>IFERROR(__xludf.DUMMYFUNCTION("""COMPUTED_VALUE"""),"RESTAURANTE SOL NASCENTE")</f>
        <v>RESTAURANTE SOL NASCENTE</v>
      </c>
      <c r="L4410" s="32">
        <f>IFERROR(__xludf.DUMMYFUNCTION("""COMPUTED_VALUE"""),2.0)</f>
        <v>2</v>
      </c>
      <c r="M4410" s="4" t="str">
        <f>IFERROR(__xludf.DUMMYFUNCTION("""COMPUTED_VALUE"""),"Saipos Serviços De Software")</f>
        <v>Saipos Serviços De Software</v>
      </c>
      <c r="N4410" s="33">
        <f>IFERROR(__xludf.DUMMYFUNCTION("""COMPUTED_VALUE"""),0.5)</f>
        <v>0.5</v>
      </c>
      <c r="O4410" s="4" t="str">
        <f>IFERROR(__xludf.DUMMYFUNCTION("""COMPUTED_VALUE"""),"null")</f>
        <v>null</v>
      </c>
      <c r="P4410" s="33">
        <f>IFERROR(__xludf.DUMMYFUNCTION("""COMPUTED_VALUE"""),1.0)</f>
        <v>1</v>
      </c>
      <c r="Q4410" s="4" t="str">
        <f>IFERROR(__xludf.DUMMYFUNCTION("""COMPUTED_VALUE"""),"null")</f>
        <v>null</v>
      </c>
      <c r="R4410" s="33">
        <f>IFERROR(__xludf.DUMMYFUNCTION("""COMPUTED_VALUE"""),1.0)</f>
        <v>1</v>
      </c>
      <c r="S4410" s="4" t="str">
        <f>IFERROR(__xludf.DUMMYFUNCTION("""COMPUTED_VALUE"""),"null")</f>
        <v>null</v>
      </c>
      <c r="T4410" s="33">
        <f>IFERROR(__xludf.DUMMYFUNCTION("""COMPUTED_VALUE"""),0.5)</f>
        <v>0.5</v>
      </c>
      <c r="U4410" s="4" t="str">
        <f>IFERROR(__xludf.DUMMYFUNCTION("""COMPUTED_VALUE"""),"null")</f>
        <v>null</v>
      </c>
      <c r="V4410" s="33">
        <f>IFERROR(__xludf.DUMMYFUNCTION("""COMPUTED_VALUE"""),0.5)</f>
        <v>0.5</v>
      </c>
      <c r="W4410" s="4" t="str">
        <f>IFERROR(__xludf.DUMMYFUNCTION("""COMPUTED_VALUE"""),"null")</f>
        <v>null</v>
      </c>
      <c r="X4410" s="33">
        <f>IFERROR(__xludf.DUMMYFUNCTION("""COMPUTED_VALUE"""),0.5)</f>
        <v>0.5</v>
      </c>
    </row>
    <row r="4411">
      <c r="K4411" s="4" t="str">
        <f>IFERROR(__xludf.DUMMYFUNCTION("""COMPUTED_VALUE"""),"BARBOSA BURGUER")</f>
        <v>BARBOSA BURGUER</v>
      </c>
      <c r="L4411" s="32">
        <f>IFERROR(__xludf.DUMMYFUNCTION("""COMPUTED_VALUE"""),2.0)</f>
        <v>2</v>
      </c>
      <c r="M4411" s="4" t="str">
        <f>IFERROR(__xludf.DUMMYFUNCTION("""COMPUTED_VALUE"""),"Saipos Serviços De Software")</f>
        <v>Saipos Serviços De Software</v>
      </c>
      <c r="N4411" s="33">
        <f>IFERROR(__xludf.DUMMYFUNCTION("""COMPUTED_VALUE"""),0.5)</f>
        <v>0.5</v>
      </c>
      <c r="O4411" s="4" t="str">
        <f>IFERROR(__xludf.DUMMYFUNCTION("""COMPUTED_VALUE"""),"Saipos Serviços De Software")</f>
        <v>Saipos Serviços De Software</v>
      </c>
      <c r="P4411" s="33">
        <f>IFERROR(__xludf.DUMMYFUNCTION("""COMPUTED_VALUE"""),0.5)</f>
        <v>0.5</v>
      </c>
      <c r="Q4411" s="4" t="str">
        <f>IFERROR(__xludf.DUMMYFUNCTION("""COMPUTED_VALUE"""),"Saipos Serviços De Software")</f>
        <v>Saipos Serviços De Software</v>
      </c>
      <c r="R4411" s="33">
        <f>IFERROR(__xludf.DUMMYFUNCTION("""COMPUTED_VALUE"""),0.5)</f>
        <v>0.5</v>
      </c>
      <c r="S4411" s="4" t="str">
        <f>IFERROR(__xludf.DUMMYFUNCTION("""COMPUTED_VALUE"""),"Saipos Serviços De Software")</f>
        <v>Saipos Serviços De Software</v>
      </c>
      <c r="T4411" s="33">
        <f>IFERROR(__xludf.DUMMYFUNCTION("""COMPUTED_VALUE"""),0.5)</f>
        <v>0.5</v>
      </c>
      <c r="U4411" s="4" t="str">
        <f>IFERROR(__xludf.DUMMYFUNCTION("""COMPUTED_VALUE"""),"Saipos Serviços De Software")</f>
        <v>Saipos Serviços De Software</v>
      </c>
      <c r="V4411" s="33">
        <f>IFERROR(__xludf.DUMMYFUNCTION("""COMPUTED_VALUE"""),0.5)</f>
        <v>0.5</v>
      </c>
      <c r="W4411" s="4" t="str">
        <f>IFERROR(__xludf.DUMMYFUNCTION("""COMPUTED_VALUE"""),"Saipos Serviços De Software")</f>
        <v>Saipos Serviços De Software</v>
      </c>
      <c r="X4411" s="33">
        <f>IFERROR(__xludf.DUMMYFUNCTION("""COMPUTED_VALUE"""),1.0)</f>
        <v>1</v>
      </c>
    </row>
    <row r="4412">
      <c r="K4412" s="4" t="str">
        <f>IFERROR(__xludf.DUMMYFUNCTION("""COMPUTED_VALUE"""),"PIMA KCAU")</f>
        <v>PIMA KCAU</v>
      </c>
      <c r="L4412" s="32">
        <f>IFERROR(__xludf.DUMMYFUNCTION("""COMPUTED_VALUE"""),2.0)</f>
        <v>2</v>
      </c>
      <c r="M4412" s="4" t="str">
        <f>IFERROR(__xludf.DUMMYFUNCTION("""COMPUTED_VALUE"""),"Yooga")</f>
        <v>Yooga</v>
      </c>
      <c r="N4412" s="33">
        <f>IFERROR(__xludf.DUMMYFUNCTION("""COMPUTED_VALUE"""),1.0)</f>
        <v>1</v>
      </c>
      <c r="O4412" s="4" t="str">
        <f>IFERROR(__xludf.DUMMYFUNCTION("""COMPUTED_VALUE"""),"Yooga")</f>
        <v>Yooga</v>
      </c>
      <c r="P4412" s="33">
        <f>IFERROR(__xludf.DUMMYFUNCTION("""COMPUTED_VALUE"""),1.0)</f>
        <v>1</v>
      </c>
      <c r="Q4412" s="4" t="str">
        <f>IFERROR(__xludf.DUMMYFUNCTION("""COMPUTED_VALUE"""),"null")</f>
        <v>null</v>
      </c>
      <c r="R4412" s="33">
        <f>IFERROR(__xludf.DUMMYFUNCTION("""COMPUTED_VALUE"""),1.0)</f>
        <v>1</v>
      </c>
      <c r="S4412" s="4" t="str">
        <f>IFERROR(__xludf.DUMMYFUNCTION("""COMPUTED_VALUE"""),"null")</f>
        <v>null</v>
      </c>
      <c r="T4412" s="33">
        <f>IFERROR(__xludf.DUMMYFUNCTION("""COMPUTED_VALUE"""),1.0)</f>
        <v>1</v>
      </c>
      <c r="U4412" s="4" t="str">
        <f>IFERROR(__xludf.DUMMYFUNCTION("""COMPUTED_VALUE"""),"Yooga")</f>
        <v>Yooga</v>
      </c>
      <c r="V4412" s="33">
        <f>IFERROR(__xludf.DUMMYFUNCTION("""COMPUTED_VALUE"""),1.0)</f>
        <v>1</v>
      </c>
      <c r="W4412" s="4" t="str">
        <f>IFERROR(__xludf.DUMMYFUNCTION("""COMPUTED_VALUE"""),"Yooga")</f>
        <v>Yooga</v>
      </c>
      <c r="X4412" s="33">
        <f>IFERROR(__xludf.DUMMYFUNCTION("""COMPUTED_VALUE"""),1.0)</f>
        <v>1</v>
      </c>
    </row>
    <row r="4413">
      <c r="K4413" s="4" t="str">
        <f>IFERROR(__xludf.DUMMYFUNCTION("""COMPUTED_VALUE"""),"DIVINOS BURGUER")</f>
        <v>DIVINOS BURGUER</v>
      </c>
      <c r="L4413" s="32">
        <f>IFERROR(__xludf.DUMMYFUNCTION("""COMPUTED_VALUE"""),2.0)</f>
        <v>2</v>
      </c>
      <c r="M4413" s="4" t="str">
        <f>IFERROR(__xludf.DUMMYFUNCTION("""COMPUTED_VALUE"""),"Instadelivery")</f>
        <v>Instadelivery</v>
      </c>
      <c r="N4413" s="33">
        <f>IFERROR(__xludf.DUMMYFUNCTION("""COMPUTED_VALUE"""),0.5)</f>
        <v>0.5</v>
      </c>
      <c r="O4413" s="4" t="str">
        <f>IFERROR(__xludf.DUMMYFUNCTION("""COMPUTED_VALUE"""),"null")</f>
        <v>null</v>
      </c>
      <c r="P4413" s="33">
        <f>IFERROR(__xludf.DUMMYFUNCTION("""COMPUTED_VALUE"""),0.5)</f>
        <v>0.5</v>
      </c>
      <c r="Q4413" s="4" t="str">
        <f>IFERROR(__xludf.DUMMYFUNCTION("""COMPUTED_VALUE"""),"null")</f>
        <v>null</v>
      </c>
      <c r="R4413" s="33">
        <f>IFERROR(__xludf.DUMMYFUNCTION("""COMPUTED_VALUE"""),0.5)</f>
        <v>0.5</v>
      </c>
      <c r="S4413" s="4" t="str">
        <f>IFERROR(__xludf.DUMMYFUNCTION("""COMPUTED_VALUE"""),"null")</f>
        <v>null</v>
      </c>
      <c r="T4413" s="33">
        <f>IFERROR(__xludf.DUMMYFUNCTION("""COMPUTED_VALUE"""),0.5)</f>
        <v>0.5</v>
      </c>
      <c r="U4413" s="4" t="str">
        <f>IFERROR(__xludf.DUMMYFUNCTION("""COMPUTED_VALUE"""),"null")</f>
        <v>null</v>
      </c>
      <c r="V4413" s="33">
        <f>IFERROR(__xludf.DUMMYFUNCTION("""COMPUTED_VALUE"""),0.5)</f>
        <v>0.5</v>
      </c>
      <c r="W4413" s="4" t="str">
        <f>IFERROR(__xludf.DUMMYFUNCTION("""COMPUTED_VALUE"""),"null")</f>
        <v>null</v>
      </c>
      <c r="X4413" s="33">
        <f>IFERROR(__xludf.DUMMYFUNCTION("""COMPUTED_VALUE"""),0.5)</f>
        <v>0.5</v>
      </c>
    </row>
    <row r="4414">
      <c r="K4414" s="4" t="str">
        <f>IFERROR(__xludf.DUMMYFUNCTION("""COMPUTED_VALUE"""),"SEU BURGUER")</f>
        <v>SEU BURGUER</v>
      </c>
      <c r="L4414" s="32">
        <f>IFERROR(__xludf.DUMMYFUNCTION("""COMPUTED_VALUE"""),2.0)</f>
        <v>2</v>
      </c>
      <c r="M4414" s="4" t="str">
        <f>IFERROR(__xludf.DUMMYFUNCTION("""COMPUTED_VALUE"""),"Instadelivery")</f>
        <v>Instadelivery</v>
      </c>
      <c r="N4414" s="33">
        <f>IFERROR(__xludf.DUMMYFUNCTION("""COMPUTED_VALUE"""),0.5)</f>
        <v>0.5</v>
      </c>
      <c r="O4414" s="4" t="str">
        <f>IFERROR(__xludf.DUMMYFUNCTION("""COMPUTED_VALUE"""),"Instadelivery")</f>
        <v>Instadelivery</v>
      </c>
      <c r="P4414" s="33">
        <f>IFERROR(__xludf.DUMMYFUNCTION("""COMPUTED_VALUE"""),0.5)</f>
        <v>0.5</v>
      </c>
      <c r="Q4414" s="4" t="str">
        <f>IFERROR(__xludf.DUMMYFUNCTION("""COMPUTED_VALUE"""),"Instadelivery")</f>
        <v>Instadelivery</v>
      </c>
      <c r="R4414" s="33">
        <f>IFERROR(__xludf.DUMMYFUNCTION("""COMPUTED_VALUE"""),0.5)</f>
        <v>0.5</v>
      </c>
      <c r="S4414" s="4" t="str">
        <f>IFERROR(__xludf.DUMMYFUNCTION("""COMPUTED_VALUE"""),"Instadelivery")</f>
        <v>Instadelivery</v>
      </c>
      <c r="T4414" s="33">
        <f>IFERROR(__xludf.DUMMYFUNCTION("""COMPUTED_VALUE"""),0.5)</f>
        <v>0.5</v>
      </c>
      <c r="U4414" s="4" t="str">
        <f>IFERROR(__xludf.DUMMYFUNCTION("""COMPUTED_VALUE"""),"Anota Ai Solucoes Digitais S/a")</f>
        <v>Anota Ai Solucoes Digitais S/a</v>
      </c>
      <c r="V4414" s="33">
        <f>IFERROR(__xludf.DUMMYFUNCTION("""COMPUTED_VALUE"""),0.5)</f>
        <v>0.5</v>
      </c>
      <c r="W4414" s="4" t="str">
        <f>IFERROR(__xludf.DUMMYFUNCTION("""COMPUTED_VALUE"""),"Anota Ai Solucoes Digitais S/a")</f>
        <v>Anota Ai Solucoes Digitais S/a</v>
      </c>
      <c r="X4414" s="33">
        <f>IFERROR(__xludf.DUMMYFUNCTION("""COMPUTED_VALUE"""),0.5)</f>
        <v>0.5</v>
      </c>
    </row>
    <row r="4415">
      <c r="K4415" s="4" t="str">
        <f>IFERROR(__xludf.DUMMYFUNCTION("""COMPUTED_VALUE"""),"SR BURGUER")</f>
        <v>SR BURGUER</v>
      </c>
      <c r="L4415" s="32">
        <f>IFERROR(__xludf.DUMMYFUNCTION("""COMPUTED_VALUE"""),2.0)</f>
        <v>2</v>
      </c>
      <c r="M4415" s="4" t="str">
        <f>IFERROR(__xludf.DUMMYFUNCTION("""COMPUTED_VALUE"""),"Cardápio Web")</f>
        <v>Cardápio Web</v>
      </c>
      <c r="N4415" s="33">
        <f>IFERROR(__xludf.DUMMYFUNCTION("""COMPUTED_VALUE"""),0.5)</f>
        <v>0.5</v>
      </c>
      <c r="O4415" s="4" t="str">
        <f>IFERROR(__xludf.DUMMYFUNCTION("""COMPUTED_VALUE"""),"Cardápio Web")</f>
        <v>Cardápio Web</v>
      </c>
      <c r="P4415" s="33">
        <f>IFERROR(__xludf.DUMMYFUNCTION("""COMPUTED_VALUE"""),0.5)</f>
        <v>0.5</v>
      </c>
      <c r="Q4415" s="4" t="str">
        <f>IFERROR(__xludf.DUMMYFUNCTION("""COMPUTED_VALUE"""),"Cardápio Web")</f>
        <v>Cardápio Web</v>
      </c>
      <c r="R4415" s="33">
        <f>IFERROR(__xludf.DUMMYFUNCTION("""COMPUTED_VALUE"""),0.5)</f>
        <v>0.5</v>
      </c>
      <c r="S4415" s="4" t="str">
        <f>IFERROR(__xludf.DUMMYFUNCTION("""COMPUTED_VALUE"""),"Cardápio Web")</f>
        <v>Cardápio Web</v>
      </c>
      <c r="T4415" s="33">
        <f>IFERROR(__xludf.DUMMYFUNCTION("""COMPUTED_VALUE"""),0.5)</f>
        <v>0.5</v>
      </c>
      <c r="U4415" s="4" t="str">
        <f>IFERROR(__xludf.DUMMYFUNCTION("""COMPUTED_VALUE"""),"Cardápio Web")</f>
        <v>Cardápio Web</v>
      </c>
      <c r="V4415" s="33">
        <f>IFERROR(__xludf.DUMMYFUNCTION("""COMPUTED_VALUE"""),0.5)</f>
        <v>0.5</v>
      </c>
      <c r="W4415" s="4" t="str">
        <f>IFERROR(__xludf.DUMMYFUNCTION("""COMPUTED_VALUE"""),"Cardápio Web")</f>
        <v>Cardápio Web</v>
      </c>
      <c r="X4415" s="33">
        <f>IFERROR(__xludf.DUMMYFUNCTION("""COMPUTED_VALUE"""),0.5)</f>
        <v>0.5</v>
      </c>
    </row>
    <row r="4416">
      <c r="K4416" s="4" t="str">
        <f>IFERROR(__xludf.DUMMYFUNCTION("""COMPUTED_VALUE"""),"BENDITO LANCHE")</f>
        <v>BENDITO LANCHE</v>
      </c>
      <c r="L4416" s="32">
        <f>IFERROR(__xludf.DUMMYFUNCTION("""COMPUTED_VALUE"""),2.0)</f>
        <v>2</v>
      </c>
      <c r="M4416" s="4" t="str">
        <f>IFERROR(__xludf.DUMMYFUNCTION("""COMPUTED_VALUE"""),"Anota Ai Solucoes Digitais S/a")</f>
        <v>Anota Ai Solucoes Digitais S/a</v>
      </c>
      <c r="N4416" s="33">
        <f>IFERROR(__xludf.DUMMYFUNCTION("""COMPUTED_VALUE"""),0.5)</f>
        <v>0.5</v>
      </c>
      <c r="O4416" s="4" t="str">
        <f>IFERROR(__xludf.DUMMYFUNCTION("""COMPUTED_VALUE"""),"null")</f>
        <v>null</v>
      </c>
      <c r="P4416" s="33">
        <f>IFERROR(__xludf.DUMMYFUNCTION("""COMPUTED_VALUE"""),1.0)</f>
        <v>1</v>
      </c>
      <c r="Q4416" s="4" t="str">
        <f>IFERROR(__xludf.DUMMYFUNCTION("""COMPUTED_VALUE"""),"null")</f>
        <v>null</v>
      </c>
      <c r="R4416" s="33">
        <f>IFERROR(__xludf.DUMMYFUNCTION("""COMPUTED_VALUE"""),1.0)</f>
        <v>1</v>
      </c>
      <c r="S4416" s="4" t="str">
        <f>IFERROR(__xludf.DUMMYFUNCTION("""COMPUTED_VALUE"""),"null")</f>
        <v>null</v>
      </c>
      <c r="T4416" s="33">
        <f>IFERROR(__xludf.DUMMYFUNCTION("""COMPUTED_VALUE"""),1.0)</f>
        <v>1</v>
      </c>
      <c r="U4416" s="4" t="str">
        <f>IFERROR(__xludf.DUMMYFUNCTION("""COMPUTED_VALUE"""),"null")</f>
        <v>null</v>
      </c>
      <c r="V4416" s="33">
        <f>IFERROR(__xludf.DUMMYFUNCTION("""COMPUTED_VALUE"""),1.0)</f>
        <v>1</v>
      </c>
      <c r="W4416" s="4" t="str">
        <f>IFERROR(__xludf.DUMMYFUNCTION("""COMPUTED_VALUE"""),"null")</f>
        <v>null</v>
      </c>
      <c r="X4416" s="33">
        <f>IFERROR(__xludf.DUMMYFUNCTION("""COMPUTED_VALUE"""),1.0)</f>
        <v>1</v>
      </c>
    </row>
    <row r="4417">
      <c r="K4417" s="4" t="str">
        <f>IFERROR(__xludf.DUMMYFUNCTION("""COMPUTED_VALUE"""),"DROGARIA TOPFARMA")</f>
        <v>DROGARIA TOPFARMA</v>
      </c>
      <c r="L4417" s="32">
        <f>IFERROR(__xludf.DUMMYFUNCTION("""COMPUTED_VALUE"""),2.0)</f>
        <v>2</v>
      </c>
      <c r="M4417" s="4" t="str">
        <f>IFERROR(__xludf.DUMMYFUNCTION("""COMPUTED_VALUE"""),"null")</f>
        <v>null</v>
      </c>
      <c r="N4417" s="33">
        <f>IFERROR(__xludf.DUMMYFUNCTION("""COMPUTED_VALUE"""),1.0)</f>
        <v>1</v>
      </c>
      <c r="O4417" s="4" t="str">
        <f>IFERROR(__xludf.DUMMYFUNCTION("""COMPUTED_VALUE"""),"null")</f>
        <v>null</v>
      </c>
      <c r="P4417" s="33">
        <f>IFERROR(__xludf.DUMMYFUNCTION("""COMPUTED_VALUE"""),1.0)</f>
        <v>1</v>
      </c>
      <c r="Q4417" s="4" t="str">
        <f>IFERROR(__xludf.DUMMYFUNCTION("""COMPUTED_VALUE"""),"null")</f>
        <v>null</v>
      </c>
      <c r="R4417" s="33">
        <f>IFERROR(__xludf.DUMMYFUNCTION("""COMPUTED_VALUE"""),0.5)</f>
        <v>0.5</v>
      </c>
      <c r="S4417" s="4" t="str">
        <f>IFERROR(__xludf.DUMMYFUNCTION("""COMPUTED_VALUE"""),"null")</f>
        <v>null</v>
      </c>
      <c r="T4417" s="33">
        <f>IFERROR(__xludf.DUMMYFUNCTION("""COMPUTED_VALUE"""),1.0)</f>
        <v>1</v>
      </c>
      <c r="U4417" s="4" t="str">
        <f>IFERROR(__xludf.DUMMYFUNCTION("""COMPUTED_VALUE"""),"N/A (Not found)")</f>
        <v>N/A (Not found)</v>
      </c>
      <c r="V4417" s="33">
        <f>IFERROR(__xludf.DUMMYFUNCTION("""COMPUTED_VALUE"""),0.5)</f>
        <v>0.5</v>
      </c>
      <c r="W4417" s="4" t="str">
        <f>IFERROR(__xludf.DUMMYFUNCTION("""COMPUTED_VALUE"""),"null")</f>
        <v>null</v>
      </c>
      <c r="X4417" s="33">
        <f>IFERROR(__xludf.DUMMYFUNCTION("""COMPUTED_VALUE"""),1.0)</f>
        <v>1</v>
      </c>
    </row>
    <row r="4418">
      <c r="K4418" s="4" t="str">
        <f>IFERROR(__xludf.DUMMYFUNCTION("""COMPUTED_VALUE"""),"DROGARIA PALADINO")</f>
        <v>DROGARIA PALADINO</v>
      </c>
      <c r="L4418" s="32">
        <f>IFERROR(__xludf.DUMMYFUNCTION("""COMPUTED_VALUE"""),2.0)</f>
        <v>2</v>
      </c>
      <c r="M4418" s="4" t="str">
        <f>IFERROR(__xludf.DUMMYFUNCTION("""COMPUTED_VALUE"""),"N/A (Not found)")</f>
        <v>N/A (Not found)</v>
      </c>
      <c r="N4418" s="33">
        <f>IFERROR(__xludf.DUMMYFUNCTION("""COMPUTED_VALUE"""),0.5)</f>
        <v>0.5</v>
      </c>
      <c r="O4418" s="4" t="str">
        <f>IFERROR(__xludf.DUMMYFUNCTION("""COMPUTED_VALUE"""),"N/A (Not found)")</f>
        <v>N/A (Not found)</v>
      </c>
      <c r="P4418" s="33">
        <f>IFERROR(__xludf.DUMMYFUNCTION("""COMPUTED_VALUE"""),1.0)</f>
        <v>1</v>
      </c>
      <c r="Q4418" s="4" t="str">
        <f>IFERROR(__xludf.DUMMYFUNCTION("""COMPUTED_VALUE"""),"N/A (Not found)")</f>
        <v>N/A (Not found)</v>
      </c>
      <c r="R4418" s="33">
        <f>IFERROR(__xludf.DUMMYFUNCTION("""COMPUTED_VALUE"""),1.0)</f>
        <v>1</v>
      </c>
      <c r="S4418" s="4" t="str">
        <f>IFERROR(__xludf.DUMMYFUNCTION("""COMPUTED_VALUE"""),"N/A (Not found)")</f>
        <v>N/A (Not found)</v>
      </c>
      <c r="T4418" s="33">
        <f>IFERROR(__xludf.DUMMYFUNCTION("""COMPUTED_VALUE"""),1.0)</f>
        <v>1</v>
      </c>
      <c r="U4418" s="4" t="str">
        <f>IFERROR(__xludf.DUMMYFUNCTION("""COMPUTED_VALUE"""),"N/A (Not found)")</f>
        <v>N/A (Not found)</v>
      </c>
      <c r="V4418" s="33">
        <f>IFERROR(__xludf.DUMMYFUNCTION("""COMPUTED_VALUE"""),1.0)</f>
        <v>1</v>
      </c>
      <c r="W4418" s="4" t="str">
        <f>IFERROR(__xludf.DUMMYFUNCTION("""COMPUTED_VALUE"""),"N/A (Not found)")</f>
        <v>N/A (Not found)</v>
      </c>
      <c r="X4418" s="33">
        <f>IFERROR(__xludf.DUMMYFUNCTION("""COMPUTED_VALUE"""),1.0)</f>
        <v>1</v>
      </c>
    </row>
    <row r="4419">
      <c r="K4419" s="4" t="str">
        <f>IFERROR(__xludf.DUMMYFUNCTION("""COMPUTED_VALUE"""),"DROGARIA MELHOR OPCAO")</f>
        <v>DROGARIA MELHOR OPCAO</v>
      </c>
      <c r="L4419" s="32">
        <f>IFERROR(__xludf.DUMMYFUNCTION("""COMPUTED_VALUE"""),2.0)</f>
        <v>2</v>
      </c>
      <c r="M4419" s="4" t="str">
        <f>IFERROR(__xludf.DUMMYFUNCTION("""COMPUTED_VALUE"""),"N/A (Not found)")</f>
        <v>N/A (Not found)</v>
      </c>
      <c r="N4419" s="33">
        <f>IFERROR(__xludf.DUMMYFUNCTION("""COMPUTED_VALUE"""),1.0)</f>
        <v>1</v>
      </c>
      <c r="O4419" s="4" t="str">
        <f>IFERROR(__xludf.DUMMYFUNCTION("""COMPUTED_VALUE"""),"N/A (Not found)")</f>
        <v>N/A (Not found)</v>
      </c>
      <c r="P4419" s="33">
        <f>IFERROR(__xludf.DUMMYFUNCTION("""COMPUTED_VALUE"""),1.0)</f>
        <v>1</v>
      </c>
      <c r="Q4419" s="4" t="str">
        <f>IFERROR(__xludf.DUMMYFUNCTION("""COMPUTED_VALUE"""),"N/A (Not found)")</f>
        <v>N/A (Not found)</v>
      </c>
      <c r="R4419" s="33">
        <f>IFERROR(__xludf.DUMMYFUNCTION("""COMPUTED_VALUE"""),1.0)</f>
        <v>1</v>
      </c>
      <c r="S4419" s="4" t="str">
        <f>IFERROR(__xludf.DUMMYFUNCTION("""COMPUTED_VALUE"""),"N/A (Not found)")</f>
        <v>N/A (Not found)</v>
      </c>
      <c r="T4419" s="33">
        <f>IFERROR(__xludf.DUMMYFUNCTION("""COMPUTED_VALUE"""),1.0)</f>
        <v>1</v>
      </c>
      <c r="U4419" s="4" t="str">
        <f>IFERROR(__xludf.DUMMYFUNCTION("""COMPUTED_VALUE"""),"N/A (Not found)")</f>
        <v>N/A (Not found)</v>
      </c>
      <c r="V4419" s="33">
        <f>IFERROR(__xludf.DUMMYFUNCTION("""COMPUTED_VALUE"""),1.0)</f>
        <v>1</v>
      </c>
      <c r="W4419" s="4" t="str">
        <f>IFERROR(__xludf.DUMMYFUNCTION("""COMPUTED_VALUE"""),"N/A (Not found)")</f>
        <v>N/A (Not found)</v>
      </c>
      <c r="X4419" s="33">
        <f>IFERROR(__xludf.DUMMYFUNCTION("""COMPUTED_VALUE"""),1.0)</f>
        <v>1</v>
      </c>
    </row>
    <row r="4420">
      <c r="K4420" s="4" t="str">
        <f>IFERROR(__xludf.DUMMYFUNCTION("""COMPUTED_VALUE"""),"MASSUCO")</f>
        <v>MASSUCO</v>
      </c>
      <c r="L4420" s="32">
        <f>IFERROR(__xludf.DUMMYFUNCTION("""COMPUTED_VALUE"""),2.0)</f>
        <v>2</v>
      </c>
      <c r="M4420" s="4" t="str">
        <f>IFERROR(__xludf.DUMMYFUNCTION("""COMPUTED_VALUE"""),"Saipos Serviços De Software")</f>
        <v>Saipos Serviços De Software</v>
      </c>
      <c r="N4420" s="33">
        <f>IFERROR(__xludf.DUMMYFUNCTION("""COMPUTED_VALUE"""),1.0)</f>
        <v>1</v>
      </c>
      <c r="O4420" s="4" t="str">
        <f>IFERROR(__xludf.DUMMYFUNCTION("""COMPUTED_VALUE"""),"Teknisa Service Ltda")</f>
        <v>Teknisa Service Ltda</v>
      </c>
      <c r="P4420" s="33">
        <f>IFERROR(__xludf.DUMMYFUNCTION("""COMPUTED_VALUE"""),0.5)</f>
        <v>0.5</v>
      </c>
      <c r="Q4420" s="4" t="str">
        <f>IFERROR(__xludf.DUMMYFUNCTION("""COMPUTED_VALUE"""),"Teknisa Service Ltda")</f>
        <v>Teknisa Service Ltda</v>
      </c>
      <c r="R4420" s="33">
        <f>IFERROR(__xludf.DUMMYFUNCTION("""COMPUTED_VALUE"""),0.5)</f>
        <v>0.5</v>
      </c>
      <c r="S4420" s="4" t="str">
        <f>IFERROR(__xludf.DUMMYFUNCTION("""COMPUTED_VALUE"""),"Teknisa Service Ltda")</f>
        <v>Teknisa Service Ltda</v>
      </c>
      <c r="T4420" s="33">
        <f>IFERROR(__xludf.DUMMYFUNCTION("""COMPUTED_VALUE"""),0.5)</f>
        <v>0.5</v>
      </c>
      <c r="U4420" s="4" t="str">
        <f>IFERROR(__xludf.DUMMYFUNCTION("""COMPUTED_VALUE"""),"Teknisa Service Ltda")</f>
        <v>Teknisa Service Ltda</v>
      </c>
      <c r="V4420" s="33">
        <f>IFERROR(__xludf.DUMMYFUNCTION("""COMPUTED_VALUE"""),0.5)</f>
        <v>0.5</v>
      </c>
      <c r="W4420" s="4" t="str">
        <f>IFERROR(__xludf.DUMMYFUNCTION("""COMPUTED_VALUE"""),"Teknisa Service Ltda")</f>
        <v>Teknisa Service Ltda</v>
      </c>
      <c r="X4420" s="33">
        <f>IFERROR(__xludf.DUMMYFUNCTION("""COMPUTED_VALUE"""),0.5)</f>
        <v>0.5</v>
      </c>
    </row>
    <row r="4421">
      <c r="K4421" s="4" t="str">
        <f>IFERROR(__xludf.DUMMYFUNCTION("""COMPUTED_VALUE"""),"BRABUS BURGUER")</f>
        <v>BRABUS BURGUER</v>
      </c>
      <c r="L4421" s="32">
        <f>IFERROR(__xludf.DUMMYFUNCTION("""COMPUTED_VALUE"""),2.0)</f>
        <v>2</v>
      </c>
      <c r="M4421" s="4" t="str">
        <f>IFERROR(__xludf.DUMMYFUNCTION("""COMPUTED_VALUE"""),"null")</f>
        <v>null</v>
      </c>
      <c r="N4421" s="33">
        <f>IFERROR(__xludf.DUMMYFUNCTION("""COMPUTED_VALUE"""),0.5)</f>
        <v>0.5</v>
      </c>
      <c r="O4421" s="4" t="str">
        <f>IFERROR(__xludf.DUMMYFUNCTION("""COMPUTED_VALUE"""),"Whatsmenu Ltda")</f>
        <v>Whatsmenu Ltda</v>
      </c>
      <c r="P4421" s="33">
        <f>IFERROR(__xludf.DUMMYFUNCTION("""COMPUTED_VALUE"""),0.5)</f>
        <v>0.5</v>
      </c>
      <c r="Q4421" s="4" t="str">
        <f>IFERROR(__xludf.DUMMYFUNCTION("""COMPUTED_VALUE"""),"Whatsmenu Ltda")</f>
        <v>Whatsmenu Ltda</v>
      </c>
      <c r="R4421" s="33">
        <f>IFERROR(__xludf.DUMMYFUNCTION("""COMPUTED_VALUE"""),0.5)</f>
        <v>0.5</v>
      </c>
      <c r="S4421" s="4" t="str">
        <f>IFERROR(__xludf.DUMMYFUNCTION("""COMPUTED_VALUE"""),"Whatsmenu Ltda")</f>
        <v>Whatsmenu Ltda</v>
      </c>
      <c r="T4421" s="33">
        <f>IFERROR(__xludf.DUMMYFUNCTION("""COMPUTED_VALUE"""),0.5)</f>
        <v>0.5</v>
      </c>
      <c r="U4421" s="4" t="str">
        <f>IFERROR(__xludf.DUMMYFUNCTION("""COMPUTED_VALUE"""),"Whatsmenu Ltda")</f>
        <v>Whatsmenu Ltda</v>
      </c>
      <c r="V4421" s="33">
        <f>IFERROR(__xludf.DUMMYFUNCTION("""COMPUTED_VALUE"""),0.5)</f>
        <v>0.5</v>
      </c>
      <c r="W4421" s="4" t="str">
        <f>IFERROR(__xludf.DUMMYFUNCTION("""COMPUTED_VALUE"""),"Whatsmenu Ltda")</f>
        <v>Whatsmenu Ltda</v>
      </c>
      <c r="X4421" s="33">
        <f>IFERROR(__xludf.DUMMYFUNCTION("""COMPUTED_VALUE"""),0.5)</f>
        <v>0.5</v>
      </c>
    </row>
    <row r="4422">
      <c r="K4422" s="4" t="str">
        <f>IFERROR(__xludf.DUMMYFUNCTION("""COMPUTED_VALUE"""),"KANOA BURGER")</f>
        <v>KANOA BURGER</v>
      </c>
      <c r="L4422" s="32">
        <f>IFERROR(__xludf.DUMMYFUNCTION("""COMPUTED_VALUE"""),2.0)</f>
        <v>2</v>
      </c>
      <c r="M4422" s="4" t="str">
        <f>IFERROR(__xludf.DUMMYFUNCTION("""COMPUTED_VALUE"""),"Anota Ai Solucoes Digitais S/a")</f>
        <v>Anota Ai Solucoes Digitais S/a</v>
      </c>
      <c r="N4422" s="33">
        <f>IFERROR(__xludf.DUMMYFUNCTION("""COMPUTED_VALUE"""),0.5)</f>
        <v>0.5</v>
      </c>
      <c r="O4422" s="4" t="str">
        <f>IFERROR(__xludf.DUMMYFUNCTION("""COMPUTED_VALUE"""),"Anota Ai Solucoes Digitais S/a")</f>
        <v>Anota Ai Solucoes Digitais S/a</v>
      </c>
      <c r="P4422" s="33">
        <f>IFERROR(__xludf.DUMMYFUNCTION("""COMPUTED_VALUE"""),0.5)</f>
        <v>0.5</v>
      </c>
      <c r="Q4422" s="4" t="str">
        <f>IFERROR(__xludf.DUMMYFUNCTION("""COMPUTED_VALUE"""),"Anota Ai Solucoes Digitais S/a")</f>
        <v>Anota Ai Solucoes Digitais S/a</v>
      </c>
      <c r="R4422" s="33">
        <f>IFERROR(__xludf.DUMMYFUNCTION("""COMPUTED_VALUE"""),0.5)</f>
        <v>0.5</v>
      </c>
      <c r="S4422" s="4" t="str">
        <f>IFERROR(__xludf.DUMMYFUNCTION("""COMPUTED_VALUE"""),"Anota Ai Solucoes Digitais S/a")</f>
        <v>Anota Ai Solucoes Digitais S/a</v>
      </c>
      <c r="T4422" s="33">
        <f>IFERROR(__xludf.DUMMYFUNCTION("""COMPUTED_VALUE"""),1.0)</f>
        <v>1</v>
      </c>
      <c r="U4422" s="4" t="str">
        <f>IFERROR(__xludf.DUMMYFUNCTION("""COMPUTED_VALUE"""),"Anota Ai Solucoes Digitais S/a")</f>
        <v>Anota Ai Solucoes Digitais S/a</v>
      </c>
      <c r="V4422" s="33">
        <f>IFERROR(__xludf.DUMMYFUNCTION("""COMPUTED_VALUE"""),1.0)</f>
        <v>1</v>
      </c>
      <c r="W4422" s="4" t="str">
        <f>IFERROR(__xludf.DUMMYFUNCTION("""COMPUTED_VALUE"""),"Anota Ai Solucoes Digitais S/a")</f>
        <v>Anota Ai Solucoes Digitais S/a</v>
      </c>
      <c r="X4422" s="33">
        <f>IFERROR(__xludf.DUMMYFUNCTION("""COMPUTED_VALUE"""),1.0)</f>
        <v>1</v>
      </c>
    </row>
    <row r="4423">
      <c r="K4423" s="4" t="str">
        <f>IFERROR(__xludf.DUMMYFUNCTION("""COMPUTED_VALUE"""),"DROGARIAS TUDO POPULAR")</f>
        <v>DROGARIAS TUDO POPULAR</v>
      </c>
      <c r="L4423" s="32">
        <f>IFERROR(__xludf.DUMMYFUNCTION("""COMPUTED_VALUE"""),2.0)</f>
        <v>2</v>
      </c>
      <c r="M4423" s="4" t="str">
        <f>IFERROR(__xludf.DUMMYFUNCTION("""COMPUTED_VALUE"""),"null")</f>
        <v>null</v>
      </c>
      <c r="N4423" s="33">
        <f>IFERROR(__xludf.DUMMYFUNCTION("""COMPUTED_VALUE"""),1.0)</f>
        <v>1</v>
      </c>
      <c r="O4423" s="4" t="str">
        <f>IFERROR(__xludf.DUMMYFUNCTION("""COMPUTED_VALUE"""),"N/A (Not found)")</f>
        <v>N/A (Not found)</v>
      </c>
      <c r="P4423" s="33">
        <f>IFERROR(__xludf.DUMMYFUNCTION("""COMPUTED_VALUE"""),0.5)</f>
        <v>0.5</v>
      </c>
      <c r="Q4423" s="4" t="str">
        <f>IFERROR(__xludf.DUMMYFUNCTION("""COMPUTED_VALUE"""),"N/A (Not found)")</f>
        <v>N/A (Not found)</v>
      </c>
      <c r="R4423" s="33">
        <f>IFERROR(__xludf.DUMMYFUNCTION("""COMPUTED_VALUE"""),1.0)</f>
        <v>1</v>
      </c>
      <c r="S4423" s="4" t="str">
        <f>IFERROR(__xludf.DUMMYFUNCTION("""COMPUTED_VALUE"""),"null")</f>
        <v>null</v>
      </c>
      <c r="T4423" s="33">
        <f>IFERROR(__xludf.DUMMYFUNCTION("""COMPUTED_VALUE"""),0.5)</f>
        <v>0.5</v>
      </c>
      <c r="U4423" s="4" t="str">
        <f>IFERROR(__xludf.DUMMYFUNCTION("""COMPUTED_VALUE"""),"null")</f>
        <v>null</v>
      </c>
      <c r="V4423" s="33">
        <f>IFERROR(__xludf.DUMMYFUNCTION("""COMPUTED_VALUE"""),0.5)</f>
        <v>0.5</v>
      </c>
      <c r="W4423" s="4" t="str">
        <f>IFERROR(__xludf.DUMMYFUNCTION("""COMPUTED_VALUE"""),"null")</f>
        <v>null</v>
      </c>
      <c r="X4423" s="33">
        <f>IFERROR(__xludf.DUMMYFUNCTION("""COMPUTED_VALUE"""),0.5)</f>
        <v>0.5</v>
      </c>
    </row>
    <row r="4424">
      <c r="K4424" s="4" t="str">
        <f>IFERROR(__xludf.DUMMYFUNCTION("""COMPUTED_VALUE"""),"CASARAO DA PIZZA")</f>
        <v>CASARAO DA PIZZA</v>
      </c>
      <c r="L4424" s="32">
        <f>IFERROR(__xludf.DUMMYFUNCTION("""COMPUTED_VALUE"""),2.0)</f>
        <v>2</v>
      </c>
      <c r="M4424" s="4" t="str">
        <f>IFERROR(__xludf.DUMMYFUNCTION("""COMPUTED_VALUE"""),"Mp Multipedidos")</f>
        <v>Mp Multipedidos</v>
      </c>
      <c r="N4424" s="33">
        <f>IFERROR(__xludf.DUMMYFUNCTION("""COMPUTED_VALUE"""),0.5)</f>
        <v>0.5</v>
      </c>
      <c r="O4424" s="4" t="str">
        <f>IFERROR(__xludf.DUMMYFUNCTION("""COMPUTED_VALUE"""),"Mp Multipedidos")</f>
        <v>Mp Multipedidos</v>
      </c>
      <c r="P4424" s="33">
        <f>IFERROR(__xludf.DUMMYFUNCTION("""COMPUTED_VALUE"""),0.5)</f>
        <v>0.5</v>
      </c>
      <c r="Q4424" s="4" t="str">
        <f>IFERROR(__xludf.DUMMYFUNCTION("""COMPUTED_VALUE"""),"Saipos Serviços De Software")</f>
        <v>Saipos Serviços De Software</v>
      </c>
      <c r="R4424" s="33">
        <f>IFERROR(__xludf.DUMMYFUNCTION("""COMPUTED_VALUE"""),0.5)</f>
        <v>0.5</v>
      </c>
      <c r="S4424" s="4" t="str">
        <f>IFERROR(__xludf.DUMMYFUNCTION("""COMPUTED_VALUE"""),"Saipos Serviços De Software")</f>
        <v>Saipos Serviços De Software</v>
      </c>
      <c r="T4424" s="33">
        <f>IFERROR(__xludf.DUMMYFUNCTION("""COMPUTED_VALUE"""),0.5)</f>
        <v>0.5</v>
      </c>
      <c r="U4424" s="4" t="str">
        <f>IFERROR(__xludf.DUMMYFUNCTION("""COMPUTED_VALUE"""),"Mp Multipedidos")</f>
        <v>Mp Multipedidos</v>
      </c>
      <c r="V4424" s="33">
        <f>IFERROR(__xludf.DUMMYFUNCTION("""COMPUTED_VALUE"""),0.5)</f>
        <v>0.5</v>
      </c>
      <c r="W4424" s="4" t="str">
        <f>IFERROR(__xludf.DUMMYFUNCTION("""COMPUTED_VALUE"""),"Mp Multipedidos")</f>
        <v>Mp Multipedidos</v>
      </c>
      <c r="X4424" s="33">
        <f>IFERROR(__xludf.DUMMYFUNCTION("""COMPUTED_VALUE"""),0.5)</f>
        <v>0.5</v>
      </c>
    </row>
    <row r="4425">
      <c r="K4425" s="4" t="str">
        <f>IFERROR(__xludf.DUMMYFUNCTION("""COMPUTED_VALUE"""),"AMO PIZZA")</f>
        <v>AMO PIZZA</v>
      </c>
      <c r="L4425" s="32">
        <f>IFERROR(__xludf.DUMMYFUNCTION("""COMPUTED_VALUE"""),2.0)</f>
        <v>2</v>
      </c>
      <c r="M4425" s="4" t="str">
        <f>IFERROR(__xludf.DUMMYFUNCTION("""COMPUTED_VALUE"""),"null")</f>
        <v>null</v>
      </c>
      <c r="N4425" s="33">
        <f>IFERROR(__xludf.DUMMYFUNCTION("""COMPUTED_VALUE"""),1.0)</f>
        <v>1</v>
      </c>
      <c r="O4425" s="4" t="str">
        <f>IFERROR(__xludf.DUMMYFUNCTION("""COMPUTED_VALUE"""),"Suitable Tecnologia E Gestao")</f>
        <v>Suitable Tecnologia E Gestao</v>
      </c>
      <c r="P4425" s="33">
        <f>IFERROR(__xludf.DUMMYFUNCTION("""COMPUTED_VALUE"""),0.5)</f>
        <v>0.5</v>
      </c>
      <c r="Q4425" s="4" t="str">
        <f>IFERROR(__xludf.DUMMYFUNCTION("""COMPUTED_VALUE"""),"Suitable Tecnologia E Gestao")</f>
        <v>Suitable Tecnologia E Gestao</v>
      </c>
      <c r="R4425" s="33">
        <f>IFERROR(__xludf.DUMMYFUNCTION("""COMPUTED_VALUE"""),0.5)</f>
        <v>0.5</v>
      </c>
      <c r="S4425" s="4" t="str">
        <f>IFERROR(__xludf.DUMMYFUNCTION("""COMPUTED_VALUE"""),"Suitable Tecnologia E Gestao")</f>
        <v>Suitable Tecnologia E Gestao</v>
      </c>
      <c r="T4425" s="33">
        <f>IFERROR(__xludf.DUMMYFUNCTION("""COMPUTED_VALUE"""),0.5)</f>
        <v>0.5</v>
      </c>
      <c r="U4425" s="4" t="str">
        <f>IFERROR(__xludf.DUMMYFUNCTION("""COMPUTED_VALUE"""),"Suitable Tecnologia E Gestao")</f>
        <v>Suitable Tecnologia E Gestao</v>
      </c>
      <c r="V4425" s="33">
        <f>IFERROR(__xludf.DUMMYFUNCTION("""COMPUTED_VALUE"""),0.5)</f>
        <v>0.5</v>
      </c>
      <c r="W4425" s="4" t="str">
        <f>IFERROR(__xludf.DUMMYFUNCTION("""COMPUTED_VALUE"""),"Suitable Tecnologia E Gestao")</f>
        <v>Suitable Tecnologia E Gestao</v>
      </c>
      <c r="X4425" s="33">
        <f>IFERROR(__xludf.DUMMYFUNCTION("""COMPUTED_VALUE"""),1.0)</f>
        <v>1</v>
      </c>
    </row>
    <row r="4426">
      <c r="K4426" s="4" t="str">
        <f>IFERROR(__xludf.DUMMYFUNCTION("""COMPUTED_VALUE"""),"TROPICAL ACAI BADY")</f>
        <v>TROPICAL ACAI BADY</v>
      </c>
      <c r="L4426" s="32">
        <f>IFERROR(__xludf.DUMMYFUNCTION("""COMPUTED_VALUE"""),2.0)</f>
        <v>2</v>
      </c>
      <c r="M4426" s="4" t="str">
        <f>IFERROR(__xludf.DUMMYFUNCTION("""COMPUTED_VALUE"""),"null")</f>
        <v>null</v>
      </c>
      <c r="N4426" s="33">
        <f>IFERROR(__xludf.DUMMYFUNCTION("""COMPUTED_VALUE"""),0.5)</f>
        <v>0.5</v>
      </c>
      <c r="O4426" s="4" t="str">
        <f>IFERROR(__xludf.DUMMYFUNCTION("""COMPUTED_VALUE"""),"null")</f>
        <v>null</v>
      </c>
      <c r="P4426" s="33">
        <f>IFERROR(__xludf.DUMMYFUNCTION("""COMPUTED_VALUE"""),0.5)</f>
        <v>0.5</v>
      </c>
      <c r="Q4426" s="4" t="str">
        <f>IFERROR(__xludf.DUMMYFUNCTION("""COMPUTED_VALUE"""),"null")</f>
        <v>null</v>
      </c>
      <c r="R4426" s="33">
        <f>IFERROR(__xludf.DUMMYFUNCTION("""COMPUTED_VALUE"""),0.5)</f>
        <v>0.5</v>
      </c>
      <c r="S4426" s="4" t="str">
        <f>IFERROR(__xludf.DUMMYFUNCTION("""COMPUTED_VALUE"""),"null")</f>
        <v>null</v>
      </c>
      <c r="T4426" s="33">
        <f>IFERROR(__xludf.DUMMYFUNCTION("""COMPUTED_VALUE"""),0.5)</f>
        <v>0.5</v>
      </c>
      <c r="U4426" s="4" t="str">
        <f>IFERROR(__xludf.DUMMYFUNCTION("""COMPUTED_VALUE"""),"Anota Ai Solucoes Digitais S/a")</f>
        <v>Anota Ai Solucoes Digitais S/a</v>
      </c>
      <c r="V4426" s="33">
        <f>IFERROR(__xludf.DUMMYFUNCTION("""COMPUTED_VALUE"""),0.5)</f>
        <v>0.5</v>
      </c>
      <c r="W4426" s="4" t="str">
        <f>IFERROR(__xludf.DUMMYFUNCTION("""COMPUTED_VALUE"""),"null")</f>
        <v>null</v>
      </c>
      <c r="X4426" s="33">
        <f>IFERROR(__xludf.DUMMYFUNCTION("""COMPUTED_VALUE"""),0.5)</f>
        <v>0.5</v>
      </c>
    </row>
    <row r="4427">
      <c r="K4427" s="4" t="str">
        <f>IFERROR(__xludf.DUMMYFUNCTION("""COMPUTED_VALUE"""),"CHICKENS FRANGO FRITO")</f>
        <v>CHICKENS FRANGO FRITO</v>
      </c>
      <c r="L4427" s="32">
        <f>IFERROR(__xludf.DUMMYFUNCTION("""COMPUTED_VALUE"""),2.0)</f>
        <v>2</v>
      </c>
      <c r="M4427" s="4" t="str">
        <f>IFERROR(__xludf.DUMMYFUNCTION("""COMPUTED_VALUE"""),"Cardápio Web")</f>
        <v>Cardápio Web</v>
      </c>
      <c r="N4427" s="33">
        <f>IFERROR(__xludf.DUMMYFUNCTION("""COMPUTED_VALUE"""),0.5)</f>
        <v>0.5</v>
      </c>
      <c r="O4427" s="4" t="str">
        <f>IFERROR(__xludf.DUMMYFUNCTION("""COMPUTED_VALUE"""),"Cardápio Web")</f>
        <v>Cardápio Web</v>
      </c>
      <c r="P4427" s="33">
        <f>IFERROR(__xludf.DUMMYFUNCTION("""COMPUTED_VALUE"""),1.0)</f>
        <v>1</v>
      </c>
      <c r="Q4427" s="4" t="str">
        <f>IFERROR(__xludf.DUMMYFUNCTION("""COMPUTED_VALUE"""),"null")</f>
        <v>null</v>
      </c>
      <c r="R4427" s="33">
        <f>IFERROR(__xludf.DUMMYFUNCTION("""COMPUTED_VALUE"""),0.5)</f>
        <v>0.5</v>
      </c>
      <c r="S4427" s="4" t="str">
        <f>IFERROR(__xludf.DUMMYFUNCTION("""COMPUTED_VALUE"""),"null")</f>
        <v>null</v>
      </c>
      <c r="T4427" s="33">
        <f>IFERROR(__xludf.DUMMYFUNCTION("""COMPUTED_VALUE"""),0.5)</f>
        <v>0.5</v>
      </c>
      <c r="U4427" s="4" t="str">
        <f>IFERROR(__xludf.DUMMYFUNCTION("""COMPUTED_VALUE"""),"null")</f>
        <v>null</v>
      </c>
      <c r="V4427" s="33">
        <f>IFERROR(__xludf.DUMMYFUNCTION("""COMPUTED_VALUE"""),0.5)</f>
        <v>0.5</v>
      </c>
      <c r="W4427" s="4" t="str">
        <f>IFERROR(__xludf.DUMMYFUNCTION("""COMPUTED_VALUE"""),"null")</f>
        <v>null</v>
      </c>
      <c r="X4427" s="33">
        <f>IFERROR(__xludf.DUMMYFUNCTION("""COMPUTED_VALUE"""),0.5)</f>
        <v>0.5</v>
      </c>
    </row>
    <row r="4428">
      <c r="K4428" s="4" t="str">
        <f>IFERROR(__xludf.DUMMYFUNCTION("""COMPUTED_VALUE"""),"ACAI DOCE SABOR")</f>
        <v>ACAI DOCE SABOR</v>
      </c>
      <c r="L4428" s="32">
        <f>IFERROR(__xludf.DUMMYFUNCTION("""COMPUTED_VALUE"""),2.0)</f>
        <v>2</v>
      </c>
      <c r="M4428" s="4" t="str">
        <f>IFERROR(__xludf.DUMMYFUNCTION("""COMPUTED_VALUE"""),"null")</f>
        <v>null</v>
      </c>
      <c r="N4428" s="33">
        <f>IFERROR(__xludf.DUMMYFUNCTION("""COMPUTED_VALUE"""),0.5)</f>
        <v>0.5</v>
      </c>
      <c r="O4428" s="4" t="str">
        <f>IFERROR(__xludf.DUMMYFUNCTION("""COMPUTED_VALUE"""),"Compucel Tecnologia | Restaurante Fácil")</f>
        <v>Compucel Tecnologia | Restaurante Fácil</v>
      </c>
      <c r="P4428" s="33">
        <f>IFERROR(__xludf.DUMMYFUNCTION("""COMPUTED_VALUE"""),0.5)</f>
        <v>0.5</v>
      </c>
      <c r="Q4428" s="4" t="str">
        <f>IFERROR(__xludf.DUMMYFUNCTION("""COMPUTED_VALUE"""),"null")</f>
        <v>null</v>
      </c>
      <c r="R4428" s="33">
        <f>IFERROR(__xludf.DUMMYFUNCTION("""COMPUTED_VALUE"""),0.5)</f>
        <v>0.5</v>
      </c>
      <c r="S4428" s="4" t="str">
        <f>IFERROR(__xludf.DUMMYFUNCTION("""COMPUTED_VALUE"""),"null")</f>
        <v>null</v>
      </c>
      <c r="T4428" s="33">
        <f>IFERROR(__xludf.DUMMYFUNCTION("""COMPUTED_VALUE"""),0.5)</f>
        <v>0.5</v>
      </c>
      <c r="U4428" s="4" t="str">
        <f>IFERROR(__xludf.DUMMYFUNCTION("""COMPUTED_VALUE"""),"null")</f>
        <v>null</v>
      </c>
      <c r="V4428" s="33">
        <f>IFERROR(__xludf.DUMMYFUNCTION("""COMPUTED_VALUE"""),0.5)</f>
        <v>0.5</v>
      </c>
      <c r="W4428" s="4" t="str">
        <f>IFERROR(__xludf.DUMMYFUNCTION("""COMPUTED_VALUE"""),"null")</f>
        <v>null</v>
      </c>
      <c r="X4428" s="33">
        <f>IFERROR(__xludf.DUMMYFUNCTION("""COMPUTED_VALUE"""),0.5)</f>
        <v>0.5</v>
      </c>
    </row>
    <row r="4429">
      <c r="K4429" s="4" t="str">
        <f>IFERROR(__xludf.DUMMYFUNCTION("""COMPUTED_VALUE"""),"QUINTAL BURGER")</f>
        <v>QUINTAL BURGER</v>
      </c>
      <c r="L4429" s="32">
        <f>IFERROR(__xludf.DUMMYFUNCTION("""COMPUTED_VALUE"""),2.0)</f>
        <v>2</v>
      </c>
      <c r="M4429" s="4" t="str">
        <f>IFERROR(__xludf.DUMMYFUNCTION("""COMPUTED_VALUE"""),"Looksystem Tecnologia Em Sistemas Ltda")</f>
        <v>Looksystem Tecnologia Em Sistemas Ltda</v>
      </c>
      <c r="N4429" s="33">
        <f>IFERROR(__xludf.DUMMYFUNCTION("""COMPUTED_VALUE"""),0.5)</f>
        <v>0.5</v>
      </c>
      <c r="O4429" s="4" t="str">
        <f>IFERROR(__xludf.DUMMYFUNCTION("""COMPUTED_VALUE"""),"Looksystem Tecnologia Em Sistemas Ltda")</f>
        <v>Looksystem Tecnologia Em Sistemas Ltda</v>
      </c>
      <c r="P4429" s="33">
        <f>IFERROR(__xludf.DUMMYFUNCTION("""COMPUTED_VALUE"""),0.5)</f>
        <v>0.5</v>
      </c>
      <c r="Q4429" s="4" t="str">
        <f>IFERROR(__xludf.DUMMYFUNCTION("""COMPUTED_VALUE"""),"Looksystem Tecnologia Em Sistemas Ltda")</f>
        <v>Looksystem Tecnologia Em Sistemas Ltda</v>
      </c>
      <c r="R4429" s="33">
        <f>IFERROR(__xludf.DUMMYFUNCTION("""COMPUTED_VALUE"""),0.5)</f>
        <v>0.5</v>
      </c>
      <c r="S4429" s="4" t="str">
        <f>IFERROR(__xludf.DUMMYFUNCTION("""COMPUTED_VALUE"""),"null")</f>
        <v>null</v>
      </c>
      <c r="T4429" s="33">
        <f>IFERROR(__xludf.DUMMYFUNCTION("""COMPUTED_VALUE"""),0.5)</f>
        <v>0.5</v>
      </c>
      <c r="U4429" s="4" t="str">
        <f>IFERROR(__xludf.DUMMYFUNCTION("""COMPUTED_VALUE"""),"null")</f>
        <v>null</v>
      </c>
      <c r="V4429" s="33">
        <f>IFERROR(__xludf.DUMMYFUNCTION("""COMPUTED_VALUE"""),0.5)</f>
        <v>0.5</v>
      </c>
      <c r="W4429" s="4" t="str">
        <f>IFERROR(__xludf.DUMMYFUNCTION("""COMPUTED_VALUE"""),"null")</f>
        <v>null</v>
      </c>
      <c r="X4429" s="33">
        <f>IFERROR(__xludf.DUMMYFUNCTION("""COMPUTED_VALUE"""),0.5)</f>
        <v>0.5</v>
      </c>
    </row>
    <row r="4430">
      <c r="K4430" s="4" t="str">
        <f>IFERROR(__xludf.DUMMYFUNCTION("""COMPUTED_VALUE"""),"PIT STOP BURGUER")</f>
        <v>PIT STOP BURGUER</v>
      </c>
      <c r="L4430" s="32">
        <f>IFERROR(__xludf.DUMMYFUNCTION("""COMPUTED_VALUE"""),2.0)</f>
        <v>2</v>
      </c>
      <c r="M4430" s="4" t="str">
        <f>IFERROR(__xludf.DUMMYFUNCTION("""COMPUTED_VALUE"""),"null")</f>
        <v>null</v>
      </c>
      <c r="N4430" s="33">
        <f>IFERROR(__xludf.DUMMYFUNCTION("""COMPUTED_VALUE"""),0.5)</f>
        <v>0.5</v>
      </c>
      <c r="O4430" s="4" t="str">
        <f>IFERROR(__xludf.DUMMYFUNCTION("""COMPUTED_VALUE"""),"null")</f>
        <v>null</v>
      </c>
      <c r="P4430" s="33">
        <f>IFERROR(__xludf.DUMMYFUNCTION("""COMPUTED_VALUE"""),0.5)</f>
        <v>0.5</v>
      </c>
      <c r="Q4430" s="4" t="str">
        <f>IFERROR(__xludf.DUMMYFUNCTION("""COMPUTED_VALUE"""),"null")</f>
        <v>null</v>
      </c>
      <c r="R4430" s="33">
        <f>IFERROR(__xludf.DUMMYFUNCTION("""COMPUTED_VALUE"""),0.5)</f>
        <v>0.5</v>
      </c>
      <c r="S4430" s="4" t="str">
        <f>IFERROR(__xludf.DUMMYFUNCTION("""COMPUTED_VALUE"""),"Instadelivery")</f>
        <v>Instadelivery</v>
      </c>
      <c r="T4430" s="33">
        <f>IFERROR(__xludf.DUMMYFUNCTION("""COMPUTED_VALUE"""),1.0)</f>
        <v>1</v>
      </c>
      <c r="U4430" s="4" t="str">
        <f>IFERROR(__xludf.DUMMYFUNCTION("""COMPUTED_VALUE"""),"Instadelivery")</f>
        <v>Instadelivery</v>
      </c>
      <c r="V4430" s="33">
        <f>IFERROR(__xludf.DUMMYFUNCTION("""COMPUTED_VALUE"""),1.0)</f>
        <v>1</v>
      </c>
      <c r="W4430" s="4" t="str">
        <f>IFERROR(__xludf.DUMMYFUNCTION("""COMPUTED_VALUE"""),"null")</f>
        <v>null</v>
      </c>
      <c r="X4430" s="33">
        <f>IFERROR(__xludf.DUMMYFUNCTION("""COMPUTED_VALUE"""),0.5)</f>
        <v>0.5</v>
      </c>
    </row>
    <row r="4431">
      <c r="K4431" s="4" t="str">
        <f>IFERROR(__xludf.DUMMYFUNCTION("""COMPUTED_VALUE"""),"DON FONSECA BURGER GRILL")</f>
        <v>DON FONSECA BURGER GRILL</v>
      </c>
      <c r="L4431" s="32">
        <f>IFERROR(__xludf.DUMMYFUNCTION("""COMPUTED_VALUE"""),2.0)</f>
        <v>2</v>
      </c>
      <c r="M4431" s="4" t="str">
        <f>IFERROR(__xludf.DUMMYFUNCTION("""COMPUTED_VALUE"""),"Saipos Serviços De Software")</f>
        <v>Saipos Serviços De Software</v>
      </c>
      <c r="N4431" s="33">
        <f>IFERROR(__xludf.DUMMYFUNCTION("""COMPUTED_VALUE"""),1.0)</f>
        <v>1</v>
      </c>
      <c r="O4431" s="4" t="str">
        <f>IFERROR(__xludf.DUMMYFUNCTION("""COMPUTED_VALUE"""),"Saipos Serviços De Software")</f>
        <v>Saipos Serviços De Software</v>
      </c>
      <c r="P4431" s="33">
        <f>IFERROR(__xludf.DUMMYFUNCTION("""COMPUTED_VALUE"""),1.0)</f>
        <v>1</v>
      </c>
      <c r="Q4431" s="4" t="str">
        <f>IFERROR(__xludf.DUMMYFUNCTION("""COMPUTED_VALUE"""),"null")</f>
        <v>null</v>
      </c>
      <c r="R4431" s="33">
        <f>IFERROR(__xludf.DUMMYFUNCTION("""COMPUTED_VALUE"""),0.5)</f>
        <v>0.5</v>
      </c>
      <c r="S4431" s="4" t="str">
        <f>IFERROR(__xludf.DUMMYFUNCTION("""COMPUTED_VALUE"""),"Saipos Serviços De Software")</f>
        <v>Saipos Serviços De Software</v>
      </c>
      <c r="T4431" s="33">
        <f>IFERROR(__xludf.DUMMYFUNCTION("""COMPUTED_VALUE"""),1.0)</f>
        <v>1</v>
      </c>
      <c r="U4431" s="4" t="str">
        <f>IFERROR(__xludf.DUMMYFUNCTION("""COMPUTED_VALUE"""),"null")</f>
        <v>null</v>
      </c>
      <c r="V4431" s="33">
        <f>IFERROR(__xludf.DUMMYFUNCTION("""COMPUTED_VALUE"""),0.5)</f>
        <v>0.5</v>
      </c>
      <c r="W4431" s="4" t="str">
        <f>IFERROR(__xludf.DUMMYFUNCTION("""COMPUTED_VALUE"""),"Saipos Serviços De Software")</f>
        <v>Saipos Serviços De Software</v>
      </c>
      <c r="X4431" s="33">
        <f>IFERROR(__xludf.DUMMYFUNCTION("""COMPUTED_VALUE"""),1.0)</f>
        <v>1</v>
      </c>
    </row>
    <row r="4432">
      <c r="K4432" s="4" t="str">
        <f>IFERROR(__xludf.DUMMYFUNCTION("""COMPUTED_VALUE"""),"SABOR DIVINO PIZZARIA")</f>
        <v>SABOR DIVINO PIZZARIA</v>
      </c>
      <c r="L4432" s="32">
        <f>IFERROR(__xludf.DUMMYFUNCTION("""COMPUTED_VALUE"""),2.0)</f>
        <v>2</v>
      </c>
      <c r="M4432" s="4" t="str">
        <f>IFERROR(__xludf.DUMMYFUNCTION("""COMPUTED_VALUE"""),"Anota Ai Solucoes Digitais S/a")</f>
        <v>Anota Ai Solucoes Digitais S/a</v>
      </c>
      <c r="N4432" s="33">
        <f>IFERROR(__xludf.DUMMYFUNCTION("""COMPUTED_VALUE"""),0.5)</f>
        <v>0.5</v>
      </c>
      <c r="O4432" s="4" t="str">
        <f>IFERROR(__xludf.DUMMYFUNCTION("""COMPUTED_VALUE"""),"Anota Ai Solucoes Digitais S/a")</f>
        <v>Anota Ai Solucoes Digitais S/a</v>
      </c>
      <c r="P4432" s="33">
        <f>IFERROR(__xludf.DUMMYFUNCTION("""COMPUTED_VALUE"""),0.5)</f>
        <v>0.5</v>
      </c>
      <c r="Q4432" s="4" t="str">
        <f>IFERROR(__xludf.DUMMYFUNCTION("""COMPUTED_VALUE"""),"null")</f>
        <v>null</v>
      </c>
      <c r="R4432" s="33">
        <f>IFERROR(__xludf.DUMMYFUNCTION("""COMPUTED_VALUE"""),0.5)</f>
        <v>0.5</v>
      </c>
      <c r="S4432" s="4" t="str">
        <f>IFERROR(__xludf.DUMMYFUNCTION("""COMPUTED_VALUE"""),"Anota Ai Solucoes Digitais S/a")</f>
        <v>Anota Ai Solucoes Digitais S/a</v>
      </c>
      <c r="T4432" s="33">
        <f>IFERROR(__xludf.DUMMYFUNCTION("""COMPUTED_VALUE"""),0.5)</f>
        <v>0.5</v>
      </c>
      <c r="U4432" s="4" t="str">
        <f>IFERROR(__xludf.DUMMYFUNCTION("""COMPUTED_VALUE"""),"Anota Ai Solucoes Digitais S/a")</f>
        <v>Anota Ai Solucoes Digitais S/a</v>
      </c>
      <c r="V4432" s="33">
        <f>IFERROR(__xludf.DUMMYFUNCTION("""COMPUTED_VALUE"""),0.5)</f>
        <v>0.5</v>
      </c>
      <c r="W4432" s="4" t="str">
        <f>IFERROR(__xludf.DUMMYFUNCTION("""COMPUTED_VALUE"""),"Anota Ai Solucoes Digitais S/a")</f>
        <v>Anota Ai Solucoes Digitais S/a</v>
      </c>
      <c r="X4432" s="33">
        <f>IFERROR(__xludf.DUMMYFUNCTION("""COMPUTED_VALUE"""),0.5)</f>
        <v>0.5</v>
      </c>
    </row>
    <row r="4433">
      <c r="K4433" s="4" t="str">
        <f>IFERROR(__xludf.DUMMYFUNCTION("""COMPUTED_VALUE"""),"CASA DO PARMEGIANA E STROGONOFF")</f>
        <v>CASA DO PARMEGIANA E STROGONOFF</v>
      </c>
      <c r="L4433" s="32">
        <f>IFERROR(__xludf.DUMMYFUNCTION("""COMPUTED_VALUE"""),2.0)</f>
        <v>2</v>
      </c>
      <c r="M4433" s="4" t="str">
        <f>IFERROR(__xludf.DUMMYFUNCTION("""COMPUTED_VALUE"""),"null")</f>
        <v>null</v>
      </c>
      <c r="N4433" s="33">
        <f>IFERROR(__xludf.DUMMYFUNCTION("""COMPUTED_VALUE"""),0.5)</f>
        <v>0.5</v>
      </c>
      <c r="O4433" s="4" t="str">
        <f>IFERROR(__xludf.DUMMYFUNCTION("""COMPUTED_VALUE"""),"null")</f>
        <v>null</v>
      </c>
      <c r="P4433" s="33">
        <f>IFERROR(__xludf.DUMMYFUNCTION("""COMPUTED_VALUE"""),0.5)</f>
        <v>0.5</v>
      </c>
      <c r="Q4433" s="4" t="str">
        <f>IFERROR(__xludf.DUMMYFUNCTION("""COMPUTED_VALUE"""),"null")</f>
        <v>null</v>
      </c>
      <c r="R4433" s="33">
        <f>IFERROR(__xludf.DUMMYFUNCTION("""COMPUTED_VALUE"""),0.5)</f>
        <v>0.5</v>
      </c>
      <c r="S4433" s="4" t="str">
        <f>IFERROR(__xludf.DUMMYFUNCTION("""COMPUTED_VALUE"""),"null")</f>
        <v>null</v>
      </c>
      <c r="T4433" s="33">
        <f>IFERROR(__xludf.DUMMYFUNCTION("""COMPUTED_VALUE"""),0.5)</f>
        <v>0.5</v>
      </c>
      <c r="U4433" s="4" t="str">
        <f>IFERROR(__xludf.DUMMYFUNCTION("""COMPUTED_VALUE"""),"Saipos Serviços De Software")</f>
        <v>Saipos Serviços De Software</v>
      </c>
      <c r="V4433" s="33">
        <f>IFERROR(__xludf.DUMMYFUNCTION("""COMPUTED_VALUE"""),0.5)</f>
        <v>0.5</v>
      </c>
      <c r="W4433" s="4" t="str">
        <f>IFERROR(__xludf.DUMMYFUNCTION("""COMPUTED_VALUE"""),"Saipos Serviços De Software")</f>
        <v>Saipos Serviços De Software</v>
      </c>
      <c r="X4433" s="33">
        <f>IFERROR(__xludf.DUMMYFUNCTION("""COMPUTED_VALUE"""),0.5)</f>
        <v>0.5</v>
      </c>
    </row>
    <row r="4434">
      <c r="K4434" s="4" t="str">
        <f>IFERROR(__xludf.DUMMYFUNCTION("""COMPUTED_VALUE"""),"ESFIHARIA E PIZZARIA SAO FRANCISCO")</f>
        <v>ESFIHARIA E PIZZARIA SAO FRANCISCO</v>
      </c>
      <c r="L4434" s="32">
        <f>IFERROR(__xludf.DUMMYFUNCTION("""COMPUTED_VALUE"""),2.0)</f>
        <v>2</v>
      </c>
      <c r="M4434" s="4" t="str">
        <f>IFERROR(__xludf.DUMMYFUNCTION("""COMPUTED_VALUE"""),"null")</f>
        <v>null</v>
      </c>
      <c r="N4434" s="33">
        <f>IFERROR(__xludf.DUMMYFUNCTION("""COMPUTED_VALUE"""),0.5)</f>
        <v>0.5</v>
      </c>
      <c r="O4434" s="4" t="str">
        <f>IFERROR(__xludf.DUMMYFUNCTION("""COMPUTED_VALUE"""),"null")</f>
        <v>null</v>
      </c>
      <c r="P4434" s="33">
        <f>IFERROR(__xludf.DUMMYFUNCTION("""COMPUTED_VALUE"""),0.5)</f>
        <v>0.5</v>
      </c>
      <c r="Q4434" s="4" t="str">
        <f>IFERROR(__xludf.DUMMYFUNCTION("""COMPUTED_VALUE"""),"null")</f>
        <v>null</v>
      </c>
      <c r="R4434" s="33">
        <f>IFERROR(__xludf.DUMMYFUNCTION("""COMPUTED_VALUE"""),0.5)</f>
        <v>0.5</v>
      </c>
      <c r="S4434" s="4" t="str">
        <f>IFERROR(__xludf.DUMMYFUNCTION("""COMPUTED_VALUE"""),"Cardápio Web")</f>
        <v>Cardápio Web</v>
      </c>
      <c r="T4434" s="33">
        <f>IFERROR(__xludf.DUMMYFUNCTION("""COMPUTED_VALUE"""),0.5)</f>
        <v>0.5</v>
      </c>
      <c r="U4434" s="4" t="str">
        <f>IFERROR(__xludf.DUMMYFUNCTION("""COMPUTED_VALUE"""),"Cardápio Web")</f>
        <v>Cardápio Web</v>
      </c>
      <c r="V4434" s="33">
        <f>IFERROR(__xludf.DUMMYFUNCTION("""COMPUTED_VALUE"""),0.5)</f>
        <v>0.5</v>
      </c>
      <c r="W4434" s="4" t="str">
        <f>IFERROR(__xludf.DUMMYFUNCTION("""COMPUTED_VALUE"""),"Cardápio Web")</f>
        <v>Cardápio Web</v>
      </c>
      <c r="X4434" s="33">
        <f>IFERROR(__xludf.DUMMYFUNCTION("""COMPUTED_VALUE"""),0.5)</f>
        <v>0.5</v>
      </c>
    </row>
    <row r="4435">
      <c r="K4435" s="4" t="str">
        <f>IFERROR(__xludf.DUMMYFUNCTION("""COMPUTED_VALUE"""),"TREVO DO LANCHE")</f>
        <v>TREVO DO LANCHE</v>
      </c>
      <c r="L4435" s="32">
        <f>IFERROR(__xludf.DUMMYFUNCTION("""COMPUTED_VALUE"""),2.0)</f>
        <v>2</v>
      </c>
      <c r="M4435" s="4" t="str">
        <f>IFERROR(__xludf.DUMMYFUNCTION("""COMPUTED_VALUE"""),"null")</f>
        <v>null</v>
      </c>
      <c r="N4435" s="33">
        <f>IFERROR(__xludf.DUMMYFUNCTION("""COMPUTED_VALUE"""),0.5)</f>
        <v>0.5</v>
      </c>
      <c r="O4435" s="4" t="str">
        <f>IFERROR(__xludf.DUMMYFUNCTION("""COMPUTED_VALUE"""),"null")</f>
        <v>null</v>
      </c>
      <c r="P4435" s="33">
        <f>IFERROR(__xludf.DUMMYFUNCTION("""COMPUTED_VALUE"""),0.5)</f>
        <v>0.5</v>
      </c>
      <c r="Q4435" s="4" t="str">
        <f>IFERROR(__xludf.DUMMYFUNCTION("""COMPUTED_VALUE"""),"null")</f>
        <v>null</v>
      </c>
      <c r="R4435" s="33">
        <f>IFERROR(__xludf.DUMMYFUNCTION("""COMPUTED_VALUE"""),1.0)</f>
        <v>1</v>
      </c>
      <c r="S4435" s="4" t="str">
        <f>IFERROR(__xludf.DUMMYFUNCTION("""COMPUTED_VALUE"""),"M-du Tecnologia")</f>
        <v>M-du Tecnologia</v>
      </c>
      <c r="T4435" s="33">
        <f>IFERROR(__xludf.DUMMYFUNCTION("""COMPUTED_VALUE"""),0.5)</f>
        <v>0.5</v>
      </c>
      <c r="U4435" s="4" t="str">
        <f>IFERROR(__xludf.DUMMYFUNCTION("""COMPUTED_VALUE"""),"null")</f>
        <v>null</v>
      </c>
      <c r="V4435" s="33">
        <f>IFERROR(__xludf.DUMMYFUNCTION("""COMPUTED_VALUE"""),1.0)</f>
        <v>1</v>
      </c>
      <c r="W4435" s="4" t="str">
        <f>IFERROR(__xludf.DUMMYFUNCTION("""COMPUTED_VALUE"""),"null")</f>
        <v>null</v>
      </c>
      <c r="X4435" s="33">
        <f>IFERROR(__xludf.DUMMYFUNCTION("""COMPUTED_VALUE"""),1.0)</f>
        <v>1</v>
      </c>
    </row>
    <row r="4436">
      <c r="K4436" s="4" t="str">
        <f>IFERROR(__xludf.DUMMYFUNCTION("""COMPUTED_VALUE"""),"CANTINHO DA FAMILIA")</f>
        <v>CANTINHO DA FAMILIA</v>
      </c>
      <c r="L4436" s="32">
        <f>IFERROR(__xludf.DUMMYFUNCTION("""COMPUTED_VALUE"""),2.0)</f>
        <v>2</v>
      </c>
      <c r="M4436" s="4" t="str">
        <f>IFERROR(__xludf.DUMMYFUNCTION("""COMPUTED_VALUE"""),"null")</f>
        <v>null</v>
      </c>
      <c r="N4436" s="33">
        <f>IFERROR(__xludf.DUMMYFUNCTION("""COMPUTED_VALUE"""),0.5)</f>
        <v>0.5</v>
      </c>
      <c r="O4436" s="4" t="str">
        <f>IFERROR(__xludf.DUMMYFUNCTION("""COMPUTED_VALUE"""),"null")</f>
        <v>null</v>
      </c>
      <c r="P4436" s="33">
        <f>IFERROR(__xludf.DUMMYFUNCTION("""COMPUTED_VALUE"""),0.5)</f>
        <v>0.5</v>
      </c>
      <c r="Q4436" s="4" t="str">
        <f>IFERROR(__xludf.DUMMYFUNCTION("""COMPUTED_VALUE"""),"null")</f>
        <v>null</v>
      </c>
      <c r="R4436" s="33">
        <f>IFERROR(__xludf.DUMMYFUNCTION("""COMPUTED_VALUE"""),0.5)</f>
        <v>0.5</v>
      </c>
      <c r="S4436" s="4" t="str">
        <f>IFERROR(__xludf.DUMMYFUNCTION("""COMPUTED_VALUE"""),"Cardápio Web")</f>
        <v>Cardápio Web</v>
      </c>
      <c r="T4436" s="33">
        <f>IFERROR(__xludf.DUMMYFUNCTION("""COMPUTED_VALUE"""),0.5)</f>
        <v>0.5</v>
      </c>
      <c r="U4436" s="4" t="str">
        <f>IFERROR(__xludf.DUMMYFUNCTION("""COMPUTED_VALUE"""),"Cardápio Web")</f>
        <v>Cardápio Web</v>
      </c>
      <c r="V4436" s="33">
        <f>IFERROR(__xludf.DUMMYFUNCTION("""COMPUTED_VALUE"""),0.5)</f>
        <v>0.5</v>
      </c>
      <c r="W4436" s="4" t="str">
        <f>IFERROR(__xludf.DUMMYFUNCTION("""COMPUTED_VALUE"""),"Cardápio Web")</f>
        <v>Cardápio Web</v>
      </c>
      <c r="X4436" s="33">
        <f>IFERROR(__xludf.DUMMYFUNCTION("""COMPUTED_VALUE"""),0.5)</f>
        <v>0.5</v>
      </c>
    </row>
    <row r="4437">
      <c r="K4437" s="4" t="str">
        <f>IFERROR(__xludf.DUMMYFUNCTION("""COMPUTED_VALUE"""),"RABELLO ACAI")</f>
        <v>RABELLO ACAI</v>
      </c>
      <c r="L4437" s="32">
        <f>IFERROR(__xludf.DUMMYFUNCTION("""COMPUTED_VALUE"""),2.0)</f>
        <v>2</v>
      </c>
      <c r="M4437" s="4" t="str">
        <f>IFERROR(__xludf.DUMMYFUNCTION("""COMPUTED_VALUE"""),"null")</f>
        <v>null</v>
      </c>
      <c r="N4437" s="33">
        <f>IFERROR(__xludf.DUMMYFUNCTION("""COMPUTED_VALUE"""),0.5)</f>
        <v>0.5</v>
      </c>
      <c r="O4437" s="4" t="str">
        <f>IFERROR(__xludf.DUMMYFUNCTION("""COMPUTED_VALUE"""),"null")</f>
        <v>null</v>
      </c>
      <c r="P4437" s="33">
        <f>IFERROR(__xludf.DUMMYFUNCTION("""COMPUTED_VALUE"""),0.5)</f>
        <v>0.5</v>
      </c>
      <c r="Q4437" s="4" t="str">
        <f>IFERROR(__xludf.DUMMYFUNCTION("""COMPUTED_VALUE"""),"null")</f>
        <v>null</v>
      </c>
      <c r="R4437" s="33">
        <f>IFERROR(__xludf.DUMMYFUNCTION("""COMPUTED_VALUE"""),1.0)</f>
        <v>1</v>
      </c>
      <c r="S4437" s="4" t="str">
        <f>IFERROR(__xludf.DUMMYFUNCTION("""COMPUTED_VALUE"""),"null")</f>
        <v>null</v>
      </c>
      <c r="T4437" s="33">
        <f>IFERROR(__xludf.DUMMYFUNCTION("""COMPUTED_VALUE"""),1.0)</f>
        <v>1</v>
      </c>
      <c r="U4437" s="4" t="str">
        <f>IFERROR(__xludf.DUMMYFUNCTION("""COMPUTED_VALUE"""),"null")</f>
        <v>null</v>
      </c>
      <c r="V4437" s="33">
        <f>IFERROR(__xludf.DUMMYFUNCTION("""COMPUTED_VALUE"""),1.0)</f>
        <v>1</v>
      </c>
      <c r="W4437" s="4" t="str">
        <f>IFERROR(__xludf.DUMMYFUNCTION("""COMPUTED_VALUE"""),"Schneider Software")</f>
        <v>Schneider Software</v>
      </c>
      <c r="X4437" s="33">
        <f>IFERROR(__xludf.DUMMYFUNCTION("""COMPUTED_VALUE"""),0.5)</f>
        <v>0.5</v>
      </c>
    </row>
    <row r="4438">
      <c r="K4438" s="4" t="str">
        <f>IFERROR(__xludf.DUMMYFUNCTION("""COMPUTED_VALUE"""),"CHICOS PIZZAS")</f>
        <v>CHICOS PIZZAS</v>
      </c>
      <c r="L4438" s="32">
        <f>IFERROR(__xludf.DUMMYFUNCTION("""COMPUTED_VALUE"""),2.0)</f>
        <v>2</v>
      </c>
      <c r="M4438" s="4" t="str">
        <f>IFERROR(__xludf.DUMMYFUNCTION("""COMPUTED_VALUE"""),"Igopizzas Sistemas Ltda")</f>
        <v>Igopizzas Sistemas Ltda</v>
      </c>
      <c r="N4438" s="33">
        <f>IFERROR(__xludf.DUMMYFUNCTION("""COMPUTED_VALUE"""),1.0)</f>
        <v>1</v>
      </c>
      <c r="O4438" s="4" t="str">
        <f>IFERROR(__xludf.DUMMYFUNCTION("""COMPUTED_VALUE"""),"Igopizzas Sistemas Ltda")</f>
        <v>Igopizzas Sistemas Ltda</v>
      </c>
      <c r="P4438" s="33">
        <f>IFERROR(__xludf.DUMMYFUNCTION("""COMPUTED_VALUE"""),1.0)</f>
        <v>1</v>
      </c>
      <c r="Q4438" s="4" t="str">
        <f>IFERROR(__xludf.DUMMYFUNCTION("""COMPUTED_VALUE"""),"Igopizzas Sistemas Ltda")</f>
        <v>Igopizzas Sistemas Ltda</v>
      </c>
      <c r="R4438" s="33">
        <f>IFERROR(__xludf.DUMMYFUNCTION("""COMPUTED_VALUE"""),1.0)</f>
        <v>1</v>
      </c>
      <c r="S4438" s="4" t="str">
        <f>IFERROR(__xludf.DUMMYFUNCTION("""COMPUTED_VALUE"""),"Igopizzas Sistemas Ltda")</f>
        <v>Igopizzas Sistemas Ltda</v>
      </c>
      <c r="T4438" s="33">
        <f>IFERROR(__xludf.DUMMYFUNCTION("""COMPUTED_VALUE"""),1.0)</f>
        <v>1</v>
      </c>
      <c r="U4438" s="4" t="str">
        <f>IFERROR(__xludf.DUMMYFUNCTION("""COMPUTED_VALUE"""),"Igopizzas Sistemas Ltda")</f>
        <v>Igopizzas Sistemas Ltda</v>
      </c>
      <c r="V4438" s="33">
        <f>IFERROR(__xludf.DUMMYFUNCTION("""COMPUTED_VALUE"""),1.0)</f>
        <v>1</v>
      </c>
      <c r="W4438" s="4" t="str">
        <f>IFERROR(__xludf.DUMMYFUNCTION("""COMPUTED_VALUE"""),"Igopizzas Sistemas Ltda")</f>
        <v>Igopizzas Sistemas Ltda</v>
      </c>
      <c r="X4438" s="33">
        <f>IFERROR(__xludf.DUMMYFUNCTION("""COMPUTED_VALUE"""),1.0)</f>
        <v>1</v>
      </c>
    </row>
    <row r="4439">
      <c r="K4439" s="4" t="str">
        <f>IFERROR(__xludf.DUMMYFUNCTION("""COMPUTED_VALUE"""),"THE HOUSE ACAI")</f>
        <v>THE HOUSE ACAI</v>
      </c>
      <c r="L4439" s="32">
        <f>IFERROR(__xludf.DUMMYFUNCTION("""COMPUTED_VALUE"""),2.0)</f>
        <v>2</v>
      </c>
      <c r="M4439" s="4" t="str">
        <f>IFERROR(__xludf.DUMMYFUNCTION("""COMPUTED_VALUE"""),"Anota Ai Solucoes Digitais S/a")</f>
        <v>Anota Ai Solucoes Digitais S/a</v>
      </c>
      <c r="N4439" s="33">
        <f>IFERROR(__xludf.DUMMYFUNCTION("""COMPUTED_VALUE"""),0.5)</f>
        <v>0.5</v>
      </c>
      <c r="O4439" s="4" t="str">
        <f>IFERROR(__xludf.DUMMYFUNCTION("""COMPUTED_VALUE"""),"Saipos Serviços De Software")</f>
        <v>Saipos Serviços De Software</v>
      </c>
      <c r="P4439" s="33">
        <f>IFERROR(__xludf.DUMMYFUNCTION("""COMPUTED_VALUE"""),0.5)</f>
        <v>0.5</v>
      </c>
      <c r="Q4439" s="4" t="str">
        <f>IFERROR(__xludf.DUMMYFUNCTION("""COMPUTED_VALUE"""),"Saipos Serviços De Software")</f>
        <v>Saipos Serviços De Software</v>
      </c>
      <c r="R4439" s="33">
        <f>IFERROR(__xludf.DUMMYFUNCTION("""COMPUTED_VALUE"""),0.5)</f>
        <v>0.5</v>
      </c>
      <c r="S4439" s="4" t="str">
        <f>IFERROR(__xludf.DUMMYFUNCTION("""COMPUTED_VALUE"""),"Saipos Serviços De Software")</f>
        <v>Saipos Serviços De Software</v>
      </c>
      <c r="T4439" s="33">
        <f>IFERROR(__xludf.DUMMYFUNCTION("""COMPUTED_VALUE"""),0.5)</f>
        <v>0.5</v>
      </c>
      <c r="U4439" s="4" t="str">
        <f>IFERROR(__xludf.DUMMYFUNCTION("""COMPUTED_VALUE"""),"Saipos Serviços De Software")</f>
        <v>Saipos Serviços De Software</v>
      </c>
      <c r="V4439" s="33">
        <f>IFERROR(__xludf.DUMMYFUNCTION("""COMPUTED_VALUE"""),0.5)</f>
        <v>0.5</v>
      </c>
      <c r="W4439" s="4" t="str">
        <f>IFERROR(__xludf.DUMMYFUNCTION("""COMPUTED_VALUE"""),"Saipos Serviços De Software")</f>
        <v>Saipos Serviços De Software</v>
      </c>
      <c r="X4439" s="33">
        <f>IFERROR(__xludf.DUMMYFUNCTION("""COMPUTED_VALUE"""),0.5)</f>
        <v>0.5</v>
      </c>
    </row>
    <row r="4440">
      <c r="K4440" s="4" t="str">
        <f>IFERROR(__xludf.DUMMYFUNCTION("""COMPUTED_VALUE"""),"BETO SALGADOS")</f>
        <v>BETO SALGADOS</v>
      </c>
      <c r="L4440" s="32">
        <f>IFERROR(__xludf.DUMMYFUNCTION("""COMPUTED_VALUE"""),2.0)</f>
        <v>2</v>
      </c>
      <c r="M4440" s="4" t="str">
        <f>IFERROR(__xludf.DUMMYFUNCTION("""COMPUTED_VALUE"""),"Cardápio Web")</f>
        <v>Cardápio Web</v>
      </c>
      <c r="N4440" s="33">
        <f>IFERROR(__xludf.DUMMYFUNCTION("""COMPUTED_VALUE"""),0.5)</f>
        <v>0.5</v>
      </c>
      <c r="O4440" s="4" t="str">
        <f>IFERROR(__xludf.DUMMYFUNCTION("""COMPUTED_VALUE"""),"Cardápio Web")</f>
        <v>Cardápio Web</v>
      </c>
      <c r="P4440" s="33">
        <f>IFERROR(__xludf.DUMMYFUNCTION("""COMPUTED_VALUE"""),0.5)</f>
        <v>0.5</v>
      </c>
      <c r="Q4440" s="4" t="str">
        <f>IFERROR(__xludf.DUMMYFUNCTION("""COMPUTED_VALUE"""),"null")</f>
        <v>null</v>
      </c>
      <c r="R4440" s="33">
        <f>IFERROR(__xludf.DUMMYFUNCTION("""COMPUTED_VALUE"""),0.5)</f>
        <v>0.5</v>
      </c>
      <c r="S4440" s="4" t="str">
        <f>IFERROR(__xludf.DUMMYFUNCTION("""COMPUTED_VALUE"""),"null")</f>
        <v>null</v>
      </c>
      <c r="T4440" s="33">
        <f>IFERROR(__xludf.DUMMYFUNCTION("""COMPUTED_VALUE"""),0.5)</f>
        <v>0.5</v>
      </c>
      <c r="U4440" s="4" t="str">
        <f>IFERROR(__xludf.DUMMYFUNCTION("""COMPUTED_VALUE"""),"null")</f>
        <v>null</v>
      </c>
      <c r="V4440" s="33">
        <f>IFERROR(__xludf.DUMMYFUNCTION("""COMPUTED_VALUE"""),0.5)</f>
        <v>0.5</v>
      </c>
      <c r="W4440" s="4" t="str">
        <f>IFERROR(__xludf.DUMMYFUNCTION("""COMPUTED_VALUE"""),"null")</f>
        <v>null</v>
      </c>
      <c r="X4440" s="33">
        <f>IFERROR(__xludf.DUMMYFUNCTION("""COMPUTED_VALUE"""),1.0)</f>
        <v>1</v>
      </c>
    </row>
    <row r="4441">
      <c r="K4441" s="4" t="str">
        <f>IFERROR(__xludf.DUMMYFUNCTION("""COMPUTED_VALUE"""),"DONA MARIA")</f>
        <v>DONA MARIA</v>
      </c>
      <c r="L4441" s="32">
        <f>IFERROR(__xludf.DUMMYFUNCTION("""COMPUTED_VALUE"""),2.0)</f>
        <v>2</v>
      </c>
      <c r="M4441" s="4" t="str">
        <f>IFERROR(__xludf.DUMMYFUNCTION("""COMPUTED_VALUE"""),"Saipos Serviços De Software")</f>
        <v>Saipos Serviços De Software</v>
      </c>
      <c r="N4441" s="33">
        <f>IFERROR(__xludf.DUMMYFUNCTION("""COMPUTED_VALUE"""),0.5)</f>
        <v>0.5</v>
      </c>
      <c r="O4441" s="4" t="str">
        <f>IFERROR(__xludf.DUMMYFUNCTION("""COMPUTED_VALUE"""),"Saipos Serviços De Software")</f>
        <v>Saipos Serviços De Software</v>
      </c>
      <c r="P4441" s="33">
        <f>IFERROR(__xludf.DUMMYFUNCTION("""COMPUTED_VALUE"""),0.5)</f>
        <v>0.5</v>
      </c>
      <c r="Q4441" s="4" t="str">
        <f>IFERROR(__xludf.DUMMYFUNCTION("""COMPUTED_VALUE"""),"Saipos Serviços De Software")</f>
        <v>Saipos Serviços De Software</v>
      </c>
      <c r="R4441" s="33">
        <f>IFERROR(__xludf.DUMMYFUNCTION("""COMPUTED_VALUE"""),0.5)</f>
        <v>0.5</v>
      </c>
      <c r="S4441" s="4" t="str">
        <f>IFERROR(__xludf.DUMMYFUNCTION("""COMPUTED_VALUE"""),"null")</f>
        <v>null</v>
      </c>
      <c r="T4441" s="33">
        <f>IFERROR(__xludf.DUMMYFUNCTION("""COMPUTED_VALUE"""),0.5)</f>
        <v>0.5</v>
      </c>
      <c r="U4441" s="4" t="str">
        <f>IFERROR(__xludf.DUMMYFUNCTION("""COMPUTED_VALUE"""),"Saipos Serviços De Software")</f>
        <v>Saipos Serviços De Software</v>
      </c>
      <c r="V4441" s="33">
        <f>IFERROR(__xludf.DUMMYFUNCTION("""COMPUTED_VALUE"""),0.5)</f>
        <v>0.5</v>
      </c>
      <c r="W4441" s="4" t="str">
        <f>IFERROR(__xludf.DUMMYFUNCTION("""COMPUTED_VALUE"""),"Saipos Serviços De Software")</f>
        <v>Saipos Serviços De Software</v>
      </c>
      <c r="X4441" s="33">
        <f>IFERROR(__xludf.DUMMYFUNCTION("""COMPUTED_VALUE"""),0.5)</f>
        <v>0.5</v>
      </c>
    </row>
    <row r="4442">
      <c r="K4442" s="4" t="str">
        <f>IFERROR(__xludf.DUMMYFUNCTION("""COMPUTED_VALUE"""),"IKIOI RESTAURANTE JAPONES")</f>
        <v>IKIOI RESTAURANTE JAPONES</v>
      </c>
      <c r="L4442" s="32">
        <f>IFERROR(__xludf.DUMMYFUNCTION("""COMPUTED_VALUE"""),2.0)</f>
        <v>2</v>
      </c>
      <c r="M4442" s="4" t="str">
        <f>IFERROR(__xludf.DUMMYFUNCTION("""COMPUTED_VALUE"""),"Atena Tecnologia Da Informacao Ltda")</f>
        <v>Atena Tecnologia Da Informacao Ltda</v>
      </c>
      <c r="N4442" s="33">
        <f>IFERROR(__xludf.DUMMYFUNCTION("""COMPUTED_VALUE"""),0.5)</f>
        <v>0.5</v>
      </c>
      <c r="O4442" s="4" t="str">
        <f>IFERROR(__xludf.DUMMYFUNCTION("""COMPUTED_VALUE"""),"Atena Tecnologia Da Informacao Ltda")</f>
        <v>Atena Tecnologia Da Informacao Ltda</v>
      </c>
      <c r="P4442" s="33">
        <f>IFERROR(__xludf.DUMMYFUNCTION("""COMPUTED_VALUE"""),0.5)</f>
        <v>0.5</v>
      </c>
      <c r="Q4442" s="4" t="str">
        <f>IFERROR(__xludf.DUMMYFUNCTION("""COMPUTED_VALUE"""),"Atena Tecnologia Da Informacao Ltda")</f>
        <v>Atena Tecnologia Da Informacao Ltda</v>
      </c>
      <c r="R4442" s="33">
        <f>IFERROR(__xludf.DUMMYFUNCTION("""COMPUTED_VALUE"""),1.0)</f>
        <v>1</v>
      </c>
      <c r="S4442" s="4" t="str">
        <f>IFERROR(__xludf.DUMMYFUNCTION("""COMPUTED_VALUE"""),"null")</f>
        <v>null</v>
      </c>
      <c r="T4442" s="33">
        <f>IFERROR(__xludf.DUMMYFUNCTION("""COMPUTED_VALUE"""),0.5)</f>
        <v>0.5</v>
      </c>
      <c r="U4442" s="4" t="str">
        <f>IFERROR(__xludf.DUMMYFUNCTION("""COMPUTED_VALUE"""),"null")</f>
        <v>null</v>
      </c>
      <c r="V4442" s="33">
        <f>IFERROR(__xludf.DUMMYFUNCTION("""COMPUTED_VALUE"""),0.5)</f>
        <v>0.5</v>
      </c>
      <c r="W4442" s="4" t="str">
        <f>IFERROR(__xludf.DUMMYFUNCTION("""COMPUTED_VALUE"""),"null")</f>
        <v>null</v>
      </c>
      <c r="X4442" s="33">
        <f>IFERROR(__xludf.DUMMYFUNCTION("""COMPUTED_VALUE"""),0.5)</f>
        <v>0.5</v>
      </c>
    </row>
    <row r="4443">
      <c r="K4443" s="4" t="str">
        <f>IFERROR(__xludf.DUMMYFUNCTION("""COMPUTED_VALUE"""),"XIS DO SUL")</f>
        <v>XIS DO SUL</v>
      </c>
      <c r="L4443" s="32">
        <f>IFERROR(__xludf.DUMMYFUNCTION("""COMPUTED_VALUE"""),2.0)</f>
        <v>2</v>
      </c>
      <c r="M4443" s="4" t="str">
        <f>IFERROR(__xludf.DUMMYFUNCTION("""COMPUTED_VALUE"""),"Consumer Soluções Em Tecnologia Ltda")</f>
        <v>Consumer Soluções Em Tecnologia Ltda</v>
      </c>
      <c r="N4443" s="33">
        <f>IFERROR(__xludf.DUMMYFUNCTION("""COMPUTED_VALUE"""),0.5)</f>
        <v>0.5</v>
      </c>
      <c r="O4443" s="4" t="str">
        <f>IFERROR(__xludf.DUMMYFUNCTION("""COMPUTED_VALUE"""),"Consumer Soluções Em Tecnologia Ltda")</f>
        <v>Consumer Soluções Em Tecnologia Ltda</v>
      </c>
      <c r="P4443" s="33">
        <f>IFERROR(__xludf.DUMMYFUNCTION("""COMPUTED_VALUE"""),0.5)</f>
        <v>0.5</v>
      </c>
      <c r="Q4443" s="4" t="str">
        <f>IFERROR(__xludf.DUMMYFUNCTION("""COMPUTED_VALUE"""),"Consumer Soluções Em Tecnologia Ltda")</f>
        <v>Consumer Soluções Em Tecnologia Ltda</v>
      </c>
      <c r="R4443" s="33">
        <f>IFERROR(__xludf.DUMMYFUNCTION("""COMPUTED_VALUE"""),0.5)</f>
        <v>0.5</v>
      </c>
      <c r="S4443" s="4" t="str">
        <f>IFERROR(__xludf.DUMMYFUNCTION("""COMPUTED_VALUE"""),"Consumer Soluções Em Tecnologia Ltda")</f>
        <v>Consumer Soluções Em Tecnologia Ltda</v>
      </c>
      <c r="T4443" s="33">
        <f>IFERROR(__xludf.DUMMYFUNCTION("""COMPUTED_VALUE"""),0.5)</f>
        <v>0.5</v>
      </c>
      <c r="U4443" s="4" t="str">
        <f>IFERROR(__xludf.DUMMYFUNCTION("""COMPUTED_VALUE"""),"Consumer Soluções Em Tecnologia Ltda")</f>
        <v>Consumer Soluções Em Tecnologia Ltda</v>
      </c>
      <c r="V4443" s="33">
        <f>IFERROR(__xludf.DUMMYFUNCTION("""COMPUTED_VALUE"""),0.5)</f>
        <v>0.5</v>
      </c>
      <c r="W4443" s="4" t="str">
        <f>IFERROR(__xludf.DUMMYFUNCTION("""COMPUTED_VALUE"""),"Consumer Soluções Em Tecnologia Ltda")</f>
        <v>Consumer Soluções Em Tecnologia Ltda</v>
      </c>
      <c r="X4443" s="33">
        <f>IFERROR(__xludf.DUMMYFUNCTION("""COMPUTED_VALUE"""),0.5)</f>
        <v>0.5</v>
      </c>
    </row>
    <row r="4444">
      <c r="K4444" s="4" t="str">
        <f>IFERROR(__xludf.DUMMYFUNCTION("""COMPUTED_VALUE"""),"ZEN COZINHA ORIENTAL")</f>
        <v>ZEN COZINHA ORIENTAL</v>
      </c>
      <c r="L4444" s="32">
        <f>IFERROR(__xludf.DUMMYFUNCTION("""COMPUTED_VALUE"""),2.0)</f>
        <v>2</v>
      </c>
      <c r="M4444" s="4" t="str">
        <f>IFERROR(__xludf.DUMMYFUNCTION("""COMPUTED_VALUE"""),"Netcontroll Xmenu")</f>
        <v>Netcontroll Xmenu</v>
      </c>
      <c r="N4444" s="33">
        <f>IFERROR(__xludf.DUMMYFUNCTION("""COMPUTED_VALUE"""),0.5)</f>
        <v>0.5</v>
      </c>
      <c r="O4444" s="4" t="str">
        <f>IFERROR(__xludf.DUMMYFUNCTION("""COMPUTED_VALUE"""),"Netcontroll Xmenu")</f>
        <v>Netcontroll Xmenu</v>
      </c>
      <c r="P4444" s="33">
        <f>IFERROR(__xludf.DUMMYFUNCTION("""COMPUTED_VALUE"""),0.5)</f>
        <v>0.5</v>
      </c>
      <c r="Q4444" s="4" t="str">
        <f>IFERROR(__xludf.DUMMYFUNCTION("""COMPUTED_VALUE"""),"Netcontroll Xmenu")</f>
        <v>Netcontroll Xmenu</v>
      </c>
      <c r="R4444" s="33">
        <f>IFERROR(__xludf.DUMMYFUNCTION("""COMPUTED_VALUE"""),0.5)</f>
        <v>0.5</v>
      </c>
      <c r="S4444" s="4" t="str">
        <f>IFERROR(__xludf.DUMMYFUNCTION("""COMPUTED_VALUE"""),"Netcontroll Xmenu")</f>
        <v>Netcontroll Xmenu</v>
      </c>
      <c r="T4444" s="33">
        <f>IFERROR(__xludf.DUMMYFUNCTION("""COMPUTED_VALUE"""),0.5)</f>
        <v>0.5</v>
      </c>
      <c r="U4444" s="4" t="str">
        <f>IFERROR(__xludf.DUMMYFUNCTION("""COMPUTED_VALUE"""),"Netcontroll Xmenu")</f>
        <v>Netcontroll Xmenu</v>
      </c>
      <c r="V4444" s="33">
        <f>IFERROR(__xludf.DUMMYFUNCTION("""COMPUTED_VALUE"""),1.0)</f>
        <v>1</v>
      </c>
      <c r="W4444" s="4" t="str">
        <f>IFERROR(__xludf.DUMMYFUNCTION("""COMPUTED_VALUE"""),"Netcontroll Xmenu")</f>
        <v>Netcontroll Xmenu</v>
      </c>
      <c r="X4444" s="33">
        <f>IFERROR(__xludf.DUMMYFUNCTION("""COMPUTED_VALUE"""),1.0)</f>
        <v>1</v>
      </c>
    </row>
    <row r="4445">
      <c r="K4445" s="4" t="str">
        <f>IFERROR(__xludf.DUMMYFUNCTION("""COMPUTED_VALUE"""),"HAMBURGUERIA THE WISH")</f>
        <v>HAMBURGUERIA THE WISH</v>
      </c>
      <c r="L4445" s="32">
        <f>IFERROR(__xludf.DUMMYFUNCTION("""COMPUTED_VALUE"""),2.0)</f>
        <v>2</v>
      </c>
      <c r="M4445" s="4" t="str">
        <f>IFERROR(__xludf.DUMMYFUNCTION("""COMPUTED_VALUE"""),"Cardápio Web")</f>
        <v>Cardápio Web</v>
      </c>
      <c r="N4445" s="33">
        <f>IFERROR(__xludf.DUMMYFUNCTION("""COMPUTED_VALUE"""),0.5)</f>
        <v>0.5</v>
      </c>
      <c r="O4445" s="4" t="str">
        <f>IFERROR(__xludf.DUMMYFUNCTION("""COMPUTED_VALUE"""),"Cardápio Web")</f>
        <v>Cardápio Web</v>
      </c>
      <c r="P4445" s="33">
        <f>IFERROR(__xludf.DUMMYFUNCTION("""COMPUTED_VALUE"""),0.5)</f>
        <v>0.5</v>
      </c>
      <c r="Q4445" s="4" t="str">
        <f>IFERROR(__xludf.DUMMYFUNCTION("""COMPUTED_VALUE"""),"Cardápio Web")</f>
        <v>Cardápio Web</v>
      </c>
      <c r="R4445" s="33">
        <f>IFERROR(__xludf.DUMMYFUNCTION("""COMPUTED_VALUE"""),1.0)</f>
        <v>1</v>
      </c>
      <c r="S4445" s="4" t="str">
        <f>IFERROR(__xludf.DUMMYFUNCTION("""COMPUTED_VALUE"""),"null")</f>
        <v>null</v>
      </c>
      <c r="T4445" s="33">
        <f>IFERROR(__xludf.DUMMYFUNCTION("""COMPUTED_VALUE"""),0.5)</f>
        <v>0.5</v>
      </c>
      <c r="U4445" s="4" t="str">
        <f>IFERROR(__xludf.DUMMYFUNCTION("""COMPUTED_VALUE"""),"null")</f>
        <v>null</v>
      </c>
      <c r="V4445" s="33">
        <f>IFERROR(__xludf.DUMMYFUNCTION("""COMPUTED_VALUE"""),0.5)</f>
        <v>0.5</v>
      </c>
      <c r="W4445" s="4" t="str">
        <f>IFERROR(__xludf.DUMMYFUNCTION("""COMPUTED_VALUE"""),"null")</f>
        <v>null</v>
      </c>
      <c r="X4445" s="33">
        <f>IFERROR(__xludf.DUMMYFUNCTION("""COMPUTED_VALUE"""),0.5)</f>
        <v>0.5</v>
      </c>
    </row>
    <row r="4446">
      <c r="K4446" s="4" t="str">
        <f>IFERROR(__xludf.DUMMYFUNCTION("""COMPUTED_VALUE"""),"SANTO CREPE")</f>
        <v>SANTO CREPE</v>
      </c>
      <c r="L4446" s="32">
        <f>IFERROR(__xludf.DUMMYFUNCTION("""COMPUTED_VALUE"""),2.0)</f>
        <v>2</v>
      </c>
      <c r="M4446" s="4" t="str">
        <f>IFERROR(__xludf.DUMMYFUNCTION("""COMPUTED_VALUE"""),"Lecard Delivery")</f>
        <v>Lecard Delivery</v>
      </c>
      <c r="N4446" s="33">
        <f>IFERROR(__xludf.DUMMYFUNCTION("""COMPUTED_VALUE"""),0.5)</f>
        <v>0.5</v>
      </c>
      <c r="O4446" s="4" t="str">
        <f>IFERROR(__xludf.DUMMYFUNCTION("""COMPUTED_VALUE"""),"Lecard Delivery")</f>
        <v>Lecard Delivery</v>
      </c>
      <c r="P4446" s="33">
        <f>IFERROR(__xludf.DUMMYFUNCTION("""COMPUTED_VALUE"""),0.5)</f>
        <v>0.5</v>
      </c>
      <c r="Q4446" s="4" t="str">
        <f>IFERROR(__xludf.DUMMYFUNCTION("""COMPUTED_VALUE"""),"Lecard Delivery")</f>
        <v>Lecard Delivery</v>
      </c>
      <c r="R4446" s="33">
        <f>IFERROR(__xludf.DUMMYFUNCTION("""COMPUTED_VALUE"""),0.5)</f>
        <v>0.5</v>
      </c>
      <c r="S4446" s="4" t="str">
        <f>IFERROR(__xludf.DUMMYFUNCTION("""COMPUTED_VALUE"""),"Lecard Delivery")</f>
        <v>Lecard Delivery</v>
      </c>
      <c r="T4446" s="33">
        <f>IFERROR(__xludf.DUMMYFUNCTION("""COMPUTED_VALUE"""),0.5)</f>
        <v>0.5</v>
      </c>
      <c r="U4446" s="4" t="str">
        <f>IFERROR(__xludf.DUMMYFUNCTION("""COMPUTED_VALUE"""),"Lecard Delivery")</f>
        <v>Lecard Delivery</v>
      </c>
      <c r="V4446" s="33">
        <f>IFERROR(__xludf.DUMMYFUNCTION("""COMPUTED_VALUE"""),0.5)</f>
        <v>0.5</v>
      </c>
      <c r="W4446" s="4" t="str">
        <f>IFERROR(__xludf.DUMMYFUNCTION("""COMPUTED_VALUE"""),"Lecard Delivery")</f>
        <v>Lecard Delivery</v>
      </c>
      <c r="X4446" s="33">
        <f>IFERROR(__xludf.DUMMYFUNCTION("""COMPUTED_VALUE"""),0.5)</f>
        <v>0.5</v>
      </c>
    </row>
    <row r="4447">
      <c r="K4447" s="4" t="str">
        <f>IFERROR(__xludf.DUMMYFUNCTION("""COMPUTED_VALUE"""),"CARLINHOS LANCHES")</f>
        <v>CARLINHOS LANCHES</v>
      </c>
      <c r="L4447" s="32">
        <f>IFERROR(__xludf.DUMMYFUNCTION("""COMPUTED_VALUE"""),2.0)</f>
        <v>2</v>
      </c>
      <c r="M4447" s="4" t="str">
        <f>IFERROR(__xludf.DUMMYFUNCTION("""COMPUTED_VALUE"""),"Cainelli Automação Comercial")</f>
        <v>Cainelli Automação Comercial</v>
      </c>
      <c r="N4447" s="33">
        <f>IFERROR(__xludf.DUMMYFUNCTION("""COMPUTED_VALUE"""),0.5)</f>
        <v>0.5</v>
      </c>
      <c r="O4447" s="4" t="str">
        <f>IFERROR(__xludf.DUMMYFUNCTION("""COMPUTED_VALUE"""),"Cainelli Automação Comercial")</f>
        <v>Cainelli Automação Comercial</v>
      </c>
      <c r="P4447" s="33">
        <f>IFERROR(__xludf.DUMMYFUNCTION("""COMPUTED_VALUE"""),0.5)</f>
        <v>0.5</v>
      </c>
      <c r="Q4447" s="4" t="str">
        <f>IFERROR(__xludf.DUMMYFUNCTION("""COMPUTED_VALUE"""),"Cainelli Automação Comercial")</f>
        <v>Cainelli Automação Comercial</v>
      </c>
      <c r="R4447" s="33">
        <f>IFERROR(__xludf.DUMMYFUNCTION("""COMPUTED_VALUE"""),0.5)</f>
        <v>0.5</v>
      </c>
      <c r="S4447" s="4" t="str">
        <f>IFERROR(__xludf.DUMMYFUNCTION("""COMPUTED_VALUE"""),"null")</f>
        <v>null</v>
      </c>
      <c r="T4447" s="33">
        <f>IFERROR(__xludf.DUMMYFUNCTION("""COMPUTED_VALUE"""),1.0)</f>
        <v>1</v>
      </c>
      <c r="U4447" s="4" t="str">
        <f>IFERROR(__xludf.DUMMYFUNCTION("""COMPUTED_VALUE"""),"Cainelli Automação Comercial")</f>
        <v>Cainelli Automação Comercial</v>
      </c>
      <c r="V4447" s="33">
        <f>IFERROR(__xludf.DUMMYFUNCTION("""COMPUTED_VALUE"""),0.5)</f>
        <v>0.5</v>
      </c>
      <c r="W4447" s="4" t="str">
        <f>IFERROR(__xludf.DUMMYFUNCTION("""COMPUTED_VALUE"""),"Cainelli Automação Comercial")</f>
        <v>Cainelli Automação Comercial</v>
      </c>
      <c r="X4447" s="33">
        <f>IFERROR(__xludf.DUMMYFUNCTION("""COMPUTED_VALUE"""),0.5)</f>
        <v>0.5</v>
      </c>
    </row>
    <row r="4448">
      <c r="K4448" s="4" t="str">
        <f>IFERROR(__xludf.DUMMYFUNCTION("""COMPUTED_VALUE"""),"BOTELHOS BURGUER")</f>
        <v>BOTELHOS BURGUER</v>
      </c>
      <c r="L4448" s="32">
        <f>IFERROR(__xludf.DUMMYFUNCTION("""COMPUTED_VALUE"""),2.0)</f>
        <v>2</v>
      </c>
      <c r="M4448" s="4" t="str">
        <f>IFERROR(__xludf.DUMMYFUNCTION("""COMPUTED_VALUE"""),"Cardápio Web")</f>
        <v>Cardápio Web</v>
      </c>
      <c r="N4448" s="33">
        <f>IFERROR(__xludf.DUMMYFUNCTION("""COMPUTED_VALUE"""),0.5)</f>
        <v>0.5</v>
      </c>
      <c r="O4448" s="4" t="str">
        <f>IFERROR(__xludf.DUMMYFUNCTION("""COMPUTED_VALUE"""),"Cardápio Web")</f>
        <v>Cardápio Web</v>
      </c>
      <c r="P4448" s="33">
        <f>IFERROR(__xludf.DUMMYFUNCTION("""COMPUTED_VALUE"""),0.5)</f>
        <v>0.5</v>
      </c>
      <c r="Q4448" s="4" t="str">
        <f>IFERROR(__xludf.DUMMYFUNCTION("""COMPUTED_VALUE"""),"Cardápio Web")</f>
        <v>Cardápio Web</v>
      </c>
      <c r="R4448" s="33">
        <f>IFERROR(__xludf.DUMMYFUNCTION("""COMPUTED_VALUE"""),0.5)</f>
        <v>0.5</v>
      </c>
      <c r="S4448" s="4" t="str">
        <f>IFERROR(__xludf.DUMMYFUNCTION("""COMPUTED_VALUE"""),"Cardápio Web")</f>
        <v>Cardápio Web</v>
      </c>
      <c r="T4448" s="33">
        <f>IFERROR(__xludf.DUMMYFUNCTION("""COMPUTED_VALUE"""),0.5)</f>
        <v>0.5</v>
      </c>
      <c r="U4448" s="4" t="str">
        <f>IFERROR(__xludf.DUMMYFUNCTION("""COMPUTED_VALUE"""),"null")</f>
        <v>null</v>
      </c>
      <c r="V4448" s="33">
        <f>IFERROR(__xludf.DUMMYFUNCTION("""COMPUTED_VALUE"""),1.0)</f>
        <v>1</v>
      </c>
      <c r="W4448" s="4" t="str">
        <f>IFERROR(__xludf.DUMMYFUNCTION("""COMPUTED_VALUE"""),"Cardápio Web")</f>
        <v>Cardápio Web</v>
      </c>
      <c r="X4448" s="33">
        <f>IFERROR(__xludf.DUMMYFUNCTION("""COMPUTED_VALUE"""),0.5)</f>
        <v>0.5</v>
      </c>
    </row>
    <row r="4449">
      <c r="K4449" s="4" t="str">
        <f>IFERROR(__xludf.DUMMYFUNCTION("""COMPUTED_VALUE"""),"WISCO PIZZARIA E LANCHERIA")</f>
        <v>WISCO PIZZARIA E LANCHERIA</v>
      </c>
      <c r="L4449" s="32">
        <f>IFERROR(__xludf.DUMMYFUNCTION("""COMPUTED_VALUE"""),2.0)</f>
        <v>2</v>
      </c>
      <c r="M4449" s="4" t="str">
        <f>IFERROR(__xludf.DUMMYFUNCTION("""COMPUTED_VALUE"""),"Anota Ai Solucoes Digitais S/a")</f>
        <v>Anota Ai Solucoes Digitais S/a</v>
      </c>
      <c r="N4449" s="33">
        <f>IFERROR(__xludf.DUMMYFUNCTION("""COMPUTED_VALUE"""),1.0)</f>
        <v>1</v>
      </c>
      <c r="O4449" s="4" t="str">
        <f>IFERROR(__xludf.DUMMYFUNCTION("""COMPUTED_VALUE"""),"Anota Ai Solucoes Digitais S/a")</f>
        <v>Anota Ai Solucoes Digitais S/a</v>
      </c>
      <c r="P4449" s="33">
        <f>IFERROR(__xludf.DUMMYFUNCTION("""COMPUTED_VALUE"""),1.0)</f>
        <v>1</v>
      </c>
      <c r="Q4449" s="4" t="str">
        <f>IFERROR(__xludf.DUMMYFUNCTION("""COMPUTED_VALUE"""),"Anota Ai Solucoes Digitais S/a")</f>
        <v>Anota Ai Solucoes Digitais S/a</v>
      </c>
      <c r="R4449" s="33">
        <f>IFERROR(__xludf.DUMMYFUNCTION("""COMPUTED_VALUE"""),1.0)</f>
        <v>1</v>
      </c>
      <c r="S4449" s="4" t="str">
        <f>IFERROR(__xludf.DUMMYFUNCTION("""COMPUTED_VALUE"""),"Anota Ai Solucoes Digitais S/a")</f>
        <v>Anota Ai Solucoes Digitais S/a</v>
      </c>
      <c r="T4449" s="33">
        <f>IFERROR(__xludf.DUMMYFUNCTION("""COMPUTED_VALUE"""),1.0)</f>
        <v>1</v>
      </c>
      <c r="U4449" s="4" t="str">
        <f>IFERROR(__xludf.DUMMYFUNCTION("""COMPUTED_VALUE"""),"Anota Ai Solucoes Digitais S/a")</f>
        <v>Anota Ai Solucoes Digitais S/a</v>
      </c>
      <c r="V4449" s="33">
        <f>IFERROR(__xludf.DUMMYFUNCTION("""COMPUTED_VALUE"""),1.0)</f>
        <v>1</v>
      </c>
      <c r="W4449" s="4" t="str">
        <f>IFERROR(__xludf.DUMMYFUNCTION("""COMPUTED_VALUE"""),"Anota Ai Solucoes Digitais S/a")</f>
        <v>Anota Ai Solucoes Digitais S/a</v>
      </c>
      <c r="X4449" s="33">
        <f>IFERROR(__xludf.DUMMYFUNCTION("""COMPUTED_VALUE"""),1.0)</f>
        <v>1</v>
      </c>
    </row>
    <row r="4450">
      <c r="K4450" s="4" t="str">
        <f>IFERROR(__xludf.DUMMYFUNCTION("""COMPUTED_VALUE"""),"TERRACO BURGER BEER")</f>
        <v>TERRACO BURGER BEER</v>
      </c>
      <c r="L4450" s="32">
        <f>IFERROR(__xludf.DUMMYFUNCTION("""COMPUTED_VALUE"""),2.0)</f>
        <v>2</v>
      </c>
      <c r="M4450" s="4" t="str">
        <f>IFERROR(__xludf.DUMMYFUNCTION("""COMPUTED_VALUE"""),"Saipos Serviços De Software")</f>
        <v>Saipos Serviços De Software</v>
      </c>
      <c r="N4450" s="33">
        <f>IFERROR(__xludf.DUMMYFUNCTION("""COMPUTED_VALUE"""),1.0)</f>
        <v>1</v>
      </c>
      <c r="O4450" s="4" t="str">
        <f>IFERROR(__xludf.DUMMYFUNCTION("""COMPUTED_VALUE"""),"Saipos Serviços De Software")</f>
        <v>Saipos Serviços De Software</v>
      </c>
      <c r="P4450" s="33">
        <f>IFERROR(__xludf.DUMMYFUNCTION("""COMPUTED_VALUE"""),1.0)</f>
        <v>1</v>
      </c>
      <c r="Q4450" s="4" t="str">
        <f>IFERROR(__xludf.DUMMYFUNCTION("""COMPUTED_VALUE"""),"Saipos Serviços De Software")</f>
        <v>Saipos Serviços De Software</v>
      </c>
      <c r="R4450" s="33">
        <f>IFERROR(__xludf.DUMMYFUNCTION("""COMPUTED_VALUE"""),1.0)</f>
        <v>1</v>
      </c>
      <c r="S4450" s="4" t="str">
        <f>IFERROR(__xludf.DUMMYFUNCTION("""COMPUTED_VALUE"""),"Saipos Serviços De Software")</f>
        <v>Saipos Serviços De Software</v>
      </c>
      <c r="T4450" s="33">
        <f>IFERROR(__xludf.DUMMYFUNCTION("""COMPUTED_VALUE"""),1.0)</f>
        <v>1</v>
      </c>
      <c r="U4450" s="4" t="str">
        <f>IFERROR(__xludf.DUMMYFUNCTION("""COMPUTED_VALUE"""),"Saipos Serviços De Software")</f>
        <v>Saipos Serviços De Software</v>
      </c>
      <c r="V4450" s="33">
        <f>IFERROR(__xludf.DUMMYFUNCTION("""COMPUTED_VALUE"""),1.0)</f>
        <v>1</v>
      </c>
      <c r="W4450" s="4" t="str">
        <f>IFERROR(__xludf.DUMMYFUNCTION("""COMPUTED_VALUE"""),"Saipos Serviços De Software")</f>
        <v>Saipos Serviços De Software</v>
      </c>
      <c r="X4450" s="33">
        <f>IFERROR(__xludf.DUMMYFUNCTION("""COMPUTED_VALUE"""),1.0)</f>
        <v>1</v>
      </c>
    </row>
    <row r="4451">
      <c r="K4451" s="4" t="str">
        <f>IFERROR(__xludf.DUMMYFUNCTION("""COMPUTED_VALUE"""),"RANGOS GRILL")</f>
        <v>RANGOS GRILL</v>
      </c>
      <c r="L4451" s="32">
        <f>IFERROR(__xludf.DUMMYFUNCTION("""COMPUTED_VALUE"""),2.0)</f>
        <v>2</v>
      </c>
      <c r="M4451" s="4" t="str">
        <f>IFERROR(__xludf.DUMMYFUNCTION("""COMPUTED_VALUE"""),"Zip Software")</f>
        <v>Zip Software</v>
      </c>
      <c r="N4451" s="33">
        <f>IFERROR(__xludf.DUMMYFUNCTION("""COMPUTED_VALUE"""),0.5)</f>
        <v>0.5</v>
      </c>
      <c r="O4451" s="4" t="str">
        <f>IFERROR(__xludf.DUMMYFUNCTION("""COMPUTED_VALUE"""),"Zip Software")</f>
        <v>Zip Software</v>
      </c>
      <c r="P4451" s="33">
        <f>IFERROR(__xludf.DUMMYFUNCTION("""COMPUTED_VALUE"""),0.5)</f>
        <v>0.5</v>
      </c>
      <c r="Q4451" s="4" t="str">
        <f>IFERROR(__xludf.DUMMYFUNCTION("""COMPUTED_VALUE"""),"Zip Software")</f>
        <v>Zip Software</v>
      </c>
      <c r="R4451" s="33">
        <f>IFERROR(__xludf.DUMMYFUNCTION("""COMPUTED_VALUE"""),0.5)</f>
        <v>0.5</v>
      </c>
      <c r="S4451" s="4" t="str">
        <f>IFERROR(__xludf.DUMMYFUNCTION("""COMPUTED_VALUE"""),"Zip Software")</f>
        <v>Zip Software</v>
      </c>
      <c r="T4451" s="33">
        <f>IFERROR(__xludf.DUMMYFUNCTION("""COMPUTED_VALUE"""),0.5)</f>
        <v>0.5</v>
      </c>
      <c r="U4451" s="4" t="str">
        <f>IFERROR(__xludf.DUMMYFUNCTION("""COMPUTED_VALUE"""),"Zip Software")</f>
        <v>Zip Software</v>
      </c>
      <c r="V4451" s="33">
        <f>IFERROR(__xludf.DUMMYFUNCTION("""COMPUTED_VALUE"""),0.5)</f>
        <v>0.5</v>
      </c>
      <c r="W4451" s="4" t="str">
        <f>IFERROR(__xludf.DUMMYFUNCTION("""COMPUTED_VALUE"""),"Zip Software")</f>
        <v>Zip Software</v>
      </c>
      <c r="X4451" s="33">
        <f>IFERROR(__xludf.DUMMYFUNCTION("""COMPUTED_VALUE"""),0.5)</f>
        <v>0.5</v>
      </c>
    </row>
    <row r="4452">
      <c r="K4452" s="4" t="str">
        <f>IFERROR(__xludf.DUMMYFUNCTION("""COMPUTED_VALUE"""),"THE BIG ACAI")</f>
        <v>THE BIG ACAI</v>
      </c>
      <c r="L4452" s="32">
        <f>IFERROR(__xludf.DUMMYFUNCTION("""COMPUTED_VALUE"""),2.0)</f>
        <v>2</v>
      </c>
      <c r="M4452" s="4" t="str">
        <f>IFERROR(__xludf.DUMMYFUNCTION("""COMPUTED_VALUE"""),"Cardápio Web")</f>
        <v>Cardápio Web</v>
      </c>
      <c r="N4452" s="33">
        <f>IFERROR(__xludf.DUMMYFUNCTION("""COMPUTED_VALUE"""),0.5)</f>
        <v>0.5</v>
      </c>
      <c r="O4452" s="4" t="str">
        <f>IFERROR(__xludf.DUMMYFUNCTION("""COMPUTED_VALUE"""),"Cardápio Web")</f>
        <v>Cardápio Web</v>
      </c>
      <c r="P4452" s="33">
        <f>IFERROR(__xludf.DUMMYFUNCTION("""COMPUTED_VALUE"""),0.5)</f>
        <v>0.5</v>
      </c>
      <c r="Q4452" s="4" t="str">
        <f>IFERROR(__xludf.DUMMYFUNCTION("""COMPUTED_VALUE"""),"Cardápio Web")</f>
        <v>Cardápio Web</v>
      </c>
      <c r="R4452" s="33">
        <f>IFERROR(__xludf.DUMMYFUNCTION("""COMPUTED_VALUE"""),0.5)</f>
        <v>0.5</v>
      </c>
      <c r="S4452" s="4" t="str">
        <f>IFERROR(__xludf.DUMMYFUNCTION("""COMPUTED_VALUE"""),"Cardápio Web")</f>
        <v>Cardápio Web</v>
      </c>
      <c r="T4452" s="33">
        <f>IFERROR(__xludf.DUMMYFUNCTION("""COMPUTED_VALUE"""),0.5)</f>
        <v>0.5</v>
      </c>
      <c r="U4452" s="4" t="str">
        <f>IFERROR(__xludf.DUMMYFUNCTION("""COMPUTED_VALUE"""),"Cardápio Web")</f>
        <v>Cardápio Web</v>
      </c>
      <c r="V4452" s="33">
        <f>IFERROR(__xludf.DUMMYFUNCTION("""COMPUTED_VALUE"""),0.5)</f>
        <v>0.5</v>
      </c>
      <c r="W4452" s="4" t="str">
        <f>IFERROR(__xludf.DUMMYFUNCTION("""COMPUTED_VALUE"""),"Cardápio Web")</f>
        <v>Cardápio Web</v>
      </c>
      <c r="X4452" s="33">
        <f>IFERROR(__xludf.DUMMYFUNCTION("""COMPUTED_VALUE"""),0.5)</f>
        <v>0.5</v>
      </c>
    </row>
    <row r="4453">
      <c r="K4453" s="4" t="str">
        <f>IFERROR(__xludf.DUMMYFUNCTION("""COMPUTED_VALUE"""),"CRAZY BURGER")</f>
        <v>CRAZY BURGER</v>
      </c>
      <c r="L4453" s="32">
        <f>IFERROR(__xludf.DUMMYFUNCTION("""COMPUTED_VALUE"""),2.0)</f>
        <v>2</v>
      </c>
      <c r="M4453" s="4" t="str">
        <f>IFERROR(__xludf.DUMMYFUNCTION("""COMPUTED_VALUE"""),"Saipos Serviços De Software")</f>
        <v>Saipos Serviços De Software</v>
      </c>
      <c r="N4453" s="33">
        <f>IFERROR(__xludf.DUMMYFUNCTION("""COMPUTED_VALUE"""),0.5)</f>
        <v>0.5</v>
      </c>
      <c r="O4453" s="4" t="str">
        <f>IFERROR(__xludf.DUMMYFUNCTION("""COMPUTED_VALUE"""),"Saipos Serviços De Software")</f>
        <v>Saipos Serviços De Software</v>
      </c>
      <c r="P4453" s="33">
        <f>IFERROR(__xludf.DUMMYFUNCTION("""COMPUTED_VALUE"""),0.5)</f>
        <v>0.5</v>
      </c>
      <c r="Q4453" s="4" t="str">
        <f>IFERROR(__xludf.DUMMYFUNCTION("""COMPUTED_VALUE"""),"Saipos Serviços De Software")</f>
        <v>Saipos Serviços De Software</v>
      </c>
      <c r="R4453" s="33">
        <f>IFERROR(__xludf.DUMMYFUNCTION("""COMPUTED_VALUE"""),0.5)</f>
        <v>0.5</v>
      </c>
      <c r="S4453" s="4" t="str">
        <f>IFERROR(__xludf.DUMMYFUNCTION("""COMPUTED_VALUE"""),"Cardápio Web")</f>
        <v>Cardápio Web</v>
      </c>
      <c r="T4453" s="33">
        <f>IFERROR(__xludf.DUMMYFUNCTION("""COMPUTED_VALUE"""),1.0)</f>
        <v>1</v>
      </c>
      <c r="U4453" s="4" t="str">
        <f>IFERROR(__xludf.DUMMYFUNCTION("""COMPUTED_VALUE"""),"null")</f>
        <v>null</v>
      </c>
      <c r="V4453" s="33">
        <f>IFERROR(__xludf.DUMMYFUNCTION("""COMPUTED_VALUE"""),0.5)</f>
        <v>0.5</v>
      </c>
      <c r="W4453" s="4" t="str">
        <f>IFERROR(__xludf.DUMMYFUNCTION("""COMPUTED_VALUE"""),"null")</f>
        <v>null</v>
      </c>
      <c r="X4453" s="33">
        <f>IFERROR(__xludf.DUMMYFUNCTION("""COMPUTED_VALUE"""),0.5)</f>
        <v>0.5</v>
      </c>
    </row>
    <row r="4454">
      <c r="K4454" s="4" t="str">
        <f>IFERROR(__xludf.DUMMYFUNCTION("""COMPUTED_VALUE"""),"RANCHO DO CUPIM")</f>
        <v>RANCHO DO CUPIM</v>
      </c>
      <c r="L4454" s="32">
        <f>IFERROR(__xludf.DUMMYFUNCTION("""COMPUTED_VALUE"""),2.0)</f>
        <v>2</v>
      </c>
      <c r="M4454" s="4" t="str">
        <f>IFERROR(__xludf.DUMMYFUNCTION("""COMPUTED_VALUE"""),"Jaxtech")</f>
        <v>Jaxtech</v>
      </c>
      <c r="N4454" s="33">
        <f>IFERROR(__xludf.DUMMYFUNCTION("""COMPUTED_VALUE"""),0.5)</f>
        <v>0.5</v>
      </c>
      <c r="O4454" s="4" t="str">
        <f>IFERROR(__xludf.DUMMYFUNCTION("""COMPUTED_VALUE"""),"Jaxtech")</f>
        <v>Jaxtech</v>
      </c>
      <c r="P4454" s="33">
        <f>IFERROR(__xludf.DUMMYFUNCTION("""COMPUTED_VALUE"""),0.5)</f>
        <v>0.5</v>
      </c>
      <c r="Q4454" s="4" t="str">
        <f>IFERROR(__xludf.DUMMYFUNCTION("""COMPUTED_VALUE"""),"Jaxtech")</f>
        <v>Jaxtech</v>
      </c>
      <c r="R4454" s="33">
        <f>IFERROR(__xludf.DUMMYFUNCTION("""COMPUTED_VALUE"""),0.5)</f>
        <v>0.5</v>
      </c>
      <c r="S4454" s="4" t="str">
        <f>IFERROR(__xludf.DUMMYFUNCTION("""COMPUTED_VALUE"""),"Jaxtech")</f>
        <v>Jaxtech</v>
      </c>
      <c r="T4454" s="33">
        <f>IFERROR(__xludf.DUMMYFUNCTION("""COMPUTED_VALUE"""),1.0)</f>
        <v>1</v>
      </c>
      <c r="U4454" s="4" t="str">
        <f>IFERROR(__xludf.DUMMYFUNCTION("""COMPUTED_VALUE"""),"Jaxtech")</f>
        <v>Jaxtech</v>
      </c>
      <c r="V4454" s="33">
        <f>IFERROR(__xludf.DUMMYFUNCTION("""COMPUTED_VALUE"""),1.0)</f>
        <v>1</v>
      </c>
      <c r="W4454" s="4" t="str">
        <f>IFERROR(__xludf.DUMMYFUNCTION("""COMPUTED_VALUE"""),"Jaxtech")</f>
        <v>Jaxtech</v>
      </c>
      <c r="X4454" s="33">
        <f>IFERROR(__xludf.DUMMYFUNCTION("""COMPUTED_VALUE"""),1.0)</f>
        <v>1</v>
      </c>
    </row>
    <row r="4455">
      <c r="K4455" s="4" t="str">
        <f>IFERROR(__xludf.DUMMYFUNCTION("""COMPUTED_VALUE"""),"ESQUINA DO ESPETINHO")</f>
        <v>ESQUINA DO ESPETINHO</v>
      </c>
      <c r="L4455" s="32">
        <f>IFERROR(__xludf.DUMMYFUNCTION("""COMPUTED_VALUE"""),2.0)</f>
        <v>2</v>
      </c>
      <c r="M4455" s="4" t="str">
        <f>IFERROR(__xludf.DUMMYFUNCTION("""COMPUTED_VALUE"""),"Cardápio Web")</f>
        <v>Cardápio Web</v>
      </c>
      <c r="N4455" s="33">
        <f>IFERROR(__xludf.DUMMYFUNCTION("""COMPUTED_VALUE"""),0.5)</f>
        <v>0.5</v>
      </c>
      <c r="O4455" s="4" t="str">
        <f>IFERROR(__xludf.DUMMYFUNCTION("""COMPUTED_VALUE"""),"Cardápio Web")</f>
        <v>Cardápio Web</v>
      </c>
      <c r="P4455" s="33">
        <f>IFERROR(__xludf.DUMMYFUNCTION("""COMPUTED_VALUE"""),0.5)</f>
        <v>0.5</v>
      </c>
      <c r="Q4455" s="4" t="str">
        <f>IFERROR(__xludf.DUMMYFUNCTION("""COMPUTED_VALUE"""),"Cardápio Web")</f>
        <v>Cardápio Web</v>
      </c>
      <c r="R4455" s="33">
        <f>IFERROR(__xludf.DUMMYFUNCTION("""COMPUTED_VALUE"""),0.5)</f>
        <v>0.5</v>
      </c>
      <c r="S4455" s="4" t="str">
        <f>IFERROR(__xludf.DUMMYFUNCTION("""COMPUTED_VALUE"""),"Cardápio Web")</f>
        <v>Cardápio Web</v>
      </c>
      <c r="T4455" s="33">
        <f>IFERROR(__xludf.DUMMYFUNCTION("""COMPUTED_VALUE"""),0.5)</f>
        <v>0.5</v>
      </c>
      <c r="U4455" s="4" t="str">
        <f>IFERROR(__xludf.DUMMYFUNCTION("""COMPUTED_VALUE"""),"Cardápio Web")</f>
        <v>Cardápio Web</v>
      </c>
      <c r="V4455" s="33">
        <f>IFERROR(__xludf.DUMMYFUNCTION("""COMPUTED_VALUE"""),0.5)</f>
        <v>0.5</v>
      </c>
      <c r="W4455" s="4" t="str">
        <f>IFERROR(__xludf.DUMMYFUNCTION("""COMPUTED_VALUE"""),"Cardápio Web")</f>
        <v>Cardápio Web</v>
      </c>
      <c r="X4455" s="33">
        <f>IFERROR(__xludf.DUMMYFUNCTION("""COMPUTED_VALUE"""),0.5)</f>
        <v>0.5</v>
      </c>
    </row>
    <row r="4456">
      <c r="K4456" s="4" t="str">
        <f>IFERROR(__xludf.DUMMYFUNCTION("""COMPUTED_VALUE"""),"ACAI ENERGIA NATURAL")</f>
        <v>ACAI ENERGIA NATURAL</v>
      </c>
      <c r="L4456" s="32">
        <f>IFERROR(__xludf.DUMMYFUNCTION("""COMPUTED_VALUE"""),2.0)</f>
        <v>2</v>
      </c>
      <c r="M4456" s="4" t="str">
        <f>IFERROR(__xludf.DUMMYFUNCTION("""COMPUTED_VALUE"""),"Naja Software")</f>
        <v>Naja Software</v>
      </c>
      <c r="N4456" s="33">
        <f>IFERROR(__xludf.DUMMYFUNCTION("""COMPUTED_VALUE"""),1.0)</f>
        <v>1</v>
      </c>
      <c r="O4456" s="4" t="str">
        <f>IFERROR(__xludf.DUMMYFUNCTION("""COMPUTED_VALUE"""),"Naja Software")</f>
        <v>Naja Software</v>
      </c>
      <c r="P4456" s="33">
        <f>IFERROR(__xludf.DUMMYFUNCTION("""COMPUTED_VALUE"""),1.0)</f>
        <v>1</v>
      </c>
      <c r="Q4456" s="4" t="str">
        <f>IFERROR(__xludf.DUMMYFUNCTION("""COMPUTED_VALUE"""),"Naja Software")</f>
        <v>Naja Software</v>
      </c>
      <c r="R4456" s="33">
        <f>IFERROR(__xludf.DUMMYFUNCTION("""COMPUTED_VALUE"""),1.0)</f>
        <v>1</v>
      </c>
      <c r="S4456" s="4" t="str">
        <f>IFERROR(__xludf.DUMMYFUNCTION("""COMPUTED_VALUE"""),"Naja Software")</f>
        <v>Naja Software</v>
      </c>
      <c r="T4456" s="33">
        <f>IFERROR(__xludf.DUMMYFUNCTION("""COMPUTED_VALUE"""),1.0)</f>
        <v>1</v>
      </c>
      <c r="U4456" s="4" t="str">
        <f>IFERROR(__xludf.DUMMYFUNCTION("""COMPUTED_VALUE"""),"Naja Software")</f>
        <v>Naja Software</v>
      </c>
      <c r="V4456" s="33">
        <f>IFERROR(__xludf.DUMMYFUNCTION("""COMPUTED_VALUE"""),1.0)</f>
        <v>1</v>
      </c>
      <c r="W4456" s="4" t="str">
        <f>IFERROR(__xludf.DUMMYFUNCTION("""COMPUTED_VALUE"""),"Naja Software")</f>
        <v>Naja Software</v>
      </c>
      <c r="X4456" s="33">
        <f>IFERROR(__xludf.DUMMYFUNCTION("""COMPUTED_VALUE"""),1.0)</f>
        <v>1</v>
      </c>
    </row>
    <row r="4457">
      <c r="K4457" s="4" t="str">
        <f>IFERROR(__xludf.DUMMYFUNCTION("""COMPUTED_VALUE"""),"FORNO A LENHA PIZZARIA")</f>
        <v>FORNO A LENHA PIZZARIA</v>
      </c>
      <c r="L4457" s="32">
        <f>IFERROR(__xludf.DUMMYFUNCTION("""COMPUTED_VALUE"""),2.0)</f>
        <v>2</v>
      </c>
      <c r="M4457" s="4" t="str">
        <f>IFERROR(__xludf.DUMMYFUNCTION("""COMPUTED_VALUE"""),"Mp Multipedidos")</f>
        <v>Mp Multipedidos</v>
      </c>
      <c r="N4457" s="33">
        <f>IFERROR(__xludf.DUMMYFUNCTION("""COMPUTED_VALUE"""),0.5)</f>
        <v>0.5</v>
      </c>
      <c r="O4457" s="4" t="str">
        <f>IFERROR(__xludf.DUMMYFUNCTION("""COMPUTED_VALUE"""),"Mp Multipedidos")</f>
        <v>Mp Multipedidos</v>
      </c>
      <c r="P4457" s="33">
        <f>IFERROR(__xludf.DUMMYFUNCTION("""COMPUTED_VALUE"""),0.5)</f>
        <v>0.5</v>
      </c>
      <c r="Q4457" s="4" t="str">
        <f>IFERROR(__xludf.DUMMYFUNCTION("""COMPUTED_VALUE"""),"Mp Multipedidos")</f>
        <v>Mp Multipedidos</v>
      </c>
      <c r="R4457" s="33">
        <f>IFERROR(__xludf.DUMMYFUNCTION("""COMPUTED_VALUE"""),0.5)</f>
        <v>0.5</v>
      </c>
      <c r="S4457" s="4" t="str">
        <f>IFERROR(__xludf.DUMMYFUNCTION("""COMPUTED_VALUE"""),"Mp Multipedidos")</f>
        <v>Mp Multipedidos</v>
      </c>
      <c r="T4457" s="33">
        <f>IFERROR(__xludf.DUMMYFUNCTION("""COMPUTED_VALUE"""),0.5)</f>
        <v>0.5</v>
      </c>
      <c r="U4457" s="4" t="str">
        <f>IFERROR(__xludf.DUMMYFUNCTION("""COMPUTED_VALUE"""),"Mp Multipedidos")</f>
        <v>Mp Multipedidos</v>
      </c>
      <c r="V4457" s="33">
        <f>IFERROR(__xludf.DUMMYFUNCTION("""COMPUTED_VALUE"""),0.5)</f>
        <v>0.5</v>
      </c>
      <c r="W4457" s="4" t="str">
        <f>IFERROR(__xludf.DUMMYFUNCTION("""COMPUTED_VALUE"""),"Mp Multipedidos")</f>
        <v>Mp Multipedidos</v>
      </c>
      <c r="X4457" s="33">
        <f>IFERROR(__xludf.DUMMYFUNCTION("""COMPUTED_VALUE"""),0.5)</f>
        <v>0.5</v>
      </c>
    </row>
    <row r="4458">
      <c r="K4458" s="4" t="str">
        <f>IFERROR(__xludf.DUMMYFUNCTION("""COMPUTED_VALUE"""),"GUGA LANCHES")</f>
        <v>GUGA LANCHES</v>
      </c>
      <c r="L4458" s="32">
        <f>IFERROR(__xludf.DUMMYFUNCTION("""COMPUTED_VALUE"""),2.0)</f>
        <v>2</v>
      </c>
      <c r="M4458" s="4" t="str">
        <f>IFERROR(__xludf.DUMMYFUNCTION("""COMPUTED_VALUE"""),"Whatsmenu Ltda")</f>
        <v>Whatsmenu Ltda</v>
      </c>
      <c r="N4458" s="33">
        <f>IFERROR(__xludf.DUMMYFUNCTION("""COMPUTED_VALUE"""),0.5)</f>
        <v>0.5</v>
      </c>
      <c r="O4458" s="4" t="str">
        <f>IFERROR(__xludf.DUMMYFUNCTION("""COMPUTED_VALUE"""),"Whatsmenu Ltda")</f>
        <v>Whatsmenu Ltda</v>
      </c>
      <c r="P4458" s="33">
        <f>IFERROR(__xludf.DUMMYFUNCTION("""COMPUTED_VALUE"""),0.5)</f>
        <v>0.5</v>
      </c>
      <c r="Q4458" s="4" t="str">
        <f>IFERROR(__xludf.DUMMYFUNCTION("""COMPUTED_VALUE"""),"Whatsmenu Ltda")</f>
        <v>Whatsmenu Ltda</v>
      </c>
      <c r="R4458" s="33">
        <f>IFERROR(__xludf.DUMMYFUNCTION("""COMPUTED_VALUE"""),0.5)</f>
        <v>0.5</v>
      </c>
      <c r="S4458" s="4" t="str">
        <f>IFERROR(__xludf.DUMMYFUNCTION("""COMPUTED_VALUE"""),"null")</f>
        <v>null</v>
      </c>
      <c r="T4458" s="33">
        <f>IFERROR(__xludf.DUMMYFUNCTION("""COMPUTED_VALUE"""),0.5)</f>
        <v>0.5</v>
      </c>
      <c r="U4458" s="4" t="str">
        <f>IFERROR(__xludf.DUMMYFUNCTION("""COMPUTED_VALUE"""),"Brendi")</f>
        <v>Brendi</v>
      </c>
      <c r="V4458" s="33">
        <f>IFERROR(__xludf.DUMMYFUNCTION("""COMPUTED_VALUE"""),0.5)</f>
        <v>0.5</v>
      </c>
      <c r="W4458" s="4" t="str">
        <f>IFERROR(__xludf.DUMMYFUNCTION("""COMPUTED_VALUE"""),"Brendi")</f>
        <v>Brendi</v>
      </c>
      <c r="X4458" s="33">
        <f>IFERROR(__xludf.DUMMYFUNCTION("""COMPUTED_VALUE"""),0.5)</f>
        <v>0.5</v>
      </c>
    </row>
    <row r="4459">
      <c r="K4459" s="4" t="str">
        <f>IFERROR(__xludf.DUMMYFUNCTION("""COMPUTED_VALUE"""),"COZINHA MINEIRA")</f>
        <v>COZINHA MINEIRA</v>
      </c>
      <c r="L4459" s="32">
        <f>IFERROR(__xludf.DUMMYFUNCTION("""COMPUTED_VALUE"""),2.0)</f>
        <v>2</v>
      </c>
      <c r="M4459" s="4" t="str">
        <f>IFERROR(__xludf.DUMMYFUNCTION("""COMPUTED_VALUE"""),"Wls Solucoes Empresariais Ltda")</f>
        <v>Wls Solucoes Empresariais Ltda</v>
      </c>
      <c r="N4459" s="33">
        <f>IFERROR(__xludf.DUMMYFUNCTION("""COMPUTED_VALUE"""),0.5)</f>
        <v>0.5</v>
      </c>
      <c r="O4459" s="4" t="str">
        <f>IFERROR(__xludf.DUMMYFUNCTION("""COMPUTED_VALUE"""),"Wls Solucoes Empresariais Ltda")</f>
        <v>Wls Solucoes Empresariais Ltda</v>
      </c>
      <c r="P4459" s="33">
        <f>IFERROR(__xludf.DUMMYFUNCTION("""COMPUTED_VALUE"""),0.5)</f>
        <v>0.5</v>
      </c>
      <c r="Q4459" s="4" t="str">
        <f>IFERROR(__xludf.DUMMYFUNCTION("""COMPUTED_VALUE"""),"Wls Solucoes Empresariais Ltda")</f>
        <v>Wls Solucoes Empresariais Ltda</v>
      </c>
      <c r="R4459" s="33">
        <f>IFERROR(__xludf.DUMMYFUNCTION("""COMPUTED_VALUE"""),0.5)</f>
        <v>0.5</v>
      </c>
      <c r="S4459" s="4" t="str">
        <f>IFERROR(__xludf.DUMMYFUNCTION("""COMPUTED_VALUE"""),"null")</f>
        <v>null</v>
      </c>
      <c r="T4459" s="33">
        <f>IFERROR(__xludf.DUMMYFUNCTION("""COMPUTED_VALUE"""),0.5)</f>
        <v>0.5</v>
      </c>
      <c r="U4459" s="4" t="str">
        <f>IFERROR(__xludf.DUMMYFUNCTION("""COMPUTED_VALUE"""),"null")</f>
        <v>null</v>
      </c>
      <c r="V4459" s="33">
        <f>IFERROR(__xludf.DUMMYFUNCTION("""COMPUTED_VALUE"""),0.5)</f>
        <v>0.5</v>
      </c>
      <c r="W4459" s="4" t="str">
        <f>IFERROR(__xludf.DUMMYFUNCTION("""COMPUTED_VALUE"""),"null")</f>
        <v>null</v>
      </c>
      <c r="X4459" s="33">
        <f>IFERROR(__xludf.DUMMYFUNCTION("""COMPUTED_VALUE"""),0.5)</f>
        <v>0.5</v>
      </c>
    </row>
    <row r="4460">
      <c r="K4460" s="4" t="str">
        <f>IFERROR(__xludf.DUMMYFUNCTION("""COMPUTED_VALUE"""),"STRAMBO PIZZARIA ARTESANAL")</f>
        <v>STRAMBO PIZZARIA ARTESANAL</v>
      </c>
      <c r="L4460" s="32">
        <f>IFERROR(__xludf.DUMMYFUNCTION("""COMPUTED_VALUE"""),2.0)</f>
        <v>2</v>
      </c>
      <c r="M4460" s="4" t="str">
        <f>IFERROR(__xludf.DUMMYFUNCTION("""COMPUTED_VALUE"""),"Cardápio Web")</f>
        <v>Cardápio Web</v>
      </c>
      <c r="N4460" s="33">
        <f>IFERROR(__xludf.DUMMYFUNCTION("""COMPUTED_VALUE"""),0.5)</f>
        <v>0.5</v>
      </c>
      <c r="O4460" s="4" t="str">
        <f>IFERROR(__xludf.DUMMYFUNCTION("""COMPUTED_VALUE"""),"Cardápio Web")</f>
        <v>Cardápio Web</v>
      </c>
      <c r="P4460" s="33">
        <f>IFERROR(__xludf.DUMMYFUNCTION("""COMPUTED_VALUE"""),0.5)</f>
        <v>0.5</v>
      </c>
      <c r="Q4460" s="4" t="str">
        <f>IFERROR(__xludf.DUMMYFUNCTION("""COMPUTED_VALUE"""),"Cardápio Web")</f>
        <v>Cardápio Web</v>
      </c>
      <c r="R4460" s="33">
        <f>IFERROR(__xludf.DUMMYFUNCTION("""COMPUTED_VALUE"""),0.5)</f>
        <v>0.5</v>
      </c>
      <c r="S4460" s="4" t="str">
        <f>IFERROR(__xludf.DUMMYFUNCTION("""COMPUTED_VALUE"""),"Cityfoods Ltda")</f>
        <v>Cityfoods Ltda</v>
      </c>
      <c r="T4460" s="33">
        <f>IFERROR(__xludf.DUMMYFUNCTION("""COMPUTED_VALUE"""),0.5)</f>
        <v>0.5</v>
      </c>
      <c r="U4460" s="4" t="str">
        <f>IFERROR(__xludf.DUMMYFUNCTION("""COMPUTED_VALUE"""),"Cityfoods Ltda")</f>
        <v>Cityfoods Ltda</v>
      </c>
      <c r="V4460" s="33">
        <f>IFERROR(__xludf.DUMMYFUNCTION("""COMPUTED_VALUE"""),0.5)</f>
        <v>0.5</v>
      </c>
      <c r="W4460" s="4" t="str">
        <f>IFERROR(__xludf.DUMMYFUNCTION("""COMPUTED_VALUE"""),"Cardápio Web")</f>
        <v>Cardápio Web</v>
      </c>
      <c r="X4460" s="33">
        <f>IFERROR(__xludf.DUMMYFUNCTION("""COMPUTED_VALUE"""),1.0)</f>
        <v>1</v>
      </c>
    </row>
    <row r="4461">
      <c r="K4461" s="4" t="str">
        <f>IFERROR(__xludf.DUMMYFUNCTION("""COMPUTED_VALUE"""),"LA EM CASA RESTAURANTE")</f>
        <v>LA EM CASA RESTAURANTE</v>
      </c>
      <c r="L4461" s="32">
        <f>IFERROR(__xludf.DUMMYFUNCTION("""COMPUTED_VALUE"""),2.0)</f>
        <v>2</v>
      </c>
      <c r="M4461" s="4" t="str">
        <f>IFERROR(__xludf.DUMMYFUNCTION("""COMPUTED_VALUE"""),"Winfood")</f>
        <v>Winfood</v>
      </c>
      <c r="N4461" s="33">
        <f>IFERROR(__xludf.DUMMYFUNCTION("""COMPUTED_VALUE"""),0.5)</f>
        <v>0.5</v>
      </c>
      <c r="O4461" s="4" t="str">
        <f>IFERROR(__xludf.DUMMYFUNCTION("""COMPUTED_VALUE"""),"Winfood")</f>
        <v>Winfood</v>
      </c>
      <c r="P4461" s="33">
        <f>IFERROR(__xludf.DUMMYFUNCTION("""COMPUTED_VALUE"""),0.5)</f>
        <v>0.5</v>
      </c>
      <c r="Q4461" s="4" t="str">
        <f>IFERROR(__xludf.DUMMYFUNCTION("""COMPUTED_VALUE"""),"Winfood")</f>
        <v>Winfood</v>
      </c>
      <c r="R4461" s="33">
        <f>IFERROR(__xludf.DUMMYFUNCTION("""COMPUTED_VALUE"""),0.5)</f>
        <v>0.5</v>
      </c>
      <c r="S4461" s="4" t="str">
        <f>IFERROR(__xludf.DUMMYFUNCTION("""COMPUTED_VALUE"""),"Winfood")</f>
        <v>Winfood</v>
      </c>
      <c r="T4461" s="33">
        <f>IFERROR(__xludf.DUMMYFUNCTION("""COMPUTED_VALUE"""),0.5)</f>
        <v>0.5</v>
      </c>
      <c r="U4461" s="4" t="str">
        <f>IFERROR(__xludf.DUMMYFUNCTION("""COMPUTED_VALUE"""),"Winfood")</f>
        <v>Winfood</v>
      </c>
      <c r="V4461" s="33">
        <f>IFERROR(__xludf.DUMMYFUNCTION("""COMPUTED_VALUE"""),0.5)</f>
        <v>0.5</v>
      </c>
      <c r="W4461" s="4" t="str">
        <f>IFERROR(__xludf.DUMMYFUNCTION("""COMPUTED_VALUE"""),"Winfood")</f>
        <v>Winfood</v>
      </c>
      <c r="X4461" s="33">
        <f>IFERROR(__xludf.DUMMYFUNCTION("""COMPUTED_VALUE"""),0.5)</f>
        <v>0.5</v>
      </c>
    </row>
    <row r="4462">
      <c r="K4462" s="4" t="str">
        <f>IFERROR(__xludf.DUMMYFUNCTION("""COMPUTED_VALUE"""),"FORNAO PIZZARIA")</f>
        <v>FORNAO PIZZARIA</v>
      </c>
      <c r="L4462" s="32">
        <f>IFERROR(__xludf.DUMMYFUNCTION("""COMPUTED_VALUE"""),2.0)</f>
        <v>2</v>
      </c>
      <c r="M4462" s="4" t="str">
        <f>IFERROR(__xludf.DUMMYFUNCTION("""COMPUTED_VALUE"""),"Cardápio Web")</f>
        <v>Cardápio Web</v>
      </c>
      <c r="N4462" s="33">
        <f>IFERROR(__xludf.DUMMYFUNCTION("""COMPUTED_VALUE"""),0.5)</f>
        <v>0.5</v>
      </c>
      <c r="O4462" s="4" t="str">
        <f>IFERROR(__xludf.DUMMYFUNCTION("""COMPUTED_VALUE"""),"Cardápio Web")</f>
        <v>Cardápio Web</v>
      </c>
      <c r="P4462" s="33">
        <f>IFERROR(__xludf.DUMMYFUNCTION("""COMPUTED_VALUE"""),0.5)</f>
        <v>0.5</v>
      </c>
      <c r="Q4462" s="4" t="str">
        <f>IFERROR(__xludf.DUMMYFUNCTION("""COMPUTED_VALUE"""),"Cardápio Web")</f>
        <v>Cardápio Web</v>
      </c>
      <c r="R4462" s="33">
        <f>IFERROR(__xludf.DUMMYFUNCTION("""COMPUTED_VALUE"""),0.5)</f>
        <v>0.5</v>
      </c>
      <c r="S4462" s="4" t="str">
        <f>IFERROR(__xludf.DUMMYFUNCTION("""COMPUTED_VALUE"""),"Cardápio Web")</f>
        <v>Cardápio Web</v>
      </c>
      <c r="T4462" s="33">
        <f>IFERROR(__xludf.DUMMYFUNCTION("""COMPUTED_VALUE"""),0.5)</f>
        <v>0.5</v>
      </c>
      <c r="U4462" s="4" t="str">
        <f>IFERROR(__xludf.DUMMYFUNCTION("""COMPUTED_VALUE"""),"Cardápio Web")</f>
        <v>Cardápio Web</v>
      </c>
      <c r="V4462" s="33">
        <f>IFERROR(__xludf.DUMMYFUNCTION("""COMPUTED_VALUE"""),0.5)</f>
        <v>0.5</v>
      </c>
      <c r="W4462" s="4" t="str">
        <f>IFERROR(__xludf.DUMMYFUNCTION("""COMPUTED_VALUE"""),"Yooga")</f>
        <v>Yooga</v>
      </c>
      <c r="X4462" s="33">
        <f>IFERROR(__xludf.DUMMYFUNCTION("""COMPUTED_VALUE"""),0.5)</f>
        <v>0.5</v>
      </c>
    </row>
    <row r="4463">
      <c r="K4463" s="4" t="str">
        <f>IFERROR(__xludf.DUMMYFUNCTION("""COMPUTED_VALUE"""),"PIZZA HOPE")</f>
        <v>PIZZA HOPE</v>
      </c>
      <c r="L4463" s="32">
        <f>IFERROR(__xludf.DUMMYFUNCTION("""COMPUTED_VALUE"""),2.0)</f>
        <v>2</v>
      </c>
      <c r="M4463" s="4" t="str">
        <f>IFERROR(__xludf.DUMMYFUNCTION("""COMPUTED_VALUE"""),"Saipos Serviços De Software")</f>
        <v>Saipos Serviços De Software</v>
      </c>
      <c r="N4463" s="33">
        <f>IFERROR(__xludf.DUMMYFUNCTION("""COMPUTED_VALUE"""),1.0)</f>
        <v>1</v>
      </c>
      <c r="O4463" s="4" t="str">
        <f>IFERROR(__xludf.DUMMYFUNCTION("""COMPUTED_VALUE"""),"Saipos Serviços De Software")</f>
        <v>Saipos Serviços De Software</v>
      </c>
      <c r="P4463" s="33">
        <f>IFERROR(__xludf.DUMMYFUNCTION("""COMPUTED_VALUE"""),1.0)</f>
        <v>1</v>
      </c>
      <c r="Q4463" s="4" t="str">
        <f>IFERROR(__xludf.DUMMYFUNCTION("""COMPUTED_VALUE"""),"Saipos Serviços De Software")</f>
        <v>Saipos Serviços De Software</v>
      </c>
      <c r="R4463" s="33">
        <f>IFERROR(__xludf.DUMMYFUNCTION("""COMPUTED_VALUE"""),1.0)</f>
        <v>1</v>
      </c>
      <c r="S4463" s="4" t="str">
        <f>IFERROR(__xludf.DUMMYFUNCTION("""COMPUTED_VALUE"""),"Saipos Serviços De Software")</f>
        <v>Saipos Serviços De Software</v>
      </c>
      <c r="T4463" s="33">
        <f>IFERROR(__xludf.DUMMYFUNCTION("""COMPUTED_VALUE"""),1.0)</f>
        <v>1</v>
      </c>
      <c r="U4463" s="4" t="str">
        <f>IFERROR(__xludf.DUMMYFUNCTION("""COMPUTED_VALUE"""),"Saipos Serviços De Software")</f>
        <v>Saipos Serviços De Software</v>
      </c>
      <c r="V4463" s="33">
        <f>IFERROR(__xludf.DUMMYFUNCTION("""COMPUTED_VALUE"""),1.0)</f>
        <v>1</v>
      </c>
      <c r="W4463" s="4" t="str">
        <f>IFERROR(__xludf.DUMMYFUNCTION("""COMPUTED_VALUE"""),"Saipos Serviços De Software")</f>
        <v>Saipos Serviços De Software</v>
      </c>
      <c r="X4463" s="33">
        <f>IFERROR(__xludf.DUMMYFUNCTION("""COMPUTED_VALUE"""),1.0)</f>
        <v>1</v>
      </c>
    </row>
    <row r="4464">
      <c r="K4464" s="4" t="str">
        <f>IFERROR(__xludf.DUMMYFUNCTION("""COMPUTED_VALUE"""),"NEW ACAI")</f>
        <v>NEW ACAI</v>
      </c>
      <c r="L4464" s="32">
        <f>IFERROR(__xludf.DUMMYFUNCTION("""COMPUTED_VALUE"""),2.0)</f>
        <v>2</v>
      </c>
      <c r="M4464" s="4" t="str">
        <f>IFERROR(__xludf.DUMMYFUNCTION("""COMPUTED_VALUE"""),"Instadelivery")</f>
        <v>Instadelivery</v>
      </c>
      <c r="N4464" s="33">
        <f>IFERROR(__xludf.DUMMYFUNCTION("""COMPUTED_VALUE"""),0.5)</f>
        <v>0.5</v>
      </c>
      <c r="O4464" s="4" t="str">
        <f>IFERROR(__xludf.DUMMYFUNCTION("""COMPUTED_VALUE"""),"null")</f>
        <v>null</v>
      </c>
      <c r="P4464" s="33">
        <f>IFERROR(__xludf.DUMMYFUNCTION("""COMPUTED_VALUE"""),0.5)</f>
        <v>0.5</v>
      </c>
      <c r="Q4464" s="4" t="str">
        <f>IFERROR(__xludf.DUMMYFUNCTION("""COMPUTED_VALUE"""),"Instadelivery")</f>
        <v>Instadelivery</v>
      </c>
      <c r="R4464" s="33">
        <f>IFERROR(__xludf.DUMMYFUNCTION("""COMPUTED_VALUE"""),0.5)</f>
        <v>0.5</v>
      </c>
      <c r="S4464" s="4" t="str">
        <f>IFERROR(__xludf.DUMMYFUNCTION("""COMPUTED_VALUE"""),"null")</f>
        <v>null</v>
      </c>
      <c r="T4464" s="33">
        <f>IFERROR(__xludf.DUMMYFUNCTION("""COMPUTED_VALUE"""),0.5)</f>
        <v>0.5</v>
      </c>
      <c r="U4464" s="4" t="str">
        <f>IFERROR(__xludf.DUMMYFUNCTION("""COMPUTED_VALUE"""),"Instadelivery")</f>
        <v>Instadelivery</v>
      </c>
      <c r="V4464" s="33">
        <f>IFERROR(__xludf.DUMMYFUNCTION("""COMPUTED_VALUE"""),0.5)</f>
        <v>0.5</v>
      </c>
      <c r="W4464" s="4" t="str">
        <f>IFERROR(__xludf.DUMMYFUNCTION("""COMPUTED_VALUE"""),"Instadelivery")</f>
        <v>Instadelivery</v>
      </c>
      <c r="X4464" s="33">
        <f>IFERROR(__xludf.DUMMYFUNCTION("""COMPUTED_VALUE"""),0.5)</f>
        <v>0.5</v>
      </c>
    </row>
    <row r="4465">
      <c r="K4465" s="4" t="str">
        <f>IFERROR(__xludf.DUMMYFUNCTION("""COMPUTED_VALUE"""),"KIMI SUSHI")</f>
        <v>KIMI SUSHI</v>
      </c>
      <c r="L4465" s="32">
        <f>IFERROR(__xludf.DUMMYFUNCTION("""COMPUTED_VALUE"""),2.0)</f>
        <v>2</v>
      </c>
      <c r="M4465" s="4" t="str">
        <f>IFERROR(__xludf.DUMMYFUNCTION("""COMPUTED_VALUE"""),"Saipos Serviços De Software")</f>
        <v>Saipos Serviços De Software</v>
      </c>
      <c r="N4465" s="33">
        <f>IFERROR(__xludf.DUMMYFUNCTION("""COMPUTED_VALUE"""),0.5)</f>
        <v>0.5</v>
      </c>
      <c r="O4465" s="4" t="str">
        <f>IFERROR(__xludf.DUMMYFUNCTION("""COMPUTED_VALUE"""),"Saipos Serviços De Software")</f>
        <v>Saipos Serviços De Software</v>
      </c>
      <c r="P4465" s="33">
        <f>IFERROR(__xludf.DUMMYFUNCTION("""COMPUTED_VALUE"""),0.5)</f>
        <v>0.5</v>
      </c>
      <c r="Q4465" s="4" t="str">
        <f>IFERROR(__xludf.DUMMYFUNCTION("""COMPUTED_VALUE"""),"Saipos Serviços De Software")</f>
        <v>Saipos Serviços De Software</v>
      </c>
      <c r="R4465" s="33">
        <f>IFERROR(__xludf.DUMMYFUNCTION("""COMPUTED_VALUE"""),0.5)</f>
        <v>0.5</v>
      </c>
      <c r="S4465" s="4" t="str">
        <f>IFERROR(__xludf.DUMMYFUNCTION("""COMPUTED_VALUE"""),"Saipos Serviços De Software")</f>
        <v>Saipos Serviços De Software</v>
      </c>
      <c r="T4465" s="33">
        <f>IFERROR(__xludf.DUMMYFUNCTION("""COMPUTED_VALUE"""),0.5)</f>
        <v>0.5</v>
      </c>
      <c r="U4465" s="4" t="str">
        <f>IFERROR(__xludf.DUMMYFUNCTION("""COMPUTED_VALUE"""),"Saipos Serviços De Software")</f>
        <v>Saipos Serviços De Software</v>
      </c>
      <c r="V4465" s="33">
        <f>IFERROR(__xludf.DUMMYFUNCTION("""COMPUTED_VALUE"""),0.5)</f>
        <v>0.5</v>
      </c>
      <c r="W4465" s="4" t="str">
        <f>IFERROR(__xludf.DUMMYFUNCTION("""COMPUTED_VALUE"""),"Saipos Serviços De Software")</f>
        <v>Saipos Serviços De Software</v>
      </c>
      <c r="X4465" s="33">
        <f>IFERROR(__xludf.DUMMYFUNCTION("""COMPUTED_VALUE"""),0.5)</f>
        <v>0.5</v>
      </c>
    </row>
    <row r="4466">
      <c r="K4466" s="4" t="str">
        <f>IFERROR(__xludf.DUMMYFUNCTION("""COMPUTED_VALUE"""),"PIZZARIA ALMEIDA")</f>
        <v>PIZZARIA ALMEIDA</v>
      </c>
      <c r="L4466" s="32">
        <f>IFERROR(__xludf.DUMMYFUNCTION("""COMPUTED_VALUE"""),2.0)</f>
        <v>2</v>
      </c>
      <c r="M4466" s="4" t="str">
        <f>IFERROR(__xludf.DUMMYFUNCTION("""COMPUTED_VALUE"""),"Consumer Soluções Em Tecnologia Ltda")</f>
        <v>Consumer Soluções Em Tecnologia Ltda</v>
      </c>
      <c r="N4466" s="33">
        <f>IFERROR(__xludf.DUMMYFUNCTION("""COMPUTED_VALUE"""),0.5)</f>
        <v>0.5</v>
      </c>
      <c r="O4466" s="4" t="str">
        <f>IFERROR(__xludf.DUMMYFUNCTION("""COMPUTED_VALUE"""),"Consumer Soluções Em Tecnologia Ltda")</f>
        <v>Consumer Soluções Em Tecnologia Ltda</v>
      </c>
      <c r="P4466" s="33">
        <f>IFERROR(__xludf.DUMMYFUNCTION("""COMPUTED_VALUE"""),0.5)</f>
        <v>0.5</v>
      </c>
      <c r="Q4466" s="4" t="str">
        <f>IFERROR(__xludf.DUMMYFUNCTION("""COMPUTED_VALUE"""),"Consumer Soluções Em Tecnologia Ltda")</f>
        <v>Consumer Soluções Em Tecnologia Ltda</v>
      </c>
      <c r="R4466" s="33">
        <f>IFERROR(__xludf.DUMMYFUNCTION("""COMPUTED_VALUE"""),0.5)</f>
        <v>0.5</v>
      </c>
      <c r="S4466" s="4" t="str">
        <f>IFERROR(__xludf.DUMMYFUNCTION("""COMPUTED_VALUE"""),"Consumer Soluções Em Tecnologia Ltda")</f>
        <v>Consumer Soluções Em Tecnologia Ltda</v>
      </c>
      <c r="T4466" s="33">
        <f>IFERROR(__xludf.DUMMYFUNCTION("""COMPUTED_VALUE"""),0.5)</f>
        <v>0.5</v>
      </c>
      <c r="U4466" s="4" t="str">
        <f>IFERROR(__xludf.DUMMYFUNCTION("""COMPUTED_VALUE"""),"Consumer Soluções Em Tecnologia Ltda")</f>
        <v>Consumer Soluções Em Tecnologia Ltda</v>
      </c>
      <c r="V4466" s="33">
        <f>IFERROR(__xludf.DUMMYFUNCTION("""COMPUTED_VALUE"""),0.5)</f>
        <v>0.5</v>
      </c>
      <c r="W4466" s="4" t="str">
        <f>IFERROR(__xludf.DUMMYFUNCTION("""COMPUTED_VALUE"""),"Consumer Soluções Em Tecnologia Ltda")</f>
        <v>Consumer Soluções Em Tecnologia Ltda</v>
      </c>
      <c r="X4466" s="33">
        <f>IFERROR(__xludf.DUMMYFUNCTION("""COMPUTED_VALUE"""),0.5)</f>
        <v>0.5</v>
      </c>
    </row>
    <row r="4467">
      <c r="K4467" s="4" t="str">
        <f>IFERROR(__xludf.DUMMYFUNCTION("""COMPUTED_VALUE"""),"ADEGA ALTAS HORAS")</f>
        <v>ADEGA ALTAS HORAS</v>
      </c>
      <c r="L4467" s="32">
        <f>IFERROR(__xludf.DUMMYFUNCTION("""COMPUTED_VALUE"""),2.0)</f>
        <v>2</v>
      </c>
      <c r="M4467" s="4" t="str">
        <f>IFERROR(__xludf.DUMMYFUNCTION("""COMPUTED_VALUE"""),"null")</f>
        <v>null</v>
      </c>
      <c r="N4467" s="33">
        <f>IFERROR(__xludf.DUMMYFUNCTION("""COMPUTED_VALUE"""),0.5)</f>
        <v>0.5</v>
      </c>
      <c r="O4467" s="4" t="str">
        <f>IFERROR(__xludf.DUMMYFUNCTION("""COMPUTED_VALUE"""),"null")</f>
        <v>null</v>
      </c>
      <c r="P4467" s="33">
        <f>IFERROR(__xludf.DUMMYFUNCTION("""COMPUTED_VALUE"""),0.5)</f>
        <v>0.5</v>
      </c>
      <c r="Q4467" s="4" t="str">
        <f>IFERROR(__xludf.DUMMYFUNCTION("""COMPUTED_VALUE"""),"null")</f>
        <v>null</v>
      </c>
      <c r="R4467" s="33">
        <f>IFERROR(__xludf.DUMMYFUNCTION("""COMPUTED_VALUE"""),0.5)</f>
        <v>0.5</v>
      </c>
      <c r="S4467" s="4" t="str">
        <f>IFERROR(__xludf.DUMMYFUNCTION("""COMPUTED_VALUE"""),"null")</f>
        <v>null</v>
      </c>
      <c r="T4467" s="33">
        <f>IFERROR(__xludf.DUMMYFUNCTION("""COMPUTED_VALUE"""),0.5)</f>
        <v>0.5</v>
      </c>
      <c r="U4467" s="4" t="str">
        <f>IFERROR(__xludf.DUMMYFUNCTION("""COMPUTED_VALUE"""),"Mp Multipedidos")</f>
        <v>Mp Multipedidos</v>
      </c>
      <c r="V4467" s="33">
        <f>IFERROR(__xludf.DUMMYFUNCTION("""COMPUTED_VALUE"""),0.5)</f>
        <v>0.5</v>
      </c>
      <c r="W4467" s="4" t="str">
        <f>IFERROR(__xludf.DUMMYFUNCTION("""COMPUTED_VALUE"""),"null")</f>
        <v>null</v>
      </c>
      <c r="X4467" s="33">
        <f>IFERROR(__xludf.DUMMYFUNCTION("""COMPUTED_VALUE"""),0.5)</f>
        <v>0.5</v>
      </c>
    </row>
    <row r="4468">
      <c r="K4468" s="4" t="str">
        <f>IFERROR(__xludf.DUMMYFUNCTION("""COMPUTED_VALUE"""),"RESTAURANTE SABOR E ARTE")</f>
        <v>RESTAURANTE SABOR E ARTE</v>
      </c>
      <c r="L4468" s="32">
        <f>IFERROR(__xludf.DUMMYFUNCTION("""COMPUTED_VALUE"""),2.0)</f>
        <v>2</v>
      </c>
      <c r="M4468" s="4" t="str">
        <f>IFERROR(__xludf.DUMMYFUNCTION("""COMPUTED_VALUE"""),"Wll Sistemas Ltda")</f>
        <v>Wll Sistemas Ltda</v>
      </c>
      <c r="N4468" s="33">
        <f>IFERROR(__xludf.DUMMYFUNCTION("""COMPUTED_VALUE"""),0.5)</f>
        <v>0.5</v>
      </c>
      <c r="O4468" s="4" t="str">
        <f>IFERROR(__xludf.DUMMYFUNCTION("""COMPUTED_VALUE"""),"Wll Sistemas Ltda")</f>
        <v>Wll Sistemas Ltda</v>
      </c>
      <c r="P4468" s="33">
        <f>IFERROR(__xludf.DUMMYFUNCTION("""COMPUTED_VALUE"""),0.5)</f>
        <v>0.5</v>
      </c>
      <c r="Q4468" s="4" t="str">
        <f>IFERROR(__xludf.DUMMYFUNCTION("""COMPUTED_VALUE"""),"Wll Sistemas Ltda")</f>
        <v>Wll Sistemas Ltda</v>
      </c>
      <c r="R4468" s="33">
        <f>IFERROR(__xludf.DUMMYFUNCTION("""COMPUTED_VALUE"""),0.5)</f>
        <v>0.5</v>
      </c>
      <c r="S4468" s="4" t="str">
        <f>IFERROR(__xludf.DUMMYFUNCTION("""COMPUTED_VALUE"""),"Wll Sistemas Ltda")</f>
        <v>Wll Sistemas Ltda</v>
      </c>
      <c r="T4468" s="33">
        <f>IFERROR(__xludf.DUMMYFUNCTION("""COMPUTED_VALUE"""),0.5)</f>
        <v>0.5</v>
      </c>
      <c r="U4468" s="4" t="str">
        <f>IFERROR(__xludf.DUMMYFUNCTION("""COMPUTED_VALUE"""),"Wll Sistemas Ltda")</f>
        <v>Wll Sistemas Ltda</v>
      </c>
      <c r="V4468" s="33">
        <f>IFERROR(__xludf.DUMMYFUNCTION("""COMPUTED_VALUE"""),0.5)</f>
        <v>0.5</v>
      </c>
      <c r="W4468" s="4" t="str">
        <f>IFERROR(__xludf.DUMMYFUNCTION("""COMPUTED_VALUE"""),"Wll Sistemas Ltda")</f>
        <v>Wll Sistemas Ltda</v>
      </c>
      <c r="X4468" s="33">
        <f>IFERROR(__xludf.DUMMYFUNCTION("""COMPUTED_VALUE"""),0.5)</f>
        <v>0.5</v>
      </c>
    </row>
    <row r="4469">
      <c r="K4469" s="4" t="str">
        <f>IFERROR(__xludf.DUMMYFUNCTION("""COMPUTED_VALUE"""),"PIZZARIA MILANO")</f>
        <v>PIZZARIA MILANO</v>
      </c>
      <c r="L4469" s="32">
        <f>IFERROR(__xludf.DUMMYFUNCTION("""COMPUTED_VALUE"""),2.0)</f>
        <v>2</v>
      </c>
      <c r="M4469" s="4" t="str">
        <f>IFERROR(__xludf.DUMMYFUNCTION("""COMPUTED_VALUE"""),"Suitable Tecnologia E Gestao")</f>
        <v>Suitable Tecnologia E Gestao</v>
      </c>
      <c r="N4469" s="33">
        <f>IFERROR(__xludf.DUMMYFUNCTION("""COMPUTED_VALUE"""),0.5)</f>
        <v>0.5</v>
      </c>
      <c r="O4469" s="4" t="str">
        <f>IFERROR(__xludf.DUMMYFUNCTION("""COMPUTED_VALUE"""),"Suitable Tecnologia E Gestao")</f>
        <v>Suitable Tecnologia E Gestao</v>
      </c>
      <c r="P4469" s="33">
        <f>IFERROR(__xludf.DUMMYFUNCTION("""COMPUTED_VALUE"""),0.5)</f>
        <v>0.5</v>
      </c>
      <c r="Q4469" s="4" t="str">
        <f>IFERROR(__xludf.DUMMYFUNCTION("""COMPUTED_VALUE"""),"Suitable Tecnologia E Gestao")</f>
        <v>Suitable Tecnologia E Gestao</v>
      </c>
      <c r="R4469" s="33">
        <f>IFERROR(__xludf.DUMMYFUNCTION("""COMPUTED_VALUE"""),0.5)</f>
        <v>0.5</v>
      </c>
      <c r="S4469" s="4" t="str">
        <f>IFERROR(__xludf.DUMMYFUNCTION("""COMPUTED_VALUE"""),"Suitable Tecnologia E Gestao")</f>
        <v>Suitable Tecnologia E Gestao</v>
      </c>
      <c r="T4469" s="33">
        <f>IFERROR(__xludf.DUMMYFUNCTION("""COMPUTED_VALUE"""),0.5)</f>
        <v>0.5</v>
      </c>
      <c r="U4469" s="4" t="str">
        <f>IFERROR(__xludf.DUMMYFUNCTION("""COMPUTED_VALUE"""),"Suitable Tecnologia E Gestao")</f>
        <v>Suitable Tecnologia E Gestao</v>
      </c>
      <c r="V4469" s="33">
        <f>IFERROR(__xludf.DUMMYFUNCTION("""COMPUTED_VALUE"""),0.5)</f>
        <v>0.5</v>
      </c>
      <c r="W4469" s="4" t="str">
        <f>IFERROR(__xludf.DUMMYFUNCTION("""COMPUTED_VALUE"""),"Suitable Tecnologia E Gestao")</f>
        <v>Suitable Tecnologia E Gestao</v>
      </c>
      <c r="X4469" s="33">
        <f>IFERROR(__xludf.DUMMYFUNCTION("""COMPUTED_VALUE"""),0.5)</f>
        <v>0.5</v>
      </c>
    </row>
    <row r="4470">
      <c r="K4470" s="4" t="str">
        <f>IFERROR(__xludf.DUMMYFUNCTION("""COMPUTED_VALUE"""),"ROLA ACAI DELIVERY")</f>
        <v>ROLA ACAI DELIVERY</v>
      </c>
      <c r="L4470" s="32">
        <f>IFERROR(__xludf.DUMMYFUNCTION("""COMPUTED_VALUE"""),2.0)</f>
        <v>2</v>
      </c>
      <c r="M4470" s="4" t="str">
        <f>IFERROR(__xludf.DUMMYFUNCTION("""COMPUTED_VALUE"""),"Sgbr Sistemas Eireli")</f>
        <v>Sgbr Sistemas Eireli</v>
      </c>
      <c r="N4470" s="33">
        <f>IFERROR(__xludf.DUMMYFUNCTION("""COMPUTED_VALUE"""),0.5)</f>
        <v>0.5</v>
      </c>
      <c r="O4470" s="4" t="str">
        <f>IFERROR(__xludf.DUMMYFUNCTION("""COMPUTED_VALUE"""),"Consumer Soluções Em Tecnologia Ltda")</f>
        <v>Consumer Soluções Em Tecnologia Ltda</v>
      </c>
      <c r="P4470" s="33">
        <f>IFERROR(__xludf.DUMMYFUNCTION("""COMPUTED_VALUE"""),0.5)</f>
        <v>0.5</v>
      </c>
      <c r="Q4470" s="4" t="str">
        <f>IFERROR(__xludf.DUMMYFUNCTION("""COMPUTED_VALUE"""),"null")</f>
        <v>null</v>
      </c>
      <c r="R4470" s="33">
        <f>IFERROR(__xludf.DUMMYFUNCTION("""COMPUTED_VALUE"""),1.0)</f>
        <v>1</v>
      </c>
      <c r="S4470" s="4" t="str">
        <f>IFERROR(__xludf.DUMMYFUNCTION("""COMPUTED_VALUE"""),"null")</f>
        <v>null</v>
      </c>
      <c r="T4470" s="33">
        <f>IFERROR(__xludf.DUMMYFUNCTION("""COMPUTED_VALUE"""),0.5)</f>
        <v>0.5</v>
      </c>
      <c r="U4470" s="4" t="str">
        <f>IFERROR(__xludf.DUMMYFUNCTION("""COMPUTED_VALUE"""),"null")</f>
        <v>null</v>
      </c>
      <c r="V4470" s="33">
        <f>IFERROR(__xludf.DUMMYFUNCTION("""COMPUTED_VALUE"""),1.0)</f>
        <v>1</v>
      </c>
      <c r="W4470" s="4" t="str">
        <f>IFERROR(__xludf.DUMMYFUNCTION("""COMPUTED_VALUE"""),"null")</f>
        <v>null</v>
      </c>
      <c r="X4470" s="33">
        <f>IFERROR(__xludf.DUMMYFUNCTION("""COMPUTED_VALUE"""),1.0)</f>
        <v>1</v>
      </c>
    </row>
    <row r="4471">
      <c r="K4471" s="4" t="str">
        <f>IFERROR(__xludf.DUMMYFUNCTION("""COMPUTED_VALUE"""),"BELLAFIT - PIZZARIA SEM GLUTEN")</f>
        <v>BELLAFIT - PIZZARIA SEM GLUTEN</v>
      </c>
      <c r="L4471" s="32">
        <f>IFERROR(__xludf.DUMMYFUNCTION("""COMPUTED_VALUE"""),2.0)</f>
        <v>2</v>
      </c>
      <c r="M4471" s="4" t="str">
        <f>IFERROR(__xludf.DUMMYFUNCTION("""COMPUTED_VALUE"""),"Saipos Serviços De Software")</f>
        <v>Saipos Serviços De Software</v>
      </c>
      <c r="N4471" s="33">
        <f>IFERROR(__xludf.DUMMYFUNCTION("""COMPUTED_VALUE"""),1.0)</f>
        <v>1</v>
      </c>
      <c r="O4471" s="4" t="str">
        <f>IFERROR(__xludf.DUMMYFUNCTION("""COMPUTED_VALUE"""),"null")</f>
        <v>null</v>
      </c>
      <c r="P4471" s="33">
        <f>IFERROR(__xludf.DUMMYFUNCTION("""COMPUTED_VALUE"""),0.5)</f>
        <v>0.5</v>
      </c>
      <c r="Q4471" s="4" t="str">
        <f>IFERROR(__xludf.DUMMYFUNCTION("""COMPUTED_VALUE"""),"Saipos Serviços De Software")</f>
        <v>Saipos Serviços De Software</v>
      </c>
      <c r="R4471" s="33">
        <f>IFERROR(__xludf.DUMMYFUNCTION("""COMPUTED_VALUE"""),1.0)</f>
        <v>1</v>
      </c>
      <c r="S4471" s="4" t="str">
        <f>IFERROR(__xludf.DUMMYFUNCTION("""COMPUTED_VALUE"""),"Saipos Serviços De Software")</f>
        <v>Saipos Serviços De Software</v>
      </c>
      <c r="T4471" s="33">
        <f>IFERROR(__xludf.DUMMYFUNCTION("""COMPUTED_VALUE"""),1.0)</f>
        <v>1</v>
      </c>
      <c r="U4471" s="4" t="str">
        <f>IFERROR(__xludf.DUMMYFUNCTION("""COMPUTED_VALUE"""),"Saipos Serviços De Software")</f>
        <v>Saipos Serviços De Software</v>
      </c>
      <c r="V4471" s="33">
        <f>IFERROR(__xludf.DUMMYFUNCTION("""COMPUTED_VALUE"""),1.0)</f>
        <v>1</v>
      </c>
      <c r="W4471" s="4" t="str">
        <f>IFERROR(__xludf.DUMMYFUNCTION("""COMPUTED_VALUE"""),"Saipos Serviços De Software")</f>
        <v>Saipos Serviços De Software</v>
      </c>
      <c r="X4471" s="33">
        <f>IFERROR(__xludf.DUMMYFUNCTION("""COMPUTED_VALUE"""),1.0)</f>
        <v>1</v>
      </c>
    </row>
    <row r="4472">
      <c r="K4472" s="4" t="str">
        <f>IFERROR(__xludf.DUMMYFUNCTION("""COMPUTED_VALUE"""),"REIS DA PIZZA")</f>
        <v>REIS DA PIZZA</v>
      </c>
      <c r="L4472" s="32">
        <f>IFERROR(__xludf.DUMMYFUNCTION("""COMPUTED_VALUE"""),2.0)</f>
        <v>2</v>
      </c>
      <c r="M4472" s="4" t="str">
        <f>IFERROR(__xludf.DUMMYFUNCTION("""COMPUTED_VALUE"""),"Yooga")</f>
        <v>Yooga</v>
      </c>
      <c r="N4472" s="33">
        <f>IFERROR(__xludf.DUMMYFUNCTION("""COMPUTED_VALUE"""),0.5)</f>
        <v>0.5</v>
      </c>
      <c r="O4472" s="4" t="str">
        <f>IFERROR(__xludf.DUMMYFUNCTION("""COMPUTED_VALUE"""),"Yooga")</f>
        <v>Yooga</v>
      </c>
      <c r="P4472" s="33">
        <f>IFERROR(__xludf.DUMMYFUNCTION("""COMPUTED_VALUE"""),0.5)</f>
        <v>0.5</v>
      </c>
      <c r="Q4472" s="4" t="str">
        <f>IFERROR(__xludf.DUMMYFUNCTION("""COMPUTED_VALUE"""),"Yooga")</f>
        <v>Yooga</v>
      </c>
      <c r="R4472" s="33">
        <f>IFERROR(__xludf.DUMMYFUNCTION("""COMPUTED_VALUE"""),0.5)</f>
        <v>0.5</v>
      </c>
      <c r="S4472" s="4" t="str">
        <f>IFERROR(__xludf.DUMMYFUNCTION("""COMPUTED_VALUE"""),"Yooga")</f>
        <v>Yooga</v>
      </c>
      <c r="T4472" s="33">
        <f>IFERROR(__xludf.DUMMYFUNCTION("""COMPUTED_VALUE"""),0.5)</f>
        <v>0.5</v>
      </c>
      <c r="U4472" s="4" t="str">
        <f>IFERROR(__xludf.DUMMYFUNCTION("""COMPUTED_VALUE"""),"Yooga")</f>
        <v>Yooga</v>
      </c>
      <c r="V4472" s="33">
        <f>IFERROR(__xludf.DUMMYFUNCTION("""COMPUTED_VALUE"""),0.5)</f>
        <v>0.5</v>
      </c>
      <c r="W4472" s="4" t="str">
        <f>IFERROR(__xludf.DUMMYFUNCTION("""COMPUTED_VALUE"""),"Yooga")</f>
        <v>Yooga</v>
      </c>
      <c r="X4472" s="33">
        <f>IFERROR(__xludf.DUMMYFUNCTION("""COMPUTED_VALUE"""),0.5)</f>
        <v>0.5</v>
      </c>
    </row>
    <row r="4473">
      <c r="K4473" s="4" t="str">
        <f>IFERROR(__xludf.DUMMYFUNCTION("""COMPUTED_VALUE"""),"DROGARIAS TAMBAU")</f>
        <v>DROGARIAS TAMBAU</v>
      </c>
      <c r="L4473" s="32">
        <f>IFERROR(__xludf.DUMMYFUNCTION("""COMPUTED_VALUE"""),2.0)</f>
        <v>2</v>
      </c>
      <c r="M4473" s="4" t="str">
        <f>IFERROR(__xludf.DUMMYFUNCTION("""COMPUTED_VALUE"""),"N/A (Not found)")</f>
        <v>N/A (Not found)</v>
      </c>
      <c r="N4473" s="33">
        <f>IFERROR(__xludf.DUMMYFUNCTION("""COMPUTED_VALUE"""),0.5)</f>
        <v>0.5</v>
      </c>
      <c r="O4473" s="4" t="str">
        <f>IFERROR(__xludf.DUMMYFUNCTION("""COMPUTED_VALUE"""),"N/A (Not found)")</f>
        <v>N/A (Not found)</v>
      </c>
      <c r="P4473" s="33">
        <f>IFERROR(__xludf.DUMMYFUNCTION("""COMPUTED_VALUE"""),0.5)</f>
        <v>0.5</v>
      </c>
      <c r="Q4473" s="4" t="str">
        <f>IFERROR(__xludf.DUMMYFUNCTION("""COMPUTED_VALUE"""),"N/A (Not found)")</f>
        <v>N/A (Not found)</v>
      </c>
      <c r="R4473" s="33">
        <f>IFERROR(__xludf.DUMMYFUNCTION("""COMPUTED_VALUE"""),1.0)</f>
        <v>1</v>
      </c>
      <c r="S4473" s="4" t="str">
        <f>IFERROR(__xludf.DUMMYFUNCTION("""COMPUTED_VALUE"""),"N/A (Not found)")</f>
        <v>N/A (Not found)</v>
      </c>
      <c r="T4473" s="33">
        <f>IFERROR(__xludf.DUMMYFUNCTION("""COMPUTED_VALUE"""),1.0)</f>
        <v>1</v>
      </c>
      <c r="U4473" s="4" t="str">
        <f>IFERROR(__xludf.DUMMYFUNCTION("""COMPUTED_VALUE"""),"N/A (Not found)")</f>
        <v>N/A (Not found)</v>
      </c>
      <c r="V4473" s="33">
        <f>IFERROR(__xludf.DUMMYFUNCTION("""COMPUTED_VALUE"""),1.0)</f>
        <v>1</v>
      </c>
      <c r="W4473" s="4" t="str">
        <f>IFERROR(__xludf.DUMMYFUNCTION("""COMPUTED_VALUE"""),"N/A (Not found)")</f>
        <v>N/A (Not found)</v>
      </c>
      <c r="X4473" s="33">
        <f>IFERROR(__xludf.DUMMYFUNCTION("""COMPUTED_VALUE"""),1.0)</f>
        <v>1</v>
      </c>
    </row>
    <row r="4474">
      <c r="K4474" s="4" t="str">
        <f>IFERROR(__xludf.DUMMYFUNCTION("""COMPUTED_VALUE"""),"ALL IN DELIVERY")</f>
        <v>ALL IN DELIVERY</v>
      </c>
      <c r="L4474" s="32">
        <f>IFERROR(__xludf.DUMMYFUNCTION("""COMPUTED_VALUE"""),2.0)</f>
        <v>2</v>
      </c>
      <c r="M4474" s="4" t="str">
        <f>IFERROR(__xludf.DUMMYFUNCTION("""COMPUTED_VALUE"""),"Sti3 Soluções Em Ti")</f>
        <v>Sti3 Soluções Em Ti</v>
      </c>
      <c r="N4474" s="33">
        <f>IFERROR(__xludf.DUMMYFUNCTION("""COMPUTED_VALUE"""),0.5)</f>
        <v>0.5</v>
      </c>
      <c r="O4474" s="4" t="str">
        <f>IFERROR(__xludf.DUMMYFUNCTION("""COMPUTED_VALUE"""),"Sti3 Soluções Em Ti")</f>
        <v>Sti3 Soluções Em Ti</v>
      </c>
      <c r="P4474" s="33">
        <f>IFERROR(__xludf.DUMMYFUNCTION("""COMPUTED_VALUE"""),0.5)</f>
        <v>0.5</v>
      </c>
      <c r="Q4474" s="4" t="str">
        <f>IFERROR(__xludf.DUMMYFUNCTION("""COMPUTED_VALUE"""),"Sti3 Soluções Em Ti")</f>
        <v>Sti3 Soluções Em Ti</v>
      </c>
      <c r="R4474" s="33">
        <f>IFERROR(__xludf.DUMMYFUNCTION("""COMPUTED_VALUE"""),0.5)</f>
        <v>0.5</v>
      </c>
      <c r="S4474" s="4" t="str">
        <f>IFERROR(__xludf.DUMMYFUNCTION("""COMPUTED_VALUE"""),"Sti3 Soluções Em Ti")</f>
        <v>Sti3 Soluções Em Ti</v>
      </c>
      <c r="T4474" s="33">
        <f>IFERROR(__xludf.DUMMYFUNCTION("""COMPUTED_VALUE"""),0.5)</f>
        <v>0.5</v>
      </c>
      <c r="U4474" s="4" t="str">
        <f>IFERROR(__xludf.DUMMYFUNCTION("""COMPUTED_VALUE"""),"Sti3 Soluções Em Ti")</f>
        <v>Sti3 Soluções Em Ti</v>
      </c>
      <c r="V4474" s="33">
        <f>IFERROR(__xludf.DUMMYFUNCTION("""COMPUTED_VALUE"""),0.5)</f>
        <v>0.5</v>
      </c>
      <c r="W4474" s="4" t="str">
        <f>IFERROR(__xludf.DUMMYFUNCTION("""COMPUTED_VALUE"""),"Sti3 Soluções Em Ti")</f>
        <v>Sti3 Soluções Em Ti</v>
      </c>
      <c r="X4474" s="33">
        <f>IFERROR(__xludf.DUMMYFUNCTION("""COMPUTED_VALUE"""),0.5)</f>
        <v>0.5</v>
      </c>
    </row>
    <row r="4475">
      <c r="K4475" s="4" t="str">
        <f>IFERROR(__xludf.DUMMYFUNCTION("""COMPUTED_VALUE"""),"SUPREMO SABOR")</f>
        <v>SUPREMO SABOR</v>
      </c>
      <c r="L4475" s="32">
        <f>IFERROR(__xludf.DUMMYFUNCTION("""COMPUTED_VALUE"""),2.0)</f>
        <v>2</v>
      </c>
      <c r="M4475" s="4" t="str">
        <f>IFERROR(__xludf.DUMMYFUNCTION("""COMPUTED_VALUE"""),"Anota Ai Solucoes Digitais S/a")</f>
        <v>Anota Ai Solucoes Digitais S/a</v>
      </c>
      <c r="N4475" s="33">
        <f>IFERROR(__xludf.DUMMYFUNCTION("""COMPUTED_VALUE"""),0.5)</f>
        <v>0.5</v>
      </c>
      <c r="O4475" s="4" t="str">
        <f>IFERROR(__xludf.DUMMYFUNCTION("""COMPUTED_VALUE"""),"Anota Ai Solucoes Digitais S/a")</f>
        <v>Anota Ai Solucoes Digitais S/a</v>
      </c>
      <c r="P4475" s="33">
        <f>IFERROR(__xludf.DUMMYFUNCTION("""COMPUTED_VALUE"""),0.5)</f>
        <v>0.5</v>
      </c>
      <c r="Q4475" s="4" t="str">
        <f>IFERROR(__xludf.DUMMYFUNCTION("""COMPUTED_VALUE"""),"Anota Ai Solucoes Digitais S/a")</f>
        <v>Anota Ai Solucoes Digitais S/a</v>
      </c>
      <c r="R4475" s="33">
        <f>IFERROR(__xludf.DUMMYFUNCTION("""COMPUTED_VALUE"""),0.5)</f>
        <v>0.5</v>
      </c>
      <c r="S4475" s="4" t="str">
        <f>IFERROR(__xludf.DUMMYFUNCTION("""COMPUTED_VALUE"""),"Anota Ai Solucoes Digitais S/a")</f>
        <v>Anota Ai Solucoes Digitais S/a</v>
      </c>
      <c r="T4475" s="33">
        <f>IFERROR(__xludf.DUMMYFUNCTION("""COMPUTED_VALUE"""),0.5)</f>
        <v>0.5</v>
      </c>
      <c r="U4475" s="4" t="str">
        <f>IFERROR(__xludf.DUMMYFUNCTION("""COMPUTED_VALUE"""),"Instadelivery")</f>
        <v>Instadelivery</v>
      </c>
      <c r="V4475" s="33">
        <f>IFERROR(__xludf.DUMMYFUNCTION("""COMPUTED_VALUE"""),0.5)</f>
        <v>0.5</v>
      </c>
      <c r="W4475" s="4" t="str">
        <f>IFERROR(__xludf.DUMMYFUNCTION("""COMPUTED_VALUE"""),"Instadelivery")</f>
        <v>Instadelivery</v>
      </c>
      <c r="X4475" s="33">
        <f>IFERROR(__xludf.DUMMYFUNCTION("""COMPUTED_VALUE"""),0.5)</f>
        <v>0.5</v>
      </c>
    </row>
    <row r="4476">
      <c r="K4476" s="4" t="str">
        <f>IFERROR(__xludf.DUMMYFUNCTION("""COMPUTED_VALUE"""),"RESTAURANTE E PIZZARIA PARATY")</f>
        <v>RESTAURANTE E PIZZARIA PARATY</v>
      </c>
      <c r="L4476" s="32">
        <f>IFERROR(__xludf.DUMMYFUNCTION("""COMPUTED_VALUE"""),2.0)</f>
        <v>2</v>
      </c>
      <c r="M4476" s="4" t="str">
        <f>IFERROR(__xludf.DUMMYFUNCTION("""COMPUTED_VALUE"""),"Cloudfy")</f>
        <v>Cloudfy</v>
      </c>
      <c r="N4476" s="33">
        <f>IFERROR(__xludf.DUMMYFUNCTION("""COMPUTED_VALUE"""),0.5)</f>
        <v>0.5</v>
      </c>
      <c r="O4476" s="4" t="str">
        <f>IFERROR(__xludf.DUMMYFUNCTION("""COMPUTED_VALUE"""),"Cloudfy")</f>
        <v>Cloudfy</v>
      </c>
      <c r="P4476" s="33">
        <f>IFERROR(__xludf.DUMMYFUNCTION("""COMPUTED_VALUE"""),0.5)</f>
        <v>0.5</v>
      </c>
      <c r="Q4476" s="4" t="str">
        <f>IFERROR(__xludf.DUMMYFUNCTION("""COMPUTED_VALUE"""),"Cloudfy")</f>
        <v>Cloudfy</v>
      </c>
      <c r="R4476" s="33">
        <f>IFERROR(__xludf.DUMMYFUNCTION("""COMPUTED_VALUE"""),0.5)</f>
        <v>0.5</v>
      </c>
      <c r="S4476" s="4" t="str">
        <f>IFERROR(__xludf.DUMMYFUNCTION("""COMPUTED_VALUE"""),"Cloudfy")</f>
        <v>Cloudfy</v>
      </c>
      <c r="T4476" s="33">
        <f>IFERROR(__xludf.DUMMYFUNCTION("""COMPUTED_VALUE"""),0.5)</f>
        <v>0.5</v>
      </c>
      <c r="U4476" s="4" t="str">
        <f>IFERROR(__xludf.DUMMYFUNCTION("""COMPUTED_VALUE"""),"Cloudfy")</f>
        <v>Cloudfy</v>
      </c>
      <c r="V4476" s="33">
        <f>IFERROR(__xludf.DUMMYFUNCTION("""COMPUTED_VALUE"""),0.5)</f>
        <v>0.5</v>
      </c>
      <c r="W4476" s="4" t="str">
        <f>IFERROR(__xludf.DUMMYFUNCTION("""COMPUTED_VALUE"""),"Cloudfy")</f>
        <v>Cloudfy</v>
      </c>
      <c r="X4476" s="33">
        <f>IFERROR(__xludf.DUMMYFUNCTION("""COMPUTED_VALUE"""),0.5)</f>
        <v>0.5</v>
      </c>
    </row>
    <row r="4477">
      <c r="K4477" s="4" t="str">
        <f>IFERROR(__xludf.DUMMYFUNCTION("""COMPUTED_VALUE"""),"MAIS BACON HAMBURGUERIA")</f>
        <v>MAIS BACON HAMBURGUERIA</v>
      </c>
      <c r="L4477" s="32">
        <f>IFERROR(__xludf.DUMMYFUNCTION("""COMPUTED_VALUE"""),2.0)</f>
        <v>2</v>
      </c>
      <c r="M4477" s="4" t="str">
        <f>IFERROR(__xludf.DUMMYFUNCTION("""COMPUTED_VALUE"""),"Saipos Serviços De Software")</f>
        <v>Saipos Serviços De Software</v>
      </c>
      <c r="N4477" s="33">
        <f>IFERROR(__xludf.DUMMYFUNCTION("""COMPUTED_VALUE"""),1.0)</f>
        <v>1</v>
      </c>
      <c r="O4477" s="4" t="str">
        <f>IFERROR(__xludf.DUMMYFUNCTION("""COMPUTED_VALUE"""),"Saipos Serviços De Software")</f>
        <v>Saipos Serviços De Software</v>
      </c>
      <c r="P4477" s="33">
        <f>IFERROR(__xludf.DUMMYFUNCTION("""COMPUTED_VALUE"""),1.0)</f>
        <v>1</v>
      </c>
      <c r="Q4477" s="4" t="str">
        <f>IFERROR(__xludf.DUMMYFUNCTION("""COMPUTED_VALUE"""),"Saipos Serviços De Software")</f>
        <v>Saipos Serviços De Software</v>
      </c>
      <c r="R4477" s="33">
        <f>IFERROR(__xludf.DUMMYFUNCTION("""COMPUTED_VALUE"""),1.0)</f>
        <v>1</v>
      </c>
      <c r="S4477" s="4" t="str">
        <f>IFERROR(__xludf.DUMMYFUNCTION("""COMPUTED_VALUE"""),"Saipos Serviços De Software")</f>
        <v>Saipos Serviços De Software</v>
      </c>
      <c r="T4477" s="33">
        <f>IFERROR(__xludf.DUMMYFUNCTION("""COMPUTED_VALUE"""),1.0)</f>
        <v>1</v>
      </c>
      <c r="U4477" s="4" t="str">
        <f>IFERROR(__xludf.DUMMYFUNCTION("""COMPUTED_VALUE"""),"Saipos Serviços De Software")</f>
        <v>Saipos Serviços De Software</v>
      </c>
      <c r="V4477" s="33">
        <f>IFERROR(__xludf.DUMMYFUNCTION("""COMPUTED_VALUE"""),1.0)</f>
        <v>1</v>
      </c>
      <c r="W4477" s="4" t="str">
        <f>IFERROR(__xludf.DUMMYFUNCTION("""COMPUTED_VALUE"""),"Saipos Serviços De Software")</f>
        <v>Saipos Serviços De Software</v>
      </c>
      <c r="X4477" s="33">
        <f>IFERROR(__xludf.DUMMYFUNCTION("""COMPUTED_VALUE"""),1.0)</f>
        <v>1</v>
      </c>
    </row>
    <row r="4478">
      <c r="K4478" s="4" t="str">
        <f>IFERROR(__xludf.DUMMYFUNCTION("""COMPUTED_VALUE"""),"LANCHE DO ZE")</f>
        <v>LANCHE DO ZE</v>
      </c>
      <c r="L4478" s="32">
        <f>IFERROR(__xludf.DUMMYFUNCTION("""COMPUTED_VALUE"""),2.0)</f>
        <v>2</v>
      </c>
      <c r="M4478" s="4" t="str">
        <f>IFERROR(__xludf.DUMMYFUNCTION("""COMPUTED_VALUE"""),"Cardápio Web")</f>
        <v>Cardápio Web</v>
      </c>
      <c r="N4478" s="33">
        <f>IFERROR(__xludf.DUMMYFUNCTION("""COMPUTED_VALUE"""),0.5)</f>
        <v>0.5</v>
      </c>
      <c r="O4478" s="4" t="str">
        <f>IFERROR(__xludf.DUMMYFUNCTION("""COMPUTED_VALUE"""),"null")</f>
        <v>null</v>
      </c>
      <c r="P4478" s="33">
        <f>IFERROR(__xludf.DUMMYFUNCTION("""COMPUTED_VALUE"""),0.5)</f>
        <v>0.5</v>
      </c>
      <c r="Q4478" s="4" t="str">
        <f>IFERROR(__xludf.DUMMYFUNCTION("""COMPUTED_VALUE"""),"null")</f>
        <v>null</v>
      </c>
      <c r="R4478" s="33">
        <f>IFERROR(__xludf.DUMMYFUNCTION("""COMPUTED_VALUE"""),0.5)</f>
        <v>0.5</v>
      </c>
      <c r="S4478" s="4" t="str">
        <f>IFERROR(__xludf.DUMMYFUNCTION("""COMPUTED_VALUE"""),"null")</f>
        <v>null</v>
      </c>
      <c r="T4478" s="33">
        <f>IFERROR(__xludf.DUMMYFUNCTION("""COMPUTED_VALUE"""),0.5)</f>
        <v>0.5</v>
      </c>
      <c r="U4478" s="4" t="str">
        <f>IFERROR(__xludf.DUMMYFUNCTION("""COMPUTED_VALUE"""),"null")</f>
        <v>null</v>
      </c>
      <c r="V4478" s="33">
        <f>IFERROR(__xludf.DUMMYFUNCTION("""COMPUTED_VALUE"""),0.5)</f>
        <v>0.5</v>
      </c>
      <c r="W4478" s="4" t="str">
        <f>IFERROR(__xludf.DUMMYFUNCTION("""COMPUTED_VALUE"""),"null")</f>
        <v>null</v>
      </c>
      <c r="X4478" s="33">
        <f>IFERROR(__xludf.DUMMYFUNCTION("""COMPUTED_VALUE"""),0.5)</f>
        <v>0.5</v>
      </c>
    </row>
    <row r="4479">
      <c r="K4479" s="4" t="str">
        <f>IFERROR(__xludf.DUMMYFUNCTION("""COMPUTED_VALUE"""),"VARANDA CARIOCA")</f>
        <v>VARANDA CARIOCA</v>
      </c>
      <c r="L4479" s="32">
        <f>IFERROR(__xludf.DUMMYFUNCTION("""COMPUTED_VALUE"""),2.0)</f>
        <v>2</v>
      </c>
      <c r="M4479" s="4" t="str">
        <f>IFERROR(__xludf.DUMMYFUNCTION("""COMPUTED_VALUE"""),"Consumer Soluções Em Tecnologia Ltda")</f>
        <v>Consumer Soluções Em Tecnologia Ltda</v>
      </c>
      <c r="N4479" s="33">
        <f>IFERROR(__xludf.DUMMYFUNCTION("""COMPUTED_VALUE"""),0.5)</f>
        <v>0.5</v>
      </c>
      <c r="O4479" s="4" t="str">
        <f>IFERROR(__xludf.DUMMYFUNCTION("""COMPUTED_VALUE"""),"Consumer Soluções Em Tecnologia Ltda")</f>
        <v>Consumer Soluções Em Tecnologia Ltda</v>
      </c>
      <c r="P4479" s="33">
        <f>IFERROR(__xludf.DUMMYFUNCTION("""COMPUTED_VALUE"""),0.5)</f>
        <v>0.5</v>
      </c>
      <c r="Q4479" s="4" t="str">
        <f>IFERROR(__xludf.DUMMYFUNCTION("""COMPUTED_VALUE"""),"Consumer Soluções Em Tecnologia Ltda")</f>
        <v>Consumer Soluções Em Tecnologia Ltda</v>
      </c>
      <c r="R4479" s="33">
        <f>IFERROR(__xludf.DUMMYFUNCTION("""COMPUTED_VALUE"""),0.5)</f>
        <v>0.5</v>
      </c>
      <c r="S4479" s="4" t="str">
        <f>IFERROR(__xludf.DUMMYFUNCTION("""COMPUTED_VALUE"""),"Consumer Soluções Em Tecnologia Ltda")</f>
        <v>Consumer Soluções Em Tecnologia Ltda</v>
      </c>
      <c r="T4479" s="33">
        <f>IFERROR(__xludf.DUMMYFUNCTION("""COMPUTED_VALUE"""),0.5)</f>
        <v>0.5</v>
      </c>
      <c r="U4479" s="4" t="str">
        <f>IFERROR(__xludf.DUMMYFUNCTION("""COMPUTED_VALUE"""),"Consumer Soluções Em Tecnologia Ltda")</f>
        <v>Consumer Soluções Em Tecnologia Ltda</v>
      </c>
      <c r="V4479" s="33">
        <f>IFERROR(__xludf.DUMMYFUNCTION("""COMPUTED_VALUE"""),0.5)</f>
        <v>0.5</v>
      </c>
      <c r="W4479" s="4" t="str">
        <f>IFERROR(__xludf.DUMMYFUNCTION("""COMPUTED_VALUE"""),"Consumer Soluções Em Tecnologia Ltda")</f>
        <v>Consumer Soluções Em Tecnologia Ltda</v>
      </c>
      <c r="X4479" s="33">
        <f>IFERROR(__xludf.DUMMYFUNCTION("""COMPUTED_VALUE"""),0.5)</f>
        <v>0.5</v>
      </c>
    </row>
    <row r="4480">
      <c r="K4480" s="4" t="str">
        <f>IFERROR(__xludf.DUMMYFUNCTION("""COMPUTED_VALUE"""),"CASA DA RACAO")</f>
        <v>CASA DA RACAO</v>
      </c>
      <c r="L4480" s="32">
        <f>IFERROR(__xludf.DUMMYFUNCTION("""COMPUTED_VALUE"""),2.0)</f>
        <v>2</v>
      </c>
      <c r="M4480" s="4" t="str">
        <f>IFERROR(__xludf.DUMMYFUNCTION("""COMPUTED_VALUE"""),"null")</f>
        <v>null</v>
      </c>
      <c r="N4480" s="33">
        <f>IFERROR(__xludf.DUMMYFUNCTION("""COMPUTED_VALUE"""),0.5)</f>
        <v>0.5</v>
      </c>
      <c r="O4480" s="4" t="str">
        <f>IFERROR(__xludf.DUMMYFUNCTION("""COMPUTED_VALUE"""),"N/A (Not found)")</f>
        <v>N/A (Not found)</v>
      </c>
      <c r="P4480" s="33">
        <f>IFERROR(__xludf.DUMMYFUNCTION("""COMPUTED_VALUE"""),1.0)</f>
        <v>1</v>
      </c>
      <c r="Q4480" s="4" t="str">
        <f>IFERROR(__xludf.DUMMYFUNCTION("""COMPUTED_VALUE"""),"N/A (Not found)")</f>
        <v>N/A (Not found)</v>
      </c>
      <c r="R4480" s="33">
        <f>IFERROR(__xludf.DUMMYFUNCTION("""COMPUTED_VALUE"""),1.0)</f>
        <v>1</v>
      </c>
      <c r="S4480" s="4" t="str">
        <f>IFERROR(__xludf.DUMMYFUNCTION("""COMPUTED_VALUE"""),"N/A (Not found)")</f>
        <v>N/A (Not found)</v>
      </c>
      <c r="T4480" s="33">
        <f>IFERROR(__xludf.DUMMYFUNCTION("""COMPUTED_VALUE"""),1.0)</f>
        <v>1</v>
      </c>
      <c r="U4480" s="4" t="str">
        <f>IFERROR(__xludf.DUMMYFUNCTION("""COMPUTED_VALUE"""),"null")</f>
        <v>null</v>
      </c>
      <c r="V4480" s="33">
        <f>IFERROR(__xludf.DUMMYFUNCTION("""COMPUTED_VALUE"""),0.5)</f>
        <v>0.5</v>
      </c>
      <c r="W4480" s="4" t="str">
        <f>IFERROR(__xludf.DUMMYFUNCTION("""COMPUTED_VALUE"""),"null")</f>
        <v>null</v>
      </c>
      <c r="X4480" s="33">
        <f>IFERROR(__xludf.DUMMYFUNCTION("""COMPUTED_VALUE"""),0.5)</f>
        <v>0.5</v>
      </c>
    </row>
    <row r="4481">
      <c r="K4481" s="4" t="str">
        <f>IFERROR(__xludf.DUMMYFUNCTION("""COMPUTED_VALUE"""),"LANCHE E CIA")</f>
        <v>LANCHE E CIA</v>
      </c>
      <c r="L4481" s="32">
        <f>IFERROR(__xludf.DUMMYFUNCTION("""COMPUTED_VALUE"""),2.0)</f>
        <v>2</v>
      </c>
      <c r="M4481" s="4" t="str">
        <f>IFERROR(__xludf.DUMMYFUNCTION("""COMPUTED_VALUE"""),"null")</f>
        <v>null</v>
      </c>
      <c r="N4481" s="33">
        <f>IFERROR(__xludf.DUMMYFUNCTION("""COMPUTED_VALUE"""),1.0)</f>
        <v>1</v>
      </c>
      <c r="O4481" s="4" t="str">
        <f>IFERROR(__xludf.DUMMYFUNCTION("""COMPUTED_VALUE"""),"null")</f>
        <v>null</v>
      </c>
      <c r="P4481" s="33">
        <f>IFERROR(__xludf.DUMMYFUNCTION("""COMPUTED_VALUE"""),0.5)</f>
        <v>0.5</v>
      </c>
      <c r="Q4481" s="4" t="str">
        <f>IFERROR(__xludf.DUMMYFUNCTION("""COMPUTED_VALUE"""),"null")</f>
        <v>null</v>
      </c>
      <c r="R4481" s="33">
        <f>IFERROR(__xludf.DUMMYFUNCTION("""COMPUTED_VALUE"""),1.0)</f>
        <v>1</v>
      </c>
      <c r="S4481" s="4" t="str">
        <f>IFERROR(__xludf.DUMMYFUNCTION("""COMPUTED_VALUE"""),"null")</f>
        <v>null</v>
      </c>
      <c r="T4481" s="33">
        <f>IFERROR(__xludf.DUMMYFUNCTION("""COMPUTED_VALUE"""),1.0)</f>
        <v>1</v>
      </c>
      <c r="U4481" s="4" t="str">
        <f>IFERROR(__xludf.DUMMYFUNCTION("""COMPUTED_VALUE"""),"null")</f>
        <v>null</v>
      </c>
      <c r="V4481" s="33">
        <f>IFERROR(__xludf.DUMMYFUNCTION("""COMPUTED_VALUE"""),1.0)</f>
        <v>1</v>
      </c>
      <c r="W4481" s="4" t="str">
        <f>IFERROR(__xludf.DUMMYFUNCTION("""COMPUTED_VALUE"""),"Menu Integrado")</f>
        <v>Menu Integrado</v>
      </c>
      <c r="X4481" s="33">
        <f>IFERROR(__xludf.DUMMYFUNCTION("""COMPUTED_VALUE"""),0.5)</f>
        <v>0.5</v>
      </c>
    </row>
    <row r="4482">
      <c r="K4482" s="4" t="str">
        <f>IFERROR(__xludf.DUMMYFUNCTION("""COMPUTED_VALUE"""),"POINT DO LANCHE")</f>
        <v>POINT DO LANCHE</v>
      </c>
      <c r="L4482" s="32">
        <f>IFERROR(__xludf.DUMMYFUNCTION("""COMPUTED_VALUE"""),2.0)</f>
        <v>2</v>
      </c>
      <c r="M4482" s="4" t="str">
        <f>IFERROR(__xludf.DUMMYFUNCTION("""COMPUTED_VALUE"""),"null")</f>
        <v>null</v>
      </c>
      <c r="N4482" s="33">
        <f>IFERROR(__xludf.DUMMYFUNCTION("""COMPUTED_VALUE"""),0.5)</f>
        <v>0.5</v>
      </c>
      <c r="O4482" s="4" t="str">
        <f>IFERROR(__xludf.DUMMYFUNCTION("""COMPUTED_VALUE"""),"null")</f>
        <v>null</v>
      </c>
      <c r="P4482" s="33">
        <f>IFERROR(__xludf.DUMMYFUNCTION("""COMPUTED_VALUE"""),0.5)</f>
        <v>0.5</v>
      </c>
      <c r="Q4482" s="4" t="str">
        <f>IFERROR(__xludf.DUMMYFUNCTION("""COMPUTED_VALUE"""),"null")</f>
        <v>null</v>
      </c>
      <c r="R4482" s="33">
        <f>IFERROR(__xludf.DUMMYFUNCTION("""COMPUTED_VALUE"""),0.5)</f>
        <v>0.5</v>
      </c>
      <c r="S4482" s="4" t="str">
        <f>IFERROR(__xludf.DUMMYFUNCTION("""COMPUTED_VALUE"""),"Instadelivery")</f>
        <v>Instadelivery</v>
      </c>
      <c r="T4482" s="33">
        <f>IFERROR(__xludf.DUMMYFUNCTION("""COMPUTED_VALUE"""),0.5)</f>
        <v>0.5</v>
      </c>
      <c r="U4482" s="4" t="str">
        <f>IFERROR(__xludf.DUMMYFUNCTION("""COMPUTED_VALUE"""),"null")</f>
        <v>null</v>
      </c>
      <c r="V4482" s="33">
        <f>IFERROR(__xludf.DUMMYFUNCTION("""COMPUTED_VALUE"""),1.0)</f>
        <v>1</v>
      </c>
      <c r="W4482" s="4" t="str">
        <f>IFERROR(__xludf.DUMMYFUNCTION("""COMPUTED_VALUE"""),"null")</f>
        <v>null</v>
      </c>
      <c r="X4482" s="33">
        <f>IFERROR(__xludf.DUMMYFUNCTION("""COMPUTED_VALUE"""),1.0)</f>
        <v>1</v>
      </c>
    </row>
    <row r="4483">
      <c r="K4483" s="4" t="str">
        <f>IFERROR(__xludf.DUMMYFUNCTION("""COMPUTED_VALUE"""),"HOT DOG SERTANEJO")</f>
        <v>HOT DOG SERTANEJO</v>
      </c>
      <c r="L4483" s="32">
        <f>IFERROR(__xludf.DUMMYFUNCTION("""COMPUTED_VALUE"""),2.0)</f>
        <v>2</v>
      </c>
      <c r="M4483" s="4" t="str">
        <f>IFERROR(__xludf.DUMMYFUNCTION("""COMPUTED_VALUE"""),"Crm Ti Ltda.")</f>
        <v>Crm Ti Ltda.</v>
      </c>
      <c r="N4483" s="33">
        <f>IFERROR(__xludf.DUMMYFUNCTION("""COMPUTED_VALUE"""),1.0)</f>
        <v>1</v>
      </c>
      <c r="O4483" s="4" t="str">
        <f>IFERROR(__xludf.DUMMYFUNCTION("""COMPUTED_VALUE"""),"Crm Ti Ltda.")</f>
        <v>Crm Ti Ltda.</v>
      </c>
      <c r="P4483" s="33">
        <f>IFERROR(__xludf.DUMMYFUNCTION("""COMPUTED_VALUE"""),1.0)</f>
        <v>1</v>
      </c>
      <c r="Q4483" s="4" t="str">
        <f>IFERROR(__xludf.DUMMYFUNCTION("""COMPUTED_VALUE"""),"Crm Ti Ltda.")</f>
        <v>Crm Ti Ltda.</v>
      </c>
      <c r="R4483" s="33">
        <f>IFERROR(__xludf.DUMMYFUNCTION("""COMPUTED_VALUE"""),1.0)</f>
        <v>1</v>
      </c>
      <c r="S4483" s="4" t="str">
        <f>IFERROR(__xludf.DUMMYFUNCTION("""COMPUTED_VALUE"""),"Crm Ti Ltda.")</f>
        <v>Crm Ti Ltda.</v>
      </c>
      <c r="T4483" s="33">
        <f>IFERROR(__xludf.DUMMYFUNCTION("""COMPUTED_VALUE"""),0.5)</f>
        <v>0.5</v>
      </c>
      <c r="U4483" s="4" t="str">
        <f>IFERROR(__xludf.DUMMYFUNCTION("""COMPUTED_VALUE"""),"null")</f>
        <v>null</v>
      </c>
      <c r="V4483" s="33">
        <f>IFERROR(__xludf.DUMMYFUNCTION("""COMPUTED_VALUE"""),1.0)</f>
        <v>1</v>
      </c>
      <c r="W4483" s="4" t="str">
        <f>IFERROR(__xludf.DUMMYFUNCTION("""COMPUTED_VALUE"""),"null")</f>
        <v>null</v>
      </c>
      <c r="X4483" s="33">
        <f>IFERROR(__xludf.DUMMYFUNCTION("""COMPUTED_VALUE"""),1.0)</f>
        <v>1</v>
      </c>
    </row>
    <row r="4484">
      <c r="K4484" s="4" t="str">
        <f>IFERROR(__xludf.DUMMYFUNCTION("""COMPUTED_VALUE"""),"FIORETTO SORVETERIA")</f>
        <v>FIORETTO SORVETERIA</v>
      </c>
      <c r="L4484" s="32">
        <f>IFERROR(__xludf.DUMMYFUNCTION("""COMPUTED_VALUE"""),2.0)</f>
        <v>2</v>
      </c>
      <c r="M4484" s="4" t="str">
        <f>IFERROR(__xludf.DUMMYFUNCTION("""COMPUTED_VALUE"""),"Yooga")</f>
        <v>Yooga</v>
      </c>
      <c r="N4484" s="33">
        <f>IFERROR(__xludf.DUMMYFUNCTION("""COMPUTED_VALUE"""),0.5)</f>
        <v>0.5</v>
      </c>
      <c r="O4484" s="4" t="str">
        <f>IFERROR(__xludf.DUMMYFUNCTION("""COMPUTED_VALUE"""),"Yooga")</f>
        <v>Yooga</v>
      </c>
      <c r="P4484" s="33">
        <f>IFERROR(__xludf.DUMMYFUNCTION("""COMPUTED_VALUE"""),0.5)</f>
        <v>0.5</v>
      </c>
      <c r="Q4484" s="4" t="str">
        <f>IFERROR(__xludf.DUMMYFUNCTION("""COMPUTED_VALUE"""),"Yooga")</f>
        <v>Yooga</v>
      </c>
      <c r="R4484" s="33">
        <f>IFERROR(__xludf.DUMMYFUNCTION("""COMPUTED_VALUE"""),0.5)</f>
        <v>0.5</v>
      </c>
      <c r="S4484" s="4" t="str">
        <f>IFERROR(__xludf.DUMMYFUNCTION("""COMPUTED_VALUE"""),"null")</f>
        <v>null</v>
      </c>
      <c r="T4484" s="33">
        <f>IFERROR(__xludf.DUMMYFUNCTION("""COMPUTED_VALUE"""),0.5)</f>
        <v>0.5</v>
      </c>
      <c r="U4484" s="4" t="str">
        <f>IFERROR(__xludf.DUMMYFUNCTION("""COMPUTED_VALUE"""),"null")</f>
        <v>null</v>
      </c>
      <c r="V4484" s="33">
        <f>IFERROR(__xludf.DUMMYFUNCTION("""COMPUTED_VALUE"""),0.5)</f>
        <v>0.5</v>
      </c>
      <c r="W4484" s="4" t="str">
        <f>IFERROR(__xludf.DUMMYFUNCTION("""COMPUTED_VALUE"""),"null")</f>
        <v>null</v>
      </c>
      <c r="X4484" s="33">
        <f>IFERROR(__xludf.DUMMYFUNCTION("""COMPUTED_VALUE"""),0.5)</f>
        <v>0.5</v>
      </c>
    </row>
    <row r="4485">
      <c r="K4485" s="4" t="str">
        <f>IFERROR(__xludf.DUMMYFUNCTION("""COMPUTED_VALUE"""),"TARANTELLA RESTAURANTE E PIZZARIA")</f>
        <v>TARANTELLA RESTAURANTE E PIZZARIA</v>
      </c>
      <c r="L4485" s="32">
        <f>IFERROR(__xludf.DUMMYFUNCTION("""COMPUTED_VALUE"""),2.0)</f>
        <v>2</v>
      </c>
      <c r="M4485" s="4" t="str">
        <f>IFERROR(__xludf.DUMMYFUNCTION("""COMPUTED_VALUE"""),"Alpha Logo")</f>
        <v>Alpha Logo</v>
      </c>
      <c r="N4485" s="33">
        <f>IFERROR(__xludf.DUMMYFUNCTION("""COMPUTED_VALUE"""),0.5)</f>
        <v>0.5</v>
      </c>
      <c r="O4485" s="4" t="str">
        <f>IFERROR(__xludf.DUMMYFUNCTION("""COMPUTED_VALUE"""),"Alpha Logo")</f>
        <v>Alpha Logo</v>
      </c>
      <c r="P4485" s="33">
        <f>IFERROR(__xludf.DUMMYFUNCTION("""COMPUTED_VALUE"""),0.5)</f>
        <v>0.5</v>
      </c>
      <c r="Q4485" s="4" t="str">
        <f>IFERROR(__xludf.DUMMYFUNCTION("""COMPUTED_VALUE"""),"Alpha Logo")</f>
        <v>Alpha Logo</v>
      </c>
      <c r="R4485" s="33">
        <f>IFERROR(__xludf.DUMMYFUNCTION("""COMPUTED_VALUE"""),0.5)</f>
        <v>0.5</v>
      </c>
      <c r="S4485" s="4" t="str">
        <f>IFERROR(__xludf.DUMMYFUNCTION("""COMPUTED_VALUE"""),"Alpha Logo")</f>
        <v>Alpha Logo</v>
      </c>
      <c r="T4485" s="33">
        <f>IFERROR(__xludf.DUMMYFUNCTION("""COMPUTED_VALUE"""),0.5)</f>
        <v>0.5</v>
      </c>
      <c r="U4485" s="4" t="str">
        <f>IFERROR(__xludf.DUMMYFUNCTION("""COMPUTED_VALUE"""),"Alpha Logo")</f>
        <v>Alpha Logo</v>
      </c>
      <c r="V4485" s="33">
        <f>IFERROR(__xludf.DUMMYFUNCTION("""COMPUTED_VALUE"""),0.5)</f>
        <v>0.5</v>
      </c>
      <c r="W4485" s="4" t="str">
        <f>IFERROR(__xludf.DUMMYFUNCTION("""COMPUTED_VALUE"""),"Alpha Logo")</f>
        <v>Alpha Logo</v>
      </c>
      <c r="X4485" s="33">
        <f>IFERROR(__xludf.DUMMYFUNCTION("""COMPUTED_VALUE"""),0.5)</f>
        <v>0.5</v>
      </c>
    </row>
    <row r="4486">
      <c r="K4486" s="4" t="str">
        <f>IFERROR(__xludf.DUMMYFUNCTION("""COMPUTED_VALUE"""),"BOON BURGER")</f>
        <v>BOON BURGER</v>
      </c>
      <c r="L4486" s="32">
        <f>IFERROR(__xludf.DUMMYFUNCTION("""COMPUTED_VALUE"""),2.0)</f>
        <v>2</v>
      </c>
      <c r="M4486" s="4" t="str">
        <f>IFERROR(__xludf.DUMMYFUNCTION("""COMPUTED_VALUE"""),"Saipos Serviços De Software")</f>
        <v>Saipos Serviços De Software</v>
      </c>
      <c r="N4486" s="33">
        <f>IFERROR(__xludf.DUMMYFUNCTION("""COMPUTED_VALUE"""),0.5)</f>
        <v>0.5</v>
      </c>
      <c r="O4486" s="4" t="str">
        <f>IFERROR(__xludf.DUMMYFUNCTION("""COMPUTED_VALUE"""),"Saipos Serviços De Software")</f>
        <v>Saipos Serviços De Software</v>
      </c>
      <c r="P4486" s="33">
        <f>IFERROR(__xludf.DUMMYFUNCTION("""COMPUTED_VALUE"""),0.5)</f>
        <v>0.5</v>
      </c>
      <c r="Q4486" s="4" t="str">
        <f>IFERROR(__xludf.DUMMYFUNCTION("""COMPUTED_VALUE"""),"Saipos Serviços De Software")</f>
        <v>Saipos Serviços De Software</v>
      </c>
      <c r="R4486" s="33">
        <f>IFERROR(__xludf.DUMMYFUNCTION("""COMPUTED_VALUE"""),0.5)</f>
        <v>0.5</v>
      </c>
      <c r="S4486" s="4" t="str">
        <f>IFERROR(__xludf.DUMMYFUNCTION("""COMPUTED_VALUE"""),"Saipos Serviços De Software")</f>
        <v>Saipos Serviços De Software</v>
      </c>
      <c r="T4486" s="33">
        <f>IFERROR(__xludf.DUMMYFUNCTION("""COMPUTED_VALUE"""),0.5)</f>
        <v>0.5</v>
      </c>
      <c r="U4486" s="4" t="str">
        <f>IFERROR(__xludf.DUMMYFUNCTION("""COMPUTED_VALUE"""),"Saipos Serviços De Software")</f>
        <v>Saipos Serviços De Software</v>
      </c>
      <c r="V4486" s="33">
        <f>IFERROR(__xludf.DUMMYFUNCTION("""COMPUTED_VALUE"""),0.5)</f>
        <v>0.5</v>
      </c>
      <c r="W4486" s="4" t="str">
        <f>IFERROR(__xludf.DUMMYFUNCTION("""COMPUTED_VALUE"""),"Saipos Serviços De Software")</f>
        <v>Saipos Serviços De Software</v>
      </c>
      <c r="X4486" s="33">
        <f>IFERROR(__xludf.DUMMYFUNCTION("""COMPUTED_VALUE"""),0.5)</f>
        <v>0.5</v>
      </c>
    </row>
    <row r="4487">
      <c r="K4487" s="4" t="str">
        <f>IFERROR(__xludf.DUMMYFUNCTION("""COMPUTED_VALUE"""),"LA CASA DE PASTEL PIRACICABA")</f>
        <v>LA CASA DE PASTEL PIRACICABA</v>
      </c>
      <c r="L4487" s="32">
        <f>IFERROR(__xludf.DUMMYFUNCTION("""COMPUTED_VALUE"""),2.0)</f>
        <v>2</v>
      </c>
      <c r="M4487" s="4" t="str">
        <f>IFERROR(__xludf.DUMMYFUNCTION("""COMPUTED_VALUE"""),"Beefood - Sistema Para Restaurantes")</f>
        <v>Beefood - Sistema Para Restaurantes</v>
      </c>
      <c r="N4487" s="33">
        <f>IFERROR(__xludf.DUMMYFUNCTION("""COMPUTED_VALUE"""),0.5)</f>
        <v>0.5</v>
      </c>
      <c r="O4487" s="4" t="str">
        <f>IFERROR(__xludf.DUMMYFUNCTION("""COMPUTED_VALUE"""),"Beefood - Sistema Para Restaurantes")</f>
        <v>Beefood - Sistema Para Restaurantes</v>
      </c>
      <c r="P4487" s="33">
        <f>IFERROR(__xludf.DUMMYFUNCTION("""COMPUTED_VALUE"""),0.5)</f>
        <v>0.5</v>
      </c>
      <c r="Q4487" s="4" t="str">
        <f>IFERROR(__xludf.DUMMYFUNCTION("""COMPUTED_VALUE"""),"Beefood - Sistema Para Restaurantes")</f>
        <v>Beefood - Sistema Para Restaurantes</v>
      </c>
      <c r="R4487" s="33">
        <f>IFERROR(__xludf.DUMMYFUNCTION("""COMPUTED_VALUE"""),0.5)</f>
        <v>0.5</v>
      </c>
      <c r="S4487" s="4" t="str">
        <f>IFERROR(__xludf.DUMMYFUNCTION("""COMPUTED_VALUE"""),"null")</f>
        <v>null</v>
      </c>
      <c r="T4487" s="33">
        <f>IFERROR(__xludf.DUMMYFUNCTION("""COMPUTED_VALUE"""),1.0)</f>
        <v>1</v>
      </c>
      <c r="U4487" s="4" t="str">
        <f>IFERROR(__xludf.DUMMYFUNCTION("""COMPUTED_VALUE"""),"null")</f>
        <v>null</v>
      </c>
      <c r="V4487" s="33">
        <f>IFERROR(__xludf.DUMMYFUNCTION("""COMPUTED_VALUE"""),1.0)</f>
        <v>1</v>
      </c>
      <c r="W4487" s="4" t="str">
        <f>IFERROR(__xludf.DUMMYFUNCTION("""COMPUTED_VALUE"""),"null")</f>
        <v>null</v>
      </c>
      <c r="X4487" s="33">
        <f>IFERROR(__xludf.DUMMYFUNCTION("""COMPUTED_VALUE"""),0.5)</f>
        <v>0.5</v>
      </c>
    </row>
    <row r="4488">
      <c r="K4488" s="4" t="str">
        <f>IFERROR(__xludf.DUMMYFUNCTION("""COMPUTED_VALUE"""),"QUERO QUERO GOURMET")</f>
        <v>QUERO QUERO GOURMET</v>
      </c>
      <c r="L4488" s="32">
        <f>IFERROR(__xludf.DUMMYFUNCTION("""COMPUTED_VALUE"""),2.0)</f>
        <v>2</v>
      </c>
      <c r="M4488" s="4" t="str">
        <f>IFERROR(__xludf.DUMMYFUNCTION("""COMPUTED_VALUE"""),"Cardápio Web")</f>
        <v>Cardápio Web</v>
      </c>
      <c r="N4488" s="33">
        <f>IFERROR(__xludf.DUMMYFUNCTION("""COMPUTED_VALUE"""),0.5)</f>
        <v>0.5</v>
      </c>
      <c r="O4488" s="4" t="str">
        <f>IFERROR(__xludf.DUMMYFUNCTION("""COMPUTED_VALUE"""),"Cardápio Web")</f>
        <v>Cardápio Web</v>
      </c>
      <c r="P4488" s="33">
        <f>IFERROR(__xludf.DUMMYFUNCTION("""COMPUTED_VALUE"""),0.5)</f>
        <v>0.5</v>
      </c>
      <c r="Q4488" s="4" t="str">
        <f>IFERROR(__xludf.DUMMYFUNCTION("""COMPUTED_VALUE"""),"Cardápio Web")</f>
        <v>Cardápio Web</v>
      </c>
      <c r="R4488" s="33">
        <f>IFERROR(__xludf.DUMMYFUNCTION("""COMPUTED_VALUE"""),0.5)</f>
        <v>0.5</v>
      </c>
      <c r="S4488" s="4" t="str">
        <f>IFERROR(__xludf.DUMMYFUNCTION("""COMPUTED_VALUE"""),"Cardápio Web")</f>
        <v>Cardápio Web</v>
      </c>
      <c r="T4488" s="33">
        <f>IFERROR(__xludf.DUMMYFUNCTION("""COMPUTED_VALUE"""),0.5)</f>
        <v>0.5</v>
      </c>
      <c r="U4488" s="4" t="str">
        <f>IFERROR(__xludf.DUMMYFUNCTION("""COMPUTED_VALUE"""),"Cardápio Web")</f>
        <v>Cardápio Web</v>
      </c>
      <c r="V4488" s="33">
        <f>IFERROR(__xludf.DUMMYFUNCTION("""COMPUTED_VALUE"""),0.5)</f>
        <v>0.5</v>
      </c>
      <c r="W4488" s="4" t="str">
        <f>IFERROR(__xludf.DUMMYFUNCTION("""COMPUTED_VALUE"""),"Cardápio Web")</f>
        <v>Cardápio Web</v>
      </c>
      <c r="X4488" s="33">
        <f>IFERROR(__xludf.DUMMYFUNCTION("""COMPUTED_VALUE"""),0.5)</f>
        <v>0.5</v>
      </c>
    </row>
    <row r="4489">
      <c r="K4489" s="4" t="str">
        <f>IFERROR(__xludf.DUMMYFUNCTION("""COMPUTED_VALUE"""),"MR FOOD PIZZARIA")</f>
        <v>MR FOOD PIZZARIA</v>
      </c>
      <c r="L4489" s="32">
        <f>IFERROR(__xludf.DUMMYFUNCTION("""COMPUTED_VALUE"""),2.0)</f>
        <v>2</v>
      </c>
      <c r="M4489" s="4" t="str">
        <f>IFERROR(__xludf.DUMMYFUNCTION("""COMPUTED_VALUE"""),"Gestor Tecnologia E Gestão Empresarial Ltda")</f>
        <v>Gestor Tecnologia E Gestão Empresarial Ltda</v>
      </c>
      <c r="N4489" s="33">
        <f>IFERROR(__xludf.DUMMYFUNCTION("""COMPUTED_VALUE"""),1.0)</f>
        <v>1</v>
      </c>
      <c r="O4489" s="4" t="str">
        <f>IFERROR(__xludf.DUMMYFUNCTION("""COMPUTED_VALUE"""),"Gestor Tecnologia E Gestão Empresarial Ltda")</f>
        <v>Gestor Tecnologia E Gestão Empresarial Ltda</v>
      </c>
      <c r="P4489" s="33">
        <f>IFERROR(__xludf.DUMMYFUNCTION("""COMPUTED_VALUE"""),0.5)</f>
        <v>0.5</v>
      </c>
      <c r="Q4489" s="4" t="str">
        <f>IFERROR(__xludf.DUMMYFUNCTION("""COMPUTED_VALUE"""),"Gestor Tecnologia E Gestão Empresarial Ltda")</f>
        <v>Gestor Tecnologia E Gestão Empresarial Ltda</v>
      </c>
      <c r="R4489" s="33">
        <f>IFERROR(__xludf.DUMMYFUNCTION("""COMPUTED_VALUE"""),0.5)</f>
        <v>0.5</v>
      </c>
      <c r="S4489" s="4" t="str">
        <f>IFERROR(__xludf.DUMMYFUNCTION("""COMPUTED_VALUE"""),"Gestor Tecnologia E Gestão Empresarial Ltda")</f>
        <v>Gestor Tecnologia E Gestão Empresarial Ltda</v>
      </c>
      <c r="T4489" s="33">
        <f>IFERROR(__xludf.DUMMYFUNCTION("""COMPUTED_VALUE"""),0.5)</f>
        <v>0.5</v>
      </c>
      <c r="U4489" s="4" t="str">
        <f>IFERROR(__xludf.DUMMYFUNCTION("""COMPUTED_VALUE"""),"Gestor Tecnologia E Gestão Empresarial Ltda")</f>
        <v>Gestor Tecnologia E Gestão Empresarial Ltda</v>
      </c>
      <c r="V4489" s="33">
        <f>IFERROR(__xludf.DUMMYFUNCTION("""COMPUTED_VALUE"""),0.5)</f>
        <v>0.5</v>
      </c>
      <c r="W4489" s="4" t="str">
        <f>IFERROR(__xludf.DUMMYFUNCTION("""COMPUTED_VALUE"""),"Gestor Tecnologia E Gestão Empresarial Ltda")</f>
        <v>Gestor Tecnologia E Gestão Empresarial Ltda</v>
      </c>
      <c r="X4489" s="33">
        <f>IFERROR(__xludf.DUMMYFUNCTION("""COMPUTED_VALUE"""),0.5)</f>
        <v>0.5</v>
      </c>
    </row>
    <row r="4490">
      <c r="K4490" s="4" t="str">
        <f>IFERROR(__xludf.DUMMYFUNCTION("""COMPUTED_VALUE"""),"POMODORO MARMITAS")</f>
        <v>POMODORO MARMITAS</v>
      </c>
      <c r="L4490" s="32">
        <f>IFERROR(__xludf.DUMMYFUNCTION("""COMPUTED_VALUE"""),2.0)</f>
        <v>2</v>
      </c>
      <c r="M4490" s="4" t="str">
        <f>IFERROR(__xludf.DUMMYFUNCTION("""COMPUTED_VALUE"""),"null")</f>
        <v>null</v>
      </c>
      <c r="N4490" s="33">
        <f>IFERROR(__xludf.DUMMYFUNCTION("""COMPUTED_VALUE"""),1.0)</f>
        <v>1</v>
      </c>
      <c r="O4490" s="4" t="str">
        <f>IFERROR(__xludf.DUMMYFUNCTION("""COMPUTED_VALUE"""),"null")</f>
        <v>null</v>
      </c>
      <c r="P4490" s="33">
        <f>IFERROR(__xludf.DUMMYFUNCTION("""COMPUTED_VALUE"""),1.0)</f>
        <v>1</v>
      </c>
      <c r="Q4490" s="4" t="str">
        <f>IFERROR(__xludf.DUMMYFUNCTION("""COMPUTED_VALUE"""),"null")</f>
        <v>null</v>
      </c>
      <c r="R4490" s="33">
        <f>IFERROR(__xludf.DUMMYFUNCTION("""COMPUTED_VALUE"""),1.0)</f>
        <v>1</v>
      </c>
      <c r="S4490" s="4" t="str">
        <f>IFERROR(__xludf.DUMMYFUNCTION("""COMPUTED_VALUE"""),"Anota Ai Solucoes Digitais S/a")</f>
        <v>Anota Ai Solucoes Digitais S/a</v>
      </c>
      <c r="T4490" s="33">
        <f>IFERROR(__xludf.DUMMYFUNCTION("""COMPUTED_VALUE"""),0.5)</f>
        <v>0.5</v>
      </c>
      <c r="U4490" s="4" t="str">
        <f>IFERROR(__xludf.DUMMYFUNCTION("""COMPUTED_VALUE"""),"Anota Ai Solucoes Digitais S/a")</f>
        <v>Anota Ai Solucoes Digitais S/a</v>
      </c>
      <c r="V4490" s="33">
        <f>IFERROR(__xludf.DUMMYFUNCTION("""COMPUTED_VALUE"""),0.5)</f>
        <v>0.5</v>
      </c>
      <c r="W4490" s="4" t="str">
        <f>IFERROR(__xludf.DUMMYFUNCTION("""COMPUTED_VALUE"""),"Anota Ai Solucoes Digitais S/a")</f>
        <v>Anota Ai Solucoes Digitais S/a</v>
      </c>
      <c r="X4490" s="33">
        <f>IFERROR(__xludf.DUMMYFUNCTION("""COMPUTED_VALUE"""),0.5)</f>
        <v>0.5</v>
      </c>
    </row>
    <row r="4491">
      <c r="K4491" s="4" t="str">
        <f>IFERROR(__xludf.DUMMYFUNCTION("""COMPUTED_VALUE"""),"TAIKSU SUSHI")</f>
        <v>TAIKSU SUSHI</v>
      </c>
      <c r="L4491" s="32">
        <f>IFERROR(__xludf.DUMMYFUNCTION("""COMPUTED_VALUE"""),2.0)</f>
        <v>2</v>
      </c>
      <c r="M4491" s="4" t="str">
        <f>IFERROR(__xludf.DUMMYFUNCTION("""COMPUTED_VALUE"""),"Saipos Serviços De Software")</f>
        <v>Saipos Serviços De Software</v>
      </c>
      <c r="N4491" s="33">
        <f>IFERROR(__xludf.DUMMYFUNCTION("""COMPUTED_VALUE"""),0.5)</f>
        <v>0.5</v>
      </c>
      <c r="O4491" s="4" t="str">
        <f>IFERROR(__xludf.DUMMYFUNCTION("""COMPUTED_VALUE"""),"Saipos Serviços De Software")</f>
        <v>Saipos Serviços De Software</v>
      </c>
      <c r="P4491" s="33">
        <f>IFERROR(__xludf.DUMMYFUNCTION("""COMPUTED_VALUE"""),0.5)</f>
        <v>0.5</v>
      </c>
      <c r="Q4491" s="4" t="str">
        <f>IFERROR(__xludf.DUMMYFUNCTION("""COMPUTED_VALUE"""),"Saipos Serviços De Software")</f>
        <v>Saipos Serviços De Software</v>
      </c>
      <c r="R4491" s="33">
        <f>IFERROR(__xludf.DUMMYFUNCTION("""COMPUTED_VALUE"""),0.5)</f>
        <v>0.5</v>
      </c>
      <c r="S4491" s="4" t="str">
        <f>IFERROR(__xludf.DUMMYFUNCTION("""COMPUTED_VALUE"""),"Saipos Serviços De Software")</f>
        <v>Saipos Serviços De Software</v>
      </c>
      <c r="T4491" s="33">
        <f>IFERROR(__xludf.DUMMYFUNCTION("""COMPUTED_VALUE"""),0.5)</f>
        <v>0.5</v>
      </c>
      <c r="U4491" s="4" t="str">
        <f>IFERROR(__xludf.DUMMYFUNCTION("""COMPUTED_VALUE"""),"Saipos Serviços De Software")</f>
        <v>Saipos Serviços De Software</v>
      </c>
      <c r="V4491" s="33">
        <f>IFERROR(__xludf.DUMMYFUNCTION("""COMPUTED_VALUE"""),0.5)</f>
        <v>0.5</v>
      </c>
      <c r="W4491" s="4" t="str">
        <f>IFERROR(__xludf.DUMMYFUNCTION("""COMPUTED_VALUE"""),"Saipos Serviços De Software")</f>
        <v>Saipos Serviços De Software</v>
      </c>
      <c r="X4491" s="33">
        <f>IFERROR(__xludf.DUMMYFUNCTION("""COMPUTED_VALUE"""),0.5)</f>
        <v>0.5</v>
      </c>
    </row>
    <row r="4492">
      <c r="K4492" s="4" t="str">
        <f>IFERROR(__xludf.DUMMYFUNCTION("""COMPUTED_VALUE"""),"JP BURGUER")</f>
        <v>JP BURGUER</v>
      </c>
      <c r="L4492" s="32">
        <f>IFERROR(__xludf.DUMMYFUNCTION("""COMPUTED_VALUE"""),2.0)</f>
        <v>2</v>
      </c>
      <c r="M4492" s="4" t="str">
        <f>IFERROR(__xludf.DUMMYFUNCTION("""COMPUTED_VALUE"""),"Saipos Serviços De Software")</f>
        <v>Saipos Serviços De Software</v>
      </c>
      <c r="N4492" s="33">
        <f>IFERROR(__xludf.DUMMYFUNCTION("""COMPUTED_VALUE"""),0.5)</f>
        <v>0.5</v>
      </c>
      <c r="O4492" s="4" t="str">
        <f>IFERROR(__xludf.DUMMYFUNCTION("""COMPUTED_VALUE"""),"Saipos Serviços De Software")</f>
        <v>Saipos Serviços De Software</v>
      </c>
      <c r="P4492" s="33">
        <f>IFERROR(__xludf.DUMMYFUNCTION("""COMPUTED_VALUE"""),0.5)</f>
        <v>0.5</v>
      </c>
      <c r="Q4492" s="4" t="str">
        <f>IFERROR(__xludf.DUMMYFUNCTION("""COMPUTED_VALUE"""),"Saipos Serviços De Software")</f>
        <v>Saipos Serviços De Software</v>
      </c>
      <c r="R4492" s="33">
        <f>IFERROR(__xludf.DUMMYFUNCTION("""COMPUTED_VALUE"""),0.5)</f>
        <v>0.5</v>
      </c>
      <c r="S4492" s="4" t="str">
        <f>IFERROR(__xludf.DUMMYFUNCTION("""COMPUTED_VALUE"""),"Saipos Serviços De Software")</f>
        <v>Saipos Serviços De Software</v>
      </c>
      <c r="T4492" s="33">
        <f>IFERROR(__xludf.DUMMYFUNCTION("""COMPUTED_VALUE"""),0.5)</f>
        <v>0.5</v>
      </c>
      <c r="U4492" s="4" t="str">
        <f>IFERROR(__xludf.DUMMYFUNCTION("""COMPUTED_VALUE"""),"Saipos Serviços De Software")</f>
        <v>Saipos Serviços De Software</v>
      </c>
      <c r="V4492" s="33">
        <f>IFERROR(__xludf.DUMMYFUNCTION("""COMPUTED_VALUE"""),1.0)</f>
        <v>1</v>
      </c>
      <c r="W4492" s="4" t="str">
        <f>IFERROR(__xludf.DUMMYFUNCTION("""COMPUTED_VALUE"""),"null")</f>
        <v>null</v>
      </c>
      <c r="X4492" s="33">
        <f>IFERROR(__xludf.DUMMYFUNCTION("""COMPUTED_VALUE"""),1.0)</f>
        <v>1</v>
      </c>
    </row>
    <row r="4493">
      <c r="K4493" s="4" t="str">
        <f>IFERROR(__xludf.DUMMYFUNCTION("""COMPUTED_VALUE"""),"HORA DO ACAI 2")</f>
        <v>HORA DO ACAI 2</v>
      </c>
      <c r="L4493" s="32">
        <f>IFERROR(__xludf.DUMMYFUNCTION("""COMPUTED_VALUE"""),2.0)</f>
        <v>2</v>
      </c>
      <c r="M4493" s="4" t="str">
        <f>IFERROR(__xludf.DUMMYFUNCTION("""COMPUTED_VALUE"""),"null")</f>
        <v>null</v>
      </c>
      <c r="N4493" s="33">
        <f>IFERROR(__xludf.DUMMYFUNCTION("""COMPUTED_VALUE"""),1.0)</f>
        <v>1</v>
      </c>
      <c r="O4493" s="4" t="str">
        <f>IFERROR(__xludf.DUMMYFUNCTION("""COMPUTED_VALUE"""),"null")</f>
        <v>null</v>
      </c>
      <c r="P4493" s="33">
        <f>IFERROR(__xludf.DUMMYFUNCTION("""COMPUTED_VALUE"""),1.0)</f>
        <v>1</v>
      </c>
      <c r="Q4493" s="4" t="str">
        <f>IFERROR(__xludf.DUMMYFUNCTION("""COMPUTED_VALUE"""),"null")</f>
        <v>null</v>
      </c>
      <c r="R4493" s="33">
        <f>IFERROR(__xludf.DUMMYFUNCTION("""COMPUTED_VALUE"""),0.5)</f>
        <v>0.5</v>
      </c>
      <c r="S4493" s="4" t="str">
        <f>IFERROR(__xludf.DUMMYFUNCTION("""COMPUTED_VALUE"""),"Brendi")</f>
        <v>Brendi</v>
      </c>
      <c r="T4493" s="33">
        <f>IFERROR(__xludf.DUMMYFUNCTION("""COMPUTED_VALUE"""),1.0)</f>
        <v>1</v>
      </c>
      <c r="U4493" s="4" t="str">
        <f>IFERROR(__xludf.DUMMYFUNCTION("""COMPUTED_VALUE"""),"Brendi")</f>
        <v>Brendi</v>
      </c>
      <c r="V4493" s="33">
        <f>IFERROR(__xludf.DUMMYFUNCTION("""COMPUTED_VALUE"""),1.0)</f>
        <v>1</v>
      </c>
      <c r="W4493" s="4" t="str">
        <f>IFERROR(__xludf.DUMMYFUNCTION("""COMPUTED_VALUE"""),"Brendi")</f>
        <v>Brendi</v>
      </c>
      <c r="X4493" s="33">
        <f>IFERROR(__xludf.DUMMYFUNCTION("""COMPUTED_VALUE"""),1.0)</f>
        <v>1</v>
      </c>
    </row>
    <row r="4494">
      <c r="K4494" s="4" t="str">
        <f>IFERROR(__xludf.DUMMYFUNCTION("""COMPUTED_VALUE"""),"HANGAR BURGUER")</f>
        <v>HANGAR BURGUER</v>
      </c>
      <c r="L4494" s="32">
        <f>IFERROR(__xludf.DUMMYFUNCTION("""COMPUTED_VALUE"""),2.0)</f>
        <v>2</v>
      </c>
      <c r="M4494" s="4" t="str">
        <f>IFERROR(__xludf.DUMMYFUNCTION("""COMPUTED_VALUE"""),"Saipos Serviços De Software")</f>
        <v>Saipos Serviços De Software</v>
      </c>
      <c r="N4494" s="33">
        <f>IFERROR(__xludf.DUMMYFUNCTION("""COMPUTED_VALUE"""),0.5)</f>
        <v>0.5</v>
      </c>
      <c r="O4494" s="4" t="str">
        <f>IFERROR(__xludf.DUMMYFUNCTION("""COMPUTED_VALUE"""),"Saipos Serviços De Software")</f>
        <v>Saipos Serviços De Software</v>
      </c>
      <c r="P4494" s="33">
        <f>IFERROR(__xludf.DUMMYFUNCTION("""COMPUTED_VALUE"""),0.5)</f>
        <v>0.5</v>
      </c>
      <c r="Q4494" s="4" t="str">
        <f>IFERROR(__xludf.DUMMYFUNCTION("""COMPUTED_VALUE"""),"Saipos Serviços De Software")</f>
        <v>Saipos Serviços De Software</v>
      </c>
      <c r="R4494" s="33">
        <f>IFERROR(__xludf.DUMMYFUNCTION("""COMPUTED_VALUE"""),0.5)</f>
        <v>0.5</v>
      </c>
      <c r="S4494" s="4" t="str">
        <f>IFERROR(__xludf.DUMMYFUNCTION("""COMPUTED_VALUE"""),"Saipos Serviços De Software")</f>
        <v>Saipos Serviços De Software</v>
      </c>
      <c r="T4494" s="33">
        <f>IFERROR(__xludf.DUMMYFUNCTION("""COMPUTED_VALUE"""),0.5)</f>
        <v>0.5</v>
      </c>
      <c r="U4494" s="4" t="str">
        <f>IFERROR(__xludf.DUMMYFUNCTION("""COMPUTED_VALUE"""),"Saipos Serviços De Software")</f>
        <v>Saipos Serviços De Software</v>
      </c>
      <c r="V4494" s="33">
        <f>IFERROR(__xludf.DUMMYFUNCTION("""COMPUTED_VALUE"""),0.5)</f>
        <v>0.5</v>
      </c>
      <c r="W4494" s="4" t="str">
        <f>IFERROR(__xludf.DUMMYFUNCTION("""COMPUTED_VALUE"""),"Saipos Serviços De Software")</f>
        <v>Saipos Serviços De Software</v>
      </c>
      <c r="X4494" s="33">
        <f>IFERROR(__xludf.DUMMYFUNCTION("""COMPUTED_VALUE"""),0.5)</f>
        <v>0.5</v>
      </c>
    </row>
    <row r="4495">
      <c r="K4495" s="4" t="str">
        <f>IFERROR(__xludf.DUMMYFUNCTION("""COMPUTED_VALUE"""),"TOP POINT")</f>
        <v>TOP POINT</v>
      </c>
      <c r="L4495" s="32">
        <f>IFERROR(__xludf.DUMMYFUNCTION("""COMPUTED_VALUE"""),2.0)</f>
        <v>2</v>
      </c>
      <c r="M4495" s="4" t="str">
        <f>IFERROR(__xludf.DUMMYFUNCTION("""COMPUTED_VALUE"""),"Anota Ai Solucoes Digitais S/a")</f>
        <v>Anota Ai Solucoes Digitais S/a</v>
      </c>
      <c r="N4495" s="33">
        <f>IFERROR(__xludf.DUMMYFUNCTION("""COMPUTED_VALUE"""),0.5)</f>
        <v>0.5</v>
      </c>
      <c r="O4495" s="4" t="str">
        <f>IFERROR(__xludf.DUMMYFUNCTION("""COMPUTED_VALUE"""),"Anota Ai Solucoes Digitais S/a")</f>
        <v>Anota Ai Solucoes Digitais S/a</v>
      </c>
      <c r="P4495" s="33">
        <f>IFERROR(__xludf.DUMMYFUNCTION("""COMPUTED_VALUE"""),1.0)</f>
        <v>1</v>
      </c>
      <c r="Q4495" s="4" t="str">
        <f>IFERROR(__xludf.DUMMYFUNCTION("""COMPUTED_VALUE"""),"null")</f>
        <v>null</v>
      </c>
      <c r="R4495" s="33">
        <f>IFERROR(__xludf.DUMMYFUNCTION("""COMPUTED_VALUE"""),0.5)</f>
        <v>0.5</v>
      </c>
      <c r="S4495" s="4" t="str">
        <f>IFERROR(__xludf.DUMMYFUNCTION("""COMPUTED_VALUE"""),"null")</f>
        <v>null</v>
      </c>
      <c r="T4495" s="33">
        <f>IFERROR(__xludf.DUMMYFUNCTION("""COMPUTED_VALUE"""),0.5)</f>
        <v>0.5</v>
      </c>
      <c r="U4495" s="4" t="str">
        <f>IFERROR(__xludf.DUMMYFUNCTION("""COMPUTED_VALUE"""),"null")</f>
        <v>null</v>
      </c>
      <c r="V4495" s="33">
        <f>IFERROR(__xludf.DUMMYFUNCTION("""COMPUTED_VALUE"""),0.5)</f>
        <v>0.5</v>
      </c>
      <c r="W4495" s="4" t="str">
        <f>IFERROR(__xludf.DUMMYFUNCTION("""COMPUTED_VALUE"""),"null")</f>
        <v>null</v>
      </c>
      <c r="X4495" s="33">
        <f>IFERROR(__xludf.DUMMYFUNCTION("""COMPUTED_VALUE"""),0.5)</f>
        <v>0.5</v>
      </c>
    </row>
    <row r="4496">
      <c r="K4496" s="4" t="str">
        <f>IFERROR(__xludf.DUMMYFUNCTION("""COMPUTED_VALUE"""),"LA CHAPA XISBURGUERIA")</f>
        <v>LA CHAPA XISBURGUERIA</v>
      </c>
      <c r="L4496" s="32">
        <f>IFERROR(__xludf.DUMMYFUNCTION("""COMPUTED_VALUE"""),2.0)</f>
        <v>2</v>
      </c>
      <c r="M4496" s="4" t="str">
        <f>IFERROR(__xludf.DUMMYFUNCTION("""COMPUTED_VALUE"""),"Suitable Tecnologia E Gestao")</f>
        <v>Suitable Tecnologia E Gestao</v>
      </c>
      <c r="N4496" s="33">
        <f>IFERROR(__xludf.DUMMYFUNCTION("""COMPUTED_VALUE"""),1.0)</f>
        <v>1</v>
      </c>
      <c r="O4496" s="4" t="str">
        <f>IFERROR(__xludf.DUMMYFUNCTION("""COMPUTED_VALUE"""),"Suitable Tecnologia E Gestao")</f>
        <v>Suitable Tecnologia E Gestao</v>
      </c>
      <c r="P4496" s="33">
        <f>IFERROR(__xludf.DUMMYFUNCTION("""COMPUTED_VALUE"""),0.5)</f>
        <v>0.5</v>
      </c>
      <c r="Q4496" s="4" t="str">
        <f>IFERROR(__xludf.DUMMYFUNCTION("""COMPUTED_VALUE"""),"Suitable Tecnologia E Gestao")</f>
        <v>Suitable Tecnologia E Gestao</v>
      </c>
      <c r="R4496" s="33">
        <f>IFERROR(__xludf.DUMMYFUNCTION("""COMPUTED_VALUE"""),0.5)</f>
        <v>0.5</v>
      </c>
      <c r="S4496" s="4" t="str">
        <f>IFERROR(__xludf.DUMMYFUNCTION("""COMPUTED_VALUE"""),"Suitable Tecnologia E Gestao")</f>
        <v>Suitable Tecnologia E Gestao</v>
      </c>
      <c r="T4496" s="33">
        <f>IFERROR(__xludf.DUMMYFUNCTION("""COMPUTED_VALUE"""),0.5)</f>
        <v>0.5</v>
      </c>
      <c r="U4496" s="4" t="str">
        <f>IFERROR(__xludf.DUMMYFUNCTION("""COMPUTED_VALUE"""),"Suitable Tecnologia E Gestao")</f>
        <v>Suitable Tecnologia E Gestao</v>
      </c>
      <c r="V4496" s="33">
        <f>IFERROR(__xludf.DUMMYFUNCTION("""COMPUTED_VALUE"""),0.5)</f>
        <v>0.5</v>
      </c>
      <c r="W4496" s="4" t="str">
        <f>IFERROR(__xludf.DUMMYFUNCTION("""COMPUTED_VALUE"""),"Suitable Tecnologia E Gestao")</f>
        <v>Suitable Tecnologia E Gestao</v>
      </c>
      <c r="X4496" s="33">
        <f>IFERROR(__xludf.DUMMYFUNCTION("""COMPUTED_VALUE"""),0.5)</f>
        <v>0.5</v>
      </c>
    </row>
    <row r="4497">
      <c r="K4497" s="4" t="str">
        <f>IFERROR(__xludf.DUMMYFUNCTION("""COMPUTED_VALUE"""),"ALAIN ESFIHARIA")</f>
        <v>ALAIN ESFIHARIA</v>
      </c>
      <c r="L4497" s="32">
        <f>IFERROR(__xludf.DUMMYFUNCTION("""COMPUTED_VALUE"""),2.0)</f>
        <v>2</v>
      </c>
      <c r="M4497" s="4" t="str">
        <f>IFERROR(__xludf.DUMMYFUNCTION("""COMPUTED_VALUE"""),"Grsoft")</f>
        <v>Grsoft</v>
      </c>
      <c r="N4497" s="33">
        <f>IFERROR(__xludf.DUMMYFUNCTION("""COMPUTED_VALUE"""),0.5)</f>
        <v>0.5</v>
      </c>
      <c r="O4497" s="4" t="str">
        <f>IFERROR(__xludf.DUMMYFUNCTION("""COMPUTED_VALUE"""),"Grsoft")</f>
        <v>Grsoft</v>
      </c>
      <c r="P4497" s="33">
        <f>IFERROR(__xludf.DUMMYFUNCTION("""COMPUTED_VALUE"""),0.5)</f>
        <v>0.5</v>
      </c>
      <c r="Q4497" s="4" t="str">
        <f>IFERROR(__xludf.DUMMYFUNCTION("""COMPUTED_VALUE"""),"Saipos Serviços De Software")</f>
        <v>Saipos Serviços De Software</v>
      </c>
      <c r="R4497" s="33">
        <f>IFERROR(__xludf.DUMMYFUNCTION("""COMPUTED_VALUE"""),1.0)</f>
        <v>1</v>
      </c>
      <c r="S4497" s="4" t="str">
        <f>IFERROR(__xludf.DUMMYFUNCTION("""COMPUTED_VALUE"""),"Saipos Serviços De Software")</f>
        <v>Saipos Serviços De Software</v>
      </c>
      <c r="T4497" s="33">
        <f>IFERROR(__xludf.DUMMYFUNCTION("""COMPUTED_VALUE"""),1.0)</f>
        <v>1</v>
      </c>
      <c r="U4497" s="4" t="str">
        <f>IFERROR(__xludf.DUMMYFUNCTION("""COMPUTED_VALUE"""),"Saipos Serviços De Software")</f>
        <v>Saipos Serviços De Software</v>
      </c>
      <c r="V4497" s="33">
        <f>IFERROR(__xludf.DUMMYFUNCTION("""COMPUTED_VALUE"""),1.0)</f>
        <v>1</v>
      </c>
      <c r="W4497" s="4" t="str">
        <f>IFERROR(__xludf.DUMMYFUNCTION("""COMPUTED_VALUE"""),"Saipos Serviços De Software")</f>
        <v>Saipos Serviços De Software</v>
      </c>
      <c r="X4497" s="33">
        <f>IFERROR(__xludf.DUMMYFUNCTION("""COMPUTED_VALUE"""),1.0)</f>
        <v>1</v>
      </c>
    </row>
    <row r="4498">
      <c r="K4498" s="4" t="str">
        <f>IFERROR(__xludf.DUMMYFUNCTION("""COMPUTED_VALUE"""),"DECK BURGER")</f>
        <v>DECK BURGER</v>
      </c>
      <c r="L4498" s="32">
        <f>IFERROR(__xludf.DUMMYFUNCTION("""COMPUTED_VALUE"""),2.0)</f>
        <v>2</v>
      </c>
      <c r="M4498" s="4" t="str">
        <f>IFERROR(__xludf.DUMMYFUNCTION("""COMPUTED_VALUE"""),"Beefood - Sistema Para Restaurantes")</f>
        <v>Beefood - Sistema Para Restaurantes</v>
      </c>
      <c r="N4498" s="33">
        <f>IFERROR(__xludf.DUMMYFUNCTION("""COMPUTED_VALUE"""),0.5)</f>
        <v>0.5</v>
      </c>
      <c r="O4498" s="4" t="str">
        <f>IFERROR(__xludf.DUMMYFUNCTION("""COMPUTED_VALUE"""),"Beefood - Sistema Para Restaurantes")</f>
        <v>Beefood - Sistema Para Restaurantes</v>
      </c>
      <c r="P4498" s="33">
        <f>IFERROR(__xludf.DUMMYFUNCTION("""COMPUTED_VALUE"""),0.5)</f>
        <v>0.5</v>
      </c>
      <c r="Q4498" s="4" t="str">
        <f>IFERROR(__xludf.DUMMYFUNCTION("""COMPUTED_VALUE"""),"Beefood - Sistema Para Restaurantes")</f>
        <v>Beefood - Sistema Para Restaurantes</v>
      </c>
      <c r="R4498" s="33">
        <f>IFERROR(__xludf.DUMMYFUNCTION("""COMPUTED_VALUE"""),0.5)</f>
        <v>0.5</v>
      </c>
      <c r="S4498" s="4" t="str">
        <f>IFERROR(__xludf.DUMMYFUNCTION("""COMPUTED_VALUE"""),"Beefood - Sistema Para Restaurantes")</f>
        <v>Beefood - Sistema Para Restaurantes</v>
      </c>
      <c r="T4498" s="33">
        <f>IFERROR(__xludf.DUMMYFUNCTION("""COMPUTED_VALUE"""),0.5)</f>
        <v>0.5</v>
      </c>
      <c r="U4498" s="4" t="str">
        <f>IFERROR(__xludf.DUMMYFUNCTION("""COMPUTED_VALUE"""),"Beefood - Sistema Para Restaurantes")</f>
        <v>Beefood - Sistema Para Restaurantes</v>
      </c>
      <c r="V4498" s="33">
        <f>IFERROR(__xludf.DUMMYFUNCTION("""COMPUTED_VALUE"""),0.5)</f>
        <v>0.5</v>
      </c>
      <c r="W4498" s="4" t="str">
        <f>IFERROR(__xludf.DUMMYFUNCTION("""COMPUTED_VALUE"""),"Beefood - Sistema Para Restaurantes")</f>
        <v>Beefood - Sistema Para Restaurantes</v>
      </c>
      <c r="X4498" s="33">
        <f>IFERROR(__xludf.DUMMYFUNCTION("""COMPUTED_VALUE"""),0.5)</f>
        <v>0.5</v>
      </c>
    </row>
    <row r="4499">
      <c r="K4499" s="4" t="str">
        <f>IFERROR(__xludf.DUMMYFUNCTION("""COMPUTED_VALUE"""),"PIZZARIA DO RONE E FAMILIA")</f>
        <v>PIZZARIA DO RONE E FAMILIA</v>
      </c>
      <c r="L4499" s="32">
        <f>IFERROR(__xludf.DUMMYFUNCTION("""COMPUTED_VALUE"""),2.0)</f>
        <v>2</v>
      </c>
      <c r="M4499" s="4" t="str">
        <f>IFERROR(__xludf.DUMMYFUNCTION("""COMPUTED_VALUE"""),"null")</f>
        <v>null</v>
      </c>
      <c r="N4499" s="33">
        <f>IFERROR(__xludf.DUMMYFUNCTION("""COMPUTED_VALUE"""),1.0)</f>
        <v>1</v>
      </c>
      <c r="O4499" s="4" t="str">
        <f>IFERROR(__xludf.DUMMYFUNCTION("""COMPUTED_VALUE"""),"null")</f>
        <v>null</v>
      </c>
      <c r="P4499" s="33">
        <f>IFERROR(__xludf.DUMMYFUNCTION("""COMPUTED_VALUE"""),1.0)</f>
        <v>1</v>
      </c>
      <c r="Q4499" s="4" t="str">
        <f>IFERROR(__xludf.DUMMYFUNCTION("""COMPUTED_VALUE"""),"null")</f>
        <v>null</v>
      </c>
      <c r="R4499" s="33">
        <f>IFERROR(__xludf.DUMMYFUNCTION("""COMPUTED_VALUE"""),1.0)</f>
        <v>1</v>
      </c>
      <c r="S4499" s="4" t="str">
        <f>IFERROR(__xludf.DUMMYFUNCTION("""COMPUTED_VALUE"""),"null")</f>
        <v>null</v>
      </c>
      <c r="T4499" s="33">
        <f>IFERROR(__xludf.DUMMYFUNCTION("""COMPUTED_VALUE"""),1.0)</f>
        <v>1</v>
      </c>
      <c r="U4499" s="4" t="str">
        <f>IFERROR(__xludf.DUMMYFUNCTION("""COMPUTED_VALUE"""),"null")</f>
        <v>null</v>
      </c>
      <c r="V4499" s="33">
        <f>IFERROR(__xludf.DUMMYFUNCTION("""COMPUTED_VALUE"""),0.5)</f>
        <v>0.5</v>
      </c>
      <c r="W4499" s="4" t="str">
        <f>IFERROR(__xludf.DUMMYFUNCTION("""COMPUTED_VALUE"""),"Saipos Serviços De Software")</f>
        <v>Saipos Serviços De Software</v>
      </c>
      <c r="X4499" s="33">
        <f>IFERROR(__xludf.DUMMYFUNCTION("""COMPUTED_VALUE"""),1.0)</f>
        <v>1</v>
      </c>
    </row>
    <row r="4500">
      <c r="K4500" s="4" t="str">
        <f>IFERROR(__xludf.DUMMYFUNCTION("""COMPUTED_VALUE"""),"COZINHA MIX")</f>
        <v>COZINHA MIX</v>
      </c>
      <c r="L4500" s="32">
        <f>IFERROR(__xludf.DUMMYFUNCTION("""COMPUTED_VALUE"""),2.0)</f>
        <v>2</v>
      </c>
      <c r="M4500" s="4" t="str">
        <f>IFERROR(__xludf.DUMMYFUNCTION("""COMPUTED_VALUE"""),"null")</f>
        <v>null</v>
      </c>
      <c r="N4500" s="33">
        <f>IFERROR(__xludf.DUMMYFUNCTION("""COMPUTED_VALUE"""),0.5)</f>
        <v>0.5</v>
      </c>
      <c r="O4500" s="4" t="str">
        <f>IFERROR(__xludf.DUMMYFUNCTION("""COMPUTED_VALUE"""),"N/A (Not found)")</f>
        <v>N/A (Not found)</v>
      </c>
      <c r="P4500" s="33">
        <f>IFERROR(__xludf.DUMMYFUNCTION("""COMPUTED_VALUE"""),0.5)</f>
        <v>0.5</v>
      </c>
      <c r="Q4500" s="4" t="str">
        <f>IFERROR(__xludf.DUMMYFUNCTION("""COMPUTED_VALUE"""),"N/A (Not found)")</f>
        <v>N/A (Not found)</v>
      </c>
      <c r="R4500" s="33">
        <f>IFERROR(__xludf.DUMMYFUNCTION("""COMPUTED_VALUE"""),0.5)</f>
        <v>0.5</v>
      </c>
      <c r="S4500" s="4" t="str">
        <f>IFERROR(__xludf.DUMMYFUNCTION("""COMPUTED_VALUE"""),"null")</f>
        <v>null</v>
      </c>
      <c r="T4500" s="33">
        <f>IFERROR(__xludf.DUMMYFUNCTION("""COMPUTED_VALUE"""),0.5)</f>
        <v>0.5</v>
      </c>
      <c r="U4500" s="4" t="str">
        <f>IFERROR(__xludf.DUMMYFUNCTION("""COMPUTED_VALUE"""),"null")</f>
        <v>null</v>
      </c>
      <c r="V4500" s="33">
        <f>IFERROR(__xludf.DUMMYFUNCTION("""COMPUTED_VALUE"""),0.5)</f>
        <v>0.5</v>
      </c>
      <c r="W4500" s="4" t="str">
        <f>IFERROR(__xludf.DUMMYFUNCTION("""COMPUTED_VALUE"""),"null")</f>
        <v>null</v>
      </c>
      <c r="X4500" s="33">
        <f>IFERROR(__xludf.DUMMYFUNCTION("""COMPUTED_VALUE"""),0.5)</f>
        <v>0.5</v>
      </c>
    </row>
    <row r="4501">
      <c r="K4501" s="4" t="str">
        <f>IFERROR(__xludf.DUMMYFUNCTION("""COMPUTED_VALUE"""),"REI DA BRASA")</f>
        <v>REI DA BRASA</v>
      </c>
      <c r="L4501" s="32">
        <f>IFERROR(__xludf.DUMMYFUNCTION("""COMPUTED_VALUE"""),2.0)</f>
        <v>2</v>
      </c>
      <c r="M4501" s="4" t="str">
        <f>IFERROR(__xludf.DUMMYFUNCTION("""COMPUTED_VALUE"""),"Consumer Soluções Em Tecnologia Ltda")</f>
        <v>Consumer Soluções Em Tecnologia Ltda</v>
      </c>
      <c r="N4501" s="33">
        <f>IFERROR(__xludf.DUMMYFUNCTION("""COMPUTED_VALUE"""),0.5)</f>
        <v>0.5</v>
      </c>
      <c r="O4501" s="4" t="str">
        <f>IFERROR(__xludf.DUMMYFUNCTION("""COMPUTED_VALUE"""),"Consumer Soluções Em Tecnologia Ltda")</f>
        <v>Consumer Soluções Em Tecnologia Ltda</v>
      </c>
      <c r="P4501" s="33">
        <f>IFERROR(__xludf.DUMMYFUNCTION("""COMPUTED_VALUE"""),0.5)</f>
        <v>0.5</v>
      </c>
      <c r="Q4501" s="4" t="str">
        <f>IFERROR(__xludf.DUMMYFUNCTION("""COMPUTED_VALUE"""),"Consumer Soluções Em Tecnologia Ltda")</f>
        <v>Consumer Soluções Em Tecnologia Ltda</v>
      </c>
      <c r="R4501" s="33">
        <f>IFERROR(__xludf.DUMMYFUNCTION("""COMPUTED_VALUE"""),0.5)</f>
        <v>0.5</v>
      </c>
      <c r="S4501" s="4" t="str">
        <f>IFERROR(__xludf.DUMMYFUNCTION("""COMPUTED_VALUE"""),"Consumer Soluções Em Tecnologia Ltda")</f>
        <v>Consumer Soluções Em Tecnologia Ltda</v>
      </c>
      <c r="T4501" s="33">
        <f>IFERROR(__xludf.DUMMYFUNCTION("""COMPUTED_VALUE"""),0.5)</f>
        <v>0.5</v>
      </c>
      <c r="U4501" s="4" t="str">
        <f>IFERROR(__xludf.DUMMYFUNCTION("""COMPUTED_VALUE"""),"Consumer Soluções Em Tecnologia Ltda")</f>
        <v>Consumer Soluções Em Tecnologia Ltda</v>
      </c>
      <c r="V4501" s="33">
        <f>IFERROR(__xludf.DUMMYFUNCTION("""COMPUTED_VALUE"""),0.5)</f>
        <v>0.5</v>
      </c>
      <c r="W4501" s="4" t="str">
        <f>IFERROR(__xludf.DUMMYFUNCTION("""COMPUTED_VALUE"""),"Consumer Soluções Em Tecnologia Ltda")</f>
        <v>Consumer Soluções Em Tecnologia Ltda</v>
      </c>
      <c r="X4501" s="33">
        <f>IFERROR(__xludf.DUMMYFUNCTION("""COMPUTED_VALUE"""),0.5)</f>
        <v>0.5</v>
      </c>
    </row>
    <row r="4502">
      <c r="K4502" s="4" t="str">
        <f>IFERROR(__xludf.DUMMYFUNCTION("""COMPUTED_VALUE"""),"SORVETERIA ROCON")</f>
        <v>SORVETERIA ROCON</v>
      </c>
      <c r="L4502" s="32">
        <f>IFERROR(__xludf.DUMMYFUNCTION("""COMPUTED_VALUE"""),2.0)</f>
        <v>2</v>
      </c>
      <c r="M4502" s="4" t="str">
        <f>IFERROR(__xludf.DUMMYFUNCTION("""COMPUTED_VALUE"""),"Hubster")</f>
        <v>Hubster</v>
      </c>
      <c r="N4502" s="33">
        <f>IFERROR(__xludf.DUMMYFUNCTION("""COMPUTED_VALUE"""),1.0)</f>
        <v>1</v>
      </c>
      <c r="O4502" s="4" t="str">
        <f>IFERROR(__xludf.DUMMYFUNCTION("""COMPUTED_VALUE"""),"Hubster")</f>
        <v>Hubster</v>
      </c>
      <c r="P4502" s="33">
        <f>IFERROR(__xludf.DUMMYFUNCTION("""COMPUTED_VALUE"""),1.0)</f>
        <v>1</v>
      </c>
      <c r="Q4502" s="4" t="str">
        <f>IFERROR(__xludf.DUMMYFUNCTION("""COMPUTED_VALUE"""),"Hubster")</f>
        <v>Hubster</v>
      </c>
      <c r="R4502" s="33">
        <f>IFERROR(__xludf.DUMMYFUNCTION("""COMPUTED_VALUE"""),1.0)</f>
        <v>1</v>
      </c>
      <c r="S4502" s="4" t="str">
        <f>IFERROR(__xludf.DUMMYFUNCTION("""COMPUTED_VALUE"""),"Hubster")</f>
        <v>Hubster</v>
      </c>
      <c r="T4502" s="33">
        <f>IFERROR(__xludf.DUMMYFUNCTION("""COMPUTED_VALUE"""),1.0)</f>
        <v>1</v>
      </c>
      <c r="U4502" s="4" t="str">
        <f>IFERROR(__xludf.DUMMYFUNCTION("""COMPUTED_VALUE"""),"Hubster")</f>
        <v>Hubster</v>
      </c>
      <c r="V4502" s="33">
        <f>IFERROR(__xludf.DUMMYFUNCTION("""COMPUTED_VALUE"""),1.0)</f>
        <v>1</v>
      </c>
      <c r="W4502" s="4" t="str">
        <f>IFERROR(__xludf.DUMMYFUNCTION("""COMPUTED_VALUE"""),"Hubster")</f>
        <v>Hubster</v>
      </c>
      <c r="X4502" s="33">
        <f>IFERROR(__xludf.DUMMYFUNCTION("""COMPUTED_VALUE"""),1.0)</f>
        <v>1</v>
      </c>
    </row>
    <row r="4503">
      <c r="K4503" s="4" t="str">
        <f>IFERROR(__xludf.DUMMYFUNCTION("""COMPUTED_VALUE"""),"DOLCE VITA")</f>
        <v>DOLCE VITA</v>
      </c>
      <c r="L4503" s="32">
        <f>IFERROR(__xludf.DUMMYFUNCTION("""COMPUTED_VALUE"""),2.0)</f>
        <v>2</v>
      </c>
      <c r="M4503" s="4" t="str">
        <f>IFERROR(__xludf.DUMMYFUNCTION("""COMPUTED_VALUE"""),"Yooga")</f>
        <v>Yooga</v>
      </c>
      <c r="N4503" s="33">
        <f>IFERROR(__xludf.DUMMYFUNCTION("""COMPUTED_VALUE"""),0.5)</f>
        <v>0.5</v>
      </c>
      <c r="O4503" s="4" t="str">
        <f>IFERROR(__xludf.DUMMYFUNCTION("""COMPUTED_VALUE"""),"Yooga")</f>
        <v>Yooga</v>
      </c>
      <c r="P4503" s="33">
        <f>IFERROR(__xludf.DUMMYFUNCTION("""COMPUTED_VALUE"""),0.5)</f>
        <v>0.5</v>
      </c>
      <c r="Q4503" s="4" t="str">
        <f>IFERROR(__xludf.DUMMYFUNCTION("""COMPUTED_VALUE"""),"Yooga")</f>
        <v>Yooga</v>
      </c>
      <c r="R4503" s="33">
        <f>IFERROR(__xludf.DUMMYFUNCTION("""COMPUTED_VALUE"""),0.5)</f>
        <v>0.5</v>
      </c>
      <c r="S4503" s="4" t="str">
        <f>IFERROR(__xludf.DUMMYFUNCTION("""COMPUTED_VALUE"""),"Yooga")</f>
        <v>Yooga</v>
      </c>
      <c r="T4503" s="33">
        <f>IFERROR(__xludf.DUMMYFUNCTION("""COMPUTED_VALUE"""),0.5)</f>
        <v>0.5</v>
      </c>
      <c r="U4503" s="4" t="str">
        <f>IFERROR(__xludf.DUMMYFUNCTION("""COMPUTED_VALUE"""),"Yooga")</f>
        <v>Yooga</v>
      </c>
      <c r="V4503" s="33">
        <f>IFERROR(__xludf.DUMMYFUNCTION("""COMPUTED_VALUE"""),0.5)</f>
        <v>0.5</v>
      </c>
      <c r="W4503" s="4" t="str">
        <f>IFERROR(__xludf.DUMMYFUNCTION("""COMPUTED_VALUE"""),"Yooga")</f>
        <v>Yooga</v>
      </c>
      <c r="X4503" s="33">
        <f>IFERROR(__xludf.DUMMYFUNCTION("""COMPUTED_VALUE"""),0.5)</f>
        <v>0.5</v>
      </c>
    </row>
    <row r="4504">
      <c r="K4504" s="4" t="str">
        <f>IFERROR(__xludf.DUMMYFUNCTION("""COMPUTED_VALUE"""),"STAR BURGER")</f>
        <v>STAR BURGER</v>
      </c>
      <c r="L4504" s="32">
        <f>IFERROR(__xludf.DUMMYFUNCTION("""COMPUTED_VALUE"""),2.0)</f>
        <v>2</v>
      </c>
      <c r="M4504" s="4" t="str">
        <f>IFERROR(__xludf.DUMMYFUNCTION("""COMPUTED_VALUE"""),"Yooga")</f>
        <v>Yooga</v>
      </c>
      <c r="N4504" s="33">
        <f>IFERROR(__xludf.DUMMYFUNCTION("""COMPUTED_VALUE"""),0.5)</f>
        <v>0.5</v>
      </c>
      <c r="O4504" s="4" t="str">
        <f>IFERROR(__xludf.DUMMYFUNCTION("""COMPUTED_VALUE"""),"Yooga")</f>
        <v>Yooga</v>
      </c>
      <c r="P4504" s="33">
        <f>IFERROR(__xludf.DUMMYFUNCTION("""COMPUTED_VALUE"""),0.5)</f>
        <v>0.5</v>
      </c>
      <c r="Q4504" s="4" t="str">
        <f>IFERROR(__xludf.DUMMYFUNCTION("""COMPUTED_VALUE"""),"Yooga")</f>
        <v>Yooga</v>
      </c>
      <c r="R4504" s="33">
        <f>IFERROR(__xludf.DUMMYFUNCTION("""COMPUTED_VALUE"""),0.5)</f>
        <v>0.5</v>
      </c>
      <c r="S4504" s="4" t="str">
        <f>IFERROR(__xludf.DUMMYFUNCTION("""COMPUTED_VALUE"""),"Suitable Tecnologia E Gestao")</f>
        <v>Suitable Tecnologia E Gestao</v>
      </c>
      <c r="T4504" s="33">
        <f>IFERROR(__xludf.DUMMYFUNCTION("""COMPUTED_VALUE"""),0.5)</f>
        <v>0.5</v>
      </c>
      <c r="U4504" s="4" t="str">
        <f>IFERROR(__xludf.DUMMYFUNCTION("""COMPUTED_VALUE"""),"Suitable Tecnologia E Gestao")</f>
        <v>Suitable Tecnologia E Gestao</v>
      </c>
      <c r="V4504" s="33">
        <f>IFERROR(__xludf.DUMMYFUNCTION("""COMPUTED_VALUE"""),0.5)</f>
        <v>0.5</v>
      </c>
      <c r="W4504" s="4" t="str">
        <f>IFERROR(__xludf.DUMMYFUNCTION("""COMPUTED_VALUE"""),"Suitable Tecnologia E Gestao")</f>
        <v>Suitable Tecnologia E Gestao</v>
      </c>
      <c r="X4504" s="33">
        <f>IFERROR(__xludf.DUMMYFUNCTION("""COMPUTED_VALUE"""),0.5)</f>
        <v>0.5</v>
      </c>
    </row>
    <row r="4505">
      <c r="K4505" s="4" t="str">
        <f>IFERROR(__xludf.DUMMYFUNCTION("""COMPUTED_VALUE"""),"SANTO FRANGO")</f>
        <v>SANTO FRANGO</v>
      </c>
      <c r="L4505" s="32">
        <f>IFERROR(__xludf.DUMMYFUNCTION("""COMPUTED_VALUE"""),2.0)</f>
        <v>2</v>
      </c>
      <c r="M4505" s="4" t="str">
        <f>IFERROR(__xludf.DUMMYFUNCTION("""COMPUTED_VALUE"""),"Saipos Serviços De Software")</f>
        <v>Saipos Serviços De Software</v>
      </c>
      <c r="N4505" s="33">
        <f>IFERROR(__xludf.DUMMYFUNCTION("""COMPUTED_VALUE"""),0.5)</f>
        <v>0.5</v>
      </c>
      <c r="O4505" s="4" t="str">
        <f>IFERROR(__xludf.DUMMYFUNCTION("""COMPUTED_VALUE"""),"Saipos Serviços De Software")</f>
        <v>Saipos Serviços De Software</v>
      </c>
      <c r="P4505" s="33">
        <f>IFERROR(__xludf.DUMMYFUNCTION("""COMPUTED_VALUE"""),0.5)</f>
        <v>0.5</v>
      </c>
      <c r="Q4505" s="4" t="str">
        <f>IFERROR(__xludf.DUMMYFUNCTION("""COMPUTED_VALUE"""),"Saipos Serviços De Software")</f>
        <v>Saipos Serviços De Software</v>
      </c>
      <c r="R4505" s="33">
        <f>IFERROR(__xludf.DUMMYFUNCTION("""COMPUTED_VALUE"""),0.5)</f>
        <v>0.5</v>
      </c>
      <c r="S4505" s="4" t="str">
        <f>IFERROR(__xludf.DUMMYFUNCTION("""COMPUTED_VALUE"""),"Saipos Serviços De Software")</f>
        <v>Saipos Serviços De Software</v>
      </c>
      <c r="T4505" s="33">
        <f>IFERROR(__xludf.DUMMYFUNCTION("""COMPUTED_VALUE"""),0.5)</f>
        <v>0.5</v>
      </c>
      <c r="U4505" s="4" t="str">
        <f>IFERROR(__xludf.DUMMYFUNCTION("""COMPUTED_VALUE"""),"Saipos Serviços De Software")</f>
        <v>Saipos Serviços De Software</v>
      </c>
      <c r="V4505" s="33">
        <f>IFERROR(__xludf.DUMMYFUNCTION("""COMPUTED_VALUE"""),0.5)</f>
        <v>0.5</v>
      </c>
      <c r="W4505" s="4" t="str">
        <f>IFERROR(__xludf.DUMMYFUNCTION("""COMPUTED_VALUE"""),"Saipos Serviços De Software")</f>
        <v>Saipos Serviços De Software</v>
      </c>
      <c r="X4505" s="33">
        <f>IFERROR(__xludf.DUMMYFUNCTION("""COMPUTED_VALUE"""),0.5)</f>
        <v>0.5</v>
      </c>
    </row>
    <row r="4506">
      <c r="K4506" s="4" t="str">
        <f>IFERROR(__xludf.DUMMYFUNCTION("""COMPUTED_VALUE"""),"BANGALO DOS PASTEIS")</f>
        <v>BANGALO DOS PASTEIS</v>
      </c>
      <c r="L4506" s="32">
        <f>IFERROR(__xludf.DUMMYFUNCTION("""COMPUTED_VALUE"""),2.0)</f>
        <v>2</v>
      </c>
      <c r="M4506" s="4" t="str">
        <f>IFERROR(__xludf.DUMMYFUNCTION("""COMPUTED_VALUE"""),"Menew - Linx")</f>
        <v>Menew - Linx</v>
      </c>
      <c r="N4506" s="33">
        <f>IFERROR(__xludf.DUMMYFUNCTION("""COMPUTED_VALUE"""),1.0)</f>
        <v>1</v>
      </c>
      <c r="O4506" s="4" t="str">
        <f>IFERROR(__xludf.DUMMYFUNCTION("""COMPUTED_VALUE"""),"Menew - Linx")</f>
        <v>Menew - Linx</v>
      </c>
      <c r="P4506" s="33">
        <f>IFERROR(__xludf.DUMMYFUNCTION("""COMPUTED_VALUE"""),1.0)</f>
        <v>1</v>
      </c>
      <c r="Q4506" s="4" t="str">
        <f>IFERROR(__xludf.DUMMYFUNCTION("""COMPUTED_VALUE"""),"Menew - Linx")</f>
        <v>Menew - Linx</v>
      </c>
      <c r="R4506" s="33">
        <f>IFERROR(__xludf.DUMMYFUNCTION("""COMPUTED_VALUE"""),1.0)</f>
        <v>1</v>
      </c>
      <c r="S4506" s="4" t="str">
        <f>IFERROR(__xludf.DUMMYFUNCTION("""COMPUTED_VALUE"""),"Menew - Linx")</f>
        <v>Menew - Linx</v>
      </c>
      <c r="T4506" s="33">
        <f>IFERROR(__xludf.DUMMYFUNCTION("""COMPUTED_VALUE"""),1.0)</f>
        <v>1</v>
      </c>
      <c r="U4506" s="4" t="str">
        <f>IFERROR(__xludf.DUMMYFUNCTION("""COMPUTED_VALUE"""),"null")</f>
        <v>null</v>
      </c>
      <c r="V4506" s="33">
        <f>IFERROR(__xludf.DUMMYFUNCTION("""COMPUTED_VALUE"""),0.5)</f>
        <v>0.5</v>
      </c>
      <c r="W4506" s="4" t="str">
        <f>IFERROR(__xludf.DUMMYFUNCTION("""COMPUTED_VALUE"""),"null")</f>
        <v>null</v>
      </c>
      <c r="X4506" s="33">
        <f>IFERROR(__xludf.DUMMYFUNCTION("""COMPUTED_VALUE"""),0.5)</f>
        <v>0.5</v>
      </c>
    </row>
    <row r="4507">
      <c r="K4507" s="4" t="str">
        <f>IFERROR(__xludf.DUMMYFUNCTION("""COMPUTED_VALUE"""),"DELICIAS DE CASA")</f>
        <v>DELICIAS DE CASA</v>
      </c>
      <c r="L4507" s="32">
        <f>IFERROR(__xludf.DUMMYFUNCTION("""COMPUTED_VALUE"""),2.0)</f>
        <v>2</v>
      </c>
      <c r="M4507" s="4" t="str">
        <f>IFERROR(__xludf.DUMMYFUNCTION("""COMPUTED_VALUE"""),"Cardápio Web")</f>
        <v>Cardápio Web</v>
      </c>
      <c r="N4507" s="33">
        <f>IFERROR(__xludf.DUMMYFUNCTION("""COMPUTED_VALUE"""),0.5)</f>
        <v>0.5</v>
      </c>
      <c r="O4507" s="4" t="str">
        <f>IFERROR(__xludf.DUMMYFUNCTION("""COMPUTED_VALUE"""),"Cardápio Web")</f>
        <v>Cardápio Web</v>
      </c>
      <c r="P4507" s="33">
        <f>IFERROR(__xludf.DUMMYFUNCTION("""COMPUTED_VALUE"""),0.5)</f>
        <v>0.5</v>
      </c>
      <c r="Q4507" s="4" t="str">
        <f>IFERROR(__xludf.DUMMYFUNCTION("""COMPUTED_VALUE"""),"null")</f>
        <v>null</v>
      </c>
      <c r="R4507" s="33">
        <f>IFERROR(__xludf.DUMMYFUNCTION("""COMPUTED_VALUE"""),1.0)</f>
        <v>1</v>
      </c>
      <c r="S4507" s="4" t="str">
        <f>IFERROR(__xludf.DUMMYFUNCTION("""COMPUTED_VALUE"""),"null")</f>
        <v>null</v>
      </c>
      <c r="T4507" s="33">
        <f>IFERROR(__xludf.DUMMYFUNCTION("""COMPUTED_VALUE"""),1.0)</f>
        <v>1</v>
      </c>
      <c r="U4507" s="4" t="str">
        <f>IFERROR(__xludf.DUMMYFUNCTION("""COMPUTED_VALUE"""),"null")</f>
        <v>null</v>
      </c>
      <c r="V4507" s="33">
        <f>IFERROR(__xludf.DUMMYFUNCTION("""COMPUTED_VALUE"""),1.0)</f>
        <v>1</v>
      </c>
      <c r="W4507" s="4" t="str">
        <f>IFERROR(__xludf.DUMMYFUNCTION("""COMPUTED_VALUE"""),"null")</f>
        <v>null</v>
      </c>
      <c r="X4507" s="33">
        <f>IFERROR(__xludf.DUMMYFUNCTION("""COMPUTED_VALUE"""),0.5)</f>
        <v>0.5</v>
      </c>
    </row>
    <row r="4508">
      <c r="K4508" s="4" t="str">
        <f>IFERROR(__xludf.DUMMYFUNCTION("""COMPUTED_VALUE"""),"FRANGO ASSADO DO CARLOS")</f>
        <v>FRANGO ASSADO DO CARLOS</v>
      </c>
      <c r="L4508" s="32">
        <f>IFERROR(__xludf.DUMMYFUNCTION("""COMPUTED_VALUE"""),2.0)</f>
        <v>2</v>
      </c>
      <c r="M4508" s="4" t="str">
        <f>IFERROR(__xludf.DUMMYFUNCTION("""COMPUTED_VALUE"""),"null")</f>
        <v>null</v>
      </c>
      <c r="N4508" s="33">
        <f>IFERROR(__xludf.DUMMYFUNCTION("""COMPUTED_VALUE"""),0.5)</f>
        <v>0.5</v>
      </c>
      <c r="O4508" s="4" t="str">
        <f>IFERROR(__xludf.DUMMYFUNCTION("""COMPUTED_VALUE"""),"Yooga")</f>
        <v>Yooga</v>
      </c>
      <c r="P4508" s="33">
        <f>IFERROR(__xludf.DUMMYFUNCTION("""COMPUTED_VALUE"""),1.0)</f>
        <v>1</v>
      </c>
      <c r="Q4508" s="4" t="str">
        <f>IFERROR(__xludf.DUMMYFUNCTION("""COMPUTED_VALUE"""),"Yooga")</f>
        <v>Yooga</v>
      </c>
      <c r="R4508" s="33">
        <f>IFERROR(__xludf.DUMMYFUNCTION("""COMPUTED_VALUE"""),1.0)</f>
        <v>1</v>
      </c>
      <c r="S4508" s="4" t="str">
        <f>IFERROR(__xludf.DUMMYFUNCTION("""COMPUTED_VALUE"""),"Yooga")</f>
        <v>Yooga</v>
      </c>
      <c r="T4508" s="33">
        <f>IFERROR(__xludf.DUMMYFUNCTION("""COMPUTED_VALUE"""),1.0)</f>
        <v>1</v>
      </c>
      <c r="U4508" s="4" t="str">
        <f>IFERROR(__xludf.DUMMYFUNCTION("""COMPUTED_VALUE"""),"Yooga")</f>
        <v>Yooga</v>
      </c>
      <c r="V4508" s="33">
        <f>IFERROR(__xludf.DUMMYFUNCTION("""COMPUTED_VALUE"""),0.5)</f>
        <v>0.5</v>
      </c>
      <c r="W4508" s="4" t="str">
        <f>IFERROR(__xludf.DUMMYFUNCTION("""COMPUTED_VALUE"""),"Yooga")</f>
        <v>Yooga</v>
      </c>
      <c r="X4508" s="33">
        <f>IFERROR(__xludf.DUMMYFUNCTION("""COMPUTED_VALUE"""),0.5)</f>
        <v>0.5</v>
      </c>
    </row>
    <row r="4509">
      <c r="K4509" s="4" t="str">
        <f>IFERROR(__xludf.DUMMYFUNCTION("""COMPUTED_VALUE"""),"RESTAURANTE EBENEZER")</f>
        <v>RESTAURANTE EBENEZER</v>
      </c>
      <c r="L4509" s="32">
        <f>IFERROR(__xludf.DUMMYFUNCTION("""COMPUTED_VALUE"""),2.0)</f>
        <v>2</v>
      </c>
      <c r="M4509" s="4" t="str">
        <f>IFERROR(__xludf.DUMMYFUNCTION("""COMPUTED_VALUE"""),"null")</f>
        <v>null</v>
      </c>
      <c r="N4509" s="33">
        <f>IFERROR(__xludf.DUMMYFUNCTION("""COMPUTED_VALUE"""),0.5)</f>
        <v>0.5</v>
      </c>
      <c r="O4509" s="4" t="str">
        <f>IFERROR(__xludf.DUMMYFUNCTION("""COMPUTED_VALUE"""),"null")</f>
        <v>null</v>
      </c>
      <c r="P4509" s="33">
        <f>IFERROR(__xludf.DUMMYFUNCTION("""COMPUTED_VALUE"""),0.5)</f>
        <v>0.5</v>
      </c>
      <c r="Q4509" s="4" t="str">
        <f>IFERROR(__xludf.DUMMYFUNCTION("""COMPUTED_VALUE"""),"Consumer Soluções Em Tecnologia Ltda")</f>
        <v>Consumer Soluções Em Tecnologia Ltda</v>
      </c>
      <c r="R4509" s="33">
        <f>IFERROR(__xludf.DUMMYFUNCTION("""COMPUTED_VALUE"""),0.5)</f>
        <v>0.5</v>
      </c>
      <c r="S4509" s="4" t="str">
        <f>IFERROR(__xludf.DUMMYFUNCTION("""COMPUTED_VALUE"""),"null")</f>
        <v>null</v>
      </c>
      <c r="T4509" s="33">
        <f>IFERROR(__xludf.DUMMYFUNCTION("""COMPUTED_VALUE"""),0.5)</f>
        <v>0.5</v>
      </c>
      <c r="U4509" s="4" t="str">
        <f>IFERROR(__xludf.DUMMYFUNCTION("""COMPUTED_VALUE"""),"null")</f>
        <v>null</v>
      </c>
      <c r="V4509" s="33">
        <f>IFERROR(__xludf.DUMMYFUNCTION("""COMPUTED_VALUE"""),0.5)</f>
        <v>0.5</v>
      </c>
      <c r="W4509" s="4" t="str">
        <f>IFERROR(__xludf.DUMMYFUNCTION("""COMPUTED_VALUE"""),"null")</f>
        <v>null</v>
      </c>
      <c r="X4509" s="33">
        <f>IFERROR(__xludf.DUMMYFUNCTION("""COMPUTED_VALUE"""),0.5)</f>
        <v>0.5</v>
      </c>
    </row>
    <row r="4510">
      <c r="K4510" s="4" t="str">
        <f>IFERROR(__xludf.DUMMYFUNCTION("""COMPUTED_VALUE"""),"JOS HAMBURGUERIA ARTESANAL")</f>
        <v>JOS HAMBURGUERIA ARTESANAL</v>
      </c>
      <c r="L4510" s="32">
        <f>IFERROR(__xludf.DUMMYFUNCTION("""COMPUTED_VALUE"""),2.0)</f>
        <v>2</v>
      </c>
      <c r="M4510" s="4" t="str">
        <f>IFERROR(__xludf.DUMMYFUNCTION("""COMPUTED_VALUE"""),"Anota Ai Solucoes Digitais S/a")</f>
        <v>Anota Ai Solucoes Digitais S/a</v>
      </c>
      <c r="N4510" s="33">
        <f>IFERROR(__xludf.DUMMYFUNCTION("""COMPUTED_VALUE"""),1.0)</f>
        <v>1</v>
      </c>
      <c r="O4510" s="4" t="str">
        <f>IFERROR(__xludf.DUMMYFUNCTION("""COMPUTED_VALUE"""),"Anota Ai Solucoes Digitais S/a")</f>
        <v>Anota Ai Solucoes Digitais S/a</v>
      </c>
      <c r="P4510" s="33">
        <f>IFERROR(__xludf.DUMMYFUNCTION("""COMPUTED_VALUE"""),1.0)</f>
        <v>1</v>
      </c>
      <c r="Q4510" s="4" t="str">
        <f>IFERROR(__xludf.DUMMYFUNCTION("""COMPUTED_VALUE"""),"Saipos Serviços De Software")</f>
        <v>Saipos Serviços De Software</v>
      </c>
      <c r="R4510" s="33">
        <f>IFERROR(__xludf.DUMMYFUNCTION("""COMPUTED_VALUE"""),0.5)</f>
        <v>0.5</v>
      </c>
      <c r="S4510" s="4" t="str">
        <f>IFERROR(__xludf.DUMMYFUNCTION("""COMPUTED_VALUE"""),"Saipos Serviços De Software")</f>
        <v>Saipos Serviços De Software</v>
      </c>
      <c r="T4510" s="33">
        <f>IFERROR(__xludf.DUMMYFUNCTION("""COMPUTED_VALUE"""),0.5)</f>
        <v>0.5</v>
      </c>
      <c r="U4510" s="4" t="str">
        <f>IFERROR(__xludf.DUMMYFUNCTION("""COMPUTED_VALUE"""),"Saipos Serviços De Software")</f>
        <v>Saipos Serviços De Software</v>
      </c>
      <c r="V4510" s="33">
        <f>IFERROR(__xludf.DUMMYFUNCTION("""COMPUTED_VALUE"""),0.5)</f>
        <v>0.5</v>
      </c>
      <c r="W4510" s="4" t="str">
        <f>IFERROR(__xludf.DUMMYFUNCTION("""COMPUTED_VALUE"""),"Saipos Serviços De Software")</f>
        <v>Saipos Serviços De Software</v>
      </c>
      <c r="X4510" s="33">
        <f>IFERROR(__xludf.DUMMYFUNCTION("""COMPUTED_VALUE"""),0.5)</f>
        <v>0.5</v>
      </c>
    </row>
    <row r="4511">
      <c r="K4511" s="4" t="str">
        <f>IFERROR(__xludf.DUMMYFUNCTION("""COMPUTED_VALUE"""),"ESQUINA BURGUER")</f>
        <v>ESQUINA BURGUER</v>
      </c>
      <c r="L4511" s="32">
        <f>IFERROR(__xludf.DUMMYFUNCTION("""COMPUTED_VALUE"""),2.0)</f>
        <v>2</v>
      </c>
      <c r="M4511" s="4" t="str">
        <f>IFERROR(__xludf.DUMMYFUNCTION("""COMPUTED_VALUE"""),"Yooga")</f>
        <v>Yooga</v>
      </c>
      <c r="N4511" s="33">
        <f>IFERROR(__xludf.DUMMYFUNCTION("""COMPUTED_VALUE"""),0.5)</f>
        <v>0.5</v>
      </c>
      <c r="O4511" s="4" t="str">
        <f>IFERROR(__xludf.DUMMYFUNCTION("""COMPUTED_VALUE"""),"Yooga")</f>
        <v>Yooga</v>
      </c>
      <c r="P4511" s="33">
        <f>IFERROR(__xludf.DUMMYFUNCTION("""COMPUTED_VALUE"""),0.5)</f>
        <v>0.5</v>
      </c>
      <c r="Q4511" s="4" t="str">
        <f>IFERROR(__xludf.DUMMYFUNCTION("""COMPUTED_VALUE"""),"Yooga")</f>
        <v>Yooga</v>
      </c>
      <c r="R4511" s="33">
        <f>IFERROR(__xludf.DUMMYFUNCTION("""COMPUTED_VALUE"""),0.5)</f>
        <v>0.5</v>
      </c>
      <c r="S4511" s="4" t="str">
        <f>IFERROR(__xludf.DUMMYFUNCTION("""COMPUTED_VALUE"""),"Yooga")</f>
        <v>Yooga</v>
      </c>
      <c r="T4511" s="33">
        <f>IFERROR(__xludf.DUMMYFUNCTION("""COMPUTED_VALUE"""),0.5)</f>
        <v>0.5</v>
      </c>
      <c r="U4511" s="4" t="str">
        <f>IFERROR(__xludf.DUMMYFUNCTION("""COMPUTED_VALUE"""),"null")</f>
        <v>null</v>
      </c>
      <c r="V4511" s="33">
        <f>IFERROR(__xludf.DUMMYFUNCTION("""COMPUTED_VALUE"""),0.5)</f>
        <v>0.5</v>
      </c>
      <c r="W4511" s="4" t="str">
        <f>IFERROR(__xludf.DUMMYFUNCTION("""COMPUTED_VALUE"""),"Yooga")</f>
        <v>Yooga</v>
      </c>
      <c r="X4511" s="33">
        <f>IFERROR(__xludf.DUMMYFUNCTION("""COMPUTED_VALUE"""),0.5)</f>
        <v>0.5</v>
      </c>
    </row>
    <row r="4512">
      <c r="K4512" s="4" t="str">
        <f>IFERROR(__xludf.DUMMYFUNCTION("""COMPUTED_VALUE"""),"BRASA EXPRESS")</f>
        <v>BRASA EXPRESS</v>
      </c>
      <c r="L4512" s="32">
        <f>IFERROR(__xludf.DUMMYFUNCTION("""COMPUTED_VALUE"""),2.0)</f>
        <v>2</v>
      </c>
      <c r="M4512" s="4" t="str">
        <f>IFERROR(__xludf.DUMMYFUNCTION("""COMPUTED_VALUE"""),"Saipos Serviços De Software")</f>
        <v>Saipos Serviços De Software</v>
      </c>
      <c r="N4512" s="33">
        <f>IFERROR(__xludf.DUMMYFUNCTION("""COMPUTED_VALUE"""),0.5)</f>
        <v>0.5</v>
      </c>
      <c r="O4512" s="4" t="str">
        <f>IFERROR(__xludf.DUMMYFUNCTION("""COMPUTED_VALUE"""),"null")</f>
        <v>null</v>
      </c>
      <c r="P4512" s="33">
        <f>IFERROR(__xludf.DUMMYFUNCTION("""COMPUTED_VALUE"""),1.0)</f>
        <v>1</v>
      </c>
      <c r="Q4512" s="4" t="str">
        <f>IFERROR(__xludf.DUMMYFUNCTION("""COMPUTED_VALUE"""),"null")</f>
        <v>null</v>
      </c>
      <c r="R4512" s="33">
        <f>IFERROR(__xludf.DUMMYFUNCTION("""COMPUTED_VALUE"""),1.0)</f>
        <v>1</v>
      </c>
      <c r="S4512" s="4" t="str">
        <f>IFERROR(__xludf.DUMMYFUNCTION("""COMPUTED_VALUE"""),"null")</f>
        <v>null</v>
      </c>
      <c r="T4512" s="33">
        <f>IFERROR(__xludf.DUMMYFUNCTION("""COMPUTED_VALUE"""),0.5)</f>
        <v>0.5</v>
      </c>
      <c r="U4512" s="4" t="str">
        <f>IFERROR(__xludf.DUMMYFUNCTION("""COMPUTED_VALUE"""),"null")</f>
        <v>null</v>
      </c>
      <c r="V4512" s="33">
        <f>IFERROR(__xludf.DUMMYFUNCTION("""COMPUTED_VALUE"""),0.5)</f>
        <v>0.5</v>
      </c>
      <c r="W4512" s="4" t="str">
        <f>IFERROR(__xludf.DUMMYFUNCTION("""COMPUTED_VALUE"""),"Saipos Serviços De Software")</f>
        <v>Saipos Serviços De Software</v>
      </c>
      <c r="X4512" s="33">
        <f>IFERROR(__xludf.DUMMYFUNCTION("""COMPUTED_VALUE"""),0.5)</f>
        <v>0.5</v>
      </c>
    </row>
    <row r="4513">
      <c r="K4513" s="4" t="str">
        <f>IFERROR(__xludf.DUMMYFUNCTION("""COMPUTED_VALUE"""),"DOCE MANIA")</f>
        <v>DOCE MANIA</v>
      </c>
      <c r="L4513" s="32">
        <f>IFERROR(__xludf.DUMMYFUNCTION("""COMPUTED_VALUE"""),2.0)</f>
        <v>2</v>
      </c>
      <c r="M4513" s="4" t="str">
        <f>IFERROR(__xludf.DUMMYFUNCTION("""COMPUTED_VALUE"""),"Anota Ai Solucoes Digitais S/a")</f>
        <v>Anota Ai Solucoes Digitais S/a</v>
      </c>
      <c r="N4513" s="33">
        <f>IFERROR(__xludf.DUMMYFUNCTION("""COMPUTED_VALUE"""),0.5)</f>
        <v>0.5</v>
      </c>
      <c r="O4513" s="4" t="str">
        <f>IFERROR(__xludf.DUMMYFUNCTION("""COMPUTED_VALUE"""),"Anota Ai Solucoes Digitais S/a")</f>
        <v>Anota Ai Solucoes Digitais S/a</v>
      </c>
      <c r="P4513" s="33">
        <f>IFERROR(__xludf.DUMMYFUNCTION("""COMPUTED_VALUE"""),0.5)</f>
        <v>0.5</v>
      </c>
      <c r="Q4513" s="4" t="str">
        <f>IFERROR(__xludf.DUMMYFUNCTION("""COMPUTED_VALUE"""),"null")</f>
        <v>null</v>
      </c>
      <c r="R4513" s="33">
        <f>IFERROR(__xludf.DUMMYFUNCTION("""COMPUTED_VALUE"""),0.5)</f>
        <v>0.5</v>
      </c>
      <c r="S4513" s="4" t="str">
        <f>IFERROR(__xludf.DUMMYFUNCTION("""COMPUTED_VALUE"""),"Anota Ai Solucoes Digitais S/a")</f>
        <v>Anota Ai Solucoes Digitais S/a</v>
      </c>
      <c r="T4513" s="33">
        <f>IFERROR(__xludf.DUMMYFUNCTION("""COMPUTED_VALUE"""),0.5)</f>
        <v>0.5</v>
      </c>
      <c r="U4513" s="4" t="str">
        <f>IFERROR(__xludf.DUMMYFUNCTION("""COMPUTED_VALUE"""),"null")</f>
        <v>null</v>
      </c>
      <c r="V4513" s="33">
        <f>IFERROR(__xludf.DUMMYFUNCTION("""COMPUTED_VALUE"""),0.5)</f>
        <v>0.5</v>
      </c>
      <c r="W4513" s="4" t="str">
        <f>IFERROR(__xludf.DUMMYFUNCTION("""COMPUTED_VALUE"""),"null")</f>
        <v>null</v>
      </c>
      <c r="X4513" s="33">
        <f>IFERROR(__xludf.DUMMYFUNCTION("""COMPUTED_VALUE"""),0.5)</f>
        <v>0.5</v>
      </c>
    </row>
    <row r="4514">
      <c r="K4514" s="4" t="str">
        <f>IFERROR(__xludf.DUMMYFUNCTION("""COMPUTED_VALUE"""),"BOM CAFE")</f>
        <v>BOM CAFE</v>
      </c>
      <c r="L4514" s="32">
        <f>IFERROR(__xludf.DUMMYFUNCTION("""COMPUTED_VALUE"""),2.0)</f>
        <v>2</v>
      </c>
      <c r="M4514" s="4" t="str">
        <f>IFERROR(__xludf.DUMMYFUNCTION("""COMPUTED_VALUE"""),"Cervantes Tecnologia")</f>
        <v>Cervantes Tecnologia</v>
      </c>
      <c r="N4514" s="33">
        <f>IFERROR(__xludf.DUMMYFUNCTION("""COMPUTED_VALUE"""),0.5)</f>
        <v>0.5</v>
      </c>
      <c r="O4514" s="4" t="str">
        <f>IFERROR(__xludf.DUMMYFUNCTION("""COMPUTED_VALUE"""),"null")</f>
        <v>null</v>
      </c>
      <c r="P4514" s="33">
        <f>IFERROR(__xludf.DUMMYFUNCTION("""COMPUTED_VALUE"""),1.0)</f>
        <v>1</v>
      </c>
      <c r="Q4514" s="4" t="str">
        <f>IFERROR(__xludf.DUMMYFUNCTION("""COMPUTED_VALUE"""),"Alloy Tecnologia")</f>
        <v>Alloy Tecnologia</v>
      </c>
      <c r="R4514" s="33">
        <f>IFERROR(__xludf.DUMMYFUNCTION("""COMPUTED_VALUE"""),0.5)</f>
        <v>0.5</v>
      </c>
      <c r="S4514" s="4" t="str">
        <f>IFERROR(__xludf.DUMMYFUNCTION("""COMPUTED_VALUE"""),"null")</f>
        <v>null</v>
      </c>
      <c r="T4514" s="33">
        <f>IFERROR(__xludf.DUMMYFUNCTION("""COMPUTED_VALUE"""),0.5)</f>
        <v>0.5</v>
      </c>
      <c r="U4514" s="4" t="str">
        <f>IFERROR(__xludf.DUMMYFUNCTION("""COMPUTED_VALUE"""),"Alloy Tecnologia")</f>
        <v>Alloy Tecnologia</v>
      </c>
      <c r="V4514" s="33">
        <f>IFERROR(__xludf.DUMMYFUNCTION("""COMPUTED_VALUE"""),0.5)</f>
        <v>0.5</v>
      </c>
      <c r="W4514" s="4" t="str">
        <f>IFERROR(__xludf.DUMMYFUNCTION("""COMPUTED_VALUE"""),"Alloy Tecnologia")</f>
        <v>Alloy Tecnologia</v>
      </c>
      <c r="X4514" s="33">
        <f>IFERROR(__xludf.DUMMYFUNCTION("""COMPUTED_VALUE"""),0.5)</f>
        <v>0.5</v>
      </c>
    </row>
    <row r="4515">
      <c r="K4515" s="4" t="str">
        <f>IFERROR(__xludf.DUMMYFUNCTION("""COMPUTED_VALUE"""),"O PARMEGIANA")</f>
        <v>O PARMEGIANA</v>
      </c>
      <c r="L4515" s="32">
        <f>IFERROR(__xludf.DUMMYFUNCTION("""COMPUTED_VALUE"""),2.0)</f>
        <v>2</v>
      </c>
      <c r="M4515" s="4" t="str">
        <f>IFERROR(__xludf.DUMMYFUNCTION("""COMPUTED_VALUE"""),"Saipos Serviços De Software")</f>
        <v>Saipos Serviços De Software</v>
      </c>
      <c r="N4515" s="33">
        <f>IFERROR(__xludf.DUMMYFUNCTION("""COMPUTED_VALUE"""),0.5)</f>
        <v>0.5</v>
      </c>
      <c r="O4515" s="4" t="str">
        <f>IFERROR(__xludf.DUMMYFUNCTION("""COMPUTED_VALUE"""),"Saipos Serviços De Software")</f>
        <v>Saipos Serviços De Software</v>
      </c>
      <c r="P4515" s="33">
        <f>IFERROR(__xludf.DUMMYFUNCTION("""COMPUTED_VALUE"""),0.5)</f>
        <v>0.5</v>
      </c>
      <c r="Q4515" s="4" t="str">
        <f>IFERROR(__xludf.DUMMYFUNCTION("""COMPUTED_VALUE"""),"Saipos Serviços De Software")</f>
        <v>Saipos Serviços De Software</v>
      </c>
      <c r="R4515" s="33">
        <f>IFERROR(__xludf.DUMMYFUNCTION("""COMPUTED_VALUE"""),0.5)</f>
        <v>0.5</v>
      </c>
      <c r="S4515" s="4" t="str">
        <f>IFERROR(__xludf.DUMMYFUNCTION("""COMPUTED_VALUE"""),"Saipos Serviços De Software")</f>
        <v>Saipos Serviços De Software</v>
      </c>
      <c r="T4515" s="33">
        <f>IFERROR(__xludf.DUMMYFUNCTION("""COMPUTED_VALUE"""),0.5)</f>
        <v>0.5</v>
      </c>
      <c r="U4515" s="4" t="str">
        <f>IFERROR(__xludf.DUMMYFUNCTION("""COMPUTED_VALUE"""),"Saipos Serviços De Software")</f>
        <v>Saipos Serviços De Software</v>
      </c>
      <c r="V4515" s="33">
        <f>IFERROR(__xludf.DUMMYFUNCTION("""COMPUTED_VALUE"""),0.5)</f>
        <v>0.5</v>
      </c>
      <c r="W4515" s="4" t="str">
        <f>IFERROR(__xludf.DUMMYFUNCTION("""COMPUTED_VALUE"""),"Saipos Serviços De Software")</f>
        <v>Saipos Serviços De Software</v>
      </c>
      <c r="X4515" s="33">
        <f>IFERROR(__xludf.DUMMYFUNCTION("""COMPUTED_VALUE"""),0.5)</f>
        <v>0.5</v>
      </c>
    </row>
    <row r="4516">
      <c r="K4516" s="4" t="str">
        <f>IFERROR(__xludf.DUMMYFUNCTION("""COMPUTED_VALUE"""),"BOM APETITE")</f>
        <v>BOM APETITE</v>
      </c>
      <c r="L4516" s="32">
        <f>IFERROR(__xludf.DUMMYFUNCTION("""COMPUTED_VALUE"""),2.0)</f>
        <v>2</v>
      </c>
      <c r="M4516" s="4" t="str">
        <f>IFERROR(__xludf.DUMMYFUNCTION("""COMPUTED_VALUE"""),"Anota Ai Solucoes Digitais S/a")</f>
        <v>Anota Ai Solucoes Digitais S/a</v>
      </c>
      <c r="N4516" s="33">
        <f>IFERROR(__xludf.DUMMYFUNCTION("""COMPUTED_VALUE"""),0.5)</f>
        <v>0.5</v>
      </c>
      <c r="O4516" s="4" t="str">
        <f>IFERROR(__xludf.DUMMYFUNCTION("""COMPUTED_VALUE"""),"Anota Ai Solucoes Digitais S/a")</f>
        <v>Anota Ai Solucoes Digitais S/a</v>
      </c>
      <c r="P4516" s="33">
        <f>IFERROR(__xludf.DUMMYFUNCTION("""COMPUTED_VALUE"""),0.5)</f>
        <v>0.5</v>
      </c>
      <c r="Q4516" s="4" t="str">
        <f>IFERROR(__xludf.DUMMYFUNCTION("""COMPUTED_VALUE"""),"Anota Ai Solucoes Digitais S/a")</f>
        <v>Anota Ai Solucoes Digitais S/a</v>
      </c>
      <c r="R4516" s="33">
        <f>IFERROR(__xludf.DUMMYFUNCTION("""COMPUTED_VALUE"""),0.5)</f>
        <v>0.5</v>
      </c>
      <c r="S4516" s="4" t="str">
        <f>IFERROR(__xludf.DUMMYFUNCTION("""COMPUTED_VALUE"""),"Anota Ai Solucoes Digitais S/a")</f>
        <v>Anota Ai Solucoes Digitais S/a</v>
      </c>
      <c r="T4516" s="33">
        <f>IFERROR(__xludf.DUMMYFUNCTION("""COMPUTED_VALUE"""),0.5)</f>
        <v>0.5</v>
      </c>
      <c r="U4516" s="4" t="str">
        <f>IFERROR(__xludf.DUMMYFUNCTION("""COMPUTED_VALUE"""),"Anota Ai Solucoes Digitais S/a")</f>
        <v>Anota Ai Solucoes Digitais S/a</v>
      </c>
      <c r="V4516" s="33">
        <f>IFERROR(__xludf.DUMMYFUNCTION("""COMPUTED_VALUE"""),0.5)</f>
        <v>0.5</v>
      </c>
      <c r="W4516" s="4" t="str">
        <f>IFERROR(__xludf.DUMMYFUNCTION("""COMPUTED_VALUE"""),"Anota Ai Solucoes Digitais S/a")</f>
        <v>Anota Ai Solucoes Digitais S/a</v>
      </c>
      <c r="X4516" s="33">
        <f>IFERROR(__xludf.DUMMYFUNCTION("""COMPUTED_VALUE"""),0.5)</f>
        <v>0.5</v>
      </c>
    </row>
    <row r="4517">
      <c r="K4517" s="4" t="str">
        <f>IFERROR(__xludf.DUMMYFUNCTION("""COMPUTED_VALUE"""),"SEU DOG")</f>
        <v>SEU DOG</v>
      </c>
      <c r="L4517" s="32">
        <f>IFERROR(__xludf.DUMMYFUNCTION("""COMPUTED_VALUE"""),2.0)</f>
        <v>2</v>
      </c>
      <c r="M4517" s="4" t="str">
        <f>IFERROR(__xludf.DUMMYFUNCTION("""COMPUTED_VALUE"""),"Cardápio Web")</f>
        <v>Cardápio Web</v>
      </c>
      <c r="N4517" s="33">
        <f>IFERROR(__xludf.DUMMYFUNCTION("""COMPUTED_VALUE"""),0.5)</f>
        <v>0.5</v>
      </c>
      <c r="O4517" s="4" t="str">
        <f>IFERROR(__xludf.DUMMYFUNCTION("""COMPUTED_VALUE"""),"Cardápio Web")</f>
        <v>Cardápio Web</v>
      </c>
      <c r="P4517" s="33">
        <f>IFERROR(__xludf.DUMMYFUNCTION("""COMPUTED_VALUE"""),0.5)</f>
        <v>0.5</v>
      </c>
      <c r="Q4517" s="4" t="str">
        <f>IFERROR(__xludf.DUMMYFUNCTION("""COMPUTED_VALUE"""),"Cardápio Web")</f>
        <v>Cardápio Web</v>
      </c>
      <c r="R4517" s="33">
        <f>IFERROR(__xludf.DUMMYFUNCTION("""COMPUTED_VALUE"""),0.5)</f>
        <v>0.5</v>
      </c>
      <c r="S4517" s="4" t="str">
        <f>IFERROR(__xludf.DUMMYFUNCTION("""COMPUTED_VALUE"""),"Cardápio Web")</f>
        <v>Cardápio Web</v>
      </c>
      <c r="T4517" s="33">
        <f>IFERROR(__xludf.DUMMYFUNCTION("""COMPUTED_VALUE"""),0.5)</f>
        <v>0.5</v>
      </c>
      <c r="U4517" s="4" t="str">
        <f>IFERROR(__xludf.DUMMYFUNCTION("""COMPUTED_VALUE"""),"Cardápio Web")</f>
        <v>Cardápio Web</v>
      </c>
      <c r="V4517" s="33">
        <f>IFERROR(__xludf.DUMMYFUNCTION("""COMPUTED_VALUE"""),0.5)</f>
        <v>0.5</v>
      </c>
      <c r="W4517" s="4" t="str">
        <f>IFERROR(__xludf.DUMMYFUNCTION("""COMPUTED_VALUE"""),"Cardápio Web")</f>
        <v>Cardápio Web</v>
      </c>
      <c r="X4517" s="33">
        <f>IFERROR(__xludf.DUMMYFUNCTION("""COMPUTED_VALUE"""),0.5)</f>
        <v>0.5</v>
      </c>
    </row>
    <row r="4518">
      <c r="K4518" s="4" t="str">
        <f>IFERROR(__xludf.DUMMYFUNCTION("""COMPUTED_VALUE"""),"REI DO STROGONOFF")</f>
        <v>REI DO STROGONOFF</v>
      </c>
      <c r="L4518" s="32">
        <f>IFERROR(__xludf.DUMMYFUNCTION("""COMPUTED_VALUE"""),2.0)</f>
        <v>2</v>
      </c>
      <c r="M4518" s="4" t="str">
        <f>IFERROR(__xludf.DUMMYFUNCTION("""COMPUTED_VALUE"""),"null")</f>
        <v>null</v>
      </c>
      <c r="N4518" s="33">
        <f>IFERROR(__xludf.DUMMYFUNCTION("""COMPUTED_VALUE"""),0.5)</f>
        <v>0.5</v>
      </c>
      <c r="O4518" s="4" t="str">
        <f>IFERROR(__xludf.DUMMYFUNCTION("""COMPUTED_VALUE"""),"null")</f>
        <v>null</v>
      </c>
      <c r="P4518" s="33">
        <f>IFERROR(__xludf.DUMMYFUNCTION("""COMPUTED_VALUE"""),0.5)</f>
        <v>0.5</v>
      </c>
      <c r="Q4518" s="4" t="str">
        <f>IFERROR(__xludf.DUMMYFUNCTION("""COMPUTED_VALUE"""),"null")</f>
        <v>null</v>
      </c>
      <c r="R4518" s="33">
        <f>IFERROR(__xludf.DUMMYFUNCTION("""COMPUTED_VALUE"""),0.5)</f>
        <v>0.5</v>
      </c>
      <c r="S4518" s="4" t="str">
        <f>IFERROR(__xludf.DUMMYFUNCTION("""COMPUTED_VALUE"""),"Brendi")</f>
        <v>Brendi</v>
      </c>
      <c r="T4518" s="33">
        <f>IFERROR(__xludf.DUMMYFUNCTION("""COMPUTED_VALUE"""),0.5)</f>
        <v>0.5</v>
      </c>
      <c r="U4518" s="4" t="str">
        <f>IFERROR(__xludf.DUMMYFUNCTION("""COMPUTED_VALUE"""),"null")</f>
        <v>null</v>
      </c>
      <c r="V4518" s="33">
        <f>IFERROR(__xludf.DUMMYFUNCTION("""COMPUTED_VALUE"""),0.5)</f>
        <v>0.5</v>
      </c>
      <c r="W4518" s="4" t="str">
        <f>IFERROR(__xludf.DUMMYFUNCTION("""COMPUTED_VALUE"""),"null")</f>
        <v>null</v>
      </c>
      <c r="X4518" s="33">
        <f>IFERROR(__xludf.DUMMYFUNCTION("""COMPUTED_VALUE"""),1.0)</f>
        <v>1</v>
      </c>
    </row>
    <row r="4519">
      <c r="K4519" s="4" t="str">
        <f>IFERROR(__xludf.DUMMYFUNCTION("""COMPUTED_VALUE"""),"EMPORIO MIX")</f>
        <v>EMPORIO MIX</v>
      </c>
      <c r="L4519" s="32">
        <f>IFERROR(__xludf.DUMMYFUNCTION("""COMPUTED_VALUE"""),2.0)</f>
        <v>2</v>
      </c>
      <c r="M4519" s="4" t="str">
        <f>IFERROR(__xludf.DUMMYFUNCTION("""COMPUTED_VALUE"""),"N/A (Not found)")</f>
        <v>N/A (Not found)</v>
      </c>
      <c r="N4519" s="33">
        <f>IFERROR(__xludf.DUMMYFUNCTION("""COMPUTED_VALUE"""),1.0)</f>
        <v>1</v>
      </c>
      <c r="O4519" s="4" t="str">
        <f>IFERROR(__xludf.DUMMYFUNCTION("""COMPUTED_VALUE"""),"N/A (Not found)")</f>
        <v>N/A (Not found)</v>
      </c>
      <c r="P4519" s="33">
        <f>IFERROR(__xludf.DUMMYFUNCTION("""COMPUTED_VALUE"""),1.0)</f>
        <v>1</v>
      </c>
      <c r="Q4519" s="4" t="str">
        <f>IFERROR(__xludf.DUMMYFUNCTION("""COMPUTED_VALUE"""),"N/A (Not found)")</f>
        <v>N/A (Not found)</v>
      </c>
      <c r="R4519" s="33">
        <f>IFERROR(__xludf.DUMMYFUNCTION("""COMPUTED_VALUE"""),1.0)</f>
        <v>1</v>
      </c>
      <c r="S4519" s="4" t="str">
        <f>IFERROR(__xludf.DUMMYFUNCTION("""COMPUTED_VALUE"""),"N/A (Not found)")</f>
        <v>N/A (Not found)</v>
      </c>
      <c r="T4519" s="33">
        <f>IFERROR(__xludf.DUMMYFUNCTION("""COMPUTED_VALUE"""),1.0)</f>
        <v>1</v>
      </c>
      <c r="U4519" s="4" t="str">
        <f>IFERROR(__xludf.DUMMYFUNCTION("""COMPUTED_VALUE"""),"N/A (Not found)")</f>
        <v>N/A (Not found)</v>
      </c>
      <c r="V4519" s="33">
        <f>IFERROR(__xludf.DUMMYFUNCTION("""COMPUTED_VALUE"""),1.0)</f>
        <v>1</v>
      </c>
      <c r="W4519" s="4" t="str">
        <f>IFERROR(__xludf.DUMMYFUNCTION("""COMPUTED_VALUE"""),"null")</f>
        <v>null</v>
      </c>
      <c r="X4519" s="33">
        <f>IFERROR(__xludf.DUMMYFUNCTION("""COMPUTED_VALUE"""),0.5)</f>
        <v>0.5</v>
      </c>
    </row>
    <row r="4520">
      <c r="K4520" s="4" t="str">
        <f>IFERROR(__xludf.DUMMYFUNCTION("""COMPUTED_VALUE"""),"MAJU ACAI")</f>
        <v>MAJU ACAI</v>
      </c>
      <c r="L4520" s="32">
        <f>IFERROR(__xludf.DUMMYFUNCTION("""COMPUTED_VALUE"""),2.0)</f>
        <v>2</v>
      </c>
      <c r="M4520" s="4" t="str">
        <f>IFERROR(__xludf.DUMMYFUNCTION("""COMPUTED_VALUE"""),"Anota Ai Solucoes Digitais S/a")</f>
        <v>Anota Ai Solucoes Digitais S/a</v>
      </c>
      <c r="N4520" s="33">
        <f>IFERROR(__xludf.DUMMYFUNCTION("""COMPUTED_VALUE"""),0.5)</f>
        <v>0.5</v>
      </c>
      <c r="O4520" s="4" t="str">
        <f>IFERROR(__xludf.DUMMYFUNCTION("""COMPUTED_VALUE"""),"Anota Ai Solucoes Digitais S/a")</f>
        <v>Anota Ai Solucoes Digitais S/a</v>
      </c>
      <c r="P4520" s="33">
        <f>IFERROR(__xludf.DUMMYFUNCTION("""COMPUTED_VALUE"""),0.5)</f>
        <v>0.5</v>
      </c>
      <c r="Q4520" s="4" t="str">
        <f>IFERROR(__xludf.DUMMYFUNCTION("""COMPUTED_VALUE"""),"Anota Ai Solucoes Digitais S/a")</f>
        <v>Anota Ai Solucoes Digitais S/a</v>
      </c>
      <c r="R4520" s="33">
        <f>IFERROR(__xludf.DUMMYFUNCTION("""COMPUTED_VALUE"""),0.5)</f>
        <v>0.5</v>
      </c>
      <c r="S4520" s="4" t="str">
        <f>IFERROR(__xludf.DUMMYFUNCTION("""COMPUTED_VALUE"""),"Anota Ai Solucoes Digitais S/a")</f>
        <v>Anota Ai Solucoes Digitais S/a</v>
      </c>
      <c r="T4520" s="33">
        <f>IFERROR(__xludf.DUMMYFUNCTION("""COMPUTED_VALUE"""),0.5)</f>
        <v>0.5</v>
      </c>
      <c r="U4520" s="4" t="str">
        <f>IFERROR(__xludf.DUMMYFUNCTION("""COMPUTED_VALUE"""),"Anota Ai Solucoes Digitais S/a")</f>
        <v>Anota Ai Solucoes Digitais S/a</v>
      </c>
      <c r="V4520" s="33">
        <f>IFERROR(__xludf.DUMMYFUNCTION("""COMPUTED_VALUE"""),0.5)</f>
        <v>0.5</v>
      </c>
      <c r="W4520" s="4" t="str">
        <f>IFERROR(__xludf.DUMMYFUNCTION("""COMPUTED_VALUE"""),"Anota Ai Solucoes Digitais S/a")</f>
        <v>Anota Ai Solucoes Digitais S/a</v>
      </c>
      <c r="X4520" s="33">
        <f>IFERROR(__xludf.DUMMYFUNCTION("""COMPUTED_VALUE"""),1.0)</f>
        <v>1</v>
      </c>
    </row>
    <row r="4521">
      <c r="K4521" s="4" t="str">
        <f>IFERROR(__xludf.DUMMYFUNCTION("""COMPUTED_VALUE"""),"ACAI DA NANA")</f>
        <v>ACAI DA NANA</v>
      </c>
      <c r="L4521" s="32">
        <f>IFERROR(__xludf.DUMMYFUNCTION("""COMPUTED_VALUE"""),2.0)</f>
        <v>2</v>
      </c>
      <c r="M4521" s="4" t="str">
        <f>IFERROR(__xludf.DUMMYFUNCTION("""COMPUTED_VALUE"""),"Cardápio Web")</f>
        <v>Cardápio Web</v>
      </c>
      <c r="N4521" s="33">
        <f>IFERROR(__xludf.DUMMYFUNCTION("""COMPUTED_VALUE"""),0.5)</f>
        <v>0.5</v>
      </c>
      <c r="O4521" s="4" t="str">
        <f>IFERROR(__xludf.DUMMYFUNCTION("""COMPUTED_VALUE"""),"Cardápio Web")</f>
        <v>Cardápio Web</v>
      </c>
      <c r="P4521" s="33">
        <f>IFERROR(__xludf.DUMMYFUNCTION("""COMPUTED_VALUE"""),0.5)</f>
        <v>0.5</v>
      </c>
      <c r="Q4521" s="4" t="str">
        <f>IFERROR(__xludf.DUMMYFUNCTION("""COMPUTED_VALUE"""),"Cardápio Web")</f>
        <v>Cardápio Web</v>
      </c>
      <c r="R4521" s="33">
        <f>IFERROR(__xludf.DUMMYFUNCTION("""COMPUTED_VALUE"""),0.5)</f>
        <v>0.5</v>
      </c>
      <c r="S4521" s="4" t="str">
        <f>IFERROR(__xludf.DUMMYFUNCTION("""COMPUTED_VALUE"""),"Cardápio Web")</f>
        <v>Cardápio Web</v>
      </c>
      <c r="T4521" s="33">
        <f>IFERROR(__xludf.DUMMYFUNCTION("""COMPUTED_VALUE"""),0.5)</f>
        <v>0.5</v>
      </c>
      <c r="U4521" s="4" t="str">
        <f>IFERROR(__xludf.DUMMYFUNCTION("""COMPUTED_VALUE"""),"Cardápio Web")</f>
        <v>Cardápio Web</v>
      </c>
      <c r="V4521" s="33">
        <f>IFERROR(__xludf.DUMMYFUNCTION("""COMPUTED_VALUE"""),0.5)</f>
        <v>0.5</v>
      </c>
      <c r="W4521" s="4" t="str">
        <f>IFERROR(__xludf.DUMMYFUNCTION("""COMPUTED_VALUE"""),"Cardápio Web")</f>
        <v>Cardápio Web</v>
      </c>
      <c r="X4521" s="33">
        <f>IFERROR(__xludf.DUMMYFUNCTION("""COMPUTED_VALUE"""),0.5)</f>
        <v>0.5</v>
      </c>
    </row>
    <row r="4522">
      <c r="K4522" s="4" t="str">
        <f>IFERROR(__xludf.DUMMYFUNCTION("""COMPUTED_VALUE"""),"300 GRAUS PIZZA DELIVERY")</f>
        <v>300 GRAUS PIZZA DELIVERY</v>
      </c>
      <c r="L4522" s="32">
        <f>IFERROR(__xludf.DUMMYFUNCTION("""COMPUTED_VALUE"""),2.0)</f>
        <v>2</v>
      </c>
      <c r="M4522" s="4" t="str">
        <f>IFERROR(__xludf.DUMMYFUNCTION("""COMPUTED_VALUE"""),"Saipos Serviços De Software")</f>
        <v>Saipos Serviços De Software</v>
      </c>
      <c r="N4522" s="33">
        <f>IFERROR(__xludf.DUMMYFUNCTION("""COMPUTED_VALUE"""),1.0)</f>
        <v>1</v>
      </c>
      <c r="O4522" s="4" t="str">
        <f>IFERROR(__xludf.DUMMYFUNCTION("""COMPUTED_VALUE"""),"Saipos Serviços De Software")</f>
        <v>Saipos Serviços De Software</v>
      </c>
      <c r="P4522" s="33">
        <f>IFERROR(__xludf.DUMMYFUNCTION("""COMPUTED_VALUE"""),1.0)</f>
        <v>1</v>
      </c>
      <c r="Q4522" s="4" t="str">
        <f>IFERROR(__xludf.DUMMYFUNCTION("""COMPUTED_VALUE"""),"Saipos Serviços De Software")</f>
        <v>Saipos Serviços De Software</v>
      </c>
      <c r="R4522" s="33">
        <f>IFERROR(__xludf.DUMMYFUNCTION("""COMPUTED_VALUE"""),1.0)</f>
        <v>1</v>
      </c>
      <c r="S4522" s="4" t="str">
        <f>IFERROR(__xludf.DUMMYFUNCTION("""COMPUTED_VALUE"""),"Saipos Serviços De Software")</f>
        <v>Saipos Serviços De Software</v>
      </c>
      <c r="T4522" s="33">
        <f>IFERROR(__xludf.DUMMYFUNCTION("""COMPUTED_VALUE"""),1.0)</f>
        <v>1</v>
      </c>
      <c r="U4522" s="4" t="str">
        <f>IFERROR(__xludf.DUMMYFUNCTION("""COMPUTED_VALUE"""),"null")</f>
        <v>null</v>
      </c>
      <c r="V4522" s="33">
        <f>IFERROR(__xludf.DUMMYFUNCTION("""COMPUTED_VALUE"""),1.0)</f>
        <v>1</v>
      </c>
      <c r="W4522" s="4" t="str">
        <f>IFERROR(__xludf.DUMMYFUNCTION("""COMPUTED_VALUE"""),"Suitable Tecnologia E Gestao")</f>
        <v>Suitable Tecnologia E Gestao</v>
      </c>
      <c r="X4522" s="33">
        <f>IFERROR(__xludf.DUMMYFUNCTION("""COMPUTED_VALUE"""),0.5)</f>
        <v>0.5</v>
      </c>
    </row>
    <row r="4523">
      <c r="K4523" s="4" t="str">
        <f>IFERROR(__xludf.DUMMYFUNCTION("""COMPUTED_VALUE"""),"UNIVERSO DA PIZZA")</f>
        <v>UNIVERSO DA PIZZA</v>
      </c>
      <c r="L4523" s="32">
        <f>IFERROR(__xludf.DUMMYFUNCTION("""COMPUTED_VALUE"""),2.0)</f>
        <v>2</v>
      </c>
      <c r="M4523" s="4" t="str">
        <f>IFERROR(__xludf.DUMMYFUNCTION("""COMPUTED_VALUE"""),"Anota Ai Solucoes Digitais S/a")</f>
        <v>Anota Ai Solucoes Digitais S/a</v>
      </c>
      <c r="N4523" s="33">
        <f>IFERROR(__xludf.DUMMYFUNCTION("""COMPUTED_VALUE"""),0.5)</f>
        <v>0.5</v>
      </c>
      <c r="O4523" s="4" t="str">
        <f>IFERROR(__xludf.DUMMYFUNCTION("""COMPUTED_VALUE"""),"Anota Ai Solucoes Digitais S/a")</f>
        <v>Anota Ai Solucoes Digitais S/a</v>
      </c>
      <c r="P4523" s="33">
        <f>IFERROR(__xludf.DUMMYFUNCTION("""COMPUTED_VALUE"""),0.5)</f>
        <v>0.5</v>
      </c>
      <c r="Q4523" s="4" t="str">
        <f>IFERROR(__xludf.DUMMYFUNCTION("""COMPUTED_VALUE"""),"Anota Ai Solucoes Digitais S/a")</f>
        <v>Anota Ai Solucoes Digitais S/a</v>
      </c>
      <c r="R4523" s="33">
        <f>IFERROR(__xludf.DUMMYFUNCTION("""COMPUTED_VALUE"""),0.5)</f>
        <v>0.5</v>
      </c>
      <c r="S4523" s="4" t="str">
        <f>IFERROR(__xludf.DUMMYFUNCTION("""COMPUTED_VALUE"""),"Anota Ai Solucoes Digitais S/a")</f>
        <v>Anota Ai Solucoes Digitais S/a</v>
      </c>
      <c r="T4523" s="33">
        <f>IFERROR(__xludf.DUMMYFUNCTION("""COMPUTED_VALUE"""),0.5)</f>
        <v>0.5</v>
      </c>
      <c r="U4523" s="4" t="str">
        <f>IFERROR(__xludf.DUMMYFUNCTION("""COMPUTED_VALUE"""),"Anota Ai Solucoes Digitais S/a")</f>
        <v>Anota Ai Solucoes Digitais S/a</v>
      </c>
      <c r="V4523" s="33">
        <f>IFERROR(__xludf.DUMMYFUNCTION("""COMPUTED_VALUE"""),0.5)</f>
        <v>0.5</v>
      </c>
      <c r="W4523" s="4" t="str">
        <f>IFERROR(__xludf.DUMMYFUNCTION("""COMPUTED_VALUE"""),"Anota Ai Solucoes Digitais S/a")</f>
        <v>Anota Ai Solucoes Digitais S/a</v>
      </c>
      <c r="X4523" s="33">
        <f>IFERROR(__xludf.DUMMYFUNCTION("""COMPUTED_VALUE"""),0.5)</f>
        <v>0.5</v>
      </c>
    </row>
    <row r="4524">
      <c r="K4524" s="4" t="str">
        <f>IFERROR(__xludf.DUMMYFUNCTION("""COMPUTED_VALUE"""),"NINJA BURGER")</f>
        <v>NINJA BURGER</v>
      </c>
      <c r="L4524" s="32">
        <f>IFERROR(__xludf.DUMMYFUNCTION("""COMPUTED_VALUE"""),2.0)</f>
        <v>2</v>
      </c>
      <c r="M4524" s="4" t="str">
        <f>IFERROR(__xludf.DUMMYFUNCTION("""COMPUTED_VALUE"""),"null")</f>
        <v>null</v>
      </c>
      <c r="N4524" s="33">
        <f>IFERROR(__xludf.DUMMYFUNCTION("""COMPUTED_VALUE"""),0.5)</f>
        <v>0.5</v>
      </c>
      <c r="O4524" s="4" t="str">
        <f>IFERROR(__xludf.DUMMYFUNCTION("""COMPUTED_VALUE"""),"null")</f>
        <v>null</v>
      </c>
      <c r="P4524" s="33">
        <f>IFERROR(__xludf.DUMMYFUNCTION("""COMPUTED_VALUE"""),0.5)</f>
        <v>0.5</v>
      </c>
      <c r="Q4524" s="4" t="str">
        <f>IFERROR(__xludf.DUMMYFUNCTION("""COMPUTED_VALUE"""),"null")</f>
        <v>null</v>
      </c>
      <c r="R4524" s="33">
        <f>IFERROR(__xludf.DUMMYFUNCTION("""COMPUTED_VALUE"""),0.5)</f>
        <v>0.5</v>
      </c>
      <c r="S4524" s="4" t="str">
        <f>IFERROR(__xludf.DUMMYFUNCTION("""COMPUTED_VALUE"""),"Resulti Sistemas")</f>
        <v>Resulti Sistemas</v>
      </c>
      <c r="T4524" s="33">
        <f>IFERROR(__xludf.DUMMYFUNCTION("""COMPUTED_VALUE"""),0.5)</f>
        <v>0.5</v>
      </c>
      <c r="U4524" s="4" t="str">
        <f>IFERROR(__xludf.DUMMYFUNCTION("""COMPUTED_VALUE"""),"Resulti Sistemas")</f>
        <v>Resulti Sistemas</v>
      </c>
      <c r="V4524" s="33">
        <f>IFERROR(__xludf.DUMMYFUNCTION("""COMPUTED_VALUE"""),0.5)</f>
        <v>0.5</v>
      </c>
      <c r="W4524" s="4" t="str">
        <f>IFERROR(__xludf.DUMMYFUNCTION("""COMPUTED_VALUE"""),"Resulti Sistemas")</f>
        <v>Resulti Sistemas</v>
      </c>
      <c r="X4524" s="33">
        <f>IFERROR(__xludf.DUMMYFUNCTION("""COMPUTED_VALUE"""),0.5)</f>
        <v>0.5</v>
      </c>
    </row>
    <row r="4525">
      <c r="K4525" s="4" t="str">
        <f>IFERROR(__xludf.DUMMYFUNCTION("""COMPUTED_VALUE"""),"HAMBURGUERIA DO GORDINHO")</f>
        <v>HAMBURGUERIA DO GORDINHO</v>
      </c>
      <c r="L4525" s="32">
        <f>IFERROR(__xludf.DUMMYFUNCTION("""COMPUTED_VALUE"""),2.0)</f>
        <v>2</v>
      </c>
      <c r="M4525" s="4" t="str">
        <f>IFERROR(__xludf.DUMMYFUNCTION("""COMPUTED_VALUE"""),"null")</f>
        <v>null</v>
      </c>
      <c r="N4525" s="33">
        <f>IFERROR(__xludf.DUMMYFUNCTION("""COMPUTED_VALUE"""),1.0)</f>
        <v>1</v>
      </c>
      <c r="O4525" s="4" t="str">
        <f>IFERROR(__xludf.DUMMYFUNCTION("""COMPUTED_VALUE"""),"null")</f>
        <v>null</v>
      </c>
      <c r="P4525" s="33">
        <f>IFERROR(__xludf.DUMMYFUNCTION("""COMPUTED_VALUE"""),1.0)</f>
        <v>1</v>
      </c>
      <c r="Q4525" s="4" t="str">
        <f>IFERROR(__xludf.DUMMYFUNCTION("""COMPUTED_VALUE"""),"Yooga")</f>
        <v>Yooga</v>
      </c>
      <c r="R4525" s="33">
        <f>IFERROR(__xludf.DUMMYFUNCTION("""COMPUTED_VALUE"""),1.0)</f>
        <v>1</v>
      </c>
      <c r="S4525" s="4" t="str">
        <f>IFERROR(__xludf.DUMMYFUNCTION("""COMPUTED_VALUE"""),"Yooga")</f>
        <v>Yooga</v>
      </c>
      <c r="T4525" s="33">
        <f>IFERROR(__xludf.DUMMYFUNCTION("""COMPUTED_VALUE"""),1.0)</f>
        <v>1</v>
      </c>
      <c r="U4525" s="4" t="str">
        <f>IFERROR(__xludf.DUMMYFUNCTION("""COMPUTED_VALUE"""),"Yooga")</f>
        <v>Yooga</v>
      </c>
      <c r="V4525" s="33">
        <f>IFERROR(__xludf.DUMMYFUNCTION("""COMPUTED_VALUE"""),1.0)</f>
        <v>1</v>
      </c>
      <c r="W4525" s="4" t="str">
        <f>IFERROR(__xludf.DUMMYFUNCTION("""COMPUTED_VALUE"""),"Yooga")</f>
        <v>Yooga</v>
      </c>
      <c r="X4525" s="33">
        <f>IFERROR(__xludf.DUMMYFUNCTION("""COMPUTED_VALUE"""),1.0)</f>
        <v>1</v>
      </c>
    </row>
    <row r="4526">
      <c r="K4526" s="4" t="str">
        <f>IFERROR(__xludf.DUMMYFUNCTION("""COMPUTED_VALUE"""),"CASA DA CACHACA")</f>
        <v>CASA DA CACHACA</v>
      </c>
      <c r="L4526" s="32">
        <f>IFERROR(__xludf.DUMMYFUNCTION("""COMPUTED_VALUE"""),2.0)</f>
        <v>2</v>
      </c>
      <c r="M4526" s="4" t="str">
        <f>IFERROR(__xludf.DUMMYFUNCTION("""COMPUTED_VALUE"""),"N/A (Not found)")</f>
        <v>N/A (Not found)</v>
      </c>
      <c r="N4526" s="33">
        <f>IFERROR(__xludf.DUMMYFUNCTION("""COMPUTED_VALUE"""),0.5)</f>
        <v>0.5</v>
      </c>
      <c r="O4526" s="4" t="str">
        <f>IFERROR(__xludf.DUMMYFUNCTION("""COMPUTED_VALUE"""),"N/A (Not found)")</f>
        <v>N/A (Not found)</v>
      </c>
      <c r="P4526" s="33">
        <f>IFERROR(__xludf.DUMMYFUNCTION("""COMPUTED_VALUE"""),0.5)</f>
        <v>0.5</v>
      </c>
      <c r="Q4526" s="4" t="str">
        <f>IFERROR(__xludf.DUMMYFUNCTION("""COMPUTED_VALUE"""),"N/A (Not found)")</f>
        <v>N/A (Not found)</v>
      </c>
      <c r="R4526" s="33">
        <f>IFERROR(__xludf.DUMMYFUNCTION("""COMPUTED_VALUE"""),0.5)</f>
        <v>0.5</v>
      </c>
      <c r="S4526" s="4" t="str">
        <f>IFERROR(__xludf.DUMMYFUNCTION("""COMPUTED_VALUE"""),"N/A (Not found)")</f>
        <v>N/A (Not found)</v>
      </c>
      <c r="T4526" s="33">
        <f>IFERROR(__xludf.DUMMYFUNCTION("""COMPUTED_VALUE"""),0.5)</f>
        <v>0.5</v>
      </c>
      <c r="U4526" s="4" t="str">
        <f>IFERROR(__xludf.DUMMYFUNCTION("""COMPUTED_VALUE"""),"N/A (Not found)")</f>
        <v>N/A (Not found)</v>
      </c>
      <c r="V4526" s="33">
        <f>IFERROR(__xludf.DUMMYFUNCTION("""COMPUTED_VALUE"""),0.5)</f>
        <v>0.5</v>
      </c>
      <c r="W4526" s="4" t="str">
        <f>IFERROR(__xludf.DUMMYFUNCTION("""COMPUTED_VALUE"""),"N/A (Not found)")</f>
        <v>N/A (Not found)</v>
      </c>
      <c r="X4526" s="33">
        <f>IFERROR(__xludf.DUMMYFUNCTION("""COMPUTED_VALUE"""),0.5)</f>
        <v>0.5</v>
      </c>
    </row>
    <row r="4527">
      <c r="K4527" s="4" t="str">
        <f>IFERROR(__xludf.DUMMYFUNCTION("""COMPUTED_VALUE"""),"DROGARIA REDE ECONOMIA")</f>
        <v>DROGARIA REDE ECONOMIA</v>
      </c>
      <c r="L4527" s="32">
        <f>IFERROR(__xludf.DUMMYFUNCTION("""COMPUTED_VALUE"""),2.0)</f>
        <v>2</v>
      </c>
      <c r="M4527" s="4" t="str">
        <f>IFERROR(__xludf.DUMMYFUNCTION("""COMPUTED_VALUE"""),"N/A (Not found)")</f>
        <v>N/A (Not found)</v>
      </c>
      <c r="N4527" s="33">
        <f>IFERROR(__xludf.DUMMYFUNCTION("""COMPUTED_VALUE"""),0.5)</f>
        <v>0.5</v>
      </c>
      <c r="O4527" s="4" t="str">
        <f>IFERROR(__xludf.DUMMYFUNCTION("""COMPUTED_VALUE"""),"N/A (Not found)")</f>
        <v>N/A (Not found)</v>
      </c>
      <c r="P4527" s="33">
        <f>IFERROR(__xludf.DUMMYFUNCTION("""COMPUTED_VALUE"""),0.5)</f>
        <v>0.5</v>
      </c>
      <c r="Q4527" s="4" t="str">
        <f>IFERROR(__xludf.DUMMYFUNCTION("""COMPUTED_VALUE"""),"N/A (Not found)")</f>
        <v>N/A (Not found)</v>
      </c>
      <c r="R4527" s="33">
        <f>IFERROR(__xludf.DUMMYFUNCTION("""COMPUTED_VALUE"""),0.5)</f>
        <v>0.5</v>
      </c>
      <c r="S4527" s="4" t="str">
        <f>IFERROR(__xludf.DUMMYFUNCTION("""COMPUTED_VALUE"""),"N/A (Not found)")</f>
        <v>N/A (Not found)</v>
      </c>
      <c r="T4527" s="33">
        <f>IFERROR(__xludf.DUMMYFUNCTION("""COMPUTED_VALUE"""),0.5)</f>
        <v>0.5</v>
      </c>
      <c r="U4527" s="4" t="str">
        <f>IFERROR(__xludf.DUMMYFUNCTION("""COMPUTED_VALUE"""),"N/A (Not found)")</f>
        <v>N/A (Not found)</v>
      </c>
      <c r="V4527" s="33">
        <f>IFERROR(__xludf.DUMMYFUNCTION("""COMPUTED_VALUE"""),0.5)</f>
        <v>0.5</v>
      </c>
      <c r="W4527" s="4" t="str">
        <f>IFERROR(__xludf.DUMMYFUNCTION("""COMPUTED_VALUE"""),"N/A (Not found)")</f>
        <v>N/A (Not found)</v>
      </c>
      <c r="X4527" s="33">
        <f>IFERROR(__xludf.DUMMYFUNCTION("""COMPUTED_VALUE"""),1.0)</f>
        <v>1</v>
      </c>
    </row>
    <row r="4528">
      <c r="K4528" s="4" t="str">
        <f>IFERROR(__xludf.DUMMYFUNCTION("""COMPUTED_VALUE"""),"DUOS PIZZARIA GOURMET")</f>
        <v>DUOS PIZZARIA GOURMET</v>
      </c>
      <c r="L4528" s="32">
        <f>IFERROR(__xludf.DUMMYFUNCTION("""COMPUTED_VALUE"""),2.0)</f>
        <v>2</v>
      </c>
      <c r="M4528" s="4" t="str">
        <f>IFERROR(__xludf.DUMMYFUNCTION("""COMPUTED_VALUE"""),"Mp Multipedidos")</f>
        <v>Mp Multipedidos</v>
      </c>
      <c r="N4528" s="33">
        <f>IFERROR(__xludf.DUMMYFUNCTION("""COMPUTED_VALUE"""),1.0)</f>
        <v>1</v>
      </c>
      <c r="O4528" s="4" t="str">
        <f>IFERROR(__xludf.DUMMYFUNCTION("""COMPUTED_VALUE"""),"Mp Multipedidos")</f>
        <v>Mp Multipedidos</v>
      </c>
      <c r="P4528" s="33">
        <f>IFERROR(__xludf.DUMMYFUNCTION("""COMPUTED_VALUE"""),1.0)</f>
        <v>1</v>
      </c>
      <c r="Q4528" s="4" t="str">
        <f>IFERROR(__xludf.DUMMYFUNCTION("""COMPUTED_VALUE"""),"Mp Multipedidos")</f>
        <v>Mp Multipedidos</v>
      </c>
      <c r="R4528" s="33">
        <f>IFERROR(__xludf.DUMMYFUNCTION("""COMPUTED_VALUE"""),1.0)</f>
        <v>1</v>
      </c>
      <c r="S4528" s="4" t="str">
        <f>IFERROR(__xludf.DUMMYFUNCTION("""COMPUTED_VALUE"""),"Mp Multipedidos")</f>
        <v>Mp Multipedidos</v>
      </c>
      <c r="T4528" s="33">
        <f>IFERROR(__xludf.DUMMYFUNCTION("""COMPUTED_VALUE"""),1.0)</f>
        <v>1</v>
      </c>
      <c r="U4528" s="4" t="str">
        <f>IFERROR(__xludf.DUMMYFUNCTION("""COMPUTED_VALUE"""),"Mp Multipedidos")</f>
        <v>Mp Multipedidos</v>
      </c>
      <c r="V4528" s="33">
        <f>IFERROR(__xludf.DUMMYFUNCTION("""COMPUTED_VALUE"""),1.0)</f>
        <v>1</v>
      </c>
      <c r="W4528" s="4" t="str">
        <f>IFERROR(__xludf.DUMMYFUNCTION("""COMPUTED_VALUE"""),"Mp Multipedidos")</f>
        <v>Mp Multipedidos</v>
      </c>
      <c r="X4528" s="33">
        <f>IFERROR(__xludf.DUMMYFUNCTION("""COMPUTED_VALUE"""),1.0)</f>
        <v>1</v>
      </c>
    </row>
    <row r="4529">
      <c r="K4529" s="4" t="str">
        <f>IFERROR(__xludf.DUMMYFUNCTION("""COMPUTED_VALUE"""),"DELICIAS DA MAMAE")</f>
        <v>DELICIAS DA MAMAE</v>
      </c>
      <c r="L4529" s="32">
        <f>IFERROR(__xludf.DUMMYFUNCTION("""COMPUTED_VALUE"""),2.0)</f>
        <v>2</v>
      </c>
      <c r="M4529" s="4" t="str">
        <f>IFERROR(__xludf.DUMMYFUNCTION("""COMPUTED_VALUE"""),"Olaclick")</f>
        <v>Olaclick</v>
      </c>
      <c r="N4529" s="33">
        <f>IFERROR(__xludf.DUMMYFUNCTION("""COMPUTED_VALUE"""),0.5)</f>
        <v>0.5</v>
      </c>
      <c r="O4529" s="4" t="str">
        <f>IFERROR(__xludf.DUMMYFUNCTION("""COMPUTED_VALUE"""),"Olaclick")</f>
        <v>Olaclick</v>
      </c>
      <c r="P4529" s="33">
        <f>IFERROR(__xludf.DUMMYFUNCTION("""COMPUTED_VALUE"""),0.5)</f>
        <v>0.5</v>
      </c>
      <c r="Q4529" s="4" t="str">
        <f>IFERROR(__xludf.DUMMYFUNCTION("""COMPUTED_VALUE"""),"Olaclick")</f>
        <v>Olaclick</v>
      </c>
      <c r="R4529" s="33">
        <f>IFERROR(__xludf.DUMMYFUNCTION("""COMPUTED_VALUE"""),0.5)</f>
        <v>0.5</v>
      </c>
      <c r="S4529" s="4" t="str">
        <f>IFERROR(__xludf.DUMMYFUNCTION("""COMPUTED_VALUE"""),"Olaclick")</f>
        <v>Olaclick</v>
      </c>
      <c r="T4529" s="33">
        <f>IFERROR(__xludf.DUMMYFUNCTION("""COMPUTED_VALUE"""),0.5)</f>
        <v>0.5</v>
      </c>
      <c r="U4529" s="4" t="str">
        <f>IFERROR(__xludf.DUMMYFUNCTION("""COMPUTED_VALUE"""),"Olaclick")</f>
        <v>Olaclick</v>
      </c>
      <c r="V4529" s="33">
        <f>IFERROR(__xludf.DUMMYFUNCTION("""COMPUTED_VALUE"""),0.5)</f>
        <v>0.5</v>
      </c>
      <c r="W4529" s="4" t="str">
        <f>IFERROR(__xludf.DUMMYFUNCTION("""COMPUTED_VALUE"""),"Olaclick")</f>
        <v>Olaclick</v>
      </c>
      <c r="X4529" s="33">
        <f>IFERROR(__xludf.DUMMYFUNCTION("""COMPUTED_VALUE"""),0.5)</f>
        <v>0.5</v>
      </c>
    </row>
    <row r="4530">
      <c r="K4530" s="4" t="str">
        <f>IFERROR(__xludf.DUMMYFUNCTION("""COMPUTED_VALUE"""),"ZAP ZAP LANCHES")</f>
        <v>ZAP ZAP LANCHES</v>
      </c>
      <c r="L4530" s="32">
        <f>IFERROR(__xludf.DUMMYFUNCTION("""COMPUTED_VALUE"""),2.0)</f>
        <v>2</v>
      </c>
      <c r="M4530" s="4" t="str">
        <f>IFERROR(__xludf.DUMMYFUNCTION("""COMPUTED_VALUE"""),"Cardápio Web")</f>
        <v>Cardápio Web</v>
      </c>
      <c r="N4530" s="33">
        <f>IFERROR(__xludf.DUMMYFUNCTION("""COMPUTED_VALUE"""),0.5)</f>
        <v>0.5</v>
      </c>
      <c r="O4530" s="4" t="str">
        <f>IFERROR(__xludf.DUMMYFUNCTION("""COMPUTED_VALUE"""),"Cardápio Web")</f>
        <v>Cardápio Web</v>
      </c>
      <c r="P4530" s="33">
        <f>IFERROR(__xludf.DUMMYFUNCTION("""COMPUTED_VALUE"""),0.5)</f>
        <v>0.5</v>
      </c>
      <c r="Q4530" s="4" t="str">
        <f>IFERROR(__xludf.DUMMYFUNCTION("""COMPUTED_VALUE"""),"Cardápio Web")</f>
        <v>Cardápio Web</v>
      </c>
      <c r="R4530" s="33">
        <f>IFERROR(__xludf.DUMMYFUNCTION("""COMPUTED_VALUE"""),0.5)</f>
        <v>0.5</v>
      </c>
      <c r="S4530" s="4" t="str">
        <f>IFERROR(__xludf.DUMMYFUNCTION("""COMPUTED_VALUE"""),"Cardápio Web")</f>
        <v>Cardápio Web</v>
      </c>
      <c r="T4530" s="33">
        <f>IFERROR(__xludf.DUMMYFUNCTION("""COMPUTED_VALUE"""),0.5)</f>
        <v>0.5</v>
      </c>
      <c r="U4530" s="4" t="str">
        <f>IFERROR(__xludf.DUMMYFUNCTION("""COMPUTED_VALUE"""),"Cardápio Web")</f>
        <v>Cardápio Web</v>
      </c>
      <c r="V4530" s="33">
        <f>IFERROR(__xludf.DUMMYFUNCTION("""COMPUTED_VALUE"""),0.5)</f>
        <v>0.5</v>
      </c>
      <c r="W4530" s="4" t="str">
        <f>IFERROR(__xludf.DUMMYFUNCTION("""COMPUTED_VALUE"""),"Cardápio Web")</f>
        <v>Cardápio Web</v>
      </c>
      <c r="X4530" s="33">
        <f>IFERROR(__xludf.DUMMYFUNCTION("""COMPUTED_VALUE"""),0.5)</f>
        <v>0.5</v>
      </c>
    </row>
    <row r="4531">
      <c r="K4531" s="4" t="str">
        <f>IFERROR(__xludf.DUMMYFUNCTION("""COMPUTED_VALUE"""),"HOT HOLL TEMAKI EMPANADO")</f>
        <v>HOT HOLL TEMAKI EMPANADO</v>
      </c>
      <c r="L4531" s="32">
        <f>IFERROR(__xludf.DUMMYFUNCTION("""COMPUTED_VALUE"""),2.0)</f>
        <v>2</v>
      </c>
      <c r="M4531" s="4" t="str">
        <f>IFERROR(__xludf.DUMMYFUNCTION("""COMPUTED_VALUE"""),"Ncr")</f>
        <v>Ncr</v>
      </c>
      <c r="N4531" s="33">
        <f>IFERROR(__xludf.DUMMYFUNCTION("""COMPUTED_VALUE"""),1.0)</f>
        <v>1</v>
      </c>
      <c r="O4531" s="4" t="str">
        <f>IFERROR(__xludf.DUMMYFUNCTION("""COMPUTED_VALUE"""),"null")</f>
        <v>null</v>
      </c>
      <c r="P4531" s="33">
        <f>IFERROR(__xludf.DUMMYFUNCTION("""COMPUTED_VALUE"""),0.5)</f>
        <v>0.5</v>
      </c>
      <c r="Q4531" s="4" t="str">
        <f>IFERROR(__xludf.DUMMYFUNCTION("""COMPUTED_VALUE"""),"null")</f>
        <v>null</v>
      </c>
      <c r="R4531" s="33">
        <f>IFERROR(__xludf.DUMMYFUNCTION("""COMPUTED_VALUE"""),0.5)</f>
        <v>0.5</v>
      </c>
      <c r="S4531" s="4" t="str">
        <f>IFERROR(__xludf.DUMMYFUNCTION("""COMPUTED_VALUE"""),"null")</f>
        <v>null</v>
      </c>
      <c r="T4531" s="33">
        <f>IFERROR(__xludf.DUMMYFUNCTION("""COMPUTED_VALUE"""),0.5)</f>
        <v>0.5</v>
      </c>
      <c r="U4531" s="4" t="str">
        <f>IFERROR(__xludf.DUMMYFUNCTION("""COMPUTED_VALUE"""),"null")</f>
        <v>null</v>
      </c>
      <c r="V4531" s="33">
        <f>IFERROR(__xludf.DUMMYFUNCTION("""COMPUTED_VALUE"""),1.0)</f>
        <v>1</v>
      </c>
      <c r="W4531" s="4" t="str">
        <f>IFERROR(__xludf.DUMMYFUNCTION("""COMPUTED_VALUE"""),"null")</f>
        <v>null</v>
      </c>
      <c r="X4531" s="33">
        <f>IFERROR(__xludf.DUMMYFUNCTION("""COMPUTED_VALUE"""),1.0)</f>
        <v>1</v>
      </c>
    </row>
    <row r="4532">
      <c r="K4532" s="4" t="str">
        <f>IFERROR(__xludf.DUMMYFUNCTION("""COMPUTED_VALUE"""),"ACAI DA MARI")</f>
        <v>ACAI DA MARI</v>
      </c>
      <c r="L4532" s="32">
        <f>IFERROR(__xludf.DUMMYFUNCTION("""COMPUTED_VALUE"""),2.0)</f>
        <v>2</v>
      </c>
      <c r="M4532" s="4" t="str">
        <f>IFERROR(__xludf.DUMMYFUNCTION("""COMPUTED_VALUE"""),"null")</f>
        <v>null</v>
      </c>
      <c r="N4532" s="33">
        <f>IFERROR(__xludf.DUMMYFUNCTION("""COMPUTED_VALUE"""),1.0)</f>
        <v>1</v>
      </c>
      <c r="O4532" s="4" t="str">
        <f>IFERROR(__xludf.DUMMYFUNCTION("""COMPUTED_VALUE"""),"null")</f>
        <v>null</v>
      </c>
      <c r="P4532" s="33">
        <f>IFERROR(__xludf.DUMMYFUNCTION("""COMPUTED_VALUE"""),1.0)</f>
        <v>1</v>
      </c>
      <c r="Q4532" s="4" t="str">
        <f>IFERROR(__xludf.DUMMYFUNCTION("""COMPUTED_VALUE"""),"null")</f>
        <v>null</v>
      </c>
      <c r="R4532" s="33">
        <f>IFERROR(__xludf.DUMMYFUNCTION("""COMPUTED_VALUE"""),1.0)</f>
        <v>1</v>
      </c>
      <c r="S4532" s="4" t="str">
        <f>IFERROR(__xludf.DUMMYFUNCTION("""COMPUTED_VALUE"""),"null")</f>
        <v>null</v>
      </c>
      <c r="T4532" s="33">
        <f>IFERROR(__xludf.DUMMYFUNCTION("""COMPUTED_VALUE"""),0.5)</f>
        <v>0.5</v>
      </c>
      <c r="U4532" s="4" t="str">
        <f>IFERROR(__xludf.DUMMYFUNCTION("""COMPUTED_VALUE"""),"Instadelivery")</f>
        <v>Instadelivery</v>
      </c>
      <c r="V4532" s="33">
        <f>IFERROR(__xludf.DUMMYFUNCTION("""COMPUTED_VALUE"""),0.5)</f>
        <v>0.5</v>
      </c>
      <c r="W4532" s="4" t="str">
        <f>IFERROR(__xludf.DUMMYFUNCTION("""COMPUTED_VALUE"""),"Instadelivery")</f>
        <v>Instadelivery</v>
      </c>
      <c r="X4532" s="33">
        <f>IFERROR(__xludf.DUMMYFUNCTION("""COMPUTED_VALUE"""),0.5)</f>
        <v>0.5</v>
      </c>
    </row>
    <row r="4533">
      <c r="K4533" s="4" t="str">
        <f>IFERROR(__xludf.DUMMYFUNCTION("""COMPUTED_VALUE"""),"RESTO PRIME PIZZARIA")</f>
        <v>RESTO PRIME PIZZARIA</v>
      </c>
      <c r="L4533" s="32">
        <f>IFERROR(__xludf.DUMMYFUNCTION("""COMPUTED_VALUE"""),2.0)</f>
        <v>2</v>
      </c>
      <c r="M4533" s="4" t="str">
        <f>IFERROR(__xludf.DUMMYFUNCTION("""COMPUTED_VALUE"""),"Anota Ai Solucoes Digitais S/a")</f>
        <v>Anota Ai Solucoes Digitais S/a</v>
      </c>
      <c r="N4533" s="33">
        <f>IFERROR(__xludf.DUMMYFUNCTION("""COMPUTED_VALUE"""),1.0)</f>
        <v>1</v>
      </c>
      <c r="O4533" s="4" t="str">
        <f>IFERROR(__xludf.DUMMYFUNCTION("""COMPUTED_VALUE"""),"Anota Ai Solucoes Digitais S/a")</f>
        <v>Anota Ai Solucoes Digitais S/a</v>
      </c>
      <c r="P4533" s="33">
        <f>IFERROR(__xludf.DUMMYFUNCTION("""COMPUTED_VALUE"""),0.5)</f>
        <v>0.5</v>
      </c>
      <c r="Q4533" s="4" t="str">
        <f>IFERROR(__xludf.DUMMYFUNCTION("""COMPUTED_VALUE"""),"Anota Ai Solucoes Digitais S/a")</f>
        <v>Anota Ai Solucoes Digitais S/a</v>
      </c>
      <c r="R4533" s="33">
        <f>IFERROR(__xludf.DUMMYFUNCTION("""COMPUTED_VALUE"""),0.5)</f>
        <v>0.5</v>
      </c>
      <c r="S4533" s="4" t="str">
        <f>IFERROR(__xludf.DUMMYFUNCTION("""COMPUTED_VALUE"""),"Anota Ai Solucoes Digitais S/a")</f>
        <v>Anota Ai Solucoes Digitais S/a</v>
      </c>
      <c r="T4533" s="33">
        <f>IFERROR(__xludf.DUMMYFUNCTION("""COMPUTED_VALUE"""),0.5)</f>
        <v>0.5</v>
      </c>
      <c r="U4533" s="4" t="str">
        <f>IFERROR(__xludf.DUMMYFUNCTION("""COMPUTED_VALUE"""),"Anota Ai Solucoes Digitais S/a")</f>
        <v>Anota Ai Solucoes Digitais S/a</v>
      </c>
      <c r="V4533" s="33">
        <f>IFERROR(__xludf.DUMMYFUNCTION("""COMPUTED_VALUE"""),0.5)</f>
        <v>0.5</v>
      </c>
      <c r="W4533" s="4" t="str">
        <f>IFERROR(__xludf.DUMMYFUNCTION("""COMPUTED_VALUE"""),"Anota Ai Solucoes Digitais S/a")</f>
        <v>Anota Ai Solucoes Digitais S/a</v>
      </c>
      <c r="X4533" s="33">
        <f>IFERROR(__xludf.DUMMYFUNCTION("""COMPUTED_VALUE"""),0.5)</f>
        <v>0.5</v>
      </c>
    </row>
    <row r="4534">
      <c r="K4534" s="4" t="str">
        <f>IFERROR(__xludf.DUMMYFUNCTION("""COMPUTED_VALUE"""),"SENHOR PIMENTA BURGUER")</f>
        <v>SENHOR PIMENTA BURGUER</v>
      </c>
      <c r="L4534" s="32">
        <f>IFERROR(__xludf.DUMMYFUNCTION("""COMPUTED_VALUE"""),2.0)</f>
        <v>2</v>
      </c>
      <c r="M4534" s="4" t="str">
        <f>IFERROR(__xludf.DUMMYFUNCTION("""COMPUTED_VALUE"""),"Saipos Serviços De Software")</f>
        <v>Saipos Serviços De Software</v>
      </c>
      <c r="N4534" s="33">
        <f>IFERROR(__xludf.DUMMYFUNCTION("""COMPUTED_VALUE"""),1.0)</f>
        <v>1</v>
      </c>
      <c r="O4534" s="4" t="str">
        <f>IFERROR(__xludf.DUMMYFUNCTION("""COMPUTED_VALUE"""),"Saipos Serviços De Software")</f>
        <v>Saipos Serviços De Software</v>
      </c>
      <c r="P4534" s="33">
        <f>IFERROR(__xludf.DUMMYFUNCTION("""COMPUTED_VALUE"""),0.5)</f>
        <v>0.5</v>
      </c>
      <c r="Q4534" s="4" t="str">
        <f>IFERROR(__xludf.DUMMYFUNCTION("""COMPUTED_VALUE"""),"Suitable Tecnologia E Gestao")</f>
        <v>Suitable Tecnologia E Gestao</v>
      </c>
      <c r="R4534" s="33">
        <f>IFERROR(__xludf.DUMMYFUNCTION("""COMPUTED_VALUE"""),0.5)</f>
        <v>0.5</v>
      </c>
      <c r="S4534" s="4" t="str">
        <f>IFERROR(__xludf.DUMMYFUNCTION("""COMPUTED_VALUE"""),"Suitable Tecnologia E Gestao")</f>
        <v>Suitable Tecnologia E Gestao</v>
      </c>
      <c r="T4534" s="33">
        <f>IFERROR(__xludf.DUMMYFUNCTION("""COMPUTED_VALUE"""),0.5)</f>
        <v>0.5</v>
      </c>
      <c r="U4534" s="4" t="str">
        <f>IFERROR(__xludf.DUMMYFUNCTION("""COMPUTED_VALUE"""),"Suitable Tecnologia E Gestao")</f>
        <v>Suitable Tecnologia E Gestao</v>
      </c>
      <c r="V4534" s="33">
        <f>IFERROR(__xludf.DUMMYFUNCTION("""COMPUTED_VALUE"""),0.5)</f>
        <v>0.5</v>
      </c>
      <c r="W4534" s="4" t="str">
        <f>IFERROR(__xludf.DUMMYFUNCTION("""COMPUTED_VALUE"""),"Suitable Tecnologia E Gestao")</f>
        <v>Suitable Tecnologia E Gestao</v>
      </c>
      <c r="X4534" s="33">
        <f>IFERROR(__xludf.DUMMYFUNCTION("""COMPUTED_VALUE"""),0.5)</f>
        <v>0.5</v>
      </c>
    </row>
    <row r="4535">
      <c r="K4535" s="4" t="str">
        <f>IFERROR(__xludf.DUMMYFUNCTION("""COMPUTED_VALUE"""),"BORA SUSHI")</f>
        <v>BORA SUSHI</v>
      </c>
      <c r="L4535" s="32">
        <f>IFERROR(__xludf.DUMMYFUNCTION("""COMPUTED_VALUE"""),2.0)</f>
        <v>2</v>
      </c>
      <c r="M4535" s="4" t="str">
        <f>IFERROR(__xludf.DUMMYFUNCTION("""COMPUTED_VALUE"""),"null")</f>
        <v>null</v>
      </c>
      <c r="N4535" s="33">
        <f>IFERROR(__xludf.DUMMYFUNCTION("""COMPUTED_VALUE"""),0.5)</f>
        <v>0.5</v>
      </c>
      <c r="O4535" s="4" t="str">
        <f>IFERROR(__xludf.DUMMYFUNCTION("""COMPUTED_VALUE"""),"null")</f>
        <v>null</v>
      </c>
      <c r="P4535" s="33">
        <f>IFERROR(__xludf.DUMMYFUNCTION("""COMPUTED_VALUE"""),0.5)</f>
        <v>0.5</v>
      </c>
      <c r="Q4535" s="4" t="str">
        <f>IFERROR(__xludf.DUMMYFUNCTION("""COMPUTED_VALUE"""),"null")</f>
        <v>null</v>
      </c>
      <c r="R4535" s="33">
        <f>IFERROR(__xludf.DUMMYFUNCTION("""COMPUTED_VALUE"""),1.0)</f>
        <v>1</v>
      </c>
      <c r="S4535" s="4" t="str">
        <f>IFERROR(__xludf.DUMMYFUNCTION("""COMPUTED_VALUE"""),"Anota Ai Solucoes Digitais S/a")</f>
        <v>Anota Ai Solucoes Digitais S/a</v>
      </c>
      <c r="T4535" s="33">
        <f>IFERROR(__xludf.DUMMYFUNCTION("""COMPUTED_VALUE"""),1.0)</f>
        <v>1</v>
      </c>
      <c r="U4535" s="4" t="str">
        <f>IFERROR(__xludf.DUMMYFUNCTION("""COMPUTED_VALUE"""),"Anota Ai Solucoes Digitais S/a")</f>
        <v>Anota Ai Solucoes Digitais S/a</v>
      </c>
      <c r="V4535" s="33">
        <f>IFERROR(__xludf.DUMMYFUNCTION("""COMPUTED_VALUE"""),1.0)</f>
        <v>1</v>
      </c>
      <c r="W4535" s="4" t="str">
        <f>IFERROR(__xludf.DUMMYFUNCTION("""COMPUTED_VALUE"""),"null")</f>
        <v>null</v>
      </c>
      <c r="X4535" s="33">
        <f>IFERROR(__xludf.DUMMYFUNCTION("""COMPUTED_VALUE"""),0.5)</f>
        <v>0.5</v>
      </c>
    </row>
    <row r="4536">
      <c r="K4536" s="4" t="str">
        <f>IFERROR(__xludf.DUMMYFUNCTION("""COMPUTED_VALUE"""),"BB BURGER")</f>
        <v>BB BURGER</v>
      </c>
      <c r="L4536" s="32">
        <f>IFERROR(__xludf.DUMMYFUNCTION("""COMPUTED_VALUE"""),2.0)</f>
        <v>2</v>
      </c>
      <c r="M4536" s="4" t="str">
        <f>IFERROR(__xludf.DUMMYFUNCTION("""COMPUTED_VALUE"""),"Consumer Soluções Em Tecnologia Ltda")</f>
        <v>Consumer Soluções Em Tecnologia Ltda</v>
      </c>
      <c r="N4536" s="33">
        <f>IFERROR(__xludf.DUMMYFUNCTION("""COMPUTED_VALUE"""),0.5)</f>
        <v>0.5</v>
      </c>
      <c r="O4536" s="4" t="str">
        <f>IFERROR(__xludf.DUMMYFUNCTION("""COMPUTED_VALUE"""),"Consumer Soluções Em Tecnologia Ltda")</f>
        <v>Consumer Soluções Em Tecnologia Ltda</v>
      </c>
      <c r="P4536" s="33">
        <f>IFERROR(__xludf.DUMMYFUNCTION("""COMPUTED_VALUE"""),0.5)</f>
        <v>0.5</v>
      </c>
      <c r="Q4536" s="4" t="str">
        <f>IFERROR(__xludf.DUMMYFUNCTION("""COMPUTED_VALUE"""),"Consumer Soluções Em Tecnologia Ltda")</f>
        <v>Consumer Soluções Em Tecnologia Ltda</v>
      </c>
      <c r="R4536" s="33">
        <f>IFERROR(__xludf.DUMMYFUNCTION("""COMPUTED_VALUE"""),0.5)</f>
        <v>0.5</v>
      </c>
      <c r="S4536" s="4" t="str">
        <f>IFERROR(__xludf.DUMMYFUNCTION("""COMPUTED_VALUE"""),"Consumer Soluções Em Tecnologia Ltda")</f>
        <v>Consumer Soluções Em Tecnologia Ltda</v>
      </c>
      <c r="T4536" s="33">
        <f>IFERROR(__xludf.DUMMYFUNCTION("""COMPUTED_VALUE"""),0.5)</f>
        <v>0.5</v>
      </c>
      <c r="U4536" s="4" t="str">
        <f>IFERROR(__xludf.DUMMYFUNCTION("""COMPUTED_VALUE"""),"null")</f>
        <v>null</v>
      </c>
      <c r="V4536" s="33">
        <f>IFERROR(__xludf.DUMMYFUNCTION("""COMPUTED_VALUE"""),0.5)</f>
        <v>0.5</v>
      </c>
      <c r="W4536" s="4" t="str">
        <f>IFERROR(__xludf.DUMMYFUNCTION("""COMPUTED_VALUE"""),"null")</f>
        <v>null</v>
      </c>
      <c r="X4536" s="33">
        <f>IFERROR(__xludf.DUMMYFUNCTION("""COMPUTED_VALUE"""),0.5)</f>
        <v>0.5</v>
      </c>
    </row>
    <row r="4537">
      <c r="K4537" s="4" t="str">
        <f>IFERROR(__xludf.DUMMYFUNCTION("""COMPUTED_VALUE"""),"CAMARGO SORVETES")</f>
        <v>CAMARGO SORVETES</v>
      </c>
      <c r="L4537" s="32">
        <f>IFERROR(__xludf.DUMMYFUNCTION("""COMPUTED_VALUE"""),2.0)</f>
        <v>2</v>
      </c>
      <c r="M4537" s="4" t="str">
        <f>IFERROR(__xludf.DUMMYFUNCTION("""COMPUTED_VALUE"""),"null")</f>
        <v>null</v>
      </c>
      <c r="N4537" s="33">
        <f>IFERROR(__xludf.DUMMYFUNCTION("""COMPUTED_VALUE"""),1.0)</f>
        <v>1</v>
      </c>
      <c r="O4537" s="4" t="str">
        <f>IFERROR(__xludf.DUMMYFUNCTION("""COMPUTED_VALUE"""),"null")</f>
        <v>null</v>
      </c>
      <c r="P4537" s="33">
        <f>IFERROR(__xludf.DUMMYFUNCTION("""COMPUTED_VALUE"""),1.0)</f>
        <v>1</v>
      </c>
      <c r="Q4537" s="4" t="str">
        <f>IFERROR(__xludf.DUMMYFUNCTION("""COMPUTED_VALUE"""),"null")</f>
        <v>null</v>
      </c>
      <c r="R4537" s="33">
        <f>IFERROR(__xludf.DUMMYFUNCTION("""COMPUTED_VALUE"""),1.0)</f>
        <v>1</v>
      </c>
      <c r="S4537" s="4" t="str">
        <f>IFERROR(__xludf.DUMMYFUNCTION("""COMPUTED_VALUE"""),"Anota Ai Solucoes Digitais S/a")</f>
        <v>Anota Ai Solucoes Digitais S/a</v>
      </c>
      <c r="T4537" s="33">
        <f>IFERROR(__xludf.DUMMYFUNCTION("""COMPUTED_VALUE"""),0.5)</f>
        <v>0.5</v>
      </c>
      <c r="U4537" s="4" t="str">
        <f>IFERROR(__xludf.DUMMYFUNCTION("""COMPUTED_VALUE"""),"Anota Ai Solucoes Digitais S/a")</f>
        <v>Anota Ai Solucoes Digitais S/a</v>
      </c>
      <c r="V4537" s="33">
        <f>IFERROR(__xludf.DUMMYFUNCTION("""COMPUTED_VALUE"""),0.5)</f>
        <v>0.5</v>
      </c>
      <c r="W4537" s="4" t="str">
        <f>IFERROR(__xludf.DUMMYFUNCTION("""COMPUTED_VALUE"""),"null")</f>
        <v>null</v>
      </c>
      <c r="X4537" s="33">
        <f>IFERROR(__xludf.DUMMYFUNCTION("""COMPUTED_VALUE"""),0.5)</f>
        <v>0.5</v>
      </c>
    </row>
    <row r="4538">
      <c r="K4538" s="4" t="str">
        <f>IFERROR(__xludf.DUMMYFUNCTION("""COMPUTED_VALUE"""),"SENHOR BURGER")</f>
        <v>SENHOR BURGER</v>
      </c>
      <c r="L4538" s="32">
        <f>IFERROR(__xludf.DUMMYFUNCTION("""COMPUTED_VALUE"""),2.0)</f>
        <v>2</v>
      </c>
      <c r="M4538" s="4" t="str">
        <f>IFERROR(__xludf.DUMMYFUNCTION("""COMPUTED_VALUE"""),"null")</f>
        <v>null</v>
      </c>
      <c r="N4538" s="33">
        <f>IFERROR(__xludf.DUMMYFUNCTION("""COMPUTED_VALUE"""),0.5)</f>
        <v>0.5</v>
      </c>
      <c r="O4538" s="4" t="str">
        <f>IFERROR(__xludf.DUMMYFUNCTION("""COMPUTED_VALUE"""),"null")</f>
        <v>null</v>
      </c>
      <c r="P4538" s="33">
        <f>IFERROR(__xludf.DUMMYFUNCTION("""COMPUTED_VALUE"""),1.0)</f>
        <v>1</v>
      </c>
      <c r="Q4538" s="4" t="str">
        <f>IFERROR(__xludf.DUMMYFUNCTION("""COMPUTED_VALUE"""),"null")</f>
        <v>null</v>
      </c>
      <c r="R4538" s="33">
        <f>IFERROR(__xludf.DUMMYFUNCTION("""COMPUTED_VALUE"""),0.5)</f>
        <v>0.5</v>
      </c>
      <c r="S4538" s="4" t="str">
        <f>IFERROR(__xludf.DUMMYFUNCTION("""COMPUTED_VALUE"""),"null")</f>
        <v>null</v>
      </c>
      <c r="T4538" s="33">
        <f>IFERROR(__xludf.DUMMYFUNCTION("""COMPUTED_VALUE"""),1.0)</f>
        <v>1</v>
      </c>
      <c r="U4538" s="4" t="str">
        <f>IFERROR(__xludf.DUMMYFUNCTION("""COMPUTED_VALUE"""),"Cardápio Web")</f>
        <v>Cardápio Web</v>
      </c>
      <c r="V4538" s="33">
        <f>IFERROR(__xludf.DUMMYFUNCTION("""COMPUTED_VALUE"""),0.5)</f>
        <v>0.5</v>
      </c>
      <c r="W4538" s="4" t="str">
        <f>IFERROR(__xludf.DUMMYFUNCTION("""COMPUTED_VALUE"""),"null")</f>
        <v>null</v>
      </c>
      <c r="X4538" s="33">
        <f>IFERROR(__xludf.DUMMYFUNCTION("""COMPUTED_VALUE"""),0.5)</f>
        <v>0.5</v>
      </c>
    </row>
    <row r="4539">
      <c r="K4539" s="4" t="str">
        <f>IFERROR(__xludf.DUMMYFUNCTION("""COMPUTED_VALUE"""),"MARMITANDO")</f>
        <v>MARMITANDO</v>
      </c>
      <c r="L4539" s="32">
        <f>IFERROR(__xludf.DUMMYFUNCTION("""COMPUTED_VALUE"""),2.0)</f>
        <v>2</v>
      </c>
      <c r="M4539" s="4" t="str">
        <f>IFERROR(__xludf.DUMMYFUNCTION("""COMPUTED_VALUE"""),"null")</f>
        <v>null</v>
      </c>
      <c r="N4539" s="33">
        <f>IFERROR(__xludf.DUMMYFUNCTION("""COMPUTED_VALUE"""),1.0)</f>
        <v>1</v>
      </c>
      <c r="O4539" s="4" t="str">
        <f>IFERROR(__xludf.DUMMYFUNCTION("""COMPUTED_VALUE"""),"null")</f>
        <v>null</v>
      </c>
      <c r="P4539" s="33">
        <f>IFERROR(__xludf.DUMMYFUNCTION("""COMPUTED_VALUE"""),1.0)</f>
        <v>1</v>
      </c>
      <c r="Q4539" s="4" t="str">
        <f>IFERROR(__xludf.DUMMYFUNCTION("""COMPUTED_VALUE"""),"null")</f>
        <v>null</v>
      </c>
      <c r="R4539" s="33">
        <f>IFERROR(__xludf.DUMMYFUNCTION("""COMPUTED_VALUE"""),1.0)</f>
        <v>1</v>
      </c>
      <c r="S4539" s="4" t="str">
        <f>IFERROR(__xludf.DUMMYFUNCTION("""COMPUTED_VALUE"""),"Saipos Serviços De Software")</f>
        <v>Saipos Serviços De Software</v>
      </c>
      <c r="T4539" s="33">
        <f>IFERROR(__xludf.DUMMYFUNCTION("""COMPUTED_VALUE"""),0.5)</f>
        <v>0.5</v>
      </c>
      <c r="U4539" s="4" t="str">
        <f>IFERROR(__xludf.DUMMYFUNCTION("""COMPUTED_VALUE"""),"Saipos Serviços De Software")</f>
        <v>Saipos Serviços De Software</v>
      </c>
      <c r="V4539" s="33">
        <f>IFERROR(__xludf.DUMMYFUNCTION("""COMPUTED_VALUE"""),0.5)</f>
        <v>0.5</v>
      </c>
      <c r="W4539" s="4" t="str">
        <f>IFERROR(__xludf.DUMMYFUNCTION("""COMPUTED_VALUE"""),"null")</f>
        <v>null</v>
      </c>
      <c r="X4539" s="33">
        <f>IFERROR(__xludf.DUMMYFUNCTION("""COMPUTED_VALUE"""),1.0)</f>
        <v>1</v>
      </c>
    </row>
    <row r="4540">
      <c r="K4540" s="4" t="str">
        <f>IFERROR(__xludf.DUMMYFUNCTION("""COMPUTED_VALUE"""),"EMPORIO DO TELES")</f>
        <v>EMPORIO DO TELES</v>
      </c>
      <c r="L4540" s="32">
        <f>IFERROR(__xludf.DUMMYFUNCTION("""COMPUTED_VALUE"""),2.0)</f>
        <v>2</v>
      </c>
      <c r="M4540" s="4" t="str">
        <f>IFERROR(__xludf.DUMMYFUNCTION("""COMPUTED_VALUE"""),"null")</f>
        <v>null</v>
      </c>
      <c r="N4540" s="33">
        <f>IFERROR(__xludf.DUMMYFUNCTION("""COMPUTED_VALUE"""),1.0)</f>
        <v>1</v>
      </c>
      <c r="O4540" s="4" t="str">
        <f>IFERROR(__xludf.DUMMYFUNCTION("""COMPUTED_VALUE"""),"null")</f>
        <v>null</v>
      </c>
      <c r="P4540" s="33">
        <f>IFERROR(__xludf.DUMMYFUNCTION("""COMPUTED_VALUE"""),1.0)</f>
        <v>1</v>
      </c>
      <c r="Q4540" s="4" t="str">
        <f>IFERROR(__xludf.DUMMYFUNCTION("""COMPUTED_VALUE"""),"null")</f>
        <v>null</v>
      </c>
      <c r="R4540" s="33">
        <f>IFERROR(__xludf.DUMMYFUNCTION("""COMPUTED_VALUE"""),1.0)</f>
        <v>1</v>
      </c>
      <c r="S4540" s="4" t="str">
        <f>IFERROR(__xludf.DUMMYFUNCTION("""COMPUTED_VALUE"""),"null")</f>
        <v>null</v>
      </c>
      <c r="T4540" s="33">
        <f>IFERROR(__xludf.DUMMYFUNCTION("""COMPUTED_VALUE"""),1.0)</f>
        <v>1</v>
      </c>
      <c r="U4540" s="4" t="str">
        <f>IFERROR(__xludf.DUMMYFUNCTION("""COMPUTED_VALUE"""),"Saipos Serviços De Software")</f>
        <v>Saipos Serviços De Software</v>
      </c>
      <c r="V4540" s="33">
        <f>IFERROR(__xludf.DUMMYFUNCTION("""COMPUTED_VALUE"""),1.0)</f>
        <v>1</v>
      </c>
      <c r="W4540" s="4" t="str">
        <f>IFERROR(__xludf.DUMMYFUNCTION("""COMPUTED_VALUE"""),"Saipos Serviços De Software")</f>
        <v>Saipos Serviços De Software</v>
      </c>
      <c r="X4540" s="33">
        <f>IFERROR(__xludf.DUMMYFUNCTION("""COMPUTED_VALUE"""),1.0)</f>
        <v>1</v>
      </c>
    </row>
    <row r="4541">
      <c r="K4541" s="4" t="str">
        <f>IFERROR(__xludf.DUMMYFUNCTION("""COMPUTED_VALUE"""),"MEU CANTINHO ACAI")</f>
        <v>MEU CANTINHO ACAI</v>
      </c>
      <c r="L4541" s="32">
        <f>IFERROR(__xludf.DUMMYFUNCTION("""COMPUTED_VALUE"""),2.0)</f>
        <v>2</v>
      </c>
      <c r="M4541" s="4" t="str">
        <f>IFERROR(__xludf.DUMMYFUNCTION("""COMPUTED_VALUE"""),"Cardápio Web")</f>
        <v>Cardápio Web</v>
      </c>
      <c r="N4541" s="33">
        <f>IFERROR(__xludf.DUMMYFUNCTION("""COMPUTED_VALUE"""),1.0)</f>
        <v>1</v>
      </c>
      <c r="O4541" s="4" t="str">
        <f>IFERROR(__xludf.DUMMYFUNCTION("""COMPUTED_VALUE"""),"Cardápio Web")</f>
        <v>Cardápio Web</v>
      </c>
      <c r="P4541" s="33">
        <f>IFERROR(__xludf.DUMMYFUNCTION("""COMPUTED_VALUE"""),1.0)</f>
        <v>1</v>
      </c>
      <c r="Q4541" s="4" t="str">
        <f>IFERROR(__xludf.DUMMYFUNCTION("""COMPUTED_VALUE"""),"Cardápio Web")</f>
        <v>Cardápio Web</v>
      </c>
      <c r="R4541" s="33">
        <f>IFERROR(__xludf.DUMMYFUNCTION("""COMPUTED_VALUE"""),1.0)</f>
        <v>1</v>
      </c>
      <c r="S4541" s="4" t="str">
        <f>IFERROR(__xludf.DUMMYFUNCTION("""COMPUTED_VALUE"""),"Cardápio Web")</f>
        <v>Cardápio Web</v>
      </c>
      <c r="T4541" s="33">
        <f>IFERROR(__xludf.DUMMYFUNCTION("""COMPUTED_VALUE"""),1.0)</f>
        <v>1</v>
      </c>
      <c r="U4541" s="4" t="str">
        <f>IFERROR(__xludf.DUMMYFUNCTION("""COMPUTED_VALUE"""),"Cardápio Web")</f>
        <v>Cardápio Web</v>
      </c>
      <c r="V4541" s="33">
        <f>IFERROR(__xludf.DUMMYFUNCTION("""COMPUTED_VALUE"""),1.0)</f>
        <v>1</v>
      </c>
      <c r="W4541" s="4" t="str">
        <f>IFERROR(__xludf.DUMMYFUNCTION("""COMPUTED_VALUE"""),"Cardápio Web")</f>
        <v>Cardápio Web</v>
      </c>
      <c r="X4541" s="33">
        <f>IFERROR(__xludf.DUMMYFUNCTION("""COMPUTED_VALUE"""),1.0)</f>
        <v>1</v>
      </c>
    </row>
    <row r="4542">
      <c r="K4542" s="4" t="str">
        <f>IFERROR(__xludf.DUMMYFUNCTION("""COMPUTED_VALUE"""),"TATA LANCHES")</f>
        <v>TATA LANCHES</v>
      </c>
      <c r="L4542" s="32">
        <f>IFERROR(__xludf.DUMMYFUNCTION("""COMPUTED_VALUE"""),2.0)</f>
        <v>2</v>
      </c>
      <c r="M4542" s="4" t="str">
        <f>IFERROR(__xludf.DUMMYFUNCTION("""COMPUTED_VALUE"""),"Naja Software")</f>
        <v>Naja Software</v>
      </c>
      <c r="N4542" s="33">
        <f>IFERROR(__xludf.DUMMYFUNCTION("""COMPUTED_VALUE"""),0.5)</f>
        <v>0.5</v>
      </c>
      <c r="O4542" s="4" t="str">
        <f>IFERROR(__xludf.DUMMYFUNCTION("""COMPUTED_VALUE"""),"null")</f>
        <v>null</v>
      </c>
      <c r="P4542" s="33">
        <f>IFERROR(__xludf.DUMMYFUNCTION("""COMPUTED_VALUE"""),0.5)</f>
        <v>0.5</v>
      </c>
      <c r="Q4542" s="4" t="str">
        <f>IFERROR(__xludf.DUMMYFUNCTION("""COMPUTED_VALUE"""),"null")</f>
        <v>null</v>
      </c>
      <c r="R4542" s="33">
        <f>IFERROR(__xludf.DUMMYFUNCTION("""COMPUTED_VALUE"""),0.5)</f>
        <v>0.5</v>
      </c>
      <c r="S4542" s="4" t="str">
        <f>IFERROR(__xludf.DUMMYFUNCTION("""COMPUTED_VALUE"""),"null")</f>
        <v>null</v>
      </c>
      <c r="T4542" s="33">
        <f>IFERROR(__xludf.DUMMYFUNCTION("""COMPUTED_VALUE"""),0.5)</f>
        <v>0.5</v>
      </c>
      <c r="U4542" s="4" t="str">
        <f>IFERROR(__xludf.DUMMYFUNCTION("""COMPUTED_VALUE"""),"null")</f>
        <v>null</v>
      </c>
      <c r="V4542" s="33">
        <f>IFERROR(__xludf.DUMMYFUNCTION("""COMPUTED_VALUE"""),0.5)</f>
        <v>0.5</v>
      </c>
      <c r="W4542" s="4" t="str">
        <f>IFERROR(__xludf.DUMMYFUNCTION("""COMPUTED_VALUE"""),"null")</f>
        <v>null</v>
      </c>
      <c r="X4542" s="33">
        <f>IFERROR(__xludf.DUMMYFUNCTION("""COMPUTED_VALUE"""),0.5)</f>
        <v>0.5</v>
      </c>
    </row>
    <row r="4543">
      <c r="K4543" s="4" t="str">
        <f>IFERROR(__xludf.DUMMYFUNCTION("""COMPUTED_VALUE"""),"BOI NA BRASA")</f>
        <v>BOI NA BRASA</v>
      </c>
      <c r="L4543" s="32">
        <f>IFERROR(__xludf.DUMMYFUNCTION("""COMPUTED_VALUE"""),2.0)</f>
        <v>2</v>
      </c>
      <c r="M4543" s="4" t="str">
        <f>IFERROR(__xludf.DUMMYFUNCTION("""COMPUTED_VALUE"""),"null")</f>
        <v>null</v>
      </c>
      <c r="N4543" s="33">
        <f>IFERROR(__xludf.DUMMYFUNCTION("""COMPUTED_VALUE"""),0.5)</f>
        <v>0.5</v>
      </c>
      <c r="O4543" s="4" t="str">
        <f>IFERROR(__xludf.DUMMYFUNCTION("""COMPUTED_VALUE"""),"null")</f>
        <v>null</v>
      </c>
      <c r="P4543" s="33">
        <f>IFERROR(__xludf.DUMMYFUNCTION("""COMPUTED_VALUE"""),0.5)</f>
        <v>0.5</v>
      </c>
      <c r="Q4543" s="4" t="str">
        <f>IFERROR(__xludf.DUMMYFUNCTION("""COMPUTED_VALUE"""),"null")</f>
        <v>null</v>
      </c>
      <c r="R4543" s="33">
        <f>IFERROR(__xludf.DUMMYFUNCTION("""COMPUTED_VALUE"""),0.5)</f>
        <v>0.5</v>
      </c>
      <c r="S4543" s="4" t="str">
        <f>IFERROR(__xludf.DUMMYFUNCTION("""COMPUTED_VALUE"""),"null")</f>
        <v>null</v>
      </c>
      <c r="T4543" s="33">
        <f>IFERROR(__xludf.DUMMYFUNCTION("""COMPUTED_VALUE"""),0.5)</f>
        <v>0.5</v>
      </c>
      <c r="U4543" s="4" t="str">
        <f>IFERROR(__xludf.DUMMYFUNCTION("""COMPUTED_VALUE"""),"Instadelivery")</f>
        <v>Instadelivery</v>
      </c>
      <c r="V4543" s="33">
        <f>IFERROR(__xludf.DUMMYFUNCTION("""COMPUTED_VALUE"""),0.5)</f>
        <v>0.5</v>
      </c>
      <c r="W4543" s="4" t="str">
        <f>IFERROR(__xludf.DUMMYFUNCTION("""COMPUTED_VALUE"""),"Instadelivery")</f>
        <v>Instadelivery</v>
      </c>
      <c r="X4543" s="33">
        <f>IFERROR(__xludf.DUMMYFUNCTION("""COMPUTED_VALUE"""),0.5)</f>
        <v>0.5</v>
      </c>
    </row>
    <row r="4544">
      <c r="K4544" s="4" t="str">
        <f>IFERROR(__xludf.DUMMYFUNCTION("""COMPUTED_VALUE"""),"PIZZARIA PASCHOALINI")</f>
        <v>PIZZARIA PASCHOALINI</v>
      </c>
      <c r="L4544" s="32">
        <f>IFERROR(__xludf.DUMMYFUNCTION("""COMPUTED_VALUE"""),2.0)</f>
        <v>2</v>
      </c>
      <c r="M4544" s="4" t="str">
        <f>IFERROR(__xludf.DUMMYFUNCTION("""COMPUTED_VALUE"""),"null")</f>
        <v>null</v>
      </c>
      <c r="N4544" s="33">
        <f>IFERROR(__xludf.DUMMYFUNCTION("""COMPUTED_VALUE"""),0.5)</f>
        <v>0.5</v>
      </c>
      <c r="O4544" s="4" t="str">
        <f>IFERROR(__xludf.DUMMYFUNCTION("""COMPUTED_VALUE"""),"null")</f>
        <v>null</v>
      </c>
      <c r="P4544" s="33">
        <f>IFERROR(__xludf.DUMMYFUNCTION("""COMPUTED_VALUE"""),0.5)</f>
        <v>0.5</v>
      </c>
      <c r="Q4544" s="4" t="str">
        <f>IFERROR(__xludf.DUMMYFUNCTION("""COMPUTED_VALUE"""),"null")</f>
        <v>null</v>
      </c>
      <c r="R4544" s="33">
        <f>IFERROR(__xludf.DUMMYFUNCTION("""COMPUTED_VALUE"""),0.5)</f>
        <v>0.5</v>
      </c>
      <c r="S4544" s="4" t="str">
        <f>IFERROR(__xludf.DUMMYFUNCTION("""COMPUTED_VALUE"""),"null")</f>
        <v>null</v>
      </c>
      <c r="T4544" s="33">
        <f>IFERROR(__xludf.DUMMYFUNCTION("""COMPUTED_VALUE"""),0.5)</f>
        <v>0.5</v>
      </c>
      <c r="U4544" s="4" t="str">
        <f>IFERROR(__xludf.DUMMYFUNCTION("""COMPUTED_VALUE"""),"Grandchef Desenvolvimento De Sistemas Ltda")</f>
        <v>Grandchef Desenvolvimento De Sistemas Ltda</v>
      </c>
      <c r="V4544" s="33">
        <f>IFERROR(__xludf.DUMMYFUNCTION("""COMPUTED_VALUE"""),1.0)</f>
        <v>1</v>
      </c>
      <c r="W4544" s="4" t="str">
        <f>IFERROR(__xludf.DUMMYFUNCTION("""COMPUTED_VALUE"""),"Grandchef Desenvolvimento De Sistemas Ltda")</f>
        <v>Grandchef Desenvolvimento De Sistemas Ltda</v>
      </c>
      <c r="X4544" s="33">
        <f>IFERROR(__xludf.DUMMYFUNCTION("""COMPUTED_VALUE"""),1.0)</f>
        <v>1</v>
      </c>
    </row>
    <row r="4545">
      <c r="K4545" s="4" t="str">
        <f>IFERROR(__xludf.DUMMYFUNCTION("""COMPUTED_VALUE"""),"FARMACIA ASFAR POPULAR")</f>
        <v>FARMACIA ASFAR POPULAR</v>
      </c>
      <c r="L4545" s="32">
        <f>IFERROR(__xludf.DUMMYFUNCTION("""COMPUTED_VALUE"""),2.0)</f>
        <v>2</v>
      </c>
      <c r="M4545" s="4" t="str">
        <f>IFERROR(__xludf.DUMMYFUNCTION("""COMPUTED_VALUE"""),"N/A (Not found)")</f>
        <v>N/A (Not found)</v>
      </c>
      <c r="N4545" s="33">
        <f>IFERROR(__xludf.DUMMYFUNCTION("""COMPUTED_VALUE"""),0.5)</f>
        <v>0.5</v>
      </c>
      <c r="O4545" s="4" t="str">
        <f>IFERROR(__xludf.DUMMYFUNCTION("""COMPUTED_VALUE"""),"N/A (Not found)")</f>
        <v>N/A (Not found)</v>
      </c>
      <c r="P4545" s="33">
        <f>IFERROR(__xludf.DUMMYFUNCTION("""COMPUTED_VALUE"""),0.5)</f>
        <v>0.5</v>
      </c>
      <c r="Q4545" s="4" t="str">
        <f>IFERROR(__xludf.DUMMYFUNCTION("""COMPUTED_VALUE"""),"N/A (Not found)")</f>
        <v>N/A (Not found)</v>
      </c>
      <c r="R4545" s="33">
        <f>IFERROR(__xludf.DUMMYFUNCTION("""COMPUTED_VALUE"""),0.5)</f>
        <v>0.5</v>
      </c>
      <c r="S4545" s="4" t="str">
        <f>IFERROR(__xludf.DUMMYFUNCTION("""COMPUTED_VALUE"""),"N/A (Not found)")</f>
        <v>N/A (Not found)</v>
      </c>
      <c r="T4545" s="33">
        <f>IFERROR(__xludf.DUMMYFUNCTION("""COMPUTED_VALUE"""),1.0)</f>
        <v>1</v>
      </c>
      <c r="U4545" s="4" t="str">
        <f>IFERROR(__xludf.DUMMYFUNCTION("""COMPUTED_VALUE"""),"N/A (Not found)")</f>
        <v>N/A (Not found)</v>
      </c>
      <c r="V4545" s="33">
        <f>IFERROR(__xludf.DUMMYFUNCTION("""COMPUTED_VALUE"""),1.0)</f>
        <v>1</v>
      </c>
      <c r="W4545" s="4" t="str">
        <f>IFERROR(__xludf.DUMMYFUNCTION("""COMPUTED_VALUE"""),"N/A (Not found)")</f>
        <v>N/A (Not found)</v>
      </c>
      <c r="X4545" s="33">
        <f>IFERROR(__xludf.DUMMYFUNCTION("""COMPUTED_VALUE"""),1.0)</f>
        <v>1</v>
      </c>
    </row>
    <row r="4546">
      <c r="K4546" s="4" t="str">
        <f>IFERROR(__xludf.DUMMYFUNCTION("""COMPUTED_VALUE"""),"PORCOES EXPRESS")</f>
        <v>PORCOES EXPRESS</v>
      </c>
      <c r="L4546" s="32">
        <f>IFERROR(__xludf.DUMMYFUNCTION("""COMPUTED_VALUE"""),2.0)</f>
        <v>2</v>
      </c>
      <c r="M4546" s="4" t="str">
        <f>IFERROR(__xludf.DUMMYFUNCTION("""COMPUTED_VALUE"""),"null")</f>
        <v>null</v>
      </c>
      <c r="N4546" s="33">
        <f>IFERROR(__xludf.DUMMYFUNCTION("""COMPUTED_VALUE"""),0.5)</f>
        <v>0.5</v>
      </c>
      <c r="O4546" s="4" t="str">
        <f>IFERROR(__xludf.DUMMYFUNCTION("""COMPUTED_VALUE"""),"null")</f>
        <v>null</v>
      </c>
      <c r="P4546" s="33">
        <f>IFERROR(__xludf.DUMMYFUNCTION("""COMPUTED_VALUE"""),1.0)</f>
        <v>1</v>
      </c>
      <c r="Q4546" s="4" t="str">
        <f>IFERROR(__xludf.DUMMYFUNCTION("""COMPUTED_VALUE"""),"Saipos Serviços De Software")</f>
        <v>Saipos Serviços De Software</v>
      </c>
      <c r="R4546" s="33">
        <f>IFERROR(__xludf.DUMMYFUNCTION("""COMPUTED_VALUE"""),1.0)</f>
        <v>1</v>
      </c>
      <c r="S4546" s="4" t="str">
        <f>IFERROR(__xludf.DUMMYFUNCTION("""COMPUTED_VALUE"""),"Saipos Serviços De Software")</f>
        <v>Saipos Serviços De Software</v>
      </c>
      <c r="T4546" s="33">
        <f>IFERROR(__xludf.DUMMYFUNCTION("""COMPUTED_VALUE"""),1.0)</f>
        <v>1</v>
      </c>
      <c r="U4546" s="4" t="str">
        <f>IFERROR(__xludf.DUMMYFUNCTION("""COMPUTED_VALUE"""),"Saipos Serviços De Software")</f>
        <v>Saipos Serviços De Software</v>
      </c>
      <c r="V4546" s="33">
        <f>IFERROR(__xludf.DUMMYFUNCTION("""COMPUTED_VALUE"""),0.5)</f>
        <v>0.5</v>
      </c>
      <c r="W4546" s="4" t="str">
        <f>IFERROR(__xludf.DUMMYFUNCTION("""COMPUTED_VALUE"""),"Saipos Serviços De Software")</f>
        <v>Saipos Serviços De Software</v>
      </c>
      <c r="X4546" s="33">
        <f>IFERROR(__xludf.DUMMYFUNCTION("""COMPUTED_VALUE"""),0.5)</f>
        <v>0.5</v>
      </c>
    </row>
    <row r="4547">
      <c r="K4547" s="4" t="str">
        <f>IFERROR(__xludf.DUMMYFUNCTION("""COMPUTED_VALUE"""),"RUAS COZINHA E BAR")</f>
        <v>RUAS COZINHA E BAR</v>
      </c>
      <c r="L4547" s="32">
        <f>IFERROR(__xludf.DUMMYFUNCTION("""COMPUTED_VALUE"""),2.0)</f>
        <v>2</v>
      </c>
      <c r="M4547" s="4" t="str">
        <f>IFERROR(__xludf.DUMMYFUNCTION("""COMPUTED_VALUE"""),"null")</f>
        <v>null</v>
      </c>
      <c r="N4547" s="33">
        <f>IFERROR(__xludf.DUMMYFUNCTION("""COMPUTED_VALUE"""),0.5)</f>
        <v>0.5</v>
      </c>
      <c r="O4547" s="4" t="str">
        <f>IFERROR(__xludf.DUMMYFUNCTION("""COMPUTED_VALUE"""),"null")</f>
        <v>null</v>
      </c>
      <c r="P4547" s="33">
        <f>IFERROR(__xludf.DUMMYFUNCTION("""COMPUTED_VALUE"""),1.0)</f>
        <v>1</v>
      </c>
      <c r="Q4547" s="4" t="str">
        <f>IFERROR(__xludf.DUMMYFUNCTION("""COMPUTED_VALUE"""),"null")</f>
        <v>null</v>
      </c>
      <c r="R4547" s="33">
        <f>IFERROR(__xludf.DUMMYFUNCTION("""COMPUTED_VALUE"""),1.0)</f>
        <v>1</v>
      </c>
      <c r="S4547" s="4" t="str">
        <f>IFERROR(__xludf.DUMMYFUNCTION("""COMPUTED_VALUE"""),"null")</f>
        <v>null</v>
      </c>
      <c r="T4547" s="33">
        <f>IFERROR(__xludf.DUMMYFUNCTION("""COMPUTED_VALUE"""),1.0)</f>
        <v>1</v>
      </c>
      <c r="U4547" s="4" t="str">
        <f>IFERROR(__xludf.DUMMYFUNCTION("""COMPUTED_VALUE"""),"Alloy Tecnologia")</f>
        <v>Alloy Tecnologia</v>
      </c>
      <c r="V4547" s="33">
        <f>IFERROR(__xludf.DUMMYFUNCTION("""COMPUTED_VALUE"""),0.5)</f>
        <v>0.5</v>
      </c>
      <c r="W4547" s="4" t="str">
        <f>IFERROR(__xludf.DUMMYFUNCTION("""COMPUTED_VALUE"""),"Alloy Tecnologia")</f>
        <v>Alloy Tecnologia</v>
      </c>
      <c r="X4547" s="33">
        <f>IFERROR(__xludf.DUMMYFUNCTION("""COMPUTED_VALUE"""),0.5)</f>
        <v>0.5</v>
      </c>
    </row>
    <row r="4548">
      <c r="K4548" s="4" t="str">
        <f>IFERROR(__xludf.DUMMYFUNCTION("""COMPUTED_VALUE"""),"SR CUSTELA")</f>
        <v>SR CUSTELA</v>
      </c>
      <c r="L4548" s="32">
        <f>IFERROR(__xludf.DUMMYFUNCTION("""COMPUTED_VALUE"""),2.0)</f>
        <v>2</v>
      </c>
      <c r="M4548" s="4" t="str">
        <f>IFERROR(__xludf.DUMMYFUNCTION("""COMPUTED_VALUE"""),"Alpha Logo")</f>
        <v>Alpha Logo</v>
      </c>
      <c r="N4548" s="33">
        <f>IFERROR(__xludf.DUMMYFUNCTION("""COMPUTED_VALUE"""),0.5)</f>
        <v>0.5</v>
      </c>
      <c r="O4548" s="4" t="str">
        <f>IFERROR(__xludf.DUMMYFUNCTION("""COMPUTED_VALUE"""),"Alpha Logo")</f>
        <v>Alpha Logo</v>
      </c>
      <c r="P4548" s="33">
        <f>IFERROR(__xludf.DUMMYFUNCTION("""COMPUTED_VALUE"""),0.5)</f>
        <v>0.5</v>
      </c>
      <c r="Q4548" s="4" t="str">
        <f>IFERROR(__xludf.DUMMYFUNCTION("""COMPUTED_VALUE"""),"Alpha Logo")</f>
        <v>Alpha Logo</v>
      </c>
      <c r="R4548" s="33">
        <f>IFERROR(__xludf.DUMMYFUNCTION("""COMPUTED_VALUE"""),0.5)</f>
        <v>0.5</v>
      </c>
      <c r="S4548" s="4" t="str">
        <f>IFERROR(__xludf.DUMMYFUNCTION("""COMPUTED_VALUE"""),"null")</f>
        <v>null</v>
      </c>
      <c r="T4548" s="33">
        <f>IFERROR(__xludf.DUMMYFUNCTION("""COMPUTED_VALUE"""),0.5)</f>
        <v>0.5</v>
      </c>
      <c r="U4548" s="4" t="str">
        <f>IFERROR(__xludf.DUMMYFUNCTION("""COMPUTED_VALUE"""),"null")</f>
        <v>null</v>
      </c>
      <c r="V4548" s="33">
        <f>IFERROR(__xludf.DUMMYFUNCTION("""COMPUTED_VALUE"""),0.5)</f>
        <v>0.5</v>
      </c>
      <c r="W4548" s="4" t="str">
        <f>IFERROR(__xludf.DUMMYFUNCTION("""COMPUTED_VALUE"""),"null")</f>
        <v>null</v>
      </c>
      <c r="X4548" s="33">
        <f>IFERROR(__xludf.DUMMYFUNCTION("""COMPUTED_VALUE"""),0.5)</f>
        <v>0.5</v>
      </c>
    </row>
    <row r="4549">
      <c r="K4549" s="4" t="str">
        <f>IFERROR(__xludf.DUMMYFUNCTION("""COMPUTED_VALUE"""),"BELO BRIGADEIRO")</f>
        <v>BELO BRIGADEIRO</v>
      </c>
      <c r="L4549" s="32">
        <f>IFERROR(__xludf.DUMMYFUNCTION("""COMPUTED_VALUE"""),2.0)</f>
        <v>2</v>
      </c>
      <c r="M4549" s="4" t="str">
        <f>IFERROR(__xludf.DUMMYFUNCTION("""COMPUTED_VALUE"""),"Consumer Soluções Em Tecnologia Ltda")</f>
        <v>Consumer Soluções Em Tecnologia Ltda</v>
      </c>
      <c r="N4549" s="33">
        <f>IFERROR(__xludf.DUMMYFUNCTION("""COMPUTED_VALUE"""),1.0)</f>
        <v>1</v>
      </c>
      <c r="O4549" s="4" t="str">
        <f>IFERROR(__xludf.DUMMYFUNCTION("""COMPUTED_VALUE"""),"Consumer Soluções Em Tecnologia Ltda")</f>
        <v>Consumer Soluções Em Tecnologia Ltda</v>
      </c>
      <c r="P4549" s="33">
        <f>IFERROR(__xludf.DUMMYFUNCTION("""COMPUTED_VALUE"""),1.0)</f>
        <v>1</v>
      </c>
      <c r="Q4549" s="4" t="str">
        <f>IFERROR(__xludf.DUMMYFUNCTION("""COMPUTED_VALUE"""),"Consumer Soluções Em Tecnologia Ltda")</f>
        <v>Consumer Soluções Em Tecnologia Ltda</v>
      </c>
      <c r="R4549" s="33">
        <f>IFERROR(__xludf.DUMMYFUNCTION("""COMPUTED_VALUE"""),1.0)</f>
        <v>1</v>
      </c>
      <c r="S4549" s="4" t="str">
        <f>IFERROR(__xludf.DUMMYFUNCTION("""COMPUTED_VALUE"""),"Consumer Soluções Em Tecnologia Ltda")</f>
        <v>Consumer Soluções Em Tecnologia Ltda</v>
      </c>
      <c r="T4549" s="33">
        <f>IFERROR(__xludf.DUMMYFUNCTION("""COMPUTED_VALUE"""),1.0)</f>
        <v>1</v>
      </c>
      <c r="U4549" s="4" t="str">
        <f>IFERROR(__xludf.DUMMYFUNCTION("""COMPUTED_VALUE"""),"Consumer Soluções Em Tecnologia Ltda")</f>
        <v>Consumer Soluções Em Tecnologia Ltda</v>
      </c>
      <c r="V4549" s="33">
        <f>IFERROR(__xludf.DUMMYFUNCTION("""COMPUTED_VALUE"""),1.0)</f>
        <v>1</v>
      </c>
      <c r="W4549" s="4" t="str">
        <f>IFERROR(__xludf.DUMMYFUNCTION("""COMPUTED_VALUE"""),"Consumer Soluções Em Tecnologia Ltda")</f>
        <v>Consumer Soluções Em Tecnologia Ltda</v>
      </c>
      <c r="X4549" s="33">
        <f>IFERROR(__xludf.DUMMYFUNCTION("""COMPUTED_VALUE"""),1.0)</f>
        <v>1</v>
      </c>
    </row>
    <row r="4550">
      <c r="K4550" s="4" t="str">
        <f>IFERROR(__xludf.DUMMYFUNCTION("""COMPUTED_VALUE"""),"DROGARIA FARMA POPULAR")</f>
        <v>DROGARIA FARMA POPULAR</v>
      </c>
      <c r="L4550" s="32">
        <f>IFERROR(__xludf.DUMMYFUNCTION("""COMPUTED_VALUE"""),2.0)</f>
        <v>2</v>
      </c>
      <c r="M4550" s="4" t="str">
        <f>IFERROR(__xludf.DUMMYFUNCTION("""COMPUTED_VALUE"""),"null")</f>
        <v>null</v>
      </c>
      <c r="N4550" s="33">
        <f>IFERROR(__xludf.DUMMYFUNCTION("""COMPUTED_VALUE"""),0.5)</f>
        <v>0.5</v>
      </c>
      <c r="O4550" s="4" t="str">
        <f>IFERROR(__xludf.DUMMYFUNCTION("""COMPUTED_VALUE"""),"null")</f>
        <v>null</v>
      </c>
      <c r="P4550" s="33">
        <f>IFERROR(__xludf.DUMMYFUNCTION("""COMPUTED_VALUE"""),0.5)</f>
        <v>0.5</v>
      </c>
      <c r="Q4550" s="4" t="str">
        <f>IFERROR(__xludf.DUMMYFUNCTION("""COMPUTED_VALUE"""),"null")</f>
        <v>null</v>
      </c>
      <c r="R4550" s="33">
        <f>IFERROR(__xludf.DUMMYFUNCTION("""COMPUTED_VALUE"""),0.5)</f>
        <v>0.5</v>
      </c>
      <c r="S4550" s="4" t="str">
        <f>IFERROR(__xludf.DUMMYFUNCTION("""COMPUTED_VALUE"""),"N/A (Not found)")</f>
        <v>N/A (Not found)</v>
      </c>
      <c r="T4550" s="33">
        <f>IFERROR(__xludf.DUMMYFUNCTION("""COMPUTED_VALUE"""),1.0)</f>
        <v>1</v>
      </c>
      <c r="U4550" s="4" t="str">
        <f>IFERROR(__xludf.DUMMYFUNCTION("""COMPUTED_VALUE"""),"N/A (Not found)")</f>
        <v>N/A (Not found)</v>
      </c>
      <c r="V4550" s="33">
        <f>IFERROR(__xludf.DUMMYFUNCTION("""COMPUTED_VALUE"""),1.0)</f>
        <v>1</v>
      </c>
      <c r="W4550" s="4" t="str">
        <f>IFERROR(__xludf.DUMMYFUNCTION("""COMPUTED_VALUE"""),"N/A (Not found)")</f>
        <v>N/A (Not found)</v>
      </c>
      <c r="X4550" s="33">
        <f>IFERROR(__xludf.DUMMYFUNCTION("""COMPUTED_VALUE"""),1.0)</f>
        <v>1</v>
      </c>
    </row>
    <row r="4551">
      <c r="K4551" s="4" t="str">
        <f>IFERROR(__xludf.DUMMYFUNCTION("""COMPUTED_VALUE"""),"DIA DE PIZZA PARMEGIANA")</f>
        <v>DIA DE PIZZA PARMEGIANA</v>
      </c>
      <c r="L4551" s="32">
        <f>IFERROR(__xludf.DUMMYFUNCTION("""COMPUTED_VALUE"""),2.0)</f>
        <v>2</v>
      </c>
      <c r="M4551" s="4" t="str">
        <f>IFERROR(__xludf.DUMMYFUNCTION("""COMPUTED_VALUE"""),"Saipos Serviços De Software")</f>
        <v>Saipos Serviços De Software</v>
      </c>
      <c r="N4551" s="33">
        <f>IFERROR(__xludf.DUMMYFUNCTION("""COMPUTED_VALUE"""),1.0)</f>
        <v>1</v>
      </c>
      <c r="O4551" s="4" t="str">
        <f>IFERROR(__xludf.DUMMYFUNCTION("""COMPUTED_VALUE"""),"Saipos Serviços De Software")</f>
        <v>Saipos Serviços De Software</v>
      </c>
      <c r="P4551" s="33">
        <f>IFERROR(__xludf.DUMMYFUNCTION("""COMPUTED_VALUE"""),1.0)</f>
        <v>1</v>
      </c>
      <c r="Q4551" s="4" t="str">
        <f>IFERROR(__xludf.DUMMYFUNCTION("""COMPUTED_VALUE"""),"Saipos Serviços De Software")</f>
        <v>Saipos Serviços De Software</v>
      </c>
      <c r="R4551" s="33">
        <f>IFERROR(__xludf.DUMMYFUNCTION("""COMPUTED_VALUE"""),1.0)</f>
        <v>1</v>
      </c>
      <c r="S4551" s="4" t="str">
        <f>IFERROR(__xludf.DUMMYFUNCTION("""COMPUTED_VALUE"""),"Saipos Serviços De Software")</f>
        <v>Saipos Serviços De Software</v>
      </c>
      <c r="T4551" s="33">
        <f>IFERROR(__xludf.DUMMYFUNCTION("""COMPUTED_VALUE"""),1.0)</f>
        <v>1</v>
      </c>
      <c r="U4551" s="4" t="str">
        <f>IFERROR(__xludf.DUMMYFUNCTION("""COMPUTED_VALUE"""),"Saipos Serviços De Software")</f>
        <v>Saipos Serviços De Software</v>
      </c>
      <c r="V4551" s="33">
        <f>IFERROR(__xludf.DUMMYFUNCTION("""COMPUTED_VALUE"""),1.0)</f>
        <v>1</v>
      </c>
      <c r="W4551" s="4" t="str">
        <f>IFERROR(__xludf.DUMMYFUNCTION("""COMPUTED_VALUE"""),"Saipos Serviços De Software")</f>
        <v>Saipos Serviços De Software</v>
      </c>
      <c r="X4551" s="33">
        <f>IFERROR(__xludf.DUMMYFUNCTION("""COMPUTED_VALUE"""),1.0)</f>
        <v>1</v>
      </c>
    </row>
    <row r="4552">
      <c r="K4552" s="4" t="str">
        <f>IFERROR(__xludf.DUMMYFUNCTION("""COMPUTED_VALUE"""),"PLANET DAS GALAXIAS")</f>
        <v>PLANET DAS GALAXIAS</v>
      </c>
      <c r="L4552" s="32">
        <f>IFERROR(__xludf.DUMMYFUNCTION("""COMPUTED_VALUE"""),2.0)</f>
        <v>2</v>
      </c>
      <c r="M4552" s="4" t="str">
        <f>IFERROR(__xludf.DUMMYFUNCTION("""COMPUTED_VALUE"""),"null")</f>
        <v>null</v>
      </c>
      <c r="N4552" s="33">
        <f>IFERROR(__xludf.DUMMYFUNCTION("""COMPUTED_VALUE"""),0.5)</f>
        <v>0.5</v>
      </c>
      <c r="O4552" s="4" t="str">
        <f>IFERROR(__xludf.DUMMYFUNCTION("""COMPUTED_VALUE"""),"null")</f>
        <v>null</v>
      </c>
      <c r="P4552" s="33">
        <f>IFERROR(__xludf.DUMMYFUNCTION("""COMPUTED_VALUE"""),0.5)</f>
        <v>0.5</v>
      </c>
      <c r="Q4552" s="4" t="str">
        <f>IFERROR(__xludf.DUMMYFUNCTION("""COMPUTED_VALUE"""),"null")</f>
        <v>null</v>
      </c>
      <c r="R4552" s="33">
        <f>IFERROR(__xludf.DUMMYFUNCTION("""COMPUTED_VALUE"""),1.0)</f>
        <v>1</v>
      </c>
      <c r="S4552" s="4" t="str">
        <f>IFERROR(__xludf.DUMMYFUNCTION("""COMPUTED_VALUE"""),"Mp Multipedidos")</f>
        <v>Mp Multipedidos</v>
      </c>
      <c r="T4552" s="33">
        <f>IFERROR(__xludf.DUMMYFUNCTION("""COMPUTED_VALUE"""),0.5)</f>
        <v>0.5</v>
      </c>
      <c r="U4552" s="4" t="str">
        <f>IFERROR(__xludf.DUMMYFUNCTION("""COMPUTED_VALUE"""),"Mp Multipedidos")</f>
        <v>Mp Multipedidos</v>
      </c>
      <c r="V4552" s="33">
        <f>IFERROR(__xludf.DUMMYFUNCTION("""COMPUTED_VALUE"""),0.5)</f>
        <v>0.5</v>
      </c>
      <c r="W4552" s="4" t="str">
        <f>IFERROR(__xludf.DUMMYFUNCTION("""COMPUTED_VALUE"""),"Mp Multipedidos")</f>
        <v>Mp Multipedidos</v>
      </c>
      <c r="X4552" s="33">
        <f>IFERROR(__xludf.DUMMYFUNCTION("""COMPUTED_VALUE"""),0.5)</f>
        <v>0.5</v>
      </c>
    </row>
    <row r="4553">
      <c r="K4553" s="4" t="str">
        <f>IFERROR(__xludf.DUMMYFUNCTION("""COMPUTED_VALUE"""),"PONTO DO ACAI MARAU")</f>
        <v>PONTO DO ACAI MARAU</v>
      </c>
      <c r="L4553" s="32">
        <f>IFERROR(__xludf.DUMMYFUNCTION("""COMPUTED_VALUE"""),2.0)</f>
        <v>2</v>
      </c>
      <c r="M4553" s="4" t="str">
        <f>IFERROR(__xludf.DUMMYFUNCTION("""COMPUTED_VALUE"""),"Suitable Tecnologia E Gestao")</f>
        <v>Suitable Tecnologia E Gestao</v>
      </c>
      <c r="N4553" s="33">
        <f>IFERROR(__xludf.DUMMYFUNCTION("""COMPUTED_VALUE"""),0.5)</f>
        <v>0.5</v>
      </c>
      <c r="O4553" s="4" t="str">
        <f>IFERROR(__xludf.DUMMYFUNCTION("""COMPUTED_VALUE"""),"Suitable Tecnologia E Gestao")</f>
        <v>Suitable Tecnologia E Gestao</v>
      </c>
      <c r="P4553" s="33">
        <f>IFERROR(__xludf.DUMMYFUNCTION("""COMPUTED_VALUE"""),0.5)</f>
        <v>0.5</v>
      </c>
      <c r="Q4553" s="4" t="str">
        <f>IFERROR(__xludf.DUMMYFUNCTION("""COMPUTED_VALUE"""),"Suitable Tecnologia E Gestao")</f>
        <v>Suitable Tecnologia E Gestao</v>
      </c>
      <c r="R4553" s="33">
        <f>IFERROR(__xludf.DUMMYFUNCTION("""COMPUTED_VALUE"""),1.0)</f>
        <v>1</v>
      </c>
      <c r="S4553" s="4" t="str">
        <f>IFERROR(__xludf.DUMMYFUNCTION("""COMPUTED_VALUE"""),"null")</f>
        <v>null</v>
      </c>
      <c r="T4553" s="33">
        <f>IFERROR(__xludf.DUMMYFUNCTION("""COMPUTED_VALUE"""),0.5)</f>
        <v>0.5</v>
      </c>
      <c r="U4553" s="4" t="str">
        <f>IFERROR(__xludf.DUMMYFUNCTION("""COMPUTED_VALUE"""),"null")</f>
        <v>null</v>
      </c>
      <c r="V4553" s="33">
        <f>IFERROR(__xludf.DUMMYFUNCTION("""COMPUTED_VALUE"""),0.5)</f>
        <v>0.5</v>
      </c>
      <c r="W4553" s="4" t="str">
        <f>IFERROR(__xludf.DUMMYFUNCTION("""COMPUTED_VALUE"""),"null")</f>
        <v>null</v>
      </c>
      <c r="X4553" s="33">
        <f>IFERROR(__xludf.DUMMYFUNCTION("""COMPUTED_VALUE"""),1.0)</f>
        <v>1</v>
      </c>
    </row>
    <row r="4554">
      <c r="K4554" s="4" t="str">
        <f>IFERROR(__xludf.DUMMYFUNCTION("""COMPUTED_VALUE"""),"LILA DOCES")</f>
        <v>LILA DOCES</v>
      </c>
      <c r="L4554" s="32">
        <f>IFERROR(__xludf.DUMMYFUNCTION("""COMPUTED_VALUE"""),2.0)</f>
        <v>2</v>
      </c>
      <c r="M4554" s="4" t="str">
        <f>IFERROR(__xludf.DUMMYFUNCTION("""COMPUTED_VALUE"""),"Saipos Serviços De Software")</f>
        <v>Saipos Serviços De Software</v>
      </c>
      <c r="N4554" s="33">
        <f>IFERROR(__xludf.DUMMYFUNCTION("""COMPUTED_VALUE"""),1.0)</f>
        <v>1</v>
      </c>
      <c r="O4554" s="4" t="str">
        <f>IFERROR(__xludf.DUMMYFUNCTION("""COMPUTED_VALUE"""),"Saipos Serviços De Software")</f>
        <v>Saipos Serviços De Software</v>
      </c>
      <c r="P4554" s="33">
        <f>IFERROR(__xludf.DUMMYFUNCTION("""COMPUTED_VALUE"""),1.0)</f>
        <v>1</v>
      </c>
      <c r="Q4554" s="4" t="str">
        <f>IFERROR(__xludf.DUMMYFUNCTION("""COMPUTED_VALUE"""),"Saipos Serviços De Software")</f>
        <v>Saipos Serviços De Software</v>
      </c>
      <c r="R4554" s="33">
        <f>IFERROR(__xludf.DUMMYFUNCTION("""COMPUTED_VALUE"""),1.0)</f>
        <v>1</v>
      </c>
      <c r="S4554" s="4" t="str">
        <f>IFERROR(__xludf.DUMMYFUNCTION("""COMPUTED_VALUE"""),"Saipos Serviços De Software")</f>
        <v>Saipos Serviços De Software</v>
      </c>
      <c r="T4554" s="33">
        <f>IFERROR(__xludf.DUMMYFUNCTION("""COMPUTED_VALUE"""),1.0)</f>
        <v>1</v>
      </c>
      <c r="U4554" s="4" t="str">
        <f>IFERROR(__xludf.DUMMYFUNCTION("""COMPUTED_VALUE"""),"Saipos Serviços De Software")</f>
        <v>Saipos Serviços De Software</v>
      </c>
      <c r="V4554" s="33">
        <f>IFERROR(__xludf.DUMMYFUNCTION("""COMPUTED_VALUE"""),1.0)</f>
        <v>1</v>
      </c>
      <c r="W4554" s="4" t="str">
        <f>IFERROR(__xludf.DUMMYFUNCTION("""COMPUTED_VALUE"""),"Saipos Serviços De Software")</f>
        <v>Saipos Serviços De Software</v>
      </c>
      <c r="X4554" s="33">
        <f>IFERROR(__xludf.DUMMYFUNCTION("""COMPUTED_VALUE"""),1.0)</f>
        <v>1</v>
      </c>
    </row>
    <row r="4555">
      <c r="K4555" s="4" t="str">
        <f>IFERROR(__xludf.DUMMYFUNCTION("""COMPUTED_VALUE"""),"BEER LANDIA")</f>
        <v>BEER LANDIA</v>
      </c>
      <c r="L4555" s="32">
        <f>IFERROR(__xludf.DUMMYFUNCTION("""COMPUTED_VALUE"""),2.0)</f>
        <v>2</v>
      </c>
      <c r="M4555" s="4" t="str">
        <f>IFERROR(__xludf.DUMMYFUNCTION("""COMPUTED_VALUE"""),"null")</f>
        <v>null</v>
      </c>
      <c r="N4555" s="33">
        <f>IFERROR(__xludf.DUMMYFUNCTION("""COMPUTED_VALUE"""),1.0)</f>
        <v>1</v>
      </c>
      <c r="O4555" s="4" t="str">
        <f>IFERROR(__xludf.DUMMYFUNCTION("""COMPUTED_VALUE"""),"null")</f>
        <v>null</v>
      </c>
      <c r="P4555" s="33">
        <f>IFERROR(__xludf.DUMMYFUNCTION("""COMPUTED_VALUE"""),0.5)</f>
        <v>0.5</v>
      </c>
      <c r="Q4555" s="4" t="str">
        <f>IFERROR(__xludf.DUMMYFUNCTION("""COMPUTED_VALUE"""),"null")</f>
        <v>null</v>
      </c>
      <c r="R4555" s="33">
        <f>IFERROR(__xludf.DUMMYFUNCTION("""COMPUTED_VALUE"""),1.0)</f>
        <v>1</v>
      </c>
      <c r="S4555" s="4" t="str">
        <f>IFERROR(__xludf.DUMMYFUNCTION("""COMPUTED_VALUE"""),"null")</f>
        <v>null</v>
      </c>
      <c r="T4555" s="33">
        <f>IFERROR(__xludf.DUMMYFUNCTION("""COMPUTED_VALUE"""),0.5)</f>
        <v>0.5</v>
      </c>
      <c r="U4555" s="4" t="str">
        <f>IFERROR(__xludf.DUMMYFUNCTION("""COMPUTED_VALUE"""),"N/A (Not found)")</f>
        <v>N/A (Not found)</v>
      </c>
      <c r="V4555" s="33">
        <f>IFERROR(__xludf.DUMMYFUNCTION("""COMPUTED_VALUE"""),0.5)</f>
        <v>0.5</v>
      </c>
      <c r="W4555" s="4" t="str">
        <f>IFERROR(__xludf.DUMMYFUNCTION("""COMPUTED_VALUE"""),"N/A (Not found)")</f>
        <v>N/A (Not found)</v>
      </c>
      <c r="X4555" s="33">
        <f>IFERROR(__xludf.DUMMYFUNCTION("""COMPUTED_VALUE"""),0.5)</f>
        <v>0.5</v>
      </c>
    </row>
    <row r="4556">
      <c r="K4556" s="4" t="str">
        <f>IFERROR(__xludf.DUMMYFUNCTION("""COMPUTED_VALUE"""),"REI DO PICADAO PALHOCA - PORCOES")</f>
        <v>REI DO PICADAO PALHOCA - PORCOES</v>
      </c>
      <c r="L4556" s="32">
        <f>IFERROR(__xludf.DUMMYFUNCTION("""COMPUTED_VALUE"""),2.0)</f>
        <v>2</v>
      </c>
      <c r="M4556" s="4" t="str">
        <f>IFERROR(__xludf.DUMMYFUNCTION("""COMPUTED_VALUE"""),"null")</f>
        <v>null</v>
      </c>
      <c r="N4556" s="33">
        <f>IFERROR(__xludf.DUMMYFUNCTION("""COMPUTED_VALUE"""),0.5)</f>
        <v>0.5</v>
      </c>
      <c r="O4556" s="4" t="str">
        <f>IFERROR(__xludf.DUMMYFUNCTION("""COMPUTED_VALUE"""),"null")</f>
        <v>null</v>
      </c>
      <c r="P4556" s="33">
        <f>IFERROR(__xludf.DUMMYFUNCTION("""COMPUTED_VALUE"""),1.0)</f>
        <v>1</v>
      </c>
      <c r="Q4556" s="4" t="str">
        <f>IFERROR(__xludf.DUMMYFUNCTION("""COMPUTED_VALUE"""),"Saipos Serviços De Software")</f>
        <v>Saipos Serviços De Software</v>
      </c>
      <c r="R4556" s="33">
        <f>IFERROR(__xludf.DUMMYFUNCTION("""COMPUTED_VALUE"""),1.0)</f>
        <v>1</v>
      </c>
      <c r="S4556" s="4" t="str">
        <f>IFERROR(__xludf.DUMMYFUNCTION("""COMPUTED_VALUE"""),"Saipos Serviços De Software")</f>
        <v>Saipos Serviços De Software</v>
      </c>
      <c r="T4556" s="33">
        <f>IFERROR(__xludf.DUMMYFUNCTION("""COMPUTED_VALUE"""),1.0)</f>
        <v>1</v>
      </c>
      <c r="U4556" s="4" t="str">
        <f>IFERROR(__xludf.DUMMYFUNCTION("""COMPUTED_VALUE"""),"Saipos Serviços De Software")</f>
        <v>Saipos Serviços De Software</v>
      </c>
      <c r="V4556" s="33">
        <f>IFERROR(__xludf.DUMMYFUNCTION("""COMPUTED_VALUE"""),1.0)</f>
        <v>1</v>
      </c>
      <c r="W4556" s="4" t="str">
        <f>IFERROR(__xludf.DUMMYFUNCTION("""COMPUTED_VALUE"""),"Saipos Serviços De Software")</f>
        <v>Saipos Serviços De Software</v>
      </c>
      <c r="X4556" s="33">
        <f>IFERROR(__xludf.DUMMYFUNCTION("""COMPUTED_VALUE"""),1.0)</f>
        <v>1</v>
      </c>
    </row>
    <row r="4557">
      <c r="K4557" s="4" t="str">
        <f>IFERROR(__xludf.DUMMYFUNCTION("""COMPUTED_VALUE"""),"CHEFAO DO SABOR-FEIJOADA PARMEGIANA")</f>
        <v>CHEFAO DO SABOR-FEIJOADA PARMEGIANA</v>
      </c>
      <c r="L4557" s="32">
        <f>IFERROR(__xludf.DUMMYFUNCTION("""COMPUTED_VALUE"""),2.0)</f>
        <v>2</v>
      </c>
      <c r="M4557" s="4" t="str">
        <f>IFERROR(__xludf.DUMMYFUNCTION("""COMPUTED_VALUE"""),"Brendi")</f>
        <v>Brendi</v>
      </c>
      <c r="N4557" s="33">
        <f>IFERROR(__xludf.DUMMYFUNCTION("""COMPUTED_VALUE"""),0.5)</f>
        <v>0.5</v>
      </c>
      <c r="O4557" s="4" t="str">
        <f>IFERROR(__xludf.DUMMYFUNCTION("""COMPUTED_VALUE"""),"Brendi")</f>
        <v>Brendi</v>
      </c>
      <c r="P4557" s="33">
        <f>IFERROR(__xludf.DUMMYFUNCTION("""COMPUTED_VALUE"""),0.5)</f>
        <v>0.5</v>
      </c>
      <c r="Q4557" s="4" t="str">
        <f>IFERROR(__xludf.DUMMYFUNCTION("""COMPUTED_VALUE"""),"Brendi")</f>
        <v>Brendi</v>
      </c>
      <c r="R4557" s="33">
        <f>IFERROR(__xludf.DUMMYFUNCTION("""COMPUTED_VALUE"""),0.5)</f>
        <v>0.5</v>
      </c>
      <c r="S4557" s="4" t="str">
        <f>IFERROR(__xludf.DUMMYFUNCTION("""COMPUTED_VALUE"""),"Brendi")</f>
        <v>Brendi</v>
      </c>
      <c r="T4557" s="33">
        <f>IFERROR(__xludf.DUMMYFUNCTION("""COMPUTED_VALUE"""),0.5)</f>
        <v>0.5</v>
      </c>
      <c r="U4557" s="4" t="str">
        <f>IFERROR(__xludf.DUMMYFUNCTION("""COMPUTED_VALUE"""),"Brendi")</f>
        <v>Brendi</v>
      </c>
      <c r="V4557" s="33">
        <f>IFERROR(__xludf.DUMMYFUNCTION("""COMPUTED_VALUE"""),1.0)</f>
        <v>1</v>
      </c>
      <c r="W4557" s="4" t="str">
        <f>IFERROR(__xludf.DUMMYFUNCTION("""COMPUTED_VALUE"""),"null")</f>
        <v>null</v>
      </c>
      <c r="X4557" s="33">
        <f>IFERROR(__xludf.DUMMYFUNCTION("""COMPUTED_VALUE"""),0.5)</f>
        <v>0.5</v>
      </c>
    </row>
    <row r="4558">
      <c r="K4558" s="4" t="str">
        <f>IFERROR(__xludf.DUMMYFUNCTION("""COMPUTED_VALUE"""),"CLUBE DO ACAI")</f>
        <v>CLUBE DO ACAI</v>
      </c>
      <c r="L4558" s="32">
        <f>IFERROR(__xludf.DUMMYFUNCTION("""COMPUTED_VALUE"""),2.0)</f>
        <v>2</v>
      </c>
      <c r="M4558" s="4" t="str">
        <f>IFERROR(__xludf.DUMMYFUNCTION("""COMPUTED_VALUE"""),"Instadelivery")</f>
        <v>Instadelivery</v>
      </c>
      <c r="N4558" s="33">
        <f>IFERROR(__xludf.DUMMYFUNCTION("""COMPUTED_VALUE"""),0.5)</f>
        <v>0.5</v>
      </c>
      <c r="O4558" s="4" t="str">
        <f>IFERROR(__xludf.DUMMYFUNCTION("""COMPUTED_VALUE"""),"Instadelivery")</f>
        <v>Instadelivery</v>
      </c>
      <c r="P4558" s="33">
        <f>IFERROR(__xludf.DUMMYFUNCTION("""COMPUTED_VALUE"""),0.5)</f>
        <v>0.5</v>
      </c>
      <c r="Q4558" s="4" t="str">
        <f>IFERROR(__xludf.DUMMYFUNCTION("""COMPUTED_VALUE"""),"Instadelivery")</f>
        <v>Instadelivery</v>
      </c>
      <c r="R4558" s="33">
        <f>IFERROR(__xludf.DUMMYFUNCTION("""COMPUTED_VALUE"""),0.5)</f>
        <v>0.5</v>
      </c>
      <c r="S4558" s="4" t="str">
        <f>IFERROR(__xludf.DUMMYFUNCTION("""COMPUTED_VALUE"""),"Instadelivery")</f>
        <v>Instadelivery</v>
      </c>
      <c r="T4558" s="33">
        <f>IFERROR(__xludf.DUMMYFUNCTION("""COMPUTED_VALUE"""),0.5)</f>
        <v>0.5</v>
      </c>
      <c r="U4558" s="4" t="str">
        <f>IFERROR(__xludf.DUMMYFUNCTION("""COMPUTED_VALUE"""),"Instadelivery")</f>
        <v>Instadelivery</v>
      </c>
      <c r="V4558" s="33">
        <f>IFERROR(__xludf.DUMMYFUNCTION("""COMPUTED_VALUE"""),0.5)</f>
        <v>0.5</v>
      </c>
      <c r="W4558" s="4" t="str">
        <f>IFERROR(__xludf.DUMMYFUNCTION("""COMPUTED_VALUE"""),"Instadelivery")</f>
        <v>Instadelivery</v>
      </c>
      <c r="X4558" s="33">
        <f>IFERROR(__xludf.DUMMYFUNCTION("""COMPUTED_VALUE"""),0.5)</f>
        <v>0.5</v>
      </c>
    </row>
    <row r="4559">
      <c r="K4559" s="4" t="str">
        <f>IFERROR(__xludf.DUMMYFUNCTION("""COMPUTED_VALUE"""),"SAUCE BURGER")</f>
        <v>SAUCE BURGER</v>
      </c>
      <c r="L4559" s="32">
        <f>IFERROR(__xludf.DUMMYFUNCTION("""COMPUTED_VALUE"""),2.0)</f>
        <v>2</v>
      </c>
      <c r="M4559" s="4" t="str">
        <f>IFERROR(__xludf.DUMMYFUNCTION("""COMPUTED_VALUE"""),"Cardápio Web")</f>
        <v>Cardápio Web</v>
      </c>
      <c r="N4559" s="33">
        <f>IFERROR(__xludf.DUMMYFUNCTION("""COMPUTED_VALUE"""),0.5)</f>
        <v>0.5</v>
      </c>
      <c r="O4559" s="4" t="str">
        <f>IFERROR(__xludf.DUMMYFUNCTION("""COMPUTED_VALUE"""),"Cardápio Web")</f>
        <v>Cardápio Web</v>
      </c>
      <c r="P4559" s="33">
        <f>IFERROR(__xludf.DUMMYFUNCTION("""COMPUTED_VALUE"""),0.5)</f>
        <v>0.5</v>
      </c>
      <c r="Q4559" s="4" t="str">
        <f>IFERROR(__xludf.DUMMYFUNCTION("""COMPUTED_VALUE"""),"Cardápio Web")</f>
        <v>Cardápio Web</v>
      </c>
      <c r="R4559" s="33">
        <f>IFERROR(__xludf.DUMMYFUNCTION("""COMPUTED_VALUE"""),0.5)</f>
        <v>0.5</v>
      </c>
      <c r="S4559" s="4" t="str">
        <f>IFERROR(__xludf.DUMMYFUNCTION("""COMPUTED_VALUE"""),"Cardápio Web")</f>
        <v>Cardápio Web</v>
      </c>
      <c r="T4559" s="33">
        <f>IFERROR(__xludf.DUMMYFUNCTION("""COMPUTED_VALUE"""),0.5)</f>
        <v>0.5</v>
      </c>
      <c r="U4559" s="4" t="str">
        <f>IFERROR(__xludf.DUMMYFUNCTION("""COMPUTED_VALUE"""),"Cardápio Web")</f>
        <v>Cardápio Web</v>
      </c>
      <c r="V4559" s="33">
        <f>IFERROR(__xludf.DUMMYFUNCTION("""COMPUTED_VALUE"""),0.5)</f>
        <v>0.5</v>
      </c>
      <c r="W4559" s="4" t="str">
        <f>IFERROR(__xludf.DUMMYFUNCTION("""COMPUTED_VALUE"""),"Cardápio Web")</f>
        <v>Cardápio Web</v>
      </c>
      <c r="X4559" s="33">
        <f>IFERROR(__xludf.DUMMYFUNCTION("""COMPUTED_VALUE"""),0.5)</f>
        <v>0.5</v>
      </c>
    </row>
    <row r="4560">
      <c r="K4560" s="4" t="str">
        <f>IFERROR(__xludf.DUMMYFUNCTION("""COMPUTED_VALUE"""),"SEU CHICO RESTAURANTE")</f>
        <v>SEU CHICO RESTAURANTE</v>
      </c>
      <c r="L4560" s="32">
        <f>IFERROR(__xludf.DUMMYFUNCTION("""COMPUTED_VALUE"""),2.0)</f>
        <v>2</v>
      </c>
      <c r="M4560" s="4" t="str">
        <f>IFERROR(__xludf.DUMMYFUNCTION("""COMPUTED_VALUE"""),"Saipos Serviços De Software")</f>
        <v>Saipos Serviços De Software</v>
      </c>
      <c r="N4560" s="33">
        <f>IFERROR(__xludf.DUMMYFUNCTION("""COMPUTED_VALUE"""),0.5)</f>
        <v>0.5</v>
      </c>
      <c r="O4560" s="4" t="str">
        <f>IFERROR(__xludf.DUMMYFUNCTION("""COMPUTED_VALUE"""),"Saipos Serviços De Software")</f>
        <v>Saipos Serviços De Software</v>
      </c>
      <c r="P4560" s="33">
        <f>IFERROR(__xludf.DUMMYFUNCTION("""COMPUTED_VALUE"""),0.5)</f>
        <v>0.5</v>
      </c>
      <c r="Q4560" s="4" t="str">
        <f>IFERROR(__xludf.DUMMYFUNCTION("""COMPUTED_VALUE"""),"Saipos Serviços De Software")</f>
        <v>Saipos Serviços De Software</v>
      </c>
      <c r="R4560" s="33">
        <f>IFERROR(__xludf.DUMMYFUNCTION("""COMPUTED_VALUE"""),0.5)</f>
        <v>0.5</v>
      </c>
      <c r="S4560" s="4" t="str">
        <f>IFERROR(__xludf.DUMMYFUNCTION("""COMPUTED_VALUE"""),"null")</f>
        <v>null</v>
      </c>
      <c r="T4560" s="33">
        <f>IFERROR(__xludf.DUMMYFUNCTION("""COMPUTED_VALUE"""),1.0)</f>
        <v>1</v>
      </c>
      <c r="U4560" s="4" t="str">
        <f>IFERROR(__xludf.DUMMYFUNCTION("""COMPUTED_VALUE"""),"null")</f>
        <v>null</v>
      </c>
      <c r="V4560" s="33">
        <f>IFERROR(__xludf.DUMMYFUNCTION("""COMPUTED_VALUE"""),1.0)</f>
        <v>1</v>
      </c>
      <c r="W4560" s="4" t="str">
        <f>IFERROR(__xludf.DUMMYFUNCTION("""COMPUTED_VALUE"""),"null")</f>
        <v>null</v>
      </c>
      <c r="X4560" s="33">
        <f>IFERROR(__xludf.DUMMYFUNCTION("""COMPUTED_VALUE"""),1.0)</f>
        <v>1</v>
      </c>
    </row>
    <row r="4561">
      <c r="K4561" s="4" t="str">
        <f>IFERROR(__xludf.DUMMYFUNCTION("""COMPUTED_VALUE"""),"RESTAURANTE MARMITA EXPRESS")</f>
        <v>RESTAURANTE MARMITA EXPRESS</v>
      </c>
      <c r="L4561" s="32">
        <f>IFERROR(__xludf.DUMMYFUNCTION("""COMPUTED_VALUE"""),2.0)</f>
        <v>2</v>
      </c>
      <c r="M4561" s="4" t="str">
        <f>IFERROR(__xludf.DUMMYFUNCTION("""COMPUTED_VALUE"""),"null")</f>
        <v>null</v>
      </c>
      <c r="N4561" s="33">
        <f>IFERROR(__xludf.DUMMYFUNCTION("""COMPUTED_VALUE"""),0.5)</f>
        <v>0.5</v>
      </c>
      <c r="O4561" s="4" t="str">
        <f>IFERROR(__xludf.DUMMYFUNCTION("""COMPUTED_VALUE"""),"null")</f>
        <v>null</v>
      </c>
      <c r="P4561" s="33">
        <f>IFERROR(__xludf.DUMMYFUNCTION("""COMPUTED_VALUE"""),0.5)</f>
        <v>0.5</v>
      </c>
      <c r="Q4561" s="4" t="str">
        <f>IFERROR(__xludf.DUMMYFUNCTION("""COMPUTED_VALUE"""),"null")</f>
        <v>null</v>
      </c>
      <c r="R4561" s="33">
        <f>IFERROR(__xludf.DUMMYFUNCTION("""COMPUTED_VALUE"""),0.5)</f>
        <v>0.5</v>
      </c>
      <c r="S4561" s="4" t="str">
        <f>IFERROR(__xludf.DUMMYFUNCTION("""COMPUTED_VALUE"""),"null")</f>
        <v>null</v>
      </c>
      <c r="T4561" s="33">
        <f>IFERROR(__xludf.DUMMYFUNCTION("""COMPUTED_VALUE"""),0.5)</f>
        <v>0.5</v>
      </c>
      <c r="U4561" s="4" t="str">
        <f>IFERROR(__xludf.DUMMYFUNCTION("""COMPUTED_VALUE"""),"Brendi")</f>
        <v>Brendi</v>
      </c>
      <c r="V4561" s="33">
        <f>IFERROR(__xludf.DUMMYFUNCTION("""COMPUTED_VALUE"""),0.5)</f>
        <v>0.5</v>
      </c>
      <c r="W4561" s="4" t="str">
        <f>IFERROR(__xludf.DUMMYFUNCTION("""COMPUTED_VALUE"""),"N/A (Not found)")</f>
        <v>N/A (Not found)</v>
      </c>
      <c r="X4561" s="33">
        <f>IFERROR(__xludf.DUMMYFUNCTION("""COMPUTED_VALUE"""),0.5)</f>
        <v>0.5</v>
      </c>
    </row>
    <row r="4562">
      <c r="K4562" s="4" t="str">
        <f>IFERROR(__xludf.DUMMYFUNCTION("""COMPUTED_VALUE"""),"ESTACAO DO ACAI LTDA")</f>
        <v>ESTACAO DO ACAI LTDA</v>
      </c>
      <c r="L4562" s="32">
        <f>IFERROR(__xludf.DUMMYFUNCTION("""COMPUTED_VALUE"""),2.0)</f>
        <v>2</v>
      </c>
      <c r="M4562" s="4" t="str">
        <f>IFERROR(__xludf.DUMMYFUNCTION("""COMPUTED_VALUE"""),"null")</f>
        <v>null</v>
      </c>
      <c r="N4562" s="33">
        <f>IFERROR(__xludf.DUMMYFUNCTION("""COMPUTED_VALUE"""),0.5)</f>
        <v>0.5</v>
      </c>
      <c r="O4562" s="4" t="str">
        <f>IFERROR(__xludf.DUMMYFUNCTION("""COMPUTED_VALUE"""),"Instadelivery")</f>
        <v>Instadelivery</v>
      </c>
      <c r="P4562" s="33">
        <f>IFERROR(__xludf.DUMMYFUNCTION("""COMPUTED_VALUE"""),1.0)</f>
        <v>1</v>
      </c>
      <c r="Q4562" s="4" t="str">
        <f>IFERROR(__xludf.DUMMYFUNCTION("""COMPUTED_VALUE"""),"Instadelivery")</f>
        <v>Instadelivery</v>
      </c>
      <c r="R4562" s="33">
        <f>IFERROR(__xludf.DUMMYFUNCTION("""COMPUTED_VALUE"""),0.5)</f>
        <v>0.5</v>
      </c>
      <c r="S4562" s="4" t="str">
        <f>IFERROR(__xludf.DUMMYFUNCTION("""COMPUTED_VALUE"""),"Instadelivery")</f>
        <v>Instadelivery</v>
      </c>
      <c r="T4562" s="33">
        <f>IFERROR(__xludf.DUMMYFUNCTION("""COMPUTED_VALUE"""),0.5)</f>
        <v>0.5</v>
      </c>
      <c r="U4562" s="4" t="str">
        <f>IFERROR(__xludf.DUMMYFUNCTION("""COMPUTED_VALUE"""),"Instadelivery")</f>
        <v>Instadelivery</v>
      </c>
      <c r="V4562" s="33">
        <f>IFERROR(__xludf.DUMMYFUNCTION("""COMPUTED_VALUE"""),0.5)</f>
        <v>0.5</v>
      </c>
      <c r="W4562" s="4" t="str">
        <f>IFERROR(__xludf.DUMMYFUNCTION("""COMPUTED_VALUE"""),"Instadelivery")</f>
        <v>Instadelivery</v>
      </c>
      <c r="X4562" s="33">
        <f>IFERROR(__xludf.DUMMYFUNCTION("""COMPUTED_VALUE"""),0.5)</f>
        <v>0.5</v>
      </c>
    </row>
    <row r="4563">
      <c r="K4563" s="4" t="str">
        <f>IFERROR(__xludf.DUMMYFUNCTION("""COMPUTED_VALUE"""),"ROCK IN BURGER - HAMBURGUERIA ARTESANAL")</f>
        <v>ROCK IN BURGER - HAMBURGUERIA ARTESANAL</v>
      </c>
      <c r="L4563" s="32">
        <f>IFERROR(__xludf.DUMMYFUNCTION("""COMPUTED_VALUE"""),2.0)</f>
        <v>2</v>
      </c>
      <c r="M4563" s="4" t="str">
        <f>IFERROR(__xludf.DUMMYFUNCTION("""COMPUTED_VALUE"""),"Cardápio Web")</f>
        <v>Cardápio Web</v>
      </c>
      <c r="N4563" s="33">
        <f>IFERROR(__xludf.DUMMYFUNCTION("""COMPUTED_VALUE"""),0.5)</f>
        <v>0.5</v>
      </c>
      <c r="O4563" s="4" t="str">
        <f>IFERROR(__xludf.DUMMYFUNCTION("""COMPUTED_VALUE"""),"Cardápio Web")</f>
        <v>Cardápio Web</v>
      </c>
      <c r="P4563" s="33">
        <f>IFERROR(__xludf.DUMMYFUNCTION("""COMPUTED_VALUE"""),0.5)</f>
        <v>0.5</v>
      </c>
      <c r="Q4563" s="4" t="str">
        <f>IFERROR(__xludf.DUMMYFUNCTION("""COMPUTED_VALUE"""),"Cardápio Web")</f>
        <v>Cardápio Web</v>
      </c>
      <c r="R4563" s="33">
        <f>IFERROR(__xludf.DUMMYFUNCTION("""COMPUTED_VALUE"""),0.5)</f>
        <v>0.5</v>
      </c>
      <c r="S4563" s="4" t="str">
        <f>IFERROR(__xludf.DUMMYFUNCTION("""COMPUTED_VALUE"""),"Cardápio Web")</f>
        <v>Cardápio Web</v>
      </c>
      <c r="T4563" s="33">
        <f>IFERROR(__xludf.DUMMYFUNCTION("""COMPUTED_VALUE"""),0.5)</f>
        <v>0.5</v>
      </c>
      <c r="U4563" s="4" t="str">
        <f>IFERROR(__xludf.DUMMYFUNCTION("""COMPUTED_VALUE"""),"Cardápio Web")</f>
        <v>Cardápio Web</v>
      </c>
      <c r="V4563" s="33">
        <f>IFERROR(__xludf.DUMMYFUNCTION("""COMPUTED_VALUE"""),0.5)</f>
        <v>0.5</v>
      </c>
      <c r="W4563" s="4" t="str">
        <f>IFERROR(__xludf.DUMMYFUNCTION("""COMPUTED_VALUE"""),"Cardápio Web")</f>
        <v>Cardápio Web</v>
      </c>
      <c r="X4563" s="33">
        <f>IFERROR(__xludf.DUMMYFUNCTION("""COMPUTED_VALUE"""),0.5)</f>
        <v>0.5</v>
      </c>
    </row>
    <row r="4564">
      <c r="K4564" s="4" t="str">
        <f>IFERROR(__xludf.DUMMYFUNCTION("""COMPUTED_VALUE"""),"PET CHIC CASA DE RACOES")</f>
        <v>PET CHIC CASA DE RACOES</v>
      </c>
      <c r="L4564" s="32">
        <f>IFERROR(__xludf.DUMMYFUNCTION("""COMPUTED_VALUE"""),2.0)</f>
        <v>2</v>
      </c>
      <c r="M4564" s="4" t="str">
        <f>IFERROR(__xludf.DUMMYFUNCTION("""COMPUTED_VALUE"""),"null")</f>
        <v>null</v>
      </c>
      <c r="N4564" s="33">
        <f>IFERROR(__xludf.DUMMYFUNCTION("""COMPUTED_VALUE"""),1.0)</f>
        <v>1</v>
      </c>
      <c r="O4564" s="4" t="str">
        <f>IFERROR(__xludf.DUMMYFUNCTION("""COMPUTED_VALUE"""),"null")</f>
        <v>null</v>
      </c>
      <c r="P4564" s="33">
        <f>IFERROR(__xludf.DUMMYFUNCTION("""COMPUTED_VALUE"""),0.5)</f>
        <v>0.5</v>
      </c>
      <c r="Q4564" s="4" t="str">
        <f>IFERROR(__xludf.DUMMYFUNCTION("""COMPUTED_VALUE"""),"N/A (Not found)")</f>
        <v>N/A (Not found)</v>
      </c>
      <c r="R4564" s="33">
        <f>IFERROR(__xludf.DUMMYFUNCTION("""COMPUTED_VALUE"""),0.5)</f>
        <v>0.5</v>
      </c>
      <c r="S4564" s="4" t="str">
        <f>IFERROR(__xludf.DUMMYFUNCTION("""COMPUTED_VALUE"""),"N/A (Not found)")</f>
        <v>N/A (Not found)</v>
      </c>
      <c r="T4564" s="33">
        <f>IFERROR(__xludf.DUMMYFUNCTION("""COMPUTED_VALUE"""),0.5)</f>
        <v>0.5</v>
      </c>
      <c r="U4564" s="4" t="str">
        <f>IFERROR(__xludf.DUMMYFUNCTION("""COMPUTED_VALUE"""),"null")</f>
        <v>null</v>
      </c>
      <c r="V4564" s="33">
        <f>IFERROR(__xludf.DUMMYFUNCTION("""COMPUTED_VALUE"""),1.0)</f>
        <v>1</v>
      </c>
      <c r="W4564" s="4" t="str">
        <f>IFERROR(__xludf.DUMMYFUNCTION("""COMPUTED_VALUE"""),"null")</f>
        <v>null</v>
      </c>
      <c r="X4564" s="33">
        <f>IFERROR(__xludf.DUMMYFUNCTION("""COMPUTED_VALUE"""),1.0)</f>
        <v>1</v>
      </c>
    </row>
    <row r="4565">
      <c r="K4565" s="4" t="str">
        <f>IFERROR(__xludf.DUMMYFUNCTION("""COMPUTED_VALUE"""),"MASANO TRATTORIA")</f>
        <v>MASANO TRATTORIA</v>
      </c>
      <c r="L4565" s="32">
        <f>IFERROR(__xludf.DUMMYFUNCTION("""COMPUTED_VALUE"""),2.0)</f>
        <v>2</v>
      </c>
      <c r="M4565" s="4" t="str">
        <f>IFERROR(__xludf.DUMMYFUNCTION("""COMPUTED_VALUE"""),"null")</f>
        <v>null</v>
      </c>
      <c r="N4565" s="33">
        <f>IFERROR(__xludf.DUMMYFUNCTION("""COMPUTED_VALUE"""),1.0)</f>
        <v>1</v>
      </c>
      <c r="O4565" s="4" t="str">
        <f>IFERROR(__xludf.DUMMYFUNCTION("""COMPUTED_VALUE"""),"null")</f>
        <v>null</v>
      </c>
      <c r="P4565" s="33">
        <f>IFERROR(__xludf.DUMMYFUNCTION("""COMPUTED_VALUE"""),1.0)</f>
        <v>1</v>
      </c>
      <c r="Q4565" s="4" t="str">
        <f>IFERROR(__xludf.DUMMYFUNCTION("""COMPUTED_VALUE"""),"null")</f>
        <v>null</v>
      </c>
      <c r="R4565" s="33">
        <f>IFERROR(__xludf.DUMMYFUNCTION("""COMPUTED_VALUE"""),1.0)</f>
        <v>1</v>
      </c>
      <c r="S4565" s="4" t="str">
        <f>IFERROR(__xludf.DUMMYFUNCTION("""COMPUTED_VALUE"""),"null")</f>
        <v>null</v>
      </c>
      <c r="T4565" s="33">
        <f>IFERROR(__xludf.DUMMYFUNCTION("""COMPUTED_VALUE"""),1.0)</f>
        <v>1</v>
      </c>
      <c r="U4565" s="4" t="str">
        <f>IFERROR(__xludf.DUMMYFUNCTION("""COMPUTED_VALUE"""),"Parseint Desenvolvimento De Sistemas Ltda")</f>
        <v>Parseint Desenvolvimento De Sistemas Ltda</v>
      </c>
      <c r="V4565" s="33">
        <f>IFERROR(__xludf.DUMMYFUNCTION("""COMPUTED_VALUE"""),1.0)</f>
        <v>1</v>
      </c>
      <c r="W4565" s="4" t="str">
        <f>IFERROR(__xludf.DUMMYFUNCTION("""COMPUTED_VALUE"""),"null")</f>
        <v>null</v>
      </c>
      <c r="X4565" s="33">
        <f>IFERROR(__xludf.DUMMYFUNCTION("""COMPUTED_VALUE"""),1.0)</f>
        <v>1</v>
      </c>
    </row>
    <row r="4566">
      <c r="K4566" s="4" t="str">
        <f>IFERROR(__xludf.DUMMYFUNCTION("""COMPUTED_VALUE"""),"BISTRO EM CASA")</f>
        <v>BISTRO EM CASA</v>
      </c>
      <c r="L4566" s="32">
        <f>IFERROR(__xludf.DUMMYFUNCTION("""COMPUTED_VALUE"""),2.0)</f>
        <v>2</v>
      </c>
      <c r="M4566" s="4" t="str">
        <f>IFERROR(__xludf.DUMMYFUNCTION("""COMPUTED_VALUE"""),"Netcontroll Xmenu")</f>
        <v>Netcontroll Xmenu</v>
      </c>
      <c r="N4566" s="33">
        <f>IFERROR(__xludf.DUMMYFUNCTION("""COMPUTED_VALUE"""),0.5)</f>
        <v>0.5</v>
      </c>
      <c r="O4566" s="4" t="str">
        <f>IFERROR(__xludf.DUMMYFUNCTION("""COMPUTED_VALUE"""),"Netcontroll Xmenu")</f>
        <v>Netcontroll Xmenu</v>
      </c>
      <c r="P4566" s="33">
        <f>IFERROR(__xludf.DUMMYFUNCTION("""COMPUTED_VALUE"""),0.5)</f>
        <v>0.5</v>
      </c>
      <c r="Q4566" s="4" t="str">
        <f>IFERROR(__xludf.DUMMYFUNCTION("""COMPUTED_VALUE"""),"Netcontroll Xmenu")</f>
        <v>Netcontroll Xmenu</v>
      </c>
      <c r="R4566" s="33">
        <f>IFERROR(__xludf.DUMMYFUNCTION("""COMPUTED_VALUE"""),0.5)</f>
        <v>0.5</v>
      </c>
      <c r="S4566" s="4" t="str">
        <f>IFERROR(__xludf.DUMMYFUNCTION("""COMPUTED_VALUE"""),"Netcontroll Xmenu")</f>
        <v>Netcontroll Xmenu</v>
      </c>
      <c r="T4566" s="33">
        <f>IFERROR(__xludf.DUMMYFUNCTION("""COMPUTED_VALUE"""),0.5)</f>
        <v>0.5</v>
      </c>
      <c r="U4566" s="4" t="str">
        <f>IFERROR(__xludf.DUMMYFUNCTION("""COMPUTED_VALUE"""),"Netcontroll Xmenu")</f>
        <v>Netcontroll Xmenu</v>
      </c>
      <c r="V4566" s="33">
        <f>IFERROR(__xludf.DUMMYFUNCTION("""COMPUTED_VALUE"""),0.5)</f>
        <v>0.5</v>
      </c>
      <c r="W4566" s="4" t="str">
        <f>IFERROR(__xludf.DUMMYFUNCTION("""COMPUTED_VALUE"""),"Netcontroll Xmenu")</f>
        <v>Netcontroll Xmenu</v>
      </c>
      <c r="X4566" s="33">
        <f>IFERROR(__xludf.DUMMYFUNCTION("""COMPUTED_VALUE"""),0.5)</f>
        <v>0.5</v>
      </c>
    </row>
    <row r="4567">
      <c r="K4567" s="4" t="str">
        <f>IFERROR(__xludf.DUMMYFUNCTION("""COMPUTED_VALUE"""),"NOBRE HAMBURGUERIA")</f>
        <v>NOBRE HAMBURGUERIA</v>
      </c>
      <c r="L4567" s="32">
        <f>IFERROR(__xludf.DUMMYFUNCTION("""COMPUTED_VALUE"""),2.0)</f>
        <v>2</v>
      </c>
      <c r="M4567" s="4" t="str">
        <f>IFERROR(__xludf.DUMMYFUNCTION("""COMPUTED_VALUE"""),"Cardápio Web")</f>
        <v>Cardápio Web</v>
      </c>
      <c r="N4567" s="33">
        <f>IFERROR(__xludf.DUMMYFUNCTION("""COMPUTED_VALUE"""),0.5)</f>
        <v>0.5</v>
      </c>
      <c r="O4567" s="4" t="str">
        <f>IFERROR(__xludf.DUMMYFUNCTION("""COMPUTED_VALUE"""),"Cardápio Web")</f>
        <v>Cardápio Web</v>
      </c>
      <c r="P4567" s="33">
        <f>IFERROR(__xludf.DUMMYFUNCTION("""COMPUTED_VALUE"""),0.5)</f>
        <v>0.5</v>
      </c>
      <c r="Q4567" s="4" t="str">
        <f>IFERROR(__xludf.DUMMYFUNCTION("""COMPUTED_VALUE"""),"null")</f>
        <v>null</v>
      </c>
      <c r="R4567" s="33">
        <f>IFERROR(__xludf.DUMMYFUNCTION("""COMPUTED_VALUE"""),0.5)</f>
        <v>0.5</v>
      </c>
      <c r="S4567" s="4" t="str">
        <f>IFERROR(__xludf.DUMMYFUNCTION("""COMPUTED_VALUE"""),"null")</f>
        <v>null</v>
      </c>
      <c r="T4567" s="33">
        <f>IFERROR(__xludf.DUMMYFUNCTION("""COMPUTED_VALUE"""),0.5)</f>
        <v>0.5</v>
      </c>
      <c r="U4567" s="4" t="str">
        <f>IFERROR(__xludf.DUMMYFUNCTION("""COMPUTED_VALUE"""),"null")</f>
        <v>null</v>
      </c>
      <c r="V4567" s="33">
        <f>IFERROR(__xludf.DUMMYFUNCTION("""COMPUTED_VALUE"""),0.5)</f>
        <v>0.5</v>
      </c>
      <c r="W4567" s="4" t="str">
        <f>IFERROR(__xludf.DUMMYFUNCTION("""COMPUTED_VALUE"""),"null")</f>
        <v>null</v>
      </c>
      <c r="X4567" s="33">
        <f>IFERROR(__xludf.DUMMYFUNCTION("""COMPUTED_VALUE"""),0.5)</f>
        <v>0.5</v>
      </c>
    </row>
    <row r="4568">
      <c r="K4568" s="4" t="str">
        <f>IFERROR(__xludf.DUMMYFUNCTION("""COMPUTED_VALUE"""),"BEST BURGERS")</f>
        <v>BEST BURGERS</v>
      </c>
      <c r="L4568" s="32">
        <f>IFERROR(__xludf.DUMMYFUNCTION("""COMPUTED_VALUE"""),2.0)</f>
        <v>2</v>
      </c>
      <c r="M4568" s="4" t="str">
        <f>IFERROR(__xludf.DUMMYFUNCTION("""COMPUTED_VALUE"""),"null")</f>
        <v>null</v>
      </c>
      <c r="N4568" s="33">
        <f>IFERROR(__xludf.DUMMYFUNCTION("""COMPUTED_VALUE"""),1.0)</f>
        <v>1</v>
      </c>
      <c r="O4568" s="4" t="str">
        <f>IFERROR(__xludf.DUMMYFUNCTION("""COMPUTED_VALUE"""),"null")</f>
        <v>null</v>
      </c>
      <c r="P4568" s="33">
        <f>IFERROR(__xludf.DUMMYFUNCTION("""COMPUTED_VALUE"""),0.5)</f>
        <v>0.5</v>
      </c>
      <c r="Q4568" s="4" t="str">
        <f>IFERROR(__xludf.DUMMYFUNCTION("""COMPUTED_VALUE"""),"null")</f>
        <v>null</v>
      </c>
      <c r="R4568" s="33">
        <f>IFERROR(__xludf.DUMMYFUNCTION("""COMPUTED_VALUE"""),0.5)</f>
        <v>0.5</v>
      </c>
      <c r="S4568" s="4" t="str">
        <f>IFERROR(__xludf.DUMMYFUNCTION("""COMPUTED_VALUE"""),"null")</f>
        <v>null</v>
      </c>
      <c r="T4568" s="33">
        <f>IFERROR(__xludf.DUMMYFUNCTION("""COMPUTED_VALUE"""),1.0)</f>
        <v>1</v>
      </c>
      <c r="U4568" s="4" t="str">
        <f>IFERROR(__xludf.DUMMYFUNCTION("""COMPUTED_VALUE"""),"Anota Ai Solucoes Digitais S/a")</f>
        <v>Anota Ai Solucoes Digitais S/a</v>
      </c>
      <c r="V4568" s="33">
        <f>IFERROR(__xludf.DUMMYFUNCTION("""COMPUTED_VALUE"""),0.5)</f>
        <v>0.5</v>
      </c>
      <c r="W4568" s="4" t="str">
        <f>IFERROR(__xludf.DUMMYFUNCTION("""COMPUTED_VALUE"""),"null")</f>
        <v>null</v>
      </c>
      <c r="X4568" s="33">
        <f>IFERROR(__xludf.DUMMYFUNCTION("""COMPUTED_VALUE"""),1.0)</f>
        <v>1</v>
      </c>
    </row>
    <row r="4569">
      <c r="K4569" s="4" t="str">
        <f>IFERROR(__xludf.DUMMYFUNCTION("""COMPUTED_VALUE"""),"VITAL FARMA")</f>
        <v>VITAL FARMA</v>
      </c>
      <c r="L4569" s="32">
        <f>IFERROR(__xludf.DUMMYFUNCTION("""COMPUTED_VALUE"""),2.0)</f>
        <v>2</v>
      </c>
      <c r="M4569" s="4" t="str">
        <f>IFERROR(__xludf.DUMMYFUNCTION("""COMPUTED_VALUE"""),"null")</f>
        <v>null</v>
      </c>
      <c r="N4569" s="33">
        <f>IFERROR(__xludf.DUMMYFUNCTION("""COMPUTED_VALUE"""),0.5)</f>
        <v>0.5</v>
      </c>
      <c r="O4569" s="4" t="str">
        <f>IFERROR(__xludf.DUMMYFUNCTION("""COMPUTED_VALUE"""),"null")</f>
        <v>null</v>
      </c>
      <c r="P4569" s="33">
        <f>IFERROR(__xludf.DUMMYFUNCTION("""COMPUTED_VALUE"""),0.5)</f>
        <v>0.5</v>
      </c>
      <c r="Q4569" s="4" t="str">
        <f>IFERROR(__xludf.DUMMYFUNCTION("""COMPUTED_VALUE"""),"null")</f>
        <v>null</v>
      </c>
      <c r="R4569" s="33">
        <f>IFERROR(__xludf.DUMMYFUNCTION("""COMPUTED_VALUE"""),0.5)</f>
        <v>0.5</v>
      </c>
      <c r="S4569" s="4" t="str">
        <f>IFERROR(__xludf.DUMMYFUNCTION("""COMPUTED_VALUE"""),"null")</f>
        <v>null</v>
      </c>
      <c r="T4569" s="33">
        <f>IFERROR(__xludf.DUMMYFUNCTION("""COMPUTED_VALUE"""),0.5)</f>
        <v>0.5</v>
      </c>
      <c r="U4569" s="4" t="str">
        <f>IFERROR(__xludf.DUMMYFUNCTION("""COMPUTED_VALUE"""),"null")</f>
        <v>null</v>
      </c>
      <c r="V4569" s="33">
        <f>IFERROR(__xludf.DUMMYFUNCTION("""COMPUTED_VALUE"""),0.5)</f>
        <v>0.5</v>
      </c>
      <c r="W4569" s="4" t="str">
        <f>IFERROR(__xludf.DUMMYFUNCTION("""COMPUTED_VALUE"""),"N/A (Not found)")</f>
        <v>N/A (Not found)</v>
      </c>
      <c r="X4569" s="33">
        <f>IFERROR(__xludf.DUMMYFUNCTION("""COMPUTED_VALUE"""),1.0)</f>
        <v>1</v>
      </c>
    </row>
    <row r="4570">
      <c r="K4570" s="4" t="str">
        <f>IFERROR(__xludf.DUMMYFUNCTION("""COMPUTED_VALUE"""),"CARIOCAS ACAI")</f>
        <v>CARIOCAS ACAI</v>
      </c>
      <c r="L4570" s="32">
        <f>IFERROR(__xludf.DUMMYFUNCTION("""COMPUTED_VALUE"""),2.0)</f>
        <v>2</v>
      </c>
      <c r="M4570" s="4" t="str">
        <f>IFERROR(__xludf.DUMMYFUNCTION("""COMPUTED_VALUE"""),"null")</f>
        <v>null</v>
      </c>
      <c r="N4570" s="33">
        <f>IFERROR(__xludf.DUMMYFUNCTION("""COMPUTED_VALUE"""),0.5)</f>
        <v>0.5</v>
      </c>
      <c r="O4570" s="4" t="str">
        <f>IFERROR(__xludf.DUMMYFUNCTION("""COMPUTED_VALUE"""),"null")</f>
        <v>null</v>
      </c>
      <c r="P4570" s="33">
        <f>IFERROR(__xludf.DUMMYFUNCTION("""COMPUTED_VALUE"""),0.5)</f>
        <v>0.5</v>
      </c>
      <c r="Q4570" s="4" t="str">
        <f>IFERROR(__xludf.DUMMYFUNCTION("""COMPUTED_VALUE"""),"null")</f>
        <v>null</v>
      </c>
      <c r="R4570" s="33">
        <f>IFERROR(__xludf.DUMMYFUNCTION("""COMPUTED_VALUE"""),0.5)</f>
        <v>0.5</v>
      </c>
      <c r="S4570" s="4" t="str">
        <f>IFERROR(__xludf.DUMMYFUNCTION("""COMPUTED_VALUE"""),"Cardápio Web")</f>
        <v>Cardápio Web</v>
      </c>
      <c r="T4570" s="33">
        <f>IFERROR(__xludf.DUMMYFUNCTION("""COMPUTED_VALUE"""),1.0)</f>
        <v>1</v>
      </c>
      <c r="U4570" s="4" t="str">
        <f>IFERROR(__xludf.DUMMYFUNCTION("""COMPUTED_VALUE"""),"Cardápio Web")</f>
        <v>Cardápio Web</v>
      </c>
      <c r="V4570" s="33">
        <f>IFERROR(__xludf.DUMMYFUNCTION("""COMPUTED_VALUE"""),0.5)</f>
        <v>0.5</v>
      </c>
      <c r="W4570" s="4" t="str">
        <f>IFERROR(__xludf.DUMMYFUNCTION("""COMPUTED_VALUE"""),"Cardápio Web")</f>
        <v>Cardápio Web</v>
      </c>
      <c r="X4570" s="33">
        <f>IFERROR(__xludf.DUMMYFUNCTION("""COMPUTED_VALUE"""),0.5)</f>
        <v>0.5</v>
      </c>
    </row>
    <row r="4571">
      <c r="K4571" s="4" t="str">
        <f>IFERROR(__xludf.DUMMYFUNCTION("""COMPUTED_VALUE"""),"CHICUTA FARMA")</f>
        <v>CHICUTA FARMA</v>
      </c>
      <c r="L4571" s="32">
        <f>IFERROR(__xludf.DUMMYFUNCTION("""COMPUTED_VALUE"""),2.0)</f>
        <v>2</v>
      </c>
      <c r="M4571" s="4" t="str">
        <f>IFERROR(__xludf.DUMMYFUNCTION("""COMPUTED_VALUE"""),"null")</f>
        <v>null</v>
      </c>
      <c r="N4571" s="33">
        <f>IFERROR(__xludf.DUMMYFUNCTION("""COMPUTED_VALUE"""),1.0)</f>
        <v>1</v>
      </c>
      <c r="O4571" s="4" t="str">
        <f>IFERROR(__xludf.DUMMYFUNCTION("""COMPUTED_VALUE"""),"null")</f>
        <v>null</v>
      </c>
      <c r="P4571" s="33">
        <f>IFERROR(__xludf.DUMMYFUNCTION("""COMPUTED_VALUE"""),0.5)</f>
        <v>0.5</v>
      </c>
      <c r="Q4571" s="4" t="str">
        <f>IFERROR(__xludf.DUMMYFUNCTION("""COMPUTED_VALUE"""),"N/A (Not found)")</f>
        <v>N/A (Not found)</v>
      </c>
      <c r="R4571" s="33">
        <f>IFERROR(__xludf.DUMMYFUNCTION("""COMPUTED_VALUE"""),1.0)</f>
        <v>1</v>
      </c>
      <c r="S4571" s="4" t="str">
        <f>IFERROR(__xludf.DUMMYFUNCTION("""COMPUTED_VALUE"""),"N/A (Not found)")</f>
        <v>N/A (Not found)</v>
      </c>
      <c r="T4571" s="33">
        <f>IFERROR(__xludf.DUMMYFUNCTION("""COMPUTED_VALUE"""),1.0)</f>
        <v>1</v>
      </c>
      <c r="U4571" s="4" t="str">
        <f>IFERROR(__xludf.DUMMYFUNCTION("""COMPUTED_VALUE"""),"N/A (Not found)")</f>
        <v>N/A (Not found)</v>
      </c>
      <c r="V4571" s="33">
        <f>IFERROR(__xludf.DUMMYFUNCTION("""COMPUTED_VALUE"""),1.0)</f>
        <v>1</v>
      </c>
      <c r="W4571" s="4" t="str">
        <f>IFERROR(__xludf.DUMMYFUNCTION("""COMPUTED_VALUE"""),"null")</f>
        <v>null</v>
      </c>
      <c r="X4571" s="33">
        <f>IFERROR(__xludf.DUMMYFUNCTION("""COMPUTED_VALUE"""),0.5)</f>
        <v>0.5</v>
      </c>
    </row>
    <row r="4572">
      <c r="K4572" s="4" t="str">
        <f>IFERROR(__xludf.DUMMYFUNCTION("""COMPUTED_VALUE"""),"DISTRIBUIDORA DO NEGAO")</f>
        <v>DISTRIBUIDORA DO NEGAO</v>
      </c>
      <c r="L4572" s="32">
        <f>IFERROR(__xludf.DUMMYFUNCTION("""COMPUTED_VALUE"""),2.0)</f>
        <v>2</v>
      </c>
      <c r="M4572" s="4" t="str">
        <f>IFERROR(__xludf.DUMMYFUNCTION("""COMPUTED_VALUE"""),"N/A (Not found)")</f>
        <v>N/A (Not found)</v>
      </c>
      <c r="N4572" s="33">
        <f>IFERROR(__xludf.DUMMYFUNCTION("""COMPUTED_VALUE"""),1.0)</f>
        <v>1</v>
      </c>
      <c r="O4572" s="4" t="str">
        <f>IFERROR(__xludf.DUMMYFUNCTION("""COMPUTED_VALUE"""),"null")</f>
        <v>null</v>
      </c>
      <c r="P4572" s="33">
        <f>IFERROR(__xludf.DUMMYFUNCTION("""COMPUTED_VALUE"""),0.5)</f>
        <v>0.5</v>
      </c>
      <c r="Q4572" s="4" t="str">
        <f>IFERROR(__xludf.DUMMYFUNCTION("""COMPUTED_VALUE"""),"null")</f>
        <v>null</v>
      </c>
      <c r="R4572" s="33">
        <f>IFERROR(__xludf.DUMMYFUNCTION("""COMPUTED_VALUE"""),0.5)</f>
        <v>0.5</v>
      </c>
      <c r="S4572" s="4" t="str">
        <f>IFERROR(__xludf.DUMMYFUNCTION("""COMPUTED_VALUE"""),"null")</f>
        <v>null</v>
      </c>
      <c r="T4572" s="33">
        <f>IFERROR(__xludf.DUMMYFUNCTION("""COMPUTED_VALUE"""),0.5)</f>
        <v>0.5</v>
      </c>
      <c r="U4572" s="4" t="str">
        <f>IFERROR(__xludf.DUMMYFUNCTION("""COMPUTED_VALUE"""),"null")</f>
        <v>null</v>
      </c>
      <c r="V4572" s="33">
        <f>IFERROR(__xludf.DUMMYFUNCTION("""COMPUTED_VALUE"""),0.5)</f>
        <v>0.5</v>
      </c>
      <c r="W4572" s="4" t="str">
        <f>IFERROR(__xludf.DUMMYFUNCTION("""COMPUTED_VALUE"""),"null")</f>
        <v>null</v>
      </c>
      <c r="X4572" s="33">
        <f>IFERROR(__xludf.DUMMYFUNCTION("""COMPUTED_VALUE"""),0.5)</f>
        <v>0.5</v>
      </c>
    </row>
    <row r="4573">
      <c r="K4573" s="4" t="str">
        <f>IFERROR(__xludf.DUMMYFUNCTION("""COMPUTED_VALUE"""),"ACAI DO PARA")</f>
        <v>ACAI DO PARA</v>
      </c>
      <c r="L4573" s="32">
        <f>IFERROR(__xludf.DUMMYFUNCTION("""COMPUTED_VALUE"""),2.0)</f>
        <v>2</v>
      </c>
      <c r="M4573" s="4" t="str">
        <f>IFERROR(__xludf.DUMMYFUNCTION("""COMPUTED_VALUE"""),"null")</f>
        <v>null</v>
      </c>
      <c r="N4573" s="33">
        <f>IFERROR(__xludf.DUMMYFUNCTION("""COMPUTED_VALUE"""),1.0)</f>
        <v>1</v>
      </c>
      <c r="O4573" s="4" t="str">
        <f>IFERROR(__xludf.DUMMYFUNCTION("""COMPUTED_VALUE"""),"null")</f>
        <v>null</v>
      </c>
      <c r="P4573" s="33">
        <f>IFERROR(__xludf.DUMMYFUNCTION("""COMPUTED_VALUE"""),0.5)</f>
        <v>0.5</v>
      </c>
      <c r="Q4573" s="4" t="str">
        <f>IFERROR(__xludf.DUMMYFUNCTION("""COMPUTED_VALUE"""),"null")</f>
        <v>null</v>
      </c>
      <c r="R4573" s="33">
        <f>IFERROR(__xludf.DUMMYFUNCTION("""COMPUTED_VALUE"""),1.0)</f>
        <v>1</v>
      </c>
      <c r="S4573" s="4" t="str">
        <f>IFERROR(__xludf.DUMMYFUNCTION("""COMPUTED_VALUE"""),"null")</f>
        <v>null</v>
      </c>
      <c r="T4573" s="33">
        <f>IFERROR(__xludf.DUMMYFUNCTION("""COMPUTED_VALUE"""),1.0)</f>
        <v>1</v>
      </c>
      <c r="U4573" s="4" t="str">
        <f>IFERROR(__xludf.DUMMYFUNCTION("""COMPUTED_VALUE"""),"Mapp Sistemas")</f>
        <v>Mapp Sistemas</v>
      </c>
      <c r="V4573" s="33">
        <f>IFERROR(__xludf.DUMMYFUNCTION("""COMPUTED_VALUE"""),0.5)</f>
        <v>0.5</v>
      </c>
      <c r="W4573" s="4" t="str">
        <f>IFERROR(__xludf.DUMMYFUNCTION("""COMPUTED_VALUE"""),"Mapp Sistemas")</f>
        <v>Mapp Sistemas</v>
      </c>
      <c r="X4573" s="33">
        <f>IFERROR(__xludf.DUMMYFUNCTION("""COMPUTED_VALUE"""),0.5)</f>
        <v>0.5</v>
      </c>
    </row>
    <row r="4574">
      <c r="K4574" s="4" t="str">
        <f>IFERROR(__xludf.DUMMYFUNCTION("""COMPUTED_VALUE"""),"GALPAO PIZZARIA")</f>
        <v>GALPAO PIZZARIA</v>
      </c>
      <c r="L4574" s="32">
        <f>IFERROR(__xludf.DUMMYFUNCTION("""COMPUTED_VALUE"""),2.0)</f>
        <v>2</v>
      </c>
      <c r="M4574" s="4" t="str">
        <f>IFERROR(__xludf.DUMMYFUNCTION("""COMPUTED_VALUE"""),"null")</f>
        <v>null</v>
      </c>
      <c r="N4574" s="33">
        <f>IFERROR(__xludf.DUMMYFUNCTION("""COMPUTED_VALUE"""),0.5)</f>
        <v>0.5</v>
      </c>
      <c r="O4574" s="4" t="str">
        <f>IFERROR(__xludf.DUMMYFUNCTION("""COMPUTED_VALUE"""),"null")</f>
        <v>null</v>
      </c>
      <c r="P4574" s="33">
        <f>IFERROR(__xludf.DUMMYFUNCTION("""COMPUTED_VALUE"""),0.5)</f>
        <v>0.5</v>
      </c>
      <c r="Q4574" s="4" t="str">
        <f>IFERROR(__xludf.DUMMYFUNCTION("""COMPUTED_VALUE"""),"Saipos Serviços De Software")</f>
        <v>Saipos Serviços De Software</v>
      </c>
      <c r="R4574" s="33">
        <f>IFERROR(__xludf.DUMMYFUNCTION("""COMPUTED_VALUE"""),0.5)</f>
        <v>0.5</v>
      </c>
      <c r="S4574" s="4" t="str">
        <f>IFERROR(__xludf.DUMMYFUNCTION("""COMPUTED_VALUE"""),"Saipos Serviços De Software")</f>
        <v>Saipos Serviços De Software</v>
      </c>
      <c r="T4574" s="33">
        <f>IFERROR(__xludf.DUMMYFUNCTION("""COMPUTED_VALUE"""),0.5)</f>
        <v>0.5</v>
      </c>
      <c r="U4574" s="4" t="str">
        <f>IFERROR(__xludf.DUMMYFUNCTION("""COMPUTED_VALUE"""),"Saipos Serviços De Software")</f>
        <v>Saipos Serviços De Software</v>
      </c>
      <c r="V4574" s="33">
        <f>IFERROR(__xludf.DUMMYFUNCTION("""COMPUTED_VALUE"""),0.5)</f>
        <v>0.5</v>
      </c>
      <c r="W4574" s="4" t="str">
        <f>IFERROR(__xludf.DUMMYFUNCTION("""COMPUTED_VALUE"""),"Saipos Serviços De Software")</f>
        <v>Saipos Serviços De Software</v>
      </c>
      <c r="X4574" s="33">
        <f>IFERROR(__xludf.DUMMYFUNCTION("""COMPUTED_VALUE"""),0.5)</f>
        <v>0.5</v>
      </c>
    </row>
    <row r="4575">
      <c r="K4575" s="4" t="str">
        <f>IFERROR(__xludf.DUMMYFUNCTION("""COMPUTED_VALUE"""),"CASA DO PET DELIVERY")</f>
        <v>CASA DO PET DELIVERY</v>
      </c>
      <c r="L4575" s="32">
        <f>IFERROR(__xludf.DUMMYFUNCTION("""COMPUTED_VALUE"""),2.0)</f>
        <v>2</v>
      </c>
      <c r="M4575" s="4" t="str">
        <f>IFERROR(__xludf.DUMMYFUNCTION("""COMPUTED_VALUE"""),"null")</f>
        <v>null</v>
      </c>
      <c r="N4575" s="33">
        <f>IFERROR(__xludf.DUMMYFUNCTION("""COMPUTED_VALUE"""),0.5)</f>
        <v>0.5</v>
      </c>
      <c r="O4575" s="4" t="str">
        <f>IFERROR(__xludf.DUMMYFUNCTION("""COMPUTED_VALUE"""),"null")</f>
        <v>null</v>
      </c>
      <c r="P4575" s="33">
        <f>IFERROR(__xludf.DUMMYFUNCTION("""COMPUTED_VALUE"""),0.5)</f>
        <v>0.5</v>
      </c>
      <c r="Q4575" s="4" t="str">
        <f>IFERROR(__xludf.DUMMYFUNCTION("""COMPUTED_VALUE"""),"null")</f>
        <v>null</v>
      </c>
      <c r="R4575" s="33">
        <f>IFERROR(__xludf.DUMMYFUNCTION("""COMPUTED_VALUE"""),0.5)</f>
        <v>0.5</v>
      </c>
      <c r="S4575" s="4" t="str">
        <f>IFERROR(__xludf.DUMMYFUNCTION("""COMPUTED_VALUE"""),"null")</f>
        <v>null</v>
      </c>
      <c r="T4575" s="33">
        <f>IFERROR(__xludf.DUMMYFUNCTION("""COMPUTED_VALUE"""),0.5)</f>
        <v>0.5</v>
      </c>
      <c r="U4575" s="4" t="str">
        <f>IFERROR(__xludf.DUMMYFUNCTION("""COMPUTED_VALUE"""),"N/A (Not found)")</f>
        <v>N/A (Not found)</v>
      </c>
      <c r="V4575" s="33">
        <f>IFERROR(__xludf.DUMMYFUNCTION("""COMPUTED_VALUE"""),1.0)</f>
        <v>1</v>
      </c>
      <c r="W4575" s="4" t="str">
        <f>IFERROR(__xludf.DUMMYFUNCTION("""COMPUTED_VALUE"""),"N/A (Not found)")</f>
        <v>N/A (Not found)</v>
      </c>
      <c r="X4575" s="33">
        <f>IFERROR(__xludf.DUMMYFUNCTION("""COMPUTED_VALUE"""),1.0)</f>
        <v>1</v>
      </c>
    </row>
    <row r="4576">
      <c r="K4576" s="4" t="str">
        <f>IFERROR(__xludf.DUMMYFUNCTION("""COMPUTED_VALUE"""),"MERCEARIA DA VILA")</f>
        <v>MERCEARIA DA VILA</v>
      </c>
      <c r="L4576" s="32">
        <f>IFERROR(__xludf.DUMMYFUNCTION("""COMPUTED_VALUE"""),2.0)</f>
        <v>2</v>
      </c>
      <c r="M4576" s="4" t="str">
        <f>IFERROR(__xludf.DUMMYFUNCTION("""COMPUTED_VALUE"""),"null")</f>
        <v>null</v>
      </c>
      <c r="N4576" s="33">
        <f>IFERROR(__xludf.DUMMYFUNCTION("""COMPUTED_VALUE"""),0.5)</f>
        <v>0.5</v>
      </c>
      <c r="O4576" s="4" t="str">
        <f>IFERROR(__xludf.DUMMYFUNCTION("""COMPUTED_VALUE"""),"null")</f>
        <v>null</v>
      </c>
      <c r="P4576" s="33">
        <f>IFERROR(__xludf.DUMMYFUNCTION("""COMPUTED_VALUE"""),0.5)</f>
        <v>0.5</v>
      </c>
      <c r="Q4576" s="4" t="str">
        <f>IFERROR(__xludf.DUMMYFUNCTION("""COMPUTED_VALUE"""),"null")</f>
        <v>null</v>
      </c>
      <c r="R4576" s="33">
        <f>IFERROR(__xludf.DUMMYFUNCTION("""COMPUTED_VALUE"""),0.5)</f>
        <v>0.5</v>
      </c>
      <c r="S4576" s="4" t="str">
        <f>IFERROR(__xludf.DUMMYFUNCTION("""COMPUTED_VALUE"""),"null")</f>
        <v>null</v>
      </c>
      <c r="T4576" s="33">
        <f>IFERROR(__xludf.DUMMYFUNCTION("""COMPUTED_VALUE"""),0.5)</f>
        <v>0.5</v>
      </c>
      <c r="U4576" s="4" t="str">
        <f>IFERROR(__xludf.DUMMYFUNCTION("""COMPUTED_VALUE"""),"null")</f>
        <v>null</v>
      </c>
      <c r="V4576" s="33">
        <f>IFERROR(__xludf.DUMMYFUNCTION("""COMPUTED_VALUE"""),0.5)</f>
        <v>0.5</v>
      </c>
      <c r="W4576" s="4" t="str">
        <f>IFERROR(__xludf.DUMMYFUNCTION("""COMPUTED_VALUE"""),"N/A (Not found)")</f>
        <v>N/A (Not found)</v>
      </c>
      <c r="X4576" s="33">
        <f>IFERROR(__xludf.DUMMYFUNCTION("""COMPUTED_VALUE"""),1.0)</f>
        <v>1</v>
      </c>
    </row>
    <row r="4577">
      <c r="K4577" s="4" t="str">
        <f>IFERROR(__xludf.DUMMYFUNCTION("""COMPUTED_VALUE"""),"ATELIE DO SABOR")</f>
        <v>ATELIE DO SABOR</v>
      </c>
      <c r="L4577" s="32">
        <f>IFERROR(__xludf.DUMMYFUNCTION("""COMPUTED_VALUE"""),2.0)</f>
        <v>2</v>
      </c>
      <c r="M4577" s="4" t="str">
        <f>IFERROR(__xludf.DUMMYFUNCTION("""COMPUTED_VALUE"""),"Alpha Logo")</f>
        <v>Alpha Logo</v>
      </c>
      <c r="N4577" s="33">
        <f>IFERROR(__xludf.DUMMYFUNCTION("""COMPUTED_VALUE"""),0.5)</f>
        <v>0.5</v>
      </c>
      <c r="O4577" s="4" t="str">
        <f>IFERROR(__xludf.DUMMYFUNCTION("""COMPUTED_VALUE"""),"Alpha Logo")</f>
        <v>Alpha Logo</v>
      </c>
      <c r="P4577" s="33">
        <f>IFERROR(__xludf.DUMMYFUNCTION("""COMPUTED_VALUE"""),0.5)</f>
        <v>0.5</v>
      </c>
      <c r="Q4577" s="4" t="str">
        <f>IFERROR(__xludf.DUMMYFUNCTION("""COMPUTED_VALUE"""),"Alpha Logo")</f>
        <v>Alpha Logo</v>
      </c>
      <c r="R4577" s="33">
        <f>IFERROR(__xludf.DUMMYFUNCTION("""COMPUTED_VALUE"""),0.5)</f>
        <v>0.5</v>
      </c>
      <c r="S4577" s="4" t="str">
        <f>IFERROR(__xludf.DUMMYFUNCTION("""COMPUTED_VALUE"""),"Alpha Logo")</f>
        <v>Alpha Logo</v>
      </c>
      <c r="T4577" s="33">
        <f>IFERROR(__xludf.DUMMYFUNCTION("""COMPUTED_VALUE"""),0.5)</f>
        <v>0.5</v>
      </c>
      <c r="U4577" s="4" t="str">
        <f>IFERROR(__xludf.DUMMYFUNCTION("""COMPUTED_VALUE"""),"Alpha Logo")</f>
        <v>Alpha Logo</v>
      </c>
      <c r="V4577" s="33">
        <f>IFERROR(__xludf.DUMMYFUNCTION("""COMPUTED_VALUE"""),0.5)</f>
        <v>0.5</v>
      </c>
      <c r="W4577" s="4" t="str">
        <f>IFERROR(__xludf.DUMMYFUNCTION("""COMPUTED_VALUE"""),"Alpha Logo")</f>
        <v>Alpha Logo</v>
      </c>
      <c r="X4577" s="33">
        <f>IFERROR(__xludf.DUMMYFUNCTION("""COMPUTED_VALUE"""),0.5)</f>
        <v>0.5</v>
      </c>
    </row>
    <row r="4578">
      <c r="K4578" s="4" t="str">
        <f>IFERROR(__xludf.DUMMYFUNCTION("""COMPUTED_VALUE"""),"ACAI TURBO")</f>
        <v>ACAI TURBO</v>
      </c>
      <c r="L4578" s="32">
        <f>IFERROR(__xludf.DUMMYFUNCTION("""COMPUTED_VALUE"""),2.0)</f>
        <v>2</v>
      </c>
      <c r="M4578" s="4" t="str">
        <f>IFERROR(__xludf.DUMMYFUNCTION("""COMPUTED_VALUE"""),"Cardápio Web")</f>
        <v>Cardápio Web</v>
      </c>
      <c r="N4578" s="33">
        <f>IFERROR(__xludf.DUMMYFUNCTION("""COMPUTED_VALUE"""),0.5)</f>
        <v>0.5</v>
      </c>
      <c r="O4578" s="4" t="str">
        <f>IFERROR(__xludf.DUMMYFUNCTION("""COMPUTED_VALUE"""),"Cardápio Web")</f>
        <v>Cardápio Web</v>
      </c>
      <c r="P4578" s="33">
        <f>IFERROR(__xludf.DUMMYFUNCTION("""COMPUTED_VALUE"""),0.5)</f>
        <v>0.5</v>
      </c>
      <c r="Q4578" s="4" t="str">
        <f>IFERROR(__xludf.DUMMYFUNCTION("""COMPUTED_VALUE"""),"Cardápio Web")</f>
        <v>Cardápio Web</v>
      </c>
      <c r="R4578" s="33">
        <f>IFERROR(__xludf.DUMMYFUNCTION("""COMPUTED_VALUE"""),0.5)</f>
        <v>0.5</v>
      </c>
      <c r="S4578" s="4" t="str">
        <f>IFERROR(__xludf.DUMMYFUNCTION("""COMPUTED_VALUE"""),"Cardápio Web")</f>
        <v>Cardápio Web</v>
      </c>
      <c r="T4578" s="33">
        <f>IFERROR(__xludf.DUMMYFUNCTION("""COMPUTED_VALUE"""),0.5)</f>
        <v>0.5</v>
      </c>
      <c r="U4578" s="4" t="str">
        <f>IFERROR(__xludf.DUMMYFUNCTION("""COMPUTED_VALUE"""),"Cardápio Web")</f>
        <v>Cardápio Web</v>
      </c>
      <c r="V4578" s="33">
        <f>IFERROR(__xludf.DUMMYFUNCTION("""COMPUTED_VALUE"""),0.5)</f>
        <v>0.5</v>
      </c>
      <c r="W4578" s="4" t="str">
        <f>IFERROR(__xludf.DUMMYFUNCTION("""COMPUTED_VALUE"""),"Cardápio Web")</f>
        <v>Cardápio Web</v>
      </c>
      <c r="X4578" s="33">
        <f>IFERROR(__xludf.DUMMYFUNCTION("""COMPUTED_VALUE"""),0.5)</f>
        <v>0.5</v>
      </c>
    </row>
    <row r="4579">
      <c r="K4579" s="4" t="str">
        <f>IFERROR(__xludf.DUMMYFUNCTION("""COMPUTED_VALUE"""),"CARLAO LANCHES")</f>
        <v>CARLAO LANCHES</v>
      </c>
      <c r="L4579" s="32">
        <f>IFERROR(__xludf.DUMMYFUNCTION("""COMPUTED_VALUE"""),2.0)</f>
        <v>2</v>
      </c>
      <c r="M4579" s="4" t="str">
        <f>IFERROR(__xludf.DUMMYFUNCTION("""COMPUTED_VALUE"""),"Anota Ai Solucoes Digitais S/a")</f>
        <v>Anota Ai Solucoes Digitais S/a</v>
      </c>
      <c r="N4579" s="33">
        <f>IFERROR(__xludf.DUMMYFUNCTION("""COMPUTED_VALUE"""),1.0)</f>
        <v>1</v>
      </c>
      <c r="O4579" s="4" t="str">
        <f>IFERROR(__xludf.DUMMYFUNCTION("""COMPUTED_VALUE"""),"Anota Ai Solucoes Digitais S/a")</f>
        <v>Anota Ai Solucoes Digitais S/a</v>
      </c>
      <c r="P4579" s="33">
        <f>IFERROR(__xludf.DUMMYFUNCTION("""COMPUTED_VALUE"""),1.0)</f>
        <v>1</v>
      </c>
      <c r="Q4579" s="4" t="str">
        <f>IFERROR(__xludf.DUMMYFUNCTION("""COMPUTED_VALUE"""),"Anota Ai Solucoes Digitais S/a")</f>
        <v>Anota Ai Solucoes Digitais S/a</v>
      </c>
      <c r="R4579" s="33">
        <f>IFERROR(__xludf.DUMMYFUNCTION("""COMPUTED_VALUE"""),1.0)</f>
        <v>1</v>
      </c>
      <c r="S4579" s="4" t="str">
        <f>IFERROR(__xludf.DUMMYFUNCTION("""COMPUTED_VALUE"""),"Anota Ai Solucoes Digitais S/a")</f>
        <v>Anota Ai Solucoes Digitais S/a</v>
      </c>
      <c r="T4579" s="33">
        <f>IFERROR(__xludf.DUMMYFUNCTION("""COMPUTED_VALUE"""),0.5)</f>
        <v>0.5</v>
      </c>
      <c r="U4579" s="4" t="str">
        <f>IFERROR(__xludf.DUMMYFUNCTION("""COMPUTED_VALUE"""),"Anota Ai Solucoes Digitais S/a")</f>
        <v>Anota Ai Solucoes Digitais S/a</v>
      </c>
      <c r="V4579" s="33">
        <f>IFERROR(__xludf.DUMMYFUNCTION("""COMPUTED_VALUE"""),1.0)</f>
        <v>1</v>
      </c>
      <c r="W4579" s="4" t="str">
        <f>IFERROR(__xludf.DUMMYFUNCTION("""COMPUTED_VALUE"""),"null")</f>
        <v>null</v>
      </c>
      <c r="X4579" s="33">
        <f>IFERROR(__xludf.DUMMYFUNCTION("""COMPUTED_VALUE"""),1.0)</f>
        <v>1</v>
      </c>
    </row>
    <row r="4580">
      <c r="K4580" s="4" t="str">
        <f>IFERROR(__xludf.DUMMYFUNCTION("""COMPUTED_VALUE"""),"SANTANA RESTAURANTE")</f>
        <v>SANTANA RESTAURANTE</v>
      </c>
      <c r="L4580" s="32">
        <f>IFERROR(__xludf.DUMMYFUNCTION("""COMPUTED_VALUE"""),2.0)</f>
        <v>2</v>
      </c>
      <c r="M4580" s="4" t="str">
        <f>IFERROR(__xludf.DUMMYFUNCTION("""COMPUTED_VALUE"""),"null")</f>
        <v>null</v>
      </c>
      <c r="N4580" s="33">
        <f>IFERROR(__xludf.DUMMYFUNCTION("""COMPUTED_VALUE"""),1.0)</f>
        <v>1</v>
      </c>
      <c r="O4580" s="4" t="str">
        <f>IFERROR(__xludf.DUMMYFUNCTION("""COMPUTED_VALUE"""),"null")</f>
        <v>null</v>
      </c>
      <c r="P4580" s="33">
        <f>IFERROR(__xludf.DUMMYFUNCTION("""COMPUTED_VALUE"""),1.0)</f>
        <v>1</v>
      </c>
      <c r="Q4580" s="4" t="str">
        <f>IFERROR(__xludf.DUMMYFUNCTION("""COMPUTED_VALUE"""),"null")</f>
        <v>null</v>
      </c>
      <c r="R4580" s="33">
        <f>IFERROR(__xludf.DUMMYFUNCTION("""COMPUTED_VALUE"""),0.5)</f>
        <v>0.5</v>
      </c>
      <c r="S4580" s="4" t="str">
        <f>IFERROR(__xludf.DUMMYFUNCTION("""COMPUTED_VALUE"""),"null")</f>
        <v>null</v>
      </c>
      <c r="T4580" s="33">
        <f>IFERROR(__xludf.DUMMYFUNCTION("""COMPUTED_VALUE"""),0.5)</f>
        <v>0.5</v>
      </c>
      <c r="U4580" s="4" t="str">
        <f>IFERROR(__xludf.DUMMYFUNCTION("""COMPUTED_VALUE"""),"Cardápio Web")</f>
        <v>Cardápio Web</v>
      </c>
      <c r="V4580" s="33">
        <f>IFERROR(__xludf.DUMMYFUNCTION("""COMPUTED_VALUE"""),0.5)</f>
        <v>0.5</v>
      </c>
      <c r="W4580" s="4" t="str">
        <f>IFERROR(__xludf.DUMMYFUNCTION("""COMPUTED_VALUE"""),"Cardápio Web")</f>
        <v>Cardápio Web</v>
      </c>
      <c r="X4580" s="33">
        <f>IFERROR(__xludf.DUMMYFUNCTION("""COMPUTED_VALUE"""),0.5)</f>
        <v>0.5</v>
      </c>
    </row>
    <row r="4581">
      <c r="K4581" s="4" t="str">
        <f>IFERROR(__xludf.DUMMYFUNCTION("""COMPUTED_VALUE"""),"RESTAURANTE FINO PALADAR")</f>
        <v>RESTAURANTE FINO PALADAR</v>
      </c>
      <c r="L4581" s="32">
        <f>IFERROR(__xludf.DUMMYFUNCTION("""COMPUTED_VALUE"""),2.0)</f>
        <v>2</v>
      </c>
      <c r="M4581" s="4" t="str">
        <f>IFERROR(__xludf.DUMMYFUNCTION("""COMPUTED_VALUE"""),"Consumer Soluções Em Tecnologia Ltda")</f>
        <v>Consumer Soluções Em Tecnologia Ltda</v>
      </c>
      <c r="N4581" s="33">
        <f>IFERROR(__xludf.DUMMYFUNCTION("""COMPUTED_VALUE"""),0.5)</f>
        <v>0.5</v>
      </c>
      <c r="O4581" s="4" t="str">
        <f>IFERROR(__xludf.DUMMYFUNCTION("""COMPUTED_VALUE"""),"Consumer Soluções Em Tecnologia Ltda")</f>
        <v>Consumer Soluções Em Tecnologia Ltda</v>
      </c>
      <c r="P4581" s="33">
        <f>IFERROR(__xludf.DUMMYFUNCTION("""COMPUTED_VALUE"""),0.5)</f>
        <v>0.5</v>
      </c>
      <c r="Q4581" s="4" t="str">
        <f>IFERROR(__xludf.DUMMYFUNCTION("""COMPUTED_VALUE"""),"Consumer Soluções Em Tecnologia Ltda")</f>
        <v>Consumer Soluções Em Tecnologia Ltda</v>
      </c>
      <c r="R4581" s="33">
        <f>IFERROR(__xludf.DUMMYFUNCTION("""COMPUTED_VALUE"""),0.5)</f>
        <v>0.5</v>
      </c>
      <c r="S4581" s="4" t="str">
        <f>IFERROR(__xludf.DUMMYFUNCTION("""COMPUTED_VALUE"""),"Consumer Soluções Em Tecnologia Ltda")</f>
        <v>Consumer Soluções Em Tecnologia Ltda</v>
      </c>
      <c r="T4581" s="33">
        <f>IFERROR(__xludf.DUMMYFUNCTION("""COMPUTED_VALUE"""),0.5)</f>
        <v>0.5</v>
      </c>
      <c r="U4581" s="4" t="str">
        <f>IFERROR(__xludf.DUMMYFUNCTION("""COMPUTED_VALUE"""),"null")</f>
        <v>null</v>
      </c>
      <c r="V4581" s="33">
        <f>IFERROR(__xludf.DUMMYFUNCTION("""COMPUTED_VALUE"""),1.0)</f>
        <v>1</v>
      </c>
      <c r="W4581" s="4" t="str">
        <f>IFERROR(__xludf.DUMMYFUNCTION("""COMPUTED_VALUE"""),"Consumer Soluções Em Tecnologia Ltda")</f>
        <v>Consumer Soluções Em Tecnologia Ltda</v>
      </c>
      <c r="X4581" s="33">
        <f>IFERROR(__xludf.DUMMYFUNCTION("""COMPUTED_VALUE"""),0.5)</f>
        <v>0.5</v>
      </c>
    </row>
    <row r="4582">
      <c r="K4582" s="4" t="str">
        <f>IFERROR(__xludf.DUMMYFUNCTION("""COMPUTED_VALUE"""),"AVALANCHE")</f>
        <v>AVALANCHE</v>
      </c>
      <c r="L4582" s="32">
        <f>IFERROR(__xludf.DUMMYFUNCTION("""COMPUTED_VALUE"""),2.0)</f>
        <v>2</v>
      </c>
      <c r="M4582" s="4" t="str">
        <f>IFERROR(__xludf.DUMMYFUNCTION("""COMPUTED_VALUE"""),"null")</f>
        <v>null</v>
      </c>
      <c r="N4582" s="33">
        <f>IFERROR(__xludf.DUMMYFUNCTION("""COMPUTED_VALUE"""),0.5)</f>
        <v>0.5</v>
      </c>
      <c r="O4582" s="4" t="str">
        <f>IFERROR(__xludf.DUMMYFUNCTION("""COMPUTED_VALUE"""),"null")</f>
        <v>null</v>
      </c>
      <c r="P4582" s="33">
        <f>IFERROR(__xludf.DUMMYFUNCTION("""COMPUTED_VALUE"""),0.5)</f>
        <v>0.5</v>
      </c>
      <c r="Q4582" s="4" t="str">
        <f>IFERROR(__xludf.DUMMYFUNCTION("""COMPUTED_VALUE"""),"Insert Code Informatica Ltda")</f>
        <v>Insert Code Informatica Ltda</v>
      </c>
      <c r="R4582" s="33">
        <f>IFERROR(__xludf.DUMMYFUNCTION("""COMPUTED_VALUE"""),0.5)</f>
        <v>0.5</v>
      </c>
      <c r="S4582" s="4" t="str">
        <f>IFERROR(__xludf.DUMMYFUNCTION("""COMPUTED_VALUE"""),"null")</f>
        <v>null</v>
      </c>
      <c r="T4582" s="33">
        <f>IFERROR(__xludf.DUMMYFUNCTION("""COMPUTED_VALUE"""),0.5)</f>
        <v>0.5</v>
      </c>
      <c r="U4582" s="4" t="str">
        <f>IFERROR(__xludf.DUMMYFUNCTION("""COMPUTED_VALUE"""),"Insert Code Informatica Ltda")</f>
        <v>Insert Code Informatica Ltda</v>
      </c>
      <c r="V4582" s="33">
        <f>IFERROR(__xludf.DUMMYFUNCTION("""COMPUTED_VALUE"""),0.5)</f>
        <v>0.5</v>
      </c>
      <c r="W4582" s="4" t="str">
        <f>IFERROR(__xludf.DUMMYFUNCTION("""COMPUTED_VALUE"""),"Insert Code Informatica Ltda")</f>
        <v>Insert Code Informatica Ltda</v>
      </c>
      <c r="X4582" s="33">
        <f>IFERROR(__xludf.DUMMYFUNCTION("""COMPUTED_VALUE"""),0.5)</f>
        <v>0.5</v>
      </c>
    </row>
    <row r="4583">
      <c r="K4583" s="4" t="str">
        <f>IFERROR(__xludf.DUMMYFUNCTION("""COMPUTED_VALUE"""),"ROCKN BURGER")</f>
        <v>ROCKN BURGER</v>
      </c>
      <c r="L4583" s="32">
        <f>IFERROR(__xludf.DUMMYFUNCTION("""COMPUTED_VALUE"""),2.0)</f>
        <v>2</v>
      </c>
      <c r="M4583" s="4" t="str">
        <f>IFERROR(__xludf.DUMMYFUNCTION("""COMPUTED_VALUE"""),"Grandchef Desenvolvimento De Sistemas Ltda")</f>
        <v>Grandchef Desenvolvimento De Sistemas Ltda</v>
      </c>
      <c r="N4583" s="33">
        <f>IFERROR(__xludf.DUMMYFUNCTION("""COMPUTED_VALUE"""),0.5)</f>
        <v>0.5</v>
      </c>
      <c r="O4583" s="4" t="str">
        <f>IFERROR(__xludf.DUMMYFUNCTION("""COMPUTED_VALUE"""),"Grandchef Desenvolvimento De Sistemas Ltda")</f>
        <v>Grandchef Desenvolvimento De Sistemas Ltda</v>
      </c>
      <c r="P4583" s="33">
        <f>IFERROR(__xludf.DUMMYFUNCTION("""COMPUTED_VALUE"""),0.5)</f>
        <v>0.5</v>
      </c>
      <c r="Q4583" s="4" t="str">
        <f>IFERROR(__xludf.DUMMYFUNCTION("""COMPUTED_VALUE"""),"Grandchef Desenvolvimento De Sistemas Ltda")</f>
        <v>Grandchef Desenvolvimento De Sistemas Ltda</v>
      </c>
      <c r="R4583" s="33">
        <f>IFERROR(__xludf.DUMMYFUNCTION("""COMPUTED_VALUE"""),0.5)</f>
        <v>0.5</v>
      </c>
      <c r="S4583" s="4" t="str">
        <f>IFERROR(__xludf.DUMMYFUNCTION("""COMPUTED_VALUE"""),"Grandchef Desenvolvimento De Sistemas Ltda")</f>
        <v>Grandchef Desenvolvimento De Sistemas Ltda</v>
      </c>
      <c r="T4583" s="33">
        <f>IFERROR(__xludf.DUMMYFUNCTION("""COMPUTED_VALUE"""),0.5)</f>
        <v>0.5</v>
      </c>
      <c r="U4583" s="4" t="str">
        <f>IFERROR(__xludf.DUMMYFUNCTION("""COMPUTED_VALUE"""),"Grandchef Desenvolvimento De Sistemas Ltda")</f>
        <v>Grandchef Desenvolvimento De Sistemas Ltda</v>
      </c>
      <c r="V4583" s="33">
        <f>IFERROR(__xludf.DUMMYFUNCTION("""COMPUTED_VALUE"""),0.5)</f>
        <v>0.5</v>
      </c>
      <c r="W4583" s="4" t="str">
        <f>IFERROR(__xludf.DUMMYFUNCTION("""COMPUTED_VALUE"""),"Grandchef Desenvolvimento De Sistemas Ltda")</f>
        <v>Grandchef Desenvolvimento De Sistemas Ltda</v>
      </c>
      <c r="X4583" s="33">
        <f>IFERROR(__xludf.DUMMYFUNCTION("""COMPUTED_VALUE"""),0.5)</f>
        <v>0.5</v>
      </c>
    </row>
    <row r="4584">
      <c r="K4584" s="4" t="str">
        <f>IFERROR(__xludf.DUMMYFUNCTION("""COMPUTED_VALUE"""),"JAPA BROW")</f>
        <v>JAPA BROW</v>
      </c>
      <c r="L4584" s="32">
        <f>IFERROR(__xludf.DUMMYFUNCTION("""COMPUTED_VALUE"""),2.0)</f>
        <v>2</v>
      </c>
      <c r="M4584" s="4" t="str">
        <f>IFERROR(__xludf.DUMMYFUNCTION("""COMPUTED_VALUE"""),"Saipos Serviços De Software")</f>
        <v>Saipos Serviços De Software</v>
      </c>
      <c r="N4584" s="33">
        <f>IFERROR(__xludf.DUMMYFUNCTION("""COMPUTED_VALUE"""),1.0)</f>
        <v>1</v>
      </c>
      <c r="O4584" s="4" t="str">
        <f>IFERROR(__xludf.DUMMYFUNCTION("""COMPUTED_VALUE"""),"Saipos Serviços De Software")</f>
        <v>Saipos Serviços De Software</v>
      </c>
      <c r="P4584" s="33">
        <f>IFERROR(__xludf.DUMMYFUNCTION("""COMPUTED_VALUE"""),1.0)</f>
        <v>1</v>
      </c>
      <c r="Q4584" s="4" t="str">
        <f>IFERROR(__xludf.DUMMYFUNCTION("""COMPUTED_VALUE"""),"Saipos Serviços De Software")</f>
        <v>Saipos Serviços De Software</v>
      </c>
      <c r="R4584" s="33">
        <f>IFERROR(__xludf.DUMMYFUNCTION("""COMPUTED_VALUE"""),1.0)</f>
        <v>1</v>
      </c>
      <c r="S4584" s="4" t="str">
        <f>IFERROR(__xludf.DUMMYFUNCTION("""COMPUTED_VALUE"""),"Saipos Serviços De Software")</f>
        <v>Saipos Serviços De Software</v>
      </c>
      <c r="T4584" s="33">
        <f>IFERROR(__xludf.DUMMYFUNCTION("""COMPUTED_VALUE"""),1.0)</f>
        <v>1</v>
      </c>
      <c r="U4584" s="4" t="str">
        <f>IFERROR(__xludf.DUMMYFUNCTION("""COMPUTED_VALUE"""),"Saipos Serviços De Software")</f>
        <v>Saipos Serviços De Software</v>
      </c>
      <c r="V4584" s="33">
        <f>IFERROR(__xludf.DUMMYFUNCTION("""COMPUTED_VALUE"""),1.0)</f>
        <v>1</v>
      </c>
      <c r="W4584" s="4" t="str">
        <f>IFERROR(__xludf.DUMMYFUNCTION("""COMPUTED_VALUE"""),"Saipos Serviços De Software")</f>
        <v>Saipos Serviços De Software</v>
      </c>
      <c r="X4584" s="33">
        <f>IFERROR(__xludf.DUMMYFUNCTION("""COMPUTED_VALUE"""),1.0)</f>
        <v>1</v>
      </c>
    </row>
    <row r="4585">
      <c r="K4585" s="4" t="str">
        <f>IFERROR(__xludf.DUMMYFUNCTION("""COMPUTED_VALUE"""),"BAITA BURGER")</f>
        <v>BAITA BURGER</v>
      </c>
      <c r="L4585" s="32">
        <f>IFERROR(__xludf.DUMMYFUNCTION("""COMPUTED_VALUE"""),2.0)</f>
        <v>2</v>
      </c>
      <c r="M4585" s="4" t="str">
        <f>IFERROR(__xludf.DUMMYFUNCTION("""COMPUTED_VALUE"""),"Instadelivery")</f>
        <v>Instadelivery</v>
      </c>
      <c r="N4585" s="33">
        <f>IFERROR(__xludf.DUMMYFUNCTION("""COMPUTED_VALUE"""),0.5)</f>
        <v>0.5</v>
      </c>
      <c r="O4585" s="4" t="str">
        <f>IFERROR(__xludf.DUMMYFUNCTION("""COMPUTED_VALUE"""),"Instadelivery")</f>
        <v>Instadelivery</v>
      </c>
      <c r="P4585" s="33">
        <f>IFERROR(__xludf.DUMMYFUNCTION("""COMPUTED_VALUE"""),0.5)</f>
        <v>0.5</v>
      </c>
      <c r="Q4585" s="4" t="str">
        <f>IFERROR(__xludf.DUMMYFUNCTION("""COMPUTED_VALUE"""),"Instadelivery")</f>
        <v>Instadelivery</v>
      </c>
      <c r="R4585" s="33">
        <f>IFERROR(__xludf.DUMMYFUNCTION("""COMPUTED_VALUE"""),0.5)</f>
        <v>0.5</v>
      </c>
      <c r="S4585" s="4" t="str">
        <f>IFERROR(__xludf.DUMMYFUNCTION("""COMPUTED_VALUE"""),"Instadelivery")</f>
        <v>Instadelivery</v>
      </c>
      <c r="T4585" s="33">
        <f>IFERROR(__xludf.DUMMYFUNCTION("""COMPUTED_VALUE"""),0.5)</f>
        <v>0.5</v>
      </c>
      <c r="U4585" s="4" t="str">
        <f>IFERROR(__xludf.DUMMYFUNCTION("""COMPUTED_VALUE"""),"Instadelivery")</f>
        <v>Instadelivery</v>
      </c>
      <c r="V4585" s="33">
        <f>IFERROR(__xludf.DUMMYFUNCTION("""COMPUTED_VALUE"""),0.5)</f>
        <v>0.5</v>
      </c>
      <c r="W4585" s="4" t="str">
        <f>IFERROR(__xludf.DUMMYFUNCTION("""COMPUTED_VALUE"""),"Instadelivery")</f>
        <v>Instadelivery</v>
      </c>
      <c r="X4585" s="33">
        <f>IFERROR(__xludf.DUMMYFUNCTION("""COMPUTED_VALUE"""),0.5)</f>
        <v>0.5</v>
      </c>
    </row>
    <row r="4586">
      <c r="K4586" s="4" t="str">
        <f>IFERROR(__xludf.DUMMYFUNCTION("""COMPUTED_VALUE"""),"KING ACAI")</f>
        <v>KING ACAI</v>
      </c>
      <c r="L4586" s="32">
        <f>IFERROR(__xludf.DUMMYFUNCTION("""COMPUTED_VALUE"""),2.0)</f>
        <v>2</v>
      </c>
      <c r="M4586" s="4" t="str">
        <f>IFERROR(__xludf.DUMMYFUNCTION("""COMPUTED_VALUE"""),"null")</f>
        <v>null</v>
      </c>
      <c r="N4586" s="33">
        <f>IFERROR(__xludf.DUMMYFUNCTION("""COMPUTED_VALUE"""),0.5)</f>
        <v>0.5</v>
      </c>
      <c r="O4586" s="4" t="str">
        <f>IFERROR(__xludf.DUMMYFUNCTION("""COMPUTED_VALUE"""),"null")</f>
        <v>null</v>
      </c>
      <c r="P4586" s="33">
        <f>IFERROR(__xludf.DUMMYFUNCTION("""COMPUTED_VALUE"""),1.0)</f>
        <v>1</v>
      </c>
      <c r="Q4586" s="4" t="str">
        <f>IFERROR(__xludf.DUMMYFUNCTION("""COMPUTED_VALUE"""),"null")</f>
        <v>null</v>
      </c>
      <c r="R4586" s="33">
        <f>IFERROR(__xludf.DUMMYFUNCTION("""COMPUTED_VALUE"""),1.0)</f>
        <v>1</v>
      </c>
      <c r="S4586" s="4" t="str">
        <f>IFERROR(__xludf.DUMMYFUNCTION("""COMPUTED_VALUE"""),"null")</f>
        <v>null</v>
      </c>
      <c r="T4586" s="33">
        <f>IFERROR(__xludf.DUMMYFUNCTION("""COMPUTED_VALUE"""),0.5)</f>
        <v>0.5</v>
      </c>
      <c r="U4586" s="4" t="str">
        <f>IFERROR(__xludf.DUMMYFUNCTION("""COMPUTED_VALUE"""),"Olaclick")</f>
        <v>Olaclick</v>
      </c>
      <c r="V4586" s="33">
        <f>IFERROR(__xludf.DUMMYFUNCTION("""COMPUTED_VALUE"""),0.5)</f>
        <v>0.5</v>
      </c>
      <c r="W4586" s="4" t="str">
        <f>IFERROR(__xludf.DUMMYFUNCTION("""COMPUTED_VALUE"""),"Olaclick")</f>
        <v>Olaclick</v>
      </c>
      <c r="X4586" s="33">
        <f>IFERROR(__xludf.DUMMYFUNCTION("""COMPUTED_VALUE"""),0.5)</f>
        <v>0.5</v>
      </c>
    </row>
    <row r="4587">
      <c r="K4587" s="4" t="str">
        <f>IFERROR(__xludf.DUMMYFUNCTION("""COMPUTED_VALUE"""),"LANCHONETE SHALOM")</f>
        <v>LANCHONETE SHALOM</v>
      </c>
      <c r="L4587" s="32">
        <f>IFERROR(__xludf.DUMMYFUNCTION("""COMPUTED_VALUE"""),2.0)</f>
        <v>2</v>
      </c>
      <c r="M4587" s="4" t="str">
        <f>IFERROR(__xludf.DUMMYFUNCTION("""COMPUTED_VALUE"""),"Consumer Soluções Em Tecnologia Ltda")</f>
        <v>Consumer Soluções Em Tecnologia Ltda</v>
      </c>
      <c r="N4587" s="33">
        <f>IFERROR(__xludf.DUMMYFUNCTION("""COMPUTED_VALUE"""),0.5)</f>
        <v>0.5</v>
      </c>
      <c r="O4587" s="4" t="str">
        <f>IFERROR(__xludf.DUMMYFUNCTION("""COMPUTED_VALUE"""),"Consumer Soluções Em Tecnologia Ltda")</f>
        <v>Consumer Soluções Em Tecnologia Ltda</v>
      </c>
      <c r="P4587" s="33">
        <f>IFERROR(__xludf.DUMMYFUNCTION("""COMPUTED_VALUE"""),0.5)</f>
        <v>0.5</v>
      </c>
      <c r="Q4587" s="4" t="str">
        <f>IFERROR(__xludf.DUMMYFUNCTION("""COMPUTED_VALUE"""),"null")</f>
        <v>null</v>
      </c>
      <c r="R4587" s="33">
        <f>IFERROR(__xludf.DUMMYFUNCTION("""COMPUTED_VALUE"""),0.5)</f>
        <v>0.5</v>
      </c>
      <c r="S4587" s="4" t="str">
        <f>IFERROR(__xludf.DUMMYFUNCTION("""COMPUTED_VALUE"""),"Consumer Soluções Em Tecnologia Ltda")</f>
        <v>Consumer Soluções Em Tecnologia Ltda</v>
      </c>
      <c r="T4587" s="33">
        <f>IFERROR(__xludf.DUMMYFUNCTION("""COMPUTED_VALUE"""),0.5)</f>
        <v>0.5</v>
      </c>
      <c r="U4587" s="4" t="str">
        <f>IFERROR(__xludf.DUMMYFUNCTION("""COMPUTED_VALUE"""),"Consumer Soluções Em Tecnologia Ltda")</f>
        <v>Consumer Soluções Em Tecnologia Ltda</v>
      </c>
      <c r="V4587" s="33">
        <f>IFERROR(__xludf.DUMMYFUNCTION("""COMPUTED_VALUE"""),0.5)</f>
        <v>0.5</v>
      </c>
      <c r="W4587" s="4" t="str">
        <f>IFERROR(__xludf.DUMMYFUNCTION("""COMPUTED_VALUE"""),"Consumer Soluções Em Tecnologia Ltda")</f>
        <v>Consumer Soluções Em Tecnologia Ltda</v>
      </c>
      <c r="X4587" s="33">
        <f>IFERROR(__xludf.DUMMYFUNCTION("""COMPUTED_VALUE"""),0.5)</f>
        <v>0.5</v>
      </c>
    </row>
    <row r="4588">
      <c r="K4588" s="4" t="str">
        <f>IFERROR(__xludf.DUMMYFUNCTION("""COMPUTED_VALUE"""),"SUSHI NAOTO")</f>
        <v>SUSHI NAOTO</v>
      </c>
      <c r="L4588" s="32">
        <f>IFERROR(__xludf.DUMMYFUNCTION("""COMPUTED_VALUE"""),2.0)</f>
        <v>2</v>
      </c>
      <c r="M4588" s="35" t="str">
        <f>IFERROR(__xludf.DUMMYFUNCTION("""COMPUTED_VALUE"""),"Maisentregas.com")</f>
        <v>Maisentregas.com</v>
      </c>
      <c r="N4588" s="33">
        <f>IFERROR(__xludf.DUMMYFUNCTION("""COMPUTED_VALUE"""),0.5)</f>
        <v>0.5</v>
      </c>
      <c r="O4588" s="35" t="str">
        <f>IFERROR(__xludf.DUMMYFUNCTION("""COMPUTED_VALUE"""),"Maisentregas.com")</f>
        <v>Maisentregas.com</v>
      </c>
      <c r="P4588" s="33">
        <f>IFERROR(__xludf.DUMMYFUNCTION("""COMPUTED_VALUE"""),0.5)</f>
        <v>0.5</v>
      </c>
      <c r="Q4588" s="35" t="str">
        <f>IFERROR(__xludf.DUMMYFUNCTION("""COMPUTED_VALUE"""),"Maisentregas.com")</f>
        <v>Maisentregas.com</v>
      </c>
      <c r="R4588" s="33">
        <f>IFERROR(__xludf.DUMMYFUNCTION("""COMPUTED_VALUE"""),0.5)</f>
        <v>0.5</v>
      </c>
      <c r="S4588" s="35" t="str">
        <f>IFERROR(__xludf.DUMMYFUNCTION("""COMPUTED_VALUE"""),"Maisentregas.com")</f>
        <v>Maisentregas.com</v>
      </c>
      <c r="T4588" s="33">
        <f>IFERROR(__xludf.DUMMYFUNCTION("""COMPUTED_VALUE"""),0.5)</f>
        <v>0.5</v>
      </c>
      <c r="U4588" s="35" t="str">
        <f>IFERROR(__xludf.DUMMYFUNCTION("""COMPUTED_VALUE"""),"Maisentregas.com")</f>
        <v>Maisentregas.com</v>
      </c>
      <c r="V4588" s="33">
        <f>IFERROR(__xludf.DUMMYFUNCTION("""COMPUTED_VALUE"""),0.5)</f>
        <v>0.5</v>
      </c>
      <c r="W4588" s="4" t="str">
        <f>IFERROR(__xludf.DUMMYFUNCTION("""COMPUTED_VALUE"""),"null")</f>
        <v>null</v>
      </c>
      <c r="X4588" s="33">
        <f>IFERROR(__xludf.DUMMYFUNCTION("""COMPUTED_VALUE"""),0.5)</f>
        <v>0.5</v>
      </c>
    </row>
    <row r="4589">
      <c r="K4589" s="4" t="str">
        <f>IFERROR(__xludf.DUMMYFUNCTION("""COMPUTED_VALUE"""),"VAMBORA PIZZARIA")</f>
        <v>VAMBORA PIZZARIA</v>
      </c>
      <c r="L4589" s="32">
        <f>IFERROR(__xludf.DUMMYFUNCTION("""COMPUTED_VALUE"""),2.0)</f>
        <v>2</v>
      </c>
      <c r="M4589" s="4" t="str">
        <f>IFERROR(__xludf.DUMMYFUNCTION("""COMPUTED_VALUE"""),"Saipos Serviços De Software")</f>
        <v>Saipos Serviços De Software</v>
      </c>
      <c r="N4589" s="33">
        <f>IFERROR(__xludf.DUMMYFUNCTION("""COMPUTED_VALUE"""),0.6666666666666666)</f>
        <v>0.6666666667</v>
      </c>
      <c r="O4589" s="4" t="str">
        <f>IFERROR(__xludf.DUMMYFUNCTION("""COMPUTED_VALUE"""),"Saipos Serviços De Software")</f>
        <v>Saipos Serviços De Software</v>
      </c>
      <c r="P4589" s="33">
        <f>IFERROR(__xludf.DUMMYFUNCTION("""COMPUTED_VALUE"""),1.0)</f>
        <v>1</v>
      </c>
      <c r="Q4589" s="4" t="str">
        <f>IFERROR(__xludf.DUMMYFUNCTION("""COMPUTED_VALUE"""),"Saipos Serviços De Software")</f>
        <v>Saipos Serviços De Software</v>
      </c>
      <c r="R4589" s="33">
        <f>IFERROR(__xludf.DUMMYFUNCTION("""COMPUTED_VALUE"""),1.0)</f>
        <v>1</v>
      </c>
      <c r="S4589" s="4" t="str">
        <f>IFERROR(__xludf.DUMMYFUNCTION("""COMPUTED_VALUE"""),"Saipos Serviços De Software")</f>
        <v>Saipos Serviços De Software</v>
      </c>
      <c r="T4589" s="33">
        <f>IFERROR(__xludf.DUMMYFUNCTION("""COMPUTED_VALUE"""),1.0)</f>
        <v>1</v>
      </c>
      <c r="U4589" s="4" t="str">
        <f>IFERROR(__xludf.DUMMYFUNCTION("""COMPUTED_VALUE"""),"Saipos Serviços De Software")</f>
        <v>Saipos Serviços De Software</v>
      </c>
      <c r="V4589" s="33">
        <f>IFERROR(__xludf.DUMMYFUNCTION("""COMPUTED_VALUE"""),1.0)</f>
        <v>1</v>
      </c>
      <c r="W4589" s="4" t="str">
        <f>IFERROR(__xludf.DUMMYFUNCTION("""COMPUTED_VALUE"""),"Saipos Serviços De Software")</f>
        <v>Saipos Serviços De Software</v>
      </c>
      <c r="X4589" s="33">
        <f>IFERROR(__xludf.DUMMYFUNCTION("""COMPUTED_VALUE"""),1.0)</f>
        <v>1</v>
      </c>
    </row>
    <row r="4590">
      <c r="K4590" s="4" t="str">
        <f>IFERROR(__xludf.DUMMYFUNCTION("""COMPUTED_VALUE"""),"DOM PIZZARIA E PASTELARIA")</f>
        <v>DOM PIZZARIA E PASTELARIA</v>
      </c>
      <c r="L4590" s="32">
        <f>IFERROR(__xludf.DUMMYFUNCTION("""COMPUTED_VALUE"""),2.0)</f>
        <v>2</v>
      </c>
      <c r="M4590" s="4" t="str">
        <f>IFERROR(__xludf.DUMMYFUNCTION("""COMPUTED_VALUE"""),"Gestor Tecnologia E Gestão Empresarial Ltda")</f>
        <v>Gestor Tecnologia E Gestão Empresarial Ltda</v>
      </c>
      <c r="N4590" s="33">
        <f>IFERROR(__xludf.DUMMYFUNCTION("""COMPUTED_VALUE"""),1.0)</f>
        <v>1</v>
      </c>
      <c r="O4590" s="4" t="str">
        <f>IFERROR(__xludf.DUMMYFUNCTION("""COMPUTED_VALUE"""),"Gestor Tecnologia E Gestão Empresarial Ltda")</f>
        <v>Gestor Tecnologia E Gestão Empresarial Ltda</v>
      </c>
      <c r="P4590" s="33">
        <f>IFERROR(__xludf.DUMMYFUNCTION("""COMPUTED_VALUE"""),1.0)</f>
        <v>1</v>
      </c>
      <c r="Q4590" s="4" t="str">
        <f>IFERROR(__xludf.DUMMYFUNCTION("""COMPUTED_VALUE"""),"Gestor Tecnologia E Gestão Empresarial Ltda")</f>
        <v>Gestor Tecnologia E Gestão Empresarial Ltda</v>
      </c>
      <c r="R4590" s="33">
        <f>IFERROR(__xludf.DUMMYFUNCTION("""COMPUTED_VALUE"""),0.5)</f>
        <v>0.5</v>
      </c>
      <c r="S4590" s="4" t="str">
        <f>IFERROR(__xludf.DUMMYFUNCTION("""COMPUTED_VALUE"""),"Gestor Tecnologia E Gestão Empresarial Ltda")</f>
        <v>Gestor Tecnologia E Gestão Empresarial Ltda</v>
      </c>
      <c r="T4590" s="33">
        <f>IFERROR(__xludf.DUMMYFUNCTION("""COMPUTED_VALUE"""),0.5)</f>
        <v>0.5</v>
      </c>
      <c r="U4590" s="4" t="str">
        <f>IFERROR(__xludf.DUMMYFUNCTION("""COMPUTED_VALUE"""),"Gestor Tecnologia E Gestão Empresarial Ltda")</f>
        <v>Gestor Tecnologia E Gestão Empresarial Ltda</v>
      </c>
      <c r="V4590" s="33">
        <f>IFERROR(__xludf.DUMMYFUNCTION("""COMPUTED_VALUE"""),0.5)</f>
        <v>0.5</v>
      </c>
      <c r="W4590" s="4" t="str">
        <f>IFERROR(__xludf.DUMMYFUNCTION("""COMPUTED_VALUE"""),"null")</f>
        <v>null</v>
      </c>
      <c r="X4590" s="33">
        <f>IFERROR(__xludf.DUMMYFUNCTION("""COMPUTED_VALUE"""),1.0)</f>
        <v>1</v>
      </c>
    </row>
    <row r="4591">
      <c r="K4591" s="4" t="str">
        <f>IFERROR(__xludf.DUMMYFUNCTION("""COMPUTED_VALUE"""),"BAMBOO SUSHI E POKE")</f>
        <v>BAMBOO SUSHI E POKE</v>
      </c>
      <c r="L4591" s="32">
        <f>IFERROR(__xludf.DUMMYFUNCTION("""COMPUTED_VALUE"""),2.0)</f>
        <v>2</v>
      </c>
      <c r="M4591" s="4" t="str">
        <f>IFERROR(__xludf.DUMMYFUNCTION("""COMPUTED_VALUE"""),"Saipos Serviços De Software")</f>
        <v>Saipos Serviços De Software</v>
      </c>
      <c r="N4591" s="33">
        <f>IFERROR(__xludf.DUMMYFUNCTION("""COMPUTED_VALUE"""),0.5)</f>
        <v>0.5</v>
      </c>
      <c r="O4591" s="4" t="str">
        <f>IFERROR(__xludf.DUMMYFUNCTION("""COMPUTED_VALUE"""),"Saipos Serviços De Software")</f>
        <v>Saipos Serviços De Software</v>
      </c>
      <c r="P4591" s="33">
        <f>IFERROR(__xludf.DUMMYFUNCTION("""COMPUTED_VALUE"""),0.5)</f>
        <v>0.5</v>
      </c>
      <c r="Q4591" s="4" t="str">
        <f>IFERROR(__xludf.DUMMYFUNCTION("""COMPUTED_VALUE"""),"Saipos Serviços De Software")</f>
        <v>Saipos Serviços De Software</v>
      </c>
      <c r="R4591" s="33">
        <f>IFERROR(__xludf.DUMMYFUNCTION("""COMPUTED_VALUE"""),0.5)</f>
        <v>0.5</v>
      </c>
      <c r="S4591" s="4" t="str">
        <f>IFERROR(__xludf.DUMMYFUNCTION("""COMPUTED_VALUE"""),"Saipos Serviços De Software")</f>
        <v>Saipos Serviços De Software</v>
      </c>
      <c r="T4591" s="33">
        <f>IFERROR(__xludf.DUMMYFUNCTION("""COMPUTED_VALUE"""),0.5)</f>
        <v>0.5</v>
      </c>
      <c r="U4591" s="4" t="str">
        <f>IFERROR(__xludf.DUMMYFUNCTION("""COMPUTED_VALUE"""),"Saipos Serviços De Software")</f>
        <v>Saipos Serviços De Software</v>
      </c>
      <c r="V4591" s="33">
        <f>IFERROR(__xludf.DUMMYFUNCTION("""COMPUTED_VALUE"""),1.0)</f>
        <v>1</v>
      </c>
      <c r="W4591" s="4" t="str">
        <f>IFERROR(__xludf.DUMMYFUNCTION("""COMPUTED_VALUE"""),"Saipos Serviços De Software")</f>
        <v>Saipos Serviços De Software</v>
      </c>
      <c r="X4591" s="33">
        <f>IFERROR(__xludf.DUMMYFUNCTION("""COMPUTED_VALUE"""),1.0)</f>
        <v>1</v>
      </c>
    </row>
    <row r="4592">
      <c r="K4592" s="4" t="str">
        <f>IFERROR(__xludf.DUMMYFUNCTION("""COMPUTED_VALUE"""),"BRASA HAMBURGUERIA ARTESANAL")</f>
        <v>BRASA HAMBURGUERIA ARTESANAL</v>
      </c>
      <c r="L4592" s="32">
        <f>IFERROR(__xludf.DUMMYFUNCTION("""COMPUTED_VALUE"""),2.0)</f>
        <v>2</v>
      </c>
      <c r="M4592" s="4" t="str">
        <f>IFERROR(__xludf.DUMMYFUNCTION("""COMPUTED_VALUE"""),"Suitable Tecnologia E Gestao")</f>
        <v>Suitable Tecnologia E Gestao</v>
      </c>
      <c r="N4592" s="33">
        <f>IFERROR(__xludf.DUMMYFUNCTION("""COMPUTED_VALUE"""),1.0)</f>
        <v>1</v>
      </c>
      <c r="O4592" s="4" t="str">
        <f>IFERROR(__xludf.DUMMYFUNCTION("""COMPUTED_VALUE"""),"Suitable Tecnologia E Gestao")</f>
        <v>Suitable Tecnologia E Gestao</v>
      </c>
      <c r="P4592" s="33">
        <f>IFERROR(__xludf.DUMMYFUNCTION("""COMPUTED_VALUE"""),1.0)</f>
        <v>1</v>
      </c>
      <c r="Q4592" s="4" t="str">
        <f>IFERROR(__xludf.DUMMYFUNCTION("""COMPUTED_VALUE"""),"Suitable Tecnologia E Gestao")</f>
        <v>Suitable Tecnologia E Gestao</v>
      </c>
      <c r="R4592" s="33">
        <f>IFERROR(__xludf.DUMMYFUNCTION("""COMPUTED_VALUE"""),1.0)</f>
        <v>1</v>
      </c>
      <c r="S4592" s="4" t="str">
        <f>IFERROR(__xludf.DUMMYFUNCTION("""COMPUTED_VALUE"""),"Suitable Tecnologia E Gestao")</f>
        <v>Suitable Tecnologia E Gestao</v>
      </c>
      <c r="T4592" s="33">
        <f>IFERROR(__xludf.DUMMYFUNCTION("""COMPUTED_VALUE"""),1.0)</f>
        <v>1</v>
      </c>
      <c r="U4592" s="4" t="str">
        <f>IFERROR(__xludf.DUMMYFUNCTION("""COMPUTED_VALUE"""),"Suitable Tecnologia E Gestao")</f>
        <v>Suitable Tecnologia E Gestao</v>
      </c>
      <c r="V4592" s="33">
        <f>IFERROR(__xludf.DUMMYFUNCTION("""COMPUTED_VALUE"""),1.0)</f>
        <v>1</v>
      </c>
      <c r="W4592" s="4" t="str">
        <f>IFERROR(__xludf.DUMMYFUNCTION("""COMPUTED_VALUE"""),"Suitable Tecnologia E Gestao")</f>
        <v>Suitable Tecnologia E Gestao</v>
      </c>
      <c r="X4592" s="33">
        <f>IFERROR(__xludf.DUMMYFUNCTION("""COMPUTED_VALUE"""),1.0)</f>
        <v>1</v>
      </c>
    </row>
    <row r="4593">
      <c r="K4593" s="4" t="str">
        <f>IFERROR(__xludf.DUMMYFUNCTION("""COMPUTED_VALUE"""),"SAN FELIPE")</f>
        <v>SAN FELIPE</v>
      </c>
      <c r="L4593" s="32">
        <f>IFERROR(__xludf.DUMMYFUNCTION("""COMPUTED_VALUE"""),2.0)</f>
        <v>2</v>
      </c>
      <c r="M4593" s="4" t="str">
        <f>IFERROR(__xludf.DUMMYFUNCTION("""COMPUTED_VALUE"""),"Winfood")</f>
        <v>Winfood</v>
      </c>
      <c r="N4593" s="33">
        <f>IFERROR(__xludf.DUMMYFUNCTION("""COMPUTED_VALUE"""),0.5)</f>
        <v>0.5</v>
      </c>
      <c r="O4593" s="4" t="str">
        <f>IFERROR(__xludf.DUMMYFUNCTION("""COMPUTED_VALUE"""),"Winfood")</f>
        <v>Winfood</v>
      </c>
      <c r="P4593" s="33">
        <f>IFERROR(__xludf.DUMMYFUNCTION("""COMPUTED_VALUE"""),0.5)</f>
        <v>0.5</v>
      </c>
      <c r="Q4593" s="4" t="str">
        <f>IFERROR(__xludf.DUMMYFUNCTION("""COMPUTED_VALUE"""),"Winfood")</f>
        <v>Winfood</v>
      </c>
      <c r="R4593" s="33">
        <f>IFERROR(__xludf.DUMMYFUNCTION("""COMPUTED_VALUE"""),0.5)</f>
        <v>0.5</v>
      </c>
      <c r="S4593" s="4" t="str">
        <f>IFERROR(__xludf.DUMMYFUNCTION("""COMPUTED_VALUE"""),"Winfood")</f>
        <v>Winfood</v>
      </c>
      <c r="T4593" s="33">
        <f>IFERROR(__xludf.DUMMYFUNCTION("""COMPUTED_VALUE"""),0.5)</f>
        <v>0.5</v>
      </c>
      <c r="U4593" s="4" t="str">
        <f>IFERROR(__xludf.DUMMYFUNCTION("""COMPUTED_VALUE"""),"Winfood")</f>
        <v>Winfood</v>
      </c>
      <c r="V4593" s="33">
        <f>IFERROR(__xludf.DUMMYFUNCTION("""COMPUTED_VALUE"""),0.5)</f>
        <v>0.5</v>
      </c>
      <c r="W4593" s="4" t="str">
        <f>IFERROR(__xludf.DUMMYFUNCTION("""COMPUTED_VALUE"""),"Winfood")</f>
        <v>Winfood</v>
      </c>
      <c r="X4593" s="33">
        <f>IFERROR(__xludf.DUMMYFUNCTION("""COMPUTED_VALUE"""),0.5)</f>
        <v>0.5</v>
      </c>
    </row>
    <row r="4594">
      <c r="K4594" s="4" t="str">
        <f>IFERROR(__xludf.DUMMYFUNCTION("""COMPUTED_VALUE"""),"PIZZARIA FORMOSA")</f>
        <v>PIZZARIA FORMOSA</v>
      </c>
      <c r="L4594" s="32">
        <f>IFERROR(__xludf.DUMMYFUNCTION("""COMPUTED_VALUE"""),2.0)</f>
        <v>2</v>
      </c>
      <c r="M4594" s="4" t="str">
        <f>IFERROR(__xludf.DUMMYFUNCTION("""COMPUTED_VALUE"""),"Expresso Delivery")</f>
        <v>Expresso Delivery</v>
      </c>
      <c r="N4594" s="33">
        <f>IFERROR(__xludf.DUMMYFUNCTION("""COMPUTED_VALUE"""),1.0)</f>
        <v>1</v>
      </c>
      <c r="O4594" s="4" t="str">
        <f>IFERROR(__xludf.DUMMYFUNCTION("""COMPUTED_VALUE"""),"Expresso Delivery")</f>
        <v>Expresso Delivery</v>
      </c>
      <c r="P4594" s="33">
        <f>IFERROR(__xludf.DUMMYFUNCTION("""COMPUTED_VALUE"""),1.0)</f>
        <v>1</v>
      </c>
      <c r="Q4594" s="4" t="str">
        <f>IFERROR(__xludf.DUMMYFUNCTION("""COMPUTED_VALUE"""),"Expresso Delivery")</f>
        <v>Expresso Delivery</v>
      </c>
      <c r="R4594" s="33">
        <f>IFERROR(__xludf.DUMMYFUNCTION("""COMPUTED_VALUE"""),1.0)</f>
        <v>1</v>
      </c>
      <c r="S4594" s="4" t="str">
        <f>IFERROR(__xludf.DUMMYFUNCTION("""COMPUTED_VALUE"""),"Expresso Delivery")</f>
        <v>Expresso Delivery</v>
      </c>
      <c r="T4594" s="33">
        <f>IFERROR(__xludf.DUMMYFUNCTION("""COMPUTED_VALUE"""),1.0)</f>
        <v>1</v>
      </c>
      <c r="U4594" s="4" t="str">
        <f>IFERROR(__xludf.DUMMYFUNCTION("""COMPUTED_VALUE"""),"Expresso Delivery")</f>
        <v>Expresso Delivery</v>
      </c>
      <c r="V4594" s="33">
        <f>IFERROR(__xludf.DUMMYFUNCTION("""COMPUTED_VALUE"""),1.0)</f>
        <v>1</v>
      </c>
      <c r="W4594" s="4" t="str">
        <f>IFERROR(__xludf.DUMMYFUNCTION("""COMPUTED_VALUE"""),"Expresso Delivery")</f>
        <v>Expresso Delivery</v>
      </c>
      <c r="X4594" s="33">
        <f>IFERROR(__xludf.DUMMYFUNCTION("""COMPUTED_VALUE"""),1.0)</f>
        <v>1</v>
      </c>
    </row>
    <row r="4595">
      <c r="K4595" s="4" t="str">
        <f>IFERROR(__xludf.DUMMYFUNCTION("""COMPUTED_VALUE"""),"ALHOARIA-SANDUICHE NO PAO DE ALHO")</f>
        <v>ALHOARIA-SANDUICHE NO PAO DE ALHO</v>
      </c>
      <c r="L4595" s="32">
        <f>IFERROR(__xludf.DUMMYFUNCTION("""COMPUTED_VALUE"""),2.0)</f>
        <v>2</v>
      </c>
      <c r="M4595" s="4" t="str">
        <f>IFERROR(__xludf.DUMMYFUNCTION("""COMPUTED_VALUE"""),"Anota Ai Solucoes Digitais S/a")</f>
        <v>Anota Ai Solucoes Digitais S/a</v>
      </c>
      <c r="N4595" s="33">
        <f>IFERROR(__xludf.DUMMYFUNCTION("""COMPUTED_VALUE"""),1.0)</f>
        <v>1</v>
      </c>
      <c r="O4595" s="4" t="str">
        <f>IFERROR(__xludf.DUMMYFUNCTION("""COMPUTED_VALUE"""),"Anota Ai Solucoes Digitais S/a")</f>
        <v>Anota Ai Solucoes Digitais S/a</v>
      </c>
      <c r="P4595" s="33">
        <f>IFERROR(__xludf.DUMMYFUNCTION("""COMPUTED_VALUE"""),1.0)</f>
        <v>1</v>
      </c>
      <c r="Q4595" s="4" t="str">
        <f>IFERROR(__xludf.DUMMYFUNCTION("""COMPUTED_VALUE"""),"Anota Ai Solucoes Digitais S/a")</f>
        <v>Anota Ai Solucoes Digitais S/a</v>
      </c>
      <c r="R4595" s="33">
        <f>IFERROR(__xludf.DUMMYFUNCTION("""COMPUTED_VALUE"""),1.0)</f>
        <v>1</v>
      </c>
      <c r="S4595" s="4" t="str">
        <f>IFERROR(__xludf.DUMMYFUNCTION("""COMPUTED_VALUE"""),"Anota Ai Solucoes Digitais S/a")</f>
        <v>Anota Ai Solucoes Digitais S/a</v>
      </c>
      <c r="T4595" s="33">
        <f>IFERROR(__xludf.DUMMYFUNCTION("""COMPUTED_VALUE"""),1.0)</f>
        <v>1</v>
      </c>
      <c r="U4595" s="4" t="str">
        <f>IFERROR(__xludf.DUMMYFUNCTION("""COMPUTED_VALUE"""),"Anota Ai Solucoes Digitais S/a")</f>
        <v>Anota Ai Solucoes Digitais S/a</v>
      </c>
      <c r="V4595" s="33">
        <f>IFERROR(__xludf.DUMMYFUNCTION("""COMPUTED_VALUE"""),1.0)</f>
        <v>1</v>
      </c>
      <c r="W4595" s="4" t="str">
        <f>IFERROR(__xludf.DUMMYFUNCTION("""COMPUTED_VALUE"""),"null")</f>
        <v>null</v>
      </c>
      <c r="X4595" s="33">
        <f>IFERROR(__xludf.DUMMYFUNCTION("""COMPUTED_VALUE"""),0.5)</f>
        <v>0.5</v>
      </c>
    </row>
    <row r="4596">
      <c r="K4596" s="4" t="str">
        <f>IFERROR(__xludf.DUMMYFUNCTION("""COMPUTED_VALUE"""),"LOTUS SUSHI")</f>
        <v>LOTUS SUSHI</v>
      </c>
      <c r="L4596" s="32">
        <f>IFERROR(__xludf.DUMMYFUNCTION("""COMPUTED_VALUE"""),2.0)</f>
        <v>2</v>
      </c>
      <c r="M4596" s="4" t="str">
        <f>IFERROR(__xludf.DUMMYFUNCTION("""COMPUTED_VALUE"""),"Saipos Serviços De Software")</f>
        <v>Saipos Serviços De Software</v>
      </c>
      <c r="N4596" s="33">
        <f>IFERROR(__xludf.DUMMYFUNCTION("""COMPUTED_VALUE"""),0.5)</f>
        <v>0.5</v>
      </c>
      <c r="O4596" s="4" t="str">
        <f>IFERROR(__xludf.DUMMYFUNCTION("""COMPUTED_VALUE"""),"Saipos Serviços De Software")</f>
        <v>Saipos Serviços De Software</v>
      </c>
      <c r="P4596" s="33">
        <f>IFERROR(__xludf.DUMMYFUNCTION("""COMPUTED_VALUE"""),0.5)</f>
        <v>0.5</v>
      </c>
      <c r="Q4596" s="4" t="str">
        <f>IFERROR(__xludf.DUMMYFUNCTION("""COMPUTED_VALUE"""),"Saipos Serviços De Software")</f>
        <v>Saipos Serviços De Software</v>
      </c>
      <c r="R4596" s="33">
        <f>IFERROR(__xludf.DUMMYFUNCTION("""COMPUTED_VALUE"""),0.5)</f>
        <v>0.5</v>
      </c>
      <c r="S4596" s="4" t="str">
        <f>IFERROR(__xludf.DUMMYFUNCTION("""COMPUTED_VALUE"""),"Saipos Serviços De Software")</f>
        <v>Saipos Serviços De Software</v>
      </c>
      <c r="T4596" s="33">
        <f>IFERROR(__xludf.DUMMYFUNCTION("""COMPUTED_VALUE"""),0.5)</f>
        <v>0.5</v>
      </c>
      <c r="U4596" s="4" t="str">
        <f>IFERROR(__xludf.DUMMYFUNCTION("""COMPUTED_VALUE"""),"Saipos Serviços De Software")</f>
        <v>Saipos Serviços De Software</v>
      </c>
      <c r="V4596" s="33">
        <f>IFERROR(__xludf.DUMMYFUNCTION("""COMPUTED_VALUE"""),0.5)</f>
        <v>0.5</v>
      </c>
      <c r="W4596" s="4" t="str">
        <f>IFERROR(__xludf.DUMMYFUNCTION("""COMPUTED_VALUE"""),"Saipos Serviços De Software")</f>
        <v>Saipos Serviços De Software</v>
      </c>
      <c r="X4596" s="33">
        <f>IFERROR(__xludf.DUMMYFUNCTION("""COMPUTED_VALUE"""),0.5)</f>
        <v>0.5</v>
      </c>
    </row>
    <row r="4597">
      <c r="K4597" s="4" t="str">
        <f>IFERROR(__xludf.DUMMYFUNCTION("""COMPUTED_VALUE"""),"PEIXE FRITO")</f>
        <v>PEIXE FRITO</v>
      </c>
      <c r="L4597" s="32">
        <f>IFERROR(__xludf.DUMMYFUNCTION("""COMPUTED_VALUE"""),2.0)</f>
        <v>2</v>
      </c>
      <c r="M4597" s="4" t="str">
        <f>IFERROR(__xludf.DUMMYFUNCTION("""COMPUTED_VALUE"""),"Alloy Tecnologia")</f>
        <v>Alloy Tecnologia</v>
      </c>
      <c r="N4597" s="33">
        <f>IFERROR(__xludf.DUMMYFUNCTION("""COMPUTED_VALUE"""),0.5)</f>
        <v>0.5</v>
      </c>
      <c r="O4597" s="4" t="str">
        <f>IFERROR(__xludf.DUMMYFUNCTION("""COMPUTED_VALUE"""),"Alloy Tecnologia")</f>
        <v>Alloy Tecnologia</v>
      </c>
      <c r="P4597" s="33">
        <f>IFERROR(__xludf.DUMMYFUNCTION("""COMPUTED_VALUE"""),0.5)</f>
        <v>0.5</v>
      </c>
      <c r="Q4597" s="4" t="str">
        <f>IFERROR(__xludf.DUMMYFUNCTION("""COMPUTED_VALUE"""),"Alloy Tecnologia")</f>
        <v>Alloy Tecnologia</v>
      </c>
      <c r="R4597" s="33">
        <f>IFERROR(__xludf.DUMMYFUNCTION("""COMPUTED_VALUE"""),0.5)</f>
        <v>0.5</v>
      </c>
      <c r="S4597" s="4" t="str">
        <f>IFERROR(__xludf.DUMMYFUNCTION("""COMPUTED_VALUE"""),"Alloy Tecnologia")</f>
        <v>Alloy Tecnologia</v>
      </c>
      <c r="T4597" s="33">
        <f>IFERROR(__xludf.DUMMYFUNCTION("""COMPUTED_VALUE"""),0.5)</f>
        <v>0.5</v>
      </c>
      <c r="U4597" s="4" t="str">
        <f>IFERROR(__xludf.DUMMYFUNCTION("""COMPUTED_VALUE"""),"Alloy Tecnologia")</f>
        <v>Alloy Tecnologia</v>
      </c>
      <c r="V4597" s="33">
        <f>IFERROR(__xludf.DUMMYFUNCTION("""COMPUTED_VALUE"""),0.5)</f>
        <v>0.5</v>
      </c>
      <c r="W4597" s="4" t="str">
        <f>IFERROR(__xludf.DUMMYFUNCTION("""COMPUTED_VALUE"""),"Alloy Tecnologia")</f>
        <v>Alloy Tecnologia</v>
      </c>
      <c r="X4597" s="33">
        <f>IFERROR(__xludf.DUMMYFUNCTION("""COMPUTED_VALUE"""),0.5)</f>
        <v>0.5</v>
      </c>
    </row>
    <row r="4598">
      <c r="K4598" s="4" t="str">
        <f>IFERROR(__xludf.DUMMYFUNCTION("""COMPUTED_VALUE"""),"FARMACIA SANTO ANTONIO")</f>
        <v>FARMACIA SANTO ANTONIO</v>
      </c>
      <c r="L4598" s="32">
        <f>IFERROR(__xludf.DUMMYFUNCTION("""COMPUTED_VALUE"""),2.0)</f>
        <v>2</v>
      </c>
      <c r="M4598" s="4" t="str">
        <f>IFERROR(__xludf.DUMMYFUNCTION("""COMPUTED_VALUE"""),"N/A (Not found)")</f>
        <v>N/A (Not found)</v>
      </c>
      <c r="N4598" s="33">
        <f>IFERROR(__xludf.DUMMYFUNCTION("""COMPUTED_VALUE"""),1.0)</f>
        <v>1</v>
      </c>
      <c r="O4598" s="4" t="str">
        <f>IFERROR(__xludf.DUMMYFUNCTION("""COMPUTED_VALUE"""),"N/A (Not found)")</f>
        <v>N/A (Not found)</v>
      </c>
      <c r="P4598" s="33">
        <f>IFERROR(__xludf.DUMMYFUNCTION("""COMPUTED_VALUE"""),1.0)</f>
        <v>1</v>
      </c>
      <c r="Q4598" s="4" t="str">
        <f>IFERROR(__xludf.DUMMYFUNCTION("""COMPUTED_VALUE"""),"N/A (Not found)")</f>
        <v>N/A (Not found)</v>
      </c>
      <c r="R4598" s="33">
        <f>IFERROR(__xludf.DUMMYFUNCTION("""COMPUTED_VALUE"""),1.0)</f>
        <v>1</v>
      </c>
      <c r="S4598" s="4" t="str">
        <f>IFERROR(__xludf.DUMMYFUNCTION("""COMPUTED_VALUE"""),"N/A (Not found)")</f>
        <v>N/A (Not found)</v>
      </c>
      <c r="T4598" s="33">
        <f>IFERROR(__xludf.DUMMYFUNCTION("""COMPUTED_VALUE"""),1.0)</f>
        <v>1</v>
      </c>
      <c r="U4598" s="4" t="str">
        <f>IFERROR(__xludf.DUMMYFUNCTION("""COMPUTED_VALUE"""),"N/A (Not found)")</f>
        <v>N/A (Not found)</v>
      </c>
      <c r="V4598" s="33">
        <f>IFERROR(__xludf.DUMMYFUNCTION("""COMPUTED_VALUE"""),1.0)</f>
        <v>1</v>
      </c>
      <c r="W4598" s="4" t="str">
        <f>IFERROR(__xludf.DUMMYFUNCTION("""COMPUTED_VALUE"""),"N/A (Not found)")</f>
        <v>N/A (Not found)</v>
      </c>
      <c r="X4598" s="33">
        <f>IFERROR(__xludf.DUMMYFUNCTION("""COMPUTED_VALUE"""),1.0)</f>
        <v>1</v>
      </c>
    </row>
    <row r="4599">
      <c r="K4599" s="4" t="str">
        <f>IFERROR(__xludf.DUMMYFUNCTION("""COMPUTED_VALUE"""),"CASARAO DO ACAI")</f>
        <v>CASARAO DO ACAI</v>
      </c>
      <c r="L4599" s="32">
        <f>IFERROR(__xludf.DUMMYFUNCTION("""COMPUTED_VALUE"""),2.0)</f>
        <v>2</v>
      </c>
      <c r="M4599" s="4" t="str">
        <f>IFERROR(__xludf.DUMMYFUNCTION("""COMPUTED_VALUE"""),"null")</f>
        <v>null</v>
      </c>
      <c r="N4599" s="33">
        <f>IFERROR(__xludf.DUMMYFUNCTION("""COMPUTED_VALUE"""),1.0)</f>
        <v>1</v>
      </c>
      <c r="O4599" s="4" t="str">
        <f>IFERROR(__xludf.DUMMYFUNCTION("""COMPUTED_VALUE"""),"null")</f>
        <v>null</v>
      </c>
      <c r="P4599" s="33">
        <f>IFERROR(__xludf.DUMMYFUNCTION("""COMPUTED_VALUE"""),1.0)</f>
        <v>1</v>
      </c>
      <c r="Q4599" s="4" t="str">
        <f>IFERROR(__xludf.DUMMYFUNCTION("""COMPUTED_VALUE"""),"null")</f>
        <v>null</v>
      </c>
      <c r="R4599" s="33">
        <f>IFERROR(__xludf.DUMMYFUNCTION("""COMPUTED_VALUE"""),1.0)</f>
        <v>1</v>
      </c>
      <c r="S4599" s="4" t="str">
        <f>IFERROR(__xludf.DUMMYFUNCTION("""COMPUTED_VALUE"""),"null")</f>
        <v>null</v>
      </c>
      <c r="T4599" s="33">
        <f>IFERROR(__xludf.DUMMYFUNCTION("""COMPUTED_VALUE"""),1.0)</f>
        <v>1</v>
      </c>
      <c r="U4599" s="4" t="str">
        <f>IFERROR(__xludf.DUMMYFUNCTION("""COMPUTED_VALUE"""),"Gama Tecnologias Ltda")</f>
        <v>Gama Tecnologias Ltda</v>
      </c>
      <c r="V4599" s="33">
        <f>IFERROR(__xludf.DUMMYFUNCTION("""COMPUTED_VALUE"""),1.0)</f>
        <v>1</v>
      </c>
      <c r="W4599" s="4" t="str">
        <f>IFERROR(__xludf.DUMMYFUNCTION("""COMPUTED_VALUE"""),"Gama Tecnologias Ltda")</f>
        <v>Gama Tecnologias Ltda</v>
      </c>
      <c r="X4599" s="33">
        <f>IFERROR(__xludf.DUMMYFUNCTION("""COMPUTED_VALUE"""),1.0)</f>
        <v>1</v>
      </c>
    </row>
    <row r="4600">
      <c r="K4600" s="4" t="str">
        <f>IFERROR(__xludf.DUMMYFUNCTION("""COMPUTED_VALUE"""),"PIZZA QUADRADA DO CHEFE")</f>
        <v>PIZZA QUADRADA DO CHEFE</v>
      </c>
      <c r="L4600" s="32">
        <f>IFERROR(__xludf.DUMMYFUNCTION("""COMPUTED_VALUE"""),2.0)</f>
        <v>2</v>
      </c>
      <c r="M4600" s="4" t="str">
        <f>IFERROR(__xludf.DUMMYFUNCTION("""COMPUTED_VALUE"""),"Brendi")</f>
        <v>Brendi</v>
      </c>
      <c r="N4600" s="33">
        <f>IFERROR(__xludf.DUMMYFUNCTION("""COMPUTED_VALUE"""),0.5)</f>
        <v>0.5</v>
      </c>
      <c r="O4600" s="4" t="str">
        <f>IFERROR(__xludf.DUMMYFUNCTION("""COMPUTED_VALUE"""),"Brendi")</f>
        <v>Brendi</v>
      </c>
      <c r="P4600" s="33">
        <f>IFERROR(__xludf.DUMMYFUNCTION("""COMPUTED_VALUE"""),0.5)</f>
        <v>0.5</v>
      </c>
      <c r="Q4600" s="4" t="str">
        <f>IFERROR(__xludf.DUMMYFUNCTION("""COMPUTED_VALUE"""),"null")</f>
        <v>null</v>
      </c>
      <c r="R4600" s="33">
        <f>IFERROR(__xludf.DUMMYFUNCTION("""COMPUTED_VALUE"""),0.5)</f>
        <v>0.5</v>
      </c>
      <c r="S4600" s="4" t="str">
        <f>IFERROR(__xludf.DUMMYFUNCTION("""COMPUTED_VALUE"""),"null")</f>
        <v>null</v>
      </c>
      <c r="T4600" s="33">
        <f>IFERROR(__xludf.DUMMYFUNCTION("""COMPUTED_VALUE"""),0.5)</f>
        <v>0.5</v>
      </c>
      <c r="U4600" s="4" t="str">
        <f>IFERROR(__xludf.DUMMYFUNCTION("""COMPUTED_VALUE"""),"null")</f>
        <v>null</v>
      </c>
      <c r="V4600" s="33">
        <f>IFERROR(__xludf.DUMMYFUNCTION("""COMPUTED_VALUE"""),0.5)</f>
        <v>0.5</v>
      </c>
      <c r="W4600" s="4" t="str">
        <f>IFERROR(__xludf.DUMMYFUNCTION("""COMPUTED_VALUE"""),"Brendi")</f>
        <v>Brendi</v>
      </c>
      <c r="X4600" s="33">
        <f>IFERROR(__xludf.DUMMYFUNCTION("""COMPUTED_VALUE"""),0.5)</f>
        <v>0.5</v>
      </c>
    </row>
    <row r="4601">
      <c r="K4601" s="4" t="str">
        <f>IFERROR(__xludf.DUMMYFUNCTION("""COMPUTED_VALUE"""),"GARAGEM DA PIZZA")</f>
        <v>GARAGEM DA PIZZA</v>
      </c>
      <c r="L4601" s="32">
        <f>IFERROR(__xludf.DUMMYFUNCTION("""COMPUTED_VALUE"""),2.0)</f>
        <v>2</v>
      </c>
      <c r="M4601" s="4" t="str">
        <f>IFERROR(__xludf.DUMMYFUNCTION("""COMPUTED_VALUE"""),"Anota Ai Solucoes Digitais S/a")</f>
        <v>Anota Ai Solucoes Digitais S/a</v>
      </c>
      <c r="N4601" s="33">
        <f>IFERROR(__xludf.DUMMYFUNCTION("""COMPUTED_VALUE"""),0.5)</f>
        <v>0.5</v>
      </c>
      <c r="O4601" s="4" t="str">
        <f>IFERROR(__xludf.DUMMYFUNCTION("""COMPUTED_VALUE"""),"Anota Ai Solucoes Digitais S/a")</f>
        <v>Anota Ai Solucoes Digitais S/a</v>
      </c>
      <c r="P4601" s="33">
        <f>IFERROR(__xludf.DUMMYFUNCTION("""COMPUTED_VALUE"""),0.5)</f>
        <v>0.5</v>
      </c>
      <c r="Q4601" s="4" t="str">
        <f>IFERROR(__xludf.DUMMYFUNCTION("""COMPUTED_VALUE"""),"Anota Ai Solucoes Digitais S/a")</f>
        <v>Anota Ai Solucoes Digitais S/a</v>
      </c>
      <c r="R4601" s="33">
        <f>IFERROR(__xludf.DUMMYFUNCTION("""COMPUTED_VALUE"""),0.5)</f>
        <v>0.5</v>
      </c>
      <c r="S4601" s="4" t="str">
        <f>IFERROR(__xludf.DUMMYFUNCTION("""COMPUTED_VALUE"""),"Anota Ai Solucoes Digitais S/a")</f>
        <v>Anota Ai Solucoes Digitais S/a</v>
      </c>
      <c r="T4601" s="33">
        <f>IFERROR(__xludf.DUMMYFUNCTION("""COMPUTED_VALUE"""),0.5)</f>
        <v>0.5</v>
      </c>
      <c r="U4601" s="4" t="str">
        <f>IFERROR(__xludf.DUMMYFUNCTION("""COMPUTED_VALUE"""),"Anota Ai Solucoes Digitais S/a")</f>
        <v>Anota Ai Solucoes Digitais S/a</v>
      </c>
      <c r="V4601" s="33">
        <f>IFERROR(__xludf.DUMMYFUNCTION("""COMPUTED_VALUE"""),0.5)</f>
        <v>0.5</v>
      </c>
      <c r="W4601" s="4" t="str">
        <f>IFERROR(__xludf.DUMMYFUNCTION("""COMPUTED_VALUE"""),"Anota Ai Solucoes Digitais S/a")</f>
        <v>Anota Ai Solucoes Digitais S/a</v>
      </c>
      <c r="X4601" s="33">
        <f>IFERROR(__xludf.DUMMYFUNCTION("""COMPUTED_VALUE"""),0.5)</f>
        <v>0.5</v>
      </c>
    </row>
    <row r="4602">
      <c r="K4602" s="4" t="str">
        <f>IFERROR(__xludf.DUMMYFUNCTION("""COMPUTED_VALUE"""),"LORDS BURGUER")</f>
        <v>LORDS BURGUER</v>
      </c>
      <c r="L4602" s="32">
        <f>IFERROR(__xludf.DUMMYFUNCTION("""COMPUTED_VALUE"""),2.0)</f>
        <v>2</v>
      </c>
      <c r="M4602" s="4" t="str">
        <f>IFERROR(__xludf.DUMMYFUNCTION("""COMPUTED_VALUE"""),"null")</f>
        <v>null</v>
      </c>
      <c r="N4602" s="33">
        <f>IFERROR(__xludf.DUMMYFUNCTION("""COMPUTED_VALUE"""),0.5)</f>
        <v>0.5</v>
      </c>
      <c r="O4602" s="4" t="str">
        <f>IFERROR(__xludf.DUMMYFUNCTION("""COMPUTED_VALUE"""),"null")</f>
        <v>null</v>
      </c>
      <c r="P4602" s="33">
        <f>IFERROR(__xludf.DUMMYFUNCTION("""COMPUTED_VALUE"""),0.5)</f>
        <v>0.5</v>
      </c>
      <c r="Q4602" s="4" t="str">
        <f>IFERROR(__xludf.DUMMYFUNCTION("""COMPUTED_VALUE"""),"null")</f>
        <v>null</v>
      </c>
      <c r="R4602" s="33">
        <f>IFERROR(__xludf.DUMMYFUNCTION("""COMPUTED_VALUE"""),0.5)</f>
        <v>0.5</v>
      </c>
      <c r="S4602" s="4" t="str">
        <f>IFERROR(__xludf.DUMMYFUNCTION("""COMPUTED_VALUE"""),"Saipos Serviços De Software")</f>
        <v>Saipos Serviços De Software</v>
      </c>
      <c r="T4602" s="33">
        <f>IFERROR(__xludf.DUMMYFUNCTION("""COMPUTED_VALUE"""),0.5)</f>
        <v>0.5</v>
      </c>
      <c r="U4602" s="4" t="str">
        <f>IFERROR(__xludf.DUMMYFUNCTION("""COMPUTED_VALUE"""),"Saipos Serviços De Software")</f>
        <v>Saipos Serviços De Software</v>
      </c>
      <c r="V4602" s="33">
        <f>IFERROR(__xludf.DUMMYFUNCTION("""COMPUTED_VALUE"""),0.5)</f>
        <v>0.5</v>
      </c>
      <c r="W4602" s="4" t="str">
        <f>IFERROR(__xludf.DUMMYFUNCTION("""COMPUTED_VALUE"""),"Saipos Serviços De Software")</f>
        <v>Saipos Serviços De Software</v>
      </c>
      <c r="X4602" s="33">
        <f>IFERROR(__xludf.DUMMYFUNCTION("""COMPUTED_VALUE"""),0.5)</f>
        <v>0.5</v>
      </c>
    </row>
    <row r="4603">
      <c r="K4603" s="4" t="str">
        <f>IFERROR(__xludf.DUMMYFUNCTION("""COMPUTED_VALUE"""),"ICE MANIA")</f>
        <v>ICE MANIA</v>
      </c>
      <c r="L4603" s="32">
        <f>IFERROR(__xludf.DUMMYFUNCTION("""COMPUTED_VALUE"""),2.0)</f>
        <v>2</v>
      </c>
      <c r="M4603" s="4" t="str">
        <f>IFERROR(__xludf.DUMMYFUNCTION("""COMPUTED_VALUE"""),"Connectplug")</f>
        <v>Connectplug</v>
      </c>
      <c r="N4603" s="33">
        <f>IFERROR(__xludf.DUMMYFUNCTION("""COMPUTED_VALUE"""),1.0)</f>
        <v>1</v>
      </c>
      <c r="O4603" s="4" t="str">
        <f>IFERROR(__xludf.DUMMYFUNCTION("""COMPUTED_VALUE"""),"Connectplug")</f>
        <v>Connectplug</v>
      </c>
      <c r="P4603" s="33">
        <f>IFERROR(__xludf.DUMMYFUNCTION("""COMPUTED_VALUE"""),1.0)</f>
        <v>1</v>
      </c>
      <c r="Q4603" s="4" t="str">
        <f>IFERROR(__xludf.DUMMYFUNCTION("""COMPUTED_VALUE"""),"Connectplug")</f>
        <v>Connectplug</v>
      </c>
      <c r="R4603" s="33">
        <f>IFERROR(__xludf.DUMMYFUNCTION("""COMPUTED_VALUE"""),1.0)</f>
        <v>1</v>
      </c>
      <c r="S4603" s="4" t="str">
        <f>IFERROR(__xludf.DUMMYFUNCTION("""COMPUTED_VALUE"""),"Connectplug")</f>
        <v>Connectplug</v>
      </c>
      <c r="T4603" s="33">
        <f>IFERROR(__xludf.DUMMYFUNCTION("""COMPUTED_VALUE"""),1.0)</f>
        <v>1</v>
      </c>
      <c r="U4603" s="4" t="str">
        <f>IFERROR(__xludf.DUMMYFUNCTION("""COMPUTED_VALUE"""),"Connectplug")</f>
        <v>Connectplug</v>
      </c>
      <c r="V4603" s="33">
        <f>IFERROR(__xludf.DUMMYFUNCTION("""COMPUTED_VALUE"""),1.0)</f>
        <v>1</v>
      </c>
      <c r="W4603" s="4" t="str">
        <f>IFERROR(__xludf.DUMMYFUNCTION("""COMPUTED_VALUE"""),"Connectplug")</f>
        <v>Connectplug</v>
      </c>
      <c r="X4603" s="33">
        <f>IFERROR(__xludf.DUMMYFUNCTION("""COMPUTED_VALUE"""),1.0)</f>
        <v>1</v>
      </c>
    </row>
    <row r="4604">
      <c r="K4604" s="4" t="str">
        <f>IFERROR(__xludf.DUMMYFUNCTION("""COMPUTED_VALUE"""),"ACAI DA PRENDA")</f>
        <v>ACAI DA PRENDA</v>
      </c>
      <c r="L4604" s="32">
        <f>IFERROR(__xludf.DUMMYFUNCTION("""COMPUTED_VALUE"""),2.0)</f>
        <v>2</v>
      </c>
      <c r="M4604" s="4" t="str">
        <f>IFERROR(__xludf.DUMMYFUNCTION("""COMPUTED_VALUE"""),"Opdv")</f>
        <v>Opdv</v>
      </c>
      <c r="N4604" s="33">
        <f>IFERROR(__xludf.DUMMYFUNCTION("""COMPUTED_VALUE"""),1.0)</f>
        <v>1</v>
      </c>
      <c r="O4604" s="4" t="str">
        <f>IFERROR(__xludf.DUMMYFUNCTION("""COMPUTED_VALUE"""),"Opdv")</f>
        <v>Opdv</v>
      </c>
      <c r="P4604" s="33">
        <f>IFERROR(__xludf.DUMMYFUNCTION("""COMPUTED_VALUE"""),1.0)</f>
        <v>1</v>
      </c>
      <c r="Q4604" s="4" t="str">
        <f>IFERROR(__xludf.DUMMYFUNCTION("""COMPUTED_VALUE"""),"Saipos Serviços De Software")</f>
        <v>Saipos Serviços De Software</v>
      </c>
      <c r="R4604" s="33">
        <f>IFERROR(__xludf.DUMMYFUNCTION("""COMPUTED_VALUE"""),1.0)</f>
        <v>1</v>
      </c>
      <c r="S4604" s="4" t="str">
        <f>IFERROR(__xludf.DUMMYFUNCTION("""COMPUTED_VALUE"""),"Saipos Serviços De Software")</f>
        <v>Saipos Serviços De Software</v>
      </c>
      <c r="T4604" s="33">
        <f>IFERROR(__xludf.DUMMYFUNCTION("""COMPUTED_VALUE"""),1.0)</f>
        <v>1</v>
      </c>
      <c r="U4604" s="4" t="str">
        <f>IFERROR(__xludf.DUMMYFUNCTION("""COMPUTED_VALUE"""),"Takeat Tecnologia")</f>
        <v>Takeat Tecnologia</v>
      </c>
      <c r="V4604" s="33">
        <f>IFERROR(__xludf.DUMMYFUNCTION("""COMPUTED_VALUE"""),1.0)</f>
        <v>1</v>
      </c>
      <c r="W4604" s="4" t="str">
        <f>IFERROR(__xludf.DUMMYFUNCTION("""COMPUTED_VALUE"""),"Takeat Tecnologia")</f>
        <v>Takeat Tecnologia</v>
      </c>
      <c r="X4604" s="33">
        <f>IFERROR(__xludf.DUMMYFUNCTION("""COMPUTED_VALUE"""),1.0)</f>
        <v>1</v>
      </c>
    </row>
    <row r="4605">
      <c r="K4605" s="4" t="str">
        <f>IFERROR(__xludf.DUMMYFUNCTION("""COMPUTED_VALUE"""),"NAPOLES PIZZARIA")</f>
        <v>NAPOLES PIZZARIA</v>
      </c>
      <c r="L4605" s="32">
        <f>IFERROR(__xludf.DUMMYFUNCTION("""COMPUTED_VALUE"""),2.0)</f>
        <v>2</v>
      </c>
      <c r="M4605" s="4" t="str">
        <f>IFERROR(__xludf.DUMMYFUNCTION("""COMPUTED_VALUE"""),"Looksystem Tecnologia Em Sistemas Ltda")</f>
        <v>Looksystem Tecnologia Em Sistemas Ltda</v>
      </c>
      <c r="N4605" s="33">
        <f>IFERROR(__xludf.DUMMYFUNCTION("""COMPUTED_VALUE"""),0.5)</f>
        <v>0.5</v>
      </c>
      <c r="O4605" s="4" t="str">
        <f>IFERROR(__xludf.DUMMYFUNCTION("""COMPUTED_VALUE"""),"Looksystem Tecnologia Em Sistemas Ltda")</f>
        <v>Looksystem Tecnologia Em Sistemas Ltda</v>
      </c>
      <c r="P4605" s="33">
        <f>IFERROR(__xludf.DUMMYFUNCTION("""COMPUTED_VALUE"""),0.5)</f>
        <v>0.5</v>
      </c>
      <c r="Q4605" s="4" t="str">
        <f>IFERROR(__xludf.DUMMYFUNCTION("""COMPUTED_VALUE"""),"Looksystem Tecnologia Em Sistemas Ltda")</f>
        <v>Looksystem Tecnologia Em Sistemas Ltda</v>
      </c>
      <c r="R4605" s="33">
        <f>IFERROR(__xludf.DUMMYFUNCTION("""COMPUTED_VALUE"""),0.5)</f>
        <v>0.5</v>
      </c>
      <c r="S4605" s="4" t="str">
        <f>IFERROR(__xludf.DUMMYFUNCTION("""COMPUTED_VALUE"""),"Looksystem Tecnologia Em Sistemas Ltda")</f>
        <v>Looksystem Tecnologia Em Sistemas Ltda</v>
      </c>
      <c r="T4605" s="33">
        <f>IFERROR(__xludf.DUMMYFUNCTION("""COMPUTED_VALUE"""),0.5)</f>
        <v>0.5</v>
      </c>
      <c r="U4605" s="4" t="str">
        <f>IFERROR(__xludf.DUMMYFUNCTION("""COMPUTED_VALUE"""),"Looksystem Tecnologia Em Sistemas Ltda")</f>
        <v>Looksystem Tecnologia Em Sistemas Ltda</v>
      </c>
      <c r="V4605" s="33">
        <f>IFERROR(__xludf.DUMMYFUNCTION("""COMPUTED_VALUE"""),0.5)</f>
        <v>0.5</v>
      </c>
      <c r="W4605" s="4" t="str">
        <f>IFERROR(__xludf.DUMMYFUNCTION("""COMPUTED_VALUE"""),"Looksystem Tecnologia Em Sistemas Ltda")</f>
        <v>Looksystem Tecnologia Em Sistemas Ltda</v>
      </c>
      <c r="X4605" s="33">
        <f>IFERROR(__xludf.DUMMYFUNCTION("""COMPUTED_VALUE"""),0.5)</f>
        <v>0.5</v>
      </c>
    </row>
    <row r="4606">
      <c r="K4606" s="4" t="str">
        <f>IFERROR(__xludf.DUMMYFUNCTION("""COMPUTED_VALUE"""),"BURGER ZONE")</f>
        <v>BURGER ZONE</v>
      </c>
      <c r="L4606" s="32">
        <f>IFERROR(__xludf.DUMMYFUNCTION("""COMPUTED_VALUE"""),2.0)</f>
        <v>2</v>
      </c>
      <c r="M4606" s="4" t="str">
        <f>IFERROR(__xludf.DUMMYFUNCTION("""COMPUTED_VALUE"""),"Cardápio Web")</f>
        <v>Cardápio Web</v>
      </c>
      <c r="N4606" s="33">
        <f>IFERROR(__xludf.DUMMYFUNCTION("""COMPUTED_VALUE"""),1.0)</f>
        <v>1</v>
      </c>
      <c r="O4606" s="4" t="str">
        <f>IFERROR(__xludf.DUMMYFUNCTION("""COMPUTED_VALUE"""),"Cardápio Web")</f>
        <v>Cardápio Web</v>
      </c>
      <c r="P4606" s="33">
        <f>IFERROR(__xludf.DUMMYFUNCTION("""COMPUTED_VALUE"""),1.0)</f>
        <v>1</v>
      </c>
      <c r="Q4606" s="4" t="str">
        <f>IFERROR(__xludf.DUMMYFUNCTION("""COMPUTED_VALUE"""),"Cardápio Web")</f>
        <v>Cardápio Web</v>
      </c>
      <c r="R4606" s="33">
        <f>IFERROR(__xludf.DUMMYFUNCTION("""COMPUTED_VALUE"""),1.0)</f>
        <v>1</v>
      </c>
      <c r="S4606" s="4" t="str">
        <f>IFERROR(__xludf.DUMMYFUNCTION("""COMPUTED_VALUE"""),"Cardápio Web")</f>
        <v>Cardápio Web</v>
      </c>
      <c r="T4606" s="33">
        <f>IFERROR(__xludf.DUMMYFUNCTION("""COMPUTED_VALUE"""),1.0)</f>
        <v>1</v>
      </c>
      <c r="U4606" s="4" t="str">
        <f>IFERROR(__xludf.DUMMYFUNCTION("""COMPUTED_VALUE"""),"Cardápio Web")</f>
        <v>Cardápio Web</v>
      </c>
      <c r="V4606" s="33">
        <f>IFERROR(__xludf.DUMMYFUNCTION("""COMPUTED_VALUE"""),1.0)</f>
        <v>1</v>
      </c>
      <c r="W4606" s="4" t="str">
        <f>IFERROR(__xludf.DUMMYFUNCTION("""COMPUTED_VALUE"""),"Cardápio Web")</f>
        <v>Cardápio Web</v>
      </c>
      <c r="X4606" s="33">
        <f>IFERROR(__xludf.DUMMYFUNCTION("""COMPUTED_VALUE"""),1.0)</f>
        <v>1</v>
      </c>
    </row>
    <row r="4607">
      <c r="K4607" s="4" t="str">
        <f>IFERROR(__xludf.DUMMYFUNCTION("""COMPUTED_VALUE"""),"PIZZARIA UNIAO")</f>
        <v>PIZZARIA UNIAO</v>
      </c>
      <c r="L4607" s="32">
        <f>IFERROR(__xludf.DUMMYFUNCTION("""COMPUTED_VALUE"""),2.0)</f>
        <v>2</v>
      </c>
      <c r="M4607" s="4" t="str">
        <f>IFERROR(__xludf.DUMMYFUNCTION("""COMPUTED_VALUE"""),"Cityfoods Ltda")</f>
        <v>Cityfoods Ltda</v>
      </c>
      <c r="N4607" s="33">
        <f>IFERROR(__xludf.DUMMYFUNCTION("""COMPUTED_VALUE"""),0.5)</f>
        <v>0.5</v>
      </c>
      <c r="O4607" s="4" t="str">
        <f>IFERROR(__xludf.DUMMYFUNCTION("""COMPUTED_VALUE"""),"Cityfoods Ltda")</f>
        <v>Cityfoods Ltda</v>
      </c>
      <c r="P4607" s="33">
        <f>IFERROR(__xludf.DUMMYFUNCTION("""COMPUTED_VALUE"""),0.5)</f>
        <v>0.5</v>
      </c>
      <c r="Q4607" s="4" t="str">
        <f>IFERROR(__xludf.DUMMYFUNCTION("""COMPUTED_VALUE"""),"Cityfoods Ltda")</f>
        <v>Cityfoods Ltda</v>
      </c>
      <c r="R4607" s="33">
        <f>IFERROR(__xludf.DUMMYFUNCTION("""COMPUTED_VALUE"""),0.5)</f>
        <v>0.5</v>
      </c>
      <c r="S4607" s="4" t="str">
        <f>IFERROR(__xludf.DUMMYFUNCTION("""COMPUTED_VALUE"""),"null")</f>
        <v>null</v>
      </c>
      <c r="T4607" s="33">
        <f>IFERROR(__xludf.DUMMYFUNCTION("""COMPUTED_VALUE"""),1.0)</f>
        <v>1</v>
      </c>
      <c r="U4607" s="4" t="str">
        <f>IFERROR(__xludf.DUMMYFUNCTION("""COMPUTED_VALUE"""),"Cardápio Web")</f>
        <v>Cardápio Web</v>
      </c>
      <c r="V4607" s="33">
        <f>IFERROR(__xludf.DUMMYFUNCTION("""COMPUTED_VALUE"""),0.5)</f>
        <v>0.5</v>
      </c>
      <c r="W4607" s="4" t="str">
        <f>IFERROR(__xludf.DUMMYFUNCTION("""COMPUTED_VALUE"""),"Cardápio Web")</f>
        <v>Cardápio Web</v>
      </c>
      <c r="X4607" s="33">
        <f>IFERROR(__xludf.DUMMYFUNCTION("""COMPUTED_VALUE"""),0.5)</f>
        <v>0.5</v>
      </c>
    </row>
    <row r="4608">
      <c r="K4608" s="4" t="str">
        <f>IFERROR(__xludf.DUMMYFUNCTION("""COMPUTED_VALUE"""),"TABULEIRO DA JAGUAR - ACARAJE")</f>
        <v>TABULEIRO DA JAGUAR - ACARAJE</v>
      </c>
      <c r="L4608" s="32">
        <f>IFERROR(__xludf.DUMMYFUNCTION("""COMPUTED_VALUE"""),2.0)</f>
        <v>2</v>
      </c>
      <c r="M4608" s="4" t="str">
        <f>IFERROR(__xludf.DUMMYFUNCTION("""COMPUTED_VALUE"""),"null")</f>
        <v>null</v>
      </c>
      <c r="N4608" s="33">
        <f>IFERROR(__xludf.DUMMYFUNCTION("""COMPUTED_VALUE"""),0.5)</f>
        <v>0.5</v>
      </c>
      <c r="O4608" s="4" t="str">
        <f>IFERROR(__xludf.DUMMYFUNCTION("""COMPUTED_VALUE"""),"Anota Ai Solucoes Digitais S/a")</f>
        <v>Anota Ai Solucoes Digitais S/a</v>
      </c>
      <c r="P4608" s="33">
        <f>IFERROR(__xludf.DUMMYFUNCTION("""COMPUTED_VALUE"""),1.0)</f>
        <v>1</v>
      </c>
      <c r="Q4608" s="4" t="str">
        <f>IFERROR(__xludf.DUMMYFUNCTION("""COMPUTED_VALUE"""),"Anota Ai Solucoes Digitais S/a")</f>
        <v>Anota Ai Solucoes Digitais S/a</v>
      </c>
      <c r="R4608" s="33">
        <f>IFERROR(__xludf.DUMMYFUNCTION("""COMPUTED_VALUE"""),0.5)</f>
        <v>0.5</v>
      </c>
      <c r="S4608" s="4" t="str">
        <f>IFERROR(__xludf.DUMMYFUNCTION("""COMPUTED_VALUE"""),"Saipos Serviços De Software")</f>
        <v>Saipos Serviços De Software</v>
      </c>
      <c r="T4608" s="33">
        <f>IFERROR(__xludf.DUMMYFUNCTION("""COMPUTED_VALUE"""),1.0)</f>
        <v>1</v>
      </c>
      <c r="U4608" s="4" t="str">
        <f>IFERROR(__xludf.DUMMYFUNCTION("""COMPUTED_VALUE"""),"Saipos Serviços De Software")</f>
        <v>Saipos Serviços De Software</v>
      </c>
      <c r="V4608" s="33">
        <f>IFERROR(__xludf.DUMMYFUNCTION("""COMPUTED_VALUE"""),1.0)</f>
        <v>1</v>
      </c>
      <c r="W4608" s="4" t="str">
        <f>IFERROR(__xludf.DUMMYFUNCTION("""COMPUTED_VALUE"""),"Saipos Serviços De Software")</f>
        <v>Saipos Serviços De Software</v>
      </c>
      <c r="X4608" s="33">
        <f>IFERROR(__xludf.DUMMYFUNCTION("""COMPUTED_VALUE"""),1.0)</f>
        <v>1</v>
      </c>
    </row>
    <row r="4609">
      <c r="K4609" s="4" t="str">
        <f>IFERROR(__xludf.DUMMYFUNCTION("""COMPUTED_VALUE"""),"PALORAMA")</f>
        <v>PALORAMA</v>
      </c>
      <c r="L4609" s="32">
        <f>IFERROR(__xludf.DUMMYFUNCTION("""COMPUTED_VALUE"""),2.0)</f>
        <v>2</v>
      </c>
      <c r="M4609" s="4" t="str">
        <f>IFERROR(__xludf.DUMMYFUNCTION("""COMPUTED_VALUE"""),"Yooga")</f>
        <v>Yooga</v>
      </c>
      <c r="N4609" s="33">
        <f>IFERROR(__xludf.DUMMYFUNCTION("""COMPUTED_VALUE"""),0.5)</f>
        <v>0.5</v>
      </c>
      <c r="O4609" s="4" t="str">
        <f>IFERROR(__xludf.DUMMYFUNCTION("""COMPUTED_VALUE"""),"Yooga")</f>
        <v>Yooga</v>
      </c>
      <c r="P4609" s="33">
        <f>IFERROR(__xludf.DUMMYFUNCTION("""COMPUTED_VALUE"""),0.5)</f>
        <v>0.5</v>
      </c>
      <c r="Q4609" s="4" t="str">
        <f>IFERROR(__xludf.DUMMYFUNCTION("""COMPUTED_VALUE"""),"null")</f>
        <v>null</v>
      </c>
      <c r="R4609" s="33">
        <f>IFERROR(__xludf.DUMMYFUNCTION("""COMPUTED_VALUE"""),1.0)</f>
        <v>1</v>
      </c>
      <c r="S4609" s="4" t="str">
        <f>IFERROR(__xludf.DUMMYFUNCTION("""COMPUTED_VALUE"""),"null")</f>
        <v>null</v>
      </c>
      <c r="T4609" s="33">
        <f>IFERROR(__xludf.DUMMYFUNCTION("""COMPUTED_VALUE"""),1.0)</f>
        <v>1</v>
      </c>
      <c r="U4609" s="4" t="str">
        <f>IFERROR(__xludf.DUMMYFUNCTION("""COMPUTED_VALUE"""),"null")</f>
        <v>null</v>
      </c>
      <c r="V4609" s="33">
        <f>IFERROR(__xludf.DUMMYFUNCTION("""COMPUTED_VALUE"""),0.5)</f>
        <v>0.5</v>
      </c>
      <c r="W4609" s="4" t="str">
        <f>IFERROR(__xludf.DUMMYFUNCTION("""COMPUTED_VALUE"""),"null")</f>
        <v>null</v>
      </c>
      <c r="X4609" s="33">
        <f>IFERROR(__xludf.DUMMYFUNCTION("""COMPUTED_VALUE"""),1.0)</f>
        <v>1</v>
      </c>
    </row>
    <row r="4610">
      <c r="K4610" s="4" t="str">
        <f>IFERROR(__xludf.DUMMYFUNCTION("""COMPUTED_VALUE"""),"TUPA PIZZARIA")</f>
        <v>TUPA PIZZARIA</v>
      </c>
      <c r="L4610" s="32">
        <f>IFERROR(__xludf.DUMMYFUNCTION("""COMPUTED_VALUE"""),2.0)</f>
        <v>2</v>
      </c>
      <c r="M4610" s="4" t="str">
        <f>IFERROR(__xludf.DUMMYFUNCTION("""COMPUTED_VALUE"""),"Saipos Serviços De Software")</f>
        <v>Saipos Serviços De Software</v>
      </c>
      <c r="N4610" s="33">
        <f>IFERROR(__xludf.DUMMYFUNCTION("""COMPUTED_VALUE"""),0.5)</f>
        <v>0.5</v>
      </c>
      <c r="O4610" s="4" t="str">
        <f>IFERROR(__xludf.DUMMYFUNCTION("""COMPUTED_VALUE"""),"Saipos Serviços De Software")</f>
        <v>Saipos Serviços De Software</v>
      </c>
      <c r="P4610" s="33">
        <f>IFERROR(__xludf.DUMMYFUNCTION("""COMPUTED_VALUE"""),0.5)</f>
        <v>0.5</v>
      </c>
      <c r="Q4610" s="4" t="str">
        <f>IFERROR(__xludf.DUMMYFUNCTION("""COMPUTED_VALUE"""),"Saipos Serviços De Software")</f>
        <v>Saipos Serviços De Software</v>
      </c>
      <c r="R4610" s="33">
        <f>IFERROR(__xludf.DUMMYFUNCTION("""COMPUTED_VALUE"""),0.5)</f>
        <v>0.5</v>
      </c>
      <c r="S4610" s="4" t="str">
        <f>IFERROR(__xludf.DUMMYFUNCTION("""COMPUTED_VALUE"""),"Saipos Serviços De Software")</f>
        <v>Saipos Serviços De Software</v>
      </c>
      <c r="T4610" s="33">
        <f>IFERROR(__xludf.DUMMYFUNCTION("""COMPUTED_VALUE"""),0.5)</f>
        <v>0.5</v>
      </c>
      <c r="U4610" s="4" t="str">
        <f>IFERROR(__xludf.DUMMYFUNCTION("""COMPUTED_VALUE"""),"Saipos Serviços De Software")</f>
        <v>Saipos Serviços De Software</v>
      </c>
      <c r="V4610" s="33">
        <f>IFERROR(__xludf.DUMMYFUNCTION("""COMPUTED_VALUE"""),0.5)</f>
        <v>0.5</v>
      </c>
      <c r="W4610" s="4" t="str">
        <f>IFERROR(__xludf.DUMMYFUNCTION("""COMPUTED_VALUE"""),"Saipos Serviços De Software")</f>
        <v>Saipos Serviços De Software</v>
      </c>
      <c r="X4610" s="33">
        <f>IFERROR(__xludf.DUMMYFUNCTION("""COMPUTED_VALUE"""),0.5)</f>
        <v>0.5</v>
      </c>
    </row>
    <row r="4611">
      <c r="K4611" s="4" t="str">
        <f>IFERROR(__xludf.DUMMYFUNCTION("""COMPUTED_VALUE"""),"ZOOLOJA")</f>
        <v>ZOOLOJA</v>
      </c>
      <c r="L4611" s="32">
        <f>IFERROR(__xludf.DUMMYFUNCTION("""COMPUTED_VALUE"""),2.0)</f>
        <v>2</v>
      </c>
      <c r="M4611" s="4" t="str">
        <f>IFERROR(__xludf.DUMMYFUNCTION("""COMPUTED_VALUE"""),"N/A (Not found)")</f>
        <v>N/A (Not found)</v>
      </c>
      <c r="N4611" s="33">
        <f>IFERROR(__xludf.DUMMYFUNCTION("""COMPUTED_VALUE"""),1.0)</f>
        <v>1</v>
      </c>
      <c r="O4611" s="4" t="str">
        <f>IFERROR(__xludf.DUMMYFUNCTION("""COMPUTED_VALUE"""),"N/A (Not found)")</f>
        <v>N/A (Not found)</v>
      </c>
      <c r="P4611" s="33">
        <f>IFERROR(__xludf.DUMMYFUNCTION("""COMPUTED_VALUE"""),1.0)</f>
        <v>1</v>
      </c>
      <c r="Q4611" s="4" t="str">
        <f>IFERROR(__xludf.DUMMYFUNCTION("""COMPUTED_VALUE"""),"N/A (Not found)")</f>
        <v>N/A (Not found)</v>
      </c>
      <c r="R4611" s="33">
        <f>IFERROR(__xludf.DUMMYFUNCTION("""COMPUTED_VALUE"""),1.0)</f>
        <v>1</v>
      </c>
      <c r="S4611" s="4" t="str">
        <f>IFERROR(__xludf.DUMMYFUNCTION("""COMPUTED_VALUE"""),"N/A (Not found)")</f>
        <v>N/A (Not found)</v>
      </c>
      <c r="T4611" s="33">
        <f>IFERROR(__xludf.DUMMYFUNCTION("""COMPUTED_VALUE"""),1.0)</f>
        <v>1</v>
      </c>
      <c r="U4611" s="4" t="str">
        <f>IFERROR(__xludf.DUMMYFUNCTION("""COMPUTED_VALUE"""),"N/A (Not found)")</f>
        <v>N/A (Not found)</v>
      </c>
      <c r="V4611" s="33">
        <f>IFERROR(__xludf.DUMMYFUNCTION("""COMPUTED_VALUE"""),1.0)</f>
        <v>1</v>
      </c>
      <c r="W4611" s="4" t="str">
        <f>IFERROR(__xludf.DUMMYFUNCTION("""COMPUTED_VALUE"""),"N/A (Not found)")</f>
        <v>N/A (Not found)</v>
      </c>
      <c r="X4611" s="33">
        <f>IFERROR(__xludf.DUMMYFUNCTION("""COMPUTED_VALUE"""),1.0)</f>
        <v>1</v>
      </c>
    </row>
    <row r="4612">
      <c r="K4612" s="4" t="str">
        <f>IFERROR(__xludf.DUMMYFUNCTION("""COMPUTED_VALUE"""),"PREMIUM PIZZA")</f>
        <v>PREMIUM PIZZA</v>
      </c>
      <c r="L4612" s="32">
        <f>IFERROR(__xludf.DUMMYFUNCTION("""COMPUTED_VALUE"""),2.0)</f>
        <v>2</v>
      </c>
      <c r="M4612" s="4" t="str">
        <f>IFERROR(__xludf.DUMMYFUNCTION("""COMPUTED_VALUE"""),"Expresso Delivery")</f>
        <v>Expresso Delivery</v>
      </c>
      <c r="N4612" s="33">
        <f>IFERROR(__xludf.DUMMYFUNCTION("""COMPUTED_VALUE"""),0.5)</f>
        <v>0.5</v>
      </c>
      <c r="O4612" s="4" t="str">
        <f>IFERROR(__xludf.DUMMYFUNCTION("""COMPUTED_VALUE"""),"Expresso Delivery")</f>
        <v>Expresso Delivery</v>
      </c>
      <c r="P4612" s="33">
        <f>IFERROR(__xludf.DUMMYFUNCTION("""COMPUTED_VALUE"""),0.5)</f>
        <v>0.5</v>
      </c>
      <c r="Q4612" s="4" t="str">
        <f>IFERROR(__xludf.DUMMYFUNCTION("""COMPUTED_VALUE"""),"Expresso Delivery")</f>
        <v>Expresso Delivery</v>
      </c>
      <c r="R4612" s="33">
        <f>IFERROR(__xludf.DUMMYFUNCTION("""COMPUTED_VALUE"""),0.5)</f>
        <v>0.5</v>
      </c>
      <c r="S4612" s="4" t="str">
        <f>IFERROR(__xludf.DUMMYFUNCTION("""COMPUTED_VALUE"""),"Expresso Delivery")</f>
        <v>Expresso Delivery</v>
      </c>
      <c r="T4612" s="33">
        <f>IFERROR(__xludf.DUMMYFUNCTION("""COMPUTED_VALUE"""),0.5)</f>
        <v>0.5</v>
      </c>
      <c r="U4612" s="4" t="str">
        <f>IFERROR(__xludf.DUMMYFUNCTION("""COMPUTED_VALUE"""),"Expresso Delivery")</f>
        <v>Expresso Delivery</v>
      </c>
      <c r="V4612" s="33">
        <f>IFERROR(__xludf.DUMMYFUNCTION("""COMPUTED_VALUE"""),0.5)</f>
        <v>0.5</v>
      </c>
      <c r="W4612" s="4" t="str">
        <f>IFERROR(__xludf.DUMMYFUNCTION("""COMPUTED_VALUE"""),"Expresso Delivery")</f>
        <v>Expresso Delivery</v>
      </c>
      <c r="X4612" s="33">
        <f>IFERROR(__xludf.DUMMYFUNCTION("""COMPUTED_VALUE"""),0.5)</f>
        <v>0.5</v>
      </c>
    </row>
    <row r="4613">
      <c r="K4613" s="4" t="str">
        <f>IFERROR(__xludf.DUMMYFUNCTION("""COMPUTED_VALUE"""),"TEMAKERIA HIROSHIMA")</f>
        <v>TEMAKERIA HIROSHIMA</v>
      </c>
      <c r="L4613" s="32">
        <f>IFERROR(__xludf.DUMMYFUNCTION("""COMPUTED_VALUE"""),2.0)</f>
        <v>2</v>
      </c>
      <c r="M4613" s="4" t="str">
        <f>IFERROR(__xludf.DUMMYFUNCTION("""COMPUTED_VALUE"""),"Consumer Soluções Em Tecnologia Ltda")</f>
        <v>Consumer Soluções Em Tecnologia Ltda</v>
      </c>
      <c r="N4613" s="33">
        <f>IFERROR(__xludf.DUMMYFUNCTION("""COMPUTED_VALUE"""),0.5)</f>
        <v>0.5</v>
      </c>
      <c r="O4613" s="4" t="str">
        <f>IFERROR(__xludf.DUMMYFUNCTION("""COMPUTED_VALUE"""),"null")</f>
        <v>null</v>
      </c>
      <c r="P4613" s="33">
        <f>IFERROR(__xludf.DUMMYFUNCTION("""COMPUTED_VALUE"""),1.0)</f>
        <v>1</v>
      </c>
      <c r="Q4613" s="4" t="str">
        <f>IFERROR(__xludf.DUMMYFUNCTION("""COMPUTED_VALUE"""),"null")</f>
        <v>null</v>
      </c>
      <c r="R4613" s="33">
        <f>IFERROR(__xludf.DUMMYFUNCTION("""COMPUTED_VALUE"""),1.0)</f>
        <v>1</v>
      </c>
      <c r="S4613" s="4" t="str">
        <f>IFERROR(__xludf.DUMMYFUNCTION("""COMPUTED_VALUE"""),"null")</f>
        <v>null</v>
      </c>
      <c r="T4613" s="33">
        <f>IFERROR(__xludf.DUMMYFUNCTION("""COMPUTED_VALUE"""),1.0)</f>
        <v>1</v>
      </c>
      <c r="U4613" s="4" t="str">
        <f>IFERROR(__xludf.DUMMYFUNCTION("""COMPUTED_VALUE"""),"null")</f>
        <v>null</v>
      </c>
      <c r="V4613" s="33">
        <f>IFERROR(__xludf.DUMMYFUNCTION("""COMPUTED_VALUE"""),1.0)</f>
        <v>1</v>
      </c>
      <c r="W4613" s="4" t="str">
        <f>IFERROR(__xludf.DUMMYFUNCTION("""COMPUTED_VALUE"""),"Consumer Soluções Em Tecnologia Ltda")</f>
        <v>Consumer Soluções Em Tecnologia Ltda</v>
      </c>
      <c r="X4613" s="33">
        <f>IFERROR(__xludf.DUMMYFUNCTION("""COMPUTED_VALUE"""),0.5)</f>
        <v>0.5</v>
      </c>
    </row>
    <row r="4614">
      <c r="K4614" s="4" t="str">
        <f>IFERROR(__xludf.DUMMYFUNCTION("""COMPUTED_VALUE"""),"RESTAURANTE CHEIRO VERDE")</f>
        <v>RESTAURANTE CHEIRO VERDE</v>
      </c>
      <c r="L4614" s="32">
        <f>IFERROR(__xludf.DUMMYFUNCTION("""COMPUTED_VALUE"""),2.0)</f>
        <v>2</v>
      </c>
      <c r="M4614" s="4" t="str">
        <f>IFERROR(__xludf.DUMMYFUNCTION("""COMPUTED_VALUE"""),"Gerence Sistemas")</f>
        <v>Gerence Sistemas</v>
      </c>
      <c r="N4614" s="33">
        <f>IFERROR(__xludf.DUMMYFUNCTION("""COMPUTED_VALUE"""),0.5)</f>
        <v>0.5</v>
      </c>
      <c r="O4614" s="4" t="str">
        <f>IFERROR(__xludf.DUMMYFUNCTION("""COMPUTED_VALUE"""),"Gerence Sistemas")</f>
        <v>Gerence Sistemas</v>
      </c>
      <c r="P4614" s="33">
        <f>IFERROR(__xludf.DUMMYFUNCTION("""COMPUTED_VALUE"""),0.5)</f>
        <v>0.5</v>
      </c>
      <c r="Q4614" s="4" t="str">
        <f>IFERROR(__xludf.DUMMYFUNCTION("""COMPUTED_VALUE"""),"null")</f>
        <v>null</v>
      </c>
      <c r="R4614" s="33">
        <f>IFERROR(__xludf.DUMMYFUNCTION("""COMPUTED_VALUE"""),0.5)</f>
        <v>0.5</v>
      </c>
      <c r="S4614" s="4" t="str">
        <f>IFERROR(__xludf.DUMMYFUNCTION("""COMPUTED_VALUE"""),"null")</f>
        <v>null</v>
      </c>
      <c r="T4614" s="33">
        <f>IFERROR(__xludf.DUMMYFUNCTION("""COMPUTED_VALUE"""),0.5)</f>
        <v>0.5</v>
      </c>
      <c r="U4614" s="4" t="str">
        <f>IFERROR(__xludf.DUMMYFUNCTION("""COMPUTED_VALUE"""),"Gerence Sistemas")</f>
        <v>Gerence Sistemas</v>
      </c>
      <c r="V4614" s="33">
        <f>IFERROR(__xludf.DUMMYFUNCTION("""COMPUTED_VALUE"""),0.5)</f>
        <v>0.5</v>
      </c>
      <c r="W4614" s="4" t="str">
        <f>IFERROR(__xludf.DUMMYFUNCTION("""COMPUTED_VALUE"""),"Gerence Sistemas")</f>
        <v>Gerence Sistemas</v>
      </c>
      <c r="X4614" s="33">
        <f>IFERROR(__xludf.DUMMYFUNCTION("""COMPUTED_VALUE"""),0.5)</f>
        <v>0.5</v>
      </c>
    </row>
    <row r="4615">
      <c r="K4615" s="4" t="str">
        <f>IFERROR(__xludf.DUMMYFUNCTION("""COMPUTED_VALUE"""),"KOMAKI SUSHI")</f>
        <v>KOMAKI SUSHI</v>
      </c>
      <c r="L4615" s="32">
        <f>IFERROR(__xludf.DUMMYFUNCTION("""COMPUTED_VALUE"""),2.0)</f>
        <v>2</v>
      </c>
      <c r="M4615" s="4" t="str">
        <f>IFERROR(__xludf.DUMMYFUNCTION("""COMPUTED_VALUE"""),"Anota Ai Solucoes Digitais S/a")</f>
        <v>Anota Ai Solucoes Digitais S/a</v>
      </c>
      <c r="N4615" s="33">
        <f>IFERROR(__xludf.DUMMYFUNCTION("""COMPUTED_VALUE"""),0.5)</f>
        <v>0.5</v>
      </c>
      <c r="O4615" s="4" t="str">
        <f>IFERROR(__xludf.DUMMYFUNCTION("""COMPUTED_VALUE"""),"null")</f>
        <v>null</v>
      </c>
      <c r="P4615" s="33">
        <f>IFERROR(__xludf.DUMMYFUNCTION("""COMPUTED_VALUE"""),1.0)</f>
        <v>1</v>
      </c>
      <c r="Q4615" s="4" t="str">
        <f>IFERROR(__xludf.DUMMYFUNCTION("""COMPUTED_VALUE"""),"Anota Ai Solucoes Digitais S/a")</f>
        <v>Anota Ai Solucoes Digitais S/a</v>
      </c>
      <c r="R4615" s="33">
        <f>IFERROR(__xludf.DUMMYFUNCTION("""COMPUTED_VALUE"""),0.5)</f>
        <v>0.5</v>
      </c>
      <c r="S4615" s="4" t="str">
        <f>IFERROR(__xludf.DUMMYFUNCTION("""COMPUTED_VALUE"""),"Anota Ai Solucoes Digitais S/a")</f>
        <v>Anota Ai Solucoes Digitais S/a</v>
      </c>
      <c r="T4615" s="33">
        <f>IFERROR(__xludf.DUMMYFUNCTION("""COMPUTED_VALUE"""),0.5)</f>
        <v>0.5</v>
      </c>
      <c r="U4615" s="4" t="str">
        <f>IFERROR(__xludf.DUMMYFUNCTION("""COMPUTED_VALUE"""),"Anota Ai Solucoes Digitais S/a")</f>
        <v>Anota Ai Solucoes Digitais S/a</v>
      </c>
      <c r="V4615" s="33">
        <f>IFERROR(__xludf.DUMMYFUNCTION("""COMPUTED_VALUE"""),0.5)</f>
        <v>0.5</v>
      </c>
      <c r="W4615" s="4" t="str">
        <f>IFERROR(__xludf.DUMMYFUNCTION("""COMPUTED_VALUE"""),"Anota Ai Solucoes Digitais S/a")</f>
        <v>Anota Ai Solucoes Digitais S/a</v>
      </c>
      <c r="X4615" s="33">
        <f>IFERROR(__xludf.DUMMYFUNCTION("""COMPUTED_VALUE"""),0.5)</f>
        <v>0.5</v>
      </c>
    </row>
    <row r="4616">
      <c r="K4616" s="4" t="str">
        <f>IFERROR(__xludf.DUMMYFUNCTION("""COMPUTED_VALUE"""),"PIZZARIA ROCCA FORNERIA - PIZZA")</f>
        <v>PIZZARIA ROCCA FORNERIA - PIZZA</v>
      </c>
      <c r="L4616" s="32">
        <f>IFERROR(__xludf.DUMMYFUNCTION("""COMPUTED_VALUE"""),2.0)</f>
        <v>2</v>
      </c>
      <c r="M4616" s="4" t="str">
        <f>IFERROR(__xludf.DUMMYFUNCTION("""COMPUTED_VALUE"""),"null")</f>
        <v>null</v>
      </c>
      <c r="N4616" s="33">
        <f>IFERROR(__xludf.DUMMYFUNCTION("""COMPUTED_VALUE"""),1.0)</f>
        <v>1</v>
      </c>
      <c r="O4616" s="4" t="str">
        <f>IFERROR(__xludf.DUMMYFUNCTION("""COMPUTED_VALUE"""),"Totvs Large Enterprise Tecnologia S.a.")</f>
        <v>Totvs Large Enterprise Tecnologia S.a.</v>
      </c>
      <c r="P4616" s="33">
        <f>IFERROR(__xludf.DUMMYFUNCTION("""COMPUTED_VALUE"""),1.0)</f>
        <v>1</v>
      </c>
      <c r="Q4616" s="4" t="str">
        <f>IFERROR(__xludf.DUMMYFUNCTION("""COMPUTED_VALUE"""),"Totvs Large Enterprise Tecnologia S.a.")</f>
        <v>Totvs Large Enterprise Tecnologia S.a.</v>
      </c>
      <c r="R4616" s="33">
        <f>IFERROR(__xludf.DUMMYFUNCTION("""COMPUTED_VALUE"""),1.0)</f>
        <v>1</v>
      </c>
      <c r="S4616" s="4" t="str">
        <f>IFERROR(__xludf.DUMMYFUNCTION("""COMPUTED_VALUE"""),"Totvs Large Enterprise Tecnologia S.a.")</f>
        <v>Totvs Large Enterprise Tecnologia S.a.</v>
      </c>
      <c r="T4616" s="33">
        <f>IFERROR(__xludf.DUMMYFUNCTION("""COMPUTED_VALUE"""),1.0)</f>
        <v>1</v>
      </c>
      <c r="U4616" s="4" t="str">
        <f>IFERROR(__xludf.DUMMYFUNCTION("""COMPUTED_VALUE"""),"Totvs Large Enterprise Tecnologia S.a.")</f>
        <v>Totvs Large Enterprise Tecnologia S.a.</v>
      </c>
      <c r="V4616" s="33">
        <f>IFERROR(__xludf.DUMMYFUNCTION("""COMPUTED_VALUE"""),1.0)</f>
        <v>1</v>
      </c>
      <c r="W4616" s="4" t="str">
        <f>IFERROR(__xludf.DUMMYFUNCTION("""COMPUTED_VALUE"""),"Totvs Large Enterprise Tecnologia S.a.")</f>
        <v>Totvs Large Enterprise Tecnologia S.a.</v>
      </c>
      <c r="X4616" s="33">
        <f>IFERROR(__xludf.DUMMYFUNCTION("""COMPUTED_VALUE"""),0.5)</f>
        <v>0.5</v>
      </c>
    </row>
    <row r="4617">
      <c r="K4617" s="4" t="str">
        <f>IFERROR(__xludf.DUMMYFUNCTION("""COMPUTED_VALUE"""),"PIZZARIA AMERICANA")</f>
        <v>PIZZARIA AMERICANA</v>
      </c>
      <c r="L4617" s="32">
        <f>IFERROR(__xludf.DUMMYFUNCTION("""COMPUTED_VALUE"""),2.0)</f>
        <v>2</v>
      </c>
      <c r="M4617" s="4" t="str">
        <f>IFERROR(__xludf.DUMMYFUNCTION("""COMPUTED_VALUE"""),"Latech Informatica Ltda")</f>
        <v>Latech Informatica Ltda</v>
      </c>
      <c r="N4617" s="33">
        <f>IFERROR(__xludf.DUMMYFUNCTION("""COMPUTED_VALUE"""),0.5)</f>
        <v>0.5</v>
      </c>
      <c r="O4617" s="4" t="str">
        <f>IFERROR(__xludf.DUMMYFUNCTION("""COMPUTED_VALUE"""),"Latech Informatica Ltda")</f>
        <v>Latech Informatica Ltda</v>
      </c>
      <c r="P4617" s="33">
        <f>IFERROR(__xludf.DUMMYFUNCTION("""COMPUTED_VALUE"""),0.5)</f>
        <v>0.5</v>
      </c>
      <c r="Q4617" s="4" t="str">
        <f>IFERROR(__xludf.DUMMYFUNCTION("""COMPUTED_VALUE"""),"Latech Informatica Ltda")</f>
        <v>Latech Informatica Ltda</v>
      </c>
      <c r="R4617" s="33">
        <f>IFERROR(__xludf.DUMMYFUNCTION("""COMPUTED_VALUE"""),0.5)</f>
        <v>0.5</v>
      </c>
      <c r="S4617" s="4" t="str">
        <f>IFERROR(__xludf.DUMMYFUNCTION("""COMPUTED_VALUE"""),"Latech Informatica Ltda")</f>
        <v>Latech Informatica Ltda</v>
      </c>
      <c r="T4617" s="33">
        <f>IFERROR(__xludf.DUMMYFUNCTION("""COMPUTED_VALUE"""),0.5)</f>
        <v>0.5</v>
      </c>
      <c r="U4617" s="4" t="str">
        <f>IFERROR(__xludf.DUMMYFUNCTION("""COMPUTED_VALUE"""),"Latech Informatica Ltda")</f>
        <v>Latech Informatica Ltda</v>
      </c>
      <c r="V4617" s="33">
        <f>IFERROR(__xludf.DUMMYFUNCTION("""COMPUTED_VALUE"""),0.5)</f>
        <v>0.5</v>
      </c>
      <c r="W4617" s="4" t="str">
        <f>IFERROR(__xludf.DUMMYFUNCTION("""COMPUTED_VALUE"""),"Latech Informatica Ltda")</f>
        <v>Latech Informatica Ltda</v>
      </c>
      <c r="X4617" s="33">
        <f>IFERROR(__xludf.DUMMYFUNCTION("""COMPUTED_VALUE"""),0.5)</f>
        <v>0.5</v>
      </c>
    </row>
    <row r="4618">
      <c r="K4618" s="4" t="str">
        <f>IFERROR(__xludf.DUMMYFUNCTION("""COMPUTED_VALUE"""),"NATIONAL BURGER SANTA MONICA")</f>
        <v>NATIONAL BURGER SANTA MONICA</v>
      </c>
      <c r="L4618" s="32">
        <f>IFERROR(__xludf.DUMMYFUNCTION("""COMPUTED_VALUE"""),2.0)</f>
        <v>2</v>
      </c>
      <c r="M4618" s="4" t="str">
        <f>IFERROR(__xludf.DUMMYFUNCTION("""COMPUTED_VALUE"""),"Cardápio Web")</f>
        <v>Cardápio Web</v>
      </c>
      <c r="N4618" s="33">
        <f>IFERROR(__xludf.DUMMYFUNCTION("""COMPUTED_VALUE"""),0.5)</f>
        <v>0.5</v>
      </c>
      <c r="O4618" s="4" t="str">
        <f>IFERROR(__xludf.DUMMYFUNCTION("""COMPUTED_VALUE"""),"Cardápio Web")</f>
        <v>Cardápio Web</v>
      </c>
      <c r="P4618" s="33">
        <f>IFERROR(__xludf.DUMMYFUNCTION("""COMPUTED_VALUE"""),1.0)</f>
        <v>1</v>
      </c>
      <c r="Q4618" s="4" t="str">
        <f>IFERROR(__xludf.DUMMYFUNCTION("""COMPUTED_VALUE"""),"Cardápio Web")</f>
        <v>Cardápio Web</v>
      </c>
      <c r="R4618" s="33">
        <f>IFERROR(__xludf.DUMMYFUNCTION("""COMPUTED_VALUE"""),0.5)</f>
        <v>0.5</v>
      </c>
      <c r="S4618" s="4" t="str">
        <f>IFERROR(__xludf.DUMMYFUNCTION("""COMPUTED_VALUE"""),"null")</f>
        <v>null</v>
      </c>
      <c r="T4618" s="33">
        <f>IFERROR(__xludf.DUMMYFUNCTION("""COMPUTED_VALUE"""),1.0)</f>
        <v>1</v>
      </c>
      <c r="U4618" s="4" t="str">
        <f>IFERROR(__xludf.DUMMYFUNCTION("""COMPUTED_VALUE"""),"null")</f>
        <v>null</v>
      </c>
      <c r="V4618" s="33">
        <f>IFERROR(__xludf.DUMMYFUNCTION("""COMPUTED_VALUE"""),1.0)</f>
        <v>1</v>
      </c>
      <c r="W4618" s="4" t="str">
        <f>IFERROR(__xludf.DUMMYFUNCTION("""COMPUTED_VALUE"""),"null")</f>
        <v>null</v>
      </c>
      <c r="X4618" s="33">
        <f>IFERROR(__xludf.DUMMYFUNCTION("""COMPUTED_VALUE"""),1.0)</f>
        <v>1</v>
      </c>
    </row>
    <row r="4619">
      <c r="K4619" s="4" t="str">
        <f>IFERROR(__xludf.DUMMYFUNCTION("""COMPUTED_VALUE"""),"PIZZARIA DO MINEIRO")</f>
        <v>PIZZARIA DO MINEIRO</v>
      </c>
      <c r="L4619" s="32">
        <f>IFERROR(__xludf.DUMMYFUNCTION("""COMPUTED_VALUE"""),2.0)</f>
        <v>2</v>
      </c>
      <c r="M4619" s="4" t="str">
        <f>IFERROR(__xludf.DUMMYFUNCTION("""COMPUTED_VALUE"""),"null")</f>
        <v>null</v>
      </c>
      <c r="N4619" s="33">
        <f>IFERROR(__xludf.DUMMYFUNCTION("""COMPUTED_VALUE"""),0.5)</f>
        <v>0.5</v>
      </c>
      <c r="O4619" s="4" t="str">
        <f>IFERROR(__xludf.DUMMYFUNCTION("""COMPUTED_VALUE"""),"Saipos Serviços De Software")</f>
        <v>Saipos Serviços De Software</v>
      </c>
      <c r="P4619" s="33">
        <f>IFERROR(__xludf.DUMMYFUNCTION("""COMPUTED_VALUE"""),0.5)</f>
        <v>0.5</v>
      </c>
      <c r="Q4619" s="4" t="str">
        <f>IFERROR(__xludf.DUMMYFUNCTION("""COMPUTED_VALUE"""),"Saipos Serviços De Software")</f>
        <v>Saipos Serviços De Software</v>
      </c>
      <c r="R4619" s="33">
        <f>IFERROR(__xludf.DUMMYFUNCTION("""COMPUTED_VALUE"""),0.5)</f>
        <v>0.5</v>
      </c>
      <c r="S4619" s="4" t="str">
        <f>IFERROR(__xludf.DUMMYFUNCTION("""COMPUTED_VALUE"""),"Saipos Serviços De Software")</f>
        <v>Saipos Serviços De Software</v>
      </c>
      <c r="T4619" s="33">
        <f>IFERROR(__xludf.DUMMYFUNCTION("""COMPUTED_VALUE"""),0.5)</f>
        <v>0.5</v>
      </c>
      <c r="U4619" s="4" t="str">
        <f>IFERROR(__xludf.DUMMYFUNCTION("""COMPUTED_VALUE"""),"null")</f>
        <v>null</v>
      </c>
      <c r="V4619" s="33">
        <f>IFERROR(__xludf.DUMMYFUNCTION("""COMPUTED_VALUE"""),0.5)</f>
        <v>0.5</v>
      </c>
      <c r="W4619" s="4" t="str">
        <f>IFERROR(__xludf.DUMMYFUNCTION("""COMPUTED_VALUE"""),"null")</f>
        <v>null</v>
      </c>
      <c r="X4619" s="33">
        <f>IFERROR(__xludf.DUMMYFUNCTION("""COMPUTED_VALUE"""),0.5)</f>
        <v>0.5</v>
      </c>
    </row>
    <row r="4620">
      <c r="K4620" s="4" t="str">
        <f>IFERROR(__xludf.DUMMYFUNCTION("""COMPUTED_VALUE"""),"ORIENTAL SUSHI")</f>
        <v>ORIENTAL SUSHI</v>
      </c>
      <c r="L4620" s="32">
        <f>IFERROR(__xludf.DUMMYFUNCTION("""COMPUTED_VALUE"""),2.0)</f>
        <v>2</v>
      </c>
      <c r="M4620" s="4" t="str">
        <f>IFERROR(__xludf.DUMMYFUNCTION("""COMPUTED_VALUE"""),"Instadelivery")</f>
        <v>Instadelivery</v>
      </c>
      <c r="N4620" s="33">
        <f>IFERROR(__xludf.DUMMYFUNCTION("""COMPUTED_VALUE"""),0.5)</f>
        <v>0.5</v>
      </c>
      <c r="O4620" s="4" t="str">
        <f>IFERROR(__xludf.DUMMYFUNCTION("""COMPUTED_VALUE"""),"Instadelivery")</f>
        <v>Instadelivery</v>
      </c>
      <c r="P4620" s="33">
        <f>IFERROR(__xludf.DUMMYFUNCTION("""COMPUTED_VALUE"""),0.5)</f>
        <v>0.5</v>
      </c>
      <c r="Q4620" s="4" t="str">
        <f>IFERROR(__xludf.DUMMYFUNCTION("""COMPUTED_VALUE"""),"Instadelivery")</f>
        <v>Instadelivery</v>
      </c>
      <c r="R4620" s="33">
        <f>IFERROR(__xludf.DUMMYFUNCTION("""COMPUTED_VALUE"""),0.5)</f>
        <v>0.5</v>
      </c>
      <c r="S4620" s="4" t="str">
        <f>IFERROR(__xludf.DUMMYFUNCTION("""COMPUTED_VALUE"""),"Instadelivery")</f>
        <v>Instadelivery</v>
      </c>
      <c r="T4620" s="33">
        <f>IFERROR(__xludf.DUMMYFUNCTION("""COMPUTED_VALUE"""),0.5)</f>
        <v>0.5</v>
      </c>
      <c r="U4620" s="4" t="str">
        <f>IFERROR(__xludf.DUMMYFUNCTION("""COMPUTED_VALUE"""),"Instadelivery")</f>
        <v>Instadelivery</v>
      </c>
      <c r="V4620" s="33">
        <f>IFERROR(__xludf.DUMMYFUNCTION("""COMPUTED_VALUE"""),0.5)</f>
        <v>0.5</v>
      </c>
      <c r="W4620" s="4" t="str">
        <f>IFERROR(__xludf.DUMMYFUNCTION("""COMPUTED_VALUE"""),"Instadelivery")</f>
        <v>Instadelivery</v>
      </c>
      <c r="X4620" s="33">
        <f>IFERROR(__xludf.DUMMYFUNCTION("""COMPUTED_VALUE"""),0.5)</f>
        <v>0.5</v>
      </c>
    </row>
    <row r="4621">
      <c r="K4621" s="4" t="str">
        <f>IFERROR(__xludf.DUMMYFUNCTION("""COMPUTED_VALUE"""),"O DOG PRENSADO")</f>
        <v>O DOG PRENSADO</v>
      </c>
      <c r="L4621" s="32">
        <f>IFERROR(__xludf.DUMMYFUNCTION("""COMPUTED_VALUE"""),2.0)</f>
        <v>2</v>
      </c>
      <c r="M4621" s="4" t="str">
        <f>IFERROR(__xludf.DUMMYFUNCTION("""COMPUTED_VALUE"""),"null")</f>
        <v>null</v>
      </c>
      <c r="N4621" s="33">
        <f>IFERROR(__xludf.DUMMYFUNCTION("""COMPUTED_VALUE"""),0.5)</f>
        <v>0.5</v>
      </c>
      <c r="O4621" s="4" t="str">
        <f>IFERROR(__xludf.DUMMYFUNCTION("""COMPUTED_VALUE"""),"null")</f>
        <v>null</v>
      </c>
      <c r="P4621" s="33">
        <f>IFERROR(__xludf.DUMMYFUNCTION("""COMPUTED_VALUE"""),0.5)</f>
        <v>0.5</v>
      </c>
      <c r="Q4621" s="4" t="str">
        <f>IFERROR(__xludf.DUMMYFUNCTION("""COMPUTED_VALUE"""),"Cardápio Web")</f>
        <v>Cardápio Web</v>
      </c>
      <c r="R4621" s="33">
        <f>IFERROR(__xludf.DUMMYFUNCTION("""COMPUTED_VALUE"""),1.0)</f>
        <v>1</v>
      </c>
      <c r="S4621" s="4" t="str">
        <f>IFERROR(__xludf.DUMMYFUNCTION("""COMPUTED_VALUE"""),"Cardápio Web")</f>
        <v>Cardápio Web</v>
      </c>
      <c r="T4621" s="33">
        <f>IFERROR(__xludf.DUMMYFUNCTION("""COMPUTED_VALUE"""),1.0)</f>
        <v>1</v>
      </c>
      <c r="U4621" s="4" t="str">
        <f>IFERROR(__xludf.DUMMYFUNCTION("""COMPUTED_VALUE"""),"Cardápio Web")</f>
        <v>Cardápio Web</v>
      </c>
      <c r="V4621" s="33">
        <f>IFERROR(__xludf.DUMMYFUNCTION("""COMPUTED_VALUE"""),1.0)</f>
        <v>1</v>
      </c>
      <c r="W4621" s="4" t="str">
        <f>IFERROR(__xludf.DUMMYFUNCTION("""COMPUTED_VALUE"""),"Cardápio Web")</f>
        <v>Cardápio Web</v>
      </c>
      <c r="X4621" s="33">
        <f>IFERROR(__xludf.DUMMYFUNCTION("""COMPUTED_VALUE"""),1.0)</f>
        <v>1</v>
      </c>
    </row>
    <row r="4622">
      <c r="K4622" s="4" t="str">
        <f>IFERROR(__xludf.DUMMYFUNCTION("""COMPUTED_VALUE"""),"PIZZARIA BELA VISTA")</f>
        <v>PIZZARIA BELA VISTA</v>
      </c>
      <c r="L4622" s="32">
        <f>IFERROR(__xludf.DUMMYFUNCTION("""COMPUTED_VALUE"""),2.0)</f>
        <v>2</v>
      </c>
      <c r="M4622" s="4" t="str">
        <f>IFERROR(__xludf.DUMMYFUNCTION("""COMPUTED_VALUE"""),"Mp Multipedidos")</f>
        <v>Mp Multipedidos</v>
      </c>
      <c r="N4622" s="33">
        <f>IFERROR(__xludf.DUMMYFUNCTION("""COMPUTED_VALUE"""),0.5)</f>
        <v>0.5</v>
      </c>
      <c r="O4622" s="4" t="str">
        <f>IFERROR(__xludf.DUMMYFUNCTION("""COMPUTED_VALUE"""),"Mp Multipedidos")</f>
        <v>Mp Multipedidos</v>
      </c>
      <c r="P4622" s="33">
        <f>IFERROR(__xludf.DUMMYFUNCTION("""COMPUTED_VALUE"""),0.5)</f>
        <v>0.5</v>
      </c>
      <c r="Q4622" s="4" t="str">
        <f>IFERROR(__xludf.DUMMYFUNCTION("""COMPUTED_VALUE"""),"Mp Multipedidos")</f>
        <v>Mp Multipedidos</v>
      </c>
      <c r="R4622" s="33">
        <f>IFERROR(__xludf.DUMMYFUNCTION("""COMPUTED_VALUE"""),0.5)</f>
        <v>0.5</v>
      </c>
      <c r="S4622" s="4" t="str">
        <f>IFERROR(__xludf.DUMMYFUNCTION("""COMPUTED_VALUE"""),"Mp Multipedidos")</f>
        <v>Mp Multipedidos</v>
      </c>
      <c r="T4622" s="33">
        <f>IFERROR(__xludf.DUMMYFUNCTION("""COMPUTED_VALUE"""),0.5)</f>
        <v>0.5</v>
      </c>
      <c r="U4622" s="4" t="str">
        <f>IFERROR(__xludf.DUMMYFUNCTION("""COMPUTED_VALUE"""),"null")</f>
        <v>null</v>
      </c>
      <c r="V4622" s="33">
        <f>IFERROR(__xludf.DUMMYFUNCTION("""COMPUTED_VALUE"""),0.5)</f>
        <v>0.5</v>
      </c>
      <c r="W4622" s="4" t="str">
        <f>IFERROR(__xludf.DUMMYFUNCTION("""COMPUTED_VALUE"""),"Mp Multipedidos")</f>
        <v>Mp Multipedidos</v>
      </c>
      <c r="X4622" s="33">
        <f>IFERROR(__xludf.DUMMYFUNCTION("""COMPUTED_VALUE"""),0.5)</f>
        <v>0.5</v>
      </c>
    </row>
    <row r="4623">
      <c r="K4623" s="4" t="str">
        <f>IFERROR(__xludf.DUMMYFUNCTION("""COMPUTED_VALUE"""),"CASA DO CUSCUZ")</f>
        <v>CASA DO CUSCUZ</v>
      </c>
      <c r="L4623" s="32">
        <f>IFERROR(__xludf.DUMMYFUNCTION("""COMPUTED_VALUE"""),2.0)</f>
        <v>2</v>
      </c>
      <c r="M4623" s="4" t="str">
        <f>IFERROR(__xludf.DUMMYFUNCTION("""COMPUTED_VALUE"""),"Anota Ai Solucoes Digitais S/a")</f>
        <v>Anota Ai Solucoes Digitais S/a</v>
      </c>
      <c r="N4623" s="33">
        <f>IFERROR(__xludf.DUMMYFUNCTION("""COMPUTED_VALUE"""),0.5)</f>
        <v>0.5</v>
      </c>
      <c r="O4623" s="4" t="str">
        <f>IFERROR(__xludf.DUMMYFUNCTION("""COMPUTED_VALUE"""),"Anota Ai Solucoes Digitais S/a")</f>
        <v>Anota Ai Solucoes Digitais S/a</v>
      </c>
      <c r="P4623" s="33">
        <f>IFERROR(__xludf.DUMMYFUNCTION("""COMPUTED_VALUE"""),0.5)</f>
        <v>0.5</v>
      </c>
      <c r="Q4623" s="4" t="str">
        <f>IFERROR(__xludf.DUMMYFUNCTION("""COMPUTED_VALUE"""),"Anota Ai Solucoes Digitais S/a")</f>
        <v>Anota Ai Solucoes Digitais S/a</v>
      </c>
      <c r="R4623" s="33">
        <f>IFERROR(__xludf.DUMMYFUNCTION("""COMPUTED_VALUE"""),0.5)</f>
        <v>0.5</v>
      </c>
      <c r="S4623" s="4" t="str">
        <f>IFERROR(__xludf.DUMMYFUNCTION("""COMPUTED_VALUE"""),"Anota Ai Solucoes Digitais S/a")</f>
        <v>Anota Ai Solucoes Digitais S/a</v>
      </c>
      <c r="T4623" s="33">
        <f>IFERROR(__xludf.DUMMYFUNCTION("""COMPUTED_VALUE"""),0.5)</f>
        <v>0.5</v>
      </c>
      <c r="U4623" s="4" t="str">
        <f>IFERROR(__xludf.DUMMYFUNCTION("""COMPUTED_VALUE"""),"Anota Ai Solucoes Digitais S/a")</f>
        <v>Anota Ai Solucoes Digitais S/a</v>
      </c>
      <c r="V4623" s="33">
        <f>IFERROR(__xludf.DUMMYFUNCTION("""COMPUTED_VALUE"""),0.5)</f>
        <v>0.5</v>
      </c>
      <c r="W4623" s="4" t="str">
        <f>IFERROR(__xludf.DUMMYFUNCTION("""COMPUTED_VALUE"""),"Anota Ai Solucoes Digitais S/a")</f>
        <v>Anota Ai Solucoes Digitais S/a</v>
      </c>
      <c r="X4623" s="33">
        <f>IFERROR(__xludf.DUMMYFUNCTION("""COMPUTED_VALUE"""),0.5)</f>
        <v>0.5</v>
      </c>
    </row>
    <row r="4624">
      <c r="K4624" s="4" t="str">
        <f>IFERROR(__xludf.DUMMYFUNCTION("""COMPUTED_VALUE"""),"MARCELO LANCHES")</f>
        <v>MARCELO LANCHES</v>
      </c>
      <c r="L4624" s="32">
        <f>IFERROR(__xludf.DUMMYFUNCTION("""COMPUTED_VALUE"""),2.0)</f>
        <v>2</v>
      </c>
      <c r="M4624" s="4" t="str">
        <f>IFERROR(__xludf.DUMMYFUNCTION("""COMPUTED_VALUE"""),"Anota Ai Solucoes Digitais S/a")</f>
        <v>Anota Ai Solucoes Digitais S/a</v>
      </c>
      <c r="N4624" s="33">
        <f>IFERROR(__xludf.DUMMYFUNCTION("""COMPUTED_VALUE"""),0.5)</f>
        <v>0.5</v>
      </c>
      <c r="O4624" s="4" t="str">
        <f>IFERROR(__xludf.DUMMYFUNCTION("""COMPUTED_VALUE"""),"Anota Ai Solucoes Digitais S/a")</f>
        <v>Anota Ai Solucoes Digitais S/a</v>
      </c>
      <c r="P4624" s="33">
        <f>IFERROR(__xludf.DUMMYFUNCTION("""COMPUTED_VALUE"""),0.5)</f>
        <v>0.5</v>
      </c>
      <c r="Q4624" s="4" t="str">
        <f>IFERROR(__xludf.DUMMYFUNCTION("""COMPUTED_VALUE"""),"Grsoft")</f>
        <v>Grsoft</v>
      </c>
      <c r="R4624" s="33">
        <f>IFERROR(__xludf.DUMMYFUNCTION("""COMPUTED_VALUE"""),0.5)</f>
        <v>0.5</v>
      </c>
      <c r="S4624" s="4" t="str">
        <f>IFERROR(__xludf.DUMMYFUNCTION("""COMPUTED_VALUE"""),"Grsoft")</f>
        <v>Grsoft</v>
      </c>
      <c r="T4624" s="33">
        <f>IFERROR(__xludf.DUMMYFUNCTION("""COMPUTED_VALUE"""),0.5)</f>
        <v>0.5</v>
      </c>
      <c r="U4624" s="4" t="str">
        <f>IFERROR(__xludf.DUMMYFUNCTION("""COMPUTED_VALUE"""),"Grsoft")</f>
        <v>Grsoft</v>
      </c>
      <c r="V4624" s="33">
        <f>IFERROR(__xludf.DUMMYFUNCTION("""COMPUTED_VALUE"""),0.5)</f>
        <v>0.5</v>
      </c>
      <c r="W4624" s="4" t="str">
        <f>IFERROR(__xludf.DUMMYFUNCTION("""COMPUTED_VALUE"""),"Grsoft")</f>
        <v>Grsoft</v>
      </c>
      <c r="X4624" s="33">
        <f>IFERROR(__xludf.DUMMYFUNCTION("""COMPUTED_VALUE"""),0.5)</f>
        <v>0.5</v>
      </c>
    </row>
    <row r="4625">
      <c r="K4625" s="4" t="str">
        <f>IFERROR(__xludf.DUMMYFUNCTION("""COMPUTED_VALUE"""),"BARAO RESTAURANTE")</f>
        <v>BARAO RESTAURANTE</v>
      </c>
      <c r="L4625" s="32">
        <f>IFERROR(__xludf.DUMMYFUNCTION("""COMPUTED_VALUE"""),2.0)</f>
        <v>2</v>
      </c>
      <c r="M4625" s="4" t="str">
        <f>IFERROR(__xludf.DUMMYFUNCTION("""COMPUTED_VALUE"""),"Saipos Serviços De Software")</f>
        <v>Saipos Serviços De Software</v>
      </c>
      <c r="N4625" s="33">
        <f>IFERROR(__xludf.DUMMYFUNCTION("""COMPUTED_VALUE"""),1.0)</f>
        <v>1</v>
      </c>
      <c r="O4625" s="4" t="str">
        <f>IFERROR(__xludf.DUMMYFUNCTION("""COMPUTED_VALUE"""),"Saipos Serviços De Software")</f>
        <v>Saipos Serviços De Software</v>
      </c>
      <c r="P4625" s="33">
        <f>IFERROR(__xludf.DUMMYFUNCTION("""COMPUTED_VALUE"""),1.0)</f>
        <v>1</v>
      </c>
      <c r="Q4625" s="4" t="str">
        <f>IFERROR(__xludf.DUMMYFUNCTION("""COMPUTED_VALUE"""),"Saipos Serviços De Software")</f>
        <v>Saipos Serviços De Software</v>
      </c>
      <c r="R4625" s="33">
        <f>IFERROR(__xludf.DUMMYFUNCTION("""COMPUTED_VALUE"""),1.0)</f>
        <v>1</v>
      </c>
      <c r="S4625" s="4" t="str">
        <f>IFERROR(__xludf.DUMMYFUNCTION("""COMPUTED_VALUE"""),"Saipos Serviços De Software")</f>
        <v>Saipos Serviços De Software</v>
      </c>
      <c r="T4625" s="33">
        <f>IFERROR(__xludf.DUMMYFUNCTION("""COMPUTED_VALUE"""),1.0)</f>
        <v>1</v>
      </c>
      <c r="U4625" s="4" t="str">
        <f>IFERROR(__xludf.DUMMYFUNCTION("""COMPUTED_VALUE"""),"Saipos Serviços De Software")</f>
        <v>Saipos Serviços De Software</v>
      </c>
      <c r="V4625" s="33">
        <f>IFERROR(__xludf.DUMMYFUNCTION("""COMPUTED_VALUE"""),1.0)</f>
        <v>1</v>
      </c>
      <c r="W4625" s="4" t="str">
        <f>IFERROR(__xludf.DUMMYFUNCTION("""COMPUTED_VALUE"""),"Saipos Serviços De Software")</f>
        <v>Saipos Serviços De Software</v>
      </c>
      <c r="X4625" s="33">
        <f>IFERROR(__xludf.DUMMYFUNCTION("""COMPUTED_VALUE"""),1.0)</f>
        <v>1</v>
      </c>
    </row>
    <row r="4626">
      <c r="K4626" s="4" t="str">
        <f>IFERROR(__xludf.DUMMYFUNCTION("""COMPUTED_VALUE"""),"HAMBURGUERIA KARIOCA")</f>
        <v>HAMBURGUERIA KARIOCA</v>
      </c>
      <c r="L4626" s="32">
        <f>IFERROR(__xludf.DUMMYFUNCTION("""COMPUTED_VALUE"""),2.0)</f>
        <v>2</v>
      </c>
      <c r="M4626" s="4" t="str">
        <f>IFERROR(__xludf.DUMMYFUNCTION("""COMPUTED_VALUE"""),"Consumer Soluções Em Tecnologia Ltda")</f>
        <v>Consumer Soluções Em Tecnologia Ltda</v>
      </c>
      <c r="N4626" s="33">
        <f>IFERROR(__xludf.DUMMYFUNCTION("""COMPUTED_VALUE"""),1.0)</f>
        <v>1</v>
      </c>
      <c r="O4626" s="4" t="str">
        <f>IFERROR(__xludf.DUMMYFUNCTION("""COMPUTED_VALUE"""),"Consumer Soluções Em Tecnologia Ltda")</f>
        <v>Consumer Soluções Em Tecnologia Ltda</v>
      </c>
      <c r="P4626" s="33">
        <f>IFERROR(__xludf.DUMMYFUNCTION("""COMPUTED_VALUE"""),1.0)</f>
        <v>1</v>
      </c>
      <c r="Q4626" s="4" t="str">
        <f>IFERROR(__xludf.DUMMYFUNCTION("""COMPUTED_VALUE"""),"Consumer Soluções Em Tecnologia Ltda")</f>
        <v>Consumer Soluções Em Tecnologia Ltda</v>
      </c>
      <c r="R4626" s="33">
        <f>IFERROR(__xludf.DUMMYFUNCTION("""COMPUTED_VALUE"""),0.5)</f>
        <v>0.5</v>
      </c>
      <c r="S4626" s="4" t="str">
        <f>IFERROR(__xludf.DUMMYFUNCTION("""COMPUTED_VALUE"""),"Consumer Soluções Em Tecnologia Ltda")</f>
        <v>Consumer Soluções Em Tecnologia Ltda</v>
      </c>
      <c r="T4626" s="33">
        <f>IFERROR(__xludf.DUMMYFUNCTION("""COMPUTED_VALUE"""),0.5)</f>
        <v>0.5</v>
      </c>
      <c r="U4626" s="4" t="str">
        <f>IFERROR(__xludf.DUMMYFUNCTION("""COMPUTED_VALUE"""),"Consumer Soluções Em Tecnologia Ltda")</f>
        <v>Consumer Soluções Em Tecnologia Ltda</v>
      </c>
      <c r="V4626" s="33">
        <f>IFERROR(__xludf.DUMMYFUNCTION("""COMPUTED_VALUE"""),0.5)</f>
        <v>0.5</v>
      </c>
      <c r="W4626" s="4" t="str">
        <f>IFERROR(__xludf.DUMMYFUNCTION("""COMPUTED_VALUE"""),"Consumer Soluções Em Tecnologia Ltda")</f>
        <v>Consumer Soluções Em Tecnologia Ltda</v>
      </c>
      <c r="X4626" s="33">
        <f>IFERROR(__xludf.DUMMYFUNCTION("""COMPUTED_VALUE"""),1.0)</f>
        <v>1</v>
      </c>
    </row>
    <row r="4627">
      <c r="K4627" s="4" t="str">
        <f>IFERROR(__xludf.DUMMYFUNCTION("""COMPUTED_VALUE"""),"BRASA HAMBURGUERIA")</f>
        <v>BRASA HAMBURGUERIA</v>
      </c>
      <c r="L4627" s="32">
        <f>IFERROR(__xludf.DUMMYFUNCTION("""COMPUTED_VALUE"""),2.0)</f>
        <v>2</v>
      </c>
      <c r="M4627" s="4" t="str">
        <f>IFERROR(__xludf.DUMMYFUNCTION("""COMPUTED_VALUE"""),"Suitable Tecnologia E Gestao")</f>
        <v>Suitable Tecnologia E Gestao</v>
      </c>
      <c r="N4627" s="33">
        <f>IFERROR(__xludf.DUMMYFUNCTION("""COMPUTED_VALUE"""),1.0)</f>
        <v>1</v>
      </c>
      <c r="O4627" s="4" t="str">
        <f>IFERROR(__xludf.DUMMYFUNCTION("""COMPUTED_VALUE"""),"Suitable Tecnologia E Gestao")</f>
        <v>Suitable Tecnologia E Gestao</v>
      </c>
      <c r="P4627" s="33">
        <f>IFERROR(__xludf.DUMMYFUNCTION("""COMPUTED_VALUE"""),1.0)</f>
        <v>1</v>
      </c>
      <c r="Q4627" s="4" t="str">
        <f>IFERROR(__xludf.DUMMYFUNCTION("""COMPUTED_VALUE"""),"Suitable Tecnologia E Gestao")</f>
        <v>Suitable Tecnologia E Gestao</v>
      </c>
      <c r="R4627" s="33">
        <f>IFERROR(__xludf.DUMMYFUNCTION("""COMPUTED_VALUE"""),1.0)</f>
        <v>1</v>
      </c>
      <c r="S4627" s="4" t="str">
        <f>IFERROR(__xludf.DUMMYFUNCTION("""COMPUTED_VALUE"""),"Suitable Tecnologia E Gestao")</f>
        <v>Suitable Tecnologia E Gestao</v>
      </c>
      <c r="T4627" s="33">
        <f>IFERROR(__xludf.DUMMYFUNCTION("""COMPUTED_VALUE"""),1.0)</f>
        <v>1</v>
      </c>
      <c r="U4627" s="4" t="str">
        <f>IFERROR(__xludf.DUMMYFUNCTION("""COMPUTED_VALUE"""),"Suitable Tecnologia E Gestao")</f>
        <v>Suitable Tecnologia E Gestao</v>
      </c>
      <c r="V4627" s="33">
        <f>IFERROR(__xludf.DUMMYFUNCTION("""COMPUTED_VALUE"""),1.0)</f>
        <v>1</v>
      </c>
      <c r="W4627" s="4" t="str">
        <f>IFERROR(__xludf.DUMMYFUNCTION("""COMPUTED_VALUE"""),"Suitable Tecnologia E Gestao")</f>
        <v>Suitable Tecnologia E Gestao</v>
      </c>
      <c r="X4627" s="33">
        <f>IFERROR(__xludf.DUMMYFUNCTION("""COMPUTED_VALUE"""),1.0)</f>
        <v>1</v>
      </c>
    </row>
    <row r="4628">
      <c r="K4628" s="4" t="str">
        <f>IFERROR(__xludf.DUMMYFUNCTION("""COMPUTED_VALUE"""),"ACAI DA FRAN")</f>
        <v>ACAI DA FRAN</v>
      </c>
      <c r="L4628" s="32">
        <f>IFERROR(__xludf.DUMMYFUNCTION("""COMPUTED_VALUE"""),2.0)</f>
        <v>2</v>
      </c>
      <c r="M4628" s="4" t="str">
        <f>IFERROR(__xludf.DUMMYFUNCTION("""COMPUTED_VALUE"""),"Anota Ai Solucoes Digitais S/a")</f>
        <v>Anota Ai Solucoes Digitais S/a</v>
      </c>
      <c r="N4628" s="33">
        <f>IFERROR(__xludf.DUMMYFUNCTION("""COMPUTED_VALUE"""),0.5)</f>
        <v>0.5</v>
      </c>
      <c r="O4628" s="4" t="str">
        <f>IFERROR(__xludf.DUMMYFUNCTION("""COMPUTED_VALUE"""),"Anota Ai Solucoes Digitais S/a")</f>
        <v>Anota Ai Solucoes Digitais S/a</v>
      </c>
      <c r="P4628" s="33">
        <f>IFERROR(__xludf.DUMMYFUNCTION("""COMPUTED_VALUE"""),0.5)</f>
        <v>0.5</v>
      </c>
      <c r="Q4628" s="4" t="str">
        <f>IFERROR(__xludf.DUMMYFUNCTION("""COMPUTED_VALUE"""),"Anota Ai Solucoes Digitais S/a")</f>
        <v>Anota Ai Solucoes Digitais S/a</v>
      </c>
      <c r="R4628" s="33">
        <f>IFERROR(__xludf.DUMMYFUNCTION("""COMPUTED_VALUE"""),0.5)</f>
        <v>0.5</v>
      </c>
      <c r="S4628" s="4" t="str">
        <f>IFERROR(__xludf.DUMMYFUNCTION("""COMPUTED_VALUE"""),"Anota Ai Solucoes Digitais S/a")</f>
        <v>Anota Ai Solucoes Digitais S/a</v>
      </c>
      <c r="T4628" s="33">
        <f>IFERROR(__xludf.DUMMYFUNCTION("""COMPUTED_VALUE"""),0.5)</f>
        <v>0.5</v>
      </c>
      <c r="U4628" s="4" t="str">
        <f>IFERROR(__xludf.DUMMYFUNCTION("""COMPUTED_VALUE"""),"Anota Ai Solucoes Digitais S/a")</f>
        <v>Anota Ai Solucoes Digitais S/a</v>
      </c>
      <c r="V4628" s="33">
        <f>IFERROR(__xludf.DUMMYFUNCTION("""COMPUTED_VALUE"""),0.5)</f>
        <v>0.5</v>
      </c>
      <c r="W4628" s="4" t="str">
        <f>IFERROR(__xludf.DUMMYFUNCTION("""COMPUTED_VALUE"""),"Anota Ai Solucoes Digitais S/a")</f>
        <v>Anota Ai Solucoes Digitais S/a</v>
      </c>
      <c r="X4628" s="33">
        <f>IFERROR(__xludf.DUMMYFUNCTION("""COMPUTED_VALUE"""),0.5)</f>
        <v>0.5</v>
      </c>
    </row>
    <row r="4629">
      <c r="K4629" s="4" t="str">
        <f>IFERROR(__xludf.DUMMYFUNCTION("""COMPUTED_VALUE"""),"PAULISTA LANCHES")</f>
        <v>PAULISTA LANCHES</v>
      </c>
      <c r="L4629" s="32">
        <f>IFERROR(__xludf.DUMMYFUNCTION("""COMPUTED_VALUE"""),2.0)</f>
        <v>2</v>
      </c>
      <c r="M4629" s="4" t="str">
        <f>IFERROR(__xludf.DUMMYFUNCTION("""COMPUTED_VALUE"""),"null")</f>
        <v>null</v>
      </c>
      <c r="N4629" s="33">
        <f>IFERROR(__xludf.DUMMYFUNCTION("""COMPUTED_VALUE"""),1.0)</f>
        <v>1</v>
      </c>
      <c r="O4629" s="4" t="str">
        <f>IFERROR(__xludf.DUMMYFUNCTION("""COMPUTED_VALUE"""),"null")</f>
        <v>null</v>
      </c>
      <c r="P4629" s="33">
        <f>IFERROR(__xludf.DUMMYFUNCTION("""COMPUTED_VALUE"""),1.0)</f>
        <v>1</v>
      </c>
      <c r="Q4629" s="4" t="str">
        <f>IFERROR(__xludf.DUMMYFUNCTION("""COMPUTED_VALUE"""),"null")</f>
        <v>null</v>
      </c>
      <c r="R4629" s="33">
        <f>IFERROR(__xludf.DUMMYFUNCTION("""COMPUTED_VALUE"""),1.0)</f>
        <v>1</v>
      </c>
      <c r="S4629" s="4" t="str">
        <f>IFERROR(__xludf.DUMMYFUNCTION("""COMPUTED_VALUE"""),"null")</f>
        <v>null</v>
      </c>
      <c r="T4629" s="33">
        <f>IFERROR(__xludf.DUMMYFUNCTION("""COMPUTED_VALUE"""),0.5)</f>
        <v>0.5</v>
      </c>
      <c r="U4629" s="4" t="str">
        <f>IFERROR(__xludf.DUMMYFUNCTION("""COMPUTED_VALUE"""),"Saipos Serviços De Software")</f>
        <v>Saipos Serviços De Software</v>
      </c>
      <c r="V4629" s="33">
        <f>IFERROR(__xludf.DUMMYFUNCTION("""COMPUTED_VALUE"""),0.5)</f>
        <v>0.5</v>
      </c>
      <c r="W4629" s="4" t="str">
        <f>IFERROR(__xludf.DUMMYFUNCTION("""COMPUTED_VALUE"""),"Saipos Serviços De Software")</f>
        <v>Saipos Serviços De Software</v>
      </c>
      <c r="X4629" s="33">
        <f>IFERROR(__xludf.DUMMYFUNCTION("""COMPUTED_VALUE"""),0.5)</f>
        <v>0.5</v>
      </c>
    </row>
    <row r="4630">
      <c r="K4630" s="4" t="str">
        <f>IFERROR(__xludf.DUMMYFUNCTION("""COMPUTED_VALUE"""),"BOUTIQUE DO ACAI")</f>
        <v>BOUTIQUE DO ACAI</v>
      </c>
      <c r="L4630" s="32">
        <f>IFERROR(__xludf.DUMMYFUNCTION("""COMPUTED_VALUE"""),2.0)</f>
        <v>2</v>
      </c>
      <c r="M4630" s="4" t="str">
        <f>IFERROR(__xludf.DUMMYFUNCTION("""COMPUTED_VALUE"""),"Consumer Soluções Em Tecnologia Ltda")</f>
        <v>Consumer Soluções Em Tecnologia Ltda</v>
      </c>
      <c r="N4630" s="33">
        <f>IFERROR(__xludf.DUMMYFUNCTION("""COMPUTED_VALUE"""),0.5)</f>
        <v>0.5</v>
      </c>
      <c r="O4630" s="4" t="str">
        <f>IFERROR(__xludf.DUMMYFUNCTION("""COMPUTED_VALUE"""),"Consumer Soluções Em Tecnologia Ltda")</f>
        <v>Consumer Soluções Em Tecnologia Ltda</v>
      </c>
      <c r="P4630" s="33">
        <f>IFERROR(__xludf.DUMMYFUNCTION("""COMPUTED_VALUE"""),0.5)</f>
        <v>0.5</v>
      </c>
      <c r="Q4630" s="4" t="str">
        <f>IFERROR(__xludf.DUMMYFUNCTION("""COMPUTED_VALUE"""),"Consumer Soluções Em Tecnologia Ltda")</f>
        <v>Consumer Soluções Em Tecnologia Ltda</v>
      </c>
      <c r="R4630" s="33">
        <f>IFERROR(__xludf.DUMMYFUNCTION("""COMPUTED_VALUE"""),0.5)</f>
        <v>0.5</v>
      </c>
      <c r="S4630" s="4" t="str">
        <f>IFERROR(__xludf.DUMMYFUNCTION("""COMPUTED_VALUE"""),"Consumer Soluções Em Tecnologia Ltda")</f>
        <v>Consumer Soluções Em Tecnologia Ltda</v>
      </c>
      <c r="T4630" s="33">
        <f>IFERROR(__xludf.DUMMYFUNCTION("""COMPUTED_VALUE"""),0.5)</f>
        <v>0.5</v>
      </c>
      <c r="U4630" s="4" t="str">
        <f>IFERROR(__xludf.DUMMYFUNCTION("""COMPUTED_VALUE"""),"Consumer Soluções Em Tecnologia Ltda")</f>
        <v>Consumer Soluções Em Tecnologia Ltda</v>
      </c>
      <c r="V4630" s="33">
        <f>IFERROR(__xludf.DUMMYFUNCTION("""COMPUTED_VALUE"""),0.5)</f>
        <v>0.5</v>
      </c>
      <c r="W4630" s="4" t="str">
        <f>IFERROR(__xludf.DUMMYFUNCTION("""COMPUTED_VALUE"""),"Consumer Soluções Em Tecnologia Ltda")</f>
        <v>Consumer Soluções Em Tecnologia Ltda</v>
      </c>
      <c r="X4630" s="33">
        <f>IFERROR(__xludf.DUMMYFUNCTION("""COMPUTED_VALUE"""),0.5)</f>
        <v>0.5</v>
      </c>
    </row>
    <row r="4631">
      <c r="K4631" s="4" t="str">
        <f>IFERROR(__xludf.DUMMYFUNCTION("""COMPUTED_VALUE"""),"DECK PIZZARIA")</f>
        <v>DECK PIZZARIA</v>
      </c>
      <c r="L4631" s="32">
        <f>IFERROR(__xludf.DUMMYFUNCTION("""COMPUTED_VALUE"""),2.0)</f>
        <v>2</v>
      </c>
      <c r="M4631" s="4" t="str">
        <f>IFERROR(__xludf.DUMMYFUNCTION("""COMPUTED_VALUE"""),"Linked Gourmet Solucoes Para Restaurantes S.a")</f>
        <v>Linked Gourmet Solucoes Para Restaurantes S.a</v>
      </c>
      <c r="N4631" s="33">
        <f>IFERROR(__xludf.DUMMYFUNCTION("""COMPUTED_VALUE"""),0.5)</f>
        <v>0.5</v>
      </c>
      <c r="O4631" s="4" t="str">
        <f>IFERROR(__xludf.DUMMYFUNCTION("""COMPUTED_VALUE"""),"Linked Gourmet Solucoes Para Restaurantes S.a")</f>
        <v>Linked Gourmet Solucoes Para Restaurantes S.a</v>
      </c>
      <c r="P4631" s="33">
        <f>IFERROR(__xludf.DUMMYFUNCTION("""COMPUTED_VALUE"""),0.5)</f>
        <v>0.5</v>
      </c>
      <c r="Q4631" s="4" t="str">
        <f>IFERROR(__xludf.DUMMYFUNCTION("""COMPUTED_VALUE"""),"Linked Gourmet Solucoes Para Restaurantes S.a")</f>
        <v>Linked Gourmet Solucoes Para Restaurantes S.a</v>
      </c>
      <c r="R4631" s="33">
        <f>IFERROR(__xludf.DUMMYFUNCTION("""COMPUTED_VALUE"""),0.5)</f>
        <v>0.5</v>
      </c>
      <c r="S4631" s="4" t="str">
        <f>IFERROR(__xludf.DUMMYFUNCTION("""COMPUTED_VALUE"""),"Linked Gourmet Solucoes Para Restaurantes S.a")</f>
        <v>Linked Gourmet Solucoes Para Restaurantes S.a</v>
      </c>
      <c r="T4631" s="33">
        <f>IFERROR(__xludf.DUMMYFUNCTION("""COMPUTED_VALUE"""),0.5)</f>
        <v>0.5</v>
      </c>
      <c r="U4631" s="4" t="str">
        <f>IFERROR(__xludf.DUMMYFUNCTION("""COMPUTED_VALUE"""),"Linked Gourmet Solucoes Para Restaurantes S.a")</f>
        <v>Linked Gourmet Solucoes Para Restaurantes S.a</v>
      </c>
      <c r="V4631" s="33">
        <f>IFERROR(__xludf.DUMMYFUNCTION("""COMPUTED_VALUE"""),0.5)</f>
        <v>0.5</v>
      </c>
      <c r="W4631" s="4" t="str">
        <f>IFERROR(__xludf.DUMMYFUNCTION("""COMPUTED_VALUE"""),"Linked Gourmet Solucoes Para Restaurantes S.a")</f>
        <v>Linked Gourmet Solucoes Para Restaurantes S.a</v>
      </c>
      <c r="X4631" s="33">
        <f>IFERROR(__xludf.DUMMYFUNCTION("""COMPUTED_VALUE"""),0.5)</f>
        <v>0.5</v>
      </c>
    </row>
    <row r="4632">
      <c r="K4632" s="4" t="str">
        <f>IFERROR(__xludf.DUMMYFUNCTION("""COMPUTED_VALUE"""),"DELICIAS DA PRENDA")</f>
        <v>DELICIAS DA PRENDA</v>
      </c>
      <c r="L4632" s="32">
        <f>IFERROR(__xludf.DUMMYFUNCTION("""COMPUTED_VALUE"""),2.0)</f>
        <v>2</v>
      </c>
      <c r="M4632" s="4" t="str">
        <f>IFERROR(__xludf.DUMMYFUNCTION("""COMPUTED_VALUE"""),"Opdv")</f>
        <v>Opdv</v>
      </c>
      <c r="N4632" s="33">
        <f>IFERROR(__xludf.DUMMYFUNCTION("""COMPUTED_VALUE"""),1.0)</f>
        <v>1</v>
      </c>
      <c r="O4632" s="4" t="str">
        <f>IFERROR(__xludf.DUMMYFUNCTION("""COMPUTED_VALUE"""),"Opdv")</f>
        <v>Opdv</v>
      </c>
      <c r="P4632" s="33">
        <f>IFERROR(__xludf.DUMMYFUNCTION("""COMPUTED_VALUE"""),1.0)</f>
        <v>1</v>
      </c>
      <c r="Q4632" s="4" t="str">
        <f>IFERROR(__xludf.DUMMYFUNCTION("""COMPUTED_VALUE"""),"Saipos Serviços De Software")</f>
        <v>Saipos Serviços De Software</v>
      </c>
      <c r="R4632" s="33">
        <f>IFERROR(__xludf.DUMMYFUNCTION("""COMPUTED_VALUE"""),1.0)</f>
        <v>1</v>
      </c>
      <c r="S4632" s="4" t="str">
        <f>IFERROR(__xludf.DUMMYFUNCTION("""COMPUTED_VALUE"""),"Saipos Serviços De Software")</f>
        <v>Saipos Serviços De Software</v>
      </c>
      <c r="T4632" s="33">
        <f>IFERROR(__xludf.DUMMYFUNCTION("""COMPUTED_VALUE"""),1.0)</f>
        <v>1</v>
      </c>
      <c r="U4632" s="4" t="str">
        <f>IFERROR(__xludf.DUMMYFUNCTION("""COMPUTED_VALUE"""),"Takeat Tecnologia")</f>
        <v>Takeat Tecnologia</v>
      </c>
      <c r="V4632" s="33">
        <f>IFERROR(__xludf.DUMMYFUNCTION("""COMPUTED_VALUE"""),1.0)</f>
        <v>1</v>
      </c>
      <c r="W4632" s="4" t="str">
        <f>IFERROR(__xludf.DUMMYFUNCTION("""COMPUTED_VALUE"""),"Takeat Tecnologia")</f>
        <v>Takeat Tecnologia</v>
      </c>
      <c r="X4632" s="33">
        <f>IFERROR(__xludf.DUMMYFUNCTION("""COMPUTED_VALUE"""),1.0)</f>
        <v>1</v>
      </c>
    </row>
    <row r="4633">
      <c r="K4633" s="4" t="str">
        <f>IFERROR(__xludf.DUMMYFUNCTION("""COMPUTED_VALUE"""),"GABRIEL LANCHES")</f>
        <v>GABRIEL LANCHES</v>
      </c>
      <c r="L4633" s="32">
        <f>IFERROR(__xludf.DUMMYFUNCTION("""COMPUTED_VALUE"""),2.0)</f>
        <v>2</v>
      </c>
      <c r="M4633" s="4" t="str">
        <f>IFERROR(__xludf.DUMMYFUNCTION("""COMPUTED_VALUE"""),"null")</f>
        <v>null</v>
      </c>
      <c r="N4633" s="33">
        <f>IFERROR(__xludf.DUMMYFUNCTION("""COMPUTED_VALUE"""),1.0)</f>
        <v>1</v>
      </c>
      <c r="O4633" s="4" t="str">
        <f>IFERROR(__xludf.DUMMYFUNCTION("""COMPUTED_VALUE"""),"null")</f>
        <v>null</v>
      </c>
      <c r="P4633" s="33">
        <f>IFERROR(__xludf.DUMMYFUNCTION("""COMPUTED_VALUE"""),0.5)</f>
        <v>0.5</v>
      </c>
      <c r="Q4633" s="4" t="str">
        <f>IFERROR(__xludf.DUMMYFUNCTION("""COMPUTED_VALUE"""),"null")</f>
        <v>null</v>
      </c>
      <c r="R4633" s="33">
        <f>IFERROR(__xludf.DUMMYFUNCTION("""COMPUTED_VALUE"""),0.5)</f>
        <v>0.5</v>
      </c>
      <c r="S4633" s="4" t="str">
        <f>IFERROR(__xludf.DUMMYFUNCTION("""COMPUTED_VALUE"""),"null")</f>
        <v>null</v>
      </c>
      <c r="T4633" s="33">
        <f>IFERROR(__xludf.DUMMYFUNCTION("""COMPUTED_VALUE"""),1.0)</f>
        <v>1</v>
      </c>
      <c r="U4633" s="4" t="str">
        <f>IFERROR(__xludf.DUMMYFUNCTION("""COMPUTED_VALUE"""),"Datweb Servicos De Informatica Ltda")</f>
        <v>Datweb Servicos De Informatica Ltda</v>
      </c>
      <c r="V4633" s="33">
        <f>IFERROR(__xludf.DUMMYFUNCTION("""COMPUTED_VALUE"""),0.5)</f>
        <v>0.5</v>
      </c>
      <c r="W4633" s="4" t="str">
        <f>IFERROR(__xludf.DUMMYFUNCTION("""COMPUTED_VALUE"""),"null")</f>
        <v>null</v>
      </c>
      <c r="X4633" s="33">
        <f>IFERROR(__xludf.DUMMYFUNCTION("""COMPUTED_VALUE"""),0.5)</f>
        <v>0.5</v>
      </c>
    </row>
    <row r="4634">
      <c r="K4634" s="4" t="str">
        <f>IFERROR(__xludf.DUMMYFUNCTION("""COMPUTED_VALUE"""),"CROWNS BURGER NBEERS")</f>
        <v>CROWNS BURGER NBEERS</v>
      </c>
      <c r="L4634" s="32">
        <f>IFERROR(__xludf.DUMMYFUNCTION("""COMPUTED_VALUE"""),2.0)</f>
        <v>2</v>
      </c>
      <c r="M4634" s="4" t="str">
        <f>IFERROR(__xludf.DUMMYFUNCTION("""COMPUTED_VALUE"""),"Cardápio Web")</f>
        <v>Cardápio Web</v>
      </c>
      <c r="N4634" s="33">
        <f>IFERROR(__xludf.DUMMYFUNCTION("""COMPUTED_VALUE"""),1.0)</f>
        <v>1</v>
      </c>
      <c r="O4634" s="4" t="str">
        <f>IFERROR(__xludf.DUMMYFUNCTION("""COMPUTED_VALUE"""),"Cardápio Web")</f>
        <v>Cardápio Web</v>
      </c>
      <c r="P4634" s="33">
        <f>IFERROR(__xludf.DUMMYFUNCTION("""COMPUTED_VALUE"""),1.0)</f>
        <v>1</v>
      </c>
      <c r="Q4634" s="4" t="str">
        <f>IFERROR(__xludf.DUMMYFUNCTION("""COMPUTED_VALUE"""),"Cardápio Web")</f>
        <v>Cardápio Web</v>
      </c>
      <c r="R4634" s="33">
        <f>IFERROR(__xludf.DUMMYFUNCTION("""COMPUTED_VALUE"""),1.0)</f>
        <v>1</v>
      </c>
      <c r="S4634" s="4" t="str">
        <f>IFERROR(__xludf.DUMMYFUNCTION("""COMPUTED_VALUE"""),"Cardápio Web")</f>
        <v>Cardápio Web</v>
      </c>
      <c r="T4634" s="33">
        <f>IFERROR(__xludf.DUMMYFUNCTION("""COMPUTED_VALUE"""),1.0)</f>
        <v>1</v>
      </c>
      <c r="U4634" s="4" t="str">
        <f>IFERROR(__xludf.DUMMYFUNCTION("""COMPUTED_VALUE"""),"Cardápio Web")</f>
        <v>Cardápio Web</v>
      </c>
      <c r="V4634" s="33">
        <f>IFERROR(__xludf.DUMMYFUNCTION("""COMPUTED_VALUE"""),1.0)</f>
        <v>1</v>
      </c>
      <c r="W4634" s="4" t="str">
        <f>IFERROR(__xludf.DUMMYFUNCTION("""COMPUTED_VALUE"""),"Cardápio Web")</f>
        <v>Cardápio Web</v>
      </c>
      <c r="X4634" s="33">
        <f>IFERROR(__xludf.DUMMYFUNCTION("""COMPUTED_VALUE"""),1.0)</f>
        <v>1</v>
      </c>
    </row>
    <row r="4635">
      <c r="K4635" s="4" t="str">
        <f>IFERROR(__xludf.DUMMYFUNCTION("""COMPUTED_VALUE"""),"ADEGA IDRUNK 24H - DELIVERY DE BEBIDAS")</f>
        <v>ADEGA IDRUNK 24H - DELIVERY DE BEBIDAS</v>
      </c>
      <c r="L4635" s="32">
        <f>IFERROR(__xludf.DUMMYFUNCTION("""COMPUTED_VALUE"""),2.0)</f>
        <v>2</v>
      </c>
      <c r="M4635" s="4" t="str">
        <f>IFERROR(__xludf.DUMMYFUNCTION("""COMPUTED_VALUE"""),"null")</f>
        <v>null</v>
      </c>
      <c r="N4635" s="33">
        <f>IFERROR(__xludf.DUMMYFUNCTION("""COMPUTED_VALUE"""),1.0)</f>
        <v>1</v>
      </c>
      <c r="O4635" s="4" t="str">
        <f>IFERROR(__xludf.DUMMYFUNCTION("""COMPUTED_VALUE"""),"null")</f>
        <v>null</v>
      </c>
      <c r="P4635" s="33">
        <f>IFERROR(__xludf.DUMMYFUNCTION("""COMPUTED_VALUE"""),1.0)</f>
        <v>1</v>
      </c>
      <c r="Q4635" s="4" t="str">
        <f>IFERROR(__xludf.DUMMYFUNCTION("""COMPUTED_VALUE"""),"Yooga")</f>
        <v>Yooga</v>
      </c>
      <c r="R4635" s="33">
        <f>IFERROR(__xludf.DUMMYFUNCTION("""COMPUTED_VALUE"""),1.0)</f>
        <v>1</v>
      </c>
      <c r="S4635" s="4" t="str">
        <f>IFERROR(__xludf.DUMMYFUNCTION("""COMPUTED_VALUE"""),"null")</f>
        <v>null</v>
      </c>
      <c r="T4635" s="33">
        <f>IFERROR(__xludf.DUMMYFUNCTION("""COMPUTED_VALUE"""),0.5)</f>
        <v>0.5</v>
      </c>
      <c r="U4635" s="4" t="str">
        <f>IFERROR(__xludf.DUMMYFUNCTION("""COMPUTED_VALUE"""),"null")</f>
        <v>null</v>
      </c>
      <c r="V4635" s="33">
        <f>IFERROR(__xludf.DUMMYFUNCTION("""COMPUTED_VALUE"""),1.0)</f>
        <v>1</v>
      </c>
      <c r="W4635" s="4" t="str">
        <f>IFERROR(__xludf.DUMMYFUNCTION("""COMPUTED_VALUE"""),"null")</f>
        <v>null</v>
      </c>
      <c r="X4635" s="33">
        <f>IFERROR(__xludf.DUMMYFUNCTION("""COMPUTED_VALUE"""),0.5)</f>
        <v>0.5</v>
      </c>
    </row>
    <row r="4636">
      <c r="K4636" s="4" t="str">
        <f>IFERROR(__xludf.DUMMYFUNCTION("""COMPUTED_VALUE"""),"ESQUINA BURGER")</f>
        <v>ESQUINA BURGER</v>
      </c>
      <c r="L4636" s="32">
        <f>IFERROR(__xludf.DUMMYFUNCTION("""COMPUTED_VALUE"""),2.0)</f>
        <v>2</v>
      </c>
      <c r="M4636" s="4" t="str">
        <f>IFERROR(__xludf.DUMMYFUNCTION("""COMPUTED_VALUE"""),"Saipos Serviços De Software")</f>
        <v>Saipos Serviços De Software</v>
      </c>
      <c r="N4636" s="33">
        <f>IFERROR(__xludf.DUMMYFUNCTION("""COMPUTED_VALUE"""),0.5)</f>
        <v>0.5</v>
      </c>
      <c r="O4636" s="4" t="str">
        <f>IFERROR(__xludf.DUMMYFUNCTION("""COMPUTED_VALUE"""),"Saipos Serviços De Software")</f>
        <v>Saipos Serviços De Software</v>
      </c>
      <c r="P4636" s="33">
        <f>IFERROR(__xludf.DUMMYFUNCTION("""COMPUTED_VALUE"""),0.5)</f>
        <v>0.5</v>
      </c>
      <c r="Q4636" s="4" t="str">
        <f>IFERROR(__xludf.DUMMYFUNCTION("""COMPUTED_VALUE"""),"Saipos Serviços De Software")</f>
        <v>Saipos Serviços De Software</v>
      </c>
      <c r="R4636" s="33">
        <f>IFERROR(__xludf.DUMMYFUNCTION("""COMPUTED_VALUE"""),0.5)</f>
        <v>0.5</v>
      </c>
      <c r="S4636" s="4" t="str">
        <f>IFERROR(__xludf.DUMMYFUNCTION("""COMPUTED_VALUE"""),"Saipos Serviços De Software")</f>
        <v>Saipos Serviços De Software</v>
      </c>
      <c r="T4636" s="33">
        <f>IFERROR(__xludf.DUMMYFUNCTION("""COMPUTED_VALUE"""),0.5)</f>
        <v>0.5</v>
      </c>
      <c r="U4636" s="4" t="str">
        <f>IFERROR(__xludf.DUMMYFUNCTION("""COMPUTED_VALUE"""),"Saipos Serviços De Software")</f>
        <v>Saipos Serviços De Software</v>
      </c>
      <c r="V4636" s="33">
        <f>IFERROR(__xludf.DUMMYFUNCTION("""COMPUTED_VALUE"""),0.5)</f>
        <v>0.5</v>
      </c>
      <c r="W4636" s="4" t="str">
        <f>IFERROR(__xludf.DUMMYFUNCTION("""COMPUTED_VALUE"""),"Saipos Serviços De Software")</f>
        <v>Saipos Serviços De Software</v>
      </c>
      <c r="X4636" s="33">
        <f>IFERROR(__xludf.DUMMYFUNCTION("""COMPUTED_VALUE"""),0.5)</f>
        <v>0.5</v>
      </c>
    </row>
    <row r="4637">
      <c r="K4637" s="4" t="str">
        <f>IFERROR(__xludf.DUMMYFUNCTION("""COMPUTED_VALUE"""),"ACAI VIBES")</f>
        <v>ACAI VIBES</v>
      </c>
      <c r="L4637" s="32">
        <f>IFERROR(__xludf.DUMMYFUNCTION("""COMPUTED_VALUE"""),2.0)</f>
        <v>2</v>
      </c>
      <c r="M4637" s="4" t="str">
        <f>IFERROR(__xludf.DUMMYFUNCTION("""COMPUTED_VALUE"""),"Saipos Serviços De Software")</f>
        <v>Saipos Serviços De Software</v>
      </c>
      <c r="N4637" s="33">
        <f>IFERROR(__xludf.DUMMYFUNCTION("""COMPUTED_VALUE"""),0.5)</f>
        <v>0.5</v>
      </c>
      <c r="O4637" s="4" t="str">
        <f>IFERROR(__xludf.DUMMYFUNCTION("""COMPUTED_VALUE"""),"Saipos Serviços De Software")</f>
        <v>Saipos Serviços De Software</v>
      </c>
      <c r="P4637" s="33">
        <f>IFERROR(__xludf.DUMMYFUNCTION("""COMPUTED_VALUE"""),0.5)</f>
        <v>0.5</v>
      </c>
      <c r="Q4637" s="4" t="str">
        <f>IFERROR(__xludf.DUMMYFUNCTION("""COMPUTED_VALUE"""),"Saipos Serviços De Software")</f>
        <v>Saipos Serviços De Software</v>
      </c>
      <c r="R4637" s="33">
        <f>IFERROR(__xludf.DUMMYFUNCTION("""COMPUTED_VALUE"""),0.5)</f>
        <v>0.5</v>
      </c>
      <c r="S4637" s="4" t="str">
        <f>IFERROR(__xludf.DUMMYFUNCTION("""COMPUTED_VALUE"""),"Saipos Serviços De Software")</f>
        <v>Saipos Serviços De Software</v>
      </c>
      <c r="T4637" s="33">
        <f>IFERROR(__xludf.DUMMYFUNCTION("""COMPUTED_VALUE"""),0.5)</f>
        <v>0.5</v>
      </c>
      <c r="U4637" s="4" t="str">
        <f>IFERROR(__xludf.DUMMYFUNCTION("""COMPUTED_VALUE"""),"null")</f>
        <v>null</v>
      </c>
      <c r="V4637" s="33">
        <f>IFERROR(__xludf.DUMMYFUNCTION("""COMPUTED_VALUE"""),0.5)</f>
        <v>0.5</v>
      </c>
      <c r="W4637" s="4" t="str">
        <f>IFERROR(__xludf.DUMMYFUNCTION("""COMPUTED_VALUE"""),"null")</f>
        <v>null</v>
      </c>
      <c r="X4637" s="33">
        <f>IFERROR(__xludf.DUMMYFUNCTION("""COMPUTED_VALUE"""),0.5)</f>
        <v>0.5</v>
      </c>
    </row>
    <row r="4638">
      <c r="K4638" s="4" t="str">
        <f>IFERROR(__xludf.DUMMYFUNCTION("""COMPUTED_VALUE"""),"FARMACIA MEDFARMA")</f>
        <v>FARMACIA MEDFARMA</v>
      </c>
      <c r="L4638" s="32">
        <f>IFERROR(__xludf.DUMMYFUNCTION("""COMPUTED_VALUE"""),2.0)</f>
        <v>2</v>
      </c>
      <c r="M4638" s="4" t="str">
        <f>IFERROR(__xludf.DUMMYFUNCTION("""COMPUTED_VALUE"""),"N/A (Not found)")</f>
        <v>N/A (Not found)</v>
      </c>
      <c r="N4638" s="33">
        <f>IFERROR(__xludf.DUMMYFUNCTION("""COMPUTED_VALUE"""),1.0)</f>
        <v>1</v>
      </c>
      <c r="O4638" s="4" t="str">
        <f>IFERROR(__xludf.DUMMYFUNCTION("""COMPUTED_VALUE"""),"N/A (Not found)")</f>
        <v>N/A (Not found)</v>
      </c>
      <c r="P4638" s="33">
        <f>IFERROR(__xludf.DUMMYFUNCTION("""COMPUTED_VALUE"""),1.0)</f>
        <v>1</v>
      </c>
      <c r="Q4638" s="4" t="str">
        <f>IFERROR(__xludf.DUMMYFUNCTION("""COMPUTED_VALUE"""),"N/A (Not found)")</f>
        <v>N/A (Not found)</v>
      </c>
      <c r="R4638" s="33">
        <f>IFERROR(__xludf.DUMMYFUNCTION("""COMPUTED_VALUE"""),1.0)</f>
        <v>1</v>
      </c>
      <c r="S4638" s="4" t="str">
        <f>IFERROR(__xludf.DUMMYFUNCTION("""COMPUTED_VALUE"""),"N/A (Not found)")</f>
        <v>N/A (Not found)</v>
      </c>
      <c r="T4638" s="33">
        <f>IFERROR(__xludf.DUMMYFUNCTION("""COMPUTED_VALUE"""),1.0)</f>
        <v>1</v>
      </c>
      <c r="U4638" s="4" t="str">
        <f>IFERROR(__xludf.DUMMYFUNCTION("""COMPUTED_VALUE"""),"N/A (Not found)")</f>
        <v>N/A (Not found)</v>
      </c>
      <c r="V4638" s="33">
        <f>IFERROR(__xludf.DUMMYFUNCTION("""COMPUTED_VALUE"""),1.0)</f>
        <v>1</v>
      </c>
      <c r="W4638" s="4" t="str">
        <f>IFERROR(__xludf.DUMMYFUNCTION("""COMPUTED_VALUE"""),"N/A (Not found)")</f>
        <v>N/A (Not found)</v>
      </c>
      <c r="X4638" s="33">
        <f>IFERROR(__xludf.DUMMYFUNCTION("""COMPUTED_VALUE"""),1.0)</f>
        <v>1</v>
      </c>
    </row>
    <row r="4639">
      <c r="K4639" s="4" t="str">
        <f>IFERROR(__xludf.DUMMYFUNCTION("""COMPUTED_VALUE"""),"BEXT PIZZA")</f>
        <v>BEXT PIZZA</v>
      </c>
      <c r="L4639" s="32">
        <f>IFERROR(__xludf.DUMMYFUNCTION("""COMPUTED_VALUE"""),2.0)</f>
        <v>2</v>
      </c>
      <c r="M4639" s="4" t="str">
        <f>IFERROR(__xludf.DUMMYFUNCTION("""COMPUTED_VALUE"""),"Saipos Serviços De Software")</f>
        <v>Saipos Serviços De Software</v>
      </c>
      <c r="N4639" s="33">
        <f>IFERROR(__xludf.DUMMYFUNCTION("""COMPUTED_VALUE"""),0.5)</f>
        <v>0.5</v>
      </c>
      <c r="O4639" s="4" t="str">
        <f>IFERROR(__xludf.DUMMYFUNCTION("""COMPUTED_VALUE"""),"Saipos Serviços De Software")</f>
        <v>Saipos Serviços De Software</v>
      </c>
      <c r="P4639" s="33">
        <f>IFERROR(__xludf.DUMMYFUNCTION("""COMPUTED_VALUE"""),0.5)</f>
        <v>0.5</v>
      </c>
      <c r="Q4639" s="4" t="str">
        <f>IFERROR(__xludf.DUMMYFUNCTION("""COMPUTED_VALUE"""),"Saipos Serviços De Software")</f>
        <v>Saipos Serviços De Software</v>
      </c>
      <c r="R4639" s="33">
        <f>IFERROR(__xludf.DUMMYFUNCTION("""COMPUTED_VALUE"""),0.5)</f>
        <v>0.5</v>
      </c>
      <c r="S4639" s="4" t="str">
        <f>IFERROR(__xludf.DUMMYFUNCTION("""COMPUTED_VALUE"""),"Saipos Serviços De Software")</f>
        <v>Saipos Serviços De Software</v>
      </c>
      <c r="T4639" s="33">
        <f>IFERROR(__xludf.DUMMYFUNCTION("""COMPUTED_VALUE"""),1.0)</f>
        <v>1</v>
      </c>
      <c r="U4639" s="4" t="str">
        <f>IFERROR(__xludf.DUMMYFUNCTION("""COMPUTED_VALUE"""),"Saipos Serviços De Software")</f>
        <v>Saipos Serviços De Software</v>
      </c>
      <c r="V4639" s="33">
        <f>IFERROR(__xludf.DUMMYFUNCTION("""COMPUTED_VALUE"""),1.0)</f>
        <v>1</v>
      </c>
      <c r="W4639" s="4" t="str">
        <f>IFERROR(__xludf.DUMMYFUNCTION("""COMPUTED_VALUE"""),"Saipos Serviços De Software")</f>
        <v>Saipos Serviços De Software</v>
      </c>
      <c r="X4639" s="33">
        <f>IFERROR(__xludf.DUMMYFUNCTION("""COMPUTED_VALUE"""),0.5)</f>
        <v>0.5</v>
      </c>
    </row>
    <row r="4640">
      <c r="K4640" s="4" t="str">
        <f>IFERROR(__xludf.DUMMYFUNCTION("""COMPUTED_VALUE"""),"APAIXONADOS POR QUATRO PATAS")</f>
        <v>APAIXONADOS POR QUATRO PATAS</v>
      </c>
      <c r="L4640" s="32">
        <f>IFERROR(__xludf.DUMMYFUNCTION("""COMPUTED_VALUE"""),2.0)</f>
        <v>2</v>
      </c>
      <c r="M4640" s="4" t="str">
        <f>IFERROR(__xludf.DUMMYFUNCTION("""COMPUTED_VALUE"""),"N/A (Not found)")</f>
        <v>N/A (Not found)</v>
      </c>
      <c r="N4640" s="33">
        <f>IFERROR(__xludf.DUMMYFUNCTION("""COMPUTED_VALUE"""),0.5)</f>
        <v>0.5</v>
      </c>
      <c r="O4640" s="4" t="str">
        <f>IFERROR(__xludf.DUMMYFUNCTION("""COMPUTED_VALUE"""),"null")</f>
        <v>null</v>
      </c>
      <c r="P4640" s="33">
        <f>IFERROR(__xludf.DUMMYFUNCTION("""COMPUTED_VALUE"""),1.0)</f>
        <v>1</v>
      </c>
      <c r="Q4640" s="4" t="str">
        <f>IFERROR(__xludf.DUMMYFUNCTION("""COMPUTED_VALUE"""),"null")</f>
        <v>null</v>
      </c>
      <c r="R4640" s="33">
        <f>IFERROR(__xludf.DUMMYFUNCTION("""COMPUTED_VALUE"""),1.0)</f>
        <v>1</v>
      </c>
      <c r="S4640" s="4" t="str">
        <f>IFERROR(__xludf.DUMMYFUNCTION("""COMPUTED_VALUE"""),"N/A (Not found)")</f>
        <v>N/A (Not found)</v>
      </c>
      <c r="T4640" s="33">
        <f>IFERROR(__xludf.DUMMYFUNCTION("""COMPUTED_VALUE"""),1.0)</f>
        <v>1</v>
      </c>
      <c r="U4640" s="4" t="str">
        <f>IFERROR(__xludf.DUMMYFUNCTION("""COMPUTED_VALUE"""),"null")</f>
        <v>null</v>
      </c>
      <c r="V4640" s="33">
        <f>IFERROR(__xludf.DUMMYFUNCTION("""COMPUTED_VALUE"""),0.5)</f>
        <v>0.5</v>
      </c>
      <c r="W4640" s="4" t="str">
        <f>IFERROR(__xludf.DUMMYFUNCTION("""COMPUTED_VALUE"""),"null")</f>
        <v>null</v>
      </c>
      <c r="X4640" s="33">
        <f>IFERROR(__xludf.DUMMYFUNCTION("""COMPUTED_VALUE"""),0.5)</f>
        <v>0.5</v>
      </c>
    </row>
    <row r="4641">
      <c r="K4641" s="4" t="str">
        <f>IFERROR(__xludf.DUMMYFUNCTION("""COMPUTED_VALUE"""),"PASTEL DO CHEF")</f>
        <v>PASTEL DO CHEF</v>
      </c>
      <c r="L4641" s="32">
        <f>IFERROR(__xludf.DUMMYFUNCTION("""COMPUTED_VALUE"""),2.0)</f>
        <v>2</v>
      </c>
      <c r="M4641" s="4" t="str">
        <f>IFERROR(__xludf.DUMMYFUNCTION("""COMPUTED_VALUE"""),"null")</f>
        <v>null</v>
      </c>
      <c r="N4641" s="33">
        <f>IFERROR(__xludf.DUMMYFUNCTION("""COMPUTED_VALUE"""),0.5)</f>
        <v>0.5</v>
      </c>
      <c r="O4641" s="4" t="str">
        <f>IFERROR(__xludf.DUMMYFUNCTION("""COMPUTED_VALUE"""),"null")</f>
        <v>null</v>
      </c>
      <c r="P4641" s="33">
        <f>IFERROR(__xludf.DUMMYFUNCTION("""COMPUTED_VALUE"""),0.5)</f>
        <v>0.5</v>
      </c>
      <c r="Q4641" s="4" t="str">
        <f>IFERROR(__xludf.DUMMYFUNCTION("""COMPUTED_VALUE"""),"null")</f>
        <v>null</v>
      </c>
      <c r="R4641" s="33">
        <f>IFERROR(__xludf.DUMMYFUNCTION("""COMPUTED_VALUE"""),0.5)</f>
        <v>0.5</v>
      </c>
      <c r="S4641" s="4" t="str">
        <f>IFERROR(__xludf.DUMMYFUNCTION("""COMPUTED_VALUE"""),"Takeat Tecnologia")</f>
        <v>Takeat Tecnologia</v>
      </c>
      <c r="T4641" s="33">
        <f>IFERROR(__xludf.DUMMYFUNCTION("""COMPUTED_VALUE"""),0.5)</f>
        <v>0.5</v>
      </c>
      <c r="U4641" s="4" t="str">
        <f>IFERROR(__xludf.DUMMYFUNCTION("""COMPUTED_VALUE"""),"Takeat Tecnologia")</f>
        <v>Takeat Tecnologia</v>
      </c>
      <c r="V4641" s="33">
        <f>IFERROR(__xludf.DUMMYFUNCTION("""COMPUTED_VALUE"""),0.5)</f>
        <v>0.5</v>
      </c>
      <c r="W4641" s="4" t="str">
        <f>IFERROR(__xludf.DUMMYFUNCTION("""COMPUTED_VALUE"""),"Takeat Tecnologia")</f>
        <v>Takeat Tecnologia</v>
      </c>
      <c r="X4641" s="33">
        <f>IFERROR(__xludf.DUMMYFUNCTION("""COMPUTED_VALUE"""),0.5)</f>
        <v>0.5</v>
      </c>
    </row>
    <row r="4642">
      <c r="K4642" s="4" t="str">
        <f>IFERROR(__xludf.DUMMYFUNCTION("""COMPUTED_VALUE"""),"PIZZARIA LA BELLA")</f>
        <v>PIZZARIA LA BELLA</v>
      </c>
      <c r="L4642" s="32">
        <f>IFERROR(__xludf.DUMMYFUNCTION("""COMPUTED_VALUE"""),2.0)</f>
        <v>2</v>
      </c>
      <c r="M4642" s="4" t="str">
        <f>IFERROR(__xludf.DUMMYFUNCTION("""COMPUTED_VALUE"""),"null")</f>
        <v>null</v>
      </c>
      <c r="N4642" s="33">
        <f>IFERROR(__xludf.DUMMYFUNCTION("""COMPUTED_VALUE"""),1.0)</f>
        <v>1</v>
      </c>
      <c r="O4642" s="4" t="str">
        <f>IFERROR(__xludf.DUMMYFUNCTION("""COMPUTED_VALUE"""),"Instadelivery")</f>
        <v>Instadelivery</v>
      </c>
      <c r="P4642" s="33">
        <f>IFERROR(__xludf.DUMMYFUNCTION("""COMPUTED_VALUE"""),0.5)</f>
        <v>0.5</v>
      </c>
      <c r="Q4642" s="4" t="str">
        <f>IFERROR(__xludf.DUMMYFUNCTION("""COMPUTED_VALUE"""),"Instadelivery")</f>
        <v>Instadelivery</v>
      </c>
      <c r="R4642" s="33">
        <f>IFERROR(__xludf.DUMMYFUNCTION("""COMPUTED_VALUE"""),0.5)</f>
        <v>0.5</v>
      </c>
      <c r="S4642" s="4" t="str">
        <f>IFERROR(__xludf.DUMMYFUNCTION("""COMPUTED_VALUE"""),"Instadelivery")</f>
        <v>Instadelivery</v>
      </c>
      <c r="T4642" s="33">
        <f>IFERROR(__xludf.DUMMYFUNCTION("""COMPUTED_VALUE"""),0.5)</f>
        <v>0.5</v>
      </c>
      <c r="U4642" s="4" t="str">
        <f>IFERROR(__xludf.DUMMYFUNCTION("""COMPUTED_VALUE"""),"Instadelivery")</f>
        <v>Instadelivery</v>
      </c>
      <c r="V4642" s="33">
        <f>IFERROR(__xludf.DUMMYFUNCTION("""COMPUTED_VALUE"""),0.5)</f>
        <v>0.5</v>
      </c>
      <c r="W4642" s="4" t="str">
        <f>IFERROR(__xludf.DUMMYFUNCTION("""COMPUTED_VALUE"""),"Instadelivery")</f>
        <v>Instadelivery</v>
      </c>
      <c r="X4642" s="33">
        <f>IFERROR(__xludf.DUMMYFUNCTION("""COMPUTED_VALUE"""),0.5)</f>
        <v>0.5</v>
      </c>
    </row>
    <row r="4643">
      <c r="K4643" s="4" t="str">
        <f>IFERROR(__xludf.DUMMYFUNCTION("""COMPUTED_VALUE"""),"VILLA PIZZA")</f>
        <v>VILLA PIZZA</v>
      </c>
      <c r="L4643" s="32">
        <f>IFERROR(__xludf.DUMMYFUNCTION("""COMPUTED_VALUE"""),2.0)</f>
        <v>2</v>
      </c>
      <c r="M4643" s="4" t="str">
        <f>IFERROR(__xludf.DUMMYFUNCTION("""COMPUTED_VALUE"""),"Anota Ai Solucoes Digitais S/a")</f>
        <v>Anota Ai Solucoes Digitais S/a</v>
      </c>
      <c r="N4643" s="33">
        <f>IFERROR(__xludf.DUMMYFUNCTION("""COMPUTED_VALUE"""),0.5)</f>
        <v>0.5</v>
      </c>
      <c r="O4643" s="4" t="str">
        <f>IFERROR(__xludf.DUMMYFUNCTION("""COMPUTED_VALUE"""),"Anota Ai Solucoes Digitais S/a")</f>
        <v>Anota Ai Solucoes Digitais S/a</v>
      </c>
      <c r="P4643" s="33">
        <f>IFERROR(__xludf.DUMMYFUNCTION("""COMPUTED_VALUE"""),0.5)</f>
        <v>0.5</v>
      </c>
      <c r="Q4643" s="4" t="str">
        <f>IFERROR(__xludf.DUMMYFUNCTION("""COMPUTED_VALUE"""),"null")</f>
        <v>null</v>
      </c>
      <c r="R4643" s="33">
        <f>IFERROR(__xludf.DUMMYFUNCTION("""COMPUTED_VALUE"""),1.0)</f>
        <v>1</v>
      </c>
      <c r="S4643" s="4" t="str">
        <f>IFERROR(__xludf.DUMMYFUNCTION("""COMPUTED_VALUE"""),"Anota Ai Solucoes Digitais S/a")</f>
        <v>Anota Ai Solucoes Digitais S/a</v>
      </c>
      <c r="T4643" s="33">
        <f>IFERROR(__xludf.DUMMYFUNCTION("""COMPUTED_VALUE"""),0.5)</f>
        <v>0.5</v>
      </c>
      <c r="U4643" s="4" t="str">
        <f>IFERROR(__xludf.DUMMYFUNCTION("""COMPUTED_VALUE"""),"Anota Ai Solucoes Digitais S/a")</f>
        <v>Anota Ai Solucoes Digitais S/a</v>
      </c>
      <c r="V4643" s="33">
        <f>IFERROR(__xludf.DUMMYFUNCTION("""COMPUTED_VALUE"""),0.5)</f>
        <v>0.5</v>
      </c>
      <c r="W4643" s="4" t="str">
        <f>IFERROR(__xludf.DUMMYFUNCTION("""COMPUTED_VALUE"""),"Anota Ai Solucoes Digitais S/a")</f>
        <v>Anota Ai Solucoes Digitais S/a</v>
      </c>
      <c r="X4643" s="33">
        <f>IFERROR(__xludf.DUMMYFUNCTION("""COMPUTED_VALUE"""),1.0)</f>
        <v>1</v>
      </c>
    </row>
    <row r="4644">
      <c r="K4644" s="4" t="str">
        <f>IFERROR(__xludf.DUMMYFUNCTION("""COMPUTED_VALUE"""),"PONTO DAS PIZZAS")</f>
        <v>PONTO DAS PIZZAS</v>
      </c>
      <c r="L4644" s="32">
        <f>IFERROR(__xludf.DUMMYFUNCTION("""COMPUTED_VALUE"""),2.0)</f>
        <v>2</v>
      </c>
      <c r="M4644" s="4" t="str">
        <f>IFERROR(__xludf.DUMMYFUNCTION("""COMPUTED_VALUE"""),"Saipos Serviços De Software")</f>
        <v>Saipos Serviços De Software</v>
      </c>
      <c r="N4644" s="33">
        <f>IFERROR(__xludf.DUMMYFUNCTION("""COMPUTED_VALUE"""),0.5)</f>
        <v>0.5</v>
      </c>
      <c r="O4644" s="4" t="str">
        <f>IFERROR(__xludf.DUMMYFUNCTION("""COMPUTED_VALUE"""),"Saipos Serviços De Software")</f>
        <v>Saipos Serviços De Software</v>
      </c>
      <c r="P4644" s="33">
        <f>IFERROR(__xludf.DUMMYFUNCTION("""COMPUTED_VALUE"""),0.5)</f>
        <v>0.5</v>
      </c>
      <c r="Q4644" s="4" t="str">
        <f>IFERROR(__xludf.DUMMYFUNCTION("""COMPUTED_VALUE"""),"Saipos Serviços De Software")</f>
        <v>Saipos Serviços De Software</v>
      </c>
      <c r="R4644" s="33">
        <f>IFERROR(__xludf.DUMMYFUNCTION("""COMPUTED_VALUE"""),0.5)</f>
        <v>0.5</v>
      </c>
      <c r="S4644" s="4" t="str">
        <f>IFERROR(__xludf.DUMMYFUNCTION("""COMPUTED_VALUE"""),"Saipos Serviços De Software")</f>
        <v>Saipos Serviços De Software</v>
      </c>
      <c r="T4644" s="33">
        <f>IFERROR(__xludf.DUMMYFUNCTION("""COMPUTED_VALUE"""),0.5)</f>
        <v>0.5</v>
      </c>
      <c r="U4644" s="4" t="str">
        <f>IFERROR(__xludf.DUMMYFUNCTION("""COMPUTED_VALUE"""),"Saipos Serviços De Software")</f>
        <v>Saipos Serviços De Software</v>
      </c>
      <c r="V4644" s="33">
        <f>IFERROR(__xludf.DUMMYFUNCTION("""COMPUTED_VALUE"""),0.5)</f>
        <v>0.5</v>
      </c>
      <c r="W4644" s="4" t="str">
        <f>IFERROR(__xludf.DUMMYFUNCTION("""COMPUTED_VALUE"""),"Saipos Serviços De Software")</f>
        <v>Saipos Serviços De Software</v>
      </c>
      <c r="X4644" s="33">
        <f>IFERROR(__xludf.DUMMYFUNCTION("""COMPUTED_VALUE"""),0.5)</f>
        <v>0.5</v>
      </c>
    </row>
    <row r="4645">
      <c r="K4645" s="4" t="str">
        <f>IFERROR(__xludf.DUMMYFUNCTION("""COMPUTED_VALUE"""),"BOURBON CAFE")</f>
        <v>BOURBON CAFE</v>
      </c>
      <c r="L4645" s="32">
        <f>IFERROR(__xludf.DUMMYFUNCTION("""COMPUTED_VALUE"""),2.0)</f>
        <v>2</v>
      </c>
      <c r="M4645" s="4" t="str">
        <f>IFERROR(__xludf.DUMMYFUNCTION("""COMPUTED_VALUE"""),"Yooga")</f>
        <v>Yooga</v>
      </c>
      <c r="N4645" s="33">
        <f>IFERROR(__xludf.DUMMYFUNCTION("""COMPUTED_VALUE"""),0.5)</f>
        <v>0.5</v>
      </c>
      <c r="O4645" s="4" t="str">
        <f>IFERROR(__xludf.DUMMYFUNCTION("""COMPUTED_VALUE"""),"Yooga")</f>
        <v>Yooga</v>
      </c>
      <c r="P4645" s="33">
        <f>IFERROR(__xludf.DUMMYFUNCTION("""COMPUTED_VALUE"""),0.5)</f>
        <v>0.5</v>
      </c>
      <c r="Q4645" s="4" t="str">
        <f>IFERROR(__xludf.DUMMYFUNCTION("""COMPUTED_VALUE"""),"Yooga")</f>
        <v>Yooga</v>
      </c>
      <c r="R4645" s="33">
        <f>IFERROR(__xludf.DUMMYFUNCTION("""COMPUTED_VALUE"""),0.5)</f>
        <v>0.5</v>
      </c>
      <c r="S4645" s="4" t="str">
        <f>IFERROR(__xludf.DUMMYFUNCTION("""COMPUTED_VALUE"""),"Yooga")</f>
        <v>Yooga</v>
      </c>
      <c r="T4645" s="33">
        <f>IFERROR(__xludf.DUMMYFUNCTION("""COMPUTED_VALUE"""),0.5)</f>
        <v>0.5</v>
      </c>
      <c r="U4645" s="4" t="str">
        <f>IFERROR(__xludf.DUMMYFUNCTION("""COMPUTED_VALUE"""),"Yooga")</f>
        <v>Yooga</v>
      </c>
      <c r="V4645" s="33">
        <f>IFERROR(__xludf.DUMMYFUNCTION("""COMPUTED_VALUE"""),0.5)</f>
        <v>0.5</v>
      </c>
      <c r="W4645" s="4" t="str">
        <f>IFERROR(__xludf.DUMMYFUNCTION("""COMPUTED_VALUE"""),"Yooga")</f>
        <v>Yooga</v>
      </c>
      <c r="X4645" s="33">
        <f>IFERROR(__xludf.DUMMYFUNCTION("""COMPUTED_VALUE"""),0.5)</f>
        <v>0.5</v>
      </c>
    </row>
    <row r="4646">
      <c r="K4646" s="4" t="str">
        <f>IFERROR(__xludf.DUMMYFUNCTION("""COMPUTED_VALUE"""),"ADEGA SANTO GRAU")</f>
        <v>ADEGA SANTO GRAU</v>
      </c>
      <c r="L4646" s="32">
        <f>IFERROR(__xludf.DUMMYFUNCTION("""COMPUTED_VALUE"""),2.0)</f>
        <v>2</v>
      </c>
      <c r="M4646" s="4" t="str">
        <f>IFERROR(__xludf.DUMMYFUNCTION("""COMPUTED_VALUE"""),"Zion Pdv")</f>
        <v>Zion Pdv</v>
      </c>
      <c r="N4646" s="33">
        <f>IFERROR(__xludf.DUMMYFUNCTION("""COMPUTED_VALUE"""),0.5)</f>
        <v>0.5</v>
      </c>
      <c r="O4646" s="4" t="str">
        <f>IFERROR(__xludf.DUMMYFUNCTION("""COMPUTED_VALUE"""),"null")</f>
        <v>null</v>
      </c>
      <c r="P4646" s="33">
        <f>IFERROR(__xludf.DUMMYFUNCTION("""COMPUTED_VALUE"""),0.5)</f>
        <v>0.5</v>
      </c>
      <c r="Q4646" s="4" t="str">
        <f>IFERROR(__xludf.DUMMYFUNCTION("""COMPUTED_VALUE"""),"null")</f>
        <v>null</v>
      </c>
      <c r="R4646" s="33">
        <f>IFERROR(__xludf.DUMMYFUNCTION("""COMPUTED_VALUE"""),0.5)</f>
        <v>0.5</v>
      </c>
      <c r="S4646" s="4" t="str">
        <f>IFERROR(__xludf.DUMMYFUNCTION("""COMPUTED_VALUE"""),"Zion Pdv")</f>
        <v>Zion Pdv</v>
      </c>
      <c r="T4646" s="33">
        <f>IFERROR(__xludf.DUMMYFUNCTION("""COMPUTED_VALUE"""),0.5)</f>
        <v>0.5</v>
      </c>
      <c r="U4646" s="4" t="str">
        <f>IFERROR(__xludf.DUMMYFUNCTION("""COMPUTED_VALUE"""),"null")</f>
        <v>null</v>
      </c>
      <c r="V4646" s="33">
        <f>IFERROR(__xludf.DUMMYFUNCTION("""COMPUTED_VALUE"""),0.5)</f>
        <v>0.5</v>
      </c>
      <c r="W4646" s="4" t="str">
        <f>IFERROR(__xludf.DUMMYFUNCTION("""COMPUTED_VALUE"""),"null")</f>
        <v>null</v>
      </c>
      <c r="X4646" s="33">
        <f>IFERROR(__xludf.DUMMYFUNCTION("""COMPUTED_VALUE"""),0.5)</f>
        <v>0.5</v>
      </c>
    </row>
    <row r="4647">
      <c r="K4647" s="4" t="str">
        <f>IFERROR(__xludf.DUMMYFUNCTION("""COMPUTED_VALUE"""),"MARANA CONFEITARIA INCLUSIVA")</f>
        <v>MARANA CONFEITARIA INCLUSIVA</v>
      </c>
      <c r="L4647" s="32">
        <f>IFERROR(__xludf.DUMMYFUNCTION("""COMPUTED_VALUE"""),2.0)</f>
        <v>2</v>
      </c>
      <c r="M4647" s="4" t="str">
        <f>IFERROR(__xludf.DUMMYFUNCTION("""COMPUTED_VALUE"""),"null")</f>
        <v>null</v>
      </c>
      <c r="N4647" s="33">
        <f>IFERROR(__xludf.DUMMYFUNCTION("""COMPUTED_VALUE"""),1.0)</f>
        <v>1</v>
      </c>
      <c r="O4647" s="4" t="str">
        <f>IFERROR(__xludf.DUMMYFUNCTION("""COMPUTED_VALUE"""),"null")</f>
        <v>null</v>
      </c>
      <c r="P4647" s="33">
        <f>IFERROR(__xludf.DUMMYFUNCTION("""COMPUTED_VALUE"""),1.0)</f>
        <v>1</v>
      </c>
      <c r="Q4647" s="4" t="str">
        <f>IFERROR(__xludf.DUMMYFUNCTION("""COMPUTED_VALUE"""),"null")</f>
        <v>null</v>
      </c>
      <c r="R4647" s="33">
        <f>IFERROR(__xludf.DUMMYFUNCTION("""COMPUTED_VALUE"""),1.0)</f>
        <v>1</v>
      </c>
      <c r="S4647" s="4" t="str">
        <f>IFERROR(__xludf.DUMMYFUNCTION("""COMPUTED_VALUE"""),"null")</f>
        <v>null</v>
      </c>
      <c r="T4647" s="33">
        <f>IFERROR(__xludf.DUMMYFUNCTION("""COMPUTED_VALUE"""),1.0)</f>
        <v>1</v>
      </c>
      <c r="U4647" s="4" t="str">
        <f>IFERROR(__xludf.DUMMYFUNCTION("""COMPUTED_VALUE"""),"Consumer Soluções Em Tecnologia Ltda")</f>
        <v>Consumer Soluções Em Tecnologia Ltda</v>
      </c>
      <c r="V4647" s="33">
        <f>IFERROR(__xludf.DUMMYFUNCTION("""COMPUTED_VALUE"""),1.0)</f>
        <v>1</v>
      </c>
      <c r="W4647" s="4" t="str">
        <f>IFERROR(__xludf.DUMMYFUNCTION("""COMPUTED_VALUE"""),"null")</f>
        <v>null</v>
      </c>
      <c r="X4647" s="33">
        <f>IFERROR(__xludf.DUMMYFUNCTION("""COMPUTED_VALUE"""),0.5)</f>
        <v>0.5</v>
      </c>
    </row>
    <row r="4648">
      <c r="K4648" s="4" t="str">
        <f>IFERROR(__xludf.DUMMYFUNCTION("""COMPUTED_VALUE"""),"PIZZARIA VIEIRA")</f>
        <v>PIZZARIA VIEIRA</v>
      </c>
      <c r="L4648" s="32">
        <f>IFERROR(__xludf.DUMMYFUNCTION("""COMPUTED_VALUE"""),2.0)</f>
        <v>2</v>
      </c>
      <c r="M4648" s="4" t="str">
        <f>IFERROR(__xludf.DUMMYFUNCTION("""COMPUTED_VALUE"""),"null")</f>
        <v>null</v>
      </c>
      <c r="N4648" s="33">
        <f>IFERROR(__xludf.DUMMYFUNCTION("""COMPUTED_VALUE"""),1.0)</f>
        <v>1</v>
      </c>
      <c r="O4648" s="4" t="str">
        <f>IFERROR(__xludf.DUMMYFUNCTION("""COMPUTED_VALUE"""),"null")</f>
        <v>null</v>
      </c>
      <c r="P4648" s="33">
        <f>IFERROR(__xludf.DUMMYFUNCTION("""COMPUTED_VALUE"""),1.0)</f>
        <v>1</v>
      </c>
      <c r="Q4648" s="4" t="str">
        <f>IFERROR(__xludf.DUMMYFUNCTION("""COMPUTED_VALUE"""),"null")</f>
        <v>null</v>
      </c>
      <c r="R4648" s="33">
        <f>IFERROR(__xludf.DUMMYFUNCTION("""COMPUTED_VALUE"""),0.5)</f>
        <v>0.5</v>
      </c>
      <c r="S4648" s="4" t="str">
        <f>IFERROR(__xludf.DUMMYFUNCTION("""COMPUTED_VALUE"""),"null")</f>
        <v>null</v>
      </c>
      <c r="T4648" s="33">
        <f>IFERROR(__xludf.DUMMYFUNCTION("""COMPUTED_VALUE"""),1.0)</f>
        <v>1</v>
      </c>
      <c r="U4648" s="4" t="str">
        <f>IFERROR(__xludf.DUMMYFUNCTION("""COMPUTED_VALUE"""),"null")</f>
        <v>null</v>
      </c>
      <c r="V4648" s="33">
        <f>IFERROR(__xludf.DUMMYFUNCTION("""COMPUTED_VALUE"""),1.0)</f>
        <v>1</v>
      </c>
      <c r="W4648" s="4" t="str">
        <f>IFERROR(__xludf.DUMMYFUNCTION("""COMPUTED_VALUE"""),"Saipos Serviços De Software")</f>
        <v>Saipos Serviços De Software</v>
      </c>
      <c r="X4648" s="33">
        <f>IFERROR(__xludf.DUMMYFUNCTION("""COMPUTED_VALUE"""),0.5)</f>
        <v>0.5</v>
      </c>
    </row>
    <row r="4649">
      <c r="K4649" s="4" t="str">
        <f>IFERROR(__xludf.DUMMYFUNCTION("""COMPUTED_VALUE"""),"SEO PEDRINHO - BURGERS ARTESANAIS")</f>
        <v>SEO PEDRINHO - BURGERS ARTESANAIS</v>
      </c>
      <c r="L4649" s="32">
        <f>IFERROR(__xludf.DUMMYFUNCTION("""COMPUTED_VALUE"""),2.0)</f>
        <v>2</v>
      </c>
      <c r="M4649" s="4" t="str">
        <f>IFERROR(__xludf.DUMMYFUNCTION("""COMPUTED_VALUE"""),"Brendi")</f>
        <v>Brendi</v>
      </c>
      <c r="N4649" s="33">
        <f>IFERROR(__xludf.DUMMYFUNCTION("""COMPUTED_VALUE"""),0.5)</f>
        <v>0.5</v>
      </c>
      <c r="O4649" s="4" t="str">
        <f>IFERROR(__xludf.DUMMYFUNCTION("""COMPUTED_VALUE"""),"Brendi")</f>
        <v>Brendi</v>
      </c>
      <c r="P4649" s="33">
        <f>IFERROR(__xludf.DUMMYFUNCTION("""COMPUTED_VALUE"""),0.5)</f>
        <v>0.5</v>
      </c>
      <c r="Q4649" s="4" t="str">
        <f>IFERROR(__xludf.DUMMYFUNCTION("""COMPUTED_VALUE"""),"Brendi")</f>
        <v>Brendi</v>
      </c>
      <c r="R4649" s="33">
        <f>IFERROR(__xludf.DUMMYFUNCTION("""COMPUTED_VALUE"""),0.5)</f>
        <v>0.5</v>
      </c>
      <c r="S4649" s="4" t="str">
        <f>IFERROR(__xludf.DUMMYFUNCTION("""COMPUTED_VALUE"""),"Brendi")</f>
        <v>Brendi</v>
      </c>
      <c r="T4649" s="33">
        <f>IFERROR(__xludf.DUMMYFUNCTION("""COMPUTED_VALUE"""),0.5)</f>
        <v>0.5</v>
      </c>
      <c r="U4649" s="4" t="str">
        <f>IFERROR(__xludf.DUMMYFUNCTION("""COMPUTED_VALUE"""),"Saipos Serviços De Software")</f>
        <v>Saipos Serviços De Software</v>
      </c>
      <c r="V4649" s="33">
        <f>IFERROR(__xludf.DUMMYFUNCTION("""COMPUTED_VALUE"""),1.0)</f>
        <v>1</v>
      </c>
      <c r="W4649" s="4" t="str">
        <f>IFERROR(__xludf.DUMMYFUNCTION("""COMPUTED_VALUE"""),"Saipos Serviços De Software")</f>
        <v>Saipos Serviços De Software</v>
      </c>
      <c r="X4649" s="33">
        <f>IFERROR(__xludf.DUMMYFUNCTION("""COMPUTED_VALUE"""),1.0)</f>
        <v>1</v>
      </c>
    </row>
    <row r="4650">
      <c r="K4650" s="4" t="str">
        <f>IFERROR(__xludf.DUMMYFUNCTION("""COMPUTED_VALUE"""),"CAFE DA VILA")</f>
        <v>CAFE DA VILA</v>
      </c>
      <c r="L4650" s="32">
        <f>IFERROR(__xludf.DUMMYFUNCTION("""COMPUTED_VALUE"""),2.0)</f>
        <v>2</v>
      </c>
      <c r="M4650" s="4" t="str">
        <f>IFERROR(__xludf.DUMMYFUNCTION("""COMPUTED_VALUE"""),"Ncr")</f>
        <v>Ncr</v>
      </c>
      <c r="N4650" s="33">
        <f>IFERROR(__xludf.DUMMYFUNCTION("""COMPUTED_VALUE"""),0.5)</f>
        <v>0.5</v>
      </c>
      <c r="O4650" s="4" t="str">
        <f>IFERROR(__xludf.DUMMYFUNCTION("""COMPUTED_VALUE"""),"Ncr")</f>
        <v>Ncr</v>
      </c>
      <c r="P4650" s="33">
        <f>IFERROR(__xludf.DUMMYFUNCTION("""COMPUTED_VALUE"""),0.5)</f>
        <v>0.5</v>
      </c>
      <c r="Q4650" s="4" t="str">
        <f>IFERROR(__xludf.DUMMYFUNCTION("""COMPUTED_VALUE"""),"Ncr")</f>
        <v>Ncr</v>
      </c>
      <c r="R4650" s="33">
        <f>IFERROR(__xludf.DUMMYFUNCTION("""COMPUTED_VALUE"""),0.5)</f>
        <v>0.5</v>
      </c>
      <c r="S4650" s="4" t="str">
        <f>IFERROR(__xludf.DUMMYFUNCTION("""COMPUTED_VALUE"""),"Ncr")</f>
        <v>Ncr</v>
      </c>
      <c r="T4650" s="33">
        <f>IFERROR(__xludf.DUMMYFUNCTION("""COMPUTED_VALUE"""),0.5)</f>
        <v>0.5</v>
      </c>
      <c r="U4650" s="4" t="str">
        <f>IFERROR(__xludf.DUMMYFUNCTION("""COMPUTED_VALUE"""),"Ncr")</f>
        <v>Ncr</v>
      </c>
      <c r="V4650" s="33">
        <f>IFERROR(__xludf.DUMMYFUNCTION("""COMPUTED_VALUE"""),0.5)</f>
        <v>0.5</v>
      </c>
      <c r="W4650" s="4" t="str">
        <f>IFERROR(__xludf.DUMMYFUNCTION("""COMPUTED_VALUE"""),"null")</f>
        <v>null</v>
      </c>
      <c r="X4650" s="33">
        <f>IFERROR(__xludf.DUMMYFUNCTION("""COMPUTED_VALUE"""),0.5)</f>
        <v>0.5</v>
      </c>
    </row>
    <row r="4651">
      <c r="K4651" s="4" t="str">
        <f>IFERROR(__xludf.DUMMYFUNCTION("""COMPUTED_VALUE"""),"ROYAL BURGUER")</f>
        <v>ROYAL BURGUER</v>
      </c>
      <c r="L4651" s="32">
        <f>IFERROR(__xludf.DUMMYFUNCTION("""COMPUTED_VALUE"""),2.0)</f>
        <v>2</v>
      </c>
      <c r="M4651" s="4" t="str">
        <f>IFERROR(__xludf.DUMMYFUNCTION("""COMPUTED_VALUE"""),"null")</f>
        <v>null</v>
      </c>
      <c r="N4651" s="33">
        <f>IFERROR(__xludf.DUMMYFUNCTION("""COMPUTED_VALUE"""),0.5)</f>
        <v>0.5</v>
      </c>
      <c r="O4651" s="4" t="str">
        <f>IFERROR(__xludf.DUMMYFUNCTION("""COMPUTED_VALUE"""),"Instadelivery")</f>
        <v>Instadelivery</v>
      </c>
      <c r="P4651" s="33">
        <f>IFERROR(__xludf.DUMMYFUNCTION("""COMPUTED_VALUE"""),1.0)</f>
        <v>1</v>
      </c>
      <c r="Q4651" s="4" t="str">
        <f>IFERROR(__xludf.DUMMYFUNCTION("""COMPUTED_VALUE"""),"null")</f>
        <v>null</v>
      </c>
      <c r="R4651" s="33">
        <f>IFERROR(__xludf.DUMMYFUNCTION("""COMPUTED_VALUE"""),1.0)</f>
        <v>1</v>
      </c>
      <c r="S4651" s="4" t="str">
        <f>IFERROR(__xludf.DUMMYFUNCTION("""COMPUTED_VALUE"""),"null")</f>
        <v>null</v>
      </c>
      <c r="T4651" s="33">
        <f>IFERROR(__xludf.DUMMYFUNCTION("""COMPUTED_VALUE"""),1.0)</f>
        <v>1</v>
      </c>
      <c r="U4651" s="4" t="str">
        <f>IFERROR(__xludf.DUMMYFUNCTION("""COMPUTED_VALUE"""),"null")</f>
        <v>null</v>
      </c>
      <c r="V4651" s="33">
        <f>IFERROR(__xludf.DUMMYFUNCTION("""COMPUTED_VALUE"""),1.0)</f>
        <v>1</v>
      </c>
      <c r="W4651" s="4" t="str">
        <f>IFERROR(__xludf.DUMMYFUNCTION("""COMPUTED_VALUE"""),"null")</f>
        <v>null</v>
      </c>
      <c r="X4651" s="33">
        <f>IFERROR(__xludf.DUMMYFUNCTION("""COMPUTED_VALUE"""),1.0)</f>
        <v>1</v>
      </c>
    </row>
    <row r="4652">
      <c r="K4652" s="4" t="str">
        <f>IFERROR(__xludf.DUMMYFUNCTION("""COMPUTED_VALUE"""),"PIZZARIA MAMMA MIA")</f>
        <v>PIZZARIA MAMMA MIA</v>
      </c>
      <c r="L4652" s="32">
        <f>IFERROR(__xludf.DUMMYFUNCTION("""COMPUTED_VALUE"""),2.0)</f>
        <v>2</v>
      </c>
      <c r="M4652" s="4" t="str">
        <f>IFERROR(__xludf.DUMMYFUNCTION("""COMPUTED_VALUE"""),"Winfood")</f>
        <v>Winfood</v>
      </c>
      <c r="N4652" s="33">
        <f>IFERROR(__xludf.DUMMYFUNCTION("""COMPUTED_VALUE"""),0.5)</f>
        <v>0.5</v>
      </c>
      <c r="O4652" s="4" t="str">
        <f>IFERROR(__xludf.DUMMYFUNCTION("""COMPUTED_VALUE"""),"Winfood")</f>
        <v>Winfood</v>
      </c>
      <c r="P4652" s="33">
        <f>IFERROR(__xludf.DUMMYFUNCTION("""COMPUTED_VALUE"""),0.5)</f>
        <v>0.5</v>
      </c>
      <c r="Q4652" s="4" t="str">
        <f>IFERROR(__xludf.DUMMYFUNCTION("""COMPUTED_VALUE"""),"null")</f>
        <v>null</v>
      </c>
      <c r="R4652" s="33">
        <f>IFERROR(__xludf.DUMMYFUNCTION("""COMPUTED_VALUE"""),0.5)</f>
        <v>0.5</v>
      </c>
      <c r="S4652" s="4" t="str">
        <f>IFERROR(__xludf.DUMMYFUNCTION("""COMPUTED_VALUE"""),"null")</f>
        <v>null</v>
      </c>
      <c r="T4652" s="33">
        <f>IFERROR(__xludf.DUMMYFUNCTION("""COMPUTED_VALUE"""),0.5)</f>
        <v>0.5</v>
      </c>
      <c r="U4652" s="4" t="str">
        <f>IFERROR(__xludf.DUMMYFUNCTION("""COMPUTED_VALUE"""),"null")</f>
        <v>null</v>
      </c>
      <c r="V4652" s="33">
        <f>IFERROR(__xludf.DUMMYFUNCTION("""COMPUTED_VALUE"""),0.5)</f>
        <v>0.5</v>
      </c>
      <c r="W4652" s="4" t="str">
        <f>IFERROR(__xludf.DUMMYFUNCTION("""COMPUTED_VALUE"""),"Winfood")</f>
        <v>Winfood</v>
      </c>
      <c r="X4652" s="33">
        <f>IFERROR(__xludf.DUMMYFUNCTION("""COMPUTED_VALUE"""),0.5)</f>
        <v>0.5</v>
      </c>
    </row>
    <row r="4653">
      <c r="K4653" s="4" t="str">
        <f>IFERROR(__xludf.DUMMYFUNCTION("""COMPUTED_VALUE"""),"DAVI LANCHES")</f>
        <v>DAVI LANCHES</v>
      </c>
      <c r="L4653" s="32">
        <f>IFERROR(__xludf.DUMMYFUNCTION("""COMPUTED_VALUE"""),2.0)</f>
        <v>2</v>
      </c>
      <c r="M4653" s="4" t="str">
        <f>IFERROR(__xludf.DUMMYFUNCTION("""COMPUTED_VALUE"""),"Anota Ai Solucoes Digitais S/a")</f>
        <v>Anota Ai Solucoes Digitais S/a</v>
      </c>
      <c r="N4653" s="33">
        <f>IFERROR(__xludf.DUMMYFUNCTION("""COMPUTED_VALUE"""),1.0)</f>
        <v>1</v>
      </c>
      <c r="O4653" s="4" t="str">
        <f>IFERROR(__xludf.DUMMYFUNCTION("""COMPUTED_VALUE"""),"Anota Ai Solucoes Digitais S/a")</f>
        <v>Anota Ai Solucoes Digitais S/a</v>
      </c>
      <c r="P4653" s="33">
        <f>IFERROR(__xludf.DUMMYFUNCTION("""COMPUTED_VALUE"""),1.0)</f>
        <v>1</v>
      </c>
      <c r="Q4653" s="4" t="str">
        <f>IFERROR(__xludf.DUMMYFUNCTION("""COMPUTED_VALUE"""),"Anota Ai Solucoes Digitais S/a")</f>
        <v>Anota Ai Solucoes Digitais S/a</v>
      </c>
      <c r="R4653" s="33">
        <f>IFERROR(__xludf.DUMMYFUNCTION("""COMPUTED_VALUE"""),1.0)</f>
        <v>1</v>
      </c>
      <c r="S4653" s="4" t="str">
        <f>IFERROR(__xludf.DUMMYFUNCTION("""COMPUTED_VALUE"""),"Anota Ai Solucoes Digitais S/a")</f>
        <v>Anota Ai Solucoes Digitais S/a</v>
      </c>
      <c r="T4653" s="33">
        <f>IFERROR(__xludf.DUMMYFUNCTION("""COMPUTED_VALUE"""),0.5)</f>
        <v>0.5</v>
      </c>
      <c r="U4653" s="4" t="str">
        <f>IFERROR(__xludf.DUMMYFUNCTION("""COMPUTED_VALUE"""),"Anota Ai Solucoes Digitais S/a")</f>
        <v>Anota Ai Solucoes Digitais S/a</v>
      </c>
      <c r="V4653" s="33">
        <f>IFERROR(__xludf.DUMMYFUNCTION("""COMPUTED_VALUE"""),0.5)</f>
        <v>0.5</v>
      </c>
      <c r="W4653" s="4" t="str">
        <f>IFERROR(__xludf.DUMMYFUNCTION("""COMPUTED_VALUE"""),"Anota Ai Solucoes Digitais S/a")</f>
        <v>Anota Ai Solucoes Digitais S/a</v>
      </c>
      <c r="X4653" s="33">
        <f>IFERROR(__xludf.DUMMYFUNCTION("""COMPUTED_VALUE"""),0.5)</f>
        <v>0.5</v>
      </c>
    </row>
    <row r="4654">
      <c r="K4654" s="4" t="str">
        <f>IFERROR(__xludf.DUMMYFUNCTION("""COMPUTED_VALUE"""),"DROGARIA SAO JOAO")</f>
        <v>DROGARIA SAO JOAO</v>
      </c>
      <c r="L4654" s="32">
        <f>IFERROR(__xludf.DUMMYFUNCTION("""COMPUTED_VALUE"""),2.0)</f>
        <v>2</v>
      </c>
      <c r="M4654" s="4" t="str">
        <f>IFERROR(__xludf.DUMMYFUNCTION("""COMPUTED_VALUE"""),"N/A (Not found)")</f>
        <v>N/A (Not found)</v>
      </c>
      <c r="N4654" s="33">
        <f>IFERROR(__xludf.DUMMYFUNCTION("""COMPUTED_VALUE"""),1.0)</f>
        <v>1</v>
      </c>
      <c r="O4654" s="4" t="str">
        <f>IFERROR(__xludf.DUMMYFUNCTION("""COMPUTED_VALUE"""),"N/A (Not found)")</f>
        <v>N/A (Not found)</v>
      </c>
      <c r="P4654" s="33">
        <f>IFERROR(__xludf.DUMMYFUNCTION("""COMPUTED_VALUE"""),1.0)</f>
        <v>1</v>
      </c>
      <c r="Q4654" s="4" t="str">
        <f>IFERROR(__xludf.DUMMYFUNCTION("""COMPUTED_VALUE"""),"N/A (Not found)")</f>
        <v>N/A (Not found)</v>
      </c>
      <c r="R4654" s="33">
        <f>IFERROR(__xludf.DUMMYFUNCTION("""COMPUTED_VALUE"""),0.5)</f>
        <v>0.5</v>
      </c>
      <c r="S4654" s="4" t="str">
        <f>IFERROR(__xludf.DUMMYFUNCTION("""COMPUTED_VALUE"""),"N/A (Not found)")</f>
        <v>N/A (Not found)</v>
      </c>
      <c r="T4654" s="33">
        <f>IFERROR(__xludf.DUMMYFUNCTION("""COMPUTED_VALUE"""),0.5)</f>
        <v>0.5</v>
      </c>
      <c r="U4654" s="4" t="str">
        <f>IFERROR(__xludf.DUMMYFUNCTION("""COMPUTED_VALUE"""),"N/A (Not found)")</f>
        <v>N/A (Not found)</v>
      </c>
      <c r="V4654" s="33">
        <f>IFERROR(__xludf.DUMMYFUNCTION("""COMPUTED_VALUE"""),0.5)</f>
        <v>0.5</v>
      </c>
      <c r="W4654" s="4" t="str">
        <f>IFERROR(__xludf.DUMMYFUNCTION("""COMPUTED_VALUE"""),"N/A (Not found)")</f>
        <v>N/A (Not found)</v>
      </c>
      <c r="X4654" s="33">
        <f>IFERROR(__xludf.DUMMYFUNCTION("""COMPUTED_VALUE"""),0.5)</f>
        <v>0.5</v>
      </c>
    </row>
    <row r="4655">
      <c r="K4655" s="4" t="str">
        <f>IFERROR(__xludf.DUMMYFUNCTION("""COMPUTED_VALUE"""),"ACAI GOURMET PREMIUM")</f>
        <v>ACAI GOURMET PREMIUM</v>
      </c>
      <c r="L4655" s="32">
        <f>IFERROR(__xludf.DUMMYFUNCTION("""COMPUTED_VALUE"""),2.0)</f>
        <v>2</v>
      </c>
      <c r="M4655" s="4" t="str">
        <f>IFERROR(__xludf.DUMMYFUNCTION("""COMPUTED_VALUE"""),"Saipos Serviços De Software")</f>
        <v>Saipos Serviços De Software</v>
      </c>
      <c r="N4655" s="33">
        <f>IFERROR(__xludf.DUMMYFUNCTION("""COMPUTED_VALUE"""),0.5)</f>
        <v>0.5</v>
      </c>
      <c r="O4655" s="4" t="str">
        <f>IFERROR(__xludf.DUMMYFUNCTION("""COMPUTED_VALUE"""),"Saipos Serviços De Software")</f>
        <v>Saipos Serviços De Software</v>
      </c>
      <c r="P4655" s="33">
        <f>IFERROR(__xludf.DUMMYFUNCTION("""COMPUTED_VALUE"""),0.5)</f>
        <v>0.5</v>
      </c>
      <c r="Q4655" s="4" t="str">
        <f>IFERROR(__xludf.DUMMYFUNCTION("""COMPUTED_VALUE"""),"Saipos Serviços De Software")</f>
        <v>Saipos Serviços De Software</v>
      </c>
      <c r="R4655" s="33">
        <f>IFERROR(__xludf.DUMMYFUNCTION("""COMPUTED_VALUE"""),0.5)</f>
        <v>0.5</v>
      </c>
      <c r="S4655" s="4" t="str">
        <f>IFERROR(__xludf.DUMMYFUNCTION("""COMPUTED_VALUE"""),"Saipos Serviços De Software")</f>
        <v>Saipos Serviços De Software</v>
      </c>
      <c r="T4655" s="33">
        <f>IFERROR(__xludf.DUMMYFUNCTION("""COMPUTED_VALUE"""),0.5)</f>
        <v>0.5</v>
      </c>
      <c r="U4655" s="4" t="str">
        <f>IFERROR(__xludf.DUMMYFUNCTION("""COMPUTED_VALUE"""),"Saipos Serviços De Software")</f>
        <v>Saipos Serviços De Software</v>
      </c>
      <c r="V4655" s="33">
        <f>IFERROR(__xludf.DUMMYFUNCTION("""COMPUTED_VALUE"""),0.5)</f>
        <v>0.5</v>
      </c>
      <c r="W4655" s="4" t="str">
        <f>IFERROR(__xludf.DUMMYFUNCTION("""COMPUTED_VALUE"""),"Saipos Serviços De Software")</f>
        <v>Saipos Serviços De Software</v>
      </c>
      <c r="X4655" s="33">
        <f>IFERROR(__xludf.DUMMYFUNCTION("""COMPUTED_VALUE"""),1.0)</f>
        <v>1</v>
      </c>
    </row>
    <row r="4656">
      <c r="K4656" s="4" t="str">
        <f>IFERROR(__xludf.DUMMYFUNCTION("""COMPUTED_VALUE"""),"ACAI DO RECANTO")</f>
        <v>ACAI DO RECANTO</v>
      </c>
      <c r="L4656" s="32">
        <f>IFERROR(__xludf.DUMMYFUNCTION("""COMPUTED_VALUE"""),2.0)</f>
        <v>2</v>
      </c>
      <c r="M4656" s="4" t="str">
        <f>IFERROR(__xludf.DUMMYFUNCTION("""COMPUTED_VALUE"""),"null")</f>
        <v>null</v>
      </c>
      <c r="N4656" s="33">
        <f>IFERROR(__xludf.DUMMYFUNCTION("""COMPUTED_VALUE"""),0.5)</f>
        <v>0.5</v>
      </c>
      <c r="O4656" s="4" t="str">
        <f>IFERROR(__xludf.DUMMYFUNCTION("""COMPUTED_VALUE"""),"null")</f>
        <v>null</v>
      </c>
      <c r="P4656" s="33">
        <f>IFERROR(__xludf.DUMMYFUNCTION("""COMPUTED_VALUE"""),0.5)</f>
        <v>0.5</v>
      </c>
      <c r="Q4656" s="4" t="str">
        <f>IFERROR(__xludf.DUMMYFUNCTION("""COMPUTED_VALUE"""),"null")</f>
        <v>null</v>
      </c>
      <c r="R4656" s="33">
        <f>IFERROR(__xludf.DUMMYFUNCTION("""COMPUTED_VALUE"""),0.5)</f>
        <v>0.5</v>
      </c>
      <c r="S4656" s="4" t="str">
        <f>IFERROR(__xludf.DUMMYFUNCTION("""COMPUTED_VALUE"""),"null")</f>
        <v>null</v>
      </c>
      <c r="T4656" s="33">
        <f>IFERROR(__xludf.DUMMYFUNCTION("""COMPUTED_VALUE"""),0.5)</f>
        <v>0.5</v>
      </c>
      <c r="U4656" s="4" t="str">
        <f>IFERROR(__xludf.DUMMYFUNCTION("""COMPUTED_VALUE"""),"null")</f>
        <v>null</v>
      </c>
      <c r="V4656" s="33">
        <f>IFERROR(__xludf.DUMMYFUNCTION("""COMPUTED_VALUE"""),0.5)</f>
        <v>0.5</v>
      </c>
      <c r="W4656" s="4" t="str">
        <f>IFERROR(__xludf.DUMMYFUNCTION("""COMPUTED_VALUE"""),"Instadelivery")</f>
        <v>Instadelivery</v>
      </c>
      <c r="X4656" s="33">
        <f>IFERROR(__xludf.DUMMYFUNCTION("""COMPUTED_VALUE"""),0.5)</f>
        <v>0.5</v>
      </c>
    </row>
    <row r="4657">
      <c r="K4657" s="4" t="str">
        <f>IFERROR(__xludf.DUMMYFUNCTION("""COMPUTED_VALUE"""),"ACAI DOIS AMORES")</f>
        <v>ACAI DOIS AMORES</v>
      </c>
      <c r="L4657" s="32">
        <f>IFERROR(__xludf.DUMMYFUNCTION("""COMPUTED_VALUE"""),2.0)</f>
        <v>2</v>
      </c>
      <c r="M4657" s="4" t="str">
        <f>IFERROR(__xludf.DUMMYFUNCTION("""COMPUTED_VALUE"""),"null")</f>
        <v>null</v>
      </c>
      <c r="N4657" s="33">
        <f>IFERROR(__xludf.DUMMYFUNCTION("""COMPUTED_VALUE"""),0.5)</f>
        <v>0.5</v>
      </c>
      <c r="O4657" s="4" t="str">
        <f>IFERROR(__xludf.DUMMYFUNCTION("""COMPUTED_VALUE"""),"null")</f>
        <v>null</v>
      </c>
      <c r="P4657" s="33">
        <f>IFERROR(__xludf.DUMMYFUNCTION("""COMPUTED_VALUE"""),1.0)</f>
        <v>1</v>
      </c>
      <c r="Q4657" s="4" t="str">
        <f>IFERROR(__xludf.DUMMYFUNCTION("""COMPUTED_VALUE"""),"null")</f>
        <v>null</v>
      </c>
      <c r="R4657" s="33">
        <f>IFERROR(__xludf.DUMMYFUNCTION("""COMPUTED_VALUE"""),0.5)</f>
        <v>0.5</v>
      </c>
      <c r="S4657" s="4" t="str">
        <f>IFERROR(__xludf.DUMMYFUNCTION("""COMPUTED_VALUE"""),"Brendi")</f>
        <v>Brendi</v>
      </c>
      <c r="T4657" s="33">
        <f>IFERROR(__xludf.DUMMYFUNCTION("""COMPUTED_VALUE"""),0.5)</f>
        <v>0.5</v>
      </c>
      <c r="U4657" s="4" t="str">
        <f>IFERROR(__xludf.DUMMYFUNCTION("""COMPUTED_VALUE"""),"Brendi")</f>
        <v>Brendi</v>
      </c>
      <c r="V4657" s="33">
        <f>IFERROR(__xludf.DUMMYFUNCTION("""COMPUTED_VALUE"""),0.5)</f>
        <v>0.5</v>
      </c>
      <c r="W4657" s="4" t="str">
        <f>IFERROR(__xludf.DUMMYFUNCTION("""COMPUTED_VALUE"""),"Brendi")</f>
        <v>Brendi</v>
      </c>
      <c r="X4657" s="33">
        <f>IFERROR(__xludf.DUMMYFUNCTION("""COMPUTED_VALUE"""),0.5)</f>
        <v>0.5</v>
      </c>
    </row>
    <row r="4658">
      <c r="K4658" s="4" t="str">
        <f>IFERROR(__xludf.DUMMYFUNCTION("""COMPUTED_VALUE"""),"ATITUDE FARMA")</f>
        <v>ATITUDE FARMA</v>
      </c>
      <c r="L4658" s="32">
        <f>IFERROR(__xludf.DUMMYFUNCTION("""COMPUTED_VALUE"""),2.0)</f>
        <v>2</v>
      </c>
      <c r="M4658" s="4" t="str">
        <f>IFERROR(__xludf.DUMMYFUNCTION("""COMPUTED_VALUE"""),"null")</f>
        <v>null</v>
      </c>
      <c r="N4658" s="33">
        <f>IFERROR(__xludf.DUMMYFUNCTION("""COMPUTED_VALUE"""),1.0)</f>
        <v>1</v>
      </c>
      <c r="O4658" s="4" t="str">
        <f>IFERROR(__xludf.DUMMYFUNCTION("""COMPUTED_VALUE"""),"null")</f>
        <v>null</v>
      </c>
      <c r="P4658" s="33">
        <f>IFERROR(__xludf.DUMMYFUNCTION("""COMPUTED_VALUE"""),1.0)</f>
        <v>1</v>
      </c>
      <c r="Q4658" s="4" t="str">
        <f>IFERROR(__xludf.DUMMYFUNCTION("""COMPUTED_VALUE"""),"N/A (Not found)")</f>
        <v>N/A (Not found)</v>
      </c>
      <c r="R4658" s="33">
        <f>IFERROR(__xludf.DUMMYFUNCTION("""COMPUTED_VALUE"""),1.0)</f>
        <v>1</v>
      </c>
      <c r="S4658" s="4" t="str">
        <f>IFERROR(__xludf.DUMMYFUNCTION("""COMPUTED_VALUE"""),"null")</f>
        <v>null</v>
      </c>
      <c r="T4658" s="33">
        <f>IFERROR(__xludf.DUMMYFUNCTION("""COMPUTED_VALUE"""),1.0)</f>
        <v>1</v>
      </c>
      <c r="U4658" s="4" t="str">
        <f>IFERROR(__xludf.DUMMYFUNCTION("""COMPUTED_VALUE"""),"null")</f>
        <v>null</v>
      </c>
      <c r="V4658" s="33">
        <f>IFERROR(__xludf.DUMMYFUNCTION("""COMPUTED_VALUE"""),1.0)</f>
        <v>1</v>
      </c>
      <c r="W4658" s="4" t="str">
        <f>IFERROR(__xludf.DUMMYFUNCTION("""COMPUTED_VALUE"""),"null")</f>
        <v>null</v>
      </c>
      <c r="X4658" s="33">
        <f>IFERROR(__xludf.DUMMYFUNCTION("""COMPUTED_VALUE"""),1.0)</f>
        <v>1</v>
      </c>
    </row>
    <row r="4659">
      <c r="K4659" s="4" t="str">
        <f>IFERROR(__xludf.DUMMYFUNCTION("""COMPUTED_VALUE"""),"TRIBO DO ACAI II - HOT DOG ACAI")</f>
        <v>TRIBO DO ACAI II - HOT DOG ACAI</v>
      </c>
      <c r="L4659" s="32">
        <f>IFERROR(__xludf.DUMMYFUNCTION("""COMPUTED_VALUE"""),2.0)</f>
        <v>2</v>
      </c>
      <c r="M4659" s="4" t="str">
        <f>IFERROR(__xludf.DUMMYFUNCTION("""COMPUTED_VALUE"""),"null")</f>
        <v>null</v>
      </c>
      <c r="N4659" s="33">
        <f>IFERROR(__xludf.DUMMYFUNCTION("""COMPUTED_VALUE"""),1.0)</f>
        <v>1</v>
      </c>
      <c r="O4659" s="4" t="str">
        <f>IFERROR(__xludf.DUMMYFUNCTION("""COMPUTED_VALUE"""),"null")</f>
        <v>null</v>
      </c>
      <c r="P4659" s="33">
        <f>IFERROR(__xludf.DUMMYFUNCTION("""COMPUTED_VALUE"""),1.0)</f>
        <v>1</v>
      </c>
      <c r="Q4659" s="4" t="str">
        <f>IFERROR(__xludf.DUMMYFUNCTION("""COMPUTED_VALUE"""),"null")</f>
        <v>null</v>
      </c>
      <c r="R4659" s="33">
        <f>IFERROR(__xludf.DUMMYFUNCTION("""COMPUTED_VALUE"""),1.0)</f>
        <v>1</v>
      </c>
      <c r="S4659" s="4" t="str">
        <f>IFERROR(__xludf.DUMMYFUNCTION("""COMPUTED_VALUE"""),"Grandchef Desenvolvimento De Sistemas Ltda")</f>
        <v>Grandchef Desenvolvimento De Sistemas Ltda</v>
      </c>
      <c r="T4659" s="33">
        <f>IFERROR(__xludf.DUMMYFUNCTION("""COMPUTED_VALUE"""),1.0)</f>
        <v>1</v>
      </c>
      <c r="U4659" s="4" t="str">
        <f>IFERROR(__xludf.DUMMYFUNCTION("""COMPUTED_VALUE"""),"Grandchef Desenvolvimento De Sistemas Ltda")</f>
        <v>Grandchef Desenvolvimento De Sistemas Ltda</v>
      </c>
      <c r="V4659" s="33">
        <f>IFERROR(__xludf.DUMMYFUNCTION("""COMPUTED_VALUE"""),0.5)</f>
        <v>0.5</v>
      </c>
      <c r="W4659" s="4" t="str">
        <f>IFERROR(__xludf.DUMMYFUNCTION("""COMPUTED_VALUE"""),"Grandchef Desenvolvimento De Sistemas Ltda")</f>
        <v>Grandchef Desenvolvimento De Sistemas Ltda</v>
      </c>
      <c r="X4659" s="33">
        <f>IFERROR(__xludf.DUMMYFUNCTION("""COMPUTED_VALUE"""),0.5)</f>
        <v>0.5</v>
      </c>
    </row>
    <row r="4660">
      <c r="K4660" s="4" t="str">
        <f>IFERROR(__xludf.DUMMYFUNCTION("""COMPUTED_VALUE"""),"CANTINHO DA COXINHA")</f>
        <v>CANTINHO DA COXINHA</v>
      </c>
      <c r="L4660" s="32">
        <f>IFERROR(__xludf.DUMMYFUNCTION("""COMPUTED_VALUE"""),2.0)</f>
        <v>2</v>
      </c>
      <c r="M4660" s="4" t="str">
        <f>IFERROR(__xludf.DUMMYFUNCTION("""COMPUTED_VALUE"""),"Saipos Serviços De Software")</f>
        <v>Saipos Serviços De Software</v>
      </c>
      <c r="N4660" s="33">
        <f>IFERROR(__xludf.DUMMYFUNCTION("""COMPUTED_VALUE"""),0.5)</f>
        <v>0.5</v>
      </c>
      <c r="O4660" s="4" t="str">
        <f>IFERROR(__xludf.DUMMYFUNCTION("""COMPUTED_VALUE"""),"Saipos Serviços De Software")</f>
        <v>Saipos Serviços De Software</v>
      </c>
      <c r="P4660" s="33">
        <f>IFERROR(__xludf.DUMMYFUNCTION("""COMPUTED_VALUE"""),0.5)</f>
        <v>0.5</v>
      </c>
      <c r="Q4660" s="4" t="str">
        <f>IFERROR(__xludf.DUMMYFUNCTION("""COMPUTED_VALUE"""),"Saipos Serviços De Software")</f>
        <v>Saipos Serviços De Software</v>
      </c>
      <c r="R4660" s="33">
        <f>IFERROR(__xludf.DUMMYFUNCTION("""COMPUTED_VALUE"""),0.5)</f>
        <v>0.5</v>
      </c>
      <c r="S4660" s="4" t="str">
        <f>IFERROR(__xludf.DUMMYFUNCTION("""COMPUTED_VALUE"""),"Saipos Serviços De Software")</f>
        <v>Saipos Serviços De Software</v>
      </c>
      <c r="T4660" s="33">
        <f>IFERROR(__xludf.DUMMYFUNCTION("""COMPUTED_VALUE"""),0.5)</f>
        <v>0.5</v>
      </c>
      <c r="U4660" s="4" t="str">
        <f>IFERROR(__xludf.DUMMYFUNCTION("""COMPUTED_VALUE"""),"null")</f>
        <v>null</v>
      </c>
      <c r="V4660" s="33">
        <f>IFERROR(__xludf.DUMMYFUNCTION("""COMPUTED_VALUE"""),0.5)</f>
        <v>0.5</v>
      </c>
      <c r="W4660" s="4" t="str">
        <f>IFERROR(__xludf.DUMMYFUNCTION("""COMPUTED_VALUE"""),"Saipos Serviços De Software")</f>
        <v>Saipos Serviços De Software</v>
      </c>
      <c r="X4660" s="33">
        <f>IFERROR(__xludf.DUMMYFUNCTION("""COMPUTED_VALUE"""),0.5)</f>
        <v>0.5</v>
      </c>
    </row>
    <row r="4661">
      <c r="K4661" s="4" t="str">
        <f>IFERROR(__xludf.DUMMYFUNCTION("""COMPUTED_VALUE"""),"LALA BURGUER E DOGUERIA")</f>
        <v>LALA BURGUER E DOGUERIA</v>
      </c>
      <c r="L4661" s="32">
        <f>IFERROR(__xludf.DUMMYFUNCTION("""COMPUTED_VALUE"""),2.0)</f>
        <v>2</v>
      </c>
      <c r="M4661" s="4" t="str">
        <f>IFERROR(__xludf.DUMMYFUNCTION("""COMPUTED_VALUE"""),"Saipos Serviços De Software")</f>
        <v>Saipos Serviços De Software</v>
      </c>
      <c r="N4661" s="33">
        <f>IFERROR(__xludf.DUMMYFUNCTION("""COMPUTED_VALUE"""),1.0)</f>
        <v>1</v>
      </c>
      <c r="O4661" s="4" t="str">
        <f>IFERROR(__xludf.DUMMYFUNCTION("""COMPUTED_VALUE"""),"Saipos Serviços De Software")</f>
        <v>Saipos Serviços De Software</v>
      </c>
      <c r="P4661" s="33">
        <f>IFERROR(__xludf.DUMMYFUNCTION("""COMPUTED_VALUE"""),1.0)</f>
        <v>1</v>
      </c>
      <c r="Q4661" s="4" t="str">
        <f>IFERROR(__xludf.DUMMYFUNCTION("""COMPUTED_VALUE"""),"Saipos Serviços De Software")</f>
        <v>Saipos Serviços De Software</v>
      </c>
      <c r="R4661" s="33">
        <f>IFERROR(__xludf.DUMMYFUNCTION("""COMPUTED_VALUE"""),1.0)</f>
        <v>1</v>
      </c>
      <c r="S4661" s="4" t="str">
        <f>IFERROR(__xludf.DUMMYFUNCTION("""COMPUTED_VALUE"""),"Saipos Serviços De Software")</f>
        <v>Saipos Serviços De Software</v>
      </c>
      <c r="T4661" s="33">
        <f>IFERROR(__xludf.DUMMYFUNCTION("""COMPUTED_VALUE"""),0.5)</f>
        <v>0.5</v>
      </c>
      <c r="U4661" s="4" t="str">
        <f>IFERROR(__xludf.DUMMYFUNCTION("""COMPUTED_VALUE"""),"Saipos Serviços De Software")</f>
        <v>Saipos Serviços De Software</v>
      </c>
      <c r="V4661" s="33">
        <f>IFERROR(__xludf.DUMMYFUNCTION("""COMPUTED_VALUE"""),0.5)</f>
        <v>0.5</v>
      </c>
      <c r="W4661" s="4" t="str">
        <f>IFERROR(__xludf.DUMMYFUNCTION("""COMPUTED_VALUE"""),"Saipos Serviços De Software")</f>
        <v>Saipos Serviços De Software</v>
      </c>
      <c r="X4661" s="33">
        <f>IFERROR(__xludf.DUMMYFUNCTION("""COMPUTED_VALUE"""),0.5)</f>
        <v>0.5</v>
      </c>
    </row>
    <row r="4662">
      <c r="K4662" s="4" t="str">
        <f>IFERROR(__xludf.DUMMYFUNCTION("""COMPUTED_VALUE"""),"AAA")</f>
        <v>AAA</v>
      </c>
      <c r="L4662" s="32">
        <f>IFERROR(__xludf.DUMMYFUNCTION("""COMPUTED_VALUE"""),2.0)</f>
        <v>2</v>
      </c>
      <c r="M4662" s="4" t="str">
        <f>IFERROR(__xludf.DUMMYFUNCTION("""COMPUTED_VALUE"""),"null")</f>
        <v>null</v>
      </c>
      <c r="N4662" s="33">
        <f>IFERROR(__xludf.DUMMYFUNCTION("""COMPUTED_VALUE"""),0.5)</f>
        <v>0.5</v>
      </c>
      <c r="O4662" s="4" t="str">
        <f>IFERROR(__xludf.DUMMYFUNCTION("""COMPUTED_VALUE"""),"N/A (Not found)")</f>
        <v>N/A (Not found)</v>
      </c>
      <c r="P4662" s="33">
        <f>IFERROR(__xludf.DUMMYFUNCTION("""COMPUTED_VALUE"""),0.5)</f>
        <v>0.5</v>
      </c>
      <c r="Q4662" s="4" t="str">
        <f>IFERROR(__xludf.DUMMYFUNCTION("""COMPUTED_VALUE"""),"null")</f>
        <v>null</v>
      </c>
      <c r="R4662" s="33">
        <f>IFERROR(__xludf.DUMMYFUNCTION("""COMPUTED_VALUE"""),0.5)</f>
        <v>0.5</v>
      </c>
      <c r="S4662" s="4" t="str">
        <f>IFERROR(__xludf.DUMMYFUNCTION("""COMPUTED_VALUE"""),"null")</f>
        <v>null</v>
      </c>
      <c r="T4662" s="33">
        <f>IFERROR(__xludf.DUMMYFUNCTION("""COMPUTED_VALUE"""),1.0)</f>
        <v>1</v>
      </c>
      <c r="U4662" s="4" t="str">
        <f>IFERROR(__xludf.DUMMYFUNCTION("""COMPUTED_VALUE"""),"null")</f>
        <v>null</v>
      </c>
      <c r="V4662" s="33">
        <f>IFERROR(__xludf.DUMMYFUNCTION("""COMPUTED_VALUE"""),1.0)</f>
        <v>1</v>
      </c>
      <c r="W4662" s="4" t="str">
        <f>IFERROR(__xludf.DUMMYFUNCTION("""COMPUTED_VALUE"""),"null")</f>
        <v>null</v>
      </c>
      <c r="X4662" s="33">
        <f>IFERROR(__xludf.DUMMYFUNCTION("""COMPUTED_VALUE"""),1.0)</f>
        <v>1</v>
      </c>
    </row>
    <row r="4663">
      <c r="K4663" s="4" t="str">
        <f>IFERROR(__xludf.DUMMYFUNCTION("""COMPUTED_VALUE"""),"DROGARIA EFRAIM")</f>
        <v>DROGARIA EFRAIM</v>
      </c>
      <c r="L4663" s="32">
        <f>IFERROR(__xludf.DUMMYFUNCTION("""COMPUTED_VALUE"""),2.0)</f>
        <v>2</v>
      </c>
      <c r="M4663" s="4" t="str">
        <f>IFERROR(__xludf.DUMMYFUNCTION("""COMPUTED_VALUE"""),"N/A (Not found)")</f>
        <v>N/A (Not found)</v>
      </c>
      <c r="N4663" s="33">
        <f>IFERROR(__xludf.DUMMYFUNCTION("""COMPUTED_VALUE"""),0.5)</f>
        <v>0.5</v>
      </c>
      <c r="O4663" s="4" t="str">
        <f>IFERROR(__xludf.DUMMYFUNCTION("""COMPUTED_VALUE"""),"N/A (Not found)")</f>
        <v>N/A (Not found)</v>
      </c>
      <c r="P4663" s="33">
        <f>IFERROR(__xludf.DUMMYFUNCTION("""COMPUTED_VALUE"""),0.5)</f>
        <v>0.5</v>
      </c>
      <c r="Q4663" s="4" t="str">
        <f>IFERROR(__xludf.DUMMYFUNCTION("""COMPUTED_VALUE"""),"N/A (Not found)")</f>
        <v>N/A (Not found)</v>
      </c>
      <c r="R4663" s="33">
        <f>IFERROR(__xludf.DUMMYFUNCTION("""COMPUTED_VALUE"""),1.0)</f>
        <v>1</v>
      </c>
      <c r="S4663" s="4" t="str">
        <f>IFERROR(__xludf.DUMMYFUNCTION("""COMPUTED_VALUE"""),"N/A (Not found)")</f>
        <v>N/A (Not found)</v>
      </c>
      <c r="T4663" s="33">
        <f>IFERROR(__xludf.DUMMYFUNCTION("""COMPUTED_VALUE"""),0.5)</f>
        <v>0.5</v>
      </c>
      <c r="U4663" s="4" t="str">
        <f>IFERROR(__xludf.DUMMYFUNCTION("""COMPUTED_VALUE"""),"N/A (Not found)")</f>
        <v>N/A (Not found)</v>
      </c>
      <c r="V4663" s="33">
        <f>IFERROR(__xludf.DUMMYFUNCTION("""COMPUTED_VALUE"""),0.5)</f>
        <v>0.5</v>
      </c>
      <c r="W4663" s="4" t="str">
        <f>IFERROR(__xludf.DUMMYFUNCTION("""COMPUTED_VALUE"""),"N/A (Not found)")</f>
        <v>N/A (Not found)</v>
      </c>
      <c r="X4663" s="33">
        <f>IFERROR(__xludf.DUMMYFUNCTION("""COMPUTED_VALUE"""),0.5)</f>
        <v>0.5</v>
      </c>
    </row>
    <row r="4664">
      <c r="K4664" s="4" t="str">
        <f>IFERROR(__xludf.DUMMYFUNCTION("""COMPUTED_VALUE"""),"CASA DA LASANHA")</f>
        <v>CASA DA LASANHA</v>
      </c>
      <c r="L4664" s="32">
        <f>IFERROR(__xludf.DUMMYFUNCTION("""COMPUTED_VALUE"""),2.0)</f>
        <v>2</v>
      </c>
      <c r="M4664" s="4" t="str">
        <f>IFERROR(__xludf.DUMMYFUNCTION("""COMPUTED_VALUE"""),"null")</f>
        <v>null</v>
      </c>
      <c r="N4664" s="33">
        <f>IFERROR(__xludf.DUMMYFUNCTION("""COMPUTED_VALUE"""),0.5)</f>
        <v>0.5</v>
      </c>
      <c r="O4664" s="4" t="str">
        <f>IFERROR(__xludf.DUMMYFUNCTION("""COMPUTED_VALUE"""),"null")</f>
        <v>null</v>
      </c>
      <c r="P4664" s="33">
        <f>IFERROR(__xludf.DUMMYFUNCTION("""COMPUTED_VALUE"""),0.5)</f>
        <v>0.5</v>
      </c>
      <c r="Q4664" s="4" t="str">
        <f>IFERROR(__xludf.DUMMYFUNCTION("""COMPUTED_VALUE"""),"null")</f>
        <v>null</v>
      </c>
      <c r="R4664" s="33">
        <f>IFERROR(__xludf.DUMMYFUNCTION("""COMPUTED_VALUE"""),0.5)</f>
        <v>0.5</v>
      </c>
      <c r="S4664" s="4" t="str">
        <f>IFERROR(__xludf.DUMMYFUNCTION("""COMPUTED_VALUE"""),"null")</f>
        <v>null</v>
      </c>
      <c r="T4664" s="33">
        <f>IFERROR(__xludf.DUMMYFUNCTION("""COMPUTED_VALUE"""),0.5)</f>
        <v>0.5</v>
      </c>
      <c r="U4664" s="4" t="str">
        <f>IFERROR(__xludf.DUMMYFUNCTION("""COMPUTED_VALUE"""),"Saipos Serviços De Software")</f>
        <v>Saipos Serviços De Software</v>
      </c>
      <c r="V4664" s="33">
        <f>IFERROR(__xludf.DUMMYFUNCTION("""COMPUTED_VALUE"""),1.0)</f>
        <v>1</v>
      </c>
      <c r="W4664" s="4" t="str">
        <f>IFERROR(__xludf.DUMMYFUNCTION("""COMPUTED_VALUE"""),"Saipos Serviços De Software")</f>
        <v>Saipos Serviços De Software</v>
      </c>
      <c r="X4664" s="33">
        <f>IFERROR(__xludf.DUMMYFUNCTION("""COMPUTED_VALUE"""),1.0)</f>
        <v>1</v>
      </c>
    </row>
    <row r="4665">
      <c r="K4665" s="4" t="str">
        <f>IFERROR(__xludf.DUMMYFUNCTION("""COMPUTED_VALUE"""),"KENTARO SUSHI CANOAS")</f>
        <v>KENTARO SUSHI CANOAS</v>
      </c>
      <c r="L4665" s="32">
        <f>IFERROR(__xludf.DUMMYFUNCTION("""COMPUTED_VALUE"""),2.0)</f>
        <v>2</v>
      </c>
      <c r="M4665" s="4" t="str">
        <f>IFERROR(__xludf.DUMMYFUNCTION("""COMPUTED_VALUE"""),"null")</f>
        <v>null</v>
      </c>
      <c r="N4665" s="33">
        <f>IFERROR(__xludf.DUMMYFUNCTION("""COMPUTED_VALUE"""),0.5)</f>
        <v>0.5</v>
      </c>
      <c r="O4665" s="4" t="str">
        <f>IFERROR(__xludf.DUMMYFUNCTION("""COMPUTED_VALUE"""),"null")</f>
        <v>null</v>
      </c>
      <c r="P4665" s="33">
        <f>IFERROR(__xludf.DUMMYFUNCTION("""COMPUTED_VALUE"""),0.5)</f>
        <v>0.5</v>
      </c>
      <c r="Q4665" s="4" t="str">
        <f>IFERROR(__xludf.DUMMYFUNCTION("""COMPUTED_VALUE"""),"null")</f>
        <v>null</v>
      </c>
      <c r="R4665" s="33">
        <f>IFERROR(__xludf.DUMMYFUNCTION("""COMPUTED_VALUE"""),0.5)</f>
        <v>0.5</v>
      </c>
      <c r="S4665" s="4" t="str">
        <f>IFERROR(__xludf.DUMMYFUNCTION("""COMPUTED_VALUE"""),"Saipos Serviços De Software")</f>
        <v>Saipos Serviços De Software</v>
      </c>
      <c r="T4665" s="33">
        <f>IFERROR(__xludf.DUMMYFUNCTION("""COMPUTED_VALUE"""),1.0)</f>
        <v>1</v>
      </c>
      <c r="U4665" s="4" t="str">
        <f>IFERROR(__xludf.DUMMYFUNCTION("""COMPUTED_VALUE"""),"Saipos Serviços De Software")</f>
        <v>Saipos Serviços De Software</v>
      </c>
      <c r="V4665" s="33">
        <f>IFERROR(__xludf.DUMMYFUNCTION("""COMPUTED_VALUE"""),0.5)</f>
        <v>0.5</v>
      </c>
      <c r="W4665" s="4" t="str">
        <f>IFERROR(__xludf.DUMMYFUNCTION("""COMPUTED_VALUE"""),"Saipos Serviços De Software")</f>
        <v>Saipos Serviços De Software</v>
      </c>
      <c r="X4665" s="33">
        <f>IFERROR(__xludf.DUMMYFUNCTION("""COMPUTED_VALUE"""),0.5)</f>
        <v>0.5</v>
      </c>
    </row>
    <row r="4666">
      <c r="K4666" s="4" t="str">
        <f>IFERROR(__xludf.DUMMYFUNCTION("""COMPUTED_VALUE"""),"PARLA ROMA PIZZA")</f>
        <v>PARLA ROMA PIZZA</v>
      </c>
      <c r="L4666" s="32">
        <f>IFERROR(__xludf.DUMMYFUNCTION("""COMPUTED_VALUE"""),2.0)</f>
        <v>2</v>
      </c>
      <c r="M4666" s="4" t="str">
        <f>IFERROR(__xludf.DUMMYFUNCTION("""COMPUTED_VALUE"""),"Suitable Tecnologia E Gestao")</f>
        <v>Suitable Tecnologia E Gestao</v>
      </c>
      <c r="N4666" s="33">
        <f>IFERROR(__xludf.DUMMYFUNCTION("""COMPUTED_VALUE"""),1.0)</f>
        <v>1</v>
      </c>
      <c r="O4666" s="4" t="str">
        <f>IFERROR(__xludf.DUMMYFUNCTION("""COMPUTED_VALUE"""),"Suitable Tecnologia E Gestao")</f>
        <v>Suitable Tecnologia E Gestao</v>
      </c>
      <c r="P4666" s="33">
        <f>IFERROR(__xludf.DUMMYFUNCTION("""COMPUTED_VALUE"""),1.0)</f>
        <v>1</v>
      </c>
      <c r="Q4666" s="4" t="str">
        <f>IFERROR(__xludf.DUMMYFUNCTION("""COMPUTED_VALUE"""),"Suitable Tecnologia E Gestao")</f>
        <v>Suitable Tecnologia E Gestao</v>
      </c>
      <c r="R4666" s="33">
        <f>IFERROR(__xludf.DUMMYFUNCTION("""COMPUTED_VALUE"""),1.0)</f>
        <v>1</v>
      </c>
      <c r="S4666" s="4" t="str">
        <f>IFERROR(__xludf.DUMMYFUNCTION("""COMPUTED_VALUE"""),"Suitable Tecnologia E Gestao")</f>
        <v>Suitable Tecnologia E Gestao</v>
      </c>
      <c r="T4666" s="33">
        <f>IFERROR(__xludf.DUMMYFUNCTION("""COMPUTED_VALUE"""),1.0)</f>
        <v>1</v>
      </c>
      <c r="U4666" s="4" t="str">
        <f>IFERROR(__xludf.DUMMYFUNCTION("""COMPUTED_VALUE"""),"null")</f>
        <v>null</v>
      </c>
      <c r="V4666" s="33">
        <f>IFERROR(__xludf.DUMMYFUNCTION("""COMPUTED_VALUE"""),0.5)</f>
        <v>0.5</v>
      </c>
      <c r="W4666" s="4" t="str">
        <f>IFERROR(__xludf.DUMMYFUNCTION("""COMPUTED_VALUE"""),"null")</f>
        <v>null</v>
      </c>
      <c r="X4666" s="33">
        <f>IFERROR(__xludf.DUMMYFUNCTION("""COMPUTED_VALUE"""),0.5)</f>
        <v>0.5</v>
      </c>
    </row>
    <row r="4667">
      <c r="K4667" s="4" t="str">
        <f>IFERROR(__xludf.DUMMYFUNCTION("""COMPUTED_VALUE"""),"DELICIAS DA ELIZA")</f>
        <v>DELICIAS DA ELIZA</v>
      </c>
      <c r="L4667" s="32">
        <f>IFERROR(__xludf.DUMMYFUNCTION("""COMPUTED_VALUE"""),2.0)</f>
        <v>2</v>
      </c>
      <c r="M4667" s="4" t="str">
        <f>IFERROR(__xludf.DUMMYFUNCTION("""COMPUTED_VALUE"""),"null")</f>
        <v>null</v>
      </c>
      <c r="N4667" s="33">
        <f>IFERROR(__xludf.DUMMYFUNCTION("""COMPUTED_VALUE"""),1.0)</f>
        <v>1</v>
      </c>
      <c r="O4667" s="4" t="str">
        <f>IFERROR(__xludf.DUMMYFUNCTION("""COMPUTED_VALUE"""),"null")</f>
        <v>null</v>
      </c>
      <c r="P4667" s="33">
        <f>IFERROR(__xludf.DUMMYFUNCTION("""COMPUTED_VALUE"""),0.5)</f>
        <v>0.5</v>
      </c>
      <c r="Q4667" s="4" t="str">
        <f>IFERROR(__xludf.DUMMYFUNCTION("""COMPUTED_VALUE"""),"null")</f>
        <v>null</v>
      </c>
      <c r="R4667" s="33">
        <f>IFERROR(__xludf.DUMMYFUNCTION("""COMPUTED_VALUE"""),0.5)</f>
        <v>0.5</v>
      </c>
      <c r="S4667" s="4" t="str">
        <f>IFERROR(__xludf.DUMMYFUNCTION("""COMPUTED_VALUE"""),"null")</f>
        <v>null</v>
      </c>
      <c r="T4667" s="33">
        <f>IFERROR(__xludf.DUMMYFUNCTION("""COMPUTED_VALUE"""),0.5)</f>
        <v>0.5</v>
      </c>
      <c r="U4667" s="4" t="str">
        <f>IFERROR(__xludf.DUMMYFUNCTION("""COMPUTED_VALUE"""),"Yooga")</f>
        <v>Yooga</v>
      </c>
      <c r="V4667" s="33">
        <f>IFERROR(__xludf.DUMMYFUNCTION("""COMPUTED_VALUE"""),0.5)</f>
        <v>0.5</v>
      </c>
      <c r="W4667" s="4" t="str">
        <f>IFERROR(__xludf.DUMMYFUNCTION("""COMPUTED_VALUE"""),"Yooga")</f>
        <v>Yooga</v>
      </c>
      <c r="X4667" s="33">
        <f>IFERROR(__xludf.DUMMYFUNCTION("""COMPUTED_VALUE"""),0.5)</f>
        <v>0.5</v>
      </c>
    </row>
    <row r="4668">
      <c r="K4668" s="4" t="str">
        <f>IFERROR(__xludf.DUMMYFUNCTION("""COMPUTED_VALUE"""),"BEMBOM ESPETINHOS")</f>
        <v>BEMBOM ESPETINHOS</v>
      </c>
      <c r="L4668" s="32">
        <f>IFERROR(__xludf.DUMMYFUNCTION("""COMPUTED_VALUE"""),2.0)</f>
        <v>2</v>
      </c>
      <c r="M4668" s="4" t="str">
        <f>IFERROR(__xludf.DUMMYFUNCTION("""COMPUTED_VALUE"""),"Softwar")</f>
        <v>Softwar</v>
      </c>
      <c r="N4668" s="33">
        <f>IFERROR(__xludf.DUMMYFUNCTION("""COMPUTED_VALUE"""),1.0)</f>
        <v>1</v>
      </c>
      <c r="O4668" s="4" t="str">
        <f>IFERROR(__xludf.DUMMYFUNCTION("""COMPUTED_VALUE"""),"Softwar")</f>
        <v>Softwar</v>
      </c>
      <c r="P4668" s="33">
        <f>IFERROR(__xludf.DUMMYFUNCTION("""COMPUTED_VALUE"""),1.0)</f>
        <v>1</v>
      </c>
      <c r="Q4668" s="4" t="str">
        <f>IFERROR(__xludf.DUMMYFUNCTION("""COMPUTED_VALUE"""),"null")</f>
        <v>null</v>
      </c>
      <c r="R4668" s="33">
        <f>IFERROR(__xludf.DUMMYFUNCTION("""COMPUTED_VALUE"""),0.5)</f>
        <v>0.5</v>
      </c>
      <c r="S4668" s="4" t="str">
        <f>IFERROR(__xludf.DUMMYFUNCTION("""COMPUTED_VALUE"""),"Saipos Serviços De Software")</f>
        <v>Saipos Serviços De Software</v>
      </c>
      <c r="T4668" s="33">
        <f>IFERROR(__xludf.DUMMYFUNCTION("""COMPUTED_VALUE"""),0.5)</f>
        <v>0.5</v>
      </c>
      <c r="U4668" s="4" t="str">
        <f>IFERROR(__xludf.DUMMYFUNCTION("""COMPUTED_VALUE"""),"Saipos Serviços De Software")</f>
        <v>Saipos Serviços De Software</v>
      </c>
      <c r="V4668" s="33">
        <f>IFERROR(__xludf.DUMMYFUNCTION("""COMPUTED_VALUE"""),0.5)</f>
        <v>0.5</v>
      </c>
      <c r="W4668" s="4" t="str">
        <f>IFERROR(__xludf.DUMMYFUNCTION("""COMPUTED_VALUE"""),"null")</f>
        <v>null</v>
      </c>
      <c r="X4668" s="33">
        <f>IFERROR(__xludf.DUMMYFUNCTION("""COMPUTED_VALUE"""),0.5)</f>
        <v>0.5</v>
      </c>
    </row>
    <row r="4669">
      <c r="K4669" s="4" t="str">
        <f>IFERROR(__xludf.DUMMYFUNCTION("""COMPUTED_VALUE"""),"DEGUSTE CASA DO SABOR")</f>
        <v>DEGUSTE CASA DO SABOR</v>
      </c>
      <c r="L4669" s="32">
        <f>IFERROR(__xludf.DUMMYFUNCTION("""COMPUTED_VALUE"""),2.0)</f>
        <v>2</v>
      </c>
      <c r="M4669" s="4" t="str">
        <f>IFERROR(__xludf.DUMMYFUNCTION("""COMPUTED_VALUE"""),"Consumer Soluções Em Tecnologia Ltda")</f>
        <v>Consumer Soluções Em Tecnologia Ltda</v>
      </c>
      <c r="N4669" s="33">
        <f>IFERROR(__xludf.DUMMYFUNCTION("""COMPUTED_VALUE"""),0.5)</f>
        <v>0.5</v>
      </c>
      <c r="O4669" s="4" t="str">
        <f>IFERROR(__xludf.DUMMYFUNCTION("""COMPUTED_VALUE"""),"null")</f>
        <v>null</v>
      </c>
      <c r="P4669" s="33">
        <f>IFERROR(__xludf.DUMMYFUNCTION("""COMPUTED_VALUE"""),1.0)</f>
        <v>1</v>
      </c>
      <c r="Q4669" s="4" t="str">
        <f>IFERROR(__xludf.DUMMYFUNCTION("""COMPUTED_VALUE"""),"null")</f>
        <v>null</v>
      </c>
      <c r="R4669" s="33">
        <f>IFERROR(__xludf.DUMMYFUNCTION("""COMPUTED_VALUE"""),1.0)</f>
        <v>1</v>
      </c>
      <c r="S4669" s="4" t="str">
        <f>IFERROR(__xludf.DUMMYFUNCTION("""COMPUTED_VALUE"""),"null")</f>
        <v>null</v>
      </c>
      <c r="T4669" s="33">
        <f>IFERROR(__xludf.DUMMYFUNCTION("""COMPUTED_VALUE"""),1.0)</f>
        <v>1</v>
      </c>
      <c r="U4669" s="4" t="str">
        <f>IFERROR(__xludf.DUMMYFUNCTION("""COMPUTED_VALUE"""),"null")</f>
        <v>null</v>
      </c>
      <c r="V4669" s="33">
        <f>IFERROR(__xludf.DUMMYFUNCTION("""COMPUTED_VALUE"""),0.5)</f>
        <v>0.5</v>
      </c>
      <c r="W4669" s="4" t="str">
        <f>IFERROR(__xludf.DUMMYFUNCTION("""COMPUTED_VALUE"""),"null")</f>
        <v>null</v>
      </c>
      <c r="X4669" s="33">
        <f>IFERROR(__xludf.DUMMYFUNCTION("""COMPUTED_VALUE"""),1.0)</f>
        <v>1</v>
      </c>
    </row>
    <row r="4670">
      <c r="K4670" s="4" t="str">
        <f>IFERROR(__xludf.DUMMYFUNCTION("""COMPUTED_VALUE"""),"MARMITARIA E COMIDA CASEIRA")</f>
        <v>MARMITARIA E COMIDA CASEIRA</v>
      </c>
      <c r="L4670" s="32">
        <f>IFERROR(__xludf.DUMMYFUNCTION("""COMPUTED_VALUE"""),2.0)</f>
        <v>2</v>
      </c>
      <c r="M4670" s="4" t="str">
        <f>IFERROR(__xludf.DUMMYFUNCTION("""COMPUTED_VALUE"""),"Brendi")</f>
        <v>Brendi</v>
      </c>
      <c r="N4670" s="33">
        <f>IFERROR(__xludf.DUMMYFUNCTION("""COMPUTED_VALUE"""),0.5)</f>
        <v>0.5</v>
      </c>
      <c r="O4670" s="4" t="str">
        <f>IFERROR(__xludf.DUMMYFUNCTION("""COMPUTED_VALUE"""),"null")</f>
        <v>null</v>
      </c>
      <c r="P4670" s="33">
        <f>IFERROR(__xludf.DUMMYFUNCTION("""COMPUTED_VALUE"""),1.0)</f>
        <v>1</v>
      </c>
      <c r="Q4670" s="4" t="str">
        <f>IFERROR(__xludf.DUMMYFUNCTION("""COMPUTED_VALUE"""),"Cardápio Web")</f>
        <v>Cardápio Web</v>
      </c>
      <c r="R4670" s="33">
        <f>IFERROR(__xludf.DUMMYFUNCTION("""COMPUTED_VALUE"""),1.0)</f>
        <v>1</v>
      </c>
      <c r="S4670" s="4" t="str">
        <f>IFERROR(__xludf.DUMMYFUNCTION("""COMPUTED_VALUE"""),"Brendi")</f>
        <v>Brendi</v>
      </c>
      <c r="T4670" s="33">
        <f>IFERROR(__xludf.DUMMYFUNCTION("""COMPUTED_VALUE"""),1.0)</f>
        <v>1</v>
      </c>
      <c r="U4670" s="4" t="str">
        <f>IFERROR(__xludf.DUMMYFUNCTION("""COMPUTED_VALUE"""),"null")</f>
        <v>null</v>
      </c>
      <c r="V4670" s="33">
        <f>IFERROR(__xludf.DUMMYFUNCTION("""COMPUTED_VALUE"""),0.5)</f>
        <v>0.5</v>
      </c>
      <c r="W4670" s="4" t="str">
        <f>IFERROR(__xludf.DUMMYFUNCTION("""COMPUTED_VALUE"""),"null")</f>
        <v>null</v>
      </c>
      <c r="X4670" s="33">
        <f>IFERROR(__xludf.DUMMYFUNCTION("""COMPUTED_VALUE"""),0.5)</f>
        <v>0.5</v>
      </c>
    </row>
    <row r="4671">
      <c r="K4671" s="4" t="str">
        <f>IFERROR(__xludf.DUMMYFUNCTION("""COMPUTED_VALUE"""),"APETITOSO LANCHES")</f>
        <v>APETITOSO LANCHES</v>
      </c>
      <c r="L4671" s="32">
        <f>IFERROR(__xludf.DUMMYFUNCTION("""COMPUTED_VALUE"""),2.0)</f>
        <v>2</v>
      </c>
      <c r="M4671" s="4" t="str">
        <f>IFERROR(__xludf.DUMMYFUNCTION("""COMPUTED_VALUE"""),"Suitable Tecnologia E Gestao")</f>
        <v>Suitable Tecnologia E Gestao</v>
      </c>
      <c r="N4671" s="33">
        <f>IFERROR(__xludf.DUMMYFUNCTION("""COMPUTED_VALUE"""),1.0)</f>
        <v>1</v>
      </c>
      <c r="O4671" s="4" t="str">
        <f>IFERROR(__xludf.DUMMYFUNCTION("""COMPUTED_VALUE"""),"null")</f>
        <v>null</v>
      </c>
      <c r="P4671" s="33">
        <f>IFERROR(__xludf.DUMMYFUNCTION("""COMPUTED_VALUE"""),0.5)</f>
        <v>0.5</v>
      </c>
      <c r="Q4671" s="4" t="str">
        <f>IFERROR(__xludf.DUMMYFUNCTION("""COMPUTED_VALUE"""),"null")</f>
        <v>null</v>
      </c>
      <c r="R4671" s="33">
        <f>IFERROR(__xludf.DUMMYFUNCTION("""COMPUTED_VALUE"""),0.5)</f>
        <v>0.5</v>
      </c>
      <c r="S4671" s="4" t="str">
        <f>IFERROR(__xludf.DUMMYFUNCTION("""COMPUTED_VALUE"""),"null")</f>
        <v>null</v>
      </c>
      <c r="T4671" s="33">
        <f>IFERROR(__xludf.DUMMYFUNCTION("""COMPUTED_VALUE"""),0.5)</f>
        <v>0.5</v>
      </c>
      <c r="U4671" s="4" t="str">
        <f>IFERROR(__xludf.DUMMYFUNCTION("""COMPUTED_VALUE"""),"null")</f>
        <v>null</v>
      </c>
      <c r="V4671" s="33">
        <f>IFERROR(__xludf.DUMMYFUNCTION("""COMPUTED_VALUE"""),0.5)</f>
        <v>0.5</v>
      </c>
      <c r="W4671" s="4" t="str">
        <f>IFERROR(__xludf.DUMMYFUNCTION("""COMPUTED_VALUE"""),"null")</f>
        <v>null</v>
      </c>
      <c r="X4671" s="33">
        <f>IFERROR(__xludf.DUMMYFUNCTION("""COMPUTED_VALUE"""),0.5)</f>
        <v>0.5</v>
      </c>
    </row>
    <row r="4672">
      <c r="K4672" s="4" t="str">
        <f>IFERROR(__xludf.DUMMYFUNCTION("""COMPUTED_VALUE"""),"IMPERIO DAS MASSAS")</f>
        <v>IMPERIO DAS MASSAS</v>
      </c>
      <c r="L4672" s="32">
        <f>IFERROR(__xludf.DUMMYFUNCTION("""COMPUTED_VALUE"""),2.0)</f>
        <v>2</v>
      </c>
      <c r="M4672" s="4" t="str">
        <f>IFERROR(__xludf.DUMMYFUNCTION("""COMPUTED_VALUE"""),"null")</f>
        <v>null</v>
      </c>
      <c r="N4672" s="33">
        <f>IFERROR(__xludf.DUMMYFUNCTION("""COMPUTED_VALUE"""),0.5)</f>
        <v>0.5</v>
      </c>
      <c r="O4672" s="4" t="str">
        <f>IFERROR(__xludf.DUMMYFUNCTION("""COMPUTED_VALUE"""),"Cardápio Web")</f>
        <v>Cardápio Web</v>
      </c>
      <c r="P4672" s="33">
        <f>IFERROR(__xludf.DUMMYFUNCTION("""COMPUTED_VALUE"""),0.5)</f>
        <v>0.5</v>
      </c>
      <c r="Q4672" s="4" t="str">
        <f>IFERROR(__xludf.DUMMYFUNCTION("""COMPUTED_VALUE"""),"Cardápio Web")</f>
        <v>Cardápio Web</v>
      </c>
      <c r="R4672" s="33">
        <f>IFERROR(__xludf.DUMMYFUNCTION("""COMPUTED_VALUE"""),0.5)</f>
        <v>0.5</v>
      </c>
      <c r="S4672" s="4" t="str">
        <f>IFERROR(__xludf.DUMMYFUNCTION("""COMPUTED_VALUE"""),"Cardápio Web")</f>
        <v>Cardápio Web</v>
      </c>
      <c r="T4672" s="33">
        <f>IFERROR(__xludf.DUMMYFUNCTION("""COMPUTED_VALUE"""),0.5)</f>
        <v>0.5</v>
      </c>
      <c r="U4672" s="4" t="str">
        <f>IFERROR(__xludf.DUMMYFUNCTION("""COMPUTED_VALUE"""),"Cardápio Web")</f>
        <v>Cardápio Web</v>
      </c>
      <c r="V4672" s="33">
        <f>IFERROR(__xludf.DUMMYFUNCTION("""COMPUTED_VALUE"""),0.5)</f>
        <v>0.5</v>
      </c>
      <c r="W4672" s="4" t="str">
        <f>IFERROR(__xludf.DUMMYFUNCTION("""COMPUTED_VALUE"""),"Cardápio Web")</f>
        <v>Cardápio Web</v>
      </c>
      <c r="X4672" s="33">
        <f>IFERROR(__xludf.DUMMYFUNCTION("""COMPUTED_VALUE"""),0.5)</f>
        <v>0.5</v>
      </c>
    </row>
    <row r="4673">
      <c r="K4673" s="4" t="str">
        <f>IFERROR(__xludf.DUMMYFUNCTION("""COMPUTED_VALUE"""),"FARMACIA DOSE EXTRA")</f>
        <v>FARMACIA DOSE EXTRA</v>
      </c>
      <c r="L4673" s="32">
        <f>IFERROR(__xludf.DUMMYFUNCTION("""COMPUTED_VALUE"""),2.0)</f>
        <v>2</v>
      </c>
      <c r="M4673" s="4" t="str">
        <f>IFERROR(__xludf.DUMMYFUNCTION("""COMPUTED_VALUE"""),"N/A (Not found)")</f>
        <v>N/A (Not found)</v>
      </c>
      <c r="N4673" s="33">
        <f>IFERROR(__xludf.DUMMYFUNCTION("""COMPUTED_VALUE"""),1.0)</f>
        <v>1</v>
      </c>
      <c r="O4673" s="4" t="str">
        <f>IFERROR(__xludf.DUMMYFUNCTION("""COMPUTED_VALUE"""),"N/A (Not found)")</f>
        <v>N/A (Not found)</v>
      </c>
      <c r="P4673" s="33">
        <f>IFERROR(__xludf.DUMMYFUNCTION("""COMPUTED_VALUE"""),1.0)</f>
        <v>1</v>
      </c>
      <c r="Q4673" s="4" t="str">
        <f>IFERROR(__xludf.DUMMYFUNCTION("""COMPUTED_VALUE"""),"N/A (Not found)")</f>
        <v>N/A (Not found)</v>
      </c>
      <c r="R4673" s="33">
        <f>IFERROR(__xludf.DUMMYFUNCTION("""COMPUTED_VALUE"""),1.0)</f>
        <v>1</v>
      </c>
      <c r="S4673" s="4" t="str">
        <f>IFERROR(__xludf.DUMMYFUNCTION("""COMPUTED_VALUE"""),"N/A (Not found)")</f>
        <v>N/A (Not found)</v>
      </c>
      <c r="T4673" s="33">
        <f>IFERROR(__xludf.DUMMYFUNCTION("""COMPUTED_VALUE"""),1.0)</f>
        <v>1</v>
      </c>
      <c r="U4673" s="4" t="str">
        <f>IFERROR(__xludf.DUMMYFUNCTION("""COMPUTED_VALUE"""),"N/A (Not found)")</f>
        <v>N/A (Not found)</v>
      </c>
      <c r="V4673" s="33">
        <f>IFERROR(__xludf.DUMMYFUNCTION("""COMPUTED_VALUE"""),1.0)</f>
        <v>1</v>
      </c>
      <c r="W4673" s="4" t="str">
        <f>IFERROR(__xludf.DUMMYFUNCTION("""COMPUTED_VALUE"""),"null")</f>
        <v>null</v>
      </c>
      <c r="X4673" s="33">
        <f>IFERROR(__xludf.DUMMYFUNCTION("""COMPUTED_VALUE"""),0.5)</f>
        <v>0.5</v>
      </c>
    </row>
    <row r="4674">
      <c r="K4674" s="4" t="str">
        <f>IFERROR(__xludf.DUMMYFUNCTION("""COMPUTED_VALUE"""),"FARMANOVA")</f>
        <v>FARMANOVA</v>
      </c>
      <c r="L4674" s="32">
        <f>IFERROR(__xludf.DUMMYFUNCTION("""COMPUTED_VALUE"""),2.0)</f>
        <v>2</v>
      </c>
      <c r="M4674" s="4" t="str">
        <f>IFERROR(__xludf.DUMMYFUNCTION("""COMPUTED_VALUE"""),"null")</f>
        <v>null</v>
      </c>
      <c r="N4674" s="33">
        <f>IFERROR(__xludf.DUMMYFUNCTION("""COMPUTED_VALUE"""),1.0)</f>
        <v>1</v>
      </c>
      <c r="O4674" s="4" t="str">
        <f>IFERROR(__xludf.DUMMYFUNCTION("""COMPUTED_VALUE"""),"null")</f>
        <v>null</v>
      </c>
      <c r="P4674" s="33">
        <f>IFERROR(__xludf.DUMMYFUNCTION("""COMPUTED_VALUE"""),1.0)</f>
        <v>1</v>
      </c>
      <c r="Q4674" s="4" t="str">
        <f>IFERROR(__xludf.DUMMYFUNCTION("""COMPUTED_VALUE"""),"N/A (Not found)")</f>
        <v>N/A (Not found)</v>
      </c>
      <c r="R4674" s="33">
        <f>IFERROR(__xludf.DUMMYFUNCTION("""COMPUTED_VALUE"""),0.5)</f>
        <v>0.5</v>
      </c>
      <c r="S4674" s="4" t="str">
        <f>IFERROR(__xludf.DUMMYFUNCTION("""COMPUTED_VALUE"""),"N/A (Not found)")</f>
        <v>N/A (Not found)</v>
      </c>
      <c r="T4674" s="33">
        <f>IFERROR(__xludf.DUMMYFUNCTION("""COMPUTED_VALUE"""),0.5)</f>
        <v>0.5</v>
      </c>
      <c r="U4674" s="4" t="str">
        <f>IFERROR(__xludf.DUMMYFUNCTION("""COMPUTED_VALUE"""),"N/A (Not found)")</f>
        <v>N/A (Not found)</v>
      </c>
      <c r="V4674" s="33">
        <f>IFERROR(__xludf.DUMMYFUNCTION("""COMPUTED_VALUE"""),0.5)</f>
        <v>0.5</v>
      </c>
      <c r="W4674" s="4" t="str">
        <f>IFERROR(__xludf.DUMMYFUNCTION("""COMPUTED_VALUE"""),"N/A (Not found)")</f>
        <v>N/A (Not found)</v>
      </c>
      <c r="X4674" s="33">
        <f>IFERROR(__xludf.DUMMYFUNCTION("""COMPUTED_VALUE"""),1.0)</f>
        <v>1</v>
      </c>
    </row>
    <row r="4675">
      <c r="K4675" s="4" t="str">
        <f>IFERROR(__xludf.DUMMYFUNCTION("""COMPUTED_VALUE"""),"REINO DO PASTEL")</f>
        <v>REINO DO PASTEL</v>
      </c>
      <c r="L4675" s="32">
        <f>IFERROR(__xludf.DUMMYFUNCTION("""COMPUTED_VALUE"""),2.0)</f>
        <v>2</v>
      </c>
      <c r="M4675" s="4" t="str">
        <f>IFERROR(__xludf.DUMMYFUNCTION("""COMPUTED_VALUE"""),"null")</f>
        <v>null</v>
      </c>
      <c r="N4675" s="33">
        <f>IFERROR(__xludf.DUMMYFUNCTION("""COMPUTED_VALUE"""),0.5)</f>
        <v>0.5</v>
      </c>
      <c r="O4675" s="4" t="str">
        <f>IFERROR(__xludf.DUMMYFUNCTION("""COMPUTED_VALUE"""),"Beefood - Sistema Para Restaurantes")</f>
        <v>Beefood - Sistema Para Restaurantes</v>
      </c>
      <c r="P4675" s="33">
        <f>IFERROR(__xludf.DUMMYFUNCTION("""COMPUTED_VALUE"""),0.5)</f>
        <v>0.5</v>
      </c>
      <c r="Q4675" s="4" t="str">
        <f>IFERROR(__xludf.DUMMYFUNCTION("""COMPUTED_VALUE"""),"Beefood - Sistema Para Restaurantes")</f>
        <v>Beefood - Sistema Para Restaurantes</v>
      </c>
      <c r="R4675" s="33">
        <f>IFERROR(__xludf.DUMMYFUNCTION("""COMPUTED_VALUE"""),0.5)</f>
        <v>0.5</v>
      </c>
      <c r="S4675" s="4" t="str">
        <f>IFERROR(__xludf.DUMMYFUNCTION("""COMPUTED_VALUE"""),"null")</f>
        <v>null</v>
      </c>
      <c r="T4675" s="33">
        <f>IFERROR(__xludf.DUMMYFUNCTION("""COMPUTED_VALUE"""),1.0)</f>
        <v>1</v>
      </c>
      <c r="U4675" s="4" t="str">
        <f>IFERROR(__xludf.DUMMYFUNCTION("""COMPUTED_VALUE"""),"null")</f>
        <v>null</v>
      </c>
      <c r="V4675" s="33">
        <f>IFERROR(__xludf.DUMMYFUNCTION("""COMPUTED_VALUE"""),1.0)</f>
        <v>1</v>
      </c>
      <c r="W4675" s="4" t="str">
        <f>IFERROR(__xludf.DUMMYFUNCTION("""COMPUTED_VALUE"""),"null")</f>
        <v>null</v>
      </c>
      <c r="X4675" s="33">
        <f>IFERROR(__xludf.DUMMYFUNCTION("""COMPUTED_VALUE"""),1.0)</f>
        <v>1</v>
      </c>
    </row>
    <row r="4676">
      <c r="K4676" s="4" t="str">
        <f>IFERROR(__xludf.DUMMYFUNCTION("""COMPUTED_VALUE"""),"ADEGA EXPRESS")</f>
        <v>ADEGA EXPRESS</v>
      </c>
      <c r="L4676" s="32">
        <f>IFERROR(__xludf.DUMMYFUNCTION("""COMPUTED_VALUE"""),2.0)</f>
        <v>2</v>
      </c>
      <c r="M4676" s="4" t="str">
        <f>IFERROR(__xludf.DUMMYFUNCTION("""COMPUTED_VALUE"""),"Yooga")</f>
        <v>Yooga</v>
      </c>
      <c r="N4676" s="33">
        <f>IFERROR(__xludf.DUMMYFUNCTION("""COMPUTED_VALUE"""),0.5)</f>
        <v>0.5</v>
      </c>
      <c r="O4676" s="4" t="str">
        <f>IFERROR(__xludf.DUMMYFUNCTION("""COMPUTED_VALUE"""),"Yooga")</f>
        <v>Yooga</v>
      </c>
      <c r="P4676" s="33">
        <f>IFERROR(__xludf.DUMMYFUNCTION("""COMPUTED_VALUE"""),0.5)</f>
        <v>0.5</v>
      </c>
      <c r="Q4676" s="4" t="str">
        <f>IFERROR(__xludf.DUMMYFUNCTION("""COMPUTED_VALUE"""),"Yooga")</f>
        <v>Yooga</v>
      </c>
      <c r="R4676" s="33">
        <f>IFERROR(__xludf.DUMMYFUNCTION("""COMPUTED_VALUE"""),0.5)</f>
        <v>0.5</v>
      </c>
      <c r="S4676" s="4" t="str">
        <f>IFERROR(__xludf.DUMMYFUNCTION("""COMPUTED_VALUE"""),"null")</f>
        <v>null</v>
      </c>
      <c r="T4676" s="33">
        <f>IFERROR(__xludf.DUMMYFUNCTION("""COMPUTED_VALUE"""),0.5)</f>
        <v>0.5</v>
      </c>
      <c r="U4676" s="4" t="str">
        <f>IFERROR(__xludf.DUMMYFUNCTION("""COMPUTED_VALUE"""),"null")</f>
        <v>null</v>
      </c>
      <c r="V4676" s="33">
        <f>IFERROR(__xludf.DUMMYFUNCTION("""COMPUTED_VALUE"""),1.0)</f>
        <v>1</v>
      </c>
      <c r="W4676" s="4" t="str">
        <f>IFERROR(__xludf.DUMMYFUNCTION("""COMPUTED_VALUE"""),"null")</f>
        <v>null</v>
      </c>
      <c r="X4676" s="33">
        <f>IFERROR(__xludf.DUMMYFUNCTION("""COMPUTED_VALUE"""),1.0)</f>
        <v>1</v>
      </c>
    </row>
    <row r="4677">
      <c r="K4677" s="4" t="str">
        <f>IFERROR(__xludf.DUMMYFUNCTION("""COMPUTED_VALUE"""),"ELEVA COMIDA SAUDAVEL")</f>
        <v>ELEVA COMIDA SAUDAVEL</v>
      </c>
      <c r="L4677" s="32">
        <f>IFERROR(__xludf.DUMMYFUNCTION("""COMPUTED_VALUE"""),2.0)</f>
        <v>2</v>
      </c>
      <c r="M4677" s="4" t="str">
        <f>IFERROR(__xludf.DUMMYFUNCTION("""COMPUTED_VALUE"""),"null")</f>
        <v>null</v>
      </c>
      <c r="N4677" s="33">
        <f>IFERROR(__xludf.DUMMYFUNCTION("""COMPUTED_VALUE"""),0.5)</f>
        <v>0.5</v>
      </c>
      <c r="O4677" s="4" t="str">
        <f>IFERROR(__xludf.DUMMYFUNCTION("""COMPUTED_VALUE"""),"null")</f>
        <v>null</v>
      </c>
      <c r="P4677" s="33">
        <f>IFERROR(__xludf.DUMMYFUNCTION("""COMPUTED_VALUE"""),0.5)</f>
        <v>0.5</v>
      </c>
      <c r="Q4677" s="4" t="str">
        <f>IFERROR(__xludf.DUMMYFUNCTION("""COMPUTED_VALUE"""),"null")</f>
        <v>null</v>
      </c>
      <c r="R4677" s="33">
        <f>IFERROR(__xludf.DUMMYFUNCTION("""COMPUTED_VALUE"""),0.5)</f>
        <v>0.5</v>
      </c>
      <c r="S4677" s="4" t="str">
        <f>IFERROR(__xludf.DUMMYFUNCTION("""COMPUTED_VALUE"""),"Alloy Tecnologia")</f>
        <v>Alloy Tecnologia</v>
      </c>
      <c r="T4677" s="33">
        <f>IFERROR(__xludf.DUMMYFUNCTION("""COMPUTED_VALUE"""),1.0)</f>
        <v>1</v>
      </c>
      <c r="U4677" s="4" t="str">
        <f>IFERROR(__xludf.DUMMYFUNCTION("""COMPUTED_VALUE"""),"Alloy Tecnologia")</f>
        <v>Alloy Tecnologia</v>
      </c>
      <c r="V4677" s="33">
        <f>IFERROR(__xludf.DUMMYFUNCTION("""COMPUTED_VALUE"""),1.0)</f>
        <v>1</v>
      </c>
      <c r="W4677" s="4" t="str">
        <f>IFERROR(__xludf.DUMMYFUNCTION("""COMPUTED_VALUE"""),"Alloy Tecnologia")</f>
        <v>Alloy Tecnologia</v>
      </c>
      <c r="X4677" s="33">
        <f>IFERROR(__xludf.DUMMYFUNCTION("""COMPUTED_VALUE"""),0.5)</f>
        <v>0.5</v>
      </c>
    </row>
    <row r="4678">
      <c r="K4678" s="4" t="str">
        <f>IFERROR(__xludf.DUMMYFUNCTION("""COMPUTED_VALUE"""),"PIZZARIA REAL")</f>
        <v>PIZZARIA REAL</v>
      </c>
      <c r="L4678" s="32">
        <f>IFERROR(__xludf.DUMMYFUNCTION("""COMPUTED_VALUE"""),2.0)</f>
        <v>2</v>
      </c>
      <c r="M4678" s="4" t="str">
        <f>IFERROR(__xludf.DUMMYFUNCTION("""COMPUTED_VALUE"""),"Yooga")</f>
        <v>Yooga</v>
      </c>
      <c r="N4678" s="33">
        <f>IFERROR(__xludf.DUMMYFUNCTION("""COMPUTED_VALUE"""),0.5)</f>
        <v>0.5</v>
      </c>
      <c r="O4678" s="4" t="str">
        <f>IFERROR(__xludf.DUMMYFUNCTION("""COMPUTED_VALUE"""),"Yooga")</f>
        <v>Yooga</v>
      </c>
      <c r="P4678" s="33">
        <f>IFERROR(__xludf.DUMMYFUNCTION("""COMPUTED_VALUE"""),0.5)</f>
        <v>0.5</v>
      </c>
      <c r="Q4678" s="4" t="str">
        <f>IFERROR(__xludf.DUMMYFUNCTION("""COMPUTED_VALUE"""),"Yooga")</f>
        <v>Yooga</v>
      </c>
      <c r="R4678" s="33">
        <f>IFERROR(__xludf.DUMMYFUNCTION("""COMPUTED_VALUE"""),0.5)</f>
        <v>0.5</v>
      </c>
      <c r="S4678" s="4" t="str">
        <f>IFERROR(__xludf.DUMMYFUNCTION("""COMPUTED_VALUE"""),"Yooga")</f>
        <v>Yooga</v>
      </c>
      <c r="T4678" s="33">
        <f>IFERROR(__xludf.DUMMYFUNCTION("""COMPUTED_VALUE"""),0.5)</f>
        <v>0.5</v>
      </c>
      <c r="U4678" s="4" t="str">
        <f>IFERROR(__xludf.DUMMYFUNCTION("""COMPUTED_VALUE"""),"Yooga")</f>
        <v>Yooga</v>
      </c>
      <c r="V4678" s="33">
        <f>IFERROR(__xludf.DUMMYFUNCTION("""COMPUTED_VALUE"""),0.5)</f>
        <v>0.5</v>
      </c>
      <c r="W4678" s="4" t="str">
        <f>IFERROR(__xludf.DUMMYFUNCTION("""COMPUTED_VALUE"""),"Yooga")</f>
        <v>Yooga</v>
      </c>
      <c r="X4678" s="33">
        <f>IFERROR(__xludf.DUMMYFUNCTION("""COMPUTED_VALUE"""),0.5)</f>
        <v>0.5</v>
      </c>
    </row>
    <row r="4679">
      <c r="K4679" s="4" t="str">
        <f>IFERROR(__xludf.DUMMYFUNCTION("""COMPUTED_VALUE"""),"DOCE SENSACAO")</f>
        <v>DOCE SENSACAO</v>
      </c>
      <c r="L4679" s="32">
        <f>IFERROR(__xludf.DUMMYFUNCTION("""COMPUTED_VALUE"""),2.0)</f>
        <v>2</v>
      </c>
      <c r="M4679" s="4" t="str">
        <f>IFERROR(__xludf.DUMMYFUNCTION("""COMPUTED_VALUE"""),"null")</f>
        <v>null</v>
      </c>
      <c r="N4679" s="33">
        <f>IFERROR(__xludf.DUMMYFUNCTION("""COMPUTED_VALUE"""),1.0)</f>
        <v>1</v>
      </c>
      <c r="O4679" s="4" t="str">
        <f>IFERROR(__xludf.DUMMYFUNCTION("""COMPUTED_VALUE"""),"null")</f>
        <v>null</v>
      </c>
      <c r="P4679" s="33">
        <f>IFERROR(__xludf.DUMMYFUNCTION("""COMPUTED_VALUE"""),1.0)</f>
        <v>1</v>
      </c>
      <c r="Q4679" s="4" t="str">
        <f>IFERROR(__xludf.DUMMYFUNCTION("""COMPUTED_VALUE"""),"null")</f>
        <v>null</v>
      </c>
      <c r="R4679" s="33">
        <f>IFERROR(__xludf.DUMMYFUNCTION("""COMPUTED_VALUE"""),1.0)</f>
        <v>1</v>
      </c>
      <c r="S4679" s="4" t="str">
        <f>IFERROR(__xludf.DUMMYFUNCTION("""COMPUTED_VALUE"""),"null")</f>
        <v>null</v>
      </c>
      <c r="T4679" s="33">
        <f>IFERROR(__xludf.DUMMYFUNCTION("""COMPUTED_VALUE"""),0.5)</f>
        <v>0.5</v>
      </c>
      <c r="U4679" s="4" t="str">
        <f>IFERROR(__xludf.DUMMYFUNCTION("""COMPUTED_VALUE"""),"null")</f>
        <v>null</v>
      </c>
      <c r="V4679" s="33">
        <f>IFERROR(__xludf.DUMMYFUNCTION("""COMPUTED_VALUE"""),0.5)</f>
        <v>0.5</v>
      </c>
      <c r="W4679" s="4" t="str">
        <f>IFERROR(__xludf.DUMMYFUNCTION("""COMPUTED_VALUE"""),"Instadelivery")</f>
        <v>Instadelivery</v>
      </c>
      <c r="X4679" s="33">
        <f>IFERROR(__xludf.DUMMYFUNCTION("""COMPUTED_VALUE"""),0.5)</f>
        <v>0.5</v>
      </c>
    </row>
    <row r="4680">
      <c r="K4680" s="4" t="str">
        <f>IFERROR(__xludf.DUMMYFUNCTION("""COMPUTED_VALUE"""),"PIZZARIA A GRANDE FAMILIA")</f>
        <v>PIZZARIA A GRANDE FAMILIA</v>
      </c>
      <c r="L4680" s="32">
        <f>IFERROR(__xludf.DUMMYFUNCTION("""COMPUTED_VALUE"""),2.0)</f>
        <v>2</v>
      </c>
      <c r="M4680" s="4" t="str">
        <f>IFERROR(__xludf.DUMMYFUNCTION("""COMPUTED_VALUE"""),"null")</f>
        <v>null</v>
      </c>
      <c r="N4680" s="33">
        <f>IFERROR(__xludf.DUMMYFUNCTION("""COMPUTED_VALUE"""),0.5)</f>
        <v>0.5</v>
      </c>
      <c r="O4680" s="4" t="str">
        <f>IFERROR(__xludf.DUMMYFUNCTION("""COMPUTED_VALUE"""),"Anota Ai Solucoes Digitais S/a")</f>
        <v>Anota Ai Solucoes Digitais S/a</v>
      </c>
      <c r="P4680" s="33">
        <f>IFERROR(__xludf.DUMMYFUNCTION("""COMPUTED_VALUE"""),0.5)</f>
        <v>0.5</v>
      </c>
      <c r="Q4680" s="4" t="str">
        <f>IFERROR(__xludf.DUMMYFUNCTION("""COMPUTED_VALUE"""),"null")</f>
        <v>null</v>
      </c>
      <c r="R4680" s="33">
        <f>IFERROR(__xludf.DUMMYFUNCTION("""COMPUTED_VALUE"""),0.5)</f>
        <v>0.5</v>
      </c>
      <c r="S4680" s="4" t="str">
        <f>IFERROR(__xludf.DUMMYFUNCTION("""COMPUTED_VALUE"""),"null")</f>
        <v>null</v>
      </c>
      <c r="T4680" s="33">
        <f>IFERROR(__xludf.DUMMYFUNCTION("""COMPUTED_VALUE"""),0.5)</f>
        <v>0.5</v>
      </c>
      <c r="U4680" s="4" t="str">
        <f>IFERROR(__xludf.DUMMYFUNCTION("""COMPUTED_VALUE"""),"null")</f>
        <v>null</v>
      </c>
      <c r="V4680" s="33">
        <f>IFERROR(__xludf.DUMMYFUNCTION("""COMPUTED_VALUE"""),0.5)</f>
        <v>0.5</v>
      </c>
      <c r="W4680" s="4" t="str">
        <f>IFERROR(__xludf.DUMMYFUNCTION("""COMPUTED_VALUE"""),"null")</f>
        <v>null</v>
      </c>
      <c r="X4680" s="33">
        <f>IFERROR(__xludf.DUMMYFUNCTION("""COMPUTED_VALUE"""),0.5)</f>
        <v>0.5</v>
      </c>
    </row>
    <row r="4681">
      <c r="K4681" s="4" t="str">
        <f>IFERROR(__xludf.DUMMYFUNCTION("""COMPUTED_VALUE"""),"SO 20 PIZZA DELIVERY")</f>
        <v>SO 20 PIZZA DELIVERY</v>
      </c>
      <c r="L4681" s="32">
        <f>IFERROR(__xludf.DUMMYFUNCTION("""COMPUTED_VALUE"""),2.0)</f>
        <v>2</v>
      </c>
      <c r="M4681" s="4" t="str">
        <f>IFERROR(__xludf.DUMMYFUNCTION("""COMPUTED_VALUE"""),"null")</f>
        <v>null</v>
      </c>
      <c r="N4681" s="33">
        <f>IFERROR(__xludf.DUMMYFUNCTION("""COMPUTED_VALUE"""),0.5)</f>
        <v>0.5</v>
      </c>
      <c r="O4681" s="4" t="str">
        <f>IFERROR(__xludf.DUMMYFUNCTION("""COMPUTED_VALUE"""),"null")</f>
        <v>null</v>
      </c>
      <c r="P4681" s="33">
        <f>IFERROR(__xludf.DUMMYFUNCTION("""COMPUTED_VALUE"""),0.5)</f>
        <v>0.5</v>
      </c>
      <c r="Q4681" s="4" t="str">
        <f>IFERROR(__xludf.DUMMYFUNCTION("""COMPUTED_VALUE"""),"null")</f>
        <v>null</v>
      </c>
      <c r="R4681" s="33">
        <f>IFERROR(__xludf.DUMMYFUNCTION("""COMPUTED_VALUE"""),0.5)</f>
        <v>0.5</v>
      </c>
      <c r="S4681" s="4" t="str">
        <f>IFERROR(__xludf.DUMMYFUNCTION("""COMPUTED_VALUE"""),"null")</f>
        <v>null</v>
      </c>
      <c r="T4681" s="33">
        <f>IFERROR(__xludf.DUMMYFUNCTION("""COMPUTED_VALUE"""),0.5)</f>
        <v>0.5</v>
      </c>
      <c r="U4681" s="4" t="str">
        <f>IFERROR(__xludf.DUMMYFUNCTION("""COMPUTED_VALUE"""),"Saipos Serviços De Software")</f>
        <v>Saipos Serviços De Software</v>
      </c>
      <c r="V4681" s="33">
        <f>IFERROR(__xludf.DUMMYFUNCTION("""COMPUTED_VALUE"""),0.5)</f>
        <v>0.5</v>
      </c>
      <c r="W4681" s="4" t="str">
        <f>IFERROR(__xludf.DUMMYFUNCTION("""COMPUTED_VALUE"""),"Saipos Serviços De Software")</f>
        <v>Saipos Serviços De Software</v>
      </c>
      <c r="X4681" s="33">
        <f>IFERROR(__xludf.DUMMYFUNCTION("""COMPUTED_VALUE"""),0.5)</f>
        <v>0.5</v>
      </c>
    </row>
    <row r="4682">
      <c r="K4682" s="4" t="str">
        <f>IFERROR(__xludf.DUMMYFUNCTION("""COMPUTED_VALUE"""),"FARMACIA COPERFARMA")</f>
        <v>FARMACIA COPERFARMA</v>
      </c>
      <c r="L4682" s="32">
        <f>IFERROR(__xludf.DUMMYFUNCTION("""COMPUTED_VALUE"""),2.0)</f>
        <v>2</v>
      </c>
      <c r="M4682" s="4" t="str">
        <f>IFERROR(__xludf.DUMMYFUNCTION("""COMPUTED_VALUE"""),"N/A (Not found)")</f>
        <v>N/A (Not found)</v>
      </c>
      <c r="N4682" s="33">
        <f>IFERROR(__xludf.DUMMYFUNCTION("""COMPUTED_VALUE"""),1.0)</f>
        <v>1</v>
      </c>
      <c r="O4682" s="4" t="str">
        <f>IFERROR(__xludf.DUMMYFUNCTION("""COMPUTED_VALUE"""),"N/A (Not found)")</f>
        <v>N/A (Not found)</v>
      </c>
      <c r="P4682" s="33">
        <f>IFERROR(__xludf.DUMMYFUNCTION("""COMPUTED_VALUE"""),0.5)</f>
        <v>0.5</v>
      </c>
      <c r="Q4682" s="4" t="str">
        <f>IFERROR(__xludf.DUMMYFUNCTION("""COMPUTED_VALUE"""),"N/A (Not found)")</f>
        <v>N/A (Not found)</v>
      </c>
      <c r="R4682" s="33">
        <f>IFERROR(__xludf.DUMMYFUNCTION("""COMPUTED_VALUE"""),0.5)</f>
        <v>0.5</v>
      </c>
      <c r="S4682" s="4" t="str">
        <f>IFERROR(__xludf.DUMMYFUNCTION("""COMPUTED_VALUE"""),"N/A (Not found)")</f>
        <v>N/A (Not found)</v>
      </c>
      <c r="T4682" s="33">
        <f>IFERROR(__xludf.DUMMYFUNCTION("""COMPUTED_VALUE"""),0.5)</f>
        <v>0.5</v>
      </c>
      <c r="U4682" s="4" t="str">
        <f>IFERROR(__xludf.DUMMYFUNCTION("""COMPUTED_VALUE"""),"N/A (Not found)")</f>
        <v>N/A (Not found)</v>
      </c>
      <c r="V4682" s="33">
        <f>IFERROR(__xludf.DUMMYFUNCTION("""COMPUTED_VALUE"""),0.5)</f>
        <v>0.5</v>
      </c>
      <c r="W4682" s="4" t="str">
        <f>IFERROR(__xludf.DUMMYFUNCTION("""COMPUTED_VALUE"""),"N/A (Not found)")</f>
        <v>N/A (Not found)</v>
      </c>
      <c r="X4682" s="33">
        <f>IFERROR(__xludf.DUMMYFUNCTION("""COMPUTED_VALUE"""),0.5)</f>
        <v>0.5</v>
      </c>
    </row>
    <row r="4683">
      <c r="K4683" s="4" t="str">
        <f>IFERROR(__xludf.DUMMYFUNCTION("""COMPUTED_VALUE"""),"TOMBADO LANCHES")</f>
        <v>TOMBADO LANCHES</v>
      </c>
      <c r="L4683" s="32">
        <f>IFERROR(__xludf.DUMMYFUNCTION("""COMPUTED_VALUE"""),2.0)</f>
        <v>2</v>
      </c>
      <c r="M4683" s="4" t="str">
        <f>IFERROR(__xludf.DUMMYFUNCTION("""COMPUTED_VALUE"""),"Filialdigital")</f>
        <v>Filialdigital</v>
      </c>
      <c r="N4683" s="33">
        <f>IFERROR(__xludf.DUMMYFUNCTION("""COMPUTED_VALUE"""),0.5)</f>
        <v>0.5</v>
      </c>
      <c r="O4683" s="4" t="str">
        <f>IFERROR(__xludf.DUMMYFUNCTION("""COMPUTED_VALUE"""),"null")</f>
        <v>null</v>
      </c>
      <c r="P4683" s="33">
        <f>IFERROR(__xludf.DUMMYFUNCTION("""COMPUTED_VALUE"""),0.5)</f>
        <v>0.5</v>
      </c>
      <c r="Q4683" s="4" t="str">
        <f>IFERROR(__xludf.DUMMYFUNCTION("""COMPUTED_VALUE"""),"null")</f>
        <v>null</v>
      </c>
      <c r="R4683" s="33">
        <f>IFERROR(__xludf.DUMMYFUNCTION("""COMPUTED_VALUE"""),0.5)</f>
        <v>0.5</v>
      </c>
      <c r="S4683" s="4" t="str">
        <f>IFERROR(__xludf.DUMMYFUNCTION("""COMPUTED_VALUE"""),"null")</f>
        <v>null</v>
      </c>
      <c r="T4683" s="33">
        <f>IFERROR(__xludf.DUMMYFUNCTION("""COMPUTED_VALUE"""),0.5)</f>
        <v>0.5</v>
      </c>
      <c r="U4683" s="4" t="str">
        <f>IFERROR(__xludf.DUMMYFUNCTION("""COMPUTED_VALUE"""),"null")</f>
        <v>null</v>
      </c>
      <c r="V4683" s="33">
        <f>IFERROR(__xludf.DUMMYFUNCTION("""COMPUTED_VALUE"""),0.5)</f>
        <v>0.5</v>
      </c>
      <c r="W4683" s="4" t="str">
        <f>IFERROR(__xludf.DUMMYFUNCTION("""COMPUTED_VALUE"""),"null")</f>
        <v>null</v>
      </c>
      <c r="X4683" s="33">
        <f>IFERROR(__xludf.DUMMYFUNCTION("""COMPUTED_VALUE"""),0.5)</f>
        <v>0.5</v>
      </c>
    </row>
    <row r="4684">
      <c r="K4684" s="4" t="str">
        <f>IFERROR(__xludf.DUMMYFUNCTION("""COMPUTED_VALUE"""),"LA FRATELLI MACEDO PIZZARIA")</f>
        <v>LA FRATELLI MACEDO PIZZARIA</v>
      </c>
      <c r="L4684" s="32">
        <f>IFERROR(__xludf.DUMMYFUNCTION("""COMPUTED_VALUE"""),2.0)</f>
        <v>2</v>
      </c>
      <c r="M4684" s="4" t="str">
        <f>IFERROR(__xludf.DUMMYFUNCTION("""COMPUTED_VALUE"""),"Anota Ai Solucoes Digitais S/a")</f>
        <v>Anota Ai Solucoes Digitais S/a</v>
      </c>
      <c r="N4684" s="33">
        <f>IFERROR(__xludf.DUMMYFUNCTION("""COMPUTED_VALUE"""),0.5)</f>
        <v>0.5</v>
      </c>
      <c r="O4684" s="4" t="str">
        <f>IFERROR(__xludf.DUMMYFUNCTION("""COMPUTED_VALUE"""),"Anota Ai Solucoes Digitais S/a")</f>
        <v>Anota Ai Solucoes Digitais S/a</v>
      </c>
      <c r="P4684" s="33">
        <f>IFERROR(__xludf.DUMMYFUNCTION("""COMPUTED_VALUE"""),0.5)</f>
        <v>0.5</v>
      </c>
      <c r="Q4684" s="4" t="str">
        <f>IFERROR(__xludf.DUMMYFUNCTION("""COMPUTED_VALUE"""),"null")</f>
        <v>null</v>
      </c>
      <c r="R4684" s="33">
        <f>IFERROR(__xludf.DUMMYFUNCTION("""COMPUTED_VALUE"""),1.0)</f>
        <v>1</v>
      </c>
      <c r="S4684" s="4" t="str">
        <f>IFERROR(__xludf.DUMMYFUNCTION("""COMPUTED_VALUE"""),"null")</f>
        <v>null</v>
      </c>
      <c r="T4684" s="33">
        <f>IFERROR(__xludf.DUMMYFUNCTION("""COMPUTED_VALUE"""),1.0)</f>
        <v>1</v>
      </c>
      <c r="U4684" s="4" t="str">
        <f>IFERROR(__xludf.DUMMYFUNCTION("""COMPUTED_VALUE"""),"null")</f>
        <v>null</v>
      </c>
      <c r="V4684" s="33">
        <f>IFERROR(__xludf.DUMMYFUNCTION("""COMPUTED_VALUE"""),1.0)</f>
        <v>1</v>
      </c>
      <c r="W4684" s="4" t="str">
        <f>IFERROR(__xludf.DUMMYFUNCTION("""COMPUTED_VALUE"""),"null")</f>
        <v>null</v>
      </c>
      <c r="X4684" s="33">
        <f>IFERROR(__xludf.DUMMYFUNCTION("""COMPUTED_VALUE"""),0.5)</f>
        <v>0.5</v>
      </c>
    </row>
    <row r="4685">
      <c r="K4685" s="4" t="str">
        <f>IFERROR(__xludf.DUMMYFUNCTION("""COMPUTED_VALUE"""),"BAITA BATATA")</f>
        <v>BAITA BATATA</v>
      </c>
      <c r="L4685" s="32">
        <f>IFERROR(__xludf.DUMMYFUNCTION("""COMPUTED_VALUE"""),2.0)</f>
        <v>2</v>
      </c>
      <c r="M4685" s="4" t="str">
        <f>IFERROR(__xludf.DUMMYFUNCTION("""COMPUTED_VALUE"""),"null")</f>
        <v>null</v>
      </c>
      <c r="N4685" s="33">
        <f>IFERROR(__xludf.DUMMYFUNCTION("""COMPUTED_VALUE"""),0.5)</f>
        <v>0.5</v>
      </c>
      <c r="O4685" s="4" t="str">
        <f>IFERROR(__xludf.DUMMYFUNCTION("""COMPUTED_VALUE"""),"null")</f>
        <v>null</v>
      </c>
      <c r="P4685" s="33">
        <f>IFERROR(__xludf.DUMMYFUNCTION("""COMPUTED_VALUE"""),1.0)</f>
        <v>1</v>
      </c>
      <c r="Q4685" s="4" t="str">
        <f>IFERROR(__xludf.DUMMYFUNCTION("""COMPUTED_VALUE"""),"Winfood")</f>
        <v>Winfood</v>
      </c>
      <c r="R4685" s="33">
        <f>IFERROR(__xludf.DUMMYFUNCTION("""COMPUTED_VALUE"""),0.5)</f>
        <v>0.5</v>
      </c>
      <c r="S4685" s="4" t="str">
        <f>IFERROR(__xludf.DUMMYFUNCTION("""COMPUTED_VALUE"""),"null")</f>
        <v>null</v>
      </c>
      <c r="T4685" s="33">
        <f>IFERROR(__xludf.DUMMYFUNCTION("""COMPUTED_VALUE"""),0.5)</f>
        <v>0.5</v>
      </c>
      <c r="U4685" s="4" t="str">
        <f>IFERROR(__xludf.DUMMYFUNCTION("""COMPUTED_VALUE"""),"Winfood")</f>
        <v>Winfood</v>
      </c>
      <c r="V4685" s="33">
        <f>IFERROR(__xludf.DUMMYFUNCTION("""COMPUTED_VALUE"""),0.5)</f>
        <v>0.5</v>
      </c>
      <c r="W4685" s="4" t="str">
        <f>IFERROR(__xludf.DUMMYFUNCTION("""COMPUTED_VALUE"""),"null")</f>
        <v>null</v>
      </c>
      <c r="X4685" s="33">
        <f>IFERROR(__xludf.DUMMYFUNCTION("""COMPUTED_VALUE"""),1.0)</f>
        <v>1</v>
      </c>
    </row>
    <row r="4686">
      <c r="K4686" s="4" t="str">
        <f>IFERROR(__xludf.DUMMYFUNCTION("""COMPUTED_VALUE"""),"RESTAURANTE PARADA TOP")</f>
        <v>RESTAURANTE PARADA TOP</v>
      </c>
      <c r="L4686" s="32">
        <f>IFERROR(__xludf.DUMMYFUNCTION("""COMPUTED_VALUE"""),2.0)</f>
        <v>2</v>
      </c>
      <c r="M4686" s="4" t="str">
        <f>IFERROR(__xludf.DUMMYFUNCTION("""COMPUTED_VALUE"""),"null")</f>
        <v>null</v>
      </c>
      <c r="N4686" s="33">
        <f>IFERROR(__xludf.DUMMYFUNCTION("""COMPUTED_VALUE"""),0.5)</f>
        <v>0.5</v>
      </c>
      <c r="O4686" s="4" t="str">
        <f>IFERROR(__xludf.DUMMYFUNCTION("""COMPUTED_VALUE"""),"null")</f>
        <v>null</v>
      </c>
      <c r="P4686" s="33">
        <f>IFERROR(__xludf.DUMMYFUNCTION("""COMPUTED_VALUE"""),0.5)</f>
        <v>0.5</v>
      </c>
      <c r="Q4686" s="4" t="str">
        <f>IFERROR(__xludf.DUMMYFUNCTION("""COMPUTED_VALUE"""),"null")</f>
        <v>null</v>
      </c>
      <c r="R4686" s="33">
        <f>IFERROR(__xludf.DUMMYFUNCTION("""COMPUTED_VALUE"""),0.5)</f>
        <v>0.5</v>
      </c>
      <c r="S4686" s="4" t="str">
        <f>IFERROR(__xludf.DUMMYFUNCTION("""COMPUTED_VALUE"""),"Anota Ai Solucoes Digitais S/a")</f>
        <v>Anota Ai Solucoes Digitais S/a</v>
      </c>
      <c r="T4686" s="33">
        <f>IFERROR(__xludf.DUMMYFUNCTION("""COMPUTED_VALUE"""),0.5)</f>
        <v>0.5</v>
      </c>
      <c r="U4686" s="4" t="str">
        <f>IFERROR(__xludf.DUMMYFUNCTION("""COMPUTED_VALUE"""),"null")</f>
        <v>null</v>
      </c>
      <c r="V4686" s="33">
        <f>IFERROR(__xludf.DUMMYFUNCTION("""COMPUTED_VALUE"""),0.5)</f>
        <v>0.5</v>
      </c>
      <c r="W4686" s="4" t="str">
        <f>IFERROR(__xludf.DUMMYFUNCTION("""COMPUTED_VALUE"""),"null")</f>
        <v>null</v>
      </c>
      <c r="X4686" s="33">
        <f>IFERROR(__xludf.DUMMYFUNCTION("""COMPUTED_VALUE"""),0.5)</f>
        <v>0.5</v>
      </c>
    </row>
    <row r="4687">
      <c r="K4687" s="4" t="str">
        <f>IFERROR(__xludf.DUMMYFUNCTION("""COMPUTED_VALUE"""),"VIP PIZZARIA")</f>
        <v>VIP PIZZARIA</v>
      </c>
      <c r="L4687" s="32">
        <f>IFERROR(__xludf.DUMMYFUNCTION("""COMPUTED_VALUE"""),2.0)</f>
        <v>2</v>
      </c>
      <c r="M4687" s="4" t="str">
        <f>IFERROR(__xludf.DUMMYFUNCTION("""COMPUTED_VALUE"""),"Consumer Soluções Em Tecnologia Ltda")</f>
        <v>Consumer Soluções Em Tecnologia Ltda</v>
      </c>
      <c r="N4687" s="33">
        <f>IFERROR(__xludf.DUMMYFUNCTION("""COMPUTED_VALUE"""),0.5)</f>
        <v>0.5</v>
      </c>
      <c r="O4687" s="4" t="str">
        <f>IFERROR(__xludf.DUMMYFUNCTION("""COMPUTED_VALUE"""),"Consumer Soluções Em Tecnologia Ltda")</f>
        <v>Consumer Soluções Em Tecnologia Ltda</v>
      </c>
      <c r="P4687" s="33">
        <f>IFERROR(__xludf.DUMMYFUNCTION("""COMPUTED_VALUE"""),0.5)</f>
        <v>0.5</v>
      </c>
      <c r="Q4687" s="4" t="str">
        <f>IFERROR(__xludf.DUMMYFUNCTION("""COMPUTED_VALUE"""),"Consumer Soluções Em Tecnologia Ltda")</f>
        <v>Consumer Soluções Em Tecnologia Ltda</v>
      </c>
      <c r="R4687" s="33">
        <f>IFERROR(__xludf.DUMMYFUNCTION("""COMPUTED_VALUE"""),0.5)</f>
        <v>0.5</v>
      </c>
      <c r="S4687" s="4" t="str">
        <f>IFERROR(__xludf.DUMMYFUNCTION("""COMPUTED_VALUE"""),"Consumer Soluções Em Tecnologia Ltda")</f>
        <v>Consumer Soluções Em Tecnologia Ltda</v>
      </c>
      <c r="T4687" s="33">
        <f>IFERROR(__xludf.DUMMYFUNCTION("""COMPUTED_VALUE"""),0.5)</f>
        <v>0.5</v>
      </c>
      <c r="U4687" s="4" t="str">
        <f>IFERROR(__xludf.DUMMYFUNCTION("""COMPUTED_VALUE"""),"Consumer Soluções Em Tecnologia Ltda")</f>
        <v>Consumer Soluções Em Tecnologia Ltda</v>
      </c>
      <c r="V4687" s="33">
        <f>IFERROR(__xludf.DUMMYFUNCTION("""COMPUTED_VALUE"""),0.5)</f>
        <v>0.5</v>
      </c>
      <c r="W4687" s="4" t="str">
        <f>IFERROR(__xludf.DUMMYFUNCTION("""COMPUTED_VALUE"""),"Consumer Soluções Em Tecnologia Ltda")</f>
        <v>Consumer Soluções Em Tecnologia Ltda</v>
      </c>
      <c r="X4687" s="33">
        <f>IFERROR(__xludf.DUMMYFUNCTION("""COMPUTED_VALUE"""),0.5)</f>
        <v>0.5</v>
      </c>
    </row>
    <row r="4688">
      <c r="K4688" s="4" t="str">
        <f>IFERROR(__xludf.DUMMYFUNCTION("""COMPUTED_VALUE"""),"RESTAURANTE FRANGO DOURADO")</f>
        <v>RESTAURANTE FRANGO DOURADO</v>
      </c>
      <c r="L4688" s="32">
        <f>IFERROR(__xludf.DUMMYFUNCTION("""COMPUTED_VALUE"""),2.0)</f>
        <v>2</v>
      </c>
      <c r="M4688" s="4" t="str">
        <f>IFERROR(__xludf.DUMMYFUNCTION("""COMPUTED_VALUE"""),"Beefood - Sistema Para Restaurantes")</f>
        <v>Beefood - Sistema Para Restaurantes</v>
      </c>
      <c r="N4688" s="33">
        <f>IFERROR(__xludf.DUMMYFUNCTION("""COMPUTED_VALUE"""),0.5)</f>
        <v>0.5</v>
      </c>
      <c r="O4688" s="4" t="str">
        <f>IFERROR(__xludf.DUMMYFUNCTION("""COMPUTED_VALUE"""),"Saipos Serviços De Software")</f>
        <v>Saipos Serviços De Software</v>
      </c>
      <c r="P4688" s="33">
        <f>IFERROR(__xludf.DUMMYFUNCTION("""COMPUTED_VALUE"""),0.5)</f>
        <v>0.5</v>
      </c>
      <c r="Q4688" s="4" t="str">
        <f>IFERROR(__xludf.DUMMYFUNCTION("""COMPUTED_VALUE"""),"Saipos Serviços De Software")</f>
        <v>Saipos Serviços De Software</v>
      </c>
      <c r="R4688" s="33">
        <f>IFERROR(__xludf.DUMMYFUNCTION("""COMPUTED_VALUE"""),0.5)</f>
        <v>0.5</v>
      </c>
      <c r="S4688" s="4" t="str">
        <f>IFERROR(__xludf.DUMMYFUNCTION("""COMPUTED_VALUE"""),"Saipos Serviços De Software")</f>
        <v>Saipos Serviços De Software</v>
      </c>
      <c r="T4688" s="33">
        <f>IFERROR(__xludf.DUMMYFUNCTION("""COMPUTED_VALUE"""),0.5)</f>
        <v>0.5</v>
      </c>
      <c r="U4688" s="4" t="str">
        <f>IFERROR(__xludf.DUMMYFUNCTION("""COMPUTED_VALUE"""),"Beefood - Sistema Para Restaurantes")</f>
        <v>Beefood - Sistema Para Restaurantes</v>
      </c>
      <c r="V4688" s="33">
        <f>IFERROR(__xludf.DUMMYFUNCTION("""COMPUTED_VALUE"""),0.5)</f>
        <v>0.5</v>
      </c>
      <c r="W4688" s="4" t="str">
        <f>IFERROR(__xludf.DUMMYFUNCTION("""COMPUTED_VALUE"""),"Beefood - Sistema Para Restaurantes")</f>
        <v>Beefood - Sistema Para Restaurantes</v>
      </c>
      <c r="X4688" s="33">
        <f>IFERROR(__xludf.DUMMYFUNCTION("""COMPUTED_VALUE"""),0.5)</f>
        <v>0.5</v>
      </c>
    </row>
    <row r="4689">
      <c r="K4689" s="4" t="str">
        <f>IFERROR(__xludf.DUMMYFUNCTION("""COMPUTED_VALUE"""),"CACHORRAO")</f>
        <v>CACHORRAO</v>
      </c>
      <c r="L4689" s="32">
        <f>IFERROR(__xludf.DUMMYFUNCTION("""COMPUTED_VALUE"""),2.0)</f>
        <v>2</v>
      </c>
      <c r="M4689" s="4" t="str">
        <f>IFERROR(__xludf.DUMMYFUNCTION("""COMPUTED_VALUE"""),"null")</f>
        <v>null</v>
      </c>
      <c r="N4689" s="33">
        <f>IFERROR(__xludf.DUMMYFUNCTION("""COMPUTED_VALUE"""),0.5)</f>
        <v>0.5</v>
      </c>
      <c r="O4689" s="4" t="str">
        <f>IFERROR(__xludf.DUMMYFUNCTION("""COMPUTED_VALUE"""),"null")</f>
        <v>null</v>
      </c>
      <c r="P4689" s="33">
        <f>IFERROR(__xludf.DUMMYFUNCTION("""COMPUTED_VALUE"""),0.5)</f>
        <v>0.5</v>
      </c>
      <c r="Q4689" s="4" t="str">
        <f>IFERROR(__xludf.DUMMYFUNCTION("""COMPUTED_VALUE"""),"null")</f>
        <v>null</v>
      </c>
      <c r="R4689" s="33">
        <f>IFERROR(__xludf.DUMMYFUNCTION("""COMPUTED_VALUE"""),0.5)</f>
        <v>0.5</v>
      </c>
      <c r="S4689" s="4" t="str">
        <f>IFERROR(__xludf.DUMMYFUNCTION("""COMPUTED_VALUE"""),"Anota Ai Solucoes Digitais S/a")</f>
        <v>Anota Ai Solucoes Digitais S/a</v>
      </c>
      <c r="T4689" s="33">
        <f>IFERROR(__xludf.DUMMYFUNCTION("""COMPUTED_VALUE"""),0.5)</f>
        <v>0.5</v>
      </c>
      <c r="U4689" s="4" t="str">
        <f>IFERROR(__xludf.DUMMYFUNCTION("""COMPUTED_VALUE"""),"Anota Ai Solucoes Digitais S/a")</f>
        <v>Anota Ai Solucoes Digitais S/a</v>
      </c>
      <c r="V4689" s="33">
        <f>IFERROR(__xludf.DUMMYFUNCTION("""COMPUTED_VALUE"""),0.5)</f>
        <v>0.5</v>
      </c>
      <c r="W4689" s="4" t="str">
        <f>IFERROR(__xludf.DUMMYFUNCTION("""COMPUTED_VALUE"""),"Anota Ai Solucoes Digitais S/a")</f>
        <v>Anota Ai Solucoes Digitais S/a</v>
      </c>
      <c r="X4689" s="33">
        <f>IFERROR(__xludf.DUMMYFUNCTION("""COMPUTED_VALUE"""),0.5)</f>
        <v>0.5</v>
      </c>
    </row>
    <row r="4690">
      <c r="K4690" s="4" t="str">
        <f>IFERROR(__xludf.DUMMYFUNCTION("""COMPUTED_VALUE"""),"ZEBUS PIZZARIA")</f>
        <v>ZEBUS PIZZARIA</v>
      </c>
      <c r="L4690" s="32">
        <f>IFERROR(__xludf.DUMMYFUNCTION("""COMPUTED_VALUE"""),2.0)</f>
        <v>2</v>
      </c>
      <c r="M4690" s="4" t="str">
        <f>IFERROR(__xludf.DUMMYFUNCTION("""COMPUTED_VALUE"""),"null")</f>
        <v>null</v>
      </c>
      <c r="N4690" s="33">
        <f>IFERROR(__xludf.DUMMYFUNCTION("""COMPUTED_VALUE"""),0.5)</f>
        <v>0.5</v>
      </c>
      <c r="O4690" s="4" t="str">
        <f>IFERROR(__xludf.DUMMYFUNCTION("""COMPUTED_VALUE"""),"null")</f>
        <v>null</v>
      </c>
      <c r="P4690" s="33">
        <f>IFERROR(__xludf.DUMMYFUNCTION("""COMPUTED_VALUE"""),1.0)</f>
        <v>1</v>
      </c>
      <c r="Q4690" s="4" t="str">
        <f>IFERROR(__xludf.DUMMYFUNCTION("""COMPUTED_VALUE"""),"null")</f>
        <v>null</v>
      </c>
      <c r="R4690" s="33">
        <f>IFERROR(__xludf.DUMMYFUNCTION("""COMPUTED_VALUE"""),1.0)</f>
        <v>1</v>
      </c>
      <c r="S4690" s="4" t="str">
        <f>IFERROR(__xludf.DUMMYFUNCTION("""COMPUTED_VALUE"""),"null")</f>
        <v>null</v>
      </c>
      <c r="T4690" s="33">
        <f>IFERROR(__xludf.DUMMYFUNCTION("""COMPUTED_VALUE"""),1.0)</f>
        <v>1</v>
      </c>
      <c r="U4690" s="4" t="str">
        <f>IFERROR(__xludf.DUMMYFUNCTION("""COMPUTED_VALUE"""),"null")</f>
        <v>null</v>
      </c>
      <c r="V4690" s="33">
        <f>IFERROR(__xludf.DUMMYFUNCTION("""COMPUTED_VALUE"""),0.5)</f>
        <v>0.5</v>
      </c>
      <c r="W4690" s="4" t="str">
        <f>IFERROR(__xludf.DUMMYFUNCTION("""COMPUTED_VALUE"""),"Mp Multipedidos")</f>
        <v>Mp Multipedidos</v>
      </c>
      <c r="X4690" s="33">
        <f>IFERROR(__xludf.DUMMYFUNCTION("""COMPUTED_VALUE"""),1.0)</f>
        <v>1</v>
      </c>
    </row>
    <row r="4691">
      <c r="K4691" s="4" t="str">
        <f>IFERROR(__xludf.DUMMYFUNCTION("""COMPUTED_VALUE"""),"DELICIAS DA LETY")</f>
        <v>DELICIAS DA LETY</v>
      </c>
      <c r="L4691" s="32">
        <f>IFERROR(__xludf.DUMMYFUNCTION("""COMPUTED_VALUE"""),2.0)</f>
        <v>2</v>
      </c>
      <c r="M4691" s="4" t="str">
        <f>IFERROR(__xludf.DUMMYFUNCTION("""COMPUTED_VALUE"""),"null")</f>
        <v>null</v>
      </c>
      <c r="N4691" s="33">
        <f>IFERROR(__xludf.DUMMYFUNCTION("""COMPUTED_VALUE"""),1.0)</f>
        <v>1</v>
      </c>
      <c r="O4691" s="4" t="str">
        <f>IFERROR(__xludf.DUMMYFUNCTION("""COMPUTED_VALUE"""),"null")</f>
        <v>null</v>
      </c>
      <c r="P4691" s="33">
        <f>IFERROR(__xludf.DUMMYFUNCTION("""COMPUTED_VALUE"""),1.0)</f>
        <v>1</v>
      </c>
      <c r="Q4691" s="4" t="str">
        <f>IFERROR(__xludf.DUMMYFUNCTION("""COMPUTED_VALUE"""),"null")</f>
        <v>null</v>
      </c>
      <c r="R4691" s="33">
        <f>IFERROR(__xludf.DUMMYFUNCTION("""COMPUTED_VALUE"""),0.5)</f>
        <v>0.5</v>
      </c>
      <c r="S4691" s="4" t="str">
        <f>IFERROR(__xludf.DUMMYFUNCTION("""COMPUTED_VALUE"""),"null")</f>
        <v>null</v>
      </c>
      <c r="T4691" s="33">
        <f>IFERROR(__xludf.DUMMYFUNCTION("""COMPUTED_VALUE"""),0.5)</f>
        <v>0.5</v>
      </c>
      <c r="U4691" s="4" t="str">
        <f>IFERROR(__xludf.DUMMYFUNCTION("""COMPUTED_VALUE"""),"null")</f>
        <v>null</v>
      </c>
      <c r="V4691" s="33">
        <f>IFERROR(__xludf.DUMMYFUNCTION("""COMPUTED_VALUE"""),0.5)</f>
        <v>0.5</v>
      </c>
      <c r="W4691" s="4" t="str">
        <f>IFERROR(__xludf.DUMMYFUNCTION("""COMPUTED_VALUE"""),"Instadelivery")</f>
        <v>Instadelivery</v>
      </c>
      <c r="X4691" s="33">
        <f>IFERROR(__xludf.DUMMYFUNCTION("""COMPUTED_VALUE"""),0.5)</f>
        <v>0.5</v>
      </c>
    </row>
    <row r="4692">
      <c r="K4692" s="4" t="str">
        <f>IFERROR(__xludf.DUMMYFUNCTION("""COMPUTED_VALUE"""),"TEMPERO DA VOVO - MARMITARIA")</f>
        <v>TEMPERO DA VOVO - MARMITARIA</v>
      </c>
      <c r="L4692" s="32">
        <f>IFERROR(__xludf.DUMMYFUNCTION("""COMPUTED_VALUE"""),2.0)</f>
        <v>2</v>
      </c>
      <c r="M4692" s="4" t="str">
        <f>IFERROR(__xludf.DUMMYFUNCTION("""COMPUTED_VALUE"""),"null")</f>
        <v>null</v>
      </c>
      <c r="N4692" s="33">
        <f>IFERROR(__xludf.DUMMYFUNCTION("""COMPUTED_VALUE"""),1.0)</f>
        <v>1</v>
      </c>
      <c r="O4692" s="4" t="str">
        <f>IFERROR(__xludf.DUMMYFUNCTION("""COMPUTED_VALUE"""),"null")</f>
        <v>null</v>
      </c>
      <c r="P4692" s="33">
        <f>IFERROR(__xludf.DUMMYFUNCTION("""COMPUTED_VALUE"""),1.0)</f>
        <v>1</v>
      </c>
      <c r="Q4692" s="4" t="str">
        <f>IFERROR(__xludf.DUMMYFUNCTION("""COMPUTED_VALUE"""),"null")</f>
        <v>null</v>
      </c>
      <c r="R4692" s="33">
        <f>IFERROR(__xludf.DUMMYFUNCTION("""COMPUTED_VALUE"""),1.0)</f>
        <v>1</v>
      </c>
      <c r="S4692" s="4" t="str">
        <f>IFERROR(__xludf.DUMMYFUNCTION("""COMPUTED_VALUE"""),"Gerence Sistemas")</f>
        <v>Gerence Sistemas</v>
      </c>
      <c r="T4692" s="33">
        <f>IFERROR(__xludf.DUMMYFUNCTION("""COMPUTED_VALUE"""),0.5)</f>
        <v>0.5</v>
      </c>
      <c r="U4692" s="4" t="str">
        <f>IFERROR(__xludf.DUMMYFUNCTION("""COMPUTED_VALUE"""),"null")</f>
        <v>null</v>
      </c>
      <c r="V4692" s="33">
        <f>IFERROR(__xludf.DUMMYFUNCTION("""COMPUTED_VALUE"""),1.0)</f>
        <v>1</v>
      </c>
      <c r="W4692" s="4" t="str">
        <f>IFERROR(__xludf.DUMMYFUNCTION("""COMPUTED_VALUE"""),"null")</f>
        <v>null</v>
      </c>
      <c r="X4692" s="33">
        <f>IFERROR(__xludf.DUMMYFUNCTION("""COMPUTED_VALUE"""),0.5)</f>
        <v>0.5</v>
      </c>
    </row>
    <row r="4693">
      <c r="K4693" s="4" t="str">
        <f>IFERROR(__xludf.DUMMYFUNCTION("""COMPUTED_VALUE"""),"BIGODE BURGER - CANDEIAS")</f>
        <v>BIGODE BURGER - CANDEIAS</v>
      </c>
      <c r="L4693" s="32">
        <f>IFERROR(__xludf.DUMMYFUNCTION("""COMPUTED_VALUE"""),2.0)</f>
        <v>2</v>
      </c>
      <c r="M4693" s="4" t="str">
        <f>IFERROR(__xludf.DUMMYFUNCTION("""COMPUTED_VALUE"""),"Grsoft")</f>
        <v>Grsoft</v>
      </c>
      <c r="N4693" s="33">
        <f>IFERROR(__xludf.DUMMYFUNCTION("""COMPUTED_VALUE"""),1.0)</f>
        <v>1</v>
      </c>
      <c r="O4693" s="4" t="str">
        <f>IFERROR(__xludf.DUMMYFUNCTION("""COMPUTED_VALUE"""),"Grsoft")</f>
        <v>Grsoft</v>
      </c>
      <c r="P4693" s="33">
        <f>IFERROR(__xludf.DUMMYFUNCTION("""COMPUTED_VALUE"""),1.0)</f>
        <v>1</v>
      </c>
      <c r="Q4693" s="4" t="str">
        <f>IFERROR(__xludf.DUMMYFUNCTION("""COMPUTED_VALUE"""),"Grsoft")</f>
        <v>Grsoft</v>
      </c>
      <c r="R4693" s="33">
        <f>IFERROR(__xludf.DUMMYFUNCTION("""COMPUTED_VALUE"""),1.0)</f>
        <v>1</v>
      </c>
      <c r="S4693" s="4" t="str">
        <f>IFERROR(__xludf.DUMMYFUNCTION("""COMPUTED_VALUE"""),"null")</f>
        <v>null</v>
      </c>
      <c r="T4693" s="33">
        <f>IFERROR(__xludf.DUMMYFUNCTION("""COMPUTED_VALUE"""),0.5)</f>
        <v>0.5</v>
      </c>
      <c r="U4693" s="4" t="str">
        <f>IFERROR(__xludf.DUMMYFUNCTION("""COMPUTED_VALUE"""),"null")</f>
        <v>null</v>
      </c>
      <c r="V4693" s="33">
        <f>IFERROR(__xludf.DUMMYFUNCTION("""COMPUTED_VALUE"""),0.5)</f>
        <v>0.5</v>
      </c>
      <c r="W4693" s="4" t="str">
        <f>IFERROR(__xludf.DUMMYFUNCTION("""COMPUTED_VALUE"""),"null")</f>
        <v>null</v>
      </c>
      <c r="X4693" s="33">
        <f>IFERROR(__xludf.DUMMYFUNCTION("""COMPUTED_VALUE"""),0.5)</f>
        <v>0.5</v>
      </c>
    </row>
    <row r="4694">
      <c r="K4694" s="4" t="str">
        <f>IFERROR(__xludf.DUMMYFUNCTION("""COMPUTED_VALUE"""),"DROGARIA NOBRE")</f>
        <v>DROGARIA NOBRE</v>
      </c>
      <c r="L4694" s="32">
        <f>IFERROR(__xludf.DUMMYFUNCTION("""COMPUTED_VALUE"""),2.0)</f>
        <v>2</v>
      </c>
      <c r="M4694" s="4" t="str">
        <f>IFERROR(__xludf.DUMMYFUNCTION("""COMPUTED_VALUE"""),"N/A (Not found)")</f>
        <v>N/A (Not found)</v>
      </c>
      <c r="N4694" s="33">
        <f>IFERROR(__xludf.DUMMYFUNCTION("""COMPUTED_VALUE"""),1.0)</f>
        <v>1</v>
      </c>
      <c r="O4694" s="4" t="str">
        <f>IFERROR(__xludf.DUMMYFUNCTION("""COMPUTED_VALUE"""),"N/A (Not found)")</f>
        <v>N/A (Not found)</v>
      </c>
      <c r="P4694" s="33">
        <f>IFERROR(__xludf.DUMMYFUNCTION("""COMPUTED_VALUE"""),1.0)</f>
        <v>1</v>
      </c>
      <c r="Q4694" s="4" t="str">
        <f>IFERROR(__xludf.DUMMYFUNCTION("""COMPUTED_VALUE"""),"N/A (Not found)")</f>
        <v>N/A (Not found)</v>
      </c>
      <c r="R4694" s="33">
        <f>IFERROR(__xludf.DUMMYFUNCTION("""COMPUTED_VALUE"""),1.0)</f>
        <v>1</v>
      </c>
      <c r="S4694" s="4" t="str">
        <f>IFERROR(__xludf.DUMMYFUNCTION("""COMPUTED_VALUE"""),"N/A (Not found)")</f>
        <v>N/A (Not found)</v>
      </c>
      <c r="T4694" s="33">
        <f>IFERROR(__xludf.DUMMYFUNCTION("""COMPUTED_VALUE"""),1.0)</f>
        <v>1</v>
      </c>
      <c r="U4694" s="4" t="str">
        <f>IFERROR(__xludf.DUMMYFUNCTION("""COMPUTED_VALUE"""),"N/A (Not found)")</f>
        <v>N/A (Not found)</v>
      </c>
      <c r="V4694" s="33">
        <f>IFERROR(__xludf.DUMMYFUNCTION("""COMPUTED_VALUE"""),1.0)</f>
        <v>1</v>
      </c>
      <c r="W4694" s="4" t="str">
        <f>IFERROR(__xludf.DUMMYFUNCTION("""COMPUTED_VALUE"""),"N/A (Not found)")</f>
        <v>N/A (Not found)</v>
      </c>
      <c r="X4694" s="33">
        <f>IFERROR(__xludf.DUMMYFUNCTION("""COMPUTED_VALUE"""),1.0)</f>
        <v>1</v>
      </c>
    </row>
    <row r="4695">
      <c r="K4695" s="4" t="str">
        <f>IFERROR(__xludf.DUMMYFUNCTION("""COMPUTED_VALUE"""),"ACAI DO CHEFE")</f>
        <v>ACAI DO CHEFE</v>
      </c>
      <c r="L4695" s="32">
        <f>IFERROR(__xludf.DUMMYFUNCTION("""COMPUTED_VALUE"""),2.0)</f>
        <v>2</v>
      </c>
      <c r="M4695" s="4" t="str">
        <f>IFERROR(__xludf.DUMMYFUNCTION("""COMPUTED_VALUE"""),"Cardápio Web")</f>
        <v>Cardápio Web</v>
      </c>
      <c r="N4695" s="33">
        <f>IFERROR(__xludf.DUMMYFUNCTION("""COMPUTED_VALUE"""),0.5)</f>
        <v>0.5</v>
      </c>
      <c r="O4695" s="4" t="str">
        <f>IFERROR(__xludf.DUMMYFUNCTION("""COMPUTED_VALUE"""),"Cardápio Web")</f>
        <v>Cardápio Web</v>
      </c>
      <c r="P4695" s="33">
        <f>IFERROR(__xludf.DUMMYFUNCTION("""COMPUTED_VALUE"""),0.5)</f>
        <v>0.5</v>
      </c>
      <c r="Q4695" s="4" t="str">
        <f>IFERROR(__xludf.DUMMYFUNCTION("""COMPUTED_VALUE"""),"null")</f>
        <v>null</v>
      </c>
      <c r="R4695" s="33">
        <f>IFERROR(__xludf.DUMMYFUNCTION("""COMPUTED_VALUE"""),0.5)</f>
        <v>0.5</v>
      </c>
      <c r="S4695" s="4" t="str">
        <f>IFERROR(__xludf.DUMMYFUNCTION("""COMPUTED_VALUE"""),"Cardápio Web")</f>
        <v>Cardápio Web</v>
      </c>
      <c r="T4695" s="33">
        <f>IFERROR(__xludf.DUMMYFUNCTION("""COMPUTED_VALUE"""),0.5)</f>
        <v>0.5</v>
      </c>
      <c r="U4695" s="4" t="str">
        <f>IFERROR(__xludf.DUMMYFUNCTION("""COMPUTED_VALUE"""),"Suitable Tecnologia E Gestao")</f>
        <v>Suitable Tecnologia E Gestao</v>
      </c>
      <c r="V4695" s="33">
        <f>IFERROR(__xludf.DUMMYFUNCTION("""COMPUTED_VALUE"""),0.5)</f>
        <v>0.5</v>
      </c>
      <c r="W4695" s="4" t="str">
        <f>IFERROR(__xludf.DUMMYFUNCTION("""COMPUTED_VALUE"""),"Suitable Tecnologia E Gestao")</f>
        <v>Suitable Tecnologia E Gestao</v>
      </c>
      <c r="X4695" s="33">
        <f>IFERROR(__xludf.DUMMYFUNCTION("""COMPUTED_VALUE"""),0.5)</f>
        <v>0.5</v>
      </c>
    </row>
    <row r="4696">
      <c r="K4696" s="4" t="str">
        <f>IFERROR(__xludf.DUMMYFUNCTION("""COMPUTED_VALUE"""),"IMPERIO PIZZARIA DELIVERY")</f>
        <v>IMPERIO PIZZARIA DELIVERY</v>
      </c>
      <c r="L4696" s="32">
        <f>IFERROR(__xludf.DUMMYFUNCTION("""COMPUTED_VALUE"""),2.0)</f>
        <v>2</v>
      </c>
      <c r="M4696" s="4" t="str">
        <f>IFERROR(__xludf.DUMMYFUNCTION("""COMPUTED_VALUE"""),"Menu Integrado")</f>
        <v>Menu Integrado</v>
      </c>
      <c r="N4696" s="33">
        <f>IFERROR(__xludf.DUMMYFUNCTION("""COMPUTED_VALUE"""),0.5)</f>
        <v>0.5</v>
      </c>
      <c r="O4696" s="4" t="str">
        <f>IFERROR(__xludf.DUMMYFUNCTION("""COMPUTED_VALUE"""),"null")</f>
        <v>null</v>
      </c>
      <c r="P4696" s="33">
        <f>IFERROR(__xludf.DUMMYFUNCTION("""COMPUTED_VALUE"""),1.0)</f>
        <v>1</v>
      </c>
      <c r="Q4696" s="4" t="str">
        <f>IFERROR(__xludf.DUMMYFUNCTION("""COMPUTED_VALUE"""),"null")</f>
        <v>null</v>
      </c>
      <c r="R4696" s="33">
        <f>IFERROR(__xludf.DUMMYFUNCTION("""COMPUTED_VALUE"""),1.0)</f>
        <v>1</v>
      </c>
      <c r="S4696" s="4" t="str">
        <f>IFERROR(__xludf.DUMMYFUNCTION("""COMPUTED_VALUE"""),"null")</f>
        <v>null</v>
      </c>
      <c r="T4696" s="33">
        <f>IFERROR(__xludf.DUMMYFUNCTION("""COMPUTED_VALUE"""),1.0)</f>
        <v>1</v>
      </c>
      <c r="U4696" s="4" t="str">
        <f>IFERROR(__xludf.DUMMYFUNCTION("""COMPUTED_VALUE"""),"null")</f>
        <v>null</v>
      </c>
      <c r="V4696" s="33">
        <f>IFERROR(__xludf.DUMMYFUNCTION("""COMPUTED_VALUE"""),1.0)</f>
        <v>1</v>
      </c>
      <c r="W4696" s="4" t="str">
        <f>IFERROR(__xludf.DUMMYFUNCTION("""COMPUTED_VALUE"""),"null")</f>
        <v>null</v>
      </c>
      <c r="X4696" s="33">
        <f>IFERROR(__xludf.DUMMYFUNCTION("""COMPUTED_VALUE"""),1.0)</f>
        <v>1</v>
      </c>
    </row>
    <row r="4697">
      <c r="K4697" s="4" t="str">
        <f>IFERROR(__xludf.DUMMYFUNCTION("""COMPUTED_VALUE"""),"CARDOSO BURGUER E PIZZA")</f>
        <v>CARDOSO BURGUER E PIZZA</v>
      </c>
      <c r="L4697" s="32">
        <f>IFERROR(__xludf.DUMMYFUNCTION("""COMPUTED_VALUE"""),2.0)</f>
        <v>2</v>
      </c>
      <c r="M4697" s="4" t="str">
        <f>IFERROR(__xludf.DUMMYFUNCTION("""COMPUTED_VALUE"""),"null")</f>
        <v>null</v>
      </c>
      <c r="N4697" s="33">
        <f>IFERROR(__xludf.DUMMYFUNCTION("""COMPUTED_VALUE"""),0.5)</f>
        <v>0.5</v>
      </c>
      <c r="O4697" s="4" t="str">
        <f>IFERROR(__xludf.DUMMYFUNCTION("""COMPUTED_VALUE"""),"null")</f>
        <v>null</v>
      </c>
      <c r="P4697" s="33">
        <f>IFERROR(__xludf.DUMMYFUNCTION("""COMPUTED_VALUE"""),1.0)</f>
        <v>1</v>
      </c>
      <c r="Q4697" s="4" t="str">
        <f>IFERROR(__xludf.DUMMYFUNCTION("""COMPUTED_VALUE"""),"Yooga")</f>
        <v>Yooga</v>
      </c>
      <c r="R4697" s="33">
        <f>IFERROR(__xludf.DUMMYFUNCTION("""COMPUTED_VALUE"""),1.0)</f>
        <v>1</v>
      </c>
      <c r="S4697" s="4" t="str">
        <f>IFERROR(__xludf.DUMMYFUNCTION("""COMPUTED_VALUE"""),"Yooga")</f>
        <v>Yooga</v>
      </c>
      <c r="T4697" s="33">
        <f>IFERROR(__xludf.DUMMYFUNCTION("""COMPUTED_VALUE"""),1.0)</f>
        <v>1</v>
      </c>
      <c r="U4697" s="4" t="str">
        <f>IFERROR(__xludf.DUMMYFUNCTION("""COMPUTED_VALUE"""),"Yooga")</f>
        <v>Yooga</v>
      </c>
      <c r="V4697" s="33">
        <f>IFERROR(__xludf.DUMMYFUNCTION("""COMPUTED_VALUE"""),0.5)</f>
        <v>0.5</v>
      </c>
      <c r="W4697" s="4" t="str">
        <f>IFERROR(__xludf.DUMMYFUNCTION("""COMPUTED_VALUE"""),"Yooga")</f>
        <v>Yooga</v>
      </c>
      <c r="X4697" s="33">
        <f>IFERROR(__xludf.DUMMYFUNCTION("""COMPUTED_VALUE"""),0.5)</f>
        <v>0.5</v>
      </c>
    </row>
    <row r="4698">
      <c r="K4698" s="4" t="str">
        <f>IFERROR(__xludf.DUMMYFUNCTION("""COMPUTED_VALUE"""),"SABOR AO PONTO")</f>
        <v>SABOR AO PONTO</v>
      </c>
      <c r="L4698" s="32">
        <f>IFERROR(__xludf.DUMMYFUNCTION("""COMPUTED_VALUE"""),2.0)</f>
        <v>2</v>
      </c>
      <c r="M4698" s="4" t="str">
        <f>IFERROR(__xludf.DUMMYFUNCTION("""COMPUTED_VALUE"""),"null")</f>
        <v>null</v>
      </c>
      <c r="N4698" s="33">
        <f>IFERROR(__xludf.DUMMYFUNCTION("""COMPUTED_VALUE"""),0.5)</f>
        <v>0.5</v>
      </c>
      <c r="O4698" s="4" t="str">
        <f>IFERROR(__xludf.DUMMYFUNCTION("""COMPUTED_VALUE"""),"null")</f>
        <v>null</v>
      </c>
      <c r="P4698" s="33">
        <f>IFERROR(__xludf.DUMMYFUNCTION("""COMPUTED_VALUE"""),0.5)</f>
        <v>0.5</v>
      </c>
      <c r="Q4698" s="4" t="str">
        <f>IFERROR(__xludf.DUMMYFUNCTION("""COMPUTED_VALUE"""),"null")</f>
        <v>null</v>
      </c>
      <c r="R4698" s="33">
        <f>IFERROR(__xludf.DUMMYFUNCTION("""COMPUTED_VALUE"""),1.0)</f>
        <v>1</v>
      </c>
      <c r="S4698" s="4" t="str">
        <f>IFERROR(__xludf.DUMMYFUNCTION("""COMPUTED_VALUE"""),"null")</f>
        <v>null</v>
      </c>
      <c r="T4698" s="33">
        <f>IFERROR(__xludf.DUMMYFUNCTION("""COMPUTED_VALUE"""),1.0)</f>
        <v>1</v>
      </c>
      <c r="U4698" s="4" t="str">
        <f>IFERROR(__xludf.DUMMYFUNCTION("""COMPUTED_VALUE"""),"Brendi")</f>
        <v>Brendi</v>
      </c>
      <c r="V4698" s="33">
        <f>IFERROR(__xludf.DUMMYFUNCTION("""COMPUTED_VALUE"""),0.5)</f>
        <v>0.5</v>
      </c>
      <c r="W4698" s="4" t="str">
        <f>IFERROR(__xludf.DUMMYFUNCTION("""COMPUTED_VALUE"""),"Brendi")</f>
        <v>Brendi</v>
      </c>
      <c r="X4698" s="33">
        <f>IFERROR(__xludf.DUMMYFUNCTION("""COMPUTED_VALUE"""),0.5)</f>
        <v>0.5</v>
      </c>
    </row>
    <row r="4699">
      <c r="K4699" s="4" t="str">
        <f>IFERROR(__xludf.DUMMYFUNCTION("""COMPUTED_VALUE"""),"LA CASA MEXICANA")</f>
        <v>LA CASA MEXICANA</v>
      </c>
      <c r="L4699" s="32">
        <f>IFERROR(__xludf.DUMMYFUNCTION("""COMPUTED_VALUE"""),2.0)</f>
        <v>2</v>
      </c>
      <c r="M4699" s="4" t="str">
        <f>IFERROR(__xludf.DUMMYFUNCTION("""COMPUTED_VALUE"""),"null")</f>
        <v>null</v>
      </c>
      <c r="N4699" s="33">
        <f>IFERROR(__xludf.DUMMYFUNCTION("""COMPUTED_VALUE"""),0.5)</f>
        <v>0.5</v>
      </c>
      <c r="O4699" s="4" t="str">
        <f>IFERROR(__xludf.DUMMYFUNCTION("""COMPUTED_VALUE"""),"null")</f>
        <v>null</v>
      </c>
      <c r="P4699" s="33">
        <f>IFERROR(__xludf.DUMMYFUNCTION("""COMPUTED_VALUE"""),0.5)</f>
        <v>0.5</v>
      </c>
      <c r="Q4699" s="4" t="str">
        <f>IFERROR(__xludf.DUMMYFUNCTION("""COMPUTED_VALUE"""),"null")</f>
        <v>null</v>
      </c>
      <c r="R4699" s="33">
        <f>IFERROR(__xludf.DUMMYFUNCTION("""COMPUTED_VALUE"""),0.5)</f>
        <v>0.5</v>
      </c>
      <c r="S4699" s="4" t="str">
        <f>IFERROR(__xludf.DUMMYFUNCTION("""COMPUTED_VALUE"""),"Gula.menu Tecnologia Ltda.")</f>
        <v>Gula.menu Tecnologia Ltda.</v>
      </c>
      <c r="T4699" s="33">
        <f>IFERROR(__xludf.DUMMYFUNCTION("""COMPUTED_VALUE"""),0.5)</f>
        <v>0.5</v>
      </c>
      <c r="U4699" s="4" t="str">
        <f>IFERROR(__xludf.DUMMYFUNCTION("""COMPUTED_VALUE"""),"Gula.menu Tecnologia Ltda.")</f>
        <v>Gula.menu Tecnologia Ltda.</v>
      </c>
      <c r="V4699" s="33">
        <f>IFERROR(__xludf.DUMMYFUNCTION("""COMPUTED_VALUE"""),0.5)</f>
        <v>0.5</v>
      </c>
      <c r="W4699" s="4" t="str">
        <f>IFERROR(__xludf.DUMMYFUNCTION("""COMPUTED_VALUE"""),"Gula.menu Tecnologia Ltda.")</f>
        <v>Gula.menu Tecnologia Ltda.</v>
      </c>
      <c r="X4699" s="33">
        <f>IFERROR(__xludf.DUMMYFUNCTION("""COMPUTED_VALUE"""),0.5)</f>
        <v>0.5</v>
      </c>
    </row>
    <row r="4700">
      <c r="K4700" s="4" t="str">
        <f>IFERROR(__xludf.DUMMYFUNCTION("""COMPUTED_VALUE"""),"NINA PIZZARIA")</f>
        <v>NINA PIZZARIA</v>
      </c>
      <c r="L4700" s="32">
        <f>IFERROR(__xludf.DUMMYFUNCTION("""COMPUTED_VALUE"""),2.0)</f>
        <v>2</v>
      </c>
      <c r="M4700" s="4" t="str">
        <f>IFERROR(__xludf.DUMMYFUNCTION("""COMPUTED_VALUE"""),"Mp Multipedidos")</f>
        <v>Mp Multipedidos</v>
      </c>
      <c r="N4700" s="33">
        <f>IFERROR(__xludf.DUMMYFUNCTION("""COMPUTED_VALUE"""),0.5)</f>
        <v>0.5</v>
      </c>
      <c r="O4700" s="4" t="str">
        <f>IFERROR(__xludf.DUMMYFUNCTION("""COMPUTED_VALUE"""),"Mp Multipedidos")</f>
        <v>Mp Multipedidos</v>
      </c>
      <c r="P4700" s="33">
        <f>IFERROR(__xludf.DUMMYFUNCTION("""COMPUTED_VALUE"""),0.5)</f>
        <v>0.5</v>
      </c>
      <c r="Q4700" s="4" t="str">
        <f>IFERROR(__xludf.DUMMYFUNCTION("""COMPUTED_VALUE"""),"Mp Multipedidos")</f>
        <v>Mp Multipedidos</v>
      </c>
      <c r="R4700" s="33">
        <f>IFERROR(__xludf.DUMMYFUNCTION("""COMPUTED_VALUE"""),0.5)</f>
        <v>0.5</v>
      </c>
      <c r="S4700" s="4" t="str">
        <f>IFERROR(__xludf.DUMMYFUNCTION("""COMPUTED_VALUE"""),"Mp Multipedidos")</f>
        <v>Mp Multipedidos</v>
      </c>
      <c r="T4700" s="33">
        <f>IFERROR(__xludf.DUMMYFUNCTION("""COMPUTED_VALUE"""),0.5)</f>
        <v>0.5</v>
      </c>
      <c r="U4700" s="4" t="str">
        <f>IFERROR(__xludf.DUMMYFUNCTION("""COMPUTED_VALUE"""),"Mp Multipedidos")</f>
        <v>Mp Multipedidos</v>
      </c>
      <c r="V4700" s="33">
        <f>IFERROR(__xludf.DUMMYFUNCTION("""COMPUTED_VALUE"""),0.5)</f>
        <v>0.5</v>
      </c>
      <c r="W4700" s="4" t="str">
        <f>IFERROR(__xludf.DUMMYFUNCTION("""COMPUTED_VALUE"""),"Mp Multipedidos")</f>
        <v>Mp Multipedidos</v>
      </c>
      <c r="X4700" s="33">
        <f>IFERROR(__xludf.DUMMYFUNCTION("""COMPUTED_VALUE"""),0.5)</f>
        <v>0.5</v>
      </c>
    </row>
    <row r="4701">
      <c r="K4701" s="4" t="str">
        <f>IFERROR(__xludf.DUMMYFUNCTION("""COMPUTED_VALUE"""),"MESTRE DA PIZZA")</f>
        <v>MESTRE DA PIZZA</v>
      </c>
      <c r="L4701" s="32">
        <f>IFERROR(__xludf.DUMMYFUNCTION("""COMPUTED_VALUE"""),2.0)</f>
        <v>2</v>
      </c>
      <c r="M4701" s="4" t="str">
        <f>IFERROR(__xludf.DUMMYFUNCTION("""COMPUTED_VALUE"""),"Saipos Serviços De Software")</f>
        <v>Saipos Serviços De Software</v>
      </c>
      <c r="N4701" s="33">
        <f>IFERROR(__xludf.DUMMYFUNCTION("""COMPUTED_VALUE"""),0.5)</f>
        <v>0.5</v>
      </c>
      <c r="O4701" s="4" t="str">
        <f>IFERROR(__xludf.DUMMYFUNCTION("""COMPUTED_VALUE"""),"Saipos Serviços De Software")</f>
        <v>Saipos Serviços De Software</v>
      </c>
      <c r="P4701" s="33">
        <f>IFERROR(__xludf.DUMMYFUNCTION("""COMPUTED_VALUE"""),0.5)</f>
        <v>0.5</v>
      </c>
      <c r="Q4701" s="4" t="str">
        <f>IFERROR(__xludf.DUMMYFUNCTION("""COMPUTED_VALUE"""),"Saipos Serviços De Software")</f>
        <v>Saipos Serviços De Software</v>
      </c>
      <c r="R4701" s="33">
        <f>IFERROR(__xludf.DUMMYFUNCTION("""COMPUTED_VALUE"""),0.5)</f>
        <v>0.5</v>
      </c>
      <c r="S4701" s="4" t="str">
        <f>IFERROR(__xludf.DUMMYFUNCTION("""COMPUTED_VALUE"""),"Saipos Serviços De Software")</f>
        <v>Saipos Serviços De Software</v>
      </c>
      <c r="T4701" s="33">
        <f>IFERROR(__xludf.DUMMYFUNCTION("""COMPUTED_VALUE"""),0.5)</f>
        <v>0.5</v>
      </c>
      <c r="U4701" s="4" t="str">
        <f>IFERROR(__xludf.DUMMYFUNCTION("""COMPUTED_VALUE"""),"Saipos Serviços De Software")</f>
        <v>Saipos Serviços De Software</v>
      </c>
      <c r="V4701" s="33">
        <f>IFERROR(__xludf.DUMMYFUNCTION("""COMPUTED_VALUE"""),1.0)</f>
        <v>1</v>
      </c>
      <c r="W4701" s="4" t="str">
        <f>IFERROR(__xludf.DUMMYFUNCTION("""COMPUTED_VALUE"""),"Saipos Serviços De Software")</f>
        <v>Saipos Serviços De Software</v>
      </c>
      <c r="X4701" s="33">
        <f>IFERROR(__xludf.DUMMYFUNCTION("""COMPUTED_VALUE"""),0.5)</f>
        <v>0.5</v>
      </c>
    </row>
    <row r="4702">
      <c r="K4702" s="4" t="str">
        <f>IFERROR(__xludf.DUMMYFUNCTION("""COMPUTED_VALUE"""),"DELICIAS DA DAY")</f>
        <v>DELICIAS DA DAY</v>
      </c>
      <c r="L4702" s="32">
        <f>IFERROR(__xludf.DUMMYFUNCTION("""COMPUTED_VALUE"""),2.0)</f>
        <v>2</v>
      </c>
      <c r="M4702" s="4" t="str">
        <f>IFERROR(__xludf.DUMMYFUNCTION("""COMPUTED_VALUE"""),"null")</f>
        <v>null</v>
      </c>
      <c r="N4702" s="33">
        <f>IFERROR(__xludf.DUMMYFUNCTION("""COMPUTED_VALUE"""),0.5)</f>
        <v>0.5</v>
      </c>
      <c r="O4702" s="4" t="str">
        <f>IFERROR(__xludf.DUMMYFUNCTION("""COMPUTED_VALUE"""),"null")</f>
        <v>null</v>
      </c>
      <c r="P4702" s="33">
        <f>IFERROR(__xludf.DUMMYFUNCTION("""COMPUTED_VALUE"""),0.5)</f>
        <v>0.5</v>
      </c>
      <c r="Q4702" s="4" t="str">
        <f>IFERROR(__xludf.DUMMYFUNCTION("""COMPUTED_VALUE"""),"null")</f>
        <v>null</v>
      </c>
      <c r="R4702" s="33">
        <f>IFERROR(__xludf.DUMMYFUNCTION("""COMPUTED_VALUE"""),0.5)</f>
        <v>0.5</v>
      </c>
      <c r="S4702" s="4" t="str">
        <f>IFERROR(__xludf.DUMMYFUNCTION("""COMPUTED_VALUE"""),"null")</f>
        <v>null</v>
      </c>
      <c r="T4702" s="33">
        <f>IFERROR(__xludf.DUMMYFUNCTION("""COMPUTED_VALUE"""),0.5)</f>
        <v>0.5</v>
      </c>
      <c r="U4702" s="4" t="str">
        <f>IFERROR(__xludf.DUMMYFUNCTION("""COMPUTED_VALUE"""),"Instadelivery")</f>
        <v>Instadelivery</v>
      </c>
      <c r="V4702" s="33">
        <f>IFERROR(__xludf.DUMMYFUNCTION("""COMPUTED_VALUE"""),1.0)</f>
        <v>1</v>
      </c>
      <c r="W4702" s="4" t="str">
        <f>IFERROR(__xludf.DUMMYFUNCTION("""COMPUTED_VALUE"""),"null")</f>
        <v>null</v>
      </c>
      <c r="X4702" s="33">
        <f>IFERROR(__xludf.DUMMYFUNCTION("""COMPUTED_VALUE"""),0.5)</f>
        <v>0.5</v>
      </c>
    </row>
    <row r="4703">
      <c r="K4703" s="4" t="str">
        <f>IFERROR(__xludf.DUMMYFUNCTION("""COMPUTED_VALUE"""),"BRAVO BURGUER")</f>
        <v>BRAVO BURGUER</v>
      </c>
      <c r="L4703" s="32">
        <f>IFERROR(__xludf.DUMMYFUNCTION("""COMPUTED_VALUE"""),2.0)</f>
        <v>2</v>
      </c>
      <c r="M4703" s="4" t="str">
        <f>IFERROR(__xludf.DUMMYFUNCTION("""COMPUTED_VALUE"""),"Beefood - Sistema Para Restaurantes")</f>
        <v>Beefood - Sistema Para Restaurantes</v>
      </c>
      <c r="N4703" s="33">
        <f>IFERROR(__xludf.DUMMYFUNCTION("""COMPUTED_VALUE"""),0.5)</f>
        <v>0.5</v>
      </c>
      <c r="O4703" s="4" t="str">
        <f>IFERROR(__xludf.DUMMYFUNCTION("""COMPUTED_VALUE"""),"Beefood - Sistema Para Restaurantes")</f>
        <v>Beefood - Sistema Para Restaurantes</v>
      </c>
      <c r="P4703" s="33">
        <f>IFERROR(__xludf.DUMMYFUNCTION("""COMPUTED_VALUE"""),0.5)</f>
        <v>0.5</v>
      </c>
      <c r="Q4703" s="4" t="str">
        <f>IFERROR(__xludf.DUMMYFUNCTION("""COMPUTED_VALUE"""),"Beefood - Sistema Para Restaurantes")</f>
        <v>Beefood - Sistema Para Restaurantes</v>
      </c>
      <c r="R4703" s="33">
        <f>IFERROR(__xludf.DUMMYFUNCTION("""COMPUTED_VALUE"""),0.5)</f>
        <v>0.5</v>
      </c>
      <c r="S4703" s="4" t="str">
        <f>IFERROR(__xludf.DUMMYFUNCTION("""COMPUTED_VALUE"""),"Beefood - Sistema Para Restaurantes")</f>
        <v>Beefood - Sistema Para Restaurantes</v>
      </c>
      <c r="T4703" s="33">
        <f>IFERROR(__xludf.DUMMYFUNCTION("""COMPUTED_VALUE"""),0.5)</f>
        <v>0.5</v>
      </c>
      <c r="U4703" s="4" t="str">
        <f>IFERROR(__xludf.DUMMYFUNCTION("""COMPUTED_VALUE"""),"Beefood - Sistema Para Restaurantes")</f>
        <v>Beefood - Sistema Para Restaurantes</v>
      </c>
      <c r="V4703" s="33">
        <f>IFERROR(__xludf.DUMMYFUNCTION("""COMPUTED_VALUE"""),0.5)</f>
        <v>0.5</v>
      </c>
      <c r="W4703" s="4" t="str">
        <f>IFERROR(__xludf.DUMMYFUNCTION("""COMPUTED_VALUE"""),"Beefood - Sistema Para Restaurantes")</f>
        <v>Beefood - Sistema Para Restaurantes</v>
      </c>
      <c r="X4703" s="33">
        <f>IFERROR(__xludf.DUMMYFUNCTION("""COMPUTED_VALUE"""),0.5)</f>
        <v>0.5</v>
      </c>
    </row>
    <row r="4704">
      <c r="K4704" s="4" t="str">
        <f>IFERROR(__xludf.DUMMYFUNCTION("""COMPUTED_VALUE"""),"CHURRAS DO DIENIN")</f>
        <v>CHURRAS DO DIENIN</v>
      </c>
      <c r="L4704" s="32">
        <f>IFERROR(__xludf.DUMMYFUNCTION("""COMPUTED_VALUE"""),2.0)</f>
        <v>2</v>
      </c>
      <c r="M4704" s="4" t="str">
        <f>IFERROR(__xludf.DUMMYFUNCTION("""COMPUTED_VALUE"""),"Clickatende Tecnologia Ltda")</f>
        <v>Clickatende Tecnologia Ltda</v>
      </c>
      <c r="N4704" s="33">
        <f>IFERROR(__xludf.DUMMYFUNCTION("""COMPUTED_VALUE"""),0.5)</f>
        <v>0.5</v>
      </c>
      <c r="O4704" s="4" t="str">
        <f>IFERROR(__xludf.DUMMYFUNCTION("""COMPUTED_VALUE"""),"null")</f>
        <v>null</v>
      </c>
      <c r="P4704" s="33">
        <f>IFERROR(__xludf.DUMMYFUNCTION("""COMPUTED_VALUE"""),0.5)</f>
        <v>0.5</v>
      </c>
      <c r="Q4704" s="4" t="str">
        <f>IFERROR(__xludf.DUMMYFUNCTION("""COMPUTED_VALUE"""),"null")</f>
        <v>null</v>
      </c>
      <c r="R4704" s="33">
        <f>IFERROR(__xludf.DUMMYFUNCTION("""COMPUTED_VALUE"""),0.5)</f>
        <v>0.5</v>
      </c>
      <c r="S4704" s="4" t="str">
        <f>IFERROR(__xludf.DUMMYFUNCTION("""COMPUTED_VALUE"""),"null")</f>
        <v>null</v>
      </c>
      <c r="T4704" s="33">
        <f>IFERROR(__xludf.DUMMYFUNCTION("""COMPUTED_VALUE"""),0.5)</f>
        <v>0.5</v>
      </c>
      <c r="U4704" s="4" t="str">
        <f>IFERROR(__xludf.DUMMYFUNCTION("""COMPUTED_VALUE"""),"null")</f>
        <v>null</v>
      </c>
      <c r="V4704" s="33">
        <f>IFERROR(__xludf.DUMMYFUNCTION("""COMPUTED_VALUE"""),1.0)</f>
        <v>1</v>
      </c>
      <c r="W4704" s="4" t="str">
        <f>IFERROR(__xludf.DUMMYFUNCTION("""COMPUTED_VALUE"""),"null")</f>
        <v>null</v>
      </c>
      <c r="X4704" s="33">
        <f>IFERROR(__xludf.DUMMYFUNCTION("""COMPUTED_VALUE"""),0.5)</f>
        <v>0.5</v>
      </c>
    </row>
    <row r="4705">
      <c r="K4705" s="4" t="str">
        <f>IFERROR(__xludf.DUMMYFUNCTION("""COMPUTED_VALUE"""),"DRINK STORE ITAIPU")</f>
        <v>DRINK STORE ITAIPU</v>
      </c>
      <c r="L4705" s="32">
        <f>IFERROR(__xludf.DUMMYFUNCTION("""COMPUTED_VALUE"""),2.0)</f>
        <v>2</v>
      </c>
      <c r="M4705" s="4" t="str">
        <f>IFERROR(__xludf.DUMMYFUNCTION("""COMPUTED_VALUE"""),"Olaclick")</f>
        <v>Olaclick</v>
      </c>
      <c r="N4705" s="33">
        <f>IFERROR(__xludf.DUMMYFUNCTION("""COMPUTED_VALUE"""),0.5)</f>
        <v>0.5</v>
      </c>
      <c r="O4705" s="4" t="str">
        <f>IFERROR(__xludf.DUMMYFUNCTION("""COMPUTED_VALUE"""),"Olaclick")</f>
        <v>Olaclick</v>
      </c>
      <c r="P4705" s="33">
        <f>IFERROR(__xludf.DUMMYFUNCTION("""COMPUTED_VALUE"""),0.5)</f>
        <v>0.5</v>
      </c>
      <c r="Q4705" s="4" t="str">
        <f>IFERROR(__xludf.DUMMYFUNCTION("""COMPUTED_VALUE"""),"Olaclick")</f>
        <v>Olaclick</v>
      </c>
      <c r="R4705" s="33">
        <f>IFERROR(__xludf.DUMMYFUNCTION("""COMPUTED_VALUE"""),0.5)</f>
        <v>0.5</v>
      </c>
      <c r="S4705" s="4" t="str">
        <f>IFERROR(__xludf.DUMMYFUNCTION("""COMPUTED_VALUE"""),"Olaclick")</f>
        <v>Olaclick</v>
      </c>
      <c r="T4705" s="33">
        <f>IFERROR(__xludf.DUMMYFUNCTION("""COMPUTED_VALUE"""),0.5)</f>
        <v>0.5</v>
      </c>
      <c r="U4705" s="4" t="str">
        <f>IFERROR(__xludf.DUMMYFUNCTION("""COMPUTED_VALUE"""),"Olaclick")</f>
        <v>Olaclick</v>
      </c>
      <c r="V4705" s="33">
        <f>IFERROR(__xludf.DUMMYFUNCTION("""COMPUTED_VALUE"""),0.5)</f>
        <v>0.5</v>
      </c>
      <c r="W4705" s="4" t="str">
        <f>IFERROR(__xludf.DUMMYFUNCTION("""COMPUTED_VALUE"""),"Olaclick")</f>
        <v>Olaclick</v>
      </c>
      <c r="X4705" s="33">
        <f>IFERROR(__xludf.DUMMYFUNCTION("""COMPUTED_VALUE"""),0.5)</f>
        <v>0.5</v>
      </c>
    </row>
    <row r="4706">
      <c r="K4706" s="4" t="str">
        <f>IFERROR(__xludf.DUMMYFUNCTION("""COMPUTED_VALUE"""),"RED BURGUER")</f>
        <v>RED BURGUER</v>
      </c>
      <c r="L4706" s="32">
        <f>IFERROR(__xludf.DUMMYFUNCTION("""COMPUTED_VALUE"""),2.0)</f>
        <v>2</v>
      </c>
      <c r="M4706" s="4" t="str">
        <f>IFERROR(__xludf.DUMMYFUNCTION("""COMPUTED_VALUE"""),"Wps Sistemas Ltda")</f>
        <v>Wps Sistemas Ltda</v>
      </c>
      <c r="N4706" s="33">
        <f>IFERROR(__xludf.DUMMYFUNCTION("""COMPUTED_VALUE"""),0.5)</f>
        <v>0.5</v>
      </c>
      <c r="O4706" s="4" t="str">
        <f>IFERROR(__xludf.DUMMYFUNCTION("""COMPUTED_VALUE"""),"null")</f>
        <v>null</v>
      </c>
      <c r="P4706" s="33">
        <f>IFERROR(__xludf.DUMMYFUNCTION("""COMPUTED_VALUE"""),0.5)</f>
        <v>0.5</v>
      </c>
      <c r="Q4706" s="4" t="str">
        <f>IFERROR(__xludf.DUMMYFUNCTION("""COMPUTED_VALUE"""),"null")</f>
        <v>null</v>
      </c>
      <c r="R4706" s="33">
        <f>IFERROR(__xludf.DUMMYFUNCTION("""COMPUTED_VALUE"""),0.5)</f>
        <v>0.5</v>
      </c>
      <c r="S4706" s="4" t="str">
        <f>IFERROR(__xludf.DUMMYFUNCTION("""COMPUTED_VALUE"""),"null")</f>
        <v>null</v>
      </c>
      <c r="T4706" s="33">
        <f>IFERROR(__xludf.DUMMYFUNCTION("""COMPUTED_VALUE"""),0.5)</f>
        <v>0.5</v>
      </c>
      <c r="U4706" s="4" t="str">
        <f>IFERROR(__xludf.DUMMYFUNCTION("""COMPUTED_VALUE"""),"null")</f>
        <v>null</v>
      </c>
      <c r="V4706" s="33">
        <f>IFERROR(__xludf.DUMMYFUNCTION("""COMPUTED_VALUE"""),0.5)</f>
        <v>0.5</v>
      </c>
      <c r="W4706" s="4" t="str">
        <f>IFERROR(__xludf.DUMMYFUNCTION("""COMPUTED_VALUE"""),"null")</f>
        <v>null</v>
      </c>
      <c r="X4706" s="33">
        <f>IFERROR(__xludf.DUMMYFUNCTION("""COMPUTED_VALUE"""),0.5)</f>
        <v>0.5</v>
      </c>
    </row>
    <row r="4707">
      <c r="K4707" s="4" t="str">
        <f>IFERROR(__xludf.DUMMYFUNCTION("""COMPUTED_VALUE"""),"CASA DO TAMBAQUI")</f>
        <v>CASA DO TAMBAQUI</v>
      </c>
      <c r="L4707" s="32">
        <f>IFERROR(__xludf.DUMMYFUNCTION("""COMPUTED_VALUE"""),2.0)</f>
        <v>2</v>
      </c>
      <c r="M4707" s="4" t="str">
        <f>IFERROR(__xludf.DUMMYFUNCTION("""COMPUTED_VALUE"""),"null")</f>
        <v>null</v>
      </c>
      <c r="N4707" s="33">
        <f>IFERROR(__xludf.DUMMYFUNCTION("""COMPUTED_VALUE"""),0.5)</f>
        <v>0.5</v>
      </c>
      <c r="O4707" s="4" t="str">
        <f>IFERROR(__xludf.DUMMYFUNCTION("""COMPUTED_VALUE"""),"Vekttor")</f>
        <v>Vekttor</v>
      </c>
      <c r="P4707" s="33">
        <f>IFERROR(__xludf.DUMMYFUNCTION("""COMPUTED_VALUE"""),1.0)</f>
        <v>1</v>
      </c>
      <c r="Q4707" s="4" t="str">
        <f>IFERROR(__xludf.DUMMYFUNCTION("""COMPUTED_VALUE"""),"null")</f>
        <v>null</v>
      </c>
      <c r="R4707" s="33">
        <f>IFERROR(__xludf.DUMMYFUNCTION("""COMPUTED_VALUE"""),0.5)</f>
        <v>0.5</v>
      </c>
      <c r="S4707" s="4" t="str">
        <f>IFERROR(__xludf.DUMMYFUNCTION("""COMPUTED_VALUE"""),"null")</f>
        <v>null</v>
      </c>
      <c r="T4707" s="33">
        <f>IFERROR(__xludf.DUMMYFUNCTION("""COMPUTED_VALUE"""),0.5)</f>
        <v>0.5</v>
      </c>
      <c r="U4707" s="4" t="str">
        <f>IFERROR(__xludf.DUMMYFUNCTION("""COMPUTED_VALUE"""),"null")</f>
        <v>null</v>
      </c>
      <c r="V4707" s="33">
        <f>IFERROR(__xludf.DUMMYFUNCTION("""COMPUTED_VALUE"""),0.5)</f>
        <v>0.5</v>
      </c>
      <c r="W4707" s="4" t="str">
        <f>IFERROR(__xludf.DUMMYFUNCTION("""COMPUTED_VALUE"""),"Vekttor")</f>
        <v>Vekttor</v>
      </c>
      <c r="X4707" s="33">
        <f>IFERROR(__xludf.DUMMYFUNCTION("""COMPUTED_VALUE"""),1.0)</f>
        <v>1</v>
      </c>
    </row>
    <row r="4708">
      <c r="K4708" s="4" t="str">
        <f>IFERROR(__xludf.DUMMYFUNCTION("""COMPUTED_VALUE"""),"ROTA 66 BURGER")</f>
        <v>ROTA 66 BURGER</v>
      </c>
      <c r="L4708" s="32">
        <f>IFERROR(__xludf.DUMMYFUNCTION("""COMPUTED_VALUE"""),2.0)</f>
        <v>2</v>
      </c>
      <c r="M4708" s="4" t="str">
        <f>IFERROR(__xludf.DUMMYFUNCTION("""COMPUTED_VALUE"""),"null")</f>
        <v>null</v>
      </c>
      <c r="N4708" s="33">
        <f>IFERROR(__xludf.DUMMYFUNCTION("""COMPUTED_VALUE"""),0.5)</f>
        <v>0.5</v>
      </c>
      <c r="O4708" s="4" t="str">
        <f>IFERROR(__xludf.DUMMYFUNCTION("""COMPUTED_VALUE"""),"Eclética Tecnologia")</f>
        <v>Eclética Tecnologia</v>
      </c>
      <c r="P4708" s="33">
        <f>IFERROR(__xludf.DUMMYFUNCTION("""COMPUTED_VALUE"""),1.0)</f>
        <v>1</v>
      </c>
      <c r="Q4708" s="4" t="str">
        <f>IFERROR(__xludf.DUMMYFUNCTION("""COMPUTED_VALUE"""),"Eclética Tecnologia")</f>
        <v>Eclética Tecnologia</v>
      </c>
      <c r="R4708" s="33">
        <f>IFERROR(__xludf.DUMMYFUNCTION("""COMPUTED_VALUE"""),1.0)</f>
        <v>1</v>
      </c>
      <c r="S4708" s="4" t="str">
        <f>IFERROR(__xludf.DUMMYFUNCTION("""COMPUTED_VALUE"""),"null")</f>
        <v>null</v>
      </c>
      <c r="T4708" s="33">
        <f>IFERROR(__xludf.DUMMYFUNCTION("""COMPUTED_VALUE"""),0.5)</f>
        <v>0.5</v>
      </c>
      <c r="U4708" s="4" t="str">
        <f>IFERROR(__xludf.DUMMYFUNCTION("""COMPUTED_VALUE"""),"Eclética Tecnologia")</f>
        <v>Eclética Tecnologia</v>
      </c>
      <c r="V4708" s="33">
        <f>IFERROR(__xludf.DUMMYFUNCTION("""COMPUTED_VALUE"""),1.0)</f>
        <v>1</v>
      </c>
      <c r="W4708" s="4" t="str">
        <f>IFERROR(__xludf.DUMMYFUNCTION("""COMPUTED_VALUE"""),"Eclética Tecnologia")</f>
        <v>Eclética Tecnologia</v>
      </c>
      <c r="X4708" s="33">
        <f>IFERROR(__xludf.DUMMYFUNCTION("""COMPUTED_VALUE"""),1.0)</f>
        <v>1</v>
      </c>
    </row>
    <row r="4709">
      <c r="K4709" s="4" t="str">
        <f>IFERROR(__xludf.DUMMYFUNCTION("""COMPUTED_VALUE"""),"PIZZARIA SAO JOAO BATISTA")</f>
        <v>PIZZARIA SAO JOAO BATISTA</v>
      </c>
      <c r="L4709" s="32">
        <f>IFERROR(__xludf.DUMMYFUNCTION("""COMPUTED_VALUE"""),2.0)</f>
        <v>2</v>
      </c>
      <c r="M4709" s="4" t="str">
        <f>IFERROR(__xludf.DUMMYFUNCTION("""COMPUTED_VALUE"""),"Anota Ai Solucoes Digitais S/a")</f>
        <v>Anota Ai Solucoes Digitais S/a</v>
      </c>
      <c r="N4709" s="33">
        <f>IFERROR(__xludf.DUMMYFUNCTION("""COMPUTED_VALUE"""),0.5)</f>
        <v>0.5</v>
      </c>
      <c r="O4709" s="4" t="str">
        <f>IFERROR(__xludf.DUMMYFUNCTION("""COMPUTED_VALUE"""),"Anota Ai Solucoes Digitais S/a")</f>
        <v>Anota Ai Solucoes Digitais S/a</v>
      </c>
      <c r="P4709" s="33">
        <f>IFERROR(__xludf.DUMMYFUNCTION("""COMPUTED_VALUE"""),0.5)</f>
        <v>0.5</v>
      </c>
      <c r="Q4709" s="4" t="str">
        <f>IFERROR(__xludf.DUMMYFUNCTION("""COMPUTED_VALUE"""),"Anota Ai Solucoes Digitais S/a")</f>
        <v>Anota Ai Solucoes Digitais S/a</v>
      </c>
      <c r="R4709" s="33">
        <f>IFERROR(__xludf.DUMMYFUNCTION("""COMPUTED_VALUE"""),0.5)</f>
        <v>0.5</v>
      </c>
      <c r="S4709" s="4" t="str">
        <f>IFERROR(__xludf.DUMMYFUNCTION("""COMPUTED_VALUE"""),"Anota Ai Solucoes Digitais S/a")</f>
        <v>Anota Ai Solucoes Digitais S/a</v>
      </c>
      <c r="T4709" s="33">
        <f>IFERROR(__xludf.DUMMYFUNCTION("""COMPUTED_VALUE"""),0.5)</f>
        <v>0.5</v>
      </c>
      <c r="U4709" s="4" t="str">
        <f>IFERROR(__xludf.DUMMYFUNCTION("""COMPUTED_VALUE"""),"Anota Ai Solucoes Digitais S/a")</f>
        <v>Anota Ai Solucoes Digitais S/a</v>
      </c>
      <c r="V4709" s="33">
        <f>IFERROR(__xludf.DUMMYFUNCTION("""COMPUTED_VALUE"""),0.5)</f>
        <v>0.5</v>
      </c>
      <c r="W4709" s="4" t="str">
        <f>IFERROR(__xludf.DUMMYFUNCTION("""COMPUTED_VALUE"""),"Anota Ai Solucoes Digitais S/a")</f>
        <v>Anota Ai Solucoes Digitais S/a</v>
      </c>
      <c r="X4709" s="33">
        <f>IFERROR(__xludf.DUMMYFUNCTION("""COMPUTED_VALUE"""),0.5)</f>
        <v>0.5</v>
      </c>
    </row>
    <row r="4710">
      <c r="K4710" s="4" t="str">
        <f>IFERROR(__xludf.DUMMYFUNCTION("""COMPUTED_VALUE"""),"BOB LANCHES E PORCOES")</f>
        <v>BOB LANCHES E PORCOES</v>
      </c>
      <c r="L4710" s="32">
        <f>IFERROR(__xludf.DUMMYFUNCTION("""COMPUTED_VALUE"""),2.0)</f>
        <v>2</v>
      </c>
      <c r="M4710" s="4" t="str">
        <f>IFERROR(__xludf.DUMMYFUNCTION("""COMPUTED_VALUE"""),"Anota Ai Solucoes Digitais S/a")</f>
        <v>Anota Ai Solucoes Digitais S/a</v>
      </c>
      <c r="N4710" s="33">
        <f>IFERROR(__xludf.DUMMYFUNCTION("""COMPUTED_VALUE"""),0.5)</f>
        <v>0.5</v>
      </c>
      <c r="O4710" s="4" t="str">
        <f>IFERROR(__xludf.DUMMYFUNCTION("""COMPUTED_VALUE"""),"Anota Ai Solucoes Digitais S/a")</f>
        <v>Anota Ai Solucoes Digitais S/a</v>
      </c>
      <c r="P4710" s="33">
        <f>IFERROR(__xludf.DUMMYFUNCTION("""COMPUTED_VALUE"""),0.5)</f>
        <v>0.5</v>
      </c>
      <c r="Q4710" s="4" t="str">
        <f>IFERROR(__xludf.DUMMYFUNCTION("""COMPUTED_VALUE"""),"Anota Ai Solucoes Digitais S/a")</f>
        <v>Anota Ai Solucoes Digitais S/a</v>
      </c>
      <c r="R4710" s="33">
        <f>IFERROR(__xludf.DUMMYFUNCTION("""COMPUTED_VALUE"""),0.5)</f>
        <v>0.5</v>
      </c>
      <c r="S4710" s="4" t="str">
        <f>IFERROR(__xludf.DUMMYFUNCTION("""COMPUTED_VALUE"""),"Anota Ai Solucoes Digitais S/a")</f>
        <v>Anota Ai Solucoes Digitais S/a</v>
      </c>
      <c r="T4710" s="33">
        <f>IFERROR(__xludf.DUMMYFUNCTION("""COMPUTED_VALUE"""),0.5)</f>
        <v>0.5</v>
      </c>
      <c r="U4710" s="4" t="str">
        <f>IFERROR(__xludf.DUMMYFUNCTION("""COMPUTED_VALUE"""),"Anota Ai Solucoes Digitais S/a")</f>
        <v>Anota Ai Solucoes Digitais S/a</v>
      </c>
      <c r="V4710" s="33">
        <f>IFERROR(__xludf.DUMMYFUNCTION("""COMPUTED_VALUE"""),0.5)</f>
        <v>0.5</v>
      </c>
      <c r="W4710" s="4" t="str">
        <f>IFERROR(__xludf.DUMMYFUNCTION("""COMPUTED_VALUE"""),"Anota Ai Solucoes Digitais S/a")</f>
        <v>Anota Ai Solucoes Digitais S/a</v>
      </c>
      <c r="X4710" s="33">
        <f>IFERROR(__xludf.DUMMYFUNCTION("""COMPUTED_VALUE"""),1.0)</f>
        <v>1</v>
      </c>
    </row>
    <row r="4711">
      <c r="K4711" s="4" t="str">
        <f>IFERROR(__xludf.DUMMYFUNCTION("""COMPUTED_VALUE"""),"PIZZARIA SUPREME")</f>
        <v>PIZZARIA SUPREME</v>
      </c>
      <c r="L4711" s="32">
        <f>IFERROR(__xludf.DUMMYFUNCTION("""COMPUTED_VALUE"""),2.0)</f>
        <v>2</v>
      </c>
      <c r="M4711" s="4" t="str">
        <f>IFERROR(__xludf.DUMMYFUNCTION("""COMPUTED_VALUE"""),"Crm Ti Ltda.")</f>
        <v>Crm Ti Ltda.</v>
      </c>
      <c r="N4711" s="33">
        <f>IFERROR(__xludf.DUMMYFUNCTION("""COMPUTED_VALUE"""),0.5)</f>
        <v>0.5</v>
      </c>
      <c r="O4711" s="4" t="str">
        <f>IFERROR(__xludf.DUMMYFUNCTION("""COMPUTED_VALUE"""),"Crm Ti Ltda.")</f>
        <v>Crm Ti Ltda.</v>
      </c>
      <c r="P4711" s="33">
        <f>IFERROR(__xludf.DUMMYFUNCTION("""COMPUTED_VALUE"""),0.5)</f>
        <v>0.5</v>
      </c>
      <c r="Q4711" s="4" t="str">
        <f>IFERROR(__xludf.DUMMYFUNCTION("""COMPUTED_VALUE"""),"Crm Ti Ltda.")</f>
        <v>Crm Ti Ltda.</v>
      </c>
      <c r="R4711" s="33">
        <f>IFERROR(__xludf.DUMMYFUNCTION("""COMPUTED_VALUE"""),0.5)</f>
        <v>0.5</v>
      </c>
      <c r="S4711" s="4" t="str">
        <f>IFERROR(__xludf.DUMMYFUNCTION("""COMPUTED_VALUE"""),"null")</f>
        <v>null</v>
      </c>
      <c r="T4711" s="33">
        <f>IFERROR(__xludf.DUMMYFUNCTION("""COMPUTED_VALUE"""),0.5)</f>
        <v>0.5</v>
      </c>
      <c r="U4711" s="4" t="str">
        <f>IFERROR(__xludf.DUMMYFUNCTION("""COMPUTED_VALUE"""),"null")</f>
        <v>null</v>
      </c>
      <c r="V4711" s="33">
        <f>IFERROR(__xludf.DUMMYFUNCTION("""COMPUTED_VALUE"""),0.5)</f>
        <v>0.5</v>
      </c>
      <c r="W4711" s="4" t="str">
        <f>IFERROR(__xludf.DUMMYFUNCTION("""COMPUTED_VALUE"""),"Crm Ti Ltda.")</f>
        <v>Crm Ti Ltda.</v>
      </c>
      <c r="X4711" s="33">
        <f>IFERROR(__xludf.DUMMYFUNCTION("""COMPUTED_VALUE"""),0.5)</f>
        <v>0.5</v>
      </c>
    </row>
    <row r="4712">
      <c r="K4712" s="4" t="str">
        <f>IFERROR(__xludf.DUMMYFUNCTION("""COMPUTED_VALUE"""),"RETRO BURGUER")</f>
        <v>RETRO BURGUER</v>
      </c>
      <c r="L4712" s="32">
        <f>IFERROR(__xludf.DUMMYFUNCTION("""COMPUTED_VALUE"""),2.0)</f>
        <v>2</v>
      </c>
      <c r="M4712" s="4" t="str">
        <f>IFERROR(__xludf.DUMMYFUNCTION("""COMPUTED_VALUE"""),"Softsa Sistemas De Informação Ltda")</f>
        <v>Softsa Sistemas De Informação Ltda</v>
      </c>
      <c r="N4712" s="33">
        <f>IFERROR(__xludf.DUMMYFUNCTION("""COMPUTED_VALUE"""),0.5)</f>
        <v>0.5</v>
      </c>
      <c r="O4712" s="4" t="str">
        <f>IFERROR(__xludf.DUMMYFUNCTION("""COMPUTED_VALUE"""),"Softsa Sistemas De Informação Ltda")</f>
        <v>Softsa Sistemas De Informação Ltda</v>
      </c>
      <c r="P4712" s="33">
        <f>IFERROR(__xludf.DUMMYFUNCTION("""COMPUTED_VALUE"""),0.5)</f>
        <v>0.5</v>
      </c>
      <c r="Q4712" s="4" t="str">
        <f>IFERROR(__xludf.DUMMYFUNCTION("""COMPUTED_VALUE"""),"Softsa Sistemas De Informação Ltda")</f>
        <v>Softsa Sistemas De Informação Ltda</v>
      </c>
      <c r="R4712" s="33">
        <f>IFERROR(__xludf.DUMMYFUNCTION("""COMPUTED_VALUE"""),0.5)</f>
        <v>0.5</v>
      </c>
      <c r="S4712" s="4" t="str">
        <f>IFERROR(__xludf.DUMMYFUNCTION("""COMPUTED_VALUE"""),"Softsa Sistemas De Informação Ltda")</f>
        <v>Softsa Sistemas De Informação Ltda</v>
      </c>
      <c r="T4712" s="33">
        <f>IFERROR(__xludf.DUMMYFUNCTION("""COMPUTED_VALUE"""),0.5)</f>
        <v>0.5</v>
      </c>
      <c r="U4712" s="4" t="str">
        <f>IFERROR(__xludf.DUMMYFUNCTION("""COMPUTED_VALUE"""),"Softsa Sistemas De Informação Ltda")</f>
        <v>Softsa Sistemas De Informação Ltda</v>
      </c>
      <c r="V4712" s="33">
        <f>IFERROR(__xludf.DUMMYFUNCTION("""COMPUTED_VALUE"""),0.5)</f>
        <v>0.5</v>
      </c>
      <c r="W4712" s="4" t="str">
        <f>IFERROR(__xludf.DUMMYFUNCTION("""COMPUTED_VALUE"""),"Softsa Sistemas De Informação Ltda")</f>
        <v>Softsa Sistemas De Informação Ltda</v>
      </c>
      <c r="X4712" s="33">
        <f>IFERROR(__xludf.DUMMYFUNCTION("""COMPUTED_VALUE"""),0.5)</f>
        <v>0.5</v>
      </c>
    </row>
    <row r="4713">
      <c r="K4713" s="4" t="str">
        <f>IFERROR(__xludf.DUMMYFUNCTION("""COMPUTED_VALUE"""),"THE BURGER - HAMBURGUERIA ARTESANAL")</f>
        <v>THE BURGER - HAMBURGUERIA ARTESANAL</v>
      </c>
      <c r="L4713" s="32">
        <f>IFERROR(__xludf.DUMMYFUNCTION("""COMPUTED_VALUE"""),2.0)</f>
        <v>2</v>
      </c>
      <c r="M4713" s="4" t="str">
        <f>IFERROR(__xludf.DUMMYFUNCTION("""COMPUTED_VALUE"""),"Agilizup Solucoes Ltda")</f>
        <v>Agilizup Solucoes Ltda</v>
      </c>
      <c r="N4713" s="33">
        <f>IFERROR(__xludf.DUMMYFUNCTION("""COMPUTED_VALUE"""),0.5)</f>
        <v>0.5</v>
      </c>
      <c r="O4713" s="4" t="str">
        <f>IFERROR(__xludf.DUMMYFUNCTION("""COMPUTED_VALUE"""),"Agilizup Solucoes Ltda")</f>
        <v>Agilizup Solucoes Ltda</v>
      </c>
      <c r="P4713" s="33">
        <f>IFERROR(__xludf.DUMMYFUNCTION("""COMPUTED_VALUE"""),0.5)</f>
        <v>0.5</v>
      </c>
      <c r="Q4713" s="4" t="str">
        <f>IFERROR(__xludf.DUMMYFUNCTION("""COMPUTED_VALUE"""),"Agilizup Solucoes Ltda")</f>
        <v>Agilizup Solucoes Ltda</v>
      </c>
      <c r="R4713" s="33">
        <f>IFERROR(__xludf.DUMMYFUNCTION("""COMPUTED_VALUE"""),0.5)</f>
        <v>0.5</v>
      </c>
      <c r="S4713" s="4" t="str">
        <f>IFERROR(__xludf.DUMMYFUNCTION("""COMPUTED_VALUE"""),"Agilizup Solucoes Ltda")</f>
        <v>Agilizup Solucoes Ltda</v>
      </c>
      <c r="T4713" s="33">
        <f>IFERROR(__xludf.DUMMYFUNCTION("""COMPUTED_VALUE"""),0.5)</f>
        <v>0.5</v>
      </c>
      <c r="U4713" s="4" t="str">
        <f>IFERROR(__xludf.DUMMYFUNCTION("""COMPUTED_VALUE"""),"Agilizup Solucoes Ltda")</f>
        <v>Agilizup Solucoes Ltda</v>
      </c>
      <c r="V4713" s="33">
        <f>IFERROR(__xludf.DUMMYFUNCTION("""COMPUTED_VALUE"""),0.5)</f>
        <v>0.5</v>
      </c>
      <c r="W4713" s="4" t="str">
        <f>IFERROR(__xludf.DUMMYFUNCTION("""COMPUTED_VALUE"""),"Agilizup Solucoes Ltda")</f>
        <v>Agilizup Solucoes Ltda</v>
      </c>
      <c r="X4713" s="33">
        <f>IFERROR(__xludf.DUMMYFUNCTION("""COMPUTED_VALUE"""),0.5)</f>
        <v>0.5</v>
      </c>
    </row>
    <row r="4714">
      <c r="K4714" s="4" t="str">
        <f>IFERROR(__xludf.DUMMYFUNCTION("""COMPUTED_VALUE"""),"MARMITEX EUROPA DELIVERY")</f>
        <v>MARMITEX EUROPA DELIVERY</v>
      </c>
      <c r="L4714" s="32">
        <f>IFERROR(__xludf.DUMMYFUNCTION("""COMPUTED_VALUE"""),2.0)</f>
        <v>2</v>
      </c>
      <c r="M4714" s="4" t="str">
        <f>IFERROR(__xludf.DUMMYFUNCTION("""COMPUTED_VALUE"""),"null")</f>
        <v>null</v>
      </c>
      <c r="N4714" s="33">
        <f>IFERROR(__xludf.DUMMYFUNCTION("""COMPUTED_VALUE"""),1.0)</f>
        <v>1</v>
      </c>
      <c r="O4714" s="4" t="str">
        <f>IFERROR(__xludf.DUMMYFUNCTION("""COMPUTED_VALUE"""),"Anota Ai Solucoes Digitais S/a")</f>
        <v>Anota Ai Solucoes Digitais S/a</v>
      </c>
      <c r="P4714" s="33">
        <f>IFERROR(__xludf.DUMMYFUNCTION("""COMPUTED_VALUE"""),0.5)</f>
        <v>0.5</v>
      </c>
      <c r="Q4714" s="4" t="str">
        <f>IFERROR(__xludf.DUMMYFUNCTION("""COMPUTED_VALUE"""),"Anota Ai Solucoes Digitais S/a")</f>
        <v>Anota Ai Solucoes Digitais S/a</v>
      </c>
      <c r="R4714" s="33">
        <f>IFERROR(__xludf.DUMMYFUNCTION("""COMPUTED_VALUE"""),0.5)</f>
        <v>0.5</v>
      </c>
      <c r="S4714" s="4" t="str">
        <f>IFERROR(__xludf.DUMMYFUNCTION("""COMPUTED_VALUE"""),"Anota Ai Solucoes Digitais S/a")</f>
        <v>Anota Ai Solucoes Digitais S/a</v>
      </c>
      <c r="T4714" s="33">
        <f>IFERROR(__xludf.DUMMYFUNCTION("""COMPUTED_VALUE"""),0.5)</f>
        <v>0.5</v>
      </c>
      <c r="U4714" s="4" t="str">
        <f>IFERROR(__xludf.DUMMYFUNCTION("""COMPUTED_VALUE"""),"null")</f>
        <v>null</v>
      </c>
      <c r="V4714" s="33">
        <f>IFERROR(__xludf.DUMMYFUNCTION("""COMPUTED_VALUE"""),1.0)</f>
        <v>1</v>
      </c>
      <c r="W4714" s="4" t="str">
        <f>IFERROR(__xludf.DUMMYFUNCTION("""COMPUTED_VALUE"""),"null")</f>
        <v>null</v>
      </c>
      <c r="X4714" s="33">
        <f>IFERROR(__xludf.DUMMYFUNCTION("""COMPUTED_VALUE"""),0.5)</f>
        <v>0.5</v>
      </c>
    </row>
    <row r="4715">
      <c r="K4715" s="4" t="str">
        <f>IFERROR(__xludf.DUMMYFUNCTION("""COMPUTED_VALUE"""),"EU AMO PASTEL")</f>
        <v>EU AMO PASTEL</v>
      </c>
      <c r="L4715" s="32">
        <f>IFERROR(__xludf.DUMMYFUNCTION("""COMPUTED_VALUE"""),2.0)</f>
        <v>2</v>
      </c>
      <c r="M4715" s="4" t="str">
        <f>IFERROR(__xludf.DUMMYFUNCTION("""COMPUTED_VALUE"""),"Saipos Serviços De Software")</f>
        <v>Saipos Serviços De Software</v>
      </c>
      <c r="N4715" s="33">
        <f>IFERROR(__xludf.DUMMYFUNCTION("""COMPUTED_VALUE"""),0.5)</f>
        <v>0.5</v>
      </c>
      <c r="O4715" s="4" t="str">
        <f>IFERROR(__xludf.DUMMYFUNCTION("""COMPUTED_VALUE"""),"Saipos Serviços De Software")</f>
        <v>Saipos Serviços De Software</v>
      </c>
      <c r="P4715" s="33">
        <f>IFERROR(__xludf.DUMMYFUNCTION("""COMPUTED_VALUE"""),0.5)</f>
        <v>0.5</v>
      </c>
      <c r="Q4715" s="4" t="str">
        <f>IFERROR(__xludf.DUMMYFUNCTION("""COMPUTED_VALUE"""),"Saipos Serviços De Software")</f>
        <v>Saipos Serviços De Software</v>
      </c>
      <c r="R4715" s="33">
        <f>IFERROR(__xludf.DUMMYFUNCTION("""COMPUTED_VALUE"""),0.5)</f>
        <v>0.5</v>
      </c>
      <c r="S4715" s="4" t="str">
        <f>IFERROR(__xludf.DUMMYFUNCTION("""COMPUTED_VALUE"""),"Saipos Serviços De Software")</f>
        <v>Saipos Serviços De Software</v>
      </c>
      <c r="T4715" s="33">
        <f>IFERROR(__xludf.DUMMYFUNCTION("""COMPUTED_VALUE"""),0.5)</f>
        <v>0.5</v>
      </c>
      <c r="U4715" s="4" t="str">
        <f>IFERROR(__xludf.DUMMYFUNCTION("""COMPUTED_VALUE"""),"Saipos Serviços De Software")</f>
        <v>Saipos Serviços De Software</v>
      </c>
      <c r="V4715" s="33">
        <f>IFERROR(__xludf.DUMMYFUNCTION("""COMPUTED_VALUE"""),0.5)</f>
        <v>0.5</v>
      </c>
      <c r="W4715" s="4" t="str">
        <f>IFERROR(__xludf.DUMMYFUNCTION("""COMPUTED_VALUE"""),"Saipos Serviços De Software")</f>
        <v>Saipos Serviços De Software</v>
      </c>
      <c r="X4715" s="33">
        <f>IFERROR(__xludf.DUMMYFUNCTION("""COMPUTED_VALUE"""),0.5)</f>
        <v>0.5</v>
      </c>
    </row>
    <row r="4716">
      <c r="K4716" s="4" t="str">
        <f>IFERROR(__xludf.DUMMYFUNCTION("""COMPUTED_VALUE"""),"PIZZARIA E ESFIHARIA OURO MANIA")</f>
        <v>PIZZARIA E ESFIHARIA OURO MANIA</v>
      </c>
      <c r="L4716" s="32">
        <f>IFERROR(__xludf.DUMMYFUNCTION("""COMPUTED_VALUE"""),2.0)</f>
        <v>2</v>
      </c>
      <c r="M4716" s="4" t="str">
        <f>IFERROR(__xludf.DUMMYFUNCTION("""COMPUTED_VALUE"""),"Anota Ai Solucoes Digitais S/a")</f>
        <v>Anota Ai Solucoes Digitais S/a</v>
      </c>
      <c r="N4716" s="33">
        <f>IFERROR(__xludf.DUMMYFUNCTION("""COMPUTED_VALUE"""),0.5)</f>
        <v>0.5</v>
      </c>
      <c r="O4716" s="4" t="str">
        <f>IFERROR(__xludf.DUMMYFUNCTION("""COMPUTED_VALUE"""),"Anota Ai Solucoes Digitais S/a")</f>
        <v>Anota Ai Solucoes Digitais S/a</v>
      </c>
      <c r="P4716" s="33">
        <f>IFERROR(__xludf.DUMMYFUNCTION("""COMPUTED_VALUE"""),0.5)</f>
        <v>0.5</v>
      </c>
      <c r="Q4716" s="4" t="str">
        <f>IFERROR(__xludf.DUMMYFUNCTION("""COMPUTED_VALUE"""),"Anota Ai Solucoes Digitais S/a")</f>
        <v>Anota Ai Solucoes Digitais S/a</v>
      </c>
      <c r="R4716" s="33">
        <f>IFERROR(__xludf.DUMMYFUNCTION("""COMPUTED_VALUE"""),0.5)</f>
        <v>0.5</v>
      </c>
      <c r="S4716" s="4" t="str">
        <f>IFERROR(__xludf.DUMMYFUNCTION("""COMPUTED_VALUE"""),"Anota Ai Solucoes Digitais S/a")</f>
        <v>Anota Ai Solucoes Digitais S/a</v>
      </c>
      <c r="T4716" s="33">
        <f>IFERROR(__xludf.DUMMYFUNCTION("""COMPUTED_VALUE"""),0.5)</f>
        <v>0.5</v>
      </c>
      <c r="U4716" s="4" t="str">
        <f>IFERROR(__xludf.DUMMYFUNCTION("""COMPUTED_VALUE"""),"Saipos Serviços De Software")</f>
        <v>Saipos Serviços De Software</v>
      </c>
      <c r="V4716" s="33">
        <f>IFERROR(__xludf.DUMMYFUNCTION("""COMPUTED_VALUE"""),0.5)</f>
        <v>0.5</v>
      </c>
      <c r="W4716" s="4" t="str">
        <f>IFERROR(__xludf.DUMMYFUNCTION("""COMPUTED_VALUE"""),"Saipos Serviços De Software")</f>
        <v>Saipos Serviços De Software</v>
      </c>
      <c r="X4716" s="33">
        <f>IFERROR(__xludf.DUMMYFUNCTION("""COMPUTED_VALUE"""),1.0)</f>
        <v>1</v>
      </c>
    </row>
    <row r="4717">
      <c r="K4717" s="4" t="str">
        <f>IFERROR(__xludf.DUMMYFUNCTION("""COMPUTED_VALUE"""),"PADARIA ALIANCA")</f>
        <v>PADARIA ALIANCA</v>
      </c>
      <c r="L4717" s="32">
        <f>IFERROR(__xludf.DUMMYFUNCTION("""COMPUTED_VALUE"""),2.0)</f>
        <v>2</v>
      </c>
      <c r="M4717" s="4" t="str">
        <f>IFERROR(__xludf.DUMMYFUNCTION("""COMPUTED_VALUE"""),"Mapp Sistemas")</f>
        <v>Mapp Sistemas</v>
      </c>
      <c r="N4717" s="33">
        <f>IFERROR(__xludf.DUMMYFUNCTION("""COMPUTED_VALUE"""),0.5)</f>
        <v>0.5</v>
      </c>
      <c r="O4717" s="4" t="str">
        <f>IFERROR(__xludf.DUMMYFUNCTION("""COMPUTED_VALUE"""),"Mapp Sistemas")</f>
        <v>Mapp Sistemas</v>
      </c>
      <c r="P4717" s="33">
        <f>IFERROR(__xludf.DUMMYFUNCTION("""COMPUTED_VALUE"""),0.5)</f>
        <v>0.5</v>
      </c>
      <c r="Q4717" s="4" t="str">
        <f>IFERROR(__xludf.DUMMYFUNCTION("""COMPUTED_VALUE"""),"Mapp Sistemas")</f>
        <v>Mapp Sistemas</v>
      </c>
      <c r="R4717" s="33">
        <f>IFERROR(__xludf.DUMMYFUNCTION("""COMPUTED_VALUE"""),0.5)</f>
        <v>0.5</v>
      </c>
      <c r="S4717" s="4" t="str">
        <f>IFERROR(__xludf.DUMMYFUNCTION("""COMPUTED_VALUE"""),"Mapp Sistemas")</f>
        <v>Mapp Sistemas</v>
      </c>
      <c r="T4717" s="33">
        <f>IFERROR(__xludf.DUMMYFUNCTION("""COMPUTED_VALUE"""),0.5)</f>
        <v>0.5</v>
      </c>
      <c r="U4717" s="4" t="str">
        <f>IFERROR(__xludf.DUMMYFUNCTION("""COMPUTED_VALUE"""),"Mapp Sistemas")</f>
        <v>Mapp Sistemas</v>
      </c>
      <c r="V4717" s="33">
        <f>IFERROR(__xludf.DUMMYFUNCTION("""COMPUTED_VALUE"""),0.5)</f>
        <v>0.5</v>
      </c>
      <c r="W4717" s="4" t="str">
        <f>IFERROR(__xludf.DUMMYFUNCTION("""COMPUTED_VALUE"""),"Mapp Sistemas")</f>
        <v>Mapp Sistemas</v>
      </c>
      <c r="X4717" s="33">
        <f>IFERROR(__xludf.DUMMYFUNCTION("""COMPUTED_VALUE"""),0.5)</f>
        <v>0.5</v>
      </c>
    </row>
    <row r="4718">
      <c r="K4718" s="4" t="str">
        <f>IFERROR(__xludf.DUMMYFUNCTION("""COMPUTED_VALUE"""),"CENTRAL FRANGO FRITO CHICKEN")</f>
        <v>CENTRAL FRANGO FRITO CHICKEN</v>
      </c>
      <c r="L4718" s="32">
        <f>IFERROR(__xludf.DUMMYFUNCTION("""COMPUTED_VALUE"""),2.0)</f>
        <v>2</v>
      </c>
      <c r="M4718" s="4" t="str">
        <f>IFERROR(__xludf.DUMMYFUNCTION("""COMPUTED_VALUE"""),"Mp Multipedidos")</f>
        <v>Mp Multipedidos</v>
      </c>
      <c r="N4718" s="33">
        <f>IFERROR(__xludf.DUMMYFUNCTION("""COMPUTED_VALUE"""),1.0)</f>
        <v>1</v>
      </c>
      <c r="O4718" s="4" t="str">
        <f>IFERROR(__xludf.DUMMYFUNCTION("""COMPUTED_VALUE"""),"Mp Multipedidos")</f>
        <v>Mp Multipedidos</v>
      </c>
      <c r="P4718" s="33">
        <f>IFERROR(__xludf.DUMMYFUNCTION("""COMPUTED_VALUE"""),0.5)</f>
        <v>0.5</v>
      </c>
      <c r="Q4718" s="4" t="str">
        <f>IFERROR(__xludf.DUMMYFUNCTION("""COMPUTED_VALUE"""),"null")</f>
        <v>null</v>
      </c>
      <c r="R4718" s="33">
        <f>IFERROR(__xludf.DUMMYFUNCTION("""COMPUTED_VALUE"""),1.0)</f>
        <v>1</v>
      </c>
      <c r="S4718" s="4" t="str">
        <f>IFERROR(__xludf.DUMMYFUNCTION("""COMPUTED_VALUE"""),"Mp Multipedidos")</f>
        <v>Mp Multipedidos</v>
      </c>
      <c r="T4718" s="33">
        <f>IFERROR(__xludf.DUMMYFUNCTION("""COMPUTED_VALUE"""),0.5)</f>
        <v>0.5</v>
      </c>
      <c r="U4718" s="4" t="str">
        <f>IFERROR(__xludf.DUMMYFUNCTION("""COMPUTED_VALUE"""),"Mp Multipedidos")</f>
        <v>Mp Multipedidos</v>
      </c>
      <c r="V4718" s="33">
        <f>IFERROR(__xludf.DUMMYFUNCTION("""COMPUTED_VALUE"""),0.5)</f>
        <v>0.5</v>
      </c>
      <c r="W4718" s="4" t="str">
        <f>IFERROR(__xludf.DUMMYFUNCTION("""COMPUTED_VALUE"""),"Mp Multipedidos")</f>
        <v>Mp Multipedidos</v>
      </c>
      <c r="X4718" s="33">
        <f>IFERROR(__xludf.DUMMYFUNCTION("""COMPUTED_VALUE"""),0.5)</f>
        <v>0.5</v>
      </c>
    </row>
    <row r="4719">
      <c r="K4719" s="4" t="str">
        <f>IFERROR(__xludf.DUMMYFUNCTION("""COMPUTED_VALUE"""),"PRIMOS PIZZA")</f>
        <v>PRIMOS PIZZA</v>
      </c>
      <c r="L4719" s="32">
        <f>IFERROR(__xludf.DUMMYFUNCTION("""COMPUTED_VALUE"""),2.0)</f>
        <v>2</v>
      </c>
      <c r="M4719" s="4" t="str">
        <f>IFERROR(__xludf.DUMMYFUNCTION("""COMPUTED_VALUE"""),"Anota Ai Solucoes Digitais S/a")</f>
        <v>Anota Ai Solucoes Digitais S/a</v>
      </c>
      <c r="N4719" s="33">
        <f>IFERROR(__xludf.DUMMYFUNCTION("""COMPUTED_VALUE"""),0.5)</f>
        <v>0.5</v>
      </c>
      <c r="O4719" s="4" t="str">
        <f>IFERROR(__xludf.DUMMYFUNCTION("""COMPUTED_VALUE"""),"Anota Ai Solucoes Digitais S/a")</f>
        <v>Anota Ai Solucoes Digitais S/a</v>
      </c>
      <c r="P4719" s="33">
        <f>IFERROR(__xludf.DUMMYFUNCTION("""COMPUTED_VALUE"""),0.5)</f>
        <v>0.5</v>
      </c>
      <c r="Q4719" s="4" t="str">
        <f>IFERROR(__xludf.DUMMYFUNCTION("""COMPUTED_VALUE"""),"Anota Ai Solucoes Digitais S/a")</f>
        <v>Anota Ai Solucoes Digitais S/a</v>
      </c>
      <c r="R4719" s="33">
        <f>IFERROR(__xludf.DUMMYFUNCTION("""COMPUTED_VALUE"""),0.5)</f>
        <v>0.5</v>
      </c>
      <c r="S4719" s="4" t="str">
        <f>IFERROR(__xludf.DUMMYFUNCTION("""COMPUTED_VALUE"""),"Anota Ai Solucoes Digitais S/a")</f>
        <v>Anota Ai Solucoes Digitais S/a</v>
      </c>
      <c r="T4719" s="33">
        <f>IFERROR(__xludf.DUMMYFUNCTION("""COMPUTED_VALUE"""),0.5)</f>
        <v>0.5</v>
      </c>
      <c r="U4719" s="4" t="str">
        <f>IFERROR(__xludf.DUMMYFUNCTION("""COMPUTED_VALUE"""),"Anota Ai Solucoes Digitais S/a")</f>
        <v>Anota Ai Solucoes Digitais S/a</v>
      </c>
      <c r="V4719" s="33">
        <f>IFERROR(__xludf.DUMMYFUNCTION("""COMPUTED_VALUE"""),0.5)</f>
        <v>0.5</v>
      </c>
      <c r="W4719" s="4" t="str">
        <f>IFERROR(__xludf.DUMMYFUNCTION("""COMPUTED_VALUE"""),"Anota Ai Solucoes Digitais S/a")</f>
        <v>Anota Ai Solucoes Digitais S/a</v>
      </c>
      <c r="X4719" s="33">
        <f>IFERROR(__xludf.DUMMYFUNCTION("""COMPUTED_VALUE"""),0.5)</f>
        <v>0.5</v>
      </c>
    </row>
    <row r="4720">
      <c r="K4720" s="4" t="str">
        <f>IFERROR(__xludf.DUMMYFUNCTION("""COMPUTED_VALUE"""),"PADARIA TRES IRMAOS")</f>
        <v>PADARIA TRES IRMAOS</v>
      </c>
      <c r="L4720" s="32">
        <f>IFERROR(__xludf.DUMMYFUNCTION("""COMPUTED_VALUE"""),2.0)</f>
        <v>2</v>
      </c>
      <c r="M4720" s="4" t="str">
        <f>IFERROR(__xludf.DUMMYFUNCTION("""COMPUTED_VALUE"""),"Saraiva Informatica Ltda")</f>
        <v>Saraiva Informatica Ltda</v>
      </c>
      <c r="N4720" s="33">
        <f>IFERROR(__xludf.DUMMYFUNCTION("""COMPUTED_VALUE"""),0.5)</f>
        <v>0.5</v>
      </c>
      <c r="O4720" s="4" t="str">
        <f>IFERROR(__xludf.DUMMYFUNCTION("""COMPUTED_VALUE"""),"Saraiva Informatica Ltda")</f>
        <v>Saraiva Informatica Ltda</v>
      </c>
      <c r="P4720" s="33">
        <f>IFERROR(__xludf.DUMMYFUNCTION("""COMPUTED_VALUE"""),0.5)</f>
        <v>0.5</v>
      </c>
      <c r="Q4720" s="4" t="str">
        <f>IFERROR(__xludf.DUMMYFUNCTION("""COMPUTED_VALUE"""),"Saraiva Informatica Ltda")</f>
        <v>Saraiva Informatica Ltda</v>
      </c>
      <c r="R4720" s="33">
        <f>IFERROR(__xludf.DUMMYFUNCTION("""COMPUTED_VALUE"""),0.5)</f>
        <v>0.5</v>
      </c>
      <c r="S4720" s="4" t="str">
        <f>IFERROR(__xludf.DUMMYFUNCTION("""COMPUTED_VALUE"""),"Saraiva Informatica Ltda")</f>
        <v>Saraiva Informatica Ltda</v>
      </c>
      <c r="T4720" s="33">
        <f>IFERROR(__xludf.DUMMYFUNCTION("""COMPUTED_VALUE"""),0.5)</f>
        <v>0.5</v>
      </c>
      <c r="U4720" s="4" t="str">
        <f>IFERROR(__xludf.DUMMYFUNCTION("""COMPUTED_VALUE"""),"Saraiva Informatica Ltda")</f>
        <v>Saraiva Informatica Ltda</v>
      </c>
      <c r="V4720" s="33">
        <f>IFERROR(__xludf.DUMMYFUNCTION("""COMPUTED_VALUE"""),0.5)</f>
        <v>0.5</v>
      </c>
      <c r="W4720" s="4" t="str">
        <f>IFERROR(__xludf.DUMMYFUNCTION("""COMPUTED_VALUE"""),"Saraiva Informatica Ltda")</f>
        <v>Saraiva Informatica Ltda</v>
      </c>
      <c r="X4720" s="33">
        <f>IFERROR(__xludf.DUMMYFUNCTION("""COMPUTED_VALUE"""),0.5)</f>
        <v>0.5</v>
      </c>
    </row>
    <row r="4721">
      <c r="K4721" s="4" t="str">
        <f>IFERROR(__xludf.DUMMYFUNCTION("""COMPUTED_VALUE"""),"HAMBURGAO NA BRASA")</f>
        <v>HAMBURGAO NA BRASA</v>
      </c>
      <c r="L4721" s="32">
        <f>IFERROR(__xludf.DUMMYFUNCTION("""COMPUTED_VALUE"""),2.0)</f>
        <v>2</v>
      </c>
      <c r="M4721" s="4" t="str">
        <f>IFERROR(__xludf.DUMMYFUNCTION("""COMPUTED_VALUE"""),"Consumer Soluções Em Tecnologia Ltda")</f>
        <v>Consumer Soluções Em Tecnologia Ltda</v>
      </c>
      <c r="N4721" s="33">
        <f>IFERROR(__xludf.DUMMYFUNCTION("""COMPUTED_VALUE"""),0.5)</f>
        <v>0.5</v>
      </c>
      <c r="O4721" s="4" t="str">
        <f>IFERROR(__xludf.DUMMYFUNCTION("""COMPUTED_VALUE"""),"Consumer Soluções Em Tecnologia Ltda")</f>
        <v>Consumer Soluções Em Tecnologia Ltda</v>
      </c>
      <c r="P4721" s="33">
        <f>IFERROR(__xludf.DUMMYFUNCTION("""COMPUTED_VALUE"""),1.0)</f>
        <v>1</v>
      </c>
      <c r="Q4721" s="4" t="str">
        <f>IFERROR(__xludf.DUMMYFUNCTION("""COMPUTED_VALUE"""),"Consumer Soluções Em Tecnologia Ltda")</f>
        <v>Consumer Soluções Em Tecnologia Ltda</v>
      </c>
      <c r="R4721" s="33">
        <f>IFERROR(__xludf.DUMMYFUNCTION("""COMPUTED_VALUE"""),0.5)</f>
        <v>0.5</v>
      </c>
      <c r="S4721" s="4" t="str">
        <f>IFERROR(__xludf.DUMMYFUNCTION("""COMPUTED_VALUE"""),"Consumer Soluções Em Tecnologia Ltda")</f>
        <v>Consumer Soluções Em Tecnologia Ltda</v>
      </c>
      <c r="T4721" s="33">
        <f>IFERROR(__xludf.DUMMYFUNCTION("""COMPUTED_VALUE"""),0.5)</f>
        <v>0.5</v>
      </c>
      <c r="U4721" s="4" t="str">
        <f>IFERROR(__xludf.DUMMYFUNCTION("""COMPUTED_VALUE"""),"null")</f>
        <v>null</v>
      </c>
      <c r="V4721" s="33">
        <f>IFERROR(__xludf.DUMMYFUNCTION("""COMPUTED_VALUE"""),1.0)</f>
        <v>1</v>
      </c>
      <c r="W4721" s="4" t="str">
        <f>IFERROR(__xludf.DUMMYFUNCTION("""COMPUTED_VALUE"""),"Consumer Soluções Em Tecnologia Ltda")</f>
        <v>Consumer Soluções Em Tecnologia Ltda</v>
      </c>
      <c r="X4721" s="33">
        <f>IFERROR(__xludf.DUMMYFUNCTION("""COMPUTED_VALUE"""),0.5)</f>
        <v>0.5</v>
      </c>
    </row>
    <row r="4722">
      <c r="K4722" s="4" t="str">
        <f>IFERROR(__xludf.DUMMYFUNCTION("""COMPUTED_VALUE"""),"PUDIM PERFEITO")</f>
        <v>PUDIM PERFEITO</v>
      </c>
      <c r="L4722" s="32">
        <f>IFERROR(__xludf.DUMMYFUNCTION("""COMPUTED_VALUE"""),2.0)</f>
        <v>2</v>
      </c>
      <c r="M4722" s="4" t="str">
        <f>IFERROR(__xludf.DUMMYFUNCTION("""COMPUTED_VALUE"""),"Altec Sistemas")</f>
        <v>Altec Sistemas</v>
      </c>
      <c r="N4722" s="33">
        <f>IFERROR(__xludf.DUMMYFUNCTION("""COMPUTED_VALUE"""),0.5)</f>
        <v>0.5</v>
      </c>
      <c r="O4722" s="4" t="str">
        <f>IFERROR(__xludf.DUMMYFUNCTION("""COMPUTED_VALUE"""),"Altec Sistemas")</f>
        <v>Altec Sistemas</v>
      </c>
      <c r="P4722" s="33">
        <f>IFERROR(__xludf.DUMMYFUNCTION("""COMPUTED_VALUE"""),0.5)</f>
        <v>0.5</v>
      </c>
      <c r="Q4722" s="4" t="str">
        <f>IFERROR(__xludf.DUMMYFUNCTION("""COMPUTED_VALUE"""),"Altec Sistemas")</f>
        <v>Altec Sistemas</v>
      </c>
      <c r="R4722" s="33">
        <f>IFERROR(__xludf.DUMMYFUNCTION("""COMPUTED_VALUE"""),0.5)</f>
        <v>0.5</v>
      </c>
      <c r="S4722" s="4" t="str">
        <f>IFERROR(__xludf.DUMMYFUNCTION("""COMPUTED_VALUE"""),"Altec Sistemas")</f>
        <v>Altec Sistemas</v>
      </c>
      <c r="T4722" s="33">
        <f>IFERROR(__xludf.DUMMYFUNCTION("""COMPUTED_VALUE"""),0.5)</f>
        <v>0.5</v>
      </c>
      <c r="U4722" s="4" t="str">
        <f>IFERROR(__xludf.DUMMYFUNCTION("""COMPUTED_VALUE"""),"null")</f>
        <v>null</v>
      </c>
      <c r="V4722" s="33">
        <f>IFERROR(__xludf.DUMMYFUNCTION("""COMPUTED_VALUE"""),0.5)</f>
        <v>0.5</v>
      </c>
      <c r="W4722" s="4" t="str">
        <f>IFERROR(__xludf.DUMMYFUNCTION("""COMPUTED_VALUE"""),"Altec Sistemas")</f>
        <v>Altec Sistemas</v>
      </c>
      <c r="X4722" s="33">
        <f>IFERROR(__xludf.DUMMYFUNCTION("""COMPUTED_VALUE"""),0.5)</f>
        <v>0.5</v>
      </c>
    </row>
    <row r="4723">
      <c r="K4723" s="4" t="str">
        <f>IFERROR(__xludf.DUMMYFUNCTION("""COMPUTED_VALUE"""),"SUSHI ME")</f>
        <v>SUSHI ME</v>
      </c>
      <c r="L4723" s="32">
        <f>IFERROR(__xludf.DUMMYFUNCTION("""COMPUTED_VALUE"""),2.0)</f>
        <v>2</v>
      </c>
      <c r="M4723" s="4" t="str">
        <f>IFERROR(__xludf.DUMMYFUNCTION("""COMPUTED_VALUE"""),"Mp Multipedidos")</f>
        <v>Mp Multipedidos</v>
      </c>
      <c r="N4723" s="33">
        <f>IFERROR(__xludf.DUMMYFUNCTION("""COMPUTED_VALUE"""),0.5)</f>
        <v>0.5</v>
      </c>
      <c r="O4723" s="4" t="str">
        <f>IFERROR(__xludf.DUMMYFUNCTION("""COMPUTED_VALUE"""),"Mp Multipedidos")</f>
        <v>Mp Multipedidos</v>
      </c>
      <c r="P4723" s="33">
        <f>IFERROR(__xludf.DUMMYFUNCTION("""COMPUTED_VALUE"""),0.5)</f>
        <v>0.5</v>
      </c>
      <c r="Q4723" s="4" t="str">
        <f>IFERROR(__xludf.DUMMYFUNCTION("""COMPUTED_VALUE"""),"Mp Multipedidos")</f>
        <v>Mp Multipedidos</v>
      </c>
      <c r="R4723" s="33">
        <f>IFERROR(__xludf.DUMMYFUNCTION("""COMPUTED_VALUE"""),0.5)</f>
        <v>0.5</v>
      </c>
      <c r="S4723" s="4" t="str">
        <f>IFERROR(__xludf.DUMMYFUNCTION("""COMPUTED_VALUE"""),"Mp Multipedidos")</f>
        <v>Mp Multipedidos</v>
      </c>
      <c r="T4723" s="33">
        <f>IFERROR(__xludf.DUMMYFUNCTION("""COMPUTED_VALUE"""),1.0)</f>
        <v>1</v>
      </c>
      <c r="U4723" s="4" t="str">
        <f>IFERROR(__xludf.DUMMYFUNCTION("""COMPUTED_VALUE"""),"Mp Multipedidos")</f>
        <v>Mp Multipedidos</v>
      </c>
      <c r="V4723" s="33">
        <f>IFERROR(__xludf.DUMMYFUNCTION("""COMPUTED_VALUE"""),1.0)</f>
        <v>1</v>
      </c>
      <c r="W4723" s="4" t="str">
        <f>IFERROR(__xludf.DUMMYFUNCTION("""COMPUTED_VALUE"""),"Mp Multipedidos")</f>
        <v>Mp Multipedidos</v>
      </c>
      <c r="X4723" s="33">
        <f>IFERROR(__xludf.DUMMYFUNCTION("""COMPUTED_VALUE"""),1.0)</f>
        <v>1</v>
      </c>
    </row>
    <row r="4724">
      <c r="K4724" s="4" t="str">
        <f>IFERROR(__xludf.DUMMYFUNCTION("""COMPUTED_VALUE"""),"DROGARIA EXCLUSIVA")</f>
        <v>DROGARIA EXCLUSIVA</v>
      </c>
      <c r="L4724" s="32">
        <f>IFERROR(__xludf.DUMMYFUNCTION("""COMPUTED_VALUE"""),2.0)</f>
        <v>2</v>
      </c>
      <c r="M4724" s="4" t="str">
        <f>IFERROR(__xludf.DUMMYFUNCTION("""COMPUTED_VALUE"""),"N/A (Not found)")</f>
        <v>N/A (Not found)</v>
      </c>
      <c r="N4724" s="33">
        <f>IFERROR(__xludf.DUMMYFUNCTION("""COMPUTED_VALUE"""),0.5)</f>
        <v>0.5</v>
      </c>
      <c r="O4724" s="4" t="str">
        <f>IFERROR(__xludf.DUMMYFUNCTION("""COMPUTED_VALUE"""),"N/A (Not found)")</f>
        <v>N/A (Not found)</v>
      </c>
      <c r="P4724" s="33">
        <f>IFERROR(__xludf.DUMMYFUNCTION("""COMPUTED_VALUE"""),0.5)</f>
        <v>0.5</v>
      </c>
      <c r="Q4724" s="4" t="str">
        <f>IFERROR(__xludf.DUMMYFUNCTION("""COMPUTED_VALUE"""),"N/A (Not found)")</f>
        <v>N/A (Not found)</v>
      </c>
      <c r="R4724" s="33">
        <f>IFERROR(__xludf.DUMMYFUNCTION("""COMPUTED_VALUE"""),0.5)</f>
        <v>0.5</v>
      </c>
      <c r="S4724" s="4" t="str">
        <f>IFERROR(__xludf.DUMMYFUNCTION("""COMPUTED_VALUE"""),"N/A (Not found)")</f>
        <v>N/A (Not found)</v>
      </c>
      <c r="T4724" s="33">
        <f>IFERROR(__xludf.DUMMYFUNCTION("""COMPUTED_VALUE"""),0.5)</f>
        <v>0.5</v>
      </c>
      <c r="U4724" s="4" t="str">
        <f>IFERROR(__xludf.DUMMYFUNCTION("""COMPUTED_VALUE"""),"N/A (Not found)")</f>
        <v>N/A (Not found)</v>
      </c>
      <c r="V4724" s="33">
        <f>IFERROR(__xludf.DUMMYFUNCTION("""COMPUTED_VALUE"""),1.0)</f>
        <v>1</v>
      </c>
      <c r="W4724" s="4" t="str">
        <f>IFERROR(__xludf.DUMMYFUNCTION("""COMPUTED_VALUE"""),"N/A (Not found)")</f>
        <v>N/A (Not found)</v>
      </c>
      <c r="X4724" s="33">
        <f>IFERROR(__xludf.DUMMYFUNCTION("""COMPUTED_VALUE"""),1.0)</f>
        <v>1</v>
      </c>
    </row>
    <row r="4725">
      <c r="K4725" s="4" t="str">
        <f>IFERROR(__xludf.DUMMYFUNCTION("""COMPUTED_VALUE"""),"THOMAS BURGUER")</f>
        <v>THOMAS BURGUER</v>
      </c>
      <c r="L4725" s="32">
        <f>IFERROR(__xludf.DUMMYFUNCTION("""COMPUTED_VALUE"""),2.0)</f>
        <v>2</v>
      </c>
      <c r="M4725" s="4" t="str">
        <f>IFERROR(__xludf.DUMMYFUNCTION("""COMPUTED_VALUE"""),"Suitable Tecnologia E Gestao")</f>
        <v>Suitable Tecnologia E Gestao</v>
      </c>
      <c r="N4725" s="33">
        <f>IFERROR(__xludf.DUMMYFUNCTION("""COMPUTED_VALUE"""),0.5)</f>
        <v>0.5</v>
      </c>
      <c r="O4725" s="4" t="str">
        <f>IFERROR(__xludf.DUMMYFUNCTION("""COMPUTED_VALUE"""),"Suitable Tecnologia E Gestao")</f>
        <v>Suitable Tecnologia E Gestao</v>
      </c>
      <c r="P4725" s="33">
        <f>IFERROR(__xludf.DUMMYFUNCTION("""COMPUTED_VALUE"""),0.5)</f>
        <v>0.5</v>
      </c>
      <c r="Q4725" s="4" t="str">
        <f>IFERROR(__xludf.DUMMYFUNCTION("""COMPUTED_VALUE"""),"Suitable Tecnologia E Gestao")</f>
        <v>Suitable Tecnologia E Gestao</v>
      </c>
      <c r="R4725" s="33">
        <f>IFERROR(__xludf.DUMMYFUNCTION("""COMPUTED_VALUE"""),0.5)</f>
        <v>0.5</v>
      </c>
      <c r="S4725" s="4" t="str">
        <f>IFERROR(__xludf.DUMMYFUNCTION("""COMPUTED_VALUE"""),"Suitable Tecnologia E Gestao")</f>
        <v>Suitable Tecnologia E Gestao</v>
      </c>
      <c r="T4725" s="33">
        <f>IFERROR(__xludf.DUMMYFUNCTION("""COMPUTED_VALUE"""),0.5)</f>
        <v>0.5</v>
      </c>
      <c r="U4725" s="4" t="str">
        <f>IFERROR(__xludf.DUMMYFUNCTION("""COMPUTED_VALUE"""),"Suitable Tecnologia E Gestao")</f>
        <v>Suitable Tecnologia E Gestao</v>
      </c>
      <c r="V4725" s="33">
        <f>IFERROR(__xludf.DUMMYFUNCTION("""COMPUTED_VALUE"""),0.5)</f>
        <v>0.5</v>
      </c>
      <c r="W4725" s="4" t="str">
        <f>IFERROR(__xludf.DUMMYFUNCTION("""COMPUTED_VALUE"""),"Suitable Tecnologia E Gestao")</f>
        <v>Suitable Tecnologia E Gestao</v>
      </c>
      <c r="X4725" s="33">
        <f>IFERROR(__xludf.DUMMYFUNCTION("""COMPUTED_VALUE"""),0.5)</f>
        <v>0.5</v>
      </c>
    </row>
    <row r="4726">
      <c r="K4726" s="4" t="str">
        <f>IFERROR(__xludf.DUMMYFUNCTION("""COMPUTED_VALUE"""),"ALIANCA FARMA")</f>
        <v>ALIANCA FARMA</v>
      </c>
      <c r="L4726" s="32">
        <f>IFERROR(__xludf.DUMMYFUNCTION("""COMPUTED_VALUE"""),2.0)</f>
        <v>2</v>
      </c>
      <c r="M4726" s="4" t="str">
        <f>IFERROR(__xludf.DUMMYFUNCTION("""COMPUTED_VALUE"""),"N/A (Not found)")</f>
        <v>N/A (Not found)</v>
      </c>
      <c r="N4726" s="33">
        <f>IFERROR(__xludf.DUMMYFUNCTION("""COMPUTED_VALUE"""),1.0)</f>
        <v>1</v>
      </c>
      <c r="O4726" s="4" t="str">
        <f>IFERROR(__xludf.DUMMYFUNCTION("""COMPUTED_VALUE"""),"N/A (Not found)")</f>
        <v>N/A (Not found)</v>
      </c>
      <c r="P4726" s="33">
        <f>IFERROR(__xludf.DUMMYFUNCTION("""COMPUTED_VALUE"""),1.0)</f>
        <v>1</v>
      </c>
      <c r="Q4726" s="4" t="str">
        <f>IFERROR(__xludf.DUMMYFUNCTION("""COMPUTED_VALUE"""),"N/A (Not found)")</f>
        <v>N/A (Not found)</v>
      </c>
      <c r="R4726" s="33">
        <f>IFERROR(__xludf.DUMMYFUNCTION("""COMPUTED_VALUE"""),1.0)</f>
        <v>1</v>
      </c>
      <c r="S4726" s="4" t="str">
        <f>IFERROR(__xludf.DUMMYFUNCTION("""COMPUTED_VALUE"""),"N/A (Not found)")</f>
        <v>N/A (Not found)</v>
      </c>
      <c r="T4726" s="33">
        <f>IFERROR(__xludf.DUMMYFUNCTION("""COMPUTED_VALUE"""),1.0)</f>
        <v>1</v>
      </c>
      <c r="U4726" s="4" t="str">
        <f>IFERROR(__xludf.DUMMYFUNCTION("""COMPUTED_VALUE"""),"N/A (Not found)")</f>
        <v>N/A (Not found)</v>
      </c>
      <c r="V4726" s="33">
        <f>IFERROR(__xludf.DUMMYFUNCTION("""COMPUTED_VALUE"""),1.0)</f>
        <v>1</v>
      </c>
      <c r="W4726" s="4" t="str">
        <f>IFERROR(__xludf.DUMMYFUNCTION("""COMPUTED_VALUE"""),"N/A (Not found)")</f>
        <v>N/A (Not found)</v>
      </c>
      <c r="X4726" s="33">
        <f>IFERROR(__xludf.DUMMYFUNCTION("""COMPUTED_VALUE"""),1.0)</f>
        <v>1</v>
      </c>
    </row>
    <row r="4727">
      <c r="K4727" s="4" t="str">
        <f>IFERROR(__xludf.DUMMYFUNCTION("""COMPUTED_VALUE"""),"BORA DE ACAI")</f>
        <v>BORA DE ACAI</v>
      </c>
      <c r="L4727" s="32">
        <f>IFERROR(__xludf.DUMMYFUNCTION("""COMPUTED_VALUE"""),2.0)</f>
        <v>2</v>
      </c>
      <c r="M4727" s="4" t="str">
        <f>IFERROR(__xludf.DUMMYFUNCTION("""COMPUTED_VALUE"""),"null")</f>
        <v>null</v>
      </c>
      <c r="N4727" s="33">
        <f>IFERROR(__xludf.DUMMYFUNCTION("""COMPUTED_VALUE"""),0.5)</f>
        <v>0.5</v>
      </c>
      <c r="O4727" s="4" t="str">
        <f>IFERROR(__xludf.DUMMYFUNCTION("""COMPUTED_VALUE"""),"null")</f>
        <v>null</v>
      </c>
      <c r="P4727" s="33">
        <f>IFERROR(__xludf.DUMMYFUNCTION("""COMPUTED_VALUE"""),1.0)</f>
        <v>1</v>
      </c>
      <c r="Q4727" s="4" t="str">
        <f>IFERROR(__xludf.DUMMYFUNCTION("""COMPUTED_VALUE"""),"null")</f>
        <v>null</v>
      </c>
      <c r="R4727" s="33">
        <f>IFERROR(__xludf.DUMMYFUNCTION("""COMPUTED_VALUE"""),0.5)</f>
        <v>0.5</v>
      </c>
      <c r="S4727" s="4" t="str">
        <f>IFERROR(__xludf.DUMMYFUNCTION("""COMPUTED_VALUE"""),"null")</f>
        <v>null</v>
      </c>
      <c r="T4727" s="33">
        <f>IFERROR(__xludf.DUMMYFUNCTION("""COMPUTED_VALUE"""),0.5)</f>
        <v>0.5</v>
      </c>
      <c r="U4727" s="4" t="str">
        <f>IFERROR(__xludf.DUMMYFUNCTION("""COMPUTED_VALUE"""),"Instadelivery")</f>
        <v>Instadelivery</v>
      </c>
      <c r="V4727" s="33">
        <f>IFERROR(__xludf.DUMMYFUNCTION("""COMPUTED_VALUE"""),0.5)</f>
        <v>0.5</v>
      </c>
      <c r="W4727" s="4" t="str">
        <f>IFERROR(__xludf.DUMMYFUNCTION("""COMPUTED_VALUE"""),"Instadelivery")</f>
        <v>Instadelivery</v>
      </c>
      <c r="X4727" s="33">
        <f>IFERROR(__xludf.DUMMYFUNCTION("""COMPUTED_VALUE"""),0.5)</f>
        <v>0.5</v>
      </c>
    </row>
    <row r="4728">
      <c r="K4728" s="4" t="str">
        <f>IFERROR(__xludf.DUMMYFUNCTION("""COMPUTED_VALUE"""),"SALGADOS MANIA")</f>
        <v>SALGADOS MANIA</v>
      </c>
      <c r="L4728" s="32">
        <f>IFERROR(__xludf.DUMMYFUNCTION("""COMPUTED_VALUE"""),2.0)</f>
        <v>2</v>
      </c>
      <c r="M4728" s="4" t="str">
        <f>IFERROR(__xludf.DUMMYFUNCTION("""COMPUTED_VALUE"""),"Instadelivery")</f>
        <v>Instadelivery</v>
      </c>
      <c r="N4728" s="33">
        <f>IFERROR(__xludf.DUMMYFUNCTION("""COMPUTED_VALUE"""),0.5)</f>
        <v>0.5</v>
      </c>
      <c r="O4728" s="4" t="str">
        <f>IFERROR(__xludf.DUMMYFUNCTION("""COMPUTED_VALUE"""),"Instadelivery")</f>
        <v>Instadelivery</v>
      </c>
      <c r="P4728" s="33">
        <f>IFERROR(__xludf.DUMMYFUNCTION("""COMPUTED_VALUE"""),0.5)</f>
        <v>0.5</v>
      </c>
      <c r="Q4728" s="4" t="str">
        <f>IFERROR(__xludf.DUMMYFUNCTION("""COMPUTED_VALUE"""),"Instadelivery")</f>
        <v>Instadelivery</v>
      </c>
      <c r="R4728" s="33">
        <f>IFERROR(__xludf.DUMMYFUNCTION("""COMPUTED_VALUE"""),0.5)</f>
        <v>0.5</v>
      </c>
      <c r="S4728" s="4" t="str">
        <f>IFERROR(__xludf.DUMMYFUNCTION("""COMPUTED_VALUE"""),"Instadelivery")</f>
        <v>Instadelivery</v>
      </c>
      <c r="T4728" s="33">
        <f>IFERROR(__xludf.DUMMYFUNCTION("""COMPUTED_VALUE"""),0.5)</f>
        <v>0.5</v>
      </c>
      <c r="U4728" s="4" t="str">
        <f>IFERROR(__xludf.DUMMYFUNCTION("""COMPUTED_VALUE"""),"Instadelivery")</f>
        <v>Instadelivery</v>
      </c>
      <c r="V4728" s="33">
        <f>IFERROR(__xludf.DUMMYFUNCTION("""COMPUTED_VALUE"""),0.5)</f>
        <v>0.5</v>
      </c>
      <c r="W4728" s="4" t="str">
        <f>IFERROR(__xludf.DUMMYFUNCTION("""COMPUTED_VALUE"""),"Instadelivery")</f>
        <v>Instadelivery</v>
      </c>
      <c r="X4728" s="33">
        <f>IFERROR(__xludf.DUMMYFUNCTION("""COMPUTED_VALUE"""),0.5)</f>
        <v>0.5</v>
      </c>
    </row>
    <row r="4729">
      <c r="K4729" s="4" t="str">
        <f>IFERROR(__xludf.DUMMYFUNCTION("""COMPUTED_VALUE"""),"EMPORIO CIRNE - DOCERIA")</f>
        <v>EMPORIO CIRNE - DOCERIA</v>
      </c>
      <c r="L4729" s="32">
        <f>IFERROR(__xludf.DUMMYFUNCTION("""COMPUTED_VALUE"""),2.0)</f>
        <v>2</v>
      </c>
      <c r="M4729" s="4" t="str">
        <f>IFERROR(__xludf.DUMMYFUNCTION("""COMPUTED_VALUE"""),"Vuca Solution")</f>
        <v>Vuca Solution</v>
      </c>
      <c r="N4729" s="33">
        <f>IFERROR(__xludf.DUMMYFUNCTION("""COMPUTED_VALUE"""),0.5)</f>
        <v>0.5</v>
      </c>
      <c r="O4729" s="4" t="str">
        <f>IFERROR(__xludf.DUMMYFUNCTION("""COMPUTED_VALUE"""),"Vuca Solution")</f>
        <v>Vuca Solution</v>
      </c>
      <c r="P4729" s="33">
        <f>IFERROR(__xludf.DUMMYFUNCTION("""COMPUTED_VALUE"""),0.5)</f>
        <v>0.5</v>
      </c>
      <c r="Q4729" s="4" t="str">
        <f>IFERROR(__xludf.DUMMYFUNCTION("""COMPUTED_VALUE"""),"Vuca Solution")</f>
        <v>Vuca Solution</v>
      </c>
      <c r="R4729" s="33">
        <f>IFERROR(__xludf.DUMMYFUNCTION("""COMPUTED_VALUE"""),1.0)</f>
        <v>1</v>
      </c>
      <c r="S4729" s="4" t="str">
        <f>IFERROR(__xludf.DUMMYFUNCTION("""COMPUTED_VALUE"""),"null")</f>
        <v>null</v>
      </c>
      <c r="T4729" s="33">
        <f>IFERROR(__xludf.DUMMYFUNCTION("""COMPUTED_VALUE"""),0.5)</f>
        <v>0.5</v>
      </c>
      <c r="U4729" s="4" t="str">
        <f>IFERROR(__xludf.DUMMYFUNCTION("""COMPUTED_VALUE"""),"null")</f>
        <v>null</v>
      </c>
      <c r="V4729" s="33">
        <f>IFERROR(__xludf.DUMMYFUNCTION("""COMPUTED_VALUE"""),0.5)</f>
        <v>0.5</v>
      </c>
      <c r="W4729" s="4" t="str">
        <f>IFERROR(__xludf.DUMMYFUNCTION("""COMPUTED_VALUE"""),"null")</f>
        <v>null</v>
      </c>
      <c r="X4729" s="33">
        <f>IFERROR(__xludf.DUMMYFUNCTION("""COMPUTED_VALUE"""),0.5)</f>
        <v>0.5</v>
      </c>
    </row>
    <row r="4730">
      <c r="K4730" s="4" t="str">
        <f>IFERROR(__xludf.DUMMYFUNCTION("""COMPUTED_VALUE"""),"PIZZARIA FELICITA")</f>
        <v>PIZZARIA FELICITA</v>
      </c>
      <c r="L4730" s="32">
        <f>IFERROR(__xludf.DUMMYFUNCTION("""COMPUTED_VALUE"""),2.0)</f>
        <v>2</v>
      </c>
      <c r="M4730" s="4" t="str">
        <f>IFERROR(__xludf.DUMMYFUNCTION("""COMPUTED_VALUE"""),"Saipos Serviços De Software")</f>
        <v>Saipos Serviços De Software</v>
      </c>
      <c r="N4730" s="33">
        <f>IFERROR(__xludf.DUMMYFUNCTION("""COMPUTED_VALUE"""),0.5)</f>
        <v>0.5</v>
      </c>
      <c r="O4730" s="4" t="str">
        <f>IFERROR(__xludf.DUMMYFUNCTION("""COMPUTED_VALUE"""),"Saipos Serviços De Software")</f>
        <v>Saipos Serviços De Software</v>
      </c>
      <c r="P4730" s="33">
        <f>IFERROR(__xludf.DUMMYFUNCTION("""COMPUTED_VALUE"""),0.5)</f>
        <v>0.5</v>
      </c>
      <c r="Q4730" s="4" t="str">
        <f>IFERROR(__xludf.DUMMYFUNCTION("""COMPUTED_VALUE"""),"Saipos Serviços De Software")</f>
        <v>Saipos Serviços De Software</v>
      </c>
      <c r="R4730" s="33">
        <f>IFERROR(__xludf.DUMMYFUNCTION("""COMPUTED_VALUE"""),0.5)</f>
        <v>0.5</v>
      </c>
      <c r="S4730" s="4" t="str">
        <f>IFERROR(__xludf.DUMMYFUNCTION("""COMPUTED_VALUE"""),"Saipos Serviços De Software")</f>
        <v>Saipos Serviços De Software</v>
      </c>
      <c r="T4730" s="33">
        <f>IFERROR(__xludf.DUMMYFUNCTION("""COMPUTED_VALUE"""),0.5)</f>
        <v>0.5</v>
      </c>
      <c r="U4730" s="4" t="str">
        <f>IFERROR(__xludf.DUMMYFUNCTION("""COMPUTED_VALUE"""),"Saipos Serviços De Software")</f>
        <v>Saipos Serviços De Software</v>
      </c>
      <c r="V4730" s="33">
        <f>IFERROR(__xludf.DUMMYFUNCTION("""COMPUTED_VALUE"""),0.5)</f>
        <v>0.5</v>
      </c>
      <c r="W4730" s="4" t="str">
        <f>IFERROR(__xludf.DUMMYFUNCTION("""COMPUTED_VALUE"""),"Saipos Serviços De Software")</f>
        <v>Saipos Serviços De Software</v>
      </c>
      <c r="X4730" s="33">
        <f>IFERROR(__xludf.DUMMYFUNCTION("""COMPUTED_VALUE"""),0.5)</f>
        <v>0.5</v>
      </c>
    </row>
    <row r="4731">
      <c r="K4731" s="4" t="str">
        <f>IFERROR(__xludf.DUMMYFUNCTION("""COMPUTED_VALUE"""),"MARMITARIA A PARMEGIANA")</f>
        <v>MARMITARIA A PARMEGIANA</v>
      </c>
      <c r="L4731" s="32">
        <f>IFERROR(__xludf.DUMMYFUNCTION("""COMPUTED_VALUE"""),2.0)</f>
        <v>2</v>
      </c>
      <c r="M4731" s="4" t="str">
        <f>IFERROR(__xludf.DUMMYFUNCTION("""COMPUTED_VALUE"""),"Saipos Serviços De Software")</f>
        <v>Saipos Serviços De Software</v>
      </c>
      <c r="N4731" s="33">
        <f>IFERROR(__xludf.DUMMYFUNCTION("""COMPUTED_VALUE"""),1.0)</f>
        <v>1</v>
      </c>
      <c r="O4731" s="4" t="str">
        <f>IFERROR(__xludf.DUMMYFUNCTION("""COMPUTED_VALUE"""),"Saipos Serviços De Software")</f>
        <v>Saipos Serviços De Software</v>
      </c>
      <c r="P4731" s="33">
        <f>IFERROR(__xludf.DUMMYFUNCTION("""COMPUTED_VALUE"""),1.0)</f>
        <v>1</v>
      </c>
      <c r="Q4731" s="4" t="str">
        <f>IFERROR(__xludf.DUMMYFUNCTION("""COMPUTED_VALUE"""),"Saipos Serviços De Software")</f>
        <v>Saipos Serviços De Software</v>
      </c>
      <c r="R4731" s="33">
        <f>IFERROR(__xludf.DUMMYFUNCTION("""COMPUTED_VALUE"""),1.0)</f>
        <v>1</v>
      </c>
      <c r="S4731" s="4" t="str">
        <f>IFERROR(__xludf.DUMMYFUNCTION("""COMPUTED_VALUE"""),"Saipos Serviços De Software")</f>
        <v>Saipos Serviços De Software</v>
      </c>
      <c r="T4731" s="33">
        <f>IFERROR(__xludf.DUMMYFUNCTION("""COMPUTED_VALUE"""),1.0)</f>
        <v>1</v>
      </c>
      <c r="U4731" s="4" t="str">
        <f>IFERROR(__xludf.DUMMYFUNCTION("""COMPUTED_VALUE"""),"null")</f>
        <v>null</v>
      </c>
      <c r="V4731" s="33">
        <f>IFERROR(__xludf.DUMMYFUNCTION("""COMPUTED_VALUE"""),0.5)</f>
        <v>0.5</v>
      </c>
      <c r="W4731" s="4" t="str">
        <f>IFERROR(__xludf.DUMMYFUNCTION("""COMPUTED_VALUE"""),"null")</f>
        <v>null</v>
      </c>
      <c r="X4731" s="33">
        <f>IFERROR(__xludf.DUMMYFUNCTION("""COMPUTED_VALUE"""),0.5)</f>
        <v>0.5</v>
      </c>
    </row>
    <row r="4732">
      <c r="K4732" s="4" t="str">
        <f>IFERROR(__xludf.DUMMYFUNCTION("""COMPUTED_VALUE"""),"SIRI CASCUDO BURGUER")</f>
        <v>SIRI CASCUDO BURGUER</v>
      </c>
      <c r="L4732" s="32">
        <f>IFERROR(__xludf.DUMMYFUNCTION("""COMPUTED_VALUE"""),2.0)</f>
        <v>2</v>
      </c>
      <c r="M4732" s="4" t="str">
        <f>IFERROR(__xludf.DUMMYFUNCTION("""COMPUTED_VALUE"""),"Brendi")</f>
        <v>Brendi</v>
      </c>
      <c r="N4732" s="33">
        <f>IFERROR(__xludf.DUMMYFUNCTION("""COMPUTED_VALUE"""),1.0)</f>
        <v>1</v>
      </c>
      <c r="O4732" s="4" t="str">
        <f>IFERROR(__xludf.DUMMYFUNCTION("""COMPUTED_VALUE"""),"Brendi")</f>
        <v>Brendi</v>
      </c>
      <c r="P4732" s="33">
        <f>IFERROR(__xludf.DUMMYFUNCTION("""COMPUTED_VALUE"""),1.0)</f>
        <v>1</v>
      </c>
      <c r="Q4732" s="4" t="str">
        <f>IFERROR(__xludf.DUMMYFUNCTION("""COMPUTED_VALUE"""),"Brendi")</f>
        <v>Brendi</v>
      </c>
      <c r="R4732" s="33">
        <f>IFERROR(__xludf.DUMMYFUNCTION("""COMPUTED_VALUE"""),1.0)</f>
        <v>1</v>
      </c>
      <c r="S4732" s="4" t="str">
        <f>IFERROR(__xludf.DUMMYFUNCTION("""COMPUTED_VALUE"""),"Brendi")</f>
        <v>Brendi</v>
      </c>
      <c r="T4732" s="33">
        <f>IFERROR(__xludf.DUMMYFUNCTION("""COMPUTED_VALUE"""),1.0)</f>
        <v>1</v>
      </c>
      <c r="U4732" s="4" t="str">
        <f>IFERROR(__xludf.DUMMYFUNCTION("""COMPUTED_VALUE"""),"Brendi")</f>
        <v>Brendi</v>
      </c>
      <c r="V4732" s="33">
        <f>IFERROR(__xludf.DUMMYFUNCTION("""COMPUTED_VALUE"""),1.0)</f>
        <v>1</v>
      </c>
      <c r="W4732" s="4" t="str">
        <f>IFERROR(__xludf.DUMMYFUNCTION("""COMPUTED_VALUE"""),"Brendi")</f>
        <v>Brendi</v>
      </c>
      <c r="X4732" s="33">
        <f>IFERROR(__xludf.DUMMYFUNCTION("""COMPUTED_VALUE"""),0.5)</f>
        <v>0.5</v>
      </c>
    </row>
    <row r="4733">
      <c r="K4733" s="4" t="str">
        <f>IFERROR(__xludf.DUMMYFUNCTION("""COMPUTED_VALUE"""),"CENTRAL PET")</f>
        <v>CENTRAL PET</v>
      </c>
      <c r="L4733" s="32">
        <f>IFERROR(__xludf.DUMMYFUNCTION("""COMPUTED_VALUE"""),2.0)</f>
        <v>2</v>
      </c>
      <c r="M4733" s="4" t="str">
        <f>IFERROR(__xludf.DUMMYFUNCTION("""COMPUTED_VALUE"""),"N/A (Not found)")</f>
        <v>N/A (Not found)</v>
      </c>
      <c r="N4733" s="33">
        <f>IFERROR(__xludf.DUMMYFUNCTION("""COMPUTED_VALUE"""),1.0)</f>
        <v>1</v>
      </c>
      <c r="O4733" s="4" t="str">
        <f>IFERROR(__xludf.DUMMYFUNCTION("""COMPUTED_VALUE"""),"N/A (Not found)")</f>
        <v>N/A (Not found)</v>
      </c>
      <c r="P4733" s="33">
        <f>IFERROR(__xludf.DUMMYFUNCTION("""COMPUTED_VALUE"""),1.0)</f>
        <v>1</v>
      </c>
      <c r="Q4733" s="4" t="str">
        <f>IFERROR(__xludf.DUMMYFUNCTION("""COMPUTED_VALUE"""),"N/A (Not found)")</f>
        <v>N/A (Not found)</v>
      </c>
      <c r="R4733" s="33">
        <f>IFERROR(__xludf.DUMMYFUNCTION("""COMPUTED_VALUE"""),1.0)</f>
        <v>1</v>
      </c>
      <c r="S4733" s="4" t="str">
        <f>IFERROR(__xludf.DUMMYFUNCTION("""COMPUTED_VALUE"""),"N/A (Not found)")</f>
        <v>N/A (Not found)</v>
      </c>
      <c r="T4733" s="33">
        <f>IFERROR(__xludf.DUMMYFUNCTION("""COMPUTED_VALUE"""),1.0)</f>
        <v>1</v>
      </c>
      <c r="U4733" s="4" t="str">
        <f>IFERROR(__xludf.DUMMYFUNCTION("""COMPUTED_VALUE"""),"N/A (Not found)")</f>
        <v>N/A (Not found)</v>
      </c>
      <c r="V4733" s="33">
        <f>IFERROR(__xludf.DUMMYFUNCTION("""COMPUTED_VALUE"""),1.0)</f>
        <v>1</v>
      </c>
      <c r="W4733" s="4" t="str">
        <f>IFERROR(__xludf.DUMMYFUNCTION("""COMPUTED_VALUE"""),"null")</f>
        <v>null</v>
      </c>
      <c r="X4733" s="33">
        <f>IFERROR(__xludf.DUMMYFUNCTION("""COMPUTED_VALUE"""),0.5)</f>
        <v>0.5</v>
      </c>
    </row>
    <row r="4734">
      <c r="K4734" s="4" t="str">
        <f>IFERROR(__xludf.DUMMYFUNCTION("""COMPUTED_VALUE"""),"SUZUSHI - CULINARIA JAPONESA TRADICIONAL")</f>
        <v>SUZUSHI - CULINARIA JAPONESA TRADICIONAL</v>
      </c>
      <c r="L4734" s="32">
        <f>IFERROR(__xludf.DUMMYFUNCTION("""COMPUTED_VALUE"""),2.0)</f>
        <v>2</v>
      </c>
      <c r="M4734" s="4" t="str">
        <f>IFERROR(__xludf.DUMMYFUNCTION("""COMPUTED_VALUE"""),"Takeat Tecnologia")</f>
        <v>Takeat Tecnologia</v>
      </c>
      <c r="N4734" s="33">
        <f>IFERROR(__xludf.DUMMYFUNCTION("""COMPUTED_VALUE"""),0.5)</f>
        <v>0.5</v>
      </c>
      <c r="O4734" s="4" t="str">
        <f>IFERROR(__xludf.DUMMYFUNCTION("""COMPUTED_VALUE"""),"Takeat Tecnologia")</f>
        <v>Takeat Tecnologia</v>
      </c>
      <c r="P4734" s="33">
        <f>IFERROR(__xludf.DUMMYFUNCTION("""COMPUTED_VALUE"""),0.5)</f>
        <v>0.5</v>
      </c>
      <c r="Q4734" s="4" t="str">
        <f>IFERROR(__xludf.DUMMYFUNCTION("""COMPUTED_VALUE"""),"Takeat Tecnologia")</f>
        <v>Takeat Tecnologia</v>
      </c>
      <c r="R4734" s="33">
        <f>IFERROR(__xludf.DUMMYFUNCTION("""COMPUTED_VALUE"""),0.5)</f>
        <v>0.5</v>
      </c>
      <c r="S4734" s="4" t="str">
        <f>IFERROR(__xludf.DUMMYFUNCTION("""COMPUTED_VALUE"""),"Takeat Tecnologia")</f>
        <v>Takeat Tecnologia</v>
      </c>
      <c r="T4734" s="33">
        <f>IFERROR(__xludf.DUMMYFUNCTION("""COMPUTED_VALUE"""),1.0)</f>
        <v>1</v>
      </c>
      <c r="U4734" s="4" t="str">
        <f>IFERROR(__xludf.DUMMYFUNCTION("""COMPUTED_VALUE"""),"null")</f>
        <v>null</v>
      </c>
      <c r="V4734" s="33">
        <f>IFERROR(__xludf.DUMMYFUNCTION("""COMPUTED_VALUE"""),1.0)</f>
        <v>1</v>
      </c>
      <c r="W4734" s="4" t="str">
        <f>IFERROR(__xludf.DUMMYFUNCTION("""COMPUTED_VALUE"""),"null")</f>
        <v>null</v>
      </c>
      <c r="X4734" s="33">
        <f>IFERROR(__xludf.DUMMYFUNCTION("""COMPUTED_VALUE"""),0.5)</f>
        <v>0.5</v>
      </c>
    </row>
    <row r="4735">
      <c r="K4735" s="4" t="str">
        <f>IFERROR(__xludf.DUMMYFUNCTION("""COMPUTED_VALUE"""),"LANCHONETE BOM SABOR")</f>
        <v>LANCHONETE BOM SABOR</v>
      </c>
      <c r="L4735" s="32">
        <f>IFERROR(__xludf.DUMMYFUNCTION("""COMPUTED_VALUE"""),2.0)</f>
        <v>2</v>
      </c>
      <c r="M4735" s="4" t="str">
        <f>IFERROR(__xludf.DUMMYFUNCTION("""COMPUTED_VALUE"""),"Mp Multipedidos")</f>
        <v>Mp Multipedidos</v>
      </c>
      <c r="N4735" s="33">
        <f>IFERROR(__xludf.DUMMYFUNCTION("""COMPUTED_VALUE"""),0.5)</f>
        <v>0.5</v>
      </c>
      <c r="O4735" s="4" t="str">
        <f>IFERROR(__xludf.DUMMYFUNCTION("""COMPUTED_VALUE"""),"Mp Multipedidos")</f>
        <v>Mp Multipedidos</v>
      </c>
      <c r="P4735" s="33">
        <f>IFERROR(__xludf.DUMMYFUNCTION("""COMPUTED_VALUE"""),0.5)</f>
        <v>0.5</v>
      </c>
      <c r="Q4735" s="4" t="str">
        <f>IFERROR(__xludf.DUMMYFUNCTION("""COMPUTED_VALUE"""),"Mp Multipedidos")</f>
        <v>Mp Multipedidos</v>
      </c>
      <c r="R4735" s="33">
        <f>IFERROR(__xludf.DUMMYFUNCTION("""COMPUTED_VALUE"""),0.5)</f>
        <v>0.5</v>
      </c>
      <c r="S4735" s="4" t="str">
        <f>IFERROR(__xludf.DUMMYFUNCTION("""COMPUTED_VALUE"""),"Mp Multipedidos")</f>
        <v>Mp Multipedidos</v>
      </c>
      <c r="T4735" s="33">
        <f>IFERROR(__xludf.DUMMYFUNCTION("""COMPUTED_VALUE"""),0.5)</f>
        <v>0.5</v>
      </c>
      <c r="U4735" s="4" t="str">
        <f>IFERROR(__xludf.DUMMYFUNCTION("""COMPUTED_VALUE"""),"Mp Multipedidos")</f>
        <v>Mp Multipedidos</v>
      </c>
      <c r="V4735" s="33">
        <f>IFERROR(__xludf.DUMMYFUNCTION("""COMPUTED_VALUE"""),0.5)</f>
        <v>0.5</v>
      </c>
      <c r="W4735" s="4" t="str">
        <f>IFERROR(__xludf.DUMMYFUNCTION("""COMPUTED_VALUE"""),"Mp Multipedidos")</f>
        <v>Mp Multipedidos</v>
      </c>
      <c r="X4735" s="33">
        <f>IFERROR(__xludf.DUMMYFUNCTION("""COMPUTED_VALUE"""),0.5)</f>
        <v>0.5</v>
      </c>
    </row>
    <row r="4736">
      <c r="K4736" s="4" t="str">
        <f>IFERROR(__xludf.DUMMYFUNCTION("""COMPUTED_VALUE"""),"DELICIAS DA DUDA")</f>
        <v>DELICIAS DA DUDA</v>
      </c>
      <c r="L4736" s="32">
        <f>IFERROR(__xludf.DUMMYFUNCTION("""COMPUTED_VALUE"""),2.0)</f>
        <v>2</v>
      </c>
      <c r="M4736" s="4" t="str">
        <f>IFERROR(__xludf.DUMMYFUNCTION("""COMPUTED_VALUE"""),"null")</f>
        <v>null</v>
      </c>
      <c r="N4736" s="33">
        <f>IFERROR(__xludf.DUMMYFUNCTION("""COMPUTED_VALUE"""),0.5)</f>
        <v>0.5</v>
      </c>
      <c r="O4736" s="4" t="str">
        <f>IFERROR(__xludf.DUMMYFUNCTION("""COMPUTED_VALUE"""),"null")</f>
        <v>null</v>
      </c>
      <c r="P4736" s="33">
        <f>IFERROR(__xludf.DUMMYFUNCTION("""COMPUTED_VALUE"""),0.5)</f>
        <v>0.5</v>
      </c>
      <c r="Q4736" s="4" t="str">
        <f>IFERROR(__xludf.DUMMYFUNCTION("""COMPUTED_VALUE"""),"Instadelivery")</f>
        <v>Instadelivery</v>
      </c>
      <c r="R4736" s="33">
        <f>IFERROR(__xludf.DUMMYFUNCTION("""COMPUTED_VALUE"""),1.0)</f>
        <v>1</v>
      </c>
      <c r="S4736" s="4" t="str">
        <f>IFERROR(__xludf.DUMMYFUNCTION("""COMPUTED_VALUE"""),"null")</f>
        <v>null</v>
      </c>
      <c r="T4736" s="33">
        <f>IFERROR(__xludf.DUMMYFUNCTION("""COMPUTED_VALUE"""),0.5)</f>
        <v>0.5</v>
      </c>
      <c r="U4736" s="4" t="str">
        <f>IFERROR(__xludf.DUMMYFUNCTION("""COMPUTED_VALUE"""),"Instadelivery")</f>
        <v>Instadelivery</v>
      </c>
      <c r="V4736" s="33">
        <f>IFERROR(__xludf.DUMMYFUNCTION("""COMPUTED_VALUE"""),1.0)</f>
        <v>1</v>
      </c>
      <c r="W4736" s="4" t="str">
        <f>IFERROR(__xludf.DUMMYFUNCTION("""COMPUTED_VALUE"""),"null")</f>
        <v>null</v>
      </c>
      <c r="X4736" s="33">
        <f>IFERROR(__xludf.DUMMYFUNCTION("""COMPUTED_VALUE"""),0.5)</f>
        <v>0.5</v>
      </c>
    </row>
    <row r="4737">
      <c r="K4737" s="4" t="str">
        <f>IFERROR(__xludf.DUMMYFUNCTION("""COMPUTED_VALUE"""),"MR HAI TEMAKERIA")</f>
        <v>MR HAI TEMAKERIA</v>
      </c>
      <c r="L4737" s="32">
        <f>IFERROR(__xludf.DUMMYFUNCTION("""COMPUTED_VALUE"""),2.0)</f>
        <v>2</v>
      </c>
      <c r="M4737" s="4" t="str">
        <f>IFERROR(__xludf.DUMMYFUNCTION("""COMPUTED_VALUE"""),"Saipos Serviços De Software")</f>
        <v>Saipos Serviços De Software</v>
      </c>
      <c r="N4737" s="33">
        <f>IFERROR(__xludf.DUMMYFUNCTION("""COMPUTED_VALUE"""),1.0)</f>
        <v>1</v>
      </c>
      <c r="O4737" s="4" t="str">
        <f>IFERROR(__xludf.DUMMYFUNCTION("""COMPUTED_VALUE"""),"Saipos Serviços De Software")</f>
        <v>Saipos Serviços De Software</v>
      </c>
      <c r="P4737" s="33">
        <f>IFERROR(__xludf.DUMMYFUNCTION("""COMPUTED_VALUE"""),1.0)</f>
        <v>1</v>
      </c>
      <c r="Q4737" s="4" t="str">
        <f>IFERROR(__xludf.DUMMYFUNCTION("""COMPUTED_VALUE"""),"Saipos Serviços De Software")</f>
        <v>Saipos Serviços De Software</v>
      </c>
      <c r="R4737" s="33">
        <f>IFERROR(__xludf.DUMMYFUNCTION("""COMPUTED_VALUE"""),1.0)</f>
        <v>1</v>
      </c>
      <c r="S4737" s="4" t="str">
        <f>IFERROR(__xludf.DUMMYFUNCTION("""COMPUTED_VALUE"""),"Saipos Serviços De Software")</f>
        <v>Saipos Serviços De Software</v>
      </c>
      <c r="T4737" s="33">
        <f>IFERROR(__xludf.DUMMYFUNCTION("""COMPUTED_VALUE"""),1.0)</f>
        <v>1</v>
      </c>
      <c r="U4737" s="4" t="str">
        <f>IFERROR(__xludf.DUMMYFUNCTION("""COMPUTED_VALUE"""),"Saipos Serviços De Software")</f>
        <v>Saipos Serviços De Software</v>
      </c>
      <c r="V4737" s="33">
        <f>IFERROR(__xludf.DUMMYFUNCTION("""COMPUTED_VALUE"""),1.0)</f>
        <v>1</v>
      </c>
      <c r="W4737" s="4" t="str">
        <f>IFERROR(__xludf.DUMMYFUNCTION("""COMPUTED_VALUE"""),"Saipos Serviços De Software")</f>
        <v>Saipos Serviços De Software</v>
      </c>
      <c r="X4737" s="33">
        <f>IFERROR(__xludf.DUMMYFUNCTION("""COMPUTED_VALUE"""),1.0)</f>
        <v>1</v>
      </c>
    </row>
    <row r="4738">
      <c r="K4738" s="4" t="str">
        <f>IFERROR(__xludf.DUMMYFUNCTION("""COMPUTED_VALUE"""),"PIZZARIA ALPHA VILLE")</f>
        <v>PIZZARIA ALPHA VILLE</v>
      </c>
      <c r="L4738" s="32">
        <f>IFERROR(__xludf.DUMMYFUNCTION("""COMPUTED_VALUE"""),2.0)</f>
        <v>2</v>
      </c>
      <c r="M4738" s="4" t="str">
        <f>IFERROR(__xludf.DUMMYFUNCTION("""COMPUTED_VALUE"""),"Mp Multipedidos")</f>
        <v>Mp Multipedidos</v>
      </c>
      <c r="N4738" s="33">
        <f>IFERROR(__xludf.DUMMYFUNCTION("""COMPUTED_VALUE"""),1.0)</f>
        <v>1</v>
      </c>
      <c r="O4738" s="4" t="str">
        <f>IFERROR(__xludf.DUMMYFUNCTION("""COMPUTED_VALUE"""),"null")</f>
        <v>null</v>
      </c>
      <c r="P4738" s="33">
        <f>IFERROR(__xludf.DUMMYFUNCTION("""COMPUTED_VALUE"""),1.0)</f>
        <v>1</v>
      </c>
      <c r="Q4738" s="4" t="str">
        <f>IFERROR(__xludf.DUMMYFUNCTION("""COMPUTED_VALUE"""),"null")</f>
        <v>null</v>
      </c>
      <c r="R4738" s="33">
        <f>IFERROR(__xludf.DUMMYFUNCTION("""COMPUTED_VALUE"""),1.0)</f>
        <v>1</v>
      </c>
      <c r="S4738" s="4" t="str">
        <f>IFERROR(__xludf.DUMMYFUNCTION("""COMPUTED_VALUE"""),"null")</f>
        <v>null</v>
      </c>
      <c r="T4738" s="33">
        <f>IFERROR(__xludf.DUMMYFUNCTION("""COMPUTED_VALUE"""),1.0)</f>
        <v>1</v>
      </c>
      <c r="U4738" s="4" t="str">
        <f>IFERROR(__xludf.DUMMYFUNCTION("""COMPUTED_VALUE"""),"null")</f>
        <v>null</v>
      </c>
      <c r="V4738" s="33">
        <f>IFERROR(__xludf.DUMMYFUNCTION("""COMPUTED_VALUE"""),1.0)</f>
        <v>1</v>
      </c>
      <c r="W4738" s="4" t="str">
        <f>IFERROR(__xludf.DUMMYFUNCTION("""COMPUTED_VALUE"""),"null")</f>
        <v>null</v>
      </c>
      <c r="X4738" s="33">
        <f>IFERROR(__xludf.DUMMYFUNCTION("""COMPUTED_VALUE"""),1.0)</f>
        <v>1</v>
      </c>
    </row>
    <row r="4739">
      <c r="K4739" s="4" t="str">
        <f>IFERROR(__xludf.DUMMYFUNCTION("""COMPUTED_VALUE"""),"ACAIZOU")</f>
        <v>ACAIZOU</v>
      </c>
      <c r="L4739" s="32">
        <f>IFERROR(__xludf.DUMMYFUNCTION("""COMPUTED_VALUE"""),2.0)</f>
        <v>2</v>
      </c>
      <c r="M4739" s="4" t="str">
        <f>IFERROR(__xludf.DUMMYFUNCTION("""COMPUTED_VALUE"""),"Brendi")</f>
        <v>Brendi</v>
      </c>
      <c r="N4739" s="33">
        <f>IFERROR(__xludf.DUMMYFUNCTION("""COMPUTED_VALUE"""),0.5)</f>
        <v>0.5</v>
      </c>
      <c r="O4739" s="4" t="str">
        <f>IFERROR(__xludf.DUMMYFUNCTION("""COMPUTED_VALUE"""),"Brendi")</f>
        <v>Brendi</v>
      </c>
      <c r="P4739" s="33">
        <f>IFERROR(__xludf.DUMMYFUNCTION("""COMPUTED_VALUE"""),0.5)</f>
        <v>0.5</v>
      </c>
      <c r="Q4739" s="4" t="str">
        <f>IFERROR(__xludf.DUMMYFUNCTION("""COMPUTED_VALUE"""),"Brendi")</f>
        <v>Brendi</v>
      </c>
      <c r="R4739" s="33">
        <f>IFERROR(__xludf.DUMMYFUNCTION("""COMPUTED_VALUE"""),0.5)</f>
        <v>0.5</v>
      </c>
      <c r="S4739" s="4" t="str">
        <f>IFERROR(__xludf.DUMMYFUNCTION("""COMPUTED_VALUE"""),"null")</f>
        <v>null</v>
      </c>
      <c r="T4739" s="33">
        <f>IFERROR(__xludf.DUMMYFUNCTION("""COMPUTED_VALUE"""),0.5)</f>
        <v>0.5</v>
      </c>
      <c r="U4739" s="4" t="str">
        <f>IFERROR(__xludf.DUMMYFUNCTION("""COMPUTED_VALUE"""),"null")</f>
        <v>null</v>
      </c>
      <c r="V4739" s="33">
        <f>IFERROR(__xludf.DUMMYFUNCTION("""COMPUTED_VALUE"""),0.5)</f>
        <v>0.5</v>
      </c>
      <c r="W4739" s="4" t="str">
        <f>IFERROR(__xludf.DUMMYFUNCTION("""COMPUTED_VALUE"""),"null")</f>
        <v>null</v>
      </c>
      <c r="X4739" s="33">
        <f>IFERROR(__xludf.DUMMYFUNCTION("""COMPUTED_VALUE"""),1.0)</f>
        <v>1</v>
      </c>
    </row>
    <row r="4740">
      <c r="K4740" s="4" t="str">
        <f>IFERROR(__xludf.DUMMYFUNCTION("""COMPUTED_VALUE"""),"ZERO GRAU")</f>
        <v>ZERO GRAU</v>
      </c>
      <c r="L4740" s="32">
        <f>IFERROR(__xludf.DUMMYFUNCTION("""COMPUTED_VALUE"""),2.0)</f>
        <v>2</v>
      </c>
      <c r="M4740" s="4" t="str">
        <f>IFERROR(__xludf.DUMMYFUNCTION("""COMPUTED_VALUE"""),"Anota Ai Solucoes Digitais S/a")</f>
        <v>Anota Ai Solucoes Digitais S/a</v>
      </c>
      <c r="N4740" s="33">
        <f>IFERROR(__xludf.DUMMYFUNCTION("""COMPUTED_VALUE"""),0.5)</f>
        <v>0.5</v>
      </c>
      <c r="O4740" s="4" t="str">
        <f>IFERROR(__xludf.DUMMYFUNCTION("""COMPUTED_VALUE"""),"Anota Ai Solucoes Digitais S/a")</f>
        <v>Anota Ai Solucoes Digitais S/a</v>
      </c>
      <c r="P4740" s="33">
        <f>IFERROR(__xludf.DUMMYFUNCTION("""COMPUTED_VALUE"""),0.5)</f>
        <v>0.5</v>
      </c>
      <c r="Q4740" s="4" t="str">
        <f>IFERROR(__xludf.DUMMYFUNCTION("""COMPUTED_VALUE"""),"Anota Ai Solucoes Digitais S/a")</f>
        <v>Anota Ai Solucoes Digitais S/a</v>
      </c>
      <c r="R4740" s="33">
        <f>IFERROR(__xludf.DUMMYFUNCTION("""COMPUTED_VALUE"""),0.5)</f>
        <v>0.5</v>
      </c>
      <c r="S4740" s="4" t="str">
        <f>IFERROR(__xludf.DUMMYFUNCTION("""COMPUTED_VALUE"""),"null")</f>
        <v>null</v>
      </c>
      <c r="T4740" s="33">
        <f>IFERROR(__xludf.DUMMYFUNCTION("""COMPUTED_VALUE"""),1.0)</f>
        <v>1</v>
      </c>
      <c r="U4740" s="4" t="str">
        <f>IFERROR(__xludf.DUMMYFUNCTION("""COMPUTED_VALUE"""),"Anota Ai Solucoes Digitais S/a")</f>
        <v>Anota Ai Solucoes Digitais S/a</v>
      </c>
      <c r="V4740" s="33">
        <f>IFERROR(__xludf.DUMMYFUNCTION("""COMPUTED_VALUE"""),0.5)</f>
        <v>0.5</v>
      </c>
      <c r="W4740" s="4" t="str">
        <f>IFERROR(__xludf.DUMMYFUNCTION("""COMPUTED_VALUE"""),"Anota Ai Solucoes Digitais S/a")</f>
        <v>Anota Ai Solucoes Digitais S/a</v>
      </c>
      <c r="X4740" s="33">
        <f>IFERROR(__xludf.DUMMYFUNCTION("""COMPUTED_VALUE"""),0.5)</f>
        <v>0.5</v>
      </c>
    </row>
    <row r="4741">
      <c r="K4741" s="4" t="str">
        <f>IFERROR(__xludf.DUMMYFUNCTION("""COMPUTED_VALUE"""),"DROGARIA POPULAR ECONOMICA")</f>
        <v>DROGARIA POPULAR ECONOMICA</v>
      </c>
      <c r="L4741" s="32">
        <f>IFERROR(__xludf.DUMMYFUNCTION("""COMPUTED_VALUE"""),2.0)</f>
        <v>2</v>
      </c>
      <c r="M4741" s="4" t="str">
        <f>IFERROR(__xludf.DUMMYFUNCTION("""COMPUTED_VALUE"""),"N/A (Not found)")</f>
        <v>N/A (Not found)</v>
      </c>
      <c r="N4741" s="33">
        <f>IFERROR(__xludf.DUMMYFUNCTION("""COMPUTED_VALUE"""),0.5)</f>
        <v>0.5</v>
      </c>
      <c r="O4741" s="4" t="str">
        <f>IFERROR(__xludf.DUMMYFUNCTION("""COMPUTED_VALUE"""),"N/A (Not found)")</f>
        <v>N/A (Not found)</v>
      </c>
      <c r="P4741" s="33">
        <f>IFERROR(__xludf.DUMMYFUNCTION("""COMPUTED_VALUE"""),1.0)</f>
        <v>1</v>
      </c>
      <c r="Q4741" s="4" t="str">
        <f>IFERROR(__xludf.DUMMYFUNCTION("""COMPUTED_VALUE"""),"N/A (Not found)")</f>
        <v>N/A (Not found)</v>
      </c>
      <c r="R4741" s="33">
        <f>IFERROR(__xludf.DUMMYFUNCTION("""COMPUTED_VALUE"""),1.0)</f>
        <v>1</v>
      </c>
      <c r="S4741" s="4" t="str">
        <f>IFERROR(__xludf.DUMMYFUNCTION("""COMPUTED_VALUE"""),"N/A (Not found)")</f>
        <v>N/A (Not found)</v>
      </c>
      <c r="T4741" s="33">
        <f>IFERROR(__xludf.DUMMYFUNCTION("""COMPUTED_VALUE"""),1.0)</f>
        <v>1</v>
      </c>
      <c r="U4741" s="4" t="str">
        <f>IFERROR(__xludf.DUMMYFUNCTION("""COMPUTED_VALUE"""),"N/A (Not found)")</f>
        <v>N/A (Not found)</v>
      </c>
      <c r="V4741" s="33">
        <f>IFERROR(__xludf.DUMMYFUNCTION("""COMPUTED_VALUE"""),1.0)</f>
        <v>1</v>
      </c>
      <c r="W4741" s="4" t="str">
        <f>IFERROR(__xludf.DUMMYFUNCTION("""COMPUTED_VALUE"""),"N/A (Not found)")</f>
        <v>N/A (Not found)</v>
      </c>
      <c r="X4741" s="33">
        <f>IFERROR(__xludf.DUMMYFUNCTION("""COMPUTED_VALUE"""),0.5)</f>
        <v>0.5</v>
      </c>
    </row>
    <row r="4742">
      <c r="K4742" s="4" t="str">
        <f>IFERROR(__xludf.DUMMYFUNCTION("""COMPUTED_VALUE"""),"SAINTS BURGER")</f>
        <v>SAINTS BURGER</v>
      </c>
      <c r="L4742" s="32">
        <f>IFERROR(__xludf.DUMMYFUNCTION("""COMPUTED_VALUE"""),2.0)</f>
        <v>2</v>
      </c>
      <c r="M4742" s="4" t="str">
        <f>IFERROR(__xludf.DUMMYFUNCTION("""COMPUTED_VALUE"""),"Anota Ai Solucoes Digitais S/a")</f>
        <v>Anota Ai Solucoes Digitais S/a</v>
      </c>
      <c r="N4742" s="33">
        <f>IFERROR(__xludf.DUMMYFUNCTION("""COMPUTED_VALUE"""),0.5)</f>
        <v>0.5</v>
      </c>
      <c r="O4742" s="4" t="str">
        <f>IFERROR(__xludf.DUMMYFUNCTION("""COMPUTED_VALUE"""),"Anota Ai Solucoes Digitais S/a")</f>
        <v>Anota Ai Solucoes Digitais S/a</v>
      </c>
      <c r="P4742" s="33">
        <f>IFERROR(__xludf.DUMMYFUNCTION("""COMPUTED_VALUE"""),0.5)</f>
        <v>0.5</v>
      </c>
      <c r="Q4742" s="4" t="str">
        <f>IFERROR(__xludf.DUMMYFUNCTION("""COMPUTED_VALUE"""),"null")</f>
        <v>null</v>
      </c>
      <c r="R4742" s="33">
        <f>IFERROR(__xludf.DUMMYFUNCTION("""COMPUTED_VALUE"""),0.5)</f>
        <v>0.5</v>
      </c>
      <c r="S4742" s="4" t="str">
        <f>IFERROR(__xludf.DUMMYFUNCTION("""COMPUTED_VALUE"""),"null")</f>
        <v>null</v>
      </c>
      <c r="T4742" s="33">
        <f>IFERROR(__xludf.DUMMYFUNCTION("""COMPUTED_VALUE"""),1.0)</f>
        <v>1</v>
      </c>
      <c r="U4742" s="4" t="str">
        <f>IFERROR(__xludf.DUMMYFUNCTION("""COMPUTED_VALUE"""),"null")</f>
        <v>null</v>
      </c>
      <c r="V4742" s="33">
        <f>IFERROR(__xludf.DUMMYFUNCTION("""COMPUTED_VALUE"""),1.0)</f>
        <v>1</v>
      </c>
      <c r="W4742" s="4" t="str">
        <f>IFERROR(__xludf.DUMMYFUNCTION("""COMPUTED_VALUE"""),"Anota Ai Solucoes Digitais S/a")</f>
        <v>Anota Ai Solucoes Digitais S/a</v>
      </c>
      <c r="X4742" s="33">
        <f>IFERROR(__xludf.DUMMYFUNCTION("""COMPUTED_VALUE"""),0.5)</f>
        <v>0.5</v>
      </c>
    </row>
    <row r="4743">
      <c r="K4743" s="4" t="str">
        <f>IFERROR(__xludf.DUMMYFUNCTION("""COMPUTED_VALUE"""),"MR DOGAO")</f>
        <v>MR DOGAO</v>
      </c>
      <c r="L4743" s="32">
        <f>IFERROR(__xludf.DUMMYFUNCTION("""COMPUTED_VALUE"""),2.0)</f>
        <v>2</v>
      </c>
      <c r="M4743" s="4" t="str">
        <f>IFERROR(__xludf.DUMMYFUNCTION("""COMPUTED_VALUE"""),"Glow")</f>
        <v>Glow</v>
      </c>
      <c r="N4743" s="33">
        <f>IFERROR(__xludf.DUMMYFUNCTION("""COMPUTED_VALUE"""),0.5)</f>
        <v>0.5</v>
      </c>
      <c r="O4743" s="4" t="str">
        <f>IFERROR(__xludf.DUMMYFUNCTION("""COMPUTED_VALUE"""),"null")</f>
        <v>null</v>
      </c>
      <c r="P4743" s="33">
        <f>IFERROR(__xludf.DUMMYFUNCTION("""COMPUTED_VALUE"""),1.0)</f>
        <v>1</v>
      </c>
      <c r="Q4743" s="4" t="str">
        <f>IFERROR(__xludf.DUMMYFUNCTION("""COMPUTED_VALUE"""),"null")</f>
        <v>null</v>
      </c>
      <c r="R4743" s="33">
        <f>IFERROR(__xludf.DUMMYFUNCTION("""COMPUTED_VALUE"""),1.0)</f>
        <v>1</v>
      </c>
      <c r="S4743" s="4" t="str">
        <f>IFERROR(__xludf.DUMMYFUNCTION("""COMPUTED_VALUE"""),"null")</f>
        <v>null</v>
      </c>
      <c r="T4743" s="33">
        <f>IFERROR(__xludf.DUMMYFUNCTION("""COMPUTED_VALUE"""),1.0)</f>
        <v>1</v>
      </c>
      <c r="U4743" s="4" t="str">
        <f>IFERROR(__xludf.DUMMYFUNCTION("""COMPUTED_VALUE"""),"Glow")</f>
        <v>Glow</v>
      </c>
      <c r="V4743" s="33">
        <f>IFERROR(__xludf.DUMMYFUNCTION("""COMPUTED_VALUE"""),0.5)</f>
        <v>0.5</v>
      </c>
      <c r="W4743" s="4" t="str">
        <f>IFERROR(__xludf.DUMMYFUNCTION("""COMPUTED_VALUE"""),"Glow")</f>
        <v>Glow</v>
      </c>
      <c r="X4743" s="33">
        <f>IFERROR(__xludf.DUMMYFUNCTION("""COMPUTED_VALUE"""),0.5)</f>
        <v>0.5</v>
      </c>
    </row>
    <row r="4744">
      <c r="K4744" s="4" t="str">
        <f>IFERROR(__xludf.DUMMYFUNCTION("""COMPUTED_VALUE"""),"BOA PIZZA")</f>
        <v>BOA PIZZA</v>
      </c>
      <c r="L4744" s="32">
        <f>IFERROR(__xludf.DUMMYFUNCTION("""COMPUTED_VALUE"""),2.0)</f>
        <v>2</v>
      </c>
      <c r="M4744" s="4" t="str">
        <f>IFERROR(__xludf.DUMMYFUNCTION("""COMPUTED_VALUE"""),"Suitable Tecnologia E Gestao")</f>
        <v>Suitable Tecnologia E Gestao</v>
      </c>
      <c r="N4744" s="33">
        <f>IFERROR(__xludf.DUMMYFUNCTION("""COMPUTED_VALUE"""),0.5)</f>
        <v>0.5</v>
      </c>
      <c r="O4744" s="4" t="str">
        <f>IFERROR(__xludf.DUMMYFUNCTION("""COMPUTED_VALUE"""),"Suitable Tecnologia E Gestao")</f>
        <v>Suitable Tecnologia E Gestao</v>
      </c>
      <c r="P4744" s="33">
        <f>IFERROR(__xludf.DUMMYFUNCTION("""COMPUTED_VALUE"""),0.5)</f>
        <v>0.5</v>
      </c>
      <c r="Q4744" s="4" t="str">
        <f>IFERROR(__xludf.DUMMYFUNCTION("""COMPUTED_VALUE"""),"Suitable Tecnologia E Gestao")</f>
        <v>Suitable Tecnologia E Gestao</v>
      </c>
      <c r="R4744" s="33">
        <f>IFERROR(__xludf.DUMMYFUNCTION("""COMPUTED_VALUE"""),0.5)</f>
        <v>0.5</v>
      </c>
      <c r="S4744" s="4" t="str">
        <f>IFERROR(__xludf.DUMMYFUNCTION("""COMPUTED_VALUE"""),"null")</f>
        <v>null</v>
      </c>
      <c r="T4744" s="33">
        <f>IFERROR(__xludf.DUMMYFUNCTION("""COMPUTED_VALUE"""),0.5)</f>
        <v>0.5</v>
      </c>
      <c r="U4744" s="4" t="str">
        <f>IFERROR(__xludf.DUMMYFUNCTION("""COMPUTED_VALUE"""),"null")</f>
        <v>null</v>
      </c>
      <c r="V4744" s="33">
        <f>IFERROR(__xludf.DUMMYFUNCTION("""COMPUTED_VALUE"""),0.5)</f>
        <v>0.5</v>
      </c>
      <c r="W4744" s="4" t="str">
        <f>IFERROR(__xludf.DUMMYFUNCTION("""COMPUTED_VALUE"""),"null")</f>
        <v>null</v>
      </c>
      <c r="X4744" s="33">
        <f>IFERROR(__xludf.DUMMYFUNCTION("""COMPUTED_VALUE"""),0.5)</f>
        <v>0.5</v>
      </c>
    </row>
    <row r="4745">
      <c r="K4745" s="4" t="str">
        <f>IFERROR(__xludf.DUMMYFUNCTION("""COMPUTED_VALUE"""),"HAUS")</f>
        <v>HAUS</v>
      </c>
      <c r="L4745" s="32">
        <f>IFERROR(__xludf.DUMMYFUNCTION("""COMPUTED_VALUE"""),2.0)</f>
        <v>2</v>
      </c>
      <c r="M4745" s="4" t="str">
        <f>IFERROR(__xludf.DUMMYFUNCTION("""COMPUTED_VALUE"""),"Suitable Tecnologia E Gestao")</f>
        <v>Suitable Tecnologia E Gestao</v>
      </c>
      <c r="N4745" s="33">
        <f>IFERROR(__xludf.DUMMYFUNCTION("""COMPUTED_VALUE"""),0.5)</f>
        <v>0.5</v>
      </c>
      <c r="O4745" s="4" t="str">
        <f>IFERROR(__xludf.DUMMYFUNCTION("""COMPUTED_VALUE"""),"Suitable Tecnologia E Gestao")</f>
        <v>Suitable Tecnologia E Gestao</v>
      </c>
      <c r="P4745" s="33">
        <f>IFERROR(__xludf.DUMMYFUNCTION("""COMPUTED_VALUE"""),0.5)</f>
        <v>0.5</v>
      </c>
      <c r="Q4745" s="4" t="str">
        <f>IFERROR(__xludf.DUMMYFUNCTION("""COMPUTED_VALUE"""),"Suitable Tecnologia E Gestao")</f>
        <v>Suitable Tecnologia E Gestao</v>
      </c>
      <c r="R4745" s="33">
        <f>IFERROR(__xludf.DUMMYFUNCTION("""COMPUTED_VALUE"""),0.5)</f>
        <v>0.5</v>
      </c>
      <c r="S4745" s="4" t="str">
        <f>IFERROR(__xludf.DUMMYFUNCTION("""COMPUTED_VALUE"""),"Suitable Tecnologia E Gestao")</f>
        <v>Suitable Tecnologia E Gestao</v>
      </c>
      <c r="T4745" s="33">
        <f>IFERROR(__xludf.DUMMYFUNCTION("""COMPUTED_VALUE"""),0.5)</f>
        <v>0.5</v>
      </c>
      <c r="U4745" s="4" t="str">
        <f>IFERROR(__xludf.DUMMYFUNCTION("""COMPUTED_VALUE"""),"Suitable Tecnologia E Gestao")</f>
        <v>Suitable Tecnologia E Gestao</v>
      </c>
      <c r="V4745" s="33">
        <f>IFERROR(__xludf.DUMMYFUNCTION("""COMPUTED_VALUE"""),0.5)</f>
        <v>0.5</v>
      </c>
      <c r="W4745" s="4" t="str">
        <f>IFERROR(__xludf.DUMMYFUNCTION("""COMPUTED_VALUE"""),"Suitable Tecnologia E Gestao")</f>
        <v>Suitable Tecnologia E Gestao</v>
      </c>
      <c r="X4745" s="33">
        <f>IFERROR(__xludf.DUMMYFUNCTION("""COMPUTED_VALUE"""),0.5)</f>
        <v>0.5</v>
      </c>
    </row>
    <row r="4746">
      <c r="K4746" s="4" t="str">
        <f>IFERROR(__xludf.DUMMYFUNCTION("""COMPUTED_VALUE"""),"CASAL 20 LANCHES")</f>
        <v>CASAL 20 LANCHES</v>
      </c>
      <c r="L4746" s="32">
        <f>IFERROR(__xludf.DUMMYFUNCTION("""COMPUTED_VALUE"""),2.0)</f>
        <v>2</v>
      </c>
      <c r="M4746" s="4" t="str">
        <f>IFERROR(__xludf.DUMMYFUNCTION("""COMPUTED_VALUE"""),"Yooga")</f>
        <v>Yooga</v>
      </c>
      <c r="N4746" s="33">
        <f>IFERROR(__xludf.DUMMYFUNCTION("""COMPUTED_VALUE"""),0.5)</f>
        <v>0.5</v>
      </c>
      <c r="O4746" s="4" t="str">
        <f>IFERROR(__xludf.DUMMYFUNCTION("""COMPUTED_VALUE"""),"Yooga")</f>
        <v>Yooga</v>
      </c>
      <c r="P4746" s="33">
        <f>IFERROR(__xludf.DUMMYFUNCTION("""COMPUTED_VALUE"""),0.5)</f>
        <v>0.5</v>
      </c>
      <c r="Q4746" s="4" t="str">
        <f>IFERROR(__xludf.DUMMYFUNCTION("""COMPUTED_VALUE"""),"Yooga")</f>
        <v>Yooga</v>
      </c>
      <c r="R4746" s="33">
        <f>IFERROR(__xludf.DUMMYFUNCTION("""COMPUTED_VALUE"""),0.5)</f>
        <v>0.5</v>
      </c>
      <c r="S4746" s="4" t="str">
        <f>IFERROR(__xludf.DUMMYFUNCTION("""COMPUTED_VALUE"""),"Yooga")</f>
        <v>Yooga</v>
      </c>
      <c r="T4746" s="33">
        <f>IFERROR(__xludf.DUMMYFUNCTION("""COMPUTED_VALUE"""),0.5)</f>
        <v>0.5</v>
      </c>
      <c r="U4746" s="4" t="str">
        <f>IFERROR(__xludf.DUMMYFUNCTION("""COMPUTED_VALUE"""),"Yooga")</f>
        <v>Yooga</v>
      </c>
      <c r="V4746" s="33">
        <f>IFERROR(__xludf.DUMMYFUNCTION("""COMPUTED_VALUE"""),0.5)</f>
        <v>0.5</v>
      </c>
      <c r="W4746" s="4" t="str">
        <f>IFERROR(__xludf.DUMMYFUNCTION("""COMPUTED_VALUE"""),"Yooga")</f>
        <v>Yooga</v>
      </c>
      <c r="X4746" s="33">
        <f>IFERROR(__xludf.DUMMYFUNCTION("""COMPUTED_VALUE"""),0.5)</f>
        <v>0.5</v>
      </c>
    </row>
    <row r="4747">
      <c r="K4747" s="4" t="str">
        <f>IFERROR(__xludf.DUMMYFUNCTION("""COMPUTED_VALUE"""),"PRIME FARMA")</f>
        <v>PRIME FARMA</v>
      </c>
      <c r="L4747" s="32">
        <f>IFERROR(__xludf.DUMMYFUNCTION("""COMPUTED_VALUE"""),2.0)</f>
        <v>2</v>
      </c>
      <c r="M4747" s="4" t="str">
        <f>IFERROR(__xludf.DUMMYFUNCTION("""COMPUTED_VALUE"""),"N/A (Not found)")</f>
        <v>N/A (Not found)</v>
      </c>
      <c r="N4747" s="33">
        <f>IFERROR(__xludf.DUMMYFUNCTION("""COMPUTED_VALUE"""),1.0)</f>
        <v>1</v>
      </c>
      <c r="O4747" s="4" t="str">
        <f>IFERROR(__xludf.DUMMYFUNCTION("""COMPUTED_VALUE"""),"N/A (Not found)")</f>
        <v>N/A (Not found)</v>
      </c>
      <c r="P4747" s="33">
        <f>IFERROR(__xludf.DUMMYFUNCTION("""COMPUTED_VALUE"""),1.0)</f>
        <v>1</v>
      </c>
      <c r="Q4747" s="4" t="str">
        <f>IFERROR(__xludf.DUMMYFUNCTION("""COMPUTED_VALUE"""),"N/A (Not found)")</f>
        <v>N/A (Not found)</v>
      </c>
      <c r="R4747" s="33">
        <f>IFERROR(__xludf.DUMMYFUNCTION("""COMPUTED_VALUE"""),1.0)</f>
        <v>1</v>
      </c>
      <c r="S4747" s="4" t="str">
        <f>IFERROR(__xludf.DUMMYFUNCTION("""COMPUTED_VALUE"""),"N/A (Not found)")</f>
        <v>N/A (Not found)</v>
      </c>
      <c r="T4747" s="33">
        <f>IFERROR(__xludf.DUMMYFUNCTION("""COMPUTED_VALUE"""),1.0)</f>
        <v>1</v>
      </c>
      <c r="U4747" s="4" t="str">
        <f>IFERROR(__xludf.DUMMYFUNCTION("""COMPUTED_VALUE"""),"N/A (Not found)")</f>
        <v>N/A (Not found)</v>
      </c>
      <c r="V4747" s="33">
        <f>IFERROR(__xludf.DUMMYFUNCTION("""COMPUTED_VALUE"""),1.0)</f>
        <v>1</v>
      </c>
      <c r="W4747" s="4" t="str">
        <f>IFERROR(__xludf.DUMMYFUNCTION("""COMPUTED_VALUE"""),"N/A (Not found)")</f>
        <v>N/A (Not found)</v>
      </c>
      <c r="X4747" s="33">
        <f>IFERROR(__xludf.DUMMYFUNCTION("""COMPUTED_VALUE"""),1.0)</f>
        <v>1</v>
      </c>
    </row>
    <row r="4748">
      <c r="K4748" s="4" t="str">
        <f>IFERROR(__xludf.DUMMYFUNCTION("""COMPUTED_VALUE"""),"VINIL SANDWICH E BURGUER SHOP")</f>
        <v>VINIL SANDWICH E BURGUER SHOP</v>
      </c>
      <c r="L4748" s="32">
        <f>IFERROR(__xludf.DUMMYFUNCTION("""COMPUTED_VALUE"""),2.0)</f>
        <v>2</v>
      </c>
      <c r="M4748" s="4" t="str">
        <f>IFERROR(__xludf.DUMMYFUNCTION("""COMPUTED_VALUE"""),"Cardápio Web")</f>
        <v>Cardápio Web</v>
      </c>
      <c r="N4748" s="33">
        <f>IFERROR(__xludf.DUMMYFUNCTION("""COMPUTED_VALUE"""),1.0)</f>
        <v>1</v>
      </c>
      <c r="O4748" s="4" t="str">
        <f>IFERROR(__xludf.DUMMYFUNCTION("""COMPUTED_VALUE"""),"Cardápio Web")</f>
        <v>Cardápio Web</v>
      </c>
      <c r="P4748" s="33">
        <f>IFERROR(__xludf.DUMMYFUNCTION("""COMPUTED_VALUE"""),1.0)</f>
        <v>1</v>
      </c>
      <c r="Q4748" s="4" t="str">
        <f>IFERROR(__xludf.DUMMYFUNCTION("""COMPUTED_VALUE"""),"Cardápio Web")</f>
        <v>Cardápio Web</v>
      </c>
      <c r="R4748" s="33">
        <f>IFERROR(__xludf.DUMMYFUNCTION("""COMPUTED_VALUE"""),1.0)</f>
        <v>1</v>
      </c>
      <c r="S4748" s="4" t="str">
        <f>IFERROR(__xludf.DUMMYFUNCTION("""COMPUTED_VALUE"""),"Cardápio Web")</f>
        <v>Cardápio Web</v>
      </c>
      <c r="T4748" s="33">
        <f>IFERROR(__xludf.DUMMYFUNCTION("""COMPUTED_VALUE"""),0.5)</f>
        <v>0.5</v>
      </c>
      <c r="U4748" s="4" t="str">
        <f>IFERROR(__xludf.DUMMYFUNCTION("""COMPUTED_VALUE"""),"Cardápio Web")</f>
        <v>Cardápio Web</v>
      </c>
      <c r="V4748" s="33">
        <f>IFERROR(__xludf.DUMMYFUNCTION("""COMPUTED_VALUE"""),0.5)</f>
        <v>0.5</v>
      </c>
      <c r="W4748" s="4" t="str">
        <f>IFERROR(__xludf.DUMMYFUNCTION("""COMPUTED_VALUE"""),"Cardápio Web")</f>
        <v>Cardápio Web</v>
      </c>
      <c r="X4748" s="33">
        <f>IFERROR(__xludf.DUMMYFUNCTION("""COMPUTED_VALUE"""),0.5)</f>
        <v>0.5</v>
      </c>
    </row>
    <row r="4749">
      <c r="K4749" s="4" t="str">
        <f>IFERROR(__xludf.DUMMYFUNCTION("""COMPUTED_VALUE"""),"PIZZARIA MAGNIFICA")</f>
        <v>PIZZARIA MAGNIFICA</v>
      </c>
      <c r="L4749" s="32">
        <f>IFERROR(__xludf.DUMMYFUNCTION("""COMPUTED_VALUE"""),2.0)</f>
        <v>2</v>
      </c>
      <c r="M4749" s="4" t="str">
        <f>IFERROR(__xludf.DUMMYFUNCTION("""COMPUTED_VALUE"""),"null")</f>
        <v>null</v>
      </c>
      <c r="N4749" s="33">
        <f>IFERROR(__xludf.DUMMYFUNCTION("""COMPUTED_VALUE"""),0.5)</f>
        <v>0.5</v>
      </c>
      <c r="O4749" s="4" t="str">
        <f>IFERROR(__xludf.DUMMYFUNCTION("""COMPUTED_VALUE"""),"Anota Ai Solucoes Digitais S/a")</f>
        <v>Anota Ai Solucoes Digitais S/a</v>
      </c>
      <c r="P4749" s="33">
        <f>IFERROR(__xludf.DUMMYFUNCTION("""COMPUTED_VALUE"""),0.5)</f>
        <v>0.5</v>
      </c>
      <c r="Q4749" s="4" t="str">
        <f>IFERROR(__xludf.DUMMYFUNCTION("""COMPUTED_VALUE"""),"Anota Ai Solucoes Digitais S/a")</f>
        <v>Anota Ai Solucoes Digitais S/a</v>
      </c>
      <c r="R4749" s="33">
        <f>IFERROR(__xludf.DUMMYFUNCTION("""COMPUTED_VALUE"""),0.5)</f>
        <v>0.5</v>
      </c>
      <c r="S4749" s="4" t="str">
        <f>IFERROR(__xludf.DUMMYFUNCTION("""COMPUTED_VALUE"""),"Anota Ai Solucoes Digitais S/a")</f>
        <v>Anota Ai Solucoes Digitais S/a</v>
      </c>
      <c r="T4749" s="33">
        <f>IFERROR(__xludf.DUMMYFUNCTION("""COMPUTED_VALUE"""),0.5)</f>
        <v>0.5</v>
      </c>
      <c r="U4749" s="4" t="str">
        <f>IFERROR(__xludf.DUMMYFUNCTION("""COMPUTED_VALUE"""),"Anota Ai Solucoes Digitais S/a")</f>
        <v>Anota Ai Solucoes Digitais S/a</v>
      </c>
      <c r="V4749" s="33">
        <f>IFERROR(__xludf.DUMMYFUNCTION("""COMPUTED_VALUE"""),0.5)</f>
        <v>0.5</v>
      </c>
      <c r="W4749" s="4" t="str">
        <f>IFERROR(__xludf.DUMMYFUNCTION("""COMPUTED_VALUE"""),"null")</f>
        <v>null</v>
      </c>
      <c r="X4749" s="33">
        <f>IFERROR(__xludf.DUMMYFUNCTION("""COMPUTED_VALUE"""),0.5)</f>
        <v>0.5</v>
      </c>
    </row>
    <row r="4750">
      <c r="K4750" s="4" t="str">
        <f>IFERROR(__xludf.DUMMYFUNCTION("""COMPUTED_VALUE"""),"KAUA SUSHI")</f>
        <v>KAUA SUSHI</v>
      </c>
      <c r="L4750" s="32">
        <f>IFERROR(__xludf.DUMMYFUNCTION("""COMPUTED_VALUE"""),2.0)</f>
        <v>2</v>
      </c>
      <c r="M4750" s="4" t="str">
        <f>IFERROR(__xludf.DUMMYFUNCTION("""COMPUTED_VALUE"""),"Beefood - Sistema Para Restaurantes")</f>
        <v>Beefood - Sistema Para Restaurantes</v>
      </c>
      <c r="N4750" s="33">
        <f>IFERROR(__xludf.DUMMYFUNCTION("""COMPUTED_VALUE"""),1.0)</f>
        <v>1</v>
      </c>
      <c r="O4750" s="4" t="str">
        <f>IFERROR(__xludf.DUMMYFUNCTION("""COMPUTED_VALUE"""),"Beefood - Sistema Para Restaurantes")</f>
        <v>Beefood - Sistema Para Restaurantes</v>
      </c>
      <c r="P4750" s="33">
        <f>IFERROR(__xludf.DUMMYFUNCTION("""COMPUTED_VALUE"""),1.0)</f>
        <v>1</v>
      </c>
      <c r="Q4750" s="4" t="str">
        <f>IFERROR(__xludf.DUMMYFUNCTION("""COMPUTED_VALUE"""),"Beefood - Sistema Para Restaurantes")</f>
        <v>Beefood - Sistema Para Restaurantes</v>
      </c>
      <c r="R4750" s="33">
        <f>IFERROR(__xludf.DUMMYFUNCTION("""COMPUTED_VALUE"""),1.0)</f>
        <v>1</v>
      </c>
      <c r="S4750" s="4" t="str">
        <f>IFERROR(__xludf.DUMMYFUNCTION("""COMPUTED_VALUE"""),"Beefood - Sistema Para Restaurantes")</f>
        <v>Beefood - Sistema Para Restaurantes</v>
      </c>
      <c r="T4750" s="33">
        <f>IFERROR(__xludf.DUMMYFUNCTION("""COMPUTED_VALUE"""),1.0)</f>
        <v>1</v>
      </c>
      <c r="U4750" s="4" t="str">
        <f>IFERROR(__xludf.DUMMYFUNCTION("""COMPUTED_VALUE"""),"Beefood - Sistema Para Restaurantes")</f>
        <v>Beefood - Sistema Para Restaurantes</v>
      </c>
      <c r="V4750" s="33">
        <f>IFERROR(__xludf.DUMMYFUNCTION("""COMPUTED_VALUE"""),1.0)</f>
        <v>1</v>
      </c>
      <c r="W4750" s="4" t="str">
        <f>IFERROR(__xludf.DUMMYFUNCTION("""COMPUTED_VALUE"""),"Beefood - Sistema Para Restaurantes")</f>
        <v>Beefood - Sistema Para Restaurantes</v>
      </c>
      <c r="X4750" s="33">
        <f>IFERROR(__xludf.DUMMYFUNCTION("""COMPUTED_VALUE"""),1.0)</f>
        <v>1</v>
      </c>
    </row>
    <row r="4751">
      <c r="K4751" s="4" t="str">
        <f>IFERROR(__xludf.DUMMYFUNCTION("""COMPUTED_VALUE"""),"POKE ME")</f>
        <v>POKE ME</v>
      </c>
      <c r="L4751" s="32">
        <f>IFERROR(__xludf.DUMMYFUNCTION("""COMPUTED_VALUE"""),2.0)</f>
        <v>2</v>
      </c>
      <c r="M4751" s="4" t="str">
        <f>IFERROR(__xludf.DUMMYFUNCTION("""COMPUTED_VALUE"""),"Suitable Tecnologia E Gestao")</f>
        <v>Suitable Tecnologia E Gestao</v>
      </c>
      <c r="N4751" s="33">
        <f>IFERROR(__xludf.DUMMYFUNCTION("""COMPUTED_VALUE"""),0.5)</f>
        <v>0.5</v>
      </c>
      <c r="O4751" s="4" t="str">
        <f>IFERROR(__xludf.DUMMYFUNCTION("""COMPUTED_VALUE"""),"null")</f>
        <v>null</v>
      </c>
      <c r="P4751" s="33">
        <f>IFERROR(__xludf.DUMMYFUNCTION("""COMPUTED_VALUE"""),0.5)</f>
        <v>0.5</v>
      </c>
      <c r="Q4751" s="4" t="str">
        <f>IFERROR(__xludf.DUMMYFUNCTION("""COMPUTED_VALUE"""),"Suitable Tecnologia E Gestao")</f>
        <v>Suitable Tecnologia E Gestao</v>
      </c>
      <c r="R4751" s="33">
        <f>IFERROR(__xludf.DUMMYFUNCTION("""COMPUTED_VALUE"""),0.5)</f>
        <v>0.5</v>
      </c>
      <c r="S4751" s="4" t="str">
        <f>IFERROR(__xludf.DUMMYFUNCTION("""COMPUTED_VALUE"""),"Suitable Tecnologia E Gestao")</f>
        <v>Suitable Tecnologia E Gestao</v>
      </c>
      <c r="T4751" s="33">
        <f>IFERROR(__xludf.DUMMYFUNCTION("""COMPUTED_VALUE"""),0.5)</f>
        <v>0.5</v>
      </c>
      <c r="U4751" s="4" t="str">
        <f>IFERROR(__xludf.DUMMYFUNCTION("""COMPUTED_VALUE"""),"Suitable Tecnologia E Gestao")</f>
        <v>Suitable Tecnologia E Gestao</v>
      </c>
      <c r="V4751" s="33">
        <f>IFERROR(__xludf.DUMMYFUNCTION("""COMPUTED_VALUE"""),0.5)</f>
        <v>0.5</v>
      </c>
      <c r="W4751" s="4" t="str">
        <f>IFERROR(__xludf.DUMMYFUNCTION("""COMPUTED_VALUE"""),"null")</f>
        <v>null</v>
      </c>
      <c r="X4751" s="33">
        <f>IFERROR(__xludf.DUMMYFUNCTION("""COMPUTED_VALUE"""),0.5)</f>
        <v>0.5</v>
      </c>
    </row>
    <row r="4752">
      <c r="K4752" s="4" t="str">
        <f>IFERROR(__xludf.DUMMYFUNCTION("""COMPUTED_VALUE"""),"LEIDI LANCHES")</f>
        <v>LEIDI LANCHES</v>
      </c>
      <c r="L4752" s="32">
        <f>IFERROR(__xludf.DUMMYFUNCTION("""COMPUTED_VALUE"""),2.0)</f>
        <v>2</v>
      </c>
      <c r="M4752" s="4" t="str">
        <f>IFERROR(__xludf.DUMMYFUNCTION("""COMPUTED_VALUE"""),"Alloy Tecnologia")</f>
        <v>Alloy Tecnologia</v>
      </c>
      <c r="N4752" s="33">
        <f>IFERROR(__xludf.DUMMYFUNCTION("""COMPUTED_VALUE"""),0.5)</f>
        <v>0.5</v>
      </c>
      <c r="O4752" s="4" t="str">
        <f>IFERROR(__xludf.DUMMYFUNCTION("""COMPUTED_VALUE"""),"null")</f>
        <v>null</v>
      </c>
      <c r="P4752" s="33">
        <f>IFERROR(__xludf.DUMMYFUNCTION("""COMPUTED_VALUE"""),1.0)</f>
        <v>1</v>
      </c>
      <c r="Q4752" s="4" t="str">
        <f>IFERROR(__xludf.DUMMYFUNCTION("""COMPUTED_VALUE"""),"Alloy Tecnologia")</f>
        <v>Alloy Tecnologia</v>
      </c>
      <c r="R4752" s="33">
        <f>IFERROR(__xludf.DUMMYFUNCTION("""COMPUTED_VALUE"""),0.5)</f>
        <v>0.5</v>
      </c>
      <c r="S4752" s="4" t="str">
        <f>IFERROR(__xludf.DUMMYFUNCTION("""COMPUTED_VALUE"""),"null")</f>
        <v>null</v>
      </c>
      <c r="T4752" s="33">
        <f>IFERROR(__xludf.DUMMYFUNCTION("""COMPUTED_VALUE"""),0.5)</f>
        <v>0.5</v>
      </c>
      <c r="U4752" s="4" t="str">
        <f>IFERROR(__xludf.DUMMYFUNCTION("""COMPUTED_VALUE"""),"null")</f>
        <v>null</v>
      </c>
      <c r="V4752" s="33">
        <f>IFERROR(__xludf.DUMMYFUNCTION("""COMPUTED_VALUE"""),0.5)</f>
        <v>0.5</v>
      </c>
      <c r="W4752" s="4" t="str">
        <f>IFERROR(__xludf.DUMMYFUNCTION("""COMPUTED_VALUE"""),"null")</f>
        <v>null</v>
      </c>
      <c r="X4752" s="33">
        <f>IFERROR(__xludf.DUMMYFUNCTION("""COMPUTED_VALUE"""),0.5)</f>
        <v>0.5</v>
      </c>
    </row>
    <row r="4753">
      <c r="K4753" s="4" t="str">
        <f>IFERROR(__xludf.DUMMYFUNCTION("""COMPUTED_VALUE"""),"TOCA DO FRANGO")</f>
        <v>TOCA DO FRANGO</v>
      </c>
      <c r="L4753" s="32">
        <f>IFERROR(__xludf.DUMMYFUNCTION("""COMPUTED_VALUE"""),2.0)</f>
        <v>2</v>
      </c>
      <c r="M4753" s="4" t="str">
        <f>IFERROR(__xludf.DUMMYFUNCTION("""COMPUTED_VALUE"""),"Anota Ai Solucoes Digitais S/a")</f>
        <v>Anota Ai Solucoes Digitais S/a</v>
      </c>
      <c r="N4753" s="33">
        <f>IFERROR(__xludf.DUMMYFUNCTION("""COMPUTED_VALUE"""),0.5)</f>
        <v>0.5</v>
      </c>
      <c r="O4753" s="4" t="str">
        <f>IFERROR(__xludf.DUMMYFUNCTION("""COMPUTED_VALUE"""),"null")</f>
        <v>null</v>
      </c>
      <c r="P4753" s="33">
        <f>IFERROR(__xludf.DUMMYFUNCTION("""COMPUTED_VALUE"""),1.0)</f>
        <v>1</v>
      </c>
      <c r="Q4753" s="4" t="str">
        <f>IFERROR(__xludf.DUMMYFUNCTION("""COMPUTED_VALUE"""),"null")</f>
        <v>null</v>
      </c>
      <c r="R4753" s="33">
        <f>IFERROR(__xludf.DUMMYFUNCTION("""COMPUTED_VALUE"""),1.0)</f>
        <v>1</v>
      </c>
      <c r="S4753" s="4" t="str">
        <f>IFERROR(__xludf.DUMMYFUNCTION("""COMPUTED_VALUE"""),"null")</f>
        <v>null</v>
      </c>
      <c r="T4753" s="33">
        <f>IFERROR(__xludf.DUMMYFUNCTION("""COMPUTED_VALUE"""),1.0)</f>
        <v>1</v>
      </c>
      <c r="U4753" s="4" t="str">
        <f>IFERROR(__xludf.DUMMYFUNCTION("""COMPUTED_VALUE"""),"null")</f>
        <v>null</v>
      </c>
      <c r="V4753" s="33">
        <f>IFERROR(__xludf.DUMMYFUNCTION("""COMPUTED_VALUE"""),0.5)</f>
        <v>0.5</v>
      </c>
      <c r="W4753" s="4" t="str">
        <f>IFERROR(__xludf.DUMMYFUNCTION("""COMPUTED_VALUE"""),"null")</f>
        <v>null</v>
      </c>
      <c r="X4753" s="33">
        <f>IFERROR(__xludf.DUMMYFUNCTION("""COMPUTED_VALUE"""),0.5)</f>
        <v>0.5</v>
      </c>
    </row>
    <row r="4754">
      <c r="K4754" s="4" t="str">
        <f>IFERROR(__xludf.DUMMYFUNCTION("""COMPUTED_VALUE"""),"ACAI GO")</f>
        <v>ACAI GO</v>
      </c>
      <c r="L4754" s="32">
        <f>IFERROR(__xludf.DUMMYFUNCTION("""COMPUTED_VALUE"""),2.0)</f>
        <v>2</v>
      </c>
      <c r="M4754" s="4" t="str">
        <f>IFERROR(__xludf.DUMMYFUNCTION("""COMPUTED_VALUE"""),"Mp Multipedidos")</f>
        <v>Mp Multipedidos</v>
      </c>
      <c r="N4754" s="33">
        <f>IFERROR(__xludf.DUMMYFUNCTION("""COMPUTED_VALUE"""),0.5)</f>
        <v>0.5</v>
      </c>
      <c r="O4754" s="4" t="str">
        <f>IFERROR(__xludf.DUMMYFUNCTION("""COMPUTED_VALUE"""),"Mp Multipedidos")</f>
        <v>Mp Multipedidos</v>
      </c>
      <c r="P4754" s="33">
        <f>IFERROR(__xludf.DUMMYFUNCTION("""COMPUTED_VALUE"""),0.5)</f>
        <v>0.5</v>
      </c>
      <c r="Q4754" s="4" t="str">
        <f>IFERROR(__xludf.DUMMYFUNCTION("""COMPUTED_VALUE"""),"Mp Multipedidos")</f>
        <v>Mp Multipedidos</v>
      </c>
      <c r="R4754" s="33">
        <f>IFERROR(__xludf.DUMMYFUNCTION("""COMPUTED_VALUE"""),0.5)</f>
        <v>0.5</v>
      </c>
      <c r="S4754" s="4" t="str">
        <f>IFERROR(__xludf.DUMMYFUNCTION("""COMPUTED_VALUE"""),"Mp Multipedidos")</f>
        <v>Mp Multipedidos</v>
      </c>
      <c r="T4754" s="33">
        <f>IFERROR(__xludf.DUMMYFUNCTION("""COMPUTED_VALUE"""),0.5)</f>
        <v>0.5</v>
      </c>
      <c r="U4754" s="4" t="str">
        <f>IFERROR(__xludf.DUMMYFUNCTION("""COMPUTED_VALUE"""),"Mp Multipedidos")</f>
        <v>Mp Multipedidos</v>
      </c>
      <c r="V4754" s="33">
        <f>IFERROR(__xludf.DUMMYFUNCTION("""COMPUTED_VALUE"""),0.5)</f>
        <v>0.5</v>
      </c>
      <c r="W4754" s="4" t="str">
        <f>IFERROR(__xludf.DUMMYFUNCTION("""COMPUTED_VALUE"""),"Mp Multipedidos")</f>
        <v>Mp Multipedidos</v>
      </c>
      <c r="X4754" s="33">
        <f>IFERROR(__xludf.DUMMYFUNCTION("""COMPUTED_VALUE"""),0.5)</f>
        <v>0.5</v>
      </c>
    </row>
    <row r="4755">
      <c r="K4755" s="4" t="str">
        <f>IFERROR(__xludf.DUMMYFUNCTION("""COMPUTED_VALUE"""),"SANTA FUMACA HAMBURGUERIA ARTESANAL")</f>
        <v>SANTA FUMACA HAMBURGUERIA ARTESANAL</v>
      </c>
      <c r="L4755" s="32">
        <f>IFERROR(__xludf.DUMMYFUNCTION("""COMPUTED_VALUE"""),2.0)</f>
        <v>2</v>
      </c>
      <c r="M4755" s="4" t="str">
        <f>IFERROR(__xludf.DUMMYFUNCTION("""COMPUTED_VALUE"""),"Suitable Tecnologia E Gestao")</f>
        <v>Suitable Tecnologia E Gestao</v>
      </c>
      <c r="N4755" s="33">
        <f>IFERROR(__xludf.DUMMYFUNCTION("""COMPUTED_VALUE"""),1.0)</f>
        <v>1</v>
      </c>
      <c r="O4755" s="4" t="str">
        <f>IFERROR(__xludf.DUMMYFUNCTION("""COMPUTED_VALUE"""),"Suitable Tecnologia E Gestao")</f>
        <v>Suitable Tecnologia E Gestao</v>
      </c>
      <c r="P4755" s="33">
        <f>IFERROR(__xludf.DUMMYFUNCTION("""COMPUTED_VALUE"""),1.0)</f>
        <v>1</v>
      </c>
      <c r="Q4755" s="4" t="str">
        <f>IFERROR(__xludf.DUMMYFUNCTION("""COMPUTED_VALUE"""),"Suitable Tecnologia E Gestao")</f>
        <v>Suitable Tecnologia E Gestao</v>
      </c>
      <c r="R4755" s="33">
        <f>IFERROR(__xludf.DUMMYFUNCTION("""COMPUTED_VALUE"""),1.0)</f>
        <v>1</v>
      </c>
      <c r="S4755" s="4" t="str">
        <f>IFERROR(__xludf.DUMMYFUNCTION("""COMPUTED_VALUE"""),"Suitable Tecnologia E Gestao")</f>
        <v>Suitable Tecnologia E Gestao</v>
      </c>
      <c r="T4755" s="33">
        <f>IFERROR(__xludf.DUMMYFUNCTION("""COMPUTED_VALUE"""),1.0)</f>
        <v>1</v>
      </c>
      <c r="U4755" s="4" t="str">
        <f>IFERROR(__xludf.DUMMYFUNCTION("""COMPUTED_VALUE"""),"null")</f>
        <v>null</v>
      </c>
      <c r="V4755" s="33">
        <f>IFERROR(__xludf.DUMMYFUNCTION("""COMPUTED_VALUE"""),0.5)</f>
        <v>0.5</v>
      </c>
      <c r="W4755" s="4" t="str">
        <f>IFERROR(__xludf.DUMMYFUNCTION("""COMPUTED_VALUE"""),"null")</f>
        <v>null</v>
      </c>
      <c r="X4755" s="33">
        <f>IFERROR(__xludf.DUMMYFUNCTION("""COMPUTED_VALUE"""),0.5)</f>
        <v>0.5</v>
      </c>
    </row>
    <row r="4756">
      <c r="K4756" s="4" t="str">
        <f>IFERROR(__xludf.DUMMYFUNCTION("""COMPUTED_VALUE"""),"FARMACIA NOVA BRASIL")</f>
        <v>FARMACIA NOVA BRASIL</v>
      </c>
      <c r="L4756" s="32">
        <f>IFERROR(__xludf.DUMMYFUNCTION("""COMPUTED_VALUE"""),2.0)</f>
        <v>2</v>
      </c>
      <c r="M4756" s="4" t="str">
        <f>IFERROR(__xludf.DUMMYFUNCTION("""COMPUTED_VALUE"""),"N/A (Not found)")</f>
        <v>N/A (Not found)</v>
      </c>
      <c r="N4756" s="33">
        <f>IFERROR(__xludf.DUMMYFUNCTION("""COMPUTED_VALUE"""),0.5)</f>
        <v>0.5</v>
      </c>
      <c r="O4756" s="4" t="str">
        <f>IFERROR(__xludf.DUMMYFUNCTION("""COMPUTED_VALUE"""),"N/A (Not found)")</f>
        <v>N/A (Not found)</v>
      </c>
      <c r="P4756" s="33">
        <f>IFERROR(__xludf.DUMMYFUNCTION("""COMPUTED_VALUE"""),0.5)</f>
        <v>0.5</v>
      </c>
      <c r="Q4756" s="4" t="str">
        <f>IFERROR(__xludf.DUMMYFUNCTION("""COMPUTED_VALUE"""),"N/A (Not found)")</f>
        <v>N/A (Not found)</v>
      </c>
      <c r="R4756" s="33">
        <f>IFERROR(__xludf.DUMMYFUNCTION("""COMPUTED_VALUE"""),0.5)</f>
        <v>0.5</v>
      </c>
      <c r="S4756" s="4" t="str">
        <f>IFERROR(__xludf.DUMMYFUNCTION("""COMPUTED_VALUE"""),"N/A (Not found)")</f>
        <v>N/A (Not found)</v>
      </c>
      <c r="T4756" s="33">
        <f>IFERROR(__xludf.DUMMYFUNCTION("""COMPUTED_VALUE"""),0.5)</f>
        <v>0.5</v>
      </c>
      <c r="U4756" s="4" t="str">
        <f>IFERROR(__xludf.DUMMYFUNCTION("""COMPUTED_VALUE"""),"N/A (Not found)")</f>
        <v>N/A (Not found)</v>
      </c>
      <c r="V4756" s="33">
        <f>IFERROR(__xludf.DUMMYFUNCTION("""COMPUTED_VALUE"""),0.5)</f>
        <v>0.5</v>
      </c>
      <c r="W4756" s="4" t="str">
        <f>IFERROR(__xludf.DUMMYFUNCTION("""COMPUTED_VALUE"""),"N/A (Not found)")</f>
        <v>N/A (Not found)</v>
      </c>
      <c r="X4756" s="33">
        <f>IFERROR(__xludf.DUMMYFUNCTION("""COMPUTED_VALUE"""),1.0)</f>
        <v>1</v>
      </c>
    </row>
    <row r="4757">
      <c r="K4757" s="4" t="str">
        <f>IFERROR(__xludf.DUMMYFUNCTION("""COMPUTED_VALUE"""),"VICIO HAMBURGUERIA")</f>
        <v>VICIO HAMBURGUERIA</v>
      </c>
      <c r="L4757" s="32">
        <f>IFERROR(__xludf.DUMMYFUNCTION("""COMPUTED_VALUE"""),2.0)</f>
        <v>2</v>
      </c>
      <c r="M4757" s="4" t="str">
        <f>IFERROR(__xludf.DUMMYFUNCTION("""COMPUTED_VALUE"""),"Deeliv")</f>
        <v>Deeliv</v>
      </c>
      <c r="N4757" s="33">
        <f>IFERROR(__xludf.DUMMYFUNCTION("""COMPUTED_VALUE"""),0.5)</f>
        <v>0.5</v>
      </c>
      <c r="O4757" s="4" t="str">
        <f>IFERROR(__xludf.DUMMYFUNCTION("""COMPUTED_VALUE"""),"null")</f>
        <v>null</v>
      </c>
      <c r="P4757" s="33">
        <f>IFERROR(__xludf.DUMMYFUNCTION("""COMPUTED_VALUE"""),0.5)</f>
        <v>0.5</v>
      </c>
      <c r="Q4757" s="4" t="str">
        <f>IFERROR(__xludf.DUMMYFUNCTION("""COMPUTED_VALUE"""),"null")</f>
        <v>null</v>
      </c>
      <c r="R4757" s="33">
        <f>IFERROR(__xludf.DUMMYFUNCTION("""COMPUTED_VALUE"""),1.0)</f>
        <v>1</v>
      </c>
      <c r="S4757" s="4" t="str">
        <f>IFERROR(__xludf.DUMMYFUNCTION("""COMPUTED_VALUE"""),"Deeliv")</f>
        <v>Deeliv</v>
      </c>
      <c r="T4757" s="33">
        <f>IFERROR(__xludf.DUMMYFUNCTION("""COMPUTED_VALUE"""),0.5)</f>
        <v>0.5</v>
      </c>
      <c r="U4757" s="4" t="str">
        <f>IFERROR(__xludf.DUMMYFUNCTION("""COMPUTED_VALUE"""),"null")</f>
        <v>null</v>
      </c>
      <c r="V4757" s="33">
        <f>IFERROR(__xludf.DUMMYFUNCTION("""COMPUTED_VALUE"""),1.0)</f>
        <v>1</v>
      </c>
      <c r="W4757" s="4" t="str">
        <f>IFERROR(__xludf.DUMMYFUNCTION("""COMPUTED_VALUE"""),"null")</f>
        <v>null</v>
      </c>
      <c r="X4757" s="33">
        <f>IFERROR(__xludf.DUMMYFUNCTION("""COMPUTED_VALUE"""),0.5)</f>
        <v>0.5</v>
      </c>
    </row>
    <row r="4758">
      <c r="K4758" s="4" t="str">
        <f>IFERROR(__xludf.DUMMYFUNCTION("""COMPUTED_VALUE"""),"FARMACIA SAO FRANCISCO")</f>
        <v>FARMACIA SAO FRANCISCO</v>
      </c>
      <c r="L4758" s="32">
        <f>IFERROR(__xludf.DUMMYFUNCTION("""COMPUTED_VALUE"""),2.0)</f>
        <v>2</v>
      </c>
      <c r="M4758" s="4" t="str">
        <f>IFERROR(__xludf.DUMMYFUNCTION("""COMPUTED_VALUE"""),"N/A (Not found)")</f>
        <v>N/A (Not found)</v>
      </c>
      <c r="N4758" s="33">
        <f>IFERROR(__xludf.DUMMYFUNCTION("""COMPUTED_VALUE"""),1.0)</f>
        <v>1</v>
      </c>
      <c r="O4758" s="4" t="str">
        <f>IFERROR(__xludf.DUMMYFUNCTION("""COMPUTED_VALUE"""),"N/A (Not found)")</f>
        <v>N/A (Not found)</v>
      </c>
      <c r="P4758" s="33">
        <f>IFERROR(__xludf.DUMMYFUNCTION("""COMPUTED_VALUE"""),1.0)</f>
        <v>1</v>
      </c>
      <c r="Q4758" s="4" t="str">
        <f>IFERROR(__xludf.DUMMYFUNCTION("""COMPUTED_VALUE"""),"N/A (Not found)")</f>
        <v>N/A (Not found)</v>
      </c>
      <c r="R4758" s="33">
        <f>IFERROR(__xludf.DUMMYFUNCTION("""COMPUTED_VALUE"""),1.0)</f>
        <v>1</v>
      </c>
      <c r="S4758" s="4" t="str">
        <f>IFERROR(__xludf.DUMMYFUNCTION("""COMPUTED_VALUE"""),"N/A (Not found)")</f>
        <v>N/A (Not found)</v>
      </c>
      <c r="T4758" s="33">
        <f>IFERROR(__xludf.DUMMYFUNCTION("""COMPUTED_VALUE"""),1.0)</f>
        <v>1</v>
      </c>
      <c r="U4758" s="4" t="str">
        <f>IFERROR(__xludf.DUMMYFUNCTION("""COMPUTED_VALUE"""),"N/A (Not found)")</f>
        <v>N/A (Not found)</v>
      </c>
      <c r="V4758" s="33">
        <f>IFERROR(__xludf.DUMMYFUNCTION("""COMPUTED_VALUE"""),1.0)</f>
        <v>1</v>
      </c>
      <c r="W4758" s="4" t="str">
        <f>IFERROR(__xludf.DUMMYFUNCTION("""COMPUTED_VALUE"""),"N/A (Not found)")</f>
        <v>N/A (Not found)</v>
      </c>
      <c r="X4758" s="33">
        <f>IFERROR(__xludf.DUMMYFUNCTION("""COMPUTED_VALUE"""),1.0)</f>
        <v>1</v>
      </c>
    </row>
    <row r="4759">
      <c r="K4759" s="4" t="str">
        <f>IFERROR(__xludf.DUMMYFUNCTION("""COMPUTED_VALUE"""),"DISK PIZZA EM CASA")</f>
        <v>DISK PIZZA EM CASA</v>
      </c>
      <c r="L4759" s="32">
        <f>IFERROR(__xludf.DUMMYFUNCTION("""COMPUTED_VALUE"""),2.0)</f>
        <v>2</v>
      </c>
      <c r="M4759" s="4" t="str">
        <f>IFERROR(__xludf.DUMMYFUNCTION("""COMPUTED_VALUE"""),"null")</f>
        <v>null</v>
      </c>
      <c r="N4759" s="33">
        <f>IFERROR(__xludf.DUMMYFUNCTION("""COMPUTED_VALUE"""),0.5)</f>
        <v>0.5</v>
      </c>
      <c r="O4759" s="4" t="str">
        <f>IFERROR(__xludf.DUMMYFUNCTION("""COMPUTED_VALUE"""),"null")</f>
        <v>null</v>
      </c>
      <c r="P4759" s="33">
        <f>IFERROR(__xludf.DUMMYFUNCTION("""COMPUTED_VALUE"""),0.5)</f>
        <v>0.5</v>
      </c>
      <c r="Q4759" s="4" t="str">
        <f>IFERROR(__xludf.DUMMYFUNCTION("""COMPUTED_VALUE"""),"null")</f>
        <v>null</v>
      </c>
      <c r="R4759" s="33">
        <f>IFERROR(__xludf.DUMMYFUNCTION("""COMPUTED_VALUE"""),0.5)</f>
        <v>0.5</v>
      </c>
      <c r="S4759" s="4" t="str">
        <f>IFERROR(__xludf.DUMMYFUNCTION("""COMPUTED_VALUE"""),"null")</f>
        <v>null</v>
      </c>
      <c r="T4759" s="33">
        <f>IFERROR(__xludf.DUMMYFUNCTION("""COMPUTED_VALUE"""),0.5)</f>
        <v>0.5</v>
      </c>
      <c r="U4759" s="4" t="str">
        <f>IFERROR(__xludf.DUMMYFUNCTION("""COMPUTED_VALUE"""),"null")</f>
        <v>null</v>
      </c>
      <c r="V4759" s="33">
        <f>IFERROR(__xludf.DUMMYFUNCTION("""COMPUTED_VALUE"""),0.5)</f>
        <v>0.5</v>
      </c>
      <c r="W4759" s="4" t="str">
        <f>IFERROR(__xludf.DUMMYFUNCTION("""COMPUTED_VALUE"""),"Anota Ai Solucoes Digitais S/a")</f>
        <v>Anota Ai Solucoes Digitais S/a</v>
      </c>
      <c r="X4759" s="33">
        <f>IFERROR(__xludf.DUMMYFUNCTION("""COMPUTED_VALUE"""),1.0)</f>
        <v>1</v>
      </c>
    </row>
    <row r="4760">
      <c r="K4760" s="4" t="str">
        <f>IFERROR(__xludf.DUMMYFUNCTION("""COMPUTED_VALUE"""),"PIZZARIA ROYAL")</f>
        <v>PIZZARIA ROYAL</v>
      </c>
      <c r="L4760" s="32">
        <f>IFERROR(__xludf.DUMMYFUNCTION("""COMPUTED_VALUE"""),2.0)</f>
        <v>2</v>
      </c>
      <c r="M4760" s="4" t="str">
        <f>IFERROR(__xludf.DUMMYFUNCTION("""COMPUTED_VALUE"""),"Alloy Tecnologia")</f>
        <v>Alloy Tecnologia</v>
      </c>
      <c r="N4760" s="33">
        <f>IFERROR(__xludf.DUMMYFUNCTION("""COMPUTED_VALUE"""),0.5)</f>
        <v>0.5</v>
      </c>
      <c r="O4760" s="4" t="str">
        <f>IFERROR(__xludf.DUMMYFUNCTION("""COMPUTED_VALUE"""),"Alloy Tecnologia")</f>
        <v>Alloy Tecnologia</v>
      </c>
      <c r="P4760" s="33">
        <f>IFERROR(__xludf.DUMMYFUNCTION("""COMPUTED_VALUE"""),0.5)</f>
        <v>0.5</v>
      </c>
      <c r="Q4760" s="4" t="str">
        <f>IFERROR(__xludf.DUMMYFUNCTION("""COMPUTED_VALUE"""),"Alloy Tecnologia")</f>
        <v>Alloy Tecnologia</v>
      </c>
      <c r="R4760" s="33">
        <f>IFERROR(__xludf.DUMMYFUNCTION("""COMPUTED_VALUE"""),0.5)</f>
        <v>0.5</v>
      </c>
      <c r="S4760" s="4" t="str">
        <f>IFERROR(__xludf.DUMMYFUNCTION("""COMPUTED_VALUE"""),"Alloy Tecnologia")</f>
        <v>Alloy Tecnologia</v>
      </c>
      <c r="T4760" s="33">
        <f>IFERROR(__xludf.DUMMYFUNCTION("""COMPUTED_VALUE"""),0.5)</f>
        <v>0.5</v>
      </c>
      <c r="U4760" s="4" t="str">
        <f>IFERROR(__xludf.DUMMYFUNCTION("""COMPUTED_VALUE"""),"Alloy Tecnologia")</f>
        <v>Alloy Tecnologia</v>
      </c>
      <c r="V4760" s="33">
        <f>IFERROR(__xludf.DUMMYFUNCTION("""COMPUTED_VALUE"""),0.5)</f>
        <v>0.5</v>
      </c>
      <c r="W4760" s="4" t="str">
        <f>IFERROR(__xludf.DUMMYFUNCTION("""COMPUTED_VALUE"""),"Alloy Tecnologia")</f>
        <v>Alloy Tecnologia</v>
      </c>
      <c r="X4760" s="33">
        <f>IFERROR(__xludf.DUMMYFUNCTION("""COMPUTED_VALUE"""),0.5)</f>
        <v>0.5</v>
      </c>
    </row>
    <row r="4761">
      <c r="K4761" s="4" t="str">
        <f>IFERROR(__xludf.DUMMYFUNCTION("""COMPUTED_VALUE"""),"MOLHO MASSA")</f>
        <v>MOLHO MASSA</v>
      </c>
      <c r="L4761" s="32">
        <f>IFERROR(__xludf.DUMMYFUNCTION("""COMPUTED_VALUE"""),2.0)</f>
        <v>2</v>
      </c>
      <c r="M4761" s="4" t="str">
        <f>IFERROR(__xludf.DUMMYFUNCTION("""COMPUTED_VALUE"""),"null")</f>
        <v>null</v>
      </c>
      <c r="N4761" s="33">
        <f>IFERROR(__xludf.DUMMYFUNCTION("""COMPUTED_VALUE"""),1.0)</f>
        <v>1</v>
      </c>
      <c r="O4761" s="4" t="str">
        <f>IFERROR(__xludf.DUMMYFUNCTION("""COMPUTED_VALUE"""),"null")</f>
        <v>null</v>
      </c>
      <c r="P4761" s="33">
        <f>IFERROR(__xludf.DUMMYFUNCTION("""COMPUTED_VALUE"""),1.0)</f>
        <v>1</v>
      </c>
      <c r="Q4761" s="4" t="str">
        <f>IFERROR(__xludf.DUMMYFUNCTION("""COMPUTED_VALUE"""),"Brendi")</f>
        <v>Brendi</v>
      </c>
      <c r="R4761" s="33">
        <f>IFERROR(__xludf.DUMMYFUNCTION("""COMPUTED_VALUE"""),0.5)</f>
        <v>0.5</v>
      </c>
      <c r="S4761" s="4" t="str">
        <f>IFERROR(__xludf.DUMMYFUNCTION("""COMPUTED_VALUE"""),"Brendi")</f>
        <v>Brendi</v>
      </c>
      <c r="T4761" s="33">
        <f>IFERROR(__xludf.DUMMYFUNCTION("""COMPUTED_VALUE"""),0.5)</f>
        <v>0.5</v>
      </c>
      <c r="U4761" s="4" t="str">
        <f>IFERROR(__xludf.DUMMYFUNCTION("""COMPUTED_VALUE"""),"Brendi")</f>
        <v>Brendi</v>
      </c>
      <c r="V4761" s="33">
        <f>IFERROR(__xludf.DUMMYFUNCTION("""COMPUTED_VALUE"""),0.5)</f>
        <v>0.5</v>
      </c>
      <c r="W4761" s="4" t="str">
        <f>IFERROR(__xludf.DUMMYFUNCTION("""COMPUTED_VALUE"""),"Brendi")</f>
        <v>Brendi</v>
      </c>
      <c r="X4761" s="33">
        <f>IFERROR(__xludf.DUMMYFUNCTION("""COMPUTED_VALUE"""),0.5)</f>
        <v>0.5</v>
      </c>
    </row>
    <row r="4762">
      <c r="K4762" s="4" t="str">
        <f>IFERROR(__xludf.DUMMYFUNCTION("""COMPUTED_VALUE"""),"BRASEIRO DA SERRA")</f>
        <v>BRASEIRO DA SERRA</v>
      </c>
      <c r="L4762" s="32">
        <f>IFERROR(__xludf.DUMMYFUNCTION("""COMPUTED_VALUE"""),2.0)</f>
        <v>2</v>
      </c>
      <c r="M4762" s="4" t="str">
        <f>IFERROR(__xludf.DUMMYFUNCTION("""COMPUTED_VALUE"""),"null")</f>
        <v>null</v>
      </c>
      <c r="N4762" s="33">
        <f>IFERROR(__xludf.DUMMYFUNCTION("""COMPUTED_VALUE"""),0.5)</f>
        <v>0.5</v>
      </c>
      <c r="O4762" s="4" t="str">
        <f>IFERROR(__xludf.DUMMYFUNCTION("""COMPUTED_VALUE"""),"null")</f>
        <v>null</v>
      </c>
      <c r="P4762" s="33">
        <f>IFERROR(__xludf.DUMMYFUNCTION("""COMPUTED_VALUE"""),0.5)</f>
        <v>0.5</v>
      </c>
      <c r="Q4762" s="4" t="str">
        <f>IFERROR(__xludf.DUMMYFUNCTION("""COMPUTED_VALUE"""),"null")</f>
        <v>null</v>
      </c>
      <c r="R4762" s="33">
        <f>IFERROR(__xludf.DUMMYFUNCTION("""COMPUTED_VALUE"""),0.5)</f>
        <v>0.5</v>
      </c>
      <c r="S4762" s="4" t="str">
        <f>IFERROR(__xludf.DUMMYFUNCTION("""COMPUTED_VALUE"""),"null")</f>
        <v>null</v>
      </c>
      <c r="T4762" s="33">
        <f>IFERROR(__xludf.DUMMYFUNCTION("""COMPUTED_VALUE"""),0.5)</f>
        <v>0.5</v>
      </c>
      <c r="U4762" s="4" t="str">
        <f>IFERROR(__xludf.DUMMYFUNCTION("""COMPUTED_VALUE"""),"null")</f>
        <v>null</v>
      </c>
      <c r="V4762" s="33">
        <f>IFERROR(__xludf.DUMMYFUNCTION("""COMPUTED_VALUE"""),0.5)</f>
        <v>0.5</v>
      </c>
      <c r="W4762" s="4" t="str">
        <f>IFERROR(__xludf.DUMMYFUNCTION("""COMPUTED_VALUE"""),"Saipos Serviços De Software")</f>
        <v>Saipos Serviços De Software</v>
      </c>
      <c r="X4762" s="33">
        <f>IFERROR(__xludf.DUMMYFUNCTION("""COMPUTED_VALUE"""),0.5)</f>
        <v>0.5</v>
      </c>
    </row>
    <row r="4763">
      <c r="K4763" s="4" t="str">
        <f>IFERROR(__xludf.DUMMYFUNCTION("""COMPUTED_VALUE"""),"IMPERADOR LANCHES")</f>
        <v>IMPERADOR LANCHES</v>
      </c>
      <c r="L4763" s="32">
        <f>IFERROR(__xludf.DUMMYFUNCTION("""COMPUTED_VALUE"""),2.0)</f>
        <v>2</v>
      </c>
      <c r="M4763" s="4" t="str">
        <f>IFERROR(__xludf.DUMMYFUNCTION("""COMPUTED_VALUE"""),"Anota Ai Solucoes Digitais S/a")</f>
        <v>Anota Ai Solucoes Digitais S/a</v>
      </c>
      <c r="N4763" s="33">
        <f>IFERROR(__xludf.DUMMYFUNCTION("""COMPUTED_VALUE"""),0.5)</f>
        <v>0.5</v>
      </c>
      <c r="O4763" s="4" t="str">
        <f>IFERROR(__xludf.DUMMYFUNCTION("""COMPUTED_VALUE"""),"Anota Ai Solucoes Digitais S/a")</f>
        <v>Anota Ai Solucoes Digitais S/a</v>
      </c>
      <c r="P4763" s="33">
        <f>IFERROR(__xludf.DUMMYFUNCTION("""COMPUTED_VALUE"""),0.5)</f>
        <v>0.5</v>
      </c>
      <c r="Q4763" s="4" t="str">
        <f>IFERROR(__xludf.DUMMYFUNCTION("""COMPUTED_VALUE"""),"Anota Ai Solucoes Digitais S/a")</f>
        <v>Anota Ai Solucoes Digitais S/a</v>
      </c>
      <c r="R4763" s="33">
        <f>IFERROR(__xludf.DUMMYFUNCTION("""COMPUTED_VALUE"""),0.5)</f>
        <v>0.5</v>
      </c>
      <c r="S4763" s="4" t="str">
        <f>IFERROR(__xludf.DUMMYFUNCTION("""COMPUTED_VALUE"""),"null")</f>
        <v>null</v>
      </c>
      <c r="T4763" s="33">
        <f>IFERROR(__xludf.DUMMYFUNCTION("""COMPUTED_VALUE"""),1.0)</f>
        <v>1</v>
      </c>
      <c r="U4763" s="4" t="str">
        <f>IFERROR(__xludf.DUMMYFUNCTION("""COMPUTED_VALUE"""),"Anota Ai Solucoes Digitais S/a")</f>
        <v>Anota Ai Solucoes Digitais S/a</v>
      </c>
      <c r="V4763" s="33">
        <f>IFERROR(__xludf.DUMMYFUNCTION("""COMPUTED_VALUE"""),0.5)</f>
        <v>0.5</v>
      </c>
      <c r="W4763" s="4" t="str">
        <f>IFERROR(__xludf.DUMMYFUNCTION("""COMPUTED_VALUE"""),"Anota Ai Solucoes Digitais S/a")</f>
        <v>Anota Ai Solucoes Digitais S/a</v>
      </c>
      <c r="X4763" s="33">
        <f>IFERROR(__xludf.DUMMYFUNCTION("""COMPUTED_VALUE"""),0.5)</f>
        <v>0.5</v>
      </c>
    </row>
    <row r="4764">
      <c r="K4764" s="4" t="str">
        <f>IFERROR(__xludf.DUMMYFUNCTION("""COMPUTED_VALUE"""),"VIA MERCADO")</f>
        <v>VIA MERCADO</v>
      </c>
      <c r="L4764" s="32">
        <f>IFERROR(__xludf.DUMMYFUNCTION("""COMPUTED_VALUE"""),2.0)</f>
        <v>2</v>
      </c>
      <c r="M4764" s="4" t="str">
        <f>IFERROR(__xludf.DUMMYFUNCTION("""COMPUTED_VALUE"""),"N/A (Not found)")</f>
        <v>N/A (Not found)</v>
      </c>
      <c r="N4764" s="33">
        <f>IFERROR(__xludf.DUMMYFUNCTION("""COMPUTED_VALUE"""),1.0)</f>
        <v>1</v>
      </c>
      <c r="O4764" s="4" t="str">
        <f>IFERROR(__xludf.DUMMYFUNCTION("""COMPUTED_VALUE"""),"N/A (Not found)")</f>
        <v>N/A (Not found)</v>
      </c>
      <c r="P4764" s="33">
        <f>IFERROR(__xludf.DUMMYFUNCTION("""COMPUTED_VALUE"""),1.0)</f>
        <v>1</v>
      </c>
      <c r="Q4764" s="4" t="str">
        <f>IFERROR(__xludf.DUMMYFUNCTION("""COMPUTED_VALUE"""),"N/A (Not found)")</f>
        <v>N/A (Not found)</v>
      </c>
      <c r="R4764" s="33">
        <f>IFERROR(__xludf.DUMMYFUNCTION("""COMPUTED_VALUE"""),1.0)</f>
        <v>1</v>
      </c>
      <c r="S4764" s="4" t="str">
        <f>IFERROR(__xludf.DUMMYFUNCTION("""COMPUTED_VALUE"""),"N/A (Not found)")</f>
        <v>N/A (Not found)</v>
      </c>
      <c r="T4764" s="33">
        <f>IFERROR(__xludf.DUMMYFUNCTION("""COMPUTED_VALUE"""),1.0)</f>
        <v>1</v>
      </c>
      <c r="U4764" s="4" t="str">
        <f>IFERROR(__xludf.DUMMYFUNCTION("""COMPUTED_VALUE"""),"N/A (Not found)")</f>
        <v>N/A (Not found)</v>
      </c>
      <c r="V4764" s="33">
        <f>IFERROR(__xludf.DUMMYFUNCTION("""COMPUTED_VALUE"""),1.0)</f>
        <v>1</v>
      </c>
      <c r="W4764" s="4" t="str">
        <f>IFERROR(__xludf.DUMMYFUNCTION("""COMPUTED_VALUE"""),"N/A (Not found)")</f>
        <v>N/A (Not found)</v>
      </c>
      <c r="X4764" s="33">
        <f>IFERROR(__xludf.DUMMYFUNCTION("""COMPUTED_VALUE"""),1.0)</f>
        <v>1</v>
      </c>
    </row>
    <row r="4765">
      <c r="K4765" s="4" t="str">
        <f>IFERROR(__xludf.DUMMYFUNCTION("""COMPUTED_VALUE"""),"ROCKY BURGER")</f>
        <v>ROCKY BURGER</v>
      </c>
      <c r="L4765" s="32">
        <f>IFERROR(__xludf.DUMMYFUNCTION("""COMPUTED_VALUE"""),2.0)</f>
        <v>2</v>
      </c>
      <c r="M4765" s="4" t="str">
        <f>IFERROR(__xludf.DUMMYFUNCTION("""COMPUTED_VALUE"""),"Saipos Serviços De Software")</f>
        <v>Saipos Serviços De Software</v>
      </c>
      <c r="N4765" s="33">
        <f>IFERROR(__xludf.DUMMYFUNCTION("""COMPUTED_VALUE"""),1.0)</f>
        <v>1</v>
      </c>
      <c r="O4765" s="4" t="str">
        <f>IFERROR(__xludf.DUMMYFUNCTION("""COMPUTED_VALUE"""),"Saipos Serviços De Software")</f>
        <v>Saipos Serviços De Software</v>
      </c>
      <c r="P4765" s="33">
        <f>IFERROR(__xludf.DUMMYFUNCTION("""COMPUTED_VALUE"""),1.0)</f>
        <v>1</v>
      </c>
      <c r="Q4765" s="4" t="str">
        <f>IFERROR(__xludf.DUMMYFUNCTION("""COMPUTED_VALUE"""),"Saipos Serviços De Software")</f>
        <v>Saipos Serviços De Software</v>
      </c>
      <c r="R4765" s="33">
        <f>IFERROR(__xludf.DUMMYFUNCTION("""COMPUTED_VALUE"""),1.0)</f>
        <v>1</v>
      </c>
      <c r="S4765" s="4" t="str">
        <f>IFERROR(__xludf.DUMMYFUNCTION("""COMPUTED_VALUE"""),"Saipos Serviços De Software")</f>
        <v>Saipos Serviços De Software</v>
      </c>
      <c r="T4765" s="33">
        <f>IFERROR(__xludf.DUMMYFUNCTION("""COMPUTED_VALUE"""),1.0)</f>
        <v>1</v>
      </c>
      <c r="U4765" s="4" t="str">
        <f>IFERROR(__xludf.DUMMYFUNCTION("""COMPUTED_VALUE"""),"Saipos Serviços De Software")</f>
        <v>Saipos Serviços De Software</v>
      </c>
      <c r="V4765" s="33">
        <f>IFERROR(__xludf.DUMMYFUNCTION("""COMPUTED_VALUE"""),1.0)</f>
        <v>1</v>
      </c>
      <c r="W4765" s="4" t="str">
        <f>IFERROR(__xludf.DUMMYFUNCTION("""COMPUTED_VALUE"""),"Saipos Serviços De Software")</f>
        <v>Saipos Serviços De Software</v>
      </c>
      <c r="X4765" s="33">
        <f>IFERROR(__xludf.DUMMYFUNCTION("""COMPUTED_VALUE"""),1.0)</f>
        <v>1</v>
      </c>
    </row>
    <row r="4766">
      <c r="K4766" s="4" t="str">
        <f>IFERROR(__xludf.DUMMYFUNCTION("""COMPUTED_VALUE"""),"PIZZA CIA")</f>
        <v>PIZZA CIA</v>
      </c>
      <c r="L4766" s="32">
        <f>IFERROR(__xludf.DUMMYFUNCTION("""COMPUTED_VALUE"""),2.0)</f>
        <v>2</v>
      </c>
      <c r="M4766" s="4" t="str">
        <f>IFERROR(__xludf.DUMMYFUNCTION("""COMPUTED_VALUE"""),"Brendi")</f>
        <v>Brendi</v>
      </c>
      <c r="N4766" s="33">
        <f>IFERROR(__xludf.DUMMYFUNCTION("""COMPUTED_VALUE"""),0.5)</f>
        <v>0.5</v>
      </c>
      <c r="O4766" s="4" t="str">
        <f>IFERROR(__xludf.DUMMYFUNCTION("""COMPUTED_VALUE"""),"null")</f>
        <v>null</v>
      </c>
      <c r="P4766" s="33">
        <f>IFERROR(__xludf.DUMMYFUNCTION("""COMPUTED_VALUE"""),1.0)</f>
        <v>1</v>
      </c>
      <c r="Q4766" s="4" t="str">
        <f>IFERROR(__xludf.DUMMYFUNCTION("""COMPUTED_VALUE"""),"null")</f>
        <v>null</v>
      </c>
      <c r="R4766" s="33">
        <f>IFERROR(__xludf.DUMMYFUNCTION("""COMPUTED_VALUE"""),1.0)</f>
        <v>1</v>
      </c>
      <c r="S4766" s="4" t="str">
        <f>IFERROR(__xludf.DUMMYFUNCTION("""COMPUTED_VALUE"""),"null")</f>
        <v>null</v>
      </c>
      <c r="T4766" s="33">
        <f>IFERROR(__xludf.DUMMYFUNCTION("""COMPUTED_VALUE"""),1.0)</f>
        <v>1</v>
      </c>
      <c r="U4766" s="4" t="str">
        <f>IFERROR(__xludf.DUMMYFUNCTION("""COMPUTED_VALUE"""),"null")</f>
        <v>null</v>
      </c>
      <c r="V4766" s="33">
        <f>IFERROR(__xludf.DUMMYFUNCTION("""COMPUTED_VALUE"""),1.0)</f>
        <v>1</v>
      </c>
      <c r="W4766" s="4" t="str">
        <f>IFERROR(__xludf.DUMMYFUNCTION("""COMPUTED_VALUE"""),"null")</f>
        <v>null</v>
      </c>
      <c r="X4766" s="33">
        <f>IFERROR(__xludf.DUMMYFUNCTION("""COMPUTED_VALUE"""),1.0)</f>
        <v>1</v>
      </c>
    </row>
    <row r="4767">
      <c r="K4767" s="4" t="str">
        <f>IFERROR(__xludf.DUMMYFUNCTION("""COMPUTED_VALUE"""),"SENHOR DOG")</f>
        <v>SENHOR DOG</v>
      </c>
      <c r="L4767" s="32">
        <f>IFERROR(__xludf.DUMMYFUNCTION("""COMPUTED_VALUE"""),2.0)</f>
        <v>2</v>
      </c>
      <c r="M4767" s="4" t="str">
        <f>IFERROR(__xludf.DUMMYFUNCTION("""COMPUTED_VALUE"""),"Saipos Serviços De Software")</f>
        <v>Saipos Serviços De Software</v>
      </c>
      <c r="N4767" s="33">
        <f>IFERROR(__xludf.DUMMYFUNCTION("""COMPUTED_VALUE"""),0.5)</f>
        <v>0.5</v>
      </c>
      <c r="O4767" s="4" t="str">
        <f>IFERROR(__xludf.DUMMYFUNCTION("""COMPUTED_VALUE"""),"Saipos Serviços De Software")</f>
        <v>Saipos Serviços De Software</v>
      </c>
      <c r="P4767" s="33">
        <f>IFERROR(__xludf.DUMMYFUNCTION("""COMPUTED_VALUE"""),0.5)</f>
        <v>0.5</v>
      </c>
      <c r="Q4767" s="4" t="str">
        <f>IFERROR(__xludf.DUMMYFUNCTION("""COMPUTED_VALUE"""),"Saipos Serviços De Software")</f>
        <v>Saipos Serviços De Software</v>
      </c>
      <c r="R4767" s="33">
        <f>IFERROR(__xludf.DUMMYFUNCTION("""COMPUTED_VALUE"""),0.5)</f>
        <v>0.5</v>
      </c>
      <c r="S4767" s="4" t="str">
        <f>IFERROR(__xludf.DUMMYFUNCTION("""COMPUTED_VALUE"""),"Saipos Serviços De Software")</f>
        <v>Saipos Serviços De Software</v>
      </c>
      <c r="T4767" s="33">
        <f>IFERROR(__xludf.DUMMYFUNCTION("""COMPUTED_VALUE"""),0.5)</f>
        <v>0.5</v>
      </c>
      <c r="U4767" s="4" t="str">
        <f>IFERROR(__xludf.DUMMYFUNCTION("""COMPUTED_VALUE"""),"Saipos Serviços De Software")</f>
        <v>Saipos Serviços De Software</v>
      </c>
      <c r="V4767" s="33">
        <f>IFERROR(__xludf.DUMMYFUNCTION("""COMPUTED_VALUE"""),0.5)</f>
        <v>0.5</v>
      </c>
      <c r="W4767" s="4" t="str">
        <f>IFERROR(__xludf.DUMMYFUNCTION("""COMPUTED_VALUE"""),"Saipos Serviços De Software")</f>
        <v>Saipos Serviços De Software</v>
      </c>
      <c r="X4767" s="33">
        <f>IFERROR(__xludf.DUMMYFUNCTION("""COMPUTED_VALUE"""),0.5)</f>
        <v>0.5</v>
      </c>
    </row>
    <row r="4768">
      <c r="K4768" s="4" t="str">
        <f>IFERROR(__xludf.DUMMYFUNCTION("""COMPUTED_VALUE"""),"ESPETINHO DO TCHE")</f>
        <v>ESPETINHO DO TCHE</v>
      </c>
      <c r="L4768" s="32">
        <f>IFERROR(__xludf.DUMMYFUNCTION("""COMPUTED_VALUE"""),2.0)</f>
        <v>2</v>
      </c>
      <c r="M4768" s="4" t="str">
        <f>IFERROR(__xludf.DUMMYFUNCTION("""COMPUTED_VALUE"""),"Cainelli Automação Comercial")</f>
        <v>Cainelli Automação Comercial</v>
      </c>
      <c r="N4768" s="33">
        <f>IFERROR(__xludf.DUMMYFUNCTION("""COMPUTED_VALUE"""),0.5)</f>
        <v>0.5</v>
      </c>
      <c r="O4768" s="4" t="str">
        <f>IFERROR(__xludf.DUMMYFUNCTION("""COMPUTED_VALUE"""),"Cainelli Automação Comercial")</f>
        <v>Cainelli Automação Comercial</v>
      </c>
      <c r="P4768" s="33">
        <f>IFERROR(__xludf.DUMMYFUNCTION("""COMPUTED_VALUE"""),0.5)</f>
        <v>0.5</v>
      </c>
      <c r="Q4768" s="4" t="str">
        <f>IFERROR(__xludf.DUMMYFUNCTION("""COMPUTED_VALUE"""),"Cainelli Automação Comercial")</f>
        <v>Cainelli Automação Comercial</v>
      </c>
      <c r="R4768" s="33">
        <f>IFERROR(__xludf.DUMMYFUNCTION("""COMPUTED_VALUE"""),0.5)</f>
        <v>0.5</v>
      </c>
      <c r="S4768" s="4" t="str">
        <f>IFERROR(__xludf.DUMMYFUNCTION("""COMPUTED_VALUE"""),"Cainelli Automação Comercial")</f>
        <v>Cainelli Automação Comercial</v>
      </c>
      <c r="T4768" s="33">
        <f>IFERROR(__xludf.DUMMYFUNCTION("""COMPUTED_VALUE"""),0.5)</f>
        <v>0.5</v>
      </c>
      <c r="U4768" s="4" t="str">
        <f>IFERROR(__xludf.DUMMYFUNCTION("""COMPUTED_VALUE"""),"Cainelli Automação Comercial")</f>
        <v>Cainelli Automação Comercial</v>
      </c>
      <c r="V4768" s="33">
        <f>IFERROR(__xludf.DUMMYFUNCTION("""COMPUTED_VALUE"""),0.5)</f>
        <v>0.5</v>
      </c>
      <c r="W4768" s="4" t="str">
        <f>IFERROR(__xludf.DUMMYFUNCTION("""COMPUTED_VALUE"""),"Cainelli Automação Comercial")</f>
        <v>Cainelli Automação Comercial</v>
      </c>
      <c r="X4768" s="33">
        <f>IFERROR(__xludf.DUMMYFUNCTION("""COMPUTED_VALUE"""),0.5)</f>
        <v>0.5</v>
      </c>
    </row>
    <row r="4769">
      <c r="K4769" s="4" t="str">
        <f>IFERROR(__xludf.DUMMYFUNCTION("""COMPUTED_VALUE"""),"EL BURGUER")</f>
        <v>EL BURGUER</v>
      </c>
      <c r="L4769" s="32">
        <f>IFERROR(__xludf.DUMMYFUNCTION("""COMPUTED_VALUE"""),2.0)</f>
        <v>2</v>
      </c>
      <c r="M4769" s="4" t="str">
        <f>IFERROR(__xludf.DUMMYFUNCTION("""COMPUTED_VALUE"""),"null")</f>
        <v>null</v>
      </c>
      <c r="N4769" s="33">
        <f>IFERROR(__xludf.DUMMYFUNCTION("""COMPUTED_VALUE"""),1.0)</f>
        <v>1</v>
      </c>
      <c r="O4769" s="4" t="str">
        <f>IFERROR(__xludf.DUMMYFUNCTION("""COMPUTED_VALUE"""),"null")</f>
        <v>null</v>
      </c>
      <c r="P4769" s="33">
        <f>IFERROR(__xludf.DUMMYFUNCTION("""COMPUTED_VALUE"""),1.0)</f>
        <v>1</v>
      </c>
      <c r="Q4769" s="4" t="str">
        <f>IFERROR(__xludf.DUMMYFUNCTION("""COMPUTED_VALUE"""),"null")</f>
        <v>null</v>
      </c>
      <c r="R4769" s="33">
        <f>IFERROR(__xludf.DUMMYFUNCTION("""COMPUTED_VALUE"""),1.0)</f>
        <v>1</v>
      </c>
      <c r="S4769" s="4" t="str">
        <f>IFERROR(__xludf.DUMMYFUNCTION("""COMPUTED_VALUE"""),"null")</f>
        <v>null</v>
      </c>
      <c r="T4769" s="33">
        <f>IFERROR(__xludf.DUMMYFUNCTION("""COMPUTED_VALUE"""),1.0)</f>
        <v>1</v>
      </c>
      <c r="U4769" s="4" t="str">
        <f>IFERROR(__xludf.DUMMYFUNCTION("""COMPUTED_VALUE"""),"Cardápio Web")</f>
        <v>Cardápio Web</v>
      </c>
      <c r="V4769" s="33">
        <f>IFERROR(__xludf.DUMMYFUNCTION("""COMPUTED_VALUE"""),0.5)</f>
        <v>0.5</v>
      </c>
      <c r="W4769" s="4" t="str">
        <f>IFERROR(__xludf.DUMMYFUNCTION("""COMPUTED_VALUE"""),"Cardápio Web")</f>
        <v>Cardápio Web</v>
      </c>
      <c r="X4769" s="33">
        <f>IFERROR(__xludf.DUMMYFUNCTION("""COMPUTED_VALUE"""),0.5)</f>
        <v>0.5</v>
      </c>
    </row>
    <row r="4770">
      <c r="K4770" s="4" t="str">
        <f>IFERROR(__xludf.DUMMYFUNCTION("""COMPUTED_VALUE"""),"RAINHA DAS PIZZAS - ENTREGA RAPIDA")</f>
        <v>RAINHA DAS PIZZAS - ENTREGA RAPIDA</v>
      </c>
      <c r="L4770" s="32">
        <f>IFERROR(__xludf.DUMMYFUNCTION("""COMPUTED_VALUE"""),2.0)</f>
        <v>2</v>
      </c>
      <c r="M4770" s="4" t="str">
        <f>IFERROR(__xludf.DUMMYFUNCTION("""COMPUTED_VALUE"""),"Saipos Serviços De Software")</f>
        <v>Saipos Serviços De Software</v>
      </c>
      <c r="N4770" s="33">
        <f>IFERROR(__xludf.DUMMYFUNCTION("""COMPUTED_VALUE"""),0.5)</f>
        <v>0.5</v>
      </c>
      <c r="O4770" s="4" t="str">
        <f>IFERROR(__xludf.DUMMYFUNCTION("""COMPUTED_VALUE"""),"Saipos Serviços De Software")</f>
        <v>Saipos Serviços De Software</v>
      </c>
      <c r="P4770" s="33">
        <f>IFERROR(__xludf.DUMMYFUNCTION("""COMPUTED_VALUE"""),0.5)</f>
        <v>0.5</v>
      </c>
      <c r="Q4770" s="4" t="str">
        <f>IFERROR(__xludf.DUMMYFUNCTION("""COMPUTED_VALUE"""),"Saipos Serviços De Software")</f>
        <v>Saipos Serviços De Software</v>
      </c>
      <c r="R4770" s="33">
        <f>IFERROR(__xludf.DUMMYFUNCTION("""COMPUTED_VALUE"""),0.5)</f>
        <v>0.5</v>
      </c>
      <c r="S4770" s="4" t="str">
        <f>IFERROR(__xludf.DUMMYFUNCTION("""COMPUTED_VALUE"""),"Saipos Serviços De Software")</f>
        <v>Saipos Serviços De Software</v>
      </c>
      <c r="T4770" s="33">
        <f>IFERROR(__xludf.DUMMYFUNCTION("""COMPUTED_VALUE"""),0.5)</f>
        <v>0.5</v>
      </c>
      <c r="U4770" s="4" t="str">
        <f>IFERROR(__xludf.DUMMYFUNCTION("""COMPUTED_VALUE"""),"Saipos Serviços De Software")</f>
        <v>Saipos Serviços De Software</v>
      </c>
      <c r="V4770" s="33">
        <f>IFERROR(__xludf.DUMMYFUNCTION("""COMPUTED_VALUE"""),0.5)</f>
        <v>0.5</v>
      </c>
      <c r="W4770" s="4" t="str">
        <f>IFERROR(__xludf.DUMMYFUNCTION("""COMPUTED_VALUE"""),"Saipos Serviços De Software")</f>
        <v>Saipos Serviços De Software</v>
      </c>
      <c r="X4770" s="33">
        <f>IFERROR(__xludf.DUMMYFUNCTION("""COMPUTED_VALUE"""),0.5)</f>
        <v>0.5</v>
      </c>
    </row>
    <row r="4771">
      <c r="K4771" s="4" t="str">
        <f>IFERROR(__xludf.DUMMYFUNCTION("""COMPUTED_VALUE"""),"BARUK CULINARIA ARABE")</f>
        <v>BARUK CULINARIA ARABE</v>
      </c>
      <c r="L4771" s="32">
        <f>IFERROR(__xludf.DUMMYFUNCTION("""COMPUTED_VALUE"""),2.0)</f>
        <v>2</v>
      </c>
      <c r="M4771" s="4" t="str">
        <f>IFERROR(__xludf.DUMMYFUNCTION("""COMPUTED_VALUE"""),"Anota Ai Solucoes Digitais S/a")</f>
        <v>Anota Ai Solucoes Digitais S/a</v>
      </c>
      <c r="N4771" s="33">
        <f>IFERROR(__xludf.DUMMYFUNCTION("""COMPUTED_VALUE"""),0.5)</f>
        <v>0.5</v>
      </c>
      <c r="O4771" s="4" t="str">
        <f>IFERROR(__xludf.DUMMYFUNCTION("""COMPUTED_VALUE"""),"null")</f>
        <v>null</v>
      </c>
      <c r="P4771" s="33">
        <f>IFERROR(__xludf.DUMMYFUNCTION("""COMPUTED_VALUE"""),0.5)</f>
        <v>0.5</v>
      </c>
      <c r="Q4771" s="4" t="str">
        <f>IFERROR(__xludf.DUMMYFUNCTION("""COMPUTED_VALUE"""),"null")</f>
        <v>null</v>
      </c>
      <c r="R4771" s="33">
        <f>IFERROR(__xludf.DUMMYFUNCTION("""COMPUTED_VALUE"""),0.5)</f>
        <v>0.5</v>
      </c>
      <c r="S4771" s="4" t="str">
        <f>IFERROR(__xludf.DUMMYFUNCTION("""COMPUTED_VALUE"""),"null")</f>
        <v>null</v>
      </c>
      <c r="T4771" s="33">
        <f>IFERROR(__xludf.DUMMYFUNCTION("""COMPUTED_VALUE"""),0.5)</f>
        <v>0.5</v>
      </c>
      <c r="U4771" s="4" t="str">
        <f>IFERROR(__xludf.DUMMYFUNCTION("""COMPUTED_VALUE"""),"null")</f>
        <v>null</v>
      </c>
      <c r="V4771" s="33">
        <f>IFERROR(__xludf.DUMMYFUNCTION("""COMPUTED_VALUE"""),0.5)</f>
        <v>0.5</v>
      </c>
      <c r="W4771" s="4" t="str">
        <f>IFERROR(__xludf.DUMMYFUNCTION("""COMPUTED_VALUE"""),"null")</f>
        <v>null</v>
      </c>
      <c r="X4771" s="33">
        <f>IFERROR(__xludf.DUMMYFUNCTION("""COMPUTED_VALUE"""),0.5)</f>
        <v>0.5</v>
      </c>
    </row>
    <row r="4772">
      <c r="K4772" s="4" t="str">
        <f>IFERROR(__xludf.DUMMYFUNCTION("""COMPUTED_VALUE"""),"ACAI DA JUJU")</f>
        <v>ACAI DA JUJU</v>
      </c>
      <c r="L4772" s="32">
        <f>IFERROR(__xludf.DUMMYFUNCTION("""COMPUTED_VALUE"""),2.0)</f>
        <v>2</v>
      </c>
      <c r="M4772" s="4" t="str">
        <f>IFERROR(__xludf.DUMMYFUNCTION("""COMPUTED_VALUE"""),"Mp Multipedidos")</f>
        <v>Mp Multipedidos</v>
      </c>
      <c r="N4772" s="33">
        <f>IFERROR(__xludf.DUMMYFUNCTION("""COMPUTED_VALUE"""),0.5)</f>
        <v>0.5</v>
      </c>
      <c r="O4772" s="4" t="str">
        <f>IFERROR(__xludf.DUMMYFUNCTION("""COMPUTED_VALUE"""),"Mp Multipedidos")</f>
        <v>Mp Multipedidos</v>
      </c>
      <c r="P4772" s="33">
        <f>IFERROR(__xludf.DUMMYFUNCTION("""COMPUTED_VALUE"""),0.5)</f>
        <v>0.5</v>
      </c>
      <c r="Q4772" s="4" t="str">
        <f>IFERROR(__xludf.DUMMYFUNCTION("""COMPUTED_VALUE"""),"null")</f>
        <v>null</v>
      </c>
      <c r="R4772" s="33">
        <f>IFERROR(__xludf.DUMMYFUNCTION("""COMPUTED_VALUE"""),0.5)</f>
        <v>0.5</v>
      </c>
      <c r="S4772" s="4" t="str">
        <f>IFERROR(__xludf.DUMMYFUNCTION("""COMPUTED_VALUE"""),"null")</f>
        <v>null</v>
      </c>
      <c r="T4772" s="33">
        <f>IFERROR(__xludf.DUMMYFUNCTION("""COMPUTED_VALUE"""),0.5)</f>
        <v>0.5</v>
      </c>
      <c r="U4772" s="4" t="str">
        <f>IFERROR(__xludf.DUMMYFUNCTION("""COMPUTED_VALUE"""),"Mp Multipedidos")</f>
        <v>Mp Multipedidos</v>
      </c>
      <c r="V4772" s="33">
        <f>IFERROR(__xludf.DUMMYFUNCTION("""COMPUTED_VALUE"""),0.5)</f>
        <v>0.5</v>
      </c>
      <c r="W4772" s="4" t="str">
        <f>IFERROR(__xludf.DUMMYFUNCTION("""COMPUTED_VALUE"""),"Mp Multipedidos")</f>
        <v>Mp Multipedidos</v>
      </c>
      <c r="X4772" s="33">
        <f>IFERROR(__xludf.DUMMYFUNCTION("""COMPUTED_VALUE"""),0.5)</f>
        <v>0.5</v>
      </c>
    </row>
    <row r="4773">
      <c r="K4773" s="4" t="str">
        <f>IFERROR(__xludf.DUMMYFUNCTION("""COMPUTED_VALUE"""),"MATIELLOS PIZZARIA")</f>
        <v>MATIELLOS PIZZARIA</v>
      </c>
      <c r="L4773" s="32">
        <f>IFERROR(__xludf.DUMMYFUNCTION("""COMPUTED_VALUE"""),2.0)</f>
        <v>2</v>
      </c>
      <c r="M4773" s="4" t="str">
        <f>IFERROR(__xludf.DUMMYFUNCTION("""COMPUTED_VALUE"""),"Mp Multipedidos")</f>
        <v>Mp Multipedidos</v>
      </c>
      <c r="N4773" s="33">
        <f>IFERROR(__xludf.DUMMYFUNCTION("""COMPUTED_VALUE"""),1.0)</f>
        <v>1</v>
      </c>
      <c r="O4773" s="4" t="str">
        <f>IFERROR(__xludf.DUMMYFUNCTION("""COMPUTED_VALUE"""),"Mp Multipedidos")</f>
        <v>Mp Multipedidos</v>
      </c>
      <c r="P4773" s="33">
        <f>IFERROR(__xludf.DUMMYFUNCTION("""COMPUTED_VALUE"""),1.0)</f>
        <v>1</v>
      </c>
      <c r="Q4773" s="4" t="str">
        <f>IFERROR(__xludf.DUMMYFUNCTION("""COMPUTED_VALUE"""),"Mp Multipedidos")</f>
        <v>Mp Multipedidos</v>
      </c>
      <c r="R4773" s="33">
        <f>IFERROR(__xludf.DUMMYFUNCTION("""COMPUTED_VALUE"""),0.5)</f>
        <v>0.5</v>
      </c>
      <c r="S4773" s="4" t="str">
        <f>IFERROR(__xludf.DUMMYFUNCTION("""COMPUTED_VALUE"""),"Mp Multipedidos")</f>
        <v>Mp Multipedidos</v>
      </c>
      <c r="T4773" s="33">
        <f>IFERROR(__xludf.DUMMYFUNCTION("""COMPUTED_VALUE"""),0.5)</f>
        <v>0.5</v>
      </c>
      <c r="U4773" s="4" t="str">
        <f>IFERROR(__xludf.DUMMYFUNCTION("""COMPUTED_VALUE"""),"Mp Multipedidos")</f>
        <v>Mp Multipedidos</v>
      </c>
      <c r="V4773" s="33">
        <f>IFERROR(__xludf.DUMMYFUNCTION("""COMPUTED_VALUE"""),0.5)</f>
        <v>0.5</v>
      </c>
      <c r="W4773" s="4" t="str">
        <f>IFERROR(__xludf.DUMMYFUNCTION("""COMPUTED_VALUE"""),"Mp Multipedidos")</f>
        <v>Mp Multipedidos</v>
      </c>
      <c r="X4773" s="33">
        <f>IFERROR(__xludf.DUMMYFUNCTION("""COMPUTED_VALUE"""),0.5)</f>
        <v>0.5</v>
      </c>
    </row>
    <row r="4774">
      <c r="K4774" s="4" t="str">
        <f>IFERROR(__xludf.DUMMYFUNCTION("""COMPUTED_VALUE"""),"MAIS SABOR RESTAURANTE")</f>
        <v>MAIS SABOR RESTAURANTE</v>
      </c>
      <c r="L4774" s="32">
        <f>IFERROR(__xludf.DUMMYFUNCTION("""COMPUTED_VALUE"""),2.0)</f>
        <v>2</v>
      </c>
      <c r="M4774" s="4" t="str">
        <f>IFERROR(__xludf.DUMMYFUNCTION("""COMPUTED_VALUE"""),"null")</f>
        <v>null</v>
      </c>
      <c r="N4774" s="33">
        <f>IFERROR(__xludf.DUMMYFUNCTION("""COMPUTED_VALUE"""),0.5)</f>
        <v>0.5</v>
      </c>
      <c r="O4774" s="4" t="str">
        <f>IFERROR(__xludf.DUMMYFUNCTION("""COMPUTED_VALUE"""),"null")</f>
        <v>null</v>
      </c>
      <c r="P4774" s="33">
        <f>IFERROR(__xludf.DUMMYFUNCTION("""COMPUTED_VALUE"""),0.5)</f>
        <v>0.5</v>
      </c>
      <c r="Q4774" s="4" t="str">
        <f>IFERROR(__xludf.DUMMYFUNCTION("""COMPUTED_VALUE"""),"Saipos Serviços De Software")</f>
        <v>Saipos Serviços De Software</v>
      </c>
      <c r="R4774" s="33">
        <f>IFERROR(__xludf.DUMMYFUNCTION("""COMPUTED_VALUE"""),0.5)</f>
        <v>0.5</v>
      </c>
      <c r="S4774" s="4" t="str">
        <f>IFERROR(__xludf.DUMMYFUNCTION("""COMPUTED_VALUE"""),"Saipos Serviços De Software")</f>
        <v>Saipos Serviços De Software</v>
      </c>
      <c r="T4774" s="33">
        <f>IFERROR(__xludf.DUMMYFUNCTION("""COMPUTED_VALUE"""),0.5)</f>
        <v>0.5</v>
      </c>
      <c r="U4774" s="4" t="str">
        <f>IFERROR(__xludf.DUMMYFUNCTION("""COMPUTED_VALUE"""),"Saipos Serviços De Software")</f>
        <v>Saipos Serviços De Software</v>
      </c>
      <c r="V4774" s="33">
        <f>IFERROR(__xludf.DUMMYFUNCTION("""COMPUTED_VALUE"""),0.5)</f>
        <v>0.5</v>
      </c>
      <c r="W4774" s="4" t="str">
        <f>IFERROR(__xludf.DUMMYFUNCTION("""COMPUTED_VALUE"""),"Saipos Serviços De Software")</f>
        <v>Saipos Serviços De Software</v>
      </c>
      <c r="X4774" s="33">
        <f>IFERROR(__xludf.DUMMYFUNCTION("""COMPUTED_VALUE"""),0.5)</f>
        <v>0.5</v>
      </c>
    </row>
    <row r="4775">
      <c r="K4775" s="4" t="str">
        <f>IFERROR(__xludf.DUMMYFUNCTION("""COMPUTED_VALUE"""),"DOCE ARTE")</f>
        <v>DOCE ARTE</v>
      </c>
      <c r="L4775" s="32">
        <f>IFERROR(__xludf.DUMMYFUNCTION("""COMPUTED_VALUE"""),2.0)</f>
        <v>2</v>
      </c>
      <c r="M4775" s="4" t="str">
        <f>IFERROR(__xludf.DUMMYFUNCTION("""COMPUTED_VALUE"""),"null")</f>
        <v>null</v>
      </c>
      <c r="N4775" s="33">
        <f>IFERROR(__xludf.DUMMYFUNCTION("""COMPUTED_VALUE"""),0.5)</f>
        <v>0.5</v>
      </c>
      <c r="O4775" s="4" t="str">
        <f>IFERROR(__xludf.DUMMYFUNCTION("""COMPUTED_VALUE"""),"null")</f>
        <v>null</v>
      </c>
      <c r="P4775" s="33">
        <f>IFERROR(__xludf.DUMMYFUNCTION("""COMPUTED_VALUE"""),1.0)</f>
        <v>1</v>
      </c>
      <c r="Q4775" s="4" t="str">
        <f>IFERROR(__xludf.DUMMYFUNCTION("""COMPUTED_VALUE"""),"null")</f>
        <v>null</v>
      </c>
      <c r="R4775" s="33">
        <f>IFERROR(__xludf.DUMMYFUNCTION("""COMPUTED_VALUE"""),1.0)</f>
        <v>1</v>
      </c>
      <c r="S4775" s="4" t="str">
        <f>IFERROR(__xludf.DUMMYFUNCTION("""COMPUTED_VALUE"""),"null")</f>
        <v>null</v>
      </c>
      <c r="T4775" s="33">
        <f>IFERROR(__xludf.DUMMYFUNCTION("""COMPUTED_VALUE"""),1.0)</f>
        <v>1</v>
      </c>
      <c r="U4775" s="4" t="str">
        <f>IFERROR(__xludf.DUMMYFUNCTION("""COMPUTED_VALUE"""),"Saipos Serviços De Software")</f>
        <v>Saipos Serviços De Software</v>
      </c>
      <c r="V4775" s="33">
        <f>IFERROR(__xludf.DUMMYFUNCTION("""COMPUTED_VALUE"""),0.5)</f>
        <v>0.5</v>
      </c>
      <c r="W4775" s="4" t="str">
        <f>IFERROR(__xludf.DUMMYFUNCTION("""COMPUTED_VALUE"""),"Saipos Serviços De Software")</f>
        <v>Saipos Serviços De Software</v>
      </c>
      <c r="X4775" s="33">
        <f>IFERROR(__xludf.DUMMYFUNCTION("""COMPUTED_VALUE"""),0.5)</f>
        <v>0.5</v>
      </c>
    </row>
    <row r="4776">
      <c r="K4776" s="4" t="str">
        <f>IFERROR(__xludf.DUMMYFUNCTION("""COMPUTED_VALUE"""),"VEM DE ACAI")</f>
        <v>VEM DE ACAI</v>
      </c>
      <c r="L4776" s="32">
        <f>IFERROR(__xludf.DUMMYFUNCTION("""COMPUTED_VALUE"""),2.0)</f>
        <v>2</v>
      </c>
      <c r="M4776" s="4" t="str">
        <f>IFERROR(__xludf.DUMMYFUNCTION("""COMPUTED_VALUE"""),"Saipos Serviços De Software")</f>
        <v>Saipos Serviços De Software</v>
      </c>
      <c r="N4776" s="33">
        <f>IFERROR(__xludf.DUMMYFUNCTION("""COMPUTED_VALUE"""),0.5)</f>
        <v>0.5</v>
      </c>
      <c r="O4776" s="4" t="str">
        <f>IFERROR(__xludf.DUMMYFUNCTION("""COMPUTED_VALUE"""),"Saipos Serviços De Software")</f>
        <v>Saipos Serviços De Software</v>
      </c>
      <c r="P4776" s="33">
        <f>IFERROR(__xludf.DUMMYFUNCTION("""COMPUTED_VALUE"""),0.5)</f>
        <v>0.5</v>
      </c>
      <c r="Q4776" s="4" t="str">
        <f>IFERROR(__xludf.DUMMYFUNCTION("""COMPUTED_VALUE"""),"null")</f>
        <v>null</v>
      </c>
      <c r="R4776" s="33">
        <f>IFERROR(__xludf.DUMMYFUNCTION("""COMPUTED_VALUE"""),1.0)</f>
        <v>1</v>
      </c>
      <c r="S4776" s="4" t="str">
        <f>IFERROR(__xludf.DUMMYFUNCTION("""COMPUTED_VALUE"""),"null")</f>
        <v>null</v>
      </c>
      <c r="T4776" s="33">
        <f>IFERROR(__xludf.DUMMYFUNCTION("""COMPUTED_VALUE"""),1.0)</f>
        <v>1</v>
      </c>
      <c r="U4776" s="4" t="str">
        <f>IFERROR(__xludf.DUMMYFUNCTION("""COMPUTED_VALUE"""),"null")</f>
        <v>null</v>
      </c>
      <c r="V4776" s="33">
        <f>IFERROR(__xludf.DUMMYFUNCTION("""COMPUTED_VALUE"""),0.5)</f>
        <v>0.5</v>
      </c>
      <c r="W4776" s="4" t="str">
        <f>IFERROR(__xludf.DUMMYFUNCTION("""COMPUTED_VALUE"""),"null")</f>
        <v>null</v>
      </c>
      <c r="X4776" s="33">
        <f>IFERROR(__xludf.DUMMYFUNCTION("""COMPUTED_VALUE"""),0.5)</f>
        <v>0.5</v>
      </c>
    </row>
    <row r="4777">
      <c r="K4777" s="4" t="str">
        <f>IFERROR(__xludf.DUMMYFUNCTION("""COMPUTED_VALUE"""),"PIZZARIA DO GORDO")</f>
        <v>PIZZARIA DO GORDO</v>
      </c>
      <c r="L4777" s="32">
        <f>IFERROR(__xludf.DUMMYFUNCTION("""COMPUTED_VALUE"""),2.0)</f>
        <v>2</v>
      </c>
      <c r="M4777" s="4" t="str">
        <f>IFERROR(__xludf.DUMMYFUNCTION("""COMPUTED_VALUE"""),"null")</f>
        <v>null</v>
      </c>
      <c r="N4777" s="33">
        <f>IFERROR(__xludf.DUMMYFUNCTION("""COMPUTED_VALUE"""),1.0)</f>
        <v>1</v>
      </c>
      <c r="O4777" s="4" t="str">
        <f>IFERROR(__xludf.DUMMYFUNCTION("""COMPUTED_VALUE"""),"null")</f>
        <v>null</v>
      </c>
      <c r="P4777" s="33">
        <f>IFERROR(__xludf.DUMMYFUNCTION("""COMPUTED_VALUE"""),1.0)</f>
        <v>1</v>
      </c>
      <c r="Q4777" s="4" t="str">
        <f>IFERROR(__xludf.DUMMYFUNCTION("""COMPUTED_VALUE"""),"null")</f>
        <v>null</v>
      </c>
      <c r="R4777" s="33">
        <f>IFERROR(__xludf.DUMMYFUNCTION("""COMPUTED_VALUE"""),1.0)</f>
        <v>1</v>
      </c>
      <c r="S4777" s="4" t="str">
        <f>IFERROR(__xludf.DUMMYFUNCTION("""COMPUTED_VALUE"""),"null")</f>
        <v>null</v>
      </c>
      <c r="T4777" s="33">
        <f>IFERROR(__xludf.DUMMYFUNCTION("""COMPUTED_VALUE"""),1.0)</f>
        <v>1</v>
      </c>
      <c r="U4777" s="4" t="str">
        <f>IFERROR(__xludf.DUMMYFUNCTION("""COMPUTED_VALUE"""),"Saipos Serviços De Software")</f>
        <v>Saipos Serviços De Software</v>
      </c>
      <c r="V4777" s="33">
        <f>IFERROR(__xludf.DUMMYFUNCTION("""COMPUTED_VALUE"""),0.5)</f>
        <v>0.5</v>
      </c>
      <c r="W4777" s="4" t="str">
        <f>IFERROR(__xludf.DUMMYFUNCTION("""COMPUTED_VALUE"""),"Saipos Serviços De Software")</f>
        <v>Saipos Serviços De Software</v>
      </c>
      <c r="X4777" s="33">
        <f>IFERROR(__xludf.DUMMYFUNCTION("""COMPUTED_VALUE"""),0.5)</f>
        <v>0.5</v>
      </c>
    </row>
    <row r="4778">
      <c r="K4778" s="4" t="str">
        <f>IFERROR(__xludf.DUMMYFUNCTION("""COMPUTED_VALUE"""),"MARMITARIA DOS NOGUEIRAS - A MELHOR PARMEGIANA")</f>
        <v>MARMITARIA DOS NOGUEIRAS - A MELHOR PARMEGIANA</v>
      </c>
      <c r="L4778" s="32">
        <f>IFERROR(__xludf.DUMMYFUNCTION("""COMPUTED_VALUE"""),2.0)</f>
        <v>2</v>
      </c>
      <c r="M4778" s="4" t="str">
        <f>IFERROR(__xludf.DUMMYFUNCTION("""COMPUTED_VALUE"""),"null")</f>
        <v>null</v>
      </c>
      <c r="N4778" s="33">
        <f>IFERROR(__xludf.DUMMYFUNCTION("""COMPUTED_VALUE"""),0.5)</f>
        <v>0.5</v>
      </c>
      <c r="O4778" s="4" t="str">
        <f>IFERROR(__xludf.DUMMYFUNCTION("""COMPUTED_VALUE"""),"null")</f>
        <v>null</v>
      </c>
      <c r="P4778" s="33">
        <f>IFERROR(__xludf.DUMMYFUNCTION("""COMPUTED_VALUE"""),0.5)</f>
        <v>0.5</v>
      </c>
      <c r="Q4778" s="4" t="str">
        <f>IFERROR(__xludf.DUMMYFUNCTION("""COMPUTED_VALUE"""),"null")</f>
        <v>null</v>
      </c>
      <c r="R4778" s="33">
        <f>IFERROR(__xludf.DUMMYFUNCTION("""COMPUTED_VALUE"""),0.5)</f>
        <v>0.5</v>
      </c>
      <c r="S4778" s="4" t="str">
        <f>IFERROR(__xludf.DUMMYFUNCTION("""COMPUTED_VALUE"""),"null")</f>
        <v>null</v>
      </c>
      <c r="T4778" s="33">
        <f>IFERROR(__xludf.DUMMYFUNCTION("""COMPUTED_VALUE"""),0.5)</f>
        <v>0.5</v>
      </c>
      <c r="U4778" s="4" t="str">
        <f>IFERROR(__xludf.DUMMYFUNCTION("""COMPUTED_VALUE"""),"Saipos Serviços De Software")</f>
        <v>Saipos Serviços De Software</v>
      </c>
      <c r="V4778" s="33">
        <f>IFERROR(__xludf.DUMMYFUNCTION("""COMPUTED_VALUE"""),1.0)</f>
        <v>1</v>
      </c>
      <c r="W4778" s="4" t="str">
        <f>IFERROR(__xludf.DUMMYFUNCTION("""COMPUTED_VALUE"""),"Saipos Serviços De Software")</f>
        <v>Saipos Serviços De Software</v>
      </c>
      <c r="X4778" s="33">
        <f>IFERROR(__xludf.DUMMYFUNCTION("""COMPUTED_VALUE"""),0.5)</f>
        <v>0.5</v>
      </c>
    </row>
    <row r="4779">
      <c r="K4779" s="4" t="str">
        <f>IFERROR(__xludf.DUMMYFUNCTION("""COMPUTED_VALUE"""),"CARIOCAS BURGUER")</f>
        <v>CARIOCAS BURGUER</v>
      </c>
      <c r="L4779" s="32">
        <f>IFERROR(__xludf.DUMMYFUNCTION("""COMPUTED_VALUE"""),2.0)</f>
        <v>2</v>
      </c>
      <c r="M4779" s="4" t="str">
        <f>IFERROR(__xludf.DUMMYFUNCTION("""COMPUTED_VALUE"""),"Grandchef Desenvolvimento De Sistemas Ltda")</f>
        <v>Grandchef Desenvolvimento De Sistemas Ltda</v>
      </c>
      <c r="N4779" s="33">
        <f>IFERROR(__xludf.DUMMYFUNCTION("""COMPUTED_VALUE"""),0.5)</f>
        <v>0.5</v>
      </c>
      <c r="O4779" s="4" t="str">
        <f>IFERROR(__xludf.DUMMYFUNCTION("""COMPUTED_VALUE"""),"Grandchef Desenvolvimento De Sistemas Ltda")</f>
        <v>Grandchef Desenvolvimento De Sistemas Ltda</v>
      </c>
      <c r="P4779" s="33">
        <f>IFERROR(__xludf.DUMMYFUNCTION("""COMPUTED_VALUE"""),0.5)</f>
        <v>0.5</v>
      </c>
      <c r="Q4779" s="4" t="str">
        <f>IFERROR(__xludf.DUMMYFUNCTION("""COMPUTED_VALUE"""),"Grandchef Desenvolvimento De Sistemas Ltda")</f>
        <v>Grandchef Desenvolvimento De Sistemas Ltda</v>
      </c>
      <c r="R4779" s="33">
        <f>IFERROR(__xludf.DUMMYFUNCTION("""COMPUTED_VALUE"""),0.5)</f>
        <v>0.5</v>
      </c>
      <c r="S4779" s="4" t="str">
        <f>IFERROR(__xludf.DUMMYFUNCTION("""COMPUTED_VALUE"""),"Grandchef Desenvolvimento De Sistemas Ltda")</f>
        <v>Grandchef Desenvolvimento De Sistemas Ltda</v>
      </c>
      <c r="T4779" s="33">
        <f>IFERROR(__xludf.DUMMYFUNCTION("""COMPUTED_VALUE"""),0.5)</f>
        <v>0.5</v>
      </c>
      <c r="U4779" s="4" t="str">
        <f>IFERROR(__xludf.DUMMYFUNCTION("""COMPUTED_VALUE"""),"Grandchef Desenvolvimento De Sistemas Ltda")</f>
        <v>Grandchef Desenvolvimento De Sistemas Ltda</v>
      </c>
      <c r="V4779" s="33">
        <f>IFERROR(__xludf.DUMMYFUNCTION("""COMPUTED_VALUE"""),0.5)</f>
        <v>0.5</v>
      </c>
      <c r="W4779" s="4" t="str">
        <f>IFERROR(__xludf.DUMMYFUNCTION("""COMPUTED_VALUE"""),"Grandchef Desenvolvimento De Sistemas Ltda")</f>
        <v>Grandchef Desenvolvimento De Sistemas Ltda</v>
      </c>
      <c r="X4779" s="33">
        <f>IFERROR(__xludf.DUMMYFUNCTION("""COMPUTED_VALUE"""),0.5)</f>
        <v>0.5</v>
      </c>
    </row>
    <row r="4780">
      <c r="K4780" s="4" t="str">
        <f>IFERROR(__xludf.DUMMYFUNCTION("""COMPUTED_VALUE"""),"SKYPIZZA FORNERIA")</f>
        <v>SKYPIZZA FORNERIA</v>
      </c>
      <c r="L4780" s="32">
        <f>IFERROR(__xludf.DUMMYFUNCTION("""COMPUTED_VALUE"""),2.0)</f>
        <v>2</v>
      </c>
      <c r="M4780" s="4" t="str">
        <f>IFERROR(__xludf.DUMMYFUNCTION("""COMPUTED_VALUE"""),"Anota Ai Solucoes Digitais S/a")</f>
        <v>Anota Ai Solucoes Digitais S/a</v>
      </c>
      <c r="N4780" s="33">
        <f>IFERROR(__xludf.DUMMYFUNCTION("""COMPUTED_VALUE"""),1.0)</f>
        <v>1</v>
      </c>
      <c r="O4780" s="4" t="str">
        <f>IFERROR(__xludf.DUMMYFUNCTION("""COMPUTED_VALUE"""),"null")</f>
        <v>null</v>
      </c>
      <c r="P4780" s="33">
        <f>IFERROR(__xludf.DUMMYFUNCTION("""COMPUTED_VALUE"""),0.5)</f>
        <v>0.5</v>
      </c>
      <c r="Q4780" s="4" t="str">
        <f>IFERROR(__xludf.DUMMYFUNCTION("""COMPUTED_VALUE"""),"Anota Ai Solucoes Digitais S/a")</f>
        <v>Anota Ai Solucoes Digitais S/a</v>
      </c>
      <c r="R4780" s="33">
        <f>IFERROR(__xludf.DUMMYFUNCTION("""COMPUTED_VALUE"""),1.0)</f>
        <v>1</v>
      </c>
      <c r="S4780" s="4" t="str">
        <f>IFERROR(__xludf.DUMMYFUNCTION("""COMPUTED_VALUE"""),"Anota Ai Solucoes Digitais S/a")</f>
        <v>Anota Ai Solucoes Digitais S/a</v>
      </c>
      <c r="T4780" s="33">
        <f>IFERROR(__xludf.DUMMYFUNCTION("""COMPUTED_VALUE"""),1.0)</f>
        <v>1</v>
      </c>
      <c r="U4780" s="4" t="str">
        <f>IFERROR(__xludf.DUMMYFUNCTION("""COMPUTED_VALUE"""),"Anota Ai Solucoes Digitais S/a")</f>
        <v>Anota Ai Solucoes Digitais S/a</v>
      </c>
      <c r="V4780" s="33">
        <f>IFERROR(__xludf.DUMMYFUNCTION("""COMPUTED_VALUE"""),1.0)</f>
        <v>1</v>
      </c>
      <c r="W4780" s="4" t="str">
        <f>IFERROR(__xludf.DUMMYFUNCTION("""COMPUTED_VALUE"""),"null")</f>
        <v>null</v>
      </c>
      <c r="X4780" s="33">
        <f>IFERROR(__xludf.DUMMYFUNCTION("""COMPUTED_VALUE"""),1.0)</f>
        <v>1</v>
      </c>
    </row>
    <row r="4781">
      <c r="K4781" s="4" t="str">
        <f>IFERROR(__xludf.DUMMYFUNCTION("""COMPUTED_VALUE"""),"SOS PHARMA")</f>
        <v>SOS PHARMA</v>
      </c>
      <c r="L4781" s="32">
        <f>IFERROR(__xludf.DUMMYFUNCTION("""COMPUTED_VALUE"""),2.0)</f>
        <v>2</v>
      </c>
      <c r="M4781" s="4" t="str">
        <f>IFERROR(__xludf.DUMMYFUNCTION("""COMPUTED_VALUE"""),"N/A (Not found)")</f>
        <v>N/A (Not found)</v>
      </c>
      <c r="N4781" s="33">
        <f>IFERROR(__xludf.DUMMYFUNCTION("""COMPUTED_VALUE"""),1.0)</f>
        <v>1</v>
      </c>
      <c r="O4781" s="4" t="str">
        <f>IFERROR(__xludf.DUMMYFUNCTION("""COMPUTED_VALUE"""),"N/A (Not found)")</f>
        <v>N/A (Not found)</v>
      </c>
      <c r="P4781" s="33">
        <f>IFERROR(__xludf.DUMMYFUNCTION("""COMPUTED_VALUE"""),1.0)</f>
        <v>1</v>
      </c>
      <c r="Q4781" s="4" t="str">
        <f>IFERROR(__xludf.DUMMYFUNCTION("""COMPUTED_VALUE"""),"N/A (Not found)")</f>
        <v>N/A (Not found)</v>
      </c>
      <c r="R4781" s="33">
        <f>IFERROR(__xludf.DUMMYFUNCTION("""COMPUTED_VALUE"""),1.0)</f>
        <v>1</v>
      </c>
      <c r="S4781" s="4" t="str">
        <f>IFERROR(__xludf.DUMMYFUNCTION("""COMPUTED_VALUE"""),"N/A (Not found)")</f>
        <v>N/A (Not found)</v>
      </c>
      <c r="T4781" s="33">
        <f>IFERROR(__xludf.DUMMYFUNCTION("""COMPUTED_VALUE"""),1.0)</f>
        <v>1</v>
      </c>
      <c r="U4781" s="4" t="str">
        <f>IFERROR(__xludf.DUMMYFUNCTION("""COMPUTED_VALUE"""),"N/A (Not found)")</f>
        <v>N/A (Not found)</v>
      </c>
      <c r="V4781" s="33">
        <f>IFERROR(__xludf.DUMMYFUNCTION("""COMPUTED_VALUE"""),1.0)</f>
        <v>1</v>
      </c>
      <c r="W4781" s="4" t="str">
        <f>IFERROR(__xludf.DUMMYFUNCTION("""COMPUTED_VALUE"""),"N/A (Not found)")</f>
        <v>N/A (Not found)</v>
      </c>
      <c r="X4781" s="33">
        <f>IFERROR(__xludf.DUMMYFUNCTION("""COMPUTED_VALUE"""),1.0)</f>
        <v>1</v>
      </c>
    </row>
    <row r="4782">
      <c r="K4782" s="4" t="str">
        <f>IFERROR(__xludf.DUMMYFUNCTION("""COMPUTED_VALUE"""),"MADRUGAO LANCHES")</f>
        <v>MADRUGAO LANCHES</v>
      </c>
      <c r="L4782" s="32">
        <f>IFERROR(__xludf.DUMMYFUNCTION("""COMPUTED_VALUE"""),2.0)</f>
        <v>2</v>
      </c>
      <c r="M4782" s="4" t="str">
        <f>IFERROR(__xludf.DUMMYFUNCTION("""COMPUTED_VALUE"""),"Anota Ai Solucoes Digitais S/a")</f>
        <v>Anota Ai Solucoes Digitais S/a</v>
      </c>
      <c r="N4782" s="33">
        <f>IFERROR(__xludf.DUMMYFUNCTION("""COMPUTED_VALUE"""),0.5)</f>
        <v>0.5</v>
      </c>
      <c r="O4782" s="4" t="str">
        <f>IFERROR(__xludf.DUMMYFUNCTION("""COMPUTED_VALUE"""),"Anota Ai Solucoes Digitais S/a")</f>
        <v>Anota Ai Solucoes Digitais S/a</v>
      </c>
      <c r="P4782" s="33">
        <f>IFERROR(__xludf.DUMMYFUNCTION("""COMPUTED_VALUE"""),0.5)</f>
        <v>0.5</v>
      </c>
      <c r="Q4782" s="4" t="str">
        <f>IFERROR(__xludf.DUMMYFUNCTION("""COMPUTED_VALUE"""),"Anota Ai Solucoes Digitais S/a")</f>
        <v>Anota Ai Solucoes Digitais S/a</v>
      </c>
      <c r="R4782" s="33">
        <f>IFERROR(__xludf.DUMMYFUNCTION("""COMPUTED_VALUE"""),0.5)</f>
        <v>0.5</v>
      </c>
      <c r="S4782" s="4" t="str">
        <f>IFERROR(__xludf.DUMMYFUNCTION("""COMPUTED_VALUE"""),"Anota Ai Solucoes Digitais S/a")</f>
        <v>Anota Ai Solucoes Digitais S/a</v>
      </c>
      <c r="T4782" s="33">
        <f>IFERROR(__xludf.DUMMYFUNCTION("""COMPUTED_VALUE"""),0.5)</f>
        <v>0.5</v>
      </c>
      <c r="U4782" s="4" t="str">
        <f>IFERROR(__xludf.DUMMYFUNCTION("""COMPUTED_VALUE"""),"Anota Ai Solucoes Digitais S/a")</f>
        <v>Anota Ai Solucoes Digitais S/a</v>
      </c>
      <c r="V4782" s="33">
        <f>IFERROR(__xludf.DUMMYFUNCTION("""COMPUTED_VALUE"""),0.5)</f>
        <v>0.5</v>
      </c>
      <c r="W4782" s="4" t="str">
        <f>IFERROR(__xludf.DUMMYFUNCTION("""COMPUTED_VALUE"""),"Anota Ai Solucoes Digitais S/a")</f>
        <v>Anota Ai Solucoes Digitais S/a</v>
      </c>
      <c r="X4782" s="33">
        <f>IFERROR(__xludf.DUMMYFUNCTION("""COMPUTED_VALUE"""),1.0)</f>
        <v>1</v>
      </c>
    </row>
    <row r="4783">
      <c r="K4783" s="4" t="str">
        <f>IFERROR(__xludf.DUMMYFUNCTION("""COMPUTED_VALUE"""),"A CAPITAL DA BATATA")</f>
        <v>A CAPITAL DA BATATA</v>
      </c>
      <c r="L4783" s="32">
        <f>IFERROR(__xludf.DUMMYFUNCTION("""COMPUTED_VALUE"""),2.0)</f>
        <v>2</v>
      </c>
      <c r="M4783" s="4" t="str">
        <f>IFERROR(__xludf.DUMMYFUNCTION("""COMPUTED_VALUE"""),"null")</f>
        <v>null</v>
      </c>
      <c r="N4783" s="33">
        <f>IFERROR(__xludf.DUMMYFUNCTION("""COMPUTED_VALUE"""),1.0)</f>
        <v>1</v>
      </c>
      <c r="O4783" s="4" t="str">
        <f>IFERROR(__xludf.DUMMYFUNCTION("""COMPUTED_VALUE"""),"null")</f>
        <v>null</v>
      </c>
      <c r="P4783" s="33">
        <f>IFERROR(__xludf.DUMMYFUNCTION("""COMPUTED_VALUE"""),0.5)</f>
        <v>0.5</v>
      </c>
      <c r="Q4783" s="4" t="str">
        <f>IFERROR(__xludf.DUMMYFUNCTION("""COMPUTED_VALUE"""),"Instadelivery")</f>
        <v>Instadelivery</v>
      </c>
      <c r="R4783" s="33">
        <f>IFERROR(__xludf.DUMMYFUNCTION("""COMPUTED_VALUE"""),1.0)</f>
        <v>1</v>
      </c>
      <c r="S4783" s="4" t="str">
        <f>IFERROR(__xludf.DUMMYFUNCTION("""COMPUTED_VALUE"""),"Instadelivery")</f>
        <v>Instadelivery</v>
      </c>
      <c r="T4783" s="33">
        <f>IFERROR(__xludf.DUMMYFUNCTION("""COMPUTED_VALUE"""),1.0)</f>
        <v>1</v>
      </c>
      <c r="U4783" s="4" t="str">
        <f>IFERROR(__xludf.DUMMYFUNCTION("""COMPUTED_VALUE"""),"Instadelivery")</f>
        <v>Instadelivery</v>
      </c>
      <c r="V4783" s="33">
        <f>IFERROR(__xludf.DUMMYFUNCTION("""COMPUTED_VALUE"""),1.0)</f>
        <v>1</v>
      </c>
      <c r="W4783" s="4" t="str">
        <f>IFERROR(__xludf.DUMMYFUNCTION("""COMPUTED_VALUE"""),"null")</f>
        <v>null</v>
      </c>
      <c r="X4783" s="33">
        <f>IFERROR(__xludf.DUMMYFUNCTION("""COMPUTED_VALUE"""),0.5)</f>
        <v>0.5</v>
      </c>
    </row>
    <row r="4784">
      <c r="K4784" s="4" t="str">
        <f>IFERROR(__xludf.DUMMYFUNCTION("""COMPUTED_VALUE"""),"SABOROSA PANQUECA")</f>
        <v>SABOROSA PANQUECA</v>
      </c>
      <c r="L4784" s="32">
        <f>IFERROR(__xludf.DUMMYFUNCTION("""COMPUTED_VALUE"""),2.0)</f>
        <v>2</v>
      </c>
      <c r="M4784" s="4" t="str">
        <f>IFERROR(__xludf.DUMMYFUNCTION("""COMPUTED_VALUE"""),"Saipos Serviços De Software")</f>
        <v>Saipos Serviços De Software</v>
      </c>
      <c r="N4784" s="33">
        <f>IFERROR(__xludf.DUMMYFUNCTION("""COMPUTED_VALUE"""),1.0)</f>
        <v>1</v>
      </c>
      <c r="O4784" s="4" t="str">
        <f>IFERROR(__xludf.DUMMYFUNCTION("""COMPUTED_VALUE"""),"Saipos Serviços De Software")</f>
        <v>Saipos Serviços De Software</v>
      </c>
      <c r="P4784" s="33">
        <f>IFERROR(__xludf.DUMMYFUNCTION("""COMPUTED_VALUE"""),1.0)</f>
        <v>1</v>
      </c>
      <c r="Q4784" s="4" t="str">
        <f>IFERROR(__xludf.DUMMYFUNCTION("""COMPUTED_VALUE"""),"Saipos Serviços De Software")</f>
        <v>Saipos Serviços De Software</v>
      </c>
      <c r="R4784" s="33">
        <f>IFERROR(__xludf.DUMMYFUNCTION("""COMPUTED_VALUE"""),1.0)</f>
        <v>1</v>
      </c>
      <c r="S4784" s="4" t="str">
        <f>IFERROR(__xludf.DUMMYFUNCTION("""COMPUTED_VALUE"""),"Saipos Serviços De Software")</f>
        <v>Saipos Serviços De Software</v>
      </c>
      <c r="T4784" s="33">
        <f>IFERROR(__xludf.DUMMYFUNCTION("""COMPUTED_VALUE"""),1.0)</f>
        <v>1</v>
      </c>
      <c r="U4784" s="4" t="str">
        <f>IFERROR(__xludf.DUMMYFUNCTION("""COMPUTED_VALUE"""),"Saipos Serviços De Software")</f>
        <v>Saipos Serviços De Software</v>
      </c>
      <c r="V4784" s="33">
        <f>IFERROR(__xludf.DUMMYFUNCTION("""COMPUTED_VALUE"""),1.0)</f>
        <v>1</v>
      </c>
      <c r="W4784" s="4" t="str">
        <f>IFERROR(__xludf.DUMMYFUNCTION("""COMPUTED_VALUE"""),"null")</f>
        <v>null</v>
      </c>
      <c r="X4784" s="33">
        <f>IFERROR(__xludf.DUMMYFUNCTION("""COMPUTED_VALUE"""),1.0)</f>
        <v>1</v>
      </c>
    </row>
    <row r="4785">
      <c r="K4785" s="4" t="str">
        <f>IFERROR(__xludf.DUMMYFUNCTION("""COMPUTED_VALUE"""),"BRAVA PIZZA")</f>
        <v>BRAVA PIZZA</v>
      </c>
      <c r="L4785" s="32">
        <f>IFERROR(__xludf.DUMMYFUNCTION("""COMPUTED_VALUE"""),2.0)</f>
        <v>2</v>
      </c>
      <c r="M4785" s="4" t="str">
        <f>IFERROR(__xludf.DUMMYFUNCTION("""COMPUTED_VALUE"""),"Saipos Serviços De Software")</f>
        <v>Saipos Serviços De Software</v>
      </c>
      <c r="N4785" s="33">
        <f>IFERROR(__xludf.DUMMYFUNCTION("""COMPUTED_VALUE"""),0.5)</f>
        <v>0.5</v>
      </c>
      <c r="O4785" s="4" t="str">
        <f>IFERROR(__xludf.DUMMYFUNCTION("""COMPUTED_VALUE"""),"Saipos Serviços De Software")</f>
        <v>Saipos Serviços De Software</v>
      </c>
      <c r="P4785" s="33">
        <f>IFERROR(__xludf.DUMMYFUNCTION("""COMPUTED_VALUE"""),0.5)</f>
        <v>0.5</v>
      </c>
      <c r="Q4785" s="4" t="str">
        <f>IFERROR(__xludf.DUMMYFUNCTION("""COMPUTED_VALUE"""),"Saipos Serviços De Software")</f>
        <v>Saipos Serviços De Software</v>
      </c>
      <c r="R4785" s="33">
        <f>IFERROR(__xludf.DUMMYFUNCTION("""COMPUTED_VALUE"""),0.5)</f>
        <v>0.5</v>
      </c>
      <c r="S4785" s="4" t="str">
        <f>IFERROR(__xludf.DUMMYFUNCTION("""COMPUTED_VALUE"""),"Saipos Serviços De Software")</f>
        <v>Saipos Serviços De Software</v>
      </c>
      <c r="T4785" s="33">
        <f>IFERROR(__xludf.DUMMYFUNCTION("""COMPUTED_VALUE"""),0.5)</f>
        <v>0.5</v>
      </c>
      <c r="U4785" s="4" t="str">
        <f>IFERROR(__xludf.DUMMYFUNCTION("""COMPUTED_VALUE"""),"Saipos Serviços De Software")</f>
        <v>Saipos Serviços De Software</v>
      </c>
      <c r="V4785" s="33">
        <f>IFERROR(__xludf.DUMMYFUNCTION("""COMPUTED_VALUE"""),0.5)</f>
        <v>0.5</v>
      </c>
      <c r="W4785" s="4" t="str">
        <f>IFERROR(__xludf.DUMMYFUNCTION("""COMPUTED_VALUE"""),"Saipos Serviços De Software")</f>
        <v>Saipos Serviços De Software</v>
      </c>
      <c r="X4785" s="33">
        <f>IFERROR(__xludf.DUMMYFUNCTION("""COMPUTED_VALUE"""),0.5)</f>
        <v>0.5</v>
      </c>
    </row>
    <row r="4786">
      <c r="K4786" s="4" t="str">
        <f>IFERROR(__xludf.DUMMYFUNCTION("""COMPUTED_VALUE"""),"BENTO CAFE")</f>
        <v>BENTO CAFE</v>
      </c>
      <c r="L4786" s="32">
        <f>IFERROR(__xludf.DUMMYFUNCTION("""COMPUTED_VALUE"""),2.0)</f>
        <v>2</v>
      </c>
      <c r="M4786" s="4" t="str">
        <f>IFERROR(__xludf.DUMMYFUNCTION("""COMPUTED_VALUE"""),"Cervantes Tecnologia")</f>
        <v>Cervantes Tecnologia</v>
      </c>
      <c r="N4786" s="33">
        <f>IFERROR(__xludf.DUMMYFUNCTION("""COMPUTED_VALUE"""),0.5)</f>
        <v>0.5</v>
      </c>
      <c r="O4786" s="4" t="str">
        <f>IFERROR(__xludf.DUMMYFUNCTION("""COMPUTED_VALUE"""),"Cervantes Tecnologia")</f>
        <v>Cervantes Tecnologia</v>
      </c>
      <c r="P4786" s="33">
        <f>IFERROR(__xludf.DUMMYFUNCTION("""COMPUTED_VALUE"""),0.5)</f>
        <v>0.5</v>
      </c>
      <c r="Q4786" s="4" t="str">
        <f>IFERROR(__xludf.DUMMYFUNCTION("""COMPUTED_VALUE"""),"Cervantes Tecnologia")</f>
        <v>Cervantes Tecnologia</v>
      </c>
      <c r="R4786" s="33">
        <f>IFERROR(__xludf.DUMMYFUNCTION("""COMPUTED_VALUE"""),0.5)</f>
        <v>0.5</v>
      </c>
      <c r="S4786" s="4" t="str">
        <f>IFERROR(__xludf.DUMMYFUNCTION("""COMPUTED_VALUE"""),"Cervantes Tecnologia")</f>
        <v>Cervantes Tecnologia</v>
      </c>
      <c r="T4786" s="33">
        <f>IFERROR(__xludf.DUMMYFUNCTION("""COMPUTED_VALUE"""),0.5)</f>
        <v>0.5</v>
      </c>
      <c r="U4786" s="4" t="str">
        <f>IFERROR(__xludf.DUMMYFUNCTION("""COMPUTED_VALUE"""),"Cervantes Tecnologia")</f>
        <v>Cervantes Tecnologia</v>
      </c>
      <c r="V4786" s="33">
        <f>IFERROR(__xludf.DUMMYFUNCTION("""COMPUTED_VALUE"""),0.5)</f>
        <v>0.5</v>
      </c>
      <c r="W4786" s="4" t="str">
        <f>IFERROR(__xludf.DUMMYFUNCTION("""COMPUTED_VALUE"""),"Cervantes Tecnologia")</f>
        <v>Cervantes Tecnologia</v>
      </c>
      <c r="X4786" s="33">
        <f>IFERROR(__xludf.DUMMYFUNCTION("""COMPUTED_VALUE"""),0.5)</f>
        <v>0.5</v>
      </c>
    </row>
    <row r="4787">
      <c r="K4787" s="4" t="str">
        <f>IFERROR(__xludf.DUMMYFUNCTION("""COMPUTED_VALUE"""),"CONTAINER BURGUER")</f>
        <v>CONTAINER BURGUER</v>
      </c>
      <c r="L4787" s="32">
        <f>IFERROR(__xludf.DUMMYFUNCTION("""COMPUTED_VALUE"""),2.0)</f>
        <v>2</v>
      </c>
      <c r="M4787" s="4" t="str">
        <f>IFERROR(__xludf.DUMMYFUNCTION("""COMPUTED_VALUE"""),"Vekttor")</f>
        <v>Vekttor</v>
      </c>
      <c r="N4787" s="33">
        <f>IFERROR(__xludf.DUMMYFUNCTION("""COMPUTED_VALUE"""),0.5)</f>
        <v>0.5</v>
      </c>
      <c r="O4787" s="4" t="str">
        <f>IFERROR(__xludf.DUMMYFUNCTION("""COMPUTED_VALUE"""),"Vekttor")</f>
        <v>Vekttor</v>
      </c>
      <c r="P4787" s="33">
        <f>IFERROR(__xludf.DUMMYFUNCTION("""COMPUTED_VALUE"""),0.5)</f>
        <v>0.5</v>
      </c>
      <c r="Q4787" s="4" t="str">
        <f>IFERROR(__xludf.DUMMYFUNCTION("""COMPUTED_VALUE"""),"Vekttor")</f>
        <v>Vekttor</v>
      </c>
      <c r="R4787" s="33">
        <f>IFERROR(__xludf.DUMMYFUNCTION("""COMPUTED_VALUE"""),0.5)</f>
        <v>0.5</v>
      </c>
      <c r="S4787" s="4" t="str">
        <f>IFERROR(__xludf.DUMMYFUNCTION("""COMPUTED_VALUE"""),"Vekttor")</f>
        <v>Vekttor</v>
      </c>
      <c r="T4787" s="33">
        <f>IFERROR(__xludf.DUMMYFUNCTION("""COMPUTED_VALUE"""),0.5)</f>
        <v>0.5</v>
      </c>
      <c r="U4787" s="4" t="str">
        <f>IFERROR(__xludf.DUMMYFUNCTION("""COMPUTED_VALUE"""),"Vekttor")</f>
        <v>Vekttor</v>
      </c>
      <c r="V4787" s="33">
        <f>IFERROR(__xludf.DUMMYFUNCTION("""COMPUTED_VALUE"""),0.5)</f>
        <v>0.5</v>
      </c>
      <c r="W4787" s="4" t="str">
        <f>IFERROR(__xludf.DUMMYFUNCTION("""COMPUTED_VALUE"""),"Vekttor")</f>
        <v>Vekttor</v>
      </c>
      <c r="X4787" s="33">
        <f>IFERROR(__xludf.DUMMYFUNCTION("""COMPUTED_VALUE"""),0.5)</f>
        <v>0.5</v>
      </c>
    </row>
    <row r="4788">
      <c r="K4788" s="4" t="str">
        <f>IFERROR(__xludf.DUMMYFUNCTION("""COMPUTED_VALUE"""),"BIEL LANCHES")</f>
        <v>BIEL LANCHES</v>
      </c>
      <c r="L4788" s="32">
        <f>IFERROR(__xludf.DUMMYFUNCTION("""COMPUTED_VALUE"""),2.0)</f>
        <v>2</v>
      </c>
      <c r="M4788" s="4" t="str">
        <f>IFERROR(__xludf.DUMMYFUNCTION("""COMPUTED_VALUE"""),"Yooga")</f>
        <v>Yooga</v>
      </c>
      <c r="N4788" s="33">
        <f>IFERROR(__xludf.DUMMYFUNCTION("""COMPUTED_VALUE"""),0.5)</f>
        <v>0.5</v>
      </c>
      <c r="O4788" s="4" t="str">
        <f>IFERROR(__xludf.DUMMYFUNCTION("""COMPUTED_VALUE"""),"Yooga")</f>
        <v>Yooga</v>
      </c>
      <c r="P4788" s="33">
        <f>IFERROR(__xludf.DUMMYFUNCTION("""COMPUTED_VALUE"""),0.5)</f>
        <v>0.5</v>
      </c>
      <c r="Q4788" s="4" t="str">
        <f>IFERROR(__xludf.DUMMYFUNCTION("""COMPUTED_VALUE"""),"Yooga")</f>
        <v>Yooga</v>
      </c>
      <c r="R4788" s="33">
        <f>IFERROR(__xludf.DUMMYFUNCTION("""COMPUTED_VALUE"""),0.5)</f>
        <v>0.5</v>
      </c>
      <c r="S4788" s="4" t="str">
        <f>IFERROR(__xludf.DUMMYFUNCTION("""COMPUTED_VALUE"""),"null")</f>
        <v>null</v>
      </c>
      <c r="T4788" s="33">
        <f>IFERROR(__xludf.DUMMYFUNCTION("""COMPUTED_VALUE"""),0.5)</f>
        <v>0.5</v>
      </c>
      <c r="U4788" s="4" t="str">
        <f>IFERROR(__xludf.DUMMYFUNCTION("""COMPUTED_VALUE"""),"Yooga")</f>
        <v>Yooga</v>
      </c>
      <c r="V4788" s="33">
        <f>IFERROR(__xludf.DUMMYFUNCTION("""COMPUTED_VALUE"""),0.5)</f>
        <v>0.5</v>
      </c>
      <c r="W4788" s="4" t="str">
        <f>IFERROR(__xludf.DUMMYFUNCTION("""COMPUTED_VALUE"""),"Yooga")</f>
        <v>Yooga</v>
      </c>
      <c r="X4788" s="33">
        <f>IFERROR(__xludf.DUMMYFUNCTION("""COMPUTED_VALUE"""),0.5)</f>
        <v>0.5</v>
      </c>
    </row>
    <row r="4789">
      <c r="K4789" s="4" t="str">
        <f>IFERROR(__xludf.DUMMYFUNCTION("""COMPUTED_VALUE"""),"LE PETIT MACARONS")</f>
        <v>LE PETIT MACARONS</v>
      </c>
      <c r="L4789" s="32">
        <f>IFERROR(__xludf.DUMMYFUNCTION("""COMPUTED_VALUE"""),2.0)</f>
        <v>2</v>
      </c>
      <c r="M4789" s="4" t="str">
        <f>IFERROR(__xludf.DUMMYFUNCTION("""COMPUTED_VALUE"""),"Alterdata Tecnologia Em Informatica Ltda")</f>
        <v>Alterdata Tecnologia Em Informatica Ltda</v>
      </c>
      <c r="N4789" s="33">
        <f>IFERROR(__xludf.DUMMYFUNCTION("""COMPUTED_VALUE"""),1.0)</f>
        <v>1</v>
      </c>
      <c r="O4789" s="4" t="str">
        <f>IFERROR(__xludf.DUMMYFUNCTION("""COMPUTED_VALUE"""),"null")</f>
        <v>null</v>
      </c>
      <c r="P4789" s="33">
        <f>IFERROR(__xludf.DUMMYFUNCTION("""COMPUTED_VALUE"""),0.5)</f>
        <v>0.5</v>
      </c>
      <c r="Q4789" s="4" t="str">
        <f>IFERROR(__xludf.DUMMYFUNCTION("""COMPUTED_VALUE"""),"null")</f>
        <v>null</v>
      </c>
      <c r="R4789" s="33">
        <f>IFERROR(__xludf.DUMMYFUNCTION("""COMPUTED_VALUE"""),0.5)</f>
        <v>0.5</v>
      </c>
      <c r="S4789" s="4" t="str">
        <f>IFERROR(__xludf.DUMMYFUNCTION("""COMPUTED_VALUE"""),"null")</f>
        <v>null</v>
      </c>
      <c r="T4789" s="33">
        <f>IFERROR(__xludf.DUMMYFUNCTION("""COMPUTED_VALUE"""),0.5)</f>
        <v>0.5</v>
      </c>
      <c r="U4789" s="4" t="str">
        <f>IFERROR(__xludf.DUMMYFUNCTION("""COMPUTED_VALUE"""),"null")</f>
        <v>null</v>
      </c>
      <c r="V4789" s="33">
        <f>IFERROR(__xludf.DUMMYFUNCTION("""COMPUTED_VALUE"""),0.5)</f>
        <v>0.5</v>
      </c>
      <c r="W4789" s="4" t="str">
        <f>IFERROR(__xludf.DUMMYFUNCTION("""COMPUTED_VALUE"""),"null")</f>
        <v>null</v>
      </c>
      <c r="X4789" s="33">
        <f>IFERROR(__xludf.DUMMYFUNCTION("""COMPUTED_VALUE"""),0.5)</f>
        <v>0.5</v>
      </c>
    </row>
    <row r="4790">
      <c r="K4790" s="4" t="str">
        <f>IFERROR(__xludf.DUMMYFUNCTION("""COMPUTED_VALUE"""),"ACAI DA ESQUINA")</f>
        <v>ACAI DA ESQUINA</v>
      </c>
      <c r="L4790" s="32">
        <f>IFERROR(__xludf.DUMMYFUNCTION("""COMPUTED_VALUE"""),2.0)</f>
        <v>2</v>
      </c>
      <c r="M4790" s="4" t="str">
        <f>IFERROR(__xludf.DUMMYFUNCTION("""COMPUTED_VALUE"""),"Anota Ai Solucoes Digitais S/a")</f>
        <v>Anota Ai Solucoes Digitais S/a</v>
      </c>
      <c r="N4790" s="33">
        <f>IFERROR(__xludf.DUMMYFUNCTION("""COMPUTED_VALUE"""),0.5)</f>
        <v>0.5</v>
      </c>
      <c r="O4790" s="4" t="str">
        <f>IFERROR(__xludf.DUMMYFUNCTION("""COMPUTED_VALUE"""),"Anota Ai Solucoes Digitais S/a")</f>
        <v>Anota Ai Solucoes Digitais S/a</v>
      </c>
      <c r="P4790" s="33">
        <f>IFERROR(__xludf.DUMMYFUNCTION("""COMPUTED_VALUE"""),0.5)</f>
        <v>0.5</v>
      </c>
      <c r="Q4790" s="4" t="str">
        <f>IFERROR(__xludf.DUMMYFUNCTION("""COMPUTED_VALUE"""),"Anota Ai Solucoes Digitais S/a")</f>
        <v>Anota Ai Solucoes Digitais S/a</v>
      </c>
      <c r="R4790" s="33">
        <f>IFERROR(__xludf.DUMMYFUNCTION("""COMPUTED_VALUE"""),0.5)</f>
        <v>0.5</v>
      </c>
      <c r="S4790" s="4" t="str">
        <f>IFERROR(__xludf.DUMMYFUNCTION("""COMPUTED_VALUE"""),"Anota Ai Solucoes Digitais S/a")</f>
        <v>Anota Ai Solucoes Digitais S/a</v>
      </c>
      <c r="T4790" s="33">
        <f>IFERROR(__xludf.DUMMYFUNCTION("""COMPUTED_VALUE"""),0.5)</f>
        <v>0.5</v>
      </c>
      <c r="U4790" s="4" t="str">
        <f>IFERROR(__xludf.DUMMYFUNCTION("""COMPUTED_VALUE"""),"Anota Ai Solucoes Digitais S/a")</f>
        <v>Anota Ai Solucoes Digitais S/a</v>
      </c>
      <c r="V4790" s="33">
        <f>IFERROR(__xludf.DUMMYFUNCTION("""COMPUTED_VALUE"""),0.5)</f>
        <v>0.5</v>
      </c>
      <c r="W4790" s="4" t="str">
        <f>IFERROR(__xludf.DUMMYFUNCTION("""COMPUTED_VALUE"""),"null")</f>
        <v>null</v>
      </c>
      <c r="X4790" s="33">
        <f>IFERROR(__xludf.DUMMYFUNCTION("""COMPUTED_VALUE"""),1.0)</f>
        <v>1</v>
      </c>
    </row>
    <row r="4791">
      <c r="K4791" s="4" t="str">
        <f>IFERROR(__xludf.DUMMYFUNCTION("""COMPUTED_VALUE"""),"O TCHE DO CHURRASCO")</f>
        <v>O TCHE DO CHURRASCO</v>
      </c>
      <c r="L4791" s="32">
        <f>IFERROR(__xludf.DUMMYFUNCTION("""COMPUTED_VALUE"""),2.0)</f>
        <v>2</v>
      </c>
      <c r="M4791" s="4" t="str">
        <f>IFERROR(__xludf.DUMMYFUNCTION("""COMPUTED_VALUE"""),"Sisgercom")</f>
        <v>Sisgercom</v>
      </c>
      <c r="N4791" s="33">
        <f>IFERROR(__xludf.DUMMYFUNCTION("""COMPUTED_VALUE"""),0.6666666666666666)</f>
        <v>0.6666666667</v>
      </c>
      <c r="O4791" s="4" t="str">
        <f>IFERROR(__xludf.DUMMYFUNCTION("""COMPUTED_VALUE"""),"Sisgercom")</f>
        <v>Sisgercom</v>
      </c>
      <c r="P4791" s="33">
        <f>IFERROR(__xludf.DUMMYFUNCTION("""COMPUTED_VALUE"""),1.0)</f>
        <v>1</v>
      </c>
      <c r="Q4791" s="4" t="str">
        <f>IFERROR(__xludf.DUMMYFUNCTION("""COMPUTED_VALUE"""),"null")</f>
        <v>null</v>
      </c>
      <c r="R4791" s="33">
        <f>IFERROR(__xludf.DUMMYFUNCTION("""COMPUTED_VALUE"""),0.6666666666666666)</f>
        <v>0.6666666667</v>
      </c>
      <c r="S4791" s="4" t="str">
        <f>IFERROR(__xludf.DUMMYFUNCTION("""COMPUTED_VALUE"""),"null")</f>
        <v>null</v>
      </c>
      <c r="T4791" s="33">
        <f>IFERROR(__xludf.DUMMYFUNCTION("""COMPUTED_VALUE"""),0.6666666666666666)</f>
        <v>0.6666666667</v>
      </c>
      <c r="U4791" s="4" t="str">
        <f>IFERROR(__xludf.DUMMYFUNCTION("""COMPUTED_VALUE"""),"null")</f>
        <v>null</v>
      </c>
      <c r="V4791" s="33">
        <f>IFERROR(__xludf.DUMMYFUNCTION("""COMPUTED_VALUE"""),0.6666666666666666)</f>
        <v>0.6666666667</v>
      </c>
      <c r="W4791" s="4" t="str">
        <f>IFERROR(__xludf.DUMMYFUNCTION("""COMPUTED_VALUE"""),"null")</f>
        <v>null</v>
      </c>
      <c r="X4791" s="33">
        <f>IFERROR(__xludf.DUMMYFUNCTION("""COMPUTED_VALUE"""),0.6666666666666666)</f>
        <v>0.6666666667</v>
      </c>
    </row>
    <row r="4792">
      <c r="K4792" s="4" t="str">
        <f>IFERROR(__xludf.DUMMYFUNCTION("""COMPUTED_VALUE"""),"VAMO")</f>
        <v>VAMO</v>
      </c>
      <c r="L4792" s="32">
        <f>IFERROR(__xludf.DUMMYFUNCTION("""COMPUTED_VALUE"""),2.0)</f>
        <v>2</v>
      </c>
      <c r="M4792" s="4" t="str">
        <f>IFERROR(__xludf.DUMMYFUNCTION("""COMPUTED_VALUE"""),"Instadelivery")</f>
        <v>Instadelivery</v>
      </c>
      <c r="N4792" s="33">
        <f>IFERROR(__xludf.DUMMYFUNCTION("""COMPUTED_VALUE"""),0.5)</f>
        <v>0.5</v>
      </c>
      <c r="O4792" s="4" t="str">
        <f>IFERROR(__xludf.DUMMYFUNCTION("""COMPUTED_VALUE"""),"Instadelivery")</f>
        <v>Instadelivery</v>
      </c>
      <c r="P4792" s="33">
        <f>IFERROR(__xludf.DUMMYFUNCTION("""COMPUTED_VALUE"""),0.5)</f>
        <v>0.5</v>
      </c>
      <c r="Q4792" s="4" t="str">
        <f>IFERROR(__xludf.DUMMYFUNCTION("""COMPUTED_VALUE"""),"Instadelivery")</f>
        <v>Instadelivery</v>
      </c>
      <c r="R4792" s="33">
        <f>IFERROR(__xludf.DUMMYFUNCTION("""COMPUTED_VALUE"""),0.5)</f>
        <v>0.5</v>
      </c>
      <c r="S4792" s="4" t="str">
        <f>IFERROR(__xludf.DUMMYFUNCTION("""COMPUTED_VALUE"""),"Instadelivery")</f>
        <v>Instadelivery</v>
      </c>
      <c r="T4792" s="33">
        <f>IFERROR(__xludf.DUMMYFUNCTION("""COMPUTED_VALUE"""),0.5)</f>
        <v>0.5</v>
      </c>
      <c r="U4792" s="4" t="str">
        <f>IFERROR(__xludf.DUMMYFUNCTION("""COMPUTED_VALUE"""),"Instadelivery")</f>
        <v>Instadelivery</v>
      </c>
      <c r="V4792" s="33">
        <f>IFERROR(__xludf.DUMMYFUNCTION("""COMPUTED_VALUE"""),0.5)</f>
        <v>0.5</v>
      </c>
      <c r="W4792" s="4" t="str">
        <f>IFERROR(__xludf.DUMMYFUNCTION("""COMPUTED_VALUE"""),"Instadelivery")</f>
        <v>Instadelivery</v>
      </c>
      <c r="X4792" s="33">
        <f>IFERROR(__xludf.DUMMYFUNCTION("""COMPUTED_VALUE"""),0.5)</f>
        <v>0.5</v>
      </c>
    </row>
    <row r="4793">
      <c r="K4793" s="4" t="str">
        <f>IFERROR(__xludf.DUMMYFUNCTION("""COMPUTED_VALUE"""),"PRIMUS LANCHES")</f>
        <v>PRIMUS LANCHES</v>
      </c>
      <c r="L4793" s="32">
        <f>IFERROR(__xludf.DUMMYFUNCTION("""COMPUTED_VALUE"""),2.0)</f>
        <v>2</v>
      </c>
      <c r="M4793" s="4" t="str">
        <f>IFERROR(__xludf.DUMMYFUNCTION("""COMPUTED_VALUE"""),"null")</f>
        <v>null</v>
      </c>
      <c r="N4793" s="33">
        <f>IFERROR(__xludf.DUMMYFUNCTION("""COMPUTED_VALUE"""),0.5)</f>
        <v>0.5</v>
      </c>
      <c r="O4793" s="4" t="str">
        <f>IFERROR(__xludf.DUMMYFUNCTION("""COMPUTED_VALUE"""),"null")</f>
        <v>null</v>
      </c>
      <c r="P4793" s="33">
        <f>IFERROR(__xludf.DUMMYFUNCTION("""COMPUTED_VALUE"""),0.5)</f>
        <v>0.5</v>
      </c>
      <c r="Q4793" s="4" t="str">
        <f>IFERROR(__xludf.DUMMYFUNCTION("""COMPUTED_VALUE"""),"null")</f>
        <v>null</v>
      </c>
      <c r="R4793" s="33">
        <f>IFERROR(__xludf.DUMMYFUNCTION("""COMPUTED_VALUE"""),0.5)</f>
        <v>0.5</v>
      </c>
      <c r="S4793" s="4" t="str">
        <f>IFERROR(__xludf.DUMMYFUNCTION("""COMPUTED_VALUE"""),"null")</f>
        <v>null</v>
      </c>
      <c r="T4793" s="33">
        <f>IFERROR(__xludf.DUMMYFUNCTION("""COMPUTED_VALUE"""),0.5)</f>
        <v>0.5</v>
      </c>
      <c r="U4793" s="4" t="str">
        <f>IFERROR(__xludf.DUMMYFUNCTION("""COMPUTED_VALUE"""),"null")</f>
        <v>null</v>
      </c>
      <c r="V4793" s="33">
        <f>IFERROR(__xludf.DUMMYFUNCTION("""COMPUTED_VALUE"""),0.5)</f>
        <v>0.5</v>
      </c>
      <c r="W4793" s="4" t="str">
        <f>IFERROR(__xludf.DUMMYFUNCTION("""COMPUTED_VALUE"""),"Ccm Pedido Online")</f>
        <v>Ccm Pedido Online</v>
      </c>
      <c r="X4793" s="33">
        <f>IFERROR(__xludf.DUMMYFUNCTION("""COMPUTED_VALUE"""),0.5)</f>
        <v>0.5</v>
      </c>
    </row>
    <row r="4794">
      <c r="K4794" s="4" t="str">
        <f>IFERROR(__xludf.DUMMYFUNCTION("""COMPUTED_VALUE"""),"PAO E BRASA HAMBURGUERIA")</f>
        <v>PAO E BRASA HAMBURGUERIA</v>
      </c>
      <c r="L4794" s="32">
        <f>IFERROR(__xludf.DUMMYFUNCTION("""COMPUTED_VALUE"""),2.0)</f>
        <v>2</v>
      </c>
      <c r="M4794" s="4" t="str">
        <f>IFERROR(__xludf.DUMMYFUNCTION("""COMPUTED_VALUE"""),"null")</f>
        <v>null</v>
      </c>
      <c r="N4794" s="33">
        <f>IFERROR(__xludf.DUMMYFUNCTION("""COMPUTED_VALUE"""),0.5)</f>
        <v>0.5</v>
      </c>
      <c r="O4794" s="4" t="str">
        <f>IFERROR(__xludf.DUMMYFUNCTION("""COMPUTED_VALUE"""),"null")</f>
        <v>null</v>
      </c>
      <c r="P4794" s="33">
        <f>IFERROR(__xludf.DUMMYFUNCTION("""COMPUTED_VALUE"""),0.5)</f>
        <v>0.5</v>
      </c>
      <c r="Q4794" s="4" t="str">
        <f>IFERROR(__xludf.DUMMYFUNCTION("""COMPUTED_VALUE"""),"null")</f>
        <v>null</v>
      </c>
      <c r="R4794" s="33">
        <f>IFERROR(__xludf.DUMMYFUNCTION("""COMPUTED_VALUE"""),0.5)</f>
        <v>0.5</v>
      </c>
      <c r="S4794" s="4" t="str">
        <f>IFERROR(__xludf.DUMMYFUNCTION("""COMPUTED_VALUE"""),"null")</f>
        <v>null</v>
      </c>
      <c r="T4794" s="33">
        <f>IFERROR(__xludf.DUMMYFUNCTION("""COMPUTED_VALUE"""),0.5)</f>
        <v>0.5</v>
      </c>
      <c r="U4794" s="4" t="str">
        <f>IFERROR(__xludf.DUMMYFUNCTION("""COMPUTED_VALUE"""),"null")</f>
        <v>null</v>
      </c>
      <c r="V4794" s="33">
        <f>IFERROR(__xludf.DUMMYFUNCTION("""COMPUTED_VALUE"""),0.5)</f>
        <v>0.5</v>
      </c>
      <c r="W4794" s="4" t="str">
        <f>IFERROR(__xludf.DUMMYFUNCTION("""COMPUTED_VALUE"""),"Consumer Soluções Em Tecnologia Ltda")</f>
        <v>Consumer Soluções Em Tecnologia Ltda</v>
      </c>
      <c r="X4794" s="33">
        <f>IFERROR(__xludf.DUMMYFUNCTION("""COMPUTED_VALUE"""),0.5)</f>
        <v>0.5</v>
      </c>
    </row>
    <row r="4795">
      <c r="K4795" s="4" t="str">
        <f>IFERROR(__xludf.DUMMYFUNCTION("""COMPUTED_VALUE"""),"SUSHIDO")</f>
        <v>SUSHIDO</v>
      </c>
      <c r="L4795" s="32">
        <f>IFERROR(__xludf.DUMMYFUNCTION("""COMPUTED_VALUE"""),2.0)</f>
        <v>2</v>
      </c>
      <c r="M4795" s="4" t="str">
        <f>IFERROR(__xludf.DUMMYFUNCTION("""COMPUTED_VALUE"""),"null")</f>
        <v>null</v>
      </c>
      <c r="N4795" s="33">
        <f>IFERROR(__xludf.DUMMYFUNCTION("""COMPUTED_VALUE"""),0.5)</f>
        <v>0.5</v>
      </c>
      <c r="O4795" s="4" t="str">
        <f>IFERROR(__xludf.DUMMYFUNCTION("""COMPUTED_VALUE"""),"Swfast Sistemas")</f>
        <v>Swfast Sistemas</v>
      </c>
      <c r="P4795" s="33">
        <f>IFERROR(__xludf.DUMMYFUNCTION("""COMPUTED_VALUE"""),1.0)</f>
        <v>1</v>
      </c>
      <c r="Q4795" s="4" t="str">
        <f>IFERROR(__xludf.DUMMYFUNCTION("""COMPUTED_VALUE"""),"Swfast Sistemas")</f>
        <v>Swfast Sistemas</v>
      </c>
      <c r="R4795" s="33">
        <f>IFERROR(__xludf.DUMMYFUNCTION("""COMPUTED_VALUE"""),1.0)</f>
        <v>1</v>
      </c>
      <c r="S4795" s="4" t="str">
        <f>IFERROR(__xludf.DUMMYFUNCTION("""COMPUTED_VALUE"""),"null")</f>
        <v>null</v>
      </c>
      <c r="T4795" s="33">
        <f>IFERROR(__xludf.DUMMYFUNCTION("""COMPUTED_VALUE"""),1.0)</f>
        <v>1</v>
      </c>
      <c r="U4795" s="4" t="str">
        <f>IFERROR(__xludf.DUMMYFUNCTION("""COMPUTED_VALUE"""),"Swfast Sistemas")</f>
        <v>Swfast Sistemas</v>
      </c>
      <c r="V4795" s="33">
        <f>IFERROR(__xludf.DUMMYFUNCTION("""COMPUTED_VALUE"""),0.5)</f>
        <v>0.5</v>
      </c>
      <c r="W4795" s="4" t="str">
        <f>IFERROR(__xludf.DUMMYFUNCTION("""COMPUTED_VALUE"""),"Swfast Sistemas")</f>
        <v>Swfast Sistemas</v>
      </c>
      <c r="X4795" s="33">
        <f>IFERROR(__xludf.DUMMYFUNCTION("""COMPUTED_VALUE"""),0.5)</f>
        <v>0.5</v>
      </c>
    </row>
    <row r="4796">
      <c r="K4796" s="4" t="str">
        <f>IFERROR(__xludf.DUMMYFUNCTION("""COMPUTED_VALUE"""),"GERMANO BURGER - VILA RE")</f>
        <v>GERMANO BURGER - VILA RE</v>
      </c>
      <c r="L4796" s="32">
        <f>IFERROR(__xludf.DUMMYFUNCTION("""COMPUTED_VALUE"""),2.0)</f>
        <v>2</v>
      </c>
      <c r="M4796" s="4" t="str">
        <f>IFERROR(__xludf.DUMMYFUNCTION("""COMPUTED_VALUE"""),"Netcontroll Xmenu")</f>
        <v>Netcontroll Xmenu</v>
      </c>
      <c r="N4796" s="33">
        <f>IFERROR(__xludf.DUMMYFUNCTION("""COMPUTED_VALUE"""),1.0)</f>
        <v>1</v>
      </c>
      <c r="O4796" s="4" t="str">
        <f>IFERROR(__xludf.DUMMYFUNCTION("""COMPUTED_VALUE"""),"Netcontroll Xmenu")</f>
        <v>Netcontroll Xmenu</v>
      </c>
      <c r="P4796" s="33">
        <f>IFERROR(__xludf.DUMMYFUNCTION("""COMPUTED_VALUE"""),1.0)</f>
        <v>1</v>
      </c>
      <c r="Q4796" s="4" t="str">
        <f>IFERROR(__xludf.DUMMYFUNCTION("""COMPUTED_VALUE"""),"Netcontroll Xmenu")</f>
        <v>Netcontroll Xmenu</v>
      </c>
      <c r="R4796" s="33">
        <f>IFERROR(__xludf.DUMMYFUNCTION("""COMPUTED_VALUE"""),1.0)</f>
        <v>1</v>
      </c>
      <c r="S4796" s="4" t="str">
        <f>IFERROR(__xludf.DUMMYFUNCTION("""COMPUTED_VALUE"""),"Netcontroll Xmenu")</f>
        <v>Netcontroll Xmenu</v>
      </c>
      <c r="T4796" s="33">
        <f>IFERROR(__xludf.DUMMYFUNCTION("""COMPUTED_VALUE"""),1.0)</f>
        <v>1</v>
      </c>
      <c r="U4796" s="4" t="str">
        <f>IFERROR(__xludf.DUMMYFUNCTION("""COMPUTED_VALUE"""),"Netcontroll Xmenu")</f>
        <v>Netcontroll Xmenu</v>
      </c>
      <c r="V4796" s="33">
        <f>IFERROR(__xludf.DUMMYFUNCTION("""COMPUTED_VALUE"""),1.0)</f>
        <v>1</v>
      </c>
      <c r="W4796" s="4" t="str">
        <f>IFERROR(__xludf.DUMMYFUNCTION("""COMPUTED_VALUE"""),"Netcontroll Xmenu")</f>
        <v>Netcontroll Xmenu</v>
      </c>
      <c r="X4796" s="33">
        <f>IFERROR(__xludf.DUMMYFUNCTION("""COMPUTED_VALUE"""),0.6666666666666666)</f>
        <v>0.6666666667</v>
      </c>
    </row>
    <row r="4797">
      <c r="K4797" s="4" t="str">
        <f>IFERROR(__xludf.DUMMYFUNCTION("""COMPUTED_VALUE"""),"OOXE SUSHI DELIVERY")</f>
        <v>OOXE SUSHI DELIVERY</v>
      </c>
      <c r="L4797" s="32">
        <f>IFERROR(__xludf.DUMMYFUNCTION("""COMPUTED_VALUE"""),2.0)</f>
        <v>2</v>
      </c>
      <c r="M4797" s="4" t="str">
        <f>IFERROR(__xludf.DUMMYFUNCTION("""COMPUTED_VALUE"""),"null")</f>
        <v>null</v>
      </c>
      <c r="N4797" s="33">
        <f>IFERROR(__xludf.DUMMYFUNCTION("""COMPUTED_VALUE"""),0.5)</f>
        <v>0.5</v>
      </c>
      <c r="O4797" s="4" t="str">
        <f>IFERROR(__xludf.DUMMYFUNCTION("""COMPUTED_VALUE"""),"null")</f>
        <v>null</v>
      </c>
      <c r="P4797" s="33">
        <f>IFERROR(__xludf.DUMMYFUNCTION("""COMPUTED_VALUE"""),0.5)</f>
        <v>0.5</v>
      </c>
      <c r="Q4797" s="4" t="str">
        <f>IFERROR(__xludf.DUMMYFUNCTION("""COMPUTED_VALUE"""),"null")</f>
        <v>null</v>
      </c>
      <c r="R4797" s="33">
        <f>IFERROR(__xludf.DUMMYFUNCTION("""COMPUTED_VALUE"""),0.5)</f>
        <v>0.5</v>
      </c>
      <c r="S4797" s="4" t="str">
        <f>IFERROR(__xludf.DUMMYFUNCTION("""COMPUTED_VALUE"""),"null")</f>
        <v>null</v>
      </c>
      <c r="T4797" s="33">
        <f>IFERROR(__xludf.DUMMYFUNCTION("""COMPUTED_VALUE"""),0.5)</f>
        <v>0.5</v>
      </c>
      <c r="U4797" s="4" t="str">
        <f>IFERROR(__xludf.DUMMYFUNCTION("""COMPUTED_VALUE"""),"Saipos Serviços De Software")</f>
        <v>Saipos Serviços De Software</v>
      </c>
      <c r="V4797" s="33">
        <f>IFERROR(__xludf.DUMMYFUNCTION("""COMPUTED_VALUE"""),1.0)</f>
        <v>1</v>
      </c>
      <c r="W4797" s="4" t="str">
        <f>IFERROR(__xludf.DUMMYFUNCTION("""COMPUTED_VALUE"""),"Saipos Serviços De Software")</f>
        <v>Saipos Serviços De Software</v>
      </c>
      <c r="X4797" s="33">
        <f>IFERROR(__xludf.DUMMYFUNCTION("""COMPUTED_VALUE"""),1.0)</f>
        <v>1</v>
      </c>
    </row>
    <row r="4798">
      <c r="K4798" s="4" t="str">
        <f>IFERROR(__xludf.DUMMYFUNCTION("""COMPUTED_VALUE"""),"GARAGE HAMBURGUERIA")</f>
        <v>GARAGE HAMBURGUERIA</v>
      </c>
      <c r="L4798" s="32">
        <f>IFERROR(__xludf.DUMMYFUNCTION("""COMPUTED_VALUE"""),2.0)</f>
        <v>2</v>
      </c>
      <c r="M4798" s="4" t="str">
        <f>IFERROR(__xludf.DUMMYFUNCTION("""COMPUTED_VALUE"""),"Saipos Serviços De Software")</f>
        <v>Saipos Serviços De Software</v>
      </c>
      <c r="N4798" s="33">
        <f>IFERROR(__xludf.DUMMYFUNCTION("""COMPUTED_VALUE"""),1.0)</f>
        <v>1</v>
      </c>
      <c r="O4798" s="4" t="str">
        <f>IFERROR(__xludf.DUMMYFUNCTION("""COMPUTED_VALUE"""),"Saipos Serviços De Software")</f>
        <v>Saipos Serviços De Software</v>
      </c>
      <c r="P4798" s="33">
        <f>IFERROR(__xludf.DUMMYFUNCTION("""COMPUTED_VALUE"""),1.0)</f>
        <v>1</v>
      </c>
      <c r="Q4798" s="4" t="str">
        <f>IFERROR(__xludf.DUMMYFUNCTION("""COMPUTED_VALUE"""),"Saipos Serviços De Software")</f>
        <v>Saipos Serviços De Software</v>
      </c>
      <c r="R4798" s="33">
        <f>IFERROR(__xludf.DUMMYFUNCTION("""COMPUTED_VALUE"""),1.0)</f>
        <v>1</v>
      </c>
      <c r="S4798" s="4" t="str">
        <f>IFERROR(__xludf.DUMMYFUNCTION("""COMPUTED_VALUE"""),"Saipos Serviços De Software")</f>
        <v>Saipos Serviços De Software</v>
      </c>
      <c r="T4798" s="33">
        <f>IFERROR(__xludf.DUMMYFUNCTION("""COMPUTED_VALUE"""),1.0)</f>
        <v>1</v>
      </c>
      <c r="U4798" s="4" t="str">
        <f>IFERROR(__xludf.DUMMYFUNCTION("""COMPUTED_VALUE"""),"Saipos Serviços De Software")</f>
        <v>Saipos Serviços De Software</v>
      </c>
      <c r="V4798" s="33">
        <f>IFERROR(__xludf.DUMMYFUNCTION("""COMPUTED_VALUE"""),1.0)</f>
        <v>1</v>
      </c>
      <c r="W4798" s="4" t="str">
        <f>IFERROR(__xludf.DUMMYFUNCTION("""COMPUTED_VALUE"""),"Saipos Serviços De Software")</f>
        <v>Saipos Serviços De Software</v>
      </c>
      <c r="X4798" s="33">
        <f>IFERROR(__xludf.DUMMYFUNCTION("""COMPUTED_VALUE"""),1.0)</f>
        <v>1</v>
      </c>
    </row>
    <row r="4799">
      <c r="K4799" s="4" t="str">
        <f>IFERROR(__xludf.DUMMYFUNCTION("""COMPUTED_VALUE"""),"SABORES DE MARIA")</f>
        <v>SABORES DE MARIA</v>
      </c>
      <c r="L4799" s="32">
        <f>IFERROR(__xludf.DUMMYFUNCTION("""COMPUTED_VALUE"""),2.0)</f>
        <v>2</v>
      </c>
      <c r="M4799" s="4" t="str">
        <f>IFERROR(__xludf.DUMMYFUNCTION("""COMPUTED_VALUE"""),"Anota Ai Solucoes Digitais S/a")</f>
        <v>Anota Ai Solucoes Digitais S/a</v>
      </c>
      <c r="N4799" s="33">
        <f>IFERROR(__xludf.DUMMYFUNCTION("""COMPUTED_VALUE"""),0.5)</f>
        <v>0.5</v>
      </c>
      <c r="O4799" s="4" t="str">
        <f>IFERROR(__xludf.DUMMYFUNCTION("""COMPUTED_VALUE"""),"Anota Ai Solucoes Digitais S/a")</f>
        <v>Anota Ai Solucoes Digitais S/a</v>
      </c>
      <c r="P4799" s="33">
        <f>IFERROR(__xludf.DUMMYFUNCTION("""COMPUTED_VALUE"""),0.5)</f>
        <v>0.5</v>
      </c>
      <c r="Q4799" s="4" t="str">
        <f>IFERROR(__xludf.DUMMYFUNCTION("""COMPUTED_VALUE"""),"null")</f>
        <v>null</v>
      </c>
      <c r="R4799" s="33">
        <f>IFERROR(__xludf.DUMMYFUNCTION("""COMPUTED_VALUE"""),0.5)</f>
        <v>0.5</v>
      </c>
      <c r="S4799" s="4" t="str">
        <f>IFERROR(__xludf.DUMMYFUNCTION("""COMPUTED_VALUE"""),"null")</f>
        <v>null</v>
      </c>
      <c r="T4799" s="33">
        <f>IFERROR(__xludf.DUMMYFUNCTION("""COMPUTED_VALUE"""),1.0)</f>
        <v>1</v>
      </c>
      <c r="U4799" s="4" t="str">
        <f>IFERROR(__xludf.DUMMYFUNCTION("""COMPUTED_VALUE"""),"Anota Ai Solucoes Digitais S/a")</f>
        <v>Anota Ai Solucoes Digitais S/a</v>
      </c>
      <c r="V4799" s="33">
        <f>IFERROR(__xludf.DUMMYFUNCTION("""COMPUTED_VALUE"""),0.5)</f>
        <v>0.5</v>
      </c>
      <c r="W4799" s="4" t="str">
        <f>IFERROR(__xludf.DUMMYFUNCTION("""COMPUTED_VALUE"""),"Anota Ai Solucoes Digitais S/a")</f>
        <v>Anota Ai Solucoes Digitais S/a</v>
      </c>
      <c r="X4799" s="33">
        <f>IFERROR(__xludf.DUMMYFUNCTION("""COMPUTED_VALUE"""),0.5)</f>
        <v>0.5</v>
      </c>
    </row>
    <row r="4800">
      <c r="K4800" s="4" t="str">
        <f>IFERROR(__xludf.DUMMYFUNCTION("""COMPUTED_VALUE"""),"DOM DA EMPADA")</f>
        <v>DOM DA EMPADA</v>
      </c>
      <c r="L4800" s="32">
        <f>IFERROR(__xludf.DUMMYFUNCTION("""COMPUTED_VALUE"""),2.0)</f>
        <v>2</v>
      </c>
      <c r="M4800" s="4" t="str">
        <f>IFERROR(__xludf.DUMMYFUNCTION("""COMPUTED_VALUE"""),"null")</f>
        <v>null</v>
      </c>
      <c r="N4800" s="33">
        <f>IFERROR(__xludf.DUMMYFUNCTION("""COMPUTED_VALUE"""),1.0)</f>
        <v>1</v>
      </c>
      <c r="O4800" s="4" t="str">
        <f>IFERROR(__xludf.DUMMYFUNCTION("""COMPUTED_VALUE"""),"null")</f>
        <v>null</v>
      </c>
      <c r="P4800" s="33">
        <f>IFERROR(__xludf.DUMMYFUNCTION("""COMPUTED_VALUE"""),0.5)</f>
        <v>0.5</v>
      </c>
      <c r="Q4800" s="4" t="str">
        <f>IFERROR(__xludf.DUMMYFUNCTION("""COMPUTED_VALUE"""),"Stone Co.")</f>
        <v>Stone Co.</v>
      </c>
      <c r="R4800" s="33">
        <f>IFERROR(__xludf.DUMMYFUNCTION("""COMPUTED_VALUE"""),1.0)</f>
        <v>1</v>
      </c>
      <c r="S4800" s="4" t="str">
        <f>IFERROR(__xludf.DUMMYFUNCTION("""COMPUTED_VALUE"""),"Stone Co.")</f>
        <v>Stone Co.</v>
      </c>
      <c r="T4800" s="33">
        <f>IFERROR(__xludf.DUMMYFUNCTION("""COMPUTED_VALUE"""),0.5)</f>
        <v>0.5</v>
      </c>
      <c r="U4800" s="4" t="str">
        <f>IFERROR(__xludf.DUMMYFUNCTION("""COMPUTED_VALUE"""),"Stone Co.")</f>
        <v>Stone Co.</v>
      </c>
      <c r="V4800" s="33">
        <f>IFERROR(__xludf.DUMMYFUNCTION("""COMPUTED_VALUE"""),0.5)</f>
        <v>0.5</v>
      </c>
      <c r="W4800" s="4" t="str">
        <f>IFERROR(__xludf.DUMMYFUNCTION("""COMPUTED_VALUE"""),"Stone Co.")</f>
        <v>Stone Co.</v>
      </c>
      <c r="X4800" s="33">
        <f>IFERROR(__xludf.DUMMYFUNCTION("""COMPUTED_VALUE"""),0.5)</f>
        <v>0.5</v>
      </c>
    </row>
    <row r="4801">
      <c r="K4801" s="4" t="str">
        <f>IFERROR(__xludf.DUMMYFUNCTION("""COMPUTED_VALUE"""),"DROGARIA BOM JESUS")</f>
        <v>DROGARIA BOM JESUS</v>
      </c>
      <c r="L4801" s="32">
        <f>IFERROR(__xludf.DUMMYFUNCTION("""COMPUTED_VALUE"""),2.0)</f>
        <v>2</v>
      </c>
      <c r="M4801" s="4" t="str">
        <f>IFERROR(__xludf.DUMMYFUNCTION("""COMPUTED_VALUE"""),"null")</f>
        <v>null</v>
      </c>
      <c r="N4801" s="33">
        <f>IFERROR(__xludf.DUMMYFUNCTION("""COMPUTED_VALUE"""),1.0)</f>
        <v>1</v>
      </c>
      <c r="O4801" s="4" t="str">
        <f>IFERROR(__xludf.DUMMYFUNCTION("""COMPUTED_VALUE"""),"null")</f>
        <v>null</v>
      </c>
      <c r="P4801" s="33">
        <f>IFERROR(__xludf.DUMMYFUNCTION("""COMPUTED_VALUE"""),0.5)</f>
        <v>0.5</v>
      </c>
      <c r="Q4801" s="4" t="str">
        <f>IFERROR(__xludf.DUMMYFUNCTION("""COMPUTED_VALUE"""),"N/A (Not found)")</f>
        <v>N/A (Not found)</v>
      </c>
      <c r="R4801" s="33">
        <f>IFERROR(__xludf.DUMMYFUNCTION("""COMPUTED_VALUE"""),1.0)</f>
        <v>1</v>
      </c>
      <c r="S4801" s="4" t="str">
        <f>IFERROR(__xludf.DUMMYFUNCTION("""COMPUTED_VALUE"""),"N/A (Not found)")</f>
        <v>N/A (Not found)</v>
      </c>
      <c r="T4801" s="33">
        <f>IFERROR(__xludf.DUMMYFUNCTION("""COMPUTED_VALUE"""),1.0)</f>
        <v>1</v>
      </c>
      <c r="U4801" s="4" t="str">
        <f>IFERROR(__xludf.DUMMYFUNCTION("""COMPUTED_VALUE"""),"N/A (Not found)")</f>
        <v>N/A (Not found)</v>
      </c>
      <c r="V4801" s="33">
        <f>IFERROR(__xludf.DUMMYFUNCTION("""COMPUTED_VALUE"""),1.0)</f>
        <v>1</v>
      </c>
      <c r="W4801" s="4" t="str">
        <f>IFERROR(__xludf.DUMMYFUNCTION("""COMPUTED_VALUE"""),"null")</f>
        <v>null</v>
      </c>
      <c r="X4801" s="33">
        <f>IFERROR(__xludf.DUMMYFUNCTION("""COMPUTED_VALUE"""),0.5)</f>
        <v>0.5</v>
      </c>
    </row>
    <row r="4802">
      <c r="K4802" s="4" t="str">
        <f>IFERROR(__xludf.DUMMYFUNCTION("""COMPUTED_VALUE"""),"RESTAURANTE SABOR DO SUL")</f>
        <v>RESTAURANTE SABOR DO SUL</v>
      </c>
      <c r="L4802" s="32">
        <f>IFERROR(__xludf.DUMMYFUNCTION("""COMPUTED_VALUE"""),2.0)</f>
        <v>2</v>
      </c>
      <c r="M4802" s="4" t="str">
        <f>IFERROR(__xludf.DUMMYFUNCTION("""COMPUTED_VALUE"""),"null")</f>
        <v>null</v>
      </c>
      <c r="N4802" s="33">
        <f>IFERROR(__xludf.DUMMYFUNCTION("""COMPUTED_VALUE"""),0.5)</f>
        <v>0.5</v>
      </c>
      <c r="O4802" s="4" t="str">
        <f>IFERROR(__xludf.DUMMYFUNCTION("""COMPUTED_VALUE"""),"null")</f>
        <v>null</v>
      </c>
      <c r="P4802" s="33">
        <f>IFERROR(__xludf.DUMMYFUNCTION("""COMPUTED_VALUE"""),0.5)</f>
        <v>0.5</v>
      </c>
      <c r="Q4802" s="4" t="str">
        <f>IFERROR(__xludf.DUMMYFUNCTION("""COMPUTED_VALUE"""),"Linen Sistemas")</f>
        <v>Linen Sistemas</v>
      </c>
      <c r="R4802" s="33">
        <f>IFERROR(__xludf.DUMMYFUNCTION("""COMPUTED_VALUE"""),0.5)</f>
        <v>0.5</v>
      </c>
      <c r="S4802" s="4" t="str">
        <f>IFERROR(__xludf.DUMMYFUNCTION("""COMPUTED_VALUE"""),"null")</f>
        <v>null</v>
      </c>
      <c r="T4802" s="33">
        <f>IFERROR(__xludf.DUMMYFUNCTION("""COMPUTED_VALUE"""),0.5)</f>
        <v>0.5</v>
      </c>
      <c r="U4802" s="4" t="str">
        <f>IFERROR(__xludf.DUMMYFUNCTION("""COMPUTED_VALUE"""),"null")</f>
        <v>null</v>
      </c>
      <c r="V4802" s="33">
        <f>IFERROR(__xludf.DUMMYFUNCTION("""COMPUTED_VALUE"""),0.5)</f>
        <v>0.5</v>
      </c>
      <c r="W4802" s="4" t="str">
        <f>IFERROR(__xludf.DUMMYFUNCTION("""COMPUTED_VALUE"""),"null")</f>
        <v>null</v>
      </c>
      <c r="X4802" s="33">
        <f>IFERROR(__xludf.DUMMYFUNCTION("""COMPUTED_VALUE"""),0.5)</f>
        <v>0.5</v>
      </c>
    </row>
    <row r="4803">
      <c r="K4803" s="4" t="str">
        <f>IFERROR(__xludf.DUMMYFUNCTION("""COMPUTED_VALUE"""),"FORMAGGIO PIZZARIA")</f>
        <v>FORMAGGIO PIZZARIA</v>
      </c>
      <c r="L4803" s="32">
        <f>IFERROR(__xludf.DUMMYFUNCTION("""COMPUTED_VALUE"""),2.0)</f>
        <v>2</v>
      </c>
      <c r="M4803" s="4" t="str">
        <f>IFERROR(__xludf.DUMMYFUNCTION("""COMPUTED_VALUE"""),"null")</f>
        <v>null</v>
      </c>
      <c r="N4803" s="33">
        <f>IFERROR(__xludf.DUMMYFUNCTION("""COMPUTED_VALUE"""),0.5)</f>
        <v>0.5</v>
      </c>
      <c r="O4803" s="4" t="str">
        <f>IFERROR(__xludf.DUMMYFUNCTION("""COMPUTED_VALUE"""),"null")</f>
        <v>null</v>
      </c>
      <c r="P4803" s="33">
        <f>IFERROR(__xludf.DUMMYFUNCTION("""COMPUTED_VALUE"""),0.5)</f>
        <v>0.5</v>
      </c>
      <c r="Q4803" s="4" t="str">
        <f>IFERROR(__xludf.DUMMYFUNCTION("""COMPUTED_VALUE"""),"null")</f>
        <v>null</v>
      </c>
      <c r="R4803" s="33">
        <f>IFERROR(__xludf.DUMMYFUNCTION("""COMPUTED_VALUE"""),0.5)</f>
        <v>0.5</v>
      </c>
      <c r="S4803" s="4" t="str">
        <f>IFERROR(__xludf.DUMMYFUNCTION("""COMPUTED_VALUE"""),"null")</f>
        <v>null</v>
      </c>
      <c r="T4803" s="33">
        <f>IFERROR(__xludf.DUMMYFUNCTION("""COMPUTED_VALUE"""),0.5)</f>
        <v>0.5</v>
      </c>
      <c r="U4803" s="4" t="str">
        <f>IFERROR(__xludf.DUMMYFUNCTION("""COMPUTED_VALUE"""),"Anota Ai Solucoes Digitais S/a")</f>
        <v>Anota Ai Solucoes Digitais S/a</v>
      </c>
      <c r="V4803" s="33">
        <f>IFERROR(__xludf.DUMMYFUNCTION("""COMPUTED_VALUE"""),0.5)</f>
        <v>0.5</v>
      </c>
      <c r="W4803" s="4" t="str">
        <f>IFERROR(__xludf.DUMMYFUNCTION("""COMPUTED_VALUE"""),"Anota Ai Solucoes Digitais S/a")</f>
        <v>Anota Ai Solucoes Digitais S/a</v>
      </c>
      <c r="X4803" s="33">
        <f>IFERROR(__xludf.DUMMYFUNCTION("""COMPUTED_VALUE"""),0.5)</f>
        <v>0.5</v>
      </c>
    </row>
    <row r="4804">
      <c r="K4804" s="4" t="str">
        <f>IFERROR(__xludf.DUMMYFUNCTION("""COMPUTED_VALUE"""),"KIEL PIZZARIA")</f>
        <v>KIEL PIZZARIA</v>
      </c>
      <c r="L4804" s="32">
        <f>IFERROR(__xludf.DUMMYFUNCTION("""COMPUTED_VALUE"""),2.0)</f>
        <v>2</v>
      </c>
      <c r="M4804" s="4" t="str">
        <f>IFERROR(__xludf.DUMMYFUNCTION("""COMPUTED_VALUE"""),"null")</f>
        <v>null</v>
      </c>
      <c r="N4804" s="33">
        <f>IFERROR(__xludf.DUMMYFUNCTION("""COMPUTED_VALUE"""),0.5)</f>
        <v>0.5</v>
      </c>
      <c r="O4804" s="4" t="str">
        <f>IFERROR(__xludf.DUMMYFUNCTION("""COMPUTED_VALUE"""),"null")</f>
        <v>null</v>
      </c>
      <c r="P4804" s="33">
        <f>IFERROR(__xludf.DUMMYFUNCTION("""COMPUTED_VALUE"""),1.0)</f>
        <v>1</v>
      </c>
      <c r="Q4804" s="4" t="str">
        <f>IFERROR(__xludf.DUMMYFUNCTION("""COMPUTED_VALUE"""),"Instadelivery")</f>
        <v>Instadelivery</v>
      </c>
      <c r="R4804" s="33">
        <f>IFERROR(__xludf.DUMMYFUNCTION("""COMPUTED_VALUE"""),0.5)</f>
        <v>0.5</v>
      </c>
      <c r="S4804" s="4" t="str">
        <f>IFERROR(__xludf.DUMMYFUNCTION("""COMPUTED_VALUE"""),"Instadelivery")</f>
        <v>Instadelivery</v>
      </c>
      <c r="T4804" s="33">
        <f>IFERROR(__xludf.DUMMYFUNCTION("""COMPUTED_VALUE"""),0.5)</f>
        <v>0.5</v>
      </c>
      <c r="U4804" s="4" t="str">
        <f>IFERROR(__xludf.DUMMYFUNCTION("""COMPUTED_VALUE"""),"Instadelivery")</f>
        <v>Instadelivery</v>
      </c>
      <c r="V4804" s="33">
        <f>IFERROR(__xludf.DUMMYFUNCTION("""COMPUTED_VALUE"""),0.5)</f>
        <v>0.5</v>
      </c>
      <c r="W4804" s="4" t="str">
        <f>IFERROR(__xludf.DUMMYFUNCTION("""COMPUTED_VALUE"""),"Instadelivery")</f>
        <v>Instadelivery</v>
      </c>
      <c r="X4804" s="33">
        <f>IFERROR(__xludf.DUMMYFUNCTION("""COMPUTED_VALUE"""),0.5)</f>
        <v>0.5</v>
      </c>
    </row>
    <row r="4805">
      <c r="K4805" s="4" t="str">
        <f>IFERROR(__xludf.DUMMYFUNCTION("""COMPUTED_VALUE"""),"TED ADEGA")</f>
        <v>TED ADEGA</v>
      </c>
      <c r="L4805" s="32">
        <f>IFERROR(__xludf.DUMMYFUNCTION("""COMPUTED_VALUE"""),2.0)</f>
        <v>2</v>
      </c>
      <c r="M4805" s="4" t="str">
        <f>IFERROR(__xludf.DUMMYFUNCTION("""COMPUTED_VALUE"""),"Cervantes Tecnologia")</f>
        <v>Cervantes Tecnologia</v>
      </c>
      <c r="N4805" s="33">
        <f>IFERROR(__xludf.DUMMYFUNCTION("""COMPUTED_VALUE"""),0.5)</f>
        <v>0.5</v>
      </c>
      <c r="O4805" s="4" t="str">
        <f>IFERROR(__xludf.DUMMYFUNCTION("""COMPUTED_VALUE"""),"null")</f>
        <v>null</v>
      </c>
      <c r="P4805" s="33">
        <f>IFERROR(__xludf.DUMMYFUNCTION("""COMPUTED_VALUE"""),0.5)</f>
        <v>0.5</v>
      </c>
      <c r="Q4805" s="4" t="str">
        <f>IFERROR(__xludf.DUMMYFUNCTION("""COMPUTED_VALUE"""),"null")</f>
        <v>null</v>
      </c>
      <c r="R4805" s="33">
        <f>IFERROR(__xludf.DUMMYFUNCTION("""COMPUTED_VALUE"""),0.5)</f>
        <v>0.5</v>
      </c>
      <c r="S4805" s="4" t="str">
        <f>IFERROR(__xludf.DUMMYFUNCTION("""COMPUTED_VALUE"""),"Cervantes Tecnologia")</f>
        <v>Cervantes Tecnologia</v>
      </c>
      <c r="T4805" s="33">
        <f>IFERROR(__xludf.DUMMYFUNCTION("""COMPUTED_VALUE"""),0.5)</f>
        <v>0.5</v>
      </c>
      <c r="U4805" s="4" t="str">
        <f>IFERROR(__xludf.DUMMYFUNCTION("""COMPUTED_VALUE"""),"null")</f>
        <v>null</v>
      </c>
      <c r="V4805" s="33">
        <f>IFERROR(__xludf.DUMMYFUNCTION("""COMPUTED_VALUE"""),0.5)</f>
        <v>0.5</v>
      </c>
      <c r="W4805" s="4" t="str">
        <f>IFERROR(__xludf.DUMMYFUNCTION("""COMPUTED_VALUE"""),"null")</f>
        <v>null</v>
      </c>
      <c r="X4805" s="33">
        <f>IFERROR(__xludf.DUMMYFUNCTION("""COMPUTED_VALUE"""),0.5)</f>
        <v>0.5</v>
      </c>
    </row>
    <row r="4806">
      <c r="K4806" s="4" t="str">
        <f>IFERROR(__xludf.DUMMYFUNCTION("""COMPUTED_VALUE"""),"VIBE BOA HAMBURGUERIA")</f>
        <v>VIBE BOA HAMBURGUERIA</v>
      </c>
      <c r="L4806" s="32">
        <f>IFERROR(__xludf.DUMMYFUNCTION("""COMPUTED_VALUE"""),2.0)</f>
        <v>2</v>
      </c>
      <c r="M4806" s="4" t="str">
        <f>IFERROR(__xludf.DUMMYFUNCTION("""COMPUTED_VALUE"""),"Suitable Tecnologia E Gestao")</f>
        <v>Suitable Tecnologia E Gestao</v>
      </c>
      <c r="N4806" s="33">
        <f>IFERROR(__xludf.DUMMYFUNCTION("""COMPUTED_VALUE"""),1.0)</f>
        <v>1</v>
      </c>
      <c r="O4806" s="4" t="str">
        <f>IFERROR(__xludf.DUMMYFUNCTION("""COMPUTED_VALUE"""),"Suitable Tecnologia E Gestao")</f>
        <v>Suitable Tecnologia E Gestao</v>
      </c>
      <c r="P4806" s="33">
        <f>IFERROR(__xludf.DUMMYFUNCTION("""COMPUTED_VALUE"""),1.0)</f>
        <v>1</v>
      </c>
      <c r="Q4806" s="4" t="str">
        <f>IFERROR(__xludf.DUMMYFUNCTION("""COMPUTED_VALUE"""),"Suitable Tecnologia E Gestao")</f>
        <v>Suitable Tecnologia E Gestao</v>
      </c>
      <c r="R4806" s="33">
        <f>IFERROR(__xludf.DUMMYFUNCTION("""COMPUTED_VALUE"""),1.0)</f>
        <v>1</v>
      </c>
      <c r="S4806" s="4" t="str">
        <f>IFERROR(__xludf.DUMMYFUNCTION("""COMPUTED_VALUE"""),"Suitable Tecnologia E Gestao")</f>
        <v>Suitable Tecnologia E Gestao</v>
      </c>
      <c r="T4806" s="33">
        <f>IFERROR(__xludf.DUMMYFUNCTION("""COMPUTED_VALUE"""),1.0)</f>
        <v>1</v>
      </c>
      <c r="U4806" s="4" t="str">
        <f>IFERROR(__xludf.DUMMYFUNCTION("""COMPUTED_VALUE"""),"Suitable Tecnologia E Gestao")</f>
        <v>Suitable Tecnologia E Gestao</v>
      </c>
      <c r="V4806" s="33">
        <f>IFERROR(__xludf.DUMMYFUNCTION("""COMPUTED_VALUE"""),1.0)</f>
        <v>1</v>
      </c>
      <c r="W4806" s="4" t="str">
        <f>IFERROR(__xludf.DUMMYFUNCTION("""COMPUTED_VALUE"""),"Suitable Tecnologia E Gestao")</f>
        <v>Suitable Tecnologia E Gestao</v>
      </c>
      <c r="X4806" s="33">
        <f>IFERROR(__xludf.DUMMYFUNCTION("""COMPUTED_VALUE"""),1.0)</f>
        <v>1</v>
      </c>
    </row>
    <row r="4807">
      <c r="K4807" s="4" t="str">
        <f>IFERROR(__xludf.DUMMYFUNCTION("""COMPUTED_VALUE"""),"FORNALHA HAMBURGUERIA")</f>
        <v>FORNALHA HAMBURGUERIA</v>
      </c>
      <c r="L4807" s="32">
        <f>IFERROR(__xludf.DUMMYFUNCTION("""COMPUTED_VALUE"""),2.0)</f>
        <v>2</v>
      </c>
      <c r="M4807" s="4" t="str">
        <f>IFERROR(__xludf.DUMMYFUNCTION("""COMPUTED_VALUE"""),"Saipos Serviços De Software")</f>
        <v>Saipos Serviços De Software</v>
      </c>
      <c r="N4807" s="33">
        <f>IFERROR(__xludf.DUMMYFUNCTION("""COMPUTED_VALUE"""),1.0)</f>
        <v>1</v>
      </c>
      <c r="O4807" s="4" t="str">
        <f>IFERROR(__xludf.DUMMYFUNCTION("""COMPUTED_VALUE"""),"Saipos Serviços De Software")</f>
        <v>Saipos Serviços De Software</v>
      </c>
      <c r="P4807" s="33">
        <f>IFERROR(__xludf.DUMMYFUNCTION("""COMPUTED_VALUE"""),1.0)</f>
        <v>1</v>
      </c>
      <c r="Q4807" s="4" t="str">
        <f>IFERROR(__xludf.DUMMYFUNCTION("""COMPUTED_VALUE"""),"Saipos Serviços De Software")</f>
        <v>Saipos Serviços De Software</v>
      </c>
      <c r="R4807" s="33">
        <f>IFERROR(__xludf.DUMMYFUNCTION("""COMPUTED_VALUE"""),1.0)</f>
        <v>1</v>
      </c>
      <c r="S4807" s="4" t="str">
        <f>IFERROR(__xludf.DUMMYFUNCTION("""COMPUTED_VALUE"""),"Saipos Serviços De Software")</f>
        <v>Saipos Serviços De Software</v>
      </c>
      <c r="T4807" s="33">
        <f>IFERROR(__xludf.DUMMYFUNCTION("""COMPUTED_VALUE"""),1.0)</f>
        <v>1</v>
      </c>
      <c r="U4807" s="4" t="str">
        <f>IFERROR(__xludf.DUMMYFUNCTION("""COMPUTED_VALUE"""),"Saipos Serviços De Software")</f>
        <v>Saipos Serviços De Software</v>
      </c>
      <c r="V4807" s="33">
        <f>IFERROR(__xludf.DUMMYFUNCTION("""COMPUTED_VALUE"""),1.0)</f>
        <v>1</v>
      </c>
      <c r="W4807" s="4" t="str">
        <f>IFERROR(__xludf.DUMMYFUNCTION("""COMPUTED_VALUE"""),"Saipos Serviços De Software")</f>
        <v>Saipos Serviços De Software</v>
      </c>
      <c r="X4807" s="33">
        <f>IFERROR(__xludf.DUMMYFUNCTION("""COMPUTED_VALUE"""),1.0)</f>
        <v>1</v>
      </c>
    </row>
    <row r="4808">
      <c r="K4808" s="4" t="str">
        <f>IFERROR(__xludf.DUMMYFUNCTION("""COMPUTED_VALUE"""),"CAMPEOES FARMA")</f>
        <v>CAMPEOES FARMA</v>
      </c>
      <c r="L4808" s="32">
        <f>IFERROR(__xludf.DUMMYFUNCTION("""COMPUTED_VALUE"""),2.0)</f>
        <v>2</v>
      </c>
      <c r="M4808" s="4" t="str">
        <f>IFERROR(__xludf.DUMMYFUNCTION("""COMPUTED_VALUE"""),"N/A (Not found)")</f>
        <v>N/A (Not found)</v>
      </c>
      <c r="N4808" s="33">
        <f>IFERROR(__xludf.DUMMYFUNCTION("""COMPUTED_VALUE"""),1.0)</f>
        <v>1</v>
      </c>
      <c r="O4808" s="4" t="str">
        <f>IFERROR(__xludf.DUMMYFUNCTION("""COMPUTED_VALUE"""),"null")</f>
        <v>null</v>
      </c>
      <c r="P4808" s="33">
        <f>IFERROR(__xludf.DUMMYFUNCTION("""COMPUTED_VALUE"""),0.5)</f>
        <v>0.5</v>
      </c>
      <c r="Q4808" s="4" t="str">
        <f>IFERROR(__xludf.DUMMYFUNCTION("""COMPUTED_VALUE"""),"null")</f>
        <v>null</v>
      </c>
      <c r="R4808" s="33">
        <f>IFERROR(__xludf.DUMMYFUNCTION("""COMPUTED_VALUE"""),0.5)</f>
        <v>0.5</v>
      </c>
      <c r="S4808" s="4" t="str">
        <f>IFERROR(__xludf.DUMMYFUNCTION("""COMPUTED_VALUE"""),"null")</f>
        <v>null</v>
      </c>
      <c r="T4808" s="33">
        <f>IFERROR(__xludf.DUMMYFUNCTION("""COMPUTED_VALUE"""),0.5)</f>
        <v>0.5</v>
      </c>
      <c r="U4808" s="4" t="str">
        <f>IFERROR(__xludf.DUMMYFUNCTION("""COMPUTED_VALUE"""),"null")</f>
        <v>null</v>
      </c>
      <c r="V4808" s="33">
        <f>IFERROR(__xludf.DUMMYFUNCTION("""COMPUTED_VALUE"""),0.5)</f>
        <v>0.5</v>
      </c>
      <c r="W4808" s="4" t="str">
        <f>IFERROR(__xludf.DUMMYFUNCTION("""COMPUTED_VALUE"""),"null")</f>
        <v>null</v>
      </c>
      <c r="X4808" s="33">
        <f>IFERROR(__xludf.DUMMYFUNCTION("""COMPUTED_VALUE"""),0.5)</f>
        <v>0.5</v>
      </c>
    </row>
    <row r="4809">
      <c r="K4809" s="4" t="str">
        <f>IFERROR(__xludf.DUMMYFUNCTION("""COMPUTED_VALUE"""),"UNIVERSO DA GULA - PIZZA ARTESANAIS")</f>
        <v>UNIVERSO DA GULA - PIZZA ARTESANAIS</v>
      </c>
      <c r="L4809" s="32">
        <f>IFERROR(__xludf.DUMMYFUNCTION("""COMPUTED_VALUE"""),2.0)</f>
        <v>2</v>
      </c>
      <c r="M4809" s="4" t="str">
        <f>IFERROR(__xludf.DUMMYFUNCTION("""COMPUTED_VALUE"""),"Cardápio Web")</f>
        <v>Cardápio Web</v>
      </c>
      <c r="N4809" s="33">
        <f>IFERROR(__xludf.DUMMYFUNCTION("""COMPUTED_VALUE"""),1.0)</f>
        <v>1</v>
      </c>
      <c r="O4809" s="4" t="str">
        <f>IFERROR(__xludf.DUMMYFUNCTION("""COMPUTED_VALUE"""),"Cardápio Web")</f>
        <v>Cardápio Web</v>
      </c>
      <c r="P4809" s="33">
        <f>IFERROR(__xludf.DUMMYFUNCTION("""COMPUTED_VALUE"""),1.0)</f>
        <v>1</v>
      </c>
      <c r="Q4809" s="4" t="str">
        <f>IFERROR(__xludf.DUMMYFUNCTION("""COMPUTED_VALUE"""),"null")</f>
        <v>null</v>
      </c>
      <c r="R4809" s="33">
        <f>IFERROR(__xludf.DUMMYFUNCTION("""COMPUTED_VALUE"""),0.5)</f>
        <v>0.5</v>
      </c>
      <c r="S4809" s="4" t="str">
        <f>IFERROR(__xludf.DUMMYFUNCTION("""COMPUTED_VALUE"""),"null")</f>
        <v>null</v>
      </c>
      <c r="T4809" s="33">
        <f>IFERROR(__xludf.DUMMYFUNCTION("""COMPUTED_VALUE"""),0.5)</f>
        <v>0.5</v>
      </c>
      <c r="U4809" s="4" t="str">
        <f>IFERROR(__xludf.DUMMYFUNCTION("""COMPUTED_VALUE"""),"Cardápio Web")</f>
        <v>Cardápio Web</v>
      </c>
      <c r="V4809" s="33">
        <f>IFERROR(__xludf.DUMMYFUNCTION("""COMPUTED_VALUE"""),1.0)</f>
        <v>1</v>
      </c>
      <c r="W4809" s="4" t="str">
        <f>IFERROR(__xludf.DUMMYFUNCTION("""COMPUTED_VALUE"""),"Cardápio Web")</f>
        <v>Cardápio Web</v>
      </c>
      <c r="X4809" s="33">
        <f>IFERROR(__xludf.DUMMYFUNCTION("""COMPUTED_VALUE"""),1.0)</f>
        <v>1</v>
      </c>
    </row>
    <row r="4810">
      <c r="K4810" s="4" t="str">
        <f>IFERROR(__xludf.DUMMYFUNCTION("""COMPUTED_VALUE"""),"AMOR EM CAMADAS")</f>
        <v>AMOR EM CAMADAS</v>
      </c>
      <c r="L4810" s="32">
        <f>IFERROR(__xludf.DUMMYFUNCTION("""COMPUTED_VALUE"""),2.0)</f>
        <v>2</v>
      </c>
      <c r="M4810" s="4" t="str">
        <f>IFERROR(__xludf.DUMMYFUNCTION("""COMPUTED_VALUE"""),"Instadelivery")</f>
        <v>Instadelivery</v>
      </c>
      <c r="N4810" s="33">
        <f>IFERROR(__xludf.DUMMYFUNCTION("""COMPUTED_VALUE"""),1.0)</f>
        <v>1</v>
      </c>
      <c r="O4810" s="4" t="str">
        <f>IFERROR(__xludf.DUMMYFUNCTION("""COMPUTED_VALUE"""),"null")</f>
        <v>null</v>
      </c>
      <c r="P4810" s="33">
        <f>IFERROR(__xludf.DUMMYFUNCTION("""COMPUTED_VALUE"""),0.5)</f>
        <v>0.5</v>
      </c>
      <c r="Q4810" s="4" t="str">
        <f>IFERROR(__xludf.DUMMYFUNCTION("""COMPUTED_VALUE"""),"null")</f>
        <v>null</v>
      </c>
      <c r="R4810" s="33">
        <f>IFERROR(__xludf.DUMMYFUNCTION("""COMPUTED_VALUE"""),0.5)</f>
        <v>0.5</v>
      </c>
      <c r="S4810" s="4" t="str">
        <f>IFERROR(__xludf.DUMMYFUNCTION("""COMPUTED_VALUE"""),"null")</f>
        <v>null</v>
      </c>
      <c r="T4810" s="33">
        <f>IFERROR(__xludf.DUMMYFUNCTION("""COMPUTED_VALUE"""),0.5)</f>
        <v>0.5</v>
      </c>
      <c r="U4810" s="4" t="str">
        <f>IFERROR(__xludf.DUMMYFUNCTION("""COMPUTED_VALUE"""),"null")</f>
        <v>null</v>
      </c>
      <c r="V4810" s="33">
        <f>IFERROR(__xludf.DUMMYFUNCTION("""COMPUTED_VALUE"""),0.5)</f>
        <v>0.5</v>
      </c>
      <c r="W4810" s="4" t="str">
        <f>IFERROR(__xludf.DUMMYFUNCTION("""COMPUTED_VALUE"""),"null")</f>
        <v>null</v>
      </c>
      <c r="X4810" s="33">
        <f>IFERROR(__xludf.DUMMYFUNCTION("""COMPUTED_VALUE"""),0.5)</f>
        <v>0.5</v>
      </c>
    </row>
    <row r="4811">
      <c r="K4811" s="4" t="str">
        <f>IFERROR(__xludf.DUMMYFUNCTION("""COMPUTED_VALUE"""),"ON FIRE BURGERS")</f>
        <v>ON FIRE BURGERS</v>
      </c>
      <c r="L4811" s="32">
        <f>IFERROR(__xludf.DUMMYFUNCTION("""COMPUTED_VALUE"""),2.0)</f>
        <v>2</v>
      </c>
      <c r="M4811" s="4" t="str">
        <f>IFERROR(__xludf.DUMMYFUNCTION("""COMPUTED_VALUE"""),"Cardápio Web")</f>
        <v>Cardápio Web</v>
      </c>
      <c r="N4811" s="33">
        <f>IFERROR(__xludf.DUMMYFUNCTION("""COMPUTED_VALUE"""),1.0)</f>
        <v>1</v>
      </c>
      <c r="O4811" s="4" t="str">
        <f>IFERROR(__xludf.DUMMYFUNCTION("""COMPUTED_VALUE"""),"null")</f>
        <v>null</v>
      </c>
      <c r="P4811" s="33">
        <f>IFERROR(__xludf.DUMMYFUNCTION("""COMPUTED_VALUE"""),0.5)</f>
        <v>0.5</v>
      </c>
      <c r="Q4811" s="4" t="str">
        <f>IFERROR(__xludf.DUMMYFUNCTION("""COMPUTED_VALUE"""),"null")</f>
        <v>null</v>
      </c>
      <c r="R4811" s="33">
        <f>IFERROR(__xludf.DUMMYFUNCTION("""COMPUTED_VALUE"""),1.0)</f>
        <v>1</v>
      </c>
      <c r="S4811" s="4" t="str">
        <f>IFERROR(__xludf.DUMMYFUNCTION("""COMPUTED_VALUE"""),"null")</f>
        <v>null</v>
      </c>
      <c r="T4811" s="33">
        <f>IFERROR(__xludf.DUMMYFUNCTION("""COMPUTED_VALUE"""),1.0)</f>
        <v>1</v>
      </c>
      <c r="U4811" s="4" t="str">
        <f>IFERROR(__xludf.DUMMYFUNCTION("""COMPUTED_VALUE"""),"null")</f>
        <v>null</v>
      </c>
      <c r="V4811" s="33">
        <f>IFERROR(__xludf.DUMMYFUNCTION("""COMPUTED_VALUE"""),1.0)</f>
        <v>1</v>
      </c>
      <c r="W4811" s="4" t="str">
        <f>IFERROR(__xludf.DUMMYFUNCTION("""COMPUTED_VALUE"""),"null")</f>
        <v>null</v>
      </c>
      <c r="X4811" s="33">
        <f>IFERROR(__xludf.DUMMYFUNCTION("""COMPUTED_VALUE"""),1.0)</f>
        <v>1</v>
      </c>
    </row>
    <row r="4812">
      <c r="K4812" s="4" t="str">
        <f>IFERROR(__xludf.DUMMYFUNCTION("""COMPUTED_VALUE"""),"DROGARIA SAUDE")</f>
        <v>DROGARIA SAUDE</v>
      </c>
      <c r="L4812" s="32">
        <f>IFERROR(__xludf.DUMMYFUNCTION("""COMPUTED_VALUE"""),2.0)</f>
        <v>2</v>
      </c>
      <c r="M4812" s="4" t="str">
        <f>IFERROR(__xludf.DUMMYFUNCTION("""COMPUTED_VALUE"""),"N/A (Not found)")</f>
        <v>N/A (Not found)</v>
      </c>
      <c r="N4812" s="33">
        <f>IFERROR(__xludf.DUMMYFUNCTION("""COMPUTED_VALUE"""),0.5)</f>
        <v>0.5</v>
      </c>
      <c r="O4812" s="4" t="str">
        <f>IFERROR(__xludf.DUMMYFUNCTION("""COMPUTED_VALUE"""),"N/A (Not found)")</f>
        <v>N/A (Not found)</v>
      </c>
      <c r="P4812" s="33">
        <f>IFERROR(__xludf.DUMMYFUNCTION("""COMPUTED_VALUE"""),0.5)</f>
        <v>0.5</v>
      </c>
      <c r="Q4812" s="4" t="str">
        <f>IFERROR(__xludf.DUMMYFUNCTION("""COMPUTED_VALUE"""),"null")</f>
        <v>null</v>
      </c>
      <c r="R4812" s="33">
        <f>IFERROR(__xludf.DUMMYFUNCTION("""COMPUTED_VALUE"""),1.0)</f>
        <v>1</v>
      </c>
      <c r="S4812" s="4" t="str">
        <f>IFERROR(__xludf.DUMMYFUNCTION("""COMPUTED_VALUE"""),"N/A (Not found)")</f>
        <v>N/A (Not found)</v>
      </c>
      <c r="T4812" s="33">
        <f>IFERROR(__xludf.DUMMYFUNCTION("""COMPUTED_VALUE"""),0.5)</f>
        <v>0.5</v>
      </c>
      <c r="U4812" s="4" t="str">
        <f>IFERROR(__xludf.DUMMYFUNCTION("""COMPUTED_VALUE"""),"N/A (Not found)")</f>
        <v>N/A (Not found)</v>
      </c>
      <c r="V4812" s="33">
        <f>IFERROR(__xludf.DUMMYFUNCTION("""COMPUTED_VALUE"""),1.0)</f>
        <v>1</v>
      </c>
      <c r="W4812" s="4" t="str">
        <f>IFERROR(__xludf.DUMMYFUNCTION("""COMPUTED_VALUE"""),"N/A (Not found)")</f>
        <v>N/A (Not found)</v>
      </c>
      <c r="X4812" s="33">
        <f>IFERROR(__xludf.DUMMYFUNCTION("""COMPUTED_VALUE"""),1.0)</f>
        <v>1</v>
      </c>
    </row>
    <row r="4813">
      <c r="K4813" s="4" t="str">
        <f>IFERROR(__xludf.DUMMYFUNCTION("""COMPUTED_VALUE"""),"DOG DO CHEF")</f>
        <v>DOG DO CHEF</v>
      </c>
      <c r="L4813" s="32">
        <f>IFERROR(__xludf.DUMMYFUNCTION("""COMPUTED_VALUE"""),2.0)</f>
        <v>2</v>
      </c>
      <c r="M4813" s="4" t="str">
        <f>IFERROR(__xludf.DUMMYFUNCTION("""COMPUTED_VALUE"""),"null")</f>
        <v>null</v>
      </c>
      <c r="N4813" s="33">
        <f>IFERROR(__xludf.DUMMYFUNCTION("""COMPUTED_VALUE"""),0.5)</f>
        <v>0.5</v>
      </c>
      <c r="O4813" s="4" t="str">
        <f>IFERROR(__xludf.DUMMYFUNCTION("""COMPUTED_VALUE"""),"null")</f>
        <v>null</v>
      </c>
      <c r="P4813" s="33">
        <f>IFERROR(__xludf.DUMMYFUNCTION("""COMPUTED_VALUE"""),0.5)</f>
        <v>0.5</v>
      </c>
      <c r="Q4813" s="4" t="str">
        <f>IFERROR(__xludf.DUMMYFUNCTION("""COMPUTED_VALUE"""),"null")</f>
        <v>null</v>
      </c>
      <c r="R4813" s="33">
        <f>IFERROR(__xludf.DUMMYFUNCTION("""COMPUTED_VALUE"""),0.5)</f>
        <v>0.5</v>
      </c>
      <c r="S4813" s="4" t="str">
        <f>IFERROR(__xludf.DUMMYFUNCTION("""COMPUTED_VALUE"""),"null")</f>
        <v>null</v>
      </c>
      <c r="T4813" s="33">
        <f>IFERROR(__xludf.DUMMYFUNCTION("""COMPUTED_VALUE"""),0.5)</f>
        <v>0.5</v>
      </c>
      <c r="U4813" s="4" t="str">
        <f>IFERROR(__xludf.DUMMYFUNCTION("""COMPUTED_VALUE"""),"Saipos Serviços De Software")</f>
        <v>Saipos Serviços De Software</v>
      </c>
      <c r="V4813" s="33">
        <f>IFERROR(__xludf.DUMMYFUNCTION("""COMPUTED_VALUE"""),0.5)</f>
        <v>0.5</v>
      </c>
      <c r="W4813" s="4" t="str">
        <f>IFERROR(__xludf.DUMMYFUNCTION("""COMPUTED_VALUE"""),"Saipos Serviços De Software")</f>
        <v>Saipos Serviços De Software</v>
      </c>
      <c r="X4813" s="33">
        <f>IFERROR(__xludf.DUMMYFUNCTION("""COMPUTED_VALUE"""),0.5)</f>
        <v>0.5</v>
      </c>
    </row>
    <row r="4814">
      <c r="K4814" s="4" t="str">
        <f>IFERROR(__xludf.DUMMYFUNCTION("""COMPUTED_VALUE"""),"ESTELLA DE ITALIA")</f>
        <v>ESTELLA DE ITALIA</v>
      </c>
      <c r="L4814" s="32">
        <f>IFERROR(__xludf.DUMMYFUNCTION("""COMPUTED_VALUE"""),2.0)</f>
        <v>2</v>
      </c>
      <c r="M4814" s="4" t="str">
        <f>IFERROR(__xludf.DUMMYFUNCTION("""COMPUTED_VALUE"""),"null")</f>
        <v>null</v>
      </c>
      <c r="N4814" s="33">
        <f>IFERROR(__xludf.DUMMYFUNCTION("""COMPUTED_VALUE"""),0.5)</f>
        <v>0.5</v>
      </c>
      <c r="O4814" s="4" t="str">
        <f>IFERROR(__xludf.DUMMYFUNCTION("""COMPUTED_VALUE"""),"Instadelivery")</f>
        <v>Instadelivery</v>
      </c>
      <c r="P4814" s="33">
        <f>IFERROR(__xludf.DUMMYFUNCTION("""COMPUTED_VALUE"""),0.5)</f>
        <v>0.5</v>
      </c>
      <c r="Q4814" s="4" t="str">
        <f>IFERROR(__xludf.DUMMYFUNCTION("""COMPUTED_VALUE"""),"Instadelivery")</f>
        <v>Instadelivery</v>
      </c>
      <c r="R4814" s="33">
        <f>IFERROR(__xludf.DUMMYFUNCTION("""COMPUTED_VALUE"""),0.5)</f>
        <v>0.5</v>
      </c>
      <c r="S4814" s="4" t="str">
        <f>IFERROR(__xludf.DUMMYFUNCTION("""COMPUTED_VALUE"""),"null")</f>
        <v>null</v>
      </c>
      <c r="T4814" s="33">
        <f>IFERROR(__xludf.DUMMYFUNCTION("""COMPUTED_VALUE"""),1.0)</f>
        <v>1</v>
      </c>
      <c r="U4814" s="4" t="str">
        <f>IFERROR(__xludf.DUMMYFUNCTION("""COMPUTED_VALUE"""),"null")</f>
        <v>null</v>
      </c>
      <c r="V4814" s="33">
        <f>IFERROR(__xludf.DUMMYFUNCTION("""COMPUTED_VALUE"""),1.0)</f>
        <v>1</v>
      </c>
      <c r="W4814" s="4" t="str">
        <f>IFERROR(__xludf.DUMMYFUNCTION("""COMPUTED_VALUE"""),"Instadelivery")</f>
        <v>Instadelivery</v>
      </c>
      <c r="X4814" s="33">
        <f>IFERROR(__xludf.DUMMYFUNCTION("""COMPUTED_VALUE"""),0.5)</f>
        <v>0.5</v>
      </c>
    </row>
    <row r="4815">
      <c r="K4815" s="4" t="str">
        <f>IFERROR(__xludf.DUMMYFUNCTION("""COMPUTED_VALUE"""),"BOLOS DA CECILIA - ESPECIALIDADES")</f>
        <v>BOLOS DA CECILIA - ESPECIALIDADES</v>
      </c>
      <c r="L4815" s="32">
        <f>IFERROR(__xludf.DUMMYFUNCTION("""COMPUTED_VALUE"""),2.0)</f>
        <v>2</v>
      </c>
      <c r="M4815" s="4" t="str">
        <f>IFERROR(__xludf.DUMMYFUNCTION("""COMPUTED_VALUE"""),"null")</f>
        <v>null</v>
      </c>
      <c r="N4815" s="33">
        <f>IFERROR(__xludf.DUMMYFUNCTION("""COMPUTED_VALUE"""),0.5)</f>
        <v>0.5</v>
      </c>
      <c r="O4815" s="4" t="str">
        <f>IFERROR(__xludf.DUMMYFUNCTION("""COMPUTED_VALUE"""),"null")</f>
        <v>null</v>
      </c>
      <c r="P4815" s="33">
        <f>IFERROR(__xludf.DUMMYFUNCTION("""COMPUTED_VALUE"""),0.5)</f>
        <v>0.5</v>
      </c>
      <c r="Q4815" s="4" t="str">
        <f>IFERROR(__xludf.DUMMYFUNCTION("""COMPUTED_VALUE"""),"null")</f>
        <v>null</v>
      </c>
      <c r="R4815" s="33">
        <f>IFERROR(__xludf.DUMMYFUNCTION("""COMPUTED_VALUE"""),0.5)</f>
        <v>0.5</v>
      </c>
      <c r="S4815" s="4" t="str">
        <f>IFERROR(__xludf.DUMMYFUNCTION("""COMPUTED_VALUE"""),"Mp Multipedidos")</f>
        <v>Mp Multipedidos</v>
      </c>
      <c r="T4815" s="33">
        <f>IFERROR(__xludf.DUMMYFUNCTION("""COMPUTED_VALUE"""),0.5)</f>
        <v>0.5</v>
      </c>
      <c r="U4815" s="4" t="str">
        <f>IFERROR(__xludf.DUMMYFUNCTION("""COMPUTED_VALUE"""),"Mp Multipedidos")</f>
        <v>Mp Multipedidos</v>
      </c>
      <c r="V4815" s="33">
        <f>IFERROR(__xludf.DUMMYFUNCTION("""COMPUTED_VALUE"""),0.5)</f>
        <v>0.5</v>
      </c>
      <c r="W4815" s="4" t="str">
        <f>IFERROR(__xludf.DUMMYFUNCTION("""COMPUTED_VALUE"""),"Mp Multipedidos")</f>
        <v>Mp Multipedidos</v>
      </c>
      <c r="X4815" s="33">
        <f>IFERROR(__xludf.DUMMYFUNCTION("""COMPUTED_VALUE"""),0.5)</f>
        <v>0.5</v>
      </c>
    </row>
    <row r="4816">
      <c r="K4816" s="4" t="str">
        <f>IFERROR(__xludf.DUMMYFUNCTION("""COMPUTED_VALUE"""),"MAGNIFICA PIZZARIA")</f>
        <v>MAGNIFICA PIZZARIA</v>
      </c>
      <c r="L4816" s="32">
        <f>IFERROR(__xludf.DUMMYFUNCTION("""COMPUTED_VALUE"""),2.0)</f>
        <v>2</v>
      </c>
      <c r="M4816" s="4" t="str">
        <f>IFERROR(__xludf.DUMMYFUNCTION("""COMPUTED_VALUE"""),"null")</f>
        <v>null</v>
      </c>
      <c r="N4816" s="33">
        <f>IFERROR(__xludf.DUMMYFUNCTION("""COMPUTED_VALUE"""),1.0)</f>
        <v>1</v>
      </c>
      <c r="O4816" s="4" t="str">
        <f>IFERROR(__xludf.DUMMYFUNCTION("""COMPUTED_VALUE"""),"Anota Ai Solucoes Digitais S/a")</f>
        <v>Anota Ai Solucoes Digitais S/a</v>
      </c>
      <c r="P4816" s="33">
        <f>IFERROR(__xludf.DUMMYFUNCTION("""COMPUTED_VALUE"""),0.5)</f>
        <v>0.5</v>
      </c>
      <c r="Q4816" s="4" t="str">
        <f>IFERROR(__xludf.DUMMYFUNCTION("""COMPUTED_VALUE"""),"Anota Ai Solucoes Digitais S/a")</f>
        <v>Anota Ai Solucoes Digitais S/a</v>
      </c>
      <c r="R4816" s="33">
        <f>IFERROR(__xludf.DUMMYFUNCTION("""COMPUTED_VALUE"""),0.5)</f>
        <v>0.5</v>
      </c>
      <c r="S4816" s="4" t="str">
        <f>IFERROR(__xludf.DUMMYFUNCTION("""COMPUTED_VALUE"""),"Anota Ai Solucoes Digitais S/a")</f>
        <v>Anota Ai Solucoes Digitais S/a</v>
      </c>
      <c r="T4816" s="33">
        <f>IFERROR(__xludf.DUMMYFUNCTION("""COMPUTED_VALUE"""),0.5)</f>
        <v>0.5</v>
      </c>
      <c r="U4816" s="4" t="str">
        <f>IFERROR(__xludf.DUMMYFUNCTION("""COMPUTED_VALUE"""),"Anota Ai Solucoes Digitais S/a")</f>
        <v>Anota Ai Solucoes Digitais S/a</v>
      </c>
      <c r="V4816" s="33">
        <f>IFERROR(__xludf.DUMMYFUNCTION("""COMPUTED_VALUE"""),0.5)</f>
        <v>0.5</v>
      </c>
      <c r="W4816" s="4" t="str">
        <f>IFERROR(__xludf.DUMMYFUNCTION("""COMPUTED_VALUE"""),"null")</f>
        <v>null</v>
      </c>
      <c r="X4816" s="33">
        <f>IFERROR(__xludf.DUMMYFUNCTION("""COMPUTED_VALUE"""),0.5)</f>
        <v>0.5</v>
      </c>
    </row>
    <row r="4817">
      <c r="K4817" s="4" t="str">
        <f>IFERROR(__xludf.DUMMYFUNCTION("""COMPUTED_VALUE"""),"FURY BURGER")</f>
        <v>FURY BURGER</v>
      </c>
      <c r="L4817" s="32">
        <f>IFERROR(__xludf.DUMMYFUNCTION("""COMPUTED_VALUE"""),2.0)</f>
        <v>2</v>
      </c>
      <c r="M4817" s="4" t="str">
        <f>IFERROR(__xludf.DUMMYFUNCTION("""COMPUTED_VALUE"""),"null")</f>
        <v>null</v>
      </c>
      <c r="N4817" s="33">
        <f>IFERROR(__xludf.DUMMYFUNCTION("""COMPUTED_VALUE"""),0.5)</f>
        <v>0.5</v>
      </c>
      <c r="O4817" s="4" t="str">
        <f>IFERROR(__xludf.DUMMYFUNCTION("""COMPUTED_VALUE"""),"null")</f>
        <v>null</v>
      </c>
      <c r="P4817" s="33">
        <f>IFERROR(__xludf.DUMMYFUNCTION("""COMPUTED_VALUE"""),0.5)</f>
        <v>0.5</v>
      </c>
      <c r="Q4817" s="4" t="str">
        <f>IFERROR(__xludf.DUMMYFUNCTION("""COMPUTED_VALUE"""),"null")</f>
        <v>null</v>
      </c>
      <c r="R4817" s="33">
        <f>IFERROR(__xludf.DUMMYFUNCTION("""COMPUTED_VALUE"""),0.5)</f>
        <v>0.5</v>
      </c>
      <c r="S4817" s="4" t="str">
        <f>IFERROR(__xludf.DUMMYFUNCTION("""COMPUTED_VALUE"""),"null")</f>
        <v>null</v>
      </c>
      <c r="T4817" s="33">
        <f>IFERROR(__xludf.DUMMYFUNCTION("""COMPUTED_VALUE"""),0.5)</f>
        <v>0.5</v>
      </c>
      <c r="U4817" s="4" t="str">
        <f>IFERROR(__xludf.DUMMYFUNCTION("""COMPUTED_VALUE"""),"null")</f>
        <v>null</v>
      </c>
      <c r="V4817" s="33">
        <f>IFERROR(__xludf.DUMMYFUNCTION("""COMPUTED_VALUE"""),0.5)</f>
        <v>0.5</v>
      </c>
      <c r="W4817" s="4" t="str">
        <f>IFERROR(__xludf.DUMMYFUNCTION("""COMPUTED_VALUE"""),"Brendi")</f>
        <v>Brendi</v>
      </c>
      <c r="X4817" s="33">
        <f>IFERROR(__xludf.DUMMYFUNCTION("""COMPUTED_VALUE"""),0.5)</f>
        <v>0.5</v>
      </c>
    </row>
    <row r="4818">
      <c r="K4818" s="4" t="str">
        <f>IFERROR(__xludf.DUMMYFUNCTION("""COMPUTED_VALUE"""),"NA BRASA SMASH BURGUER")</f>
        <v>NA BRASA SMASH BURGUER</v>
      </c>
      <c r="L4818" s="32">
        <f>IFERROR(__xludf.DUMMYFUNCTION("""COMPUTED_VALUE"""),2.0)</f>
        <v>2</v>
      </c>
      <c r="M4818" s="4" t="str">
        <f>IFERROR(__xludf.DUMMYFUNCTION("""COMPUTED_VALUE"""),"null")</f>
        <v>null</v>
      </c>
      <c r="N4818" s="33">
        <f>IFERROR(__xludf.DUMMYFUNCTION("""COMPUTED_VALUE"""),0.5)</f>
        <v>0.5</v>
      </c>
      <c r="O4818" s="4" t="str">
        <f>IFERROR(__xludf.DUMMYFUNCTION("""COMPUTED_VALUE"""),"null")</f>
        <v>null</v>
      </c>
      <c r="P4818" s="33">
        <f>IFERROR(__xludf.DUMMYFUNCTION("""COMPUTED_VALUE"""),0.5)</f>
        <v>0.5</v>
      </c>
      <c r="Q4818" s="4" t="str">
        <f>IFERROR(__xludf.DUMMYFUNCTION("""COMPUTED_VALUE"""),"null")</f>
        <v>null</v>
      </c>
      <c r="R4818" s="33">
        <f>IFERROR(__xludf.DUMMYFUNCTION("""COMPUTED_VALUE"""),0.5)</f>
        <v>0.5</v>
      </c>
      <c r="S4818" s="4" t="str">
        <f>IFERROR(__xludf.DUMMYFUNCTION("""COMPUTED_VALUE"""),"null")</f>
        <v>null</v>
      </c>
      <c r="T4818" s="33">
        <f>IFERROR(__xludf.DUMMYFUNCTION("""COMPUTED_VALUE"""),0.5)</f>
        <v>0.5</v>
      </c>
      <c r="U4818" s="4" t="str">
        <f>IFERROR(__xludf.DUMMYFUNCTION("""COMPUTED_VALUE"""),"Saipos Serviços De Software")</f>
        <v>Saipos Serviços De Software</v>
      </c>
      <c r="V4818" s="33">
        <f>IFERROR(__xludf.DUMMYFUNCTION("""COMPUTED_VALUE"""),0.5)</f>
        <v>0.5</v>
      </c>
      <c r="W4818" s="4" t="str">
        <f>IFERROR(__xludf.DUMMYFUNCTION("""COMPUTED_VALUE"""),"Saipos Serviços De Software")</f>
        <v>Saipos Serviços De Software</v>
      </c>
      <c r="X4818" s="33">
        <f>IFERROR(__xludf.DUMMYFUNCTION("""COMPUTED_VALUE"""),0.5)</f>
        <v>0.5</v>
      </c>
    </row>
    <row r="4819">
      <c r="K4819" s="4" t="str">
        <f>IFERROR(__xludf.DUMMYFUNCTION("""COMPUTED_VALUE"""),"COSECHAS")</f>
        <v>COSECHAS</v>
      </c>
      <c r="L4819" s="32">
        <f>IFERROR(__xludf.DUMMYFUNCTION("""COMPUTED_VALUE"""),2.0)</f>
        <v>2</v>
      </c>
      <c r="M4819" s="4" t="str">
        <f>IFERROR(__xludf.DUMMYFUNCTION("""COMPUTED_VALUE"""),"null")</f>
        <v>null</v>
      </c>
      <c r="N4819" s="33">
        <f>IFERROR(__xludf.DUMMYFUNCTION("""COMPUTED_VALUE"""),0.5)</f>
        <v>0.5</v>
      </c>
      <c r="O4819" s="4" t="str">
        <f>IFERROR(__xludf.DUMMYFUNCTION("""COMPUTED_VALUE"""),"null")</f>
        <v>null</v>
      </c>
      <c r="P4819" s="33">
        <f>IFERROR(__xludf.DUMMYFUNCTION("""COMPUTED_VALUE"""),0.5)</f>
        <v>0.5</v>
      </c>
      <c r="Q4819" s="4" t="str">
        <f>IFERROR(__xludf.DUMMYFUNCTION("""COMPUTED_VALUE"""),"Opdv")</f>
        <v>Opdv</v>
      </c>
      <c r="R4819" s="33">
        <f>IFERROR(__xludf.DUMMYFUNCTION("""COMPUTED_VALUE"""),1.0)</f>
        <v>1</v>
      </c>
      <c r="S4819" s="4" t="str">
        <f>IFERROR(__xludf.DUMMYFUNCTION("""COMPUTED_VALUE"""),"null")</f>
        <v>null</v>
      </c>
      <c r="T4819" s="33">
        <f>IFERROR(__xludf.DUMMYFUNCTION("""COMPUTED_VALUE"""),0.5)</f>
        <v>0.5</v>
      </c>
      <c r="U4819" s="4" t="str">
        <f>IFERROR(__xludf.DUMMYFUNCTION("""COMPUTED_VALUE"""),"null")</f>
        <v>null</v>
      </c>
      <c r="V4819" s="33">
        <f>IFERROR(__xludf.DUMMYFUNCTION("""COMPUTED_VALUE"""),0.5)</f>
        <v>0.5</v>
      </c>
      <c r="W4819" s="4" t="str">
        <f>IFERROR(__xludf.DUMMYFUNCTION("""COMPUTED_VALUE"""),"null")</f>
        <v>null</v>
      </c>
      <c r="X4819" s="33">
        <f>IFERROR(__xludf.DUMMYFUNCTION("""COMPUTED_VALUE"""),0.5)</f>
        <v>0.5</v>
      </c>
    </row>
    <row r="4820">
      <c r="K4820" s="4" t="str">
        <f>IFERROR(__xludf.DUMMYFUNCTION("""COMPUTED_VALUE"""),"REI CARANGUEJO")</f>
        <v>REI CARANGUEJO</v>
      </c>
      <c r="L4820" s="32">
        <f>IFERROR(__xludf.DUMMYFUNCTION("""COMPUTED_VALUE"""),2.0)</f>
        <v>2</v>
      </c>
      <c r="M4820" s="4" t="str">
        <f>IFERROR(__xludf.DUMMYFUNCTION("""COMPUTED_VALUE"""),"Menew - Linx")</f>
        <v>Menew - Linx</v>
      </c>
      <c r="N4820" s="33">
        <f>IFERROR(__xludf.DUMMYFUNCTION("""COMPUTED_VALUE"""),0.5)</f>
        <v>0.5</v>
      </c>
      <c r="O4820" s="4" t="str">
        <f>IFERROR(__xludf.DUMMYFUNCTION("""COMPUTED_VALUE"""),"null")</f>
        <v>null</v>
      </c>
      <c r="P4820" s="33">
        <f>IFERROR(__xludf.DUMMYFUNCTION("""COMPUTED_VALUE"""),1.0)</f>
        <v>1</v>
      </c>
      <c r="Q4820" s="4" t="str">
        <f>IFERROR(__xludf.DUMMYFUNCTION("""COMPUTED_VALUE"""),"null")</f>
        <v>null</v>
      </c>
      <c r="R4820" s="33">
        <f>IFERROR(__xludf.DUMMYFUNCTION("""COMPUTED_VALUE"""),0.5)</f>
        <v>0.5</v>
      </c>
      <c r="S4820" s="4" t="str">
        <f>IFERROR(__xludf.DUMMYFUNCTION("""COMPUTED_VALUE"""),"null")</f>
        <v>null</v>
      </c>
      <c r="T4820" s="33">
        <f>IFERROR(__xludf.DUMMYFUNCTION("""COMPUTED_VALUE"""),0.5)</f>
        <v>0.5</v>
      </c>
      <c r="U4820" s="4" t="str">
        <f>IFERROR(__xludf.DUMMYFUNCTION("""COMPUTED_VALUE"""),"null")</f>
        <v>null</v>
      </c>
      <c r="V4820" s="33">
        <f>IFERROR(__xludf.DUMMYFUNCTION("""COMPUTED_VALUE"""),0.5)</f>
        <v>0.5</v>
      </c>
      <c r="W4820" s="4" t="str">
        <f>IFERROR(__xludf.DUMMYFUNCTION("""COMPUTED_VALUE"""),"null")</f>
        <v>null</v>
      </c>
      <c r="X4820" s="33">
        <f>IFERROR(__xludf.DUMMYFUNCTION("""COMPUTED_VALUE"""),1.0)</f>
        <v>1</v>
      </c>
    </row>
    <row r="4821">
      <c r="K4821" s="4" t="str">
        <f>IFERROR(__xludf.DUMMYFUNCTION("""COMPUTED_VALUE"""),"GRUPO SABOROSO RIO PRETO")</f>
        <v>GRUPO SABOROSO RIO PRETO</v>
      </c>
      <c r="L4821" s="32">
        <f>IFERROR(__xludf.DUMMYFUNCTION("""COMPUTED_VALUE"""),2.0)</f>
        <v>2</v>
      </c>
      <c r="M4821" s="4" t="str">
        <f>IFERROR(__xludf.DUMMYFUNCTION("""COMPUTED_VALUE"""),"Saipos Serviços De Software")</f>
        <v>Saipos Serviços De Software</v>
      </c>
      <c r="N4821" s="33">
        <f>IFERROR(__xludf.DUMMYFUNCTION("""COMPUTED_VALUE"""),1.0)</f>
        <v>1</v>
      </c>
      <c r="O4821" s="4" t="str">
        <f>IFERROR(__xludf.DUMMYFUNCTION("""COMPUTED_VALUE"""),"Saipos Serviços De Software")</f>
        <v>Saipos Serviços De Software</v>
      </c>
      <c r="P4821" s="33">
        <f>IFERROR(__xludf.DUMMYFUNCTION("""COMPUTED_VALUE"""),1.0)</f>
        <v>1</v>
      </c>
      <c r="Q4821" s="4" t="str">
        <f>IFERROR(__xludf.DUMMYFUNCTION("""COMPUTED_VALUE"""),"Saipos Serviços De Software")</f>
        <v>Saipos Serviços De Software</v>
      </c>
      <c r="R4821" s="33">
        <f>IFERROR(__xludf.DUMMYFUNCTION("""COMPUTED_VALUE"""),1.0)</f>
        <v>1</v>
      </c>
      <c r="S4821" s="4" t="str">
        <f>IFERROR(__xludf.DUMMYFUNCTION("""COMPUTED_VALUE"""),"Saipos Serviços De Software")</f>
        <v>Saipos Serviços De Software</v>
      </c>
      <c r="T4821" s="33">
        <f>IFERROR(__xludf.DUMMYFUNCTION("""COMPUTED_VALUE"""),1.0)</f>
        <v>1</v>
      </c>
      <c r="U4821" s="4" t="str">
        <f>IFERROR(__xludf.DUMMYFUNCTION("""COMPUTED_VALUE"""),"Saipos Serviços De Software")</f>
        <v>Saipos Serviços De Software</v>
      </c>
      <c r="V4821" s="33">
        <f>IFERROR(__xludf.DUMMYFUNCTION("""COMPUTED_VALUE"""),1.0)</f>
        <v>1</v>
      </c>
      <c r="W4821" s="4" t="str">
        <f>IFERROR(__xludf.DUMMYFUNCTION("""COMPUTED_VALUE"""),"null")</f>
        <v>null</v>
      </c>
      <c r="X4821" s="33">
        <f>IFERROR(__xludf.DUMMYFUNCTION("""COMPUTED_VALUE"""),1.0)</f>
        <v>1</v>
      </c>
    </row>
    <row r="4822">
      <c r="K4822" s="4" t="str">
        <f>IFERROR(__xludf.DUMMYFUNCTION("""COMPUTED_VALUE"""),"PRIME PIZZA - ITAPARICA")</f>
        <v>PRIME PIZZA - ITAPARICA</v>
      </c>
      <c r="L4822" s="32">
        <f>IFERROR(__xludf.DUMMYFUNCTION("""COMPUTED_VALUE"""),2.0)</f>
        <v>2</v>
      </c>
      <c r="M4822" s="4" t="str">
        <f>IFERROR(__xludf.DUMMYFUNCTION("""COMPUTED_VALUE"""),"null")</f>
        <v>null</v>
      </c>
      <c r="N4822" s="33">
        <f>IFERROR(__xludf.DUMMYFUNCTION("""COMPUTED_VALUE"""),1.0)</f>
        <v>1</v>
      </c>
      <c r="O4822" s="4" t="str">
        <f>IFERROR(__xludf.DUMMYFUNCTION("""COMPUTED_VALUE"""),"null")</f>
        <v>null</v>
      </c>
      <c r="P4822" s="33">
        <f>IFERROR(__xludf.DUMMYFUNCTION("""COMPUTED_VALUE"""),1.0)</f>
        <v>1</v>
      </c>
      <c r="Q4822" s="4" t="str">
        <f>IFERROR(__xludf.DUMMYFUNCTION("""COMPUTED_VALUE"""),"null")</f>
        <v>null</v>
      </c>
      <c r="R4822" s="33">
        <f>IFERROR(__xludf.DUMMYFUNCTION("""COMPUTED_VALUE"""),1.0)</f>
        <v>1</v>
      </c>
      <c r="S4822" s="4" t="str">
        <f>IFERROR(__xludf.DUMMYFUNCTION("""COMPUTED_VALUE"""),"Saipos Serviços De Software")</f>
        <v>Saipos Serviços De Software</v>
      </c>
      <c r="T4822" s="33">
        <f>IFERROR(__xludf.DUMMYFUNCTION("""COMPUTED_VALUE"""),1.0)</f>
        <v>1</v>
      </c>
      <c r="U4822" s="4" t="str">
        <f>IFERROR(__xludf.DUMMYFUNCTION("""COMPUTED_VALUE"""),"Saipos Serviços De Software")</f>
        <v>Saipos Serviços De Software</v>
      </c>
      <c r="V4822" s="33">
        <f>IFERROR(__xludf.DUMMYFUNCTION("""COMPUTED_VALUE"""),0.5)</f>
        <v>0.5</v>
      </c>
      <c r="W4822" s="4" t="str">
        <f>IFERROR(__xludf.DUMMYFUNCTION("""COMPUTED_VALUE"""),"Saipos Serviços De Software")</f>
        <v>Saipos Serviços De Software</v>
      </c>
      <c r="X4822" s="33">
        <f>IFERROR(__xludf.DUMMYFUNCTION("""COMPUTED_VALUE"""),0.5)</f>
        <v>0.5</v>
      </c>
    </row>
    <row r="4823">
      <c r="K4823" s="4" t="str">
        <f>IFERROR(__xludf.DUMMYFUNCTION("""COMPUTED_VALUE"""),"PATA BEER")</f>
        <v>PATA BEER</v>
      </c>
      <c r="L4823" s="32">
        <f>IFERROR(__xludf.DUMMYFUNCTION("""COMPUTED_VALUE"""),2.0)</f>
        <v>2</v>
      </c>
      <c r="M4823" s="4" t="str">
        <f>IFERROR(__xludf.DUMMYFUNCTION("""COMPUTED_VALUE"""),"null")</f>
        <v>null</v>
      </c>
      <c r="N4823" s="33">
        <f>IFERROR(__xludf.DUMMYFUNCTION("""COMPUTED_VALUE"""),0.5)</f>
        <v>0.5</v>
      </c>
      <c r="O4823" s="4" t="str">
        <f>IFERROR(__xludf.DUMMYFUNCTION("""COMPUTED_VALUE"""),"N/A (Not found)")</f>
        <v>N/A (Not found)</v>
      </c>
      <c r="P4823" s="33">
        <f>IFERROR(__xludf.DUMMYFUNCTION("""COMPUTED_VALUE"""),0.5)</f>
        <v>0.5</v>
      </c>
      <c r="Q4823" s="4" t="str">
        <f>IFERROR(__xludf.DUMMYFUNCTION("""COMPUTED_VALUE"""),"N/A (Not found)")</f>
        <v>N/A (Not found)</v>
      </c>
      <c r="R4823" s="33">
        <f>IFERROR(__xludf.DUMMYFUNCTION("""COMPUTED_VALUE"""),0.5)</f>
        <v>0.5</v>
      </c>
      <c r="S4823" s="4" t="str">
        <f>IFERROR(__xludf.DUMMYFUNCTION("""COMPUTED_VALUE"""),"N/A (Not found)")</f>
        <v>N/A (Not found)</v>
      </c>
      <c r="T4823" s="33">
        <f>IFERROR(__xludf.DUMMYFUNCTION("""COMPUTED_VALUE"""),0.5)</f>
        <v>0.5</v>
      </c>
      <c r="U4823" s="4" t="str">
        <f>IFERROR(__xludf.DUMMYFUNCTION("""COMPUTED_VALUE"""),"N/A (Not found)")</f>
        <v>N/A (Not found)</v>
      </c>
      <c r="V4823" s="33">
        <f>IFERROR(__xludf.DUMMYFUNCTION("""COMPUTED_VALUE"""),0.5)</f>
        <v>0.5</v>
      </c>
      <c r="W4823" s="4" t="str">
        <f>IFERROR(__xludf.DUMMYFUNCTION("""COMPUTED_VALUE"""),"N/A (Not found)")</f>
        <v>N/A (Not found)</v>
      </c>
      <c r="X4823" s="33">
        <f>IFERROR(__xludf.DUMMYFUNCTION("""COMPUTED_VALUE"""),0.5)</f>
        <v>0.5</v>
      </c>
    </row>
    <row r="4824">
      <c r="K4824" s="4" t="str">
        <f>IFERROR(__xludf.DUMMYFUNCTION("""COMPUTED_VALUE"""),"YASHA SUSHI")</f>
        <v>YASHA SUSHI</v>
      </c>
      <c r="L4824" s="32">
        <f>IFERROR(__xludf.DUMMYFUNCTION("""COMPUTED_VALUE"""),2.0)</f>
        <v>2</v>
      </c>
      <c r="M4824" s="4" t="str">
        <f>IFERROR(__xludf.DUMMYFUNCTION("""COMPUTED_VALUE"""),"null")</f>
        <v>null</v>
      </c>
      <c r="N4824" s="33">
        <f>IFERROR(__xludf.DUMMYFUNCTION("""COMPUTED_VALUE"""),0.5)</f>
        <v>0.5</v>
      </c>
      <c r="O4824" s="4" t="str">
        <f>IFERROR(__xludf.DUMMYFUNCTION("""COMPUTED_VALUE"""),"null")</f>
        <v>null</v>
      </c>
      <c r="P4824" s="33">
        <f>IFERROR(__xludf.DUMMYFUNCTION("""COMPUTED_VALUE"""),0.5)</f>
        <v>0.5</v>
      </c>
      <c r="Q4824" s="4" t="str">
        <f>IFERROR(__xludf.DUMMYFUNCTION("""COMPUTED_VALUE"""),"null")</f>
        <v>null</v>
      </c>
      <c r="R4824" s="33">
        <f>IFERROR(__xludf.DUMMYFUNCTION("""COMPUTED_VALUE"""),0.5)</f>
        <v>0.5</v>
      </c>
      <c r="S4824" s="4" t="str">
        <f>IFERROR(__xludf.DUMMYFUNCTION("""COMPUTED_VALUE"""),"Cardápio Web")</f>
        <v>Cardápio Web</v>
      </c>
      <c r="T4824" s="33">
        <f>IFERROR(__xludf.DUMMYFUNCTION("""COMPUTED_VALUE"""),1.0)</f>
        <v>1</v>
      </c>
      <c r="U4824" s="4" t="str">
        <f>IFERROR(__xludf.DUMMYFUNCTION("""COMPUTED_VALUE"""),"Cardápio Web")</f>
        <v>Cardápio Web</v>
      </c>
      <c r="V4824" s="33">
        <f>IFERROR(__xludf.DUMMYFUNCTION("""COMPUTED_VALUE"""),0.5)</f>
        <v>0.5</v>
      </c>
      <c r="W4824" s="4" t="str">
        <f>IFERROR(__xludf.DUMMYFUNCTION("""COMPUTED_VALUE"""),"Cardápio Web")</f>
        <v>Cardápio Web</v>
      </c>
      <c r="X4824" s="33">
        <f>IFERROR(__xludf.DUMMYFUNCTION("""COMPUTED_VALUE"""),0.5)</f>
        <v>0.5</v>
      </c>
    </row>
    <row r="4825">
      <c r="K4825" s="4" t="str">
        <f>IFERROR(__xludf.DUMMYFUNCTION("""COMPUTED_VALUE"""),"FARMACIA SAUDE")</f>
        <v>FARMACIA SAUDE</v>
      </c>
      <c r="L4825" s="32">
        <f>IFERROR(__xludf.DUMMYFUNCTION("""COMPUTED_VALUE"""),2.0)</f>
        <v>2</v>
      </c>
      <c r="M4825" s="4" t="str">
        <f>IFERROR(__xludf.DUMMYFUNCTION("""COMPUTED_VALUE"""),"N/A (Not found)")</f>
        <v>N/A (Not found)</v>
      </c>
      <c r="N4825" s="33">
        <f>IFERROR(__xludf.DUMMYFUNCTION("""COMPUTED_VALUE"""),0.5)</f>
        <v>0.5</v>
      </c>
      <c r="O4825" s="4" t="str">
        <f>IFERROR(__xludf.DUMMYFUNCTION("""COMPUTED_VALUE"""),"null")</f>
        <v>null</v>
      </c>
      <c r="P4825" s="33">
        <f>IFERROR(__xludf.DUMMYFUNCTION("""COMPUTED_VALUE"""),0.5)</f>
        <v>0.5</v>
      </c>
      <c r="Q4825" s="4" t="str">
        <f>IFERROR(__xludf.DUMMYFUNCTION("""COMPUTED_VALUE"""),"N/A (Not found)")</f>
        <v>N/A (Not found)</v>
      </c>
      <c r="R4825" s="33">
        <f>IFERROR(__xludf.DUMMYFUNCTION("""COMPUTED_VALUE"""),1.0)</f>
        <v>1</v>
      </c>
      <c r="S4825" s="4" t="str">
        <f>IFERROR(__xludf.DUMMYFUNCTION("""COMPUTED_VALUE"""),"null")</f>
        <v>null</v>
      </c>
      <c r="T4825" s="33">
        <f>IFERROR(__xludf.DUMMYFUNCTION("""COMPUTED_VALUE"""),0.5)</f>
        <v>0.5</v>
      </c>
      <c r="U4825" s="4" t="str">
        <f>IFERROR(__xludf.DUMMYFUNCTION("""COMPUTED_VALUE"""),"null")</f>
        <v>null</v>
      </c>
      <c r="V4825" s="33">
        <f>IFERROR(__xludf.DUMMYFUNCTION("""COMPUTED_VALUE"""),0.5)</f>
        <v>0.5</v>
      </c>
      <c r="W4825" s="4" t="str">
        <f>IFERROR(__xludf.DUMMYFUNCTION("""COMPUTED_VALUE"""),"null")</f>
        <v>null</v>
      </c>
      <c r="X4825" s="33">
        <f>IFERROR(__xludf.DUMMYFUNCTION("""COMPUTED_VALUE"""),0.5)</f>
        <v>0.5</v>
      </c>
    </row>
    <row r="4826">
      <c r="K4826" s="4" t="str">
        <f>IFERROR(__xludf.DUMMYFUNCTION("""COMPUTED_VALUE"""),"PIZZARIA CHEFF DNAPOLI")</f>
        <v>PIZZARIA CHEFF DNAPOLI</v>
      </c>
      <c r="L4826" s="32">
        <f>IFERROR(__xludf.DUMMYFUNCTION("""COMPUTED_VALUE"""),2.0)</f>
        <v>2</v>
      </c>
      <c r="M4826" s="4" t="str">
        <f>IFERROR(__xludf.DUMMYFUNCTION("""COMPUTED_VALUE"""),"null")</f>
        <v>null</v>
      </c>
      <c r="N4826" s="33">
        <f>IFERROR(__xludf.DUMMYFUNCTION("""COMPUTED_VALUE"""),1.0)</f>
        <v>1</v>
      </c>
      <c r="O4826" s="4" t="str">
        <f>IFERROR(__xludf.DUMMYFUNCTION("""COMPUTED_VALUE"""),"null")</f>
        <v>null</v>
      </c>
      <c r="P4826" s="33">
        <f>IFERROR(__xludf.DUMMYFUNCTION("""COMPUTED_VALUE"""),1.0)</f>
        <v>1</v>
      </c>
      <c r="Q4826" s="4" t="str">
        <f>IFERROR(__xludf.DUMMYFUNCTION("""COMPUTED_VALUE"""),"null")</f>
        <v>null</v>
      </c>
      <c r="R4826" s="33">
        <f>IFERROR(__xludf.DUMMYFUNCTION("""COMPUTED_VALUE"""),1.0)</f>
        <v>1</v>
      </c>
      <c r="S4826" s="4" t="str">
        <f>IFERROR(__xludf.DUMMYFUNCTION("""COMPUTED_VALUE"""),"null")</f>
        <v>null</v>
      </c>
      <c r="T4826" s="33">
        <f>IFERROR(__xludf.DUMMYFUNCTION("""COMPUTED_VALUE"""),1.0)</f>
        <v>1</v>
      </c>
      <c r="U4826" s="4" t="str">
        <f>IFERROR(__xludf.DUMMYFUNCTION("""COMPUTED_VALUE"""),"null")</f>
        <v>null</v>
      </c>
      <c r="V4826" s="33">
        <f>IFERROR(__xludf.DUMMYFUNCTION("""COMPUTED_VALUE"""),1.0)</f>
        <v>1</v>
      </c>
      <c r="W4826" s="4" t="str">
        <f>IFERROR(__xludf.DUMMYFUNCTION("""COMPUTED_VALUE"""),"Cardápio Web")</f>
        <v>Cardápio Web</v>
      </c>
      <c r="X4826" s="33">
        <f>IFERROR(__xludf.DUMMYFUNCTION("""COMPUTED_VALUE"""),1.0)</f>
        <v>1</v>
      </c>
    </row>
    <row r="4827">
      <c r="K4827" s="4" t="str">
        <f>IFERROR(__xludf.DUMMYFUNCTION("""COMPUTED_VALUE"""),"ACAI DO MAGO")</f>
        <v>ACAI DO MAGO</v>
      </c>
      <c r="L4827" s="32">
        <f>IFERROR(__xludf.DUMMYFUNCTION("""COMPUTED_VALUE"""),2.0)</f>
        <v>2</v>
      </c>
      <c r="M4827" s="4" t="str">
        <f>IFERROR(__xludf.DUMMYFUNCTION("""COMPUTED_VALUE"""),"Saipos Serviços De Software")</f>
        <v>Saipos Serviços De Software</v>
      </c>
      <c r="N4827" s="33">
        <f>IFERROR(__xludf.DUMMYFUNCTION("""COMPUTED_VALUE"""),0.5)</f>
        <v>0.5</v>
      </c>
      <c r="O4827" s="4" t="str">
        <f>IFERROR(__xludf.DUMMYFUNCTION("""COMPUTED_VALUE"""),"Saipos Serviços De Software")</f>
        <v>Saipos Serviços De Software</v>
      </c>
      <c r="P4827" s="33">
        <f>IFERROR(__xludf.DUMMYFUNCTION("""COMPUTED_VALUE"""),0.5)</f>
        <v>0.5</v>
      </c>
      <c r="Q4827" s="4" t="str">
        <f>IFERROR(__xludf.DUMMYFUNCTION("""COMPUTED_VALUE"""),"Saipos Serviços De Software")</f>
        <v>Saipos Serviços De Software</v>
      </c>
      <c r="R4827" s="33">
        <f>IFERROR(__xludf.DUMMYFUNCTION("""COMPUTED_VALUE"""),0.5)</f>
        <v>0.5</v>
      </c>
      <c r="S4827" s="4" t="str">
        <f>IFERROR(__xludf.DUMMYFUNCTION("""COMPUTED_VALUE"""),"Saipos Serviços De Software")</f>
        <v>Saipos Serviços De Software</v>
      </c>
      <c r="T4827" s="33">
        <f>IFERROR(__xludf.DUMMYFUNCTION("""COMPUTED_VALUE"""),0.5)</f>
        <v>0.5</v>
      </c>
      <c r="U4827" s="4" t="str">
        <f>IFERROR(__xludf.DUMMYFUNCTION("""COMPUTED_VALUE"""),"Saipos Serviços De Software")</f>
        <v>Saipos Serviços De Software</v>
      </c>
      <c r="V4827" s="33">
        <f>IFERROR(__xludf.DUMMYFUNCTION("""COMPUTED_VALUE"""),0.5)</f>
        <v>0.5</v>
      </c>
      <c r="W4827" s="4" t="str">
        <f>IFERROR(__xludf.DUMMYFUNCTION("""COMPUTED_VALUE"""),"Saipos Serviços De Software")</f>
        <v>Saipos Serviços De Software</v>
      </c>
      <c r="X4827" s="33">
        <f>IFERROR(__xludf.DUMMYFUNCTION("""COMPUTED_VALUE"""),0.5)</f>
        <v>0.5</v>
      </c>
    </row>
    <row r="4828">
      <c r="K4828" s="4" t="str">
        <f>IFERROR(__xludf.DUMMYFUNCTION("""COMPUTED_VALUE"""),"ZERO TREZE ADEGA GELOS LTDA")</f>
        <v>ZERO TREZE ADEGA GELOS LTDA</v>
      </c>
      <c r="L4828" s="32">
        <f>IFERROR(__xludf.DUMMYFUNCTION("""COMPUTED_VALUE"""),2.0)</f>
        <v>2</v>
      </c>
      <c r="M4828" s="4" t="str">
        <f>IFERROR(__xludf.DUMMYFUNCTION("""COMPUTED_VALUE"""),"null")</f>
        <v>null</v>
      </c>
      <c r="N4828" s="33">
        <f>IFERROR(__xludf.DUMMYFUNCTION("""COMPUTED_VALUE"""),0.5)</f>
        <v>0.5</v>
      </c>
      <c r="O4828" s="4" t="str">
        <f>IFERROR(__xludf.DUMMYFUNCTION("""COMPUTED_VALUE"""),"null")</f>
        <v>null</v>
      </c>
      <c r="P4828" s="33">
        <f>IFERROR(__xludf.DUMMYFUNCTION("""COMPUTED_VALUE"""),0.5)</f>
        <v>0.5</v>
      </c>
      <c r="Q4828" s="4" t="str">
        <f>IFERROR(__xludf.DUMMYFUNCTION("""COMPUTED_VALUE"""),"null")</f>
        <v>null</v>
      </c>
      <c r="R4828" s="33">
        <f>IFERROR(__xludf.DUMMYFUNCTION("""COMPUTED_VALUE"""),1.0)</f>
        <v>1</v>
      </c>
      <c r="S4828" s="4" t="str">
        <f>IFERROR(__xludf.DUMMYFUNCTION("""COMPUTED_VALUE"""),"null")</f>
        <v>null</v>
      </c>
      <c r="T4828" s="33">
        <f>IFERROR(__xludf.DUMMYFUNCTION("""COMPUTED_VALUE"""),0.5)</f>
        <v>0.5</v>
      </c>
      <c r="U4828" s="4" t="str">
        <f>IFERROR(__xludf.DUMMYFUNCTION("""COMPUTED_VALUE"""),"null")</f>
        <v>null</v>
      </c>
      <c r="V4828" s="33">
        <f>IFERROR(__xludf.DUMMYFUNCTION("""COMPUTED_VALUE"""),1.0)</f>
        <v>1</v>
      </c>
      <c r="W4828" s="4" t="str">
        <f>IFERROR(__xludf.DUMMYFUNCTION("""COMPUTED_VALUE"""),"N/A (Not found)")</f>
        <v>N/A (Not found)</v>
      </c>
      <c r="X4828" s="33">
        <f>IFERROR(__xludf.DUMMYFUNCTION("""COMPUTED_VALUE"""),0.5)</f>
        <v>0.5</v>
      </c>
    </row>
    <row r="4829">
      <c r="K4829" s="4" t="str">
        <f>IFERROR(__xludf.DUMMYFUNCTION("""COMPUTED_VALUE"""),"HOT MANIA")</f>
        <v>HOT MANIA</v>
      </c>
      <c r="L4829" s="32">
        <f>IFERROR(__xludf.DUMMYFUNCTION("""COMPUTED_VALUE"""),2.0)</f>
        <v>2</v>
      </c>
      <c r="M4829" s="4" t="str">
        <f>IFERROR(__xludf.DUMMYFUNCTION("""COMPUTED_VALUE"""),"Cardápio Web")</f>
        <v>Cardápio Web</v>
      </c>
      <c r="N4829" s="33">
        <f>IFERROR(__xludf.DUMMYFUNCTION("""COMPUTED_VALUE"""),0.5)</f>
        <v>0.5</v>
      </c>
      <c r="O4829" s="4" t="str">
        <f>IFERROR(__xludf.DUMMYFUNCTION("""COMPUTED_VALUE"""),"Cardápio Web")</f>
        <v>Cardápio Web</v>
      </c>
      <c r="P4829" s="33">
        <f>IFERROR(__xludf.DUMMYFUNCTION("""COMPUTED_VALUE"""),0.5)</f>
        <v>0.5</v>
      </c>
      <c r="Q4829" s="4" t="str">
        <f>IFERROR(__xludf.DUMMYFUNCTION("""COMPUTED_VALUE"""),"Cardápio Web")</f>
        <v>Cardápio Web</v>
      </c>
      <c r="R4829" s="33">
        <f>IFERROR(__xludf.DUMMYFUNCTION("""COMPUTED_VALUE"""),0.5)</f>
        <v>0.5</v>
      </c>
      <c r="S4829" s="4" t="str">
        <f>IFERROR(__xludf.DUMMYFUNCTION("""COMPUTED_VALUE"""),"Cardápio Web")</f>
        <v>Cardápio Web</v>
      </c>
      <c r="T4829" s="33">
        <f>IFERROR(__xludf.DUMMYFUNCTION("""COMPUTED_VALUE"""),0.5)</f>
        <v>0.5</v>
      </c>
      <c r="U4829" s="4" t="str">
        <f>IFERROR(__xludf.DUMMYFUNCTION("""COMPUTED_VALUE"""),"Cardápio Web")</f>
        <v>Cardápio Web</v>
      </c>
      <c r="V4829" s="33">
        <f>IFERROR(__xludf.DUMMYFUNCTION("""COMPUTED_VALUE"""),0.5)</f>
        <v>0.5</v>
      </c>
      <c r="W4829" s="4" t="str">
        <f>IFERROR(__xludf.DUMMYFUNCTION("""COMPUTED_VALUE"""),"null")</f>
        <v>null</v>
      </c>
      <c r="X4829" s="33">
        <f>IFERROR(__xludf.DUMMYFUNCTION("""COMPUTED_VALUE"""),0.5)</f>
        <v>0.5</v>
      </c>
    </row>
    <row r="4830">
      <c r="K4830" s="4" t="str">
        <f>IFERROR(__xludf.DUMMYFUNCTION("""COMPUTED_VALUE"""),"CHURRAS BURGER")</f>
        <v>CHURRAS BURGER</v>
      </c>
      <c r="L4830" s="32">
        <f>IFERROR(__xludf.DUMMYFUNCTION("""COMPUTED_VALUE"""),2.0)</f>
        <v>2</v>
      </c>
      <c r="M4830" s="4" t="str">
        <f>IFERROR(__xludf.DUMMYFUNCTION("""COMPUTED_VALUE"""),"null")</f>
        <v>null</v>
      </c>
      <c r="N4830" s="33">
        <f>IFERROR(__xludf.DUMMYFUNCTION("""COMPUTED_VALUE"""),0.5)</f>
        <v>0.5</v>
      </c>
      <c r="O4830" s="4" t="str">
        <f>IFERROR(__xludf.DUMMYFUNCTION("""COMPUTED_VALUE"""),"null")</f>
        <v>null</v>
      </c>
      <c r="P4830" s="33">
        <f>IFERROR(__xludf.DUMMYFUNCTION("""COMPUTED_VALUE"""),0.5)</f>
        <v>0.5</v>
      </c>
      <c r="Q4830" s="4" t="str">
        <f>IFERROR(__xludf.DUMMYFUNCTION("""COMPUTED_VALUE"""),"null")</f>
        <v>null</v>
      </c>
      <c r="R4830" s="33">
        <f>IFERROR(__xludf.DUMMYFUNCTION("""COMPUTED_VALUE"""),0.5)</f>
        <v>0.5</v>
      </c>
      <c r="S4830" s="4" t="str">
        <f>IFERROR(__xludf.DUMMYFUNCTION("""COMPUTED_VALUE"""),"null")</f>
        <v>null</v>
      </c>
      <c r="T4830" s="33">
        <f>IFERROR(__xludf.DUMMYFUNCTION("""COMPUTED_VALUE"""),0.5)</f>
        <v>0.5</v>
      </c>
      <c r="U4830" s="4" t="str">
        <f>IFERROR(__xludf.DUMMYFUNCTION("""COMPUTED_VALUE"""),"Anota Ai Solucoes Digitais S/a")</f>
        <v>Anota Ai Solucoes Digitais S/a</v>
      </c>
      <c r="V4830" s="33">
        <f>IFERROR(__xludf.DUMMYFUNCTION("""COMPUTED_VALUE"""),1.0)</f>
        <v>1</v>
      </c>
      <c r="W4830" s="4" t="str">
        <f>IFERROR(__xludf.DUMMYFUNCTION("""COMPUTED_VALUE"""),"Anota Ai Solucoes Digitais S/a")</f>
        <v>Anota Ai Solucoes Digitais S/a</v>
      </c>
      <c r="X4830" s="33">
        <f>IFERROR(__xludf.DUMMYFUNCTION("""COMPUTED_VALUE"""),0.5)</f>
        <v>0.5</v>
      </c>
    </row>
    <row r="4831">
      <c r="K4831" s="4" t="str">
        <f>IFERROR(__xludf.DUMMYFUNCTION("""COMPUTED_VALUE"""),"SPERANZA PIZZARIA")</f>
        <v>SPERANZA PIZZARIA</v>
      </c>
      <c r="L4831" s="32">
        <f>IFERROR(__xludf.DUMMYFUNCTION("""COMPUTED_VALUE"""),2.0)</f>
        <v>2</v>
      </c>
      <c r="M4831" s="4" t="str">
        <f>IFERROR(__xludf.DUMMYFUNCTION("""COMPUTED_VALUE"""),"null")</f>
        <v>null</v>
      </c>
      <c r="N4831" s="33">
        <f>IFERROR(__xludf.DUMMYFUNCTION("""COMPUTED_VALUE"""),0.5)</f>
        <v>0.5</v>
      </c>
      <c r="O4831" s="4" t="str">
        <f>IFERROR(__xludf.DUMMYFUNCTION("""COMPUTED_VALUE"""),"null")</f>
        <v>null</v>
      </c>
      <c r="P4831" s="33">
        <f>IFERROR(__xludf.DUMMYFUNCTION("""COMPUTED_VALUE"""),0.5)</f>
        <v>0.5</v>
      </c>
      <c r="Q4831" s="4" t="str">
        <f>IFERROR(__xludf.DUMMYFUNCTION("""COMPUTED_VALUE"""),"Instadelivery")</f>
        <v>Instadelivery</v>
      </c>
      <c r="R4831" s="33">
        <f>IFERROR(__xludf.DUMMYFUNCTION("""COMPUTED_VALUE"""),0.5)</f>
        <v>0.5</v>
      </c>
      <c r="S4831" s="4" t="str">
        <f>IFERROR(__xludf.DUMMYFUNCTION("""COMPUTED_VALUE"""),"Instadelivery")</f>
        <v>Instadelivery</v>
      </c>
      <c r="T4831" s="33">
        <f>IFERROR(__xludf.DUMMYFUNCTION("""COMPUTED_VALUE"""),0.5)</f>
        <v>0.5</v>
      </c>
      <c r="U4831" s="4" t="str">
        <f>IFERROR(__xludf.DUMMYFUNCTION("""COMPUTED_VALUE"""),"Instadelivery")</f>
        <v>Instadelivery</v>
      </c>
      <c r="V4831" s="33">
        <f>IFERROR(__xludf.DUMMYFUNCTION("""COMPUTED_VALUE"""),0.5)</f>
        <v>0.5</v>
      </c>
      <c r="W4831" s="4" t="str">
        <f>IFERROR(__xludf.DUMMYFUNCTION("""COMPUTED_VALUE"""),"Instadelivery")</f>
        <v>Instadelivery</v>
      </c>
      <c r="X4831" s="33">
        <f>IFERROR(__xludf.DUMMYFUNCTION("""COMPUTED_VALUE"""),0.5)</f>
        <v>0.5</v>
      </c>
    </row>
    <row r="4832">
      <c r="K4832" s="4" t="str">
        <f>IFERROR(__xludf.DUMMYFUNCTION("""COMPUTED_VALUE"""),"REI DO GREGO")</f>
        <v>REI DO GREGO</v>
      </c>
      <c r="L4832" s="32">
        <f>IFERROR(__xludf.DUMMYFUNCTION("""COMPUTED_VALUE"""),2.0)</f>
        <v>2</v>
      </c>
      <c r="M4832" s="4" t="str">
        <f>IFERROR(__xludf.DUMMYFUNCTION("""COMPUTED_VALUE"""),"null")</f>
        <v>null</v>
      </c>
      <c r="N4832" s="33">
        <f>IFERROR(__xludf.DUMMYFUNCTION("""COMPUTED_VALUE"""),0.5)</f>
        <v>0.5</v>
      </c>
      <c r="O4832" s="4" t="str">
        <f>IFERROR(__xludf.DUMMYFUNCTION("""COMPUTED_VALUE"""),"null")</f>
        <v>null</v>
      </c>
      <c r="P4832" s="33">
        <f>IFERROR(__xludf.DUMMYFUNCTION("""COMPUTED_VALUE"""),0.5)</f>
        <v>0.5</v>
      </c>
      <c r="Q4832" s="4" t="str">
        <f>IFERROR(__xludf.DUMMYFUNCTION("""COMPUTED_VALUE"""),"null")</f>
        <v>null</v>
      </c>
      <c r="R4832" s="33">
        <f>IFERROR(__xludf.DUMMYFUNCTION("""COMPUTED_VALUE"""),0.5)</f>
        <v>0.5</v>
      </c>
      <c r="S4832" s="4" t="str">
        <f>IFERROR(__xludf.DUMMYFUNCTION("""COMPUTED_VALUE"""),"null")</f>
        <v>null</v>
      </c>
      <c r="T4832" s="33">
        <f>IFERROR(__xludf.DUMMYFUNCTION("""COMPUTED_VALUE"""),0.5)</f>
        <v>0.5</v>
      </c>
      <c r="U4832" s="4" t="str">
        <f>IFERROR(__xludf.DUMMYFUNCTION("""COMPUTED_VALUE"""),"Saipos Serviços De Software")</f>
        <v>Saipos Serviços De Software</v>
      </c>
      <c r="V4832" s="33">
        <f>IFERROR(__xludf.DUMMYFUNCTION("""COMPUTED_VALUE"""),1.0)</f>
        <v>1</v>
      </c>
      <c r="W4832" s="4" t="str">
        <f>IFERROR(__xludf.DUMMYFUNCTION("""COMPUTED_VALUE"""),"Saipos Serviços De Software")</f>
        <v>Saipos Serviços De Software</v>
      </c>
      <c r="X4832" s="33">
        <f>IFERROR(__xludf.DUMMYFUNCTION("""COMPUTED_VALUE"""),1.0)</f>
        <v>1</v>
      </c>
    </row>
    <row r="4833">
      <c r="K4833" s="4" t="str">
        <f>IFERROR(__xludf.DUMMYFUNCTION("""COMPUTED_VALUE"""),"FENIIX BURGER")</f>
        <v>FENIIX BURGER</v>
      </c>
      <c r="L4833" s="32">
        <f>IFERROR(__xludf.DUMMYFUNCTION("""COMPUTED_VALUE"""),2.0)</f>
        <v>2</v>
      </c>
      <c r="M4833" s="4" t="str">
        <f>IFERROR(__xludf.DUMMYFUNCTION("""COMPUTED_VALUE"""),"Anota Ai Solucoes Digitais S/a")</f>
        <v>Anota Ai Solucoes Digitais S/a</v>
      </c>
      <c r="N4833" s="33">
        <f>IFERROR(__xludf.DUMMYFUNCTION("""COMPUTED_VALUE"""),1.0)</f>
        <v>1</v>
      </c>
      <c r="O4833" s="4" t="str">
        <f>IFERROR(__xludf.DUMMYFUNCTION("""COMPUTED_VALUE"""),"Anota Ai Solucoes Digitais S/a")</f>
        <v>Anota Ai Solucoes Digitais S/a</v>
      </c>
      <c r="P4833" s="33">
        <f>IFERROR(__xludf.DUMMYFUNCTION("""COMPUTED_VALUE"""),1.0)</f>
        <v>1</v>
      </c>
      <c r="Q4833" s="4" t="str">
        <f>IFERROR(__xludf.DUMMYFUNCTION("""COMPUTED_VALUE"""),"Anota Ai Solucoes Digitais S/a")</f>
        <v>Anota Ai Solucoes Digitais S/a</v>
      </c>
      <c r="R4833" s="33">
        <f>IFERROR(__xludf.DUMMYFUNCTION("""COMPUTED_VALUE"""),1.0)</f>
        <v>1</v>
      </c>
      <c r="S4833" s="4" t="str">
        <f>IFERROR(__xludf.DUMMYFUNCTION("""COMPUTED_VALUE"""),"Anota Ai Solucoes Digitais S/a")</f>
        <v>Anota Ai Solucoes Digitais S/a</v>
      </c>
      <c r="T4833" s="33">
        <f>IFERROR(__xludf.DUMMYFUNCTION("""COMPUTED_VALUE"""),1.0)</f>
        <v>1</v>
      </c>
      <c r="U4833" s="4" t="str">
        <f>IFERROR(__xludf.DUMMYFUNCTION("""COMPUTED_VALUE"""),"null")</f>
        <v>null</v>
      </c>
      <c r="V4833" s="33">
        <f>IFERROR(__xludf.DUMMYFUNCTION("""COMPUTED_VALUE"""),0.5)</f>
        <v>0.5</v>
      </c>
      <c r="W4833" s="4" t="str">
        <f>IFERROR(__xludf.DUMMYFUNCTION("""COMPUTED_VALUE"""),"Anota Ai Solucoes Digitais S/a")</f>
        <v>Anota Ai Solucoes Digitais S/a</v>
      </c>
      <c r="X4833" s="33">
        <f>IFERROR(__xludf.DUMMYFUNCTION("""COMPUTED_VALUE"""),1.0)</f>
        <v>1</v>
      </c>
    </row>
    <row r="4834">
      <c r="K4834" s="4" t="str">
        <f>IFERROR(__xludf.DUMMYFUNCTION("""COMPUTED_VALUE"""),"BRABO BURGUER")</f>
        <v>BRABO BURGUER</v>
      </c>
      <c r="L4834" s="32">
        <f>IFERROR(__xludf.DUMMYFUNCTION("""COMPUTED_VALUE"""),2.0)</f>
        <v>2</v>
      </c>
      <c r="M4834" s="4" t="str">
        <f>IFERROR(__xludf.DUMMYFUNCTION("""COMPUTED_VALUE"""),"null")</f>
        <v>null</v>
      </c>
      <c r="N4834" s="33">
        <f>IFERROR(__xludf.DUMMYFUNCTION("""COMPUTED_VALUE"""),0.5)</f>
        <v>0.5</v>
      </c>
      <c r="O4834" s="4" t="str">
        <f>IFERROR(__xludf.DUMMYFUNCTION("""COMPUTED_VALUE"""),"Eclética Tecnologia")</f>
        <v>Eclética Tecnologia</v>
      </c>
      <c r="P4834" s="33">
        <f>IFERROR(__xludf.DUMMYFUNCTION("""COMPUTED_VALUE"""),0.5)</f>
        <v>0.5</v>
      </c>
      <c r="Q4834" s="4" t="str">
        <f>IFERROR(__xludf.DUMMYFUNCTION("""COMPUTED_VALUE"""),"Eclética Tecnologia")</f>
        <v>Eclética Tecnologia</v>
      </c>
      <c r="R4834" s="33">
        <f>IFERROR(__xludf.DUMMYFUNCTION("""COMPUTED_VALUE"""),0.5)</f>
        <v>0.5</v>
      </c>
      <c r="S4834" s="4" t="str">
        <f>IFERROR(__xludf.DUMMYFUNCTION("""COMPUTED_VALUE"""),"null")</f>
        <v>null</v>
      </c>
      <c r="T4834" s="33">
        <f>IFERROR(__xludf.DUMMYFUNCTION("""COMPUTED_VALUE"""),1.0)</f>
        <v>1</v>
      </c>
      <c r="U4834" s="4" t="str">
        <f>IFERROR(__xludf.DUMMYFUNCTION("""COMPUTED_VALUE"""),"Eclética Tecnologia")</f>
        <v>Eclética Tecnologia</v>
      </c>
      <c r="V4834" s="33">
        <f>IFERROR(__xludf.DUMMYFUNCTION("""COMPUTED_VALUE"""),0.5)</f>
        <v>0.5</v>
      </c>
      <c r="W4834" s="4" t="str">
        <f>IFERROR(__xludf.DUMMYFUNCTION("""COMPUTED_VALUE"""),"Eclética Tecnologia")</f>
        <v>Eclética Tecnologia</v>
      </c>
      <c r="X4834" s="33">
        <f>IFERROR(__xludf.DUMMYFUNCTION("""COMPUTED_VALUE"""),0.5)</f>
        <v>0.5</v>
      </c>
    </row>
    <row r="4835">
      <c r="K4835" s="4" t="str">
        <f>IFERROR(__xludf.DUMMYFUNCTION("""COMPUTED_VALUE"""),"TRIFIT SALADAS TURBINADAS")</f>
        <v>TRIFIT SALADAS TURBINADAS</v>
      </c>
      <c r="L4835" s="32">
        <f>IFERROR(__xludf.DUMMYFUNCTION("""COMPUTED_VALUE"""),2.0)</f>
        <v>2</v>
      </c>
      <c r="M4835" s="4" t="str">
        <f>IFERROR(__xludf.DUMMYFUNCTION("""COMPUTED_VALUE"""),"null")</f>
        <v>null</v>
      </c>
      <c r="N4835" s="33">
        <f>IFERROR(__xludf.DUMMYFUNCTION("""COMPUTED_VALUE"""),0.5)</f>
        <v>0.5</v>
      </c>
      <c r="O4835" s="4" t="str">
        <f>IFERROR(__xludf.DUMMYFUNCTION("""COMPUTED_VALUE"""),"null")</f>
        <v>null</v>
      </c>
      <c r="P4835" s="33">
        <f>IFERROR(__xludf.DUMMYFUNCTION("""COMPUTED_VALUE"""),0.5)</f>
        <v>0.5</v>
      </c>
      <c r="Q4835" s="4" t="str">
        <f>IFERROR(__xludf.DUMMYFUNCTION("""COMPUTED_VALUE"""),"null")</f>
        <v>null</v>
      </c>
      <c r="R4835" s="33">
        <f>IFERROR(__xludf.DUMMYFUNCTION("""COMPUTED_VALUE"""),0.5)</f>
        <v>0.5</v>
      </c>
      <c r="S4835" s="4" t="str">
        <f>IFERROR(__xludf.DUMMYFUNCTION("""COMPUTED_VALUE"""),"null")</f>
        <v>null</v>
      </c>
      <c r="T4835" s="33">
        <f>IFERROR(__xludf.DUMMYFUNCTION("""COMPUTED_VALUE"""),0.5)</f>
        <v>0.5</v>
      </c>
      <c r="U4835" s="4" t="str">
        <f>IFERROR(__xludf.DUMMYFUNCTION("""COMPUTED_VALUE"""),"null")</f>
        <v>null</v>
      </c>
      <c r="V4835" s="33">
        <f>IFERROR(__xludf.DUMMYFUNCTION("""COMPUTED_VALUE"""),0.5)</f>
        <v>0.5</v>
      </c>
      <c r="W4835" s="4" t="str">
        <f>IFERROR(__xludf.DUMMYFUNCTION("""COMPUTED_VALUE"""),"Suitable Tecnologia E Gestao")</f>
        <v>Suitable Tecnologia E Gestao</v>
      </c>
      <c r="X4835" s="33">
        <f>IFERROR(__xludf.DUMMYFUNCTION("""COMPUTED_VALUE"""),1.0)</f>
        <v>1</v>
      </c>
    </row>
    <row r="4836">
      <c r="K4836" s="4" t="str">
        <f>IFERROR(__xludf.DUMMYFUNCTION("""COMPUTED_VALUE"""),"SENHOR PASTEL")</f>
        <v>SENHOR PASTEL</v>
      </c>
      <c r="L4836" s="32">
        <f>IFERROR(__xludf.DUMMYFUNCTION("""COMPUTED_VALUE"""),2.0)</f>
        <v>2</v>
      </c>
      <c r="M4836" s="4" t="str">
        <f>IFERROR(__xludf.DUMMYFUNCTION("""COMPUTED_VALUE"""),"null")</f>
        <v>null</v>
      </c>
      <c r="N4836" s="33">
        <f>IFERROR(__xludf.DUMMYFUNCTION("""COMPUTED_VALUE"""),0.5)</f>
        <v>0.5</v>
      </c>
      <c r="O4836" s="4" t="str">
        <f>IFERROR(__xludf.DUMMYFUNCTION("""COMPUTED_VALUE"""),"null")</f>
        <v>null</v>
      </c>
      <c r="P4836" s="33">
        <f>IFERROR(__xludf.DUMMYFUNCTION("""COMPUTED_VALUE"""),0.5)</f>
        <v>0.5</v>
      </c>
      <c r="Q4836" s="4" t="str">
        <f>IFERROR(__xludf.DUMMYFUNCTION("""COMPUTED_VALUE"""),"null")</f>
        <v>null</v>
      </c>
      <c r="R4836" s="33">
        <f>IFERROR(__xludf.DUMMYFUNCTION("""COMPUTED_VALUE"""),0.5)</f>
        <v>0.5</v>
      </c>
      <c r="S4836" s="4" t="str">
        <f>IFERROR(__xludf.DUMMYFUNCTION("""COMPUTED_VALUE"""),"null")</f>
        <v>null</v>
      </c>
      <c r="T4836" s="33">
        <f>IFERROR(__xludf.DUMMYFUNCTION("""COMPUTED_VALUE"""),0.5)</f>
        <v>0.5</v>
      </c>
      <c r="U4836" s="4" t="str">
        <f>IFERROR(__xludf.DUMMYFUNCTION("""COMPUTED_VALUE"""),"null")</f>
        <v>null</v>
      </c>
      <c r="V4836" s="33">
        <f>IFERROR(__xludf.DUMMYFUNCTION("""COMPUTED_VALUE"""),0.5)</f>
        <v>0.5</v>
      </c>
      <c r="W4836" s="4" t="str">
        <f>IFERROR(__xludf.DUMMYFUNCTION("""COMPUTED_VALUE"""),"Beefood - Sistema Para Restaurantes")</f>
        <v>Beefood - Sistema Para Restaurantes</v>
      </c>
      <c r="X4836" s="33">
        <f>IFERROR(__xludf.DUMMYFUNCTION("""COMPUTED_VALUE"""),1.0)</f>
        <v>1</v>
      </c>
    </row>
    <row r="4837">
      <c r="K4837" s="4" t="str">
        <f>IFERROR(__xludf.DUMMYFUNCTION("""COMPUTED_VALUE"""),"PIZZARIA CASA VELHA")</f>
        <v>PIZZARIA CASA VELHA</v>
      </c>
      <c r="L4837" s="32">
        <f>IFERROR(__xludf.DUMMYFUNCTION("""COMPUTED_VALUE"""),2.0)</f>
        <v>2</v>
      </c>
      <c r="M4837" s="4" t="str">
        <f>IFERROR(__xludf.DUMMYFUNCTION("""COMPUTED_VALUE"""),"Mp Multipedidos")</f>
        <v>Mp Multipedidos</v>
      </c>
      <c r="N4837" s="33">
        <f>IFERROR(__xludf.DUMMYFUNCTION("""COMPUTED_VALUE"""),0.5)</f>
        <v>0.5</v>
      </c>
      <c r="O4837" s="4" t="str">
        <f>IFERROR(__xludf.DUMMYFUNCTION("""COMPUTED_VALUE"""),"Mp Multipedidos")</f>
        <v>Mp Multipedidos</v>
      </c>
      <c r="P4837" s="33">
        <f>IFERROR(__xludf.DUMMYFUNCTION("""COMPUTED_VALUE"""),0.5)</f>
        <v>0.5</v>
      </c>
      <c r="Q4837" s="4" t="str">
        <f>IFERROR(__xludf.DUMMYFUNCTION("""COMPUTED_VALUE"""),"null")</f>
        <v>null</v>
      </c>
      <c r="R4837" s="33">
        <f>IFERROR(__xludf.DUMMYFUNCTION("""COMPUTED_VALUE"""),1.0)</f>
        <v>1</v>
      </c>
      <c r="S4837" s="4" t="str">
        <f>IFERROR(__xludf.DUMMYFUNCTION("""COMPUTED_VALUE"""),"Mp Multipedidos")</f>
        <v>Mp Multipedidos</v>
      </c>
      <c r="T4837" s="33">
        <f>IFERROR(__xludf.DUMMYFUNCTION("""COMPUTED_VALUE"""),0.5)</f>
        <v>0.5</v>
      </c>
      <c r="U4837" s="4" t="str">
        <f>IFERROR(__xludf.DUMMYFUNCTION("""COMPUTED_VALUE"""),"Mp Multipedidos")</f>
        <v>Mp Multipedidos</v>
      </c>
      <c r="V4837" s="33">
        <f>IFERROR(__xludf.DUMMYFUNCTION("""COMPUTED_VALUE"""),0.5)</f>
        <v>0.5</v>
      </c>
      <c r="W4837" s="4" t="str">
        <f>IFERROR(__xludf.DUMMYFUNCTION("""COMPUTED_VALUE"""),"null")</f>
        <v>null</v>
      </c>
      <c r="X4837" s="33">
        <f>IFERROR(__xludf.DUMMYFUNCTION("""COMPUTED_VALUE"""),0.5)</f>
        <v>0.5</v>
      </c>
    </row>
    <row r="4838">
      <c r="K4838" s="4" t="str">
        <f>IFERROR(__xludf.DUMMYFUNCTION("""COMPUTED_VALUE"""),"INSTINTO BURGER")</f>
        <v>INSTINTO BURGER</v>
      </c>
      <c r="L4838" s="32">
        <f>IFERROR(__xludf.DUMMYFUNCTION("""COMPUTED_VALUE"""),2.0)</f>
        <v>2</v>
      </c>
      <c r="M4838" s="4" t="str">
        <f>IFERROR(__xludf.DUMMYFUNCTION("""COMPUTED_VALUE"""),"Saipos Serviços De Software")</f>
        <v>Saipos Serviços De Software</v>
      </c>
      <c r="N4838" s="33">
        <f>IFERROR(__xludf.DUMMYFUNCTION("""COMPUTED_VALUE"""),1.0)</f>
        <v>1</v>
      </c>
      <c r="O4838" s="4" t="str">
        <f>IFERROR(__xludf.DUMMYFUNCTION("""COMPUTED_VALUE"""),"Saipos Serviços De Software")</f>
        <v>Saipos Serviços De Software</v>
      </c>
      <c r="P4838" s="33">
        <f>IFERROR(__xludf.DUMMYFUNCTION("""COMPUTED_VALUE"""),1.0)</f>
        <v>1</v>
      </c>
      <c r="Q4838" s="4" t="str">
        <f>IFERROR(__xludf.DUMMYFUNCTION("""COMPUTED_VALUE"""),"Saipos Serviços De Software")</f>
        <v>Saipos Serviços De Software</v>
      </c>
      <c r="R4838" s="33">
        <f>IFERROR(__xludf.DUMMYFUNCTION("""COMPUTED_VALUE"""),1.0)</f>
        <v>1</v>
      </c>
      <c r="S4838" s="4" t="str">
        <f>IFERROR(__xludf.DUMMYFUNCTION("""COMPUTED_VALUE"""),"Saipos Serviços De Software")</f>
        <v>Saipos Serviços De Software</v>
      </c>
      <c r="T4838" s="33">
        <f>IFERROR(__xludf.DUMMYFUNCTION("""COMPUTED_VALUE"""),1.0)</f>
        <v>1</v>
      </c>
      <c r="U4838" s="4" t="str">
        <f>IFERROR(__xludf.DUMMYFUNCTION("""COMPUTED_VALUE"""),"Saipos Serviços De Software")</f>
        <v>Saipos Serviços De Software</v>
      </c>
      <c r="V4838" s="33">
        <f>IFERROR(__xludf.DUMMYFUNCTION("""COMPUTED_VALUE"""),1.0)</f>
        <v>1</v>
      </c>
      <c r="W4838" s="4" t="str">
        <f>IFERROR(__xludf.DUMMYFUNCTION("""COMPUTED_VALUE"""),"Saipos Serviços De Software")</f>
        <v>Saipos Serviços De Software</v>
      </c>
      <c r="X4838" s="33">
        <f>IFERROR(__xludf.DUMMYFUNCTION("""COMPUTED_VALUE"""),1.0)</f>
        <v>1</v>
      </c>
    </row>
    <row r="4839">
      <c r="K4839" s="4" t="str">
        <f>IFERROR(__xludf.DUMMYFUNCTION("""COMPUTED_VALUE"""),"ACAI E SORVETE - DOCE GELADO")</f>
        <v>ACAI E SORVETE - DOCE GELADO</v>
      </c>
      <c r="L4839" s="32">
        <f>IFERROR(__xludf.DUMMYFUNCTION("""COMPUTED_VALUE"""),2.0)</f>
        <v>2</v>
      </c>
      <c r="M4839" s="4" t="str">
        <f>IFERROR(__xludf.DUMMYFUNCTION("""COMPUTED_VALUE"""),"Yooga")</f>
        <v>Yooga</v>
      </c>
      <c r="N4839" s="33">
        <f>IFERROR(__xludf.DUMMYFUNCTION("""COMPUTED_VALUE"""),0.5)</f>
        <v>0.5</v>
      </c>
      <c r="O4839" s="4" t="str">
        <f>IFERROR(__xludf.DUMMYFUNCTION("""COMPUTED_VALUE"""),"Yooga")</f>
        <v>Yooga</v>
      </c>
      <c r="P4839" s="33">
        <f>IFERROR(__xludf.DUMMYFUNCTION("""COMPUTED_VALUE"""),0.5)</f>
        <v>0.5</v>
      </c>
      <c r="Q4839" s="4" t="str">
        <f>IFERROR(__xludf.DUMMYFUNCTION("""COMPUTED_VALUE"""),"Yooga")</f>
        <v>Yooga</v>
      </c>
      <c r="R4839" s="33">
        <f>IFERROR(__xludf.DUMMYFUNCTION("""COMPUTED_VALUE"""),0.5)</f>
        <v>0.5</v>
      </c>
      <c r="S4839" s="4" t="str">
        <f>IFERROR(__xludf.DUMMYFUNCTION("""COMPUTED_VALUE"""),"Yooga")</f>
        <v>Yooga</v>
      </c>
      <c r="T4839" s="33">
        <f>IFERROR(__xludf.DUMMYFUNCTION("""COMPUTED_VALUE"""),0.5)</f>
        <v>0.5</v>
      </c>
      <c r="U4839" s="4" t="str">
        <f>IFERROR(__xludf.DUMMYFUNCTION("""COMPUTED_VALUE"""),"null")</f>
        <v>null</v>
      </c>
      <c r="V4839" s="33">
        <f>IFERROR(__xludf.DUMMYFUNCTION("""COMPUTED_VALUE"""),1.0)</f>
        <v>1</v>
      </c>
      <c r="W4839" s="4" t="str">
        <f>IFERROR(__xludf.DUMMYFUNCTION("""COMPUTED_VALUE"""),"null")</f>
        <v>null</v>
      </c>
      <c r="X4839" s="33">
        <f>IFERROR(__xludf.DUMMYFUNCTION("""COMPUTED_VALUE"""),1.0)</f>
        <v>1</v>
      </c>
    </row>
    <row r="4840">
      <c r="K4840" s="4" t="str">
        <f>IFERROR(__xludf.DUMMYFUNCTION("""COMPUTED_VALUE"""),"TOL BURGER HAMBURGUERIA")</f>
        <v>TOL BURGER HAMBURGUERIA</v>
      </c>
      <c r="L4840" s="32">
        <f>IFERROR(__xludf.DUMMYFUNCTION("""COMPUTED_VALUE"""),2.0)</f>
        <v>2</v>
      </c>
      <c r="M4840" s="4" t="str">
        <f>IFERROR(__xludf.DUMMYFUNCTION("""COMPUTED_VALUE"""),"Saipos Serviços De Software")</f>
        <v>Saipos Serviços De Software</v>
      </c>
      <c r="N4840" s="33">
        <f>IFERROR(__xludf.DUMMYFUNCTION("""COMPUTED_VALUE"""),1.0)</f>
        <v>1</v>
      </c>
      <c r="O4840" s="4" t="str">
        <f>IFERROR(__xludf.DUMMYFUNCTION("""COMPUTED_VALUE"""),"Saipos Serviços De Software")</f>
        <v>Saipos Serviços De Software</v>
      </c>
      <c r="P4840" s="33">
        <f>IFERROR(__xludf.DUMMYFUNCTION("""COMPUTED_VALUE"""),1.0)</f>
        <v>1</v>
      </c>
      <c r="Q4840" s="4" t="str">
        <f>IFERROR(__xludf.DUMMYFUNCTION("""COMPUTED_VALUE"""),"Saipos Serviços De Software")</f>
        <v>Saipos Serviços De Software</v>
      </c>
      <c r="R4840" s="33">
        <f>IFERROR(__xludf.DUMMYFUNCTION("""COMPUTED_VALUE"""),1.0)</f>
        <v>1</v>
      </c>
      <c r="S4840" s="4" t="str">
        <f>IFERROR(__xludf.DUMMYFUNCTION("""COMPUTED_VALUE"""),"Saipos Serviços De Software")</f>
        <v>Saipos Serviços De Software</v>
      </c>
      <c r="T4840" s="33">
        <f>IFERROR(__xludf.DUMMYFUNCTION("""COMPUTED_VALUE"""),1.0)</f>
        <v>1</v>
      </c>
      <c r="U4840" s="4" t="str">
        <f>IFERROR(__xludf.DUMMYFUNCTION("""COMPUTED_VALUE"""),"Saipos Serviços De Software")</f>
        <v>Saipos Serviços De Software</v>
      </c>
      <c r="V4840" s="33">
        <f>IFERROR(__xludf.DUMMYFUNCTION("""COMPUTED_VALUE"""),1.0)</f>
        <v>1</v>
      </c>
      <c r="W4840" s="4" t="str">
        <f>IFERROR(__xludf.DUMMYFUNCTION("""COMPUTED_VALUE"""),"Saipos Serviços De Software")</f>
        <v>Saipos Serviços De Software</v>
      </c>
      <c r="X4840" s="33">
        <f>IFERROR(__xludf.DUMMYFUNCTION("""COMPUTED_VALUE"""),1.0)</f>
        <v>1</v>
      </c>
    </row>
    <row r="4841">
      <c r="K4841" s="4" t="str">
        <f>IFERROR(__xludf.DUMMYFUNCTION("""COMPUTED_VALUE"""),"RIO ACAI GOURMET O ACAI DO CARIOCA")</f>
        <v>RIO ACAI GOURMET O ACAI DO CARIOCA</v>
      </c>
      <c r="L4841" s="32">
        <f>IFERROR(__xludf.DUMMYFUNCTION("""COMPUTED_VALUE"""),2.0)</f>
        <v>2</v>
      </c>
      <c r="M4841" s="4" t="str">
        <f>IFERROR(__xludf.DUMMYFUNCTION("""COMPUTED_VALUE"""),"Saipos Serviços De Software")</f>
        <v>Saipos Serviços De Software</v>
      </c>
      <c r="N4841" s="33">
        <f>IFERROR(__xludf.DUMMYFUNCTION("""COMPUTED_VALUE"""),1.0)</f>
        <v>1</v>
      </c>
      <c r="O4841" s="4" t="str">
        <f>IFERROR(__xludf.DUMMYFUNCTION("""COMPUTED_VALUE"""),"Saipos Serviços De Software")</f>
        <v>Saipos Serviços De Software</v>
      </c>
      <c r="P4841" s="33">
        <f>IFERROR(__xludf.DUMMYFUNCTION("""COMPUTED_VALUE"""),1.0)</f>
        <v>1</v>
      </c>
      <c r="Q4841" s="4" t="str">
        <f>IFERROR(__xludf.DUMMYFUNCTION("""COMPUTED_VALUE"""),"Saipos Serviços De Software")</f>
        <v>Saipos Serviços De Software</v>
      </c>
      <c r="R4841" s="33">
        <f>IFERROR(__xludf.DUMMYFUNCTION("""COMPUTED_VALUE"""),1.0)</f>
        <v>1</v>
      </c>
      <c r="S4841" s="4" t="str">
        <f>IFERROR(__xludf.DUMMYFUNCTION("""COMPUTED_VALUE"""),"Saipos Serviços De Software")</f>
        <v>Saipos Serviços De Software</v>
      </c>
      <c r="T4841" s="33">
        <f>IFERROR(__xludf.DUMMYFUNCTION("""COMPUTED_VALUE"""),0.5)</f>
        <v>0.5</v>
      </c>
      <c r="U4841" s="4" t="str">
        <f>IFERROR(__xludf.DUMMYFUNCTION("""COMPUTED_VALUE"""),"Suitable Tecnologia E Gestao")</f>
        <v>Suitable Tecnologia E Gestao</v>
      </c>
      <c r="V4841" s="33">
        <f>IFERROR(__xludf.DUMMYFUNCTION("""COMPUTED_VALUE"""),1.0)</f>
        <v>1</v>
      </c>
      <c r="W4841" s="4" t="str">
        <f>IFERROR(__xludf.DUMMYFUNCTION("""COMPUTED_VALUE"""),"Suitable Tecnologia E Gestao")</f>
        <v>Suitable Tecnologia E Gestao</v>
      </c>
      <c r="X4841" s="33">
        <f>IFERROR(__xludf.DUMMYFUNCTION("""COMPUTED_VALUE"""),1.0)</f>
        <v>1</v>
      </c>
    </row>
    <row r="4842">
      <c r="K4842" s="4" t="str">
        <f>IFERROR(__xludf.DUMMYFUNCTION("""COMPUTED_VALUE"""),"BANGALO BATATARIA")</f>
        <v>BANGALO BATATARIA</v>
      </c>
      <c r="L4842" s="32">
        <f>IFERROR(__xludf.DUMMYFUNCTION("""COMPUTED_VALUE"""),2.0)</f>
        <v>2</v>
      </c>
      <c r="M4842" s="4" t="str">
        <f>IFERROR(__xludf.DUMMYFUNCTION("""COMPUTED_VALUE"""),"Syntax Tecnologia")</f>
        <v>Syntax Tecnologia</v>
      </c>
      <c r="N4842" s="33">
        <f>IFERROR(__xludf.DUMMYFUNCTION("""COMPUTED_VALUE"""),0.5)</f>
        <v>0.5</v>
      </c>
      <c r="O4842" s="4" t="str">
        <f>IFERROR(__xludf.DUMMYFUNCTION("""COMPUTED_VALUE"""),"Syntax Tecnologia")</f>
        <v>Syntax Tecnologia</v>
      </c>
      <c r="P4842" s="33">
        <f>IFERROR(__xludf.DUMMYFUNCTION("""COMPUTED_VALUE"""),0.5)</f>
        <v>0.5</v>
      </c>
      <c r="Q4842" s="4" t="str">
        <f>IFERROR(__xludf.DUMMYFUNCTION("""COMPUTED_VALUE"""),"Syntax Tecnologia")</f>
        <v>Syntax Tecnologia</v>
      </c>
      <c r="R4842" s="33">
        <f>IFERROR(__xludf.DUMMYFUNCTION("""COMPUTED_VALUE"""),1.0)</f>
        <v>1</v>
      </c>
      <c r="S4842" s="4" t="str">
        <f>IFERROR(__xludf.DUMMYFUNCTION("""COMPUTED_VALUE"""),"null")</f>
        <v>null</v>
      </c>
      <c r="T4842" s="33">
        <f>IFERROR(__xludf.DUMMYFUNCTION("""COMPUTED_VALUE"""),0.5)</f>
        <v>0.5</v>
      </c>
      <c r="U4842" s="4" t="str">
        <f>IFERROR(__xludf.DUMMYFUNCTION("""COMPUTED_VALUE"""),"null")</f>
        <v>null</v>
      </c>
      <c r="V4842" s="33">
        <f>IFERROR(__xludf.DUMMYFUNCTION("""COMPUTED_VALUE"""),0.5)</f>
        <v>0.5</v>
      </c>
      <c r="W4842" s="4" t="str">
        <f>IFERROR(__xludf.DUMMYFUNCTION("""COMPUTED_VALUE"""),"null")</f>
        <v>null</v>
      </c>
      <c r="X4842" s="33">
        <f>IFERROR(__xludf.DUMMYFUNCTION("""COMPUTED_VALUE"""),0.5)</f>
        <v>0.5</v>
      </c>
    </row>
    <row r="4843">
      <c r="K4843" s="4" t="str">
        <f>IFERROR(__xludf.DUMMYFUNCTION("""COMPUTED_VALUE"""),"DOG BURGUER - HAMBURGUER ARTESANAL, HOT DOG E MACARRAO")</f>
        <v>DOG BURGUER - HAMBURGUER ARTESANAL, HOT DOG E MACARRAO</v>
      </c>
      <c r="L4843" s="32">
        <f>IFERROR(__xludf.DUMMYFUNCTION("""COMPUTED_VALUE"""),2.0)</f>
        <v>2</v>
      </c>
      <c r="M4843" s="4" t="str">
        <f>IFERROR(__xludf.DUMMYFUNCTION("""COMPUTED_VALUE"""),"Anota Ai Solucoes Digitais S/a")</f>
        <v>Anota Ai Solucoes Digitais S/a</v>
      </c>
      <c r="N4843" s="33">
        <f>IFERROR(__xludf.DUMMYFUNCTION("""COMPUTED_VALUE"""),1.0)</f>
        <v>1</v>
      </c>
      <c r="O4843" s="4" t="str">
        <f>IFERROR(__xludf.DUMMYFUNCTION("""COMPUTED_VALUE"""),"Anota Ai Solucoes Digitais S/a")</f>
        <v>Anota Ai Solucoes Digitais S/a</v>
      </c>
      <c r="P4843" s="33">
        <f>IFERROR(__xludf.DUMMYFUNCTION("""COMPUTED_VALUE"""),1.0)</f>
        <v>1</v>
      </c>
      <c r="Q4843" s="4" t="str">
        <f>IFERROR(__xludf.DUMMYFUNCTION("""COMPUTED_VALUE"""),"Anota Ai Solucoes Digitais S/a")</f>
        <v>Anota Ai Solucoes Digitais S/a</v>
      </c>
      <c r="R4843" s="33">
        <f>IFERROR(__xludf.DUMMYFUNCTION("""COMPUTED_VALUE"""),1.0)</f>
        <v>1</v>
      </c>
      <c r="S4843" s="4" t="str">
        <f>IFERROR(__xludf.DUMMYFUNCTION("""COMPUTED_VALUE"""),"Anota Ai Solucoes Digitais S/a")</f>
        <v>Anota Ai Solucoes Digitais S/a</v>
      </c>
      <c r="T4843" s="33">
        <f>IFERROR(__xludf.DUMMYFUNCTION("""COMPUTED_VALUE"""),1.0)</f>
        <v>1</v>
      </c>
      <c r="U4843" s="4" t="str">
        <f>IFERROR(__xludf.DUMMYFUNCTION("""COMPUTED_VALUE"""),"Anota Ai Solucoes Digitais S/a")</f>
        <v>Anota Ai Solucoes Digitais S/a</v>
      </c>
      <c r="V4843" s="33">
        <f>IFERROR(__xludf.DUMMYFUNCTION("""COMPUTED_VALUE"""),1.0)</f>
        <v>1</v>
      </c>
      <c r="W4843" s="4" t="str">
        <f>IFERROR(__xludf.DUMMYFUNCTION("""COMPUTED_VALUE"""),"Anota Ai Solucoes Digitais S/a")</f>
        <v>Anota Ai Solucoes Digitais S/a</v>
      </c>
      <c r="X4843" s="33">
        <f>IFERROR(__xludf.DUMMYFUNCTION("""COMPUTED_VALUE"""),1.0)</f>
        <v>1</v>
      </c>
    </row>
    <row r="4844">
      <c r="K4844" s="4" t="str">
        <f>IFERROR(__xludf.DUMMYFUNCTION("""COMPUTED_VALUE"""),"DEU FOME SANDUICHERIA")</f>
        <v>DEU FOME SANDUICHERIA</v>
      </c>
      <c r="L4844" s="32">
        <f>IFERROR(__xludf.DUMMYFUNCTION("""COMPUTED_VALUE"""),2.0)</f>
        <v>2</v>
      </c>
      <c r="M4844" s="4" t="str">
        <f>IFERROR(__xludf.DUMMYFUNCTION("""COMPUTED_VALUE"""),"Vuca Solution")</f>
        <v>Vuca Solution</v>
      </c>
      <c r="N4844" s="33">
        <f>IFERROR(__xludf.DUMMYFUNCTION("""COMPUTED_VALUE"""),1.0)</f>
        <v>1</v>
      </c>
      <c r="O4844" s="4" t="str">
        <f>IFERROR(__xludf.DUMMYFUNCTION("""COMPUTED_VALUE"""),"Vuca Solution")</f>
        <v>Vuca Solution</v>
      </c>
      <c r="P4844" s="33">
        <f>IFERROR(__xludf.DUMMYFUNCTION("""COMPUTED_VALUE"""),1.0)</f>
        <v>1</v>
      </c>
      <c r="Q4844" s="4" t="str">
        <f>IFERROR(__xludf.DUMMYFUNCTION("""COMPUTED_VALUE"""),"Vuca Solution")</f>
        <v>Vuca Solution</v>
      </c>
      <c r="R4844" s="33">
        <f>IFERROR(__xludf.DUMMYFUNCTION("""COMPUTED_VALUE"""),1.0)</f>
        <v>1</v>
      </c>
      <c r="S4844" s="4" t="str">
        <f>IFERROR(__xludf.DUMMYFUNCTION("""COMPUTED_VALUE"""),"Vuca Solution")</f>
        <v>Vuca Solution</v>
      </c>
      <c r="T4844" s="33">
        <f>IFERROR(__xludf.DUMMYFUNCTION("""COMPUTED_VALUE"""),1.0)</f>
        <v>1</v>
      </c>
      <c r="U4844" s="4" t="str">
        <f>IFERROR(__xludf.DUMMYFUNCTION("""COMPUTED_VALUE"""),"Vuca Solution")</f>
        <v>Vuca Solution</v>
      </c>
      <c r="V4844" s="33">
        <f>IFERROR(__xludf.DUMMYFUNCTION("""COMPUTED_VALUE"""),1.0)</f>
        <v>1</v>
      </c>
      <c r="W4844" s="4" t="str">
        <f>IFERROR(__xludf.DUMMYFUNCTION("""COMPUTED_VALUE"""),"Vuca Solution")</f>
        <v>Vuca Solution</v>
      </c>
      <c r="X4844" s="33">
        <f>IFERROR(__xludf.DUMMYFUNCTION("""COMPUTED_VALUE"""),1.0)</f>
        <v>1</v>
      </c>
    </row>
    <row r="4845">
      <c r="K4845" s="4" t="str">
        <f>IFERROR(__xludf.DUMMYFUNCTION("""COMPUTED_VALUE"""),"IMPERIO LANCHES")</f>
        <v>IMPERIO LANCHES</v>
      </c>
      <c r="L4845" s="32">
        <f>IFERROR(__xludf.DUMMYFUNCTION("""COMPUTED_VALUE"""),2.0)</f>
        <v>2</v>
      </c>
      <c r="M4845" s="4" t="str">
        <f>IFERROR(__xludf.DUMMYFUNCTION("""COMPUTED_VALUE"""),"Saipos Serviços De Software")</f>
        <v>Saipos Serviços De Software</v>
      </c>
      <c r="N4845" s="33">
        <f>IFERROR(__xludf.DUMMYFUNCTION("""COMPUTED_VALUE"""),0.5)</f>
        <v>0.5</v>
      </c>
      <c r="O4845" s="4" t="str">
        <f>IFERROR(__xludf.DUMMYFUNCTION("""COMPUTED_VALUE"""),"Saipos Serviços De Software")</f>
        <v>Saipos Serviços De Software</v>
      </c>
      <c r="P4845" s="33">
        <f>IFERROR(__xludf.DUMMYFUNCTION("""COMPUTED_VALUE"""),0.5)</f>
        <v>0.5</v>
      </c>
      <c r="Q4845" s="4" t="str">
        <f>IFERROR(__xludf.DUMMYFUNCTION("""COMPUTED_VALUE"""),"Saipos Serviços De Software")</f>
        <v>Saipos Serviços De Software</v>
      </c>
      <c r="R4845" s="33">
        <f>IFERROR(__xludf.DUMMYFUNCTION("""COMPUTED_VALUE"""),0.5)</f>
        <v>0.5</v>
      </c>
      <c r="S4845" s="4" t="str">
        <f>IFERROR(__xludf.DUMMYFUNCTION("""COMPUTED_VALUE"""),"Saipos Serviços De Software")</f>
        <v>Saipos Serviços De Software</v>
      </c>
      <c r="T4845" s="33">
        <f>IFERROR(__xludf.DUMMYFUNCTION("""COMPUTED_VALUE"""),0.5)</f>
        <v>0.5</v>
      </c>
      <c r="U4845" s="4" t="str">
        <f>IFERROR(__xludf.DUMMYFUNCTION("""COMPUTED_VALUE"""),"Saipos Serviços De Software")</f>
        <v>Saipos Serviços De Software</v>
      </c>
      <c r="V4845" s="33">
        <f>IFERROR(__xludf.DUMMYFUNCTION("""COMPUTED_VALUE"""),0.5)</f>
        <v>0.5</v>
      </c>
      <c r="W4845" s="4" t="str">
        <f>IFERROR(__xludf.DUMMYFUNCTION("""COMPUTED_VALUE"""),"Saipos Serviços De Software")</f>
        <v>Saipos Serviços De Software</v>
      </c>
      <c r="X4845" s="33">
        <f>IFERROR(__xludf.DUMMYFUNCTION("""COMPUTED_VALUE"""),0.5)</f>
        <v>0.5</v>
      </c>
    </row>
    <row r="4846">
      <c r="K4846" s="4" t="str">
        <f>IFERROR(__xludf.DUMMYFUNCTION("""COMPUTED_VALUE"""),"RESTAURANTE SANTA FE")</f>
        <v>RESTAURANTE SANTA FE</v>
      </c>
      <c r="L4846" s="32">
        <f>IFERROR(__xludf.DUMMYFUNCTION("""COMPUTED_VALUE"""),2.0)</f>
        <v>2</v>
      </c>
      <c r="M4846" s="4" t="str">
        <f>IFERROR(__xludf.DUMMYFUNCTION("""COMPUTED_VALUE"""),"Cardápio Web")</f>
        <v>Cardápio Web</v>
      </c>
      <c r="N4846" s="33">
        <f>IFERROR(__xludf.DUMMYFUNCTION("""COMPUTED_VALUE"""),0.5)</f>
        <v>0.5</v>
      </c>
      <c r="O4846" s="4" t="str">
        <f>IFERROR(__xludf.DUMMYFUNCTION("""COMPUTED_VALUE"""),"Cardápio Web")</f>
        <v>Cardápio Web</v>
      </c>
      <c r="P4846" s="33">
        <f>IFERROR(__xludf.DUMMYFUNCTION("""COMPUTED_VALUE"""),0.5)</f>
        <v>0.5</v>
      </c>
      <c r="Q4846" s="4" t="str">
        <f>IFERROR(__xludf.DUMMYFUNCTION("""COMPUTED_VALUE"""),"Cardápio Web")</f>
        <v>Cardápio Web</v>
      </c>
      <c r="R4846" s="33">
        <f>IFERROR(__xludf.DUMMYFUNCTION("""COMPUTED_VALUE"""),0.5)</f>
        <v>0.5</v>
      </c>
      <c r="S4846" s="4" t="str">
        <f>IFERROR(__xludf.DUMMYFUNCTION("""COMPUTED_VALUE"""),"Cardápio Web")</f>
        <v>Cardápio Web</v>
      </c>
      <c r="T4846" s="33">
        <f>IFERROR(__xludf.DUMMYFUNCTION("""COMPUTED_VALUE"""),0.5)</f>
        <v>0.5</v>
      </c>
      <c r="U4846" s="4" t="str">
        <f>IFERROR(__xludf.DUMMYFUNCTION("""COMPUTED_VALUE"""),"Cardápio Web")</f>
        <v>Cardápio Web</v>
      </c>
      <c r="V4846" s="33">
        <f>IFERROR(__xludf.DUMMYFUNCTION("""COMPUTED_VALUE"""),0.5)</f>
        <v>0.5</v>
      </c>
      <c r="W4846" s="4" t="str">
        <f>IFERROR(__xludf.DUMMYFUNCTION("""COMPUTED_VALUE"""),"Cardápio Web")</f>
        <v>Cardápio Web</v>
      </c>
      <c r="X4846" s="33">
        <f>IFERROR(__xludf.DUMMYFUNCTION("""COMPUTED_VALUE"""),0.5)</f>
        <v>0.5</v>
      </c>
    </row>
    <row r="4847">
      <c r="K4847" s="4" t="str">
        <f>IFERROR(__xludf.DUMMYFUNCTION("""COMPUTED_VALUE"""),"MEGA PIZZA LANCHES")</f>
        <v>MEGA PIZZA LANCHES</v>
      </c>
      <c r="L4847" s="32">
        <f>IFERROR(__xludf.DUMMYFUNCTION("""COMPUTED_VALUE"""),2.0)</f>
        <v>2</v>
      </c>
      <c r="M4847" s="4" t="str">
        <f>IFERROR(__xludf.DUMMYFUNCTION("""COMPUTED_VALUE"""),"Mp Multipedidos")</f>
        <v>Mp Multipedidos</v>
      </c>
      <c r="N4847" s="33">
        <f>IFERROR(__xludf.DUMMYFUNCTION("""COMPUTED_VALUE"""),0.5)</f>
        <v>0.5</v>
      </c>
      <c r="O4847" s="4" t="str">
        <f>IFERROR(__xludf.DUMMYFUNCTION("""COMPUTED_VALUE"""),"Mp Multipedidos")</f>
        <v>Mp Multipedidos</v>
      </c>
      <c r="P4847" s="33">
        <f>IFERROR(__xludf.DUMMYFUNCTION("""COMPUTED_VALUE"""),0.5)</f>
        <v>0.5</v>
      </c>
      <c r="Q4847" s="4" t="str">
        <f>IFERROR(__xludf.DUMMYFUNCTION("""COMPUTED_VALUE"""),"Mp Multipedidos")</f>
        <v>Mp Multipedidos</v>
      </c>
      <c r="R4847" s="33">
        <f>IFERROR(__xludf.DUMMYFUNCTION("""COMPUTED_VALUE"""),0.5)</f>
        <v>0.5</v>
      </c>
      <c r="S4847" s="4" t="str">
        <f>IFERROR(__xludf.DUMMYFUNCTION("""COMPUTED_VALUE"""),"Mp Multipedidos")</f>
        <v>Mp Multipedidos</v>
      </c>
      <c r="T4847" s="33">
        <f>IFERROR(__xludf.DUMMYFUNCTION("""COMPUTED_VALUE"""),0.5)</f>
        <v>0.5</v>
      </c>
      <c r="U4847" s="4" t="str">
        <f>IFERROR(__xludf.DUMMYFUNCTION("""COMPUTED_VALUE"""),"Mp Multipedidos")</f>
        <v>Mp Multipedidos</v>
      </c>
      <c r="V4847" s="33">
        <f>IFERROR(__xludf.DUMMYFUNCTION("""COMPUTED_VALUE"""),0.5)</f>
        <v>0.5</v>
      </c>
      <c r="W4847" s="4" t="str">
        <f>IFERROR(__xludf.DUMMYFUNCTION("""COMPUTED_VALUE"""),"Mp Multipedidos")</f>
        <v>Mp Multipedidos</v>
      </c>
      <c r="X4847" s="33">
        <f>IFERROR(__xludf.DUMMYFUNCTION("""COMPUTED_VALUE"""),1.0)</f>
        <v>1</v>
      </c>
    </row>
    <row r="4848">
      <c r="K4848" s="4" t="str">
        <f>IFERROR(__xludf.DUMMYFUNCTION("""COMPUTED_VALUE"""),"HEROIS EM MASSA - PIZZAS")</f>
        <v>HEROIS EM MASSA - PIZZAS</v>
      </c>
      <c r="L4848" s="32">
        <f>IFERROR(__xludf.DUMMYFUNCTION("""COMPUTED_VALUE"""),2.0)</f>
        <v>2</v>
      </c>
      <c r="M4848" s="4" t="str">
        <f>IFERROR(__xludf.DUMMYFUNCTION("""COMPUTED_VALUE"""),"Cardápio Web")</f>
        <v>Cardápio Web</v>
      </c>
      <c r="N4848" s="33">
        <f>IFERROR(__xludf.DUMMYFUNCTION("""COMPUTED_VALUE"""),1.0)</f>
        <v>1</v>
      </c>
      <c r="O4848" s="4" t="str">
        <f>IFERROR(__xludf.DUMMYFUNCTION("""COMPUTED_VALUE"""),"Cardápio Web")</f>
        <v>Cardápio Web</v>
      </c>
      <c r="P4848" s="33">
        <f>IFERROR(__xludf.DUMMYFUNCTION("""COMPUTED_VALUE"""),0.5)</f>
        <v>0.5</v>
      </c>
      <c r="Q4848" s="4" t="str">
        <f>IFERROR(__xludf.DUMMYFUNCTION("""COMPUTED_VALUE"""),"Cardápio Web")</f>
        <v>Cardápio Web</v>
      </c>
      <c r="R4848" s="33">
        <f>IFERROR(__xludf.DUMMYFUNCTION("""COMPUTED_VALUE"""),0.5)</f>
        <v>0.5</v>
      </c>
      <c r="S4848" s="4" t="str">
        <f>IFERROR(__xludf.DUMMYFUNCTION("""COMPUTED_VALUE"""),"Cardápio Web")</f>
        <v>Cardápio Web</v>
      </c>
      <c r="T4848" s="33">
        <f>IFERROR(__xludf.DUMMYFUNCTION("""COMPUTED_VALUE"""),0.5)</f>
        <v>0.5</v>
      </c>
      <c r="U4848" s="4" t="str">
        <f>IFERROR(__xludf.DUMMYFUNCTION("""COMPUTED_VALUE"""),"Cardápio Web")</f>
        <v>Cardápio Web</v>
      </c>
      <c r="V4848" s="33">
        <f>IFERROR(__xludf.DUMMYFUNCTION("""COMPUTED_VALUE"""),0.5)</f>
        <v>0.5</v>
      </c>
      <c r="W4848" s="4" t="str">
        <f>IFERROR(__xludf.DUMMYFUNCTION("""COMPUTED_VALUE"""),"Cardápio Web")</f>
        <v>Cardápio Web</v>
      </c>
      <c r="X4848" s="33">
        <f>IFERROR(__xludf.DUMMYFUNCTION("""COMPUTED_VALUE"""),0.5)</f>
        <v>0.5</v>
      </c>
    </row>
    <row r="4849">
      <c r="K4849" s="4" t="str">
        <f>IFERROR(__xludf.DUMMYFUNCTION("""COMPUTED_VALUE"""),"SAULIN LANCHES")</f>
        <v>SAULIN LANCHES</v>
      </c>
      <c r="L4849" s="32">
        <f>IFERROR(__xludf.DUMMYFUNCTION("""COMPUTED_VALUE"""),2.0)</f>
        <v>2</v>
      </c>
      <c r="M4849" s="4" t="str">
        <f>IFERROR(__xludf.DUMMYFUNCTION("""COMPUTED_VALUE"""),"Saipos Serviços De Software")</f>
        <v>Saipos Serviços De Software</v>
      </c>
      <c r="N4849" s="33">
        <f>IFERROR(__xludf.DUMMYFUNCTION("""COMPUTED_VALUE"""),1.0)</f>
        <v>1</v>
      </c>
      <c r="O4849" s="4" t="str">
        <f>IFERROR(__xludf.DUMMYFUNCTION("""COMPUTED_VALUE"""),"Saipos Serviços De Software")</f>
        <v>Saipos Serviços De Software</v>
      </c>
      <c r="P4849" s="33">
        <f>IFERROR(__xludf.DUMMYFUNCTION("""COMPUTED_VALUE"""),1.0)</f>
        <v>1</v>
      </c>
      <c r="Q4849" s="4" t="str">
        <f>IFERROR(__xludf.DUMMYFUNCTION("""COMPUTED_VALUE"""),"Saipos Serviços De Software")</f>
        <v>Saipos Serviços De Software</v>
      </c>
      <c r="R4849" s="33">
        <f>IFERROR(__xludf.DUMMYFUNCTION("""COMPUTED_VALUE"""),1.0)</f>
        <v>1</v>
      </c>
      <c r="S4849" s="4" t="str">
        <f>IFERROR(__xludf.DUMMYFUNCTION("""COMPUTED_VALUE"""),"Saipos Serviços De Software")</f>
        <v>Saipos Serviços De Software</v>
      </c>
      <c r="T4849" s="33">
        <f>IFERROR(__xludf.DUMMYFUNCTION("""COMPUTED_VALUE"""),1.0)</f>
        <v>1</v>
      </c>
      <c r="U4849" s="4" t="str">
        <f>IFERROR(__xludf.DUMMYFUNCTION("""COMPUTED_VALUE"""),"Saipos Serviços De Software")</f>
        <v>Saipos Serviços De Software</v>
      </c>
      <c r="V4849" s="33">
        <f>IFERROR(__xludf.DUMMYFUNCTION("""COMPUTED_VALUE"""),1.0)</f>
        <v>1</v>
      </c>
      <c r="W4849" s="4" t="str">
        <f>IFERROR(__xludf.DUMMYFUNCTION("""COMPUTED_VALUE"""),"Saipos Serviços De Software")</f>
        <v>Saipos Serviços De Software</v>
      </c>
      <c r="X4849" s="33">
        <f>IFERROR(__xludf.DUMMYFUNCTION("""COMPUTED_VALUE"""),1.0)</f>
        <v>1</v>
      </c>
    </row>
    <row r="4850">
      <c r="K4850" s="4" t="str">
        <f>IFERROR(__xludf.DUMMYFUNCTION("""COMPUTED_VALUE"""),"TIGANITO")</f>
        <v>TIGANITO</v>
      </c>
      <c r="L4850" s="32">
        <f>IFERROR(__xludf.DUMMYFUNCTION("""COMPUTED_VALUE"""),2.0)</f>
        <v>2</v>
      </c>
      <c r="M4850" s="4" t="str">
        <f>IFERROR(__xludf.DUMMYFUNCTION("""COMPUTED_VALUE"""),"Datacaixa Pdv")</f>
        <v>Datacaixa Pdv</v>
      </c>
      <c r="N4850" s="33">
        <f>IFERROR(__xludf.DUMMYFUNCTION("""COMPUTED_VALUE"""),1.0)</f>
        <v>1</v>
      </c>
      <c r="O4850" s="4" t="str">
        <f>IFERROR(__xludf.DUMMYFUNCTION("""COMPUTED_VALUE"""),"null")</f>
        <v>null</v>
      </c>
      <c r="P4850" s="33">
        <f>IFERROR(__xludf.DUMMYFUNCTION("""COMPUTED_VALUE"""),0.5)</f>
        <v>0.5</v>
      </c>
      <c r="Q4850" s="4" t="str">
        <f>IFERROR(__xludf.DUMMYFUNCTION("""COMPUTED_VALUE"""),"Saipos Serviços De Software")</f>
        <v>Saipos Serviços De Software</v>
      </c>
      <c r="R4850" s="33">
        <f>IFERROR(__xludf.DUMMYFUNCTION("""COMPUTED_VALUE"""),1.0)</f>
        <v>1</v>
      </c>
      <c r="S4850" s="4" t="str">
        <f>IFERROR(__xludf.DUMMYFUNCTION("""COMPUTED_VALUE"""),"Saipos Serviços De Software")</f>
        <v>Saipos Serviços De Software</v>
      </c>
      <c r="T4850" s="33">
        <f>IFERROR(__xludf.DUMMYFUNCTION("""COMPUTED_VALUE"""),1.0)</f>
        <v>1</v>
      </c>
      <c r="U4850" s="4" t="str">
        <f>IFERROR(__xludf.DUMMYFUNCTION("""COMPUTED_VALUE"""),"Saipos Serviços De Software")</f>
        <v>Saipos Serviços De Software</v>
      </c>
      <c r="V4850" s="33">
        <f>IFERROR(__xludf.DUMMYFUNCTION("""COMPUTED_VALUE"""),1.0)</f>
        <v>1</v>
      </c>
      <c r="W4850" s="4" t="str">
        <f>IFERROR(__xludf.DUMMYFUNCTION("""COMPUTED_VALUE"""),"Saipos Serviços De Software")</f>
        <v>Saipos Serviços De Software</v>
      </c>
      <c r="X4850" s="33">
        <f>IFERROR(__xludf.DUMMYFUNCTION("""COMPUTED_VALUE"""),1.0)</f>
        <v>1</v>
      </c>
    </row>
    <row r="4851">
      <c r="K4851" s="4" t="str">
        <f>IFERROR(__xludf.DUMMYFUNCTION("""COMPUTED_VALUE"""),"SUPERMERCADO FRIMAR")</f>
        <v>SUPERMERCADO FRIMAR</v>
      </c>
      <c r="L4851" s="32">
        <f>IFERROR(__xludf.DUMMYFUNCTION("""COMPUTED_VALUE"""),2.0)</f>
        <v>2</v>
      </c>
      <c r="M4851" s="4" t="str">
        <f>IFERROR(__xludf.DUMMYFUNCTION("""COMPUTED_VALUE"""),"N/A (Not found)")</f>
        <v>N/A (Not found)</v>
      </c>
      <c r="N4851" s="33">
        <f>IFERROR(__xludf.DUMMYFUNCTION("""COMPUTED_VALUE"""),1.0)</f>
        <v>1</v>
      </c>
      <c r="O4851" s="4" t="str">
        <f>IFERROR(__xludf.DUMMYFUNCTION("""COMPUTED_VALUE"""),"N/A (Not found)")</f>
        <v>N/A (Not found)</v>
      </c>
      <c r="P4851" s="33">
        <f>IFERROR(__xludf.DUMMYFUNCTION("""COMPUTED_VALUE"""),1.0)</f>
        <v>1</v>
      </c>
      <c r="Q4851" s="4" t="str">
        <f>IFERROR(__xludf.DUMMYFUNCTION("""COMPUTED_VALUE"""),"N/A (Not found)")</f>
        <v>N/A (Not found)</v>
      </c>
      <c r="R4851" s="33">
        <f>IFERROR(__xludf.DUMMYFUNCTION("""COMPUTED_VALUE"""),0.5)</f>
        <v>0.5</v>
      </c>
      <c r="S4851" s="4" t="str">
        <f>IFERROR(__xludf.DUMMYFUNCTION("""COMPUTED_VALUE"""),"null")</f>
        <v>null</v>
      </c>
      <c r="T4851" s="33">
        <f>IFERROR(__xludf.DUMMYFUNCTION("""COMPUTED_VALUE"""),0.5)</f>
        <v>0.5</v>
      </c>
      <c r="U4851" s="4" t="str">
        <f>IFERROR(__xludf.DUMMYFUNCTION("""COMPUTED_VALUE"""),"null")</f>
        <v>null</v>
      </c>
      <c r="V4851" s="33">
        <f>IFERROR(__xludf.DUMMYFUNCTION("""COMPUTED_VALUE"""),1.0)</f>
        <v>1</v>
      </c>
      <c r="W4851" s="4" t="str">
        <f>IFERROR(__xludf.DUMMYFUNCTION("""COMPUTED_VALUE"""),"null")</f>
        <v>null</v>
      </c>
      <c r="X4851" s="33">
        <f>IFERROR(__xludf.DUMMYFUNCTION("""COMPUTED_VALUE"""),1.0)</f>
        <v>1</v>
      </c>
    </row>
    <row r="4852">
      <c r="K4852" s="4" t="str">
        <f>IFERROR(__xludf.DUMMYFUNCTION("""COMPUTED_VALUE"""),"RESTAURANTE ARENA")</f>
        <v>RESTAURANTE ARENA</v>
      </c>
      <c r="L4852" s="32">
        <f>IFERROR(__xludf.DUMMYFUNCTION("""COMPUTED_VALUE"""),2.0)</f>
        <v>2</v>
      </c>
      <c r="M4852" s="4" t="str">
        <f>IFERROR(__xludf.DUMMYFUNCTION("""COMPUTED_VALUE"""),"Clickatende Tecnologia Ltda")</f>
        <v>Clickatende Tecnologia Ltda</v>
      </c>
      <c r="N4852" s="33">
        <f>IFERROR(__xludf.DUMMYFUNCTION("""COMPUTED_VALUE"""),0.5)</f>
        <v>0.5</v>
      </c>
      <c r="O4852" s="4" t="str">
        <f>IFERROR(__xludf.DUMMYFUNCTION("""COMPUTED_VALUE"""),"Clickatende Tecnologia Ltda")</f>
        <v>Clickatende Tecnologia Ltda</v>
      </c>
      <c r="P4852" s="33">
        <f>IFERROR(__xludf.DUMMYFUNCTION("""COMPUTED_VALUE"""),0.5)</f>
        <v>0.5</v>
      </c>
      <c r="Q4852" s="4" t="str">
        <f>IFERROR(__xludf.DUMMYFUNCTION("""COMPUTED_VALUE"""),"null")</f>
        <v>null</v>
      </c>
      <c r="R4852" s="33">
        <f>IFERROR(__xludf.DUMMYFUNCTION("""COMPUTED_VALUE"""),0.5)</f>
        <v>0.5</v>
      </c>
      <c r="S4852" s="4" t="str">
        <f>IFERROR(__xludf.DUMMYFUNCTION("""COMPUTED_VALUE"""),"Clickatende Tecnologia Ltda")</f>
        <v>Clickatende Tecnologia Ltda</v>
      </c>
      <c r="T4852" s="33">
        <f>IFERROR(__xludf.DUMMYFUNCTION("""COMPUTED_VALUE"""),0.5)</f>
        <v>0.5</v>
      </c>
      <c r="U4852" s="4" t="str">
        <f>IFERROR(__xludf.DUMMYFUNCTION("""COMPUTED_VALUE"""),"Clickatende Tecnologia Ltda")</f>
        <v>Clickatende Tecnologia Ltda</v>
      </c>
      <c r="V4852" s="33">
        <f>IFERROR(__xludf.DUMMYFUNCTION("""COMPUTED_VALUE"""),0.5)</f>
        <v>0.5</v>
      </c>
      <c r="W4852" s="4" t="str">
        <f>IFERROR(__xludf.DUMMYFUNCTION("""COMPUTED_VALUE"""),"Clickatende Tecnologia Ltda")</f>
        <v>Clickatende Tecnologia Ltda</v>
      </c>
      <c r="X4852" s="33">
        <f>IFERROR(__xludf.DUMMYFUNCTION("""COMPUTED_VALUE"""),0.5)</f>
        <v>0.5</v>
      </c>
    </row>
    <row r="4853">
      <c r="K4853" s="4" t="str">
        <f>IFERROR(__xludf.DUMMYFUNCTION("""COMPUTED_VALUE"""),"CHURRASCARIA ESPETAO NA BRASA")</f>
        <v>CHURRASCARIA ESPETAO NA BRASA</v>
      </c>
      <c r="L4853" s="32">
        <f>IFERROR(__xludf.DUMMYFUNCTION("""COMPUTED_VALUE"""),2.0)</f>
        <v>2</v>
      </c>
      <c r="M4853" s="4" t="str">
        <f>IFERROR(__xludf.DUMMYFUNCTION("""COMPUTED_VALUE"""),"Hubster")</f>
        <v>Hubster</v>
      </c>
      <c r="N4853" s="33">
        <f>IFERROR(__xludf.DUMMYFUNCTION("""COMPUTED_VALUE"""),1.0)</f>
        <v>1</v>
      </c>
      <c r="O4853" s="4" t="str">
        <f>IFERROR(__xludf.DUMMYFUNCTION("""COMPUTED_VALUE"""),"Hubster")</f>
        <v>Hubster</v>
      </c>
      <c r="P4853" s="33">
        <f>IFERROR(__xludf.DUMMYFUNCTION("""COMPUTED_VALUE"""),1.0)</f>
        <v>1</v>
      </c>
      <c r="Q4853" s="4" t="str">
        <f>IFERROR(__xludf.DUMMYFUNCTION("""COMPUTED_VALUE"""),"Hubster")</f>
        <v>Hubster</v>
      </c>
      <c r="R4853" s="33">
        <f>IFERROR(__xludf.DUMMYFUNCTION("""COMPUTED_VALUE"""),1.0)</f>
        <v>1</v>
      </c>
      <c r="S4853" s="4" t="str">
        <f>IFERROR(__xludf.DUMMYFUNCTION("""COMPUTED_VALUE"""),"Hubster")</f>
        <v>Hubster</v>
      </c>
      <c r="T4853" s="33">
        <f>IFERROR(__xludf.DUMMYFUNCTION("""COMPUTED_VALUE"""),1.0)</f>
        <v>1</v>
      </c>
      <c r="U4853" s="4" t="str">
        <f>IFERROR(__xludf.DUMMYFUNCTION("""COMPUTED_VALUE"""),"Hubster")</f>
        <v>Hubster</v>
      </c>
      <c r="V4853" s="33">
        <f>IFERROR(__xludf.DUMMYFUNCTION("""COMPUTED_VALUE"""),1.0)</f>
        <v>1</v>
      </c>
      <c r="W4853" s="4" t="str">
        <f>IFERROR(__xludf.DUMMYFUNCTION("""COMPUTED_VALUE"""),"Hubster")</f>
        <v>Hubster</v>
      </c>
      <c r="X4853" s="33">
        <f>IFERROR(__xludf.DUMMYFUNCTION("""COMPUTED_VALUE"""),1.0)</f>
        <v>1</v>
      </c>
    </row>
    <row r="4854">
      <c r="K4854" s="4" t="str">
        <f>IFERROR(__xludf.DUMMYFUNCTION("""COMPUTED_VALUE"""),"MARE CAFE")</f>
        <v>MARE CAFE</v>
      </c>
      <c r="L4854" s="32">
        <f>IFERROR(__xludf.DUMMYFUNCTION("""COMPUTED_VALUE"""),2.0)</f>
        <v>2</v>
      </c>
      <c r="M4854" s="4" t="str">
        <f>IFERROR(__xludf.DUMMYFUNCTION("""COMPUTED_VALUE"""),"Totvs Large Enterprise Tecnologia S.a.")</f>
        <v>Totvs Large Enterprise Tecnologia S.a.</v>
      </c>
      <c r="N4854" s="33">
        <f>IFERROR(__xludf.DUMMYFUNCTION("""COMPUTED_VALUE"""),0.5)</f>
        <v>0.5</v>
      </c>
      <c r="O4854" s="4" t="str">
        <f>IFERROR(__xludf.DUMMYFUNCTION("""COMPUTED_VALUE"""),"null")</f>
        <v>null</v>
      </c>
      <c r="P4854" s="33">
        <f>IFERROR(__xludf.DUMMYFUNCTION("""COMPUTED_VALUE"""),0.5)</f>
        <v>0.5</v>
      </c>
      <c r="Q4854" s="4" t="str">
        <f>IFERROR(__xludf.DUMMYFUNCTION("""COMPUTED_VALUE"""),"Totvs Large Enterprise Tecnologia S.a.")</f>
        <v>Totvs Large Enterprise Tecnologia S.a.</v>
      </c>
      <c r="R4854" s="33">
        <f>IFERROR(__xludf.DUMMYFUNCTION("""COMPUTED_VALUE"""),0.5)</f>
        <v>0.5</v>
      </c>
      <c r="S4854" s="4" t="str">
        <f>IFERROR(__xludf.DUMMYFUNCTION("""COMPUTED_VALUE"""),"Totvs Large Enterprise Tecnologia S.a.")</f>
        <v>Totvs Large Enterprise Tecnologia S.a.</v>
      </c>
      <c r="T4854" s="33">
        <f>IFERROR(__xludf.DUMMYFUNCTION("""COMPUTED_VALUE"""),0.5)</f>
        <v>0.5</v>
      </c>
      <c r="U4854" s="4" t="str">
        <f>IFERROR(__xludf.DUMMYFUNCTION("""COMPUTED_VALUE"""),"Totvs Large Enterprise Tecnologia S.a.")</f>
        <v>Totvs Large Enterprise Tecnologia S.a.</v>
      </c>
      <c r="V4854" s="33">
        <f>IFERROR(__xludf.DUMMYFUNCTION("""COMPUTED_VALUE"""),0.5)</f>
        <v>0.5</v>
      </c>
      <c r="W4854" s="4" t="str">
        <f>IFERROR(__xludf.DUMMYFUNCTION("""COMPUTED_VALUE"""),"Totvs Large Enterprise Tecnologia S.a.")</f>
        <v>Totvs Large Enterprise Tecnologia S.a.</v>
      </c>
      <c r="X4854" s="33">
        <f>IFERROR(__xludf.DUMMYFUNCTION("""COMPUTED_VALUE"""),0.5)</f>
        <v>0.5</v>
      </c>
    </row>
    <row r="4855">
      <c r="K4855" s="4" t="str">
        <f>IFERROR(__xludf.DUMMYFUNCTION("""COMPUTED_VALUE"""),"HOT DOG CENTRAL - CACHORRO QUENTE")</f>
        <v>HOT DOG CENTRAL - CACHORRO QUENTE</v>
      </c>
      <c r="L4855" s="32">
        <f>IFERROR(__xludf.DUMMYFUNCTION("""COMPUTED_VALUE"""),2.0)</f>
        <v>2</v>
      </c>
      <c r="M4855" s="4" t="str">
        <f>IFERROR(__xludf.DUMMYFUNCTION("""COMPUTED_VALUE"""),"Saipos Serviços De Software")</f>
        <v>Saipos Serviços De Software</v>
      </c>
      <c r="N4855" s="33">
        <f>IFERROR(__xludf.DUMMYFUNCTION("""COMPUTED_VALUE"""),1.0)</f>
        <v>1</v>
      </c>
      <c r="O4855" s="4" t="str">
        <f>IFERROR(__xludf.DUMMYFUNCTION("""COMPUTED_VALUE"""),"Saipos Serviços De Software")</f>
        <v>Saipos Serviços De Software</v>
      </c>
      <c r="P4855" s="33">
        <f>IFERROR(__xludf.DUMMYFUNCTION("""COMPUTED_VALUE"""),1.0)</f>
        <v>1</v>
      </c>
      <c r="Q4855" s="4" t="str">
        <f>IFERROR(__xludf.DUMMYFUNCTION("""COMPUTED_VALUE"""),"Saipos Serviços De Software")</f>
        <v>Saipos Serviços De Software</v>
      </c>
      <c r="R4855" s="33">
        <f>IFERROR(__xludf.DUMMYFUNCTION("""COMPUTED_VALUE"""),1.0)</f>
        <v>1</v>
      </c>
      <c r="S4855" s="4" t="str">
        <f>IFERROR(__xludf.DUMMYFUNCTION("""COMPUTED_VALUE"""),"Saipos Serviços De Software")</f>
        <v>Saipos Serviços De Software</v>
      </c>
      <c r="T4855" s="33">
        <f>IFERROR(__xludf.DUMMYFUNCTION("""COMPUTED_VALUE"""),1.0)</f>
        <v>1</v>
      </c>
      <c r="U4855" s="4" t="str">
        <f>IFERROR(__xludf.DUMMYFUNCTION("""COMPUTED_VALUE"""),"Saipos Serviços De Software")</f>
        <v>Saipos Serviços De Software</v>
      </c>
      <c r="V4855" s="33">
        <f>IFERROR(__xludf.DUMMYFUNCTION("""COMPUTED_VALUE"""),1.0)</f>
        <v>1</v>
      </c>
      <c r="W4855" s="4" t="str">
        <f>IFERROR(__xludf.DUMMYFUNCTION("""COMPUTED_VALUE"""),"Saipos Serviços De Software")</f>
        <v>Saipos Serviços De Software</v>
      </c>
      <c r="X4855" s="33">
        <f>IFERROR(__xludf.DUMMYFUNCTION("""COMPUTED_VALUE"""),1.0)</f>
        <v>1</v>
      </c>
    </row>
    <row r="4856">
      <c r="K4856" s="4" t="str">
        <f>IFERROR(__xludf.DUMMYFUNCTION("""COMPUTED_VALUE"""),"MAMMA PIZZA")</f>
        <v>MAMMA PIZZA</v>
      </c>
      <c r="L4856" s="32">
        <f>IFERROR(__xludf.DUMMYFUNCTION("""COMPUTED_VALUE"""),2.0)</f>
        <v>2</v>
      </c>
      <c r="M4856" s="4" t="str">
        <f>IFERROR(__xludf.DUMMYFUNCTION("""COMPUTED_VALUE"""),"Looksystem Tecnologia Em Sistemas Ltda")</f>
        <v>Looksystem Tecnologia Em Sistemas Ltda</v>
      </c>
      <c r="N4856" s="33">
        <f>IFERROR(__xludf.DUMMYFUNCTION("""COMPUTED_VALUE"""),0.5)</f>
        <v>0.5</v>
      </c>
      <c r="O4856" s="4" t="str">
        <f>IFERROR(__xludf.DUMMYFUNCTION("""COMPUTED_VALUE"""),"Looksystem Tecnologia Em Sistemas Ltda")</f>
        <v>Looksystem Tecnologia Em Sistemas Ltda</v>
      </c>
      <c r="P4856" s="33">
        <f>IFERROR(__xludf.DUMMYFUNCTION("""COMPUTED_VALUE"""),0.5)</f>
        <v>0.5</v>
      </c>
      <c r="Q4856" s="4" t="str">
        <f>IFERROR(__xludf.DUMMYFUNCTION("""COMPUTED_VALUE"""),"Looksystem Tecnologia Em Sistemas Ltda")</f>
        <v>Looksystem Tecnologia Em Sistemas Ltda</v>
      </c>
      <c r="R4856" s="33">
        <f>IFERROR(__xludf.DUMMYFUNCTION("""COMPUTED_VALUE"""),0.5)</f>
        <v>0.5</v>
      </c>
      <c r="S4856" s="4" t="str">
        <f>IFERROR(__xludf.DUMMYFUNCTION("""COMPUTED_VALUE"""),"Looksystem Tecnologia Em Sistemas Ltda")</f>
        <v>Looksystem Tecnologia Em Sistemas Ltda</v>
      </c>
      <c r="T4856" s="33">
        <f>IFERROR(__xludf.DUMMYFUNCTION("""COMPUTED_VALUE"""),0.5)</f>
        <v>0.5</v>
      </c>
      <c r="U4856" s="4" t="str">
        <f>IFERROR(__xludf.DUMMYFUNCTION("""COMPUTED_VALUE"""),"Looksystem Tecnologia Em Sistemas Ltda")</f>
        <v>Looksystem Tecnologia Em Sistemas Ltda</v>
      </c>
      <c r="V4856" s="33">
        <f>IFERROR(__xludf.DUMMYFUNCTION("""COMPUTED_VALUE"""),0.5)</f>
        <v>0.5</v>
      </c>
      <c r="W4856" s="4" t="str">
        <f>IFERROR(__xludf.DUMMYFUNCTION("""COMPUTED_VALUE"""),"Looksystem Tecnologia Em Sistemas Ltda")</f>
        <v>Looksystem Tecnologia Em Sistemas Ltda</v>
      </c>
      <c r="X4856" s="33">
        <f>IFERROR(__xludf.DUMMYFUNCTION("""COMPUTED_VALUE"""),0.5)</f>
        <v>0.5</v>
      </c>
    </row>
    <row r="4857">
      <c r="K4857" s="4" t="str">
        <f>IFERROR(__xludf.DUMMYFUNCTION("""COMPUTED_VALUE"""),"DELIMART JAPANESE FOOD")</f>
        <v>DELIMART JAPANESE FOOD</v>
      </c>
      <c r="L4857" s="32">
        <f>IFERROR(__xludf.DUMMYFUNCTION("""COMPUTED_VALUE"""),2.0)</f>
        <v>2</v>
      </c>
      <c r="M4857" s="4" t="str">
        <f>IFERROR(__xludf.DUMMYFUNCTION("""COMPUTED_VALUE"""),"Instadelivery")</f>
        <v>Instadelivery</v>
      </c>
      <c r="N4857" s="33">
        <f>IFERROR(__xludf.DUMMYFUNCTION("""COMPUTED_VALUE"""),1.0)</f>
        <v>1</v>
      </c>
      <c r="O4857" s="4" t="str">
        <f>IFERROR(__xludf.DUMMYFUNCTION("""COMPUTED_VALUE"""),"Instadelivery")</f>
        <v>Instadelivery</v>
      </c>
      <c r="P4857" s="33">
        <f>IFERROR(__xludf.DUMMYFUNCTION("""COMPUTED_VALUE"""),1.0)</f>
        <v>1</v>
      </c>
      <c r="Q4857" s="4" t="str">
        <f>IFERROR(__xludf.DUMMYFUNCTION("""COMPUTED_VALUE"""),"Instadelivery")</f>
        <v>Instadelivery</v>
      </c>
      <c r="R4857" s="33">
        <f>IFERROR(__xludf.DUMMYFUNCTION("""COMPUTED_VALUE"""),1.0)</f>
        <v>1</v>
      </c>
      <c r="S4857" s="4" t="str">
        <f>IFERROR(__xludf.DUMMYFUNCTION("""COMPUTED_VALUE"""),"Instadelivery")</f>
        <v>Instadelivery</v>
      </c>
      <c r="T4857" s="33">
        <f>IFERROR(__xludf.DUMMYFUNCTION("""COMPUTED_VALUE"""),1.0)</f>
        <v>1</v>
      </c>
      <c r="U4857" s="4" t="str">
        <f>IFERROR(__xludf.DUMMYFUNCTION("""COMPUTED_VALUE"""),"null")</f>
        <v>null</v>
      </c>
      <c r="V4857" s="33">
        <f>IFERROR(__xludf.DUMMYFUNCTION("""COMPUTED_VALUE"""),0.5)</f>
        <v>0.5</v>
      </c>
      <c r="W4857" s="4" t="str">
        <f>IFERROR(__xludf.DUMMYFUNCTION("""COMPUTED_VALUE"""),"null")</f>
        <v>null</v>
      </c>
      <c r="X4857" s="33">
        <f>IFERROR(__xludf.DUMMYFUNCTION("""COMPUTED_VALUE"""),0.5)</f>
        <v>0.5</v>
      </c>
    </row>
    <row r="4858">
      <c r="K4858" s="4" t="str">
        <f>IFERROR(__xludf.DUMMYFUNCTION("""COMPUTED_VALUE"""),"FARMA FARMA POPULAR")</f>
        <v>FARMA FARMA POPULAR</v>
      </c>
      <c r="L4858" s="32">
        <f>IFERROR(__xludf.DUMMYFUNCTION("""COMPUTED_VALUE"""),2.0)</f>
        <v>2</v>
      </c>
      <c r="M4858" s="4" t="str">
        <f>IFERROR(__xludf.DUMMYFUNCTION("""COMPUTED_VALUE"""),"N/A (Not found)")</f>
        <v>N/A (Not found)</v>
      </c>
      <c r="N4858" s="33">
        <f>IFERROR(__xludf.DUMMYFUNCTION("""COMPUTED_VALUE"""),0.5)</f>
        <v>0.5</v>
      </c>
      <c r="O4858" s="4" t="str">
        <f>IFERROR(__xludf.DUMMYFUNCTION("""COMPUTED_VALUE"""),"N/A (Not found)")</f>
        <v>N/A (Not found)</v>
      </c>
      <c r="P4858" s="33">
        <f>IFERROR(__xludf.DUMMYFUNCTION("""COMPUTED_VALUE"""),0.5)</f>
        <v>0.5</v>
      </c>
      <c r="Q4858" s="4" t="str">
        <f>IFERROR(__xludf.DUMMYFUNCTION("""COMPUTED_VALUE"""),"N/A (Not found)")</f>
        <v>N/A (Not found)</v>
      </c>
      <c r="R4858" s="33">
        <f>IFERROR(__xludf.DUMMYFUNCTION("""COMPUTED_VALUE"""),0.5)</f>
        <v>0.5</v>
      </c>
      <c r="S4858" s="4" t="str">
        <f>IFERROR(__xludf.DUMMYFUNCTION("""COMPUTED_VALUE"""),"N/A (Not found)")</f>
        <v>N/A (Not found)</v>
      </c>
      <c r="T4858" s="33">
        <f>IFERROR(__xludf.DUMMYFUNCTION("""COMPUTED_VALUE"""),0.5)</f>
        <v>0.5</v>
      </c>
      <c r="U4858" s="4" t="str">
        <f>IFERROR(__xludf.DUMMYFUNCTION("""COMPUTED_VALUE"""),"N/A (Not found)")</f>
        <v>N/A (Not found)</v>
      </c>
      <c r="V4858" s="33">
        <f>IFERROR(__xludf.DUMMYFUNCTION("""COMPUTED_VALUE"""),1.0)</f>
        <v>1</v>
      </c>
      <c r="W4858" s="4" t="str">
        <f>IFERROR(__xludf.DUMMYFUNCTION("""COMPUTED_VALUE"""),"N/A (Not found)")</f>
        <v>N/A (Not found)</v>
      </c>
      <c r="X4858" s="33">
        <f>IFERROR(__xludf.DUMMYFUNCTION("""COMPUTED_VALUE"""),1.0)</f>
        <v>1</v>
      </c>
    </row>
    <row r="4859">
      <c r="K4859" s="4" t="str">
        <f>IFERROR(__xludf.DUMMYFUNCTION("""COMPUTED_VALUE"""),"CANTINHO DA MACAXEIRA")</f>
        <v>CANTINHO DA MACAXEIRA</v>
      </c>
      <c r="L4859" s="32">
        <f>IFERROR(__xludf.DUMMYFUNCTION("""COMPUTED_VALUE"""),2.0)</f>
        <v>2</v>
      </c>
      <c r="M4859" s="4" t="str">
        <f>IFERROR(__xludf.DUMMYFUNCTION("""COMPUTED_VALUE"""),"Menew - Linx")</f>
        <v>Menew - Linx</v>
      </c>
      <c r="N4859" s="33">
        <f>IFERROR(__xludf.DUMMYFUNCTION("""COMPUTED_VALUE"""),1.0)</f>
        <v>1</v>
      </c>
      <c r="O4859" s="4" t="str">
        <f>IFERROR(__xludf.DUMMYFUNCTION("""COMPUTED_VALUE"""),"Menew - Linx")</f>
        <v>Menew - Linx</v>
      </c>
      <c r="P4859" s="33">
        <f>IFERROR(__xludf.DUMMYFUNCTION("""COMPUTED_VALUE"""),1.0)</f>
        <v>1</v>
      </c>
      <c r="Q4859" s="4" t="str">
        <f>IFERROR(__xludf.DUMMYFUNCTION("""COMPUTED_VALUE"""),"Menew - Linx")</f>
        <v>Menew - Linx</v>
      </c>
      <c r="R4859" s="33">
        <f>IFERROR(__xludf.DUMMYFUNCTION("""COMPUTED_VALUE"""),1.0)</f>
        <v>1</v>
      </c>
      <c r="S4859" s="4" t="str">
        <f>IFERROR(__xludf.DUMMYFUNCTION("""COMPUTED_VALUE"""),"Menew - Linx")</f>
        <v>Menew - Linx</v>
      </c>
      <c r="T4859" s="33">
        <f>IFERROR(__xludf.DUMMYFUNCTION("""COMPUTED_VALUE"""),1.0)</f>
        <v>1</v>
      </c>
      <c r="U4859" s="4" t="str">
        <f>IFERROR(__xludf.DUMMYFUNCTION("""COMPUTED_VALUE"""),"Menew - Linx")</f>
        <v>Menew - Linx</v>
      </c>
      <c r="V4859" s="33">
        <f>IFERROR(__xludf.DUMMYFUNCTION("""COMPUTED_VALUE"""),1.0)</f>
        <v>1</v>
      </c>
      <c r="W4859" s="4" t="str">
        <f>IFERROR(__xludf.DUMMYFUNCTION("""COMPUTED_VALUE"""),"Menew - Linx")</f>
        <v>Menew - Linx</v>
      </c>
      <c r="X4859" s="33">
        <f>IFERROR(__xludf.DUMMYFUNCTION("""COMPUTED_VALUE"""),1.0)</f>
        <v>1</v>
      </c>
    </row>
    <row r="4860">
      <c r="K4860" s="4" t="str">
        <f>IFERROR(__xludf.DUMMYFUNCTION("""COMPUTED_VALUE"""),"AVENIDA LANCHES")</f>
        <v>AVENIDA LANCHES</v>
      </c>
      <c r="L4860" s="32">
        <f>IFERROR(__xludf.DUMMYFUNCTION("""COMPUTED_VALUE"""),2.0)</f>
        <v>2</v>
      </c>
      <c r="M4860" s="4" t="str">
        <f>IFERROR(__xludf.DUMMYFUNCTION("""COMPUTED_VALUE"""),"Consumer Soluções Em Tecnologia Ltda")</f>
        <v>Consumer Soluções Em Tecnologia Ltda</v>
      </c>
      <c r="N4860" s="33">
        <f>IFERROR(__xludf.DUMMYFUNCTION("""COMPUTED_VALUE"""),0.5)</f>
        <v>0.5</v>
      </c>
      <c r="O4860" s="4" t="str">
        <f>IFERROR(__xludf.DUMMYFUNCTION("""COMPUTED_VALUE"""),"Consumer Soluções Em Tecnologia Ltda")</f>
        <v>Consumer Soluções Em Tecnologia Ltda</v>
      </c>
      <c r="P4860" s="33">
        <f>IFERROR(__xludf.DUMMYFUNCTION("""COMPUTED_VALUE"""),0.5)</f>
        <v>0.5</v>
      </c>
      <c r="Q4860" s="4" t="str">
        <f>IFERROR(__xludf.DUMMYFUNCTION("""COMPUTED_VALUE"""),"Consumer Soluções Em Tecnologia Ltda")</f>
        <v>Consumer Soluções Em Tecnologia Ltda</v>
      </c>
      <c r="R4860" s="33">
        <f>IFERROR(__xludf.DUMMYFUNCTION("""COMPUTED_VALUE"""),0.5)</f>
        <v>0.5</v>
      </c>
      <c r="S4860" s="4" t="str">
        <f>IFERROR(__xludf.DUMMYFUNCTION("""COMPUTED_VALUE"""),"Consumer Soluções Em Tecnologia Ltda")</f>
        <v>Consumer Soluções Em Tecnologia Ltda</v>
      </c>
      <c r="T4860" s="33">
        <f>IFERROR(__xludf.DUMMYFUNCTION("""COMPUTED_VALUE"""),0.5)</f>
        <v>0.5</v>
      </c>
      <c r="U4860" s="4" t="str">
        <f>IFERROR(__xludf.DUMMYFUNCTION("""COMPUTED_VALUE"""),"Consumer Soluções Em Tecnologia Ltda")</f>
        <v>Consumer Soluções Em Tecnologia Ltda</v>
      </c>
      <c r="V4860" s="33">
        <f>IFERROR(__xludf.DUMMYFUNCTION("""COMPUTED_VALUE"""),0.5)</f>
        <v>0.5</v>
      </c>
      <c r="W4860" s="4" t="str">
        <f>IFERROR(__xludf.DUMMYFUNCTION("""COMPUTED_VALUE"""),"Consumer Soluções Em Tecnologia Ltda")</f>
        <v>Consumer Soluções Em Tecnologia Ltda</v>
      </c>
      <c r="X4860" s="33">
        <f>IFERROR(__xludf.DUMMYFUNCTION("""COMPUTED_VALUE"""),0.5)</f>
        <v>0.5</v>
      </c>
    </row>
    <row r="4861">
      <c r="K4861" s="4" t="str">
        <f>IFERROR(__xludf.DUMMYFUNCTION("""COMPUTED_VALUE"""),"BAR DO CALDINHO")</f>
        <v>BAR DO CALDINHO</v>
      </c>
      <c r="L4861" s="32">
        <f>IFERROR(__xludf.DUMMYFUNCTION("""COMPUTED_VALUE"""),2.0)</f>
        <v>2</v>
      </c>
      <c r="M4861" s="4" t="str">
        <f>IFERROR(__xludf.DUMMYFUNCTION("""COMPUTED_VALUE"""),"null")</f>
        <v>null</v>
      </c>
      <c r="N4861" s="33">
        <f>IFERROR(__xludf.DUMMYFUNCTION("""COMPUTED_VALUE"""),0.5)</f>
        <v>0.5</v>
      </c>
      <c r="O4861" s="4" t="str">
        <f>IFERROR(__xludf.DUMMYFUNCTION("""COMPUTED_VALUE"""),"Alloy Tecnologia")</f>
        <v>Alloy Tecnologia</v>
      </c>
      <c r="P4861" s="33">
        <f>IFERROR(__xludf.DUMMYFUNCTION("""COMPUTED_VALUE"""),0.5)</f>
        <v>0.5</v>
      </c>
      <c r="Q4861" s="4" t="str">
        <f>IFERROR(__xludf.DUMMYFUNCTION("""COMPUTED_VALUE"""),"Alloy Tecnologia")</f>
        <v>Alloy Tecnologia</v>
      </c>
      <c r="R4861" s="33">
        <f>IFERROR(__xludf.DUMMYFUNCTION("""COMPUTED_VALUE"""),0.5)</f>
        <v>0.5</v>
      </c>
      <c r="S4861" s="4" t="str">
        <f>IFERROR(__xludf.DUMMYFUNCTION("""COMPUTED_VALUE"""),"Alloy Tecnologia")</f>
        <v>Alloy Tecnologia</v>
      </c>
      <c r="T4861" s="33">
        <f>IFERROR(__xludf.DUMMYFUNCTION("""COMPUTED_VALUE"""),0.5)</f>
        <v>0.5</v>
      </c>
      <c r="U4861" s="4" t="str">
        <f>IFERROR(__xludf.DUMMYFUNCTION("""COMPUTED_VALUE"""),"Alloy Tecnologia")</f>
        <v>Alloy Tecnologia</v>
      </c>
      <c r="V4861" s="33">
        <f>IFERROR(__xludf.DUMMYFUNCTION("""COMPUTED_VALUE"""),0.5)</f>
        <v>0.5</v>
      </c>
      <c r="W4861" s="4" t="str">
        <f>IFERROR(__xludf.DUMMYFUNCTION("""COMPUTED_VALUE"""),"Alloy Tecnologia")</f>
        <v>Alloy Tecnologia</v>
      </c>
      <c r="X4861" s="33">
        <f>IFERROR(__xludf.DUMMYFUNCTION("""COMPUTED_VALUE"""),0.5)</f>
        <v>0.5</v>
      </c>
    </row>
    <row r="4862">
      <c r="K4862" s="4" t="str">
        <f>IFERROR(__xludf.DUMMYFUNCTION("""COMPUTED_VALUE"""),"PIZZA IN BOX")</f>
        <v>PIZZA IN BOX</v>
      </c>
      <c r="L4862" s="32">
        <f>IFERROR(__xludf.DUMMYFUNCTION("""COMPUTED_VALUE"""),2.0)</f>
        <v>2</v>
      </c>
      <c r="M4862" s="4" t="str">
        <f>IFERROR(__xludf.DUMMYFUNCTION("""COMPUTED_VALUE"""),"Beefood - Sistema Para Restaurantes")</f>
        <v>Beefood - Sistema Para Restaurantes</v>
      </c>
      <c r="N4862" s="33">
        <f>IFERROR(__xludf.DUMMYFUNCTION("""COMPUTED_VALUE"""),0.5)</f>
        <v>0.5</v>
      </c>
      <c r="O4862" s="4" t="str">
        <f>IFERROR(__xludf.DUMMYFUNCTION("""COMPUTED_VALUE"""),"Beefood - Sistema Para Restaurantes")</f>
        <v>Beefood - Sistema Para Restaurantes</v>
      </c>
      <c r="P4862" s="33">
        <f>IFERROR(__xludf.DUMMYFUNCTION("""COMPUTED_VALUE"""),0.5)</f>
        <v>0.5</v>
      </c>
      <c r="Q4862" s="4" t="str">
        <f>IFERROR(__xludf.DUMMYFUNCTION("""COMPUTED_VALUE"""),"Beefood - Sistema Para Restaurantes")</f>
        <v>Beefood - Sistema Para Restaurantes</v>
      </c>
      <c r="R4862" s="33">
        <f>IFERROR(__xludf.DUMMYFUNCTION("""COMPUTED_VALUE"""),0.5)</f>
        <v>0.5</v>
      </c>
      <c r="S4862" s="4" t="str">
        <f>IFERROR(__xludf.DUMMYFUNCTION("""COMPUTED_VALUE"""),"null")</f>
        <v>null</v>
      </c>
      <c r="T4862" s="33">
        <f>IFERROR(__xludf.DUMMYFUNCTION("""COMPUTED_VALUE"""),1.0)</f>
        <v>1</v>
      </c>
      <c r="U4862" s="4" t="str">
        <f>IFERROR(__xludf.DUMMYFUNCTION("""COMPUTED_VALUE"""),"Beefood - Sistema Para Restaurantes")</f>
        <v>Beefood - Sistema Para Restaurantes</v>
      </c>
      <c r="V4862" s="33">
        <f>IFERROR(__xludf.DUMMYFUNCTION("""COMPUTED_VALUE"""),0.5)</f>
        <v>0.5</v>
      </c>
      <c r="W4862" s="4" t="str">
        <f>IFERROR(__xludf.DUMMYFUNCTION("""COMPUTED_VALUE"""),"null")</f>
        <v>null</v>
      </c>
      <c r="X4862" s="33">
        <f>IFERROR(__xludf.DUMMYFUNCTION("""COMPUTED_VALUE"""),0.5)</f>
        <v>0.5</v>
      </c>
    </row>
    <row r="4863">
      <c r="K4863" s="4" t="str">
        <f>IFERROR(__xludf.DUMMYFUNCTION("""COMPUTED_VALUE"""),"QUINTAL DO HAMBURGUER")</f>
        <v>QUINTAL DO HAMBURGUER</v>
      </c>
      <c r="L4863" s="32">
        <f>IFERROR(__xludf.DUMMYFUNCTION("""COMPUTED_VALUE"""),2.0)</f>
        <v>2</v>
      </c>
      <c r="M4863" s="4" t="str">
        <f>IFERROR(__xludf.DUMMYFUNCTION("""COMPUTED_VALUE"""),"Cardápio Web")</f>
        <v>Cardápio Web</v>
      </c>
      <c r="N4863" s="33">
        <f>IFERROR(__xludf.DUMMYFUNCTION("""COMPUTED_VALUE"""),0.5)</f>
        <v>0.5</v>
      </c>
      <c r="O4863" s="4" t="str">
        <f>IFERROR(__xludf.DUMMYFUNCTION("""COMPUTED_VALUE"""),"Cardápio Web")</f>
        <v>Cardápio Web</v>
      </c>
      <c r="P4863" s="33">
        <f>IFERROR(__xludf.DUMMYFUNCTION("""COMPUTED_VALUE"""),0.5)</f>
        <v>0.5</v>
      </c>
      <c r="Q4863" s="4" t="str">
        <f>IFERROR(__xludf.DUMMYFUNCTION("""COMPUTED_VALUE"""),"Cardápio Web")</f>
        <v>Cardápio Web</v>
      </c>
      <c r="R4863" s="33">
        <f>IFERROR(__xludf.DUMMYFUNCTION("""COMPUTED_VALUE"""),0.5)</f>
        <v>0.5</v>
      </c>
      <c r="S4863" s="4" t="str">
        <f>IFERROR(__xludf.DUMMYFUNCTION("""COMPUTED_VALUE"""),"Cardápio Web")</f>
        <v>Cardápio Web</v>
      </c>
      <c r="T4863" s="33">
        <f>IFERROR(__xludf.DUMMYFUNCTION("""COMPUTED_VALUE"""),0.5)</f>
        <v>0.5</v>
      </c>
      <c r="U4863" s="4" t="str">
        <f>IFERROR(__xludf.DUMMYFUNCTION("""COMPUTED_VALUE"""),"Cardápio Web")</f>
        <v>Cardápio Web</v>
      </c>
      <c r="V4863" s="33">
        <f>IFERROR(__xludf.DUMMYFUNCTION("""COMPUTED_VALUE"""),0.5)</f>
        <v>0.5</v>
      </c>
      <c r="W4863" s="4" t="str">
        <f>IFERROR(__xludf.DUMMYFUNCTION("""COMPUTED_VALUE"""),"Cardápio Web")</f>
        <v>Cardápio Web</v>
      </c>
      <c r="X4863" s="33">
        <f>IFERROR(__xludf.DUMMYFUNCTION("""COMPUTED_VALUE"""),0.5)</f>
        <v>0.5</v>
      </c>
    </row>
    <row r="4864">
      <c r="K4864" s="4" t="str">
        <f>IFERROR(__xludf.DUMMYFUNCTION("""COMPUTED_VALUE"""),"INORI SUSHI")</f>
        <v>INORI SUSHI</v>
      </c>
      <c r="L4864" s="32">
        <f>IFERROR(__xludf.DUMMYFUNCTION("""COMPUTED_VALUE"""),2.0)</f>
        <v>2</v>
      </c>
      <c r="M4864" s="4" t="str">
        <f>IFERROR(__xludf.DUMMYFUNCTION("""COMPUTED_VALUE"""),"Yooga")</f>
        <v>Yooga</v>
      </c>
      <c r="N4864" s="33">
        <f>IFERROR(__xludf.DUMMYFUNCTION("""COMPUTED_VALUE"""),0.5)</f>
        <v>0.5</v>
      </c>
      <c r="O4864" s="4" t="str">
        <f>IFERROR(__xludf.DUMMYFUNCTION("""COMPUTED_VALUE"""),"Yooga")</f>
        <v>Yooga</v>
      </c>
      <c r="P4864" s="33">
        <f>IFERROR(__xludf.DUMMYFUNCTION("""COMPUTED_VALUE"""),0.5)</f>
        <v>0.5</v>
      </c>
      <c r="Q4864" s="4" t="str">
        <f>IFERROR(__xludf.DUMMYFUNCTION("""COMPUTED_VALUE"""),"Yooga")</f>
        <v>Yooga</v>
      </c>
      <c r="R4864" s="33">
        <f>IFERROR(__xludf.DUMMYFUNCTION("""COMPUTED_VALUE"""),0.5)</f>
        <v>0.5</v>
      </c>
      <c r="S4864" s="4" t="str">
        <f>IFERROR(__xludf.DUMMYFUNCTION("""COMPUTED_VALUE"""),"Yooga")</f>
        <v>Yooga</v>
      </c>
      <c r="T4864" s="33">
        <f>IFERROR(__xludf.DUMMYFUNCTION("""COMPUTED_VALUE"""),0.5)</f>
        <v>0.5</v>
      </c>
      <c r="U4864" s="4" t="str">
        <f>IFERROR(__xludf.DUMMYFUNCTION("""COMPUTED_VALUE"""),"Yooga")</f>
        <v>Yooga</v>
      </c>
      <c r="V4864" s="33">
        <f>IFERROR(__xludf.DUMMYFUNCTION("""COMPUTED_VALUE"""),0.5)</f>
        <v>0.5</v>
      </c>
      <c r="W4864" s="4" t="str">
        <f>IFERROR(__xludf.DUMMYFUNCTION("""COMPUTED_VALUE"""),"Yooga")</f>
        <v>Yooga</v>
      </c>
      <c r="X4864" s="33">
        <f>IFERROR(__xludf.DUMMYFUNCTION("""COMPUTED_VALUE"""),0.5)</f>
        <v>0.5</v>
      </c>
    </row>
    <row r="4865">
      <c r="K4865" s="4" t="str">
        <f>IFERROR(__xludf.DUMMYFUNCTION("""COMPUTED_VALUE"""),"CHUVA DE DOCURAS")</f>
        <v>CHUVA DE DOCURAS</v>
      </c>
      <c r="L4865" s="32">
        <f>IFERROR(__xludf.DUMMYFUNCTION("""COMPUTED_VALUE"""),2.0)</f>
        <v>2</v>
      </c>
      <c r="M4865" s="4" t="str">
        <f>IFERROR(__xludf.DUMMYFUNCTION("""COMPUTED_VALUE"""),"Anota Ai Solucoes Digitais S/a")</f>
        <v>Anota Ai Solucoes Digitais S/a</v>
      </c>
      <c r="N4865" s="33">
        <f>IFERROR(__xludf.DUMMYFUNCTION("""COMPUTED_VALUE"""),0.5)</f>
        <v>0.5</v>
      </c>
      <c r="O4865" s="4" t="str">
        <f>IFERROR(__xludf.DUMMYFUNCTION("""COMPUTED_VALUE"""),"null")</f>
        <v>null</v>
      </c>
      <c r="P4865" s="33">
        <f>IFERROR(__xludf.DUMMYFUNCTION("""COMPUTED_VALUE"""),0.5)</f>
        <v>0.5</v>
      </c>
      <c r="Q4865" s="4" t="str">
        <f>IFERROR(__xludf.DUMMYFUNCTION("""COMPUTED_VALUE"""),"null")</f>
        <v>null</v>
      </c>
      <c r="R4865" s="33">
        <f>IFERROR(__xludf.DUMMYFUNCTION("""COMPUTED_VALUE"""),0.5)</f>
        <v>0.5</v>
      </c>
      <c r="S4865" s="4" t="str">
        <f>IFERROR(__xludf.DUMMYFUNCTION("""COMPUTED_VALUE"""),"null")</f>
        <v>null</v>
      </c>
      <c r="T4865" s="33">
        <f>IFERROR(__xludf.DUMMYFUNCTION("""COMPUTED_VALUE"""),0.5)</f>
        <v>0.5</v>
      </c>
      <c r="U4865" s="4" t="str">
        <f>IFERROR(__xludf.DUMMYFUNCTION("""COMPUTED_VALUE"""),"null")</f>
        <v>null</v>
      </c>
      <c r="V4865" s="33">
        <f>IFERROR(__xludf.DUMMYFUNCTION("""COMPUTED_VALUE"""),0.5)</f>
        <v>0.5</v>
      </c>
      <c r="W4865" s="4" t="str">
        <f>IFERROR(__xludf.DUMMYFUNCTION("""COMPUTED_VALUE"""),"null")</f>
        <v>null</v>
      </c>
      <c r="X4865" s="33">
        <f>IFERROR(__xludf.DUMMYFUNCTION("""COMPUTED_VALUE"""),0.5)</f>
        <v>0.5</v>
      </c>
    </row>
    <row r="4866">
      <c r="K4866" s="4" t="str">
        <f>IFERROR(__xludf.DUMMYFUNCTION("""COMPUTED_VALUE"""),"BROOKLYN BURGERS")</f>
        <v>BROOKLYN BURGERS</v>
      </c>
      <c r="L4866" s="32">
        <f>IFERROR(__xludf.DUMMYFUNCTION("""COMPUTED_VALUE"""),2.0)</f>
        <v>2</v>
      </c>
      <c r="M4866" s="4" t="str">
        <f>IFERROR(__xludf.DUMMYFUNCTION("""COMPUTED_VALUE"""),"Yooga")</f>
        <v>Yooga</v>
      </c>
      <c r="N4866" s="33">
        <f>IFERROR(__xludf.DUMMYFUNCTION("""COMPUTED_VALUE"""),0.5)</f>
        <v>0.5</v>
      </c>
      <c r="O4866" s="4" t="str">
        <f>IFERROR(__xludf.DUMMYFUNCTION("""COMPUTED_VALUE"""),"Saipos Serviços De Software")</f>
        <v>Saipos Serviços De Software</v>
      </c>
      <c r="P4866" s="33">
        <f>IFERROR(__xludf.DUMMYFUNCTION("""COMPUTED_VALUE"""),0.5)</f>
        <v>0.5</v>
      </c>
      <c r="Q4866" s="4" t="str">
        <f>IFERROR(__xludf.DUMMYFUNCTION("""COMPUTED_VALUE"""),"Saipos Serviços De Software")</f>
        <v>Saipos Serviços De Software</v>
      </c>
      <c r="R4866" s="33">
        <f>IFERROR(__xludf.DUMMYFUNCTION("""COMPUTED_VALUE"""),0.5)</f>
        <v>0.5</v>
      </c>
      <c r="S4866" s="4" t="str">
        <f>IFERROR(__xludf.DUMMYFUNCTION("""COMPUTED_VALUE"""),"Saipos Serviços De Software")</f>
        <v>Saipos Serviços De Software</v>
      </c>
      <c r="T4866" s="33">
        <f>IFERROR(__xludf.DUMMYFUNCTION("""COMPUTED_VALUE"""),0.5)</f>
        <v>0.5</v>
      </c>
      <c r="U4866" s="4" t="str">
        <f>IFERROR(__xludf.DUMMYFUNCTION("""COMPUTED_VALUE"""),"Saipos Serviços De Software")</f>
        <v>Saipos Serviços De Software</v>
      </c>
      <c r="V4866" s="33">
        <f>IFERROR(__xludf.DUMMYFUNCTION("""COMPUTED_VALUE"""),0.5)</f>
        <v>0.5</v>
      </c>
      <c r="W4866" s="4" t="str">
        <f>IFERROR(__xludf.DUMMYFUNCTION("""COMPUTED_VALUE"""),"Saipos Serviços De Software")</f>
        <v>Saipos Serviços De Software</v>
      </c>
      <c r="X4866" s="33">
        <f>IFERROR(__xludf.DUMMYFUNCTION("""COMPUTED_VALUE"""),0.5)</f>
        <v>0.5</v>
      </c>
    </row>
    <row r="4867">
      <c r="K4867" s="4" t="str">
        <f>IFERROR(__xludf.DUMMYFUNCTION("""COMPUTED_VALUE"""),"DMARI RESTAURANTE E LANCHONETE")</f>
        <v>DMARI RESTAURANTE E LANCHONETE</v>
      </c>
      <c r="L4867" s="32">
        <f>IFERROR(__xludf.DUMMYFUNCTION("""COMPUTED_VALUE"""),2.0)</f>
        <v>2</v>
      </c>
      <c r="M4867" s="4" t="str">
        <f>IFERROR(__xludf.DUMMYFUNCTION("""COMPUTED_VALUE"""),"Sagres Automação Comercial")</f>
        <v>Sagres Automação Comercial</v>
      </c>
      <c r="N4867" s="33">
        <f>IFERROR(__xludf.DUMMYFUNCTION("""COMPUTED_VALUE"""),1.0)</f>
        <v>1</v>
      </c>
      <c r="O4867" s="4" t="str">
        <f>IFERROR(__xludf.DUMMYFUNCTION("""COMPUTED_VALUE"""),"Sagres Automação Comercial")</f>
        <v>Sagres Automação Comercial</v>
      </c>
      <c r="P4867" s="33">
        <f>IFERROR(__xludf.DUMMYFUNCTION("""COMPUTED_VALUE"""),1.0)</f>
        <v>1</v>
      </c>
      <c r="Q4867" s="4" t="str">
        <f>IFERROR(__xludf.DUMMYFUNCTION("""COMPUTED_VALUE"""),"Sagres Automação Comercial")</f>
        <v>Sagres Automação Comercial</v>
      </c>
      <c r="R4867" s="33">
        <f>IFERROR(__xludf.DUMMYFUNCTION("""COMPUTED_VALUE"""),1.0)</f>
        <v>1</v>
      </c>
      <c r="S4867" s="4" t="str">
        <f>IFERROR(__xludf.DUMMYFUNCTION("""COMPUTED_VALUE"""),"Sagres Automação Comercial")</f>
        <v>Sagres Automação Comercial</v>
      </c>
      <c r="T4867" s="33">
        <f>IFERROR(__xludf.DUMMYFUNCTION("""COMPUTED_VALUE"""),1.0)</f>
        <v>1</v>
      </c>
      <c r="U4867" s="4" t="str">
        <f>IFERROR(__xludf.DUMMYFUNCTION("""COMPUTED_VALUE"""),"Sagres Automação Comercial")</f>
        <v>Sagres Automação Comercial</v>
      </c>
      <c r="V4867" s="33">
        <f>IFERROR(__xludf.DUMMYFUNCTION("""COMPUTED_VALUE"""),1.0)</f>
        <v>1</v>
      </c>
      <c r="W4867" s="4" t="str">
        <f>IFERROR(__xludf.DUMMYFUNCTION("""COMPUTED_VALUE"""),"Sagres Automação Comercial")</f>
        <v>Sagres Automação Comercial</v>
      </c>
      <c r="X4867" s="33">
        <f>IFERROR(__xludf.DUMMYFUNCTION("""COMPUTED_VALUE"""),1.0)</f>
        <v>1</v>
      </c>
    </row>
    <row r="4868">
      <c r="K4868" s="4" t="str">
        <f>IFERROR(__xludf.DUMMYFUNCTION("""COMPUTED_VALUE"""),"PIZZARIA DOIS IRMAOS")</f>
        <v>PIZZARIA DOIS IRMAOS</v>
      </c>
      <c r="L4868" s="32">
        <f>IFERROR(__xludf.DUMMYFUNCTION("""COMPUTED_VALUE"""),2.0)</f>
        <v>2</v>
      </c>
      <c r="M4868" s="4" t="str">
        <f>IFERROR(__xludf.DUMMYFUNCTION("""COMPUTED_VALUE"""),"Yooga")</f>
        <v>Yooga</v>
      </c>
      <c r="N4868" s="33">
        <f>IFERROR(__xludf.DUMMYFUNCTION("""COMPUTED_VALUE"""),0.5)</f>
        <v>0.5</v>
      </c>
      <c r="O4868" s="4" t="str">
        <f>IFERROR(__xludf.DUMMYFUNCTION("""COMPUTED_VALUE"""),"Yooga")</f>
        <v>Yooga</v>
      </c>
      <c r="P4868" s="33">
        <f>IFERROR(__xludf.DUMMYFUNCTION("""COMPUTED_VALUE"""),0.5)</f>
        <v>0.5</v>
      </c>
      <c r="Q4868" s="4" t="str">
        <f>IFERROR(__xludf.DUMMYFUNCTION("""COMPUTED_VALUE"""),"Yooga")</f>
        <v>Yooga</v>
      </c>
      <c r="R4868" s="33">
        <f>IFERROR(__xludf.DUMMYFUNCTION("""COMPUTED_VALUE"""),0.5)</f>
        <v>0.5</v>
      </c>
      <c r="S4868" s="4" t="str">
        <f>IFERROR(__xludf.DUMMYFUNCTION("""COMPUTED_VALUE"""),"Yooga")</f>
        <v>Yooga</v>
      </c>
      <c r="T4868" s="33">
        <f>IFERROR(__xludf.DUMMYFUNCTION("""COMPUTED_VALUE"""),0.5)</f>
        <v>0.5</v>
      </c>
      <c r="U4868" s="4" t="str">
        <f>IFERROR(__xludf.DUMMYFUNCTION("""COMPUTED_VALUE"""),"Yooga")</f>
        <v>Yooga</v>
      </c>
      <c r="V4868" s="33">
        <f>IFERROR(__xludf.DUMMYFUNCTION("""COMPUTED_VALUE"""),0.5)</f>
        <v>0.5</v>
      </c>
      <c r="W4868" s="4" t="str">
        <f>IFERROR(__xludf.DUMMYFUNCTION("""COMPUTED_VALUE"""),"Yooga")</f>
        <v>Yooga</v>
      </c>
      <c r="X4868" s="33">
        <f>IFERROR(__xludf.DUMMYFUNCTION("""COMPUTED_VALUE"""),0.5)</f>
        <v>0.5</v>
      </c>
    </row>
    <row r="4869">
      <c r="K4869" s="4" t="str">
        <f>IFERROR(__xludf.DUMMYFUNCTION("""COMPUTED_VALUE"""),"TRIP BURGER")</f>
        <v>TRIP BURGER</v>
      </c>
      <c r="L4869" s="32">
        <f>IFERROR(__xludf.DUMMYFUNCTION("""COMPUTED_VALUE"""),2.0)</f>
        <v>2</v>
      </c>
      <c r="M4869" s="4" t="str">
        <f>IFERROR(__xludf.DUMMYFUNCTION("""COMPUTED_VALUE"""),"Suitable Tecnologia E Gestao")</f>
        <v>Suitable Tecnologia E Gestao</v>
      </c>
      <c r="N4869" s="33">
        <f>IFERROR(__xludf.DUMMYFUNCTION("""COMPUTED_VALUE"""),0.5)</f>
        <v>0.5</v>
      </c>
      <c r="O4869" s="4" t="str">
        <f>IFERROR(__xludf.DUMMYFUNCTION("""COMPUTED_VALUE"""),"Suitable Tecnologia E Gestao")</f>
        <v>Suitable Tecnologia E Gestao</v>
      </c>
      <c r="P4869" s="33">
        <f>IFERROR(__xludf.DUMMYFUNCTION("""COMPUTED_VALUE"""),0.5)</f>
        <v>0.5</v>
      </c>
      <c r="Q4869" s="4" t="str">
        <f>IFERROR(__xludf.DUMMYFUNCTION("""COMPUTED_VALUE"""),"Suitable Tecnologia E Gestao")</f>
        <v>Suitable Tecnologia E Gestao</v>
      </c>
      <c r="R4869" s="33">
        <f>IFERROR(__xludf.DUMMYFUNCTION("""COMPUTED_VALUE"""),0.5)</f>
        <v>0.5</v>
      </c>
      <c r="S4869" s="4" t="str">
        <f>IFERROR(__xludf.DUMMYFUNCTION("""COMPUTED_VALUE"""),"Suitable Tecnologia E Gestao")</f>
        <v>Suitable Tecnologia E Gestao</v>
      </c>
      <c r="T4869" s="33">
        <f>IFERROR(__xludf.DUMMYFUNCTION("""COMPUTED_VALUE"""),0.5)</f>
        <v>0.5</v>
      </c>
      <c r="U4869" s="4" t="str">
        <f>IFERROR(__xludf.DUMMYFUNCTION("""COMPUTED_VALUE"""),"Suitable Tecnologia E Gestao")</f>
        <v>Suitable Tecnologia E Gestao</v>
      </c>
      <c r="V4869" s="33">
        <f>IFERROR(__xludf.DUMMYFUNCTION("""COMPUTED_VALUE"""),0.5)</f>
        <v>0.5</v>
      </c>
      <c r="W4869" s="4" t="str">
        <f>IFERROR(__xludf.DUMMYFUNCTION("""COMPUTED_VALUE"""),"Suitable Tecnologia E Gestao")</f>
        <v>Suitable Tecnologia E Gestao</v>
      </c>
      <c r="X4869" s="33">
        <f>IFERROR(__xludf.DUMMYFUNCTION("""COMPUTED_VALUE"""),0.5)</f>
        <v>0.5</v>
      </c>
    </row>
    <row r="4870">
      <c r="K4870" s="4" t="str">
        <f>IFERROR(__xludf.DUMMYFUNCTION("""COMPUTED_VALUE"""),"DESCONTAO FARMA")</f>
        <v>DESCONTAO FARMA</v>
      </c>
      <c r="L4870" s="32">
        <f>IFERROR(__xludf.DUMMYFUNCTION("""COMPUTED_VALUE"""),2.0)</f>
        <v>2</v>
      </c>
      <c r="M4870" s="4" t="str">
        <f>IFERROR(__xludf.DUMMYFUNCTION("""COMPUTED_VALUE"""),"N/A (Not found)")</f>
        <v>N/A (Not found)</v>
      </c>
      <c r="N4870" s="33">
        <f>IFERROR(__xludf.DUMMYFUNCTION("""COMPUTED_VALUE"""),0.5)</f>
        <v>0.5</v>
      </c>
      <c r="O4870" s="4" t="str">
        <f>IFERROR(__xludf.DUMMYFUNCTION("""COMPUTED_VALUE"""),"N/A (Not found)")</f>
        <v>N/A (Not found)</v>
      </c>
      <c r="P4870" s="33">
        <f>IFERROR(__xludf.DUMMYFUNCTION("""COMPUTED_VALUE"""),0.5)</f>
        <v>0.5</v>
      </c>
      <c r="Q4870" s="4" t="str">
        <f>IFERROR(__xludf.DUMMYFUNCTION("""COMPUTED_VALUE"""),"N/A (Not found)")</f>
        <v>N/A (Not found)</v>
      </c>
      <c r="R4870" s="33">
        <f>IFERROR(__xludf.DUMMYFUNCTION("""COMPUTED_VALUE"""),0.5)</f>
        <v>0.5</v>
      </c>
      <c r="S4870" s="4" t="str">
        <f>IFERROR(__xludf.DUMMYFUNCTION("""COMPUTED_VALUE"""),"N/A (Not found)")</f>
        <v>N/A (Not found)</v>
      </c>
      <c r="T4870" s="33">
        <f>IFERROR(__xludf.DUMMYFUNCTION("""COMPUTED_VALUE"""),0.5)</f>
        <v>0.5</v>
      </c>
      <c r="U4870" s="4" t="str">
        <f>IFERROR(__xludf.DUMMYFUNCTION("""COMPUTED_VALUE"""),"N/A (Not found)")</f>
        <v>N/A (Not found)</v>
      </c>
      <c r="V4870" s="33">
        <f>IFERROR(__xludf.DUMMYFUNCTION("""COMPUTED_VALUE"""),1.0)</f>
        <v>1</v>
      </c>
      <c r="W4870" s="4" t="str">
        <f>IFERROR(__xludf.DUMMYFUNCTION("""COMPUTED_VALUE"""),"N/A (Not found)")</f>
        <v>N/A (Not found)</v>
      </c>
      <c r="X4870" s="33">
        <f>IFERROR(__xludf.DUMMYFUNCTION("""COMPUTED_VALUE"""),0.5)</f>
        <v>0.5</v>
      </c>
    </row>
    <row r="4871">
      <c r="K4871" s="4" t="str">
        <f>IFERROR(__xludf.DUMMYFUNCTION("""COMPUTED_VALUE"""),"RESTAURANTE BOM TEMPERO")</f>
        <v>RESTAURANTE BOM TEMPERO</v>
      </c>
      <c r="L4871" s="32">
        <f>IFERROR(__xludf.DUMMYFUNCTION("""COMPUTED_VALUE"""),2.0)</f>
        <v>2</v>
      </c>
      <c r="M4871" s="4" t="str">
        <f>IFERROR(__xludf.DUMMYFUNCTION("""COMPUTED_VALUE"""),"Anota Ai Solucoes Digitais S/a")</f>
        <v>Anota Ai Solucoes Digitais S/a</v>
      </c>
      <c r="N4871" s="33">
        <f>IFERROR(__xludf.DUMMYFUNCTION("""COMPUTED_VALUE"""),0.5)</f>
        <v>0.5</v>
      </c>
      <c r="O4871" s="4" t="str">
        <f>IFERROR(__xludf.DUMMYFUNCTION("""COMPUTED_VALUE"""),"Anota Ai Solucoes Digitais S/a")</f>
        <v>Anota Ai Solucoes Digitais S/a</v>
      </c>
      <c r="P4871" s="33">
        <f>IFERROR(__xludf.DUMMYFUNCTION("""COMPUTED_VALUE"""),0.5)</f>
        <v>0.5</v>
      </c>
      <c r="Q4871" s="4" t="str">
        <f>IFERROR(__xludf.DUMMYFUNCTION("""COMPUTED_VALUE"""),"Anota Ai Solucoes Digitais S/a")</f>
        <v>Anota Ai Solucoes Digitais S/a</v>
      </c>
      <c r="R4871" s="33">
        <f>IFERROR(__xludf.DUMMYFUNCTION("""COMPUTED_VALUE"""),0.5)</f>
        <v>0.5</v>
      </c>
      <c r="S4871" s="4" t="str">
        <f>IFERROR(__xludf.DUMMYFUNCTION("""COMPUTED_VALUE"""),"Anota Ai Solucoes Digitais S/a")</f>
        <v>Anota Ai Solucoes Digitais S/a</v>
      </c>
      <c r="T4871" s="33">
        <f>IFERROR(__xludf.DUMMYFUNCTION("""COMPUTED_VALUE"""),0.5)</f>
        <v>0.5</v>
      </c>
      <c r="U4871" s="4" t="str">
        <f>IFERROR(__xludf.DUMMYFUNCTION("""COMPUTED_VALUE"""),"Anota Ai Solucoes Digitais S/a")</f>
        <v>Anota Ai Solucoes Digitais S/a</v>
      </c>
      <c r="V4871" s="33">
        <f>IFERROR(__xludf.DUMMYFUNCTION("""COMPUTED_VALUE"""),0.5)</f>
        <v>0.5</v>
      </c>
      <c r="W4871" s="4" t="str">
        <f>IFERROR(__xludf.DUMMYFUNCTION("""COMPUTED_VALUE"""),"Anota Ai Solucoes Digitais S/a")</f>
        <v>Anota Ai Solucoes Digitais S/a</v>
      </c>
      <c r="X4871" s="33">
        <f>IFERROR(__xludf.DUMMYFUNCTION("""COMPUTED_VALUE"""),0.5)</f>
        <v>0.5</v>
      </c>
    </row>
    <row r="4872">
      <c r="K4872" s="4" t="str">
        <f>IFERROR(__xludf.DUMMYFUNCTION("""COMPUTED_VALUE"""),"RIO ACAI GOURMET")</f>
        <v>RIO ACAI GOURMET</v>
      </c>
      <c r="L4872" s="32">
        <f>IFERROR(__xludf.DUMMYFUNCTION("""COMPUTED_VALUE"""),2.0)</f>
        <v>2</v>
      </c>
      <c r="M4872" s="4" t="str">
        <f>IFERROR(__xludf.DUMMYFUNCTION("""COMPUTED_VALUE"""),"Saipos Serviços De Software")</f>
        <v>Saipos Serviços De Software</v>
      </c>
      <c r="N4872" s="33">
        <f>IFERROR(__xludf.DUMMYFUNCTION("""COMPUTED_VALUE"""),1.0)</f>
        <v>1</v>
      </c>
      <c r="O4872" s="4" t="str">
        <f>IFERROR(__xludf.DUMMYFUNCTION("""COMPUTED_VALUE"""),"Saipos Serviços De Software")</f>
        <v>Saipos Serviços De Software</v>
      </c>
      <c r="P4872" s="33">
        <f>IFERROR(__xludf.DUMMYFUNCTION("""COMPUTED_VALUE"""),1.0)</f>
        <v>1</v>
      </c>
      <c r="Q4872" s="4" t="str">
        <f>IFERROR(__xludf.DUMMYFUNCTION("""COMPUTED_VALUE"""),"Saipos Serviços De Software")</f>
        <v>Saipos Serviços De Software</v>
      </c>
      <c r="R4872" s="33">
        <f>IFERROR(__xludf.DUMMYFUNCTION("""COMPUTED_VALUE"""),1.0)</f>
        <v>1</v>
      </c>
      <c r="S4872" s="4" t="str">
        <f>IFERROR(__xludf.DUMMYFUNCTION("""COMPUTED_VALUE"""),"Saipos Serviços De Software")</f>
        <v>Saipos Serviços De Software</v>
      </c>
      <c r="T4872" s="33">
        <f>IFERROR(__xludf.DUMMYFUNCTION("""COMPUTED_VALUE"""),0.5)</f>
        <v>0.5</v>
      </c>
      <c r="U4872" s="4" t="str">
        <f>IFERROR(__xludf.DUMMYFUNCTION("""COMPUTED_VALUE"""),"Suitable Tecnologia E Gestao")</f>
        <v>Suitable Tecnologia E Gestao</v>
      </c>
      <c r="V4872" s="33">
        <f>IFERROR(__xludf.DUMMYFUNCTION("""COMPUTED_VALUE"""),1.0)</f>
        <v>1</v>
      </c>
      <c r="W4872" s="4" t="str">
        <f>IFERROR(__xludf.DUMMYFUNCTION("""COMPUTED_VALUE"""),"Suitable Tecnologia E Gestao")</f>
        <v>Suitable Tecnologia E Gestao</v>
      </c>
      <c r="X4872" s="33">
        <f>IFERROR(__xludf.DUMMYFUNCTION("""COMPUTED_VALUE"""),1.0)</f>
        <v>1</v>
      </c>
    </row>
    <row r="4873">
      <c r="K4873" s="4" t="str">
        <f>IFERROR(__xludf.DUMMYFUNCTION("""COMPUTED_VALUE"""),"GOOD GREEN - COMIDA SAUDAVEL")</f>
        <v>GOOD GREEN - COMIDA SAUDAVEL</v>
      </c>
      <c r="L4873" s="32">
        <f>IFERROR(__xludf.DUMMYFUNCTION("""COMPUTED_VALUE"""),2.0)</f>
        <v>2</v>
      </c>
      <c r="M4873" s="4" t="str">
        <f>IFERROR(__xludf.DUMMYFUNCTION("""COMPUTED_VALUE"""),"Anota Ai Solucoes Digitais S/a")</f>
        <v>Anota Ai Solucoes Digitais S/a</v>
      </c>
      <c r="N4873" s="33">
        <f>IFERROR(__xludf.DUMMYFUNCTION("""COMPUTED_VALUE"""),0.5)</f>
        <v>0.5</v>
      </c>
      <c r="O4873" s="4" t="str">
        <f>IFERROR(__xludf.DUMMYFUNCTION("""COMPUTED_VALUE"""),"Anota Ai Solucoes Digitais S/a")</f>
        <v>Anota Ai Solucoes Digitais S/a</v>
      </c>
      <c r="P4873" s="33">
        <f>IFERROR(__xludf.DUMMYFUNCTION("""COMPUTED_VALUE"""),0.5)</f>
        <v>0.5</v>
      </c>
      <c r="Q4873" s="4" t="str">
        <f>IFERROR(__xludf.DUMMYFUNCTION("""COMPUTED_VALUE"""),"Anota Ai Solucoes Digitais S/a")</f>
        <v>Anota Ai Solucoes Digitais S/a</v>
      </c>
      <c r="R4873" s="33">
        <f>IFERROR(__xludf.DUMMYFUNCTION("""COMPUTED_VALUE"""),0.5)</f>
        <v>0.5</v>
      </c>
      <c r="S4873" s="4" t="str">
        <f>IFERROR(__xludf.DUMMYFUNCTION("""COMPUTED_VALUE"""),"Anota Ai Solucoes Digitais S/a")</f>
        <v>Anota Ai Solucoes Digitais S/a</v>
      </c>
      <c r="T4873" s="33">
        <f>IFERROR(__xludf.DUMMYFUNCTION("""COMPUTED_VALUE"""),0.5)</f>
        <v>0.5</v>
      </c>
      <c r="U4873" s="4" t="str">
        <f>IFERROR(__xludf.DUMMYFUNCTION("""COMPUTED_VALUE"""),"Anota Ai Solucoes Digitais S/a")</f>
        <v>Anota Ai Solucoes Digitais S/a</v>
      </c>
      <c r="V4873" s="33">
        <f>IFERROR(__xludf.DUMMYFUNCTION("""COMPUTED_VALUE"""),0.5)</f>
        <v>0.5</v>
      </c>
      <c r="W4873" s="4" t="str">
        <f>IFERROR(__xludf.DUMMYFUNCTION("""COMPUTED_VALUE"""),"Anota Ai Solucoes Digitais S/a")</f>
        <v>Anota Ai Solucoes Digitais S/a</v>
      </c>
      <c r="X4873" s="33">
        <f>IFERROR(__xludf.DUMMYFUNCTION("""COMPUTED_VALUE"""),0.5)</f>
        <v>0.5</v>
      </c>
    </row>
    <row r="4874">
      <c r="K4874" s="4" t="str">
        <f>IFERROR(__xludf.DUMMYFUNCTION("""COMPUTED_VALUE"""),"KATHY GOURMET")</f>
        <v>KATHY GOURMET</v>
      </c>
      <c r="L4874" s="32">
        <f>IFERROR(__xludf.DUMMYFUNCTION("""COMPUTED_VALUE"""),2.0)</f>
        <v>2</v>
      </c>
      <c r="M4874" s="4" t="str">
        <f>IFERROR(__xludf.DUMMYFUNCTION("""COMPUTED_VALUE"""),"Saipos Serviços De Software")</f>
        <v>Saipos Serviços De Software</v>
      </c>
      <c r="N4874" s="33">
        <f>IFERROR(__xludf.DUMMYFUNCTION("""COMPUTED_VALUE"""),1.0)</f>
        <v>1</v>
      </c>
      <c r="O4874" s="4" t="str">
        <f>IFERROR(__xludf.DUMMYFUNCTION("""COMPUTED_VALUE"""),"Saipos Serviços De Software")</f>
        <v>Saipos Serviços De Software</v>
      </c>
      <c r="P4874" s="33">
        <f>IFERROR(__xludf.DUMMYFUNCTION("""COMPUTED_VALUE"""),1.0)</f>
        <v>1</v>
      </c>
      <c r="Q4874" s="4" t="str">
        <f>IFERROR(__xludf.DUMMYFUNCTION("""COMPUTED_VALUE"""),"Saipos Serviços De Software")</f>
        <v>Saipos Serviços De Software</v>
      </c>
      <c r="R4874" s="33">
        <f>IFERROR(__xludf.DUMMYFUNCTION("""COMPUTED_VALUE"""),1.0)</f>
        <v>1</v>
      </c>
      <c r="S4874" s="4" t="str">
        <f>IFERROR(__xludf.DUMMYFUNCTION("""COMPUTED_VALUE"""),"Saipos Serviços De Software")</f>
        <v>Saipos Serviços De Software</v>
      </c>
      <c r="T4874" s="33">
        <f>IFERROR(__xludf.DUMMYFUNCTION("""COMPUTED_VALUE"""),0.5)</f>
        <v>0.5</v>
      </c>
      <c r="U4874" s="4" t="str">
        <f>IFERROR(__xludf.DUMMYFUNCTION("""COMPUTED_VALUE"""),"Saipos Serviços De Software")</f>
        <v>Saipos Serviços De Software</v>
      </c>
      <c r="V4874" s="33">
        <f>IFERROR(__xludf.DUMMYFUNCTION("""COMPUTED_VALUE"""),0.5)</f>
        <v>0.5</v>
      </c>
      <c r="W4874" s="4" t="str">
        <f>IFERROR(__xludf.DUMMYFUNCTION("""COMPUTED_VALUE"""),"Saipos Serviços De Software")</f>
        <v>Saipos Serviços De Software</v>
      </c>
      <c r="X4874" s="33">
        <f>IFERROR(__xludf.DUMMYFUNCTION("""COMPUTED_VALUE"""),0.5)</f>
        <v>0.5</v>
      </c>
    </row>
    <row r="4875">
      <c r="K4875" s="4" t="str">
        <f>IFERROR(__xludf.DUMMYFUNCTION("""COMPUTED_VALUE"""),"QUINTAL VEGAN")</f>
        <v>QUINTAL VEGAN</v>
      </c>
      <c r="L4875" s="32">
        <f>IFERROR(__xludf.DUMMYFUNCTION("""COMPUTED_VALUE"""),2.0)</f>
        <v>2</v>
      </c>
      <c r="M4875" s="4" t="str">
        <f>IFERROR(__xludf.DUMMYFUNCTION("""COMPUTED_VALUE"""),"null")</f>
        <v>null</v>
      </c>
      <c r="N4875" s="33">
        <f>IFERROR(__xludf.DUMMYFUNCTION("""COMPUTED_VALUE"""),0.5)</f>
        <v>0.5</v>
      </c>
      <c r="O4875" s="4" t="str">
        <f>IFERROR(__xludf.DUMMYFUNCTION("""COMPUTED_VALUE"""),"null")</f>
        <v>null</v>
      </c>
      <c r="P4875" s="33">
        <f>IFERROR(__xludf.DUMMYFUNCTION("""COMPUTED_VALUE"""),0.5)</f>
        <v>0.5</v>
      </c>
      <c r="Q4875" s="4" t="str">
        <f>IFERROR(__xludf.DUMMYFUNCTION("""COMPUTED_VALUE"""),"Saipos Serviços De Software")</f>
        <v>Saipos Serviços De Software</v>
      </c>
      <c r="R4875" s="33">
        <f>IFERROR(__xludf.DUMMYFUNCTION("""COMPUTED_VALUE"""),0.5)</f>
        <v>0.5</v>
      </c>
      <c r="S4875" s="4" t="str">
        <f>IFERROR(__xludf.DUMMYFUNCTION("""COMPUTED_VALUE"""),"Saipos Serviços De Software")</f>
        <v>Saipos Serviços De Software</v>
      </c>
      <c r="T4875" s="33">
        <f>IFERROR(__xludf.DUMMYFUNCTION("""COMPUTED_VALUE"""),0.5)</f>
        <v>0.5</v>
      </c>
      <c r="U4875" s="4" t="str">
        <f>IFERROR(__xludf.DUMMYFUNCTION("""COMPUTED_VALUE"""),"Saipos Serviços De Software")</f>
        <v>Saipos Serviços De Software</v>
      </c>
      <c r="V4875" s="33">
        <f>IFERROR(__xludf.DUMMYFUNCTION("""COMPUTED_VALUE"""),0.5)</f>
        <v>0.5</v>
      </c>
      <c r="W4875" s="4" t="str">
        <f>IFERROR(__xludf.DUMMYFUNCTION("""COMPUTED_VALUE"""),"Saipos Serviços De Software")</f>
        <v>Saipos Serviços De Software</v>
      </c>
      <c r="X4875" s="33">
        <f>IFERROR(__xludf.DUMMYFUNCTION("""COMPUTED_VALUE"""),0.5)</f>
        <v>0.5</v>
      </c>
    </row>
    <row r="4876">
      <c r="K4876" s="4" t="str">
        <f>IFERROR(__xludf.DUMMYFUNCTION("""COMPUTED_VALUE"""),"PIZZARIA CASA NOSTRA")</f>
        <v>PIZZARIA CASA NOSTRA</v>
      </c>
      <c r="L4876" s="32">
        <f>IFERROR(__xludf.DUMMYFUNCTION("""COMPUTED_VALUE"""),2.0)</f>
        <v>2</v>
      </c>
      <c r="M4876" s="4" t="str">
        <f>IFERROR(__xludf.DUMMYFUNCTION("""COMPUTED_VALUE"""),"Grk Soluções Informatica Eireli")</f>
        <v>Grk Soluções Informatica Eireli</v>
      </c>
      <c r="N4876" s="33">
        <f>IFERROR(__xludf.DUMMYFUNCTION("""COMPUTED_VALUE"""),0.5)</f>
        <v>0.5</v>
      </c>
      <c r="O4876" s="4" t="str">
        <f>IFERROR(__xludf.DUMMYFUNCTION("""COMPUTED_VALUE"""),"Grk Soluções Informatica Eireli")</f>
        <v>Grk Soluções Informatica Eireli</v>
      </c>
      <c r="P4876" s="33">
        <f>IFERROR(__xludf.DUMMYFUNCTION("""COMPUTED_VALUE"""),0.5)</f>
        <v>0.5</v>
      </c>
      <c r="Q4876" s="4" t="str">
        <f>IFERROR(__xludf.DUMMYFUNCTION("""COMPUTED_VALUE"""),"Grk Soluções Informatica Eireli")</f>
        <v>Grk Soluções Informatica Eireli</v>
      </c>
      <c r="R4876" s="33">
        <f>IFERROR(__xludf.DUMMYFUNCTION("""COMPUTED_VALUE"""),0.5)</f>
        <v>0.5</v>
      </c>
      <c r="S4876" s="4" t="str">
        <f>IFERROR(__xludf.DUMMYFUNCTION("""COMPUTED_VALUE"""),"Grk Soluções Informatica Eireli")</f>
        <v>Grk Soluções Informatica Eireli</v>
      </c>
      <c r="T4876" s="33">
        <f>IFERROR(__xludf.DUMMYFUNCTION("""COMPUTED_VALUE"""),0.5)</f>
        <v>0.5</v>
      </c>
      <c r="U4876" s="4" t="str">
        <f>IFERROR(__xludf.DUMMYFUNCTION("""COMPUTED_VALUE"""),"Grk Soluções Informatica Eireli")</f>
        <v>Grk Soluções Informatica Eireli</v>
      </c>
      <c r="V4876" s="33">
        <f>IFERROR(__xludf.DUMMYFUNCTION("""COMPUTED_VALUE"""),0.5)</f>
        <v>0.5</v>
      </c>
      <c r="W4876" s="4" t="str">
        <f>IFERROR(__xludf.DUMMYFUNCTION("""COMPUTED_VALUE"""),"Grk Soluções Informatica Eireli")</f>
        <v>Grk Soluções Informatica Eireli</v>
      </c>
      <c r="X4876" s="33">
        <f>IFERROR(__xludf.DUMMYFUNCTION("""COMPUTED_VALUE"""),0.5)</f>
        <v>0.5</v>
      </c>
    </row>
    <row r="4877">
      <c r="K4877" s="4" t="str">
        <f>IFERROR(__xludf.DUMMYFUNCTION("""COMPUTED_VALUE"""),"ESKINA DO ACAI")</f>
        <v>ESKINA DO ACAI</v>
      </c>
      <c r="L4877" s="32">
        <f>IFERROR(__xludf.DUMMYFUNCTION("""COMPUTED_VALUE"""),2.0)</f>
        <v>2</v>
      </c>
      <c r="M4877" s="4" t="str">
        <f>IFERROR(__xludf.DUMMYFUNCTION("""COMPUTED_VALUE"""),"Anota Ai Solucoes Digitais S/a")</f>
        <v>Anota Ai Solucoes Digitais S/a</v>
      </c>
      <c r="N4877" s="33">
        <f>IFERROR(__xludf.DUMMYFUNCTION("""COMPUTED_VALUE"""),1.0)</f>
        <v>1</v>
      </c>
      <c r="O4877" s="4" t="str">
        <f>IFERROR(__xludf.DUMMYFUNCTION("""COMPUTED_VALUE"""),"Anota Ai Solucoes Digitais S/a")</f>
        <v>Anota Ai Solucoes Digitais S/a</v>
      </c>
      <c r="P4877" s="33">
        <f>IFERROR(__xludf.DUMMYFUNCTION("""COMPUTED_VALUE"""),1.0)</f>
        <v>1</v>
      </c>
      <c r="Q4877" s="4" t="str">
        <f>IFERROR(__xludf.DUMMYFUNCTION("""COMPUTED_VALUE"""),"Anota Ai Solucoes Digitais S/a")</f>
        <v>Anota Ai Solucoes Digitais S/a</v>
      </c>
      <c r="R4877" s="33">
        <f>IFERROR(__xludf.DUMMYFUNCTION("""COMPUTED_VALUE"""),1.0)</f>
        <v>1</v>
      </c>
      <c r="S4877" s="4" t="str">
        <f>IFERROR(__xludf.DUMMYFUNCTION("""COMPUTED_VALUE"""),"Anota Ai Solucoes Digitais S/a")</f>
        <v>Anota Ai Solucoes Digitais S/a</v>
      </c>
      <c r="T4877" s="33">
        <f>IFERROR(__xludf.DUMMYFUNCTION("""COMPUTED_VALUE"""),1.0)</f>
        <v>1</v>
      </c>
      <c r="U4877" s="4" t="str">
        <f>IFERROR(__xludf.DUMMYFUNCTION("""COMPUTED_VALUE"""),"Anota Ai Solucoes Digitais S/a")</f>
        <v>Anota Ai Solucoes Digitais S/a</v>
      </c>
      <c r="V4877" s="33">
        <f>IFERROR(__xludf.DUMMYFUNCTION("""COMPUTED_VALUE"""),1.0)</f>
        <v>1</v>
      </c>
      <c r="W4877" s="4" t="str">
        <f>IFERROR(__xludf.DUMMYFUNCTION("""COMPUTED_VALUE"""),"Anota Ai Solucoes Digitais S/a")</f>
        <v>Anota Ai Solucoes Digitais S/a</v>
      </c>
      <c r="X4877" s="33">
        <f>IFERROR(__xludf.DUMMYFUNCTION("""COMPUTED_VALUE"""),1.0)</f>
        <v>1</v>
      </c>
    </row>
    <row r="4878">
      <c r="K4878" s="4" t="str">
        <f>IFERROR(__xludf.DUMMYFUNCTION("""COMPUTED_VALUE"""),"CENTRAL PET SHOP")</f>
        <v>CENTRAL PET SHOP</v>
      </c>
      <c r="L4878" s="32">
        <f>IFERROR(__xludf.DUMMYFUNCTION("""COMPUTED_VALUE"""),2.0)</f>
        <v>2</v>
      </c>
      <c r="M4878" s="4" t="str">
        <f>IFERROR(__xludf.DUMMYFUNCTION("""COMPUTED_VALUE"""),"N/A (Not found)")</f>
        <v>N/A (Not found)</v>
      </c>
      <c r="N4878" s="33">
        <f>IFERROR(__xludf.DUMMYFUNCTION("""COMPUTED_VALUE"""),1.0)</f>
        <v>1</v>
      </c>
      <c r="O4878" s="4" t="str">
        <f>IFERROR(__xludf.DUMMYFUNCTION("""COMPUTED_VALUE"""),"N/A (Not found)")</f>
        <v>N/A (Not found)</v>
      </c>
      <c r="P4878" s="33">
        <f>IFERROR(__xludf.DUMMYFUNCTION("""COMPUTED_VALUE"""),1.0)</f>
        <v>1</v>
      </c>
      <c r="Q4878" s="4" t="str">
        <f>IFERROR(__xludf.DUMMYFUNCTION("""COMPUTED_VALUE"""),"N/A (Not found)")</f>
        <v>N/A (Not found)</v>
      </c>
      <c r="R4878" s="33">
        <f>IFERROR(__xludf.DUMMYFUNCTION("""COMPUTED_VALUE"""),1.0)</f>
        <v>1</v>
      </c>
      <c r="S4878" s="4" t="str">
        <f>IFERROR(__xludf.DUMMYFUNCTION("""COMPUTED_VALUE"""),"N/A (Not found)")</f>
        <v>N/A (Not found)</v>
      </c>
      <c r="T4878" s="33">
        <f>IFERROR(__xludf.DUMMYFUNCTION("""COMPUTED_VALUE"""),1.0)</f>
        <v>1</v>
      </c>
      <c r="U4878" s="4" t="str">
        <f>IFERROR(__xludf.DUMMYFUNCTION("""COMPUTED_VALUE"""),"N/A (Not found)")</f>
        <v>N/A (Not found)</v>
      </c>
      <c r="V4878" s="33">
        <f>IFERROR(__xludf.DUMMYFUNCTION("""COMPUTED_VALUE"""),1.0)</f>
        <v>1</v>
      </c>
      <c r="W4878" s="4" t="str">
        <f>IFERROR(__xludf.DUMMYFUNCTION("""COMPUTED_VALUE"""),"N/A (Not found)")</f>
        <v>N/A (Not found)</v>
      </c>
      <c r="X4878" s="33">
        <f>IFERROR(__xludf.DUMMYFUNCTION("""COMPUTED_VALUE"""),1.0)</f>
        <v>1</v>
      </c>
    </row>
    <row r="4879">
      <c r="K4879" s="4" t="str">
        <f>IFERROR(__xludf.DUMMYFUNCTION("""COMPUTED_VALUE"""),"SUSHI DELICIA")</f>
        <v>SUSHI DELICIA</v>
      </c>
      <c r="L4879" s="32">
        <f>IFERROR(__xludf.DUMMYFUNCTION("""COMPUTED_VALUE"""),2.0)</f>
        <v>2</v>
      </c>
      <c r="M4879" s="4" t="str">
        <f>IFERROR(__xludf.DUMMYFUNCTION("""COMPUTED_VALUE"""),"Menew - Linx")</f>
        <v>Menew - Linx</v>
      </c>
      <c r="N4879" s="33">
        <f>IFERROR(__xludf.DUMMYFUNCTION("""COMPUTED_VALUE"""),0.5)</f>
        <v>0.5</v>
      </c>
      <c r="O4879" s="4" t="str">
        <f>IFERROR(__xludf.DUMMYFUNCTION("""COMPUTED_VALUE"""),"Menew - Linx")</f>
        <v>Menew - Linx</v>
      </c>
      <c r="P4879" s="33">
        <f>IFERROR(__xludf.DUMMYFUNCTION("""COMPUTED_VALUE"""),0.5)</f>
        <v>0.5</v>
      </c>
      <c r="Q4879" s="4" t="str">
        <f>IFERROR(__xludf.DUMMYFUNCTION("""COMPUTED_VALUE"""),"Menew - Linx")</f>
        <v>Menew - Linx</v>
      </c>
      <c r="R4879" s="33">
        <f>IFERROR(__xludf.DUMMYFUNCTION("""COMPUTED_VALUE"""),0.5)</f>
        <v>0.5</v>
      </c>
      <c r="S4879" s="4" t="str">
        <f>IFERROR(__xludf.DUMMYFUNCTION("""COMPUTED_VALUE"""),"Menew - Linx")</f>
        <v>Menew - Linx</v>
      </c>
      <c r="T4879" s="33">
        <f>IFERROR(__xludf.DUMMYFUNCTION("""COMPUTED_VALUE"""),0.5)</f>
        <v>0.5</v>
      </c>
      <c r="U4879" s="4" t="str">
        <f>IFERROR(__xludf.DUMMYFUNCTION("""COMPUTED_VALUE"""),"Menew - Linx")</f>
        <v>Menew - Linx</v>
      </c>
      <c r="V4879" s="33">
        <f>IFERROR(__xludf.DUMMYFUNCTION("""COMPUTED_VALUE"""),0.5)</f>
        <v>0.5</v>
      </c>
      <c r="W4879" s="4" t="str">
        <f>IFERROR(__xludf.DUMMYFUNCTION("""COMPUTED_VALUE"""),"Menew - Linx")</f>
        <v>Menew - Linx</v>
      </c>
      <c r="X4879" s="33">
        <f>IFERROR(__xludf.DUMMYFUNCTION("""COMPUTED_VALUE"""),0.5)</f>
        <v>0.5</v>
      </c>
    </row>
    <row r="4880">
      <c r="K4880" s="4" t="str">
        <f>IFERROR(__xludf.DUMMYFUNCTION("""COMPUTED_VALUE"""),"BROTHERS BURGUERS")</f>
        <v>BROTHERS BURGUERS</v>
      </c>
      <c r="L4880" s="32">
        <f>IFERROR(__xludf.DUMMYFUNCTION("""COMPUTED_VALUE"""),2.0)</f>
        <v>2</v>
      </c>
      <c r="M4880" s="4" t="str">
        <f>IFERROR(__xludf.DUMMYFUNCTION("""COMPUTED_VALUE"""),"Anota Ai Solucoes Digitais S/a")</f>
        <v>Anota Ai Solucoes Digitais S/a</v>
      </c>
      <c r="N4880" s="33">
        <f>IFERROR(__xludf.DUMMYFUNCTION("""COMPUTED_VALUE"""),0.5)</f>
        <v>0.5</v>
      </c>
      <c r="O4880" s="4" t="str">
        <f>IFERROR(__xludf.DUMMYFUNCTION("""COMPUTED_VALUE"""),"Anota Ai Solucoes Digitais S/a")</f>
        <v>Anota Ai Solucoes Digitais S/a</v>
      </c>
      <c r="P4880" s="33">
        <f>IFERROR(__xludf.DUMMYFUNCTION("""COMPUTED_VALUE"""),0.5)</f>
        <v>0.5</v>
      </c>
      <c r="Q4880" s="4" t="str">
        <f>IFERROR(__xludf.DUMMYFUNCTION("""COMPUTED_VALUE"""),"Anota Ai Solucoes Digitais S/a")</f>
        <v>Anota Ai Solucoes Digitais S/a</v>
      </c>
      <c r="R4880" s="33">
        <f>IFERROR(__xludf.DUMMYFUNCTION("""COMPUTED_VALUE"""),0.5)</f>
        <v>0.5</v>
      </c>
      <c r="S4880" s="4" t="str">
        <f>IFERROR(__xludf.DUMMYFUNCTION("""COMPUTED_VALUE"""),"Anota Ai Solucoes Digitais S/a")</f>
        <v>Anota Ai Solucoes Digitais S/a</v>
      </c>
      <c r="T4880" s="33">
        <f>IFERROR(__xludf.DUMMYFUNCTION("""COMPUTED_VALUE"""),0.5)</f>
        <v>0.5</v>
      </c>
      <c r="U4880" s="4" t="str">
        <f>IFERROR(__xludf.DUMMYFUNCTION("""COMPUTED_VALUE"""),"Anota Ai Solucoes Digitais S/a")</f>
        <v>Anota Ai Solucoes Digitais S/a</v>
      </c>
      <c r="V4880" s="33">
        <f>IFERROR(__xludf.DUMMYFUNCTION("""COMPUTED_VALUE"""),0.5)</f>
        <v>0.5</v>
      </c>
      <c r="W4880" s="4" t="str">
        <f>IFERROR(__xludf.DUMMYFUNCTION("""COMPUTED_VALUE"""),"Anota Ai Solucoes Digitais S/a")</f>
        <v>Anota Ai Solucoes Digitais S/a</v>
      </c>
      <c r="X4880" s="33">
        <f>IFERROR(__xludf.DUMMYFUNCTION("""COMPUTED_VALUE"""),0.5)</f>
        <v>0.5</v>
      </c>
    </row>
    <row r="4881">
      <c r="K4881" s="4" t="str">
        <f>IFERROR(__xludf.DUMMYFUNCTION("""COMPUTED_VALUE"""),"LAPPETITOSA PIZZARIA")</f>
        <v>LAPPETITOSA PIZZARIA</v>
      </c>
      <c r="L4881" s="32">
        <f>IFERROR(__xludf.DUMMYFUNCTION("""COMPUTED_VALUE"""),2.0)</f>
        <v>2</v>
      </c>
      <c r="M4881" s="4" t="str">
        <f>IFERROR(__xludf.DUMMYFUNCTION("""COMPUTED_VALUE"""),"Consumer Soluções Em Tecnologia Ltda")</f>
        <v>Consumer Soluções Em Tecnologia Ltda</v>
      </c>
      <c r="N4881" s="33">
        <f>IFERROR(__xludf.DUMMYFUNCTION("""COMPUTED_VALUE"""),0.5)</f>
        <v>0.5</v>
      </c>
      <c r="O4881" s="4" t="str">
        <f>IFERROR(__xludf.DUMMYFUNCTION("""COMPUTED_VALUE"""),"null")</f>
        <v>null</v>
      </c>
      <c r="P4881" s="33">
        <f>IFERROR(__xludf.DUMMYFUNCTION("""COMPUTED_VALUE"""),0.5)</f>
        <v>0.5</v>
      </c>
      <c r="Q4881" s="4" t="str">
        <f>IFERROR(__xludf.DUMMYFUNCTION("""COMPUTED_VALUE"""),"null")</f>
        <v>null</v>
      </c>
      <c r="R4881" s="33">
        <f>IFERROR(__xludf.DUMMYFUNCTION("""COMPUTED_VALUE"""),0.5)</f>
        <v>0.5</v>
      </c>
      <c r="S4881" s="4" t="str">
        <f>IFERROR(__xludf.DUMMYFUNCTION("""COMPUTED_VALUE"""),"null")</f>
        <v>null</v>
      </c>
      <c r="T4881" s="33">
        <f>IFERROR(__xludf.DUMMYFUNCTION("""COMPUTED_VALUE"""),0.5)</f>
        <v>0.5</v>
      </c>
      <c r="U4881" s="4" t="str">
        <f>IFERROR(__xludf.DUMMYFUNCTION("""COMPUTED_VALUE"""),"null")</f>
        <v>null</v>
      </c>
      <c r="V4881" s="33">
        <f>IFERROR(__xludf.DUMMYFUNCTION("""COMPUTED_VALUE"""),0.5)</f>
        <v>0.5</v>
      </c>
      <c r="W4881" s="4" t="str">
        <f>IFERROR(__xludf.DUMMYFUNCTION("""COMPUTED_VALUE"""),"Consumer Soluções Em Tecnologia Ltda")</f>
        <v>Consumer Soluções Em Tecnologia Ltda</v>
      </c>
      <c r="X4881" s="33">
        <f>IFERROR(__xludf.DUMMYFUNCTION("""COMPUTED_VALUE"""),0.5)</f>
        <v>0.5</v>
      </c>
    </row>
    <row r="4882">
      <c r="K4882" s="4" t="str">
        <f>IFERROR(__xludf.DUMMYFUNCTION("""COMPUTED_VALUE"""),"MR ESFIRRA")</f>
        <v>MR ESFIRRA</v>
      </c>
      <c r="L4882" s="32">
        <f>IFERROR(__xludf.DUMMYFUNCTION("""COMPUTED_VALUE"""),2.0)</f>
        <v>2</v>
      </c>
      <c r="M4882" s="4" t="str">
        <f>IFERROR(__xludf.DUMMYFUNCTION("""COMPUTED_VALUE"""),"null")</f>
        <v>null</v>
      </c>
      <c r="N4882" s="33">
        <f>IFERROR(__xludf.DUMMYFUNCTION("""COMPUTED_VALUE"""),0.5)</f>
        <v>0.5</v>
      </c>
      <c r="O4882" s="4" t="str">
        <f>IFERROR(__xludf.DUMMYFUNCTION("""COMPUTED_VALUE"""),"null")</f>
        <v>null</v>
      </c>
      <c r="P4882" s="33">
        <f>IFERROR(__xludf.DUMMYFUNCTION("""COMPUTED_VALUE"""),0.5)</f>
        <v>0.5</v>
      </c>
      <c r="Q4882" s="4" t="str">
        <f>IFERROR(__xludf.DUMMYFUNCTION("""COMPUTED_VALUE"""),"Saipos Serviços De Software")</f>
        <v>Saipos Serviços De Software</v>
      </c>
      <c r="R4882" s="33">
        <f>IFERROR(__xludf.DUMMYFUNCTION("""COMPUTED_VALUE"""),0.5)</f>
        <v>0.5</v>
      </c>
      <c r="S4882" s="4" t="str">
        <f>IFERROR(__xludf.DUMMYFUNCTION("""COMPUTED_VALUE"""),"Saipos Serviços De Software")</f>
        <v>Saipos Serviços De Software</v>
      </c>
      <c r="T4882" s="33">
        <f>IFERROR(__xludf.DUMMYFUNCTION("""COMPUTED_VALUE"""),0.5)</f>
        <v>0.5</v>
      </c>
      <c r="U4882" s="4" t="str">
        <f>IFERROR(__xludf.DUMMYFUNCTION("""COMPUTED_VALUE"""),"Saipos Serviços De Software")</f>
        <v>Saipos Serviços De Software</v>
      </c>
      <c r="V4882" s="33">
        <f>IFERROR(__xludf.DUMMYFUNCTION("""COMPUTED_VALUE"""),0.5)</f>
        <v>0.5</v>
      </c>
      <c r="W4882" s="4" t="str">
        <f>IFERROR(__xludf.DUMMYFUNCTION("""COMPUTED_VALUE"""),"Saipos Serviços De Software")</f>
        <v>Saipos Serviços De Software</v>
      </c>
      <c r="X4882" s="33">
        <f>IFERROR(__xludf.DUMMYFUNCTION("""COMPUTED_VALUE"""),0.5)</f>
        <v>0.5</v>
      </c>
    </row>
    <row r="4883">
      <c r="K4883" s="4" t="str">
        <f>IFERROR(__xludf.DUMMYFUNCTION("""COMPUTED_VALUE"""),"KLEBER LANCHES")</f>
        <v>KLEBER LANCHES</v>
      </c>
      <c r="L4883" s="32">
        <f>IFERROR(__xludf.DUMMYFUNCTION("""COMPUTED_VALUE"""),2.0)</f>
        <v>2</v>
      </c>
      <c r="M4883" s="4" t="str">
        <f>IFERROR(__xludf.DUMMYFUNCTION("""COMPUTED_VALUE"""),"Saipos Serviços De Software")</f>
        <v>Saipos Serviços De Software</v>
      </c>
      <c r="N4883" s="33">
        <f>IFERROR(__xludf.DUMMYFUNCTION("""COMPUTED_VALUE"""),0.5)</f>
        <v>0.5</v>
      </c>
      <c r="O4883" s="4" t="str">
        <f>IFERROR(__xludf.DUMMYFUNCTION("""COMPUTED_VALUE"""),"Saipos Serviços De Software")</f>
        <v>Saipos Serviços De Software</v>
      </c>
      <c r="P4883" s="33">
        <f>IFERROR(__xludf.DUMMYFUNCTION("""COMPUTED_VALUE"""),0.5)</f>
        <v>0.5</v>
      </c>
      <c r="Q4883" s="4" t="str">
        <f>IFERROR(__xludf.DUMMYFUNCTION("""COMPUTED_VALUE"""),"Saipos Serviços De Software")</f>
        <v>Saipos Serviços De Software</v>
      </c>
      <c r="R4883" s="33">
        <f>IFERROR(__xludf.DUMMYFUNCTION("""COMPUTED_VALUE"""),0.5)</f>
        <v>0.5</v>
      </c>
      <c r="S4883" s="4" t="str">
        <f>IFERROR(__xludf.DUMMYFUNCTION("""COMPUTED_VALUE"""),"Saipos Serviços De Software")</f>
        <v>Saipos Serviços De Software</v>
      </c>
      <c r="T4883" s="33">
        <f>IFERROR(__xludf.DUMMYFUNCTION("""COMPUTED_VALUE"""),0.5)</f>
        <v>0.5</v>
      </c>
      <c r="U4883" s="4" t="str">
        <f>IFERROR(__xludf.DUMMYFUNCTION("""COMPUTED_VALUE"""),"Saipos Serviços De Software")</f>
        <v>Saipos Serviços De Software</v>
      </c>
      <c r="V4883" s="33">
        <f>IFERROR(__xludf.DUMMYFUNCTION("""COMPUTED_VALUE"""),0.5)</f>
        <v>0.5</v>
      </c>
      <c r="W4883" s="4" t="str">
        <f>IFERROR(__xludf.DUMMYFUNCTION("""COMPUTED_VALUE"""),"Saipos Serviços De Software")</f>
        <v>Saipos Serviços De Software</v>
      </c>
      <c r="X4883" s="33">
        <f>IFERROR(__xludf.DUMMYFUNCTION("""COMPUTED_VALUE"""),0.5)</f>
        <v>0.5</v>
      </c>
    </row>
    <row r="4884">
      <c r="K4884" s="4" t="str">
        <f>IFERROR(__xludf.DUMMYFUNCTION("""COMPUTED_VALUE"""),"PIZZARIA IMPERIO")</f>
        <v>PIZZARIA IMPERIO</v>
      </c>
      <c r="L4884" s="32">
        <f>IFERROR(__xludf.DUMMYFUNCTION("""COMPUTED_VALUE"""),2.0)</f>
        <v>2</v>
      </c>
      <c r="M4884" s="4" t="str">
        <f>IFERROR(__xludf.DUMMYFUNCTION("""COMPUTED_VALUE"""),"Cardápio Web")</f>
        <v>Cardápio Web</v>
      </c>
      <c r="N4884" s="33">
        <f>IFERROR(__xludf.DUMMYFUNCTION("""COMPUTED_VALUE"""),0.5)</f>
        <v>0.5</v>
      </c>
      <c r="O4884" s="4" t="str">
        <f>IFERROR(__xludf.DUMMYFUNCTION("""COMPUTED_VALUE"""),"Gama Tecnologias Ltda")</f>
        <v>Gama Tecnologias Ltda</v>
      </c>
      <c r="P4884" s="33">
        <f>IFERROR(__xludf.DUMMYFUNCTION("""COMPUTED_VALUE"""),1.0)</f>
        <v>1</v>
      </c>
      <c r="Q4884" s="4" t="str">
        <f>IFERROR(__xludf.DUMMYFUNCTION("""COMPUTED_VALUE"""),"Cardápio Web")</f>
        <v>Cardápio Web</v>
      </c>
      <c r="R4884" s="33">
        <f>IFERROR(__xludf.DUMMYFUNCTION("""COMPUTED_VALUE"""),0.5)</f>
        <v>0.5</v>
      </c>
      <c r="S4884" s="4" t="str">
        <f>IFERROR(__xludf.DUMMYFUNCTION("""COMPUTED_VALUE"""),"Cardápio Web")</f>
        <v>Cardápio Web</v>
      </c>
      <c r="T4884" s="33">
        <f>IFERROR(__xludf.DUMMYFUNCTION("""COMPUTED_VALUE"""),0.5)</f>
        <v>0.5</v>
      </c>
      <c r="U4884" s="4" t="str">
        <f>IFERROR(__xludf.DUMMYFUNCTION("""COMPUTED_VALUE"""),"Cardápio Web")</f>
        <v>Cardápio Web</v>
      </c>
      <c r="V4884" s="33">
        <f>IFERROR(__xludf.DUMMYFUNCTION("""COMPUTED_VALUE"""),0.5)</f>
        <v>0.5</v>
      </c>
      <c r="W4884" s="4" t="str">
        <f>IFERROR(__xludf.DUMMYFUNCTION("""COMPUTED_VALUE"""),"Cardápio Web")</f>
        <v>Cardápio Web</v>
      </c>
      <c r="X4884" s="33">
        <f>IFERROR(__xludf.DUMMYFUNCTION("""COMPUTED_VALUE"""),0.5)</f>
        <v>0.5</v>
      </c>
    </row>
    <row r="4885">
      <c r="K4885" s="4" t="str">
        <f>IFERROR(__xludf.DUMMYFUNCTION("""COMPUTED_VALUE"""),"PIZZARIA NAPOLI")</f>
        <v>PIZZARIA NAPOLI</v>
      </c>
      <c r="L4885" s="32">
        <f>IFERROR(__xludf.DUMMYFUNCTION("""COMPUTED_VALUE"""),2.0)</f>
        <v>2</v>
      </c>
      <c r="M4885" s="4" t="str">
        <f>IFERROR(__xludf.DUMMYFUNCTION("""COMPUTED_VALUE"""),"Saipos Serviços De Software")</f>
        <v>Saipos Serviços De Software</v>
      </c>
      <c r="N4885" s="33">
        <f>IFERROR(__xludf.DUMMYFUNCTION("""COMPUTED_VALUE"""),0.5)</f>
        <v>0.5</v>
      </c>
      <c r="O4885" s="4" t="str">
        <f>IFERROR(__xludf.DUMMYFUNCTION("""COMPUTED_VALUE"""),"null")</f>
        <v>null</v>
      </c>
      <c r="P4885" s="33">
        <f>IFERROR(__xludf.DUMMYFUNCTION("""COMPUTED_VALUE"""),0.5)</f>
        <v>0.5</v>
      </c>
      <c r="Q4885" s="4" t="str">
        <f>IFERROR(__xludf.DUMMYFUNCTION("""COMPUTED_VALUE"""),"null")</f>
        <v>null</v>
      </c>
      <c r="R4885" s="33">
        <f>IFERROR(__xludf.DUMMYFUNCTION("""COMPUTED_VALUE"""),0.5)</f>
        <v>0.5</v>
      </c>
      <c r="S4885" s="4" t="str">
        <f>IFERROR(__xludf.DUMMYFUNCTION("""COMPUTED_VALUE"""),"null")</f>
        <v>null</v>
      </c>
      <c r="T4885" s="33">
        <f>IFERROR(__xludf.DUMMYFUNCTION("""COMPUTED_VALUE"""),0.5)</f>
        <v>0.5</v>
      </c>
      <c r="U4885" s="4" t="str">
        <f>IFERROR(__xludf.DUMMYFUNCTION("""COMPUTED_VALUE"""),"null")</f>
        <v>null</v>
      </c>
      <c r="V4885" s="33">
        <f>IFERROR(__xludf.DUMMYFUNCTION("""COMPUTED_VALUE"""),0.5)</f>
        <v>0.5</v>
      </c>
      <c r="W4885" s="4" t="str">
        <f>IFERROR(__xludf.DUMMYFUNCTION("""COMPUTED_VALUE"""),"null")</f>
        <v>null</v>
      </c>
      <c r="X4885" s="33">
        <f>IFERROR(__xludf.DUMMYFUNCTION("""COMPUTED_VALUE"""),0.5)</f>
        <v>0.5</v>
      </c>
    </row>
    <row r="4886">
      <c r="K4886" s="4" t="str">
        <f>IFERROR(__xludf.DUMMYFUNCTION("""COMPUTED_VALUE"""),"BURGER PRIME")</f>
        <v>BURGER PRIME</v>
      </c>
      <c r="L4886" s="32">
        <f>IFERROR(__xludf.DUMMYFUNCTION("""COMPUTED_VALUE"""),2.0)</f>
        <v>2</v>
      </c>
      <c r="M4886" s="4" t="str">
        <f>IFERROR(__xludf.DUMMYFUNCTION("""COMPUTED_VALUE"""),"Yooga")</f>
        <v>Yooga</v>
      </c>
      <c r="N4886" s="33">
        <f>IFERROR(__xludf.DUMMYFUNCTION("""COMPUTED_VALUE"""),0.5)</f>
        <v>0.5</v>
      </c>
      <c r="O4886" s="4" t="str">
        <f>IFERROR(__xludf.DUMMYFUNCTION("""COMPUTED_VALUE"""),"null")</f>
        <v>null</v>
      </c>
      <c r="P4886" s="33">
        <f>IFERROR(__xludf.DUMMYFUNCTION("""COMPUTED_VALUE"""),0.5)</f>
        <v>0.5</v>
      </c>
      <c r="Q4886" s="4" t="str">
        <f>IFERROR(__xludf.DUMMYFUNCTION("""COMPUTED_VALUE"""),"null")</f>
        <v>null</v>
      </c>
      <c r="R4886" s="33">
        <f>IFERROR(__xludf.DUMMYFUNCTION("""COMPUTED_VALUE"""),0.5)</f>
        <v>0.5</v>
      </c>
      <c r="S4886" s="4" t="str">
        <f>IFERROR(__xludf.DUMMYFUNCTION("""COMPUTED_VALUE"""),"null")</f>
        <v>null</v>
      </c>
      <c r="T4886" s="33">
        <f>IFERROR(__xludf.DUMMYFUNCTION("""COMPUTED_VALUE"""),1.0)</f>
        <v>1</v>
      </c>
      <c r="U4886" s="4" t="str">
        <f>IFERROR(__xludf.DUMMYFUNCTION("""COMPUTED_VALUE"""),"null")</f>
        <v>null</v>
      </c>
      <c r="V4886" s="33">
        <f>IFERROR(__xludf.DUMMYFUNCTION("""COMPUTED_VALUE"""),1.0)</f>
        <v>1</v>
      </c>
      <c r="W4886" s="4" t="str">
        <f>IFERROR(__xludf.DUMMYFUNCTION("""COMPUTED_VALUE"""),"null")</f>
        <v>null</v>
      </c>
      <c r="X4886" s="33">
        <f>IFERROR(__xludf.DUMMYFUNCTION("""COMPUTED_VALUE"""),1.0)</f>
        <v>1</v>
      </c>
    </row>
    <row r="4887">
      <c r="K4887" s="4" t="str">
        <f>IFERROR(__xludf.DUMMYFUNCTION("""COMPUTED_VALUE"""),"DOMAR SUSHI")</f>
        <v>DOMAR SUSHI</v>
      </c>
      <c r="L4887" s="32">
        <f>IFERROR(__xludf.DUMMYFUNCTION("""COMPUTED_VALUE"""),2.0)</f>
        <v>2</v>
      </c>
      <c r="M4887" s="4" t="str">
        <f>IFERROR(__xludf.DUMMYFUNCTION("""COMPUTED_VALUE"""),"Mp Multipedidos")</f>
        <v>Mp Multipedidos</v>
      </c>
      <c r="N4887" s="33">
        <f>IFERROR(__xludf.DUMMYFUNCTION("""COMPUTED_VALUE"""),1.0)</f>
        <v>1</v>
      </c>
      <c r="O4887" s="4" t="str">
        <f>IFERROR(__xludf.DUMMYFUNCTION("""COMPUTED_VALUE"""),"Mp Multipedidos")</f>
        <v>Mp Multipedidos</v>
      </c>
      <c r="P4887" s="33">
        <f>IFERROR(__xludf.DUMMYFUNCTION("""COMPUTED_VALUE"""),1.0)</f>
        <v>1</v>
      </c>
      <c r="Q4887" s="4" t="str">
        <f>IFERROR(__xludf.DUMMYFUNCTION("""COMPUTED_VALUE"""),"Mp Multipedidos")</f>
        <v>Mp Multipedidos</v>
      </c>
      <c r="R4887" s="33">
        <f>IFERROR(__xludf.DUMMYFUNCTION("""COMPUTED_VALUE"""),1.0)</f>
        <v>1</v>
      </c>
      <c r="S4887" s="4" t="str">
        <f>IFERROR(__xludf.DUMMYFUNCTION("""COMPUTED_VALUE"""),"Mp Multipedidos")</f>
        <v>Mp Multipedidos</v>
      </c>
      <c r="T4887" s="33">
        <f>IFERROR(__xludf.DUMMYFUNCTION("""COMPUTED_VALUE"""),1.0)</f>
        <v>1</v>
      </c>
      <c r="U4887" s="4" t="str">
        <f>IFERROR(__xludf.DUMMYFUNCTION("""COMPUTED_VALUE"""),"Mp Multipedidos")</f>
        <v>Mp Multipedidos</v>
      </c>
      <c r="V4887" s="33">
        <f>IFERROR(__xludf.DUMMYFUNCTION("""COMPUTED_VALUE"""),1.0)</f>
        <v>1</v>
      </c>
      <c r="W4887" s="4" t="str">
        <f>IFERROR(__xludf.DUMMYFUNCTION("""COMPUTED_VALUE"""),"Mp Multipedidos")</f>
        <v>Mp Multipedidos</v>
      </c>
      <c r="X4887" s="33">
        <f>IFERROR(__xludf.DUMMYFUNCTION("""COMPUTED_VALUE"""),1.0)</f>
        <v>1</v>
      </c>
    </row>
    <row r="4888">
      <c r="K4888" s="4" t="str">
        <f>IFERROR(__xludf.DUMMYFUNCTION("""COMPUTED_VALUE"""),"PIZZARIA VILLA ROMANA")</f>
        <v>PIZZARIA VILLA ROMANA</v>
      </c>
      <c r="L4888" s="32">
        <f>IFERROR(__xludf.DUMMYFUNCTION("""COMPUTED_VALUE"""),2.0)</f>
        <v>2</v>
      </c>
      <c r="M4888" s="4" t="str">
        <f>IFERROR(__xludf.DUMMYFUNCTION("""COMPUTED_VALUE"""),"Cardápio Web")</f>
        <v>Cardápio Web</v>
      </c>
      <c r="N4888" s="33">
        <f>IFERROR(__xludf.DUMMYFUNCTION("""COMPUTED_VALUE"""),1.0)</f>
        <v>1</v>
      </c>
      <c r="O4888" s="4" t="str">
        <f>IFERROR(__xludf.DUMMYFUNCTION("""COMPUTED_VALUE"""),"Cardápio Web")</f>
        <v>Cardápio Web</v>
      </c>
      <c r="P4888" s="33">
        <f>IFERROR(__xludf.DUMMYFUNCTION("""COMPUTED_VALUE"""),1.0)</f>
        <v>1</v>
      </c>
      <c r="Q4888" s="4" t="str">
        <f>IFERROR(__xludf.DUMMYFUNCTION("""COMPUTED_VALUE"""),"Cardápio Web")</f>
        <v>Cardápio Web</v>
      </c>
      <c r="R4888" s="33">
        <f>IFERROR(__xludf.DUMMYFUNCTION("""COMPUTED_VALUE"""),1.0)</f>
        <v>1</v>
      </c>
      <c r="S4888" s="4" t="str">
        <f>IFERROR(__xludf.DUMMYFUNCTION("""COMPUTED_VALUE"""),"Cardápio Web")</f>
        <v>Cardápio Web</v>
      </c>
      <c r="T4888" s="33">
        <f>IFERROR(__xludf.DUMMYFUNCTION("""COMPUTED_VALUE"""),1.0)</f>
        <v>1</v>
      </c>
      <c r="U4888" s="4" t="str">
        <f>IFERROR(__xludf.DUMMYFUNCTION("""COMPUTED_VALUE"""),"Cardápio Web")</f>
        <v>Cardápio Web</v>
      </c>
      <c r="V4888" s="33">
        <f>IFERROR(__xludf.DUMMYFUNCTION("""COMPUTED_VALUE"""),1.0)</f>
        <v>1</v>
      </c>
      <c r="W4888" s="4" t="str">
        <f>IFERROR(__xludf.DUMMYFUNCTION("""COMPUTED_VALUE"""),"Cardápio Web")</f>
        <v>Cardápio Web</v>
      </c>
      <c r="X4888" s="33">
        <f>IFERROR(__xludf.DUMMYFUNCTION("""COMPUTED_VALUE"""),1.0)</f>
        <v>1</v>
      </c>
    </row>
    <row r="4889">
      <c r="K4889" s="4" t="str">
        <f>IFERROR(__xludf.DUMMYFUNCTION("""COMPUTED_VALUE"""),"DA CASA HAMBURGUERIA")</f>
        <v>DA CASA HAMBURGUERIA</v>
      </c>
      <c r="L4889" s="32">
        <f>IFERROR(__xludf.DUMMYFUNCTION("""COMPUTED_VALUE"""),2.0)</f>
        <v>2</v>
      </c>
      <c r="M4889" s="4" t="str">
        <f>IFERROR(__xludf.DUMMYFUNCTION("""COMPUTED_VALUE"""),"Cardápio Web")</f>
        <v>Cardápio Web</v>
      </c>
      <c r="N4889" s="33">
        <f>IFERROR(__xludf.DUMMYFUNCTION("""COMPUTED_VALUE"""),0.5)</f>
        <v>0.5</v>
      </c>
      <c r="O4889" s="4" t="str">
        <f>IFERROR(__xludf.DUMMYFUNCTION("""COMPUTED_VALUE"""),"Cardápio Web")</f>
        <v>Cardápio Web</v>
      </c>
      <c r="P4889" s="33">
        <f>IFERROR(__xludf.DUMMYFUNCTION("""COMPUTED_VALUE"""),0.5)</f>
        <v>0.5</v>
      </c>
      <c r="Q4889" s="4" t="str">
        <f>IFERROR(__xludf.DUMMYFUNCTION("""COMPUTED_VALUE"""),"Cardápio Web")</f>
        <v>Cardápio Web</v>
      </c>
      <c r="R4889" s="33">
        <f>IFERROR(__xludf.DUMMYFUNCTION("""COMPUTED_VALUE"""),0.5)</f>
        <v>0.5</v>
      </c>
      <c r="S4889" s="4" t="str">
        <f>IFERROR(__xludf.DUMMYFUNCTION("""COMPUTED_VALUE"""),"Cardápio Web")</f>
        <v>Cardápio Web</v>
      </c>
      <c r="T4889" s="33">
        <f>IFERROR(__xludf.DUMMYFUNCTION("""COMPUTED_VALUE"""),0.5)</f>
        <v>0.5</v>
      </c>
      <c r="U4889" s="4" t="str">
        <f>IFERROR(__xludf.DUMMYFUNCTION("""COMPUTED_VALUE"""),"Cardápio Web")</f>
        <v>Cardápio Web</v>
      </c>
      <c r="V4889" s="33">
        <f>IFERROR(__xludf.DUMMYFUNCTION("""COMPUTED_VALUE"""),0.5)</f>
        <v>0.5</v>
      </c>
      <c r="W4889" s="4" t="str">
        <f>IFERROR(__xludf.DUMMYFUNCTION("""COMPUTED_VALUE"""),"Cardápio Web")</f>
        <v>Cardápio Web</v>
      </c>
      <c r="X4889" s="33">
        <f>IFERROR(__xludf.DUMMYFUNCTION("""COMPUTED_VALUE"""),0.5)</f>
        <v>0.5</v>
      </c>
    </row>
    <row r="4890">
      <c r="K4890" s="4" t="str">
        <f>IFERROR(__xludf.DUMMYFUNCTION("""COMPUTED_VALUE"""),"O FORNO PIZZARIA")</f>
        <v>O FORNO PIZZARIA</v>
      </c>
      <c r="L4890" s="32">
        <f>IFERROR(__xludf.DUMMYFUNCTION("""COMPUTED_VALUE"""),2.0)</f>
        <v>2</v>
      </c>
      <c r="M4890" s="4" t="str">
        <f>IFERROR(__xludf.DUMMYFUNCTION("""COMPUTED_VALUE"""),"Totvs Large Enterprise Tecnologia S.a.")</f>
        <v>Totvs Large Enterprise Tecnologia S.a.</v>
      </c>
      <c r="N4890" s="33">
        <f>IFERROR(__xludf.DUMMYFUNCTION("""COMPUTED_VALUE"""),0.5)</f>
        <v>0.5</v>
      </c>
      <c r="O4890" s="4" t="str">
        <f>IFERROR(__xludf.DUMMYFUNCTION("""COMPUTED_VALUE"""),"null")</f>
        <v>null</v>
      </c>
      <c r="P4890" s="33">
        <f>IFERROR(__xludf.DUMMYFUNCTION("""COMPUTED_VALUE"""),0.5)</f>
        <v>0.5</v>
      </c>
      <c r="Q4890" s="4" t="str">
        <f>IFERROR(__xludf.DUMMYFUNCTION("""COMPUTED_VALUE"""),"null")</f>
        <v>null</v>
      </c>
      <c r="R4890" s="33">
        <f>IFERROR(__xludf.DUMMYFUNCTION("""COMPUTED_VALUE"""),0.5)</f>
        <v>0.5</v>
      </c>
      <c r="S4890" s="4" t="str">
        <f>IFERROR(__xludf.DUMMYFUNCTION("""COMPUTED_VALUE"""),"null")</f>
        <v>null</v>
      </c>
      <c r="T4890" s="33">
        <f>IFERROR(__xludf.DUMMYFUNCTION("""COMPUTED_VALUE"""),0.5)</f>
        <v>0.5</v>
      </c>
      <c r="U4890" s="4" t="str">
        <f>IFERROR(__xludf.DUMMYFUNCTION("""COMPUTED_VALUE"""),"null")</f>
        <v>null</v>
      </c>
      <c r="V4890" s="33">
        <f>IFERROR(__xludf.DUMMYFUNCTION("""COMPUTED_VALUE"""),0.5)</f>
        <v>0.5</v>
      </c>
      <c r="W4890" s="4" t="str">
        <f>IFERROR(__xludf.DUMMYFUNCTION("""COMPUTED_VALUE"""),"Totvs Large Enterprise Tecnologia S.a.")</f>
        <v>Totvs Large Enterprise Tecnologia S.a.</v>
      </c>
      <c r="X4890" s="33">
        <f>IFERROR(__xludf.DUMMYFUNCTION("""COMPUTED_VALUE"""),0.5)</f>
        <v>0.5</v>
      </c>
    </row>
    <row r="4891">
      <c r="K4891" s="4" t="str">
        <f>IFERROR(__xludf.DUMMYFUNCTION("""COMPUTED_VALUE"""),"BADIAO SUPERMERCADO")</f>
        <v>BADIAO SUPERMERCADO</v>
      </c>
      <c r="L4891" s="32">
        <f>IFERROR(__xludf.DUMMYFUNCTION("""COMPUTED_VALUE"""),2.0)</f>
        <v>2</v>
      </c>
      <c r="M4891" s="4" t="str">
        <f>IFERROR(__xludf.DUMMYFUNCTION("""COMPUTED_VALUE"""),"null")</f>
        <v>null</v>
      </c>
      <c r="N4891" s="33">
        <f>IFERROR(__xludf.DUMMYFUNCTION("""COMPUTED_VALUE"""),1.0)</f>
        <v>1</v>
      </c>
      <c r="O4891" s="4" t="str">
        <f>IFERROR(__xludf.DUMMYFUNCTION("""COMPUTED_VALUE"""),"null")</f>
        <v>null</v>
      </c>
      <c r="P4891" s="33">
        <f>IFERROR(__xludf.DUMMYFUNCTION("""COMPUTED_VALUE"""),1.0)</f>
        <v>1</v>
      </c>
      <c r="Q4891" s="4" t="str">
        <f>IFERROR(__xludf.DUMMYFUNCTION("""COMPUTED_VALUE"""),"null")</f>
        <v>null</v>
      </c>
      <c r="R4891" s="33">
        <f>IFERROR(__xludf.DUMMYFUNCTION("""COMPUTED_VALUE"""),1.0)</f>
        <v>1</v>
      </c>
      <c r="S4891" s="4" t="str">
        <f>IFERROR(__xludf.DUMMYFUNCTION("""COMPUTED_VALUE"""),"N/A (Not found)")</f>
        <v>N/A (Not found)</v>
      </c>
      <c r="T4891" s="33">
        <f>IFERROR(__xludf.DUMMYFUNCTION("""COMPUTED_VALUE"""),1.0)</f>
        <v>1</v>
      </c>
      <c r="U4891" s="4" t="str">
        <f>IFERROR(__xludf.DUMMYFUNCTION("""COMPUTED_VALUE"""),"N/A (Not found)")</f>
        <v>N/A (Not found)</v>
      </c>
      <c r="V4891" s="33">
        <f>IFERROR(__xludf.DUMMYFUNCTION("""COMPUTED_VALUE"""),1.0)</f>
        <v>1</v>
      </c>
      <c r="W4891" s="4" t="str">
        <f>IFERROR(__xludf.DUMMYFUNCTION("""COMPUTED_VALUE"""),"N/A (Not found)")</f>
        <v>N/A (Not found)</v>
      </c>
      <c r="X4891" s="33">
        <f>IFERROR(__xludf.DUMMYFUNCTION("""COMPUTED_VALUE"""),1.0)</f>
        <v>1</v>
      </c>
    </row>
    <row r="4892">
      <c r="K4892" s="4" t="str">
        <f>IFERROR(__xludf.DUMMYFUNCTION("""COMPUTED_VALUE"""),"TOSH IN CASA")</f>
        <v>TOSH IN CASA</v>
      </c>
      <c r="L4892" s="32">
        <f>IFERROR(__xludf.DUMMYFUNCTION("""COMPUTED_VALUE"""),2.0)</f>
        <v>2</v>
      </c>
      <c r="M4892" s="4" t="str">
        <f>IFERROR(__xludf.DUMMYFUNCTION("""COMPUTED_VALUE"""),"Eclética Tecnologia")</f>
        <v>Eclética Tecnologia</v>
      </c>
      <c r="N4892" s="33">
        <f>IFERROR(__xludf.DUMMYFUNCTION("""COMPUTED_VALUE"""),0.5)</f>
        <v>0.5</v>
      </c>
      <c r="O4892" s="4" t="str">
        <f>IFERROR(__xludf.DUMMYFUNCTION("""COMPUTED_VALUE"""),"null")</f>
        <v>null</v>
      </c>
      <c r="P4892" s="33">
        <f>IFERROR(__xludf.DUMMYFUNCTION("""COMPUTED_VALUE"""),0.5)</f>
        <v>0.5</v>
      </c>
      <c r="Q4892" s="4" t="str">
        <f>IFERROR(__xludf.DUMMYFUNCTION("""COMPUTED_VALUE"""),"Eclética Tecnologia")</f>
        <v>Eclética Tecnologia</v>
      </c>
      <c r="R4892" s="33">
        <f>IFERROR(__xludf.DUMMYFUNCTION("""COMPUTED_VALUE"""),0.5)</f>
        <v>0.5</v>
      </c>
      <c r="S4892" s="4" t="str">
        <f>IFERROR(__xludf.DUMMYFUNCTION("""COMPUTED_VALUE"""),"null")</f>
        <v>null</v>
      </c>
      <c r="T4892" s="33">
        <f>IFERROR(__xludf.DUMMYFUNCTION("""COMPUTED_VALUE"""),0.5)</f>
        <v>0.5</v>
      </c>
      <c r="U4892" s="4" t="str">
        <f>IFERROR(__xludf.DUMMYFUNCTION("""COMPUTED_VALUE"""),"Eclética Tecnologia")</f>
        <v>Eclética Tecnologia</v>
      </c>
      <c r="V4892" s="33">
        <f>IFERROR(__xludf.DUMMYFUNCTION("""COMPUTED_VALUE"""),0.5)</f>
        <v>0.5</v>
      </c>
      <c r="W4892" s="4" t="str">
        <f>IFERROR(__xludf.DUMMYFUNCTION("""COMPUTED_VALUE"""),"Eclética Tecnologia")</f>
        <v>Eclética Tecnologia</v>
      </c>
      <c r="X4892" s="33">
        <f>IFERROR(__xludf.DUMMYFUNCTION("""COMPUTED_VALUE"""),0.5)</f>
        <v>0.5</v>
      </c>
    </row>
    <row r="4893">
      <c r="K4893" s="4" t="str">
        <f>IFERROR(__xludf.DUMMYFUNCTION("""COMPUTED_VALUE"""),"RESTAURANTE VITORIA")</f>
        <v>RESTAURANTE VITORIA</v>
      </c>
      <c r="L4893" s="32">
        <f>IFERROR(__xludf.DUMMYFUNCTION("""COMPUTED_VALUE"""),2.0)</f>
        <v>2</v>
      </c>
      <c r="M4893" s="4" t="str">
        <f>IFERROR(__xludf.DUMMYFUNCTION("""COMPUTED_VALUE"""),"Consumer Soluções Em Tecnologia Ltda")</f>
        <v>Consumer Soluções Em Tecnologia Ltda</v>
      </c>
      <c r="N4893" s="33">
        <f>IFERROR(__xludf.DUMMYFUNCTION("""COMPUTED_VALUE"""),0.5)</f>
        <v>0.5</v>
      </c>
      <c r="O4893" s="4" t="str">
        <f>IFERROR(__xludf.DUMMYFUNCTION("""COMPUTED_VALUE"""),"Consumer Soluções Em Tecnologia Ltda")</f>
        <v>Consumer Soluções Em Tecnologia Ltda</v>
      </c>
      <c r="P4893" s="33">
        <f>IFERROR(__xludf.DUMMYFUNCTION("""COMPUTED_VALUE"""),0.5)</f>
        <v>0.5</v>
      </c>
      <c r="Q4893" s="4" t="str">
        <f>IFERROR(__xludf.DUMMYFUNCTION("""COMPUTED_VALUE"""),"Consumer Soluções Em Tecnologia Ltda")</f>
        <v>Consumer Soluções Em Tecnologia Ltda</v>
      </c>
      <c r="R4893" s="33">
        <f>IFERROR(__xludf.DUMMYFUNCTION("""COMPUTED_VALUE"""),0.5)</f>
        <v>0.5</v>
      </c>
      <c r="S4893" s="4" t="str">
        <f>IFERROR(__xludf.DUMMYFUNCTION("""COMPUTED_VALUE"""),"Consumer Soluções Em Tecnologia Ltda")</f>
        <v>Consumer Soluções Em Tecnologia Ltda</v>
      </c>
      <c r="T4893" s="33">
        <f>IFERROR(__xludf.DUMMYFUNCTION("""COMPUTED_VALUE"""),0.5)</f>
        <v>0.5</v>
      </c>
      <c r="U4893" s="4" t="str">
        <f>IFERROR(__xludf.DUMMYFUNCTION("""COMPUTED_VALUE"""),"Consumer Soluções Em Tecnologia Ltda")</f>
        <v>Consumer Soluções Em Tecnologia Ltda</v>
      </c>
      <c r="V4893" s="33">
        <f>IFERROR(__xludf.DUMMYFUNCTION("""COMPUTED_VALUE"""),0.5)</f>
        <v>0.5</v>
      </c>
      <c r="W4893" s="4" t="str">
        <f>IFERROR(__xludf.DUMMYFUNCTION("""COMPUTED_VALUE"""),"Consumer Soluções Em Tecnologia Ltda")</f>
        <v>Consumer Soluções Em Tecnologia Ltda</v>
      </c>
      <c r="X4893" s="33">
        <f>IFERROR(__xludf.DUMMYFUNCTION("""COMPUTED_VALUE"""),0.5)</f>
        <v>0.5</v>
      </c>
    </row>
    <row r="4894">
      <c r="K4894" s="4" t="str">
        <f>IFERROR(__xludf.DUMMYFUNCTION("""COMPUTED_VALUE"""),"ROYAL PIZZARIA")</f>
        <v>ROYAL PIZZARIA</v>
      </c>
      <c r="L4894" s="32">
        <f>IFERROR(__xludf.DUMMYFUNCTION("""COMPUTED_VALUE"""),2.0)</f>
        <v>2</v>
      </c>
      <c r="M4894" s="4" t="str">
        <f>IFERROR(__xludf.DUMMYFUNCTION("""COMPUTED_VALUE"""),"null")</f>
        <v>null</v>
      </c>
      <c r="N4894" s="33">
        <f>IFERROR(__xludf.DUMMYFUNCTION("""COMPUTED_VALUE"""),0.5)</f>
        <v>0.5</v>
      </c>
      <c r="O4894" s="4" t="str">
        <f>IFERROR(__xludf.DUMMYFUNCTION("""COMPUTED_VALUE"""),"null")</f>
        <v>null</v>
      </c>
      <c r="P4894" s="33">
        <f>IFERROR(__xludf.DUMMYFUNCTION("""COMPUTED_VALUE"""),0.5)</f>
        <v>0.5</v>
      </c>
      <c r="Q4894" s="4" t="str">
        <f>IFERROR(__xludf.DUMMYFUNCTION("""COMPUTED_VALUE"""),"null")</f>
        <v>null</v>
      </c>
      <c r="R4894" s="33">
        <f>IFERROR(__xludf.DUMMYFUNCTION("""COMPUTED_VALUE"""),0.5)</f>
        <v>0.5</v>
      </c>
      <c r="S4894" s="4" t="str">
        <f>IFERROR(__xludf.DUMMYFUNCTION("""COMPUTED_VALUE"""),"M-du Tecnologia")</f>
        <v>M-du Tecnologia</v>
      </c>
      <c r="T4894" s="33">
        <f>IFERROR(__xludf.DUMMYFUNCTION("""COMPUTED_VALUE"""),0.5)</f>
        <v>0.5</v>
      </c>
      <c r="U4894" s="4" t="str">
        <f>IFERROR(__xludf.DUMMYFUNCTION("""COMPUTED_VALUE"""),"M-du Tecnologia")</f>
        <v>M-du Tecnologia</v>
      </c>
      <c r="V4894" s="33">
        <f>IFERROR(__xludf.DUMMYFUNCTION("""COMPUTED_VALUE"""),0.5)</f>
        <v>0.5</v>
      </c>
      <c r="W4894" s="4" t="str">
        <f>IFERROR(__xludf.DUMMYFUNCTION("""COMPUTED_VALUE"""),"M-du Tecnologia")</f>
        <v>M-du Tecnologia</v>
      </c>
      <c r="X4894" s="33">
        <f>IFERROR(__xludf.DUMMYFUNCTION("""COMPUTED_VALUE"""),0.5)</f>
        <v>0.5</v>
      </c>
    </row>
    <row r="4895">
      <c r="K4895" s="4" t="str">
        <f>IFERROR(__xludf.DUMMYFUNCTION("""COMPUTED_VALUE"""),"ACAI DA MEL")</f>
        <v>ACAI DA MEL</v>
      </c>
      <c r="L4895" s="32">
        <f>IFERROR(__xludf.DUMMYFUNCTION("""COMPUTED_VALUE"""),2.0)</f>
        <v>2</v>
      </c>
      <c r="M4895" s="4" t="str">
        <f>IFERROR(__xludf.DUMMYFUNCTION("""COMPUTED_VALUE"""),"null")</f>
        <v>null</v>
      </c>
      <c r="N4895" s="33">
        <f>IFERROR(__xludf.DUMMYFUNCTION("""COMPUTED_VALUE"""),0.5)</f>
        <v>0.5</v>
      </c>
      <c r="O4895" s="4" t="str">
        <f>IFERROR(__xludf.DUMMYFUNCTION("""COMPUTED_VALUE"""),"null")</f>
        <v>null</v>
      </c>
      <c r="P4895" s="33">
        <f>IFERROR(__xludf.DUMMYFUNCTION("""COMPUTED_VALUE"""),0.5)</f>
        <v>0.5</v>
      </c>
      <c r="Q4895" s="4" t="str">
        <f>IFERROR(__xludf.DUMMYFUNCTION("""COMPUTED_VALUE"""),"Anota Ai Solucoes Digitais S/a")</f>
        <v>Anota Ai Solucoes Digitais S/a</v>
      </c>
      <c r="R4895" s="33">
        <f>IFERROR(__xludf.DUMMYFUNCTION("""COMPUTED_VALUE"""),0.5)</f>
        <v>0.5</v>
      </c>
      <c r="S4895" s="4" t="str">
        <f>IFERROR(__xludf.DUMMYFUNCTION("""COMPUTED_VALUE"""),"Anota Ai Solucoes Digitais S/a")</f>
        <v>Anota Ai Solucoes Digitais S/a</v>
      </c>
      <c r="T4895" s="33">
        <f>IFERROR(__xludf.DUMMYFUNCTION("""COMPUTED_VALUE"""),0.5)</f>
        <v>0.5</v>
      </c>
      <c r="U4895" s="4" t="str">
        <f>IFERROR(__xludf.DUMMYFUNCTION("""COMPUTED_VALUE"""),"Anota Ai Solucoes Digitais S/a")</f>
        <v>Anota Ai Solucoes Digitais S/a</v>
      </c>
      <c r="V4895" s="33">
        <f>IFERROR(__xludf.DUMMYFUNCTION("""COMPUTED_VALUE"""),0.5)</f>
        <v>0.5</v>
      </c>
      <c r="W4895" s="4" t="str">
        <f>IFERROR(__xludf.DUMMYFUNCTION("""COMPUTED_VALUE"""),"Anota Ai Solucoes Digitais S/a")</f>
        <v>Anota Ai Solucoes Digitais S/a</v>
      </c>
      <c r="X4895" s="33">
        <f>IFERROR(__xludf.DUMMYFUNCTION("""COMPUTED_VALUE"""),0.5)</f>
        <v>0.5</v>
      </c>
    </row>
    <row r="4896">
      <c r="K4896" s="4" t="str">
        <f>IFERROR(__xludf.DUMMYFUNCTION("""COMPUTED_VALUE"""),"ANAS BURGER")</f>
        <v>ANAS BURGER</v>
      </c>
      <c r="L4896" s="32">
        <f>IFERROR(__xludf.DUMMYFUNCTION("""COMPUTED_VALUE"""),2.0)</f>
        <v>2</v>
      </c>
      <c r="M4896" s="4" t="str">
        <f>IFERROR(__xludf.DUMMYFUNCTION("""COMPUTED_VALUE"""),"Vuca Solution")</f>
        <v>Vuca Solution</v>
      </c>
      <c r="N4896" s="33">
        <f>IFERROR(__xludf.DUMMYFUNCTION("""COMPUTED_VALUE"""),0.5)</f>
        <v>0.5</v>
      </c>
      <c r="O4896" s="4" t="str">
        <f>IFERROR(__xludf.DUMMYFUNCTION("""COMPUTED_VALUE"""),"Vuca Solution")</f>
        <v>Vuca Solution</v>
      </c>
      <c r="P4896" s="33">
        <f>IFERROR(__xludf.DUMMYFUNCTION("""COMPUTED_VALUE"""),0.5)</f>
        <v>0.5</v>
      </c>
      <c r="Q4896" s="4" t="str">
        <f>IFERROR(__xludf.DUMMYFUNCTION("""COMPUTED_VALUE"""),"Vuca Solution")</f>
        <v>Vuca Solution</v>
      </c>
      <c r="R4896" s="33">
        <f>IFERROR(__xludf.DUMMYFUNCTION("""COMPUTED_VALUE"""),0.5)</f>
        <v>0.5</v>
      </c>
      <c r="S4896" s="4" t="str">
        <f>IFERROR(__xludf.DUMMYFUNCTION("""COMPUTED_VALUE"""),"Saipos Serviços De Software")</f>
        <v>Saipos Serviços De Software</v>
      </c>
      <c r="T4896" s="33">
        <f>IFERROR(__xludf.DUMMYFUNCTION("""COMPUTED_VALUE"""),1.0)</f>
        <v>1</v>
      </c>
      <c r="U4896" s="4" t="str">
        <f>IFERROR(__xludf.DUMMYFUNCTION("""COMPUTED_VALUE"""),"null")</f>
        <v>null</v>
      </c>
      <c r="V4896" s="33">
        <f>IFERROR(__xludf.DUMMYFUNCTION("""COMPUTED_VALUE"""),0.5)</f>
        <v>0.5</v>
      </c>
      <c r="W4896" s="4" t="str">
        <f>IFERROR(__xludf.DUMMYFUNCTION("""COMPUTED_VALUE"""),"null")</f>
        <v>null</v>
      </c>
      <c r="X4896" s="33">
        <f>IFERROR(__xludf.DUMMYFUNCTION("""COMPUTED_VALUE"""),0.5)</f>
        <v>0.5</v>
      </c>
    </row>
    <row r="4897">
      <c r="K4897" s="4" t="str">
        <f>IFERROR(__xludf.DUMMYFUNCTION("""COMPUTED_VALUE"""),"DROGARIA MARIA")</f>
        <v>DROGARIA MARIA</v>
      </c>
      <c r="L4897" s="32">
        <f>IFERROR(__xludf.DUMMYFUNCTION("""COMPUTED_VALUE"""),2.0)</f>
        <v>2</v>
      </c>
      <c r="M4897" s="4" t="str">
        <f>IFERROR(__xludf.DUMMYFUNCTION("""COMPUTED_VALUE"""),"N/A (Not found)")</f>
        <v>N/A (Not found)</v>
      </c>
      <c r="N4897" s="33">
        <f>IFERROR(__xludf.DUMMYFUNCTION("""COMPUTED_VALUE"""),1.0)</f>
        <v>1</v>
      </c>
      <c r="O4897" s="4" t="str">
        <f>IFERROR(__xludf.DUMMYFUNCTION("""COMPUTED_VALUE"""),"N/A (Not found)")</f>
        <v>N/A (Not found)</v>
      </c>
      <c r="P4897" s="33">
        <f>IFERROR(__xludf.DUMMYFUNCTION("""COMPUTED_VALUE"""),1.0)</f>
        <v>1</v>
      </c>
      <c r="Q4897" s="4" t="str">
        <f>IFERROR(__xludf.DUMMYFUNCTION("""COMPUTED_VALUE"""),"N/A (Not found)")</f>
        <v>N/A (Not found)</v>
      </c>
      <c r="R4897" s="33">
        <f>IFERROR(__xludf.DUMMYFUNCTION("""COMPUTED_VALUE"""),1.0)</f>
        <v>1</v>
      </c>
      <c r="S4897" s="4" t="str">
        <f>IFERROR(__xludf.DUMMYFUNCTION("""COMPUTED_VALUE"""),"N/A (Not found)")</f>
        <v>N/A (Not found)</v>
      </c>
      <c r="T4897" s="33">
        <f>IFERROR(__xludf.DUMMYFUNCTION("""COMPUTED_VALUE"""),1.0)</f>
        <v>1</v>
      </c>
      <c r="U4897" s="4" t="str">
        <f>IFERROR(__xludf.DUMMYFUNCTION("""COMPUTED_VALUE"""),"N/A (Not found)")</f>
        <v>N/A (Not found)</v>
      </c>
      <c r="V4897" s="33">
        <f>IFERROR(__xludf.DUMMYFUNCTION("""COMPUTED_VALUE"""),1.0)</f>
        <v>1</v>
      </c>
      <c r="W4897" s="4" t="str">
        <f>IFERROR(__xludf.DUMMYFUNCTION("""COMPUTED_VALUE"""),"N/A (Not found)")</f>
        <v>N/A (Not found)</v>
      </c>
      <c r="X4897" s="33">
        <f>IFERROR(__xludf.DUMMYFUNCTION("""COMPUTED_VALUE"""),1.0)</f>
        <v>1</v>
      </c>
    </row>
    <row r="4898">
      <c r="K4898" s="4" t="str">
        <f>IFERROR(__xludf.DUMMYFUNCTION("""COMPUTED_VALUE"""),"FACEBURGUER CONVENIENCIA")</f>
        <v>FACEBURGUER CONVENIENCIA</v>
      </c>
      <c r="L4898" s="32">
        <f>IFERROR(__xludf.DUMMYFUNCTION("""COMPUTED_VALUE"""),2.0)</f>
        <v>2</v>
      </c>
      <c r="M4898" s="4" t="str">
        <f>IFERROR(__xludf.DUMMYFUNCTION("""COMPUTED_VALUE"""),"Anota Ai Solucoes Digitais S/a")</f>
        <v>Anota Ai Solucoes Digitais S/a</v>
      </c>
      <c r="N4898" s="33">
        <f>IFERROR(__xludf.DUMMYFUNCTION("""COMPUTED_VALUE"""),1.0)</f>
        <v>1</v>
      </c>
      <c r="O4898" s="4" t="str">
        <f>IFERROR(__xludf.DUMMYFUNCTION("""COMPUTED_VALUE"""),"null")</f>
        <v>null</v>
      </c>
      <c r="P4898" s="33">
        <f>IFERROR(__xludf.DUMMYFUNCTION("""COMPUTED_VALUE"""),0.5)</f>
        <v>0.5</v>
      </c>
      <c r="Q4898" s="4" t="str">
        <f>IFERROR(__xludf.DUMMYFUNCTION("""COMPUTED_VALUE"""),"Anota Ai Solucoes Digitais S/a")</f>
        <v>Anota Ai Solucoes Digitais S/a</v>
      </c>
      <c r="R4898" s="33">
        <f>IFERROR(__xludf.DUMMYFUNCTION("""COMPUTED_VALUE"""),1.0)</f>
        <v>1</v>
      </c>
      <c r="S4898" s="4" t="str">
        <f>IFERROR(__xludf.DUMMYFUNCTION("""COMPUTED_VALUE"""),"Anota Ai Solucoes Digitais S/a")</f>
        <v>Anota Ai Solucoes Digitais S/a</v>
      </c>
      <c r="T4898" s="33">
        <f>IFERROR(__xludf.DUMMYFUNCTION("""COMPUTED_VALUE"""),1.0)</f>
        <v>1</v>
      </c>
      <c r="U4898" s="4" t="str">
        <f>IFERROR(__xludf.DUMMYFUNCTION("""COMPUTED_VALUE"""),"null")</f>
        <v>null</v>
      </c>
      <c r="V4898" s="33">
        <f>IFERROR(__xludf.DUMMYFUNCTION("""COMPUTED_VALUE"""),0.5)</f>
        <v>0.5</v>
      </c>
      <c r="W4898" s="4" t="str">
        <f>IFERROR(__xludf.DUMMYFUNCTION("""COMPUTED_VALUE"""),"Anota Ai Solucoes Digitais S/a")</f>
        <v>Anota Ai Solucoes Digitais S/a</v>
      </c>
      <c r="X4898" s="33">
        <f>IFERROR(__xludf.DUMMYFUNCTION("""COMPUTED_VALUE"""),1.0)</f>
        <v>1</v>
      </c>
    </row>
    <row r="4899">
      <c r="K4899" s="4" t="str">
        <f>IFERROR(__xludf.DUMMYFUNCTION("""COMPUTED_VALUE"""),"HINATA SUSHI")</f>
        <v>HINATA SUSHI</v>
      </c>
      <c r="L4899" s="32">
        <f>IFERROR(__xludf.DUMMYFUNCTION("""COMPUTED_VALUE"""),2.0)</f>
        <v>2</v>
      </c>
      <c r="M4899" s="4" t="str">
        <f>IFERROR(__xludf.DUMMYFUNCTION("""COMPUTED_VALUE"""),"null")</f>
        <v>null</v>
      </c>
      <c r="N4899" s="33">
        <f>IFERROR(__xludf.DUMMYFUNCTION("""COMPUTED_VALUE"""),0.5)</f>
        <v>0.5</v>
      </c>
      <c r="O4899" s="4" t="str">
        <f>IFERROR(__xludf.DUMMYFUNCTION("""COMPUTED_VALUE"""),"Anota Ai Solucoes Digitais S/a")</f>
        <v>Anota Ai Solucoes Digitais S/a</v>
      </c>
      <c r="P4899" s="33">
        <f>IFERROR(__xludf.DUMMYFUNCTION("""COMPUTED_VALUE"""),0.5)</f>
        <v>0.5</v>
      </c>
      <c r="Q4899" s="4" t="str">
        <f>IFERROR(__xludf.DUMMYFUNCTION("""COMPUTED_VALUE"""),"Anota Ai Solucoes Digitais S/a")</f>
        <v>Anota Ai Solucoes Digitais S/a</v>
      </c>
      <c r="R4899" s="33">
        <f>IFERROR(__xludf.DUMMYFUNCTION("""COMPUTED_VALUE"""),0.5)</f>
        <v>0.5</v>
      </c>
      <c r="S4899" s="4" t="str">
        <f>IFERROR(__xludf.DUMMYFUNCTION("""COMPUTED_VALUE"""),"Anota Ai Solucoes Digitais S/a")</f>
        <v>Anota Ai Solucoes Digitais S/a</v>
      </c>
      <c r="T4899" s="33">
        <f>IFERROR(__xludf.DUMMYFUNCTION("""COMPUTED_VALUE"""),0.5)</f>
        <v>0.5</v>
      </c>
      <c r="U4899" s="4" t="str">
        <f>IFERROR(__xludf.DUMMYFUNCTION("""COMPUTED_VALUE"""),"Anota Ai Solucoes Digitais S/a")</f>
        <v>Anota Ai Solucoes Digitais S/a</v>
      </c>
      <c r="V4899" s="33">
        <f>IFERROR(__xludf.DUMMYFUNCTION("""COMPUTED_VALUE"""),0.5)</f>
        <v>0.5</v>
      </c>
      <c r="W4899" s="4" t="str">
        <f>IFERROR(__xludf.DUMMYFUNCTION("""COMPUTED_VALUE"""),"null")</f>
        <v>null</v>
      </c>
      <c r="X4899" s="33">
        <f>IFERROR(__xludf.DUMMYFUNCTION("""COMPUTED_VALUE"""),0.5)</f>
        <v>0.5</v>
      </c>
    </row>
    <row r="4900">
      <c r="K4900" s="4" t="str">
        <f>IFERROR(__xludf.DUMMYFUNCTION("""COMPUTED_VALUE"""),"BRISKO ACAITERIA")</f>
        <v>BRISKO ACAITERIA</v>
      </c>
      <c r="L4900" s="32">
        <f>IFERROR(__xludf.DUMMYFUNCTION("""COMPUTED_VALUE"""),2.0)</f>
        <v>2</v>
      </c>
      <c r="M4900" s="4" t="str">
        <f>IFERROR(__xludf.DUMMYFUNCTION("""COMPUTED_VALUE"""),"Mp Multipedidos")</f>
        <v>Mp Multipedidos</v>
      </c>
      <c r="N4900" s="33">
        <f>IFERROR(__xludf.DUMMYFUNCTION("""COMPUTED_VALUE"""),0.5)</f>
        <v>0.5</v>
      </c>
      <c r="O4900" s="4" t="str">
        <f>IFERROR(__xludf.DUMMYFUNCTION("""COMPUTED_VALUE"""),"Mp Multipedidos")</f>
        <v>Mp Multipedidos</v>
      </c>
      <c r="P4900" s="33">
        <f>IFERROR(__xludf.DUMMYFUNCTION("""COMPUTED_VALUE"""),0.5)</f>
        <v>0.5</v>
      </c>
      <c r="Q4900" s="4" t="str">
        <f>IFERROR(__xludf.DUMMYFUNCTION("""COMPUTED_VALUE"""),"Mp Multipedidos")</f>
        <v>Mp Multipedidos</v>
      </c>
      <c r="R4900" s="33">
        <f>IFERROR(__xludf.DUMMYFUNCTION("""COMPUTED_VALUE"""),0.5)</f>
        <v>0.5</v>
      </c>
      <c r="S4900" s="4" t="str">
        <f>IFERROR(__xludf.DUMMYFUNCTION("""COMPUTED_VALUE"""),"Mp Multipedidos")</f>
        <v>Mp Multipedidos</v>
      </c>
      <c r="T4900" s="33">
        <f>IFERROR(__xludf.DUMMYFUNCTION("""COMPUTED_VALUE"""),0.5)</f>
        <v>0.5</v>
      </c>
      <c r="U4900" s="4" t="str">
        <f>IFERROR(__xludf.DUMMYFUNCTION("""COMPUTED_VALUE"""),"null")</f>
        <v>null</v>
      </c>
      <c r="V4900" s="33">
        <f>IFERROR(__xludf.DUMMYFUNCTION("""COMPUTED_VALUE"""),0.5)</f>
        <v>0.5</v>
      </c>
      <c r="W4900" s="4" t="str">
        <f>IFERROR(__xludf.DUMMYFUNCTION("""COMPUTED_VALUE"""),"null")</f>
        <v>null</v>
      </c>
      <c r="X4900" s="33">
        <f>IFERROR(__xludf.DUMMYFUNCTION("""COMPUTED_VALUE"""),1.0)</f>
        <v>1</v>
      </c>
    </row>
    <row r="4901">
      <c r="K4901" s="4" t="str">
        <f>IFERROR(__xludf.DUMMYFUNCTION("""COMPUTED_VALUE"""),"SUPREMA PIZZA - BARRA")</f>
        <v>SUPREMA PIZZA - BARRA</v>
      </c>
      <c r="L4901" s="32">
        <f>IFERROR(__xludf.DUMMYFUNCTION("""COMPUTED_VALUE"""),2.0)</f>
        <v>2</v>
      </c>
      <c r="M4901" s="4" t="str">
        <f>IFERROR(__xludf.DUMMYFUNCTION("""COMPUTED_VALUE"""),"Saipos Serviços De Software")</f>
        <v>Saipos Serviços De Software</v>
      </c>
      <c r="N4901" s="33">
        <f>IFERROR(__xludf.DUMMYFUNCTION("""COMPUTED_VALUE"""),0.5)</f>
        <v>0.5</v>
      </c>
      <c r="O4901" s="4" t="str">
        <f>IFERROR(__xludf.DUMMYFUNCTION("""COMPUTED_VALUE"""),"Saipos Serviços De Software")</f>
        <v>Saipos Serviços De Software</v>
      </c>
      <c r="P4901" s="33">
        <f>IFERROR(__xludf.DUMMYFUNCTION("""COMPUTED_VALUE"""),0.5)</f>
        <v>0.5</v>
      </c>
      <c r="Q4901" s="4" t="str">
        <f>IFERROR(__xludf.DUMMYFUNCTION("""COMPUTED_VALUE"""),"Saipos Serviços De Software")</f>
        <v>Saipos Serviços De Software</v>
      </c>
      <c r="R4901" s="33">
        <f>IFERROR(__xludf.DUMMYFUNCTION("""COMPUTED_VALUE"""),0.5)</f>
        <v>0.5</v>
      </c>
      <c r="S4901" s="4" t="str">
        <f>IFERROR(__xludf.DUMMYFUNCTION("""COMPUTED_VALUE"""),"Saipos Serviços De Software")</f>
        <v>Saipos Serviços De Software</v>
      </c>
      <c r="T4901" s="33">
        <f>IFERROR(__xludf.DUMMYFUNCTION("""COMPUTED_VALUE"""),1.0)</f>
        <v>1</v>
      </c>
      <c r="U4901" s="4" t="str">
        <f>IFERROR(__xludf.DUMMYFUNCTION("""COMPUTED_VALUE"""),"Saipos Serviços De Software")</f>
        <v>Saipos Serviços De Software</v>
      </c>
      <c r="V4901" s="33">
        <f>IFERROR(__xludf.DUMMYFUNCTION("""COMPUTED_VALUE"""),1.0)</f>
        <v>1</v>
      </c>
      <c r="W4901" s="4" t="str">
        <f>IFERROR(__xludf.DUMMYFUNCTION("""COMPUTED_VALUE"""),"Saipos Serviços De Software")</f>
        <v>Saipos Serviços De Software</v>
      </c>
      <c r="X4901" s="33">
        <f>IFERROR(__xludf.DUMMYFUNCTION("""COMPUTED_VALUE"""),1.0)</f>
        <v>1</v>
      </c>
    </row>
    <row r="4902">
      <c r="K4902" s="4" t="str">
        <f>IFERROR(__xludf.DUMMYFUNCTION("""COMPUTED_VALUE"""),"REI DA MARMITA")</f>
        <v>REI DA MARMITA</v>
      </c>
      <c r="L4902" s="32">
        <f>IFERROR(__xludf.DUMMYFUNCTION("""COMPUTED_VALUE"""),2.0)</f>
        <v>2</v>
      </c>
      <c r="M4902" s="4" t="str">
        <f>IFERROR(__xludf.DUMMYFUNCTION("""COMPUTED_VALUE"""),"Saipos Serviços De Software")</f>
        <v>Saipos Serviços De Software</v>
      </c>
      <c r="N4902" s="33">
        <f>IFERROR(__xludf.DUMMYFUNCTION("""COMPUTED_VALUE"""),0.5)</f>
        <v>0.5</v>
      </c>
      <c r="O4902" s="4" t="str">
        <f>IFERROR(__xludf.DUMMYFUNCTION("""COMPUTED_VALUE"""),"Saipos Serviços De Software")</f>
        <v>Saipos Serviços De Software</v>
      </c>
      <c r="P4902" s="33">
        <f>IFERROR(__xludf.DUMMYFUNCTION("""COMPUTED_VALUE"""),0.5)</f>
        <v>0.5</v>
      </c>
      <c r="Q4902" s="4" t="str">
        <f>IFERROR(__xludf.DUMMYFUNCTION("""COMPUTED_VALUE"""),"Saipos Serviços De Software")</f>
        <v>Saipos Serviços De Software</v>
      </c>
      <c r="R4902" s="33">
        <f>IFERROR(__xludf.DUMMYFUNCTION("""COMPUTED_VALUE"""),0.5)</f>
        <v>0.5</v>
      </c>
      <c r="S4902" s="4" t="str">
        <f>IFERROR(__xludf.DUMMYFUNCTION("""COMPUTED_VALUE"""),"Saipos Serviços De Software")</f>
        <v>Saipos Serviços De Software</v>
      </c>
      <c r="T4902" s="33">
        <f>IFERROR(__xludf.DUMMYFUNCTION("""COMPUTED_VALUE"""),0.5)</f>
        <v>0.5</v>
      </c>
      <c r="U4902" s="4" t="str">
        <f>IFERROR(__xludf.DUMMYFUNCTION("""COMPUTED_VALUE"""),"Saipos Serviços De Software")</f>
        <v>Saipos Serviços De Software</v>
      </c>
      <c r="V4902" s="33">
        <f>IFERROR(__xludf.DUMMYFUNCTION("""COMPUTED_VALUE"""),0.5)</f>
        <v>0.5</v>
      </c>
      <c r="W4902" s="4" t="str">
        <f>IFERROR(__xludf.DUMMYFUNCTION("""COMPUTED_VALUE"""),"Saipos Serviços De Software")</f>
        <v>Saipos Serviços De Software</v>
      </c>
      <c r="X4902" s="33">
        <f>IFERROR(__xludf.DUMMYFUNCTION("""COMPUTED_VALUE"""),0.5)</f>
        <v>0.5</v>
      </c>
    </row>
    <row r="4903">
      <c r="K4903" s="4" t="str">
        <f>IFERROR(__xludf.DUMMYFUNCTION("""COMPUTED_VALUE"""),"MASSA AND BURGER")</f>
        <v>MASSA AND BURGER</v>
      </c>
      <c r="L4903" s="32">
        <f>IFERROR(__xludf.DUMMYFUNCTION("""COMPUTED_VALUE"""),2.0)</f>
        <v>2</v>
      </c>
      <c r="M4903" s="4" t="str">
        <f>IFERROR(__xludf.DUMMYFUNCTION("""COMPUTED_VALUE"""),"Instadelivery")</f>
        <v>Instadelivery</v>
      </c>
      <c r="N4903" s="33">
        <f>IFERROR(__xludf.DUMMYFUNCTION("""COMPUTED_VALUE"""),0.5)</f>
        <v>0.5</v>
      </c>
      <c r="O4903" s="4" t="str">
        <f>IFERROR(__xludf.DUMMYFUNCTION("""COMPUTED_VALUE"""),"Instadelivery")</f>
        <v>Instadelivery</v>
      </c>
      <c r="P4903" s="33">
        <f>IFERROR(__xludf.DUMMYFUNCTION("""COMPUTED_VALUE"""),0.5)</f>
        <v>0.5</v>
      </c>
      <c r="Q4903" s="4" t="str">
        <f>IFERROR(__xludf.DUMMYFUNCTION("""COMPUTED_VALUE"""),"Instadelivery")</f>
        <v>Instadelivery</v>
      </c>
      <c r="R4903" s="33">
        <f>IFERROR(__xludf.DUMMYFUNCTION("""COMPUTED_VALUE"""),0.5)</f>
        <v>0.5</v>
      </c>
      <c r="S4903" s="4" t="str">
        <f>IFERROR(__xludf.DUMMYFUNCTION("""COMPUTED_VALUE"""),"null")</f>
        <v>null</v>
      </c>
      <c r="T4903" s="33">
        <f>IFERROR(__xludf.DUMMYFUNCTION("""COMPUTED_VALUE"""),1.0)</f>
        <v>1</v>
      </c>
      <c r="U4903" s="4" t="str">
        <f>IFERROR(__xludf.DUMMYFUNCTION("""COMPUTED_VALUE"""),"null")</f>
        <v>null</v>
      </c>
      <c r="V4903" s="33">
        <f>IFERROR(__xludf.DUMMYFUNCTION("""COMPUTED_VALUE"""),0.5)</f>
        <v>0.5</v>
      </c>
      <c r="W4903" s="4" t="str">
        <f>IFERROR(__xludf.DUMMYFUNCTION("""COMPUTED_VALUE"""),"null")</f>
        <v>null</v>
      </c>
      <c r="X4903" s="33">
        <f>IFERROR(__xludf.DUMMYFUNCTION("""COMPUTED_VALUE"""),0.5)</f>
        <v>0.5</v>
      </c>
    </row>
    <row r="4904">
      <c r="K4904" s="4" t="str">
        <f>IFERROR(__xludf.DUMMYFUNCTION("""COMPUTED_VALUE"""),"RAFA BURGUER")</f>
        <v>RAFA BURGUER</v>
      </c>
      <c r="L4904" s="32">
        <f>IFERROR(__xludf.DUMMYFUNCTION("""COMPUTED_VALUE"""),2.0)</f>
        <v>2</v>
      </c>
      <c r="M4904" s="4" t="str">
        <f>IFERROR(__xludf.DUMMYFUNCTION("""COMPUTED_VALUE"""),"Cardápio Web")</f>
        <v>Cardápio Web</v>
      </c>
      <c r="N4904" s="33">
        <f>IFERROR(__xludf.DUMMYFUNCTION("""COMPUTED_VALUE"""),0.5)</f>
        <v>0.5</v>
      </c>
      <c r="O4904" s="4" t="str">
        <f>IFERROR(__xludf.DUMMYFUNCTION("""COMPUTED_VALUE"""),"Cardápio Web")</f>
        <v>Cardápio Web</v>
      </c>
      <c r="P4904" s="33">
        <f>IFERROR(__xludf.DUMMYFUNCTION("""COMPUTED_VALUE"""),0.5)</f>
        <v>0.5</v>
      </c>
      <c r="Q4904" s="4" t="str">
        <f>IFERROR(__xludf.DUMMYFUNCTION("""COMPUTED_VALUE"""),"Cardápio Web")</f>
        <v>Cardápio Web</v>
      </c>
      <c r="R4904" s="33">
        <f>IFERROR(__xludf.DUMMYFUNCTION("""COMPUTED_VALUE"""),0.5)</f>
        <v>0.5</v>
      </c>
      <c r="S4904" s="4" t="str">
        <f>IFERROR(__xludf.DUMMYFUNCTION("""COMPUTED_VALUE"""),"Cardápio Web")</f>
        <v>Cardápio Web</v>
      </c>
      <c r="T4904" s="33">
        <f>IFERROR(__xludf.DUMMYFUNCTION("""COMPUTED_VALUE"""),0.5)</f>
        <v>0.5</v>
      </c>
      <c r="U4904" s="4" t="str">
        <f>IFERROR(__xludf.DUMMYFUNCTION("""COMPUTED_VALUE"""),"Cardápio Web")</f>
        <v>Cardápio Web</v>
      </c>
      <c r="V4904" s="33">
        <f>IFERROR(__xludf.DUMMYFUNCTION("""COMPUTED_VALUE"""),0.5)</f>
        <v>0.5</v>
      </c>
      <c r="W4904" s="4" t="str">
        <f>IFERROR(__xludf.DUMMYFUNCTION("""COMPUTED_VALUE"""),"Cardápio Web")</f>
        <v>Cardápio Web</v>
      </c>
      <c r="X4904" s="33">
        <f>IFERROR(__xludf.DUMMYFUNCTION("""COMPUTED_VALUE"""),0.5)</f>
        <v>0.5</v>
      </c>
    </row>
    <row r="4905">
      <c r="K4905" s="4" t="str">
        <f>IFERROR(__xludf.DUMMYFUNCTION("""COMPUTED_VALUE"""),"SUSHI DAS ARTES")</f>
        <v>SUSHI DAS ARTES</v>
      </c>
      <c r="L4905" s="32">
        <f>IFERROR(__xludf.DUMMYFUNCTION("""COMPUTED_VALUE"""),2.0)</f>
        <v>2</v>
      </c>
      <c r="M4905" s="4" t="str">
        <f>IFERROR(__xludf.DUMMYFUNCTION("""COMPUTED_VALUE"""),"Multi Paladares Comércio De Alimentos Ltda")</f>
        <v>Multi Paladares Comércio De Alimentos Ltda</v>
      </c>
      <c r="N4905" s="33">
        <f>IFERROR(__xludf.DUMMYFUNCTION("""COMPUTED_VALUE"""),0.5)</f>
        <v>0.5</v>
      </c>
      <c r="O4905" s="4" t="str">
        <f>IFERROR(__xludf.DUMMYFUNCTION("""COMPUTED_VALUE"""),"Multi Paladares Comércio De Alimentos Ltda")</f>
        <v>Multi Paladares Comércio De Alimentos Ltda</v>
      </c>
      <c r="P4905" s="33">
        <f>IFERROR(__xludf.DUMMYFUNCTION("""COMPUTED_VALUE"""),1.0)</f>
        <v>1</v>
      </c>
      <c r="Q4905" s="4" t="str">
        <f>IFERROR(__xludf.DUMMYFUNCTION("""COMPUTED_VALUE"""),"Multi Paladares Comércio De Alimentos Ltda")</f>
        <v>Multi Paladares Comércio De Alimentos Ltda</v>
      </c>
      <c r="R4905" s="33">
        <f>IFERROR(__xludf.DUMMYFUNCTION("""COMPUTED_VALUE"""),1.0)</f>
        <v>1</v>
      </c>
      <c r="S4905" s="4" t="str">
        <f>IFERROR(__xludf.DUMMYFUNCTION("""COMPUTED_VALUE"""),"Multi Paladares Comércio De Alimentos Ltda")</f>
        <v>Multi Paladares Comércio De Alimentos Ltda</v>
      </c>
      <c r="T4905" s="33">
        <f>IFERROR(__xludf.DUMMYFUNCTION("""COMPUTED_VALUE"""),1.0)</f>
        <v>1</v>
      </c>
      <c r="U4905" s="4" t="str">
        <f>IFERROR(__xludf.DUMMYFUNCTION("""COMPUTED_VALUE"""),"Multi Paladares Comércio De Alimentos Ltda")</f>
        <v>Multi Paladares Comércio De Alimentos Ltda</v>
      </c>
      <c r="V4905" s="33">
        <f>IFERROR(__xludf.DUMMYFUNCTION("""COMPUTED_VALUE"""),1.0)</f>
        <v>1</v>
      </c>
      <c r="W4905" s="4" t="str">
        <f>IFERROR(__xludf.DUMMYFUNCTION("""COMPUTED_VALUE"""),"Multi Paladares Comércio De Alimentos Ltda")</f>
        <v>Multi Paladares Comércio De Alimentos Ltda</v>
      </c>
      <c r="X4905" s="33">
        <f>IFERROR(__xludf.DUMMYFUNCTION("""COMPUTED_VALUE"""),1.0)</f>
        <v>1</v>
      </c>
    </row>
    <row r="4906">
      <c r="K4906" s="4" t="str">
        <f>IFERROR(__xludf.DUMMYFUNCTION("""COMPUTED_VALUE"""),"HELENA SALGADOS")</f>
        <v>HELENA SALGADOS</v>
      </c>
      <c r="L4906" s="32">
        <f>IFERROR(__xludf.DUMMYFUNCTION("""COMPUTED_VALUE"""),2.0)</f>
        <v>2</v>
      </c>
      <c r="M4906" s="4" t="str">
        <f>IFERROR(__xludf.DUMMYFUNCTION("""COMPUTED_VALUE"""),"Saipos Serviços De Software")</f>
        <v>Saipos Serviços De Software</v>
      </c>
      <c r="N4906" s="33">
        <f>IFERROR(__xludf.DUMMYFUNCTION("""COMPUTED_VALUE"""),0.5)</f>
        <v>0.5</v>
      </c>
      <c r="O4906" s="4" t="str">
        <f>IFERROR(__xludf.DUMMYFUNCTION("""COMPUTED_VALUE"""),"Saipos Serviços De Software")</f>
        <v>Saipos Serviços De Software</v>
      </c>
      <c r="P4906" s="33">
        <f>IFERROR(__xludf.DUMMYFUNCTION("""COMPUTED_VALUE"""),0.5)</f>
        <v>0.5</v>
      </c>
      <c r="Q4906" s="4" t="str">
        <f>IFERROR(__xludf.DUMMYFUNCTION("""COMPUTED_VALUE"""),"Saipos Serviços De Software")</f>
        <v>Saipos Serviços De Software</v>
      </c>
      <c r="R4906" s="33">
        <f>IFERROR(__xludf.DUMMYFUNCTION("""COMPUTED_VALUE"""),0.5)</f>
        <v>0.5</v>
      </c>
      <c r="S4906" s="4" t="str">
        <f>IFERROR(__xludf.DUMMYFUNCTION("""COMPUTED_VALUE"""),"Saipos Serviços De Software")</f>
        <v>Saipos Serviços De Software</v>
      </c>
      <c r="T4906" s="33">
        <f>IFERROR(__xludf.DUMMYFUNCTION("""COMPUTED_VALUE"""),0.5)</f>
        <v>0.5</v>
      </c>
      <c r="U4906" s="4" t="str">
        <f>IFERROR(__xludf.DUMMYFUNCTION("""COMPUTED_VALUE"""),"Saipos Serviços De Software")</f>
        <v>Saipos Serviços De Software</v>
      </c>
      <c r="V4906" s="33">
        <f>IFERROR(__xludf.DUMMYFUNCTION("""COMPUTED_VALUE"""),0.5)</f>
        <v>0.5</v>
      </c>
      <c r="W4906" s="4" t="str">
        <f>IFERROR(__xludf.DUMMYFUNCTION("""COMPUTED_VALUE"""),"Saipos Serviços De Software")</f>
        <v>Saipos Serviços De Software</v>
      </c>
      <c r="X4906" s="33">
        <f>IFERROR(__xludf.DUMMYFUNCTION("""COMPUTED_VALUE"""),0.5)</f>
        <v>0.5</v>
      </c>
    </row>
    <row r="4907">
      <c r="K4907" s="4" t="str">
        <f>IFERROR(__xludf.DUMMYFUNCTION("""COMPUTED_VALUE"""),"KAME BURGUER - BARBALHA")</f>
        <v>KAME BURGUER - BARBALHA</v>
      </c>
      <c r="L4907" s="32">
        <f>IFERROR(__xludf.DUMMYFUNCTION("""COMPUTED_VALUE"""),2.0)</f>
        <v>2</v>
      </c>
      <c r="M4907" s="4" t="str">
        <f>IFERROR(__xludf.DUMMYFUNCTION("""COMPUTED_VALUE"""),"null")</f>
        <v>null</v>
      </c>
      <c r="N4907" s="33">
        <f>IFERROR(__xludf.DUMMYFUNCTION("""COMPUTED_VALUE"""),0.5)</f>
        <v>0.5</v>
      </c>
      <c r="O4907" s="4" t="str">
        <f>IFERROR(__xludf.DUMMYFUNCTION("""COMPUTED_VALUE"""),"null")</f>
        <v>null</v>
      </c>
      <c r="P4907" s="33">
        <f>IFERROR(__xludf.DUMMYFUNCTION("""COMPUTED_VALUE"""),0.5)</f>
        <v>0.5</v>
      </c>
      <c r="Q4907" s="4" t="str">
        <f>IFERROR(__xludf.DUMMYFUNCTION("""COMPUTED_VALUE"""),"null")</f>
        <v>null</v>
      </c>
      <c r="R4907" s="33">
        <f>IFERROR(__xludf.DUMMYFUNCTION("""COMPUTED_VALUE"""),0.5)</f>
        <v>0.5</v>
      </c>
      <c r="S4907" s="4" t="str">
        <f>IFERROR(__xludf.DUMMYFUNCTION("""COMPUTED_VALUE"""),"null")</f>
        <v>null</v>
      </c>
      <c r="T4907" s="33">
        <f>IFERROR(__xludf.DUMMYFUNCTION("""COMPUTED_VALUE"""),1.0)</f>
        <v>1</v>
      </c>
      <c r="U4907" s="4" t="str">
        <f>IFERROR(__xludf.DUMMYFUNCTION("""COMPUTED_VALUE"""),"Saipos Serviços De Software")</f>
        <v>Saipos Serviços De Software</v>
      </c>
      <c r="V4907" s="33">
        <f>IFERROR(__xludf.DUMMYFUNCTION("""COMPUTED_VALUE"""),0.5)</f>
        <v>0.5</v>
      </c>
      <c r="W4907" s="4" t="str">
        <f>IFERROR(__xludf.DUMMYFUNCTION("""COMPUTED_VALUE"""),"Saipos Serviços De Software")</f>
        <v>Saipos Serviços De Software</v>
      </c>
      <c r="X4907" s="33">
        <f>IFERROR(__xludf.DUMMYFUNCTION("""COMPUTED_VALUE"""),0.5)</f>
        <v>0.5</v>
      </c>
    </row>
    <row r="4908">
      <c r="K4908" s="4" t="str">
        <f>IFERROR(__xludf.DUMMYFUNCTION("""COMPUTED_VALUE"""),"JG-BURGER")</f>
        <v>JG-BURGER</v>
      </c>
      <c r="L4908" s="32">
        <f>IFERROR(__xludf.DUMMYFUNCTION("""COMPUTED_VALUE"""),2.0)</f>
        <v>2</v>
      </c>
      <c r="M4908" s="4" t="str">
        <f>IFERROR(__xludf.DUMMYFUNCTION("""COMPUTED_VALUE"""),"Rhede Sistemas Ltda")</f>
        <v>Rhede Sistemas Ltda</v>
      </c>
      <c r="N4908" s="33">
        <f>IFERROR(__xludf.DUMMYFUNCTION("""COMPUTED_VALUE"""),1.0)</f>
        <v>1</v>
      </c>
      <c r="O4908" s="4" t="str">
        <f>IFERROR(__xludf.DUMMYFUNCTION("""COMPUTED_VALUE"""),"null")</f>
        <v>null</v>
      </c>
      <c r="P4908" s="33">
        <f>IFERROR(__xludf.DUMMYFUNCTION("""COMPUTED_VALUE"""),0.5)</f>
        <v>0.5</v>
      </c>
      <c r="Q4908" s="4" t="str">
        <f>IFERROR(__xludf.DUMMYFUNCTION("""COMPUTED_VALUE"""),"null")</f>
        <v>null</v>
      </c>
      <c r="R4908" s="33">
        <f>IFERROR(__xludf.DUMMYFUNCTION("""COMPUTED_VALUE"""),0.5)</f>
        <v>0.5</v>
      </c>
      <c r="S4908" s="4" t="str">
        <f>IFERROR(__xludf.DUMMYFUNCTION("""COMPUTED_VALUE"""),"null")</f>
        <v>null</v>
      </c>
      <c r="T4908" s="33">
        <f>IFERROR(__xludf.DUMMYFUNCTION("""COMPUTED_VALUE"""),0.5)</f>
        <v>0.5</v>
      </c>
      <c r="U4908" s="4" t="str">
        <f>IFERROR(__xludf.DUMMYFUNCTION("""COMPUTED_VALUE"""),"null")</f>
        <v>null</v>
      </c>
      <c r="V4908" s="33">
        <f>IFERROR(__xludf.DUMMYFUNCTION("""COMPUTED_VALUE"""),0.5)</f>
        <v>0.5</v>
      </c>
      <c r="W4908" s="4" t="str">
        <f>IFERROR(__xludf.DUMMYFUNCTION("""COMPUTED_VALUE"""),"Rhede Sistemas Ltda")</f>
        <v>Rhede Sistemas Ltda</v>
      </c>
      <c r="X4908" s="33">
        <f>IFERROR(__xludf.DUMMYFUNCTION("""COMPUTED_VALUE"""),1.0)</f>
        <v>1</v>
      </c>
    </row>
    <row r="4909">
      <c r="K4909" s="4" t="str">
        <f>IFERROR(__xludf.DUMMYFUNCTION("""COMPUTED_VALUE"""),"ACAI EXPRESSO")</f>
        <v>ACAI EXPRESSO</v>
      </c>
      <c r="L4909" s="32">
        <f>IFERROR(__xludf.DUMMYFUNCTION("""COMPUTED_VALUE"""),2.0)</f>
        <v>2</v>
      </c>
      <c r="M4909" s="4" t="str">
        <f>IFERROR(__xludf.DUMMYFUNCTION("""COMPUTED_VALUE"""),"Mp Multipedidos")</f>
        <v>Mp Multipedidos</v>
      </c>
      <c r="N4909" s="33">
        <f>IFERROR(__xludf.DUMMYFUNCTION("""COMPUTED_VALUE"""),0.5)</f>
        <v>0.5</v>
      </c>
      <c r="O4909" s="4" t="str">
        <f>IFERROR(__xludf.DUMMYFUNCTION("""COMPUTED_VALUE"""),"Mp Multipedidos")</f>
        <v>Mp Multipedidos</v>
      </c>
      <c r="P4909" s="33">
        <f>IFERROR(__xludf.DUMMYFUNCTION("""COMPUTED_VALUE"""),0.5)</f>
        <v>0.5</v>
      </c>
      <c r="Q4909" s="4" t="str">
        <f>IFERROR(__xludf.DUMMYFUNCTION("""COMPUTED_VALUE"""),"Mp Multipedidos")</f>
        <v>Mp Multipedidos</v>
      </c>
      <c r="R4909" s="33">
        <f>IFERROR(__xludf.DUMMYFUNCTION("""COMPUTED_VALUE"""),0.5)</f>
        <v>0.5</v>
      </c>
      <c r="S4909" s="4" t="str">
        <f>IFERROR(__xludf.DUMMYFUNCTION("""COMPUTED_VALUE"""),"Mp Multipedidos")</f>
        <v>Mp Multipedidos</v>
      </c>
      <c r="T4909" s="33">
        <f>IFERROR(__xludf.DUMMYFUNCTION("""COMPUTED_VALUE"""),0.5)</f>
        <v>0.5</v>
      </c>
      <c r="U4909" s="4" t="str">
        <f>IFERROR(__xludf.DUMMYFUNCTION("""COMPUTED_VALUE"""),"Mp Multipedidos")</f>
        <v>Mp Multipedidos</v>
      </c>
      <c r="V4909" s="33">
        <f>IFERROR(__xludf.DUMMYFUNCTION("""COMPUTED_VALUE"""),0.5)</f>
        <v>0.5</v>
      </c>
      <c r="W4909" s="4" t="str">
        <f>IFERROR(__xludf.DUMMYFUNCTION("""COMPUTED_VALUE"""),"Mp Multipedidos")</f>
        <v>Mp Multipedidos</v>
      </c>
      <c r="X4909" s="33">
        <f>IFERROR(__xludf.DUMMYFUNCTION("""COMPUTED_VALUE"""),0.5)</f>
        <v>0.5</v>
      </c>
    </row>
    <row r="4910">
      <c r="K4910" s="4" t="str">
        <f>IFERROR(__xludf.DUMMYFUNCTION("""COMPUTED_VALUE"""),"BENDITO ESPETO")</f>
        <v>BENDITO ESPETO</v>
      </c>
      <c r="L4910" s="32">
        <f>IFERROR(__xludf.DUMMYFUNCTION("""COMPUTED_VALUE"""),2.0)</f>
        <v>2</v>
      </c>
      <c r="M4910" s="4" t="str">
        <f>IFERROR(__xludf.DUMMYFUNCTION("""COMPUTED_VALUE"""),"Saipos Serviços De Software")</f>
        <v>Saipos Serviços De Software</v>
      </c>
      <c r="N4910" s="33">
        <f>IFERROR(__xludf.DUMMYFUNCTION("""COMPUTED_VALUE"""),0.5)</f>
        <v>0.5</v>
      </c>
      <c r="O4910" s="4" t="str">
        <f>IFERROR(__xludf.DUMMYFUNCTION("""COMPUTED_VALUE"""),"Saipos Serviços De Software")</f>
        <v>Saipos Serviços De Software</v>
      </c>
      <c r="P4910" s="33">
        <f>IFERROR(__xludf.DUMMYFUNCTION("""COMPUTED_VALUE"""),0.5)</f>
        <v>0.5</v>
      </c>
      <c r="Q4910" s="4" t="str">
        <f>IFERROR(__xludf.DUMMYFUNCTION("""COMPUTED_VALUE"""),"Saipos Serviços De Software")</f>
        <v>Saipos Serviços De Software</v>
      </c>
      <c r="R4910" s="33">
        <f>IFERROR(__xludf.DUMMYFUNCTION("""COMPUTED_VALUE"""),0.5)</f>
        <v>0.5</v>
      </c>
      <c r="S4910" s="4" t="str">
        <f>IFERROR(__xludf.DUMMYFUNCTION("""COMPUTED_VALUE"""),"Saipos Serviços De Software")</f>
        <v>Saipos Serviços De Software</v>
      </c>
      <c r="T4910" s="33">
        <f>IFERROR(__xludf.DUMMYFUNCTION("""COMPUTED_VALUE"""),0.5)</f>
        <v>0.5</v>
      </c>
      <c r="U4910" s="4" t="str">
        <f>IFERROR(__xludf.DUMMYFUNCTION("""COMPUTED_VALUE"""),"Saipos Serviços De Software")</f>
        <v>Saipos Serviços De Software</v>
      </c>
      <c r="V4910" s="33">
        <f>IFERROR(__xludf.DUMMYFUNCTION("""COMPUTED_VALUE"""),0.5)</f>
        <v>0.5</v>
      </c>
      <c r="W4910" s="4" t="str">
        <f>IFERROR(__xludf.DUMMYFUNCTION("""COMPUTED_VALUE"""),"Saipos Serviços De Software")</f>
        <v>Saipos Serviços De Software</v>
      </c>
      <c r="X4910" s="33">
        <f>IFERROR(__xludf.DUMMYFUNCTION("""COMPUTED_VALUE"""),0.5)</f>
        <v>0.5</v>
      </c>
    </row>
    <row r="4911">
      <c r="K4911" s="4" t="str">
        <f>IFERROR(__xludf.DUMMYFUNCTION("""COMPUTED_VALUE"""),"I LOVE STROGONOFF")</f>
        <v>I LOVE STROGONOFF</v>
      </c>
      <c r="L4911" s="32">
        <f>IFERROR(__xludf.DUMMYFUNCTION("""COMPUTED_VALUE"""),2.0)</f>
        <v>2</v>
      </c>
      <c r="M4911" s="4" t="str">
        <f>IFERROR(__xludf.DUMMYFUNCTION("""COMPUTED_VALUE"""),"Consumer Soluções Em Tecnologia Ltda")</f>
        <v>Consumer Soluções Em Tecnologia Ltda</v>
      </c>
      <c r="N4911" s="33">
        <f>IFERROR(__xludf.DUMMYFUNCTION("""COMPUTED_VALUE"""),0.5)</f>
        <v>0.5</v>
      </c>
      <c r="O4911" s="4" t="str">
        <f>IFERROR(__xludf.DUMMYFUNCTION("""COMPUTED_VALUE"""),"null")</f>
        <v>null</v>
      </c>
      <c r="P4911" s="33">
        <f>IFERROR(__xludf.DUMMYFUNCTION("""COMPUTED_VALUE"""),1.0)</f>
        <v>1</v>
      </c>
      <c r="Q4911" s="4" t="str">
        <f>IFERROR(__xludf.DUMMYFUNCTION("""COMPUTED_VALUE"""),"Consumer Soluções Em Tecnologia Ltda")</f>
        <v>Consumer Soluções Em Tecnologia Ltda</v>
      </c>
      <c r="R4911" s="33">
        <f>IFERROR(__xludf.DUMMYFUNCTION("""COMPUTED_VALUE"""),0.5)</f>
        <v>0.5</v>
      </c>
      <c r="S4911" s="4" t="str">
        <f>IFERROR(__xludf.DUMMYFUNCTION("""COMPUTED_VALUE"""),"null")</f>
        <v>null</v>
      </c>
      <c r="T4911" s="33">
        <f>IFERROR(__xludf.DUMMYFUNCTION("""COMPUTED_VALUE"""),1.0)</f>
        <v>1</v>
      </c>
      <c r="U4911" s="4" t="str">
        <f>IFERROR(__xludf.DUMMYFUNCTION("""COMPUTED_VALUE"""),"Consumer Soluções Em Tecnologia Ltda")</f>
        <v>Consumer Soluções Em Tecnologia Ltda</v>
      </c>
      <c r="V4911" s="33">
        <f>IFERROR(__xludf.DUMMYFUNCTION("""COMPUTED_VALUE"""),0.5)</f>
        <v>0.5</v>
      </c>
      <c r="W4911" s="4" t="str">
        <f>IFERROR(__xludf.DUMMYFUNCTION("""COMPUTED_VALUE"""),"null")</f>
        <v>null</v>
      </c>
      <c r="X4911" s="33">
        <f>IFERROR(__xludf.DUMMYFUNCTION("""COMPUTED_VALUE"""),0.5)</f>
        <v>0.5</v>
      </c>
    </row>
    <row r="4912">
      <c r="K4912" s="4" t="str">
        <f>IFERROR(__xludf.DUMMYFUNCTION("""COMPUTED_VALUE"""),"ACAI DAS GURIAS")</f>
        <v>ACAI DAS GURIAS</v>
      </c>
      <c r="L4912" s="32">
        <f>IFERROR(__xludf.DUMMYFUNCTION("""COMPUTED_VALUE"""),2.0)</f>
        <v>2</v>
      </c>
      <c r="M4912" s="4" t="str">
        <f>IFERROR(__xludf.DUMMYFUNCTION("""COMPUTED_VALUE"""),"Suitable Tecnologia E Gestao")</f>
        <v>Suitable Tecnologia E Gestao</v>
      </c>
      <c r="N4912" s="33">
        <f>IFERROR(__xludf.DUMMYFUNCTION("""COMPUTED_VALUE"""),0.5)</f>
        <v>0.5</v>
      </c>
      <c r="O4912" s="4" t="str">
        <f>IFERROR(__xludf.DUMMYFUNCTION("""COMPUTED_VALUE"""),"Suitable Tecnologia E Gestao")</f>
        <v>Suitable Tecnologia E Gestao</v>
      </c>
      <c r="P4912" s="33">
        <f>IFERROR(__xludf.DUMMYFUNCTION("""COMPUTED_VALUE"""),0.5)</f>
        <v>0.5</v>
      </c>
      <c r="Q4912" s="4" t="str">
        <f>IFERROR(__xludf.DUMMYFUNCTION("""COMPUTED_VALUE"""),"Suitable Tecnologia E Gestao")</f>
        <v>Suitable Tecnologia E Gestao</v>
      </c>
      <c r="R4912" s="33">
        <f>IFERROR(__xludf.DUMMYFUNCTION("""COMPUTED_VALUE"""),0.5)</f>
        <v>0.5</v>
      </c>
      <c r="S4912" s="4" t="str">
        <f>IFERROR(__xludf.DUMMYFUNCTION("""COMPUTED_VALUE"""),"null")</f>
        <v>null</v>
      </c>
      <c r="T4912" s="33">
        <f>IFERROR(__xludf.DUMMYFUNCTION("""COMPUTED_VALUE"""),0.5)</f>
        <v>0.5</v>
      </c>
      <c r="U4912" s="4" t="str">
        <f>IFERROR(__xludf.DUMMYFUNCTION("""COMPUTED_VALUE"""),"null")</f>
        <v>null</v>
      </c>
      <c r="V4912" s="33">
        <f>IFERROR(__xludf.DUMMYFUNCTION("""COMPUTED_VALUE"""),0.5)</f>
        <v>0.5</v>
      </c>
      <c r="W4912" s="4" t="str">
        <f>IFERROR(__xludf.DUMMYFUNCTION("""COMPUTED_VALUE"""),"null")</f>
        <v>null</v>
      </c>
      <c r="X4912" s="33">
        <f>IFERROR(__xludf.DUMMYFUNCTION("""COMPUTED_VALUE"""),0.5)</f>
        <v>0.5</v>
      </c>
    </row>
    <row r="4913">
      <c r="K4913" s="4" t="str">
        <f>IFERROR(__xludf.DUMMYFUNCTION("""COMPUTED_VALUE"""),"LOVE PIZZA")</f>
        <v>LOVE PIZZA</v>
      </c>
      <c r="L4913" s="32">
        <f>IFERROR(__xludf.DUMMYFUNCTION("""COMPUTED_VALUE"""),2.0)</f>
        <v>2</v>
      </c>
      <c r="M4913" s="4" t="str">
        <f>IFERROR(__xludf.DUMMYFUNCTION("""COMPUTED_VALUE"""),"null")</f>
        <v>null</v>
      </c>
      <c r="N4913" s="33">
        <f>IFERROR(__xludf.DUMMYFUNCTION("""COMPUTED_VALUE"""),0.5)</f>
        <v>0.5</v>
      </c>
      <c r="O4913" s="4" t="str">
        <f>IFERROR(__xludf.DUMMYFUNCTION("""COMPUTED_VALUE"""),"null")</f>
        <v>null</v>
      </c>
      <c r="P4913" s="33">
        <f>IFERROR(__xludf.DUMMYFUNCTION("""COMPUTED_VALUE"""),1.0)</f>
        <v>1</v>
      </c>
      <c r="Q4913" s="4" t="str">
        <f>IFERROR(__xludf.DUMMYFUNCTION("""COMPUTED_VALUE"""),"null")</f>
        <v>null</v>
      </c>
      <c r="R4913" s="33">
        <f>IFERROR(__xludf.DUMMYFUNCTION("""COMPUTED_VALUE"""),1.0)</f>
        <v>1</v>
      </c>
      <c r="S4913" s="4" t="str">
        <f>IFERROR(__xludf.DUMMYFUNCTION("""COMPUTED_VALUE"""),"null")</f>
        <v>null</v>
      </c>
      <c r="T4913" s="33">
        <f>IFERROR(__xludf.DUMMYFUNCTION("""COMPUTED_VALUE"""),0.5)</f>
        <v>0.5</v>
      </c>
      <c r="U4913" s="4" t="str">
        <f>IFERROR(__xludf.DUMMYFUNCTION("""COMPUTED_VALUE"""),"null")</f>
        <v>null</v>
      </c>
      <c r="V4913" s="33">
        <f>IFERROR(__xludf.DUMMYFUNCTION("""COMPUTED_VALUE"""),0.5)</f>
        <v>0.5</v>
      </c>
      <c r="W4913" s="4" t="str">
        <f>IFERROR(__xludf.DUMMYFUNCTION("""COMPUTED_VALUE"""),"Agilizup Solucoes Ltda")</f>
        <v>Agilizup Solucoes Ltda</v>
      </c>
      <c r="X4913" s="33">
        <f>IFERROR(__xludf.DUMMYFUNCTION("""COMPUTED_VALUE"""),0.5)</f>
        <v>0.5</v>
      </c>
    </row>
    <row r="4914">
      <c r="K4914" s="4" t="str">
        <f>IFERROR(__xludf.DUMMYFUNCTION("""COMPUTED_VALUE"""),"CONTAINER BIER")</f>
        <v>CONTAINER BIER</v>
      </c>
      <c r="L4914" s="32">
        <f>IFERROR(__xludf.DUMMYFUNCTION("""COMPUTED_VALUE"""),2.0)</f>
        <v>2</v>
      </c>
      <c r="M4914" s="4" t="str">
        <f>IFERROR(__xludf.DUMMYFUNCTION("""COMPUTED_VALUE"""),"Grandchef Desenvolvimento De Sistemas Ltda")</f>
        <v>Grandchef Desenvolvimento De Sistemas Ltda</v>
      </c>
      <c r="N4914" s="33">
        <f>IFERROR(__xludf.DUMMYFUNCTION("""COMPUTED_VALUE"""),0.5)</f>
        <v>0.5</v>
      </c>
      <c r="O4914" s="4" t="str">
        <f>IFERROR(__xludf.DUMMYFUNCTION("""COMPUTED_VALUE"""),"null")</f>
        <v>null</v>
      </c>
      <c r="P4914" s="33">
        <f>IFERROR(__xludf.DUMMYFUNCTION("""COMPUTED_VALUE"""),1.0)</f>
        <v>1</v>
      </c>
      <c r="Q4914" s="4" t="str">
        <f>IFERROR(__xludf.DUMMYFUNCTION("""COMPUTED_VALUE"""),"null")</f>
        <v>null</v>
      </c>
      <c r="R4914" s="33">
        <f>IFERROR(__xludf.DUMMYFUNCTION("""COMPUTED_VALUE"""),1.0)</f>
        <v>1</v>
      </c>
      <c r="S4914" s="4" t="str">
        <f>IFERROR(__xludf.DUMMYFUNCTION("""COMPUTED_VALUE"""),"null")</f>
        <v>null</v>
      </c>
      <c r="T4914" s="33">
        <f>IFERROR(__xludf.DUMMYFUNCTION("""COMPUTED_VALUE"""),0.5)</f>
        <v>0.5</v>
      </c>
      <c r="U4914" s="4" t="str">
        <f>IFERROR(__xludf.DUMMYFUNCTION("""COMPUTED_VALUE"""),"null")</f>
        <v>null</v>
      </c>
      <c r="V4914" s="33">
        <f>IFERROR(__xludf.DUMMYFUNCTION("""COMPUTED_VALUE"""),1.0)</f>
        <v>1</v>
      </c>
      <c r="W4914" s="4" t="str">
        <f>IFERROR(__xludf.DUMMYFUNCTION("""COMPUTED_VALUE"""),"null")</f>
        <v>null</v>
      </c>
      <c r="X4914" s="33">
        <f>IFERROR(__xludf.DUMMYFUNCTION("""COMPUTED_VALUE"""),1.0)</f>
        <v>1</v>
      </c>
    </row>
    <row r="4915">
      <c r="K4915" s="4" t="str">
        <f>IFERROR(__xludf.DUMMYFUNCTION("""COMPUTED_VALUE"""),"GARAGE")</f>
        <v>GARAGE</v>
      </c>
      <c r="L4915" s="32">
        <f>IFERROR(__xludf.DUMMYFUNCTION("""COMPUTED_VALUE"""),2.0)</f>
        <v>2</v>
      </c>
      <c r="M4915" s="4" t="str">
        <f>IFERROR(__xludf.DUMMYFUNCTION("""COMPUTED_VALUE"""),"Saipos Serviços De Software")</f>
        <v>Saipos Serviços De Software</v>
      </c>
      <c r="N4915" s="33">
        <f>IFERROR(__xludf.DUMMYFUNCTION("""COMPUTED_VALUE"""),1.0)</f>
        <v>1</v>
      </c>
      <c r="O4915" s="4" t="str">
        <f>IFERROR(__xludf.DUMMYFUNCTION("""COMPUTED_VALUE"""),"Saipos Serviços De Software")</f>
        <v>Saipos Serviços De Software</v>
      </c>
      <c r="P4915" s="33">
        <f>IFERROR(__xludf.DUMMYFUNCTION("""COMPUTED_VALUE"""),1.0)</f>
        <v>1</v>
      </c>
      <c r="Q4915" s="4" t="str">
        <f>IFERROR(__xludf.DUMMYFUNCTION("""COMPUTED_VALUE"""),"null")</f>
        <v>null</v>
      </c>
      <c r="R4915" s="33">
        <f>IFERROR(__xludf.DUMMYFUNCTION("""COMPUTED_VALUE"""),0.5)</f>
        <v>0.5</v>
      </c>
      <c r="S4915" s="4" t="str">
        <f>IFERROR(__xludf.DUMMYFUNCTION("""COMPUTED_VALUE"""),"Saipos Serviços De Software")</f>
        <v>Saipos Serviços De Software</v>
      </c>
      <c r="T4915" s="33">
        <f>IFERROR(__xludf.DUMMYFUNCTION("""COMPUTED_VALUE"""),1.0)</f>
        <v>1</v>
      </c>
      <c r="U4915" s="4" t="str">
        <f>IFERROR(__xludf.DUMMYFUNCTION("""COMPUTED_VALUE"""),"Saipos Serviços De Software")</f>
        <v>Saipos Serviços De Software</v>
      </c>
      <c r="V4915" s="33">
        <f>IFERROR(__xludf.DUMMYFUNCTION("""COMPUTED_VALUE"""),1.0)</f>
        <v>1</v>
      </c>
      <c r="W4915" s="4" t="str">
        <f>IFERROR(__xludf.DUMMYFUNCTION("""COMPUTED_VALUE"""),"Saipos Serviços De Software")</f>
        <v>Saipos Serviços De Software</v>
      </c>
      <c r="X4915" s="33">
        <f>IFERROR(__xludf.DUMMYFUNCTION("""COMPUTED_VALUE"""),1.0)</f>
        <v>1</v>
      </c>
    </row>
    <row r="4916">
      <c r="K4916" s="4" t="str">
        <f>IFERROR(__xludf.DUMMYFUNCTION("""COMPUTED_VALUE"""),"SUPER FRANGO")</f>
        <v>SUPER FRANGO</v>
      </c>
      <c r="L4916" s="32">
        <f>IFERROR(__xludf.DUMMYFUNCTION("""COMPUTED_VALUE"""),2.0)</f>
        <v>2</v>
      </c>
      <c r="M4916" s="4" t="str">
        <f>IFERROR(__xludf.DUMMYFUNCTION("""COMPUTED_VALUE"""),"Ecta Tecnologia")</f>
        <v>Ecta Tecnologia</v>
      </c>
      <c r="N4916" s="33">
        <f>IFERROR(__xludf.DUMMYFUNCTION("""COMPUTED_VALUE"""),0.5)</f>
        <v>0.5</v>
      </c>
      <c r="O4916" s="4" t="str">
        <f>IFERROR(__xludf.DUMMYFUNCTION("""COMPUTED_VALUE"""),"Ecta Tecnologia")</f>
        <v>Ecta Tecnologia</v>
      </c>
      <c r="P4916" s="33">
        <f>IFERROR(__xludf.DUMMYFUNCTION("""COMPUTED_VALUE"""),0.5)</f>
        <v>0.5</v>
      </c>
      <c r="Q4916" s="4" t="str">
        <f>IFERROR(__xludf.DUMMYFUNCTION("""COMPUTED_VALUE"""),"Ecta Tecnologia")</f>
        <v>Ecta Tecnologia</v>
      </c>
      <c r="R4916" s="33">
        <f>IFERROR(__xludf.DUMMYFUNCTION("""COMPUTED_VALUE"""),0.5)</f>
        <v>0.5</v>
      </c>
      <c r="S4916" s="4" t="str">
        <f>IFERROR(__xludf.DUMMYFUNCTION("""COMPUTED_VALUE"""),"Ecta Tecnologia")</f>
        <v>Ecta Tecnologia</v>
      </c>
      <c r="T4916" s="33">
        <f>IFERROR(__xludf.DUMMYFUNCTION("""COMPUTED_VALUE"""),0.5)</f>
        <v>0.5</v>
      </c>
      <c r="U4916" s="4" t="str">
        <f>IFERROR(__xludf.DUMMYFUNCTION("""COMPUTED_VALUE"""),"Ecta Tecnologia")</f>
        <v>Ecta Tecnologia</v>
      </c>
      <c r="V4916" s="33">
        <f>IFERROR(__xludf.DUMMYFUNCTION("""COMPUTED_VALUE"""),0.5)</f>
        <v>0.5</v>
      </c>
      <c r="W4916" s="4" t="str">
        <f>IFERROR(__xludf.DUMMYFUNCTION("""COMPUTED_VALUE"""),"null")</f>
        <v>null</v>
      </c>
      <c r="X4916" s="33">
        <f>IFERROR(__xludf.DUMMYFUNCTION("""COMPUTED_VALUE"""),0.5)</f>
        <v>0.5</v>
      </c>
    </row>
    <row r="4917">
      <c r="K4917" s="4" t="str">
        <f>IFERROR(__xludf.DUMMYFUNCTION("""COMPUTED_VALUE"""),"BETTOS BURG")</f>
        <v>BETTOS BURG</v>
      </c>
      <c r="L4917" s="32">
        <f>IFERROR(__xludf.DUMMYFUNCTION("""COMPUTED_VALUE"""),2.0)</f>
        <v>2</v>
      </c>
      <c r="M4917" s="4" t="str">
        <f>IFERROR(__xludf.DUMMYFUNCTION("""COMPUTED_VALUE"""),"null")</f>
        <v>null</v>
      </c>
      <c r="N4917" s="33">
        <f>IFERROR(__xludf.DUMMYFUNCTION("""COMPUTED_VALUE"""),1.0)</f>
        <v>1</v>
      </c>
      <c r="O4917" s="4" t="str">
        <f>IFERROR(__xludf.DUMMYFUNCTION("""COMPUTED_VALUE"""),"null")</f>
        <v>null</v>
      </c>
      <c r="P4917" s="33">
        <f>IFERROR(__xludf.DUMMYFUNCTION("""COMPUTED_VALUE"""),1.0)</f>
        <v>1</v>
      </c>
      <c r="Q4917" s="4" t="str">
        <f>IFERROR(__xludf.DUMMYFUNCTION("""COMPUTED_VALUE"""),"Saipos Serviços De Software")</f>
        <v>Saipos Serviços De Software</v>
      </c>
      <c r="R4917" s="33">
        <f>IFERROR(__xludf.DUMMYFUNCTION("""COMPUTED_VALUE"""),1.0)</f>
        <v>1</v>
      </c>
      <c r="S4917" s="4" t="str">
        <f>IFERROR(__xludf.DUMMYFUNCTION("""COMPUTED_VALUE"""),"Saipos Serviços De Software")</f>
        <v>Saipos Serviços De Software</v>
      </c>
      <c r="T4917" s="33">
        <f>IFERROR(__xludf.DUMMYFUNCTION("""COMPUTED_VALUE"""),1.0)</f>
        <v>1</v>
      </c>
      <c r="U4917" s="4" t="str">
        <f>IFERROR(__xludf.DUMMYFUNCTION("""COMPUTED_VALUE"""),"null")</f>
        <v>null</v>
      </c>
      <c r="V4917" s="33">
        <f>IFERROR(__xludf.DUMMYFUNCTION("""COMPUTED_VALUE"""),1.0)</f>
        <v>1</v>
      </c>
      <c r="W4917" s="4" t="str">
        <f>IFERROR(__xludf.DUMMYFUNCTION("""COMPUTED_VALUE"""),"null")</f>
        <v>null</v>
      </c>
      <c r="X4917" s="33">
        <f>IFERROR(__xludf.DUMMYFUNCTION("""COMPUTED_VALUE"""),1.0)</f>
        <v>1</v>
      </c>
    </row>
    <row r="4918">
      <c r="K4918" s="4" t="str">
        <f>IFERROR(__xludf.DUMMYFUNCTION("""COMPUTED_VALUE"""),"VELOCE")</f>
        <v>VELOCE</v>
      </c>
      <c r="L4918" s="32">
        <f>IFERROR(__xludf.DUMMYFUNCTION("""COMPUTED_VALUE"""),2.0)</f>
        <v>2</v>
      </c>
      <c r="M4918" s="4" t="str">
        <f>IFERROR(__xludf.DUMMYFUNCTION("""COMPUTED_VALUE"""),"Saipos Serviços De Software")</f>
        <v>Saipos Serviços De Software</v>
      </c>
      <c r="N4918" s="33">
        <f>IFERROR(__xludf.DUMMYFUNCTION("""COMPUTED_VALUE"""),1.0)</f>
        <v>1</v>
      </c>
      <c r="O4918" s="4" t="str">
        <f>IFERROR(__xludf.DUMMYFUNCTION("""COMPUTED_VALUE"""),"null")</f>
        <v>null</v>
      </c>
      <c r="P4918" s="33">
        <f>IFERROR(__xludf.DUMMYFUNCTION("""COMPUTED_VALUE"""),0.5)</f>
        <v>0.5</v>
      </c>
      <c r="Q4918" s="4" t="str">
        <f>IFERROR(__xludf.DUMMYFUNCTION("""COMPUTED_VALUE"""),"Saipos Serviços De Software")</f>
        <v>Saipos Serviços De Software</v>
      </c>
      <c r="R4918" s="33">
        <f>IFERROR(__xludf.DUMMYFUNCTION("""COMPUTED_VALUE"""),1.0)</f>
        <v>1</v>
      </c>
      <c r="S4918" s="4" t="str">
        <f>IFERROR(__xludf.DUMMYFUNCTION("""COMPUTED_VALUE"""),"null")</f>
        <v>null</v>
      </c>
      <c r="T4918" s="33">
        <f>IFERROR(__xludf.DUMMYFUNCTION("""COMPUTED_VALUE"""),0.5)</f>
        <v>0.5</v>
      </c>
      <c r="U4918" s="4" t="str">
        <f>IFERROR(__xludf.DUMMYFUNCTION("""COMPUTED_VALUE"""),"Saipos Serviços De Software")</f>
        <v>Saipos Serviços De Software</v>
      </c>
      <c r="V4918" s="33">
        <f>IFERROR(__xludf.DUMMYFUNCTION("""COMPUTED_VALUE"""),1.0)</f>
        <v>1</v>
      </c>
      <c r="W4918" s="4" t="str">
        <f>IFERROR(__xludf.DUMMYFUNCTION("""COMPUTED_VALUE"""),"Saipos Serviços De Software")</f>
        <v>Saipos Serviços De Software</v>
      </c>
      <c r="X4918" s="33">
        <f>IFERROR(__xludf.DUMMYFUNCTION("""COMPUTED_VALUE"""),1.0)</f>
        <v>1</v>
      </c>
    </row>
    <row r="4919">
      <c r="K4919" s="4" t="str">
        <f>IFERROR(__xludf.DUMMYFUNCTION("""COMPUTED_VALUE"""),"ESPETINHO AED")</f>
        <v>ESPETINHO AED</v>
      </c>
      <c r="L4919" s="32">
        <f>IFERROR(__xludf.DUMMYFUNCTION("""COMPUTED_VALUE"""),2.0)</f>
        <v>2</v>
      </c>
      <c r="M4919" s="4" t="str">
        <f>IFERROR(__xludf.DUMMYFUNCTION("""COMPUTED_VALUE"""),"Anota Ai Solucoes Digitais S/a")</f>
        <v>Anota Ai Solucoes Digitais S/a</v>
      </c>
      <c r="N4919" s="33">
        <f>IFERROR(__xludf.DUMMYFUNCTION("""COMPUTED_VALUE"""),0.5)</f>
        <v>0.5</v>
      </c>
      <c r="O4919" s="4" t="str">
        <f>IFERROR(__xludf.DUMMYFUNCTION("""COMPUTED_VALUE"""),"null")</f>
        <v>null</v>
      </c>
      <c r="P4919" s="33">
        <f>IFERROR(__xludf.DUMMYFUNCTION("""COMPUTED_VALUE"""),0.5)</f>
        <v>0.5</v>
      </c>
      <c r="Q4919" s="4" t="str">
        <f>IFERROR(__xludf.DUMMYFUNCTION("""COMPUTED_VALUE"""),"null")</f>
        <v>null</v>
      </c>
      <c r="R4919" s="33">
        <f>IFERROR(__xludf.DUMMYFUNCTION("""COMPUTED_VALUE"""),0.5)</f>
        <v>0.5</v>
      </c>
      <c r="S4919" s="4" t="str">
        <f>IFERROR(__xludf.DUMMYFUNCTION("""COMPUTED_VALUE"""),"null")</f>
        <v>null</v>
      </c>
      <c r="T4919" s="33">
        <f>IFERROR(__xludf.DUMMYFUNCTION("""COMPUTED_VALUE"""),0.5)</f>
        <v>0.5</v>
      </c>
      <c r="U4919" s="4" t="str">
        <f>IFERROR(__xludf.DUMMYFUNCTION("""COMPUTED_VALUE"""),"null")</f>
        <v>null</v>
      </c>
      <c r="V4919" s="33">
        <f>IFERROR(__xludf.DUMMYFUNCTION("""COMPUTED_VALUE"""),0.5)</f>
        <v>0.5</v>
      </c>
      <c r="W4919" s="4" t="str">
        <f>IFERROR(__xludf.DUMMYFUNCTION("""COMPUTED_VALUE"""),"null")</f>
        <v>null</v>
      </c>
      <c r="X4919" s="33">
        <f>IFERROR(__xludf.DUMMYFUNCTION("""COMPUTED_VALUE"""),0.5)</f>
        <v>0.5</v>
      </c>
    </row>
    <row r="4920">
      <c r="K4920" s="4" t="str">
        <f>IFERROR(__xludf.DUMMYFUNCTION("""COMPUTED_VALUE"""),"LA FAMILIA PIZZARIA")</f>
        <v>LA FAMILIA PIZZARIA</v>
      </c>
      <c r="L4920" s="32">
        <f>IFERROR(__xludf.DUMMYFUNCTION("""COMPUTED_VALUE"""),2.0)</f>
        <v>2</v>
      </c>
      <c r="M4920" s="4" t="str">
        <f>IFERROR(__xludf.DUMMYFUNCTION("""COMPUTED_VALUE"""),"Anota Ai Solucoes Digitais S/a")</f>
        <v>Anota Ai Solucoes Digitais S/a</v>
      </c>
      <c r="N4920" s="33">
        <f>IFERROR(__xludf.DUMMYFUNCTION("""COMPUTED_VALUE"""),0.5)</f>
        <v>0.5</v>
      </c>
      <c r="O4920" s="4" t="str">
        <f>IFERROR(__xludf.DUMMYFUNCTION("""COMPUTED_VALUE"""),"Anota Ai Solucoes Digitais S/a")</f>
        <v>Anota Ai Solucoes Digitais S/a</v>
      </c>
      <c r="P4920" s="33">
        <f>IFERROR(__xludf.DUMMYFUNCTION("""COMPUTED_VALUE"""),0.5)</f>
        <v>0.5</v>
      </c>
      <c r="Q4920" s="4" t="str">
        <f>IFERROR(__xludf.DUMMYFUNCTION("""COMPUTED_VALUE"""),"Anota Ai Solucoes Digitais S/a")</f>
        <v>Anota Ai Solucoes Digitais S/a</v>
      </c>
      <c r="R4920" s="33">
        <f>IFERROR(__xludf.DUMMYFUNCTION("""COMPUTED_VALUE"""),0.5)</f>
        <v>0.5</v>
      </c>
      <c r="S4920" s="4" t="str">
        <f>IFERROR(__xludf.DUMMYFUNCTION("""COMPUTED_VALUE"""),"Anota Ai Solucoes Digitais S/a")</f>
        <v>Anota Ai Solucoes Digitais S/a</v>
      </c>
      <c r="T4920" s="33">
        <f>IFERROR(__xludf.DUMMYFUNCTION("""COMPUTED_VALUE"""),0.5)</f>
        <v>0.5</v>
      </c>
      <c r="U4920" s="4" t="str">
        <f>IFERROR(__xludf.DUMMYFUNCTION("""COMPUTED_VALUE"""),"Anota Ai Solucoes Digitais S/a")</f>
        <v>Anota Ai Solucoes Digitais S/a</v>
      </c>
      <c r="V4920" s="33">
        <f>IFERROR(__xludf.DUMMYFUNCTION("""COMPUTED_VALUE"""),0.5)</f>
        <v>0.5</v>
      </c>
      <c r="W4920" s="4" t="str">
        <f>IFERROR(__xludf.DUMMYFUNCTION("""COMPUTED_VALUE"""),"Anota Ai Solucoes Digitais S/a")</f>
        <v>Anota Ai Solucoes Digitais S/a</v>
      </c>
      <c r="X4920" s="33">
        <f>IFERROR(__xludf.DUMMYFUNCTION("""COMPUTED_VALUE"""),0.5)</f>
        <v>0.5</v>
      </c>
    </row>
    <row r="4921">
      <c r="K4921" s="4" t="str">
        <f>IFERROR(__xludf.DUMMYFUNCTION("""COMPUTED_VALUE"""),"MEU DOGAO")</f>
        <v>MEU DOGAO</v>
      </c>
      <c r="L4921" s="32">
        <f>IFERROR(__xludf.DUMMYFUNCTION("""COMPUTED_VALUE"""),2.0)</f>
        <v>2</v>
      </c>
      <c r="M4921" s="4" t="str">
        <f>IFERROR(__xludf.DUMMYFUNCTION("""COMPUTED_VALUE"""),"Saipos Serviços De Software")</f>
        <v>Saipos Serviços De Software</v>
      </c>
      <c r="N4921" s="33">
        <f>IFERROR(__xludf.DUMMYFUNCTION("""COMPUTED_VALUE"""),1.0)</f>
        <v>1</v>
      </c>
      <c r="O4921" s="4" t="str">
        <f>IFERROR(__xludf.DUMMYFUNCTION("""COMPUTED_VALUE"""),"Saipos Serviços De Software")</f>
        <v>Saipos Serviços De Software</v>
      </c>
      <c r="P4921" s="33">
        <f>IFERROR(__xludf.DUMMYFUNCTION("""COMPUTED_VALUE"""),1.0)</f>
        <v>1</v>
      </c>
      <c r="Q4921" s="4" t="str">
        <f>IFERROR(__xludf.DUMMYFUNCTION("""COMPUTED_VALUE"""),"Saipos Serviços De Software")</f>
        <v>Saipos Serviços De Software</v>
      </c>
      <c r="R4921" s="33">
        <f>IFERROR(__xludf.DUMMYFUNCTION("""COMPUTED_VALUE"""),1.0)</f>
        <v>1</v>
      </c>
      <c r="S4921" s="4" t="str">
        <f>IFERROR(__xludf.DUMMYFUNCTION("""COMPUTED_VALUE"""),"Saipos Serviços De Software")</f>
        <v>Saipos Serviços De Software</v>
      </c>
      <c r="T4921" s="33">
        <f>IFERROR(__xludf.DUMMYFUNCTION("""COMPUTED_VALUE"""),1.0)</f>
        <v>1</v>
      </c>
      <c r="U4921" s="4" t="str">
        <f>IFERROR(__xludf.DUMMYFUNCTION("""COMPUTED_VALUE"""),"Saipos Serviços De Software")</f>
        <v>Saipos Serviços De Software</v>
      </c>
      <c r="V4921" s="33">
        <f>IFERROR(__xludf.DUMMYFUNCTION("""COMPUTED_VALUE"""),0.5)</f>
        <v>0.5</v>
      </c>
      <c r="W4921" s="4" t="str">
        <f>IFERROR(__xludf.DUMMYFUNCTION("""COMPUTED_VALUE"""),"Saipos Serviços De Software")</f>
        <v>Saipos Serviços De Software</v>
      </c>
      <c r="X4921" s="33">
        <f>IFERROR(__xludf.DUMMYFUNCTION("""COMPUTED_VALUE"""),0.5)</f>
        <v>0.5</v>
      </c>
    </row>
    <row r="4922">
      <c r="K4922" s="4" t="str">
        <f>IFERROR(__xludf.DUMMYFUNCTION("""COMPUTED_VALUE"""),"FARMACIA AGAFARMA")</f>
        <v>FARMACIA AGAFARMA</v>
      </c>
      <c r="L4922" s="32">
        <f>IFERROR(__xludf.DUMMYFUNCTION("""COMPUTED_VALUE"""),2.0)</f>
        <v>2</v>
      </c>
      <c r="M4922" s="4" t="str">
        <f>IFERROR(__xludf.DUMMYFUNCTION("""COMPUTED_VALUE"""),"N/A (Not found)")</f>
        <v>N/A (Not found)</v>
      </c>
      <c r="N4922" s="33">
        <f>IFERROR(__xludf.DUMMYFUNCTION("""COMPUTED_VALUE"""),1.0)</f>
        <v>1</v>
      </c>
      <c r="O4922" s="4" t="str">
        <f>IFERROR(__xludf.DUMMYFUNCTION("""COMPUTED_VALUE"""),"N/A (Not found)")</f>
        <v>N/A (Not found)</v>
      </c>
      <c r="P4922" s="33">
        <f>IFERROR(__xludf.DUMMYFUNCTION("""COMPUTED_VALUE"""),1.0)</f>
        <v>1</v>
      </c>
      <c r="Q4922" s="4" t="str">
        <f>IFERROR(__xludf.DUMMYFUNCTION("""COMPUTED_VALUE"""),"N/A (Not found)")</f>
        <v>N/A (Not found)</v>
      </c>
      <c r="R4922" s="33">
        <f>IFERROR(__xludf.DUMMYFUNCTION("""COMPUTED_VALUE"""),1.0)</f>
        <v>1</v>
      </c>
      <c r="S4922" s="4" t="str">
        <f>IFERROR(__xludf.DUMMYFUNCTION("""COMPUTED_VALUE"""),"null")</f>
        <v>null</v>
      </c>
      <c r="T4922" s="33">
        <f>IFERROR(__xludf.DUMMYFUNCTION("""COMPUTED_VALUE"""),0.5)</f>
        <v>0.5</v>
      </c>
      <c r="U4922" s="4" t="str">
        <f>IFERROR(__xludf.DUMMYFUNCTION("""COMPUTED_VALUE"""),"null")</f>
        <v>null</v>
      </c>
      <c r="V4922" s="33">
        <f>IFERROR(__xludf.DUMMYFUNCTION("""COMPUTED_VALUE"""),0.5)</f>
        <v>0.5</v>
      </c>
      <c r="W4922" s="4" t="str">
        <f>IFERROR(__xludf.DUMMYFUNCTION("""COMPUTED_VALUE"""),"N/A (Not found)")</f>
        <v>N/A (Not found)</v>
      </c>
      <c r="X4922" s="33">
        <f>IFERROR(__xludf.DUMMYFUNCTION("""COMPUTED_VALUE"""),1.0)</f>
        <v>1</v>
      </c>
    </row>
    <row r="4923">
      <c r="K4923" s="4" t="str">
        <f>IFERROR(__xludf.DUMMYFUNCTION("""COMPUTED_VALUE"""),"ZE BURGER")</f>
        <v>ZE BURGER</v>
      </c>
      <c r="L4923" s="32">
        <f>IFERROR(__xludf.DUMMYFUNCTION("""COMPUTED_VALUE"""),2.0)</f>
        <v>2</v>
      </c>
      <c r="M4923" s="4" t="str">
        <f>IFERROR(__xludf.DUMMYFUNCTION("""COMPUTED_VALUE"""),"Lexsis Sistemas")</f>
        <v>Lexsis Sistemas</v>
      </c>
      <c r="N4923" s="33">
        <f>IFERROR(__xludf.DUMMYFUNCTION("""COMPUTED_VALUE"""),0.5)</f>
        <v>0.5</v>
      </c>
      <c r="O4923" s="4" t="str">
        <f>IFERROR(__xludf.DUMMYFUNCTION("""COMPUTED_VALUE"""),"Lexsis Sistemas")</f>
        <v>Lexsis Sistemas</v>
      </c>
      <c r="P4923" s="33">
        <f>IFERROR(__xludf.DUMMYFUNCTION("""COMPUTED_VALUE"""),0.5)</f>
        <v>0.5</v>
      </c>
      <c r="Q4923" s="4" t="str">
        <f>IFERROR(__xludf.DUMMYFUNCTION("""COMPUTED_VALUE"""),"Lexsis Sistemas")</f>
        <v>Lexsis Sistemas</v>
      </c>
      <c r="R4923" s="33">
        <f>IFERROR(__xludf.DUMMYFUNCTION("""COMPUTED_VALUE"""),0.5)</f>
        <v>0.5</v>
      </c>
      <c r="S4923" s="4" t="str">
        <f>IFERROR(__xludf.DUMMYFUNCTION("""COMPUTED_VALUE"""),"null")</f>
        <v>null</v>
      </c>
      <c r="T4923" s="33">
        <f>IFERROR(__xludf.DUMMYFUNCTION("""COMPUTED_VALUE"""),1.0)</f>
        <v>1</v>
      </c>
      <c r="U4923" s="4" t="str">
        <f>IFERROR(__xludf.DUMMYFUNCTION("""COMPUTED_VALUE"""),"null")</f>
        <v>null</v>
      </c>
      <c r="V4923" s="33">
        <f>IFERROR(__xludf.DUMMYFUNCTION("""COMPUTED_VALUE"""),1.0)</f>
        <v>1</v>
      </c>
      <c r="W4923" s="4" t="str">
        <f>IFERROR(__xludf.DUMMYFUNCTION("""COMPUTED_VALUE"""),"null")</f>
        <v>null</v>
      </c>
      <c r="X4923" s="33">
        <f>IFERROR(__xludf.DUMMYFUNCTION("""COMPUTED_VALUE"""),0.5)</f>
        <v>0.5</v>
      </c>
    </row>
    <row r="4924">
      <c r="K4924" s="4" t="str">
        <f>IFERROR(__xludf.DUMMYFUNCTION("""COMPUTED_VALUE"""),"PARRILLA BURGUER")</f>
        <v>PARRILLA BURGUER</v>
      </c>
      <c r="L4924" s="32">
        <f>IFERROR(__xludf.DUMMYFUNCTION("""COMPUTED_VALUE"""),2.0)</f>
        <v>2</v>
      </c>
      <c r="M4924" s="4" t="str">
        <f>IFERROR(__xludf.DUMMYFUNCTION("""COMPUTED_VALUE"""),"Anota Ai Solucoes Digitais S/a")</f>
        <v>Anota Ai Solucoes Digitais S/a</v>
      </c>
      <c r="N4924" s="33">
        <f>IFERROR(__xludf.DUMMYFUNCTION("""COMPUTED_VALUE"""),0.5)</f>
        <v>0.5</v>
      </c>
      <c r="O4924" s="4" t="str">
        <f>IFERROR(__xludf.DUMMYFUNCTION("""COMPUTED_VALUE"""),"null")</f>
        <v>null</v>
      </c>
      <c r="P4924" s="33">
        <f>IFERROR(__xludf.DUMMYFUNCTION("""COMPUTED_VALUE"""),0.5)</f>
        <v>0.5</v>
      </c>
      <c r="Q4924" s="4" t="str">
        <f>IFERROR(__xludf.DUMMYFUNCTION("""COMPUTED_VALUE"""),"null")</f>
        <v>null</v>
      </c>
      <c r="R4924" s="33">
        <f>IFERROR(__xludf.DUMMYFUNCTION("""COMPUTED_VALUE"""),0.5)</f>
        <v>0.5</v>
      </c>
      <c r="S4924" s="4" t="str">
        <f>IFERROR(__xludf.DUMMYFUNCTION("""COMPUTED_VALUE"""),"Anota Ai Solucoes Digitais S/a")</f>
        <v>Anota Ai Solucoes Digitais S/a</v>
      </c>
      <c r="T4924" s="33">
        <f>IFERROR(__xludf.DUMMYFUNCTION("""COMPUTED_VALUE"""),0.5)</f>
        <v>0.5</v>
      </c>
      <c r="U4924" s="4" t="str">
        <f>IFERROR(__xludf.DUMMYFUNCTION("""COMPUTED_VALUE"""),"null")</f>
        <v>null</v>
      </c>
      <c r="V4924" s="33">
        <f>IFERROR(__xludf.DUMMYFUNCTION("""COMPUTED_VALUE"""),0.5)</f>
        <v>0.5</v>
      </c>
      <c r="W4924" s="4" t="str">
        <f>IFERROR(__xludf.DUMMYFUNCTION("""COMPUTED_VALUE"""),"Anota Ai Solucoes Digitais S/a")</f>
        <v>Anota Ai Solucoes Digitais S/a</v>
      </c>
      <c r="X4924" s="33">
        <f>IFERROR(__xludf.DUMMYFUNCTION("""COMPUTED_VALUE"""),0.5)</f>
        <v>0.5</v>
      </c>
    </row>
    <row r="4925">
      <c r="K4925" s="4" t="str">
        <f>IFERROR(__xludf.DUMMYFUNCTION("""COMPUTED_VALUE"""),"DONOS DO SABOR")</f>
        <v>DONOS DO SABOR</v>
      </c>
      <c r="L4925" s="32">
        <f>IFERROR(__xludf.DUMMYFUNCTION("""COMPUTED_VALUE"""),2.0)</f>
        <v>2</v>
      </c>
      <c r="M4925" s="4" t="str">
        <f>IFERROR(__xludf.DUMMYFUNCTION("""COMPUTED_VALUE"""),"Instadelivery")</f>
        <v>Instadelivery</v>
      </c>
      <c r="N4925" s="33">
        <f>IFERROR(__xludf.DUMMYFUNCTION("""COMPUTED_VALUE"""),0.5)</f>
        <v>0.5</v>
      </c>
      <c r="O4925" s="4" t="str">
        <f>IFERROR(__xludf.DUMMYFUNCTION("""COMPUTED_VALUE"""),"Instadelivery")</f>
        <v>Instadelivery</v>
      </c>
      <c r="P4925" s="33">
        <f>IFERROR(__xludf.DUMMYFUNCTION("""COMPUTED_VALUE"""),0.5)</f>
        <v>0.5</v>
      </c>
      <c r="Q4925" s="4" t="str">
        <f>IFERROR(__xludf.DUMMYFUNCTION("""COMPUTED_VALUE"""),"Instadelivery")</f>
        <v>Instadelivery</v>
      </c>
      <c r="R4925" s="33">
        <f>IFERROR(__xludf.DUMMYFUNCTION("""COMPUTED_VALUE"""),0.5)</f>
        <v>0.5</v>
      </c>
      <c r="S4925" s="4" t="str">
        <f>IFERROR(__xludf.DUMMYFUNCTION("""COMPUTED_VALUE"""),"Instadelivery")</f>
        <v>Instadelivery</v>
      </c>
      <c r="T4925" s="33">
        <f>IFERROR(__xludf.DUMMYFUNCTION("""COMPUTED_VALUE"""),0.5)</f>
        <v>0.5</v>
      </c>
      <c r="U4925" s="4" t="str">
        <f>IFERROR(__xludf.DUMMYFUNCTION("""COMPUTED_VALUE"""),"Instadelivery")</f>
        <v>Instadelivery</v>
      </c>
      <c r="V4925" s="33">
        <f>IFERROR(__xludf.DUMMYFUNCTION("""COMPUTED_VALUE"""),0.5)</f>
        <v>0.5</v>
      </c>
      <c r="W4925" s="4" t="str">
        <f>IFERROR(__xludf.DUMMYFUNCTION("""COMPUTED_VALUE"""),"Instadelivery")</f>
        <v>Instadelivery</v>
      </c>
      <c r="X4925" s="33">
        <f>IFERROR(__xludf.DUMMYFUNCTION("""COMPUTED_VALUE"""),0.5)</f>
        <v>0.5</v>
      </c>
    </row>
    <row r="4926">
      <c r="K4926" s="4" t="str">
        <f>IFERROR(__xludf.DUMMYFUNCTION("""COMPUTED_VALUE"""),"JACARE LANCHES")</f>
        <v>JACARE LANCHES</v>
      </c>
      <c r="L4926" s="32">
        <f>IFERROR(__xludf.DUMMYFUNCTION("""COMPUTED_VALUE"""),2.0)</f>
        <v>2</v>
      </c>
      <c r="M4926" s="4" t="str">
        <f>IFERROR(__xludf.DUMMYFUNCTION("""COMPUTED_VALUE"""),"null")</f>
        <v>null</v>
      </c>
      <c r="N4926" s="33">
        <f>IFERROR(__xludf.DUMMYFUNCTION("""COMPUTED_VALUE"""),0.5)</f>
        <v>0.5</v>
      </c>
      <c r="O4926" s="4" t="str">
        <f>IFERROR(__xludf.DUMMYFUNCTION("""COMPUTED_VALUE"""),"null")</f>
        <v>null</v>
      </c>
      <c r="P4926" s="33">
        <f>IFERROR(__xludf.DUMMYFUNCTION("""COMPUTED_VALUE"""),0.5)</f>
        <v>0.5</v>
      </c>
      <c r="Q4926" s="4" t="str">
        <f>IFERROR(__xludf.DUMMYFUNCTION("""COMPUTED_VALUE"""),"null")</f>
        <v>null</v>
      </c>
      <c r="R4926" s="33">
        <f>IFERROR(__xludf.DUMMYFUNCTION("""COMPUTED_VALUE"""),1.0)</f>
        <v>1</v>
      </c>
      <c r="S4926" s="4" t="str">
        <f>IFERROR(__xludf.DUMMYFUNCTION("""COMPUTED_VALUE"""),"null")</f>
        <v>null</v>
      </c>
      <c r="T4926" s="33">
        <f>IFERROR(__xludf.DUMMYFUNCTION("""COMPUTED_VALUE"""),1.0)</f>
        <v>1</v>
      </c>
      <c r="U4926" s="4" t="str">
        <f>IFERROR(__xludf.DUMMYFUNCTION("""COMPUTED_VALUE"""),"null")</f>
        <v>null</v>
      </c>
      <c r="V4926" s="33">
        <f>IFERROR(__xludf.DUMMYFUNCTION("""COMPUTED_VALUE"""),1.0)</f>
        <v>1</v>
      </c>
      <c r="W4926" s="4" t="str">
        <f>IFERROR(__xludf.DUMMYFUNCTION("""COMPUTED_VALUE"""),"Anota Ai Solucoes Digitais S/a")</f>
        <v>Anota Ai Solucoes Digitais S/a</v>
      </c>
      <c r="X4926" s="33">
        <f>IFERROR(__xludf.DUMMYFUNCTION("""COMPUTED_VALUE"""),0.5)</f>
        <v>0.5</v>
      </c>
    </row>
    <row r="4927">
      <c r="K4927" s="4" t="str">
        <f>IFERROR(__xludf.DUMMYFUNCTION("""COMPUTED_VALUE"""),"ACAI DA ISA")</f>
        <v>ACAI DA ISA</v>
      </c>
      <c r="L4927" s="32">
        <f>IFERROR(__xludf.DUMMYFUNCTION("""COMPUTED_VALUE"""),2.0)</f>
        <v>2</v>
      </c>
      <c r="M4927" s="4" t="str">
        <f>IFERROR(__xludf.DUMMYFUNCTION("""COMPUTED_VALUE"""),"null")</f>
        <v>null</v>
      </c>
      <c r="N4927" s="33">
        <f>IFERROR(__xludf.DUMMYFUNCTION("""COMPUTED_VALUE"""),0.5)</f>
        <v>0.5</v>
      </c>
      <c r="O4927" s="4" t="str">
        <f>IFERROR(__xludf.DUMMYFUNCTION("""COMPUTED_VALUE"""),"null")</f>
        <v>null</v>
      </c>
      <c r="P4927" s="33">
        <f>IFERROR(__xludf.DUMMYFUNCTION("""COMPUTED_VALUE"""),0.5)</f>
        <v>0.5</v>
      </c>
      <c r="Q4927" s="4" t="str">
        <f>IFERROR(__xludf.DUMMYFUNCTION("""COMPUTED_VALUE"""),"null")</f>
        <v>null</v>
      </c>
      <c r="R4927" s="33">
        <f>IFERROR(__xludf.DUMMYFUNCTION("""COMPUTED_VALUE"""),0.5)</f>
        <v>0.5</v>
      </c>
      <c r="S4927" s="4" t="str">
        <f>IFERROR(__xludf.DUMMYFUNCTION("""COMPUTED_VALUE"""),"null")</f>
        <v>null</v>
      </c>
      <c r="T4927" s="33">
        <f>IFERROR(__xludf.DUMMYFUNCTION("""COMPUTED_VALUE"""),0.5)</f>
        <v>0.5</v>
      </c>
      <c r="U4927" s="4" t="str">
        <f>IFERROR(__xludf.DUMMYFUNCTION("""COMPUTED_VALUE"""),"Anota Ai Solucoes Digitais S/a")</f>
        <v>Anota Ai Solucoes Digitais S/a</v>
      </c>
      <c r="V4927" s="33">
        <f>IFERROR(__xludf.DUMMYFUNCTION("""COMPUTED_VALUE"""),0.5)</f>
        <v>0.5</v>
      </c>
      <c r="W4927" s="4" t="str">
        <f>IFERROR(__xludf.DUMMYFUNCTION("""COMPUTED_VALUE"""),"Anota Ai Solucoes Digitais S/a")</f>
        <v>Anota Ai Solucoes Digitais S/a</v>
      </c>
      <c r="X4927" s="33">
        <f>IFERROR(__xludf.DUMMYFUNCTION("""COMPUTED_VALUE"""),0.5)</f>
        <v>0.5</v>
      </c>
    </row>
    <row r="4928">
      <c r="K4928" s="4" t="str">
        <f>IFERROR(__xludf.DUMMYFUNCTION("""COMPUTED_VALUE"""),"LS LANCHES")</f>
        <v>LS LANCHES</v>
      </c>
      <c r="L4928" s="32">
        <f>IFERROR(__xludf.DUMMYFUNCTION("""COMPUTED_VALUE"""),2.0)</f>
        <v>2</v>
      </c>
      <c r="M4928" s="4" t="str">
        <f>IFERROR(__xludf.DUMMYFUNCTION("""COMPUTED_VALUE"""),"Saipos Serviços De Software")</f>
        <v>Saipos Serviços De Software</v>
      </c>
      <c r="N4928" s="33">
        <f>IFERROR(__xludf.DUMMYFUNCTION("""COMPUTED_VALUE"""),0.5)</f>
        <v>0.5</v>
      </c>
      <c r="O4928" s="4" t="str">
        <f>IFERROR(__xludf.DUMMYFUNCTION("""COMPUTED_VALUE"""),"Saipos Serviços De Software")</f>
        <v>Saipos Serviços De Software</v>
      </c>
      <c r="P4928" s="33">
        <f>IFERROR(__xludf.DUMMYFUNCTION("""COMPUTED_VALUE"""),0.5)</f>
        <v>0.5</v>
      </c>
      <c r="Q4928" s="4" t="str">
        <f>IFERROR(__xludf.DUMMYFUNCTION("""COMPUTED_VALUE"""),"Saipos Serviços De Software")</f>
        <v>Saipos Serviços De Software</v>
      </c>
      <c r="R4928" s="33">
        <f>IFERROR(__xludf.DUMMYFUNCTION("""COMPUTED_VALUE"""),0.5)</f>
        <v>0.5</v>
      </c>
      <c r="S4928" s="4" t="str">
        <f>IFERROR(__xludf.DUMMYFUNCTION("""COMPUTED_VALUE"""),"null")</f>
        <v>null</v>
      </c>
      <c r="T4928" s="33">
        <f>IFERROR(__xludf.DUMMYFUNCTION("""COMPUTED_VALUE"""),0.5)</f>
        <v>0.5</v>
      </c>
      <c r="U4928" s="4" t="str">
        <f>IFERROR(__xludf.DUMMYFUNCTION("""COMPUTED_VALUE"""),"null")</f>
        <v>null</v>
      </c>
      <c r="V4928" s="33">
        <f>IFERROR(__xludf.DUMMYFUNCTION("""COMPUTED_VALUE"""),0.5)</f>
        <v>0.5</v>
      </c>
      <c r="W4928" s="4" t="str">
        <f>IFERROR(__xludf.DUMMYFUNCTION("""COMPUTED_VALUE"""),"null")</f>
        <v>null</v>
      </c>
      <c r="X4928" s="33">
        <f>IFERROR(__xludf.DUMMYFUNCTION("""COMPUTED_VALUE"""),1.0)</f>
        <v>1</v>
      </c>
    </row>
    <row r="4929">
      <c r="K4929" s="4" t="str">
        <f>IFERROR(__xludf.DUMMYFUNCTION("""COMPUTED_VALUE"""),"UNA PIZZA")</f>
        <v>UNA PIZZA</v>
      </c>
      <c r="L4929" s="32">
        <f>IFERROR(__xludf.DUMMYFUNCTION("""COMPUTED_VALUE"""),2.0)</f>
        <v>2</v>
      </c>
      <c r="M4929" s="4" t="str">
        <f>IFERROR(__xludf.DUMMYFUNCTION("""COMPUTED_VALUE"""),"Saipos Serviços De Software")</f>
        <v>Saipos Serviços De Software</v>
      </c>
      <c r="N4929" s="33">
        <f>IFERROR(__xludf.DUMMYFUNCTION("""COMPUTED_VALUE"""),0.5)</f>
        <v>0.5</v>
      </c>
      <c r="O4929" s="4" t="str">
        <f>IFERROR(__xludf.DUMMYFUNCTION("""COMPUTED_VALUE"""),"Saipos Serviços De Software")</f>
        <v>Saipos Serviços De Software</v>
      </c>
      <c r="P4929" s="33">
        <f>IFERROR(__xludf.DUMMYFUNCTION("""COMPUTED_VALUE"""),0.5)</f>
        <v>0.5</v>
      </c>
      <c r="Q4929" s="4" t="str">
        <f>IFERROR(__xludf.DUMMYFUNCTION("""COMPUTED_VALUE"""),"Saipos Serviços De Software")</f>
        <v>Saipos Serviços De Software</v>
      </c>
      <c r="R4929" s="33">
        <f>IFERROR(__xludf.DUMMYFUNCTION("""COMPUTED_VALUE"""),0.5)</f>
        <v>0.5</v>
      </c>
      <c r="S4929" s="4" t="str">
        <f>IFERROR(__xludf.DUMMYFUNCTION("""COMPUTED_VALUE"""),"Saipos Serviços De Software")</f>
        <v>Saipos Serviços De Software</v>
      </c>
      <c r="T4929" s="33">
        <f>IFERROR(__xludf.DUMMYFUNCTION("""COMPUTED_VALUE"""),0.5)</f>
        <v>0.5</v>
      </c>
      <c r="U4929" s="4" t="str">
        <f>IFERROR(__xludf.DUMMYFUNCTION("""COMPUTED_VALUE"""),"Saipos Serviços De Software")</f>
        <v>Saipos Serviços De Software</v>
      </c>
      <c r="V4929" s="33">
        <f>IFERROR(__xludf.DUMMYFUNCTION("""COMPUTED_VALUE"""),0.5)</f>
        <v>0.5</v>
      </c>
      <c r="W4929" s="4" t="str">
        <f>IFERROR(__xludf.DUMMYFUNCTION("""COMPUTED_VALUE"""),"Saipos Serviços De Software")</f>
        <v>Saipos Serviços De Software</v>
      </c>
      <c r="X4929" s="33">
        <f>IFERROR(__xludf.DUMMYFUNCTION("""COMPUTED_VALUE"""),0.5)</f>
        <v>0.5</v>
      </c>
    </row>
    <row r="4930">
      <c r="K4930" s="4" t="str">
        <f>IFERROR(__xludf.DUMMYFUNCTION("""COMPUTED_VALUE"""),"YANTAI COZINHA ORIENTAL")</f>
        <v>YANTAI COZINHA ORIENTAL</v>
      </c>
      <c r="L4930" s="32">
        <f>IFERROR(__xludf.DUMMYFUNCTION("""COMPUTED_VALUE"""),2.0)</f>
        <v>2</v>
      </c>
      <c r="M4930" s="4" t="str">
        <f>IFERROR(__xludf.DUMMYFUNCTION("""COMPUTED_VALUE"""),"Grsoft")</f>
        <v>Grsoft</v>
      </c>
      <c r="N4930" s="33">
        <f>IFERROR(__xludf.DUMMYFUNCTION("""COMPUTED_VALUE"""),1.0)</f>
        <v>1</v>
      </c>
      <c r="O4930" s="4" t="str">
        <f>IFERROR(__xludf.DUMMYFUNCTION("""COMPUTED_VALUE"""),"Grsoft")</f>
        <v>Grsoft</v>
      </c>
      <c r="P4930" s="33">
        <f>IFERROR(__xludf.DUMMYFUNCTION("""COMPUTED_VALUE"""),1.0)</f>
        <v>1</v>
      </c>
      <c r="Q4930" s="4" t="str">
        <f>IFERROR(__xludf.DUMMYFUNCTION("""COMPUTED_VALUE"""),"Grsoft")</f>
        <v>Grsoft</v>
      </c>
      <c r="R4930" s="33">
        <f>IFERROR(__xludf.DUMMYFUNCTION("""COMPUTED_VALUE"""),1.0)</f>
        <v>1</v>
      </c>
      <c r="S4930" s="4" t="str">
        <f>IFERROR(__xludf.DUMMYFUNCTION("""COMPUTED_VALUE"""),"Grsoft")</f>
        <v>Grsoft</v>
      </c>
      <c r="T4930" s="33">
        <f>IFERROR(__xludf.DUMMYFUNCTION("""COMPUTED_VALUE"""),1.0)</f>
        <v>1</v>
      </c>
      <c r="U4930" s="4" t="str">
        <f>IFERROR(__xludf.DUMMYFUNCTION("""COMPUTED_VALUE"""),"Grsoft")</f>
        <v>Grsoft</v>
      </c>
      <c r="V4930" s="33">
        <f>IFERROR(__xludf.DUMMYFUNCTION("""COMPUTED_VALUE"""),1.0)</f>
        <v>1</v>
      </c>
      <c r="W4930" s="4" t="str">
        <f>IFERROR(__xludf.DUMMYFUNCTION("""COMPUTED_VALUE"""),"Grsoft")</f>
        <v>Grsoft</v>
      </c>
      <c r="X4930" s="33">
        <f>IFERROR(__xludf.DUMMYFUNCTION("""COMPUTED_VALUE"""),1.0)</f>
        <v>1</v>
      </c>
    </row>
    <row r="4931">
      <c r="K4931" s="4" t="str">
        <f>IFERROR(__xludf.DUMMYFUNCTION("""COMPUTED_VALUE"""),"CASA SABOR")</f>
        <v>CASA SABOR</v>
      </c>
      <c r="L4931" s="32">
        <f>IFERROR(__xludf.DUMMYFUNCTION("""COMPUTED_VALUE"""),2.0)</f>
        <v>2</v>
      </c>
      <c r="M4931" s="4" t="str">
        <f>IFERROR(__xludf.DUMMYFUNCTION("""COMPUTED_VALUE"""),"null")</f>
        <v>null</v>
      </c>
      <c r="N4931" s="33">
        <f>IFERROR(__xludf.DUMMYFUNCTION("""COMPUTED_VALUE"""),0.5)</f>
        <v>0.5</v>
      </c>
      <c r="O4931" s="4" t="str">
        <f>IFERROR(__xludf.DUMMYFUNCTION("""COMPUTED_VALUE"""),"null")</f>
        <v>null</v>
      </c>
      <c r="P4931" s="33">
        <f>IFERROR(__xludf.DUMMYFUNCTION("""COMPUTED_VALUE"""),0.5)</f>
        <v>0.5</v>
      </c>
      <c r="Q4931" s="4" t="str">
        <f>IFERROR(__xludf.DUMMYFUNCTION("""COMPUTED_VALUE"""),"null")</f>
        <v>null</v>
      </c>
      <c r="R4931" s="33">
        <f>IFERROR(__xludf.DUMMYFUNCTION("""COMPUTED_VALUE"""),0.5)</f>
        <v>0.5</v>
      </c>
      <c r="S4931" s="4" t="str">
        <f>IFERROR(__xludf.DUMMYFUNCTION("""COMPUTED_VALUE"""),"null")</f>
        <v>null</v>
      </c>
      <c r="T4931" s="33">
        <f>IFERROR(__xludf.DUMMYFUNCTION("""COMPUTED_VALUE"""),0.5)</f>
        <v>0.5</v>
      </c>
      <c r="U4931" s="4" t="str">
        <f>IFERROR(__xludf.DUMMYFUNCTION("""COMPUTED_VALUE"""),"G22 Ti Solucoes Em Software Ltda")</f>
        <v>G22 Ti Solucoes Em Software Ltda</v>
      </c>
      <c r="V4931" s="33">
        <f>IFERROR(__xludf.DUMMYFUNCTION("""COMPUTED_VALUE"""),0.5)</f>
        <v>0.5</v>
      </c>
      <c r="W4931" s="4" t="str">
        <f>IFERROR(__xludf.DUMMYFUNCTION("""COMPUTED_VALUE"""),"G22 Ti Solucoes Em Software Ltda")</f>
        <v>G22 Ti Solucoes Em Software Ltda</v>
      </c>
      <c r="X4931" s="33">
        <f>IFERROR(__xludf.DUMMYFUNCTION("""COMPUTED_VALUE"""),0.5)</f>
        <v>0.5</v>
      </c>
    </row>
    <row r="4932">
      <c r="K4932" s="4" t="str">
        <f>IFERROR(__xludf.DUMMYFUNCTION("""COMPUTED_VALUE"""),"FARMACIA SANTANA")</f>
        <v>FARMACIA SANTANA</v>
      </c>
      <c r="L4932" s="32">
        <f>IFERROR(__xludf.DUMMYFUNCTION("""COMPUTED_VALUE"""),2.0)</f>
        <v>2</v>
      </c>
      <c r="M4932" s="4" t="str">
        <f>IFERROR(__xludf.DUMMYFUNCTION("""COMPUTED_VALUE"""),"null")</f>
        <v>null</v>
      </c>
      <c r="N4932" s="33">
        <f>IFERROR(__xludf.DUMMYFUNCTION("""COMPUTED_VALUE"""),0.5)</f>
        <v>0.5</v>
      </c>
      <c r="O4932" s="4" t="str">
        <f>IFERROR(__xludf.DUMMYFUNCTION("""COMPUTED_VALUE"""),"N/A (Not found)")</f>
        <v>N/A (Not found)</v>
      </c>
      <c r="P4932" s="33">
        <f>IFERROR(__xludf.DUMMYFUNCTION("""COMPUTED_VALUE"""),1.0)</f>
        <v>1</v>
      </c>
      <c r="Q4932" s="4" t="str">
        <f>IFERROR(__xludf.DUMMYFUNCTION("""COMPUTED_VALUE"""),"N/A (Not found)")</f>
        <v>N/A (Not found)</v>
      </c>
      <c r="R4932" s="33">
        <f>IFERROR(__xludf.DUMMYFUNCTION("""COMPUTED_VALUE"""),1.0)</f>
        <v>1</v>
      </c>
      <c r="S4932" s="4" t="str">
        <f>IFERROR(__xludf.DUMMYFUNCTION("""COMPUTED_VALUE"""),"N/A (Not found)")</f>
        <v>N/A (Not found)</v>
      </c>
      <c r="T4932" s="33">
        <f>IFERROR(__xludf.DUMMYFUNCTION("""COMPUTED_VALUE"""),1.0)</f>
        <v>1</v>
      </c>
      <c r="U4932" s="4" t="str">
        <f>IFERROR(__xludf.DUMMYFUNCTION("""COMPUTED_VALUE"""),"null")</f>
        <v>null</v>
      </c>
      <c r="V4932" s="33">
        <f>IFERROR(__xludf.DUMMYFUNCTION("""COMPUTED_VALUE"""),0.5)</f>
        <v>0.5</v>
      </c>
      <c r="W4932" s="4" t="str">
        <f>IFERROR(__xludf.DUMMYFUNCTION("""COMPUTED_VALUE"""),"null")</f>
        <v>null</v>
      </c>
      <c r="X4932" s="33">
        <f>IFERROR(__xludf.DUMMYFUNCTION("""COMPUTED_VALUE"""),0.5)</f>
        <v>0.5</v>
      </c>
    </row>
    <row r="4933">
      <c r="K4933" s="4" t="str">
        <f>IFERROR(__xludf.DUMMYFUNCTION("""COMPUTED_VALUE"""),"BOM DE GARFO")</f>
        <v>BOM DE GARFO</v>
      </c>
      <c r="L4933" s="32">
        <f>IFERROR(__xludf.DUMMYFUNCTION("""COMPUTED_VALUE"""),2.0)</f>
        <v>2</v>
      </c>
      <c r="M4933" s="4" t="str">
        <f>IFERROR(__xludf.DUMMYFUNCTION("""COMPUTED_VALUE"""),"Consumer Soluções Em Tecnologia Ltda")</f>
        <v>Consumer Soluções Em Tecnologia Ltda</v>
      </c>
      <c r="N4933" s="33">
        <f>IFERROR(__xludf.DUMMYFUNCTION("""COMPUTED_VALUE"""),0.5)</f>
        <v>0.5</v>
      </c>
      <c r="O4933" s="4" t="str">
        <f>IFERROR(__xludf.DUMMYFUNCTION("""COMPUTED_VALUE"""),"Consumer Soluções Em Tecnologia Ltda")</f>
        <v>Consumer Soluções Em Tecnologia Ltda</v>
      </c>
      <c r="P4933" s="33">
        <f>IFERROR(__xludf.DUMMYFUNCTION("""COMPUTED_VALUE"""),0.5)</f>
        <v>0.5</v>
      </c>
      <c r="Q4933" s="4" t="str">
        <f>IFERROR(__xludf.DUMMYFUNCTION("""COMPUTED_VALUE"""),"Consumer Soluções Em Tecnologia Ltda")</f>
        <v>Consumer Soluções Em Tecnologia Ltda</v>
      </c>
      <c r="R4933" s="33">
        <f>IFERROR(__xludf.DUMMYFUNCTION("""COMPUTED_VALUE"""),0.5)</f>
        <v>0.5</v>
      </c>
      <c r="S4933" s="4" t="str">
        <f>IFERROR(__xludf.DUMMYFUNCTION("""COMPUTED_VALUE"""),"Consumer Soluções Em Tecnologia Ltda")</f>
        <v>Consumer Soluções Em Tecnologia Ltda</v>
      </c>
      <c r="T4933" s="33">
        <f>IFERROR(__xludf.DUMMYFUNCTION("""COMPUTED_VALUE"""),0.5)</f>
        <v>0.5</v>
      </c>
      <c r="U4933" s="4" t="str">
        <f>IFERROR(__xludf.DUMMYFUNCTION("""COMPUTED_VALUE"""),"Consumer Soluções Em Tecnologia Ltda")</f>
        <v>Consumer Soluções Em Tecnologia Ltda</v>
      </c>
      <c r="V4933" s="33">
        <f>IFERROR(__xludf.DUMMYFUNCTION("""COMPUTED_VALUE"""),0.5)</f>
        <v>0.5</v>
      </c>
      <c r="W4933" s="4" t="str">
        <f>IFERROR(__xludf.DUMMYFUNCTION("""COMPUTED_VALUE"""),"null")</f>
        <v>null</v>
      </c>
      <c r="X4933" s="33">
        <f>IFERROR(__xludf.DUMMYFUNCTION("""COMPUTED_VALUE"""),0.5)</f>
        <v>0.5</v>
      </c>
    </row>
    <row r="4934">
      <c r="K4934" s="4" t="str">
        <f>IFERROR(__xludf.DUMMYFUNCTION("""COMPUTED_VALUE"""),"DROGARIA CONFIANCA")</f>
        <v>DROGARIA CONFIANCA</v>
      </c>
      <c r="L4934" s="32">
        <f>IFERROR(__xludf.DUMMYFUNCTION("""COMPUTED_VALUE"""),2.0)</f>
        <v>2</v>
      </c>
      <c r="M4934" s="4" t="str">
        <f>IFERROR(__xludf.DUMMYFUNCTION("""COMPUTED_VALUE"""),"null")</f>
        <v>null</v>
      </c>
      <c r="N4934" s="33">
        <f>IFERROR(__xludf.DUMMYFUNCTION("""COMPUTED_VALUE"""),0.5)</f>
        <v>0.5</v>
      </c>
      <c r="O4934" s="4" t="str">
        <f>IFERROR(__xludf.DUMMYFUNCTION("""COMPUTED_VALUE"""),"N/A (Not found)")</f>
        <v>N/A (Not found)</v>
      </c>
      <c r="P4934" s="33">
        <f>IFERROR(__xludf.DUMMYFUNCTION("""COMPUTED_VALUE"""),1.0)</f>
        <v>1</v>
      </c>
      <c r="Q4934" s="4" t="str">
        <f>IFERROR(__xludf.DUMMYFUNCTION("""COMPUTED_VALUE"""),"N/A (Not found)")</f>
        <v>N/A (Not found)</v>
      </c>
      <c r="R4934" s="33">
        <f>IFERROR(__xludf.DUMMYFUNCTION("""COMPUTED_VALUE"""),1.0)</f>
        <v>1</v>
      </c>
      <c r="S4934" s="4" t="str">
        <f>IFERROR(__xludf.DUMMYFUNCTION("""COMPUTED_VALUE"""),"N/A (Not found)")</f>
        <v>N/A (Not found)</v>
      </c>
      <c r="T4934" s="33">
        <f>IFERROR(__xludf.DUMMYFUNCTION("""COMPUTED_VALUE"""),1.0)</f>
        <v>1</v>
      </c>
      <c r="U4934" s="4" t="str">
        <f>IFERROR(__xludf.DUMMYFUNCTION("""COMPUTED_VALUE"""),"N/A (Not found)")</f>
        <v>N/A (Not found)</v>
      </c>
      <c r="V4934" s="33">
        <f>IFERROR(__xludf.DUMMYFUNCTION("""COMPUTED_VALUE"""),1.0)</f>
        <v>1</v>
      </c>
      <c r="W4934" s="4" t="str">
        <f>IFERROR(__xludf.DUMMYFUNCTION("""COMPUTED_VALUE"""),"N/A (Not found)")</f>
        <v>N/A (Not found)</v>
      </c>
      <c r="X4934" s="33">
        <f>IFERROR(__xludf.DUMMYFUNCTION("""COMPUTED_VALUE"""),1.0)</f>
        <v>1</v>
      </c>
    </row>
    <row r="4935">
      <c r="K4935" s="4" t="str">
        <f>IFERROR(__xludf.DUMMYFUNCTION("""COMPUTED_VALUE"""),"PIZZARIA FIORELLA")</f>
        <v>PIZZARIA FIORELLA</v>
      </c>
      <c r="L4935" s="32">
        <f>IFERROR(__xludf.DUMMYFUNCTION("""COMPUTED_VALUE"""),2.0)</f>
        <v>2</v>
      </c>
      <c r="M4935" s="4" t="str">
        <f>IFERROR(__xludf.DUMMYFUNCTION("""COMPUTED_VALUE"""),"Cardápio Web")</f>
        <v>Cardápio Web</v>
      </c>
      <c r="N4935" s="33">
        <f>IFERROR(__xludf.DUMMYFUNCTION("""COMPUTED_VALUE"""),0.5)</f>
        <v>0.5</v>
      </c>
      <c r="O4935" s="4" t="str">
        <f>IFERROR(__xludf.DUMMYFUNCTION("""COMPUTED_VALUE"""),"Cardápio Web")</f>
        <v>Cardápio Web</v>
      </c>
      <c r="P4935" s="33">
        <f>IFERROR(__xludf.DUMMYFUNCTION("""COMPUTED_VALUE"""),0.5)</f>
        <v>0.5</v>
      </c>
      <c r="Q4935" s="4" t="str">
        <f>IFERROR(__xludf.DUMMYFUNCTION("""COMPUTED_VALUE"""),"Cardápio Web")</f>
        <v>Cardápio Web</v>
      </c>
      <c r="R4935" s="33">
        <f>IFERROR(__xludf.DUMMYFUNCTION("""COMPUTED_VALUE"""),0.5)</f>
        <v>0.5</v>
      </c>
      <c r="S4935" s="4" t="str">
        <f>IFERROR(__xludf.DUMMYFUNCTION("""COMPUTED_VALUE"""),"Cardápio Web")</f>
        <v>Cardápio Web</v>
      </c>
      <c r="T4935" s="33">
        <f>IFERROR(__xludf.DUMMYFUNCTION("""COMPUTED_VALUE"""),0.5)</f>
        <v>0.5</v>
      </c>
      <c r="U4935" s="4" t="str">
        <f>IFERROR(__xludf.DUMMYFUNCTION("""COMPUTED_VALUE"""),"Cardápio Web")</f>
        <v>Cardápio Web</v>
      </c>
      <c r="V4935" s="33">
        <f>IFERROR(__xludf.DUMMYFUNCTION("""COMPUTED_VALUE"""),0.5)</f>
        <v>0.5</v>
      </c>
      <c r="W4935" s="4" t="str">
        <f>IFERROR(__xludf.DUMMYFUNCTION("""COMPUTED_VALUE"""),"Cardápio Web")</f>
        <v>Cardápio Web</v>
      </c>
      <c r="X4935" s="33">
        <f>IFERROR(__xludf.DUMMYFUNCTION("""COMPUTED_VALUE"""),0.5)</f>
        <v>0.5</v>
      </c>
    </row>
    <row r="4936">
      <c r="K4936" s="4" t="str">
        <f>IFERROR(__xludf.DUMMYFUNCTION("""COMPUTED_VALUE"""),"VL ESPETOS")</f>
        <v>VL ESPETOS</v>
      </c>
      <c r="L4936" s="32">
        <f>IFERROR(__xludf.DUMMYFUNCTION("""COMPUTED_VALUE"""),2.0)</f>
        <v>2</v>
      </c>
      <c r="M4936" s="4" t="str">
        <f>IFERROR(__xludf.DUMMYFUNCTION("""COMPUTED_VALUE"""),"null")</f>
        <v>null</v>
      </c>
      <c r="N4936" s="33">
        <f>IFERROR(__xludf.DUMMYFUNCTION("""COMPUTED_VALUE"""),0.5)</f>
        <v>0.5</v>
      </c>
      <c r="O4936" s="4" t="str">
        <f>IFERROR(__xludf.DUMMYFUNCTION("""COMPUTED_VALUE"""),"null")</f>
        <v>null</v>
      </c>
      <c r="P4936" s="33">
        <f>IFERROR(__xludf.DUMMYFUNCTION("""COMPUTED_VALUE"""),0.5)</f>
        <v>0.5</v>
      </c>
      <c r="Q4936" s="4" t="str">
        <f>IFERROR(__xludf.DUMMYFUNCTION("""COMPUTED_VALUE"""),"Yooga")</f>
        <v>Yooga</v>
      </c>
      <c r="R4936" s="33">
        <f>IFERROR(__xludf.DUMMYFUNCTION("""COMPUTED_VALUE"""),1.0)</f>
        <v>1</v>
      </c>
      <c r="S4936" s="4" t="str">
        <f>IFERROR(__xludf.DUMMYFUNCTION("""COMPUTED_VALUE"""),"Yooga")</f>
        <v>Yooga</v>
      </c>
      <c r="T4936" s="33">
        <f>IFERROR(__xludf.DUMMYFUNCTION("""COMPUTED_VALUE"""),0.5)</f>
        <v>0.5</v>
      </c>
      <c r="U4936" s="4" t="str">
        <f>IFERROR(__xludf.DUMMYFUNCTION("""COMPUTED_VALUE"""),"Yooga")</f>
        <v>Yooga</v>
      </c>
      <c r="V4936" s="33">
        <f>IFERROR(__xludf.DUMMYFUNCTION("""COMPUTED_VALUE"""),0.5)</f>
        <v>0.5</v>
      </c>
      <c r="W4936" s="4" t="str">
        <f>IFERROR(__xludf.DUMMYFUNCTION("""COMPUTED_VALUE"""),"Yooga")</f>
        <v>Yooga</v>
      </c>
      <c r="X4936" s="33">
        <f>IFERROR(__xludf.DUMMYFUNCTION("""COMPUTED_VALUE"""),0.5)</f>
        <v>0.5</v>
      </c>
    </row>
    <row r="4937">
      <c r="K4937" s="4" t="str">
        <f>IFERROR(__xludf.DUMMYFUNCTION("""COMPUTED_VALUE"""),"BRASA CARIOCA")</f>
        <v>BRASA CARIOCA</v>
      </c>
      <c r="L4937" s="32">
        <f>IFERROR(__xludf.DUMMYFUNCTION("""COMPUTED_VALUE"""),2.0)</f>
        <v>2</v>
      </c>
      <c r="M4937" s="4" t="str">
        <f>IFERROR(__xludf.DUMMYFUNCTION("""COMPUTED_VALUE"""),"null")</f>
        <v>null</v>
      </c>
      <c r="N4937" s="33">
        <f>IFERROR(__xludf.DUMMYFUNCTION("""COMPUTED_VALUE"""),0.5)</f>
        <v>0.5</v>
      </c>
      <c r="O4937" s="4" t="str">
        <f>IFERROR(__xludf.DUMMYFUNCTION("""COMPUTED_VALUE"""),"null")</f>
        <v>null</v>
      </c>
      <c r="P4937" s="33">
        <f>IFERROR(__xludf.DUMMYFUNCTION("""COMPUTED_VALUE"""),0.5)</f>
        <v>0.5</v>
      </c>
      <c r="Q4937" s="4" t="str">
        <f>IFERROR(__xludf.DUMMYFUNCTION("""COMPUTED_VALUE"""),"null")</f>
        <v>null</v>
      </c>
      <c r="R4937" s="33">
        <f>IFERROR(__xludf.DUMMYFUNCTION("""COMPUTED_VALUE"""),1.0)</f>
        <v>1</v>
      </c>
      <c r="S4937" s="4" t="str">
        <f>IFERROR(__xludf.DUMMYFUNCTION("""COMPUTED_VALUE"""),"null")</f>
        <v>null</v>
      </c>
      <c r="T4937" s="33">
        <f>IFERROR(__xludf.DUMMYFUNCTION("""COMPUTED_VALUE"""),1.0)</f>
        <v>1</v>
      </c>
      <c r="U4937" s="4" t="str">
        <f>IFERROR(__xludf.DUMMYFUNCTION("""COMPUTED_VALUE"""),"null")</f>
        <v>null</v>
      </c>
      <c r="V4937" s="33">
        <f>IFERROR(__xludf.DUMMYFUNCTION("""COMPUTED_VALUE"""),1.0)</f>
        <v>1</v>
      </c>
      <c r="W4937" s="4" t="str">
        <f>IFERROR(__xludf.DUMMYFUNCTION("""COMPUTED_VALUE"""),"No Mercado Representacoes Ltda")</f>
        <v>No Mercado Representacoes Ltda</v>
      </c>
      <c r="X4937" s="33">
        <f>IFERROR(__xludf.DUMMYFUNCTION("""COMPUTED_VALUE"""),0.5)</f>
        <v>0.5</v>
      </c>
    </row>
    <row r="4938">
      <c r="K4938" s="4" t="str">
        <f>IFERROR(__xludf.DUMMYFUNCTION("""COMPUTED_VALUE"""),"THE KING HAMBURGUERIA")</f>
        <v>THE KING HAMBURGUERIA</v>
      </c>
      <c r="L4938" s="32">
        <f>IFERROR(__xludf.DUMMYFUNCTION("""COMPUTED_VALUE"""),2.0)</f>
        <v>2</v>
      </c>
      <c r="M4938" s="4" t="str">
        <f>IFERROR(__xludf.DUMMYFUNCTION("""COMPUTED_VALUE"""),"null")</f>
        <v>null</v>
      </c>
      <c r="N4938" s="33">
        <f>IFERROR(__xludf.DUMMYFUNCTION("""COMPUTED_VALUE"""),0.5)</f>
        <v>0.5</v>
      </c>
      <c r="O4938" s="4" t="str">
        <f>IFERROR(__xludf.DUMMYFUNCTION("""COMPUTED_VALUE"""),"null")</f>
        <v>null</v>
      </c>
      <c r="P4938" s="33">
        <f>IFERROR(__xludf.DUMMYFUNCTION("""COMPUTED_VALUE"""),0.5)</f>
        <v>0.5</v>
      </c>
      <c r="Q4938" s="4" t="str">
        <f>IFERROR(__xludf.DUMMYFUNCTION("""COMPUTED_VALUE"""),"null")</f>
        <v>null</v>
      </c>
      <c r="R4938" s="33">
        <f>IFERROR(__xludf.DUMMYFUNCTION("""COMPUTED_VALUE"""),0.5)</f>
        <v>0.5</v>
      </c>
      <c r="S4938" s="4" t="str">
        <f>IFERROR(__xludf.DUMMYFUNCTION("""COMPUTED_VALUE"""),"null")</f>
        <v>null</v>
      </c>
      <c r="T4938" s="33">
        <f>IFERROR(__xludf.DUMMYFUNCTION("""COMPUTED_VALUE"""),0.5)</f>
        <v>0.5</v>
      </c>
      <c r="U4938" s="4" t="str">
        <f>IFERROR(__xludf.DUMMYFUNCTION("""COMPUTED_VALUE"""),"null")</f>
        <v>null</v>
      </c>
      <c r="V4938" s="33">
        <f>IFERROR(__xludf.DUMMYFUNCTION("""COMPUTED_VALUE"""),0.5)</f>
        <v>0.5</v>
      </c>
      <c r="W4938" s="4" t="str">
        <f>IFERROR(__xludf.DUMMYFUNCTION("""COMPUTED_VALUE"""),"Cardápio Web")</f>
        <v>Cardápio Web</v>
      </c>
      <c r="X4938" s="33">
        <f>IFERROR(__xludf.DUMMYFUNCTION("""COMPUTED_VALUE"""),0.5)</f>
        <v>0.5</v>
      </c>
    </row>
    <row r="4939">
      <c r="K4939" s="4" t="str">
        <f>IFERROR(__xludf.DUMMYFUNCTION("""COMPUTED_VALUE"""),"BM LANCHES")</f>
        <v>BM LANCHES</v>
      </c>
      <c r="L4939" s="32">
        <f>IFERROR(__xludf.DUMMYFUNCTION("""COMPUTED_VALUE"""),2.0)</f>
        <v>2</v>
      </c>
      <c r="M4939" s="4" t="str">
        <f>IFERROR(__xludf.DUMMYFUNCTION("""COMPUTED_VALUE"""),"null")</f>
        <v>null</v>
      </c>
      <c r="N4939" s="33">
        <f>IFERROR(__xludf.DUMMYFUNCTION("""COMPUTED_VALUE"""),0.5)</f>
        <v>0.5</v>
      </c>
      <c r="O4939" s="4" t="str">
        <f>IFERROR(__xludf.DUMMYFUNCTION("""COMPUTED_VALUE"""),"Anota Ai Solucoes Digitais S/a")</f>
        <v>Anota Ai Solucoes Digitais S/a</v>
      </c>
      <c r="P4939" s="33">
        <f>IFERROR(__xludf.DUMMYFUNCTION("""COMPUTED_VALUE"""),0.5)</f>
        <v>0.5</v>
      </c>
      <c r="Q4939" s="4" t="str">
        <f>IFERROR(__xludf.DUMMYFUNCTION("""COMPUTED_VALUE"""),"Anota Ai Solucoes Digitais S/a")</f>
        <v>Anota Ai Solucoes Digitais S/a</v>
      </c>
      <c r="R4939" s="33">
        <f>IFERROR(__xludf.DUMMYFUNCTION("""COMPUTED_VALUE"""),0.5)</f>
        <v>0.5</v>
      </c>
      <c r="S4939" s="4" t="str">
        <f>IFERROR(__xludf.DUMMYFUNCTION("""COMPUTED_VALUE"""),"Anota Ai Solucoes Digitais S/a")</f>
        <v>Anota Ai Solucoes Digitais S/a</v>
      </c>
      <c r="T4939" s="33">
        <f>IFERROR(__xludf.DUMMYFUNCTION("""COMPUTED_VALUE"""),0.5)</f>
        <v>0.5</v>
      </c>
      <c r="U4939" s="4" t="str">
        <f>IFERROR(__xludf.DUMMYFUNCTION("""COMPUTED_VALUE"""),"Anota Ai Solucoes Digitais S/a")</f>
        <v>Anota Ai Solucoes Digitais S/a</v>
      </c>
      <c r="V4939" s="33">
        <f>IFERROR(__xludf.DUMMYFUNCTION("""COMPUTED_VALUE"""),0.5)</f>
        <v>0.5</v>
      </c>
      <c r="W4939" s="4" t="str">
        <f>IFERROR(__xludf.DUMMYFUNCTION("""COMPUTED_VALUE"""),"Anota Ai Solucoes Digitais S/a")</f>
        <v>Anota Ai Solucoes Digitais S/a</v>
      </c>
      <c r="X4939" s="33">
        <f>IFERROR(__xludf.DUMMYFUNCTION("""COMPUTED_VALUE"""),0.5)</f>
        <v>0.5</v>
      </c>
    </row>
    <row r="4940">
      <c r="K4940" s="4" t="str">
        <f>IFERROR(__xludf.DUMMYFUNCTION("""COMPUTED_VALUE"""),"SABOR DE CASA RESTAURANTE")</f>
        <v>SABOR DE CASA RESTAURANTE</v>
      </c>
      <c r="L4940" s="32">
        <f>IFERROR(__xludf.DUMMYFUNCTION("""COMPUTED_VALUE"""),2.0)</f>
        <v>2</v>
      </c>
      <c r="M4940" s="4" t="str">
        <f>IFERROR(__xludf.DUMMYFUNCTION("""COMPUTED_VALUE"""),"Anota Ai Solucoes Digitais S/a")</f>
        <v>Anota Ai Solucoes Digitais S/a</v>
      </c>
      <c r="N4940" s="33">
        <f>IFERROR(__xludf.DUMMYFUNCTION("""COMPUTED_VALUE"""),0.5)</f>
        <v>0.5</v>
      </c>
      <c r="O4940" s="4" t="str">
        <f>IFERROR(__xludf.DUMMYFUNCTION("""COMPUTED_VALUE"""),"Anota Ai Solucoes Digitais S/a")</f>
        <v>Anota Ai Solucoes Digitais S/a</v>
      </c>
      <c r="P4940" s="33">
        <f>IFERROR(__xludf.DUMMYFUNCTION("""COMPUTED_VALUE"""),0.5)</f>
        <v>0.5</v>
      </c>
      <c r="Q4940" s="4" t="str">
        <f>IFERROR(__xludf.DUMMYFUNCTION("""COMPUTED_VALUE"""),"Anota Ai Solucoes Digitais S/a")</f>
        <v>Anota Ai Solucoes Digitais S/a</v>
      </c>
      <c r="R4940" s="33">
        <f>IFERROR(__xludf.DUMMYFUNCTION("""COMPUTED_VALUE"""),0.5)</f>
        <v>0.5</v>
      </c>
      <c r="S4940" s="4" t="str">
        <f>IFERROR(__xludf.DUMMYFUNCTION("""COMPUTED_VALUE"""),"Anota Ai Solucoes Digitais S/a")</f>
        <v>Anota Ai Solucoes Digitais S/a</v>
      </c>
      <c r="T4940" s="33">
        <f>IFERROR(__xludf.DUMMYFUNCTION("""COMPUTED_VALUE"""),0.5)</f>
        <v>0.5</v>
      </c>
      <c r="U4940" s="4" t="str">
        <f>IFERROR(__xludf.DUMMYFUNCTION("""COMPUTED_VALUE"""),"Anota Ai Solucoes Digitais S/a")</f>
        <v>Anota Ai Solucoes Digitais S/a</v>
      </c>
      <c r="V4940" s="33">
        <f>IFERROR(__xludf.DUMMYFUNCTION("""COMPUTED_VALUE"""),0.5)</f>
        <v>0.5</v>
      </c>
      <c r="W4940" s="4" t="str">
        <f>IFERROR(__xludf.DUMMYFUNCTION("""COMPUTED_VALUE"""),"Metre Sistemas")</f>
        <v>Metre Sistemas</v>
      </c>
      <c r="X4940" s="33">
        <f>IFERROR(__xludf.DUMMYFUNCTION("""COMPUTED_VALUE"""),0.5)</f>
        <v>0.5</v>
      </c>
    </row>
    <row r="4941">
      <c r="K4941" s="4" t="str">
        <f>IFERROR(__xludf.DUMMYFUNCTION("""COMPUTED_VALUE"""),"POUPAQUI")</f>
        <v>POUPAQUI</v>
      </c>
      <c r="L4941" s="32">
        <f>IFERROR(__xludf.DUMMYFUNCTION("""COMPUTED_VALUE"""),2.0)</f>
        <v>2</v>
      </c>
      <c r="M4941" s="4" t="str">
        <f>IFERROR(__xludf.DUMMYFUNCTION("""COMPUTED_VALUE"""),"null")</f>
        <v>null</v>
      </c>
      <c r="N4941" s="33">
        <f>IFERROR(__xludf.DUMMYFUNCTION("""COMPUTED_VALUE"""),1.0)</f>
        <v>1</v>
      </c>
      <c r="O4941" s="4" t="str">
        <f>IFERROR(__xludf.DUMMYFUNCTION("""COMPUTED_VALUE"""),"N/A (Not found)")</f>
        <v>N/A (Not found)</v>
      </c>
      <c r="P4941" s="33">
        <f>IFERROR(__xludf.DUMMYFUNCTION("""COMPUTED_VALUE"""),1.0)</f>
        <v>1</v>
      </c>
      <c r="Q4941" s="4" t="str">
        <f>IFERROR(__xludf.DUMMYFUNCTION("""COMPUTED_VALUE"""),"N/A (Not found)")</f>
        <v>N/A (Not found)</v>
      </c>
      <c r="R4941" s="33">
        <f>IFERROR(__xludf.DUMMYFUNCTION("""COMPUTED_VALUE"""),1.0)</f>
        <v>1</v>
      </c>
      <c r="S4941" s="4" t="str">
        <f>IFERROR(__xludf.DUMMYFUNCTION("""COMPUTED_VALUE"""),"N/A (Not found)")</f>
        <v>N/A (Not found)</v>
      </c>
      <c r="T4941" s="33">
        <f>IFERROR(__xludf.DUMMYFUNCTION("""COMPUTED_VALUE"""),1.0)</f>
        <v>1</v>
      </c>
      <c r="U4941" s="4" t="str">
        <f>IFERROR(__xludf.DUMMYFUNCTION("""COMPUTED_VALUE"""),"N/A (Not found)")</f>
        <v>N/A (Not found)</v>
      </c>
      <c r="V4941" s="33">
        <f>IFERROR(__xludf.DUMMYFUNCTION("""COMPUTED_VALUE"""),0.5)</f>
        <v>0.5</v>
      </c>
      <c r="W4941" s="4" t="str">
        <f>IFERROR(__xludf.DUMMYFUNCTION("""COMPUTED_VALUE"""),"null")</f>
        <v>null</v>
      </c>
      <c r="X4941" s="33">
        <f>IFERROR(__xludf.DUMMYFUNCTION("""COMPUTED_VALUE"""),1.0)</f>
        <v>1</v>
      </c>
    </row>
    <row r="4942">
      <c r="K4942" s="4" t="str">
        <f>IFERROR(__xludf.DUMMYFUNCTION("""COMPUTED_VALUE"""),"ZERO GRAU DISTRIBUIDORA")</f>
        <v>ZERO GRAU DISTRIBUIDORA</v>
      </c>
      <c r="L4942" s="32">
        <f>IFERROR(__xludf.DUMMYFUNCTION("""COMPUTED_VALUE"""),2.0)</f>
        <v>2</v>
      </c>
      <c r="M4942" s="4" t="str">
        <f>IFERROR(__xludf.DUMMYFUNCTION("""COMPUTED_VALUE"""),"N/A (Not found)")</f>
        <v>N/A (Not found)</v>
      </c>
      <c r="N4942" s="33">
        <f>IFERROR(__xludf.DUMMYFUNCTION("""COMPUTED_VALUE"""),1.0)</f>
        <v>1</v>
      </c>
      <c r="O4942" s="4" t="str">
        <f>IFERROR(__xludf.DUMMYFUNCTION("""COMPUTED_VALUE"""),"N/A (Not found)")</f>
        <v>N/A (Not found)</v>
      </c>
      <c r="P4942" s="33">
        <f>IFERROR(__xludf.DUMMYFUNCTION("""COMPUTED_VALUE"""),1.0)</f>
        <v>1</v>
      </c>
      <c r="Q4942" s="4" t="str">
        <f>IFERROR(__xludf.DUMMYFUNCTION("""COMPUTED_VALUE"""),"null")</f>
        <v>null</v>
      </c>
      <c r="R4942" s="33">
        <f>IFERROR(__xludf.DUMMYFUNCTION("""COMPUTED_VALUE"""),0.5)</f>
        <v>0.5</v>
      </c>
      <c r="S4942" s="4" t="str">
        <f>IFERROR(__xludf.DUMMYFUNCTION("""COMPUTED_VALUE"""),"null")</f>
        <v>null</v>
      </c>
      <c r="T4942" s="33">
        <f>IFERROR(__xludf.DUMMYFUNCTION("""COMPUTED_VALUE"""),0.5)</f>
        <v>0.5</v>
      </c>
      <c r="U4942" s="4" t="str">
        <f>IFERROR(__xludf.DUMMYFUNCTION("""COMPUTED_VALUE"""),"null")</f>
        <v>null</v>
      </c>
      <c r="V4942" s="33">
        <f>IFERROR(__xludf.DUMMYFUNCTION("""COMPUTED_VALUE"""),0.5)</f>
        <v>0.5</v>
      </c>
      <c r="W4942" s="4" t="str">
        <f>IFERROR(__xludf.DUMMYFUNCTION("""COMPUTED_VALUE"""),"null")</f>
        <v>null</v>
      </c>
      <c r="X4942" s="33">
        <f>IFERROR(__xludf.DUMMYFUNCTION("""COMPUTED_VALUE"""),0.5)</f>
        <v>0.5</v>
      </c>
    </row>
    <row r="4943">
      <c r="K4943" s="4" t="str">
        <f>IFERROR(__xludf.DUMMYFUNCTION("""COMPUTED_VALUE"""),"REAL SABOR")</f>
        <v>REAL SABOR</v>
      </c>
      <c r="L4943" s="32">
        <f>IFERROR(__xludf.DUMMYFUNCTION("""COMPUTED_VALUE"""),2.0)</f>
        <v>2</v>
      </c>
      <c r="M4943" s="4" t="str">
        <f>IFERROR(__xludf.DUMMYFUNCTION("""COMPUTED_VALUE"""),"Brendi")</f>
        <v>Brendi</v>
      </c>
      <c r="N4943" s="33">
        <f>IFERROR(__xludf.DUMMYFUNCTION("""COMPUTED_VALUE"""),0.5)</f>
        <v>0.5</v>
      </c>
      <c r="O4943" s="4" t="str">
        <f>IFERROR(__xludf.DUMMYFUNCTION("""COMPUTED_VALUE"""),"Brendi")</f>
        <v>Brendi</v>
      </c>
      <c r="P4943" s="33">
        <f>IFERROR(__xludf.DUMMYFUNCTION("""COMPUTED_VALUE"""),0.5)</f>
        <v>0.5</v>
      </c>
      <c r="Q4943" s="4" t="str">
        <f>IFERROR(__xludf.DUMMYFUNCTION("""COMPUTED_VALUE"""),"Agilizup Solucoes Ltda")</f>
        <v>Agilizup Solucoes Ltda</v>
      </c>
      <c r="R4943" s="33">
        <f>IFERROR(__xludf.DUMMYFUNCTION("""COMPUTED_VALUE"""),0.5)</f>
        <v>0.5</v>
      </c>
      <c r="S4943" s="4" t="str">
        <f>IFERROR(__xludf.DUMMYFUNCTION("""COMPUTED_VALUE"""),"Agilizup Solucoes Ltda")</f>
        <v>Agilizup Solucoes Ltda</v>
      </c>
      <c r="T4943" s="33">
        <f>IFERROR(__xludf.DUMMYFUNCTION("""COMPUTED_VALUE"""),0.5)</f>
        <v>0.5</v>
      </c>
      <c r="U4943" s="4" t="str">
        <f>IFERROR(__xludf.DUMMYFUNCTION("""COMPUTED_VALUE"""),"null")</f>
        <v>null</v>
      </c>
      <c r="V4943" s="33">
        <f>IFERROR(__xludf.DUMMYFUNCTION("""COMPUTED_VALUE"""),0.5)</f>
        <v>0.5</v>
      </c>
      <c r="W4943" s="4" t="str">
        <f>IFERROR(__xludf.DUMMYFUNCTION("""COMPUTED_VALUE"""),"null")</f>
        <v>null</v>
      </c>
      <c r="X4943" s="33">
        <f>IFERROR(__xludf.DUMMYFUNCTION("""COMPUTED_VALUE"""),0.5)</f>
        <v>0.5</v>
      </c>
    </row>
    <row r="4944">
      <c r="K4944" s="4" t="str">
        <f>IFERROR(__xludf.DUMMYFUNCTION("""COMPUTED_VALUE"""),"MANHATTAN PIZZARIA")</f>
        <v>MANHATTAN PIZZARIA</v>
      </c>
      <c r="L4944" s="32">
        <f>IFERROR(__xludf.DUMMYFUNCTION("""COMPUTED_VALUE"""),2.0)</f>
        <v>2</v>
      </c>
      <c r="M4944" s="4" t="str">
        <f>IFERROR(__xludf.DUMMYFUNCTION("""COMPUTED_VALUE"""),"Expresso Delivery")</f>
        <v>Expresso Delivery</v>
      </c>
      <c r="N4944" s="33">
        <f>IFERROR(__xludf.DUMMYFUNCTION("""COMPUTED_VALUE"""),0.5)</f>
        <v>0.5</v>
      </c>
      <c r="O4944" s="4" t="str">
        <f>IFERROR(__xludf.DUMMYFUNCTION("""COMPUTED_VALUE"""),"Expresso Delivery")</f>
        <v>Expresso Delivery</v>
      </c>
      <c r="P4944" s="33">
        <f>IFERROR(__xludf.DUMMYFUNCTION("""COMPUTED_VALUE"""),0.5)</f>
        <v>0.5</v>
      </c>
      <c r="Q4944" s="4" t="str">
        <f>IFERROR(__xludf.DUMMYFUNCTION("""COMPUTED_VALUE"""),"Expresso Delivery")</f>
        <v>Expresso Delivery</v>
      </c>
      <c r="R4944" s="33">
        <f>IFERROR(__xludf.DUMMYFUNCTION("""COMPUTED_VALUE"""),0.5)</f>
        <v>0.5</v>
      </c>
      <c r="S4944" s="4" t="str">
        <f>IFERROR(__xludf.DUMMYFUNCTION("""COMPUTED_VALUE"""),"Expresso Delivery")</f>
        <v>Expresso Delivery</v>
      </c>
      <c r="T4944" s="33">
        <f>IFERROR(__xludf.DUMMYFUNCTION("""COMPUTED_VALUE"""),0.5)</f>
        <v>0.5</v>
      </c>
      <c r="U4944" s="4" t="str">
        <f>IFERROR(__xludf.DUMMYFUNCTION("""COMPUTED_VALUE"""),"Expresso Delivery")</f>
        <v>Expresso Delivery</v>
      </c>
      <c r="V4944" s="33">
        <f>IFERROR(__xludf.DUMMYFUNCTION("""COMPUTED_VALUE"""),0.5)</f>
        <v>0.5</v>
      </c>
      <c r="W4944" s="4" t="str">
        <f>IFERROR(__xludf.DUMMYFUNCTION("""COMPUTED_VALUE"""),"Expresso Delivery")</f>
        <v>Expresso Delivery</v>
      </c>
      <c r="X4944" s="33">
        <f>IFERROR(__xludf.DUMMYFUNCTION("""COMPUTED_VALUE"""),0.5)</f>
        <v>0.5</v>
      </c>
    </row>
    <row r="4945">
      <c r="K4945" s="4" t="str">
        <f>IFERROR(__xludf.DUMMYFUNCTION("""COMPUTED_VALUE"""),"BUNKER")</f>
        <v>BUNKER</v>
      </c>
      <c r="L4945" s="32">
        <f>IFERROR(__xludf.DUMMYFUNCTION("""COMPUTED_VALUE"""),2.0)</f>
        <v>2</v>
      </c>
      <c r="M4945" s="4" t="str">
        <f>IFERROR(__xludf.DUMMYFUNCTION("""COMPUTED_VALUE"""),"Consumer Soluções Em Tecnologia Ltda")</f>
        <v>Consumer Soluções Em Tecnologia Ltda</v>
      </c>
      <c r="N4945" s="33">
        <f>IFERROR(__xludf.DUMMYFUNCTION("""COMPUTED_VALUE"""),0.5)</f>
        <v>0.5</v>
      </c>
      <c r="O4945" s="4" t="str">
        <f>IFERROR(__xludf.DUMMYFUNCTION("""COMPUTED_VALUE"""),"Consumer Soluções Em Tecnologia Ltda")</f>
        <v>Consumer Soluções Em Tecnologia Ltda</v>
      </c>
      <c r="P4945" s="33">
        <f>IFERROR(__xludf.DUMMYFUNCTION("""COMPUTED_VALUE"""),0.5)</f>
        <v>0.5</v>
      </c>
      <c r="Q4945" s="4" t="str">
        <f>IFERROR(__xludf.DUMMYFUNCTION("""COMPUTED_VALUE"""),"Consumer Soluções Em Tecnologia Ltda")</f>
        <v>Consumer Soluções Em Tecnologia Ltda</v>
      </c>
      <c r="R4945" s="33">
        <f>IFERROR(__xludf.DUMMYFUNCTION("""COMPUTED_VALUE"""),0.5)</f>
        <v>0.5</v>
      </c>
      <c r="S4945" s="4" t="str">
        <f>IFERROR(__xludf.DUMMYFUNCTION("""COMPUTED_VALUE"""),"null")</f>
        <v>null</v>
      </c>
      <c r="T4945" s="33">
        <f>IFERROR(__xludf.DUMMYFUNCTION("""COMPUTED_VALUE"""),1.0)</f>
        <v>1</v>
      </c>
      <c r="U4945" s="4" t="str">
        <f>IFERROR(__xludf.DUMMYFUNCTION("""COMPUTED_VALUE"""),"Consumer Soluções Em Tecnologia Ltda")</f>
        <v>Consumer Soluções Em Tecnologia Ltda</v>
      </c>
      <c r="V4945" s="33">
        <f>IFERROR(__xludf.DUMMYFUNCTION("""COMPUTED_VALUE"""),0.5)</f>
        <v>0.5</v>
      </c>
      <c r="W4945" s="4" t="str">
        <f>IFERROR(__xludf.DUMMYFUNCTION("""COMPUTED_VALUE"""),"Consumer Soluções Em Tecnologia Ltda")</f>
        <v>Consumer Soluções Em Tecnologia Ltda</v>
      </c>
      <c r="X4945" s="33">
        <f>IFERROR(__xludf.DUMMYFUNCTION("""COMPUTED_VALUE"""),0.5)</f>
        <v>0.5</v>
      </c>
    </row>
    <row r="4946">
      <c r="K4946" s="4" t="str">
        <f>IFERROR(__xludf.DUMMYFUNCTION("""COMPUTED_VALUE"""),"DROGARIA MAXI POPULAR")</f>
        <v>DROGARIA MAXI POPULAR</v>
      </c>
      <c r="L4946" s="32">
        <f>IFERROR(__xludf.DUMMYFUNCTION("""COMPUTED_VALUE"""),2.0)</f>
        <v>2</v>
      </c>
      <c r="M4946" s="4" t="str">
        <f>IFERROR(__xludf.DUMMYFUNCTION("""COMPUTED_VALUE"""),"null")</f>
        <v>null</v>
      </c>
      <c r="N4946" s="33">
        <f>IFERROR(__xludf.DUMMYFUNCTION("""COMPUTED_VALUE"""),1.0)</f>
        <v>1</v>
      </c>
      <c r="O4946" s="4" t="str">
        <f>IFERROR(__xludf.DUMMYFUNCTION("""COMPUTED_VALUE"""),"N/A (Not found)")</f>
        <v>N/A (Not found)</v>
      </c>
      <c r="P4946" s="33">
        <f>IFERROR(__xludf.DUMMYFUNCTION("""COMPUTED_VALUE"""),0.5)</f>
        <v>0.5</v>
      </c>
      <c r="Q4946" s="4" t="str">
        <f>IFERROR(__xludf.DUMMYFUNCTION("""COMPUTED_VALUE"""),"N/A (Not found)")</f>
        <v>N/A (Not found)</v>
      </c>
      <c r="R4946" s="33">
        <f>IFERROR(__xludf.DUMMYFUNCTION("""COMPUTED_VALUE"""),0.5)</f>
        <v>0.5</v>
      </c>
      <c r="S4946" s="4" t="str">
        <f>IFERROR(__xludf.DUMMYFUNCTION("""COMPUTED_VALUE"""),"N/A (Not found)")</f>
        <v>N/A (Not found)</v>
      </c>
      <c r="T4946" s="33">
        <f>IFERROR(__xludf.DUMMYFUNCTION("""COMPUTED_VALUE"""),0.5)</f>
        <v>0.5</v>
      </c>
      <c r="U4946" s="4" t="str">
        <f>IFERROR(__xludf.DUMMYFUNCTION("""COMPUTED_VALUE"""),"N/A (Not found)")</f>
        <v>N/A (Not found)</v>
      </c>
      <c r="V4946" s="33">
        <f>IFERROR(__xludf.DUMMYFUNCTION("""COMPUTED_VALUE"""),1.0)</f>
        <v>1</v>
      </c>
      <c r="W4946" s="4" t="str">
        <f>IFERROR(__xludf.DUMMYFUNCTION("""COMPUTED_VALUE"""),"N/A (Not found)")</f>
        <v>N/A (Not found)</v>
      </c>
      <c r="X4946" s="33">
        <f>IFERROR(__xludf.DUMMYFUNCTION("""COMPUTED_VALUE"""),1.0)</f>
        <v>1</v>
      </c>
    </row>
    <row r="4947">
      <c r="K4947" s="4" t="str">
        <f>IFERROR(__xludf.DUMMYFUNCTION("""COMPUTED_VALUE"""),"JAPA SUSHI LOUNGE")</f>
        <v>JAPA SUSHI LOUNGE</v>
      </c>
      <c r="L4947" s="32">
        <f>IFERROR(__xludf.DUMMYFUNCTION("""COMPUTED_VALUE"""),2.0)</f>
        <v>2</v>
      </c>
      <c r="M4947" s="4" t="str">
        <f>IFERROR(__xludf.DUMMYFUNCTION("""COMPUTED_VALUE"""),"Fire Sistemas")</f>
        <v>Fire Sistemas</v>
      </c>
      <c r="N4947" s="33">
        <f>IFERROR(__xludf.DUMMYFUNCTION("""COMPUTED_VALUE"""),0.5)</f>
        <v>0.5</v>
      </c>
      <c r="O4947" s="4" t="str">
        <f>IFERROR(__xludf.DUMMYFUNCTION("""COMPUTED_VALUE"""),"Fire Sistemas")</f>
        <v>Fire Sistemas</v>
      </c>
      <c r="P4947" s="33">
        <f>IFERROR(__xludf.DUMMYFUNCTION("""COMPUTED_VALUE"""),0.5)</f>
        <v>0.5</v>
      </c>
      <c r="Q4947" s="4" t="str">
        <f>IFERROR(__xludf.DUMMYFUNCTION("""COMPUTED_VALUE"""),"Fire Sistemas")</f>
        <v>Fire Sistemas</v>
      </c>
      <c r="R4947" s="33">
        <f>IFERROR(__xludf.DUMMYFUNCTION("""COMPUTED_VALUE"""),0.5)</f>
        <v>0.5</v>
      </c>
      <c r="S4947" s="4" t="str">
        <f>IFERROR(__xludf.DUMMYFUNCTION("""COMPUTED_VALUE"""),"Fire Sistemas")</f>
        <v>Fire Sistemas</v>
      </c>
      <c r="T4947" s="33">
        <f>IFERROR(__xludf.DUMMYFUNCTION("""COMPUTED_VALUE"""),0.5)</f>
        <v>0.5</v>
      </c>
      <c r="U4947" s="4" t="str">
        <f>IFERROR(__xludf.DUMMYFUNCTION("""COMPUTED_VALUE"""),"Fire Sistemas")</f>
        <v>Fire Sistemas</v>
      </c>
      <c r="V4947" s="33">
        <f>IFERROR(__xludf.DUMMYFUNCTION("""COMPUTED_VALUE"""),0.5)</f>
        <v>0.5</v>
      </c>
      <c r="W4947" s="4" t="str">
        <f>IFERROR(__xludf.DUMMYFUNCTION("""COMPUTED_VALUE"""),"Fire Sistemas")</f>
        <v>Fire Sistemas</v>
      </c>
      <c r="X4947" s="33">
        <f>IFERROR(__xludf.DUMMYFUNCTION("""COMPUTED_VALUE"""),0.5)</f>
        <v>0.5</v>
      </c>
    </row>
    <row r="4948">
      <c r="K4948" s="4" t="str">
        <f>IFERROR(__xludf.DUMMYFUNCTION("""COMPUTED_VALUE"""),"BERA DELIVERY")</f>
        <v>BERA DELIVERY</v>
      </c>
      <c r="L4948" s="32">
        <f>IFERROR(__xludf.DUMMYFUNCTION("""COMPUTED_VALUE"""),2.0)</f>
        <v>2</v>
      </c>
      <c r="M4948" s="4" t="str">
        <f>IFERROR(__xludf.DUMMYFUNCTION("""COMPUTED_VALUE"""),"null")</f>
        <v>null</v>
      </c>
      <c r="N4948" s="33">
        <f>IFERROR(__xludf.DUMMYFUNCTION("""COMPUTED_VALUE"""),0.5)</f>
        <v>0.5</v>
      </c>
      <c r="O4948" s="4" t="str">
        <f>IFERROR(__xludf.DUMMYFUNCTION("""COMPUTED_VALUE"""),"N/A (Not found)")</f>
        <v>N/A (Not found)</v>
      </c>
      <c r="P4948" s="33">
        <f>IFERROR(__xludf.DUMMYFUNCTION("""COMPUTED_VALUE"""),0.5)</f>
        <v>0.5</v>
      </c>
      <c r="Q4948" s="4" t="str">
        <f>IFERROR(__xludf.DUMMYFUNCTION("""COMPUTED_VALUE"""),"N/A (Not found)")</f>
        <v>N/A (Not found)</v>
      </c>
      <c r="R4948" s="33">
        <f>IFERROR(__xludf.DUMMYFUNCTION("""COMPUTED_VALUE"""),0.5)</f>
        <v>0.5</v>
      </c>
      <c r="S4948" s="4" t="str">
        <f>IFERROR(__xludf.DUMMYFUNCTION("""COMPUTED_VALUE"""),"N/A (Not found)")</f>
        <v>N/A (Not found)</v>
      </c>
      <c r="T4948" s="33">
        <f>IFERROR(__xludf.DUMMYFUNCTION("""COMPUTED_VALUE"""),0.5)</f>
        <v>0.5</v>
      </c>
      <c r="U4948" s="4" t="str">
        <f>IFERROR(__xludf.DUMMYFUNCTION("""COMPUTED_VALUE"""),"N/A (Not found)")</f>
        <v>N/A (Not found)</v>
      </c>
      <c r="V4948" s="33">
        <f>IFERROR(__xludf.DUMMYFUNCTION("""COMPUTED_VALUE"""),0.5)</f>
        <v>0.5</v>
      </c>
      <c r="W4948" s="4" t="str">
        <f>IFERROR(__xludf.DUMMYFUNCTION("""COMPUTED_VALUE"""),"N/A (Not found)")</f>
        <v>N/A (Not found)</v>
      </c>
      <c r="X4948" s="33">
        <f>IFERROR(__xludf.DUMMYFUNCTION("""COMPUTED_VALUE"""),0.5)</f>
        <v>0.5</v>
      </c>
    </row>
    <row r="4949">
      <c r="K4949" s="4" t="str">
        <f>IFERROR(__xludf.DUMMYFUNCTION("""COMPUTED_VALUE"""),"WE LOVE BURGER E ACAI")</f>
        <v>WE LOVE BURGER E ACAI</v>
      </c>
      <c r="L4949" s="32">
        <f>IFERROR(__xludf.DUMMYFUNCTION("""COMPUTED_VALUE"""),2.0)</f>
        <v>2</v>
      </c>
      <c r="M4949" s="4" t="str">
        <f>IFERROR(__xludf.DUMMYFUNCTION("""COMPUTED_VALUE"""),"M-du Tecnologia")</f>
        <v>M-du Tecnologia</v>
      </c>
      <c r="N4949" s="33">
        <f>IFERROR(__xludf.DUMMYFUNCTION("""COMPUTED_VALUE"""),1.0)</f>
        <v>1</v>
      </c>
      <c r="O4949" s="4" t="str">
        <f>IFERROR(__xludf.DUMMYFUNCTION("""COMPUTED_VALUE"""),"M-du Tecnologia")</f>
        <v>M-du Tecnologia</v>
      </c>
      <c r="P4949" s="33">
        <f>IFERROR(__xludf.DUMMYFUNCTION("""COMPUTED_VALUE"""),1.0)</f>
        <v>1</v>
      </c>
      <c r="Q4949" s="4" t="str">
        <f>IFERROR(__xludf.DUMMYFUNCTION("""COMPUTED_VALUE"""),"M-du Tecnologia")</f>
        <v>M-du Tecnologia</v>
      </c>
      <c r="R4949" s="33">
        <f>IFERROR(__xludf.DUMMYFUNCTION("""COMPUTED_VALUE"""),1.0)</f>
        <v>1</v>
      </c>
      <c r="S4949" s="4" t="str">
        <f>IFERROR(__xludf.DUMMYFUNCTION("""COMPUTED_VALUE"""),"M-du Tecnologia")</f>
        <v>M-du Tecnologia</v>
      </c>
      <c r="T4949" s="33">
        <f>IFERROR(__xludf.DUMMYFUNCTION("""COMPUTED_VALUE"""),1.0)</f>
        <v>1</v>
      </c>
      <c r="U4949" s="4" t="str">
        <f>IFERROR(__xludf.DUMMYFUNCTION("""COMPUTED_VALUE"""),"M-du Tecnologia")</f>
        <v>M-du Tecnologia</v>
      </c>
      <c r="V4949" s="33">
        <f>IFERROR(__xludf.DUMMYFUNCTION("""COMPUTED_VALUE"""),1.0)</f>
        <v>1</v>
      </c>
      <c r="W4949" s="4" t="str">
        <f>IFERROR(__xludf.DUMMYFUNCTION("""COMPUTED_VALUE"""),"M-du Tecnologia")</f>
        <v>M-du Tecnologia</v>
      </c>
      <c r="X4949" s="33">
        <f>IFERROR(__xludf.DUMMYFUNCTION("""COMPUTED_VALUE"""),1.0)</f>
        <v>1</v>
      </c>
    </row>
    <row r="4950">
      <c r="K4950" s="4" t="str">
        <f>IFERROR(__xludf.DUMMYFUNCTION("""COMPUTED_VALUE"""),"HAMBURGUERIA MESCH BURGER")</f>
        <v>HAMBURGUERIA MESCH BURGER</v>
      </c>
      <c r="L4950" s="32">
        <f>IFERROR(__xludf.DUMMYFUNCTION("""COMPUTED_VALUE"""),2.0)</f>
        <v>2</v>
      </c>
      <c r="M4950" s="4" t="str">
        <f>IFERROR(__xludf.DUMMYFUNCTION("""COMPUTED_VALUE"""),"null")</f>
        <v>null</v>
      </c>
      <c r="N4950" s="33">
        <f>IFERROR(__xludf.DUMMYFUNCTION("""COMPUTED_VALUE"""),0.5)</f>
        <v>0.5</v>
      </c>
      <c r="O4950" s="4" t="str">
        <f>IFERROR(__xludf.DUMMYFUNCTION("""COMPUTED_VALUE"""),"Beefood - Sistema Para Restaurantes")</f>
        <v>Beefood - Sistema Para Restaurantes</v>
      </c>
      <c r="P4950" s="33">
        <f>IFERROR(__xludf.DUMMYFUNCTION("""COMPUTED_VALUE"""),0.5)</f>
        <v>0.5</v>
      </c>
      <c r="Q4950" s="4" t="str">
        <f>IFERROR(__xludf.DUMMYFUNCTION("""COMPUTED_VALUE"""),"Beefood - Sistema Para Restaurantes")</f>
        <v>Beefood - Sistema Para Restaurantes</v>
      </c>
      <c r="R4950" s="33">
        <f>IFERROR(__xludf.DUMMYFUNCTION("""COMPUTED_VALUE"""),0.5)</f>
        <v>0.5</v>
      </c>
      <c r="S4950" s="4" t="str">
        <f>IFERROR(__xludf.DUMMYFUNCTION("""COMPUTED_VALUE"""),"Beefood - Sistema Para Restaurantes")</f>
        <v>Beefood - Sistema Para Restaurantes</v>
      </c>
      <c r="T4950" s="33">
        <f>IFERROR(__xludf.DUMMYFUNCTION("""COMPUTED_VALUE"""),0.5)</f>
        <v>0.5</v>
      </c>
      <c r="U4950" s="4" t="str">
        <f>IFERROR(__xludf.DUMMYFUNCTION("""COMPUTED_VALUE"""),"Beefood - Sistema Para Restaurantes")</f>
        <v>Beefood - Sistema Para Restaurantes</v>
      </c>
      <c r="V4950" s="33">
        <f>IFERROR(__xludf.DUMMYFUNCTION("""COMPUTED_VALUE"""),0.5)</f>
        <v>0.5</v>
      </c>
      <c r="W4950" s="4" t="str">
        <f>IFERROR(__xludf.DUMMYFUNCTION("""COMPUTED_VALUE"""),"Beefood - Sistema Para Restaurantes")</f>
        <v>Beefood - Sistema Para Restaurantes</v>
      </c>
      <c r="X4950" s="33">
        <f>IFERROR(__xludf.DUMMYFUNCTION("""COMPUTED_VALUE"""),0.5)</f>
        <v>0.5</v>
      </c>
    </row>
    <row r="4951">
      <c r="K4951" s="4" t="str">
        <f>IFERROR(__xludf.DUMMYFUNCTION("""COMPUTED_VALUE"""),"FAST LANCHES")</f>
        <v>FAST LANCHES</v>
      </c>
      <c r="L4951" s="32">
        <f>IFERROR(__xludf.DUMMYFUNCTION("""COMPUTED_VALUE"""),2.0)</f>
        <v>2</v>
      </c>
      <c r="M4951" s="4" t="str">
        <f>IFERROR(__xludf.DUMMYFUNCTION("""COMPUTED_VALUE"""),"Anota Ai Solucoes Digitais S/a")</f>
        <v>Anota Ai Solucoes Digitais S/a</v>
      </c>
      <c r="N4951" s="33">
        <f>IFERROR(__xludf.DUMMYFUNCTION("""COMPUTED_VALUE"""),0.5)</f>
        <v>0.5</v>
      </c>
      <c r="O4951" s="4" t="str">
        <f>IFERROR(__xludf.DUMMYFUNCTION("""COMPUTED_VALUE"""),"Anota Ai Solucoes Digitais S/a")</f>
        <v>Anota Ai Solucoes Digitais S/a</v>
      </c>
      <c r="P4951" s="33">
        <f>IFERROR(__xludf.DUMMYFUNCTION("""COMPUTED_VALUE"""),0.5)</f>
        <v>0.5</v>
      </c>
      <c r="Q4951" s="4" t="str">
        <f>IFERROR(__xludf.DUMMYFUNCTION("""COMPUTED_VALUE"""),"Anota Ai Solucoes Digitais S/a")</f>
        <v>Anota Ai Solucoes Digitais S/a</v>
      </c>
      <c r="R4951" s="33">
        <f>IFERROR(__xludf.DUMMYFUNCTION("""COMPUTED_VALUE"""),0.5)</f>
        <v>0.5</v>
      </c>
      <c r="S4951" s="4" t="str">
        <f>IFERROR(__xludf.DUMMYFUNCTION("""COMPUTED_VALUE"""),"Anota Ai Solucoes Digitais S/a")</f>
        <v>Anota Ai Solucoes Digitais S/a</v>
      </c>
      <c r="T4951" s="33">
        <f>IFERROR(__xludf.DUMMYFUNCTION("""COMPUTED_VALUE"""),0.5)</f>
        <v>0.5</v>
      </c>
      <c r="U4951" s="4" t="str">
        <f>IFERROR(__xludf.DUMMYFUNCTION("""COMPUTED_VALUE"""),"Anota Ai Solucoes Digitais S/a")</f>
        <v>Anota Ai Solucoes Digitais S/a</v>
      </c>
      <c r="V4951" s="33">
        <f>IFERROR(__xludf.DUMMYFUNCTION("""COMPUTED_VALUE"""),0.5)</f>
        <v>0.5</v>
      </c>
      <c r="W4951" s="4" t="str">
        <f>IFERROR(__xludf.DUMMYFUNCTION("""COMPUTED_VALUE"""),"Anota Ai Solucoes Digitais S/a")</f>
        <v>Anota Ai Solucoes Digitais S/a</v>
      </c>
      <c r="X4951" s="33">
        <f>IFERROR(__xludf.DUMMYFUNCTION("""COMPUTED_VALUE"""),0.5)</f>
        <v>0.5</v>
      </c>
    </row>
    <row r="4952">
      <c r="K4952" s="4" t="str">
        <f>IFERROR(__xludf.DUMMYFUNCTION("""COMPUTED_VALUE"""),"FARINA PIZZARIA")</f>
        <v>FARINA PIZZARIA</v>
      </c>
      <c r="L4952" s="32">
        <f>IFERROR(__xludf.DUMMYFUNCTION("""COMPUTED_VALUE"""),2.0)</f>
        <v>2</v>
      </c>
      <c r="M4952" s="4" t="str">
        <f>IFERROR(__xludf.DUMMYFUNCTION("""COMPUTED_VALUE"""),"Sagres Automação Comercial")</f>
        <v>Sagres Automação Comercial</v>
      </c>
      <c r="N4952" s="33">
        <f>IFERROR(__xludf.DUMMYFUNCTION("""COMPUTED_VALUE"""),0.6666666666666666)</f>
        <v>0.6666666667</v>
      </c>
      <c r="O4952" s="4" t="str">
        <f>IFERROR(__xludf.DUMMYFUNCTION("""COMPUTED_VALUE"""),"Sagres Automação Comercial")</f>
        <v>Sagres Automação Comercial</v>
      </c>
      <c r="P4952" s="33">
        <f>IFERROR(__xludf.DUMMYFUNCTION("""COMPUTED_VALUE"""),0.6666666666666666)</f>
        <v>0.6666666667</v>
      </c>
      <c r="Q4952" s="4" t="str">
        <f>IFERROR(__xludf.DUMMYFUNCTION("""COMPUTED_VALUE"""),"Sagres Automação Comercial")</f>
        <v>Sagres Automação Comercial</v>
      </c>
      <c r="R4952" s="33">
        <f>IFERROR(__xludf.DUMMYFUNCTION("""COMPUTED_VALUE"""),0.6666666666666666)</f>
        <v>0.6666666667</v>
      </c>
      <c r="S4952" s="4" t="str">
        <f>IFERROR(__xludf.DUMMYFUNCTION("""COMPUTED_VALUE"""),"Sagres Automação Comercial")</f>
        <v>Sagres Automação Comercial</v>
      </c>
      <c r="T4952" s="33">
        <f>IFERROR(__xludf.DUMMYFUNCTION("""COMPUTED_VALUE"""),0.6666666666666666)</f>
        <v>0.6666666667</v>
      </c>
      <c r="U4952" s="4" t="str">
        <f>IFERROR(__xludf.DUMMYFUNCTION("""COMPUTED_VALUE"""),"Sagres Automação Comercial")</f>
        <v>Sagres Automação Comercial</v>
      </c>
      <c r="V4952" s="33">
        <f>IFERROR(__xludf.DUMMYFUNCTION("""COMPUTED_VALUE"""),0.6666666666666666)</f>
        <v>0.6666666667</v>
      </c>
      <c r="W4952" s="4" t="str">
        <f>IFERROR(__xludf.DUMMYFUNCTION("""COMPUTED_VALUE"""),"Sagres Automação Comercial")</f>
        <v>Sagres Automação Comercial</v>
      </c>
      <c r="X4952" s="33">
        <f>IFERROR(__xludf.DUMMYFUNCTION("""COMPUTED_VALUE"""),0.6666666666666666)</f>
        <v>0.6666666667</v>
      </c>
    </row>
    <row r="4953">
      <c r="K4953" s="4" t="str">
        <f>IFERROR(__xludf.DUMMYFUNCTION("""COMPUTED_VALUE"""),"DOUBLE ACAI")</f>
        <v>DOUBLE ACAI</v>
      </c>
      <c r="L4953" s="32">
        <f>IFERROR(__xludf.DUMMYFUNCTION("""COMPUTED_VALUE"""),2.0)</f>
        <v>2</v>
      </c>
      <c r="M4953" s="4" t="str">
        <f>IFERROR(__xludf.DUMMYFUNCTION("""COMPUTED_VALUE"""),"null")</f>
        <v>null</v>
      </c>
      <c r="N4953" s="33">
        <f>IFERROR(__xludf.DUMMYFUNCTION("""COMPUTED_VALUE"""),0.5)</f>
        <v>0.5</v>
      </c>
      <c r="O4953" s="4" t="str">
        <f>IFERROR(__xludf.DUMMYFUNCTION("""COMPUTED_VALUE"""),"null")</f>
        <v>null</v>
      </c>
      <c r="P4953" s="33">
        <f>IFERROR(__xludf.DUMMYFUNCTION("""COMPUTED_VALUE"""),0.5)</f>
        <v>0.5</v>
      </c>
      <c r="Q4953" s="4" t="str">
        <f>IFERROR(__xludf.DUMMYFUNCTION("""COMPUTED_VALUE"""),"null")</f>
        <v>null</v>
      </c>
      <c r="R4953" s="33">
        <f>IFERROR(__xludf.DUMMYFUNCTION("""COMPUTED_VALUE"""),1.0)</f>
        <v>1</v>
      </c>
      <c r="S4953" s="4" t="str">
        <f>IFERROR(__xludf.DUMMYFUNCTION("""COMPUTED_VALUE"""),"Consumer Soluções Em Tecnologia Ltda")</f>
        <v>Consumer Soluções Em Tecnologia Ltda</v>
      </c>
      <c r="T4953" s="33">
        <f>IFERROR(__xludf.DUMMYFUNCTION("""COMPUTED_VALUE"""),0.5)</f>
        <v>0.5</v>
      </c>
      <c r="U4953" s="4" t="str">
        <f>IFERROR(__xludf.DUMMYFUNCTION("""COMPUTED_VALUE"""),"null")</f>
        <v>null</v>
      </c>
      <c r="V4953" s="33">
        <f>IFERROR(__xludf.DUMMYFUNCTION("""COMPUTED_VALUE"""),1.0)</f>
        <v>1</v>
      </c>
      <c r="W4953" s="4" t="str">
        <f>IFERROR(__xludf.DUMMYFUNCTION("""COMPUTED_VALUE"""),"null")</f>
        <v>null</v>
      </c>
      <c r="X4953" s="33">
        <f>IFERROR(__xludf.DUMMYFUNCTION("""COMPUTED_VALUE"""),1.0)</f>
        <v>1</v>
      </c>
    </row>
    <row r="4954">
      <c r="K4954" s="4" t="str">
        <f>IFERROR(__xludf.DUMMYFUNCTION("""COMPUTED_VALUE"""),"MOMOS BURGUER")</f>
        <v>MOMOS BURGUER</v>
      </c>
      <c r="L4954" s="32">
        <f>IFERROR(__xludf.DUMMYFUNCTION("""COMPUTED_VALUE"""),2.0)</f>
        <v>2</v>
      </c>
      <c r="M4954" s="4" t="str">
        <f>IFERROR(__xludf.DUMMYFUNCTION("""COMPUTED_VALUE"""),"Saipos Serviços De Software")</f>
        <v>Saipos Serviços De Software</v>
      </c>
      <c r="N4954" s="33">
        <f>IFERROR(__xludf.DUMMYFUNCTION("""COMPUTED_VALUE"""),0.5)</f>
        <v>0.5</v>
      </c>
      <c r="O4954" s="4" t="str">
        <f>IFERROR(__xludf.DUMMYFUNCTION("""COMPUTED_VALUE"""),"Saipos Serviços De Software")</f>
        <v>Saipos Serviços De Software</v>
      </c>
      <c r="P4954" s="33">
        <f>IFERROR(__xludf.DUMMYFUNCTION("""COMPUTED_VALUE"""),0.5)</f>
        <v>0.5</v>
      </c>
      <c r="Q4954" s="4" t="str">
        <f>IFERROR(__xludf.DUMMYFUNCTION("""COMPUTED_VALUE"""),"Saipos Serviços De Software")</f>
        <v>Saipos Serviços De Software</v>
      </c>
      <c r="R4954" s="33">
        <f>IFERROR(__xludf.DUMMYFUNCTION("""COMPUTED_VALUE"""),0.5)</f>
        <v>0.5</v>
      </c>
      <c r="S4954" s="4" t="str">
        <f>IFERROR(__xludf.DUMMYFUNCTION("""COMPUTED_VALUE"""),"Saipos Serviços De Software")</f>
        <v>Saipos Serviços De Software</v>
      </c>
      <c r="T4954" s="33">
        <f>IFERROR(__xludf.DUMMYFUNCTION("""COMPUTED_VALUE"""),0.5)</f>
        <v>0.5</v>
      </c>
      <c r="U4954" s="4" t="str">
        <f>IFERROR(__xludf.DUMMYFUNCTION("""COMPUTED_VALUE"""),"Saipos Serviços De Software")</f>
        <v>Saipos Serviços De Software</v>
      </c>
      <c r="V4954" s="33">
        <f>IFERROR(__xludf.DUMMYFUNCTION("""COMPUTED_VALUE"""),1.0)</f>
        <v>1</v>
      </c>
      <c r="W4954" s="4" t="str">
        <f>IFERROR(__xludf.DUMMYFUNCTION("""COMPUTED_VALUE"""),"Saipos Serviços De Software")</f>
        <v>Saipos Serviços De Software</v>
      </c>
      <c r="X4954" s="33">
        <f>IFERROR(__xludf.DUMMYFUNCTION("""COMPUTED_VALUE"""),1.0)</f>
        <v>1</v>
      </c>
    </row>
    <row r="4955">
      <c r="K4955" s="4" t="str">
        <f>IFERROR(__xludf.DUMMYFUNCTION("""COMPUTED_VALUE"""),"CAFE PASTEL")</f>
        <v>CAFE PASTEL</v>
      </c>
      <c r="L4955" s="32">
        <f>IFERROR(__xludf.DUMMYFUNCTION("""COMPUTED_VALUE"""),2.0)</f>
        <v>2</v>
      </c>
      <c r="M4955" s="4" t="str">
        <f>IFERROR(__xludf.DUMMYFUNCTION("""COMPUTED_VALUE"""),"Anota Ai Solucoes Digitais S/a")</f>
        <v>Anota Ai Solucoes Digitais S/a</v>
      </c>
      <c r="N4955" s="33">
        <f>IFERROR(__xludf.DUMMYFUNCTION("""COMPUTED_VALUE"""),0.5)</f>
        <v>0.5</v>
      </c>
      <c r="O4955" s="4" t="str">
        <f>IFERROR(__xludf.DUMMYFUNCTION("""COMPUTED_VALUE"""),"null")</f>
        <v>null</v>
      </c>
      <c r="P4955" s="33">
        <f>IFERROR(__xludf.DUMMYFUNCTION("""COMPUTED_VALUE"""),0.5)</f>
        <v>0.5</v>
      </c>
      <c r="Q4955" s="4" t="str">
        <f>IFERROR(__xludf.DUMMYFUNCTION("""COMPUTED_VALUE"""),"null")</f>
        <v>null</v>
      </c>
      <c r="R4955" s="33">
        <f>IFERROR(__xludf.DUMMYFUNCTION("""COMPUTED_VALUE"""),0.5)</f>
        <v>0.5</v>
      </c>
      <c r="S4955" s="4" t="str">
        <f>IFERROR(__xludf.DUMMYFUNCTION("""COMPUTED_VALUE"""),"null")</f>
        <v>null</v>
      </c>
      <c r="T4955" s="33">
        <f>IFERROR(__xludf.DUMMYFUNCTION("""COMPUTED_VALUE"""),0.5)</f>
        <v>0.5</v>
      </c>
      <c r="U4955" s="4" t="str">
        <f>IFERROR(__xludf.DUMMYFUNCTION("""COMPUTED_VALUE"""),"null")</f>
        <v>null</v>
      </c>
      <c r="V4955" s="33">
        <f>IFERROR(__xludf.DUMMYFUNCTION("""COMPUTED_VALUE"""),0.5)</f>
        <v>0.5</v>
      </c>
      <c r="W4955" s="4" t="str">
        <f>IFERROR(__xludf.DUMMYFUNCTION("""COMPUTED_VALUE"""),"null")</f>
        <v>null</v>
      </c>
      <c r="X4955" s="33">
        <f>IFERROR(__xludf.DUMMYFUNCTION("""COMPUTED_VALUE"""),0.5)</f>
        <v>0.5</v>
      </c>
    </row>
    <row r="4956">
      <c r="K4956" s="4" t="str">
        <f>IFERROR(__xludf.DUMMYFUNCTION("""COMPUTED_VALUE"""),"PANDA HOTS")</f>
        <v>PANDA HOTS</v>
      </c>
      <c r="L4956" s="32">
        <f>IFERROR(__xludf.DUMMYFUNCTION("""COMPUTED_VALUE"""),2.0)</f>
        <v>2</v>
      </c>
      <c r="M4956" s="4" t="str">
        <f>IFERROR(__xludf.DUMMYFUNCTION("""COMPUTED_VALUE"""),"Mp Multipedidos")</f>
        <v>Mp Multipedidos</v>
      </c>
      <c r="N4956" s="33">
        <f>IFERROR(__xludf.DUMMYFUNCTION("""COMPUTED_VALUE"""),1.0)</f>
        <v>1</v>
      </c>
      <c r="O4956" s="4" t="str">
        <f>IFERROR(__xludf.DUMMYFUNCTION("""COMPUTED_VALUE"""),"Mp Multipedidos")</f>
        <v>Mp Multipedidos</v>
      </c>
      <c r="P4956" s="33">
        <f>IFERROR(__xludf.DUMMYFUNCTION("""COMPUTED_VALUE"""),0.5)</f>
        <v>0.5</v>
      </c>
      <c r="Q4956" s="4" t="str">
        <f>IFERROR(__xludf.DUMMYFUNCTION("""COMPUTED_VALUE"""),"Mp Multipedidos")</f>
        <v>Mp Multipedidos</v>
      </c>
      <c r="R4956" s="33">
        <f>IFERROR(__xludf.DUMMYFUNCTION("""COMPUTED_VALUE"""),0.5)</f>
        <v>0.5</v>
      </c>
      <c r="S4956" s="4" t="str">
        <f>IFERROR(__xludf.DUMMYFUNCTION("""COMPUTED_VALUE"""),"Mp Multipedidos")</f>
        <v>Mp Multipedidos</v>
      </c>
      <c r="T4956" s="33">
        <f>IFERROR(__xludf.DUMMYFUNCTION("""COMPUTED_VALUE"""),0.5)</f>
        <v>0.5</v>
      </c>
      <c r="U4956" s="4" t="str">
        <f>IFERROR(__xludf.DUMMYFUNCTION("""COMPUTED_VALUE"""),"Mp Multipedidos")</f>
        <v>Mp Multipedidos</v>
      </c>
      <c r="V4956" s="33">
        <f>IFERROR(__xludf.DUMMYFUNCTION("""COMPUTED_VALUE"""),0.5)</f>
        <v>0.5</v>
      </c>
      <c r="W4956" s="4" t="str">
        <f>IFERROR(__xludf.DUMMYFUNCTION("""COMPUTED_VALUE"""),"Mp Multipedidos")</f>
        <v>Mp Multipedidos</v>
      </c>
      <c r="X4956" s="33">
        <f>IFERROR(__xludf.DUMMYFUNCTION("""COMPUTED_VALUE"""),0.5)</f>
        <v>0.5</v>
      </c>
    </row>
    <row r="4957">
      <c r="K4957" s="4" t="str">
        <f>IFERROR(__xludf.DUMMYFUNCTION("""COMPUTED_VALUE"""),"BORA BURGUER")</f>
        <v>BORA BURGUER</v>
      </c>
      <c r="L4957" s="32">
        <f>IFERROR(__xludf.DUMMYFUNCTION("""COMPUTED_VALUE"""),2.0)</f>
        <v>2</v>
      </c>
      <c r="M4957" s="4" t="str">
        <f>IFERROR(__xludf.DUMMYFUNCTION("""COMPUTED_VALUE"""),"Saipos Serviços De Software")</f>
        <v>Saipos Serviços De Software</v>
      </c>
      <c r="N4957" s="33">
        <f>IFERROR(__xludf.DUMMYFUNCTION("""COMPUTED_VALUE"""),0.5)</f>
        <v>0.5</v>
      </c>
      <c r="O4957" s="4" t="str">
        <f>IFERROR(__xludf.DUMMYFUNCTION("""COMPUTED_VALUE"""),"Saipos Serviços De Software")</f>
        <v>Saipos Serviços De Software</v>
      </c>
      <c r="P4957" s="33">
        <f>IFERROR(__xludf.DUMMYFUNCTION("""COMPUTED_VALUE"""),0.5)</f>
        <v>0.5</v>
      </c>
      <c r="Q4957" s="4" t="str">
        <f>IFERROR(__xludf.DUMMYFUNCTION("""COMPUTED_VALUE"""),"Saipos Serviços De Software")</f>
        <v>Saipos Serviços De Software</v>
      </c>
      <c r="R4957" s="33">
        <f>IFERROR(__xludf.DUMMYFUNCTION("""COMPUTED_VALUE"""),0.5)</f>
        <v>0.5</v>
      </c>
      <c r="S4957" s="4" t="str">
        <f>IFERROR(__xludf.DUMMYFUNCTION("""COMPUTED_VALUE"""),"Saipos Serviços De Software")</f>
        <v>Saipos Serviços De Software</v>
      </c>
      <c r="T4957" s="33">
        <f>IFERROR(__xludf.DUMMYFUNCTION("""COMPUTED_VALUE"""),0.5)</f>
        <v>0.5</v>
      </c>
      <c r="U4957" s="4" t="str">
        <f>IFERROR(__xludf.DUMMYFUNCTION("""COMPUTED_VALUE"""),"Saipos Serviços De Software")</f>
        <v>Saipos Serviços De Software</v>
      </c>
      <c r="V4957" s="33">
        <f>IFERROR(__xludf.DUMMYFUNCTION("""COMPUTED_VALUE"""),0.5)</f>
        <v>0.5</v>
      </c>
      <c r="W4957" s="4" t="str">
        <f>IFERROR(__xludf.DUMMYFUNCTION("""COMPUTED_VALUE"""),"Saipos Serviços De Software")</f>
        <v>Saipos Serviços De Software</v>
      </c>
      <c r="X4957" s="33">
        <f>IFERROR(__xludf.DUMMYFUNCTION("""COMPUTED_VALUE"""),1.0)</f>
        <v>1</v>
      </c>
    </row>
    <row r="4958">
      <c r="K4958" s="4" t="str">
        <f>IFERROR(__xludf.DUMMYFUNCTION("""COMPUTED_VALUE"""),"JM BURGUER")</f>
        <v>JM BURGUER</v>
      </c>
      <c r="L4958" s="32">
        <f>IFERROR(__xludf.DUMMYFUNCTION("""COMPUTED_VALUE"""),2.0)</f>
        <v>2</v>
      </c>
      <c r="M4958" s="4" t="str">
        <f>IFERROR(__xludf.DUMMYFUNCTION("""COMPUTED_VALUE"""),"null")</f>
        <v>null</v>
      </c>
      <c r="N4958" s="33">
        <f>IFERROR(__xludf.DUMMYFUNCTION("""COMPUTED_VALUE"""),0.5)</f>
        <v>0.5</v>
      </c>
      <c r="O4958" s="4" t="str">
        <f>IFERROR(__xludf.DUMMYFUNCTION("""COMPUTED_VALUE"""),"null")</f>
        <v>null</v>
      </c>
      <c r="P4958" s="33">
        <f>IFERROR(__xludf.DUMMYFUNCTION("""COMPUTED_VALUE"""),0.5)</f>
        <v>0.5</v>
      </c>
      <c r="Q4958" s="4" t="str">
        <f>IFERROR(__xludf.DUMMYFUNCTION("""COMPUTED_VALUE"""),"null")</f>
        <v>null</v>
      </c>
      <c r="R4958" s="33">
        <f>IFERROR(__xludf.DUMMYFUNCTION("""COMPUTED_VALUE"""),0.5)</f>
        <v>0.5</v>
      </c>
      <c r="S4958" s="4" t="str">
        <f>IFERROR(__xludf.DUMMYFUNCTION("""COMPUTED_VALUE"""),"null")</f>
        <v>null</v>
      </c>
      <c r="T4958" s="33">
        <f>IFERROR(__xludf.DUMMYFUNCTION("""COMPUTED_VALUE"""),0.5)</f>
        <v>0.5</v>
      </c>
      <c r="U4958" s="4" t="str">
        <f>IFERROR(__xludf.DUMMYFUNCTION("""COMPUTED_VALUE"""),"Brendi")</f>
        <v>Brendi</v>
      </c>
      <c r="V4958" s="33">
        <f>IFERROR(__xludf.DUMMYFUNCTION("""COMPUTED_VALUE"""),0.5)</f>
        <v>0.5</v>
      </c>
      <c r="W4958" s="4" t="str">
        <f>IFERROR(__xludf.DUMMYFUNCTION("""COMPUTED_VALUE"""),"Brendi")</f>
        <v>Brendi</v>
      </c>
      <c r="X4958" s="33">
        <f>IFERROR(__xludf.DUMMYFUNCTION("""COMPUTED_VALUE"""),0.5)</f>
        <v>0.5</v>
      </c>
    </row>
    <row r="4959">
      <c r="K4959" s="4" t="str">
        <f>IFERROR(__xludf.DUMMYFUNCTION("""COMPUTED_VALUE"""),"PIZZARIA E ESFIHARIA MORIA")</f>
        <v>PIZZARIA E ESFIHARIA MORIA</v>
      </c>
      <c r="L4959" s="32">
        <f>IFERROR(__xludf.DUMMYFUNCTION("""COMPUTED_VALUE"""),2.0)</f>
        <v>2</v>
      </c>
      <c r="M4959" s="4" t="str">
        <f>IFERROR(__xludf.DUMMYFUNCTION("""COMPUTED_VALUE"""),"null")</f>
        <v>null</v>
      </c>
      <c r="N4959" s="33">
        <f>IFERROR(__xludf.DUMMYFUNCTION("""COMPUTED_VALUE"""),0.5)</f>
        <v>0.5</v>
      </c>
      <c r="O4959" s="4" t="str">
        <f>IFERROR(__xludf.DUMMYFUNCTION("""COMPUTED_VALUE"""),"null")</f>
        <v>null</v>
      </c>
      <c r="P4959" s="33">
        <f>IFERROR(__xludf.DUMMYFUNCTION("""COMPUTED_VALUE"""),0.5)</f>
        <v>0.5</v>
      </c>
      <c r="Q4959" s="4" t="str">
        <f>IFERROR(__xludf.DUMMYFUNCTION("""COMPUTED_VALUE"""),"null")</f>
        <v>null</v>
      </c>
      <c r="R4959" s="33">
        <f>IFERROR(__xludf.DUMMYFUNCTION("""COMPUTED_VALUE"""),0.5)</f>
        <v>0.5</v>
      </c>
      <c r="S4959" s="4" t="str">
        <f>IFERROR(__xludf.DUMMYFUNCTION("""COMPUTED_VALUE"""),"Mp Multipedidos")</f>
        <v>Mp Multipedidos</v>
      </c>
      <c r="T4959" s="33">
        <f>IFERROR(__xludf.DUMMYFUNCTION("""COMPUTED_VALUE"""),0.5)</f>
        <v>0.5</v>
      </c>
      <c r="U4959" s="4" t="str">
        <f>IFERROR(__xludf.DUMMYFUNCTION("""COMPUTED_VALUE"""),"Mp Multipedidos")</f>
        <v>Mp Multipedidos</v>
      </c>
      <c r="V4959" s="33">
        <f>IFERROR(__xludf.DUMMYFUNCTION("""COMPUTED_VALUE"""),0.5)</f>
        <v>0.5</v>
      </c>
      <c r="W4959" s="4" t="str">
        <f>IFERROR(__xludf.DUMMYFUNCTION("""COMPUTED_VALUE"""),"Mp Multipedidos")</f>
        <v>Mp Multipedidos</v>
      </c>
      <c r="X4959" s="33">
        <f>IFERROR(__xludf.DUMMYFUNCTION("""COMPUTED_VALUE"""),0.5)</f>
        <v>0.5</v>
      </c>
    </row>
    <row r="4960">
      <c r="K4960" s="4" t="str">
        <f>IFERROR(__xludf.DUMMYFUNCTION("""COMPUTED_VALUE"""),"RANGOS MARMITARIA")</f>
        <v>RANGOS MARMITARIA</v>
      </c>
      <c r="L4960" s="32">
        <f>IFERROR(__xludf.DUMMYFUNCTION("""COMPUTED_VALUE"""),2.0)</f>
        <v>2</v>
      </c>
      <c r="M4960" s="4" t="str">
        <f>IFERROR(__xludf.DUMMYFUNCTION("""COMPUTED_VALUE"""),"Cardápio Web")</f>
        <v>Cardápio Web</v>
      </c>
      <c r="N4960" s="33">
        <f>IFERROR(__xludf.DUMMYFUNCTION("""COMPUTED_VALUE"""),0.5)</f>
        <v>0.5</v>
      </c>
      <c r="O4960" s="4" t="str">
        <f>IFERROR(__xludf.DUMMYFUNCTION("""COMPUTED_VALUE"""),"Cardápio Web")</f>
        <v>Cardápio Web</v>
      </c>
      <c r="P4960" s="33">
        <f>IFERROR(__xludf.DUMMYFUNCTION("""COMPUTED_VALUE"""),0.5)</f>
        <v>0.5</v>
      </c>
      <c r="Q4960" s="4" t="str">
        <f>IFERROR(__xludf.DUMMYFUNCTION("""COMPUTED_VALUE"""),"Cardápio Web")</f>
        <v>Cardápio Web</v>
      </c>
      <c r="R4960" s="33">
        <f>IFERROR(__xludf.DUMMYFUNCTION("""COMPUTED_VALUE"""),0.5)</f>
        <v>0.5</v>
      </c>
      <c r="S4960" s="4" t="str">
        <f>IFERROR(__xludf.DUMMYFUNCTION("""COMPUTED_VALUE"""),"Cardápio Web")</f>
        <v>Cardápio Web</v>
      </c>
      <c r="T4960" s="33">
        <f>IFERROR(__xludf.DUMMYFUNCTION("""COMPUTED_VALUE"""),0.5)</f>
        <v>0.5</v>
      </c>
      <c r="U4960" s="4" t="str">
        <f>IFERROR(__xludf.DUMMYFUNCTION("""COMPUTED_VALUE"""),"Saipos Serviços De Software")</f>
        <v>Saipos Serviços De Software</v>
      </c>
      <c r="V4960" s="33">
        <f>IFERROR(__xludf.DUMMYFUNCTION("""COMPUTED_VALUE"""),1.0)</f>
        <v>1</v>
      </c>
      <c r="W4960" s="4" t="str">
        <f>IFERROR(__xludf.DUMMYFUNCTION("""COMPUTED_VALUE"""),"Saipos Serviços De Software")</f>
        <v>Saipos Serviços De Software</v>
      </c>
      <c r="X4960" s="33">
        <f>IFERROR(__xludf.DUMMYFUNCTION("""COMPUTED_VALUE"""),1.0)</f>
        <v>1</v>
      </c>
    </row>
    <row r="4961">
      <c r="K4961" s="4" t="str">
        <f>IFERROR(__xludf.DUMMYFUNCTION("""COMPUTED_VALUE"""),"PALHETE PIZZARIA")</f>
        <v>PALHETE PIZZARIA</v>
      </c>
      <c r="L4961" s="32">
        <f>IFERROR(__xludf.DUMMYFUNCTION("""COMPUTED_VALUE"""),2.0)</f>
        <v>2</v>
      </c>
      <c r="M4961" s="4" t="str">
        <f>IFERROR(__xludf.DUMMYFUNCTION("""COMPUTED_VALUE"""),"null")</f>
        <v>null</v>
      </c>
      <c r="N4961" s="33">
        <f>IFERROR(__xludf.DUMMYFUNCTION("""COMPUTED_VALUE"""),0.5)</f>
        <v>0.5</v>
      </c>
      <c r="O4961" s="4" t="str">
        <f>IFERROR(__xludf.DUMMYFUNCTION("""COMPUTED_VALUE"""),"null")</f>
        <v>null</v>
      </c>
      <c r="P4961" s="33">
        <f>IFERROR(__xludf.DUMMYFUNCTION("""COMPUTED_VALUE"""),0.5)</f>
        <v>0.5</v>
      </c>
      <c r="Q4961" s="4" t="str">
        <f>IFERROR(__xludf.DUMMYFUNCTION("""COMPUTED_VALUE"""),"null")</f>
        <v>null</v>
      </c>
      <c r="R4961" s="33">
        <f>IFERROR(__xludf.DUMMYFUNCTION("""COMPUTED_VALUE"""),0.5)</f>
        <v>0.5</v>
      </c>
      <c r="S4961" s="4" t="str">
        <f>IFERROR(__xludf.DUMMYFUNCTION("""COMPUTED_VALUE"""),"Consumer Soluções Em Tecnologia Ltda")</f>
        <v>Consumer Soluções Em Tecnologia Ltda</v>
      </c>
      <c r="T4961" s="33">
        <f>IFERROR(__xludf.DUMMYFUNCTION("""COMPUTED_VALUE"""),1.0)</f>
        <v>1</v>
      </c>
      <c r="U4961" s="4" t="str">
        <f>IFERROR(__xludf.DUMMYFUNCTION("""COMPUTED_VALUE"""),"Consumer Soluções Em Tecnologia Ltda")</f>
        <v>Consumer Soluções Em Tecnologia Ltda</v>
      </c>
      <c r="V4961" s="33">
        <f>IFERROR(__xludf.DUMMYFUNCTION("""COMPUTED_VALUE"""),1.0)</f>
        <v>1</v>
      </c>
      <c r="W4961" s="4" t="str">
        <f>IFERROR(__xludf.DUMMYFUNCTION("""COMPUTED_VALUE"""),"Consumer Soluções Em Tecnologia Ltda")</f>
        <v>Consumer Soluções Em Tecnologia Ltda</v>
      </c>
      <c r="X4961" s="33">
        <f>IFERROR(__xludf.DUMMYFUNCTION("""COMPUTED_VALUE"""),1.0)</f>
        <v>1</v>
      </c>
    </row>
    <row r="4962">
      <c r="K4962" s="4" t="str">
        <f>IFERROR(__xludf.DUMMYFUNCTION("""COMPUTED_VALUE"""),"PIZZARIA NERES MASSAS PIZZAS")</f>
        <v>PIZZARIA NERES MASSAS PIZZAS</v>
      </c>
      <c r="L4962" s="32">
        <f>IFERROR(__xludf.DUMMYFUNCTION("""COMPUTED_VALUE"""),2.0)</f>
        <v>2</v>
      </c>
      <c r="M4962" s="4" t="str">
        <f>IFERROR(__xludf.DUMMYFUNCTION("""COMPUTED_VALUE"""),"null")</f>
        <v>null</v>
      </c>
      <c r="N4962" s="33">
        <f>IFERROR(__xludf.DUMMYFUNCTION("""COMPUTED_VALUE"""),0.5)</f>
        <v>0.5</v>
      </c>
      <c r="O4962" s="4" t="str">
        <f>IFERROR(__xludf.DUMMYFUNCTION("""COMPUTED_VALUE"""),"null")</f>
        <v>null</v>
      </c>
      <c r="P4962" s="33">
        <f>IFERROR(__xludf.DUMMYFUNCTION("""COMPUTED_VALUE"""),0.5)</f>
        <v>0.5</v>
      </c>
      <c r="Q4962" s="4" t="str">
        <f>IFERROR(__xludf.DUMMYFUNCTION("""COMPUTED_VALUE"""),"null")</f>
        <v>null</v>
      </c>
      <c r="R4962" s="33">
        <f>IFERROR(__xludf.DUMMYFUNCTION("""COMPUTED_VALUE"""),0.5)</f>
        <v>0.5</v>
      </c>
      <c r="S4962" s="4" t="str">
        <f>IFERROR(__xludf.DUMMYFUNCTION("""COMPUTED_VALUE"""),"null")</f>
        <v>null</v>
      </c>
      <c r="T4962" s="33">
        <f>IFERROR(__xludf.DUMMYFUNCTION("""COMPUTED_VALUE"""),0.5)</f>
        <v>0.5</v>
      </c>
      <c r="U4962" s="4" t="str">
        <f>IFERROR(__xludf.DUMMYFUNCTION("""COMPUTED_VALUE"""),"null")</f>
        <v>null</v>
      </c>
      <c r="V4962" s="33">
        <f>IFERROR(__xludf.DUMMYFUNCTION("""COMPUTED_VALUE"""),0.5)</f>
        <v>0.5</v>
      </c>
      <c r="W4962" s="4" t="str">
        <f>IFERROR(__xludf.DUMMYFUNCTION("""COMPUTED_VALUE"""),"Cardápio Web")</f>
        <v>Cardápio Web</v>
      </c>
      <c r="X4962" s="33">
        <f>IFERROR(__xludf.DUMMYFUNCTION("""COMPUTED_VALUE"""),1.0)</f>
        <v>1</v>
      </c>
    </row>
    <row r="4963">
      <c r="K4963" s="4" t="str">
        <f>IFERROR(__xludf.DUMMYFUNCTION("""COMPUTED_VALUE"""),"CARRIJO SALGADOS")</f>
        <v>CARRIJO SALGADOS</v>
      </c>
      <c r="L4963" s="32">
        <f>IFERROR(__xludf.DUMMYFUNCTION("""COMPUTED_VALUE"""),2.0)</f>
        <v>2</v>
      </c>
      <c r="M4963" s="4" t="str">
        <f>IFERROR(__xludf.DUMMYFUNCTION("""COMPUTED_VALUE"""),"null")</f>
        <v>null</v>
      </c>
      <c r="N4963" s="33">
        <f>IFERROR(__xludf.DUMMYFUNCTION("""COMPUTED_VALUE"""),0.5)</f>
        <v>0.5</v>
      </c>
      <c r="O4963" s="4" t="str">
        <f>IFERROR(__xludf.DUMMYFUNCTION("""COMPUTED_VALUE"""),"null")</f>
        <v>null</v>
      </c>
      <c r="P4963" s="33">
        <f>IFERROR(__xludf.DUMMYFUNCTION("""COMPUTED_VALUE"""),0.5)</f>
        <v>0.5</v>
      </c>
      <c r="Q4963" s="4" t="str">
        <f>IFERROR(__xludf.DUMMYFUNCTION("""COMPUTED_VALUE"""),"null")</f>
        <v>null</v>
      </c>
      <c r="R4963" s="33">
        <f>IFERROR(__xludf.DUMMYFUNCTION("""COMPUTED_VALUE"""),0.5)</f>
        <v>0.5</v>
      </c>
      <c r="S4963" s="4" t="str">
        <f>IFERROR(__xludf.DUMMYFUNCTION("""COMPUTED_VALUE"""),"null")</f>
        <v>null</v>
      </c>
      <c r="T4963" s="33">
        <f>IFERROR(__xludf.DUMMYFUNCTION("""COMPUTED_VALUE"""),0.5)</f>
        <v>0.5</v>
      </c>
      <c r="U4963" s="4" t="str">
        <f>IFERROR(__xludf.DUMMYFUNCTION("""COMPUTED_VALUE"""),"null")</f>
        <v>null</v>
      </c>
      <c r="V4963" s="33">
        <f>IFERROR(__xludf.DUMMYFUNCTION("""COMPUTED_VALUE"""),0.5)</f>
        <v>0.5</v>
      </c>
      <c r="W4963" s="4" t="str">
        <f>IFERROR(__xludf.DUMMYFUNCTION("""COMPUTED_VALUE"""),"Saipos Serviços De Software")</f>
        <v>Saipos Serviços De Software</v>
      </c>
      <c r="X4963" s="33">
        <f>IFERROR(__xludf.DUMMYFUNCTION("""COMPUTED_VALUE"""),1.0)</f>
        <v>1</v>
      </c>
    </row>
    <row r="4964">
      <c r="K4964" s="4" t="str">
        <f>IFERROR(__xludf.DUMMYFUNCTION("""COMPUTED_VALUE"""),"RESENHA DO ACAI")</f>
        <v>RESENHA DO ACAI</v>
      </c>
      <c r="L4964" s="32">
        <f>IFERROR(__xludf.DUMMYFUNCTION("""COMPUTED_VALUE"""),2.0)</f>
        <v>2</v>
      </c>
      <c r="M4964" s="4" t="str">
        <f>IFERROR(__xludf.DUMMYFUNCTION("""COMPUTED_VALUE"""),"Brendi")</f>
        <v>Brendi</v>
      </c>
      <c r="N4964" s="33">
        <f>IFERROR(__xludf.DUMMYFUNCTION("""COMPUTED_VALUE"""),1.0)</f>
        <v>1</v>
      </c>
      <c r="O4964" s="4" t="str">
        <f>IFERROR(__xludf.DUMMYFUNCTION("""COMPUTED_VALUE"""),"Brendi")</f>
        <v>Brendi</v>
      </c>
      <c r="P4964" s="33">
        <f>IFERROR(__xludf.DUMMYFUNCTION("""COMPUTED_VALUE"""),1.0)</f>
        <v>1</v>
      </c>
      <c r="Q4964" s="4" t="str">
        <f>IFERROR(__xludf.DUMMYFUNCTION("""COMPUTED_VALUE"""),"Brendi")</f>
        <v>Brendi</v>
      </c>
      <c r="R4964" s="33">
        <f>IFERROR(__xludf.DUMMYFUNCTION("""COMPUTED_VALUE"""),0.5)</f>
        <v>0.5</v>
      </c>
      <c r="S4964" s="4" t="str">
        <f>IFERROR(__xludf.DUMMYFUNCTION("""COMPUTED_VALUE"""),"Brendi")</f>
        <v>Brendi</v>
      </c>
      <c r="T4964" s="33">
        <f>IFERROR(__xludf.DUMMYFUNCTION("""COMPUTED_VALUE"""),0.5)</f>
        <v>0.5</v>
      </c>
      <c r="U4964" s="4" t="str">
        <f>IFERROR(__xludf.DUMMYFUNCTION("""COMPUTED_VALUE"""),"Lab Jota Marketing Digital Eirele")</f>
        <v>Lab Jota Marketing Digital Eirele</v>
      </c>
      <c r="V4964" s="33">
        <f>IFERROR(__xludf.DUMMYFUNCTION("""COMPUTED_VALUE"""),0.5)</f>
        <v>0.5</v>
      </c>
      <c r="W4964" s="4" t="str">
        <f>IFERROR(__xludf.DUMMYFUNCTION("""COMPUTED_VALUE"""),"Brendi")</f>
        <v>Brendi</v>
      </c>
      <c r="X4964" s="33">
        <f>IFERROR(__xludf.DUMMYFUNCTION("""COMPUTED_VALUE"""),0.5)</f>
        <v>0.5</v>
      </c>
    </row>
    <row r="4965">
      <c r="K4965" s="4" t="str">
        <f>IFERROR(__xludf.DUMMYFUNCTION("""COMPUTED_VALUE"""),"ESFIHA SHOW")</f>
        <v>ESFIHA SHOW</v>
      </c>
      <c r="L4965" s="32">
        <f>IFERROR(__xludf.DUMMYFUNCTION("""COMPUTED_VALUE"""),2.0)</f>
        <v>2</v>
      </c>
      <c r="M4965" s="4" t="str">
        <f>IFERROR(__xludf.DUMMYFUNCTION("""COMPUTED_VALUE"""),"Softsa Sistemas De Informação Ltda")</f>
        <v>Softsa Sistemas De Informação Ltda</v>
      </c>
      <c r="N4965" s="33">
        <f>IFERROR(__xludf.DUMMYFUNCTION("""COMPUTED_VALUE"""),0.5)</f>
        <v>0.5</v>
      </c>
      <c r="O4965" s="4" t="str">
        <f>IFERROR(__xludf.DUMMYFUNCTION("""COMPUTED_VALUE"""),"Softsa Sistemas De Informação Ltda")</f>
        <v>Softsa Sistemas De Informação Ltda</v>
      </c>
      <c r="P4965" s="33">
        <f>IFERROR(__xludf.DUMMYFUNCTION("""COMPUTED_VALUE"""),0.5)</f>
        <v>0.5</v>
      </c>
      <c r="Q4965" s="4" t="str">
        <f>IFERROR(__xludf.DUMMYFUNCTION("""COMPUTED_VALUE"""),"Softsa Sistemas De Informação Ltda")</f>
        <v>Softsa Sistemas De Informação Ltda</v>
      </c>
      <c r="R4965" s="33">
        <f>IFERROR(__xludf.DUMMYFUNCTION("""COMPUTED_VALUE"""),0.5)</f>
        <v>0.5</v>
      </c>
      <c r="S4965" s="4" t="str">
        <f>IFERROR(__xludf.DUMMYFUNCTION("""COMPUTED_VALUE"""),"null")</f>
        <v>null</v>
      </c>
      <c r="T4965" s="33">
        <f>IFERROR(__xludf.DUMMYFUNCTION("""COMPUTED_VALUE"""),0.5)</f>
        <v>0.5</v>
      </c>
      <c r="U4965" s="4" t="str">
        <f>IFERROR(__xludf.DUMMYFUNCTION("""COMPUTED_VALUE"""),"Softsa Sistemas De Informação Ltda")</f>
        <v>Softsa Sistemas De Informação Ltda</v>
      </c>
      <c r="V4965" s="33">
        <f>IFERROR(__xludf.DUMMYFUNCTION("""COMPUTED_VALUE"""),0.5)</f>
        <v>0.5</v>
      </c>
      <c r="W4965" s="4" t="str">
        <f>IFERROR(__xludf.DUMMYFUNCTION("""COMPUTED_VALUE"""),"Softsa Sistemas De Informação Ltda")</f>
        <v>Softsa Sistemas De Informação Ltda</v>
      </c>
      <c r="X4965" s="33">
        <f>IFERROR(__xludf.DUMMYFUNCTION("""COMPUTED_VALUE"""),0.5)</f>
        <v>0.5</v>
      </c>
    </row>
    <row r="4966">
      <c r="K4966" s="4" t="str">
        <f>IFERROR(__xludf.DUMMYFUNCTION("""COMPUTED_VALUE"""),"PASTELARIA DA PRACA")</f>
        <v>PASTELARIA DA PRACA</v>
      </c>
      <c r="L4966" s="32">
        <f>IFERROR(__xludf.DUMMYFUNCTION("""COMPUTED_VALUE"""),2.0)</f>
        <v>2</v>
      </c>
      <c r="M4966" s="4" t="str">
        <f>IFERROR(__xludf.DUMMYFUNCTION("""COMPUTED_VALUE"""),"Anota Ai Solucoes Digitais S/a")</f>
        <v>Anota Ai Solucoes Digitais S/a</v>
      </c>
      <c r="N4966" s="33">
        <f>IFERROR(__xludf.DUMMYFUNCTION("""COMPUTED_VALUE"""),0.5)</f>
        <v>0.5</v>
      </c>
      <c r="O4966" s="4" t="str">
        <f>IFERROR(__xludf.DUMMYFUNCTION("""COMPUTED_VALUE"""),"Anota Ai Solucoes Digitais S/a")</f>
        <v>Anota Ai Solucoes Digitais S/a</v>
      </c>
      <c r="P4966" s="33">
        <f>IFERROR(__xludf.DUMMYFUNCTION("""COMPUTED_VALUE"""),0.5)</f>
        <v>0.5</v>
      </c>
      <c r="Q4966" s="4" t="str">
        <f>IFERROR(__xludf.DUMMYFUNCTION("""COMPUTED_VALUE"""),"Anota Ai Solucoes Digitais S/a")</f>
        <v>Anota Ai Solucoes Digitais S/a</v>
      </c>
      <c r="R4966" s="33">
        <f>IFERROR(__xludf.DUMMYFUNCTION("""COMPUTED_VALUE"""),0.5)</f>
        <v>0.5</v>
      </c>
      <c r="S4966" s="4" t="str">
        <f>IFERROR(__xludf.DUMMYFUNCTION("""COMPUTED_VALUE"""),"Anota Ai Solucoes Digitais S/a")</f>
        <v>Anota Ai Solucoes Digitais S/a</v>
      </c>
      <c r="T4966" s="33">
        <f>IFERROR(__xludf.DUMMYFUNCTION("""COMPUTED_VALUE"""),0.5)</f>
        <v>0.5</v>
      </c>
      <c r="U4966" s="4" t="str">
        <f>IFERROR(__xludf.DUMMYFUNCTION("""COMPUTED_VALUE"""),"Anota Ai Solucoes Digitais S/a")</f>
        <v>Anota Ai Solucoes Digitais S/a</v>
      </c>
      <c r="V4966" s="33">
        <f>IFERROR(__xludf.DUMMYFUNCTION("""COMPUTED_VALUE"""),0.5)</f>
        <v>0.5</v>
      </c>
      <c r="W4966" s="4" t="str">
        <f>IFERROR(__xludf.DUMMYFUNCTION("""COMPUTED_VALUE"""),"Anota Ai Solucoes Digitais S/a")</f>
        <v>Anota Ai Solucoes Digitais S/a</v>
      </c>
      <c r="X4966" s="33">
        <f>IFERROR(__xludf.DUMMYFUNCTION("""COMPUTED_VALUE"""),0.5)</f>
        <v>0.5</v>
      </c>
    </row>
    <row r="4967">
      <c r="K4967" s="4" t="str">
        <f>IFERROR(__xludf.DUMMYFUNCTION("""COMPUTED_VALUE"""),"PIZZARELLA")</f>
        <v>PIZZARELLA</v>
      </c>
      <c r="L4967" s="32">
        <f>IFERROR(__xludf.DUMMYFUNCTION("""COMPUTED_VALUE"""),2.0)</f>
        <v>2</v>
      </c>
      <c r="M4967" s="4" t="str">
        <f>IFERROR(__xludf.DUMMYFUNCTION("""COMPUTED_VALUE"""),"null")</f>
        <v>null</v>
      </c>
      <c r="N4967" s="33">
        <f>IFERROR(__xludf.DUMMYFUNCTION("""COMPUTED_VALUE"""),0.5)</f>
        <v>0.5</v>
      </c>
      <c r="O4967" s="4" t="str">
        <f>IFERROR(__xludf.DUMMYFUNCTION("""COMPUTED_VALUE"""),"null")</f>
        <v>null</v>
      </c>
      <c r="P4967" s="33">
        <f>IFERROR(__xludf.DUMMYFUNCTION("""COMPUTED_VALUE"""),0.5)</f>
        <v>0.5</v>
      </c>
      <c r="Q4967" s="4" t="str">
        <f>IFERROR(__xludf.DUMMYFUNCTION("""COMPUTED_VALUE"""),"null")</f>
        <v>null</v>
      </c>
      <c r="R4967" s="33">
        <f>IFERROR(__xludf.DUMMYFUNCTION("""COMPUTED_VALUE"""),0.5)</f>
        <v>0.5</v>
      </c>
      <c r="S4967" s="4" t="str">
        <f>IFERROR(__xludf.DUMMYFUNCTION("""COMPUTED_VALUE"""),"Suitable Tecnologia E Gestao")</f>
        <v>Suitable Tecnologia E Gestao</v>
      </c>
      <c r="T4967" s="33">
        <f>IFERROR(__xludf.DUMMYFUNCTION("""COMPUTED_VALUE"""),0.5)</f>
        <v>0.5</v>
      </c>
      <c r="U4967" s="4" t="str">
        <f>IFERROR(__xludf.DUMMYFUNCTION("""COMPUTED_VALUE"""),"Suitable Tecnologia E Gestao")</f>
        <v>Suitable Tecnologia E Gestao</v>
      </c>
      <c r="V4967" s="33">
        <f>IFERROR(__xludf.DUMMYFUNCTION("""COMPUTED_VALUE"""),0.5)</f>
        <v>0.5</v>
      </c>
      <c r="W4967" s="4" t="str">
        <f>IFERROR(__xludf.DUMMYFUNCTION("""COMPUTED_VALUE"""),"Suitable Tecnologia E Gestao")</f>
        <v>Suitable Tecnologia E Gestao</v>
      </c>
      <c r="X4967" s="33">
        <f>IFERROR(__xludf.DUMMYFUNCTION("""COMPUTED_VALUE"""),0.5)</f>
        <v>0.5</v>
      </c>
    </row>
    <row r="4968">
      <c r="K4968" s="4" t="str">
        <f>IFERROR(__xludf.DUMMYFUNCTION("""COMPUTED_VALUE"""),"PORTAL LANCHES")</f>
        <v>PORTAL LANCHES</v>
      </c>
      <c r="L4968" s="32">
        <f>IFERROR(__xludf.DUMMYFUNCTION("""COMPUTED_VALUE"""),2.0)</f>
        <v>2</v>
      </c>
      <c r="M4968" s="4" t="str">
        <f>IFERROR(__xludf.DUMMYFUNCTION("""COMPUTED_VALUE"""),"Cardápio Web")</f>
        <v>Cardápio Web</v>
      </c>
      <c r="N4968" s="33">
        <f>IFERROR(__xludf.DUMMYFUNCTION("""COMPUTED_VALUE"""),0.5)</f>
        <v>0.5</v>
      </c>
      <c r="O4968" s="4" t="str">
        <f>IFERROR(__xludf.DUMMYFUNCTION("""COMPUTED_VALUE"""),"Cardápio Web")</f>
        <v>Cardápio Web</v>
      </c>
      <c r="P4968" s="33">
        <f>IFERROR(__xludf.DUMMYFUNCTION("""COMPUTED_VALUE"""),0.5)</f>
        <v>0.5</v>
      </c>
      <c r="Q4968" s="4" t="str">
        <f>IFERROR(__xludf.DUMMYFUNCTION("""COMPUTED_VALUE"""),"Cardápio Web")</f>
        <v>Cardápio Web</v>
      </c>
      <c r="R4968" s="33">
        <f>IFERROR(__xludf.DUMMYFUNCTION("""COMPUTED_VALUE"""),0.5)</f>
        <v>0.5</v>
      </c>
      <c r="S4968" s="4" t="str">
        <f>IFERROR(__xludf.DUMMYFUNCTION("""COMPUTED_VALUE"""),"Cardápio Web")</f>
        <v>Cardápio Web</v>
      </c>
      <c r="T4968" s="33">
        <f>IFERROR(__xludf.DUMMYFUNCTION("""COMPUTED_VALUE"""),0.5)</f>
        <v>0.5</v>
      </c>
      <c r="U4968" s="4" t="str">
        <f>IFERROR(__xludf.DUMMYFUNCTION("""COMPUTED_VALUE"""),"Cardápio Web")</f>
        <v>Cardápio Web</v>
      </c>
      <c r="V4968" s="33">
        <f>IFERROR(__xludf.DUMMYFUNCTION("""COMPUTED_VALUE"""),0.5)</f>
        <v>0.5</v>
      </c>
      <c r="W4968" s="4" t="str">
        <f>IFERROR(__xludf.DUMMYFUNCTION("""COMPUTED_VALUE"""),"Cardápio Web")</f>
        <v>Cardápio Web</v>
      </c>
      <c r="X4968" s="33">
        <f>IFERROR(__xludf.DUMMYFUNCTION("""COMPUTED_VALUE"""),0.5)</f>
        <v>0.5</v>
      </c>
    </row>
    <row r="4969">
      <c r="K4969" s="4" t="str">
        <f>IFERROR(__xludf.DUMMYFUNCTION("""COMPUTED_VALUE"""),"PANELA DE FERRO MARMITARIA")</f>
        <v>PANELA DE FERRO MARMITARIA</v>
      </c>
      <c r="L4969" s="32">
        <f>IFERROR(__xludf.DUMMYFUNCTION("""COMPUTED_VALUE"""),2.0)</f>
        <v>2</v>
      </c>
      <c r="M4969" s="4" t="str">
        <f>IFERROR(__xludf.DUMMYFUNCTION("""COMPUTED_VALUE"""),"Instadelivery")</f>
        <v>Instadelivery</v>
      </c>
      <c r="N4969" s="33">
        <f>IFERROR(__xludf.DUMMYFUNCTION("""COMPUTED_VALUE"""),0.5)</f>
        <v>0.5</v>
      </c>
      <c r="O4969" s="4" t="str">
        <f>IFERROR(__xludf.DUMMYFUNCTION("""COMPUTED_VALUE"""),"Instadelivery")</f>
        <v>Instadelivery</v>
      </c>
      <c r="P4969" s="33">
        <f>IFERROR(__xludf.DUMMYFUNCTION("""COMPUTED_VALUE"""),0.5)</f>
        <v>0.5</v>
      </c>
      <c r="Q4969" s="4" t="str">
        <f>IFERROR(__xludf.DUMMYFUNCTION("""COMPUTED_VALUE"""),"Instadelivery")</f>
        <v>Instadelivery</v>
      </c>
      <c r="R4969" s="33">
        <f>IFERROR(__xludf.DUMMYFUNCTION("""COMPUTED_VALUE"""),0.5)</f>
        <v>0.5</v>
      </c>
      <c r="S4969" s="4" t="str">
        <f>IFERROR(__xludf.DUMMYFUNCTION("""COMPUTED_VALUE"""),"Instadelivery")</f>
        <v>Instadelivery</v>
      </c>
      <c r="T4969" s="33">
        <f>IFERROR(__xludf.DUMMYFUNCTION("""COMPUTED_VALUE"""),0.5)</f>
        <v>0.5</v>
      </c>
      <c r="U4969" s="4" t="str">
        <f>IFERROR(__xludf.DUMMYFUNCTION("""COMPUTED_VALUE"""),"Instadelivery")</f>
        <v>Instadelivery</v>
      </c>
      <c r="V4969" s="33">
        <f>IFERROR(__xludf.DUMMYFUNCTION("""COMPUTED_VALUE"""),0.5)</f>
        <v>0.5</v>
      </c>
      <c r="W4969" s="4" t="str">
        <f>IFERROR(__xludf.DUMMYFUNCTION("""COMPUTED_VALUE"""),"Instadelivery")</f>
        <v>Instadelivery</v>
      </c>
      <c r="X4969" s="33">
        <f>IFERROR(__xludf.DUMMYFUNCTION("""COMPUTED_VALUE"""),0.5)</f>
        <v>0.5</v>
      </c>
    </row>
    <row r="4970">
      <c r="K4970" s="4" t="str">
        <f>IFERROR(__xludf.DUMMYFUNCTION("""COMPUTED_VALUE"""),"HAMBURGUERIA REIS")</f>
        <v>HAMBURGUERIA REIS</v>
      </c>
      <c r="L4970" s="32">
        <f>IFERROR(__xludf.DUMMYFUNCTION("""COMPUTED_VALUE"""),2.0)</f>
        <v>2</v>
      </c>
      <c r="M4970" s="4" t="str">
        <f>IFERROR(__xludf.DUMMYFUNCTION("""COMPUTED_VALUE"""),"Brendi")</f>
        <v>Brendi</v>
      </c>
      <c r="N4970" s="33">
        <f>IFERROR(__xludf.DUMMYFUNCTION("""COMPUTED_VALUE"""),1.0)</f>
        <v>1</v>
      </c>
      <c r="O4970" s="4" t="str">
        <f>IFERROR(__xludf.DUMMYFUNCTION("""COMPUTED_VALUE"""),"Brendi")</f>
        <v>Brendi</v>
      </c>
      <c r="P4970" s="33">
        <f>IFERROR(__xludf.DUMMYFUNCTION("""COMPUTED_VALUE"""),1.0)</f>
        <v>1</v>
      </c>
      <c r="Q4970" s="4" t="str">
        <f>IFERROR(__xludf.DUMMYFUNCTION("""COMPUTED_VALUE"""),"Brendi")</f>
        <v>Brendi</v>
      </c>
      <c r="R4970" s="33">
        <f>IFERROR(__xludf.DUMMYFUNCTION("""COMPUTED_VALUE"""),1.0)</f>
        <v>1</v>
      </c>
      <c r="S4970" s="4" t="str">
        <f>IFERROR(__xludf.DUMMYFUNCTION("""COMPUTED_VALUE"""),"Brendi")</f>
        <v>Brendi</v>
      </c>
      <c r="T4970" s="33">
        <f>IFERROR(__xludf.DUMMYFUNCTION("""COMPUTED_VALUE"""),1.0)</f>
        <v>1</v>
      </c>
      <c r="U4970" s="4" t="str">
        <f>IFERROR(__xludf.DUMMYFUNCTION("""COMPUTED_VALUE"""),"Brendi")</f>
        <v>Brendi</v>
      </c>
      <c r="V4970" s="33">
        <f>IFERROR(__xludf.DUMMYFUNCTION("""COMPUTED_VALUE"""),1.0)</f>
        <v>1</v>
      </c>
      <c r="W4970" s="4" t="str">
        <f>IFERROR(__xludf.DUMMYFUNCTION("""COMPUTED_VALUE"""),"Brendi")</f>
        <v>Brendi</v>
      </c>
      <c r="X4970" s="33">
        <f>IFERROR(__xludf.DUMMYFUNCTION("""COMPUTED_VALUE"""),1.0)</f>
        <v>1</v>
      </c>
    </row>
    <row r="4971">
      <c r="K4971" s="4" t="str">
        <f>IFERROR(__xludf.DUMMYFUNCTION("""COMPUTED_VALUE"""),"DPRACA PIZZARIA")</f>
        <v>DPRACA PIZZARIA</v>
      </c>
      <c r="L4971" s="32">
        <f>IFERROR(__xludf.DUMMYFUNCTION("""COMPUTED_VALUE"""),2.0)</f>
        <v>2</v>
      </c>
      <c r="M4971" s="4" t="str">
        <f>IFERROR(__xludf.DUMMYFUNCTION("""COMPUTED_VALUE"""),"Saipos Serviços De Software")</f>
        <v>Saipos Serviços De Software</v>
      </c>
      <c r="N4971" s="33">
        <f>IFERROR(__xludf.DUMMYFUNCTION("""COMPUTED_VALUE"""),0.5)</f>
        <v>0.5</v>
      </c>
      <c r="O4971" s="4" t="str">
        <f>IFERROR(__xludf.DUMMYFUNCTION("""COMPUTED_VALUE"""),"Saipos Serviços De Software")</f>
        <v>Saipos Serviços De Software</v>
      </c>
      <c r="P4971" s="33">
        <f>IFERROR(__xludf.DUMMYFUNCTION("""COMPUTED_VALUE"""),0.5)</f>
        <v>0.5</v>
      </c>
      <c r="Q4971" s="4" t="str">
        <f>IFERROR(__xludf.DUMMYFUNCTION("""COMPUTED_VALUE"""),"Saipos Serviços De Software")</f>
        <v>Saipos Serviços De Software</v>
      </c>
      <c r="R4971" s="33">
        <f>IFERROR(__xludf.DUMMYFUNCTION("""COMPUTED_VALUE"""),0.5)</f>
        <v>0.5</v>
      </c>
      <c r="S4971" s="4" t="str">
        <f>IFERROR(__xludf.DUMMYFUNCTION("""COMPUTED_VALUE"""),"Saipos Serviços De Software")</f>
        <v>Saipos Serviços De Software</v>
      </c>
      <c r="T4971" s="33">
        <f>IFERROR(__xludf.DUMMYFUNCTION("""COMPUTED_VALUE"""),0.5)</f>
        <v>0.5</v>
      </c>
      <c r="U4971" s="4" t="str">
        <f>IFERROR(__xludf.DUMMYFUNCTION("""COMPUTED_VALUE"""),"Saipos Serviços De Software")</f>
        <v>Saipos Serviços De Software</v>
      </c>
      <c r="V4971" s="33">
        <f>IFERROR(__xludf.DUMMYFUNCTION("""COMPUTED_VALUE"""),1.0)</f>
        <v>1</v>
      </c>
      <c r="W4971" s="4" t="str">
        <f>IFERROR(__xludf.DUMMYFUNCTION("""COMPUTED_VALUE"""),"null")</f>
        <v>null</v>
      </c>
      <c r="X4971" s="33">
        <f>IFERROR(__xludf.DUMMYFUNCTION("""COMPUTED_VALUE"""),0.5)</f>
        <v>0.5</v>
      </c>
    </row>
    <row r="4972">
      <c r="K4972" s="4" t="str">
        <f>IFERROR(__xludf.DUMMYFUNCTION("""COMPUTED_VALUE"""),"FC ACAI")</f>
        <v>FC ACAI</v>
      </c>
      <c r="L4972" s="32">
        <f>IFERROR(__xludf.DUMMYFUNCTION("""COMPUTED_VALUE"""),2.0)</f>
        <v>2</v>
      </c>
      <c r="M4972" s="4" t="str">
        <f>IFERROR(__xludf.DUMMYFUNCTION("""COMPUTED_VALUE"""),"Whatsmenu Ltda")</f>
        <v>Whatsmenu Ltda</v>
      </c>
      <c r="N4972" s="33">
        <f>IFERROR(__xludf.DUMMYFUNCTION("""COMPUTED_VALUE"""),0.5)</f>
        <v>0.5</v>
      </c>
      <c r="O4972" s="4" t="str">
        <f>IFERROR(__xludf.DUMMYFUNCTION("""COMPUTED_VALUE"""),"Whatsmenu Ltda")</f>
        <v>Whatsmenu Ltda</v>
      </c>
      <c r="P4972" s="33">
        <f>IFERROR(__xludf.DUMMYFUNCTION("""COMPUTED_VALUE"""),0.5)</f>
        <v>0.5</v>
      </c>
      <c r="Q4972" s="4" t="str">
        <f>IFERROR(__xludf.DUMMYFUNCTION("""COMPUTED_VALUE"""),"Whatsmenu Ltda")</f>
        <v>Whatsmenu Ltda</v>
      </c>
      <c r="R4972" s="33">
        <f>IFERROR(__xludf.DUMMYFUNCTION("""COMPUTED_VALUE"""),0.5)</f>
        <v>0.5</v>
      </c>
      <c r="S4972" s="4" t="str">
        <f>IFERROR(__xludf.DUMMYFUNCTION("""COMPUTED_VALUE"""),"Whatsmenu Ltda")</f>
        <v>Whatsmenu Ltda</v>
      </c>
      <c r="T4972" s="33">
        <f>IFERROR(__xludf.DUMMYFUNCTION("""COMPUTED_VALUE"""),0.5)</f>
        <v>0.5</v>
      </c>
      <c r="U4972" s="4" t="str">
        <f>IFERROR(__xludf.DUMMYFUNCTION("""COMPUTED_VALUE"""),"Whatsmenu Ltda")</f>
        <v>Whatsmenu Ltda</v>
      </c>
      <c r="V4972" s="33">
        <f>IFERROR(__xludf.DUMMYFUNCTION("""COMPUTED_VALUE"""),0.5)</f>
        <v>0.5</v>
      </c>
      <c r="W4972" s="4" t="str">
        <f>IFERROR(__xludf.DUMMYFUNCTION("""COMPUTED_VALUE"""),"null")</f>
        <v>null</v>
      </c>
      <c r="X4972" s="33">
        <f>IFERROR(__xludf.DUMMYFUNCTION("""COMPUTED_VALUE"""),1.0)</f>
        <v>1</v>
      </c>
    </row>
    <row r="4973">
      <c r="K4973" s="4" t="str">
        <f>IFERROR(__xludf.DUMMYFUNCTION("""COMPUTED_VALUE"""),"PIZZARIA KI SABOR")</f>
        <v>PIZZARIA KI SABOR</v>
      </c>
      <c r="L4973" s="32">
        <f>IFERROR(__xludf.DUMMYFUNCTION("""COMPUTED_VALUE"""),2.0)</f>
        <v>2</v>
      </c>
      <c r="M4973" s="4" t="str">
        <f>IFERROR(__xludf.DUMMYFUNCTION("""COMPUTED_VALUE"""),"Anota Ai Solucoes Digitais S/a")</f>
        <v>Anota Ai Solucoes Digitais S/a</v>
      </c>
      <c r="N4973" s="33">
        <f>IFERROR(__xludf.DUMMYFUNCTION("""COMPUTED_VALUE"""),0.5)</f>
        <v>0.5</v>
      </c>
      <c r="O4973" s="4" t="str">
        <f>IFERROR(__xludf.DUMMYFUNCTION("""COMPUTED_VALUE"""),"null")</f>
        <v>null</v>
      </c>
      <c r="P4973" s="33">
        <f>IFERROR(__xludf.DUMMYFUNCTION("""COMPUTED_VALUE"""),1.0)</f>
        <v>1</v>
      </c>
      <c r="Q4973" s="4" t="str">
        <f>IFERROR(__xludf.DUMMYFUNCTION("""COMPUTED_VALUE"""),"Saipos Serviços De Software")</f>
        <v>Saipos Serviços De Software</v>
      </c>
      <c r="R4973" s="33">
        <f>IFERROR(__xludf.DUMMYFUNCTION("""COMPUTED_VALUE"""),0.5)</f>
        <v>0.5</v>
      </c>
      <c r="S4973" s="4" t="str">
        <f>IFERROR(__xludf.DUMMYFUNCTION("""COMPUTED_VALUE"""),"null")</f>
        <v>null</v>
      </c>
      <c r="T4973" s="33">
        <f>IFERROR(__xludf.DUMMYFUNCTION("""COMPUTED_VALUE"""),1.0)</f>
        <v>1</v>
      </c>
      <c r="U4973" s="4" t="str">
        <f>IFERROR(__xludf.DUMMYFUNCTION("""COMPUTED_VALUE"""),"null")</f>
        <v>null</v>
      </c>
      <c r="V4973" s="33">
        <f>IFERROR(__xludf.DUMMYFUNCTION("""COMPUTED_VALUE"""),1.0)</f>
        <v>1</v>
      </c>
      <c r="W4973" s="4" t="str">
        <f>IFERROR(__xludf.DUMMYFUNCTION("""COMPUTED_VALUE"""),"null")</f>
        <v>null</v>
      </c>
      <c r="X4973" s="33">
        <f>IFERROR(__xludf.DUMMYFUNCTION("""COMPUTED_VALUE"""),1.0)</f>
        <v>1</v>
      </c>
    </row>
    <row r="4974">
      <c r="K4974" s="4" t="str">
        <f>IFERROR(__xludf.DUMMYFUNCTION("""COMPUTED_VALUE"""),"KAWAII SUSHI")</f>
        <v>KAWAII SUSHI</v>
      </c>
      <c r="L4974" s="32">
        <f>IFERROR(__xludf.DUMMYFUNCTION("""COMPUTED_VALUE"""),2.0)</f>
        <v>2</v>
      </c>
      <c r="M4974" s="4" t="str">
        <f>IFERROR(__xludf.DUMMYFUNCTION("""COMPUTED_VALUE"""),"Waybe Soluções Em Tecnologia Da Informação Ltda")</f>
        <v>Waybe Soluções Em Tecnologia Da Informação Ltda</v>
      </c>
      <c r="N4974" s="33">
        <f>IFERROR(__xludf.DUMMYFUNCTION("""COMPUTED_VALUE"""),0.5)</f>
        <v>0.5</v>
      </c>
      <c r="O4974" s="4" t="str">
        <f>IFERROR(__xludf.DUMMYFUNCTION("""COMPUTED_VALUE"""),"Saipos Serviços De Software")</f>
        <v>Saipos Serviços De Software</v>
      </c>
      <c r="P4974" s="33">
        <f>IFERROR(__xludf.DUMMYFUNCTION("""COMPUTED_VALUE"""),0.5)</f>
        <v>0.5</v>
      </c>
      <c r="Q4974" s="4" t="str">
        <f>IFERROR(__xludf.DUMMYFUNCTION("""COMPUTED_VALUE"""),"Saipos Serviços De Software")</f>
        <v>Saipos Serviços De Software</v>
      </c>
      <c r="R4974" s="33">
        <f>IFERROR(__xludf.DUMMYFUNCTION("""COMPUTED_VALUE"""),0.5)</f>
        <v>0.5</v>
      </c>
      <c r="S4974" s="4" t="str">
        <f>IFERROR(__xludf.DUMMYFUNCTION("""COMPUTED_VALUE"""),"Saipos Serviços De Software")</f>
        <v>Saipos Serviços De Software</v>
      </c>
      <c r="T4974" s="33">
        <f>IFERROR(__xludf.DUMMYFUNCTION("""COMPUTED_VALUE"""),0.5)</f>
        <v>0.5</v>
      </c>
      <c r="U4974" s="4" t="str">
        <f>IFERROR(__xludf.DUMMYFUNCTION("""COMPUTED_VALUE"""),"Saipos Serviços De Software")</f>
        <v>Saipos Serviços De Software</v>
      </c>
      <c r="V4974" s="33">
        <f>IFERROR(__xludf.DUMMYFUNCTION("""COMPUTED_VALUE"""),0.5)</f>
        <v>0.5</v>
      </c>
      <c r="W4974" s="4" t="str">
        <f>IFERROR(__xludf.DUMMYFUNCTION("""COMPUTED_VALUE"""),"Saipos Serviços De Software")</f>
        <v>Saipos Serviços De Software</v>
      </c>
      <c r="X4974" s="33">
        <f>IFERROR(__xludf.DUMMYFUNCTION("""COMPUTED_VALUE"""),0.5)</f>
        <v>0.5</v>
      </c>
    </row>
    <row r="4975">
      <c r="K4975" s="4" t="str">
        <f>IFERROR(__xludf.DUMMYFUNCTION("""COMPUTED_VALUE"""),"GARDEN GOURMET HAMBURGUERIA")</f>
        <v>GARDEN GOURMET HAMBURGUERIA</v>
      </c>
      <c r="L4975" s="32">
        <f>IFERROR(__xludf.DUMMYFUNCTION("""COMPUTED_VALUE"""),2.0)</f>
        <v>2</v>
      </c>
      <c r="M4975" s="4" t="str">
        <f>IFERROR(__xludf.DUMMYFUNCTION("""COMPUTED_VALUE"""),"Ncr")</f>
        <v>Ncr</v>
      </c>
      <c r="N4975" s="33">
        <f>IFERROR(__xludf.DUMMYFUNCTION("""COMPUTED_VALUE"""),1.0)</f>
        <v>1</v>
      </c>
      <c r="O4975" s="4" t="str">
        <f>IFERROR(__xludf.DUMMYFUNCTION("""COMPUTED_VALUE"""),"Ncr")</f>
        <v>Ncr</v>
      </c>
      <c r="P4975" s="33">
        <f>IFERROR(__xludf.DUMMYFUNCTION("""COMPUTED_VALUE"""),1.0)</f>
        <v>1</v>
      </c>
      <c r="Q4975" s="4" t="str">
        <f>IFERROR(__xludf.DUMMYFUNCTION("""COMPUTED_VALUE"""),"Ncr")</f>
        <v>Ncr</v>
      </c>
      <c r="R4975" s="33">
        <f>IFERROR(__xludf.DUMMYFUNCTION("""COMPUTED_VALUE"""),1.0)</f>
        <v>1</v>
      </c>
      <c r="S4975" s="4" t="str">
        <f>IFERROR(__xludf.DUMMYFUNCTION("""COMPUTED_VALUE"""),"Ncr")</f>
        <v>Ncr</v>
      </c>
      <c r="T4975" s="33">
        <f>IFERROR(__xludf.DUMMYFUNCTION("""COMPUTED_VALUE"""),1.0)</f>
        <v>1</v>
      </c>
      <c r="U4975" s="4" t="str">
        <f>IFERROR(__xludf.DUMMYFUNCTION("""COMPUTED_VALUE"""),"null")</f>
        <v>null</v>
      </c>
      <c r="V4975" s="33">
        <f>IFERROR(__xludf.DUMMYFUNCTION("""COMPUTED_VALUE"""),0.5)</f>
        <v>0.5</v>
      </c>
      <c r="W4975" s="4" t="str">
        <f>IFERROR(__xludf.DUMMYFUNCTION("""COMPUTED_VALUE"""),"Ncr")</f>
        <v>Ncr</v>
      </c>
      <c r="X4975" s="33">
        <f>IFERROR(__xludf.DUMMYFUNCTION("""COMPUTED_VALUE"""),1.0)</f>
        <v>1</v>
      </c>
    </row>
    <row r="4976">
      <c r="K4976" s="4" t="str">
        <f>IFERROR(__xludf.DUMMYFUNCTION("""COMPUTED_VALUE"""),"CHURRASCARIA GAUCHA")</f>
        <v>CHURRASCARIA GAUCHA</v>
      </c>
      <c r="L4976" s="32">
        <f>IFERROR(__xludf.DUMMYFUNCTION("""COMPUTED_VALUE"""),2.0)</f>
        <v>2</v>
      </c>
      <c r="M4976" s="4" t="str">
        <f>IFERROR(__xludf.DUMMYFUNCTION("""COMPUTED_VALUE"""),"null")</f>
        <v>null</v>
      </c>
      <c r="N4976" s="33">
        <f>IFERROR(__xludf.DUMMYFUNCTION("""COMPUTED_VALUE"""),0.5)</f>
        <v>0.5</v>
      </c>
      <c r="O4976" s="4" t="str">
        <f>IFERROR(__xludf.DUMMYFUNCTION("""COMPUTED_VALUE"""),"null")</f>
        <v>null</v>
      </c>
      <c r="P4976" s="33">
        <f>IFERROR(__xludf.DUMMYFUNCTION("""COMPUTED_VALUE"""),0.5)</f>
        <v>0.5</v>
      </c>
      <c r="Q4976" s="4" t="str">
        <f>IFERROR(__xludf.DUMMYFUNCTION("""COMPUTED_VALUE"""),"null")</f>
        <v>null</v>
      </c>
      <c r="R4976" s="33">
        <f>IFERROR(__xludf.DUMMYFUNCTION("""COMPUTED_VALUE"""),0.5)</f>
        <v>0.5</v>
      </c>
      <c r="S4976" s="4" t="str">
        <f>IFERROR(__xludf.DUMMYFUNCTION("""COMPUTED_VALUE"""),"Takeat Tecnologia")</f>
        <v>Takeat Tecnologia</v>
      </c>
      <c r="T4976" s="33">
        <f>IFERROR(__xludf.DUMMYFUNCTION("""COMPUTED_VALUE"""),0.5)</f>
        <v>0.5</v>
      </c>
      <c r="U4976" s="4" t="str">
        <f>IFERROR(__xludf.DUMMYFUNCTION("""COMPUTED_VALUE"""),"Takeat Tecnologia")</f>
        <v>Takeat Tecnologia</v>
      </c>
      <c r="V4976" s="33">
        <f>IFERROR(__xludf.DUMMYFUNCTION("""COMPUTED_VALUE"""),0.5)</f>
        <v>0.5</v>
      </c>
      <c r="W4976" s="4" t="str">
        <f>IFERROR(__xludf.DUMMYFUNCTION("""COMPUTED_VALUE"""),"Takeat Tecnologia")</f>
        <v>Takeat Tecnologia</v>
      </c>
      <c r="X4976" s="33">
        <f>IFERROR(__xludf.DUMMYFUNCTION("""COMPUTED_VALUE"""),0.5)</f>
        <v>0.5</v>
      </c>
    </row>
    <row r="4977">
      <c r="K4977" s="4" t="str">
        <f>IFERROR(__xludf.DUMMYFUNCTION("""COMPUTED_VALUE"""),"CHAMA NO ACAI")</f>
        <v>CHAMA NO ACAI</v>
      </c>
      <c r="L4977" s="32">
        <f>IFERROR(__xludf.DUMMYFUNCTION("""COMPUTED_VALUE"""),2.0)</f>
        <v>2</v>
      </c>
      <c r="M4977" s="4" t="str">
        <f>IFERROR(__xludf.DUMMYFUNCTION("""COMPUTED_VALUE"""),"Consumer Soluções Em Tecnologia Ltda")</f>
        <v>Consumer Soluções Em Tecnologia Ltda</v>
      </c>
      <c r="N4977" s="33">
        <f>IFERROR(__xludf.DUMMYFUNCTION("""COMPUTED_VALUE"""),0.5)</f>
        <v>0.5</v>
      </c>
      <c r="O4977" s="4" t="str">
        <f>IFERROR(__xludf.DUMMYFUNCTION("""COMPUTED_VALUE"""),"null")</f>
        <v>null</v>
      </c>
      <c r="P4977" s="33">
        <f>IFERROR(__xludf.DUMMYFUNCTION("""COMPUTED_VALUE"""),0.5)</f>
        <v>0.5</v>
      </c>
      <c r="Q4977" s="4" t="str">
        <f>IFERROR(__xludf.DUMMYFUNCTION("""COMPUTED_VALUE"""),"Consumer Soluções Em Tecnologia Ltda")</f>
        <v>Consumer Soluções Em Tecnologia Ltda</v>
      </c>
      <c r="R4977" s="33">
        <f>IFERROR(__xludf.DUMMYFUNCTION("""COMPUTED_VALUE"""),0.5)</f>
        <v>0.5</v>
      </c>
      <c r="S4977" s="4" t="str">
        <f>IFERROR(__xludf.DUMMYFUNCTION("""COMPUTED_VALUE"""),"null")</f>
        <v>null</v>
      </c>
      <c r="T4977" s="33">
        <f>IFERROR(__xludf.DUMMYFUNCTION("""COMPUTED_VALUE"""),1.0)</f>
        <v>1</v>
      </c>
      <c r="U4977" s="4" t="str">
        <f>IFERROR(__xludf.DUMMYFUNCTION("""COMPUTED_VALUE"""),"null")</f>
        <v>null</v>
      </c>
      <c r="V4977" s="33">
        <f>IFERROR(__xludf.DUMMYFUNCTION("""COMPUTED_VALUE"""),1.0)</f>
        <v>1</v>
      </c>
      <c r="W4977" s="4" t="str">
        <f>IFERROR(__xludf.DUMMYFUNCTION("""COMPUTED_VALUE"""),"Consumer Soluções Em Tecnologia Ltda")</f>
        <v>Consumer Soluções Em Tecnologia Ltda</v>
      </c>
      <c r="X4977" s="33">
        <f>IFERROR(__xludf.DUMMYFUNCTION("""COMPUTED_VALUE"""),0.5)</f>
        <v>0.5</v>
      </c>
    </row>
    <row r="4978">
      <c r="K4978" s="4" t="str">
        <f>IFERROR(__xludf.DUMMYFUNCTION("""COMPUTED_VALUE"""),"SUSHI MANIA")</f>
        <v>SUSHI MANIA</v>
      </c>
      <c r="L4978" s="32">
        <f>IFERROR(__xludf.DUMMYFUNCTION("""COMPUTED_VALUE"""),2.0)</f>
        <v>2</v>
      </c>
      <c r="M4978" s="4" t="str">
        <f>IFERROR(__xludf.DUMMYFUNCTION("""COMPUTED_VALUE"""),"Vuca Solution")</f>
        <v>Vuca Solution</v>
      </c>
      <c r="N4978" s="33">
        <f>IFERROR(__xludf.DUMMYFUNCTION("""COMPUTED_VALUE"""),0.5)</f>
        <v>0.5</v>
      </c>
      <c r="O4978" s="4" t="str">
        <f>IFERROR(__xludf.DUMMYFUNCTION("""COMPUTED_VALUE"""),"Vuca Solution")</f>
        <v>Vuca Solution</v>
      </c>
      <c r="P4978" s="33">
        <f>IFERROR(__xludf.DUMMYFUNCTION("""COMPUTED_VALUE"""),0.5)</f>
        <v>0.5</v>
      </c>
      <c r="Q4978" s="4" t="str">
        <f>IFERROR(__xludf.DUMMYFUNCTION("""COMPUTED_VALUE"""),"Vuca Solution")</f>
        <v>Vuca Solution</v>
      </c>
      <c r="R4978" s="33">
        <f>IFERROR(__xludf.DUMMYFUNCTION("""COMPUTED_VALUE"""),0.5)</f>
        <v>0.5</v>
      </c>
      <c r="S4978" s="4" t="str">
        <f>IFERROR(__xludf.DUMMYFUNCTION("""COMPUTED_VALUE"""),"Vuca Solution")</f>
        <v>Vuca Solution</v>
      </c>
      <c r="T4978" s="33">
        <f>IFERROR(__xludf.DUMMYFUNCTION("""COMPUTED_VALUE"""),0.5)</f>
        <v>0.5</v>
      </c>
      <c r="U4978" s="4" t="str">
        <f>IFERROR(__xludf.DUMMYFUNCTION("""COMPUTED_VALUE"""),"Vuca Solution")</f>
        <v>Vuca Solution</v>
      </c>
      <c r="V4978" s="33">
        <f>IFERROR(__xludf.DUMMYFUNCTION("""COMPUTED_VALUE"""),0.5)</f>
        <v>0.5</v>
      </c>
      <c r="W4978" s="4" t="str">
        <f>IFERROR(__xludf.DUMMYFUNCTION("""COMPUTED_VALUE"""),"Vuca Solution")</f>
        <v>Vuca Solution</v>
      </c>
      <c r="X4978" s="33">
        <f>IFERROR(__xludf.DUMMYFUNCTION("""COMPUTED_VALUE"""),0.5)</f>
        <v>0.5</v>
      </c>
    </row>
    <row r="4979">
      <c r="K4979" s="4" t="str">
        <f>IFERROR(__xludf.DUMMYFUNCTION("""COMPUTED_VALUE"""),"SALSICHA LANCHES")</f>
        <v>SALSICHA LANCHES</v>
      </c>
      <c r="L4979" s="32">
        <f>IFERROR(__xludf.DUMMYFUNCTION("""COMPUTED_VALUE"""),2.0)</f>
        <v>2</v>
      </c>
      <c r="M4979" s="4" t="str">
        <f>IFERROR(__xludf.DUMMYFUNCTION("""COMPUTED_VALUE"""),"Vedas Automação Comercial")</f>
        <v>Vedas Automação Comercial</v>
      </c>
      <c r="N4979" s="33">
        <f>IFERROR(__xludf.DUMMYFUNCTION("""COMPUTED_VALUE"""),0.5)</f>
        <v>0.5</v>
      </c>
      <c r="O4979" s="4" t="str">
        <f>IFERROR(__xludf.DUMMYFUNCTION("""COMPUTED_VALUE"""),"Vedas Automação Comercial")</f>
        <v>Vedas Automação Comercial</v>
      </c>
      <c r="P4979" s="33">
        <f>IFERROR(__xludf.DUMMYFUNCTION("""COMPUTED_VALUE"""),0.5)</f>
        <v>0.5</v>
      </c>
      <c r="Q4979" s="4" t="str">
        <f>IFERROR(__xludf.DUMMYFUNCTION("""COMPUTED_VALUE"""),"Vedas Automação Comercial")</f>
        <v>Vedas Automação Comercial</v>
      </c>
      <c r="R4979" s="33">
        <f>IFERROR(__xludf.DUMMYFUNCTION("""COMPUTED_VALUE"""),0.5)</f>
        <v>0.5</v>
      </c>
      <c r="S4979" s="4" t="str">
        <f>IFERROR(__xludf.DUMMYFUNCTION("""COMPUTED_VALUE"""),"Vedas Automação Comercial")</f>
        <v>Vedas Automação Comercial</v>
      </c>
      <c r="T4979" s="33">
        <f>IFERROR(__xludf.DUMMYFUNCTION("""COMPUTED_VALUE"""),0.5)</f>
        <v>0.5</v>
      </c>
      <c r="U4979" s="4" t="str">
        <f>IFERROR(__xludf.DUMMYFUNCTION("""COMPUTED_VALUE"""),"Vedas Automação Comercial")</f>
        <v>Vedas Automação Comercial</v>
      </c>
      <c r="V4979" s="33">
        <f>IFERROR(__xludf.DUMMYFUNCTION("""COMPUTED_VALUE"""),0.5)</f>
        <v>0.5</v>
      </c>
      <c r="W4979" s="4" t="str">
        <f>IFERROR(__xludf.DUMMYFUNCTION("""COMPUTED_VALUE"""),"Vedas Automação Comercial")</f>
        <v>Vedas Automação Comercial</v>
      </c>
      <c r="X4979" s="33">
        <f>IFERROR(__xludf.DUMMYFUNCTION("""COMPUTED_VALUE"""),0.5)</f>
        <v>0.5</v>
      </c>
    </row>
    <row r="4980">
      <c r="K4980" s="4" t="str">
        <f>IFERROR(__xludf.DUMMYFUNCTION("""COMPUTED_VALUE"""),"FOGAO DE LENHA")</f>
        <v>FOGAO DE LENHA</v>
      </c>
      <c r="L4980" s="32">
        <f>IFERROR(__xludf.DUMMYFUNCTION("""COMPUTED_VALUE"""),2.0)</f>
        <v>2</v>
      </c>
      <c r="M4980" s="4" t="str">
        <f>IFERROR(__xludf.DUMMYFUNCTION("""COMPUTED_VALUE"""),"Mp Multipedidos")</f>
        <v>Mp Multipedidos</v>
      </c>
      <c r="N4980" s="33">
        <f>IFERROR(__xludf.DUMMYFUNCTION("""COMPUTED_VALUE"""),0.5)</f>
        <v>0.5</v>
      </c>
      <c r="O4980" s="4" t="str">
        <f>IFERROR(__xludf.DUMMYFUNCTION("""COMPUTED_VALUE"""),"Mp Multipedidos")</f>
        <v>Mp Multipedidos</v>
      </c>
      <c r="P4980" s="33">
        <f>IFERROR(__xludf.DUMMYFUNCTION("""COMPUTED_VALUE"""),0.5)</f>
        <v>0.5</v>
      </c>
      <c r="Q4980" s="4" t="str">
        <f>IFERROR(__xludf.DUMMYFUNCTION("""COMPUTED_VALUE"""),"Mp Multipedidos")</f>
        <v>Mp Multipedidos</v>
      </c>
      <c r="R4980" s="33">
        <f>IFERROR(__xludf.DUMMYFUNCTION("""COMPUTED_VALUE"""),0.5)</f>
        <v>0.5</v>
      </c>
      <c r="S4980" s="4" t="str">
        <f>IFERROR(__xludf.DUMMYFUNCTION("""COMPUTED_VALUE"""),"Mp Multipedidos")</f>
        <v>Mp Multipedidos</v>
      </c>
      <c r="T4980" s="33">
        <f>IFERROR(__xludf.DUMMYFUNCTION("""COMPUTED_VALUE"""),0.5)</f>
        <v>0.5</v>
      </c>
      <c r="U4980" s="4" t="str">
        <f>IFERROR(__xludf.DUMMYFUNCTION("""COMPUTED_VALUE"""),"Mp Multipedidos")</f>
        <v>Mp Multipedidos</v>
      </c>
      <c r="V4980" s="33">
        <f>IFERROR(__xludf.DUMMYFUNCTION("""COMPUTED_VALUE"""),0.5)</f>
        <v>0.5</v>
      </c>
      <c r="W4980" s="4" t="str">
        <f>IFERROR(__xludf.DUMMYFUNCTION("""COMPUTED_VALUE"""),"Mp Multipedidos")</f>
        <v>Mp Multipedidos</v>
      </c>
      <c r="X4980" s="33">
        <f>IFERROR(__xludf.DUMMYFUNCTION("""COMPUTED_VALUE"""),0.5)</f>
        <v>0.5</v>
      </c>
    </row>
    <row r="4981">
      <c r="K4981" s="4" t="str">
        <f>IFERROR(__xludf.DUMMYFUNCTION("""COMPUTED_VALUE"""),"BLUE SUSHI")</f>
        <v>BLUE SUSHI</v>
      </c>
      <c r="L4981" s="32">
        <f>IFERROR(__xludf.DUMMYFUNCTION("""COMPUTED_VALUE"""),2.0)</f>
        <v>2</v>
      </c>
      <c r="M4981" s="4" t="str">
        <f>IFERROR(__xludf.DUMMYFUNCTION("""COMPUTED_VALUE"""),"Fscloud Desenvolvimento De Sistemas")</f>
        <v>Fscloud Desenvolvimento De Sistemas</v>
      </c>
      <c r="N4981" s="33">
        <f>IFERROR(__xludf.DUMMYFUNCTION("""COMPUTED_VALUE"""),0.5)</f>
        <v>0.5</v>
      </c>
      <c r="O4981" s="4" t="str">
        <f>IFERROR(__xludf.DUMMYFUNCTION("""COMPUTED_VALUE"""),"Fscloud Desenvolvimento De Sistemas")</f>
        <v>Fscloud Desenvolvimento De Sistemas</v>
      </c>
      <c r="P4981" s="33">
        <f>IFERROR(__xludf.DUMMYFUNCTION("""COMPUTED_VALUE"""),0.5)</f>
        <v>0.5</v>
      </c>
      <c r="Q4981" s="4" t="str">
        <f>IFERROR(__xludf.DUMMYFUNCTION("""COMPUTED_VALUE"""),"Fscloud Desenvolvimento De Sistemas")</f>
        <v>Fscloud Desenvolvimento De Sistemas</v>
      </c>
      <c r="R4981" s="33">
        <f>IFERROR(__xludf.DUMMYFUNCTION("""COMPUTED_VALUE"""),0.5)</f>
        <v>0.5</v>
      </c>
      <c r="S4981" s="4" t="str">
        <f>IFERROR(__xludf.DUMMYFUNCTION("""COMPUTED_VALUE"""),"Fscloud Desenvolvimento De Sistemas")</f>
        <v>Fscloud Desenvolvimento De Sistemas</v>
      </c>
      <c r="T4981" s="33">
        <f>IFERROR(__xludf.DUMMYFUNCTION("""COMPUTED_VALUE"""),0.5)</f>
        <v>0.5</v>
      </c>
      <c r="U4981" s="4" t="str">
        <f>IFERROR(__xludf.DUMMYFUNCTION("""COMPUTED_VALUE"""),"Fscloud Desenvolvimento De Sistemas")</f>
        <v>Fscloud Desenvolvimento De Sistemas</v>
      </c>
      <c r="V4981" s="33">
        <f>IFERROR(__xludf.DUMMYFUNCTION("""COMPUTED_VALUE"""),0.5)</f>
        <v>0.5</v>
      </c>
      <c r="W4981" s="4" t="str">
        <f>IFERROR(__xludf.DUMMYFUNCTION("""COMPUTED_VALUE"""),"Fscloud Desenvolvimento De Sistemas")</f>
        <v>Fscloud Desenvolvimento De Sistemas</v>
      </c>
      <c r="X4981" s="33">
        <f>IFERROR(__xludf.DUMMYFUNCTION("""COMPUTED_VALUE"""),0.5)</f>
        <v>0.5</v>
      </c>
    </row>
    <row r="4982">
      <c r="K4982" s="4" t="str">
        <f>IFERROR(__xludf.DUMMYFUNCTION("""COMPUTED_VALUE"""),"THE BEST LANCHES")</f>
        <v>THE BEST LANCHES</v>
      </c>
      <c r="L4982" s="32">
        <f>IFERROR(__xludf.DUMMYFUNCTION("""COMPUTED_VALUE"""),2.0)</f>
        <v>2</v>
      </c>
      <c r="M4982" s="4" t="str">
        <f>IFERROR(__xludf.DUMMYFUNCTION("""COMPUTED_VALUE"""),"null")</f>
        <v>null</v>
      </c>
      <c r="N4982" s="33">
        <f>IFERROR(__xludf.DUMMYFUNCTION("""COMPUTED_VALUE"""),0.5)</f>
        <v>0.5</v>
      </c>
      <c r="O4982" s="4" t="str">
        <f>IFERROR(__xludf.DUMMYFUNCTION("""COMPUTED_VALUE"""),"null")</f>
        <v>null</v>
      </c>
      <c r="P4982" s="33">
        <f>IFERROR(__xludf.DUMMYFUNCTION("""COMPUTED_VALUE"""),0.5)</f>
        <v>0.5</v>
      </c>
      <c r="Q4982" s="4" t="str">
        <f>IFERROR(__xludf.DUMMYFUNCTION("""COMPUTED_VALUE"""),"Saipos Serviços De Software")</f>
        <v>Saipos Serviços De Software</v>
      </c>
      <c r="R4982" s="33">
        <f>IFERROR(__xludf.DUMMYFUNCTION("""COMPUTED_VALUE"""),0.5)</f>
        <v>0.5</v>
      </c>
      <c r="S4982" s="4" t="str">
        <f>IFERROR(__xludf.DUMMYFUNCTION("""COMPUTED_VALUE"""),"Saipos Serviços De Software")</f>
        <v>Saipos Serviços De Software</v>
      </c>
      <c r="T4982" s="33">
        <f>IFERROR(__xludf.DUMMYFUNCTION("""COMPUTED_VALUE"""),0.5)</f>
        <v>0.5</v>
      </c>
      <c r="U4982" s="4" t="str">
        <f>IFERROR(__xludf.DUMMYFUNCTION("""COMPUTED_VALUE"""),"Saipos Serviços De Software")</f>
        <v>Saipos Serviços De Software</v>
      </c>
      <c r="V4982" s="33">
        <f>IFERROR(__xludf.DUMMYFUNCTION("""COMPUTED_VALUE"""),0.5)</f>
        <v>0.5</v>
      </c>
      <c r="W4982" s="4" t="str">
        <f>IFERROR(__xludf.DUMMYFUNCTION("""COMPUTED_VALUE"""),"Saipos Serviços De Software")</f>
        <v>Saipos Serviços De Software</v>
      </c>
      <c r="X4982" s="33">
        <f>IFERROR(__xludf.DUMMYFUNCTION("""COMPUTED_VALUE"""),0.5)</f>
        <v>0.5</v>
      </c>
    </row>
    <row r="4983">
      <c r="K4983" s="4" t="str">
        <f>IFERROR(__xludf.DUMMYFUNCTION("""COMPUTED_VALUE"""),"ESQUINAO SERV FESTA")</f>
        <v>ESQUINAO SERV FESTA</v>
      </c>
      <c r="L4983" s="32">
        <f>IFERROR(__xludf.DUMMYFUNCTION("""COMPUTED_VALUE"""),2.0)</f>
        <v>2</v>
      </c>
      <c r="M4983" s="4" t="str">
        <f>IFERROR(__xludf.DUMMYFUNCTION("""COMPUTED_VALUE"""),"Hubster")</f>
        <v>Hubster</v>
      </c>
      <c r="N4983" s="33">
        <f>IFERROR(__xludf.DUMMYFUNCTION("""COMPUTED_VALUE"""),0.5)</f>
        <v>0.5</v>
      </c>
      <c r="O4983" s="4" t="str">
        <f>IFERROR(__xludf.DUMMYFUNCTION("""COMPUTED_VALUE"""),"Hubster")</f>
        <v>Hubster</v>
      </c>
      <c r="P4983" s="33">
        <f>IFERROR(__xludf.DUMMYFUNCTION("""COMPUTED_VALUE"""),0.5)</f>
        <v>0.5</v>
      </c>
      <c r="Q4983" s="4" t="str">
        <f>IFERROR(__xludf.DUMMYFUNCTION("""COMPUTED_VALUE"""),"Hubster")</f>
        <v>Hubster</v>
      </c>
      <c r="R4983" s="33">
        <f>IFERROR(__xludf.DUMMYFUNCTION("""COMPUTED_VALUE"""),0.5)</f>
        <v>0.5</v>
      </c>
      <c r="S4983" s="4" t="str">
        <f>IFERROR(__xludf.DUMMYFUNCTION("""COMPUTED_VALUE"""),"Hubster")</f>
        <v>Hubster</v>
      </c>
      <c r="T4983" s="33">
        <f>IFERROR(__xludf.DUMMYFUNCTION("""COMPUTED_VALUE"""),0.5)</f>
        <v>0.5</v>
      </c>
      <c r="U4983" s="4" t="str">
        <f>IFERROR(__xludf.DUMMYFUNCTION("""COMPUTED_VALUE"""),"Hubster")</f>
        <v>Hubster</v>
      </c>
      <c r="V4983" s="33">
        <f>IFERROR(__xludf.DUMMYFUNCTION("""COMPUTED_VALUE"""),0.5)</f>
        <v>0.5</v>
      </c>
      <c r="W4983" s="4" t="str">
        <f>IFERROR(__xludf.DUMMYFUNCTION("""COMPUTED_VALUE"""),"Hubster")</f>
        <v>Hubster</v>
      </c>
      <c r="X4983" s="33">
        <f>IFERROR(__xludf.DUMMYFUNCTION("""COMPUTED_VALUE"""),0.5)</f>
        <v>0.5</v>
      </c>
    </row>
    <row r="4984">
      <c r="K4984" s="4" t="str">
        <f>IFERROR(__xludf.DUMMYFUNCTION("""COMPUTED_VALUE"""),"PIZZARIA DO PORTO")</f>
        <v>PIZZARIA DO PORTO</v>
      </c>
      <c r="L4984" s="32">
        <f>IFERROR(__xludf.DUMMYFUNCTION("""COMPUTED_VALUE"""),2.0)</f>
        <v>2</v>
      </c>
      <c r="M4984" s="4" t="str">
        <f>IFERROR(__xludf.DUMMYFUNCTION("""COMPUTED_VALUE"""),"Anota Ai Solucoes Digitais S/a")</f>
        <v>Anota Ai Solucoes Digitais S/a</v>
      </c>
      <c r="N4984" s="33">
        <f>IFERROR(__xludf.DUMMYFUNCTION("""COMPUTED_VALUE"""),0.5)</f>
        <v>0.5</v>
      </c>
      <c r="O4984" s="4" t="str">
        <f>IFERROR(__xludf.DUMMYFUNCTION("""COMPUTED_VALUE"""),"null")</f>
        <v>null</v>
      </c>
      <c r="P4984" s="33">
        <f>IFERROR(__xludf.DUMMYFUNCTION("""COMPUTED_VALUE"""),1.0)</f>
        <v>1</v>
      </c>
      <c r="Q4984" s="4" t="str">
        <f>IFERROR(__xludf.DUMMYFUNCTION("""COMPUTED_VALUE"""),"null")</f>
        <v>null</v>
      </c>
      <c r="R4984" s="33">
        <f>IFERROR(__xludf.DUMMYFUNCTION("""COMPUTED_VALUE"""),1.0)</f>
        <v>1</v>
      </c>
      <c r="S4984" s="4" t="str">
        <f>IFERROR(__xludf.DUMMYFUNCTION("""COMPUTED_VALUE"""),"null")</f>
        <v>null</v>
      </c>
      <c r="T4984" s="33">
        <f>IFERROR(__xludf.DUMMYFUNCTION("""COMPUTED_VALUE"""),1.0)</f>
        <v>1</v>
      </c>
      <c r="U4984" s="4" t="str">
        <f>IFERROR(__xludf.DUMMYFUNCTION("""COMPUTED_VALUE"""),"null")</f>
        <v>null</v>
      </c>
      <c r="V4984" s="33">
        <f>IFERROR(__xludf.DUMMYFUNCTION("""COMPUTED_VALUE"""),1.0)</f>
        <v>1</v>
      </c>
      <c r="W4984" s="4" t="str">
        <f>IFERROR(__xludf.DUMMYFUNCTION("""COMPUTED_VALUE"""),"null")</f>
        <v>null</v>
      </c>
      <c r="X4984" s="33">
        <f>IFERROR(__xludf.DUMMYFUNCTION("""COMPUTED_VALUE"""),1.0)</f>
        <v>1</v>
      </c>
    </row>
    <row r="4985">
      <c r="K4985" s="4" t="str">
        <f>IFERROR(__xludf.DUMMYFUNCTION("""COMPUTED_VALUE"""),"MORINGA RESTAURANTE")</f>
        <v>MORINGA RESTAURANTE</v>
      </c>
      <c r="L4985" s="32">
        <f>IFERROR(__xludf.DUMMYFUNCTION("""COMPUTED_VALUE"""),2.0)</f>
        <v>2</v>
      </c>
      <c r="M4985" s="4" t="str">
        <f>IFERROR(__xludf.DUMMYFUNCTION("""COMPUTED_VALUE"""),"Alpha Logo")</f>
        <v>Alpha Logo</v>
      </c>
      <c r="N4985" s="33">
        <f>IFERROR(__xludf.DUMMYFUNCTION("""COMPUTED_VALUE"""),0.5)</f>
        <v>0.5</v>
      </c>
      <c r="O4985" s="4" t="str">
        <f>IFERROR(__xludf.DUMMYFUNCTION("""COMPUTED_VALUE"""),"Alpha Logo")</f>
        <v>Alpha Logo</v>
      </c>
      <c r="P4985" s="33">
        <f>IFERROR(__xludf.DUMMYFUNCTION("""COMPUTED_VALUE"""),0.5)</f>
        <v>0.5</v>
      </c>
      <c r="Q4985" s="4" t="str">
        <f>IFERROR(__xludf.DUMMYFUNCTION("""COMPUTED_VALUE"""),"null")</f>
        <v>null</v>
      </c>
      <c r="R4985" s="33">
        <f>IFERROR(__xludf.DUMMYFUNCTION("""COMPUTED_VALUE"""),0.5)</f>
        <v>0.5</v>
      </c>
      <c r="S4985" s="4" t="str">
        <f>IFERROR(__xludf.DUMMYFUNCTION("""COMPUTED_VALUE"""),"null")</f>
        <v>null</v>
      </c>
      <c r="T4985" s="33">
        <f>IFERROR(__xludf.DUMMYFUNCTION("""COMPUTED_VALUE"""),0.5)</f>
        <v>0.5</v>
      </c>
      <c r="U4985" s="4" t="str">
        <f>IFERROR(__xludf.DUMMYFUNCTION("""COMPUTED_VALUE"""),"null")</f>
        <v>null</v>
      </c>
      <c r="V4985" s="33">
        <f>IFERROR(__xludf.DUMMYFUNCTION("""COMPUTED_VALUE"""),0.5)</f>
        <v>0.5</v>
      </c>
      <c r="W4985" s="4" t="str">
        <f>IFERROR(__xludf.DUMMYFUNCTION("""COMPUTED_VALUE"""),"null")</f>
        <v>null</v>
      </c>
      <c r="X4985" s="33">
        <f>IFERROR(__xludf.DUMMYFUNCTION("""COMPUTED_VALUE"""),0.5)</f>
        <v>0.5</v>
      </c>
    </row>
    <row r="4986">
      <c r="K4986" s="4" t="str">
        <f>IFERROR(__xludf.DUMMYFUNCTION("""COMPUTED_VALUE"""),"HAMBURGUERIA OFICINA ARTESANAL")</f>
        <v>HAMBURGUERIA OFICINA ARTESANAL</v>
      </c>
      <c r="L4986" s="32">
        <f>IFERROR(__xludf.DUMMYFUNCTION("""COMPUTED_VALUE"""),2.0)</f>
        <v>2</v>
      </c>
      <c r="M4986" s="4" t="str">
        <f>IFERROR(__xludf.DUMMYFUNCTION("""COMPUTED_VALUE"""),"Saipos Serviços De Software")</f>
        <v>Saipos Serviços De Software</v>
      </c>
      <c r="N4986" s="33">
        <f>IFERROR(__xludf.DUMMYFUNCTION("""COMPUTED_VALUE"""),0.6666666666666666)</f>
        <v>0.6666666667</v>
      </c>
      <c r="O4986" s="4" t="str">
        <f>IFERROR(__xludf.DUMMYFUNCTION("""COMPUTED_VALUE"""),"Saipos Serviços De Software")</f>
        <v>Saipos Serviços De Software</v>
      </c>
      <c r="P4986" s="33">
        <f>IFERROR(__xludf.DUMMYFUNCTION("""COMPUTED_VALUE"""),0.6666666666666666)</f>
        <v>0.6666666667</v>
      </c>
      <c r="Q4986" s="4" t="str">
        <f>IFERROR(__xludf.DUMMYFUNCTION("""COMPUTED_VALUE"""),"Saipos Serviços De Software")</f>
        <v>Saipos Serviços De Software</v>
      </c>
      <c r="R4986" s="33">
        <f>IFERROR(__xludf.DUMMYFUNCTION("""COMPUTED_VALUE"""),0.6666666666666666)</f>
        <v>0.6666666667</v>
      </c>
      <c r="S4986" s="4" t="str">
        <f>IFERROR(__xludf.DUMMYFUNCTION("""COMPUTED_VALUE"""),"Saipos Serviços De Software")</f>
        <v>Saipos Serviços De Software</v>
      </c>
      <c r="T4986" s="33">
        <f>IFERROR(__xludf.DUMMYFUNCTION("""COMPUTED_VALUE"""),0.6666666666666666)</f>
        <v>0.6666666667</v>
      </c>
      <c r="U4986" s="4" t="str">
        <f>IFERROR(__xludf.DUMMYFUNCTION("""COMPUTED_VALUE"""),"Saipos Serviços De Software")</f>
        <v>Saipos Serviços De Software</v>
      </c>
      <c r="V4986" s="33">
        <f>IFERROR(__xludf.DUMMYFUNCTION("""COMPUTED_VALUE"""),1.0)</f>
        <v>1</v>
      </c>
      <c r="W4986" s="4" t="str">
        <f>IFERROR(__xludf.DUMMYFUNCTION("""COMPUTED_VALUE"""),"Saipos Serviços De Software")</f>
        <v>Saipos Serviços De Software</v>
      </c>
      <c r="X4986" s="33">
        <f>IFERROR(__xludf.DUMMYFUNCTION("""COMPUTED_VALUE"""),1.0)</f>
        <v>1</v>
      </c>
    </row>
    <row r="4987">
      <c r="K4987" s="4" t="str">
        <f>IFERROR(__xludf.DUMMYFUNCTION("""COMPUTED_VALUE"""),"MANU LANCHES")</f>
        <v>MANU LANCHES</v>
      </c>
      <c r="L4987" s="32">
        <f>IFERROR(__xludf.DUMMYFUNCTION("""COMPUTED_VALUE"""),2.0)</f>
        <v>2</v>
      </c>
      <c r="M4987" s="4" t="str">
        <f>IFERROR(__xludf.DUMMYFUNCTION("""COMPUTED_VALUE"""),"Alpha Logo")</f>
        <v>Alpha Logo</v>
      </c>
      <c r="N4987" s="33">
        <f>IFERROR(__xludf.DUMMYFUNCTION("""COMPUTED_VALUE"""),0.5)</f>
        <v>0.5</v>
      </c>
      <c r="O4987" s="4" t="str">
        <f>IFERROR(__xludf.DUMMYFUNCTION("""COMPUTED_VALUE"""),"Alpha Logo")</f>
        <v>Alpha Logo</v>
      </c>
      <c r="P4987" s="33">
        <f>IFERROR(__xludf.DUMMYFUNCTION("""COMPUTED_VALUE"""),0.5)</f>
        <v>0.5</v>
      </c>
      <c r="Q4987" s="4" t="str">
        <f>IFERROR(__xludf.DUMMYFUNCTION("""COMPUTED_VALUE"""),"Alpha Logo")</f>
        <v>Alpha Logo</v>
      </c>
      <c r="R4987" s="33">
        <f>IFERROR(__xludf.DUMMYFUNCTION("""COMPUTED_VALUE"""),0.5)</f>
        <v>0.5</v>
      </c>
      <c r="S4987" s="4" t="str">
        <f>IFERROR(__xludf.DUMMYFUNCTION("""COMPUTED_VALUE"""),"Alpha Logo")</f>
        <v>Alpha Logo</v>
      </c>
      <c r="T4987" s="33">
        <f>IFERROR(__xludf.DUMMYFUNCTION("""COMPUTED_VALUE"""),0.5)</f>
        <v>0.5</v>
      </c>
      <c r="U4987" s="4" t="str">
        <f>IFERROR(__xludf.DUMMYFUNCTION("""COMPUTED_VALUE"""),"Alpha Logo")</f>
        <v>Alpha Logo</v>
      </c>
      <c r="V4987" s="33">
        <f>IFERROR(__xludf.DUMMYFUNCTION("""COMPUTED_VALUE"""),0.5)</f>
        <v>0.5</v>
      </c>
      <c r="W4987" s="4" t="str">
        <f>IFERROR(__xludf.DUMMYFUNCTION("""COMPUTED_VALUE"""),"Alpha Logo")</f>
        <v>Alpha Logo</v>
      </c>
      <c r="X4987" s="33">
        <f>IFERROR(__xludf.DUMMYFUNCTION("""COMPUTED_VALUE"""),0.5)</f>
        <v>0.5</v>
      </c>
    </row>
    <row r="4988">
      <c r="K4988" s="4" t="str">
        <f>IFERROR(__xludf.DUMMYFUNCTION("""COMPUTED_VALUE"""),"KIMI SUSHIBAR")</f>
        <v>KIMI SUSHIBAR</v>
      </c>
      <c r="L4988" s="32">
        <f>IFERROR(__xludf.DUMMYFUNCTION("""COMPUTED_VALUE"""),2.0)</f>
        <v>2</v>
      </c>
      <c r="M4988" s="4" t="str">
        <f>IFERROR(__xludf.DUMMYFUNCTION("""COMPUTED_VALUE"""),"Connectplug")</f>
        <v>Connectplug</v>
      </c>
      <c r="N4988" s="33">
        <f>IFERROR(__xludf.DUMMYFUNCTION("""COMPUTED_VALUE"""),1.0)</f>
        <v>1</v>
      </c>
      <c r="O4988" s="4" t="str">
        <f>IFERROR(__xludf.DUMMYFUNCTION("""COMPUTED_VALUE"""),"Connectplug")</f>
        <v>Connectplug</v>
      </c>
      <c r="P4988" s="33">
        <f>IFERROR(__xludf.DUMMYFUNCTION("""COMPUTED_VALUE"""),1.0)</f>
        <v>1</v>
      </c>
      <c r="Q4988" s="4" t="str">
        <f>IFERROR(__xludf.DUMMYFUNCTION("""COMPUTED_VALUE"""),"Connectplug")</f>
        <v>Connectplug</v>
      </c>
      <c r="R4988" s="33">
        <f>IFERROR(__xludf.DUMMYFUNCTION("""COMPUTED_VALUE"""),1.0)</f>
        <v>1</v>
      </c>
      <c r="S4988" s="4" t="str">
        <f>IFERROR(__xludf.DUMMYFUNCTION("""COMPUTED_VALUE"""),"Connectplug")</f>
        <v>Connectplug</v>
      </c>
      <c r="T4988" s="33">
        <f>IFERROR(__xludf.DUMMYFUNCTION("""COMPUTED_VALUE"""),1.0)</f>
        <v>1</v>
      </c>
      <c r="U4988" s="4" t="str">
        <f>IFERROR(__xludf.DUMMYFUNCTION("""COMPUTED_VALUE"""),"Connectplug")</f>
        <v>Connectplug</v>
      </c>
      <c r="V4988" s="33">
        <f>IFERROR(__xludf.DUMMYFUNCTION("""COMPUTED_VALUE"""),1.0)</f>
        <v>1</v>
      </c>
      <c r="W4988" s="4" t="str">
        <f>IFERROR(__xludf.DUMMYFUNCTION("""COMPUTED_VALUE"""),"Connectplug")</f>
        <v>Connectplug</v>
      </c>
      <c r="X4988" s="33">
        <f>IFERROR(__xludf.DUMMYFUNCTION("""COMPUTED_VALUE"""),1.0)</f>
        <v>1</v>
      </c>
    </row>
    <row r="4989">
      <c r="K4989" s="4" t="str">
        <f>IFERROR(__xludf.DUMMYFUNCTION("""COMPUTED_VALUE"""),"DONNA COXINHA")</f>
        <v>DONNA COXINHA</v>
      </c>
      <c r="L4989" s="32">
        <f>IFERROR(__xludf.DUMMYFUNCTION("""COMPUTED_VALUE"""),2.0)</f>
        <v>2</v>
      </c>
      <c r="M4989" s="4" t="str">
        <f>IFERROR(__xludf.DUMMYFUNCTION("""COMPUTED_VALUE"""),"Anota Ai Solucoes Digitais S/a")</f>
        <v>Anota Ai Solucoes Digitais S/a</v>
      </c>
      <c r="N4989" s="33">
        <f>IFERROR(__xludf.DUMMYFUNCTION("""COMPUTED_VALUE"""),0.5)</f>
        <v>0.5</v>
      </c>
      <c r="O4989" s="4" t="str">
        <f>IFERROR(__xludf.DUMMYFUNCTION("""COMPUTED_VALUE"""),"Anota Ai Solucoes Digitais S/a")</f>
        <v>Anota Ai Solucoes Digitais S/a</v>
      </c>
      <c r="P4989" s="33">
        <f>IFERROR(__xludf.DUMMYFUNCTION("""COMPUTED_VALUE"""),0.5)</f>
        <v>0.5</v>
      </c>
      <c r="Q4989" s="4" t="str">
        <f>IFERROR(__xludf.DUMMYFUNCTION("""COMPUTED_VALUE"""),"Anota Ai Solucoes Digitais S/a")</f>
        <v>Anota Ai Solucoes Digitais S/a</v>
      </c>
      <c r="R4989" s="33">
        <f>IFERROR(__xludf.DUMMYFUNCTION("""COMPUTED_VALUE"""),0.5)</f>
        <v>0.5</v>
      </c>
      <c r="S4989" s="4" t="str">
        <f>IFERROR(__xludf.DUMMYFUNCTION("""COMPUTED_VALUE"""),"Anota Ai Solucoes Digitais S/a")</f>
        <v>Anota Ai Solucoes Digitais S/a</v>
      </c>
      <c r="T4989" s="33">
        <f>IFERROR(__xludf.DUMMYFUNCTION("""COMPUTED_VALUE"""),0.5)</f>
        <v>0.5</v>
      </c>
      <c r="U4989" s="4" t="str">
        <f>IFERROR(__xludf.DUMMYFUNCTION("""COMPUTED_VALUE"""),"Anota Ai Solucoes Digitais S/a")</f>
        <v>Anota Ai Solucoes Digitais S/a</v>
      </c>
      <c r="V4989" s="33">
        <f>IFERROR(__xludf.DUMMYFUNCTION("""COMPUTED_VALUE"""),0.5)</f>
        <v>0.5</v>
      </c>
      <c r="W4989" s="4" t="str">
        <f>IFERROR(__xludf.DUMMYFUNCTION("""COMPUTED_VALUE"""),"Anota Ai Solucoes Digitais S/a")</f>
        <v>Anota Ai Solucoes Digitais S/a</v>
      </c>
      <c r="X4989" s="33">
        <f>IFERROR(__xludf.DUMMYFUNCTION("""COMPUTED_VALUE"""),0.5)</f>
        <v>0.5</v>
      </c>
    </row>
    <row r="4990">
      <c r="K4990" s="4" t="str">
        <f>IFERROR(__xludf.DUMMYFUNCTION("""COMPUTED_VALUE"""),"GARAGEM DO PASTEL")</f>
        <v>GARAGEM DO PASTEL</v>
      </c>
      <c r="L4990" s="32">
        <f>IFERROR(__xludf.DUMMYFUNCTION("""COMPUTED_VALUE"""),2.0)</f>
        <v>2</v>
      </c>
      <c r="M4990" s="4" t="str">
        <f>IFERROR(__xludf.DUMMYFUNCTION("""COMPUTED_VALUE"""),"Yooga")</f>
        <v>Yooga</v>
      </c>
      <c r="N4990" s="33">
        <f>IFERROR(__xludf.DUMMYFUNCTION("""COMPUTED_VALUE"""),0.5)</f>
        <v>0.5</v>
      </c>
      <c r="O4990" s="4" t="str">
        <f>IFERROR(__xludf.DUMMYFUNCTION("""COMPUTED_VALUE"""),"Yooga")</f>
        <v>Yooga</v>
      </c>
      <c r="P4990" s="33">
        <f>IFERROR(__xludf.DUMMYFUNCTION("""COMPUTED_VALUE"""),0.5)</f>
        <v>0.5</v>
      </c>
      <c r="Q4990" s="4" t="str">
        <f>IFERROR(__xludf.DUMMYFUNCTION("""COMPUTED_VALUE"""),"Yooga")</f>
        <v>Yooga</v>
      </c>
      <c r="R4990" s="33">
        <f>IFERROR(__xludf.DUMMYFUNCTION("""COMPUTED_VALUE"""),0.5)</f>
        <v>0.5</v>
      </c>
      <c r="S4990" s="4" t="str">
        <f>IFERROR(__xludf.DUMMYFUNCTION("""COMPUTED_VALUE"""),"null")</f>
        <v>null</v>
      </c>
      <c r="T4990" s="33">
        <f>IFERROR(__xludf.DUMMYFUNCTION("""COMPUTED_VALUE"""),1.0)</f>
        <v>1</v>
      </c>
      <c r="U4990" s="4" t="str">
        <f>IFERROR(__xludf.DUMMYFUNCTION("""COMPUTED_VALUE"""),"null")</f>
        <v>null</v>
      </c>
      <c r="V4990" s="33">
        <f>IFERROR(__xludf.DUMMYFUNCTION("""COMPUTED_VALUE"""),0.5)</f>
        <v>0.5</v>
      </c>
      <c r="W4990" s="4" t="str">
        <f>IFERROR(__xludf.DUMMYFUNCTION("""COMPUTED_VALUE"""),"null")</f>
        <v>null</v>
      </c>
      <c r="X4990" s="33">
        <f>IFERROR(__xludf.DUMMYFUNCTION("""COMPUTED_VALUE"""),0.5)</f>
        <v>0.5</v>
      </c>
    </row>
    <row r="4991">
      <c r="K4991" s="4" t="str">
        <f>IFERROR(__xludf.DUMMYFUNCTION("""COMPUTED_VALUE"""),"HAMBURGUER DO CHEF")</f>
        <v>HAMBURGUER DO CHEF</v>
      </c>
      <c r="L4991" s="32">
        <f>IFERROR(__xludf.DUMMYFUNCTION("""COMPUTED_VALUE"""),2.0)</f>
        <v>2</v>
      </c>
      <c r="M4991" s="4" t="str">
        <f>IFERROR(__xludf.DUMMYFUNCTION("""COMPUTED_VALUE"""),"Saipos Serviços De Software")</f>
        <v>Saipos Serviços De Software</v>
      </c>
      <c r="N4991" s="33">
        <f>IFERROR(__xludf.DUMMYFUNCTION("""COMPUTED_VALUE"""),0.5)</f>
        <v>0.5</v>
      </c>
      <c r="O4991" s="4" t="str">
        <f>IFERROR(__xludf.DUMMYFUNCTION("""COMPUTED_VALUE"""),"Saipos Serviços De Software")</f>
        <v>Saipos Serviços De Software</v>
      </c>
      <c r="P4991" s="33">
        <f>IFERROR(__xludf.DUMMYFUNCTION("""COMPUTED_VALUE"""),0.5)</f>
        <v>0.5</v>
      </c>
      <c r="Q4991" s="4" t="str">
        <f>IFERROR(__xludf.DUMMYFUNCTION("""COMPUTED_VALUE"""),"Saipos Serviços De Software")</f>
        <v>Saipos Serviços De Software</v>
      </c>
      <c r="R4991" s="33">
        <f>IFERROR(__xludf.DUMMYFUNCTION("""COMPUTED_VALUE"""),0.5)</f>
        <v>0.5</v>
      </c>
      <c r="S4991" s="4" t="str">
        <f>IFERROR(__xludf.DUMMYFUNCTION("""COMPUTED_VALUE"""),"Saipos Serviços De Software")</f>
        <v>Saipos Serviços De Software</v>
      </c>
      <c r="T4991" s="33">
        <f>IFERROR(__xludf.DUMMYFUNCTION("""COMPUTED_VALUE"""),0.5)</f>
        <v>0.5</v>
      </c>
      <c r="U4991" s="4" t="str">
        <f>IFERROR(__xludf.DUMMYFUNCTION("""COMPUTED_VALUE"""),"Saipos Serviços De Software")</f>
        <v>Saipos Serviços De Software</v>
      </c>
      <c r="V4991" s="33">
        <f>IFERROR(__xludf.DUMMYFUNCTION("""COMPUTED_VALUE"""),0.5)</f>
        <v>0.5</v>
      </c>
      <c r="W4991" s="4" t="str">
        <f>IFERROR(__xludf.DUMMYFUNCTION("""COMPUTED_VALUE"""),"null")</f>
        <v>null</v>
      </c>
      <c r="X4991" s="33">
        <f>IFERROR(__xludf.DUMMYFUNCTION("""COMPUTED_VALUE"""),0.5)</f>
        <v>0.5</v>
      </c>
    </row>
    <row r="4992">
      <c r="K4992" s="4" t="str">
        <f>IFERROR(__xludf.DUMMYFUNCTION("""COMPUTED_VALUE"""),"OKINAWA SUSHI DELIVERY")</f>
        <v>OKINAWA SUSHI DELIVERY</v>
      </c>
      <c r="L4992" s="32">
        <f>IFERROR(__xludf.DUMMYFUNCTION("""COMPUTED_VALUE"""),2.0)</f>
        <v>2</v>
      </c>
      <c r="M4992" s="4" t="str">
        <f>IFERROR(__xludf.DUMMYFUNCTION("""COMPUTED_VALUE"""),"Saipos Serviços De Software")</f>
        <v>Saipos Serviços De Software</v>
      </c>
      <c r="N4992" s="33">
        <f>IFERROR(__xludf.DUMMYFUNCTION("""COMPUTED_VALUE"""),0.5)</f>
        <v>0.5</v>
      </c>
      <c r="O4992" s="4" t="str">
        <f>IFERROR(__xludf.DUMMYFUNCTION("""COMPUTED_VALUE"""),"Saipos Serviços De Software")</f>
        <v>Saipos Serviços De Software</v>
      </c>
      <c r="P4992" s="33">
        <f>IFERROR(__xludf.DUMMYFUNCTION("""COMPUTED_VALUE"""),0.5)</f>
        <v>0.5</v>
      </c>
      <c r="Q4992" s="4" t="str">
        <f>IFERROR(__xludf.DUMMYFUNCTION("""COMPUTED_VALUE"""),"Saipos Serviços De Software")</f>
        <v>Saipos Serviços De Software</v>
      </c>
      <c r="R4992" s="33">
        <f>IFERROR(__xludf.DUMMYFUNCTION("""COMPUTED_VALUE"""),0.5)</f>
        <v>0.5</v>
      </c>
      <c r="S4992" s="4" t="str">
        <f>IFERROR(__xludf.DUMMYFUNCTION("""COMPUTED_VALUE"""),"Saipos Serviços De Software")</f>
        <v>Saipos Serviços De Software</v>
      </c>
      <c r="T4992" s="33">
        <f>IFERROR(__xludf.DUMMYFUNCTION("""COMPUTED_VALUE"""),0.5)</f>
        <v>0.5</v>
      </c>
      <c r="U4992" s="4" t="str">
        <f>IFERROR(__xludf.DUMMYFUNCTION("""COMPUTED_VALUE"""),"Saipos Serviços De Software")</f>
        <v>Saipos Serviços De Software</v>
      </c>
      <c r="V4992" s="33">
        <f>IFERROR(__xludf.DUMMYFUNCTION("""COMPUTED_VALUE"""),0.5)</f>
        <v>0.5</v>
      </c>
      <c r="W4992" s="4" t="str">
        <f>IFERROR(__xludf.DUMMYFUNCTION("""COMPUTED_VALUE"""),"Saipos Serviços De Software")</f>
        <v>Saipos Serviços De Software</v>
      </c>
      <c r="X4992" s="33">
        <f>IFERROR(__xludf.DUMMYFUNCTION("""COMPUTED_VALUE"""),0.5)</f>
        <v>0.5</v>
      </c>
    </row>
    <row r="4993">
      <c r="K4993" s="4" t="str">
        <f>IFERROR(__xludf.DUMMYFUNCTION("""COMPUTED_VALUE"""),"LA VERA PIZZARIA")</f>
        <v>LA VERA PIZZARIA</v>
      </c>
      <c r="L4993" s="32">
        <f>IFERROR(__xludf.DUMMYFUNCTION("""COMPUTED_VALUE"""),2.0)</f>
        <v>2</v>
      </c>
      <c r="M4993" s="4" t="str">
        <f>IFERROR(__xludf.DUMMYFUNCTION("""COMPUTED_VALUE"""),"Consumer Soluções Em Tecnologia Ltda")</f>
        <v>Consumer Soluções Em Tecnologia Ltda</v>
      </c>
      <c r="N4993" s="33">
        <f>IFERROR(__xludf.DUMMYFUNCTION("""COMPUTED_VALUE"""),0.5)</f>
        <v>0.5</v>
      </c>
      <c r="O4993" s="4" t="str">
        <f>IFERROR(__xludf.DUMMYFUNCTION("""COMPUTED_VALUE"""),"Consumer Soluções Em Tecnologia Ltda")</f>
        <v>Consumer Soluções Em Tecnologia Ltda</v>
      </c>
      <c r="P4993" s="33">
        <f>IFERROR(__xludf.DUMMYFUNCTION("""COMPUTED_VALUE"""),0.5)</f>
        <v>0.5</v>
      </c>
      <c r="Q4993" s="4" t="str">
        <f>IFERROR(__xludf.DUMMYFUNCTION("""COMPUTED_VALUE"""),"Consumer Soluções Em Tecnologia Ltda")</f>
        <v>Consumer Soluções Em Tecnologia Ltda</v>
      </c>
      <c r="R4993" s="33">
        <f>IFERROR(__xludf.DUMMYFUNCTION("""COMPUTED_VALUE"""),0.5)</f>
        <v>0.5</v>
      </c>
      <c r="S4993" s="4" t="str">
        <f>IFERROR(__xludf.DUMMYFUNCTION("""COMPUTED_VALUE"""),"Consumer Soluções Em Tecnologia Ltda")</f>
        <v>Consumer Soluções Em Tecnologia Ltda</v>
      </c>
      <c r="T4993" s="33">
        <f>IFERROR(__xludf.DUMMYFUNCTION("""COMPUTED_VALUE"""),0.5)</f>
        <v>0.5</v>
      </c>
      <c r="U4993" s="4" t="str">
        <f>IFERROR(__xludf.DUMMYFUNCTION("""COMPUTED_VALUE"""),"Consumer Soluções Em Tecnologia Ltda")</f>
        <v>Consumer Soluções Em Tecnologia Ltda</v>
      </c>
      <c r="V4993" s="33">
        <f>IFERROR(__xludf.DUMMYFUNCTION("""COMPUTED_VALUE"""),0.5)</f>
        <v>0.5</v>
      </c>
      <c r="W4993" s="4" t="str">
        <f>IFERROR(__xludf.DUMMYFUNCTION("""COMPUTED_VALUE"""),"Consumer Soluções Em Tecnologia Ltda")</f>
        <v>Consumer Soluções Em Tecnologia Ltda</v>
      </c>
      <c r="X4993" s="33">
        <f>IFERROR(__xludf.DUMMYFUNCTION("""COMPUTED_VALUE"""),0.5)</f>
        <v>0.5</v>
      </c>
    </row>
    <row r="4994">
      <c r="K4994" s="4" t="str">
        <f>IFERROR(__xludf.DUMMYFUNCTION("""COMPUTED_VALUE"""),"SANTA BRASA GRILL")</f>
        <v>SANTA BRASA GRILL</v>
      </c>
      <c r="L4994" s="32">
        <f>IFERROR(__xludf.DUMMYFUNCTION("""COMPUTED_VALUE"""),2.0)</f>
        <v>2</v>
      </c>
      <c r="M4994" s="4" t="str">
        <f>IFERROR(__xludf.DUMMYFUNCTION("""COMPUTED_VALUE"""),"Swfast Sistemas")</f>
        <v>Swfast Sistemas</v>
      </c>
      <c r="N4994" s="33">
        <f>IFERROR(__xludf.DUMMYFUNCTION("""COMPUTED_VALUE"""),0.5)</f>
        <v>0.5</v>
      </c>
      <c r="O4994" s="4" t="str">
        <f>IFERROR(__xludf.DUMMYFUNCTION("""COMPUTED_VALUE"""),"null")</f>
        <v>null</v>
      </c>
      <c r="P4994" s="33">
        <f>IFERROR(__xludf.DUMMYFUNCTION("""COMPUTED_VALUE"""),0.5)</f>
        <v>0.5</v>
      </c>
      <c r="Q4994" s="4" t="str">
        <f>IFERROR(__xludf.DUMMYFUNCTION("""COMPUTED_VALUE"""),"null")</f>
        <v>null</v>
      </c>
      <c r="R4994" s="33">
        <f>IFERROR(__xludf.DUMMYFUNCTION("""COMPUTED_VALUE"""),0.5)</f>
        <v>0.5</v>
      </c>
      <c r="S4994" s="4" t="str">
        <f>IFERROR(__xludf.DUMMYFUNCTION("""COMPUTED_VALUE"""),"Swfast Sistemas")</f>
        <v>Swfast Sistemas</v>
      </c>
      <c r="T4994" s="33">
        <f>IFERROR(__xludf.DUMMYFUNCTION("""COMPUTED_VALUE"""),0.5)</f>
        <v>0.5</v>
      </c>
      <c r="U4994" s="4" t="str">
        <f>IFERROR(__xludf.DUMMYFUNCTION("""COMPUTED_VALUE"""),"null")</f>
        <v>null</v>
      </c>
      <c r="V4994" s="33">
        <f>IFERROR(__xludf.DUMMYFUNCTION("""COMPUTED_VALUE"""),1.0)</f>
        <v>1</v>
      </c>
      <c r="W4994" s="4" t="str">
        <f>IFERROR(__xludf.DUMMYFUNCTION("""COMPUTED_VALUE"""),"Swfast Sistemas")</f>
        <v>Swfast Sistemas</v>
      </c>
      <c r="X4994" s="33">
        <f>IFERROR(__xludf.DUMMYFUNCTION("""COMPUTED_VALUE"""),0.5)</f>
        <v>0.5</v>
      </c>
    </row>
    <row r="4995">
      <c r="K4995" s="4" t="str">
        <f>IFERROR(__xludf.DUMMYFUNCTION("""COMPUTED_VALUE"""),"BEST BURGUER - HAMBURGUERIA")</f>
        <v>BEST BURGUER - HAMBURGUERIA</v>
      </c>
      <c r="L4995" s="32">
        <f>IFERROR(__xludf.DUMMYFUNCTION("""COMPUTED_VALUE"""),2.0)</f>
        <v>2</v>
      </c>
      <c r="M4995" s="4" t="str">
        <f>IFERROR(__xludf.DUMMYFUNCTION("""COMPUTED_VALUE"""),"Saipos Serviços De Software")</f>
        <v>Saipos Serviços De Software</v>
      </c>
      <c r="N4995" s="33">
        <f>IFERROR(__xludf.DUMMYFUNCTION("""COMPUTED_VALUE"""),0.5)</f>
        <v>0.5</v>
      </c>
      <c r="O4995" s="4" t="str">
        <f>IFERROR(__xludf.DUMMYFUNCTION("""COMPUTED_VALUE"""),"Saipos Serviços De Software")</f>
        <v>Saipos Serviços De Software</v>
      </c>
      <c r="P4995" s="33">
        <f>IFERROR(__xludf.DUMMYFUNCTION("""COMPUTED_VALUE"""),0.5)</f>
        <v>0.5</v>
      </c>
      <c r="Q4995" s="4" t="str">
        <f>IFERROR(__xludf.DUMMYFUNCTION("""COMPUTED_VALUE"""),"Saipos Serviços De Software")</f>
        <v>Saipos Serviços De Software</v>
      </c>
      <c r="R4995" s="33">
        <f>IFERROR(__xludf.DUMMYFUNCTION("""COMPUTED_VALUE"""),0.5)</f>
        <v>0.5</v>
      </c>
      <c r="S4995" s="4" t="str">
        <f>IFERROR(__xludf.DUMMYFUNCTION("""COMPUTED_VALUE"""),"Saipos Serviços De Software")</f>
        <v>Saipos Serviços De Software</v>
      </c>
      <c r="T4995" s="33">
        <f>IFERROR(__xludf.DUMMYFUNCTION("""COMPUTED_VALUE"""),0.5)</f>
        <v>0.5</v>
      </c>
      <c r="U4995" s="4" t="str">
        <f>IFERROR(__xludf.DUMMYFUNCTION("""COMPUTED_VALUE"""),"Saipos Serviços De Software")</f>
        <v>Saipos Serviços De Software</v>
      </c>
      <c r="V4995" s="33">
        <f>IFERROR(__xludf.DUMMYFUNCTION("""COMPUTED_VALUE"""),0.5)</f>
        <v>0.5</v>
      </c>
      <c r="W4995" s="4" t="str">
        <f>IFERROR(__xludf.DUMMYFUNCTION("""COMPUTED_VALUE"""),"Saipos Serviços De Software")</f>
        <v>Saipos Serviços De Software</v>
      </c>
      <c r="X4995" s="33">
        <f>IFERROR(__xludf.DUMMYFUNCTION("""COMPUTED_VALUE"""),0.5)</f>
        <v>0.5</v>
      </c>
    </row>
    <row r="4996">
      <c r="K4996" s="4" t="str">
        <f>IFERROR(__xludf.DUMMYFUNCTION("""COMPUTED_VALUE"""),"RESTAURANTE PURO SABOR")</f>
        <v>RESTAURANTE PURO SABOR</v>
      </c>
      <c r="L4996" s="32">
        <f>IFERROR(__xludf.DUMMYFUNCTION("""COMPUTED_VALUE"""),2.0)</f>
        <v>2</v>
      </c>
      <c r="M4996" s="4" t="str">
        <f>IFERROR(__xludf.DUMMYFUNCTION("""COMPUTED_VALUE"""),"null")</f>
        <v>null</v>
      </c>
      <c r="N4996" s="33">
        <f>IFERROR(__xludf.DUMMYFUNCTION("""COMPUTED_VALUE"""),1.0)</f>
        <v>1</v>
      </c>
      <c r="O4996" s="4" t="str">
        <f>IFERROR(__xludf.DUMMYFUNCTION("""COMPUTED_VALUE"""),"null")</f>
        <v>null</v>
      </c>
      <c r="P4996" s="33">
        <f>IFERROR(__xludf.DUMMYFUNCTION("""COMPUTED_VALUE"""),1.0)</f>
        <v>1</v>
      </c>
      <c r="Q4996" s="4" t="str">
        <f>IFERROR(__xludf.DUMMYFUNCTION("""COMPUTED_VALUE"""),"null")</f>
        <v>null</v>
      </c>
      <c r="R4996" s="33">
        <f>IFERROR(__xludf.DUMMYFUNCTION("""COMPUTED_VALUE"""),1.0)</f>
        <v>1</v>
      </c>
      <c r="S4996" s="4" t="str">
        <f>IFERROR(__xludf.DUMMYFUNCTION("""COMPUTED_VALUE"""),"null")</f>
        <v>null</v>
      </c>
      <c r="T4996" s="33">
        <f>IFERROR(__xludf.DUMMYFUNCTION("""COMPUTED_VALUE"""),1.0)</f>
        <v>1</v>
      </c>
      <c r="U4996" s="4" t="str">
        <f>IFERROR(__xludf.DUMMYFUNCTION("""COMPUTED_VALUE"""),"null")</f>
        <v>null</v>
      </c>
      <c r="V4996" s="33">
        <f>IFERROR(__xludf.DUMMYFUNCTION("""COMPUTED_VALUE"""),1.0)</f>
        <v>1</v>
      </c>
      <c r="W4996" s="4" t="str">
        <f>IFERROR(__xludf.DUMMYFUNCTION("""COMPUTED_VALUE"""),"Suitable Tecnologia E Gestao")</f>
        <v>Suitable Tecnologia E Gestao</v>
      </c>
      <c r="X4996" s="33">
        <f>IFERROR(__xludf.DUMMYFUNCTION("""COMPUTED_VALUE"""),0.5)</f>
        <v>0.5</v>
      </c>
    </row>
    <row r="4997">
      <c r="K4997" s="4" t="str">
        <f>IFERROR(__xludf.DUMMYFUNCTION("""COMPUTED_VALUE"""),"MADRE PIZZAS")</f>
        <v>MADRE PIZZAS</v>
      </c>
      <c r="L4997" s="32">
        <f>IFERROR(__xludf.DUMMYFUNCTION("""COMPUTED_VALUE"""),2.0)</f>
        <v>2</v>
      </c>
      <c r="M4997" s="4" t="str">
        <f>IFERROR(__xludf.DUMMYFUNCTION("""COMPUTED_VALUE"""),"Yooga")</f>
        <v>Yooga</v>
      </c>
      <c r="N4997" s="33">
        <f>IFERROR(__xludf.DUMMYFUNCTION("""COMPUTED_VALUE"""),0.5)</f>
        <v>0.5</v>
      </c>
      <c r="O4997" s="4" t="str">
        <f>IFERROR(__xludf.DUMMYFUNCTION("""COMPUTED_VALUE"""),"Yooga")</f>
        <v>Yooga</v>
      </c>
      <c r="P4997" s="33">
        <f>IFERROR(__xludf.DUMMYFUNCTION("""COMPUTED_VALUE"""),0.5)</f>
        <v>0.5</v>
      </c>
      <c r="Q4997" s="4" t="str">
        <f>IFERROR(__xludf.DUMMYFUNCTION("""COMPUTED_VALUE"""),"Yooga")</f>
        <v>Yooga</v>
      </c>
      <c r="R4997" s="33">
        <f>IFERROR(__xludf.DUMMYFUNCTION("""COMPUTED_VALUE"""),0.5)</f>
        <v>0.5</v>
      </c>
      <c r="S4997" s="4" t="str">
        <f>IFERROR(__xludf.DUMMYFUNCTION("""COMPUTED_VALUE"""),"Yooga")</f>
        <v>Yooga</v>
      </c>
      <c r="T4997" s="33">
        <f>IFERROR(__xludf.DUMMYFUNCTION("""COMPUTED_VALUE"""),0.5)</f>
        <v>0.5</v>
      </c>
      <c r="U4997" s="4" t="str">
        <f>IFERROR(__xludf.DUMMYFUNCTION("""COMPUTED_VALUE"""),"Yooga")</f>
        <v>Yooga</v>
      </c>
      <c r="V4997" s="33">
        <f>IFERROR(__xludf.DUMMYFUNCTION("""COMPUTED_VALUE"""),0.5)</f>
        <v>0.5</v>
      </c>
      <c r="W4997" s="4" t="str">
        <f>IFERROR(__xludf.DUMMYFUNCTION("""COMPUTED_VALUE"""),"Yooga")</f>
        <v>Yooga</v>
      </c>
      <c r="X4997" s="33">
        <f>IFERROR(__xludf.DUMMYFUNCTION("""COMPUTED_VALUE"""),0.5)</f>
        <v>0.5</v>
      </c>
    </row>
    <row r="4998">
      <c r="K4998" s="4" t="str">
        <f>IFERROR(__xludf.DUMMYFUNCTION("""COMPUTED_VALUE"""),"DOG CHEFF")</f>
        <v>DOG CHEFF</v>
      </c>
      <c r="L4998" s="32">
        <f>IFERROR(__xludf.DUMMYFUNCTION("""COMPUTED_VALUE"""),2.0)</f>
        <v>2</v>
      </c>
      <c r="M4998" s="4" t="str">
        <f>IFERROR(__xludf.DUMMYFUNCTION("""COMPUTED_VALUE"""),"Cardápio Web")</f>
        <v>Cardápio Web</v>
      </c>
      <c r="N4998" s="33">
        <f>IFERROR(__xludf.DUMMYFUNCTION("""COMPUTED_VALUE"""),0.5)</f>
        <v>0.5</v>
      </c>
      <c r="O4998" s="4" t="str">
        <f>IFERROR(__xludf.DUMMYFUNCTION("""COMPUTED_VALUE"""),"null")</f>
        <v>null</v>
      </c>
      <c r="P4998" s="33">
        <f>IFERROR(__xludf.DUMMYFUNCTION("""COMPUTED_VALUE"""),0.5)</f>
        <v>0.5</v>
      </c>
      <c r="Q4998" s="4" t="str">
        <f>IFERROR(__xludf.DUMMYFUNCTION("""COMPUTED_VALUE"""),"null")</f>
        <v>null</v>
      </c>
      <c r="R4998" s="33">
        <f>IFERROR(__xludf.DUMMYFUNCTION("""COMPUTED_VALUE"""),0.5)</f>
        <v>0.5</v>
      </c>
      <c r="S4998" s="4" t="str">
        <f>IFERROR(__xludf.DUMMYFUNCTION("""COMPUTED_VALUE"""),"null")</f>
        <v>null</v>
      </c>
      <c r="T4998" s="33">
        <f>IFERROR(__xludf.DUMMYFUNCTION("""COMPUTED_VALUE"""),0.5)</f>
        <v>0.5</v>
      </c>
      <c r="U4998" s="4" t="str">
        <f>IFERROR(__xludf.DUMMYFUNCTION("""COMPUTED_VALUE"""),"null")</f>
        <v>null</v>
      </c>
      <c r="V4998" s="33">
        <f>IFERROR(__xludf.DUMMYFUNCTION("""COMPUTED_VALUE"""),0.5)</f>
        <v>0.5</v>
      </c>
      <c r="W4998" s="4" t="str">
        <f>IFERROR(__xludf.DUMMYFUNCTION("""COMPUTED_VALUE"""),"null")</f>
        <v>null</v>
      </c>
      <c r="X4998" s="33">
        <f>IFERROR(__xludf.DUMMYFUNCTION("""COMPUTED_VALUE"""),0.5)</f>
        <v>0.5</v>
      </c>
    </row>
    <row r="4999">
      <c r="K4999" s="4" t="str">
        <f>IFERROR(__xludf.DUMMYFUNCTION("""COMPUTED_VALUE"""),"PEIXE CIA")</f>
        <v>PEIXE CIA</v>
      </c>
      <c r="L4999" s="32">
        <f>IFERROR(__xludf.DUMMYFUNCTION("""COMPUTED_VALUE"""),2.0)</f>
        <v>2</v>
      </c>
      <c r="M4999" s="4" t="str">
        <f>IFERROR(__xludf.DUMMYFUNCTION("""COMPUTED_VALUE"""),"Wps Sistemas Ltda")</f>
        <v>Wps Sistemas Ltda</v>
      </c>
      <c r="N4999" s="33">
        <f>IFERROR(__xludf.DUMMYFUNCTION("""COMPUTED_VALUE"""),0.5)</f>
        <v>0.5</v>
      </c>
      <c r="O4999" s="4" t="str">
        <f>IFERROR(__xludf.DUMMYFUNCTION("""COMPUTED_VALUE"""),"Wps Sistemas Ltda")</f>
        <v>Wps Sistemas Ltda</v>
      </c>
      <c r="P4999" s="33">
        <f>IFERROR(__xludf.DUMMYFUNCTION("""COMPUTED_VALUE"""),0.5)</f>
        <v>0.5</v>
      </c>
      <c r="Q4999" s="4" t="str">
        <f>IFERROR(__xludf.DUMMYFUNCTION("""COMPUTED_VALUE"""),"Wps Sistemas Ltda")</f>
        <v>Wps Sistemas Ltda</v>
      </c>
      <c r="R4999" s="33">
        <f>IFERROR(__xludf.DUMMYFUNCTION("""COMPUTED_VALUE"""),0.5)</f>
        <v>0.5</v>
      </c>
      <c r="S4999" s="4" t="str">
        <f>IFERROR(__xludf.DUMMYFUNCTION("""COMPUTED_VALUE"""),"Wps Sistemas Ltda")</f>
        <v>Wps Sistemas Ltda</v>
      </c>
      <c r="T4999" s="33">
        <f>IFERROR(__xludf.DUMMYFUNCTION("""COMPUTED_VALUE"""),0.5)</f>
        <v>0.5</v>
      </c>
      <c r="U4999" s="4" t="str">
        <f>IFERROR(__xludf.DUMMYFUNCTION("""COMPUTED_VALUE"""),"Wps Sistemas Ltda")</f>
        <v>Wps Sistemas Ltda</v>
      </c>
      <c r="V4999" s="33">
        <f>IFERROR(__xludf.DUMMYFUNCTION("""COMPUTED_VALUE"""),0.5)</f>
        <v>0.5</v>
      </c>
      <c r="W4999" s="4" t="str">
        <f>IFERROR(__xludf.DUMMYFUNCTION("""COMPUTED_VALUE"""),"Wps Sistemas Ltda")</f>
        <v>Wps Sistemas Ltda</v>
      </c>
      <c r="X4999" s="33">
        <f>IFERROR(__xludf.DUMMYFUNCTION("""COMPUTED_VALUE"""),0.5)</f>
        <v>0.5</v>
      </c>
    </row>
    <row r="5000">
      <c r="K5000" s="4" t="str">
        <f>IFERROR(__xludf.DUMMYFUNCTION("""COMPUTED_VALUE"""),"PIZZARIA IDEAL")</f>
        <v>PIZZARIA IDEAL</v>
      </c>
      <c r="L5000" s="32">
        <f>IFERROR(__xludf.DUMMYFUNCTION("""COMPUTED_VALUE"""),2.0)</f>
        <v>2</v>
      </c>
      <c r="M5000" s="4" t="str">
        <f>IFERROR(__xludf.DUMMYFUNCTION("""COMPUTED_VALUE"""),"Mp Multipedidos")</f>
        <v>Mp Multipedidos</v>
      </c>
      <c r="N5000" s="33">
        <f>IFERROR(__xludf.DUMMYFUNCTION("""COMPUTED_VALUE"""),0.5)</f>
        <v>0.5</v>
      </c>
      <c r="O5000" s="4" t="str">
        <f>IFERROR(__xludf.DUMMYFUNCTION("""COMPUTED_VALUE"""),"Mp Multipedidos")</f>
        <v>Mp Multipedidos</v>
      </c>
      <c r="P5000" s="33">
        <f>IFERROR(__xludf.DUMMYFUNCTION("""COMPUTED_VALUE"""),0.5)</f>
        <v>0.5</v>
      </c>
      <c r="Q5000" s="4" t="str">
        <f>IFERROR(__xludf.DUMMYFUNCTION("""COMPUTED_VALUE"""),"Mp Multipedidos")</f>
        <v>Mp Multipedidos</v>
      </c>
      <c r="R5000" s="33">
        <f>IFERROR(__xludf.DUMMYFUNCTION("""COMPUTED_VALUE"""),0.5)</f>
        <v>0.5</v>
      </c>
      <c r="S5000" s="4" t="str">
        <f>IFERROR(__xludf.DUMMYFUNCTION("""COMPUTED_VALUE"""),"Mp Multipedidos")</f>
        <v>Mp Multipedidos</v>
      </c>
      <c r="T5000" s="33">
        <f>IFERROR(__xludf.DUMMYFUNCTION("""COMPUTED_VALUE"""),0.5)</f>
        <v>0.5</v>
      </c>
      <c r="U5000" s="4" t="str">
        <f>IFERROR(__xludf.DUMMYFUNCTION("""COMPUTED_VALUE"""),"Mp Multipedidos")</f>
        <v>Mp Multipedidos</v>
      </c>
      <c r="V5000" s="33">
        <f>IFERROR(__xludf.DUMMYFUNCTION("""COMPUTED_VALUE"""),0.5)</f>
        <v>0.5</v>
      </c>
      <c r="W5000" s="4" t="str">
        <f>IFERROR(__xludf.DUMMYFUNCTION("""COMPUTED_VALUE"""),"Mp Multipedidos")</f>
        <v>Mp Multipedidos</v>
      </c>
      <c r="X5000" s="33">
        <f>IFERROR(__xludf.DUMMYFUNCTION("""COMPUTED_VALUE"""),0.5)</f>
        <v>0.5</v>
      </c>
    </row>
    <row r="5001">
      <c r="K5001" s="4" t="str">
        <f>IFERROR(__xludf.DUMMYFUNCTION("""COMPUTED_VALUE"""),"BURGUER CIA")</f>
        <v>BURGUER CIA</v>
      </c>
      <c r="L5001" s="32">
        <f>IFERROR(__xludf.DUMMYFUNCTION("""COMPUTED_VALUE"""),2.0)</f>
        <v>2</v>
      </c>
      <c r="M5001" s="4" t="str">
        <f>IFERROR(__xludf.DUMMYFUNCTION("""COMPUTED_VALUE"""),"Diggy")</f>
        <v>Diggy</v>
      </c>
      <c r="N5001" s="33">
        <f>IFERROR(__xludf.DUMMYFUNCTION("""COMPUTED_VALUE"""),0.5)</f>
        <v>0.5</v>
      </c>
      <c r="O5001" s="4" t="str">
        <f>IFERROR(__xludf.DUMMYFUNCTION("""COMPUTED_VALUE"""),"Diggy")</f>
        <v>Diggy</v>
      </c>
      <c r="P5001" s="33">
        <f>IFERROR(__xludf.DUMMYFUNCTION("""COMPUTED_VALUE"""),0.5)</f>
        <v>0.5</v>
      </c>
      <c r="Q5001" s="4" t="str">
        <f>IFERROR(__xludf.DUMMYFUNCTION("""COMPUTED_VALUE"""),"Diggy")</f>
        <v>Diggy</v>
      </c>
      <c r="R5001" s="33">
        <f>IFERROR(__xludf.DUMMYFUNCTION("""COMPUTED_VALUE"""),0.5)</f>
        <v>0.5</v>
      </c>
      <c r="S5001" s="4" t="str">
        <f>IFERROR(__xludf.DUMMYFUNCTION("""COMPUTED_VALUE"""),"Diggy")</f>
        <v>Diggy</v>
      </c>
      <c r="T5001" s="33">
        <f>IFERROR(__xludf.DUMMYFUNCTION("""COMPUTED_VALUE"""),0.5)</f>
        <v>0.5</v>
      </c>
      <c r="U5001" s="4" t="str">
        <f>IFERROR(__xludf.DUMMYFUNCTION("""COMPUTED_VALUE"""),"Diggy")</f>
        <v>Diggy</v>
      </c>
      <c r="V5001" s="33">
        <f>IFERROR(__xludf.DUMMYFUNCTION("""COMPUTED_VALUE"""),0.5)</f>
        <v>0.5</v>
      </c>
      <c r="W5001" s="4" t="str">
        <f>IFERROR(__xludf.DUMMYFUNCTION("""COMPUTED_VALUE"""),"Diggy")</f>
        <v>Diggy</v>
      </c>
      <c r="X5001" s="33">
        <f>IFERROR(__xludf.DUMMYFUNCTION("""COMPUTED_VALUE"""),0.5)</f>
        <v>0.5</v>
      </c>
    </row>
    <row r="5002">
      <c r="K5002" s="4" t="str">
        <f>IFERROR(__xludf.DUMMYFUNCTION("""COMPUTED_VALUE"""),"JOPRAS SANDWICH BURGUER")</f>
        <v>JOPRAS SANDWICH BURGUER</v>
      </c>
      <c r="L5002" s="32">
        <f>IFERROR(__xludf.DUMMYFUNCTION("""COMPUTED_VALUE"""),2.0)</f>
        <v>2</v>
      </c>
      <c r="M5002" s="4" t="str">
        <f>IFERROR(__xludf.DUMMYFUNCTION("""COMPUTED_VALUE"""),"Jaxtech")</f>
        <v>Jaxtech</v>
      </c>
      <c r="N5002" s="33">
        <f>IFERROR(__xludf.DUMMYFUNCTION("""COMPUTED_VALUE"""),0.5)</f>
        <v>0.5</v>
      </c>
      <c r="O5002" s="4" t="str">
        <f>IFERROR(__xludf.DUMMYFUNCTION("""COMPUTED_VALUE"""),"null")</f>
        <v>null</v>
      </c>
      <c r="P5002" s="33">
        <f>IFERROR(__xludf.DUMMYFUNCTION("""COMPUTED_VALUE"""),1.0)</f>
        <v>1</v>
      </c>
      <c r="Q5002" s="4" t="str">
        <f>IFERROR(__xludf.DUMMYFUNCTION("""COMPUTED_VALUE"""),"null")</f>
        <v>null</v>
      </c>
      <c r="R5002" s="33">
        <f>IFERROR(__xludf.DUMMYFUNCTION("""COMPUTED_VALUE"""),0.5)</f>
        <v>0.5</v>
      </c>
      <c r="S5002" s="4" t="str">
        <f>IFERROR(__xludf.DUMMYFUNCTION("""COMPUTED_VALUE"""),"null")</f>
        <v>null</v>
      </c>
      <c r="T5002" s="33">
        <f>IFERROR(__xludf.DUMMYFUNCTION("""COMPUTED_VALUE"""),1.0)</f>
        <v>1</v>
      </c>
      <c r="U5002" s="4" t="str">
        <f>IFERROR(__xludf.DUMMYFUNCTION("""COMPUTED_VALUE"""),"null")</f>
        <v>null</v>
      </c>
      <c r="V5002" s="33">
        <f>IFERROR(__xludf.DUMMYFUNCTION("""COMPUTED_VALUE"""),1.0)</f>
        <v>1</v>
      </c>
      <c r="W5002" s="4" t="str">
        <f>IFERROR(__xludf.DUMMYFUNCTION("""COMPUTED_VALUE"""),"null")</f>
        <v>null</v>
      </c>
      <c r="X5002" s="33">
        <f>IFERROR(__xludf.DUMMYFUNCTION("""COMPUTED_VALUE"""),0.5)</f>
        <v>0.5</v>
      </c>
    </row>
    <row r="5003">
      <c r="K5003" s="4" t="str">
        <f>IFERROR(__xludf.DUMMYFUNCTION("""COMPUTED_VALUE"""),"SAO BARTOLOMEU")</f>
        <v>SAO BARTOLOMEU</v>
      </c>
      <c r="L5003" s="32">
        <f>IFERROR(__xludf.DUMMYFUNCTION("""COMPUTED_VALUE"""),2.0)</f>
        <v>2</v>
      </c>
      <c r="M5003" s="4" t="str">
        <f>IFERROR(__xludf.DUMMYFUNCTION("""COMPUTED_VALUE"""),"Saipos Serviços De Software")</f>
        <v>Saipos Serviços De Software</v>
      </c>
      <c r="N5003" s="33">
        <f>IFERROR(__xludf.DUMMYFUNCTION("""COMPUTED_VALUE"""),1.0)</f>
        <v>1</v>
      </c>
      <c r="O5003" s="4" t="str">
        <f>IFERROR(__xludf.DUMMYFUNCTION("""COMPUTED_VALUE"""),"Saipos Serviços De Software")</f>
        <v>Saipos Serviços De Software</v>
      </c>
      <c r="P5003" s="33">
        <f>IFERROR(__xludf.DUMMYFUNCTION("""COMPUTED_VALUE"""),1.0)</f>
        <v>1</v>
      </c>
      <c r="Q5003" s="4" t="str">
        <f>IFERROR(__xludf.DUMMYFUNCTION("""COMPUTED_VALUE"""),"Saipos Serviços De Software")</f>
        <v>Saipos Serviços De Software</v>
      </c>
      <c r="R5003" s="33">
        <f>IFERROR(__xludf.DUMMYFUNCTION("""COMPUTED_VALUE"""),1.0)</f>
        <v>1</v>
      </c>
      <c r="S5003" s="4" t="str">
        <f>IFERROR(__xludf.DUMMYFUNCTION("""COMPUTED_VALUE"""),"Saipos Serviços De Software")</f>
        <v>Saipos Serviços De Software</v>
      </c>
      <c r="T5003" s="33">
        <f>IFERROR(__xludf.DUMMYFUNCTION("""COMPUTED_VALUE"""),1.0)</f>
        <v>1</v>
      </c>
      <c r="U5003" s="4" t="str">
        <f>IFERROR(__xludf.DUMMYFUNCTION("""COMPUTED_VALUE"""),"Saipos Serviços De Software")</f>
        <v>Saipos Serviços De Software</v>
      </c>
      <c r="V5003" s="33">
        <f>IFERROR(__xludf.DUMMYFUNCTION("""COMPUTED_VALUE"""),1.0)</f>
        <v>1</v>
      </c>
      <c r="W5003" s="4" t="str">
        <f>IFERROR(__xludf.DUMMYFUNCTION("""COMPUTED_VALUE"""),"Saipos Serviços De Software")</f>
        <v>Saipos Serviços De Software</v>
      </c>
      <c r="X5003" s="33">
        <f>IFERROR(__xludf.DUMMYFUNCTION("""COMPUTED_VALUE"""),1.0)</f>
        <v>1</v>
      </c>
    </row>
    <row r="5004">
      <c r="K5004" s="4" t="str">
        <f>IFERROR(__xludf.DUMMYFUNCTION("""COMPUTED_VALUE"""),"ALHADAS BURGUER")</f>
        <v>ALHADAS BURGUER</v>
      </c>
      <c r="L5004" s="32">
        <f>IFERROR(__xludf.DUMMYFUNCTION("""COMPUTED_VALUE"""),2.0)</f>
        <v>2</v>
      </c>
      <c r="M5004" s="4" t="str">
        <f>IFERROR(__xludf.DUMMYFUNCTION("""COMPUTED_VALUE"""),"Saipos Serviços De Software")</f>
        <v>Saipos Serviços De Software</v>
      </c>
      <c r="N5004" s="33">
        <f>IFERROR(__xludf.DUMMYFUNCTION("""COMPUTED_VALUE"""),1.0)</f>
        <v>1</v>
      </c>
      <c r="O5004" s="4" t="str">
        <f>IFERROR(__xludf.DUMMYFUNCTION("""COMPUTED_VALUE"""),"null")</f>
        <v>null</v>
      </c>
      <c r="P5004" s="33">
        <f>IFERROR(__xludf.DUMMYFUNCTION("""COMPUTED_VALUE"""),0.5)</f>
        <v>0.5</v>
      </c>
      <c r="Q5004" s="4" t="str">
        <f>IFERROR(__xludf.DUMMYFUNCTION("""COMPUTED_VALUE"""),"null")</f>
        <v>null</v>
      </c>
      <c r="R5004" s="33">
        <f>IFERROR(__xludf.DUMMYFUNCTION("""COMPUTED_VALUE"""),0.5)</f>
        <v>0.5</v>
      </c>
      <c r="S5004" s="4" t="str">
        <f>IFERROR(__xludf.DUMMYFUNCTION("""COMPUTED_VALUE"""),"null")</f>
        <v>null</v>
      </c>
      <c r="T5004" s="33">
        <f>IFERROR(__xludf.DUMMYFUNCTION("""COMPUTED_VALUE"""),0.5)</f>
        <v>0.5</v>
      </c>
      <c r="U5004" s="4" t="str">
        <f>IFERROR(__xludf.DUMMYFUNCTION("""COMPUTED_VALUE"""),"null")</f>
        <v>null</v>
      </c>
      <c r="V5004" s="33">
        <f>IFERROR(__xludf.DUMMYFUNCTION("""COMPUTED_VALUE"""),0.5)</f>
        <v>0.5</v>
      </c>
      <c r="W5004" s="4" t="str">
        <f>IFERROR(__xludf.DUMMYFUNCTION("""COMPUTED_VALUE"""),"null")</f>
        <v>null</v>
      </c>
      <c r="X5004" s="33">
        <f>IFERROR(__xludf.DUMMYFUNCTION("""COMPUTED_VALUE"""),0.5)</f>
        <v>0.5</v>
      </c>
    </row>
    <row r="5005">
      <c r="K5005" s="4" t="str">
        <f>IFERROR(__xludf.DUMMYFUNCTION("""COMPUTED_VALUE"""),"SUPER PIZZA QUADRADA")</f>
        <v>SUPER PIZZA QUADRADA</v>
      </c>
      <c r="L5005" s="32">
        <f>IFERROR(__xludf.DUMMYFUNCTION("""COMPUTED_VALUE"""),2.0)</f>
        <v>2</v>
      </c>
      <c r="M5005" s="4" t="str">
        <f>IFERROR(__xludf.DUMMYFUNCTION("""COMPUTED_VALUE"""),"null")</f>
        <v>null</v>
      </c>
      <c r="N5005" s="33">
        <f>IFERROR(__xludf.DUMMYFUNCTION("""COMPUTED_VALUE"""),0.5)</f>
        <v>0.5</v>
      </c>
      <c r="O5005" s="4" t="str">
        <f>IFERROR(__xludf.DUMMYFUNCTION("""COMPUTED_VALUE"""),"Lab Jota Marketing Digital Eirele")</f>
        <v>Lab Jota Marketing Digital Eirele</v>
      </c>
      <c r="P5005" s="33">
        <f>IFERROR(__xludf.DUMMYFUNCTION("""COMPUTED_VALUE"""),0.5)</f>
        <v>0.5</v>
      </c>
      <c r="Q5005" s="4" t="str">
        <f>IFERROR(__xludf.DUMMYFUNCTION("""COMPUTED_VALUE"""),"null")</f>
        <v>null</v>
      </c>
      <c r="R5005" s="33">
        <f>IFERROR(__xludf.DUMMYFUNCTION("""COMPUTED_VALUE"""),0.5)</f>
        <v>0.5</v>
      </c>
      <c r="S5005" s="4" t="str">
        <f>IFERROR(__xludf.DUMMYFUNCTION("""COMPUTED_VALUE"""),"null")</f>
        <v>null</v>
      </c>
      <c r="T5005" s="33">
        <f>IFERROR(__xludf.DUMMYFUNCTION("""COMPUTED_VALUE"""),0.5)</f>
        <v>0.5</v>
      </c>
      <c r="U5005" s="4" t="str">
        <f>IFERROR(__xludf.DUMMYFUNCTION("""COMPUTED_VALUE"""),"null")</f>
        <v>null</v>
      </c>
      <c r="V5005" s="33">
        <f>IFERROR(__xludf.DUMMYFUNCTION("""COMPUTED_VALUE"""),0.5)</f>
        <v>0.5</v>
      </c>
      <c r="W5005" s="4" t="str">
        <f>IFERROR(__xludf.DUMMYFUNCTION("""COMPUTED_VALUE"""),"null")</f>
        <v>null</v>
      </c>
      <c r="X5005" s="33">
        <f>IFERROR(__xludf.DUMMYFUNCTION("""COMPUTED_VALUE"""),0.5)</f>
        <v>0.5</v>
      </c>
    </row>
    <row r="5006">
      <c r="K5006" s="4" t="str">
        <f>IFERROR(__xludf.DUMMYFUNCTION("""COMPUTED_VALUE"""),"KAUE BURGER")</f>
        <v>KAUE BURGER</v>
      </c>
      <c r="L5006" s="32">
        <f>IFERROR(__xludf.DUMMYFUNCTION("""COMPUTED_VALUE"""),2.0)</f>
        <v>2</v>
      </c>
      <c r="M5006" s="4" t="str">
        <f>IFERROR(__xludf.DUMMYFUNCTION("""COMPUTED_VALUE"""),"Anota Ai Solucoes Digitais S/a")</f>
        <v>Anota Ai Solucoes Digitais S/a</v>
      </c>
      <c r="N5006" s="33">
        <f>IFERROR(__xludf.DUMMYFUNCTION("""COMPUTED_VALUE"""),0.6666666666666666)</f>
        <v>0.6666666667</v>
      </c>
      <c r="O5006" s="4" t="str">
        <f>IFERROR(__xludf.DUMMYFUNCTION("""COMPUTED_VALUE"""),"Anota Ai Solucoes Digitais S/a")</f>
        <v>Anota Ai Solucoes Digitais S/a</v>
      </c>
      <c r="P5006" s="33">
        <f>IFERROR(__xludf.DUMMYFUNCTION("""COMPUTED_VALUE"""),0.6666666666666666)</f>
        <v>0.6666666667</v>
      </c>
      <c r="Q5006" s="4" t="str">
        <f>IFERROR(__xludf.DUMMYFUNCTION("""COMPUTED_VALUE"""),"Anota Ai Solucoes Digitais S/a")</f>
        <v>Anota Ai Solucoes Digitais S/a</v>
      </c>
      <c r="R5006" s="33">
        <f>IFERROR(__xludf.DUMMYFUNCTION("""COMPUTED_VALUE"""),0.6666666666666666)</f>
        <v>0.6666666667</v>
      </c>
      <c r="S5006" s="4" t="str">
        <f>IFERROR(__xludf.DUMMYFUNCTION("""COMPUTED_VALUE"""),"Anota Ai Solucoes Digitais S/a")</f>
        <v>Anota Ai Solucoes Digitais S/a</v>
      </c>
      <c r="T5006" s="33">
        <f>IFERROR(__xludf.DUMMYFUNCTION("""COMPUTED_VALUE"""),0.6666666666666666)</f>
        <v>0.6666666667</v>
      </c>
      <c r="U5006" s="4" t="str">
        <f>IFERROR(__xludf.DUMMYFUNCTION("""COMPUTED_VALUE"""),"Anota Ai Solucoes Digitais S/a")</f>
        <v>Anota Ai Solucoes Digitais S/a</v>
      </c>
      <c r="V5006" s="33">
        <f>IFERROR(__xludf.DUMMYFUNCTION("""COMPUTED_VALUE"""),0.6666666666666666)</f>
        <v>0.6666666667</v>
      </c>
      <c r="W5006" s="4" t="str">
        <f>IFERROR(__xludf.DUMMYFUNCTION("""COMPUTED_VALUE"""),"null")</f>
        <v>null</v>
      </c>
      <c r="X5006" s="33">
        <f>IFERROR(__xludf.DUMMYFUNCTION("""COMPUTED_VALUE"""),0.6666666666666666)</f>
        <v>0.6666666667</v>
      </c>
    </row>
    <row r="5007">
      <c r="K5007" s="4" t="str">
        <f>IFERROR(__xludf.DUMMYFUNCTION("""COMPUTED_VALUE"""),"O STROGONOFF")</f>
        <v>O STROGONOFF</v>
      </c>
      <c r="L5007" s="32">
        <f>IFERROR(__xludf.DUMMYFUNCTION("""COMPUTED_VALUE"""),2.0)</f>
        <v>2</v>
      </c>
      <c r="M5007" s="4" t="str">
        <f>IFERROR(__xludf.DUMMYFUNCTION("""COMPUTED_VALUE"""),"null")</f>
        <v>null</v>
      </c>
      <c r="N5007" s="33">
        <f>IFERROR(__xludf.DUMMYFUNCTION("""COMPUTED_VALUE"""),0.5)</f>
        <v>0.5</v>
      </c>
      <c r="O5007" s="4" t="str">
        <f>IFERROR(__xludf.DUMMYFUNCTION("""COMPUTED_VALUE"""),"null")</f>
        <v>null</v>
      </c>
      <c r="P5007" s="33">
        <f>IFERROR(__xludf.DUMMYFUNCTION("""COMPUTED_VALUE"""),0.5)</f>
        <v>0.5</v>
      </c>
      <c r="Q5007" s="4" t="str">
        <f>IFERROR(__xludf.DUMMYFUNCTION("""COMPUTED_VALUE"""),"null")</f>
        <v>null</v>
      </c>
      <c r="R5007" s="33">
        <f>IFERROR(__xludf.DUMMYFUNCTION("""COMPUTED_VALUE"""),1.0)</f>
        <v>1</v>
      </c>
      <c r="S5007" s="4" t="str">
        <f>IFERROR(__xludf.DUMMYFUNCTION("""COMPUTED_VALUE"""),"null")</f>
        <v>null</v>
      </c>
      <c r="T5007" s="33">
        <f>IFERROR(__xludf.DUMMYFUNCTION("""COMPUTED_VALUE"""),0.5)</f>
        <v>0.5</v>
      </c>
      <c r="U5007" s="4" t="str">
        <f>IFERROR(__xludf.DUMMYFUNCTION("""COMPUTED_VALUE"""),"Consumer Soluções Em Tecnologia Ltda")</f>
        <v>Consumer Soluções Em Tecnologia Ltda</v>
      </c>
      <c r="V5007" s="33">
        <f>IFERROR(__xludf.DUMMYFUNCTION("""COMPUTED_VALUE"""),0.5)</f>
        <v>0.5</v>
      </c>
      <c r="W5007" s="4" t="str">
        <f>IFERROR(__xludf.DUMMYFUNCTION("""COMPUTED_VALUE"""),"Consumer Soluções Em Tecnologia Ltda")</f>
        <v>Consumer Soluções Em Tecnologia Ltda</v>
      </c>
      <c r="X5007" s="33">
        <f>IFERROR(__xludf.DUMMYFUNCTION("""COMPUTED_VALUE"""),0.5)</f>
        <v>0.5</v>
      </c>
    </row>
    <row r="5008">
      <c r="K5008" s="4" t="str">
        <f>IFERROR(__xludf.DUMMYFUNCTION("""COMPUTED_VALUE"""),"VAI DE PIZZA")</f>
        <v>VAI DE PIZZA</v>
      </c>
      <c r="L5008" s="32">
        <f>IFERROR(__xludf.DUMMYFUNCTION("""COMPUTED_VALUE"""),2.0)</f>
        <v>2</v>
      </c>
      <c r="M5008" s="4" t="str">
        <f>IFERROR(__xludf.DUMMYFUNCTION("""COMPUTED_VALUE"""),"Suitable Tecnologia E Gestao")</f>
        <v>Suitable Tecnologia E Gestao</v>
      </c>
      <c r="N5008" s="33">
        <f>IFERROR(__xludf.DUMMYFUNCTION("""COMPUTED_VALUE"""),0.5)</f>
        <v>0.5</v>
      </c>
      <c r="O5008" s="4" t="str">
        <f>IFERROR(__xludf.DUMMYFUNCTION("""COMPUTED_VALUE"""),"Suitable Tecnologia E Gestao")</f>
        <v>Suitable Tecnologia E Gestao</v>
      </c>
      <c r="P5008" s="33">
        <f>IFERROR(__xludf.DUMMYFUNCTION("""COMPUTED_VALUE"""),0.5)</f>
        <v>0.5</v>
      </c>
      <c r="Q5008" s="4" t="str">
        <f>IFERROR(__xludf.DUMMYFUNCTION("""COMPUTED_VALUE"""),"Suitable Tecnologia E Gestao")</f>
        <v>Suitable Tecnologia E Gestao</v>
      </c>
      <c r="R5008" s="33">
        <f>IFERROR(__xludf.DUMMYFUNCTION("""COMPUTED_VALUE"""),0.5)</f>
        <v>0.5</v>
      </c>
      <c r="S5008" s="4" t="str">
        <f>IFERROR(__xludf.DUMMYFUNCTION("""COMPUTED_VALUE"""),"Suitable Tecnologia E Gestao")</f>
        <v>Suitable Tecnologia E Gestao</v>
      </c>
      <c r="T5008" s="33">
        <f>IFERROR(__xludf.DUMMYFUNCTION("""COMPUTED_VALUE"""),0.5)</f>
        <v>0.5</v>
      </c>
      <c r="U5008" s="4" t="str">
        <f>IFERROR(__xludf.DUMMYFUNCTION("""COMPUTED_VALUE"""),"Suitable Tecnologia E Gestao")</f>
        <v>Suitable Tecnologia E Gestao</v>
      </c>
      <c r="V5008" s="33">
        <f>IFERROR(__xludf.DUMMYFUNCTION("""COMPUTED_VALUE"""),0.5)</f>
        <v>0.5</v>
      </c>
      <c r="W5008" s="4" t="str">
        <f>IFERROR(__xludf.DUMMYFUNCTION("""COMPUTED_VALUE"""),"Suitable Tecnologia E Gestao")</f>
        <v>Suitable Tecnologia E Gestao</v>
      </c>
      <c r="X5008" s="33">
        <f>IFERROR(__xludf.DUMMYFUNCTION("""COMPUTED_VALUE"""),0.5)</f>
        <v>0.5</v>
      </c>
    </row>
    <row r="5009">
      <c r="K5009" s="4" t="str">
        <f>IFERROR(__xludf.DUMMYFUNCTION("""COMPUTED_VALUE"""),"ARMAZEM PET")</f>
        <v>ARMAZEM PET</v>
      </c>
      <c r="L5009" s="32">
        <f>IFERROR(__xludf.DUMMYFUNCTION("""COMPUTED_VALUE"""),2.0)</f>
        <v>2</v>
      </c>
      <c r="M5009" s="4" t="str">
        <f>IFERROR(__xludf.DUMMYFUNCTION("""COMPUTED_VALUE"""),"N/A (Not found)")</f>
        <v>N/A (Not found)</v>
      </c>
      <c r="N5009" s="33">
        <f>IFERROR(__xludf.DUMMYFUNCTION("""COMPUTED_VALUE"""),1.0)</f>
        <v>1</v>
      </c>
      <c r="O5009" s="4" t="str">
        <f>IFERROR(__xludf.DUMMYFUNCTION("""COMPUTED_VALUE"""),"N/A (Not found)")</f>
        <v>N/A (Not found)</v>
      </c>
      <c r="P5009" s="33">
        <f>IFERROR(__xludf.DUMMYFUNCTION("""COMPUTED_VALUE"""),1.0)</f>
        <v>1</v>
      </c>
      <c r="Q5009" s="4" t="str">
        <f>IFERROR(__xludf.DUMMYFUNCTION("""COMPUTED_VALUE"""),"N/A (Not found)")</f>
        <v>N/A (Not found)</v>
      </c>
      <c r="R5009" s="33">
        <f>IFERROR(__xludf.DUMMYFUNCTION("""COMPUTED_VALUE"""),1.0)</f>
        <v>1</v>
      </c>
      <c r="S5009" s="4" t="str">
        <f>IFERROR(__xludf.DUMMYFUNCTION("""COMPUTED_VALUE"""),"N/A (Not found)")</f>
        <v>N/A (Not found)</v>
      </c>
      <c r="T5009" s="33">
        <f>IFERROR(__xludf.DUMMYFUNCTION("""COMPUTED_VALUE"""),0.5)</f>
        <v>0.5</v>
      </c>
      <c r="U5009" s="4" t="str">
        <f>IFERROR(__xludf.DUMMYFUNCTION("""COMPUTED_VALUE"""),"N/A (Not found)")</f>
        <v>N/A (Not found)</v>
      </c>
      <c r="V5009" s="33">
        <f>IFERROR(__xludf.DUMMYFUNCTION("""COMPUTED_VALUE"""),0.5)</f>
        <v>0.5</v>
      </c>
      <c r="W5009" s="4" t="str">
        <f>IFERROR(__xludf.DUMMYFUNCTION("""COMPUTED_VALUE"""),"N/A (Not found)")</f>
        <v>N/A (Not found)</v>
      </c>
      <c r="X5009" s="33">
        <f>IFERROR(__xludf.DUMMYFUNCTION("""COMPUTED_VALUE"""),1.0)</f>
        <v>1</v>
      </c>
    </row>
    <row r="5010">
      <c r="K5010" s="4" t="str">
        <f>IFERROR(__xludf.DUMMYFUNCTION("""COMPUTED_VALUE"""),"BEST BURGER")</f>
        <v>BEST BURGER</v>
      </c>
      <c r="L5010" s="32">
        <f>IFERROR(__xludf.DUMMYFUNCTION("""COMPUTED_VALUE"""),2.0)</f>
        <v>2</v>
      </c>
      <c r="M5010" s="4" t="str">
        <f>IFERROR(__xludf.DUMMYFUNCTION("""COMPUTED_VALUE"""),"null")</f>
        <v>null</v>
      </c>
      <c r="N5010" s="33">
        <f>IFERROR(__xludf.DUMMYFUNCTION("""COMPUTED_VALUE"""),0.5)</f>
        <v>0.5</v>
      </c>
      <c r="O5010" s="4" t="str">
        <f>IFERROR(__xludf.DUMMYFUNCTION("""COMPUTED_VALUE"""),"null")</f>
        <v>null</v>
      </c>
      <c r="P5010" s="33">
        <f>IFERROR(__xludf.DUMMYFUNCTION("""COMPUTED_VALUE"""),0.5)</f>
        <v>0.5</v>
      </c>
      <c r="Q5010" s="4" t="str">
        <f>IFERROR(__xludf.DUMMYFUNCTION("""COMPUTED_VALUE"""),"Brendi")</f>
        <v>Brendi</v>
      </c>
      <c r="R5010" s="33">
        <f>IFERROR(__xludf.DUMMYFUNCTION("""COMPUTED_VALUE"""),0.5)</f>
        <v>0.5</v>
      </c>
      <c r="S5010" s="4" t="str">
        <f>IFERROR(__xludf.DUMMYFUNCTION("""COMPUTED_VALUE"""),"null")</f>
        <v>null</v>
      </c>
      <c r="T5010" s="33">
        <f>IFERROR(__xludf.DUMMYFUNCTION("""COMPUTED_VALUE"""),0.5)</f>
        <v>0.5</v>
      </c>
      <c r="U5010" s="4" t="str">
        <f>IFERROR(__xludf.DUMMYFUNCTION("""COMPUTED_VALUE"""),"null")</f>
        <v>null</v>
      </c>
      <c r="V5010" s="33">
        <f>IFERROR(__xludf.DUMMYFUNCTION("""COMPUTED_VALUE"""),0.5)</f>
        <v>0.5</v>
      </c>
      <c r="W5010" s="4" t="str">
        <f>IFERROR(__xludf.DUMMYFUNCTION("""COMPUTED_VALUE"""),"Brendi")</f>
        <v>Brendi</v>
      </c>
      <c r="X5010" s="33">
        <f>IFERROR(__xludf.DUMMYFUNCTION("""COMPUTED_VALUE"""),0.5)</f>
        <v>0.5</v>
      </c>
    </row>
    <row r="5011">
      <c r="K5011" s="4" t="str">
        <f>IFERROR(__xludf.DUMMYFUNCTION("""COMPUTED_VALUE"""),"PIZZARIA DERBESTEN")</f>
        <v>PIZZARIA DERBESTEN</v>
      </c>
      <c r="L5011" s="32">
        <f>IFERROR(__xludf.DUMMYFUNCTION("""COMPUTED_VALUE"""),2.0)</f>
        <v>2</v>
      </c>
      <c r="M5011" s="4" t="str">
        <f>IFERROR(__xludf.DUMMYFUNCTION("""COMPUTED_VALUE"""),"Saipos Serviços De Software")</f>
        <v>Saipos Serviços De Software</v>
      </c>
      <c r="N5011" s="33">
        <f>IFERROR(__xludf.DUMMYFUNCTION("""COMPUTED_VALUE"""),1.0)</f>
        <v>1</v>
      </c>
      <c r="O5011" s="4" t="str">
        <f>IFERROR(__xludf.DUMMYFUNCTION("""COMPUTED_VALUE"""),"Saipos Serviços De Software")</f>
        <v>Saipos Serviços De Software</v>
      </c>
      <c r="P5011" s="33">
        <f>IFERROR(__xludf.DUMMYFUNCTION("""COMPUTED_VALUE"""),1.0)</f>
        <v>1</v>
      </c>
      <c r="Q5011" s="4" t="str">
        <f>IFERROR(__xludf.DUMMYFUNCTION("""COMPUTED_VALUE"""),"Saipos Serviços De Software")</f>
        <v>Saipos Serviços De Software</v>
      </c>
      <c r="R5011" s="33">
        <f>IFERROR(__xludf.DUMMYFUNCTION("""COMPUTED_VALUE"""),1.0)</f>
        <v>1</v>
      </c>
      <c r="S5011" s="4" t="str">
        <f>IFERROR(__xludf.DUMMYFUNCTION("""COMPUTED_VALUE"""),"Saipos Serviços De Software")</f>
        <v>Saipos Serviços De Software</v>
      </c>
      <c r="T5011" s="33">
        <f>IFERROR(__xludf.DUMMYFUNCTION("""COMPUTED_VALUE"""),1.0)</f>
        <v>1</v>
      </c>
      <c r="U5011" s="4" t="str">
        <f>IFERROR(__xludf.DUMMYFUNCTION("""COMPUTED_VALUE"""),"Saipos Serviços De Software")</f>
        <v>Saipos Serviços De Software</v>
      </c>
      <c r="V5011" s="33">
        <f>IFERROR(__xludf.DUMMYFUNCTION("""COMPUTED_VALUE"""),1.0)</f>
        <v>1</v>
      </c>
      <c r="W5011" s="4" t="str">
        <f>IFERROR(__xludf.DUMMYFUNCTION("""COMPUTED_VALUE"""),"Saipos Serviços De Software")</f>
        <v>Saipos Serviços De Software</v>
      </c>
      <c r="X5011" s="33">
        <f>IFERROR(__xludf.DUMMYFUNCTION("""COMPUTED_VALUE"""),1.0)</f>
        <v>1</v>
      </c>
    </row>
    <row r="5012">
      <c r="K5012" s="4" t="str">
        <f>IFERROR(__xludf.DUMMYFUNCTION("""COMPUTED_VALUE"""),"DOCES LEMBRANCAS")</f>
        <v>DOCES LEMBRANCAS</v>
      </c>
      <c r="L5012" s="32">
        <f>IFERROR(__xludf.DUMMYFUNCTION("""COMPUTED_VALUE"""),2.0)</f>
        <v>2</v>
      </c>
      <c r="M5012" s="4" t="str">
        <f>IFERROR(__xludf.DUMMYFUNCTION("""COMPUTED_VALUE"""),"Instadelivery")</f>
        <v>Instadelivery</v>
      </c>
      <c r="N5012" s="33">
        <f>IFERROR(__xludf.DUMMYFUNCTION("""COMPUTED_VALUE"""),0.5)</f>
        <v>0.5</v>
      </c>
      <c r="O5012" s="4" t="str">
        <f>IFERROR(__xludf.DUMMYFUNCTION("""COMPUTED_VALUE"""),"null")</f>
        <v>null</v>
      </c>
      <c r="P5012" s="33">
        <f>IFERROR(__xludf.DUMMYFUNCTION("""COMPUTED_VALUE"""),1.0)</f>
        <v>1</v>
      </c>
      <c r="Q5012" s="4" t="str">
        <f>IFERROR(__xludf.DUMMYFUNCTION("""COMPUTED_VALUE"""),"null")</f>
        <v>null</v>
      </c>
      <c r="R5012" s="33">
        <f>IFERROR(__xludf.DUMMYFUNCTION("""COMPUTED_VALUE"""),1.0)</f>
        <v>1</v>
      </c>
      <c r="S5012" s="4" t="str">
        <f>IFERROR(__xludf.DUMMYFUNCTION("""COMPUTED_VALUE"""),"null")</f>
        <v>null</v>
      </c>
      <c r="T5012" s="33">
        <f>IFERROR(__xludf.DUMMYFUNCTION("""COMPUTED_VALUE"""),1.0)</f>
        <v>1</v>
      </c>
      <c r="U5012" s="4" t="str">
        <f>IFERROR(__xludf.DUMMYFUNCTION("""COMPUTED_VALUE"""),"null")</f>
        <v>null</v>
      </c>
      <c r="V5012" s="33">
        <f>IFERROR(__xludf.DUMMYFUNCTION("""COMPUTED_VALUE"""),1.0)</f>
        <v>1</v>
      </c>
      <c r="W5012" s="4" t="str">
        <f>IFERROR(__xludf.DUMMYFUNCTION("""COMPUTED_VALUE"""),"null")</f>
        <v>null</v>
      </c>
      <c r="X5012" s="33">
        <f>IFERROR(__xludf.DUMMYFUNCTION("""COMPUTED_VALUE"""),0.5)</f>
        <v>0.5</v>
      </c>
    </row>
    <row r="5013">
      <c r="K5013" s="4" t="str">
        <f>IFERROR(__xludf.DUMMYFUNCTION("""COMPUTED_VALUE"""),"BUKA CONFEITARIA")</f>
        <v>BUKA CONFEITARIA</v>
      </c>
      <c r="L5013" s="32">
        <f>IFERROR(__xludf.DUMMYFUNCTION("""COMPUTED_VALUE"""),2.0)</f>
        <v>2</v>
      </c>
      <c r="M5013" s="4" t="str">
        <f>IFERROR(__xludf.DUMMYFUNCTION("""COMPUTED_VALUE"""),"Yooga")</f>
        <v>Yooga</v>
      </c>
      <c r="N5013" s="33">
        <f>IFERROR(__xludf.DUMMYFUNCTION("""COMPUTED_VALUE"""),1.0)</f>
        <v>1</v>
      </c>
      <c r="O5013" s="4" t="str">
        <f>IFERROR(__xludf.DUMMYFUNCTION("""COMPUTED_VALUE"""),"Yooga")</f>
        <v>Yooga</v>
      </c>
      <c r="P5013" s="33">
        <f>IFERROR(__xludf.DUMMYFUNCTION("""COMPUTED_VALUE"""),1.0)</f>
        <v>1</v>
      </c>
      <c r="Q5013" s="4" t="str">
        <f>IFERROR(__xludf.DUMMYFUNCTION("""COMPUTED_VALUE"""),"Yooga")</f>
        <v>Yooga</v>
      </c>
      <c r="R5013" s="33">
        <f>IFERROR(__xludf.DUMMYFUNCTION("""COMPUTED_VALUE"""),1.0)</f>
        <v>1</v>
      </c>
      <c r="S5013" s="4" t="str">
        <f>IFERROR(__xludf.DUMMYFUNCTION("""COMPUTED_VALUE"""),"Yooga")</f>
        <v>Yooga</v>
      </c>
      <c r="T5013" s="33">
        <f>IFERROR(__xludf.DUMMYFUNCTION("""COMPUTED_VALUE"""),1.0)</f>
        <v>1</v>
      </c>
      <c r="U5013" s="4" t="str">
        <f>IFERROR(__xludf.DUMMYFUNCTION("""COMPUTED_VALUE"""),"Yooga")</f>
        <v>Yooga</v>
      </c>
      <c r="V5013" s="33">
        <f>IFERROR(__xludf.DUMMYFUNCTION("""COMPUTED_VALUE"""),0.5)</f>
        <v>0.5</v>
      </c>
      <c r="W5013" s="4" t="str">
        <f>IFERROR(__xludf.DUMMYFUNCTION("""COMPUTED_VALUE"""),"Yooga")</f>
        <v>Yooga</v>
      </c>
      <c r="X5013" s="33">
        <f>IFERROR(__xludf.DUMMYFUNCTION("""COMPUTED_VALUE"""),1.0)</f>
        <v>1</v>
      </c>
    </row>
    <row r="5014">
      <c r="K5014" s="4" t="str">
        <f>IFERROR(__xludf.DUMMYFUNCTION("""COMPUTED_VALUE"""),"GOOD ACAI")</f>
        <v>GOOD ACAI</v>
      </c>
      <c r="L5014" s="32">
        <f>IFERROR(__xludf.DUMMYFUNCTION("""COMPUTED_VALUE"""),2.0)</f>
        <v>2</v>
      </c>
      <c r="M5014" s="4" t="str">
        <f>IFERROR(__xludf.DUMMYFUNCTION("""COMPUTED_VALUE"""),"Instadelivery")</f>
        <v>Instadelivery</v>
      </c>
      <c r="N5014" s="33">
        <f>IFERROR(__xludf.DUMMYFUNCTION("""COMPUTED_VALUE"""),0.5)</f>
        <v>0.5</v>
      </c>
      <c r="O5014" s="4" t="str">
        <f>IFERROR(__xludf.DUMMYFUNCTION("""COMPUTED_VALUE"""),"Instadelivery")</f>
        <v>Instadelivery</v>
      </c>
      <c r="P5014" s="33">
        <f>IFERROR(__xludf.DUMMYFUNCTION("""COMPUTED_VALUE"""),0.5)</f>
        <v>0.5</v>
      </c>
      <c r="Q5014" s="4" t="str">
        <f>IFERROR(__xludf.DUMMYFUNCTION("""COMPUTED_VALUE"""),"Instadelivery")</f>
        <v>Instadelivery</v>
      </c>
      <c r="R5014" s="33">
        <f>IFERROR(__xludf.DUMMYFUNCTION("""COMPUTED_VALUE"""),0.5)</f>
        <v>0.5</v>
      </c>
      <c r="S5014" s="4" t="str">
        <f>IFERROR(__xludf.DUMMYFUNCTION("""COMPUTED_VALUE"""),"Instadelivery")</f>
        <v>Instadelivery</v>
      </c>
      <c r="T5014" s="33">
        <f>IFERROR(__xludf.DUMMYFUNCTION("""COMPUTED_VALUE"""),0.5)</f>
        <v>0.5</v>
      </c>
      <c r="U5014" s="4" t="str">
        <f>IFERROR(__xludf.DUMMYFUNCTION("""COMPUTED_VALUE"""),"null")</f>
        <v>null</v>
      </c>
      <c r="V5014" s="33">
        <f>IFERROR(__xludf.DUMMYFUNCTION("""COMPUTED_VALUE"""),1.0)</f>
        <v>1</v>
      </c>
      <c r="W5014" s="4" t="str">
        <f>IFERROR(__xludf.DUMMYFUNCTION("""COMPUTED_VALUE"""),"null")</f>
        <v>null</v>
      </c>
      <c r="X5014" s="33">
        <f>IFERROR(__xludf.DUMMYFUNCTION("""COMPUTED_VALUE"""),1.0)</f>
        <v>1</v>
      </c>
    </row>
    <row r="5015">
      <c r="K5015" s="4" t="str">
        <f>IFERROR(__xludf.DUMMYFUNCTION("""COMPUTED_VALUE"""),"PICANHA NA BRASA")</f>
        <v>PICANHA NA BRASA</v>
      </c>
      <c r="L5015" s="32">
        <f>IFERROR(__xludf.DUMMYFUNCTION("""COMPUTED_VALUE"""),2.0)</f>
        <v>2</v>
      </c>
      <c r="M5015" s="4" t="str">
        <f>IFERROR(__xludf.DUMMYFUNCTION("""COMPUTED_VALUE"""),"Instadelivery")</f>
        <v>Instadelivery</v>
      </c>
      <c r="N5015" s="33">
        <f>IFERROR(__xludf.DUMMYFUNCTION("""COMPUTED_VALUE"""),0.5)</f>
        <v>0.5</v>
      </c>
      <c r="O5015" s="4" t="str">
        <f>IFERROR(__xludf.DUMMYFUNCTION("""COMPUTED_VALUE"""),"Instadelivery")</f>
        <v>Instadelivery</v>
      </c>
      <c r="P5015" s="33">
        <f>IFERROR(__xludf.DUMMYFUNCTION("""COMPUTED_VALUE"""),0.5)</f>
        <v>0.5</v>
      </c>
      <c r="Q5015" s="4" t="str">
        <f>IFERROR(__xludf.DUMMYFUNCTION("""COMPUTED_VALUE"""),"Instadelivery")</f>
        <v>Instadelivery</v>
      </c>
      <c r="R5015" s="33">
        <f>IFERROR(__xludf.DUMMYFUNCTION("""COMPUTED_VALUE"""),0.5)</f>
        <v>0.5</v>
      </c>
      <c r="S5015" s="4" t="str">
        <f>IFERROR(__xludf.DUMMYFUNCTION("""COMPUTED_VALUE"""),"Instadelivery")</f>
        <v>Instadelivery</v>
      </c>
      <c r="T5015" s="33">
        <f>IFERROR(__xludf.DUMMYFUNCTION("""COMPUTED_VALUE"""),0.5)</f>
        <v>0.5</v>
      </c>
      <c r="U5015" s="4" t="str">
        <f>IFERROR(__xludf.DUMMYFUNCTION("""COMPUTED_VALUE"""),"Instadelivery")</f>
        <v>Instadelivery</v>
      </c>
      <c r="V5015" s="33">
        <f>IFERROR(__xludf.DUMMYFUNCTION("""COMPUTED_VALUE"""),0.5)</f>
        <v>0.5</v>
      </c>
      <c r="W5015" s="4" t="str">
        <f>IFERROR(__xludf.DUMMYFUNCTION("""COMPUTED_VALUE"""),"Instadelivery")</f>
        <v>Instadelivery</v>
      </c>
      <c r="X5015" s="33">
        <f>IFERROR(__xludf.DUMMYFUNCTION("""COMPUTED_VALUE"""),0.5)</f>
        <v>0.5</v>
      </c>
    </row>
    <row r="5016">
      <c r="K5016" s="4" t="str">
        <f>IFERROR(__xludf.DUMMYFUNCTION("""COMPUTED_VALUE"""),"AMIRA SHAWARMA")</f>
        <v>AMIRA SHAWARMA</v>
      </c>
      <c r="L5016" s="32">
        <f>IFERROR(__xludf.DUMMYFUNCTION("""COMPUTED_VALUE"""),2.0)</f>
        <v>2</v>
      </c>
      <c r="M5016" s="4" t="str">
        <f>IFERROR(__xludf.DUMMYFUNCTION("""COMPUTED_VALUE"""),"Menew - Linx")</f>
        <v>Menew - Linx</v>
      </c>
      <c r="N5016" s="33">
        <f>IFERROR(__xludf.DUMMYFUNCTION("""COMPUTED_VALUE"""),1.0)</f>
        <v>1</v>
      </c>
      <c r="O5016" s="4" t="str">
        <f>IFERROR(__xludf.DUMMYFUNCTION("""COMPUTED_VALUE"""),"Menew - Linx")</f>
        <v>Menew - Linx</v>
      </c>
      <c r="P5016" s="33">
        <f>IFERROR(__xludf.DUMMYFUNCTION("""COMPUTED_VALUE"""),1.0)</f>
        <v>1</v>
      </c>
      <c r="Q5016" s="4" t="str">
        <f>IFERROR(__xludf.DUMMYFUNCTION("""COMPUTED_VALUE"""),"Menew - Linx")</f>
        <v>Menew - Linx</v>
      </c>
      <c r="R5016" s="33">
        <f>IFERROR(__xludf.DUMMYFUNCTION("""COMPUTED_VALUE"""),0.5)</f>
        <v>0.5</v>
      </c>
      <c r="S5016" s="4" t="str">
        <f>IFERROR(__xludf.DUMMYFUNCTION("""COMPUTED_VALUE"""),"Menew - Linx")</f>
        <v>Menew - Linx</v>
      </c>
      <c r="T5016" s="33">
        <f>IFERROR(__xludf.DUMMYFUNCTION("""COMPUTED_VALUE"""),0.5)</f>
        <v>0.5</v>
      </c>
      <c r="U5016" s="4" t="str">
        <f>IFERROR(__xludf.DUMMYFUNCTION("""COMPUTED_VALUE"""),"Menew - Linx")</f>
        <v>Menew - Linx</v>
      </c>
      <c r="V5016" s="33">
        <f>IFERROR(__xludf.DUMMYFUNCTION("""COMPUTED_VALUE"""),0.5)</f>
        <v>0.5</v>
      </c>
      <c r="W5016" s="4" t="str">
        <f>IFERROR(__xludf.DUMMYFUNCTION("""COMPUTED_VALUE"""),"Menew - Linx")</f>
        <v>Menew - Linx</v>
      </c>
      <c r="X5016" s="33">
        <f>IFERROR(__xludf.DUMMYFUNCTION("""COMPUTED_VALUE"""),0.5)</f>
        <v>0.5</v>
      </c>
    </row>
    <row r="5017">
      <c r="K5017" s="4" t="str">
        <f>IFERROR(__xludf.DUMMYFUNCTION("""COMPUTED_VALUE"""),"DOM FRANGUITO")</f>
        <v>DOM FRANGUITO</v>
      </c>
      <c r="L5017" s="32">
        <f>IFERROR(__xludf.DUMMYFUNCTION("""COMPUTED_VALUE"""),2.0)</f>
        <v>2</v>
      </c>
      <c r="M5017" s="4" t="str">
        <f>IFERROR(__xludf.DUMMYFUNCTION("""COMPUTED_VALUE"""),"Saipos Serviços De Software")</f>
        <v>Saipos Serviços De Software</v>
      </c>
      <c r="N5017" s="33">
        <f>IFERROR(__xludf.DUMMYFUNCTION("""COMPUTED_VALUE"""),0.5)</f>
        <v>0.5</v>
      </c>
      <c r="O5017" s="4" t="str">
        <f>IFERROR(__xludf.DUMMYFUNCTION("""COMPUTED_VALUE"""),"Saipos Serviços De Software")</f>
        <v>Saipos Serviços De Software</v>
      </c>
      <c r="P5017" s="33">
        <f>IFERROR(__xludf.DUMMYFUNCTION("""COMPUTED_VALUE"""),0.5)</f>
        <v>0.5</v>
      </c>
      <c r="Q5017" s="4" t="str">
        <f>IFERROR(__xludf.DUMMYFUNCTION("""COMPUTED_VALUE"""),"Saipos Serviços De Software")</f>
        <v>Saipos Serviços De Software</v>
      </c>
      <c r="R5017" s="33">
        <f>IFERROR(__xludf.DUMMYFUNCTION("""COMPUTED_VALUE"""),0.5)</f>
        <v>0.5</v>
      </c>
      <c r="S5017" s="4" t="str">
        <f>IFERROR(__xludf.DUMMYFUNCTION("""COMPUTED_VALUE"""),"Saipos Serviços De Software")</f>
        <v>Saipos Serviços De Software</v>
      </c>
      <c r="T5017" s="33">
        <f>IFERROR(__xludf.DUMMYFUNCTION("""COMPUTED_VALUE"""),0.5)</f>
        <v>0.5</v>
      </c>
      <c r="U5017" s="4" t="str">
        <f>IFERROR(__xludf.DUMMYFUNCTION("""COMPUTED_VALUE"""),"Saipos Serviços De Software")</f>
        <v>Saipos Serviços De Software</v>
      </c>
      <c r="V5017" s="33">
        <f>IFERROR(__xludf.DUMMYFUNCTION("""COMPUTED_VALUE"""),0.5)</f>
        <v>0.5</v>
      </c>
      <c r="W5017" s="4" t="str">
        <f>IFERROR(__xludf.DUMMYFUNCTION("""COMPUTED_VALUE"""),"Saipos Serviços De Software")</f>
        <v>Saipos Serviços De Software</v>
      </c>
      <c r="X5017" s="33">
        <f>IFERROR(__xludf.DUMMYFUNCTION("""COMPUTED_VALUE"""),0.5)</f>
        <v>0.5</v>
      </c>
    </row>
    <row r="5018">
      <c r="K5018" s="4" t="str">
        <f>IFERROR(__xludf.DUMMYFUNCTION("""COMPUTED_VALUE"""),"FLORICULTURA AMOR EM PETALAS - CESTAS, PRESENTES E FLORES")</f>
        <v>FLORICULTURA AMOR EM PETALAS - CESTAS, PRESENTES E FLORES</v>
      </c>
      <c r="L5018" s="32">
        <f>IFERROR(__xludf.DUMMYFUNCTION("""COMPUTED_VALUE"""),2.0)</f>
        <v>2</v>
      </c>
      <c r="M5018" s="4" t="str">
        <f>IFERROR(__xludf.DUMMYFUNCTION("""COMPUTED_VALUE"""),"Hubster")</f>
        <v>Hubster</v>
      </c>
      <c r="N5018" s="33">
        <f>IFERROR(__xludf.DUMMYFUNCTION("""COMPUTED_VALUE"""),1.0)</f>
        <v>1</v>
      </c>
      <c r="O5018" s="4" t="str">
        <f>IFERROR(__xludf.DUMMYFUNCTION("""COMPUTED_VALUE"""),"Hubster")</f>
        <v>Hubster</v>
      </c>
      <c r="P5018" s="33">
        <f>IFERROR(__xludf.DUMMYFUNCTION("""COMPUTED_VALUE"""),1.0)</f>
        <v>1</v>
      </c>
      <c r="Q5018" s="4" t="str">
        <f>IFERROR(__xludf.DUMMYFUNCTION("""COMPUTED_VALUE"""),"Hubster")</f>
        <v>Hubster</v>
      </c>
      <c r="R5018" s="33">
        <f>IFERROR(__xludf.DUMMYFUNCTION("""COMPUTED_VALUE"""),1.0)</f>
        <v>1</v>
      </c>
      <c r="S5018" s="4" t="str">
        <f>IFERROR(__xludf.DUMMYFUNCTION("""COMPUTED_VALUE"""),"Hubster")</f>
        <v>Hubster</v>
      </c>
      <c r="T5018" s="33">
        <f>IFERROR(__xludf.DUMMYFUNCTION("""COMPUTED_VALUE"""),1.0)</f>
        <v>1</v>
      </c>
      <c r="U5018" s="4" t="str">
        <f>IFERROR(__xludf.DUMMYFUNCTION("""COMPUTED_VALUE"""),"null")</f>
        <v>null</v>
      </c>
      <c r="V5018" s="33">
        <f>IFERROR(__xludf.DUMMYFUNCTION("""COMPUTED_VALUE"""),1.0)</f>
        <v>1</v>
      </c>
      <c r="W5018" s="4" t="str">
        <f>IFERROR(__xludf.DUMMYFUNCTION("""COMPUTED_VALUE"""),"null")</f>
        <v>null</v>
      </c>
      <c r="X5018" s="33">
        <f>IFERROR(__xludf.DUMMYFUNCTION("""COMPUTED_VALUE"""),1.0)</f>
        <v>1</v>
      </c>
    </row>
    <row r="5019">
      <c r="K5019" s="4" t="str">
        <f>IFERROR(__xludf.DUMMYFUNCTION("""COMPUTED_VALUE"""),"ESQUINA GOURMET")</f>
        <v>ESQUINA GOURMET</v>
      </c>
      <c r="L5019" s="32">
        <f>IFERROR(__xludf.DUMMYFUNCTION("""COMPUTED_VALUE"""),2.0)</f>
        <v>2</v>
      </c>
      <c r="M5019" s="4" t="str">
        <f>IFERROR(__xludf.DUMMYFUNCTION("""COMPUTED_VALUE"""),"M-du Tecnologia")</f>
        <v>M-du Tecnologia</v>
      </c>
      <c r="N5019" s="33">
        <f>IFERROR(__xludf.DUMMYFUNCTION("""COMPUTED_VALUE"""),0.5)</f>
        <v>0.5</v>
      </c>
      <c r="O5019" s="4" t="str">
        <f>IFERROR(__xludf.DUMMYFUNCTION("""COMPUTED_VALUE"""),"M-du Tecnologia")</f>
        <v>M-du Tecnologia</v>
      </c>
      <c r="P5019" s="33">
        <f>IFERROR(__xludf.DUMMYFUNCTION("""COMPUTED_VALUE"""),0.5)</f>
        <v>0.5</v>
      </c>
      <c r="Q5019" s="4" t="str">
        <f>IFERROR(__xludf.DUMMYFUNCTION("""COMPUTED_VALUE"""),"M-du Tecnologia")</f>
        <v>M-du Tecnologia</v>
      </c>
      <c r="R5019" s="33">
        <f>IFERROR(__xludf.DUMMYFUNCTION("""COMPUTED_VALUE"""),0.5)</f>
        <v>0.5</v>
      </c>
      <c r="S5019" s="4" t="str">
        <f>IFERROR(__xludf.DUMMYFUNCTION("""COMPUTED_VALUE"""),"M-du Tecnologia")</f>
        <v>M-du Tecnologia</v>
      </c>
      <c r="T5019" s="33">
        <f>IFERROR(__xludf.DUMMYFUNCTION("""COMPUTED_VALUE"""),0.5)</f>
        <v>0.5</v>
      </c>
      <c r="U5019" s="4" t="str">
        <f>IFERROR(__xludf.DUMMYFUNCTION("""COMPUTED_VALUE"""),"M-du Tecnologia")</f>
        <v>M-du Tecnologia</v>
      </c>
      <c r="V5019" s="33">
        <f>IFERROR(__xludf.DUMMYFUNCTION("""COMPUTED_VALUE"""),0.5)</f>
        <v>0.5</v>
      </c>
      <c r="W5019" s="4" t="str">
        <f>IFERROR(__xludf.DUMMYFUNCTION("""COMPUTED_VALUE"""),"null")</f>
        <v>null</v>
      </c>
      <c r="X5019" s="33">
        <f>IFERROR(__xludf.DUMMYFUNCTION("""COMPUTED_VALUE"""),0.5)</f>
        <v>0.5</v>
      </c>
    </row>
    <row r="5020">
      <c r="K5020" s="4" t="str">
        <f>IFERROR(__xludf.DUMMYFUNCTION("""COMPUTED_VALUE"""),"DROGARIA TOTAL POPULAR")</f>
        <v>DROGARIA TOTAL POPULAR</v>
      </c>
      <c r="L5020" s="32">
        <f>IFERROR(__xludf.DUMMYFUNCTION("""COMPUTED_VALUE"""),2.0)</f>
        <v>2</v>
      </c>
      <c r="M5020" s="4" t="str">
        <f>IFERROR(__xludf.DUMMYFUNCTION("""COMPUTED_VALUE"""),"null")</f>
        <v>null</v>
      </c>
      <c r="N5020" s="33">
        <f>IFERROR(__xludf.DUMMYFUNCTION("""COMPUTED_VALUE"""),0.5)</f>
        <v>0.5</v>
      </c>
      <c r="O5020" s="4" t="str">
        <f>IFERROR(__xludf.DUMMYFUNCTION("""COMPUTED_VALUE"""),"null")</f>
        <v>null</v>
      </c>
      <c r="P5020" s="33">
        <f>IFERROR(__xludf.DUMMYFUNCTION("""COMPUTED_VALUE"""),0.5)</f>
        <v>0.5</v>
      </c>
      <c r="Q5020" s="4" t="str">
        <f>IFERROR(__xludf.DUMMYFUNCTION("""COMPUTED_VALUE"""),"null")</f>
        <v>null</v>
      </c>
      <c r="R5020" s="33">
        <f>IFERROR(__xludf.DUMMYFUNCTION("""COMPUTED_VALUE"""),0.5)</f>
        <v>0.5</v>
      </c>
      <c r="S5020" s="4" t="str">
        <f>IFERROR(__xludf.DUMMYFUNCTION("""COMPUTED_VALUE"""),"null")</f>
        <v>null</v>
      </c>
      <c r="T5020" s="33">
        <f>IFERROR(__xludf.DUMMYFUNCTION("""COMPUTED_VALUE"""),0.5)</f>
        <v>0.5</v>
      </c>
      <c r="U5020" s="4" t="str">
        <f>IFERROR(__xludf.DUMMYFUNCTION("""COMPUTED_VALUE"""),"null")</f>
        <v>null</v>
      </c>
      <c r="V5020" s="33">
        <f>IFERROR(__xludf.DUMMYFUNCTION("""COMPUTED_VALUE"""),0.5)</f>
        <v>0.5</v>
      </c>
      <c r="W5020" s="4" t="str">
        <f>IFERROR(__xludf.DUMMYFUNCTION("""COMPUTED_VALUE"""),"N/A (Not found)")</f>
        <v>N/A (Not found)</v>
      </c>
      <c r="X5020" s="33">
        <f>IFERROR(__xludf.DUMMYFUNCTION("""COMPUTED_VALUE"""),1.0)</f>
        <v>1</v>
      </c>
    </row>
    <row r="5021">
      <c r="K5021" s="4" t="str">
        <f>IFERROR(__xludf.DUMMYFUNCTION("""COMPUTED_VALUE"""),"ACAI ALEGRIA")</f>
        <v>ACAI ALEGRIA</v>
      </c>
      <c r="L5021" s="32">
        <f>IFERROR(__xludf.DUMMYFUNCTION("""COMPUTED_VALUE"""),2.0)</f>
        <v>2</v>
      </c>
      <c r="M5021" s="4" t="str">
        <f>IFERROR(__xludf.DUMMYFUNCTION("""COMPUTED_VALUE"""),"null")</f>
        <v>null</v>
      </c>
      <c r="N5021" s="33">
        <f>IFERROR(__xludf.DUMMYFUNCTION("""COMPUTED_VALUE"""),0.5)</f>
        <v>0.5</v>
      </c>
      <c r="O5021" s="4" t="str">
        <f>IFERROR(__xludf.DUMMYFUNCTION("""COMPUTED_VALUE"""),"null")</f>
        <v>null</v>
      </c>
      <c r="P5021" s="33">
        <f>IFERROR(__xludf.DUMMYFUNCTION("""COMPUTED_VALUE"""),0.5)</f>
        <v>0.5</v>
      </c>
      <c r="Q5021" s="4" t="str">
        <f>IFERROR(__xludf.DUMMYFUNCTION("""COMPUTED_VALUE"""),"null")</f>
        <v>null</v>
      </c>
      <c r="R5021" s="33">
        <f>IFERROR(__xludf.DUMMYFUNCTION("""COMPUTED_VALUE"""),0.5)</f>
        <v>0.5</v>
      </c>
      <c r="S5021" s="4" t="str">
        <f>IFERROR(__xludf.DUMMYFUNCTION("""COMPUTED_VALUE"""),"null")</f>
        <v>null</v>
      </c>
      <c r="T5021" s="33">
        <f>IFERROR(__xludf.DUMMYFUNCTION("""COMPUTED_VALUE"""),0.5)</f>
        <v>0.5</v>
      </c>
      <c r="U5021" s="4" t="str">
        <f>IFERROR(__xludf.DUMMYFUNCTION("""COMPUTED_VALUE"""),"Suitable Tecnologia E Gestao")</f>
        <v>Suitable Tecnologia E Gestao</v>
      </c>
      <c r="V5021" s="33">
        <f>IFERROR(__xludf.DUMMYFUNCTION("""COMPUTED_VALUE"""),1.0)</f>
        <v>1</v>
      </c>
      <c r="W5021" s="4" t="str">
        <f>IFERROR(__xludf.DUMMYFUNCTION("""COMPUTED_VALUE"""),"Suitable Tecnologia E Gestao")</f>
        <v>Suitable Tecnologia E Gestao</v>
      </c>
      <c r="X5021" s="33">
        <f>IFERROR(__xludf.DUMMYFUNCTION("""COMPUTED_VALUE"""),1.0)</f>
        <v>1</v>
      </c>
    </row>
    <row r="5022">
      <c r="K5022" s="4" t="str">
        <f>IFERROR(__xludf.DUMMYFUNCTION("""COMPUTED_VALUE"""),"SANTO DELIVERY")</f>
        <v>SANTO DELIVERY</v>
      </c>
      <c r="L5022" s="32">
        <f>IFERROR(__xludf.DUMMYFUNCTION("""COMPUTED_VALUE"""),2.0)</f>
        <v>2</v>
      </c>
      <c r="M5022" s="4" t="str">
        <f>IFERROR(__xludf.DUMMYFUNCTION("""COMPUTED_VALUE"""),"null")</f>
        <v>null</v>
      </c>
      <c r="N5022" s="33">
        <f>IFERROR(__xludf.DUMMYFUNCTION("""COMPUTED_VALUE"""),0.5)</f>
        <v>0.5</v>
      </c>
      <c r="O5022" s="4" t="str">
        <f>IFERROR(__xludf.DUMMYFUNCTION("""COMPUTED_VALUE"""),"null")</f>
        <v>null</v>
      </c>
      <c r="P5022" s="33">
        <f>IFERROR(__xludf.DUMMYFUNCTION("""COMPUTED_VALUE"""),0.5)</f>
        <v>0.5</v>
      </c>
      <c r="Q5022" s="4" t="str">
        <f>IFERROR(__xludf.DUMMYFUNCTION("""COMPUTED_VALUE"""),"Instadelivery")</f>
        <v>Instadelivery</v>
      </c>
      <c r="R5022" s="33">
        <f>IFERROR(__xludf.DUMMYFUNCTION("""COMPUTED_VALUE"""),0.5)</f>
        <v>0.5</v>
      </c>
      <c r="S5022" s="4" t="str">
        <f>IFERROR(__xludf.DUMMYFUNCTION("""COMPUTED_VALUE"""),"Instadelivery")</f>
        <v>Instadelivery</v>
      </c>
      <c r="T5022" s="33">
        <f>IFERROR(__xludf.DUMMYFUNCTION("""COMPUTED_VALUE"""),0.5)</f>
        <v>0.5</v>
      </c>
      <c r="U5022" s="4" t="str">
        <f>IFERROR(__xludf.DUMMYFUNCTION("""COMPUTED_VALUE"""),"null")</f>
        <v>null</v>
      </c>
      <c r="V5022" s="33">
        <f>IFERROR(__xludf.DUMMYFUNCTION("""COMPUTED_VALUE"""),0.5)</f>
        <v>0.5</v>
      </c>
      <c r="W5022" s="4" t="str">
        <f>IFERROR(__xludf.DUMMYFUNCTION("""COMPUTED_VALUE"""),"null")</f>
        <v>null</v>
      </c>
      <c r="X5022" s="33">
        <f>IFERROR(__xludf.DUMMYFUNCTION("""COMPUTED_VALUE"""),0.5)</f>
        <v>0.5</v>
      </c>
    </row>
    <row r="5023">
      <c r="K5023" s="4" t="str">
        <f>IFERROR(__xludf.DUMMYFUNCTION("""COMPUTED_VALUE"""),"STRAMBO PIZZARIA ARTESANAL - PALHOCA")</f>
        <v>STRAMBO PIZZARIA ARTESANAL - PALHOCA</v>
      </c>
      <c r="L5023" s="32">
        <f>IFERROR(__xludf.DUMMYFUNCTION("""COMPUTED_VALUE"""),2.0)</f>
        <v>2</v>
      </c>
      <c r="M5023" s="4" t="str">
        <f>IFERROR(__xludf.DUMMYFUNCTION("""COMPUTED_VALUE"""),"null")</f>
        <v>null</v>
      </c>
      <c r="N5023" s="33">
        <f>IFERROR(__xludf.DUMMYFUNCTION("""COMPUTED_VALUE"""),1.0)</f>
        <v>1</v>
      </c>
      <c r="O5023" s="4" t="str">
        <f>IFERROR(__xludf.DUMMYFUNCTION("""COMPUTED_VALUE"""),"null")</f>
        <v>null</v>
      </c>
      <c r="P5023" s="33">
        <f>IFERROR(__xludf.DUMMYFUNCTION("""COMPUTED_VALUE"""),1.0)</f>
        <v>1</v>
      </c>
      <c r="Q5023" s="4" t="str">
        <f>IFERROR(__xludf.DUMMYFUNCTION("""COMPUTED_VALUE"""),"null")</f>
        <v>null</v>
      </c>
      <c r="R5023" s="33">
        <f>IFERROR(__xludf.DUMMYFUNCTION("""COMPUTED_VALUE"""),1.0)</f>
        <v>1</v>
      </c>
      <c r="S5023" s="4" t="str">
        <f>IFERROR(__xludf.DUMMYFUNCTION("""COMPUTED_VALUE"""),"Cardápio Web")</f>
        <v>Cardápio Web</v>
      </c>
      <c r="T5023" s="33">
        <f>IFERROR(__xludf.DUMMYFUNCTION("""COMPUTED_VALUE"""),1.0)</f>
        <v>1</v>
      </c>
      <c r="U5023" s="4" t="str">
        <f>IFERROR(__xludf.DUMMYFUNCTION("""COMPUTED_VALUE"""),"Cardápio Web")</f>
        <v>Cardápio Web</v>
      </c>
      <c r="V5023" s="33">
        <f>IFERROR(__xludf.DUMMYFUNCTION("""COMPUTED_VALUE"""),1.0)</f>
        <v>1</v>
      </c>
      <c r="W5023" s="4" t="str">
        <f>IFERROR(__xludf.DUMMYFUNCTION("""COMPUTED_VALUE"""),"Cardápio Web")</f>
        <v>Cardápio Web</v>
      </c>
      <c r="X5023" s="33">
        <f>IFERROR(__xludf.DUMMYFUNCTION("""COMPUTED_VALUE"""),0.5)</f>
        <v>0.5</v>
      </c>
    </row>
    <row r="5024">
      <c r="K5024" s="4" t="str">
        <f>IFERROR(__xludf.DUMMYFUNCTION("""COMPUTED_VALUE"""),"PARADISE ACAI")</f>
        <v>PARADISE ACAI</v>
      </c>
      <c r="L5024" s="32">
        <f>IFERROR(__xludf.DUMMYFUNCTION("""COMPUTED_VALUE"""),2.0)</f>
        <v>2</v>
      </c>
      <c r="M5024" s="4" t="str">
        <f>IFERROR(__xludf.DUMMYFUNCTION("""COMPUTED_VALUE"""),"null")</f>
        <v>null</v>
      </c>
      <c r="N5024" s="33">
        <f>IFERROR(__xludf.DUMMYFUNCTION("""COMPUTED_VALUE"""),0.5)</f>
        <v>0.5</v>
      </c>
      <c r="O5024" s="4" t="str">
        <f>IFERROR(__xludf.DUMMYFUNCTION("""COMPUTED_VALUE"""),"null")</f>
        <v>null</v>
      </c>
      <c r="P5024" s="33">
        <f>IFERROR(__xludf.DUMMYFUNCTION("""COMPUTED_VALUE"""),0.5)</f>
        <v>0.5</v>
      </c>
      <c r="Q5024" s="4" t="str">
        <f>IFERROR(__xludf.DUMMYFUNCTION("""COMPUTED_VALUE"""),"Brendi")</f>
        <v>Brendi</v>
      </c>
      <c r="R5024" s="33">
        <f>IFERROR(__xludf.DUMMYFUNCTION("""COMPUTED_VALUE"""),0.5)</f>
        <v>0.5</v>
      </c>
      <c r="S5024" s="4" t="str">
        <f>IFERROR(__xludf.DUMMYFUNCTION("""COMPUTED_VALUE"""),"Brendi")</f>
        <v>Brendi</v>
      </c>
      <c r="T5024" s="33">
        <f>IFERROR(__xludf.DUMMYFUNCTION("""COMPUTED_VALUE"""),0.5)</f>
        <v>0.5</v>
      </c>
      <c r="U5024" s="4" t="str">
        <f>IFERROR(__xludf.DUMMYFUNCTION("""COMPUTED_VALUE"""),"null")</f>
        <v>null</v>
      </c>
      <c r="V5024" s="33">
        <f>IFERROR(__xludf.DUMMYFUNCTION("""COMPUTED_VALUE"""),1.0)</f>
        <v>1</v>
      </c>
      <c r="W5024" s="4" t="str">
        <f>IFERROR(__xludf.DUMMYFUNCTION("""COMPUTED_VALUE"""),"null")</f>
        <v>null</v>
      </c>
      <c r="X5024" s="33">
        <f>IFERROR(__xludf.DUMMYFUNCTION("""COMPUTED_VALUE"""),1.0)</f>
        <v>1</v>
      </c>
    </row>
    <row r="5025">
      <c r="K5025" s="4" t="str">
        <f>IFERROR(__xludf.DUMMYFUNCTION("""COMPUTED_VALUE"""),"DOCE ANGEL - BOLOS E COOKIES")</f>
        <v>DOCE ANGEL - BOLOS E COOKIES</v>
      </c>
      <c r="L5025" s="32">
        <f>IFERROR(__xludf.DUMMYFUNCTION("""COMPUTED_VALUE"""),2.0)</f>
        <v>2</v>
      </c>
      <c r="M5025" s="4" t="str">
        <f>IFERROR(__xludf.DUMMYFUNCTION("""COMPUTED_VALUE"""),"Saipos Serviços De Software")</f>
        <v>Saipos Serviços De Software</v>
      </c>
      <c r="N5025" s="33">
        <f>IFERROR(__xludf.DUMMYFUNCTION("""COMPUTED_VALUE"""),1.0)</f>
        <v>1</v>
      </c>
      <c r="O5025" s="4" t="str">
        <f>IFERROR(__xludf.DUMMYFUNCTION("""COMPUTED_VALUE"""),"Saipos Serviços De Software")</f>
        <v>Saipos Serviços De Software</v>
      </c>
      <c r="P5025" s="33">
        <f>IFERROR(__xludf.DUMMYFUNCTION("""COMPUTED_VALUE"""),1.0)</f>
        <v>1</v>
      </c>
      <c r="Q5025" s="4" t="str">
        <f>IFERROR(__xludf.DUMMYFUNCTION("""COMPUTED_VALUE"""),"Saipos Serviços De Software")</f>
        <v>Saipos Serviços De Software</v>
      </c>
      <c r="R5025" s="33">
        <f>IFERROR(__xludf.DUMMYFUNCTION("""COMPUTED_VALUE"""),1.0)</f>
        <v>1</v>
      </c>
      <c r="S5025" s="4" t="str">
        <f>IFERROR(__xludf.DUMMYFUNCTION("""COMPUTED_VALUE"""),"Saipos Serviços De Software")</f>
        <v>Saipos Serviços De Software</v>
      </c>
      <c r="T5025" s="33">
        <f>IFERROR(__xludf.DUMMYFUNCTION("""COMPUTED_VALUE"""),1.0)</f>
        <v>1</v>
      </c>
      <c r="U5025" s="4" t="str">
        <f>IFERROR(__xludf.DUMMYFUNCTION("""COMPUTED_VALUE"""),"Saipos Serviços De Software")</f>
        <v>Saipos Serviços De Software</v>
      </c>
      <c r="V5025" s="33">
        <f>IFERROR(__xludf.DUMMYFUNCTION("""COMPUTED_VALUE"""),1.0)</f>
        <v>1</v>
      </c>
      <c r="W5025" s="4" t="str">
        <f>IFERROR(__xludf.DUMMYFUNCTION("""COMPUTED_VALUE"""),"Saipos Serviços De Software")</f>
        <v>Saipos Serviços De Software</v>
      </c>
      <c r="X5025" s="33">
        <f>IFERROR(__xludf.DUMMYFUNCTION("""COMPUTED_VALUE"""),1.0)</f>
        <v>1</v>
      </c>
    </row>
    <row r="5026">
      <c r="K5026" s="4" t="str">
        <f>IFERROR(__xludf.DUMMYFUNCTION("""COMPUTED_VALUE"""),"EXPRESSO SABORES")</f>
        <v>EXPRESSO SABORES</v>
      </c>
      <c r="L5026" s="32">
        <f>IFERROR(__xludf.DUMMYFUNCTION("""COMPUTED_VALUE"""),2.0)</f>
        <v>2</v>
      </c>
      <c r="M5026" s="4" t="str">
        <f>IFERROR(__xludf.DUMMYFUNCTION("""COMPUTED_VALUE"""),"Instadelivery")</f>
        <v>Instadelivery</v>
      </c>
      <c r="N5026" s="33">
        <f>IFERROR(__xludf.DUMMYFUNCTION("""COMPUTED_VALUE"""),1.0)</f>
        <v>1</v>
      </c>
      <c r="O5026" s="4" t="str">
        <f>IFERROR(__xludf.DUMMYFUNCTION("""COMPUTED_VALUE"""),"Instadelivery")</f>
        <v>Instadelivery</v>
      </c>
      <c r="P5026" s="33">
        <f>IFERROR(__xludf.DUMMYFUNCTION("""COMPUTED_VALUE"""),1.0)</f>
        <v>1</v>
      </c>
      <c r="Q5026" s="4" t="str">
        <f>IFERROR(__xludf.DUMMYFUNCTION("""COMPUTED_VALUE"""),"Instadelivery")</f>
        <v>Instadelivery</v>
      </c>
      <c r="R5026" s="33">
        <f>IFERROR(__xludf.DUMMYFUNCTION("""COMPUTED_VALUE"""),1.0)</f>
        <v>1</v>
      </c>
      <c r="S5026" s="4" t="str">
        <f>IFERROR(__xludf.DUMMYFUNCTION("""COMPUTED_VALUE"""),"null")</f>
        <v>null</v>
      </c>
      <c r="T5026" s="33">
        <f>IFERROR(__xludf.DUMMYFUNCTION("""COMPUTED_VALUE"""),1.0)</f>
        <v>1</v>
      </c>
      <c r="U5026" s="4" t="str">
        <f>IFERROR(__xludf.DUMMYFUNCTION("""COMPUTED_VALUE"""),"null")</f>
        <v>null</v>
      </c>
      <c r="V5026" s="33">
        <f>IFERROR(__xludf.DUMMYFUNCTION("""COMPUTED_VALUE"""),1.0)</f>
        <v>1</v>
      </c>
      <c r="W5026" s="4" t="str">
        <f>IFERROR(__xludf.DUMMYFUNCTION("""COMPUTED_VALUE"""),"null")</f>
        <v>null</v>
      </c>
      <c r="X5026" s="33">
        <f>IFERROR(__xludf.DUMMYFUNCTION("""COMPUTED_VALUE"""),0.5)</f>
        <v>0.5</v>
      </c>
    </row>
    <row r="5027">
      <c r="K5027" s="4" t="str">
        <f>IFERROR(__xludf.DUMMYFUNCTION("""COMPUTED_VALUE"""),"GOKU SUSHI")</f>
        <v>GOKU SUSHI</v>
      </c>
      <c r="L5027" s="32">
        <f>IFERROR(__xludf.DUMMYFUNCTION("""COMPUTED_VALUE"""),2.0)</f>
        <v>2</v>
      </c>
      <c r="M5027" s="4" t="str">
        <f>IFERROR(__xludf.DUMMYFUNCTION("""COMPUTED_VALUE"""),"Cardápio Web")</f>
        <v>Cardápio Web</v>
      </c>
      <c r="N5027" s="33">
        <f>IFERROR(__xludf.DUMMYFUNCTION("""COMPUTED_VALUE"""),0.5)</f>
        <v>0.5</v>
      </c>
      <c r="O5027" s="4" t="str">
        <f>IFERROR(__xludf.DUMMYFUNCTION("""COMPUTED_VALUE"""),"null")</f>
        <v>null</v>
      </c>
      <c r="P5027" s="33">
        <f>IFERROR(__xludf.DUMMYFUNCTION("""COMPUTED_VALUE"""),0.5)</f>
        <v>0.5</v>
      </c>
      <c r="Q5027" s="4" t="str">
        <f>IFERROR(__xludf.DUMMYFUNCTION("""COMPUTED_VALUE"""),"Cardápio Web")</f>
        <v>Cardápio Web</v>
      </c>
      <c r="R5027" s="33">
        <f>IFERROR(__xludf.DUMMYFUNCTION("""COMPUTED_VALUE"""),0.5)</f>
        <v>0.5</v>
      </c>
      <c r="S5027" s="4" t="str">
        <f>IFERROR(__xludf.DUMMYFUNCTION("""COMPUTED_VALUE"""),"null")</f>
        <v>null</v>
      </c>
      <c r="T5027" s="33">
        <f>IFERROR(__xludf.DUMMYFUNCTION("""COMPUTED_VALUE"""),0.5)</f>
        <v>0.5</v>
      </c>
      <c r="U5027" s="4" t="str">
        <f>IFERROR(__xludf.DUMMYFUNCTION("""COMPUTED_VALUE"""),"Cardápio Web")</f>
        <v>Cardápio Web</v>
      </c>
      <c r="V5027" s="33">
        <f>IFERROR(__xludf.DUMMYFUNCTION("""COMPUTED_VALUE"""),0.5)</f>
        <v>0.5</v>
      </c>
      <c r="W5027" s="4" t="str">
        <f>IFERROR(__xludf.DUMMYFUNCTION("""COMPUTED_VALUE"""),"Cardápio Web")</f>
        <v>Cardápio Web</v>
      </c>
      <c r="X5027" s="33">
        <f>IFERROR(__xludf.DUMMYFUNCTION("""COMPUTED_VALUE"""),0.5)</f>
        <v>0.5</v>
      </c>
    </row>
    <row r="5028">
      <c r="K5028" s="4" t="str">
        <f>IFERROR(__xludf.DUMMYFUNCTION("""COMPUTED_VALUE"""),"CROCS PIZZA FRITA")</f>
        <v>CROCS PIZZA FRITA</v>
      </c>
      <c r="L5028" s="32">
        <f>IFERROR(__xludf.DUMMYFUNCTION("""COMPUTED_VALUE"""),2.0)</f>
        <v>2</v>
      </c>
      <c r="M5028" s="4" t="str">
        <f>IFERROR(__xludf.DUMMYFUNCTION("""COMPUTED_VALUE"""),"Cardápio Web")</f>
        <v>Cardápio Web</v>
      </c>
      <c r="N5028" s="33">
        <f>IFERROR(__xludf.DUMMYFUNCTION("""COMPUTED_VALUE"""),1.0)</f>
        <v>1</v>
      </c>
      <c r="O5028" s="4" t="str">
        <f>IFERROR(__xludf.DUMMYFUNCTION("""COMPUTED_VALUE"""),"Cardápio Web")</f>
        <v>Cardápio Web</v>
      </c>
      <c r="P5028" s="33">
        <f>IFERROR(__xludf.DUMMYFUNCTION("""COMPUTED_VALUE"""),1.0)</f>
        <v>1</v>
      </c>
      <c r="Q5028" s="4" t="str">
        <f>IFERROR(__xludf.DUMMYFUNCTION("""COMPUTED_VALUE"""),"Cardápio Web")</f>
        <v>Cardápio Web</v>
      </c>
      <c r="R5028" s="33">
        <f>IFERROR(__xludf.DUMMYFUNCTION("""COMPUTED_VALUE"""),1.0)</f>
        <v>1</v>
      </c>
      <c r="S5028" s="4" t="str">
        <f>IFERROR(__xludf.DUMMYFUNCTION("""COMPUTED_VALUE"""),"Saipos Serviços De Software")</f>
        <v>Saipos Serviços De Software</v>
      </c>
      <c r="T5028" s="33">
        <f>IFERROR(__xludf.DUMMYFUNCTION("""COMPUTED_VALUE"""),0.5)</f>
        <v>0.5</v>
      </c>
      <c r="U5028" s="4" t="str">
        <f>IFERROR(__xludf.DUMMYFUNCTION("""COMPUTED_VALUE"""),"Saipos Serviços De Software")</f>
        <v>Saipos Serviços De Software</v>
      </c>
      <c r="V5028" s="33">
        <f>IFERROR(__xludf.DUMMYFUNCTION("""COMPUTED_VALUE"""),0.5)</f>
        <v>0.5</v>
      </c>
      <c r="W5028" s="4" t="str">
        <f>IFERROR(__xludf.DUMMYFUNCTION("""COMPUTED_VALUE"""),"Saipos Serviços De Software")</f>
        <v>Saipos Serviços De Software</v>
      </c>
      <c r="X5028" s="33">
        <f>IFERROR(__xludf.DUMMYFUNCTION("""COMPUTED_VALUE"""),0.5)</f>
        <v>0.5</v>
      </c>
    </row>
    <row r="5029">
      <c r="K5029" s="4" t="str">
        <f>IFERROR(__xludf.DUMMYFUNCTION("""COMPUTED_VALUE"""),"PIZZA GARDEN")</f>
        <v>PIZZA GARDEN</v>
      </c>
      <c r="L5029" s="32">
        <f>IFERROR(__xludf.DUMMYFUNCTION("""COMPUTED_VALUE"""),2.0)</f>
        <v>2</v>
      </c>
      <c r="M5029" s="4" t="str">
        <f>IFERROR(__xludf.DUMMYFUNCTION("""COMPUTED_VALUE"""),"Yooga")</f>
        <v>Yooga</v>
      </c>
      <c r="N5029" s="33">
        <f>IFERROR(__xludf.DUMMYFUNCTION("""COMPUTED_VALUE"""),0.5)</f>
        <v>0.5</v>
      </c>
      <c r="O5029" s="4" t="str">
        <f>IFERROR(__xludf.DUMMYFUNCTION("""COMPUTED_VALUE"""),"Yooga")</f>
        <v>Yooga</v>
      </c>
      <c r="P5029" s="33">
        <f>IFERROR(__xludf.DUMMYFUNCTION("""COMPUTED_VALUE"""),0.5)</f>
        <v>0.5</v>
      </c>
      <c r="Q5029" s="4" t="str">
        <f>IFERROR(__xludf.DUMMYFUNCTION("""COMPUTED_VALUE"""),"Yooga")</f>
        <v>Yooga</v>
      </c>
      <c r="R5029" s="33">
        <f>IFERROR(__xludf.DUMMYFUNCTION("""COMPUTED_VALUE"""),0.5)</f>
        <v>0.5</v>
      </c>
      <c r="S5029" s="4" t="str">
        <f>IFERROR(__xludf.DUMMYFUNCTION("""COMPUTED_VALUE"""),"Yooga")</f>
        <v>Yooga</v>
      </c>
      <c r="T5029" s="33">
        <f>IFERROR(__xludf.DUMMYFUNCTION("""COMPUTED_VALUE"""),0.5)</f>
        <v>0.5</v>
      </c>
      <c r="U5029" s="4" t="str">
        <f>IFERROR(__xludf.DUMMYFUNCTION("""COMPUTED_VALUE"""),"Yooga")</f>
        <v>Yooga</v>
      </c>
      <c r="V5029" s="33">
        <f>IFERROR(__xludf.DUMMYFUNCTION("""COMPUTED_VALUE"""),0.5)</f>
        <v>0.5</v>
      </c>
      <c r="W5029" s="4" t="str">
        <f>IFERROR(__xludf.DUMMYFUNCTION("""COMPUTED_VALUE"""),"Yooga")</f>
        <v>Yooga</v>
      </c>
      <c r="X5029" s="33">
        <f>IFERROR(__xludf.DUMMYFUNCTION("""COMPUTED_VALUE"""),0.5)</f>
        <v>0.5</v>
      </c>
    </row>
    <row r="5030">
      <c r="K5030" s="4" t="str">
        <f>IFERROR(__xludf.DUMMYFUNCTION("""COMPUTED_VALUE"""),"CASA DA VO")</f>
        <v>CASA DA VO</v>
      </c>
      <c r="L5030" s="32">
        <f>IFERROR(__xludf.DUMMYFUNCTION("""COMPUTED_VALUE"""),2.0)</f>
        <v>2</v>
      </c>
      <c r="M5030" s="4" t="str">
        <f>IFERROR(__xludf.DUMMYFUNCTION("""COMPUTED_VALUE"""),"null")</f>
        <v>null</v>
      </c>
      <c r="N5030" s="33">
        <f>IFERROR(__xludf.DUMMYFUNCTION("""COMPUTED_VALUE"""),0.5)</f>
        <v>0.5</v>
      </c>
      <c r="O5030" s="4" t="str">
        <f>IFERROR(__xludf.DUMMYFUNCTION("""COMPUTED_VALUE"""),"null")</f>
        <v>null</v>
      </c>
      <c r="P5030" s="33">
        <f>IFERROR(__xludf.DUMMYFUNCTION("""COMPUTED_VALUE"""),0.5)</f>
        <v>0.5</v>
      </c>
      <c r="Q5030" s="4" t="str">
        <f>IFERROR(__xludf.DUMMYFUNCTION("""COMPUTED_VALUE"""),"null")</f>
        <v>null</v>
      </c>
      <c r="R5030" s="33">
        <f>IFERROR(__xludf.DUMMYFUNCTION("""COMPUTED_VALUE"""),0.5)</f>
        <v>0.5</v>
      </c>
      <c r="S5030" s="4" t="str">
        <f>IFERROR(__xludf.DUMMYFUNCTION("""COMPUTED_VALUE"""),"Whatsmenu Ltda")</f>
        <v>Whatsmenu Ltda</v>
      </c>
      <c r="T5030" s="33">
        <f>IFERROR(__xludf.DUMMYFUNCTION("""COMPUTED_VALUE"""),0.5)</f>
        <v>0.5</v>
      </c>
      <c r="U5030" s="4" t="str">
        <f>IFERROR(__xludf.DUMMYFUNCTION("""COMPUTED_VALUE"""),"null")</f>
        <v>null</v>
      </c>
      <c r="V5030" s="33">
        <f>IFERROR(__xludf.DUMMYFUNCTION("""COMPUTED_VALUE"""),0.5)</f>
        <v>0.5</v>
      </c>
      <c r="W5030" s="4" t="str">
        <f>IFERROR(__xludf.DUMMYFUNCTION("""COMPUTED_VALUE"""),"null")</f>
        <v>null</v>
      </c>
      <c r="X5030" s="33">
        <f>IFERROR(__xludf.DUMMYFUNCTION("""COMPUTED_VALUE"""),0.5)</f>
        <v>0.5</v>
      </c>
    </row>
    <row r="5031">
      <c r="K5031" s="4" t="str">
        <f>IFERROR(__xludf.DUMMYFUNCTION("""COMPUTED_VALUE"""),"NOVA FARMA")</f>
        <v>NOVA FARMA</v>
      </c>
      <c r="L5031" s="32">
        <f>IFERROR(__xludf.DUMMYFUNCTION("""COMPUTED_VALUE"""),2.0)</f>
        <v>2</v>
      </c>
      <c r="M5031" s="4" t="str">
        <f>IFERROR(__xludf.DUMMYFUNCTION("""COMPUTED_VALUE"""),"N/A (Not found)")</f>
        <v>N/A (Not found)</v>
      </c>
      <c r="N5031" s="33">
        <f>IFERROR(__xludf.DUMMYFUNCTION("""COMPUTED_VALUE"""),1.0)</f>
        <v>1</v>
      </c>
      <c r="O5031" s="4" t="str">
        <f>IFERROR(__xludf.DUMMYFUNCTION("""COMPUTED_VALUE"""),"N/A (Not found)")</f>
        <v>N/A (Not found)</v>
      </c>
      <c r="P5031" s="33">
        <f>IFERROR(__xludf.DUMMYFUNCTION("""COMPUTED_VALUE"""),1.0)</f>
        <v>1</v>
      </c>
      <c r="Q5031" s="4" t="str">
        <f>IFERROR(__xludf.DUMMYFUNCTION("""COMPUTED_VALUE"""),"N/A (Not found)")</f>
        <v>N/A (Not found)</v>
      </c>
      <c r="R5031" s="33">
        <f>IFERROR(__xludf.DUMMYFUNCTION("""COMPUTED_VALUE"""),1.0)</f>
        <v>1</v>
      </c>
      <c r="S5031" s="4" t="str">
        <f>IFERROR(__xludf.DUMMYFUNCTION("""COMPUTED_VALUE"""),"N/A (Not found)")</f>
        <v>N/A (Not found)</v>
      </c>
      <c r="T5031" s="33">
        <f>IFERROR(__xludf.DUMMYFUNCTION("""COMPUTED_VALUE"""),1.0)</f>
        <v>1</v>
      </c>
      <c r="U5031" s="4" t="str">
        <f>IFERROR(__xludf.DUMMYFUNCTION("""COMPUTED_VALUE"""),"N/A (Not found)")</f>
        <v>N/A (Not found)</v>
      </c>
      <c r="V5031" s="33">
        <f>IFERROR(__xludf.DUMMYFUNCTION("""COMPUTED_VALUE"""),1.0)</f>
        <v>1</v>
      </c>
      <c r="W5031" s="4" t="str">
        <f>IFERROR(__xludf.DUMMYFUNCTION("""COMPUTED_VALUE"""),"N/A (Not found)")</f>
        <v>N/A (Not found)</v>
      </c>
      <c r="X5031" s="33">
        <f>IFERROR(__xludf.DUMMYFUNCTION("""COMPUTED_VALUE"""),1.0)</f>
        <v>1</v>
      </c>
    </row>
    <row r="5032">
      <c r="K5032" s="4" t="str">
        <f>IFERROR(__xludf.DUMMYFUNCTION("""COMPUTED_VALUE"""),"HAMBURGUERIA FOMINHA DELIVERY")</f>
        <v>HAMBURGUERIA FOMINHA DELIVERY</v>
      </c>
      <c r="L5032" s="32">
        <f>IFERROR(__xludf.DUMMYFUNCTION("""COMPUTED_VALUE"""),2.0)</f>
        <v>2</v>
      </c>
      <c r="M5032" s="4" t="str">
        <f>IFERROR(__xludf.DUMMYFUNCTION("""COMPUTED_VALUE"""),"null")</f>
        <v>null</v>
      </c>
      <c r="N5032" s="33">
        <f>IFERROR(__xludf.DUMMYFUNCTION("""COMPUTED_VALUE"""),0.5)</f>
        <v>0.5</v>
      </c>
      <c r="O5032" s="4" t="str">
        <f>IFERROR(__xludf.DUMMYFUNCTION("""COMPUTED_VALUE"""),"Menu Integrado")</f>
        <v>Menu Integrado</v>
      </c>
      <c r="P5032" s="33">
        <f>IFERROR(__xludf.DUMMYFUNCTION("""COMPUTED_VALUE"""),1.0)</f>
        <v>1</v>
      </c>
      <c r="Q5032" s="4" t="str">
        <f>IFERROR(__xludf.DUMMYFUNCTION("""COMPUTED_VALUE"""),"Menu Integrado")</f>
        <v>Menu Integrado</v>
      </c>
      <c r="R5032" s="33">
        <f>IFERROR(__xludf.DUMMYFUNCTION("""COMPUTED_VALUE"""),1.0)</f>
        <v>1</v>
      </c>
      <c r="S5032" s="4" t="str">
        <f>IFERROR(__xludf.DUMMYFUNCTION("""COMPUTED_VALUE"""),"Menu Integrado")</f>
        <v>Menu Integrado</v>
      </c>
      <c r="T5032" s="33">
        <f>IFERROR(__xludf.DUMMYFUNCTION("""COMPUTED_VALUE"""),1.0)</f>
        <v>1</v>
      </c>
      <c r="U5032" s="4" t="str">
        <f>IFERROR(__xludf.DUMMYFUNCTION("""COMPUTED_VALUE"""),"Menu Integrado")</f>
        <v>Menu Integrado</v>
      </c>
      <c r="V5032" s="33">
        <f>IFERROR(__xludf.DUMMYFUNCTION("""COMPUTED_VALUE"""),1.0)</f>
        <v>1</v>
      </c>
      <c r="W5032" s="4" t="str">
        <f>IFERROR(__xludf.DUMMYFUNCTION("""COMPUTED_VALUE"""),"Menu Integrado")</f>
        <v>Menu Integrado</v>
      </c>
      <c r="X5032" s="33">
        <f>IFERROR(__xludf.DUMMYFUNCTION("""COMPUTED_VALUE"""),1.0)</f>
        <v>1</v>
      </c>
    </row>
    <row r="5033">
      <c r="K5033" s="4" t="str">
        <f>IFERROR(__xludf.DUMMYFUNCTION("""COMPUTED_VALUE"""),"TIINDER FOOD")</f>
        <v>TIINDER FOOD</v>
      </c>
      <c r="L5033" s="32">
        <f>IFERROR(__xludf.DUMMYFUNCTION("""COMPUTED_VALUE"""),2.0)</f>
        <v>2</v>
      </c>
      <c r="M5033" s="4" t="str">
        <f>IFERROR(__xludf.DUMMYFUNCTION("""COMPUTED_VALUE"""),"null")</f>
        <v>null</v>
      </c>
      <c r="N5033" s="33">
        <f>IFERROR(__xludf.DUMMYFUNCTION("""COMPUTED_VALUE"""),1.0)</f>
        <v>1</v>
      </c>
      <c r="O5033" s="4" t="str">
        <f>IFERROR(__xludf.DUMMYFUNCTION("""COMPUTED_VALUE"""),"null")</f>
        <v>null</v>
      </c>
      <c r="P5033" s="33">
        <f>IFERROR(__xludf.DUMMYFUNCTION("""COMPUTED_VALUE"""),1.0)</f>
        <v>1</v>
      </c>
      <c r="Q5033" s="4" t="str">
        <f>IFERROR(__xludf.DUMMYFUNCTION("""COMPUTED_VALUE"""),"null")</f>
        <v>null</v>
      </c>
      <c r="R5033" s="33">
        <f>IFERROR(__xludf.DUMMYFUNCTION("""COMPUTED_VALUE"""),0.5)</f>
        <v>0.5</v>
      </c>
      <c r="S5033" s="4" t="str">
        <f>IFERROR(__xludf.DUMMYFUNCTION("""COMPUTED_VALUE"""),"null")</f>
        <v>null</v>
      </c>
      <c r="T5033" s="33">
        <f>IFERROR(__xludf.DUMMYFUNCTION("""COMPUTED_VALUE"""),1.0)</f>
        <v>1</v>
      </c>
      <c r="U5033" s="4" t="str">
        <f>IFERROR(__xludf.DUMMYFUNCTION("""COMPUTED_VALUE"""),"Cardápio Web")</f>
        <v>Cardápio Web</v>
      </c>
      <c r="V5033" s="33">
        <f>IFERROR(__xludf.DUMMYFUNCTION("""COMPUTED_VALUE"""),0.5)</f>
        <v>0.5</v>
      </c>
      <c r="W5033" s="4" t="str">
        <f>IFERROR(__xludf.DUMMYFUNCTION("""COMPUTED_VALUE"""),"null")</f>
        <v>null</v>
      </c>
      <c r="X5033" s="33">
        <f>IFERROR(__xludf.DUMMYFUNCTION("""COMPUTED_VALUE"""),1.0)</f>
        <v>1</v>
      </c>
    </row>
    <row r="5034">
      <c r="K5034" s="4" t="str">
        <f>IFERROR(__xludf.DUMMYFUNCTION("""COMPUTED_VALUE"""),"QUERO BURGER")</f>
        <v>QUERO BURGER</v>
      </c>
      <c r="L5034" s="32">
        <f>IFERROR(__xludf.DUMMYFUNCTION("""COMPUTED_VALUE"""),2.0)</f>
        <v>2</v>
      </c>
      <c r="M5034" s="4" t="str">
        <f>IFERROR(__xludf.DUMMYFUNCTION("""COMPUTED_VALUE"""),"Anota Ai Solucoes Digitais S/a")</f>
        <v>Anota Ai Solucoes Digitais S/a</v>
      </c>
      <c r="N5034" s="33">
        <f>IFERROR(__xludf.DUMMYFUNCTION("""COMPUTED_VALUE"""),0.5)</f>
        <v>0.5</v>
      </c>
      <c r="O5034" s="4" t="str">
        <f>IFERROR(__xludf.DUMMYFUNCTION("""COMPUTED_VALUE"""),"Anota Ai Solucoes Digitais S/a")</f>
        <v>Anota Ai Solucoes Digitais S/a</v>
      </c>
      <c r="P5034" s="33">
        <f>IFERROR(__xludf.DUMMYFUNCTION("""COMPUTED_VALUE"""),0.5)</f>
        <v>0.5</v>
      </c>
      <c r="Q5034" s="4" t="str">
        <f>IFERROR(__xludf.DUMMYFUNCTION("""COMPUTED_VALUE"""),"null")</f>
        <v>null</v>
      </c>
      <c r="R5034" s="33">
        <f>IFERROR(__xludf.DUMMYFUNCTION("""COMPUTED_VALUE"""),0.5)</f>
        <v>0.5</v>
      </c>
      <c r="S5034" s="4" t="str">
        <f>IFERROR(__xludf.DUMMYFUNCTION("""COMPUTED_VALUE"""),"null")</f>
        <v>null</v>
      </c>
      <c r="T5034" s="33">
        <f>IFERROR(__xludf.DUMMYFUNCTION("""COMPUTED_VALUE"""),0.5)</f>
        <v>0.5</v>
      </c>
      <c r="U5034" s="4" t="str">
        <f>IFERROR(__xludf.DUMMYFUNCTION("""COMPUTED_VALUE"""),"null")</f>
        <v>null</v>
      </c>
      <c r="V5034" s="33">
        <f>IFERROR(__xludf.DUMMYFUNCTION("""COMPUTED_VALUE"""),0.5)</f>
        <v>0.5</v>
      </c>
      <c r="W5034" s="4" t="str">
        <f>IFERROR(__xludf.DUMMYFUNCTION("""COMPUTED_VALUE"""),"null")</f>
        <v>null</v>
      </c>
      <c r="X5034" s="33">
        <f>IFERROR(__xludf.DUMMYFUNCTION("""COMPUTED_VALUE"""),0.5)</f>
        <v>0.5</v>
      </c>
    </row>
    <row r="5035">
      <c r="K5035" s="4" t="str">
        <f>IFERROR(__xludf.DUMMYFUNCTION("""COMPUTED_VALUE"""),"MAD BURGER")</f>
        <v>MAD BURGER</v>
      </c>
      <c r="L5035" s="32">
        <f>IFERROR(__xludf.DUMMYFUNCTION("""COMPUTED_VALUE"""),2.0)</f>
        <v>2</v>
      </c>
      <c r="M5035" s="4" t="str">
        <f>IFERROR(__xludf.DUMMYFUNCTION("""COMPUTED_VALUE"""),"Anota Ai Solucoes Digitais S/a")</f>
        <v>Anota Ai Solucoes Digitais S/a</v>
      </c>
      <c r="N5035" s="33">
        <f>IFERROR(__xludf.DUMMYFUNCTION("""COMPUTED_VALUE"""),0.5)</f>
        <v>0.5</v>
      </c>
      <c r="O5035" s="4" t="str">
        <f>IFERROR(__xludf.DUMMYFUNCTION("""COMPUTED_VALUE"""),"Anota Ai Solucoes Digitais S/a")</f>
        <v>Anota Ai Solucoes Digitais S/a</v>
      </c>
      <c r="P5035" s="33">
        <f>IFERROR(__xludf.DUMMYFUNCTION("""COMPUTED_VALUE"""),0.5)</f>
        <v>0.5</v>
      </c>
      <c r="Q5035" s="4" t="str">
        <f>IFERROR(__xludf.DUMMYFUNCTION("""COMPUTED_VALUE"""),"Anota Ai Solucoes Digitais S/a")</f>
        <v>Anota Ai Solucoes Digitais S/a</v>
      </c>
      <c r="R5035" s="33">
        <f>IFERROR(__xludf.DUMMYFUNCTION("""COMPUTED_VALUE"""),0.5)</f>
        <v>0.5</v>
      </c>
      <c r="S5035" s="4" t="str">
        <f>IFERROR(__xludf.DUMMYFUNCTION("""COMPUTED_VALUE"""),"null")</f>
        <v>null</v>
      </c>
      <c r="T5035" s="33">
        <f>IFERROR(__xludf.DUMMYFUNCTION("""COMPUTED_VALUE"""),0.5)</f>
        <v>0.5</v>
      </c>
      <c r="U5035" s="4" t="str">
        <f>IFERROR(__xludf.DUMMYFUNCTION("""COMPUTED_VALUE"""),"null")</f>
        <v>null</v>
      </c>
      <c r="V5035" s="33">
        <f>IFERROR(__xludf.DUMMYFUNCTION("""COMPUTED_VALUE"""),0.5)</f>
        <v>0.5</v>
      </c>
      <c r="W5035" s="4" t="str">
        <f>IFERROR(__xludf.DUMMYFUNCTION("""COMPUTED_VALUE"""),"null")</f>
        <v>null</v>
      </c>
      <c r="X5035" s="33">
        <f>IFERROR(__xludf.DUMMYFUNCTION("""COMPUTED_VALUE"""),0.5)</f>
        <v>0.5</v>
      </c>
    </row>
    <row r="5036">
      <c r="K5036" s="4" t="str">
        <f>IFERROR(__xludf.DUMMYFUNCTION("""COMPUTED_VALUE"""),"OX NO POTE")</f>
        <v>OX NO POTE</v>
      </c>
      <c r="L5036" s="32">
        <f>IFERROR(__xludf.DUMMYFUNCTION("""COMPUTED_VALUE"""),2.0)</f>
        <v>2</v>
      </c>
      <c r="M5036" s="4" t="str">
        <f>IFERROR(__xludf.DUMMYFUNCTION("""COMPUTED_VALUE"""),"Takeat Tecnologia")</f>
        <v>Takeat Tecnologia</v>
      </c>
      <c r="N5036" s="33">
        <f>IFERROR(__xludf.DUMMYFUNCTION("""COMPUTED_VALUE"""),1.0)</f>
        <v>1</v>
      </c>
      <c r="O5036" s="4" t="str">
        <f>IFERROR(__xludf.DUMMYFUNCTION("""COMPUTED_VALUE"""),"Takeat Tecnologia")</f>
        <v>Takeat Tecnologia</v>
      </c>
      <c r="P5036" s="33">
        <f>IFERROR(__xludf.DUMMYFUNCTION("""COMPUTED_VALUE"""),0.5)</f>
        <v>0.5</v>
      </c>
      <c r="Q5036" s="4" t="str">
        <f>IFERROR(__xludf.DUMMYFUNCTION("""COMPUTED_VALUE"""),"Takeat Tecnologia")</f>
        <v>Takeat Tecnologia</v>
      </c>
      <c r="R5036" s="33">
        <f>IFERROR(__xludf.DUMMYFUNCTION("""COMPUTED_VALUE"""),1.0)</f>
        <v>1</v>
      </c>
      <c r="S5036" s="4" t="str">
        <f>IFERROR(__xludf.DUMMYFUNCTION("""COMPUTED_VALUE"""),"null")</f>
        <v>null</v>
      </c>
      <c r="T5036" s="33">
        <f>IFERROR(__xludf.DUMMYFUNCTION("""COMPUTED_VALUE"""),0.5)</f>
        <v>0.5</v>
      </c>
      <c r="U5036" s="4" t="str">
        <f>IFERROR(__xludf.DUMMYFUNCTION("""COMPUTED_VALUE"""),"Takeat Tecnologia")</f>
        <v>Takeat Tecnologia</v>
      </c>
      <c r="V5036" s="33">
        <f>IFERROR(__xludf.DUMMYFUNCTION("""COMPUTED_VALUE"""),1.0)</f>
        <v>1</v>
      </c>
      <c r="W5036" s="4" t="str">
        <f>IFERROR(__xludf.DUMMYFUNCTION("""COMPUTED_VALUE"""),"Takeat Tecnologia")</f>
        <v>Takeat Tecnologia</v>
      </c>
      <c r="X5036" s="33">
        <f>IFERROR(__xludf.DUMMYFUNCTION("""COMPUTED_VALUE"""),1.0)</f>
        <v>1</v>
      </c>
    </row>
    <row r="5037">
      <c r="K5037" s="4" t="str">
        <f>IFERROR(__xludf.DUMMYFUNCTION("""COMPUTED_VALUE"""),"FARMA E FARMA POPULAR")</f>
        <v>FARMA E FARMA POPULAR</v>
      </c>
      <c r="L5037" s="32">
        <f>IFERROR(__xludf.DUMMYFUNCTION("""COMPUTED_VALUE"""),2.0)</f>
        <v>2</v>
      </c>
      <c r="M5037" s="4" t="str">
        <f>IFERROR(__xludf.DUMMYFUNCTION("""COMPUTED_VALUE"""),"N/A (Not found)")</f>
        <v>N/A (Not found)</v>
      </c>
      <c r="N5037" s="33">
        <f>IFERROR(__xludf.DUMMYFUNCTION("""COMPUTED_VALUE"""),0.5)</f>
        <v>0.5</v>
      </c>
      <c r="O5037" s="4" t="str">
        <f>IFERROR(__xludf.DUMMYFUNCTION("""COMPUTED_VALUE"""),"N/A (Not found)")</f>
        <v>N/A (Not found)</v>
      </c>
      <c r="P5037" s="33">
        <f>IFERROR(__xludf.DUMMYFUNCTION("""COMPUTED_VALUE"""),0.5)</f>
        <v>0.5</v>
      </c>
      <c r="Q5037" s="4" t="str">
        <f>IFERROR(__xludf.DUMMYFUNCTION("""COMPUTED_VALUE"""),"N/A (Not found)")</f>
        <v>N/A (Not found)</v>
      </c>
      <c r="R5037" s="33">
        <f>IFERROR(__xludf.DUMMYFUNCTION("""COMPUTED_VALUE"""),0.5)</f>
        <v>0.5</v>
      </c>
      <c r="S5037" s="4" t="str">
        <f>IFERROR(__xludf.DUMMYFUNCTION("""COMPUTED_VALUE"""),"N/A (Not found)")</f>
        <v>N/A (Not found)</v>
      </c>
      <c r="T5037" s="33">
        <f>IFERROR(__xludf.DUMMYFUNCTION("""COMPUTED_VALUE"""),0.5)</f>
        <v>0.5</v>
      </c>
      <c r="U5037" s="4" t="str">
        <f>IFERROR(__xludf.DUMMYFUNCTION("""COMPUTED_VALUE"""),"N/A (Not found)")</f>
        <v>N/A (Not found)</v>
      </c>
      <c r="V5037" s="33">
        <f>IFERROR(__xludf.DUMMYFUNCTION("""COMPUTED_VALUE"""),0.5)</f>
        <v>0.5</v>
      </c>
      <c r="W5037" s="4" t="str">
        <f>IFERROR(__xludf.DUMMYFUNCTION("""COMPUTED_VALUE"""),"N/A (Not found)")</f>
        <v>N/A (Not found)</v>
      </c>
      <c r="X5037" s="33">
        <f>IFERROR(__xludf.DUMMYFUNCTION("""COMPUTED_VALUE"""),1.0)</f>
        <v>1</v>
      </c>
    </row>
    <row r="5038">
      <c r="K5038" s="4" t="str">
        <f>IFERROR(__xludf.DUMMYFUNCTION("""COMPUTED_VALUE"""),"LA CASA BURGUER")</f>
        <v>LA CASA BURGUER</v>
      </c>
      <c r="L5038" s="32">
        <f>IFERROR(__xludf.DUMMYFUNCTION("""COMPUTED_VALUE"""),2.0)</f>
        <v>2</v>
      </c>
      <c r="M5038" s="4" t="str">
        <f>IFERROR(__xludf.DUMMYFUNCTION("""COMPUTED_VALUE"""),"Cardápio Web")</f>
        <v>Cardápio Web</v>
      </c>
      <c r="N5038" s="33">
        <f>IFERROR(__xludf.DUMMYFUNCTION("""COMPUTED_VALUE"""),0.5)</f>
        <v>0.5</v>
      </c>
      <c r="O5038" s="4" t="str">
        <f>IFERROR(__xludf.DUMMYFUNCTION("""COMPUTED_VALUE"""),"Cardápio Web")</f>
        <v>Cardápio Web</v>
      </c>
      <c r="P5038" s="33">
        <f>IFERROR(__xludf.DUMMYFUNCTION("""COMPUTED_VALUE"""),0.5)</f>
        <v>0.5</v>
      </c>
      <c r="Q5038" s="4" t="str">
        <f>IFERROR(__xludf.DUMMYFUNCTION("""COMPUTED_VALUE"""),"Cardápio Web")</f>
        <v>Cardápio Web</v>
      </c>
      <c r="R5038" s="33">
        <f>IFERROR(__xludf.DUMMYFUNCTION("""COMPUTED_VALUE"""),0.5)</f>
        <v>0.5</v>
      </c>
      <c r="S5038" s="4" t="str">
        <f>IFERROR(__xludf.DUMMYFUNCTION("""COMPUTED_VALUE"""),"Cardápio Web")</f>
        <v>Cardápio Web</v>
      </c>
      <c r="T5038" s="33">
        <f>IFERROR(__xludf.DUMMYFUNCTION("""COMPUTED_VALUE"""),0.5)</f>
        <v>0.5</v>
      </c>
      <c r="U5038" s="4" t="str">
        <f>IFERROR(__xludf.DUMMYFUNCTION("""COMPUTED_VALUE"""),"Cardápio Web")</f>
        <v>Cardápio Web</v>
      </c>
      <c r="V5038" s="33">
        <f>IFERROR(__xludf.DUMMYFUNCTION("""COMPUTED_VALUE"""),0.5)</f>
        <v>0.5</v>
      </c>
      <c r="W5038" s="4" t="str">
        <f>IFERROR(__xludf.DUMMYFUNCTION("""COMPUTED_VALUE"""),"Cardápio Web")</f>
        <v>Cardápio Web</v>
      </c>
      <c r="X5038" s="33">
        <f>IFERROR(__xludf.DUMMYFUNCTION("""COMPUTED_VALUE"""),0.5)</f>
        <v>0.5</v>
      </c>
    </row>
    <row r="5039">
      <c r="K5039" s="4" t="str">
        <f>IFERROR(__xludf.DUMMYFUNCTION("""COMPUTED_VALUE"""),"NAM BURGUER DELIVERY ARTESANAL")</f>
        <v>NAM BURGUER DELIVERY ARTESANAL</v>
      </c>
      <c r="L5039" s="32">
        <f>IFERROR(__xludf.DUMMYFUNCTION("""COMPUTED_VALUE"""),2.0)</f>
        <v>2</v>
      </c>
      <c r="M5039" s="4" t="str">
        <f>IFERROR(__xludf.DUMMYFUNCTION("""COMPUTED_VALUE"""),"null")</f>
        <v>null</v>
      </c>
      <c r="N5039" s="33">
        <f>IFERROR(__xludf.DUMMYFUNCTION("""COMPUTED_VALUE"""),0.5)</f>
        <v>0.5</v>
      </c>
      <c r="O5039" s="4" t="str">
        <f>IFERROR(__xludf.DUMMYFUNCTION("""COMPUTED_VALUE"""),"null")</f>
        <v>null</v>
      </c>
      <c r="P5039" s="33">
        <f>IFERROR(__xludf.DUMMYFUNCTION("""COMPUTED_VALUE"""),1.0)</f>
        <v>1</v>
      </c>
      <c r="Q5039" s="4" t="str">
        <f>IFERROR(__xludf.DUMMYFUNCTION("""COMPUTED_VALUE"""),"null")</f>
        <v>null</v>
      </c>
      <c r="R5039" s="33">
        <f>IFERROR(__xludf.DUMMYFUNCTION("""COMPUTED_VALUE"""),1.0)</f>
        <v>1</v>
      </c>
      <c r="S5039" s="4" t="str">
        <f>IFERROR(__xludf.DUMMYFUNCTION("""COMPUTED_VALUE"""),"null")</f>
        <v>null</v>
      </c>
      <c r="T5039" s="33">
        <f>IFERROR(__xludf.DUMMYFUNCTION("""COMPUTED_VALUE"""),1.0)</f>
        <v>1</v>
      </c>
      <c r="U5039" s="4" t="str">
        <f>IFERROR(__xludf.DUMMYFUNCTION("""COMPUTED_VALUE"""),"Anota Ai Solucoes Digitais S/a")</f>
        <v>Anota Ai Solucoes Digitais S/a</v>
      </c>
      <c r="V5039" s="33">
        <f>IFERROR(__xludf.DUMMYFUNCTION("""COMPUTED_VALUE"""),0.5)</f>
        <v>0.5</v>
      </c>
      <c r="W5039" s="4" t="str">
        <f>IFERROR(__xludf.DUMMYFUNCTION("""COMPUTED_VALUE"""),"Anota Ai Solucoes Digitais S/a")</f>
        <v>Anota Ai Solucoes Digitais S/a</v>
      </c>
      <c r="X5039" s="33">
        <f>IFERROR(__xludf.DUMMYFUNCTION("""COMPUTED_VALUE"""),0.5)</f>
        <v>0.5</v>
      </c>
    </row>
    <row r="5040">
      <c r="K5040" s="4" t="str">
        <f>IFERROR(__xludf.DUMMYFUNCTION("""COMPUTED_VALUE"""),"YOSH")</f>
        <v>YOSH</v>
      </c>
      <c r="L5040" s="32">
        <f>IFERROR(__xludf.DUMMYFUNCTION("""COMPUTED_VALUE"""),2.0)</f>
        <v>2</v>
      </c>
      <c r="M5040" s="4" t="str">
        <f>IFERROR(__xludf.DUMMYFUNCTION("""COMPUTED_VALUE"""),"Anota Ai Solucoes Digitais S/a")</f>
        <v>Anota Ai Solucoes Digitais S/a</v>
      </c>
      <c r="N5040" s="33">
        <f>IFERROR(__xludf.DUMMYFUNCTION("""COMPUTED_VALUE"""),0.5)</f>
        <v>0.5</v>
      </c>
      <c r="O5040" s="4" t="str">
        <f>IFERROR(__xludf.DUMMYFUNCTION("""COMPUTED_VALUE"""),"Anota Ai Solucoes Digitais S/a")</f>
        <v>Anota Ai Solucoes Digitais S/a</v>
      </c>
      <c r="P5040" s="33">
        <f>IFERROR(__xludf.DUMMYFUNCTION("""COMPUTED_VALUE"""),0.5)</f>
        <v>0.5</v>
      </c>
      <c r="Q5040" s="4" t="str">
        <f>IFERROR(__xludf.DUMMYFUNCTION("""COMPUTED_VALUE"""),"null")</f>
        <v>null</v>
      </c>
      <c r="R5040" s="33">
        <f>IFERROR(__xludf.DUMMYFUNCTION("""COMPUTED_VALUE"""),1.0)</f>
        <v>1</v>
      </c>
      <c r="S5040" s="4" t="str">
        <f>IFERROR(__xludf.DUMMYFUNCTION("""COMPUTED_VALUE"""),"Anota Ai Solucoes Digitais S/a")</f>
        <v>Anota Ai Solucoes Digitais S/a</v>
      </c>
      <c r="T5040" s="33">
        <f>IFERROR(__xludf.DUMMYFUNCTION("""COMPUTED_VALUE"""),0.5)</f>
        <v>0.5</v>
      </c>
      <c r="U5040" s="4" t="str">
        <f>IFERROR(__xludf.DUMMYFUNCTION("""COMPUTED_VALUE"""),"Anota Ai Solucoes Digitais S/a")</f>
        <v>Anota Ai Solucoes Digitais S/a</v>
      </c>
      <c r="V5040" s="33">
        <f>IFERROR(__xludf.DUMMYFUNCTION("""COMPUTED_VALUE"""),0.5)</f>
        <v>0.5</v>
      </c>
      <c r="W5040" s="4" t="str">
        <f>IFERROR(__xludf.DUMMYFUNCTION("""COMPUTED_VALUE"""),"null")</f>
        <v>null</v>
      </c>
      <c r="X5040" s="33">
        <f>IFERROR(__xludf.DUMMYFUNCTION("""COMPUTED_VALUE"""),0.5)</f>
        <v>0.5</v>
      </c>
    </row>
    <row r="5041">
      <c r="K5041" s="4" t="str">
        <f>IFERROR(__xludf.DUMMYFUNCTION("""COMPUTED_VALUE"""),"BEBA JA")</f>
        <v>BEBA JA</v>
      </c>
      <c r="L5041" s="32">
        <f>IFERROR(__xludf.DUMMYFUNCTION("""COMPUTED_VALUE"""),2.0)</f>
        <v>2</v>
      </c>
      <c r="M5041" s="4" t="str">
        <f>IFERROR(__xludf.DUMMYFUNCTION("""COMPUTED_VALUE"""),"null")</f>
        <v>null</v>
      </c>
      <c r="N5041" s="33">
        <f>IFERROR(__xludf.DUMMYFUNCTION("""COMPUTED_VALUE"""),0.5)</f>
        <v>0.5</v>
      </c>
      <c r="O5041" s="4" t="str">
        <f>IFERROR(__xludf.DUMMYFUNCTION("""COMPUTED_VALUE"""),"N/A (Not found)")</f>
        <v>N/A (Not found)</v>
      </c>
      <c r="P5041" s="33">
        <f>IFERROR(__xludf.DUMMYFUNCTION("""COMPUTED_VALUE"""),1.0)</f>
        <v>1</v>
      </c>
      <c r="Q5041" s="4" t="str">
        <f>IFERROR(__xludf.DUMMYFUNCTION("""COMPUTED_VALUE"""),"null")</f>
        <v>null</v>
      </c>
      <c r="R5041" s="33">
        <f>IFERROR(__xludf.DUMMYFUNCTION("""COMPUTED_VALUE"""),0.5)</f>
        <v>0.5</v>
      </c>
      <c r="S5041" s="4" t="str">
        <f>IFERROR(__xludf.DUMMYFUNCTION("""COMPUTED_VALUE"""),"null")</f>
        <v>null</v>
      </c>
      <c r="T5041" s="33">
        <f>IFERROR(__xludf.DUMMYFUNCTION("""COMPUTED_VALUE"""),0.5)</f>
        <v>0.5</v>
      </c>
      <c r="U5041" s="4" t="str">
        <f>IFERROR(__xludf.DUMMYFUNCTION("""COMPUTED_VALUE"""),"null")</f>
        <v>null</v>
      </c>
      <c r="V5041" s="33">
        <f>IFERROR(__xludf.DUMMYFUNCTION("""COMPUTED_VALUE"""),1.0)</f>
        <v>1</v>
      </c>
      <c r="W5041" s="4" t="str">
        <f>IFERROR(__xludf.DUMMYFUNCTION("""COMPUTED_VALUE"""),"null")</f>
        <v>null</v>
      </c>
      <c r="X5041" s="33">
        <f>IFERROR(__xludf.DUMMYFUNCTION("""COMPUTED_VALUE"""),0.5)</f>
        <v>0.5</v>
      </c>
    </row>
    <row r="5042">
      <c r="K5042" s="4" t="str">
        <f>IFERROR(__xludf.DUMMYFUNCTION("""COMPUTED_VALUE"""),"MULTIDROGAS")</f>
        <v>MULTIDROGAS</v>
      </c>
      <c r="L5042" s="32">
        <f>IFERROR(__xludf.DUMMYFUNCTION("""COMPUTED_VALUE"""),2.0)</f>
        <v>2</v>
      </c>
      <c r="M5042" s="4" t="str">
        <f>IFERROR(__xludf.DUMMYFUNCTION("""COMPUTED_VALUE"""),"N/A (Not found)")</f>
        <v>N/A (Not found)</v>
      </c>
      <c r="N5042" s="33">
        <f>IFERROR(__xludf.DUMMYFUNCTION("""COMPUTED_VALUE"""),1.0)</f>
        <v>1</v>
      </c>
      <c r="O5042" s="4" t="str">
        <f>IFERROR(__xludf.DUMMYFUNCTION("""COMPUTED_VALUE"""),"null")</f>
        <v>null</v>
      </c>
      <c r="P5042" s="33">
        <f>IFERROR(__xludf.DUMMYFUNCTION("""COMPUTED_VALUE"""),0.5)</f>
        <v>0.5</v>
      </c>
      <c r="Q5042" s="4" t="str">
        <f>IFERROR(__xludf.DUMMYFUNCTION("""COMPUTED_VALUE"""),"null")</f>
        <v>null</v>
      </c>
      <c r="R5042" s="33">
        <f>IFERROR(__xludf.DUMMYFUNCTION("""COMPUTED_VALUE"""),0.5)</f>
        <v>0.5</v>
      </c>
      <c r="S5042" s="4" t="str">
        <f>IFERROR(__xludf.DUMMYFUNCTION("""COMPUTED_VALUE"""),"N/A (Not found)")</f>
        <v>N/A (Not found)</v>
      </c>
      <c r="T5042" s="33">
        <f>IFERROR(__xludf.DUMMYFUNCTION("""COMPUTED_VALUE"""),1.0)</f>
        <v>1</v>
      </c>
      <c r="U5042" s="4" t="str">
        <f>IFERROR(__xludf.DUMMYFUNCTION("""COMPUTED_VALUE"""),"null")</f>
        <v>null</v>
      </c>
      <c r="V5042" s="33">
        <f>IFERROR(__xludf.DUMMYFUNCTION("""COMPUTED_VALUE"""),0.5)</f>
        <v>0.5</v>
      </c>
      <c r="W5042" s="4" t="str">
        <f>IFERROR(__xludf.DUMMYFUNCTION("""COMPUTED_VALUE"""),"null")</f>
        <v>null</v>
      </c>
      <c r="X5042" s="33">
        <f>IFERROR(__xludf.DUMMYFUNCTION("""COMPUTED_VALUE"""),0.5)</f>
        <v>0.5</v>
      </c>
    </row>
    <row r="5043">
      <c r="K5043" s="4" t="str">
        <f>IFERROR(__xludf.DUMMYFUNCTION("""COMPUTED_VALUE"""),"MISTER BURGUER LANCHES")</f>
        <v>MISTER BURGUER LANCHES</v>
      </c>
      <c r="L5043" s="32">
        <f>IFERROR(__xludf.DUMMYFUNCTION("""COMPUTED_VALUE"""),2.0)</f>
        <v>2</v>
      </c>
      <c r="M5043" s="4" t="str">
        <f>IFERROR(__xludf.DUMMYFUNCTION("""COMPUTED_VALUE"""),"Diggy")</f>
        <v>Diggy</v>
      </c>
      <c r="N5043" s="33">
        <f>IFERROR(__xludf.DUMMYFUNCTION("""COMPUTED_VALUE"""),0.5)</f>
        <v>0.5</v>
      </c>
      <c r="O5043" s="4" t="str">
        <f>IFERROR(__xludf.DUMMYFUNCTION("""COMPUTED_VALUE"""),"Diggy")</f>
        <v>Diggy</v>
      </c>
      <c r="P5043" s="33">
        <f>IFERROR(__xludf.DUMMYFUNCTION("""COMPUTED_VALUE"""),0.5)</f>
        <v>0.5</v>
      </c>
      <c r="Q5043" s="4" t="str">
        <f>IFERROR(__xludf.DUMMYFUNCTION("""COMPUTED_VALUE"""),"Diggy")</f>
        <v>Diggy</v>
      </c>
      <c r="R5043" s="33">
        <f>IFERROR(__xludf.DUMMYFUNCTION("""COMPUTED_VALUE"""),0.5)</f>
        <v>0.5</v>
      </c>
      <c r="S5043" s="4" t="str">
        <f>IFERROR(__xludf.DUMMYFUNCTION("""COMPUTED_VALUE"""),"Diggy")</f>
        <v>Diggy</v>
      </c>
      <c r="T5043" s="33">
        <f>IFERROR(__xludf.DUMMYFUNCTION("""COMPUTED_VALUE"""),0.5)</f>
        <v>0.5</v>
      </c>
      <c r="U5043" s="4" t="str">
        <f>IFERROR(__xludf.DUMMYFUNCTION("""COMPUTED_VALUE"""),"Diggy")</f>
        <v>Diggy</v>
      </c>
      <c r="V5043" s="33">
        <f>IFERROR(__xludf.DUMMYFUNCTION("""COMPUTED_VALUE"""),0.5)</f>
        <v>0.5</v>
      </c>
      <c r="W5043" s="4" t="str">
        <f>IFERROR(__xludf.DUMMYFUNCTION("""COMPUTED_VALUE"""),"Diggy")</f>
        <v>Diggy</v>
      </c>
      <c r="X5043" s="33">
        <f>IFERROR(__xludf.DUMMYFUNCTION("""COMPUTED_VALUE"""),0.5)</f>
        <v>0.5</v>
      </c>
    </row>
    <row r="5044">
      <c r="K5044" s="4" t="str">
        <f>IFERROR(__xludf.DUMMYFUNCTION("""COMPUTED_VALUE"""),"EASY SUSHI DELIVERY")</f>
        <v>EASY SUSHI DELIVERY</v>
      </c>
      <c r="L5044" s="32">
        <f>IFERROR(__xludf.DUMMYFUNCTION("""COMPUTED_VALUE"""),2.0)</f>
        <v>2</v>
      </c>
      <c r="M5044" s="4" t="str">
        <f>IFERROR(__xludf.DUMMYFUNCTION("""COMPUTED_VALUE"""),"Saipos Serviços De Software")</f>
        <v>Saipos Serviços De Software</v>
      </c>
      <c r="N5044" s="33">
        <f>IFERROR(__xludf.DUMMYFUNCTION("""COMPUTED_VALUE"""),1.0)</f>
        <v>1</v>
      </c>
      <c r="O5044" s="4" t="str">
        <f>IFERROR(__xludf.DUMMYFUNCTION("""COMPUTED_VALUE"""),"Saipos Serviços De Software")</f>
        <v>Saipos Serviços De Software</v>
      </c>
      <c r="P5044" s="33">
        <f>IFERROR(__xludf.DUMMYFUNCTION("""COMPUTED_VALUE"""),1.0)</f>
        <v>1</v>
      </c>
      <c r="Q5044" s="4" t="str">
        <f>IFERROR(__xludf.DUMMYFUNCTION("""COMPUTED_VALUE"""),"Saipos Serviços De Software")</f>
        <v>Saipos Serviços De Software</v>
      </c>
      <c r="R5044" s="33">
        <f>IFERROR(__xludf.DUMMYFUNCTION("""COMPUTED_VALUE"""),1.0)</f>
        <v>1</v>
      </c>
      <c r="S5044" s="4" t="str">
        <f>IFERROR(__xludf.DUMMYFUNCTION("""COMPUTED_VALUE"""),"Saipos Serviços De Software")</f>
        <v>Saipos Serviços De Software</v>
      </c>
      <c r="T5044" s="33">
        <f>IFERROR(__xludf.DUMMYFUNCTION("""COMPUTED_VALUE"""),1.0)</f>
        <v>1</v>
      </c>
      <c r="U5044" s="4" t="str">
        <f>IFERROR(__xludf.DUMMYFUNCTION("""COMPUTED_VALUE"""),"Saipos Serviços De Software")</f>
        <v>Saipos Serviços De Software</v>
      </c>
      <c r="V5044" s="33">
        <f>IFERROR(__xludf.DUMMYFUNCTION("""COMPUTED_VALUE"""),1.0)</f>
        <v>1</v>
      </c>
      <c r="W5044" s="4" t="str">
        <f>IFERROR(__xludf.DUMMYFUNCTION("""COMPUTED_VALUE"""),"Saipos Serviços De Software")</f>
        <v>Saipos Serviços De Software</v>
      </c>
      <c r="X5044" s="33">
        <f>IFERROR(__xludf.DUMMYFUNCTION("""COMPUTED_VALUE"""),1.0)</f>
        <v>1</v>
      </c>
    </row>
    <row r="5045">
      <c r="K5045" s="4" t="str">
        <f>IFERROR(__xludf.DUMMYFUNCTION("""COMPUTED_VALUE"""),"FECHADO")</f>
        <v>FECHADO</v>
      </c>
      <c r="L5045" s="32">
        <f>IFERROR(__xludf.DUMMYFUNCTION("""COMPUTED_VALUE"""),2.0)</f>
        <v>2</v>
      </c>
      <c r="M5045" s="4" t="str">
        <f>IFERROR(__xludf.DUMMYFUNCTION("""COMPUTED_VALUE"""),"Menu Integrado")</f>
        <v>Menu Integrado</v>
      </c>
      <c r="N5045" s="33">
        <f>IFERROR(__xludf.DUMMYFUNCTION("""COMPUTED_VALUE"""),0.5)</f>
        <v>0.5</v>
      </c>
      <c r="O5045" s="4" t="str">
        <f>IFERROR(__xludf.DUMMYFUNCTION("""COMPUTED_VALUE"""),"null")</f>
        <v>null</v>
      </c>
      <c r="P5045" s="33">
        <f>IFERROR(__xludf.DUMMYFUNCTION("""COMPUTED_VALUE"""),0.5)</f>
        <v>0.5</v>
      </c>
      <c r="Q5045" s="4" t="str">
        <f>IFERROR(__xludf.DUMMYFUNCTION("""COMPUTED_VALUE"""),"null")</f>
        <v>null</v>
      </c>
      <c r="R5045" s="33">
        <f>IFERROR(__xludf.DUMMYFUNCTION("""COMPUTED_VALUE"""),0.5)</f>
        <v>0.5</v>
      </c>
      <c r="S5045" s="4" t="str">
        <f>IFERROR(__xludf.DUMMYFUNCTION("""COMPUTED_VALUE"""),"null")</f>
        <v>null</v>
      </c>
      <c r="T5045" s="33">
        <f>IFERROR(__xludf.DUMMYFUNCTION("""COMPUTED_VALUE"""),1.0)</f>
        <v>1</v>
      </c>
      <c r="U5045" s="4" t="str">
        <f>IFERROR(__xludf.DUMMYFUNCTION("""COMPUTED_VALUE"""),"null")</f>
        <v>null</v>
      </c>
      <c r="V5045" s="33">
        <f>IFERROR(__xludf.DUMMYFUNCTION("""COMPUTED_VALUE"""),1.0)</f>
        <v>1</v>
      </c>
      <c r="W5045" s="4" t="str">
        <f>IFERROR(__xludf.DUMMYFUNCTION("""COMPUTED_VALUE"""),"null")</f>
        <v>null</v>
      </c>
      <c r="X5045" s="33">
        <f>IFERROR(__xludf.DUMMYFUNCTION("""COMPUTED_VALUE"""),1.0)</f>
        <v>1</v>
      </c>
    </row>
    <row r="5046">
      <c r="K5046" s="4" t="str">
        <f>IFERROR(__xludf.DUMMYFUNCTION("""COMPUTED_VALUE"""),"BULL BEEF STEAK HOUSE")</f>
        <v>BULL BEEF STEAK HOUSE</v>
      </c>
      <c r="L5046" s="32">
        <f>IFERROR(__xludf.DUMMYFUNCTION("""COMPUTED_VALUE"""),2.0)</f>
        <v>2</v>
      </c>
      <c r="M5046" s="4" t="str">
        <f>IFERROR(__xludf.DUMMYFUNCTION("""COMPUTED_VALUE"""),"Consumer Soluções Em Tecnologia Ltda")</f>
        <v>Consumer Soluções Em Tecnologia Ltda</v>
      </c>
      <c r="N5046" s="33">
        <f>IFERROR(__xludf.DUMMYFUNCTION("""COMPUTED_VALUE"""),1.0)</f>
        <v>1</v>
      </c>
      <c r="O5046" s="4" t="str">
        <f>IFERROR(__xludf.DUMMYFUNCTION("""COMPUTED_VALUE"""),"Consumer Soluções Em Tecnologia Ltda")</f>
        <v>Consumer Soluções Em Tecnologia Ltda</v>
      </c>
      <c r="P5046" s="33">
        <f>IFERROR(__xludf.DUMMYFUNCTION("""COMPUTED_VALUE"""),1.0)</f>
        <v>1</v>
      </c>
      <c r="Q5046" s="4" t="str">
        <f>IFERROR(__xludf.DUMMYFUNCTION("""COMPUTED_VALUE"""),"Consumer Soluções Em Tecnologia Ltda")</f>
        <v>Consumer Soluções Em Tecnologia Ltda</v>
      </c>
      <c r="R5046" s="33">
        <f>IFERROR(__xludf.DUMMYFUNCTION("""COMPUTED_VALUE"""),1.0)</f>
        <v>1</v>
      </c>
      <c r="S5046" s="4" t="str">
        <f>IFERROR(__xludf.DUMMYFUNCTION("""COMPUTED_VALUE"""),"Consumer Soluções Em Tecnologia Ltda")</f>
        <v>Consumer Soluções Em Tecnologia Ltda</v>
      </c>
      <c r="T5046" s="33">
        <f>IFERROR(__xludf.DUMMYFUNCTION("""COMPUTED_VALUE"""),1.0)</f>
        <v>1</v>
      </c>
      <c r="U5046" s="4" t="str">
        <f>IFERROR(__xludf.DUMMYFUNCTION("""COMPUTED_VALUE"""),"Consumer Soluções Em Tecnologia Ltda")</f>
        <v>Consumer Soluções Em Tecnologia Ltda</v>
      </c>
      <c r="V5046" s="33">
        <f>IFERROR(__xludf.DUMMYFUNCTION("""COMPUTED_VALUE"""),1.0)</f>
        <v>1</v>
      </c>
      <c r="W5046" s="4" t="str">
        <f>IFERROR(__xludf.DUMMYFUNCTION("""COMPUTED_VALUE"""),"Consumer Soluções Em Tecnologia Ltda")</f>
        <v>Consumer Soluções Em Tecnologia Ltda</v>
      </c>
      <c r="X5046" s="33">
        <f>IFERROR(__xludf.DUMMYFUNCTION("""COMPUTED_VALUE"""),1.0)</f>
        <v>1</v>
      </c>
    </row>
    <row r="5047">
      <c r="K5047" s="4" t="str">
        <f>IFERROR(__xludf.DUMMYFUNCTION("""COMPUTED_VALUE"""),"ESTACAO DO LANCHE")</f>
        <v>ESTACAO DO LANCHE</v>
      </c>
      <c r="L5047" s="32">
        <f>IFERROR(__xludf.DUMMYFUNCTION("""COMPUTED_VALUE"""),2.0)</f>
        <v>2</v>
      </c>
      <c r="M5047" s="4" t="str">
        <f>IFERROR(__xludf.DUMMYFUNCTION("""COMPUTED_VALUE"""),"null")</f>
        <v>null</v>
      </c>
      <c r="N5047" s="33">
        <f>IFERROR(__xludf.DUMMYFUNCTION("""COMPUTED_VALUE"""),0.5)</f>
        <v>0.5</v>
      </c>
      <c r="O5047" s="4" t="str">
        <f>IFERROR(__xludf.DUMMYFUNCTION("""COMPUTED_VALUE"""),"Whatsmenu Ltda")</f>
        <v>Whatsmenu Ltda</v>
      </c>
      <c r="P5047" s="33">
        <f>IFERROR(__xludf.DUMMYFUNCTION("""COMPUTED_VALUE"""),0.5)</f>
        <v>0.5</v>
      </c>
      <c r="Q5047" s="4" t="str">
        <f>IFERROR(__xludf.DUMMYFUNCTION("""COMPUTED_VALUE"""),"Whatsmenu Ltda")</f>
        <v>Whatsmenu Ltda</v>
      </c>
      <c r="R5047" s="33">
        <f>IFERROR(__xludf.DUMMYFUNCTION("""COMPUTED_VALUE"""),0.5)</f>
        <v>0.5</v>
      </c>
      <c r="S5047" s="4" t="str">
        <f>IFERROR(__xludf.DUMMYFUNCTION("""COMPUTED_VALUE"""),"null")</f>
        <v>null</v>
      </c>
      <c r="T5047" s="33">
        <f>IFERROR(__xludf.DUMMYFUNCTION("""COMPUTED_VALUE"""),1.0)</f>
        <v>1</v>
      </c>
      <c r="U5047" s="4" t="str">
        <f>IFERROR(__xludf.DUMMYFUNCTION("""COMPUTED_VALUE"""),"Whatsmenu Ltda")</f>
        <v>Whatsmenu Ltda</v>
      </c>
      <c r="V5047" s="33">
        <f>IFERROR(__xludf.DUMMYFUNCTION("""COMPUTED_VALUE"""),0.5)</f>
        <v>0.5</v>
      </c>
      <c r="W5047" s="4" t="str">
        <f>IFERROR(__xludf.DUMMYFUNCTION("""COMPUTED_VALUE"""),"null")</f>
        <v>null</v>
      </c>
      <c r="X5047" s="33">
        <f>IFERROR(__xludf.DUMMYFUNCTION("""COMPUTED_VALUE"""),0.5)</f>
        <v>0.5</v>
      </c>
    </row>
    <row r="5048">
      <c r="K5048" s="4" t="str">
        <f>IFERROR(__xludf.DUMMYFUNCTION("""COMPUTED_VALUE"""),"ACAI AMOR")</f>
        <v>ACAI AMOR</v>
      </c>
      <c r="L5048" s="32">
        <f>IFERROR(__xludf.DUMMYFUNCTION("""COMPUTED_VALUE"""),2.0)</f>
        <v>2</v>
      </c>
      <c r="M5048" s="4" t="str">
        <f>IFERROR(__xludf.DUMMYFUNCTION("""COMPUTED_VALUE"""),"Saipos Serviços De Software")</f>
        <v>Saipos Serviços De Software</v>
      </c>
      <c r="N5048" s="33">
        <f>IFERROR(__xludf.DUMMYFUNCTION("""COMPUTED_VALUE"""),0.5)</f>
        <v>0.5</v>
      </c>
      <c r="O5048" s="4" t="str">
        <f>IFERROR(__xludf.DUMMYFUNCTION("""COMPUTED_VALUE"""),"Saipos Serviços De Software")</f>
        <v>Saipos Serviços De Software</v>
      </c>
      <c r="P5048" s="33">
        <f>IFERROR(__xludf.DUMMYFUNCTION("""COMPUTED_VALUE"""),0.5)</f>
        <v>0.5</v>
      </c>
      <c r="Q5048" s="4" t="str">
        <f>IFERROR(__xludf.DUMMYFUNCTION("""COMPUTED_VALUE"""),"null")</f>
        <v>null</v>
      </c>
      <c r="R5048" s="33">
        <f>IFERROR(__xludf.DUMMYFUNCTION("""COMPUTED_VALUE"""),1.0)</f>
        <v>1</v>
      </c>
      <c r="S5048" s="4" t="str">
        <f>IFERROR(__xludf.DUMMYFUNCTION("""COMPUTED_VALUE"""),"null")</f>
        <v>null</v>
      </c>
      <c r="T5048" s="33">
        <f>IFERROR(__xludf.DUMMYFUNCTION("""COMPUTED_VALUE"""),0.5)</f>
        <v>0.5</v>
      </c>
      <c r="U5048" s="4" t="str">
        <f>IFERROR(__xludf.DUMMYFUNCTION("""COMPUTED_VALUE"""),"null")</f>
        <v>null</v>
      </c>
      <c r="V5048" s="33">
        <f>IFERROR(__xludf.DUMMYFUNCTION("""COMPUTED_VALUE"""),1.0)</f>
        <v>1</v>
      </c>
      <c r="W5048" s="4" t="str">
        <f>IFERROR(__xludf.DUMMYFUNCTION("""COMPUTED_VALUE"""),"null")</f>
        <v>null</v>
      </c>
      <c r="X5048" s="33">
        <f>IFERROR(__xludf.DUMMYFUNCTION("""COMPUTED_VALUE"""),1.0)</f>
        <v>1</v>
      </c>
    </row>
    <row r="5049">
      <c r="K5049" s="4" t="str">
        <f>IFERROR(__xludf.DUMMYFUNCTION("""COMPUTED_VALUE"""),"COSTA VERDE")</f>
        <v>COSTA VERDE</v>
      </c>
      <c r="L5049" s="32">
        <f>IFERROR(__xludf.DUMMYFUNCTION("""COMPUTED_VALUE"""),2.0)</f>
        <v>2</v>
      </c>
      <c r="M5049" s="4" t="str">
        <f>IFERROR(__xludf.DUMMYFUNCTION("""COMPUTED_VALUE"""),"N/A (Not found)")</f>
        <v>N/A (Not found)</v>
      </c>
      <c r="N5049" s="33">
        <f>IFERROR(__xludf.DUMMYFUNCTION("""COMPUTED_VALUE"""),0.5)</f>
        <v>0.5</v>
      </c>
      <c r="O5049" s="4" t="str">
        <f>IFERROR(__xludf.DUMMYFUNCTION("""COMPUTED_VALUE"""),"null")</f>
        <v>null</v>
      </c>
      <c r="P5049" s="33">
        <f>IFERROR(__xludf.DUMMYFUNCTION("""COMPUTED_VALUE"""),0.5)</f>
        <v>0.5</v>
      </c>
      <c r="Q5049" s="4" t="str">
        <f>IFERROR(__xludf.DUMMYFUNCTION("""COMPUTED_VALUE"""),"null")</f>
        <v>null</v>
      </c>
      <c r="R5049" s="33">
        <f>IFERROR(__xludf.DUMMYFUNCTION("""COMPUTED_VALUE"""),0.5)</f>
        <v>0.5</v>
      </c>
      <c r="S5049" s="4" t="str">
        <f>IFERROR(__xludf.DUMMYFUNCTION("""COMPUTED_VALUE"""),"N/A (Not found)")</f>
        <v>N/A (Not found)</v>
      </c>
      <c r="T5049" s="33">
        <f>IFERROR(__xludf.DUMMYFUNCTION("""COMPUTED_VALUE"""),1.0)</f>
        <v>1</v>
      </c>
      <c r="U5049" s="4" t="str">
        <f>IFERROR(__xludf.DUMMYFUNCTION("""COMPUTED_VALUE"""),"N/A (Not found)")</f>
        <v>N/A (Not found)</v>
      </c>
      <c r="V5049" s="33">
        <f>IFERROR(__xludf.DUMMYFUNCTION("""COMPUTED_VALUE"""),1.0)</f>
        <v>1</v>
      </c>
      <c r="W5049" s="4" t="str">
        <f>IFERROR(__xludf.DUMMYFUNCTION("""COMPUTED_VALUE"""),"null")</f>
        <v>null</v>
      </c>
      <c r="X5049" s="33">
        <f>IFERROR(__xludf.DUMMYFUNCTION("""COMPUTED_VALUE"""),0.5)</f>
        <v>0.5</v>
      </c>
    </row>
    <row r="5050">
      <c r="K5050" s="4" t="str">
        <f>IFERROR(__xludf.DUMMYFUNCTION("""COMPUTED_VALUE"""),"PIZZARIA DIVINNUS SABOR")</f>
        <v>PIZZARIA DIVINNUS SABOR</v>
      </c>
      <c r="L5050" s="32">
        <f>IFERROR(__xludf.DUMMYFUNCTION("""COMPUTED_VALUE"""),2.0)</f>
        <v>2</v>
      </c>
      <c r="M5050" s="4" t="str">
        <f>IFERROR(__xludf.DUMMYFUNCTION("""COMPUTED_VALUE"""),"null")</f>
        <v>null</v>
      </c>
      <c r="N5050" s="33">
        <f>IFERROR(__xludf.DUMMYFUNCTION("""COMPUTED_VALUE"""),0.5)</f>
        <v>0.5</v>
      </c>
      <c r="O5050" s="4" t="str">
        <f>IFERROR(__xludf.DUMMYFUNCTION("""COMPUTED_VALUE"""),"null")</f>
        <v>null</v>
      </c>
      <c r="P5050" s="33">
        <f>IFERROR(__xludf.DUMMYFUNCTION("""COMPUTED_VALUE"""),0.5)</f>
        <v>0.5</v>
      </c>
      <c r="Q5050" s="4" t="str">
        <f>IFERROR(__xludf.DUMMYFUNCTION("""COMPUTED_VALUE"""),"null")</f>
        <v>null</v>
      </c>
      <c r="R5050" s="33">
        <f>IFERROR(__xludf.DUMMYFUNCTION("""COMPUTED_VALUE"""),0.5)</f>
        <v>0.5</v>
      </c>
      <c r="S5050" s="4" t="str">
        <f>IFERROR(__xludf.DUMMYFUNCTION("""COMPUTED_VALUE"""),"Cardápio Web")</f>
        <v>Cardápio Web</v>
      </c>
      <c r="T5050" s="33">
        <f>IFERROR(__xludf.DUMMYFUNCTION("""COMPUTED_VALUE"""),1.0)</f>
        <v>1</v>
      </c>
      <c r="U5050" s="4" t="str">
        <f>IFERROR(__xludf.DUMMYFUNCTION("""COMPUTED_VALUE"""),"Cardápio Web")</f>
        <v>Cardápio Web</v>
      </c>
      <c r="V5050" s="33">
        <f>IFERROR(__xludf.DUMMYFUNCTION("""COMPUTED_VALUE"""),1.0)</f>
        <v>1</v>
      </c>
      <c r="W5050" s="4" t="str">
        <f>IFERROR(__xludf.DUMMYFUNCTION("""COMPUTED_VALUE"""),"Cardápio Web")</f>
        <v>Cardápio Web</v>
      </c>
      <c r="X5050" s="33">
        <f>IFERROR(__xludf.DUMMYFUNCTION("""COMPUTED_VALUE"""),0.5)</f>
        <v>0.5</v>
      </c>
    </row>
    <row r="5051">
      <c r="K5051" s="4" t="str">
        <f>IFERROR(__xludf.DUMMYFUNCTION("""COMPUTED_VALUE"""),"TAY SUSHI HOUSE")</f>
        <v>TAY SUSHI HOUSE</v>
      </c>
      <c r="L5051" s="32">
        <f>IFERROR(__xludf.DUMMYFUNCTION("""COMPUTED_VALUE"""),2.0)</f>
        <v>2</v>
      </c>
      <c r="M5051" s="4" t="str">
        <f>IFERROR(__xludf.DUMMYFUNCTION("""COMPUTED_VALUE"""),"Fs Soluções Em Tecnologia Ltda")</f>
        <v>Fs Soluções Em Tecnologia Ltda</v>
      </c>
      <c r="N5051" s="33">
        <f>IFERROR(__xludf.DUMMYFUNCTION("""COMPUTED_VALUE"""),1.0)</f>
        <v>1</v>
      </c>
      <c r="O5051" s="4" t="str">
        <f>IFERROR(__xludf.DUMMYFUNCTION("""COMPUTED_VALUE"""),"null")</f>
        <v>null</v>
      </c>
      <c r="P5051" s="33">
        <f>IFERROR(__xludf.DUMMYFUNCTION("""COMPUTED_VALUE"""),0.5)</f>
        <v>0.5</v>
      </c>
      <c r="Q5051" s="4" t="str">
        <f>IFERROR(__xludf.DUMMYFUNCTION("""COMPUTED_VALUE"""),"Fs Soluções Em Tecnologia Ltda")</f>
        <v>Fs Soluções Em Tecnologia Ltda</v>
      </c>
      <c r="R5051" s="33">
        <f>IFERROR(__xludf.DUMMYFUNCTION("""COMPUTED_VALUE"""),1.0)</f>
        <v>1</v>
      </c>
      <c r="S5051" s="4" t="str">
        <f>IFERROR(__xludf.DUMMYFUNCTION("""COMPUTED_VALUE"""),"Fs Soluções Em Tecnologia Ltda")</f>
        <v>Fs Soluções Em Tecnologia Ltda</v>
      </c>
      <c r="T5051" s="33">
        <f>IFERROR(__xludf.DUMMYFUNCTION("""COMPUTED_VALUE"""),1.0)</f>
        <v>1</v>
      </c>
      <c r="U5051" s="4" t="str">
        <f>IFERROR(__xludf.DUMMYFUNCTION("""COMPUTED_VALUE"""),"Fs Soluções Em Tecnologia Ltda")</f>
        <v>Fs Soluções Em Tecnologia Ltda</v>
      </c>
      <c r="V5051" s="33">
        <f>IFERROR(__xludf.DUMMYFUNCTION("""COMPUTED_VALUE"""),1.0)</f>
        <v>1</v>
      </c>
      <c r="W5051" s="4" t="str">
        <f>IFERROR(__xludf.DUMMYFUNCTION("""COMPUTED_VALUE"""),"Fs Soluções Em Tecnologia Ltda")</f>
        <v>Fs Soluções Em Tecnologia Ltda</v>
      </c>
      <c r="X5051" s="33">
        <f>IFERROR(__xludf.DUMMYFUNCTION("""COMPUTED_VALUE"""),1.0)</f>
        <v>1</v>
      </c>
    </row>
    <row r="5052">
      <c r="K5052" s="4" t="str">
        <f>IFERROR(__xludf.DUMMYFUNCTION("""COMPUTED_VALUE"""),"MIALATE")</f>
        <v>MIALATE</v>
      </c>
      <c r="L5052" s="32">
        <f>IFERROR(__xludf.DUMMYFUNCTION("""COMPUTED_VALUE"""),2.0)</f>
        <v>2</v>
      </c>
      <c r="M5052" s="4" t="str">
        <f>IFERROR(__xludf.DUMMYFUNCTION("""COMPUTED_VALUE"""),"null")</f>
        <v>null</v>
      </c>
      <c r="N5052" s="33">
        <f>IFERROR(__xludf.DUMMYFUNCTION("""COMPUTED_VALUE"""),0.5)</f>
        <v>0.5</v>
      </c>
      <c r="O5052" s="4" t="str">
        <f>IFERROR(__xludf.DUMMYFUNCTION("""COMPUTED_VALUE"""),"null")</f>
        <v>null</v>
      </c>
      <c r="P5052" s="33">
        <f>IFERROR(__xludf.DUMMYFUNCTION("""COMPUTED_VALUE"""),0.5)</f>
        <v>0.5</v>
      </c>
      <c r="Q5052" s="4" t="str">
        <f>IFERROR(__xludf.DUMMYFUNCTION("""COMPUTED_VALUE"""),"null")</f>
        <v>null</v>
      </c>
      <c r="R5052" s="33">
        <f>IFERROR(__xludf.DUMMYFUNCTION("""COMPUTED_VALUE"""),0.5)</f>
        <v>0.5</v>
      </c>
      <c r="S5052" s="4" t="str">
        <f>IFERROR(__xludf.DUMMYFUNCTION("""COMPUTED_VALUE"""),"N/A (Not found)")</f>
        <v>N/A (Not found)</v>
      </c>
      <c r="T5052" s="33">
        <f>IFERROR(__xludf.DUMMYFUNCTION("""COMPUTED_VALUE"""),1.0)</f>
        <v>1</v>
      </c>
      <c r="U5052" s="4" t="str">
        <f>IFERROR(__xludf.DUMMYFUNCTION("""COMPUTED_VALUE"""),"N/A (Not found)")</f>
        <v>N/A (Not found)</v>
      </c>
      <c r="V5052" s="33">
        <f>IFERROR(__xludf.DUMMYFUNCTION("""COMPUTED_VALUE"""),0.5)</f>
        <v>0.5</v>
      </c>
      <c r="W5052" s="4" t="str">
        <f>IFERROR(__xludf.DUMMYFUNCTION("""COMPUTED_VALUE"""),"N/A (Not found)")</f>
        <v>N/A (Not found)</v>
      </c>
      <c r="X5052" s="33">
        <f>IFERROR(__xludf.DUMMYFUNCTION("""COMPUTED_VALUE"""),0.5)</f>
        <v>0.5</v>
      </c>
    </row>
    <row r="5053">
      <c r="K5053" s="4" t="str">
        <f>IFERROR(__xludf.DUMMYFUNCTION("""COMPUTED_VALUE"""),"BOB PIZZARIA")</f>
        <v>BOB PIZZARIA</v>
      </c>
      <c r="L5053" s="32">
        <f>IFERROR(__xludf.DUMMYFUNCTION("""COMPUTED_VALUE"""),2.0)</f>
        <v>2</v>
      </c>
      <c r="M5053" s="4" t="str">
        <f>IFERROR(__xludf.DUMMYFUNCTION("""COMPUTED_VALUE"""),"Cardápio Web")</f>
        <v>Cardápio Web</v>
      </c>
      <c r="N5053" s="33">
        <f>IFERROR(__xludf.DUMMYFUNCTION("""COMPUTED_VALUE"""),0.5)</f>
        <v>0.5</v>
      </c>
      <c r="O5053" s="4" t="str">
        <f>IFERROR(__xludf.DUMMYFUNCTION("""COMPUTED_VALUE"""),"Cardápio Web")</f>
        <v>Cardápio Web</v>
      </c>
      <c r="P5053" s="33">
        <f>IFERROR(__xludf.DUMMYFUNCTION("""COMPUTED_VALUE"""),0.5)</f>
        <v>0.5</v>
      </c>
      <c r="Q5053" s="4" t="str">
        <f>IFERROR(__xludf.DUMMYFUNCTION("""COMPUTED_VALUE"""),"Cardápio Web")</f>
        <v>Cardápio Web</v>
      </c>
      <c r="R5053" s="33">
        <f>IFERROR(__xludf.DUMMYFUNCTION("""COMPUTED_VALUE"""),0.5)</f>
        <v>0.5</v>
      </c>
      <c r="S5053" s="4" t="str">
        <f>IFERROR(__xludf.DUMMYFUNCTION("""COMPUTED_VALUE"""),"Cardápio Web")</f>
        <v>Cardápio Web</v>
      </c>
      <c r="T5053" s="33">
        <f>IFERROR(__xludf.DUMMYFUNCTION("""COMPUTED_VALUE"""),0.5)</f>
        <v>0.5</v>
      </c>
      <c r="U5053" s="4" t="str">
        <f>IFERROR(__xludf.DUMMYFUNCTION("""COMPUTED_VALUE"""),"null")</f>
        <v>null</v>
      </c>
      <c r="V5053" s="33">
        <f>IFERROR(__xludf.DUMMYFUNCTION("""COMPUTED_VALUE"""),1.0)</f>
        <v>1</v>
      </c>
      <c r="W5053" s="4" t="str">
        <f>IFERROR(__xludf.DUMMYFUNCTION("""COMPUTED_VALUE"""),"Cardápio Web")</f>
        <v>Cardápio Web</v>
      </c>
      <c r="X5053" s="33">
        <f>IFERROR(__xludf.DUMMYFUNCTION("""COMPUTED_VALUE"""),1.0)</f>
        <v>1</v>
      </c>
    </row>
    <row r="5054">
      <c r="K5054" s="4" t="str">
        <f>IFERROR(__xludf.DUMMYFUNCTION("""COMPUTED_VALUE"""),"CLICK DELIVERY")</f>
        <v>CLICK DELIVERY</v>
      </c>
      <c r="L5054" s="32">
        <f>IFERROR(__xludf.DUMMYFUNCTION("""COMPUTED_VALUE"""),2.0)</f>
        <v>2</v>
      </c>
      <c r="M5054" s="4" t="str">
        <f>IFERROR(__xludf.DUMMYFUNCTION("""COMPUTED_VALUE"""),"null")</f>
        <v>null</v>
      </c>
      <c r="N5054" s="33">
        <f>IFERROR(__xludf.DUMMYFUNCTION("""COMPUTED_VALUE"""),0.5)</f>
        <v>0.5</v>
      </c>
      <c r="O5054" s="4" t="str">
        <f>IFERROR(__xludf.DUMMYFUNCTION("""COMPUTED_VALUE"""),"null")</f>
        <v>null</v>
      </c>
      <c r="P5054" s="33">
        <f>IFERROR(__xludf.DUMMYFUNCTION("""COMPUTED_VALUE"""),0.5)</f>
        <v>0.5</v>
      </c>
      <c r="Q5054" s="4" t="str">
        <f>IFERROR(__xludf.DUMMYFUNCTION("""COMPUTED_VALUE"""),"null")</f>
        <v>null</v>
      </c>
      <c r="R5054" s="33">
        <f>IFERROR(__xludf.DUMMYFUNCTION("""COMPUTED_VALUE"""),0.5)</f>
        <v>0.5</v>
      </c>
      <c r="S5054" s="4" t="str">
        <f>IFERROR(__xludf.DUMMYFUNCTION("""COMPUTED_VALUE"""),"null")</f>
        <v>null</v>
      </c>
      <c r="T5054" s="33">
        <f>IFERROR(__xludf.DUMMYFUNCTION("""COMPUTED_VALUE"""),0.5)</f>
        <v>0.5</v>
      </c>
      <c r="U5054" s="4" t="str">
        <f>IFERROR(__xludf.DUMMYFUNCTION("""COMPUTED_VALUE"""),"null")</f>
        <v>null</v>
      </c>
      <c r="V5054" s="33">
        <f>IFERROR(__xludf.DUMMYFUNCTION("""COMPUTED_VALUE"""),0.5)</f>
        <v>0.5</v>
      </c>
      <c r="W5054" s="4" t="str">
        <f>IFERROR(__xludf.DUMMYFUNCTION("""COMPUTED_VALUE"""),"N/A (Not found)")</f>
        <v>N/A (Not found)</v>
      </c>
      <c r="X5054" s="33">
        <f>IFERROR(__xludf.DUMMYFUNCTION("""COMPUTED_VALUE"""),0.5)</f>
        <v>0.5</v>
      </c>
    </row>
    <row r="5055">
      <c r="K5055" s="4" t="str">
        <f>IFERROR(__xludf.DUMMYFUNCTION("""COMPUTED_VALUE"""),"ACAI TOP")</f>
        <v>ACAI TOP</v>
      </c>
      <c r="L5055" s="32">
        <f>IFERROR(__xludf.DUMMYFUNCTION("""COMPUTED_VALUE"""),2.0)</f>
        <v>2</v>
      </c>
      <c r="M5055" s="4" t="str">
        <f>IFERROR(__xludf.DUMMYFUNCTION("""COMPUTED_VALUE"""),"Beefood - Sistema Para Restaurantes")</f>
        <v>Beefood - Sistema Para Restaurantes</v>
      </c>
      <c r="N5055" s="33">
        <f>IFERROR(__xludf.DUMMYFUNCTION("""COMPUTED_VALUE"""),0.5)</f>
        <v>0.5</v>
      </c>
      <c r="O5055" s="4" t="str">
        <f>IFERROR(__xludf.DUMMYFUNCTION("""COMPUTED_VALUE"""),"Beefood - Sistema Para Restaurantes")</f>
        <v>Beefood - Sistema Para Restaurantes</v>
      </c>
      <c r="P5055" s="33">
        <f>IFERROR(__xludf.DUMMYFUNCTION("""COMPUTED_VALUE"""),0.5)</f>
        <v>0.5</v>
      </c>
      <c r="Q5055" s="4" t="str">
        <f>IFERROR(__xludf.DUMMYFUNCTION("""COMPUTED_VALUE"""),"Beefood - Sistema Para Restaurantes")</f>
        <v>Beefood - Sistema Para Restaurantes</v>
      </c>
      <c r="R5055" s="33">
        <f>IFERROR(__xludf.DUMMYFUNCTION("""COMPUTED_VALUE"""),0.5)</f>
        <v>0.5</v>
      </c>
      <c r="S5055" s="4" t="str">
        <f>IFERROR(__xludf.DUMMYFUNCTION("""COMPUTED_VALUE"""),"Beefood - Sistema Para Restaurantes")</f>
        <v>Beefood - Sistema Para Restaurantes</v>
      </c>
      <c r="T5055" s="33">
        <f>IFERROR(__xludf.DUMMYFUNCTION("""COMPUTED_VALUE"""),0.5)</f>
        <v>0.5</v>
      </c>
      <c r="U5055" s="4" t="str">
        <f>IFERROR(__xludf.DUMMYFUNCTION("""COMPUTED_VALUE"""),"Beefood - Sistema Para Restaurantes")</f>
        <v>Beefood - Sistema Para Restaurantes</v>
      </c>
      <c r="V5055" s="33">
        <f>IFERROR(__xludf.DUMMYFUNCTION("""COMPUTED_VALUE"""),0.5)</f>
        <v>0.5</v>
      </c>
      <c r="W5055" s="4" t="str">
        <f>IFERROR(__xludf.DUMMYFUNCTION("""COMPUTED_VALUE"""),"Beefood - Sistema Para Restaurantes")</f>
        <v>Beefood - Sistema Para Restaurantes</v>
      </c>
      <c r="X5055" s="33">
        <f>IFERROR(__xludf.DUMMYFUNCTION("""COMPUTED_VALUE"""),0.5)</f>
        <v>0.5</v>
      </c>
    </row>
    <row r="5056">
      <c r="K5056" s="4" t="str">
        <f>IFERROR(__xludf.DUMMYFUNCTION("""COMPUTED_VALUE"""),"QUINTAL DO VINI")</f>
        <v>QUINTAL DO VINI</v>
      </c>
      <c r="L5056" s="32">
        <f>IFERROR(__xludf.DUMMYFUNCTION("""COMPUTED_VALUE"""),2.0)</f>
        <v>2</v>
      </c>
      <c r="M5056" s="4" t="str">
        <f>IFERROR(__xludf.DUMMYFUNCTION("""COMPUTED_VALUE"""),"Xd People Ltda")</f>
        <v>Xd People Ltda</v>
      </c>
      <c r="N5056" s="33">
        <f>IFERROR(__xludf.DUMMYFUNCTION("""COMPUTED_VALUE"""),0.5)</f>
        <v>0.5</v>
      </c>
      <c r="O5056" s="4" t="str">
        <f>IFERROR(__xludf.DUMMYFUNCTION("""COMPUTED_VALUE"""),"null")</f>
        <v>null</v>
      </c>
      <c r="P5056" s="33">
        <f>IFERROR(__xludf.DUMMYFUNCTION("""COMPUTED_VALUE"""),1.0)</f>
        <v>1</v>
      </c>
      <c r="Q5056" s="4" t="str">
        <f>IFERROR(__xludf.DUMMYFUNCTION("""COMPUTED_VALUE"""),"Cardápio Web")</f>
        <v>Cardápio Web</v>
      </c>
      <c r="R5056" s="33">
        <f>IFERROR(__xludf.DUMMYFUNCTION("""COMPUTED_VALUE"""),0.5)</f>
        <v>0.5</v>
      </c>
      <c r="S5056" s="4" t="str">
        <f>IFERROR(__xludf.DUMMYFUNCTION("""COMPUTED_VALUE"""),"Cardápio Web")</f>
        <v>Cardápio Web</v>
      </c>
      <c r="T5056" s="33">
        <f>IFERROR(__xludf.DUMMYFUNCTION("""COMPUTED_VALUE"""),0.5)</f>
        <v>0.5</v>
      </c>
      <c r="U5056" s="4" t="str">
        <f>IFERROR(__xludf.DUMMYFUNCTION("""COMPUTED_VALUE"""),"Cardápio Web")</f>
        <v>Cardápio Web</v>
      </c>
      <c r="V5056" s="33">
        <f>IFERROR(__xludf.DUMMYFUNCTION("""COMPUTED_VALUE"""),1.0)</f>
        <v>1</v>
      </c>
      <c r="W5056" s="4" t="str">
        <f>IFERROR(__xludf.DUMMYFUNCTION("""COMPUTED_VALUE"""),"Cardápio Web")</f>
        <v>Cardápio Web</v>
      </c>
      <c r="X5056" s="33">
        <f>IFERROR(__xludf.DUMMYFUNCTION("""COMPUTED_VALUE"""),1.0)</f>
        <v>1</v>
      </c>
    </row>
    <row r="5057">
      <c r="K5057" s="4" t="str">
        <f>IFERROR(__xludf.DUMMYFUNCTION("""COMPUTED_VALUE"""),"REI DO ESPETO")</f>
        <v>REI DO ESPETO</v>
      </c>
      <c r="L5057" s="32">
        <f>IFERROR(__xludf.DUMMYFUNCTION("""COMPUTED_VALUE"""),2.0)</f>
        <v>2</v>
      </c>
      <c r="M5057" s="4" t="str">
        <f>IFERROR(__xludf.DUMMYFUNCTION("""COMPUTED_VALUE"""),"Yooga")</f>
        <v>Yooga</v>
      </c>
      <c r="N5057" s="33">
        <f>IFERROR(__xludf.DUMMYFUNCTION("""COMPUTED_VALUE"""),0.5)</f>
        <v>0.5</v>
      </c>
      <c r="O5057" s="4" t="str">
        <f>IFERROR(__xludf.DUMMYFUNCTION("""COMPUTED_VALUE"""),"Yooga")</f>
        <v>Yooga</v>
      </c>
      <c r="P5057" s="33">
        <f>IFERROR(__xludf.DUMMYFUNCTION("""COMPUTED_VALUE"""),0.5)</f>
        <v>0.5</v>
      </c>
      <c r="Q5057" s="4" t="str">
        <f>IFERROR(__xludf.DUMMYFUNCTION("""COMPUTED_VALUE"""),"Yooga")</f>
        <v>Yooga</v>
      </c>
      <c r="R5057" s="33">
        <f>IFERROR(__xludf.DUMMYFUNCTION("""COMPUTED_VALUE"""),0.5)</f>
        <v>0.5</v>
      </c>
      <c r="S5057" s="4" t="str">
        <f>IFERROR(__xludf.DUMMYFUNCTION("""COMPUTED_VALUE"""),"null")</f>
        <v>null</v>
      </c>
      <c r="T5057" s="33">
        <f>IFERROR(__xludf.DUMMYFUNCTION("""COMPUTED_VALUE"""),0.5)</f>
        <v>0.5</v>
      </c>
      <c r="U5057" s="4" t="str">
        <f>IFERROR(__xludf.DUMMYFUNCTION("""COMPUTED_VALUE"""),"null")</f>
        <v>null</v>
      </c>
      <c r="V5057" s="33">
        <f>IFERROR(__xludf.DUMMYFUNCTION("""COMPUTED_VALUE"""),0.5)</f>
        <v>0.5</v>
      </c>
      <c r="W5057" s="4" t="str">
        <f>IFERROR(__xludf.DUMMYFUNCTION("""COMPUTED_VALUE"""),"null")</f>
        <v>null</v>
      </c>
      <c r="X5057" s="33">
        <f>IFERROR(__xludf.DUMMYFUNCTION("""COMPUTED_VALUE"""),0.5)</f>
        <v>0.5</v>
      </c>
    </row>
    <row r="5058">
      <c r="K5058" s="4" t="str">
        <f>IFERROR(__xludf.DUMMYFUNCTION("""COMPUTED_VALUE"""),"DROGARIA MILLENIUM")</f>
        <v>DROGARIA MILLENIUM</v>
      </c>
      <c r="L5058" s="32">
        <f>IFERROR(__xludf.DUMMYFUNCTION("""COMPUTED_VALUE"""),2.0)</f>
        <v>2</v>
      </c>
      <c r="M5058" s="4" t="str">
        <f>IFERROR(__xludf.DUMMYFUNCTION("""COMPUTED_VALUE"""),"N/A (Not found)")</f>
        <v>N/A (Not found)</v>
      </c>
      <c r="N5058" s="33">
        <f>IFERROR(__xludf.DUMMYFUNCTION("""COMPUTED_VALUE"""),1.0)</f>
        <v>1</v>
      </c>
      <c r="O5058" s="4" t="str">
        <f>IFERROR(__xludf.DUMMYFUNCTION("""COMPUTED_VALUE"""),"N/A (Not found)")</f>
        <v>N/A (Not found)</v>
      </c>
      <c r="P5058" s="33">
        <f>IFERROR(__xludf.DUMMYFUNCTION("""COMPUTED_VALUE"""),1.0)</f>
        <v>1</v>
      </c>
      <c r="Q5058" s="4" t="str">
        <f>IFERROR(__xludf.DUMMYFUNCTION("""COMPUTED_VALUE"""),"N/A (Not found)")</f>
        <v>N/A (Not found)</v>
      </c>
      <c r="R5058" s="33">
        <f>IFERROR(__xludf.DUMMYFUNCTION("""COMPUTED_VALUE"""),1.0)</f>
        <v>1</v>
      </c>
      <c r="S5058" s="4" t="str">
        <f>IFERROR(__xludf.DUMMYFUNCTION("""COMPUTED_VALUE"""),"N/A (Not found)")</f>
        <v>N/A (Not found)</v>
      </c>
      <c r="T5058" s="33">
        <f>IFERROR(__xludf.DUMMYFUNCTION("""COMPUTED_VALUE"""),1.0)</f>
        <v>1</v>
      </c>
      <c r="U5058" s="4" t="str">
        <f>IFERROR(__xludf.DUMMYFUNCTION("""COMPUTED_VALUE"""),"N/A (Not found)")</f>
        <v>N/A (Not found)</v>
      </c>
      <c r="V5058" s="33">
        <f>IFERROR(__xludf.DUMMYFUNCTION("""COMPUTED_VALUE"""),1.0)</f>
        <v>1</v>
      </c>
      <c r="W5058" s="4" t="str">
        <f>IFERROR(__xludf.DUMMYFUNCTION("""COMPUTED_VALUE"""),"N/A (Not found)")</f>
        <v>N/A (Not found)</v>
      </c>
      <c r="X5058" s="33">
        <f>IFERROR(__xludf.DUMMYFUNCTION("""COMPUTED_VALUE"""),1.0)</f>
        <v>1</v>
      </c>
    </row>
    <row r="5059">
      <c r="K5059" s="4" t="str">
        <f>IFERROR(__xludf.DUMMYFUNCTION("""COMPUTED_VALUE"""),"ACAI SUPREMIER")</f>
        <v>ACAI SUPREMIER</v>
      </c>
      <c r="L5059" s="32">
        <f>IFERROR(__xludf.DUMMYFUNCTION("""COMPUTED_VALUE"""),2.0)</f>
        <v>2</v>
      </c>
      <c r="M5059" s="4" t="str">
        <f>IFERROR(__xludf.DUMMYFUNCTION("""COMPUTED_VALUE"""),"null")</f>
        <v>null</v>
      </c>
      <c r="N5059" s="33">
        <f>IFERROR(__xludf.DUMMYFUNCTION("""COMPUTED_VALUE"""),1.0)</f>
        <v>1</v>
      </c>
      <c r="O5059" s="4" t="str">
        <f>IFERROR(__xludf.DUMMYFUNCTION("""COMPUTED_VALUE"""),"null")</f>
        <v>null</v>
      </c>
      <c r="P5059" s="33">
        <f>IFERROR(__xludf.DUMMYFUNCTION("""COMPUTED_VALUE"""),1.0)</f>
        <v>1</v>
      </c>
      <c r="Q5059" s="4" t="str">
        <f>IFERROR(__xludf.DUMMYFUNCTION("""COMPUTED_VALUE"""),"Saipos Serviços De Software")</f>
        <v>Saipos Serviços De Software</v>
      </c>
      <c r="R5059" s="33">
        <f>IFERROR(__xludf.DUMMYFUNCTION("""COMPUTED_VALUE"""),1.0)</f>
        <v>1</v>
      </c>
      <c r="S5059" s="4" t="str">
        <f>IFERROR(__xludf.DUMMYFUNCTION("""COMPUTED_VALUE"""),"Saipos Serviços De Software")</f>
        <v>Saipos Serviços De Software</v>
      </c>
      <c r="T5059" s="33">
        <f>IFERROR(__xludf.DUMMYFUNCTION("""COMPUTED_VALUE"""),1.0)</f>
        <v>1</v>
      </c>
      <c r="U5059" s="4" t="str">
        <f>IFERROR(__xludf.DUMMYFUNCTION("""COMPUTED_VALUE"""),"Saipos Serviços De Software")</f>
        <v>Saipos Serviços De Software</v>
      </c>
      <c r="V5059" s="33">
        <f>IFERROR(__xludf.DUMMYFUNCTION("""COMPUTED_VALUE"""),0.5)</f>
        <v>0.5</v>
      </c>
      <c r="W5059" s="4" t="str">
        <f>IFERROR(__xludf.DUMMYFUNCTION("""COMPUTED_VALUE"""),"Saipos Serviços De Software")</f>
        <v>Saipos Serviços De Software</v>
      </c>
      <c r="X5059" s="33">
        <f>IFERROR(__xludf.DUMMYFUNCTION("""COMPUTED_VALUE"""),0.5)</f>
        <v>0.5</v>
      </c>
    </row>
    <row r="5060">
      <c r="K5060" s="4" t="str">
        <f>IFERROR(__xludf.DUMMYFUNCTION("""COMPUTED_VALUE"""),"BLAST ACAI")</f>
        <v>BLAST ACAI</v>
      </c>
      <c r="L5060" s="32">
        <f>IFERROR(__xludf.DUMMYFUNCTION("""COMPUTED_VALUE"""),2.0)</f>
        <v>2</v>
      </c>
      <c r="M5060" s="4" t="str">
        <f>IFERROR(__xludf.DUMMYFUNCTION("""COMPUTED_VALUE"""),"Anota Ai Solucoes Digitais S/a")</f>
        <v>Anota Ai Solucoes Digitais S/a</v>
      </c>
      <c r="N5060" s="33">
        <f>IFERROR(__xludf.DUMMYFUNCTION("""COMPUTED_VALUE"""),0.5)</f>
        <v>0.5</v>
      </c>
      <c r="O5060" s="4" t="str">
        <f>IFERROR(__xludf.DUMMYFUNCTION("""COMPUTED_VALUE"""),"Anota Ai Solucoes Digitais S/a")</f>
        <v>Anota Ai Solucoes Digitais S/a</v>
      </c>
      <c r="P5060" s="33">
        <f>IFERROR(__xludf.DUMMYFUNCTION("""COMPUTED_VALUE"""),0.5)</f>
        <v>0.5</v>
      </c>
      <c r="Q5060" s="4" t="str">
        <f>IFERROR(__xludf.DUMMYFUNCTION("""COMPUTED_VALUE"""),"Anota Ai Solucoes Digitais S/a")</f>
        <v>Anota Ai Solucoes Digitais S/a</v>
      </c>
      <c r="R5060" s="33">
        <f>IFERROR(__xludf.DUMMYFUNCTION("""COMPUTED_VALUE"""),0.5)</f>
        <v>0.5</v>
      </c>
      <c r="S5060" s="4" t="str">
        <f>IFERROR(__xludf.DUMMYFUNCTION("""COMPUTED_VALUE"""),"Anota Ai Solucoes Digitais S/a")</f>
        <v>Anota Ai Solucoes Digitais S/a</v>
      </c>
      <c r="T5060" s="33">
        <f>IFERROR(__xludf.DUMMYFUNCTION("""COMPUTED_VALUE"""),0.5)</f>
        <v>0.5</v>
      </c>
      <c r="U5060" s="4" t="str">
        <f>IFERROR(__xludf.DUMMYFUNCTION("""COMPUTED_VALUE"""),"Anota Ai Solucoes Digitais S/a")</f>
        <v>Anota Ai Solucoes Digitais S/a</v>
      </c>
      <c r="V5060" s="33">
        <f>IFERROR(__xludf.DUMMYFUNCTION("""COMPUTED_VALUE"""),0.5)</f>
        <v>0.5</v>
      </c>
      <c r="W5060" s="4" t="str">
        <f>IFERROR(__xludf.DUMMYFUNCTION("""COMPUTED_VALUE"""),"null")</f>
        <v>null</v>
      </c>
      <c r="X5060" s="33">
        <f>IFERROR(__xludf.DUMMYFUNCTION("""COMPUTED_VALUE"""),1.0)</f>
        <v>1</v>
      </c>
    </row>
    <row r="5061">
      <c r="K5061" s="4" t="str">
        <f>IFERROR(__xludf.DUMMYFUNCTION("""COMPUTED_VALUE"""),"DROGARIA ESSENCIAL")</f>
        <v>DROGARIA ESSENCIAL</v>
      </c>
      <c r="L5061" s="32">
        <f>IFERROR(__xludf.DUMMYFUNCTION("""COMPUTED_VALUE"""),2.0)</f>
        <v>2</v>
      </c>
      <c r="M5061" s="4" t="str">
        <f>IFERROR(__xludf.DUMMYFUNCTION("""COMPUTED_VALUE"""),"N/A (Not found)")</f>
        <v>N/A (Not found)</v>
      </c>
      <c r="N5061" s="33">
        <f>IFERROR(__xludf.DUMMYFUNCTION("""COMPUTED_VALUE"""),0.5)</f>
        <v>0.5</v>
      </c>
      <c r="O5061" s="4" t="str">
        <f>IFERROR(__xludf.DUMMYFUNCTION("""COMPUTED_VALUE"""),"N/A (Not found)")</f>
        <v>N/A (Not found)</v>
      </c>
      <c r="P5061" s="33">
        <f>IFERROR(__xludf.DUMMYFUNCTION("""COMPUTED_VALUE"""),0.5)</f>
        <v>0.5</v>
      </c>
      <c r="Q5061" s="4" t="str">
        <f>IFERROR(__xludf.DUMMYFUNCTION("""COMPUTED_VALUE"""),"N/A (Not found)")</f>
        <v>N/A (Not found)</v>
      </c>
      <c r="R5061" s="33">
        <f>IFERROR(__xludf.DUMMYFUNCTION("""COMPUTED_VALUE"""),0.5)</f>
        <v>0.5</v>
      </c>
      <c r="S5061" s="4" t="str">
        <f>IFERROR(__xludf.DUMMYFUNCTION("""COMPUTED_VALUE"""),"N/A (Not found)")</f>
        <v>N/A (Not found)</v>
      </c>
      <c r="T5061" s="33">
        <f>IFERROR(__xludf.DUMMYFUNCTION("""COMPUTED_VALUE"""),0.5)</f>
        <v>0.5</v>
      </c>
      <c r="U5061" s="4" t="str">
        <f>IFERROR(__xludf.DUMMYFUNCTION("""COMPUTED_VALUE"""),"N/A (Not found)")</f>
        <v>N/A (Not found)</v>
      </c>
      <c r="V5061" s="33">
        <f>IFERROR(__xludf.DUMMYFUNCTION("""COMPUTED_VALUE"""),0.5)</f>
        <v>0.5</v>
      </c>
      <c r="W5061" s="4" t="str">
        <f>IFERROR(__xludf.DUMMYFUNCTION("""COMPUTED_VALUE"""),"N/A (Not found)")</f>
        <v>N/A (Not found)</v>
      </c>
      <c r="X5061" s="33">
        <f>IFERROR(__xludf.DUMMYFUNCTION("""COMPUTED_VALUE"""),1.0)</f>
        <v>1</v>
      </c>
    </row>
    <row r="5062">
      <c r="K5062" s="4" t="str">
        <f>IFERROR(__xludf.DUMMYFUNCTION("""COMPUTED_VALUE"""),"GULOSISSIMO - O REI DAS PORCOES - CONTINENTE")</f>
        <v>GULOSISSIMO - O REI DAS PORCOES - CONTINENTE</v>
      </c>
      <c r="L5062" s="32">
        <f>IFERROR(__xludf.DUMMYFUNCTION("""COMPUTED_VALUE"""),2.0)</f>
        <v>2</v>
      </c>
      <c r="M5062" s="4" t="str">
        <f>IFERROR(__xludf.DUMMYFUNCTION("""COMPUTED_VALUE"""),"null")</f>
        <v>null</v>
      </c>
      <c r="N5062" s="33">
        <f>IFERROR(__xludf.DUMMYFUNCTION("""COMPUTED_VALUE"""),0.5)</f>
        <v>0.5</v>
      </c>
      <c r="O5062" s="4" t="str">
        <f>IFERROR(__xludf.DUMMYFUNCTION("""COMPUTED_VALUE"""),"Saipos Serviços De Software")</f>
        <v>Saipos Serviços De Software</v>
      </c>
      <c r="P5062" s="33">
        <f>IFERROR(__xludf.DUMMYFUNCTION("""COMPUTED_VALUE"""),1.0)</f>
        <v>1</v>
      </c>
      <c r="Q5062" s="4" t="str">
        <f>IFERROR(__xludf.DUMMYFUNCTION("""COMPUTED_VALUE"""),"Saipos Serviços De Software")</f>
        <v>Saipos Serviços De Software</v>
      </c>
      <c r="R5062" s="33">
        <f>IFERROR(__xludf.DUMMYFUNCTION("""COMPUTED_VALUE"""),1.0)</f>
        <v>1</v>
      </c>
      <c r="S5062" s="4" t="str">
        <f>IFERROR(__xludf.DUMMYFUNCTION("""COMPUTED_VALUE"""),"Saipos Serviços De Software")</f>
        <v>Saipos Serviços De Software</v>
      </c>
      <c r="T5062" s="33">
        <f>IFERROR(__xludf.DUMMYFUNCTION("""COMPUTED_VALUE"""),1.0)</f>
        <v>1</v>
      </c>
      <c r="U5062" s="4" t="str">
        <f>IFERROR(__xludf.DUMMYFUNCTION("""COMPUTED_VALUE"""),"Saipos Serviços De Software")</f>
        <v>Saipos Serviços De Software</v>
      </c>
      <c r="V5062" s="33">
        <f>IFERROR(__xludf.DUMMYFUNCTION("""COMPUTED_VALUE"""),0.5)</f>
        <v>0.5</v>
      </c>
      <c r="W5062" s="4" t="str">
        <f>IFERROR(__xludf.DUMMYFUNCTION("""COMPUTED_VALUE"""),"Saipos Serviços De Software")</f>
        <v>Saipos Serviços De Software</v>
      </c>
      <c r="X5062" s="33">
        <f>IFERROR(__xludf.DUMMYFUNCTION("""COMPUTED_VALUE"""),0.5)</f>
        <v>0.5</v>
      </c>
    </row>
    <row r="5063">
      <c r="K5063" s="4" t="str">
        <f>IFERROR(__xludf.DUMMYFUNCTION("""COMPUTED_VALUE"""),"ACARAJE DA CAROL")</f>
        <v>ACARAJE DA CAROL</v>
      </c>
      <c r="L5063" s="32">
        <f>IFERROR(__xludf.DUMMYFUNCTION("""COMPUTED_VALUE"""),2.0)</f>
        <v>2</v>
      </c>
      <c r="M5063" s="4" t="str">
        <f>IFERROR(__xludf.DUMMYFUNCTION("""COMPUTED_VALUE"""),"null")</f>
        <v>null</v>
      </c>
      <c r="N5063" s="33">
        <f>IFERROR(__xludf.DUMMYFUNCTION("""COMPUTED_VALUE"""),0.5)</f>
        <v>0.5</v>
      </c>
      <c r="O5063" s="4" t="str">
        <f>IFERROR(__xludf.DUMMYFUNCTION("""COMPUTED_VALUE"""),"Cloudfy")</f>
        <v>Cloudfy</v>
      </c>
      <c r="P5063" s="33">
        <f>IFERROR(__xludf.DUMMYFUNCTION("""COMPUTED_VALUE"""),0.5)</f>
        <v>0.5</v>
      </c>
      <c r="Q5063" s="4" t="str">
        <f>IFERROR(__xludf.DUMMYFUNCTION("""COMPUTED_VALUE"""),"Cloudfy")</f>
        <v>Cloudfy</v>
      </c>
      <c r="R5063" s="33">
        <f>IFERROR(__xludf.DUMMYFUNCTION("""COMPUTED_VALUE"""),0.5)</f>
        <v>0.5</v>
      </c>
      <c r="S5063" s="4" t="str">
        <f>IFERROR(__xludf.DUMMYFUNCTION("""COMPUTED_VALUE"""),"Cloudfy")</f>
        <v>Cloudfy</v>
      </c>
      <c r="T5063" s="33">
        <f>IFERROR(__xludf.DUMMYFUNCTION("""COMPUTED_VALUE"""),0.5)</f>
        <v>0.5</v>
      </c>
      <c r="U5063" s="4" t="str">
        <f>IFERROR(__xludf.DUMMYFUNCTION("""COMPUTED_VALUE"""),"Cloudfy")</f>
        <v>Cloudfy</v>
      </c>
      <c r="V5063" s="33">
        <f>IFERROR(__xludf.DUMMYFUNCTION("""COMPUTED_VALUE"""),0.5)</f>
        <v>0.5</v>
      </c>
      <c r="W5063" s="4" t="str">
        <f>IFERROR(__xludf.DUMMYFUNCTION("""COMPUTED_VALUE"""),"Cloudfy")</f>
        <v>Cloudfy</v>
      </c>
      <c r="X5063" s="33">
        <f>IFERROR(__xludf.DUMMYFUNCTION("""COMPUTED_VALUE"""),0.5)</f>
        <v>0.5</v>
      </c>
    </row>
    <row r="5064">
      <c r="K5064" s="4" t="str">
        <f>IFERROR(__xludf.DUMMYFUNCTION("""COMPUTED_VALUE"""),"RICK BURGER")</f>
        <v>RICK BURGER</v>
      </c>
      <c r="L5064" s="32">
        <f>IFERROR(__xludf.DUMMYFUNCTION("""COMPUTED_VALUE"""),2.0)</f>
        <v>2</v>
      </c>
      <c r="M5064" s="4" t="str">
        <f>IFERROR(__xludf.DUMMYFUNCTION("""COMPUTED_VALUE"""),"Anota Ai Solucoes Digitais S/a")</f>
        <v>Anota Ai Solucoes Digitais S/a</v>
      </c>
      <c r="N5064" s="33">
        <f>IFERROR(__xludf.DUMMYFUNCTION("""COMPUTED_VALUE"""),0.5)</f>
        <v>0.5</v>
      </c>
      <c r="O5064" s="4" t="str">
        <f>IFERROR(__xludf.DUMMYFUNCTION("""COMPUTED_VALUE"""),"Anota Ai Solucoes Digitais S/a")</f>
        <v>Anota Ai Solucoes Digitais S/a</v>
      </c>
      <c r="P5064" s="33">
        <f>IFERROR(__xludf.DUMMYFUNCTION("""COMPUTED_VALUE"""),0.5)</f>
        <v>0.5</v>
      </c>
      <c r="Q5064" s="4" t="str">
        <f>IFERROR(__xludf.DUMMYFUNCTION("""COMPUTED_VALUE"""),"Anota Ai Solucoes Digitais S/a")</f>
        <v>Anota Ai Solucoes Digitais S/a</v>
      </c>
      <c r="R5064" s="33">
        <f>IFERROR(__xludf.DUMMYFUNCTION("""COMPUTED_VALUE"""),0.5)</f>
        <v>0.5</v>
      </c>
      <c r="S5064" s="4" t="str">
        <f>IFERROR(__xludf.DUMMYFUNCTION("""COMPUTED_VALUE"""),"Anota Ai Solucoes Digitais S/a")</f>
        <v>Anota Ai Solucoes Digitais S/a</v>
      </c>
      <c r="T5064" s="33">
        <f>IFERROR(__xludf.DUMMYFUNCTION("""COMPUTED_VALUE"""),0.5)</f>
        <v>0.5</v>
      </c>
      <c r="U5064" s="4" t="str">
        <f>IFERROR(__xludf.DUMMYFUNCTION("""COMPUTED_VALUE"""),"Anota Ai Solucoes Digitais S/a")</f>
        <v>Anota Ai Solucoes Digitais S/a</v>
      </c>
      <c r="V5064" s="33">
        <f>IFERROR(__xludf.DUMMYFUNCTION("""COMPUTED_VALUE"""),0.5)</f>
        <v>0.5</v>
      </c>
      <c r="W5064" s="4" t="str">
        <f>IFERROR(__xludf.DUMMYFUNCTION("""COMPUTED_VALUE"""),"Anota Ai Solucoes Digitais S/a")</f>
        <v>Anota Ai Solucoes Digitais S/a</v>
      </c>
      <c r="X5064" s="33">
        <f>IFERROR(__xludf.DUMMYFUNCTION("""COMPUTED_VALUE"""),1.0)</f>
        <v>1</v>
      </c>
    </row>
    <row r="5065">
      <c r="K5065" s="4" t="str">
        <f>IFERROR(__xludf.DUMMYFUNCTION("""COMPUTED_VALUE"""),"DONA FEIJOADA")</f>
        <v>DONA FEIJOADA</v>
      </c>
      <c r="L5065" s="32">
        <f>IFERROR(__xludf.DUMMYFUNCTION("""COMPUTED_VALUE"""),2.0)</f>
        <v>2</v>
      </c>
      <c r="M5065" s="4" t="str">
        <f>IFERROR(__xludf.DUMMYFUNCTION("""COMPUTED_VALUE"""),"Whatsmenu Ltda")</f>
        <v>Whatsmenu Ltda</v>
      </c>
      <c r="N5065" s="33">
        <f>IFERROR(__xludf.DUMMYFUNCTION("""COMPUTED_VALUE"""),0.5)</f>
        <v>0.5</v>
      </c>
      <c r="O5065" s="4" t="str">
        <f>IFERROR(__xludf.DUMMYFUNCTION("""COMPUTED_VALUE"""),"null")</f>
        <v>null</v>
      </c>
      <c r="P5065" s="33">
        <f>IFERROR(__xludf.DUMMYFUNCTION("""COMPUTED_VALUE"""),1.0)</f>
        <v>1</v>
      </c>
      <c r="Q5065" s="4" t="str">
        <f>IFERROR(__xludf.DUMMYFUNCTION("""COMPUTED_VALUE"""),"null")</f>
        <v>null</v>
      </c>
      <c r="R5065" s="33">
        <f>IFERROR(__xludf.DUMMYFUNCTION("""COMPUTED_VALUE"""),1.0)</f>
        <v>1</v>
      </c>
      <c r="S5065" s="4" t="str">
        <f>IFERROR(__xludf.DUMMYFUNCTION("""COMPUTED_VALUE"""),"null")</f>
        <v>null</v>
      </c>
      <c r="T5065" s="33">
        <f>IFERROR(__xludf.DUMMYFUNCTION("""COMPUTED_VALUE"""),1.0)</f>
        <v>1</v>
      </c>
      <c r="U5065" s="4" t="str">
        <f>IFERROR(__xludf.DUMMYFUNCTION("""COMPUTED_VALUE"""),"null")</f>
        <v>null</v>
      </c>
      <c r="V5065" s="33">
        <f>IFERROR(__xludf.DUMMYFUNCTION("""COMPUTED_VALUE"""),0.5)</f>
        <v>0.5</v>
      </c>
      <c r="W5065" s="4" t="str">
        <f>IFERROR(__xludf.DUMMYFUNCTION("""COMPUTED_VALUE"""),"null")</f>
        <v>null</v>
      </c>
      <c r="X5065" s="33">
        <f>IFERROR(__xludf.DUMMYFUNCTION("""COMPUTED_VALUE"""),0.5)</f>
        <v>0.5</v>
      </c>
    </row>
    <row r="5066">
      <c r="K5066" s="4" t="str">
        <f>IFERROR(__xludf.DUMMYFUNCTION("""COMPUTED_VALUE"""),"TADAMICHI SUSHI")</f>
        <v>TADAMICHI SUSHI</v>
      </c>
      <c r="L5066" s="32">
        <f>IFERROR(__xludf.DUMMYFUNCTION("""COMPUTED_VALUE"""),2.0)</f>
        <v>2</v>
      </c>
      <c r="M5066" s="4" t="str">
        <f>IFERROR(__xludf.DUMMYFUNCTION("""COMPUTED_VALUE"""),"Diggy")</f>
        <v>Diggy</v>
      </c>
      <c r="N5066" s="33">
        <f>IFERROR(__xludf.DUMMYFUNCTION("""COMPUTED_VALUE"""),1.0)</f>
        <v>1</v>
      </c>
      <c r="O5066" s="4" t="str">
        <f>IFERROR(__xludf.DUMMYFUNCTION("""COMPUTED_VALUE"""),"null")</f>
        <v>null</v>
      </c>
      <c r="P5066" s="33">
        <f>IFERROR(__xludf.DUMMYFUNCTION("""COMPUTED_VALUE"""),0.5)</f>
        <v>0.5</v>
      </c>
      <c r="Q5066" s="4" t="str">
        <f>IFERROR(__xludf.DUMMYFUNCTION("""COMPUTED_VALUE"""),"Diggy")</f>
        <v>Diggy</v>
      </c>
      <c r="R5066" s="33">
        <f>IFERROR(__xludf.DUMMYFUNCTION("""COMPUTED_VALUE"""),1.0)</f>
        <v>1</v>
      </c>
      <c r="S5066" s="4" t="str">
        <f>IFERROR(__xludf.DUMMYFUNCTION("""COMPUTED_VALUE"""),"Diggy")</f>
        <v>Diggy</v>
      </c>
      <c r="T5066" s="33">
        <f>IFERROR(__xludf.DUMMYFUNCTION("""COMPUTED_VALUE"""),1.0)</f>
        <v>1</v>
      </c>
      <c r="U5066" s="4" t="str">
        <f>IFERROR(__xludf.DUMMYFUNCTION("""COMPUTED_VALUE"""),"Diggy")</f>
        <v>Diggy</v>
      </c>
      <c r="V5066" s="33">
        <f>IFERROR(__xludf.DUMMYFUNCTION("""COMPUTED_VALUE"""),1.0)</f>
        <v>1</v>
      </c>
      <c r="W5066" s="4" t="str">
        <f>IFERROR(__xludf.DUMMYFUNCTION("""COMPUTED_VALUE"""),"Diggy")</f>
        <v>Diggy</v>
      </c>
      <c r="X5066" s="33">
        <f>IFERROR(__xludf.DUMMYFUNCTION("""COMPUTED_VALUE"""),1.0)</f>
        <v>1</v>
      </c>
    </row>
    <row r="5067">
      <c r="K5067" s="4" t="str">
        <f>IFERROR(__xludf.DUMMYFUNCTION("""COMPUTED_VALUE"""),"IBITURUNA PIZZARIA")</f>
        <v>IBITURUNA PIZZARIA</v>
      </c>
      <c r="L5067" s="32">
        <f>IFERROR(__xludf.DUMMYFUNCTION("""COMPUTED_VALUE"""),2.0)</f>
        <v>2</v>
      </c>
      <c r="M5067" s="4" t="str">
        <f>IFERROR(__xludf.DUMMYFUNCTION("""COMPUTED_VALUE"""),"Cardápio Web")</f>
        <v>Cardápio Web</v>
      </c>
      <c r="N5067" s="33">
        <f>IFERROR(__xludf.DUMMYFUNCTION("""COMPUTED_VALUE"""),1.0)</f>
        <v>1</v>
      </c>
      <c r="O5067" s="4" t="str">
        <f>IFERROR(__xludf.DUMMYFUNCTION("""COMPUTED_VALUE"""),"Cardápio Web")</f>
        <v>Cardápio Web</v>
      </c>
      <c r="P5067" s="33">
        <f>IFERROR(__xludf.DUMMYFUNCTION("""COMPUTED_VALUE"""),1.0)</f>
        <v>1</v>
      </c>
      <c r="Q5067" s="4" t="str">
        <f>IFERROR(__xludf.DUMMYFUNCTION("""COMPUTED_VALUE"""),"null")</f>
        <v>null</v>
      </c>
      <c r="R5067" s="33">
        <f>IFERROR(__xludf.DUMMYFUNCTION("""COMPUTED_VALUE"""),0.5)</f>
        <v>0.5</v>
      </c>
      <c r="S5067" s="4" t="str">
        <f>IFERROR(__xludf.DUMMYFUNCTION("""COMPUTED_VALUE"""),"Cardápio Web")</f>
        <v>Cardápio Web</v>
      </c>
      <c r="T5067" s="33">
        <f>IFERROR(__xludf.DUMMYFUNCTION("""COMPUTED_VALUE"""),1.0)</f>
        <v>1</v>
      </c>
      <c r="U5067" s="4" t="str">
        <f>IFERROR(__xludf.DUMMYFUNCTION("""COMPUTED_VALUE"""),"null")</f>
        <v>null</v>
      </c>
      <c r="V5067" s="33">
        <f>IFERROR(__xludf.DUMMYFUNCTION("""COMPUTED_VALUE"""),0.5)</f>
        <v>0.5</v>
      </c>
      <c r="W5067" s="4" t="str">
        <f>IFERROR(__xludf.DUMMYFUNCTION("""COMPUTED_VALUE"""),"null")</f>
        <v>null</v>
      </c>
      <c r="X5067" s="33">
        <f>IFERROR(__xludf.DUMMYFUNCTION("""COMPUTED_VALUE"""),0.5)</f>
        <v>0.5</v>
      </c>
    </row>
    <row r="5068">
      <c r="K5068" s="4" t="str">
        <f>IFERROR(__xludf.DUMMYFUNCTION("""COMPUTED_VALUE"""),"ACAI DO NAM")</f>
        <v>ACAI DO NAM</v>
      </c>
      <c r="L5068" s="32">
        <f>IFERROR(__xludf.DUMMYFUNCTION("""COMPUTED_VALUE"""),2.0)</f>
        <v>2</v>
      </c>
      <c r="M5068" s="4" t="str">
        <f>IFERROR(__xludf.DUMMYFUNCTION("""COMPUTED_VALUE"""),"null")</f>
        <v>null</v>
      </c>
      <c r="N5068" s="33">
        <f>IFERROR(__xludf.DUMMYFUNCTION("""COMPUTED_VALUE"""),0.5)</f>
        <v>0.5</v>
      </c>
      <c r="O5068" s="4" t="str">
        <f>IFERROR(__xludf.DUMMYFUNCTION("""COMPUTED_VALUE"""),"null")</f>
        <v>null</v>
      </c>
      <c r="P5068" s="33">
        <f>IFERROR(__xludf.DUMMYFUNCTION("""COMPUTED_VALUE"""),1.0)</f>
        <v>1</v>
      </c>
      <c r="Q5068" s="4" t="str">
        <f>IFERROR(__xludf.DUMMYFUNCTION("""COMPUTED_VALUE"""),"null")</f>
        <v>null</v>
      </c>
      <c r="R5068" s="33">
        <f>IFERROR(__xludf.DUMMYFUNCTION("""COMPUTED_VALUE"""),1.0)</f>
        <v>1</v>
      </c>
      <c r="S5068" s="4" t="str">
        <f>IFERROR(__xludf.DUMMYFUNCTION("""COMPUTED_VALUE"""),"null")</f>
        <v>null</v>
      </c>
      <c r="T5068" s="33">
        <f>IFERROR(__xludf.DUMMYFUNCTION("""COMPUTED_VALUE"""),1.0)</f>
        <v>1</v>
      </c>
      <c r="U5068" s="4" t="str">
        <f>IFERROR(__xludf.DUMMYFUNCTION("""COMPUTED_VALUE"""),"Anota Ai Solucoes Digitais S/a")</f>
        <v>Anota Ai Solucoes Digitais S/a</v>
      </c>
      <c r="V5068" s="33">
        <f>IFERROR(__xludf.DUMMYFUNCTION("""COMPUTED_VALUE"""),0.5)</f>
        <v>0.5</v>
      </c>
      <c r="W5068" s="4" t="str">
        <f>IFERROR(__xludf.DUMMYFUNCTION("""COMPUTED_VALUE"""),"Anota Ai Solucoes Digitais S/a")</f>
        <v>Anota Ai Solucoes Digitais S/a</v>
      </c>
      <c r="X5068" s="33">
        <f>IFERROR(__xludf.DUMMYFUNCTION("""COMPUTED_VALUE"""),0.5)</f>
        <v>0.5</v>
      </c>
    </row>
    <row r="5069">
      <c r="K5069" s="4" t="str">
        <f>IFERROR(__xludf.DUMMYFUNCTION("""COMPUTED_VALUE"""),"DOM BOSCO RESTAURANTE E PIZZARIA")</f>
        <v>DOM BOSCO RESTAURANTE E PIZZARIA</v>
      </c>
      <c r="L5069" s="32">
        <f>IFERROR(__xludf.DUMMYFUNCTION("""COMPUTED_VALUE"""),2.0)</f>
        <v>2</v>
      </c>
      <c r="M5069" s="4" t="str">
        <f>IFERROR(__xludf.DUMMYFUNCTION("""COMPUTED_VALUE"""),"Ncr")</f>
        <v>Ncr</v>
      </c>
      <c r="N5069" s="33">
        <f>IFERROR(__xludf.DUMMYFUNCTION("""COMPUTED_VALUE"""),0.5)</f>
        <v>0.5</v>
      </c>
      <c r="O5069" s="4" t="str">
        <f>IFERROR(__xludf.DUMMYFUNCTION("""COMPUTED_VALUE"""),"Ncr")</f>
        <v>Ncr</v>
      </c>
      <c r="P5069" s="33">
        <f>IFERROR(__xludf.DUMMYFUNCTION("""COMPUTED_VALUE"""),0.5)</f>
        <v>0.5</v>
      </c>
      <c r="Q5069" s="4" t="str">
        <f>IFERROR(__xludf.DUMMYFUNCTION("""COMPUTED_VALUE"""),"Ncr")</f>
        <v>Ncr</v>
      </c>
      <c r="R5069" s="33">
        <f>IFERROR(__xludf.DUMMYFUNCTION("""COMPUTED_VALUE"""),0.5)</f>
        <v>0.5</v>
      </c>
      <c r="S5069" s="4" t="str">
        <f>IFERROR(__xludf.DUMMYFUNCTION("""COMPUTED_VALUE"""),"Ncr")</f>
        <v>Ncr</v>
      </c>
      <c r="T5069" s="33">
        <f>IFERROR(__xludf.DUMMYFUNCTION("""COMPUTED_VALUE"""),0.5)</f>
        <v>0.5</v>
      </c>
      <c r="U5069" s="4" t="str">
        <f>IFERROR(__xludf.DUMMYFUNCTION("""COMPUTED_VALUE"""),"Ncr")</f>
        <v>Ncr</v>
      </c>
      <c r="V5069" s="33">
        <f>IFERROR(__xludf.DUMMYFUNCTION("""COMPUTED_VALUE"""),0.5)</f>
        <v>0.5</v>
      </c>
      <c r="W5069" s="4" t="str">
        <f>IFERROR(__xludf.DUMMYFUNCTION("""COMPUTED_VALUE"""),"null")</f>
        <v>null</v>
      </c>
      <c r="X5069" s="33">
        <f>IFERROR(__xludf.DUMMYFUNCTION("""COMPUTED_VALUE"""),0.5)</f>
        <v>0.5</v>
      </c>
    </row>
    <row r="5070">
      <c r="K5070" s="4" t="str">
        <f>IFERROR(__xludf.DUMMYFUNCTION("""COMPUTED_VALUE"""),"RAIMUNDINHO PORCAO E LANCHES")</f>
        <v>RAIMUNDINHO PORCAO E LANCHES</v>
      </c>
      <c r="L5070" s="32">
        <f>IFERROR(__xludf.DUMMYFUNCTION("""COMPUTED_VALUE"""),2.0)</f>
        <v>2</v>
      </c>
      <c r="M5070" s="4" t="str">
        <f>IFERROR(__xludf.DUMMYFUNCTION("""COMPUTED_VALUE"""),"Waybe Soluções Em Tecnologia Da Informação Ltda")</f>
        <v>Waybe Soluções Em Tecnologia Da Informação Ltda</v>
      </c>
      <c r="N5070" s="33">
        <f>IFERROR(__xludf.DUMMYFUNCTION("""COMPUTED_VALUE"""),1.0)</f>
        <v>1</v>
      </c>
      <c r="O5070" s="4" t="str">
        <f>IFERROR(__xludf.DUMMYFUNCTION("""COMPUTED_VALUE"""),"Waybe Soluções Em Tecnologia Da Informação Ltda")</f>
        <v>Waybe Soluções Em Tecnologia Da Informação Ltda</v>
      </c>
      <c r="P5070" s="33">
        <f>IFERROR(__xludf.DUMMYFUNCTION("""COMPUTED_VALUE"""),0.5)</f>
        <v>0.5</v>
      </c>
      <c r="Q5070" s="4" t="str">
        <f>IFERROR(__xludf.DUMMYFUNCTION("""COMPUTED_VALUE"""),"Waybe Soluções Em Tecnologia Da Informação Ltda")</f>
        <v>Waybe Soluções Em Tecnologia Da Informação Ltda</v>
      </c>
      <c r="R5070" s="33">
        <f>IFERROR(__xludf.DUMMYFUNCTION("""COMPUTED_VALUE"""),0.5)</f>
        <v>0.5</v>
      </c>
      <c r="S5070" s="4" t="str">
        <f>IFERROR(__xludf.DUMMYFUNCTION("""COMPUTED_VALUE"""),"Waybe Soluções Em Tecnologia Da Informação Ltda")</f>
        <v>Waybe Soluções Em Tecnologia Da Informação Ltda</v>
      </c>
      <c r="T5070" s="33">
        <f>IFERROR(__xludf.DUMMYFUNCTION("""COMPUTED_VALUE"""),0.5)</f>
        <v>0.5</v>
      </c>
      <c r="U5070" s="4" t="str">
        <f>IFERROR(__xludf.DUMMYFUNCTION("""COMPUTED_VALUE"""),"Waybe Soluções Em Tecnologia Da Informação Ltda")</f>
        <v>Waybe Soluções Em Tecnologia Da Informação Ltda</v>
      </c>
      <c r="V5070" s="33">
        <f>IFERROR(__xludf.DUMMYFUNCTION("""COMPUTED_VALUE"""),0.5)</f>
        <v>0.5</v>
      </c>
      <c r="W5070" s="4" t="str">
        <f>IFERROR(__xludf.DUMMYFUNCTION("""COMPUTED_VALUE"""),"Waybe Soluções Em Tecnologia Da Informação Ltda")</f>
        <v>Waybe Soluções Em Tecnologia Da Informação Ltda</v>
      </c>
      <c r="X5070" s="33">
        <f>IFERROR(__xludf.DUMMYFUNCTION("""COMPUTED_VALUE"""),1.0)</f>
        <v>1</v>
      </c>
    </row>
    <row r="5071">
      <c r="K5071" s="4" t="str">
        <f>IFERROR(__xludf.DUMMYFUNCTION("""COMPUTED_VALUE"""),"CESTAS, PRESENTES E FLORES - PROMOCAO")</f>
        <v>CESTAS, PRESENTES E FLORES - PROMOCAO</v>
      </c>
      <c r="L5071" s="32">
        <f>IFERROR(__xludf.DUMMYFUNCTION("""COMPUTED_VALUE"""),2.0)</f>
        <v>2</v>
      </c>
      <c r="M5071" s="4" t="str">
        <f>IFERROR(__xludf.DUMMYFUNCTION("""COMPUTED_VALUE"""),"Hubster")</f>
        <v>Hubster</v>
      </c>
      <c r="N5071" s="33">
        <f>IFERROR(__xludf.DUMMYFUNCTION("""COMPUTED_VALUE"""),1.0)</f>
        <v>1</v>
      </c>
      <c r="O5071" s="4" t="str">
        <f>IFERROR(__xludf.DUMMYFUNCTION("""COMPUTED_VALUE"""),"Hubster")</f>
        <v>Hubster</v>
      </c>
      <c r="P5071" s="33">
        <f>IFERROR(__xludf.DUMMYFUNCTION("""COMPUTED_VALUE"""),1.0)</f>
        <v>1</v>
      </c>
      <c r="Q5071" s="4" t="str">
        <f>IFERROR(__xludf.DUMMYFUNCTION("""COMPUTED_VALUE"""),"Hubster")</f>
        <v>Hubster</v>
      </c>
      <c r="R5071" s="33">
        <f>IFERROR(__xludf.DUMMYFUNCTION("""COMPUTED_VALUE"""),1.0)</f>
        <v>1</v>
      </c>
      <c r="S5071" s="4" t="str">
        <f>IFERROR(__xludf.DUMMYFUNCTION("""COMPUTED_VALUE"""),"Hubster")</f>
        <v>Hubster</v>
      </c>
      <c r="T5071" s="33">
        <f>IFERROR(__xludf.DUMMYFUNCTION("""COMPUTED_VALUE"""),1.0)</f>
        <v>1</v>
      </c>
      <c r="U5071" s="4" t="str">
        <f>IFERROR(__xludf.DUMMYFUNCTION("""COMPUTED_VALUE"""),"null")</f>
        <v>null</v>
      </c>
      <c r="V5071" s="33">
        <f>IFERROR(__xludf.DUMMYFUNCTION("""COMPUTED_VALUE"""),1.0)</f>
        <v>1</v>
      </c>
      <c r="W5071" s="4" t="str">
        <f>IFERROR(__xludf.DUMMYFUNCTION("""COMPUTED_VALUE"""),"null")</f>
        <v>null</v>
      </c>
      <c r="X5071" s="33">
        <f>IFERROR(__xludf.DUMMYFUNCTION("""COMPUTED_VALUE"""),1.0)</f>
        <v>1</v>
      </c>
    </row>
    <row r="5072">
      <c r="K5072" s="4" t="str">
        <f>IFERROR(__xludf.DUMMYFUNCTION("""COMPUTED_VALUE"""),"PIZZAS HOUSE")</f>
        <v>PIZZAS HOUSE</v>
      </c>
      <c r="L5072" s="32">
        <f>IFERROR(__xludf.DUMMYFUNCTION("""COMPUTED_VALUE"""),2.0)</f>
        <v>2</v>
      </c>
      <c r="M5072" s="4" t="str">
        <f>IFERROR(__xludf.DUMMYFUNCTION("""COMPUTED_VALUE"""),"Anota Ai Solucoes Digitais S/a")</f>
        <v>Anota Ai Solucoes Digitais S/a</v>
      </c>
      <c r="N5072" s="33">
        <f>IFERROR(__xludf.DUMMYFUNCTION("""COMPUTED_VALUE"""),1.0)</f>
        <v>1</v>
      </c>
      <c r="O5072" s="4" t="str">
        <f>IFERROR(__xludf.DUMMYFUNCTION("""COMPUTED_VALUE"""),"Anota Ai Solucoes Digitais S/a")</f>
        <v>Anota Ai Solucoes Digitais S/a</v>
      </c>
      <c r="P5072" s="33">
        <f>IFERROR(__xludf.DUMMYFUNCTION("""COMPUTED_VALUE"""),1.0)</f>
        <v>1</v>
      </c>
      <c r="Q5072" s="4" t="str">
        <f>IFERROR(__xludf.DUMMYFUNCTION("""COMPUTED_VALUE"""),"Anota Ai Solucoes Digitais S/a")</f>
        <v>Anota Ai Solucoes Digitais S/a</v>
      </c>
      <c r="R5072" s="33">
        <f>IFERROR(__xludf.DUMMYFUNCTION("""COMPUTED_VALUE"""),1.0)</f>
        <v>1</v>
      </c>
      <c r="S5072" s="4" t="str">
        <f>IFERROR(__xludf.DUMMYFUNCTION("""COMPUTED_VALUE"""),"Saipos Serviços De Software")</f>
        <v>Saipos Serviços De Software</v>
      </c>
      <c r="T5072" s="33">
        <f>IFERROR(__xludf.DUMMYFUNCTION("""COMPUTED_VALUE"""),0.5)</f>
        <v>0.5</v>
      </c>
      <c r="U5072" s="4" t="str">
        <f>IFERROR(__xludf.DUMMYFUNCTION("""COMPUTED_VALUE"""),"Saipos Serviços De Software")</f>
        <v>Saipos Serviços De Software</v>
      </c>
      <c r="V5072" s="33">
        <f>IFERROR(__xludf.DUMMYFUNCTION("""COMPUTED_VALUE"""),0.5)</f>
        <v>0.5</v>
      </c>
      <c r="W5072" s="4" t="str">
        <f>IFERROR(__xludf.DUMMYFUNCTION("""COMPUTED_VALUE"""),"Anota Ai Solucoes Digitais S/a")</f>
        <v>Anota Ai Solucoes Digitais S/a</v>
      </c>
      <c r="X5072" s="33">
        <f>IFERROR(__xludf.DUMMYFUNCTION("""COMPUTED_VALUE"""),1.0)</f>
        <v>1</v>
      </c>
    </row>
    <row r="5073">
      <c r="K5073" s="4" t="str">
        <f>IFERROR(__xludf.DUMMYFUNCTION("""COMPUTED_VALUE"""),"ATLAS BURGER")</f>
        <v>ATLAS BURGER</v>
      </c>
      <c r="L5073" s="32">
        <f>IFERROR(__xludf.DUMMYFUNCTION("""COMPUTED_VALUE"""),2.0)</f>
        <v>2</v>
      </c>
      <c r="M5073" s="4" t="str">
        <f>IFERROR(__xludf.DUMMYFUNCTION("""COMPUTED_VALUE"""),"null")</f>
        <v>null</v>
      </c>
      <c r="N5073" s="33">
        <f>IFERROR(__xludf.DUMMYFUNCTION("""COMPUTED_VALUE"""),1.0)</f>
        <v>1</v>
      </c>
      <c r="O5073" s="4" t="str">
        <f>IFERROR(__xludf.DUMMYFUNCTION("""COMPUTED_VALUE"""),"null")</f>
        <v>null</v>
      </c>
      <c r="P5073" s="33">
        <f>IFERROR(__xludf.DUMMYFUNCTION("""COMPUTED_VALUE"""),1.0)</f>
        <v>1</v>
      </c>
      <c r="Q5073" s="4" t="str">
        <f>IFERROR(__xludf.DUMMYFUNCTION("""COMPUTED_VALUE"""),"Instadelivery")</f>
        <v>Instadelivery</v>
      </c>
      <c r="R5073" s="33">
        <f>IFERROR(__xludf.DUMMYFUNCTION("""COMPUTED_VALUE"""),1.0)</f>
        <v>1</v>
      </c>
      <c r="S5073" s="4" t="str">
        <f>IFERROR(__xludf.DUMMYFUNCTION("""COMPUTED_VALUE"""),"Instadelivery")</f>
        <v>Instadelivery</v>
      </c>
      <c r="T5073" s="33">
        <f>IFERROR(__xludf.DUMMYFUNCTION("""COMPUTED_VALUE"""),1.0)</f>
        <v>1</v>
      </c>
      <c r="U5073" s="4" t="str">
        <f>IFERROR(__xludf.DUMMYFUNCTION("""COMPUTED_VALUE"""),"Instadelivery")</f>
        <v>Instadelivery</v>
      </c>
      <c r="V5073" s="33">
        <f>IFERROR(__xludf.DUMMYFUNCTION("""COMPUTED_VALUE"""),1.0)</f>
        <v>1</v>
      </c>
      <c r="W5073" s="4" t="str">
        <f>IFERROR(__xludf.DUMMYFUNCTION("""COMPUTED_VALUE"""),"Instadelivery")</f>
        <v>Instadelivery</v>
      </c>
      <c r="X5073" s="33">
        <f>IFERROR(__xludf.DUMMYFUNCTION("""COMPUTED_VALUE"""),1.0)</f>
        <v>1</v>
      </c>
    </row>
    <row r="5074">
      <c r="K5074" s="4" t="str">
        <f>IFERROR(__xludf.DUMMYFUNCTION("""COMPUTED_VALUE"""),"FAVO DE MEL")</f>
        <v>FAVO DE MEL</v>
      </c>
      <c r="L5074" s="32">
        <f>IFERROR(__xludf.DUMMYFUNCTION("""COMPUTED_VALUE"""),2.0)</f>
        <v>2</v>
      </c>
      <c r="M5074" s="4" t="str">
        <f>IFERROR(__xludf.DUMMYFUNCTION("""COMPUTED_VALUE"""),"null")</f>
        <v>null</v>
      </c>
      <c r="N5074" s="33">
        <f>IFERROR(__xludf.DUMMYFUNCTION("""COMPUTED_VALUE"""),0.5)</f>
        <v>0.5</v>
      </c>
      <c r="O5074" s="4" t="str">
        <f>IFERROR(__xludf.DUMMYFUNCTION("""COMPUTED_VALUE"""),"null")</f>
        <v>null</v>
      </c>
      <c r="P5074" s="33">
        <f>IFERROR(__xludf.DUMMYFUNCTION("""COMPUTED_VALUE"""),0.5)</f>
        <v>0.5</v>
      </c>
      <c r="Q5074" s="4" t="str">
        <f>IFERROR(__xludf.DUMMYFUNCTION("""COMPUTED_VALUE"""),"Instadelivery")</f>
        <v>Instadelivery</v>
      </c>
      <c r="R5074" s="33">
        <f>IFERROR(__xludf.DUMMYFUNCTION("""COMPUTED_VALUE"""),0.5)</f>
        <v>0.5</v>
      </c>
      <c r="S5074" s="4" t="str">
        <f>IFERROR(__xludf.DUMMYFUNCTION("""COMPUTED_VALUE"""),"Instadelivery")</f>
        <v>Instadelivery</v>
      </c>
      <c r="T5074" s="33">
        <f>IFERROR(__xludf.DUMMYFUNCTION("""COMPUTED_VALUE"""),0.5)</f>
        <v>0.5</v>
      </c>
      <c r="U5074" s="4" t="str">
        <f>IFERROR(__xludf.DUMMYFUNCTION("""COMPUTED_VALUE"""),"Instadelivery")</f>
        <v>Instadelivery</v>
      </c>
      <c r="V5074" s="33">
        <f>IFERROR(__xludf.DUMMYFUNCTION("""COMPUTED_VALUE"""),0.5)</f>
        <v>0.5</v>
      </c>
      <c r="W5074" s="4" t="str">
        <f>IFERROR(__xludf.DUMMYFUNCTION("""COMPUTED_VALUE"""),"Instadelivery")</f>
        <v>Instadelivery</v>
      </c>
      <c r="X5074" s="33">
        <f>IFERROR(__xludf.DUMMYFUNCTION("""COMPUTED_VALUE"""),0.5)</f>
        <v>0.5</v>
      </c>
    </row>
    <row r="5075">
      <c r="K5075" s="4" t="str">
        <f>IFERROR(__xludf.DUMMYFUNCTION("""COMPUTED_VALUE"""),"BENDITA PIZZA - FORNO A LENHA")</f>
        <v>BENDITA PIZZA - FORNO A LENHA</v>
      </c>
      <c r="L5075" s="32">
        <f>IFERROR(__xludf.DUMMYFUNCTION("""COMPUTED_VALUE"""),2.0)</f>
        <v>2</v>
      </c>
      <c r="M5075" s="4" t="str">
        <f>IFERROR(__xludf.DUMMYFUNCTION("""COMPUTED_VALUE"""),"null")</f>
        <v>null</v>
      </c>
      <c r="N5075" s="33">
        <f>IFERROR(__xludf.DUMMYFUNCTION("""COMPUTED_VALUE"""),1.0)</f>
        <v>1</v>
      </c>
      <c r="O5075" s="4" t="str">
        <f>IFERROR(__xludf.DUMMYFUNCTION("""COMPUTED_VALUE"""),"null")</f>
        <v>null</v>
      </c>
      <c r="P5075" s="33">
        <f>IFERROR(__xludf.DUMMYFUNCTION("""COMPUTED_VALUE"""),1.0)</f>
        <v>1</v>
      </c>
      <c r="Q5075" s="4" t="str">
        <f>IFERROR(__xludf.DUMMYFUNCTION("""COMPUTED_VALUE"""),"null")</f>
        <v>null</v>
      </c>
      <c r="R5075" s="33">
        <f>IFERROR(__xludf.DUMMYFUNCTION("""COMPUTED_VALUE"""),1.0)</f>
        <v>1</v>
      </c>
      <c r="S5075" s="4" t="str">
        <f>IFERROR(__xludf.DUMMYFUNCTION("""COMPUTED_VALUE"""),"Saipos Serviços De Software")</f>
        <v>Saipos Serviços De Software</v>
      </c>
      <c r="T5075" s="33">
        <f>IFERROR(__xludf.DUMMYFUNCTION("""COMPUTED_VALUE"""),1.0)</f>
        <v>1</v>
      </c>
      <c r="U5075" s="4" t="str">
        <f>IFERROR(__xludf.DUMMYFUNCTION("""COMPUTED_VALUE"""),"Saipos Serviços De Software")</f>
        <v>Saipos Serviços De Software</v>
      </c>
      <c r="V5075" s="33">
        <f>IFERROR(__xludf.DUMMYFUNCTION("""COMPUTED_VALUE"""),1.0)</f>
        <v>1</v>
      </c>
      <c r="W5075" s="4" t="str">
        <f>IFERROR(__xludf.DUMMYFUNCTION("""COMPUTED_VALUE"""),"Saipos Serviços De Software")</f>
        <v>Saipos Serviços De Software</v>
      </c>
      <c r="X5075" s="33">
        <f>IFERROR(__xludf.DUMMYFUNCTION("""COMPUTED_VALUE"""),1.0)</f>
        <v>1</v>
      </c>
    </row>
    <row r="5076">
      <c r="K5076" s="4" t="str">
        <f>IFERROR(__xludf.DUMMYFUNCTION("""COMPUTED_VALUE"""),"LE PIZZA")</f>
        <v>LE PIZZA</v>
      </c>
      <c r="L5076" s="32">
        <f>IFERROR(__xludf.DUMMYFUNCTION("""COMPUTED_VALUE"""),2.0)</f>
        <v>2</v>
      </c>
      <c r="M5076" s="4" t="str">
        <f>IFERROR(__xludf.DUMMYFUNCTION("""COMPUTED_VALUE"""),"Consumer Soluções Em Tecnologia Ltda")</f>
        <v>Consumer Soluções Em Tecnologia Ltda</v>
      </c>
      <c r="N5076" s="33">
        <f>IFERROR(__xludf.DUMMYFUNCTION("""COMPUTED_VALUE"""),0.5)</f>
        <v>0.5</v>
      </c>
      <c r="O5076" s="4" t="str">
        <f>IFERROR(__xludf.DUMMYFUNCTION("""COMPUTED_VALUE"""),"null")</f>
        <v>null</v>
      </c>
      <c r="P5076" s="33">
        <f>IFERROR(__xludf.DUMMYFUNCTION("""COMPUTED_VALUE"""),1.0)</f>
        <v>1</v>
      </c>
      <c r="Q5076" s="4" t="str">
        <f>IFERROR(__xludf.DUMMYFUNCTION("""COMPUTED_VALUE"""),"null")</f>
        <v>null</v>
      </c>
      <c r="R5076" s="33">
        <f>IFERROR(__xludf.DUMMYFUNCTION("""COMPUTED_VALUE"""),1.0)</f>
        <v>1</v>
      </c>
      <c r="S5076" s="4" t="str">
        <f>IFERROR(__xludf.DUMMYFUNCTION("""COMPUTED_VALUE"""),"null")</f>
        <v>null</v>
      </c>
      <c r="T5076" s="33">
        <f>IFERROR(__xludf.DUMMYFUNCTION("""COMPUTED_VALUE"""),1.0)</f>
        <v>1</v>
      </c>
      <c r="U5076" s="4" t="str">
        <f>IFERROR(__xludf.DUMMYFUNCTION("""COMPUTED_VALUE"""),"null")</f>
        <v>null</v>
      </c>
      <c r="V5076" s="33">
        <f>IFERROR(__xludf.DUMMYFUNCTION("""COMPUTED_VALUE"""),1.0)</f>
        <v>1</v>
      </c>
      <c r="W5076" s="4" t="str">
        <f>IFERROR(__xludf.DUMMYFUNCTION("""COMPUTED_VALUE"""),"null")</f>
        <v>null</v>
      </c>
      <c r="X5076" s="33">
        <f>IFERROR(__xludf.DUMMYFUNCTION("""COMPUTED_VALUE"""),1.0)</f>
        <v>1</v>
      </c>
    </row>
    <row r="5077">
      <c r="K5077" s="4" t="str">
        <f>IFERROR(__xludf.DUMMYFUNCTION("""COMPUTED_VALUE"""),"MAIS SABOR PIZZARIA")</f>
        <v>MAIS SABOR PIZZARIA</v>
      </c>
      <c r="L5077" s="32">
        <f>IFERROR(__xludf.DUMMYFUNCTION("""COMPUTED_VALUE"""),2.0)</f>
        <v>2</v>
      </c>
      <c r="M5077" s="4" t="str">
        <f>IFERROR(__xludf.DUMMYFUNCTION("""COMPUTED_VALUE"""),"Anota Ai Solucoes Digitais S/a")</f>
        <v>Anota Ai Solucoes Digitais S/a</v>
      </c>
      <c r="N5077" s="33">
        <f>IFERROR(__xludf.DUMMYFUNCTION("""COMPUTED_VALUE"""),0.5)</f>
        <v>0.5</v>
      </c>
      <c r="O5077" s="4" t="str">
        <f>IFERROR(__xludf.DUMMYFUNCTION("""COMPUTED_VALUE"""),"Anota Ai Solucoes Digitais S/a")</f>
        <v>Anota Ai Solucoes Digitais S/a</v>
      </c>
      <c r="P5077" s="33">
        <f>IFERROR(__xludf.DUMMYFUNCTION("""COMPUTED_VALUE"""),0.5)</f>
        <v>0.5</v>
      </c>
      <c r="Q5077" s="4" t="str">
        <f>IFERROR(__xludf.DUMMYFUNCTION("""COMPUTED_VALUE"""),"Anota Ai Solucoes Digitais S/a")</f>
        <v>Anota Ai Solucoes Digitais S/a</v>
      </c>
      <c r="R5077" s="33">
        <f>IFERROR(__xludf.DUMMYFUNCTION("""COMPUTED_VALUE"""),0.5)</f>
        <v>0.5</v>
      </c>
      <c r="S5077" s="4" t="str">
        <f>IFERROR(__xludf.DUMMYFUNCTION("""COMPUTED_VALUE"""),"null")</f>
        <v>null</v>
      </c>
      <c r="T5077" s="33">
        <f>IFERROR(__xludf.DUMMYFUNCTION("""COMPUTED_VALUE"""),0.5)</f>
        <v>0.5</v>
      </c>
      <c r="U5077" s="4" t="str">
        <f>IFERROR(__xludf.DUMMYFUNCTION("""COMPUTED_VALUE"""),"null")</f>
        <v>null</v>
      </c>
      <c r="V5077" s="33">
        <f>IFERROR(__xludf.DUMMYFUNCTION("""COMPUTED_VALUE"""),0.5)</f>
        <v>0.5</v>
      </c>
      <c r="W5077" s="4" t="str">
        <f>IFERROR(__xludf.DUMMYFUNCTION("""COMPUTED_VALUE"""),"Anota Ai Solucoes Digitais S/a")</f>
        <v>Anota Ai Solucoes Digitais S/a</v>
      </c>
      <c r="X5077" s="33">
        <f>IFERROR(__xludf.DUMMYFUNCTION("""COMPUTED_VALUE"""),0.5)</f>
        <v>0.5</v>
      </c>
    </row>
    <row r="5078">
      <c r="K5078" s="4" t="str">
        <f>IFERROR(__xludf.DUMMYFUNCTION("""COMPUTED_VALUE"""),"CHINA YANTAI SUSHI")</f>
        <v>CHINA YANTAI SUSHI</v>
      </c>
      <c r="L5078" s="32">
        <f>IFERROR(__xludf.DUMMYFUNCTION("""COMPUTED_VALUE"""),2.0)</f>
        <v>2</v>
      </c>
      <c r="M5078" s="4" t="str">
        <f>IFERROR(__xludf.DUMMYFUNCTION("""COMPUTED_VALUE"""),"Mp Multipedidos")</f>
        <v>Mp Multipedidos</v>
      </c>
      <c r="N5078" s="33">
        <f>IFERROR(__xludf.DUMMYFUNCTION("""COMPUTED_VALUE"""),1.0)</f>
        <v>1</v>
      </c>
      <c r="O5078" s="4" t="str">
        <f>IFERROR(__xludf.DUMMYFUNCTION("""COMPUTED_VALUE"""),"Mp Multipedidos")</f>
        <v>Mp Multipedidos</v>
      </c>
      <c r="P5078" s="33">
        <f>IFERROR(__xludf.DUMMYFUNCTION("""COMPUTED_VALUE"""),1.0)</f>
        <v>1</v>
      </c>
      <c r="Q5078" s="4" t="str">
        <f>IFERROR(__xludf.DUMMYFUNCTION("""COMPUTED_VALUE"""),"Mp Multipedidos")</f>
        <v>Mp Multipedidos</v>
      </c>
      <c r="R5078" s="33">
        <f>IFERROR(__xludf.DUMMYFUNCTION("""COMPUTED_VALUE"""),0.5)</f>
        <v>0.5</v>
      </c>
      <c r="S5078" s="4" t="str">
        <f>IFERROR(__xludf.DUMMYFUNCTION("""COMPUTED_VALUE"""),"Mp Multipedidos")</f>
        <v>Mp Multipedidos</v>
      </c>
      <c r="T5078" s="33">
        <f>IFERROR(__xludf.DUMMYFUNCTION("""COMPUTED_VALUE"""),0.5)</f>
        <v>0.5</v>
      </c>
      <c r="U5078" s="4" t="str">
        <f>IFERROR(__xludf.DUMMYFUNCTION("""COMPUTED_VALUE"""),"Mp Multipedidos")</f>
        <v>Mp Multipedidos</v>
      </c>
      <c r="V5078" s="33">
        <f>IFERROR(__xludf.DUMMYFUNCTION("""COMPUTED_VALUE"""),0.5)</f>
        <v>0.5</v>
      </c>
      <c r="W5078" s="4" t="str">
        <f>IFERROR(__xludf.DUMMYFUNCTION("""COMPUTED_VALUE"""),"Mp Multipedidos")</f>
        <v>Mp Multipedidos</v>
      </c>
      <c r="X5078" s="33">
        <f>IFERROR(__xludf.DUMMYFUNCTION("""COMPUTED_VALUE"""),0.5)</f>
        <v>0.5</v>
      </c>
    </row>
    <row r="5079">
      <c r="K5079" s="4" t="str">
        <f>IFERROR(__xludf.DUMMYFUNCTION("""COMPUTED_VALUE"""),"PARADA DO SABOR")</f>
        <v>PARADA DO SABOR</v>
      </c>
      <c r="L5079" s="32">
        <f>IFERROR(__xludf.DUMMYFUNCTION("""COMPUTED_VALUE"""),2.0)</f>
        <v>2</v>
      </c>
      <c r="M5079" s="4" t="str">
        <f>IFERROR(__xludf.DUMMYFUNCTION("""COMPUTED_VALUE"""),"Saipos Serviços De Software")</f>
        <v>Saipos Serviços De Software</v>
      </c>
      <c r="N5079" s="33">
        <f>IFERROR(__xludf.DUMMYFUNCTION("""COMPUTED_VALUE"""),1.0)</f>
        <v>1</v>
      </c>
      <c r="O5079" s="4" t="str">
        <f>IFERROR(__xludf.DUMMYFUNCTION("""COMPUTED_VALUE"""),"Saipos Serviços De Software")</f>
        <v>Saipos Serviços De Software</v>
      </c>
      <c r="P5079" s="33">
        <f>IFERROR(__xludf.DUMMYFUNCTION("""COMPUTED_VALUE"""),1.0)</f>
        <v>1</v>
      </c>
      <c r="Q5079" s="4" t="str">
        <f>IFERROR(__xludf.DUMMYFUNCTION("""COMPUTED_VALUE"""),"null")</f>
        <v>null</v>
      </c>
      <c r="R5079" s="33">
        <f>IFERROR(__xludf.DUMMYFUNCTION("""COMPUTED_VALUE"""),0.5)</f>
        <v>0.5</v>
      </c>
      <c r="S5079" s="4" t="str">
        <f>IFERROR(__xludf.DUMMYFUNCTION("""COMPUTED_VALUE"""),"null")</f>
        <v>null</v>
      </c>
      <c r="T5079" s="33">
        <f>IFERROR(__xludf.DUMMYFUNCTION("""COMPUTED_VALUE"""),0.5)</f>
        <v>0.5</v>
      </c>
      <c r="U5079" s="4" t="str">
        <f>IFERROR(__xludf.DUMMYFUNCTION("""COMPUTED_VALUE"""),"null")</f>
        <v>null</v>
      </c>
      <c r="V5079" s="33">
        <f>IFERROR(__xludf.DUMMYFUNCTION("""COMPUTED_VALUE"""),0.5)</f>
        <v>0.5</v>
      </c>
      <c r="W5079" s="4" t="str">
        <f>IFERROR(__xludf.DUMMYFUNCTION("""COMPUTED_VALUE"""),"null")</f>
        <v>null</v>
      </c>
      <c r="X5079" s="33">
        <f>IFERROR(__xludf.DUMMYFUNCTION("""COMPUTED_VALUE"""),0.5)</f>
        <v>0.5</v>
      </c>
    </row>
    <row r="5080">
      <c r="K5080" s="4" t="str">
        <f>IFERROR(__xludf.DUMMYFUNCTION("""COMPUTED_VALUE"""),"BURG HOUSE")</f>
        <v>BURG HOUSE</v>
      </c>
      <c r="L5080" s="32">
        <f>IFERROR(__xludf.DUMMYFUNCTION("""COMPUTED_VALUE"""),2.0)</f>
        <v>2</v>
      </c>
      <c r="M5080" s="4" t="str">
        <f>IFERROR(__xludf.DUMMYFUNCTION("""COMPUTED_VALUE"""),"No Mercado Representacoes Ltda")</f>
        <v>No Mercado Representacoes Ltda</v>
      </c>
      <c r="N5080" s="33">
        <f>IFERROR(__xludf.DUMMYFUNCTION("""COMPUTED_VALUE"""),0.5)</f>
        <v>0.5</v>
      </c>
      <c r="O5080" s="4" t="str">
        <f>IFERROR(__xludf.DUMMYFUNCTION("""COMPUTED_VALUE"""),"null")</f>
        <v>null</v>
      </c>
      <c r="P5080" s="33">
        <f>IFERROR(__xludf.DUMMYFUNCTION("""COMPUTED_VALUE"""),1.0)</f>
        <v>1</v>
      </c>
      <c r="Q5080" s="4" t="str">
        <f>IFERROR(__xludf.DUMMYFUNCTION("""COMPUTED_VALUE"""),"null")</f>
        <v>null</v>
      </c>
      <c r="R5080" s="33">
        <f>IFERROR(__xludf.DUMMYFUNCTION("""COMPUTED_VALUE"""),1.0)</f>
        <v>1</v>
      </c>
      <c r="S5080" s="4" t="str">
        <f>IFERROR(__xludf.DUMMYFUNCTION("""COMPUTED_VALUE"""),"null")</f>
        <v>null</v>
      </c>
      <c r="T5080" s="33">
        <f>IFERROR(__xludf.DUMMYFUNCTION("""COMPUTED_VALUE"""),0.5)</f>
        <v>0.5</v>
      </c>
      <c r="U5080" s="4" t="str">
        <f>IFERROR(__xludf.DUMMYFUNCTION("""COMPUTED_VALUE"""),"null")</f>
        <v>null</v>
      </c>
      <c r="V5080" s="33">
        <f>IFERROR(__xludf.DUMMYFUNCTION("""COMPUTED_VALUE"""),0.5)</f>
        <v>0.5</v>
      </c>
      <c r="W5080" s="4" t="str">
        <f>IFERROR(__xludf.DUMMYFUNCTION("""COMPUTED_VALUE"""),"null")</f>
        <v>null</v>
      </c>
      <c r="X5080" s="33">
        <f>IFERROR(__xludf.DUMMYFUNCTION("""COMPUTED_VALUE"""),0.5)</f>
        <v>0.5</v>
      </c>
    </row>
    <row r="5081">
      <c r="K5081" s="4" t="str">
        <f>IFERROR(__xludf.DUMMYFUNCTION("""COMPUTED_VALUE"""),"DONA PIZZA")</f>
        <v>DONA PIZZA</v>
      </c>
      <c r="L5081" s="32">
        <f>IFERROR(__xludf.DUMMYFUNCTION("""COMPUTED_VALUE"""),2.0)</f>
        <v>2</v>
      </c>
      <c r="M5081" s="4" t="str">
        <f>IFERROR(__xludf.DUMMYFUNCTION("""COMPUTED_VALUE"""),"null")</f>
        <v>null</v>
      </c>
      <c r="N5081" s="33">
        <f>IFERROR(__xludf.DUMMYFUNCTION("""COMPUTED_VALUE"""),0.5)</f>
        <v>0.5</v>
      </c>
      <c r="O5081" s="4" t="str">
        <f>IFERROR(__xludf.DUMMYFUNCTION("""COMPUTED_VALUE"""),"null")</f>
        <v>null</v>
      </c>
      <c r="P5081" s="33">
        <f>IFERROR(__xludf.DUMMYFUNCTION("""COMPUTED_VALUE"""),0.5)</f>
        <v>0.5</v>
      </c>
      <c r="Q5081" s="4" t="str">
        <f>IFERROR(__xludf.DUMMYFUNCTION("""COMPUTED_VALUE"""),"null")</f>
        <v>null</v>
      </c>
      <c r="R5081" s="33">
        <f>IFERROR(__xludf.DUMMYFUNCTION("""COMPUTED_VALUE"""),0.5)</f>
        <v>0.5</v>
      </c>
      <c r="S5081" s="4" t="str">
        <f>IFERROR(__xludf.DUMMYFUNCTION("""COMPUTED_VALUE"""),"null")</f>
        <v>null</v>
      </c>
      <c r="T5081" s="33">
        <f>IFERROR(__xludf.DUMMYFUNCTION("""COMPUTED_VALUE"""),0.5)</f>
        <v>0.5</v>
      </c>
      <c r="U5081" s="4" t="str">
        <f>IFERROR(__xludf.DUMMYFUNCTION("""COMPUTED_VALUE"""),"Brendi")</f>
        <v>Brendi</v>
      </c>
      <c r="V5081" s="33">
        <f>IFERROR(__xludf.DUMMYFUNCTION("""COMPUTED_VALUE"""),0.5)</f>
        <v>0.5</v>
      </c>
      <c r="W5081" s="4" t="str">
        <f>IFERROR(__xludf.DUMMYFUNCTION("""COMPUTED_VALUE"""),"Brendi")</f>
        <v>Brendi</v>
      </c>
      <c r="X5081" s="33">
        <f>IFERROR(__xludf.DUMMYFUNCTION("""COMPUTED_VALUE"""),0.5)</f>
        <v>0.5</v>
      </c>
    </row>
    <row r="5082">
      <c r="K5082" s="4" t="str">
        <f>IFERROR(__xludf.DUMMYFUNCTION("""COMPUTED_VALUE"""),"BAZUKA PIZZARIA E HAMBURGUERIA")</f>
        <v>BAZUKA PIZZARIA E HAMBURGUERIA</v>
      </c>
      <c r="L5082" s="32">
        <f>IFERROR(__xludf.DUMMYFUNCTION("""COMPUTED_VALUE"""),2.0)</f>
        <v>2</v>
      </c>
      <c r="M5082" s="4" t="str">
        <f>IFERROR(__xludf.DUMMYFUNCTION("""COMPUTED_VALUE"""),"null")</f>
        <v>null</v>
      </c>
      <c r="N5082" s="33">
        <f>IFERROR(__xludf.DUMMYFUNCTION("""COMPUTED_VALUE"""),1.0)</f>
        <v>1</v>
      </c>
      <c r="O5082" s="4" t="str">
        <f>IFERROR(__xludf.DUMMYFUNCTION("""COMPUTED_VALUE"""),"null")</f>
        <v>null</v>
      </c>
      <c r="P5082" s="33">
        <f>IFERROR(__xludf.DUMMYFUNCTION("""COMPUTED_VALUE"""),1.0)</f>
        <v>1</v>
      </c>
      <c r="Q5082" s="4" t="str">
        <f>IFERROR(__xludf.DUMMYFUNCTION("""COMPUTED_VALUE"""),"null")</f>
        <v>null</v>
      </c>
      <c r="R5082" s="33">
        <f>IFERROR(__xludf.DUMMYFUNCTION("""COMPUTED_VALUE"""),1.0)</f>
        <v>1</v>
      </c>
      <c r="S5082" s="4" t="str">
        <f>IFERROR(__xludf.DUMMYFUNCTION("""COMPUTED_VALUE"""),"null")</f>
        <v>null</v>
      </c>
      <c r="T5082" s="33">
        <f>IFERROR(__xludf.DUMMYFUNCTION("""COMPUTED_VALUE"""),1.0)</f>
        <v>1</v>
      </c>
      <c r="U5082" s="4" t="str">
        <f>IFERROR(__xludf.DUMMYFUNCTION("""COMPUTED_VALUE"""),"null")</f>
        <v>null</v>
      </c>
      <c r="V5082" s="33">
        <f>IFERROR(__xludf.DUMMYFUNCTION("""COMPUTED_VALUE"""),1.0)</f>
        <v>1</v>
      </c>
      <c r="W5082" s="4" t="str">
        <f>IFERROR(__xludf.DUMMYFUNCTION("""COMPUTED_VALUE"""),"Saipos Serviços De Software")</f>
        <v>Saipos Serviços De Software</v>
      </c>
      <c r="X5082" s="33">
        <f>IFERROR(__xludf.DUMMYFUNCTION("""COMPUTED_VALUE"""),1.0)</f>
        <v>1</v>
      </c>
    </row>
    <row r="5083">
      <c r="K5083" s="4" t="str">
        <f>IFERROR(__xludf.DUMMYFUNCTION("""COMPUTED_VALUE"""),"POPEYE 24 HORAS")</f>
        <v>POPEYE 24 HORAS</v>
      </c>
      <c r="L5083" s="32">
        <f>IFERROR(__xludf.DUMMYFUNCTION("""COMPUTED_VALUE"""),2.0)</f>
        <v>2</v>
      </c>
      <c r="M5083" s="4" t="str">
        <f>IFERROR(__xludf.DUMMYFUNCTION("""COMPUTED_VALUE"""),"null")</f>
        <v>null</v>
      </c>
      <c r="N5083" s="33">
        <f>IFERROR(__xludf.DUMMYFUNCTION("""COMPUTED_VALUE"""),0.5)</f>
        <v>0.5</v>
      </c>
      <c r="O5083" s="4" t="str">
        <f>IFERROR(__xludf.DUMMYFUNCTION("""COMPUTED_VALUE"""),"null")</f>
        <v>null</v>
      </c>
      <c r="P5083" s="33">
        <f>IFERROR(__xludf.DUMMYFUNCTION("""COMPUTED_VALUE"""),0.5)</f>
        <v>0.5</v>
      </c>
      <c r="Q5083" s="4" t="str">
        <f>IFERROR(__xludf.DUMMYFUNCTION("""COMPUTED_VALUE"""),"null")</f>
        <v>null</v>
      </c>
      <c r="R5083" s="33">
        <f>IFERROR(__xludf.DUMMYFUNCTION("""COMPUTED_VALUE"""),0.5)</f>
        <v>0.5</v>
      </c>
      <c r="S5083" s="4" t="str">
        <f>IFERROR(__xludf.DUMMYFUNCTION("""COMPUTED_VALUE"""),"Cardápio Web")</f>
        <v>Cardápio Web</v>
      </c>
      <c r="T5083" s="33">
        <f>IFERROR(__xludf.DUMMYFUNCTION("""COMPUTED_VALUE"""),1.0)</f>
        <v>1</v>
      </c>
      <c r="U5083" s="4" t="str">
        <f>IFERROR(__xludf.DUMMYFUNCTION("""COMPUTED_VALUE"""),"Cardápio Web")</f>
        <v>Cardápio Web</v>
      </c>
      <c r="V5083" s="33">
        <f>IFERROR(__xludf.DUMMYFUNCTION("""COMPUTED_VALUE"""),1.0)</f>
        <v>1</v>
      </c>
      <c r="W5083" s="4" t="str">
        <f>IFERROR(__xludf.DUMMYFUNCTION("""COMPUTED_VALUE"""),"null")</f>
        <v>null</v>
      </c>
      <c r="X5083" s="33">
        <f>IFERROR(__xludf.DUMMYFUNCTION("""COMPUTED_VALUE"""),0.5)</f>
        <v>0.5</v>
      </c>
    </row>
    <row r="5084">
      <c r="K5084" s="4" t="str">
        <f>IFERROR(__xludf.DUMMYFUNCTION("""COMPUTED_VALUE"""),"CONFEITARIA DOCEVIBE - DOCES E SALGADOS")</f>
        <v>CONFEITARIA DOCEVIBE - DOCES E SALGADOS</v>
      </c>
      <c r="L5084" s="32">
        <f>IFERROR(__xludf.DUMMYFUNCTION("""COMPUTED_VALUE"""),2.0)</f>
        <v>2</v>
      </c>
      <c r="M5084" s="4" t="str">
        <f>IFERROR(__xludf.DUMMYFUNCTION("""COMPUTED_VALUE"""),"null")</f>
        <v>null</v>
      </c>
      <c r="N5084" s="33">
        <f>IFERROR(__xludf.DUMMYFUNCTION("""COMPUTED_VALUE"""),0.5)</f>
        <v>0.5</v>
      </c>
      <c r="O5084" s="4" t="str">
        <f>IFERROR(__xludf.DUMMYFUNCTION("""COMPUTED_VALUE"""),"null")</f>
        <v>null</v>
      </c>
      <c r="P5084" s="33">
        <f>IFERROR(__xludf.DUMMYFUNCTION("""COMPUTED_VALUE"""),0.5)</f>
        <v>0.5</v>
      </c>
      <c r="Q5084" s="4" t="str">
        <f>IFERROR(__xludf.DUMMYFUNCTION("""COMPUTED_VALUE"""),"Mapp Sistemas")</f>
        <v>Mapp Sistemas</v>
      </c>
      <c r="R5084" s="33">
        <f>IFERROR(__xludf.DUMMYFUNCTION("""COMPUTED_VALUE"""),0.5)</f>
        <v>0.5</v>
      </c>
      <c r="S5084" s="4" t="str">
        <f>IFERROR(__xludf.DUMMYFUNCTION("""COMPUTED_VALUE"""),"Mapp Sistemas")</f>
        <v>Mapp Sistemas</v>
      </c>
      <c r="T5084" s="33">
        <f>IFERROR(__xludf.DUMMYFUNCTION("""COMPUTED_VALUE"""),0.5)</f>
        <v>0.5</v>
      </c>
      <c r="U5084" s="4" t="str">
        <f>IFERROR(__xludf.DUMMYFUNCTION("""COMPUTED_VALUE"""),"Whatsmenu Ltda")</f>
        <v>Whatsmenu Ltda</v>
      </c>
      <c r="V5084" s="33">
        <f>IFERROR(__xludf.DUMMYFUNCTION("""COMPUTED_VALUE"""),0.5)</f>
        <v>0.5</v>
      </c>
      <c r="W5084" s="4" t="str">
        <f>IFERROR(__xludf.DUMMYFUNCTION("""COMPUTED_VALUE"""),"Mapp Sistemas")</f>
        <v>Mapp Sistemas</v>
      </c>
      <c r="X5084" s="33">
        <f>IFERROR(__xludf.DUMMYFUNCTION("""COMPUTED_VALUE"""),0.5)</f>
        <v>0.5</v>
      </c>
    </row>
    <row r="5085">
      <c r="K5085" s="4" t="str">
        <f>IFERROR(__xludf.DUMMYFUNCTION("""COMPUTED_VALUE"""),"LANCHONETE KI DELICIA")</f>
        <v>LANCHONETE KI DELICIA</v>
      </c>
      <c r="L5085" s="32">
        <f>IFERROR(__xludf.DUMMYFUNCTION("""COMPUTED_VALUE"""),2.0)</f>
        <v>2</v>
      </c>
      <c r="M5085" s="4" t="str">
        <f>IFERROR(__xludf.DUMMYFUNCTION("""COMPUTED_VALUE"""),"null")</f>
        <v>null</v>
      </c>
      <c r="N5085" s="33">
        <f>IFERROR(__xludf.DUMMYFUNCTION("""COMPUTED_VALUE"""),0.5)</f>
        <v>0.5</v>
      </c>
      <c r="O5085" s="4" t="str">
        <f>IFERROR(__xludf.DUMMYFUNCTION("""COMPUTED_VALUE"""),"null")</f>
        <v>null</v>
      </c>
      <c r="P5085" s="33">
        <f>IFERROR(__xludf.DUMMYFUNCTION("""COMPUTED_VALUE"""),0.5)</f>
        <v>0.5</v>
      </c>
      <c r="Q5085" s="4" t="str">
        <f>IFERROR(__xludf.DUMMYFUNCTION("""COMPUTED_VALUE"""),"null")</f>
        <v>null</v>
      </c>
      <c r="R5085" s="33">
        <f>IFERROR(__xludf.DUMMYFUNCTION("""COMPUTED_VALUE"""),1.0)</f>
        <v>1</v>
      </c>
      <c r="S5085" s="4" t="str">
        <f>IFERROR(__xludf.DUMMYFUNCTION("""COMPUTED_VALUE"""),"M-du Tecnologia")</f>
        <v>M-du Tecnologia</v>
      </c>
      <c r="T5085" s="33">
        <f>IFERROR(__xludf.DUMMYFUNCTION("""COMPUTED_VALUE"""),0.5)</f>
        <v>0.5</v>
      </c>
      <c r="U5085" s="4" t="str">
        <f>IFERROR(__xludf.DUMMYFUNCTION("""COMPUTED_VALUE"""),"null")</f>
        <v>null</v>
      </c>
      <c r="V5085" s="33">
        <f>IFERROR(__xludf.DUMMYFUNCTION("""COMPUTED_VALUE"""),1.0)</f>
        <v>1</v>
      </c>
      <c r="W5085" s="4" t="str">
        <f>IFERROR(__xludf.DUMMYFUNCTION("""COMPUTED_VALUE"""),"M-du Tecnologia")</f>
        <v>M-du Tecnologia</v>
      </c>
      <c r="X5085" s="33">
        <f>IFERROR(__xludf.DUMMYFUNCTION("""COMPUTED_VALUE"""),0.5)</f>
        <v>0.5</v>
      </c>
    </row>
    <row r="5086">
      <c r="K5086" s="4" t="str">
        <f>IFERROR(__xludf.DUMMYFUNCTION("""COMPUTED_VALUE"""),"FARMA TOTAL")</f>
        <v>FARMA TOTAL</v>
      </c>
      <c r="L5086" s="32">
        <f>IFERROR(__xludf.DUMMYFUNCTION("""COMPUTED_VALUE"""),2.0)</f>
        <v>2</v>
      </c>
      <c r="M5086" s="4" t="str">
        <f>IFERROR(__xludf.DUMMYFUNCTION("""COMPUTED_VALUE"""),"null")</f>
        <v>null</v>
      </c>
      <c r="N5086" s="33">
        <f>IFERROR(__xludf.DUMMYFUNCTION("""COMPUTED_VALUE"""),0.5)</f>
        <v>0.5</v>
      </c>
      <c r="O5086" s="4" t="str">
        <f>IFERROR(__xludf.DUMMYFUNCTION("""COMPUTED_VALUE"""),"null")</f>
        <v>null</v>
      </c>
      <c r="P5086" s="33">
        <f>IFERROR(__xludf.DUMMYFUNCTION("""COMPUTED_VALUE"""),0.5)</f>
        <v>0.5</v>
      </c>
      <c r="Q5086" s="4" t="str">
        <f>IFERROR(__xludf.DUMMYFUNCTION("""COMPUTED_VALUE"""),"null")</f>
        <v>null</v>
      </c>
      <c r="R5086" s="33">
        <f>IFERROR(__xludf.DUMMYFUNCTION("""COMPUTED_VALUE"""),0.5)</f>
        <v>0.5</v>
      </c>
      <c r="S5086" s="4" t="str">
        <f>IFERROR(__xludf.DUMMYFUNCTION("""COMPUTED_VALUE"""),"null")</f>
        <v>null</v>
      </c>
      <c r="T5086" s="33">
        <f>IFERROR(__xludf.DUMMYFUNCTION("""COMPUTED_VALUE"""),0.5)</f>
        <v>0.5</v>
      </c>
      <c r="U5086" s="4" t="str">
        <f>IFERROR(__xludf.DUMMYFUNCTION("""COMPUTED_VALUE"""),"N/A (Not found)")</f>
        <v>N/A (Not found)</v>
      </c>
      <c r="V5086" s="33">
        <f>IFERROR(__xludf.DUMMYFUNCTION("""COMPUTED_VALUE"""),1.0)</f>
        <v>1</v>
      </c>
      <c r="W5086" s="4" t="str">
        <f>IFERROR(__xludf.DUMMYFUNCTION("""COMPUTED_VALUE"""),"N/A (Not found)")</f>
        <v>N/A (Not found)</v>
      </c>
      <c r="X5086" s="33">
        <f>IFERROR(__xludf.DUMMYFUNCTION("""COMPUTED_VALUE"""),1.0)</f>
        <v>1</v>
      </c>
    </row>
    <row r="5087">
      <c r="K5087" s="4" t="str">
        <f>IFERROR(__xludf.DUMMYFUNCTION("""COMPUTED_VALUE"""),"SUPER POPULAR")</f>
        <v>SUPER POPULAR</v>
      </c>
      <c r="L5087" s="32">
        <f>IFERROR(__xludf.DUMMYFUNCTION("""COMPUTED_VALUE"""),2.0)</f>
        <v>2</v>
      </c>
      <c r="M5087" s="4" t="str">
        <f>IFERROR(__xludf.DUMMYFUNCTION("""COMPUTED_VALUE"""),"null")</f>
        <v>null</v>
      </c>
      <c r="N5087" s="33">
        <f>IFERROR(__xludf.DUMMYFUNCTION("""COMPUTED_VALUE"""),1.0)</f>
        <v>1</v>
      </c>
      <c r="O5087" s="4" t="str">
        <f>IFERROR(__xludf.DUMMYFUNCTION("""COMPUTED_VALUE"""),"null")</f>
        <v>null</v>
      </c>
      <c r="P5087" s="33">
        <f>IFERROR(__xludf.DUMMYFUNCTION("""COMPUTED_VALUE"""),1.0)</f>
        <v>1</v>
      </c>
      <c r="Q5087" s="4" t="str">
        <f>IFERROR(__xludf.DUMMYFUNCTION("""COMPUTED_VALUE"""),"null")</f>
        <v>null</v>
      </c>
      <c r="R5087" s="33">
        <f>IFERROR(__xludf.DUMMYFUNCTION("""COMPUTED_VALUE"""),1.0)</f>
        <v>1</v>
      </c>
      <c r="S5087" s="4" t="str">
        <f>IFERROR(__xludf.DUMMYFUNCTION("""COMPUTED_VALUE"""),"null")</f>
        <v>null</v>
      </c>
      <c r="T5087" s="33">
        <f>IFERROR(__xludf.DUMMYFUNCTION("""COMPUTED_VALUE"""),1.0)</f>
        <v>1</v>
      </c>
      <c r="U5087" s="4" t="str">
        <f>IFERROR(__xludf.DUMMYFUNCTION("""COMPUTED_VALUE"""),"N/A (Not found)")</f>
        <v>N/A (Not found)</v>
      </c>
      <c r="V5087" s="33">
        <f>IFERROR(__xludf.DUMMYFUNCTION("""COMPUTED_VALUE"""),1.0)</f>
        <v>1</v>
      </c>
      <c r="W5087" s="4" t="str">
        <f>IFERROR(__xludf.DUMMYFUNCTION("""COMPUTED_VALUE"""),"N/A (Not found)")</f>
        <v>N/A (Not found)</v>
      </c>
      <c r="X5087" s="33">
        <f>IFERROR(__xludf.DUMMYFUNCTION("""COMPUTED_VALUE"""),1.0)</f>
        <v>1</v>
      </c>
    </row>
    <row r="5088">
      <c r="K5088" s="4" t="str">
        <f>IFERROR(__xludf.DUMMYFUNCTION("""COMPUTED_VALUE"""),"AKILA ACAI")</f>
        <v>AKILA ACAI</v>
      </c>
      <c r="L5088" s="32">
        <f>IFERROR(__xludf.DUMMYFUNCTION("""COMPUTED_VALUE"""),2.0)</f>
        <v>2</v>
      </c>
      <c r="M5088" s="4" t="str">
        <f>IFERROR(__xludf.DUMMYFUNCTION("""COMPUTED_VALUE"""),"null")</f>
        <v>null</v>
      </c>
      <c r="N5088" s="33">
        <f>IFERROR(__xludf.DUMMYFUNCTION("""COMPUTED_VALUE"""),0.5)</f>
        <v>0.5</v>
      </c>
      <c r="O5088" s="4" t="str">
        <f>IFERROR(__xludf.DUMMYFUNCTION("""COMPUTED_VALUE"""),"null")</f>
        <v>null</v>
      </c>
      <c r="P5088" s="33">
        <f>IFERROR(__xludf.DUMMYFUNCTION("""COMPUTED_VALUE"""),0.5)</f>
        <v>0.5</v>
      </c>
      <c r="Q5088" s="4" t="str">
        <f>IFERROR(__xludf.DUMMYFUNCTION("""COMPUTED_VALUE"""),"null")</f>
        <v>null</v>
      </c>
      <c r="R5088" s="33">
        <f>IFERROR(__xludf.DUMMYFUNCTION("""COMPUTED_VALUE"""),0.5)</f>
        <v>0.5</v>
      </c>
      <c r="S5088" s="4" t="str">
        <f>IFERROR(__xludf.DUMMYFUNCTION("""COMPUTED_VALUE"""),"null")</f>
        <v>null</v>
      </c>
      <c r="T5088" s="33">
        <f>IFERROR(__xludf.DUMMYFUNCTION("""COMPUTED_VALUE"""),0.5)</f>
        <v>0.5</v>
      </c>
      <c r="U5088" s="4" t="str">
        <f>IFERROR(__xludf.DUMMYFUNCTION("""COMPUTED_VALUE"""),"null")</f>
        <v>null</v>
      </c>
      <c r="V5088" s="33">
        <f>IFERROR(__xludf.DUMMYFUNCTION("""COMPUTED_VALUE"""),0.5)</f>
        <v>0.5</v>
      </c>
      <c r="W5088" s="4" t="str">
        <f>IFERROR(__xludf.DUMMYFUNCTION("""COMPUTED_VALUE"""),"Yooga")</f>
        <v>Yooga</v>
      </c>
      <c r="X5088" s="33">
        <f>IFERROR(__xludf.DUMMYFUNCTION("""COMPUTED_VALUE"""),1.0)</f>
        <v>1</v>
      </c>
    </row>
    <row r="5089">
      <c r="K5089" s="4" t="str">
        <f>IFERROR(__xludf.DUMMYFUNCTION("""COMPUTED_VALUE"""),"MM SABORES IGUABA")</f>
        <v>MM SABORES IGUABA</v>
      </c>
      <c r="L5089" s="32">
        <f>IFERROR(__xludf.DUMMYFUNCTION("""COMPUTED_VALUE"""),2.0)</f>
        <v>2</v>
      </c>
      <c r="M5089" s="4" t="str">
        <f>IFERROR(__xludf.DUMMYFUNCTION("""COMPUTED_VALUE"""),"M-du Tecnologia")</f>
        <v>M-du Tecnologia</v>
      </c>
      <c r="N5089" s="33">
        <f>IFERROR(__xludf.DUMMYFUNCTION("""COMPUTED_VALUE"""),1.0)</f>
        <v>1</v>
      </c>
      <c r="O5089" s="4" t="str">
        <f>IFERROR(__xludf.DUMMYFUNCTION("""COMPUTED_VALUE"""),"M-du Tecnologia")</f>
        <v>M-du Tecnologia</v>
      </c>
      <c r="P5089" s="33">
        <f>IFERROR(__xludf.DUMMYFUNCTION("""COMPUTED_VALUE"""),1.0)</f>
        <v>1</v>
      </c>
      <c r="Q5089" s="4" t="str">
        <f>IFERROR(__xludf.DUMMYFUNCTION("""COMPUTED_VALUE"""),"M-du Tecnologia")</f>
        <v>M-du Tecnologia</v>
      </c>
      <c r="R5089" s="33">
        <f>IFERROR(__xludf.DUMMYFUNCTION("""COMPUTED_VALUE"""),1.0)</f>
        <v>1</v>
      </c>
      <c r="S5089" s="4" t="str">
        <f>IFERROR(__xludf.DUMMYFUNCTION("""COMPUTED_VALUE"""),"M-du Tecnologia")</f>
        <v>M-du Tecnologia</v>
      </c>
      <c r="T5089" s="33">
        <f>IFERROR(__xludf.DUMMYFUNCTION("""COMPUTED_VALUE"""),1.0)</f>
        <v>1</v>
      </c>
      <c r="U5089" s="4" t="str">
        <f>IFERROR(__xludf.DUMMYFUNCTION("""COMPUTED_VALUE"""),"M-du Tecnologia")</f>
        <v>M-du Tecnologia</v>
      </c>
      <c r="V5089" s="33">
        <f>IFERROR(__xludf.DUMMYFUNCTION("""COMPUTED_VALUE"""),1.0)</f>
        <v>1</v>
      </c>
      <c r="W5089" s="4" t="str">
        <f>IFERROR(__xludf.DUMMYFUNCTION("""COMPUTED_VALUE"""),"null")</f>
        <v>null</v>
      </c>
      <c r="X5089" s="33">
        <f>IFERROR(__xludf.DUMMYFUNCTION("""COMPUTED_VALUE"""),1.0)</f>
        <v>1</v>
      </c>
    </row>
    <row r="5090">
      <c r="K5090" s="4" t="str">
        <f>IFERROR(__xludf.DUMMYFUNCTION("""COMPUTED_VALUE"""),"BRUNO BURGUERS")</f>
        <v>BRUNO BURGUERS</v>
      </c>
      <c r="L5090" s="32">
        <f>IFERROR(__xludf.DUMMYFUNCTION("""COMPUTED_VALUE"""),2.0)</f>
        <v>2</v>
      </c>
      <c r="M5090" s="4" t="str">
        <f>IFERROR(__xludf.DUMMYFUNCTION("""COMPUTED_VALUE"""),"Cardápio Web")</f>
        <v>Cardápio Web</v>
      </c>
      <c r="N5090" s="33">
        <f>IFERROR(__xludf.DUMMYFUNCTION("""COMPUTED_VALUE"""),0.5)</f>
        <v>0.5</v>
      </c>
      <c r="O5090" s="4" t="str">
        <f>IFERROR(__xludf.DUMMYFUNCTION("""COMPUTED_VALUE"""),"Cardápio Web")</f>
        <v>Cardápio Web</v>
      </c>
      <c r="P5090" s="33">
        <f>IFERROR(__xludf.DUMMYFUNCTION("""COMPUTED_VALUE"""),0.5)</f>
        <v>0.5</v>
      </c>
      <c r="Q5090" s="4" t="str">
        <f>IFERROR(__xludf.DUMMYFUNCTION("""COMPUTED_VALUE"""),"Cardápio Web")</f>
        <v>Cardápio Web</v>
      </c>
      <c r="R5090" s="33">
        <f>IFERROR(__xludf.DUMMYFUNCTION("""COMPUTED_VALUE"""),0.5)</f>
        <v>0.5</v>
      </c>
      <c r="S5090" s="4" t="str">
        <f>IFERROR(__xludf.DUMMYFUNCTION("""COMPUTED_VALUE"""),"Cardápio Web")</f>
        <v>Cardápio Web</v>
      </c>
      <c r="T5090" s="33">
        <f>IFERROR(__xludf.DUMMYFUNCTION("""COMPUTED_VALUE"""),0.5)</f>
        <v>0.5</v>
      </c>
      <c r="U5090" s="4" t="str">
        <f>IFERROR(__xludf.DUMMYFUNCTION("""COMPUTED_VALUE"""),"Cardápio Web")</f>
        <v>Cardápio Web</v>
      </c>
      <c r="V5090" s="33">
        <f>IFERROR(__xludf.DUMMYFUNCTION("""COMPUTED_VALUE"""),0.5)</f>
        <v>0.5</v>
      </c>
      <c r="W5090" s="4" t="str">
        <f>IFERROR(__xludf.DUMMYFUNCTION("""COMPUTED_VALUE"""),"Cardápio Web")</f>
        <v>Cardápio Web</v>
      </c>
      <c r="X5090" s="33">
        <f>IFERROR(__xludf.DUMMYFUNCTION("""COMPUTED_VALUE"""),0.5)</f>
        <v>0.5</v>
      </c>
    </row>
    <row r="5091">
      <c r="K5091" s="4" t="str">
        <f>IFERROR(__xludf.DUMMYFUNCTION("""COMPUTED_VALUE"""),"SEU JAPA")</f>
        <v>SEU JAPA</v>
      </c>
      <c r="L5091" s="32">
        <f>IFERROR(__xludf.DUMMYFUNCTION("""COMPUTED_VALUE"""),2.0)</f>
        <v>2</v>
      </c>
      <c r="M5091" s="4" t="str">
        <f>IFERROR(__xludf.DUMMYFUNCTION("""COMPUTED_VALUE"""),"Saipos Serviços De Software")</f>
        <v>Saipos Serviços De Software</v>
      </c>
      <c r="N5091" s="33">
        <f>IFERROR(__xludf.DUMMYFUNCTION("""COMPUTED_VALUE"""),1.0)</f>
        <v>1</v>
      </c>
      <c r="O5091" s="4" t="str">
        <f>IFERROR(__xludf.DUMMYFUNCTION("""COMPUTED_VALUE"""),"Saipos Serviços De Software")</f>
        <v>Saipos Serviços De Software</v>
      </c>
      <c r="P5091" s="33">
        <f>IFERROR(__xludf.DUMMYFUNCTION("""COMPUTED_VALUE"""),1.0)</f>
        <v>1</v>
      </c>
      <c r="Q5091" s="4" t="str">
        <f>IFERROR(__xludf.DUMMYFUNCTION("""COMPUTED_VALUE"""),"Saipos Serviços De Software")</f>
        <v>Saipos Serviços De Software</v>
      </c>
      <c r="R5091" s="33">
        <f>IFERROR(__xludf.DUMMYFUNCTION("""COMPUTED_VALUE"""),1.0)</f>
        <v>1</v>
      </c>
      <c r="S5091" s="4" t="str">
        <f>IFERROR(__xludf.DUMMYFUNCTION("""COMPUTED_VALUE"""),"Sagres Automação Comercial")</f>
        <v>Sagres Automação Comercial</v>
      </c>
      <c r="T5091" s="33">
        <f>IFERROR(__xludf.DUMMYFUNCTION("""COMPUTED_VALUE"""),0.5)</f>
        <v>0.5</v>
      </c>
      <c r="U5091" s="4" t="str">
        <f>IFERROR(__xludf.DUMMYFUNCTION("""COMPUTED_VALUE"""),"Saipos Serviços De Software")</f>
        <v>Saipos Serviços De Software</v>
      </c>
      <c r="V5091" s="33">
        <f>IFERROR(__xludf.DUMMYFUNCTION("""COMPUTED_VALUE"""),1.0)</f>
        <v>1</v>
      </c>
      <c r="W5091" s="4" t="str">
        <f>IFERROR(__xludf.DUMMYFUNCTION("""COMPUTED_VALUE"""),"null")</f>
        <v>null</v>
      </c>
      <c r="X5091" s="33">
        <f>IFERROR(__xludf.DUMMYFUNCTION("""COMPUTED_VALUE"""),0.5)</f>
        <v>0.5</v>
      </c>
    </row>
    <row r="5092">
      <c r="K5092" s="4" t="str">
        <f>IFERROR(__xludf.DUMMYFUNCTION("""COMPUTED_VALUE"""),"FIRMA BURGER")</f>
        <v>FIRMA BURGER</v>
      </c>
      <c r="L5092" s="32">
        <f>IFERROR(__xludf.DUMMYFUNCTION("""COMPUTED_VALUE"""),2.0)</f>
        <v>2</v>
      </c>
      <c r="M5092" s="4" t="str">
        <f>IFERROR(__xludf.DUMMYFUNCTION("""COMPUTED_VALUE"""),"Saipos Serviços De Software")</f>
        <v>Saipos Serviços De Software</v>
      </c>
      <c r="N5092" s="33">
        <f>IFERROR(__xludf.DUMMYFUNCTION("""COMPUTED_VALUE"""),1.0)</f>
        <v>1</v>
      </c>
      <c r="O5092" s="4" t="str">
        <f>IFERROR(__xludf.DUMMYFUNCTION("""COMPUTED_VALUE"""),"Saipos Serviços De Software")</f>
        <v>Saipos Serviços De Software</v>
      </c>
      <c r="P5092" s="33">
        <f>IFERROR(__xludf.DUMMYFUNCTION("""COMPUTED_VALUE"""),0.5)</f>
        <v>0.5</v>
      </c>
      <c r="Q5092" s="4" t="str">
        <f>IFERROR(__xludf.DUMMYFUNCTION("""COMPUTED_VALUE"""),"Saipos Serviços De Software")</f>
        <v>Saipos Serviços De Software</v>
      </c>
      <c r="R5092" s="33">
        <f>IFERROR(__xludf.DUMMYFUNCTION("""COMPUTED_VALUE"""),0.5)</f>
        <v>0.5</v>
      </c>
      <c r="S5092" s="4" t="str">
        <f>IFERROR(__xludf.DUMMYFUNCTION("""COMPUTED_VALUE"""),"Saipos Serviços De Software")</f>
        <v>Saipos Serviços De Software</v>
      </c>
      <c r="T5092" s="33">
        <f>IFERROR(__xludf.DUMMYFUNCTION("""COMPUTED_VALUE"""),0.5)</f>
        <v>0.5</v>
      </c>
      <c r="U5092" s="4" t="str">
        <f>IFERROR(__xludf.DUMMYFUNCTION("""COMPUTED_VALUE"""),"Saipos Serviços De Software")</f>
        <v>Saipos Serviços De Software</v>
      </c>
      <c r="V5092" s="33">
        <f>IFERROR(__xludf.DUMMYFUNCTION("""COMPUTED_VALUE"""),0.5)</f>
        <v>0.5</v>
      </c>
      <c r="W5092" s="4" t="str">
        <f>IFERROR(__xludf.DUMMYFUNCTION("""COMPUTED_VALUE"""),"Saipos Serviços De Software")</f>
        <v>Saipos Serviços De Software</v>
      </c>
      <c r="X5092" s="33">
        <f>IFERROR(__xludf.DUMMYFUNCTION("""COMPUTED_VALUE"""),0.5)</f>
        <v>0.5</v>
      </c>
    </row>
    <row r="5093">
      <c r="K5093" s="4" t="str">
        <f>IFERROR(__xludf.DUMMYFUNCTION("""COMPUTED_VALUE"""),"VIANAS BURGER - COMBOS E LANCHES PIZZA ACAI")</f>
        <v>VIANAS BURGER - COMBOS E LANCHES PIZZA ACAI</v>
      </c>
      <c r="L5093" s="32">
        <f>IFERROR(__xludf.DUMMYFUNCTION("""COMPUTED_VALUE"""),2.0)</f>
        <v>2</v>
      </c>
      <c r="M5093" s="4" t="str">
        <f>IFERROR(__xludf.DUMMYFUNCTION("""COMPUTED_VALUE"""),"M-du Tecnologia")</f>
        <v>M-du Tecnologia</v>
      </c>
      <c r="N5093" s="33">
        <f>IFERROR(__xludf.DUMMYFUNCTION("""COMPUTED_VALUE"""),1.0)</f>
        <v>1</v>
      </c>
      <c r="O5093" s="4" t="str">
        <f>IFERROR(__xludf.DUMMYFUNCTION("""COMPUTED_VALUE"""),"M-du Tecnologia")</f>
        <v>M-du Tecnologia</v>
      </c>
      <c r="P5093" s="33">
        <f>IFERROR(__xludf.DUMMYFUNCTION("""COMPUTED_VALUE"""),1.0)</f>
        <v>1</v>
      </c>
      <c r="Q5093" s="4" t="str">
        <f>IFERROR(__xludf.DUMMYFUNCTION("""COMPUTED_VALUE"""),"M-du Tecnologia")</f>
        <v>M-du Tecnologia</v>
      </c>
      <c r="R5093" s="33">
        <f>IFERROR(__xludf.DUMMYFUNCTION("""COMPUTED_VALUE"""),1.0)</f>
        <v>1</v>
      </c>
      <c r="S5093" s="4" t="str">
        <f>IFERROR(__xludf.DUMMYFUNCTION("""COMPUTED_VALUE"""),"M-du Tecnologia")</f>
        <v>M-du Tecnologia</v>
      </c>
      <c r="T5093" s="33">
        <f>IFERROR(__xludf.DUMMYFUNCTION("""COMPUTED_VALUE"""),1.0)</f>
        <v>1</v>
      </c>
      <c r="U5093" s="4" t="str">
        <f>IFERROR(__xludf.DUMMYFUNCTION("""COMPUTED_VALUE"""),"M-du Tecnologia")</f>
        <v>M-du Tecnologia</v>
      </c>
      <c r="V5093" s="33">
        <f>IFERROR(__xludf.DUMMYFUNCTION("""COMPUTED_VALUE"""),1.0)</f>
        <v>1</v>
      </c>
      <c r="W5093" s="4" t="str">
        <f>IFERROR(__xludf.DUMMYFUNCTION("""COMPUTED_VALUE"""),"M-du Tecnologia")</f>
        <v>M-du Tecnologia</v>
      </c>
      <c r="X5093" s="33">
        <f>IFERROR(__xludf.DUMMYFUNCTION("""COMPUTED_VALUE"""),1.0)</f>
        <v>1</v>
      </c>
    </row>
    <row r="5094">
      <c r="K5094" s="4" t="str">
        <f>IFERROR(__xludf.DUMMYFUNCTION("""COMPUTED_VALUE"""),"ACAI CARIOCA")</f>
        <v>ACAI CARIOCA</v>
      </c>
      <c r="L5094" s="32">
        <f>IFERROR(__xludf.DUMMYFUNCTION("""COMPUTED_VALUE"""),2.0)</f>
        <v>2</v>
      </c>
      <c r="M5094" s="4" t="str">
        <f>IFERROR(__xludf.DUMMYFUNCTION("""COMPUTED_VALUE"""),"null")</f>
        <v>null</v>
      </c>
      <c r="N5094" s="33">
        <f>IFERROR(__xludf.DUMMYFUNCTION("""COMPUTED_VALUE"""),0.5)</f>
        <v>0.5</v>
      </c>
      <c r="O5094" s="4" t="str">
        <f>IFERROR(__xludf.DUMMYFUNCTION("""COMPUTED_VALUE"""),"null")</f>
        <v>null</v>
      </c>
      <c r="P5094" s="33">
        <f>IFERROR(__xludf.DUMMYFUNCTION("""COMPUTED_VALUE"""),0.5)</f>
        <v>0.5</v>
      </c>
      <c r="Q5094" s="4" t="str">
        <f>IFERROR(__xludf.DUMMYFUNCTION("""COMPUTED_VALUE"""),"Brendi")</f>
        <v>Brendi</v>
      </c>
      <c r="R5094" s="33">
        <f>IFERROR(__xludf.DUMMYFUNCTION("""COMPUTED_VALUE"""),0.5)</f>
        <v>0.5</v>
      </c>
      <c r="S5094" s="4" t="str">
        <f>IFERROR(__xludf.DUMMYFUNCTION("""COMPUTED_VALUE"""),"Brendi")</f>
        <v>Brendi</v>
      </c>
      <c r="T5094" s="33">
        <f>IFERROR(__xludf.DUMMYFUNCTION("""COMPUTED_VALUE"""),0.5)</f>
        <v>0.5</v>
      </c>
      <c r="U5094" s="4" t="str">
        <f>IFERROR(__xludf.DUMMYFUNCTION("""COMPUTED_VALUE"""),"Brendi")</f>
        <v>Brendi</v>
      </c>
      <c r="V5094" s="33">
        <f>IFERROR(__xludf.DUMMYFUNCTION("""COMPUTED_VALUE"""),0.5)</f>
        <v>0.5</v>
      </c>
      <c r="W5094" s="4" t="str">
        <f>IFERROR(__xludf.DUMMYFUNCTION("""COMPUTED_VALUE"""),"Brendi")</f>
        <v>Brendi</v>
      </c>
      <c r="X5094" s="33">
        <f>IFERROR(__xludf.DUMMYFUNCTION("""COMPUTED_VALUE"""),0.5)</f>
        <v>0.5</v>
      </c>
    </row>
    <row r="5095">
      <c r="K5095" s="4" t="str">
        <f>IFERROR(__xludf.DUMMYFUNCTION("""COMPUTED_VALUE"""),"906 BURGER - SANTANA")</f>
        <v>906 BURGER - SANTANA</v>
      </c>
      <c r="L5095" s="32">
        <f>IFERROR(__xludf.DUMMYFUNCTION("""COMPUTED_VALUE"""),2.0)</f>
        <v>2</v>
      </c>
      <c r="M5095" s="4" t="str">
        <f>IFERROR(__xludf.DUMMYFUNCTION("""COMPUTED_VALUE"""),"Consumer Soluções Em Tecnologia Ltda")</f>
        <v>Consumer Soluções Em Tecnologia Ltda</v>
      </c>
      <c r="N5095" s="33">
        <f>IFERROR(__xludf.DUMMYFUNCTION("""COMPUTED_VALUE"""),1.0)</f>
        <v>1</v>
      </c>
      <c r="O5095" s="4" t="str">
        <f>IFERROR(__xludf.DUMMYFUNCTION("""COMPUTED_VALUE"""),"Consumer Soluções Em Tecnologia Ltda")</f>
        <v>Consumer Soluções Em Tecnologia Ltda</v>
      </c>
      <c r="P5095" s="33">
        <f>IFERROR(__xludf.DUMMYFUNCTION("""COMPUTED_VALUE"""),1.0)</f>
        <v>1</v>
      </c>
      <c r="Q5095" s="4" t="str">
        <f>IFERROR(__xludf.DUMMYFUNCTION("""COMPUTED_VALUE"""),"null")</f>
        <v>null</v>
      </c>
      <c r="R5095" s="33">
        <f>IFERROR(__xludf.DUMMYFUNCTION("""COMPUTED_VALUE"""),0.5)</f>
        <v>0.5</v>
      </c>
      <c r="S5095" s="4" t="str">
        <f>IFERROR(__xludf.DUMMYFUNCTION("""COMPUTED_VALUE"""),"Consumer Soluções Em Tecnologia Ltda")</f>
        <v>Consumer Soluções Em Tecnologia Ltda</v>
      </c>
      <c r="T5095" s="33">
        <f>IFERROR(__xludf.DUMMYFUNCTION("""COMPUTED_VALUE"""),0.5)</f>
        <v>0.5</v>
      </c>
      <c r="U5095" s="4" t="str">
        <f>IFERROR(__xludf.DUMMYFUNCTION("""COMPUTED_VALUE"""),"null")</f>
        <v>null</v>
      </c>
      <c r="V5095" s="33">
        <f>IFERROR(__xludf.DUMMYFUNCTION("""COMPUTED_VALUE"""),0.5)</f>
        <v>0.5</v>
      </c>
      <c r="W5095" s="4" t="str">
        <f>IFERROR(__xludf.DUMMYFUNCTION("""COMPUTED_VALUE"""),"null")</f>
        <v>null</v>
      </c>
      <c r="X5095" s="33">
        <f>IFERROR(__xludf.DUMMYFUNCTION("""COMPUTED_VALUE"""),1.0)</f>
        <v>1</v>
      </c>
    </row>
    <row r="5096">
      <c r="K5096" s="4" t="str">
        <f>IFERROR(__xludf.DUMMYFUNCTION("""COMPUTED_VALUE"""),"VALDE SOARES CONFEITARIA")</f>
        <v>VALDE SOARES CONFEITARIA</v>
      </c>
      <c r="L5096" s="32">
        <f>IFERROR(__xludf.DUMMYFUNCTION("""COMPUTED_VALUE"""),2.0)</f>
        <v>2</v>
      </c>
      <c r="M5096" s="4" t="str">
        <f>IFERROR(__xludf.DUMMYFUNCTION("""COMPUTED_VALUE"""),"Cardápio Web")</f>
        <v>Cardápio Web</v>
      </c>
      <c r="N5096" s="33">
        <f>IFERROR(__xludf.DUMMYFUNCTION("""COMPUTED_VALUE"""),0.5)</f>
        <v>0.5</v>
      </c>
      <c r="O5096" s="4" t="str">
        <f>IFERROR(__xludf.DUMMYFUNCTION("""COMPUTED_VALUE"""),"Cardápio Web")</f>
        <v>Cardápio Web</v>
      </c>
      <c r="P5096" s="33">
        <f>IFERROR(__xludf.DUMMYFUNCTION("""COMPUTED_VALUE"""),0.5)</f>
        <v>0.5</v>
      </c>
      <c r="Q5096" s="4" t="str">
        <f>IFERROR(__xludf.DUMMYFUNCTION("""COMPUTED_VALUE"""),"Cardápio Web")</f>
        <v>Cardápio Web</v>
      </c>
      <c r="R5096" s="33">
        <f>IFERROR(__xludf.DUMMYFUNCTION("""COMPUTED_VALUE"""),0.5)</f>
        <v>0.5</v>
      </c>
      <c r="S5096" s="4" t="str">
        <f>IFERROR(__xludf.DUMMYFUNCTION("""COMPUTED_VALUE"""),"null")</f>
        <v>null</v>
      </c>
      <c r="T5096" s="33">
        <f>IFERROR(__xludf.DUMMYFUNCTION("""COMPUTED_VALUE"""),0.5)</f>
        <v>0.5</v>
      </c>
      <c r="U5096" s="4" t="str">
        <f>IFERROR(__xludf.DUMMYFUNCTION("""COMPUTED_VALUE"""),"null")</f>
        <v>null</v>
      </c>
      <c r="V5096" s="33">
        <f>IFERROR(__xludf.DUMMYFUNCTION("""COMPUTED_VALUE"""),0.5)</f>
        <v>0.5</v>
      </c>
      <c r="W5096" s="4" t="str">
        <f>IFERROR(__xludf.DUMMYFUNCTION("""COMPUTED_VALUE"""),"null")</f>
        <v>null</v>
      </c>
      <c r="X5096" s="33">
        <f>IFERROR(__xludf.DUMMYFUNCTION("""COMPUTED_VALUE"""),0.5)</f>
        <v>0.5</v>
      </c>
    </row>
    <row r="5097">
      <c r="K5097" s="4" t="str">
        <f>IFERROR(__xludf.DUMMYFUNCTION("""COMPUTED_VALUE"""),"MAX RESTAURANTE")</f>
        <v>MAX RESTAURANTE</v>
      </c>
      <c r="L5097" s="32">
        <f>IFERROR(__xludf.DUMMYFUNCTION("""COMPUTED_VALUE"""),2.0)</f>
        <v>2</v>
      </c>
      <c r="M5097" s="4" t="str">
        <f>IFERROR(__xludf.DUMMYFUNCTION("""COMPUTED_VALUE"""),"Consumer Soluções Em Tecnologia Ltda")</f>
        <v>Consumer Soluções Em Tecnologia Ltda</v>
      </c>
      <c r="N5097" s="33">
        <f>IFERROR(__xludf.DUMMYFUNCTION("""COMPUTED_VALUE"""),0.5)</f>
        <v>0.5</v>
      </c>
      <c r="O5097" s="4" t="str">
        <f>IFERROR(__xludf.DUMMYFUNCTION("""COMPUTED_VALUE"""),"Consumer Soluções Em Tecnologia Ltda")</f>
        <v>Consumer Soluções Em Tecnologia Ltda</v>
      </c>
      <c r="P5097" s="33">
        <f>IFERROR(__xludf.DUMMYFUNCTION("""COMPUTED_VALUE"""),0.5)</f>
        <v>0.5</v>
      </c>
      <c r="Q5097" s="4" t="str">
        <f>IFERROR(__xludf.DUMMYFUNCTION("""COMPUTED_VALUE"""),"Consumer Soluções Em Tecnologia Ltda")</f>
        <v>Consumer Soluções Em Tecnologia Ltda</v>
      </c>
      <c r="R5097" s="33">
        <f>IFERROR(__xludf.DUMMYFUNCTION("""COMPUTED_VALUE"""),0.5)</f>
        <v>0.5</v>
      </c>
      <c r="S5097" s="4" t="str">
        <f>IFERROR(__xludf.DUMMYFUNCTION("""COMPUTED_VALUE"""),"Consumer Soluções Em Tecnologia Ltda")</f>
        <v>Consumer Soluções Em Tecnologia Ltda</v>
      </c>
      <c r="T5097" s="33">
        <f>IFERROR(__xludf.DUMMYFUNCTION("""COMPUTED_VALUE"""),0.5)</f>
        <v>0.5</v>
      </c>
      <c r="U5097" s="4" t="str">
        <f>IFERROR(__xludf.DUMMYFUNCTION("""COMPUTED_VALUE"""),"Consumer Soluções Em Tecnologia Ltda")</f>
        <v>Consumer Soluções Em Tecnologia Ltda</v>
      </c>
      <c r="V5097" s="33">
        <f>IFERROR(__xludf.DUMMYFUNCTION("""COMPUTED_VALUE"""),0.5)</f>
        <v>0.5</v>
      </c>
      <c r="W5097" s="4" t="str">
        <f>IFERROR(__xludf.DUMMYFUNCTION("""COMPUTED_VALUE"""),"Consumer Soluções Em Tecnologia Ltda")</f>
        <v>Consumer Soluções Em Tecnologia Ltda</v>
      </c>
      <c r="X5097" s="33">
        <f>IFERROR(__xludf.DUMMYFUNCTION("""COMPUTED_VALUE"""),0.5)</f>
        <v>0.5</v>
      </c>
    </row>
    <row r="5098">
      <c r="K5098" s="4" t="str">
        <f>IFERROR(__xludf.DUMMYFUNCTION("""COMPUTED_VALUE"""),"DON CAMARONE - SERRA")</f>
        <v>DON CAMARONE - SERRA</v>
      </c>
      <c r="L5098" s="32">
        <f>IFERROR(__xludf.DUMMYFUNCTION("""COMPUTED_VALUE"""),2.0)</f>
        <v>2</v>
      </c>
      <c r="M5098" s="4" t="str">
        <f>IFERROR(__xludf.DUMMYFUNCTION("""COMPUTED_VALUE"""),"Saipos Serviços De Software")</f>
        <v>Saipos Serviços De Software</v>
      </c>
      <c r="N5098" s="33">
        <f>IFERROR(__xludf.DUMMYFUNCTION("""COMPUTED_VALUE"""),1.0)</f>
        <v>1</v>
      </c>
      <c r="O5098" s="4" t="str">
        <f>IFERROR(__xludf.DUMMYFUNCTION("""COMPUTED_VALUE"""),"Saipos Serviços De Software")</f>
        <v>Saipos Serviços De Software</v>
      </c>
      <c r="P5098" s="33">
        <f>IFERROR(__xludf.DUMMYFUNCTION("""COMPUTED_VALUE"""),1.0)</f>
        <v>1</v>
      </c>
      <c r="Q5098" s="4" t="str">
        <f>IFERROR(__xludf.DUMMYFUNCTION("""COMPUTED_VALUE"""),"Saipos Serviços De Software")</f>
        <v>Saipos Serviços De Software</v>
      </c>
      <c r="R5098" s="33">
        <f>IFERROR(__xludf.DUMMYFUNCTION("""COMPUTED_VALUE"""),1.0)</f>
        <v>1</v>
      </c>
      <c r="S5098" s="4" t="str">
        <f>IFERROR(__xludf.DUMMYFUNCTION("""COMPUTED_VALUE"""),"Saipos Serviços De Software")</f>
        <v>Saipos Serviços De Software</v>
      </c>
      <c r="T5098" s="33">
        <f>IFERROR(__xludf.DUMMYFUNCTION("""COMPUTED_VALUE"""),1.0)</f>
        <v>1</v>
      </c>
      <c r="U5098" s="4" t="str">
        <f>IFERROR(__xludf.DUMMYFUNCTION("""COMPUTED_VALUE"""),"Saipos Serviços De Software")</f>
        <v>Saipos Serviços De Software</v>
      </c>
      <c r="V5098" s="33">
        <f>IFERROR(__xludf.DUMMYFUNCTION("""COMPUTED_VALUE"""),1.0)</f>
        <v>1</v>
      </c>
      <c r="W5098" s="4" t="str">
        <f>IFERROR(__xludf.DUMMYFUNCTION("""COMPUTED_VALUE"""),"Saipos Serviços De Software")</f>
        <v>Saipos Serviços De Software</v>
      </c>
      <c r="X5098" s="33">
        <f>IFERROR(__xludf.DUMMYFUNCTION("""COMPUTED_VALUE"""),1.0)</f>
        <v>1</v>
      </c>
    </row>
    <row r="5099">
      <c r="K5099" s="4" t="str">
        <f>IFERROR(__xludf.DUMMYFUNCTION("""COMPUTED_VALUE"""),"CRIS BURGUER")</f>
        <v>CRIS BURGUER</v>
      </c>
      <c r="L5099" s="32">
        <f>IFERROR(__xludf.DUMMYFUNCTION("""COMPUTED_VALUE"""),2.0)</f>
        <v>2</v>
      </c>
      <c r="M5099" s="4" t="str">
        <f>IFERROR(__xludf.DUMMYFUNCTION("""COMPUTED_VALUE"""),"Consumer Soluções Em Tecnologia Ltda")</f>
        <v>Consumer Soluções Em Tecnologia Ltda</v>
      </c>
      <c r="N5099" s="33">
        <f>IFERROR(__xludf.DUMMYFUNCTION("""COMPUTED_VALUE"""),0.5)</f>
        <v>0.5</v>
      </c>
      <c r="O5099" s="4" t="str">
        <f>IFERROR(__xludf.DUMMYFUNCTION("""COMPUTED_VALUE"""),"null")</f>
        <v>null</v>
      </c>
      <c r="P5099" s="33">
        <f>IFERROR(__xludf.DUMMYFUNCTION("""COMPUTED_VALUE"""),1.0)</f>
        <v>1</v>
      </c>
      <c r="Q5099" s="4" t="str">
        <f>IFERROR(__xludf.DUMMYFUNCTION("""COMPUTED_VALUE"""),"null")</f>
        <v>null</v>
      </c>
      <c r="R5099" s="33">
        <f>IFERROR(__xludf.DUMMYFUNCTION("""COMPUTED_VALUE"""),1.0)</f>
        <v>1</v>
      </c>
      <c r="S5099" s="4" t="str">
        <f>IFERROR(__xludf.DUMMYFUNCTION("""COMPUTED_VALUE"""),"null")</f>
        <v>null</v>
      </c>
      <c r="T5099" s="33">
        <f>IFERROR(__xludf.DUMMYFUNCTION("""COMPUTED_VALUE"""),1.0)</f>
        <v>1</v>
      </c>
      <c r="U5099" s="4" t="str">
        <f>IFERROR(__xludf.DUMMYFUNCTION("""COMPUTED_VALUE"""),"null")</f>
        <v>null</v>
      </c>
      <c r="V5099" s="33">
        <f>IFERROR(__xludf.DUMMYFUNCTION("""COMPUTED_VALUE"""),1.0)</f>
        <v>1</v>
      </c>
      <c r="W5099" s="4" t="str">
        <f>IFERROR(__xludf.DUMMYFUNCTION("""COMPUTED_VALUE"""),"null")</f>
        <v>null</v>
      </c>
      <c r="X5099" s="33">
        <f>IFERROR(__xludf.DUMMYFUNCTION("""COMPUTED_VALUE"""),0.5)</f>
        <v>0.5</v>
      </c>
    </row>
    <row r="5100">
      <c r="K5100" s="4" t="str">
        <f>IFERROR(__xludf.DUMMYFUNCTION("""COMPUTED_VALUE"""),"FARMACIA")</f>
        <v>FARMACIA</v>
      </c>
      <c r="L5100" s="32">
        <f>IFERROR(__xludf.DUMMYFUNCTION("""COMPUTED_VALUE"""),2.0)</f>
        <v>2</v>
      </c>
      <c r="M5100" s="4" t="str">
        <f>IFERROR(__xludf.DUMMYFUNCTION("""COMPUTED_VALUE"""),"N/A (Not found)")</f>
        <v>N/A (Not found)</v>
      </c>
      <c r="N5100" s="33">
        <f>IFERROR(__xludf.DUMMYFUNCTION("""COMPUTED_VALUE"""),0.5)</f>
        <v>0.5</v>
      </c>
      <c r="O5100" s="4" t="str">
        <f>IFERROR(__xludf.DUMMYFUNCTION("""COMPUTED_VALUE"""),"N/A (Not found)")</f>
        <v>N/A (Not found)</v>
      </c>
      <c r="P5100" s="33">
        <f>IFERROR(__xludf.DUMMYFUNCTION("""COMPUTED_VALUE"""),1.0)</f>
        <v>1</v>
      </c>
      <c r="Q5100" s="4" t="str">
        <f>IFERROR(__xludf.DUMMYFUNCTION("""COMPUTED_VALUE"""),"N/A (Not found)")</f>
        <v>N/A (Not found)</v>
      </c>
      <c r="R5100" s="33">
        <f>IFERROR(__xludf.DUMMYFUNCTION("""COMPUTED_VALUE"""),1.0)</f>
        <v>1</v>
      </c>
      <c r="S5100" s="4" t="str">
        <f>IFERROR(__xludf.DUMMYFUNCTION("""COMPUTED_VALUE"""),"N/A (Not found)")</f>
        <v>N/A (Not found)</v>
      </c>
      <c r="T5100" s="33">
        <f>IFERROR(__xludf.DUMMYFUNCTION("""COMPUTED_VALUE"""),1.0)</f>
        <v>1</v>
      </c>
      <c r="U5100" s="4" t="str">
        <f>IFERROR(__xludf.DUMMYFUNCTION("""COMPUTED_VALUE"""),"N/A (Not found)")</f>
        <v>N/A (Not found)</v>
      </c>
      <c r="V5100" s="33">
        <f>IFERROR(__xludf.DUMMYFUNCTION("""COMPUTED_VALUE"""),1.0)</f>
        <v>1</v>
      </c>
      <c r="W5100" s="4" t="str">
        <f>IFERROR(__xludf.DUMMYFUNCTION("""COMPUTED_VALUE"""),"N/A (Not found)")</f>
        <v>N/A (Not found)</v>
      </c>
      <c r="X5100" s="33">
        <f>IFERROR(__xludf.DUMMYFUNCTION("""COMPUTED_VALUE"""),1.0)</f>
        <v>1</v>
      </c>
    </row>
    <row r="5101">
      <c r="K5101" s="4" t="str">
        <f>IFERROR(__xludf.DUMMYFUNCTION("""COMPUTED_VALUE"""),"BOB LANCHES")</f>
        <v>BOB LANCHES</v>
      </c>
      <c r="L5101" s="32">
        <f>IFERROR(__xludf.DUMMYFUNCTION("""COMPUTED_VALUE"""),2.0)</f>
        <v>2</v>
      </c>
      <c r="M5101" s="4" t="str">
        <f>IFERROR(__xludf.DUMMYFUNCTION("""COMPUTED_VALUE"""),"Cardápio Web")</f>
        <v>Cardápio Web</v>
      </c>
      <c r="N5101" s="33">
        <f>IFERROR(__xludf.DUMMYFUNCTION("""COMPUTED_VALUE"""),0.5)</f>
        <v>0.5</v>
      </c>
      <c r="O5101" s="4" t="str">
        <f>IFERROR(__xludf.DUMMYFUNCTION("""COMPUTED_VALUE"""),"Cardápio Web")</f>
        <v>Cardápio Web</v>
      </c>
      <c r="P5101" s="33">
        <f>IFERROR(__xludf.DUMMYFUNCTION("""COMPUTED_VALUE"""),0.5)</f>
        <v>0.5</v>
      </c>
      <c r="Q5101" s="4" t="str">
        <f>IFERROR(__xludf.DUMMYFUNCTION("""COMPUTED_VALUE"""),"Cardápio Web")</f>
        <v>Cardápio Web</v>
      </c>
      <c r="R5101" s="33">
        <f>IFERROR(__xludf.DUMMYFUNCTION("""COMPUTED_VALUE"""),0.5)</f>
        <v>0.5</v>
      </c>
      <c r="S5101" s="4" t="str">
        <f>IFERROR(__xludf.DUMMYFUNCTION("""COMPUTED_VALUE"""),"Cardápio Web")</f>
        <v>Cardápio Web</v>
      </c>
      <c r="T5101" s="33">
        <f>IFERROR(__xludf.DUMMYFUNCTION("""COMPUTED_VALUE"""),0.5)</f>
        <v>0.5</v>
      </c>
      <c r="U5101" s="4" t="str">
        <f>IFERROR(__xludf.DUMMYFUNCTION("""COMPUTED_VALUE"""),"Cardápio Web")</f>
        <v>Cardápio Web</v>
      </c>
      <c r="V5101" s="33">
        <f>IFERROR(__xludf.DUMMYFUNCTION("""COMPUTED_VALUE"""),0.5)</f>
        <v>0.5</v>
      </c>
      <c r="W5101" s="4" t="str">
        <f>IFERROR(__xludf.DUMMYFUNCTION("""COMPUTED_VALUE"""),"Cardápio Web")</f>
        <v>Cardápio Web</v>
      </c>
      <c r="X5101" s="33">
        <f>IFERROR(__xludf.DUMMYFUNCTION("""COMPUTED_VALUE"""),0.5)</f>
        <v>0.5</v>
      </c>
    </row>
    <row r="5102">
      <c r="K5102" s="4" t="str">
        <f>IFERROR(__xludf.DUMMYFUNCTION("""COMPUTED_VALUE"""),"KACHURRASCO GAUCHO")</f>
        <v>KACHURRASCO GAUCHO</v>
      </c>
      <c r="L5102" s="32">
        <f>IFERROR(__xludf.DUMMYFUNCTION("""COMPUTED_VALUE"""),2.0)</f>
        <v>2</v>
      </c>
      <c r="M5102" s="4" t="str">
        <f>IFERROR(__xludf.DUMMYFUNCTION("""COMPUTED_VALUE"""),"null")</f>
        <v>null</v>
      </c>
      <c r="N5102" s="33">
        <f>IFERROR(__xludf.DUMMYFUNCTION("""COMPUTED_VALUE"""),1.0)</f>
        <v>1</v>
      </c>
      <c r="O5102" s="4" t="str">
        <f>IFERROR(__xludf.DUMMYFUNCTION("""COMPUTED_VALUE"""),"null")</f>
        <v>null</v>
      </c>
      <c r="P5102" s="33">
        <f>IFERROR(__xludf.DUMMYFUNCTION("""COMPUTED_VALUE"""),1.0)</f>
        <v>1</v>
      </c>
      <c r="Q5102" s="4" t="str">
        <f>IFERROR(__xludf.DUMMYFUNCTION("""COMPUTED_VALUE"""),"null")</f>
        <v>null</v>
      </c>
      <c r="R5102" s="33">
        <f>IFERROR(__xludf.DUMMYFUNCTION("""COMPUTED_VALUE"""),1.0)</f>
        <v>1</v>
      </c>
      <c r="S5102" s="4" t="str">
        <f>IFERROR(__xludf.DUMMYFUNCTION("""COMPUTED_VALUE"""),"Saipos Serviços De Software")</f>
        <v>Saipos Serviços De Software</v>
      </c>
      <c r="T5102" s="33">
        <f>IFERROR(__xludf.DUMMYFUNCTION("""COMPUTED_VALUE"""),1.0)</f>
        <v>1</v>
      </c>
      <c r="U5102" s="4" t="str">
        <f>IFERROR(__xludf.DUMMYFUNCTION("""COMPUTED_VALUE"""),"Saipos Serviços De Software")</f>
        <v>Saipos Serviços De Software</v>
      </c>
      <c r="V5102" s="33">
        <f>IFERROR(__xludf.DUMMYFUNCTION("""COMPUTED_VALUE"""),1.0)</f>
        <v>1</v>
      </c>
      <c r="W5102" s="4" t="str">
        <f>IFERROR(__xludf.DUMMYFUNCTION("""COMPUTED_VALUE"""),"Saipos Serviços De Software")</f>
        <v>Saipos Serviços De Software</v>
      </c>
      <c r="X5102" s="33">
        <f>IFERROR(__xludf.DUMMYFUNCTION("""COMPUTED_VALUE"""),1.0)</f>
        <v>1</v>
      </c>
    </row>
    <row r="5103">
      <c r="K5103" s="4" t="str">
        <f>IFERROR(__xludf.DUMMYFUNCTION("""COMPUTED_VALUE"""),"CAFE EXPRESSO")</f>
        <v>CAFE EXPRESSO</v>
      </c>
      <c r="L5103" s="32">
        <f>IFERROR(__xludf.DUMMYFUNCTION("""COMPUTED_VALUE"""),2.0)</f>
        <v>2</v>
      </c>
      <c r="M5103" s="4" t="str">
        <f>IFERROR(__xludf.DUMMYFUNCTION("""COMPUTED_VALUE"""),"Anota Ai Solucoes Digitais S/a")</f>
        <v>Anota Ai Solucoes Digitais S/a</v>
      </c>
      <c r="N5103" s="33">
        <f>IFERROR(__xludf.DUMMYFUNCTION("""COMPUTED_VALUE"""),0.5)</f>
        <v>0.5</v>
      </c>
      <c r="O5103" s="4" t="str">
        <f>IFERROR(__xludf.DUMMYFUNCTION("""COMPUTED_VALUE"""),"Anota Ai Solucoes Digitais S/a")</f>
        <v>Anota Ai Solucoes Digitais S/a</v>
      </c>
      <c r="P5103" s="33">
        <f>IFERROR(__xludf.DUMMYFUNCTION("""COMPUTED_VALUE"""),0.5)</f>
        <v>0.5</v>
      </c>
      <c r="Q5103" s="4" t="str">
        <f>IFERROR(__xludf.DUMMYFUNCTION("""COMPUTED_VALUE"""),"Anota Ai Solucoes Digitais S/a")</f>
        <v>Anota Ai Solucoes Digitais S/a</v>
      </c>
      <c r="R5103" s="33">
        <f>IFERROR(__xludf.DUMMYFUNCTION("""COMPUTED_VALUE"""),0.5)</f>
        <v>0.5</v>
      </c>
      <c r="S5103" s="4" t="str">
        <f>IFERROR(__xludf.DUMMYFUNCTION("""COMPUTED_VALUE"""),"Anota Ai Solucoes Digitais S/a")</f>
        <v>Anota Ai Solucoes Digitais S/a</v>
      </c>
      <c r="T5103" s="33">
        <f>IFERROR(__xludf.DUMMYFUNCTION("""COMPUTED_VALUE"""),0.5)</f>
        <v>0.5</v>
      </c>
      <c r="U5103" s="4" t="str">
        <f>IFERROR(__xludf.DUMMYFUNCTION("""COMPUTED_VALUE"""),"Anota Ai Solucoes Digitais S/a")</f>
        <v>Anota Ai Solucoes Digitais S/a</v>
      </c>
      <c r="V5103" s="33">
        <f>IFERROR(__xludf.DUMMYFUNCTION("""COMPUTED_VALUE"""),0.5)</f>
        <v>0.5</v>
      </c>
      <c r="W5103" s="4" t="str">
        <f>IFERROR(__xludf.DUMMYFUNCTION("""COMPUTED_VALUE"""),"Anota Ai Solucoes Digitais S/a")</f>
        <v>Anota Ai Solucoes Digitais S/a</v>
      </c>
      <c r="X5103" s="33">
        <f>IFERROR(__xludf.DUMMYFUNCTION("""COMPUTED_VALUE"""),0.5)</f>
        <v>0.5</v>
      </c>
    </row>
    <row r="5104">
      <c r="K5104" s="4" t="str">
        <f>IFERROR(__xludf.DUMMYFUNCTION("""COMPUTED_VALUE"""),"PIZZA DON")</f>
        <v>PIZZA DON</v>
      </c>
      <c r="L5104" s="32">
        <f>IFERROR(__xludf.DUMMYFUNCTION("""COMPUTED_VALUE"""),2.0)</f>
        <v>2</v>
      </c>
      <c r="M5104" s="4" t="str">
        <f>IFERROR(__xludf.DUMMYFUNCTION("""COMPUTED_VALUE"""),"Saipos Serviços De Software")</f>
        <v>Saipos Serviços De Software</v>
      </c>
      <c r="N5104" s="33">
        <f>IFERROR(__xludf.DUMMYFUNCTION("""COMPUTED_VALUE"""),1.0)</f>
        <v>1</v>
      </c>
      <c r="O5104" s="4" t="str">
        <f>IFERROR(__xludf.DUMMYFUNCTION("""COMPUTED_VALUE"""),"Saipos Serviços De Software")</f>
        <v>Saipos Serviços De Software</v>
      </c>
      <c r="P5104" s="33">
        <f>IFERROR(__xludf.DUMMYFUNCTION("""COMPUTED_VALUE"""),1.0)</f>
        <v>1</v>
      </c>
      <c r="Q5104" s="4" t="str">
        <f>IFERROR(__xludf.DUMMYFUNCTION("""COMPUTED_VALUE"""),"Saipos Serviços De Software")</f>
        <v>Saipos Serviços De Software</v>
      </c>
      <c r="R5104" s="33">
        <f>IFERROR(__xludf.DUMMYFUNCTION("""COMPUTED_VALUE"""),1.0)</f>
        <v>1</v>
      </c>
      <c r="S5104" s="4" t="str">
        <f>IFERROR(__xludf.DUMMYFUNCTION("""COMPUTED_VALUE"""),"Saipos Serviços De Software")</f>
        <v>Saipos Serviços De Software</v>
      </c>
      <c r="T5104" s="33">
        <f>IFERROR(__xludf.DUMMYFUNCTION("""COMPUTED_VALUE"""),1.0)</f>
        <v>1</v>
      </c>
      <c r="U5104" s="4" t="str">
        <f>IFERROR(__xludf.DUMMYFUNCTION("""COMPUTED_VALUE"""),"Saipos Serviços De Software")</f>
        <v>Saipos Serviços De Software</v>
      </c>
      <c r="V5104" s="33">
        <f>IFERROR(__xludf.DUMMYFUNCTION("""COMPUTED_VALUE"""),1.0)</f>
        <v>1</v>
      </c>
      <c r="W5104" s="4" t="str">
        <f>IFERROR(__xludf.DUMMYFUNCTION("""COMPUTED_VALUE"""),"Saipos Serviços De Software")</f>
        <v>Saipos Serviços De Software</v>
      </c>
      <c r="X5104" s="33">
        <f>IFERROR(__xludf.DUMMYFUNCTION("""COMPUTED_VALUE"""),1.0)</f>
        <v>1</v>
      </c>
    </row>
    <row r="5105">
      <c r="K5105" s="4" t="str">
        <f>IFERROR(__xludf.DUMMYFUNCTION("""COMPUTED_VALUE"""),"GIGI DOCES")</f>
        <v>GIGI DOCES</v>
      </c>
      <c r="L5105" s="32">
        <f>IFERROR(__xludf.DUMMYFUNCTION("""COMPUTED_VALUE"""),2.0)</f>
        <v>2</v>
      </c>
      <c r="M5105" s="4" t="str">
        <f>IFERROR(__xludf.DUMMYFUNCTION("""COMPUTED_VALUE"""),"null")</f>
        <v>null</v>
      </c>
      <c r="N5105" s="33">
        <f>IFERROR(__xludf.DUMMYFUNCTION("""COMPUTED_VALUE"""),1.0)</f>
        <v>1</v>
      </c>
      <c r="O5105" s="4" t="str">
        <f>IFERROR(__xludf.DUMMYFUNCTION("""COMPUTED_VALUE"""),"null")</f>
        <v>null</v>
      </c>
      <c r="P5105" s="33">
        <f>IFERROR(__xludf.DUMMYFUNCTION("""COMPUTED_VALUE"""),1.0)</f>
        <v>1</v>
      </c>
      <c r="Q5105" s="4" t="str">
        <f>IFERROR(__xludf.DUMMYFUNCTION("""COMPUTED_VALUE"""),"null")</f>
        <v>null</v>
      </c>
      <c r="R5105" s="33">
        <f>IFERROR(__xludf.DUMMYFUNCTION("""COMPUTED_VALUE"""),1.0)</f>
        <v>1</v>
      </c>
      <c r="S5105" s="4" t="str">
        <f>IFERROR(__xludf.DUMMYFUNCTION("""COMPUTED_VALUE"""),"null")</f>
        <v>null</v>
      </c>
      <c r="T5105" s="33">
        <f>IFERROR(__xludf.DUMMYFUNCTION("""COMPUTED_VALUE"""),1.0)</f>
        <v>1</v>
      </c>
      <c r="U5105" s="4" t="str">
        <f>IFERROR(__xludf.DUMMYFUNCTION("""COMPUTED_VALUE"""),"Anota Ai Solucoes Digitais S/a")</f>
        <v>Anota Ai Solucoes Digitais S/a</v>
      </c>
      <c r="V5105" s="33">
        <f>IFERROR(__xludf.DUMMYFUNCTION("""COMPUTED_VALUE"""),0.5)</f>
        <v>0.5</v>
      </c>
      <c r="W5105" s="4" t="str">
        <f>IFERROR(__xludf.DUMMYFUNCTION("""COMPUTED_VALUE"""),"null")</f>
        <v>null</v>
      </c>
      <c r="X5105" s="33">
        <f>IFERROR(__xludf.DUMMYFUNCTION("""COMPUTED_VALUE"""),0.5)</f>
        <v>0.5</v>
      </c>
    </row>
    <row r="5106">
      <c r="K5106" s="4" t="str">
        <f>IFERROR(__xludf.DUMMYFUNCTION("""COMPUTED_VALUE"""),"ESFIHARIA")</f>
        <v>ESFIHARIA</v>
      </c>
      <c r="L5106" s="32">
        <f>IFERROR(__xludf.DUMMYFUNCTION("""COMPUTED_VALUE"""),2.0)</f>
        <v>2</v>
      </c>
      <c r="M5106" s="4" t="str">
        <f>IFERROR(__xludf.DUMMYFUNCTION("""COMPUTED_VALUE"""),"Instadelivery")</f>
        <v>Instadelivery</v>
      </c>
      <c r="N5106" s="33">
        <f>IFERROR(__xludf.DUMMYFUNCTION("""COMPUTED_VALUE"""),0.5)</f>
        <v>0.5</v>
      </c>
      <c r="O5106" s="4" t="str">
        <f>IFERROR(__xludf.DUMMYFUNCTION("""COMPUTED_VALUE"""),"Instadelivery")</f>
        <v>Instadelivery</v>
      </c>
      <c r="P5106" s="33">
        <f>IFERROR(__xludf.DUMMYFUNCTION("""COMPUTED_VALUE"""),0.5)</f>
        <v>0.5</v>
      </c>
      <c r="Q5106" s="4" t="str">
        <f>IFERROR(__xludf.DUMMYFUNCTION("""COMPUTED_VALUE"""),"Instadelivery")</f>
        <v>Instadelivery</v>
      </c>
      <c r="R5106" s="33">
        <f>IFERROR(__xludf.DUMMYFUNCTION("""COMPUTED_VALUE"""),0.5)</f>
        <v>0.5</v>
      </c>
      <c r="S5106" s="4" t="str">
        <f>IFERROR(__xludf.DUMMYFUNCTION("""COMPUTED_VALUE"""),"Instadelivery")</f>
        <v>Instadelivery</v>
      </c>
      <c r="T5106" s="33">
        <f>IFERROR(__xludf.DUMMYFUNCTION("""COMPUTED_VALUE"""),0.5)</f>
        <v>0.5</v>
      </c>
      <c r="U5106" s="4" t="str">
        <f>IFERROR(__xludf.DUMMYFUNCTION("""COMPUTED_VALUE"""),"Instadelivery")</f>
        <v>Instadelivery</v>
      </c>
      <c r="V5106" s="33">
        <f>IFERROR(__xludf.DUMMYFUNCTION("""COMPUTED_VALUE"""),0.5)</f>
        <v>0.5</v>
      </c>
      <c r="W5106" s="4" t="str">
        <f>IFERROR(__xludf.DUMMYFUNCTION("""COMPUTED_VALUE"""),"Instadelivery")</f>
        <v>Instadelivery</v>
      </c>
      <c r="X5106" s="33">
        <f>IFERROR(__xludf.DUMMYFUNCTION("""COMPUTED_VALUE"""),0.5)</f>
        <v>0.5</v>
      </c>
    </row>
    <row r="5107">
      <c r="K5107" s="4" t="str">
        <f>IFERROR(__xludf.DUMMYFUNCTION("""COMPUTED_VALUE"""),"CIA DA MASSA")</f>
        <v>CIA DA MASSA</v>
      </c>
      <c r="L5107" s="32">
        <f>IFERROR(__xludf.DUMMYFUNCTION("""COMPUTED_VALUE"""),2.0)</f>
        <v>2</v>
      </c>
      <c r="M5107" s="4" t="str">
        <f>IFERROR(__xludf.DUMMYFUNCTION("""COMPUTED_VALUE"""),"Instadelivery")</f>
        <v>Instadelivery</v>
      </c>
      <c r="N5107" s="33">
        <f>IFERROR(__xludf.DUMMYFUNCTION("""COMPUTED_VALUE"""),0.5)</f>
        <v>0.5</v>
      </c>
      <c r="O5107" s="4" t="str">
        <f>IFERROR(__xludf.DUMMYFUNCTION("""COMPUTED_VALUE"""),"null")</f>
        <v>null</v>
      </c>
      <c r="P5107" s="33">
        <f>IFERROR(__xludf.DUMMYFUNCTION("""COMPUTED_VALUE"""),0.5)</f>
        <v>0.5</v>
      </c>
      <c r="Q5107" s="4" t="str">
        <f>IFERROR(__xludf.DUMMYFUNCTION("""COMPUTED_VALUE"""),"Instadelivery")</f>
        <v>Instadelivery</v>
      </c>
      <c r="R5107" s="33">
        <f>IFERROR(__xludf.DUMMYFUNCTION("""COMPUTED_VALUE"""),0.5)</f>
        <v>0.5</v>
      </c>
      <c r="S5107" s="4" t="str">
        <f>IFERROR(__xludf.DUMMYFUNCTION("""COMPUTED_VALUE"""),"null")</f>
        <v>null</v>
      </c>
      <c r="T5107" s="33">
        <f>IFERROR(__xludf.DUMMYFUNCTION("""COMPUTED_VALUE"""),0.5)</f>
        <v>0.5</v>
      </c>
      <c r="U5107" s="4" t="str">
        <f>IFERROR(__xludf.DUMMYFUNCTION("""COMPUTED_VALUE"""),"null")</f>
        <v>null</v>
      </c>
      <c r="V5107" s="33">
        <f>IFERROR(__xludf.DUMMYFUNCTION("""COMPUTED_VALUE"""),0.5)</f>
        <v>0.5</v>
      </c>
      <c r="W5107" s="4" t="str">
        <f>IFERROR(__xludf.DUMMYFUNCTION("""COMPUTED_VALUE"""),"null")</f>
        <v>null</v>
      </c>
      <c r="X5107" s="33">
        <f>IFERROR(__xludf.DUMMYFUNCTION("""COMPUTED_VALUE"""),0.5)</f>
        <v>0.5</v>
      </c>
    </row>
    <row r="5108">
      <c r="K5108" s="4" t="str">
        <f>IFERROR(__xludf.DUMMYFUNCTION("""COMPUTED_VALUE"""),"PONTO DO CALDO")</f>
        <v>PONTO DO CALDO</v>
      </c>
      <c r="L5108" s="32">
        <f>IFERROR(__xludf.DUMMYFUNCTION("""COMPUTED_VALUE"""),2.0)</f>
        <v>2</v>
      </c>
      <c r="M5108" s="4" t="str">
        <f>IFERROR(__xludf.DUMMYFUNCTION("""COMPUTED_VALUE"""),"Saipos Serviços De Software")</f>
        <v>Saipos Serviços De Software</v>
      </c>
      <c r="N5108" s="33">
        <f>IFERROR(__xludf.DUMMYFUNCTION("""COMPUTED_VALUE"""),0.5)</f>
        <v>0.5</v>
      </c>
      <c r="O5108" s="4" t="str">
        <f>IFERROR(__xludf.DUMMYFUNCTION("""COMPUTED_VALUE"""),"Saipos Serviços De Software")</f>
        <v>Saipos Serviços De Software</v>
      </c>
      <c r="P5108" s="33">
        <f>IFERROR(__xludf.DUMMYFUNCTION("""COMPUTED_VALUE"""),0.5)</f>
        <v>0.5</v>
      </c>
      <c r="Q5108" s="4" t="str">
        <f>IFERROR(__xludf.DUMMYFUNCTION("""COMPUTED_VALUE"""),"null")</f>
        <v>null</v>
      </c>
      <c r="R5108" s="33">
        <f>IFERROR(__xludf.DUMMYFUNCTION("""COMPUTED_VALUE"""),1.0)</f>
        <v>1</v>
      </c>
      <c r="S5108" s="4" t="str">
        <f>IFERROR(__xludf.DUMMYFUNCTION("""COMPUTED_VALUE"""),"null")</f>
        <v>null</v>
      </c>
      <c r="T5108" s="33">
        <f>IFERROR(__xludf.DUMMYFUNCTION("""COMPUTED_VALUE"""),1.0)</f>
        <v>1</v>
      </c>
      <c r="U5108" s="4" t="str">
        <f>IFERROR(__xludf.DUMMYFUNCTION("""COMPUTED_VALUE"""),"null")</f>
        <v>null</v>
      </c>
      <c r="V5108" s="33">
        <f>IFERROR(__xludf.DUMMYFUNCTION("""COMPUTED_VALUE"""),0.5)</f>
        <v>0.5</v>
      </c>
      <c r="W5108" s="4" t="str">
        <f>IFERROR(__xludf.DUMMYFUNCTION("""COMPUTED_VALUE"""),"null")</f>
        <v>null</v>
      </c>
      <c r="X5108" s="33">
        <f>IFERROR(__xludf.DUMMYFUNCTION("""COMPUTED_VALUE"""),0.5)</f>
        <v>0.5</v>
      </c>
    </row>
    <row r="5109">
      <c r="K5109" s="4" t="str">
        <f>IFERROR(__xludf.DUMMYFUNCTION("""COMPUTED_VALUE"""),"NOSSO FRANGO")</f>
        <v>NOSSO FRANGO</v>
      </c>
      <c r="L5109" s="32">
        <f>IFERROR(__xludf.DUMMYFUNCTION("""COMPUTED_VALUE"""),2.0)</f>
        <v>2</v>
      </c>
      <c r="M5109" s="4" t="str">
        <f>IFERROR(__xludf.DUMMYFUNCTION("""COMPUTED_VALUE"""),"Instadelivery")</f>
        <v>Instadelivery</v>
      </c>
      <c r="N5109" s="33">
        <f>IFERROR(__xludf.DUMMYFUNCTION("""COMPUTED_VALUE"""),0.5)</f>
        <v>0.5</v>
      </c>
      <c r="O5109" s="4" t="str">
        <f>IFERROR(__xludf.DUMMYFUNCTION("""COMPUTED_VALUE"""),"Instadelivery")</f>
        <v>Instadelivery</v>
      </c>
      <c r="P5109" s="33">
        <f>IFERROR(__xludf.DUMMYFUNCTION("""COMPUTED_VALUE"""),0.5)</f>
        <v>0.5</v>
      </c>
      <c r="Q5109" s="4" t="str">
        <f>IFERROR(__xludf.DUMMYFUNCTION("""COMPUTED_VALUE"""),"Instadelivery")</f>
        <v>Instadelivery</v>
      </c>
      <c r="R5109" s="33">
        <f>IFERROR(__xludf.DUMMYFUNCTION("""COMPUTED_VALUE"""),0.5)</f>
        <v>0.5</v>
      </c>
      <c r="S5109" s="4" t="str">
        <f>IFERROR(__xludf.DUMMYFUNCTION("""COMPUTED_VALUE"""),"Instadelivery")</f>
        <v>Instadelivery</v>
      </c>
      <c r="T5109" s="33">
        <f>IFERROR(__xludf.DUMMYFUNCTION("""COMPUTED_VALUE"""),0.5)</f>
        <v>0.5</v>
      </c>
      <c r="U5109" s="4" t="str">
        <f>IFERROR(__xludf.DUMMYFUNCTION("""COMPUTED_VALUE"""),"Instadelivery")</f>
        <v>Instadelivery</v>
      </c>
      <c r="V5109" s="33">
        <f>IFERROR(__xludf.DUMMYFUNCTION("""COMPUTED_VALUE"""),0.5)</f>
        <v>0.5</v>
      </c>
      <c r="W5109" s="4" t="str">
        <f>IFERROR(__xludf.DUMMYFUNCTION("""COMPUTED_VALUE"""),"Instadelivery")</f>
        <v>Instadelivery</v>
      </c>
      <c r="X5109" s="33">
        <f>IFERROR(__xludf.DUMMYFUNCTION("""COMPUTED_VALUE"""),0.5)</f>
        <v>0.5</v>
      </c>
    </row>
    <row r="5110">
      <c r="K5110" s="4" t="str">
        <f>IFERROR(__xludf.DUMMYFUNCTION("""COMPUTED_VALUE"""),"IMPERIAL ACAI")</f>
        <v>IMPERIAL ACAI</v>
      </c>
      <c r="L5110" s="32">
        <f>IFERROR(__xludf.DUMMYFUNCTION("""COMPUTED_VALUE"""),2.0)</f>
        <v>2</v>
      </c>
      <c r="M5110" s="4" t="str">
        <f>IFERROR(__xludf.DUMMYFUNCTION("""COMPUTED_VALUE"""),"Instadelivery")</f>
        <v>Instadelivery</v>
      </c>
      <c r="N5110" s="33">
        <f>IFERROR(__xludf.DUMMYFUNCTION("""COMPUTED_VALUE"""),0.5)</f>
        <v>0.5</v>
      </c>
      <c r="O5110" s="4" t="str">
        <f>IFERROR(__xludf.DUMMYFUNCTION("""COMPUTED_VALUE"""),"Instadelivery")</f>
        <v>Instadelivery</v>
      </c>
      <c r="P5110" s="33">
        <f>IFERROR(__xludf.DUMMYFUNCTION("""COMPUTED_VALUE"""),0.5)</f>
        <v>0.5</v>
      </c>
      <c r="Q5110" s="4" t="str">
        <f>IFERROR(__xludf.DUMMYFUNCTION("""COMPUTED_VALUE"""),"null")</f>
        <v>null</v>
      </c>
      <c r="R5110" s="33">
        <f>IFERROR(__xludf.DUMMYFUNCTION("""COMPUTED_VALUE"""),0.5)</f>
        <v>0.5</v>
      </c>
      <c r="S5110" s="4" t="str">
        <f>IFERROR(__xludf.DUMMYFUNCTION("""COMPUTED_VALUE"""),"null")</f>
        <v>null</v>
      </c>
      <c r="T5110" s="33">
        <f>IFERROR(__xludf.DUMMYFUNCTION("""COMPUTED_VALUE"""),0.5)</f>
        <v>0.5</v>
      </c>
      <c r="U5110" s="4" t="str">
        <f>IFERROR(__xludf.DUMMYFUNCTION("""COMPUTED_VALUE"""),"null")</f>
        <v>null</v>
      </c>
      <c r="V5110" s="33">
        <f>IFERROR(__xludf.DUMMYFUNCTION("""COMPUTED_VALUE"""),0.5)</f>
        <v>0.5</v>
      </c>
      <c r="W5110" s="4" t="str">
        <f>IFERROR(__xludf.DUMMYFUNCTION("""COMPUTED_VALUE"""),"null")</f>
        <v>null</v>
      </c>
      <c r="X5110" s="33">
        <f>IFERROR(__xludf.DUMMYFUNCTION("""COMPUTED_VALUE"""),0.5)</f>
        <v>0.5</v>
      </c>
    </row>
    <row r="5111">
      <c r="K5111" s="4" t="str">
        <f>IFERROR(__xludf.DUMMYFUNCTION("""COMPUTED_VALUE"""),"GREGOS BURGUER")</f>
        <v>GREGOS BURGUER</v>
      </c>
      <c r="L5111" s="32">
        <f>IFERROR(__xludf.DUMMYFUNCTION("""COMPUTED_VALUE"""),2.0)</f>
        <v>2</v>
      </c>
      <c r="M5111" s="4" t="str">
        <f>IFERROR(__xludf.DUMMYFUNCTION("""COMPUTED_VALUE"""),"Cardápio Web")</f>
        <v>Cardápio Web</v>
      </c>
      <c r="N5111" s="33">
        <f>IFERROR(__xludf.DUMMYFUNCTION("""COMPUTED_VALUE"""),0.5)</f>
        <v>0.5</v>
      </c>
      <c r="O5111" s="4" t="str">
        <f>IFERROR(__xludf.DUMMYFUNCTION("""COMPUTED_VALUE"""),"Cardápio Web")</f>
        <v>Cardápio Web</v>
      </c>
      <c r="P5111" s="33">
        <f>IFERROR(__xludf.DUMMYFUNCTION("""COMPUTED_VALUE"""),0.5)</f>
        <v>0.5</v>
      </c>
      <c r="Q5111" s="4" t="str">
        <f>IFERROR(__xludf.DUMMYFUNCTION("""COMPUTED_VALUE"""),"Cardápio Web")</f>
        <v>Cardápio Web</v>
      </c>
      <c r="R5111" s="33">
        <f>IFERROR(__xludf.DUMMYFUNCTION("""COMPUTED_VALUE"""),0.5)</f>
        <v>0.5</v>
      </c>
      <c r="S5111" s="4" t="str">
        <f>IFERROR(__xludf.DUMMYFUNCTION("""COMPUTED_VALUE"""),"Cardápio Web")</f>
        <v>Cardápio Web</v>
      </c>
      <c r="T5111" s="33">
        <f>IFERROR(__xludf.DUMMYFUNCTION("""COMPUTED_VALUE"""),0.5)</f>
        <v>0.5</v>
      </c>
      <c r="U5111" s="4" t="str">
        <f>IFERROR(__xludf.DUMMYFUNCTION("""COMPUTED_VALUE"""),"Cardápio Web")</f>
        <v>Cardápio Web</v>
      </c>
      <c r="V5111" s="33">
        <f>IFERROR(__xludf.DUMMYFUNCTION("""COMPUTED_VALUE"""),0.5)</f>
        <v>0.5</v>
      </c>
      <c r="W5111" s="4" t="str">
        <f>IFERROR(__xludf.DUMMYFUNCTION("""COMPUTED_VALUE"""),"Cardápio Web")</f>
        <v>Cardápio Web</v>
      </c>
      <c r="X5111" s="33">
        <f>IFERROR(__xludf.DUMMYFUNCTION("""COMPUTED_VALUE"""),0.5)</f>
        <v>0.5</v>
      </c>
    </row>
    <row r="5112">
      <c r="K5112" s="4" t="str">
        <f>IFERROR(__xludf.DUMMYFUNCTION("""COMPUTED_VALUE"""),"BEEF BURGER")</f>
        <v>BEEF BURGER</v>
      </c>
      <c r="L5112" s="32">
        <f>IFERROR(__xludf.DUMMYFUNCTION("""COMPUTED_VALUE"""),2.0)</f>
        <v>2</v>
      </c>
      <c r="M5112" s="4" t="str">
        <f>IFERROR(__xludf.DUMMYFUNCTION("""COMPUTED_VALUE"""),"Menew - Linx")</f>
        <v>Menew - Linx</v>
      </c>
      <c r="N5112" s="33">
        <f>IFERROR(__xludf.DUMMYFUNCTION("""COMPUTED_VALUE"""),0.5)</f>
        <v>0.5</v>
      </c>
      <c r="O5112" s="4" t="str">
        <f>IFERROR(__xludf.DUMMYFUNCTION("""COMPUTED_VALUE"""),"Menew - Linx")</f>
        <v>Menew - Linx</v>
      </c>
      <c r="P5112" s="33">
        <f>IFERROR(__xludf.DUMMYFUNCTION("""COMPUTED_VALUE"""),0.5)</f>
        <v>0.5</v>
      </c>
      <c r="Q5112" s="4" t="str">
        <f>IFERROR(__xludf.DUMMYFUNCTION("""COMPUTED_VALUE"""),"Menew - Linx")</f>
        <v>Menew - Linx</v>
      </c>
      <c r="R5112" s="33">
        <f>IFERROR(__xludf.DUMMYFUNCTION("""COMPUTED_VALUE"""),0.5)</f>
        <v>0.5</v>
      </c>
      <c r="S5112" s="4" t="str">
        <f>IFERROR(__xludf.DUMMYFUNCTION("""COMPUTED_VALUE"""),"Menew - Linx")</f>
        <v>Menew - Linx</v>
      </c>
      <c r="T5112" s="33">
        <f>IFERROR(__xludf.DUMMYFUNCTION("""COMPUTED_VALUE"""),0.5)</f>
        <v>0.5</v>
      </c>
      <c r="U5112" s="4" t="str">
        <f>IFERROR(__xludf.DUMMYFUNCTION("""COMPUTED_VALUE"""),"Menew - Linx")</f>
        <v>Menew - Linx</v>
      </c>
      <c r="V5112" s="33">
        <f>IFERROR(__xludf.DUMMYFUNCTION("""COMPUTED_VALUE"""),0.5)</f>
        <v>0.5</v>
      </c>
      <c r="W5112" s="4" t="str">
        <f>IFERROR(__xludf.DUMMYFUNCTION("""COMPUTED_VALUE"""),"Menew - Linx")</f>
        <v>Menew - Linx</v>
      </c>
      <c r="X5112" s="33">
        <f>IFERROR(__xludf.DUMMYFUNCTION("""COMPUTED_VALUE"""),0.5)</f>
        <v>0.5</v>
      </c>
    </row>
    <row r="5113">
      <c r="K5113" s="4" t="str">
        <f>IFERROR(__xludf.DUMMYFUNCTION("""COMPUTED_VALUE"""),"BEST FAST FOOD-PALHOCA")</f>
        <v>BEST FAST FOOD-PALHOCA</v>
      </c>
      <c r="L5113" s="32">
        <f>IFERROR(__xludf.DUMMYFUNCTION("""COMPUTED_VALUE"""),2.0)</f>
        <v>2</v>
      </c>
      <c r="M5113" s="4" t="str">
        <f>IFERROR(__xludf.DUMMYFUNCTION("""COMPUTED_VALUE"""),"Instadelivery")</f>
        <v>Instadelivery</v>
      </c>
      <c r="N5113" s="33">
        <f>IFERROR(__xludf.DUMMYFUNCTION("""COMPUTED_VALUE"""),1.0)</f>
        <v>1</v>
      </c>
      <c r="O5113" s="4" t="str">
        <f>IFERROR(__xludf.DUMMYFUNCTION("""COMPUTED_VALUE"""),"Instadelivery")</f>
        <v>Instadelivery</v>
      </c>
      <c r="P5113" s="33">
        <f>IFERROR(__xludf.DUMMYFUNCTION("""COMPUTED_VALUE"""),1.0)</f>
        <v>1</v>
      </c>
      <c r="Q5113" s="4" t="str">
        <f>IFERROR(__xludf.DUMMYFUNCTION("""COMPUTED_VALUE"""),"Instadelivery")</f>
        <v>Instadelivery</v>
      </c>
      <c r="R5113" s="33">
        <f>IFERROR(__xludf.DUMMYFUNCTION("""COMPUTED_VALUE"""),1.0)</f>
        <v>1</v>
      </c>
      <c r="S5113" s="4" t="str">
        <f>IFERROR(__xludf.DUMMYFUNCTION("""COMPUTED_VALUE"""),"Instadelivery")</f>
        <v>Instadelivery</v>
      </c>
      <c r="T5113" s="33">
        <f>IFERROR(__xludf.DUMMYFUNCTION("""COMPUTED_VALUE"""),0.5)</f>
        <v>0.5</v>
      </c>
      <c r="U5113" s="4" t="str">
        <f>IFERROR(__xludf.DUMMYFUNCTION("""COMPUTED_VALUE"""),"Instadelivery")</f>
        <v>Instadelivery</v>
      </c>
      <c r="V5113" s="33">
        <f>IFERROR(__xludf.DUMMYFUNCTION("""COMPUTED_VALUE"""),0.5)</f>
        <v>0.5</v>
      </c>
      <c r="W5113" s="4" t="str">
        <f>IFERROR(__xludf.DUMMYFUNCTION("""COMPUTED_VALUE"""),"Instadelivery")</f>
        <v>Instadelivery</v>
      </c>
      <c r="X5113" s="33">
        <f>IFERROR(__xludf.DUMMYFUNCTION("""COMPUTED_VALUE"""),0.5)</f>
        <v>0.5</v>
      </c>
    </row>
    <row r="5114">
      <c r="K5114" s="4" t="str">
        <f>IFERROR(__xludf.DUMMYFUNCTION("""COMPUTED_VALUE"""),"PIZZA PREMIUM")</f>
        <v>PIZZA PREMIUM</v>
      </c>
      <c r="L5114" s="32">
        <f>IFERROR(__xludf.DUMMYFUNCTION("""COMPUTED_VALUE"""),2.0)</f>
        <v>2</v>
      </c>
      <c r="M5114" s="4" t="str">
        <f>IFERROR(__xludf.DUMMYFUNCTION("""COMPUTED_VALUE"""),"Saipos Serviços De Software")</f>
        <v>Saipos Serviços De Software</v>
      </c>
      <c r="N5114" s="33">
        <f>IFERROR(__xludf.DUMMYFUNCTION("""COMPUTED_VALUE"""),0.5)</f>
        <v>0.5</v>
      </c>
      <c r="O5114" s="4" t="str">
        <f>IFERROR(__xludf.DUMMYFUNCTION("""COMPUTED_VALUE"""),"Saipos Serviços De Software")</f>
        <v>Saipos Serviços De Software</v>
      </c>
      <c r="P5114" s="33">
        <f>IFERROR(__xludf.DUMMYFUNCTION("""COMPUTED_VALUE"""),0.5)</f>
        <v>0.5</v>
      </c>
      <c r="Q5114" s="4" t="str">
        <f>IFERROR(__xludf.DUMMYFUNCTION("""COMPUTED_VALUE"""),"Saipos Serviços De Software")</f>
        <v>Saipos Serviços De Software</v>
      </c>
      <c r="R5114" s="33">
        <f>IFERROR(__xludf.DUMMYFUNCTION("""COMPUTED_VALUE"""),0.5)</f>
        <v>0.5</v>
      </c>
      <c r="S5114" s="4" t="str">
        <f>IFERROR(__xludf.DUMMYFUNCTION("""COMPUTED_VALUE"""),"Saipos Serviços De Software")</f>
        <v>Saipos Serviços De Software</v>
      </c>
      <c r="T5114" s="33">
        <f>IFERROR(__xludf.DUMMYFUNCTION("""COMPUTED_VALUE"""),0.5)</f>
        <v>0.5</v>
      </c>
      <c r="U5114" s="4" t="str">
        <f>IFERROR(__xludf.DUMMYFUNCTION("""COMPUTED_VALUE"""),"Saipos Serviços De Software")</f>
        <v>Saipos Serviços De Software</v>
      </c>
      <c r="V5114" s="33">
        <f>IFERROR(__xludf.DUMMYFUNCTION("""COMPUTED_VALUE"""),0.5)</f>
        <v>0.5</v>
      </c>
      <c r="W5114" s="4" t="str">
        <f>IFERROR(__xludf.DUMMYFUNCTION("""COMPUTED_VALUE"""),"Saipos Serviços De Software")</f>
        <v>Saipos Serviços De Software</v>
      </c>
      <c r="X5114" s="33">
        <f>IFERROR(__xludf.DUMMYFUNCTION("""COMPUTED_VALUE"""),0.5)</f>
        <v>0.5</v>
      </c>
    </row>
    <row r="5115">
      <c r="K5115" s="4" t="str">
        <f>IFERROR(__xludf.DUMMYFUNCTION("""COMPUTED_VALUE"""),"SANTA ESFIHA")</f>
        <v>SANTA ESFIHA</v>
      </c>
      <c r="L5115" s="32">
        <f>IFERROR(__xludf.DUMMYFUNCTION("""COMPUTED_VALUE"""),2.0)</f>
        <v>2</v>
      </c>
      <c r="M5115" s="4" t="str">
        <f>IFERROR(__xludf.DUMMYFUNCTION("""COMPUTED_VALUE"""),"Saipos Serviços De Software")</f>
        <v>Saipos Serviços De Software</v>
      </c>
      <c r="N5115" s="33">
        <f>IFERROR(__xludf.DUMMYFUNCTION("""COMPUTED_VALUE"""),0.5)</f>
        <v>0.5</v>
      </c>
      <c r="O5115" s="4" t="str">
        <f>IFERROR(__xludf.DUMMYFUNCTION("""COMPUTED_VALUE"""),"Saipos Serviços De Software")</f>
        <v>Saipos Serviços De Software</v>
      </c>
      <c r="P5115" s="33">
        <f>IFERROR(__xludf.DUMMYFUNCTION("""COMPUTED_VALUE"""),0.5)</f>
        <v>0.5</v>
      </c>
      <c r="Q5115" s="4" t="str">
        <f>IFERROR(__xludf.DUMMYFUNCTION("""COMPUTED_VALUE"""),"Saipos Serviços De Software")</f>
        <v>Saipos Serviços De Software</v>
      </c>
      <c r="R5115" s="33">
        <f>IFERROR(__xludf.DUMMYFUNCTION("""COMPUTED_VALUE"""),0.5)</f>
        <v>0.5</v>
      </c>
      <c r="S5115" s="4" t="str">
        <f>IFERROR(__xludf.DUMMYFUNCTION("""COMPUTED_VALUE"""),"Saipos Serviços De Software")</f>
        <v>Saipos Serviços De Software</v>
      </c>
      <c r="T5115" s="33">
        <f>IFERROR(__xludf.DUMMYFUNCTION("""COMPUTED_VALUE"""),0.5)</f>
        <v>0.5</v>
      </c>
      <c r="U5115" s="4" t="str">
        <f>IFERROR(__xludf.DUMMYFUNCTION("""COMPUTED_VALUE"""),"Saipos Serviços De Software")</f>
        <v>Saipos Serviços De Software</v>
      </c>
      <c r="V5115" s="33">
        <f>IFERROR(__xludf.DUMMYFUNCTION("""COMPUTED_VALUE"""),0.5)</f>
        <v>0.5</v>
      </c>
      <c r="W5115" s="4" t="str">
        <f>IFERROR(__xludf.DUMMYFUNCTION("""COMPUTED_VALUE"""),"Saipos Serviços De Software")</f>
        <v>Saipos Serviços De Software</v>
      </c>
      <c r="X5115" s="33">
        <f>IFERROR(__xludf.DUMMYFUNCTION("""COMPUTED_VALUE"""),0.5)</f>
        <v>0.5</v>
      </c>
    </row>
    <row r="5116">
      <c r="K5116" s="4" t="str">
        <f>IFERROR(__xludf.DUMMYFUNCTION("""COMPUTED_VALUE"""),"CASEIRINHO MARMITARIA")</f>
        <v>CASEIRINHO MARMITARIA</v>
      </c>
      <c r="L5116" s="32">
        <f>IFERROR(__xludf.DUMMYFUNCTION("""COMPUTED_VALUE"""),2.0)</f>
        <v>2</v>
      </c>
      <c r="M5116" s="4" t="str">
        <f>IFERROR(__xludf.DUMMYFUNCTION("""COMPUTED_VALUE"""),"null")</f>
        <v>null</v>
      </c>
      <c r="N5116" s="33">
        <f>IFERROR(__xludf.DUMMYFUNCTION("""COMPUTED_VALUE"""),0.5)</f>
        <v>0.5</v>
      </c>
      <c r="O5116" s="4" t="str">
        <f>IFERROR(__xludf.DUMMYFUNCTION("""COMPUTED_VALUE"""),"null")</f>
        <v>null</v>
      </c>
      <c r="P5116" s="33">
        <f>IFERROR(__xludf.DUMMYFUNCTION("""COMPUTED_VALUE"""),0.5)</f>
        <v>0.5</v>
      </c>
      <c r="Q5116" s="4" t="str">
        <f>IFERROR(__xludf.DUMMYFUNCTION("""COMPUTED_VALUE"""),"null")</f>
        <v>null</v>
      </c>
      <c r="R5116" s="33">
        <f>IFERROR(__xludf.DUMMYFUNCTION("""COMPUTED_VALUE"""),0.5)</f>
        <v>0.5</v>
      </c>
      <c r="S5116" s="4" t="str">
        <f>IFERROR(__xludf.DUMMYFUNCTION("""COMPUTED_VALUE"""),"null")</f>
        <v>null</v>
      </c>
      <c r="T5116" s="33">
        <f>IFERROR(__xludf.DUMMYFUNCTION("""COMPUTED_VALUE"""),0.5)</f>
        <v>0.5</v>
      </c>
      <c r="U5116" s="4" t="str">
        <f>IFERROR(__xludf.DUMMYFUNCTION("""COMPUTED_VALUE"""),"Cardápio Web")</f>
        <v>Cardápio Web</v>
      </c>
      <c r="V5116" s="33">
        <f>IFERROR(__xludf.DUMMYFUNCTION("""COMPUTED_VALUE"""),0.5)</f>
        <v>0.5</v>
      </c>
      <c r="W5116" s="4" t="str">
        <f>IFERROR(__xludf.DUMMYFUNCTION("""COMPUTED_VALUE"""),"Cardápio Web")</f>
        <v>Cardápio Web</v>
      </c>
      <c r="X5116" s="33">
        <f>IFERROR(__xludf.DUMMYFUNCTION("""COMPUTED_VALUE"""),0.5)</f>
        <v>0.5</v>
      </c>
    </row>
    <row r="5117">
      <c r="K5117" s="4" t="str">
        <f>IFERROR(__xludf.DUMMYFUNCTION("""COMPUTED_VALUE"""),"ALO BEBIDAS SUL")</f>
        <v>ALO BEBIDAS SUL</v>
      </c>
      <c r="L5117" s="32">
        <f>IFERROR(__xludf.DUMMYFUNCTION("""COMPUTED_VALUE"""),2.0)</f>
        <v>2</v>
      </c>
      <c r="M5117" s="4" t="str">
        <f>IFERROR(__xludf.DUMMYFUNCTION("""COMPUTED_VALUE"""),"Saipos Serviços De Software")</f>
        <v>Saipos Serviços De Software</v>
      </c>
      <c r="N5117" s="33">
        <f>IFERROR(__xludf.DUMMYFUNCTION("""COMPUTED_VALUE"""),0.5)</f>
        <v>0.5</v>
      </c>
      <c r="O5117" s="4" t="str">
        <f>IFERROR(__xludf.DUMMYFUNCTION("""COMPUTED_VALUE"""),"Saipos Serviços De Software")</f>
        <v>Saipos Serviços De Software</v>
      </c>
      <c r="P5117" s="33">
        <f>IFERROR(__xludf.DUMMYFUNCTION("""COMPUTED_VALUE"""),0.5)</f>
        <v>0.5</v>
      </c>
      <c r="Q5117" s="4" t="str">
        <f>IFERROR(__xludf.DUMMYFUNCTION("""COMPUTED_VALUE"""),"Saipos Serviços De Software")</f>
        <v>Saipos Serviços De Software</v>
      </c>
      <c r="R5117" s="33">
        <f>IFERROR(__xludf.DUMMYFUNCTION("""COMPUTED_VALUE"""),0.5)</f>
        <v>0.5</v>
      </c>
      <c r="S5117" s="4" t="str">
        <f>IFERROR(__xludf.DUMMYFUNCTION("""COMPUTED_VALUE"""),"Saipos Serviços De Software")</f>
        <v>Saipos Serviços De Software</v>
      </c>
      <c r="T5117" s="33">
        <f>IFERROR(__xludf.DUMMYFUNCTION("""COMPUTED_VALUE"""),0.5)</f>
        <v>0.5</v>
      </c>
      <c r="U5117" s="4" t="str">
        <f>IFERROR(__xludf.DUMMYFUNCTION("""COMPUTED_VALUE"""),"Saipos Serviços De Software")</f>
        <v>Saipos Serviços De Software</v>
      </c>
      <c r="V5117" s="33">
        <f>IFERROR(__xludf.DUMMYFUNCTION("""COMPUTED_VALUE"""),0.5)</f>
        <v>0.5</v>
      </c>
      <c r="W5117" s="4" t="str">
        <f>IFERROR(__xludf.DUMMYFUNCTION("""COMPUTED_VALUE"""),"Saipos Serviços De Software")</f>
        <v>Saipos Serviços De Software</v>
      </c>
      <c r="X5117" s="33">
        <f>IFERROR(__xludf.DUMMYFUNCTION("""COMPUTED_VALUE"""),0.5)</f>
        <v>0.5</v>
      </c>
    </row>
    <row r="5118">
      <c r="K5118" s="4" t="str">
        <f>IFERROR(__xludf.DUMMYFUNCTION("""COMPUTED_VALUE"""),"MARMITARIA MALAGUETA")</f>
        <v>MARMITARIA MALAGUETA</v>
      </c>
      <c r="L5118" s="32">
        <f>IFERROR(__xludf.DUMMYFUNCTION("""COMPUTED_VALUE"""),2.0)</f>
        <v>2</v>
      </c>
      <c r="M5118" s="4" t="str">
        <f>IFERROR(__xludf.DUMMYFUNCTION("""COMPUTED_VALUE"""),"Suitable Tecnologia E Gestao")</f>
        <v>Suitable Tecnologia E Gestao</v>
      </c>
      <c r="N5118" s="33">
        <f>IFERROR(__xludf.DUMMYFUNCTION("""COMPUTED_VALUE"""),0.5)</f>
        <v>0.5</v>
      </c>
      <c r="O5118" s="4" t="str">
        <f>IFERROR(__xludf.DUMMYFUNCTION("""COMPUTED_VALUE"""),"Suitable Tecnologia E Gestao")</f>
        <v>Suitable Tecnologia E Gestao</v>
      </c>
      <c r="P5118" s="33">
        <f>IFERROR(__xludf.DUMMYFUNCTION("""COMPUTED_VALUE"""),0.5)</f>
        <v>0.5</v>
      </c>
      <c r="Q5118" s="4" t="str">
        <f>IFERROR(__xludf.DUMMYFUNCTION("""COMPUTED_VALUE"""),"Suitable Tecnologia E Gestao")</f>
        <v>Suitable Tecnologia E Gestao</v>
      </c>
      <c r="R5118" s="33">
        <f>IFERROR(__xludf.DUMMYFUNCTION("""COMPUTED_VALUE"""),0.5)</f>
        <v>0.5</v>
      </c>
      <c r="S5118" s="4" t="str">
        <f>IFERROR(__xludf.DUMMYFUNCTION("""COMPUTED_VALUE"""),"Suitable Tecnologia E Gestao")</f>
        <v>Suitable Tecnologia E Gestao</v>
      </c>
      <c r="T5118" s="33">
        <f>IFERROR(__xludf.DUMMYFUNCTION("""COMPUTED_VALUE"""),0.5)</f>
        <v>0.5</v>
      </c>
      <c r="U5118" s="4" t="str">
        <f>IFERROR(__xludf.DUMMYFUNCTION("""COMPUTED_VALUE"""),"Suitable Tecnologia E Gestao")</f>
        <v>Suitable Tecnologia E Gestao</v>
      </c>
      <c r="V5118" s="33">
        <f>IFERROR(__xludf.DUMMYFUNCTION("""COMPUTED_VALUE"""),0.5)</f>
        <v>0.5</v>
      </c>
      <c r="W5118" s="4" t="str">
        <f>IFERROR(__xludf.DUMMYFUNCTION("""COMPUTED_VALUE"""),"Suitable Tecnologia E Gestao")</f>
        <v>Suitable Tecnologia E Gestao</v>
      </c>
      <c r="X5118" s="33">
        <f>IFERROR(__xludf.DUMMYFUNCTION("""COMPUTED_VALUE"""),0.5)</f>
        <v>0.5</v>
      </c>
    </row>
    <row r="5119">
      <c r="K5119" s="4" t="str">
        <f>IFERROR(__xludf.DUMMYFUNCTION("""COMPUTED_VALUE"""),"PASTA IN BOX")</f>
        <v>PASTA IN BOX</v>
      </c>
      <c r="L5119" s="32">
        <f>IFERROR(__xludf.DUMMYFUNCTION("""COMPUTED_VALUE"""),2.0)</f>
        <v>2</v>
      </c>
      <c r="M5119" s="4" t="str">
        <f>IFERROR(__xludf.DUMMYFUNCTION("""COMPUTED_VALUE"""),"Garcom Web")</f>
        <v>Garcom Web</v>
      </c>
      <c r="N5119" s="33">
        <f>IFERROR(__xludf.DUMMYFUNCTION("""COMPUTED_VALUE"""),0.5)</f>
        <v>0.5</v>
      </c>
      <c r="O5119" s="4" t="str">
        <f>IFERROR(__xludf.DUMMYFUNCTION("""COMPUTED_VALUE"""),"null")</f>
        <v>null</v>
      </c>
      <c r="P5119" s="33">
        <f>IFERROR(__xludf.DUMMYFUNCTION("""COMPUTED_VALUE"""),0.5)</f>
        <v>0.5</v>
      </c>
      <c r="Q5119" s="4" t="str">
        <f>IFERROR(__xludf.DUMMYFUNCTION("""COMPUTED_VALUE"""),"Garcom Web")</f>
        <v>Garcom Web</v>
      </c>
      <c r="R5119" s="33">
        <f>IFERROR(__xludf.DUMMYFUNCTION("""COMPUTED_VALUE"""),0.5)</f>
        <v>0.5</v>
      </c>
      <c r="S5119" s="4" t="str">
        <f>IFERROR(__xludf.DUMMYFUNCTION("""COMPUTED_VALUE"""),"Garcom Web")</f>
        <v>Garcom Web</v>
      </c>
      <c r="T5119" s="33">
        <f>IFERROR(__xludf.DUMMYFUNCTION("""COMPUTED_VALUE"""),0.5)</f>
        <v>0.5</v>
      </c>
      <c r="U5119" s="4" t="str">
        <f>IFERROR(__xludf.DUMMYFUNCTION("""COMPUTED_VALUE"""),"Garcom Web")</f>
        <v>Garcom Web</v>
      </c>
      <c r="V5119" s="33">
        <f>IFERROR(__xludf.DUMMYFUNCTION("""COMPUTED_VALUE"""),0.5)</f>
        <v>0.5</v>
      </c>
      <c r="W5119" s="4" t="str">
        <f>IFERROR(__xludf.DUMMYFUNCTION("""COMPUTED_VALUE"""),"Garcom Web")</f>
        <v>Garcom Web</v>
      </c>
      <c r="X5119" s="33">
        <f>IFERROR(__xludf.DUMMYFUNCTION("""COMPUTED_VALUE"""),0.5)</f>
        <v>0.5</v>
      </c>
    </row>
    <row r="5120">
      <c r="K5120" s="4" t="str">
        <f>IFERROR(__xludf.DUMMYFUNCTION("""COMPUTED_VALUE"""),"DELAS BOWL - POKE, SALADA E WRAP")</f>
        <v>DELAS BOWL - POKE, SALADA E WRAP</v>
      </c>
      <c r="L5120" s="32">
        <f>IFERROR(__xludf.DUMMYFUNCTION("""COMPUTED_VALUE"""),2.0)</f>
        <v>2</v>
      </c>
      <c r="M5120" s="4" t="str">
        <f>IFERROR(__xludf.DUMMYFUNCTION("""COMPUTED_VALUE"""),"Saipos Serviços De Software")</f>
        <v>Saipos Serviços De Software</v>
      </c>
      <c r="N5120" s="33">
        <f>IFERROR(__xludf.DUMMYFUNCTION("""COMPUTED_VALUE"""),0.5)</f>
        <v>0.5</v>
      </c>
      <c r="O5120" s="4" t="str">
        <f>IFERROR(__xludf.DUMMYFUNCTION("""COMPUTED_VALUE"""),"Saipos Serviços De Software")</f>
        <v>Saipos Serviços De Software</v>
      </c>
      <c r="P5120" s="33">
        <f>IFERROR(__xludf.DUMMYFUNCTION("""COMPUTED_VALUE"""),0.5)</f>
        <v>0.5</v>
      </c>
      <c r="Q5120" s="4" t="str">
        <f>IFERROR(__xludf.DUMMYFUNCTION("""COMPUTED_VALUE"""),"Saipos Serviços De Software")</f>
        <v>Saipos Serviços De Software</v>
      </c>
      <c r="R5120" s="33">
        <f>IFERROR(__xludf.DUMMYFUNCTION("""COMPUTED_VALUE"""),0.5)</f>
        <v>0.5</v>
      </c>
      <c r="S5120" s="4" t="str">
        <f>IFERROR(__xludf.DUMMYFUNCTION("""COMPUTED_VALUE"""),"Saipos Serviços De Software")</f>
        <v>Saipos Serviços De Software</v>
      </c>
      <c r="T5120" s="33">
        <f>IFERROR(__xludf.DUMMYFUNCTION("""COMPUTED_VALUE"""),0.5)</f>
        <v>0.5</v>
      </c>
      <c r="U5120" s="4" t="str">
        <f>IFERROR(__xludf.DUMMYFUNCTION("""COMPUTED_VALUE"""),"Saipos Serviços De Software")</f>
        <v>Saipos Serviços De Software</v>
      </c>
      <c r="V5120" s="33">
        <f>IFERROR(__xludf.DUMMYFUNCTION("""COMPUTED_VALUE"""),1.0)</f>
        <v>1</v>
      </c>
      <c r="W5120" s="4" t="str">
        <f>IFERROR(__xludf.DUMMYFUNCTION("""COMPUTED_VALUE"""),"Saipos Serviços De Software")</f>
        <v>Saipos Serviços De Software</v>
      </c>
      <c r="X5120" s="33">
        <f>IFERROR(__xludf.DUMMYFUNCTION("""COMPUTED_VALUE"""),0.5)</f>
        <v>0.5</v>
      </c>
    </row>
    <row r="5121">
      <c r="K5121" s="4" t="str">
        <f>IFERROR(__xludf.DUMMYFUNCTION("""COMPUTED_VALUE"""),"DROGARIA TOTAL - UNIDADE DROGAFARMA")</f>
        <v>DROGARIA TOTAL - UNIDADE DROGAFARMA</v>
      </c>
      <c r="L5121" s="32">
        <f>IFERROR(__xludf.DUMMYFUNCTION("""COMPUTED_VALUE"""),2.0)</f>
        <v>2</v>
      </c>
      <c r="M5121" s="4" t="str">
        <f>IFERROR(__xludf.DUMMYFUNCTION("""COMPUTED_VALUE"""),"N/A (Not found)")</f>
        <v>N/A (Not found)</v>
      </c>
      <c r="N5121" s="33">
        <f>IFERROR(__xludf.DUMMYFUNCTION("""COMPUTED_VALUE"""),1.0)</f>
        <v>1</v>
      </c>
      <c r="O5121" s="4" t="str">
        <f>IFERROR(__xludf.DUMMYFUNCTION("""COMPUTED_VALUE"""),"N/A (Not found)")</f>
        <v>N/A (Not found)</v>
      </c>
      <c r="P5121" s="33">
        <f>IFERROR(__xludf.DUMMYFUNCTION("""COMPUTED_VALUE"""),1.0)</f>
        <v>1</v>
      </c>
      <c r="Q5121" s="4" t="str">
        <f>IFERROR(__xludf.DUMMYFUNCTION("""COMPUTED_VALUE"""),"N/A (Not found)")</f>
        <v>N/A (Not found)</v>
      </c>
      <c r="R5121" s="33">
        <f>IFERROR(__xludf.DUMMYFUNCTION("""COMPUTED_VALUE"""),1.0)</f>
        <v>1</v>
      </c>
      <c r="S5121" s="4" t="str">
        <f>IFERROR(__xludf.DUMMYFUNCTION("""COMPUTED_VALUE"""),"N/A (Not found)")</f>
        <v>N/A (Not found)</v>
      </c>
      <c r="T5121" s="33">
        <f>IFERROR(__xludf.DUMMYFUNCTION("""COMPUTED_VALUE"""),1.0)</f>
        <v>1</v>
      </c>
      <c r="U5121" s="4" t="str">
        <f>IFERROR(__xludf.DUMMYFUNCTION("""COMPUTED_VALUE"""),"N/A (Not found)")</f>
        <v>N/A (Not found)</v>
      </c>
      <c r="V5121" s="33">
        <f>IFERROR(__xludf.DUMMYFUNCTION("""COMPUTED_VALUE"""),1.0)</f>
        <v>1</v>
      </c>
      <c r="W5121" s="4" t="str">
        <f>IFERROR(__xludf.DUMMYFUNCTION("""COMPUTED_VALUE"""),"N/A (Not found)")</f>
        <v>N/A (Not found)</v>
      </c>
      <c r="X5121" s="33">
        <f>IFERROR(__xludf.DUMMYFUNCTION("""COMPUTED_VALUE"""),1.0)</f>
        <v>1</v>
      </c>
    </row>
    <row r="5122">
      <c r="K5122" s="4" t="str">
        <f>IFERROR(__xludf.DUMMYFUNCTION("""COMPUTED_VALUE"""),"DIVINA MASSA")</f>
        <v>DIVINA MASSA</v>
      </c>
      <c r="L5122" s="32">
        <f>IFERROR(__xludf.DUMMYFUNCTION("""COMPUTED_VALUE"""),2.0)</f>
        <v>2</v>
      </c>
      <c r="M5122" s="4" t="str">
        <f>IFERROR(__xludf.DUMMYFUNCTION("""COMPUTED_VALUE"""),"null")</f>
        <v>null</v>
      </c>
      <c r="N5122" s="33">
        <f>IFERROR(__xludf.DUMMYFUNCTION("""COMPUTED_VALUE"""),1.0)</f>
        <v>1</v>
      </c>
      <c r="O5122" s="4" t="str">
        <f>IFERROR(__xludf.DUMMYFUNCTION("""COMPUTED_VALUE"""),"null")</f>
        <v>null</v>
      </c>
      <c r="P5122" s="33">
        <f>IFERROR(__xludf.DUMMYFUNCTION("""COMPUTED_VALUE"""),1.0)</f>
        <v>1</v>
      </c>
      <c r="Q5122" s="4" t="str">
        <f>IFERROR(__xludf.DUMMYFUNCTION("""COMPUTED_VALUE"""),"null")</f>
        <v>null</v>
      </c>
      <c r="R5122" s="33">
        <f>IFERROR(__xludf.DUMMYFUNCTION("""COMPUTED_VALUE"""),1.0)</f>
        <v>1</v>
      </c>
      <c r="S5122" s="4" t="str">
        <f>IFERROR(__xludf.DUMMYFUNCTION("""COMPUTED_VALUE"""),"null")</f>
        <v>null</v>
      </c>
      <c r="T5122" s="33">
        <f>IFERROR(__xludf.DUMMYFUNCTION("""COMPUTED_VALUE"""),0.5)</f>
        <v>0.5</v>
      </c>
      <c r="U5122" s="4" t="str">
        <f>IFERROR(__xludf.DUMMYFUNCTION("""COMPUTED_VALUE"""),"null")</f>
        <v>null</v>
      </c>
      <c r="V5122" s="33">
        <f>IFERROR(__xludf.DUMMYFUNCTION("""COMPUTED_VALUE"""),1.0)</f>
        <v>1</v>
      </c>
      <c r="W5122" s="4" t="str">
        <f>IFERROR(__xludf.DUMMYFUNCTION("""COMPUTED_VALUE"""),"Brendi")</f>
        <v>Brendi</v>
      </c>
      <c r="X5122" s="33">
        <f>IFERROR(__xludf.DUMMYFUNCTION("""COMPUTED_VALUE"""),0.5)</f>
        <v>0.5</v>
      </c>
    </row>
    <row r="5123">
      <c r="K5123" s="4" t="str">
        <f>IFERROR(__xludf.DUMMYFUNCTION("""COMPUTED_VALUE"""),"AKITUTES CONFEITARIA")</f>
        <v>AKITUTES CONFEITARIA</v>
      </c>
      <c r="L5123" s="32">
        <f>IFERROR(__xludf.DUMMYFUNCTION("""COMPUTED_VALUE"""),2.0)</f>
        <v>2</v>
      </c>
      <c r="M5123" s="4" t="str">
        <f>IFERROR(__xludf.DUMMYFUNCTION("""COMPUTED_VALUE"""),"Totvs Large Enterprise Tecnologia S.a.")</f>
        <v>Totvs Large Enterprise Tecnologia S.a.</v>
      </c>
      <c r="N5123" s="33">
        <f>IFERROR(__xludf.DUMMYFUNCTION("""COMPUTED_VALUE"""),1.0)</f>
        <v>1</v>
      </c>
      <c r="O5123" s="4" t="str">
        <f>IFERROR(__xludf.DUMMYFUNCTION("""COMPUTED_VALUE"""),"Totvs Large Enterprise Tecnologia S.a.")</f>
        <v>Totvs Large Enterprise Tecnologia S.a.</v>
      </c>
      <c r="P5123" s="33">
        <f>IFERROR(__xludf.DUMMYFUNCTION("""COMPUTED_VALUE"""),0.5)</f>
        <v>0.5</v>
      </c>
      <c r="Q5123" s="4" t="str">
        <f>IFERROR(__xludf.DUMMYFUNCTION("""COMPUTED_VALUE"""),"Totvs Large Enterprise Tecnologia S.a.")</f>
        <v>Totvs Large Enterprise Tecnologia S.a.</v>
      </c>
      <c r="R5123" s="33">
        <f>IFERROR(__xludf.DUMMYFUNCTION("""COMPUTED_VALUE"""),1.0)</f>
        <v>1</v>
      </c>
      <c r="S5123" s="4" t="str">
        <f>IFERROR(__xludf.DUMMYFUNCTION("""COMPUTED_VALUE"""),"Totvs Large Enterprise Tecnologia S.a.")</f>
        <v>Totvs Large Enterprise Tecnologia S.a.</v>
      </c>
      <c r="T5123" s="33">
        <f>IFERROR(__xludf.DUMMYFUNCTION("""COMPUTED_VALUE"""),0.5)</f>
        <v>0.5</v>
      </c>
      <c r="U5123" s="4" t="str">
        <f>IFERROR(__xludf.DUMMYFUNCTION("""COMPUTED_VALUE"""),"Totvs Large Enterprise Tecnologia S.a.")</f>
        <v>Totvs Large Enterprise Tecnologia S.a.</v>
      </c>
      <c r="V5123" s="33">
        <f>IFERROR(__xludf.DUMMYFUNCTION("""COMPUTED_VALUE"""),1.0)</f>
        <v>1</v>
      </c>
      <c r="W5123" s="4" t="str">
        <f>IFERROR(__xludf.DUMMYFUNCTION("""COMPUTED_VALUE"""),"Totvs Large Enterprise Tecnologia S.a.")</f>
        <v>Totvs Large Enterprise Tecnologia S.a.</v>
      </c>
      <c r="X5123" s="33">
        <f>IFERROR(__xludf.DUMMYFUNCTION("""COMPUTED_VALUE"""),1.0)</f>
        <v>1</v>
      </c>
    </row>
    <row r="5124">
      <c r="K5124" s="4" t="str">
        <f>IFERROR(__xludf.DUMMYFUNCTION("""COMPUTED_VALUE"""),"PIZZARIA MASSA FOLHADA")</f>
        <v>PIZZARIA MASSA FOLHADA</v>
      </c>
      <c r="L5124" s="32">
        <f>IFERROR(__xludf.DUMMYFUNCTION("""COMPUTED_VALUE"""),2.0)</f>
        <v>2</v>
      </c>
      <c r="M5124" s="4" t="str">
        <f>IFERROR(__xludf.DUMMYFUNCTION("""COMPUTED_VALUE"""),"Igopizzas Sistemas Ltda")</f>
        <v>Igopizzas Sistemas Ltda</v>
      </c>
      <c r="N5124" s="33">
        <f>IFERROR(__xludf.DUMMYFUNCTION("""COMPUTED_VALUE"""),0.5)</f>
        <v>0.5</v>
      </c>
      <c r="O5124" s="4" t="str">
        <f>IFERROR(__xludf.DUMMYFUNCTION("""COMPUTED_VALUE"""),"Igopizzas Sistemas Ltda")</f>
        <v>Igopizzas Sistemas Ltda</v>
      </c>
      <c r="P5124" s="33">
        <f>IFERROR(__xludf.DUMMYFUNCTION("""COMPUTED_VALUE"""),0.5)</f>
        <v>0.5</v>
      </c>
      <c r="Q5124" s="4" t="str">
        <f>IFERROR(__xludf.DUMMYFUNCTION("""COMPUTED_VALUE"""),"Igopizzas Sistemas Ltda")</f>
        <v>Igopizzas Sistemas Ltda</v>
      </c>
      <c r="R5124" s="33">
        <f>IFERROR(__xludf.DUMMYFUNCTION("""COMPUTED_VALUE"""),0.5)</f>
        <v>0.5</v>
      </c>
      <c r="S5124" s="4" t="str">
        <f>IFERROR(__xludf.DUMMYFUNCTION("""COMPUTED_VALUE"""),"Igopizzas Sistemas Ltda")</f>
        <v>Igopizzas Sistemas Ltda</v>
      </c>
      <c r="T5124" s="33">
        <f>IFERROR(__xludf.DUMMYFUNCTION("""COMPUTED_VALUE"""),0.5)</f>
        <v>0.5</v>
      </c>
      <c r="U5124" s="4" t="str">
        <f>IFERROR(__xludf.DUMMYFUNCTION("""COMPUTED_VALUE"""),"Igopizzas Sistemas Ltda")</f>
        <v>Igopizzas Sistemas Ltda</v>
      </c>
      <c r="V5124" s="33">
        <f>IFERROR(__xludf.DUMMYFUNCTION("""COMPUTED_VALUE"""),0.5)</f>
        <v>0.5</v>
      </c>
      <c r="W5124" s="4" t="str">
        <f>IFERROR(__xludf.DUMMYFUNCTION("""COMPUTED_VALUE"""),"Igopizzas Sistemas Ltda")</f>
        <v>Igopizzas Sistemas Ltda</v>
      </c>
      <c r="X5124" s="33">
        <f>IFERROR(__xludf.DUMMYFUNCTION("""COMPUTED_VALUE"""),0.5)</f>
        <v>0.5</v>
      </c>
    </row>
    <row r="5125">
      <c r="K5125" s="4" t="str">
        <f>IFERROR(__xludf.DUMMYFUNCTION("""COMPUTED_VALUE"""),"MERCADO BOM JESUS")</f>
        <v>MERCADO BOM JESUS</v>
      </c>
      <c r="L5125" s="32">
        <f>IFERROR(__xludf.DUMMYFUNCTION("""COMPUTED_VALUE"""),2.0)</f>
        <v>2</v>
      </c>
      <c r="M5125" s="4" t="str">
        <f>IFERROR(__xludf.DUMMYFUNCTION("""COMPUTED_VALUE"""),"N/A (Not found)")</f>
        <v>N/A (Not found)</v>
      </c>
      <c r="N5125" s="33">
        <f>IFERROR(__xludf.DUMMYFUNCTION("""COMPUTED_VALUE"""),1.0)</f>
        <v>1</v>
      </c>
      <c r="O5125" s="4" t="str">
        <f>IFERROR(__xludf.DUMMYFUNCTION("""COMPUTED_VALUE"""),"null")</f>
        <v>null</v>
      </c>
      <c r="P5125" s="33">
        <f>IFERROR(__xludf.DUMMYFUNCTION("""COMPUTED_VALUE"""),0.5)</f>
        <v>0.5</v>
      </c>
      <c r="Q5125" s="4" t="str">
        <f>IFERROR(__xludf.DUMMYFUNCTION("""COMPUTED_VALUE"""),"null")</f>
        <v>null</v>
      </c>
      <c r="R5125" s="33">
        <f>IFERROR(__xludf.DUMMYFUNCTION("""COMPUTED_VALUE"""),0.5)</f>
        <v>0.5</v>
      </c>
      <c r="S5125" s="4" t="str">
        <f>IFERROR(__xludf.DUMMYFUNCTION("""COMPUTED_VALUE"""),"null")</f>
        <v>null</v>
      </c>
      <c r="T5125" s="33">
        <f>IFERROR(__xludf.DUMMYFUNCTION("""COMPUTED_VALUE"""),0.5)</f>
        <v>0.5</v>
      </c>
      <c r="U5125" s="4" t="str">
        <f>IFERROR(__xludf.DUMMYFUNCTION("""COMPUTED_VALUE"""),"N/A (Not found)")</f>
        <v>N/A (Not found)</v>
      </c>
      <c r="V5125" s="33">
        <f>IFERROR(__xludf.DUMMYFUNCTION("""COMPUTED_VALUE"""),1.0)</f>
        <v>1</v>
      </c>
      <c r="W5125" s="4" t="str">
        <f>IFERROR(__xludf.DUMMYFUNCTION("""COMPUTED_VALUE"""),"null")</f>
        <v>null</v>
      </c>
      <c r="X5125" s="33">
        <f>IFERROR(__xludf.DUMMYFUNCTION("""COMPUTED_VALUE"""),0.5)</f>
        <v>0.5</v>
      </c>
    </row>
    <row r="5126">
      <c r="K5126" s="4" t="str">
        <f>IFERROR(__xludf.DUMMYFUNCTION("""COMPUTED_VALUE"""),"DLD BEBIDAS")</f>
        <v>DLD BEBIDAS</v>
      </c>
      <c r="L5126" s="32">
        <f>IFERROR(__xludf.DUMMYFUNCTION("""COMPUTED_VALUE"""),2.0)</f>
        <v>2</v>
      </c>
      <c r="M5126" s="4" t="str">
        <f>IFERROR(__xludf.DUMMYFUNCTION("""COMPUTED_VALUE"""),"Anota Ai Solucoes Digitais S/a")</f>
        <v>Anota Ai Solucoes Digitais S/a</v>
      </c>
      <c r="N5126" s="33">
        <f>IFERROR(__xludf.DUMMYFUNCTION("""COMPUTED_VALUE"""),0.5)</f>
        <v>0.5</v>
      </c>
      <c r="O5126" s="4" t="str">
        <f>IFERROR(__xludf.DUMMYFUNCTION("""COMPUTED_VALUE"""),"Anota Ai Solucoes Digitais S/a")</f>
        <v>Anota Ai Solucoes Digitais S/a</v>
      </c>
      <c r="P5126" s="33">
        <f>IFERROR(__xludf.DUMMYFUNCTION("""COMPUTED_VALUE"""),0.5)</f>
        <v>0.5</v>
      </c>
      <c r="Q5126" s="4" t="str">
        <f>IFERROR(__xludf.DUMMYFUNCTION("""COMPUTED_VALUE"""),"Anota Ai Solucoes Digitais S/a")</f>
        <v>Anota Ai Solucoes Digitais S/a</v>
      </c>
      <c r="R5126" s="33">
        <f>IFERROR(__xludf.DUMMYFUNCTION("""COMPUTED_VALUE"""),0.5)</f>
        <v>0.5</v>
      </c>
      <c r="S5126" s="4" t="str">
        <f>IFERROR(__xludf.DUMMYFUNCTION("""COMPUTED_VALUE"""),"Anota Ai Solucoes Digitais S/a")</f>
        <v>Anota Ai Solucoes Digitais S/a</v>
      </c>
      <c r="T5126" s="33">
        <f>IFERROR(__xludf.DUMMYFUNCTION("""COMPUTED_VALUE"""),0.5)</f>
        <v>0.5</v>
      </c>
      <c r="U5126" s="4" t="str">
        <f>IFERROR(__xludf.DUMMYFUNCTION("""COMPUTED_VALUE"""),"null")</f>
        <v>null</v>
      </c>
      <c r="V5126" s="33">
        <f>IFERROR(__xludf.DUMMYFUNCTION("""COMPUTED_VALUE"""),0.5)</f>
        <v>0.5</v>
      </c>
      <c r="W5126" s="4" t="str">
        <f>IFERROR(__xludf.DUMMYFUNCTION("""COMPUTED_VALUE"""),"null")</f>
        <v>null</v>
      </c>
      <c r="X5126" s="33">
        <f>IFERROR(__xludf.DUMMYFUNCTION("""COMPUTED_VALUE"""),0.5)</f>
        <v>0.5</v>
      </c>
    </row>
    <row r="5127">
      <c r="K5127" s="4" t="str">
        <f>IFERROR(__xludf.DUMMYFUNCTION("""COMPUTED_VALUE"""),"D CASTELO BODEGA")</f>
        <v>D CASTELO BODEGA</v>
      </c>
      <c r="L5127" s="32">
        <f>IFERROR(__xludf.DUMMYFUNCTION("""COMPUTED_VALUE"""),2.0)</f>
        <v>2</v>
      </c>
      <c r="M5127" s="4" t="str">
        <f>IFERROR(__xludf.DUMMYFUNCTION("""COMPUTED_VALUE"""),"N/A (Not found)")</f>
        <v>N/A (Not found)</v>
      </c>
      <c r="N5127" s="33">
        <f>IFERROR(__xludf.DUMMYFUNCTION("""COMPUTED_VALUE"""),0.5)</f>
        <v>0.5</v>
      </c>
      <c r="O5127" s="4" t="str">
        <f>IFERROR(__xludf.DUMMYFUNCTION("""COMPUTED_VALUE"""),"N/A (Not found)")</f>
        <v>N/A (Not found)</v>
      </c>
      <c r="P5127" s="33">
        <f>IFERROR(__xludf.DUMMYFUNCTION("""COMPUTED_VALUE"""),0.5)</f>
        <v>0.5</v>
      </c>
      <c r="Q5127" s="4" t="str">
        <f>IFERROR(__xludf.DUMMYFUNCTION("""COMPUTED_VALUE"""),"N/A (Not found)")</f>
        <v>N/A (Not found)</v>
      </c>
      <c r="R5127" s="33">
        <f>IFERROR(__xludf.DUMMYFUNCTION("""COMPUTED_VALUE"""),0.5)</f>
        <v>0.5</v>
      </c>
      <c r="S5127" s="4" t="str">
        <f>IFERROR(__xludf.DUMMYFUNCTION("""COMPUTED_VALUE"""),"null")</f>
        <v>null</v>
      </c>
      <c r="T5127" s="33">
        <f>IFERROR(__xludf.DUMMYFUNCTION("""COMPUTED_VALUE"""),0.5)</f>
        <v>0.5</v>
      </c>
      <c r="U5127" s="4" t="str">
        <f>IFERROR(__xludf.DUMMYFUNCTION("""COMPUTED_VALUE"""),"null")</f>
        <v>null</v>
      </c>
      <c r="V5127" s="33">
        <f>IFERROR(__xludf.DUMMYFUNCTION("""COMPUTED_VALUE"""),0.5)</f>
        <v>0.5</v>
      </c>
      <c r="W5127" s="4" t="str">
        <f>IFERROR(__xludf.DUMMYFUNCTION("""COMPUTED_VALUE"""),"null")</f>
        <v>null</v>
      </c>
      <c r="X5127" s="33">
        <f>IFERROR(__xludf.DUMMYFUNCTION("""COMPUTED_VALUE"""),0.5)</f>
        <v>0.5</v>
      </c>
    </row>
    <row r="5128">
      <c r="K5128" s="4" t="str">
        <f>IFERROR(__xludf.DUMMYFUNCTION("""COMPUTED_VALUE"""),"ACAI DI CASA")</f>
        <v>ACAI DI CASA</v>
      </c>
      <c r="L5128" s="32">
        <f>IFERROR(__xludf.DUMMYFUNCTION("""COMPUTED_VALUE"""),2.0)</f>
        <v>2</v>
      </c>
      <c r="M5128" s="4" t="str">
        <f>IFERROR(__xludf.DUMMYFUNCTION("""COMPUTED_VALUE"""),"Instadelivery")</f>
        <v>Instadelivery</v>
      </c>
      <c r="N5128" s="33">
        <f>IFERROR(__xludf.DUMMYFUNCTION("""COMPUTED_VALUE"""),0.5)</f>
        <v>0.5</v>
      </c>
      <c r="O5128" s="4" t="str">
        <f>IFERROR(__xludf.DUMMYFUNCTION("""COMPUTED_VALUE"""),"Instadelivery")</f>
        <v>Instadelivery</v>
      </c>
      <c r="P5128" s="33">
        <f>IFERROR(__xludf.DUMMYFUNCTION("""COMPUTED_VALUE"""),0.5)</f>
        <v>0.5</v>
      </c>
      <c r="Q5128" s="4" t="str">
        <f>IFERROR(__xludf.DUMMYFUNCTION("""COMPUTED_VALUE"""),"Instadelivery")</f>
        <v>Instadelivery</v>
      </c>
      <c r="R5128" s="33">
        <f>IFERROR(__xludf.DUMMYFUNCTION("""COMPUTED_VALUE"""),0.5)</f>
        <v>0.5</v>
      </c>
      <c r="S5128" s="4" t="str">
        <f>IFERROR(__xludf.DUMMYFUNCTION("""COMPUTED_VALUE"""),"Instadelivery")</f>
        <v>Instadelivery</v>
      </c>
      <c r="T5128" s="33">
        <f>IFERROR(__xludf.DUMMYFUNCTION("""COMPUTED_VALUE"""),0.5)</f>
        <v>0.5</v>
      </c>
      <c r="U5128" s="4" t="str">
        <f>IFERROR(__xludf.DUMMYFUNCTION("""COMPUTED_VALUE"""),"Instadelivery")</f>
        <v>Instadelivery</v>
      </c>
      <c r="V5128" s="33">
        <f>IFERROR(__xludf.DUMMYFUNCTION("""COMPUTED_VALUE"""),0.5)</f>
        <v>0.5</v>
      </c>
      <c r="W5128" s="4" t="str">
        <f>IFERROR(__xludf.DUMMYFUNCTION("""COMPUTED_VALUE"""),"null")</f>
        <v>null</v>
      </c>
      <c r="X5128" s="33">
        <f>IFERROR(__xludf.DUMMYFUNCTION("""COMPUTED_VALUE"""),1.0)</f>
        <v>1</v>
      </c>
    </row>
    <row r="5129">
      <c r="K5129" s="4" t="str">
        <f>IFERROR(__xludf.DUMMYFUNCTION("""COMPUTED_VALUE"""),"PIZZARIA MARCHETTONI DELIVERY")</f>
        <v>PIZZARIA MARCHETTONI DELIVERY</v>
      </c>
      <c r="L5129" s="32">
        <f>IFERROR(__xludf.DUMMYFUNCTION("""COMPUTED_VALUE"""),2.0)</f>
        <v>2</v>
      </c>
      <c r="M5129" s="4" t="str">
        <f>IFERROR(__xludf.DUMMYFUNCTION("""COMPUTED_VALUE"""),"Saipos Serviços De Software")</f>
        <v>Saipos Serviços De Software</v>
      </c>
      <c r="N5129" s="33">
        <f>IFERROR(__xludf.DUMMYFUNCTION("""COMPUTED_VALUE"""),0.6666666666666666)</f>
        <v>0.6666666667</v>
      </c>
      <c r="O5129" s="4" t="str">
        <f>IFERROR(__xludf.DUMMYFUNCTION("""COMPUTED_VALUE"""),"Saipos Serviços De Software")</f>
        <v>Saipos Serviços De Software</v>
      </c>
      <c r="P5129" s="33">
        <f>IFERROR(__xludf.DUMMYFUNCTION("""COMPUTED_VALUE"""),0.6666666666666666)</f>
        <v>0.6666666667</v>
      </c>
      <c r="Q5129" s="4" t="str">
        <f>IFERROR(__xludf.DUMMYFUNCTION("""COMPUTED_VALUE"""),"Saipos Serviços De Software")</f>
        <v>Saipos Serviços De Software</v>
      </c>
      <c r="R5129" s="33">
        <f>IFERROR(__xludf.DUMMYFUNCTION("""COMPUTED_VALUE"""),0.6666666666666666)</f>
        <v>0.6666666667</v>
      </c>
      <c r="S5129" s="4" t="str">
        <f>IFERROR(__xludf.DUMMYFUNCTION("""COMPUTED_VALUE"""),"Saipos Serviços De Software")</f>
        <v>Saipos Serviços De Software</v>
      </c>
      <c r="T5129" s="33">
        <f>IFERROR(__xludf.DUMMYFUNCTION("""COMPUTED_VALUE"""),1.0)</f>
        <v>1</v>
      </c>
      <c r="U5129" s="4" t="str">
        <f>IFERROR(__xludf.DUMMYFUNCTION("""COMPUTED_VALUE"""),"Saipos Serviços De Software")</f>
        <v>Saipos Serviços De Software</v>
      </c>
      <c r="V5129" s="33">
        <f>IFERROR(__xludf.DUMMYFUNCTION("""COMPUTED_VALUE"""),1.0)</f>
        <v>1</v>
      </c>
      <c r="W5129" s="4" t="str">
        <f>IFERROR(__xludf.DUMMYFUNCTION("""COMPUTED_VALUE"""),"Saipos Serviços De Software")</f>
        <v>Saipos Serviços De Software</v>
      </c>
      <c r="X5129" s="33">
        <f>IFERROR(__xludf.DUMMYFUNCTION("""COMPUTED_VALUE"""),1.0)</f>
        <v>1</v>
      </c>
    </row>
    <row r="5130">
      <c r="K5130" s="4" t="str">
        <f>IFERROR(__xludf.DUMMYFUNCTION("""COMPUTED_VALUE"""),"IMPERIAL SUSHI")</f>
        <v>IMPERIAL SUSHI</v>
      </c>
      <c r="L5130" s="32">
        <f>IFERROR(__xludf.DUMMYFUNCTION("""COMPUTED_VALUE"""),2.0)</f>
        <v>2</v>
      </c>
      <c r="M5130" s="4" t="str">
        <f>IFERROR(__xludf.DUMMYFUNCTION("""COMPUTED_VALUE"""),"Saipos Serviços De Software")</f>
        <v>Saipos Serviços De Software</v>
      </c>
      <c r="N5130" s="33">
        <f>IFERROR(__xludf.DUMMYFUNCTION("""COMPUTED_VALUE"""),0.5)</f>
        <v>0.5</v>
      </c>
      <c r="O5130" s="4" t="str">
        <f>IFERROR(__xludf.DUMMYFUNCTION("""COMPUTED_VALUE"""),"Saipos Serviços De Software")</f>
        <v>Saipos Serviços De Software</v>
      </c>
      <c r="P5130" s="33">
        <f>IFERROR(__xludf.DUMMYFUNCTION("""COMPUTED_VALUE"""),0.5)</f>
        <v>0.5</v>
      </c>
      <c r="Q5130" s="4" t="str">
        <f>IFERROR(__xludf.DUMMYFUNCTION("""COMPUTED_VALUE"""),"Saipos Serviços De Software")</f>
        <v>Saipos Serviços De Software</v>
      </c>
      <c r="R5130" s="33">
        <f>IFERROR(__xludf.DUMMYFUNCTION("""COMPUTED_VALUE"""),0.5)</f>
        <v>0.5</v>
      </c>
      <c r="S5130" s="4" t="str">
        <f>IFERROR(__xludf.DUMMYFUNCTION("""COMPUTED_VALUE"""),"Saipos Serviços De Software")</f>
        <v>Saipos Serviços De Software</v>
      </c>
      <c r="T5130" s="33">
        <f>IFERROR(__xludf.DUMMYFUNCTION("""COMPUTED_VALUE"""),0.5)</f>
        <v>0.5</v>
      </c>
      <c r="U5130" s="4" t="str">
        <f>IFERROR(__xludf.DUMMYFUNCTION("""COMPUTED_VALUE"""),"Saipos Serviços De Software")</f>
        <v>Saipos Serviços De Software</v>
      </c>
      <c r="V5130" s="33">
        <f>IFERROR(__xludf.DUMMYFUNCTION("""COMPUTED_VALUE"""),0.5)</f>
        <v>0.5</v>
      </c>
      <c r="W5130" s="4" t="str">
        <f>IFERROR(__xludf.DUMMYFUNCTION("""COMPUTED_VALUE"""),"Saipos Serviços De Software")</f>
        <v>Saipos Serviços De Software</v>
      </c>
      <c r="X5130" s="33">
        <f>IFERROR(__xludf.DUMMYFUNCTION("""COMPUTED_VALUE"""),0.5)</f>
        <v>0.5</v>
      </c>
    </row>
    <row r="5131">
      <c r="K5131" s="4" t="str">
        <f>IFERROR(__xludf.DUMMYFUNCTION("""COMPUTED_VALUE"""),"ACAI DA JU - ACAI E SORVETESGELATOS")</f>
        <v>ACAI DA JU - ACAI E SORVETESGELATOS</v>
      </c>
      <c r="L5131" s="32">
        <f>IFERROR(__xludf.DUMMYFUNCTION("""COMPUTED_VALUE"""),2.0)</f>
        <v>2</v>
      </c>
      <c r="M5131" s="4" t="str">
        <f>IFERROR(__xludf.DUMMYFUNCTION("""COMPUTED_VALUE"""),"Anota Ai Solucoes Digitais S/a")</f>
        <v>Anota Ai Solucoes Digitais S/a</v>
      </c>
      <c r="N5131" s="33">
        <f>IFERROR(__xludf.DUMMYFUNCTION("""COMPUTED_VALUE"""),0.5)</f>
        <v>0.5</v>
      </c>
      <c r="O5131" s="4" t="str">
        <f>IFERROR(__xludf.DUMMYFUNCTION("""COMPUTED_VALUE"""),"Anota Ai Solucoes Digitais S/a")</f>
        <v>Anota Ai Solucoes Digitais S/a</v>
      </c>
      <c r="P5131" s="33">
        <f>IFERROR(__xludf.DUMMYFUNCTION("""COMPUTED_VALUE"""),0.5)</f>
        <v>0.5</v>
      </c>
      <c r="Q5131" s="4" t="str">
        <f>IFERROR(__xludf.DUMMYFUNCTION("""COMPUTED_VALUE"""),"Anota Ai Solucoes Digitais S/a")</f>
        <v>Anota Ai Solucoes Digitais S/a</v>
      </c>
      <c r="R5131" s="33">
        <f>IFERROR(__xludf.DUMMYFUNCTION("""COMPUTED_VALUE"""),0.5)</f>
        <v>0.5</v>
      </c>
      <c r="S5131" s="4" t="str">
        <f>IFERROR(__xludf.DUMMYFUNCTION("""COMPUTED_VALUE"""),"Anota Ai Solucoes Digitais S/a")</f>
        <v>Anota Ai Solucoes Digitais S/a</v>
      </c>
      <c r="T5131" s="33">
        <f>IFERROR(__xludf.DUMMYFUNCTION("""COMPUTED_VALUE"""),0.5)</f>
        <v>0.5</v>
      </c>
      <c r="U5131" s="4" t="str">
        <f>IFERROR(__xludf.DUMMYFUNCTION("""COMPUTED_VALUE"""),"Anota Ai Solucoes Digitais S/a")</f>
        <v>Anota Ai Solucoes Digitais S/a</v>
      </c>
      <c r="V5131" s="33">
        <f>IFERROR(__xludf.DUMMYFUNCTION("""COMPUTED_VALUE"""),0.5)</f>
        <v>0.5</v>
      </c>
      <c r="W5131" s="4" t="str">
        <f>IFERROR(__xludf.DUMMYFUNCTION("""COMPUTED_VALUE"""),"Anota Ai Solucoes Digitais S/a")</f>
        <v>Anota Ai Solucoes Digitais S/a</v>
      </c>
      <c r="X5131" s="33">
        <f>IFERROR(__xludf.DUMMYFUNCTION("""COMPUTED_VALUE"""),0.5)</f>
        <v>0.5</v>
      </c>
    </row>
    <row r="5132">
      <c r="K5132" s="4" t="str">
        <f>IFERROR(__xludf.DUMMYFUNCTION("""COMPUTED_VALUE"""),"PIZZARIA TRADICAO")</f>
        <v>PIZZARIA TRADICAO</v>
      </c>
      <c r="L5132" s="32">
        <f>IFERROR(__xludf.DUMMYFUNCTION("""COMPUTED_VALUE"""),2.0)</f>
        <v>2</v>
      </c>
      <c r="M5132" s="4" t="str">
        <f>IFERROR(__xludf.DUMMYFUNCTION("""COMPUTED_VALUE"""),"Anota Ai Solucoes Digitais S/a")</f>
        <v>Anota Ai Solucoes Digitais S/a</v>
      </c>
      <c r="N5132" s="33">
        <f>IFERROR(__xludf.DUMMYFUNCTION("""COMPUTED_VALUE"""),0.5)</f>
        <v>0.5</v>
      </c>
      <c r="O5132" s="4" t="str">
        <f>IFERROR(__xludf.DUMMYFUNCTION("""COMPUTED_VALUE"""),"Anota Ai Solucoes Digitais S/a")</f>
        <v>Anota Ai Solucoes Digitais S/a</v>
      </c>
      <c r="P5132" s="33">
        <f>IFERROR(__xludf.DUMMYFUNCTION("""COMPUTED_VALUE"""),0.5)</f>
        <v>0.5</v>
      </c>
      <c r="Q5132" s="4" t="str">
        <f>IFERROR(__xludf.DUMMYFUNCTION("""COMPUTED_VALUE"""),"Anota Ai Solucoes Digitais S/a")</f>
        <v>Anota Ai Solucoes Digitais S/a</v>
      </c>
      <c r="R5132" s="33">
        <f>IFERROR(__xludf.DUMMYFUNCTION("""COMPUTED_VALUE"""),0.5)</f>
        <v>0.5</v>
      </c>
      <c r="S5132" s="4" t="str">
        <f>IFERROR(__xludf.DUMMYFUNCTION("""COMPUTED_VALUE"""),"Cardápio Web")</f>
        <v>Cardápio Web</v>
      </c>
      <c r="T5132" s="33">
        <f>IFERROR(__xludf.DUMMYFUNCTION("""COMPUTED_VALUE"""),0.5)</f>
        <v>0.5</v>
      </c>
      <c r="U5132" s="4" t="str">
        <f>IFERROR(__xludf.DUMMYFUNCTION("""COMPUTED_VALUE"""),"Cardápio Web")</f>
        <v>Cardápio Web</v>
      </c>
      <c r="V5132" s="33">
        <f>IFERROR(__xludf.DUMMYFUNCTION("""COMPUTED_VALUE"""),0.5)</f>
        <v>0.5</v>
      </c>
      <c r="W5132" s="4" t="str">
        <f>IFERROR(__xludf.DUMMYFUNCTION("""COMPUTED_VALUE"""),"Cardápio Web")</f>
        <v>Cardápio Web</v>
      </c>
      <c r="X5132" s="33">
        <f>IFERROR(__xludf.DUMMYFUNCTION("""COMPUTED_VALUE"""),0.5)</f>
        <v>0.5</v>
      </c>
    </row>
    <row r="5133">
      <c r="K5133" s="4" t="str">
        <f>IFERROR(__xludf.DUMMYFUNCTION("""COMPUTED_VALUE"""),"LA BURGUERIA")</f>
        <v>LA BURGUERIA</v>
      </c>
      <c r="L5133" s="32">
        <f>IFERROR(__xludf.DUMMYFUNCTION("""COMPUTED_VALUE"""),2.0)</f>
        <v>2</v>
      </c>
      <c r="M5133" s="4" t="str">
        <f>IFERROR(__xludf.DUMMYFUNCTION("""COMPUTED_VALUE"""),"Cardápio Web")</f>
        <v>Cardápio Web</v>
      </c>
      <c r="N5133" s="33">
        <f>IFERROR(__xludf.DUMMYFUNCTION("""COMPUTED_VALUE"""),0.5)</f>
        <v>0.5</v>
      </c>
      <c r="O5133" s="4" t="str">
        <f>IFERROR(__xludf.DUMMYFUNCTION("""COMPUTED_VALUE"""),"Cardápio Web")</f>
        <v>Cardápio Web</v>
      </c>
      <c r="P5133" s="33">
        <f>IFERROR(__xludf.DUMMYFUNCTION("""COMPUTED_VALUE"""),0.5)</f>
        <v>0.5</v>
      </c>
      <c r="Q5133" s="4" t="str">
        <f>IFERROR(__xludf.DUMMYFUNCTION("""COMPUTED_VALUE"""),"null")</f>
        <v>null</v>
      </c>
      <c r="R5133" s="33">
        <f>IFERROR(__xludf.DUMMYFUNCTION("""COMPUTED_VALUE"""),0.5)</f>
        <v>0.5</v>
      </c>
      <c r="S5133" s="4" t="str">
        <f>IFERROR(__xludf.DUMMYFUNCTION("""COMPUTED_VALUE"""),"null")</f>
        <v>null</v>
      </c>
      <c r="T5133" s="33">
        <f>IFERROR(__xludf.DUMMYFUNCTION("""COMPUTED_VALUE"""),0.5)</f>
        <v>0.5</v>
      </c>
      <c r="U5133" s="4" t="str">
        <f>IFERROR(__xludf.DUMMYFUNCTION("""COMPUTED_VALUE"""),"Cardápio Web")</f>
        <v>Cardápio Web</v>
      </c>
      <c r="V5133" s="33">
        <f>IFERROR(__xludf.DUMMYFUNCTION("""COMPUTED_VALUE"""),0.5)</f>
        <v>0.5</v>
      </c>
      <c r="W5133" s="4" t="str">
        <f>IFERROR(__xludf.DUMMYFUNCTION("""COMPUTED_VALUE"""),"Cardápio Web")</f>
        <v>Cardápio Web</v>
      </c>
      <c r="X5133" s="33">
        <f>IFERROR(__xludf.DUMMYFUNCTION("""COMPUTED_VALUE"""),0.5)</f>
        <v>0.5</v>
      </c>
    </row>
    <row r="5134">
      <c r="K5134" s="4" t="str">
        <f>IFERROR(__xludf.DUMMYFUNCTION("""COMPUTED_VALUE"""),"COMIC BURGER")</f>
        <v>COMIC BURGER</v>
      </c>
      <c r="L5134" s="32">
        <f>IFERROR(__xludf.DUMMYFUNCTION("""COMPUTED_VALUE"""),2.0)</f>
        <v>2</v>
      </c>
      <c r="M5134" s="4" t="str">
        <f>IFERROR(__xludf.DUMMYFUNCTION("""COMPUTED_VALUE"""),"Saipos Serviços De Software")</f>
        <v>Saipos Serviços De Software</v>
      </c>
      <c r="N5134" s="33">
        <f>IFERROR(__xludf.DUMMYFUNCTION("""COMPUTED_VALUE"""),0.5)</f>
        <v>0.5</v>
      </c>
      <c r="O5134" s="4" t="str">
        <f>IFERROR(__xludf.DUMMYFUNCTION("""COMPUTED_VALUE"""),"Saipos Serviços De Software")</f>
        <v>Saipos Serviços De Software</v>
      </c>
      <c r="P5134" s="33">
        <f>IFERROR(__xludf.DUMMYFUNCTION("""COMPUTED_VALUE"""),0.5)</f>
        <v>0.5</v>
      </c>
      <c r="Q5134" s="4" t="str">
        <f>IFERROR(__xludf.DUMMYFUNCTION("""COMPUTED_VALUE"""),"Saipos Serviços De Software")</f>
        <v>Saipos Serviços De Software</v>
      </c>
      <c r="R5134" s="33">
        <f>IFERROR(__xludf.DUMMYFUNCTION("""COMPUTED_VALUE"""),0.5)</f>
        <v>0.5</v>
      </c>
      <c r="S5134" s="4" t="str">
        <f>IFERROR(__xludf.DUMMYFUNCTION("""COMPUTED_VALUE"""),"Saipos Serviços De Software")</f>
        <v>Saipos Serviços De Software</v>
      </c>
      <c r="T5134" s="33">
        <f>IFERROR(__xludf.DUMMYFUNCTION("""COMPUTED_VALUE"""),0.5)</f>
        <v>0.5</v>
      </c>
      <c r="U5134" s="4" t="str">
        <f>IFERROR(__xludf.DUMMYFUNCTION("""COMPUTED_VALUE"""),"Saipos Serviços De Software")</f>
        <v>Saipos Serviços De Software</v>
      </c>
      <c r="V5134" s="33">
        <f>IFERROR(__xludf.DUMMYFUNCTION("""COMPUTED_VALUE"""),0.5)</f>
        <v>0.5</v>
      </c>
      <c r="W5134" s="4" t="str">
        <f>IFERROR(__xludf.DUMMYFUNCTION("""COMPUTED_VALUE"""),"Saipos Serviços De Software")</f>
        <v>Saipos Serviços De Software</v>
      </c>
      <c r="X5134" s="33">
        <f>IFERROR(__xludf.DUMMYFUNCTION("""COMPUTED_VALUE"""),0.5)</f>
        <v>0.5</v>
      </c>
    </row>
    <row r="5135">
      <c r="K5135" s="4" t="str">
        <f>IFERROR(__xludf.DUMMYFUNCTION("""COMPUTED_VALUE"""),"SR CHURRASCO")</f>
        <v>SR CHURRASCO</v>
      </c>
      <c r="L5135" s="32">
        <f>IFERROR(__xludf.DUMMYFUNCTION("""COMPUTED_VALUE"""),2.0)</f>
        <v>2</v>
      </c>
      <c r="M5135" s="4" t="str">
        <f>IFERROR(__xludf.DUMMYFUNCTION("""COMPUTED_VALUE"""),"Sagres Automação Comercial")</f>
        <v>Sagres Automação Comercial</v>
      </c>
      <c r="N5135" s="33">
        <f>IFERROR(__xludf.DUMMYFUNCTION("""COMPUTED_VALUE"""),0.5)</f>
        <v>0.5</v>
      </c>
      <c r="O5135" s="4" t="str">
        <f>IFERROR(__xludf.DUMMYFUNCTION("""COMPUTED_VALUE"""),"Sagres Automação Comercial")</f>
        <v>Sagres Automação Comercial</v>
      </c>
      <c r="P5135" s="33">
        <f>IFERROR(__xludf.DUMMYFUNCTION("""COMPUTED_VALUE"""),0.5)</f>
        <v>0.5</v>
      </c>
      <c r="Q5135" s="4" t="str">
        <f>IFERROR(__xludf.DUMMYFUNCTION("""COMPUTED_VALUE"""),"null")</f>
        <v>null</v>
      </c>
      <c r="R5135" s="33">
        <f>IFERROR(__xludf.DUMMYFUNCTION("""COMPUTED_VALUE"""),0.5)</f>
        <v>0.5</v>
      </c>
      <c r="S5135" s="4" t="str">
        <f>IFERROR(__xludf.DUMMYFUNCTION("""COMPUTED_VALUE"""),"null")</f>
        <v>null</v>
      </c>
      <c r="T5135" s="33">
        <f>IFERROR(__xludf.DUMMYFUNCTION("""COMPUTED_VALUE"""),0.5)</f>
        <v>0.5</v>
      </c>
      <c r="U5135" s="4" t="str">
        <f>IFERROR(__xludf.DUMMYFUNCTION("""COMPUTED_VALUE"""),"null")</f>
        <v>null</v>
      </c>
      <c r="V5135" s="33">
        <f>IFERROR(__xludf.DUMMYFUNCTION("""COMPUTED_VALUE"""),0.5)</f>
        <v>0.5</v>
      </c>
      <c r="W5135" s="4" t="str">
        <f>IFERROR(__xludf.DUMMYFUNCTION("""COMPUTED_VALUE"""),"null")</f>
        <v>null</v>
      </c>
      <c r="X5135" s="33">
        <f>IFERROR(__xludf.DUMMYFUNCTION("""COMPUTED_VALUE"""),0.5)</f>
        <v>0.5</v>
      </c>
    </row>
    <row r="5136">
      <c r="K5136" s="4" t="str">
        <f>IFERROR(__xludf.DUMMYFUNCTION("""COMPUTED_VALUE"""),"PONTO DA BATATA")</f>
        <v>PONTO DA BATATA</v>
      </c>
      <c r="L5136" s="32">
        <f>IFERROR(__xludf.DUMMYFUNCTION("""COMPUTED_VALUE"""),2.0)</f>
        <v>2</v>
      </c>
      <c r="M5136" s="4" t="str">
        <f>IFERROR(__xludf.DUMMYFUNCTION("""COMPUTED_VALUE"""),"Anota Ai Solucoes Digitais S/a")</f>
        <v>Anota Ai Solucoes Digitais S/a</v>
      </c>
      <c r="N5136" s="33">
        <f>IFERROR(__xludf.DUMMYFUNCTION("""COMPUTED_VALUE"""),0.5)</f>
        <v>0.5</v>
      </c>
      <c r="O5136" s="4" t="str">
        <f>IFERROR(__xludf.DUMMYFUNCTION("""COMPUTED_VALUE"""),"null")</f>
        <v>null</v>
      </c>
      <c r="P5136" s="33">
        <f>IFERROR(__xludf.DUMMYFUNCTION("""COMPUTED_VALUE"""),0.5)</f>
        <v>0.5</v>
      </c>
      <c r="Q5136" s="4" t="str">
        <f>IFERROR(__xludf.DUMMYFUNCTION("""COMPUTED_VALUE"""),"null")</f>
        <v>null</v>
      </c>
      <c r="R5136" s="33">
        <f>IFERROR(__xludf.DUMMYFUNCTION("""COMPUTED_VALUE"""),0.5)</f>
        <v>0.5</v>
      </c>
      <c r="S5136" s="4" t="str">
        <f>IFERROR(__xludf.DUMMYFUNCTION("""COMPUTED_VALUE"""),"null")</f>
        <v>null</v>
      </c>
      <c r="T5136" s="33">
        <f>IFERROR(__xludf.DUMMYFUNCTION("""COMPUTED_VALUE"""),0.5)</f>
        <v>0.5</v>
      </c>
      <c r="U5136" s="4" t="str">
        <f>IFERROR(__xludf.DUMMYFUNCTION("""COMPUTED_VALUE"""),"null")</f>
        <v>null</v>
      </c>
      <c r="V5136" s="33">
        <f>IFERROR(__xludf.DUMMYFUNCTION("""COMPUTED_VALUE"""),0.5)</f>
        <v>0.5</v>
      </c>
      <c r="W5136" s="4" t="str">
        <f>IFERROR(__xludf.DUMMYFUNCTION("""COMPUTED_VALUE"""),"null")</f>
        <v>null</v>
      </c>
      <c r="X5136" s="33">
        <f>IFERROR(__xludf.DUMMYFUNCTION("""COMPUTED_VALUE"""),0.5)</f>
        <v>0.5</v>
      </c>
    </row>
    <row r="5137">
      <c r="K5137" s="4" t="str">
        <f>IFERROR(__xludf.DUMMYFUNCTION("""COMPUTED_VALUE"""),"PIZZARIA NOSSA PIZZA")</f>
        <v>PIZZARIA NOSSA PIZZA</v>
      </c>
      <c r="L5137" s="32">
        <f>IFERROR(__xludf.DUMMYFUNCTION("""COMPUTED_VALUE"""),2.0)</f>
        <v>2</v>
      </c>
      <c r="M5137" s="4" t="str">
        <f>IFERROR(__xludf.DUMMYFUNCTION("""COMPUTED_VALUE"""),"Grk Soluções Informatica Eireli")</f>
        <v>Grk Soluções Informatica Eireli</v>
      </c>
      <c r="N5137" s="33">
        <f>IFERROR(__xludf.DUMMYFUNCTION("""COMPUTED_VALUE"""),0.5)</f>
        <v>0.5</v>
      </c>
      <c r="O5137" s="4" t="str">
        <f>IFERROR(__xludf.DUMMYFUNCTION("""COMPUTED_VALUE"""),"Grk Soluções Informatica Eireli")</f>
        <v>Grk Soluções Informatica Eireli</v>
      </c>
      <c r="P5137" s="33">
        <f>IFERROR(__xludf.DUMMYFUNCTION("""COMPUTED_VALUE"""),0.5)</f>
        <v>0.5</v>
      </c>
      <c r="Q5137" s="4" t="str">
        <f>IFERROR(__xludf.DUMMYFUNCTION("""COMPUTED_VALUE"""),"Grk Soluções Informatica Eireli")</f>
        <v>Grk Soluções Informatica Eireli</v>
      </c>
      <c r="R5137" s="33">
        <f>IFERROR(__xludf.DUMMYFUNCTION("""COMPUTED_VALUE"""),0.5)</f>
        <v>0.5</v>
      </c>
      <c r="S5137" s="4" t="str">
        <f>IFERROR(__xludf.DUMMYFUNCTION("""COMPUTED_VALUE"""),"Grk Soluções Informatica Eireli")</f>
        <v>Grk Soluções Informatica Eireli</v>
      </c>
      <c r="T5137" s="33">
        <f>IFERROR(__xludf.DUMMYFUNCTION("""COMPUTED_VALUE"""),0.5)</f>
        <v>0.5</v>
      </c>
      <c r="U5137" s="4" t="str">
        <f>IFERROR(__xludf.DUMMYFUNCTION("""COMPUTED_VALUE"""),"Grk Soluções Informatica Eireli")</f>
        <v>Grk Soluções Informatica Eireli</v>
      </c>
      <c r="V5137" s="33">
        <f>IFERROR(__xludf.DUMMYFUNCTION("""COMPUTED_VALUE"""),0.5)</f>
        <v>0.5</v>
      </c>
      <c r="W5137" s="4" t="str">
        <f>IFERROR(__xludf.DUMMYFUNCTION("""COMPUTED_VALUE"""),"Grk Soluções Informatica Eireli")</f>
        <v>Grk Soluções Informatica Eireli</v>
      </c>
      <c r="X5137" s="33">
        <f>IFERROR(__xludf.DUMMYFUNCTION("""COMPUTED_VALUE"""),0.5)</f>
        <v>0.5</v>
      </c>
    </row>
    <row r="5138">
      <c r="K5138" s="4" t="str">
        <f>IFERROR(__xludf.DUMMYFUNCTION("""COMPUTED_VALUE"""),"MY PIZZA")</f>
        <v>MY PIZZA</v>
      </c>
      <c r="L5138" s="32">
        <f>IFERROR(__xludf.DUMMYFUNCTION("""COMPUTED_VALUE"""),2.0)</f>
        <v>2</v>
      </c>
      <c r="M5138" s="4" t="str">
        <f>IFERROR(__xludf.DUMMYFUNCTION("""COMPUTED_VALUE"""),"Saipos Serviços De Software")</f>
        <v>Saipos Serviços De Software</v>
      </c>
      <c r="N5138" s="33">
        <f>IFERROR(__xludf.DUMMYFUNCTION("""COMPUTED_VALUE"""),1.0)</f>
        <v>1</v>
      </c>
      <c r="O5138" s="4" t="str">
        <f>IFERROR(__xludf.DUMMYFUNCTION("""COMPUTED_VALUE"""),"Saipos Serviços De Software")</f>
        <v>Saipos Serviços De Software</v>
      </c>
      <c r="P5138" s="33">
        <f>IFERROR(__xludf.DUMMYFUNCTION("""COMPUTED_VALUE"""),1.0)</f>
        <v>1</v>
      </c>
      <c r="Q5138" s="4" t="str">
        <f>IFERROR(__xludf.DUMMYFUNCTION("""COMPUTED_VALUE"""),"Saipos Serviços De Software")</f>
        <v>Saipos Serviços De Software</v>
      </c>
      <c r="R5138" s="33">
        <f>IFERROR(__xludf.DUMMYFUNCTION("""COMPUTED_VALUE"""),1.0)</f>
        <v>1</v>
      </c>
      <c r="S5138" s="4" t="str">
        <f>IFERROR(__xludf.DUMMYFUNCTION("""COMPUTED_VALUE"""),"Saipos Serviços De Software")</f>
        <v>Saipos Serviços De Software</v>
      </c>
      <c r="T5138" s="33">
        <f>IFERROR(__xludf.DUMMYFUNCTION("""COMPUTED_VALUE"""),1.0)</f>
        <v>1</v>
      </c>
      <c r="U5138" s="4" t="str">
        <f>IFERROR(__xludf.DUMMYFUNCTION("""COMPUTED_VALUE"""),"Saipos Serviços De Software")</f>
        <v>Saipos Serviços De Software</v>
      </c>
      <c r="V5138" s="33">
        <f>IFERROR(__xludf.DUMMYFUNCTION("""COMPUTED_VALUE"""),1.0)</f>
        <v>1</v>
      </c>
      <c r="W5138" s="4" t="str">
        <f>IFERROR(__xludf.DUMMYFUNCTION("""COMPUTED_VALUE"""),"Saipos Serviços De Software")</f>
        <v>Saipos Serviços De Software</v>
      </c>
      <c r="X5138" s="33">
        <f>IFERROR(__xludf.DUMMYFUNCTION("""COMPUTED_VALUE"""),1.0)</f>
        <v>1</v>
      </c>
    </row>
    <row r="5139">
      <c r="K5139" s="4" t="str">
        <f>IFERROR(__xludf.DUMMYFUNCTION("""COMPUTED_VALUE"""),"ARRAIS PIZZA")</f>
        <v>ARRAIS PIZZA</v>
      </c>
      <c r="L5139" s="32">
        <f>IFERROR(__xludf.DUMMYFUNCTION("""COMPUTED_VALUE"""),2.0)</f>
        <v>2</v>
      </c>
      <c r="M5139" s="4" t="str">
        <f>IFERROR(__xludf.DUMMYFUNCTION("""COMPUTED_VALUE"""),"null")</f>
        <v>null</v>
      </c>
      <c r="N5139" s="33">
        <f>IFERROR(__xludf.DUMMYFUNCTION("""COMPUTED_VALUE"""),1.0)</f>
        <v>1</v>
      </c>
      <c r="O5139" s="4" t="str">
        <f>IFERROR(__xludf.DUMMYFUNCTION("""COMPUTED_VALUE"""),"No Mercado Representacoes Ltda")</f>
        <v>No Mercado Representacoes Ltda</v>
      </c>
      <c r="P5139" s="33">
        <f>IFERROR(__xludf.DUMMYFUNCTION("""COMPUTED_VALUE"""),0.5)</f>
        <v>0.5</v>
      </c>
      <c r="Q5139" s="4" t="str">
        <f>IFERROR(__xludf.DUMMYFUNCTION("""COMPUTED_VALUE"""),"Wls Solucoes Empresariais Ltda")</f>
        <v>Wls Solucoes Empresariais Ltda</v>
      </c>
      <c r="R5139" s="33">
        <f>IFERROR(__xludf.DUMMYFUNCTION("""COMPUTED_VALUE"""),0.5)</f>
        <v>0.5</v>
      </c>
      <c r="S5139" s="4" t="str">
        <f>IFERROR(__xludf.DUMMYFUNCTION("""COMPUTED_VALUE"""),"Instadelivery")</f>
        <v>Instadelivery</v>
      </c>
      <c r="T5139" s="33">
        <f>IFERROR(__xludf.DUMMYFUNCTION("""COMPUTED_VALUE"""),0.5)</f>
        <v>0.5</v>
      </c>
      <c r="U5139" s="4" t="str">
        <f>IFERROR(__xludf.DUMMYFUNCTION("""COMPUTED_VALUE"""),"M-du Tecnologia")</f>
        <v>M-du Tecnologia</v>
      </c>
      <c r="V5139" s="33">
        <f>IFERROR(__xludf.DUMMYFUNCTION("""COMPUTED_VALUE"""),0.5)</f>
        <v>0.5</v>
      </c>
      <c r="W5139" s="4" t="str">
        <f>IFERROR(__xludf.DUMMYFUNCTION("""COMPUTED_VALUE"""),"Fibonacci Soluções Ágeis")</f>
        <v>Fibonacci Soluções Ágeis</v>
      </c>
      <c r="X5139" s="33">
        <f>IFERROR(__xludf.DUMMYFUNCTION("""COMPUTED_VALUE"""),0.5)</f>
        <v>0.5</v>
      </c>
    </row>
    <row r="5140">
      <c r="K5140" s="4" t="str">
        <f>IFERROR(__xludf.DUMMYFUNCTION("""COMPUTED_VALUE"""),"BURGER DAS GALAXIAS")</f>
        <v>BURGER DAS GALAXIAS</v>
      </c>
      <c r="L5140" s="32">
        <f>IFERROR(__xludf.DUMMYFUNCTION("""COMPUTED_VALUE"""),2.0)</f>
        <v>2</v>
      </c>
      <c r="M5140" s="4" t="str">
        <f>IFERROR(__xludf.DUMMYFUNCTION("""COMPUTED_VALUE"""),"null")</f>
        <v>null</v>
      </c>
      <c r="N5140" s="33">
        <f>IFERROR(__xludf.DUMMYFUNCTION("""COMPUTED_VALUE"""),0.5)</f>
        <v>0.5</v>
      </c>
      <c r="O5140" s="4" t="str">
        <f>IFERROR(__xludf.DUMMYFUNCTION("""COMPUTED_VALUE"""),"null")</f>
        <v>null</v>
      </c>
      <c r="P5140" s="33">
        <f>IFERROR(__xludf.DUMMYFUNCTION("""COMPUTED_VALUE"""),0.5)</f>
        <v>0.5</v>
      </c>
      <c r="Q5140" s="4" t="str">
        <f>IFERROR(__xludf.DUMMYFUNCTION("""COMPUTED_VALUE"""),"null")</f>
        <v>null</v>
      </c>
      <c r="R5140" s="33">
        <f>IFERROR(__xludf.DUMMYFUNCTION("""COMPUTED_VALUE"""),0.5)</f>
        <v>0.5</v>
      </c>
      <c r="S5140" s="4" t="str">
        <f>IFERROR(__xludf.DUMMYFUNCTION("""COMPUTED_VALUE"""),"Anota Ai Solucoes Digitais S/a")</f>
        <v>Anota Ai Solucoes Digitais S/a</v>
      </c>
      <c r="T5140" s="33">
        <f>IFERROR(__xludf.DUMMYFUNCTION("""COMPUTED_VALUE"""),0.5)</f>
        <v>0.5</v>
      </c>
      <c r="U5140" s="4" t="str">
        <f>IFERROR(__xludf.DUMMYFUNCTION("""COMPUTED_VALUE"""),"null")</f>
        <v>null</v>
      </c>
      <c r="V5140" s="33">
        <f>IFERROR(__xludf.DUMMYFUNCTION("""COMPUTED_VALUE"""),0.5)</f>
        <v>0.5</v>
      </c>
      <c r="W5140" s="4" t="str">
        <f>IFERROR(__xludf.DUMMYFUNCTION("""COMPUTED_VALUE"""),"null")</f>
        <v>null</v>
      </c>
      <c r="X5140" s="33">
        <f>IFERROR(__xludf.DUMMYFUNCTION("""COMPUTED_VALUE"""),1.0)</f>
        <v>1</v>
      </c>
    </row>
    <row r="5141">
      <c r="K5141" s="4" t="str">
        <f>IFERROR(__xludf.DUMMYFUNCTION("""COMPUTED_VALUE"""),"PIZZARIA OH PIZZA MOEMA")</f>
        <v>PIZZARIA OH PIZZA MOEMA</v>
      </c>
      <c r="L5141" s="32">
        <f>IFERROR(__xludf.DUMMYFUNCTION("""COMPUTED_VALUE"""),2.0)</f>
        <v>2</v>
      </c>
      <c r="M5141" s="4" t="str">
        <f>IFERROR(__xludf.DUMMYFUNCTION("""COMPUTED_VALUE"""),"Cardápio Web")</f>
        <v>Cardápio Web</v>
      </c>
      <c r="N5141" s="33">
        <f>IFERROR(__xludf.DUMMYFUNCTION("""COMPUTED_VALUE"""),1.0)</f>
        <v>1</v>
      </c>
      <c r="O5141" s="4" t="str">
        <f>IFERROR(__xludf.DUMMYFUNCTION("""COMPUTED_VALUE"""),"null")</f>
        <v>null</v>
      </c>
      <c r="P5141" s="33">
        <f>IFERROR(__xludf.DUMMYFUNCTION("""COMPUTED_VALUE"""),1.0)</f>
        <v>1</v>
      </c>
      <c r="Q5141" s="4" t="str">
        <f>IFERROR(__xludf.DUMMYFUNCTION("""COMPUTED_VALUE"""),"null")</f>
        <v>null</v>
      </c>
      <c r="R5141" s="33">
        <f>IFERROR(__xludf.DUMMYFUNCTION("""COMPUTED_VALUE"""),1.0)</f>
        <v>1</v>
      </c>
      <c r="S5141" s="4" t="str">
        <f>IFERROR(__xludf.DUMMYFUNCTION("""COMPUTED_VALUE"""),"null")</f>
        <v>null</v>
      </c>
      <c r="T5141" s="33">
        <f>IFERROR(__xludf.DUMMYFUNCTION("""COMPUTED_VALUE"""),1.0)</f>
        <v>1</v>
      </c>
      <c r="U5141" s="4" t="str">
        <f>IFERROR(__xludf.DUMMYFUNCTION("""COMPUTED_VALUE"""),"null")</f>
        <v>null</v>
      </c>
      <c r="V5141" s="33">
        <f>IFERROR(__xludf.DUMMYFUNCTION("""COMPUTED_VALUE"""),1.0)</f>
        <v>1</v>
      </c>
      <c r="W5141" s="4" t="str">
        <f>IFERROR(__xludf.DUMMYFUNCTION("""COMPUTED_VALUE"""),"null")</f>
        <v>null</v>
      </c>
      <c r="X5141" s="33">
        <f>IFERROR(__xludf.DUMMYFUNCTION("""COMPUTED_VALUE"""),1.0)</f>
        <v>1</v>
      </c>
    </row>
    <row r="5142">
      <c r="K5142" s="4" t="str">
        <f>IFERROR(__xludf.DUMMYFUNCTION("""COMPUTED_VALUE"""),"FARMACIA NAZARE")</f>
        <v>FARMACIA NAZARE</v>
      </c>
      <c r="L5142" s="32">
        <f>IFERROR(__xludf.DUMMYFUNCTION("""COMPUTED_VALUE"""),2.0)</f>
        <v>2</v>
      </c>
      <c r="M5142" s="4" t="str">
        <f>IFERROR(__xludf.DUMMYFUNCTION("""COMPUTED_VALUE"""),"N/A (Not found)")</f>
        <v>N/A (Not found)</v>
      </c>
      <c r="N5142" s="33">
        <f>IFERROR(__xludf.DUMMYFUNCTION("""COMPUTED_VALUE"""),1.0)</f>
        <v>1</v>
      </c>
      <c r="O5142" s="4" t="str">
        <f>IFERROR(__xludf.DUMMYFUNCTION("""COMPUTED_VALUE"""),"N/A (Not found)")</f>
        <v>N/A (Not found)</v>
      </c>
      <c r="P5142" s="33">
        <f>IFERROR(__xludf.DUMMYFUNCTION("""COMPUTED_VALUE"""),1.0)</f>
        <v>1</v>
      </c>
      <c r="Q5142" s="4" t="str">
        <f>IFERROR(__xludf.DUMMYFUNCTION("""COMPUTED_VALUE"""),"N/A (Not found)")</f>
        <v>N/A (Not found)</v>
      </c>
      <c r="R5142" s="33">
        <f>IFERROR(__xludf.DUMMYFUNCTION("""COMPUTED_VALUE"""),1.0)</f>
        <v>1</v>
      </c>
      <c r="S5142" s="4" t="str">
        <f>IFERROR(__xludf.DUMMYFUNCTION("""COMPUTED_VALUE"""),"N/A (Not found)")</f>
        <v>N/A (Not found)</v>
      </c>
      <c r="T5142" s="33">
        <f>IFERROR(__xludf.DUMMYFUNCTION("""COMPUTED_VALUE"""),0.5)</f>
        <v>0.5</v>
      </c>
      <c r="U5142" s="4" t="str">
        <f>IFERROR(__xludf.DUMMYFUNCTION("""COMPUTED_VALUE"""),"N/A (Not found)")</f>
        <v>N/A (Not found)</v>
      </c>
      <c r="V5142" s="33">
        <f>IFERROR(__xludf.DUMMYFUNCTION("""COMPUTED_VALUE"""),0.5)</f>
        <v>0.5</v>
      </c>
      <c r="W5142" s="4" t="str">
        <f>IFERROR(__xludf.DUMMYFUNCTION("""COMPUTED_VALUE"""),"N/A (Not found)")</f>
        <v>N/A (Not found)</v>
      </c>
      <c r="X5142" s="33">
        <f>IFERROR(__xludf.DUMMYFUNCTION("""COMPUTED_VALUE"""),0.5)</f>
        <v>0.5</v>
      </c>
    </row>
    <row r="5143">
      <c r="K5143" s="4" t="str">
        <f>IFERROR(__xludf.DUMMYFUNCTION("""COMPUTED_VALUE"""),"KALE KEBAB")</f>
        <v>KALE KEBAB</v>
      </c>
      <c r="L5143" s="32">
        <f>IFERROR(__xludf.DUMMYFUNCTION("""COMPUTED_VALUE"""),2.0)</f>
        <v>2</v>
      </c>
      <c r="M5143" s="4" t="str">
        <f>IFERROR(__xludf.DUMMYFUNCTION("""COMPUTED_VALUE"""),"Bitbar")</f>
        <v>Bitbar</v>
      </c>
      <c r="N5143" s="33">
        <f>IFERROR(__xludf.DUMMYFUNCTION("""COMPUTED_VALUE"""),1.0)</f>
        <v>1</v>
      </c>
      <c r="O5143" s="4" t="str">
        <f>IFERROR(__xludf.DUMMYFUNCTION("""COMPUTED_VALUE"""),"Bitbar")</f>
        <v>Bitbar</v>
      </c>
      <c r="P5143" s="33">
        <f>IFERROR(__xludf.DUMMYFUNCTION("""COMPUTED_VALUE"""),1.0)</f>
        <v>1</v>
      </c>
      <c r="Q5143" s="4" t="str">
        <f>IFERROR(__xludf.DUMMYFUNCTION("""COMPUTED_VALUE"""),"Bitbar")</f>
        <v>Bitbar</v>
      </c>
      <c r="R5143" s="33">
        <f>IFERROR(__xludf.DUMMYFUNCTION("""COMPUTED_VALUE"""),1.0)</f>
        <v>1</v>
      </c>
      <c r="S5143" s="4" t="str">
        <f>IFERROR(__xludf.DUMMYFUNCTION("""COMPUTED_VALUE"""),"Bitbar")</f>
        <v>Bitbar</v>
      </c>
      <c r="T5143" s="33">
        <f>IFERROR(__xludf.DUMMYFUNCTION("""COMPUTED_VALUE"""),1.0)</f>
        <v>1</v>
      </c>
      <c r="U5143" s="4" t="str">
        <f>IFERROR(__xludf.DUMMYFUNCTION("""COMPUTED_VALUE"""),"null")</f>
        <v>null</v>
      </c>
      <c r="V5143" s="33">
        <f>IFERROR(__xludf.DUMMYFUNCTION("""COMPUTED_VALUE"""),0.5)</f>
        <v>0.5</v>
      </c>
      <c r="W5143" s="4" t="str">
        <f>IFERROR(__xludf.DUMMYFUNCTION("""COMPUTED_VALUE"""),"Bitbar")</f>
        <v>Bitbar</v>
      </c>
      <c r="X5143" s="33">
        <f>IFERROR(__xludf.DUMMYFUNCTION("""COMPUTED_VALUE"""),1.0)</f>
        <v>1</v>
      </c>
    </row>
    <row r="5144">
      <c r="K5144" s="4" t="str">
        <f>IFERROR(__xludf.DUMMYFUNCTION("""COMPUTED_VALUE"""),"CASA GELADA")</f>
        <v>CASA GELADA</v>
      </c>
      <c r="L5144" s="32">
        <f>IFERROR(__xludf.DUMMYFUNCTION("""COMPUTED_VALUE"""),2.0)</f>
        <v>2</v>
      </c>
      <c r="M5144" s="4" t="str">
        <f>IFERROR(__xludf.DUMMYFUNCTION("""COMPUTED_VALUE"""),"null")</f>
        <v>null</v>
      </c>
      <c r="N5144" s="33">
        <f>IFERROR(__xludf.DUMMYFUNCTION("""COMPUTED_VALUE"""),0.5)</f>
        <v>0.5</v>
      </c>
      <c r="O5144" s="4" t="str">
        <f>IFERROR(__xludf.DUMMYFUNCTION("""COMPUTED_VALUE"""),"null")</f>
        <v>null</v>
      </c>
      <c r="P5144" s="33">
        <f>IFERROR(__xludf.DUMMYFUNCTION("""COMPUTED_VALUE"""),0.5)</f>
        <v>0.5</v>
      </c>
      <c r="Q5144" s="4" t="str">
        <f>IFERROR(__xludf.DUMMYFUNCTION("""COMPUTED_VALUE"""),"null")</f>
        <v>null</v>
      </c>
      <c r="R5144" s="33">
        <f>IFERROR(__xludf.DUMMYFUNCTION("""COMPUTED_VALUE"""),0.5)</f>
        <v>0.5</v>
      </c>
      <c r="S5144" s="4" t="str">
        <f>IFERROR(__xludf.DUMMYFUNCTION("""COMPUTED_VALUE"""),"Cardápio Web")</f>
        <v>Cardápio Web</v>
      </c>
      <c r="T5144" s="33">
        <f>IFERROR(__xludf.DUMMYFUNCTION("""COMPUTED_VALUE"""),0.5)</f>
        <v>0.5</v>
      </c>
      <c r="U5144" s="4" t="str">
        <f>IFERROR(__xludf.DUMMYFUNCTION("""COMPUTED_VALUE"""),"Cardápio Web")</f>
        <v>Cardápio Web</v>
      </c>
      <c r="V5144" s="33">
        <f>IFERROR(__xludf.DUMMYFUNCTION("""COMPUTED_VALUE"""),0.5)</f>
        <v>0.5</v>
      </c>
      <c r="W5144" s="4" t="str">
        <f>IFERROR(__xludf.DUMMYFUNCTION("""COMPUTED_VALUE"""),"Cardápio Web")</f>
        <v>Cardápio Web</v>
      </c>
      <c r="X5144" s="33">
        <f>IFERROR(__xludf.DUMMYFUNCTION("""COMPUTED_VALUE"""),0.5)</f>
        <v>0.5</v>
      </c>
    </row>
    <row r="5145">
      <c r="K5145" s="4" t="str">
        <f>IFERROR(__xludf.DUMMYFUNCTION("""COMPUTED_VALUE"""),"JOHNS PIZZA")</f>
        <v>JOHNS PIZZA</v>
      </c>
      <c r="L5145" s="32">
        <f>IFERROR(__xludf.DUMMYFUNCTION("""COMPUTED_VALUE"""),2.0)</f>
        <v>2</v>
      </c>
      <c r="M5145" s="4" t="str">
        <f>IFERROR(__xludf.DUMMYFUNCTION("""COMPUTED_VALUE"""),"null")</f>
        <v>null</v>
      </c>
      <c r="N5145" s="33">
        <f>IFERROR(__xludf.DUMMYFUNCTION("""COMPUTED_VALUE"""),0.5)</f>
        <v>0.5</v>
      </c>
      <c r="O5145" s="4" t="str">
        <f>IFERROR(__xludf.DUMMYFUNCTION("""COMPUTED_VALUE"""),"null")</f>
        <v>null</v>
      </c>
      <c r="P5145" s="33">
        <f>IFERROR(__xludf.DUMMYFUNCTION("""COMPUTED_VALUE"""),1.0)</f>
        <v>1</v>
      </c>
      <c r="Q5145" s="4" t="str">
        <f>IFERROR(__xludf.DUMMYFUNCTION("""COMPUTED_VALUE"""),"Agilizup Solucoes Ltda")</f>
        <v>Agilizup Solucoes Ltda</v>
      </c>
      <c r="R5145" s="33">
        <f>IFERROR(__xludf.DUMMYFUNCTION("""COMPUTED_VALUE"""),0.5)</f>
        <v>0.5</v>
      </c>
      <c r="S5145" s="4" t="str">
        <f>IFERROR(__xludf.DUMMYFUNCTION("""COMPUTED_VALUE"""),"null")</f>
        <v>null</v>
      </c>
      <c r="T5145" s="33">
        <f>IFERROR(__xludf.DUMMYFUNCTION("""COMPUTED_VALUE"""),0.5)</f>
        <v>0.5</v>
      </c>
      <c r="U5145" s="4" t="str">
        <f>IFERROR(__xludf.DUMMYFUNCTION("""COMPUTED_VALUE"""),"null")</f>
        <v>null</v>
      </c>
      <c r="V5145" s="33">
        <f>IFERROR(__xludf.DUMMYFUNCTION("""COMPUTED_VALUE"""),0.5)</f>
        <v>0.5</v>
      </c>
      <c r="W5145" s="4" t="str">
        <f>IFERROR(__xludf.DUMMYFUNCTION("""COMPUTED_VALUE"""),"null")</f>
        <v>null</v>
      </c>
      <c r="X5145" s="33">
        <f>IFERROR(__xludf.DUMMYFUNCTION("""COMPUTED_VALUE"""),0.5)</f>
        <v>0.5</v>
      </c>
    </row>
    <row r="5146">
      <c r="K5146" s="4" t="str">
        <f>IFERROR(__xludf.DUMMYFUNCTION("""COMPUTED_VALUE"""),"DELICIAS DA DEBORA")</f>
        <v>DELICIAS DA DEBORA</v>
      </c>
      <c r="L5146" s="32">
        <f>IFERROR(__xludf.DUMMYFUNCTION("""COMPUTED_VALUE"""),2.0)</f>
        <v>2</v>
      </c>
      <c r="M5146" s="4" t="str">
        <f>IFERROR(__xludf.DUMMYFUNCTION("""COMPUTED_VALUE"""),"Yooga")</f>
        <v>Yooga</v>
      </c>
      <c r="N5146" s="33">
        <f>IFERROR(__xludf.DUMMYFUNCTION("""COMPUTED_VALUE"""),0.5)</f>
        <v>0.5</v>
      </c>
      <c r="O5146" s="4" t="str">
        <f>IFERROR(__xludf.DUMMYFUNCTION("""COMPUTED_VALUE"""),"Yooga")</f>
        <v>Yooga</v>
      </c>
      <c r="P5146" s="33">
        <f>IFERROR(__xludf.DUMMYFUNCTION("""COMPUTED_VALUE"""),0.5)</f>
        <v>0.5</v>
      </c>
      <c r="Q5146" s="4" t="str">
        <f>IFERROR(__xludf.DUMMYFUNCTION("""COMPUTED_VALUE"""),"Yooga")</f>
        <v>Yooga</v>
      </c>
      <c r="R5146" s="33">
        <f>IFERROR(__xludf.DUMMYFUNCTION("""COMPUTED_VALUE"""),0.5)</f>
        <v>0.5</v>
      </c>
      <c r="S5146" s="4" t="str">
        <f>IFERROR(__xludf.DUMMYFUNCTION("""COMPUTED_VALUE"""),"Yooga")</f>
        <v>Yooga</v>
      </c>
      <c r="T5146" s="33">
        <f>IFERROR(__xludf.DUMMYFUNCTION("""COMPUTED_VALUE"""),0.5)</f>
        <v>0.5</v>
      </c>
      <c r="U5146" s="4" t="str">
        <f>IFERROR(__xludf.DUMMYFUNCTION("""COMPUTED_VALUE"""),"Yooga")</f>
        <v>Yooga</v>
      </c>
      <c r="V5146" s="33">
        <f>IFERROR(__xludf.DUMMYFUNCTION("""COMPUTED_VALUE"""),0.5)</f>
        <v>0.5</v>
      </c>
      <c r="W5146" s="4" t="str">
        <f>IFERROR(__xludf.DUMMYFUNCTION("""COMPUTED_VALUE"""),"Yooga")</f>
        <v>Yooga</v>
      </c>
      <c r="X5146" s="33">
        <f>IFERROR(__xludf.DUMMYFUNCTION("""COMPUTED_VALUE"""),0.5)</f>
        <v>0.5</v>
      </c>
    </row>
    <row r="5147">
      <c r="K5147" s="4" t="str">
        <f>IFERROR(__xludf.DUMMYFUNCTION("""COMPUTED_VALUE"""),"BOVINOS HAMBURGUERIA")</f>
        <v>BOVINOS HAMBURGUERIA</v>
      </c>
      <c r="L5147" s="32">
        <f>IFERROR(__xludf.DUMMYFUNCTION("""COMPUTED_VALUE"""),2.0)</f>
        <v>2</v>
      </c>
      <c r="M5147" s="4" t="str">
        <f>IFERROR(__xludf.DUMMYFUNCTION("""COMPUTED_VALUE"""),"Consumer Soluções Em Tecnologia Ltda")</f>
        <v>Consumer Soluções Em Tecnologia Ltda</v>
      </c>
      <c r="N5147" s="33">
        <f>IFERROR(__xludf.DUMMYFUNCTION("""COMPUTED_VALUE"""),0.5)</f>
        <v>0.5</v>
      </c>
      <c r="O5147" s="4" t="str">
        <f>IFERROR(__xludf.DUMMYFUNCTION("""COMPUTED_VALUE"""),"Consumer Soluções Em Tecnologia Ltda")</f>
        <v>Consumer Soluções Em Tecnologia Ltda</v>
      </c>
      <c r="P5147" s="33">
        <f>IFERROR(__xludf.DUMMYFUNCTION("""COMPUTED_VALUE"""),0.5)</f>
        <v>0.5</v>
      </c>
      <c r="Q5147" s="4" t="str">
        <f>IFERROR(__xludf.DUMMYFUNCTION("""COMPUTED_VALUE"""),"Consumer Soluções Em Tecnologia Ltda")</f>
        <v>Consumer Soluções Em Tecnologia Ltda</v>
      </c>
      <c r="R5147" s="33">
        <f>IFERROR(__xludf.DUMMYFUNCTION("""COMPUTED_VALUE"""),0.5)</f>
        <v>0.5</v>
      </c>
      <c r="S5147" s="4" t="str">
        <f>IFERROR(__xludf.DUMMYFUNCTION("""COMPUTED_VALUE"""),"Consumer Soluções Em Tecnologia Ltda")</f>
        <v>Consumer Soluções Em Tecnologia Ltda</v>
      </c>
      <c r="T5147" s="33">
        <f>IFERROR(__xludf.DUMMYFUNCTION("""COMPUTED_VALUE"""),0.5)</f>
        <v>0.5</v>
      </c>
      <c r="U5147" s="4" t="str">
        <f>IFERROR(__xludf.DUMMYFUNCTION("""COMPUTED_VALUE"""),"Consumer Soluções Em Tecnologia Ltda")</f>
        <v>Consumer Soluções Em Tecnologia Ltda</v>
      </c>
      <c r="V5147" s="33">
        <f>IFERROR(__xludf.DUMMYFUNCTION("""COMPUTED_VALUE"""),0.5)</f>
        <v>0.5</v>
      </c>
      <c r="W5147" s="4" t="str">
        <f>IFERROR(__xludf.DUMMYFUNCTION("""COMPUTED_VALUE"""),"null")</f>
        <v>null</v>
      </c>
      <c r="X5147" s="33">
        <f>IFERROR(__xludf.DUMMYFUNCTION("""COMPUTED_VALUE"""),0.5)</f>
        <v>0.5</v>
      </c>
    </row>
    <row r="5148">
      <c r="K5148" s="4" t="str">
        <f>IFERROR(__xludf.DUMMYFUNCTION("""COMPUTED_VALUE"""),"RESTAURANTE TEMPO")</f>
        <v>RESTAURANTE TEMPO</v>
      </c>
      <c r="L5148" s="32">
        <f>IFERROR(__xludf.DUMMYFUNCTION("""COMPUTED_VALUE"""),2.0)</f>
        <v>2</v>
      </c>
      <c r="M5148" s="4" t="str">
        <f>IFERROR(__xludf.DUMMYFUNCTION("""COMPUTED_VALUE"""),"Cardápio Web")</f>
        <v>Cardápio Web</v>
      </c>
      <c r="N5148" s="33">
        <f>IFERROR(__xludf.DUMMYFUNCTION("""COMPUTED_VALUE"""),0.5)</f>
        <v>0.5</v>
      </c>
      <c r="O5148" s="4" t="str">
        <f>IFERROR(__xludf.DUMMYFUNCTION("""COMPUTED_VALUE"""),"Cardápio Web")</f>
        <v>Cardápio Web</v>
      </c>
      <c r="P5148" s="33">
        <f>IFERROR(__xludf.DUMMYFUNCTION("""COMPUTED_VALUE"""),0.5)</f>
        <v>0.5</v>
      </c>
      <c r="Q5148" s="4" t="str">
        <f>IFERROR(__xludf.DUMMYFUNCTION("""COMPUTED_VALUE"""),"Cardápio Web")</f>
        <v>Cardápio Web</v>
      </c>
      <c r="R5148" s="33">
        <f>IFERROR(__xludf.DUMMYFUNCTION("""COMPUTED_VALUE"""),1.0)</f>
        <v>1</v>
      </c>
      <c r="S5148" s="4" t="str">
        <f>IFERROR(__xludf.DUMMYFUNCTION("""COMPUTED_VALUE"""),"Cardápio Web")</f>
        <v>Cardápio Web</v>
      </c>
      <c r="T5148" s="33">
        <f>IFERROR(__xludf.DUMMYFUNCTION("""COMPUTED_VALUE"""),1.0)</f>
        <v>1</v>
      </c>
      <c r="U5148" s="4" t="str">
        <f>IFERROR(__xludf.DUMMYFUNCTION("""COMPUTED_VALUE"""),"Cardápio Web")</f>
        <v>Cardápio Web</v>
      </c>
      <c r="V5148" s="33">
        <f>IFERROR(__xludf.DUMMYFUNCTION("""COMPUTED_VALUE"""),1.0)</f>
        <v>1</v>
      </c>
      <c r="W5148" s="4" t="str">
        <f>IFERROR(__xludf.DUMMYFUNCTION("""COMPUTED_VALUE"""),"Cardápio Web")</f>
        <v>Cardápio Web</v>
      </c>
      <c r="X5148" s="33">
        <f>IFERROR(__xludf.DUMMYFUNCTION("""COMPUTED_VALUE"""),1.0)</f>
        <v>1</v>
      </c>
    </row>
    <row r="5149">
      <c r="K5149" s="4" t="str">
        <f>IFERROR(__xludf.DUMMYFUNCTION("""COMPUTED_VALUE"""),"REI DA COSTELA")</f>
        <v>REI DA COSTELA</v>
      </c>
      <c r="L5149" s="32">
        <f>IFERROR(__xludf.DUMMYFUNCTION("""COMPUTED_VALUE"""),2.0)</f>
        <v>2</v>
      </c>
      <c r="M5149" s="4" t="str">
        <f>IFERROR(__xludf.DUMMYFUNCTION("""COMPUTED_VALUE"""),"null")</f>
        <v>null</v>
      </c>
      <c r="N5149" s="33">
        <f>IFERROR(__xludf.DUMMYFUNCTION("""COMPUTED_VALUE"""),0.5)</f>
        <v>0.5</v>
      </c>
      <c r="O5149" s="4" t="str">
        <f>IFERROR(__xludf.DUMMYFUNCTION("""COMPUTED_VALUE"""),"null")</f>
        <v>null</v>
      </c>
      <c r="P5149" s="33">
        <f>IFERROR(__xludf.DUMMYFUNCTION("""COMPUTED_VALUE"""),0.5)</f>
        <v>0.5</v>
      </c>
      <c r="Q5149" s="4" t="str">
        <f>IFERROR(__xludf.DUMMYFUNCTION("""COMPUTED_VALUE"""),"Instadelivery")</f>
        <v>Instadelivery</v>
      </c>
      <c r="R5149" s="33">
        <f>IFERROR(__xludf.DUMMYFUNCTION("""COMPUTED_VALUE"""),0.5)</f>
        <v>0.5</v>
      </c>
      <c r="S5149" s="4" t="str">
        <f>IFERROR(__xludf.DUMMYFUNCTION("""COMPUTED_VALUE"""),"Instadelivery")</f>
        <v>Instadelivery</v>
      </c>
      <c r="T5149" s="33">
        <f>IFERROR(__xludf.DUMMYFUNCTION("""COMPUTED_VALUE"""),0.5)</f>
        <v>0.5</v>
      </c>
      <c r="U5149" s="4" t="str">
        <f>IFERROR(__xludf.DUMMYFUNCTION("""COMPUTED_VALUE"""),"null")</f>
        <v>null</v>
      </c>
      <c r="V5149" s="33">
        <f>IFERROR(__xludf.DUMMYFUNCTION("""COMPUTED_VALUE"""),1.0)</f>
        <v>1</v>
      </c>
      <c r="W5149" s="4" t="str">
        <f>IFERROR(__xludf.DUMMYFUNCTION("""COMPUTED_VALUE"""),"null")</f>
        <v>null</v>
      </c>
      <c r="X5149" s="33">
        <f>IFERROR(__xludf.DUMMYFUNCTION("""COMPUTED_VALUE"""),1.0)</f>
        <v>1</v>
      </c>
    </row>
    <row r="5150">
      <c r="K5150" s="4" t="str">
        <f>IFERROR(__xludf.DUMMYFUNCTION("""COMPUTED_VALUE"""),"CANTO DO ACAI")</f>
        <v>CANTO DO ACAI</v>
      </c>
      <c r="L5150" s="32">
        <f>IFERROR(__xludf.DUMMYFUNCTION("""COMPUTED_VALUE"""),2.0)</f>
        <v>2</v>
      </c>
      <c r="M5150" s="4" t="str">
        <f>IFERROR(__xludf.DUMMYFUNCTION("""COMPUTED_VALUE"""),"Vekttor")</f>
        <v>Vekttor</v>
      </c>
      <c r="N5150" s="33">
        <f>IFERROR(__xludf.DUMMYFUNCTION("""COMPUTED_VALUE"""),0.5)</f>
        <v>0.5</v>
      </c>
      <c r="O5150" s="4" t="str">
        <f>IFERROR(__xludf.DUMMYFUNCTION("""COMPUTED_VALUE"""),"Vekttor")</f>
        <v>Vekttor</v>
      </c>
      <c r="P5150" s="33">
        <f>IFERROR(__xludf.DUMMYFUNCTION("""COMPUTED_VALUE"""),0.5)</f>
        <v>0.5</v>
      </c>
      <c r="Q5150" s="4" t="str">
        <f>IFERROR(__xludf.DUMMYFUNCTION("""COMPUTED_VALUE"""),"Vekttor")</f>
        <v>Vekttor</v>
      </c>
      <c r="R5150" s="33">
        <f>IFERROR(__xludf.DUMMYFUNCTION("""COMPUTED_VALUE"""),0.5)</f>
        <v>0.5</v>
      </c>
      <c r="S5150" s="4" t="str">
        <f>IFERROR(__xludf.DUMMYFUNCTION("""COMPUTED_VALUE"""),"Vekttor")</f>
        <v>Vekttor</v>
      </c>
      <c r="T5150" s="33">
        <f>IFERROR(__xludf.DUMMYFUNCTION("""COMPUTED_VALUE"""),0.5)</f>
        <v>0.5</v>
      </c>
      <c r="U5150" s="4" t="str">
        <f>IFERROR(__xludf.DUMMYFUNCTION("""COMPUTED_VALUE"""),"Vekttor")</f>
        <v>Vekttor</v>
      </c>
      <c r="V5150" s="33">
        <f>IFERROR(__xludf.DUMMYFUNCTION("""COMPUTED_VALUE"""),0.5)</f>
        <v>0.5</v>
      </c>
      <c r="W5150" s="4" t="str">
        <f>IFERROR(__xludf.DUMMYFUNCTION("""COMPUTED_VALUE"""),"Vekttor")</f>
        <v>Vekttor</v>
      </c>
      <c r="X5150" s="33">
        <f>IFERROR(__xludf.DUMMYFUNCTION("""COMPUTED_VALUE"""),0.5)</f>
        <v>0.5</v>
      </c>
    </row>
    <row r="5151">
      <c r="K5151" s="4" t="str">
        <f>IFERROR(__xludf.DUMMYFUNCTION("""COMPUTED_VALUE"""),"HOJE PODE - DOCES ARTESANAIS")</f>
        <v>HOJE PODE - DOCES ARTESANAIS</v>
      </c>
      <c r="L5151" s="32">
        <f>IFERROR(__xludf.DUMMYFUNCTION("""COMPUTED_VALUE"""),2.0)</f>
        <v>2</v>
      </c>
      <c r="M5151" s="4" t="str">
        <f>IFERROR(__xludf.DUMMYFUNCTION("""COMPUTED_VALUE"""),"null")</f>
        <v>null</v>
      </c>
      <c r="N5151" s="33">
        <f>IFERROR(__xludf.DUMMYFUNCTION("""COMPUTED_VALUE"""),0.5)</f>
        <v>0.5</v>
      </c>
      <c r="O5151" s="4" t="str">
        <f>IFERROR(__xludf.DUMMYFUNCTION("""COMPUTED_VALUE"""),"Instadelivery")</f>
        <v>Instadelivery</v>
      </c>
      <c r="P5151" s="33">
        <f>IFERROR(__xludf.DUMMYFUNCTION("""COMPUTED_VALUE"""),1.0)</f>
        <v>1</v>
      </c>
      <c r="Q5151" s="4" t="str">
        <f>IFERROR(__xludf.DUMMYFUNCTION("""COMPUTED_VALUE"""),"null")</f>
        <v>null</v>
      </c>
      <c r="R5151" s="33">
        <f>IFERROR(__xludf.DUMMYFUNCTION("""COMPUTED_VALUE"""),0.5)</f>
        <v>0.5</v>
      </c>
      <c r="S5151" s="4" t="str">
        <f>IFERROR(__xludf.DUMMYFUNCTION("""COMPUTED_VALUE"""),"null")</f>
        <v>null</v>
      </c>
      <c r="T5151" s="33">
        <f>IFERROR(__xludf.DUMMYFUNCTION("""COMPUTED_VALUE"""),0.5)</f>
        <v>0.5</v>
      </c>
      <c r="U5151" s="4" t="str">
        <f>IFERROR(__xludf.DUMMYFUNCTION("""COMPUTED_VALUE"""),"null")</f>
        <v>null</v>
      </c>
      <c r="V5151" s="33">
        <f>IFERROR(__xludf.DUMMYFUNCTION("""COMPUTED_VALUE"""),0.5)</f>
        <v>0.5</v>
      </c>
      <c r="W5151" s="4" t="str">
        <f>IFERROR(__xludf.DUMMYFUNCTION("""COMPUTED_VALUE"""),"null")</f>
        <v>null</v>
      </c>
      <c r="X5151" s="33">
        <f>IFERROR(__xludf.DUMMYFUNCTION("""COMPUTED_VALUE"""),0.5)</f>
        <v>0.5</v>
      </c>
    </row>
    <row r="5152">
      <c r="K5152" s="4" t="str">
        <f>IFERROR(__xludf.DUMMYFUNCTION("""COMPUTED_VALUE"""),"BETOS RESTAURANTE")</f>
        <v>BETOS RESTAURANTE</v>
      </c>
      <c r="L5152" s="32">
        <f>IFERROR(__xludf.DUMMYFUNCTION("""COMPUTED_VALUE"""),2.0)</f>
        <v>2</v>
      </c>
      <c r="M5152" s="4" t="str">
        <f>IFERROR(__xludf.DUMMYFUNCTION("""COMPUTED_VALUE"""),"null")</f>
        <v>null</v>
      </c>
      <c r="N5152" s="33">
        <f>IFERROR(__xludf.DUMMYFUNCTION("""COMPUTED_VALUE"""),0.5)</f>
        <v>0.5</v>
      </c>
      <c r="O5152" s="4" t="str">
        <f>IFERROR(__xludf.DUMMYFUNCTION("""COMPUTED_VALUE"""),"null")</f>
        <v>null</v>
      </c>
      <c r="P5152" s="33">
        <f>IFERROR(__xludf.DUMMYFUNCTION("""COMPUTED_VALUE"""),0.5)</f>
        <v>0.5</v>
      </c>
      <c r="Q5152" s="4" t="str">
        <f>IFERROR(__xludf.DUMMYFUNCTION("""COMPUTED_VALUE"""),"null")</f>
        <v>null</v>
      </c>
      <c r="R5152" s="33">
        <f>IFERROR(__xludf.DUMMYFUNCTION("""COMPUTED_VALUE"""),0.5)</f>
        <v>0.5</v>
      </c>
      <c r="S5152" s="4" t="str">
        <f>IFERROR(__xludf.DUMMYFUNCTION("""COMPUTED_VALUE"""),"null")</f>
        <v>null</v>
      </c>
      <c r="T5152" s="33">
        <f>IFERROR(__xludf.DUMMYFUNCTION("""COMPUTED_VALUE"""),0.5)</f>
        <v>0.5</v>
      </c>
      <c r="U5152" s="4" t="str">
        <f>IFERROR(__xludf.DUMMYFUNCTION("""COMPUTED_VALUE"""),"null")</f>
        <v>null</v>
      </c>
      <c r="V5152" s="33">
        <f>IFERROR(__xludf.DUMMYFUNCTION("""COMPUTED_VALUE"""),0.5)</f>
        <v>0.5</v>
      </c>
      <c r="W5152" s="4" t="str">
        <f>IFERROR(__xludf.DUMMYFUNCTION("""COMPUTED_VALUE"""),"Cardápio Web")</f>
        <v>Cardápio Web</v>
      </c>
      <c r="X5152" s="33">
        <f>IFERROR(__xludf.DUMMYFUNCTION("""COMPUTED_VALUE"""),0.5)</f>
        <v>0.5</v>
      </c>
    </row>
    <row r="5153">
      <c r="K5153" s="4" t="str">
        <f>IFERROR(__xludf.DUMMYFUNCTION("""COMPUTED_VALUE"""),"PIZZARIA PIZZO")</f>
        <v>PIZZARIA PIZZO</v>
      </c>
      <c r="L5153" s="32">
        <f>IFERROR(__xludf.DUMMYFUNCTION("""COMPUTED_VALUE"""),2.0)</f>
        <v>2</v>
      </c>
      <c r="M5153" s="4" t="str">
        <f>IFERROR(__xludf.DUMMYFUNCTION("""COMPUTED_VALUE"""),"null")</f>
        <v>null</v>
      </c>
      <c r="N5153" s="33">
        <f>IFERROR(__xludf.DUMMYFUNCTION("""COMPUTED_VALUE"""),1.0)</f>
        <v>1</v>
      </c>
      <c r="O5153" s="4" t="str">
        <f>IFERROR(__xludf.DUMMYFUNCTION("""COMPUTED_VALUE"""),"null")</f>
        <v>null</v>
      </c>
      <c r="P5153" s="33">
        <f>IFERROR(__xludf.DUMMYFUNCTION("""COMPUTED_VALUE"""),1.0)</f>
        <v>1</v>
      </c>
      <c r="Q5153" s="4" t="str">
        <f>IFERROR(__xludf.DUMMYFUNCTION("""COMPUTED_VALUE"""),"Netcontroll Xmenu")</f>
        <v>Netcontroll Xmenu</v>
      </c>
      <c r="R5153" s="33">
        <f>IFERROR(__xludf.DUMMYFUNCTION("""COMPUTED_VALUE"""),0.5)</f>
        <v>0.5</v>
      </c>
      <c r="S5153" s="4" t="str">
        <f>IFERROR(__xludf.DUMMYFUNCTION("""COMPUTED_VALUE"""),"Netcontroll Xmenu")</f>
        <v>Netcontroll Xmenu</v>
      </c>
      <c r="T5153" s="33">
        <f>IFERROR(__xludf.DUMMYFUNCTION("""COMPUTED_VALUE"""),0.5)</f>
        <v>0.5</v>
      </c>
      <c r="U5153" s="4" t="str">
        <f>IFERROR(__xludf.DUMMYFUNCTION("""COMPUTED_VALUE"""),"Netcontroll Xmenu")</f>
        <v>Netcontroll Xmenu</v>
      </c>
      <c r="V5153" s="33">
        <f>IFERROR(__xludf.DUMMYFUNCTION("""COMPUTED_VALUE"""),0.5)</f>
        <v>0.5</v>
      </c>
      <c r="W5153" s="4" t="str">
        <f>IFERROR(__xludf.DUMMYFUNCTION("""COMPUTED_VALUE"""),"Netcontroll Xmenu")</f>
        <v>Netcontroll Xmenu</v>
      </c>
      <c r="X5153" s="33">
        <f>IFERROR(__xludf.DUMMYFUNCTION("""COMPUTED_VALUE"""),0.5)</f>
        <v>0.5</v>
      </c>
    </row>
    <row r="5154">
      <c r="K5154" s="4" t="str">
        <f>IFERROR(__xludf.DUMMYFUNCTION("""COMPUTED_VALUE"""),"PIZZA DE LUXO")</f>
        <v>PIZZA DE LUXO</v>
      </c>
      <c r="L5154" s="32">
        <f>IFERROR(__xludf.DUMMYFUNCTION("""COMPUTED_VALUE"""),2.0)</f>
        <v>2</v>
      </c>
      <c r="M5154" s="4" t="str">
        <f>IFERROR(__xludf.DUMMYFUNCTION("""COMPUTED_VALUE"""),"Mp Multipedidos")</f>
        <v>Mp Multipedidos</v>
      </c>
      <c r="N5154" s="33">
        <f>IFERROR(__xludf.DUMMYFUNCTION("""COMPUTED_VALUE"""),1.0)</f>
        <v>1</v>
      </c>
      <c r="O5154" s="4" t="str">
        <f>IFERROR(__xludf.DUMMYFUNCTION("""COMPUTED_VALUE"""),"Mp Multipedidos")</f>
        <v>Mp Multipedidos</v>
      </c>
      <c r="P5154" s="33">
        <f>IFERROR(__xludf.DUMMYFUNCTION("""COMPUTED_VALUE"""),1.0)</f>
        <v>1</v>
      </c>
      <c r="Q5154" s="4" t="str">
        <f>IFERROR(__xludf.DUMMYFUNCTION("""COMPUTED_VALUE"""),"Mp Multipedidos")</f>
        <v>Mp Multipedidos</v>
      </c>
      <c r="R5154" s="33">
        <f>IFERROR(__xludf.DUMMYFUNCTION("""COMPUTED_VALUE"""),1.0)</f>
        <v>1</v>
      </c>
      <c r="S5154" s="4" t="str">
        <f>IFERROR(__xludf.DUMMYFUNCTION("""COMPUTED_VALUE"""),"Mp Multipedidos")</f>
        <v>Mp Multipedidos</v>
      </c>
      <c r="T5154" s="33">
        <f>IFERROR(__xludf.DUMMYFUNCTION("""COMPUTED_VALUE"""),1.0)</f>
        <v>1</v>
      </c>
      <c r="U5154" s="4" t="str">
        <f>IFERROR(__xludf.DUMMYFUNCTION("""COMPUTED_VALUE"""),"null")</f>
        <v>null</v>
      </c>
      <c r="V5154" s="33">
        <f>IFERROR(__xludf.DUMMYFUNCTION("""COMPUTED_VALUE"""),0.5)</f>
        <v>0.5</v>
      </c>
      <c r="W5154" s="4" t="str">
        <f>IFERROR(__xludf.DUMMYFUNCTION("""COMPUTED_VALUE"""),"null")</f>
        <v>null</v>
      </c>
      <c r="X5154" s="33">
        <f>IFERROR(__xludf.DUMMYFUNCTION("""COMPUTED_VALUE"""),0.5)</f>
        <v>0.5</v>
      </c>
    </row>
    <row r="5155">
      <c r="K5155" s="4" t="str">
        <f>IFERROR(__xludf.DUMMYFUNCTION("""COMPUTED_VALUE"""),"ACAI KIDELICIA")</f>
        <v>ACAI KIDELICIA</v>
      </c>
      <c r="L5155" s="32">
        <f>IFERROR(__xludf.DUMMYFUNCTION("""COMPUTED_VALUE"""),2.0)</f>
        <v>2</v>
      </c>
      <c r="M5155" s="4" t="str">
        <f>IFERROR(__xludf.DUMMYFUNCTION("""COMPUTED_VALUE"""),"Instadelivery")</f>
        <v>Instadelivery</v>
      </c>
      <c r="N5155" s="33">
        <f>IFERROR(__xludf.DUMMYFUNCTION("""COMPUTED_VALUE"""),0.5)</f>
        <v>0.5</v>
      </c>
      <c r="O5155" s="4" t="str">
        <f>IFERROR(__xludf.DUMMYFUNCTION("""COMPUTED_VALUE"""),"Instadelivery")</f>
        <v>Instadelivery</v>
      </c>
      <c r="P5155" s="33">
        <f>IFERROR(__xludf.DUMMYFUNCTION("""COMPUTED_VALUE"""),0.5)</f>
        <v>0.5</v>
      </c>
      <c r="Q5155" s="4" t="str">
        <f>IFERROR(__xludf.DUMMYFUNCTION("""COMPUTED_VALUE"""),"Instadelivery")</f>
        <v>Instadelivery</v>
      </c>
      <c r="R5155" s="33">
        <f>IFERROR(__xludf.DUMMYFUNCTION("""COMPUTED_VALUE"""),0.5)</f>
        <v>0.5</v>
      </c>
      <c r="S5155" s="4" t="str">
        <f>IFERROR(__xludf.DUMMYFUNCTION("""COMPUTED_VALUE"""),"Instadelivery")</f>
        <v>Instadelivery</v>
      </c>
      <c r="T5155" s="33">
        <f>IFERROR(__xludf.DUMMYFUNCTION("""COMPUTED_VALUE"""),0.5)</f>
        <v>0.5</v>
      </c>
      <c r="U5155" s="4" t="str">
        <f>IFERROR(__xludf.DUMMYFUNCTION("""COMPUTED_VALUE"""),"Instadelivery")</f>
        <v>Instadelivery</v>
      </c>
      <c r="V5155" s="33">
        <f>IFERROR(__xludf.DUMMYFUNCTION("""COMPUTED_VALUE"""),0.5)</f>
        <v>0.5</v>
      </c>
      <c r="W5155" s="4" t="str">
        <f>IFERROR(__xludf.DUMMYFUNCTION("""COMPUTED_VALUE"""),"Instadelivery")</f>
        <v>Instadelivery</v>
      </c>
      <c r="X5155" s="33">
        <f>IFERROR(__xludf.DUMMYFUNCTION("""COMPUTED_VALUE"""),0.5)</f>
        <v>0.5</v>
      </c>
    </row>
    <row r="5156">
      <c r="K5156" s="4" t="str">
        <f>IFERROR(__xludf.DUMMYFUNCTION("""COMPUTED_VALUE"""),"ACAI NATURE")</f>
        <v>ACAI NATURE</v>
      </c>
      <c r="L5156" s="32">
        <f>IFERROR(__xludf.DUMMYFUNCTION("""COMPUTED_VALUE"""),2.0)</f>
        <v>2</v>
      </c>
      <c r="M5156" s="4" t="str">
        <f>IFERROR(__xludf.DUMMYFUNCTION("""COMPUTED_VALUE"""),"Alloy Tecnologia")</f>
        <v>Alloy Tecnologia</v>
      </c>
      <c r="N5156" s="33">
        <f>IFERROR(__xludf.DUMMYFUNCTION("""COMPUTED_VALUE"""),0.5)</f>
        <v>0.5</v>
      </c>
      <c r="O5156" s="4" t="str">
        <f>IFERROR(__xludf.DUMMYFUNCTION("""COMPUTED_VALUE"""),"null")</f>
        <v>null</v>
      </c>
      <c r="P5156" s="33">
        <f>IFERROR(__xludf.DUMMYFUNCTION("""COMPUTED_VALUE"""),0.5)</f>
        <v>0.5</v>
      </c>
      <c r="Q5156" s="4" t="str">
        <f>IFERROR(__xludf.DUMMYFUNCTION("""COMPUTED_VALUE"""),"null")</f>
        <v>null</v>
      </c>
      <c r="R5156" s="33">
        <f>IFERROR(__xludf.DUMMYFUNCTION("""COMPUTED_VALUE"""),0.5)</f>
        <v>0.5</v>
      </c>
      <c r="S5156" s="4" t="str">
        <f>IFERROR(__xludf.DUMMYFUNCTION("""COMPUTED_VALUE"""),"null")</f>
        <v>null</v>
      </c>
      <c r="T5156" s="33">
        <f>IFERROR(__xludf.DUMMYFUNCTION("""COMPUTED_VALUE"""),0.5)</f>
        <v>0.5</v>
      </c>
      <c r="U5156" s="4" t="str">
        <f>IFERROR(__xludf.DUMMYFUNCTION("""COMPUTED_VALUE"""),"null")</f>
        <v>null</v>
      </c>
      <c r="V5156" s="33">
        <f>IFERROR(__xludf.DUMMYFUNCTION("""COMPUTED_VALUE"""),0.5)</f>
        <v>0.5</v>
      </c>
      <c r="W5156" s="4" t="str">
        <f>IFERROR(__xludf.DUMMYFUNCTION("""COMPUTED_VALUE"""),"null")</f>
        <v>null</v>
      </c>
      <c r="X5156" s="33">
        <f>IFERROR(__xludf.DUMMYFUNCTION("""COMPUTED_VALUE"""),0.5)</f>
        <v>0.5</v>
      </c>
    </row>
    <row r="5157">
      <c r="K5157" s="4" t="str">
        <f>IFERROR(__xludf.DUMMYFUNCTION("""COMPUTED_VALUE"""),"RESTAURANTE E LANCHONETE SABOR CASEIRO")</f>
        <v>RESTAURANTE E LANCHONETE SABOR CASEIRO</v>
      </c>
      <c r="L5157" s="32">
        <f>IFERROR(__xludf.DUMMYFUNCTION("""COMPUTED_VALUE"""),2.0)</f>
        <v>2</v>
      </c>
      <c r="M5157" s="4" t="str">
        <f>IFERROR(__xludf.DUMMYFUNCTION("""COMPUTED_VALUE"""),"null")</f>
        <v>null</v>
      </c>
      <c r="N5157" s="33">
        <f>IFERROR(__xludf.DUMMYFUNCTION("""COMPUTED_VALUE"""),0.5)</f>
        <v>0.5</v>
      </c>
      <c r="O5157" s="4" t="str">
        <f>IFERROR(__xludf.DUMMYFUNCTION("""COMPUTED_VALUE"""),"null")</f>
        <v>null</v>
      </c>
      <c r="P5157" s="33">
        <f>IFERROR(__xludf.DUMMYFUNCTION("""COMPUTED_VALUE"""),0.5)</f>
        <v>0.5</v>
      </c>
      <c r="Q5157" s="4" t="str">
        <f>IFERROR(__xludf.DUMMYFUNCTION("""COMPUTED_VALUE"""),"Beefood - Sistema Para Restaurantes")</f>
        <v>Beefood - Sistema Para Restaurantes</v>
      </c>
      <c r="R5157" s="33">
        <f>IFERROR(__xludf.DUMMYFUNCTION("""COMPUTED_VALUE"""),0.5)</f>
        <v>0.5</v>
      </c>
      <c r="S5157" s="4" t="str">
        <f>IFERROR(__xludf.DUMMYFUNCTION("""COMPUTED_VALUE"""),"null")</f>
        <v>null</v>
      </c>
      <c r="T5157" s="33">
        <f>IFERROR(__xludf.DUMMYFUNCTION("""COMPUTED_VALUE"""),0.5)</f>
        <v>0.5</v>
      </c>
      <c r="U5157" s="4" t="str">
        <f>IFERROR(__xludf.DUMMYFUNCTION("""COMPUTED_VALUE"""),"null")</f>
        <v>null</v>
      </c>
      <c r="V5157" s="33">
        <f>IFERROR(__xludf.DUMMYFUNCTION("""COMPUTED_VALUE"""),0.5)</f>
        <v>0.5</v>
      </c>
      <c r="W5157" s="4" t="str">
        <f>IFERROR(__xludf.DUMMYFUNCTION("""COMPUTED_VALUE"""),"null")</f>
        <v>null</v>
      </c>
      <c r="X5157" s="33">
        <f>IFERROR(__xludf.DUMMYFUNCTION("""COMPUTED_VALUE"""),0.5)</f>
        <v>0.5</v>
      </c>
    </row>
    <row r="5158">
      <c r="K5158" s="4" t="str">
        <f>IFERROR(__xludf.DUMMYFUNCTION("""COMPUTED_VALUE"""),"BENTO RESTAURANTE")</f>
        <v>BENTO RESTAURANTE</v>
      </c>
      <c r="L5158" s="32">
        <f>IFERROR(__xludf.DUMMYFUNCTION("""COMPUTED_VALUE"""),2.0)</f>
        <v>2</v>
      </c>
      <c r="M5158" s="4" t="str">
        <f>IFERROR(__xludf.DUMMYFUNCTION("""COMPUTED_VALUE"""),"Netcontroll Xmenu")</f>
        <v>Netcontroll Xmenu</v>
      </c>
      <c r="N5158" s="33">
        <f>IFERROR(__xludf.DUMMYFUNCTION("""COMPUTED_VALUE"""),0.5)</f>
        <v>0.5</v>
      </c>
      <c r="O5158" s="4" t="str">
        <f>IFERROR(__xludf.DUMMYFUNCTION("""COMPUTED_VALUE"""),"Netcontroll Xmenu")</f>
        <v>Netcontroll Xmenu</v>
      </c>
      <c r="P5158" s="33">
        <f>IFERROR(__xludf.DUMMYFUNCTION("""COMPUTED_VALUE"""),0.5)</f>
        <v>0.5</v>
      </c>
      <c r="Q5158" s="4" t="str">
        <f>IFERROR(__xludf.DUMMYFUNCTION("""COMPUTED_VALUE"""),"Netcontroll Xmenu")</f>
        <v>Netcontroll Xmenu</v>
      </c>
      <c r="R5158" s="33">
        <f>IFERROR(__xludf.DUMMYFUNCTION("""COMPUTED_VALUE"""),0.5)</f>
        <v>0.5</v>
      </c>
      <c r="S5158" s="4" t="str">
        <f>IFERROR(__xludf.DUMMYFUNCTION("""COMPUTED_VALUE"""),"Netcontroll Xmenu")</f>
        <v>Netcontroll Xmenu</v>
      </c>
      <c r="T5158" s="33">
        <f>IFERROR(__xludf.DUMMYFUNCTION("""COMPUTED_VALUE"""),0.5)</f>
        <v>0.5</v>
      </c>
      <c r="U5158" s="4" t="str">
        <f>IFERROR(__xludf.DUMMYFUNCTION("""COMPUTED_VALUE"""),"Netcontroll Xmenu")</f>
        <v>Netcontroll Xmenu</v>
      </c>
      <c r="V5158" s="33">
        <f>IFERROR(__xludf.DUMMYFUNCTION("""COMPUTED_VALUE"""),0.5)</f>
        <v>0.5</v>
      </c>
      <c r="W5158" s="4" t="str">
        <f>IFERROR(__xludf.DUMMYFUNCTION("""COMPUTED_VALUE"""),"Netcontroll Xmenu")</f>
        <v>Netcontroll Xmenu</v>
      </c>
      <c r="X5158" s="33">
        <f>IFERROR(__xludf.DUMMYFUNCTION("""COMPUTED_VALUE"""),0.5)</f>
        <v>0.5</v>
      </c>
    </row>
    <row r="5159">
      <c r="K5159" s="4" t="str">
        <f>IFERROR(__xludf.DUMMYFUNCTION("""COMPUTED_VALUE"""),"ESPACO DO SABOR")</f>
        <v>ESPACO DO SABOR</v>
      </c>
      <c r="L5159" s="32">
        <f>IFERROR(__xludf.DUMMYFUNCTION("""COMPUTED_VALUE"""),2.0)</f>
        <v>2</v>
      </c>
      <c r="M5159" s="4" t="str">
        <f>IFERROR(__xludf.DUMMYFUNCTION("""COMPUTED_VALUE"""),"Futura System Informática")</f>
        <v>Futura System Informática</v>
      </c>
      <c r="N5159" s="33">
        <f>IFERROR(__xludf.DUMMYFUNCTION("""COMPUTED_VALUE"""),0.5)</f>
        <v>0.5</v>
      </c>
      <c r="O5159" s="4" t="str">
        <f>IFERROR(__xludf.DUMMYFUNCTION("""COMPUTED_VALUE"""),"Futura System Informática")</f>
        <v>Futura System Informática</v>
      </c>
      <c r="P5159" s="33">
        <f>IFERROR(__xludf.DUMMYFUNCTION("""COMPUTED_VALUE"""),0.5)</f>
        <v>0.5</v>
      </c>
      <c r="Q5159" s="4" t="str">
        <f>IFERROR(__xludf.DUMMYFUNCTION("""COMPUTED_VALUE"""),"Futura System Informática")</f>
        <v>Futura System Informática</v>
      </c>
      <c r="R5159" s="33">
        <f>IFERROR(__xludf.DUMMYFUNCTION("""COMPUTED_VALUE"""),0.5)</f>
        <v>0.5</v>
      </c>
      <c r="S5159" s="4" t="str">
        <f>IFERROR(__xludf.DUMMYFUNCTION("""COMPUTED_VALUE"""),"Futura System Informática")</f>
        <v>Futura System Informática</v>
      </c>
      <c r="T5159" s="33">
        <f>IFERROR(__xludf.DUMMYFUNCTION("""COMPUTED_VALUE"""),0.5)</f>
        <v>0.5</v>
      </c>
      <c r="U5159" s="4" t="str">
        <f>IFERROR(__xludf.DUMMYFUNCTION("""COMPUTED_VALUE"""),"Futura System Informática")</f>
        <v>Futura System Informática</v>
      </c>
      <c r="V5159" s="33">
        <f>IFERROR(__xludf.DUMMYFUNCTION("""COMPUTED_VALUE"""),0.5)</f>
        <v>0.5</v>
      </c>
      <c r="W5159" s="4" t="str">
        <f>IFERROR(__xludf.DUMMYFUNCTION("""COMPUTED_VALUE"""),"Futura System Informática")</f>
        <v>Futura System Informática</v>
      </c>
      <c r="X5159" s="33">
        <f>IFERROR(__xludf.DUMMYFUNCTION("""COMPUTED_VALUE"""),0.5)</f>
        <v>0.5</v>
      </c>
    </row>
    <row r="5160">
      <c r="K5160" s="4" t="str">
        <f>IFERROR(__xludf.DUMMYFUNCTION("""COMPUTED_VALUE"""),"TIBIIS MANIA PET CENTER")</f>
        <v>TIBIIS MANIA PET CENTER</v>
      </c>
      <c r="L5160" s="32">
        <f>IFERROR(__xludf.DUMMYFUNCTION("""COMPUTED_VALUE"""),2.0)</f>
        <v>2</v>
      </c>
      <c r="M5160" s="4" t="str">
        <f>IFERROR(__xludf.DUMMYFUNCTION("""COMPUTED_VALUE"""),"N/A (Not found)")</f>
        <v>N/A (Not found)</v>
      </c>
      <c r="N5160" s="33">
        <f>IFERROR(__xludf.DUMMYFUNCTION("""COMPUTED_VALUE"""),0.5)</f>
        <v>0.5</v>
      </c>
      <c r="O5160" s="4" t="str">
        <f>IFERROR(__xludf.DUMMYFUNCTION("""COMPUTED_VALUE"""),"N/A (Not found)")</f>
        <v>N/A (Not found)</v>
      </c>
      <c r="P5160" s="33">
        <f>IFERROR(__xludf.DUMMYFUNCTION("""COMPUTED_VALUE"""),1.0)</f>
        <v>1</v>
      </c>
      <c r="Q5160" s="4" t="str">
        <f>IFERROR(__xludf.DUMMYFUNCTION("""COMPUTED_VALUE"""),"N/A (Not found)")</f>
        <v>N/A (Not found)</v>
      </c>
      <c r="R5160" s="33">
        <f>IFERROR(__xludf.DUMMYFUNCTION("""COMPUTED_VALUE"""),1.0)</f>
        <v>1</v>
      </c>
      <c r="S5160" s="4" t="str">
        <f>IFERROR(__xludf.DUMMYFUNCTION("""COMPUTED_VALUE"""),"N/A (Not found)")</f>
        <v>N/A (Not found)</v>
      </c>
      <c r="T5160" s="33">
        <f>IFERROR(__xludf.DUMMYFUNCTION("""COMPUTED_VALUE"""),1.0)</f>
        <v>1</v>
      </c>
      <c r="U5160" s="4" t="str">
        <f>IFERROR(__xludf.DUMMYFUNCTION("""COMPUTED_VALUE"""),"N/A (Not found)")</f>
        <v>N/A (Not found)</v>
      </c>
      <c r="V5160" s="33">
        <f>IFERROR(__xludf.DUMMYFUNCTION("""COMPUTED_VALUE"""),1.0)</f>
        <v>1</v>
      </c>
      <c r="W5160" s="4" t="str">
        <f>IFERROR(__xludf.DUMMYFUNCTION("""COMPUTED_VALUE"""),"N/A (Not found)")</f>
        <v>N/A (Not found)</v>
      </c>
      <c r="X5160" s="33">
        <f>IFERROR(__xludf.DUMMYFUNCTION("""COMPUTED_VALUE"""),0.5)</f>
        <v>0.5</v>
      </c>
    </row>
    <row r="5161">
      <c r="K5161" s="4" t="str">
        <f>IFERROR(__xludf.DUMMYFUNCTION("""COMPUTED_VALUE"""),"CJ_BURGER")</f>
        <v>CJ_BURGER</v>
      </c>
      <c r="L5161" s="32">
        <f>IFERROR(__xludf.DUMMYFUNCTION("""COMPUTED_VALUE"""),2.0)</f>
        <v>2</v>
      </c>
      <c r="M5161" s="4" t="str">
        <f>IFERROR(__xludf.DUMMYFUNCTION("""COMPUTED_VALUE"""),"null")</f>
        <v>null</v>
      </c>
      <c r="N5161" s="33">
        <f>IFERROR(__xludf.DUMMYFUNCTION("""COMPUTED_VALUE"""),0.5)</f>
        <v>0.5</v>
      </c>
      <c r="O5161" s="4" t="str">
        <f>IFERROR(__xludf.DUMMYFUNCTION("""COMPUTED_VALUE"""),"Consumer Soluções Em Tecnologia Ltda")</f>
        <v>Consumer Soluções Em Tecnologia Ltda</v>
      </c>
      <c r="P5161" s="33">
        <f>IFERROR(__xludf.DUMMYFUNCTION("""COMPUTED_VALUE"""),1.0)</f>
        <v>1</v>
      </c>
      <c r="Q5161" s="4" t="str">
        <f>IFERROR(__xludf.DUMMYFUNCTION("""COMPUTED_VALUE"""),"Consumer Soluções Em Tecnologia Ltda")</f>
        <v>Consumer Soluções Em Tecnologia Ltda</v>
      </c>
      <c r="R5161" s="33">
        <f>IFERROR(__xludf.DUMMYFUNCTION("""COMPUTED_VALUE"""),0.5)</f>
        <v>0.5</v>
      </c>
      <c r="S5161" s="4" t="str">
        <f>IFERROR(__xludf.DUMMYFUNCTION("""COMPUTED_VALUE"""),"Consumer Soluções Em Tecnologia Ltda")</f>
        <v>Consumer Soluções Em Tecnologia Ltda</v>
      </c>
      <c r="T5161" s="33">
        <f>IFERROR(__xludf.DUMMYFUNCTION("""COMPUTED_VALUE"""),0.5)</f>
        <v>0.5</v>
      </c>
      <c r="U5161" s="4" t="str">
        <f>IFERROR(__xludf.DUMMYFUNCTION("""COMPUTED_VALUE"""),"Consumer Soluções Em Tecnologia Ltda")</f>
        <v>Consumer Soluções Em Tecnologia Ltda</v>
      </c>
      <c r="V5161" s="33">
        <f>IFERROR(__xludf.DUMMYFUNCTION("""COMPUTED_VALUE"""),0.5)</f>
        <v>0.5</v>
      </c>
      <c r="W5161" s="4" t="str">
        <f>IFERROR(__xludf.DUMMYFUNCTION("""COMPUTED_VALUE"""),"Consumer Soluções Em Tecnologia Ltda")</f>
        <v>Consumer Soluções Em Tecnologia Ltda</v>
      </c>
      <c r="X5161" s="33">
        <f>IFERROR(__xludf.DUMMYFUNCTION("""COMPUTED_VALUE"""),0.5)</f>
        <v>0.5</v>
      </c>
    </row>
    <row r="5162">
      <c r="K5162" s="4" t="str">
        <f>IFERROR(__xludf.DUMMYFUNCTION("""COMPUTED_VALUE"""),"IGOS - FRANGO FRITO LANCHES")</f>
        <v>IGOS - FRANGO FRITO LANCHES</v>
      </c>
      <c r="L5162" s="32">
        <f>IFERROR(__xludf.DUMMYFUNCTION("""COMPUTED_VALUE"""),2.0)</f>
        <v>2</v>
      </c>
      <c r="M5162" s="4" t="str">
        <f>IFERROR(__xludf.DUMMYFUNCTION("""COMPUTED_VALUE"""),"null")</f>
        <v>null</v>
      </c>
      <c r="N5162" s="33">
        <f>IFERROR(__xludf.DUMMYFUNCTION("""COMPUTED_VALUE"""),1.0)</f>
        <v>1</v>
      </c>
      <c r="O5162" s="4" t="str">
        <f>IFERROR(__xludf.DUMMYFUNCTION("""COMPUTED_VALUE"""),"null")</f>
        <v>null</v>
      </c>
      <c r="P5162" s="33">
        <f>IFERROR(__xludf.DUMMYFUNCTION("""COMPUTED_VALUE"""),1.0)</f>
        <v>1</v>
      </c>
      <c r="Q5162" s="4" t="str">
        <f>IFERROR(__xludf.DUMMYFUNCTION("""COMPUTED_VALUE"""),"null")</f>
        <v>null</v>
      </c>
      <c r="R5162" s="33">
        <f>IFERROR(__xludf.DUMMYFUNCTION("""COMPUTED_VALUE"""),1.0)</f>
        <v>1</v>
      </c>
      <c r="S5162" s="4" t="str">
        <f>IFERROR(__xludf.DUMMYFUNCTION("""COMPUTED_VALUE"""),"null")</f>
        <v>null</v>
      </c>
      <c r="T5162" s="33">
        <f>IFERROR(__xludf.DUMMYFUNCTION("""COMPUTED_VALUE"""),1.0)</f>
        <v>1</v>
      </c>
      <c r="U5162" s="4" t="str">
        <f>IFERROR(__xludf.DUMMYFUNCTION("""COMPUTED_VALUE"""),"Cardápio Web")</f>
        <v>Cardápio Web</v>
      </c>
      <c r="V5162" s="33">
        <f>IFERROR(__xludf.DUMMYFUNCTION("""COMPUTED_VALUE"""),0.5)</f>
        <v>0.5</v>
      </c>
      <c r="W5162" s="4" t="str">
        <f>IFERROR(__xludf.DUMMYFUNCTION("""COMPUTED_VALUE"""),"null")</f>
        <v>null</v>
      </c>
      <c r="X5162" s="33">
        <f>IFERROR(__xludf.DUMMYFUNCTION("""COMPUTED_VALUE"""),0.5)</f>
        <v>0.5</v>
      </c>
    </row>
    <row r="5163">
      <c r="K5163" s="4" t="str">
        <f>IFERROR(__xludf.DUMMYFUNCTION("""COMPUTED_VALUE"""),"ACARAJE DO BAIANO")</f>
        <v>ACARAJE DO BAIANO</v>
      </c>
      <c r="L5163" s="32">
        <f>IFERROR(__xludf.DUMMYFUNCTION("""COMPUTED_VALUE"""),2.0)</f>
        <v>2</v>
      </c>
      <c r="M5163" s="4" t="str">
        <f>IFERROR(__xludf.DUMMYFUNCTION("""COMPUTED_VALUE"""),"Instadelivery")</f>
        <v>Instadelivery</v>
      </c>
      <c r="N5163" s="33">
        <f>IFERROR(__xludf.DUMMYFUNCTION("""COMPUTED_VALUE"""),0.5)</f>
        <v>0.5</v>
      </c>
      <c r="O5163" s="4" t="str">
        <f>IFERROR(__xludf.DUMMYFUNCTION("""COMPUTED_VALUE"""),"Instadelivery")</f>
        <v>Instadelivery</v>
      </c>
      <c r="P5163" s="33">
        <f>IFERROR(__xludf.DUMMYFUNCTION("""COMPUTED_VALUE"""),0.5)</f>
        <v>0.5</v>
      </c>
      <c r="Q5163" s="4" t="str">
        <f>IFERROR(__xludf.DUMMYFUNCTION("""COMPUTED_VALUE"""),"Instadelivery")</f>
        <v>Instadelivery</v>
      </c>
      <c r="R5163" s="33">
        <f>IFERROR(__xludf.DUMMYFUNCTION("""COMPUTED_VALUE"""),0.5)</f>
        <v>0.5</v>
      </c>
      <c r="S5163" s="4" t="str">
        <f>IFERROR(__xludf.DUMMYFUNCTION("""COMPUTED_VALUE"""),"Instadelivery")</f>
        <v>Instadelivery</v>
      </c>
      <c r="T5163" s="33">
        <f>IFERROR(__xludf.DUMMYFUNCTION("""COMPUTED_VALUE"""),0.5)</f>
        <v>0.5</v>
      </c>
      <c r="U5163" s="4" t="str">
        <f>IFERROR(__xludf.DUMMYFUNCTION("""COMPUTED_VALUE"""),"Instadelivery")</f>
        <v>Instadelivery</v>
      </c>
      <c r="V5163" s="33">
        <f>IFERROR(__xludf.DUMMYFUNCTION("""COMPUTED_VALUE"""),0.5)</f>
        <v>0.5</v>
      </c>
      <c r="W5163" s="4" t="str">
        <f>IFERROR(__xludf.DUMMYFUNCTION("""COMPUTED_VALUE"""),"Instadelivery")</f>
        <v>Instadelivery</v>
      </c>
      <c r="X5163" s="33">
        <f>IFERROR(__xludf.DUMMYFUNCTION("""COMPUTED_VALUE"""),0.5)</f>
        <v>0.5</v>
      </c>
    </row>
    <row r="5164">
      <c r="K5164" s="4" t="str">
        <f>IFERROR(__xludf.DUMMYFUNCTION("""COMPUTED_VALUE"""),"PARADA DO CHURRASCO")</f>
        <v>PARADA DO CHURRASCO</v>
      </c>
      <c r="L5164" s="32">
        <f>IFERROR(__xludf.DUMMYFUNCTION("""COMPUTED_VALUE"""),2.0)</f>
        <v>2</v>
      </c>
      <c r="M5164" s="4" t="str">
        <f>IFERROR(__xludf.DUMMYFUNCTION("""COMPUTED_VALUE"""),"Consumer Soluções Em Tecnologia Ltda")</f>
        <v>Consumer Soluções Em Tecnologia Ltda</v>
      </c>
      <c r="N5164" s="33">
        <f>IFERROR(__xludf.DUMMYFUNCTION("""COMPUTED_VALUE"""),1.0)</f>
        <v>1</v>
      </c>
      <c r="O5164" s="4" t="str">
        <f>IFERROR(__xludf.DUMMYFUNCTION("""COMPUTED_VALUE"""),"Consumer Soluções Em Tecnologia Ltda")</f>
        <v>Consumer Soluções Em Tecnologia Ltda</v>
      </c>
      <c r="P5164" s="33">
        <f>IFERROR(__xludf.DUMMYFUNCTION("""COMPUTED_VALUE"""),1.0)</f>
        <v>1</v>
      </c>
      <c r="Q5164" s="4" t="str">
        <f>IFERROR(__xludf.DUMMYFUNCTION("""COMPUTED_VALUE"""),"Consumer Soluções Em Tecnologia Ltda")</f>
        <v>Consumer Soluções Em Tecnologia Ltda</v>
      </c>
      <c r="R5164" s="33">
        <f>IFERROR(__xludf.DUMMYFUNCTION("""COMPUTED_VALUE"""),1.0)</f>
        <v>1</v>
      </c>
      <c r="S5164" s="4" t="str">
        <f>IFERROR(__xludf.DUMMYFUNCTION("""COMPUTED_VALUE"""),"Consumer Soluções Em Tecnologia Ltda")</f>
        <v>Consumer Soluções Em Tecnologia Ltda</v>
      </c>
      <c r="T5164" s="33">
        <f>IFERROR(__xludf.DUMMYFUNCTION("""COMPUTED_VALUE"""),1.0)</f>
        <v>1</v>
      </c>
      <c r="U5164" s="4" t="str">
        <f>IFERROR(__xludf.DUMMYFUNCTION("""COMPUTED_VALUE"""),"Consumer Soluções Em Tecnologia Ltda")</f>
        <v>Consumer Soluções Em Tecnologia Ltda</v>
      </c>
      <c r="V5164" s="33">
        <f>IFERROR(__xludf.DUMMYFUNCTION("""COMPUTED_VALUE"""),1.0)</f>
        <v>1</v>
      </c>
      <c r="W5164" s="4" t="str">
        <f>IFERROR(__xludf.DUMMYFUNCTION("""COMPUTED_VALUE"""),"Consumer Soluções Em Tecnologia Ltda")</f>
        <v>Consumer Soluções Em Tecnologia Ltda</v>
      </c>
      <c r="X5164" s="33">
        <f>IFERROR(__xludf.DUMMYFUNCTION("""COMPUTED_VALUE"""),1.0)</f>
        <v>1</v>
      </c>
    </row>
    <row r="5165">
      <c r="K5165" s="4" t="str">
        <f>IFERROR(__xludf.DUMMYFUNCTION("""COMPUTED_VALUE"""),"ZERO GRAU BEBIDAS")</f>
        <v>ZERO GRAU BEBIDAS</v>
      </c>
      <c r="L5165" s="32">
        <f>IFERROR(__xludf.DUMMYFUNCTION("""COMPUTED_VALUE"""),2.0)</f>
        <v>2</v>
      </c>
      <c r="M5165" s="4" t="str">
        <f>IFERROR(__xludf.DUMMYFUNCTION("""COMPUTED_VALUE"""),"null")</f>
        <v>null</v>
      </c>
      <c r="N5165" s="33">
        <f>IFERROR(__xludf.DUMMYFUNCTION("""COMPUTED_VALUE"""),0.5)</f>
        <v>0.5</v>
      </c>
      <c r="O5165" s="4" t="str">
        <f>IFERROR(__xludf.DUMMYFUNCTION("""COMPUTED_VALUE"""),"N/A (Not found)")</f>
        <v>N/A (Not found)</v>
      </c>
      <c r="P5165" s="33">
        <f>IFERROR(__xludf.DUMMYFUNCTION("""COMPUTED_VALUE"""),1.0)</f>
        <v>1</v>
      </c>
      <c r="Q5165" s="4" t="str">
        <f>IFERROR(__xludf.DUMMYFUNCTION("""COMPUTED_VALUE"""),"N/A (Not found)")</f>
        <v>N/A (Not found)</v>
      </c>
      <c r="R5165" s="33">
        <f>IFERROR(__xludf.DUMMYFUNCTION("""COMPUTED_VALUE"""),1.0)</f>
        <v>1</v>
      </c>
      <c r="S5165" s="4" t="str">
        <f>IFERROR(__xludf.DUMMYFUNCTION("""COMPUTED_VALUE"""),"N/A (Not found)")</f>
        <v>N/A (Not found)</v>
      </c>
      <c r="T5165" s="33">
        <f>IFERROR(__xludf.DUMMYFUNCTION("""COMPUTED_VALUE"""),1.0)</f>
        <v>1</v>
      </c>
      <c r="U5165" s="4" t="str">
        <f>IFERROR(__xludf.DUMMYFUNCTION("""COMPUTED_VALUE"""),"N/A (Not found)")</f>
        <v>N/A (Not found)</v>
      </c>
      <c r="V5165" s="33">
        <f>IFERROR(__xludf.DUMMYFUNCTION("""COMPUTED_VALUE"""),1.0)</f>
        <v>1</v>
      </c>
      <c r="W5165" s="4" t="str">
        <f>IFERROR(__xludf.DUMMYFUNCTION("""COMPUTED_VALUE"""),"N/A (Not found)")</f>
        <v>N/A (Not found)</v>
      </c>
      <c r="X5165" s="33">
        <f>IFERROR(__xludf.DUMMYFUNCTION("""COMPUTED_VALUE"""),1.0)</f>
        <v>1</v>
      </c>
    </row>
    <row r="5166">
      <c r="K5166" s="4" t="str">
        <f>IFERROR(__xludf.DUMMYFUNCTION("""COMPUTED_VALUE"""),"LA CASA DO HAMBURGUER")</f>
        <v>LA CASA DO HAMBURGUER</v>
      </c>
      <c r="L5166" s="32">
        <f>IFERROR(__xludf.DUMMYFUNCTION("""COMPUTED_VALUE"""),2.0)</f>
        <v>2</v>
      </c>
      <c r="M5166" s="4" t="str">
        <f>IFERROR(__xludf.DUMMYFUNCTION("""COMPUTED_VALUE"""),"null")</f>
        <v>null</v>
      </c>
      <c r="N5166" s="33">
        <f>IFERROR(__xludf.DUMMYFUNCTION("""COMPUTED_VALUE"""),1.0)</f>
        <v>1</v>
      </c>
      <c r="O5166" s="4" t="str">
        <f>IFERROR(__xludf.DUMMYFUNCTION("""COMPUTED_VALUE"""),"null")</f>
        <v>null</v>
      </c>
      <c r="P5166" s="33">
        <f>IFERROR(__xludf.DUMMYFUNCTION("""COMPUTED_VALUE"""),1.0)</f>
        <v>1</v>
      </c>
      <c r="Q5166" s="4" t="str">
        <f>IFERROR(__xludf.DUMMYFUNCTION("""COMPUTED_VALUE"""),"null")</f>
        <v>null</v>
      </c>
      <c r="R5166" s="33">
        <f>IFERROR(__xludf.DUMMYFUNCTION("""COMPUTED_VALUE"""),1.0)</f>
        <v>1</v>
      </c>
      <c r="S5166" s="4" t="str">
        <f>IFERROR(__xludf.DUMMYFUNCTION("""COMPUTED_VALUE"""),"null")</f>
        <v>null</v>
      </c>
      <c r="T5166" s="33">
        <f>IFERROR(__xludf.DUMMYFUNCTION("""COMPUTED_VALUE"""),1.0)</f>
        <v>1</v>
      </c>
      <c r="U5166" s="4" t="str">
        <f>IFERROR(__xludf.DUMMYFUNCTION("""COMPUTED_VALUE"""),"Saipos Serviços De Software")</f>
        <v>Saipos Serviços De Software</v>
      </c>
      <c r="V5166" s="33">
        <f>IFERROR(__xludf.DUMMYFUNCTION("""COMPUTED_VALUE"""),0.5)</f>
        <v>0.5</v>
      </c>
      <c r="W5166" s="4" t="str">
        <f>IFERROR(__xludf.DUMMYFUNCTION("""COMPUTED_VALUE"""),"Saipos Serviços De Software")</f>
        <v>Saipos Serviços De Software</v>
      </c>
      <c r="X5166" s="33">
        <f>IFERROR(__xludf.DUMMYFUNCTION("""COMPUTED_VALUE"""),0.5)</f>
        <v>0.5</v>
      </c>
    </row>
    <row r="5167">
      <c r="K5167" s="4" t="str">
        <f>IFERROR(__xludf.DUMMYFUNCTION("""COMPUTED_VALUE"""),"SMASH IN BOX HAMBURGUERIA")</f>
        <v>SMASH IN BOX HAMBURGUERIA</v>
      </c>
      <c r="L5167" s="32">
        <f>IFERROR(__xludf.DUMMYFUNCTION("""COMPUTED_VALUE"""),2.0)</f>
        <v>2</v>
      </c>
      <c r="M5167" s="4" t="str">
        <f>IFERROR(__xludf.DUMMYFUNCTION("""COMPUTED_VALUE"""),"Cardápio Web")</f>
        <v>Cardápio Web</v>
      </c>
      <c r="N5167" s="33">
        <f>IFERROR(__xludf.DUMMYFUNCTION("""COMPUTED_VALUE"""),0.5)</f>
        <v>0.5</v>
      </c>
      <c r="O5167" s="4" t="str">
        <f>IFERROR(__xludf.DUMMYFUNCTION("""COMPUTED_VALUE"""),"Cardápio Web")</f>
        <v>Cardápio Web</v>
      </c>
      <c r="P5167" s="33">
        <f>IFERROR(__xludf.DUMMYFUNCTION("""COMPUTED_VALUE"""),0.5)</f>
        <v>0.5</v>
      </c>
      <c r="Q5167" s="4" t="str">
        <f>IFERROR(__xludf.DUMMYFUNCTION("""COMPUTED_VALUE"""),"Cardápio Web")</f>
        <v>Cardápio Web</v>
      </c>
      <c r="R5167" s="33">
        <f>IFERROR(__xludf.DUMMYFUNCTION("""COMPUTED_VALUE"""),1.0)</f>
        <v>1</v>
      </c>
      <c r="S5167" s="4" t="str">
        <f>IFERROR(__xludf.DUMMYFUNCTION("""COMPUTED_VALUE"""),"Cardápio Web")</f>
        <v>Cardápio Web</v>
      </c>
      <c r="T5167" s="33">
        <f>IFERROR(__xludf.DUMMYFUNCTION("""COMPUTED_VALUE"""),1.0)</f>
        <v>1</v>
      </c>
      <c r="U5167" s="4" t="str">
        <f>IFERROR(__xludf.DUMMYFUNCTION("""COMPUTED_VALUE"""),"Cardápio Web")</f>
        <v>Cardápio Web</v>
      </c>
      <c r="V5167" s="33">
        <f>IFERROR(__xludf.DUMMYFUNCTION("""COMPUTED_VALUE"""),1.0)</f>
        <v>1</v>
      </c>
      <c r="W5167" s="4" t="str">
        <f>IFERROR(__xludf.DUMMYFUNCTION("""COMPUTED_VALUE"""),"Cardápio Web")</f>
        <v>Cardápio Web</v>
      </c>
      <c r="X5167" s="33">
        <f>IFERROR(__xludf.DUMMYFUNCTION("""COMPUTED_VALUE"""),1.0)</f>
        <v>1</v>
      </c>
    </row>
    <row r="5168">
      <c r="K5168" s="4" t="str">
        <f>IFERROR(__xludf.DUMMYFUNCTION("""COMPUTED_VALUE"""),"BURGER DO CHEFF")</f>
        <v>BURGER DO CHEFF</v>
      </c>
      <c r="L5168" s="32">
        <f>IFERROR(__xludf.DUMMYFUNCTION("""COMPUTED_VALUE"""),2.0)</f>
        <v>2</v>
      </c>
      <c r="M5168" s="4" t="str">
        <f>IFERROR(__xludf.DUMMYFUNCTION("""COMPUTED_VALUE"""),"null")</f>
        <v>null</v>
      </c>
      <c r="N5168" s="33">
        <f>IFERROR(__xludf.DUMMYFUNCTION("""COMPUTED_VALUE"""),0.5)</f>
        <v>0.5</v>
      </c>
      <c r="O5168" s="4" t="str">
        <f>IFERROR(__xludf.DUMMYFUNCTION("""COMPUTED_VALUE"""),"null")</f>
        <v>null</v>
      </c>
      <c r="P5168" s="33">
        <f>IFERROR(__xludf.DUMMYFUNCTION("""COMPUTED_VALUE"""),0.5)</f>
        <v>0.5</v>
      </c>
      <c r="Q5168" s="4" t="str">
        <f>IFERROR(__xludf.DUMMYFUNCTION("""COMPUTED_VALUE"""),"null")</f>
        <v>null</v>
      </c>
      <c r="R5168" s="33">
        <f>IFERROR(__xludf.DUMMYFUNCTION("""COMPUTED_VALUE"""),0.5)</f>
        <v>0.5</v>
      </c>
      <c r="S5168" s="4" t="str">
        <f>IFERROR(__xludf.DUMMYFUNCTION("""COMPUTED_VALUE"""),"null")</f>
        <v>null</v>
      </c>
      <c r="T5168" s="33">
        <f>IFERROR(__xludf.DUMMYFUNCTION("""COMPUTED_VALUE"""),0.5)</f>
        <v>0.5</v>
      </c>
      <c r="U5168" s="4" t="str">
        <f>IFERROR(__xludf.DUMMYFUNCTION("""COMPUTED_VALUE"""),"Cardápio Web")</f>
        <v>Cardápio Web</v>
      </c>
      <c r="V5168" s="33">
        <f>IFERROR(__xludf.DUMMYFUNCTION("""COMPUTED_VALUE"""),0.5)</f>
        <v>0.5</v>
      </c>
      <c r="W5168" s="4" t="str">
        <f>IFERROR(__xludf.DUMMYFUNCTION("""COMPUTED_VALUE"""),"Cardápio Web")</f>
        <v>Cardápio Web</v>
      </c>
      <c r="X5168" s="33">
        <f>IFERROR(__xludf.DUMMYFUNCTION("""COMPUTED_VALUE"""),0.5)</f>
        <v>0.5</v>
      </c>
    </row>
    <row r="5169">
      <c r="K5169" s="4" t="str">
        <f>IFERROR(__xludf.DUMMYFUNCTION("""COMPUTED_VALUE"""),"ITS TIME PIZZARIA FORNO A LENHA")</f>
        <v>ITS TIME PIZZARIA FORNO A LENHA</v>
      </c>
      <c r="L5169" s="32">
        <f>IFERROR(__xludf.DUMMYFUNCTION("""COMPUTED_VALUE"""),2.0)</f>
        <v>2</v>
      </c>
      <c r="M5169" s="4" t="str">
        <f>IFERROR(__xludf.DUMMYFUNCTION("""COMPUTED_VALUE"""),"Anota Ai Solucoes Digitais S/a")</f>
        <v>Anota Ai Solucoes Digitais S/a</v>
      </c>
      <c r="N5169" s="33">
        <f>IFERROR(__xludf.DUMMYFUNCTION("""COMPUTED_VALUE"""),0.5)</f>
        <v>0.5</v>
      </c>
      <c r="O5169" s="4" t="str">
        <f>IFERROR(__xludf.DUMMYFUNCTION("""COMPUTED_VALUE"""),"Anota Ai Solucoes Digitais S/a")</f>
        <v>Anota Ai Solucoes Digitais S/a</v>
      </c>
      <c r="P5169" s="33">
        <f>IFERROR(__xludf.DUMMYFUNCTION("""COMPUTED_VALUE"""),0.5)</f>
        <v>0.5</v>
      </c>
      <c r="Q5169" s="4" t="str">
        <f>IFERROR(__xludf.DUMMYFUNCTION("""COMPUTED_VALUE"""),"Anota Ai Solucoes Digitais S/a")</f>
        <v>Anota Ai Solucoes Digitais S/a</v>
      </c>
      <c r="R5169" s="33">
        <f>IFERROR(__xludf.DUMMYFUNCTION("""COMPUTED_VALUE"""),0.5)</f>
        <v>0.5</v>
      </c>
      <c r="S5169" s="4" t="str">
        <f>IFERROR(__xludf.DUMMYFUNCTION("""COMPUTED_VALUE"""),"Anota Ai Solucoes Digitais S/a")</f>
        <v>Anota Ai Solucoes Digitais S/a</v>
      </c>
      <c r="T5169" s="33">
        <f>IFERROR(__xludf.DUMMYFUNCTION("""COMPUTED_VALUE"""),1.0)</f>
        <v>1</v>
      </c>
      <c r="U5169" s="4" t="str">
        <f>IFERROR(__xludf.DUMMYFUNCTION("""COMPUTED_VALUE"""),"Anota Ai Solucoes Digitais S/a")</f>
        <v>Anota Ai Solucoes Digitais S/a</v>
      </c>
      <c r="V5169" s="33">
        <f>IFERROR(__xludf.DUMMYFUNCTION("""COMPUTED_VALUE"""),1.0)</f>
        <v>1</v>
      </c>
      <c r="W5169" s="4" t="str">
        <f>IFERROR(__xludf.DUMMYFUNCTION("""COMPUTED_VALUE"""),"Anota Ai Solucoes Digitais S/a")</f>
        <v>Anota Ai Solucoes Digitais S/a</v>
      </c>
      <c r="X5169" s="33">
        <f>IFERROR(__xludf.DUMMYFUNCTION("""COMPUTED_VALUE"""),1.0)</f>
        <v>1</v>
      </c>
    </row>
    <row r="5170">
      <c r="K5170" s="4" t="str">
        <f>IFERROR(__xludf.DUMMYFUNCTION("""COMPUTED_VALUE"""),"SABOR DU CHEF")</f>
        <v>SABOR DU CHEF</v>
      </c>
      <c r="L5170" s="32">
        <f>IFERROR(__xludf.DUMMYFUNCTION("""COMPUTED_VALUE"""),2.0)</f>
        <v>2</v>
      </c>
      <c r="M5170" s="4" t="str">
        <f>IFERROR(__xludf.DUMMYFUNCTION("""COMPUTED_VALUE"""),"Anota Ai Solucoes Digitais S/a")</f>
        <v>Anota Ai Solucoes Digitais S/a</v>
      </c>
      <c r="N5170" s="33">
        <f>IFERROR(__xludf.DUMMYFUNCTION("""COMPUTED_VALUE"""),0.5)</f>
        <v>0.5</v>
      </c>
      <c r="O5170" s="4" t="str">
        <f>IFERROR(__xludf.DUMMYFUNCTION("""COMPUTED_VALUE"""),"Anota Ai Solucoes Digitais S/a")</f>
        <v>Anota Ai Solucoes Digitais S/a</v>
      </c>
      <c r="P5170" s="33">
        <f>IFERROR(__xludf.DUMMYFUNCTION("""COMPUTED_VALUE"""),0.5)</f>
        <v>0.5</v>
      </c>
      <c r="Q5170" s="4" t="str">
        <f>IFERROR(__xludf.DUMMYFUNCTION("""COMPUTED_VALUE"""),"Anota Ai Solucoes Digitais S/a")</f>
        <v>Anota Ai Solucoes Digitais S/a</v>
      </c>
      <c r="R5170" s="33">
        <f>IFERROR(__xludf.DUMMYFUNCTION("""COMPUTED_VALUE"""),0.5)</f>
        <v>0.5</v>
      </c>
      <c r="S5170" s="4" t="str">
        <f>IFERROR(__xludf.DUMMYFUNCTION("""COMPUTED_VALUE"""),"Anota Ai Solucoes Digitais S/a")</f>
        <v>Anota Ai Solucoes Digitais S/a</v>
      </c>
      <c r="T5170" s="33">
        <f>IFERROR(__xludf.DUMMYFUNCTION("""COMPUTED_VALUE"""),0.5)</f>
        <v>0.5</v>
      </c>
      <c r="U5170" s="4" t="str">
        <f>IFERROR(__xludf.DUMMYFUNCTION("""COMPUTED_VALUE"""),"Anota Ai Solucoes Digitais S/a")</f>
        <v>Anota Ai Solucoes Digitais S/a</v>
      </c>
      <c r="V5170" s="33">
        <f>IFERROR(__xludf.DUMMYFUNCTION("""COMPUTED_VALUE"""),0.5)</f>
        <v>0.5</v>
      </c>
      <c r="W5170" s="4" t="str">
        <f>IFERROR(__xludf.DUMMYFUNCTION("""COMPUTED_VALUE"""),"null")</f>
        <v>null</v>
      </c>
      <c r="X5170" s="33">
        <f>IFERROR(__xludf.DUMMYFUNCTION("""COMPUTED_VALUE"""),0.5)</f>
        <v>0.5</v>
      </c>
    </row>
    <row r="5171">
      <c r="K5171" s="4" t="str">
        <f>IFERROR(__xludf.DUMMYFUNCTION("""COMPUTED_VALUE"""),"EMPORIO REAL BOLOS")</f>
        <v>EMPORIO REAL BOLOS</v>
      </c>
      <c r="L5171" s="32">
        <f>IFERROR(__xludf.DUMMYFUNCTION("""COMPUTED_VALUE"""),2.0)</f>
        <v>2</v>
      </c>
      <c r="M5171" s="4" t="str">
        <f>IFERROR(__xludf.DUMMYFUNCTION("""COMPUTED_VALUE"""),"null")</f>
        <v>null</v>
      </c>
      <c r="N5171" s="33">
        <f>IFERROR(__xludf.DUMMYFUNCTION("""COMPUTED_VALUE"""),0.5)</f>
        <v>0.5</v>
      </c>
      <c r="O5171" s="4" t="str">
        <f>IFERROR(__xludf.DUMMYFUNCTION("""COMPUTED_VALUE"""),"null")</f>
        <v>null</v>
      </c>
      <c r="P5171" s="33">
        <f>IFERROR(__xludf.DUMMYFUNCTION("""COMPUTED_VALUE"""),0.5)</f>
        <v>0.5</v>
      </c>
      <c r="Q5171" s="4" t="str">
        <f>IFERROR(__xludf.DUMMYFUNCTION("""COMPUTED_VALUE"""),"Cardápio Web")</f>
        <v>Cardápio Web</v>
      </c>
      <c r="R5171" s="33">
        <f>IFERROR(__xludf.DUMMYFUNCTION("""COMPUTED_VALUE"""),1.0)</f>
        <v>1</v>
      </c>
      <c r="S5171" s="4" t="str">
        <f>IFERROR(__xludf.DUMMYFUNCTION("""COMPUTED_VALUE"""),"Cardápio Web")</f>
        <v>Cardápio Web</v>
      </c>
      <c r="T5171" s="33">
        <f>IFERROR(__xludf.DUMMYFUNCTION("""COMPUTED_VALUE"""),1.0)</f>
        <v>1</v>
      </c>
      <c r="U5171" s="4" t="str">
        <f>IFERROR(__xludf.DUMMYFUNCTION("""COMPUTED_VALUE"""),"Cardápio Web")</f>
        <v>Cardápio Web</v>
      </c>
      <c r="V5171" s="33">
        <f>IFERROR(__xludf.DUMMYFUNCTION("""COMPUTED_VALUE"""),1.0)</f>
        <v>1</v>
      </c>
      <c r="W5171" s="4" t="str">
        <f>IFERROR(__xludf.DUMMYFUNCTION("""COMPUTED_VALUE"""),"Cardápio Web")</f>
        <v>Cardápio Web</v>
      </c>
      <c r="X5171" s="33">
        <f>IFERROR(__xludf.DUMMYFUNCTION("""COMPUTED_VALUE"""),1.0)</f>
        <v>1</v>
      </c>
    </row>
    <row r="5172">
      <c r="K5172" s="4" t="str">
        <f>IFERROR(__xludf.DUMMYFUNCTION("""COMPUTED_VALUE"""),"PADOCA91 PIZZARIA AUTORAL")</f>
        <v>PADOCA91 PIZZARIA AUTORAL</v>
      </c>
      <c r="L5172" s="32">
        <f>IFERROR(__xludf.DUMMYFUNCTION("""COMPUTED_VALUE"""),2.0)</f>
        <v>2</v>
      </c>
      <c r="M5172" s="4" t="str">
        <f>IFERROR(__xludf.DUMMYFUNCTION("""COMPUTED_VALUE"""),"Saipos Serviços De Software")</f>
        <v>Saipos Serviços De Software</v>
      </c>
      <c r="N5172" s="33">
        <f>IFERROR(__xludf.DUMMYFUNCTION("""COMPUTED_VALUE"""),1.0)</f>
        <v>1</v>
      </c>
      <c r="O5172" s="4" t="str">
        <f>IFERROR(__xludf.DUMMYFUNCTION("""COMPUTED_VALUE"""),"Saipos Serviços De Software")</f>
        <v>Saipos Serviços De Software</v>
      </c>
      <c r="P5172" s="33">
        <f>IFERROR(__xludf.DUMMYFUNCTION("""COMPUTED_VALUE"""),1.0)</f>
        <v>1</v>
      </c>
      <c r="Q5172" s="4" t="str">
        <f>IFERROR(__xludf.DUMMYFUNCTION("""COMPUTED_VALUE"""),"Saipos Serviços De Software")</f>
        <v>Saipos Serviços De Software</v>
      </c>
      <c r="R5172" s="33">
        <f>IFERROR(__xludf.DUMMYFUNCTION("""COMPUTED_VALUE"""),1.0)</f>
        <v>1</v>
      </c>
      <c r="S5172" s="4" t="str">
        <f>IFERROR(__xludf.DUMMYFUNCTION("""COMPUTED_VALUE"""),"Saipos Serviços De Software")</f>
        <v>Saipos Serviços De Software</v>
      </c>
      <c r="T5172" s="33">
        <f>IFERROR(__xludf.DUMMYFUNCTION("""COMPUTED_VALUE"""),1.0)</f>
        <v>1</v>
      </c>
      <c r="U5172" s="4" t="str">
        <f>IFERROR(__xludf.DUMMYFUNCTION("""COMPUTED_VALUE"""),"Saipos Serviços De Software")</f>
        <v>Saipos Serviços De Software</v>
      </c>
      <c r="V5172" s="33">
        <f>IFERROR(__xludf.DUMMYFUNCTION("""COMPUTED_VALUE"""),1.0)</f>
        <v>1</v>
      </c>
      <c r="W5172" s="4" t="str">
        <f>IFERROR(__xludf.DUMMYFUNCTION("""COMPUTED_VALUE"""),"Saipos Serviços De Software")</f>
        <v>Saipos Serviços De Software</v>
      </c>
      <c r="X5172" s="33">
        <f>IFERROR(__xludf.DUMMYFUNCTION("""COMPUTED_VALUE"""),1.0)</f>
        <v>1</v>
      </c>
    </row>
    <row r="5173">
      <c r="K5173" s="4" t="str">
        <f>IFERROR(__xludf.DUMMYFUNCTION("""COMPUTED_VALUE"""),"BOMBA BURGER")</f>
        <v>BOMBA BURGER</v>
      </c>
      <c r="L5173" s="32">
        <f>IFERROR(__xludf.DUMMYFUNCTION("""COMPUTED_VALUE"""),2.0)</f>
        <v>2</v>
      </c>
      <c r="M5173" s="4" t="str">
        <f>IFERROR(__xludf.DUMMYFUNCTION("""COMPUTED_VALUE"""),"Anota Ai Solucoes Digitais S/a")</f>
        <v>Anota Ai Solucoes Digitais S/a</v>
      </c>
      <c r="N5173" s="33">
        <f>IFERROR(__xludf.DUMMYFUNCTION("""COMPUTED_VALUE"""),0.5)</f>
        <v>0.5</v>
      </c>
      <c r="O5173" s="4" t="str">
        <f>IFERROR(__xludf.DUMMYFUNCTION("""COMPUTED_VALUE"""),"Anota Ai Solucoes Digitais S/a")</f>
        <v>Anota Ai Solucoes Digitais S/a</v>
      </c>
      <c r="P5173" s="33">
        <f>IFERROR(__xludf.DUMMYFUNCTION("""COMPUTED_VALUE"""),0.5)</f>
        <v>0.5</v>
      </c>
      <c r="Q5173" s="4" t="str">
        <f>IFERROR(__xludf.DUMMYFUNCTION("""COMPUTED_VALUE"""),"Anota Ai Solucoes Digitais S/a")</f>
        <v>Anota Ai Solucoes Digitais S/a</v>
      </c>
      <c r="R5173" s="33">
        <f>IFERROR(__xludf.DUMMYFUNCTION("""COMPUTED_VALUE"""),0.5)</f>
        <v>0.5</v>
      </c>
      <c r="S5173" s="4" t="str">
        <f>IFERROR(__xludf.DUMMYFUNCTION("""COMPUTED_VALUE"""),"Anota Ai Solucoes Digitais S/a")</f>
        <v>Anota Ai Solucoes Digitais S/a</v>
      </c>
      <c r="T5173" s="33">
        <f>IFERROR(__xludf.DUMMYFUNCTION("""COMPUTED_VALUE"""),0.5)</f>
        <v>0.5</v>
      </c>
      <c r="U5173" s="4" t="str">
        <f>IFERROR(__xludf.DUMMYFUNCTION("""COMPUTED_VALUE"""),"Anota Ai Solucoes Digitais S/a")</f>
        <v>Anota Ai Solucoes Digitais S/a</v>
      </c>
      <c r="V5173" s="33">
        <f>IFERROR(__xludf.DUMMYFUNCTION("""COMPUTED_VALUE"""),0.5)</f>
        <v>0.5</v>
      </c>
      <c r="W5173" s="4" t="str">
        <f>IFERROR(__xludf.DUMMYFUNCTION("""COMPUTED_VALUE"""),"Anota Ai Solucoes Digitais S/a")</f>
        <v>Anota Ai Solucoes Digitais S/a</v>
      </c>
      <c r="X5173" s="33">
        <f>IFERROR(__xludf.DUMMYFUNCTION("""COMPUTED_VALUE"""),0.5)</f>
        <v>0.5</v>
      </c>
    </row>
    <row r="5174">
      <c r="K5174" s="4" t="str">
        <f>IFERROR(__xludf.DUMMYFUNCTION("""COMPUTED_VALUE"""),"CLUB DO ACAI")</f>
        <v>CLUB DO ACAI</v>
      </c>
      <c r="L5174" s="32">
        <f>IFERROR(__xludf.DUMMYFUNCTION("""COMPUTED_VALUE"""),2.0)</f>
        <v>2</v>
      </c>
      <c r="M5174" s="4" t="str">
        <f>IFERROR(__xludf.DUMMYFUNCTION("""COMPUTED_VALUE"""),"null")</f>
        <v>null</v>
      </c>
      <c r="N5174" s="33">
        <f>IFERROR(__xludf.DUMMYFUNCTION("""COMPUTED_VALUE"""),1.0)</f>
        <v>1</v>
      </c>
      <c r="O5174" s="4" t="str">
        <f>IFERROR(__xludf.DUMMYFUNCTION("""COMPUTED_VALUE"""),"Mapp Sistemas")</f>
        <v>Mapp Sistemas</v>
      </c>
      <c r="P5174" s="33">
        <f>IFERROR(__xludf.DUMMYFUNCTION("""COMPUTED_VALUE"""),0.5)</f>
        <v>0.5</v>
      </c>
      <c r="Q5174" s="4" t="str">
        <f>IFERROR(__xludf.DUMMYFUNCTION("""COMPUTED_VALUE"""),"null")</f>
        <v>null</v>
      </c>
      <c r="R5174" s="33">
        <f>IFERROR(__xludf.DUMMYFUNCTION("""COMPUTED_VALUE"""),1.0)</f>
        <v>1</v>
      </c>
      <c r="S5174" s="4" t="str">
        <f>IFERROR(__xludf.DUMMYFUNCTION("""COMPUTED_VALUE"""),"null")</f>
        <v>null</v>
      </c>
      <c r="T5174" s="33">
        <f>IFERROR(__xludf.DUMMYFUNCTION("""COMPUTED_VALUE"""),1.0)</f>
        <v>1</v>
      </c>
      <c r="U5174" s="4" t="str">
        <f>IFERROR(__xludf.DUMMYFUNCTION("""COMPUTED_VALUE"""),"null")</f>
        <v>null</v>
      </c>
      <c r="V5174" s="33">
        <f>IFERROR(__xludf.DUMMYFUNCTION("""COMPUTED_VALUE"""),0.5)</f>
        <v>0.5</v>
      </c>
      <c r="W5174" s="4" t="str">
        <f>IFERROR(__xludf.DUMMYFUNCTION("""COMPUTED_VALUE"""),"null")</f>
        <v>null</v>
      </c>
      <c r="X5174" s="33">
        <f>IFERROR(__xludf.DUMMYFUNCTION("""COMPUTED_VALUE"""),0.5)</f>
        <v>0.5</v>
      </c>
    </row>
    <row r="5175">
      <c r="K5175" s="4" t="str">
        <f>IFERROR(__xludf.DUMMYFUNCTION("""COMPUTED_VALUE"""),"SABORYA")</f>
        <v>SABORYA</v>
      </c>
      <c r="L5175" s="32">
        <f>IFERROR(__xludf.DUMMYFUNCTION("""COMPUTED_VALUE"""),2.0)</f>
        <v>2</v>
      </c>
      <c r="M5175" s="4" t="str">
        <f>IFERROR(__xludf.DUMMYFUNCTION("""COMPUTED_VALUE"""),"null")</f>
        <v>null</v>
      </c>
      <c r="N5175" s="33">
        <f>IFERROR(__xludf.DUMMYFUNCTION("""COMPUTED_VALUE"""),0.5)</f>
        <v>0.5</v>
      </c>
      <c r="O5175" s="4" t="str">
        <f>IFERROR(__xludf.DUMMYFUNCTION("""COMPUTED_VALUE"""),"null")</f>
        <v>null</v>
      </c>
      <c r="P5175" s="33">
        <f>IFERROR(__xludf.DUMMYFUNCTION("""COMPUTED_VALUE"""),0.5)</f>
        <v>0.5</v>
      </c>
      <c r="Q5175" s="4" t="str">
        <f>IFERROR(__xludf.DUMMYFUNCTION("""COMPUTED_VALUE"""),"null")</f>
        <v>null</v>
      </c>
      <c r="R5175" s="33">
        <f>IFERROR(__xludf.DUMMYFUNCTION("""COMPUTED_VALUE"""),0.5)</f>
        <v>0.5</v>
      </c>
      <c r="S5175" s="4" t="str">
        <f>IFERROR(__xludf.DUMMYFUNCTION("""COMPUTED_VALUE"""),"null")</f>
        <v>null</v>
      </c>
      <c r="T5175" s="33">
        <f>IFERROR(__xludf.DUMMYFUNCTION("""COMPUTED_VALUE"""),0.5)</f>
        <v>0.5</v>
      </c>
      <c r="U5175" s="4" t="str">
        <f>IFERROR(__xludf.DUMMYFUNCTION("""COMPUTED_VALUE"""),"Consumer Soluções Em Tecnologia Ltda")</f>
        <v>Consumer Soluções Em Tecnologia Ltda</v>
      </c>
      <c r="V5175" s="33">
        <f>IFERROR(__xludf.DUMMYFUNCTION("""COMPUTED_VALUE"""),0.5)</f>
        <v>0.5</v>
      </c>
      <c r="W5175" s="4" t="str">
        <f>IFERROR(__xludf.DUMMYFUNCTION("""COMPUTED_VALUE"""),"Consumer Soluções Em Tecnologia Ltda")</f>
        <v>Consumer Soluções Em Tecnologia Ltda</v>
      </c>
      <c r="X5175" s="33">
        <f>IFERROR(__xludf.DUMMYFUNCTION("""COMPUTED_VALUE"""),0.5)</f>
        <v>0.5</v>
      </c>
    </row>
    <row r="5176">
      <c r="K5176" s="4" t="str">
        <f>IFERROR(__xludf.DUMMYFUNCTION("""COMPUTED_VALUE"""),"LAU SWEETIES CONFEITARIA E DOCERIA JARDIM DA PENHA")</f>
        <v>LAU SWEETIES CONFEITARIA E DOCERIA JARDIM DA PENHA</v>
      </c>
      <c r="L5176" s="32">
        <f>IFERROR(__xludf.DUMMYFUNCTION("""COMPUTED_VALUE"""),2.0)</f>
        <v>2</v>
      </c>
      <c r="M5176" s="4" t="str">
        <f>IFERROR(__xludf.DUMMYFUNCTION("""COMPUTED_VALUE"""),"null")</f>
        <v>null</v>
      </c>
      <c r="N5176" s="33">
        <f>IFERROR(__xludf.DUMMYFUNCTION("""COMPUTED_VALUE"""),0.5)</f>
        <v>0.5</v>
      </c>
      <c r="O5176" s="4" t="str">
        <f>IFERROR(__xludf.DUMMYFUNCTION("""COMPUTED_VALUE"""),"null")</f>
        <v>null</v>
      </c>
      <c r="P5176" s="33">
        <f>IFERROR(__xludf.DUMMYFUNCTION("""COMPUTED_VALUE"""),0.5)</f>
        <v>0.5</v>
      </c>
      <c r="Q5176" s="4" t="str">
        <f>IFERROR(__xludf.DUMMYFUNCTION("""COMPUTED_VALUE"""),"null")</f>
        <v>null</v>
      </c>
      <c r="R5176" s="33">
        <f>IFERROR(__xludf.DUMMYFUNCTION("""COMPUTED_VALUE"""),0.5)</f>
        <v>0.5</v>
      </c>
      <c r="S5176" s="4" t="str">
        <f>IFERROR(__xludf.DUMMYFUNCTION("""COMPUTED_VALUE"""),"Takeat Tecnologia")</f>
        <v>Takeat Tecnologia</v>
      </c>
      <c r="T5176" s="33">
        <f>IFERROR(__xludf.DUMMYFUNCTION("""COMPUTED_VALUE"""),1.0)</f>
        <v>1</v>
      </c>
      <c r="U5176" s="4" t="str">
        <f>IFERROR(__xludf.DUMMYFUNCTION("""COMPUTED_VALUE"""),"Takeat Tecnologia")</f>
        <v>Takeat Tecnologia</v>
      </c>
      <c r="V5176" s="33">
        <f>IFERROR(__xludf.DUMMYFUNCTION("""COMPUTED_VALUE"""),1.0)</f>
        <v>1</v>
      </c>
      <c r="W5176" s="4" t="str">
        <f>IFERROR(__xludf.DUMMYFUNCTION("""COMPUTED_VALUE"""),"Takeat Tecnologia")</f>
        <v>Takeat Tecnologia</v>
      </c>
      <c r="X5176" s="33">
        <f>IFERROR(__xludf.DUMMYFUNCTION("""COMPUTED_VALUE"""),1.0)</f>
        <v>1</v>
      </c>
    </row>
    <row r="5177">
      <c r="K5177" s="4" t="str">
        <f>IFERROR(__xludf.DUMMYFUNCTION("""COMPUTED_VALUE"""),"LETS PIZZA")</f>
        <v>LETS PIZZA</v>
      </c>
      <c r="L5177" s="32">
        <f>IFERROR(__xludf.DUMMYFUNCTION("""COMPUTED_VALUE"""),2.0)</f>
        <v>2</v>
      </c>
      <c r="M5177" s="4" t="str">
        <f>IFERROR(__xludf.DUMMYFUNCTION("""COMPUTED_VALUE"""),"Netcontroll Xmenu")</f>
        <v>Netcontroll Xmenu</v>
      </c>
      <c r="N5177" s="33">
        <f>IFERROR(__xludf.DUMMYFUNCTION("""COMPUTED_VALUE"""),0.5)</f>
        <v>0.5</v>
      </c>
      <c r="O5177" s="4" t="str">
        <f>IFERROR(__xludf.DUMMYFUNCTION("""COMPUTED_VALUE"""),"Netcontroll Xmenu")</f>
        <v>Netcontroll Xmenu</v>
      </c>
      <c r="P5177" s="33">
        <f>IFERROR(__xludf.DUMMYFUNCTION("""COMPUTED_VALUE"""),0.5)</f>
        <v>0.5</v>
      </c>
      <c r="Q5177" s="4" t="str">
        <f>IFERROR(__xludf.DUMMYFUNCTION("""COMPUTED_VALUE"""),"Netcontroll Xmenu")</f>
        <v>Netcontroll Xmenu</v>
      </c>
      <c r="R5177" s="33">
        <f>IFERROR(__xludf.DUMMYFUNCTION("""COMPUTED_VALUE"""),0.5)</f>
        <v>0.5</v>
      </c>
      <c r="S5177" s="4" t="str">
        <f>IFERROR(__xludf.DUMMYFUNCTION("""COMPUTED_VALUE"""),"Netcontroll Xmenu")</f>
        <v>Netcontroll Xmenu</v>
      </c>
      <c r="T5177" s="33">
        <f>IFERROR(__xludf.DUMMYFUNCTION("""COMPUTED_VALUE"""),0.5)</f>
        <v>0.5</v>
      </c>
      <c r="U5177" s="4" t="str">
        <f>IFERROR(__xludf.DUMMYFUNCTION("""COMPUTED_VALUE"""),"Netcontroll Xmenu")</f>
        <v>Netcontroll Xmenu</v>
      </c>
      <c r="V5177" s="33">
        <f>IFERROR(__xludf.DUMMYFUNCTION("""COMPUTED_VALUE"""),0.5)</f>
        <v>0.5</v>
      </c>
      <c r="W5177" s="4" t="str">
        <f>IFERROR(__xludf.DUMMYFUNCTION("""COMPUTED_VALUE"""),"Netcontroll Xmenu")</f>
        <v>Netcontroll Xmenu</v>
      </c>
      <c r="X5177" s="33">
        <f>IFERROR(__xludf.DUMMYFUNCTION("""COMPUTED_VALUE"""),0.5)</f>
        <v>0.5</v>
      </c>
    </row>
    <row r="5178">
      <c r="K5178" s="4" t="str">
        <f>IFERROR(__xludf.DUMMYFUNCTION("""COMPUTED_VALUE"""),"BROTEI PIZZAS")</f>
        <v>BROTEI PIZZAS</v>
      </c>
      <c r="L5178" s="32">
        <f>IFERROR(__xludf.DUMMYFUNCTION("""COMPUTED_VALUE"""),2.0)</f>
        <v>2</v>
      </c>
      <c r="M5178" s="4" t="str">
        <f>IFERROR(__xludf.DUMMYFUNCTION("""COMPUTED_VALUE"""),"null")</f>
        <v>null</v>
      </c>
      <c r="N5178" s="33">
        <f>IFERROR(__xludf.DUMMYFUNCTION("""COMPUTED_VALUE"""),1.0)</f>
        <v>1</v>
      </c>
      <c r="O5178" s="4" t="str">
        <f>IFERROR(__xludf.DUMMYFUNCTION("""COMPUTED_VALUE"""),"null")</f>
        <v>null</v>
      </c>
      <c r="P5178" s="33">
        <f>IFERROR(__xludf.DUMMYFUNCTION("""COMPUTED_VALUE"""),1.0)</f>
        <v>1</v>
      </c>
      <c r="Q5178" s="4" t="str">
        <f>IFERROR(__xludf.DUMMYFUNCTION("""COMPUTED_VALUE"""),"null")</f>
        <v>null</v>
      </c>
      <c r="R5178" s="33">
        <f>IFERROR(__xludf.DUMMYFUNCTION("""COMPUTED_VALUE"""),1.0)</f>
        <v>1</v>
      </c>
      <c r="S5178" s="4" t="str">
        <f>IFERROR(__xludf.DUMMYFUNCTION("""COMPUTED_VALUE"""),"null")</f>
        <v>null</v>
      </c>
      <c r="T5178" s="33">
        <f>IFERROR(__xludf.DUMMYFUNCTION("""COMPUTED_VALUE"""),1.0)</f>
        <v>1</v>
      </c>
      <c r="U5178" s="4" t="str">
        <f>IFERROR(__xludf.DUMMYFUNCTION("""COMPUTED_VALUE"""),"Beefood - Sistema Para Restaurantes")</f>
        <v>Beefood - Sistema Para Restaurantes</v>
      </c>
      <c r="V5178" s="33">
        <f>IFERROR(__xludf.DUMMYFUNCTION("""COMPUTED_VALUE"""),1.0)</f>
        <v>1</v>
      </c>
      <c r="W5178" s="4" t="str">
        <f>IFERROR(__xludf.DUMMYFUNCTION("""COMPUTED_VALUE"""),"null")</f>
        <v>null</v>
      </c>
      <c r="X5178" s="33">
        <f>IFERROR(__xludf.DUMMYFUNCTION("""COMPUTED_VALUE"""),1.0)</f>
        <v>1</v>
      </c>
    </row>
    <row r="5179">
      <c r="K5179" s="4" t="str">
        <f>IFERROR(__xludf.DUMMYFUNCTION("""COMPUTED_VALUE"""),"EXPRESSO LANCHES")</f>
        <v>EXPRESSO LANCHES</v>
      </c>
      <c r="L5179" s="32">
        <f>IFERROR(__xludf.DUMMYFUNCTION("""COMPUTED_VALUE"""),2.0)</f>
        <v>2</v>
      </c>
      <c r="M5179" s="4" t="str">
        <f>IFERROR(__xludf.DUMMYFUNCTION("""COMPUTED_VALUE"""),"Mp Multipedidos")</f>
        <v>Mp Multipedidos</v>
      </c>
      <c r="N5179" s="33">
        <f>IFERROR(__xludf.DUMMYFUNCTION("""COMPUTED_VALUE"""),0.5)</f>
        <v>0.5</v>
      </c>
      <c r="O5179" s="4" t="str">
        <f>IFERROR(__xludf.DUMMYFUNCTION("""COMPUTED_VALUE"""),"Mp Multipedidos")</f>
        <v>Mp Multipedidos</v>
      </c>
      <c r="P5179" s="33">
        <f>IFERROR(__xludf.DUMMYFUNCTION("""COMPUTED_VALUE"""),0.5)</f>
        <v>0.5</v>
      </c>
      <c r="Q5179" s="4" t="str">
        <f>IFERROR(__xludf.DUMMYFUNCTION("""COMPUTED_VALUE"""),"Mp Multipedidos")</f>
        <v>Mp Multipedidos</v>
      </c>
      <c r="R5179" s="33">
        <f>IFERROR(__xludf.DUMMYFUNCTION("""COMPUTED_VALUE"""),0.5)</f>
        <v>0.5</v>
      </c>
      <c r="S5179" s="4" t="str">
        <f>IFERROR(__xludf.DUMMYFUNCTION("""COMPUTED_VALUE"""),"null")</f>
        <v>null</v>
      </c>
      <c r="T5179" s="33">
        <f>IFERROR(__xludf.DUMMYFUNCTION("""COMPUTED_VALUE"""),0.5)</f>
        <v>0.5</v>
      </c>
      <c r="U5179" s="4" t="str">
        <f>IFERROR(__xludf.DUMMYFUNCTION("""COMPUTED_VALUE"""),"Mp Multipedidos")</f>
        <v>Mp Multipedidos</v>
      </c>
      <c r="V5179" s="33">
        <f>IFERROR(__xludf.DUMMYFUNCTION("""COMPUTED_VALUE"""),0.5)</f>
        <v>0.5</v>
      </c>
      <c r="W5179" s="4" t="str">
        <f>IFERROR(__xludf.DUMMYFUNCTION("""COMPUTED_VALUE"""),"null")</f>
        <v>null</v>
      </c>
      <c r="X5179" s="33">
        <f>IFERROR(__xludf.DUMMYFUNCTION("""COMPUTED_VALUE"""),0.5)</f>
        <v>0.5</v>
      </c>
    </row>
    <row r="5180">
      <c r="K5180" s="4" t="str">
        <f>IFERROR(__xludf.DUMMYFUNCTION("""COMPUTED_VALUE"""),"JUBS PIZZARIA")</f>
        <v>JUBS PIZZARIA</v>
      </c>
      <c r="L5180" s="32">
        <f>IFERROR(__xludf.DUMMYFUNCTION("""COMPUTED_VALUE"""),2.0)</f>
        <v>2</v>
      </c>
      <c r="M5180" s="4" t="str">
        <f>IFERROR(__xludf.DUMMYFUNCTION("""COMPUTED_VALUE"""),"Yooga")</f>
        <v>Yooga</v>
      </c>
      <c r="N5180" s="33">
        <f>IFERROR(__xludf.DUMMYFUNCTION("""COMPUTED_VALUE"""),0.5)</f>
        <v>0.5</v>
      </c>
      <c r="O5180" s="4" t="str">
        <f>IFERROR(__xludf.DUMMYFUNCTION("""COMPUTED_VALUE"""),"Yooga")</f>
        <v>Yooga</v>
      </c>
      <c r="P5180" s="33">
        <f>IFERROR(__xludf.DUMMYFUNCTION("""COMPUTED_VALUE"""),0.5)</f>
        <v>0.5</v>
      </c>
      <c r="Q5180" s="4" t="str">
        <f>IFERROR(__xludf.DUMMYFUNCTION("""COMPUTED_VALUE"""),"Yooga")</f>
        <v>Yooga</v>
      </c>
      <c r="R5180" s="33">
        <f>IFERROR(__xludf.DUMMYFUNCTION("""COMPUTED_VALUE"""),0.5)</f>
        <v>0.5</v>
      </c>
      <c r="S5180" s="4" t="str">
        <f>IFERROR(__xludf.DUMMYFUNCTION("""COMPUTED_VALUE"""),"Yooga")</f>
        <v>Yooga</v>
      </c>
      <c r="T5180" s="33">
        <f>IFERROR(__xludf.DUMMYFUNCTION("""COMPUTED_VALUE"""),0.5)</f>
        <v>0.5</v>
      </c>
      <c r="U5180" s="4" t="str">
        <f>IFERROR(__xludf.DUMMYFUNCTION("""COMPUTED_VALUE"""),"Yooga")</f>
        <v>Yooga</v>
      </c>
      <c r="V5180" s="33">
        <f>IFERROR(__xludf.DUMMYFUNCTION("""COMPUTED_VALUE"""),1.0)</f>
        <v>1</v>
      </c>
      <c r="W5180" s="4" t="str">
        <f>IFERROR(__xludf.DUMMYFUNCTION("""COMPUTED_VALUE"""),"null")</f>
        <v>null</v>
      </c>
      <c r="X5180" s="33">
        <f>IFERROR(__xludf.DUMMYFUNCTION("""COMPUTED_VALUE"""),0.5)</f>
        <v>0.5</v>
      </c>
    </row>
    <row r="5181">
      <c r="K5181" s="4" t="str">
        <f>IFERROR(__xludf.DUMMYFUNCTION("""COMPUTED_VALUE"""),"RESTAURANTE DE MAINHA - ENTREGA RAPIDA")</f>
        <v>RESTAURANTE DE MAINHA - ENTREGA RAPIDA</v>
      </c>
      <c r="L5181" s="32">
        <f>IFERROR(__xludf.DUMMYFUNCTION("""COMPUTED_VALUE"""),2.0)</f>
        <v>2</v>
      </c>
      <c r="M5181" s="4" t="str">
        <f>IFERROR(__xludf.DUMMYFUNCTION("""COMPUTED_VALUE"""),"Cardápio Web")</f>
        <v>Cardápio Web</v>
      </c>
      <c r="N5181" s="33">
        <f>IFERROR(__xludf.DUMMYFUNCTION("""COMPUTED_VALUE"""),1.0)</f>
        <v>1</v>
      </c>
      <c r="O5181" s="4" t="str">
        <f>IFERROR(__xludf.DUMMYFUNCTION("""COMPUTED_VALUE"""),"Cardápio Web")</f>
        <v>Cardápio Web</v>
      </c>
      <c r="P5181" s="33">
        <f>IFERROR(__xludf.DUMMYFUNCTION("""COMPUTED_VALUE"""),0.5)</f>
        <v>0.5</v>
      </c>
      <c r="Q5181" s="4" t="str">
        <f>IFERROR(__xludf.DUMMYFUNCTION("""COMPUTED_VALUE"""),"null")</f>
        <v>null</v>
      </c>
      <c r="R5181" s="33">
        <f>IFERROR(__xludf.DUMMYFUNCTION("""COMPUTED_VALUE"""),1.0)</f>
        <v>1</v>
      </c>
      <c r="S5181" s="4" t="str">
        <f>IFERROR(__xludf.DUMMYFUNCTION("""COMPUTED_VALUE"""),"Cardápio Web")</f>
        <v>Cardápio Web</v>
      </c>
      <c r="T5181" s="33">
        <f>IFERROR(__xludf.DUMMYFUNCTION("""COMPUTED_VALUE"""),0.5)</f>
        <v>0.5</v>
      </c>
      <c r="U5181" s="4" t="str">
        <f>IFERROR(__xludf.DUMMYFUNCTION("""COMPUTED_VALUE"""),"Cardápio Web")</f>
        <v>Cardápio Web</v>
      </c>
      <c r="V5181" s="33">
        <f>IFERROR(__xludf.DUMMYFUNCTION("""COMPUTED_VALUE"""),0.5)</f>
        <v>0.5</v>
      </c>
      <c r="W5181" s="4" t="str">
        <f>IFERROR(__xludf.DUMMYFUNCTION("""COMPUTED_VALUE"""),"Cardápio Web")</f>
        <v>Cardápio Web</v>
      </c>
      <c r="X5181" s="33">
        <f>IFERROR(__xludf.DUMMYFUNCTION("""COMPUTED_VALUE"""),0.5)</f>
        <v>0.5</v>
      </c>
    </row>
    <row r="5182">
      <c r="K5182" s="4" t="str">
        <f>IFERROR(__xludf.DUMMYFUNCTION("""COMPUTED_VALUE"""),"MEU CROISSANT")</f>
        <v>MEU CROISSANT</v>
      </c>
      <c r="L5182" s="32">
        <f>IFERROR(__xludf.DUMMYFUNCTION("""COMPUTED_VALUE"""),2.0)</f>
        <v>2</v>
      </c>
      <c r="M5182" s="4" t="str">
        <f>IFERROR(__xludf.DUMMYFUNCTION("""COMPUTED_VALUE"""),"null")</f>
        <v>null</v>
      </c>
      <c r="N5182" s="33">
        <f>IFERROR(__xludf.DUMMYFUNCTION("""COMPUTED_VALUE"""),1.0)</f>
        <v>1</v>
      </c>
      <c r="O5182" s="4" t="str">
        <f>IFERROR(__xludf.DUMMYFUNCTION("""COMPUTED_VALUE"""),"null")</f>
        <v>null</v>
      </c>
      <c r="P5182" s="33">
        <f>IFERROR(__xludf.DUMMYFUNCTION("""COMPUTED_VALUE"""),1.0)</f>
        <v>1</v>
      </c>
      <c r="Q5182" s="4" t="str">
        <f>IFERROR(__xludf.DUMMYFUNCTION("""COMPUTED_VALUE"""),"null")</f>
        <v>null</v>
      </c>
      <c r="R5182" s="33">
        <f>IFERROR(__xludf.DUMMYFUNCTION("""COMPUTED_VALUE"""),1.0)</f>
        <v>1</v>
      </c>
      <c r="S5182" s="4" t="str">
        <f>IFERROR(__xludf.DUMMYFUNCTION("""COMPUTED_VALUE"""),"Saipos Serviços De Software")</f>
        <v>Saipos Serviços De Software</v>
      </c>
      <c r="T5182" s="33">
        <f>IFERROR(__xludf.DUMMYFUNCTION("""COMPUTED_VALUE"""),1.0)</f>
        <v>1</v>
      </c>
      <c r="U5182" s="4" t="str">
        <f>IFERROR(__xludf.DUMMYFUNCTION("""COMPUTED_VALUE"""),"Saipos Serviços De Software")</f>
        <v>Saipos Serviços De Software</v>
      </c>
      <c r="V5182" s="33">
        <f>IFERROR(__xludf.DUMMYFUNCTION("""COMPUTED_VALUE"""),1.0)</f>
        <v>1</v>
      </c>
      <c r="W5182" s="4" t="str">
        <f>IFERROR(__xludf.DUMMYFUNCTION("""COMPUTED_VALUE"""),"Saipos Serviços De Software")</f>
        <v>Saipos Serviços De Software</v>
      </c>
      <c r="X5182" s="33">
        <f>IFERROR(__xludf.DUMMYFUNCTION("""COMPUTED_VALUE"""),1.0)</f>
        <v>1</v>
      </c>
    </row>
    <row r="5183">
      <c r="K5183" s="4" t="str">
        <f>IFERROR(__xludf.DUMMYFUNCTION("""COMPUTED_VALUE"""),"PIZZARIA DO CHEF")</f>
        <v>PIZZARIA DO CHEF</v>
      </c>
      <c r="L5183" s="32">
        <f>IFERROR(__xludf.DUMMYFUNCTION("""COMPUTED_VALUE"""),2.0)</f>
        <v>2</v>
      </c>
      <c r="M5183" s="4" t="str">
        <f>IFERROR(__xludf.DUMMYFUNCTION("""COMPUTED_VALUE"""),"null")</f>
        <v>null</v>
      </c>
      <c r="N5183" s="33">
        <f>IFERROR(__xludf.DUMMYFUNCTION("""COMPUTED_VALUE"""),0.5)</f>
        <v>0.5</v>
      </c>
      <c r="O5183" s="4" t="str">
        <f>IFERROR(__xludf.DUMMYFUNCTION("""COMPUTED_VALUE"""),"null")</f>
        <v>null</v>
      </c>
      <c r="P5183" s="33">
        <f>IFERROR(__xludf.DUMMYFUNCTION("""COMPUTED_VALUE"""),0.5)</f>
        <v>0.5</v>
      </c>
      <c r="Q5183" s="4" t="str">
        <f>IFERROR(__xludf.DUMMYFUNCTION("""COMPUTED_VALUE"""),"null")</f>
        <v>null</v>
      </c>
      <c r="R5183" s="33">
        <f>IFERROR(__xludf.DUMMYFUNCTION("""COMPUTED_VALUE"""),1.0)</f>
        <v>1</v>
      </c>
      <c r="S5183" s="4" t="str">
        <f>IFERROR(__xludf.DUMMYFUNCTION("""COMPUTED_VALUE"""),"No Mercado Representacoes Ltda")</f>
        <v>No Mercado Representacoes Ltda</v>
      </c>
      <c r="T5183" s="33">
        <f>IFERROR(__xludf.DUMMYFUNCTION("""COMPUTED_VALUE"""),0.5)</f>
        <v>0.5</v>
      </c>
      <c r="U5183" s="4" t="str">
        <f>IFERROR(__xludf.DUMMYFUNCTION("""COMPUTED_VALUE"""),"No Mercado Representacoes Ltda")</f>
        <v>No Mercado Representacoes Ltda</v>
      </c>
      <c r="V5183" s="33">
        <f>IFERROR(__xludf.DUMMYFUNCTION("""COMPUTED_VALUE"""),0.5)</f>
        <v>0.5</v>
      </c>
      <c r="W5183" s="4" t="str">
        <f>IFERROR(__xludf.DUMMYFUNCTION("""COMPUTED_VALUE"""),"No Mercado Representacoes Ltda")</f>
        <v>No Mercado Representacoes Ltda</v>
      </c>
      <c r="X5183" s="33">
        <f>IFERROR(__xludf.DUMMYFUNCTION("""COMPUTED_VALUE"""),0.5)</f>
        <v>0.5</v>
      </c>
    </row>
    <row r="5184">
      <c r="K5184" s="4" t="str">
        <f>IFERROR(__xludf.DUMMYFUNCTION("""COMPUTED_VALUE"""),"TOP SUSHI CUIABA")</f>
        <v>TOP SUSHI CUIABA</v>
      </c>
      <c r="L5184" s="32">
        <f>IFERROR(__xludf.DUMMYFUNCTION("""COMPUTED_VALUE"""),2.0)</f>
        <v>2</v>
      </c>
      <c r="M5184" s="4" t="str">
        <f>IFERROR(__xludf.DUMMYFUNCTION("""COMPUTED_VALUE"""),"null")</f>
        <v>null</v>
      </c>
      <c r="N5184" s="33">
        <f>IFERROR(__xludf.DUMMYFUNCTION("""COMPUTED_VALUE"""),0.5)</f>
        <v>0.5</v>
      </c>
      <c r="O5184" s="4" t="str">
        <f>IFERROR(__xludf.DUMMYFUNCTION("""COMPUTED_VALUE"""),"null")</f>
        <v>null</v>
      </c>
      <c r="P5184" s="33">
        <f>IFERROR(__xludf.DUMMYFUNCTION("""COMPUTED_VALUE"""),0.5)</f>
        <v>0.5</v>
      </c>
      <c r="Q5184" s="4" t="str">
        <f>IFERROR(__xludf.DUMMYFUNCTION("""COMPUTED_VALUE"""),"null")</f>
        <v>null</v>
      </c>
      <c r="R5184" s="33">
        <f>IFERROR(__xludf.DUMMYFUNCTION("""COMPUTED_VALUE"""),0.5)</f>
        <v>0.5</v>
      </c>
      <c r="S5184" s="4" t="str">
        <f>IFERROR(__xludf.DUMMYFUNCTION("""COMPUTED_VALUE"""),"null")</f>
        <v>null</v>
      </c>
      <c r="T5184" s="33">
        <f>IFERROR(__xludf.DUMMYFUNCTION("""COMPUTED_VALUE"""),0.5)</f>
        <v>0.5</v>
      </c>
      <c r="U5184" s="4" t="str">
        <f>IFERROR(__xludf.DUMMYFUNCTION("""COMPUTED_VALUE"""),"Instadelivery")</f>
        <v>Instadelivery</v>
      </c>
      <c r="V5184" s="33">
        <f>IFERROR(__xludf.DUMMYFUNCTION("""COMPUTED_VALUE"""),0.5)</f>
        <v>0.5</v>
      </c>
      <c r="W5184" s="4" t="str">
        <f>IFERROR(__xludf.DUMMYFUNCTION("""COMPUTED_VALUE"""),"Instadelivery")</f>
        <v>Instadelivery</v>
      </c>
      <c r="X5184" s="33">
        <f>IFERROR(__xludf.DUMMYFUNCTION("""COMPUTED_VALUE"""),0.5)</f>
        <v>0.5</v>
      </c>
    </row>
    <row r="5185">
      <c r="K5185" s="4" t="str">
        <f>IFERROR(__xludf.DUMMYFUNCTION("""COMPUTED_VALUE"""),"NK DISTRIBUIDORA")</f>
        <v>NK DISTRIBUIDORA</v>
      </c>
      <c r="L5185" s="32">
        <f>IFERROR(__xludf.DUMMYFUNCTION("""COMPUTED_VALUE"""),2.0)</f>
        <v>2</v>
      </c>
      <c r="M5185" s="4" t="str">
        <f>IFERROR(__xludf.DUMMYFUNCTION("""COMPUTED_VALUE"""),"null")</f>
        <v>null</v>
      </c>
      <c r="N5185" s="33">
        <f>IFERROR(__xludf.DUMMYFUNCTION("""COMPUTED_VALUE"""),0.5)</f>
        <v>0.5</v>
      </c>
      <c r="O5185" s="4" t="str">
        <f>IFERROR(__xludf.DUMMYFUNCTION("""COMPUTED_VALUE"""),"null")</f>
        <v>null</v>
      </c>
      <c r="P5185" s="33">
        <f>IFERROR(__xludf.DUMMYFUNCTION("""COMPUTED_VALUE"""),0.5)</f>
        <v>0.5</v>
      </c>
      <c r="Q5185" s="4" t="str">
        <f>IFERROR(__xludf.DUMMYFUNCTION("""COMPUTED_VALUE"""),"null")</f>
        <v>null</v>
      </c>
      <c r="R5185" s="33">
        <f>IFERROR(__xludf.DUMMYFUNCTION("""COMPUTED_VALUE"""),0.5)</f>
        <v>0.5</v>
      </c>
      <c r="S5185" s="4" t="str">
        <f>IFERROR(__xludf.DUMMYFUNCTION("""COMPUTED_VALUE"""),"N/A (Not found)")</f>
        <v>N/A (Not found)</v>
      </c>
      <c r="T5185" s="33">
        <f>IFERROR(__xludf.DUMMYFUNCTION("""COMPUTED_VALUE"""),1.0)</f>
        <v>1</v>
      </c>
      <c r="U5185" s="4" t="str">
        <f>IFERROR(__xludf.DUMMYFUNCTION("""COMPUTED_VALUE"""),"null")</f>
        <v>null</v>
      </c>
      <c r="V5185" s="33">
        <f>IFERROR(__xludf.DUMMYFUNCTION("""COMPUTED_VALUE"""),0.5)</f>
        <v>0.5</v>
      </c>
      <c r="W5185" s="4" t="str">
        <f>IFERROR(__xludf.DUMMYFUNCTION("""COMPUTED_VALUE"""),"null")</f>
        <v>null</v>
      </c>
      <c r="X5185" s="33">
        <f>IFERROR(__xludf.DUMMYFUNCTION("""COMPUTED_VALUE"""),0.5)</f>
        <v>0.5</v>
      </c>
    </row>
    <row r="5186">
      <c r="K5186" s="4" t="str">
        <f>IFERROR(__xludf.DUMMYFUNCTION("""COMPUTED_VALUE"""),"CALIFORNIA ACOUGUE E HORTIFRUTI")</f>
        <v>CALIFORNIA ACOUGUE E HORTIFRUTI</v>
      </c>
      <c r="L5186" s="32">
        <f>IFERROR(__xludf.DUMMYFUNCTION("""COMPUTED_VALUE"""),2.0)</f>
        <v>2</v>
      </c>
      <c r="M5186" s="4" t="str">
        <f>IFERROR(__xludf.DUMMYFUNCTION("""COMPUTED_VALUE"""),"null")</f>
        <v>null</v>
      </c>
      <c r="N5186" s="33">
        <f>IFERROR(__xludf.DUMMYFUNCTION("""COMPUTED_VALUE"""),1.0)</f>
        <v>1</v>
      </c>
      <c r="O5186" s="4" t="str">
        <f>IFERROR(__xludf.DUMMYFUNCTION("""COMPUTED_VALUE"""),"null")</f>
        <v>null</v>
      </c>
      <c r="P5186" s="33">
        <f>IFERROR(__xludf.DUMMYFUNCTION("""COMPUTED_VALUE"""),1.0)</f>
        <v>1</v>
      </c>
      <c r="Q5186" s="4" t="str">
        <f>IFERROR(__xludf.DUMMYFUNCTION("""COMPUTED_VALUE"""),"null")</f>
        <v>null</v>
      </c>
      <c r="R5186" s="33">
        <f>IFERROR(__xludf.DUMMYFUNCTION("""COMPUTED_VALUE"""),0.5)</f>
        <v>0.5</v>
      </c>
      <c r="S5186" s="4" t="str">
        <f>IFERROR(__xludf.DUMMYFUNCTION("""COMPUTED_VALUE"""),"null")</f>
        <v>null</v>
      </c>
      <c r="T5186" s="33">
        <f>IFERROR(__xludf.DUMMYFUNCTION("""COMPUTED_VALUE"""),0.5)</f>
        <v>0.5</v>
      </c>
      <c r="U5186" s="4" t="str">
        <f>IFERROR(__xludf.DUMMYFUNCTION("""COMPUTED_VALUE"""),"No Mercado Representacoes Ltda")</f>
        <v>No Mercado Representacoes Ltda</v>
      </c>
      <c r="V5186" s="33">
        <f>IFERROR(__xludf.DUMMYFUNCTION("""COMPUTED_VALUE"""),0.5)</f>
        <v>0.5</v>
      </c>
      <c r="W5186" s="4" t="str">
        <f>IFERROR(__xludf.DUMMYFUNCTION("""COMPUTED_VALUE"""),"null")</f>
        <v>null</v>
      </c>
      <c r="X5186" s="33">
        <f>IFERROR(__xludf.DUMMYFUNCTION("""COMPUTED_VALUE"""),1.0)</f>
        <v>1</v>
      </c>
    </row>
    <row r="5187">
      <c r="K5187" s="4" t="str">
        <f>IFERROR(__xludf.DUMMYFUNCTION("""COMPUTED_VALUE"""),"DROGARIA VITORIA")</f>
        <v>DROGARIA VITORIA</v>
      </c>
      <c r="L5187" s="32">
        <f>IFERROR(__xludf.DUMMYFUNCTION("""COMPUTED_VALUE"""),2.0)</f>
        <v>2</v>
      </c>
      <c r="M5187" s="4" t="str">
        <f>IFERROR(__xludf.DUMMYFUNCTION("""COMPUTED_VALUE"""),"null")</f>
        <v>null</v>
      </c>
      <c r="N5187" s="33">
        <f>IFERROR(__xludf.DUMMYFUNCTION("""COMPUTED_VALUE"""),1.0)</f>
        <v>1</v>
      </c>
      <c r="O5187" s="4" t="str">
        <f>IFERROR(__xludf.DUMMYFUNCTION("""COMPUTED_VALUE"""),"null")</f>
        <v>null</v>
      </c>
      <c r="P5187" s="33">
        <f>IFERROR(__xludf.DUMMYFUNCTION("""COMPUTED_VALUE"""),1.0)</f>
        <v>1</v>
      </c>
      <c r="Q5187" s="4" t="str">
        <f>IFERROR(__xludf.DUMMYFUNCTION("""COMPUTED_VALUE"""),"null")</f>
        <v>null</v>
      </c>
      <c r="R5187" s="33">
        <f>IFERROR(__xludf.DUMMYFUNCTION("""COMPUTED_VALUE"""),1.0)</f>
        <v>1</v>
      </c>
      <c r="S5187" s="4" t="str">
        <f>IFERROR(__xludf.DUMMYFUNCTION("""COMPUTED_VALUE"""),"null")</f>
        <v>null</v>
      </c>
      <c r="T5187" s="33">
        <f>IFERROR(__xludf.DUMMYFUNCTION("""COMPUTED_VALUE"""),1.0)</f>
        <v>1</v>
      </c>
      <c r="U5187" s="4" t="str">
        <f>IFERROR(__xludf.DUMMYFUNCTION("""COMPUTED_VALUE"""),"null")</f>
        <v>null</v>
      </c>
      <c r="V5187" s="33">
        <f>IFERROR(__xludf.DUMMYFUNCTION("""COMPUTED_VALUE"""),0.5)</f>
        <v>0.5</v>
      </c>
      <c r="W5187" s="4" t="str">
        <f>IFERROR(__xludf.DUMMYFUNCTION("""COMPUTED_VALUE"""),"N/A (Not found)")</f>
        <v>N/A (Not found)</v>
      </c>
      <c r="X5187" s="33">
        <f>IFERROR(__xludf.DUMMYFUNCTION("""COMPUTED_VALUE"""),1.0)</f>
        <v>1</v>
      </c>
    </row>
    <row r="5188">
      <c r="K5188" s="4" t="str">
        <f>IFERROR(__xludf.DUMMYFUNCTION("""COMPUTED_VALUE"""),"MR BULL")</f>
        <v>MR BULL</v>
      </c>
      <c r="L5188" s="32">
        <f>IFERROR(__xludf.DUMMYFUNCTION("""COMPUTED_VALUE"""),2.0)</f>
        <v>2</v>
      </c>
      <c r="M5188" s="4" t="str">
        <f>IFERROR(__xludf.DUMMYFUNCTION("""COMPUTED_VALUE"""),"null")</f>
        <v>null</v>
      </c>
      <c r="N5188" s="33">
        <f>IFERROR(__xludf.DUMMYFUNCTION("""COMPUTED_VALUE"""),0.5)</f>
        <v>0.5</v>
      </c>
      <c r="O5188" s="4" t="str">
        <f>IFERROR(__xludf.DUMMYFUNCTION("""COMPUTED_VALUE"""),"Glow")</f>
        <v>Glow</v>
      </c>
      <c r="P5188" s="33">
        <f>IFERROR(__xludf.DUMMYFUNCTION("""COMPUTED_VALUE"""),0.5)</f>
        <v>0.5</v>
      </c>
      <c r="Q5188" s="4" t="str">
        <f>IFERROR(__xludf.DUMMYFUNCTION("""COMPUTED_VALUE"""),"null")</f>
        <v>null</v>
      </c>
      <c r="R5188" s="33">
        <f>IFERROR(__xludf.DUMMYFUNCTION("""COMPUTED_VALUE"""),0.5)</f>
        <v>0.5</v>
      </c>
      <c r="S5188" s="4" t="str">
        <f>IFERROR(__xludf.DUMMYFUNCTION("""COMPUTED_VALUE"""),"null")</f>
        <v>null</v>
      </c>
      <c r="T5188" s="33">
        <f>IFERROR(__xludf.DUMMYFUNCTION("""COMPUTED_VALUE"""),0.5)</f>
        <v>0.5</v>
      </c>
      <c r="U5188" s="4" t="str">
        <f>IFERROR(__xludf.DUMMYFUNCTION("""COMPUTED_VALUE"""),"null")</f>
        <v>null</v>
      </c>
      <c r="V5188" s="33">
        <f>IFERROR(__xludf.DUMMYFUNCTION("""COMPUTED_VALUE"""),0.5)</f>
        <v>0.5</v>
      </c>
      <c r="W5188" s="4" t="str">
        <f>IFERROR(__xludf.DUMMYFUNCTION("""COMPUTED_VALUE"""),"Glow")</f>
        <v>Glow</v>
      </c>
      <c r="X5188" s="33">
        <f>IFERROR(__xludf.DUMMYFUNCTION("""COMPUTED_VALUE"""),0.5)</f>
        <v>0.5</v>
      </c>
    </row>
    <row r="5189">
      <c r="K5189" s="4" t="str">
        <f>IFERROR(__xludf.DUMMYFUNCTION("""COMPUTED_VALUE"""),"84 BURGUER")</f>
        <v>84 BURGUER</v>
      </c>
      <c r="L5189" s="32">
        <f>IFERROR(__xludf.DUMMYFUNCTION("""COMPUTED_VALUE"""),2.0)</f>
        <v>2</v>
      </c>
      <c r="M5189" s="4" t="str">
        <f>IFERROR(__xludf.DUMMYFUNCTION("""COMPUTED_VALUE"""),"null")</f>
        <v>null</v>
      </c>
      <c r="N5189" s="33">
        <f>IFERROR(__xludf.DUMMYFUNCTION("""COMPUTED_VALUE"""),0.5)</f>
        <v>0.5</v>
      </c>
      <c r="O5189" s="4" t="str">
        <f>IFERROR(__xludf.DUMMYFUNCTION("""COMPUTED_VALUE"""),"null")</f>
        <v>null</v>
      </c>
      <c r="P5189" s="33">
        <f>IFERROR(__xludf.DUMMYFUNCTION("""COMPUTED_VALUE"""),1.0)</f>
        <v>1</v>
      </c>
      <c r="Q5189" s="4" t="str">
        <f>IFERROR(__xludf.DUMMYFUNCTION("""COMPUTED_VALUE"""),"Brendi")</f>
        <v>Brendi</v>
      </c>
      <c r="R5189" s="33">
        <f>IFERROR(__xludf.DUMMYFUNCTION("""COMPUTED_VALUE"""),0.5)</f>
        <v>0.5</v>
      </c>
      <c r="S5189" s="4" t="str">
        <f>IFERROR(__xludf.DUMMYFUNCTION("""COMPUTED_VALUE"""),"Brendi")</f>
        <v>Brendi</v>
      </c>
      <c r="T5189" s="33">
        <f>IFERROR(__xludf.DUMMYFUNCTION("""COMPUTED_VALUE"""),0.5)</f>
        <v>0.5</v>
      </c>
      <c r="U5189" s="4" t="str">
        <f>IFERROR(__xludf.DUMMYFUNCTION("""COMPUTED_VALUE"""),"Brendi")</f>
        <v>Brendi</v>
      </c>
      <c r="V5189" s="33">
        <f>IFERROR(__xludf.DUMMYFUNCTION("""COMPUTED_VALUE"""),0.5)</f>
        <v>0.5</v>
      </c>
      <c r="W5189" s="4" t="str">
        <f>IFERROR(__xludf.DUMMYFUNCTION("""COMPUTED_VALUE"""),"Brendi")</f>
        <v>Brendi</v>
      </c>
      <c r="X5189" s="33">
        <f>IFERROR(__xludf.DUMMYFUNCTION("""COMPUTED_VALUE"""),0.5)</f>
        <v>0.5</v>
      </c>
    </row>
    <row r="5190">
      <c r="K5190" s="4" t="str">
        <f>IFERROR(__xludf.DUMMYFUNCTION("""COMPUTED_VALUE"""),"CLASSICO BURGUER")</f>
        <v>CLASSICO BURGUER</v>
      </c>
      <c r="L5190" s="32">
        <f>IFERROR(__xludf.DUMMYFUNCTION("""COMPUTED_VALUE"""),2.0)</f>
        <v>2</v>
      </c>
      <c r="M5190" s="4" t="str">
        <f>IFERROR(__xludf.DUMMYFUNCTION("""COMPUTED_VALUE"""),"null")</f>
        <v>null</v>
      </c>
      <c r="N5190" s="33">
        <f>IFERROR(__xludf.DUMMYFUNCTION("""COMPUTED_VALUE"""),0.5)</f>
        <v>0.5</v>
      </c>
      <c r="O5190" s="4" t="str">
        <f>IFERROR(__xludf.DUMMYFUNCTION("""COMPUTED_VALUE"""),"null")</f>
        <v>null</v>
      </c>
      <c r="P5190" s="33">
        <f>IFERROR(__xludf.DUMMYFUNCTION("""COMPUTED_VALUE"""),1.0)</f>
        <v>1</v>
      </c>
      <c r="Q5190" s="4" t="str">
        <f>IFERROR(__xludf.DUMMYFUNCTION("""COMPUTED_VALUE"""),"null")</f>
        <v>null</v>
      </c>
      <c r="R5190" s="33">
        <f>IFERROR(__xludf.DUMMYFUNCTION("""COMPUTED_VALUE"""),1.0)</f>
        <v>1</v>
      </c>
      <c r="S5190" s="4" t="str">
        <f>IFERROR(__xludf.DUMMYFUNCTION("""COMPUTED_VALUE"""),"null")</f>
        <v>null</v>
      </c>
      <c r="T5190" s="33">
        <f>IFERROR(__xludf.DUMMYFUNCTION("""COMPUTED_VALUE"""),1.0)</f>
        <v>1</v>
      </c>
      <c r="U5190" s="4" t="str">
        <f>IFERROR(__xludf.DUMMYFUNCTION("""COMPUTED_VALUE"""),"null")</f>
        <v>null</v>
      </c>
      <c r="V5190" s="33">
        <f>IFERROR(__xludf.DUMMYFUNCTION("""COMPUTED_VALUE"""),1.0)</f>
        <v>1</v>
      </c>
      <c r="W5190" s="4" t="str">
        <f>IFERROR(__xludf.DUMMYFUNCTION("""COMPUTED_VALUE"""),"Cardápio Web")</f>
        <v>Cardápio Web</v>
      </c>
      <c r="X5190" s="33">
        <f>IFERROR(__xludf.DUMMYFUNCTION("""COMPUTED_VALUE"""),0.5)</f>
        <v>0.5</v>
      </c>
    </row>
    <row r="5191">
      <c r="K5191" s="4" t="str">
        <f>IFERROR(__xludf.DUMMYFUNCTION("""COMPUTED_VALUE"""),"BENDITO PUDIM")</f>
        <v>BENDITO PUDIM</v>
      </c>
      <c r="L5191" s="32">
        <f>IFERROR(__xludf.DUMMYFUNCTION("""COMPUTED_VALUE"""),2.0)</f>
        <v>2</v>
      </c>
      <c r="M5191" s="4" t="str">
        <f>IFERROR(__xludf.DUMMYFUNCTION("""COMPUTED_VALUE"""),"Instadelivery")</f>
        <v>Instadelivery</v>
      </c>
      <c r="N5191" s="33">
        <f>IFERROR(__xludf.DUMMYFUNCTION("""COMPUTED_VALUE"""),0.5)</f>
        <v>0.5</v>
      </c>
      <c r="O5191" s="4" t="str">
        <f>IFERROR(__xludf.DUMMYFUNCTION("""COMPUTED_VALUE"""),"Instadelivery")</f>
        <v>Instadelivery</v>
      </c>
      <c r="P5191" s="33">
        <f>IFERROR(__xludf.DUMMYFUNCTION("""COMPUTED_VALUE"""),0.5)</f>
        <v>0.5</v>
      </c>
      <c r="Q5191" s="4" t="str">
        <f>IFERROR(__xludf.DUMMYFUNCTION("""COMPUTED_VALUE"""),"Instadelivery")</f>
        <v>Instadelivery</v>
      </c>
      <c r="R5191" s="33">
        <f>IFERROR(__xludf.DUMMYFUNCTION("""COMPUTED_VALUE"""),0.5)</f>
        <v>0.5</v>
      </c>
      <c r="S5191" s="4" t="str">
        <f>IFERROR(__xludf.DUMMYFUNCTION("""COMPUTED_VALUE"""),"Instadelivery")</f>
        <v>Instadelivery</v>
      </c>
      <c r="T5191" s="33">
        <f>IFERROR(__xludf.DUMMYFUNCTION("""COMPUTED_VALUE"""),0.5)</f>
        <v>0.5</v>
      </c>
      <c r="U5191" s="4" t="str">
        <f>IFERROR(__xludf.DUMMYFUNCTION("""COMPUTED_VALUE"""),"Instadelivery")</f>
        <v>Instadelivery</v>
      </c>
      <c r="V5191" s="33">
        <f>IFERROR(__xludf.DUMMYFUNCTION("""COMPUTED_VALUE"""),0.5)</f>
        <v>0.5</v>
      </c>
      <c r="W5191" s="4" t="str">
        <f>IFERROR(__xludf.DUMMYFUNCTION("""COMPUTED_VALUE"""),"Instadelivery")</f>
        <v>Instadelivery</v>
      </c>
      <c r="X5191" s="33">
        <f>IFERROR(__xludf.DUMMYFUNCTION("""COMPUTED_VALUE"""),0.5)</f>
        <v>0.5</v>
      </c>
    </row>
    <row r="5192">
      <c r="K5192" s="4" t="str">
        <f>IFERROR(__xludf.DUMMYFUNCTION("""COMPUTED_VALUE"""),"BENS ACAI")</f>
        <v>BENS ACAI</v>
      </c>
      <c r="L5192" s="32">
        <f>IFERROR(__xludf.DUMMYFUNCTION("""COMPUTED_VALUE"""),2.0)</f>
        <v>2</v>
      </c>
      <c r="M5192" s="4" t="str">
        <f>IFERROR(__xludf.DUMMYFUNCTION("""COMPUTED_VALUE"""),"Brendi")</f>
        <v>Brendi</v>
      </c>
      <c r="N5192" s="33">
        <f>IFERROR(__xludf.DUMMYFUNCTION("""COMPUTED_VALUE"""),0.5)</f>
        <v>0.5</v>
      </c>
      <c r="O5192" s="4" t="str">
        <f>IFERROR(__xludf.DUMMYFUNCTION("""COMPUTED_VALUE"""),"Brendi")</f>
        <v>Brendi</v>
      </c>
      <c r="P5192" s="33">
        <f>IFERROR(__xludf.DUMMYFUNCTION("""COMPUTED_VALUE"""),0.5)</f>
        <v>0.5</v>
      </c>
      <c r="Q5192" s="4" t="str">
        <f>IFERROR(__xludf.DUMMYFUNCTION("""COMPUTED_VALUE"""),"Brendi")</f>
        <v>Brendi</v>
      </c>
      <c r="R5192" s="33">
        <f>IFERROR(__xludf.DUMMYFUNCTION("""COMPUTED_VALUE"""),0.5)</f>
        <v>0.5</v>
      </c>
      <c r="S5192" s="4" t="str">
        <f>IFERROR(__xludf.DUMMYFUNCTION("""COMPUTED_VALUE"""),"Brendi")</f>
        <v>Brendi</v>
      </c>
      <c r="T5192" s="33">
        <f>IFERROR(__xludf.DUMMYFUNCTION("""COMPUTED_VALUE"""),0.5)</f>
        <v>0.5</v>
      </c>
      <c r="U5192" s="4" t="str">
        <f>IFERROR(__xludf.DUMMYFUNCTION("""COMPUTED_VALUE"""),"null")</f>
        <v>null</v>
      </c>
      <c r="V5192" s="33">
        <f>IFERROR(__xludf.DUMMYFUNCTION("""COMPUTED_VALUE"""),1.0)</f>
        <v>1</v>
      </c>
      <c r="W5192" s="4" t="str">
        <f>IFERROR(__xludf.DUMMYFUNCTION("""COMPUTED_VALUE"""),"null")</f>
        <v>null</v>
      </c>
      <c r="X5192" s="33">
        <f>IFERROR(__xludf.DUMMYFUNCTION("""COMPUTED_VALUE"""),0.5)</f>
        <v>0.5</v>
      </c>
    </row>
    <row r="5193">
      <c r="K5193" s="4" t="str">
        <f>IFERROR(__xludf.DUMMYFUNCTION("""COMPUTED_VALUE"""),"SANDUICHERIA UNIVERSITARIA")</f>
        <v>SANDUICHERIA UNIVERSITARIA</v>
      </c>
      <c r="L5193" s="32">
        <f>IFERROR(__xludf.DUMMYFUNCTION("""COMPUTED_VALUE"""),2.0)</f>
        <v>2</v>
      </c>
      <c r="M5193" s="4" t="str">
        <f>IFERROR(__xludf.DUMMYFUNCTION("""COMPUTED_VALUE"""),"Saipos Serviços De Software")</f>
        <v>Saipos Serviços De Software</v>
      </c>
      <c r="N5193" s="33">
        <f>IFERROR(__xludf.DUMMYFUNCTION("""COMPUTED_VALUE"""),1.0)</f>
        <v>1</v>
      </c>
      <c r="O5193" s="4" t="str">
        <f>IFERROR(__xludf.DUMMYFUNCTION("""COMPUTED_VALUE"""),"Saipos Serviços De Software")</f>
        <v>Saipos Serviços De Software</v>
      </c>
      <c r="P5193" s="33">
        <f>IFERROR(__xludf.DUMMYFUNCTION("""COMPUTED_VALUE"""),1.0)</f>
        <v>1</v>
      </c>
      <c r="Q5193" s="4" t="str">
        <f>IFERROR(__xludf.DUMMYFUNCTION("""COMPUTED_VALUE"""),"null")</f>
        <v>null</v>
      </c>
      <c r="R5193" s="33">
        <f>IFERROR(__xludf.DUMMYFUNCTION("""COMPUTED_VALUE"""),0.5)</f>
        <v>0.5</v>
      </c>
      <c r="S5193" s="4" t="str">
        <f>IFERROR(__xludf.DUMMYFUNCTION("""COMPUTED_VALUE"""),"null")</f>
        <v>null</v>
      </c>
      <c r="T5193" s="33">
        <f>IFERROR(__xludf.DUMMYFUNCTION("""COMPUTED_VALUE"""),0.5)</f>
        <v>0.5</v>
      </c>
      <c r="U5193" s="4" t="str">
        <f>IFERROR(__xludf.DUMMYFUNCTION("""COMPUTED_VALUE"""),"null")</f>
        <v>null</v>
      </c>
      <c r="V5193" s="33">
        <f>IFERROR(__xludf.DUMMYFUNCTION("""COMPUTED_VALUE"""),1.0)</f>
        <v>1</v>
      </c>
      <c r="W5193" s="4" t="str">
        <f>IFERROR(__xludf.DUMMYFUNCTION("""COMPUTED_VALUE"""),"null")</f>
        <v>null</v>
      </c>
      <c r="X5193" s="33">
        <f>IFERROR(__xludf.DUMMYFUNCTION("""COMPUTED_VALUE"""),1.0)</f>
        <v>1</v>
      </c>
    </row>
    <row r="5194">
      <c r="K5194" s="4" t="str">
        <f>IFERROR(__xludf.DUMMYFUNCTION("""COMPUTED_VALUE"""),"GABISA PIZZARIA")</f>
        <v>GABISA PIZZARIA</v>
      </c>
      <c r="L5194" s="32">
        <f>IFERROR(__xludf.DUMMYFUNCTION("""COMPUTED_VALUE"""),2.0)</f>
        <v>2</v>
      </c>
      <c r="M5194" s="4" t="str">
        <f>IFERROR(__xludf.DUMMYFUNCTION("""COMPUTED_VALUE"""),"Saipos Serviços De Software")</f>
        <v>Saipos Serviços De Software</v>
      </c>
      <c r="N5194" s="33">
        <f>IFERROR(__xludf.DUMMYFUNCTION("""COMPUTED_VALUE"""),0.5)</f>
        <v>0.5</v>
      </c>
      <c r="O5194" s="4" t="str">
        <f>IFERROR(__xludf.DUMMYFUNCTION("""COMPUTED_VALUE"""),"Saipos Serviços De Software")</f>
        <v>Saipos Serviços De Software</v>
      </c>
      <c r="P5194" s="33">
        <f>IFERROR(__xludf.DUMMYFUNCTION("""COMPUTED_VALUE"""),0.5)</f>
        <v>0.5</v>
      </c>
      <c r="Q5194" s="4" t="str">
        <f>IFERROR(__xludf.DUMMYFUNCTION("""COMPUTED_VALUE"""),"Saipos Serviços De Software")</f>
        <v>Saipos Serviços De Software</v>
      </c>
      <c r="R5194" s="33">
        <f>IFERROR(__xludf.DUMMYFUNCTION("""COMPUTED_VALUE"""),0.5)</f>
        <v>0.5</v>
      </c>
      <c r="S5194" s="4" t="str">
        <f>IFERROR(__xludf.DUMMYFUNCTION("""COMPUTED_VALUE"""),"Saipos Serviços De Software")</f>
        <v>Saipos Serviços De Software</v>
      </c>
      <c r="T5194" s="33">
        <f>IFERROR(__xludf.DUMMYFUNCTION("""COMPUTED_VALUE"""),0.5)</f>
        <v>0.5</v>
      </c>
      <c r="U5194" s="4" t="str">
        <f>IFERROR(__xludf.DUMMYFUNCTION("""COMPUTED_VALUE"""),"Saipos Serviços De Software")</f>
        <v>Saipos Serviços De Software</v>
      </c>
      <c r="V5194" s="33">
        <f>IFERROR(__xludf.DUMMYFUNCTION("""COMPUTED_VALUE"""),0.5)</f>
        <v>0.5</v>
      </c>
      <c r="W5194" s="4" t="str">
        <f>IFERROR(__xludf.DUMMYFUNCTION("""COMPUTED_VALUE"""),"Saipos Serviços De Software")</f>
        <v>Saipos Serviços De Software</v>
      </c>
      <c r="X5194" s="33">
        <f>IFERROR(__xludf.DUMMYFUNCTION("""COMPUTED_VALUE"""),0.5)</f>
        <v>0.5</v>
      </c>
    </row>
    <row r="5195">
      <c r="K5195" s="4" t="str">
        <f>IFERROR(__xludf.DUMMYFUNCTION("""COMPUTED_VALUE"""),"SO FILE")</f>
        <v>SO FILE</v>
      </c>
      <c r="L5195" s="32">
        <f>IFERROR(__xludf.DUMMYFUNCTION("""COMPUTED_VALUE"""),2.0)</f>
        <v>2</v>
      </c>
      <c r="M5195" s="4" t="str">
        <f>IFERROR(__xludf.DUMMYFUNCTION("""COMPUTED_VALUE"""),"Saipos Serviços De Software")</f>
        <v>Saipos Serviços De Software</v>
      </c>
      <c r="N5195" s="33">
        <f>IFERROR(__xludf.DUMMYFUNCTION("""COMPUTED_VALUE"""),1.0)</f>
        <v>1</v>
      </c>
      <c r="O5195" s="4" t="str">
        <f>IFERROR(__xludf.DUMMYFUNCTION("""COMPUTED_VALUE"""),"Saipos Serviços De Software")</f>
        <v>Saipos Serviços De Software</v>
      </c>
      <c r="P5195" s="33">
        <f>IFERROR(__xludf.DUMMYFUNCTION("""COMPUTED_VALUE"""),1.0)</f>
        <v>1</v>
      </c>
      <c r="Q5195" s="4" t="str">
        <f>IFERROR(__xludf.DUMMYFUNCTION("""COMPUTED_VALUE"""),"Saipos Serviços De Software")</f>
        <v>Saipos Serviços De Software</v>
      </c>
      <c r="R5195" s="33">
        <f>IFERROR(__xludf.DUMMYFUNCTION("""COMPUTED_VALUE"""),1.0)</f>
        <v>1</v>
      </c>
      <c r="S5195" s="4" t="str">
        <f>IFERROR(__xludf.DUMMYFUNCTION("""COMPUTED_VALUE"""),"Saipos Serviços De Software")</f>
        <v>Saipos Serviços De Software</v>
      </c>
      <c r="T5195" s="33">
        <f>IFERROR(__xludf.DUMMYFUNCTION("""COMPUTED_VALUE"""),1.0)</f>
        <v>1</v>
      </c>
      <c r="U5195" s="4" t="str">
        <f>IFERROR(__xludf.DUMMYFUNCTION("""COMPUTED_VALUE"""),"Saipos Serviços De Software")</f>
        <v>Saipos Serviços De Software</v>
      </c>
      <c r="V5195" s="33">
        <f>IFERROR(__xludf.DUMMYFUNCTION("""COMPUTED_VALUE"""),1.0)</f>
        <v>1</v>
      </c>
      <c r="W5195" s="4" t="str">
        <f>IFERROR(__xludf.DUMMYFUNCTION("""COMPUTED_VALUE"""),"null")</f>
        <v>null</v>
      </c>
      <c r="X5195" s="33">
        <f>IFERROR(__xludf.DUMMYFUNCTION("""COMPUTED_VALUE"""),0.5)</f>
        <v>0.5</v>
      </c>
    </row>
    <row r="5196">
      <c r="K5196" s="4" t="str">
        <f>IFERROR(__xludf.DUMMYFUNCTION("""COMPUTED_VALUE"""),"BIG BIG BURGUER")</f>
        <v>BIG BIG BURGUER</v>
      </c>
      <c r="L5196" s="32">
        <f>IFERROR(__xludf.DUMMYFUNCTION("""COMPUTED_VALUE"""),2.0)</f>
        <v>2</v>
      </c>
      <c r="M5196" s="4" t="str">
        <f>IFERROR(__xludf.DUMMYFUNCTION("""COMPUTED_VALUE"""),"null")</f>
        <v>null</v>
      </c>
      <c r="N5196" s="33">
        <f>IFERROR(__xludf.DUMMYFUNCTION("""COMPUTED_VALUE"""),0.5)</f>
        <v>0.5</v>
      </c>
      <c r="O5196" s="4" t="str">
        <f>IFERROR(__xludf.DUMMYFUNCTION("""COMPUTED_VALUE"""),"null")</f>
        <v>null</v>
      </c>
      <c r="P5196" s="33">
        <f>IFERROR(__xludf.DUMMYFUNCTION("""COMPUTED_VALUE"""),0.5)</f>
        <v>0.5</v>
      </c>
      <c r="Q5196" s="4" t="str">
        <f>IFERROR(__xludf.DUMMYFUNCTION("""COMPUTED_VALUE"""),"null")</f>
        <v>null</v>
      </c>
      <c r="R5196" s="33">
        <f>IFERROR(__xludf.DUMMYFUNCTION("""COMPUTED_VALUE"""),0.5)</f>
        <v>0.5</v>
      </c>
      <c r="S5196" s="4" t="str">
        <f>IFERROR(__xludf.DUMMYFUNCTION("""COMPUTED_VALUE"""),"null")</f>
        <v>null</v>
      </c>
      <c r="T5196" s="33">
        <f>IFERROR(__xludf.DUMMYFUNCTION("""COMPUTED_VALUE"""),0.5)</f>
        <v>0.5</v>
      </c>
      <c r="U5196" s="4" t="str">
        <f>IFERROR(__xludf.DUMMYFUNCTION("""COMPUTED_VALUE"""),"Saipos Serviços De Software")</f>
        <v>Saipos Serviços De Software</v>
      </c>
      <c r="V5196" s="33">
        <f>IFERROR(__xludf.DUMMYFUNCTION("""COMPUTED_VALUE"""),0.5)</f>
        <v>0.5</v>
      </c>
      <c r="W5196" s="4" t="str">
        <f>IFERROR(__xludf.DUMMYFUNCTION("""COMPUTED_VALUE"""),"Saipos Serviços De Software")</f>
        <v>Saipos Serviços De Software</v>
      </c>
      <c r="X5196" s="33">
        <f>IFERROR(__xludf.DUMMYFUNCTION("""COMPUTED_VALUE"""),0.5)</f>
        <v>0.5</v>
      </c>
    </row>
    <row r="5197">
      <c r="K5197" s="4" t="str">
        <f>IFERROR(__xludf.DUMMYFUNCTION("""COMPUTED_VALUE"""),"SWIFT BURGER")</f>
        <v>SWIFT BURGER</v>
      </c>
      <c r="L5197" s="32">
        <f>IFERROR(__xludf.DUMMYFUNCTION("""COMPUTED_VALUE"""),2.0)</f>
        <v>2</v>
      </c>
      <c r="M5197" s="4" t="str">
        <f>IFERROR(__xludf.DUMMYFUNCTION("""COMPUTED_VALUE"""),"Grancheff Software")</f>
        <v>Grancheff Software</v>
      </c>
      <c r="N5197" s="33">
        <f>IFERROR(__xludf.DUMMYFUNCTION("""COMPUTED_VALUE"""),0.5)</f>
        <v>0.5</v>
      </c>
      <c r="O5197" s="4" t="str">
        <f>IFERROR(__xludf.DUMMYFUNCTION("""COMPUTED_VALUE"""),"Grancheff Software")</f>
        <v>Grancheff Software</v>
      </c>
      <c r="P5197" s="33">
        <f>IFERROR(__xludf.DUMMYFUNCTION("""COMPUTED_VALUE"""),0.5)</f>
        <v>0.5</v>
      </c>
      <c r="Q5197" s="4" t="str">
        <f>IFERROR(__xludf.DUMMYFUNCTION("""COMPUTED_VALUE"""),"Grancheff Software")</f>
        <v>Grancheff Software</v>
      </c>
      <c r="R5197" s="33">
        <f>IFERROR(__xludf.DUMMYFUNCTION("""COMPUTED_VALUE"""),0.5)</f>
        <v>0.5</v>
      </c>
      <c r="S5197" s="4" t="str">
        <f>IFERROR(__xludf.DUMMYFUNCTION("""COMPUTED_VALUE"""),"Grancheff Software")</f>
        <v>Grancheff Software</v>
      </c>
      <c r="T5197" s="33">
        <f>IFERROR(__xludf.DUMMYFUNCTION("""COMPUTED_VALUE"""),0.5)</f>
        <v>0.5</v>
      </c>
      <c r="U5197" s="4" t="str">
        <f>IFERROR(__xludf.DUMMYFUNCTION("""COMPUTED_VALUE"""),"Grancheff Software")</f>
        <v>Grancheff Software</v>
      </c>
      <c r="V5197" s="33">
        <f>IFERROR(__xludf.DUMMYFUNCTION("""COMPUTED_VALUE"""),0.5)</f>
        <v>0.5</v>
      </c>
      <c r="W5197" s="4" t="str">
        <f>IFERROR(__xludf.DUMMYFUNCTION("""COMPUTED_VALUE"""),"Anota Ai Solucoes Digitais S/a")</f>
        <v>Anota Ai Solucoes Digitais S/a</v>
      </c>
      <c r="X5197" s="33">
        <f>IFERROR(__xludf.DUMMYFUNCTION("""COMPUTED_VALUE"""),0.5)</f>
        <v>0.5</v>
      </c>
    </row>
    <row r="5198">
      <c r="K5198" s="4" t="str">
        <f>IFERROR(__xludf.DUMMYFUNCTION("""COMPUTED_VALUE"""),"SHAWARMA HOUSE")</f>
        <v>SHAWARMA HOUSE</v>
      </c>
      <c r="L5198" s="32">
        <f>IFERROR(__xludf.DUMMYFUNCTION("""COMPUTED_VALUE"""),2.0)</f>
        <v>2</v>
      </c>
      <c r="M5198" s="4" t="str">
        <f>IFERROR(__xludf.DUMMYFUNCTION("""COMPUTED_VALUE"""),"Brendi")</f>
        <v>Brendi</v>
      </c>
      <c r="N5198" s="33">
        <f>IFERROR(__xludf.DUMMYFUNCTION("""COMPUTED_VALUE"""),0.5)</f>
        <v>0.5</v>
      </c>
      <c r="O5198" s="4" t="str">
        <f>IFERROR(__xludf.DUMMYFUNCTION("""COMPUTED_VALUE"""),"Brendi")</f>
        <v>Brendi</v>
      </c>
      <c r="P5198" s="33">
        <f>IFERROR(__xludf.DUMMYFUNCTION("""COMPUTED_VALUE"""),0.5)</f>
        <v>0.5</v>
      </c>
      <c r="Q5198" s="4" t="str">
        <f>IFERROR(__xludf.DUMMYFUNCTION("""COMPUTED_VALUE"""),"Brendi")</f>
        <v>Brendi</v>
      </c>
      <c r="R5198" s="33">
        <f>IFERROR(__xludf.DUMMYFUNCTION("""COMPUTED_VALUE"""),0.5)</f>
        <v>0.5</v>
      </c>
      <c r="S5198" s="4" t="str">
        <f>IFERROR(__xludf.DUMMYFUNCTION("""COMPUTED_VALUE"""),"Brendi")</f>
        <v>Brendi</v>
      </c>
      <c r="T5198" s="33">
        <f>IFERROR(__xludf.DUMMYFUNCTION("""COMPUTED_VALUE"""),0.5)</f>
        <v>0.5</v>
      </c>
      <c r="U5198" s="4" t="str">
        <f>IFERROR(__xludf.DUMMYFUNCTION("""COMPUTED_VALUE"""),"Brendi")</f>
        <v>Brendi</v>
      </c>
      <c r="V5198" s="33">
        <f>IFERROR(__xludf.DUMMYFUNCTION("""COMPUTED_VALUE"""),0.5)</f>
        <v>0.5</v>
      </c>
      <c r="W5198" s="4" t="str">
        <f>IFERROR(__xludf.DUMMYFUNCTION("""COMPUTED_VALUE"""),"Brendi")</f>
        <v>Brendi</v>
      </c>
      <c r="X5198" s="33">
        <f>IFERROR(__xludf.DUMMYFUNCTION("""COMPUTED_VALUE"""),0.5)</f>
        <v>0.5</v>
      </c>
    </row>
    <row r="5199">
      <c r="K5199" s="4" t="str">
        <f>IFERROR(__xludf.DUMMYFUNCTION("""COMPUTED_VALUE"""),"FUEGO CHURRASCARIA")</f>
        <v>FUEGO CHURRASCARIA</v>
      </c>
      <c r="L5199" s="32">
        <f>IFERROR(__xludf.DUMMYFUNCTION("""COMPUTED_VALUE"""),2.0)</f>
        <v>2</v>
      </c>
      <c r="M5199" s="4" t="str">
        <f>IFERROR(__xludf.DUMMYFUNCTION("""COMPUTED_VALUE"""),"L&amp;f Tecnologia Sistemas E Comercio Ltda")</f>
        <v>L&amp;f Tecnologia Sistemas E Comercio Ltda</v>
      </c>
      <c r="N5199" s="33">
        <f>IFERROR(__xludf.DUMMYFUNCTION("""COMPUTED_VALUE"""),0.5)</f>
        <v>0.5</v>
      </c>
      <c r="O5199" s="4" t="str">
        <f>IFERROR(__xludf.DUMMYFUNCTION("""COMPUTED_VALUE"""),"L&amp;f Tecnologia Sistemas E Comercio Ltda")</f>
        <v>L&amp;f Tecnologia Sistemas E Comercio Ltda</v>
      </c>
      <c r="P5199" s="33">
        <f>IFERROR(__xludf.DUMMYFUNCTION("""COMPUTED_VALUE"""),0.5)</f>
        <v>0.5</v>
      </c>
      <c r="Q5199" s="4" t="str">
        <f>IFERROR(__xludf.DUMMYFUNCTION("""COMPUTED_VALUE"""),"L&amp;f Tecnologia Sistemas E Comercio Ltda")</f>
        <v>L&amp;f Tecnologia Sistemas E Comercio Ltda</v>
      </c>
      <c r="R5199" s="33">
        <f>IFERROR(__xludf.DUMMYFUNCTION("""COMPUTED_VALUE"""),0.5)</f>
        <v>0.5</v>
      </c>
      <c r="S5199" s="4" t="str">
        <f>IFERROR(__xludf.DUMMYFUNCTION("""COMPUTED_VALUE"""),"L&amp;f Tecnologia Sistemas E Comercio Ltda")</f>
        <v>L&amp;f Tecnologia Sistemas E Comercio Ltda</v>
      </c>
      <c r="T5199" s="33">
        <f>IFERROR(__xludf.DUMMYFUNCTION("""COMPUTED_VALUE"""),0.5)</f>
        <v>0.5</v>
      </c>
      <c r="U5199" s="4" t="str">
        <f>IFERROR(__xludf.DUMMYFUNCTION("""COMPUTED_VALUE"""),"Netcontroll Xmenu")</f>
        <v>Netcontroll Xmenu</v>
      </c>
      <c r="V5199" s="33">
        <f>IFERROR(__xludf.DUMMYFUNCTION("""COMPUTED_VALUE"""),0.5)</f>
        <v>0.5</v>
      </c>
      <c r="W5199" s="4" t="str">
        <f>IFERROR(__xludf.DUMMYFUNCTION("""COMPUTED_VALUE"""),"Netcontroll Xmenu")</f>
        <v>Netcontroll Xmenu</v>
      </c>
      <c r="X5199" s="33">
        <f>IFERROR(__xludf.DUMMYFUNCTION("""COMPUTED_VALUE"""),0.5)</f>
        <v>0.5</v>
      </c>
    </row>
    <row r="5200">
      <c r="K5200" s="4" t="str">
        <f>IFERROR(__xludf.DUMMYFUNCTION("""COMPUTED_VALUE"""),"BURGER 10")</f>
        <v>BURGER 10</v>
      </c>
      <c r="L5200" s="32">
        <f>IFERROR(__xludf.DUMMYFUNCTION("""COMPUTED_VALUE"""),2.0)</f>
        <v>2</v>
      </c>
      <c r="M5200" s="4" t="str">
        <f>IFERROR(__xludf.DUMMYFUNCTION("""COMPUTED_VALUE"""),"null")</f>
        <v>null</v>
      </c>
      <c r="N5200" s="33">
        <f>IFERROR(__xludf.DUMMYFUNCTION("""COMPUTED_VALUE"""),0.5)</f>
        <v>0.5</v>
      </c>
      <c r="O5200" s="4" t="str">
        <f>IFERROR(__xludf.DUMMYFUNCTION("""COMPUTED_VALUE"""),"null")</f>
        <v>null</v>
      </c>
      <c r="P5200" s="33">
        <f>IFERROR(__xludf.DUMMYFUNCTION("""COMPUTED_VALUE"""),0.5)</f>
        <v>0.5</v>
      </c>
      <c r="Q5200" s="4" t="str">
        <f>IFERROR(__xludf.DUMMYFUNCTION("""COMPUTED_VALUE"""),"Brendi")</f>
        <v>Brendi</v>
      </c>
      <c r="R5200" s="33">
        <f>IFERROR(__xludf.DUMMYFUNCTION("""COMPUTED_VALUE"""),0.5)</f>
        <v>0.5</v>
      </c>
      <c r="S5200" s="4" t="str">
        <f>IFERROR(__xludf.DUMMYFUNCTION("""COMPUTED_VALUE"""),"Brendi")</f>
        <v>Brendi</v>
      </c>
      <c r="T5200" s="33">
        <f>IFERROR(__xludf.DUMMYFUNCTION("""COMPUTED_VALUE"""),0.5)</f>
        <v>0.5</v>
      </c>
      <c r="U5200" s="4" t="str">
        <f>IFERROR(__xludf.DUMMYFUNCTION("""COMPUTED_VALUE"""),"null")</f>
        <v>null</v>
      </c>
      <c r="V5200" s="33">
        <f>IFERROR(__xludf.DUMMYFUNCTION("""COMPUTED_VALUE"""),0.5)</f>
        <v>0.5</v>
      </c>
      <c r="W5200" s="4" t="str">
        <f>IFERROR(__xludf.DUMMYFUNCTION("""COMPUTED_VALUE"""),"null")</f>
        <v>null</v>
      </c>
      <c r="X5200" s="33">
        <f>IFERROR(__xludf.DUMMYFUNCTION("""COMPUTED_VALUE"""),0.5)</f>
        <v>0.5</v>
      </c>
    </row>
    <row r="5201">
      <c r="K5201" s="4" t="str">
        <f>IFERROR(__xludf.DUMMYFUNCTION("""COMPUTED_VALUE"""),"CAFFETO")</f>
        <v>CAFFETO</v>
      </c>
      <c r="L5201" s="32">
        <f>IFERROR(__xludf.DUMMYFUNCTION("""COMPUTED_VALUE"""),2.0)</f>
        <v>2</v>
      </c>
      <c r="M5201" s="4" t="str">
        <f>IFERROR(__xludf.DUMMYFUNCTION("""COMPUTED_VALUE"""),"null")</f>
        <v>null</v>
      </c>
      <c r="N5201" s="33">
        <f>IFERROR(__xludf.DUMMYFUNCTION("""COMPUTED_VALUE"""),1.0)</f>
        <v>1</v>
      </c>
      <c r="O5201" s="4" t="str">
        <f>IFERROR(__xludf.DUMMYFUNCTION("""COMPUTED_VALUE"""),"Vekttor")</f>
        <v>Vekttor</v>
      </c>
      <c r="P5201" s="33">
        <f>IFERROR(__xludf.DUMMYFUNCTION("""COMPUTED_VALUE"""),0.5)</f>
        <v>0.5</v>
      </c>
      <c r="Q5201" s="4" t="str">
        <f>IFERROR(__xludf.DUMMYFUNCTION("""COMPUTED_VALUE"""),"Vekttor")</f>
        <v>Vekttor</v>
      </c>
      <c r="R5201" s="33">
        <f>IFERROR(__xludf.DUMMYFUNCTION("""COMPUTED_VALUE"""),0.5)</f>
        <v>0.5</v>
      </c>
      <c r="S5201" s="4" t="str">
        <f>IFERROR(__xludf.DUMMYFUNCTION("""COMPUTED_VALUE"""),"Vekttor")</f>
        <v>Vekttor</v>
      </c>
      <c r="T5201" s="33">
        <f>IFERROR(__xludf.DUMMYFUNCTION("""COMPUTED_VALUE"""),0.5)</f>
        <v>0.5</v>
      </c>
      <c r="U5201" s="4" t="str">
        <f>IFERROR(__xludf.DUMMYFUNCTION("""COMPUTED_VALUE"""),"Fudo Soluciones Sas")</f>
        <v>Fudo Soluciones Sas</v>
      </c>
      <c r="V5201" s="33">
        <f>IFERROR(__xludf.DUMMYFUNCTION("""COMPUTED_VALUE"""),0.5)</f>
        <v>0.5</v>
      </c>
      <c r="W5201" s="4" t="str">
        <f>IFERROR(__xludf.DUMMYFUNCTION("""COMPUTED_VALUE"""),"Fudo Soluciones Sas")</f>
        <v>Fudo Soluciones Sas</v>
      </c>
      <c r="X5201" s="33">
        <f>IFERROR(__xludf.DUMMYFUNCTION("""COMPUTED_VALUE"""),0.5)</f>
        <v>0.5</v>
      </c>
    </row>
    <row r="5202">
      <c r="K5202" s="4" t="str">
        <f>IFERROR(__xludf.DUMMYFUNCTION("""COMPUTED_VALUE"""),"YAKISUSHI")</f>
        <v>YAKISUSHI</v>
      </c>
      <c r="L5202" s="32">
        <f>IFERROR(__xludf.DUMMYFUNCTION("""COMPUTED_VALUE"""),2.0)</f>
        <v>2</v>
      </c>
      <c r="M5202" s="4" t="str">
        <f>IFERROR(__xludf.DUMMYFUNCTION("""COMPUTED_VALUE"""),"Sti3 Soluções Em Ti")</f>
        <v>Sti3 Soluções Em Ti</v>
      </c>
      <c r="N5202" s="33">
        <f>IFERROR(__xludf.DUMMYFUNCTION("""COMPUTED_VALUE"""),0.5)</f>
        <v>0.5</v>
      </c>
      <c r="O5202" s="4" t="str">
        <f>IFERROR(__xludf.DUMMYFUNCTION("""COMPUTED_VALUE"""),"Sti3 Soluções Em Ti")</f>
        <v>Sti3 Soluções Em Ti</v>
      </c>
      <c r="P5202" s="33">
        <f>IFERROR(__xludf.DUMMYFUNCTION("""COMPUTED_VALUE"""),0.5)</f>
        <v>0.5</v>
      </c>
      <c r="Q5202" s="4" t="str">
        <f>IFERROR(__xludf.DUMMYFUNCTION("""COMPUTED_VALUE"""),"Sti3 Soluções Em Ti")</f>
        <v>Sti3 Soluções Em Ti</v>
      </c>
      <c r="R5202" s="33">
        <f>IFERROR(__xludf.DUMMYFUNCTION("""COMPUTED_VALUE"""),0.5)</f>
        <v>0.5</v>
      </c>
      <c r="S5202" s="4" t="str">
        <f>IFERROR(__xludf.DUMMYFUNCTION("""COMPUTED_VALUE"""),"Sti3 Soluções Em Ti")</f>
        <v>Sti3 Soluções Em Ti</v>
      </c>
      <c r="T5202" s="33">
        <f>IFERROR(__xludf.DUMMYFUNCTION("""COMPUTED_VALUE"""),0.5)</f>
        <v>0.5</v>
      </c>
      <c r="U5202" s="4" t="str">
        <f>IFERROR(__xludf.DUMMYFUNCTION("""COMPUTED_VALUE"""),"Sti3 Soluções Em Ti")</f>
        <v>Sti3 Soluções Em Ti</v>
      </c>
      <c r="V5202" s="33">
        <f>IFERROR(__xludf.DUMMYFUNCTION("""COMPUTED_VALUE"""),0.5)</f>
        <v>0.5</v>
      </c>
      <c r="W5202" s="4" t="str">
        <f>IFERROR(__xludf.DUMMYFUNCTION("""COMPUTED_VALUE"""),"Sti3 Soluções Em Ti")</f>
        <v>Sti3 Soluções Em Ti</v>
      </c>
      <c r="X5202" s="33">
        <f>IFERROR(__xludf.DUMMYFUNCTION("""COMPUTED_VALUE"""),0.5)</f>
        <v>0.5</v>
      </c>
    </row>
    <row r="5203">
      <c r="K5203" s="4" t="str">
        <f>IFERROR(__xludf.DUMMYFUNCTION("""COMPUTED_VALUE"""),"RESTAURANTE BRASILIA")</f>
        <v>RESTAURANTE BRASILIA</v>
      </c>
      <c r="L5203" s="32">
        <f>IFERROR(__xludf.DUMMYFUNCTION("""COMPUTED_VALUE"""),2.0)</f>
        <v>2</v>
      </c>
      <c r="M5203" s="4" t="str">
        <f>IFERROR(__xludf.DUMMYFUNCTION("""COMPUTED_VALUE"""),"Sagres Automação Comercial")</f>
        <v>Sagres Automação Comercial</v>
      </c>
      <c r="N5203" s="33">
        <f>IFERROR(__xludf.DUMMYFUNCTION("""COMPUTED_VALUE"""),0.5)</f>
        <v>0.5</v>
      </c>
      <c r="O5203" s="4" t="str">
        <f>IFERROR(__xludf.DUMMYFUNCTION("""COMPUTED_VALUE"""),"Sagres Automação Comercial")</f>
        <v>Sagres Automação Comercial</v>
      </c>
      <c r="P5203" s="33">
        <f>IFERROR(__xludf.DUMMYFUNCTION("""COMPUTED_VALUE"""),0.5)</f>
        <v>0.5</v>
      </c>
      <c r="Q5203" s="4" t="str">
        <f>IFERROR(__xludf.DUMMYFUNCTION("""COMPUTED_VALUE"""),"Sagres Automação Comercial")</f>
        <v>Sagres Automação Comercial</v>
      </c>
      <c r="R5203" s="33">
        <f>IFERROR(__xludf.DUMMYFUNCTION("""COMPUTED_VALUE"""),0.5)</f>
        <v>0.5</v>
      </c>
      <c r="S5203" s="4" t="str">
        <f>IFERROR(__xludf.DUMMYFUNCTION("""COMPUTED_VALUE"""),"Sagres Automação Comercial")</f>
        <v>Sagres Automação Comercial</v>
      </c>
      <c r="T5203" s="33">
        <f>IFERROR(__xludf.DUMMYFUNCTION("""COMPUTED_VALUE"""),0.5)</f>
        <v>0.5</v>
      </c>
      <c r="U5203" s="4" t="str">
        <f>IFERROR(__xludf.DUMMYFUNCTION("""COMPUTED_VALUE"""),"Sagres Automação Comercial")</f>
        <v>Sagres Automação Comercial</v>
      </c>
      <c r="V5203" s="33">
        <f>IFERROR(__xludf.DUMMYFUNCTION("""COMPUTED_VALUE"""),0.5)</f>
        <v>0.5</v>
      </c>
      <c r="W5203" s="4" t="str">
        <f>IFERROR(__xludf.DUMMYFUNCTION("""COMPUTED_VALUE"""),"null")</f>
        <v>null</v>
      </c>
      <c r="X5203" s="33">
        <f>IFERROR(__xludf.DUMMYFUNCTION("""COMPUTED_VALUE"""),0.5)</f>
        <v>0.5</v>
      </c>
    </row>
    <row r="5204">
      <c r="K5204" s="4" t="str">
        <f>IFERROR(__xludf.DUMMYFUNCTION("""COMPUTED_VALUE"""),"SKINAO LANCHES")</f>
        <v>SKINAO LANCHES</v>
      </c>
      <c r="L5204" s="32">
        <f>IFERROR(__xludf.DUMMYFUNCTION("""COMPUTED_VALUE"""),2.0)</f>
        <v>2</v>
      </c>
      <c r="M5204" s="4" t="str">
        <f>IFERROR(__xludf.DUMMYFUNCTION("""COMPUTED_VALUE"""),"Olaclick")</f>
        <v>Olaclick</v>
      </c>
      <c r="N5204" s="33">
        <f>IFERROR(__xludf.DUMMYFUNCTION("""COMPUTED_VALUE"""),0.5)</f>
        <v>0.5</v>
      </c>
      <c r="O5204" s="4" t="str">
        <f>IFERROR(__xludf.DUMMYFUNCTION("""COMPUTED_VALUE"""),"Olaclick")</f>
        <v>Olaclick</v>
      </c>
      <c r="P5204" s="33">
        <f>IFERROR(__xludf.DUMMYFUNCTION("""COMPUTED_VALUE"""),0.5)</f>
        <v>0.5</v>
      </c>
      <c r="Q5204" s="4" t="str">
        <f>IFERROR(__xludf.DUMMYFUNCTION("""COMPUTED_VALUE"""),"null")</f>
        <v>null</v>
      </c>
      <c r="R5204" s="33">
        <f>IFERROR(__xludf.DUMMYFUNCTION("""COMPUTED_VALUE"""),1.0)</f>
        <v>1</v>
      </c>
      <c r="S5204" s="4" t="str">
        <f>IFERROR(__xludf.DUMMYFUNCTION("""COMPUTED_VALUE"""),"Olaclick")</f>
        <v>Olaclick</v>
      </c>
      <c r="T5204" s="33">
        <f>IFERROR(__xludf.DUMMYFUNCTION("""COMPUTED_VALUE"""),0.5)</f>
        <v>0.5</v>
      </c>
      <c r="U5204" s="4" t="str">
        <f>IFERROR(__xludf.DUMMYFUNCTION("""COMPUTED_VALUE"""),"Olaclick")</f>
        <v>Olaclick</v>
      </c>
      <c r="V5204" s="33">
        <f>IFERROR(__xludf.DUMMYFUNCTION("""COMPUTED_VALUE"""),0.5)</f>
        <v>0.5</v>
      </c>
      <c r="W5204" s="4" t="str">
        <f>IFERROR(__xludf.DUMMYFUNCTION("""COMPUTED_VALUE"""),"Olaclick")</f>
        <v>Olaclick</v>
      </c>
      <c r="X5204" s="33">
        <f>IFERROR(__xludf.DUMMYFUNCTION("""COMPUTED_VALUE"""),0.5)</f>
        <v>0.5</v>
      </c>
    </row>
    <row r="5205">
      <c r="K5205" s="4" t="str">
        <f>IFERROR(__xludf.DUMMYFUNCTION("""COMPUTED_VALUE"""),"MIAU MIAU")</f>
        <v>MIAU MIAU</v>
      </c>
      <c r="L5205" s="32">
        <f>IFERROR(__xludf.DUMMYFUNCTION("""COMPUTED_VALUE"""),2.0)</f>
        <v>2</v>
      </c>
      <c r="M5205" s="4" t="str">
        <f>IFERROR(__xludf.DUMMYFUNCTION("""COMPUTED_VALUE"""),"null")</f>
        <v>null</v>
      </c>
      <c r="N5205" s="33">
        <f>IFERROR(__xludf.DUMMYFUNCTION("""COMPUTED_VALUE"""),0.5)</f>
        <v>0.5</v>
      </c>
      <c r="O5205" s="4" t="str">
        <f>IFERROR(__xludf.DUMMYFUNCTION("""COMPUTED_VALUE"""),"null")</f>
        <v>null</v>
      </c>
      <c r="P5205" s="33">
        <f>IFERROR(__xludf.DUMMYFUNCTION("""COMPUTED_VALUE"""),0.5)</f>
        <v>0.5</v>
      </c>
      <c r="Q5205" s="4" t="str">
        <f>IFERROR(__xludf.DUMMYFUNCTION("""COMPUTED_VALUE"""),"null")</f>
        <v>null</v>
      </c>
      <c r="R5205" s="33">
        <f>IFERROR(__xludf.DUMMYFUNCTION("""COMPUTED_VALUE"""),0.5)</f>
        <v>0.5</v>
      </c>
      <c r="S5205" s="4" t="str">
        <f>IFERROR(__xludf.DUMMYFUNCTION("""COMPUTED_VALUE"""),"null")</f>
        <v>null</v>
      </c>
      <c r="T5205" s="33">
        <f>IFERROR(__xludf.DUMMYFUNCTION("""COMPUTED_VALUE"""),0.5)</f>
        <v>0.5</v>
      </c>
      <c r="U5205" s="4" t="str">
        <f>IFERROR(__xludf.DUMMYFUNCTION("""COMPUTED_VALUE"""),"Opdv")</f>
        <v>Opdv</v>
      </c>
      <c r="V5205" s="33">
        <f>IFERROR(__xludf.DUMMYFUNCTION("""COMPUTED_VALUE"""),1.0)</f>
        <v>1</v>
      </c>
      <c r="W5205" s="4" t="str">
        <f>IFERROR(__xludf.DUMMYFUNCTION("""COMPUTED_VALUE"""),"Opdv")</f>
        <v>Opdv</v>
      </c>
      <c r="X5205" s="33">
        <f>IFERROR(__xludf.DUMMYFUNCTION("""COMPUTED_VALUE"""),1.0)</f>
        <v>1</v>
      </c>
    </row>
    <row r="5206">
      <c r="K5206" s="4" t="str">
        <f>IFERROR(__xludf.DUMMYFUNCTION("""COMPUTED_VALUE"""),"PIZZAS MAIA")</f>
        <v>PIZZAS MAIA</v>
      </c>
      <c r="L5206" s="32">
        <f>IFERROR(__xludf.DUMMYFUNCTION("""COMPUTED_VALUE"""),2.0)</f>
        <v>2</v>
      </c>
      <c r="M5206" s="4" t="str">
        <f>IFERROR(__xludf.DUMMYFUNCTION("""COMPUTED_VALUE"""),"Cardápio Web")</f>
        <v>Cardápio Web</v>
      </c>
      <c r="N5206" s="33">
        <f>IFERROR(__xludf.DUMMYFUNCTION("""COMPUTED_VALUE"""),1.0)</f>
        <v>1</v>
      </c>
      <c r="O5206" s="4" t="str">
        <f>IFERROR(__xludf.DUMMYFUNCTION("""COMPUTED_VALUE"""),"Cardápio Web")</f>
        <v>Cardápio Web</v>
      </c>
      <c r="P5206" s="33">
        <f>IFERROR(__xludf.DUMMYFUNCTION("""COMPUTED_VALUE"""),1.0)</f>
        <v>1</v>
      </c>
      <c r="Q5206" s="4" t="str">
        <f>IFERROR(__xludf.DUMMYFUNCTION("""COMPUTED_VALUE"""),"Cardápio Web")</f>
        <v>Cardápio Web</v>
      </c>
      <c r="R5206" s="33">
        <f>IFERROR(__xludf.DUMMYFUNCTION("""COMPUTED_VALUE"""),1.0)</f>
        <v>1</v>
      </c>
      <c r="S5206" s="4" t="str">
        <f>IFERROR(__xludf.DUMMYFUNCTION("""COMPUTED_VALUE"""),"Cardápio Web")</f>
        <v>Cardápio Web</v>
      </c>
      <c r="T5206" s="33">
        <f>IFERROR(__xludf.DUMMYFUNCTION("""COMPUTED_VALUE"""),1.0)</f>
        <v>1</v>
      </c>
      <c r="U5206" s="4" t="str">
        <f>IFERROR(__xludf.DUMMYFUNCTION("""COMPUTED_VALUE"""),"Cardápio Web")</f>
        <v>Cardápio Web</v>
      </c>
      <c r="V5206" s="33">
        <f>IFERROR(__xludf.DUMMYFUNCTION("""COMPUTED_VALUE"""),1.0)</f>
        <v>1</v>
      </c>
      <c r="W5206" s="4" t="str">
        <f>IFERROR(__xludf.DUMMYFUNCTION("""COMPUTED_VALUE"""),"Cardápio Web")</f>
        <v>Cardápio Web</v>
      </c>
      <c r="X5206" s="33">
        <f>IFERROR(__xludf.DUMMYFUNCTION("""COMPUTED_VALUE"""),1.0)</f>
        <v>1</v>
      </c>
    </row>
    <row r="5207">
      <c r="K5207" s="4" t="str">
        <f>IFERROR(__xludf.DUMMYFUNCTION("""COMPUTED_VALUE"""),"SABOR E CIA")</f>
        <v>SABOR E CIA</v>
      </c>
      <c r="L5207" s="32">
        <f>IFERROR(__xludf.DUMMYFUNCTION("""COMPUTED_VALUE"""),2.0)</f>
        <v>2</v>
      </c>
      <c r="M5207" s="4" t="str">
        <f>IFERROR(__xludf.DUMMYFUNCTION("""COMPUTED_VALUE"""),"Sti3 Soluções Em Ti")</f>
        <v>Sti3 Soluções Em Ti</v>
      </c>
      <c r="N5207" s="33">
        <f>IFERROR(__xludf.DUMMYFUNCTION("""COMPUTED_VALUE"""),0.5)</f>
        <v>0.5</v>
      </c>
      <c r="O5207" s="4" t="str">
        <f>IFERROR(__xludf.DUMMYFUNCTION("""COMPUTED_VALUE"""),"Sti3 Soluções Em Ti")</f>
        <v>Sti3 Soluções Em Ti</v>
      </c>
      <c r="P5207" s="33">
        <f>IFERROR(__xludf.DUMMYFUNCTION("""COMPUTED_VALUE"""),0.5)</f>
        <v>0.5</v>
      </c>
      <c r="Q5207" s="4" t="str">
        <f>IFERROR(__xludf.DUMMYFUNCTION("""COMPUTED_VALUE"""),"Sti3 Soluções Em Ti")</f>
        <v>Sti3 Soluções Em Ti</v>
      </c>
      <c r="R5207" s="33">
        <f>IFERROR(__xludf.DUMMYFUNCTION("""COMPUTED_VALUE"""),0.5)</f>
        <v>0.5</v>
      </c>
      <c r="S5207" s="4" t="str">
        <f>IFERROR(__xludf.DUMMYFUNCTION("""COMPUTED_VALUE"""),"null")</f>
        <v>null</v>
      </c>
      <c r="T5207" s="33">
        <f>IFERROR(__xludf.DUMMYFUNCTION("""COMPUTED_VALUE"""),0.5)</f>
        <v>0.5</v>
      </c>
      <c r="U5207" s="4" t="str">
        <f>IFERROR(__xludf.DUMMYFUNCTION("""COMPUTED_VALUE"""),"Sti3 Soluções Em Ti")</f>
        <v>Sti3 Soluções Em Ti</v>
      </c>
      <c r="V5207" s="33">
        <f>IFERROR(__xludf.DUMMYFUNCTION("""COMPUTED_VALUE"""),0.5)</f>
        <v>0.5</v>
      </c>
      <c r="W5207" s="4" t="str">
        <f>IFERROR(__xludf.DUMMYFUNCTION("""COMPUTED_VALUE"""),"Sti3 Soluções Em Ti")</f>
        <v>Sti3 Soluções Em Ti</v>
      </c>
      <c r="X5207" s="33">
        <f>IFERROR(__xludf.DUMMYFUNCTION("""COMPUTED_VALUE"""),0.5)</f>
        <v>0.5</v>
      </c>
    </row>
    <row r="5208">
      <c r="K5208" s="4" t="str">
        <f>IFERROR(__xludf.DUMMYFUNCTION("""COMPUTED_VALUE"""),"AUTENTICO BURGER - LANCHES E PORCOES")</f>
        <v>AUTENTICO BURGER - LANCHES E PORCOES</v>
      </c>
      <c r="L5208" s="32">
        <f>IFERROR(__xludf.DUMMYFUNCTION("""COMPUTED_VALUE"""),2.0)</f>
        <v>2</v>
      </c>
      <c r="M5208" s="4" t="str">
        <f>IFERROR(__xludf.DUMMYFUNCTION("""COMPUTED_VALUE"""),"Cardápio Web")</f>
        <v>Cardápio Web</v>
      </c>
      <c r="N5208" s="33">
        <f>IFERROR(__xludf.DUMMYFUNCTION("""COMPUTED_VALUE"""),1.0)</f>
        <v>1</v>
      </c>
      <c r="O5208" s="4" t="str">
        <f>IFERROR(__xludf.DUMMYFUNCTION("""COMPUTED_VALUE"""),"Cardápio Web")</f>
        <v>Cardápio Web</v>
      </c>
      <c r="P5208" s="33">
        <f>IFERROR(__xludf.DUMMYFUNCTION("""COMPUTED_VALUE"""),1.0)</f>
        <v>1</v>
      </c>
      <c r="Q5208" s="4" t="str">
        <f>IFERROR(__xludf.DUMMYFUNCTION("""COMPUTED_VALUE"""),"Cardápio Web")</f>
        <v>Cardápio Web</v>
      </c>
      <c r="R5208" s="33">
        <f>IFERROR(__xludf.DUMMYFUNCTION("""COMPUTED_VALUE"""),1.0)</f>
        <v>1</v>
      </c>
      <c r="S5208" s="4" t="str">
        <f>IFERROR(__xludf.DUMMYFUNCTION("""COMPUTED_VALUE"""),"Cardápio Web")</f>
        <v>Cardápio Web</v>
      </c>
      <c r="T5208" s="33">
        <f>IFERROR(__xludf.DUMMYFUNCTION("""COMPUTED_VALUE"""),1.0)</f>
        <v>1</v>
      </c>
      <c r="U5208" s="4" t="str">
        <f>IFERROR(__xludf.DUMMYFUNCTION("""COMPUTED_VALUE"""),"Cardápio Web")</f>
        <v>Cardápio Web</v>
      </c>
      <c r="V5208" s="33">
        <f>IFERROR(__xludf.DUMMYFUNCTION("""COMPUTED_VALUE"""),1.0)</f>
        <v>1</v>
      </c>
      <c r="W5208" s="4" t="str">
        <f>IFERROR(__xludf.DUMMYFUNCTION("""COMPUTED_VALUE"""),"Cardápio Web")</f>
        <v>Cardápio Web</v>
      </c>
      <c r="X5208" s="33">
        <f>IFERROR(__xludf.DUMMYFUNCTION("""COMPUTED_VALUE"""),1.0)</f>
        <v>1</v>
      </c>
    </row>
    <row r="5209">
      <c r="K5209" s="4" t="str">
        <f>IFERROR(__xludf.DUMMYFUNCTION("""COMPUTED_VALUE"""),"MAMA MIA PIZZARIA")</f>
        <v>MAMA MIA PIZZARIA</v>
      </c>
      <c r="L5209" s="32">
        <f>IFERROR(__xludf.DUMMYFUNCTION("""COMPUTED_VALUE"""),2.0)</f>
        <v>2</v>
      </c>
      <c r="M5209" s="4" t="str">
        <f>IFERROR(__xludf.DUMMYFUNCTION("""COMPUTED_VALUE"""),"Joelma Arruda Da Silva")</f>
        <v>Joelma Arruda Da Silva</v>
      </c>
      <c r="N5209" s="33">
        <f>IFERROR(__xludf.DUMMYFUNCTION("""COMPUTED_VALUE"""),0.5)</f>
        <v>0.5</v>
      </c>
      <c r="O5209" s="4" t="str">
        <f>IFERROR(__xludf.DUMMYFUNCTION("""COMPUTED_VALUE"""),"Joelma Arruda Da Silva")</f>
        <v>Joelma Arruda Da Silva</v>
      </c>
      <c r="P5209" s="33">
        <f>IFERROR(__xludf.DUMMYFUNCTION("""COMPUTED_VALUE"""),0.5)</f>
        <v>0.5</v>
      </c>
      <c r="Q5209" s="4" t="str">
        <f>IFERROR(__xludf.DUMMYFUNCTION("""COMPUTED_VALUE"""),"null")</f>
        <v>null</v>
      </c>
      <c r="R5209" s="33">
        <f>IFERROR(__xludf.DUMMYFUNCTION("""COMPUTED_VALUE"""),0.5)</f>
        <v>0.5</v>
      </c>
      <c r="S5209" s="4" t="str">
        <f>IFERROR(__xludf.DUMMYFUNCTION("""COMPUTED_VALUE"""),"null")</f>
        <v>null</v>
      </c>
      <c r="T5209" s="33">
        <f>IFERROR(__xludf.DUMMYFUNCTION("""COMPUTED_VALUE"""),0.5)</f>
        <v>0.5</v>
      </c>
      <c r="U5209" s="4" t="str">
        <f>IFERROR(__xludf.DUMMYFUNCTION("""COMPUTED_VALUE"""),"null")</f>
        <v>null</v>
      </c>
      <c r="V5209" s="33">
        <f>IFERROR(__xludf.DUMMYFUNCTION("""COMPUTED_VALUE"""),0.5)</f>
        <v>0.5</v>
      </c>
      <c r="W5209" s="4" t="str">
        <f>IFERROR(__xludf.DUMMYFUNCTION("""COMPUTED_VALUE"""),"null")</f>
        <v>null</v>
      </c>
      <c r="X5209" s="33">
        <f>IFERROR(__xludf.DUMMYFUNCTION("""COMPUTED_VALUE"""),1.0)</f>
        <v>1</v>
      </c>
    </row>
    <row r="5210">
      <c r="K5210" s="4" t="str">
        <f>IFERROR(__xludf.DUMMYFUNCTION("""COMPUTED_VALUE"""),"PORTAL EXPRESS")</f>
        <v>PORTAL EXPRESS</v>
      </c>
      <c r="L5210" s="32">
        <f>IFERROR(__xludf.DUMMYFUNCTION("""COMPUTED_VALUE"""),2.0)</f>
        <v>2</v>
      </c>
      <c r="M5210" s="4" t="str">
        <f>IFERROR(__xludf.DUMMYFUNCTION("""COMPUTED_VALUE"""),"Luol Informática E Tecnologia")</f>
        <v>Luol Informática E Tecnologia</v>
      </c>
      <c r="N5210" s="33">
        <f>IFERROR(__xludf.DUMMYFUNCTION("""COMPUTED_VALUE"""),0.5)</f>
        <v>0.5</v>
      </c>
      <c r="O5210" s="4" t="str">
        <f>IFERROR(__xludf.DUMMYFUNCTION("""COMPUTED_VALUE"""),"Luol Informática E Tecnologia")</f>
        <v>Luol Informática E Tecnologia</v>
      </c>
      <c r="P5210" s="33">
        <f>IFERROR(__xludf.DUMMYFUNCTION("""COMPUTED_VALUE"""),1.0)</f>
        <v>1</v>
      </c>
      <c r="Q5210" s="4" t="str">
        <f>IFERROR(__xludf.DUMMYFUNCTION("""COMPUTED_VALUE"""),"null")</f>
        <v>null</v>
      </c>
      <c r="R5210" s="33">
        <f>IFERROR(__xludf.DUMMYFUNCTION("""COMPUTED_VALUE"""),0.5)</f>
        <v>0.5</v>
      </c>
      <c r="S5210" s="4" t="str">
        <f>IFERROR(__xludf.DUMMYFUNCTION("""COMPUTED_VALUE"""),"null")</f>
        <v>null</v>
      </c>
      <c r="T5210" s="33">
        <f>IFERROR(__xludf.DUMMYFUNCTION("""COMPUTED_VALUE"""),0.5)</f>
        <v>0.5</v>
      </c>
      <c r="U5210" s="4" t="str">
        <f>IFERROR(__xludf.DUMMYFUNCTION("""COMPUTED_VALUE"""),"null")</f>
        <v>null</v>
      </c>
      <c r="V5210" s="33">
        <f>IFERROR(__xludf.DUMMYFUNCTION("""COMPUTED_VALUE"""),0.5)</f>
        <v>0.5</v>
      </c>
      <c r="W5210" s="4" t="str">
        <f>IFERROR(__xludf.DUMMYFUNCTION("""COMPUTED_VALUE"""),"null")</f>
        <v>null</v>
      </c>
      <c r="X5210" s="33">
        <f>IFERROR(__xludf.DUMMYFUNCTION("""COMPUTED_VALUE"""),0.5)</f>
        <v>0.5</v>
      </c>
    </row>
    <row r="5211">
      <c r="K5211" s="4" t="str">
        <f>IFERROR(__xludf.DUMMYFUNCTION("""COMPUTED_VALUE"""),"LA PARMEGIANA")</f>
        <v>LA PARMEGIANA</v>
      </c>
      <c r="L5211" s="32">
        <f>IFERROR(__xludf.DUMMYFUNCTION("""COMPUTED_VALUE"""),2.0)</f>
        <v>2</v>
      </c>
      <c r="M5211" s="4" t="str">
        <f>IFERROR(__xludf.DUMMYFUNCTION("""COMPUTED_VALUE"""),"Saipos Serviços De Software")</f>
        <v>Saipos Serviços De Software</v>
      </c>
      <c r="N5211" s="33">
        <f>IFERROR(__xludf.DUMMYFUNCTION("""COMPUTED_VALUE"""),0.5)</f>
        <v>0.5</v>
      </c>
      <c r="O5211" s="4" t="str">
        <f>IFERROR(__xludf.DUMMYFUNCTION("""COMPUTED_VALUE"""),"Saipos Serviços De Software")</f>
        <v>Saipos Serviços De Software</v>
      </c>
      <c r="P5211" s="33">
        <f>IFERROR(__xludf.DUMMYFUNCTION("""COMPUTED_VALUE"""),0.5)</f>
        <v>0.5</v>
      </c>
      <c r="Q5211" s="4" t="str">
        <f>IFERROR(__xludf.DUMMYFUNCTION("""COMPUTED_VALUE"""),"Saipos Serviços De Software")</f>
        <v>Saipos Serviços De Software</v>
      </c>
      <c r="R5211" s="33">
        <f>IFERROR(__xludf.DUMMYFUNCTION("""COMPUTED_VALUE"""),0.5)</f>
        <v>0.5</v>
      </c>
      <c r="S5211" s="4" t="str">
        <f>IFERROR(__xludf.DUMMYFUNCTION("""COMPUTED_VALUE"""),"Saipos Serviços De Software")</f>
        <v>Saipos Serviços De Software</v>
      </c>
      <c r="T5211" s="33">
        <f>IFERROR(__xludf.DUMMYFUNCTION("""COMPUTED_VALUE"""),0.5)</f>
        <v>0.5</v>
      </c>
      <c r="U5211" s="4" t="str">
        <f>IFERROR(__xludf.DUMMYFUNCTION("""COMPUTED_VALUE"""),"Saipos Serviços De Software")</f>
        <v>Saipos Serviços De Software</v>
      </c>
      <c r="V5211" s="33">
        <f>IFERROR(__xludf.DUMMYFUNCTION("""COMPUTED_VALUE"""),0.5)</f>
        <v>0.5</v>
      </c>
      <c r="W5211" s="4" t="str">
        <f>IFERROR(__xludf.DUMMYFUNCTION("""COMPUTED_VALUE"""),"Saipos Serviços De Software")</f>
        <v>Saipos Serviços De Software</v>
      </c>
      <c r="X5211" s="33">
        <f>IFERROR(__xludf.DUMMYFUNCTION("""COMPUTED_VALUE"""),0.5)</f>
        <v>0.5</v>
      </c>
    </row>
    <row r="5212">
      <c r="K5212" s="4" t="str">
        <f>IFERROR(__xludf.DUMMYFUNCTION("""COMPUTED_VALUE"""),"PIZZARIA MARGHERITA")</f>
        <v>PIZZARIA MARGHERITA</v>
      </c>
      <c r="L5212" s="32">
        <f>IFERROR(__xludf.DUMMYFUNCTION("""COMPUTED_VALUE"""),2.0)</f>
        <v>2</v>
      </c>
      <c r="M5212" s="4" t="str">
        <f>IFERROR(__xludf.DUMMYFUNCTION("""COMPUTED_VALUE"""),"Cardápio Web")</f>
        <v>Cardápio Web</v>
      </c>
      <c r="N5212" s="33">
        <f>IFERROR(__xludf.DUMMYFUNCTION("""COMPUTED_VALUE"""),0.5)</f>
        <v>0.5</v>
      </c>
      <c r="O5212" s="4" t="str">
        <f>IFERROR(__xludf.DUMMYFUNCTION("""COMPUTED_VALUE"""),"null")</f>
        <v>null</v>
      </c>
      <c r="P5212" s="33">
        <f>IFERROR(__xludf.DUMMYFUNCTION("""COMPUTED_VALUE"""),0.5)</f>
        <v>0.5</v>
      </c>
      <c r="Q5212" s="4" t="str">
        <f>IFERROR(__xludf.DUMMYFUNCTION("""COMPUTED_VALUE"""),"Cardápio Web")</f>
        <v>Cardápio Web</v>
      </c>
      <c r="R5212" s="33">
        <f>IFERROR(__xludf.DUMMYFUNCTION("""COMPUTED_VALUE"""),0.5)</f>
        <v>0.5</v>
      </c>
      <c r="S5212" s="4" t="str">
        <f>IFERROR(__xludf.DUMMYFUNCTION("""COMPUTED_VALUE"""),"Cardápio Web")</f>
        <v>Cardápio Web</v>
      </c>
      <c r="T5212" s="33">
        <f>IFERROR(__xludf.DUMMYFUNCTION("""COMPUTED_VALUE"""),0.5)</f>
        <v>0.5</v>
      </c>
      <c r="U5212" s="4" t="str">
        <f>IFERROR(__xludf.DUMMYFUNCTION("""COMPUTED_VALUE"""),"Cardápio Web")</f>
        <v>Cardápio Web</v>
      </c>
      <c r="V5212" s="33">
        <f>IFERROR(__xludf.DUMMYFUNCTION("""COMPUTED_VALUE"""),0.5)</f>
        <v>0.5</v>
      </c>
      <c r="W5212" s="4" t="str">
        <f>IFERROR(__xludf.DUMMYFUNCTION("""COMPUTED_VALUE"""),"null")</f>
        <v>null</v>
      </c>
      <c r="X5212" s="33">
        <f>IFERROR(__xludf.DUMMYFUNCTION("""COMPUTED_VALUE"""),0.5)</f>
        <v>0.5</v>
      </c>
    </row>
    <row r="5213">
      <c r="K5213" s="4" t="str">
        <f>IFERROR(__xludf.DUMMYFUNCTION("""COMPUTED_VALUE"""),"IWATA SUSHI")</f>
        <v>IWATA SUSHI</v>
      </c>
      <c r="L5213" s="32">
        <f>IFERROR(__xludf.DUMMYFUNCTION("""COMPUTED_VALUE"""),2.0)</f>
        <v>2</v>
      </c>
      <c r="M5213" s="4" t="str">
        <f>IFERROR(__xludf.DUMMYFUNCTION("""COMPUTED_VALUE"""),"Parseint Desenvolvimento De Sistemas Ltda")</f>
        <v>Parseint Desenvolvimento De Sistemas Ltda</v>
      </c>
      <c r="N5213" s="33">
        <f>IFERROR(__xludf.DUMMYFUNCTION("""COMPUTED_VALUE"""),0.5)</f>
        <v>0.5</v>
      </c>
      <c r="O5213" s="4" t="str">
        <f>IFERROR(__xludf.DUMMYFUNCTION("""COMPUTED_VALUE"""),"Parseint Desenvolvimento De Sistemas Ltda")</f>
        <v>Parseint Desenvolvimento De Sistemas Ltda</v>
      </c>
      <c r="P5213" s="33">
        <f>IFERROR(__xludf.DUMMYFUNCTION("""COMPUTED_VALUE"""),0.5)</f>
        <v>0.5</v>
      </c>
      <c r="Q5213" s="4" t="str">
        <f>IFERROR(__xludf.DUMMYFUNCTION("""COMPUTED_VALUE"""),"Parseint Desenvolvimento De Sistemas Ltda")</f>
        <v>Parseint Desenvolvimento De Sistemas Ltda</v>
      </c>
      <c r="R5213" s="33">
        <f>IFERROR(__xludf.DUMMYFUNCTION("""COMPUTED_VALUE"""),0.5)</f>
        <v>0.5</v>
      </c>
      <c r="S5213" s="4" t="str">
        <f>IFERROR(__xludf.DUMMYFUNCTION("""COMPUTED_VALUE"""),"Parseint Desenvolvimento De Sistemas Ltda")</f>
        <v>Parseint Desenvolvimento De Sistemas Ltda</v>
      </c>
      <c r="T5213" s="33">
        <f>IFERROR(__xludf.DUMMYFUNCTION("""COMPUTED_VALUE"""),0.5)</f>
        <v>0.5</v>
      </c>
      <c r="U5213" s="4" t="str">
        <f>IFERROR(__xludf.DUMMYFUNCTION("""COMPUTED_VALUE"""),"Parseint Desenvolvimento De Sistemas Ltda")</f>
        <v>Parseint Desenvolvimento De Sistemas Ltda</v>
      </c>
      <c r="V5213" s="33">
        <f>IFERROR(__xludf.DUMMYFUNCTION("""COMPUTED_VALUE"""),0.5)</f>
        <v>0.5</v>
      </c>
      <c r="W5213" s="4" t="str">
        <f>IFERROR(__xludf.DUMMYFUNCTION("""COMPUTED_VALUE"""),"Parseint Desenvolvimento De Sistemas Ltda")</f>
        <v>Parseint Desenvolvimento De Sistemas Ltda</v>
      </c>
      <c r="X5213" s="33">
        <f>IFERROR(__xludf.DUMMYFUNCTION("""COMPUTED_VALUE"""),0.5)</f>
        <v>0.5</v>
      </c>
    </row>
    <row r="5214">
      <c r="K5214" s="4" t="str">
        <f>IFERROR(__xludf.DUMMYFUNCTION("""COMPUTED_VALUE"""),"BRASA GRILL")</f>
        <v>BRASA GRILL</v>
      </c>
      <c r="L5214" s="32">
        <f>IFERROR(__xludf.DUMMYFUNCTION("""COMPUTED_VALUE"""),2.0)</f>
        <v>2</v>
      </c>
      <c r="M5214" s="4" t="str">
        <f>IFERROR(__xludf.DUMMYFUNCTION("""COMPUTED_VALUE"""),"Cardápio Web")</f>
        <v>Cardápio Web</v>
      </c>
      <c r="N5214" s="33">
        <f>IFERROR(__xludf.DUMMYFUNCTION("""COMPUTED_VALUE"""),0.5)</f>
        <v>0.5</v>
      </c>
      <c r="O5214" s="4" t="str">
        <f>IFERROR(__xludf.DUMMYFUNCTION("""COMPUTED_VALUE"""),"Cardápio Web")</f>
        <v>Cardápio Web</v>
      </c>
      <c r="P5214" s="33">
        <f>IFERROR(__xludf.DUMMYFUNCTION("""COMPUTED_VALUE"""),0.5)</f>
        <v>0.5</v>
      </c>
      <c r="Q5214" s="4" t="str">
        <f>IFERROR(__xludf.DUMMYFUNCTION("""COMPUTED_VALUE"""),"Cardápio Web")</f>
        <v>Cardápio Web</v>
      </c>
      <c r="R5214" s="33">
        <f>IFERROR(__xludf.DUMMYFUNCTION("""COMPUTED_VALUE"""),0.5)</f>
        <v>0.5</v>
      </c>
      <c r="S5214" s="4" t="str">
        <f>IFERROR(__xludf.DUMMYFUNCTION("""COMPUTED_VALUE"""),"Cardápio Web")</f>
        <v>Cardápio Web</v>
      </c>
      <c r="T5214" s="33">
        <f>IFERROR(__xludf.DUMMYFUNCTION("""COMPUTED_VALUE"""),0.5)</f>
        <v>0.5</v>
      </c>
      <c r="U5214" s="4" t="str">
        <f>IFERROR(__xludf.DUMMYFUNCTION("""COMPUTED_VALUE"""),"Cardápio Web")</f>
        <v>Cardápio Web</v>
      </c>
      <c r="V5214" s="33">
        <f>IFERROR(__xludf.DUMMYFUNCTION("""COMPUTED_VALUE"""),0.5)</f>
        <v>0.5</v>
      </c>
      <c r="W5214" s="4" t="str">
        <f>IFERROR(__xludf.DUMMYFUNCTION("""COMPUTED_VALUE"""),"Cardápio Web")</f>
        <v>Cardápio Web</v>
      </c>
      <c r="X5214" s="33">
        <f>IFERROR(__xludf.DUMMYFUNCTION("""COMPUTED_VALUE"""),0.5)</f>
        <v>0.5</v>
      </c>
    </row>
    <row r="5215">
      <c r="K5215" s="4" t="str">
        <f>IFERROR(__xludf.DUMMYFUNCTION("""COMPUTED_VALUE"""),"IMPERIO DOCE")</f>
        <v>IMPERIO DOCE</v>
      </c>
      <c r="L5215" s="32">
        <f>IFERROR(__xludf.DUMMYFUNCTION("""COMPUTED_VALUE"""),2.0)</f>
        <v>2</v>
      </c>
      <c r="M5215" s="4" t="str">
        <f>IFERROR(__xludf.DUMMYFUNCTION("""COMPUTED_VALUE"""),"null")</f>
        <v>null</v>
      </c>
      <c r="N5215" s="33">
        <f>IFERROR(__xludf.DUMMYFUNCTION("""COMPUTED_VALUE"""),0.5)</f>
        <v>0.5</v>
      </c>
      <c r="O5215" s="4" t="str">
        <f>IFERROR(__xludf.DUMMYFUNCTION("""COMPUTED_VALUE"""),"null")</f>
        <v>null</v>
      </c>
      <c r="P5215" s="33">
        <f>IFERROR(__xludf.DUMMYFUNCTION("""COMPUTED_VALUE"""),0.5)</f>
        <v>0.5</v>
      </c>
      <c r="Q5215" s="4" t="str">
        <f>IFERROR(__xludf.DUMMYFUNCTION("""COMPUTED_VALUE"""),"null")</f>
        <v>null</v>
      </c>
      <c r="R5215" s="33">
        <f>IFERROR(__xludf.DUMMYFUNCTION("""COMPUTED_VALUE"""),0.5)</f>
        <v>0.5</v>
      </c>
      <c r="S5215" s="4" t="str">
        <f>IFERROR(__xludf.DUMMYFUNCTION("""COMPUTED_VALUE"""),"null")</f>
        <v>null</v>
      </c>
      <c r="T5215" s="33">
        <f>IFERROR(__xludf.DUMMYFUNCTION("""COMPUTED_VALUE"""),0.5)</f>
        <v>0.5</v>
      </c>
      <c r="U5215" s="4" t="str">
        <f>IFERROR(__xludf.DUMMYFUNCTION("""COMPUTED_VALUE"""),"Instadelivery")</f>
        <v>Instadelivery</v>
      </c>
      <c r="V5215" s="33">
        <f>IFERROR(__xludf.DUMMYFUNCTION("""COMPUTED_VALUE"""),0.5)</f>
        <v>0.5</v>
      </c>
      <c r="W5215" s="4" t="str">
        <f>IFERROR(__xludf.DUMMYFUNCTION("""COMPUTED_VALUE"""),"null")</f>
        <v>null</v>
      </c>
      <c r="X5215" s="33">
        <f>IFERROR(__xludf.DUMMYFUNCTION("""COMPUTED_VALUE"""),0.5)</f>
        <v>0.5</v>
      </c>
    </row>
    <row r="5216">
      <c r="K5216" s="4" t="str">
        <f>IFERROR(__xludf.DUMMYFUNCTION("""COMPUTED_VALUE"""),"ESFIHA MANIA")</f>
        <v>ESFIHA MANIA</v>
      </c>
      <c r="L5216" s="32">
        <f>IFERROR(__xludf.DUMMYFUNCTION("""COMPUTED_VALUE"""),2.0)</f>
        <v>2</v>
      </c>
      <c r="M5216" s="4" t="str">
        <f>IFERROR(__xludf.DUMMYFUNCTION("""COMPUTED_VALUE"""),"Expresso Delivery")</f>
        <v>Expresso Delivery</v>
      </c>
      <c r="N5216" s="33">
        <f>IFERROR(__xludf.DUMMYFUNCTION("""COMPUTED_VALUE"""),0.5)</f>
        <v>0.5</v>
      </c>
      <c r="O5216" s="4" t="str">
        <f>IFERROR(__xludf.DUMMYFUNCTION("""COMPUTED_VALUE"""),"Expresso Delivery")</f>
        <v>Expresso Delivery</v>
      </c>
      <c r="P5216" s="33">
        <f>IFERROR(__xludf.DUMMYFUNCTION("""COMPUTED_VALUE"""),0.5)</f>
        <v>0.5</v>
      </c>
      <c r="Q5216" s="4" t="str">
        <f>IFERROR(__xludf.DUMMYFUNCTION("""COMPUTED_VALUE"""),"Expresso Delivery")</f>
        <v>Expresso Delivery</v>
      </c>
      <c r="R5216" s="33">
        <f>IFERROR(__xludf.DUMMYFUNCTION("""COMPUTED_VALUE"""),0.5)</f>
        <v>0.5</v>
      </c>
      <c r="S5216" s="4" t="str">
        <f>IFERROR(__xludf.DUMMYFUNCTION("""COMPUTED_VALUE"""),"Expresso Delivery")</f>
        <v>Expresso Delivery</v>
      </c>
      <c r="T5216" s="33">
        <f>IFERROR(__xludf.DUMMYFUNCTION("""COMPUTED_VALUE"""),0.5)</f>
        <v>0.5</v>
      </c>
      <c r="U5216" s="4" t="str">
        <f>IFERROR(__xludf.DUMMYFUNCTION("""COMPUTED_VALUE"""),"Expresso Delivery")</f>
        <v>Expresso Delivery</v>
      </c>
      <c r="V5216" s="33">
        <f>IFERROR(__xludf.DUMMYFUNCTION("""COMPUTED_VALUE"""),0.5)</f>
        <v>0.5</v>
      </c>
      <c r="W5216" s="4" t="str">
        <f>IFERROR(__xludf.DUMMYFUNCTION("""COMPUTED_VALUE"""),"Expresso Delivery")</f>
        <v>Expresso Delivery</v>
      </c>
      <c r="X5216" s="33">
        <f>IFERROR(__xludf.DUMMYFUNCTION("""COMPUTED_VALUE"""),0.5)</f>
        <v>0.5</v>
      </c>
    </row>
    <row r="5217">
      <c r="K5217" s="4" t="str">
        <f>IFERROR(__xludf.DUMMYFUNCTION("""COMPUTED_VALUE"""),"PURPLE ACAI")</f>
        <v>PURPLE ACAI</v>
      </c>
      <c r="L5217" s="32">
        <f>IFERROR(__xludf.DUMMYFUNCTION("""COMPUTED_VALUE"""),2.0)</f>
        <v>2</v>
      </c>
      <c r="M5217" s="4" t="str">
        <f>IFERROR(__xludf.DUMMYFUNCTION("""COMPUTED_VALUE"""),"Whatsmenu Ltda")</f>
        <v>Whatsmenu Ltda</v>
      </c>
      <c r="N5217" s="33">
        <f>IFERROR(__xludf.DUMMYFUNCTION("""COMPUTED_VALUE"""),0.5)</f>
        <v>0.5</v>
      </c>
      <c r="O5217" s="4" t="str">
        <f>IFERROR(__xludf.DUMMYFUNCTION("""COMPUTED_VALUE"""),"Whatsmenu Ltda")</f>
        <v>Whatsmenu Ltda</v>
      </c>
      <c r="P5217" s="33">
        <f>IFERROR(__xludf.DUMMYFUNCTION("""COMPUTED_VALUE"""),0.5)</f>
        <v>0.5</v>
      </c>
      <c r="Q5217" s="4" t="str">
        <f>IFERROR(__xludf.DUMMYFUNCTION("""COMPUTED_VALUE"""),"Whatsmenu Ltda")</f>
        <v>Whatsmenu Ltda</v>
      </c>
      <c r="R5217" s="33">
        <f>IFERROR(__xludf.DUMMYFUNCTION("""COMPUTED_VALUE"""),0.5)</f>
        <v>0.5</v>
      </c>
      <c r="S5217" s="4" t="str">
        <f>IFERROR(__xludf.DUMMYFUNCTION("""COMPUTED_VALUE"""),"null")</f>
        <v>null</v>
      </c>
      <c r="T5217" s="33">
        <f>IFERROR(__xludf.DUMMYFUNCTION("""COMPUTED_VALUE"""),0.5)</f>
        <v>0.5</v>
      </c>
      <c r="U5217" s="4" t="str">
        <f>IFERROR(__xludf.DUMMYFUNCTION("""COMPUTED_VALUE"""),"null")</f>
        <v>null</v>
      </c>
      <c r="V5217" s="33">
        <f>IFERROR(__xludf.DUMMYFUNCTION("""COMPUTED_VALUE"""),0.5)</f>
        <v>0.5</v>
      </c>
      <c r="W5217" s="4" t="str">
        <f>IFERROR(__xludf.DUMMYFUNCTION("""COMPUTED_VALUE"""),"null")</f>
        <v>null</v>
      </c>
      <c r="X5217" s="33">
        <f>IFERROR(__xludf.DUMMYFUNCTION("""COMPUTED_VALUE"""),0.5)</f>
        <v>0.5</v>
      </c>
    </row>
    <row r="5218">
      <c r="K5218" s="4" t="str">
        <f>IFERROR(__xludf.DUMMYFUNCTION("""COMPUTED_VALUE"""),"ACAI DO DUDU")</f>
        <v>ACAI DO DUDU</v>
      </c>
      <c r="L5218" s="32">
        <f>IFERROR(__xludf.DUMMYFUNCTION("""COMPUTED_VALUE"""),2.0)</f>
        <v>2</v>
      </c>
      <c r="M5218" s="4" t="str">
        <f>IFERROR(__xludf.DUMMYFUNCTION("""COMPUTED_VALUE"""),"Brendi")</f>
        <v>Brendi</v>
      </c>
      <c r="N5218" s="33">
        <f>IFERROR(__xludf.DUMMYFUNCTION("""COMPUTED_VALUE"""),0.5)</f>
        <v>0.5</v>
      </c>
      <c r="O5218" s="4" t="str">
        <f>IFERROR(__xludf.DUMMYFUNCTION("""COMPUTED_VALUE"""),"Brendi")</f>
        <v>Brendi</v>
      </c>
      <c r="P5218" s="33">
        <f>IFERROR(__xludf.DUMMYFUNCTION("""COMPUTED_VALUE"""),0.5)</f>
        <v>0.5</v>
      </c>
      <c r="Q5218" s="4" t="str">
        <f>IFERROR(__xludf.DUMMYFUNCTION("""COMPUTED_VALUE"""),"Brendi")</f>
        <v>Brendi</v>
      </c>
      <c r="R5218" s="33">
        <f>IFERROR(__xludf.DUMMYFUNCTION("""COMPUTED_VALUE"""),0.5)</f>
        <v>0.5</v>
      </c>
      <c r="S5218" s="4" t="str">
        <f>IFERROR(__xludf.DUMMYFUNCTION("""COMPUTED_VALUE"""),"Brendi")</f>
        <v>Brendi</v>
      </c>
      <c r="T5218" s="33">
        <f>IFERROR(__xludf.DUMMYFUNCTION("""COMPUTED_VALUE"""),0.5)</f>
        <v>0.5</v>
      </c>
      <c r="U5218" s="4" t="str">
        <f>IFERROR(__xludf.DUMMYFUNCTION("""COMPUTED_VALUE"""),"Brendi")</f>
        <v>Brendi</v>
      </c>
      <c r="V5218" s="33">
        <f>IFERROR(__xludf.DUMMYFUNCTION("""COMPUTED_VALUE"""),0.5)</f>
        <v>0.5</v>
      </c>
      <c r="W5218" s="4" t="str">
        <f>IFERROR(__xludf.DUMMYFUNCTION("""COMPUTED_VALUE"""),"Brendi")</f>
        <v>Brendi</v>
      </c>
      <c r="X5218" s="33">
        <f>IFERROR(__xludf.DUMMYFUNCTION("""COMPUTED_VALUE"""),0.5)</f>
        <v>0.5</v>
      </c>
    </row>
    <row r="5219">
      <c r="K5219" s="4" t="str">
        <f>IFERROR(__xludf.DUMMYFUNCTION("""COMPUTED_VALUE"""),"INSANO HAMBURGUERIA")</f>
        <v>INSANO HAMBURGUERIA</v>
      </c>
      <c r="L5219" s="32">
        <f>IFERROR(__xludf.DUMMYFUNCTION("""COMPUTED_VALUE"""),2.0)</f>
        <v>2</v>
      </c>
      <c r="M5219" s="4" t="str">
        <f>IFERROR(__xludf.DUMMYFUNCTION("""COMPUTED_VALUE"""),"Consumer Soluções Em Tecnologia Ltda")</f>
        <v>Consumer Soluções Em Tecnologia Ltda</v>
      </c>
      <c r="N5219" s="33">
        <f>IFERROR(__xludf.DUMMYFUNCTION("""COMPUTED_VALUE"""),1.0)</f>
        <v>1</v>
      </c>
      <c r="O5219" s="4" t="str">
        <f>IFERROR(__xludf.DUMMYFUNCTION("""COMPUTED_VALUE"""),"Consumer Soluções Em Tecnologia Ltda")</f>
        <v>Consumer Soluções Em Tecnologia Ltda</v>
      </c>
      <c r="P5219" s="33">
        <f>IFERROR(__xludf.DUMMYFUNCTION("""COMPUTED_VALUE"""),1.0)</f>
        <v>1</v>
      </c>
      <c r="Q5219" s="4" t="str">
        <f>IFERROR(__xludf.DUMMYFUNCTION("""COMPUTED_VALUE"""),"Consumer Soluções Em Tecnologia Ltda")</f>
        <v>Consumer Soluções Em Tecnologia Ltda</v>
      </c>
      <c r="R5219" s="33">
        <f>IFERROR(__xludf.DUMMYFUNCTION("""COMPUTED_VALUE"""),1.0)</f>
        <v>1</v>
      </c>
      <c r="S5219" s="4" t="str">
        <f>IFERROR(__xludf.DUMMYFUNCTION("""COMPUTED_VALUE"""),"Consumer Soluções Em Tecnologia Ltda")</f>
        <v>Consumer Soluções Em Tecnologia Ltda</v>
      </c>
      <c r="T5219" s="33">
        <f>IFERROR(__xludf.DUMMYFUNCTION("""COMPUTED_VALUE"""),1.0)</f>
        <v>1</v>
      </c>
      <c r="U5219" s="4" t="str">
        <f>IFERROR(__xludf.DUMMYFUNCTION("""COMPUTED_VALUE"""),"Consumer Soluções Em Tecnologia Ltda")</f>
        <v>Consumer Soluções Em Tecnologia Ltda</v>
      </c>
      <c r="V5219" s="33">
        <f>IFERROR(__xludf.DUMMYFUNCTION("""COMPUTED_VALUE"""),1.0)</f>
        <v>1</v>
      </c>
      <c r="W5219" s="4" t="str">
        <f>IFERROR(__xludf.DUMMYFUNCTION("""COMPUTED_VALUE"""),"Consumer Soluções Em Tecnologia Ltda")</f>
        <v>Consumer Soluções Em Tecnologia Ltda</v>
      </c>
      <c r="X5219" s="33">
        <f>IFERROR(__xludf.DUMMYFUNCTION("""COMPUTED_VALUE"""),1.0)</f>
        <v>1</v>
      </c>
    </row>
    <row r="5220">
      <c r="K5220" s="4" t="str">
        <f>IFERROR(__xludf.DUMMYFUNCTION("""COMPUTED_VALUE"""),"DEU SOPA")</f>
        <v>DEU SOPA</v>
      </c>
      <c r="L5220" s="32">
        <f>IFERROR(__xludf.DUMMYFUNCTION("""COMPUTED_VALUE"""),2.0)</f>
        <v>2</v>
      </c>
      <c r="M5220" s="4" t="str">
        <f>IFERROR(__xludf.DUMMYFUNCTION("""COMPUTED_VALUE"""),"Netcontroll Xmenu")</f>
        <v>Netcontroll Xmenu</v>
      </c>
      <c r="N5220" s="33">
        <f>IFERROR(__xludf.DUMMYFUNCTION("""COMPUTED_VALUE"""),0.5)</f>
        <v>0.5</v>
      </c>
      <c r="O5220" s="4" t="str">
        <f>IFERROR(__xludf.DUMMYFUNCTION("""COMPUTED_VALUE"""),"null")</f>
        <v>null</v>
      </c>
      <c r="P5220" s="33">
        <f>IFERROR(__xludf.DUMMYFUNCTION("""COMPUTED_VALUE"""),0.5)</f>
        <v>0.5</v>
      </c>
      <c r="Q5220" s="4" t="str">
        <f>IFERROR(__xludf.DUMMYFUNCTION("""COMPUTED_VALUE"""),"null")</f>
        <v>null</v>
      </c>
      <c r="R5220" s="33">
        <f>IFERROR(__xludf.DUMMYFUNCTION("""COMPUTED_VALUE"""),0.5)</f>
        <v>0.5</v>
      </c>
      <c r="S5220" s="4" t="str">
        <f>IFERROR(__xludf.DUMMYFUNCTION("""COMPUTED_VALUE"""),"null")</f>
        <v>null</v>
      </c>
      <c r="T5220" s="33">
        <f>IFERROR(__xludf.DUMMYFUNCTION("""COMPUTED_VALUE"""),0.5)</f>
        <v>0.5</v>
      </c>
      <c r="U5220" s="4" t="str">
        <f>IFERROR(__xludf.DUMMYFUNCTION("""COMPUTED_VALUE"""),"null")</f>
        <v>null</v>
      </c>
      <c r="V5220" s="33">
        <f>IFERROR(__xludf.DUMMYFUNCTION("""COMPUTED_VALUE"""),0.5)</f>
        <v>0.5</v>
      </c>
      <c r="W5220" s="4" t="str">
        <f>IFERROR(__xludf.DUMMYFUNCTION("""COMPUTED_VALUE"""),"null")</f>
        <v>null</v>
      </c>
      <c r="X5220" s="33">
        <f>IFERROR(__xludf.DUMMYFUNCTION("""COMPUTED_VALUE"""),0.5)</f>
        <v>0.5</v>
      </c>
    </row>
    <row r="5221">
      <c r="K5221" s="4" t="str">
        <f>IFERROR(__xludf.DUMMYFUNCTION("""COMPUTED_VALUE"""),"TRILHAS DA AMAZONIA - ACAI E SORVETES")</f>
        <v>TRILHAS DA AMAZONIA - ACAI E SORVETES</v>
      </c>
      <c r="L5221" s="32">
        <f>IFERROR(__xludf.DUMMYFUNCTION("""COMPUTED_VALUE"""),2.0)</f>
        <v>2</v>
      </c>
      <c r="M5221" s="4" t="str">
        <f>IFERROR(__xludf.DUMMYFUNCTION("""COMPUTED_VALUE"""),"Datacaixa Pdv")</f>
        <v>Datacaixa Pdv</v>
      </c>
      <c r="N5221" s="33">
        <f>IFERROR(__xludf.DUMMYFUNCTION("""COMPUTED_VALUE"""),0.5)</f>
        <v>0.5</v>
      </c>
      <c r="O5221" s="4" t="str">
        <f>IFERROR(__xludf.DUMMYFUNCTION("""COMPUTED_VALUE"""),"Datacaixa Pdv")</f>
        <v>Datacaixa Pdv</v>
      </c>
      <c r="P5221" s="33">
        <f>IFERROR(__xludf.DUMMYFUNCTION("""COMPUTED_VALUE"""),0.5)</f>
        <v>0.5</v>
      </c>
      <c r="Q5221" s="4" t="str">
        <f>IFERROR(__xludf.DUMMYFUNCTION("""COMPUTED_VALUE"""),"null")</f>
        <v>null</v>
      </c>
      <c r="R5221" s="33">
        <f>IFERROR(__xludf.DUMMYFUNCTION("""COMPUTED_VALUE"""),1.0)</f>
        <v>1</v>
      </c>
      <c r="S5221" s="4" t="str">
        <f>IFERROR(__xludf.DUMMYFUNCTION("""COMPUTED_VALUE"""),"Cardápio Web")</f>
        <v>Cardápio Web</v>
      </c>
      <c r="T5221" s="33">
        <f>IFERROR(__xludf.DUMMYFUNCTION("""COMPUTED_VALUE"""),0.5)</f>
        <v>0.5</v>
      </c>
      <c r="U5221" s="4" t="str">
        <f>IFERROR(__xludf.DUMMYFUNCTION("""COMPUTED_VALUE"""),"Datacaixa Pdv")</f>
        <v>Datacaixa Pdv</v>
      </c>
      <c r="V5221" s="33">
        <f>IFERROR(__xludf.DUMMYFUNCTION("""COMPUTED_VALUE"""),0.5)</f>
        <v>0.5</v>
      </c>
      <c r="W5221" s="4" t="str">
        <f>IFERROR(__xludf.DUMMYFUNCTION("""COMPUTED_VALUE"""),"Cardápio Web")</f>
        <v>Cardápio Web</v>
      </c>
      <c r="X5221" s="33">
        <f>IFERROR(__xludf.DUMMYFUNCTION("""COMPUTED_VALUE"""),0.5)</f>
        <v>0.5</v>
      </c>
    </row>
    <row r="5222">
      <c r="K5222" s="4" t="str">
        <f>IFERROR(__xludf.DUMMYFUNCTION("""COMPUTED_VALUE"""),"PARMAS PIZZARIA")</f>
        <v>PARMAS PIZZARIA</v>
      </c>
      <c r="L5222" s="32">
        <f>IFERROR(__xludf.DUMMYFUNCTION("""COMPUTED_VALUE"""),2.0)</f>
        <v>2</v>
      </c>
      <c r="M5222" s="4" t="str">
        <f>IFERROR(__xludf.DUMMYFUNCTION("""COMPUTED_VALUE"""),"Ccm Pedido Online")</f>
        <v>Ccm Pedido Online</v>
      </c>
      <c r="N5222" s="33">
        <f>IFERROR(__xludf.DUMMYFUNCTION("""COMPUTED_VALUE"""),1.0)</f>
        <v>1</v>
      </c>
      <c r="O5222" s="4" t="str">
        <f>IFERROR(__xludf.DUMMYFUNCTION("""COMPUTED_VALUE"""),"Ccm Pedido Online")</f>
        <v>Ccm Pedido Online</v>
      </c>
      <c r="P5222" s="33">
        <f>IFERROR(__xludf.DUMMYFUNCTION("""COMPUTED_VALUE"""),1.0)</f>
        <v>1</v>
      </c>
      <c r="Q5222" s="4" t="str">
        <f>IFERROR(__xludf.DUMMYFUNCTION("""COMPUTED_VALUE"""),"Ccm Pedido Online")</f>
        <v>Ccm Pedido Online</v>
      </c>
      <c r="R5222" s="33">
        <f>IFERROR(__xludf.DUMMYFUNCTION("""COMPUTED_VALUE"""),1.0)</f>
        <v>1</v>
      </c>
      <c r="S5222" s="4" t="str">
        <f>IFERROR(__xludf.DUMMYFUNCTION("""COMPUTED_VALUE"""),"Ccm Pedido Online")</f>
        <v>Ccm Pedido Online</v>
      </c>
      <c r="T5222" s="33">
        <f>IFERROR(__xludf.DUMMYFUNCTION("""COMPUTED_VALUE"""),1.0)</f>
        <v>1</v>
      </c>
      <c r="U5222" s="4" t="str">
        <f>IFERROR(__xludf.DUMMYFUNCTION("""COMPUTED_VALUE"""),"Ccm Pedido Online")</f>
        <v>Ccm Pedido Online</v>
      </c>
      <c r="V5222" s="33">
        <f>IFERROR(__xludf.DUMMYFUNCTION("""COMPUTED_VALUE"""),1.0)</f>
        <v>1</v>
      </c>
      <c r="W5222" s="4" t="str">
        <f>IFERROR(__xludf.DUMMYFUNCTION("""COMPUTED_VALUE"""),"Ccm Pedido Online")</f>
        <v>Ccm Pedido Online</v>
      </c>
      <c r="X5222" s="33">
        <f>IFERROR(__xludf.DUMMYFUNCTION("""COMPUTED_VALUE"""),1.0)</f>
        <v>1</v>
      </c>
    </row>
    <row r="5223">
      <c r="K5223" s="4" t="str">
        <f>IFERROR(__xludf.DUMMYFUNCTION("""COMPUTED_VALUE"""),"DANI LANCHES")</f>
        <v>DANI LANCHES</v>
      </c>
      <c r="L5223" s="32">
        <f>IFERROR(__xludf.DUMMYFUNCTION("""COMPUTED_VALUE"""),2.0)</f>
        <v>2</v>
      </c>
      <c r="M5223" s="4" t="str">
        <f>IFERROR(__xludf.DUMMYFUNCTION("""COMPUTED_VALUE"""),"Insert Code Informatica Ltda")</f>
        <v>Insert Code Informatica Ltda</v>
      </c>
      <c r="N5223" s="33">
        <f>IFERROR(__xludf.DUMMYFUNCTION("""COMPUTED_VALUE"""),0.5)</f>
        <v>0.5</v>
      </c>
      <c r="O5223" s="4" t="str">
        <f>IFERROR(__xludf.DUMMYFUNCTION("""COMPUTED_VALUE"""),"Insert Code Informatica Ltda")</f>
        <v>Insert Code Informatica Ltda</v>
      </c>
      <c r="P5223" s="33">
        <f>IFERROR(__xludf.DUMMYFUNCTION("""COMPUTED_VALUE"""),0.5)</f>
        <v>0.5</v>
      </c>
      <c r="Q5223" s="4" t="str">
        <f>IFERROR(__xludf.DUMMYFUNCTION("""COMPUTED_VALUE"""),"Insert Code Informatica Ltda")</f>
        <v>Insert Code Informatica Ltda</v>
      </c>
      <c r="R5223" s="33">
        <f>IFERROR(__xludf.DUMMYFUNCTION("""COMPUTED_VALUE"""),0.5)</f>
        <v>0.5</v>
      </c>
      <c r="S5223" s="4" t="str">
        <f>IFERROR(__xludf.DUMMYFUNCTION("""COMPUTED_VALUE"""),"Insert Code Informatica Ltda")</f>
        <v>Insert Code Informatica Ltda</v>
      </c>
      <c r="T5223" s="33">
        <f>IFERROR(__xludf.DUMMYFUNCTION("""COMPUTED_VALUE"""),0.5)</f>
        <v>0.5</v>
      </c>
      <c r="U5223" s="4" t="str">
        <f>IFERROR(__xludf.DUMMYFUNCTION("""COMPUTED_VALUE"""),"Insert Code Informatica Ltda")</f>
        <v>Insert Code Informatica Ltda</v>
      </c>
      <c r="V5223" s="33">
        <f>IFERROR(__xludf.DUMMYFUNCTION("""COMPUTED_VALUE"""),0.5)</f>
        <v>0.5</v>
      </c>
      <c r="W5223" s="4" t="str">
        <f>IFERROR(__xludf.DUMMYFUNCTION("""COMPUTED_VALUE"""),"Insert Code Informatica Ltda")</f>
        <v>Insert Code Informatica Ltda</v>
      </c>
      <c r="X5223" s="33">
        <f>IFERROR(__xludf.DUMMYFUNCTION("""COMPUTED_VALUE"""),0.5)</f>
        <v>0.5</v>
      </c>
    </row>
    <row r="5224">
      <c r="K5224" s="4" t="str">
        <f>IFERROR(__xludf.DUMMYFUNCTION("""COMPUTED_VALUE"""),"REI DO FRANGUINHO")</f>
        <v>REI DO FRANGUINHO</v>
      </c>
      <c r="L5224" s="32">
        <f>IFERROR(__xludf.DUMMYFUNCTION("""COMPUTED_VALUE"""),2.0)</f>
        <v>2</v>
      </c>
      <c r="M5224" s="4" t="str">
        <f>IFERROR(__xludf.DUMMYFUNCTION("""COMPUTED_VALUE"""),"Instadelivery")</f>
        <v>Instadelivery</v>
      </c>
      <c r="N5224" s="33">
        <f>IFERROR(__xludf.DUMMYFUNCTION("""COMPUTED_VALUE"""),0.5)</f>
        <v>0.5</v>
      </c>
      <c r="O5224" s="4" t="str">
        <f>IFERROR(__xludf.DUMMYFUNCTION("""COMPUTED_VALUE"""),"Instadelivery")</f>
        <v>Instadelivery</v>
      </c>
      <c r="P5224" s="33">
        <f>IFERROR(__xludf.DUMMYFUNCTION("""COMPUTED_VALUE"""),0.5)</f>
        <v>0.5</v>
      </c>
      <c r="Q5224" s="4" t="str">
        <f>IFERROR(__xludf.DUMMYFUNCTION("""COMPUTED_VALUE"""),"Instadelivery")</f>
        <v>Instadelivery</v>
      </c>
      <c r="R5224" s="33">
        <f>IFERROR(__xludf.DUMMYFUNCTION("""COMPUTED_VALUE"""),0.5)</f>
        <v>0.5</v>
      </c>
      <c r="S5224" s="4" t="str">
        <f>IFERROR(__xludf.DUMMYFUNCTION("""COMPUTED_VALUE"""),"Instadelivery")</f>
        <v>Instadelivery</v>
      </c>
      <c r="T5224" s="33">
        <f>IFERROR(__xludf.DUMMYFUNCTION("""COMPUTED_VALUE"""),0.5)</f>
        <v>0.5</v>
      </c>
      <c r="U5224" s="4" t="str">
        <f>IFERROR(__xludf.DUMMYFUNCTION("""COMPUTED_VALUE"""),"Instadelivery")</f>
        <v>Instadelivery</v>
      </c>
      <c r="V5224" s="33">
        <f>IFERROR(__xludf.DUMMYFUNCTION("""COMPUTED_VALUE"""),0.5)</f>
        <v>0.5</v>
      </c>
      <c r="W5224" s="4" t="str">
        <f>IFERROR(__xludf.DUMMYFUNCTION("""COMPUTED_VALUE"""),"Instadelivery")</f>
        <v>Instadelivery</v>
      </c>
      <c r="X5224" s="33">
        <f>IFERROR(__xludf.DUMMYFUNCTION("""COMPUTED_VALUE"""),0.5)</f>
        <v>0.5</v>
      </c>
    </row>
    <row r="5225">
      <c r="K5225" s="4" t="str">
        <f>IFERROR(__xludf.DUMMYFUNCTION("""COMPUTED_VALUE"""),"BENS CHICKEN")</f>
        <v>BENS CHICKEN</v>
      </c>
      <c r="L5225" s="32">
        <f>IFERROR(__xludf.DUMMYFUNCTION("""COMPUTED_VALUE"""),2.0)</f>
        <v>2</v>
      </c>
      <c r="M5225" s="4" t="str">
        <f>IFERROR(__xludf.DUMMYFUNCTION("""COMPUTED_VALUE"""),"Saipos Serviços De Software")</f>
        <v>Saipos Serviços De Software</v>
      </c>
      <c r="N5225" s="33">
        <f>IFERROR(__xludf.DUMMYFUNCTION("""COMPUTED_VALUE"""),1.0)</f>
        <v>1</v>
      </c>
      <c r="O5225" s="4" t="str">
        <f>IFERROR(__xludf.DUMMYFUNCTION("""COMPUTED_VALUE"""),"Saipos Serviços De Software")</f>
        <v>Saipos Serviços De Software</v>
      </c>
      <c r="P5225" s="33">
        <f>IFERROR(__xludf.DUMMYFUNCTION("""COMPUTED_VALUE"""),1.0)</f>
        <v>1</v>
      </c>
      <c r="Q5225" s="4" t="str">
        <f>IFERROR(__xludf.DUMMYFUNCTION("""COMPUTED_VALUE"""),"Saipos Serviços De Software")</f>
        <v>Saipos Serviços De Software</v>
      </c>
      <c r="R5225" s="33">
        <f>IFERROR(__xludf.DUMMYFUNCTION("""COMPUTED_VALUE"""),1.0)</f>
        <v>1</v>
      </c>
      <c r="S5225" s="4" t="str">
        <f>IFERROR(__xludf.DUMMYFUNCTION("""COMPUTED_VALUE"""),"Saipos Serviços De Software")</f>
        <v>Saipos Serviços De Software</v>
      </c>
      <c r="T5225" s="33">
        <f>IFERROR(__xludf.DUMMYFUNCTION("""COMPUTED_VALUE"""),1.0)</f>
        <v>1</v>
      </c>
      <c r="U5225" s="4" t="str">
        <f>IFERROR(__xludf.DUMMYFUNCTION("""COMPUTED_VALUE"""),"Saipos Serviços De Software")</f>
        <v>Saipos Serviços De Software</v>
      </c>
      <c r="V5225" s="33">
        <f>IFERROR(__xludf.DUMMYFUNCTION("""COMPUTED_VALUE"""),1.0)</f>
        <v>1</v>
      </c>
      <c r="W5225" s="4" t="str">
        <f>IFERROR(__xludf.DUMMYFUNCTION("""COMPUTED_VALUE"""),"null")</f>
        <v>null</v>
      </c>
      <c r="X5225" s="33">
        <f>IFERROR(__xludf.DUMMYFUNCTION("""COMPUTED_VALUE"""),0.5)</f>
        <v>0.5</v>
      </c>
    </row>
    <row r="5226">
      <c r="K5226" s="4" t="str">
        <f>IFERROR(__xludf.DUMMYFUNCTION("""COMPUTED_VALUE"""),"JM SALGADOS")</f>
        <v>JM SALGADOS</v>
      </c>
      <c r="L5226" s="32">
        <f>IFERROR(__xludf.DUMMYFUNCTION("""COMPUTED_VALUE"""),2.0)</f>
        <v>2</v>
      </c>
      <c r="M5226" s="4" t="str">
        <f>IFERROR(__xludf.DUMMYFUNCTION("""COMPUTED_VALUE"""),"null")</f>
        <v>null</v>
      </c>
      <c r="N5226" s="33">
        <f>IFERROR(__xludf.DUMMYFUNCTION("""COMPUTED_VALUE"""),0.5)</f>
        <v>0.5</v>
      </c>
      <c r="O5226" s="4" t="str">
        <f>IFERROR(__xludf.DUMMYFUNCTION("""COMPUTED_VALUE"""),"null")</f>
        <v>null</v>
      </c>
      <c r="P5226" s="33">
        <f>IFERROR(__xludf.DUMMYFUNCTION("""COMPUTED_VALUE"""),0.5)</f>
        <v>0.5</v>
      </c>
      <c r="Q5226" s="4" t="str">
        <f>IFERROR(__xludf.DUMMYFUNCTION("""COMPUTED_VALUE"""),"Mp Multipedidos")</f>
        <v>Mp Multipedidos</v>
      </c>
      <c r="R5226" s="33">
        <f>IFERROR(__xludf.DUMMYFUNCTION("""COMPUTED_VALUE"""),0.5)</f>
        <v>0.5</v>
      </c>
      <c r="S5226" s="4" t="str">
        <f>IFERROR(__xludf.DUMMYFUNCTION("""COMPUTED_VALUE"""),"Mp Multipedidos")</f>
        <v>Mp Multipedidos</v>
      </c>
      <c r="T5226" s="33">
        <f>IFERROR(__xludf.DUMMYFUNCTION("""COMPUTED_VALUE"""),0.5)</f>
        <v>0.5</v>
      </c>
      <c r="U5226" s="4" t="str">
        <f>IFERROR(__xludf.DUMMYFUNCTION("""COMPUTED_VALUE"""),"Mp Multipedidos")</f>
        <v>Mp Multipedidos</v>
      </c>
      <c r="V5226" s="33">
        <f>IFERROR(__xludf.DUMMYFUNCTION("""COMPUTED_VALUE"""),0.5)</f>
        <v>0.5</v>
      </c>
      <c r="W5226" s="4" t="str">
        <f>IFERROR(__xludf.DUMMYFUNCTION("""COMPUTED_VALUE"""),"Mp Multipedidos")</f>
        <v>Mp Multipedidos</v>
      </c>
      <c r="X5226" s="33">
        <f>IFERROR(__xludf.DUMMYFUNCTION("""COMPUTED_VALUE"""),0.5)</f>
        <v>0.5</v>
      </c>
    </row>
    <row r="5227">
      <c r="K5227" s="4" t="str">
        <f>IFERROR(__xludf.DUMMYFUNCTION("""COMPUTED_VALUE"""),"LORO BURGUER E PIZZA")</f>
        <v>LORO BURGUER E PIZZA</v>
      </c>
      <c r="L5227" s="32">
        <f>IFERROR(__xludf.DUMMYFUNCTION("""COMPUTED_VALUE"""),2.0)</f>
        <v>2</v>
      </c>
      <c r="M5227" s="4" t="str">
        <f>IFERROR(__xludf.DUMMYFUNCTION("""COMPUTED_VALUE"""),"Takeat Tecnologia")</f>
        <v>Takeat Tecnologia</v>
      </c>
      <c r="N5227" s="33">
        <f>IFERROR(__xludf.DUMMYFUNCTION("""COMPUTED_VALUE"""),1.0)</f>
        <v>1</v>
      </c>
      <c r="O5227" s="4" t="str">
        <f>IFERROR(__xludf.DUMMYFUNCTION("""COMPUTED_VALUE"""),"Takeat Tecnologia")</f>
        <v>Takeat Tecnologia</v>
      </c>
      <c r="P5227" s="33">
        <f>IFERROR(__xludf.DUMMYFUNCTION("""COMPUTED_VALUE"""),0.5)</f>
        <v>0.5</v>
      </c>
      <c r="Q5227" s="4" t="str">
        <f>IFERROR(__xludf.DUMMYFUNCTION("""COMPUTED_VALUE"""),"Takeat Tecnologia")</f>
        <v>Takeat Tecnologia</v>
      </c>
      <c r="R5227" s="33">
        <f>IFERROR(__xludf.DUMMYFUNCTION("""COMPUTED_VALUE"""),0.5)</f>
        <v>0.5</v>
      </c>
      <c r="S5227" s="4" t="str">
        <f>IFERROR(__xludf.DUMMYFUNCTION("""COMPUTED_VALUE"""),"Takeat Tecnologia")</f>
        <v>Takeat Tecnologia</v>
      </c>
      <c r="T5227" s="33">
        <f>IFERROR(__xludf.DUMMYFUNCTION("""COMPUTED_VALUE"""),0.5)</f>
        <v>0.5</v>
      </c>
      <c r="U5227" s="4" t="str">
        <f>IFERROR(__xludf.DUMMYFUNCTION("""COMPUTED_VALUE"""),"Takeat Tecnologia")</f>
        <v>Takeat Tecnologia</v>
      </c>
      <c r="V5227" s="33">
        <f>IFERROR(__xludf.DUMMYFUNCTION("""COMPUTED_VALUE"""),0.5)</f>
        <v>0.5</v>
      </c>
      <c r="W5227" s="4" t="str">
        <f>IFERROR(__xludf.DUMMYFUNCTION("""COMPUTED_VALUE"""),"Takeat Tecnologia")</f>
        <v>Takeat Tecnologia</v>
      </c>
      <c r="X5227" s="33">
        <f>IFERROR(__xludf.DUMMYFUNCTION("""COMPUTED_VALUE"""),0.5)</f>
        <v>0.5</v>
      </c>
    </row>
    <row r="5228">
      <c r="K5228" s="4" t="str">
        <f>IFERROR(__xludf.DUMMYFUNCTION("""COMPUTED_VALUE"""),"SABOR DE PIZZA")</f>
        <v>SABOR DE PIZZA</v>
      </c>
      <c r="L5228" s="32">
        <f>IFERROR(__xludf.DUMMYFUNCTION("""COMPUTED_VALUE"""),2.0)</f>
        <v>2</v>
      </c>
      <c r="M5228" s="4" t="str">
        <f>IFERROR(__xludf.DUMMYFUNCTION("""COMPUTED_VALUE"""),"Insert Code Informatica Ltda")</f>
        <v>Insert Code Informatica Ltda</v>
      </c>
      <c r="N5228" s="33">
        <f>IFERROR(__xludf.DUMMYFUNCTION("""COMPUTED_VALUE"""),0.5)</f>
        <v>0.5</v>
      </c>
      <c r="O5228" s="4" t="str">
        <f>IFERROR(__xludf.DUMMYFUNCTION("""COMPUTED_VALUE"""),"Insert Code Informatica Ltda")</f>
        <v>Insert Code Informatica Ltda</v>
      </c>
      <c r="P5228" s="33">
        <f>IFERROR(__xludf.DUMMYFUNCTION("""COMPUTED_VALUE"""),0.5)</f>
        <v>0.5</v>
      </c>
      <c r="Q5228" s="4" t="str">
        <f>IFERROR(__xludf.DUMMYFUNCTION("""COMPUTED_VALUE"""),"Insert Code Informatica Ltda")</f>
        <v>Insert Code Informatica Ltda</v>
      </c>
      <c r="R5228" s="33">
        <f>IFERROR(__xludf.DUMMYFUNCTION("""COMPUTED_VALUE"""),0.5)</f>
        <v>0.5</v>
      </c>
      <c r="S5228" s="4" t="str">
        <f>IFERROR(__xludf.DUMMYFUNCTION("""COMPUTED_VALUE"""),"Insert Code Informatica Ltda")</f>
        <v>Insert Code Informatica Ltda</v>
      </c>
      <c r="T5228" s="33">
        <f>IFERROR(__xludf.DUMMYFUNCTION("""COMPUTED_VALUE"""),0.5)</f>
        <v>0.5</v>
      </c>
      <c r="U5228" s="4" t="str">
        <f>IFERROR(__xludf.DUMMYFUNCTION("""COMPUTED_VALUE"""),"Insert Code Informatica Ltda")</f>
        <v>Insert Code Informatica Ltda</v>
      </c>
      <c r="V5228" s="33">
        <f>IFERROR(__xludf.DUMMYFUNCTION("""COMPUTED_VALUE"""),0.5)</f>
        <v>0.5</v>
      </c>
      <c r="W5228" s="4" t="str">
        <f>IFERROR(__xludf.DUMMYFUNCTION("""COMPUTED_VALUE"""),"Insert Code Informatica Ltda")</f>
        <v>Insert Code Informatica Ltda</v>
      </c>
      <c r="X5228" s="33">
        <f>IFERROR(__xludf.DUMMYFUNCTION("""COMPUTED_VALUE"""),0.5)</f>
        <v>0.5</v>
      </c>
    </row>
    <row r="5229">
      <c r="K5229" s="4" t="str">
        <f>IFERROR(__xludf.DUMMYFUNCTION("""COMPUTED_VALUE"""),"PIZZA E ETC")</f>
        <v>PIZZA E ETC</v>
      </c>
      <c r="L5229" s="32">
        <f>IFERROR(__xludf.DUMMYFUNCTION("""COMPUTED_VALUE"""),2.0)</f>
        <v>2</v>
      </c>
      <c r="M5229" s="4" t="str">
        <f>IFERROR(__xludf.DUMMYFUNCTION("""COMPUTED_VALUE"""),"Anota Ai Solucoes Digitais S/a")</f>
        <v>Anota Ai Solucoes Digitais S/a</v>
      </c>
      <c r="N5229" s="33">
        <f>IFERROR(__xludf.DUMMYFUNCTION("""COMPUTED_VALUE"""),1.0)</f>
        <v>1</v>
      </c>
      <c r="O5229" s="4" t="str">
        <f>IFERROR(__xludf.DUMMYFUNCTION("""COMPUTED_VALUE"""),"Anota Ai Solucoes Digitais S/a")</f>
        <v>Anota Ai Solucoes Digitais S/a</v>
      </c>
      <c r="P5229" s="33">
        <f>IFERROR(__xludf.DUMMYFUNCTION("""COMPUTED_VALUE"""),1.0)</f>
        <v>1</v>
      </c>
      <c r="Q5229" s="4" t="str">
        <f>IFERROR(__xludf.DUMMYFUNCTION("""COMPUTED_VALUE"""),"Anota Ai Solucoes Digitais S/a")</f>
        <v>Anota Ai Solucoes Digitais S/a</v>
      </c>
      <c r="R5229" s="33">
        <f>IFERROR(__xludf.DUMMYFUNCTION("""COMPUTED_VALUE"""),1.0)</f>
        <v>1</v>
      </c>
      <c r="S5229" s="4" t="str">
        <f>IFERROR(__xludf.DUMMYFUNCTION("""COMPUTED_VALUE"""),"Anota Ai Solucoes Digitais S/a")</f>
        <v>Anota Ai Solucoes Digitais S/a</v>
      </c>
      <c r="T5229" s="33">
        <f>IFERROR(__xludf.DUMMYFUNCTION("""COMPUTED_VALUE"""),1.0)</f>
        <v>1</v>
      </c>
      <c r="U5229" s="4" t="str">
        <f>IFERROR(__xludf.DUMMYFUNCTION("""COMPUTED_VALUE"""),"Anota Ai Solucoes Digitais S/a")</f>
        <v>Anota Ai Solucoes Digitais S/a</v>
      </c>
      <c r="V5229" s="33">
        <f>IFERROR(__xludf.DUMMYFUNCTION("""COMPUTED_VALUE"""),1.0)</f>
        <v>1</v>
      </c>
      <c r="W5229" s="4" t="str">
        <f>IFERROR(__xludf.DUMMYFUNCTION("""COMPUTED_VALUE"""),"Anota Ai Solucoes Digitais S/a")</f>
        <v>Anota Ai Solucoes Digitais S/a</v>
      </c>
      <c r="X5229" s="33">
        <f>IFERROR(__xludf.DUMMYFUNCTION("""COMPUTED_VALUE"""),1.0)</f>
        <v>1</v>
      </c>
    </row>
    <row r="5230">
      <c r="K5230" s="4" t="str">
        <f>IFERROR(__xludf.DUMMYFUNCTION("""COMPUTED_VALUE"""),"BONNA PIZZA DELIVERY")</f>
        <v>BONNA PIZZA DELIVERY</v>
      </c>
      <c r="L5230" s="32">
        <f>IFERROR(__xludf.DUMMYFUNCTION("""COMPUTED_VALUE"""),2.0)</f>
        <v>2</v>
      </c>
      <c r="M5230" s="4" t="str">
        <f>IFERROR(__xludf.DUMMYFUNCTION("""COMPUTED_VALUE"""),"Gama Tecnologias Ltda")</f>
        <v>Gama Tecnologias Ltda</v>
      </c>
      <c r="N5230" s="33">
        <f>IFERROR(__xludf.DUMMYFUNCTION("""COMPUTED_VALUE"""),0.5)</f>
        <v>0.5</v>
      </c>
      <c r="O5230" s="4" t="str">
        <f>IFERROR(__xludf.DUMMYFUNCTION("""COMPUTED_VALUE"""),"Gama Tecnologias Ltda")</f>
        <v>Gama Tecnologias Ltda</v>
      </c>
      <c r="P5230" s="33">
        <f>IFERROR(__xludf.DUMMYFUNCTION("""COMPUTED_VALUE"""),0.5)</f>
        <v>0.5</v>
      </c>
      <c r="Q5230" s="4" t="str">
        <f>IFERROR(__xludf.DUMMYFUNCTION("""COMPUTED_VALUE"""),"Gama Tecnologias Ltda")</f>
        <v>Gama Tecnologias Ltda</v>
      </c>
      <c r="R5230" s="33">
        <f>IFERROR(__xludf.DUMMYFUNCTION("""COMPUTED_VALUE"""),0.5)</f>
        <v>0.5</v>
      </c>
      <c r="S5230" s="4" t="str">
        <f>IFERROR(__xludf.DUMMYFUNCTION("""COMPUTED_VALUE"""),"Gama Tecnologias Ltda")</f>
        <v>Gama Tecnologias Ltda</v>
      </c>
      <c r="T5230" s="33">
        <f>IFERROR(__xludf.DUMMYFUNCTION("""COMPUTED_VALUE"""),0.5)</f>
        <v>0.5</v>
      </c>
      <c r="U5230" s="4" t="str">
        <f>IFERROR(__xludf.DUMMYFUNCTION("""COMPUTED_VALUE"""),"Gama Tecnologias Ltda")</f>
        <v>Gama Tecnologias Ltda</v>
      </c>
      <c r="V5230" s="33">
        <f>IFERROR(__xludf.DUMMYFUNCTION("""COMPUTED_VALUE"""),0.5)</f>
        <v>0.5</v>
      </c>
      <c r="W5230" s="4" t="str">
        <f>IFERROR(__xludf.DUMMYFUNCTION("""COMPUTED_VALUE"""),"Gama Tecnologias Ltda")</f>
        <v>Gama Tecnologias Ltda</v>
      </c>
      <c r="X5230" s="33">
        <f>IFERROR(__xludf.DUMMYFUNCTION("""COMPUTED_VALUE"""),0.5)</f>
        <v>0.5</v>
      </c>
    </row>
    <row r="5231">
      <c r="K5231" s="4" t="str">
        <f>IFERROR(__xludf.DUMMYFUNCTION("""COMPUTED_VALUE"""),"OTTOS BURGER")</f>
        <v>OTTOS BURGER</v>
      </c>
      <c r="L5231" s="32">
        <f>IFERROR(__xludf.DUMMYFUNCTION("""COMPUTED_VALUE"""),2.0)</f>
        <v>2</v>
      </c>
      <c r="M5231" s="4" t="str">
        <f>IFERROR(__xludf.DUMMYFUNCTION("""COMPUTED_VALUE"""),"Netcontroll Xmenu")</f>
        <v>Netcontroll Xmenu</v>
      </c>
      <c r="N5231" s="33">
        <f>IFERROR(__xludf.DUMMYFUNCTION("""COMPUTED_VALUE"""),0.5)</f>
        <v>0.5</v>
      </c>
      <c r="O5231" s="4" t="str">
        <f>IFERROR(__xludf.DUMMYFUNCTION("""COMPUTED_VALUE"""),"Netcontroll Xmenu")</f>
        <v>Netcontroll Xmenu</v>
      </c>
      <c r="P5231" s="33">
        <f>IFERROR(__xludf.DUMMYFUNCTION("""COMPUTED_VALUE"""),0.5)</f>
        <v>0.5</v>
      </c>
      <c r="Q5231" s="4" t="str">
        <f>IFERROR(__xludf.DUMMYFUNCTION("""COMPUTED_VALUE"""),"Netcontroll Xmenu")</f>
        <v>Netcontroll Xmenu</v>
      </c>
      <c r="R5231" s="33">
        <f>IFERROR(__xludf.DUMMYFUNCTION("""COMPUTED_VALUE"""),0.5)</f>
        <v>0.5</v>
      </c>
      <c r="S5231" s="4" t="str">
        <f>IFERROR(__xludf.DUMMYFUNCTION("""COMPUTED_VALUE"""),"Netcontroll Xmenu")</f>
        <v>Netcontroll Xmenu</v>
      </c>
      <c r="T5231" s="33">
        <f>IFERROR(__xludf.DUMMYFUNCTION("""COMPUTED_VALUE"""),0.5)</f>
        <v>0.5</v>
      </c>
      <c r="U5231" s="4" t="str">
        <f>IFERROR(__xludf.DUMMYFUNCTION("""COMPUTED_VALUE"""),"Beefood - Sistema Para Restaurantes")</f>
        <v>Beefood - Sistema Para Restaurantes</v>
      </c>
      <c r="V5231" s="33">
        <f>IFERROR(__xludf.DUMMYFUNCTION("""COMPUTED_VALUE"""),0.5)</f>
        <v>0.5</v>
      </c>
      <c r="W5231" s="4" t="str">
        <f>IFERROR(__xludf.DUMMYFUNCTION("""COMPUTED_VALUE"""),"Beefood - Sistema Para Restaurantes")</f>
        <v>Beefood - Sistema Para Restaurantes</v>
      </c>
      <c r="X5231" s="33">
        <f>IFERROR(__xludf.DUMMYFUNCTION("""COMPUTED_VALUE"""),0.5)</f>
        <v>0.5</v>
      </c>
    </row>
    <row r="5232">
      <c r="K5232" s="4" t="str">
        <f>IFERROR(__xludf.DUMMYFUNCTION("""COMPUTED_VALUE"""),"AMATSU SUSHI LOUNGE")</f>
        <v>AMATSU SUSHI LOUNGE</v>
      </c>
      <c r="L5232" s="32">
        <f>IFERROR(__xludf.DUMMYFUNCTION("""COMPUTED_VALUE"""),2.0)</f>
        <v>2</v>
      </c>
      <c r="M5232" s="4" t="str">
        <f>IFERROR(__xludf.DUMMYFUNCTION("""COMPUTED_VALUE"""),"Saipos Serviços De Software")</f>
        <v>Saipos Serviços De Software</v>
      </c>
      <c r="N5232" s="33">
        <f>IFERROR(__xludf.DUMMYFUNCTION("""COMPUTED_VALUE"""),0.5)</f>
        <v>0.5</v>
      </c>
      <c r="O5232" s="4" t="str">
        <f>IFERROR(__xludf.DUMMYFUNCTION("""COMPUTED_VALUE"""),"Saipos Serviços De Software")</f>
        <v>Saipos Serviços De Software</v>
      </c>
      <c r="P5232" s="33">
        <f>IFERROR(__xludf.DUMMYFUNCTION("""COMPUTED_VALUE"""),0.5)</f>
        <v>0.5</v>
      </c>
      <c r="Q5232" s="4" t="str">
        <f>IFERROR(__xludf.DUMMYFUNCTION("""COMPUTED_VALUE"""),"Saipos Serviços De Software")</f>
        <v>Saipos Serviços De Software</v>
      </c>
      <c r="R5232" s="33">
        <f>IFERROR(__xludf.DUMMYFUNCTION("""COMPUTED_VALUE"""),1.0)</f>
        <v>1</v>
      </c>
      <c r="S5232" s="4" t="str">
        <f>IFERROR(__xludf.DUMMYFUNCTION("""COMPUTED_VALUE"""),"null")</f>
        <v>null</v>
      </c>
      <c r="T5232" s="33">
        <f>IFERROR(__xludf.DUMMYFUNCTION("""COMPUTED_VALUE"""),0.5)</f>
        <v>0.5</v>
      </c>
      <c r="U5232" s="4" t="str">
        <f>IFERROR(__xludf.DUMMYFUNCTION("""COMPUTED_VALUE"""),"null")</f>
        <v>null</v>
      </c>
      <c r="V5232" s="33">
        <f>IFERROR(__xludf.DUMMYFUNCTION("""COMPUTED_VALUE"""),0.5)</f>
        <v>0.5</v>
      </c>
      <c r="W5232" s="4" t="str">
        <f>IFERROR(__xludf.DUMMYFUNCTION("""COMPUTED_VALUE"""),"null")</f>
        <v>null</v>
      </c>
      <c r="X5232" s="33">
        <f>IFERROR(__xludf.DUMMYFUNCTION("""COMPUTED_VALUE"""),0.5)</f>
        <v>0.5</v>
      </c>
    </row>
    <row r="5233">
      <c r="K5233" s="4" t="str">
        <f>IFERROR(__xludf.DUMMYFUNCTION("""COMPUTED_VALUE"""),"RAFALLE PIZZA")</f>
        <v>RAFALLE PIZZA</v>
      </c>
      <c r="L5233" s="32">
        <f>IFERROR(__xludf.DUMMYFUNCTION("""COMPUTED_VALUE"""),2.0)</f>
        <v>2</v>
      </c>
      <c r="M5233" s="4" t="str">
        <f>IFERROR(__xludf.DUMMYFUNCTION("""COMPUTED_VALUE"""),"Mp Multipedidos")</f>
        <v>Mp Multipedidos</v>
      </c>
      <c r="N5233" s="33">
        <f>IFERROR(__xludf.DUMMYFUNCTION("""COMPUTED_VALUE"""),1.0)</f>
        <v>1</v>
      </c>
      <c r="O5233" s="4" t="str">
        <f>IFERROR(__xludf.DUMMYFUNCTION("""COMPUTED_VALUE"""),"Mp Multipedidos")</f>
        <v>Mp Multipedidos</v>
      </c>
      <c r="P5233" s="33">
        <f>IFERROR(__xludf.DUMMYFUNCTION("""COMPUTED_VALUE"""),1.0)</f>
        <v>1</v>
      </c>
      <c r="Q5233" s="4" t="str">
        <f>IFERROR(__xludf.DUMMYFUNCTION("""COMPUTED_VALUE"""),"Mp Multipedidos")</f>
        <v>Mp Multipedidos</v>
      </c>
      <c r="R5233" s="33">
        <f>IFERROR(__xludf.DUMMYFUNCTION("""COMPUTED_VALUE"""),1.0)</f>
        <v>1</v>
      </c>
      <c r="S5233" s="4" t="str">
        <f>IFERROR(__xludf.DUMMYFUNCTION("""COMPUTED_VALUE"""),"Mp Multipedidos")</f>
        <v>Mp Multipedidos</v>
      </c>
      <c r="T5233" s="33">
        <f>IFERROR(__xludf.DUMMYFUNCTION("""COMPUTED_VALUE"""),0.5)</f>
        <v>0.5</v>
      </c>
      <c r="U5233" s="4" t="str">
        <f>IFERROR(__xludf.DUMMYFUNCTION("""COMPUTED_VALUE"""),"Mp Multipedidos")</f>
        <v>Mp Multipedidos</v>
      </c>
      <c r="V5233" s="33">
        <f>IFERROR(__xludf.DUMMYFUNCTION("""COMPUTED_VALUE"""),1.0)</f>
        <v>1</v>
      </c>
      <c r="W5233" s="4" t="str">
        <f>IFERROR(__xludf.DUMMYFUNCTION("""COMPUTED_VALUE"""),"Mp Multipedidos")</f>
        <v>Mp Multipedidos</v>
      </c>
      <c r="X5233" s="33">
        <f>IFERROR(__xludf.DUMMYFUNCTION("""COMPUTED_VALUE"""),1.0)</f>
        <v>1</v>
      </c>
    </row>
    <row r="5234">
      <c r="K5234" s="4" t="str">
        <f>IFERROR(__xludf.DUMMYFUNCTION("""COMPUTED_VALUE"""),"MUNDO DOS LANCHES NATURAIS ZN")</f>
        <v>MUNDO DOS LANCHES NATURAIS ZN</v>
      </c>
      <c r="L5234" s="32">
        <f>IFERROR(__xludf.DUMMYFUNCTION("""COMPUTED_VALUE"""),2.0)</f>
        <v>2</v>
      </c>
      <c r="M5234" s="4" t="str">
        <f>IFERROR(__xludf.DUMMYFUNCTION("""COMPUTED_VALUE"""),"Instadelivery")</f>
        <v>Instadelivery</v>
      </c>
      <c r="N5234" s="33">
        <f>IFERROR(__xludf.DUMMYFUNCTION("""COMPUTED_VALUE"""),0.5)</f>
        <v>0.5</v>
      </c>
      <c r="O5234" s="4" t="str">
        <f>IFERROR(__xludf.DUMMYFUNCTION("""COMPUTED_VALUE"""),"Instadelivery")</f>
        <v>Instadelivery</v>
      </c>
      <c r="P5234" s="33">
        <f>IFERROR(__xludf.DUMMYFUNCTION("""COMPUTED_VALUE"""),0.5)</f>
        <v>0.5</v>
      </c>
      <c r="Q5234" s="4" t="str">
        <f>IFERROR(__xludf.DUMMYFUNCTION("""COMPUTED_VALUE"""),"Instadelivery")</f>
        <v>Instadelivery</v>
      </c>
      <c r="R5234" s="33">
        <f>IFERROR(__xludf.DUMMYFUNCTION("""COMPUTED_VALUE"""),0.5)</f>
        <v>0.5</v>
      </c>
      <c r="S5234" s="4" t="str">
        <f>IFERROR(__xludf.DUMMYFUNCTION("""COMPUTED_VALUE"""),"Instadelivery")</f>
        <v>Instadelivery</v>
      </c>
      <c r="T5234" s="33">
        <f>IFERROR(__xludf.DUMMYFUNCTION("""COMPUTED_VALUE"""),0.5)</f>
        <v>0.5</v>
      </c>
      <c r="U5234" s="4" t="str">
        <f>IFERROR(__xludf.DUMMYFUNCTION("""COMPUTED_VALUE"""),"Instadelivery")</f>
        <v>Instadelivery</v>
      </c>
      <c r="V5234" s="33">
        <f>IFERROR(__xludf.DUMMYFUNCTION("""COMPUTED_VALUE"""),0.5)</f>
        <v>0.5</v>
      </c>
      <c r="W5234" s="4" t="str">
        <f>IFERROR(__xludf.DUMMYFUNCTION("""COMPUTED_VALUE"""),"null")</f>
        <v>null</v>
      </c>
      <c r="X5234" s="33">
        <f>IFERROR(__xludf.DUMMYFUNCTION("""COMPUTED_VALUE"""),1.0)</f>
        <v>1</v>
      </c>
    </row>
    <row r="5235">
      <c r="K5235" s="4" t="str">
        <f>IFERROR(__xludf.DUMMYFUNCTION("""COMPUTED_VALUE"""),"SUBS ACAI")</f>
        <v>SUBS ACAI</v>
      </c>
      <c r="L5235" s="32">
        <f>IFERROR(__xludf.DUMMYFUNCTION("""COMPUTED_VALUE"""),2.0)</f>
        <v>2</v>
      </c>
      <c r="M5235" s="4" t="str">
        <f>IFERROR(__xludf.DUMMYFUNCTION("""COMPUTED_VALUE"""),"Alloy Tecnologia")</f>
        <v>Alloy Tecnologia</v>
      </c>
      <c r="N5235" s="33">
        <f>IFERROR(__xludf.DUMMYFUNCTION("""COMPUTED_VALUE"""),1.0)</f>
        <v>1</v>
      </c>
      <c r="O5235" s="4" t="str">
        <f>IFERROR(__xludf.DUMMYFUNCTION("""COMPUTED_VALUE"""),"null")</f>
        <v>null</v>
      </c>
      <c r="P5235" s="33">
        <f>IFERROR(__xludf.DUMMYFUNCTION("""COMPUTED_VALUE"""),0.5)</f>
        <v>0.5</v>
      </c>
      <c r="Q5235" s="4" t="str">
        <f>IFERROR(__xludf.DUMMYFUNCTION("""COMPUTED_VALUE"""),"null")</f>
        <v>null</v>
      </c>
      <c r="R5235" s="33">
        <f>IFERROR(__xludf.DUMMYFUNCTION("""COMPUTED_VALUE"""),0.5)</f>
        <v>0.5</v>
      </c>
      <c r="S5235" s="4" t="str">
        <f>IFERROR(__xludf.DUMMYFUNCTION("""COMPUTED_VALUE"""),"null")</f>
        <v>null</v>
      </c>
      <c r="T5235" s="33">
        <f>IFERROR(__xludf.DUMMYFUNCTION("""COMPUTED_VALUE"""),0.5)</f>
        <v>0.5</v>
      </c>
      <c r="U5235" s="4" t="str">
        <f>IFERROR(__xludf.DUMMYFUNCTION("""COMPUTED_VALUE"""),"null")</f>
        <v>null</v>
      </c>
      <c r="V5235" s="33">
        <f>IFERROR(__xludf.DUMMYFUNCTION("""COMPUTED_VALUE"""),0.5)</f>
        <v>0.5</v>
      </c>
      <c r="W5235" s="4" t="str">
        <f>IFERROR(__xludf.DUMMYFUNCTION("""COMPUTED_VALUE"""),"null")</f>
        <v>null</v>
      </c>
      <c r="X5235" s="33">
        <f>IFERROR(__xludf.DUMMYFUNCTION("""COMPUTED_VALUE"""),0.5)</f>
        <v>0.5</v>
      </c>
    </row>
    <row r="5236">
      <c r="K5236" s="4" t="str">
        <f>IFERROR(__xludf.DUMMYFUNCTION("""COMPUTED_VALUE"""),"NOSSA PIZZA")</f>
        <v>NOSSA PIZZA</v>
      </c>
      <c r="L5236" s="32">
        <f>IFERROR(__xludf.DUMMYFUNCTION("""COMPUTED_VALUE"""),2.0)</f>
        <v>2</v>
      </c>
      <c r="M5236" s="4" t="str">
        <f>IFERROR(__xludf.DUMMYFUNCTION("""COMPUTED_VALUE"""),"Takeat Tecnologia")</f>
        <v>Takeat Tecnologia</v>
      </c>
      <c r="N5236" s="33">
        <f>IFERROR(__xludf.DUMMYFUNCTION("""COMPUTED_VALUE"""),0.5)</f>
        <v>0.5</v>
      </c>
      <c r="O5236" s="4" t="str">
        <f>IFERROR(__xludf.DUMMYFUNCTION("""COMPUTED_VALUE"""),"Takeat Tecnologia")</f>
        <v>Takeat Tecnologia</v>
      </c>
      <c r="P5236" s="33">
        <f>IFERROR(__xludf.DUMMYFUNCTION("""COMPUTED_VALUE"""),0.5)</f>
        <v>0.5</v>
      </c>
      <c r="Q5236" s="4" t="str">
        <f>IFERROR(__xludf.DUMMYFUNCTION("""COMPUTED_VALUE"""),"Takeat Tecnologia")</f>
        <v>Takeat Tecnologia</v>
      </c>
      <c r="R5236" s="33">
        <f>IFERROR(__xludf.DUMMYFUNCTION("""COMPUTED_VALUE"""),0.5)</f>
        <v>0.5</v>
      </c>
      <c r="S5236" s="4" t="str">
        <f>IFERROR(__xludf.DUMMYFUNCTION("""COMPUTED_VALUE"""),"Takeat Tecnologia")</f>
        <v>Takeat Tecnologia</v>
      </c>
      <c r="T5236" s="33">
        <f>IFERROR(__xludf.DUMMYFUNCTION("""COMPUTED_VALUE"""),0.5)</f>
        <v>0.5</v>
      </c>
      <c r="U5236" s="4" t="str">
        <f>IFERROR(__xludf.DUMMYFUNCTION("""COMPUTED_VALUE"""),"Takeat Tecnologia")</f>
        <v>Takeat Tecnologia</v>
      </c>
      <c r="V5236" s="33">
        <f>IFERROR(__xludf.DUMMYFUNCTION("""COMPUTED_VALUE"""),0.5)</f>
        <v>0.5</v>
      </c>
      <c r="W5236" s="4" t="str">
        <f>IFERROR(__xludf.DUMMYFUNCTION("""COMPUTED_VALUE"""),"Takeat Tecnologia")</f>
        <v>Takeat Tecnologia</v>
      </c>
      <c r="X5236" s="33">
        <f>IFERROR(__xludf.DUMMYFUNCTION("""COMPUTED_VALUE"""),0.5)</f>
        <v>0.5</v>
      </c>
    </row>
    <row r="5237">
      <c r="K5237" s="4" t="str">
        <f>IFERROR(__xludf.DUMMYFUNCTION("""COMPUTED_VALUE"""),"PANCA GASTRONOMIA")</f>
        <v>PANCA GASTRONOMIA</v>
      </c>
      <c r="L5237" s="32">
        <f>IFERROR(__xludf.DUMMYFUNCTION("""COMPUTED_VALUE"""),2.0)</f>
        <v>2</v>
      </c>
      <c r="M5237" s="4" t="str">
        <f>IFERROR(__xludf.DUMMYFUNCTION("""COMPUTED_VALUE"""),"Saipos Serviços De Software")</f>
        <v>Saipos Serviços De Software</v>
      </c>
      <c r="N5237" s="33">
        <f>IFERROR(__xludf.DUMMYFUNCTION("""COMPUTED_VALUE"""),0.5)</f>
        <v>0.5</v>
      </c>
      <c r="O5237" s="4" t="str">
        <f>IFERROR(__xludf.DUMMYFUNCTION("""COMPUTED_VALUE"""),"Saipos Serviços De Software")</f>
        <v>Saipos Serviços De Software</v>
      </c>
      <c r="P5237" s="33">
        <f>IFERROR(__xludf.DUMMYFUNCTION("""COMPUTED_VALUE"""),0.5)</f>
        <v>0.5</v>
      </c>
      <c r="Q5237" s="4" t="str">
        <f>IFERROR(__xludf.DUMMYFUNCTION("""COMPUTED_VALUE"""),"Saipos Serviços De Software")</f>
        <v>Saipos Serviços De Software</v>
      </c>
      <c r="R5237" s="33">
        <f>IFERROR(__xludf.DUMMYFUNCTION("""COMPUTED_VALUE"""),0.5)</f>
        <v>0.5</v>
      </c>
      <c r="S5237" s="4" t="str">
        <f>IFERROR(__xludf.DUMMYFUNCTION("""COMPUTED_VALUE"""),"Saipos Serviços De Software")</f>
        <v>Saipos Serviços De Software</v>
      </c>
      <c r="T5237" s="33">
        <f>IFERROR(__xludf.DUMMYFUNCTION("""COMPUTED_VALUE"""),0.5)</f>
        <v>0.5</v>
      </c>
      <c r="U5237" s="4" t="str">
        <f>IFERROR(__xludf.DUMMYFUNCTION("""COMPUTED_VALUE"""),"Saipos Serviços De Software")</f>
        <v>Saipos Serviços De Software</v>
      </c>
      <c r="V5237" s="33">
        <f>IFERROR(__xludf.DUMMYFUNCTION("""COMPUTED_VALUE"""),0.5)</f>
        <v>0.5</v>
      </c>
      <c r="W5237" s="4" t="str">
        <f>IFERROR(__xludf.DUMMYFUNCTION("""COMPUTED_VALUE"""),"Saipos Serviços De Software")</f>
        <v>Saipos Serviços De Software</v>
      </c>
      <c r="X5237" s="33">
        <f>IFERROR(__xludf.DUMMYFUNCTION("""COMPUTED_VALUE"""),1.0)</f>
        <v>1</v>
      </c>
    </row>
    <row r="5238">
      <c r="K5238" s="4" t="str">
        <f>IFERROR(__xludf.DUMMYFUNCTION("""COMPUTED_VALUE"""),"TUBARAO LANCHES")</f>
        <v>TUBARAO LANCHES</v>
      </c>
      <c r="L5238" s="32">
        <f>IFERROR(__xludf.DUMMYFUNCTION("""COMPUTED_VALUE"""),2.0)</f>
        <v>2</v>
      </c>
      <c r="M5238" s="4" t="str">
        <f>IFERROR(__xludf.DUMMYFUNCTION("""COMPUTED_VALUE"""),"Like Sistemas")</f>
        <v>Like Sistemas</v>
      </c>
      <c r="N5238" s="33">
        <f>IFERROR(__xludf.DUMMYFUNCTION("""COMPUTED_VALUE"""),0.5)</f>
        <v>0.5</v>
      </c>
      <c r="O5238" s="4" t="str">
        <f>IFERROR(__xludf.DUMMYFUNCTION("""COMPUTED_VALUE"""),"null")</f>
        <v>null</v>
      </c>
      <c r="P5238" s="33">
        <f>IFERROR(__xludf.DUMMYFUNCTION("""COMPUTED_VALUE"""),0.5)</f>
        <v>0.5</v>
      </c>
      <c r="Q5238" s="4" t="str">
        <f>IFERROR(__xludf.DUMMYFUNCTION("""COMPUTED_VALUE"""),"Like Sistemas")</f>
        <v>Like Sistemas</v>
      </c>
      <c r="R5238" s="33">
        <f>IFERROR(__xludf.DUMMYFUNCTION("""COMPUTED_VALUE"""),0.5)</f>
        <v>0.5</v>
      </c>
      <c r="S5238" s="4" t="str">
        <f>IFERROR(__xludf.DUMMYFUNCTION("""COMPUTED_VALUE"""),"null")</f>
        <v>null</v>
      </c>
      <c r="T5238" s="33">
        <f>IFERROR(__xludf.DUMMYFUNCTION("""COMPUTED_VALUE"""),0.5)</f>
        <v>0.5</v>
      </c>
      <c r="U5238" s="4" t="str">
        <f>IFERROR(__xludf.DUMMYFUNCTION("""COMPUTED_VALUE"""),"null")</f>
        <v>null</v>
      </c>
      <c r="V5238" s="33">
        <f>IFERROR(__xludf.DUMMYFUNCTION("""COMPUTED_VALUE"""),0.5)</f>
        <v>0.5</v>
      </c>
      <c r="W5238" s="4" t="str">
        <f>IFERROR(__xludf.DUMMYFUNCTION("""COMPUTED_VALUE"""),"Like Sistemas")</f>
        <v>Like Sistemas</v>
      </c>
      <c r="X5238" s="33">
        <f>IFERROR(__xludf.DUMMYFUNCTION("""COMPUTED_VALUE"""),0.5)</f>
        <v>0.5</v>
      </c>
    </row>
    <row r="5239">
      <c r="K5239" s="4" t="str">
        <f>IFERROR(__xludf.DUMMYFUNCTION("""COMPUTED_VALUE"""),"DROGARIA ATALAIA")</f>
        <v>DROGARIA ATALAIA</v>
      </c>
      <c r="L5239" s="32">
        <f>IFERROR(__xludf.DUMMYFUNCTION("""COMPUTED_VALUE"""),2.0)</f>
        <v>2</v>
      </c>
      <c r="M5239" s="4" t="str">
        <f>IFERROR(__xludf.DUMMYFUNCTION("""COMPUTED_VALUE"""),"N/A (Not found)")</f>
        <v>N/A (Not found)</v>
      </c>
      <c r="N5239" s="33">
        <f>IFERROR(__xludf.DUMMYFUNCTION("""COMPUTED_VALUE"""),1.0)</f>
        <v>1</v>
      </c>
      <c r="O5239" s="4" t="str">
        <f>IFERROR(__xludf.DUMMYFUNCTION("""COMPUTED_VALUE"""),"N/A (Not found)")</f>
        <v>N/A (Not found)</v>
      </c>
      <c r="P5239" s="33">
        <f>IFERROR(__xludf.DUMMYFUNCTION("""COMPUTED_VALUE"""),1.0)</f>
        <v>1</v>
      </c>
      <c r="Q5239" s="4" t="str">
        <f>IFERROR(__xludf.DUMMYFUNCTION("""COMPUTED_VALUE"""),"N/A (Not found)")</f>
        <v>N/A (Not found)</v>
      </c>
      <c r="R5239" s="33">
        <f>IFERROR(__xludf.DUMMYFUNCTION("""COMPUTED_VALUE"""),0.5)</f>
        <v>0.5</v>
      </c>
      <c r="S5239" s="4" t="str">
        <f>IFERROR(__xludf.DUMMYFUNCTION("""COMPUTED_VALUE"""),"N/A (Not found)")</f>
        <v>N/A (Not found)</v>
      </c>
      <c r="T5239" s="33">
        <f>IFERROR(__xludf.DUMMYFUNCTION("""COMPUTED_VALUE"""),0.5)</f>
        <v>0.5</v>
      </c>
      <c r="U5239" s="4" t="str">
        <f>IFERROR(__xludf.DUMMYFUNCTION("""COMPUTED_VALUE"""),"N/A (Not found)")</f>
        <v>N/A (Not found)</v>
      </c>
      <c r="V5239" s="33">
        <f>IFERROR(__xludf.DUMMYFUNCTION("""COMPUTED_VALUE"""),0.5)</f>
        <v>0.5</v>
      </c>
      <c r="W5239" s="4" t="str">
        <f>IFERROR(__xludf.DUMMYFUNCTION("""COMPUTED_VALUE"""),"N/A (Not found)")</f>
        <v>N/A (Not found)</v>
      </c>
      <c r="X5239" s="33">
        <f>IFERROR(__xludf.DUMMYFUNCTION("""COMPUTED_VALUE"""),0.5)</f>
        <v>0.5</v>
      </c>
    </row>
    <row r="5240">
      <c r="K5240" s="4" t="str">
        <f>IFERROR(__xludf.DUMMYFUNCTION("""COMPUTED_VALUE"""),"BROTHERS BURGER PARRILLA")</f>
        <v>BROTHERS BURGER PARRILLA</v>
      </c>
      <c r="L5240" s="32">
        <f>IFERROR(__xludf.DUMMYFUNCTION("""COMPUTED_VALUE"""),2.0)</f>
        <v>2</v>
      </c>
      <c r="M5240" s="4" t="str">
        <f>IFERROR(__xludf.DUMMYFUNCTION("""COMPUTED_VALUE"""),"Saipos Serviços De Software")</f>
        <v>Saipos Serviços De Software</v>
      </c>
      <c r="N5240" s="33">
        <f>IFERROR(__xludf.DUMMYFUNCTION("""COMPUTED_VALUE"""),1.0)</f>
        <v>1</v>
      </c>
      <c r="O5240" s="4" t="str">
        <f>IFERROR(__xludf.DUMMYFUNCTION("""COMPUTED_VALUE"""),"Saipos Serviços De Software")</f>
        <v>Saipos Serviços De Software</v>
      </c>
      <c r="P5240" s="33">
        <f>IFERROR(__xludf.DUMMYFUNCTION("""COMPUTED_VALUE"""),1.0)</f>
        <v>1</v>
      </c>
      <c r="Q5240" s="4" t="str">
        <f>IFERROR(__xludf.DUMMYFUNCTION("""COMPUTED_VALUE"""),"Saipos Serviços De Software")</f>
        <v>Saipos Serviços De Software</v>
      </c>
      <c r="R5240" s="33">
        <f>IFERROR(__xludf.DUMMYFUNCTION("""COMPUTED_VALUE"""),1.0)</f>
        <v>1</v>
      </c>
      <c r="S5240" s="4" t="str">
        <f>IFERROR(__xludf.DUMMYFUNCTION("""COMPUTED_VALUE"""),"Saipos Serviços De Software")</f>
        <v>Saipos Serviços De Software</v>
      </c>
      <c r="T5240" s="33">
        <f>IFERROR(__xludf.DUMMYFUNCTION("""COMPUTED_VALUE"""),1.0)</f>
        <v>1</v>
      </c>
      <c r="U5240" s="4" t="str">
        <f>IFERROR(__xludf.DUMMYFUNCTION("""COMPUTED_VALUE"""),"Saipos Serviços De Software")</f>
        <v>Saipos Serviços De Software</v>
      </c>
      <c r="V5240" s="33">
        <f>IFERROR(__xludf.DUMMYFUNCTION("""COMPUTED_VALUE"""),1.0)</f>
        <v>1</v>
      </c>
      <c r="W5240" s="4" t="str">
        <f>IFERROR(__xludf.DUMMYFUNCTION("""COMPUTED_VALUE"""),"Saipos Serviços De Software")</f>
        <v>Saipos Serviços De Software</v>
      </c>
      <c r="X5240" s="33">
        <f>IFERROR(__xludf.DUMMYFUNCTION("""COMPUTED_VALUE"""),1.0)</f>
        <v>1</v>
      </c>
    </row>
    <row r="5241">
      <c r="K5241" s="4" t="str">
        <f>IFERROR(__xludf.DUMMYFUNCTION("""COMPUTED_VALUE"""),"ACAI BISTRO")</f>
        <v>ACAI BISTRO</v>
      </c>
      <c r="L5241" s="32">
        <f>IFERROR(__xludf.DUMMYFUNCTION("""COMPUTED_VALUE"""),2.0)</f>
        <v>2</v>
      </c>
      <c r="M5241" s="4" t="str">
        <f>IFERROR(__xludf.DUMMYFUNCTION("""COMPUTED_VALUE"""),"Compilart Tecnologia Ltda")</f>
        <v>Compilart Tecnologia Ltda</v>
      </c>
      <c r="N5241" s="33">
        <f>IFERROR(__xludf.DUMMYFUNCTION("""COMPUTED_VALUE"""),0.5)</f>
        <v>0.5</v>
      </c>
      <c r="O5241" s="4" t="str">
        <f>IFERROR(__xludf.DUMMYFUNCTION("""COMPUTED_VALUE"""),"Compilart Tecnologia Ltda")</f>
        <v>Compilart Tecnologia Ltda</v>
      </c>
      <c r="P5241" s="33">
        <f>IFERROR(__xludf.DUMMYFUNCTION("""COMPUTED_VALUE"""),0.5)</f>
        <v>0.5</v>
      </c>
      <c r="Q5241" s="4" t="str">
        <f>IFERROR(__xludf.DUMMYFUNCTION("""COMPUTED_VALUE"""),"Compilart Tecnologia Ltda")</f>
        <v>Compilart Tecnologia Ltda</v>
      </c>
      <c r="R5241" s="33">
        <f>IFERROR(__xludf.DUMMYFUNCTION("""COMPUTED_VALUE"""),0.5)</f>
        <v>0.5</v>
      </c>
      <c r="S5241" s="4" t="str">
        <f>IFERROR(__xludf.DUMMYFUNCTION("""COMPUTED_VALUE"""),"Compilart Tecnologia Ltda")</f>
        <v>Compilart Tecnologia Ltda</v>
      </c>
      <c r="T5241" s="33">
        <f>IFERROR(__xludf.DUMMYFUNCTION("""COMPUTED_VALUE"""),0.5)</f>
        <v>0.5</v>
      </c>
      <c r="U5241" s="4" t="str">
        <f>IFERROR(__xludf.DUMMYFUNCTION("""COMPUTED_VALUE"""),"Compilart Tecnologia Ltda")</f>
        <v>Compilart Tecnologia Ltda</v>
      </c>
      <c r="V5241" s="33">
        <f>IFERROR(__xludf.DUMMYFUNCTION("""COMPUTED_VALUE"""),0.5)</f>
        <v>0.5</v>
      </c>
      <c r="W5241" s="4" t="str">
        <f>IFERROR(__xludf.DUMMYFUNCTION("""COMPUTED_VALUE"""),"Compilart Tecnologia Ltda")</f>
        <v>Compilart Tecnologia Ltda</v>
      </c>
      <c r="X5241" s="33">
        <f>IFERROR(__xludf.DUMMYFUNCTION("""COMPUTED_VALUE"""),0.5)</f>
        <v>0.5</v>
      </c>
    </row>
    <row r="5242">
      <c r="K5242" s="4" t="str">
        <f>IFERROR(__xludf.DUMMYFUNCTION("""COMPUTED_VALUE"""),"BURGER TIME")</f>
        <v>BURGER TIME</v>
      </c>
      <c r="L5242" s="32">
        <f>IFERROR(__xludf.DUMMYFUNCTION("""COMPUTED_VALUE"""),2.0)</f>
        <v>2</v>
      </c>
      <c r="M5242" s="4" t="str">
        <f>IFERROR(__xludf.DUMMYFUNCTION("""COMPUTED_VALUE"""),"Schneider Software")</f>
        <v>Schneider Software</v>
      </c>
      <c r="N5242" s="33">
        <f>IFERROR(__xludf.DUMMYFUNCTION("""COMPUTED_VALUE"""),0.5)</f>
        <v>0.5</v>
      </c>
      <c r="O5242" s="4" t="str">
        <f>IFERROR(__xludf.DUMMYFUNCTION("""COMPUTED_VALUE"""),"Schneider Software")</f>
        <v>Schneider Software</v>
      </c>
      <c r="P5242" s="33">
        <f>IFERROR(__xludf.DUMMYFUNCTION("""COMPUTED_VALUE"""),0.5)</f>
        <v>0.5</v>
      </c>
      <c r="Q5242" s="4" t="str">
        <f>IFERROR(__xludf.DUMMYFUNCTION("""COMPUTED_VALUE"""),"Schneider Software")</f>
        <v>Schneider Software</v>
      </c>
      <c r="R5242" s="33">
        <f>IFERROR(__xludf.DUMMYFUNCTION("""COMPUTED_VALUE"""),0.5)</f>
        <v>0.5</v>
      </c>
      <c r="S5242" s="4" t="str">
        <f>IFERROR(__xludf.DUMMYFUNCTION("""COMPUTED_VALUE"""),"Schneider Software")</f>
        <v>Schneider Software</v>
      </c>
      <c r="T5242" s="33">
        <f>IFERROR(__xludf.DUMMYFUNCTION("""COMPUTED_VALUE"""),0.5)</f>
        <v>0.5</v>
      </c>
      <c r="U5242" s="4" t="str">
        <f>IFERROR(__xludf.DUMMYFUNCTION("""COMPUTED_VALUE"""),"Schneider Software")</f>
        <v>Schneider Software</v>
      </c>
      <c r="V5242" s="33">
        <f>IFERROR(__xludf.DUMMYFUNCTION("""COMPUTED_VALUE"""),0.5)</f>
        <v>0.5</v>
      </c>
      <c r="W5242" s="4" t="str">
        <f>IFERROR(__xludf.DUMMYFUNCTION("""COMPUTED_VALUE"""),"Schneider Software")</f>
        <v>Schneider Software</v>
      </c>
      <c r="X5242" s="33">
        <f>IFERROR(__xludf.DUMMYFUNCTION("""COMPUTED_VALUE"""),0.5)</f>
        <v>0.5</v>
      </c>
    </row>
    <row r="5243">
      <c r="K5243" s="4" t="str">
        <f>IFERROR(__xludf.DUMMYFUNCTION("""COMPUTED_VALUE"""),"NASKH SUSHI DELIVERY")</f>
        <v>NASKH SUSHI DELIVERY</v>
      </c>
      <c r="L5243" s="32">
        <f>IFERROR(__xludf.DUMMYFUNCTION("""COMPUTED_VALUE"""),2.0)</f>
        <v>2</v>
      </c>
      <c r="M5243" s="4" t="str">
        <f>IFERROR(__xludf.DUMMYFUNCTION("""COMPUTED_VALUE"""),"null")</f>
        <v>null</v>
      </c>
      <c r="N5243" s="33">
        <f>IFERROR(__xludf.DUMMYFUNCTION("""COMPUTED_VALUE"""),0.5)</f>
        <v>0.5</v>
      </c>
      <c r="O5243" s="4" t="str">
        <f>IFERROR(__xludf.DUMMYFUNCTION("""COMPUTED_VALUE"""),"null")</f>
        <v>null</v>
      </c>
      <c r="P5243" s="33">
        <f>IFERROR(__xludf.DUMMYFUNCTION("""COMPUTED_VALUE"""),1.0)</f>
        <v>1</v>
      </c>
      <c r="Q5243" s="4" t="str">
        <f>IFERROR(__xludf.DUMMYFUNCTION("""COMPUTED_VALUE"""),"Cardápio Web")</f>
        <v>Cardápio Web</v>
      </c>
      <c r="R5243" s="33">
        <f>IFERROR(__xludf.DUMMYFUNCTION("""COMPUTED_VALUE"""),0.5)</f>
        <v>0.5</v>
      </c>
      <c r="S5243" s="4" t="str">
        <f>IFERROR(__xludf.DUMMYFUNCTION("""COMPUTED_VALUE"""),"null")</f>
        <v>null</v>
      </c>
      <c r="T5243" s="33">
        <f>IFERROR(__xludf.DUMMYFUNCTION("""COMPUTED_VALUE"""),1.0)</f>
        <v>1</v>
      </c>
      <c r="U5243" s="4" t="str">
        <f>IFERROR(__xludf.DUMMYFUNCTION("""COMPUTED_VALUE"""),"null")</f>
        <v>null</v>
      </c>
      <c r="V5243" s="33">
        <f>IFERROR(__xludf.DUMMYFUNCTION("""COMPUTED_VALUE"""),1.0)</f>
        <v>1</v>
      </c>
      <c r="W5243" s="4" t="str">
        <f>IFERROR(__xludf.DUMMYFUNCTION("""COMPUTED_VALUE"""),"null")</f>
        <v>null</v>
      </c>
      <c r="X5243" s="33">
        <f>IFERROR(__xludf.DUMMYFUNCTION("""COMPUTED_VALUE"""),1.0)</f>
        <v>1</v>
      </c>
    </row>
    <row r="5244">
      <c r="K5244" s="4" t="str">
        <f>IFERROR(__xludf.DUMMYFUNCTION("""COMPUTED_VALUE"""),"ACAITERIA PARAISO")</f>
        <v>ACAITERIA PARAISO</v>
      </c>
      <c r="L5244" s="32">
        <f>IFERROR(__xludf.DUMMYFUNCTION("""COMPUTED_VALUE"""),2.0)</f>
        <v>2</v>
      </c>
      <c r="M5244" s="4" t="str">
        <f>IFERROR(__xludf.DUMMYFUNCTION("""COMPUTED_VALUE"""),"Mp Multipedidos")</f>
        <v>Mp Multipedidos</v>
      </c>
      <c r="N5244" s="33">
        <f>IFERROR(__xludf.DUMMYFUNCTION("""COMPUTED_VALUE"""),0.5)</f>
        <v>0.5</v>
      </c>
      <c r="O5244" s="4" t="str">
        <f>IFERROR(__xludf.DUMMYFUNCTION("""COMPUTED_VALUE"""),"Mp Multipedidos")</f>
        <v>Mp Multipedidos</v>
      </c>
      <c r="P5244" s="33">
        <f>IFERROR(__xludf.DUMMYFUNCTION("""COMPUTED_VALUE"""),0.5)</f>
        <v>0.5</v>
      </c>
      <c r="Q5244" s="4" t="str">
        <f>IFERROR(__xludf.DUMMYFUNCTION("""COMPUTED_VALUE"""),"Mp Multipedidos")</f>
        <v>Mp Multipedidos</v>
      </c>
      <c r="R5244" s="33">
        <f>IFERROR(__xludf.DUMMYFUNCTION("""COMPUTED_VALUE"""),0.5)</f>
        <v>0.5</v>
      </c>
      <c r="S5244" s="4" t="str">
        <f>IFERROR(__xludf.DUMMYFUNCTION("""COMPUTED_VALUE"""),"Mp Multipedidos")</f>
        <v>Mp Multipedidos</v>
      </c>
      <c r="T5244" s="33">
        <f>IFERROR(__xludf.DUMMYFUNCTION("""COMPUTED_VALUE"""),0.5)</f>
        <v>0.5</v>
      </c>
      <c r="U5244" s="4" t="str">
        <f>IFERROR(__xludf.DUMMYFUNCTION("""COMPUTED_VALUE"""),"Mp Multipedidos")</f>
        <v>Mp Multipedidos</v>
      </c>
      <c r="V5244" s="33">
        <f>IFERROR(__xludf.DUMMYFUNCTION("""COMPUTED_VALUE"""),0.5)</f>
        <v>0.5</v>
      </c>
      <c r="W5244" s="4" t="str">
        <f>IFERROR(__xludf.DUMMYFUNCTION("""COMPUTED_VALUE"""),"Mp Multipedidos")</f>
        <v>Mp Multipedidos</v>
      </c>
      <c r="X5244" s="33">
        <f>IFERROR(__xludf.DUMMYFUNCTION("""COMPUTED_VALUE"""),0.5)</f>
        <v>0.5</v>
      </c>
    </row>
    <row r="5245">
      <c r="K5245" s="4" t="str">
        <f>IFERROR(__xludf.DUMMYFUNCTION("""COMPUTED_VALUE"""),"GORDINHOS LANCHES")</f>
        <v>GORDINHOS LANCHES</v>
      </c>
      <c r="L5245" s="32">
        <f>IFERROR(__xludf.DUMMYFUNCTION("""COMPUTED_VALUE"""),2.0)</f>
        <v>2</v>
      </c>
      <c r="M5245" s="4" t="str">
        <f>IFERROR(__xludf.DUMMYFUNCTION("""COMPUTED_VALUE"""),"null")</f>
        <v>null</v>
      </c>
      <c r="N5245" s="33">
        <f>IFERROR(__xludf.DUMMYFUNCTION("""COMPUTED_VALUE"""),1.0)</f>
        <v>1</v>
      </c>
      <c r="O5245" s="4" t="str">
        <f>IFERROR(__xludf.DUMMYFUNCTION("""COMPUTED_VALUE"""),"Syslogica - Novo Conceito Em Software")</f>
        <v>Syslogica - Novo Conceito Em Software</v>
      </c>
      <c r="P5245" s="33">
        <f>IFERROR(__xludf.DUMMYFUNCTION("""COMPUTED_VALUE"""),0.5)</f>
        <v>0.5</v>
      </c>
      <c r="Q5245" s="4" t="str">
        <f>IFERROR(__xludf.DUMMYFUNCTION("""COMPUTED_VALUE"""),"null")</f>
        <v>null</v>
      </c>
      <c r="R5245" s="33">
        <f>IFERROR(__xludf.DUMMYFUNCTION("""COMPUTED_VALUE"""),0.5)</f>
        <v>0.5</v>
      </c>
      <c r="S5245" s="4" t="str">
        <f>IFERROR(__xludf.DUMMYFUNCTION("""COMPUTED_VALUE"""),"null")</f>
        <v>null</v>
      </c>
      <c r="T5245" s="33">
        <f>IFERROR(__xludf.DUMMYFUNCTION("""COMPUTED_VALUE"""),0.5)</f>
        <v>0.5</v>
      </c>
      <c r="U5245" s="4" t="str">
        <f>IFERROR(__xludf.DUMMYFUNCTION("""COMPUTED_VALUE"""),"null")</f>
        <v>null</v>
      </c>
      <c r="V5245" s="33">
        <f>IFERROR(__xludf.DUMMYFUNCTION("""COMPUTED_VALUE"""),1.0)</f>
        <v>1</v>
      </c>
      <c r="W5245" s="4" t="str">
        <f>IFERROR(__xludf.DUMMYFUNCTION("""COMPUTED_VALUE"""),"null")</f>
        <v>null</v>
      </c>
      <c r="X5245" s="33">
        <f>IFERROR(__xludf.DUMMYFUNCTION("""COMPUTED_VALUE"""),1.0)</f>
        <v>1</v>
      </c>
    </row>
    <row r="5246">
      <c r="K5246" s="4" t="str">
        <f>IFERROR(__xludf.DUMMYFUNCTION("""COMPUTED_VALUE"""),"PIZZARIA DTALIA")</f>
        <v>PIZZARIA DTALIA</v>
      </c>
      <c r="L5246" s="32">
        <f>IFERROR(__xludf.DUMMYFUNCTION("""COMPUTED_VALUE"""),2.0)</f>
        <v>2</v>
      </c>
      <c r="M5246" s="4" t="str">
        <f>IFERROR(__xludf.DUMMYFUNCTION("""COMPUTED_VALUE"""),"Cardápio Web")</f>
        <v>Cardápio Web</v>
      </c>
      <c r="N5246" s="33">
        <f>IFERROR(__xludf.DUMMYFUNCTION("""COMPUTED_VALUE"""),0.5)</f>
        <v>0.5</v>
      </c>
      <c r="O5246" s="4" t="str">
        <f>IFERROR(__xludf.DUMMYFUNCTION("""COMPUTED_VALUE"""),"Cardápio Web")</f>
        <v>Cardápio Web</v>
      </c>
      <c r="P5246" s="33">
        <f>IFERROR(__xludf.DUMMYFUNCTION("""COMPUTED_VALUE"""),0.5)</f>
        <v>0.5</v>
      </c>
      <c r="Q5246" s="4" t="str">
        <f>IFERROR(__xludf.DUMMYFUNCTION("""COMPUTED_VALUE"""),"Cardápio Web")</f>
        <v>Cardápio Web</v>
      </c>
      <c r="R5246" s="33">
        <f>IFERROR(__xludf.DUMMYFUNCTION("""COMPUTED_VALUE"""),0.5)</f>
        <v>0.5</v>
      </c>
      <c r="S5246" s="4" t="str">
        <f>IFERROR(__xludf.DUMMYFUNCTION("""COMPUTED_VALUE"""),"Cardápio Web")</f>
        <v>Cardápio Web</v>
      </c>
      <c r="T5246" s="33">
        <f>IFERROR(__xludf.DUMMYFUNCTION("""COMPUTED_VALUE"""),0.5)</f>
        <v>0.5</v>
      </c>
      <c r="U5246" s="4" t="str">
        <f>IFERROR(__xludf.DUMMYFUNCTION("""COMPUTED_VALUE"""),"Cardápio Web")</f>
        <v>Cardápio Web</v>
      </c>
      <c r="V5246" s="33">
        <f>IFERROR(__xludf.DUMMYFUNCTION("""COMPUTED_VALUE"""),0.5)</f>
        <v>0.5</v>
      </c>
      <c r="W5246" s="4" t="str">
        <f>IFERROR(__xludf.DUMMYFUNCTION("""COMPUTED_VALUE"""),"Cardápio Web")</f>
        <v>Cardápio Web</v>
      </c>
      <c r="X5246" s="33">
        <f>IFERROR(__xludf.DUMMYFUNCTION("""COMPUTED_VALUE"""),0.5)</f>
        <v>0.5</v>
      </c>
    </row>
    <row r="5247">
      <c r="K5247" s="4" t="str">
        <f>IFERROR(__xludf.DUMMYFUNCTION("""COMPUTED_VALUE"""),"DELIGHT ACAI")</f>
        <v>DELIGHT ACAI</v>
      </c>
      <c r="L5247" s="32">
        <f>IFERROR(__xludf.DUMMYFUNCTION("""COMPUTED_VALUE"""),2.0)</f>
        <v>2</v>
      </c>
      <c r="M5247" s="4" t="str">
        <f>IFERROR(__xludf.DUMMYFUNCTION("""COMPUTED_VALUE"""),"null")</f>
        <v>null</v>
      </c>
      <c r="N5247" s="33">
        <f>IFERROR(__xludf.DUMMYFUNCTION("""COMPUTED_VALUE"""),0.5)</f>
        <v>0.5</v>
      </c>
      <c r="O5247" s="4" t="str">
        <f>IFERROR(__xludf.DUMMYFUNCTION("""COMPUTED_VALUE"""),"null")</f>
        <v>null</v>
      </c>
      <c r="P5247" s="33">
        <f>IFERROR(__xludf.DUMMYFUNCTION("""COMPUTED_VALUE"""),0.5)</f>
        <v>0.5</v>
      </c>
      <c r="Q5247" s="4" t="str">
        <f>IFERROR(__xludf.DUMMYFUNCTION("""COMPUTED_VALUE"""),"null")</f>
        <v>null</v>
      </c>
      <c r="R5247" s="33">
        <f>IFERROR(__xludf.DUMMYFUNCTION("""COMPUTED_VALUE"""),1.0)</f>
        <v>1</v>
      </c>
      <c r="S5247" s="4" t="str">
        <f>IFERROR(__xludf.DUMMYFUNCTION("""COMPUTED_VALUE"""),"Consumer Soluções Em Tecnologia Ltda")</f>
        <v>Consumer Soluções Em Tecnologia Ltda</v>
      </c>
      <c r="T5247" s="33">
        <f>IFERROR(__xludf.DUMMYFUNCTION("""COMPUTED_VALUE"""),0.5)</f>
        <v>0.5</v>
      </c>
      <c r="U5247" s="4" t="str">
        <f>IFERROR(__xludf.DUMMYFUNCTION("""COMPUTED_VALUE"""),"null")</f>
        <v>null</v>
      </c>
      <c r="V5247" s="33">
        <f>IFERROR(__xludf.DUMMYFUNCTION("""COMPUTED_VALUE"""),1.0)</f>
        <v>1</v>
      </c>
      <c r="W5247" s="4" t="str">
        <f>IFERROR(__xludf.DUMMYFUNCTION("""COMPUTED_VALUE"""),"null")</f>
        <v>null</v>
      </c>
      <c r="X5247" s="33">
        <f>IFERROR(__xludf.DUMMYFUNCTION("""COMPUTED_VALUE"""),0.5)</f>
        <v>0.5</v>
      </c>
    </row>
    <row r="5248">
      <c r="K5248" s="4" t="str">
        <f>IFERROR(__xludf.DUMMYFUNCTION("""COMPUTED_VALUE"""),"ROTA BURGER")</f>
        <v>ROTA BURGER</v>
      </c>
      <c r="L5248" s="32">
        <f>IFERROR(__xludf.DUMMYFUNCTION("""COMPUTED_VALUE"""),2.0)</f>
        <v>2</v>
      </c>
      <c r="M5248" s="4" t="str">
        <f>IFERROR(__xludf.DUMMYFUNCTION("""COMPUTED_VALUE"""),"M-du Tecnologia")</f>
        <v>M-du Tecnologia</v>
      </c>
      <c r="N5248" s="33">
        <f>IFERROR(__xludf.DUMMYFUNCTION("""COMPUTED_VALUE"""),0.5)</f>
        <v>0.5</v>
      </c>
      <c r="O5248" s="4" t="str">
        <f>IFERROR(__xludf.DUMMYFUNCTION("""COMPUTED_VALUE"""),"M-du Tecnologia")</f>
        <v>M-du Tecnologia</v>
      </c>
      <c r="P5248" s="33">
        <f>IFERROR(__xludf.DUMMYFUNCTION("""COMPUTED_VALUE"""),0.5)</f>
        <v>0.5</v>
      </c>
      <c r="Q5248" s="4" t="str">
        <f>IFERROR(__xludf.DUMMYFUNCTION("""COMPUTED_VALUE"""),"M-du Tecnologia")</f>
        <v>M-du Tecnologia</v>
      </c>
      <c r="R5248" s="33">
        <f>IFERROR(__xludf.DUMMYFUNCTION("""COMPUTED_VALUE"""),0.5)</f>
        <v>0.5</v>
      </c>
      <c r="S5248" s="4" t="str">
        <f>IFERROR(__xludf.DUMMYFUNCTION("""COMPUTED_VALUE"""),"M-du Tecnologia")</f>
        <v>M-du Tecnologia</v>
      </c>
      <c r="T5248" s="33">
        <f>IFERROR(__xludf.DUMMYFUNCTION("""COMPUTED_VALUE"""),0.5)</f>
        <v>0.5</v>
      </c>
      <c r="U5248" s="4" t="str">
        <f>IFERROR(__xludf.DUMMYFUNCTION("""COMPUTED_VALUE"""),"M-du Tecnologia")</f>
        <v>M-du Tecnologia</v>
      </c>
      <c r="V5248" s="33">
        <f>IFERROR(__xludf.DUMMYFUNCTION("""COMPUTED_VALUE"""),0.5)</f>
        <v>0.5</v>
      </c>
      <c r="W5248" s="4" t="str">
        <f>IFERROR(__xludf.DUMMYFUNCTION("""COMPUTED_VALUE"""),"M-du Tecnologia")</f>
        <v>M-du Tecnologia</v>
      </c>
      <c r="X5248" s="33">
        <f>IFERROR(__xludf.DUMMYFUNCTION("""COMPUTED_VALUE"""),0.5)</f>
        <v>0.5</v>
      </c>
    </row>
    <row r="5249">
      <c r="K5249" s="4" t="str">
        <f>IFERROR(__xludf.DUMMYFUNCTION("""COMPUTED_VALUE"""),"BRAZ BURGUER")</f>
        <v>BRAZ BURGUER</v>
      </c>
      <c r="L5249" s="32">
        <f>IFERROR(__xludf.DUMMYFUNCTION("""COMPUTED_VALUE"""),2.0)</f>
        <v>2</v>
      </c>
      <c r="M5249" s="4" t="str">
        <f>IFERROR(__xludf.DUMMYFUNCTION("""COMPUTED_VALUE"""),"null")</f>
        <v>null</v>
      </c>
      <c r="N5249" s="33">
        <f>IFERROR(__xludf.DUMMYFUNCTION("""COMPUTED_VALUE"""),0.5)</f>
        <v>0.5</v>
      </c>
      <c r="O5249" s="4" t="str">
        <f>IFERROR(__xludf.DUMMYFUNCTION("""COMPUTED_VALUE"""),"Cardápio Web")</f>
        <v>Cardápio Web</v>
      </c>
      <c r="P5249" s="33">
        <f>IFERROR(__xludf.DUMMYFUNCTION("""COMPUTED_VALUE"""),0.5)</f>
        <v>0.5</v>
      </c>
      <c r="Q5249" s="4" t="str">
        <f>IFERROR(__xludf.DUMMYFUNCTION("""COMPUTED_VALUE"""),"Cardápio Web")</f>
        <v>Cardápio Web</v>
      </c>
      <c r="R5249" s="33">
        <f>IFERROR(__xludf.DUMMYFUNCTION("""COMPUTED_VALUE"""),0.5)</f>
        <v>0.5</v>
      </c>
      <c r="S5249" s="4" t="str">
        <f>IFERROR(__xludf.DUMMYFUNCTION("""COMPUTED_VALUE"""),"Cardápio Web")</f>
        <v>Cardápio Web</v>
      </c>
      <c r="T5249" s="33">
        <f>IFERROR(__xludf.DUMMYFUNCTION("""COMPUTED_VALUE"""),0.5)</f>
        <v>0.5</v>
      </c>
      <c r="U5249" s="4" t="str">
        <f>IFERROR(__xludf.DUMMYFUNCTION("""COMPUTED_VALUE"""),"Cardápio Web")</f>
        <v>Cardápio Web</v>
      </c>
      <c r="V5249" s="33">
        <f>IFERROR(__xludf.DUMMYFUNCTION("""COMPUTED_VALUE"""),0.5)</f>
        <v>0.5</v>
      </c>
      <c r="W5249" s="4" t="str">
        <f>IFERROR(__xludf.DUMMYFUNCTION("""COMPUTED_VALUE"""),"Cardápio Web")</f>
        <v>Cardápio Web</v>
      </c>
      <c r="X5249" s="33">
        <f>IFERROR(__xludf.DUMMYFUNCTION("""COMPUTED_VALUE"""),0.5)</f>
        <v>0.5</v>
      </c>
    </row>
    <row r="5250">
      <c r="K5250" s="4" t="str">
        <f>IFERROR(__xludf.DUMMYFUNCTION("""COMPUTED_VALUE"""),"LIGHT FOOD WAY - ALIMENTACAO SAUDAVEL")</f>
        <v>LIGHT FOOD WAY - ALIMENTACAO SAUDAVEL</v>
      </c>
      <c r="L5250" s="32">
        <f>IFERROR(__xludf.DUMMYFUNCTION("""COMPUTED_VALUE"""),2.0)</f>
        <v>2</v>
      </c>
      <c r="M5250" s="4" t="str">
        <f>IFERROR(__xludf.DUMMYFUNCTION("""COMPUTED_VALUE"""),"Instadelivery")</f>
        <v>Instadelivery</v>
      </c>
      <c r="N5250" s="33">
        <f>IFERROR(__xludf.DUMMYFUNCTION("""COMPUTED_VALUE"""),1.0)</f>
        <v>1</v>
      </c>
      <c r="O5250" s="4" t="str">
        <f>IFERROR(__xludf.DUMMYFUNCTION("""COMPUTED_VALUE"""),"Instadelivery")</f>
        <v>Instadelivery</v>
      </c>
      <c r="P5250" s="33">
        <f>IFERROR(__xludf.DUMMYFUNCTION("""COMPUTED_VALUE"""),1.0)</f>
        <v>1</v>
      </c>
      <c r="Q5250" s="4" t="str">
        <f>IFERROR(__xludf.DUMMYFUNCTION("""COMPUTED_VALUE"""),"Instadelivery")</f>
        <v>Instadelivery</v>
      </c>
      <c r="R5250" s="33">
        <f>IFERROR(__xludf.DUMMYFUNCTION("""COMPUTED_VALUE"""),1.0)</f>
        <v>1</v>
      </c>
      <c r="S5250" s="4" t="str">
        <f>IFERROR(__xludf.DUMMYFUNCTION("""COMPUTED_VALUE"""),"Instadelivery")</f>
        <v>Instadelivery</v>
      </c>
      <c r="T5250" s="33">
        <f>IFERROR(__xludf.DUMMYFUNCTION("""COMPUTED_VALUE"""),1.0)</f>
        <v>1</v>
      </c>
      <c r="U5250" s="4" t="str">
        <f>IFERROR(__xludf.DUMMYFUNCTION("""COMPUTED_VALUE"""),"Instadelivery")</f>
        <v>Instadelivery</v>
      </c>
      <c r="V5250" s="33">
        <f>IFERROR(__xludf.DUMMYFUNCTION("""COMPUTED_VALUE"""),1.0)</f>
        <v>1</v>
      </c>
      <c r="W5250" s="4" t="str">
        <f>IFERROR(__xludf.DUMMYFUNCTION("""COMPUTED_VALUE"""),"Instadelivery")</f>
        <v>Instadelivery</v>
      </c>
      <c r="X5250" s="33">
        <f>IFERROR(__xludf.DUMMYFUNCTION("""COMPUTED_VALUE"""),1.0)</f>
        <v>1</v>
      </c>
    </row>
    <row r="5251">
      <c r="K5251" s="4" t="str">
        <f>IFERROR(__xludf.DUMMYFUNCTION("""COMPUTED_VALUE"""),"RAFAS BURGER")</f>
        <v>RAFAS BURGER</v>
      </c>
      <c r="L5251" s="32">
        <f>IFERROR(__xludf.DUMMYFUNCTION("""COMPUTED_VALUE"""),2.0)</f>
        <v>2</v>
      </c>
      <c r="M5251" s="4" t="str">
        <f>IFERROR(__xludf.DUMMYFUNCTION("""COMPUTED_VALUE"""),"Anota Ai Solucoes Digitais S/a")</f>
        <v>Anota Ai Solucoes Digitais S/a</v>
      </c>
      <c r="N5251" s="33">
        <f>IFERROR(__xludf.DUMMYFUNCTION("""COMPUTED_VALUE"""),0.5)</f>
        <v>0.5</v>
      </c>
      <c r="O5251" s="4" t="str">
        <f>IFERROR(__xludf.DUMMYFUNCTION("""COMPUTED_VALUE"""),"Anota Ai Solucoes Digitais S/a")</f>
        <v>Anota Ai Solucoes Digitais S/a</v>
      </c>
      <c r="P5251" s="33">
        <f>IFERROR(__xludf.DUMMYFUNCTION("""COMPUTED_VALUE"""),0.5)</f>
        <v>0.5</v>
      </c>
      <c r="Q5251" s="4" t="str">
        <f>IFERROR(__xludf.DUMMYFUNCTION("""COMPUTED_VALUE"""),"Anota Ai Solucoes Digitais S/a")</f>
        <v>Anota Ai Solucoes Digitais S/a</v>
      </c>
      <c r="R5251" s="33">
        <f>IFERROR(__xludf.DUMMYFUNCTION("""COMPUTED_VALUE"""),0.5)</f>
        <v>0.5</v>
      </c>
      <c r="S5251" s="4" t="str">
        <f>IFERROR(__xludf.DUMMYFUNCTION("""COMPUTED_VALUE"""),"Anota Ai Solucoes Digitais S/a")</f>
        <v>Anota Ai Solucoes Digitais S/a</v>
      </c>
      <c r="T5251" s="33">
        <f>IFERROR(__xludf.DUMMYFUNCTION("""COMPUTED_VALUE"""),0.5)</f>
        <v>0.5</v>
      </c>
      <c r="U5251" s="4" t="str">
        <f>IFERROR(__xludf.DUMMYFUNCTION("""COMPUTED_VALUE"""),"Anota Ai Solucoes Digitais S/a")</f>
        <v>Anota Ai Solucoes Digitais S/a</v>
      </c>
      <c r="V5251" s="33">
        <f>IFERROR(__xludf.DUMMYFUNCTION("""COMPUTED_VALUE"""),0.5)</f>
        <v>0.5</v>
      </c>
      <c r="W5251" s="4" t="str">
        <f>IFERROR(__xludf.DUMMYFUNCTION("""COMPUTED_VALUE"""),"Anota Ai Solucoes Digitais S/a")</f>
        <v>Anota Ai Solucoes Digitais S/a</v>
      </c>
      <c r="X5251" s="33">
        <f>IFERROR(__xludf.DUMMYFUNCTION("""COMPUTED_VALUE"""),0.5)</f>
        <v>0.5</v>
      </c>
    </row>
    <row r="5252">
      <c r="K5252" s="4" t="str">
        <f>IFERROR(__xludf.DUMMYFUNCTION("""COMPUTED_VALUE"""),"IMPERIO DO SUSHI DELIVERY")</f>
        <v>IMPERIO DO SUSHI DELIVERY</v>
      </c>
      <c r="L5252" s="32">
        <f>IFERROR(__xludf.DUMMYFUNCTION("""COMPUTED_VALUE"""),2.0)</f>
        <v>2</v>
      </c>
      <c r="M5252" s="4" t="str">
        <f>IFERROR(__xludf.DUMMYFUNCTION("""COMPUTED_VALUE"""),"M-du Tecnologia")</f>
        <v>M-du Tecnologia</v>
      </c>
      <c r="N5252" s="33">
        <f>IFERROR(__xludf.DUMMYFUNCTION("""COMPUTED_VALUE"""),0.5)</f>
        <v>0.5</v>
      </c>
      <c r="O5252" s="4" t="str">
        <f>IFERROR(__xludf.DUMMYFUNCTION("""COMPUTED_VALUE"""),"M-du Tecnologia")</f>
        <v>M-du Tecnologia</v>
      </c>
      <c r="P5252" s="33">
        <f>IFERROR(__xludf.DUMMYFUNCTION("""COMPUTED_VALUE"""),0.5)</f>
        <v>0.5</v>
      </c>
      <c r="Q5252" s="4" t="str">
        <f>IFERROR(__xludf.DUMMYFUNCTION("""COMPUTED_VALUE"""),"M-du Tecnologia")</f>
        <v>M-du Tecnologia</v>
      </c>
      <c r="R5252" s="33">
        <f>IFERROR(__xludf.DUMMYFUNCTION("""COMPUTED_VALUE"""),0.5)</f>
        <v>0.5</v>
      </c>
      <c r="S5252" s="4" t="str">
        <f>IFERROR(__xludf.DUMMYFUNCTION("""COMPUTED_VALUE"""),"M-du Tecnologia")</f>
        <v>M-du Tecnologia</v>
      </c>
      <c r="T5252" s="33">
        <f>IFERROR(__xludf.DUMMYFUNCTION("""COMPUTED_VALUE"""),0.5)</f>
        <v>0.5</v>
      </c>
      <c r="U5252" s="4" t="str">
        <f>IFERROR(__xludf.DUMMYFUNCTION("""COMPUTED_VALUE"""),"M-du Tecnologia")</f>
        <v>M-du Tecnologia</v>
      </c>
      <c r="V5252" s="33">
        <f>IFERROR(__xludf.DUMMYFUNCTION("""COMPUTED_VALUE"""),0.5)</f>
        <v>0.5</v>
      </c>
      <c r="W5252" s="4" t="str">
        <f>IFERROR(__xludf.DUMMYFUNCTION("""COMPUTED_VALUE"""),"M-du Tecnologia")</f>
        <v>M-du Tecnologia</v>
      </c>
      <c r="X5252" s="33">
        <f>IFERROR(__xludf.DUMMYFUNCTION("""COMPUTED_VALUE"""),0.5)</f>
        <v>0.5</v>
      </c>
    </row>
    <row r="5253">
      <c r="K5253" s="4" t="str">
        <f>IFERROR(__xludf.DUMMYFUNCTION("""COMPUTED_VALUE"""),"SOLO PASTA CUCINA")</f>
        <v>SOLO PASTA CUCINA</v>
      </c>
      <c r="L5253" s="32">
        <f>IFERROR(__xludf.DUMMYFUNCTION("""COMPUTED_VALUE"""),2.0)</f>
        <v>2</v>
      </c>
      <c r="M5253" s="4" t="str">
        <f>IFERROR(__xludf.DUMMYFUNCTION("""COMPUTED_VALUE"""),"Anota Ai Solucoes Digitais S/a")</f>
        <v>Anota Ai Solucoes Digitais S/a</v>
      </c>
      <c r="N5253" s="33">
        <f>IFERROR(__xludf.DUMMYFUNCTION("""COMPUTED_VALUE"""),1.0)</f>
        <v>1</v>
      </c>
      <c r="O5253" s="4" t="str">
        <f>IFERROR(__xludf.DUMMYFUNCTION("""COMPUTED_VALUE"""),"Anota Ai Solucoes Digitais S/a")</f>
        <v>Anota Ai Solucoes Digitais S/a</v>
      </c>
      <c r="P5253" s="33">
        <f>IFERROR(__xludf.DUMMYFUNCTION("""COMPUTED_VALUE"""),1.0)</f>
        <v>1</v>
      </c>
      <c r="Q5253" s="4" t="str">
        <f>IFERROR(__xludf.DUMMYFUNCTION("""COMPUTED_VALUE"""),"Anota Ai Solucoes Digitais S/a")</f>
        <v>Anota Ai Solucoes Digitais S/a</v>
      </c>
      <c r="R5253" s="33">
        <f>IFERROR(__xludf.DUMMYFUNCTION("""COMPUTED_VALUE"""),1.0)</f>
        <v>1</v>
      </c>
      <c r="S5253" s="4" t="str">
        <f>IFERROR(__xludf.DUMMYFUNCTION("""COMPUTED_VALUE"""),"Anota Ai Solucoes Digitais S/a")</f>
        <v>Anota Ai Solucoes Digitais S/a</v>
      </c>
      <c r="T5253" s="33">
        <f>IFERROR(__xludf.DUMMYFUNCTION("""COMPUTED_VALUE"""),1.0)</f>
        <v>1</v>
      </c>
      <c r="U5253" s="4" t="str">
        <f>IFERROR(__xludf.DUMMYFUNCTION("""COMPUTED_VALUE"""),"Anota Ai Solucoes Digitais S/a")</f>
        <v>Anota Ai Solucoes Digitais S/a</v>
      </c>
      <c r="V5253" s="33">
        <f>IFERROR(__xludf.DUMMYFUNCTION("""COMPUTED_VALUE"""),1.0)</f>
        <v>1</v>
      </c>
      <c r="W5253" s="4" t="str">
        <f>IFERROR(__xludf.DUMMYFUNCTION("""COMPUTED_VALUE"""),"Anota Ai Solucoes Digitais S/a")</f>
        <v>Anota Ai Solucoes Digitais S/a</v>
      </c>
      <c r="X5253" s="33">
        <f>IFERROR(__xludf.DUMMYFUNCTION("""COMPUTED_VALUE"""),1.0)</f>
        <v>1</v>
      </c>
    </row>
    <row r="5254">
      <c r="K5254" s="4" t="str">
        <f>IFERROR(__xludf.DUMMYFUNCTION("""COMPUTED_VALUE"""),"BY PIZZA")</f>
        <v>BY PIZZA</v>
      </c>
      <c r="L5254" s="32">
        <f>IFERROR(__xludf.DUMMYFUNCTION("""COMPUTED_VALUE"""),2.0)</f>
        <v>2</v>
      </c>
      <c r="M5254" s="4" t="str">
        <f>IFERROR(__xludf.DUMMYFUNCTION("""COMPUTED_VALUE"""),"null")</f>
        <v>null</v>
      </c>
      <c r="N5254" s="33">
        <f>IFERROR(__xludf.DUMMYFUNCTION("""COMPUTED_VALUE"""),0.5)</f>
        <v>0.5</v>
      </c>
      <c r="O5254" s="4" t="str">
        <f>IFERROR(__xludf.DUMMYFUNCTION("""COMPUTED_VALUE"""),"null")</f>
        <v>null</v>
      </c>
      <c r="P5254" s="33">
        <f>IFERROR(__xludf.DUMMYFUNCTION("""COMPUTED_VALUE"""),0.5)</f>
        <v>0.5</v>
      </c>
      <c r="Q5254" s="4" t="str">
        <f>IFERROR(__xludf.DUMMYFUNCTION("""COMPUTED_VALUE"""),"null")</f>
        <v>null</v>
      </c>
      <c r="R5254" s="33">
        <f>IFERROR(__xludf.DUMMYFUNCTION("""COMPUTED_VALUE"""),1.0)</f>
        <v>1</v>
      </c>
      <c r="S5254" s="4" t="str">
        <f>IFERROR(__xludf.DUMMYFUNCTION("""COMPUTED_VALUE"""),"null")</f>
        <v>null</v>
      </c>
      <c r="T5254" s="33">
        <f>IFERROR(__xludf.DUMMYFUNCTION("""COMPUTED_VALUE"""),1.0)</f>
        <v>1</v>
      </c>
      <c r="U5254" s="4" t="str">
        <f>IFERROR(__xludf.DUMMYFUNCTION("""COMPUTED_VALUE"""),"Saipos Serviços De Software")</f>
        <v>Saipos Serviços De Software</v>
      </c>
      <c r="V5254" s="33">
        <f>IFERROR(__xludf.DUMMYFUNCTION("""COMPUTED_VALUE"""),1.0)</f>
        <v>1</v>
      </c>
      <c r="W5254" s="4" t="str">
        <f>IFERROR(__xludf.DUMMYFUNCTION("""COMPUTED_VALUE"""),"Saipos Serviços De Software")</f>
        <v>Saipos Serviços De Software</v>
      </c>
      <c r="X5254" s="33">
        <f>IFERROR(__xludf.DUMMYFUNCTION("""COMPUTED_VALUE"""),1.0)</f>
        <v>1</v>
      </c>
    </row>
    <row r="5255">
      <c r="K5255" s="4" t="str">
        <f>IFERROR(__xludf.DUMMYFUNCTION("""COMPUTED_VALUE"""),"ESPETIN DE RUA - ARACAGY")</f>
        <v>ESPETIN DE RUA - ARACAGY</v>
      </c>
      <c r="L5255" s="32">
        <f>IFERROR(__xludf.DUMMYFUNCTION("""COMPUTED_VALUE"""),2.0)</f>
        <v>2</v>
      </c>
      <c r="M5255" s="4" t="str">
        <f>IFERROR(__xludf.DUMMYFUNCTION("""COMPUTED_VALUE"""),"Saipos Serviços De Software")</f>
        <v>Saipos Serviços De Software</v>
      </c>
      <c r="N5255" s="33">
        <f>IFERROR(__xludf.DUMMYFUNCTION("""COMPUTED_VALUE"""),1.0)</f>
        <v>1</v>
      </c>
      <c r="O5255" s="4" t="str">
        <f>IFERROR(__xludf.DUMMYFUNCTION("""COMPUTED_VALUE"""),"Saipos Serviços De Software")</f>
        <v>Saipos Serviços De Software</v>
      </c>
      <c r="P5255" s="33">
        <f>IFERROR(__xludf.DUMMYFUNCTION("""COMPUTED_VALUE"""),1.0)</f>
        <v>1</v>
      </c>
      <c r="Q5255" s="4" t="str">
        <f>IFERROR(__xludf.DUMMYFUNCTION("""COMPUTED_VALUE"""),"Saipos Serviços De Software")</f>
        <v>Saipos Serviços De Software</v>
      </c>
      <c r="R5255" s="33">
        <f>IFERROR(__xludf.DUMMYFUNCTION("""COMPUTED_VALUE"""),1.0)</f>
        <v>1</v>
      </c>
      <c r="S5255" s="4" t="str">
        <f>IFERROR(__xludf.DUMMYFUNCTION("""COMPUTED_VALUE"""),"null")</f>
        <v>null</v>
      </c>
      <c r="T5255" s="33">
        <f>IFERROR(__xludf.DUMMYFUNCTION("""COMPUTED_VALUE"""),0.5)</f>
        <v>0.5</v>
      </c>
      <c r="U5255" s="4" t="str">
        <f>IFERROR(__xludf.DUMMYFUNCTION("""COMPUTED_VALUE"""),"null")</f>
        <v>null</v>
      </c>
      <c r="V5255" s="33">
        <f>IFERROR(__xludf.DUMMYFUNCTION("""COMPUTED_VALUE"""),0.5)</f>
        <v>0.5</v>
      </c>
      <c r="W5255" s="4" t="str">
        <f>IFERROR(__xludf.DUMMYFUNCTION("""COMPUTED_VALUE"""),"null")</f>
        <v>null</v>
      </c>
      <c r="X5255" s="33">
        <f>IFERROR(__xludf.DUMMYFUNCTION("""COMPUTED_VALUE"""),0.5)</f>
        <v>0.5</v>
      </c>
    </row>
    <row r="5256">
      <c r="K5256" s="4" t="str">
        <f>IFERROR(__xludf.DUMMYFUNCTION("""COMPUTED_VALUE"""),"BLACK BURGER HAMBURGUERIA")</f>
        <v>BLACK BURGER HAMBURGUERIA</v>
      </c>
      <c r="L5256" s="32">
        <f>IFERROR(__xludf.DUMMYFUNCTION("""COMPUTED_VALUE"""),2.0)</f>
        <v>2</v>
      </c>
      <c r="M5256" s="4" t="str">
        <f>IFERROR(__xludf.DUMMYFUNCTION("""COMPUTED_VALUE"""),"null")</f>
        <v>null</v>
      </c>
      <c r="N5256" s="33">
        <f>IFERROR(__xludf.DUMMYFUNCTION("""COMPUTED_VALUE"""),0.5)</f>
        <v>0.5</v>
      </c>
      <c r="O5256" s="4" t="str">
        <f>IFERROR(__xludf.DUMMYFUNCTION("""COMPUTED_VALUE"""),"null")</f>
        <v>null</v>
      </c>
      <c r="P5256" s="33">
        <f>IFERROR(__xludf.DUMMYFUNCTION("""COMPUTED_VALUE"""),0.5)</f>
        <v>0.5</v>
      </c>
      <c r="Q5256" s="4" t="str">
        <f>IFERROR(__xludf.DUMMYFUNCTION("""COMPUTED_VALUE"""),"Saipos Serviços De Software")</f>
        <v>Saipos Serviços De Software</v>
      </c>
      <c r="R5256" s="33">
        <f>IFERROR(__xludf.DUMMYFUNCTION("""COMPUTED_VALUE"""),0.5)</f>
        <v>0.5</v>
      </c>
      <c r="S5256" s="4" t="str">
        <f>IFERROR(__xludf.DUMMYFUNCTION("""COMPUTED_VALUE"""),"Saipos Serviços De Software")</f>
        <v>Saipos Serviços De Software</v>
      </c>
      <c r="T5256" s="33">
        <f>IFERROR(__xludf.DUMMYFUNCTION("""COMPUTED_VALUE"""),0.5)</f>
        <v>0.5</v>
      </c>
      <c r="U5256" s="4" t="str">
        <f>IFERROR(__xludf.DUMMYFUNCTION("""COMPUTED_VALUE"""),"Saipos Serviços De Software")</f>
        <v>Saipos Serviços De Software</v>
      </c>
      <c r="V5256" s="33">
        <f>IFERROR(__xludf.DUMMYFUNCTION("""COMPUTED_VALUE"""),0.5)</f>
        <v>0.5</v>
      </c>
      <c r="W5256" s="4" t="str">
        <f>IFERROR(__xludf.DUMMYFUNCTION("""COMPUTED_VALUE"""),"Saipos Serviços De Software")</f>
        <v>Saipos Serviços De Software</v>
      </c>
      <c r="X5256" s="33">
        <f>IFERROR(__xludf.DUMMYFUNCTION("""COMPUTED_VALUE"""),0.5)</f>
        <v>0.5</v>
      </c>
    </row>
    <row r="5257">
      <c r="K5257" s="4" t="str">
        <f>IFERROR(__xludf.DUMMYFUNCTION("""COMPUTED_VALUE"""),"HOUSE PIZZARIA")</f>
        <v>HOUSE PIZZARIA</v>
      </c>
      <c r="L5257" s="32">
        <f>IFERROR(__xludf.DUMMYFUNCTION("""COMPUTED_VALUE"""),2.0)</f>
        <v>2</v>
      </c>
      <c r="M5257" s="4" t="str">
        <f>IFERROR(__xludf.DUMMYFUNCTION("""COMPUTED_VALUE"""),"Cardápio Web")</f>
        <v>Cardápio Web</v>
      </c>
      <c r="N5257" s="33">
        <f>IFERROR(__xludf.DUMMYFUNCTION("""COMPUTED_VALUE"""),0.5)</f>
        <v>0.5</v>
      </c>
      <c r="O5257" s="4" t="str">
        <f>IFERROR(__xludf.DUMMYFUNCTION("""COMPUTED_VALUE"""),"Cardápio Web")</f>
        <v>Cardápio Web</v>
      </c>
      <c r="P5257" s="33">
        <f>IFERROR(__xludf.DUMMYFUNCTION("""COMPUTED_VALUE"""),0.5)</f>
        <v>0.5</v>
      </c>
      <c r="Q5257" s="4" t="str">
        <f>IFERROR(__xludf.DUMMYFUNCTION("""COMPUTED_VALUE"""),"Cardápio Web")</f>
        <v>Cardápio Web</v>
      </c>
      <c r="R5257" s="33">
        <f>IFERROR(__xludf.DUMMYFUNCTION("""COMPUTED_VALUE"""),0.5)</f>
        <v>0.5</v>
      </c>
      <c r="S5257" s="4" t="str">
        <f>IFERROR(__xludf.DUMMYFUNCTION("""COMPUTED_VALUE"""),"Cardápio Web")</f>
        <v>Cardápio Web</v>
      </c>
      <c r="T5257" s="33">
        <f>IFERROR(__xludf.DUMMYFUNCTION("""COMPUTED_VALUE"""),0.5)</f>
        <v>0.5</v>
      </c>
      <c r="U5257" s="4" t="str">
        <f>IFERROR(__xludf.DUMMYFUNCTION("""COMPUTED_VALUE"""),"Cardápio Web")</f>
        <v>Cardápio Web</v>
      </c>
      <c r="V5257" s="33">
        <f>IFERROR(__xludf.DUMMYFUNCTION("""COMPUTED_VALUE"""),0.5)</f>
        <v>0.5</v>
      </c>
      <c r="W5257" s="4" t="str">
        <f>IFERROR(__xludf.DUMMYFUNCTION("""COMPUTED_VALUE"""),"Cardápio Web")</f>
        <v>Cardápio Web</v>
      </c>
      <c r="X5257" s="33">
        <f>IFERROR(__xludf.DUMMYFUNCTION("""COMPUTED_VALUE"""),0.5)</f>
        <v>0.5</v>
      </c>
    </row>
    <row r="5258">
      <c r="K5258" s="4" t="str">
        <f>IFERROR(__xludf.DUMMYFUNCTION("""COMPUTED_VALUE"""),"SUCULENTO BURGUER ARTESANAL")</f>
        <v>SUCULENTO BURGUER ARTESANAL</v>
      </c>
      <c r="L5258" s="32">
        <f>IFERROR(__xludf.DUMMYFUNCTION("""COMPUTED_VALUE"""),2.0)</f>
        <v>2</v>
      </c>
      <c r="M5258" s="4" t="str">
        <f>IFERROR(__xludf.DUMMYFUNCTION("""COMPUTED_VALUE"""),"null")</f>
        <v>null</v>
      </c>
      <c r="N5258" s="33">
        <f>IFERROR(__xludf.DUMMYFUNCTION("""COMPUTED_VALUE"""),0.5)</f>
        <v>0.5</v>
      </c>
      <c r="O5258" s="4" t="str">
        <f>IFERROR(__xludf.DUMMYFUNCTION("""COMPUTED_VALUE"""),"null")</f>
        <v>null</v>
      </c>
      <c r="P5258" s="33">
        <f>IFERROR(__xludf.DUMMYFUNCTION("""COMPUTED_VALUE"""),0.5)</f>
        <v>0.5</v>
      </c>
      <c r="Q5258" s="4" t="str">
        <f>IFERROR(__xludf.DUMMYFUNCTION("""COMPUTED_VALUE"""),"Saipos Serviços De Software")</f>
        <v>Saipos Serviços De Software</v>
      </c>
      <c r="R5258" s="33">
        <f>IFERROR(__xludf.DUMMYFUNCTION("""COMPUTED_VALUE"""),1.0)</f>
        <v>1</v>
      </c>
      <c r="S5258" s="4" t="str">
        <f>IFERROR(__xludf.DUMMYFUNCTION("""COMPUTED_VALUE"""),"Saipos Serviços De Software")</f>
        <v>Saipos Serviços De Software</v>
      </c>
      <c r="T5258" s="33">
        <f>IFERROR(__xludf.DUMMYFUNCTION("""COMPUTED_VALUE"""),1.0)</f>
        <v>1</v>
      </c>
      <c r="U5258" s="4" t="str">
        <f>IFERROR(__xludf.DUMMYFUNCTION("""COMPUTED_VALUE"""),"Saipos Serviços De Software")</f>
        <v>Saipos Serviços De Software</v>
      </c>
      <c r="V5258" s="33">
        <f>IFERROR(__xludf.DUMMYFUNCTION("""COMPUTED_VALUE"""),1.0)</f>
        <v>1</v>
      </c>
      <c r="W5258" s="4" t="str">
        <f>IFERROR(__xludf.DUMMYFUNCTION("""COMPUTED_VALUE"""),"Saipos Serviços De Software")</f>
        <v>Saipos Serviços De Software</v>
      </c>
      <c r="X5258" s="33">
        <f>IFERROR(__xludf.DUMMYFUNCTION("""COMPUTED_VALUE"""),1.0)</f>
        <v>1</v>
      </c>
    </row>
    <row r="5259">
      <c r="K5259" s="4" t="str">
        <f>IFERROR(__xludf.DUMMYFUNCTION("""COMPUTED_VALUE"""),"GRELHADUS BBQ")</f>
        <v>GRELHADUS BBQ</v>
      </c>
      <c r="L5259" s="32">
        <f>IFERROR(__xludf.DUMMYFUNCTION("""COMPUTED_VALUE"""),2.0)</f>
        <v>2</v>
      </c>
      <c r="M5259" s="4" t="str">
        <f>IFERROR(__xludf.DUMMYFUNCTION("""COMPUTED_VALUE"""),"null")</f>
        <v>null</v>
      </c>
      <c r="N5259" s="33">
        <f>IFERROR(__xludf.DUMMYFUNCTION("""COMPUTED_VALUE"""),0.5)</f>
        <v>0.5</v>
      </c>
      <c r="O5259" s="4" t="str">
        <f>IFERROR(__xludf.DUMMYFUNCTION("""COMPUTED_VALUE"""),"Anota Ai Solucoes Digitais S/a")</f>
        <v>Anota Ai Solucoes Digitais S/a</v>
      </c>
      <c r="P5259" s="33">
        <f>IFERROR(__xludf.DUMMYFUNCTION("""COMPUTED_VALUE"""),1.0)</f>
        <v>1</v>
      </c>
      <c r="Q5259" s="4" t="str">
        <f>IFERROR(__xludf.DUMMYFUNCTION("""COMPUTED_VALUE"""),"null")</f>
        <v>null</v>
      </c>
      <c r="R5259" s="33">
        <f>IFERROR(__xludf.DUMMYFUNCTION("""COMPUTED_VALUE"""),1.0)</f>
        <v>1</v>
      </c>
      <c r="S5259" s="4" t="str">
        <f>IFERROR(__xludf.DUMMYFUNCTION("""COMPUTED_VALUE"""),"null")</f>
        <v>null</v>
      </c>
      <c r="T5259" s="33">
        <f>IFERROR(__xludf.DUMMYFUNCTION("""COMPUTED_VALUE"""),1.0)</f>
        <v>1</v>
      </c>
      <c r="U5259" s="4" t="str">
        <f>IFERROR(__xludf.DUMMYFUNCTION("""COMPUTED_VALUE"""),"null")</f>
        <v>null</v>
      </c>
      <c r="V5259" s="33">
        <f>IFERROR(__xludf.DUMMYFUNCTION("""COMPUTED_VALUE"""),1.0)</f>
        <v>1</v>
      </c>
      <c r="W5259" s="4" t="str">
        <f>IFERROR(__xludf.DUMMYFUNCTION("""COMPUTED_VALUE"""),"null")</f>
        <v>null</v>
      </c>
      <c r="X5259" s="33">
        <f>IFERROR(__xludf.DUMMYFUNCTION("""COMPUTED_VALUE"""),1.0)</f>
        <v>1</v>
      </c>
    </row>
    <row r="5260">
      <c r="K5260" s="4" t="str">
        <f>IFERROR(__xludf.DUMMYFUNCTION("""COMPUTED_VALUE"""),"SALADEVITT")</f>
        <v>SALADEVITT</v>
      </c>
      <c r="L5260" s="32">
        <f>IFERROR(__xludf.DUMMYFUNCTION("""COMPUTED_VALUE"""),2.0)</f>
        <v>2</v>
      </c>
      <c r="M5260" s="4" t="str">
        <f>IFERROR(__xludf.DUMMYFUNCTION("""COMPUTED_VALUE"""),"null")</f>
        <v>null</v>
      </c>
      <c r="N5260" s="33">
        <f>IFERROR(__xludf.DUMMYFUNCTION("""COMPUTED_VALUE"""),0.5)</f>
        <v>0.5</v>
      </c>
      <c r="O5260" s="4" t="str">
        <f>IFERROR(__xludf.DUMMYFUNCTION("""COMPUTED_VALUE"""),"Cardápio Web")</f>
        <v>Cardápio Web</v>
      </c>
      <c r="P5260" s="33">
        <f>IFERROR(__xludf.DUMMYFUNCTION("""COMPUTED_VALUE"""),1.0)</f>
        <v>1</v>
      </c>
      <c r="Q5260" s="4" t="str">
        <f>IFERROR(__xludf.DUMMYFUNCTION("""COMPUTED_VALUE"""),"Cardápio Web")</f>
        <v>Cardápio Web</v>
      </c>
      <c r="R5260" s="33">
        <f>IFERROR(__xludf.DUMMYFUNCTION("""COMPUTED_VALUE"""),0.5)</f>
        <v>0.5</v>
      </c>
      <c r="S5260" s="4" t="str">
        <f>IFERROR(__xludf.DUMMYFUNCTION("""COMPUTED_VALUE"""),"Cardápio Web")</f>
        <v>Cardápio Web</v>
      </c>
      <c r="T5260" s="33">
        <f>IFERROR(__xludf.DUMMYFUNCTION("""COMPUTED_VALUE"""),0.5)</f>
        <v>0.5</v>
      </c>
      <c r="U5260" s="4" t="str">
        <f>IFERROR(__xludf.DUMMYFUNCTION("""COMPUTED_VALUE"""),"Cardápio Web")</f>
        <v>Cardápio Web</v>
      </c>
      <c r="V5260" s="33">
        <f>IFERROR(__xludf.DUMMYFUNCTION("""COMPUTED_VALUE"""),0.5)</f>
        <v>0.5</v>
      </c>
      <c r="W5260" s="4" t="str">
        <f>IFERROR(__xludf.DUMMYFUNCTION("""COMPUTED_VALUE"""),"Cardápio Web")</f>
        <v>Cardápio Web</v>
      </c>
      <c r="X5260" s="33">
        <f>IFERROR(__xludf.DUMMYFUNCTION("""COMPUTED_VALUE"""),0.5)</f>
        <v>0.5</v>
      </c>
    </row>
    <row r="5261">
      <c r="K5261" s="4" t="str">
        <f>IFERROR(__xludf.DUMMYFUNCTION("""COMPUTED_VALUE"""),"RELIQUIA BRASA BURGUER")</f>
        <v>RELIQUIA BRASA BURGUER</v>
      </c>
      <c r="L5261" s="32">
        <f>IFERROR(__xludf.DUMMYFUNCTION("""COMPUTED_VALUE"""),2.0)</f>
        <v>2</v>
      </c>
      <c r="M5261" s="4" t="str">
        <f>IFERROR(__xludf.DUMMYFUNCTION("""COMPUTED_VALUE"""),"null")</f>
        <v>null</v>
      </c>
      <c r="N5261" s="33">
        <f>IFERROR(__xludf.DUMMYFUNCTION("""COMPUTED_VALUE"""),1.0)</f>
        <v>1</v>
      </c>
      <c r="O5261" s="4" t="str">
        <f>IFERROR(__xludf.DUMMYFUNCTION("""COMPUTED_VALUE"""),"null")</f>
        <v>null</v>
      </c>
      <c r="P5261" s="33">
        <f>IFERROR(__xludf.DUMMYFUNCTION("""COMPUTED_VALUE"""),1.0)</f>
        <v>1</v>
      </c>
      <c r="Q5261" s="4" t="str">
        <f>IFERROR(__xludf.DUMMYFUNCTION("""COMPUTED_VALUE"""),"null")</f>
        <v>null</v>
      </c>
      <c r="R5261" s="33">
        <f>IFERROR(__xludf.DUMMYFUNCTION("""COMPUTED_VALUE"""),1.0)</f>
        <v>1</v>
      </c>
      <c r="S5261" s="4" t="str">
        <f>IFERROR(__xludf.DUMMYFUNCTION("""COMPUTED_VALUE"""),"null")</f>
        <v>null</v>
      </c>
      <c r="T5261" s="33">
        <f>IFERROR(__xludf.DUMMYFUNCTION("""COMPUTED_VALUE"""),1.0)</f>
        <v>1</v>
      </c>
      <c r="U5261" s="4" t="str">
        <f>IFERROR(__xludf.DUMMYFUNCTION("""COMPUTED_VALUE"""),"null")</f>
        <v>null</v>
      </c>
      <c r="V5261" s="33">
        <f>IFERROR(__xludf.DUMMYFUNCTION("""COMPUTED_VALUE"""),1.0)</f>
        <v>1</v>
      </c>
      <c r="W5261" s="4" t="str">
        <f>IFERROR(__xludf.DUMMYFUNCTION("""COMPUTED_VALUE"""),"Brendi")</f>
        <v>Brendi</v>
      </c>
      <c r="X5261" s="33">
        <f>IFERROR(__xludf.DUMMYFUNCTION("""COMPUTED_VALUE"""),1.0)</f>
        <v>1</v>
      </c>
    </row>
    <row r="5262">
      <c r="K5262" s="4" t="str">
        <f>IFERROR(__xludf.DUMMYFUNCTION("""COMPUTED_VALUE"""),"MERCADO JK")</f>
        <v>MERCADO JK</v>
      </c>
      <c r="L5262" s="32">
        <f>IFERROR(__xludf.DUMMYFUNCTION("""COMPUTED_VALUE"""),2.0)</f>
        <v>2</v>
      </c>
      <c r="M5262" s="4" t="str">
        <f>IFERROR(__xludf.DUMMYFUNCTION("""COMPUTED_VALUE"""),"N/A (Not found)")</f>
        <v>N/A (Not found)</v>
      </c>
      <c r="N5262" s="33">
        <f>IFERROR(__xludf.DUMMYFUNCTION("""COMPUTED_VALUE"""),1.0)</f>
        <v>1</v>
      </c>
      <c r="O5262" s="4" t="str">
        <f>IFERROR(__xludf.DUMMYFUNCTION("""COMPUTED_VALUE"""),"N/A (Not found)")</f>
        <v>N/A (Not found)</v>
      </c>
      <c r="P5262" s="33">
        <f>IFERROR(__xludf.DUMMYFUNCTION("""COMPUTED_VALUE"""),1.0)</f>
        <v>1</v>
      </c>
      <c r="Q5262" s="4" t="str">
        <f>IFERROR(__xludf.DUMMYFUNCTION("""COMPUTED_VALUE"""),"N/A (Not found)")</f>
        <v>N/A (Not found)</v>
      </c>
      <c r="R5262" s="33">
        <f>IFERROR(__xludf.DUMMYFUNCTION("""COMPUTED_VALUE"""),0.5)</f>
        <v>0.5</v>
      </c>
      <c r="S5262" s="4" t="str">
        <f>IFERROR(__xludf.DUMMYFUNCTION("""COMPUTED_VALUE"""),"N/A (Not found)")</f>
        <v>N/A (Not found)</v>
      </c>
      <c r="T5262" s="33">
        <f>IFERROR(__xludf.DUMMYFUNCTION("""COMPUTED_VALUE"""),0.5)</f>
        <v>0.5</v>
      </c>
      <c r="U5262" s="4" t="str">
        <f>IFERROR(__xludf.DUMMYFUNCTION("""COMPUTED_VALUE"""),"N/A (Not found)")</f>
        <v>N/A (Not found)</v>
      </c>
      <c r="V5262" s="33">
        <f>IFERROR(__xludf.DUMMYFUNCTION("""COMPUTED_VALUE"""),0.5)</f>
        <v>0.5</v>
      </c>
      <c r="W5262" s="4" t="str">
        <f>IFERROR(__xludf.DUMMYFUNCTION("""COMPUTED_VALUE"""),"N/A (Not found)")</f>
        <v>N/A (Not found)</v>
      </c>
      <c r="X5262" s="33">
        <f>IFERROR(__xludf.DUMMYFUNCTION("""COMPUTED_VALUE"""),0.5)</f>
        <v>0.5</v>
      </c>
    </row>
    <row r="5263">
      <c r="K5263" s="4" t="str">
        <f>IFERROR(__xludf.DUMMYFUNCTION("""COMPUTED_VALUE"""),"DANIEL LANCHES")</f>
        <v>DANIEL LANCHES</v>
      </c>
      <c r="L5263" s="32">
        <f>IFERROR(__xludf.DUMMYFUNCTION("""COMPUTED_VALUE"""),2.0)</f>
        <v>2</v>
      </c>
      <c r="M5263" s="4" t="str">
        <f>IFERROR(__xludf.DUMMYFUNCTION("""COMPUTED_VALUE"""),"null")</f>
        <v>null</v>
      </c>
      <c r="N5263" s="33">
        <f>IFERROR(__xludf.DUMMYFUNCTION("""COMPUTED_VALUE"""),0.5)</f>
        <v>0.5</v>
      </c>
      <c r="O5263" s="4" t="str">
        <f>IFERROR(__xludf.DUMMYFUNCTION("""COMPUTED_VALUE"""),"Osdweb Informatica Ltda  - Panterafood")</f>
        <v>Osdweb Informatica Ltda  - Panterafood</v>
      </c>
      <c r="P5263" s="33">
        <f>IFERROR(__xludf.DUMMYFUNCTION("""COMPUTED_VALUE"""),0.5)</f>
        <v>0.5</v>
      </c>
      <c r="Q5263" s="4" t="str">
        <f>IFERROR(__xludf.DUMMYFUNCTION("""COMPUTED_VALUE"""),"Osdweb Informatica Ltda  - Panterafood")</f>
        <v>Osdweb Informatica Ltda  - Panterafood</v>
      </c>
      <c r="R5263" s="33">
        <f>IFERROR(__xludf.DUMMYFUNCTION("""COMPUTED_VALUE"""),0.5)</f>
        <v>0.5</v>
      </c>
      <c r="S5263" s="4" t="str">
        <f>IFERROR(__xludf.DUMMYFUNCTION("""COMPUTED_VALUE"""),"Anota Ai Solucoes Digitais S/a")</f>
        <v>Anota Ai Solucoes Digitais S/a</v>
      </c>
      <c r="T5263" s="33">
        <f>IFERROR(__xludf.DUMMYFUNCTION("""COMPUTED_VALUE"""),0.5)</f>
        <v>0.5</v>
      </c>
      <c r="U5263" s="4" t="str">
        <f>IFERROR(__xludf.DUMMYFUNCTION("""COMPUTED_VALUE"""),"Saipos Serviços De Software")</f>
        <v>Saipos Serviços De Software</v>
      </c>
      <c r="V5263" s="33">
        <f>IFERROR(__xludf.DUMMYFUNCTION("""COMPUTED_VALUE"""),0.5)</f>
        <v>0.5</v>
      </c>
      <c r="W5263" s="4" t="str">
        <f>IFERROR(__xludf.DUMMYFUNCTION("""COMPUTED_VALUE"""),"Saipos Serviços De Software")</f>
        <v>Saipos Serviços De Software</v>
      </c>
      <c r="X5263" s="33">
        <f>IFERROR(__xludf.DUMMYFUNCTION("""COMPUTED_VALUE"""),0.5)</f>
        <v>0.5</v>
      </c>
    </row>
    <row r="5264">
      <c r="K5264" s="4" t="str">
        <f>IFERROR(__xludf.DUMMYFUNCTION("""COMPUTED_VALUE"""),"EL JAPO - SUSHI FUSION FOOD")</f>
        <v>EL JAPO - SUSHI FUSION FOOD</v>
      </c>
      <c r="L5264" s="32">
        <f>IFERROR(__xludf.DUMMYFUNCTION("""COMPUTED_VALUE"""),2.0)</f>
        <v>2</v>
      </c>
      <c r="M5264" s="4" t="str">
        <f>IFERROR(__xludf.DUMMYFUNCTION("""COMPUTED_VALUE"""),"Yooga")</f>
        <v>Yooga</v>
      </c>
      <c r="N5264" s="33">
        <f>IFERROR(__xludf.DUMMYFUNCTION("""COMPUTED_VALUE"""),1.0)</f>
        <v>1</v>
      </c>
      <c r="O5264" s="4" t="str">
        <f>IFERROR(__xludf.DUMMYFUNCTION("""COMPUTED_VALUE"""),"Yooga")</f>
        <v>Yooga</v>
      </c>
      <c r="P5264" s="33">
        <f>IFERROR(__xludf.DUMMYFUNCTION("""COMPUTED_VALUE"""),1.0)</f>
        <v>1</v>
      </c>
      <c r="Q5264" s="4" t="str">
        <f>IFERROR(__xludf.DUMMYFUNCTION("""COMPUTED_VALUE"""),"Yooga")</f>
        <v>Yooga</v>
      </c>
      <c r="R5264" s="33">
        <f>IFERROR(__xludf.DUMMYFUNCTION("""COMPUTED_VALUE"""),1.0)</f>
        <v>1</v>
      </c>
      <c r="S5264" s="4" t="str">
        <f>IFERROR(__xludf.DUMMYFUNCTION("""COMPUTED_VALUE"""),"Yooga")</f>
        <v>Yooga</v>
      </c>
      <c r="T5264" s="33">
        <f>IFERROR(__xludf.DUMMYFUNCTION("""COMPUTED_VALUE"""),1.0)</f>
        <v>1</v>
      </c>
      <c r="U5264" s="4" t="str">
        <f>IFERROR(__xludf.DUMMYFUNCTION("""COMPUTED_VALUE"""),"Yooga")</f>
        <v>Yooga</v>
      </c>
      <c r="V5264" s="33">
        <f>IFERROR(__xludf.DUMMYFUNCTION("""COMPUTED_VALUE"""),1.0)</f>
        <v>1</v>
      </c>
      <c r="W5264" s="4" t="str">
        <f>IFERROR(__xludf.DUMMYFUNCTION("""COMPUTED_VALUE"""),"Yooga")</f>
        <v>Yooga</v>
      </c>
      <c r="X5264" s="33">
        <f>IFERROR(__xludf.DUMMYFUNCTION("""COMPUTED_VALUE"""),1.0)</f>
        <v>1</v>
      </c>
    </row>
    <row r="5265">
      <c r="K5265" s="4" t="str">
        <f>IFERROR(__xludf.DUMMYFUNCTION("""COMPUTED_VALUE"""),"MAIS QUE POKE")</f>
        <v>MAIS QUE POKE</v>
      </c>
      <c r="L5265" s="32">
        <f>IFERROR(__xludf.DUMMYFUNCTION("""COMPUTED_VALUE"""),2.0)</f>
        <v>2</v>
      </c>
      <c r="M5265" s="4" t="str">
        <f>IFERROR(__xludf.DUMMYFUNCTION("""COMPUTED_VALUE"""),"Work Soft Comercio De Informatica E Serviços Eireli - Me")</f>
        <v>Work Soft Comercio De Informatica E Serviços Eireli - Me</v>
      </c>
      <c r="N5265" s="33">
        <f>IFERROR(__xludf.DUMMYFUNCTION("""COMPUTED_VALUE"""),1.0)</f>
        <v>1</v>
      </c>
      <c r="O5265" s="4" t="str">
        <f>IFERROR(__xludf.DUMMYFUNCTION("""COMPUTED_VALUE"""),"Work Soft Comercio De Informatica E Serviços Eireli - Me")</f>
        <v>Work Soft Comercio De Informatica E Serviços Eireli - Me</v>
      </c>
      <c r="P5265" s="33">
        <f>IFERROR(__xludf.DUMMYFUNCTION("""COMPUTED_VALUE"""),1.0)</f>
        <v>1</v>
      </c>
      <c r="Q5265" s="4" t="str">
        <f>IFERROR(__xludf.DUMMYFUNCTION("""COMPUTED_VALUE"""),"Work Soft Comercio De Informatica E Serviços Eireli - Me")</f>
        <v>Work Soft Comercio De Informatica E Serviços Eireli - Me</v>
      </c>
      <c r="R5265" s="33">
        <f>IFERROR(__xludf.DUMMYFUNCTION("""COMPUTED_VALUE"""),1.0)</f>
        <v>1</v>
      </c>
      <c r="S5265" s="4" t="str">
        <f>IFERROR(__xludf.DUMMYFUNCTION("""COMPUTED_VALUE"""),"Work Soft Comercio De Informatica E Serviços Eireli - Me")</f>
        <v>Work Soft Comercio De Informatica E Serviços Eireli - Me</v>
      </c>
      <c r="T5265" s="33">
        <f>IFERROR(__xludf.DUMMYFUNCTION("""COMPUTED_VALUE"""),1.0)</f>
        <v>1</v>
      </c>
      <c r="U5265" s="4" t="str">
        <f>IFERROR(__xludf.DUMMYFUNCTION("""COMPUTED_VALUE"""),"Work Soft Comercio De Informatica E Serviços Eireli - Me")</f>
        <v>Work Soft Comercio De Informatica E Serviços Eireli - Me</v>
      </c>
      <c r="V5265" s="33">
        <f>IFERROR(__xludf.DUMMYFUNCTION("""COMPUTED_VALUE"""),1.0)</f>
        <v>1</v>
      </c>
      <c r="W5265" s="4" t="str">
        <f>IFERROR(__xludf.DUMMYFUNCTION("""COMPUTED_VALUE"""),"Work Soft Comercio De Informatica E Serviços Eireli - Me")</f>
        <v>Work Soft Comercio De Informatica E Serviços Eireli - Me</v>
      </c>
      <c r="X5265" s="33">
        <f>IFERROR(__xludf.DUMMYFUNCTION("""COMPUTED_VALUE"""),1.0)</f>
        <v>1</v>
      </c>
    </row>
    <row r="5266">
      <c r="K5266" s="4" t="str">
        <f>IFERROR(__xludf.DUMMYFUNCTION("""COMPUTED_VALUE"""),"ACAI DO REINO")</f>
        <v>ACAI DO REINO</v>
      </c>
      <c r="L5266" s="32">
        <f>IFERROR(__xludf.DUMMYFUNCTION("""COMPUTED_VALUE"""),2.0)</f>
        <v>2</v>
      </c>
      <c r="M5266" s="4" t="str">
        <f>IFERROR(__xludf.DUMMYFUNCTION("""COMPUTED_VALUE"""),"null")</f>
        <v>null</v>
      </c>
      <c r="N5266" s="33">
        <f>IFERROR(__xludf.DUMMYFUNCTION("""COMPUTED_VALUE"""),0.5)</f>
        <v>0.5</v>
      </c>
      <c r="O5266" s="4" t="str">
        <f>IFERROR(__xludf.DUMMYFUNCTION("""COMPUTED_VALUE"""),"M-du Tecnologia")</f>
        <v>M-du Tecnologia</v>
      </c>
      <c r="P5266" s="33">
        <f>IFERROR(__xludf.DUMMYFUNCTION("""COMPUTED_VALUE"""),0.5)</f>
        <v>0.5</v>
      </c>
      <c r="Q5266" s="4" t="str">
        <f>IFERROR(__xludf.DUMMYFUNCTION("""COMPUTED_VALUE"""),"M-du Tecnologia")</f>
        <v>M-du Tecnologia</v>
      </c>
      <c r="R5266" s="33">
        <f>IFERROR(__xludf.DUMMYFUNCTION("""COMPUTED_VALUE"""),0.5)</f>
        <v>0.5</v>
      </c>
      <c r="S5266" s="4" t="str">
        <f>IFERROR(__xludf.DUMMYFUNCTION("""COMPUTED_VALUE"""),"null")</f>
        <v>null</v>
      </c>
      <c r="T5266" s="33">
        <f>IFERROR(__xludf.DUMMYFUNCTION("""COMPUTED_VALUE"""),0.5)</f>
        <v>0.5</v>
      </c>
      <c r="U5266" s="4" t="str">
        <f>IFERROR(__xludf.DUMMYFUNCTION("""COMPUTED_VALUE"""),"null")</f>
        <v>null</v>
      </c>
      <c r="V5266" s="33">
        <f>IFERROR(__xludf.DUMMYFUNCTION("""COMPUTED_VALUE"""),0.5)</f>
        <v>0.5</v>
      </c>
      <c r="W5266" s="4" t="str">
        <f>IFERROR(__xludf.DUMMYFUNCTION("""COMPUTED_VALUE"""),"null")</f>
        <v>null</v>
      </c>
      <c r="X5266" s="33">
        <f>IFERROR(__xludf.DUMMYFUNCTION("""COMPUTED_VALUE"""),0.5)</f>
        <v>0.5</v>
      </c>
    </row>
    <row r="5267">
      <c r="K5267" s="4" t="str">
        <f>IFERROR(__xludf.DUMMYFUNCTION("""COMPUTED_VALUE"""),"ZE BEBIDAS")</f>
        <v>ZE BEBIDAS</v>
      </c>
      <c r="L5267" s="32">
        <f>IFERROR(__xludf.DUMMYFUNCTION("""COMPUTED_VALUE"""),2.0)</f>
        <v>2</v>
      </c>
      <c r="M5267" s="4" t="str">
        <f>IFERROR(__xludf.DUMMYFUNCTION("""COMPUTED_VALUE"""),"null")</f>
        <v>null</v>
      </c>
      <c r="N5267" s="33">
        <f>IFERROR(__xludf.DUMMYFUNCTION("""COMPUTED_VALUE"""),1.0)</f>
        <v>1</v>
      </c>
      <c r="O5267" s="4" t="str">
        <f>IFERROR(__xludf.DUMMYFUNCTION("""COMPUTED_VALUE"""),"null")</f>
        <v>null</v>
      </c>
      <c r="P5267" s="33">
        <f>IFERROR(__xludf.DUMMYFUNCTION("""COMPUTED_VALUE"""),1.0)</f>
        <v>1</v>
      </c>
      <c r="Q5267" s="4" t="str">
        <f>IFERROR(__xludf.DUMMYFUNCTION("""COMPUTED_VALUE"""),"Sti3 Soluções Em Ti")</f>
        <v>Sti3 Soluções Em Ti</v>
      </c>
      <c r="R5267" s="33">
        <f>IFERROR(__xludf.DUMMYFUNCTION("""COMPUTED_VALUE"""),0.5)</f>
        <v>0.5</v>
      </c>
      <c r="S5267" s="4" t="str">
        <f>IFERROR(__xludf.DUMMYFUNCTION("""COMPUTED_VALUE"""),"Sti3 Soluções Em Ti")</f>
        <v>Sti3 Soluções Em Ti</v>
      </c>
      <c r="T5267" s="33">
        <f>IFERROR(__xludf.DUMMYFUNCTION("""COMPUTED_VALUE"""),0.5)</f>
        <v>0.5</v>
      </c>
      <c r="U5267" s="4" t="str">
        <f>IFERROR(__xludf.DUMMYFUNCTION("""COMPUTED_VALUE"""),"null")</f>
        <v>null</v>
      </c>
      <c r="V5267" s="33">
        <f>IFERROR(__xludf.DUMMYFUNCTION("""COMPUTED_VALUE"""),0.5)</f>
        <v>0.5</v>
      </c>
      <c r="W5267" s="4" t="str">
        <f>IFERROR(__xludf.DUMMYFUNCTION("""COMPUTED_VALUE"""),"null")</f>
        <v>null</v>
      </c>
      <c r="X5267" s="33">
        <f>IFERROR(__xludf.DUMMYFUNCTION("""COMPUTED_VALUE"""),0.5)</f>
        <v>0.5</v>
      </c>
    </row>
    <row r="5268">
      <c r="K5268" s="4" t="str">
        <f>IFERROR(__xludf.DUMMYFUNCTION("""COMPUTED_VALUE"""),"BRUTUS SANTA RITA")</f>
        <v>BRUTUS SANTA RITA</v>
      </c>
      <c r="L5268" s="32">
        <f>IFERROR(__xludf.DUMMYFUNCTION("""COMPUTED_VALUE"""),2.0)</f>
        <v>2</v>
      </c>
      <c r="M5268" s="4" t="str">
        <f>IFERROR(__xludf.DUMMYFUNCTION("""COMPUTED_VALUE"""),"Dev10 Soluções Em Sotfware Ltda")</f>
        <v>Dev10 Soluções Em Sotfware Ltda</v>
      </c>
      <c r="N5268" s="33">
        <f>IFERROR(__xludf.DUMMYFUNCTION("""COMPUTED_VALUE"""),0.5)</f>
        <v>0.5</v>
      </c>
      <c r="O5268" s="4" t="str">
        <f>IFERROR(__xludf.DUMMYFUNCTION("""COMPUTED_VALUE"""),"null")</f>
        <v>null</v>
      </c>
      <c r="P5268" s="33">
        <f>IFERROR(__xludf.DUMMYFUNCTION("""COMPUTED_VALUE"""),1.0)</f>
        <v>1</v>
      </c>
      <c r="Q5268" s="4" t="str">
        <f>IFERROR(__xludf.DUMMYFUNCTION("""COMPUTED_VALUE"""),"null")</f>
        <v>null</v>
      </c>
      <c r="R5268" s="33">
        <f>IFERROR(__xludf.DUMMYFUNCTION("""COMPUTED_VALUE"""),0.5)</f>
        <v>0.5</v>
      </c>
      <c r="S5268" s="4" t="str">
        <f>IFERROR(__xludf.DUMMYFUNCTION("""COMPUTED_VALUE"""),"null")</f>
        <v>null</v>
      </c>
      <c r="T5268" s="33">
        <f>IFERROR(__xludf.DUMMYFUNCTION("""COMPUTED_VALUE"""),0.5)</f>
        <v>0.5</v>
      </c>
      <c r="U5268" s="4" t="str">
        <f>IFERROR(__xludf.DUMMYFUNCTION("""COMPUTED_VALUE"""),"null")</f>
        <v>null</v>
      </c>
      <c r="V5268" s="33">
        <f>IFERROR(__xludf.DUMMYFUNCTION("""COMPUTED_VALUE"""),0.5)</f>
        <v>0.5</v>
      </c>
      <c r="W5268" s="4" t="str">
        <f>IFERROR(__xludf.DUMMYFUNCTION("""COMPUTED_VALUE"""),"null")</f>
        <v>null</v>
      </c>
      <c r="X5268" s="33">
        <f>IFERROR(__xludf.DUMMYFUNCTION("""COMPUTED_VALUE"""),0.5)</f>
        <v>0.5</v>
      </c>
    </row>
    <row r="5269">
      <c r="K5269" s="4" t="str">
        <f>IFERROR(__xludf.DUMMYFUNCTION("""COMPUTED_VALUE"""),"VERDADEIRA PIZZERIA")</f>
        <v>VERDADEIRA PIZZERIA</v>
      </c>
      <c r="L5269" s="32">
        <f>IFERROR(__xludf.DUMMYFUNCTION("""COMPUTED_VALUE"""),2.0)</f>
        <v>2</v>
      </c>
      <c r="M5269" s="4" t="str">
        <f>IFERROR(__xludf.DUMMYFUNCTION("""COMPUTED_VALUE"""),"Saipos Serviços De Software")</f>
        <v>Saipos Serviços De Software</v>
      </c>
      <c r="N5269" s="33">
        <f>IFERROR(__xludf.DUMMYFUNCTION("""COMPUTED_VALUE"""),1.0)</f>
        <v>1</v>
      </c>
      <c r="O5269" s="4" t="str">
        <f>IFERROR(__xludf.DUMMYFUNCTION("""COMPUTED_VALUE"""),"Saipos Serviços De Software")</f>
        <v>Saipos Serviços De Software</v>
      </c>
      <c r="P5269" s="33">
        <f>IFERROR(__xludf.DUMMYFUNCTION("""COMPUTED_VALUE"""),1.0)</f>
        <v>1</v>
      </c>
      <c r="Q5269" s="4" t="str">
        <f>IFERROR(__xludf.DUMMYFUNCTION("""COMPUTED_VALUE"""),"Saipos Serviços De Software")</f>
        <v>Saipos Serviços De Software</v>
      </c>
      <c r="R5269" s="33">
        <f>IFERROR(__xludf.DUMMYFUNCTION("""COMPUTED_VALUE"""),1.0)</f>
        <v>1</v>
      </c>
      <c r="S5269" s="4" t="str">
        <f>IFERROR(__xludf.DUMMYFUNCTION("""COMPUTED_VALUE"""),"null")</f>
        <v>null</v>
      </c>
      <c r="T5269" s="33">
        <f>IFERROR(__xludf.DUMMYFUNCTION("""COMPUTED_VALUE"""),0.5)</f>
        <v>0.5</v>
      </c>
      <c r="U5269" s="4" t="str">
        <f>IFERROR(__xludf.DUMMYFUNCTION("""COMPUTED_VALUE"""),"null")</f>
        <v>null</v>
      </c>
      <c r="V5269" s="33">
        <f>IFERROR(__xludf.DUMMYFUNCTION("""COMPUTED_VALUE"""),0.5)</f>
        <v>0.5</v>
      </c>
      <c r="W5269" s="4" t="str">
        <f>IFERROR(__xludf.DUMMYFUNCTION("""COMPUTED_VALUE"""),"null")</f>
        <v>null</v>
      </c>
      <c r="X5269" s="33">
        <f>IFERROR(__xludf.DUMMYFUNCTION("""COMPUTED_VALUE"""),0.5)</f>
        <v>0.5</v>
      </c>
    </row>
    <row r="5270">
      <c r="K5270" s="4" t="str">
        <f>IFERROR(__xludf.DUMMYFUNCTION("""COMPUTED_VALUE"""),"SP FARMA")</f>
        <v>SP FARMA</v>
      </c>
      <c r="L5270" s="32">
        <f>IFERROR(__xludf.DUMMYFUNCTION("""COMPUTED_VALUE"""),2.0)</f>
        <v>2</v>
      </c>
      <c r="M5270" s="4" t="str">
        <f>IFERROR(__xludf.DUMMYFUNCTION("""COMPUTED_VALUE"""),"null")</f>
        <v>null</v>
      </c>
      <c r="N5270" s="33">
        <f>IFERROR(__xludf.DUMMYFUNCTION("""COMPUTED_VALUE"""),0.5)</f>
        <v>0.5</v>
      </c>
      <c r="O5270" s="4" t="str">
        <f>IFERROR(__xludf.DUMMYFUNCTION("""COMPUTED_VALUE"""),"null")</f>
        <v>null</v>
      </c>
      <c r="P5270" s="33">
        <f>IFERROR(__xludf.DUMMYFUNCTION("""COMPUTED_VALUE"""),0.5)</f>
        <v>0.5</v>
      </c>
      <c r="Q5270" s="4" t="str">
        <f>IFERROR(__xludf.DUMMYFUNCTION("""COMPUTED_VALUE"""),"null")</f>
        <v>null</v>
      </c>
      <c r="R5270" s="33">
        <f>IFERROR(__xludf.DUMMYFUNCTION("""COMPUTED_VALUE"""),0.5)</f>
        <v>0.5</v>
      </c>
      <c r="S5270" s="4" t="str">
        <f>IFERROR(__xludf.DUMMYFUNCTION("""COMPUTED_VALUE"""),"N/A (Not found)")</f>
        <v>N/A (Not found)</v>
      </c>
      <c r="T5270" s="33">
        <f>IFERROR(__xludf.DUMMYFUNCTION("""COMPUTED_VALUE"""),1.0)</f>
        <v>1</v>
      </c>
      <c r="U5270" s="4" t="str">
        <f>IFERROR(__xludf.DUMMYFUNCTION("""COMPUTED_VALUE"""),"N/A (Not found)")</f>
        <v>N/A (Not found)</v>
      </c>
      <c r="V5270" s="33">
        <f>IFERROR(__xludf.DUMMYFUNCTION("""COMPUTED_VALUE"""),1.0)</f>
        <v>1</v>
      </c>
      <c r="W5270" s="4" t="str">
        <f>IFERROR(__xludf.DUMMYFUNCTION("""COMPUTED_VALUE"""),"N/A (Not found)")</f>
        <v>N/A (Not found)</v>
      </c>
      <c r="X5270" s="33">
        <f>IFERROR(__xludf.DUMMYFUNCTION("""COMPUTED_VALUE"""),1.0)</f>
        <v>1</v>
      </c>
    </row>
    <row r="5271">
      <c r="K5271" s="4" t="str">
        <f>IFERROR(__xludf.DUMMYFUNCTION("""COMPUTED_VALUE"""),"REI DO SUSHI DELIVERY")</f>
        <v>REI DO SUSHI DELIVERY</v>
      </c>
      <c r="L5271" s="32">
        <f>IFERROR(__xludf.DUMMYFUNCTION("""COMPUTED_VALUE"""),2.0)</f>
        <v>2</v>
      </c>
      <c r="M5271" s="4" t="str">
        <f>IFERROR(__xludf.DUMMYFUNCTION("""COMPUTED_VALUE"""),"Saipos Serviços De Software")</f>
        <v>Saipos Serviços De Software</v>
      </c>
      <c r="N5271" s="33">
        <f>IFERROR(__xludf.DUMMYFUNCTION("""COMPUTED_VALUE"""),0.5)</f>
        <v>0.5</v>
      </c>
      <c r="O5271" s="4" t="str">
        <f>IFERROR(__xludf.DUMMYFUNCTION("""COMPUTED_VALUE"""),"Saipos Serviços De Software")</f>
        <v>Saipos Serviços De Software</v>
      </c>
      <c r="P5271" s="33">
        <f>IFERROR(__xludf.DUMMYFUNCTION("""COMPUTED_VALUE"""),0.5)</f>
        <v>0.5</v>
      </c>
      <c r="Q5271" s="4" t="str">
        <f>IFERROR(__xludf.DUMMYFUNCTION("""COMPUTED_VALUE"""),"Saipos Serviços De Software")</f>
        <v>Saipos Serviços De Software</v>
      </c>
      <c r="R5271" s="33">
        <f>IFERROR(__xludf.DUMMYFUNCTION("""COMPUTED_VALUE"""),0.5)</f>
        <v>0.5</v>
      </c>
      <c r="S5271" s="4" t="str">
        <f>IFERROR(__xludf.DUMMYFUNCTION("""COMPUTED_VALUE"""),"Saipos Serviços De Software")</f>
        <v>Saipos Serviços De Software</v>
      </c>
      <c r="T5271" s="33">
        <f>IFERROR(__xludf.DUMMYFUNCTION("""COMPUTED_VALUE"""),0.5)</f>
        <v>0.5</v>
      </c>
      <c r="U5271" s="4" t="str">
        <f>IFERROR(__xludf.DUMMYFUNCTION("""COMPUTED_VALUE"""),"null")</f>
        <v>null</v>
      </c>
      <c r="V5271" s="33">
        <f>IFERROR(__xludf.DUMMYFUNCTION("""COMPUTED_VALUE"""),0.5)</f>
        <v>0.5</v>
      </c>
      <c r="W5271" s="4" t="str">
        <f>IFERROR(__xludf.DUMMYFUNCTION("""COMPUTED_VALUE"""),"null")</f>
        <v>null</v>
      </c>
      <c r="X5271" s="33">
        <f>IFERROR(__xludf.DUMMYFUNCTION("""COMPUTED_VALUE"""),0.5)</f>
        <v>0.5</v>
      </c>
    </row>
    <row r="5272">
      <c r="K5272" s="4" t="str">
        <f>IFERROR(__xludf.DUMMYFUNCTION("""COMPUTED_VALUE"""),"MILKSHAKES E TAPIOCAS DI MATTEO")</f>
        <v>MILKSHAKES E TAPIOCAS DI MATTEO</v>
      </c>
      <c r="L5272" s="32">
        <f>IFERROR(__xludf.DUMMYFUNCTION("""COMPUTED_VALUE"""),2.0)</f>
        <v>2</v>
      </c>
      <c r="M5272" s="4" t="str">
        <f>IFERROR(__xludf.DUMMYFUNCTION("""COMPUTED_VALUE"""),"Alfa Labs")</f>
        <v>Alfa Labs</v>
      </c>
      <c r="N5272" s="33">
        <f>IFERROR(__xludf.DUMMYFUNCTION("""COMPUTED_VALUE"""),0.5)</f>
        <v>0.5</v>
      </c>
      <c r="O5272" s="4" t="str">
        <f>IFERROR(__xludf.DUMMYFUNCTION("""COMPUTED_VALUE"""),"Alfa Labs")</f>
        <v>Alfa Labs</v>
      </c>
      <c r="P5272" s="33">
        <f>IFERROR(__xludf.DUMMYFUNCTION("""COMPUTED_VALUE"""),0.5)</f>
        <v>0.5</v>
      </c>
      <c r="Q5272" s="4" t="str">
        <f>IFERROR(__xludf.DUMMYFUNCTION("""COMPUTED_VALUE"""),"Alfa Labs")</f>
        <v>Alfa Labs</v>
      </c>
      <c r="R5272" s="33">
        <f>IFERROR(__xludf.DUMMYFUNCTION("""COMPUTED_VALUE"""),1.0)</f>
        <v>1</v>
      </c>
      <c r="S5272" s="4" t="str">
        <f>IFERROR(__xludf.DUMMYFUNCTION("""COMPUTED_VALUE"""),"Alfa Labs")</f>
        <v>Alfa Labs</v>
      </c>
      <c r="T5272" s="33">
        <f>IFERROR(__xludf.DUMMYFUNCTION("""COMPUTED_VALUE"""),1.0)</f>
        <v>1</v>
      </c>
      <c r="U5272" s="4" t="str">
        <f>IFERROR(__xludf.DUMMYFUNCTION("""COMPUTED_VALUE"""),"Alfa Labs")</f>
        <v>Alfa Labs</v>
      </c>
      <c r="V5272" s="33">
        <f>IFERROR(__xludf.DUMMYFUNCTION("""COMPUTED_VALUE"""),1.0)</f>
        <v>1</v>
      </c>
      <c r="W5272" s="4" t="str">
        <f>IFERROR(__xludf.DUMMYFUNCTION("""COMPUTED_VALUE"""),"Alfa Labs")</f>
        <v>Alfa Labs</v>
      </c>
      <c r="X5272" s="33">
        <f>IFERROR(__xludf.DUMMYFUNCTION("""COMPUTED_VALUE"""),0.5)</f>
        <v>0.5</v>
      </c>
    </row>
    <row r="5273">
      <c r="K5273" s="4" t="str">
        <f>IFERROR(__xludf.DUMMYFUNCTION("""COMPUTED_VALUE"""),"CUIDADOS FRESH FOOD - COMIDA SAUDAVEL")</f>
        <v>CUIDADOS FRESH FOOD - COMIDA SAUDAVEL</v>
      </c>
      <c r="L5273" s="32">
        <f>IFERROR(__xludf.DUMMYFUNCTION("""COMPUTED_VALUE"""),2.0)</f>
        <v>2</v>
      </c>
      <c r="M5273" s="4" t="str">
        <f>IFERROR(__xludf.DUMMYFUNCTION("""COMPUTED_VALUE"""),"null")</f>
        <v>null</v>
      </c>
      <c r="N5273" s="33">
        <f>IFERROR(__xludf.DUMMYFUNCTION("""COMPUTED_VALUE"""),0.5)</f>
        <v>0.5</v>
      </c>
      <c r="O5273" s="4" t="str">
        <f>IFERROR(__xludf.DUMMYFUNCTION("""COMPUTED_VALUE"""),"null")</f>
        <v>null</v>
      </c>
      <c r="P5273" s="33">
        <f>IFERROR(__xludf.DUMMYFUNCTION("""COMPUTED_VALUE"""),0.5)</f>
        <v>0.5</v>
      </c>
      <c r="Q5273" s="4" t="str">
        <f>IFERROR(__xludf.DUMMYFUNCTION("""COMPUTED_VALUE"""),"null")</f>
        <v>null</v>
      </c>
      <c r="R5273" s="33">
        <f>IFERROR(__xludf.DUMMYFUNCTION("""COMPUTED_VALUE"""),0.5)</f>
        <v>0.5</v>
      </c>
      <c r="S5273" s="4" t="str">
        <f>IFERROR(__xludf.DUMMYFUNCTION("""COMPUTED_VALUE"""),"null")</f>
        <v>null</v>
      </c>
      <c r="T5273" s="33">
        <f>IFERROR(__xludf.DUMMYFUNCTION("""COMPUTED_VALUE"""),0.5)</f>
        <v>0.5</v>
      </c>
      <c r="U5273" s="4" t="str">
        <f>IFERROR(__xludf.DUMMYFUNCTION("""COMPUTED_VALUE"""),"null")</f>
        <v>null</v>
      </c>
      <c r="V5273" s="33">
        <f>IFERROR(__xludf.DUMMYFUNCTION("""COMPUTED_VALUE"""),0.5)</f>
        <v>0.5</v>
      </c>
      <c r="W5273" s="4" t="str">
        <f>IFERROR(__xludf.DUMMYFUNCTION("""COMPUTED_VALUE"""),"Pdvx")</f>
        <v>Pdvx</v>
      </c>
      <c r="X5273" s="33">
        <f>IFERROR(__xludf.DUMMYFUNCTION("""COMPUTED_VALUE"""),0.5)</f>
        <v>0.5</v>
      </c>
    </row>
    <row r="5274">
      <c r="K5274" s="4" t="str">
        <f>IFERROR(__xludf.DUMMYFUNCTION("""COMPUTED_VALUE"""),"DOCE DE MENINA")</f>
        <v>DOCE DE MENINA</v>
      </c>
      <c r="L5274" s="32">
        <f>IFERROR(__xludf.DUMMYFUNCTION("""COMPUTED_VALUE"""),2.0)</f>
        <v>2</v>
      </c>
      <c r="M5274" s="4" t="str">
        <f>IFERROR(__xludf.DUMMYFUNCTION("""COMPUTED_VALUE"""),"null")</f>
        <v>null</v>
      </c>
      <c r="N5274" s="33">
        <f>IFERROR(__xludf.DUMMYFUNCTION("""COMPUTED_VALUE"""),0.5)</f>
        <v>0.5</v>
      </c>
      <c r="O5274" s="4" t="str">
        <f>IFERROR(__xludf.DUMMYFUNCTION("""COMPUTED_VALUE"""),"null")</f>
        <v>null</v>
      </c>
      <c r="P5274" s="33">
        <f>IFERROR(__xludf.DUMMYFUNCTION("""COMPUTED_VALUE"""),0.5)</f>
        <v>0.5</v>
      </c>
      <c r="Q5274" s="4" t="str">
        <f>IFERROR(__xludf.DUMMYFUNCTION("""COMPUTED_VALUE"""),"Yooga")</f>
        <v>Yooga</v>
      </c>
      <c r="R5274" s="33">
        <f>IFERROR(__xludf.DUMMYFUNCTION("""COMPUTED_VALUE"""),0.5)</f>
        <v>0.5</v>
      </c>
      <c r="S5274" s="4" t="str">
        <f>IFERROR(__xludf.DUMMYFUNCTION("""COMPUTED_VALUE"""),"null")</f>
        <v>null</v>
      </c>
      <c r="T5274" s="33">
        <f>IFERROR(__xludf.DUMMYFUNCTION("""COMPUTED_VALUE"""),0.5)</f>
        <v>0.5</v>
      </c>
      <c r="U5274" s="4" t="str">
        <f>IFERROR(__xludf.DUMMYFUNCTION("""COMPUTED_VALUE"""),"null")</f>
        <v>null</v>
      </c>
      <c r="V5274" s="33">
        <f>IFERROR(__xludf.DUMMYFUNCTION("""COMPUTED_VALUE"""),1.0)</f>
        <v>1</v>
      </c>
      <c r="W5274" s="4" t="str">
        <f>IFERROR(__xludf.DUMMYFUNCTION("""COMPUTED_VALUE"""),"null")</f>
        <v>null</v>
      </c>
      <c r="X5274" s="33">
        <f>IFERROR(__xludf.DUMMYFUNCTION("""COMPUTED_VALUE"""),1.0)</f>
        <v>1</v>
      </c>
    </row>
    <row r="5275">
      <c r="K5275" s="4" t="str">
        <f>IFERROR(__xludf.DUMMYFUNCTION("""COMPUTED_VALUE"""),"POKE IN HOUSE")</f>
        <v>POKE IN HOUSE</v>
      </c>
      <c r="L5275" s="32">
        <f>IFERROR(__xludf.DUMMYFUNCTION("""COMPUTED_VALUE"""),2.0)</f>
        <v>2</v>
      </c>
      <c r="M5275" s="4" t="str">
        <f>IFERROR(__xludf.DUMMYFUNCTION("""COMPUTED_VALUE"""),"Saipos Serviços De Software")</f>
        <v>Saipos Serviços De Software</v>
      </c>
      <c r="N5275" s="33">
        <f>IFERROR(__xludf.DUMMYFUNCTION("""COMPUTED_VALUE"""),0.5)</f>
        <v>0.5</v>
      </c>
      <c r="O5275" s="4" t="str">
        <f>IFERROR(__xludf.DUMMYFUNCTION("""COMPUTED_VALUE"""),"Saipos Serviços De Software")</f>
        <v>Saipos Serviços De Software</v>
      </c>
      <c r="P5275" s="33">
        <f>IFERROR(__xludf.DUMMYFUNCTION("""COMPUTED_VALUE"""),0.5)</f>
        <v>0.5</v>
      </c>
      <c r="Q5275" s="4" t="str">
        <f>IFERROR(__xludf.DUMMYFUNCTION("""COMPUTED_VALUE"""),"Saipos Serviços De Software")</f>
        <v>Saipos Serviços De Software</v>
      </c>
      <c r="R5275" s="33">
        <f>IFERROR(__xludf.DUMMYFUNCTION("""COMPUTED_VALUE"""),0.5)</f>
        <v>0.5</v>
      </c>
      <c r="S5275" s="4" t="str">
        <f>IFERROR(__xludf.DUMMYFUNCTION("""COMPUTED_VALUE"""),"Saipos Serviços De Software")</f>
        <v>Saipos Serviços De Software</v>
      </c>
      <c r="T5275" s="33">
        <f>IFERROR(__xludf.DUMMYFUNCTION("""COMPUTED_VALUE"""),0.5)</f>
        <v>0.5</v>
      </c>
      <c r="U5275" s="4" t="str">
        <f>IFERROR(__xludf.DUMMYFUNCTION("""COMPUTED_VALUE"""),"Saipos Serviços De Software")</f>
        <v>Saipos Serviços De Software</v>
      </c>
      <c r="V5275" s="33">
        <f>IFERROR(__xludf.DUMMYFUNCTION("""COMPUTED_VALUE"""),0.5)</f>
        <v>0.5</v>
      </c>
      <c r="W5275" s="4" t="str">
        <f>IFERROR(__xludf.DUMMYFUNCTION("""COMPUTED_VALUE"""),"null")</f>
        <v>null</v>
      </c>
      <c r="X5275" s="33">
        <f>IFERROR(__xludf.DUMMYFUNCTION("""COMPUTED_VALUE"""),0.5)</f>
        <v>0.5</v>
      </c>
    </row>
    <row r="5276">
      <c r="K5276" s="4" t="str">
        <f>IFERROR(__xludf.DUMMYFUNCTION("""COMPUTED_VALUE"""),"CASA DAS BEBIDAS")</f>
        <v>CASA DAS BEBIDAS</v>
      </c>
      <c r="L5276" s="32">
        <f>IFERROR(__xludf.DUMMYFUNCTION("""COMPUTED_VALUE"""),2.0)</f>
        <v>2</v>
      </c>
      <c r="M5276" s="4" t="str">
        <f>IFERROR(__xludf.DUMMYFUNCTION("""COMPUTED_VALUE"""),"null")</f>
        <v>null</v>
      </c>
      <c r="N5276" s="33">
        <f>IFERROR(__xludf.DUMMYFUNCTION("""COMPUTED_VALUE"""),0.5)</f>
        <v>0.5</v>
      </c>
      <c r="O5276" s="4" t="str">
        <f>IFERROR(__xludf.DUMMYFUNCTION("""COMPUTED_VALUE"""),"null")</f>
        <v>null</v>
      </c>
      <c r="P5276" s="33">
        <f>IFERROR(__xludf.DUMMYFUNCTION("""COMPUTED_VALUE"""),0.5)</f>
        <v>0.5</v>
      </c>
      <c r="Q5276" s="4" t="str">
        <f>IFERROR(__xludf.DUMMYFUNCTION("""COMPUTED_VALUE"""),"null")</f>
        <v>null</v>
      </c>
      <c r="R5276" s="33">
        <f>IFERROR(__xludf.DUMMYFUNCTION("""COMPUTED_VALUE"""),0.5)</f>
        <v>0.5</v>
      </c>
      <c r="S5276" s="4" t="str">
        <f>IFERROR(__xludf.DUMMYFUNCTION("""COMPUTED_VALUE"""),"null")</f>
        <v>null</v>
      </c>
      <c r="T5276" s="33">
        <f>IFERROR(__xludf.DUMMYFUNCTION("""COMPUTED_VALUE"""),0.5)</f>
        <v>0.5</v>
      </c>
      <c r="U5276" s="4" t="str">
        <f>IFERROR(__xludf.DUMMYFUNCTION("""COMPUTED_VALUE"""),"N/A (Not found)")</f>
        <v>N/A (Not found)</v>
      </c>
      <c r="V5276" s="33">
        <f>IFERROR(__xludf.DUMMYFUNCTION("""COMPUTED_VALUE"""),1.0)</f>
        <v>1</v>
      </c>
      <c r="W5276" s="4" t="str">
        <f>IFERROR(__xludf.DUMMYFUNCTION("""COMPUTED_VALUE"""),"N/A (Not found)")</f>
        <v>N/A (Not found)</v>
      </c>
      <c r="X5276" s="33">
        <f>IFERROR(__xludf.DUMMYFUNCTION("""COMPUTED_VALUE"""),1.0)</f>
        <v>1</v>
      </c>
    </row>
    <row r="5277">
      <c r="K5277" s="4" t="str">
        <f>IFERROR(__xludf.DUMMYFUNCTION("""COMPUTED_VALUE"""),"A VENDINHA")</f>
        <v>A VENDINHA</v>
      </c>
      <c r="L5277" s="32">
        <f>IFERROR(__xludf.DUMMYFUNCTION("""COMPUTED_VALUE"""),2.0)</f>
        <v>2</v>
      </c>
      <c r="M5277" s="4" t="str">
        <f>IFERROR(__xludf.DUMMYFUNCTION("""COMPUTED_VALUE"""),"N/A (Not found)")</f>
        <v>N/A (Not found)</v>
      </c>
      <c r="N5277" s="33">
        <f>IFERROR(__xludf.DUMMYFUNCTION("""COMPUTED_VALUE"""),0.5)</f>
        <v>0.5</v>
      </c>
      <c r="O5277" s="4" t="str">
        <f>IFERROR(__xludf.DUMMYFUNCTION("""COMPUTED_VALUE"""),"N/A (Not found)")</f>
        <v>N/A (Not found)</v>
      </c>
      <c r="P5277" s="33">
        <f>IFERROR(__xludf.DUMMYFUNCTION("""COMPUTED_VALUE"""),0.5)</f>
        <v>0.5</v>
      </c>
      <c r="Q5277" s="4" t="str">
        <f>IFERROR(__xludf.DUMMYFUNCTION("""COMPUTED_VALUE"""),"null")</f>
        <v>null</v>
      </c>
      <c r="R5277" s="33">
        <f>IFERROR(__xludf.DUMMYFUNCTION("""COMPUTED_VALUE"""),1.0)</f>
        <v>1</v>
      </c>
      <c r="S5277" s="4" t="str">
        <f>IFERROR(__xludf.DUMMYFUNCTION("""COMPUTED_VALUE"""),"null")</f>
        <v>null</v>
      </c>
      <c r="T5277" s="33">
        <f>IFERROR(__xludf.DUMMYFUNCTION("""COMPUTED_VALUE"""),0.5)</f>
        <v>0.5</v>
      </c>
      <c r="U5277" s="4" t="str">
        <f>IFERROR(__xludf.DUMMYFUNCTION("""COMPUTED_VALUE"""),"null")</f>
        <v>null</v>
      </c>
      <c r="V5277" s="33">
        <f>IFERROR(__xludf.DUMMYFUNCTION("""COMPUTED_VALUE"""),0.5)</f>
        <v>0.5</v>
      </c>
      <c r="W5277" s="4" t="str">
        <f>IFERROR(__xludf.DUMMYFUNCTION("""COMPUTED_VALUE"""),"null")</f>
        <v>null</v>
      </c>
      <c r="X5277" s="33">
        <f>IFERROR(__xludf.DUMMYFUNCTION("""COMPUTED_VALUE"""),0.5)</f>
        <v>0.5</v>
      </c>
    </row>
    <row r="5278">
      <c r="K5278" s="4" t="str">
        <f>IFERROR(__xludf.DUMMYFUNCTION("""COMPUTED_VALUE"""),"LUIGI SORVETES")</f>
        <v>LUIGI SORVETES</v>
      </c>
      <c r="L5278" s="32">
        <f>IFERROR(__xludf.DUMMYFUNCTION("""COMPUTED_VALUE"""),2.0)</f>
        <v>2</v>
      </c>
      <c r="M5278" s="4" t="str">
        <f>IFERROR(__xludf.DUMMYFUNCTION("""COMPUTED_VALUE"""),"Yooga")</f>
        <v>Yooga</v>
      </c>
      <c r="N5278" s="33">
        <f>IFERROR(__xludf.DUMMYFUNCTION("""COMPUTED_VALUE"""),1.0)</f>
        <v>1</v>
      </c>
      <c r="O5278" s="4" t="str">
        <f>IFERROR(__xludf.DUMMYFUNCTION("""COMPUTED_VALUE"""),"Yooga")</f>
        <v>Yooga</v>
      </c>
      <c r="P5278" s="33">
        <f>IFERROR(__xludf.DUMMYFUNCTION("""COMPUTED_VALUE"""),1.0)</f>
        <v>1</v>
      </c>
      <c r="Q5278" s="4" t="str">
        <f>IFERROR(__xludf.DUMMYFUNCTION("""COMPUTED_VALUE"""),"Yooga")</f>
        <v>Yooga</v>
      </c>
      <c r="R5278" s="33">
        <f>IFERROR(__xludf.DUMMYFUNCTION("""COMPUTED_VALUE"""),1.0)</f>
        <v>1</v>
      </c>
      <c r="S5278" s="4" t="str">
        <f>IFERROR(__xludf.DUMMYFUNCTION("""COMPUTED_VALUE"""),"Yooga")</f>
        <v>Yooga</v>
      </c>
      <c r="T5278" s="33">
        <f>IFERROR(__xludf.DUMMYFUNCTION("""COMPUTED_VALUE"""),1.0)</f>
        <v>1</v>
      </c>
      <c r="U5278" s="4" t="str">
        <f>IFERROR(__xludf.DUMMYFUNCTION("""COMPUTED_VALUE"""),"Yooga")</f>
        <v>Yooga</v>
      </c>
      <c r="V5278" s="33">
        <f>IFERROR(__xludf.DUMMYFUNCTION("""COMPUTED_VALUE"""),1.0)</f>
        <v>1</v>
      </c>
      <c r="W5278" s="4" t="str">
        <f>IFERROR(__xludf.DUMMYFUNCTION("""COMPUTED_VALUE"""),"Yooga")</f>
        <v>Yooga</v>
      </c>
      <c r="X5278" s="33">
        <f>IFERROR(__xludf.DUMMYFUNCTION("""COMPUTED_VALUE"""),1.0)</f>
        <v>1</v>
      </c>
    </row>
    <row r="5279">
      <c r="K5279" s="4" t="str">
        <f>IFERROR(__xludf.DUMMYFUNCTION("""COMPUTED_VALUE"""),"ACAI DOURADO")</f>
        <v>ACAI DOURADO</v>
      </c>
      <c r="L5279" s="32">
        <f>IFERROR(__xludf.DUMMYFUNCTION("""COMPUTED_VALUE"""),2.0)</f>
        <v>2</v>
      </c>
      <c r="M5279" s="4" t="str">
        <f>IFERROR(__xludf.DUMMYFUNCTION("""COMPUTED_VALUE"""),"Hubster")</f>
        <v>Hubster</v>
      </c>
      <c r="N5279" s="33">
        <f>IFERROR(__xludf.DUMMYFUNCTION("""COMPUTED_VALUE"""),1.0)</f>
        <v>1</v>
      </c>
      <c r="O5279" s="4" t="str">
        <f>IFERROR(__xludf.DUMMYFUNCTION("""COMPUTED_VALUE"""),"Hubster")</f>
        <v>Hubster</v>
      </c>
      <c r="P5279" s="33">
        <f>IFERROR(__xludf.DUMMYFUNCTION("""COMPUTED_VALUE"""),0.5)</f>
        <v>0.5</v>
      </c>
      <c r="Q5279" s="4" t="str">
        <f>IFERROR(__xludf.DUMMYFUNCTION("""COMPUTED_VALUE"""),"null")</f>
        <v>null</v>
      </c>
      <c r="R5279" s="33">
        <f>IFERROR(__xludf.DUMMYFUNCTION("""COMPUTED_VALUE"""),1.0)</f>
        <v>1</v>
      </c>
      <c r="S5279" s="4" t="str">
        <f>IFERROR(__xludf.DUMMYFUNCTION("""COMPUTED_VALUE"""),"null")</f>
        <v>null</v>
      </c>
      <c r="T5279" s="33">
        <f>IFERROR(__xludf.DUMMYFUNCTION("""COMPUTED_VALUE"""),1.0)</f>
        <v>1</v>
      </c>
      <c r="U5279" s="4" t="str">
        <f>IFERROR(__xludf.DUMMYFUNCTION("""COMPUTED_VALUE"""),"null")</f>
        <v>null</v>
      </c>
      <c r="V5279" s="33">
        <f>IFERROR(__xludf.DUMMYFUNCTION("""COMPUTED_VALUE"""),1.0)</f>
        <v>1</v>
      </c>
      <c r="W5279" s="4" t="str">
        <f>IFERROR(__xludf.DUMMYFUNCTION("""COMPUTED_VALUE"""),"null")</f>
        <v>null</v>
      </c>
      <c r="X5279" s="33">
        <f>IFERROR(__xludf.DUMMYFUNCTION("""COMPUTED_VALUE"""),1.0)</f>
        <v>1</v>
      </c>
    </row>
    <row r="5280">
      <c r="K5280" s="4" t="str">
        <f>IFERROR(__xludf.DUMMYFUNCTION("""COMPUTED_VALUE"""),"BEST BURGUER")</f>
        <v>BEST BURGUER</v>
      </c>
      <c r="L5280" s="32">
        <f>IFERROR(__xludf.DUMMYFUNCTION("""COMPUTED_VALUE"""),2.0)</f>
        <v>2</v>
      </c>
      <c r="M5280" s="4" t="str">
        <f>IFERROR(__xludf.DUMMYFUNCTION("""COMPUTED_VALUE"""),"Instadelivery")</f>
        <v>Instadelivery</v>
      </c>
      <c r="N5280" s="33">
        <f>IFERROR(__xludf.DUMMYFUNCTION("""COMPUTED_VALUE"""),0.5)</f>
        <v>0.5</v>
      </c>
      <c r="O5280" s="4" t="str">
        <f>IFERROR(__xludf.DUMMYFUNCTION("""COMPUTED_VALUE"""),"Instadelivery")</f>
        <v>Instadelivery</v>
      </c>
      <c r="P5280" s="33">
        <f>IFERROR(__xludf.DUMMYFUNCTION("""COMPUTED_VALUE"""),0.5)</f>
        <v>0.5</v>
      </c>
      <c r="Q5280" s="4" t="str">
        <f>IFERROR(__xludf.DUMMYFUNCTION("""COMPUTED_VALUE"""),"Instadelivery")</f>
        <v>Instadelivery</v>
      </c>
      <c r="R5280" s="33">
        <f>IFERROR(__xludf.DUMMYFUNCTION("""COMPUTED_VALUE"""),0.5)</f>
        <v>0.5</v>
      </c>
      <c r="S5280" s="4" t="str">
        <f>IFERROR(__xludf.DUMMYFUNCTION("""COMPUTED_VALUE"""),"Instadelivery")</f>
        <v>Instadelivery</v>
      </c>
      <c r="T5280" s="33">
        <f>IFERROR(__xludf.DUMMYFUNCTION("""COMPUTED_VALUE"""),0.5)</f>
        <v>0.5</v>
      </c>
      <c r="U5280" s="4" t="str">
        <f>IFERROR(__xludf.DUMMYFUNCTION("""COMPUTED_VALUE"""),"Instadelivery")</f>
        <v>Instadelivery</v>
      </c>
      <c r="V5280" s="33">
        <f>IFERROR(__xludf.DUMMYFUNCTION("""COMPUTED_VALUE"""),0.5)</f>
        <v>0.5</v>
      </c>
      <c r="W5280" s="4" t="str">
        <f>IFERROR(__xludf.DUMMYFUNCTION("""COMPUTED_VALUE"""),"Instadelivery")</f>
        <v>Instadelivery</v>
      </c>
      <c r="X5280" s="33">
        <f>IFERROR(__xludf.DUMMYFUNCTION("""COMPUTED_VALUE"""),0.5)</f>
        <v>0.5</v>
      </c>
    </row>
    <row r="5281">
      <c r="K5281" s="4" t="str">
        <f>IFERROR(__xludf.DUMMYFUNCTION("""COMPUTED_VALUE"""),"TOURO GORDO HAMBURGUERIA")</f>
        <v>TOURO GORDO HAMBURGUERIA</v>
      </c>
      <c r="L5281" s="32">
        <f>IFERROR(__xludf.DUMMYFUNCTION("""COMPUTED_VALUE"""),2.0)</f>
        <v>2</v>
      </c>
      <c r="M5281" s="4" t="str">
        <f>IFERROR(__xludf.DUMMYFUNCTION("""COMPUTED_VALUE"""),"null")</f>
        <v>null</v>
      </c>
      <c r="N5281" s="33">
        <f>IFERROR(__xludf.DUMMYFUNCTION("""COMPUTED_VALUE"""),0.5)</f>
        <v>0.5</v>
      </c>
      <c r="O5281" s="4" t="str">
        <f>IFERROR(__xludf.DUMMYFUNCTION("""COMPUTED_VALUE"""),"null")</f>
        <v>null</v>
      </c>
      <c r="P5281" s="33">
        <f>IFERROR(__xludf.DUMMYFUNCTION("""COMPUTED_VALUE"""),0.5)</f>
        <v>0.5</v>
      </c>
      <c r="Q5281" s="4" t="str">
        <f>IFERROR(__xludf.DUMMYFUNCTION("""COMPUTED_VALUE"""),"Saipos Serviços De Software")</f>
        <v>Saipos Serviços De Software</v>
      </c>
      <c r="R5281" s="33">
        <f>IFERROR(__xludf.DUMMYFUNCTION("""COMPUTED_VALUE"""),1.0)</f>
        <v>1</v>
      </c>
      <c r="S5281" s="4" t="str">
        <f>IFERROR(__xludf.DUMMYFUNCTION("""COMPUTED_VALUE"""),"Saipos Serviços De Software")</f>
        <v>Saipos Serviços De Software</v>
      </c>
      <c r="T5281" s="33">
        <f>IFERROR(__xludf.DUMMYFUNCTION("""COMPUTED_VALUE"""),1.0)</f>
        <v>1</v>
      </c>
      <c r="U5281" s="4" t="str">
        <f>IFERROR(__xludf.DUMMYFUNCTION("""COMPUTED_VALUE"""),"Saipos Serviços De Software")</f>
        <v>Saipos Serviços De Software</v>
      </c>
      <c r="V5281" s="33">
        <f>IFERROR(__xludf.DUMMYFUNCTION("""COMPUTED_VALUE"""),1.0)</f>
        <v>1</v>
      </c>
      <c r="W5281" s="4" t="str">
        <f>IFERROR(__xludf.DUMMYFUNCTION("""COMPUTED_VALUE"""),"Saipos Serviços De Software")</f>
        <v>Saipos Serviços De Software</v>
      </c>
      <c r="X5281" s="33">
        <f>IFERROR(__xludf.DUMMYFUNCTION("""COMPUTED_VALUE"""),1.0)</f>
        <v>1</v>
      </c>
    </row>
    <row r="5282">
      <c r="K5282" s="4" t="str">
        <f>IFERROR(__xludf.DUMMYFUNCTION("""COMPUTED_VALUE"""),"QUINTAL DO SABOR")</f>
        <v>QUINTAL DO SABOR</v>
      </c>
      <c r="L5282" s="32">
        <f>IFERROR(__xludf.DUMMYFUNCTION("""COMPUTED_VALUE"""),2.0)</f>
        <v>2</v>
      </c>
      <c r="M5282" s="4" t="str">
        <f>IFERROR(__xludf.DUMMYFUNCTION("""COMPUTED_VALUE"""),"Instadelivery")</f>
        <v>Instadelivery</v>
      </c>
      <c r="N5282" s="33">
        <f>IFERROR(__xludf.DUMMYFUNCTION("""COMPUTED_VALUE"""),0.5)</f>
        <v>0.5</v>
      </c>
      <c r="O5282" s="4" t="str">
        <f>IFERROR(__xludf.DUMMYFUNCTION("""COMPUTED_VALUE"""),"Instadelivery")</f>
        <v>Instadelivery</v>
      </c>
      <c r="P5282" s="33">
        <f>IFERROR(__xludf.DUMMYFUNCTION("""COMPUTED_VALUE"""),0.5)</f>
        <v>0.5</v>
      </c>
      <c r="Q5282" s="4" t="str">
        <f>IFERROR(__xludf.DUMMYFUNCTION("""COMPUTED_VALUE"""),"Instadelivery")</f>
        <v>Instadelivery</v>
      </c>
      <c r="R5282" s="33">
        <f>IFERROR(__xludf.DUMMYFUNCTION("""COMPUTED_VALUE"""),0.5)</f>
        <v>0.5</v>
      </c>
      <c r="S5282" s="4" t="str">
        <f>IFERROR(__xludf.DUMMYFUNCTION("""COMPUTED_VALUE"""),"Instadelivery")</f>
        <v>Instadelivery</v>
      </c>
      <c r="T5282" s="33">
        <f>IFERROR(__xludf.DUMMYFUNCTION("""COMPUTED_VALUE"""),0.5)</f>
        <v>0.5</v>
      </c>
      <c r="U5282" s="4" t="str">
        <f>IFERROR(__xludf.DUMMYFUNCTION("""COMPUTED_VALUE"""),"Instadelivery")</f>
        <v>Instadelivery</v>
      </c>
      <c r="V5282" s="33">
        <f>IFERROR(__xludf.DUMMYFUNCTION("""COMPUTED_VALUE"""),0.5)</f>
        <v>0.5</v>
      </c>
      <c r="W5282" s="4" t="str">
        <f>IFERROR(__xludf.DUMMYFUNCTION("""COMPUTED_VALUE"""),"null")</f>
        <v>null</v>
      </c>
      <c r="X5282" s="33">
        <f>IFERROR(__xludf.DUMMYFUNCTION("""COMPUTED_VALUE"""),1.0)</f>
        <v>1</v>
      </c>
    </row>
    <row r="5283">
      <c r="K5283" s="4" t="str">
        <f>IFERROR(__xludf.DUMMYFUNCTION("""COMPUTED_VALUE"""),"VILLA BURGUER SLZ")</f>
        <v>VILLA BURGUER SLZ</v>
      </c>
      <c r="L5283" s="32">
        <f>IFERROR(__xludf.DUMMYFUNCTION("""COMPUTED_VALUE"""),2.0)</f>
        <v>2</v>
      </c>
      <c r="M5283" s="4" t="str">
        <f>IFERROR(__xludf.DUMMYFUNCTION("""COMPUTED_VALUE"""),"Yooga")</f>
        <v>Yooga</v>
      </c>
      <c r="N5283" s="33">
        <f>IFERROR(__xludf.DUMMYFUNCTION("""COMPUTED_VALUE"""),1.0)</f>
        <v>1</v>
      </c>
      <c r="O5283" s="4" t="str">
        <f>IFERROR(__xludf.DUMMYFUNCTION("""COMPUTED_VALUE"""),"Yooga")</f>
        <v>Yooga</v>
      </c>
      <c r="P5283" s="33">
        <f>IFERROR(__xludf.DUMMYFUNCTION("""COMPUTED_VALUE"""),1.0)</f>
        <v>1</v>
      </c>
      <c r="Q5283" s="4" t="str">
        <f>IFERROR(__xludf.DUMMYFUNCTION("""COMPUTED_VALUE"""),"Yooga")</f>
        <v>Yooga</v>
      </c>
      <c r="R5283" s="33">
        <f>IFERROR(__xludf.DUMMYFUNCTION("""COMPUTED_VALUE"""),1.0)</f>
        <v>1</v>
      </c>
      <c r="S5283" s="4" t="str">
        <f>IFERROR(__xludf.DUMMYFUNCTION("""COMPUTED_VALUE"""),"Yooga")</f>
        <v>Yooga</v>
      </c>
      <c r="T5283" s="33">
        <f>IFERROR(__xludf.DUMMYFUNCTION("""COMPUTED_VALUE"""),1.0)</f>
        <v>1</v>
      </c>
      <c r="U5283" s="4" t="str">
        <f>IFERROR(__xludf.DUMMYFUNCTION("""COMPUTED_VALUE"""),"Yooga")</f>
        <v>Yooga</v>
      </c>
      <c r="V5283" s="33">
        <f>IFERROR(__xludf.DUMMYFUNCTION("""COMPUTED_VALUE"""),1.0)</f>
        <v>1</v>
      </c>
      <c r="W5283" s="4" t="str">
        <f>IFERROR(__xludf.DUMMYFUNCTION("""COMPUTED_VALUE"""),"Yooga")</f>
        <v>Yooga</v>
      </c>
      <c r="X5283" s="33">
        <f>IFERROR(__xludf.DUMMYFUNCTION("""COMPUTED_VALUE"""),1.0)</f>
        <v>1</v>
      </c>
    </row>
    <row r="5284">
      <c r="K5284" s="4" t="str">
        <f>IFERROR(__xludf.DUMMYFUNCTION("""COMPUTED_VALUE"""),"GELADIN GOURMET")</f>
        <v>GELADIN GOURMET</v>
      </c>
      <c r="L5284" s="32">
        <f>IFERROR(__xludf.DUMMYFUNCTION("""COMPUTED_VALUE"""),2.0)</f>
        <v>2</v>
      </c>
      <c r="M5284" s="4" t="str">
        <f>IFERROR(__xludf.DUMMYFUNCTION("""COMPUTED_VALUE"""),"Instadelivery")</f>
        <v>Instadelivery</v>
      </c>
      <c r="N5284" s="33">
        <f>IFERROR(__xludf.DUMMYFUNCTION("""COMPUTED_VALUE"""),0.5)</f>
        <v>0.5</v>
      </c>
      <c r="O5284" s="4" t="str">
        <f>IFERROR(__xludf.DUMMYFUNCTION("""COMPUTED_VALUE"""),"Instadelivery")</f>
        <v>Instadelivery</v>
      </c>
      <c r="P5284" s="33">
        <f>IFERROR(__xludf.DUMMYFUNCTION("""COMPUTED_VALUE"""),0.5)</f>
        <v>0.5</v>
      </c>
      <c r="Q5284" s="4" t="str">
        <f>IFERROR(__xludf.DUMMYFUNCTION("""COMPUTED_VALUE"""),"Instadelivery")</f>
        <v>Instadelivery</v>
      </c>
      <c r="R5284" s="33">
        <f>IFERROR(__xludf.DUMMYFUNCTION("""COMPUTED_VALUE"""),1.0)</f>
        <v>1</v>
      </c>
      <c r="S5284" s="4" t="str">
        <f>IFERROR(__xludf.DUMMYFUNCTION("""COMPUTED_VALUE"""),"Instadelivery")</f>
        <v>Instadelivery</v>
      </c>
      <c r="T5284" s="33">
        <f>IFERROR(__xludf.DUMMYFUNCTION("""COMPUTED_VALUE"""),1.0)</f>
        <v>1</v>
      </c>
      <c r="U5284" s="4" t="str">
        <f>IFERROR(__xludf.DUMMYFUNCTION("""COMPUTED_VALUE"""),"Instadelivery")</f>
        <v>Instadelivery</v>
      </c>
      <c r="V5284" s="33">
        <f>IFERROR(__xludf.DUMMYFUNCTION("""COMPUTED_VALUE"""),1.0)</f>
        <v>1</v>
      </c>
      <c r="W5284" s="4" t="str">
        <f>IFERROR(__xludf.DUMMYFUNCTION("""COMPUTED_VALUE"""),"Instadelivery")</f>
        <v>Instadelivery</v>
      </c>
      <c r="X5284" s="33">
        <f>IFERROR(__xludf.DUMMYFUNCTION("""COMPUTED_VALUE"""),1.0)</f>
        <v>1</v>
      </c>
    </row>
    <row r="5285">
      <c r="K5285" s="4" t="str">
        <f>IFERROR(__xludf.DUMMYFUNCTION("""COMPUTED_VALUE"""),"THE BARBER BURGUER CAPAO RASO")</f>
        <v>THE BARBER BURGUER CAPAO RASO</v>
      </c>
      <c r="L5285" s="32">
        <f>IFERROR(__xludf.DUMMYFUNCTION("""COMPUTED_VALUE"""),2.0)</f>
        <v>2</v>
      </c>
      <c r="M5285" s="4" t="str">
        <f>IFERROR(__xludf.DUMMYFUNCTION("""COMPUTED_VALUE"""),"null")</f>
        <v>null</v>
      </c>
      <c r="N5285" s="33">
        <f>IFERROR(__xludf.DUMMYFUNCTION("""COMPUTED_VALUE"""),0.5)</f>
        <v>0.5</v>
      </c>
      <c r="O5285" s="4" t="str">
        <f>IFERROR(__xludf.DUMMYFUNCTION("""COMPUTED_VALUE"""),"null")</f>
        <v>null</v>
      </c>
      <c r="P5285" s="33">
        <f>IFERROR(__xludf.DUMMYFUNCTION("""COMPUTED_VALUE"""),0.5)</f>
        <v>0.5</v>
      </c>
      <c r="Q5285" s="4" t="str">
        <f>IFERROR(__xludf.DUMMYFUNCTION("""COMPUTED_VALUE"""),"M-du Tecnologia")</f>
        <v>M-du Tecnologia</v>
      </c>
      <c r="R5285" s="33">
        <f>IFERROR(__xludf.DUMMYFUNCTION("""COMPUTED_VALUE"""),0.5)</f>
        <v>0.5</v>
      </c>
      <c r="S5285" s="4" t="str">
        <f>IFERROR(__xludf.DUMMYFUNCTION("""COMPUTED_VALUE"""),"M-du Tecnologia")</f>
        <v>M-du Tecnologia</v>
      </c>
      <c r="T5285" s="33">
        <f>IFERROR(__xludf.DUMMYFUNCTION("""COMPUTED_VALUE"""),0.5)</f>
        <v>0.5</v>
      </c>
      <c r="U5285" s="4" t="str">
        <f>IFERROR(__xludf.DUMMYFUNCTION("""COMPUTED_VALUE"""),"M-du Tecnologia")</f>
        <v>M-du Tecnologia</v>
      </c>
      <c r="V5285" s="33">
        <f>IFERROR(__xludf.DUMMYFUNCTION("""COMPUTED_VALUE"""),0.5)</f>
        <v>0.5</v>
      </c>
      <c r="W5285" s="4" t="str">
        <f>IFERROR(__xludf.DUMMYFUNCTION("""COMPUTED_VALUE"""),"M-du Tecnologia")</f>
        <v>M-du Tecnologia</v>
      </c>
      <c r="X5285" s="33">
        <f>IFERROR(__xludf.DUMMYFUNCTION("""COMPUTED_VALUE"""),0.5)</f>
        <v>0.5</v>
      </c>
    </row>
    <row r="5286">
      <c r="K5286" s="4" t="str">
        <f>IFERROR(__xludf.DUMMYFUNCTION("""COMPUTED_VALUE"""),"BKS BEBIDAS")</f>
        <v>BKS BEBIDAS</v>
      </c>
      <c r="L5286" s="32">
        <f>IFERROR(__xludf.DUMMYFUNCTION("""COMPUTED_VALUE"""),2.0)</f>
        <v>2</v>
      </c>
      <c r="M5286" s="4" t="str">
        <f>IFERROR(__xludf.DUMMYFUNCTION("""COMPUTED_VALUE"""),"N/A (Not found)")</f>
        <v>N/A (Not found)</v>
      </c>
      <c r="N5286" s="33">
        <f>IFERROR(__xludf.DUMMYFUNCTION("""COMPUTED_VALUE"""),0.5)</f>
        <v>0.5</v>
      </c>
      <c r="O5286" s="4" t="str">
        <f>IFERROR(__xludf.DUMMYFUNCTION("""COMPUTED_VALUE"""),"N/A (Not found)")</f>
        <v>N/A (Not found)</v>
      </c>
      <c r="P5286" s="33">
        <f>IFERROR(__xludf.DUMMYFUNCTION("""COMPUTED_VALUE"""),0.5)</f>
        <v>0.5</v>
      </c>
      <c r="Q5286" s="4" t="str">
        <f>IFERROR(__xludf.DUMMYFUNCTION("""COMPUTED_VALUE"""),"N/A (Not found)")</f>
        <v>N/A (Not found)</v>
      </c>
      <c r="R5286" s="33">
        <f>IFERROR(__xludf.DUMMYFUNCTION("""COMPUTED_VALUE"""),1.0)</f>
        <v>1</v>
      </c>
      <c r="S5286" s="4" t="str">
        <f>IFERROR(__xludf.DUMMYFUNCTION("""COMPUTED_VALUE"""),"N/A (Not found)")</f>
        <v>N/A (Not found)</v>
      </c>
      <c r="T5286" s="33">
        <f>IFERROR(__xludf.DUMMYFUNCTION("""COMPUTED_VALUE"""),1.0)</f>
        <v>1</v>
      </c>
      <c r="U5286" s="4" t="str">
        <f>IFERROR(__xludf.DUMMYFUNCTION("""COMPUTED_VALUE"""),"N/A (Not found)")</f>
        <v>N/A (Not found)</v>
      </c>
      <c r="V5286" s="33">
        <f>IFERROR(__xludf.DUMMYFUNCTION("""COMPUTED_VALUE"""),1.0)</f>
        <v>1</v>
      </c>
      <c r="W5286" s="4" t="str">
        <f>IFERROR(__xludf.DUMMYFUNCTION("""COMPUTED_VALUE"""),"N/A (Not found)")</f>
        <v>N/A (Not found)</v>
      </c>
      <c r="X5286" s="33">
        <f>IFERROR(__xludf.DUMMYFUNCTION("""COMPUTED_VALUE"""),1.0)</f>
        <v>1</v>
      </c>
    </row>
    <row r="5287">
      <c r="K5287" s="4" t="str">
        <f>IFERROR(__xludf.DUMMYFUNCTION("""COMPUTED_VALUE"""),"ACAI DA QUEBRADA")</f>
        <v>ACAI DA QUEBRADA</v>
      </c>
      <c r="L5287" s="32">
        <f>IFERROR(__xludf.DUMMYFUNCTION("""COMPUTED_VALUE"""),2.0)</f>
        <v>2</v>
      </c>
      <c r="M5287" s="4" t="str">
        <f>IFERROR(__xludf.DUMMYFUNCTION("""COMPUTED_VALUE"""),"Anota Ai Solucoes Digitais S/a")</f>
        <v>Anota Ai Solucoes Digitais S/a</v>
      </c>
      <c r="N5287" s="33">
        <f>IFERROR(__xludf.DUMMYFUNCTION("""COMPUTED_VALUE"""),0.5)</f>
        <v>0.5</v>
      </c>
      <c r="O5287" s="4" t="str">
        <f>IFERROR(__xludf.DUMMYFUNCTION("""COMPUTED_VALUE"""),"Anota Ai Solucoes Digitais S/a")</f>
        <v>Anota Ai Solucoes Digitais S/a</v>
      </c>
      <c r="P5287" s="33">
        <f>IFERROR(__xludf.DUMMYFUNCTION("""COMPUTED_VALUE"""),0.5)</f>
        <v>0.5</v>
      </c>
      <c r="Q5287" s="4" t="str">
        <f>IFERROR(__xludf.DUMMYFUNCTION("""COMPUTED_VALUE"""),"Anota Ai Solucoes Digitais S/a")</f>
        <v>Anota Ai Solucoes Digitais S/a</v>
      </c>
      <c r="R5287" s="33">
        <f>IFERROR(__xludf.DUMMYFUNCTION("""COMPUTED_VALUE"""),0.5)</f>
        <v>0.5</v>
      </c>
      <c r="S5287" s="4" t="str">
        <f>IFERROR(__xludf.DUMMYFUNCTION("""COMPUTED_VALUE"""),"Anota Ai Solucoes Digitais S/a")</f>
        <v>Anota Ai Solucoes Digitais S/a</v>
      </c>
      <c r="T5287" s="33">
        <f>IFERROR(__xludf.DUMMYFUNCTION("""COMPUTED_VALUE"""),0.5)</f>
        <v>0.5</v>
      </c>
      <c r="U5287" s="4" t="str">
        <f>IFERROR(__xludf.DUMMYFUNCTION("""COMPUTED_VALUE"""),"Anota Ai Solucoes Digitais S/a")</f>
        <v>Anota Ai Solucoes Digitais S/a</v>
      </c>
      <c r="V5287" s="33">
        <f>IFERROR(__xludf.DUMMYFUNCTION("""COMPUTED_VALUE"""),0.5)</f>
        <v>0.5</v>
      </c>
      <c r="W5287" s="4" t="str">
        <f>IFERROR(__xludf.DUMMYFUNCTION("""COMPUTED_VALUE"""),"Anota Ai Solucoes Digitais S/a")</f>
        <v>Anota Ai Solucoes Digitais S/a</v>
      </c>
      <c r="X5287" s="33">
        <f>IFERROR(__xludf.DUMMYFUNCTION("""COMPUTED_VALUE"""),0.5)</f>
        <v>0.5</v>
      </c>
    </row>
    <row r="5288">
      <c r="K5288" s="4" t="str">
        <f>IFERROR(__xludf.DUMMYFUNCTION("""COMPUTED_VALUE"""),"MR")</f>
        <v>MR</v>
      </c>
      <c r="L5288" s="32">
        <f>IFERROR(__xludf.DUMMYFUNCTION("""COMPUTED_VALUE"""),2.0)</f>
        <v>2</v>
      </c>
      <c r="M5288" s="4" t="str">
        <f>IFERROR(__xludf.DUMMYFUNCTION("""COMPUTED_VALUE"""),"null")</f>
        <v>null</v>
      </c>
      <c r="N5288" s="33">
        <f>IFERROR(__xludf.DUMMYFUNCTION("""COMPUTED_VALUE"""),0.5)</f>
        <v>0.5</v>
      </c>
      <c r="O5288" s="4" t="str">
        <f>IFERROR(__xludf.DUMMYFUNCTION("""COMPUTED_VALUE"""),"N/A (Not found)")</f>
        <v>N/A (Not found)</v>
      </c>
      <c r="P5288" s="33">
        <f>IFERROR(__xludf.DUMMYFUNCTION("""COMPUTED_VALUE"""),0.5)</f>
        <v>0.5</v>
      </c>
      <c r="Q5288" s="4" t="str">
        <f>IFERROR(__xludf.DUMMYFUNCTION("""COMPUTED_VALUE"""),"N/A (Not found)")</f>
        <v>N/A (Not found)</v>
      </c>
      <c r="R5288" s="33">
        <f>IFERROR(__xludf.DUMMYFUNCTION("""COMPUTED_VALUE"""),0.5)</f>
        <v>0.5</v>
      </c>
      <c r="S5288" s="4" t="str">
        <f>IFERROR(__xludf.DUMMYFUNCTION("""COMPUTED_VALUE"""),"null")</f>
        <v>null</v>
      </c>
      <c r="T5288" s="33">
        <f>IFERROR(__xludf.DUMMYFUNCTION("""COMPUTED_VALUE"""),1.0)</f>
        <v>1</v>
      </c>
      <c r="U5288" s="4" t="str">
        <f>IFERROR(__xludf.DUMMYFUNCTION("""COMPUTED_VALUE"""),"null")</f>
        <v>null</v>
      </c>
      <c r="V5288" s="33">
        <f>IFERROR(__xludf.DUMMYFUNCTION("""COMPUTED_VALUE"""),1.0)</f>
        <v>1</v>
      </c>
      <c r="W5288" s="4" t="str">
        <f>IFERROR(__xludf.DUMMYFUNCTION("""COMPUTED_VALUE"""),"null")</f>
        <v>null</v>
      </c>
      <c r="X5288" s="33">
        <f>IFERROR(__xludf.DUMMYFUNCTION("""COMPUTED_VALUE"""),1.0)</f>
        <v>1</v>
      </c>
    </row>
    <row r="5289">
      <c r="K5289" s="4" t="str">
        <f>IFERROR(__xludf.DUMMYFUNCTION("""COMPUTED_VALUE"""),"BRAVO FOOD")</f>
        <v>BRAVO FOOD</v>
      </c>
      <c r="L5289" s="32">
        <f>IFERROR(__xludf.DUMMYFUNCTION("""COMPUTED_VALUE"""),2.0)</f>
        <v>2</v>
      </c>
      <c r="M5289" s="4" t="str">
        <f>IFERROR(__xludf.DUMMYFUNCTION("""COMPUTED_VALUE"""),"null")</f>
        <v>null</v>
      </c>
      <c r="N5289" s="33">
        <f>IFERROR(__xludf.DUMMYFUNCTION("""COMPUTED_VALUE"""),1.0)</f>
        <v>1</v>
      </c>
      <c r="O5289" s="4" t="str">
        <f>IFERROR(__xludf.DUMMYFUNCTION("""COMPUTED_VALUE"""),"null")</f>
        <v>null</v>
      </c>
      <c r="P5289" s="33">
        <f>IFERROR(__xludf.DUMMYFUNCTION("""COMPUTED_VALUE"""),0.5)</f>
        <v>0.5</v>
      </c>
      <c r="Q5289" s="4" t="str">
        <f>IFERROR(__xludf.DUMMYFUNCTION("""COMPUTED_VALUE"""),"null")</f>
        <v>null</v>
      </c>
      <c r="R5289" s="33">
        <f>IFERROR(__xludf.DUMMYFUNCTION("""COMPUTED_VALUE"""),1.0)</f>
        <v>1</v>
      </c>
      <c r="S5289" s="4" t="str">
        <f>IFERROR(__xludf.DUMMYFUNCTION("""COMPUTED_VALUE"""),"null")</f>
        <v>null</v>
      </c>
      <c r="T5289" s="33">
        <f>IFERROR(__xludf.DUMMYFUNCTION("""COMPUTED_VALUE"""),0.5)</f>
        <v>0.5</v>
      </c>
      <c r="U5289" s="4" t="str">
        <f>IFERROR(__xludf.DUMMYFUNCTION("""COMPUTED_VALUE"""),"Yooga")</f>
        <v>Yooga</v>
      </c>
      <c r="V5289" s="33">
        <f>IFERROR(__xludf.DUMMYFUNCTION("""COMPUTED_VALUE"""),0.5)</f>
        <v>0.5</v>
      </c>
      <c r="W5289" s="4" t="str">
        <f>IFERROR(__xludf.DUMMYFUNCTION("""COMPUTED_VALUE"""),"Yooga")</f>
        <v>Yooga</v>
      </c>
      <c r="X5289" s="33">
        <f>IFERROR(__xludf.DUMMYFUNCTION("""COMPUTED_VALUE"""),0.5)</f>
        <v>0.5</v>
      </c>
    </row>
    <row r="5290">
      <c r="K5290" s="4" t="str">
        <f>IFERROR(__xludf.DUMMYFUNCTION("""COMPUTED_VALUE"""),"SEU ACAI")</f>
        <v>SEU ACAI</v>
      </c>
      <c r="L5290" s="32">
        <f>IFERROR(__xludf.DUMMYFUNCTION("""COMPUTED_VALUE"""),2.0)</f>
        <v>2</v>
      </c>
      <c r="M5290" s="4" t="str">
        <f>IFERROR(__xludf.DUMMYFUNCTION("""COMPUTED_VALUE"""),"Saipos Serviços De Software")</f>
        <v>Saipos Serviços De Software</v>
      </c>
      <c r="N5290" s="33">
        <f>IFERROR(__xludf.DUMMYFUNCTION("""COMPUTED_VALUE"""),0.5)</f>
        <v>0.5</v>
      </c>
      <c r="O5290" s="4" t="str">
        <f>IFERROR(__xludf.DUMMYFUNCTION("""COMPUTED_VALUE"""),"Saipos Serviços De Software")</f>
        <v>Saipos Serviços De Software</v>
      </c>
      <c r="P5290" s="33">
        <f>IFERROR(__xludf.DUMMYFUNCTION("""COMPUTED_VALUE"""),0.5)</f>
        <v>0.5</v>
      </c>
      <c r="Q5290" s="4" t="str">
        <f>IFERROR(__xludf.DUMMYFUNCTION("""COMPUTED_VALUE"""),"null")</f>
        <v>null</v>
      </c>
      <c r="R5290" s="33">
        <f>IFERROR(__xludf.DUMMYFUNCTION("""COMPUTED_VALUE"""),0.5)</f>
        <v>0.5</v>
      </c>
      <c r="S5290" s="4" t="str">
        <f>IFERROR(__xludf.DUMMYFUNCTION("""COMPUTED_VALUE"""),"null")</f>
        <v>null</v>
      </c>
      <c r="T5290" s="33">
        <f>IFERROR(__xludf.DUMMYFUNCTION("""COMPUTED_VALUE"""),0.5)</f>
        <v>0.5</v>
      </c>
      <c r="U5290" s="4" t="str">
        <f>IFERROR(__xludf.DUMMYFUNCTION("""COMPUTED_VALUE"""),"null")</f>
        <v>null</v>
      </c>
      <c r="V5290" s="33">
        <f>IFERROR(__xludf.DUMMYFUNCTION("""COMPUTED_VALUE"""),0.5)</f>
        <v>0.5</v>
      </c>
      <c r="W5290" s="4" t="str">
        <f>IFERROR(__xludf.DUMMYFUNCTION("""COMPUTED_VALUE"""),"null")</f>
        <v>null</v>
      </c>
      <c r="X5290" s="33">
        <f>IFERROR(__xludf.DUMMYFUNCTION("""COMPUTED_VALUE"""),0.5)</f>
        <v>0.5</v>
      </c>
    </row>
    <row r="5291">
      <c r="K5291" s="4" t="str">
        <f>IFERROR(__xludf.DUMMYFUNCTION("""COMPUTED_VALUE"""),"DROGARIA REDE INOVA")</f>
        <v>DROGARIA REDE INOVA</v>
      </c>
      <c r="L5291" s="32">
        <f>IFERROR(__xludf.DUMMYFUNCTION("""COMPUTED_VALUE"""),2.0)</f>
        <v>2</v>
      </c>
      <c r="M5291" s="4" t="str">
        <f>IFERROR(__xludf.DUMMYFUNCTION("""COMPUTED_VALUE"""),"N/A (Not found)")</f>
        <v>N/A (Not found)</v>
      </c>
      <c r="N5291" s="33">
        <f>IFERROR(__xludf.DUMMYFUNCTION("""COMPUTED_VALUE"""),1.0)</f>
        <v>1</v>
      </c>
      <c r="O5291" s="4" t="str">
        <f>IFERROR(__xludf.DUMMYFUNCTION("""COMPUTED_VALUE"""),"null")</f>
        <v>null</v>
      </c>
      <c r="P5291" s="33">
        <f>IFERROR(__xludf.DUMMYFUNCTION("""COMPUTED_VALUE"""),0.5)</f>
        <v>0.5</v>
      </c>
      <c r="Q5291" s="4" t="str">
        <f>IFERROR(__xludf.DUMMYFUNCTION("""COMPUTED_VALUE"""),"null")</f>
        <v>null</v>
      </c>
      <c r="R5291" s="33">
        <f>IFERROR(__xludf.DUMMYFUNCTION("""COMPUTED_VALUE"""),0.5)</f>
        <v>0.5</v>
      </c>
      <c r="S5291" s="4" t="str">
        <f>IFERROR(__xludf.DUMMYFUNCTION("""COMPUTED_VALUE"""),"null")</f>
        <v>null</v>
      </c>
      <c r="T5291" s="33">
        <f>IFERROR(__xludf.DUMMYFUNCTION("""COMPUTED_VALUE"""),0.5)</f>
        <v>0.5</v>
      </c>
      <c r="U5291" s="4" t="str">
        <f>IFERROR(__xludf.DUMMYFUNCTION("""COMPUTED_VALUE"""),"null")</f>
        <v>null</v>
      </c>
      <c r="V5291" s="33">
        <f>IFERROR(__xludf.DUMMYFUNCTION("""COMPUTED_VALUE"""),0.5)</f>
        <v>0.5</v>
      </c>
      <c r="W5291" s="4" t="str">
        <f>IFERROR(__xludf.DUMMYFUNCTION("""COMPUTED_VALUE"""),"null")</f>
        <v>null</v>
      </c>
      <c r="X5291" s="33">
        <f>IFERROR(__xludf.DUMMYFUNCTION("""COMPUTED_VALUE"""),0.5)</f>
        <v>0.5</v>
      </c>
    </row>
    <row r="5292">
      <c r="K5292" s="4" t="str">
        <f>IFERROR(__xludf.DUMMYFUNCTION("""COMPUTED_VALUE"""),"PAODEAIO")</f>
        <v>PAODEAIO</v>
      </c>
      <c r="L5292" s="32">
        <f>IFERROR(__xludf.DUMMYFUNCTION("""COMPUTED_VALUE"""),2.0)</f>
        <v>2</v>
      </c>
      <c r="M5292" s="4" t="str">
        <f>IFERROR(__xludf.DUMMYFUNCTION("""COMPUTED_VALUE"""),"null")</f>
        <v>null</v>
      </c>
      <c r="N5292" s="33">
        <f>IFERROR(__xludf.DUMMYFUNCTION("""COMPUTED_VALUE"""),0.5)</f>
        <v>0.5</v>
      </c>
      <c r="O5292" s="4" t="str">
        <f>IFERROR(__xludf.DUMMYFUNCTION("""COMPUTED_VALUE"""),"Cardápio Web")</f>
        <v>Cardápio Web</v>
      </c>
      <c r="P5292" s="33">
        <f>IFERROR(__xludf.DUMMYFUNCTION("""COMPUTED_VALUE"""),1.0)</f>
        <v>1</v>
      </c>
      <c r="Q5292" s="4" t="str">
        <f>IFERROR(__xludf.DUMMYFUNCTION("""COMPUTED_VALUE"""),"Cardápio Web")</f>
        <v>Cardápio Web</v>
      </c>
      <c r="R5292" s="33">
        <f>IFERROR(__xludf.DUMMYFUNCTION("""COMPUTED_VALUE"""),1.0)</f>
        <v>1</v>
      </c>
      <c r="S5292" s="4" t="str">
        <f>IFERROR(__xludf.DUMMYFUNCTION("""COMPUTED_VALUE"""),"Cardápio Web")</f>
        <v>Cardápio Web</v>
      </c>
      <c r="T5292" s="33">
        <f>IFERROR(__xludf.DUMMYFUNCTION("""COMPUTED_VALUE"""),0.5)</f>
        <v>0.5</v>
      </c>
      <c r="U5292" s="4" t="str">
        <f>IFERROR(__xludf.DUMMYFUNCTION("""COMPUTED_VALUE"""),"Cardápio Web")</f>
        <v>Cardápio Web</v>
      </c>
      <c r="V5292" s="33">
        <f>IFERROR(__xludf.DUMMYFUNCTION("""COMPUTED_VALUE"""),0.5)</f>
        <v>0.5</v>
      </c>
      <c r="W5292" s="4" t="str">
        <f>IFERROR(__xludf.DUMMYFUNCTION("""COMPUTED_VALUE"""),"Cardápio Web")</f>
        <v>Cardápio Web</v>
      </c>
      <c r="X5292" s="33">
        <f>IFERROR(__xludf.DUMMYFUNCTION("""COMPUTED_VALUE"""),0.5)</f>
        <v>0.5</v>
      </c>
    </row>
    <row r="5293">
      <c r="K5293" s="4" t="str">
        <f>IFERROR(__xludf.DUMMYFUNCTION("""COMPUTED_VALUE"""),"CANTINHO DA LU")</f>
        <v>CANTINHO DA LU</v>
      </c>
      <c r="L5293" s="32">
        <f>IFERROR(__xludf.DUMMYFUNCTION("""COMPUTED_VALUE"""),2.0)</f>
        <v>2</v>
      </c>
      <c r="M5293" s="4" t="str">
        <f>IFERROR(__xludf.DUMMYFUNCTION("""COMPUTED_VALUE"""),"null")</f>
        <v>null</v>
      </c>
      <c r="N5293" s="33">
        <f>IFERROR(__xludf.DUMMYFUNCTION("""COMPUTED_VALUE"""),1.0)</f>
        <v>1</v>
      </c>
      <c r="O5293" s="4" t="str">
        <f>IFERROR(__xludf.DUMMYFUNCTION("""COMPUTED_VALUE"""),"null")</f>
        <v>null</v>
      </c>
      <c r="P5293" s="33">
        <f>IFERROR(__xludf.DUMMYFUNCTION("""COMPUTED_VALUE"""),1.0)</f>
        <v>1</v>
      </c>
      <c r="Q5293" s="4" t="str">
        <f>IFERROR(__xludf.DUMMYFUNCTION("""COMPUTED_VALUE"""),"Joelma Arruda Da Silva")</f>
        <v>Joelma Arruda Da Silva</v>
      </c>
      <c r="R5293" s="33">
        <f>IFERROR(__xludf.DUMMYFUNCTION("""COMPUTED_VALUE"""),0.5)</f>
        <v>0.5</v>
      </c>
      <c r="S5293" s="4" t="str">
        <f>IFERROR(__xludf.DUMMYFUNCTION("""COMPUTED_VALUE"""),"Joelma Arruda Da Silva")</f>
        <v>Joelma Arruda Da Silva</v>
      </c>
      <c r="T5293" s="33">
        <f>IFERROR(__xludf.DUMMYFUNCTION("""COMPUTED_VALUE"""),0.5)</f>
        <v>0.5</v>
      </c>
      <c r="U5293" s="4" t="str">
        <f>IFERROR(__xludf.DUMMYFUNCTION("""COMPUTED_VALUE"""),"null")</f>
        <v>null</v>
      </c>
      <c r="V5293" s="33">
        <f>IFERROR(__xludf.DUMMYFUNCTION("""COMPUTED_VALUE"""),1.0)</f>
        <v>1</v>
      </c>
      <c r="W5293" s="4" t="str">
        <f>IFERROR(__xludf.DUMMYFUNCTION("""COMPUTED_VALUE"""),"null")</f>
        <v>null</v>
      </c>
      <c r="X5293" s="33">
        <f>IFERROR(__xludf.DUMMYFUNCTION("""COMPUTED_VALUE"""),1.0)</f>
        <v>1</v>
      </c>
    </row>
    <row r="5294">
      <c r="K5294" s="4" t="str">
        <f>IFERROR(__xludf.DUMMYFUNCTION("""COMPUTED_VALUE"""),"PATOS PIZZAS")</f>
        <v>PATOS PIZZAS</v>
      </c>
      <c r="L5294" s="32">
        <f>IFERROR(__xludf.DUMMYFUNCTION("""COMPUTED_VALUE"""),2.0)</f>
        <v>2</v>
      </c>
      <c r="M5294" s="4" t="str">
        <f>IFERROR(__xludf.DUMMYFUNCTION("""COMPUTED_VALUE"""),"Saipos Serviços De Software")</f>
        <v>Saipos Serviços De Software</v>
      </c>
      <c r="N5294" s="33">
        <f>IFERROR(__xludf.DUMMYFUNCTION("""COMPUTED_VALUE"""),1.0)</f>
        <v>1</v>
      </c>
      <c r="O5294" s="4" t="str">
        <f>IFERROR(__xludf.DUMMYFUNCTION("""COMPUTED_VALUE"""),"Saipos Serviços De Software")</f>
        <v>Saipos Serviços De Software</v>
      </c>
      <c r="P5294" s="33">
        <f>IFERROR(__xludf.DUMMYFUNCTION("""COMPUTED_VALUE"""),1.0)</f>
        <v>1</v>
      </c>
      <c r="Q5294" s="4" t="str">
        <f>IFERROR(__xludf.DUMMYFUNCTION("""COMPUTED_VALUE"""),"Saipos Serviços De Software")</f>
        <v>Saipos Serviços De Software</v>
      </c>
      <c r="R5294" s="33">
        <f>IFERROR(__xludf.DUMMYFUNCTION("""COMPUTED_VALUE"""),1.0)</f>
        <v>1</v>
      </c>
      <c r="S5294" s="4" t="str">
        <f>IFERROR(__xludf.DUMMYFUNCTION("""COMPUTED_VALUE"""),"Saipos Serviços De Software")</f>
        <v>Saipos Serviços De Software</v>
      </c>
      <c r="T5294" s="33">
        <f>IFERROR(__xludf.DUMMYFUNCTION("""COMPUTED_VALUE"""),1.0)</f>
        <v>1</v>
      </c>
      <c r="U5294" s="4" t="str">
        <f>IFERROR(__xludf.DUMMYFUNCTION("""COMPUTED_VALUE"""),"Saipos Serviços De Software")</f>
        <v>Saipos Serviços De Software</v>
      </c>
      <c r="V5294" s="33">
        <f>IFERROR(__xludf.DUMMYFUNCTION("""COMPUTED_VALUE"""),1.0)</f>
        <v>1</v>
      </c>
      <c r="W5294" s="4" t="str">
        <f>IFERROR(__xludf.DUMMYFUNCTION("""COMPUTED_VALUE"""),"Saipos Serviços De Software")</f>
        <v>Saipos Serviços De Software</v>
      </c>
      <c r="X5294" s="33">
        <f>IFERROR(__xludf.DUMMYFUNCTION("""COMPUTED_VALUE"""),1.0)</f>
        <v>1</v>
      </c>
    </row>
    <row r="5295">
      <c r="K5295" s="4" t="str">
        <f>IFERROR(__xludf.DUMMYFUNCTION("""COMPUTED_VALUE"""),"ALPHAVILLE PIZZARIA")</f>
        <v>ALPHAVILLE PIZZARIA</v>
      </c>
      <c r="L5295" s="32">
        <f>IFERROR(__xludf.DUMMYFUNCTION("""COMPUTED_VALUE"""),2.0)</f>
        <v>2</v>
      </c>
      <c r="M5295" s="4" t="str">
        <f>IFERROR(__xludf.DUMMYFUNCTION("""COMPUTED_VALUE"""),"Mp Multipedidos")</f>
        <v>Mp Multipedidos</v>
      </c>
      <c r="N5295" s="33">
        <f>IFERROR(__xludf.DUMMYFUNCTION("""COMPUTED_VALUE"""),0.5)</f>
        <v>0.5</v>
      </c>
      <c r="O5295" s="4" t="str">
        <f>IFERROR(__xludf.DUMMYFUNCTION("""COMPUTED_VALUE"""),"null")</f>
        <v>null</v>
      </c>
      <c r="P5295" s="33">
        <f>IFERROR(__xludf.DUMMYFUNCTION("""COMPUTED_VALUE"""),0.5)</f>
        <v>0.5</v>
      </c>
      <c r="Q5295" s="4" t="str">
        <f>IFERROR(__xludf.DUMMYFUNCTION("""COMPUTED_VALUE"""),"null")</f>
        <v>null</v>
      </c>
      <c r="R5295" s="33">
        <f>IFERROR(__xludf.DUMMYFUNCTION("""COMPUTED_VALUE"""),0.5)</f>
        <v>0.5</v>
      </c>
      <c r="S5295" s="4" t="str">
        <f>IFERROR(__xludf.DUMMYFUNCTION("""COMPUTED_VALUE"""),"null")</f>
        <v>null</v>
      </c>
      <c r="T5295" s="33">
        <f>IFERROR(__xludf.DUMMYFUNCTION("""COMPUTED_VALUE"""),0.5)</f>
        <v>0.5</v>
      </c>
      <c r="U5295" s="4" t="str">
        <f>IFERROR(__xludf.DUMMYFUNCTION("""COMPUTED_VALUE"""),"null")</f>
        <v>null</v>
      </c>
      <c r="V5295" s="33">
        <f>IFERROR(__xludf.DUMMYFUNCTION("""COMPUTED_VALUE"""),0.5)</f>
        <v>0.5</v>
      </c>
      <c r="W5295" s="4" t="str">
        <f>IFERROR(__xludf.DUMMYFUNCTION("""COMPUTED_VALUE"""),"null")</f>
        <v>null</v>
      </c>
      <c r="X5295" s="33">
        <f>IFERROR(__xludf.DUMMYFUNCTION("""COMPUTED_VALUE"""),0.5)</f>
        <v>0.5</v>
      </c>
    </row>
    <row r="5296">
      <c r="K5296" s="4" t="str">
        <f>IFERROR(__xludf.DUMMYFUNCTION("""COMPUTED_VALUE"""),"TOP LANCHES HAMBURGUERIA")</f>
        <v>TOP LANCHES HAMBURGUERIA</v>
      </c>
      <c r="L5296" s="32">
        <f>IFERROR(__xludf.DUMMYFUNCTION("""COMPUTED_VALUE"""),2.0)</f>
        <v>2</v>
      </c>
      <c r="M5296" s="4" t="str">
        <f>IFERROR(__xludf.DUMMYFUNCTION("""COMPUTED_VALUE"""),"Cardápio Web")</f>
        <v>Cardápio Web</v>
      </c>
      <c r="N5296" s="33">
        <f>IFERROR(__xludf.DUMMYFUNCTION("""COMPUTED_VALUE"""),0.5)</f>
        <v>0.5</v>
      </c>
      <c r="O5296" s="4" t="str">
        <f>IFERROR(__xludf.DUMMYFUNCTION("""COMPUTED_VALUE"""),"Cardápio Web")</f>
        <v>Cardápio Web</v>
      </c>
      <c r="P5296" s="33">
        <f>IFERROR(__xludf.DUMMYFUNCTION("""COMPUTED_VALUE"""),0.5)</f>
        <v>0.5</v>
      </c>
      <c r="Q5296" s="4" t="str">
        <f>IFERROR(__xludf.DUMMYFUNCTION("""COMPUTED_VALUE"""),"Cardápio Web")</f>
        <v>Cardápio Web</v>
      </c>
      <c r="R5296" s="33">
        <f>IFERROR(__xludf.DUMMYFUNCTION("""COMPUTED_VALUE"""),0.5)</f>
        <v>0.5</v>
      </c>
      <c r="S5296" s="4" t="str">
        <f>IFERROR(__xludf.DUMMYFUNCTION("""COMPUTED_VALUE"""),"Cardápio Web")</f>
        <v>Cardápio Web</v>
      </c>
      <c r="T5296" s="33">
        <f>IFERROR(__xludf.DUMMYFUNCTION("""COMPUTED_VALUE"""),0.5)</f>
        <v>0.5</v>
      </c>
      <c r="U5296" s="4" t="str">
        <f>IFERROR(__xludf.DUMMYFUNCTION("""COMPUTED_VALUE"""),"Cardápio Web")</f>
        <v>Cardápio Web</v>
      </c>
      <c r="V5296" s="33">
        <f>IFERROR(__xludf.DUMMYFUNCTION("""COMPUTED_VALUE"""),0.5)</f>
        <v>0.5</v>
      </c>
      <c r="W5296" s="4" t="str">
        <f>IFERROR(__xludf.DUMMYFUNCTION("""COMPUTED_VALUE"""),"Cardápio Web")</f>
        <v>Cardápio Web</v>
      </c>
      <c r="X5296" s="33">
        <f>IFERROR(__xludf.DUMMYFUNCTION("""COMPUTED_VALUE"""),0.5)</f>
        <v>0.5</v>
      </c>
    </row>
    <row r="5297">
      <c r="K5297" s="4" t="str">
        <f>IFERROR(__xludf.DUMMYFUNCTION("""COMPUTED_VALUE"""),"CASA DA COSTELA")</f>
        <v>CASA DA COSTELA</v>
      </c>
      <c r="L5297" s="32">
        <f>IFERROR(__xludf.DUMMYFUNCTION("""COMPUTED_VALUE"""),2.0)</f>
        <v>2</v>
      </c>
      <c r="M5297" s="4" t="str">
        <f>IFERROR(__xludf.DUMMYFUNCTION("""COMPUTED_VALUE"""),"Alloy Tecnologia")</f>
        <v>Alloy Tecnologia</v>
      </c>
      <c r="N5297" s="33">
        <f>IFERROR(__xludf.DUMMYFUNCTION("""COMPUTED_VALUE"""),0.5)</f>
        <v>0.5</v>
      </c>
      <c r="O5297" s="4" t="str">
        <f>IFERROR(__xludf.DUMMYFUNCTION("""COMPUTED_VALUE"""),"Alloy Tecnologia")</f>
        <v>Alloy Tecnologia</v>
      </c>
      <c r="P5297" s="33">
        <f>IFERROR(__xludf.DUMMYFUNCTION("""COMPUTED_VALUE"""),0.5)</f>
        <v>0.5</v>
      </c>
      <c r="Q5297" s="4" t="str">
        <f>IFERROR(__xludf.DUMMYFUNCTION("""COMPUTED_VALUE"""),"Alloy Tecnologia")</f>
        <v>Alloy Tecnologia</v>
      </c>
      <c r="R5297" s="33">
        <f>IFERROR(__xludf.DUMMYFUNCTION("""COMPUTED_VALUE"""),0.5)</f>
        <v>0.5</v>
      </c>
      <c r="S5297" s="4" t="str">
        <f>IFERROR(__xludf.DUMMYFUNCTION("""COMPUTED_VALUE"""),"Alloy Tecnologia")</f>
        <v>Alloy Tecnologia</v>
      </c>
      <c r="T5297" s="33">
        <f>IFERROR(__xludf.DUMMYFUNCTION("""COMPUTED_VALUE"""),0.5)</f>
        <v>0.5</v>
      </c>
      <c r="U5297" s="4" t="str">
        <f>IFERROR(__xludf.DUMMYFUNCTION("""COMPUTED_VALUE"""),"null")</f>
        <v>null</v>
      </c>
      <c r="V5297" s="33">
        <f>IFERROR(__xludf.DUMMYFUNCTION("""COMPUTED_VALUE"""),0.5)</f>
        <v>0.5</v>
      </c>
      <c r="W5297" s="4" t="str">
        <f>IFERROR(__xludf.DUMMYFUNCTION("""COMPUTED_VALUE"""),"null")</f>
        <v>null</v>
      </c>
      <c r="X5297" s="33">
        <f>IFERROR(__xludf.DUMMYFUNCTION("""COMPUTED_VALUE"""),0.5)</f>
        <v>0.5</v>
      </c>
    </row>
    <row r="5298">
      <c r="K5298" s="4" t="str">
        <f>IFERROR(__xludf.DUMMYFUNCTION("""COMPUTED_VALUE"""),"PIZZA BITES")</f>
        <v>PIZZA BITES</v>
      </c>
      <c r="L5298" s="32">
        <f>IFERROR(__xludf.DUMMYFUNCTION("""COMPUTED_VALUE"""),2.0)</f>
        <v>2</v>
      </c>
      <c r="M5298" s="4" t="str">
        <f>IFERROR(__xludf.DUMMYFUNCTION("""COMPUTED_VALUE"""),"Saipos Serviços De Software")</f>
        <v>Saipos Serviços De Software</v>
      </c>
      <c r="N5298" s="33">
        <f>IFERROR(__xludf.DUMMYFUNCTION("""COMPUTED_VALUE"""),1.0)</f>
        <v>1</v>
      </c>
      <c r="O5298" s="4" t="str">
        <f>IFERROR(__xludf.DUMMYFUNCTION("""COMPUTED_VALUE"""),"Saipos Serviços De Software")</f>
        <v>Saipos Serviços De Software</v>
      </c>
      <c r="P5298" s="33">
        <f>IFERROR(__xludf.DUMMYFUNCTION("""COMPUTED_VALUE"""),1.0)</f>
        <v>1</v>
      </c>
      <c r="Q5298" s="4" t="str">
        <f>IFERROR(__xludf.DUMMYFUNCTION("""COMPUTED_VALUE"""),"Saipos Serviços De Software")</f>
        <v>Saipos Serviços De Software</v>
      </c>
      <c r="R5298" s="33">
        <f>IFERROR(__xludf.DUMMYFUNCTION("""COMPUTED_VALUE"""),1.0)</f>
        <v>1</v>
      </c>
      <c r="S5298" s="4" t="str">
        <f>IFERROR(__xludf.DUMMYFUNCTION("""COMPUTED_VALUE"""),"Saipos Serviços De Software")</f>
        <v>Saipos Serviços De Software</v>
      </c>
      <c r="T5298" s="33">
        <f>IFERROR(__xludf.DUMMYFUNCTION("""COMPUTED_VALUE"""),1.0)</f>
        <v>1</v>
      </c>
      <c r="U5298" s="4" t="str">
        <f>IFERROR(__xludf.DUMMYFUNCTION("""COMPUTED_VALUE"""),"Saipos Serviços De Software")</f>
        <v>Saipos Serviços De Software</v>
      </c>
      <c r="V5298" s="33">
        <f>IFERROR(__xludf.DUMMYFUNCTION("""COMPUTED_VALUE"""),1.0)</f>
        <v>1</v>
      </c>
      <c r="W5298" s="4" t="str">
        <f>IFERROR(__xludf.DUMMYFUNCTION("""COMPUTED_VALUE"""),"Saipos Serviços De Software")</f>
        <v>Saipos Serviços De Software</v>
      </c>
      <c r="X5298" s="33">
        <f>IFERROR(__xludf.DUMMYFUNCTION("""COMPUTED_VALUE"""),1.0)</f>
        <v>1</v>
      </c>
    </row>
    <row r="5299">
      <c r="K5299" s="4" t="str">
        <f>IFERROR(__xludf.DUMMYFUNCTION("""COMPUTED_VALUE"""),"MESTRE DOG")</f>
        <v>MESTRE DOG</v>
      </c>
      <c r="L5299" s="32">
        <f>IFERROR(__xludf.DUMMYFUNCTION("""COMPUTED_VALUE"""),2.0)</f>
        <v>2</v>
      </c>
      <c r="M5299" s="4" t="str">
        <f>IFERROR(__xludf.DUMMYFUNCTION("""COMPUTED_VALUE"""),"null")</f>
        <v>null</v>
      </c>
      <c r="N5299" s="33">
        <f>IFERROR(__xludf.DUMMYFUNCTION("""COMPUTED_VALUE"""),0.5)</f>
        <v>0.5</v>
      </c>
      <c r="O5299" s="4" t="str">
        <f>IFERROR(__xludf.DUMMYFUNCTION("""COMPUTED_VALUE"""),"null")</f>
        <v>null</v>
      </c>
      <c r="P5299" s="33">
        <f>IFERROR(__xludf.DUMMYFUNCTION("""COMPUTED_VALUE"""),1.0)</f>
        <v>1</v>
      </c>
      <c r="Q5299" s="4" t="str">
        <f>IFERROR(__xludf.DUMMYFUNCTION("""COMPUTED_VALUE"""),"null")</f>
        <v>null</v>
      </c>
      <c r="R5299" s="33">
        <f>IFERROR(__xludf.DUMMYFUNCTION("""COMPUTED_VALUE"""),1.0)</f>
        <v>1</v>
      </c>
      <c r="S5299" s="4" t="str">
        <f>IFERROR(__xludf.DUMMYFUNCTION("""COMPUTED_VALUE"""),"null")</f>
        <v>null</v>
      </c>
      <c r="T5299" s="33">
        <f>IFERROR(__xludf.DUMMYFUNCTION("""COMPUTED_VALUE"""),1.0)</f>
        <v>1</v>
      </c>
      <c r="U5299" s="4" t="str">
        <f>IFERROR(__xludf.DUMMYFUNCTION("""COMPUTED_VALUE"""),"null")</f>
        <v>null</v>
      </c>
      <c r="V5299" s="33">
        <f>IFERROR(__xludf.DUMMYFUNCTION("""COMPUTED_VALUE"""),1.0)</f>
        <v>1</v>
      </c>
      <c r="W5299" s="4" t="str">
        <f>IFERROR(__xludf.DUMMYFUNCTION("""COMPUTED_VALUE"""),"Cardápio Web")</f>
        <v>Cardápio Web</v>
      </c>
      <c r="X5299" s="33">
        <f>IFERROR(__xludf.DUMMYFUNCTION("""COMPUTED_VALUE"""),0.5)</f>
        <v>0.5</v>
      </c>
    </row>
    <row r="5300">
      <c r="K5300" s="4" t="str">
        <f>IFERROR(__xludf.DUMMYFUNCTION("""COMPUTED_VALUE"""),"DONNA FLORIPA HAMBURGUERIA")</f>
        <v>DONNA FLORIPA HAMBURGUERIA</v>
      </c>
      <c r="L5300" s="32">
        <f>IFERROR(__xludf.DUMMYFUNCTION("""COMPUTED_VALUE"""),2.0)</f>
        <v>2</v>
      </c>
      <c r="M5300" s="4" t="str">
        <f>IFERROR(__xludf.DUMMYFUNCTION("""COMPUTED_VALUE"""),"null")</f>
        <v>null</v>
      </c>
      <c r="N5300" s="33">
        <f>IFERROR(__xludf.DUMMYFUNCTION("""COMPUTED_VALUE"""),0.5)</f>
        <v>0.5</v>
      </c>
      <c r="O5300" s="4" t="str">
        <f>IFERROR(__xludf.DUMMYFUNCTION("""COMPUTED_VALUE"""),"Saipos Serviços De Software")</f>
        <v>Saipos Serviços De Software</v>
      </c>
      <c r="P5300" s="33">
        <f>IFERROR(__xludf.DUMMYFUNCTION("""COMPUTED_VALUE"""),0.5)</f>
        <v>0.5</v>
      </c>
      <c r="Q5300" s="4" t="str">
        <f>IFERROR(__xludf.DUMMYFUNCTION("""COMPUTED_VALUE"""),"Saipos Serviços De Software")</f>
        <v>Saipos Serviços De Software</v>
      </c>
      <c r="R5300" s="33">
        <f>IFERROR(__xludf.DUMMYFUNCTION("""COMPUTED_VALUE"""),0.5)</f>
        <v>0.5</v>
      </c>
      <c r="S5300" s="4" t="str">
        <f>IFERROR(__xludf.DUMMYFUNCTION("""COMPUTED_VALUE"""),"Saipos Serviços De Software")</f>
        <v>Saipos Serviços De Software</v>
      </c>
      <c r="T5300" s="33">
        <f>IFERROR(__xludf.DUMMYFUNCTION("""COMPUTED_VALUE"""),0.5)</f>
        <v>0.5</v>
      </c>
      <c r="U5300" s="4" t="str">
        <f>IFERROR(__xludf.DUMMYFUNCTION("""COMPUTED_VALUE"""),"Saipos Serviços De Software")</f>
        <v>Saipos Serviços De Software</v>
      </c>
      <c r="V5300" s="33">
        <f>IFERROR(__xludf.DUMMYFUNCTION("""COMPUTED_VALUE"""),0.5)</f>
        <v>0.5</v>
      </c>
      <c r="W5300" s="4" t="str">
        <f>IFERROR(__xludf.DUMMYFUNCTION("""COMPUTED_VALUE"""),"Saipos Serviços De Software")</f>
        <v>Saipos Serviços De Software</v>
      </c>
      <c r="X5300" s="33">
        <f>IFERROR(__xludf.DUMMYFUNCTION("""COMPUTED_VALUE"""),0.5)</f>
        <v>0.5</v>
      </c>
    </row>
    <row r="5301">
      <c r="K5301" s="4" t="str">
        <f>IFERROR(__xludf.DUMMYFUNCTION("""COMPUTED_VALUE"""),"PADARIA CRUZEIRO")</f>
        <v>PADARIA CRUZEIRO</v>
      </c>
      <c r="L5301" s="32">
        <f>IFERROR(__xludf.DUMMYFUNCTION("""COMPUTED_VALUE"""),2.0)</f>
        <v>2</v>
      </c>
      <c r="M5301" s="4" t="str">
        <f>IFERROR(__xludf.DUMMYFUNCTION("""COMPUTED_VALUE"""),"null")</f>
        <v>null</v>
      </c>
      <c r="N5301" s="33">
        <f>IFERROR(__xludf.DUMMYFUNCTION("""COMPUTED_VALUE"""),0.5)</f>
        <v>0.5</v>
      </c>
      <c r="O5301" s="4" t="str">
        <f>IFERROR(__xludf.DUMMYFUNCTION("""COMPUTED_VALUE"""),"null")</f>
        <v>null</v>
      </c>
      <c r="P5301" s="33">
        <f>IFERROR(__xludf.DUMMYFUNCTION("""COMPUTED_VALUE"""),0.5)</f>
        <v>0.5</v>
      </c>
      <c r="Q5301" s="4" t="str">
        <f>IFERROR(__xludf.DUMMYFUNCTION("""COMPUTED_VALUE"""),"null")</f>
        <v>null</v>
      </c>
      <c r="R5301" s="33">
        <f>IFERROR(__xludf.DUMMYFUNCTION("""COMPUTED_VALUE"""),0.5)</f>
        <v>0.5</v>
      </c>
      <c r="S5301" s="4" t="str">
        <f>IFERROR(__xludf.DUMMYFUNCTION("""COMPUTED_VALUE"""),"null")</f>
        <v>null</v>
      </c>
      <c r="T5301" s="33">
        <f>IFERROR(__xludf.DUMMYFUNCTION("""COMPUTED_VALUE"""),0.5)</f>
        <v>0.5</v>
      </c>
      <c r="U5301" s="4" t="str">
        <f>IFERROR(__xludf.DUMMYFUNCTION("""COMPUTED_VALUE"""),"null")</f>
        <v>null</v>
      </c>
      <c r="V5301" s="33">
        <f>IFERROR(__xludf.DUMMYFUNCTION("""COMPUTED_VALUE"""),0.5)</f>
        <v>0.5</v>
      </c>
      <c r="W5301" s="4" t="str">
        <f>IFERROR(__xludf.DUMMYFUNCTION("""COMPUTED_VALUE"""),"Sti3 Soluções Em Ti")</f>
        <v>Sti3 Soluções Em Ti</v>
      </c>
      <c r="X5301" s="33">
        <f>IFERROR(__xludf.DUMMYFUNCTION("""COMPUTED_VALUE"""),0.5)</f>
        <v>0.5</v>
      </c>
    </row>
    <row r="5302">
      <c r="K5302" s="4" t="str">
        <f>IFERROR(__xludf.DUMMYFUNCTION("""COMPUTED_VALUE"""),"ALDEOLA - TORTERIA E CAFETERIA")</f>
        <v>ALDEOLA - TORTERIA E CAFETERIA</v>
      </c>
      <c r="L5302" s="32">
        <f>IFERROR(__xludf.DUMMYFUNCTION("""COMPUTED_VALUE"""),2.0)</f>
        <v>2</v>
      </c>
      <c r="M5302" s="4" t="str">
        <f>IFERROR(__xludf.DUMMYFUNCTION("""COMPUTED_VALUE"""),"Totvs Large Enterprise Tecnologia S.a.")</f>
        <v>Totvs Large Enterprise Tecnologia S.a.</v>
      </c>
      <c r="N5302" s="33">
        <f>IFERROR(__xludf.DUMMYFUNCTION("""COMPUTED_VALUE"""),1.0)</f>
        <v>1</v>
      </c>
      <c r="O5302" s="4" t="str">
        <f>IFERROR(__xludf.DUMMYFUNCTION("""COMPUTED_VALUE"""),"Totvs Large Enterprise Tecnologia S.a.")</f>
        <v>Totvs Large Enterprise Tecnologia S.a.</v>
      </c>
      <c r="P5302" s="33">
        <f>IFERROR(__xludf.DUMMYFUNCTION("""COMPUTED_VALUE"""),1.0)</f>
        <v>1</v>
      </c>
      <c r="Q5302" s="4" t="str">
        <f>IFERROR(__xludf.DUMMYFUNCTION("""COMPUTED_VALUE"""),"Totvs Large Enterprise Tecnologia S.a.")</f>
        <v>Totvs Large Enterprise Tecnologia S.a.</v>
      </c>
      <c r="R5302" s="33">
        <f>IFERROR(__xludf.DUMMYFUNCTION("""COMPUTED_VALUE"""),1.0)</f>
        <v>1</v>
      </c>
      <c r="S5302" s="4" t="str">
        <f>IFERROR(__xludf.DUMMYFUNCTION("""COMPUTED_VALUE"""),"Totvs Large Enterprise Tecnologia S.a.")</f>
        <v>Totvs Large Enterprise Tecnologia S.a.</v>
      </c>
      <c r="T5302" s="33">
        <f>IFERROR(__xludf.DUMMYFUNCTION("""COMPUTED_VALUE"""),0.5)</f>
        <v>0.5</v>
      </c>
      <c r="U5302" s="4" t="str">
        <f>IFERROR(__xludf.DUMMYFUNCTION("""COMPUTED_VALUE"""),"Totvs Large Enterprise Tecnologia S.a.")</f>
        <v>Totvs Large Enterprise Tecnologia S.a.</v>
      </c>
      <c r="V5302" s="33">
        <f>IFERROR(__xludf.DUMMYFUNCTION("""COMPUTED_VALUE"""),0.5)</f>
        <v>0.5</v>
      </c>
      <c r="W5302" s="4" t="str">
        <f>IFERROR(__xludf.DUMMYFUNCTION("""COMPUTED_VALUE"""),"Totvs Large Enterprise Tecnologia S.a.")</f>
        <v>Totvs Large Enterprise Tecnologia S.a.</v>
      </c>
      <c r="X5302" s="33">
        <f>IFERROR(__xludf.DUMMYFUNCTION("""COMPUTED_VALUE"""),0.5)</f>
        <v>0.5</v>
      </c>
    </row>
    <row r="5303">
      <c r="K5303" s="4" t="str">
        <f>IFERROR(__xludf.DUMMYFUNCTION("""COMPUTED_VALUE"""),"TASTY BURGUER")</f>
        <v>TASTY BURGUER</v>
      </c>
      <c r="L5303" s="32">
        <f>IFERROR(__xludf.DUMMYFUNCTION("""COMPUTED_VALUE"""),2.0)</f>
        <v>2</v>
      </c>
      <c r="M5303" s="4" t="str">
        <f>IFERROR(__xludf.DUMMYFUNCTION("""COMPUTED_VALUE"""),"Anota Ai Solucoes Digitais S/a")</f>
        <v>Anota Ai Solucoes Digitais S/a</v>
      </c>
      <c r="N5303" s="33">
        <f>IFERROR(__xludf.DUMMYFUNCTION("""COMPUTED_VALUE"""),0.5)</f>
        <v>0.5</v>
      </c>
      <c r="O5303" s="4" t="str">
        <f>IFERROR(__xludf.DUMMYFUNCTION("""COMPUTED_VALUE"""),"Anota Ai Solucoes Digitais S/a")</f>
        <v>Anota Ai Solucoes Digitais S/a</v>
      </c>
      <c r="P5303" s="33">
        <f>IFERROR(__xludf.DUMMYFUNCTION("""COMPUTED_VALUE"""),0.5)</f>
        <v>0.5</v>
      </c>
      <c r="Q5303" s="4" t="str">
        <f>IFERROR(__xludf.DUMMYFUNCTION("""COMPUTED_VALUE"""),"Anota Ai Solucoes Digitais S/a")</f>
        <v>Anota Ai Solucoes Digitais S/a</v>
      </c>
      <c r="R5303" s="33">
        <f>IFERROR(__xludf.DUMMYFUNCTION("""COMPUTED_VALUE"""),0.5)</f>
        <v>0.5</v>
      </c>
      <c r="S5303" s="4" t="str">
        <f>IFERROR(__xludf.DUMMYFUNCTION("""COMPUTED_VALUE"""),"Anota Ai Solucoes Digitais S/a")</f>
        <v>Anota Ai Solucoes Digitais S/a</v>
      </c>
      <c r="T5303" s="33">
        <f>IFERROR(__xludf.DUMMYFUNCTION("""COMPUTED_VALUE"""),0.5)</f>
        <v>0.5</v>
      </c>
      <c r="U5303" s="4" t="str">
        <f>IFERROR(__xludf.DUMMYFUNCTION("""COMPUTED_VALUE"""),"Anota Ai Solucoes Digitais S/a")</f>
        <v>Anota Ai Solucoes Digitais S/a</v>
      </c>
      <c r="V5303" s="33">
        <f>IFERROR(__xludf.DUMMYFUNCTION("""COMPUTED_VALUE"""),0.5)</f>
        <v>0.5</v>
      </c>
      <c r="W5303" s="4" t="str">
        <f>IFERROR(__xludf.DUMMYFUNCTION("""COMPUTED_VALUE"""),"Anota Ai Solucoes Digitais S/a")</f>
        <v>Anota Ai Solucoes Digitais S/a</v>
      </c>
      <c r="X5303" s="33">
        <f>IFERROR(__xludf.DUMMYFUNCTION("""COMPUTED_VALUE"""),0.5)</f>
        <v>0.5</v>
      </c>
    </row>
    <row r="5304">
      <c r="K5304" s="4" t="str">
        <f>IFERROR(__xludf.DUMMYFUNCTION("""COMPUTED_VALUE"""),"HOUSE HAMBURGUERIA")</f>
        <v>HOUSE HAMBURGUERIA</v>
      </c>
      <c r="L5304" s="32">
        <f>IFERROR(__xludf.DUMMYFUNCTION("""COMPUTED_VALUE"""),2.0)</f>
        <v>2</v>
      </c>
      <c r="M5304" s="4" t="str">
        <f>IFERROR(__xludf.DUMMYFUNCTION("""COMPUTED_VALUE"""),"Ncr")</f>
        <v>Ncr</v>
      </c>
      <c r="N5304" s="33">
        <f>IFERROR(__xludf.DUMMYFUNCTION("""COMPUTED_VALUE"""),0.5)</f>
        <v>0.5</v>
      </c>
      <c r="O5304" s="4" t="str">
        <f>IFERROR(__xludf.DUMMYFUNCTION("""COMPUTED_VALUE"""),"Ncr")</f>
        <v>Ncr</v>
      </c>
      <c r="P5304" s="33">
        <f>IFERROR(__xludf.DUMMYFUNCTION("""COMPUTED_VALUE"""),0.5)</f>
        <v>0.5</v>
      </c>
      <c r="Q5304" s="4" t="str">
        <f>IFERROR(__xludf.DUMMYFUNCTION("""COMPUTED_VALUE"""),"Ncr")</f>
        <v>Ncr</v>
      </c>
      <c r="R5304" s="33">
        <f>IFERROR(__xludf.DUMMYFUNCTION("""COMPUTED_VALUE"""),0.5)</f>
        <v>0.5</v>
      </c>
      <c r="S5304" s="4" t="str">
        <f>IFERROR(__xludf.DUMMYFUNCTION("""COMPUTED_VALUE"""),"Ncr")</f>
        <v>Ncr</v>
      </c>
      <c r="T5304" s="33">
        <f>IFERROR(__xludf.DUMMYFUNCTION("""COMPUTED_VALUE"""),0.5)</f>
        <v>0.5</v>
      </c>
      <c r="U5304" s="4" t="str">
        <f>IFERROR(__xludf.DUMMYFUNCTION("""COMPUTED_VALUE"""),"Ncr")</f>
        <v>Ncr</v>
      </c>
      <c r="V5304" s="33">
        <f>IFERROR(__xludf.DUMMYFUNCTION("""COMPUTED_VALUE"""),0.5)</f>
        <v>0.5</v>
      </c>
      <c r="W5304" s="4" t="str">
        <f>IFERROR(__xludf.DUMMYFUNCTION("""COMPUTED_VALUE"""),"Ncr")</f>
        <v>Ncr</v>
      </c>
      <c r="X5304" s="33">
        <f>IFERROR(__xludf.DUMMYFUNCTION("""COMPUTED_VALUE"""),0.5)</f>
        <v>0.5</v>
      </c>
    </row>
    <row r="5305">
      <c r="K5305" s="4" t="str">
        <f>IFERROR(__xludf.DUMMYFUNCTION("""COMPUTED_VALUE"""),"MAIS ESFIHAS")</f>
        <v>MAIS ESFIHAS</v>
      </c>
      <c r="L5305" s="32">
        <f>IFERROR(__xludf.DUMMYFUNCTION("""COMPUTED_VALUE"""),2.0)</f>
        <v>2</v>
      </c>
      <c r="M5305" s="4" t="str">
        <f>IFERROR(__xludf.DUMMYFUNCTION("""COMPUTED_VALUE"""),"Anota Ai Solucoes Digitais S/a")</f>
        <v>Anota Ai Solucoes Digitais S/a</v>
      </c>
      <c r="N5305" s="33">
        <f>IFERROR(__xludf.DUMMYFUNCTION("""COMPUTED_VALUE"""),0.5)</f>
        <v>0.5</v>
      </c>
      <c r="O5305" s="4" t="str">
        <f>IFERROR(__xludf.DUMMYFUNCTION("""COMPUTED_VALUE"""),"Anota Ai Solucoes Digitais S/a")</f>
        <v>Anota Ai Solucoes Digitais S/a</v>
      </c>
      <c r="P5305" s="33">
        <f>IFERROR(__xludf.DUMMYFUNCTION("""COMPUTED_VALUE"""),0.5)</f>
        <v>0.5</v>
      </c>
      <c r="Q5305" s="4" t="str">
        <f>IFERROR(__xludf.DUMMYFUNCTION("""COMPUTED_VALUE"""),"Anota Ai Solucoes Digitais S/a")</f>
        <v>Anota Ai Solucoes Digitais S/a</v>
      </c>
      <c r="R5305" s="33">
        <f>IFERROR(__xludf.DUMMYFUNCTION("""COMPUTED_VALUE"""),0.5)</f>
        <v>0.5</v>
      </c>
      <c r="S5305" s="4" t="str">
        <f>IFERROR(__xludf.DUMMYFUNCTION("""COMPUTED_VALUE"""),"Anota Ai Solucoes Digitais S/a")</f>
        <v>Anota Ai Solucoes Digitais S/a</v>
      </c>
      <c r="T5305" s="33">
        <f>IFERROR(__xludf.DUMMYFUNCTION("""COMPUTED_VALUE"""),0.5)</f>
        <v>0.5</v>
      </c>
      <c r="U5305" s="4" t="str">
        <f>IFERROR(__xludf.DUMMYFUNCTION("""COMPUTED_VALUE"""),"Anota Ai Solucoes Digitais S/a")</f>
        <v>Anota Ai Solucoes Digitais S/a</v>
      </c>
      <c r="V5305" s="33">
        <f>IFERROR(__xludf.DUMMYFUNCTION("""COMPUTED_VALUE"""),0.5)</f>
        <v>0.5</v>
      </c>
      <c r="W5305" s="4" t="str">
        <f>IFERROR(__xludf.DUMMYFUNCTION("""COMPUTED_VALUE"""),"Anota Ai Solucoes Digitais S/a")</f>
        <v>Anota Ai Solucoes Digitais S/a</v>
      </c>
      <c r="X5305" s="33">
        <f>IFERROR(__xludf.DUMMYFUNCTION("""COMPUTED_VALUE"""),0.5)</f>
        <v>0.5</v>
      </c>
    </row>
    <row r="5306">
      <c r="K5306" s="4" t="str">
        <f>IFERROR(__xludf.DUMMYFUNCTION("""COMPUTED_VALUE"""),"SAL E PIMENTA MARMITARIA")</f>
        <v>SAL E PIMENTA MARMITARIA</v>
      </c>
      <c r="L5306" s="32">
        <f>IFERROR(__xludf.DUMMYFUNCTION("""COMPUTED_VALUE"""),2.0)</f>
        <v>2</v>
      </c>
      <c r="M5306" s="4" t="str">
        <f>IFERROR(__xludf.DUMMYFUNCTION("""COMPUTED_VALUE"""),"Parseint Desenvolvimento De Sistemas Ltda")</f>
        <v>Parseint Desenvolvimento De Sistemas Ltda</v>
      </c>
      <c r="N5306" s="33">
        <f>IFERROR(__xludf.DUMMYFUNCTION("""COMPUTED_VALUE"""),0.5)</f>
        <v>0.5</v>
      </c>
      <c r="O5306" s="4" t="str">
        <f>IFERROR(__xludf.DUMMYFUNCTION("""COMPUTED_VALUE"""),"Parseint Desenvolvimento De Sistemas Ltda")</f>
        <v>Parseint Desenvolvimento De Sistemas Ltda</v>
      </c>
      <c r="P5306" s="33">
        <f>IFERROR(__xludf.DUMMYFUNCTION("""COMPUTED_VALUE"""),0.5)</f>
        <v>0.5</v>
      </c>
      <c r="Q5306" s="4" t="str">
        <f>IFERROR(__xludf.DUMMYFUNCTION("""COMPUTED_VALUE"""),"Parseint Desenvolvimento De Sistemas Ltda")</f>
        <v>Parseint Desenvolvimento De Sistemas Ltda</v>
      </c>
      <c r="R5306" s="33">
        <f>IFERROR(__xludf.DUMMYFUNCTION("""COMPUTED_VALUE"""),0.5)</f>
        <v>0.5</v>
      </c>
      <c r="S5306" s="4" t="str">
        <f>IFERROR(__xludf.DUMMYFUNCTION("""COMPUTED_VALUE"""),"Parseint Desenvolvimento De Sistemas Ltda")</f>
        <v>Parseint Desenvolvimento De Sistemas Ltda</v>
      </c>
      <c r="T5306" s="33">
        <f>IFERROR(__xludf.DUMMYFUNCTION("""COMPUTED_VALUE"""),0.5)</f>
        <v>0.5</v>
      </c>
      <c r="U5306" s="4" t="str">
        <f>IFERROR(__xludf.DUMMYFUNCTION("""COMPUTED_VALUE"""),"Parseint Desenvolvimento De Sistemas Ltda")</f>
        <v>Parseint Desenvolvimento De Sistemas Ltda</v>
      </c>
      <c r="V5306" s="33">
        <f>IFERROR(__xludf.DUMMYFUNCTION("""COMPUTED_VALUE"""),0.5)</f>
        <v>0.5</v>
      </c>
      <c r="W5306" s="4" t="str">
        <f>IFERROR(__xludf.DUMMYFUNCTION("""COMPUTED_VALUE"""),"Parseint Desenvolvimento De Sistemas Ltda")</f>
        <v>Parseint Desenvolvimento De Sistemas Ltda</v>
      </c>
      <c r="X5306" s="33">
        <f>IFERROR(__xludf.DUMMYFUNCTION("""COMPUTED_VALUE"""),1.0)</f>
        <v>1</v>
      </c>
    </row>
    <row r="5307">
      <c r="K5307" s="4" t="str">
        <f>IFERROR(__xludf.DUMMYFUNCTION("""COMPUTED_VALUE"""),"PRIME BURGUER BEER")</f>
        <v>PRIME BURGUER BEER</v>
      </c>
      <c r="L5307" s="32">
        <f>IFERROR(__xludf.DUMMYFUNCTION("""COMPUTED_VALUE"""),2.0)</f>
        <v>2</v>
      </c>
      <c r="M5307" s="4" t="str">
        <f>IFERROR(__xludf.DUMMYFUNCTION("""COMPUTED_VALUE"""),"Cardápio Web")</f>
        <v>Cardápio Web</v>
      </c>
      <c r="N5307" s="33">
        <f>IFERROR(__xludf.DUMMYFUNCTION("""COMPUTED_VALUE"""),0.5)</f>
        <v>0.5</v>
      </c>
      <c r="O5307" s="4" t="str">
        <f>IFERROR(__xludf.DUMMYFUNCTION("""COMPUTED_VALUE"""),"Cardápio Web")</f>
        <v>Cardápio Web</v>
      </c>
      <c r="P5307" s="33">
        <f>IFERROR(__xludf.DUMMYFUNCTION("""COMPUTED_VALUE"""),0.5)</f>
        <v>0.5</v>
      </c>
      <c r="Q5307" s="4" t="str">
        <f>IFERROR(__xludf.DUMMYFUNCTION("""COMPUTED_VALUE"""),"Cardápio Web")</f>
        <v>Cardápio Web</v>
      </c>
      <c r="R5307" s="33">
        <f>IFERROR(__xludf.DUMMYFUNCTION("""COMPUTED_VALUE"""),0.5)</f>
        <v>0.5</v>
      </c>
      <c r="S5307" s="4" t="str">
        <f>IFERROR(__xludf.DUMMYFUNCTION("""COMPUTED_VALUE"""),"Cardápio Web")</f>
        <v>Cardápio Web</v>
      </c>
      <c r="T5307" s="33">
        <f>IFERROR(__xludf.DUMMYFUNCTION("""COMPUTED_VALUE"""),0.5)</f>
        <v>0.5</v>
      </c>
      <c r="U5307" s="4" t="str">
        <f>IFERROR(__xludf.DUMMYFUNCTION("""COMPUTED_VALUE"""),"Cardápio Web")</f>
        <v>Cardápio Web</v>
      </c>
      <c r="V5307" s="33">
        <f>IFERROR(__xludf.DUMMYFUNCTION("""COMPUTED_VALUE"""),0.5)</f>
        <v>0.5</v>
      </c>
      <c r="W5307" s="4" t="str">
        <f>IFERROR(__xludf.DUMMYFUNCTION("""COMPUTED_VALUE"""),"Cardápio Web")</f>
        <v>Cardápio Web</v>
      </c>
      <c r="X5307" s="33">
        <f>IFERROR(__xludf.DUMMYFUNCTION("""COMPUTED_VALUE"""),0.5)</f>
        <v>0.5</v>
      </c>
    </row>
    <row r="5308">
      <c r="K5308" s="4" t="str">
        <f>IFERROR(__xludf.DUMMYFUNCTION("""COMPUTED_VALUE"""),"HAMBURGUERIA TOP LANCHES")</f>
        <v>HAMBURGUERIA TOP LANCHES</v>
      </c>
      <c r="L5308" s="32">
        <f>IFERROR(__xludf.DUMMYFUNCTION("""COMPUTED_VALUE"""),2.0)</f>
        <v>2</v>
      </c>
      <c r="M5308" s="4" t="str">
        <f>IFERROR(__xludf.DUMMYFUNCTION("""COMPUTED_VALUE"""),"Mp Multipedidos")</f>
        <v>Mp Multipedidos</v>
      </c>
      <c r="N5308" s="33">
        <f>IFERROR(__xludf.DUMMYFUNCTION("""COMPUTED_VALUE"""),0.5)</f>
        <v>0.5</v>
      </c>
      <c r="O5308" s="4" t="str">
        <f>IFERROR(__xludf.DUMMYFUNCTION("""COMPUTED_VALUE"""),"Mp Multipedidos")</f>
        <v>Mp Multipedidos</v>
      </c>
      <c r="P5308" s="33">
        <f>IFERROR(__xludf.DUMMYFUNCTION("""COMPUTED_VALUE"""),0.5)</f>
        <v>0.5</v>
      </c>
      <c r="Q5308" s="4" t="str">
        <f>IFERROR(__xludf.DUMMYFUNCTION("""COMPUTED_VALUE"""),"Mp Multipedidos")</f>
        <v>Mp Multipedidos</v>
      </c>
      <c r="R5308" s="33">
        <f>IFERROR(__xludf.DUMMYFUNCTION("""COMPUTED_VALUE"""),0.5)</f>
        <v>0.5</v>
      </c>
      <c r="S5308" s="4" t="str">
        <f>IFERROR(__xludf.DUMMYFUNCTION("""COMPUTED_VALUE"""),"Mp Multipedidos")</f>
        <v>Mp Multipedidos</v>
      </c>
      <c r="T5308" s="33">
        <f>IFERROR(__xludf.DUMMYFUNCTION("""COMPUTED_VALUE"""),0.5)</f>
        <v>0.5</v>
      </c>
      <c r="U5308" s="4" t="str">
        <f>IFERROR(__xludf.DUMMYFUNCTION("""COMPUTED_VALUE"""),"Mp Multipedidos")</f>
        <v>Mp Multipedidos</v>
      </c>
      <c r="V5308" s="33">
        <f>IFERROR(__xludf.DUMMYFUNCTION("""COMPUTED_VALUE"""),0.5)</f>
        <v>0.5</v>
      </c>
      <c r="W5308" s="4" t="str">
        <f>IFERROR(__xludf.DUMMYFUNCTION("""COMPUTED_VALUE"""),"Mp Multipedidos")</f>
        <v>Mp Multipedidos</v>
      </c>
      <c r="X5308" s="33">
        <f>IFERROR(__xludf.DUMMYFUNCTION("""COMPUTED_VALUE"""),0.5)</f>
        <v>0.5</v>
      </c>
    </row>
    <row r="5309">
      <c r="K5309" s="4" t="str">
        <f>IFERROR(__xludf.DUMMYFUNCTION("""COMPUTED_VALUE"""),"DELICIAS DA CASA")</f>
        <v>DELICIAS DA CASA</v>
      </c>
      <c r="L5309" s="32">
        <f>IFERROR(__xludf.DUMMYFUNCTION("""COMPUTED_VALUE"""),2.0)</f>
        <v>2</v>
      </c>
      <c r="M5309" s="4" t="str">
        <f>IFERROR(__xludf.DUMMYFUNCTION("""COMPUTED_VALUE"""),"null")</f>
        <v>null</v>
      </c>
      <c r="N5309" s="33">
        <f>IFERROR(__xludf.DUMMYFUNCTION("""COMPUTED_VALUE"""),1.0)</f>
        <v>1</v>
      </c>
      <c r="O5309" s="4" t="str">
        <f>IFERROR(__xludf.DUMMYFUNCTION("""COMPUTED_VALUE"""),"Olaclick")</f>
        <v>Olaclick</v>
      </c>
      <c r="P5309" s="33">
        <f>IFERROR(__xludf.DUMMYFUNCTION("""COMPUTED_VALUE"""),0.5)</f>
        <v>0.5</v>
      </c>
      <c r="Q5309" s="4" t="str">
        <f>IFERROR(__xludf.DUMMYFUNCTION("""COMPUTED_VALUE"""),"Olaclick")</f>
        <v>Olaclick</v>
      </c>
      <c r="R5309" s="33">
        <f>IFERROR(__xludf.DUMMYFUNCTION("""COMPUTED_VALUE"""),0.5)</f>
        <v>0.5</v>
      </c>
      <c r="S5309" s="4" t="str">
        <f>IFERROR(__xludf.DUMMYFUNCTION("""COMPUTED_VALUE"""),"Olaclick")</f>
        <v>Olaclick</v>
      </c>
      <c r="T5309" s="33">
        <f>IFERROR(__xludf.DUMMYFUNCTION("""COMPUTED_VALUE"""),0.5)</f>
        <v>0.5</v>
      </c>
      <c r="U5309" s="4" t="str">
        <f>IFERROR(__xludf.DUMMYFUNCTION("""COMPUTED_VALUE"""),"Olaclick")</f>
        <v>Olaclick</v>
      </c>
      <c r="V5309" s="33">
        <f>IFERROR(__xludf.DUMMYFUNCTION("""COMPUTED_VALUE"""),0.5)</f>
        <v>0.5</v>
      </c>
      <c r="W5309" s="4" t="str">
        <f>IFERROR(__xludf.DUMMYFUNCTION("""COMPUTED_VALUE"""),"Olaclick")</f>
        <v>Olaclick</v>
      </c>
      <c r="X5309" s="33">
        <f>IFERROR(__xludf.DUMMYFUNCTION("""COMPUTED_VALUE"""),0.5)</f>
        <v>0.5</v>
      </c>
    </row>
    <row r="5310">
      <c r="K5310" s="4" t="str">
        <f>IFERROR(__xludf.DUMMYFUNCTION("""COMPUTED_VALUE"""),"LA FARINA PIZZERIA NAPOLETANA")</f>
        <v>LA FARINA PIZZERIA NAPOLETANA</v>
      </c>
      <c r="L5310" s="32">
        <f>IFERROR(__xludf.DUMMYFUNCTION("""COMPUTED_VALUE"""),2.0)</f>
        <v>2</v>
      </c>
      <c r="M5310" s="4" t="str">
        <f>IFERROR(__xludf.DUMMYFUNCTION("""COMPUTED_VALUE"""),"Suitable Tecnologia E Gestao")</f>
        <v>Suitable Tecnologia E Gestao</v>
      </c>
      <c r="N5310" s="33">
        <f>IFERROR(__xludf.DUMMYFUNCTION("""COMPUTED_VALUE"""),1.0)</f>
        <v>1</v>
      </c>
      <c r="O5310" s="4" t="str">
        <f>IFERROR(__xludf.DUMMYFUNCTION("""COMPUTED_VALUE"""),"Suitable Tecnologia E Gestao")</f>
        <v>Suitable Tecnologia E Gestao</v>
      </c>
      <c r="P5310" s="33">
        <f>IFERROR(__xludf.DUMMYFUNCTION("""COMPUTED_VALUE"""),1.0)</f>
        <v>1</v>
      </c>
      <c r="Q5310" s="4" t="str">
        <f>IFERROR(__xludf.DUMMYFUNCTION("""COMPUTED_VALUE"""),"Suitable Tecnologia E Gestao")</f>
        <v>Suitable Tecnologia E Gestao</v>
      </c>
      <c r="R5310" s="33">
        <f>IFERROR(__xludf.DUMMYFUNCTION("""COMPUTED_VALUE"""),1.0)</f>
        <v>1</v>
      </c>
      <c r="S5310" s="4" t="str">
        <f>IFERROR(__xludf.DUMMYFUNCTION("""COMPUTED_VALUE"""),"Suitable Tecnologia E Gestao")</f>
        <v>Suitable Tecnologia E Gestao</v>
      </c>
      <c r="T5310" s="33">
        <f>IFERROR(__xludf.DUMMYFUNCTION("""COMPUTED_VALUE"""),0.5)</f>
        <v>0.5</v>
      </c>
      <c r="U5310" s="4" t="str">
        <f>IFERROR(__xludf.DUMMYFUNCTION("""COMPUTED_VALUE"""),"null")</f>
        <v>null</v>
      </c>
      <c r="V5310" s="33">
        <f>IFERROR(__xludf.DUMMYFUNCTION("""COMPUTED_VALUE"""),0.5)</f>
        <v>0.5</v>
      </c>
      <c r="W5310" s="4" t="str">
        <f>IFERROR(__xludf.DUMMYFUNCTION("""COMPUTED_VALUE"""),"Suitable Tecnologia E Gestao")</f>
        <v>Suitable Tecnologia E Gestao</v>
      </c>
      <c r="X5310" s="33">
        <f>IFERROR(__xludf.DUMMYFUNCTION("""COMPUTED_VALUE"""),0.5)</f>
        <v>0.5</v>
      </c>
    </row>
    <row r="5311">
      <c r="K5311" s="4" t="str">
        <f>IFERROR(__xludf.DUMMYFUNCTION("""COMPUTED_VALUE"""),"TA NA CHAPA LANCHES E PORCOES")</f>
        <v>TA NA CHAPA LANCHES E PORCOES</v>
      </c>
      <c r="L5311" s="32">
        <f>IFERROR(__xludf.DUMMYFUNCTION("""COMPUTED_VALUE"""),2.0)</f>
        <v>2</v>
      </c>
      <c r="M5311" s="4" t="str">
        <f>IFERROR(__xludf.DUMMYFUNCTION("""COMPUTED_VALUE"""),"Anota Ai Solucoes Digitais S/a")</f>
        <v>Anota Ai Solucoes Digitais S/a</v>
      </c>
      <c r="N5311" s="33">
        <f>IFERROR(__xludf.DUMMYFUNCTION("""COMPUTED_VALUE"""),1.0)</f>
        <v>1</v>
      </c>
      <c r="O5311" s="4" t="str">
        <f>IFERROR(__xludf.DUMMYFUNCTION("""COMPUTED_VALUE"""),"Anota Ai Solucoes Digitais S/a")</f>
        <v>Anota Ai Solucoes Digitais S/a</v>
      </c>
      <c r="P5311" s="33">
        <f>IFERROR(__xludf.DUMMYFUNCTION("""COMPUTED_VALUE"""),1.0)</f>
        <v>1</v>
      </c>
      <c r="Q5311" s="4" t="str">
        <f>IFERROR(__xludf.DUMMYFUNCTION("""COMPUTED_VALUE"""),"Anota Ai Solucoes Digitais S/a")</f>
        <v>Anota Ai Solucoes Digitais S/a</v>
      </c>
      <c r="R5311" s="33">
        <f>IFERROR(__xludf.DUMMYFUNCTION("""COMPUTED_VALUE"""),0.5)</f>
        <v>0.5</v>
      </c>
      <c r="S5311" s="4" t="str">
        <f>IFERROR(__xludf.DUMMYFUNCTION("""COMPUTED_VALUE"""),"Anota Ai Solucoes Digitais S/a")</f>
        <v>Anota Ai Solucoes Digitais S/a</v>
      </c>
      <c r="T5311" s="33">
        <f>IFERROR(__xludf.DUMMYFUNCTION("""COMPUTED_VALUE"""),1.0)</f>
        <v>1</v>
      </c>
      <c r="U5311" s="4" t="str">
        <f>IFERROR(__xludf.DUMMYFUNCTION("""COMPUTED_VALUE"""),"Anota Ai Solucoes Digitais S/a")</f>
        <v>Anota Ai Solucoes Digitais S/a</v>
      </c>
      <c r="V5311" s="33">
        <f>IFERROR(__xludf.DUMMYFUNCTION("""COMPUTED_VALUE"""),0.5)</f>
        <v>0.5</v>
      </c>
      <c r="W5311" s="4" t="str">
        <f>IFERROR(__xludf.DUMMYFUNCTION("""COMPUTED_VALUE"""),"Anota Ai Solucoes Digitais S/a")</f>
        <v>Anota Ai Solucoes Digitais S/a</v>
      </c>
      <c r="X5311" s="33">
        <f>IFERROR(__xludf.DUMMYFUNCTION("""COMPUTED_VALUE"""),0.5)</f>
        <v>0.5</v>
      </c>
    </row>
    <row r="5312">
      <c r="K5312" s="4" t="str">
        <f>IFERROR(__xludf.DUMMYFUNCTION("""COMPUTED_VALUE"""),"TIA SONIA CACHORRO QUENTE")</f>
        <v>TIA SONIA CACHORRO QUENTE</v>
      </c>
      <c r="L5312" s="32">
        <f>IFERROR(__xludf.DUMMYFUNCTION("""COMPUTED_VALUE"""),2.0)</f>
        <v>2</v>
      </c>
      <c r="M5312" s="4" t="str">
        <f>IFERROR(__xludf.DUMMYFUNCTION("""COMPUTED_VALUE"""),"Consumer Soluções Em Tecnologia Ltda")</f>
        <v>Consumer Soluções Em Tecnologia Ltda</v>
      </c>
      <c r="N5312" s="33">
        <f>IFERROR(__xludf.DUMMYFUNCTION("""COMPUTED_VALUE"""),1.0)</f>
        <v>1</v>
      </c>
      <c r="O5312" s="4" t="str">
        <f>IFERROR(__xludf.DUMMYFUNCTION("""COMPUTED_VALUE"""),"Consumer Soluções Em Tecnologia Ltda")</f>
        <v>Consumer Soluções Em Tecnologia Ltda</v>
      </c>
      <c r="P5312" s="33">
        <f>IFERROR(__xludf.DUMMYFUNCTION("""COMPUTED_VALUE"""),1.0)</f>
        <v>1</v>
      </c>
      <c r="Q5312" s="4" t="str">
        <f>IFERROR(__xludf.DUMMYFUNCTION("""COMPUTED_VALUE"""),"Consumer Soluções Em Tecnologia Ltda")</f>
        <v>Consumer Soluções Em Tecnologia Ltda</v>
      </c>
      <c r="R5312" s="33">
        <f>IFERROR(__xludf.DUMMYFUNCTION("""COMPUTED_VALUE"""),1.0)</f>
        <v>1</v>
      </c>
      <c r="S5312" s="4" t="str">
        <f>IFERROR(__xludf.DUMMYFUNCTION("""COMPUTED_VALUE"""),"Consumer Soluções Em Tecnologia Ltda")</f>
        <v>Consumer Soluções Em Tecnologia Ltda</v>
      </c>
      <c r="T5312" s="33">
        <f>IFERROR(__xludf.DUMMYFUNCTION("""COMPUTED_VALUE"""),1.0)</f>
        <v>1</v>
      </c>
      <c r="U5312" s="4" t="str">
        <f>IFERROR(__xludf.DUMMYFUNCTION("""COMPUTED_VALUE"""),"Consumer Soluções Em Tecnologia Ltda")</f>
        <v>Consumer Soluções Em Tecnologia Ltda</v>
      </c>
      <c r="V5312" s="33">
        <f>IFERROR(__xludf.DUMMYFUNCTION("""COMPUTED_VALUE"""),0.5)</f>
        <v>0.5</v>
      </c>
      <c r="W5312" s="4" t="str">
        <f>IFERROR(__xludf.DUMMYFUNCTION("""COMPUTED_VALUE"""),"Consumer Soluções Em Tecnologia Ltda")</f>
        <v>Consumer Soluções Em Tecnologia Ltda</v>
      </c>
      <c r="X5312" s="33">
        <f>IFERROR(__xludf.DUMMYFUNCTION("""COMPUTED_VALUE"""),0.5)</f>
        <v>0.5</v>
      </c>
    </row>
    <row r="5313">
      <c r="K5313" s="4" t="str">
        <f>IFERROR(__xludf.DUMMYFUNCTION("""COMPUTED_VALUE"""),"KAMI SAMA SUSHI")</f>
        <v>KAMI SAMA SUSHI</v>
      </c>
      <c r="L5313" s="32">
        <f>IFERROR(__xludf.DUMMYFUNCTION("""COMPUTED_VALUE"""),2.0)</f>
        <v>2</v>
      </c>
      <c r="M5313" s="4" t="str">
        <f>IFERROR(__xludf.DUMMYFUNCTION("""COMPUTED_VALUE"""),"Click Soluções Inteligentes")</f>
        <v>Click Soluções Inteligentes</v>
      </c>
      <c r="N5313" s="33">
        <f>IFERROR(__xludf.DUMMYFUNCTION("""COMPUTED_VALUE"""),1.0)</f>
        <v>1</v>
      </c>
      <c r="O5313" s="4" t="str">
        <f>IFERROR(__xludf.DUMMYFUNCTION("""COMPUTED_VALUE"""),"Click Soluções Inteligentes")</f>
        <v>Click Soluções Inteligentes</v>
      </c>
      <c r="P5313" s="33">
        <f>IFERROR(__xludf.DUMMYFUNCTION("""COMPUTED_VALUE"""),1.0)</f>
        <v>1</v>
      </c>
      <c r="Q5313" s="4" t="str">
        <f>IFERROR(__xludf.DUMMYFUNCTION("""COMPUTED_VALUE"""),"Click Soluções Inteligentes")</f>
        <v>Click Soluções Inteligentes</v>
      </c>
      <c r="R5313" s="33">
        <f>IFERROR(__xludf.DUMMYFUNCTION("""COMPUTED_VALUE"""),1.0)</f>
        <v>1</v>
      </c>
      <c r="S5313" s="4" t="str">
        <f>IFERROR(__xludf.DUMMYFUNCTION("""COMPUTED_VALUE"""),"Click Soluções Inteligentes")</f>
        <v>Click Soluções Inteligentes</v>
      </c>
      <c r="T5313" s="33">
        <f>IFERROR(__xludf.DUMMYFUNCTION("""COMPUTED_VALUE"""),1.0)</f>
        <v>1</v>
      </c>
      <c r="U5313" s="4" t="str">
        <f>IFERROR(__xludf.DUMMYFUNCTION("""COMPUTED_VALUE"""),"Click Soluções Inteligentes")</f>
        <v>Click Soluções Inteligentes</v>
      </c>
      <c r="V5313" s="33">
        <f>IFERROR(__xludf.DUMMYFUNCTION("""COMPUTED_VALUE"""),1.0)</f>
        <v>1</v>
      </c>
      <c r="W5313" s="4" t="str">
        <f>IFERROR(__xludf.DUMMYFUNCTION("""COMPUTED_VALUE"""),"null")</f>
        <v>null</v>
      </c>
      <c r="X5313" s="33">
        <f>IFERROR(__xludf.DUMMYFUNCTION("""COMPUTED_VALUE"""),0.5)</f>
        <v>0.5</v>
      </c>
    </row>
    <row r="5314">
      <c r="K5314" s="4" t="str">
        <f>IFERROR(__xludf.DUMMYFUNCTION("""COMPUTED_VALUE"""),"IMPERIO SALGADOS")</f>
        <v>IMPERIO SALGADOS</v>
      </c>
      <c r="L5314" s="32">
        <f>IFERROR(__xludf.DUMMYFUNCTION("""COMPUTED_VALUE"""),2.0)</f>
        <v>2</v>
      </c>
      <c r="M5314" s="4" t="str">
        <f>IFERROR(__xludf.DUMMYFUNCTION("""COMPUTED_VALUE"""),"null")</f>
        <v>null</v>
      </c>
      <c r="N5314" s="33">
        <f>IFERROR(__xludf.DUMMYFUNCTION("""COMPUTED_VALUE"""),0.5)</f>
        <v>0.5</v>
      </c>
      <c r="O5314" s="4" t="str">
        <f>IFERROR(__xludf.DUMMYFUNCTION("""COMPUTED_VALUE"""),"null")</f>
        <v>null</v>
      </c>
      <c r="P5314" s="33">
        <f>IFERROR(__xludf.DUMMYFUNCTION("""COMPUTED_VALUE"""),0.5)</f>
        <v>0.5</v>
      </c>
      <c r="Q5314" s="4" t="str">
        <f>IFERROR(__xludf.DUMMYFUNCTION("""COMPUTED_VALUE"""),"Suitable Tecnologia E Gestao")</f>
        <v>Suitable Tecnologia E Gestao</v>
      </c>
      <c r="R5314" s="33">
        <f>IFERROR(__xludf.DUMMYFUNCTION("""COMPUTED_VALUE"""),0.5)</f>
        <v>0.5</v>
      </c>
      <c r="S5314" s="4" t="str">
        <f>IFERROR(__xludf.DUMMYFUNCTION("""COMPUTED_VALUE"""),"Suitable Tecnologia E Gestao")</f>
        <v>Suitable Tecnologia E Gestao</v>
      </c>
      <c r="T5314" s="33">
        <f>IFERROR(__xludf.DUMMYFUNCTION("""COMPUTED_VALUE"""),0.5)</f>
        <v>0.5</v>
      </c>
      <c r="U5314" s="4" t="str">
        <f>IFERROR(__xludf.DUMMYFUNCTION("""COMPUTED_VALUE"""),"Suitable Tecnologia E Gestao")</f>
        <v>Suitable Tecnologia E Gestao</v>
      </c>
      <c r="V5314" s="33">
        <f>IFERROR(__xludf.DUMMYFUNCTION("""COMPUTED_VALUE"""),0.5)</f>
        <v>0.5</v>
      </c>
      <c r="W5314" s="4" t="str">
        <f>IFERROR(__xludf.DUMMYFUNCTION("""COMPUTED_VALUE"""),"Suitable Tecnologia E Gestao")</f>
        <v>Suitable Tecnologia E Gestao</v>
      </c>
      <c r="X5314" s="33">
        <f>IFERROR(__xludf.DUMMYFUNCTION("""COMPUTED_VALUE"""),0.5)</f>
        <v>0.5</v>
      </c>
    </row>
    <row r="5315">
      <c r="K5315" s="4" t="str">
        <f>IFERROR(__xludf.DUMMYFUNCTION("""COMPUTED_VALUE"""),"KING HAMBURGUERIA")</f>
        <v>KING HAMBURGUERIA</v>
      </c>
      <c r="L5315" s="32">
        <f>IFERROR(__xludf.DUMMYFUNCTION("""COMPUTED_VALUE"""),2.0)</f>
        <v>2</v>
      </c>
      <c r="M5315" s="4" t="str">
        <f>IFERROR(__xludf.DUMMYFUNCTION("""COMPUTED_VALUE"""),"Cardápio Web")</f>
        <v>Cardápio Web</v>
      </c>
      <c r="N5315" s="33">
        <f>IFERROR(__xludf.DUMMYFUNCTION("""COMPUTED_VALUE"""),0.5)</f>
        <v>0.5</v>
      </c>
      <c r="O5315" s="4" t="str">
        <f>IFERROR(__xludf.DUMMYFUNCTION("""COMPUTED_VALUE"""),"Cardápio Web")</f>
        <v>Cardápio Web</v>
      </c>
      <c r="P5315" s="33">
        <f>IFERROR(__xludf.DUMMYFUNCTION("""COMPUTED_VALUE"""),0.5)</f>
        <v>0.5</v>
      </c>
      <c r="Q5315" s="4" t="str">
        <f>IFERROR(__xludf.DUMMYFUNCTION("""COMPUTED_VALUE"""),"Cardápio Web")</f>
        <v>Cardápio Web</v>
      </c>
      <c r="R5315" s="33">
        <f>IFERROR(__xludf.DUMMYFUNCTION("""COMPUTED_VALUE"""),0.5)</f>
        <v>0.5</v>
      </c>
      <c r="S5315" s="4" t="str">
        <f>IFERROR(__xludf.DUMMYFUNCTION("""COMPUTED_VALUE"""),"Cardápio Web")</f>
        <v>Cardápio Web</v>
      </c>
      <c r="T5315" s="33">
        <f>IFERROR(__xludf.DUMMYFUNCTION("""COMPUTED_VALUE"""),0.5)</f>
        <v>0.5</v>
      </c>
      <c r="U5315" s="4" t="str">
        <f>IFERROR(__xludf.DUMMYFUNCTION("""COMPUTED_VALUE"""),"Cardápio Web")</f>
        <v>Cardápio Web</v>
      </c>
      <c r="V5315" s="33">
        <f>IFERROR(__xludf.DUMMYFUNCTION("""COMPUTED_VALUE"""),0.5)</f>
        <v>0.5</v>
      </c>
      <c r="W5315" s="4" t="str">
        <f>IFERROR(__xludf.DUMMYFUNCTION("""COMPUTED_VALUE"""),"Cardápio Web")</f>
        <v>Cardápio Web</v>
      </c>
      <c r="X5315" s="33">
        <f>IFERROR(__xludf.DUMMYFUNCTION("""COMPUTED_VALUE"""),0.5)</f>
        <v>0.5</v>
      </c>
    </row>
    <row r="5316">
      <c r="K5316" s="4" t="str">
        <f>IFERROR(__xludf.DUMMYFUNCTION("""COMPUTED_VALUE"""),"MANIA LANCHES")</f>
        <v>MANIA LANCHES</v>
      </c>
      <c r="L5316" s="32">
        <f>IFERROR(__xludf.DUMMYFUNCTION("""COMPUTED_VALUE"""),2.0)</f>
        <v>2</v>
      </c>
      <c r="M5316" s="4" t="str">
        <f>IFERROR(__xludf.DUMMYFUNCTION("""COMPUTED_VALUE"""),"Cardápio Web")</f>
        <v>Cardápio Web</v>
      </c>
      <c r="N5316" s="33">
        <f>IFERROR(__xludf.DUMMYFUNCTION("""COMPUTED_VALUE"""),0.5)</f>
        <v>0.5</v>
      </c>
      <c r="O5316" s="4" t="str">
        <f>IFERROR(__xludf.DUMMYFUNCTION("""COMPUTED_VALUE"""),"Cardápio Web")</f>
        <v>Cardápio Web</v>
      </c>
      <c r="P5316" s="33">
        <f>IFERROR(__xludf.DUMMYFUNCTION("""COMPUTED_VALUE"""),0.5)</f>
        <v>0.5</v>
      </c>
      <c r="Q5316" s="4" t="str">
        <f>IFERROR(__xludf.DUMMYFUNCTION("""COMPUTED_VALUE"""),"Cardápio Web")</f>
        <v>Cardápio Web</v>
      </c>
      <c r="R5316" s="33">
        <f>IFERROR(__xludf.DUMMYFUNCTION("""COMPUTED_VALUE"""),0.5)</f>
        <v>0.5</v>
      </c>
      <c r="S5316" s="4" t="str">
        <f>IFERROR(__xludf.DUMMYFUNCTION("""COMPUTED_VALUE"""),"Cardápio Web")</f>
        <v>Cardápio Web</v>
      </c>
      <c r="T5316" s="33">
        <f>IFERROR(__xludf.DUMMYFUNCTION("""COMPUTED_VALUE"""),0.5)</f>
        <v>0.5</v>
      </c>
      <c r="U5316" s="4" t="str">
        <f>IFERROR(__xludf.DUMMYFUNCTION("""COMPUTED_VALUE"""),"Cardápio Web")</f>
        <v>Cardápio Web</v>
      </c>
      <c r="V5316" s="33">
        <f>IFERROR(__xludf.DUMMYFUNCTION("""COMPUTED_VALUE"""),0.5)</f>
        <v>0.5</v>
      </c>
      <c r="W5316" s="4" t="str">
        <f>IFERROR(__xludf.DUMMYFUNCTION("""COMPUTED_VALUE"""),"Cardápio Web")</f>
        <v>Cardápio Web</v>
      </c>
      <c r="X5316" s="33">
        <f>IFERROR(__xludf.DUMMYFUNCTION("""COMPUTED_VALUE"""),0.5)</f>
        <v>0.5</v>
      </c>
    </row>
    <row r="5317">
      <c r="K5317" s="4" t="str">
        <f>IFERROR(__xludf.DUMMYFUNCTION("""COMPUTED_VALUE"""),"MAFIA DOGS - HAMBURGUER E HOT DOG")</f>
        <v>MAFIA DOGS - HAMBURGUER E HOT DOG</v>
      </c>
      <c r="L5317" s="32">
        <f>IFERROR(__xludf.DUMMYFUNCTION("""COMPUTED_VALUE"""),2.0)</f>
        <v>2</v>
      </c>
      <c r="M5317" s="4" t="str">
        <f>IFERROR(__xludf.DUMMYFUNCTION("""COMPUTED_VALUE"""),"Brendi")</f>
        <v>Brendi</v>
      </c>
      <c r="N5317" s="33">
        <f>IFERROR(__xludf.DUMMYFUNCTION("""COMPUTED_VALUE"""),1.0)</f>
        <v>1</v>
      </c>
      <c r="O5317" s="4" t="str">
        <f>IFERROR(__xludf.DUMMYFUNCTION("""COMPUTED_VALUE"""),"Brendi")</f>
        <v>Brendi</v>
      </c>
      <c r="P5317" s="33">
        <f>IFERROR(__xludf.DUMMYFUNCTION("""COMPUTED_VALUE"""),1.0)</f>
        <v>1</v>
      </c>
      <c r="Q5317" s="4" t="str">
        <f>IFERROR(__xludf.DUMMYFUNCTION("""COMPUTED_VALUE"""),"Brendi")</f>
        <v>Brendi</v>
      </c>
      <c r="R5317" s="33">
        <f>IFERROR(__xludf.DUMMYFUNCTION("""COMPUTED_VALUE"""),1.0)</f>
        <v>1</v>
      </c>
      <c r="S5317" s="4" t="str">
        <f>IFERROR(__xludf.DUMMYFUNCTION("""COMPUTED_VALUE"""),"Brendi")</f>
        <v>Brendi</v>
      </c>
      <c r="T5317" s="33">
        <f>IFERROR(__xludf.DUMMYFUNCTION("""COMPUTED_VALUE"""),1.0)</f>
        <v>1</v>
      </c>
      <c r="U5317" s="4" t="str">
        <f>IFERROR(__xludf.DUMMYFUNCTION("""COMPUTED_VALUE"""),"Brendi")</f>
        <v>Brendi</v>
      </c>
      <c r="V5317" s="33">
        <f>IFERROR(__xludf.DUMMYFUNCTION("""COMPUTED_VALUE"""),1.0)</f>
        <v>1</v>
      </c>
      <c r="W5317" s="4" t="str">
        <f>IFERROR(__xludf.DUMMYFUNCTION("""COMPUTED_VALUE"""),"N/A (Not found)")</f>
        <v>N/A (Not found)</v>
      </c>
      <c r="X5317" s="33">
        <f>IFERROR(__xludf.DUMMYFUNCTION("""COMPUTED_VALUE"""),0.5)</f>
        <v>0.5</v>
      </c>
    </row>
    <row r="5318">
      <c r="K5318" s="4" t="str">
        <f>IFERROR(__xludf.DUMMYFUNCTION("""COMPUTED_VALUE"""),"BISCOITOS BRIEJER")</f>
        <v>BISCOITOS BRIEJER</v>
      </c>
      <c r="L5318" s="32">
        <f>IFERROR(__xludf.DUMMYFUNCTION("""COMPUTED_VALUE"""),2.0)</f>
        <v>2</v>
      </c>
      <c r="M5318" s="4" t="str">
        <f>IFERROR(__xludf.DUMMYFUNCTION("""COMPUTED_VALUE"""),"null")</f>
        <v>null</v>
      </c>
      <c r="N5318" s="33">
        <f>IFERROR(__xludf.DUMMYFUNCTION("""COMPUTED_VALUE"""),0.5)</f>
        <v>0.5</v>
      </c>
      <c r="O5318" s="4" t="str">
        <f>IFERROR(__xludf.DUMMYFUNCTION("""COMPUTED_VALUE"""),"null")</f>
        <v>null</v>
      </c>
      <c r="P5318" s="33">
        <f>IFERROR(__xludf.DUMMYFUNCTION("""COMPUTED_VALUE"""),0.5)</f>
        <v>0.5</v>
      </c>
      <c r="Q5318" s="4" t="str">
        <f>IFERROR(__xludf.DUMMYFUNCTION("""COMPUTED_VALUE"""),"null")</f>
        <v>null</v>
      </c>
      <c r="R5318" s="33">
        <f>IFERROR(__xludf.DUMMYFUNCTION("""COMPUTED_VALUE"""),0.5)</f>
        <v>0.5</v>
      </c>
      <c r="S5318" s="4" t="str">
        <f>IFERROR(__xludf.DUMMYFUNCTION("""COMPUTED_VALUE"""),"null")</f>
        <v>null</v>
      </c>
      <c r="T5318" s="33">
        <f>IFERROR(__xludf.DUMMYFUNCTION("""COMPUTED_VALUE"""),0.5)</f>
        <v>0.5</v>
      </c>
      <c r="U5318" s="4" t="str">
        <f>IFERROR(__xludf.DUMMYFUNCTION("""COMPUTED_VALUE"""),"Izzy Way Tecnologia")</f>
        <v>Izzy Way Tecnologia</v>
      </c>
      <c r="V5318" s="33">
        <f>IFERROR(__xludf.DUMMYFUNCTION("""COMPUTED_VALUE"""),1.0)</f>
        <v>1</v>
      </c>
      <c r="W5318" s="4" t="str">
        <f>IFERROR(__xludf.DUMMYFUNCTION("""COMPUTED_VALUE"""),"Izzy Way Tecnologia")</f>
        <v>Izzy Way Tecnologia</v>
      </c>
      <c r="X5318" s="33">
        <f>IFERROR(__xludf.DUMMYFUNCTION("""COMPUTED_VALUE"""),1.0)</f>
        <v>1</v>
      </c>
    </row>
    <row r="5319">
      <c r="K5319" s="4" t="str">
        <f>IFERROR(__xludf.DUMMYFUNCTION("""COMPUTED_VALUE"""),"DOG DO SORRISO")</f>
        <v>DOG DO SORRISO</v>
      </c>
      <c r="L5319" s="32">
        <f>IFERROR(__xludf.DUMMYFUNCTION("""COMPUTED_VALUE"""),2.0)</f>
        <v>2</v>
      </c>
      <c r="M5319" s="4" t="str">
        <f>IFERROR(__xludf.DUMMYFUNCTION("""COMPUTED_VALUE"""),"Consumer Soluções Em Tecnologia Ltda")</f>
        <v>Consumer Soluções Em Tecnologia Ltda</v>
      </c>
      <c r="N5319" s="33">
        <f>IFERROR(__xludf.DUMMYFUNCTION("""COMPUTED_VALUE"""),0.5)</f>
        <v>0.5</v>
      </c>
      <c r="O5319" s="4" t="str">
        <f>IFERROR(__xludf.DUMMYFUNCTION("""COMPUTED_VALUE"""),"Brendi")</f>
        <v>Brendi</v>
      </c>
      <c r="P5319" s="33">
        <f>IFERROR(__xludf.DUMMYFUNCTION("""COMPUTED_VALUE"""),1.0)</f>
        <v>1</v>
      </c>
      <c r="Q5319" s="4" t="str">
        <f>IFERROR(__xludf.DUMMYFUNCTION("""COMPUTED_VALUE"""),"null")</f>
        <v>null</v>
      </c>
      <c r="R5319" s="33">
        <f>IFERROR(__xludf.DUMMYFUNCTION("""COMPUTED_VALUE"""),0.5)</f>
        <v>0.5</v>
      </c>
      <c r="S5319" s="4" t="str">
        <f>IFERROR(__xludf.DUMMYFUNCTION("""COMPUTED_VALUE"""),"Brendi")</f>
        <v>Brendi</v>
      </c>
      <c r="T5319" s="33">
        <f>IFERROR(__xludf.DUMMYFUNCTION("""COMPUTED_VALUE"""),1.0)</f>
        <v>1</v>
      </c>
      <c r="U5319" s="4" t="str">
        <f>IFERROR(__xludf.DUMMYFUNCTION("""COMPUTED_VALUE"""),"Brendi")</f>
        <v>Brendi</v>
      </c>
      <c r="V5319" s="33">
        <f>IFERROR(__xludf.DUMMYFUNCTION("""COMPUTED_VALUE"""),1.0)</f>
        <v>1</v>
      </c>
      <c r="W5319" s="4" t="str">
        <f>IFERROR(__xludf.DUMMYFUNCTION("""COMPUTED_VALUE"""),"Brendi")</f>
        <v>Brendi</v>
      </c>
      <c r="X5319" s="33">
        <f>IFERROR(__xludf.DUMMYFUNCTION("""COMPUTED_VALUE"""),1.0)</f>
        <v>1</v>
      </c>
    </row>
    <row r="5320">
      <c r="K5320" s="4" t="str">
        <f>IFERROR(__xludf.DUMMYFUNCTION("""COMPUTED_VALUE"""),"POINT DA VILA")</f>
        <v>POINT DA VILA</v>
      </c>
      <c r="L5320" s="32">
        <f>IFERROR(__xludf.DUMMYFUNCTION("""COMPUTED_VALUE"""),2.0)</f>
        <v>2</v>
      </c>
      <c r="M5320" s="4" t="str">
        <f>IFERROR(__xludf.DUMMYFUNCTION("""COMPUTED_VALUE"""),"Yooga")</f>
        <v>Yooga</v>
      </c>
      <c r="N5320" s="33">
        <f>IFERROR(__xludf.DUMMYFUNCTION("""COMPUTED_VALUE"""),0.5)</f>
        <v>0.5</v>
      </c>
      <c r="O5320" s="4" t="str">
        <f>IFERROR(__xludf.DUMMYFUNCTION("""COMPUTED_VALUE"""),"Yooga")</f>
        <v>Yooga</v>
      </c>
      <c r="P5320" s="33">
        <f>IFERROR(__xludf.DUMMYFUNCTION("""COMPUTED_VALUE"""),0.5)</f>
        <v>0.5</v>
      </c>
      <c r="Q5320" s="4" t="str">
        <f>IFERROR(__xludf.DUMMYFUNCTION("""COMPUTED_VALUE"""),"Yooga")</f>
        <v>Yooga</v>
      </c>
      <c r="R5320" s="33">
        <f>IFERROR(__xludf.DUMMYFUNCTION("""COMPUTED_VALUE"""),0.5)</f>
        <v>0.5</v>
      </c>
      <c r="S5320" s="4" t="str">
        <f>IFERROR(__xludf.DUMMYFUNCTION("""COMPUTED_VALUE"""),"Yooga")</f>
        <v>Yooga</v>
      </c>
      <c r="T5320" s="33">
        <f>IFERROR(__xludf.DUMMYFUNCTION("""COMPUTED_VALUE"""),0.5)</f>
        <v>0.5</v>
      </c>
      <c r="U5320" s="4" t="str">
        <f>IFERROR(__xludf.DUMMYFUNCTION("""COMPUTED_VALUE"""),"Yooga")</f>
        <v>Yooga</v>
      </c>
      <c r="V5320" s="33">
        <f>IFERROR(__xludf.DUMMYFUNCTION("""COMPUTED_VALUE"""),0.5)</f>
        <v>0.5</v>
      </c>
      <c r="W5320" s="4" t="str">
        <f>IFERROR(__xludf.DUMMYFUNCTION("""COMPUTED_VALUE"""),"Yooga")</f>
        <v>Yooga</v>
      </c>
      <c r="X5320" s="33">
        <f>IFERROR(__xludf.DUMMYFUNCTION("""COMPUTED_VALUE"""),0.5)</f>
        <v>0.5</v>
      </c>
    </row>
    <row r="5321">
      <c r="K5321" s="4" t="str">
        <f>IFERROR(__xludf.DUMMYFUNCTION("""COMPUTED_VALUE"""),"LEVE SABOR")</f>
        <v>LEVE SABOR</v>
      </c>
      <c r="L5321" s="32">
        <f>IFERROR(__xludf.DUMMYFUNCTION("""COMPUTED_VALUE"""),2.0)</f>
        <v>2</v>
      </c>
      <c r="M5321" s="4" t="str">
        <f>IFERROR(__xludf.DUMMYFUNCTION("""COMPUTED_VALUE"""),"null")</f>
        <v>null</v>
      </c>
      <c r="N5321" s="33">
        <f>IFERROR(__xludf.DUMMYFUNCTION("""COMPUTED_VALUE"""),0.5)</f>
        <v>0.5</v>
      </c>
      <c r="O5321" s="4" t="str">
        <f>IFERROR(__xludf.DUMMYFUNCTION("""COMPUTED_VALUE"""),"null")</f>
        <v>null</v>
      </c>
      <c r="P5321" s="33">
        <f>IFERROR(__xludf.DUMMYFUNCTION("""COMPUTED_VALUE"""),0.5)</f>
        <v>0.5</v>
      </c>
      <c r="Q5321" s="4" t="str">
        <f>IFERROR(__xludf.DUMMYFUNCTION("""COMPUTED_VALUE"""),"null")</f>
        <v>null</v>
      </c>
      <c r="R5321" s="33">
        <f>IFERROR(__xludf.DUMMYFUNCTION("""COMPUTED_VALUE"""),0.5)</f>
        <v>0.5</v>
      </c>
      <c r="S5321" s="4" t="str">
        <f>IFERROR(__xludf.DUMMYFUNCTION("""COMPUTED_VALUE"""),"null")</f>
        <v>null</v>
      </c>
      <c r="T5321" s="33">
        <f>IFERROR(__xludf.DUMMYFUNCTION("""COMPUTED_VALUE"""),0.5)</f>
        <v>0.5</v>
      </c>
      <c r="U5321" s="4" t="str">
        <f>IFERROR(__xludf.DUMMYFUNCTION("""COMPUTED_VALUE"""),"Saipos Serviços De Software")</f>
        <v>Saipos Serviços De Software</v>
      </c>
      <c r="V5321" s="33">
        <f>IFERROR(__xludf.DUMMYFUNCTION("""COMPUTED_VALUE"""),0.5)</f>
        <v>0.5</v>
      </c>
      <c r="W5321" s="4" t="str">
        <f>IFERROR(__xludf.DUMMYFUNCTION("""COMPUTED_VALUE"""),"Saipos Serviços De Software")</f>
        <v>Saipos Serviços De Software</v>
      </c>
      <c r="X5321" s="33">
        <f>IFERROR(__xludf.DUMMYFUNCTION("""COMPUTED_VALUE"""),0.5)</f>
        <v>0.5</v>
      </c>
    </row>
    <row r="5322">
      <c r="K5322" s="4" t="str">
        <f>IFERROR(__xludf.DUMMYFUNCTION("""COMPUTED_VALUE"""),"BURGUERSIA")</f>
        <v>BURGUERSIA</v>
      </c>
      <c r="L5322" s="32">
        <f>IFERROR(__xludf.DUMMYFUNCTION("""COMPUTED_VALUE"""),2.0)</f>
        <v>2</v>
      </c>
      <c r="M5322" s="4" t="str">
        <f>IFERROR(__xludf.DUMMYFUNCTION("""COMPUTED_VALUE"""),"Saipos Serviços De Software")</f>
        <v>Saipos Serviços De Software</v>
      </c>
      <c r="N5322" s="33">
        <f>IFERROR(__xludf.DUMMYFUNCTION("""COMPUTED_VALUE"""),0.5)</f>
        <v>0.5</v>
      </c>
      <c r="O5322" s="4" t="str">
        <f>IFERROR(__xludf.DUMMYFUNCTION("""COMPUTED_VALUE"""),"Saipos Serviços De Software")</f>
        <v>Saipos Serviços De Software</v>
      </c>
      <c r="P5322" s="33">
        <f>IFERROR(__xludf.DUMMYFUNCTION("""COMPUTED_VALUE"""),0.5)</f>
        <v>0.5</v>
      </c>
      <c r="Q5322" s="4" t="str">
        <f>IFERROR(__xludf.DUMMYFUNCTION("""COMPUTED_VALUE"""),"Saipos Serviços De Software")</f>
        <v>Saipos Serviços De Software</v>
      </c>
      <c r="R5322" s="33">
        <f>IFERROR(__xludf.DUMMYFUNCTION("""COMPUTED_VALUE"""),0.5)</f>
        <v>0.5</v>
      </c>
      <c r="S5322" s="4" t="str">
        <f>IFERROR(__xludf.DUMMYFUNCTION("""COMPUTED_VALUE"""),"Saipos Serviços De Software")</f>
        <v>Saipos Serviços De Software</v>
      </c>
      <c r="T5322" s="33">
        <f>IFERROR(__xludf.DUMMYFUNCTION("""COMPUTED_VALUE"""),0.5)</f>
        <v>0.5</v>
      </c>
      <c r="U5322" s="4" t="str">
        <f>IFERROR(__xludf.DUMMYFUNCTION("""COMPUTED_VALUE"""),"Saipos Serviços De Software")</f>
        <v>Saipos Serviços De Software</v>
      </c>
      <c r="V5322" s="33">
        <f>IFERROR(__xludf.DUMMYFUNCTION("""COMPUTED_VALUE"""),0.5)</f>
        <v>0.5</v>
      </c>
      <c r="W5322" s="4" t="str">
        <f>IFERROR(__xludf.DUMMYFUNCTION("""COMPUTED_VALUE"""),"Saipos Serviços De Software")</f>
        <v>Saipos Serviços De Software</v>
      </c>
      <c r="X5322" s="33">
        <f>IFERROR(__xludf.DUMMYFUNCTION("""COMPUTED_VALUE"""),0.5)</f>
        <v>0.5</v>
      </c>
    </row>
    <row r="5323">
      <c r="K5323" s="4" t="str">
        <f>IFERROR(__xludf.DUMMYFUNCTION("""COMPUTED_VALUE"""),"KAKA LANCHES")</f>
        <v>KAKA LANCHES</v>
      </c>
      <c r="L5323" s="32">
        <f>IFERROR(__xludf.DUMMYFUNCTION("""COMPUTED_VALUE"""),2.0)</f>
        <v>2</v>
      </c>
      <c r="M5323" s="4" t="str">
        <f>IFERROR(__xludf.DUMMYFUNCTION("""COMPUTED_VALUE"""),"Saipos Serviços De Software")</f>
        <v>Saipos Serviços De Software</v>
      </c>
      <c r="N5323" s="33">
        <f>IFERROR(__xludf.DUMMYFUNCTION("""COMPUTED_VALUE"""),0.5)</f>
        <v>0.5</v>
      </c>
      <c r="O5323" s="4" t="str">
        <f>IFERROR(__xludf.DUMMYFUNCTION("""COMPUTED_VALUE"""),"null")</f>
        <v>null</v>
      </c>
      <c r="P5323" s="33">
        <f>IFERROR(__xludf.DUMMYFUNCTION("""COMPUTED_VALUE"""),0.5)</f>
        <v>0.5</v>
      </c>
      <c r="Q5323" s="4" t="str">
        <f>IFERROR(__xludf.DUMMYFUNCTION("""COMPUTED_VALUE"""),"null")</f>
        <v>null</v>
      </c>
      <c r="R5323" s="33">
        <f>IFERROR(__xludf.DUMMYFUNCTION("""COMPUTED_VALUE"""),0.5)</f>
        <v>0.5</v>
      </c>
      <c r="S5323" s="4" t="str">
        <f>IFERROR(__xludf.DUMMYFUNCTION("""COMPUTED_VALUE"""),"null")</f>
        <v>null</v>
      </c>
      <c r="T5323" s="33">
        <f>IFERROR(__xludf.DUMMYFUNCTION("""COMPUTED_VALUE"""),0.5)</f>
        <v>0.5</v>
      </c>
      <c r="U5323" s="4" t="str">
        <f>IFERROR(__xludf.DUMMYFUNCTION("""COMPUTED_VALUE"""),"Anota Ai Solucoes Digitais S/a")</f>
        <v>Anota Ai Solucoes Digitais S/a</v>
      </c>
      <c r="V5323" s="33">
        <f>IFERROR(__xludf.DUMMYFUNCTION("""COMPUTED_VALUE"""),1.0)</f>
        <v>1</v>
      </c>
      <c r="W5323" s="4" t="str">
        <f>IFERROR(__xludf.DUMMYFUNCTION("""COMPUTED_VALUE"""),"Anota Ai Solucoes Digitais S/a")</f>
        <v>Anota Ai Solucoes Digitais S/a</v>
      </c>
      <c r="X5323" s="33">
        <f>IFERROR(__xludf.DUMMYFUNCTION("""COMPUTED_VALUE"""),1.0)</f>
        <v>1</v>
      </c>
    </row>
    <row r="5324">
      <c r="K5324" s="4" t="str">
        <f>IFERROR(__xludf.DUMMYFUNCTION("""COMPUTED_VALUE"""),"HARD BURGER")</f>
        <v>HARD BURGER</v>
      </c>
      <c r="L5324" s="32">
        <f>IFERROR(__xludf.DUMMYFUNCTION("""COMPUTED_VALUE"""),2.0)</f>
        <v>2</v>
      </c>
      <c r="M5324" s="4" t="str">
        <f>IFERROR(__xludf.DUMMYFUNCTION("""COMPUTED_VALUE"""),"Ncr")</f>
        <v>Ncr</v>
      </c>
      <c r="N5324" s="33">
        <f>IFERROR(__xludf.DUMMYFUNCTION("""COMPUTED_VALUE"""),0.5)</f>
        <v>0.5</v>
      </c>
      <c r="O5324" s="4" t="str">
        <f>IFERROR(__xludf.DUMMYFUNCTION("""COMPUTED_VALUE"""),"Ncr")</f>
        <v>Ncr</v>
      </c>
      <c r="P5324" s="33">
        <f>IFERROR(__xludf.DUMMYFUNCTION("""COMPUTED_VALUE"""),0.5)</f>
        <v>0.5</v>
      </c>
      <c r="Q5324" s="4" t="str">
        <f>IFERROR(__xludf.DUMMYFUNCTION("""COMPUTED_VALUE"""),"Ncr")</f>
        <v>Ncr</v>
      </c>
      <c r="R5324" s="33">
        <f>IFERROR(__xludf.DUMMYFUNCTION("""COMPUTED_VALUE"""),0.5)</f>
        <v>0.5</v>
      </c>
      <c r="S5324" s="4" t="str">
        <f>IFERROR(__xludf.DUMMYFUNCTION("""COMPUTED_VALUE"""),"Ncr")</f>
        <v>Ncr</v>
      </c>
      <c r="T5324" s="33">
        <f>IFERROR(__xludf.DUMMYFUNCTION("""COMPUTED_VALUE"""),0.5)</f>
        <v>0.5</v>
      </c>
      <c r="U5324" s="4" t="str">
        <f>IFERROR(__xludf.DUMMYFUNCTION("""COMPUTED_VALUE"""),"Ncr")</f>
        <v>Ncr</v>
      </c>
      <c r="V5324" s="33">
        <f>IFERROR(__xludf.DUMMYFUNCTION("""COMPUTED_VALUE"""),0.5)</f>
        <v>0.5</v>
      </c>
      <c r="W5324" s="4" t="str">
        <f>IFERROR(__xludf.DUMMYFUNCTION("""COMPUTED_VALUE"""),"Ncr")</f>
        <v>Ncr</v>
      </c>
      <c r="X5324" s="33">
        <f>IFERROR(__xludf.DUMMYFUNCTION("""COMPUTED_VALUE"""),0.5)</f>
        <v>0.5</v>
      </c>
    </row>
    <row r="5325">
      <c r="K5325" s="4" t="str">
        <f>IFERROR(__xludf.DUMMYFUNCTION("""COMPUTED_VALUE"""),"PIZZARIA ESTACAO")</f>
        <v>PIZZARIA ESTACAO</v>
      </c>
      <c r="L5325" s="32">
        <f>IFERROR(__xludf.DUMMYFUNCTION("""COMPUTED_VALUE"""),2.0)</f>
        <v>2</v>
      </c>
      <c r="M5325" s="4" t="str">
        <f>IFERROR(__xludf.DUMMYFUNCTION("""COMPUTED_VALUE"""),"null")</f>
        <v>null</v>
      </c>
      <c r="N5325" s="33">
        <f>IFERROR(__xludf.DUMMYFUNCTION("""COMPUTED_VALUE"""),1.0)</f>
        <v>1</v>
      </c>
      <c r="O5325" s="4" t="str">
        <f>IFERROR(__xludf.DUMMYFUNCTION("""COMPUTED_VALUE"""),"null")</f>
        <v>null</v>
      </c>
      <c r="P5325" s="33">
        <f>IFERROR(__xludf.DUMMYFUNCTION("""COMPUTED_VALUE"""),1.0)</f>
        <v>1</v>
      </c>
      <c r="Q5325" s="4" t="str">
        <f>IFERROR(__xludf.DUMMYFUNCTION("""COMPUTED_VALUE"""),"Consumer Soluções Em Tecnologia Ltda")</f>
        <v>Consumer Soluções Em Tecnologia Ltda</v>
      </c>
      <c r="R5325" s="33">
        <f>IFERROR(__xludf.DUMMYFUNCTION("""COMPUTED_VALUE"""),0.5)</f>
        <v>0.5</v>
      </c>
      <c r="S5325" s="4" t="str">
        <f>IFERROR(__xludf.DUMMYFUNCTION("""COMPUTED_VALUE"""),"Consumer Soluções Em Tecnologia Ltda")</f>
        <v>Consumer Soluções Em Tecnologia Ltda</v>
      </c>
      <c r="T5325" s="33">
        <f>IFERROR(__xludf.DUMMYFUNCTION("""COMPUTED_VALUE"""),0.5)</f>
        <v>0.5</v>
      </c>
      <c r="U5325" s="4" t="str">
        <f>IFERROR(__xludf.DUMMYFUNCTION("""COMPUTED_VALUE"""),"Consumer Soluções Em Tecnologia Ltda")</f>
        <v>Consumer Soluções Em Tecnologia Ltda</v>
      </c>
      <c r="V5325" s="33">
        <f>IFERROR(__xludf.DUMMYFUNCTION("""COMPUTED_VALUE"""),0.5)</f>
        <v>0.5</v>
      </c>
      <c r="W5325" s="4" t="str">
        <f>IFERROR(__xludf.DUMMYFUNCTION("""COMPUTED_VALUE"""),"Consumer Soluções Em Tecnologia Ltda")</f>
        <v>Consumer Soluções Em Tecnologia Ltda</v>
      </c>
      <c r="X5325" s="33">
        <f>IFERROR(__xludf.DUMMYFUNCTION("""COMPUTED_VALUE"""),0.5)</f>
        <v>0.5</v>
      </c>
    </row>
    <row r="5326">
      <c r="K5326" s="4" t="str">
        <f>IFERROR(__xludf.DUMMYFUNCTION("""COMPUTED_VALUE"""),"CAPRESE PIZZA BIRRA")</f>
        <v>CAPRESE PIZZA BIRRA</v>
      </c>
      <c r="L5326" s="32">
        <f>IFERROR(__xludf.DUMMYFUNCTION("""COMPUTED_VALUE"""),2.0)</f>
        <v>2</v>
      </c>
      <c r="M5326" s="4" t="str">
        <f>IFERROR(__xludf.DUMMYFUNCTION("""COMPUTED_VALUE"""),"Saipos Serviços De Software")</f>
        <v>Saipos Serviços De Software</v>
      </c>
      <c r="N5326" s="33">
        <f>IFERROR(__xludf.DUMMYFUNCTION("""COMPUTED_VALUE"""),0.5)</f>
        <v>0.5</v>
      </c>
      <c r="O5326" s="4" t="str">
        <f>IFERROR(__xludf.DUMMYFUNCTION("""COMPUTED_VALUE"""),"Saipos Serviços De Software")</f>
        <v>Saipos Serviços De Software</v>
      </c>
      <c r="P5326" s="33">
        <f>IFERROR(__xludf.DUMMYFUNCTION("""COMPUTED_VALUE"""),0.5)</f>
        <v>0.5</v>
      </c>
      <c r="Q5326" s="4" t="str">
        <f>IFERROR(__xludf.DUMMYFUNCTION("""COMPUTED_VALUE"""),"Saipos Serviços De Software")</f>
        <v>Saipos Serviços De Software</v>
      </c>
      <c r="R5326" s="33">
        <f>IFERROR(__xludf.DUMMYFUNCTION("""COMPUTED_VALUE"""),0.5)</f>
        <v>0.5</v>
      </c>
      <c r="S5326" s="4" t="str">
        <f>IFERROR(__xludf.DUMMYFUNCTION("""COMPUTED_VALUE"""),"Saipos Serviços De Software")</f>
        <v>Saipos Serviços De Software</v>
      </c>
      <c r="T5326" s="33">
        <f>IFERROR(__xludf.DUMMYFUNCTION("""COMPUTED_VALUE"""),0.5)</f>
        <v>0.5</v>
      </c>
      <c r="U5326" s="4" t="str">
        <f>IFERROR(__xludf.DUMMYFUNCTION("""COMPUTED_VALUE"""),"Saipos Serviços De Software")</f>
        <v>Saipos Serviços De Software</v>
      </c>
      <c r="V5326" s="33">
        <f>IFERROR(__xludf.DUMMYFUNCTION("""COMPUTED_VALUE"""),0.5)</f>
        <v>0.5</v>
      </c>
      <c r="W5326" s="4" t="str">
        <f>IFERROR(__xludf.DUMMYFUNCTION("""COMPUTED_VALUE"""),"Saipos Serviços De Software")</f>
        <v>Saipos Serviços De Software</v>
      </c>
      <c r="X5326" s="33">
        <f>IFERROR(__xludf.DUMMYFUNCTION("""COMPUTED_VALUE"""),0.5)</f>
        <v>0.5</v>
      </c>
    </row>
    <row r="5327">
      <c r="K5327" s="4" t="str">
        <f>IFERROR(__xludf.DUMMYFUNCTION("""COMPUTED_VALUE"""),"DROGARIA SOL")</f>
        <v>DROGARIA SOL</v>
      </c>
      <c r="L5327" s="32">
        <f>IFERROR(__xludf.DUMMYFUNCTION("""COMPUTED_VALUE"""),2.0)</f>
        <v>2</v>
      </c>
      <c r="M5327" s="4" t="str">
        <f>IFERROR(__xludf.DUMMYFUNCTION("""COMPUTED_VALUE"""),"N/A (Not found)")</f>
        <v>N/A (Not found)</v>
      </c>
      <c r="N5327" s="33">
        <f>IFERROR(__xludf.DUMMYFUNCTION("""COMPUTED_VALUE"""),1.0)</f>
        <v>1</v>
      </c>
      <c r="O5327" s="4" t="str">
        <f>IFERROR(__xludf.DUMMYFUNCTION("""COMPUTED_VALUE"""),"N/A (Not found)")</f>
        <v>N/A (Not found)</v>
      </c>
      <c r="P5327" s="33">
        <f>IFERROR(__xludf.DUMMYFUNCTION("""COMPUTED_VALUE"""),1.0)</f>
        <v>1</v>
      </c>
      <c r="Q5327" s="4" t="str">
        <f>IFERROR(__xludf.DUMMYFUNCTION("""COMPUTED_VALUE"""),"N/A (Not found)")</f>
        <v>N/A (Not found)</v>
      </c>
      <c r="R5327" s="33">
        <f>IFERROR(__xludf.DUMMYFUNCTION("""COMPUTED_VALUE"""),1.0)</f>
        <v>1</v>
      </c>
      <c r="S5327" s="4" t="str">
        <f>IFERROR(__xludf.DUMMYFUNCTION("""COMPUTED_VALUE"""),"N/A (Not found)")</f>
        <v>N/A (Not found)</v>
      </c>
      <c r="T5327" s="33">
        <f>IFERROR(__xludf.DUMMYFUNCTION("""COMPUTED_VALUE"""),1.0)</f>
        <v>1</v>
      </c>
      <c r="U5327" s="4" t="str">
        <f>IFERROR(__xludf.DUMMYFUNCTION("""COMPUTED_VALUE"""),"N/A (Not found)")</f>
        <v>N/A (Not found)</v>
      </c>
      <c r="V5327" s="33">
        <f>IFERROR(__xludf.DUMMYFUNCTION("""COMPUTED_VALUE"""),1.0)</f>
        <v>1</v>
      </c>
      <c r="W5327" s="4" t="str">
        <f>IFERROR(__xludf.DUMMYFUNCTION("""COMPUTED_VALUE"""),"N/A (Not found)")</f>
        <v>N/A (Not found)</v>
      </c>
      <c r="X5327" s="33">
        <f>IFERROR(__xludf.DUMMYFUNCTION("""COMPUTED_VALUE"""),1.0)</f>
        <v>1</v>
      </c>
    </row>
    <row r="5328">
      <c r="K5328" s="4" t="str">
        <f>IFERROR(__xludf.DUMMYFUNCTION("""COMPUTED_VALUE"""),"RARITOS YAKISSOBA - VAI UM YAKISSOBA")</f>
        <v>RARITOS YAKISSOBA - VAI UM YAKISSOBA</v>
      </c>
      <c r="L5328" s="32">
        <f>IFERROR(__xludf.DUMMYFUNCTION("""COMPUTED_VALUE"""),2.0)</f>
        <v>2</v>
      </c>
      <c r="M5328" s="4" t="str">
        <f>IFERROR(__xludf.DUMMYFUNCTION("""COMPUTED_VALUE"""),"Saipos Serviços De Software")</f>
        <v>Saipos Serviços De Software</v>
      </c>
      <c r="N5328" s="33">
        <f>IFERROR(__xludf.DUMMYFUNCTION("""COMPUTED_VALUE"""),1.0)</f>
        <v>1</v>
      </c>
      <c r="O5328" s="4" t="str">
        <f>IFERROR(__xludf.DUMMYFUNCTION("""COMPUTED_VALUE"""),"Saipos Serviços De Software")</f>
        <v>Saipos Serviços De Software</v>
      </c>
      <c r="P5328" s="33">
        <f>IFERROR(__xludf.DUMMYFUNCTION("""COMPUTED_VALUE"""),1.0)</f>
        <v>1</v>
      </c>
      <c r="Q5328" s="4" t="str">
        <f>IFERROR(__xludf.DUMMYFUNCTION("""COMPUTED_VALUE"""),"Saipos Serviços De Software")</f>
        <v>Saipos Serviços De Software</v>
      </c>
      <c r="R5328" s="33">
        <f>IFERROR(__xludf.DUMMYFUNCTION("""COMPUTED_VALUE"""),1.0)</f>
        <v>1</v>
      </c>
      <c r="S5328" s="4" t="str">
        <f>IFERROR(__xludf.DUMMYFUNCTION("""COMPUTED_VALUE"""),"null")</f>
        <v>null</v>
      </c>
      <c r="T5328" s="33">
        <f>IFERROR(__xludf.DUMMYFUNCTION("""COMPUTED_VALUE"""),1.0)</f>
        <v>1</v>
      </c>
      <c r="U5328" s="4" t="str">
        <f>IFERROR(__xludf.DUMMYFUNCTION("""COMPUTED_VALUE"""),"null")</f>
        <v>null</v>
      </c>
      <c r="V5328" s="33">
        <f>IFERROR(__xludf.DUMMYFUNCTION("""COMPUTED_VALUE"""),1.0)</f>
        <v>1</v>
      </c>
      <c r="W5328" s="4" t="str">
        <f>IFERROR(__xludf.DUMMYFUNCTION("""COMPUTED_VALUE"""),"null")</f>
        <v>null</v>
      </c>
      <c r="X5328" s="33">
        <f>IFERROR(__xludf.DUMMYFUNCTION("""COMPUTED_VALUE"""),1.0)</f>
        <v>1</v>
      </c>
    </row>
    <row r="5329">
      <c r="K5329" s="4" t="str">
        <f>IFERROR(__xludf.DUMMYFUNCTION("""COMPUTED_VALUE"""),"PET BELLY")</f>
        <v>PET BELLY</v>
      </c>
      <c r="L5329" s="32">
        <f>IFERROR(__xludf.DUMMYFUNCTION("""COMPUTED_VALUE"""),2.0)</f>
        <v>2</v>
      </c>
      <c r="M5329" s="4" t="str">
        <f>IFERROR(__xludf.DUMMYFUNCTION("""COMPUTED_VALUE"""),"N/A (Not found)")</f>
        <v>N/A (Not found)</v>
      </c>
      <c r="N5329" s="33">
        <f>IFERROR(__xludf.DUMMYFUNCTION("""COMPUTED_VALUE"""),0.5)</f>
        <v>0.5</v>
      </c>
      <c r="O5329" s="4" t="str">
        <f>IFERROR(__xludf.DUMMYFUNCTION("""COMPUTED_VALUE"""),"N/A (Not found)")</f>
        <v>N/A (Not found)</v>
      </c>
      <c r="P5329" s="33">
        <f>IFERROR(__xludf.DUMMYFUNCTION("""COMPUTED_VALUE"""),0.5)</f>
        <v>0.5</v>
      </c>
      <c r="Q5329" s="4" t="str">
        <f>IFERROR(__xludf.DUMMYFUNCTION("""COMPUTED_VALUE"""),"N/A (Not found)")</f>
        <v>N/A (Not found)</v>
      </c>
      <c r="R5329" s="33">
        <f>IFERROR(__xludf.DUMMYFUNCTION("""COMPUTED_VALUE"""),0.5)</f>
        <v>0.5</v>
      </c>
      <c r="S5329" s="4" t="str">
        <f>IFERROR(__xludf.DUMMYFUNCTION("""COMPUTED_VALUE"""),"N/A (Not found)")</f>
        <v>N/A (Not found)</v>
      </c>
      <c r="T5329" s="33">
        <f>IFERROR(__xludf.DUMMYFUNCTION("""COMPUTED_VALUE"""),0.5)</f>
        <v>0.5</v>
      </c>
      <c r="U5329" s="4" t="str">
        <f>IFERROR(__xludf.DUMMYFUNCTION("""COMPUTED_VALUE"""),"N/A (Not found)")</f>
        <v>N/A (Not found)</v>
      </c>
      <c r="V5329" s="33">
        <f>IFERROR(__xludf.DUMMYFUNCTION("""COMPUTED_VALUE"""),1.0)</f>
        <v>1</v>
      </c>
      <c r="W5329" s="4" t="str">
        <f>IFERROR(__xludf.DUMMYFUNCTION("""COMPUTED_VALUE"""),"N/A (Not found)")</f>
        <v>N/A (Not found)</v>
      </c>
      <c r="X5329" s="33">
        <f>IFERROR(__xludf.DUMMYFUNCTION("""COMPUTED_VALUE"""),1.0)</f>
        <v>1</v>
      </c>
    </row>
    <row r="5330">
      <c r="K5330" s="4" t="str">
        <f>IFERROR(__xludf.DUMMYFUNCTION("""COMPUTED_VALUE"""),"MEU SUSHI JAPA")</f>
        <v>MEU SUSHI JAPA</v>
      </c>
      <c r="L5330" s="32">
        <f>IFERROR(__xludf.DUMMYFUNCTION("""COMPUTED_VALUE"""),2.0)</f>
        <v>2</v>
      </c>
      <c r="M5330" s="4" t="str">
        <f>IFERROR(__xludf.DUMMYFUNCTION("""COMPUTED_VALUE"""),"Anota Ai Solucoes Digitais S/a")</f>
        <v>Anota Ai Solucoes Digitais S/a</v>
      </c>
      <c r="N5330" s="33">
        <f>IFERROR(__xludf.DUMMYFUNCTION("""COMPUTED_VALUE"""),0.5)</f>
        <v>0.5</v>
      </c>
      <c r="O5330" s="4" t="str">
        <f>IFERROR(__xludf.DUMMYFUNCTION("""COMPUTED_VALUE"""),"Anota Ai Solucoes Digitais S/a")</f>
        <v>Anota Ai Solucoes Digitais S/a</v>
      </c>
      <c r="P5330" s="33">
        <f>IFERROR(__xludf.DUMMYFUNCTION("""COMPUTED_VALUE"""),0.5)</f>
        <v>0.5</v>
      </c>
      <c r="Q5330" s="4" t="str">
        <f>IFERROR(__xludf.DUMMYFUNCTION("""COMPUTED_VALUE"""),"Anota Ai Solucoes Digitais S/a")</f>
        <v>Anota Ai Solucoes Digitais S/a</v>
      </c>
      <c r="R5330" s="33">
        <f>IFERROR(__xludf.DUMMYFUNCTION("""COMPUTED_VALUE"""),0.5)</f>
        <v>0.5</v>
      </c>
      <c r="S5330" s="4" t="str">
        <f>IFERROR(__xludf.DUMMYFUNCTION("""COMPUTED_VALUE"""),"Anota Ai Solucoes Digitais S/a")</f>
        <v>Anota Ai Solucoes Digitais S/a</v>
      </c>
      <c r="T5330" s="33">
        <f>IFERROR(__xludf.DUMMYFUNCTION("""COMPUTED_VALUE"""),0.5)</f>
        <v>0.5</v>
      </c>
      <c r="U5330" s="4" t="str">
        <f>IFERROR(__xludf.DUMMYFUNCTION("""COMPUTED_VALUE"""),"Anota Ai Solucoes Digitais S/a")</f>
        <v>Anota Ai Solucoes Digitais S/a</v>
      </c>
      <c r="V5330" s="33">
        <f>IFERROR(__xludf.DUMMYFUNCTION("""COMPUTED_VALUE"""),0.5)</f>
        <v>0.5</v>
      </c>
      <c r="W5330" s="4" t="str">
        <f>IFERROR(__xludf.DUMMYFUNCTION("""COMPUTED_VALUE"""),"Anota Ai Solucoes Digitais S/a")</f>
        <v>Anota Ai Solucoes Digitais S/a</v>
      </c>
      <c r="X5330" s="33">
        <f>IFERROR(__xludf.DUMMYFUNCTION("""COMPUTED_VALUE"""),0.5)</f>
        <v>0.5</v>
      </c>
    </row>
    <row r="5331">
      <c r="K5331" s="4" t="str">
        <f>IFERROR(__xludf.DUMMYFUNCTION("""COMPUTED_VALUE"""),"DIVINO SUSHI")</f>
        <v>DIVINO SUSHI</v>
      </c>
      <c r="L5331" s="32">
        <f>IFERROR(__xludf.DUMMYFUNCTION("""COMPUTED_VALUE"""),2.0)</f>
        <v>2</v>
      </c>
      <c r="M5331" s="4" t="str">
        <f>IFERROR(__xludf.DUMMYFUNCTION("""COMPUTED_VALUE"""),"Consumer Soluções Em Tecnologia Ltda")</f>
        <v>Consumer Soluções Em Tecnologia Ltda</v>
      </c>
      <c r="N5331" s="33">
        <f>IFERROR(__xludf.DUMMYFUNCTION("""COMPUTED_VALUE"""),0.5)</f>
        <v>0.5</v>
      </c>
      <c r="O5331" s="4" t="str">
        <f>IFERROR(__xludf.DUMMYFUNCTION("""COMPUTED_VALUE"""),"null")</f>
        <v>null</v>
      </c>
      <c r="P5331" s="33">
        <f>IFERROR(__xludf.DUMMYFUNCTION("""COMPUTED_VALUE"""),0.5)</f>
        <v>0.5</v>
      </c>
      <c r="Q5331" s="4" t="str">
        <f>IFERROR(__xludf.DUMMYFUNCTION("""COMPUTED_VALUE"""),"null")</f>
        <v>null</v>
      </c>
      <c r="R5331" s="33">
        <f>IFERROR(__xludf.DUMMYFUNCTION("""COMPUTED_VALUE"""),0.5)</f>
        <v>0.5</v>
      </c>
      <c r="S5331" s="4" t="str">
        <f>IFERROR(__xludf.DUMMYFUNCTION("""COMPUTED_VALUE"""),"Consumer Soluções Em Tecnologia Ltda")</f>
        <v>Consumer Soluções Em Tecnologia Ltda</v>
      </c>
      <c r="T5331" s="33">
        <f>IFERROR(__xludf.DUMMYFUNCTION("""COMPUTED_VALUE"""),0.5)</f>
        <v>0.5</v>
      </c>
      <c r="U5331" s="4" t="str">
        <f>IFERROR(__xludf.DUMMYFUNCTION("""COMPUTED_VALUE"""),"null")</f>
        <v>null</v>
      </c>
      <c r="V5331" s="33">
        <f>IFERROR(__xludf.DUMMYFUNCTION("""COMPUTED_VALUE"""),1.0)</f>
        <v>1</v>
      </c>
      <c r="W5331" s="4" t="str">
        <f>IFERROR(__xludf.DUMMYFUNCTION("""COMPUTED_VALUE"""),"Consumer Soluções Em Tecnologia Ltda")</f>
        <v>Consumer Soluções Em Tecnologia Ltda</v>
      </c>
      <c r="X5331" s="33">
        <f>IFERROR(__xludf.DUMMYFUNCTION("""COMPUTED_VALUE"""),0.5)</f>
        <v>0.5</v>
      </c>
    </row>
    <row r="5332">
      <c r="K5332" s="4" t="str">
        <f>IFERROR(__xludf.DUMMYFUNCTION("""COMPUTED_VALUE"""),"TIPIOKA CREPES E TAPIOCAS")</f>
        <v>TIPIOKA CREPES E TAPIOCAS</v>
      </c>
      <c r="L5332" s="32">
        <f>IFERROR(__xludf.DUMMYFUNCTION("""COMPUTED_VALUE"""),2.0)</f>
        <v>2</v>
      </c>
      <c r="M5332" s="4" t="str">
        <f>IFERROR(__xludf.DUMMYFUNCTION("""COMPUTED_VALUE"""),"Saipos Serviços De Software")</f>
        <v>Saipos Serviços De Software</v>
      </c>
      <c r="N5332" s="33">
        <f>IFERROR(__xludf.DUMMYFUNCTION("""COMPUTED_VALUE"""),1.0)</f>
        <v>1</v>
      </c>
      <c r="O5332" s="4" t="str">
        <f>IFERROR(__xludf.DUMMYFUNCTION("""COMPUTED_VALUE"""),"Saipos Serviços De Software")</f>
        <v>Saipos Serviços De Software</v>
      </c>
      <c r="P5332" s="33">
        <f>IFERROR(__xludf.DUMMYFUNCTION("""COMPUTED_VALUE"""),1.0)</f>
        <v>1</v>
      </c>
      <c r="Q5332" s="4" t="str">
        <f>IFERROR(__xludf.DUMMYFUNCTION("""COMPUTED_VALUE"""),"Saipos Serviços De Software")</f>
        <v>Saipos Serviços De Software</v>
      </c>
      <c r="R5332" s="33">
        <f>IFERROR(__xludf.DUMMYFUNCTION("""COMPUTED_VALUE"""),1.0)</f>
        <v>1</v>
      </c>
      <c r="S5332" s="4" t="str">
        <f>IFERROR(__xludf.DUMMYFUNCTION("""COMPUTED_VALUE"""),"Saipos Serviços De Software")</f>
        <v>Saipos Serviços De Software</v>
      </c>
      <c r="T5332" s="33">
        <f>IFERROR(__xludf.DUMMYFUNCTION("""COMPUTED_VALUE"""),1.0)</f>
        <v>1</v>
      </c>
      <c r="U5332" s="4" t="str">
        <f>IFERROR(__xludf.DUMMYFUNCTION("""COMPUTED_VALUE"""),"Saipos Serviços De Software")</f>
        <v>Saipos Serviços De Software</v>
      </c>
      <c r="V5332" s="33">
        <f>IFERROR(__xludf.DUMMYFUNCTION("""COMPUTED_VALUE"""),1.0)</f>
        <v>1</v>
      </c>
      <c r="W5332" s="4" t="str">
        <f>IFERROR(__xludf.DUMMYFUNCTION("""COMPUTED_VALUE"""),"Saipos Serviços De Software")</f>
        <v>Saipos Serviços De Software</v>
      </c>
      <c r="X5332" s="33">
        <f>IFERROR(__xludf.DUMMYFUNCTION("""COMPUTED_VALUE"""),1.0)</f>
        <v>1</v>
      </c>
    </row>
    <row r="5333">
      <c r="K5333" s="4" t="str">
        <f>IFERROR(__xludf.DUMMYFUNCTION("""COMPUTED_VALUE"""),"SABOR REAL")</f>
        <v>SABOR REAL</v>
      </c>
      <c r="L5333" s="32">
        <f>IFERROR(__xludf.DUMMYFUNCTION("""COMPUTED_VALUE"""),2.0)</f>
        <v>2</v>
      </c>
      <c r="M5333" s="4" t="str">
        <f>IFERROR(__xludf.DUMMYFUNCTION("""COMPUTED_VALUE"""),"Consumer Soluções Em Tecnologia Ltda")</f>
        <v>Consumer Soluções Em Tecnologia Ltda</v>
      </c>
      <c r="N5333" s="33">
        <f>IFERROR(__xludf.DUMMYFUNCTION("""COMPUTED_VALUE"""),0.5)</f>
        <v>0.5</v>
      </c>
      <c r="O5333" s="4" t="str">
        <f>IFERROR(__xludf.DUMMYFUNCTION("""COMPUTED_VALUE"""),"Consumer Soluções Em Tecnologia Ltda")</f>
        <v>Consumer Soluções Em Tecnologia Ltda</v>
      </c>
      <c r="P5333" s="33">
        <f>IFERROR(__xludf.DUMMYFUNCTION("""COMPUTED_VALUE"""),0.5)</f>
        <v>0.5</v>
      </c>
      <c r="Q5333" s="4" t="str">
        <f>IFERROR(__xludf.DUMMYFUNCTION("""COMPUTED_VALUE"""),"Consumer Soluções Em Tecnologia Ltda")</f>
        <v>Consumer Soluções Em Tecnologia Ltda</v>
      </c>
      <c r="R5333" s="33">
        <f>IFERROR(__xludf.DUMMYFUNCTION("""COMPUTED_VALUE"""),0.5)</f>
        <v>0.5</v>
      </c>
      <c r="S5333" s="4" t="str">
        <f>IFERROR(__xludf.DUMMYFUNCTION("""COMPUTED_VALUE"""),"Consumer Soluções Em Tecnologia Ltda")</f>
        <v>Consumer Soluções Em Tecnologia Ltda</v>
      </c>
      <c r="T5333" s="33">
        <f>IFERROR(__xludf.DUMMYFUNCTION("""COMPUTED_VALUE"""),0.5)</f>
        <v>0.5</v>
      </c>
      <c r="U5333" s="4" t="str">
        <f>IFERROR(__xludf.DUMMYFUNCTION("""COMPUTED_VALUE"""),"Consumer Soluções Em Tecnologia Ltda")</f>
        <v>Consumer Soluções Em Tecnologia Ltda</v>
      </c>
      <c r="V5333" s="33">
        <f>IFERROR(__xludf.DUMMYFUNCTION("""COMPUTED_VALUE"""),0.5)</f>
        <v>0.5</v>
      </c>
      <c r="W5333" s="4" t="str">
        <f>IFERROR(__xludf.DUMMYFUNCTION("""COMPUTED_VALUE"""),"Consumer Soluções Em Tecnologia Ltda")</f>
        <v>Consumer Soluções Em Tecnologia Ltda</v>
      </c>
      <c r="X5333" s="33">
        <f>IFERROR(__xludf.DUMMYFUNCTION("""COMPUTED_VALUE"""),0.5)</f>
        <v>0.5</v>
      </c>
    </row>
    <row r="5334">
      <c r="K5334" s="4" t="str">
        <f>IFERROR(__xludf.DUMMYFUNCTION("""COMPUTED_VALUE"""),"JOHNNY BURGUER")</f>
        <v>JOHNNY BURGUER</v>
      </c>
      <c r="L5334" s="32">
        <f>IFERROR(__xludf.DUMMYFUNCTION("""COMPUTED_VALUE"""),2.0)</f>
        <v>2</v>
      </c>
      <c r="M5334" s="4" t="str">
        <f>IFERROR(__xludf.DUMMYFUNCTION("""COMPUTED_VALUE"""),"Anota Ai Solucoes Digitais S/a")</f>
        <v>Anota Ai Solucoes Digitais S/a</v>
      </c>
      <c r="N5334" s="33">
        <f>IFERROR(__xludf.DUMMYFUNCTION("""COMPUTED_VALUE"""),0.5)</f>
        <v>0.5</v>
      </c>
      <c r="O5334" s="4" t="str">
        <f>IFERROR(__xludf.DUMMYFUNCTION("""COMPUTED_VALUE"""),"Anota Ai Solucoes Digitais S/a")</f>
        <v>Anota Ai Solucoes Digitais S/a</v>
      </c>
      <c r="P5334" s="33">
        <f>IFERROR(__xludf.DUMMYFUNCTION("""COMPUTED_VALUE"""),0.5)</f>
        <v>0.5</v>
      </c>
      <c r="Q5334" s="4" t="str">
        <f>IFERROR(__xludf.DUMMYFUNCTION("""COMPUTED_VALUE"""),"Anota Ai Solucoes Digitais S/a")</f>
        <v>Anota Ai Solucoes Digitais S/a</v>
      </c>
      <c r="R5334" s="33">
        <f>IFERROR(__xludf.DUMMYFUNCTION("""COMPUTED_VALUE"""),0.5)</f>
        <v>0.5</v>
      </c>
      <c r="S5334" s="4" t="str">
        <f>IFERROR(__xludf.DUMMYFUNCTION("""COMPUTED_VALUE"""),"Anota Ai Solucoes Digitais S/a")</f>
        <v>Anota Ai Solucoes Digitais S/a</v>
      </c>
      <c r="T5334" s="33">
        <f>IFERROR(__xludf.DUMMYFUNCTION("""COMPUTED_VALUE"""),0.5)</f>
        <v>0.5</v>
      </c>
      <c r="U5334" s="4" t="str">
        <f>IFERROR(__xludf.DUMMYFUNCTION("""COMPUTED_VALUE"""),"Anota Ai Solucoes Digitais S/a")</f>
        <v>Anota Ai Solucoes Digitais S/a</v>
      </c>
      <c r="V5334" s="33">
        <f>IFERROR(__xludf.DUMMYFUNCTION("""COMPUTED_VALUE"""),0.5)</f>
        <v>0.5</v>
      </c>
      <c r="W5334" s="4" t="str">
        <f>IFERROR(__xludf.DUMMYFUNCTION("""COMPUTED_VALUE"""),"Anota Ai Solucoes Digitais S/a")</f>
        <v>Anota Ai Solucoes Digitais S/a</v>
      </c>
      <c r="X5334" s="33">
        <f>IFERROR(__xludf.DUMMYFUNCTION("""COMPUTED_VALUE"""),0.5)</f>
        <v>0.5</v>
      </c>
    </row>
    <row r="5335">
      <c r="K5335" s="4" t="str">
        <f>IFERROR(__xludf.DUMMYFUNCTION("""COMPUTED_VALUE"""),"FARMACIA STILO POPULAR")</f>
        <v>FARMACIA STILO POPULAR</v>
      </c>
      <c r="L5335" s="32">
        <f>IFERROR(__xludf.DUMMYFUNCTION("""COMPUTED_VALUE"""),2.0)</f>
        <v>2</v>
      </c>
      <c r="M5335" s="4" t="str">
        <f>IFERROR(__xludf.DUMMYFUNCTION("""COMPUTED_VALUE"""),"N/A (Not found)")</f>
        <v>N/A (Not found)</v>
      </c>
      <c r="N5335" s="33">
        <f>IFERROR(__xludf.DUMMYFUNCTION("""COMPUTED_VALUE"""),1.0)</f>
        <v>1</v>
      </c>
      <c r="O5335" s="4" t="str">
        <f>IFERROR(__xludf.DUMMYFUNCTION("""COMPUTED_VALUE"""),"N/A (Not found)")</f>
        <v>N/A (Not found)</v>
      </c>
      <c r="P5335" s="33">
        <f>IFERROR(__xludf.DUMMYFUNCTION("""COMPUTED_VALUE"""),1.0)</f>
        <v>1</v>
      </c>
      <c r="Q5335" s="4" t="str">
        <f>IFERROR(__xludf.DUMMYFUNCTION("""COMPUTED_VALUE"""),"N/A (Not found)")</f>
        <v>N/A (Not found)</v>
      </c>
      <c r="R5335" s="33">
        <f>IFERROR(__xludf.DUMMYFUNCTION("""COMPUTED_VALUE"""),0.5)</f>
        <v>0.5</v>
      </c>
      <c r="S5335" s="4" t="str">
        <f>IFERROR(__xludf.DUMMYFUNCTION("""COMPUTED_VALUE"""),"N/A (Not found)")</f>
        <v>N/A (Not found)</v>
      </c>
      <c r="T5335" s="33">
        <f>IFERROR(__xludf.DUMMYFUNCTION("""COMPUTED_VALUE"""),0.5)</f>
        <v>0.5</v>
      </c>
      <c r="U5335" s="4" t="str">
        <f>IFERROR(__xludf.DUMMYFUNCTION("""COMPUTED_VALUE"""),"N/A (Not found)")</f>
        <v>N/A (Not found)</v>
      </c>
      <c r="V5335" s="33">
        <f>IFERROR(__xludf.DUMMYFUNCTION("""COMPUTED_VALUE"""),0.5)</f>
        <v>0.5</v>
      </c>
      <c r="W5335" s="4" t="str">
        <f>IFERROR(__xludf.DUMMYFUNCTION("""COMPUTED_VALUE"""),"N/A (Not found)")</f>
        <v>N/A (Not found)</v>
      </c>
      <c r="X5335" s="33">
        <f>IFERROR(__xludf.DUMMYFUNCTION("""COMPUTED_VALUE"""),0.5)</f>
        <v>0.5</v>
      </c>
    </row>
    <row r="5336">
      <c r="K5336" s="4" t="str">
        <f>IFERROR(__xludf.DUMMYFUNCTION("""COMPUTED_VALUE"""),"DIVINA COZINHA")</f>
        <v>DIVINA COZINHA</v>
      </c>
      <c r="L5336" s="32">
        <f>IFERROR(__xludf.DUMMYFUNCTION("""COMPUTED_VALUE"""),2.0)</f>
        <v>2</v>
      </c>
      <c r="M5336" s="4" t="str">
        <f>IFERROR(__xludf.DUMMYFUNCTION("""COMPUTED_VALUE"""),"Sistema Pallas")</f>
        <v>Sistema Pallas</v>
      </c>
      <c r="N5336" s="33">
        <f>IFERROR(__xludf.DUMMYFUNCTION("""COMPUTED_VALUE"""),0.5)</f>
        <v>0.5</v>
      </c>
      <c r="O5336" s="4" t="str">
        <f>IFERROR(__xludf.DUMMYFUNCTION("""COMPUTED_VALUE"""),"Sistema Pallas")</f>
        <v>Sistema Pallas</v>
      </c>
      <c r="P5336" s="33">
        <f>IFERROR(__xludf.DUMMYFUNCTION("""COMPUTED_VALUE"""),0.5)</f>
        <v>0.5</v>
      </c>
      <c r="Q5336" s="4" t="str">
        <f>IFERROR(__xludf.DUMMYFUNCTION("""COMPUTED_VALUE"""),"Sistema Pallas")</f>
        <v>Sistema Pallas</v>
      </c>
      <c r="R5336" s="33">
        <f>IFERROR(__xludf.DUMMYFUNCTION("""COMPUTED_VALUE"""),0.5)</f>
        <v>0.5</v>
      </c>
      <c r="S5336" s="4" t="str">
        <f>IFERROR(__xludf.DUMMYFUNCTION("""COMPUTED_VALUE"""),"Sistema Pallas")</f>
        <v>Sistema Pallas</v>
      </c>
      <c r="T5336" s="33">
        <f>IFERROR(__xludf.DUMMYFUNCTION("""COMPUTED_VALUE"""),0.5)</f>
        <v>0.5</v>
      </c>
      <c r="U5336" s="4" t="str">
        <f>IFERROR(__xludf.DUMMYFUNCTION("""COMPUTED_VALUE"""),"Sistema Pallas")</f>
        <v>Sistema Pallas</v>
      </c>
      <c r="V5336" s="33">
        <f>IFERROR(__xludf.DUMMYFUNCTION("""COMPUTED_VALUE"""),0.5)</f>
        <v>0.5</v>
      </c>
      <c r="W5336" s="4" t="str">
        <f>IFERROR(__xludf.DUMMYFUNCTION("""COMPUTED_VALUE"""),"Sistema Pallas")</f>
        <v>Sistema Pallas</v>
      </c>
      <c r="X5336" s="33">
        <f>IFERROR(__xludf.DUMMYFUNCTION("""COMPUTED_VALUE"""),0.5)</f>
        <v>0.5</v>
      </c>
    </row>
    <row r="5337">
      <c r="K5337" s="4" t="str">
        <f>IFERROR(__xludf.DUMMYFUNCTION("""COMPUTED_VALUE"""),"MAGNIFICO CACHORRO QUENTE DIFERENTE")</f>
        <v>MAGNIFICO CACHORRO QUENTE DIFERENTE</v>
      </c>
      <c r="L5337" s="32">
        <f>IFERROR(__xludf.DUMMYFUNCTION("""COMPUTED_VALUE"""),2.0)</f>
        <v>2</v>
      </c>
      <c r="M5337" s="4" t="str">
        <f>IFERROR(__xludf.DUMMYFUNCTION("""COMPUTED_VALUE"""),"Genuine Sistemas Ltda")</f>
        <v>Genuine Sistemas Ltda</v>
      </c>
      <c r="N5337" s="33">
        <f>IFERROR(__xludf.DUMMYFUNCTION("""COMPUTED_VALUE"""),1.0)</f>
        <v>1</v>
      </c>
      <c r="O5337" s="4" t="str">
        <f>IFERROR(__xludf.DUMMYFUNCTION("""COMPUTED_VALUE"""),"Genuine Sistemas Ltda")</f>
        <v>Genuine Sistemas Ltda</v>
      </c>
      <c r="P5337" s="33">
        <f>IFERROR(__xludf.DUMMYFUNCTION("""COMPUTED_VALUE"""),1.0)</f>
        <v>1</v>
      </c>
      <c r="Q5337" s="4" t="str">
        <f>IFERROR(__xludf.DUMMYFUNCTION("""COMPUTED_VALUE"""),"Genuine Sistemas Ltda")</f>
        <v>Genuine Sistemas Ltda</v>
      </c>
      <c r="R5337" s="33">
        <f>IFERROR(__xludf.DUMMYFUNCTION("""COMPUTED_VALUE"""),1.0)</f>
        <v>1</v>
      </c>
      <c r="S5337" s="4" t="str">
        <f>IFERROR(__xludf.DUMMYFUNCTION("""COMPUTED_VALUE"""),"Genuine Sistemas Ltda")</f>
        <v>Genuine Sistemas Ltda</v>
      </c>
      <c r="T5337" s="33">
        <f>IFERROR(__xludf.DUMMYFUNCTION("""COMPUTED_VALUE"""),1.0)</f>
        <v>1</v>
      </c>
      <c r="U5337" s="4" t="str">
        <f>IFERROR(__xludf.DUMMYFUNCTION("""COMPUTED_VALUE"""),"Genuine Sistemas Ltda")</f>
        <v>Genuine Sistemas Ltda</v>
      </c>
      <c r="V5337" s="33">
        <f>IFERROR(__xludf.DUMMYFUNCTION("""COMPUTED_VALUE"""),1.0)</f>
        <v>1</v>
      </c>
      <c r="W5337" s="4" t="str">
        <f>IFERROR(__xludf.DUMMYFUNCTION("""COMPUTED_VALUE"""),"Genuine Sistemas Ltda")</f>
        <v>Genuine Sistemas Ltda</v>
      </c>
      <c r="X5337" s="33">
        <f>IFERROR(__xludf.DUMMYFUNCTION("""COMPUTED_VALUE"""),1.0)</f>
        <v>1</v>
      </c>
    </row>
    <row r="5338">
      <c r="K5338" s="4" t="str">
        <f>IFERROR(__xludf.DUMMYFUNCTION("""COMPUTED_VALUE"""),"IMPERIO DO SABOR")</f>
        <v>IMPERIO DO SABOR</v>
      </c>
      <c r="L5338" s="32">
        <f>IFERROR(__xludf.DUMMYFUNCTION("""COMPUTED_VALUE"""),2.0)</f>
        <v>2</v>
      </c>
      <c r="M5338" s="4" t="str">
        <f>IFERROR(__xludf.DUMMYFUNCTION("""COMPUTED_VALUE"""),"Instadelivery")</f>
        <v>Instadelivery</v>
      </c>
      <c r="N5338" s="33">
        <f>IFERROR(__xludf.DUMMYFUNCTION("""COMPUTED_VALUE"""),0.5)</f>
        <v>0.5</v>
      </c>
      <c r="O5338" s="4" t="str">
        <f>IFERROR(__xludf.DUMMYFUNCTION("""COMPUTED_VALUE"""),"Instadelivery")</f>
        <v>Instadelivery</v>
      </c>
      <c r="P5338" s="33">
        <f>IFERROR(__xludf.DUMMYFUNCTION("""COMPUTED_VALUE"""),0.5)</f>
        <v>0.5</v>
      </c>
      <c r="Q5338" s="4" t="str">
        <f>IFERROR(__xludf.DUMMYFUNCTION("""COMPUTED_VALUE"""),"Instadelivery")</f>
        <v>Instadelivery</v>
      </c>
      <c r="R5338" s="33">
        <f>IFERROR(__xludf.DUMMYFUNCTION("""COMPUTED_VALUE"""),0.5)</f>
        <v>0.5</v>
      </c>
      <c r="S5338" s="4" t="str">
        <f>IFERROR(__xludf.DUMMYFUNCTION("""COMPUTED_VALUE"""),"Instadelivery")</f>
        <v>Instadelivery</v>
      </c>
      <c r="T5338" s="33">
        <f>IFERROR(__xludf.DUMMYFUNCTION("""COMPUTED_VALUE"""),0.5)</f>
        <v>0.5</v>
      </c>
      <c r="U5338" s="4" t="str">
        <f>IFERROR(__xludf.DUMMYFUNCTION("""COMPUTED_VALUE"""),"null")</f>
        <v>null</v>
      </c>
      <c r="V5338" s="33">
        <f>IFERROR(__xludf.DUMMYFUNCTION("""COMPUTED_VALUE"""),0.5)</f>
        <v>0.5</v>
      </c>
      <c r="W5338" s="4" t="str">
        <f>IFERROR(__xludf.DUMMYFUNCTION("""COMPUTED_VALUE"""),"null")</f>
        <v>null</v>
      </c>
      <c r="X5338" s="33">
        <f>IFERROR(__xludf.DUMMYFUNCTION("""COMPUTED_VALUE"""),0.5)</f>
        <v>0.5</v>
      </c>
    </row>
    <row r="5339">
      <c r="K5339" s="4" t="str">
        <f>IFERROR(__xludf.DUMMYFUNCTION("""COMPUTED_VALUE"""),"TROPICAL BURGER")</f>
        <v>TROPICAL BURGER</v>
      </c>
      <c r="L5339" s="32">
        <f>IFERROR(__xludf.DUMMYFUNCTION("""COMPUTED_VALUE"""),2.0)</f>
        <v>2</v>
      </c>
      <c r="M5339" s="4" t="str">
        <f>IFERROR(__xludf.DUMMYFUNCTION("""COMPUTED_VALUE"""),"Mp Multipedidos")</f>
        <v>Mp Multipedidos</v>
      </c>
      <c r="N5339" s="33">
        <f>IFERROR(__xludf.DUMMYFUNCTION("""COMPUTED_VALUE"""),0.5)</f>
        <v>0.5</v>
      </c>
      <c r="O5339" s="4" t="str">
        <f>IFERROR(__xludf.DUMMYFUNCTION("""COMPUTED_VALUE"""),"Mp Multipedidos")</f>
        <v>Mp Multipedidos</v>
      </c>
      <c r="P5339" s="33">
        <f>IFERROR(__xludf.DUMMYFUNCTION("""COMPUTED_VALUE"""),0.5)</f>
        <v>0.5</v>
      </c>
      <c r="Q5339" s="4" t="str">
        <f>IFERROR(__xludf.DUMMYFUNCTION("""COMPUTED_VALUE"""),"Mp Multipedidos")</f>
        <v>Mp Multipedidos</v>
      </c>
      <c r="R5339" s="33">
        <f>IFERROR(__xludf.DUMMYFUNCTION("""COMPUTED_VALUE"""),0.5)</f>
        <v>0.5</v>
      </c>
      <c r="S5339" s="4" t="str">
        <f>IFERROR(__xludf.DUMMYFUNCTION("""COMPUTED_VALUE"""),"Mp Multipedidos")</f>
        <v>Mp Multipedidos</v>
      </c>
      <c r="T5339" s="33">
        <f>IFERROR(__xludf.DUMMYFUNCTION("""COMPUTED_VALUE"""),0.5)</f>
        <v>0.5</v>
      </c>
      <c r="U5339" s="4" t="str">
        <f>IFERROR(__xludf.DUMMYFUNCTION("""COMPUTED_VALUE"""),"Mp Multipedidos")</f>
        <v>Mp Multipedidos</v>
      </c>
      <c r="V5339" s="33">
        <f>IFERROR(__xludf.DUMMYFUNCTION("""COMPUTED_VALUE"""),0.5)</f>
        <v>0.5</v>
      </c>
      <c r="W5339" s="4" t="str">
        <f>IFERROR(__xludf.DUMMYFUNCTION("""COMPUTED_VALUE"""),"Mp Multipedidos")</f>
        <v>Mp Multipedidos</v>
      </c>
      <c r="X5339" s="33">
        <f>IFERROR(__xludf.DUMMYFUNCTION("""COMPUTED_VALUE"""),0.5)</f>
        <v>0.5</v>
      </c>
    </row>
    <row r="5340">
      <c r="K5340" s="4" t="str">
        <f>IFERROR(__xludf.DUMMYFUNCTION("""COMPUTED_VALUE"""),"ACAI SELECT")</f>
        <v>ACAI SELECT</v>
      </c>
      <c r="L5340" s="32">
        <f>IFERROR(__xludf.DUMMYFUNCTION("""COMPUTED_VALUE"""),2.0)</f>
        <v>2</v>
      </c>
      <c r="M5340" s="4" t="str">
        <f>IFERROR(__xludf.DUMMYFUNCTION("""COMPUTED_VALUE"""),"Saipos Serviços De Software")</f>
        <v>Saipos Serviços De Software</v>
      </c>
      <c r="N5340" s="33">
        <f>IFERROR(__xludf.DUMMYFUNCTION("""COMPUTED_VALUE"""),0.5)</f>
        <v>0.5</v>
      </c>
      <c r="O5340" s="4" t="str">
        <f>IFERROR(__xludf.DUMMYFUNCTION("""COMPUTED_VALUE"""),"Saipos Serviços De Software")</f>
        <v>Saipos Serviços De Software</v>
      </c>
      <c r="P5340" s="33">
        <f>IFERROR(__xludf.DUMMYFUNCTION("""COMPUTED_VALUE"""),0.5)</f>
        <v>0.5</v>
      </c>
      <c r="Q5340" s="4" t="str">
        <f>IFERROR(__xludf.DUMMYFUNCTION("""COMPUTED_VALUE"""),"null")</f>
        <v>null</v>
      </c>
      <c r="R5340" s="33">
        <f>IFERROR(__xludf.DUMMYFUNCTION("""COMPUTED_VALUE"""),0.5)</f>
        <v>0.5</v>
      </c>
      <c r="S5340" s="4" t="str">
        <f>IFERROR(__xludf.DUMMYFUNCTION("""COMPUTED_VALUE"""),"null")</f>
        <v>null</v>
      </c>
      <c r="T5340" s="33">
        <f>IFERROR(__xludf.DUMMYFUNCTION("""COMPUTED_VALUE"""),0.5)</f>
        <v>0.5</v>
      </c>
      <c r="U5340" s="4" t="str">
        <f>IFERROR(__xludf.DUMMYFUNCTION("""COMPUTED_VALUE"""),"null")</f>
        <v>null</v>
      </c>
      <c r="V5340" s="33">
        <f>IFERROR(__xludf.DUMMYFUNCTION("""COMPUTED_VALUE"""),0.5)</f>
        <v>0.5</v>
      </c>
      <c r="W5340" s="4" t="str">
        <f>IFERROR(__xludf.DUMMYFUNCTION("""COMPUTED_VALUE"""),"null")</f>
        <v>null</v>
      </c>
      <c r="X5340" s="33">
        <f>IFERROR(__xludf.DUMMYFUNCTION("""COMPUTED_VALUE"""),0.5)</f>
        <v>0.5</v>
      </c>
    </row>
    <row r="5341">
      <c r="K5341" s="4" t="str">
        <f>IFERROR(__xludf.DUMMYFUNCTION("""COMPUTED_VALUE"""),"DUCHEFF BURGUER")</f>
        <v>DUCHEFF BURGUER</v>
      </c>
      <c r="L5341" s="32">
        <f>IFERROR(__xludf.DUMMYFUNCTION("""COMPUTED_VALUE"""),2.0)</f>
        <v>2</v>
      </c>
      <c r="M5341" s="4" t="str">
        <f>IFERROR(__xludf.DUMMYFUNCTION("""COMPUTED_VALUE"""),"Anota Ai Solucoes Digitais S/a")</f>
        <v>Anota Ai Solucoes Digitais S/a</v>
      </c>
      <c r="N5341" s="33">
        <f>IFERROR(__xludf.DUMMYFUNCTION("""COMPUTED_VALUE"""),0.5)</f>
        <v>0.5</v>
      </c>
      <c r="O5341" s="4" t="str">
        <f>IFERROR(__xludf.DUMMYFUNCTION("""COMPUTED_VALUE"""),"Anota Ai Solucoes Digitais S/a")</f>
        <v>Anota Ai Solucoes Digitais S/a</v>
      </c>
      <c r="P5341" s="33">
        <f>IFERROR(__xludf.DUMMYFUNCTION("""COMPUTED_VALUE"""),0.5)</f>
        <v>0.5</v>
      </c>
      <c r="Q5341" s="4" t="str">
        <f>IFERROR(__xludf.DUMMYFUNCTION("""COMPUTED_VALUE"""),"Brendi")</f>
        <v>Brendi</v>
      </c>
      <c r="R5341" s="33">
        <f>IFERROR(__xludf.DUMMYFUNCTION("""COMPUTED_VALUE"""),0.5)</f>
        <v>0.5</v>
      </c>
      <c r="S5341" s="4" t="str">
        <f>IFERROR(__xludf.DUMMYFUNCTION("""COMPUTED_VALUE"""),"Brendi")</f>
        <v>Brendi</v>
      </c>
      <c r="T5341" s="33">
        <f>IFERROR(__xludf.DUMMYFUNCTION("""COMPUTED_VALUE"""),0.5)</f>
        <v>0.5</v>
      </c>
      <c r="U5341" s="4" t="str">
        <f>IFERROR(__xludf.DUMMYFUNCTION("""COMPUTED_VALUE"""),"Brendi")</f>
        <v>Brendi</v>
      </c>
      <c r="V5341" s="33">
        <f>IFERROR(__xludf.DUMMYFUNCTION("""COMPUTED_VALUE"""),0.5)</f>
        <v>0.5</v>
      </c>
      <c r="W5341" s="4" t="str">
        <f>IFERROR(__xludf.DUMMYFUNCTION("""COMPUTED_VALUE"""),"Brendi")</f>
        <v>Brendi</v>
      </c>
      <c r="X5341" s="33">
        <f>IFERROR(__xludf.DUMMYFUNCTION("""COMPUTED_VALUE"""),0.5)</f>
        <v>0.5</v>
      </c>
    </row>
    <row r="5342">
      <c r="K5342" s="4" t="str">
        <f>IFERROR(__xludf.DUMMYFUNCTION("""COMPUTED_VALUE"""),"PARMEGIANA DO CHEF")</f>
        <v>PARMEGIANA DO CHEF</v>
      </c>
      <c r="L5342" s="32">
        <f>IFERROR(__xludf.DUMMYFUNCTION("""COMPUTED_VALUE"""),2.0)</f>
        <v>2</v>
      </c>
      <c r="M5342" s="4" t="str">
        <f>IFERROR(__xludf.DUMMYFUNCTION("""COMPUTED_VALUE"""),"Saipos Serviços De Software")</f>
        <v>Saipos Serviços De Software</v>
      </c>
      <c r="N5342" s="33">
        <f>IFERROR(__xludf.DUMMYFUNCTION("""COMPUTED_VALUE"""),0.5)</f>
        <v>0.5</v>
      </c>
      <c r="O5342" s="4" t="str">
        <f>IFERROR(__xludf.DUMMYFUNCTION("""COMPUTED_VALUE"""),"Saipos Serviços De Software")</f>
        <v>Saipos Serviços De Software</v>
      </c>
      <c r="P5342" s="33">
        <f>IFERROR(__xludf.DUMMYFUNCTION("""COMPUTED_VALUE"""),0.5)</f>
        <v>0.5</v>
      </c>
      <c r="Q5342" s="4" t="str">
        <f>IFERROR(__xludf.DUMMYFUNCTION("""COMPUTED_VALUE"""),"Saipos Serviços De Software")</f>
        <v>Saipos Serviços De Software</v>
      </c>
      <c r="R5342" s="33">
        <f>IFERROR(__xludf.DUMMYFUNCTION("""COMPUTED_VALUE"""),0.5)</f>
        <v>0.5</v>
      </c>
      <c r="S5342" s="4" t="str">
        <f>IFERROR(__xludf.DUMMYFUNCTION("""COMPUTED_VALUE"""),"Saipos Serviços De Software")</f>
        <v>Saipos Serviços De Software</v>
      </c>
      <c r="T5342" s="33">
        <f>IFERROR(__xludf.DUMMYFUNCTION("""COMPUTED_VALUE"""),0.5)</f>
        <v>0.5</v>
      </c>
      <c r="U5342" s="4" t="str">
        <f>IFERROR(__xludf.DUMMYFUNCTION("""COMPUTED_VALUE"""),"Saipos Serviços De Software")</f>
        <v>Saipos Serviços De Software</v>
      </c>
      <c r="V5342" s="33">
        <f>IFERROR(__xludf.DUMMYFUNCTION("""COMPUTED_VALUE"""),0.5)</f>
        <v>0.5</v>
      </c>
      <c r="W5342" s="4" t="str">
        <f>IFERROR(__xludf.DUMMYFUNCTION("""COMPUTED_VALUE"""),"Saipos Serviços De Software")</f>
        <v>Saipos Serviços De Software</v>
      </c>
      <c r="X5342" s="33">
        <f>IFERROR(__xludf.DUMMYFUNCTION("""COMPUTED_VALUE"""),0.5)</f>
        <v>0.5</v>
      </c>
    </row>
    <row r="5343">
      <c r="K5343" s="4" t="str">
        <f>IFERROR(__xludf.DUMMYFUNCTION("""COMPUTED_VALUE"""),"FOGO ALTO")</f>
        <v>FOGO ALTO</v>
      </c>
      <c r="L5343" s="32">
        <f>IFERROR(__xludf.DUMMYFUNCTION("""COMPUTED_VALUE"""),2.0)</f>
        <v>2</v>
      </c>
      <c r="M5343" s="4" t="str">
        <f>IFERROR(__xludf.DUMMYFUNCTION("""COMPUTED_VALUE"""),"Saipos Serviços De Software")</f>
        <v>Saipos Serviços De Software</v>
      </c>
      <c r="N5343" s="33">
        <f>IFERROR(__xludf.DUMMYFUNCTION("""COMPUTED_VALUE"""),0.5)</f>
        <v>0.5</v>
      </c>
      <c r="O5343" s="4" t="str">
        <f>IFERROR(__xludf.DUMMYFUNCTION("""COMPUTED_VALUE"""),"Saipos Serviços De Software")</f>
        <v>Saipos Serviços De Software</v>
      </c>
      <c r="P5343" s="33">
        <f>IFERROR(__xludf.DUMMYFUNCTION("""COMPUTED_VALUE"""),0.5)</f>
        <v>0.5</v>
      </c>
      <c r="Q5343" s="4" t="str">
        <f>IFERROR(__xludf.DUMMYFUNCTION("""COMPUTED_VALUE"""),"Saipos Serviços De Software")</f>
        <v>Saipos Serviços De Software</v>
      </c>
      <c r="R5343" s="33">
        <f>IFERROR(__xludf.DUMMYFUNCTION("""COMPUTED_VALUE"""),0.5)</f>
        <v>0.5</v>
      </c>
      <c r="S5343" s="4" t="str">
        <f>IFERROR(__xludf.DUMMYFUNCTION("""COMPUTED_VALUE"""),"Saipos Serviços De Software")</f>
        <v>Saipos Serviços De Software</v>
      </c>
      <c r="T5343" s="33">
        <f>IFERROR(__xludf.DUMMYFUNCTION("""COMPUTED_VALUE"""),0.5)</f>
        <v>0.5</v>
      </c>
      <c r="U5343" s="4" t="str">
        <f>IFERROR(__xludf.DUMMYFUNCTION("""COMPUTED_VALUE"""),"null")</f>
        <v>null</v>
      </c>
      <c r="V5343" s="33">
        <f>IFERROR(__xludf.DUMMYFUNCTION("""COMPUTED_VALUE"""),0.5)</f>
        <v>0.5</v>
      </c>
      <c r="W5343" s="4" t="str">
        <f>IFERROR(__xludf.DUMMYFUNCTION("""COMPUTED_VALUE"""),"Saipos Serviços De Software")</f>
        <v>Saipos Serviços De Software</v>
      </c>
      <c r="X5343" s="33">
        <f>IFERROR(__xludf.DUMMYFUNCTION("""COMPUTED_VALUE"""),0.5)</f>
        <v>0.5</v>
      </c>
    </row>
    <row r="5344">
      <c r="K5344" s="4" t="str">
        <f>IFERROR(__xludf.DUMMYFUNCTION("""COMPUTED_VALUE"""),"PIZZARIA CONQUISTA")</f>
        <v>PIZZARIA CONQUISTA</v>
      </c>
      <c r="L5344" s="32">
        <f>IFERROR(__xludf.DUMMYFUNCTION("""COMPUTED_VALUE"""),2.0)</f>
        <v>2</v>
      </c>
      <c r="M5344" s="4" t="str">
        <f>IFERROR(__xludf.DUMMYFUNCTION("""COMPUTED_VALUE"""),"Cardápio Web")</f>
        <v>Cardápio Web</v>
      </c>
      <c r="N5344" s="33">
        <f>IFERROR(__xludf.DUMMYFUNCTION("""COMPUTED_VALUE"""),0.5)</f>
        <v>0.5</v>
      </c>
      <c r="O5344" s="4" t="str">
        <f>IFERROR(__xludf.DUMMYFUNCTION("""COMPUTED_VALUE"""),"Cardápio Web")</f>
        <v>Cardápio Web</v>
      </c>
      <c r="P5344" s="33">
        <f>IFERROR(__xludf.DUMMYFUNCTION("""COMPUTED_VALUE"""),0.5)</f>
        <v>0.5</v>
      </c>
      <c r="Q5344" s="4" t="str">
        <f>IFERROR(__xludf.DUMMYFUNCTION("""COMPUTED_VALUE"""),"Cardápio Web")</f>
        <v>Cardápio Web</v>
      </c>
      <c r="R5344" s="33">
        <f>IFERROR(__xludf.DUMMYFUNCTION("""COMPUTED_VALUE"""),0.5)</f>
        <v>0.5</v>
      </c>
      <c r="S5344" s="4" t="str">
        <f>IFERROR(__xludf.DUMMYFUNCTION("""COMPUTED_VALUE"""),"Cardápio Web")</f>
        <v>Cardápio Web</v>
      </c>
      <c r="T5344" s="33">
        <f>IFERROR(__xludf.DUMMYFUNCTION("""COMPUTED_VALUE"""),0.5)</f>
        <v>0.5</v>
      </c>
      <c r="U5344" s="4" t="str">
        <f>IFERROR(__xludf.DUMMYFUNCTION("""COMPUTED_VALUE"""),"Cardápio Web")</f>
        <v>Cardápio Web</v>
      </c>
      <c r="V5344" s="33">
        <f>IFERROR(__xludf.DUMMYFUNCTION("""COMPUTED_VALUE"""),0.5)</f>
        <v>0.5</v>
      </c>
      <c r="W5344" s="4" t="str">
        <f>IFERROR(__xludf.DUMMYFUNCTION("""COMPUTED_VALUE"""),"Cardápio Web")</f>
        <v>Cardápio Web</v>
      </c>
      <c r="X5344" s="33">
        <f>IFERROR(__xludf.DUMMYFUNCTION("""COMPUTED_VALUE"""),0.5)</f>
        <v>0.5</v>
      </c>
    </row>
    <row r="5345">
      <c r="K5345" s="4" t="str">
        <f>IFERROR(__xludf.DUMMYFUNCTION("""COMPUTED_VALUE"""),"BARATIE PIZZARIA")</f>
        <v>BARATIE PIZZARIA</v>
      </c>
      <c r="L5345" s="32">
        <f>IFERROR(__xludf.DUMMYFUNCTION("""COMPUTED_VALUE"""),2.0)</f>
        <v>2</v>
      </c>
      <c r="M5345" s="4" t="str">
        <f>IFERROR(__xludf.DUMMYFUNCTION("""COMPUTED_VALUE"""),"Anota Ai Solucoes Digitais S/a")</f>
        <v>Anota Ai Solucoes Digitais S/a</v>
      </c>
      <c r="N5345" s="33">
        <f>IFERROR(__xludf.DUMMYFUNCTION("""COMPUTED_VALUE"""),0.5)</f>
        <v>0.5</v>
      </c>
      <c r="O5345" s="4" t="str">
        <f>IFERROR(__xludf.DUMMYFUNCTION("""COMPUTED_VALUE"""),"Anota Ai Solucoes Digitais S/a")</f>
        <v>Anota Ai Solucoes Digitais S/a</v>
      </c>
      <c r="P5345" s="33">
        <f>IFERROR(__xludf.DUMMYFUNCTION("""COMPUTED_VALUE"""),0.5)</f>
        <v>0.5</v>
      </c>
      <c r="Q5345" s="4" t="str">
        <f>IFERROR(__xludf.DUMMYFUNCTION("""COMPUTED_VALUE"""),"Anota Ai Solucoes Digitais S/a")</f>
        <v>Anota Ai Solucoes Digitais S/a</v>
      </c>
      <c r="R5345" s="33">
        <f>IFERROR(__xludf.DUMMYFUNCTION("""COMPUTED_VALUE"""),0.5)</f>
        <v>0.5</v>
      </c>
      <c r="S5345" s="4" t="str">
        <f>IFERROR(__xludf.DUMMYFUNCTION("""COMPUTED_VALUE"""),"Anota Ai Solucoes Digitais S/a")</f>
        <v>Anota Ai Solucoes Digitais S/a</v>
      </c>
      <c r="T5345" s="33">
        <f>IFERROR(__xludf.DUMMYFUNCTION("""COMPUTED_VALUE"""),0.5)</f>
        <v>0.5</v>
      </c>
      <c r="U5345" s="4" t="str">
        <f>IFERROR(__xludf.DUMMYFUNCTION("""COMPUTED_VALUE"""),"Anota Ai Solucoes Digitais S/a")</f>
        <v>Anota Ai Solucoes Digitais S/a</v>
      </c>
      <c r="V5345" s="33">
        <f>IFERROR(__xludf.DUMMYFUNCTION("""COMPUTED_VALUE"""),1.0)</f>
        <v>1</v>
      </c>
      <c r="W5345" s="4" t="str">
        <f>IFERROR(__xludf.DUMMYFUNCTION("""COMPUTED_VALUE"""),"Anota Ai Solucoes Digitais S/a")</f>
        <v>Anota Ai Solucoes Digitais S/a</v>
      </c>
      <c r="X5345" s="33">
        <f>IFERROR(__xludf.DUMMYFUNCTION("""COMPUTED_VALUE"""),1.0)</f>
        <v>1</v>
      </c>
    </row>
    <row r="5346">
      <c r="K5346" s="4" t="str">
        <f>IFERROR(__xludf.DUMMYFUNCTION("""COMPUTED_VALUE"""),"IMPERIO RESTAURANTE")</f>
        <v>IMPERIO RESTAURANTE</v>
      </c>
      <c r="L5346" s="32">
        <f>IFERROR(__xludf.DUMMYFUNCTION("""COMPUTED_VALUE"""),2.0)</f>
        <v>2</v>
      </c>
      <c r="M5346" s="4" t="str">
        <f>IFERROR(__xludf.DUMMYFUNCTION("""COMPUTED_VALUE"""),"Anota Ai Solucoes Digitais S/a")</f>
        <v>Anota Ai Solucoes Digitais S/a</v>
      </c>
      <c r="N5346" s="33">
        <f>IFERROR(__xludf.DUMMYFUNCTION("""COMPUTED_VALUE"""),0.5)</f>
        <v>0.5</v>
      </c>
      <c r="O5346" s="4" t="str">
        <f>IFERROR(__xludf.DUMMYFUNCTION("""COMPUTED_VALUE"""),"Anota Ai Solucoes Digitais S/a")</f>
        <v>Anota Ai Solucoes Digitais S/a</v>
      </c>
      <c r="P5346" s="33">
        <f>IFERROR(__xludf.DUMMYFUNCTION("""COMPUTED_VALUE"""),0.5)</f>
        <v>0.5</v>
      </c>
      <c r="Q5346" s="4" t="str">
        <f>IFERROR(__xludf.DUMMYFUNCTION("""COMPUTED_VALUE"""),"Anota Ai Solucoes Digitais S/a")</f>
        <v>Anota Ai Solucoes Digitais S/a</v>
      </c>
      <c r="R5346" s="33">
        <f>IFERROR(__xludf.DUMMYFUNCTION("""COMPUTED_VALUE"""),0.5)</f>
        <v>0.5</v>
      </c>
      <c r="S5346" s="4" t="str">
        <f>IFERROR(__xludf.DUMMYFUNCTION("""COMPUTED_VALUE"""),"Anota Ai Solucoes Digitais S/a")</f>
        <v>Anota Ai Solucoes Digitais S/a</v>
      </c>
      <c r="T5346" s="33">
        <f>IFERROR(__xludf.DUMMYFUNCTION("""COMPUTED_VALUE"""),0.5)</f>
        <v>0.5</v>
      </c>
      <c r="U5346" s="4" t="str">
        <f>IFERROR(__xludf.DUMMYFUNCTION("""COMPUTED_VALUE"""),"Anota Ai Solucoes Digitais S/a")</f>
        <v>Anota Ai Solucoes Digitais S/a</v>
      </c>
      <c r="V5346" s="33">
        <f>IFERROR(__xludf.DUMMYFUNCTION("""COMPUTED_VALUE"""),0.5)</f>
        <v>0.5</v>
      </c>
      <c r="W5346" s="4" t="str">
        <f>IFERROR(__xludf.DUMMYFUNCTION("""COMPUTED_VALUE"""),"Anota Ai Solucoes Digitais S/a")</f>
        <v>Anota Ai Solucoes Digitais S/a</v>
      </c>
      <c r="X5346" s="33">
        <f>IFERROR(__xludf.DUMMYFUNCTION("""COMPUTED_VALUE"""),0.5)</f>
        <v>0.5</v>
      </c>
    </row>
    <row r="5347">
      <c r="K5347" s="4" t="str">
        <f>IFERROR(__xludf.DUMMYFUNCTION("""COMPUTED_VALUE"""),"THE PETIT AGORA E DETALES PIZZARIA")</f>
        <v>THE PETIT AGORA E DETALES PIZZARIA</v>
      </c>
      <c r="L5347" s="32">
        <f>IFERROR(__xludf.DUMMYFUNCTION("""COMPUTED_VALUE"""),2.0)</f>
        <v>2</v>
      </c>
      <c r="M5347" s="4" t="str">
        <f>IFERROR(__xludf.DUMMYFUNCTION("""COMPUTED_VALUE"""),"Lexsis Sistemas")</f>
        <v>Lexsis Sistemas</v>
      </c>
      <c r="N5347" s="33">
        <f>IFERROR(__xludf.DUMMYFUNCTION("""COMPUTED_VALUE"""),1.0)</f>
        <v>1</v>
      </c>
      <c r="O5347" s="4" t="str">
        <f>IFERROR(__xludf.DUMMYFUNCTION("""COMPUTED_VALUE"""),"Lexsis Sistemas")</f>
        <v>Lexsis Sistemas</v>
      </c>
      <c r="P5347" s="33">
        <f>IFERROR(__xludf.DUMMYFUNCTION("""COMPUTED_VALUE"""),1.0)</f>
        <v>1</v>
      </c>
      <c r="Q5347" s="4" t="str">
        <f>IFERROR(__xludf.DUMMYFUNCTION("""COMPUTED_VALUE"""),"Lexsis Sistemas")</f>
        <v>Lexsis Sistemas</v>
      </c>
      <c r="R5347" s="33">
        <f>IFERROR(__xludf.DUMMYFUNCTION("""COMPUTED_VALUE"""),1.0)</f>
        <v>1</v>
      </c>
      <c r="S5347" s="4" t="str">
        <f>IFERROR(__xludf.DUMMYFUNCTION("""COMPUTED_VALUE"""),"Lexsis Sistemas")</f>
        <v>Lexsis Sistemas</v>
      </c>
      <c r="T5347" s="33">
        <f>IFERROR(__xludf.DUMMYFUNCTION("""COMPUTED_VALUE"""),1.0)</f>
        <v>1</v>
      </c>
      <c r="U5347" s="4" t="str">
        <f>IFERROR(__xludf.DUMMYFUNCTION("""COMPUTED_VALUE"""),"Lexsis Sistemas")</f>
        <v>Lexsis Sistemas</v>
      </c>
      <c r="V5347" s="33">
        <f>IFERROR(__xludf.DUMMYFUNCTION("""COMPUTED_VALUE"""),1.0)</f>
        <v>1</v>
      </c>
      <c r="W5347" s="4" t="str">
        <f>IFERROR(__xludf.DUMMYFUNCTION("""COMPUTED_VALUE"""),"Lexsis Sistemas")</f>
        <v>Lexsis Sistemas</v>
      </c>
      <c r="X5347" s="33">
        <f>IFERROR(__xludf.DUMMYFUNCTION("""COMPUTED_VALUE"""),1.0)</f>
        <v>1</v>
      </c>
    </row>
    <row r="5348">
      <c r="K5348" s="4" t="str">
        <f>IFERROR(__xludf.DUMMYFUNCTION("""COMPUTED_VALUE"""),"DELLA FORNERIA")</f>
        <v>DELLA FORNERIA</v>
      </c>
      <c r="L5348" s="32">
        <f>IFERROR(__xludf.DUMMYFUNCTION("""COMPUTED_VALUE"""),2.0)</f>
        <v>2</v>
      </c>
      <c r="M5348" s="4" t="str">
        <f>IFERROR(__xludf.DUMMYFUNCTION("""COMPUTED_VALUE"""),"Parseint Desenvolvimento De Sistemas Ltda")</f>
        <v>Parseint Desenvolvimento De Sistemas Ltda</v>
      </c>
      <c r="N5348" s="33">
        <f>IFERROR(__xludf.DUMMYFUNCTION("""COMPUTED_VALUE"""),1.0)</f>
        <v>1</v>
      </c>
      <c r="O5348" s="4" t="str">
        <f>IFERROR(__xludf.DUMMYFUNCTION("""COMPUTED_VALUE"""),"Parseint Desenvolvimento De Sistemas Ltda")</f>
        <v>Parseint Desenvolvimento De Sistemas Ltda</v>
      </c>
      <c r="P5348" s="33">
        <f>IFERROR(__xludf.DUMMYFUNCTION("""COMPUTED_VALUE"""),1.0)</f>
        <v>1</v>
      </c>
      <c r="Q5348" s="4" t="str">
        <f>IFERROR(__xludf.DUMMYFUNCTION("""COMPUTED_VALUE"""),"Parseint Desenvolvimento De Sistemas Ltda")</f>
        <v>Parseint Desenvolvimento De Sistemas Ltda</v>
      </c>
      <c r="R5348" s="33">
        <f>IFERROR(__xludf.DUMMYFUNCTION("""COMPUTED_VALUE"""),1.0)</f>
        <v>1</v>
      </c>
      <c r="S5348" s="4" t="str">
        <f>IFERROR(__xludf.DUMMYFUNCTION("""COMPUTED_VALUE"""),"Parseint Desenvolvimento De Sistemas Ltda")</f>
        <v>Parseint Desenvolvimento De Sistemas Ltda</v>
      </c>
      <c r="T5348" s="33">
        <f>IFERROR(__xludf.DUMMYFUNCTION("""COMPUTED_VALUE"""),1.0)</f>
        <v>1</v>
      </c>
      <c r="U5348" s="4" t="str">
        <f>IFERROR(__xludf.DUMMYFUNCTION("""COMPUTED_VALUE"""),"Parseint Desenvolvimento De Sistemas Ltda")</f>
        <v>Parseint Desenvolvimento De Sistemas Ltda</v>
      </c>
      <c r="V5348" s="33">
        <f>IFERROR(__xludf.DUMMYFUNCTION("""COMPUTED_VALUE"""),1.0)</f>
        <v>1</v>
      </c>
      <c r="W5348" s="4" t="str">
        <f>IFERROR(__xludf.DUMMYFUNCTION("""COMPUTED_VALUE"""),"Parseint Desenvolvimento De Sistemas Ltda")</f>
        <v>Parseint Desenvolvimento De Sistemas Ltda</v>
      </c>
      <c r="X5348" s="33">
        <f>IFERROR(__xludf.DUMMYFUNCTION("""COMPUTED_VALUE"""),1.0)</f>
        <v>1</v>
      </c>
    </row>
    <row r="5349">
      <c r="K5349" s="4" t="str">
        <f>IFERROR(__xludf.DUMMYFUNCTION("""COMPUTED_VALUE"""),"RANCHO DAS PLANTAS, FLORES E PRESENTES")</f>
        <v>RANCHO DAS PLANTAS, FLORES E PRESENTES</v>
      </c>
      <c r="L5349" s="32">
        <f>IFERROR(__xludf.DUMMYFUNCTION("""COMPUTED_VALUE"""),2.0)</f>
        <v>2</v>
      </c>
      <c r="M5349" s="4" t="str">
        <f>IFERROR(__xludf.DUMMYFUNCTION("""COMPUTED_VALUE"""),"N/A (Not found)")</f>
        <v>N/A (Not found)</v>
      </c>
      <c r="N5349" s="33">
        <f>IFERROR(__xludf.DUMMYFUNCTION("""COMPUTED_VALUE"""),0.5)</f>
        <v>0.5</v>
      </c>
      <c r="O5349" s="4" t="str">
        <f>IFERROR(__xludf.DUMMYFUNCTION("""COMPUTED_VALUE"""),"null")</f>
        <v>null</v>
      </c>
      <c r="P5349" s="33">
        <f>IFERROR(__xludf.DUMMYFUNCTION("""COMPUTED_VALUE"""),1.0)</f>
        <v>1</v>
      </c>
      <c r="Q5349" s="4" t="str">
        <f>IFERROR(__xludf.DUMMYFUNCTION("""COMPUTED_VALUE"""),"null")</f>
        <v>null</v>
      </c>
      <c r="R5349" s="33">
        <f>IFERROR(__xludf.DUMMYFUNCTION("""COMPUTED_VALUE"""),1.0)</f>
        <v>1</v>
      </c>
      <c r="S5349" s="4" t="str">
        <f>IFERROR(__xludf.DUMMYFUNCTION("""COMPUTED_VALUE"""),"null")</f>
        <v>null</v>
      </c>
      <c r="T5349" s="33">
        <f>IFERROR(__xludf.DUMMYFUNCTION("""COMPUTED_VALUE"""),1.0)</f>
        <v>1</v>
      </c>
      <c r="U5349" s="4" t="str">
        <f>IFERROR(__xludf.DUMMYFUNCTION("""COMPUTED_VALUE"""),"null")</f>
        <v>null</v>
      </c>
      <c r="V5349" s="33">
        <f>IFERROR(__xludf.DUMMYFUNCTION("""COMPUTED_VALUE"""),0.5)</f>
        <v>0.5</v>
      </c>
      <c r="W5349" s="4" t="str">
        <f>IFERROR(__xludf.DUMMYFUNCTION("""COMPUTED_VALUE"""),"null")</f>
        <v>null</v>
      </c>
      <c r="X5349" s="33">
        <f>IFERROR(__xludf.DUMMYFUNCTION("""COMPUTED_VALUE"""),1.0)</f>
        <v>1</v>
      </c>
    </row>
    <row r="5350">
      <c r="K5350" s="4" t="str">
        <f>IFERROR(__xludf.DUMMYFUNCTION("""COMPUTED_VALUE"""),"MEAL TIME ULTRACONGELADOS")</f>
        <v>MEAL TIME ULTRACONGELADOS</v>
      </c>
      <c r="L5350" s="32">
        <f>IFERROR(__xludf.DUMMYFUNCTION("""COMPUTED_VALUE"""),2.0)</f>
        <v>2</v>
      </c>
      <c r="M5350" s="4" t="str">
        <f>IFERROR(__xludf.DUMMYFUNCTION("""COMPUTED_VALUE"""),"null")</f>
        <v>null</v>
      </c>
      <c r="N5350" s="33">
        <f>IFERROR(__xludf.DUMMYFUNCTION("""COMPUTED_VALUE"""),0.5)</f>
        <v>0.5</v>
      </c>
      <c r="O5350" s="4" t="str">
        <f>IFERROR(__xludf.DUMMYFUNCTION("""COMPUTED_VALUE"""),"Prefiro Delivery")</f>
        <v>Prefiro Delivery</v>
      </c>
      <c r="P5350" s="33">
        <f>IFERROR(__xludf.DUMMYFUNCTION("""COMPUTED_VALUE"""),1.0)</f>
        <v>1</v>
      </c>
      <c r="Q5350" s="4" t="str">
        <f>IFERROR(__xludf.DUMMYFUNCTION("""COMPUTED_VALUE"""),"Prefiro Delivery")</f>
        <v>Prefiro Delivery</v>
      </c>
      <c r="R5350" s="33">
        <f>IFERROR(__xludf.DUMMYFUNCTION("""COMPUTED_VALUE"""),1.0)</f>
        <v>1</v>
      </c>
      <c r="S5350" s="4" t="str">
        <f>IFERROR(__xludf.DUMMYFUNCTION("""COMPUTED_VALUE"""),"Prefiro Delivery")</f>
        <v>Prefiro Delivery</v>
      </c>
      <c r="T5350" s="33">
        <f>IFERROR(__xludf.DUMMYFUNCTION("""COMPUTED_VALUE"""),1.0)</f>
        <v>1</v>
      </c>
      <c r="U5350" s="4" t="str">
        <f>IFERROR(__xludf.DUMMYFUNCTION("""COMPUTED_VALUE"""),"Prefiro Delivery")</f>
        <v>Prefiro Delivery</v>
      </c>
      <c r="V5350" s="33">
        <f>IFERROR(__xludf.DUMMYFUNCTION("""COMPUTED_VALUE"""),1.0)</f>
        <v>1</v>
      </c>
      <c r="W5350" s="4" t="str">
        <f>IFERROR(__xludf.DUMMYFUNCTION("""COMPUTED_VALUE"""),"Prefiro Delivery")</f>
        <v>Prefiro Delivery</v>
      </c>
      <c r="X5350" s="33">
        <f>IFERROR(__xludf.DUMMYFUNCTION("""COMPUTED_VALUE"""),1.0)</f>
        <v>1</v>
      </c>
    </row>
    <row r="5351">
      <c r="K5351" s="4" t="str">
        <f>IFERROR(__xludf.DUMMYFUNCTION("""COMPUTED_VALUE"""),"ADRENALINA BURGUER HOUSE")</f>
        <v>ADRENALINA BURGUER HOUSE</v>
      </c>
      <c r="L5351" s="32">
        <f>IFERROR(__xludf.DUMMYFUNCTION("""COMPUTED_VALUE"""),2.0)</f>
        <v>2</v>
      </c>
      <c r="M5351" s="4" t="str">
        <f>IFERROR(__xludf.DUMMYFUNCTION("""COMPUTED_VALUE"""),"Anota Ai Solucoes Digitais S/a")</f>
        <v>Anota Ai Solucoes Digitais S/a</v>
      </c>
      <c r="N5351" s="33">
        <f>IFERROR(__xludf.DUMMYFUNCTION("""COMPUTED_VALUE"""),0.5)</f>
        <v>0.5</v>
      </c>
      <c r="O5351" s="4" t="str">
        <f>IFERROR(__xludf.DUMMYFUNCTION("""COMPUTED_VALUE"""),"Anota Ai Solucoes Digitais S/a")</f>
        <v>Anota Ai Solucoes Digitais S/a</v>
      </c>
      <c r="P5351" s="33">
        <f>IFERROR(__xludf.DUMMYFUNCTION("""COMPUTED_VALUE"""),0.5)</f>
        <v>0.5</v>
      </c>
      <c r="Q5351" s="4" t="str">
        <f>IFERROR(__xludf.DUMMYFUNCTION("""COMPUTED_VALUE"""),"Anota Ai Solucoes Digitais S/a")</f>
        <v>Anota Ai Solucoes Digitais S/a</v>
      </c>
      <c r="R5351" s="33">
        <f>IFERROR(__xludf.DUMMYFUNCTION("""COMPUTED_VALUE"""),1.0)</f>
        <v>1</v>
      </c>
      <c r="S5351" s="4" t="str">
        <f>IFERROR(__xludf.DUMMYFUNCTION("""COMPUTED_VALUE"""),"Anota Ai Solucoes Digitais S/a")</f>
        <v>Anota Ai Solucoes Digitais S/a</v>
      </c>
      <c r="T5351" s="33">
        <f>IFERROR(__xludf.DUMMYFUNCTION("""COMPUTED_VALUE"""),1.0)</f>
        <v>1</v>
      </c>
      <c r="U5351" s="4" t="str">
        <f>IFERROR(__xludf.DUMMYFUNCTION("""COMPUTED_VALUE"""),"Anota Ai Solucoes Digitais S/a")</f>
        <v>Anota Ai Solucoes Digitais S/a</v>
      </c>
      <c r="V5351" s="33">
        <f>IFERROR(__xludf.DUMMYFUNCTION("""COMPUTED_VALUE"""),1.0)</f>
        <v>1</v>
      </c>
      <c r="W5351" s="4" t="str">
        <f>IFERROR(__xludf.DUMMYFUNCTION("""COMPUTED_VALUE"""),"Anota Ai Solucoes Digitais S/a")</f>
        <v>Anota Ai Solucoes Digitais S/a</v>
      </c>
      <c r="X5351" s="33">
        <f>IFERROR(__xludf.DUMMYFUNCTION("""COMPUTED_VALUE"""),1.0)</f>
        <v>1</v>
      </c>
    </row>
    <row r="5352">
      <c r="K5352" s="4" t="str">
        <f>IFERROR(__xludf.DUMMYFUNCTION("""COMPUTED_VALUE"""),"POKE CAMPO")</f>
        <v>POKE CAMPO</v>
      </c>
      <c r="L5352" s="32">
        <f>IFERROR(__xludf.DUMMYFUNCTION("""COMPUTED_VALUE"""),2.0)</f>
        <v>2</v>
      </c>
      <c r="M5352" s="4" t="str">
        <f>IFERROR(__xludf.DUMMYFUNCTION("""COMPUTED_VALUE"""),"Saipos Serviços De Software")</f>
        <v>Saipos Serviços De Software</v>
      </c>
      <c r="N5352" s="33">
        <f>IFERROR(__xludf.DUMMYFUNCTION("""COMPUTED_VALUE"""),1.0)</f>
        <v>1</v>
      </c>
      <c r="O5352" s="4" t="str">
        <f>IFERROR(__xludf.DUMMYFUNCTION("""COMPUTED_VALUE"""),"null")</f>
        <v>null</v>
      </c>
      <c r="P5352" s="33">
        <f>IFERROR(__xludf.DUMMYFUNCTION("""COMPUTED_VALUE"""),0.5)</f>
        <v>0.5</v>
      </c>
      <c r="Q5352" s="4" t="str">
        <f>IFERROR(__xludf.DUMMYFUNCTION("""COMPUTED_VALUE"""),"null")</f>
        <v>null</v>
      </c>
      <c r="R5352" s="33">
        <f>IFERROR(__xludf.DUMMYFUNCTION("""COMPUTED_VALUE"""),0.5)</f>
        <v>0.5</v>
      </c>
      <c r="S5352" s="4" t="str">
        <f>IFERROR(__xludf.DUMMYFUNCTION("""COMPUTED_VALUE"""),"null")</f>
        <v>null</v>
      </c>
      <c r="T5352" s="33">
        <f>IFERROR(__xludf.DUMMYFUNCTION("""COMPUTED_VALUE"""),0.5)</f>
        <v>0.5</v>
      </c>
      <c r="U5352" s="4" t="str">
        <f>IFERROR(__xludf.DUMMYFUNCTION("""COMPUTED_VALUE"""),"null")</f>
        <v>null</v>
      </c>
      <c r="V5352" s="33">
        <f>IFERROR(__xludf.DUMMYFUNCTION("""COMPUTED_VALUE"""),1.0)</f>
        <v>1</v>
      </c>
      <c r="W5352" s="4" t="str">
        <f>IFERROR(__xludf.DUMMYFUNCTION("""COMPUTED_VALUE"""),"null")</f>
        <v>null</v>
      </c>
      <c r="X5352" s="33">
        <f>IFERROR(__xludf.DUMMYFUNCTION("""COMPUTED_VALUE"""),1.0)</f>
        <v>1</v>
      </c>
    </row>
    <row r="5353">
      <c r="K5353" s="4" t="str">
        <f>IFERROR(__xludf.DUMMYFUNCTION("""COMPUTED_VALUE"""),"NOSTRA CASA PIZZARIA")</f>
        <v>NOSTRA CASA PIZZARIA</v>
      </c>
      <c r="L5353" s="32">
        <f>IFERROR(__xludf.DUMMYFUNCTION("""COMPUTED_VALUE"""),2.0)</f>
        <v>2</v>
      </c>
      <c r="M5353" s="4" t="str">
        <f>IFERROR(__xludf.DUMMYFUNCTION("""COMPUTED_VALUE"""),"null")</f>
        <v>null</v>
      </c>
      <c r="N5353" s="33">
        <f>IFERROR(__xludf.DUMMYFUNCTION("""COMPUTED_VALUE"""),0.5)</f>
        <v>0.5</v>
      </c>
      <c r="O5353" s="4" t="str">
        <f>IFERROR(__xludf.DUMMYFUNCTION("""COMPUTED_VALUE"""),"null")</f>
        <v>null</v>
      </c>
      <c r="P5353" s="33">
        <f>IFERROR(__xludf.DUMMYFUNCTION("""COMPUTED_VALUE"""),0.5)</f>
        <v>0.5</v>
      </c>
      <c r="Q5353" s="4" t="str">
        <f>IFERROR(__xludf.DUMMYFUNCTION("""COMPUTED_VALUE"""),"Anota Ai Solucoes Digitais S/a")</f>
        <v>Anota Ai Solucoes Digitais S/a</v>
      </c>
      <c r="R5353" s="33">
        <f>IFERROR(__xludf.DUMMYFUNCTION("""COMPUTED_VALUE"""),0.5)</f>
        <v>0.5</v>
      </c>
      <c r="S5353" s="4" t="str">
        <f>IFERROR(__xludf.DUMMYFUNCTION("""COMPUTED_VALUE"""),"null")</f>
        <v>null</v>
      </c>
      <c r="T5353" s="33">
        <f>IFERROR(__xludf.DUMMYFUNCTION("""COMPUTED_VALUE"""),0.5)</f>
        <v>0.5</v>
      </c>
      <c r="U5353" s="4" t="str">
        <f>IFERROR(__xludf.DUMMYFUNCTION("""COMPUTED_VALUE"""),"null")</f>
        <v>null</v>
      </c>
      <c r="V5353" s="33">
        <f>IFERROR(__xludf.DUMMYFUNCTION("""COMPUTED_VALUE"""),0.5)</f>
        <v>0.5</v>
      </c>
      <c r="W5353" s="4" t="str">
        <f>IFERROR(__xludf.DUMMYFUNCTION("""COMPUTED_VALUE"""),"null")</f>
        <v>null</v>
      </c>
      <c r="X5353" s="33">
        <f>IFERROR(__xludf.DUMMYFUNCTION("""COMPUTED_VALUE"""),0.5)</f>
        <v>0.5</v>
      </c>
    </row>
    <row r="5354">
      <c r="K5354" s="4" t="str">
        <f>IFERROR(__xludf.DUMMYFUNCTION("""COMPUTED_VALUE"""),"ESPETO NA BRASA")</f>
        <v>ESPETO NA BRASA</v>
      </c>
      <c r="L5354" s="32">
        <f>IFERROR(__xludf.DUMMYFUNCTION("""COMPUTED_VALUE"""),2.0)</f>
        <v>2</v>
      </c>
      <c r="M5354" s="4" t="str">
        <f>IFERROR(__xludf.DUMMYFUNCTION("""COMPUTED_VALUE"""),"Solução Sistemas")</f>
        <v>Solução Sistemas</v>
      </c>
      <c r="N5354" s="33">
        <f>IFERROR(__xludf.DUMMYFUNCTION("""COMPUTED_VALUE"""),1.0)</f>
        <v>1</v>
      </c>
      <c r="O5354" s="4" t="str">
        <f>IFERROR(__xludf.DUMMYFUNCTION("""COMPUTED_VALUE"""),"null")</f>
        <v>null</v>
      </c>
      <c r="P5354" s="33">
        <f>IFERROR(__xludf.DUMMYFUNCTION("""COMPUTED_VALUE"""),0.5)</f>
        <v>0.5</v>
      </c>
      <c r="Q5354" s="4" t="str">
        <f>IFERROR(__xludf.DUMMYFUNCTION("""COMPUTED_VALUE"""),"Solução Sistemas")</f>
        <v>Solução Sistemas</v>
      </c>
      <c r="R5354" s="33">
        <f>IFERROR(__xludf.DUMMYFUNCTION("""COMPUTED_VALUE"""),1.0)</f>
        <v>1</v>
      </c>
      <c r="S5354" s="4" t="str">
        <f>IFERROR(__xludf.DUMMYFUNCTION("""COMPUTED_VALUE"""),"null")</f>
        <v>null</v>
      </c>
      <c r="T5354" s="33">
        <f>IFERROR(__xludf.DUMMYFUNCTION("""COMPUTED_VALUE"""),0.5)</f>
        <v>0.5</v>
      </c>
      <c r="U5354" s="4" t="str">
        <f>IFERROR(__xludf.DUMMYFUNCTION("""COMPUTED_VALUE"""),"null")</f>
        <v>null</v>
      </c>
      <c r="V5354" s="33">
        <f>IFERROR(__xludf.DUMMYFUNCTION("""COMPUTED_VALUE"""),0.5)</f>
        <v>0.5</v>
      </c>
      <c r="W5354" s="4" t="str">
        <f>IFERROR(__xludf.DUMMYFUNCTION("""COMPUTED_VALUE"""),"null")</f>
        <v>null</v>
      </c>
      <c r="X5354" s="33">
        <f>IFERROR(__xludf.DUMMYFUNCTION("""COMPUTED_VALUE"""),0.5)</f>
        <v>0.5</v>
      </c>
    </row>
    <row r="5355">
      <c r="K5355" s="4" t="str">
        <f>IFERROR(__xludf.DUMMYFUNCTION("""COMPUTED_VALUE"""),"ANDERSON LANCHES")</f>
        <v>ANDERSON LANCHES</v>
      </c>
      <c r="L5355" s="32">
        <f>IFERROR(__xludf.DUMMYFUNCTION("""COMPUTED_VALUE"""),2.0)</f>
        <v>2</v>
      </c>
      <c r="M5355" s="4" t="str">
        <f>IFERROR(__xludf.DUMMYFUNCTION("""COMPUTED_VALUE"""),"Anota Ai Solucoes Digitais S/a")</f>
        <v>Anota Ai Solucoes Digitais S/a</v>
      </c>
      <c r="N5355" s="33">
        <f>IFERROR(__xludf.DUMMYFUNCTION("""COMPUTED_VALUE"""),0.5)</f>
        <v>0.5</v>
      </c>
      <c r="O5355" s="4" t="str">
        <f>IFERROR(__xludf.DUMMYFUNCTION("""COMPUTED_VALUE"""),"Anota Ai Solucoes Digitais S/a")</f>
        <v>Anota Ai Solucoes Digitais S/a</v>
      </c>
      <c r="P5355" s="33">
        <f>IFERROR(__xludf.DUMMYFUNCTION("""COMPUTED_VALUE"""),0.5)</f>
        <v>0.5</v>
      </c>
      <c r="Q5355" s="4" t="str">
        <f>IFERROR(__xludf.DUMMYFUNCTION("""COMPUTED_VALUE"""),"Anota Ai Solucoes Digitais S/a")</f>
        <v>Anota Ai Solucoes Digitais S/a</v>
      </c>
      <c r="R5355" s="33">
        <f>IFERROR(__xludf.DUMMYFUNCTION("""COMPUTED_VALUE"""),0.5)</f>
        <v>0.5</v>
      </c>
      <c r="S5355" s="4" t="str">
        <f>IFERROR(__xludf.DUMMYFUNCTION("""COMPUTED_VALUE"""),"Anota Ai Solucoes Digitais S/a")</f>
        <v>Anota Ai Solucoes Digitais S/a</v>
      </c>
      <c r="T5355" s="33">
        <f>IFERROR(__xludf.DUMMYFUNCTION("""COMPUTED_VALUE"""),0.5)</f>
        <v>0.5</v>
      </c>
      <c r="U5355" s="4" t="str">
        <f>IFERROR(__xludf.DUMMYFUNCTION("""COMPUTED_VALUE"""),"Anota Ai Solucoes Digitais S/a")</f>
        <v>Anota Ai Solucoes Digitais S/a</v>
      </c>
      <c r="V5355" s="33">
        <f>IFERROR(__xludf.DUMMYFUNCTION("""COMPUTED_VALUE"""),0.5)</f>
        <v>0.5</v>
      </c>
      <c r="W5355" s="4" t="str">
        <f>IFERROR(__xludf.DUMMYFUNCTION("""COMPUTED_VALUE"""),"null")</f>
        <v>null</v>
      </c>
      <c r="X5355" s="33">
        <f>IFERROR(__xludf.DUMMYFUNCTION("""COMPUTED_VALUE"""),0.5)</f>
        <v>0.5</v>
      </c>
    </row>
    <row r="5356">
      <c r="K5356" s="4" t="str">
        <f>IFERROR(__xludf.DUMMYFUNCTION("""COMPUTED_VALUE"""),"KENKO SUSHI DELIVERY")</f>
        <v>KENKO SUSHI DELIVERY</v>
      </c>
      <c r="L5356" s="32">
        <f>IFERROR(__xludf.DUMMYFUNCTION("""COMPUTED_VALUE"""),2.0)</f>
        <v>2</v>
      </c>
      <c r="M5356" s="4" t="str">
        <f>IFERROR(__xludf.DUMMYFUNCTION("""COMPUTED_VALUE"""),"Saipos Serviços De Software")</f>
        <v>Saipos Serviços De Software</v>
      </c>
      <c r="N5356" s="33">
        <f>IFERROR(__xludf.DUMMYFUNCTION("""COMPUTED_VALUE"""),1.0)</f>
        <v>1</v>
      </c>
      <c r="O5356" s="4" t="str">
        <f>IFERROR(__xludf.DUMMYFUNCTION("""COMPUTED_VALUE"""),"null")</f>
        <v>null</v>
      </c>
      <c r="P5356" s="33">
        <f>IFERROR(__xludf.DUMMYFUNCTION("""COMPUTED_VALUE"""),0.5)</f>
        <v>0.5</v>
      </c>
      <c r="Q5356" s="4" t="str">
        <f>IFERROR(__xludf.DUMMYFUNCTION("""COMPUTED_VALUE"""),"null")</f>
        <v>null</v>
      </c>
      <c r="R5356" s="33">
        <f>IFERROR(__xludf.DUMMYFUNCTION("""COMPUTED_VALUE"""),0.5)</f>
        <v>0.5</v>
      </c>
      <c r="S5356" s="4" t="str">
        <f>IFERROR(__xludf.DUMMYFUNCTION("""COMPUTED_VALUE"""),"null")</f>
        <v>null</v>
      </c>
      <c r="T5356" s="33">
        <f>IFERROR(__xludf.DUMMYFUNCTION("""COMPUTED_VALUE"""),1.0)</f>
        <v>1</v>
      </c>
      <c r="U5356" s="4" t="str">
        <f>IFERROR(__xludf.DUMMYFUNCTION("""COMPUTED_VALUE"""),"null")</f>
        <v>null</v>
      </c>
      <c r="V5356" s="33">
        <f>IFERROR(__xludf.DUMMYFUNCTION("""COMPUTED_VALUE"""),1.0)</f>
        <v>1</v>
      </c>
      <c r="W5356" s="4" t="str">
        <f>IFERROR(__xludf.DUMMYFUNCTION("""COMPUTED_VALUE"""),"null")</f>
        <v>null</v>
      </c>
      <c r="X5356" s="33">
        <f>IFERROR(__xludf.DUMMYFUNCTION("""COMPUTED_VALUE"""),1.0)</f>
        <v>1</v>
      </c>
    </row>
    <row r="5357">
      <c r="K5357" s="4" t="str">
        <f>IFERROR(__xludf.DUMMYFUNCTION("""COMPUTED_VALUE"""),"ACAILANDIA C NUTELLA GRATIS")</f>
        <v>ACAILANDIA C NUTELLA GRATIS</v>
      </c>
      <c r="L5357" s="32">
        <f>IFERROR(__xludf.DUMMYFUNCTION("""COMPUTED_VALUE"""),2.0)</f>
        <v>2</v>
      </c>
      <c r="M5357" s="4" t="str">
        <f>IFERROR(__xludf.DUMMYFUNCTION("""COMPUTED_VALUE"""),"null")</f>
        <v>null</v>
      </c>
      <c r="N5357" s="33">
        <f>IFERROR(__xludf.DUMMYFUNCTION("""COMPUTED_VALUE"""),1.0)</f>
        <v>1</v>
      </c>
      <c r="O5357" s="4" t="str">
        <f>IFERROR(__xludf.DUMMYFUNCTION("""COMPUTED_VALUE"""),"null")</f>
        <v>null</v>
      </c>
      <c r="P5357" s="33">
        <f>IFERROR(__xludf.DUMMYFUNCTION("""COMPUTED_VALUE"""),0.5)</f>
        <v>0.5</v>
      </c>
      <c r="Q5357" s="4" t="str">
        <f>IFERROR(__xludf.DUMMYFUNCTION("""COMPUTED_VALUE"""),"null")</f>
        <v>null</v>
      </c>
      <c r="R5357" s="33">
        <f>IFERROR(__xludf.DUMMYFUNCTION("""COMPUTED_VALUE"""),0.5)</f>
        <v>0.5</v>
      </c>
      <c r="S5357" s="4" t="str">
        <f>IFERROR(__xludf.DUMMYFUNCTION("""COMPUTED_VALUE"""),"Instadelivery")</f>
        <v>Instadelivery</v>
      </c>
      <c r="T5357" s="33">
        <f>IFERROR(__xludf.DUMMYFUNCTION("""COMPUTED_VALUE"""),0.5)</f>
        <v>0.5</v>
      </c>
      <c r="U5357" s="4" t="str">
        <f>IFERROR(__xludf.DUMMYFUNCTION("""COMPUTED_VALUE"""),"null")</f>
        <v>null</v>
      </c>
      <c r="V5357" s="33">
        <f>IFERROR(__xludf.DUMMYFUNCTION("""COMPUTED_VALUE"""),0.5)</f>
        <v>0.5</v>
      </c>
      <c r="W5357" s="4" t="str">
        <f>IFERROR(__xludf.DUMMYFUNCTION("""COMPUTED_VALUE"""),"null")</f>
        <v>null</v>
      </c>
      <c r="X5357" s="33">
        <f>IFERROR(__xludf.DUMMYFUNCTION("""COMPUTED_VALUE"""),0.5)</f>
        <v>0.5</v>
      </c>
    </row>
    <row r="5358">
      <c r="K5358" s="4" t="str">
        <f>IFERROR(__xludf.DUMMYFUNCTION("""COMPUTED_VALUE"""),"TAIDO SUSHI DELIVERY")</f>
        <v>TAIDO SUSHI DELIVERY</v>
      </c>
      <c r="L5358" s="32">
        <f>IFERROR(__xludf.DUMMYFUNCTION("""COMPUTED_VALUE"""),2.0)</f>
        <v>2</v>
      </c>
      <c r="M5358" s="4" t="str">
        <f>IFERROR(__xludf.DUMMYFUNCTION("""COMPUTED_VALUE"""),"Consumer Soluções Em Tecnologia Ltda")</f>
        <v>Consumer Soluções Em Tecnologia Ltda</v>
      </c>
      <c r="N5358" s="33">
        <f>IFERROR(__xludf.DUMMYFUNCTION("""COMPUTED_VALUE"""),0.5)</f>
        <v>0.5</v>
      </c>
      <c r="O5358" s="4" t="str">
        <f>IFERROR(__xludf.DUMMYFUNCTION("""COMPUTED_VALUE"""),"null")</f>
        <v>null</v>
      </c>
      <c r="P5358" s="33">
        <f>IFERROR(__xludf.DUMMYFUNCTION("""COMPUTED_VALUE"""),0.5)</f>
        <v>0.5</v>
      </c>
      <c r="Q5358" s="4" t="str">
        <f>IFERROR(__xludf.DUMMYFUNCTION("""COMPUTED_VALUE"""),"Consumer Soluções Em Tecnologia Ltda")</f>
        <v>Consumer Soluções Em Tecnologia Ltda</v>
      </c>
      <c r="R5358" s="33">
        <f>IFERROR(__xludf.DUMMYFUNCTION("""COMPUTED_VALUE"""),1.0)</f>
        <v>1</v>
      </c>
      <c r="S5358" s="4" t="str">
        <f>IFERROR(__xludf.DUMMYFUNCTION("""COMPUTED_VALUE"""),"Consumer Soluções Em Tecnologia Ltda")</f>
        <v>Consumer Soluções Em Tecnologia Ltda</v>
      </c>
      <c r="T5358" s="33">
        <f>IFERROR(__xludf.DUMMYFUNCTION("""COMPUTED_VALUE"""),1.0)</f>
        <v>1</v>
      </c>
      <c r="U5358" s="4" t="str">
        <f>IFERROR(__xludf.DUMMYFUNCTION("""COMPUTED_VALUE"""),"null")</f>
        <v>null</v>
      </c>
      <c r="V5358" s="33">
        <f>IFERROR(__xludf.DUMMYFUNCTION("""COMPUTED_VALUE"""),1.0)</f>
        <v>1</v>
      </c>
      <c r="W5358" s="4" t="str">
        <f>IFERROR(__xludf.DUMMYFUNCTION("""COMPUTED_VALUE"""),"Consumer Soluções Em Tecnologia Ltda")</f>
        <v>Consumer Soluções Em Tecnologia Ltda</v>
      </c>
      <c r="X5358" s="33">
        <f>IFERROR(__xludf.DUMMYFUNCTION("""COMPUTED_VALUE"""),0.5)</f>
        <v>0.5</v>
      </c>
    </row>
    <row r="5359">
      <c r="K5359" s="4" t="str">
        <f>IFERROR(__xludf.DUMMYFUNCTION("""COMPUTED_VALUE"""),"DINO CREPES")</f>
        <v>DINO CREPES</v>
      </c>
      <c r="L5359" s="32">
        <f>IFERROR(__xludf.DUMMYFUNCTION("""COMPUTED_VALUE"""),2.0)</f>
        <v>2</v>
      </c>
      <c r="M5359" s="4" t="str">
        <f>IFERROR(__xludf.DUMMYFUNCTION("""COMPUTED_VALUE"""),"Yooga")</f>
        <v>Yooga</v>
      </c>
      <c r="N5359" s="33">
        <f>IFERROR(__xludf.DUMMYFUNCTION("""COMPUTED_VALUE"""),1.0)</f>
        <v>1</v>
      </c>
      <c r="O5359" s="4" t="str">
        <f>IFERROR(__xludf.DUMMYFUNCTION("""COMPUTED_VALUE"""),"Yooga")</f>
        <v>Yooga</v>
      </c>
      <c r="P5359" s="33">
        <f>IFERROR(__xludf.DUMMYFUNCTION("""COMPUTED_VALUE"""),1.0)</f>
        <v>1</v>
      </c>
      <c r="Q5359" s="4" t="str">
        <f>IFERROR(__xludf.DUMMYFUNCTION("""COMPUTED_VALUE"""),"Yooga")</f>
        <v>Yooga</v>
      </c>
      <c r="R5359" s="33">
        <f>IFERROR(__xludf.DUMMYFUNCTION("""COMPUTED_VALUE"""),1.0)</f>
        <v>1</v>
      </c>
      <c r="S5359" s="4" t="str">
        <f>IFERROR(__xludf.DUMMYFUNCTION("""COMPUTED_VALUE"""),"Yooga")</f>
        <v>Yooga</v>
      </c>
      <c r="T5359" s="33">
        <f>IFERROR(__xludf.DUMMYFUNCTION("""COMPUTED_VALUE"""),1.0)</f>
        <v>1</v>
      </c>
      <c r="U5359" s="4" t="str">
        <f>IFERROR(__xludf.DUMMYFUNCTION("""COMPUTED_VALUE"""),"Yooga")</f>
        <v>Yooga</v>
      </c>
      <c r="V5359" s="33">
        <f>IFERROR(__xludf.DUMMYFUNCTION("""COMPUTED_VALUE"""),0.5)</f>
        <v>0.5</v>
      </c>
      <c r="W5359" s="4" t="str">
        <f>IFERROR(__xludf.DUMMYFUNCTION("""COMPUTED_VALUE"""),"Yooga")</f>
        <v>Yooga</v>
      </c>
      <c r="X5359" s="33">
        <f>IFERROR(__xludf.DUMMYFUNCTION("""COMPUTED_VALUE"""),1.0)</f>
        <v>1</v>
      </c>
    </row>
    <row r="5360">
      <c r="K5360" s="4" t="str">
        <f>IFERROR(__xludf.DUMMYFUNCTION("""COMPUTED_VALUE"""),"RESTAURANTE PANTANAL")</f>
        <v>RESTAURANTE PANTANAL</v>
      </c>
      <c r="L5360" s="32">
        <f>IFERROR(__xludf.DUMMYFUNCTION("""COMPUTED_VALUE"""),2.0)</f>
        <v>2</v>
      </c>
      <c r="M5360" s="4" t="str">
        <f>IFERROR(__xludf.DUMMYFUNCTION("""COMPUTED_VALUE"""),"null")</f>
        <v>null</v>
      </c>
      <c r="N5360" s="33">
        <f>IFERROR(__xludf.DUMMYFUNCTION("""COMPUTED_VALUE"""),0.5)</f>
        <v>0.5</v>
      </c>
      <c r="O5360" s="4" t="str">
        <f>IFERROR(__xludf.DUMMYFUNCTION("""COMPUTED_VALUE"""),"null")</f>
        <v>null</v>
      </c>
      <c r="P5360" s="33">
        <f>IFERROR(__xludf.DUMMYFUNCTION("""COMPUTED_VALUE"""),1.0)</f>
        <v>1</v>
      </c>
      <c r="Q5360" s="4" t="str">
        <f>IFERROR(__xludf.DUMMYFUNCTION("""COMPUTED_VALUE"""),"null")</f>
        <v>null</v>
      </c>
      <c r="R5360" s="33">
        <f>IFERROR(__xludf.DUMMYFUNCTION("""COMPUTED_VALUE"""),1.0)</f>
        <v>1</v>
      </c>
      <c r="S5360" s="4" t="str">
        <f>IFERROR(__xludf.DUMMYFUNCTION("""COMPUTED_VALUE"""),"null")</f>
        <v>null</v>
      </c>
      <c r="T5360" s="33">
        <f>IFERROR(__xludf.DUMMYFUNCTION("""COMPUTED_VALUE"""),1.0)</f>
        <v>1</v>
      </c>
      <c r="U5360" s="4" t="str">
        <f>IFERROR(__xludf.DUMMYFUNCTION("""COMPUTED_VALUE"""),"null")</f>
        <v>null</v>
      </c>
      <c r="V5360" s="33">
        <f>IFERROR(__xludf.DUMMYFUNCTION("""COMPUTED_VALUE"""),1.0)</f>
        <v>1</v>
      </c>
      <c r="W5360" s="4" t="str">
        <f>IFERROR(__xludf.DUMMYFUNCTION("""COMPUTED_VALUE"""),"Sagres Automação Comercial")</f>
        <v>Sagres Automação Comercial</v>
      </c>
      <c r="X5360" s="33">
        <f>IFERROR(__xludf.DUMMYFUNCTION("""COMPUTED_VALUE"""),0.5)</f>
        <v>0.5</v>
      </c>
    </row>
    <row r="5361">
      <c r="K5361" s="4" t="str">
        <f>IFERROR(__xludf.DUMMYFUNCTION("""COMPUTED_VALUE"""),"ESPETO MANIA")</f>
        <v>ESPETO MANIA</v>
      </c>
      <c r="L5361" s="32">
        <f>IFERROR(__xludf.DUMMYFUNCTION("""COMPUTED_VALUE"""),2.0)</f>
        <v>2</v>
      </c>
      <c r="M5361" s="4" t="str">
        <f>IFERROR(__xludf.DUMMYFUNCTION("""COMPUTED_VALUE"""),"Anota Ai Solucoes Digitais S/a")</f>
        <v>Anota Ai Solucoes Digitais S/a</v>
      </c>
      <c r="N5361" s="33">
        <f>IFERROR(__xludf.DUMMYFUNCTION("""COMPUTED_VALUE"""),0.5)</f>
        <v>0.5</v>
      </c>
      <c r="O5361" s="4" t="str">
        <f>IFERROR(__xludf.DUMMYFUNCTION("""COMPUTED_VALUE"""),"Anota Ai Solucoes Digitais S/a")</f>
        <v>Anota Ai Solucoes Digitais S/a</v>
      </c>
      <c r="P5361" s="33">
        <f>IFERROR(__xludf.DUMMYFUNCTION("""COMPUTED_VALUE"""),1.0)</f>
        <v>1</v>
      </c>
      <c r="Q5361" s="4" t="str">
        <f>IFERROR(__xludf.DUMMYFUNCTION("""COMPUTED_VALUE"""),"Anota Ai Solucoes Digitais S/a")</f>
        <v>Anota Ai Solucoes Digitais S/a</v>
      </c>
      <c r="R5361" s="33">
        <f>IFERROR(__xludf.DUMMYFUNCTION("""COMPUTED_VALUE"""),0.5)</f>
        <v>0.5</v>
      </c>
      <c r="S5361" s="4" t="str">
        <f>IFERROR(__xludf.DUMMYFUNCTION("""COMPUTED_VALUE"""),"Anota Ai Solucoes Digitais S/a")</f>
        <v>Anota Ai Solucoes Digitais S/a</v>
      </c>
      <c r="T5361" s="33">
        <f>IFERROR(__xludf.DUMMYFUNCTION("""COMPUTED_VALUE"""),1.0)</f>
        <v>1</v>
      </c>
      <c r="U5361" s="4" t="str">
        <f>IFERROR(__xludf.DUMMYFUNCTION("""COMPUTED_VALUE"""),"Anota Ai Solucoes Digitais S/a")</f>
        <v>Anota Ai Solucoes Digitais S/a</v>
      </c>
      <c r="V5361" s="33">
        <f>IFERROR(__xludf.DUMMYFUNCTION("""COMPUTED_VALUE"""),1.0)</f>
        <v>1</v>
      </c>
      <c r="W5361" s="4" t="str">
        <f>IFERROR(__xludf.DUMMYFUNCTION("""COMPUTED_VALUE"""),"Anota Ai Solucoes Digitais S/a")</f>
        <v>Anota Ai Solucoes Digitais S/a</v>
      </c>
      <c r="X5361" s="33">
        <f>IFERROR(__xludf.DUMMYFUNCTION("""COMPUTED_VALUE"""),1.0)</f>
        <v>1</v>
      </c>
    </row>
    <row r="5362">
      <c r="K5362" s="4" t="str">
        <f>IFERROR(__xludf.DUMMYFUNCTION("""COMPUTED_VALUE"""),"PIZZA, ESFIHA, CALZONE, PASTEL E BEIRUTE NO GENIBAU - PIZZARIA MORADA NOVA")</f>
        <v>PIZZA, ESFIHA, CALZONE, PASTEL E BEIRUTE NO GENIBAU - PIZZARIA MORADA NOVA</v>
      </c>
      <c r="L5362" s="32">
        <f>IFERROR(__xludf.DUMMYFUNCTION("""COMPUTED_VALUE"""),2.0)</f>
        <v>2</v>
      </c>
      <c r="M5362" s="4" t="str">
        <f>IFERROR(__xludf.DUMMYFUNCTION("""COMPUTED_VALUE"""),"Cardápio Web")</f>
        <v>Cardápio Web</v>
      </c>
      <c r="N5362" s="33">
        <f>IFERROR(__xludf.DUMMYFUNCTION("""COMPUTED_VALUE"""),0.5)</f>
        <v>0.5</v>
      </c>
      <c r="O5362" s="4" t="str">
        <f>IFERROR(__xludf.DUMMYFUNCTION("""COMPUTED_VALUE"""),"null")</f>
        <v>null</v>
      </c>
      <c r="P5362" s="33">
        <f>IFERROR(__xludf.DUMMYFUNCTION("""COMPUTED_VALUE"""),1.0)</f>
        <v>1</v>
      </c>
      <c r="Q5362" s="4" t="str">
        <f>IFERROR(__xludf.DUMMYFUNCTION("""COMPUTED_VALUE"""),"null")</f>
        <v>null</v>
      </c>
      <c r="R5362" s="33">
        <f>IFERROR(__xludf.DUMMYFUNCTION("""COMPUTED_VALUE"""),1.0)</f>
        <v>1</v>
      </c>
      <c r="S5362" s="4" t="str">
        <f>IFERROR(__xludf.DUMMYFUNCTION("""COMPUTED_VALUE"""),"Cardápio Web")</f>
        <v>Cardápio Web</v>
      </c>
      <c r="T5362" s="33">
        <f>IFERROR(__xludf.DUMMYFUNCTION("""COMPUTED_VALUE"""),0.5)</f>
        <v>0.5</v>
      </c>
      <c r="U5362" s="4" t="str">
        <f>IFERROR(__xludf.DUMMYFUNCTION("""COMPUTED_VALUE"""),"Cardápio Web")</f>
        <v>Cardápio Web</v>
      </c>
      <c r="V5362" s="33">
        <f>IFERROR(__xludf.DUMMYFUNCTION("""COMPUTED_VALUE"""),0.5)</f>
        <v>0.5</v>
      </c>
      <c r="W5362" s="4" t="str">
        <f>IFERROR(__xludf.DUMMYFUNCTION("""COMPUTED_VALUE"""),"null")</f>
        <v>null</v>
      </c>
      <c r="X5362" s="33">
        <f>IFERROR(__xludf.DUMMYFUNCTION("""COMPUTED_VALUE"""),0.5)</f>
        <v>0.5</v>
      </c>
    </row>
    <row r="5363">
      <c r="K5363" s="4" t="str">
        <f>IFERROR(__xludf.DUMMYFUNCTION("""COMPUTED_VALUE"""),"SUSHI E CHINA DE PRIMEIRA")</f>
        <v>SUSHI E CHINA DE PRIMEIRA</v>
      </c>
      <c r="L5363" s="32">
        <f>IFERROR(__xludf.DUMMYFUNCTION("""COMPUTED_VALUE"""),2.0)</f>
        <v>2</v>
      </c>
      <c r="M5363" s="4" t="str">
        <f>IFERROR(__xludf.DUMMYFUNCTION("""COMPUTED_VALUE"""),"Mp Multipedidos")</f>
        <v>Mp Multipedidos</v>
      </c>
      <c r="N5363" s="33">
        <f>IFERROR(__xludf.DUMMYFUNCTION("""COMPUTED_VALUE"""),1.0)</f>
        <v>1</v>
      </c>
      <c r="O5363" s="4" t="str">
        <f>IFERROR(__xludf.DUMMYFUNCTION("""COMPUTED_VALUE"""),"Mp Multipedidos")</f>
        <v>Mp Multipedidos</v>
      </c>
      <c r="P5363" s="33">
        <f>IFERROR(__xludf.DUMMYFUNCTION("""COMPUTED_VALUE"""),1.0)</f>
        <v>1</v>
      </c>
      <c r="Q5363" s="4" t="str">
        <f>IFERROR(__xludf.DUMMYFUNCTION("""COMPUTED_VALUE"""),"Mp Multipedidos")</f>
        <v>Mp Multipedidos</v>
      </c>
      <c r="R5363" s="33">
        <f>IFERROR(__xludf.DUMMYFUNCTION("""COMPUTED_VALUE"""),1.0)</f>
        <v>1</v>
      </c>
      <c r="S5363" s="4" t="str">
        <f>IFERROR(__xludf.DUMMYFUNCTION("""COMPUTED_VALUE"""),"Mp Multipedidos")</f>
        <v>Mp Multipedidos</v>
      </c>
      <c r="T5363" s="33">
        <f>IFERROR(__xludf.DUMMYFUNCTION("""COMPUTED_VALUE"""),1.0)</f>
        <v>1</v>
      </c>
      <c r="U5363" s="4" t="str">
        <f>IFERROR(__xludf.DUMMYFUNCTION("""COMPUTED_VALUE"""),"Mp Multipedidos")</f>
        <v>Mp Multipedidos</v>
      </c>
      <c r="V5363" s="33">
        <f>IFERROR(__xludf.DUMMYFUNCTION("""COMPUTED_VALUE"""),1.0)</f>
        <v>1</v>
      </c>
      <c r="W5363" s="4" t="str">
        <f>IFERROR(__xludf.DUMMYFUNCTION("""COMPUTED_VALUE"""),"Mp Multipedidos")</f>
        <v>Mp Multipedidos</v>
      </c>
      <c r="X5363" s="33">
        <f>IFERROR(__xludf.DUMMYFUNCTION("""COMPUTED_VALUE"""),1.0)</f>
        <v>1</v>
      </c>
    </row>
    <row r="5364">
      <c r="K5364" s="4" t="str">
        <f>IFERROR(__xludf.DUMMYFUNCTION("""COMPUTED_VALUE"""),"CANTINHO DO CHURRASCO")</f>
        <v>CANTINHO DO CHURRASCO</v>
      </c>
      <c r="L5364" s="32">
        <f>IFERROR(__xludf.DUMMYFUNCTION("""COMPUTED_VALUE"""),2.0)</f>
        <v>2</v>
      </c>
      <c r="M5364" s="4" t="str">
        <f>IFERROR(__xludf.DUMMYFUNCTION("""COMPUTED_VALUE"""),"Takeat Tecnologia")</f>
        <v>Takeat Tecnologia</v>
      </c>
      <c r="N5364" s="33">
        <f>IFERROR(__xludf.DUMMYFUNCTION("""COMPUTED_VALUE"""),0.5)</f>
        <v>0.5</v>
      </c>
      <c r="O5364" s="4" t="str">
        <f>IFERROR(__xludf.DUMMYFUNCTION("""COMPUTED_VALUE"""),"null")</f>
        <v>null</v>
      </c>
      <c r="P5364" s="33">
        <f>IFERROR(__xludf.DUMMYFUNCTION("""COMPUTED_VALUE"""),0.5)</f>
        <v>0.5</v>
      </c>
      <c r="Q5364" s="4" t="str">
        <f>IFERROR(__xludf.DUMMYFUNCTION("""COMPUTED_VALUE"""),"Takeat Tecnologia")</f>
        <v>Takeat Tecnologia</v>
      </c>
      <c r="R5364" s="33">
        <f>IFERROR(__xludf.DUMMYFUNCTION("""COMPUTED_VALUE"""),0.5)</f>
        <v>0.5</v>
      </c>
      <c r="S5364" s="4" t="str">
        <f>IFERROR(__xludf.DUMMYFUNCTION("""COMPUTED_VALUE"""),"null")</f>
        <v>null</v>
      </c>
      <c r="T5364" s="33">
        <f>IFERROR(__xludf.DUMMYFUNCTION("""COMPUTED_VALUE"""),0.5)</f>
        <v>0.5</v>
      </c>
      <c r="U5364" s="4" t="str">
        <f>IFERROR(__xludf.DUMMYFUNCTION("""COMPUTED_VALUE"""),"null")</f>
        <v>null</v>
      </c>
      <c r="V5364" s="33">
        <f>IFERROR(__xludf.DUMMYFUNCTION("""COMPUTED_VALUE"""),0.5)</f>
        <v>0.5</v>
      </c>
      <c r="W5364" s="4" t="str">
        <f>IFERROR(__xludf.DUMMYFUNCTION("""COMPUTED_VALUE"""),"null")</f>
        <v>null</v>
      </c>
      <c r="X5364" s="33">
        <f>IFERROR(__xludf.DUMMYFUNCTION("""COMPUTED_VALUE"""),0.5)</f>
        <v>0.5</v>
      </c>
    </row>
    <row r="5365">
      <c r="K5365" s="4" t="str">
        <f>IFERROR(__xludf.DUMMYFUNCTION("""COMPUTED_VALUE"""),"ANTONELLA RESTAURANTE")</f>
        <v>ANTONELLA RESTAURANTE</v>
      </c>
      <c r="L5365" s="32">
        <f>IFERROR(__xludf.DUMMYFUNCTION("""COMPUTED_VALUE"""),2.0)</f>
        <v>2</v>
      </c>
      <c r="M5365" s="4" t="str">
        <f>IFERROR(__xludf.DUMMYFUNCTION("""COMPUTED_VALUE"""),"Anota Ai Solucoes Digitais S/a")</f>
        <v>Anota Ai Solucoes Digitais S/a</v>
      </c>
      <c r="N5365" s="33">
        <f>IFERROR(__xludf.DUMMYFUNCTION("""COMPUTED_VALUE"""),0.5)</f>
        <v>0.5</v>
      </c>
      <c r="O5365" s="4" t="str">
        <f>IFERROR(__xludf.DUMMYFUNCTION("""COMPUTED_VALUE"""),"Anota Ai Solucoes Digitais S/a")</f>
        <v>Anota Ai Solucoes Digitais S/a</v>
      </c>
      <c r="P5365" s="33">
        <f>IFERROR(__xludf.DUMMYFUNCTION("""COMPUTED_VALUE"""),0.5)</f>
        <v>0.5</v>
      </c>
      <c r="Q5365" s="4" t="str">
        <f>IFERROR(__xludf.DUMMYFUNCTION("""COMPUTED_VALUE"""),"Anota Ai Solucoes Digitais S/a")</f>
        <v>Anota Ai Solucoes Digitais S/a</v>
      </c>
      <c r="R5365" s="33">
        <f>IFERROR(__xludf.DUMMYFUNCTION("""COMPUTED_VALUE"""),0.5)</f>
        <v>0.5</v>
      </c>
      <c r="S5365" s="4" t="str">
        <f>IFERROR(__xludf.DUMMYFUNCTION("""COMPUTED_VALUE"""),"Anota Ai Solucoes Digitais S/a")</f>
        <v>Anota Ai Solucoes Digitais S/a</v>
      </c>
      <c r="T5365" s="33">
        <f>IFERROR(__xludf.DUMMYFUNCTION("""COMPUTED_VALUE"""),0.5)</f>
        <v>0.5</v>
      </c>
      <c r="U5365" s="4" t="str">
        <f>IFERROR(__xludf.DUMMYFUNCTION("""COMPUTED_VALUE"""),"Anota Ai Solucoes Digitais S/a")</f>
        <v>Anota Ai Solucoes Digitais S/a</v>
      </c>
      <c r="V5365" s="33">
        <f>IFERROR(__xludf.DUMMYFUNCTION("""COMPUTED_VALUE"""),0.5)</f>
        <v>0.5</v>
      </c>
      <c r="W5365" s="4" t="str">
        <f>IFERROR(__xludf.DUMMYFUNCTION("""COMPUTED_VALUE"""),"Anota Ai Solucoes Digitais S/a")</f>
        <v>Anota Ai Solucoes Digitais S/a</v>
      </c>
      <c r="X5365" s="33">
        <f>IFERROR(__xludf.DUMMYFUNCTION("""COMPUTED_VALUE"""),0.5)</f>
        <v>0.5</v>
      </c>
    </row>
    <row r="5366">
      <c r="K5366" s="4" t="str">
        <f>IFERROR(__xludf.DUMMYFUNCTION("""COMPUTED_VALUE"""),"DU CHEFF")</f>
        <v>DU CHEFF</v>
      </c>
      <c r="L5366" s="32">
        <f>IFERROR(__xludf.DUMMYFUNCTION("""COMPUTED_VALUE"""),2.0)</f>
        <v>2</v>
      </c>
      <c r="M5366" s="4" t="str">
        <f>IFERROR(__xludf.DUMMYFUNCTION("""COMPUTED_VALUE"""),"Yooga")</f>
        <v>Yooga</v>
      </c>
      <c r="N5366" s="33">
        <f>IFERROR(__xludf.DUMMYFUNCTION("""COMPUTED_VALUE"""),0.5)</f>
        <v>0.5</v>
      </c>
      <c r="O5366" s="4" t="str">
        <f>IFERROR(__xludf.DUMMYFUNCTION("""COMPUTED_VALUE"""),"Yooga")</f>
        <v>Yooga</v>
      </c>
      <c r="P5366" s="33">
        <f>IFERROR(__xludf.DUMMYFUNCTION("""COMPUTED_VALUE"""),0.5)</f>
        <v>0.5</v>
      </c>
      <c r="Q5366" s="4" t="str">
        <f>IFERROR(__xludf.DUMMYFUNCTION("""COMPUTED_VALUE"""),"null")</f>
        <v>null</v>
      </c>
      <c r="R5366" s="33">
        <f>IFERROR(__xludf.DUMMYFUNCTION("""COMPUTED_VALUE"""),0.5)</f>
        <v>0.5</v>
      </c>
      <c r="S5366" s="4" t="str">
        <f>IFERROR(__xludf.DUMMYFUNCTION("""COMPUTED_VALUE"""),"null")</f>
        <v>null</v>
      </c>
      <c r="T5366" s="33">
        <f>IFERROR(__xludf.DUMMYFUNCTION("""COMPUTED_VALUE"""),0.5)</f>
        <v>0.5</v>
      </c>
      <c r="U5366" s="4" t="str">
        <f>IFERROR(__xludf.DUMMYFUNCTION("""COMPUTED_VALUE"""),"Yooga")</f>
        <v>Yooga</v>
      </c>
      <c r="V5366" s="33">
        <f>IFERROR(__xludf.DUMMYFUNCTION("""COMPUTED_VALUE"""),0.5)</f>
        <v>0.5</v>
      </c>
      <c r="W5366" s="4" t="str">
        <f>IFERROR(__xludf.DUMMYFUNCTION("""COMPUTED_VALUE"""),"Yooga")</f>
        <v>Yooga</v>
      </c>
      <c r="X5366" s="33">
        <f>IFERROR(__xludf.DUMMYFUNCTION("""COMPUTED_VALUE"""),0.5)</f>
        <v>0.5</v>
      </c>
    </row>
    <row r="5367">
      <c r="K5367" s="4" t="str">
        <f>IFERROR(__xludf.DUMMYFUNCTION("""COMPUTED_VALUE"""),"BULLROCK BURGER")</f>
        <v>BULLROCK BURGER</v>
      </c>
      <c r="L5367" s="32">
        <f>IFERROR(__xludf.DUMMYFUNCTION("""COMPUTED_VALUE"""),2.0)</f>
        <v>2</v>
      </c>
      <c r="M5367" s="4" t="str">
        <f>IFERROR(__xludf.DUMMYFUNCTION("""COMPUTED_VALUE"""),"Expresso Delivery")</f>
        <v>Expresso Delivery</v>
      </c>
      <c r="N5367" s="33">
        <f>IFERROR(__xludf.DUMMYFUNCTION("""COMPUTED_VALUE"""),0.5)</f>
        <v>0.5</v>
      </c>
      <c r="O5367" s="4" t="str">
        <f>IFERROR(__xludf.DUMMYFUNCTION("""COMPUTED_VALUE"""),"null")</f>
        <v>null</v>
      </c>
      <c r="P5367" s="33">
        <f>IFERROR(__xludf.DUMMYFUNCTION("""COMPUTED_VALUE"""),0.5)</f>
        <v>0.5</v>
      </c>
      <c r="Q5367" s="4" t="str">
        <f>IFERROR(__xludf.DUMMYFUNCTION("""COMPUTED_VALUE"""),"null")</f>
        <v>null</v>
      </c>
      <c r="R5367" s="33">
        <f>IFERROR(__xludf.DUMMYFUNCTION("""COMPUTED_VALUE"""),0.5)</f>
        <v>0.5</v>
      </c>
      <c r="S5367" s="4" t="str">
        <f>IFERROR(__xludf.DUMMYFUNCTION("""COMPUTED_VALUE"""),"null")</f>
        <v>null</v>
      </c>
      <c r="T5367" s="33">
        <f>IFERROR(__xludf.DUMMYFUNCTION("""COMPUTED_VALUE"""),0.5)</f>
        <v>0.5</v>
      </c>
      <c r="U5367" s="4" t="str">
        <f>IFERROR(__xludf.DUMMYFUNCTION("""COMPUTED_VALUE"""),"null")</f>
        <v>null</v>
      </c>
      <c r="V5367" s="33">
        <f>IFERROR(__xludf.DUMMYFUNCTION("""COMPUTED_VALUE"""),0.5)</f>
        <v>0.5</v>
      </c>
      <c r="W5367" s="4" t="str">
        <f>IFERROR(__xludf.DUMMYFUNCTION("""COMPUTED_VALUE"""),"null")</f>
        <v>null</v>
      </c>
      <c r="X5367" s="33">
        <f>IFERROR(__xludf.DUMMYFUNCTION("""COMPUTED_VALUE"""),0.5)</f>
        <v>0.5</v>
      </c>
    </row>
    <row r="5368">
      <c r="K5368" s="4" t="str">
        <f>IFERROR(__xludf.DUMMYFUNCTION("""COMPUTED_VALUE"""),"CHEFF BURGUER")</f>
        <v>CHEFF BURGUER</v>
      </c>
      <c r="L5368" s="32">
        <f>IFERROR(__xludf.DUMMYFUNCTION("""COMPUTED_VALUE"""),2.0)</f>
        <v>2</v>
      </c>
      <c r="M5368" s="4" t="str">
        <f>IFERROR(__xludf.DUMMYFUNCTION("""COMPUTED_VALUE"""),"Instadelivery")</f>
        <v>Instadelivery</v>
      </c>
      <c r="N5368" s="33">
        <f>IFERROR(__xludf.DUMMYFUNCTION("""COMPUTED_VALUE"""),0.5)</f>
        <v>0.5</v>
      </c>
      <c r="O5368" s="4" t="str">
        <f>IFERROR(__xludf.DUMMYFUNCTION("""COMPUTED_VALUE"""),"Instadelivery")</f>
        <v>Instadelivery</v>
      </c>
      <c r="P5368" s="33">
        <f>IFERROR(__xludf.DUMMYFUNCTION("""COMPUTED_VALUE"""),0.5)</f>
        <v>0.5</v>
      </c>
      <c r="Q5368" s="4" t="str">
        <f>IFERROR(__xludf.DUMMYFUNCTION("""COMPUTED_VALUE"""),"Instadelivery")</f>
        <v>Instadelivery</v>
      </c>
      <c r="R5368" s="33">
        <f>IFERROR(__xludf.DUMMYFUNCTION("""COMPUTED_VALUE"""),0.5)</f>
        <v>0.5</v>
      </c>
      <c r="S5368" s="4" t="str">
        <f>IFERROR(__xludf.DUMMYFUNCTION("""COMPUTED_VALUE"""),"null")</f>
        <v>null</v>
      </c>
      <c r="T5368" s="33">
        <f>IFERROR(__xludf.DUMMYFUNCTION("""COMPUTED_VALUE"""),1.0)</f>
        <v>1</v>
      </c>
      <c r="U5368" s="4" t="str">
        <f>IFERROR(__xludf.DUMMYFUNCTION("""COMPUTED_VALUE"""),"null")</f>
        <v>null</v>
      </c>
      <c r="V5368" s="33">
        <f>IFERROR(__xludf.DUMMYFUNCTION("""COMPUTED_VALUE"""),1.0)</f>
        <v>1</v>
      </c>
      <c r="W5368" s="4" t="str">
        <f>IFERROR(__xludf.DUMMYFUNCTION("""COMPUTED_VALUE"""),"null")</f>
        <v>null</v>
      </c>
      <c r="X5368" s="33">
        <f>IFERROR(__xludf.DUMMYFUNCTION("""COMPUTED_VALUE"""),1.0)</f>
        <v>1</v>
      </c>
    </row>
    <row r="5369">
      <c r="K5369" s="4" t="str">
        <f>IFERROR(__xludf.DUMMYFUNCTION("""COMPUTED_VALUE"""),"OLIVI PIZZARIA")</f>
        <v>OLIVI PIZZARIA</v>
      </c>
      <c r="L5369" s="32">
        <f>IFERROR(__xludf.DUMMYFUNCTION("""COMPUTED_VALUE"""),2.0)</f>
        <v>2</v>
      </c>
      <c r="M5369" s="4" t="str">
        <f>IFERROR(__xludf.DUMMYFUNCTION("""COMPUTED_VALUE"""),"null")</f>
        <v>null</v>
      </c>
      <c r="N5369" s="33">
        <f>IFERROR(__xludf.DUMMYFUNCTION("""COMPUTED_VALUE"""),0.5)</f>
        <v>0.5</v>
      </c>
      <c r="O5369" s="4" t="str">
        <f>IFERROR(__xludf.DUMMYFUNCTION("""COMPUTED_VALUE"""),"null")</f>
        <v>null</v>
      </c>
      <c r="P5369" s="33">
        <f>IFERROR(__xludf.DUMMYFUNCTION("""COMPUTED_VALUE"""),0.5)</f>
        <v>0.5</v>
      </c>
      <c r="Q5369" s="4" t="str">
        <f>IFERROR(__xludf.DUMMYFUNCTION("""COMPUTED_VALUE"""),"null")</f>
        <v>null</v>
      </c>
      <c r="R5369" s="33">
        <f>IFERROR(__xludf.DUMMYFUNCTION("""COMPUTED_VALUE"""),1.0)</f>
        <v>1</v>
      </c>
      <c r="S5369" s="4" t="str">
        <f>IFERROR(__xludf.DUMMYFUNCTION("""COMPUTED_VALUE"""),"null")</f>
        <v>null</v>
      </c>
      <c r="T5369" s="33">
        <f>IFERROR(__xludf.DUMMYFUNCTION("""COMPUTED_VALUE"""),1.0)</f>
        <v>1</v>
      </c>
      <c r="U5369" s="4" t="str">
        <f>IFERROR(__xludf.DUMMYFUNCTION("""COMPUTED_VALUE"""),"null")</f>
        <v>null</v>
      </c>
      <c r="V5369" s="33">
        <f>IFERROR(__xludf.DUMMYFUNCTION("""COMPUTED_VALUE"""),1.0)</f>
        <v>1</v>
      </c>
      <c r="W5369" s="4" t="str">
        <f>IFERROR(__xludf.DUMMYFUNCTION("""COMPUTED_VALUE"""),"Cityfoods Ltda")</f>
        <v>Cityfoods Ltda</v>
      </c>
      <c r="X5369" s="33">
        <f>IFERROR(__xludf.DUMMYFUNCTION("""COMPUTED_VALUE"""),0.5)</f>
        <v>0.5</v>
      </c>
    </row>
    <row r="5370">
      <c r="K5370" s="4" t="str">
        <f>IFERROR(__xludf.DUMMYFUNCTION("""COMPUTED_VALUE"""),"VILLAREJO PIZZA")</f>
        <v>VILLAREJO PIZZA</v>
      </c>
      <c r="L5370" s="32">
        <f>IFERROR(__xludf.DUMMYFUNCTION("""COMPUTED_VALUE"""),2.0)</f>
        <v>2</v>
      </c>
      <c r="M5370" s="4" t="str">
        <f>IFERROR(__xludf.DUMMYFUNCTION("""COMPUTED_VALUE"""),"Cardápio Web")</f>
        <v>Cardápio Web</v>
      </c>
      <c r="N5370" s="33">
        <f>IFERROR(__xludf.DUMMYFUNCTION("""COMPUTED_VALUE"""),0.5)</f>
        <v>0.5</v>
      </c>
      <c r="O5370" s="4" t="str">
        <f>IFERROR(__xludf.DUMMYFUNCTION("""COMPUTED_VALUE"""),"Cardápio Web")</f>
        <v>Cardápio Web</v>
      </c>
      <c r="P5370" s="33">
        <f>IFERROR(__xludf.DUMMYFUNCTION("""COMPUTED_VALUE"""),0.5)</f>
        <v>0.5</v>
      </c>
      <c r="Q5370" s="4" t="str">
        <f>IFERROR(__xludf.DUMMYFUNCTION("""COMPUTED_VALUE"""),"Cardápio Web")</f>
        <v>Cardápio Web</v>
      </c>
      <c r="R5370" s="33">
        <f>IFERROR(__xludf.DUMMYFUNCTION("""COMPUTED_VALUE"""),0.5)</f>
        <v>0.5</v>
      </c>
      <c r="S5370" s="4" t="str">
        <f>IFERROR(__xludf.DUMMYFUNCTION("""COMPUTED_VALUE"""),"Cardápio Web")</f>
        <v>Cardápio Web</v>
      </c>
      <c r="T5370" s="33">
        <f>IFERROR(__xludf.DUMMYFUNCTION("""COMPUTED_VALUE"""),0.5)</f>
        <v>0.5</v>
      </c>
      <c r="U5370" s="4" t="str">
        <f>IFERROR(__xludf.DUMMYFUNCTION("""COMPUTED_VALUE"""),"Cardápio Web")</f>
        <v>Cardápio Web</v>
      </c>
      <c r="V5370" s="33">
        <f>IFERROR(__xludf.DUMMYFUNCTION("""COMPUTED_VALUE"""),0.5)</f>
        <v>0.5</v>
      </c>
      <c r="W5370" s="4" t="str">
        <f>IFERROR(__xludf.DUMMYFUNCTION("""COMPUTED_VALUE"""),"Cardápio Web")</f>
        <v>Cardápio Web</v>
      </c>
      <c r="X5370" s="33">
        <f>IFERROR(__xludf.DUMMYFUNCTION("""COMPUTED_VALUE"""),0.5)</f>
        <v>0.5</v>
      </c>
    </row>
    <row r="5371">
      <c r="K5371" s="4" t="str">
        <f>IFERROR(__xludf.DUMMYFUNCTION("""COMPUTED_VALUE"""),"PEDE BISS CENTRO")</f>
        <v>PEDE BISS CENTRO</v>
      </c>
      <c r="L5371" s="32">
        <f>IFERROR(__xludf.DUMMYFUNCTION("""COMPUTED_VALUE"""),2.0)</f>
        <v>2</v>
      </c>
      <c r="M5371" s="4" t="str">
        <f>IFERROR(__xludf.DUMMYFUNCTION("""COMPUTED_VALUE"""),"Anota Ai Solucoes Digitais S/a")</f>
        <v>Anota Ai Solucoes Digitais S/a</v>
      </c>
      <c r="N5371" s="33">
        <f>IFERROR(__xludf.DUMMYFUNCTION("""COMPUTED_VALUE"""),1.0)</f>
        <v>1</v>
      </c>
      <c r="O5371" s="4" t="str">
        <f>IFERROR(__xludf.DUMMYFUNCTION("""COMPUTED_VALUE"""),"Anota Ai Solucoes Digitais S/a")</f>
        <v>Anota Ai Solucoes Digitais S/a</v>
      </c>
      <c r="P5371" s="33">
        <f>IFERROR(__xludf.DUMMYFUNCTION("""COMPUTED_VALUE"""),1.0)</f>
        <v>1</v>
      </c>
      <c r="Q5371" s="4" t="str">
        <f>IFERROR(__xludf.DUMMYFUNCTION("""COMPUTED_VALUE"""),"Anota Ai Solucoes Digitais S/a")</f>
        <v>Anota Ai Solucoes Digitais S/a</v>
      </c>
      <c r="R5371" s="33">
        <f>IFERROR(__xludf.DUMMYFUNCTION("""COMPUTED_VALUE"""),1.0)</f>
        <v>1</v>
      </c>
      <c r="S5371" s="4" t="str">
        <f>IFERROR(__xludf.DUMMYFUNCTION("""COMPUTED_VALUE"""),"Anota Ai Solucoes Digitais S/a")</f>
        <v>Anota Ai Solucoes Digitais S/a</v>
      </c>
      <c r="T5371" s="33">
        <f>IFERROR(__xludf.DUMMYFUNCTION("""COMPUTED_VALUE"""),1.0)</f>
        <v>1</v>
      </c>
      <c r="U5371" s="4" t="str">
        <f>IFERROR(__xludf.DUMMYFUNCTION("""COMPUTED_VALUE"""),"Anota Ai Solucoes Digitais S/a")</f>
        <v>Anota Ai Solucoes Digitais S/a</v>
      </c>
      <c r="V5371" s="33">
        <f>IFERROR(__xludf.DUMMYFUNCTION("""COMPUTED_VALUE"""),1.0)</f>
        <v>1</v>
      </c>
      <c r="W5371" s="4" t="str">
        <f>IFERROR(__xludf.DUMMYFUNCTION("""COMPUTED_VALUE"""),"Anota Ai Solucoes Digitais S/a")</f>
        <v>Anota Ai Solucoes Digitais S/a</v>
      </c>
      <c r="X5371" s="33">
        <f>IFERROR(__xludf.DUMMYFUNCTION("""COMPUTED_VALUE"""),1.0)</f>
        <v>1</v>
      </c>
    </row>
    <row r="5372">
      <c r="K5372" s="4" t="str">
        <f>IFERROR(__xludf.DUMMYFUNCTION("""COMPUTED_VALUE"""),"FTN FARMACIA DO TRABALHADOR NORDESTINO")</f>
        <v>FTN FARMACIA DO TRABALHADOR NORDESTINO</v>
      </c>
      <c r="L5372" s="32">
        <f>IFERROR(__xludf.DUMMYFUNCTION("""COMPUTED_VALUE"""),2.0)</f>
        <v>2</v>
      </c>
      <c r="M5372" s="4" t="str">
        <f>IFERROR(__xludf.DUMMYFUNCTION("""COMPUTED_VALUE"""),"N/A (Not found)")</f>
        <v>N/A (Not found)</v>
      </c>
      <c r="N5372" s="33">
        <f>IFERROR(__xludf.DUMMYFUNCTION("""COMPUTED_VALUE"""),0.5)</f>
        <v>0.5</v>
      </c>
      <c r="O5372" s="4" t="str">
        <f>IFERROR(__xludf.DUMMYFUNCTION("""COMPUTED_VALUE"""),"N/A (Not found)")</f>
        <v>N/A (Not found)</v>
      </c>
      <c r="P5372" s="33">
        <f>IFERROR(__xludf.DUMMYFUNCTION("""COMPUTED_VALUE"""),0.5)</f>
        <v>0.5</v>
      </c>
      <c r="Q5372" s="4" t="str">
        <f>IFERROR(__xludf.DUMMYFUNCTION("""COMPUTED_VALUE"""),"N/A (Not found)")</f>
        <v>N/A (Not found)</v>
      </c>
      <c r="R5372" s="33">
        <f>IFERROR(__xludf.DUMMYFUNCTION("""COMPUTED_VALUE"""),0.5)</f>
        <v>0.5</v>
      </c>
      <c r="S5372" s="4" t="str">
        <f>IFERROR(__xludf.DUMMYFUNCTION("""COMPUTED_VALUE"""),"N/A (Not found)")</f>
        <v>N/A (Not found)</v>
      </c>
      <c r="T5372" s="33">
        <f>IFERROR(__xludf.DUMMYFUNCTION("""COMPUTED_VALUE"""),0.5)</f>
        <v>0.5</v>
      </c>
      <c r="U5372" s="4" t="str">
        <f>IFERROR(__xludf.DUMMYFUNCTION("""COMPUTED_VALUE"""),"N/A (Not found)")</f>
        <v>N/A (Not found)</v>
      </c>
      <c r="V5372" s="33">
        <f>IFERROR(__xludf.DUMMYFUNCTION("""COMPUTED_VALUE"""),0.5)</f>
        <v>0.5</v>
      </c>
      <c r="W5372" s="4" t="str">
        <f>IFERROR(__xludf.DUMMYFUNCTION("""COMPUTED_VALUE"""),"N/A (Not found)")</f>
        <v>N/A (Not found)</v>
      </c>
      <c r="X5372" s="33">
        <f>IFERROR(__xludf.DUMMYFUNCTION("""COMPUTED_VALUE"""),1.0)</f>
        <v>1</v>
      </c>
    </row>
    <row r="5373">
      <c r="K5373" s="4" t="str">
        <f>IFERROR(__xludf.DUMMYFUNCTION("""COMPUTED_VALUE"""),"HOMES BURGUER")</f>
        <v>HOMES BURGUER</v>
      </c>
      <c r="L5373" s="32">
        <f>IFERROR(__xludf.DUMMYFUNCTION("""COMPUTED_VALUE"""),2.0)</f>
        <v>2</v>
      </c>
      <c r="M5373" s="4" t="str">
        <f>IFERROR(__xludf.DUMMYFUNCTION("""COMPUTED_VALUE"""),"Instadelivery")</f>
        <v>Instadelivery</v>
      </c>
      <c r="N5373" s="33">
        <f>IFERROR(__xludf.DUMMYFUNCTION("""COMPUTED_VALUE"""),0.5)</f>
        <v>0.5</v>
      </c>
      <c r="O5373" s="4" t="str">
        <f>IFERROR(__xludf.DUMMYFUNCTION("""COMPUTED_VALUE"""),"Instadelivery")</f>
        <v>Instadelivery</v>
      </c>
      <c r="P5373" s="33">
        <f>IFERROR(__xludf.DUMMYFUNCTION("""COMPUTED_VALUE"""),0.5)</f>
        <v>0.5</v>
      </c>
      <c r="Q5373" s="4" t="str">
        <f>IFERROR(__xludf.DUMMYFUNCTION("""COMPUTED_VALUE"""),"null")</f>
        <v>null</v>
      </c>
      <c r="R5373" s="33">
        <f>IFERROR(__xludf.DUMMYFUNCTION("""COMPUTED_VALUE"""),0.5)</f>
        <v>0.5</v>
      </c>
      <c r="S5373" s="4" t="str">
        <f>IFERROR(__xludf.DUMMYFUNCTION("""COMPUTED_VALUE"""),"null")</f>
        <v>null</v>
      </c>
      <c r="T5373" s="33">
        <f>IFERROR(__xludf.DUMMYFUNCTION("""COMPUTED_VALUE"""),0.5)</f>
        <v>0.5</v>
      </c>
      <c r="U5373" s="4" t="str">
        <f>IFERROR(__xludf.DUMMYFUNCTION("""COMPUTED_VALUE"""),"null")</f>
        <v>null</v>
      </c>
      <c r="V5373" s="33">
        <f>IFERROR(__xludf.DUMMYFUNCTION("""COMPUTED_VALUE"""),0.5)</f>
        <v>0.5</v>
      </c>
      <c r="W5373" s="4" t="str">
        <f>IFERROR(__xludf.DUMMYFUNCTION("""COMPUTED_VALUE"""),"Brendi")</f>
        <v>Brendi</v>
      </c>
      <c r="X5373" s="33">
        <f>IFERROR(__xludf.DUMMYFUNCTION("""COMPUTED_VALUE"""),0.5)</f>
        <v>0.5</v>
      </c>
    </row>
    <row r="5374">
      <c r="K5374" s="4" t="str">
        <f>IFERROR(__xludf.DUMMYFUNCTION("""COMPUTED_VALUE"""),"WILL BURGUER")</f>
        <v>WILL BURGUER</v>
      </c>
      <c r="L5374" s="32">
        <f>IFERROR(__xludf.DUMMYFUNCTION("""COMPUTED_VALUE"""),2.0)</f>
        <v>2</v>
      </c>
      <c r="M5374" s="4" t="str">
        <f>IFERROR(__xludf.DUMMYFUNCTION("""COMPUTED_VALUE"""),"null")</f>
        <v>null</v>
      </c>
      <c r="N5374" s="33">
        <f>IFERROR(__xludf.DUMMYFUNCTION("""COMPUTED_VALUE"""),1.0)</f>
        <v>1</v>
      </c>
      <c r="O5374" s="4" t="str">
        <f>IFERROR(__xludf.DUMMYFUNCTION("""COMPUTED_VALUE"""),"Anota Ai Solucoes Digitais S/a")</f>
        <v>Anota Ai Solucoes Digitais S/a</v>
      </c>
      <c r="P5374" s="33">
        <f>IFERROR(__xludf.DUMMYFUNCTION("""COMPUTED_VALUE"""),0.5)</f>
        <v>0.5</v>
      </c>
      <c r="Q5374" s="4" t="str">
        <f>IFERROR(__xludf.DUMMYFUNCTION("""COMPUTED_VALUE"""),"null")</f>
        <v>null</v>
      </c>
      <c r="R5374" s="33">
        <f>IFERROR(__xludf.DUMMYFUNCTION("""COMPUTED_VALUE"""),0.5)</f>
        <v>0.5</v>
      </c>
      <c r="S5374" s="4" t="str">
        <f>IFERROR(__xludf.DUMMYFUNCTION("""COMPUTED_VALUE"""),"Anota Ai Solucoes Digitais S/a")</f>
        <v>Anota Ai Solucoes Digitais S/a</v>
      </c>
      <c r="T5374" s="33">
        <f>IFERROR(__xludf.DUMMYFUNCTION("""COMPUTED_VALUE"""),0.5)</f>
        <v>0.5</v>
      </c>
      <c r="U5374" s="4" t="str">
        <f>IFERROR(__xludf.DUMMYFUNCTION("""COMPUTED_VALUE"""),"null")</f>
        <v>null</v>
      </c>
      <c r="V5374" s="33">
        <f>IFERROR(__xludf.DUMMYFUNCTION("""COMPUTED_VALUE"""),0.5)</f>
        <v>0.5</v>
      </c>
      <c r="W5374" s="4" t="str">
        <f>IFERROR(__xludf.DUMMYFUNCTION("""COMPUTED_VALUE"""),"null")</f>
        <v>null</v>
      </c>
      <c r="X5374" s="33">
        <f>IFERROR(__xludf.DUMMYFUNCTION("""COMPUTED_VALUE"""),1.0)</f>
        <v>1</v>
      </c>
    </row>
    <row r="5375">
      <c r="K5375" s="4" t="str">
        <f>IFERROR(__xludf.DUMMYFUNCTION("""COMPUTED_VALUE"""),"SANDUBAO")</f>
        <v>SANDUBAO</v>
      </c>
      <c r="L5375" s="32">
        <f>IFERROR(__xludf.DUMMYFUNCTION("""COMPUTED_VALUE"""),2.0)</f>
        <v>2</v>
      </c>
      <c r="M5375" s="4" t="str">
        <f>IFERROR(__xludf.DUMMYFUNCTION("""COMPUTED_VALUE"""),"Brendi")</f>
        <v>Brendi</v>
      </c>
      <c r="N5375" s="33">
        <f>IFERROR(__xludf.DUMMYFUNCTION("""COMPUTED_VALUE"""),1.0)</f>
        <v>1</v>
      </c>
      <c r="O5375" s="4" t="str">
        <f>IFERROR(__xludf.DUMMYFUNCTION("""COMPUTED_VALUE"""),"Brendi")</f>
        <v>Brendi</v>
      </c>
      <c r="P5375" s="33">
        <f>IFERROR(__xludf.DUMMYFUNCTION("""COMPUTED_VALUE"""),1.0)</f>
        <v>1</v>
      </c>
      <c r="Q5375" s="4" t="str">
        <f>IFERROR(__xludf.DUMMYFUNCTION("""COMPUTED_VALUE"""),"null")</f>
        <v>null</v>
      </c>
      <c r="R5375" s="33">
        <f>IFERROR(__xludf.DUMMYFUNCTION("""COMPUTED_VALUE"""),0.5)</f>
        <v>0.5</v>
      </c>
      <c r="S5375" s="4" t="str">
        <f>IFERROR(__xludf.DUMMYFUNCTION("""COMPUTED_VALUE"""),"null")</f>
        <v>null</v>
      </c>
      <c r="T5375" s="33">
        <f>IFERROR(__xludf.DUMMYFUNCTION("""COMPUTED_VALUE"""),0.5)</f>
        <v>0.5</v>
      </c>
      <c r="U5375" s="4" t="str">
        <f>IFERROR(__xludf.DUMMYFUNCTION("""COMPUTED_VALUE"""),"null")</f>
        <v>null</v>
      </c>
      <c r="V5375" s="33">
        <f>IFERROR(__xludf.DUMMYFUNCTION("""COMPUTED_VALUE"""),1.0)</f>
        <v>1</v>
      </c>
      <c r="W5375" s="4" t="str">
        <f>IFERROR(__xludf.DUMMYFUNCTION("""COMPUTED_VALUE"""),"null")</f>
        <v>null</v>
      </c>
      <c r="X5375" s="33">
        <f>IFERROR(__xludf.DUMMYFUNCTION("""COMPUTED_VALUE"""),1.0)</f>
        <v>1</v>
      </c>
    </row>
    <row r="5376">
      <c r="K5376" s="4" t="str">
        <f>IFERROR(__xludf.DUMMYFUNCTION("""COMPUTED_VALUE"""),"PIZZARIA CREMONA")</f>
        <v>PIZZARIA CREMONA</v>
      </c>
      <c r="L5376" s="32">
        <f>IFERROR(__xludf.DUMMYFUNCTION("""COMPUTED_VALUE"""),2.0)</f>
        <v>2</v>
      </c>
      <c r="M5376" s="4" t="str">
        <f>IFERROR(__xludf.DUMMYFUNCTION("""COMPUTED_VALUE"""),"Saipos Serviços De Software")</f>
        <v>Saipos Serviços De Software</v>
      </c>
      <c r="N5376" s="33">
        <f>IFERROR(__xludf.DUMMYFUNCTION("""COMPUTED_VALUE"""),0.5)</f>
        <v>0.5</v>
      </c>
      <c r="O5376" s="4" t="str">
        <f>IFERROR(__xludf.DUMMYFUNCTION("""COMPUTED_VALUE"""),"Saipos Serviços De Software")</f>
        <v>Saipos Serviços De Software</v>
      </c>
      <c r="P5376" s="33">
        <f>IFERROR(__xludf.DUMMYFUNCTION("""COMPUTED_VALUE"""),0.5)</f>
        <v>0.5</v>
      </c>
      <c r="Q5376" s="4" t="str">
        <f>IFERROR(__xludf.DUMMYFUNCTION("""COMPUTED_VALUE"""),"Saipos Serviços De Software")</f>
        <v>Saipos Serviços De Software</v>
      </c>
      <c r="R5376" s="33">
        <f>IFERROR(__xludf.DUMMYFUNCTION("""COMPUTED_VALUE"""),0.5)</f>
        <v>0.5</v>
      </c>
      <c r="S5376" s="4" t="str">
        <f>IFERROR(__xludf.DUMMYFUNCTION("""COMPUTED_VALUE"""),"Saipos Serviços De Software")</f>
        <v>Saipos Serviços De Software</v>
      </c>
      <c r="T5376" s="33">
        <f>IFERROR(__xludf.DUMMYFUNCTION("""COMPUTED_VALUE"""),0.5)</f>
        <v>0.5</v>
      </c>
      <c r="U5376" s="4" t="str">
        <f>IFERROR(__xludf.DUMMYFUNCTION("""COMPUTED_VALUE"""),"Saipos Serviços De Software")</f>
        <v>Saipos Serviços De Software</v>
      </c>
      <c r="V5376" s="33">
        <f>IFERROR(__xludf.DUMMYFUNCTION("""COMPUTED_VALUE"""),0.5)</f>
        <v>0.5</v>
      </c>
      <c r="W5376" s="4" t="str">
        <f>IFERROR(__xludf.DUMMYFUNCTION("""COMPUTED_VALUE"""),"Saipos Serviços De Software")</f>
        <v>Saipos Serviços De Software</v>
      </c>
      <c r="X5376" s="33">
        <f>IFERROR(__xludf.DUMMYFUNCTION("""COMPUTED_VALUE"""),0.5)</f>
        <v>0.5</v>
      </c>
    </row>
    <row r="5377">
      <c r="K5377" s="4" t="str">
        <f>IFERROR(__xludf.DUMMYFUNCTION("""COMPUTED_VALUE"""),"CABANA DO SOL")</f>
        <v>CABANA DO SOL</v>
      </c>
      <c r="L5377" s="32">
        <f>IFERROR(__xludf.DUMMYFUNCTION("""COMPUTED_VALUE"""),2.0)</f>
        <v>2</v>
      </c>
      <c r="M5377" s="4" t="str">
        <f>IFERROR(__xludf.DUMMYFUNCTION("""COMPUTED_VALUE"""),"Saipos Serviços De Software")</f>
        <v>Saipos Serviços De Software</v>
      </c>
      <c r="N5377" s="33">
        <f>IFERROR(__xludf.DUMMYFUNCTION("""COMPUTED_VALUE"""),0.5)</f>
        <v>0.5</v>
      </c>
      <c r="O5377" s="4" t="str">
        <f>IFERROR(__xludf.DUMMYFUNCTION("""COMPUTED_VALUE"""),"Saipos Serviços De Software")</f>
        <v>Saipos Serviços De Software</v>
      </c>
      <c r="P5377" s="33">
        <f>IFERROR(__xludf.DUMMYFUNCTION("""COMPUTED_VALUE"""),0.5)</f>
        <v>0.5</v>
      </c>
      <c r="Q5377" s="4" t="str">
        <f>IFERROR(__xludf.DUMMYFUNCTION("""COMPUTED_VALUE"""),"Saipos Serviços De Software")</f>
        <v>Saipos Serviços De Software</v>
      </c>
      <c r="R5377" s="33">
        <f>IFERROR(__xludf.DUMMYFUNCTION("""COMPUTED_VALUE"""),0.5)</f>
        <v>0.5</v>
      </c>
      <c r="S5377" s="4" t="str">
        <f>IFERROR(__xludf.DUMMYFUNCTION("""COMPUTED_VALUE"""),"Saipos Serviços De Software")</f>
        <v>Saipos Serviços De Software</v>
      </c>
      <c r="T5377" s="33">
        <f>IFERROR(__xludf.DUMMYFUNCTION("""COMPUTED_VALUE"""),0.5)</f>
        <v>0.5</v>
      </c>
      <c r="U5377" s="4" t="str">
        <f>IFERROR(__xludf.DUMMYFUNCTION("""COMPUTED_VALUE"""),"Saipos Serviços De Software")</f>
        <v>Saipos Serviços De Software</v>
      </c>
      <c r="V5377" s="33">
        <f>IFERROR(__xludf.DUMMYFUNCTION("""COMPUTED_VALUE"""),0.5)</f>
        <v>0.5</v>
      </c>
      <c r="W5377" s="4" t="str">
        <f>IFERROR(__xludf.DUMMYFUNCTION("""COMPUTED_VALUE"""),"Saipos Serviços De Software")</f>
        <v>Saipos Serviços De Software</v>
      </c>
      <c r="X5377" s="33">
        <f>IFERROR(__xludf.DUMMYFUNCTION("""COMPUTED_VALUE"""),0.5)</f>
        <v>0.5</v>
      </c>
    </row>
    <row r="5378">
      <c r="K5378" s="4" t="str">
        <f>IFERROR(__xludf.DUMMYFUNCTION("""COMPUTED_VALUE"""),"TEMPERO BAIANO")</f>
        <v>TEMPERO BAIANO</v>
      </c>
      <c r="L5378" s="32">
        <f>IFERROR(__xludf.DUMMYFUNCTION("""COMPUTED_VALUE"""),2.0)</f>
        <v>2</v>
      </c>
      <c r="M5378" s="4" t="str">
        <f>IFERROR(__xludf.DUMMYFUNCTION("""COMPUTED_VALUE"""),"Olaclick")</f>
        <v>Olaclick</v>
      </c>
      <c r="N5378" s="33">
        <f>IFERROR(__xludf.DUMMYFUNCTION("""COMPUTED_VALUE"""),0.5)</f>
        <v>0.5</v>
      </c>
      <c r="O5378" s="4" t="str">
        <f>IFERROR(__xludf.DUMMYFUNCTION("""COMPUTED_VALUE"""),"null")</f>
        <v>null</v>
      </c>
      <c r="P5378" s="33">
        <f>IFERROR(__xludf.DUMMYFUNCTION("""COMPUTED_VALUE"""),0.5)</f>
        <v>0.5</v>
      </c>
      <c r="Q5378" s="4" t="str">
        <f>IFERROR(__xludf.DUMMYFUNCTION("""COMPUTED_VALUE"""),"null")</f>
        <v>null</v>
      </c>
      <c r="R5378" s="33">
        <f>IFERROR(__xludf.DUMMYFUNCTION("""COMPUTED_VALUE"""),0.5)</f>
        <v>0.5</v>
      </c>
      <c r="S5378" s="4" t="str">
        <f>IFERROR(__xludf.DUMMYFUNCTION("""COMPUTED_VALUE"""),"null")</f>
        <v>null</v>
      </c>
      <c r="T5378" s="33">
        <f>IFERROR(__xludf.DUMMYFUNCTION("""COMPUTED_VALUE"""),0.5)</f>
        <v>0.5</v>
      </c>
      <c r="U5378" s="4" t="str">
        <f>IFERROR(__xludf.DUMMYFUNCTION("""COMPUTED_VALUE"""),"null")</f>
        <v>null</v>
      </c>
      <c r="V5378" s="33">
        <f>IFERROR(__xludf.DUMMYFUNCTION("""COMPUTED_VALUE"""),0.5)</f>
        <v>0.5</v>
      </c>
      <c r="W5378" s="4" t="str">
        <f>IFERROR(__xludf.DUMMYFUNCTION("""COMPUTED_VALUE"""),"null")</f>
        <v>null</v>
      </c>
      <c r="X5378" s="33">
        <f>IFERROR(__xludf.DUMMYFUNCTION("""COMPUTED_VALUE"""),0.5)</f>
        <v>0.5</v>
      </c>
    </row>
    <row r="5379">
      <c r="K5379" s="4" t="str">
        <f>IFERROR(__xludf.DUMMYFUNCTION("""COMPUTED_VALUE"""),"SECRETBERRY ACAI")</f>
        <v>SECRETBERRY ACAI</v>
      </c>
      <c r="L5379" s="32">
        <f>IFERROR(__xludf.DUMMYFUNCTION("""COMPUTED_VALUE"""),2.0)</f>
        <v>2</v>
      </c>
      <c r="M5379" s="4" t="str">
        <f>IFERROR(__xludf.DUMMYFUNCTION("""COMPUTED_VALUE"""),"Cardápio Web")</f>
        <v>Cardápio Web</v>
      </c>
      <c r="N5379" s="33">
        <f>IFERROR(__xludf.DUMMYFUNCTION("""COMPUTED_VALUE"""),1.0)</f>
        <v>1</v>
      </c>
      <c r="O5379" s="4" t="str">
        <f>IFERROR(__xludf.DUMMYFUNCTION("""COMPUTED_VALUE"""),"Cardápio Web")</f>
        <v>Cardápio Web</v>
      </c>
      <c r="P5379" s="33">
        <f>IFERROR(__xludf.DUMMYFUNCTION("""COMPUTED_VALUE"""),1.0)</f>
        <v>1</v>
      </c>
      <c r="Q5379" s="4" t="str">
        <f>IFERROR(__xludf.DUMMYFUNCTION("""COMPUTED_VALUE"""),"Cardápio Web")</f>
        <v>Cardápio Web</v>
      </c>
      <c r="R5379" s="33">
        <f>IFERROR(__xludf.DUMMYFUNCTION("""COMPUTED_VALUE"""),1.0)</f>
        <v>1</v>
      </c>
      <c r="S5379" s="4" t="str">
        <f>IFERROR(__xludf.DUMMYFUNCTION("""COMPUTED_VALUE"""),"Cardápio Web")</f>
        <v>Cardápio Web</v>
      </c>
      <c r="T5379" s="33">
        <f>IFERROR(__xludf.DUMMYFUNCTION("""COMPUTED_VALUE"""),1.0)</f>
        <v>1</v>
      </c>
      <c r="U5379" s="4" t="str">
        <f>IFERROR(__xludf.DUMMYFUNCTION("""COMPUTED_VALUE"""),"Cardápio Web")</f>
        <v>Cardápio Web</v>
      </c>
      <c r="V5379" s="33">
        <f>IFERROR(__xludf.DUMMYFUNCTION("""COMPUTED_VALUE"""),1.0)</f>
        <v>1</v>
      </c>
      <c r="W5379" s="4" t="str">
        <f>IFERROR(__xludf.DUMMYFUNCTION("""COMPUTED_VALUE"""),"null")</f>
        <v>null</v>
      </c>
      <c r="X5379" s="33">
        <f>IFERROR(__xludf.DUMMYFUNCTION("""COMPUTED_VALUE"""),0.5)</f>
        <v>0.5</v>
      </c>
    </row>
    <row r="5380">
      <c r="K5380" s="4" t="str">
        <f>IFERROR(__xludf.DUMMYFUNCTION("""COMPUTED_VALUE"""),"MAOS DE FADA")</f>
        <v>MAOS DE FADA</v>
      </c>
      <c r="L5380" s="32">
        <f>IFERROR(__xludf.DUMMYFUNCTION("""COMPUTED_VALUE"""),2.0)</f>
        <v>2</v>
      </c>
      <c r="M5380" s="4" t="str">
        <f>IFERROR(__xludf.DUMMYFUNCTION("""COMPUTED_VALUE"""),"null")</f>
        <v>null</v>
      </c>
      <c r="N5380" s="33">
        <f>IFERROR(__xludf.DUMMYFUNCTION("""COMPUTED_VALUE"""),1.0)</f>
        <v>1</v>
      </c>
      <c r="O5380" s="4" t="str">
        <f>IFERROR(__xludf.DUMMYFUNCTION("""COMPUTED_VALUE"""),"null")</f>
        <v>null</v>
      </c>
      <c r="P5380" s="33">
        <f>IFERROR(__xludf.DUMMYFUNCTION("""COMPUTED_VALUE"""),1.0)</f>
        <v>1</v>
      </c>
      <c r="Q5380" s="4" t="str">
        <f>IFERROR(__xludf.DUMMYFUNCTION("""COMPUTED_VALUE"""),"null")</f>
        <v>null</v>
      </c>
      <c r="R5380" s="33">
        <f>IFERROR(__xludf.DUMMYFUNCTION("""COMPUTED_VALUE"""),1.0)</f>
        <v>1</v>
      </c>
      <c r="S5380" s="4" t="str">
        <f>IFERROR(__xludf.DUMMYFUNCTION("""COMPUTED_VALUE"""),"null")</f>
        <v>null</v>
      </c>
      <c r="T5380" s="33">
        <f>IFERROR(__xludf.DUMMYFUNCTION("""COMPUTED_VALUE"""),0.5)</f>
        <v>0.5</v>
      </c>
      <c r="U5380" s="4" t="str">
        <f>IFERROR(__xludf.DUMMYFUNCTION("""COMPUTED_VALUE"""),"Anota Ai Solucoes Digitais S/a")</f>
        <v>Anota Ai Solucoes Digitais S/a</v>
      </c>
      <c r="V5380" s="33">
        <f>IFERROR(__xludf.DUMMYFUNCTION("""COMPUTED_VALUE"""),0.5)</f>
        <v>0.5</v>
      </c>
      <c r="W5380" s="4" t="str">
        <f>IFERROR(__xludf.DUMMYFUNCTION("""COMPUTED_VALUE"""),"null")</f>
        <v>null</v>
      </c>
      <c r="X5380" s="33">
        <f>IFERROR(__xludf.DUMMYFUNCTION("""COMPUTED_VALUE"""),1.0)</f>
        <v>1</v>
      </c>
    </row>
    <row r="5381">
      <c r="K5381" s="4" t="str">
        <f>IFERROR(__xludf.DUMMYFUNCTION("""COMPUTED_VALUE"""),"PEDE MARMITA - PARMEGIANA TATUQUARA")</f>
        <v>PEDE MARMITA - PARMEGIANA TATUQUARA</v>
      </c>
      <c r="L5381" s="32">
        <f>IFERROR(__xludf.DUMMYFUNCTION("""COMPUTED_VALUE"""),2.0)</f>
        <v>2</v>
      </c>
      <c r="M5381" s="4" t="str">
        <f>IFERROR(__xludf.DUMMYFUNCTION("""COMPUTED_VALUE"""),"Brendi")</f>
        <v>Brendi</v>
      </c>
      <c r="N5381" s="33">
        <f>IFERROR(__xludf.DUMMYFUNCTION("""COMPUTED_VALUE"""),1.0)</f>
        <v>1</v>
      </c>
      <c r="O5381" s="4" t="str">
        <f>IFERROR(__xludf.DUMMYFUNCTION("""COMPUTED_VALUE"""),"Brendi")</f>
        <v>Brendi</v>
      </c>
      <c r="P5381" s="33">
        <f>IFERROR(__xludf.DUMMYFUNCTION("""COMPUTED_VALUE"""),1.0)</f>
        <v>1</v>
      </c>
      <c r="Q5381" s="4" t="str">
        <f>IFERROR(__xludf.DUMMYFUNCTION("""COMPUTED_VALUE"""),"Brendi")</f>
        <v>Brendi</v>
      </c>
      <c r="R5381" s="33">
        <f>IFERROR(__xludf.DUMMYFUNCTION("""COMPUTED_VALUE"""),1.0)</f>
        <v>1</v>
      </c>
      <c r="S5381" s="4" t="str">
        <f>IFERROR(__xludf.DUMMYFUNCTION("""COMPUTED_VALUE"""),"Brendi")</f>
        <v>Brendi</v>
      </c>
      <c r="T5381" s="33">
        <f>IFERROR(__xludf.DUMMYFUNCTION("""COMPUTED_VALUE"""),1.0)</f>
        <v>1</v>
      </c>
      <c r="U5381" s="4" t="str">
        <f>IFERROR(__xludf.DUMMYFUNCTION("""COMPUTED_VALUE"""),"Brendi")</f>
        <v>Brendi</v>
      </c>
      <c r="V5381" s="33">
        <f>IFERROR(__xludf.DUMMYFUNCTION("""COMPUTED_VALUE"""),1.0)</f>
        <v>1</v>
      </c>
      <c r="W5381" s="4" t="str">
        <f>IFERROR(__xludf.DUMMYFUNCTION("""COMPUTED_VALUE"""),"N/A (Not found)")</f>
        <v>N/A (Not found)</v>
      </c>
      <c r="X5381" s="33">
        <f>IFERROR(__xludf.DUMMYFUNCTION("""COMPUTED_VALUE"""),0.5)</f>
        <v>0.5</v>
      </c>
    </row>
    <row r="5382">
      <c r="K5382" s="4" t="str">
        <f>IFERROR(__xludf.DUMMYFUNCTION("""COMPUTED_VALUE"""),"BELLA PIZZAS")</f>
        <v>BELLA PIZZAS</v>
      </c>
      <c r="L5382" s="32">
        <f>IFERROR(__xludf.DUMMYFUNCTION("""COMPUTED_VALUE"""),2.0)</f>
        <v>2</v>
      </c>
      <c r="M5382" s="4" t="str">
        <f>IFERROR(__xludf.DUMMYFUNCTION("""COMPUTED_VALUE"""),"Saipos Serviços De Software")</f>
        <v>Saipos Serviços De Software</v>
      </c>
      <c r="N5382" s="33">
        <f>IFERROR(__xludf.DUMMYFUNCTION("""COMPUTED_VALUE"""),0.5)</f>
        <v>0.5</v>
      </c>
      <c r="O5382" s="4" t="str">
        <f>IFERROR(__xludf.DUMMYFUNCTION("""COMPUTED_VALUE"""),"null")</f>
        <v>null</v>
      </c>
      <c r="P5382" s="33">
        <f>IFERROR(__xludf.DUMMYFUNCTION("""COMPUTED_VALUE"""),1.0)</f>
        <v>1</v>
      </c>
      <c r="Q5382" s="4" t="str">
        <f>IFERROR(__xludf.DUMMYFUNCTION("""COMPUTED_VALUE"""),"Saipos Serviços De Software")</f>
        <v>Saipos Serviços De Software</v>
      </c>
      <c r="R5382" s="33">
        <f>IFERROR(__xludf.DUMMYFUNCTION("""COMPUTED_VALUE"""),0.5)</f>
        <v>0.5</v>
      </c>
      <c r="S5382" s="4" t="str">
        <f>IFERROR(__xludf.DUMMYFUNCTION("""COMPUTED_VALUE"""),"Saipos Serviços De Software")</f>
        <v>Saipos Serviços De Software</v>
      </c>
      <c r="T5382" s="33">
        <f>IFERROR(__xludf.DUMMYFUNCTION("""COMPUTED_VALUE"""),0.5)</f>
        <v>0.5</v>
      </c>
      <c r="U5382" s="4" t="str">
        <f>IFERROR(__xludf.DUMMYFUNCTION("""COMPUTED_VALUE"""),"Saipos Serviços De Software")</f>
        <v>Saipos Serviços De Software</v>
      </c>
      <c r="V5382" s="33">
        <f>IFERROR(__xludf.DUMMYFUNCTION("""COMPUTED_VALUE"""),0.5)</f>
        <v>0.5</v>
      </c>
      <c r="W5382" s="4" t="str">
        <f>IFERROR(__xludf.DUMMYFUNCTION("""COMPUTED_VALUE"""),"Saipos Serviços De Software")</f>
        <v>Saipos Serviços De Software</v>
      </c>
      <c r="X5382" s="33">
        <f>IFERROR(__xludf.DUMMYFUNCTION("""COMPUTED_VALUE"""),0.5)</f>
        <v>0.5</v>
      </c>
    </row>
    <row r="5383">
      <c r="K5383" s="4" t="str">
        <f>IFERROR(__xludf.DUMMYFUNCTION("""COMPUTED_VALUE"""),"FRANGO LITO")</f>
        <v>FRANGO LITO</v>
      </c>
      <c r="L5383" s="32">
        <f>IFERROR(__xludf.DUMMYFUNCTION("""COMPUTED_VALUE"""),2.0)</f>
        <v>2</v>
      </c>
      <c r="M5383" s="4" t="str">
        <f>IFERROR(__xludf.DUMMYFUNCTION("""COMPUTED_VALUE"""),"Brendi")</f>
        <v>Brendi</v>
      </c>
      <c r="N5383" s="33">
        <f>IFERROR(__xludf.DUMMYFUNCTION("""COMPUTED_VALUE"""),0.5)</f>
        <v>0.5</v>
      </c>
      <c r="O5383" s="4" t="str">
        <f>IFERROR(__xludf.DUMMYFUNCTION("""COMPUTED_VALUE"""),"Brendi")</f>
        <v>Brendi</v>
      </c>
      <c r="P5383" s="33">
        <f>IFERROR(__xludf.DUMMYFUNCTION("""COMPUTED_VALUE"""),0.5)</f>
        <v>0.5</v>
      </c>
      <c r="Q5383" s="4" t="str">
        <f>IFERROR(__xludf.DUMMYFUNCTION("""COMPUTED_VALUE"""),"Brendi")</f>
        <v>Brendi</v>
      </c>
      <c r="R5383" s="33">
        <f>IFERROR(__xludf.DUMMYFUNCTION("""COMPUTED_VALUE"""),0.5)</f>
        <v>0.5</v>
      </c>
      <c r="S5383" s="4" t="str">
        <f>IFERROR(__xludf.DUMMYFUNCTION("""COMPUTED_VALUE"""),"null")</f>
        <v>null</v>
      </c>
      <c r="T5383" s="33">
        <f>IFERROR(__xludf.DUMMYFUNCTION("""COMPUTED_VALUE"""),0.5)</f>
        <v>0.5</v>
      </c>
      <c r="U5383" s="4" t="str">
        <f>IFERROR(__xludf.DUMMYFUNCTION("""COMPUTED_VALUE"""),"null")</f>
        <v>null</v>
      </c>
      <c r="V5383" s="33">
        <f>IFERROR(__xludf.DUMMYFUNCTION("""COMPUTED_VALUE"""),0.5)</f>
        <v>0.5</v>
      </c>
      <c r="W5383" s="4" t="str">
        <f>IFERROR(__xludf.DUMMYFUNCTION("""COMPUTED_VALUE"""),"null")</f>
        <v>null</v>
      </c>
      <c r="X5383" s="33">
        <f>IFERROR(__xludf.DUMMYFUNCTION("""COMPUTED_VALUE"""),0.5)</f>
        <v>0.5</v>
      </c>
    </row>
    <row r="5384">
      <c r="K5384" s="4" t="str">
        <f>IFERROR(__xludf.DUMMYFUNCTION("""COMPUTED_VALUE"""),"PIZZARIA TORRE")</f>
        <v>PIZZARIA TORRE</v>
      </c>
      <c r="L5384" s="32">
        <f>IFERROR(__xludf.DUMMYFUNCTION("""COMPUTED_VALUE"""),2.0)</f>
        <v>2</v>
      </c>
      <c r="M5384" s="4" t="str">
        <f>IFERROR(__xludf.DUMMYFUNCTION("""COMPUTED_VALUE"""),"Netcontroll Xmenu")</f>
        <v>Netcontroll Xmenu</v>
      </c>
      <c r="N5384" s="33">
        <f>IFERROR(__xludf.DUMMYFUNCTION("""COMPUTED_VALUE"""),0.5)</f>
        <v>0.5</v>
      </c>
      <c r="O5384" s="4" t="str">
        <f>IFERROR(__xludf.DUMMYFUNCTION("""COMPUTED_VALUE"""),"Netcontroll Xmenu")</f>
        <v>Netcontroll Xmenu</v>
      </c>
      <c r="P5384" s="33">
        <f>IFERROR(__xludf.DUMMYFUNCTION("""COMPUTED_VALUE"""),0.5)</f>
        <v>0.5</v>
      </c>
      <c r="Q5384" s="4" t="str">
        <f>IFERROR(__xludf.DUMMYFUNCTION("""COMPUTED_VALUE"""),"Netcontroll Xmenu")</f>
        <v>Netcontroll Xmenu</v>
      </c>
      <c r="R5384" s="33">
        <f>IFERROR(__xludf.DUMMYFUNCTION("""COMPUTED_VALUE"""),0.5)</f>
        <v>0.5</v>
      </c>
      <c r="S5384" s="4" t="str">
        <f>IFERROR(__xludf.DUMMYFUNCTION("""COMPUTED_VALUE"""),"Netcontroll Xmenu")</f>
        <v>Netcontroll Xmenu</v>
      </c>
      <c r="T5384" s="33">
        <f>IFERROR(__xludf.DUMMYFUNCTION("""COMPUTED_VALUE"""),0.5)</f>
        <v>0.5</v>
      </c>
      <c r="U5384" s="4" t="str">
        <f>IFERROR(__xludf.DUMMYFUNCTION("""COMPUTED_VALUE"""),"Netcontroll Xmenu")</f>
        <v>Netcontroll Xmenu</v>
      </c>
      <c r="V5384" s="33">
        <f>IFERROR(__xludf.DUMMYFUNCTION("""COMPUTED_VALUE"""),0.5)</f>
        <v>0.5</v>
      </c>
      <c r="W5384" s="4" t="str">
        <f>IFERROR(__xludf.DUMMYFUNCTION("""COMPUTED_VALUE"""),"Netcontroll Xmenu")</f>
        <v>Netcontroll Xmenu</v>
      </c>
      <c r="X5384" s="33">
        <f>IFERROR(__xludf.DUMMYFUNCTION("""COMPUTED_VALUE"""),0.5)</f>
        <v>0.5</v>
      </c>
    </row>
    <row r="5385">
      <c r="K5385" s="4" t="str">
        <f>IFERROR(__xludf.DUMMYFUNCTION("""COMPUTED_VALUE"""),"SABOR DO PARAISO")</f>
        <v>SABOR DO PARAISO</v>
      </c>
      <c r="L5385" s="32">
        <f>IFERROR(__xludf.DUMMYFUNCTION("""COMPUTED_VALUE"""),2.0)</f>
        <v>2</v>
      </c>
      <c r="M5385" s="4" t="str">
        <f>IFERROR(__xludf.DUMMYFUNCTION("""COMPUTED_VALUE"""),"Anota Ai Solucoes Digitais S/a")</f>
        <v>Anota Ai Solucoes Digitais S/a</v>
      </c>
      <c r="N5385" s="33">
        <f>IFERROR(__xludf.DUMMYFUNCTION("""COMPUTED_VALUE"""),1.0)</f>
        <v>1</v>
      </c>
      <c r="O5385" s="4" t="str">
        <f>IFERROR(__xludf.DUMMYFUNCTION("""COMPUTED_VALUE"""),"Anota Ai Solucoes Digitais S/a")</f>
        <v>Anota Ai Solucoes Digitais S/a</v>
      </c>
      <c r="P5385" s="33">
        <f>IFERROR(__xludf.DUMMYFUNCTION("""COMPUTED_VALUE"""),0.5)</f>
        <v>0.5</v>
      </c>
      <c r="Q5385" s="4" t="str">
        <f>IFERROR(__xludf.DUMMYFUNCTION("""COMPUTED_VALUE"""),"Anota Ai Solucoes Digitais S/a")</f>
        <v>Anota Ai Solucoes Digitais S/a</v>
      </c>
      <c r="R5385" s="33">
        <f>IFERROR(__xludf.DUMMYFUNCTION("""COMPUTED_VALUE"""),0.5)</f>
        <v>0.5</v>
      </c>
      <c r="S5385" s="4" t="str">
        <f>IFERROR(__xludf.DUMMYFUNCTION("""COMPUTED_VALUE"""),"Anota Ai Solucoes Digitais S/a")</f>
        <v>Anota Ai Solucoes Digitais S/a</v>
      </c>
      <c r="T5385" s="33">
        <f>IFERROR(__xludf.DUMMYFUNCTION("""COMPUTED_VALUE"""),0.5)</f>
        <v>0.5</v>
      </c>
      <c r="U5385" s="4" t="str">
        <f>IFERROR(__xludf.DUMMYFUNCTION("""COMPUTED_VALUE"""),"Anota Ai Solucoes Digitais S/a")</f>
        <v>Anota Ai Solucoes Digitais S/a</v>
      </c>
      <c r="V5385" s="33">
        <f>IFERROR(__xludf.DUMMYFUNCTION("""COMPUTED_VALUE"""),0.5)</f>
        <v>0.5</v>
      </c>
      <c r="W5385" s="4" t="str">
        <f>IFERROR(__xludf.DUMMYFUNCTION("""COMPUTED_VALUE"""),"Anota Ai Solucoes Digitais S/a")</f>
        <v>Anota Ai Solucoes Digitais S/a</v>
      </c>
      <c r="X5385" s="33">
        <f>IFERROR(__xludf.DUMMYFUNCTION("""COMPUTED_VALUE"""),0.5)</f>
        <v>0.5</v>
      </c>
    </row>
    <row r="5386">
      <c r="K5386" s="4" t="str">
        <f>IFERROR(__xludf.DUMMYFUNCTION("""COMPUTED_VALUE"""),"FARMACIA BIOATIVA")</f>
        <v>FARMACIA BIOATIVA</v>
      </c>
      <c r="L5386" s="32">
        <f>IFERROR(__xludf.DUMMYFUNCTION("""COMPUTED_VALUE"""),2.0)</f>
        <v>2</v>
      </c>
      <c r="M5386" s="4" t="str">
        <f>IFERROR(__xludf.DUMMYFUNCTION("""COMPUTED_VALUE"""),"null")</f>
        <v>null</v>
      </c>
      <c r="N5386" s="33">
        <f>IFERROR(__xludf.DUMMYFUNCTION("""COMPUTED_VALUE"""),1.0)</f>
        <v>1</v>
      </c>
      <c r="O5386" s="4" t="str">
        <f>IFERROR(__xludf.DUMMYFUNCTION("""COMPUTED_VALUE"""),"N/A (Not found)")</f>
        <v>N/A (Not found)</v>
      </c>
      <c r="P5386" s="33">
        <f>IFERROR(__xludf.DUMMYFUNCTION("""COMPUTED_VALUE"""),0.5)</f>
        <v>0.5</v>
      </c>
      <c r="Q5386" s="4" t="str">
        <f>IFERROR(__xludf.DUMMYFUNCTION("""COMPUTED_VALUE"""),"N/A (Not found)")</f>
        <v>N/A (Not found)</v>
      </c>
      <c r="R5386" s="33">
        <f>IFERROR(__xludf.DUMMYFUNCTION("""COMPUTED_VALUE"""),0.5)</f>
        <v>0.5</v>
      </c>
      <c r="S5386" s="4" t="str">
        <f>IFERROR(__xludf.DUMMYFUNCTION("""COMPUTED_VALUE"""),"N/A (Not found)")</f>
        <v>N/A (Not found)</v>
      </c>
      <c r="T5386" s="33">
        <f>IFERROR(__xludf.DUMMYFUNCTION("""COMPUTED_VALUE"""),0.5)</f>
        <v>0.5</v>
      </c>
      <c r="U5386" s="4" t="str">
        <f>IFERROR(__xludf.DUMMYFUNCTION("""COMPUTED_VALUE"""),"N/A (Not found)")</f>
        <v>N/A (Not found)</v>
      </c>
      <c r="V5386" s="33">
        <f>IFERROR(__xludf.DUMMYFUNCTION("""COMPUTED_VALUE"""),1.0)</f>
        <v>1</v>
      </c>
      <c r="W5386" s="4" t="str">
        <f>IFERROR(__xludf.DUMMYFUNCTION("""COMPUTED_VALUE"""),"N/A (Not found)")</f>
        <v>N/A (Not found)</v>
      </c>
      <c r="X5386" s="33">
        <f>IFERROR(__xludf.DUMMYFUNCTION("""COMPUTED_VALUE"""),1.0)</f>
        <v>1</v>
      </c>
    </row>
    <row r="5387">
      <c r="K5387" s="4" t="str">
        <f>IFERROR(__xludf.DUMMYFUNCTION("""COMPUTED_VALUE"""),"GALO ZE - FRANGO FRITO E LANCHES")</f>
        <v>GALO ZE - FRANGO FRITO E LANCHES</v>
      </c>
      <c r="L5387" s="32">
        <f>IFERROR(__xludf.DUMMYFUNCTION("""COMPUTED_VALUE"""),2.0)</f>
        <v>2</v>
      </c>
      <c r="M5387" s="4" t="str">
        <f>IFERROR(__xludf.DUMMYFUNCTION("""COMPUTED_VALUE"""),"Saipos Serviços De Software")</f>
        <v>Saipos Serviços De Software</v>
      </c>
      <c r="N5387" s="33">
        <f>IFERROR(__xludf.DUMMYFUNCTION("""COMPUTED_VALUE"""),0.5)</f>
        <v>0.5</v>
      </c>
      <c r="O5387" s="4" t="str">
        <f>IFERROR(__xludf.DUMMYFUNCTION("""COMPUTED_VALUE"""),"Saipos Serviços De Software")</f>
        <v>Saipos Serviços De Software</v>
      </c>
      <c r="P5387" s="33">
        <f>IFERROR(__xludf.DUMMYFUNCTION("""COMPUTED_VALUE"""),0.5)</f>
        <v>0.5</v>
      </c>
      <c r="Q5387" s="4" t="str">
        <f>IFERROR(__xludf.DUMMYFUNCTION("""COMPUTED_VALUE"""),"Saipos Serviços De Software")</f>
        <v>Saipos Serviços De Software</v>
      </c>
      <c r="R5387" s="33">
        <f>IFERROR(__xludf.DUMMYFUNCTION("""COMPUTED_VALUE"""),0.5)</f>
        <v>0.5</v>
      </c>
      <c r="S5387" s="4" t="str">
        <f>IFERROR(__xludf.DUMMYFUNCTION("""COMPUTED_VALUE"""),"Saipos Serviços De Software")</f>
        <v>Saipos Serviços De Software</v>
      </c>
      <c r="T5387" s="33">
        <f>IFERROR(__xludf.DUMMYFUNCTION("""COMPUTED_VALUE"""),0.5)</f>
        <v>0.5</v>
      </c>
      <c r="U5387" s="4" t="str">
        <f>IFERROR(__xludf.DUMMYFUNCTION("""COMPUTED_VALUE"""),"Saipos Serviços De Software")</f>
        <v>Saipos Serviços De Software</v>
      </c>
      <c r="V5387" s="33">
        <f>IFERROR(__xludf.DUMMYFUNCTION("""COMPUTED_VALUE"""),0.5)</f>
        <v>0.5</v>
      </c>
      <c r="W5387" s="4" t="str">
        <f>IFERROR(__xludf.DUMMYFUNCTION("""COMPUTED_VALUE"""),"Saipos Serviços De Software")</f>
        <v>Saipos Serviços De Software</v>
      </c>
      <c r="X5387" s="33">
        <f>IFERROR(__xludf.DUMMYFUNCTION("""COMPUTED_VALUE"""),0.5)</f>
        <v>0.5</v>
      </c>
    </row>
    <row r="5388">
      <c r="K5388" s="4" t="str">
        <f>IFERROR(__xludf.DUMMYFUNCTION("""COMPUTED_VALUE"""),"SUSHI ZEN")</f>
        <v>SUSHI ZEN</v>
      </c>
      <c r="L5388" s="32">
        <f>IFERROR(__xludf.DUMMYFUNCTION("""COMPUTED_VALUE"""),2.0)</f>
        <v>2</v>
      </c>
      <c r="M5388" s="4" t="str">
        <f>IFERROR(__xludf.DUMMYFUNCTION("""COMPUTED_VALUE"""),"null")</f>
        <v>null</v>
      </c>
      <c r="N5388" s="33">
        <f>IFERROR(__xludf.DUMMYFUNCTION("""COMPUTED_VALUE"""),0.5)</f>
        <v>0.5</v>
      </c>
      <c r="O5388" s="4" t="str">
        <f>IFERROR(__xludf.DUMMYFUNCTION("""COMPUTED_VALUE"""),"null")</f>
        <v>null</v>
      </c>
      <c r="P5388" s="33">
        <f>IFERROR(__xludf.DUMMYFUNCTION("""COMPUTED_VALUE"""),0.5)</f>
        <v>0.5</v>
      </c>
      <c r="Q5388" s="4" t="str">
        <f>IFERROR(__xludf.DUMMYFUNCTION("""COMPUTED_VALUE"""),"null")</f>
        <v>null</v>
      </c>
      <c r="R5388" s="33">
        <f>IFERROR(__xludf.DUMMYFUNCTION("""COMPUTED_VALUE"""),0.5)</f>
        <v>0.5</v>
      </c>
      <c r="S5388" s="4" t="str">
        <f>IFERROR(__xludf.DUMMYFUNCTION("""COMPUTED_VALUE"""),"null")</f>
        <v>null</v>
      </c>
      <c r="T5388" s="33">
        <f>IFERROR(__xludf.DUMMYFUNCTION("""COMPUTED_VALUE"""),0.5)</f>
        <v>0.5</v>
      </c>
      <c r="U5388" s="4" t="str">
        <f>IFERROR(__xludf.DUMMYFUNCTION("""COMPUTED_VALUE"""),"Cliente Fiel")</f>
        <v>Cliente Fiel</v>
      </c>
      <c r="V5388" s="33">
        <f>IFERROR(__xludf.DUMMYFUNCTION("""COMPUTED_VALUE"""),0.5)</f>
        <v>0.5</v>
      </c>
      <c r="W5388" s="4" t="str">
        <f>IFERROR(__xludf.DUMMYFUNCTION("""COMPUTED_VALUE"""),"null")</f>
        <v>null</v>
      </c>
      <c r="X5388" s="33">
        <f>IFERROR(__xludf.DUMMYFUNCTION("""COMPUTED_VALUE"""),1.0)</f>
        <v>1</v>
      </c>
    </row>
    <row r="5389">
      <c r="K5389" s="4" t="str">
        <f>IFERROR(__xludf.DUMMYFUNCTION("""COMPUTED_VALUE"""),"PRIME PIZZA - ITAPUA")</f>
        <v>PRIME PIZZA - ITAPUA</v>
      </c>
      <c r="L5389" s="32">
        <f>IFERROR(__xludf.DUMMYFUNCTION("""COMPUTED_VALUE"""),2.0)</f>
        <v>2</v>
      </c>
      <c r="M5389" s="4" t="str">
        <f>IFERROR(__xludf.DUMMYFUNCTION("""COMPUTED_VALUE"""),"null")</f>
        <v>null</v>
      </c>
      <c r="N5389" s="33">
        <f>IFERROR(__xludf.DUMMYFUNCTION("""COMPUTED_VALUE"""),1.0)</f>
        <v>1</v>
      </c>
      <c r="O5389" s="4" t="str">
        <f>IFERROR(__xludf.DUMMYFUNCTION("""COMPUTED_VALUE"""),"null")</f>
        <v>null</v>
      </c>
      <c r="P5389" s="33">
        <f>IFERROR(__xludf.DUMMYFUNCTION("""COMPUTED_VALUE"""),1.0)</f>
        <v>1</v>
      </c>
      <c r="Q5389" s="4" t="str">
        <f>IFERROR(__xludf.DUMMYFUNCTION("""COMPUTED_VALUE"""),"null")</f>
        <v>null</v>
      </c>
      <c r="R5389" s="33">
        <f>IFERROR(__xludf.DUMMYFUNCTION("""COMPUTED_VALUE"""),1.0)</f>
        <v>1</v>
      </c>
      <c r="S5389" s="4" t="str">
        <f>IFERROR(__xludf.DUMMYFUNCTION("""COMPUTED_VALUE"""),"Saipos Serviços De Software")</f>
        <v>Saipos Serviços De Software</v>
      </c>
      <c r="T5389" s="33">
        <f>IFERROR(__xludf.DUMMYFUNCTION("""COMPUTED_VALUE"""),1.0)</f>
        <v>1</v>
      </c>
      <c r="U5389" s="4" t="str">
        <f>IFERROR(__xludf.DUMMYFUNCTION("""COMPUTED_VALUE"""),"Saipos Serviços De Software")</f>
        <v>Saipos Serviços De Software</v>
      </c>
      <c r="V5389" s="33">
        <f>IFERROR(__xludf.DUMMYFUNCTION("""COMPUTED_VALUE"""),1.0)</f>
        <v>1</v>
      </c>
      <c r="W5389" s="4" t="str">
        <f>IFERROR(__xludf.DUMMYFUNCTION("""COMPUTED_VALUE"""),"Saipos Serviços De Software")</f>
        <v>Saipos Serviços De Software</v>
      </c>
      <c r="X5389" s="33">
        <f>IFERROR(__xludf.DUMMYFUNCTION("""COMPUTED_VALUE"""),1.0)</f>
        <v>1</v>
      </c>
    </row>
    <row r="5390">
      <c r="K5390" s="4" t="str">
        <f>IFERROR(__xludf.DUMMYFUNCTION("""COMPUTED_VALUE"""),"PIZZARIA EBENEZER")</f>
        <v>PIZZARIA EBENEZER</v>
      </c>
      <c r="L5390" s="32">
        <f>IFERROR(__xludf.DUMMYFUNCTION("""COMPUTED_VALUE"""),2.0)</f>
        <v>2</v>
      </c>
      <c r="M5390" s="4" t="str">
        <f>IFERROR(__xludf.DUMMYFUNCTION("""COMPUTED_VALUE"""),"null")</f>
        <v>null</v>
      </c>
      <c r="N5390" s="33">
        <f>IFERROR(__xludf.DUMMYFUNCTION("""COMPUTED_VALUE"""),0.5)</f>
        <v>0.5</v>
      </c>
      <c r="O5390" s="4" t="str">
        <f>IFERROR(__xludf.DUMMYFUNCTION("""COMPUTED_VALUE"""),"null")</f>
        <v>null</v>
      </c>
      <c r="P5390" s="33">
        <f>IFERROR(__xludf.DUMMYFUNCTION("""COMPUTED_VALUE"""),0.5)</f>
        <v>0.5</v>
      </c>
      <c r="Q5390" s="4" t="str">
        <f>IFERROR(__xludf.DUMMYFUNCTION("""COMPUTED_VALUE"""),"null")</f>
        <v>null</v>
      </c>
      <c r="R5390" s="33">
        <f>IFERROR(__xludf.DUMMYFUNCTION("""COMPUTED_VALUE"""),0.5)</f>
        <v>0.5</v>
      </c>
      <c r="S5390" s="4" t="str">
        <f>IFERROR(__xludf.DUMMYFUNCTION("""COMPUTED_VALUE"""),"Brendi")</f>
        <v>Brendi</v>
      </c>
      <c r="T5390" s="33">
        <f>IFERROR(__xludf.DUMMYFUNCTION("""COMPUTED_VALUE"""),0.5)</f>
        <v>0.5</v>
      </c>
      <c r="U5390" s="4" t="str">
        <f>IFERROR(__xludf.DUMMYFUNCTION("""COMPUTED_VALUE"""),"null")</f>
        <v>null</v>
      </c>
      <c r="V5390" s="33">
        <f>IFERROR(__xludf.DUMMYFUNCTION("""COMPUTED_VALUE"""),0.5)</f>
        <v>0.5</v>
      </c>
      <c r="W5390" s="4" t="str">
        <f>IFERROR(__xludf.DUMMYFUNCTION("""COMPUTED_VALUE"""),"null")</f>
        <v>null</v>
      </c>
      <c r="X5390" s="33">
        <f>IFERROR(__xludf.DUMMYFUNCTION("""COMPUTED_VALUE"""),0.5)</f>
        <v>0.5</v>
      </c>
    </row>
    <row r="5391">
      <c r="K5391" s="4" t="str">
        <f>IFERROR(__xludf.DUMMYFUNCTION("""COMPUTED_VALUE"""),"ACAIZEIROS")</f>
        <v>ACAIZEIROS</v>
      </c>
      <c r="L5391" s="32">
        <f>IFERROR(__xludf.DUMMYFUNCTION("""COMPUTED_VALUE"""),2.0)</f>
        <v>2</v>
      </c>
      <c r="M5391" s="4" t="str">
        <f>IFERROR(__xludf.DUMMYFUNCTION("""COMPUTED_VALUE"""),"null")</f>
        <v>null</v>
      </c>
      <c r="N5391" s="33">
        <f>IFERROR(__xludf.DUMMYFUNCTION("""COMPUTED_VALUE"""),0.5)</f>
        <v>0.5</v>
      </c>
      <c r="O5391" s="4" t="str">
        <f>IFERROR(__xludf.DUMMYFUNCTION("""COMPUTED_VALUE"""),"null")</f>
        <v>null</v>
      </c>
      <c r="P5391" s="33">
        <f>IFERROR(__xludf.DUMMYFUNCTION("""COMPUTED_VALUE"""),1.0)</f>
        <v>1</v>
      </c>
      <c r="Q5391" s="4" t="str">
        <f>IFERROR(__xludf.DUMMYFUNCTION("""COMPUTED_VALUE"""),"null")</f>
        <v>null</v>
      </c>
      <c r="R5391" s="33">
        <f>IFERROR(__xludf.DUMMYFUNCTION("""COMPUTED_VALUE"""),1.0)</f>
        <v>1</v>
      </c>
      <c r="S5391" s="4" t="str">
        <f>IFERROR(__xludf.DUMMYFUNCTION("""COMPUTED_VALUE"""),"null")</f>
        <v>null</v>
      </c>
      <c r="T5391" s="33">
        <f>IFERROR(__xludf.DUMMYFUNCTION("""COMPUTED_VALUE"""),1.0)</f>
        <v>1</v>
      </c>
      <c r="U5391" s="4" t="str">
        <f>IFERROR(__xludf.DUMMYFUNCTION("""COMPUTED_VALUE"""),"null")</f>
        <v>null</v>
      </c>
      <c r="V5391" s="33">
        <f>IFERROR(__xludf.DUMMYFUNCTION("""COMPUTED_VALUE"""),1.0)</f>
        <v>1</v>
      </c>
      <c r="W5391" s="4" t="str">
        <f>IFERROR(__xludf.DUMMYFUNCTION("""COMPUTED_VALUE"""),"Anota Ai Solucoes Digitais S/a")</f>
        <v>Anota Ai Solucoes Digitais S/a</v>
      </c>
      <c r="X5391" s="33">
        <f>IFERROR(__xludf.DUMMYFUNCTION("""COMPUTED_VALUE"""),0.5)</f>
        <v>0.5</v>
      </c>
    </row>
    <row r="5392">
      <c r="K5392" s="4" t="str">
        <f>IFERROR(__xludf.DUMMYFUNCTION("""COMPUTED_VALUE"""),"OUTBECO")</f>
        <v>OUTBECO</v>
      </c>
      <c r="L5392" s="32">
        <f>IFERROR(__xludf.DUMMYFUNCTION("""COMPUTED_VALUE"""),2.0)</f>
        <v>2</v>
      </c>
      <c r="M5392" s="4" t="str">
        <f>IFERROR(__xludf.DUMMYFUNCTION("""COMPUTED_VALUE"""),"Vekttor")</f>
        <v>Vekttor</v>
      </c>
      <c r="N5392" s="33">
        <f>IFERROR(__xludf.DUMMYFUNCTION("""COMPUTED_VALUE"""),0.5)</f>
        <v>0.5</v>
      </c>
      <c r="O5392" s="4" t="str">
        <f>IFERROR(__xludf.DUMMYFUNCTION("""COMPUTED_VALUE"""),"Vekttor")</f>
        <v>Vekttor</v>
      </c>
      <c r="P5392" s="33">
        <f>IFERROR(__xludf.DUMMYFUNCTION("""COMPUTED_VALUE"""),0.5)</f>
        <v>0.5</v>
      </c>
      <c r="Q5392" s="4" t="str">
        <f>IFERROR(__xludf.DUMMYFUNCTION("""COMPUTED_VALUE"""),"Vekttor")</f>
        <v>Vekttor</v>
      </c>
      <c r="R5392" s="33">
        <f>IFERROR(__xludf.DUMMYFUNCTION("""COMPUTED_VALUE"""),0.5)</f>
        <v>0.5</v>
      </c>
      <c r="S5392" s="4" t="str">
        <f>IFERROR(__xludf.DUMMYFUNCTION("""COMPUTED_VALUE"""),"Vekttor")</f>
        <v>Vekttor</v>
      </c>
      <c r="T5392" s="33">
        <f>IFERROR(__xludf.DUMMYFUNCTION("""COMPUTED_VALUE"""),0.5)</f>
        <v>0.5</v>
      </c>
      <c r="U5392" s="4" t="str">
        <f>IFERROR(__xludf.DUMMYFUNCTION("""COMPUTED_VALUE"""),"Vekttor")</f>
        <v>Vekttor</v>
      </c>
      <c r="V5392" s="33">
        <f>IFERROR(__xludf.DUMMYFUNCTION("""COMPUTED_VALUE"""),0.5)</f>
        <v>0.5</v>
      </c>
      <c r="W5392" s="4" t="str">
        <f>IFERROR(__xludf.DUMMYFUNCTION("""COMPUTED_VALUE"""),"Vekttor")</f>
        <v>Vekttor</v>
      </c>
      <c r="X5392" s="33">
        <f>IFERROR(__xludf.DUMMYFUNCTION("""COMPUTED_VALUE"""),0.5)</f>
        <v>0.5</v>
      </c>
    </row>
    <row r="5393">
      <c r="K5393" s="4" t="str">
        <f>IFERROR(__xludf.DUMMYFUNCTION("""COMPUTED_VALUE"""),"TEMAKI EXPRESS")</f>
        <v>TEMAKI EXPRESS</v>
      </c>
      <c r="L5393" s="32">
        <f>IFERROR(__xludf.DUMMYFUNCTION("""COMPUTED_VALUE"""),2.0)</f>
        <v>2</v>
      </c>
      <c r="M5393" s="4" t="str">
        <f>IFERROR(__xludf.DUMMYFUNCTION("""COMPUTED_VALUE"""),"Netcontroll Xmenu")</f>
        <v>Netcontroll Xmenu</v>
      </c>
      <c r="N5393" s="33">
        <f>IFERROR(__xludf.DUMMYFUNCTION("""COMPUTED_VALUE"""),0.5)</f>
        <v>0.5</v>
      </c>
      <c r="O5393" s="4" t="str">
        <f>IFERROR(__xludf.DUMMYFUNCTION("""COMPUTED_VALUE"""),"Netcontroll Xmenu")</f>
        <v>Netcontroll Xmenu</v>
      </c>
      <c r="P5393" s="33">
        <f>IFERROR(__xludf.DUMMYFUNCTION("""COMPUTED_VALUE"""),0.5)</f>
        <v>0.5</v>
      </c>
      <c r="Q5393" s="4" t="str">
        <f>IFERROR(__xludf.DUMMYFUNCTION("""COMPUTED_VALUE"""),"Netcontroll Xmenu")</f>
        <v>Netcontroll Xmenu</v>
      </c>
      <c r="R5393" s="33">
        <f>IFERROR(__xludf.DUMMYFUNCTION("""COMPUTED_VALUE"""),0.5)</f>
        <v>0.5</v>
      </c>
      <c r="S5393" s="4" t="str">
        <f>IFERROR(__xludf.DUMMYFUNCTION("""COMPUTED_VALUE"""),"Netcontroll Xmenu")</f>
        <v>Netcontroll Xmenu</v>
      </c>
      <c r="T5393" s="33">
        <f>IFERROR(__xludf.DUMMYFUNCTION("""COMPUTED_VALUE"""),0.5)</f>
        <v>0.5</v>
      </c>
      <c r="U5393" s="4" t="str">
        <f>IFERROR(__xludf.DUMMYFUNCTION("""COMPUTED_VALUE"""),"Netcontroll Xmenu")</f>
        <v>Netcontroll Xmenu</v>
      </c>
      <c r="V5393" s="33">
        <f>IFERROR(__xludf.DUMMYFUNCTION("""COMPUTED_VALUE"""),0.5)</f>
        <v>0.5</v>
      </c>
      <c r="W5393" s="4" t="str">
        <f>IFERROR(__xludf.DUMMYFUNCTION("""COMPUTED_VALUE"""),"Netcontroll Xmenu")</f>
        <v>Netcontroll Xmenu</v>
      </c>
      <c r="X5393" s="33">
        <f>IFERROR(__xludf.DUMMYFUNCTION("""COMPUTED_VALUE"""),0.5)</f>
        <v>0.5</v>
      </c>
    </row>
    <row r="5394">
      <c r="K5394" s="4" t="str">
        <f>IFERROR(__xludf.DUMMYFUNCTION("""COMPUTED_VALUE"""),"ARMAZEM DO SABOR")</f>
        <v>ARMAZEM DO SABOR</v>
      </c>
      <c r="L5394" s="32">
        <f>IFERROR(__xludf.DUMMYFUNCTION("""COMPUTED_VALUE"""),2.0)</f>
        <v>2</v>
      </c>
      <c r="M5394" s="4" t="str">
        <f>IFERROR(__xludf.DUMMYFUNCTION("""COMPUTED_VALUE"""),"Js Informatica E Equipamentos Ltda")</f>
        <v>Js Informatica E Equipamentos Ltda</v>
      </c>
      <c r="N5394" s="33">
        <f>IFERROR(__xludf.DUMMYFUNCTION("""COMPUTED_VALUE"""),0.5)</f>
        <v>0.5</v>
      </c>
      <c r="O5394" s="4" t="str">
        <f>IFERROR(__xludf.DUMMYFUNCTION("""COMPUTED_VALUE"""),"Js Informatica E Equipamentos Ltda")</f>
        <v>Js Informatica E Equipamentos Ltda</v>
      </c>
      <c r="P5394" s="33">
        <f>IFERROR(__xludf.DUMMYFUNCTION("""COMPUTED_VALUE"""),0.5)</f>
        <v>0.5</v>
      </c>
      <c r="Q5394" s="4" t="str">
        <f>IFERROR(__xludf.DUMMYFUNCTION("""COMPUTED_VALUE"""),"Js Informatica E Equipamentos Ltda")</f>
        <v>Js Informatica E Equipamentos Ltda</v>
      </c>
      <c r="R5394" s="33">
        <f>IFERROR(__xludf.DUMMYFUNCTION("""COMPUTED_VALUE"""),0.5)</f>
        <v>0.5</v>
      </c>
      <c r="S5394" s="4" t="str">
        <f>IFERROR(__xludf.DUMMYFUNCTION("""COMPUTED_VALUE"""),"Js Informatica E Equipamentos Ltda")</f>
        <v>Js Informatica E Equipamentos Ltda</v>
      </c>
      <c r="T5394" s="33">
        <f>IFERROR(__xludf.DUMMYFUNCTION("""COMPUTED_VALUE"""),0.5)</f>
        <v>0.5</v>
      </c>
      <c r="U5394" s="4" t="str">
        <f>IFERROR(__xludf.DUMMYFUNCTION("""COMPUTED_VALUE"""),"Js Informatica E Equipamentos Ltda")</f>
        <v>Js Informatica E Equipamentos Ltda</v>
      </c>
      <c r="V5394" s="33">
        <f>IFERROR(__xludf.DUMMYFUNCTION("""COMPUTED_VALUE"""),0.5)</f>
        <v>0.5</v>
      </c>
      <c r="W5394" s="4" t="str">
        <f>IFERROR(__xludf.DUMMYFUNCTION("""COMPUTED_VALUE"""),"Js Informatica E Equipamentos Ltda")</f>
        <v>Js Informatica E Equipamentos Ltda</v>
      </c>
      <c r="X5394" s="33">
        <f>IFERROR(__xludf.DUMMYFUNCTION("""COMPUTED_VALUE"""),0.5)</f>
        <v>0.5</v>
      </c>
    </row>
    <row r="5395">
      <c r="K5395" s="4" t="str">
        <f>IFERROR(__xludf.DUMMYFUNCTION("""COMPUTED_VALUE"""),"DELICIAS EXPRESS")</f>
        <v>DELICIAS EXPRESS</v>
      </c>
      <c r="L5395" s="32">
        <f>IFERROR(__xludf.DUMMYFUNCTION("""COMPUTED_VALUE"""),2.0)</f>
        <v>2</v>
      </c>
      <c r="M5395" s="4" t="str">
        <f>IFERROR(__xludf.DUMMYFUNCTION("""COMPUTED_VALUE"""),"Consumer Soluções Em Tecnologia Ltda")</f>
        <v>Consumer Soluções Em Tecnologia Ltda</v>
      </c>
      <c r="N5395" s="33">
        <f>IFERROR(__xludf.DUMMYFUNCTION("""COMPUTED_VALUE"""),0.5)</f>
        <v>0.5</v>
      </c>
      <c r="O5395" s="4" t="str">
        <f>IFERROR(__xludf.DUMMYFUNCTION("""COMPUTED_VALUE"""),"Consumer Soluções Em Tecnologia Ltda")</f>
        <v>Consumer Soluções Em Tecnologia Ltda</v>
      </c>
      <c r="P5395" s="33">
        <f>IFERROR(__xludf.DUMMYFUNCTION("""COMPUTED_VALUE"""),0.5)</f>
        <v>0.5</v>
      </c>
      <c r="Q5395" s="4" t="str">
        <f>IFERROR(__xludf.DUMMYFUNCTION("""COMPUTED_VALUE"""),"Consumer Soluções Em Tecnologia Ltda")</f>
        <v>Consumer Soluções Em Tecnologia Ltda</v>
      </c>
      <c r="R5395" s="33">
        <f>IFERROR(__xludf.DUMMYFUNCTION("""COMPUTED_VALUE"""),0.5)</f>
        <v>0.5</v>
      </c>
      <c r="S5395" s="4" t="str">
        <f>IFERROR(__xludf.DUMMYFUNCTION("""COMPUTED_VALUE"""),"Consumer Soluções Em Tecnologia Ltda")</f>
        <v>Consumer Soluções Em Tecnologia Ltda</v>
      </c>
      <c r="T5395" s="33">
        <f>IFERROR(__xludf.DUMMYFUNCTION("""COMPUTED_VALUE"""),0.5)</f>
        <v>0.5</v>
      </c>
      <c r="U5395" s="4" t="str">
        <f>IFERROR(__xludf.DUMMYFUNCTION("""COMPUTED_VALUE"""),"null")</f>
        <v>null</v>
      </c>
      <c r="V5395" s="33">
        <f>IFERROR(__xludf.DUMMYFUNCTION("""COMPUTED_VALUE"""),0.5)</f>
        <v>0.5</v>
      </c>
      <c r="W5395" s="4" t="str">
        <f>IFERROR(__xludf.DUMMYFUNCTION("""COMPUTED_VALUE"""),"null")</f>
        <v>null</v>
      </c>
      <c r="X5395" s="33">
        <f>IFERROR(__xludf.DUMMYFUNCTION("""COMPUTED_VALUE"""),1.0)</f>
        <v>1</v>
      </c>
    </row>
    <row r="5396">
      <c r="K5396" s="4" t="str">
        <f>IFERROR(__xludf.DUMMYFUNCTION("""COMPUTED_VALUE"""),"UAU MY DOG - PET SHOP")</f>
        <v>UAU MY DOG - PET SHOP</v>
      </c>
      <c r="L5396" s="32">
        <f>IFERROR(__xludf.DUMMYFUNCTION("""COMPUTED_VALUE"""),2.0)</f>
        <v>2</v>
      </c>
      <c r="M5396" s="4" t="str">
        <f>IFERROR(__xludf.DUMMYFUNCTION("""COMPUTED_VALUE"""),"N/A (Not found)")</f>
        <v>N/A (Not found)</v>
      </c>
      <c r="N5396" s="33">
        <f>IFERROR(__xludf.DUMMYFUNCTION("""COMPUTED_VALUE"""),1.0)</f>
        <v>1</v>
      </c>
      <c r="O5396" s="4" t="str">
        <f>IFERROR(__xludf.DUMMYFUNCTION("""COMPUTED_VALUE"""),"N/A (Not found)")</f>
        <v>N/A (Not found)</v>
      </c>
      <c r="P5396" s="33">
        <f>IFERROR(__xludf.DUMMYFUNCTION("""COMPUTED_VALUE"""),1.0)</f>
        <v>1</v>
      </c>
      <c r="Q5396" s="4" t="str">
        <f>IFERROR(__xludf.DUMMYFUNCTION("""COMPUTED_VALUE"""),"N/A (Not found)")</f>
        <v>N/A (Not found)</v>
      </c>
      <c r="R5396" s="33">
        <f>IFERROR(__xludf.DUMMYFUNCTION("""COMPUTED_VALUE"""),1.0)</f>
        <v>1</v>
      </c>
      <c r="S5396" s="4" t="str">
        <f>IFERROR(__xludf.DUMMYFUNCTION("""COMPUTED_VALUE"""),"N/A (Not found)")</f>
        <v>N/A (Not found)</v>
      </c>
      <c r="T5396" s="33">
        <f>IFERROR(__xludf.DUMMYFUNCTION("""COMPUTED_VALUE"""),1.0)</f>
        <v>1</v>
      </c>
      <c r="U5396" s="4" t="str">
        <f>IFERROR(__xludf.DUMMYFUNCTION("""COMPUTED_VALUE"""),"N/A (Not found)")</f>
        <v>N/A (Not found)</v>
      </c>
      <c r="V5396" s="33">
        <f>IFERROR(__xludf.DUMMYFUNCTION("""COMPUTED_VALUE"""),1.0)</f>
        <v>1</v>
      </c>
      <c r="W5396" s="4" t="str">
        <f>IFERROR(__xludf.DUMMYFUNCTION("""COMPUTED_VALUE"""),"N/A (Not found)")</f>
        <v>N/A (Not found)</v>
      </c>
      <c r="X5396" s="33">
        <f>IFERROR(__xludf.DUMMYFUNCTION("""COMPUTED_VALUE"""),1.0)</f>
        <v>1</v>
      </c>
    </row>
    <row r="5397">
      <c r="K5397" s="4" t="str">
        <f>IFERROR(__xludf.DUMMYFUNCTION("""COMPUTED_VALUE"""),"CARAMELO BURGER")</f>
        <v>CARAMELO BURGER</v>
      </c>
      <c r="L5397" s="32">
        <f>IFERROR(__xludf.DUMMYFUNCTION("""COMPUTED_VALUE"""),2.0)</f>
        <v>2</v>
      </c>
      <c r="M5397" s="4" t="str">
        <f>IFERROR(__xludf.DUMMYFUNCTION("""COMPUTED_VALUE"""),"null")</f>
        <v>null</v>
      </c>
      <c r="N5397" s="33">
        <f>IFERROR(__xludf.DUMMYFUNCTION("""COMPUTED_VALUE"""),0.5)</f>
        <v>0.5</v>
      </c>
      <c r="O5397" s="4" t="str">
        <f>IFERROR(__xludf.DUMMYFUNCTION("""COMPUTED_VALUE"""),"Yooga")</f>
        <v>Yooga</v>
      </c>
      <c r="P5397" s="33">
        <f>IFERROR(__xludf.DUMMYFUNCTION("""COMPUTED_VALUE"""),1.0)</f>
        <v>1</v>
      </c>
      <c r="Q5397" s="4" t="str">
        <f>IFERROR(__xludf.DUMMYFUNCTION("""COMPUTED_VALUE"""),"Yooga")</f>
        <v>Yooga</v>
      </c>
      <c r="R5397" s="33">
        <f>IFERROR(__xludf.DUMMYFUNCTION("""COMPUTED_VALUE"""),1.0)</f>
        <v>1</v>
      </c>
      <c r="S5397" s="4" t="str">
        <f>IFERROR(__xludf.DUMMYFUNCTION("""COMPUTED_VALUE"""),"null")</f>
        <v>null</v>
      </c>
      <c r="T5397" s="33">
        <f>IFERROR(__xludf.DUMMYFUNCTION("""COMPUTED_VALUE"""),1.0)</f>
        <v>1</v>
      </c>
      <c r="U5397" s="4" t="str">
        <f>IFERROR(__xludf.DUMMYFUNCTION("""COMPUTED_VALUE"""),"null")</f>
        <v>null</v>
      </c>
      <c r="V5397" s="33">
        <f>IFERROR(__xludf.DUMMYFUNCTION("""COMPUTED_VALUE"""),1.0)</f>
        <v>1</v>
      </c>
      <c r="W5397" s="4" t="str">
        <f>IFERROR(__xludf.DUMMYFUNCTION("""COMPUTED_VALUE"""),"null")</f>
        <v>null</v>
      </c>
      <c r="X5397" s="33">
        <f>IFERROR(__xludf.DUMMYFUNCTION("""COMPUTED_VALUE"""),1.0)</f>
        <v>1</v>
      </c>
    </row>
    <row r="5398">
      <c r="K5398" s="4" t="str">
        <f>IFERROR(__xludf.DUMMYFUNCTION("""COMPUTED_VALUE"""),"ACAI PARIS")</f>
        <v>ACAI PARIS</v>
      </c>
      <c r="L5398" s="32">
        <f>IFERROR(__xludf.DUMMYFUNCTION("""COMPUTED_VALUE"""),2.0)</f>
        <v>2</v>
      </c>
      <c r="M5398" s="4" t="str">
        <f>IFERROR(__xludf.DUMMYFUNCTION("""COMPUTED_VALUE"""),"Anota Ai Solucoes Digitais S/a")</f>
        <v>Anota Ai Solucoes Digitais S/a</v>
      </c>
      <c r="N5398" s="33">
        <f>IFERROR(__xludf.DUMMYFUNCTION("""COMPUTED_VALUE"""),0.6666666666666666)</f>
        <v>0.6666666667</v>
      </c>
      <c r="O5398" s="4" t="str">
        <f>IFERROR(__xludf.DUMMYFUNCTION("""COMPUTED_VALUE"""),"Anota Ai Solucoes Digitais S/a")</f>
        <v>Anota Ai Solucoes Digitais S/a</v>
      </c>
      <c r="P5398" s="33">
        <f>IFERROR(__xludf.DUMMYFUNCTION("""COMPUTED_VALUE"""),0.6666666666666666)</f>
        <v>0.6666666667</v>
      </c>
      <c r="Q5398" s="4" t="str">
        <f>IFERROR(__xludf.DUMMYFUNCTION("""COMPUTED_VALUE"""),"Anota Ai Solucoes Digitais S/a")</f>
        <v>Anota Ai Solucoes Digitais S/a</v>
      </c>
      <c r="R5398" s="33">
        <f>IFERROR(__xludf.DUMMYFUNCTION("""COMPUTED_VALUE"""),0.6666666666666666)</f>
        <v>0.6666666667</v>
      </c>
      <c r="S5398" s="4" t="str">
        <f>IFERROR(__xludf.DUMMYFUNCTION("""COMPUTED_VALUE"""),"Anota Ai Solucoes Digitais S/a")</f>
        <v>Anota Ai Solucoes Digitais S/a</v>
      </c>
      <c r="T5398" s="33">
        <f>IFERROR(__xludf.DUMMYFUNCTION("""COMPUTED_VALUE"""),0.6666666666666666)</f>
        <v>0.6666666667</v>
      </c>
      <c r="U5398" s="4" t="str">
        <f>IFERROR(__xludf.DUMMYFUNCTION("""COMPUTED_VALUE"""),"Anota Ai Solucoes Digitais S/a")</f>
        <v>Anota Ai Solucoes Digitais S/a</v>
      </c>
      <c r="V5398" s="33">
        <f>IFERROR(__xludf.DUMMYFUNCTION("""COMPUTED_VALUE"""),0.6666666666666666)</f>
        <v>0.6666666667</v>
      </c>
      <c r="W5398" s="4" t="str">
        <f>IFERROR(__xludf.DUMMYFUNCTION("""COMPUTED_VALUE"""),"Anota Ai Solucoes Digitais S/a")</f>
        <v>Anota Ai Solucoes Digitais S/a</v>
      </c>
      <c r="X5398" s="33">
        <f>IFERROR(__xludf.DUMMYFUNCTION("""COMPUTED_VALUE"""),0.6666666666666666)</f>
        <v>0.6666666667</v>
      </c>
    </row>
    <row r="5399">
      <c r="K5399" s="4" t="str">
        <f>IFERROR(__xludf.DUMMYFUNCTION("""COMPUTED_VALUE"""),"CAPIVARA BURGUER")</f>
        <v>CAPIVARA BURGUER</v>
      </c>
      <c r="L5399" s="32">
        <f>IFERROR(__xludf.DUMMYFUNCTION("""COMPUTED_VALUE"""),2.0)</f>
        <v>2</v>
      </c>
      <c r="M5399" s="4" t="str">
        <f>IFERROR(__xludf.DUMMYFUNCTION("""COMPUTED_VALUE"""),"null")</f>
        <v>null</v>
      </c>
      <c r="N5399" s="33">
        <f>IFERROR(__xludf.DUMMYFUNCTION("""COMPUTED_VALUE"""),1.0)</f>
        <v>1</v>
      </c>
      <c r="O5399" s="4" t="str">
        <f>IFERROR(__xludf.DUMMYFUNCTION("""COMPUTED_VALUE"""),"null")</f>
        <v>null</v>
      </c>
      <c r="P5399" s="33">
        <f>IFERROR(__xludf.DUMMYFUNCTION("""COMPUTED_VALUE"""),1.0)</f>
        <v>1</v>
      </c>
      <c r="Q5399" s="4" t="str">
        <f>IFERROR(__xludf.DUMMYFUNCTION("""COMPUTED_VALUE"""),"null")</f>
        <v>null</v>
      </c>
      <c r="R5399" s="33">
        <f>IFERROR(__xludf.DUMMYFUNCTION("""COMPUTED_VALUE"""),0.5)</f>
        <v>0.5</v>
      </c>
      <c r="S5399" s="4" t="str">
        <f>IFERROR(__xludf.DUMMYFUNCTION("""COMPUTED_VALUE"""),"null")</f>
        <v>null</v>
      </c>
      <c r="T5399" s="33">
        <f>IFERROR(__xludf.DUMMYFUNCTION("""COMPUTED_VALUE"""),1.0)</f>
        <v>1</v>
      </c>
      <c r="U5399" s="4" t="str">
        <f>IFERROR(__xludf.DUMMYFUNCTION("""COMPUTED_VALUE"""),"null")</f>
        <v>null</v>
      </c>
      <c r="V5399" s="33">
        <f>IFERROR(__xludf.DUMMYFUNCTION("""COMPUTED_VALUE"""),1.0)</f>
        <v>1</v>
      </c>
      <c r="W5399" s="4" t="str">
        <f>IFERROR(__xludf.DUMMYFUNCTION("""COMPUTED_VALUE"""),"Grandchef Desenvolvimento De Sistemas Ltda")</f>
        <v>Grandchef Desenvolvimento De Sistemas Ltda</v>
      </c>
      <c r="X5399" s="33">
        <f>IFERROR(__xludf.DUMMYFUNCTION("""COMPUTED_VALUE"""),0.5)</f>
        <v>0.5</v>
      </c>
    </row>
    <row r="5400">
      <c r="K5400" s="4" t="str">
        <f>IFERROR(__xludf.DUMMYFUNCTION("""COMPUTED_VALUE"""),"CLUBE DA PIZZA")</f>
        <v>CLUBE DA PIZZA</v>
      </c>
      <c r="L5400" s="32">
        <f>IFERROR(__xludf.DUMMYFUNCTION("""COMPUTED_VALUE"""),2.0)</f>
        <v>2</v>
      </c>
      <c r="M5400" s="4" t="str">
        <f>IFERROR(__xludf.DUMMYFUNCTION("""COMPUTED_VALUE"""),"Cardápio Web")</f>
        <v>Cardápio Web</v>
      </c>
      <c r="N5400" s="33">
        <f>IFERROR(__xludf.DUMMYFUNCTION("""COMPUTED_VALUE"""),0.5)</f>
        <v>0.5</v>
      </c>
      <c r="O5400" s="4" t="str">
        <f>IFERROR(__xludf.DUMMYFUNCTION("""COMPUTED_VALUE"""),"null")</f>
        <v>null</v>
      </c>
      <c r="P5400" s="33">
        <f>IFERROR(__xludf.DUMMYFUNCTION("""COMPUTED_VALUE"""),1.0)</f>
        <v>1</v>
      </c>
      <c r="Q5400" s="4" t="str">
        <f>IFERROR(__xludf.DUMMYFUNCTION("""COMPUTED_VALUE"""),"null")</f>
        <v>null</v>
      </c>
      <c r="R5400" s="33">
        <f>IFERROR(__xludf.DUMMYFUNCTION("""COMPUTED_VALUE"""),1.0)</f>
        <v>1</v>
      </c>
      <c r="S5400" s="4" t="str">
        <f>IFERROR(__xludf.DUMMYFUNCTION("""COMPUTED_VALUE"""),"null")</f>
        <v>null</v>
      </c>
      <c r="T5400" s="33">
        <f>IFERROR(__xludf.DUMMYFUNCTION("""COMPUTED_VALUE"""),1.0)</f>
        <v>1</v>
      </c>
      <c r="U5400" s="4" t="str">
        <f>IFERROR(__xludf.DUMMYFUNCTION("""COMPUTED_VALUE"""),"null")</f>
        <v>null</v>
      </c>
      <c r="V5400" s="33">
        <f>IFERROR(__xludf.DUMMYFUNCTION("""COMPUTED_VALUE"""),0.5)</f>
        <v>0.5</v>
      </c>
      <c r="W5400" s="4" t="str">
        <f>IFERROR(__xludf.DUMMYFUNCTION("""COMPUTED_VALUE"""),"null")</f>
        <v>null</v>
      </c>
      <c r="X5400" s="33">
        <f>IFERROR(__xludf.DUMMYFUNCTION("""COMPUTED_VALUE"""),0.5)</f>
        <v>0.5</v>
      </c>
    </row>
    <row r="5401">
      <c r="K5401" s="4" t="str">
        <f>IFERROR(__xludf.DUMMYFUNCTION("""COMPUTED_VALUE"""),"PIT STOP DA BEBIDA ADEGA CENTRAL")</f>
        <v>PIT STOP DA BEBIDA ADEGA CENTRAL</v>
      </c>
      <c r="L5401" s="32">
        <f>IFERROR(__xludf.DUMMYFUNCTION("""COMPUTED_VALUE"""),2.0)</f>
        <v>2</v>
      </c>
      <c r="M5401" s="4" t="str">
        <f>IFERROR(__xludf.DUMMYFUNCTION("""COMPUTED_VALUE"""),"null")</f>
        <v>null</v>
      </c>
      <c r="N5401" s="33">
        <f>IFERROR(__xludf.DUMMYFUNCTION("""COMPUTED_VALUE"""),0.5)</f>
        <v>0.5</v>
      </c>
      <c r="O5401" s="4" t="str">
        <f>IFERROR(__xludf.DUMMYFUNCTION("""COMPUTED_VALUE"""),"null")</f>
        <v>null</v>
      </c>
      <c r="P5401" s="33">
        <f>IFERROR(__xludf.DUMMYFUNCTION("""COMPUTED_VALUE"""),0.5)</f>
        <v>0.5</v>
      </c>
      <c r="Q5401" s="4" t="str">
        <f>IFERROR(__xludf.DUMMYFUNCTION("""COMPUTED_VALUE"""),"null")</f>
        <v>null</v>
      </c>
      <c r="R5401" s="33">
        <f>IFERROR(__xludf.DUMMYFUNCTION("""COMPUTED_VALUE"""),0.5)</f>
        <v>0.5</v>
      </c>
      <c r="S5401" s="4" t="str">
        <f>IFERROR(__xludf.DUMMYFUNCTION("""COMPUTED_VALUE"""),"null")</f>
        <v>null</v>
      </c>
      <c r="T5401" s="33">
        <f>IFERROR(__xludf.DUMMYFUNCTION("""COMPUTED_VALUE"""),0.5)</f>
        <v>0.5</v>
      </c>
      <c r="U5401" s="4" t="str">
        <f>IFERROR(__xludf.DUMMYFUNCTION("""COMPUTED_VALUE"""),"N/A (Not found)")</f>
        <v>N/A (Not found)</v>
      </c>
      <c r="V5401" s="33">
        <f>IFERROR(__xludf.DUMMYFUNCTION("""COMPUTED_VALUE"""),0.5)</f>
        <v>0.5</v>
      </c>
      <c r="W5401" s="4" t="str">
        <f>IFERROR(__xludf.DUMMYFUNCTION("""COMPUTED_VALUE"""),"N/A (Not found)")</f>
        <v>N/A (Not found)</v>
      </c>
      <c r="X5401" s="33">
        <f>IFERROR(__xludf.DUMMYFUNCTION("""COMPUTED_VALUE"""),0.5)</f>
        <v>0.5</v>
      </c>
    </row>
    <row r="5402">
      <c r="K5402" s="4" t="str">
        <f>IFERROR(__xludf.DUMMYFUNCTION("""COMPUTED_VALUE"""),"MACARRAO FAST")</f>
        <v>MACARRAO FAST</v>
      </c>
      <c r="L5402" s="32">
        <f>IFERROR(__xludf.DUMMYFUNCTION("""COMPUTED_VALUE"""),2.0)</f>
        <v>2</v>
      </c>
      <c r="M5402" s="4" t="str">
        <f>IFERROR(__xludf.DUMMYFUNCTION("""COMPUTED_VALUE"""),"null")</f>
        <v>null</v>
      </c>
      <c r="N5402" s="33">
        <f>IFERROR(__xludf.DUMMYFUNCTION("""COMPUTED_VALUE"""),0.5)</f>
        <v>0.5</v>
      </c>
      <c r="O5402" s="4" t="str">
        <f>IFERROR(__xludf.DUMMYFUNCTION("""COMPUTED_VALUE"""),"null")</f>
        <v>null</v>
      </c>
      <c r="P5402" s="33">
        <f>IFERROR(__xludf.DUMMYFUNCTION("""COMPUTED_VALUE"""),1.0)</f>
        <v>1</v>
      </c>
      <c r="Q5402" s="4" t="str">
        <f>IFERROR(__xludf.DUMMYFUNCTION("""COMPUTED_VALUE"""),"Gama Tecnologias Ltda")</f>
        <v>Gama Tecnologias Ltda</v>
      </c>
      <c r="R5402" s="33">
        <f>IFERROR(__xludf.DUMMYFUNCTION("""COMPUTED_VALUE"""),0.5)</f>
        <v>0.5</v>
      </c>
      <c r="S5402" s="4" t="str">
        <f>IFERROR(__xludf.DUMMYFUNCTION("""COMPUTED_VALUE"""),"Gama Tecnologias Ltda")</f>
        <v>Gama Tecnologias Ltda</v>
      </c>
      <c r="T5402" s="33">
        <f>IFERROR(__xludf.DUMMYFUNCTION("""COMPUTED_VALUE"""),0.5)</f>
        <v>0.5</v>
      </c>
      <c r="U5402" s="4" t="str">
        <f>IFERROR(__xludf.DUMMYFUNCTION("""COMPUTED_VALUE"""),"Gama Tecnologias Ltda")</f>
        <v>Gama Tecnologias Ltda</v>
      </c>
      <c r="V5402" s="33">
        <f>IFERROR(__xludf.DUMMYFUNCTION("""COMPUTED_VALUE"""),0.5)</f>
        <v>0.5</v>
      </c>
      <c r="W5402" s="4" t="str">
        <f>IFERROR(__xludf.DUMMYFUNCTION("""COMPUTED_VALUE"""),"Gama Tecnologias Ltda")</f>
        <v>Gama Tecnologias Ltda</v>
      </c>
      <c r="X5402" s="33">
        <f>IFERROR(__xludf.DUMMYFUNCTION("""COMPUTED_VALUE"""),0.5)</f>
        <v>0.5</v>
      </c>
    </row>
    <row r="5403">
      <c r="K5403" s="4" t="str">
        <f>IFERROR(__xludf.DUMMYFUNCTION("""COMPUTED_VALUE"""),"ACAI MIL GRAU")</f>
        <v>ACAI MIL GRAU</v>
      </c>
      <c r="L5403" s="32">
        <f>IFERROR(__xludf.DUMMYFUNCTION("""COMPUTED_VALUE"""),2.0)</f>
        <v>2</v>
      </c>
      <c r="M5403" s="4" t="str">
        <f>IFERROR(__xludf.DUMMYFUNCTION("""COMPUTED_VALUE"""),"null")</f>
        <v>null</v>
      </c>
      <c r="N5403" s="33">
        <f>IFERROR(__xludf.DUMMYFUNCTION("""COMPUTED_VALUE"""),0.5)</f>
        <v>0.5</v>
      </c>
      <c r="O5403" s="4" t="str">
        <f>IFERROR(__xludf.DUMMYFUNCTION("""COMPUTED_VALUE"""),"null")</f>
        <v>null</v>
      </c>
      <c r="P5403" s="33">
        <f>IFERROR(__xludf.DUMMYFUNCTION("""COMPUTED_VALUE"""),0.5)</f>
        <v>0.5</v>
      </c>
      <c r="Q5403" s="4" t="str">
        <f>IFERROR(__xludf.DUMMYFUNCTION("""COMPUTED_VALUE"""),"null")</f>
        <v>null</v>
      </c>
      <c r="R5403" s="33">
        <f>IFERROR(__xludf.DUMMYFUNCTION("""COMPUTED_VALUE"""),0.5)</f>
        <v>0.5</v>
      </c>
      <c r="S5403" s="4" t="str">
        <f>IFERROR(__xludf.DUMMYFUNCTION("""COMPUTED_VALUE"""),"Anota Ai Solucoes Digitais S/a")</f>
        <v>Anota Ai Solucoes Digitais S/a</v>
      </c>
      <c r="T5403" s="33">
        <f>IFERROR(__xludf.DUMMYFUNCTION("""COMPUTED_VALUE"""),0.5)</f>
        <v>0.5</v>
      </c>
      <c r="U5403" s="4" t="str">
        <f>IFERROR(__xludf.DUMMYFUNCTION("""COMPUTED_VALUE"""),"Anota Ai Solucoes Digitais S/a")</f>
        <v>Anota Ai Solucoes Digitais S/a</v>
      </c>
      <c r="V5403" s="33">
        <f>IFERROR(__xludf.DUMMYFUNCTION("""COMPUTED_VALUE"""),0.5)</f>
        <v>0.5</v>
      </c>
      <c r="W5403" s="4" t="str">
        <f>IFERROR(__xludf.DUMMYFUNCTION("""COMPUTED_VALUE"""),"null")</f>
        <v>null</v>
      </c>
      <c r="X5403" s="33">
        <f>IFERROR(__xludf.DUMMYFUNCTION("""COMPUTED_VALUE"""),0.5)</f>
        <v>0.5</v>
      </c>
    </row>
    <row r="5404">
      <c r="K5404" s="4" t="str">
        <f>IFERROR(__xludf.DUMMYFUNCTION("""COMPUTED_VALUE"""),"SABOR MIX")</f>
        <v>SABOR MIX</v>
      </c>
      <c r="L5404" s="32">
        <f>IFERROR(__xludf.DUMMYFUNCTION("""COMPUTED_VALUE"""),2.0)</f>
        <v>2</v>
      </c>
      <c r="M5404" s="4" t="str">
        <f>IFERROR(__xludf.DUMMYFUNCTION("""COMPUTED_VALUE"""),"null")</f>
        <v>null</v>
      </c>
      <c r="N5404" s="33">
        <f>IFERROR(__xludf.DUMMYFUNCTION("""COMPUTED_VALUE"""),0.5)</f>
        <v>0.5</v>
      </c>
      <c r="O5404" s="4" t="str">
        <f>IFERROR(__xludf.DUMMYFUNCTION("""COMPUTED_VALUE"""),"null")</f>
        <v>null</v>
      </c>
      <c r="P5404" s="33">
        <f>IFERROR(__xludf.DUMMYFUNCTION("""COMPUTED_VALUE"""),0.5)</f>
        <v>0.5</v>
      </c>
      <c r="Q5404" s="4" t="str">
        <f>IFERROR(__xludf.DUMMYFUNCTION("""COMPUTED_VALUE"""),"null")</f>
        <v>null</v>
      </c>
      <c r="R5404" s="33">
        <f>IFERROR(__xludf.DUMMYFUNCTION("""COMPUTED_VALUE"""),0.5)</f>
        <v>0.5</v>
      </c>
      <c r="S5404" s="4" t="str">
        <f>IFERROR(__xludf.DUMMYFUNCTION("""COMPUTED_VALUE"""),"null")</f>
        <v>null</v>
      </c>
      <c r="T5404" s="33">
        <f>IFERROR(__xludf.DUMMYFUNCTION("""COMPUTED_VALUE"""),0.5)</f>
        <v>0.5</v>
      </c>
      <c r="U5404" s="4" t="str">
        <f>IFERROR(__xludf.DUMMYFUNCTION("""COMPUTED_VALUE"""),"null")</f>
        <v>null</v>
      </c>
      <c r="V5404" s="33">
        <f>IFERROR(__xludf.DUMMYFUNCTION("""COMPUTED_VALUE"""),0.5)</f>
        <v>0.5</v>
      </c>
      <c r="W5404" s="4" t="str">
        <f>IFERROR(__xludf.DUMMYFUNCTION("""COMPUTED_VALUE"""),"Anota Ai Solucoes Digitais S/a")</f>
        <v>Anota Ai Solucoes Digitais S/a</v>
      </c>
      <c r="X5404" s="33">
        <f>IFERROR(__xludf.DUMMYFUNCTION("""COMPUTED_VALUE"""),1.0)</f>
        <v>1</v>
      </c>
    </row>
    <row r="5405">
      <c r="K5405" s="4" t="str">
        <f>IFERROR(__xludf.DUMMYFUNCTION("""COMPUTED_VALUE"""),"POPS HOT DOG")</f>
        <v>POPS HOT DOG</v>
      </c>
      <c r="L5405" s="32">
        <f>IFERROR(__xludf.DUMMYFUNCTION("""COMPUTED_VALUE"""),2.0)</f>
        <v>2</v>
      </c>
      <c r="M5405" s="4" t="str">
        <f>IFERROR(__xludf.DUMMYFUNCTION("""COMPUTED_VALUE"""),"Beefood - Sistema Para Restaurantes")</f>
        <v>Beefood - Sistema Para Restaurantes</v>
      </c>
      <c r="N5405" s="33">
        <f>IFERROR(__xludf.DUMMYFUNCTION("""COMPUTED_VALUE"""),1.0)</f>
        <v>1</v>
      </c>
      <c r="O5405" s="4" t="str">
        <f>IFERROR(__xludf.DUMMYFUNCTION("""COMPUTED_VALUE"""),"null")</f>
        <v>null</v>
      </c>
      <c r="P5405" s="33">
        <f>IFERROR(__xludf.DUMMYFUNCTION("""COMPUTED_VALUE"""),0.5)</f>
        <v>0.5</v>
      </c>
      <c r="Q5405" s="4" t="str">
        <f>IFERROR(__xludf.DUMMYFUNCTION("""COMPUTED_VALUE"""),"null")</f>
        <v>null</v>
      </c>
      <c r="R5405" s="33">
        <f>IFERROR(__xludf.DUMMYFUNCTION("""COMPUTED_VALUE"""),0.5)</f>
        <v>0.5</v>
      </c>
      <c r="S5405" s="4" t="str">
        <f>IFERROR(__xludf.DUMMYFUNCTION("""COMPUTED_VALUE"""),"null")</f>
        <v>null</v>
      </c>
      <c r="T5405" s="33">
        <f>IFERROR(__xludf.DUMMYFUNCTION("""COMPUTED_VALUE"""),0.5)</f>
        <v>0.5</v>
      </c>
      <c r="U5405" s="4" t="str">
        <f>IFERROR(__xludf.DUMMYFUNCTION("""COMPUTED_VALUE"""),"Beefood - Sistema Para Restaurantes")</f>
        <v>Beefood - Sistema Para Restaurantes</v>
      </c>
      <c r="V5405" s="33">
        <f>IFERROR(__xludf.DUMMYFUNCTION("""COMPUTED_VALUE"""),1.0)</f>
        <v>1</v>
      </c>
      <c r="W5405" s="4" t="str">
        <f>IFERROR(__xludf.DUMMYFUNCTION("""COMPUTED_VALUE"""),"Beefood - Sistema Para Restaurantes")</f>
        <v>Beefood - Sistema Para Restaurantes</v>
      </c>
      <c r="X5405" s="33">
        <f>IFERROR(__xludf.DUMMYFUNCTION("""COMPUTED_VALUE"""),0.5)</f>
        <v>0.5</v>
      </c>
    </row>
    <row r="5406">
      <c r="K5406" s="4" t="str">
        <f>IFERROR(__xludf.DUMMYFUNCTION("""COMPUTED_VALUE"""),"TANQUE CHEIO")</f>
        <v>TANQUE CHEIO</v>
      </c>
      <c r="L5406" s="32">
        <f>IFERROR(__xludf.DUMMYFUNCTION("""COMPUTED_VALUE"""),2.0)</f>
        <v>2</v>
      </c>
      <c r="M5406" s="4" t="str">
        <f>IFERROR(__xludf.DUMMYFUNCTION("""COMPUTED_VALUE"""),"null")</f>
        <v>null</v>
      </c>
      <c r="N5406" s="33">
        <f>IFERROR(__xludf.DUMMYFUNCTION("""COMPUTED_VALUE"""),0.5)</f>
        <v>0.5</v>
      </c>
      <c r="O5406" s="4" t="str">
        <f>IFERROR(__xludf.DUMMYFUNCTION("""COMPUTED_VALUE"""),"null")</f>
        <v>null</v>
      </c>
      <c r="P5406" s="33">
        <f>IFERROR(__xludf.DUMMYFUNCTION("""COMPUTED_VALUE"""),0.5)</f>
        <v>0.5</v>
      </c>
      <c r="Q5406" s="4" t="str">
        <f>IFERROR(__xludf.DUMMYFUNCTION("""COMPUTED_VALUE"""),"Dalcatech Automacao E Desenvolvimento De Software Ltda")</f>
        <v>Dalcatech Automacao E Desenvolvimento De Software Ltda</v>
      </c>
      <c r="R5406" s="33">
        <f>IFERROR(__xludf.DUMMYFUNCTION("""COMPUTED_VALUE"""),0.5)</f>
        <v>0.5</v>
      </c>
      <c r="S5406" s="4" t="str">
        <f>IFERROR(__xludf.DUMMYFUNCTION("""COMPUTED_VALUE"""),"Dalcatech Automacao E Desenvolvimento De Software Ltda")</f>
        <v>Dalcatech Automacao E Desenvolvimento De Software Ltda</v>
      </c>
      <c r="T5406" s="33">
        <f>IFERROR(__xludf.DUMMYFUNCTION("""COMPUTED_VALUE"""),1.0)</f>
        <v>1</v>
      </c>
      <c r="U5406" s="4" t="str">
        <f>IFERROR(__xludf.DUMMYFUNCTION("""COMPUTED_VALUE"""),"null")</f>
        <v>null</v>
      </c>
      <c r="V5406" s="33">
        <f>IFERROR(__xludf.DUMMYFUNCTION("""COMPUTED_VALUE"""),0.5)</f>
        <v>0.5</v>
      </c>
      <c r="W5406" s="4" t="str">
        <f>IFERROR(__xludf.DUMMYFUNCTION("""COMPUTED_VALUE"""),"null")</f>
        <v>null</v>
      </c>
      <c r="X5406" s="33">
        <f>IFERROR(__xludf.DUMMYFUNCTION("""COMPUTED_VALUE"""),1.0)</f>
        <v>1</v>
      </c>
    </row>
    <row r="5407">
      <c r="K5407" s="4" t="str">
        <f>IFERROR(__xludf.DUMMYFUNCTION("""COMPUTED_VALUE"""),"MALUCOS POR PIZZA")</f>
        <v>MALUCOS POR PIZZA</v>
      </c>
      <c r="L5407" s="32">
        <f>IFERROR(__xludf.DUMMYFUNCTION("""COMPUTED_VALUE"""),2.0)</f>
        <v>2</v>
      </c>
      <c r="M5407" s="4" t="str">
        <f>IFERROR(__xludf.DUMMYFUNCTION("""COMPUTED_VALUE"""),"null")</f>
        <v>null</v>
      </c>
      <c r="N5407" s="33">
        <f>IFERROR(__xludf.DUMMYFUNCTION("""COMPUTED_VALUE"""),0.5)</f>
        <v>0.5</v>
      </c>
      <c r="O5407" s="4" t="str">
        <f>IFERROR(__xludf.DUMMYFUNCTION("""COMPUTED_VALUE"""),"Yooga")</f>
        <v>Yooga</v>
      </c>
      <c r="P5407" s="33">
        <f>IFERROR(__xludf.DUMMYFUNCTION("""COMPUTED_VALUE"""),0.5)</f>
        <v>0.5</v>
      </c>
      <c r="Q5407" s="4" t="str">
        <f>IFERROR(__xludf.DUMMYFUNCTION("""COMPUTED_VALUE"""),"Yooga")</f>
        <v>Yooga</v>
      </c>
      <c r="R5407" s="33">
        <f>IFERROR(__xludf.DUMMYFUNCTION("""COMPUTED_VALUE"""),0.5)</f>
        <v>0.5</v>
      </c>
      <c r="S5407" s="4" t="str">
        <f>IFERROR(__xludf.DUMMYFUNCTION("""COMPUTED_VALUE"""),"Yooga")</f>
        <v>Yooga</v>
      </c>
      <c r="T5407" s="33">
        <f>IFERROR(__xludf.DUMMYFUNCTION("""COMPUTED_VALUE"""),0.5)</f>
        <v>0.5</v>
      </c>
      <c r="U5407" s="4" t="str">
        <f>IFERROR(__xludf.DUMMYFUNCTION("""COMPUTED_VALUE"""),"Yooga")</f>
        <v>Yooga</v>
      </c>
      <c r="V5407" s="33">
        <f>IFERROR(__xludf.DUMMYFUNCTION("""COMPUTED_VALUE"""),0.5)</f>
        <v>0.5</v>
      </c>
      <c r="W5407" s="4" t="str">
        <f>IFERROR(__xludf.DUMMYFUNCTION("""COMPUTED_VALUE"""),"Yooga")</f>
        <v>Yooga</v>
      </c>
      <c r="X5407" s="33">
        <f>IFERROR(__xludf.DUMMYFUNCTION("""COMPUTED_VALUE"""),0.5)</f>
        <v>0.5</v>
      </c>
    </row>
    <row r="5408">
      <c r="K5408" s="4" t="str">
        <f>IFERROR(__xludf.DUMMYFUNCTION("""COMPUTED_VALUE"""),"SAKE SUSHI")</f>
        <v>SAKE SUSHI</v>
      </c>
      <c r="L5408" s="32">
        <f>IFERROR(__xludf.DUMMYFUNCTION("""COMPUTED_VALUE"""),2.0)</f>
        <v>2</v>
      </c>
      <c r="M5408" s="4" t="str">
        <f>IFERROR(__xludf.DUMMYFUNCTION("""COMPUTED_VALUE"""),"null")</f>
        <v>null</v>
      </c>
      <c r="N5408" s="33">
        <f>IFERROR(__xludf.DUMMYFUNCTION("""COMPUTED_VALUE"""),0.5)</f>
        <v>0.5</v>
      </c>
      <c r="O5408" s="4" t="str">
        <f>IFERROR(__xludf.DUMMYFUNCTION("""COMPUTED_VALUE"""),"Saipos Serviços De Software")</f>
        <v>Saipos Serviços De Software</v>
      </c>
      <c r="P5408" s="33">
        <f>IFERROR(__xludf.DUMMYFUNCTION("""COMPUTED_VALUE"""),0.5)</f>
        <v>0.5</v>
      </c>
      <c r="Q5408" s="4" t="str">
        <f>IFERROR(__xludf.DUMMYFUNCTION("""COMPUTED_VALUE"""),"Saipos Serviços De Software")</f>
        <v>Saipos Serviços De Software</v>
      </c>
      <c r="R5408" s="33">
        <f>IFERROR(__xludf.DUMMYFUNCTION("""COMPUTED_VALUE"""),0.5)</f>
        <v>0.5</v>
      </c>
      <c r="S5408" s="4" t="str">
        <f>IFERROR(__xludf.DUMMYFUNCTION("""COMPUTED_VALUE"""),"Saipos Serviços De Software")</f>
        <v>Saipos Serviços De Software</v>
      </c>
      <c r="T5408" s="33">
        <f>IFERROR(__xludf.DUMMYFUNCTION("""COMPUTED_VALUE"""),0.5)</f>
        <v>0.5</v>
      </c>
      <c r="U5408" s="4" t="str">
        <f>IFERROR(__xludf.DUMMYFUNCTION("""COMPUTED_VALUE"""),"null")</f>
        <v>null</v>
      </c>
      <c r="V5408" s="33">
        <f>IFERROR(__xludf.DUMMYFUNCTION("""COMPUTED_VALUE"""),1.0)</f>
        <v>1</v>
      </c>
      <c r="W5408" s="4" t="str">
        <f>IFERROR(__xludf.DUMMYFUNCTION("""COMPUTED_VALUE"""),"null")</f>
        <v>null</v>
      </c>
      <c r="X5408" s="33">
        <f>IFERROR(__xludf.DUMMYFUNCTION("""COMPUTED_VALUE"""),1.0)</f>
        <v>1</v>
      </c>
    </row>
    <row r="5409">
      <c r="K5409" s="4" t="str">
        <f>IFERROR(__xludf.DUMMYFUNCTION("""COMPUTED_VALUE"""),"KIFFA LANCHES")</f>
        <v>KIFFA LANCHES</v>
      </c>
      <c r="L5409" s="32">
        <f>IFERROR(__xludf.DUMMYFUNCTION("""COMPUTED_VALUE"""),2.0)</f>
        <v>2</v>
      </c>
      <c r="M5409" s="4" t="str">
        <f>IFERROR(__xludf.DUMMYFUNCTION("""COMPUTED_VALUE"""),"Eclética Tecnologia")</f>
        <v>Eclética Tecnologia</v>
      </c>
      <c r="N5409" s="33">
        <f>IFERROR(__xludf.DUMMYFUNCTION("""COMPUTED_VALUE"""),1.0)</f>
        <v>1</v>
      </c>
      <c r="O5409" s="4" t="str">
        <f>IFERROR(__xludf.DUMMYFUNCTION("""COMPUTED_VALUE"""),"Eclética Tecnologia")</f>
        <v>Eclética Tecnologia</v>
      </c>
      <c r="P5409" s="33">
        <f>IFERROR(__xludf.DUMMYFUNCTION("""COMPUTED_VALUE"""),1.0)</f>
        <v>1</v>
      </c>
      <c r="Q5409" s="4" t="str">
        <f>IFERROR(__xludf.DUMMYFUNCTION("""COMPUTED_VALUE"""),"Eclética Tecnologia")</f>
        <v>Eclética Tecnologia</v>
      </c>
      <c r="R5409" s="33">
        <f>IFERROR(__xludf.DUMMYFUNCTION("""COMPUTED_VALUE"""),1.0)</f>
        <v>1</v>
      </c>
      <c r="S5409" s="4" t="str">
        <f>IFERROR(__xludf.DUMMYFUNCTION("""COMPUTED_VALUE"""),"Eclética Tecnologia")</f>
        <v>Eclética Tecnologia</v>
      </c>
      <c r="T5409" s="33">
        <f>IFERROR(__xludf.DUMMYFUNCTION("""COMPUTED_VALUE"""),1.0)</f>
        <v>1</v>
      </c>
      <c r="U5409" s="4" t="str">
        <f>IFERROR(__xludf.DUMMYFUNCTION("""COMPUTED_VALUE"""),"Eclética Tecnologia")</f>
        <v>Eclética Tecnologia</v>
      </c>
      <c r="V5409" s="33">
        <f>IFERROR(__xludf.DUMMYFUNCTION("""COMPUTED_VALUE"""),1.0)</f>
        <v>1</v>
      </c>
      <c r="W5409" s="4" t="str">
        <f>IFERROR(__xludf.DUMMYFUNCTION("""COMPUTED_VALUE"""),"Eclética Tecnologia")</f>
        <v>Eclética Tecnologia</v>
      </c>
      <c r="X5409" s="33">
        <f>IFERROR(__xludf.DUMMYFUNCTION("""COMPUTED_VALUE"""),1.0)</f>
        <v>1</v>
      </c>
    </row>
    <row r="5410">
      <c r="K5410" s="4" t="str">
        <f>IFERROR(__xludf.DUMMYFUNCTION("""COMPUTED_VALUE"""),"HUMMM SALGADINHOS - PIRACICABA")</f>
        <v>HUMMM SALGADINHOS - PIRACICABA</v>
      </c>
      <c r="L5410" s="32">
        <f>IFERROR(__xludf.DUMMYFUNCTION("""COMPUTED_VALUE"""),2.0)</f>
        <v>2</v>
      </c>
      <c r="M5410" s="4" t="str">
        <f>IFERROR(__xludf.DUMMYFUNCTION("""COMPUTED_VALUE"""),"Cardápio Web")</f>
        <v>Cardápio Web</v>
      </c>
      <c r="N5410" s="33">
        <f>IFERROR(__xludf.DUMMYFUNCTION("""COMPUTED_VALUE"""),1.0)</f>
        <v>1</v>
      </c>
      <c r="O5410" s="4" t="str">
        <f>IFERROR(__xludf.DUMMYFUNCTION("""COMPUTED_VALUE"""),"Cardápio Web")</f>
        <v>Cardápio Web</v>
      </c>
      <c r="P5410" s="33">
        <f>IFERROR(__xludf.DUMMYFUNCTION("""COMPUTED_VALUE"""),1.0)</f>
        <v>1</v>
      </c>
      <c r="Q5410" s="4" t="str">
        <f>IFERROR(__xludf.DUMMYFUNCTION("""COMPUTED_VALUE"""),"null")</f>
        <v>null</v>
      </c>
      <c r="R5410" s="33">
        <f>IFERROR(__xludf.DUMMYFUNCTION("""COMPUTED_VALUE"""),0.5)</f>
        <v>0.5</v>
      </c>
      <c r="S5410" s="4" t="str">
        <f>IFERROR(__xludf.DUMMYFUNCTION("""COMPUTED_VALUE"""),"Cardápio Web")</f>
        <v>Cardápio Web</v>
      </c>
      <c r="T5410" s="33">
        <f>IFERROR(__xludf.DUMMYFUNCTION("""COMPUTED_VALUE"""),1.0)</f>
        <v>1</v>
      </c>
      <c r="U5410" s="4" t="str">
        <f>IFERROR(__xludf.DUMMYFUNCTION("""COMPUTED_VALUE"""),"Cardápio Web")</f>
        <v>Cardápio Web</v>
      </c>
      <c r="V5410" s="33">
        <f>IFERROR(__xludf.DUMMYFUNCTION("""COMPUTED_VALUE"""),0.5)</f>
        <v>0.5</v>
      </c>
      <c r="W5410" s="4" t="str">
        <f>IFERROR(__xludf.DUMMYFUNCTION("""COMPUTED_VALUE"""),"Cardápio Web")</f>
        <v>Cardápio Web</v>
      </c>
      <c r="X5410" s="33">
        <f>IFERROR(__xludf.DUMMYFUNCTION("""COMPUTED_VALUE"""),1.0)</f>
        <v>1</v>
      </c>
    </row>
    <row r="5411">
      <c r="K5411" s="4" t="str">
        <f>IFERROR(__xludf.DUMMYFUNCTION("""COMPUTED_VALUE"""),"O CHAPEIRO")</f>
        <v>O CHAPEIRO</v>
      </c>
      <c r="L5411" s="32">
        <f>IFERROR(__xludf.DUMMYFUNCTION("""COMPUTED_VALUE"""),2.0)</f>
        <v>2</v>
      </c>
      <c r="M5411" s="4" t="str">
        <f>IFERROR(__xludf.DUMMYFUNCTION("""COMPUTED_VALUE"""),"Instadelivery")</f>
        <v>Instadelivery</v>
      </c>
      <c r="N5411" s="33">
        <f>IFERROR(__xludf.DUMMYFUNCTION("""COMPUTED_VALUE"""),0.5)</f>
        <v>0.5</v>
      </c>
      <c r="O5411" s="4" t="str">
        <f>IFERROR(__xludf.DUMMYFUNCTION("""COMPUTED_VALUE"""),"Instadelivery")</f>
        <v>Instadelivery</v>
      </c>
      <c r="P5411" s="33">
        <f>IFERROR(__xludf.DUMMYFUNCTION("""COMPUTED_VALUE"""),1.0)</f>
        <v>1</v>
      </c>
      <c r="Q5411" s="4" t="str">
        <f>IFERROR(__xludf.DUMMYFUNCTION("""COMPUTED_VALUE"""),"null")</f>
        <v>null</v>
      </c>
      <c r="R5411" s="33">
        <f>IFERROR(__xludf.DUMMYFUNCTION("""COMPUTED_VALUE"""),1.0)</f>
        <v>1</v>
      </c>
      <c r="S5411" s="4" t="str">
        <f>IFERROR(__xludf.DUMMYFUNCTION("""COMPUTED_VALUE"""),"Instadelivery")</f>
        <v>Instadelivery</v>
      </c>
      <c r="T5411" s="33">
        <f>IFERROR(__xludf.DUMMYFUNCTION("""COMPUTED_VALUE"""),0.5)</f>
        <v>0.5</v>
      </c>
      <c r="U5411" s="4" t="str">
        <f>IFERROR(__xludf.DUMMYFUNCTION("""COMPUTED_VALUE"""),"Instadelivery")</f>
        <v>Instadelivery</v>
      </c>
      <c r="V5411" s="33">
        <f>IFERROR(__xludf.DUMMYFUNCTION("""COMPUTED_VALUE"""),0.5)</f>
        <v>0.5</v>
      </c>
      <c r="W5411" s="4" t="str">
        <f>IFERROR(__xludf.DUMMYFUNCTION("""COMPUTED_VALUE"""),"null")</f>
        <v>null</v>
      </c>
      <c r="X5411" s="33">
        <f>IFERROR(__xludf.DUMMYFUNCTION("""COMPUTED_VALUE"""),1.0)</f>
        <v>1</v>
      </c>
    </row>
    <row r="5412">
      <c r="K5412" s="4" t="str">
        <f>IFERROR(__xludf.DUMMYFUNCTION("""COMPUTED_VALUE"""),"BROKADOS JAPONES")</f>
        <v>BROKADOS JAPONES</v>
      </c>
      <c r="L5412" s="32">
        <f>IFERROR(__xludf.DUMMYFUNCTION("""COMPUTED_VALUE"""),2.0)</f>
        <v>2</v>
      </c>
      <c r="M5412" s="4" t="str">
        <f>IFERROR(__xludf.DUMMYFUNCTION("""COMPUTED_VALUE"""),"null")</f>
        <v>null</v>
      </c>
      <c r="N5412" s="33">
        <f>IFERROR(__xludf.DUMMYFUNCTION("""COMPUTED_VALUE"""),0.5)</f>
        <v>0.5</v>
      </c>
      <c r="O5412" s="4" t="str">
        <f>IFERROR(__xludf.DUMMYFUNCTION("""COMPUTED_VALUE"""),"null")</f>
        <v>null</v>
      </c>
      <c r="P5412" s="33">
        <f>IFERROR(__xludf.DUMMYFUNCTION("""COMPUTED_VALUE"""),1.0)</f>
        <v>1</v>
      </c>
      <c r="Q5412" s="4" t="str">
        <f>IFERROR(__xludf.DUMMYFUNCTION("""COMPUTED_VALUE"""),"null")</f>
        <v>null</v>
      </c>
      <c r="R5412" s="33">
        <f>IFERROR(__xludf.DUMMYFUNCTION("""COMPUTED_VALUE"""),0.5)</f>
        <v>0.5</v>
      </c>
      <c r="S5412" s="4" t="str">
        <f>IFERROR(__xludf.DUMMYFUNCTION("""COMPUTED_VALUE"""),"Cardápio Web")</f>
        <v>Cardápio Web</v>
      </c>
      <c r="T5412" s="33">
        <f>IFERROR(__xludf.DUMMYFUNCTION("""COMPUTED_VALUE"""),1.0)</f>
        <v>1</v>
      </c>
      <c r="U5412" s="4" t="str">
        <f>IFERROR(__xludf.DUMMYFUNCTION("""COMPUTED_VALUE"""),"Cardápio Web")</f>
        <v>Cardápio Web</v>
      </c>
      <c r="V5412" s="33">
        <f>IFERROR(__xludf.DUMMYFUNCTION("""COMPUTED_VALUE"""),1.0)</f>
        <v>1</v>
      </c>
      <c r="W5412" s="4" t="str">
        <f>IFERROR(__xludf.DUMMYFUNCTION("""COMPUTED_VALUE"""),"Cardápio Web")</f>
        <v>Cardápio Web</v>
      </c>
      <c r="X5412" s="33">
        <f>IFERROR(__xludf.DUMMYFUNCTION("""COMPUTED_VALUE"""),0.5)</f>
        <v>0.5</v>
      </c>
    </row>
    <row r="5413">
      <c r="K5413" s="4" t="str">
        <f>IFERROR(__xludf.DUMMYFUNCTION("""COMPUTED_VALUE"""),"LARICAS")</f>
        <v>LARICAS</v>
      </c>
      <c r="L5413" s="32">
        <f>IFERROR(__xludf.DUMMYFUNCTION("""COMPUTED_VALUE"""),2.0)</f>
        <v>2</v>
      </c>
      <c r="M5413" s="4" t="str">
        <f>IFERROR(__xludf.DUMMYFUNCTION("""COMPUTED_VALUE"""),"Saipos Serviços De Software")</f>
        <v>Saipos Serviços De Software</v>
      </c>
      <c r="N5413" s="33">
        <f>IFERROR(__xludf.DUMMYFUNCTION("""COMPUTED_VALUE"""),0.5)</f>
        <v>0.5</v>
      </c>
      <c r="O5413" s="4" t="str">
        <f>IFERROR(__xludf.DUMMYFUNCTION("""COMPUTED_VALUE"""),"Saipos Serviços De Software")</f>
        <v>Saipos Serviços De Software</v>
      </c>
      <c r="P5413" s="33">
        <f>IFERROR(__xludf.DUMMYFUNCTION("""COMPUTED_VALUE"""),0.5)</f>
        <v>0.5</v>
      </c>
      <c r="Q5413" s="4" t="str">
        <f>IFERROR(__xludf.DUMMYFUNCTION("""COMPUTED_VALUE"""),"Saipos Serviços De Software")</f>
        <v>Saipos Serviços De Software</v>
      </c>
      <c r="R5413" s="33">
        <f>IFERROR(__xludf.DUMMYFUNCTION("""COMPUTED_VALUE"""),0.5)</f>
        <v>0.5</v>
      </c>
      <c r="S5413" s="4" t="str">
        <f>IFERROR(__xludf.DUMMYFUNCTION("""COMPUTED_VALUE"""),"Saipos Serviços De Software")</f>
        <v>Saipos Serviços De Software</v>
      </c>
      <c r="T5413" s="33">
        <f>IFERROR(__xludf.DUMMYFUNCTION("""COMPUTED_VALUE"""),0.5)</f>
        <v>0.5</v>
      </c>
      <c r="U5413" s="4" t="str">
        <f>IFERROR(__xludf.DUMMYFUNCTION("""COMPUTED_VALUE"""),"Saipos Serviços De Software")</f>
        <v>Saipos Serviços De Software</v>
      </c>
      <c r="V5413" s="33">
        <f>IFERROR(__xludf.DUMMYFUNCTION("""COMPUTED_VALUE"""),0.5)</f>
        <v>0.5</v>
      </c>
      <c r="W5413" s="4" t="str">
        <f>IFERROR(__xludf.DUMMYFUNCTION("""COMPUTED_VALUE"""),"Saipos Serviços De Software")</f>
        <v>Saipos Serviços De Software</v>
      </c>
      <c r="X5413" s="33">
        <f>IFERROR(__xludf.DUMMYFUNCTION("""COMPUTED_VALUE"""),0.5)</f>
        <v>0.5</v>
      </c>
    </row>
    <row r="5414">
      <c r="K5414" s="4" t="str">
        <f>IFERROR(__xludf.DUMMYFUNCTION("""COMPUTED_VALUE"""),"BURGUER SHOW")</f>
        <v>BURGUER SHOW</v>
      </c>
      <c r="L5414" s="32">
        <f>IFERROR(__xludf.DUMMYFUNCTION("""COMPUTED_VALUE"""),2.0)</f>
        <v>2</v>
      </c>
      <c r="M5414" s="4" t="str">
        <f>IFERROR(__xludf.DUMMYFUNCTION("""COMPUTED_VALUE"""),"null")</f>
        <v>null</v>
      </c>
      <c r="N5414" s="33">
        <f>IFERROR(__xludf.DUMMYFUNCTION("""COMPUTED_VALUE"""),0.5)</f>
        <v>0.5</v>
      </c>
      <c r="O5414" s="4" t="str">
        <f>IFERROR(__xludf.DUMMYFUNCTION("""COMPUTED_VALUE"""),"null")</f>
        <v>null</v>
      </c>
      <c r="P5414" s="33">
        <f>IFERROR(__xludf.DUMMYFUNCTION("""COMPUTED_VALUE"""),0.5)</f>
        <v>0.5</v>
      </c>
      <c r="Q5414" s="4" t="str">
        <f>IFERROR(__xludf.DUMMYFUNCTION("""COMPUTED_VALUE"""),"null")</f>
        <v>null</v>
      </c>
      <c r="R5414" s="33">
        <f>IFERROR(__xludf.DUMMYFUNCTION("""COMPUTED_VALUE"""),0.5)</f>
        <v>0.5</v>
      </c>
      <c r="S5414" s="4" t="str">
        <f>IFERROR(__xludf.DUMMYFUNCTION("""COMPUTED_VALUE"""),"Saipos Serviços De Software")</f>
        <v>Saipos Serviços De Software</v>
      </c>
      <c r="T5414" s="33">
        <f>IFERROR(__xludf.DUMMYFUNCTION("""COMPUTED_VALUE"""),0.5)</f>
        <v>0.5</v>
      </c>
      <c r="U5414" s="4" t="str">
        <f>IFERROR(__xludf.DUMMYFUNCTION("""COMPUTED_VALUE"""),"Saipos Serviços De Software")</f>
        <v>Saipos Serviços De Software</v>
      </c>
      <c r="V5414" s="33">
        <f>IFERROR(__xludf.DUMMYFUNCTION("""COMPUTED_VALUE"""),0.5)</f>
        <v>0.5</v>
      </c>
      <c r="W5414" s="4" t="str">
        <f>IFERROR(__xludf.DUMMYFUNCTION("""COMPUTED_VALUE"""),"Saipos Serviços De Software")</f>
        <v>Saipos Serviços De Software</v>
      </c>
      <c r="X5414" s="33">
        <f>IFERROR(__xludf.DUMMYFUNCTION("""COMPUTED_VALUE"""),0.5)</f>
        <v>0.5</v>
      </c>
    </row>
    <row r="5415">
      <c r="K5415" s="4" t="str">
        <f>IFERROR(__xludf.DUMMYFUNCTION("""COMPUTED_VALUE"""),"ESTACAO DO HAMBURGUER")</f>
        <v>ESTACAO DO HAMBURGUER</v>
      </c>
      <c r="L5415" s="32">
        <f>IFERROR(__xludf.DUMMYFUNCTION("""COMPUTED_VALUE"""),2.0)</f>
        <v>2</v>
      </c>
      <c r="M5415" s="4" t="str">
        <f>IFERROR(__xludf.DUMMYFUNCTION("""COMPUTED_VALUE"""),"Anota Ai Solucoes Digitais S/a")</f>
        <v>Anota Ai Solucoes Digitais S/a</v>
      </c>
      <c r="N5415" s="33">
        <f>IFERROR(__xludf.DUMMYFUNCTION("""COMPUTED_VALUE"""),0.5)</f>
        <v>0.5</v>
      </c>
      <c r="O5415" s="4" t="str">
        <f>IFERROR(__xludf.DUMMYFUNCTION("""COMPUTED_VALUE"""),"Anota Ai Solucoes Digitais S/a")</f>
        <v>Anota Ai Solucoes Digitais S/a</v>
      </c>
      <c r="P5415" s="33">
        <f>IFERROR(__xludf.DUMMYFUNCTION("""COMPUTED_VALUE"""),0.5)</f>
        <v>0.5</v>
      </c>
      <c r="Q5415" s="4" t="str">
        <f>IFERROR(__xludf.DUMMYFUNCTION("""COMPUTED_VALUE"""),"Anota Ai Solucoes Digitais S/a")</f>
        <v>Anota Ai Solucoes Digitais S/a</v>
      </c>
      <c r="R5415" s="33">
        <f>IFERROR(__xludf.DUMMYFUNCTION("""COMPUTED_VALUE"""),0.5)</f>
        <v>0.5</v>
      </c>
      <c r="S5415" s="4" t="str">
        <f>IFERROR(__xludf.DUMMYFUNCTION("""COMPUTED_VALUE"""),"null")</f>
        <v>null</v>
      </c>
      <c r="T5415" s="33">
        <f>IFERROR(__xludf.DUMMYFUNCTION("""COMPUTED_VALUE"""),1.0)</f>
        <v>1</v>
      </c>
      <c r="U5415" s="4" t="str">
        <f>IFERROR(__xludf.DUMMYFUNCTION("""COMPUTED_VALUE"""),"null")</f>
        <v>null</v>
      </c>
      <c r="V5415" s="33">
        <f>IFERROR(__xludf.DUMMYFUNCTION("""COMPUTED_VALUE"""),0.5)</f>
        <v>0.5</v>
      </c>
      <c r="W5415" s="4" t="str">
        <f>IFERROR(__xludf.DUMMYFUNCTION("""COMPUTED_VALUE"""),"null")</f>
        <v>null</v>
      </c>
      <c r="X5415" s="33">
        <f>IFERROR(__xludf.DUMMYFUNCTION("""COMPUTED_VALUE"""),0.5)</f>
        <v>0.5</v>
      </c>
    </row>
    <row r="5416">
      <c r="K5416" s="4" t="str">
        <f>IFERROR(__xludf.DUMMYFUNCTION("""COMPUTED_VALUE"""),"ONEGAI SUSHI")</f>
        <v>ONEGAI SUSHI</v>
      </c>
      <c r="L5416" s="32">
        <f>IFERROR(__xludf.DUMMYFUNCTION("""COMPUTED_VALUE"""),2.0)</f>
        <v>2</v>
      </c>
      <c r="M5416" s="4" t="str">
        <f>IFERROR(__xludf.DUMMYFUNCTION("""COMPUTED_VALUE"""),"Menew - Linx")</f>
        <v>Menew - Linx</v>
      </c>
      <c r="N5416" s="33">
        <f>IFERROR(__xludf.DUMMYFUNCTION("""COMPUTED_VALUE"""),0.5)</f>
        <v>0.5</v>
      </c>
      <c r="O5416" s="4" t="str">
        <f>IFERROR(__xludf.DUMMYFUNCTION("""COMPUTED_VALUE"""),"Menew - Linx")</f>
        <v>Menew - Linx</v>
      </c>
      <c r="P5416" s="33">
        <f>IFERROR(__xludf.DUMMYFUNCTION("""COMPUTED_VALUE"""),0.5)</f>
        <v>0.5</v>
      </c>
      <c r="Q5416" s="4" t="str">
        <f>IFERROR(__xludf.DUMMYFUNCTION("""COMPUTED_VALUE"""),"Menew - Linx")</f>
        <v>Menew - Linx</v>
      </c>
      <c r="R5416" s="33">
        <f>IFERROR(__xludf.DUMMYFUNCTION("""COMPUTED_VALUE"""),0.5)</f>
        <v>0.5</v>
      </c>
      <c r="S5416" s="4" t="str">
        <f>IFERROR(__xludf.DUMMYFUNCTION("""COMPUTED_VALUE"""),"Menew - Linx")</f>
        <v>Menew - Linx</v>
      </c>
      <c r="T5416" s="33">
        <f>IFERROR(__xludf.DUMMYFUNCTION("""COMPUTED_VALUE"""),0.5)</f>
        <v>0.5</v>
      </c>
      <c r="U5416" s="4" t="str">
        <f>IFERROR(__xludf.DUMMYFUNCTION("""COMPUTED_VALUE"""),"Menew - Linx")</f>
        <v>Menew - Linx</v>
      </c>
      <c r="V5416" s="33">
        <f>IFERROR(__xludf.DUMMYFUNCTION("""COMPUTED_VALUE"""),0.5)</f>
        <v>0.5</v>
      </c>
      <c r="W5416" s="4" t="str">
        <f>IFERROR(__xludf.DUMMYFUNCTION("""COMPUTED_VALUE"""),"Menew - Linx")</f>
        <v>Menew - Linx</v>
      </c>
      <c r="X5416" s="33">
        <f>IFERROR(__xludf.DUMMYFUNCTION("""COMPUTED_VALUE"""),0.5)</f>
        <v>0.5</v>
      </c>
    </row>
    <row r="5417">
      <c r="K5417" s="4" t="str">
        <f>IFERROR(__xludf.DUMMYFUNCTION("""COMPUTED_VALUE"""),"IMPERIO DO XIS GAUCHO")</f>
        <v>IMPERIO DO XIS GAUCHO</v>
      </c>
      <c r="L5417" s="32">
        <f>IFERROR(__xludf.DUMMYFUNCTION("""COMPUTED_VALUE"""),2.0)</f>
        <v>2</v>
      </c>
      <c r="M5417" s="4" t="str">
        <f>IFERROR(__xludf.DUMMYFUNCTION("""COMPUTED_VALUE"""),"null")</f>
        <v>null</v>
      </c>
      <c r="N5417" s="33">
        <f>IFERROR(__xludf.DUMMYFUNCTION("""COMPUTED_VALUE"""),1.0)</f>
        <v>1</v>
      </c>
      <c r="O5417" s="4" t="str">
        <f>IFERROR(__xludf.DUMMYFUNCTION("""COMPUTED_VALUE"""),"null")</f>
        <v>null</v>
      </c>
      <c r="P5417" s="33">
        <f>IFERROR(__xludf.DUMMYFUNCTION("""COMPUTED_VALUE"""),1.0)</f>
        <v>1</v>
      </c>
      <c r="Q5417" s="4" t="str">
        <f>IFERROR(__xludf.DUMMYFUNCTION("""COMPUTED_VALUE"""),"null")</f>
        <v>null</v>
      </c>
      <c r="R5417" s="33">
        <f>IFERROR(__xludf.DUMMYFUNCTION("""COMPUTED_VALUE"""),1.0)</f>
        <v>1</v>
      </c>
      <c r="S5417" s="4" t="str">
        <f>IFERROR(__xludf.DUMMYFUNCTION("""COMPUTED_VALUE"""),"Saipos Serviços De Software")</f>
        <v>Saipos Serviços De Software</v>
      </c>
      <c r="T5417" s="33">
        <f>IFERROR(__xludf.DUMMYFUNCTION("""COMPUTED_VALUE"""),0.5)</f>
        <v>0.5</v>
      </c>
      <c r="U5417" s="4" t="str">
        <f>IFERROR(__xludf.DUMMYFUNCTION("""COMPUTED_VALUE"""),"Saipos Serviços De Software")</f>
        <v>Saipos Serviços De Software</v>
      </c>
      <c r="V5417" s="33">
        <f>IFERROR(__xludf.DUMMYFUNCTION("""COMPUTED_VALUE"""),1.0)</f>
        <v>1</v>
      </c>
      <c r="W5417" s="4" t="str">
        <f>IFERROR(__xludf.DUMMYFUNCTION("""COMPUTED_VALUE"""),"Saipos Serviços De Software")</f>
        <v>Saipos Serviços De Software</v>
      </c>
      <c r="X5417" s="33">
        <f>IFERROR(__xludf.DUMMYFUNCTION("""COMPUTED_VALUE"""),1.0)</f>
        <v>1</v>
      </c>
    </row>
    <row r="5418">
      <c r="K5418" s="4" t="str">
        <f>IFERROR(__xludf.DUMMYFUNCTION("""COMPUTED_VALUE"""),"VITORIA DOCERIA")</f>
        <v>VITORIA DOCERIA</v>
      </c>
      <c r="L5418" s="32">
        <f>IFERROR(__xludf.DUMMYFUNCTION("""COMPUTED_VALUE"""),2.0)</f>
        <v>2</v>
      </c>
      <c r="M5418" s="4" t="str">
        <f>IFERROR(__xludf.DUMMYFUNCTION("""COMPUTED_VALUE"""),"null")</f>
        <v>null</v>
      </c>
      <c r="N5418" s="33">
        <f>IFERROR(__xludf.DUMMYFUNCTION("""COMPUTED_VALUE"""),0.5)</f>
        <v>0.5</v>
      </c>
      <c r="O5418" s="4" t="str">
        <f>IFERROR(__xludf.DUMMYFUNCTION("""COMPUTED_VALUE"""),"null")</f>
        <v>null</v>
      </c>
      <c r="P5418" s="33">
        <f>IFERROR(__xludf.DUMMYFUNCTION("""COMPUTED_VALUE"""),0.5)</f>
        <v>0.5</v>
      </c>
      <c r="Q5418" s="4" t="str">
        <f>IFERROR(__xludf.DUMMYFUNCTION("""COMPUTED_VALUE"""),"null")</f>
        <v>null</v>
      </c>
      <c r="R5418" s="33">
        <f>IFERROR(__xludf.DUMMYFUNCTION("""COMPUTED_VALUE"""),0.5)</f>
        <v>0.5</v>
      </c>
      <c r="S5418" s="4" t="str">
        <f>IFERROR(__xludf.DUMMYFUNCTION("""COMPUTED_VALUE"""),"null")</f>
        <v>null</v>
      </c>
      <c r="T5418" s="33">
        <f>IFERROR(__xludf.DUMMYFUNCTION("""COMPUTED_VALUE"""),0.5)</f>
        <v>0.5</v>
      </c>
      <c r="U5418" s="4" t="str">
        <f>IFERROR(__xludf.DUMMYFUNCTION("""COMPUTED_VALUE"""),"Instadelivery")</f>
        <v>Instadelivery</v>
      </c>
      <c r="V5418" s="33">
        <f>IFERROR(__xludf.DUMMYFUNCTION("""COMPUTED_VALUE"""),0.5)</f>
        <v>0.5</v>
      </c>
      <c r="W5418" s="4" t="str">
        <f>IFERROR(__xludf.DUMMYFUNCTION("""COMPUTED_VALUE"""),"Instadelivery")</f>
        <v>Instadelivery</v>
      </c>
      <c r="X5418" s="33">
        <f>IFERROR(__xludf.DUMMYFUNCTION("""COMPUTED_VALUE"""),0.5)</f>
        <v>0.5</v>
      </c>
    </row>
    <row r="5419">
      <c r="K5419" s="4" t="str">
        <f>IFERROR(__xludf.DUMMYFUNCTION("""COMPUTED_VALUE"""),"XERIFE HAMBURGUERIA")</f>
        <v>XERIFE HAMBURGUERIA</v>
      </c>
      <c r="L5419" s="32">
        <f>IFERROR(__xludf.DUMMYFUNCTION("""COMPUTED_VALUE"""),2.0)</f>
        <v>2</v>
      </c>
      <c r="M5419" s="4" t="str">
        <f>IFERROR(__xludf.DUMMYFUNCTION("""COMPUTED_VALUE"""),"null")</f>
        <v>null</v>
      </c>
      <c r="N5419" s="33">
        <f>IFERROR(__xludf.DUMMYFUNCTION("""COMPUTED_VALUE"""),1.0)</f>
        <v>1</v>
      </c>
      <c r="O5419" s="4" t="str">
        <f>IFERROR(__xludf.DUMMYFUNCTION("""COMPUTED_VALUE"""),"null")</f>
        <v>null</v>
      </c>
      <c r="P5419" s="33">
        <f>IFERROR(__xludf.DUMMYFUNCTION("""COMPUTED_VALUE"""),1.0)</f>
        <v>1</v>
      </c>
      <c r="Q5419" s="4" t="str">
        <f>IFERROR(__xludf.DUMMYFUNCTION("""COMPUTED_VALUE"""),"null")</f>
        <v>null</v>
      </c>
      <c r="R5419" s="33">
        <f>IFERROR(__xludf.DUMMYFUNCTION("""COMPUTED_VALUE"""),1.0)</f>
        <v>1</v>
      </c>
      <c r="S5419" s="4" t="str">
        <f>IFERROR(__xludf.DUMMYFUNCTION("""COMPUTED_VALUE"""),"null")</f>
        <v>null</v>
      </c>
      <c r="T5419" s="33">
        <f>IFERROR(__xludf.DUMMYFUNCTION("""COMPUTED_VALUE"""),1.0)</f>
        <v>1</v>
      </c>
      <c r="U5419" s="4" t="str">
        <f>IFERROR(__xludf.DUMMYFUNCTION("""COMPUTED_VALUE"""),"Instadelivery")</f>
        <v>Instadelivery</v>
      </c>
      <c r="V5419" s="33">
        <f>IFERROR(__xludf.DUMMYFUNCTION("""COMPUTED_VALUE"""),0.5)</f>
        <v>0.5</v>
      </c>
      <c r="W5419" s="4" t="str">
        <f>IFERROR(__xludf.DUMMYFUNCTION("""COMPUTED_VALUE"""),"null")</f>
        <v>null</v>
      </c>
      <c r="X5419" s="33">
        <f>IFERROR(__xludf.DUMMYFUNCTION("""COMPUTED_VALUE"""),0.5)</f>
        <v>0.5</v>
      </c>
    </row>
    <row r="5420">
      <c r="K5420" s="4" t="str">
        <f>IFERROR(__xludf.DUMMYFUNCTION("""COMPUTED_VALUE"""),"ACAI DO JOTA")</f>
        <v>ACAI DO JOTA</v>
      </c>
      <c r="L5420" s="32">
        <f>IFERROR(__xludf.DUMMYFUNCTION("""COMPUTED_VALUE"""),2.0)</f>
        <v>2</v>
      </c>
      <c r="M5420" s="4" t="str">
        <f>IFERROR(__xludf.DUMMYFUNCTION("""COMPUTED_VALUE"""),"null")</f>
        <v>null</v>
      </c>
      <c r="N5420" s="33">
        <f>IFERROR(__xludf.DUMMYFUNCTION("""COMPUTED_VALUE"""),0.5)</f>
        <v>0.5</v>
      </c>
      <c r="O5420" s="4" t="str">
        <f>IFERROR(__xludf.DUMMYFUNCTION("""COMPUTED_VALUE"""),"null")</f>
        <v>null</v>
      </c>
      <c r="P5420" s="33">
        <f>IFERROR(__xludf.DUMMYFUNCTION("""COMPUTED_VALUE"""),0.5)</f>
        <v>0.5</v>
      </c>
      <c r="Q5420" s="4" t="str">
        <f>IFERROR(__xludf.DUMMYFUNCTION("""COMPUTED_VALUE"""),"Brendi")</f>
        <v>Brendi</v>
      </c>
      <c r="R5420" s="33">
        <f>IFERROR(__xludf.DUMMYFUNCTION("""COMPUTED_VALUE"""),0.5)</f>
        <v>0.5</v>
      </c>
      <c r="S5420" s="4" t="str">
        <f>IFERROR(__xludf.DUMMYFUNCTION("""COMPUTED_VALUE"""),"Brendi")</f>
        <v>Brendi</v>
      </c>
      <c r="T5420" s="33">
        <f>IFERROR(__xludf.DUMMYFUNCTION("""COMPUTED_VALUE"""),0.5)</f>
        <v>0.5</v>
      </c>
      <c r="U5420" s="4" t="str">
        <f>IFERROR(__xludf.DUMMYFUNCTION("""COMPUTED_VALUE"""),"Brendi")</f>
        <v>Brendi</v>
      </c>
      <c r="V5420" s="33">
        <f>IFERROR(__xludf.DUMMYFUNCTION("""COMPUTED_VALUE"""),0.5)</f>
        <v>0.5</v>
      </c>
      <c r="W5420" s="4" t="str">
        <f>IFERROR(__xludf.DUMMYFUNCTION("""COMPUTED_VALUE"""),"null")</f>
        <v>null</v>
      </c>
      <c r="X5420" s="33">
        <f>IFERROR(__xludf.DUMMYFUNCTION("""COMPUTED_VALUE"""),0.5)</f>
        <v>0.5</v>
      </c>
    </row>
    <row r="5421">
      <c r="K5421" s="4" t="str">
        <f>IFERROR(__xludf.DUMMYFUNCTION("""COMPUTED_VALUE"""),"ADEGA JL")</f>
        <v>ADEGA JL</v>
      </c>
      <c r="L5421" s="32">
        <f>IFERROR(__xludf.DUMMYFUNCTION("""COMPUTED_VALUE"""),2.0)</f>
        <v>2</v>
      </c>
      <c r="M5421" s="4" t="str">
        <f>IFERROR(__xludf.DUMMYFUNCTION("""COMPUTED_VALUE"""),"null")</f>
        <v>null</v>
      </c>
      <c r="N5421" s="33">
        <f>IFERROR(__xludf.DUMMYFUNCTION("""COMPUTED_VALUE"""),0.5)</f>
        <v>0.5</v>
      </c>
      <c r="O5421" s="4" t="str">
        <f>IFERROR(__xludf.DUMMYFUNCTION("""COMPUTED_VALUE"""),"null")</f>
        <v>null</v>
      </c>
      <c r="P5421" s="33">
        <f>IFERROR(__xludf.DUMMYFUNCTION("""COMPUTED_VALUE"""),0.5)</f>
        <v>0.5</v>
      </c>
      <c r="Q5421" s="4" t="str">
        <f>IFERROR(__xludf.DUMMYFUNCTION("""COMPUTED_VALUE"""),"N/A (Not found)")</f>
        <v>N/A (Not found)</v>
      </c>
      <c r="R5421" s="33">
        <f>IFERROR(__xludf.DUMMYFUNCTION("""COMPUTED_VALUE"""),0.5)</f>
        <v>0.5</v>
      </c>
      <c r="S5421" s="4" t="str">
        <f>IFERROR(__xludf.DUMMYFUNCTION("""COMPUTED_VALUE"""),"N/A (Not found)")</f>
        <v>N/A (Not found)</v>
      </c>
      <c r="T5421" s="33">
        <f>IFERROR(__xludf.DUMMYFUNCTION("""COMPUTED_VALUE"""),0.5)</f>
        <v>0.5</v>
      </c>
      <c r="U5421" s="4" t="str">
        <f>IFERROR(__xludf.DUMMYFUNCTION("""COMPUTED_VALUE"""),"N/A (Not found)")</f>
        <v>N/A (Not found)</v>
      </c>
      <c r="V5421" s="33">
        <f>IFERROR(__xludf.DUMMYFUNCTION("""COMPUTED_VALUE"""),0.5)</f>
        <v>0.5</v>
      </c>
      <c r="W5421" s="4" t="str">
        <f>IFERROR(__xludf.DUMMYFUNCTION("""COMPUTED_VALUE"""),"N/A (Not found)")</f>
        <v>N/A (Not found)</v>
      </c>
      <c r="X5421" s="33">
        <f>IFERROR(__xludf.DUMMYFUNCTION("""COMPUTED_VALUE"""),0.5)</f>
        <v>0.5</v>
      </c>
    </row>
    <row r="5422">
      <c r="K5422" s="4" t="str">
        <f>IFERROR(__xludf.DUMMYFUNCTION("""COMPUTED_VALUE"""),"ABA TEMAKERIA SUSHI")</f>
        <v>ABA TEMAKERIA SUSHI</v>
      </c>
      <c r="L5422" s="32">
        <f>IFERROR(__xludf.DUMMYFUNCTION("""COMPUTED_VALUE"""),2.0)</f>
        <v>2</v>
      </c>
      <c r="M5422" s="4" t="str">
        <f>IFERROR(__xludf.DUMMYFUNCTION("""COMPUTED_VALUE"""),"Mp Multipedidos")</f>
        <v>Mp Multipedidos</v>
      </c>
      <c r="N5422" s="33">
        <f>IFERROR(__xludf.DUMMYFUNCTION("""COMPUTED_VALUE"""),1.0)</f>
        <v>1</v>
      </c>
      <c r="O5422" s="4" t="str">
        <f>IFERROR(__xludf.DUMMYFUNCTION("""COMPUTED_VALUE"""),"Mp Multipedidos")</f>
        <v>Mp Multipedidos</v>
      </c>
      <c r="P5422" s="33">
        <f>IFERROR(__xludf.DUMMYFUNCTION("""COMPUTED_VALUE"""),1.0)</f>
        <v>1</v>
      </c>
      <c r="Q5422" s="4" t="str">
        <f>IFERROR(__xludf.DUMMYFUNCTION("""COMPUTED_VALUE"""),"Mp Multipedidos")</f>
        <v>Mp Multipedidos</v>
      </c>
      <c r="R5422" s="33">
        <f>IFERROR(__xludf.DUMMYFUNCTION("""COMPUTED_VALUE"""),1.0)</f>
        <v>1</v>
      </c>
      <c r="S5422" s="4" t="str">
        <f>IFERROR(__xludf.DUMMYFUNCTION("""COMPUTED_VALUE"""),"Mp Multipedidos")</f>
        <v>Mp Multipedidos</v>
      </c>
      <c r="T5422" s="33">
        <f>IFERROR(__xludf.DUMMYFUNCTION("""COMPUTED_VALUE"""),1.0)</f>
        <v>1</v>
      </c>
      <c r="U5422" s="4" t="str">
        <f>IFERROR(__xludf.DUMMYFUNCTION("""COMPUTED_VALUE"""),"Mp Multipedidos")</f>
        <v>Mp Multipedidos</v>
      </c>
      <c r="V5422" s="33">
        <f>IFERROR(__xludf.DUMMYFUNCTION("""COMPUTED_VALUE"""),1.0)</f>
        <v>1</v>
      </c>
      <c r="W5422" s="4" t="str">
        <f>IFERROR(__xludf.DUMMYFUNCTION("""COMPUTED_VALUE"""),"Mp Multipedidos")</f>
        <v>Mp Multipedidos</v>
      </c>
      <c r="X5422" s="33">
        <f>IFERROR(__xludf.DUMMYFUNCTION("""COMPUTED_VALUE"""),1.0)</f>
        <v>1</v>
      </c>
    </row>
    <row r="5423">
      <c r="K5423" s="4" t="str">
        <f>IFERROR(__xludf.DUMMYFUNCTION("""COMPUTED_VALUE"""),"FARMACIA BARBOSA")</f>
        <v>FARMACIA BARBOSA</v>
      </c>
      <c r="L5423" s="32">
        <f>IFERROR(__xludf.DUMMYFUNCTION("""COMPUTED_VALUE"""),2.0)</f>
        <v>2</v>
      </c>
      <c r="M5423" s="4" t="str">
        <f>IFERROR(__xludf.DUMMYFUNCTION("""COMPUTED_VALUE"""),"N/A (Not found)")</f>
        <v>N/A (Not found)</v>
      </c>
      <c r="N5423" s="33">
        <f>IFERROR(__xludf.DUMMYFUNCTION("""COMPUTED_VALUE"""),1.0)</f>
        <v>1</v>
      </c>
      <c r="O5423" s="4" t="str">
        <f>IFERROR(__xludf.DUMMYFUNCTION("""COMPUTED_VALUE"""),"N/A (Not found)")</f>
        <v>N/A (Not found)</v>
      </c>
      <c r="P5423" s="33">
        <f>IFERROR(__xludf.DUMMYFUNCTION("""COMPUTED_VALUE"""),1.0)</f>
        <v>1</v>
      </c>
      <c r="Q5423" s="4" t="str">
        <f>IFERROR(__xludf.DUMMYFUNCTION("""COMPUTED_VALUE"""),"N/A (Not found)")</f>
        <v>N/A (Not found)</v>
      </c>
      <c r="R5423" s="33">
        <f>IFERROR(__xludf.DUMMYFUNCTION("""COMPUTED_VALUE"""),1.0)</f>
        <v>1</v>
      </c>
      <c r="S5423" s="4" t="str">
        <f>IFERROR(__xludf.DUMMYFUNCTION("""COMPUTED_VALUE"""),"N/A (Not found)")</f>
        <v>N/A (Not found)</v>
      </c>
      <c r="T5423" s="33">
        <f>IFERROR(__xludf.DUMMYFUNCTION("""COMPUTED_VALUE"""),1.0)</f>
        <v>1</v>
      </c>
      <c r="U5423" s="4" t="str">
        <f>IFERROR(__xludf.DUMMYFUNCTION("""COMPUTED_VALUE"""),"N/A (Not found)")</f>
        <v>N/A (Not found)</v>
      </c>
      <c r="V5423" s="33">
        <f>IFERROR(__xludf.DUMMYFUNCTION("""COMPUTED_VALUE"""),1.0)</f>
        <v>1</v>
      </c>
      <c r="W5423" s="4" t="str">
        <f>IFERROR(__xludf.DUMMYFUNCTION("""COMPUTED_VALUE"""),"N/A (Not found)")</f>
        <v>N/A (Not found)</v>
      </c>
      <c r="X5423" s="33">
        <f>IFERROR(__xludf.DUMMYFUNCTION("""COMPUTED_VALUE"""),1.0)</f>
        <v>1</v>
      </c>
    </row>
    <row r="5424">
      <c r="K5424" s="4" t="str">
        <f>IFERROR(__xludf.DUMMYFUNCTION("""COMPUTED_VALUE"""),"RAIZES RESTAURANTE E PIZZARIA")</f>
        <v>RAIZES RESTAURANTE E PIZZARIA</v>
      </c>
      <c r="L5424" s="32">
        <f>IFERROR(__xludf.DUMMYFUNCTION("""COMPUTED_VALUE"""),2.0)</f>
        <v>2</v>
      </c>
      <c r="M5424" s="4" t="str">
        <f>IFERROR(__xludf.DUMMYFUNCTION("""COMPUTED_VALUE"""),"Kcms")</f>
        <v>Kcms</v>
      </c>
      <c r="N5424" s="33">
        <f>IFERROR(__xludf.DUMMYFUNCTION("""COMPUTED_VALUE"""),0.5)</f>
        <v>0.5</v>
      </c>
      <c r="O5424" s="4" t="str">
        <f>IFERROR(__xludf.DUMMYFUNCTION("""COMPUTED_VALUE"""),"Kcms")</f>
        <v>Kcms</v>
      </c>
      <c r="P5424" s="33">
        <f>IFERROR(__xludf.DUMMYFUNCTION("""COMPUTED_VALUE"""),0.5)</f>
        <v>0.5</v>
      </c>
      <c r="Q5424" s="4" t="str">
        <f>IFERROR(__xludf.DUMMYFUNCTION("""COMPUTED_VALUE"""),"Kcms")</f>
        <v>Kcms</v>
      </c>
      <c r="R5424" s="33">
        <f>IFERROR(__xludf.DUMMYFUNCTION("""COMPUTED_VALUE"""),0.5)</f>
        <v>0.5</v>
      </c>
      <c r="S5424" s="4" t="str">
        <f>IFERROR(__xludf.DUMMYFUNCTION("""COMPUTED_VALUE"""),"Kcms")</f>
        <v>Kcms</v>
      </c>
      <c r="T5424" s="33">
        <f>IFERROR(__xludf.DUMMYFUNCTION("""COMPUTED_VALUE"""),0.5)</f>
        <v>0.5</v>
      </c>
      <c r="U5424" s="4" t="str">
        <f>IFERROR(__xludf.DUMMYFUNCTION("""COMPUTED_VALUE"""),"Kcms")</f>
        <v>Kcms</v>
      </c>
      <c r="V5424" s="33">
        <f>IFERROR(__xludf.DUMMYFUNCTION("""COMPUTED_VALUE"""),0.5)</f>
        <v>0.5</v>
      </c>
      <c r="W5424" s="4" t="str">
        <f>IFERROR(__xludf.DUMMYFUNCTION("""COMPUTED_VALUE"""),"Kcms")</f>
        <v>Kcms</v>
      </c>
      <c r="X5424" s="33">
        <f>IFERROR(__xludf.DUMMYFUNCTION("""COMPUTED_VALUE"""),0.5)</f>
        <v>0.5</v>
      </c>
    </row>
    <row r="5425">
      <c r="K5425" s="4" t="str">
        <f>IFERROR(__xludf.DUMMYFUNCTION("""COMPUTED_VALUE"""),"CAIPIRAO CHURRASCO HAMBURGUER")</f>
        <v>CAIPIRAO CHURRASCO HAMBURGUER</v>
      </c>
      <c r="L5425" s="32">
        <f>IFERROR(__xludf.DUMMYFUNCTION("""COMPUTED_VALUE"""),2.0)</f>
        <v>2</v>
      </c>
      <c r="M5425" s="4" t="str">
        <f>IFERROR(__xludf.DUMMYFUNCTION("""COMPUTED_VALUE"""),"Consumer Soluções Em Tecnologia Ltda")</f>
        <v>Consumer Soluções Em Tecnologia Ltda</v>
      </c>
      <c r="N5425" s="33">
        <f>IFERROR(__xludf.DUMMYFUNCTION("""COMPUTED_VALUE"""),0.5)</f>
        <v>0.5</v>
      </c>
      <c r="O5425" s="4" t="str">
        <f>IFERROR(__xludf.DUMMYFUNCTION("""COMPUTED_VALUE"""),"Consumer Soluções Em Tecnologia Ltda")</f>
        <v>Consumer Soluções Em Tecnologia Ltda</v>
      </c>
      <c r="P5425" s="33">
        <f>IFERROR(__xludf.DUMMYFUNCTION("""COMPUTED_VALUE"""),1.0)</f>
        <v>1</v>
      </c>
      <c r="Q5425" s="4" t="str">
        <f>IFERROR(__xludf.DUMMYFUNCTION("""COMPUTED_VALUE"""),"null")</f>
        <v>null</v>
      </c>
      <c r="R5425" s="33">
        <f>IFERROR(__xludf.DUMMYFUNCTION("""COMPUTED_VALUE"""),0.5)</f>
        <v>0.5</v>
      </c>
      <c r="S5425" s="4" t="str">
        <f>IFERROR(__xludf.DUMMYFUNCTION("""COMPUTED_VALUE"""),"null")</f>
        <v>null</v>
      </c>
      <c r="T5425" s="33">
        <f>IFERROR(__xludf.DUMMYFUNCTION("""COMPUTED_VALUE"""),0.5)</f>
        <v>0.5</v>
      </c>
      <c r="U5425" s="4" t="str">
        <f>IFERROR(__xludf.DUMMYFUNCTION("""COMPUTED_VALUE"""),"null")</f>
        <v>null</v>
      </c>
      <c r="V5425" s="33">
        <f>IFERROR(__xludf.DUMMYFUNCTION("""COMPUTED_VALUE"""),0.5)</f>
        <v>0.5</v>
      </c>
      <c r="W5425" s="4" t="str">
        <f>IFERROR(__xludf.DUMMYFUNCTION("""COMPUTED_VALUE"""),"null")</f>
        <v>null</v>
      </c>
      <c r="X5425" s="33">
        <f>IFERROR(__xludf.DUMMYFUNCTION("""COMPUTED_VALUE"""),0.5)</f>
        <v>0.5</v>
      </c>
    </row>
    <row r="5426">
      <c r="K5426" s="4" t="str">
        <f>IFERROR(__xludf.DUMMYFUNCTION("""COMPUTED_VALUE"""),"BOULEVARD PIZZA")</f>
        <v>BOULEVARD PIZZA</v>
      </c>
      <c r="L5426" s="32">
        <f>IFERROR(__xludf.DUMMYFUNCTION("""COMPUTED_VALUE"""),2.0)</f>
        <v>2</v>
      </c>
      <c r="M5426" s="4" t="str">
        <f>IFERROR(__xludf.DUMMYFUNCTION("""COMPUTED_VALUE"""),"Saipos Serviços De Software")</f>
        <v>Saipos Serviços De Software</v>
      </c>
      <c r="N5426" s="33">
        <f>IFERROR(__xludf.DUMMYFUNCTION("""COMPUTED_VALUE"""),1.0)</f>
        <v>1</v>
      </c>
      <c r="O5426" s="4" t="str">
        <f>IFERROR(__xludf.DUMMYFUNCTION("""COMPUTED_VALUE"""),"Saipos Serviços De Software")</f>
        <v>Saipos Serviços De Software</v>
      </c>
      <c r="P5426" s="33">
        <f>IFERROR(__xludf.DUMMYFUNCTION("""COMPUTED_VALUE"""),1.0)</f>
        <v>1</v>
      </c>
      <c r="Q5426" s="4" t="str">
        <f>IFERROR(__xludf.DUMMYFUNCTION("""COMPUTED_VALUE"""),"Saipos Serviços De Software")</f>
        <v>Saipos Serviços De Software</v>
      </c>
      <c r="R5426" s="33">
        <f>IFERROR(__xludf.DUMMYFUNCTION("""COMPUTED_VALUE"""),1.0)</f>
        <v>1</v>
      </c>
      <c r="S5426" s="4" t="str">
        <f>IFERROR(__xludf.DUMMYFUNCTION("""COMPUTED_VALUE"""),"Saipos Serviços De Software")</f>
        <v>Saipos Serviços De Software</v>
      </c>
      <c r="T5426" s="33">
        <f>IFERROR(__xludf.DUMMYFUNCTION("""COMPUTED_VALUE"""),1.0)</f>
        <v>1</v>
      </c>
      <c r="U5426" s="4" t="str">
        <f>IFERROR(__xludf.DUMMYFUNCTION("""COMPUTED_VALUE"""),"Saipos Serviços De Software")</f>
        <v>Saipos Serviços De Software</v>
      </c>
      <c r="V5426" s="33">
        <f>IFERROR(__xludf.DUMMYFUNCTION("""COMPUTED_VALUE"""),1.0)</f>
        <v>1</v>
      </c>
      <c r="W5426" s="4" t="str">
        <f>IFERROR(__xludf.DUMMYFUNCTION("""COMPUTED_VALUE"""),"Saipos Serviços De Software")</f>
        <v>Saipos Serviços De Software</v>
      </c>
      <c r="X5426" s="33">
        <f>IFERROR(__xludf.DUMMYFUNCTION("""COMPUTED_VALUE"""),1.0)</f>
        <v>1</v>
      </c>
    </row>
    <row r="5427">
      <c r="K5427" s="4" t="str">
        <f>IFERROR(__xludf.DUMMYFUNCTION("""COMPUTED_VALUE"""),"BROTHERS IN LAW BURGER")</f>
        <v>BROTHERS IN LAW BURGER</v>
      </c>
      <c r="L5427" s="32">
        <f>IFERROR(__xludf.DUMMYFUNCTION("""COMPUTED_VALUE"""),2.0)</f>
        <v>2</v>
      </c>
      <c r="M5427" s="4" t="str">
        <f>IFERROR(__xludf.DUMMYFUNCTION("""COMPUTED_VALUE"""),"null")</f>
        <v>null</v>
      </c>
      <c r="N5427" s="33">
        <f>IFERROR(__xludf.DUMMYFUNCTION("""COMPUTED_VALUE"""),1.0)</f>
        <v>1</v>
      </c>
      <c r="O5427" s="4" t="str">
        <f>IFERROR(__xludf.DUMMYFUNCTION("""COMPUTED_VALUE"""),"Brendi")</f>
        <v>Brendi</v>
      </c>
      <c r="P5427" s="33">
        <f>IFERROR(__xludf.DUMMYFUNCTION("""COMPUTED_VALUE"""),0.5)</f>
        <v>0.5</v>
      </c>
      <c r="Q5427" s="4" t="str">
        <f>IFERROR(__xludf.DUMMYFUNCTION("""COMPUTED_VALUE"""),"Brendi")</f>
        <v>Brendi</v>
      </c>
      <c r="R5427" s="33">
        <f>IFERROR(__xludf.DUMMYFUNCTION("""COMPUTED_VALUE"""),0.5)</f>
        <v>0.5</v>
      </c>
      <c r="S5427" s="4" t="str">
        <f>IFERROR(__xludf.DUMMYFUNCTION("""COMPUTED_VALUE"""),"Brendi")</f>
        <v>Brendi</v>
      </c>
      <c r="T5427" s="33">
        <f>IFERROR(__xludf.DUMMYFUNCTION("""COMPUTED_VALUE"""),0.5)</f>
        <v>0.5</v>
      </c>
      <c r="U5427" s="4" t="str">
        <f>IFERROR(__xludf.DUMMYFUNCTION("""COMPUTED_VALUE"""),"Brendi")</f>
        <v>Brendi</v>
      </c>
      <c r="V5427" s="33">
        <f>IFERROR(__xludf.DUMMYFUNCTION("""COMPUTED_VALUE"""),0.5)</f>
        <v>0.5</v>
      </c>
      <c r="W5427" s="4" t="str">
        <f>IFERROR(__xludf.DUMMYFUNCTION("""COMPUTED_VALUE"""),"Brendi")</f>
        <v>Brendi</v>
      </c>
      <c r="X5427" s="33">
        <f>IFERROR(__xludf.DUMMYFUNCTION("""COMPUTED_VALUE"""),0.5)</f>
        <v>0.5</v>
      </c>
    </row>
    <row r="5428">
      <c r="K5428" s="4" t="str">
        <f>IFERROR(__xludf.DUMMYFUNCTION("""COMPUTED_VALUE"""),"DROGAO MAIS")</f>
        <v>DROGAO MAIS</v>
      </c>
      <c r="L5428" s="32">
        <f>IFERROR(__xludf.DUMMYFUNCTION("""COMPUTED_VALUE"""),2.0)</f>
        <v>2</v>
      </c>
      <c r="M5428" s="4" t="str">
        <f>IFERROR(__xludf.DUMMYFUNCTION("""COMPUTED_VALUE"""),"N/A (Not found)")</f>
        <v>N/A (Not found)</v>
      </c>
      <c r="N5428" s="33">
        <f>IFERROR(__xludf.DUMMYFUNCTION("""COMPUTED_VALUE"""),1.0)</f>
        <v>1</v>
      </c>
      <c r="O5428" s="4" t="str">
        <f>IFERROR(__xludf.DUMMYFUNCTION("""COMPUTED_VALUE"""),"N/A (Not found)")</f>
        <v>N/A (Not found)</v>
      </c>
      <c r="P5428" s="33">
        <f>IFERROR(__xludf.DUMMYFUNCTION("""COMPUTED_VALUE"""),1.0)</f>
        <v>1</v>
      </c>
      <c r="Q5428" s="4" t="str">
        <f>IFERROR(__xludf.DUMMYFUNCTION("""COMPUTED_VALUE"""),"N/A (Not found)")</f>
        <v>N/A (Not found)</v>
      </c>
      <c r="R5428" s="33">
        <f>IFERROR(__xludf.DUMMYFUNCTION("""COMPUTED_VALUE"""),1.0)</f>
        <v>1</v>
      </c>
      <c r="S5428" s="4" t="str">
        <f>IFERROR(__xludf.DUMMYFUNCTION("""COMPUTED_VALUE"""),"N/A (Not found)")</f>
        <v>N/A (Not found)</v>
      </c>
      <c r="T5428" s="33">
        <f>IFERROR(__xludf.DUMMYFUNCTION("""COMPUTED_VALUE"""),1.0)</f>
        <v>1</v>
      </c>
      <c r="U5428" s="4" t="str">
        <f>IFERROR(__xludf.DUMMYFUNCTION("""COMPUTED_VALUE"""),"N/A (Not found)")</f>
        <v>N/A (Not found)</v>
      </c>
      <c r="V5428" s="33">
        <f>IFERROR(__xludf.DUMMYFUNCTION("""COMPUTED_VALUE"""),1.0)</f>
        <v>1</v>
      </c>
      <c r="W5428" s="4" t="str">
        <f>IFERROR(__xludf.DUMMYFUNCTION("""COMPUTED_VALUE"""),"N/A (Not found)")</f>
        <v>N/A (Not found)</v>
      </c>
      <c r="X5428" s="33">
        <f>IFERROR(__xludf.DUMMYFUNCTION("""COMPUTED_VALUE"""),1.0)</f>
        <v>1</v>
      </c>
    </row>
    <row r="5429">
      <c r="K5429" s="4" t="str">
        <f>IFERROR(__xludf.DUMMYFUNCTION("""COMPUTED_VALUE"""),"MIX BURGUER")</f>
        <v>MIX BURGUER</v>
      </c>
      <c r="L5429" s="32">
        <f>IFERROR(__xludf.DUMMYFUNCTION("""COMPUTED_VALUE"""),2.0)</f>
        <v>2</v>
      </c>
      <c r="M5429" s="4" t="str">
        <f>IFERROR(__xludf.DUMMYFUNCTION("""COMPUTED_VALUE"""),"Netcontroll Xmenu")</f>
        <v>Netcontroll Xmenu</v>
      </c>
      <c r="N5429" s="33">
        <f>IFERROR(__xludf.DUMMYFUNCTION("""COMPUTED_VALUE"""),0.5)</f>
        <v>0.5</v>
      </c>
      <c r="O5429" s="4" t="str">
        <f>IFERROR(__xludf.DUMMYFUNCTION("""COMPUTED_VALUE"""),"Netcontroll Xmenu")</f>
        <v>Netcontroll Xmenu</v>
      </c>
      <c r="P5429" s="33">
        <f>IFERROR(__xludf.DUMMYFUNCTION("""COMPUTED_VALUE"""),0.5)</f>
        <v>0.5</v>
      </c>
      <c r="Q5429" s="4" t="str">
        <f>IFERROR(__xludf.DUMMYFUNCTION("""COMPUTED_VALUE"""),"Netcontroll Xmenu")</f>
        <v>Netcontroll Xmenu</v>
      </c>
      <c r="R5429" s="33">
        <f>IFERROR(__xludf.DUMMYFUNCTION("""COMPUTED_VALUE"""),0.5)</f>
        <v>0.5</v>
      </c>
      <c r="S5429" s="4" t="str">
        <f>IFERROR(__xludf.DUMMYFUNCTION("""COMPUTED_VALUE"""),"Netcontroll Xmenu")</f>
        <v>Netcontroll Xmenu</v>
      </c>
      <c r="T5429" s="33">
        <f>IFERROR(__xludf.DUMMYFUNCTION("""COMPUTED_VALUE"""),0.5)</f>
        <v>0.5</v>
      </c>
      <c r="U5429" s="4" t="str">
        <f>IFERROR(__xludf.DUMMYFUNCTION("""COMPUTED_VALUE"""),"Netcontroll Xmenu")</f>
        <v>Netcontroll Xmenu</v>
      </c>
      <c r="V5429" s="33">
        <f>IFERROR(__xludf.DUMMYFUNCTION("""COMPUTED_VALUE"""),0.5)</f>
        <v>0.5</v>
      </c>
      <c r="W5429" s="4" t="str">
        <f>IFERROR(__xludf.DUMMYFUNCTION("""COMPUTED_VALUE"""),"Netcontroll Xmenu")</f>
        <v>Netcontroll Xmenu</v>
      </c>
      <c r="X5429" s="33">
        <f>IFERROR(__xludf.DUMMYFUNCTION("""COMPUTED_VALUE"""),0.5)</f>
        <v>0.5</v>
      </c>
    </row>
    <row r="5430">
      <c r="K5430" s="4" t="str">
        <f>IFERROR(__xludf.DUMMYFUNCTION("""COMPUTED_VALUE"""),"TEPPANYAKI SUSHI")</f>
        <v>TEPPANYAKI SUSHI</v>
      </c>
      <c r="L5430" s="32">
        <f>IFERROR(__xludf.DUMMYFUNCTION("""COMPUTED_VALUE"""),2.0)</f>
        <v>2</v>
      </c>
      <c r="M5430" s="4" t="str">
        <f>IFERROR(__xludf.DUMMYFUNCTION("""COMPUTED_VALUE"""),"null")</f>
        <v>null</v>
      </c>
      <c r="N5430" s="33">
        <f>IFERROR(__xludf.DUMMYFUNCTION("""COMPUTED_VALUE"""),0.5)</f>
        <v>0.5</v>
      </c>
      <c r="O5430" s="4" t="str">
        <f>IFERROR(__xludf.DUMMYFUNCTION("""COMPUTED_VALUE"""),"L&amp;f Tecnologia Sistemas E Comercio Ltda")</f>
        <v>L&amp;f Tecnologia Sistemas E Comercio Ltda</v>
      </c>
      <c r="P5430" s="33">
        <f>IFERROR(__xludf.DUMMYFUNCTION("""COMPUTED_VALUE"""),0.5)</f>
        <v>0.5</v>
      </c>
      <c r="Q5430" s="4" t="str">
        <f>IFERROR(__xludf.DUMMYFUNCTION("""COMPUTED_VALUE"""),"null")</f>
        <v>null</v>
      </c>
      <c r="R5430" s="33">
        <f>IFERROR(__xludf.DUMMYFUNCTION("""COMPUTED_VALUE"""),0.5)</f>
        <v>0.5</v>
      </c>
      <c r="S5430" s="4" t="str">
        <f>IFERROR(__xludf.DUMMYFUNCTION("""COMPUTED_VALUE"""),"null")</f>
        <v>null</v>
      </c>
      <c r="T5430" s="33">
        <f>IFERROR(__xludf.DUMMYFUNCTION("""COMPUTED_VALUE"""),1.0)</f>
        <v>1</v>
      </c>
      <c r="U5430" s="4" t="str">
        <f>IFERROR(__xludf.DUMMYFUNCTION("""COMPUTED_VALUE"""),"null")</f>
        <v>null</v>
      </c>
      <c r="V5430" s="33">
        <f>IFERROR(__xludf.DUMMYFUNCTION("""COMPUTED_VALUE"""),1.0)</f>
        <v>1</v>
      </c>
      <c r="W5430" s="4" t="str">
        <f>IFERROR(__xludf.DUMMYFUNCTION("""COMPUTED_VALUE"""),"null")</f>
        <v>null</v>
      </c>
      <c r="X5430" s="33">
        <f>IFERROR(__xludf.DUMMYFUNCTION("""COMPUTED_VALUE"""),1.0)</f>
        <v>1</v>
      </c>
    </row>
    <row r="5431">
      <c r="K5431" s="4" t="str">
        <f>IFERROR(__xludf.DUMMYFUNCTION("""COMPUTED_VALUE"""),"DARUMAKI - COMIDA JAPONESA")</f>
        <v>DARUMAKI - COMIDA JAPONESA</v>
      </c>
      <c r="L5431" s="32">
        <f>IFERROR(__xludf.DUMMYFUNCTION("""COMPUTED_VALUE"""),2.0)</f>
        <v>2</v>
      </c>
      <c r="M5431" s="4" t="str">
        <f>IFERROR(__xludf.DUMMYFUNCTION("""COMPUTED_VALUE"""),"null")</f>
        <v>null</v>
      </c>
      <c r="N5431" s="33">
        <f>IFERROR(__xludf.DUMMYFUNCTION("""COMPUTED_VALUE"""),0.5)</f>
        <v>0.5</v>
      </c>
      <c r="O5431" s="4" t="str">
        <f>IFERROR(__xludf.DUMMYFUNCTION("""COMPUTED_VALUE"""),"Appchef")</f>
        <v>Appchef</v>
      </c>
      <c r="P5431" s="33">
        <f>IFERROR(__xludf.DUMMYFUNCTION("""COMPUTED_VALUE"""),1.0)</f>
        <v>1</v>
      </c>
      <c r="Q5431" s="4" t="str">
        <f>IFERROR(__xludf.DUMMYFUNCTION("""COMPUTED_VALUE"""),"null")</f>
        <v>null</v>
      </c>
      <c r="R5431" s="33">
        <f>IFERROR(__xludf.DUMMYFUNCTION("""COMPUTED_VALUE"""),0.5)</f>
        <v>0.5</v>
      </c>
      <c r="S5431" s="4" t="str">
        <f>IFERROR(__xludf.DUMMYFUNCTION("""COMPUTED_VALUE"""),"Appchef")</f>
        <v>Appchef</v>
      </c>
      <c r="T5431" s="33">
        <f>IFERROR(__xludf.DUMMYFUNCTION("""COMPUTED_VALUE"""),1.0)</f>
        <v>1</v>
      </c>
      <c r="U5431" s="4" t="str">
        <f>IFERROR(__xludf.DUMMYFUNCTION("""COMPUTED_VALUE"""),"Appchef")</f>
        <v>Appchef</v>
      </c>
      <c r="V5431" s="33">
        <f>IFERROR(__xludf.DUMMYFUNCTION("""COMPUTED_VALUE"""),1.0)</f>
        <v>1</v>
      </c>
      <c r="W5431" s="4" t="str">
        <f>IFERROR(__xludf.DUMMYFUNCTION("""COMPUTED_VALUE"""),"Appchef")</f>
        <v>Appchef</v>
      </c>
      <c r="X5431" s="33">
        <f>IFERROR(__xludf.DUMMYFUNCTION("""COMPUTED_VALUE"""),1.0)</f>
        <v>1</v>
      </c>
    </row>
    <row r="5432">
      <c r="K5432" s="4" t="str">
        <f>IFERROR(__xludf.DUMMYFUNCTION("""COMPUTED_VALUE"""),"BOLD BURGER - HAMBURGUER ARTESANAL")</f>
        <v>BOLD BURGER - HAMBURGUER ARTESANAL</v>
      </c>
      <c r="L5432" s="32">
        <f>IFERROR(__xludf.DUMMYFUNCTION("""COMPUTED_VALUE"""),2.0)</f>
        <v>2</v>
      </c>
      <c r="M5432" s="4" t="str">
        <f>IFERROR(__xludf.DUMMYFUNCTION("""COMPUTED_VALUE"""),"Brendi")</f>
        <v>Brendi</v>
      </c>
      <c r="N5432" s="33">
        <f>IFERROR(__xludf.DUMMYFUNCTION("""COMPUTED_VALUE"""),0.5)</f>
        <v>0.5</v>
      </c>
      <c r="O5432" s="4" t="str">
        <f>IFERROR(__xludf.DUMMYFUNCTION("""COMPUTED_VALUE"""),"Brendi")</f>
        <v>Brendi</v>
      </c>
      <c r="P5432" s="33">
        <f>IFERROR(__xludf.DUMMYFUNCTION("""COMPUTED_VALUE"""),0.5)</f>
        <v>0.5</v>
      </c>
      <c r="Q5432" s="4" t="str">
        <f>IFERROR(__xludf.DUMMYFUNCTION("""COMPUTED_VALUE"""),"Brendi")</f>
        <v>Brendi</v>
      </c>
      <c r="R5432" s="33">
        <f>IFERROR(__xludf.DUMMYFUNCTION("""COMPUTED_VALUE"""),0.5)</f>
        <v>0.5</v>
      </c>
      <c r="S5432" s="4" t="str">
        <f>IFERROR(__xludf.DUMMYFUNCTION("""COMPUTED_VALUE"""),"null")</f>
        <v>null</v>
      </c>
      <c r="T5432" s="33">
        <f>IFERROR(__xludf.DUMMYFUNCTION("""COMPUTED_VALUE"""),0.5)</f>
        <v>0.5</v>
      </c>
      <c r="U5432" s="4" t="str">
        <f>IFERROR(__xludf.DUMMYFUNCTION("""COMPUTED_VALUE"""),"null")</f>
        <v>null</v>
      </c>
      <c r="V5432" s="33">
        <f>IFERROR(__xludf.DUMMYFUNCTION("""COMPUTED_VALUE"""),0.5)</f>
        <v>0.5</v>
      </c>
      <c r="W5432" s="4" t="str">
        <f>IFERROR(__xludf.DUMMYFUNCTION("""COMPUTED_VALUE"""),"null")</f>
        <v>null</v>
      </c>
      <c r="X5432" s="33">
        <f>IFERROR(__xludf.DUMMYFUNCTION("""COMPUTED_VALUE"""),0.5)</f>
        <v>0.5</v>
      </c>
    </row>
    <row r="5433">
      <c r="K5433" s="4" t="str">
        <f>IFERROR(__xludf.DUMMYFUNCTION("""COMPUTED_VALUE"""),"MAX ACAI")</f>
        <v>MAX ACAI</v>
      </c>
      <c r="L5433" s="32">
        <f>IFERROR(__xludf.DUMMYFUNCTION("""COMPUTED_VALUE"""),2.0)</f>
        <v>2</v>
      </c>
      <c r="M5433" s="4" t="str">
        <f>IFERROR(__xludf.DUMMYFUNCTION("""COMPUTED_VALUE"""),"Consumer Soluções Em Tecnologia Ltda")</f>
        <v>Consumer Soluções Em Tecnologia Ltda</v>
      </c>
      <c r="N5433" s="33">
        <f>IFERROR(__xludf.DUMMYFUNCTION("""COMPUTED_VALUE"""),0.5)</f>
        <v>0.5</v>
      </c>
      <c r="O5433" s="4" t="str">
        <f>IFERROR(__xludf.DUMMYFUNCTION("""COMPUTED_VALUE"""),"Consumer Soluções Em Tecnologia Ltda")</f>
        <v>Consumer Soluções Em Tecnologia Ltda</v>
      </c>
      <c r="P5433" s="33">
        <f>IFERROR(__xludf.DUMMYFUNCTION("""COMPUTED_VALUE"""),0.5)</f>
        <v>0.5</v>
      </c>
      <c r="Q5433" s="4" t="str">
        <f>IFERROR(__xludf.DUMMYFUNCTION("""COMPUTED_VALUE"""),"Consumer Soluções Em Tecnologia Ltda")</f>
        <v>Consumer Soluções Em Tecnologia Ltda</v>
      </c>
      <c r="R5433" s="33">
        <f>IFERROR(__xludf.DUMMYFUNCTION("""COMPUTED_VALUE"""),0.5)</f>
        <v>0.5</v>
      </c>
      <c r="S5433" s="4" t="str">
        <f>IFERROR(__xludf.DUMMYFUNCTION("""COMPUTED_VALUE"""),"Consumer Soluções Em Tecnologia Ltda")</f>
        <v>Consumer Soluções Em Tecnologia Ltda</v>
      </c>
      <c r="T5433" s="33">
        <f>IFERROR(__xludf.DUMMYFUNCTION("""COMPUTED_VALUE"""),0.5)</f>
        <v>0.5</v>
      </c>
      <c r="U5433" s="4" t="str">
        <f>IFERROR(__xludf.DUMMYFUNCTION("""COMPUTED_VALUE"""),"Consumer Soluções Em Tecnologia Ltda")</f>
        <v>Consumer Soluções Em Tecnologia Ltda</v>
      </c>
      <c r="V5433" s="33">
        <f>IFERROR(__xludf.DUMMYFUNCTION("""COMPUTED_VALUE"""),0.5)</f>
        <v>0.5</v>
      </c>
      <c r="W5433" s="4" t="str">
        <f>IFERROR(__xludf.DUMMYFUNCTION("""COMPUTED_VALUE"""),"Consumer Soluções Em Tecnologia Ltda")</f>
        <v>Consumer Soluções Em Tecnologia Ltda</v>
      </c>
      <c r="X5433" s="33">
        <f>IFERROR(__xludf.DUMMYFUNCTION("""COMPUTED_VALUE"""),0.5)</f>
        <v>0.5</v>
      </c>
    </row>
    <row r="5434">
      <c r="K5434" s="4" t="str">
        <f>IFERROR(__xludf.DUMMYFUNCTION("""COMPUTED_VALUE"""),"SAGRADO BURGER")</f>
        <v>SAGRADO BURGER</v>
      </c>
      <c r="L5434" s="32">
        <f>IFERROR(__xludf.DUMMYFUNCTION("""COMPUTED_VALUE"""),2.0)</f>
        <v>2</v>
      </c>
      <c r="M5434" s="4" t="str">
        <f>IFERROR(__xludf.DUMMYFUNCTION("""COMPUTED_VALUE"""),"Consumer Soluções Em Tecnologia Ltda")</f>
        <v>Consumer Soluções Em Tecnologia Ltda</v>
      </c>
      <c r="N5434" s="33">
        <f>IFERROR(__xludf.DUMMYFUNCTION("""COMPUTED_VALUE"""),0.5)</f>
        <v>0.5</v>
      </c>
      <c r="O5434" s="4" t="str">
        <f>IFERROR(__xludf.DUMMYFUNCTION("""COMPUTED_VALUE"""),"Consumer Soluções Em Tecnologia Ltda")</f>
        <v>Consumer Soluções Em Tecnologia Ltda</v>
      </c>
      <c r="P5434" s="33">
        <f>IFERROR(__xludf.DUMMYFUNCTION("""COMPUTED_VALUE"""),0.5)</f>
        <v>0.5</v>
      </c>
      <c r="Q5434" s="4" t="str">
        <f>IFERROR(__xludf.DUMMYFUNCTION("""COMPUTED_VALUE"""),"Consumer Soluções Em Tecnologia Ltda")</f>
        <v>Consumer Soluções Em Tecnologia Ltda</v>
      </c>
      <c r="R5434" s="33">
        <f>IFERROR(__xludf.DUMMYFUNCTION("""COMPUTED_VALUE"""),0.5)</f>
        <v>0.5</v>
      </c>
      <c r="S5434" s="4" t="str">
        <f>IFERROR(__xludf.DUMMYFUNCTION("""COMPUTED_VALUE"""),"Consumer Soluções Em Tecnologia Ltda")</f>
        <v>Consumer Soluções Em Tecnologia Ltda</v>
      </c>
      <c r="T5434" s="33">
        <f>IFERROR(__xludf.DUMMYFUNCTION("""COMPUTED_VALUE"""),0.5)</f>
        <v>0.5</v>
      </c>
      <c r="U5434" s="4" t="str">
        <f>IFERROR(__xludf.DUMMYFUNCTION("""COMPUTED_VALUE"""),"Consumer Soluções Em Tecnologia Ltda")</f>
        <v>Consumer Soluções Em Tecnologia Ltda</v>
      </c>
      <c r="V5434" s="33">
        <f>IFERROR(__xludf.DUMMYFUNCTION("""COMPUTED_VALUE"""),0.5)</f>
        <v>0.5</v>
      </c>
      <c r="W5434" s="4" t="str">
        <f>IFERROR(__xludf.DUMMYFUNCTION("""COMPUTED_VALUE"""),"Consumer Soluções Em Tecnologia Ltda")</f>
        <v>Consumer Soluções Em Tecnologia Ltda</v>
      </c>
      <c r="X5434" s="33">
        <f>IFERROR(__xludf.DUMMYFUNCTION("""COMPUTED_VALUE"""),0.5)</f>
        <v>0.5</v>
      </c>
    </row>
    <row r="5435">
      <c r="K5435" s="4" t="str">
        <f>IFERROR(__xludf.DUMMYFUNCTION("""COMPUTED_VALUE"""),"PIT STOP")</f>
        <v>PIT STOP</v>
      </c>
      <c r="L5435" s="32">
        <f>IFERROR(__xludf.DUMMYFUNCTION("""COMPUTED_VALUE"""),2.0)</f>
        <v>2</v>
      </c>
      <c r="M5435" s="4" t="str">
        <f>IFERROR(__xludf.DUMMYFUNCTION("""COMPUTED_VALUE"""),"Instadelivery")</f>
        <v>Instadelivery</v>
      </c>
      <c r="N5435" s="33">
        <f>IFERROR(__xludf.DUMMYFUNCTION("""COMPUTED_VALUE"""),0.5)</f>
        <v>0.5</v>
      </c>
      <c r="O5435" s="4" t="str">
        <f>IFERROR(__xludf.DUMMYFUNCTION("""COMPUTED_VALUE"""),"Instadelivery")</f>
        <v>Instadelivery</v>
      </c>
      <c r="P5435" s="33">
        <f>IFERROR(__xludf.DUMMYFUNCTION("""COMPUTED_VALUE"""),0.5)</f>
        <v>0.5</v>
      </c>
      <c r="Q5435" s="4" t="str">
        <f>IFERROR(__xludf.DUMMYFUNCTION("""COMPUTED_VALUE"""),"Instadelivery")</f>
        <v>Instadelivery</v>
      </c>
      <c r="R5435" s="33">
        <f>IFERROR(__xludf.DUMMYFUNCTION("""COMPUTED_VALUE"""),0.5)</f>
        <v>0.5</v>
      </c>
      <c r="S5435" s="4" t="str">
        <f>IFERROR(__xludf.DUMMYFUNCTION("""COMPUTED_VALUE"""),"Instadelivery")</f>
        <v>Instadelivery</v>
      </c>
      <c r="T5435" s="33">
        <f>IFERROR(__xludf.DUMMYFUNCTION("""COMPUTED_VALUE"""),0.5)</f>
        <v>0.5</v>
      </c>
      <c r="U5435" s="4" t="str">
        <f>IFERROR(__xludf.DUMMYFUNCTION("""COMPUTED_VALUE"""),"Instadelivery")</f>
        <v>Instadelivery</v>
      </c>
      <c r="V5435" s="33">
        <f>IFERROR(__xludf.DUMMYFUNCTION("""COMPUTED_VALUE"""),0.5)</f>
        <v>0.5</v>
      </c>
      <c r="W5435" s="4" t="str">
        <f>IFERROR(__xludf.DUMMYFUNCTION("""COMPUTED_VALUE"""),"Instadelivery")</f>
        <v>Instadelivery</v>
      </c>
      <c r="X5435" s="33">
        <f>IFERROR(__xludf.DUMMYFUNCTION("""COMPUTED_VALUE"""),0.5)</f>
        <v>0.5</v>
      </c>
    </row>
    <row r="5436">
      <c r="K5436" s="4" t="str">
        <f>IFERROR(__xludf.DUMMYFUNCTION("""COMPUTED_VALUE"""),"COSTELA LANCHES")</f>
        <v>COSTELA LANCHES</v>
      </c>
      <c r="L5436" s="32">
        <f>IFERROR(__xludf.DUMMYFUNCTION("""COMPUTED_VALUE"""),2.0)</f>
        <v>2</v>
      </c>
      <c r="M5436" s="4" t="str">
        <f>IFERROR(__xludf.DUMMYFUNCTION("""COMPUTED_VALUE"""),"null")</f>
        <v>null</v>
      </c>
      <c r="N5436" s="33">
        <f>IFERROR(__xludf.DUMMYFUNCTION("""COMPUTED_VALUE"""),0.5)</f>
        <v>0.5</v>
      </c>
      <c r="O5436" s="4" t="str">
        <f>IFERROR(__xludf.DUMMYFUNCTION("""COMPUTED_VALUE"""),"Mp Multipedidos")</f>
        <v>Mp Multipedidos</v>
      </c>
      <c r="P5436" s="33">
        <f>IFERROR(__xludf.DUMMYFUNCTION("""COMPUTED_VALUE"""),1.0)</f>
        <v>1</v>
      </c>
      <c r="Q5436" s="4" t="str">
        <f>IFERROR(__xludf.DUMMYFUNCTION("""COMPUTED_VALUE"""),"null")</f>
        <v>null</v>
      </c>
      <c r="R5436" s="33">
        <f>IFERROR(__xludf.DUMMYFUNCTION("""COMPUTED_VALUE"""),0.5)</f>
        <v>0.5</v>
      </c>
      <c r="S5436" s="4" t="str">
        <f>IFERROR(__xludf.DUMMYFUNCTION("""COMPUTED_VALUE"""),"null")</f>
        <v>null</v>
      </c>
      <c r="T5436" s="33">
        <f>IFERROR(__xludf.DUMMYFUNCTION("""COMPUTED_VALUE"""),0.5)</f>
        <v>0.5</v>
      </c>
      <c r="U5436" s="4" t="str">
        <f>IFERROR(__xludf.DUMMYFUNCTION("""COMPUTED_VALUE"""),"null")</f>
        <v>null</v>
      </c>
      <c r="V5436" s="33">
        <f>IFERROR(__xludf.DUMMYFUNCTION("""COMPUTED_VALUE"""),0.5)</f>
        <v>0.5</v>
      </c>
      <c r="W5436" s="4" t="str">
        <f>IFERROR(__xludf.DUMMYFUNCTION("""COMPUTED_VALUE"""),"null")</f>
        <v>null</v>
      </c>
      <c r="X5436" s="33">
        <f>IFERROR(__xludf.DUMMYFUNCTION("""COMPUTED_VALUE"""),0.5)</f>
        <v>0.5</v>
      </c>
    </row>
    <row r="5437">
      <c r="K5437" s="4" t="str">
        <f>IFERROR(__xludf.DUMMYFUNCTION("""COMPUTED_VALUE"""),"TAKEDA SUSHI")</f>
        <v>TAKEDA SUSHI</v>
      </c>
      <c r="L5437" s="32">
        <f>IFERROR(__xludf.DUMMYFUNCTION("""COMPUTED_VALUE"""),2.0)</f>
        <v>2</v>
      </c>
      <c r="M5437" s="4" t="str">
        <f>IFERROR(__xludf.DUMMYFUNCTION("""COMPUTED_VALUE"""),"Cardápio Web")</f>
        <v>Cardápio Web</v>
      </c>
      <c r="N5437" s="33">
        <f>IFERROR(__xludf.DUMMYFUNCTION("""COMPUTED_VALUE"""),0.5)</f>
        <v>0.5</v>
      </c>
      <c r="O5437" s="4" t="str">
        <f>IFERROR(__xludf.DUMMYFUNCTION("""COMPUTED_VALUE"""),"Cardápio Web")</f>
        <v>Cardápio Web</v>
      </c>
      <c r="P5437" s="33">
        <f>IFERROR(__xludf.DUMMYFUNCTION("""COMPUTED_VALUE"""),0.5)</f>
        <v>0.5</v>
      </c>
      <c r="Q5437" s="4" t="str">
        <f>IFERROR(__xludf.DUMMYFUNCTION("""COMPUTED_VALUE"""),"Cardápio Web")</f>
        <v>Cardápio Web</v>
      </c>
      <c r="R5437" s="33">
        <f>IFERROR(__xludf.DUMMYFUNCTION("""COMPUTED_VALUE"""),0.5)</f>
        <v>0.5</v>
      </c>
      <c r="S5437" s="4" t="str">
        <f>IFERROR(__xludf.DUMMYFUNCTION("""COMPUTED_VALUE"""),"Cardápio Web")</f>
        <v>Cardápio Web</v>
      </c>
      <c r="T5437" s="33">
        <f>IFERROR(__xludf.DUMMYFUNCTION("""COMPUTED_VALUE"""),0.5)</f>
        <v>0.5</v>
      </c>
      <c r="U5437" s="4" t="str">
        <f>IFERROR(__xludf.DUMMYFUNCTION("""COMPUTED_VALUE"""),"Cardápio Web")</f>
        <v>Cardápio Web</v>
      </c>
      <c r="V5437" s="33">
        <f>IFERROR(__xludf.DUMMYFUNCTION("""COMPUTED_VALUE"""),0.5)</f>
        <v>0.5</v>
      </c>
      <c r="W5437" s="4" t="str">
        <f>IFERROR(__xludf.DUMMYFUNCTION("""COMPUTED_VALUE"""),"Cardápio Web")</f>
        <v>Cardápio Web</v>
      </c>
      <c r="X5437" s="33">
        <f>IFERROR(__xludf.DUMMYFUNCTION("""COMPUTED_VALUE"""),0.5)</f>
        <v>0.5</v>
      </c>
    </row>
    <row r="5438">
      <c r="K5438" s="4" t="str">
        <f>IFERROR(__xludf.DUMMYFUNCTION("""COMPUTED_VALUE"""),"IBURGER HAMBURGUERIA")</f>
        <v>IBURGER HAMBURGUERIA</v>
      </c>
      <c r="L5438" s="32">
        <f>IFERROR(__xludf.DUMMYFUNCTION("""COMPUTED_VALUE"""),2.0)</f>
        <v>2</v>
      </c>
      <c r="M5438" s="4" t="str">
        <f>IFERROR(__xludf.DUMMYFUNCTION("""COMPUTED_VALUE"""),"Saipos Serviços De Software")</f>
        <v>Saipos Serviços De Software</v>
      </c>
      <c r="N5438" s="33">
        <f>IFERROR(__xludf.DUMMYFUNCTION("""COMPUTED_VALUE"""),0.5)</f>
        <v>0.5</v>
      </c>
      <c r="O5438" s="4" t="str">
        <f>IFERROR(__xludf.DUMMYFUNCTION("""COMPUTED_VALUE"""),"Saipos Serviços De Software")</f>
        <v>Saipos Serviços De Software</v>
      </c>
      <c r="P5438" s="33">
        <f>IFERROR(__xludf.DUMMYFUNCTION("""COMPUTED_VALUE"""),0.5)</f>
        <v>0.5</v>
      </c>
      <c r="Q5438" s="4" t="str">
        <f>IFERROR(__xludf.DUMMYFUNCTION("""COMPUTED_VALUE"""),"Saipos Serviços De Software")</f>
        <v>Saipos Serviços De Software</v>
      </c>
      <c r="R5438" s="33">
        <f>IFERROR(__xludf.DUMMYFUNCTION("""COMPUTED_VALUE"""),0.5)</f>
        <v>0.5</v>
      </c>
      <c r="S5438" s="4" t="str">
        <f>IFERROR(__xludf.DUMMYFUNCTION("""COMPUTED_VALUE"""),"Saipos Serviços De Software")</f>
        <v>Saipos Serviços De Software</v>
      </c>
      <c r="T5438" s="33">
        <f>IFERROR(__xludf.DUMMYFUNCTION("""COMPUTED_VALUE"""),0.5)</f>
        <v>0.5</v>
      </c>
      <c r="U5438" s="4" t="str">
        <f>IFERROR(__xludf.DUMMYFUNCTION("""COMPUTED_VALUE"""),"Saipos Serviços De Software")</f>
        <v>Saipos Serviços De Software</v>
      </c>
      <c r="V5438" s="33">
        <f>IFERROR(__xludf.DUMMYFUNCTION("""COMPUTED_VALUE"""),0.5)</f>
        <v>0.5</v>
      </c>
      <c r="W5438" s="4" t="str">
        <f>IFERROR(__xludf.DUMMYFUNCTION("""COMPUTED_VALUE"""),"Saipos Serviços De Software")</f>
        <v>Saipos Serviços De Software</v>
      </c>
      <c r="X5438" s="33">
        <f>IFERROR(__xludf.DUMMYFUNCTION("""COMPUTED_VALUE"""),0.5)</f>
        <v>0.5</v>
      </c>
    </row>
    <row r="5439">
      <c r="K5439" s="4" t="str">
        <f>IFERROR(__xludf.DUMMYFUNCTION("""COMPUTED_VALUE"""),"SUPER PIZZA DELIVERY")</f>
        <v>SUPER PIZZA DELIVERY</v>
      </c>
      <c r="L5439" s="32">
        <f>IFERROR(__xludf.DUMMYFUNCTION("""COMPUTED_VALUE"""),2.0)</f>
        <v>2</v>
      </c>
      <c r="M5439" s="4" t="str">
        <f>IFERROR(__xludf.DUMMYFUNCTION("""COMPUTED_VALUE"""),"Solução Sistemas")</f>
        <v>Solução Sistemas</v>
      </c>
      <c r="N5439" s="33">
        <f>IFERROR(__xludf.DUMMYFUNCTION("""COMPUTED_VALUE"""),0.5)</f>
        <v>0.5</v>
      </c>
      <c r="O5439" s="4" t="str">
        <f>IFERROR(__xludf.DUMMYFUNCTION("""COMPUTED_VALUE"""),"Solução Sistemas")</f>
        <v>Solução Sistemas</v>
      </c>
      <c r="P5439" s="33">
        <f>IFERROR(__xludf.DUMMYFUNCTION("""COMPUTED_VALUE"""),0.5)</f>
        <v>0.5</v>
      </c>
      <c r="Q5439" s="4" t="str">
        <f>IFERROR(__xludf.DUMMYFUNCTION("""COMPUTED_VALUE"""),"Solução Sistemas")</f>
        <v>Solução Sistemas</v>
      </c>
      <c r="R5439" s="33">
        <f>IFERROR(__xludf.DUMMYFUNCTION("""COMPUTED_VALUE"""),0.5)</f>
        <v>0.5</v>
      </c>
      <c r="S5439" s="4" t="str">
        <f>IFERROR(__xludf.DUMMYFUNCTION("""COMPUTED_VALUE"""),"null")</f>
        <v>null</v>
      </c>
      <c r="T5439" s="33">
        <f>IFERROR(__xludf.DUMMYFUNCTION("""COMPUTED_VALUE"""),1.0)</f>
        <v>1</v>
      </c>
      <c r="U5439" s="4" t="str">
        <f>IFERROR(__xludf.DUMMYFUNCTION("""COMPUTED_VALUE"""),"Solução Sistemas")</f>
        <v>Solução Sistemas</v>
      </c>
      <c r="V5439" s="33">
        <f>IFERROR(__xludf.DUMMYFUNCTION("""COMPUTED_VALUE"""),0.5)</f>
        <v>0.5</v>
      </c>
      <c r="W5439" s="4" t="str">
        <f>IFERROR(__xludf.DUMMYFUNCTION("""COMPUTED_VALUE"""),"Solução Sistemas")</f>
        <v>Solução Sistemas</v>
      </c>
      <c r="X5439" s="33">
        <f>IFERROR(__xludf.DUMMYFUNCTION("""COMPUTED_VALUE"""),0.5)</f>
        <v>0.5</v>
      </c>
    </row>
    <row r="5440">
      <c r="K5440" s="4" t="str">
        <f>IFERROR(__xludf.DUMMYFUNCTION("""COMPUTED_VALUE"""),"KI PASTEL")</f>
        <v>KI PASTEL</v>
      </c>
      <c r="L5440" s="32">
        <f>IFERROR(__xludf.DUMMYFUNCTION("""COMPUTED_VALUE"""),2.0)</f>
        <v>2</v>
      </c>
      <c r="M5440" s="4" t="str">
        <f>IFERROR(__xludf.DUMMYFUNCTION("""COMPUTED_VALUE"""),"Ajx Automação")</f>
        <v>Ajx Automação</v>
      </c>
      <c r="N5440" s="33">
        <f>IFERROR(__xludf.DUMMYFUNCTION("""COMPUTED_VALUE"""),0.5)</f>
        <v>0.5</v>
      </c>
      <c r="O5440" s="4" t="str">
        <f>IFERROR(__xludf.DUMMYFUNCTION("""COMPUTED_VALUE"""),"Ajx Automação")</f>
        <v>Ajx Automação</v>
      </c>
      <c r="P5440" s="33">
        <f>IFERROR(__xludf.DUMMYFUNCTION("""COMPUTED_VALUE"""),0.5)</f>
        <v>0.5</v>
      </c>
      <c r="Q5440" s="4" t="str">
        <f>IFERROR(__xludf.DUMMYFUNCTION("""COMPUTED_VALUE"""),"Ajx Automação")</f>
        <v>Ajx Automação</v>
      </c>
      <c r="R5440" s="33">
        <f>IFERROR(__xludf.DUMMYFUNCTION("""COMPUTED_VALUE"""),0.5)</f>
        <v>0.5</v>
      </c>
      <c r="S5440" s="4" t="str">
        <f>IFERROR(__xludf.DUMMYFUNCTION("""COMPUTED_VALUE"""),"Ajx Automação")</f>
        <v>Ajx Automação</v>
      </c>
      <c r="T5440" s="33">
        <f>IFERROR(__xludf.DUMMYFUNCTION("""COMPUTED_VALUE"""),0.5)</f>
        <v>0.5</v>
      </c>
      <c r="U5440" s="4" t="str">
        <f>IFERROR(__xludf.DUMMYFUNCTION("""COMPUTED_VALUE"""),"Ajx Automação")</f>
        <v>Ajx Automação</v>
      </c>
      <c r="V5440" s="33">
        <f>IFERROR(__xludf.DUMMYFUNCTION("""COMPUTED_VALUE"""),0.5)</f>
        <v>0.5</v>
      </c>
      <c r="W5440" s="4" t="str">
        <f>IFERROR(__xludf.DUMMYFUNCTION("""COMPUTED_VALUE"""),"Ajx Automação")</f>
        <v>Ajx Automação</v>
      </c>
      <c r="X5440" s="33">
        <f>IFERROR(__xludf.DUMMYFUNCTION("""COMPUTED_VALUE"""),0.5)</f>
        <v>0.5</v>
      </c>
    </row>
    <row r="5441">
      <c r="K5441" s="4" t="str">
        <f>IFERROR(__xludf.DUMMYFUNCTION("""COMPUTED_VALUE"""),"PIZZARIA DOM VIEIRA")</f>
        <v>PIZZARIA DOM VIEIRA</v>
      </c>
      <c r="L5441" s="32">
        <f>IFERROR(__xludf.DUMMYFUNCTION("""COMPUTED_VALUE"""),2.0)</f>
        <v>2</v>
      </c>
      <c r="M5441" s="4" t="str">
        <f>IFERROR(__xludf.DUMMYFUNCTION("""COMPUTED_VALUE"""),"Cardápio Web")</f>
        <v>Cardápio Web</v>
      </c>
      <c r="N5441" s="33">
        <f>IFERROR(__xludf.DUMMYFUNCTION("""COMPUTED_VALUE"""),0.5)</f>
        <v>0.5</v>
      </c>
      <c r="O5441" s="4" t="str">
        <f>IFERROR(__xludf.DUMMYFUNCTION("""COMPUTED_VALUE"""),"Cardápio Web")</f>
        <v>Cardápio Web</v>
      </c>
      <c r="P5441" s="33">
        <f>IFERROR(__xludf.DUMMYFUNCTION("""COMPUTED_VALUE"""),0.5)</f>
        <v>0.5</v>
      </c>
      <c r="Q5441" s="4" t="str">
        <f>IFERROR(__xludf.DUMMYFUNCTION("""COMPUTED_VALUE"""),"Cardápio Web")</f>
        <v>Cardápio Web</v>
      </c>
      <c r="R5441" s="33">
        <f>IFERROR(__xludf.DUMMYFUNCTION("""COMPUTED_VALUE"""),0.5)</f>
        <v>0.5</v>
      </c>
      <c r="S5441" s="4" t="str">
        <f>IFERROR(__xludf.DUMMYFUNCTION("""COMPUTED_VALUE"""),"Cardápio Web")</f>
        <v>Cardápio Web</v>
      </c>
      <c r="T5441" s="33">
        <f>IFERROR(__xludf.DUMMYFUNCTION("""COMPUTED_VALUE"""),0.5)</f>
        <v>0.5</v>
      </c>
      <c r="U5441" s="4" t="str">
        <f>IFERROR(__xludf.DUMMYFUNCTION("""COMPUTED_VALUE"""),"Cardápio Web")</f>
        <v>Cardápio Web</v>
      </c>
      <c r="V5441" s="33">
        <f>IFERROR(__xludf.DUMMYFUNCTION("""COMPUTED_VALUE"""),0.5)</f>
        <v>0.5</v>
      </c>
      <c r="W5441" s="4" t="str">
        <f>IFERROR(__xludf.DUMMYFUNCTION("""COMPUTED_VALUE"""),"Cardápio Web")</f>
        <v>Cardápio Web</v>
      </c>
      <c r="X5441" s="33">
        <f>IFERROR(__xludf.DUMMYFUNCTION("""COMPUTED_VALUE"""),0.5)</f>
        <v>0.5</v>
      </c>
    </row>
    <row r="5442">
      <c r="K5442" s="4" t="str">
        <f>IFERROR(__xludf.DUMMYFUNCTION("""COMPUTED_VALUE"""),"PAPA MASSAS")</f>
        <v>PAPA MASSAS</v>
      </c>
      <c r="L5442" s="32">
        <f>IFERROR(__xludf.DUMMYFUNCTION("""COMPUTED_VALUE"""),2.0)</f>
        <v>2</v>
      </c>
      <c r="M5442" s="4" t="str">
        <f>IFERROR(__xludf.DUMMYFUNCTION("""COMPUTED_VALUE"""),"Anota Ai Solucoes Digitais S/a")</f>
        <v>Anota Ai Solucoes Digitais S/a</v>
      </c>
      <c r="N5442" s="33">
        <f>IFERROR(__xludf.DUMMYFUNCTION("""COMPUTED_VALUE"""),0.5)</f>
        <v>0.5</v>
      </c>
      <c r="O5442" s="4" t="str">
        <f>IFERROR(__xludf.DUMMYFUNCTION("""COMPUTED_VALUE"""),"Anota Ai Solucoes Digitais S/a")</f>
        <v>Anota Ai Solucoes Digitais S/a</v>
      </c>
      <c r="P5442" s="33">
        <f>IFERROR(__xludf.DUMMYFUNCTION("""COMPUTED_VALUE"""),0.5)</f>
        <v>0.5</v>
      </c>
      <c r="Q5442" s="4" t="str">
        <f>IFERROR(__xludf.DUMMYFUNCTION("""COMPUTED_VALUE"""),"Anota Ai Solucoes Digitais S/a")</f>
        <v>Anota Ai Solucoes Digitais S/a</v>
      </c>
      <c r="R5442" s="33">
        <f>IFERROR(__xludf.DUMMYFUNCTION("""COMPUTED_VALUE"""),0.5)</f>
        <v>0.5</v>
      </c>
      <c r="S5442" s="4" t="str">
        <f>IFERROR(__xludf.DUMMYFUNCTION("""COMPUTED_VALUE"""),"Anota Ai Solucoes Digitais S/a")</f>
        <v>Anota Ai Solucoes Digitais S/a</v>
      </c>
      <c r="T5442" s="33">
        <f>IFERROR(__xludf.DUMMYFUNCTION("""COMPUTED_VALUE"""),0.5)</f>
        <v>0.5</v>
      </c>
      <c r="U5442" s="4" t="str">
        <f>IFERROR(__xludf.DUMMYFUNCTION("""COMPUTED_VALUE"""),"Anota Ai Solucoes Digitais S/a")</f>
        <v>Anota Ai Solucoes Digitais S/a</v>
      </c>
      <c r="V5442" s="33">
        <f>IFERROR(__xludf.DUMMYFUNCTION("""COMPUTED_VALUE"""),0.5)</f>
        <v>0.5</v>
      </c>
      <c r="W5442" s="4" t="str">
        <f>IFERROR(__xludf.DUMMYFUNCTION("""COMPUTED_VALUE"""),"Anota Ai Solucoes Digitais S/a")</f>
        <v>Anota Ai Solucoes Digitais S/a</v>
      </c>
      <c r="X5442" s="33">
        <f>IFERROR(__xludf.DUMMYFUNCTION("""COMPUTED_VALUE"""),0.5)</f>
        <v>0.5</v>
      </c>
    </row>
    <row r="5443">
      <c r="K5443" s="4" t="str">
        <f>IFERROR(__xludf.DUMMYFUNCTION("""COMPUTED_VALUE"""),"NORI TEMAKERIA SUSHI BAR")</f>
        <v>NORI TEMAKERIA SUSHI BAR</v>
      </c>
      <c r="L5443" s="32">
        <f>IFERROR(__xludf.DUMMYFUNCTION("""COMPUTED_VALUE"""),2.0)</f>
        <v>2</v>
      </c>
      <c r="M5443" s="4" t="str">
        <f>IFERROR(__xludf.DUMMYFUNCTION("""COMPUTED_VALUE"""),"null")</f>
        <v>null</v>
      </c>
      <c r="N5443" s="33">
        <f>IFERROR(__xludf.DUMMYFUNCTION("""COMPUTED_VALUE"""),1.0)</f>
        <v>1</v>
      </c>
      <c r="O5443" s="4" t="str">
        <f>IFERROR(__xludf.DUMMYFUNCTION("""COMPUTED_VALUE"""),"null")</f>
        <v>null</v>
      </c>
      <c r="P5443" s="33">
        <f>IFERROR(__xludf.DUMMYFUNCTION("""COMPUTED_VALUE"""),1.0)</f>
        <v>1</v>
      </c>
      <c r="Q5443" s="4" t="str">
        <f>IFERROR(__xludf.DUMMYFUNCTION("""COMPUTED_VALUE"""),"null")</f>
        <v>null</v>
      </c>
      <c r="R5443" s="33">
        <f>IFERROR(__xludf.DUMMYFUNCTION("""COMPUTED_VALUE"""),1.0)</f>
        <v>1</v>
      </c>
      <c r="S5443" s="4" t="str">
        <f>IFERROR(__xludf.DUMMYFUNCTION("""COMPUTED_VALUE"""),"Alloy Tecnologia")</f>
        <v>Alloy Tecnologia</v>
      </c>
      <c r="T5443" s="33">
        <f>IFERROR(__xludf.DUMMYFUNCTION("""COMPUTED_VALUE"""),0.5)</f>
        <v>0.5</v>
      </c>
      <c r="U5443" s="4" t="str">
        <f>IFERROR(__xludf.DUMMYFUNCTION("""COMPUTED_VALUE"""),"Alloy Tecnologia")</f>
        <v>Alloy Tecnologia</v>
      </c>
      <c r="V5443" s="33">
        <f>IFERROR(__xludf.DUMMYFUNCTION("""COMPUTED_VALUE"""),1.0)</f>
        <v>1</v>
      </c>
      <c r="W5443" s="4" t="str">
        <f>IFERROR(__xludf.DUMMYFUNCTION("""COMPUTED_VALUE"""),"Alloy Tecnologia")</f>
        <v>Alloy Tecnologia</v>
      </c>
      <c r="X5443" s="33">
        <f>IFERROR(__xludf.DUMMYFUNCTION("""COMPUTED_VALUE"""),1.0)</f>
        <v>1</v>
      </c>
    </row>
    <row r="5444">
      <c r="K5444" s="4" t="str">
        <f>IFERROR(__xludf.DUMMYFUNCTION("""COMPUTED_VALUE"""),"CHOPP DO FRITZ")</f>
        <v>CHOPP DO FRITZ</v>
      </c>
      <c r="L5444" s="32">
        <f>IFERROR(__xludf.DUMMYFUNCTION("""COMPUTED_VALUE"""),2.0)</f>
        <v>2</v>
      </c>
      <c r="M5444" s="4" t="str">
        <f>IFERROR(__xludf.DUMMYFUNCTION("""COMPUTED_VALUE"""),"Totvs Large Enterprise Tecnologia S.a.")</f>
        <v>Totvs Large Enterprise Tecnologia S.a.</v>
      </c>
      <c r="N5444" s="33">
        <f>IFERROR(__xludf.DUMMYFUNCTION("""COMPUTED_VALUE"""),0.5)</f>
        <v>0.5</v>
      </c>
      <c r="O5444" s="4" t="str">
        <f>IFERROR(__xludf.DUMMYFUNCTION("""COMPUTED_VALUE"""),"Totvs Large Enterprise Tecnologia S.a.")</f>
        <v>Totvs Large Enterprise Tecnologia S.a.</v>
      </c>
      <c r="P5444" s="33">
        <f>IFERROR(__xludf.DUMMYFUNCTION("""COMPUTED_VALUE"""),1.0)</f>
        <v>1</v>
      </c>
      <c r="Q5444" s="4" t="str">
        <f>IFERROR(__xludf.DUMMYFUNCTION("""COMPUTED_VALUE"""),"Totvs Large Enterprise Tecnologia S.a.")</f>
        <v>Totvs Large Enterprise Tecnologia S.a.</v>
      </c>
      <c r="R5444" s="33">
        <f>IFERROR(__xludf.DUMMYFUNCTION("""COMPUTED_VALUE"""),1.0)</f>
        <v>1</v>
      </c>
      <c r="S5444" s="4" t="str">
        <f>IFERROR(__xludf.DUMMYFUNCTION("""COMPUTED_VALUE"""),"Totvs Large Enterprise Tecnologia S.a.")</f>
        <v>Totvs Large Enterprise Tecnologia S.a.</v>
      </c>
      <c r="T5444" s="33">
        <f>IFERROR(__xludf.DUMMYFUNCTION("""COMPUTED_VALUE"""),1.0)</f>
        <v>1</v>
      </c>
      <c r="U5444" s="4" t="str">
        <f>IFERROR(__xludf.DUMMYFUNCTION("""COMPUTED_VALUE"""),"Totvs Large Enterprise Tecnologia S.a.")</f>
        <v>Totvs Large Enterprise Tecnologia S.a.</v>
      </c>
      <c r="V5444" s="33">
        <f>IFERROR(__xludf.DUMMYFUNCTION("""COMPUTED_VALUE"""),1.0)</f>
        <v>1</v>
      </c>
      <c r="W5444" s="4" t="str">
        <f>IFERROR(__xludf.DUMMYFUNCTION("""COMPUTED_VALUE"""),"Totvs Large Enterprise Tecnologia S.a.")</f>
        <v>Totvs Large Enterprise Tecnologia S.a.</v>
      </c>
      <c r="X5444" s="33">
        <f>IFERROR(__xludf.DUMMYFUNCTION("""COMPUTED_VALUE"""),1.0)</f>
        <v>1</v>
      </c>
    </row>
    <row r="5445">
      <c r="K5445" s="4" t="str">
        <f>IFERROR(__xludf.DUMMYFUNCTION("""COMPUTED_VALUE"""),"DOUCE LA VITA - LOJA OFICIAL")</f>
        <v>DOUCE LA VITA - LOJA OFICIAL</v>
      </c>
      <c r="L5445" s="32">
        <f>IFERROR(__xludf.DUMMYFUNCTION("""COMPUTED_VALUE"""),2.0)</f>
        <v>2</v>
      </c>
      <c r="M5445" s="4" t="str">
        <f>IFERROR(__xludf.DUMMYFUNCTION("""COMPUTED_VALUE"""),"Brendi")</f>
        <v>Brendi</v>
      </c>
      <c r="N5445" s="33">
        <f>IFERROR(__xludf.DUMMYFUNCTION("""COMPUTED_VALUE"""),1.0)</f>
        <v>1</v>
      </c>
      <c r="O5445" s="4" t="str">
        <f>IFERROR(__xludf.DUMMYFUNCTION("""COMPUTED_VALUE"""),"Brendi")</f>
        <v>Brendi</v>
      </c>
      <c r="P5445" s="33">
        <f>IFERROR(__xludf.DUMMYFUNCTION("""COMPUTED_VALUE"""),1.0)</f>
        <v>1</v>
      </c>
      <c r="Q5445" s="4" t="str">
        <f>IFERROR(__xludf.DUMMYFUNCTION("""COMPUTED_VALUE"""),"Brendi")</f>
        <v>Brendi</v>
      </c>
      <c r="R5445" s="33">
        <f>IFERROR(__xludf.DUMMYFUNCTION("""COMPUTED_VALUE"""),1.0)</f>
        <v>1</v>
      </c>
      <c r="S5445" s="4" t="str">
        <f>IFERROR(__xludf.DUMMYFUNCTION("""COMPUTED_VALUE"""),"Brendi")</f>
        <v>Brendi</v>
      </c>
      <c r="T5445" s="33">
        <f>IFERROR(__xludf.DUMMYFUNCTION("""COMPUTED_VALUE"""),1.0)</f>
        <v>1</v>
      </c>
      <c r="U5445" s="4" t="str">
        <f>IFERROR(__xludf.DUMMYFUNCTION("""COMPUTED_VALUE"""),"Brendi")</f>
        <v>Brendi</v>
      </c>
      <c r="V5445" s="33">
        <f>IFERROR(__xludf.DUMMYFUNCTION("""COMPUTED_VALUE"""),1.0)</f>
        <v>1</v>
      </c>
      <c r="W5445" s="4" t="str">
        <f>IFERROR(__xludf.DUMMYFUNCTION("""COMPUTED_VALUE"""),"Brendi")</f>
        <v>Brendi</v>
      </c>
      <c r="X5445" s="33">
        <f>IFERROR(__xludf.DUMMYFUNCTION("""COMPUTED_VALUE"""),0.5)</f>
        <v>0.5</v>
      </c>
    </row>
    <row r="5446">
      <c r="K5446" s="4" t="str">
        <f>IFERROR(__xludf.DUMMYFUNCTION("""COMPUTED_VALUE"""),"ORNELLA PIZZARIA")</f>
        <v>ORNELLA PIZZARIA</v>
      </c>
      <c r="L5446" s="32">
        <f>IFERROR(__xludf.DUMMYFUNCTION("""COMPUTED_VALUE"""),2.0)</f>
        <v>2</v>
      </c>
      <c r="M5446" s="4" t="str">
        <f>IFERROR(__xludf.DUMMYFUNCTION("""COMPUTED_VALUE"""),"Cardápio Web")</f>
        <v>Cardápio Web</v>
      </c>
      <c r="N5446" s="33">
        <f>IFERROR(__xludf.DUMMYFUNCTION("""COMPUTED_VALUE"""),1.0)</f>
        <v>1</v>
      </c>
      <c r="O5446" s="4" t="str">
        <f>IFERROR(__xludf.DUMMYFUNCTION("""COMPUTED_VALUE"""),"Cardápio Web")</f>
        <v>Cardápio Web</v>
      </c>
      <c r="P5446" s="33">
        <f>IFERROR(__xludf.DUMMYFUNCTION("""COMPUTED_VALUE"""),1.0)</f>
        <v>1</v>
      </c>
      <c r="Q5446" s="4" t="str">
        <f>IFERROR(__xludf.DUMMYFUNCTION("""COMPUTED_VALUE"""),"null")</f>
        <v>null</v>
      </c>
      <c r="R5446" s="33">
        <f>IFERROR(__xludf.DUMMYFUNCTION("""COMPUTED_VALUE"""),0.5)</f>
        <v>0.5</v>
      </c>
      <c r="S5446" s="4" t="str">
        <f>IFERROR(__xludf.DUMMYFUNCTION("""COMPUTED_VALUE"""),"null")</f>
        <v>null</v>
      </c>
      <c r="T5446" s="33">
        <f>IFERROR(__xludf.DUMMYFUNCTION("""COMPUTED_VALUE"""),0.5)</f>
        <v>0.5</v>
      </c>
      <c r="U5446" s="4" t="str">
        <f>IFERROR(__xludf.DUMMYFUNCTION("""COMPUTED_VALUE"""),"null")</f>
        <v>null</v>
      </c>
      <c r="V5446" s="33">
        <f>IFERROR(__xludf.DUMMYFUNCTION("""COMPUTED_VALUE"""),0.5)</f>
        <v>0.5</v>
      </c>
      <c r="W5446" s="4" t="str">
        <f>IFERROR(__xludf.DUMMYFUNCTION("""COMPUTED_VALUE"""),"null")</f>
        <v>null</v>
      </c>
      <c r="X5446" s="33">
        <f>IFERROR(__xludf.DUMMYFUNCTION("""COMPUTED_VALUE"""),0.5)</f>
        <v>0.5</v>
      </c>
    </row>
    <row r="5447">
      <c r="K5447" s="4" t="str">
        <f>IFERROR(__xludf.DUMMYFUNCTION("""COMPUTED_VALUE"""),"TO COM FOME")</f>
        <v>TO COM FOME</v>
      </c>
      <c r="L5447" s="32">
        <f>IFERROR(__xludf.DUMMYFUNCTION("""COMPUTED_VALUE"""),2.0)</f>
        <v>2</v>
      </c>
      <c r="M5447" s="4" t="str">
        <f>IFERROR(__xludf.DUMMYFUNCTION("""COMPUTED_VALUE"""),"Saipos Serviços De Software")</f>
        <v>Saipos Serviços De Software</v>
      </c>
      <c r="N5447" s="33">
        <f>IFERROR(__xludf.DUMMYFUNCTION("""COMPUTED_VALUE"""),0.5)</f>
        <v>0.5</v>
      </c>
      <c r="O5447" s="4" t="str">
        <f>IFERROR(__xludf.DUMMYFUNCTION("""COMPUTED_VALUE"""),"Saipos Serviços De Software")</f>
        <v>Saipos Serviços De Software</v>
      </c>
      <c r="P5447" s="33">
        <f>IFERROR(__xludf.DUMMYFUNCTION("""COMPUTED_VALUE"""),0.5)</f>
        <v>0.5</v>
      </c>
      <c r="Q5447" s="4" t="str">
        <f>IFERROR(__xludf.DUMMYFUNCTION("""COMPUTED_VALUE"""),"Saipos Serviços De Software")</f>
        <v>Saipos Serviços De Software</v>
      </c>
      <c r="R5447" s="33">
        <f>IFERROR(__xludf.DUMMYFUNCTION("""COMPUTED_VALUE"""),0.5)</f>
        <v>0.5</v>
      </c>
      <c r="S5447" s="4" t="str">
        <f>IFERROR(__xludf.DUMMYFUNCTION("""COMPUTED_VALUE"""),"Saipos Serviços De Software")</f>
        <v>Saipos Serviços De Software</v>
      </c>
      <c r="T5447" s="33">
        <f>IFERROR(__xludf.DUMMYFUNCTION("""COMPUTED_VALUE"""),0.5)</f>
        <v>0.5</v>
      </c>
      <c r="U5447" s="4" t="str">
        <f>IFERROR(__xludf.DUMMYFUNCTION("""COMPUTED_VALUE"""),"Saipos Serviços De Software")</f>
        <v>Saipos Serviços De Software</v>
      </c>
      <c r="V5447" s="33">
        <f>IFERROR(__xludf.DUMMYFUNCTION("""COMPUTED_VALUE"""),0.5)</f>
        <v>0.5</v>
      </c>
      <c r="W5447" s="4" t="str">
        <f>IFERROR(__xludf.DUMMYFUNCTION("""COMPUTED_VALUE"""),"Saipos Serviços De Software")</f>
        <v>Saipos Serviços De Software</v>
      </c>
      <c r="X5447" s="33">
        <f>IFERROR(__xludf.DUMMYFUNCTION("""COMPUTED_VALUE"""),0.5)</f>
        <v>0.5</v>
      </c>
    </row>
    <row r="5448">
      <c r="K5448" s="4" t="str">
        <f>IFERROR(__xludf.DUMMYFUNCTION("""COMPUTED_VALUE"""),"REEN BURGUER")</f>
        <v>REEN BURGUER</v>
      </c>
      <c r="L5448" s="32">
        <f>IFERROR(__xludf.DUMMYFUNCTION("""COMPUTED_VALUE"""),2.0)</f>
        <v>2</v>
      </c>
      <c r="M5448" s="4" t="str">
        <f>IFERROR(__xludf.DUMMYFUNCTION("""COMPUTED_VALUE"""),"Yooga")</f>
        <v>Yooga</v>
      </c>
      <c r="N5448" s="33">
        <f>IFERROR(__xludf.DUMMYFUNCTION("""COMPUTED_VALUE"""),1.0)</f>
        <v>1</v>
      </c>
      <c r="O5448" s="4" t="str">
        <f>IFERROR(__xludf.DUMMYFUNCTION("""COMPUTED_VALUE"""),"Yooga")</f>
        <v>Yooga</v>
      </c>
      <c r="P5448" s="33">
        <f>IFERROR(__xludf.DUMMYFUNCTION("""COMPUTED_VALUE"""),1.0)</f>
        <v>1</v>
      </c>
      <c r="Q5448" s="4" t="str">
        <f>IFERROR(__xludf.DUMMYFUNCTION("""COMPUTED_VALUE"""),"null")</f>
        <v>null</v>
      </c>
      <c r="R5448" s="33">
        <f>IFERROR(__xludf.DUMMYFUNCTION("""COMPUTED_VALUE"""),0.5)</f>
        <v>0.5</v>
      </c>
      <c r="S5448" s="4" t="str">
        <f>IFERROR(__xludf.DUMMYFUNCTION("""COMPUTED_VALUE"""),"Suitable Tecnologia E Gestao")</f>
        <v>Suitable Tecnologia E Gestao</v>
      </c>
      <c r="T5448" s="33">
        <f>IFERROR(__xludf.DUMMYFUNCTION("""COMPUTED_VALUE"""),1.0)</f>
        <v>1</v>
      </c>
      <c r="U5448" s="4" t="str">
        <f>IFERROR(__xludf.DUMMYFUNCTION("""COMPUTED_VALUE"""),"Suitable Tecnologia E Gestao")</f>
        <v>Suitable Tecnologia E Gestao</v>
      </c>
      <c r="V5448" s="33">
        <f>IFERROR(__xludf.DUMMYFUNCTION("""COMPUTED_VALUE"""),1.0)</f>
        <v>1</v>
      </c>
      <c r="W5448" s="4" t="str">
        <f>IFERROR(__xludf.DUMMYFUNCTION("""COMPUTED_VALUE"""),"Suitable Tecnologia E Gestao")</f>
        <v>Suitable Tecnologia E Gestao</v>
      </c>
      <c r="X5448" s="33">
        <f>IFERROR(__xludf.DUMMYFUNCTION("""COMPUTED_VALUE"""),1.0)</f>
        <v>1</v>
      </c>
    </row>
    <row r="5449">
      <c r="K5449" s="4" t="str">
        <f>IFERROR(__xludf.DUMMYFUNCTION("""COMPUTED_VALUE"""),"DINO PIZZARIA DELIVERY PIZZA")</f>
        <v>DINO PIZZARIA DELIVERY PIZZA</v>
      </c>
      <c r="L5449" s="32">
        <f>IFERROR(__xludf.DUMMYFUNCTION("""COMPUTED_VALUE"""),2.0)</f>
        <v>2</v>
      </c>
      <c r="M5449" s="4" t="str">
        <f>IFERROR(__xludf.DUMMYFUNCTION("""COMPUTED_VALUE"""),"Cardápio Web")</f>
        <v>Cardápio Web</v>
      </c>
      <c r="N5449" s="33">
        <f>IFERROR(__xludf.DUMMYFUNCTION("""COMPUTED_VALUE"""),1.0)</f>
        <v>1</v>
      </c>
      <c r="O5449" s="4" t="str">
        <f>IFERROR(__xludf.DUMMYFUNCTION("""COMPUTED_VALUE"""),"Cardápio Web")</f>
        <v>Cardápio Web</v>
      </c>
      <c r="P5449" s="33">
        <f>IFERROR(__xludf.DUMMYFUNCTION("""COMPUTED_VALUE"""),1.0)</f>
        <v>1</v>
      </c>
      <c r="Q5449" s="4" t="str">
        <f>IFERROR(__xludf.DUMMYFUNCTION("""COMPUTED_VALUE"""),"Cardápio Web")</f>
        <v>Cardápio Web</v>
      </c>
      <c r="R5449" s="33">
        <f>IFERROR(__xludf.DUMMYFUNCTION("""COMPUTED_VALUE"""),1.0)</f>
        <v>1</v>
      </c>
      <c r="S5449" s="4" t="str">
        <f>IFERROR(__xludf.DUMMYFUNCTION("""COMPUTED_VALUE"""),"Cardápio Web")</f>
        <v>Cardápio Web</v>
      </c>
      <c r="T5449" s="33">
        <f>IFERROR(__xludf.DUMMYFUNCTION("""COMPUTED_VALUE"""),1.0)</f>
        <v>1</v>
      </c>
      <c r="U5449" s="4" t="str">
        <f>IFERROR(__xludf.DUMMYFUNCTION("""COMPUTED_VALUE"""),"Cardápio Web")</f>
        <v>Cardápio Web</v>
      </c>
      <c r="V5449" s="33">
        <f>IFERROR(__xludf.DUMMYFUNCTION("""COMPUTED_VALUE"""),1.0)</f>
        <v>1</v>
      </c>
      <c r="W5449" s="4" t="str">
        <f>IFERROR(__xludf.DUMMYFUNCTION("""COMPUTED_VALUE"""),"Cardápio Web")</f>
        <v>Cardápio Web</v>
      </c>
      <c r="X5449" s="33">
        <f>IFERROR(__xludf.DUMMYFUNCTION("""COMPUTED_VALUE"""),1.0)</f>
        <v>1</v>
      </c>
    </row>
    <row r="5450">
      <c r="K5450" s="4" t="str">
        <f>IFERROR(__xludf.DUMMYFUNCTION("""COMPUTED_VALUE"""),"DECK LANCHES")</f>
        <v>DECK LANCHES</v>
      </c>
      <c r="L5450" s="32">
        <f>IFERROR(__xludf.DUMMYFUNCTION("""COMPUTED_VALUE"""),2.0)</f>
        <v>2</v>
      </c>
      <c r="M5450" s="4" t="str">
        <f>IFERROR(__xludf.DUMMYFUNCTION("""COMPUTED_VALUE"""),"null")</f>
        <v>null</v>
      </c>
      <c r="N5450" s="33">
        <f>IFERROR(__xludf.DUMMYFUNCTION("""COMPUTED_VALUE"""),0.5)</f>
        <v>0.5</v>
      </c>
      <c r="O5450" s="4" t="str">
        <f>IFERROR(__xludf.DUMMYFUNCTION("""COMPUTED_VALUE"""),"Anota Ai Solucoes Digitais S/a")</f>
        <v>Anota Ai Solucoes Digitais S/a</v>
      </c>
      <c r="P5450" s="33">
        <f>IFERROR(__xludf.DUMMYFUNCTION("""COMPUTED_VALUE"""),0.5)</f>
        <v>0.5</v>
      </c>
      <c r="Q5450" s="4" t="str">
        <f>IFERROR(__xludf.DUMMYFUNCTION("""COMPUTED_VALUE"""),"null")</f>
        <v>null</v>
      </c>
      <c r="R5450" s="33">
        <f>IFERROR(__xludf.DUMMYFUNCTION("""COMPUTED_VALUE"""),0.5)</f>
        <v>0.5</v>
      </c>
      <c r="S5450" s="4" t="str">
        <f>IFERROR(__xludf.DUMMYFUNCTION("""COMPUTED_VALUE"""),"Anota Ai Solucoes Digitais S/a")</f>
        <v>Anota Ai Solucoes Digitais S/a</v>
      </c>
      <c r="T5450" s="33">
        <f>IFERROR(__xludf.DUMMYFUNCTION("""COMPUTED_VALUE"""),0.5)</f>
        <v>0.5</v>
      </c>
      <c r="U5450" s="4" t="str">
        <f>IFERROR(__xludf.DUMMYFUNCTION("""COMPUTED_VALUE"""),"Dev10 Soluções Em Sotfware Ltda")</f>
        <v>Dev10 Soluções Em Sotfware Ltda</v>
      </c>
      <c r="V5450" s="33">
        <f>IFERROR(__xludf.DUMMYFUNCTION("""COMPUTED_VALUE"""),0.5)</f>
        <v>0.5</v>
      </c>
      <c r="W5450" s="4" t="str">
        <f>IFERROR(__xludf.DUMMYFUNCTION("""COMPUTED_VALUE"""),"null")</f>
        <v>null</v>
      </c>
      <c r="X5450" s="33">
        <f>IFERROR(__xludf.DUMMYFUNCTION("""COMPUTED_VALUE"""),0.5)</f>
        <v>0.5</v>
      </c>
    </row>
    <row r="5451">
      <c r="K5451" s="4" t="str">
        <f>IFERROR(__xludf.DUMMYFUNCTION("""COMPUTED_VALUE"""),"NANKAY SUSHI")</f>
        <v>NANKAY SUSHI</v>
      </c>
      <c r="L5451" s="32">
        <f>IFERROR(__xludf.DUMMYFUNCTION("""COMPUTED_VALUE"""),2.0)</f>
        <v>2</v>
      </c>
      <c r="M5451" s="4" t="str">
        <f>IFERROR(__xludf.DUMMYFUNCTION("""COMPUTED_VALUE"""),"Expede Informática")</f>
        <v>Expede Informática</v>
      </c>
      <c r="N5451" s="33">
        <f>IFERROR(__xludf.DUMMYFUNCTION("""COMPUTED_VALUE"""),0.5)</f>
        <v>0.5</v>
      </c>
      <c r="O5451" s="4" t="str">
        <f>IFERROR(__xludf.DUMMYFUNCTION("""COMPUTED_VALUE"""),"Expede Informática")</f>
        <v>Expede Informática</v>
      </c>
      <c r="P5451" s="33">
        <f>IFERROR(__xludf.DUMMYFUNCTION("""COMPUTED_VALUE"""),0.5)</f>
        <v>0.5</v>
      </c>
      <c r="Q5451" s="4" t="str">
        <f>IFERROR(__xludf.DUMMYFUNCTION("""COMPUTED_VALUE"""),"Expede Informática")</f>
        <v>Expede Informática</v>
      </c>
      <c r="R5451" s="33">
        <f>IFERROR(__xludf.DUMMYFUNCTION("""COMPUTED_VALUE"""),0.5)</f>
        <v>0.5</v>
      </c>
      <c r="S5451" s="4" t="str">
        <f>IFERROR(__xludf.DUMMYFUNCTION("""COMPUTED_VALUE"""),"Expede Informática")</f>
        <v>Expede Informática</v>
      </c>
      <c r="T5451" s="33">
        <f>IFERROR(__xludf.DUMMYFUNCTION("""COMPUTED_VALUE"""),0.5)</f>
        <v>0.5</v>
      </c>
      <c r="U5451" s="4" t="str">
        <f>IFERROR(__xludf.DUMMYFUNCTION("""COMPUTED_VALUE"""),"Expede Informática")</f>
        <v>Expede Informática</v>
      </c>
      <c r="V5451" s="33">
        <f>IFERROR(__xludf.DUMMYFUNCTION("""COMPUTED_VALUE"""),0.5)</f>
        <v>0.5</v>
      </c>
      <c r="W5451" s="4" t="str">
        <f>IFERROR(__xludf.DUMMYFUNCTION("""COMPUTED_VALUE"""),"Expede Informática")</f>
        <v>Expede Informática</v>
      </c>
      <c r="X5451" s="33">
        <f>IFERROR(__xludf.DUMMYFUNCTION("""COMPUTED_VALUE"""),0.5)</f>
        <v>0.5</v>
      </c>
    </row>
    <row r="5452">
      <c r="K5452" s="4" t="str">
        <f>IFERROR(__xludf.DUMMYFUNCTION("""COMPUTED_VALUE"""),"TEXAS BURGUER - FEITO NA BRASA")</f>
        <v>TEXAS BURGUER - FEITO NA BRASA</v>
      </c>
      <c r="L5452" s="32">
        <f>IFERROR(__xludf.DUMMYFUNCTION("""COMPUTED_VALUE"""),2.0)</f>
        <v>2</v>
      </c>
      <c r="M5452" s="4" t="str">
        <f>IFERROR(__xludf.DUMMYFUNCTION("""COMPUTED_VALUE"""),"Cardápio Web")</f>
        <v>Cardápio Web</v>
      </c>
      <c r="N5452" s="33">
        <f>IFERROR(__xludf.DUMMYFUNCTION("""COMPUTED_VALUE"""),1.0)</f>
        <v>1</v>
      </c>
      <c r="O5452" s="4" t="str">
        <f>IFERROR(__xludf.DUMMYFUNCTION("""COMPUTED_VALUE"""),"Cardápio Web")</f>
        <v>Cardápio Web</v>
      </c>
      <c r="P5452" s="33">
        <f>IFERROR(__xludf.DUMMYFUNCTION("""COMPUTED_VALUE"""),1.0)</f>
        <v>1</v>
      </c>
      <c r="Q5452" s="4" t="str">
        <f>IFERROR(__xludf.DUMMYFUNCTION("""COMPUTED_VALUE"""),"Cardápio Web")</f>
        <v>Cardápio Web</v>
      </c>
      <c r="R5452" s="33">
        <f>IFERROR(__xludf.DUMMYFUNCTION("""COMPUTED_VALUE"""),1.0)</f>
        <v>1</v>
      </c>
      <c r="S5452" s="4" t="str">
        <f>IFERROR(__xludf.DUMMYFUNCTION("""COMPUTED_VALUE"""),"Cardápio Web")</f>
        <v>Cardápio Web</v>
      </c>
      <c r="T5452" s="33">
        <f>IFERROR(__xludf.DUMMYFUNCTION("""COMPUTED_VALUE"""),1.0)</f>
        <v>1</v>
      </c>
      <c r="U5452" s="4" t="str">
        <f>IFERROR(__xludf.DUMMYFUNCTION("""COMPUTED_VALUE"""),"Cardápio Web")</f>
        <v>Cardápio Web</v>
      </c>
      <c r="V5452" s="33">
        <f>IFERROR(__xludf.DUMMYFUNCTION("""COMPUTED_VALUE"""),1.0)</f>
        <v>1</v>
      </c>
      <c r="W5452" s="4" t="str">
        <f>IFERROR(__xludf.DUMMYFUNCTION("""COMPUTED_VALUE"""),"Cardápio Web")</f>
        <v>Cardápio Web</v>
      </c>
      <c r="X5452" s="33">
        <f>IFERROR(__xludf.DUMMYFUNCTION("""COMPUTED_VALUE"""),1.0)</f>
        <v>1</v>
      </c>
    </row>
    <row r="5453">
      <c r="K5453" s="4" t="str">
        <f>IFERROR(__xludf.DUMMYFUNCTION("""COMPUTED_VALUE"""),"DROGARIA ALMEIDA")</f>
        <v>DROGARIA ALMEIDA</v>
      </c>
      <c r="L5453" s="32">
        <f>IFERROR(__xludf.DUMMYFUNCTION("""COMPUTED_VALUE"""),2.0)</f>
        <v>2</v>
      </c>
      <c r="M5453" s="4" t="str">
        <f>IFERROR(__xludf.DUMMYFUNCTION("""COMPUTED_VALUE"""),"N/A (Not found)")</f>
        <v>N/A (Not found)</v>
      </c>
      <c r="N5453" s="33">
        <f>IFERROR(__xludf.DUMMYFUNCTION("""COMPUTED_VALUE"""),1.0)</f>
        <v>1</v>
      </c>
      <c r="O5453" s="4" t="str">
        <f>IFERROR(__xludf.DUMMYFUNCTION("""COMPUTED_VALUE"""),"N/A (Not found)")</f>
        <v>N/A (Not found)</v>
      </c>
      <c r="P5453" s="33">
        <f>IFERROR(__xludf.DUMMYFUNCTION("""COMPUTED_VALUE"""),1.0)</f>
        <v>1</v>
      </c>
      <c r="Q5453" s="4" t="str">
        <f>IFERROR(__xludf.DUMMYFUNCTION("""COMPUTED_VALUE"""),"N/A (Not found)")</f>
        <v>N/A (Not found)</v>
      </c>
      <c r="R5453" s="33">
        <f>IFERROR(__xludf.DUMMYFUNCTION("""COMPUTED_VALUE"""),1.0)</f>
        <v>1</v>
      </c>
      <c r="S5453" s="4" t="str">
        <f>IFERROR(__xludf.DUMMYFUNCTION("""COMPUTED_VALUE"""),"N/A (Not found)")</f>
        <v>N/A (Not found)</v>
      </c>
      <c r="T5453" s="33">
        <f>IFERROR(__xludf.DUMMYFUNCTION("""COMPUTED_VALUE"""),1.0)</f>
        <v>1</v>
      </c>
      <c r="U5453" s="4" t="str">
        <f>IFERROR(__xludf.DUMMYFUNCTION("""COMPUTED_VALUE"""),"N/A (Not found)")</f>
        <v>N/A (Not found)</v>
      </c>
      <c r="V5453" s="33">
        <f>IFERROR(__xludf.DUMMYFUNCTION("""COMPUTED_VALUE"""),1.0)</f>
        <v>1</v>
      </c>
      <c r="W5453" s="4" t="str">
        <f>IFERROR(__xludf.DUMMYFUNCTION("""COMPUTED_VALUE"""),"N/A (Not found)")</f>
        <v>N/A (Not found)</v>
      </c>
      <c r="X5453" s="33">
        <f>IFERROR(__xludf.DUMMYFUNCTION("""COMPUTED_VALUE"""),0.5)</f>
        <v>0.5</v>
      </c>
    </row>
    <row r="5454">
      <c r="K5454" s="4" t="str">
        <f>IFERROR(__xludf.DUMMYFUNCTION("""COMPUTED_VALUE"""),"PIZZARIA PORTEIRA DE MINAS")</f>
        <v>PIZZARIA PORTEIRA DE MINAS</v>
      </c>
      <c r="L5454" s="32">
        <f>IFERROR(__xludf.DUMMYFUNCTION("""COMPUTED_VALUE"""),2.0)</f>
        <v>2</v>
      </c>
      <c r="M5454" s="4" t="str">
        <f>IFERROR(__xludf.DUMMYFUNCTION("""COMPUTED_VALUE"""),"Hubster")</f>
        <v>Hubster</v>
      </c>
      <c r="N5454" s="33">
        <f>IFERROR(__xludf.DUMMYFUNCTION("""COMPUTED_VALUE"""),1.0)</f>
        <v>1</v>
      </c>
      <c r="O5454" s="4" t="str">
        <f>IFERROR(__xludf.DUMMYFUNCTION("""COMPUTED_VALUE"""),"Hubster")</f>
        <v>Hubster</v>
      </c>
      <c r="P5454" s="33">
        <f>IFERROR(__xludf.DUMMYFUNCTION("""COMPUTED_VALUE"""),1.0)</f>
        <v>1</v>
      </c>
      <c r="Q5454" s="4" t="str">
        <f>IFERROR(__xludf.DUMMYFUNCTION("""COMPUTED_VALUE"""),"Hubster")</f>
        <v>Hubster</v>
      </c>
      <c r="R5454" s="33">
        <f>IFERROR(__xludf.DUMMYFUNCTION("""COMPUTED_VALUE"""),1.0)</f>
        <v>1</v>
      </c>
      <c r="S5454" s="4" t="str">
        <f>IFERROR(__xludf.DUMMYFUNCTION("""COMPUTED_VALUE"""),"null")</f>
        <v>null</v>
      </c>
      <c r="T5454" s="33">
        <f>IFERROR(__xludf.DUMMYFUNCTION("""COMPUTED_VALUE"""),1.0)</f>
        <v>1</v>
      </c>
      <c r="U5454" s="4" t="str">
        <f>IFERROR(__xludf.DUMMYFUNCTION("""COMPUTED_VALUE"""),"null")</f>
        <v>null</v>
      </c>
      <c r="V5454" s="33">
        <f>IFERROR(__xludf.DUMMYFUNCTION("""COMPUTED_VALUE"""),1.0)</f>
        <v>1</v>
      </c>
      <c r="W5454" s="4" t="str">
        <f>IFERROR(__xludf.DUMMYFUNCTION("""COMPUTED_VALUE"""),"null")</f>
        <v>null</v>
      </c>
      <c r="X5454" s="33">
        <f>IFERROR(__xludf.DUMMYFUNCTION("""COMPUTED_VALUE"""),1.0)</f>
        <v>1</v>
      </c>
    </row>
    <row r="5455">
      <c r="K5455" s="4" t="str">
        <f>IFERROR(__xludf.DUMMYFUNCTION("""COMPUTED_VALUE"""),"SABORE")</f>
        <v>SABORE</v>
      </c>
      <c r="L5455" s="32">
        <f>IFERROR(__xludf.DUMMYFUNCTION("""COMPUTED_VALUE"""),2.0)</f>
        <v>2</v>
      </c>
      <c r="M5455" s="4" t="str">
        <f>IFERROR(__xludf.DUMMYFUNCTION("""COMPUTED_VALUE"""),"null")</f>
        <v>null</v>
      </c>
      <c r="N5455" s="33">
        <f>IFERROR(__xludf.DUMMYFUNCTION("""COMPUTED_VALUE"""),0.5)</f>
        <v>0.5</v>
      </c>
      <c r="O5455" s="4" t="str">
        <f>IFERROR(__xludf.DUMMYFUNCTION("""COMPUTED_VALUE"""),"null")</f>
        <v>null</v>
      </c>
      <c r="P5455" s="33">
        <f>IFERROR(__xludf.DUMMYFUNCTION("""COMPUTED_VALUE"""),0.5)</f>
        <v>0.5</v>
      </c>
      <c r="Q5455" s="4" t="str">
        <f>IFERROR(__xludf.DUMMYFUNCTION("""COMPUTED_VALUE"""),"null")</f>
        <v>null</v>
      </c>
      <c r="R5455" s="33">
        <f>IFERROR(__xludf.DUMMYFUNCTION("""COMPUTED_VALUE"""),1.0)</f>
        <v>1</v>
      </c>
      <c r="S5455" s="4" t="str">
        <f>IFERROR(__xludf.DUMMYFUNCTION("""COMPUTED_VALUE"""),"null")</f>
        <v>null</v>
      </c>
      <c r="T5455" s="33">
        <f>IFERROR(__xludf.DUMMYFUNCTION("""COMPUTED_VALUE"""),1.0)</f>
        <v>1</v>
      </c>
      <c r="U5455" s="4" t="str">
        <f>IFERROR(__xludf.DUMMYFUNCTION("""COMPUTED_VALUE"""),"Instadelivery")</f>
        <v>Instadelivery</v>
      </c>
      <c r="V5455" s="33">
        <f>IFERROR(__xludf.DUMMYFUNCTION("""COMPUTED_VALUE"""),0.5)</f>
        <v>0.5</v>
      </c>
      <c r="W5455" s="4" t="str">
        <f>IFERROR(__xludf.DUMMYFUNCTION("""COMPUTED_VALUE"""),"Instadelivery")</f>
        <v>Instadelivery</v>
      </c>
      <c r="X5455" s="33">
        <f>IFERROR(__xludf.DUMMYFUNCTION("""COMPUTED_VALUE"""),0.5)</f>
        <v>0.5</v>
      </c>
    </row>
    <row r="5456">
      <c r="K5456" s="4" t="str">
        <f>IFERROR(__xludf.DUMMYFUNCTION("""COMPUTED_VALUE"""),"BURGUER HOUSE - HAMBURGUERIA ARTESANAL")</f>
        <v>BURGUER HOUSE - HAMBURGUERIA ARTESANAL</v>
      </c>
      <c r="L5456" s="32">
        <f>IFERROR(__xludf.DUMMYFUNCTION("""COMPUTED_VALUE"""),2.0)</f>
        <v>2</v>
      </c>
      <c r="M5456" s="4" t="str">
        <f>IFERROR(__xludf.DUMMYFUNCTION("""COMPUTED_VALUE"""),"Beefood - Sistema Para Restaurantes")</f>
        <v>Beefood - Sistema Para Restaurantes</v>
      </c>
      <c r="N5456" s="33">
        <f>IFERROR(__xludf.DUMMYFUNCTION("""COMPUTED_VALUE"""),0.5)</f>
        <v>0.5</v>
      </c>
      <c r="O5456" s="4" t="str">
        <f>IFERROR(__xludf.DUMMYFUNCTION("""COMPUTED_VALUE"""),"Beefood - Sistema Para Restaurantes")</f>
        <v>Beefood - Sistema Para Restaurantes</v>
      </c>
      <c r="P5456" s="33">
        <f>IFERROR(__xludf.DUMMYFUNCTION("""COMPUTED_VALUE"""),0.5)</f>
        <v>0.5</v>
      </c>
      <c r="Q5456" s="4" t="str">
        <f>IFERROR(__xludf.DUMMYFUNCTION("""COMPUTED_VALUE"""),"null")</f>
        <v>null</v>
      </c>
      <c r="R5456" s="33">
        <f>IFERROR(__xludf.DUMMYFUNCTION("""COMPUTED_VALUE"""),1.0)</f>
        <v>1</v>
      </c>
      <c r="S5456" s="4" t="str">
        <f>IFERROR(__xludf.DUMMYFUNCTION("""COMPUTED_VALUE"""),"Beefood - Sistema Para Restaurantes")</f>
        <v>Beefood - Sistema Para Restaurantes</v>
      </c>
      <c r="T5456" s="33">
        <f>IFERROR(__xludf.DUMMYFUNCTION("""COMPUTED_VALUE"""),0.5)</f>
        <v>0.5</v>
      </c>
      <c r="U5456" s="4" t="str">
        <f>IFERROR(__xludf.DUMMYFUNCTION("""COMPUTED_VALUE"""),"Beefood - Sistema Para Restaurantes")</f>
        <v>Beefood - Sistema Para Restaurantes</v>
      </c>
      <c r="V5456" s="33">
        <f>IFERROR(__xludf.DUMMYFUNCTION("""COMPUTED_VALUE"""),0.5)</f>
        <v>0.5</v>
      </c>
      <c r="W5456" s="4" t="str">
        <f>IFERROR(__xludf.DUMMYFUNCTION("""COMPUTED_VALUE"""),"null")</f>
        <v>null</v>
      </c>
      <c r="X5456" s="33">
        <f>IFERROR(__xludf.DUMMYFUNCTION("""COMPUTED_VALUE"""),1.0)</f>
        <v>1</v>
      </c>
    </row>
    <row r="5457">
      <c r="K5457" s="4" t="str">
        <f>IFERROR(__xludf.DUMMYFUNCTION("""COMPUTED_VALUE"""),"MARMITAS E SABOR - COMIDA BRASILEIRA")</f>
        <v>MARMITAS E SABOR - COMIDA BRASILEIRA</v>
      </c>
      <c r="L5457" s="32">
        <f>IFERROR(__xludf.DUMMYFUNCTION("""COMPUTED_VALUE"""),2.0)</f>
        <v>2</v>
      </c>
      <c r="M5457" s="4" t="str">
        <f>IFERROR(__xludf.DUMMYFUNCTION("""COMPUTED_VALUE"""),"Saipos Serviços De Software")</f>
        <v>Saipos Serviços De Software</v>
      </c>
      <c r="N5457" s="33">
        <f>IFERROR(__xludf.DUMMYFUNCTION("""COMPUTED_VALUE"""),0.5)</f>
        <v>0.5</v>
      </c>
      <c r="O5457" s="4" t="str">
        <f>IFERROR(__xludf.DUMMYFUNCTION("""COMPUTED_VALUE"""),"Saipos Serviços De Software")</f>
        <v>Saipos Serviços De Software</v>
      </c>
      <c r="P5457" s="33">
        <f>IFERROR(__xludf.DUMMYFUNCTION("""COMPUTED_VALUE"""),0.5)</f>
        <v>0.5</v>
      </c>
      <c r="Q5457" s="4" t="str">
        <f>IFERROR(__xludf.DUMMYFUNCTION("""COMPUTED_VALUE"""),"Saipos Serviços De Software")</f>
        <v>Saipos Serviços De Software</v>
      </c>
      <c r="R5457" s="33">
        <f>IFERROR(__xludf.DUMMYFUNCTION("""COMPUTED_VALUE"""),0.5)</f>
        <v>0.5</v>
      </c>
      <c r="S5457" s="4" t="str">
        <f>IFERROR(__xludf.DUMMYFUNCTION("""COMPUTED_VALUE"""),"Saipos Serviços De Software")</f>
        <v>Saipos Serviços De Software</v>
      </c>
      <c r="T5457" s="33">
        <f>IFERROR(__xludf.DUMMYFUNCTION("""COMPUTED_VALUE"""),0.5)</f>
        <v>0.5</v>
      </c>
      <c r="U5457" s="4" t="str">
        <f>IFERROR(__xludf.DUMMYFUNCTION("""COMPUTED_VALUE"""),"Saipos Serviços De Software")</f>
        <v>Saipos Serviços De Software</v>
      </c>
      <c r="V5457" s="33">
        <f>IFERROR(__xludf.DUMMYFUNCTION("""COMPUTED_VALUE"""),0.5)</f>
        <v>0.5</v>
      </c>
      <c r="W5457" s="4" t="str">
        <f>IFERROR(__xludf.DUMMYFUNCTION("""COMPUTED_VALUE"""),"Saipos Serviços De Software")</f>
        <v>Saipos Serviços De Software</v>
      </c>
      <c r="X5457" s="33">
        <f>IFERROR(__xludf.DUMMYFUNCTION("""COMPUTED_VALUE"""),1.0)</f>
        <v>1</v>
      </c>
    </row>
    <row r="5458">
      <c r="K5458" s="4" t="str">
        <f>IFERROR(__xludf.DUMMYFUNCTION("""COMPUTED_VALUE"""),"PIZZARIA E FREE PIZZA SAUDAVEL")</f>
        <v>PIZZARIA E FREE PIZZA SAUDAVEL</v>
      </c>
      <c r="L5458" s="32">
        <f>IFERROR(__xludf.DUMMYFUNCTION("""COMPUTED_VALUE"""),2.0)</f>
        <v>2</v>
      </c>
      <c r="M5458" s="4" t="str">
        <f>IFERROR(__xludf.DUMMYFUNCTION("""COMPUTED_VALUE"""),"Prefiro Delivery")</f>
        <v>Prefiro Delivery</v>
      </c>
      <c r="N5458" s="33">
        <f>IFERROR(__xludf.DUMMYFUNCTION("""COMPUTED_VALUE"""),1.0)</f>
        <v>1</v>
      </c>
      <c r="O5458" s="4" t="str">
        <f>IFERROR(__xludf.DUMMYFUNCTION("""COMPUTED_VALUE"""),"Prefiro Delivery")</f>
        <v>Prefiro Delivery</v>
      </c>
      <c r="P5458" s="33">
        <f>IFERROR(__xludf.DUMMYFUNCTION("""COMPUTED_VALUE"""),1.0)</f>
        <v>1</v>
      </c>
      <c r="Q5458" s="4" t="str">
        <f>IFERROR(__xludf.DUMMYFUNCTION("""COMPUTED_VALUE"""),"Prefiro Delivery")</f>
        <v>Prefiro Delivery</v>
      </c>
      <c r="R5458" s="33">
        <f>IFERROR(__xludf.DUMMYFUNCTION("""COMPUTED_VALUE"""),1.0)</f>
        <v>1</v>
      </c>
      <c r="S5458" s="4" t="str">
        <f>IFERROR(__xludf.DUMMYFUNCTION("""COMPUTED_VALUE"""),"Prefiro Delivery")</f>
        <v>Prefiro Delivery</v>
      </c>
      <c r="T5458" s="33">
        <f>IFERROR(__xludf.DUMMYFUNCTION("""COMPUTED_VALUE"""),1.0)</f>
        <v>1</v>
      </c>
      <c r="U5458" s="4" t="str">
        <f>IFERROR(__xludf.DUMMYFUNCTION("""COMPUTED_VALUE"""),"Prefiro Delivery")</f>
        <v>Prefiro Delivery</v>
      </c>
      <c r="V5458" s="33">
        <f>IFERROR(__xludf.DUMMYFUNCTION("""COMPUTED_VALUE"""),1.0)</f>
        <v>1</v>
      </c>
      <c r="W5458" s="4" t="str">
        <f>IFERROR(__xludf.DUMMYFUNCTION("""COMPUTED_VALUE"""),"Prefiro Delivery")</f>
        <v>Prefiro Delivery</v>
      </c>
      <c r="X5458" s="33">
        <f>IFERROR(__xludf.DUMMYFUNCTION("""COMPUTED_VALUE"""),1.0)</f>
        <v>1</v>
      </c>
    </row>
    <row r="5459">
      <c r="K5459" s="4" t="str">
        <f>IFERROR(__xludf.DUMMYFUNCTION("""COMPUTED_VALUE"""),"BELLA ESFIHA")</f>
        <v>BELLA ESFIHA</v>
      </c>
      <c r="L5459" s="32">
        <f>IFERROR(__xludf.DUMMYFUNCTION("""COMPUTED_VALUE"""),2.0)</f>
        <v>2</v>
      </c>
      <c r="M5459" s="4" t="str">
        <f>IFERROR(__xludf.DUMMYFUNCTION("""COMPUTED_VALUE"""),"Saipos Serviços De Software")</f>
        <v>Saipos Serviços De Software</v>
      </c>
      <c r="N5459" s="33">
        <f>IFERROR(__xludf.DUMMYFUNCTION("""COMPUTED_VALUE"""),0.5)</f>
        <v>0.5</v>
      </c>
      <c r="O5459" s="4" t="str">
        <f>IFERROR(__xludf.DUMMYFUNCTION("""COMPUTED_VALUE"""),"Saipos Serviços De Software")</f>
        <v>Saipos Serviços De Software</v>
      </c>
      <c r="P5459" s="33">
        <f>IFERROR(__xludf.DUMMYFUNCTION("""COMPUTED_VALUE"""),0.5)</f>
        <v>0.5</v>
      </c>
      <c r="Q5459" s="4" t="str">
        <f>IFERROR(__xludf.DUMMYFUNCTION("""COMPUTED_VALUE"""),"Saipos Serviços De Software")</f>
        <v>Saipos Serviços De Software</v>
      </c>
      <c r="R5459" s="33">
        <f>IFERROR(__xludf.DUMMYFUNCTION("""COMPUTED_VALUE"""),0.5)</f>
        <v>0.5</v>
      </c>
      <c r="S5459" s="4" t="str">
        <f>IFERROR(__xludf.DUMMYFUNCTION("""COMPUTED_VALUE"""),"Saipos Serviços De Software")</f>
        <v>Saipos Serviços De Software</v>
      </c>
      <c r="T5459" s="33">
        <f>IFERROR(__xludf.DUMMYFUNCTION("""COMPUTED_VALUE"""),0.5)</f>
        <v>0.5</v>
      </c>
      <c r="U5459" s="4" t="str">
        <f>IFERROR(__xludf.DUMMYFUNCTION("""COMPUTED_VALUE"""),"Saipos Serviços De Software")</f>
        <v>Saipos Serviços De Software</v>
      </c>
      <c r="V5459" s="33">
        <f>IFERROR(__xludf.DUMMYFUNCTION("""COMPUTED_VALUE"""),0.5)</f>
        <v>0.5</v>
      </c>
      <c r="W5459" s="4" t="str">
        <f>IFERROR(__xludf.DUMMYFUNCTION("""COMPUTED_VALUE"""),"null")</f>
        <v>null</v>
      </c>
      <c r="X5459" s="33">
        <f>IFERROR(__xludf.DUMMYFUNCTION("""COMPUTED_VALUE"""),1.0)</f>
        <v>1</v>
      </c>
    </row>
    <row r="5460">
      <c r="K5460" s="4" t="str">
        <f>IFERROR(__xludf.DUMMYFUNCTION("""COMPUTED_VALUE"""),"KAMZU COOKIE SHOP")</f>
        <v>KAMZU COOKIE SHOP</v>
      </c>
      <c r="L5460" s="32">
        <f>IFERROR(__xludf.DUMMYFUNCTION("""COMPUTED_VALUE"""),2.0)</f>
        <v>2</v>
      </c>
      <c r="M5460" s="4" t="str">
        <f>IFERROR(__xludf.DUMMYFUNCTION("""COMPUTED_VALUE"""),"Stone Co.")</f>
        <v>Stone Co.</v>
      </c>
      <c r="N5460" s="33">
        <f>IFERROR(__xludf.DUMMYFUNCTION("""COMPUTED_VALUE"""),1.0)</f>
        <v>1</v>
      </c>
      <c r="O5460" s="4" t="str">
        <f>IFERROR(__xludf.DUMMYFUNCTION("""COMPUTED_VALUE"""),"Stone Co.")</f>
        <v>Stone Co.</v>
      </c>
      <c r="P5460" s="33">
        <f>IFERROR(__xludf.DUMMYFUNCTION("""COMPUTED_VALUE"""),1.0)</f>
        <v>1</v>
      </c>
      <c r="Q5460" s="4" t="str">
        <f>IFERROR(__xludf.DUMMYFUNCTION("""COMPUTED_VALUE"""),"Stone Co.")</f>
        <v>Stone Co.</v>
      </c>
      <c r="R5460" s="33">
        <f>IFERROR(__xludf.DUMMYFUNCTION("""COMPUTED_VALUE"""),1.0)</f>
        <v>1</v>
      </c>
      <c r="S5460" s="4" t="str">
        <f>IFERROR(__xludf.DUMMYFUNCTION("""COMPUTED_VALUE"""),"Stone Co.")</f>
        <v>Stone Co.</v>
      </c>
      <c r="T5460" s="33">
        <f>IFERROR(__xludf.DUMMYFUNCTION("""COMPUTED_VALUE"""),1.0)</f>
        <v>1</v>
      </c>
      <c r="U5460" s="4" t="str">
        <f>IFERROR(__xludf.DUMMYFUNCTION("""COMPUTED_VALUE"""),"Stone Co.")</f>
        <v>Stone Co.</v>
      </c>
      <c r="V5460" s="33">
        <f>IFERROR(__xludf.DUMMYFUNCTION("""COMPUTED_VALUE"""),1.0)</f>
        <v>1</v>
      </c>
      <c r="W5460" s="4" t="str">
        <f>IFERROR(__xludf.DUMMYFUNCTION("""COMPUTED_VALUE"""),"Stone Co.")</f>
        <v>Stone Co.</v>
      </c>
      <c r="X5460" s="33">
        <f>IFERROR(__xludf.DUMMYFUNCTION("""COMPUTED_VALUE"""),1.0)</f>
        <v>1</v>
      </c>
    </row>
    <row r="5461">
      <c r="K5461" s="4" t="str">
        <f>IFERROR(__xludf.DUMMYFUNCTION("""COMPUTED_VALUE"""),"DOM SEBASTIAO PIZZARIA")</f>
        <v>DOM SEBASTIAO PIZZARIA</v>
      </c>
      <c r="L5461" s="32">
        <f>IFERROR(__xludf.DUMMYFUNCTION("""COMPUTED_VALUE"""),2.0)</f>
        <v>2</v>
      </c>
      <c r="M5461" s="4" t="str">
        <f>IFERROR(__xludf.DUMMYFUNCTION("""COMPUTED_VALUE"""),"Tacto Sistemas")</f>
        <v>Tacto Sistemas</v>
      </c>
      <c r="N5461" s="33">
        <f>IFERROR(__xludf.DUMMYFUNCTION("""COMPUTED_VALUE"""),1.0)</f>
        <v>1</v>
      </c>
      <c r="O5461" s="4" t="str">
        <f>IFERROR(__xludf.DUMMYFUNCTION("""COMPUTED_VALUE"""),"null")</f>
        <v>null</v>
      </c>
      <c r="P5461" s="33">
        <f>IFERROR(__xludf.DUMMYFUNCTION("""COMPUTED_VALUE"""),0.5)</f>
        <v>0.5</v>
      </c>
      <c r="Q5461" s="4" t="str">
        <f>IFERROR(__xludf.DUMMYFUNCTION("""COMPUTED_VALUE"""),"null")</f>
        <v>null</v>
      </c>
      <c r="R5461" s="33">
        <f>IFERROR(__xludf.DUMMYFUNCTION("""COMPUTED_VALUE"""),1.0)</f>
        <v>1</v>
      </c>
      <c r="S5461" s="4" t="str">
        <f>IFERROR(__xludf.DUMMYFUNCTION("""COMPUTED_VALUE"""),"Tacto Sistemas")</f>
        <v>Tacto Sistemas</v>
      </c>
      <c r="T5461" s="33">
        <f>IFERROR(__xludf.DUMMYFUNCTION("""COMPUTED_VALUE"""),1.0)</f>
        <v>1</v>
      </c>
      <c r="U5461" s="4" t="str">
        <f>IFERROR(__xludf.DUMMYFUNCTION("""COMPUTED_VALUE"""),"null")</f>
        <v>null</v>
      </c>
      <c r="V5461" s="33">
        <f>IFERROR(__xludf.DUMMYFUNCTION("""COMPUTED_VALUE"""),1.0)</f>
        <v>1</v>
      </c>
      <c r="W5461" s="4" t="str">
        <f>IFERROR(__xludf.DUMMYFUNCTION("""COMPUTED_VALUE"""),"null")</f>
        <v>null</v>
      </c>
      <c r="X5461" s="33">
        <f>IFERROR(__xludf.DUMMYFUNCTION("""COMPUTED_VALUE"""),1.0)</f>
        <v>1</v>
      </c>
    </row>
    <row r="5462">
      <c r="K5462" s="4" t="str">
        <f>IFERROR(__xludf.DUMMYFUNCTION("""COMPUTED_VALUE"""),"LA MIA GELATERIA - ITAIM")</f>
        <v>LA MIA GELATERIA - ITAIM</v>
      </c>
      <c r="L5462" s="32">
        <f>IFERROR(__xludf.DUMMYFUNCTION("""COMPUTED_VALUE"""),2.0)</f>
        <v>2</v>
      </c>
      <c r="M5462" s="4" t="str">
        <f>IFERROR(__xludf.DUMMYFUNCTION("""COMPUTED_VALUE"""),"Connectplug")</f>
        <v>Connectplug</v>
      </c>
      <c r="N5462" s="33">
        <f>IFERROR(__xludf.DUMMYFUNCTION("""COMPUTED_VALUE"""),0.5)</f>
        <v>0.5</v>
      </c>
      <c r="O5462" s="4" t="str">
        <f>IFERROR(__xludf.DUMMYFUNCTION("""COMPUTED_VALUE"""),"null")</f>
        <v>null</v>
      </c>
      <c r="P5462" s="33">
        <f>IFERROR(__xludf.DUMMYFUNCTION("""COMPUTED_VALUE"""),1.0)</f>
        <v>1</v>
      </c>
      <c r="Q5462" s="4" t="str">
        <f>IFERROR(__xludf.DUMMYFUNCTION("""COMPUTED_VALUE"""),"null")</f>
        <v>null</v>
      </c>
      <c r="R5462" s="33">
        <f>IFERROR(__xludf.DUMMYFUNCTION("""COMPUTED_VALUE"""),0.5)</f>
        <v>0.5</v>
      </c>
      <c r="S5462" s="4" t="str">
        <f>IFERROR(__xludf.DUMMYFUNCTION("""COMPUTED_VALUE"""),"null")</f>
        <v>null</v>
      </c>
      <c r="T5462" s="33">
        <f>IFERROR(__xludf.DUMMYFUNCTION("""COMPUTED_VALUE"""),0.5)</f>
        <v>0.5</v>
      </c>
      <c r="U5462" s="4" t="str">
        <f>IFERROR(__xludf.DUMMYFUNCTION("""COMPUTED_VALUE"""),"null")</f>
        <v>null</v>
      </c>
      <c r="V5462" s="33">
        <f>IFERROR(__xludf.DUMMYFUNCTION("""COMPUTED_VALUE"""),1.0)</f>
        <v>1</v>
      </c>
      <c r="W5462" s="4" t="str">
        <f>IFERROR(__xludf.DUMMYFUNCTION("""COMPUTED_VALUE"""),"null")</f>
        <v>null</v>
      </c>
      <c r="X5462" s="33">
        <f>IFERROR(__xludf.DUMMYFUNCTION("""COMPUTED_VALUE"""),0.5)</f>
        <v>0.5</v>
      </c>
    </row>
    <row r="5463">
      <c r="K5463" s="4" t="str">
        <f>IFERROR(__xludf.DUMMYFUNCTION("""COMPUTED_VALUE"""),"ACAI BEIJO FRIO")</f>
        <v>ACAI BEIJO FRIO</v>
      </c>
      <c r="L5463" s="32">
        <f>IFERROR(__xludf.DUMMYFUNCTION("""COMPUTED_VALUE"""),2.0)</f>
        <v>2</v>
      </c>
      <c r="M5463" s="4" t="str">
        <f>IFERROR(__xludf.DUMMYFUNCTION("""COMPUTED_VALUE"""),"Saipos Serviços De Software")</f>
        <v>Saipos Serviços De Software</v>
      </c>
      <c r="N5463" s="33">
        <f>IFERROR(__xludf.DUMMYFUNCTION("""COMPUTED_VALUE"""),1.0)</f>
        <v>1</v>
      </c>
      <c r="O5463" s="4" t="str">
        <f>IFERROR(__xludf.DUMMYFUNCTION("""COMPUTED_VALUE"""),"Saipos Serviços De Software")</f>
        <v>Saipos Serviços De Software</v>
      </c>
      <c r="P5463" s="33">
        <f>IFERROR(__xludf.DUMMYFUNCTION("""COMPUTED_VALUE"""),0.5)</f>
        <v>0.5</v>
      </c>
      <c r="Q5463" s="4" t="str">
        <f>IFERROR(__xludf.DUMMYFUNCTION("""COMPUTED_VALUE"""),"Anota Ai Solucoes Digitais S/a")</f>
        <v>Anota Ai Solucoes Digitais S/a</v>
      </c>
      <c r="R5463" s="33">
        <f>IFERROR(__xludf.DUMMYFUNCTION("""COMPUTED_VALUE"""),0.5)</f>
        <v>0.5</v>
      </c>
      <c r="S5463" s="4" t="str">
        <f>IFERROR(__xludf.DUMMYFUNCTION("""COMPUTED_VALUE"""),"Anota Ai Solucoes Digitais S/a")</f>
        <v>Anota Ai Solucoes Digitais S/a</v>
      </c>
      <c r="T5463" s="33">
        <f>IFERROR(__xludf.DUMMYFUNCTION("""COMPUTED_VALUE"""),0.5)</f>
        <v>0.5</v>
      </c>
      <c r="U5463" s="4" t="str">
        <f>IFERROR(__xludf.DUMMYFUNCTION("""COMPUTED_VALUE"""),"Anota Ai Solucoes Digitais S/a")</f>
        <v>Anota Ai Solucoes Digitais S/a</v>
      </c>
      <c r="V5463" s="33">
        <f>IFERROR(__xludf.DUMMYFUNCTION("""COMPUTED_VALUE"""),0.5)</f>
        <v>0.5</v>
      </c>
      <c r="W5463" s="4" t="str">
        <f>IFERROR(__xludf.DUMMYFUNCTION("""COMPUTED_VALUE"""),"Anota Ai Solucoes Digitais S/a")</f>
        <v>Anota Ai Solucoes Digitais S/a</v>
      </c>
      <c r="X5463" s="33">
        <f>IFERROR(__xludf.DUMMYFUNCTION("""COMPUTED_VALUE"""),0.5)</f>
        <v>0.5</v>
      </c>
    </row>
    <row r="5464">
      <c r="K5464" s="4" t="str">
        <f>IFERROR(__xludf.DUMMYFUNCTION("""COMPUTED_VALUE"""),"FLUFFY DONUTS")</f>
        <v>FLUFFY DONUTS</v>
      </c>
      <c r="L5464" s="32">
        <f>IFERROR(__xludf.DUMMYFUNCTION("""COMPUTED_VALUE"""),2.0)</f>
        <v>2</v>
      </c>
      <c r="M5464" s="4" t="str">
        <f>IFERROR(__xludf.DUMMYFUNCTION("""COMPUTED_VALUE"""),"Anota Ai Solucoes Digitais S/a")</f>
        <v>Anota Ai Solucoes Digitais S/a</v>
      </c>
      <c r="N5464" s="33">
        <f>IFERROR(__xludf.DUMMYFUNCTION("""COMPUTED_VALUE"""),0.5)</f>
        <v>0.5</v>
      </c>
      <c r="O5464" s="4" t="str">
        <f>IFERROR(__xludf.DUMMYFUNCTION("""COMPUTED_VALUE"""),"Anota Ai Solucoes Digitais S/a")</f>
        <v>Anota Ai Solucoes Digitais S/a</v>
      </c>
      <c r="P5464" s="33">
        <f>IFERROR(__xludf.DUMMYFUNCTION("""COMPUTED_VALUE"""),0.5)</f>
        <v>0.5</v>
      </c>
      <c r="Q5464" s="4" t="str">
        <f>IFERROR(__xludf.DUMMYFUNCTION("""COMPUTED_VALUE"""),"Anota Ai Solucoes Digitais S/a")</f>
        <v>Anota Ai Solucoes Digitais S/a</v>
      </c>
      <c r="R5464" s="33">
        <f>IFERROR(__xludf.DUMMYFUNCTION("""COMPUTED_VALUE"""),0.5)</f>
        <v>0.5</v>
      </c>
      <c r="S5464" s="4" t="str">
        <f>IFERROR(__xludf.DUMMYFUNCTION("""COMPUTED_VALUE"""),"Anota Ai Solucoes Digitais S/a")</f>
        <v>Anota Ai Solucoes Digitais S/a</v>
      </c>
      <c r="T5464" s="33">
        <f>IFERROR(__xludf.DUMMYFUNCTION("""COMPUTED_VALUE"""),0.5)</f>
        <v>0.5</v>
      </c>
      <c r="U5464" s="4" t="str">
        <f>IFERROR(__xludf.DUMMYFUNCTION("""COMPUTED_VALUE"""),"Anota Ai Solucoes Digitais S/a")</f>
        <v>Anota Ai Solucoes Digitais S/a</v>
      </c>
      <c r="V5464" s="33">
        <f>IFERROR(__xludf.DUMMYFUNCTION("""COMPUTED_VALUE"""),0.5)</f>
        <v>0.5</v>
      </c>
      <c r="W5464" s="4" t="str">
        <f>IFERROR(__xludf.DUMMYFUNCTION("""COMPUTED_VALUE"""),"Anota Ai Solucoes Digitais S/a")</f>
        <v>Anota Ai Solucoes Digitais S/a</v>
      </c>
      <c r="X5464" s="33">
        <f>IFERROR(__xludf.DUMMYFUNCTION("""COMPUTED_VALUE"""),0.5)</f>
        <v>0.5</v>
      </c>
    </row>
    <row r="5465">
      <c r="K5465" s="4" t="str">
        <f>IFERROR(__xludf.DUMMYFUNCTION("""COMPUTED_VALUE"""),"TANABARCASUSHI")</f>
        <v>TANABARCASUSHI</v>
      </c>
      <c r="L5465" s="32">
        <f>IFERROR(__xludf.DUMMYFUNCTION("""COMPUTED_VALUE"""),2.0)</f>
        <v>2</v>
      </c>
      <c r="M5465" s="4" t="str">
        <f>IFERROR(__xludf.DUMMYFUNCTION("""COMPUTED_VALUE"""),"Saipos Serviços De Software")</f>
        <v>Saipos Serviços De Software</v>
      </c>
      <c r="N5465" s="33">
        <f>IFERROR(__xludf.DUMMYFUNCTION("""COMPUTED_VALUE"""),1.0)</f>
        <v>1</v>
      </c>
      <c r="O5465" s="4" t="str">
        <f>IFERROR(__xludf.DUMMYFUNCTION("""COMPUTED_VALUE"""),"Saipos Serviços De Software")</f>
        <v>Saipos Serviços De Software</v>
      </c>
      <c r="P5465" s="33">
        <f>IFERROR(__xludf.DUMMYFUNCTION("""COMPUTED_VALUE"""),1.0)</f>
        <v>1</v>
      </c>
      <c r="Q5465" s="4" t="str">
        <f>IFERROR(__xludf.DUMMYFUNCTION("""COMPUTED_VALUE"""),"Saipos Serviços De Software")</f>
        <v>Saipos Serviços De Software</v>
      </c>
      <c r="R5465" s="33">
        <f>IFERROR(__xludf.DUMMYFUNCTION("""COMPUTED_VALUE"""),1.0)</f>
        <v>1</v>
      </c>
      <c r="S5465" s="4" t="str">
        <f>IFERROR(__xludf.DUMMYFUNCTION("""COMPUTED_VALUE"""),"Saipos Serviços De Software")</f>
        <v>Saipos Serviços De Software</v>
      </c>
      <c r="T5465" s="33">
        <f>IFERROR(__xludf.DUMMYFUNCTION("""COMPUTED_VALUE"""),1.0)</f>
        <v>1</v>
      </c>
      <c r="U5465" s="4" t="str">
        <f>IFERROR(__xludf.DUMMYFUNCTION("""COMPUTED_VALUE"""),"Cityfoods Ltda")</f>
        <v>Cityfoods Ltda</v>
      </c>
      <c r="V5465" s="33">
        <f>IFERROR(__xludf.DUMMYFUNCTION("""COMPUTED_VALUE"""),1.0)</f>
        <v>1</v>
      </c>
      <c r="W5465" s="4" t="str">
        <f>IFERROR(__xludf.DUMMYFUNCTION("""COMPUTED_VALUE"""),"Cityfoods Ltda")</f>
        <v>Cityfoods Ltda</v>
      </c>
      <c r="X5465" s="33">
        <f>IFERROR(__xludf.DUMMYFUNCTION("""COMPUTED_VALUE"""),1.0)</f>
        <v>1</v>
      </c>
    </row>
    <row r="5466">
      <c r="K5466" s="4" t="str">
        <f>IFERROR(__xludf.DUMMYFUNCTION("""COMPUTED_VALUE"""),"COOKIE COFFEE BELEM")</f>
        <v>COOKIE COFFEE BELEM</v>
      </c>
      <c r="L5466" s="32">
        <f>IFERROR(__xludf.DUMMYFUNCTION("""COMPUTED_VALUE"""),2.0)</f>
        <v>2</v>
      </c>
      <c r="M5466" s="4" t="str">
        <f>IFERROR(__xludf.DUMMYFUNCTION("""COMPUTED_VALUE"""),"M-du Tecnologia")</f>
        <v>M-du Tecnologia</v>
      </c>
      <c r="N5466" s="33">
        <f>IFERROR(__xludf.DUMMYFUNCTION("""COMPUTED_VALUE"""),1.0)</f>
        <v>1</v>
      </c>
      <c r="O5466" s="4" t="str">
        <f>IFERROR(__xludf.DUMMYFUNCTION("""COMPUTED_VALUE"""),"M-du Tecnologia")</f>
        <v>M-du Tecnologia</v>
      </c>
      <c r="P5466" s="33">
        <f>IFERROR(__xludf.DUMMYFUNCTION("""COMPUTED_VALUE"""),1.0)</f>
        <v>1</v>
      </c>
      <c r="Q5466" s="4" t="str">
        <f>IFERROR(__xludf.DUMMYFUNCTION("""COMPUTED_VALUE"""),"M-du Tecnologia")</f>
        <v>M-du Tecnologia</v>
      </c>
      <c r="R5466" s="33">
        <f>IFERROR(__xludf.DUMMYFUNCTION("""COMPUTED_VALUE"""),1.0)</f>
        <v>1</v>
      </c>
      <c r="S5466" s="4" t="str">
        <f>IFERROR(__xludf.DUMMYFUNCTION("""COMPUTED_VALUE"""),"M-du Tecnologia")</f>
        <v>M-du Tecnologia</v>
      </c>
      <c r="T5466" s="33">
        <f>IFERROR(__xludf.DUMMYFUNCTION("""COMPUTED_VALUE"""),1.0)</f>
        <v>1</v>
      </c>
      <c r="U5466" s="4" t="str">
        <f>IFERROR(__xludf.DUMMYFUNCTION("""COMPUTED_VALUE"""),"M-du Tecnologia")</f>
        <v>M-du Tecnologia</v>
      </c>
      <c r="V5466" s="33">
        <f>IFERROR(__xludf.DUMMYFUNCTION("""COMPUTED_VALUE"""),1.0)</f>
        <v>1</v>
      </c>
      <c r="W5466" s="4" t="str">
        <f>IFERROR(__xludf.DUMMYFUNCTION("""COMPUTED_VALUE"""),"M-du Tecnologia")</f>
        <v>M-du Tecnologia</v>
      </c>
      <c r="X5466" s="33">
        <f>IFERROR(__xludf.DUMMYFUNCTION("""COMPUTED_VALUE"""),1.0)</f>
        <v>1</v>
      </c>
    </row>
    <row r="5467">
      <c r="K5467" s="4" t="str">
        <f>IFERROR(__xludf.DUMMYFUNCTION("""COMPUTED_VALUE"""),"GB LANCHES")</f>
        <v>GB LANCHES</v>
      </c>
      <c r="L5467" s="32">
        <f>IFERROR(__xludf.DUMMYFUNCTION("""COMPUTED_VALUE"""),2.0)</f>
        <v>2</v>
      </c>
      <c r="M5467" s="4" t="str">
        <f>IFERROR(__xludf.DUMMYFUNCTION("""COMPUTED_VALUE"""),"Yooga")</f>
        <v>Yooga</v>
      </c>
      <c r="N5467" s="33">
        <f>IFERROR(__xludf.DUMMYFUNCTION("""COMPUTED_VALUE"""),0.5)</f>
        <v>0.5</v>
      </c>
      <c r="O5467" s="4" t="str">
        <f>IFERROR(__xludf.DUMMYFUNCTION("""COMPUTED_VALUE"""),"Yooga")</f>
        <v>Yooga</v>
      </c>
      <c r="P5467" s="33">
        <f>IFERROR(__xludf.DUMMYFUNCTION("""COMPUTED_VALUE"""),0.5)</f>
        <v>0.5</v>
      </c>
      <c r="Q5467" s="4" t="str">
        <f>IFERROR(__xludf.DUMMYFUNCTION("""COMPUTED_VALUE"""),"Yooga")</f>
        <v>Yooga</v>
      </c>
      <c r="R5467" s="33">
        <f>IFERROR(__xludf.DUMMYFUNCTION("""COMPUTED_VALUE"""),0.5)</f>
        <v>0.5</v>
      </c>
      <c r="S5467" s="4" t="str">
        <f>IFERROR(__xludf.DUMMYFUNCTION("""COMPUTED_VALUE"""),"Yooga")</f>
        <v>Yooga</v>
      </c>
      <c r="T5467" s="33">
        <f>IFERROR(__xludf.DUMMYFUNCTION("""COMPUTED_VALUE"""),0.5)</f>
        <v>0.5</v>
      </c>
      <c r="U5467" s="4" t="str">
        <f>IFERROR(__xludf.DUMMYFUNCTION("""COMPUTED_VALUE"""),"Yooga")</f>
        <v>Yooga</v>
      </c>
      <c r="V5467" s="33">
        <f>IFERROR(__xludf.DUMMYFUNCTION("""COMPUTED_VALUE"""),0.5)</f>
        <v>0.5</v>
      </c>
      <c r="W5467" s="4" t="str">
        <f>IFERROR(__xludf.DUMMYFUNCTION("""COMPUTED_VALUE"""),"Yooga")</f>
        <v>Yooga</v>
      </c>
      <c r="X5467" s="33">
        <f>IFERROR(__xludf.DUMMYFUNCTION("""COMPUTED_VALUE"""),0.5)</f>
        <v>0.5</v>
      </c>
    </row>
    <row r="5468">
      <c r="K5468" s="4" t="str">
        <f>IFERROR(__xludf.DUMMYFUNCTION("""COMPUTED_VALUE"""),"DROGARIA MORAES")</f>
        <v>DROGARIA MORAES</v>
      </c>
      <c r="L5468" s="32">
        <f>IFERROR(__xludf.DUMMYFUNCTION("""COMPUTED_VALUE"""),2.0)</f>
        <v>2</v>
      </c>
      <c r="M5468" s="4" t="str">
        <f>IFERROR(__xludf.DUMMYFUNCTION("""COMPUTED_VALUE"""),"N/A (Not found)")</f>
        <v>N/A (Not found)</v>
      </c>
      <c r="N5468" s="33">
        <f>IFERROR(__xludf.DUMMYFUNCTION("""COMPUTED_VALUE"""),0.5)</f>
        <v>0.5</v>
      </c>
      <c r="O5468" s="4" t="str">
        <f>IFERROR(__xludf.DUMMYFUNCTION("""COMPUTED_VALUE"""),"N/A (Not found)")</f>
        <v>N/A (Not found)</v>
      </c>
      <c r="P5468" s="33">
        <f>IFERROR(__xludf.DUMMYFUNCTION("""COMPUTED_VALUE"""),0.5)</f>
        <v>0.5</v>
      </c>
      <c r="Q5468" s="4" t="str">
        <f>IFERROR(__xludf.DUMMYFUNCTION("""COMPUTED_VALUE"""),"N/A (Not found)")</f>
        <v>N/A (Not found)</v>
      </c>
      <c r="R5468" s="33">
        <f>IFERROR(__xludf.DUMMYFUNCTION("""COMPUTED_VALUE"""),1.0)</f>
        <v>1</v>
      </c>
      <c r="S5468" s="4" t="str">
        <f>IFERROR(__xludf.DUMMYFUNCTION("""COMPUTED_VALUE"""),"N/A (Not found)")</f>
        <v>N/A (Not found)</v>
      </c>
      <c r="T5468" s="33">
        <f>IFERROR(__xludf.DUMMYFUNCTION("""COMPUTED_VALUE"""),1.0)</f>
        <v>1</v>
      </c>
      <c r="U5468" s="4" t="str">
        <f>IFERROR(__xludf.DUMMYFUNCTION("""COMPUTED_VALUE"""),"N/A (Not found)")</f>
        <v>N/A (Not found)</v>
      </c>
      <c r="V5468" s="33">
        <f>IFERROR(__xludf.DUMMYFUNCTION("""COMPUTED_VALUE"""),1.0)</f>
        <v>1</v>
      </c>
      <c r="W5468" s="4" t="str">
        <f>IFERROR(__xludf.DUMMYFUNCTION("""COMPUTED_VALUE"""),"N/A (Not found)")</f>
        <v>N/A (Not found)</v>
      </c>
      <c r="X5468" s="33">
        <f>IFERROR(__xludf.DUMMYFUNCTION("""COMPUTED_VALUE"""),1.0)</f>
        <v>1</v>
      </c>
    </row>
    <row r="5469">
      <c r="K5469" s="4" t="str">
        <f>IFERROR(__xludf.DUMMYFUNCTION("""COMPUTED_VALUE"""),"DISK YAKISOBA")</f>
        <v>DISK YAKISOBA</v>
      </c>
      <c r="L5469" s="32">
        <f>IFERROR(__xludf.DUMMYFUNCTION("""COMPUTED_VALUE"""),2.0)</f>
        <v>2</v>
      </c>
      <c r="M5469" s="4" t="str">
        <f>IFERROR(__xludf.DUMMYFUNCTION("""COMPUTED_VALUE"""),"Starway Sistemas")</f>
        <v>Starway Sistemas</v>
      </c>
      <c r="N5469" s="33">
        <f>IFERROR(__xludf.DUMMYFUNCTION("""COMPUTED_VALUE"""),0.5)</f>
        <v>0.5</v>
      </c>
      <c r="O5469" s="4" t="str">
        <f>IFERROR(__xludf.DUMMYFUNCTION("""COMPUTED_VALUE"""),"Starway Sistemas")</f>
        <v>Starway Sistemas</v>
      </c>
      <c r="P5469" s="33">
        <f>IFERROR(__xludf.DUMMYFUNCTION("""COMPUTED_VALUE"""),0.5)</f>
        <v>0.5</v>
      </c>
      <c r="Q5469" s="4" t="str">
        <f>IFERROR(__xludf.DUMMYFUNCTION("""COMPUTED_VALUE"""),"Starway Sistemas")</f>
        <v>Starway Sistemas</v>
      </c>
      <c r="R5469" s="33">
        <f>IFERROR(__xludf.DUMMYFUNCTION("""COMPUTED_VALUE"""),0.5)</f>
        <v>0.5</v>
      </c>
      <c r="S5469" s="4" t="str">
        <f>IFERROR(__xludf.DUMMYFUNCTION("""COMPUTED_VALUE"""),"Starway Sistemas")</f>
        <v>Starway Sistemas</v>
      </c>
      <c r="T5469" s="33">
        <f>IFERROR(__xludf.DUMMYFUNCTION("""COMPUTED_VALUE"""),0.5)</f>
        <v>0.5</v>
      </c>
      <c r="U5469" s="4" t="str">
        <f>IFERROR(__xludf.DUMMYFUNCTION("""COMPUTED_VALUE"""),"Starway Sistemas")</f>
        <v>Starway Sistemas</v>
      </c>
      <c r="V5469" s="33">
        <f>IFERROR(__xludf.DUMMYFUNCTION("""COMPUTED_VALUE"""),0.5)</f>
        <v>0.5</v>
      </c>
      <c r="W5469" s="4" t="str">
        <f>IFERROR(__xludf.DUMMYFUNCTION("""COMPUTED_VALUE"""),"Starway Sistemas")</f>
        <v>Starway Sistemas</v>
      </c>
      <c r="X5469" s="33">
        <f>IFERROR(__xludf.DUMMYFUNCTION("""COMPUTED_VALUE"""),0.5)</f>
        <v>0.5</v>
      </c>
    </row>
    <row r="5470">
      <c r="K5470" s="4" t="str">
        <f>IFERROR(__xludf.DUMMYFUNCTION("""COMPUTED_VALUE"""),"JAPA LANCHES")</f>
        <v>JAPA LANCHES</v>
      </c>
      <c r="L5470" s="32">
        <f>IFERROR(__xludf.DUMMYFUNCTION("""COMPUTED_VALUE"""),2.0)</f>
        <v>2</v>
      </c>
      <c r="M5470" s="4" t="str">
        <f>IFERROR(__xludf.DUMMYFUNCTION("""COMPUTED_VALUE"""),"null")</f>
        <v>null</v>
      </c>
      <c r="N5470" s="33">
        <f>IFERROR(__xludf.DUMMYFUNCTION("""COMPUTED_VALUE"""),1.0)</f>
        <v>1</v>
      </c>
      <c r="O5470" s="4" t="str">
        <f>IFERROR(__xludf.DUMMYFUNCTION("""COMPUTED_VALUE"""),"null")</f>
        <v>null</v>
      </c>
      <c r="P5470" s="33">
        <f>IFERROR(__xludf.DUMMYFUNCTION("""COMPUTED_VALUE"""),1.0)</f>
        <v>1</v>
      </c>
      <c r="Q5470" s="4" t="str">
        <f>IFERROR(__xludf.DUMMYFUNCTION("""COMPUTED_VALUE"""),"Brendi")</f>
        <v>Brendi</v>
      </c>
      <c r="R5470" s="33">
        <f>IFERROR(__xludf.DUMMYFUNCTION("""COMPUTED_VALUE"""),0.5)</f>
        <v>0.5</v>
      </c>
      <c r="S5470" s="4" t="str">
        <f>IFERROR(__xludf.DUMMYFUNCTION("""COMPUTED_VALUE"""),"Brendi")</f>
        <v>Brendi</v>
      </c>
      <c r="T5470" s="33">
        <f>IFERROR(__xludf.DUMMYFUNCTION("""COMPUTED_VALUE"""),0.5)</f>
        <v>0.5</v>
      </c>
      <c r="U5470" s="4" t="str">
        <f>IFERROR(__xludf.DUMMYFUNCTION("""COMPUTED_VALUE"""),"Brendi")</f>
        <v>Brendi</v>
      </c>
      <c r="V5470" s="33">
        <f>IFERROR(__xludf.DUMMYFUNCTION("""COMPUTED_VALUE"""),0.5)</f>
        <v>0.5</v>
      </c>
      <c r="W5470" s="4" t="str">
        <f>IFERROR(__xludf.DUMMYFUNCTION("""COMPUTED_VALUE"""),"Brendi")</f>
        <v>Brendi</v>
      </c>
      <c r="X5470" s="33">
        <f>IFERROR(__xludf.DUMMYFUNCTION("""COMPUTED_VALUE"""),0.5)</f>
        <v>0.5</v>
      </c>
    </row>
    <row r="5471">
      <c r="K5471" s="4" t="str">
        <f>IFERROR(__xludf.DUMMYFUNCTION("""COMPUTED_VALUE"""),"ALECRIM BISTRO")</f>
        <v>ALECRIM BISTRO</v>
      </c>
      <c r="L5471" s="32">
        <f>IFERROR(__xludf.DUMMYFUNCTION("""COMPUTED_VALUE"""),2.0)</f>
        <v>2</v>
      </c>
      <c r="M5471" s="4" t="str">
        <f>IFERROR(__xludf.DUMMYFUNCTION("""COMPUTED_VALUE"""),"Saipos Serviços De Software")</f>
        <v>Saipos Serviços De Software</v>
      </c>
      <c r="N5471" s="33">
        <f>IFERROR(__xludf.DUMMYFUNCTION("""COMPUTED_VALUE"""),1.0)</f>
        <v>1</v>
      </c>
      <c r="O5471" s="4" t="str">
        <f>IFERROR(__xludf.DUMMYFUNCTION("""COMPUTED_VALUE"""),"Saipos Serviços De Software")</f>
        <v>Saipos Serviços De Software</v>
      </c>
      <c r="P5471" s="33">
        <f>IFERROR(__xludf.DUMMYFUNCTION("""COMPUTED_VALUE"""),0.5)</f>
        <v>0.5</v>
      </c>
      <c r="Q5471" s="4" t="str">
        <f>IFERROR(__xludf.DUMMYFUNCTION("""COMPUTED_VALUE"""),"Saipos Serviços De Software")</f>
        <v>Saipos Serviços De Software</v>
      </c>
      <c r="R5471" s="33">
        <f>IFERROR(__xludf.DUMMYFUNCTION("""COMPUTED_VALUE"""),1.0)</f>
        <v>1</v>
      </c>
      <c r="S5471" s="4" t="str">
        <f>IFERROR(__xludf.DUMMYFUNCTION("""COMPUTED_VALUE"""),"Saipos Serviços De Software")</f>
        <v>Saipos Serviços De Software</v>
      </c>
      <c r="T5471" s="33">
        <f>IFERROR(__xludf.DUMMYFUNCTION("""COMPUTED_VALUE"""),0.5)</f>
        <v>0.5</v>
      </c>
      <c r="U5471" s="4" t="str">
        <f>IFERROR(__xludf.DUMMYFUNCTION("""COMPUTED_VALUE"""),"Saipos Serviços De Software")</f>
        <v>Saipos Serviços De Software</v>
      </c>
      <c r="V5471" s="33">
        <f>IFERROR(__xludf.DUMMYFUNCTION("""COMPUTED_VALUE"""),0.5)</f>
        <v>0.5</v>
      </c>
      <c r="W5471" s="4" t="str">
        <f>IFERROR(__xludf.DUMMYFUNCTION("""COMPUTED_VALUE"""),"Saipos Serviços De Software")</f>
        <v>Saipos Serviços De Software</v>
      </c>
      <c r="X5471" s="33">
        <f>IFERROR(__xludf.DUMMYFUNCTION("""COMPUTED_VALUE"""),0.5)</f>
        <v>0.5</v>
      </c>
    </row>
    <row r="5472">
      <c r="K5472" s="4" t="str">
        <f>IFERROR(__xludf.DUMMYFUNCTION("""COMPUTED_VALUE"""),"JACK BURGUER")</f>
        <v>JACK BURGUER</v>
      </c>
      <c r="L5472" s="32">
        <f>IFERROR(__xludf.DUMMYFUNCTION("""COMPUTED_VALUE"""),2.0)</f>
        <v>2</v>
      </c>
      <c r="M5472" s="4" t="str">
        <f>IFERROR(__xludf.DUMMYFUNCTION("""COMPUTED_VALUE"""),"Mp Multipedidos")</f>
        <v>Mp Multipedidos</v>
      </c>
      <c r="N5472" s="33">
        <f>IFERROR(__xludf.DUMMYFUNCTION("""COMPUTED_VALUE"""),0.5)</f>
        <v>0.5</v>
      </c>
      <c r="O5472" s="4" t="str">
        <f>IFERROR(__xludf.DUMMYFUNCTION("""COMPUTED_VALUE"""),"Mp Multipedidos")</f>
        <v>Mp Multipedidos</v>
      </c>
      <c r="P5472" s="33">
        <f>IFERROR(__xludf.DUMMYFUNCTION("""COMPUTED_VALUE"""),0.5)</f>
        <v>0.5</v>
      </c>
      <c r="Q5472" s="4" t="str">
        <f>IFERROR(__xludf.DUMMYFUNCTION("""COMPUTED_VALUE"""),"Mp Multipedidos")</f>
        <v>Mp Multipedidos</v>
      </c>
      <c r="R5472" s="33">
        <f>IFERROR(__xludf.DUMMYFUNCTION("""COMPUTED_VALUE"""),0.5)</f>
        <v>0.5</v>
      </c>
      <c r="S5472" s="4" t="str">
        <f>IFERROR(__xludf.DUMMYFUNCTION("""COMPUTED_VALUE"""),"Mp Multipedidos")</f>
        <v>Mp Multipedidos</v>
      </c>
      <c r="T5472" s="33">
        <f>IFERROR(__xludf.DUMMYFUNCTION("""COMPUTED_VALUE"""),0.5)</f>
        <v>0.5</v>
      </c>
      <c r="U5472" s="4" t="str">
        <f>IFERROR(__xludf.DUMMYFUNCTION("""COMPUTED_VALUE"""),"Brendi")</f>
        <v>Brendi</v>
      </c>
      <c r="V5472" s="33">
        <f>IFERROR(__xludf.DUMMYFUNCTION("""COMPUTED_VALUE"""),0.5)</f>
        <v>0.5</v>
      </c>
      <c r="W5472" s="4" t="str">
        <f>IFERROR(__xludf.DUMMYFUNCTION("""COMPUTED_VALUE"""),"Brendi")</f>
        <v>Brendi</v>
      </c>
      <c r="X5472" s="33">
        <f>IFERROR(__xludf.DUMMYFUNCTION("""COMPUTED_VALUE"""),0.5)</f>
        <v>0.5</v>
      </c>
    </row>
    <row r="5473">
      <c r="K5473" s="4" t="str">
        <f>IFERROR(__xludf.DUMMYFUNCTION("""COMPUTED_VALUE"""),"DIVINA PIZZERIA")</f>
        <v>DIVINA PIZZERIA</v>
      </c>
      <c r="L5473" s="32">
        <f>IFERROR(__xludf.DUMMYFUNCTION("""COMPUTED_VALUE"""),2.0)</f>
        <v>2</v>
      </c>
      <c r="M5473" s="4" t="str">
        <f>IFERROR(__xludf.DUMMYFUNCTION("""COMPUTED_VALUE"""),"Saipos Serviços De Software")</f>
        <v>Saipos Serviços De Software</v>
      </c>
      <c r="N5473" s="33">
        <f>IFERROR(__xludf.DUMMYFUNCTION("""COMPUTED_VALUE"""),0.5)</f>
        <v>0.5</v>
      </c>
      <c r="O5473" s="4" t="str">
        <f>IFERROR(__xludf.DUMMYFUNCTION("""COMPUTED_VALUE"""),"Saipos Serviços De Software")</f>
        <v>Saipos Serviços De Software</v>
      </c>
      <c r="P5473" s="33">
        <f>IFERROR(__xludf.DUMMYFUNCTION("""COMPUTED_VALUE"""),0.5)</f>
        <v>0.5</v>
      </c>
      <c r="Q5473" s="4" t="str">
        <f>IFERROR(__xludf.DUMMYFUNCTION("""COMPUTED_VALUE"""),"Saipos Serviços De Software")</f>
        <v>Saipos Serviços De Software</v>
      </c>
      <c r="R5473" s="33">
        <f>IFERROR(__xludf.DUMMYFUNCTION("""COMPUTED_VALUE"""),0.5)</f>
        <v>0.5</v>
      </c>
      <c r="S5473" s="4" t="str">
        <f>IFERROR(__xludf.DUMMYFUNCTION("""COMPUTED_VALUE"""),"Saipos Serviços De Software")</f>
        <v>Saipos Serviços De Software</v>
      </c>
      <c r="T5473" s="33">
        <f>IFERROR(__xludf.DUMMYFUNCTION("""COMPUTED_VALUE"""),0.5)</f>
        <v>0.5</v>
      </c>
      <c r="U5473" s="4" t="str">
        <f>IFERROR(__xludf.DUMMYFUNCTION("""COMPUTED_VALUE"""),"Saipos Serviços De Software")</f>
        <v>Saipos Serviços De Software</v>
      </c>
      <c r="V5473" s="33">
        <f>IFERROR(__xludf.DUMMYFUNCTION("""COMPUTED_VALUE"""),0.5)</f>
        <v>0.5</v>
      </c>
      <c r="W5473" s="4" t="str">
        <f>IFERROR(__xludf.DUMMYFUNCTION("""COMPUTED_VALUE"""),"Saipos Serviços De Software")</f>
        <v>Saipos Serviços De Software</v>
      </c>
      <c r="X5473" s="33">
        <f>IFERROR(__xludf.DUMMYFUNCTION("""COMPUTED_VALUE"""),0.5)</f>
        <v>0.5</v>
      </c>
    </row>
    <row r="5474">
      <c r="K5474" s="4" t="str">
        <f>IFERROR(__xludf.DUMMYFUNCTION("""COMPUTED_VALUE"""),"ESTACAO LANCHES")</f>
        <v>ESTACAO LANCHES</v>
      </c>
      <c r="L5474" s="32">
        <f>IFERROR(__xludf.DUMMYFUNCTION("""COMPUTED_VALUE"""),2.0)</f>
        <v>2</v>
      </c>
      <c r="M5474" s="4" t="str">
        <f>IFERROR(__xludf.DUMMYFUNCTION("""COMPUTED_VALUE"""),"null")</f>
        <v>null</v>
      </c>
      <c r="N5474" s="33">
        <f>IFERROR(__xludf.DUMMYFUNCTION("""COMPUTED_VALUE"""),1.0)</f>
        <v>1</v>
      </c>
      <c r="O5474" s="4" t="str">
        <f>IFERROR(__xludf.DUMMYFUNCTION("""COMPUTED_VALUE"""),"null")</f>
        <v>null</v>
      </c>
      <c r="P5474" s="33">
        <f>IFERROR(__xludf.DUMMYFUNCTION("""COMPUTED_VALUE"""),0.5)</f>
        <v>0.5</v>
      </c>
      <c r="Q5474" s="4" t="str">
        <f>IFERROR(__xludf.DUMMYFUNCTION("""COMPUTED_VALUE"""),"null")</f>
        <v>null</v>
      </c>
      <c r="R5474" s="33">
        <f>IFERROR(__xludf.DUMMYFUNCTION("""COMPUTED_VALUE"""),0.5)</f>
        <v>0.5</v>
      </c>
      <c r="S5474" s="4" t="str">
        <f>IFERROR(__xludf.DUMMYFUNCTION("""COMPUTED_VALUE"""),"Anota Ai Solucoes Digitais S/a")</f>
        <v>Anota Ai Solucoes Digitais S/a</v>
      </c>
      <c r="T5474" s="33">
        <f>IFERROR(__xludf.DUMMYFUNCTION("""COMPUTED_VALUE"""),1.0)</f>
        <v>1</v>
      </c>
      <c r="U5474" s="4" t="str">
        <f>IFERROR(__xludf.DUMMYFUNCTION("""COMPUTED_VALUE"""),"Anota Ai Solucoes Digitais S/a")</f>
        <v>Anota Ai Solucoes Digitais S/a</v>
      </c>
      <c r="V5474" s="33">
        <f>IFERROR(__xludf.DUMMYFUNCTION("""COMPUTED_VALUE"""),1.0)</f>
        <v>1</v>
      </c>
      <c r="W5474" s="4" t="str">
        <f>IFERROR(__xludf.DUMMYFUNCTION("""COMPUTED_VALUE"""),"Anota Ai Solucoes Digitais S/a")</f>
        <v>Anota Ai Solucoes Digitais S/a</v>
      </c>
      <c r="X5474" s="33">
        <f>IFERROR(__xludf.DUMMYFUNCTION("""COMPUTED_VALUE"""),1.0)</f>
        <v>1</v>
      </c>
    </row>
    <row r="5475">
      <c r="K5475" s="4" t="str">
        <f>IFERROR(__xludf.DUMMYFUNCTION("""COMPUTED_VALUE"""),"COWBOY LANCHES")</f>
        <v>COWBOY LANCHES</v>
      </c>
      <c r="L5475" s="32">
        <f>IFERROR(__xludf.DUMMYFUNCTION("""COMPUTED_VALUE"""),2.0)</f>
        <v>2</v>
      </c>
      <c r="M5475" s="4" t="str">
        <f>IFERROR(__xludf.DUMMYFUNCTION("""COMPUTED_VALUE"""),"Cardápio Web")</f>
        <v>Cardápio Web</v>
      </c>
      <c r="N5475" s="33">
        <f>IFERROR(__xludf.DUMMYFUNCTION("""COMPUTED_VALUE"""),0.5)</f>
        <v>0.5</v>
      </c>
      <c r="O5475" s="4" t="str">
        <f>IFERROR(__xludf.DUMMYFUNCTION("""COMPUTED_VALUE"""),"Cardápio Web")</f>
        <v>Cardápio Web</v>
      </c>
      <c r="P5475" s="33">
        <f>IFERROR(__xludf.DUMMYFUNCTION("""COMPUTED_VALUE"""),0.5)</f>
        <v>0.5</v>
      </c>
      <c r="Q5475" s="4" t="str">
        <f>IFERROR(__xludf.DUMMYFUNCTION("""COMPUTED_VALUE"""),"Cardápio Web")</f>
        <v>Cardápio Web</v>
      </c>
      <c r="R5475" s="33">
        <f>IFERROR(__xludf.DUMMYFUNCTION("""COMPUTED_VALUE"""),0.5)</f>
        <v>0.5</v>
      </c>
      <c r="S5475" s="4" t="str">
        <f>IFERROR(__xludf.DUMMYFUNCTION("""COMPUTED_VALUE"""),"Cardápio Web")</f>
        <v>Cardápio Web</v>
      </c>
      <c r="T5475" s="33">
        <f>IFERROR(__xludf.DUMMYFUNCTION("""COMPUTED_VALUE"""),0.5)</f>
        <v>0.5</v>
      </c>
      <c r="U5475" s="4" t="str">
        <f>IFERROR(__xludf.DUMMYFUNCTION("""COMPUTED_VALUE"""),"Cardápio Web")</f>
        <v>Cardápio Web</v>
      </c>
      <c r="V5475" s="33">
        <f>IFERROR(__xludf.DUMMYFUNCTION("""COMPUTED_VALUE"""),0.5)</f>
        <v>0.5</v>
      </c>
      <c r="W5475" s="4" t="str">
        <f>IFERROR(__xludf.DUMMYFUNCTION("""COMPUTED_VALUE"""),"Cardápio Web")</f>
        <v>Cardápio Web</v>
      </c>
      <c r="X5475" s="33">
        <f>IFERROR(__xludf.DUMMYFUNCTION("""COMPUTED_VALUE"""),0.5)</f>
        <v>0.5</v>
      </c>
    </row>
    <row r="5476">
      <c r="K5476" s="4" t="str">
        <f>IFERROR(__xludf.DUMMYFUNCTION("""COMPUTED_VALUE"""),"PIZZARIA NOVENTAO")</f>
        <v>PIZZARIA NOVENTAO</v>
      </c>
      <c r="L5476" s="32">
        <f>IFERROR(__xludf.DUMMYFUNCTION("""COMPUTED_VALUE"""),2.0)</f>
        <v>2</v>
      </c>
      <c r="M5476" s="4" t="str">
        <f>IFERROR(__xludf.DUMMYFUNCTION("""COMPUTED_VALUE"""),"New Choice Informática")</f>
        <v>New Choice Informática</v>
      </c>
      <c r="N5476" s="33">
        <f>IFERROR(__xludf.DUMMYFUNCTION("""COMPUTED_VALUE"""),0.5)</f>
        <v>0.5</v>
      </c>
      <c r="O5476" s="4" t="str">
        <f>IFERROR(__xludf.DUMMYFUNCTION("""COMPUTED_VALUE"""),"null")</f>
        <v>null</v>
      </c>
      <c r="P5476" s="33">
        <f>IFERROR(__xludf.DUMMYFUNCTION("""COMPUTED_VALUE"""),1.0)</f>
        <v>1</v>
      </c>
      <c r="Q5476" s="4" t="str">
        <f>IFERROR(__xludf.DUMMYFUNCTION("""COMPUTED_VALUE"""),"null")</f>
        <v>null</v>
      </c>
      <c r="R5476" s="33">
        <f>IFERROR(__xludf.DUMMYFUNCTION("""COMPUTED_VALUE"""),1.0)</f>
        <v>1</v>
      </c>
      <c r="S5476" s="4" t="str">
        <f>IFERROR(__xludf.DUMMYFUNCTION("""COMPUTED_VALUE"""),"null")</f>
        <v>null</v>
      </c>
      <c r="T5476" s="33">
        <f>IFERROR(__xludf.DUMMYFUNCTION("""COMPUTED_VALUE"""),1.0)</f>
        <v>1</v>
      </c>
      <c r="U5476" s="4" t="str">
        <f>IFERROR(__xludf.DUMMYFUNCTION("""COMPUTED_VALUE"""),"null")</f>
        <v>null</v>
      </c>
      <c r="V5476" s="33">
        <f>IFERROR(__xludf.DUMMYFUNCTION("""COMPUTED_VALUE"""),1.0)</f>
        <v>1</v>
      </c>
      <c r="W5476" s="4" t="str">
        <f>IFERROR(__xludf.DUMMYFUNCTION("""COMPUTED_VALUE"""),"null")</f>
        <v>null</v>
      </c>
      <c r="X5476" s="33">
        <f>IFERROR(__xludf.DUMMYFUNCTION("""COMPUTED_VALUE"""),0.5)</f>
        <v>0.5</v>
      </c>
    </row>
    <row r="5477">
      <c r="K5477" s="4" t="str">
        <f>IFERROR(__xludf.DUMMYFUNCTION("""COMPUTED_VALUE"""),"GUERREIROS BURGUER")</f>
        <v>GUERREIROS BURGUER</v>
      </c>
      <c r="L5477" s="32">
        <f>IFERROR(__xludf.DUMMYFUNCTION("""COMPUTED_VALUE"""),2.0)</f>
        <v>2</v>
      </c>
      <c r="M5477" s="4" t="str">
        <f>IFERROR(__xludf.DUMMYFUNCTION("""COMPUTED_VALUE"""),"Olaclick")</f>
        <v>Olaclick</v>
      </c>
      <c r="N5477" s="33">
        <f>IFERROR(__xludf.DUMMYFUNCTION("""COMPUTED_VALUE"""),0.5)</f>
        <v>0.5</v>
      </c>
      <c r="O5477" s="4" t="str">
        <f>IFERROR(__xludf.DUMMYFUNCTION("""COMPUTED_VALUE"""),"Olaclick")</f>
        <v>Olaclick</v>
      </c>
      <c r="P5477" s="33">
        <f>IFERROR(__xludf.DUMMYFUNCTION("""COMPUTED_VALUE"""),0.5)</f>
        <v>0.5</v>
      </c>
      <c r="Q5477" s="4" t="str">
        <f>IFERROR(__xludf.DUMMYFUNCTION("""COMPUTED_VALUE"""),"Olaclick")</f>
        <v>Olaclick</v>
      </c>
      <c r="R5477" s="33">
        <f>IFERROR(__xludf.DUMMYFUNCTION("""COMPUTED_VALUE"""),0.5)</f>
        <v>0.5</v>
      </c>
      <c r="S5477" s="4" t="str">
        <f>IFERROR(__xludf.DUMMYFUNCTION("""COMPUTED_VALUE"""),"Olaclick")</f>
        <v>Olaclick</v>
      </c>
      <c r="T5477" s="33">
        <f>IFERROR(__xludf.DUMMYFUNCTION("""COMPUTED_VALUE"""),0.5)</f>
        <v>0.5</v>
      </c>
      <c r="U5477" s="4" t="str">
        <f>IFERROR(__xludf.DUMMYFUNCTION("""COMPUTED_VALUE"""),"Olaclick")</f>
        <v>Olaclick</v>
      </c>
      <c r="V5477" s="33">
        <f>IFERROR(__xludf.DUMMYFUNCTION("""COMPUTED_VALUE"""),0.5)</f>
        <v>0.5</v>
      </c>
      <c r="W5477" s="4" t="str">
        <f>IFERROR(__xludf.DUMMYFUNCTION("""COMPUTED_VALUE"""),"Olaclick")</f>
        <v>Olaclick</v>
      </c>
      <c r="X5477" s="33">
        <f>IFERROR(__xludf.DUMMYFUNCTION("""COMPUTED_VALUE"""),0.5)</f>
        <v>0.5</v>
      </c>
    </row>
    <row r="5478">
      <c r="K5478" s="4" t="str">
        <f>IFERROR(__xludf.DUMMYFUNCTION("""COMPUTED_VALUE"""),"EMPORIUM PIZZA")</f>
        <v>EMPORIUM PIZZA</v>
      </c>
      <c r="L5478" s="32">
        <f>IFERROR(__xludf.DUMMYFUNCTION("""COMPUTED_VALUE"""),2.0)</f>
        <v>2</v>
      </c>
      <c r="M5478" s="4" t="str">
        <f>IFERROR(__xludf.DUMMYFUNCTION("""COMPUTED_VALUE"""),"Cardápio Web")</f>
        <v>Cardápio Web</v>
      </c>
      <c r="N5478" s="33">
        <f>IFERROR(__xludf.DUMMYFUNCTION("""COMPUTED_VALUE"""),1.0)</f>
        <v>1</v>
      </c>
      <c r="O5478" s="4" t="str">
        <f>IFERROR(__xludf.DUMMYFUNCTION("""COMPUTED_VALUE"""),"Cardápio Web")</f>
        <v>Cardápio Web</v>
      </c>
      <c r="P5478" s="33">
        <f>IFERROR(__xludf.DUMMYFUNCTION("""COMPUTED_VALUE"""),1.0)</f>
        <v>1</v>
      </c>
      <c r="Q5478" s="4" t="str">
        <f>IFERROR(__xludf.DUMMYFUNCTION("""COMPUTED_VALUE"""),"Cardápio Web")</f>
        <v>Cardápio Web</v>
      </c>
      <c r="R5478" s="33">
        <f>IFERROR(__xludf.DUMMYFUNCTION("""COMPUTED_VALUE"""),1.0)</f>
        <v>1</v>
      </c>
      <c r="S5478" s="4" t="str">
        <f>IFERROR(__xludf.DUMMYFUNCTION("""COMPUTED_VALUE"""),"Cardápio Web")</f>
        <v>Cardápio Web</v>
      </c>
      <c r="T5478" s="33">
        <f>IFERROR(__xludf.DUMMYFUNCTION("""COMPUTED_VALUE"""),1.0)</f>
        <v>1</v>
      </c>
      <c r="U5478" s="4" t="str">
        <f>IFERROR(__xludf.DUMMYFUNCTION("""COMPUTED_VALUE"""),"Cardápio Web")</f>
        <v>Cardápio Web</v>
      </c>
      <c r="V5478" s="33">
        <f>IFERROR(__xludf.DUMMYFUNCTION("""COMPUTED_VALUE"""),1.0)</f>
        <v>1</v>
      </c>
      <c r="W5478" s="4" t="str">
        <f>IFERROR(__xludf.DUMMYFUNCTION("""COMPUTED_VALUE"""),"Cardápio Web")</f>
        <v>Cardápio Web</v>
      </c>
      <c r="X5478" s="33">
        <f>IFERROR(__xludf.DUMMYFUNCTION("""COMPUTED_VALUE"""),1.0)</f>
        <v>1</v>
      </c>
    </row>
    <row r="5479">
      <c r="K5479" s="4" t="str">
        <f>IFERROR(__xludf.DUMMYFUNCTION("""COMPUTED_VALUE"""),"NONNA CAFFE E GELATO")</f>
        <v>NONNA CAFFE E GELATO</v>
      </c>
      <c r="L5479" s="32">
        <f>IFERROR(__xludf.DUMMYFUNCTION("""COMPUTED_VALUE"""),2.0)</f>
        <v>2</v>
      </c>
      <c r="M5479" s="4" t="str">
        <f>IFERROR(__xludf.DUMMYFUNCTION("""COMPUTED_VALUE"""),"Saipos Serviços De Software")</f>
        <v>Saipos Serviços De Software</v>
      </c>
      <c r="N5479" s="33">
        <f>IFERROR(__xludf.DUMMYFUNCTION("""COMPUTED_VALUE"""),0.5)</f>
        <v>0.5</v>
      </c>
      <c r="O5479" s="4" t="str">
        <f>IFERROR(__xludf.DUMMYFUNCTION("""COMPUTED_VALUE"""),"Saipos Serviços De Software")</f>
        <v>Saipos Serviços De Software</v>
      </c>
      <c r="P5479" s="33">
        <f>IFERROR(__xludf.DUMMYFUNCTION("""COMPUTED_VALUE"""),0.5)</f>
        <v>0.5</v>
      </c>
      <c r="Q5479" s="4" t="str">
        <f>IFERROR(__xludf.DUMMYFUNCTION("""COMPUTED_VALUE"""),"Saipos Serviços De Software")</f>
        <v>Saipos Serviços De Software</v>
      </c>
      <c r="R5479" s="33">
        <f>IFERROR(__xludf.DUMMYFUNCTION("""COMPUTED_VALUE"""),0.5)</f>
        <v>0.5</v>
      </c>
      <c r="S5479" s="4" t="str">
        <f>IFERROR(__xludf.DUMMYFUNCTION("""COMPUTED_VALUE"""),"null")</f>
        <v>null</v>
      </c>
      <c r="T5479" s="33">
        <f>IFERROR(__xludf.DUMMYFUNCTION("""COMPUTED_VALUE"""),0.5)</f>
        <v>0.5</v>
      </c>
      <c r="U5479" s="4" t="str">
        <f>IFERROR(__xludf.DUMMYFUNCTION("""COMPUTED_VALUE"""),"null")</f>
        <v>null</v>
      </c>
      <c r="V5479" s="33">
        <f>IFERROR(__xludf.DUMMYFUNCTION("""COMPUTED_VALUE"""),0.5)</f>
        <v>0.5</v>
      </c>
      <c r="W5479" s="4" t="str">
        <f>IFERROR(__xludf.DUMMYFUNCTION("""COMPUTED_VALUE"""),"null")</f>
        <v>null</v>
      </c>
      <c r="X5479" s="33">
        <f>IFERROR(__xludf.DUMMYFUNCTION("""COMPUTED_VALUE"""),0.5)</f>
        <v>0.5</v>
      </c>
    </row>
    <row r="5480">
      <c r="K5480" s="4" t="str">
        <f>IFERROR(__xludf.DUMMYFUNCTION("""COMPUTED_VALUE"""),"COOKIES DOCIE")</f>
        <v>COOKIES DOCIE</v>
      </c>
      <c r="L5480" s="32">
        <f>IFERROR(__xludf.DUMMYFUNCTION("""COMPUTED_VALUE"""),2.0)</f>
        <v>2</v>
      </c>
      <c r="M5480" s="4" t="str">
        <f>IFERROR(__xludf.DUMMYFUNCTION("""COMPUTED_VALUE"""),"Cardápio Web")</f>
        <v>Cardápio Web</v>
      </c>
      <c r="N5480" s="33">
        <f>IFERROR(__xludf.DUMMYFUNCTION("""COMPUTED_VALUE"""),0.5)</f>
        <v>0.5</v>
      </c>
      <c r="O5480" s="4" t="str">
        <f>IFERROR(__xludf.DUMMYFUNCTION("""COMPUTED_VALUE"""),"null")</f>
        <v>null</v>
      </c>
      <c r="P5480" s="33">
        <f>IFERROR(__xludf.DUMMYFUNCTION("""COMPUTED_VALUE"""),1.0)</f>
        <v>1</v>
      </c>
      <c r="Q5480" s="4" t="str">
        <f>IFERROR(__xludf.DUMMYFUNCTION("""COMPUTED_VALUE"""),"Cardápio Web")</f>
        <v>Cardápio Web</v>
      </c>
      <c r="R5480" s="33">
        <f>IFERROR(__xludf.DUMMYFUNCTION("""COMPUTED_VALUE"""),0.5)</f>
        <v>0.5</v>
      </c>
      <c r="S5480" s="4" t="str">
        <f>IFERROR(__xludf.DUMMYFUNCTION("""COMPUTED_VALUE"""),"Cardápio Web")</f>
        <v>Cardápio Web</v>
      </c>
      <c r="T5480" s="33">
        <f>IFERROR(__xludf.DUMMYFUNCTION("""COMPUTED_VALUE"""),0.5)</f>
        <v>0.5</v>
      </c>
      <c r="U5480" s="4" t="str">
        <f>IFERROR(__xludf.DUMMYFUNCTION("""COMPUTED_VALUE"""),"null")</f>
        <v>null</v>
      </c>
      <c r="V5480" s="33">
        <f>IFERROR(__xludf.DUMMYFUNCTION("""COMPUTED_VALUE"""),0.5)</f>
        <v>0.5</v>
      </c>
      <c r="W5480" s="4" t="str">
        <f>IFERROR(__xludf.DUMMYFUNCTION("""COMPUTED_VALUE"""),"null")</f>
        <v>null</v>
      </c>
      <c r="X5480" s="33">
        <f>IFERROR(__xludf.DUMMYFUNCTION("""COMPUTED_VALUE"""),0.5)</f>
        <v>0.5</v>
      </c>
    </row>
    <row r="5481">
      <c r="K5481" s="4" t="str">
        <f>IFERROR(__xludf.DUMMYFUNCTION("""COMPUTED_VALUE"""),"CIA DO PANCHO - LANCHES")</f>
        <v>CIA DO PANCHO - LANCHES</v>
      </c>
      <c r="L5481" s="32">
        <f>IFERROR(__xludf.DUMMYFUNCTION("""COMPUTED_VALUE"""),2.0)</f>
        <v>2</v>
      </c>
      <c r="M5481" s="4" t="str">
        <f>IFERROR(__xludf.DUMMYFUNCTION("""COMPUTED_VALUE"""),"Saipos Serviços De Software")</f>
        <v>Saipos Serviços De Software</v>
      </c>
      <c r="N5481" s="33">
        <f>IFERROR(__xludf.DUMMYFUNCTION("""COMPUTED_VALUE"""),0.5)</f>
        <v>0.5</v>
      </c>
      <c r="O5481" s="4" t="str">
        <f>IFERROR(__xludf.DUMMYFUNCTION("""COMPUTED_VALUE"""),"Saipos Serviços De Software")</f>
        <v>Saipos Serviços De Software</v>
      </c>
      <c r="P5481" s="33">
        <f>IFERROR(__xludf.DUMMYFUNCTION("""COMPUTED_VALUE"""),0.5)</f>
        <v>0.5</v>
      </c>
      <c r="Q5481" s="4" t="str">
        <f>IFERROR(__xludf.DUMMYFUNCTION("""COMPUTED_VALUE"""),"Saipos Serviços De Software")</f>
        <v>Saipos Serviços De Software</v>
      </c>
      <c r="R5481" s="33">
        <f>IFERROR(__xludf.DUMMYFUNCTION("""COMPUTED_VALUE"""),0.5)</f>
        <v>0.5</v>
      </c>
      <c r="S5481" s="4" t="str">
        <f>IFERROR(__xludf.DUMMYFUNCTION("""COMPUTED_VALUE"""),"Saipos Serviços De Software")</f>
        <v>Saipos Serviços De Software</v>
      </c>
      <c r="T5481" s="33">
        <f>IFERROR(__xludf.DUMMYFUNCTION("""COMPUTED_VALUE"""),0.5)</f>
        <v>0.5</v>
      </c>
      <c r="U5481" s="4" t="str">
        <f>IFERROR(__xludf.DUMMYFUNCTION("""COMPUTED_VALUE"""),"Saipos Serviços De Software")</f>
        <v>Saipos Serviços De Software</v>
      </c>
      <c r="V5481" s="33">
        <f>IFERROR(__xludf.DUMMYFUNCTION("""COMPUTED_VALUE"""),0.5)</f>
        <v>0.5</v>
      </c>
      <c r="W5481" s="4" t="str">
        <f>IFERROR(__xludf.DUMMYFUNCTION("""COMPUTED_VALUE"""),"Saipos Serviços De Software")</f>
        <v>Saipos Serviços De Software</v>
      </c>
      <c r="X5481" s="33">
        <f>IFERROR(__xludf.DUMMYFUNCTION("""COMPUTED_VALUE"""),0.5)</f>
        <v>0.5</v>
      </c>
    </row>
    <row r="5482">
      <c r="K5482" s="4" t="str">
        <f>IFERROR(__xludf.DUMMYFUNCTION("""COMPUTED_VALUE"""),"COYOTE LANCHES")</f>
        <v>COYOTE LANCHES</v>
      </c>
      <c r="L5482" s="32">
        <f>IFERROR(__xludf.DUMMYFUNCTION("""COMPUTED_VALUE"""),2.0)</f>
        <v>2</v>
      </c>
      <c r="M5482" s="4" t="str">
        <f>IFERROR(__xludf.DUMMYFUNCTION("""COMPUTED_VALUE"""),"Cardápio Web")</f>
        <v>Cardápio Web</v>
      </c>
      <c r="N5482" s="33">
        <f>IFERROR(__xludf.DUMMYFUNCTION("""COMPUTED_VALUE"""),0.5)</f>
        <v>0.5</v>
      </c>
      <c r="O5482" s="4" t="str">
        <f>IFERROR(__xludf.DUMMYFUNCTION("""COMPUTED_VALUE"""),"null")</f>
        <v>null</v>
      </c>
      <c r="P5482" s="33">
        <f>IFERROR(__xludf.DUMMYFUNCTION("""COMPUTED_VALUE"""),0.5)</f>
        <v>0.5</v>
      </c>
      <c r="Q5482" s="4" t="str">
        <f>IFERROR(__xludf.DUMMYFUNCTION("""COMPUTED_VALUE"""),"Cardápio Web")</f>
        <v>Cardápio Web</v>
      </c>
      <c r="R5482" s="33">
        <f>IFERROR(__xludf.DUMMYFUNCTION("""COMPUTED_VALUE"""),0.5)</f>
        <v>0.5</v>
      </c>
      <c r="S5482" s="4" t="str">
        <f>IFERROR(__xludf.DUMMYFUNCTION("""COMPUTED_VALUE"""),"Cardápio Web")</f>
        <v>Cardápio Web</v>
      </c>
      <c r="T5482" s="33">
        <f>IFERROR(__xludf.DUMMYFUNCTION("""COMPUTED_VALUE"""),0.5)</f>
        <v>0.5</v>
      </c>
      <c r="U5482" s="4" t="str">
        <f>IFERROR(__xludf.DUMMYFUNCTION("""COMPUTED_VALUE"""),"Cardápio Web")</f>
        <v>Cardápio Web</v>
      </c>
      <c r="V5482" s="33">
        <f>IFERROR(__xludf.DUMMYFUNCTION("""COMPUTED_VALUE"""),0.5)</f>
        <v>0.5</v>
      </c>
      <c r="W5482" s="4" t="str">
        <f>IFERROR(__xludf.DUMMYFUNCTION("""COMPUTED_VALUE"""),"Brendi")</f>
        <v>Brendi</v>
      </c>
      <c r="X5482" s="33">
        <f>IFERROR(__xludf.DUMMYFUNCTION("""COMPUTED_VALUE"""),0.5)</f>
        <v>0.5</v>
      </c>
    </row>
    <row r="5483">
      <c r="K5483" s="4" t="str">
        <f>IFERROR(__xludf.DUMMYFUNCTION("""COMPUTED_VALUE"""),"DELICIAS DA TIA LUCIA")</f>
        <v>DELICIAS DA TIA LUCIA</v>
      </c>
      <c r="L5483" s="32">
        <f>IFERROR(__xludf.DUMMYFUNCTION("""COMPUTED_VALUE"""),2.0)</f>
        <v>2</v>
      </c>
      <c r="M5483" s="4" t="str">
        <f>IFERROR(__xludf.DUMMYFUNCTION("""COMPUTED_VALUE"""),"Anota Ai Solucoes Digitais S/a")</f>
        <v>Anota Ai Solucoes Digitais S/a</v>
      </c>
      <c r="N5483" s="33">
        <f>IFERROR(__xludf.DUMMYFUNCTION("""COMPUTED_VALUE"""),0.5)</f>
        <v>0.5</v>
      </c>
      <c r="O5483" s="4" t="str">
        <f>IFERROR(__xludf.DUMMYFUNCTION("""COMPUTED_VALUE"""),"Anota Ai Solucoes Digitais S/a")</f>
        <v>Anota Ai Solucoes Digitais S/a</v>
      </c>
      <c r="P5483" s="33">
        <f>IFERROR(__xludf.DUMMYFUNCTION("""COMPUTED_VALUE"""),0.5)</f>
        <v>0.5</v>
      </c>
      <c r="Q5483" s="4" t="str">
        <f>IFERROR(__xludf.DUMMYFUNCTION("""COMPUTED_VALUE"""),"Anota Ai Solucoes Digitais S/a")</f>
        <v>Anota Ai Solucoes Digitais S/a</v>
      </c>
      <c r="R5483" s="33">
        <f>IFERROR(__xludf.DUMMYFUNCTION("""COMPUTED_VALUE"""),0.5)</f>
        <v>0.5</v>
      </c>
      <c r="S5483" s="4" t="str">
        <f>IFERROR(__xludf.DUMMYFUNCTION("""COMPUTED_VALUE"""),"Anota Ai Solucoes Digitais S/a")</f>
        <v>Anota Ai Solucoes Digitais S/a</v>
      </c>
      <c r="T5483" s="33">
        <f>IFERROR(__xludf.DUMMYFUNCTION("""COMPUTED_VALUE"""),0.5)</f>
        <v>0.5</v>
      </c>
      <c r="U5483" s="4" t="str">
        <f>IFERROR(__xludf.DUMMYFUNCTION("""COMPUTED_VALUE"""),"Anota Ai Solucoes Digitais S/a")</f>
        <v>Anota Ai Solucoes Digitais S/a</v>
      </c>
      <c r="V5483" s="33">
        <f>IFERROR(__xludf.DUMMYFUNCTION("""COMPUTED_VALUE"""),0.5)</f>
        <v>0.5</v>
      </c>
      <c r="W5483" s="4" t="str">
        <f>IFERROR(__xludf.DUMMYFUNCTION("""COMPUTED_VALUE"""),"Anota Ai Solucoes Digitais S/a")</f>
        <v>Anota Ai Solucoes Digitais S/a</v>
      </c>
      <c r="X5483" s="33">
        <f>IFERROR(__xludf.DUMMYFUNCTION("""COMPUTED_VALUE"""),0.5)</f>
        <v>0.5</v>
      </c>
    </row>
    <row r="5484">
      <c r="K5484" s="4" t="str">
        <f>IFERROR(__xludf.DUMMYFUNCTION("""COMPUTED_VALUE"""),"DOCE ENCONTRO")</f>
        <v>DOCE ENCONTRO</v>
      </c>
      <c r="L5484" s="32">
        <f>IFERROR(__xludf.DUMMYFUNCTION("""COMPUTED_VALUE"""),2.0)</f>
        <v>2</v>
      </c>
      <c r="M5484" s="4" t="str">
        <f>IFERROR(__xludf.DUMMYFUNCTION("""COMPUTED_VALUE"""),"null")</f>
        <v>null</v>
      </c>
      <c r="N5484" s="33">
        <f>IFERROR(__xludf.DUMMYFUNCTION("""COMPUTED_VALUE"""),0.5)</f>
        <v>0.5</v>
      </c>
      <c r="O5484" s="4" t="str">
        <f>IFERROR(__xludf.DUMMYFUNCTION("""COMPUTED_VALUE"""),"null")</f>
        <v>null</v>
      </c>
      <c r="P5484" s="33">
        <f>IFERROR(__xludf.DUMMYFUNCTION("""COMPUTED_VALUE"""),0.5)</f>
        <v>0.5</v>
      </c>
      <c r="Q5484" s="4" t="str">
        <f>IFERROR(__xludf.DUMMYFUNCTION("""COMPUTED_VALUE"""),"Brendi")</f>
        <v>Brendi</v>
      </c>
      <c r="R5484" s="33">
        <f>IFERROR(__xludf.DUMMYFUNCTION("""COMPUTED_VALUE"""),0.5)</f>
        <v>0.5</v>
      </c>
      <c r="S5484" s="4" t="str">
        <f>IFERROR(__xludf.DUMMYFUNCTION("""COMPUTED_VALUE"""),"null")</f>
        <v>null</v>
      </c>
      <c r="T5484" s="33">
        <f>IFERROR(__xludf.DUMMYFUNCTION("""COMPUTED_VALUE"""),0.5)</f>
        <v>0.5</v>
      </c>
      <c r="U5484" s="4" t="str">
        <f>IFERROR(__xludf.DUMMYFUNCTION("""COMPUTED_VALUE"""),"null")</f>
        <v>null</v>
      </c>
      <c r="V5484" s="33">
        <f>IFERROR(__xludf.DUMMYFUNCTION("""COMPUTED_VALUE"""),0.5)</f>
        <v>0.5</v>
      </c>
      <c r="W5484" s="4" t="str">
        <f>IFERROR(__xludf.DUMMYFUNCTION("""COMPUTED_VALUE"""),"null")</f>
        <v>null</v>
      </c>
      <c r="X5484" s="33">
        <f>IFERROR(__xludf.DUMMYFUNCTION("""COMPUTED_VALUE"""),0.5)</f>
        <v>0.5</v>
      </c>
    </row>
    <row r="5485">
      <c r="K5485" s="4" t="str">
        <f>IFERROR(__xludf.DUMMYFUNCTION("""COMPUTED_VALUE"""),"XIS DA QUESTAO")</f>
        <v>XIS DA QUESTAO</v>
      </c>
      <c r="L5485" s="32">
        <f>IFERROR(__xludf.DUMMYFUNCTION("""COMPUTED_VALUE"""),2.0)</f>
        <v>2</v>
      </c>
      <c r="M5485" s="4" t="str">
        <f>IFERROR(__xludf.DUMMYFUNCTION("""COMPUTED_VALUE"""),"Instadelivery")</f>
        <v>Instadelivery</v>
      </c>
      <c r="N5485" s="33">
        <f>IFERROR(__xludf.DUMMYFUNCTION("""COMPUTED_VALUE"""),1.0)</f>
        <v>1</v>
      </c>
      <c r="O5485" s="4" t="str">
        <f>IFERROR(__xludf.DUMMYFUNCTION("""COMPUTED_VALUE"""),"Instadelivery")</f>
        <v>Instadelivery</v>
      </c>
      <c r="P5485" s="33">
        <f>IFERROR(__xludf.DUMMYFUNCTION("""COMPUTED_VALUE"""),1.0)</f>
        <v>1</v>
      </c>
      <c r="Q5485" s="4" t="str">
        <f>IFERROR(__xludf.DUMMYFUNCTION("""COMPUTED_VALUE"""),"Instadelivery")</f>
        <v>Instadelivery</v>
      </c>
      <c r="R5485" s="33">
        <f>IFERROR(__xludf.DUMMYFUNCTION("""COMPUTED_VALUE"""),1.0)</f>
        <v>1</v>
      </c>
      <c r="S5485" s="4" t="str">
        <f>IFERROR(__xludf.DUMMYFUNCTION("""COMPUTED_VALUE"""),"Instadelivery")</f>
        <v>Instadelivery</v>
      </c>
      <c r="T5485" s="33">
        <f>IFERROR(__xludf.DUMMYFUNCTION("""COMPUTED_VALUE"""),1.0)</f>
        <v>1</v>
      </c>
      <c r="U5485" s="4" t="str">
        <f>IFERROR(__xludf.DUMMYFUNCTION("""COMPUTED_VALUE"""),"Instadelivery")</f>
        <v>Instadelivery</v>
      </c>
      <c r="V5485" s="33">
        <f>IFERROR(__xludf.DUMMYFUNCTION("""COMPUTED_VALUE"""),1.0)</f>
        <v>1</v>
      </c>
      <c r="W5485" s="4" t="str">
        <f>IFERROR(__xludf.DUMMYFUNCTION("""COMPUTED_VALUE"""),"Instadelivery")</f>
        <v>Instadelivery</v>
      </c>
      <c r="X5485" s="33">
        <f>IFERROR(__xludf.DUMMYFUNCTION("""COMPUTED_VALUE"""),1.0)</f>
        <v>1</v>
      </c>
    </row>
    <row r="5486">
      <c r="K5486" s="4" t="str">
        <f>IFERROR(__xludf.DUMMYFUNCTION("""COMPUTED_VALUE"""),"PARADA LANCHES")</f>
        <v>PARADA LANCHES</v>
      </c>
      <c r="L5486" s="32">
        <f>IFERROR(__xludf.DUMMYFUNCTION("""COMPUTED_VALUE"""),2.0)</f>
        <v>2</v>
      </c>
      <c r="M5486" s="4" t="str">
        <f>IFERROR(__xludf.DUMMYFUNCTION("""COMPUTED_VALUE"""),"Junsoft Tecnologia")</f>
        <v>Junsoft Tecnologia</v>
      </c>
      <c r="N5486" s="33">
        <f>IFERROR(__xludf.DUMMYFUNCTION("""COMPUTED_VALUE"""),0.5)</f>
        <v>0.5</v>
      </c>
      <c r="O5486" s="4" t="str">
        <f>IFERROR(__xludf.DUMMYFUNCTION("""COMPUTED_VALUE"""),"null")</f>
        <v>null</v>
      </c>
      <c r="P5486" s="33">
        <f>IFERROR(__xludf.DUMMYFUNCTION("""COMPUTED_VALUE"""),0.5)</f>
        <v>0.5</v>
      </c>
      <c r="Q5486" s="4" t="str">
        <f>IFERROR(__xludf.DUMMYFUNCTION("""COMPUTED_VALUE"""),"null")</f>
        <v>null</v>
      </c>
      <c r="R5486" s="33">
        <f>IFERROR(__xludf.DUMMYFUNCTION("""COMPUTED_VALUE"""),0.5)</f>
        <v>0.5</v>
      </c>
      <c r="S5486" s="4" t="str">
        <f>IFERROR(__xludf.DUMMYFUNCTION("""COMPUTED_VALUE"""),"null")</f>
        <v>null</v>
      </c>
      <c r="T5486" s="33">
        <f>IFERROR(__xludf.DUMMYFUNCTION("""COMPUTED_VALUE"""),0.5)</f>
        <v>0.5</v>
      </c>
      <c r="U5486" s="4" t="str">
        <f>IFERROR(__xludf.DUMMYFUNCTION("""COMPUTED_VALUE"""),"null")</f>
        <v>null</v>
      </c>
      <c r="V5486" s="33">
        <f>IFERROR(__xludf.DUMMYFUNCTION("""COMPUTED_VALUE"""),0.5)</f>
        <v>0.5</v>
      </c>
      <c r="W5486" s="4" t="str">
        <f>IFERROR(__xludf.DUMMYFUNCTION("""COMPUTED_VALUE"""),"Junsoft Tecnologia")</f>
        <v>Junsoft Tecnologia</v>
      </c>
      <c r="X5486" s="33">
        <f>IFERROR(__xludf.DUMMYFUNCTION("""COMPUTED_VALUE"""),0.5)</f>
        <v>0.5</v>
      </c>
    </row>
    <row r="5487">
      <c r="K5487" s="4" t="str">
        <f>IFERROR(__xludf.DUMMYFUNCTION("""COMPUTED_VALUE"""),"CHICKEN-IN")</f>
        <v>CHICKEN-IN</v>
      </c>
      <c r="L5487" s="32">
        <f>IFERROR(__xludf.DUMMYFUNCTION("""COMPUTED_VALUE"""),2.0)</f>
        <v>2</v>
      </c>
      <c r="M5487" s="4" t="str">
        <f>IFERROR(__xludf.DUMMYFUNCTION("""COMPUTED_VALUE"""),"null")</f>
        <v>null</v>
      </c>
      <c r="N5487" s="33">
        <f>IFERROR(__xludf.DUMMYFUNCTION("""COMPUTED_VALUE"""),1.0)</f>
        <v>1</v>
      </c>
      <c r="O5487" s="4" t="str">
        <f>IFERROR(__xludf.DUMMYFUNCTION("""COMPUTED_VALUE"""),"Metre Sistemas")</f>
        <v>Metre Sistemas</v>
      </c>
      <c r="P5487" s="33">
        <f>IFERROR(__xludf.DUMMYFUNCTION("""COMPUTED_VALUE"""),0.5)</f>
        <v>0.5</v>
      </c>
      <c r="Q5487" s="4" t="str">
        <f>IFERROR(__xludf.DUMMYFUNCTION("""COMPUTED_VALUE"""),"Metre Sistemas")</f>
        <v>Metre Sistemas</v>
      </c>
      <c r="R5487" s="33">
        <f>IFERROR(__xludf.DUMMYFUNCTION("""COMPUTED_VALUE"""),0.5)</f>
        <v>0.5</v>
      </c>
      <c r="S5487" s="4" t="str">
        <f>IFERROR(__xludf.DUMMYFUNCTION("""COMPUTED_VALUE"""),"Metre Sistemas")</f>
        <v>Metre Sistemas</v>
      </c>
      <c r="T5487" s="33">
        <f>IFERROR(__xludf.DUMMYFUNCTION("""COMPUTED_VALUE"""),0.5)</f>
        <v>0.5</v>
      </c>
      <c r="U5487" s="4" t="str">
        <f>IFERROR(__xludf.DUMMYFUNCTION("""COMPUTED_VALUE"""),"Metre Sistemas")</f>
        <v>Metre Sistemas</v>
      </c>
      <c r="V5487" s="33">
        <f>IFERROR(__xludf.DUMMYFUNCTION("""COMPUTED_VALUE"""),0.5)</f>
        <v>0.5</v>
      </c>
      <c r="W5487" s="4" t="str">
        <f>IFERROR(__xludf.DUMMYFUNCTION("""COMPUTED_VALUE"""),"Metre Sistemas")</f>
        <v>Metre Sistemas</v>
      </c>
      <c r="X5487" s="33">
        <f>IFERROR(__xludf.DUMMYFUNCTION("""COMPUTED_VALUE"""),0.5)</f>
        <v>0.5</v>
      </c>
    </row>
    <row r="5488">
      <c r="K5488" s="4" t="str">
        <f>IFERROR(__xludf.DUMMYFUNCTION("""COMPUTED_VALUE"""),"I LOVE SMASH - BURGER ARTESANAL")</f>
        <v>I LOVE SMASH - BURGER ARTESANAL</v>
      </c>
      <c r="L5488" s="32">
        <f>IFERROR(__xludf.DUMMYFUNCTION("""COMPUTED_VALUE"""),2.0)</f>
        <v>2</v>
      </c>
      <c r="M5488" s="4" t="str">
        <f>IFERROR(__xludf.DUMMYFUNCTION("""COMPUTED_VALUE"""),"Saipos Serviços De Software")</f>
        <v>Saipos Serviços De Software</v>
      </c>
      <c r="N5488" s="33">
        <f>IFERROR(__xludf.DUMMYFUNCTION("""COMPUTED_VALUE"""),0.5)</f>
        <v>0.5</v>
      </c>
      <c r="O5488" s="4" t="str">
        <f>IFERROR(__xludf.DUMMYFUNCTION("""COMPUTED_VALUE"""),"Saipos Serviços De Software")</f>
        <v>Saipos Serviços De Software</v>
      </c>
      <c r="P5488" s="33">
        <f>IFERROR(__xludf.DUMMYFUNCTION("""COMPUTED_VALUE"""),0.5)</f>
        <v>0.5</v>
      </c>
      <c r="Q5488" s="4" t="str">
        <f>IFERROR(__xludf.DUMMYFUNCTION("""COMPUTED_VALUE"""),"Saipos Serviços De Software")</f>
        <v>Saipos Serviços De Software</v>
      </c>
      <c r="R5488" s="33">
        <f>IFERROR(__xludf.DUMMYFUNCTION("""COMPUTED_VALUE"""),0.5)</f>
        <v>0.5</v>
      </c>
      <c r="S5488" s="4" t="str">
        <f>IFERROR(__xludf.DUMMYFUNCTION("""COMPUTED_VALUE"""),"Saipos Serviços De Software")</f>
        <v>Saipos Serviços De Software</v>
      </c>
      <c r="T5488" s="33">
        <f>IFERROR(__xludf.DUMMYFUNCTION("""COMPUTED_VALUE"""),0.5)</f>
        <v>0.5</v>
      </c>
      <c r="U5488" s="4" t="str">
        <f>IFERROR(__xludf.DUMMYFUNCTION("""COMPUTED_VALUE"""),"Saipos Serviços De Software")</f>
        <v>Saipos Serviços De Software</v>
      </c>
      <c r="V5488" s="33">
        <f>IFERROR(__xludf.DUMMYFUNCTION("""COMPUTED_VALUE"""),1.0)</f>
        <v>1</v>
      </c>
      <c r="W5488" s="4" t="str">
        <f>IFERROR(__xludf.DUMMYFUNCTION("""COMPUTED_VALUE"""),"Saipos Serviços De Software")</f>
        <v>Saipos Serviços De Software</v>
      </c>
      <c r="X5488" s="33">
        <f>IFERROR(__xludf.DUMMYFUNCTION("""COMPUTED_VALUE"""),1.0)</f>
        <v>1</v>
      </c>
    </row>
    <row r="5489">
      <c r="K5489" s="4" t="str">
        <f>IFERROR(__xludf.DUMMYFUNCTION("""COMPUTED_VALUE"""),"DROGARIA MAIS ECONOMICA")</f>
        <v>DROGARIA MAIS ECONOMICA</v>
      </c>
      <c r="L5489" s="32">
        <f>IFERROR(__xludf.DUMMYFUNCTION("""COMPUTED_VALUE"""),2.0)</f>
        <v>2</v>
      </c>
      <c r="M5489" s="4" t="str">
        <f>IFERROR(__xludf.DUMMYFUNCTION("""COMPUTED_VALUE"""),"N/A (Not found)")</f>
        <v>N/A (Not found)</v>
      </c>
      <c r="N5489" s="33">
        <f>IFERROR(__xludf.DUMMYFUNCTION("""COMPUTED_VALUE"""),0.5)</f>
        <v>0.5</v>
      </c>
      <c r="O5489" s="4" t="str">
        <f>IFERROR(__xludf.DUMMYFUNCTION("""COMPUTED_VALUE"""),"N/A (Not found)")</f>
        <v>N/A (Not found)</v>
      </c>
      <c r="P5489" s="33">
        <f>IFERROR(__xludf.DUMMYFUNCTION("""COMPUTED_VALUE"""),1.0)</f>
        <v>1</v>
      </c>
      <c r="Q5489" s="4" t="str">
        <f>IFERROR(__xludf.DUMMYFUNCTION("""COMPUTED_VALUE"""),"N/A (Not found)")</f>
        <v>N/A (Not found)</v>
      </c>
      <c r="R5489" s="33">
        <f>IFERROR(__xludf.DUMMYFUNCTION("""COMPUTED_VALUE"""),1.0)</f>
        <v>1</v>
      </c>
      <c r="S5489" s="4" t="str">
        <f>IFERROR(__xludf.DUMMYFUNCTION("""COMPUTED_VALUE"""),"N/A (Not found)")</f>
        <v>N/A (Not found)</v>
      </c>
      <c r="T5489" s="33">
        <f>IFERROR(__xludf.DUMMYFUNCTION("""COMPUTED_VALUE"""),1.0)</f>
        <v>1</v>
      </c>
      <c r="U5489" s="4" t="str">
        <f>IFERROR(__xludf.DUMMYFUNCTION("""COMPUTED_VALUE"""),"N/A (Not found)")</f>
        <v>N/A (Not found)</v>
      </c>
      <c r="V5489" s="33">
        <f>IFERROR(__xludf.DUMMYFUNCTION("""COMPUTED_VALUE"""),1.0)</f>
        <v>1</v>
      </c>
      <c r="W5489" s="4" t="str">
        <f>IFERROR(__xludf.DUMMYFUNCTION("""COMPUTED_VALUE"""),"N/A (Not found)")</f>
        <v>N/A (Not found)</v>
      </c>
      <c r="X5489" s="33">
        <f>IFERROR(__xludf.DUMMYFUNCTION("""COMPUTED_VALUE"""),1.0)</f>
        <v>1</v>
      </c>
    </row>
    <row r="5490">
      <c r="K5490" s="4" t="str">
        <f>IFERROR(__xludf.DUMMYFUNCTION("""COMPUTED_VALUE"""),"PRATO CHEIO MARMITAS")</f>
        <v>PRATO CHEIO MARMITAS</v>
      </c>
      <c r="L5490" s="32">
        <f>IFERROR(__xludf.DUMMYFUNCTION("""COMPUTED_VALUE"""),2.0)</f>
        <v>2</v>
      </c>
      <c r="M5490" s="4" t="str">
        <f>IFERROR(__xludf.DUMMYFUNCTION("""COMPUTED_VALUE"""),"Instadelivery")</f>
        <v>Instadelivery</v>
      </c>
      <c r="N5490" s="33">
        <f>IFERROR(__xludf.DUMMYFUNCTION("""COMPUTED_VALUE"""),0.5)</f>
        <v>0.5</v>
      </c>
      <c r="O5490" s="4" t="str">
        <f>IFERROR(__xludf.DUMMYFUNCTION("""COMPUTED_VALUE"""),"Instadelivery")</f>
        <v>Instadelivery</v>
      </c>
      <c r="P5490" s="33">
        <f>IFERROR(__xludf.DUMMYFUNCTION("""COMPUTED_VALUE"""),0.5)</f>
        <v>0.5</v>
      </c>
      <c r="Q5490" s="4" t="str">
        <f>IFERROR(__xludf.DUMMYFUNCTION("""COMPUTED_VALUE"""),"Instadelivery")</f>
        <v>Instadelivery</v>
      </c>
      <c r="R5490" s="33">
        <f>IFERROR(__xludf.DUMMYFUNCTION("""COMPUTED_VALUE"""),0.5)</f>
        <v>0.5</v>
      </c>
      <c r="S5490" s="4" t="str">
        <f>IFERROR(__xludf.DUMMYFUNCTION("""COMPUTED_VALUE"""),"Instadelivery")</f>
        <v>Instadelivery</v>
      </c>
      <c r="T5490" s="33">
        <f>IFERROR(__xludf.DUMMYFUNCTION("""COMPUTED_VALUE"""),0.5)</f>
        <v>0.5</v>
      </c>
      <c r="U5490" s="4" t="str">
        <f>IFERROR(__xludf.DUMMYFUNCTION("""COMPUTED_VALUE"""),"Instadelivery")</f>
        <v>Instadelivery</v>
      </c>
      <c r="V5490" s="33">
        <f>IFERROR(__xludf.DUMMYFUNCTION("""COMPUTED_VALUE"""),0.5)</f>
        <v>0.5</v>
      </c>
      <c r="W5490" s="4" t="str">
        <f>IFERROR(__xludf.DUMMYFUNCTION("""COMPUTED_VALUE"""),"Instadelivery")</f>
        <v>Instadelivery</v>
      </c>
      <c r="X5490" s="33">
        <f>IFERROR(__xludf.DUMMYFUNCTION("""COMPUTED_VALUE"""),0.5)</f>
        <v>0.5</v>
      </c>
    </row>
    <row r="5491">
      <c r="K5491" s="4" t="str">
        <f>IFERROR(__xludf.DUMMYFUNCTION("""COMPUTED_VALUE"""),"MARMITARIA VITORIA")</f>
        <v>MARMITARIA VITORIA</v>
      </c>
      <c r="L5491" s="32">
        <f>IFERROR(__xludf.DUMMYFUNCTION("""COMPUTED_VALUE"""),2.0)</f>
        <v>2</v>
      </c>
      <c r="M5491" s="4" t="str">
        <f>IFERROR(__xludf.DUMMYFUNCTION("""COMPUTED_VALUE"""),"Instadelivery")</f>
        <v>Instadelivery</v>
      </c>
      <c r="N5491" s="33">
        <f>IFERROR(__xludf.DUMMYFUNCTION("""COMPUTED_VALUE"""),0.5)</f>
        <v>0.5</v>
      </c>
      <c r="O5491" s="4" t="str">
        <f>IFERROR(__xludf.DUMMYFUNCTION("""COMPUTED_VALUE"""),"Instadelivery")</f>
        <v>Instadelivery</v>
      </c>
      <c r="P5491" s="33">
        <f>IFERROR(__xludf.DUMMYFUNCTION("""COMPUTED_VALUE"""),0.5)</f>
        <v>0.5</v>
      </c>
      <c r="Q5491" s="4" t="str">
        <f>IFERROR(__xludf.DUMMYFUNCTION("""COMPUTED_VALUE"""),"Instadelivery")</f>
        <v>Instadelivery</v>
      </c>
      <c r="R5491" s="33">
        <f>IFERROR(__xludf.DUMMYFUNCTION("""COMPUTED_VALUE"""),0.5)</f>
        <v>0.5</v>
      </c>
      <c r="S5491" s="4" t="str">
        <f>IFERROR(__xludf.DUMMYFUNCTION("""COMPUTED_VALUE"""),"Instadelivery")</f>
        <v>Instadelivery</v>
      </c>
      <c r="T5491" s="33">
        <f>IFERROR(__xludf.DUMMYFUNCTION("""COMPUTED_VALUE"""),0.5)</f>
        <v>0.5</v>
      </c>
      <c r="U5491" s="4" t="str">
        <f>IFERROR(__xludf.DUMMYFUNCTION("""COMPUTED_VALUE"""),"Instadelivery")</f>
        <v>Instadelivery</v>
      </c>
      <c r="V5491" s="33">
        <f>IFERROR(__xludf.DUMMYFUNCTION("""COMPUTED_VALUE"""),0.5)</f>
        <v>0.5</v>
      </c>
      <c r="W5491" s="4" t="str">
        <f>IFERROR(__xludf.DUMMYFUNCTION("""COMPUTED_VALUE"""),"null")</f>
        <v>null</v>
      </c>
      <c r="X5491" s="33">
        <f>IFERROR(__xludf.DUMMYFUNCTION("""COMPUTED_VALUE"""),0.5)</f>
        <v>0.5</v>
      </c>
    </row>
    <row r="5492">
      <c r="K5492" s="4" t="str">
        <f>IFERROR(__xludf.DUMMYFUNCTION("""COMPUTED_VALUE"""),"SALGATELLI SALGADOS")</f>
        <v>SALGATELLI SALGADOS</v>
      </c>
      <c r="L5492" s="32">
        <f>IFERROR(__xludf.DUMMYFUNCTION("""COMPUTED_VALUE"""),2.0)</f>
        <v>2</v>
      </c>
      <c r="M5492" s="4" t="str">
        <f>IFERROR(__xludf.DUMMYFUNCTION("""COMPUTED_VALUE"""),"Cardápio Web")</f>
        <v>Cardápio Web</v>
      </c>
      <c r="N5492" s="33">
        <f>IFERROR(__xludf.DUMMYFUNCTION("""COMPUTED_VALUE"""),1.0)</f>
        <v>1</v>
      </c>
      <c r="O5492" s="4" t="str">
        <f>IFERROR(__xludf.DUMMYFUNCTION("""COMPUTED_VALUE"""),"Cardápio Web")</f>
        <v>Cardápio Web</v>
      </c>
      <c r="P5492" s="33">
        <f>IFERROR(__xludf.DUMMYFUNCTION("""COMPUTED_VALUE"""),1.0)</f>
        <v>1</v>
      </c>
      <c r="Q5492" s="4" t="str">
        <f>IFERROR(__xludf.DUMMYFUNCTION("""COMPUTED_VALUE"""),"null")</f>
        <v>null</v>
      </c>
      <c r="R5492" s="33">
        <f>IFERROR(__xludf.DUMMYFUNCTION("""COMPUTED_VALUE"""),0.5)</f>
        <v>0.5</v>
      </c>
      <c r="S5492" s="4" t="str">
        <f>IFERROR(__xludf.DUMMYFUNCTION("""COMPUTED_VALUE"""),"null")</f>
        <v>null</v>
      </c>
      <c r="T5492" s="33">
        <f>IFERROR(__xludf.DUMMYFUNCTION("""COMPUTED_VALUE"""),0.5)</f>
        <v>0.5</v>
      </c>
      <c r="U5492" s="4" t="str">
        <f>IFERROR(__xludf.DUMMYFUNCTION("""COMPUTED_VALUE"""),"null")</f>
        <v>null</v>
      </c>
      <c r="V5492" s="33">
        <f>IFERROR(__xludf.DUMMYFUNCTION("""COMPUTED_VALUE"""),0.5)</f>
        <v>0.5</v>
      </c>
      <c r="W5492" s="4" t="str">
        <f>IFERROR(__xludf.DUMMYFUNCTION("""COMPUTED_VALUE"""),"null")</f>
        <v>null</v>
      </c>
      <c r="X5492" s="33">
        <f>IFERROR(__xludf.DUMMYFUNCTION("""COMPUTED_VALUE"""),0.5)</f>
        <v>0.5</v>
      </c>
    </row>
    <row r="5493">
      <c r="K5493" s="4" t="str">
        <f>IFERROR(__xludf.DUMMYFUNCTION("""COMPUTED_VALUE"""),"VINNYS BURGUER")</f>
        <v>VINNYS BURGUER</v>
      </c>
      <c r="L5493" s="32">
        <f>IFERROR(__xludf.DUMMYFUNCTION("""COMPUTED_VALUE"""),2.0)</f>
        <v>2</v>
      </c>
      <c r="M5493" s="4" t="str">
        <f>IFERROR(__xludf.DUMMYFUNCTION("""COMPUTED_VALUE"""),"Saipos Serviços De Software")</f>
        <v>Saipos Serviços De Software</v>
      </c>
      <c r="N5493" s="33">
        <f>IFERROR(__xludf.DUMMYFUNCTION("""COMPUTED_VALUE"""),0.5)</f>
        <v>0.5</v>
      </c>
      <c r="O5493" s="4" t="str">
        <f>IFERROR(__xludf.DUMMYFUNCTION("""COMPUTED_VALUE"""),"Saipos Serviços De Software")</f>
        <v>Saipos Serviços De Software</v>
      </c>
      <c r="P5493" s="33">
        <f>IFERROR(__xludf.DUMMYFUNCTION("""COMPUTED_VALUE"""),0.5)</f>
        <v>0.5</v>
      </c>
      <c r="Q5493" s="4" t="str">
        <f>IFERROR(__xludf.DUMMYFUNCTION("""COMPUTED_VALUE"""),"Saipos Serviços De Software")</f>
        <v>Saipos Serviços De Software</v>
      </c>
      <c r="R5493" s="33">
        <f>IFERROR(__xludf.DUMMYFUNCTION("""COMPUTED_VALUE"""),0.5)</f>
        <v>0.5</v>
      </c>
      <c r="S5493" s="4" t="str">
        <f>IFERROR(__xludf.DUMMYFUNCTION("""COMPUTED_VALUE"""),"Saipos Serviços De Software")</f>
        <v>Saipos Serviços De Software</v>
      </c>
      <c r="T5493" s="33">
        <f>IFERROR(__xludf.DUMMYFUNCTION("""COMPUTED_VALUE"""),0.5)</f>
        <v>0.5</v>
      </c>
      <c r="U5493" s="4" t="str">
        <f>IFERROR(__xludf.DUMMYFUNCTION("""COMPUTED_VALUE"""),"Saipos Serviços De Software")</f>
        <v>Saipos Serviços De Software</v>
      </c>
      <c r="V5493" s="33">
        <f>IFERROR(__xludf.DUMMYFUNCTION("""COMPUTED_VALUE"""),0.5)</f>
        <v>0.5</v>
      </c>
      <c r="W5493" s="4" t="str">
        <f>IFERROR(__xludf.DUMMYFUNCTION("""COMPUTED_VALUE"""),"Saipos Serviços De Software")</f>
        <v>Saipos Serviços De Software</v>
      </c>
      <c r="X5493" s="33">
        <f>IFERROR(__xludf.DUMMYFUNCTION("""COMPUTED_VALUE"""),0.5)</f>
        <v>0.5</v>
      </c>
    </row>
    <row r="5494">
      <c r="K5494" s="4" t="str">
        <f>IFERROR(__xludf.DUMMYFUNCTION("""COMPUTED_VALUE"""),"FRANGO DBALDE")</f>
        <v>FRANGO DBALDE</v>
      </c>
      <c r="L5494" s="32">
        <f>IFERROR(__xludf.DUMMYFUNCTION("""COMPUTED_VALUE"""),2.0)</f>
        <v>2</v>
      </c>
      <c r="M5494" s="4" t="str">
        <f>IFERROR(__xludf.DUMMYFUNCTION("""COMPUTED_VALUE"""),"Instadelivery")</f>
        <v>Instadelivery</v>
      </c>
      <c r="N5494" s="33">
        <f>IFERROR(__xludf.DUMMYFUNCTION("""COMPUTED_VALUE"""),1.0)</f>
        <v>1</v>
      </c>
      <c r="O5494" s="4" t="str">
        <f>IFERROR(__xludf.DUMMYFUNCTION("""COMPUTED_VALUE"""),"Instadelivery")</f>
        <v>Instadelivery</v>
      </c>
      <c r="P5494" s="33">
        <f>IFERROR(__xludf.DUMMYFUNCTION("""COMPUTED_VALUE"""),1.0)</f>
        <v>1</v>
      </c>
      <c r="Q5494" s="4" t="str">
        <f>IFERROR(__xludf.DUMMYFUNCTION("""COMPUTED_VALUE"""),"Instadelivery")</f>
        <v>Instadelivery</v>
      </c>
      <c r="R5494" s="33">
        <f>IFERROR(__xludf.DUMMYFUNCTION("""COMPUTED_VALUE"""),1.0)</f>
        <v>1</v>
      </c>
      <c r="S5494" s="4" t="str">
        <f>IFERROR(__xludf.DUMMYFUNCTION("""COMPUTED_VALUE"""),"Instadelivery")</f>
        <v>Instadelivery</v>
      </c>
      <c r="T5494" s="33">
        <f>IFERROR(__xludf.DUMMYFUNCTION("""COMPUTED_VALUE"""),1.0)</f>
        <v>1</v>
      </c>
      <c r="U5494" s="4" t="str">
        <f>IFERROR(__xludf.DUMMYFUNCTION("""COMPUTED_VALUE"""),"Instadelivery")</f>
        <v>Instadelivery</v>
      </c>
      <c r="V5494" s="33">
        <f>IFERROR(__xludf.DUMMYFUNCTION("""COMPUTED_VALUE"""),1.0)</f>
        <v>1</v>
      </c>
      <c r="W5494" s="4" t="str">
        <f>IFERROR(__xludf.DUMMYFUNCTION("""COMPUTED_VALUE"""),"Instadelivery")</f>
        <v>Instadelivery</v>
      </c>
      <c r="X5494" s="33">
        <f>IFERROR(__xludf.DUMMYFUNCTION("""COMPUTED_VALUE"""),1.0)</f>
        <v>1</v>
      </c>
    </row>
    <row r="5495">
      <c r="K5495" s="4" t="str">
        <f>IFERROR(__xludf.DUMMYFUNCTION("""COMPUTED_VALUE"""),"TCHE BURGUER")</f>
        <v>TCHE BURGUER</v>
      </c>
      <c r="L5495" s="32">
        <f>IFERROR(__xludf.DUMMYFUNCTION("""COMPUTED_VALUE"""),2.0)</f>
        <v>2</v>
      </c>
      <c r="M5495" s="4" t="str">
        <f>IFERROR(__xludf.DUMMYFUNCTION("""COMPUTED_VALUE"""),"Anota Ai Solucoes Digitais S/a")</f>
        <v>Anota Ai Solucoes Digitais S/a</v>
      </c>
      <c r="N5495" s="33">
        <f>IFERROR(__xludf.DUMMYFUNCTION("""COMPUTED_VALUE"""),0.5)</f>
        <v>0.5</v>
      </c>
      <c r="O5495" s="4" t="str">
        <f>IFERROR(__xludf.DUMMYFUNCTION("""COMPUTED_VALUE"""),"Anota Ai Solucoes Digitais S/a")</f>
        <v>Anota Ai Solucoes Digitais S/a</v>
      </c>
      <c r="P5495" s="33">
        <f>IFERROR(__xludf.DUMMYFUNCTION("""COMPUTED_VALUE"""),0.5)</f>
        <v>0.5</v>
      </c>
      <c r="Q5495" s="4" t="str">
        <f>IFERROR(__xludf.DUMMYFUNCTION("""COMPUTED_VALUE"""),"Anota Ai Solucoes Digitais S/a")</f>
        <v>Anota Ai Solucoes Digitais S/a</v>
      </c>
      <c r="R5495" s="33">
        <f>IFERROR(__xludf.DUMMYFUNCTION("""COMPUTED_VALUE"""),0.5)</f>
        <v>0.5</v>
      </c>
      <c r="S5495" s="4" t="str">
        <f>IFERROR(__xludf.DUMMYFUNCTION("""COMPUTED_VALUE"""),"Anota Ai Solucoes Digitais S/a")</f>
        <v>Anota Ai Solucoes Digitais S/a</v>
      </c>
      <c r="T5495" s="33">
        <f>IFERROR(__xludf.DUMMYFUNCTION("""COMPUTED_VALUE"""),0.5)</f>
        <v>0.5</v>
      </c>
      <c r="U5495" s="4" t="str">
        <f>IFERROR(__xludf.DUMMYFUNCTION("""COMPUTED_VALUE"""),"Anota Ai Solucoes Digitais S/a")</f>
        <v>Anota Ai Solucoes Digitais S/a</v>
      </c>
      <c r="V5495" s="33">
        <f>IFERROR(__xludf.DUMMYFUNCTION("""COMPUTED_VALUE"""),0.5)</f>
        <v>0.5</v>
      </c>
      <c r="W5495" s="4" t="str">
        <f>IFERROR(__xludf.DUMMYFUNCTION("""COMPUTED_VALUE"""),"Anota Ai Solucoes Digitais S/a")</f>
        <v>Anota Ai Solucoes Digitais S/a</v>
      </c>
      <c r="X5495" s="33">
        <f>IFERROR(__xludf.DUMMYFUNCTION("""COMPUTED_VALUE"""),0.5)</f>
        <v>0.5</v>
      </c>
    </row>
    <row r="5496">
      <c r="K5496" s="4" t="str">
        <f>IFERROR(__xludf.DUMMYFUNCTION("""COMPUTED_VALUE"""),"ACAI E PASTELARIA DO BOKA")</f>
        <v>ACAI E PASTELARIA DO BOKA</v>
      </c>
      <c r="L5496" s="32">
        <f>IFERROR(__xludf.DUMMYFUNCTION("""COMPUTED_VALUE"""),2.0)</f>
        <v>2</v>
      </c>
      <c r="M5496" s="4" t="str">
        <f>IFERROR(__xludf.DUMMYFUNCTION("""COMPUTED_VALUE"""),"Vuca Solution")</f>
        <v>Vuca Solution</v>
      </c>
      <c r="N5496" s="33">
        <f>IFERROR(__xludf.DUMMYFUNCTION("""COMPUTED_VALUE"""),1.0)</f>
        <v>1</v>
      </c>
      <c r="O5496" s="4" t="str">
        <f>IFERROR(__xludf.DUMMYFUNCTION("""COMPUTED_VALUE"""),"Vuca Solution")</f>
        <v>Vuca Solution</v>
      </c>
      <c r="P5496" s="33">
        <f>IFERROR(__xludf.DUMMYFUNCTION("""COMPUTED_VALUE"""),1.0)</f>
        <v>1</v>
      </c>
      <c r="Q5496" s="4" t="str">
        <f>IFERROR(__xludf.DUMMYFUNCTION("""COMPUTED_VALUE"""),"Vuca Solution")</f>
        <v>Vuca Solution</v>
      </c>
      <c r="R5496" s="33">
        <f>IFERROR(__xludf.DUMMYFUNCTION("""COMPUTED_VALUE"""),1.0)</f>
        <v>1</v>
      </c>
      <c r="S5496" s="4" t="str">
        <f>IFERROR(__xludf.DUMMYFUNCTION("""COMPUTED_VALUE"""),"Vuca Solution")</f>
        <v>Vuca Solution</v>
      </c>
      <c r="T5496" s="33">
        <f>IFERROR(__xludf.DUMMYFUNCTION("""COMPUTED_VALUE"""),1.0)</f>
        <v>1</v>
      </c>
      <c r="U5496" s="4" t="str">
        <f>IFERROR(__xludf.DUMMYFUNCTION("""COMPUTED_VALUE"""),"Vuca Solution")</f>
        <v>Vuca Solution</v>
      </c>
      <c r="V5496" s="33">
        <f>IFERROR(__xludf.DUMMYFUNCTION("""COMPUTED_VALUE"""),1.0)</f>
        <v>1</v>
      </c>
      <c r="W5496" s="4" t="str">
        <f>IFERROR(__xludf.DUMMYFUNCTION("""COMPUTED_VALUE"""),"Vuca Solution")</f>
        <v>Vuca Solution</v>
      </c>
      <c r="X5496" s="33">
        <f>IFERROR(__xludf.DUMMYFUNCTION("""COMPUTED_VALUE"""),1.0)</f>
        <v>1</v>
      </c>
    </row>
    <row r="5497">
      <c r="K5497" s="4" t="str">
        <f>IFERROR(__xludf.DUMMYFUNCTION("""COMPUTED_VALUE"""),"BONNA MASSA")</f>
        <v>BONNA MASSA</v>
      </c>
      <c r="L5497" s="32">
        <f>IFERROR(__xludf.DUMMYFUNCTION("""COMPUTED_VALUE"""),2.0)</f>
        <v>2</v>
      </c>
      <c r="M5497" s="4" t="str">
        <f>IFERROR(__xludf.DUMMYFUNCTION("""COMPUTED_VALUE"""),"Anota Ai Solucoes Digitais S/a")</f>
        <v>Anota Ai Solucoes Digitais S/a</v>
      </c>
      <c r="N5497" s="33">
        <f>IFERROR(__xludf.DUMMYFUNCTION("""COMPUTED_VALUE"""),0.5)</f>
        <v>0.5</v>
      </c>
      <c r="O5497" s="4" t="str">
        <f>IFERROR(__xludf.DUMMYFUNCTION("""COMPUTED_VALUE"""),"Anota Ai Solucoes Digitais S/a")</f>
        <v>Anota Ai Solucoes Digitais S/a</v>
      </c>
      <c r="P5497" s="33">
        <f>IFERROR(__xludf.DUMMYFUNCTION("""COMPUTED_VALUE"""),0.5)</f>
        <v>0.5</v>
      </c>
      <c r="Q5497" s="4" t="str">
        <f>IFERROR(__xludf.DUMMYFUNCTION("""COMPUTED_VALUE"""),"Anota Ai Solucoes Digitais S/a")</f>
        <v>Anota Ai Solucoes Digitais S/a</v>
      </c>
      <c r="R5497" s="33">
        <f>IFERROR(__xludf.DUMMYFUNCTION("""COMPUTED_VALUE"""),0.5)</f>
        <v>0.5</v>
      </c>
      <c r="S5497" s="4" t="str">
        <f>IFERROR(__xludf.DUMMYFUNCTION("""COMPUTED_VALUE"""),"Anota Ai Solucoes Digitais S/a")</f>
        <v>Anota Ai Solucoes Digitais S/a</v>
      </c>
      <c r="T5497" s="33">
        <f>IFERROR(__xludf.DUMMYFUNCTION("""COMPUTED_VALUE"""),0.5)</f>
        <v>0.5</v>
      </c>
      <c r="U5497" s="4" t="str">
        <f>IFERROR(__xludf.DUMMYFUNCTION("""COMPUTED_VALUE"""),"Anota Ai Solucoes Digitais S/a")</f>
        <v>Anota Ai Solucoes Digitais S/a</v>
      </c>
      <c r="V5497" s="33">
        <f>IFERROR(__xludf.DUMMYFUNCTION("""COMPUTED_VALUE"""),0.5)</f>
        <v>0.5</v>
      </c>
      <c r="W5497" s="4" t="str">
        <f>IFERROR(__xludf.DUMMYFUNCTION("""COMPUTED_VALUE"""),"Anota Ai Solucoes Digitais S/a")</f>
        <v>Anota Ai Solucoes Digitais S/a</v>
      </c>
      <c r="X5497" s="33">
        <f>IFERROR(__xludf.DUMMYFUNCTION("""COMPUTED_VALUE"""),0.5)</f>
        <v>0.5</v>
      </c>
    </row>
    <row r="5498">
      <c r="K5498" s="4" t="str">
        <f>IFERROR(__xludf.DUMMYFUNCTION("""COMPUTED_VALUE"""),"ANGUS LANCHES")</f>
        <v>ANGUS LANCHES</v>
      </c>
      <c r="L5498" s="32">
        <f>IFERROR(__xludf.DUMMYFUNCTION("""COMPUTED_VALUE"""),2.0)</f>
        <v>2</v>
      </c>
      <c r="M5498" s="4" t="str">
        <f>IFERROR(__xludf.DUMMYFUNCTION("""COMPUTED_VALUE"""),"null")</f>
        <v>null</v>
      </c>
      <c r="N5498" s="33">
        <f>IFERROR(__xludf.DUMMYFUNCTION("""COMPUTED_VALUE"""),1.0)</f>
        <v>1</v>
      </c>
      <c r="O5498" s="4" t="str">
        <f>IFERROR(__xludf.DUMMYFUNCTION("""COMPUTED_VALUE"""),"Saipos Serviços De Software")</f>
        <v>Saipos Serviços De Software</v>
      </c>
      <c r="P5498" s="33">
        <f>IFERROR(__xludf.DUMMYFUNCTION("""COMPUTED_VALUE"""),0.5)</f>
        <v>0.5</v>
      </c>
      <c r="Q5498" s="4" t="str">
        <f>IFERROR(__xludf.DUMMYFUNCTION("""COMPUTED_VALUE"""),"Saipos Serviços De Software")</f>
        <v>Saipos Serviços De Software</v>
      </c>
      <c r="R5498" s="33">
        <f>IFERROR(__xludf.DUMMYFUNCTION("""COMPUTED_VALUE"""),0.5)</f>
        <v>0.5</v>
      </c>
      <c r="S5498" s="4" t="str">
        <f>IFERROR(__xludf.DUMMYFUNCTION("""COMPUTED_VALUE"""),"Saipos Serviços De Software")</f>
        <v>Saipos Serviços De Software</v>
      </c>
      <c r="T5498" s="33">
        <f>IFERROR(__xludf.DUMMYFUNCTION("""COMPUTED_VALUE"""),0.5)</f>
        <v>0.5</v>
      </c>
      <c r="U5498" s="4" t="str">
        <f>IFERROR(__xludf.DUMMYFUNCTION("""COMPUTED_VALUE"""),"Saipos Serviços De Software")</f>
        <v>Saipos Serviços De Software</v>
      </c>
      <c r="V5498" s="33">
        <f>IFERROR(__xludf.DUMMYFUNCTION("""COMPUTED_VALUE"""),0.5)</f>
        <v>0.5</v>
      </c>
      <c r="W5498" s="4" t="str">
        <f>IFERROR(__xludf.DUMMYFUNCTION("""COMPUTED_VALUE"""),"Saipos Serviços De Software")</f>
        <v>Saipos Serviços De Software</v>
      </c>
      <c r="X5498" s="33">
        <f>IFERROR(__xludf.DUMMYFUNCTION("""COMPUTED_VALUE"""),1.0)</f>
        <v>1</v>
      </c>
    </row>
    <row r="5499">
      <c r="K5499" s="4" t="str">
        <f>IFERROR(__xludf.DUMMYFUNCTION("""COMPUTED_VALUE"""),"DELICIAS NO PONTO")</f>
        <v>DELICIAS NO PONTO</v>
      </c>
      <c r="L5499" s="32">
        <f>IFERROR(__xludf.DUMMYFUNCTION("""COMPUTED_VALUE"""),2.0)</f>
        <v>2</v>
      </c>
      <c r="M5499" s="4" t="str">
        <f>IFERROR(__xludf.DUMMYFUNCTION("""COMPUTED_VALUE"""),"Instadelivery")</f>
        <v>Instadelivery</v>
      </c>
      <c r="N5499" s="33">
        <f>IFERROR(__xludf.DUMMYFUNCTION("""COMPUTED_VALUE"""),0.5)</f>
        <v>0.5</v>
      </c>
      <c r="O5499" s="4" t="str">
        <f>IFERROR(__xludf.DUMMYFUNCTION("""COMPUTED_VALUE"""),"Instadelivery")</f>
        <v>Instadelivery</v>
      </c>
      <c r="P5499" s="33">
        <f>IFERROR(__xludf.DUMMYFUNCTION("""COMPUTED_VALUE"""),0.5)</f>
        <v>0.5</v>
      </c>
      <c r="Q5499" s="4" t="str">
        <f>IFERROR(__xludf.DUMMYFUNCTION("""COMPUTED_VALUE"""),"Instadelivery")</f>
        <v>Instadelivery</v>
      </c>
      <c r="R5499" s="33">
        <f>IFERROR(__xludf.DUMMYFUNCTION("""COMPUTED_VALUE"""),0.5)</f>
        <v>0.5</v>
      </c>
      <c r="S5499" s="4" t="str">
        <f>IFERROR(__xludf.DUMMYFUNCTION("""COMPUTED_VALUE"""),"Instadelivery")</f>
        <v>Instadelivery</v>
      </c>
      <c r="T5499" s="33">
        <f>IFERROR(__xludf.DUMMYFUNCTION("""COMPUTED_VALUE"""),0.5)</f>
        <v>0.5</v>
      </c>
      <c r="U5499" s="4" t="str">
        <f>IFERROR(__xludf.DUMMYFUNCTION("""COMPUTED_VALUE"""),"Instadelivery")</f>
        <v>Instadelivery</v>
      </c>
      <c r="V5499" s="33">
        <f>IFERROR(__xludf.DUMMYFUNCTION("""COMPUTED_VALUE"""),0.5)</f>
        <v>0.5</v>
      </c>
      <c r="W5499" s="4" t="str">
        <f>IFERROR(__xludf.DUMMYFUNCTION("""COMPUTED_VALUE"""),"Instadelivery")</f>
        <v>Instadelivery</v>
      </c>
      <c r="X5499" s="33">
        <f>IFERROR(__xludf.DUMMYFUNCTION("""COMPUTED_VALUE"""),0.5)</f>
        <v>0.5</v>
      </c>
    </row>
    <row r="5500">
      <c r="K5500" s="4" t="str">
        <f>IFERROR(__xludf.DUMMYFUNCTION("""COMPUTED_VALUE"""),"SABOR GRILL")</f>
        <v>SABOR GRILL</v>
      </c>
      <c r="L5500" s="32">
        <f>IFERROR(__xludf.DUMMYFUNCTION("""COMPUTED_VALUE"""),2.0)</f>
        <v>2</v>
      </c>
      <c r="M5500" s="4" t="str">
        <f>IFERROR(__xludf.DUMMYFUNCTION("""COMPUTED_VALUE"""),"Saipos Serviços De Software")</f>
        <v>Saipos Serviços De Software</v>
      </c>
      <c r="N5500" s="33">
        <f>IFERROR(__xludf.DUMMYFUNCTION("""COMPUTED_VALUE"""),0.5)</f>
        <v>0.5</v>
      </c>
      <c r="O5500" s="4" t="str">
        <f>IFERROR(__xludf.DUMMYFUNCTION("""COMPUTED_VALUE"""),"Saipos Serviços De Software")</f>
        <v>Saipos Serviços De Software</v>
      </c>
      <c r="P5500" s="33">
        <f>IFERROR(__xludf.DUMMYFUNCTION("""COMPUTED_VALUE"""),0.5)</f>
        <v>0.5</v>
      </c>
      <c r="Q5500" s="4" t="str">
        <f>IFERROR(__xludf.DUMMYFUNCTION("""COMPUTED_VALUE"""),"Saipos Serviços De Software")</f>
        <v>Saipos Serviços De Software</v>
      </c>
      <c r="R5500" s="33">
        <f>IFERROR(__xludf.DUMMYFUNCTION("""COMPUTED_VALUE"""),0.5)</f>
        <v>0.5</v>
      </c>
      <c r="S5500" s="4" t="str">
        <f>IFERROR(__xludf.DUMMYFUNCTION("""COMPUTED_VALUE"""),"null")</f>
        <v>null</v>
      </c>
      <c r="T5500" s="33">
        <f>IFERROR(__xludf.DUMMYFUNCTION("""COMPUTED_VALUE"""),0.5)</f>
        <v>0.5</v>
      </c>
      <c r="U5500" s="4" t="str">
        <f>IFERROR(__xludf.DUMMYFUNCTION("""COMPUTED_VALUE"""),"null")</f>
        <v>null</v>
      </c>
      <c r="V5500" s="33">
        <f>IFERROR(__xludf.DUMMYFUNCTION("""COMPUTED_VALUE"""),1.0)</f>
        <v>1</v>
      </c>
      <c r="W5500" s="4" t="str">
        <f>IFERROR(__xludf.DUMMYFUNCTION("""COMPUTED_VALUE"""),"null")</f>
        <v>null</v>
      </c>
      <c r="X5500" s="33">
        <f>IFERROR(__xludf.DUMMYFUNCTION("""COMPUTED_VALUE"""),0.5)</f>
        <v>0.5</v>
      </c>
    </row>
    <row r="5501">
      <c r="K5501" s="4" t="str">
        <f>IFERROR(__xludf.DUMMYFUNCTION("""COMPUTED_VALUE"""),"MEDALHAO BURGUER THE - HAMBURGUERIA")</f>
        <v>MEDALHAO BURGUER THE - HAMBURGUERIA</v>
      </c>
      <c r="L5501" s="32">
        <f>IFERROR(__xludf.DUMMYFUNCTION("""COMPUTED_VALUE"""),2.0)</f>
        <v>2</v>
      </c>
      <c r="M5501" s="4" t="str">
        <f>IFERROR(__xludf.DUMMYFUNCTION("""COMPUTED_VALUE"""),"null")</f>
        <v>null</v>
      </c>
      <c r="N5501" s="33">
        <f>IFERROR(__xludf.DUMMYFUNCTION("""COMPUTED_VALUE"""),1.0)</f>
        <v>1</v>
      </c>
      <c r="O5501" s="4" t="str">
        <f>IFERROR(__xludf.DUMMYFUNCTION("""COMPUTED_VALUE"""),"null")</f>
        <v>null</v>
      </c>
      <c r="P5501" s="33">
        <f>IFERROR(__xludf.DUMMYFUNCTION("""COMPUTED_VALUE"""),1.0)</f>
        <v>1</v>
      </c>
      <c r="Q5501" s="4" t="str">
        <f>IFERROR(__xludf.DUMMYFUNCTION("""COMPUTED_VALUE"""),"null")</f>
        <v>null</v>
      </c>
      <c r="R5501" s="33">
        <f>IFERROR(__xludf.DUMMYFUNCTION("""COMPUTED_VALUE"""),1.0)</f>
        <v>1</v>
      </c>
      <c r="S5501" s="4" t="str">
        <f>IFERROR(__xludf.DUMMYFUNCTION("""COMPUTED_VALUE"""),"Agilizup Solucoes Ltda")</f>
        <v>Agilizup Solucoes Ltda</v>
      </c>
      <c r="T5501" s="33">
        <f>IFERROR(__xludf.DUMMYFUNCTION("""COMPUTED_VALUE"""),1.0)</f>
        <v>1</v>
      </c>
      <c r="U5501" s="4" t="str">
        <f>IFERROR(__xludf.DUMMYFUNCTION("""COMPUTED_VALUE"""),"Agilizup Solucoes Ltda")</f>
        <v>Agilizup Solucoes Ltda</v>
      </c>
      <c r="V5501" s="33">
        <f>IFERROR(__xludf.DUMMYFUNCTION("""COMPUTED_VALUE"""),1.0)</f>
        <v>1</v>
      </c>
      <c r="W5501" s="4" t="str">
        <f>IFERROR(__xludf.DUMMYFUNCTION("""COMPUTED_VALUE"""),"Agilizup Solucoes Ltda")</f>
        <v>Agilizup Solucoes Ltda</v>
      </c>
      <c r="X5501" s="33">
        <f>IFERROR(__xludf.DUMMYFUNCTION("""COMPUTED_VALUE"""),1.0)</f>
        <v>1</v>
      </c>
    </row>
    <row r="5502">
      <c r="K5502" s="4" t="str">
        <f>IFERROR(__xludf.DUMMYFUNCTION("""COMPUTED_VALUE"""),"LA DOCERIA")</f>
        <v>LA DOCERIA</v>
      </c>
      <c r="L5502" s="32">
        <f>IFERROR(__xludf.DUMMYFUNCTION("""COMPUTED_VALUE"""),2.0)</f>
        <v>2</v>
      </c>
      <c r="M5502" s="4" t="str">
        <f>IFERROR(__xludf.DUMMYFUNCTION("""COMPUTED_VALUE"""),"null")</f>
        <v>null</v>
      </c>
      <c r="N5502" s="33">
        <f>IFERROR(__xludf.DUMMYFUNCTION("""COMPUTED_VALUE"""),1.0)</f>
        <v>1</v>
      </c>
      <c r="O5502" s="4" t="str">
        <f>IFERROR(__xludf.DUMMYFUNCTION("""COMPUTED_VALUE"""),"null")</f>
        <v>null</v>
      </c>
      <c r="P5502" s="33">
        <f>IFERROR(__xludf.DUMMYFUNCTION("""COMPUTED_VALUE"""),1.0)</f>
        <v>1</v>
      </c>
      <c r="Q5502" s="4" t="str">
        <f>IFERROR(__xludf.DUMMYFUNCTION("""COMPUTED_VALUE"""),"Saipos Serviços De Software")</f>
        <v>Saipos Serviços De Software</v>
      </c>
      <c r="R5502" s="33">
        <f>IFERROR(__xludf.DUMMYFUNCTION("""COMPUTED_VALUE"""),0.5)</f>
        <v>0.5</v>
      </c>
      <c r="S5502" s="4" t="str">
        <f>IFERROR(__xludf.DUMMYFUNCTION("""COMPUTED_VALUE"""),"Saipos Serviços De Software")</f>
        <v>Saipos Serviços De Software</v>
      </c>
      <c r="T5502" s="33">
        <f>IFERROR(__xludf.DUMMYFUNCTION("""COMPUTED_VALUE"""),0.5)</f>
        <v>0.5</v>
      </c>
      <c r="U5502" s="4" t="str">
        <f>IFERROR(__xludf.DUMMYFUNCTION("""COMPUTED_VALUE"""),"Saipos Serviços De Software")</f>
        <v>Saipos Serviços De Software</v>
      </c>
      <c r="V5502" s="33">
        <f>IFERROR(__xludf.DUMMYFUNCTION("""COMPUTED_VALUE"""),0.5)</f>
        <v>0.5</v>
      </c>
      <c r="W5502" s="4" t="str">
        <f>IFERROR(__xludf.DUMMYFUNCTION("""COMPUTED_VALUE"""),"null")</f>
        <v>null</v>
      </c>
      <c r="X5502" s="33">
        <f>IFERROR(__xludf.DUMMYFUNCTION("""COMPUTED_VALUE"""),0.5)</f>
        <v>0.5</v>
      </c>
    </row>
    <row r="5503">
      <c r="K5503" s="4" t="str">
        <f>IFERROR(__xludf.DUMMYFUNCTION("""COMPUTED_VALUE"""),"DROGARIA BIG POPULAR")</f>
        <v>DROGARIA BIG POPULAR</v>
      </c>
      <c r="L5503" s="32">
        <f>IFERROR(__xludf.DUMMYFUNCTION("""COMPUTED_VALUE"""),2.0)</f>
        <v>2</v>
      </c>
      <c r="M5503" s="4" t="str">
        <f>IFERROR(__xludf.DUMMYFUNCTION("""COMPUTED_VALUE"""),"N/A (Not found)")</f>
        <v>N/A (Not found)</v>
      </c>
      <c r="N5503" s="33">
        <f>IFERROR(__xludf.DUMMYFUNCTION("""COMPUTED_VALUE"""),0.5)</f>
        <v>0.5</v>
      </c>
      <c r="O5503" s="4" t="str">
        <f>IFERROR(__xludf.DUMMYFUNCTION("""COMPUTED_VALUE"""),"N/A (Not found)")</f>
        <v>N/A (Not found)</v>
      </c>
      <c r="P5503" s="33">
        <f>IFERROR(__xludf.DUMMYFUNCTION("""COMPUTED_VALUE"""),0.5)</f>
        <v>0.5</v>
      </c>
      <c r="Q5503" s="4" t="str">
        <f>IFERROR(__xludf.DUMMYFUNCTION("""COMPUTED_VALUE"""),"N/A (Not found)")</f>
        <v>N/A (Not found)</v>
      </c>
      <c r="R5503" s="33">
        <f>IFERROR(__xludf.DUMMYFUNCTION("""COMPUTED_VALUE"""),0.5)</f>
        <v>0.5</v>
      </c>
      <c r="S5503" s="4" t="str">
        <f>IFERROR(__xludf.DUMMYFUNCTION("""COMPUTED_VALUE"""),"N/A (Not found)")</f>
        <v>N/A (Not found)</v>
      </c>
      <c r="T5503" s="33">
        <f>IFERROR(__xludf.DUMMYFUNCTION("""COMPUTED_VALUE"""),1.0)</f>
        <v>1</v>
      </c>
      <c r="U5503" s="4" t="str">
        <f>IFERROR(__xludf.DUMMYFUNCTION("""COMPUTED_VALUE"""),"N/A (Not found)")</f>
        <v>N/A (Not found)</v>
      </c>
      <c r="V5503" s="33">
        <f>IFERROR(__xludf.DUMMYFUNCTION("""COMPUTED_VALUE"""),1.0)</f>
        <v>1</v>
      </c>
      <c r="W5503" s="4" t="str">
        <f>IFERROR(__xludf.DUMMYFUNCTION("""COMPUTED_VALUE"""),"N/A (Not found)")</f>
        <v>N/A (Not found)</v>
      </c>
      <c r="X5503" s="33">
        <f>IFERROR(__xludf.DUMMYFUNCTION("""COMPUTED_VALUE"""),1.0)</f>
        <v>1</v>
      </c>
    </row>
    <row r="5504">
      <c r="K5504" s="4" t="str">
        <f>IFERROR(__xludf.DUMMYFUNCTION("""COMPUTED_VALUE"""),"DAVIS BURGER")</f>
        <v>DAVIS BURGER</v>
      </c>
      <c r="L5504" s="32">
        <f>IFERROR(__xludf.DUMMYFUNCTION("""COMPUTED_VALUE"""),2.0)</f>
        <v>2</v>
      </c>
      <c r="M5504" s="4" t="str">
        <f>IFERROR(__xludf.DUMMYFUNCTION("""COMPUTED_VALUE"""),"Vekttor")</f>
        <v>Vekttor</v>
      </c>
      <c r="N5504" s="33">
        <f>IFERROR(__xludf.DUMMYFUNCTION("""COMPUTED_VALUE"""),0.5)</f>
        <v>0.5</v>
      </c>
      <c r="O5504" s="4" t="str">
        <f>IFERROR(__xludf.DUMMYFUNCTION("""COMPUTED_VALUE"""),"Vekttor")</f>
        <v>Vekttor</v>
      </c>
      <c r="P5504" s="33">
        <f>IFERROR(__xludf.DUMMYFUNCTION("""COMPUTED_VALUE"""),0.5)</f>
        <v>0.5</v>
      </c>
      <c r="Q5504" s="4" t="str">
        <f>IFERROR(__xludf.DUMMYFUNCTION("""COMPUTED_VALUE"""),"Vekttor")</f>
        <v>Vekttor</v>
      </c>
      <c r="R5504" s="33">
        <f>IFERROR(__xludf.DUMMYFUNCTION("""COMPUTED_VALUE"""),0.5)</f>
        <v>0.5</v>
      </c>
      <c r="S5504" s="4" t="str">
        <f>IFERROR(__xludf.DUMMYFUNCTION("""COMPUTED_VALUE"""),"Vekttor")</f>
        <v>Vekttor</v>
      </c>
      <c r="T5504" s="33">
        <f>IFERROR(__xludf.DUMMYFUNCTION("""COMPUTED_VALUE"""),0.5)</f>
        <v>0.5</v>
      </c>
      <c r="U5504" s="4" t="str">
        <f>IFERROR(__xludf.DUMMYFUNCTION("""COMPUTED_VALUE"""),"null")</f>
        <v>null</v>
      </c>
      <c r="V5504" s="33">
        <f>IFERROR(__xludf.DUMMYFUNCTION("""COMPUTED_VALUE"""),0.5)</f>
        <v>0.5</v>
      </c>
      <c r="W5504" s="4" t="str">
        <f>IFERROR(__xludf.DUMMYFUNCTION("""COMPUTED_VALUE"""),"null")</f>
        <v>null</v>
      </c>
      <c r="X5504" s="33">
        <f>IFERROR(__xludf.DUMMYFUNCTION("""COMPUTED_VALUE"""),0.5)</f>
        <v>0.5</v>
      </c>
    </row>
    <row r="5505">
      <c r="K5505" s="4" t="str">
        <f>IFERROR(__xludf.DUMMYFUNCTION("""COMPUTED_VALUE"""),"NO COFFEE SMOOTHIES")</f>
        <v>NO COFFEE SMOOTHIES</v>
      </c>
      <c r="L5505" s="32">
        <f>IFERROR(__xludf.DUMMYFUNCTION("""COMPUTED_VALUE"""),2.0)</f>
        <v>2</v>
      </c>
      <c r="M5505" s="4" t="str">
        <f>IFERROR(__xludf.DUMMYFUNCTION("""COMPUTED_VALUE"""),"null")</f>
        <v>null</v>
      </c>
      <c r="N5505" s="33">
        <f>IFERROR(__xludf.DUMMYFUNCTION("""COMPUTED_VALUE"""),1.0)</f>
        <v>1</v>
      </c>
      <c r="O5505" s="4" t="str">
        <f>IFERROR(__xludf.DUMMYFUNCTION("""COMPUTED_VALUE"""),"Anota Ai Solucoes Digitais S/a")</f>
        <v>Anota Ai Solucoes Digitais S/a</v>
      </c>
      <c r="P5505" s="33">
        <f>IFERROR(__xludf.DUMMYFUNCTION("""COMPUTED_VALUE"""),0.5)</f>
        <v>0.5</v>
      </c>
      <c r="Q5505" s="4" t="str">
        <f>IFERROR(__xludf.DUMMYFUNCTION("""COMPUTED_VALUE"""),"Anota Ai Solucoes Digitais S/a")</f>
        <v>Anota Ai Solucoes Digitais S/a</v>
      </c>
      <c r="R5505" s="33">
        <f>IFERROR(__xludf.DUMMYFUNCTION("""COMPUTED_VALUE"""),0.5)</f>
        <v>0.5</v>
      </c>
      <c r="S5505" s="4" t="str">
        <f>IFERROR(__xludf.DUMMYFUNCTION("""COMPUTED_VALUE"""),"null")</f>
        <v>null</v>
      </c>
      <c r="T5505" s="33">
        <f>IFERROR(__xludf.DUMMYFUNCTION("""COMPUTED_VALUE"""),1.0)</f>
        <v>1</v>
      </c>
      <c r="U5505" s="4" t="str">
        <f>IFERROR(__xludf.DUMMYFUNCTION("""COMPUTED_VALUE"""),"null")</f>
        <v>null</v>
      </c>
      <c r="V5505" s="33">
        <f>IFERROR(__xludf.DUMMYFUNCTION("""COMPUTED_VALUE"""),0.5)</f>
        <v>0.5</v>
      </c>
      <c r="W5505" s="4" t="str">
        <f>IFERROR(__xludf.DUMMYFUNCTION("""COMPUTED_VALUE"""),"null")</f>
        <v>null</v>
      </c>
      <c r="X5505" s="33">
        <f>IFERROR(__xludf.DUMMYFUNCTION("""COMPUTED_VALUE"""),0.5)</f>
        <v>0.5</v>
      </c>
    </row>
    <row r="5506">
      <c r="K5506" s="4" t="str">
        <f>IFERROR(__xludf.DUMMYFUNCTION("""COMPUTED_VALUE"""),"SIL LANCHES")</f>
        <v>SIL LANCHES</v>
      </c>
      <c r="L5506" s="32">
        <f>IFERROR(__xludf.DUMMYFUNCTION("""COMPUTED_VALUE"""),2.0)</f>
        <v>2</v>
      </c>
      <c r="M5506" s="4" t="str">
        <f>IFERROR(__xludf.DUMMYFUNCTION("""COMPUTED_VALUE"""),"null")</f>
        <v>null</v>
      </c>
      <c r="N5506" s="33">
        <f>IFERROR(__xludf.DUMMYFUNCTION("""COMPUTED_VALUE"""),1.0)</f>
        <v>1</v>
      </c>
      <c r="O5506" s="4" t="str">
        <f>IFERROR(__xludf.DUMMYFUNCTION("""COMPUTED_VALUE"""),"null")</f>
        <v>null</v>
      </c>
      <c r="P5506" s="33">
        <f>IFERROR(__xludf.DUMMYFUNCTION("""COMPUTED_VALUE"""),1.0)</f>
        <v>1</v>
      </c>
      <c r="Q5506" s="4" t="str">
        <f>IFERROR(__xludf.DUMMYFUNCTION("""COMPUTED_VALUE"""),"Cardápio Web")</f>
        <v>Cardápio Web</v>
      </c>
      <c r="R5506" s="33">
        <f>IFERROR(__xludf.DUMMYFUNCTION("""COMPUTED_VALUE"""),0.5)</f>
        <v>0.5</v>
      </c>
      <c r="S5506" s="4" t="str">
        <f>IFERROR(__xludf.DUMMYFUNCTION("""COMPUTED_VALUE"""),"Cardápio Web")</f>
        <v>Cardápio Web</v>
      </c>
      <c r="T5506" s="33">
        <f>IFERROR(__xludf.DUMMYFUNCTION("""COMPUTED_VALUE"""),0.5)</f>
        <v>0.5</v>
      </c>
      <c r="U5506" s="4" t="str">
        <f>IFERROR(__xludf.DUMMYFUNCTION("""COMPUTED_VALUE"""),"Cardápio Web")</f>
        <v>Cardápio Web</v>
      </c>
      <c r="V5506" s="33">
        <f>IFERROR(__xludf.DUMMYFUNCTION("""COMPUTED_VALUE"""),0.5)</f>
        <v>0.5</v>
      </c>
      <c r="W5506" s="4" t="str">
        <f>IFERROR(__xludf.DUMMYFUNCTION("""COMPUTED_VALUE"""),"Cardápio Web")</f>
        <v>Cardápio Web</v>
      </c>
      <c r="X5506" s="33">
        <f>IFERROR(__xludf.DUMMYFUNCTION("""COMPUTED_VALUE"""),0.5)</f>
        <v>0.5</v>
      </c>
    </row>
    <row r="5507">
      <c r="K5507" s="4" t="str">
        <f>IFERROR(__xludf.DUMMYFUNCTION("""COMPUTED_VALUE"""),"PET FELIZ")</f>
        <v>PET FELIZ</v>
      </c>
      <c r="L5507" s="32">
        <f>IFERROR(__xludf.DUMMYFUNCTION("""COMPUTED_VALUE"""),2.0)</f>
        <v>2</v>
      </c>
      <c r="M5507" s="4" t="str">
        <f>IFERROR(__xludf.DUMMYFUNCTION("""COMPUTED_VALUE"""),"null")</f>
        <v>null</v>
      </c>
      <c r="N5507" s="33">
        <f>IFERROR(__xludf.DUMMYFUNCTION("""COMPUTED_VALUE"""),1.0)</f>
        <v>1</v>
      </c>
      <c r="O5507" s="4" t="str">
        <f>IFERROR(__xludf.DUMMYFUNCTION("""COMPUTED_VALUE"""),"null")</f>
        <v>null</v>
      </c>
      <c r="P5507" s="33">
        <f>IFERROR(__xludf.DUMMYFUNCTION("""COMPUTED_VALUE"""),1.0)</f>
        <v>1</v>
      </c>
      <c r="Q5507" s="4" t="str">
        <f>IFERROR(__xludf.DUMMYFUNCTION("""COMPUTED_VALUE"""),"null")</f>
        <v>null</v>
      </c>
      <c r="R5507" s="33">
        <f>IFERROR(__xludf.DUMMYFUNCTION("""COMPUTED_VALUE"""),1.0)</f>
        <v>1</v>
      </c>
      <c r="S5507" s="4" t="str">
        <f>IFERROR(__xludf.DUMMYFUNCTION("""COMPUTED_VALUE"""),"null")</f>
        <v>null</v>
      </c>
      <c r="T5507" s="33">
        <f>IFERROR(__xludf.DUMMYFUNCTION("""COMPUTED_VALUE"""),1.0)</f>
        <v>1</v>
      </c>
      <c r="U5507" s="4" t="str">
        <f>IFERROR(__xludf.DUMMYFUNCTION("""COMPUTED_VALUE"""),"null")</f>
        <v>null</v>
      </c>
      <c r="V5507" s="33">
        <f>IFERROR(__xludf.DUMMYFUNCTION("""COMPUTED_VALUE"""),0.5)</f>
        <v>0.5</v>
      </c>
      <c r="W5507" s="4" t="str">
        <f>IFERROR(__xludf.DUMMYFUNCTION("""COMPUTED_VALUE"""),"N/A (Not found)")</f>
        <v>N/A (Not found)</v>
      </c>
      <c r="X5507" s="33">
        <f>IFERROR(__xludf.DUMMYFUNCTION("""COMPUTED_VALUE"""),0.5)</f>
        <v>0.5</v>
      </c>
    </row>
    <row r="5508">
      <c r="K5508" s="4" t="str">
        <f>IFERROR(__xludf.DUMMYFUNCTION("""COMPUTED_VALUE"""),"TEMPERO DA CRIS")</f>
        <v>TEMPERO DA CRIS</v>
      </c>
      <c r="L5508" s="32">
        <f>IFERROR(__xludf.DUMMYFUNCTION("""COMPUTED_VALUE"""),2.0)</f>
        <v>2</v>
      </c>
      <c r="M5508" s="4" t="str">
        <f>IFERROR(__xludf.DUMMYFUNCTION("""COMPUTED_VALUE"""),"null")</f>
        <v>null</v>
      </c>
      <c r="N5508" s="33">
        <f>IFERROR(__xludf.DUMMYFUNCTION("""COMPUTED_VALUE"""),1.0)</f>
        <v>1</v>
      </c>
      <c r="O5508" s="4" t="str">
        <f>IFERROR(__xludf.DUMMYFUNCTION("""COMPUTED_VALUE"""),"null")</f>
        <v>null</v>
      </c>
      <c r="P5508" s="33">
        <f>IFERROR(__xludf.DUMMYFUNCTION("""COMPUTED_VALUE"""),1.0)</f>
        <v>1</v>
      </c>
      <c r="Q5508" s="4" t="str">
        <f>IFERROR(__xludf.DUMMYFUNCTION("""COMPUTED_VALUE"""),"Instadelivery")</f>
        <v>Instadelivery</v>
      </c>
      <c r="R5508" s="33">
        <f>IFERROR(__xludf.DUMMYFUNCTION("""COMPUTED_VALUE"""),0.5)</f>
        <v>0.5</v>
      </c>
      <c r="S5508" s="4" t="str">
        <f>IFERROR(__xludf.DUMMYFUNCTION("""COMPUTED_VALUE"""),"Instadelivery")</f>
        <v>Instadelivery</v>
      </c>
      <c r="T5508" s="33">
        <f>IFERROR(__xludf.DUMMYFUNCTION("""COMPUTED_VALUE"""),0.5)</f>
        <v>0.5</v>
      </c>
      <c r="U5508" s="4" t="str">
        <f>IFERROR(__xludf.DUMMYFUNCTION("""COMPUTED_VALUE"""),"Instadelivery")</f>
        <v>Instadelivery</v>
      </c>
      <c r="V5508" s="33">
        <f>IFERROR(__xludf.DUMMYFUNCTION("""COMPUTED_VALUE"""),0.5)</f>
        <v>0.5</v>
      </c>
      <c r="W5508" s="4" t="str">
        <f>IFERROR(__xludf.DUMMYFUNCTION("""COMPUTED_VALUE"""),"Instadelivery")</f>
        <v>Instadelivery</v>
      </c>
      <c r="X5508" s="33">
        <f>IFERROR(__xludf.DUMMYFUNCTION("""COMPUTED_VALUE"""),0.5)</f>
        <v>0.5</v>
      </c>
    </row>
    <row r="5509">
      <c r="K5509" s="4" t="str">
        <f>IFERROR(__xludf.DUMMYFUNCTION("""COMPUTED_VALUE"""),"VARANDAO RESTAURANTE E CHURRASCARIA")</f>
        <v>VARANDAO RESTAURANTE E CHURRASCARIA</v>
      </c>
      <c r="L5509" s="32">
        <f>IFERROR(__xludf.DUMMYFUNCTION("""COMPUTED_VALUE"""),2.0)</f>
        <v>2</v>
      </c>
      <c r="M5509" s="4" t="str">
        <f>IFERROR(__xludf.DUMMYFUNCTION("""COMPUTED_VALUE"""),"Saipos Serviços De Software")</f>
        <v>Saipos Serviços De Software</v>
      </c>
      <c r="N5509" s="33">
        <f>IFERROR(__xludf.DUMMYFUNCTION("""COMPUTED_VALUE"""),0.5)</f>
        <v>0.5</v>
      </c>
      <c r="O5509" s="4" t="str">
        <f>IFERROR(__xludf.DUMMYFUNCTION("""COMPUTED_VALUE"""),"Saipos Serviços De Software")</f>
        <v>Saipos Serviços De Software</v>
      </c>
      <c r="P5509" s="33">
        <f>IFERROR(__xludf.DUMMYFUNCTION("""COMPUTED_VALUE"""),0.5)</f>
        <v>0.5</v>
      </c>
      <c r="Q5509" s="4" t="str">
        <f>IFERROR(__xludf.DUMMYFUNCTION("""COMPUTED_VALUE"""),"Saipos Serviços De Software")</f>
        <v>Saipos Serviços De Software</v>
      </c>
      <c r="R5509" s="33">
        <f>IFERROR(__xludf.DUMMYFUNCTION("""COMPUTED_VALUE"""),0.5)</f>
        <v>0.5</v>
      </c>
      <c r="S5509" s="4" t="str">
        <f>IFERROR(__xludf.DUMMYFUNCTION("""COMPUTED_VALUE"""),"Saipos Serviços De Software")</f>
        <v>Saipos Serviços De Software</v>
      </c>
      <c r="T5509" s="33">
        <f>IFERROR(__xludf.DUMMYFUNCTION("""COMPUTED_VALUE"""),0.5)</f>
        <v>0.5</v>
      </c>
      <c r="U5509" s="4" t="str">
        <f>IFERROR(__xludf.DUMMYFUNCTION("""COMPUTED_VALUE"""),"null")</f>
        <v>null</v>
      </c>
      <c r="V5509" s="33">
        <f>IFERROR(__xludf.DUMMYFUNCTION("""COMPUTED_VALUE"""),1.0)</f>
        <v>1</v>
      </c>
      <c r="W5509" s="4" t="str">
        <f>IFERROR(__xludf.DUMMYFUNCTION("""COMPUTED_VALUE"""),"null")</f>
        <v>null</v>
      </c>
      <c r="X5509" s="33">
        <f>IFERROR(__xludf.DUMMYFUNCTION("""COMPUTED_VALUE"""),1.0)</f>
        <v>1</v>
      </c>
    </row>
    <row r="5510">
      <c r="K5510" s="4" t="str">
        <f>IFERROR(__xludf.DUMMYFUNCTION("""COMPUTED_VALUE"""),"PIZZARIA DO LUIZ")</f>
        <v>PIZZARIA DO LUIZ</v>
      </c>
      <c r="L5510" s="32">
        <f>IFERROR(__xludf.DUMMYFUNCTION("""COMPUTED_VALUE"""),2.0)</f>
        <v>2</v>
      </c>
      <c r="M5510" s="4" t="str">
        <f>IFERROR(__xludf.DUMMYFUNCTION("""COMPUTED_VALUE"""),"null")</f>
        <v>null</v>
      </c>
      <c r="N5510" s="33">
        <f>IFERROR(__xludf.DUMMYFUNCTION("""COMPUTED_VALUE"""),0.5)</f>
        <v>0.5</v>
      </c>
      <c r="O5510" s="4" t="str">
        <f>IFERROR(__xludf.DUMMYFUNCTION("""COMPUTED_VALUE"""),"null")</f>
        <v>null</v>
      </c>
      <c r="P5510" s="33">
        <f>IFERROR(__xludf.DUMMYFUNCTION("""COMPUTED_VALUE"""),0.5)</f>
        <v>0.5</v>
      </c>
      <c r="Q5510" s="4" t="str">
        <f>IFERROR(__xludf.DUMMYFUNCTION("""COMPUTED_VALUE"""),"null")</f>
        <v>null</v>
      </c>
      <c r="R5510" s="33">
        <f>IFERROR(__xludf.DUMMYFUNCTION("""COMPUTED_VALUE"""),0.5)</f>
        <v>0.5</v>
      </c>
      <c r="S5510" s="4" t="str">
        <f>IFERROR(__xludf.DUMMYFUNCTION("""COMPUTED_VALUE"""),"null")</f>
        <v>null</v>
      </c>
      <c r="T5510" s="33">
        <f>IFERROR(__xludf.DUMMYFUNCTION("""COMPUTED_VALUE"""),0.5)</f>
        <v>0.5</v>
      </c>
      <c r="U5510" s="4" t="str">
        <f>IFERROR(__xludf.DUMMYFUNCTION("""COMPUTED_VALUE"""),"Saipos Serviços De Software")</f>
        <v>Saipos Serviços De Software</v>
      </c>
      <c r="V5510" s="33">
        <f>IFERROR(__xludf.DUMMYFUNCTION("""COMPUTED_VALUE"""),1.0)</f>
        <v>1</v>
      </c>
      <c r="W5510" s="4" t="str">
        <f>IFERROR(__xludf.DUMMYFUNCTION("""COMPUTED_VALUE"""),"Saipos Serviços De Software")</f>
        <v>Saipos Serviços De Software</v>
      </c>
      <c r="X5510" s="33">
        <f>IFERROR(__xludf.DUMMYFUNCTION("""COMPUTED_VALUE"""),0.5)</f>
        <v>0.5</v>
      </c>
    </row>
    <row r="5511">
      <c r="K5511" s="4" t="str">
        <f>IFERROR(__xludf.DUMMYFUNCTION("""COMPUTED_VALUE"""),"HOT DOG PRENSADO")</f>
        <v>HOT DOG PRENSADO</v>
      </c>
      <c r="L5511" s="32">
        <f>IFERROR(__xludf.DUMMYFUNCTION("""COMPUTED_VALUE"""),2.0)</f>
        <v>2</v>
      </c>
      <c r="M5511" s="4" t="str">
        <f>IFERROR(__xludf.DUMMYFUNCTION("""COMPUTED_VALUE"""),"null")</f>
        <v>null</v>
      </c>
      <c r="N5511" s="33">
        <f>IFERROR(__xludf.DUMMYFUNCTION("""COMPUTED_VALUE"""),0.5)</f>
        <v>0.5</v>
      </c>
      <c r="O5511" s="4" t="str">
        <f>IFERROR(__xludf.DUMMYFUNCTION("""COMPUTED_VALUE"""),"Beefood - Sistema Para Restaurantes")</f>
        <v>Beefood - Sistema Para Restaurantes</v>
      </c>
      <c r="P5511" s="33">
        <f>IFERROR(__xludf.DUMMYFUNCTION("""COMPUTED_VALUE"""),0.5)</f>
        <v>0.5</v>
      </c>
      <c r="Q5511" s="4" t="str">
        <f>IFERROR(__xludf.DUMMYFUNCTION("""COMPUTED_VALUE"""),"null")</f>
        <v>null</v>
      </c>
      <c r="R5511" s="33">
        <f>IFERROR(__xludf.DUMMYFUNCTION("""COMPUTED_VALUE"""),0.5)</f>
        <v>0.5</v>
      </c>
      <c r="S5511" s="4" t="str">
        <f>IFERROR(__xludf.DUMMYFUNCTION("""COMPUTED_VALUE"""),"null")</f>
        <v>null</v>
      </c>
      <c r="T5511" s="33">
        <f>IFERROR(__xludf.DUMMYFUNCTION("""COMPUTED_VALUE"""),0.5)</f>
        <v>0.5</v>
      </c>
      <c r="U5511" s="4" t="str">
        <f>IFERROR(__xludf.DUMMYFUNCTION("""COMPUTED_VALUE"""),"null")</f>
        <v>null</v>
      </c>
      <c r="V5511" s="33">
        <f>IFERROR(__xludf.DUMMYFUNCTION("""COMPUTED_VALUE"""),0.5)</f>
        <v>0.5</v>
      </c>
      <c r="W5511" s="4" t="str">
        <f>IFERROR(__xludf.DUMMYFUNCTION("""COMPUTED_VALUE"""),"Beefood - Sistema Para Restaurantes")</f>
        <v>Beefood - Sistema Para Restaurantes</v>
      </c>
      <c r="X5511" s="33">
        <f>IFERROR(__xludf.DUMMYFUNCTION("""COMPUTED_VALUE"""),0.5)</f>
        <v>0.5</v>
      </c>
    </row>
    <row r="5512">
      <c r="K5512" s="4" t="str">
        <f>IFERROR(__xludf.DUMMYFUNCTION("""COMPUTED_VALUE"""),"MARUJADA FRUTOS DO MAR")</f>
        <v>MARUJADA FRUTOS DO MAR</v>
      </c>
      <c r="L5512" s="32">
        <f>IFERROR(__xludf.DUMMYFUNCTION("""COMPUTED_VALUE"""),2.0)</f>
        <v>2</v>
      </c>
      <c r="M5512" s="4" t="str">
        <f>IFERROR(__xludf.DUMMYFUNCTION("""COMPUTED_VALUE"""),"Yooga")</f>
        <v>Yooga</v>
      </c>
      <c r="N5512" s="33">
        <f>IFERROR(__xludf.DUMMYFUNCTION("""COMPUTED_VALUE"""),0.5)</f>
        <v>0.5</v>
      </c>
      <c r="O5512" s="4" t="str">
        <f>IFERROR(__xludf.DUMMYFUNCTION("""COMPUTED_VALUE"""),"Yooga")</f>
        <v>Yooga</v>
      </c>
      <c r="P5512" s="33">
        <f>IFERROR(__xludf.DUMMYFUNCTION("""COMPUTED_VALUE"""),0.5)</f>
        <v>0.5</v>
      </c>
      <c r="Q5512" s="4" t="str">
        <f>IFERROR(__xludf.DUMMYFUNCTION("""COMPUTED_VALUE"""),"null")</f>
        <v>null</v>
      </c>
      <c r="R5512" s="33">
        <f>IFERROR(__xludf.DUMMYFUNCTION("""COMPUTED_VALUE"""),0.5)</f>
        <v>0.5</v>
      </c>
      <c r="S5512" s="4" t="str">
        <f>IFERROR(__xludf.DUMMYFUNCTION("""COMPUTED_VALUE"""),"Yooga")</f>
        <v>Yooga</v>
      </c>
      <c r="T5512" s="33">
        <f>IFERROR(__xludf.DUMMYFUNCTION("""COMPUTED_VALUE"""),1.0)</f>
        <v>1</v>
      </c>
      <c r="U5512" s="4" t="str">
        <f>IFERROR(__xludf.DUMMYFUNCTION("""COMPUTED_VALUE"""),"Yooga")</f>
        <v>Yooga</v>
      </c>
      <c r="V5512" s="33">
        <f>IFERROR(__xludf.DUMMYFUNCTION("""COMPUTED_VALUE"""),1.0)</f>
        <v>1</v>
      </c>
      <c r="W5512" s="4" t="str">
        <f>IFERROR(__xludf.DUMMYFUNCTION("""COMPUTED_VALUE"""),"Yooga")</f>
        <v>Yooga</v>
      </c>
      <c r="X5512" s="33">
        <f>IFERROR(__xludf.DUMMYFUNCTION("""COMPUTED_VALUE"""),1.0)</f>
        <v>1</v>
      </c>
    </row>
    <row r="5513">
      <c r="K5513" s="4" t="str">
        <f>IFERROR(__xludf.DUMMYFUNCTION("""COMPUTED_VALUE"""),"DISK CERVEJA PARADA CERTA")</f>
        <v>DISK CERVEJA PARADA CERTA</v>
      </c>
      <c r="L5513" s="32">
        <f>IFERROR(__xludf.DUMMYFUNCTION("""COMPUTED_VALUE"""),2.0)</f>
        <v>2</v>
      </c>
      <c r="M5513" s="4" t="str">
        <f>IFERROR(__xludf.DUMMYFUNCTION("""COMPUTED_VALUE"""),"N/A (Not found)")</f>
        <v>N/A (Not found)</v>
      </c>
      <c r="N5513" s="33">
        <f>IFERROR(__xludf.DUMMYFUNCTION("""COMPUTED_VALUE"""),0.5)</f>
        <v>0.5</v>
      </c>
      <c r="O5513" s="4" t="str">
        <f>IFERROR(__xludf.DUMMYFUNCTION("""COMPUTED_VALUE"""),"N/A (Not found)")</f>
        <v>N/A (Not found)</v>
      </c>
      <c r="P5513" s="33">
        <f>IFERROR(__xludf.DUMMYFUNCTION("""COMPUTED_VALUE"""),0.5)</f>
        <v>0.5</v>
      </c>
      <c r="Q5513" s="4" t="str">
        <f>IFERROR(__xludf.DUMMYFUNCTION("""COMPUTED_VALUE"""),"Schneider Software")</f>
        <v>Schneider Software</v>
      </c>
      <c r="R5513" s="33">
        <f>IFERROR(__xludf.DUMMYFUNCTION("""COMPUTED_VALUE"""),1.0)</f>
        <v>1</v>
      </c>
      <c r="S5513" s="4" t="str">
        <f>IFERROR(__xludf.DUMMYFUNCTION("""COMPUTED_VALUE"""),"N/A (Not found)")</f>
        <v>N/A (Not found)</v>
      </c>
      <c r="T5513" s="33">
        <f>IFERROR(__xludf.DUMMYFUNCTION("""COMPUTED_VALUE"""),0.5)</f>
        <v>0.5</v>
      </c>
      <c r="U5513" s="4" t="str">
        <f>IFERROR(__xludf.DUMMYFUNCTION("""COMPUTED_VALUE"""),"N/A (Not found)")</f>
        <v>N/A (Not found)</v>
      </c>
      <c r="V5513" s="33">
        <f>IFERROR(__xludf.DUMMYFUNCTION("""COMPUTED_VALUE"""),0.5)</f>
        <v>0.5</v>
      </c>
      <c r="W5513" s="4" t="str">
        <f>IFERROR(__xludf.DUMMYFUNCTION("""COMPUTED_VALUE"""),"N/A (Not found)")</f>
        <v>N/A (Not found)</v>
      </c>
      <c r="X5513" s="33">
        <f>IFERROR(__xludf.DUMMYFUNCTION("""COMPUTED_VALUE"""),0.5)</f>
        <v>0.5</v>
      </c>
    </row>
    <row r="5514">
      <c r="K5514" s="4" t="str">
        <f>IFERROR(__xludf.DUMMYFUNCTION("""COMPUTED_VALUE"""),"GUSTO BURGER")</f>
        <v>GUSTO BURGER</v>
      </c>
      <c r="L5514" s="32">
        <f>IFERROR(__xludf.DUMMYFUNCTION("""COMPUTED_VALUE"""),2.0)</f>
        <v>2</v>
      </c>
      <c r="M5514" s="4" t="str">
        <f>IFERROR(__xludf.DUMMYFUNCTION("""COMPUTED_VALUE"""),"Diggy")</f>
        <v>Diggy</v>
      </c>
      <c r="N5514" s="33">
        <f>IFERROR(__xludf.DUMMYFUNCTION("""COMPUTED_VALUE"""),0.5)</f>
        <v>0.5</v>
      </c>
      <c r="O5514" s="4" t="str">
        <f>IFERROR(__xludf.DUMMYFUNCTION("""COMPUTED_VALUE"""),"Diggy")</f>
        <v>Diggy</v>
      </c>
      <c r="P5514" s="33">
        <f>IFERROR(__xludf.DUMMYFUNCTION("""COMPUTED_VALUE"""),0.5)</f>
        <v>0.5</v>
      </c>
      <c r="Q5514" s="4" t="str">
        <f>IFERROR(__xludf.DUMMYFUNCTION("""COMPUTED_VALUE"""),"Diggy")</f>
        <v>Diggy</v>
      </c>
      <c r="R5514" s="33">
        <f>IFERROR(__xludf.DUMMYFUNCTION("""COMPUTED_VALUE"""),0.5)</f>
        <v>0.5</v>
      </c>
      <c r="S5514" s="4" t="str">
        <f>IFERROR(__xludf.DUMMYFUNCTION("""COMPUTED_VALUE"""),"null")</f>
        <v>null</v>
      </c>
      <c r="T5514" s="33">
        <f>IFERROR(__xludf.DUMMYFUNCTION("""COMPUTED_VALUE"""),1.0)</f>
        <v>1</v>
      </c>
      <c r="U5514" s="4" t="str">
        <f>IFERROR(__xludf.DUMMYFUNCTION("""COMPUTED_VALUE"""),"null")</f>
        <v>null</v>
      </c>
      <c r="V5514" s="33">
        <f>IFERROR(__xludf.DUMMYFUNCTION("""COMPUTED_VALUE"""),1.0)</f>
        <v>1</v>
      </c>
      <c r="W5514" s="4" t="str">
        <f>IFERROR(__xludf.DUMMYFUNCTION("""COMPUTED_VALUE"""),"Diggy")</f>
        <v>Diggy</v>
      </c>
      <c r="X5514" s="33">
        <f>IFERROR(__xludf.DUMMYFUNCTION("""COMPUTED_VALUE"""),0.5)</f>
        <v>0.5</v>
      </c>
    </row>
    <row r="5515">
      <c r="K5515" s="4" t="str">
        <f>IFERROR(__xludf.DUMMYFUNCTION("""COMPUTED_VALUE"""),"FRANGO GRILL")</f>
        <v>FRANGO GRILL</v>
      </c>
      <c r="L5515" s="32">
        <f>IFERROR(__xludf.DUMMYFUNCTION("""COMPUTED_VALUE"""),2.0)</f>
        <v>2</v>
      </c>
      <c r="M5515" s="4" t="str">
        <f>IFERROR(__xludf.DUMMYFUNCTION("""COMPUTED_VALUE"""),"Anota Ai Solucoes Digitais S/a")</f>
        <v>Anota Ai Solucoes Digitais S/a</v>
      </c>
      <c r="N5515" s="33">
        <f>IFERROR(__xludf.DUMMYFUNCTION("""COMPUTED_VALUE"""),0.5)</f>
        <v>0.5</v>
      </c>
      <c r="O5515" s="4" t="str">
        <f>IFERROR(__xludf.DUMMYFUNCTION("""COMPUTED_VALUE"""),"Anota Ai Solucoes Digitais S/a")</f>
        <v>Anota Ai Solucoes Digitais S/a</v>
      </c>
      <c r="P5515" s="33">
        <f>IFERROR(__xludf.DUMMYFUNCTION("""COMPUTED_VALUE"""),0.5)</f>
        <v>0.5</v>
      </c>
      <c r="Q5515" s="4" t="str">
        <f>IFERROR(__xludf.DUMMYFUNCTION("""COMPUTED_VALUE"""),"Anota Ai Solucoes Digitais S/a")</f>
        <v>Anota Ai Solucoes Digitais S/a</v>
      </c>
      <c r="R5515" s="33">
        <f>IFERROR(__xludf.DUMMYFUNCTION("""COMPUTED_VALUE"""),0.5)</f>
        <v>0.5</v>
      </c>
      <c r="S5515" s="4" t="str">
        <f>IFERROR(__xludf.DUMMYFUNCTION("""COMPUTED_VALUE"""),"Anota Ai Solucoes Digitais S/a")</f>
        <v>Anota Ai Solucoes Digitais S/a</v>
      </c>
      <c r="T5515" s="33">
        <f>IFERROR(__xludf.DUMMYFUNCTION("""COMPUTED_VALUE"""),0.5)</f>
        <v>0.5</v>
      </c>
      <c r="U5515" s="4" t="str">
        <f>IFERROR(__xludf.DUMMYFUNCTION("""COMPUTED_VALUE"""),"Anota Ai Solucoes Digitais S/a")</f>
        <v>Anota Ai Solucoes Digitais S/a</v>
      </c>
      <c r="V5515" s="33">
        <f>IFERROR(__xludf.DUMMYFUNCTION("""COMPUTED_VALUE"""),0.5)</f>
        <v>0.5</v>
      </c>
      <c r="W5515" s="4" t="str">
        <f>IFERROR(__xludf.DUMMYFUNCTION("""COMPUTED_VALUE"""),"Anota Ai Solucoes Digitais S/a")</f>
        <v>Anota Ai Solucoes Digitais S/a</v>
      </c>
      <c r="X5515" s="33">
        <f>IFERROR(__xludf.DUMMYFUNCTION("""COMPUTED_VALUE"""),0.5)</f>
        <v>0.5</v>
      </c>
    </row>
    <row r="5516">
      <c r="K5516" s="4" t="str">
        <f>IFERROR(__xludf.DUMMYFUNCTION("""COMPUTED_VALUE"""),"VILA ROOFTOP")</f>
        <v>VILA ROOFTOP</v>
      </c>
      <c r="L5516" s="32">
        <f>IFERROR(__xludf.DUMMYFUNCTION("""COMPUTED_VALUE"""),2.0)</f>
        <v>2</v>
      </c>
      <c r="M5516" s="4" t="str">
        <f>IFERROR(__xludf.DUMMYFUNCTION("""COMPUTED_VALUE"""),"null")</f>
        <v>null</v>
      </c>
      <c r="N5516" s="33">
        <f>IFERROR(__xludf.DUMMYFUNCTION("""COMPUTED_VALUE"""),1.0)</f>
        <v>1</v>
      </c>
      <c r="O5516" s="4" t="str">
        <f>IFERROR(__xludf.DUMMYFUNCTION("""COMPUTED_VALUE"""),"null")</f>
        <v>null</v>
      </c>
      <c r="P5516" s="33">
        <f>IFERROR(__xludf.DUMMYFUNCTION("""COMPUTED_VALUE"""),1.0)</f>
        <v>1</v>
      </c>
      <c r="Q5516" s="4" t="str">
        <f>IFERROR(__xludf.DUMMYFUNCTION("""COMPUTED_VALUE"""),"null")</f>
        <v>null</v>
      </c>
      <c r="R5516" s="33">
        <f>IFERROR(__xludf.DUMMYFUNCTION("""COMPUTED_VALUE"""),1.0)</f>
        <v>1</v>
      </c>
      <c r="S5516" s="4" t="str">
        <f>IFERROR(__xludf.DUMMYFUNCTION("""COMPUTED_VALUE"""),"null")</f>
        <v>null</v>
      </c>
      <c r="T5516" s="33">
        <f>IFERROR(__xludf.DUMMYFUNCTION("""COMPUTED_VALUE"""),0.5)</f>
        <v>0.5</v>
      </c>
      <c r="U5516" s="4" t="str">
        <f>IFERROR(__xludf.DUMMYFUNCTION("""COMPUTED_VALUE"""),"Alfa Labs")</f>
        <v>Alfa Labs</v>
      </c>
      <c r="V5516" s="33">
        <f>IFERROR(__xludf.DUMMYFUNCTION("""COMPUTED_VALUE"""),0.5)</f>
        <v>0.5</v>
      </c>
      <c r="W5516" s="4" t="str">
        <f>IFERROR(__xludf.DUMMYFUNCTION("""COMPUTED_VALUE"""),"Alfa Labs")</f>
        <v>Alfa Labs</v>
      </c>
      <c r="X5516" s="33">
        <f>IFERROR(__xludf.DUMMYFUNCTION("""COMPUTED_VALUE"""),0.5)</f>
        <v>0.5</v>
      </c>
    </row>
    <row r="5517">
      <c r="K5517" s="4" t="str">
        <f>IFERROR(__xludf.DUMMYFUNCTION("""COMPUTED_VALUE"""),"PIZZAE")</f>
        <v>PIZZAE</v>
      </c>
      <c r="L5517" s="32">
        <f>IFERROR(__xludf.DUMMYFUNCTION("""COMPUTED_VALUE"""),2.0)</f>
        <v>2</v>
      </c>
      <c r="M5517" s="4" t="str">
        <f>IFERROR(__xludf.DUMMYFUNCTION("""COMPUTED_VALUE"""),"null")</f>
        <v>null</v>
      </c>
      <c r="N5517" s="33">
        <f>IFERROR(__xludf.DUMMYFUNCTION("""COMPUTED_VALUE"""),1.0)</f>
        <v>1</v>
      </c>
      <c r="O5517" s="4" t="str">
        <f>IFERROR(__xludf.DUMMYFUNCTION("""COMPUTED_VALUE"""),"null")</f>
        <v>null</v>
      </c>
      <c r="P5517" s="33">
        <f>IFERROR(__xludf.DUMMYFUNCTION("""COMPUTED_VALUE"""),1.0)</f>
        <v>1</v>
      </c>
      <c r="Q5517" s="4" t="str">
        <f>IFERROR(__xludf.DUMMYFUNCTION("""COMPUTED_VALUE"""),"null")</f>
        <v>null</v>
      </c>
      <c r="R5517" s="33">
        <f>IFERROR(__xludf.DUMMYFUNCTION("""COMPUTED_VALUE"""),1.0)</f>
        <v>1</v>
      </c>
      <c r="S5517" s="4" t="str">
        <f>IFERROR(__xludf.DUMMYFUNCTION("""COMPUTED_VALUE"""),"null")</f>
        <v>null</v>
      </c>
      <c r="T5517" s="33">
        <f>IFERROR(__xludf.DUMMYFUNCTION("""COMPUTED_VALUE"""),1.0)</f>
        <v>1</v>
      </c>
      <c r="U5517" s="4" t="str">
        <f>IFERROR(__xludf.DUMMYFUNCTION("""COMPUTED_VALUE"""),"Concierge Ia Solucoes Ltda")</f>
        <v>Concierge Ia Solucoes Ltda</v>
      </c>
      <c r="V5517" s="33">
        <f>IFERROR(__xludf.DUMMYFUNCTION("""COMPUTED_VALUE"""),0.5)</f>
        <v>0.5</v>
      </c>
      <c r="W5517" s="4" t="str">
        <f>IFERROR(__xludf.DUMMYFUNCTION("""COMPUTED_VALUE"""),"Concierge Ia Solucoes Ltda")</f>
        <v>Concierge Ia Solucoes Ltda</v>
      </c>
      <c r="X5517" s="33">
        <f>IFERROR(__xludf.DUMMYFUNCTION("""COMPUTED_VALUE"""),0.5)</f>
        <v>0.5</v>
      </c>
    </row>
    <row r="5518">
      <c r="K5518" s="4" t="str">
        <f>IFERROR(__xludf.DUMMYFUNCTION("""COMPUTED_VALUE"""),"MARUJADA BURGER")</f>
        <v>MARUJADA BURGER</v>
      </c>
      <c r="L5518" s="32">
        <f>IFERROR(__xludf.DUMMYFUNCTION("""COMPUTED_VALUE"""),2.0)</f>
        <v>2</v>
      </c>
      <c r="M5518" s="4" t="str">
        <f>IFERROR(__xludf.DUMMYFUNCTION("""COMPUTED_VALUE"""),"Yooga")</f>
        <v>Yooga</v>
      </c>
      <c r="N5518" s="33">
        <f>IFERROR(__xludf.DUMMYFUNCTION("""COMPUTED_VALUE"""),1.0)</f>
        <v>1</v>
      </c>
      <c r="O5518" s="4" t="str">
        <f>IFERROR(__xludf.DUMMYFUNCTION("""COMPUTED_VALUE"""),"Yooga")</f>
        <v>Yooga</v>
      </c>
      <c r="P5518" s="33">
        <f>IFERROR(__xludf.DUMMYFUNCTION("""COMPUTED_VALUE"""),1.0)</f>
        <v>1</v>
      </c>
      <c r="Q5518" s="4" t="str">
        <f>IFERROR(__xludf.DUMMYFUNCTION("""COMPUTED_VALUE"""),"null")</f>
        <v>null</v>
      </c>
      <c r="R5518" s="33">
        <f>IFERROR(__xludf.DUMMYFUNCTION("""COMPUTED_VALUE"""),0.5)</f>
        <v>0.5</v>
      </c>
      <c r="S5518" s="4" t="str">
        <f>IFERROR(__xludf.DUMMYFUNCTION("""COMPUTED_VALUE"""),"Yooga")</f>
        <v>Yooga</v>
      </c>
      <c r="T5518" s="33">
        <f>IFERROR(__xludf.DUMMYFUNCTION("""COMPUTED_VALUE"""),1.0)</f>
        <v>1</v>
      </c>
      <c r="U5518" s="4" t="str">
        <f>IFERROR(__xludf.DUMMYFUNCTION("""COMPUTED_VALUE"""),"Yooga")</f>
        <v>Yooga</v>
      </c>
      <c r="V5518" s="33">
        <f>IFERROR(__xludf.DUMMYFUNCTION("""COMPUTED_VALUE"""),1.0)</f>
        <v>1</v>
      </c>
      <c r="W5518" s="4" t="str">
        <f>IFERROR(__xludf.DUMMYFUNCTION("""COMPUTED_VALUE"""),"Yooga")</f>
        <v>Yooga</v>
      </c>
      <c r="X5518" s="33">
        <f>IFERROR(__xludf.DUMMYFUNCTION("""COMPUTED_VALUE"""),1.0)</f>
        <v>1</v>
      </c>
    </row>
    <row r="5519">
      <c r="K5519" s="4" t="str">
        <f>IFERROR(__xludf.DUMMYFUNCTION("""COMPUTED_VALUE"""),"CHEFF DOS SABORES - SALGADOS TORTAS")</f>
        <v>CHEFF DOS SABORES - SALGADOS TORTAS</v>
      </c>
      <c r="L5519" s="32">
        <f>IFERROR(__xludf.DUMMYFUNCTION("""COMPUTED_VALUE"""),2.0)</f>
        <v>2</v>
      </c>
      <c r="M5519" s="4" t="str">
        <f>IFERROR(__xludf.DUMMYFUNCTION("""COMPUTED_VALUE"""),"Saipos Serviços De Software")</f>
        <v>Saipos Serviços De Software</v>
      </c>
      <c r="N5519" s="33">
        <f>IFERROR(__xludf.DUMMYFUNCTION("""COMPUTED_VALUE"""),1.0)</f>
        <v>1</v>
      </c>
      <c r="O5519" s="4" t="str">
        <f>IFERROR(__xludf.DUMMYFUNCTION("""COMPUTED_VALUE"""),"Saipos Serviços De Software")</f>
        <v>Saipos Serviços De Software</v>
      </c>
      <c r="P5519" s="33">
        <f>IFERROR(__xludf.DUMMYFUNCTION("""COMPUTED_VALUE"""),1.0)</f>
        <v>1</v>
      </c>
      <c r="Q5519" s="4" t="str">
        <f>IFERROR(__xludf.DUMMYFUNCTION("""COMPUTED_VALUE"""),"Saipos Serviços De Software")</f>
        <v>Saipos Serviços De Software</v>
      </c>
      <c r="R5519" s="33">
        <f>IFERROR(__xludf.DUMMYFUNCTION("""COMPUTED_VALUE"""),1.0)</f>
        <v>1</v>
      </c>
      <c r="S5519" s="4" t="str">
        <f>IFERROR(__xludf.DUMMYFUNCTION("""COMPUTED_VALUE"""),"Saipos Serviços De Software")</f>
        <v>Saipos Serviços De Software</v>
      </c>
      <c r="T5519" s="33">
        <f>IFERROR(__xludf.DUMMYFUNCTION("""COMPUTED_VALUE"""),1.0)</f>
        <v>1</v>
      </c>
      <c r="U5519" s="4" t="str">
        <f>IFERROR(__xludf.DUMMYFUNCTION("""COMPUTED_VALUE"""),"Saipos Serviços De Software")</f>
        <v>Saipos Serviços De Software</v>
      </c>
      <c r="V5519" s="33">
        <f>IFERROR(__xludf.DUMMYFUNCTION("""COMPUTED_VALUE"""),1.0)</f>
        <v>1</v>
      </c>
      <c r="W5519" s="4" t="str">
        <f>IFERROR(__xludf.DUMMYFUNCTION("""COMPUTED_VALUE"""),"Saipos Serviços De Software")</f>
        <v>Saipos Serviços De Software</v>
      </c>
      <c r="X5519" s="33">
        <f>IFERROR(__xludf.DUMMYFUNCTION("""COMPUTED_VALUE"""),1.0)</f>
        <v>1</v>
      </c>
    </row>
    <row r="5520">
      <c r="K5520" s="4" t="str">
        <f>IFERROR(__xludf.DUMMYFUNCTION("""COMPUTED_VALUE"""),"SALGADOU")</f>
        <v>SALGADOU</v>
      </c>
      <c r="L5520" s="32">
        <f>IFERROR(__xludf.DUMMYFUNCTION("""COMPUTED_VALUE"""),2.0)</f>
        <v>2</v>
      </c>
      <c r="M5520" s="4" t="str">
        <f>IFERROR(__xludf.DUMMYFUNCTION("""COMPUTED_VALUE"""),"Saipos Serviços De Software")</f>
        <v>Saipos Serviços De Software</v>
      </c>
      <c r="N5520" s="33">
        <f>IFERROR(__xludf.DUMMYFUNCTION("""COMPUTED_VALUE"""),0.5)</f>
        <v>0.5</v>
      </c>
      <c r="O5520" s="4" t="str">
        <f>IFERROR(__xludf.DUMMYFUNCTION("""COMPUTED_VALUE"""),"Saipos Serviços De Software")</f>
        <v>Saipos Serviços De Software</v>
      </c>
      <c r="P5520" s="33">
        <f>IFERROR(__xludf.DUMMYFUNCTION("""COMPUTED_VALUE"""),0.5)</f>
        <v>0.5</v>
      </c>
      <c r="Q5520" s="4" t="str">
        <f>IFERROR(__xludf.DUMMYFUNCTION("""COMPUTED_VALUE"""),"Saipos Serviços De Software")</f>
        <v>Saipos Serviços De Software</v>
      </c>
      <c r="R5520" s="33">
        <f>IFERROR(__xludf.DUMMYFUNCTION("""COMPUTED_VALUE"""),0.5)</f>
        <v>0.5</v>
      </c>
      <c r="S5520" s="4" t="str">
        <f>IFERROR(__xludf.DUMMYFUNCTION("""COMPUTED_VALUE"""),"Saipos Serviços De Software")</f>
        <v>Saipos Serviços De Software</v>
      </c>
      <c r="T5520" s="33">
        <f>IFERROR(__xludf.DUMMYFUNCTION("""COMPUTED_VALUE"""),0.5)</f>
        <v>0.5</v>
      </c>
      <c r="U5520" s="4" t="str">
        <f>IFERROR(__xludf.DUMMYFUNCTION("""COMPUTED_VALUE"""),"Saipos Serviços De Software")</f>
        <v>Saipos Serviços De Software</v>
      </c>
      <c r="V5520" s="33">
        <f>IFERROR(__xludf.DUMMYFUNCTION("""COMPUTED_VALUE"""),0.5)</f>
        <v>0.5</v>
      </c>
      <c r="W5520" s="4" t="str">
        <f>IFERROR(__xludf.DUMMYFUNCTION("""COMPUTED_VALUE"""),"Saipos Serviços De Software")</f>
        <v>Saipos Serviços De Software</v>
      </c>
      <c r="X5520" s="33">
        <f>IFERROR(__xludf.DUMMYFUNCTION("""COMPUTED_VALUE"""),0.5)</f>
        <v>0.5</v>
      </c>
    </row>
    <row r="5521">
      <c r="K5521" s="4" t="str">
        <f>IFERROR(__xludf.DUMMYFUNCTION("""COMPUTED_VALUE"""),"MONKAFE CAFETERIA")</f>
        <v>MONKAFE CAFETERIA</v>
      </c>
      <c r="L5521" s="32">
        <f>IFERROR(__xludf.DUMMYFUNCTION("""COMPUTED_VALUE"""),2.0)</f>
        <v>2</v>
      </c>
      <c r="M5521" s="4" t="str">
        <f>IFERROR(__xludf.DUMMYFUNCTION("""COMPUTED_VALUE"""),"Sti3 Soluções Em Ti")</f>
        <v>Sti3 Soluções Em Ti</v>
      </c>
      <c r="N5521" s="33">
        <f>IFERROR(__xludf.DUMMYFUNCTION("""COMPUTED_VALUE"""),1.0)</f>
        <v>1</v>
      </c>
      <c r="O5521" s="4" t="str">
        <f>IFERROR(__xludf.DUMMYFUNCTION("""COMPUTED_VALUE"""),"Sti3 Soluções Em Ti")</f>
        <v>Sti3 Soluções Em Ti</v>
      </c>
      <c r="P5521" s="33">
        <f>IFERROR(__xludf.DUMMYFUNCTION("""COMPUTED_VALUE"""),1.0)</f>
        <v>1</v>
      </c>
      <c r="Q5521" s="4" t="str">
        <f>IFERROR(__xludf.DUMMYFUNCTION("""COMPUTED_VALUE"""),"Sti3 Soluções Em Ti")</f>
        <v>Sti3 Soluções Em Ti</v>
      </c>
      <c r="R5521" s="33">
        <f>IFERROR(__xludf.DUMMYFUNCTION("""COMPUTED_VALUE"""),1.0)</f>
        <v>1</v>
      </c>
      <c r="S5521" s="4" t="str">
        <f>IFERROR(__xludf.DUMMYFUNCTION("""COMPUTED_VALUE"""),"Sti3 Soluções Em Ti")</f>
        <v>Sti3 Soluções Em Ti</v>
      </c>
      <c r="T5521" s="33">
        <f>IFERROR(__xludf.DUMMYFUNCTION("""COMPUTED_VALUE"""),1.0)</f>
        <v>1</v>
      </c>
      <c r="U5521" s="4" t="str">
        <f>IFERROR(__xludf.DUMMYFUNCTION("""COMPUTED_VALUE"""),"Sti3 Soluções Em Ti")</f>
        <v>Sti3 Soluções Em Ti</v>
      </c>
      <c r="V5521" s="33">
        <f>IFERROR(__xludf.DUMMYFUNCTION("""COMPUTED_VALUE"""),1.0)</f>
        <v>1</v>
      </c>
      <c r="W5521" s="4" t="str">
        <f>IFERROR(__xludf.DUMMYFUNCTION("""COMPUTED_VALUE"""),"Sti3 Soluções Em Ti")</f>
        <v>Sti3 Soluções Em Ti</v>
      </c>
      <c r="X5521" s="33">
        <f>IFERROR(__xludf.DUMMYFUNCTION("""COMPUTED_VALUE"""),1.0)</f>
        <v>1</v>
      </c>
    </row>
    <row r="5522">
      <c r="K5522" s="4" t="str">
        <f>IFERROR(__xludf.DUMMYFUNCTION("""COMPUTED_VALUE"""),"KING PIZZA")</f>
        <v>KING PIZZA</v>
      </c>
      <c r="L5522" s="32">
        <f>IFERROR(__xludf.DUMMYFUNCTION("""COMPUTED_VALUE"""),2.0)</f>
        <v>2</v>
      </c>
      <c r="M5522" s="4" t="str">
        <f>IFERROR(__xludf.DUMMYFUNCTION("""COMPUTED_VALUE"""),"Saipos Serviços De Software")</f>
        <v>Saipos Serviços De Software</v>
      </c>
      <c r="N5522" s="33">
        <f>IFERROR(__xludf.DUMMYFUNCTION("""COMPUTED_VALUE"""),0.5)</f>
        <v>0.5</v>
      </c>
      <c r="O5522" s="4" t="str">
        <f>IFERROR(__xludf.DUMMYFUNCTION("""COMPUTED_VALUE"""),"Saipos Serviços De Software")</f>
        <v>Saipos Serviços De Software</v>
      </c>
      <c r="P5522" s="33">
        <f>IFERROR(__xludf.DUMMYFUNCTION("""COMPUTED_VALUE"""),0.5)</f>
        <v>0.5</v>
      </c>
      <c r="Q5522" s="4" t="str">
        <f>IFERROR(__xludf.DUMMYFUNCTION("""COMPUTED_VALUE"""),"Saipos Serviços De Software")</f>
        <v>Saipos Serviços De Software</v>
      </c>
      <c r="R5522" s="33">
        <f>IFERROR(__xludf.DUMMYFUNCTION("""COMPUTED_VALUE"""),0.5)</f>
        <v>0.5</v>
      </c>
      <c r="S5522" s="4" t="str">
        <f>IFERROR(__xludf.DUMMYFUNCTION("""COMPUTED_VALUE"""),"Saipos Serviços De Software")</f>
        <v>Saipos Serviços De Software</v>
      </c>
      <c r="T5522" s="33">
        <f>IFERROR(__xludf.DUMMYFUNCTION("""COMPUTED_VALUE"""),0.5)</f>
        <v>0.5</v>
      </c>
      <c r="U5522" s="4" t="str">
        <f>IFERROR(__xludf.DUMMYFUNCTION("""COMPUTED_VALUE"""),"Saipos Serviços De Software")</f>
        <v>Saipos Serviços De Software</v>
      </c>
      <c r="V5522" s="33">
        <f>IFERROR(__xludf.DUMMYFUNCTION("""COMPUTED_VALUE"""),0.5)</f>
        <v>0.5</v>
      </c>
      <c r="W5522" s="4" t="str">
        <f>IFERROR(__xludf.DUMMYFUNCTION("""COMPUTED_VALUE"""),"Saipos Serviços De Software")</f>
        <v>Saipos Serviços De Software</v>
      </c>
      <c r="X5522" s="33">
        <f>IFERROR(__xludf.DUMMYFUNCTION("""COMPUTED_VALUE"""),0.5)</f>
        <v>0.5</v>
      </c>
    </row>
    <row r="5523">
      <c r="K5523" s="4" t="str">
        <f>IFERROR(__xludf.DUMMYFUNCTION("""COMPUTED_VALUE"""),"RUSTIC")</f>
        <v>RUSTIC</v>
      </c>
      <c r="L5523" s="32">
        <f>IFERROR(__xludf.DUMMYFUNCTION("""COMPUTED_VALUE"""),2.0)</f>
        <v>2</v>
      </c>
      <c r="M5523" s="4" t="str">
        <f>IFERROR(__xludf.DUMMYFUNCTION("""COMPUTED_VALUE"""),"Eclética Tecnologia")</f>
        <v>Eclética Tecnologia</v>
      </c>
      <c r="N5523" s="33">
        <f>IFERROR(__xludf.DUMMYFUNCTION("""COMPUTED_VALUE"""),0.5)</f>
        <v>0.5</v>
      </c>
      <c r="O5523" s="4" t="str">
        <f>IFERROR(__xludf.DUMMYFUNCTION("""COMPUTED_VALUE"""),"Eclética Tecnologia")</f>
        <v>Eclética Tecnologia</v>
      </c>
      <c r="P5523" s="33">
        <f>IFERROR(__xludf.DUMMYFUNCTION("""COMPUTED_VALUE"""),0.5)</f>
        <v>0.5</v>
      </c>
      <c r="Q5523" s="4" t="str">
        <f>IFERROR(__xludf.DUMMYFUNCTION("""COMPUTED_VALUE"""),"Eclética Tecnologia")</f>
        <v>Eclética Tecnologia</v>
      </c>
      <c r="R5523" s="33">
        <f>IFERROR(__xludf.DUMMYFUNCTION("""COMPUTED_VALUE"""),1.0)</f>
        <v>1</v>
      </c>
      <c r="S5523" s="4" t="str">
        <f>IFERROR(__xludf.DUMMYFUNCTION("""COMPUTED_VALUE"""),"null")</f>
        <v>null</v>
      </c>
      <c r="T5523" s="33">
        <f>IFERROR(__xludf.DUMMYFUNCTION("""COMPUTED_VALUE"""),0.5)</f>
        <v>0.5</v>
      </c>
      <c r="U5523" s="4" t="str">
        <f>IFERROR(__xludf.DUMMYFUNCTION("""COMPUTED_VALUE"""),"null")</f>
        <v>null</v>
      </c>
      <c r="V5523" s="33">
        <f>IFERROR(__xludf.DUMMYFUNCTION("""COMPUTED_VALUE"""),0.5)</f>
        <v>0.5</v>
      </c>
      <c r="W5523" s="4" t="str">
        <f>IFERROR(__xludf.DUMMYFUNCTION("""COMPUTED_VALUE"""),"null")</f>
        <v>null</v>
      </c>
      <c r="X5523" s="33">
        <f>IFERROR(__xludf.DUMMYFUNCTION("""COMPUTED_VALUE"""),0.5)</f>
        <v>0.5</v>
      </c>
    </row>
    <row r="5524">
      <c r="K5524" s="4" t="str">
        <f>IFERROR(__xludf.DUMMYFUNCTION("""COMPUTED_VALUE"""),"O SENTIDO DO GOSTO - MASSAS ARTESANAIS")</f>
        <v>O SENTIDO DO GOSTO - MASSAS ARTESANAIS</v>
      </c>
      <c r="L5524" s="32">
        <f>IFERROR(__xludf.DUMMYFUNCTION("""COMPUTED_VALUE"""),2.0)</f>
        <v>2</v>
      </c>
      <c r="M5524" s="4" t="str">
        <f>IFERROR(__xludf.DUMMYFUNCTION("""COMPUTED_VALUE"""),"Js Informatica E Equipamentos Ltda")</f>
        <v>Js Informatica E Equipamentos Ltda</v>
      </c>
      <c r="N5524" s="33">
        <f>IFERROR(__xludf.DUMMYFUNCTION("""COMPUTED_VALUE"""),1.0)</f>
        <v>1</v>
      </c>
      <c r="O5524" s="4" t="str">
        <f>IFERROR(__xludf.DUMMYFUNCTION("""COMPUTED_VALUE"""),"Js Informatica E Equipamentos Ltda")</f>
        <v>Js Informatica E Equipamentos Ltda</v>
      </c>
      <c r="P5524" s="33">
        <f>IFERROR(__xludf.DUMMYFUNCTION("""COMPUTED_VALUE"""),1.0)</f>
        <v>1</v>
      </c>
      <c r="Q5524" s="4" t="str">
        <f>IFERROR(__xludf.DUMMYFUNCTION("""COMPUTED_VALUE"""),"Js Informatica E Equipamentos Ltda")</f>
        <v>Js Informatica E Equipamentos Ltda</v>
      </c>
      <c r="R5524" s="33">
        <f>IFERROR(__xludf.DUMMYFUNCTION("""COMPUTED_VALUE"""),1.0)</f>
        <v>1</v>
      </c>
      <c r="S5524" s="4" t="str">
        <f>IFERROR(__xludf.DUMMYFUNCTION("""COMPUTED_VALUE"""),"Js Informatica E Equipamentos Ltda")</f>
        <v>Js Informatica E Equipamentos Ltda</v>
      </c>
      <c r="T5524" s="33">
        <f>IFERROR(__xludf.DUMMYFUNCTION("""COMPUTED_VALUE"""),1.0)</f>
        <v>1</v>
      </c>
      <c r="U5524" s="4" t="str">
        <f>IFERROR(__xludf.DUMMYFUNCTION("""COMPUTED_VALUE"""),"Js Informatica E Equipamentos Ltda")</f>
        <v>Js Informatica E Equipamentos Ltda</v>
      </c>
      <c r="V5524" s="33">
        <f>IFERROR(__xludf.DUMMYFUNCTION("""COMPUTED_VALUE"""),1.0)</f>
        <v>1</v>
      </c>
      <c r="W5524" s="4" t="str">
        <f>IFERROR(__xludf.DUMMYFUNCTION("""COMPUTED_VALUE"""),"Js Informatica E Equipamentos Ltda")</f>
        <v>Js Informatica E Equipamentos Ltda</v>
      </c>
      <c r="X5524" s="33">
        <f>IFERROR(__xludf.DUMMYFUNCTION("""COMPUTED_VALUE"""),1.0)</f>
        <v>1</v>
      </c>
    </row>
    <row r="5525">
      <c r="K5525" s="4" t="str">
        <f>IFERROR(__xludf.DUMMYFUNCTION("""COMPUTED_VALUE"""),"HAMBURGUERIA BURGER TIME")</f>
        <v>HAMBURGUERIA BURGER TIME</v>
      </c>
      <c r="L5525" s="32">
        <f>IFERROR(__xludf.DUMMYFUNCTION("""COMPUTED_VALUE"""),2.0)</f>
        <v>2</v>
      </c>
      <c r="M5525" s="4" t="str">
        <f>IFERROR(__xludf.DUMMYFUNCTION("""COMPUTED_VALUE"""),"Takeat Tecnologia")</f>
        <v>Takeat Tecnologia</v>
      </c>
      <c r="N5525" s="33">
        <f>IFERROR(__xludf.DUMMYFUNCTION("""COMPUTED_VALUE"""),0.5)</f>
        <v>0.5</v>
      </c>
      <c r="O5525" s="4" t="str">
        <f>IFERROR(__xludf.DUMMYFUNCTION("""COMPUTED_VALUE"""),"Takeat Tecnologia")</f>
        <v>Takeat Tecnologia</v>
      </c>
      <c r="P5525" s="33">
        <f>IFERROR(__xludf.DUMMYFUNCTION("""COMPUTED_VALUE"""),0.5)</f>
        <v>0.5</v>
      </c>
      <c r="Q5525" s="4" t="str">
        <f>IFERROR(__xludf.DUMMYFUNCTION("""COMPUTED_VALUE"""),"Takeat Tecnologia")</f>
        <v>Takeat Tecnologia</v>
      </c>
      <c r="R5525" s="33">
        <f>IFERROR(__xludf.DUMMYFUNCTION("""COMPUTED_VALUE"""),0.5)</f>
        <v>0.5</v>
      </c>
      <c r="S5525" s="4" t="str">
        <f>IFERROR(__xludf.DUMMYFUNCTION("""COMPUTED_VALUE"""),"Takeat Tecnologia")</f>
        <v>Takeat Tecnologia</v>
      </c>
      <c r="T5525" s="33">
        <f>IFERROR(__xludf.DUMMYFUNCTION("""COMPUTED_VALUE"""),0.5)</f>
        <v>0.5</v>
      </c>
      <c r="U5525" s="4" t="str">
        <f>IFERROR(__xludf.DUMMYFUNCTION("""COMPUTED_VALUE"""),"Takeat Tecnologia")</f>
        <v>Takeat Tecnologia</v>
      </c>
      <c r="V5525" s="33">
        <f>IFERROR(__xludf.DUMMYFUNCTION("""COMPUTED_VALUE"""),0.5)</f>
        <v>0.5</v>
      </c>
      <c r="W5525" s="4" t="str">
        <f>IFERROR(__xludf.DUMMYFUNCTION("""COMPUTED_VALUE"""),"Takeat Tecnologia")</f>
        <v>Takeat Tecnologia</v>
      </c>
      <c r="X5525" s="33">
        <f>IFERROR(__xludf.DUMMYFUNCTION("""COMPUTED_VALUE"""),0.5)</f>
        <v>0.5</v>
      </c>
    </row>
    <row r="5526">
      <c r="K5526" s="4" t="str">
        <f>IFERROR(__xludf.DUMMYFUNCTION("""COMPUTED_VALUE"""),"BURGUER DIVINO")</f>
        <v>BURGUER DIVINO</v>
      </c>
      <c r="L5526" s="32">
        <f>IFERROR(__xludf.DUMMYFUNCTION("""COMPUTED_VALUE"""),2.0)</f>
        <v>2</v>
      </c>
      <c r="M5526" s="4" t="str">
        <f>IFERROR(__xludf.DUMMYFUNCTION("""COMPUTED_VALUE"""),"null")</f>
        <v>null</v>
      </c>
      <c r="N5526" s="33">
        <f>IFERROR(__xludf.DUMMYFUNCTION("""COMPUTED_VALUE"""),0.5)</f>
        <v>0.5</v>
      </c>
      <c r="O5526" s="4" t="str">
        <f>IFERROR(__xludf.DUMMYFUNCTION("""COMPUTED_VALUE"""),"null")</f>
        <v>null</v>
      </c>
      <c r="P5526" s="33">
        <f>IFERROR(__xludf.DUMMYFUNCTION("""COMPUTED_VALUE"""),0.5)</f>
        <v>0.5</v>
      </c>
      <c r="Q5526" s="4" t="str">
        <f>IFERROR(__xludf.DUMMYFUNCTION("""COMPUTED_VALUE"""),"null")</f>
        <v>null</v>
      </c>
      <c r="R5526" s="33">
        <f>IFERROR(__xludf.DUMMYFUNCTION("""COMPUTED_VALUE"""),1.0)</f>
        <v>1</v>
      </c>
      <c r="S5526" s="4" t="str">
        <f>IFERROR(__xludf.DUMMYFUNCTION("""COMPUTED_VALUE"""),"Anota Ai Solucoes Digitais S/a")</f>
        <v>Anota Ai Solucoes Digitais S/a</v>
      </c>
      <c r="T5526" s="33">
        <f>IFERROR(__xludf.DUMMYFUNCTION("""COMPUTED_VALUE"""),0.5)</f>
        <v>0.5</v>
      </c>
      <c r="U5526" s="4" t="str">
        <f>IFERROR(__xludf.DUMMYFUNCTION("""COMPUTED_VALUE"""),"Anota Ai Solucoes Digitais S/a")</f>
        <v>Anota Ai Solucoes Digitais S/a</v>
      </c>
      <c r="V5526" s="33">
        <f>IFERROR(__xludf.DUMMYFUNCTION("""COMPUTED_VALUE"""),0.5)</f>
        <v>0.5</v>
      </c>
      <c r="W5526" s="4" t="str">
        <f>IFERROR(__xludf.DUMMYFUNCTION("""COMPUTED_VALUE"""),"Anota Ai Solucoes Digitais S/a")</f>
        <v>Anota Ai Solucoes Digitais S/a</v>
      </c>
      <c r="X5526" s="33">
        <f>IFERROR(__xludf.DUMMYFUNCTION("""COMPUTED_VALUE"""),0.5)</f>
        <v>0.5</v>
      </c>
    </row>
    <row r="5527">
      <c r="K5527" s="4" t="str">
        <f>IFERROR(__xludf.DUMMYFUNCTION("""COMPUTED_VALUE"""),"SABOR DA CHINA")</f>
        <v>SABOR DA CHINA</v>
      </c>
      <c r="L5527" s="32">
        <f>IFERROR(__xludf.DUMMYFUNCTION("""COMPUTED_VALUE"""),2.0)</f>
        <v>2</v>
      </c>
      <c r="M5527" s="4" t="str">
        <f>IFERROR(__xludf.DUMMYFUNCTION("""COMPUTED_VALUE"""),"Fas Tecnologia")</f>
        <v>Fas Tecnologia</v>
      </c>
      <c r="N5527" s="33">
        <f>IFERROR(__xludf.DUMMYFUNCTION("""COMPUTED_VALUE"""),0.5)</f>
        <v>0.5</v>
      </c>
      <c r="O5527" s="4" t="str">
        <f>IFERROR(__xludf.DUMMYFUNCTION("""COMPUTED_VALUE"""),"Fas Tecnologia")</f>
        <v>Fas Tecnologia</v>
      </c>
      <c r="P5527" s="33">
        <f>IFERROR(__xludf.DUMMYFUNCTION("""COMPUTED_VALUE"""),0.5)</f>
        <v>0.5</v>
      </c>
      <c r="Q5527" s="4" t="str">
        <f>IFERROR(__xludf.DUMMYFUNCTION("""COMPUTED_VALUE"""),"Fas Tecnologia")</f>
        <v>Fas Tecnologia</v>
      </c>
      <c r="R5527" s="33">
        <f>IFERROR(__xludf.DUMMYFUNCTION("""COMPUTED_VALUE"""),0.5)</f>
        <v>0.5</v>
      </c>
      <c r="S5527" s="4" t="str">
        <f>IFERROR(__xludf.DUMMYFUNCTION("""COMPUTED_VALUE"""),"Fas Tecnologia")</f>
        <v>Fas Tecnologia</v>
      </c>
      <c r="T5527" s="33">
        <f>IFERROR(__xludf.DUMMYFUNCTION("""COMPUTED_VALUE"""),0.5)</f>
        <v>0.5</v>
      </c>
      <c r="U5527" s="4" t="str">
        <f>IFERROR(__xludf.DUMMYFUNCTION("""COMPUTED_VALUE"""),"Fas Tecnologia")</f>
        <v>Fas Tecnologia</v>
      </c>
      <c r="V5527" s="33">
        <f>IFERROR(__xludf.DUMMYFUNCTION("""COMPUTED_VALUE"""),0.5)</f>
        <v>0.5</v>
      </c>
      <c r="W5527" s="4" t="str">
        <f>IFERROR(__xludf.DUMMYFUNCTION("""COMPUTED_VALUE"""),"Fas Tecnologia")</f>
        <v>Fas Tecnologia</v>
      </c>
      <c r="X5527" s="33">
        <f>IFERROR(__xludf.DUMMYFUNCTION("""COMPUTED_VALUE"""),0.5)</f>
        <v>0.5</v>
      </c>
    </row>
    <row r="5528">
      <c r="K5528" s="4" t="str">
        <f>IFERROR(__xludf.DUMMYFUNCTION("""COMPUTED_VALUE"""),"NEW ESFIHAS PIZZAS")</f>
        <v>NEW ESFIHAS PIZZAS</v>
      </c>
      <c r="L5528" s="32">
        <f>IFERROR(__xludf.DUMMYFUNCTION("""COMPUTED_VALUE"""),2.0)</f>
        <v>2</v>
      </c>
      <c r="M5528" s="4" t="str">
        <f>IFERROR(__xludf.DUMMYFUNCTION("""COMPUTED_VALUE"""),"Cardápio Web")</f>
        <v>Cardápio Web</v>
      </c>
      <c r="N5528" s="33">
        <f>IFERROR(__xludf.DUMMYFUNCTION("""COMPUTED_VALUE"""),1.0)</f>
        <v>1</v>
      </c>
      <c r="O5528" s="4" t="str">
        <f>IFERROR(__xludf.DUMMYFUNCTION("""COMPUTED_VALUE"""),"null")</f>
        <v>null</v>
      </c>
      <c r="P5528" s="33">
        <f>IFERROR(__xludf.DUMMYFUNCTION("""COMPUTED_VALUE"""),0.5)</f>
        <v>0.5</v>
      </c>
      <c r="Q5528" s="4" t="str">
        <f>IFERROR(__xludf.DUMMYFUNCTION("""COMPUTED_VALUE"""),"Cardápio Web")</f>
        <v>Cardápio Web</v>
      </c>
      <c r="R5528" s="33">
        <f>IFERROR(__xludf.DUMMYFUNCTION("""COMPUTED_VALUE"""),1.0)</f>
        <v>1</v>
      </c>
      <c r="S5528" s="4" t="str">
        <f>IFERROR(__xludf.DUMMYFUNCTION("""COMPUTED_VALUE"""),"Cardápio Web")</f>
        <v>Cardápio Web</v>
      </c>
      <c r="T5528" s="33">
        <f>IFERROR(__xludf.DUMMYFUNCTION("""COMPUTED_VALUE"""),1.0)</f>
        <v>1</v>
      </c>
      <c r="U5528" s="4" t="str">
        <f>IFERROR(__xludf.DUMMYFUNCTION("""COMPUTED_VALUE"""),"Cardápio Web")</f>
        <v>Cardápio Web</v>
      </c>
      <c r="V5528" s="33">
        <f>IFERROR(__xludf.DUMMYFUNCTION("""COMPUTED_VALUE"""),1.0)</f>
        <v>1</v>
      </c>
      <c r="W5528" s="4" t="str">
        <f>IFERROR(__xludf.DUMMYFUNCTION("""COMPUTED_VALUE"""),"Cardápio Web")</f>
        <v>Cardápio Web</v>
      </c>
      <c r="X5528" s="33">
        <f>IFERROR(__xludf.DUMMYFUNCTION("""COMPUTED_VALUE"""),1.0)</f>
        <v>1</v>
      </c>
    </row>
    <row r="5529">
      <c r="K5529" s="4" t="str">
        <f>IFERROR(__xludf.DUMMYFUNCTION("""COMPUTED_VALUE"""),"REIS DO ACAI")</f>
        <v>REIS DO ACAI</v>
      </c>
      <c r="L5529" s="32">
        <f>IFERROR(__xludf.DUMMYFUNCTION("""COMPUTED_VALUE"""),2.0)</f>
        <v>2</v>
      </c>
      <c r="M5529" s="4" t="str">
        <f>IFERROR(__xludf.DUMMYFUNCTION("""COMPUTED_VALUE"""),"Anota Ai Solucoes Digitais S/a")</f>
        <v>Anota Ai Solucoes Digitais S/a</v>
      </c>
      <c r="N5529" s="33">
        <f>IFERROR(__xludf.DUMMYFUNCTION("""COMPUTED_VALUE"""),1.0)</f>
        <v>1</v>
      </c>
      <c r="O5529" s="4" t="str">
        <f>IFERROR(__xludf.DUMMYFUNCTION("""COMPUTED_VALUE"""),"Anota Ai Solucoes Digitais S/a")</f>
        <v>Anota Ai Solucoes Digitais S/a</v>
      </c>
      <c r="P5529" s="33">
        <f>IFERROR(__xludf.DUMMYFUNCTION("""COMPUTED_VALUE"""),1.0)</f>
        <v>1</v>
      </c>
      <c r="Q5529" s="4" t="str">
        <f>IFERROR(__xludf.DUMMYFUNCTION("""COMPUTED_VALUE"""),"Anota Ai Solucoes Digitais S/a")</f>
        <v>Anota Ai Solucoes Digitais S/a</v>
      </c>
      <c r="R5529" s="33">
        <f>IFERROR(__xludf.DUMMYFUNCTION("""COMPUTED_VALUE"""),1.0)</f>
        <v>1</v>
      </c>
      <c r="S5529" s="4" t="str">
        <f>IFERROR(__xludf.DUMMYFUNCTION("""COMPUTED_VALUE"""),"null")</f>
        <v>null</v>
      </c>
      <c r="T5529" s="33">
        <f>IFERROR(__xludf.DUMMYFUNCTION("""COMPUTED_VALUE"""),0.5)</f>
        <v>0.5</v>
      </c>
      <c r="U5529" s="4" t="str">
        <f>IFERROR(__xludf.DUMMYFUNCTION("""COMPUTED_VALUE"""),"Anota Ai Solucoes Digitais S/a")</f>
        <v>Anota Ai Solucoes Digitais S/a</v>
      </c>
      <c r="V5529" s="33">
        <f>IFERROR(__xludf.DUMMYFUNCTION("""COMPUTED_VALUE"""),1.0)</f>
        <v>1</v>
      </c>
      <c r="W5529" s="4" t="str">
        <f>IFERROR(__xludf.DUMMYFUNCTION("""COMPUTED_VALUE"""),"Anota Ai Solucoes Digitais S/a")</f>
        <v>Anota Ai Solucoes Digitais S/a</v>
      </c>
      <c r="X5529" s="33">
        <f>IFERROR(__xludf.DUMMYFUNCTION("""COMPUTED_VALUE"""),1.0)</f>
        <v>1</v>
      </c>
    </row>
    <row r="5530">
      <c r="K5530" s="4" t="str">
        <f>IFERROR(__xludf.DUMMYFUNCTION("""COMPUTED_VALUE"""),"GARAGE BURGER - MOOCA")</f>
        <v>GARAGE BURGER - MOOCA</v>
      </c>
      <c r="L5530" s="32">
        <f>IFERROR(__xludf.DUMMYFUNCTION("""COMPUTED_VALUE"""),2.0)</f>
        <v>2</v>
      </c>
      <c r="M5530" s="4" t="str">
        <f>IFERROR(__xludf.DUMMYFUNCTION("""COMPUTED_VALUE"""),"Totvs Large Enterprise Tecnologia S.a.")</f>
        <v>Totvs Large Enterprise Tecnologia S.a.</v>
      </c>
      <c r="N5530" s="33">
        <f>IFERROR(__xludf.DUMMYFUNCTION("""COMPUTED_VALUE"""),1.0)</f>
        <v>1</v>
      </c>
      <c r="O5530" s="4" t="str">
        <f>IFERROR(__xludf.DUMMYFUNCTION("""COMPUTED_VALUE"""),"Totvs Large Enterprise Tecnologia S.a.")</f>
        <v>Totvs Large Enterprise Tecnologia S.a.</v>
      </c>
      <c r="P5530" s="33">
        <f>IFERROR(__xludf.DUMMYFUNCTION("""COMPUTED_VALUE"""),1.0)</f>
        <v>1</v>
      </c>
      <c r="Q5530" s="4" t="str">
        <f>IFERROR(__xludf.DUMMYFUNCTION("""COMPUTED_VALUE"""),"Totvs Large Enterprise Tecnologia S.a.")</f>
        <v>Totvs Large Enterprise Tecnologia S.a.</v>
      </c>
      <c r="R5530" s="33">
        <f>IFERROR(__xludf.DUMMYFUNCTION("""COMPUTED_VALUE"""),1.0)</f>
        <v>1</v>
      </c>
      <c r="S5530" s="4" t="str">
        <f>IFERROR(__xludf.DUMMYFUNCTION("""COMPUTED_VALUE"""),"Totvs Large Enterprise Tecnologia S.a.")</f>
        <v>Totvs Large Enterprise Tecnologia S.a.</v>
      </c>
      <c r="T5530" s="33">
        <f>IFERROR(__xludf.DUMMYFUNCTION("""COMPUTED_VALUE"""),1.0)</f>
        <v>1</v>
      </c>
      <c r="U5530" s="4" t="str">
        <f>IFERROR(__xludf.DUMMYFUNCTION("""COMPUTED_VALUE"""),"Totvs Large Enterprise Tecnologia S.a.")</f>
        <v>Totvs Large Enterprise Tecnologia S.a.</v>
      </c>
      <c r="V5530" s="33">
        <f>IFERROR(__xludf.DUMMYFUNCTION("""COMPUTED_VALUE"""),1.0)</f>
        <v>1</v>
      </c>
      <c r="W5530" s="4" t="str">
        <f>IFERROR(__xludf.DUMMYFUNCTION("""COMPUTED_VALUE"""),"Totvs Large Enterprise Tecnologia S.a.")</f>
        <v>Totvs Large Enterprise Tecnologia S.a.</v>
      </c>
      <c r="X5530" s="33">
        <f>IFERROR(__xludf.DUMMYFUNCTION("""COMPUTED_VALUE"""),1.0)</f>
        <v>1</v>
      </c>
    </row>
    <row r="5531">
      <c r="K5531" s="4" t="str">
        <f>IFERROR(__xludf.DUMMYFUNCTION("""COMPUTED_VALUE"""),"FLASH DELIVERY")</f>
        <v>FLASH DELIVERY</v>
      </c>
      <c r="L5531" s="32">
        <f>IFERROR(__xludf.DUMMYFUNCTION("""COMPUTED_VALUE"""),2.0)</f>
        <v>2</v>
      </c>
      <c r="M5531" s="4" t="str">
        <f>IFERROR(__xludf.DUMMYFUNCTION("""COMPUTED_VALUE"""),"Anota Ai Solucoes Digitais S/a")</f>
        <v>Anota Ai Solucoes Digitais S/a</v>
      </c>
      <c r="N5531" s="33">
        <f>IFERROR(__xludf.DUMMYFUNCTION("""COMPUTED_VALUE"""),0.5)</f>
        <v>0.5</v>
      </c>
      <c r="O5531" s="4" t="str">
        <f>IFERROR(__xludf.DUMMYFUNCTION("""COMPUTED_VALUE"""),"Anota Ai Solucoes Digitais S/a")</f>
        <v>Anota Ai Solucoes Digitais S/a</v>
      </c>
      <c r="P5531" s="33">
        <f>IFERROR(__xludf.DUMMYFUNCTION("""COMPUTED_VALUE"""),0.5)</f>
        <v>0.5</v>
      </c>
      <c r="Q5531" s="4" t="str">
        <f>IFERROR(__xludf.DUMMYFUNCTION("""COMPUTED_VALUE"""),"Anota Ai Solucoes Digitais S/a")</f>
        <v>Anota Ai Solucoes Digitais S/a</v>
      </c>
      <c r="R5531" s="33">
        <f>IFERROR(__xludf.DUMMYFUNCTION("""COMPUTED_VALUE"""),1.0)</f>
        <v>1</v>
      </c>
      <c r="S5531" s="4" t="str">
        <f>IFERROR(__xludf.DUMMYFUNCTION("""COMPUTED_VALUE"""),"Anota Ai Solucoes Digitais S/a")</f>
        <v>Anota Ai Solucoes Digitais S/a</v>
      </c>
      <c r="T5531" s="33">
        <f>IFERROR(__xludf.DUMMYFUNCTION("""COMPUTED_VALUE"""),1.0)</f>
        <v>1</v>
      </c>
      <c r="U5531" s="4" t="str">
        <f>IFERROR(__xludf.DUMMYFUNCTION("""COMPUTED_VALUE"""),"Anota Ai Solucoes Digitais S/a")</f>
        <v>Anota Ai Solucoes Digitais S/a</v>
      </c>
      <c r="V5531" s="33">
        <f>IFERROR(__xludf.DUMMYFUNCTION("""COMPUTED_VALUE"""),1.0)</f>
        <v>1</v>
      </c>
      <c r="W5531" s="4" t="str">
        <f>IFERROR(__xludf.DUMMYFUNCTION("""COMPUTED_VALUE"""),"Anota Ai Solucoes Digitais S/a")</f>
        <v>Anota Ai Solucoes Digitais S/a</v>
      </c>
      <c r="X5531" s="33">
        <f>IFERROR(__xludf.DUMMYFUNCTION("""COMPUTED_VALUE"""),1.0)</f>
        <v>1</v>
      </c>
    </row>
    <row r="5532">
      <c r="K5532" s="4" t="str">
        <f>IFERROR(__xludf.DUMMYFUNCTION("""COMPUTED_VALUE"""),"FORNAZZO PIZZARIA")</f>
        <v>FORNAZZO PIZZARIA</v>
      </c>
      <c r="L5532" s="32">
        <f>IFERROR(__xludf.DUMMYFUNCTION("""COMPUTED_VALUE"""),2.0)</f>
        <v>2</v>
      </c>
      <c r="M5532" s="4" t="str">
        <f>IFERROR(__xludf.DUMMYFUNCTION("""COMPUTED_VALUE"""),"Suitable Tecnologia E Gestao")</f>
        <v>Suitable Tecnologia E Gestao</v>
      </c>
      <c r="N5532" s="33">
        <f>IFERROR(__xludf.DUMMYFUNCTION("""COMPUTED_VALUE"""),0.5)</f>
        <v>0.5</v>
      </c>
      <c r="O5532" s="4" t="str">
        <f>IFERROR(__xludf.DUMMYFUNCTION("""COMPUTED_VALUE"""),"Suitable Tecnologia E Gestao")</f>
        <v>Suitable Tecnologia E Gestao</v>
      </c>
      <c r="P5532" s="33">
        <f>IFERROR(__xludf.DUMMYFUNCTION("""COMPUTED_VALUE"""),0.5)</f>
        <v>0.5</v>
      </c>
      <c r="Q5532" s="4" t="str">
        <f>IFERROR(__xludf.DUMMYFUNCTION("""COMPUTED_VALUE"""),"Suitable Tecnologia E Gestao")</f>
        <v>Suitable Tecnologia E Gestao</v>
      </c>
      <c r="R5532" s="33">
        <f>IFERROR(__xludf.DUMMYFUNCTION("""COMPUTED_VALUE"""),0.5)</f>
        <v>0.5</v>
      </c>
      <c r="S5532" s="4" t="str">
        <f>IFERROR(__xludf.DUMMYFUNCTION("""COMPUTED_VALUE"""),"Suitable Tecnologia E Gestao")</f>
        <v>Suitable Tecnologia E Gestao</v>
      </c>
      <c r="T5532" s="33">
        <f>IFERROR(__xludf.DUMMYFUNCTION("""COMPUTED_VALUE"""),0.5)</f>
        <v>0.5</v>
      </c>
      <c r="U5532" s="4" t="str">
        <f>IFERROR(__xludf.DUMMYFUNCTION("""COMPUTED_VALUE"""),"null")</f>
        <v>null</v>
      </c>
      <c r="V5532" s="33">
        <f>IFERROR(__xludf.DUMMYFUNCTION("""COMPUTED_VALUE"""),0.5)</f>
        <v>0.5</v>
      </c>
      <c r="W5532" s="4" t="str">
        <f>IFERROR(__xludf.DUMMYFUNCTION("""COMPUTED_VALUE"""),"Suitable Tecnologia E Gestao")</f>
        <v>Suitable Tecnologia E Gestao</v>
      </c>
      <c r="X5532" s="33">
        <f>IFERROR(__xludf.DUMMYFUNCTION("""COMPUTED_VALUE"""),0.5)</f>
        <v>0.5</v>
      </c>
    </row>
    <row r="5533">
      <c r="K5533" s="4" t="str">
        <f>IFERROR(__xludf.DUMMYFUNCTION("""COMPUTED_VALUE"""),"BLACKSSOBA YAKISOBA SUSHI")</f>
        <v>BLACKSSOBA YAKISOBA SUSHI</v>
      </c>
      <c r="L5533" s="32">
        <f>IFERROR(__xludf.DUMMYFUNCTION("""COMPUTED_VALUE"""),2.0)</f>
        <v>2</v>
      </c>
      <c r="M5533" s="4" t="str">
        <f>IFERROR(__xludf.DUMMYFUNCTION("""COMPUTED_VALUE"""),"Saipos Serviços De Software")</f>
        <v>Saipos Serviços De Software</v>
      </c>
      <c r="N5533" s="33">
        <f>IFERROR(__xludf.DUMMYFUNCTION("""COMPUTED_VALUE"""),1.0)</f>
        <v>1</v>
      </c>
      <c r="O5533" s="4" t="str">
        <f>IFERROR(__xludf.DUMMYFUNCTION("""COMPUTED_VALUE"""),"Saipos Serviços De Software")</f>
        <v>Saipos Serviços De Software</v>
      </c>
      <c r="P5533" s="33">
        <f>IFERROR(__xludf.DUMMYFUNCTION("""COMPUTED_VALUE"""),1.0)</f>
        <v>1</v>
      </c>
      <c r="Q5533" s="4" t="str">
        <f>IFERROR(__xludf.DUMMYFUNCTION("""COMPUTED_VALUE"""),"Saipos Serviços De Software")</f>
        <v>Saipos Serviços De Software</v>
      </c>
      <c r="R5533" s="33">
        <f>IFERROR(__xludf.DUMMYFUNCTION("""COMPUTED_VALUE"""),1.0)</f>
        <v>1</v>
      </c>
      <c r="S5533" s="4" t="str">
        <f>IFERROR(__xludf.DUMMYFUNCTION("""COMPUTED_VALUE"""),"Saipos Serviços De Software")</f>
        <v>Saipos Serviços De Software</v>
      </c>
      <c r="T5533" s="33">
        <f>IFERROR(__xludf.DUMMYFUNCTION("""COMPUTED_VALUE"""),1.0)</f>
        <v>1</v>
      </c>
      <c r="U5533" s="4" t="str">
        <f>IFERROR(__xludf.DUMMYFUNCTION("""COMPUTED_VALUE"""),"Saipos Serviços De Software")</f>
        <v>Saipos Serviços De Software</v>
      </c>
      <c r="V5533" s="33">
        <f>IFERROR(__xludf.DUMMYFUNCTION("""COMPUTED_VALUE"""),1.0)</f>
        <v>1</v>
      </c>
      <c r="W5533" s="4" t="str">
        <f>IFERROR(__xludf.DUMMYFUNCTION("""COMPUTED_VALUE"""),"Saipos Serviços De Software")</f>
        <v>Saipos Serviços De Software</v>
      </c>
      <c r="X5533" s="33">
        <f>IFERROR(__xludf.DUMMYFUNCTION("""COMPUTED_VALUE"""),1.0)</f>
        <v>1</v>
      </c>
    </row>
    <row r="5534">
      <c r="K5534" s="4" t="str">
        <f>IFERROR(__xludf.DUMMYFUNCTION("""COMPUTED_VALUE"""),"PANIFICADORA ARTE TRIGO")</f>
        <v>PANIFICADORA ARTE TRIGO</v>
      </c>
      <c r="L5534" s="32">
        <f>IFERROR(__xludf.DUMMYFUNCTION("""COMPUTED_VALUE"""),2.0)</f>
        <v>2</v>
      </c>
      <c r="M5534" s="4" t="str">
        <f>IFERROR(__xludf.DUMMYFUNCTION("""COMPUTED_VALUE"""),"null")</f>
        <v>null</v>
      </c>
      <c r="N5534" s="33">
        <f>IFERROR(__xludf.DUMMYFUNCTION("""COMPUTED_VALUE"""),0.5)</f>
        <v>0.5</v>
      </c>
      <c r="O5534" s="4" t="str">
        <f>IFERROR(__xludf.DUMMYFUNCTION("""COMPUTED_VALUE"""),"Ncr")</f>
        <v>Ncr</v>
      </c>
      <c r="P5534" s="33">
        <f>IFERROR(__xludf.DUMMYFUNCTION("""COMPUTED_VALUE"""),1.0)</f>
        <v>1</v>
      </c>
      <c r="Q5534" s="4" t="str">
        <f>IFERROR(__xludf.DUMMYFUNCTION("""COMPUTED_VALUE"""),"Ncr")</f>
        <v>Ncr</v>
      </c>
      <c r="R5534" s="33">
        <f>IFERROR(__xludf.DUMMYFUNCTION("""COMPUTED_VALUE"""),1.0)</f>
        <v>1</v>
      </c>
      <c r="S5534" s="4" t="str">
        <f>IFERROR(__xludf.DUMMYFUNCTION("""COMPUTED_VALUE"""),"Ncr")</f>
        <v>Ncr</v>
      </c>
      <c r="T5534" s="33">
        <f>IFERROR(__xludf.DUMMYFUNCTION("""COMPUTED_VALUE"""),1.0)</f>
        <v>1</v>
      </c>
      <c r="U5534" s="4" t="str">
        <f>IFERROR(__xludf.DUMMYFUNCTION("""COMPUTED_VALUE"""),"Ncr")</f>
        <v>Ncr</v>
      </c>
      <c r="V5534" s="33">
        <f>IFERROR(__xludf.DUMMYFUNCTION("""COMPUTED_VALUE"""),1.0)</f>
        <v>1</v>
      </c>
      <c r="W5534" s="4" t="str">
        <f>IFERROR(__xludf.DUMMYFUNCTION("""COMPUTED_VALUE"""),"Ncr")</f>
        <v>Ncr</v>
      </c>
      <c r="X5534" s="33">
        <f>IFERROR(__xludf.DUMMYFUNCTION("""COMPUTED_VALUE"""),1.0)</f>
        <v>1</v>
      </c>
    </row>
    <row r="5535">
      <c r="K5535" s="4" t="str">
        <f>IFERROR(__xludf.DUMMYFUNCTION("""COMPUTED_VALUE"""),"REI DO PRENSADO")</f>
        <v>REI DO PRENSADO</v>
      </c>
      <c r="L5535" s="32">
        <f>IFERROR(__xludf.DUMMYFUNCTION("""COMPUTED_VALUE"""),2.0)</f>
        <v>2</v>
      </c>
      <c r="M5535" s="4" t="str">
        <f>IFERROR(__xludf.DUMMYFUNCTION("""COMPUTED_VALUE"""),"Beefood - Sistema Para Restaurantes")</f>
        <v>Beefood - Sistema Para Restaurantes</v>
      </c>
      <c r="N5535" s="33">
        <f>IFERROR(__xludf.DUMMYFUNCTION("""COMPUTED_VALUE"""),0.5)</f>
        <v>0.5</v>
      </c>
      <c r="O5535" s="4" t="str">
        <f>IFERROR(__xludf.DUMMYFUNCTION("""COMPUTED_VALUE"""),"Beefood - Sistema Para Restaurantes")</f>
        <v>Beefood - Sistema Para Restaurantes</v>
      </c>
      <c r="P5535" s="33">
        <f>IFERROR(__xludf.DUMMYFUNCTION("""COMPUTED_VALUE"""),0.5)</f>
        <v>0.5</v>
      </c>
      <c r="Q5535" s="4" t="str">
        <f>IFERROR(__xludf.DUMMYFUNCTION("""COMPUTED_VALUE"""),"Beefood - Sistema Para Restaurantes")</f>
        <v>Beefood - Sistema Para Restaurantes</v>
      </c>
      <c r="R5535" s="33">
        <f>IFERROR(__xludf.DUMMYFUNCTION("""COMPUTED_VALUE"""),0.5)</f>
        <v>0.5</v>
      </c>
      <c r="S5535" s="4" t="str">
        <f>IFERROR(__xludf.DUMMYFUNCTION("""COMPUTED_VALUE"""),"Beefood - Sistema Para Restaurantes")</f>
        <v>Beefood - Sistema Para Restaurantes</v>
      </c>
      <c r="T5535" s="33">
        <f>IFERROR(__xludf.DUMMYFUNCTION("""COMPUTED_VALUE"""),0.5)</f>
        <v>0.5</v>
      </c>
      <c r="U5535" s="4" t="str">
        <f>IFERROR(__xludf.DUMMYFUNCTION("""COMPUTED_VALUE"""),"null")</f>
        <v>null</v>
      </c>
      <c r="V5535" s="33">
        <f>IFERROR(__xludf.DUMMYFUNCTION("""COMPUTED_VALUE"""),1.0)</f>
        <v>1</v>
      </c>
      <c r="W5535" s="4" t="str">
        <f>IFERROR(__xludf.DUMMYFUNCTION("""COMPUTED_VALUE"""),"null")</f>
        <v>null</v>
      </c>
      <c r="X5535" s="33">
        <f>IFERROR(__xludf.DUMMYFUNCTION("""COMPUTED_VALUE"""),1.0)</f>
        <v>1</v>
      </c>
    </row>
    <row r="5536">
      <c r="K5536" s="4" t="str">
        <f>IFERROR(__xludf.DUMMYFUNCTION("""COMPUTED_VALUE"""),"LEAO LANCHES")</f>
        <v>LEAO LANCHES</v>
      </c>
      <c r="L5536" s="32">
        <f>IFERROR(__xludf.DUMMYFUNCTION("""COMPUTED_VALUE"""),2.0)</f>
        <v>2</v>
      </c>
      <c r="M5536" s="4" t="str">
        <f>IFERROR(__xludf.DUMMYFUNCTION("""COMPUTED_VALUE"""),"null")</f>
        <v>null</v>
      </c>
      <c r="N5536" s="33">
        <f>IFERROR(__xludf.DUMMYFUNCTION("""COMPUTED_VALUE"""),0.5)</f>
        <v>0.5</v>
      </c>
      <c r="O5536" s="4" t="str">
        <f>IFERROR(__xludf.DUMMYFUNCTION("""COMPUTED_VALUE"""),"null")</f>
        <v>null</v>
      </c>
      <c r="P5536" s="33">
        <f>IFERROR(__xludf.DUMMYFUNCTION("""COMPUTED_VALUE"""),1.0)</f>
        <v>1</v>
      </c>
      <c r="Q5536" s="4" t="str">
        <f>IFERROR(__xludf.DUMMYFUNCTION("""COMPUTED_VALUE"""),"null")</f>
        <v>null</v>
      </c>
      <c r="R5536" s="33">
        <f>IFERROR(__xludf.DUMMYFUNCTION("""COMPUTED_VALUE"""),1.0)</f>
        <v>1</v>
      </c>
      <c r="S5536" s="4" t="str">
        <f>IFERROR(__xludf.DUMMYFUNCTION("""COMPUTED_VALUE"""),"Whatsmenu Ltda")</f>
        <v>Whatsmenu Ltda</v>
      </c>
      <c r="T5536" s="33">
        <f>IFERROR(__xludf.DUMMYFUNCTION("""COMPUTED_VALUE"""),0.5)</f>
        <v>0.5</v>
      </c>
      <c r="U5536" s="4" t="str">
        <f>IFERROR(__xludf.DUMMYFUNCTION("""COMPUTED_VALUE"""),"null")</f>
        <v>null</v>
      </c>
      <c r="V5536" s="33">
        <f>IFERROR(__xludf.DUMMYFUNCTION("""COMPUTED_VALUE"""),0.5)</f>
        <v>0.5</v>
      </c>
      <c r="W5536" s="4" t="str">
        <f>IFERROR(__xludf.DUMMYFUNCTION("""COMPUTED_VALUE"""),"null")</f>
        <v>null</v>
      </c>
      <c r="X5536" s="33">
        <f>IFERROR(__xludf.DUMMYFUNCTION("""COMPUTED_VALUE"""),1.0)</f>
        <v>1</v>
      </c>
    </row>
    <row r="5537">
      <c r="K5537" s="4" t="str">
        <f>IFERROR(__xludf.DUMMYFUNCTION("""COMPUTED_VALUE"""),"PIZZA NOSTRA")</f>
        <v>PIZZA NOSTRA</v>
      </c>
      <c r="L5537" s="32">
        <f>IFERROR(__xludf.DUMMYFUNCTION("""COMPUTED_VALUE"""),2.0)</f>
        <v>2</v>
      </c>
      <c r="M5537" s="4" t="str">
        <f>IFERROR(__xludf.DUMMYFUNCTION("""COMPUTED_VALUE"""),"Swfast Sistemas")</f>
        <v>Swfast Sistemas</v>
      </c>
      <c r="N5537" s="33">
        <f>IFERROR(__xludf.DUMMYFUNCTION("""COMPUTED_VALUE"""),0.5)</f>
        <v>0.5</v>
      </c>
      <c r="O5537" s="4" t="str">
        <f>IFERROR(__xludf.DUMMYFUNCTION("""COMPUTED_VALUE"""),"null")</f>
        <v>null</v>
      </c>
      <c r="P5537" s="33">
        <f>IFERROR(__xludf.DUMMYFUNCTION("""COMPUTED_VALUE"""),0.5)</f>
        <v>0.5</v>
      </c>
      <c r="Q5537" s="4" t="str">
        <f>IFERROR(__xludf.DUMMYFUNCTION("""COMPUTED_VALUE"""),"null")</f>
        <v>null</v>
      </c>
      <c r="R5537" s="33">
        <f>IFERROR(__xludf.DUMMYFUNCTION("""COMPUTED_VALUE"""),0.5)</f>
        <v>0.5</v>
      </c>
      <c r="S5537" s="4" t="str">
        <f>IFERROR(__xludf.DUMMYFUNCTION("""COMPUTED_VALUE"""),"null")</f>
        <v>null</v>
      </c>
      <c r="T5537" s="33">
        <f>IFERROR(__xludf.DUMMYFUNCTION("""COMPUTED_VALUE"""),0.5)</f>
        <v>0.5</v>
      </c>
      <c r="U5537" s="4" t="str">
        <f>IFERROR(__xludf.DUMMYFUNCTION("""COMPUTED_VALUE"""),"null")</f>
        <v>null</v>
      </c>
      <c r="V5537" s="33">
        <f>IFERROR(__xludf.DUMMYFUNCTION("""COMPUTED_VALUE"""),0.5)</f>
        <v>0.5</v>
      </c>
      <c r="W5537" s="4" t="str">
        <f>IFERROR(__xludf.DUMMYFUNCTION("""COMPUTED_VALUE"""),"null")</f>
        <v>null</v>
      </c>
      <c r="X5537" s="33">
        <f>IFERROR(__xludf.DUMMYFUNCTION("""COMPUTED_VALUE"""),0.5)</f>
        <v>0.5</v>
      </c>
    </row>
    <row r="5538">
      <c r="K5538" s="4" t="str">
        <f>IFERROR(__xludf.DUMMYFUNCTION("""COMPUTED_VALUE"""),"PALADAR RESTAURANTE")</f>
        <v>PALADAR RESTAURANTE</v>
      </c>
      <c r="L5538" s="32">
        <f>IFERROR(__xludf.DUMMYFUNCTION("""COMPUTED_VALUE"""),2.0)</f>
        <v>2</v>
      </c>
      <c r="M5538" s="4" t="str">
        <f>IFERROR(__xludf.DUMMYFUNCTION("""COMPUTED_VALUE"""),"Sistema Pallas")</f>
        <v>Sistema Pallas</v>
      </c>
      <c r="N5538" s="33">
        <f>IFERROR(__xludf.DUMMYFUNCTION("""COMPUTED_VALUE"""),0.5)</f>
        <v>0.5</v>
      </c>
      <c r="O5538" s="4" t="str">
        <f>IFERROR(__xludf.DUMMYFUNCTION("""COMPUTED_VALUE"""),"Sistema Pallas")</f>
        <v>Sistema Pallas</v>
      </c>
      <c r="P5538" s="33">
        <f>IFERROR(__xludf.DUMMYFUNCTION("""COMPUTED_VALUE"""),0.5)</f>
        <v>0.5</v>
      </c>
      <c r="Q5538" s="4" t="str">
        <f>IFERROR(__xludf.DUMMYFUNCTION("""COMPUTED_VALUE"""),"Sistema Pallas")</f>
        <v>Sistema Pallas</v>
      </c>
      <c r="R5538" s="33">
        <f>IFERROR(__xludf.DUMMYFUNCTION("""COMPUTED_VALUE"""),0.5)</f>
        <v>0.5</v>
      </c>
      <c r="S5538" s="4" t="str">
        <f>IFERROR(__xludf.DUMMYFUNCTION("""COMPUTED_VALUE"""),"Sistema Pallas")</f>
        <v>Sistema Pallas</v>
      </c>
      <c r="T5538" s="33">
        <f>IFERROR(__xludf.DUMMYFUNCTION("""COMPUTED_VALUE"""),0.5)</f>
        <v>0.5</v>
      </c>
      <c r="U5538" s="4" t="str">
        <f>IFERROR(__xludf.DUMMYFUNCTION("""COMPUTED_VALUE"""),"Sistema Pallas")</f>
        <v>Sistema Pallas</v>
      </c>
      <c r="V5538" s="33">
        <f>IFERROR(__xludf.DUMMYFUNCTION("""COMPUTED_VALUE"""),0.5)</f>
        <v>0.5</v>
      </c>
      <c r="W5538" s="4" t="str">
        <f>IFERROR(__xludf.DUMMYFUNCTION("""COMPUTED_VALUE"""),"Sistema Pallas")</f>
        <v>Sistema Pallas</v>
      </c>
      <c r="X5538" s="33">
        <f>IFERROR(__xludf.DUMMYFUNCTION("""COMPUTED_VALUE"""),0.5)</f>
        <v>0.5</v>
      </c>
    </row>
    <row r="5539">
      <c r="K5539" s="4" t="str">
        <f>IFERROR(__xludf.DUMMYFUNCTION("""COMPUTED_VALUE"""),"BELLA PIZZA VRENA")</f>
        <v>BELLA PIZZA VRENA</v>
      </c>
      <c r="L5539" s="32">
        <f>IFERROR(__xludf.DUMMYFUNCTION("""COMPUTED_VALUE"""),2.0)</f>
        <v>2</v>
      </c>
      <c r="M5539" s="4" t="str">
        <f>IFERROR(__xludf.DUMMYFUNCTION("""COMPUTED_VALUE"""),"Saipos Serviços De Software")</f>
        <v>Saipos Serviços De Software</v>
      </c>
      <c r="N5539" s="33">
        <f>IFERROR(__xludf.DUMMYFUNCTION("""COMPUTED_VALUE"""),1.0)</f>
        <v>1</v>
      </c>
      <c r="O5539" s="4" t="str">
        <f>IFERROR(__xludf.DUMMYFUNCTION("""COMPUTED_VALUE"""),"Saipos Serviços De Software")</f>
        <v>Saipos Serviços De Software</v>
      </c>
      <c r="P5539" s="33">
        <f>IFERROR(__xludf.DUMMYFUNCTION("""COMPUTED_VALUE"""),1.0)</f>
        <v>1</v>
      </c>
      <c r="Q5539" s="4" t="str">
        <f>IFERROR(__xludf.DUMMYFUNCTION("""COMPUTED_VALUE"""),"Saipos Serviços De Software")</f>
        <v>Saipos Serviços De Software</v>
      </c>
      <c r="R5539" s="33">
        <f>IFERROR(__xludf.DUMMYFUNCTION("""COMPUTED_VALUE"""),1.0)</f>
        <v>1</v>
      </c>
      <c r="S5539" s="4" t="str">
        <f>IFERROR(__xludf.DUMMYFUNCTION("""COMPUTED_VALUE"""),"Saipos Serviços De Software")</f>
        <v>Saipos Serviços De Software</v>
      </c>
      <c r="T5539" s="33">
        <f>IFERROR(__xludf.DUMMYFUNCTION("""COMPUTED_VALUE"""),1.0)</f>
        <v>1</v>
      </c>
      <c r="U5539" s="4" t="str">
        <f>IFERROR(__xludf.DUMMYFUNCTION("""COMPUTED_VALUE"""),"Saipos Serviços De Software")</f>
        <v>Saipos Serviços De Software</v>
      </c>
      <c r="V5539" s="33">
        <f>IFERROR(__xludf.DUMMYFUNCTION("""COMPUTED_VALUE"""),1.0)</f>
        <v>1</v>
      </c>
      <c r="W5539" s="4" t="str">
        <f>IFERROR(__xludf.DUMMYFUNCTION("""COMPUTED_VALUE"""),"Saipos Serviços De Software")</f>
        <v>Saipos Serviços De Software</v>
      </c>
      <c r="X5539" s="33">
        <f>IFERROR(__xludf.DUMMYFUNCTION("""COMPUTED_VALUE"""),1.0)</f>
        <v>1</v>
      </c>
    </row>
    <row r="5540">
      <c r="K5540" s="4" t="str">
        <f>IFERROR(__xludf.DUMMYFUNCTION("""COMPUTED_VALUE"""),"PIZZARIA NOVA VENEZA")</f>
        <v>PIZZARIA NOVA VENEZA</v>
      </c>
      <c r="L5540" s="32">
        <f>IFERROR(__xludf.DUMMYFUNCTION("""COMPUTED_VALUE"""),2.0)</f>
        <v>2</v>
      </c>
      <c r="M5540" s="4" t="str">
        <f>IFERROR(__xludf.DUMMYFUNCTION("""COMPUTED_VALUE"""),"Freedom Tecnologia Ltda")</f>
        <v>Freedom Tecnologia Ltda</v>
      </c>
      <c r="N5540" s="33">
        <f>IFERROR(__xludf.DUMMYFUNCTION("""COMPUTED_VALUE"""),0.5)</f>
        <v>0.5</v>
      </c>
      <c r="O5540" s="4" t="str">
        <f>IFERROR(__xludf.DUMMYFUNCTION("""COMPUTED_VALUE"""),"Freedom Tecnologia Ltda")</f>
        <v>Freedom Tecnologia Ltda</v>
      </c>
      <c r="P5540" s="33">
        <f>IFERROR(__xludf.DUMMYFUNCTION("""COMPUTED_VALUE"""),0.5)</f>
        <v>0.5</v>
      </c>
      <c r="Q5540" s="4" t="str">
        <f>IFERROR(__xludf.DUMMYFUNCTION("""COMPUTED_VALUE"""),"Freedom Tecnologia Ltda")</f>
        <v>Freedom Tecnologia Ltda</v>
      </c>
      <c r="R5540" s="33">
        <f>IFERROR(__xludf.DUMMYFUNCTION("""COMPUTED_VALUE"""),0.5)</f>
        <v>0.5</v>
      </c>
      <c r="S5540" s="4" t="str">
        <f>IFERROR(__xludf.DUMMYFUNCTION("""COMPUTED_VALUE"""),"Freedom Tecnologia Ltda")</f>
        <v>Freedom Tecnologia Ltda</v>
      </c>
      <c r="T5540" s="33">
        <f>IFERROR(__xludf.DUMMYFUNCTION("""COMPUTED_VALUE"""),0.5)</f>
        <v>0.5</v>
      </c>
      <c r="U5540" s="4" t="str">
        <f>IFERROR(__xludf.DUMMYFUNCTION("""COMPUTED_VALUE"""),"Freedom Tecnologia Ltda")</f>
        <v>Freedom Tecnologia Ltda</v>
      </c>
      <c r="V5540" s="33">
        <f>IFERROR(__xludf.DUMMYFUNCTION("""COMPUTED_VALUE"""),0.5)</f>
        <v>0.5</v>
      </c>
      <c r="W5540" s="4" t="str">
        <f>IFERROR(__xludf.DUMMYFUNCTION("""COMPUTED_VALUE"""),"null")</f>
        <v>null</v>
      </c>
      <c r="X5540" s="33">
        <f>IFERROR(__xludf.DUMMYFUNCTION("""COMPUTED_VALUE"""),0.5)</f>
        <v>0.5</v>
      </c>
    </row>
    <row r="5541">
      <c r="K5541" s="4" t="str">
        <f>IFERROR(__xludf.DUMMYFUNCTION("""COMPUTED_VALUE"""),"EXPRESSO DA PIZZA")</f>
        <v>EXPRESSO DA PIZZA</v>
      </c>
      <c r="L5541" s="32">
        <f>IFERROR(__xludf.DUMMYFUNCTION("""COMPUTED_VALUE"""),2.0)</f>
        <v>2</v>
      </c>
      <c r="M5541" s="4" t="str">
        <f>IFERROR(__xludf.DUMMYFUNCTION("""COMPUTED_VALUE"""),"null")</f>
        <v>null</v>
      </c>
      <c r="N5541" s="33">
        <f>IFERROR(__xludf.DUMMYFUNCTION("""COMPUTED_VALUE"""),0.5)</f>
        <v>0.5</v>
      </c>
      <c r="O5541" s="4" t="str">
        <f>IFERROR(__xludf.DUMMYFUNCTION("""COMPUTED_VALUE"""),"null")</f>
        <v>null</v>
      </c>
      <c r="P5541" s="33">
        <f>IFERROR(__xludf.DUMMYFUNCTION("""COMPUTED_VALUE"""),1.0)</f>
        <v>1</v>
      </c>
      <c r="Q5541" s="4" t="str">
        <f>IFERROR(__xludf.DUMMYFUNCTION("""COMPUTED_VALUE"""),"null")</f>
        <v>null</v>
      </c>
      <c r="R5541" s="33">
        <f>IFERROR(__xludf.DUMMYFUNCTION("""COMPUTED_VALUE"""),1.0)</f>
        <v>1</v>
      </c>
      <c r="S5541" s="4" t="str">
        <f>IFERROR(__xludf.DUMMYFUNCTION("""COMPUTED_VALUE"""),"null")</f>
        <v>null</v>
      </c>
      <c r="T5541" s="33">
        <f>IFERROR(__xludf.DUMMYFUNCTION("""COMPUTED_VALUE"""),1.0)</f>
        <v>1</v>
      </c>
      <c r="U5541" s="4" t="str">
        <f>IFERROR(__xludf.DUMMYFUNCTION("""COMPUTED_VALUE"""),"Undercontrol Software")</f>
        <v>Undercontrol Software</v>
      </c>
      <c r="V5541" s="33">
        <f>IFERROR(__xludf.DUMMYFUNCTION("""COMPUTED_VALUE"""),0.5)</f>
        <v>0.5</v>
      </c>
      <c r="W5541" s="4" t="str">
        <f>IFERROR(__xludf.DUMMYFUNCTION("""COMPUTED_VALUE"""),"null")</f>
        <v>null</v>
      </c>
      <c r="X5541" s="33">
        <f>IFERROR(__xludf.DUMMYFUNCTION("""COMPUTED_VALUE"""),1.0)</f>
        <v>1</v>
      </c>
    </row>
    <row r="5542">
      <c r="K5542" s="4" t="str">
        <f>IFERROR(__xludf.DUMMYFUNCTION("""COMPUTED_VALUE"""),"DUDUZERA HOT DOG E BURGUER")</f>
        <v>DUDUZERA HOT DOG E BURGUER</v>
      </c>
      <c r="L5542" s="32">
        <f>IFERROR(__xludf.DUMMYFUNCTION("""COMPUTED_VALUE"""),2.0)</f>
        <v>2</v>
      </c>
      <c r="M5542" s="4" t="str">
        <f>IFERROR(__xludf.DUMMYFUNCTION("""COMPUTED_VALUE"""),"Schneider Software")</f>
        <v>Schneider Software</v>
      </c>
      <c r="N5542" s="33">
        <f>IFERROR(__xludf.DUMMYFUNCTION("""COMPUTED_VALUE"""),1.0)</f>
        <v>1</v>
      </c>
      <c r="O5542" s="4" t="str">
        <f>IFERROR(__xludf.DUMMYFUNCTION("""COMPUTED_VALUE"""),"Schneider Software")</f>
        <v>Schneider Software</v>
      </c>
      <c r="P5542" s="33">
        <f>IFERROR(__xludf.DUMMYFUNCTION("""COMPUTED_VALUE"""),1.0)</f>
        <v>1</v>
      </c>
      <c r="Q5542" s="4" t="str">
        <f>IFERROR(__xludf.DUMMYFUNCTION("""COMPUTED_VALUE"""),"null")</f>
        <v>null</v>
      </c>
      <c r="R5542" s="33">
        <f>IFERROR(__xludf.DUMMYFUNCTION("""COMPUTED_VALUE"""),0.5)</f>
        <v>0.5</v>
      </c>
      <c r="S5542" s="4" t="str">
        <f>IFERROR(__xludf.DUMMYFUNCTION("""COMPUTED_VALUE"""),"Schneider Software")</f>
        <v>Schneider Software</v>
      </c>
      <c r="T5542" s="33">
        <f>IFERROR(__xludf.DUMMYFUNCTION("""COMPUTED_VALUE"""),1.0)</f>
        <v>1</v>
      </c>
      <c r="U5542" s="4" t="str">
        <f>IFERROR(__xludf.DUMMYFUNCTION("""COMPUTED_VALUE"""),"null")</f>
        <v>null</v>
      </c>
      <c r="V5542" s="33">
        <f>IFERROR(__xludf.DUMMYFUNCTION("""COMPUTED_VALUE"""),1.0)</f>
        <v>1</v>
      </c>
      <c r="W5542" s="4" t="str">
        <f>IFERROR(__xludf.DUMMYFUNCTION("""COMPUTED_VALUE"""),"null")</f>
        <v>null</v>
      </c>
      <c r="X5542" s="33">
        <f>IFERROR(__xludf.DUMMYFUNCTION("""COMPUTED_VALUE"""),1.0)</f>
        <v>1</v>
      </c>
    </row>
    <row r="5543">
      <c r="K5543" s="4" t="str">
        <f>IFERROR(__xludf.DUMMYFUNCTION("""COMPUTED_VALUE"""),"HIRAMATSU BURGUERS")</f>
        <v>HIRAMATSU BURGUERS</v>
      </c>
      <c r="L5543" s="32">
        <f>IFERROR(__xludf.DUMMYFUNCTION("""COMPUTED_VALUE"""),2.0)</f>
        <v>2</v>
      </c>
      <c r="M5543" s="4" t="str">
        <f>IFERROR(__xludf.DUMMYFUNCTION("""COMPUTED_VALUE"""),"Saipos Serviços De Software")</f>
        <v>Saipos Serviços De Software</v>
      </c>
      <c r="N5543" s="33">
        <f>IFERROR(__xludf.DUMMYFUNCTION("""COMPUTED_VALUE"""),0.5)</f>
        <v>0.5</v>
      </c>
      <c r="O5543" s="4" t="str">
        <f>IFERROR(__xludf.DUMMYFUNCTION("""COMPUTED_VALUE"""),"Saipos Serviços De Software")</f>
        <v>Saipos Serviços De Software</v>
      </c>
      <c r="P5543" s="33">
        <f>IFERROR(__xludf.DUMMYFUNCTION("""COMPUTED_VALUE"""),0.5)</f>
        <v>0.5</v>
      </c>
      <c r="Q5543" s="4" t="str">
        <f>IFERROR(__xludf.DUMMYFUNCTION("""COMPUTED_VALUE"""),"null")</f>
        <v>null</v>
      </c>
      <c r="R5543" s="33">
        <f>IFERROR(__xludf.DUMMYFUNCTION("""COMPUTED_VALUE"""),0.5)</f>
        <v>0.5</v>
      </c>
      <c r="S5543" s="4" t="str">
        <f>IFERROR(__xludf.DUMMYFUNCTION("""COMPUTED_VALUE"""),"null")</f>
        <v>null</v>
      </c>
      <c r="T5543" s="33">
        <f>IFERROR(__xludf.DUMMYFUNCTION("""COMPUTED_VALUE"""),0.5)</f>
        <v>0.5</v>
      </c>
      <c r="U5543" s="4" t="str">
        <f>IFERROR(__xludf.DUMMYFUNCTION("""COMPUTED_VALUE"""),"null")</f>
        <v>null</v>
      </c>
      <c r="V5543" s="33">
        <f>IFERROR(__xludf.DUMMYFUNCTION("""COMPUTED_VALUE"""),0.5)</f>
        <v>0.5</v>
      </c>
      <c r="W5543" s="4" t="str">
        <f>IFERROR(__xludf.DUMMYFUNCTION("""COMPUTED_VALUE"""),"null")</f>
        <v>null</v>
      </c>
      <c r="X5543" s="33">
        <f>IFERROR(__xludf.DUMMYFUNCTION("""COMPUTED_VALUE"""),1.0)</f>
        <v>1</v>
      </c>
    </row>
    <row r="5544">
      <c r="K5544" s="4" t="str">
        <f>IFERROR(__xludf.DUMMYFUNCTION("""COMPUTED_VALUE"""),"PIZZA DA PRACA")</f>
        <v>PIZZA DA PRACA</v>
      </c>
      <c r="L5544" s="32">
        <f>IFERROR(__xludf.DUMMYFUNCTION("""COMPUTED_VALUE"""),2.0)</f>
        <v>2</v>
      </c>
      <c r="M5544" s="4" t="str">
        <f>IFERROR(__xludf.DUMMYFUNCTION("""COMPUTED_VALUE"""),"Cardápio Web")</f>
        <v>Cardápio Web</v>
      </c>
      <c r="N5544" s="33">
        <f>IFERROR(__xludf.DUMMYFUNCTION("""COMPUTED_VALUE"""),0.5)</f>
        <v>0.5</v>
      </c>
      <c r="O5544" s="4" t="str">
        <f>IFERROR(__xludf.DUMMYFUNCTION("""COMPUTED_VALUE"""),"Cardápio Web")</f>
        <v>Cardápio Web</v>
      </c>
      <c r="P5544" s="33">
        <f>IFERROR(__xludf.DUMMYFUNCTION("""COMPUTED_VALUE"""),0.5)</f>
        <v>0.5</v>
      </c>
      <c r="Q5544" s="4" t="str">
        <f>IFERROR(__xludf.DUMMYFUNCTION("""COMPUTED_VALUE"""),"Cardápio Web")</f>
        <v>Cardápio Web</v>
      </c>
      <c r="R5544" s="33">
        <f>IFERROR(__xludf.DUMMYFUNCTION("""COMPUTED_VALUE"""),0.5)</f>
        <v>0.5</v>
      </c>
      <c r="S5544" s="4" t="str">
        <f>IFERROR(__xludf.DUMMYFUNCTION("""COMPUTED_VALUE"""),"Cardápio Web")</f>
        <v>Cardápio Web</v>
      </c>
      <c r="T5544" s="33">
        <f>IFERROR(__xludf.DUMMYFUNCTION("""COMPUTED_VALUE"""),0.5)</f>
        <v>0.5</v>
      </c>
      <c r="U5544" s="4" t="str">
        <f>IFERROR(__xludf.DUMMYFUNCTION("""COMPUTED_VALUE"""),"Cardápio Web")</f>
        <v>Cardápio Web</v>
      </c>
      <c r="V5544" s="33">
        <f>IFERROR(__xludf.DUMMYFUNCTION("""COMPUTED_VALUE"""),0.5)</f>
        <v>0.5</v>
      </c>
      <c r="W5544" s="4" t="str">
        <f>IFERROR(__xludf.DUMMYFUNCTION("""COMPUTED_VALUE"""),"Cardápio Web")</f>
        <v>Cardápio Web</v>
      </c>
      <c r="X5544" s="33">
        <f>IFERROR(__xludf.DUMMYFUNCTION("""COMPUTED_VALUE"""),0.5)</f>
        <v>0.5</v>
      </c>
    </row>
    <row r="5545">
      <c r="K5545" s="4" t="str">
        <f>IFERROR(__xludf.DUMMYFUNCTION("""COMPUTED_VALUE"""),"COURAS BURGER - PAO DE BATATA")</f>
        <v>COURAS BURGER - PAO DE BATATA</v>
      </c>
      <c r="L5545" s="32">
        <f>IFERROR(__xludf.DUMMYFUNCTION("""COMPUTED_VALUE"""),2.0)</f>
        <v>2</v>
      </c>
      <c r="M5545" s="4" t="str">
        <f>IFERROR(__xludf.DUMMYFUNCTION("""COMPUTED_VALUE"""),"Cardápio Web")</f>
        <v>Cardápio Web</v>
      </c>
      <c r="N5545" s="33">
        <f>IFERROR(__xludf.DUMMYFUNCTION("""COMPUTED_VALUE"""),1.0)</f>
        <v>1</v>
      </c>
      <c r="O5545" s="4" t="str">
        <f>IFERROR(__xludf.DUMMYFUNCTION("""COMPUTED_VALUE"""),"Cardápio Web")</f>
        <v>Cardápio Web</v>
      </c>
      <c r="P5545" s="33">
        <f>IFERROR(__xludf.DUMMYFUNCTION("""COMPUTED_VALUE"""),1.0)</f>
        <v>1</v>
      </c>
      <c r="Q5545" s="4" t="str">
        <f>IFERROR(__xludf.DUMMYFUNCTION("""COMPUTED_VALUE"""),"Cardápio Web")</f>
        <v>Cardápio Web</v>
      </c>
      <c r="R5545" s="33">
        <f>IFERROR(__xludf.DUMMYFUNCTION("""COMPUTED_VALUE"""),1.0)</f>
        <v>1</v>
      </c>
      <c r="S5545" s="4" t="str">
        <f>IFERROR(__xludf.DUMMYFUNCTION("""COMPUTED_VALUE"""),"Cardápio Web")</f>
        <v>Cardápio Web</v>
      </c>
      <c r="T5545" s="33">
        <f>IFERROR(__xludf.DUMMYFUNCTION("""COMPUTED_VALUE"""),1.0)</f>
        <v>1</v>
      </c>
      <c r="U5545" s="4" t="str">
        <f>IFERROR(__xludf.DUMMYFUNCTION("""COMPUTED_VALUE"""),"Cardápio Web")</f>
        <v>Cardápio Web</v>
      </c>
      <c r="V5545" s="33">
        <f>IFERROR(__xludf.DUMMYFUNCTION("""COMPUTED_VALUE"""),1.0)</f>
        <v>1</v>
      </c>
      <c r="W5545" s="4" t="str">
        <f>IFERROR(__xludf.DUMMYFUNCTION("""COMPUTED_VALUE"""),"Cardápio Web")</f>
        <v>Cardápio Web</v>
      </c>
      <c r="X5545" s="33">
        <f>IFERROR(__xludf.DUMMYFUNCTION("""COMPUTED_VALUE"""),1.0)</f>
        <v>1</v>
      </c>
    </row>
    <row r="5546">
      <c r="K5546" s="4" t="str">
        <f>IFERROR(__xludf.DUMMYFUNCTION("""COMPUTED_VALUE"""),"JACKS BURGUER")</f>
        <v>JACKS BURGUER</v>
      </c>
      <c r="L5546" s="32">
        <f>IFERROR(__xludf.DUMMYFUNCTION("""COMPUTED_VALUE"""),2.0)</f>
        <v>2</v>
      </c>
      <c r="M5546" s="4" t="str">
        <f>IFERROR(__xludf.DUMMYFUNCTION("""COMPUTED_VALUE"""),"null")</f>
        <v>null</v>
      </c>
      <c r="N5546" s="33">
        <f>IFERROR(__xludf.DUMMYFUNCTION("""COMPUTED_VALUE"""),0.5)</f>
        <v>0.5</v>
      </c>
      <c r="O5546" s="4" t="str">
        <f>IFERROR(__xludf.DUMMYFUNCTION("""COMPUTED_VALUE"""),"null")</f>
        <v>null</v>
      </c>
      <c r="P5546" s="33">
        <f>IFERROR(__xludf.DUMMYFUNCTION("""COMPUTED_VALUE"""),0.5)</f>
        <v>0.5</v>
      </c>
      <c r="Q5546" s="4" t="str">
        <f>IFERROR(__xludf.DUMMYFUNCTION("""COMPUTED_VALUE"""),"Anota Ai Solucoes Digitais S/a")</f>
        <v>Anota Ai Solucoes Digitais S/a</v>
      </c>
      <c r="R5546" s="33">
        <f>IFERROR(__xludf.DUMMYFUNCTION("""COMPUTED_VALUE"""),0.5)</f>
        <v>0.5</v>
      </c>
      <c r="S5546" s="4" t="str">
        <f>IFERROR(__xludf.DUMMYFUNCTION("""COMPUTED_VALUE"""),"Anota Ai Solucoes Digitais S/a")</f>
        <v>Anota Ai Solucoes Digitais S/a</v>
      </c>
      <c r="T5546" s="33">
        <f>IFERROR(__xludf.DUMMYFUNCTION("""COMPUTED_VALUE"""),0.5)</f>
        <v>0.5</v>
      </c>
      <c r="U5546" s="4" t="str">
        <f>IFERROR(__xludf.DUMMYFUNCTION("""COMPUTED_VALUE"""),"Anota Ai Solucoes Digitais S/a")</f>
        <v>Anota Ai Solucoes Digitais S/a</v>
      </c>
      <c r="V5546" s="33">
        <f>IFERROR(__xludf.DUMMYFUNCTION("""COMPUTED_VALUE"""),0.5)</f>
        <v>0.5</v>
      </c>
      <c r="W5546" s="4" t="str">
        <f>IFERROR(__xludf.DUMMYFUNCTION("""COMPUTED_VALUE"""),"Anota Ai Solucoes Digitais S/a")</f>
        <v>Anota Ai Solucoes Digitais S/a</v>
      </c>
      <c r="X5546" s="33">
        <f>IFERROR(__xludf.DUMMYFUNCTION("""COMPUTED_VALUE"""),0.5)</f>
        <v>0.5</v>
      </c>
    </row>
    <row r="5547">
      <c r="K5547" s="4" t="str">
        <f>IFERROR(__xludf.DUMMYFUNCTION("""COMPUTED_VALUE"""),"TORO BURGER")</f>
        <v>TORO BURGER</v>
      </c>
      <c r="L5547" s="32">
        <f>IFERROR(__xludf.DUMMYFUNCTION("""COMPUTED_VALUE"""),2.0)</f>
        <v>2</v>
      </c>
      <c r="M5547" s="4" t="str">
        <f>IFERROR(__xludf.DUMMYFUNCTION("""COMPUTED_VALUE"""),"null")</f>
        <v>null</v>
      </c>
      <c r="N5547" s="33">
        <f>IFERROR(__xludf.DUMMYFUNCTION("""COMPUTED_VALUE"""),0.5)</f>
        <v>0.5</v>
      </c>
      <c r="O5547" s="4" t="str">
        <f>IFERROR(__xludf.DUMMYFUNCTION("""COMPUTED_VALUE"""),"null")</f>
        <v>null</v>
      </c>
      <c r="P5547" s="33">
        <f>IFERROR(__xludf.DUMMYFUNCTION("""COMPUTED_VALUE"""),1.0)</f>
        <v>1</v>
      </c>
      <c r="Q5547" s="4" t="str">
        <f>IFERROR(__xludf.DUMMYFUNCTION("""COMPUTED_VALUE"""),"null")</f>
        <v>null</v>
      </c>
      <c r="R5547" s="33">
        <f>IFERROR(__xludf.DUMMYFUNCTION("""COMPUTED_VALUE"""),0.5)</f>
        <v>0.5</v>
      </c>
      <c r="S5547" s="4" t="str">
        <f>IFERROR(__xludf.DUMMYFUNCTION("""COMPUTED_VALUE"""),"null")</f>
        <v>null</v>
      </c>
      <c r="T5547" s="33">
        <f>IFERROR(__xludf.DUMMYFUNCTION("""COMPUTED_VALUE"""),0.5)</f>
        <v>0.5</v>
      </c>
      <c r="U5547" s="4" t="str">
        <f>IFERROR(__xludf.DUMMYFUNCTION("""COMPUTED_VALUE"""),"Cardápio Web")</f>
        <v>Cardápio Web</v>
      </c>
      <c r="V5547" s="33">
        <f>IFERROR(__xludf.DUMMYFUNCTION("""COMPUTED_VALUE"""),0.5)</f>
        <v>0.5</v>
      </c>
      <c r="W5547" s="4" t="str">
        <f>IFERROR(__xludf.DUMMYFUNCTION("""COMPUTED_VALUE"""),"Cardápio Web")</f>
        <v>Cardápio Web</v>
      </c>
      <c r="X5547" s="33">
        <f>IFERROR(__xludf.DUMMYFUNCTION("""COMPUTED_VALUE"""),0.5)</f>
        <v>0.5</v>
      </c>
    </row>
    <row r="5548">
      <c r="K5548" s="4" t="str">
        <f>IFERROR(__xludf.DUMMYFUNCTION("""COMPUTED_VALUE"""),"PASTEL CASEIRO DA VOVO")</f>
        <v>PASTEL CASEIRO DA VOVO</v>
      </c>
      <c r="L5548" s="32">
        <f>IFERROR(__xludf.DUMMYFUNCTION("""COMPUTED_VALUE"""),2.0)</f>
        <v>2</v>
      </c>
      <c r="M5548" s="4" t="str">
        <f>IFERROR(__xludf.DUMMYFUNCTION("""COMPUTED_VALUE"""),"Instadelivery")</f>
        <v>Instadelivery</v>
      </c>
      <c r="N5548" s="33">
        <f>IFERROR(__xludf.DUMMYFUNCTION("""COMPUTED_VALUE"""),0.5)</f>
        <v>0.5</v>
      </c>
      <c r="O5548" s="4" t="str">
        <f>IFERROR(__xludf.DUMMYFUNCTION("""COMPUTED_VALUE"""),"Instadelivery")</f>
        <v>Instadelivery</v>
      </c>
      <c r="P5548" s="33">
        <f>IFERROR(__xludf.DUMMYFUNCTION("""COMPUTED_VALUE"""),0.5)</f>
        <v>0.5</v>
      </c>
      <c r="Q5548" s="4" t="str">
        <f>IFERROR(__xludf.DUMMYFUNCTION("""COMPUTED_VALUE"""),"Instadelivery")</f>
        <v>Instadelivery</v>
      </c>
      <c r="R5548" s="33">
        <f>IFERROR(__xludf.DUMMYFUNCTION("""COMPUTED_VALUE"""),0.5)</f>
        <v>0.5</v>
      </c>
      <c r="S5548" s="4" t="str">
        <f>IFERROR(__xludf.DUMMYFUNCTION("""COMPUTED_VALUE"""),"Instadelivery")</f>
        <v>Instadelivery</v>
      </c>
      <c r="T5548" s="33">
        <f>IFERROR(__xludf.DUMMYFUNCTION("""COMPUTED_VALUE"""),0.5)</f>
        <v>0.5</v>
      </c>
      <c r="U5548" s="4" t="str">
        <f>IFERROR(__xludf.DUMMYFUNCTION("""COMPUTED_VALUE"""),"Instadelivery")</f>
        <v>Instadelivery</v>
      </c>
      <c r="V5548" s="33">
        <f>IFERROR(__xludf.DUMMYFUNCTION("""COMPUTED_VALUE"""),0.5)</f>
        <v>0.5</v>
      </c>
      <c r="W5548" s="4" t="str">
        <f>IFERROR(__xludf.DUMMYFUNCTION("""COMPUTED_VALUE"""),"Instadelivery")</f>
        <v>Instadelivery</v>
      </c>
      <c r="X5548" s="33">
        <f>IFERROR(__xludf.DUMMYFUNCTION("""COMPUTED_VALUE"""),1.0)</f>
        <v>1</v>
      </c>
    </row>
    <row r="5549">
      <c r="K5549" s="4" t="str">
        <f>IFERROR(__xludf.DUMMYFUNCTION("""COMPUTED_VALUE"""),"MAX DROGARIAS")</f>
        <v>MAX DROGARIAS</v>
      </c>
      <c r="L5549" s="32">
        <f>IFERROR(__xludf.DUMMYFUNCTION("""COMPUTED_VALUE"""),2.0)</f>
        <v>2</v>
      </c>
      <c r="M5549" s="4" t="str">
        <f>IFERROR(__xludf.DUMMYFUNCTION("""COMPUTED_VALUE"""),"N/A (Not found)")</f>
        <v>N/A (Not found)</v>
      </c>
      <c r="N5549" s="33">
        <f>IFERROR(__xludf.DUMMYFUNCTION("""COMPUTED_VALUE"""),1.0)</f>
        <v>1</v>
      </c>
      <c r="O5549" s="4" t="str">
        <f>IFERROR(__xludf.DUMMYFUNCTION("""COMPUTED_VALUE"""),"N/A (Not found)")</f>
        <v>N/A (Not found)</v>
      </c>
      <c r="P5549" s="33">
        <f>IFERROR(__xludf.DUMMYFUNCTION("""COMPUTED_VALUE"""),1.0)</f>
        <v>1</v>
      </c>
      <c r="Q5549" s="4" t="str">
        <f>IFERROR(__xludf.DUMMYFUNCTION("""COMPUTED_VALUE"""),"N/A (Not found)")</f>
        <v>N/A (Not found)</v>
      </c>
      <c r="R5549" s="33">
        <f>IFERROR(__xludf.DUMMYFUNCTION("""COMPUTED_VALUE"""),1.0)</f>
        <v>1</v>
      </c>
      <c r="S5549" s="4" t="str">
        <f>IFERROR(__xludf.DUMMYFUNCTION("""COMPUTED_VALUE"""),"N/A (Not found)")</f>
        <v>N/A (Not found)</v>
      </c>
      <c r="T5549" s="33">
        <f>IFERROR(__xludf.DUMMYFUNCTION("""COMPUTED_VALUE"""),1.0)</f>
        <v>1</v>
      </c>
      <c r="U5549" s="4" t="str">
        <f>IFERROR(__xludf.DUMMYFUNCTION("""COMPUTED_VALUE"""),"N/A (Not found)")</f>
        <v>N/A (Not found)</v>
      </c>
      <c r="V5549" s="33">
        <f>IFERROR(__xludf.DUMMYFUNCTION("""COMPUTED_VALUE"""),1.0)</f>
        <v>1</v>
      </c>
      <c r="W5549" s="4" t="str">
        <f>IFERROR(__xludf.DUMMYFUNCTION("""COMPUTED_VALUE"""),"N/A (Not found)")</f>
        <v>N/A (Not found)</v>
      </c>
      <c r="X5549" s="33">
        <f>IFERROR(__xludf.DUMMYFUNCTION("""COMPUTED_VALUE"""),1.0)</f>
        <v>1</v>
      </c>
    </row>
    <row r="5550">
      <c r="K5550" s="4" t="str">
        <f>IFERROR(__xludf.DUMMYFUNCTION("""COMPUTED_VALUE"""),"POINT DO ESPETO")</f>
        <v>POINT DO ESPETO</v>
      </c>
      <c r="L5550" s="32">
        <f>IFERROR(__xludf.DUMMYFUNCTION("""COMPUTED_VALUE"""),2.0)</f>
        <v>2</v>
      </c>
      <c r="M5550" s="4" t="str">
        <f>IFERROR(__xludf.DUMMYFUNCTION("""COMPUTED_VALUE"""),"null")</f>
        <v>null</v>
      </c>
      <c r="N5550" s="33">
        <f>IFERROR(__xludf.DUMMYFUNCTION("""COMPUTED_VALUE"""),0.5)</f>
        <v>0.5</v>
      </c>
      <c r="O5550" s="4" t="str">
        <f>IFERROR(__xludf.DUMMYFUNCTION("""COMPUTED_VALUE"""),"null")</f>
        <v>null</v>
      </c>
      <c r="P5550" s="33">
        <f>IFERROR(__xludf.DUMMYFUNCTION("""COMPUTED_VALUE"""),0.5)</f>
        <v>0.5</v>
      </c>
      <c r="Q5550" s="4" t="str">
        <f>IFERROR(__xludf.DUMMYFUNCTION("""COMPUTED_VALUE"""),"null")</f>
        <v>null</v>
      </c>
      <c r="R5550" s="33">
        <f>IFERROR(__xludf.DUMMYFUNCTION("""COMPUTED_VALUE"""),1.0)</f>
        <v>1</v>
      </c>
      <c r="S5550" s="4" t="str">
        <f>IFERROR(__xludf.DUMMYFUNCTION("""COMPUTED_VALUE"""),"null")</f>
        <v>null</v>
      </c>
      <c r="T5550" s="33">
        <f>IFERROR(__xludf.DUMMYFUNCTION("""COMPUTED_VALUE"""),0.5)</f>
        <v>0.5</v>
      </c>
      <c r="U5550" s="4" t="str">
        <f>IFERROR(__xludf.DUMMYFUNCTION("""COMPUTED_VALUE"""),"Anota Ai Solucoes Digitais S/a")</f>
        <v>Anota Ai Solucoes Digitais S/a</v>
      </c>
      <c r="V5550" s="33">
        <f>IFERROR(__xludf.DUMMYFUNCTION("""COMPUTED_VALUE"""),0.5)</f>
        <v>0.5</v>
      </c>
      <c r="W5550" s="4" t="str">
        <f>IFERROR(__xludf.DUMMYFUNCTION("""COMPUTED_VALUE"""),"null")</f>
        <v>null</v>
      </c>
      <c r="X5550" s="33">
        <f>IFERROR(__xludf.DUMMYFUNCTION("""COMPUTED_VALUE"""),0.5)</f>
        <v>0.5</v>
      </c>
    </row>
    <row r="5551">
      <c r="K5551" s="4" t="str">
        <f>IFERROR(__xludf.DUMMYFUNCTION("""COMPUTED_VALUE"""),"ALFA PIZZARIA")</f>
        <v>ALFA PIZZARIA</v>
      </c>
      <c r="L5551" s="32">
        <f>IFERROR(__xludf.DUMMYFUNCTION("""COMPUTED_VALUE"""),2.0)</f>
        <v>2</v>
      </c>
      <c r="M5551" s="4" t="str">
        <f>IFERROR(__xludf.DUMMYFUNCTION("""COMPUTED_VALUE"""),"Deeliv")</f>
        <v>Deeliv</v>
      </c>
      <c r="N5551" s="33">
        <f>IFERROR(__xludf.DUMMYFUNCTION("""COMPUTED_VALUE"""),0.5)</f>
        <v>0.5</v>
      </c>
      <c r="O5551" s="4" t="str">
        <f>IFERROR(__xludf.DUMMYFUNCTION("""COMPUTED_VALUE"""),"null")</f>
        <v>null</v>
      </c>
      <c r="P5551" s="33">
        <f>IFERROR(__xludf.DUMMYFUNCTION("""COMPUTED_VALUE"""),0.5)</f>
        <v>0.5</v>
      </c>
      <c r="Q5551" s="4" t="str">
        <f>IFERROR(__xludf.DUMMYFUNCTION("""COMPUTED_VALUE"""),"null")</f>
        <v>null</v>
      </c>
      <c r="R5551" s="33">
        <f>IFERROR(__xludf.DUMMYFUNCTION("""COMPUTED_VALUE"""),0.5)</f>
        <v>0.5</v>
      </c>
      <c r="S5551" s="4" t="str">
        <f>IFERROR(__xludf.DUMMYFUNCTION("""COMPUTED_VALUE"""),"null")</f>
        <v>null</v>
      </c>
      <c r="T5551" s="33">
        <f>IFERROR(__xludf.DUMMYFUNCTION("""COMPUTED_VALUE"""),0.5)</f>
        <v>0.5</v>
      </c>
      <c r="U5551" s="4" t="str">
        <f>IFERROR(__xludf.DUMMYFUNCTION("""COMPUTED_VALUE"""),"null")</f>
        <v>null</v>
      </c>
      <c r="V5551" s="33">
        <f>IFERROR(__xludf.DUMMYFUNCTION("""COMPUTED_VALUE"""),0.5)</f>
        <v>0.5</v>
      </c>
      <c r="W5551" s="4" t="str">
        <f>IFERROR(__xludf.DUMMYFUNCTION("""COMPUTED_VALUE"""),"null")</f>
        <v>null</v>
      </c>
      <c r="X5551" s="33">
        <f>IFERROR(__xludf.DUMMYFUNCTION("""COMPUTED_VALUE"""),0.5)</f>
        <v>0.5</v>
      </c>
    </row>
    <row r="5552">
      <c r="K5552" s="4" t="str">
        <f>IFERROR(__xludf.DUMMYFUNCTION("""COMPUTED_VALUE"""),"FOODFLIX")</f>
        <v>FOODFLIX</v>
      </c>
      <c r="L5552" s="32">
        <f>IFERROR(__xludf.DUMMYFUNCTION("""COMPUTED_VALUE"""),2.0)</f>
        <v>2</v>
      </c>
      <c r="M5552" s="4" t="str">
        <f>IFERROR(__xludf.DUMMYFUNCTION("""COMPUTED_VALUE"""),"Saipos Serviços De Software")</f>
        <v>Saipos Serviços De Software</v>
      </c>
      <c r="N5552" s="33">
        <f>IFERROR(__xludf.DUMMYFUNCTION("""COMPUTED_VALUE"""),0.5)</f>
        <v>0.5</v>
      </c>
      <c r="O5552" s="4" t="str">
        <f>IFERROR(__xludf.DUMMYFUNCTION("""COMPUTED_VALUE"""),"Anota Ai Solucoes Digitais S/a")</f>
        <v>Anota Ai Solucoes Digitais S/a</v>
      </c>
      <c r="P5552" s="33">
        <f>IFERROR(__xludf.DUMMYFUNCTION("""COMPUTED_VALUE"""),0.5)</f>
        <v>0.5</v>
      </c>
      <c r="Q5552" s="4" t="str">
        <f>IFERROR(__xludf.DUMMYFUNCTION("""COMPUTED_VALUE"""),"Anota Ai Solucoes Digitais S/a")</f>
        <v>Anota Ai Solucoes Digitais S/a</v>
      </c>
      <c r="R5552" s="33">
        <f>IFERROR(__xludf.DUMMYFUNCTION("""COMPUTED_VALUE"""),0.5)</f>
        <v>0.5</v>
      </c>
      <c r="S5552" s="4" t="str">
        <f>IFERROR(__xludf.DUMMYFUNCTION("""COMPUTED_VALUE"""),"Anota Ai Solucoes Digitais S/a")</f>
        <v>Anota Ai Solucoes Digitais S/a</v>
      </c>
      <c r="T5552" s="33">
        <f>IFERROR(__xludf.DUMMYFUNCTION("""COMPUTED_VALUE"""),0.5)</f>
        <v>0.5</v>
      </c>
      <c r="U5552" s="4" t="str">
        <f>IFERROR(__xludf.DUMMYFUNCTION("""COMPUTED_VALUE"""),"Anota Ai Solucoes Digitais S/a")</f>
        <v>Anota Ai Solucoes Digitais S/a</v>
      </c>
      <c r="V5552" s="33">
        <f>IFERROR(__xludf.DUMMYFUNCTION("""COMPUTED_VALUE"""),0.5)</f>
        <v>0.5</v>
      </c>
      <c r="W5552" s="4" t="str">
        <f>IFERROR(__xludf.DUMMYFUNCTION("""COMPUTED_VALUE"""),"Anota Ai Solucoes Digitais S/a")</f>
        <v>Anota Ai Solucoes Digitais S/a</v>
      </c>
      <c r="X5552" s="33">
        <f>IFERROR(__xludf.DUMMYFUNCTION("""COMPUTED_VALUE"""),0.5)</f>
        <v>0.5</v>
      </c>
    </row>
    <row r="5553">
      <c r="K5553" s="4" t="str">
        <f>IFERROR(__xludf.DUMMYFUNCTION("""COMPUTED_VALUE"""),"BEM BOLADO BURGUER")</f>
        <v>BEM BOLADO BURGUER</v>
      </c>
      <c r="L5553" s="32">
        <f>IFERROR(__xludf.DUMMYFUNCTION("""COMPUTED_VALUE"""),2.0)</f>
        <v>2</v>
      </c>
      <c r="M5553" s="4" t="str">
        <f>IFERROR(__xludf.DUMMYFUNCTION("""COMPUTED_VALUE"""),"null")</f>
        <v>null</v>
      </c>
      <c r="N5553" s="33">
        <f>IFERROR(__xludf.DUMMYFUNCTION("""COMPUTED_VALUE"""),0.5)</f>
        <v>0.5</v>
      </c>
      <c r="O5553" s="4" t="str">
        <f>IFERROR(__xludf.DUMMYFUNCTION("""COMPUTED_VALUE"""),"null")</f>
        <v>null</v>
      </c>
      <c r="P5553" s="33">
        <f>IFERROR(__xludf.DUMMYFUNCTION("""COMPUTED_VALUE"""),0.5)</f>
        <v>0.5</v>
      </c>
      <c r="Q5553" s="4" t="str">
        <f>IFERROR(__xludf.DUMMYFUNCTION("""COMPUTED_VALUE"""),"null")</f>
        <v>null</v>
      </c>
      <c r="R5553" s="33">
        <f>IFERROR(__xludf.DUMMYFUNCTION("""COMPUTED_VALUE"""),0.5)</f>
        <v>0.5</v>
      </c>
      <c r="S5553" s="4" t="str">
        <f>IFERROR(__xludf.DUMMYFUNCTION("""COMPUTED_VALUE"""),"No Mercado Representacoes Ltda")</f>
        <v>No Mercado Representacoes Ltda</v>
      </c>
      <c r="T5553" s="33">
        <f>IFERROR(__xludf.DUMMYFUNCTION("""COMPUTED_VALUE"""),0.5)</f>
        <v>0.5</v>
      </c>
      <c r="U5553" s="4" t="str">
        <f>IFERROR(__xludf.DUMMYFUNCTION("""COMPUTED_VALUE"""),"No Mercado Representacoes Ltda")</f>
        <v>No Mercado Representacoes Ltda</v>
      </c>
      <c r="V5553" s="33">
        <f>IFERROR(__xludf.DUMMYFUNCTION("""COMPUTED_VALUE"""),0.5)</f>
        <v>0.5</v>
      </c>
      <c r="W5553" s="4" t="str">
        <f>IFERROR(__xludf.DUMMYFUNCTION("""COMPUTED_VALUE"""),"No Mercado Representacoes Ltda")</f>
        <v>No Mercado Representacoes Ltda</v>
      </c>
      <c r="X5553" s="33">
        <f>IFERROR(__xludf.DUMMYFUNCTION("""COMPUTED_VALUE"""),0.5)</f>
        <v>0.5</v>
      </c>
    </row>
    <row r="5554">
      <c r="K5554" s="4" t="str">
        <f>IFERROR(__xludf.DUMMYFUNCTION("""COMPUTED_VALUE"""),"PIZZARIA DA PRACA")</f>
        <v>PIZZARIA DA PRACA</v>
      </c>
      <c r="L5554" s="32">
        <f>IFERROR(__xludf.DUMMYFUNCTION("""COMPUTED_VALUE"""),2.0)</f>
        <v>2</v>
      </c>
      <c r="M5554" s="4" t="str">
        <f>IFERROR(__xludf.DUMMYFUNCTION("""COMPUTED_VALUE"""),"null")</f>
        <v>null</v>
      </c>
      <c r="N5554" s="33">
        <f>IFERROR(__xludf.DUMMYFUNCTION("""COMPUTED_VALUE"""),0.5)</f>
        <v>0.5</v>
      </c>
      <c r="O5554" s="4" t="str">
        <f>IFERROR(__xludf.DUMMYFUNCTION("""COMPUTED_VALUE"""),"Saipos Serviços De Software")</f>
        <v>Saipos Serviços De Software</v>
      </c>
      <c r="P5554" s="33">
        <f>IFERROR(__xludf.DUMMYFUNCTION("""COMPUTED_VALUE"""),0.5)</f>
        <v>0.5</v>
      </c>
      <c r="Q5554" s="4" t="str">
        <f>IFERROR(__xludf.DUMMYFUNCTION("""COMPUTED_VALUE"""),"null")</f>
        <v>null</v>
      </c>
      <c r="R5554" s="33">
        <f>IFERROR(__xludf.DUMMYFUNCTION("""COMPUTED_VALUE"""),0.5)</f>
        <v>0.5</v>
      </c>
      <c r="S5554" s="4" t="str">
        <f>IFERROR(__xludf.DUMMYFUNCTION("""COMPUTED_VALUE"""),"null")</f>
        <v>null</v>
      </c>
      <c r="T5554" s="33">
        <f>IFERROR(__xludf.DUMMYFUNCTION("""COMPUTED_VALUE"""),0.5)</f>
        <v>0.5</v>
      </c>
      <c r="U5554" s="4" t="str">
        <f>IFERROR(__xludf.DUMMYFUNCTION("""COMPUTED_VALUE"""),"null")</f>
        <v>null</v>
      </c>
      <c r="V5554" s="33">
        <f>IFERROR(__xludf.DUMMYFUNCTION("""COMPUTED_VALUE"""),0.5)</f>
        <v>0.5</v>
      </c>
      <c r="W5554" s="4" t="str">
        <f>IFERROR(__xludf.DUMMYFUNCTION("""COMPUTED_VALUE"""),"null")</f>
        <v>null</v>
      </c>
      <c r="X5554" s="33">
        <f>IFERROR(__xludf.DUMMYFUNCTION("""COMPUTED_VALUE"""),0.5)</f>
        <v>0.5</v>
      </c>
    </row>
    <row r="5555">
      <c r="K5555" s="4" t="str">
        <f>IFERROR(__xludf.DUMMYFUNCTION("""COMPUTED_VALUE"""),"FLASH BURGER ARTESANAL")</f>
        <v>FLASH BURGER ARTESANAL</v>
      </c>
      <c r="L5555" s="32">
        <f>IFERROR(__xludf.DUMMYFUNCTION("""COMPUTED_VALUE"""),2.0)</f>
        <v>2</v>
      </c>
      <c r="M5555" s="4" t="str">
        <f>IFERROR(__xludf.DUMMYFUNCTION("""COMPUTED_VALUE"""),"Brendi")</f>
        <v>Brendi</v>
      </c>
      <c r="N5555" s="33">
        <f>IFERROR(__xludf.DUMMYFUNCTION("""COMPUTED_VALUE"""),0.5)</f>
        <v>0.5</v>
      </c>
      <c r="O5555" s="4" t="str">
        <f>IFERROR(__xludf.DUMMYFUNCTION("""COMPUTED_VALUE"""),"Brendi")</f>
        <v>Brendi</v>
      </c>
      <c r="P5555" s="33">
        <f>IFERROR(__xludf.DUMMYFUNCTION("""COMPUTED_VALUE"""),0.5)</f>
        <v>0.5</v>
      </c>
      <c r="Q5555" s="4" t="str">
        <f>IFERROR(__xludf.DUMMYFUNCTION("""COMPUTED_VALUE"""),"Brendi")</f>
        <v>Brendi</v>
      </c>
      <c r="R5555" s="33">
        <f>IFERROR(__xludf.DUMMYFUNCTION("""COMPUTED_VALUE"""),0.5)</f>
        <v>0.5</v>
      </c>
      <c r="S5555" s="4" t="str">
        <f>IFERROR(__xludf.DUMMYFUNCTION("""COMPUTED_VALUE"""),"null")</f>
        <v>null</v>
      </c>
      <c r="T5555" s="33">
        <f>IFERROR(__xludf.DUMMYFUNCTION("""COMPUTED_VALUE"""),0.5)</f>
        <v>0.5</v>
      </c>
      <c r="U5555" s="4" t="str">
        <f>IFERROR(__xludf.DUMMYFUNCTION("""COMPUTED_VALUE"""),"null")</f>
        <v>null</v>
      </c>
      <c r="V5555" s="33">
        <f>IFERROR(__xludf.DUMMYFUNCTION("""COMPUTED_VALUE"""),1.0)</f>
        <v>1</v>
      </c>
      <c r="W5555" s="4" t="str">
        <f>IFERROR(__xludf.DUMMYFUNCTION("""COMPUTED_VALUE"""),"null")</f>
        <v>null</v>
      </c>
      <c r="X5555" s="33">
        <f>IFERROR(__xludf.DUMMYFUNCTION("""COMPUTED_VALUE"""),1.0)</f>
        <v>1</v>
      </c>
    </row>
    <row r="5556">
      <c r="K5556" s="4" t="str">
        <f>IFERROR(__xludf.DUMMYFUNCTION("""COMPUTED_VALUE"""),"BROKAS BURGUER")</f>
        <v>BROKAS BURGUER</v>
      </c>
      <c r="L5556" s="32">
        <f>IFERROR(__xludf.DUMMYFUNCTION("""COMPUTED_VALUE"""),2.0)</f>
        <v>2</v>
      </c>
      <c r="M5556" s="4" t="str">
        <f>IFERROR(__xludf.DUMMYFUNCTION("""COMPUTED_VALUE"""),"Cardápio Web")</f>
        <v>Cardápio Web</v>
      </c>
      <c r="N5556" s="33">
        <f>IFERROR(__xludf.DUMMYFUNCTION("""COMPUTED_VALUE"""),0.5)</f>
        <v>0.5</v>
      </c>
      <c r="O5556" s="4" t="str">
        <f>IFERROR(__xludf.DUMMYFUNCTION("""COMPUTED_VALUE"""),"Cardápio Web")</f>
        <v>Cardápio Web</v>
      </c>
      <c r="P5556" s="33">
        <f>IFERROR(__xludf.DUMMYFUNCTION("""COMPUTED_VALUE"""),0.5)</f>
        <v>0.5</v>
      </c>
      <c r="Q5556" s="4" t="str">
        <f>IFERROR(__xludf.DUMMYFUNCTION("""COMPUTED_VALUE"""),"Cardápio Web")</f>
        <v>Cardápio Web</v>
      </c>
      <c r="R5556" s="33">
        <f>IFERROR(__xludf.DUMMYFUNCTION("""COMPUTED_VALUE"""),0.5)</f>
        <v>0.5</v>
      </c>
      <c r="S5556" s="4" t="str">
        <f>IFERROR(__xludf.DUMMYFUNCTION("""COMPUTED_VALUE"""),"Cardápio Web")</f>
        <v>Cardápio Web</v>
      </c>
      <c r="T5556" s="33">
        <f>IFERROR(__xludf.DUMMYFUNCTION("""COMPUTED_VALUE"""),0.5)</f>
        <v>0.5</v>
      </c>
      <c r="U5556" s="4" t="str">
        <f>IFERROR(__xludf.DUMMYFUNCTION("""COMPUTED_VALUE"""),"Cardápio Web")</f>
        <v>Cardápio Web</v>
      </c>
      <c r="V5556" s="33">
        <f>IFERROR(__xludf.DUMMYFUNCTION("""COMPUTED_VALUE"""),0.5)</f>
        <v>0.5</v>
      </c>
      <c r="W5556" s="4" t="str">
        <f>IFERROR(__xludf.DUMMYFUNCTION("""COMPUTED_VALUE"""),"Cardápio Web")</f>
        <v>Cardápio Web</v>
      </c>
      <c r="X5556" s="33">
        <f>IFERROR(__xludf.DUMMYFUNCTION("""COMPUTED_VALUE"""),0.5)</f>
        <v>0.5</v>
      </c>
    </row>
    <row r="5557">
      <c r="K5557" s="4" t="str">
        <f>IFERROR(__xludf.DUMMYFUNCTION("""COMPUTED_VALUE"""),"GATO GELATO ACAI E SORVETES")</f>
        <v>GATO GELATO ACAI E SORVETES</v>
      </c>
      <c r="L5557" s="32">
        <f>IFERROR(__xludf.DUMMYFUNCTION("""COMPUTED_VALUE"""),2.0)</f>
        <v>2</v>
      </c>
      <c r="M5557" s="4" t="str">
        <f>IFERROR(__xludf.DUMMYFUNCTION("""COMPUTED_VALUE"""),"Yooga")</f>
        <v>Yooga</v>
      </c>
      <c r="N5557" s="33">
        <f>IFERROR(__xludf.DUMMYFUNCTION("""COMPUTED_VALUE"""),1.0)</f>
        <v>1</v>
      </c>
      <c r="O5557" s="4" t="str">
        <f>IFERROR(__xludf.DUMMYFUNCTION("""COMPUTED_VALUE"""),"Yooga")</f>
        <v>Yooga</v>
      </c>
      <c r="P5557" s="33">
        <f>IFERROR(__xludf.DUMMYFUNCTION("""COMPUTED_VALUE"""),1.0)</f>
        <v>1</v>
      </c>
      <c r="Q5557" s="4" t="str">
        <f>IFERROR(__xludf.DUMMYFUNCTION("""COMPUTED_VALUE"""),"Yooga")</f>
        <v>Yooga</v>
      </c>
      <c r="R5557" s="33">
        <f>IFERROR(__xludf.DUMMYFUNCTION("""COMPUTED_VALUE"""),1.0)</f>
        <v>1</v>
      </c>
      <c r="S5557" s="4" t="str">
        <f>IFERROR(__xludf.DUMMYFUNCTION("""COMPUTED_VALUE"""),"Yooga")</f>
        <v>Yooga</v>
      </c>
      <c r="T5557" s="33">
        <f>IFERROR(__xludf.DUMMYFUNCTION("""COMPUTED_VALUE"""),1.0)</f>
        <v>1</v>
      </c>
      <c r="U5557" s="4" t="str">
        <f>IFERROR(__xludf.DUMMYFUNCTION("""COMPUTED_VALUE"""),"Yooga")</f>
        <v>Yooga</v>
      </c>
      <c r="V5557" s="33">
        <f>IFERROR(__xludf.DUMMYFUNCTION("""COMPUTED_VALUE"""),1.0)</f>
        <v>1</v>
      </c>
      <c r="W5557" s="4" t="str">
        <f>IFERROR(__xludf.DUMMYFUNCTION("""COMPUTED_VALUE"""),"Yooga")</f>
        <v>Yooga</v>
      </c>
      <c r="X5557" s="33">
        <f>IFERROR(__xludf.DUMMYFUNCTION("""COMPUTED_VALUE"""),1.0)</f>
        <v>1</v>
      </c>
    </row>
    <row r="5558">
      <c r="K5558" s="4" t="str">
        <f>IFERROR(__xludf.DUMMYFUNCTION("""COMPUTED_VALUE"""),"PIZZARIA CASTELO")</f>
        <v>PIZZARIA CASTELO</v>
      </c>
      <c r="L5558" s="32">
        <f>IFERROR(__xludf.DUMMYFUNCTION("""COMPUTED_VALUE"""),2.0)</f>
        <v>2</v>
      </c>
      <c r="M5558" s="4" t="str">
        <f>IFERROR(__xludf.DUMMYFUNCTION("""COMPUTED_VALUE"""),"Saipos Serviços De Software")</f>
        <v>Saipos Serviços De Software</v>
      </c>
      <c r="N5558" s="33">
        <f>IFERROR(__xludf.DUMMYFUNCTION("""COMPUTED_VALUE"""),0.5)</f>
        <v>0.5</v>
      </c>
      <c r="O5558" s="4" t="str">
        <f>IFERROR(__xludf.DUMMYFUNCTION("""COMPUTED_VALUE"""),"Saipos Serviços De Software")</f>
        <v>Saipos Serviços De Software</v>
      </c>
      <c r="P5558" s="33">
        <f>IFERROR(__xludf.DUMMYFUNCTION("""COMPUTED_VALUE"""),0.5)</f>
        <v>0.5</v>
      </c>
      <c r="Q5558" s="4" t="str">
        <f>IFERROR(__xludf.DUMMYFUNCTION("""COMPUTED_VALUE"""),"Saipos Serviços De Software")</f>
        <v>Saipos Serviços De Software</v>
      </c>
      <c r="R5558" s="33">
        <f>IFERROR(__xludf.DUMMYFUNCTION("""COMPUTED_VALUE"""),0.5)</f>
        <v>0.5</v>
      </c>
      <c r="S5558" s="4" t="str">
        <f>IFERROR(__xludf.DUMMYFUNCTION("""COMPUTED_VALUE"""),"Saipos Serviços De Software")</f>
        <v>Saipos Serviços De Software</v>
      </c>
      <c r="T5558" s="33">
        <f>IFERROR(__xludf.DUMMYFUNCTION("""COMPUTED_VALUE"""),0.5)</f>
        <v>0.5</v>
      </c>
      <c r="U5558" s="4" t="str">
        <f>IFERROR(__xludf.DUMMYFUNCTION("""COMPUTED_VALUE"""),"Saipos Serviços De Software")</f>
        <v>Saipos Serviços De Software</v>
      </c>
      <c r="V5558" s="33">
        <f>IFERROR(__xludf.DUMMYFUNCTION("""COMPUTED_VALUE"""),0.5)</f>
        <v>0.5</v>
      </c>
      <c r="W5558" s="4" t="str">
        <f>IFERROR(__xludf.DUMMYFUNCTION("""COMPUTED_VALUE"""),"Saipos Serviços De Software")</f>
        <v>Saipos Serviços De Software</v>
      </c>
      <c r="X5558" s="33">
        <f>IFERROR(__xludf.DUMMYFUNCTION("""COMPUTED_VALUE"""),0.5)</f>
        <v>0.5</v>
      </c>
    </row>
    <row r="5559">
      <c r="K5559" s="4" t="str">
        <f>IFERROR(__xludf.DUMMYFUNCTION("""COMPUTED_VALUE"""),"TAIGA SUSHI")</f>
        <v>TAIGA SUSHI</v>
      </c>
      <c r="L5559" s="32">
        <f>IFERROR(__xludf.DUMMYFUNCTION("""COMPUTED_VALUE"""),2.0)</f>
        <v>2</v>
      </c>
      <c r="M5559" s="4" t="str">
        <f>IFERROR(__xludf.DUMMYFUNCTION("""COMPUTED_VALUE"""),"Saipos Serviços De Software")</f>
        <v>Saipos Serviços De Software</v>
      </c>
      <c r="N5559" s="33">
        <f>IFERROR(__xludf.DUMMYFUNCTION("""COMPUTED_VALUE"""),1.0)</f>
        <v>1</v>
      </c>
      <c r="O5559" s="4" t="str">
        <f>IFERROR(__xludf.DUMMYFUNCTION("""COMPUTED_VALUE"""),"Saipos Serviços De Software")</f>
        <v>Saipos Serviços De Software</v>
      </c>
      <c r="P5559" s="33">
        <f>IFERROR(__xludf.DUMMYFUNCTION("""COMPUTED_VALUE"""),1.0)</f>
        <v>1</v>
      </c>
      <c r="Q5559" s="4" t="str">
        <f>IFERROR(__xludf.DUMMYFUNCTION("""COMPUTED_VALUE"""),"Saipos Serviços De Software")</f>
        <v>Saipos Serviços De Software</v>
      </c>
      <c r="R5559" s="33">
        <f>IFERROR(__xludf.DUMMYFUNCTION("""COMPUTED_VALUE"""),1.0)</f>
        <v>1</v>
      </c>
      <c r="S5559" s="4" t="str">
        <f>IFERROR(__xludf.DUMMYFUNCTION("""COMPUTED_VALUE"""),"Saipos Serviços De Software")</f>
        <v>Saipos Serviços De Software</v>
      </c>
      <c r="T5559" s="33">
        <f>IFERROR(__xludf.DUMMYFUNCTION("""COMPUTED_VALUE"""),1.0)</f>
        <v>1</v>
      </c>
      <c r="U5559" s="4" t="str">
        <f>IFERROR(__xludf.DUMMYFUNCTION("""COMPUTED_VALUE"""),"Saipos Serviços De Software")</f>
        <v>Saipos Serviços De Software</v>
      </c>
      <c r="V5559" s="33">
        <f>IFERROR(__xludf.DUMMYFUNCTION("""COMPUTED_VALUE"""),1.0)</f>
        <v>1</v>
      </c>
      <c r="W5559" s="4" t="str">
        <f>IFERROR(__xludf.DUMMYFUNCTION("""COMPUTED_VALUE"""),"Saipos Serviços De Software")</f>
        <v>Saipos Serviços De Software</v>
      </c>
      <c r="X5559" s="33">
        <f>IFERROR(__xludf.DUMMYFUNCTION("""COMPUTED_VALUE"""),1.0)</f>
        <v>1</v>
      </c>
    </row>
    <row r="5560">
      <c r="K5560" s="4" t="str">
        <f>IFERROR(__xludf.DUMMYFUNCTION("""COMPUTED_VALUE"""),"CASTANHA BARU")</f>
        <v>CASTANHA BARU</v>
      </c>
      <c r="L5560" s="32">
        <f>IFERROR(__xludf.DUMMYFUNCTION("""COMPUTED_VALUE"""),2.0)</f>
        <v>2</v>
      </c>
      <c r="M5560" s="4" t="str">
        <f>IFERROR(__xludf.DUMMYFUNCTION("""COMPUTED_VALUE"""),"Compusoft")</f>
        <v>Compusoft</v>
      </c>
      <c r="N5560" s="33">
        <f>IFERROR(__xludf.DUMMYFUNCTION("""COMPUTED_VALUE"""),1.0)</f>
        <v>1</v>
      </c>
      <c r="O5560" s="4" t="str">
        <f>IFERROR(__xludf.DUMMYFUNCTION("""COMPUTED_VALUE"""),"Compusoft")</f>
        <v>Compusoft</v>
      </c>
      <c r="P5560" s="33">
        <f>IFERROR(__xludf.DUMMYFUNCTION("""COMPUTED_VALUE"""),1.0)</f>
        <v>1</v>
      </c>
      <c r="Q5560" s="4" t="str">
        <f>IFERROR(__xludf.DUMMYFUNCTION("""COMPUTED_VALUE"""),"Compusoft")</f>
        <v>Compusoft</v>
      </c>
      <c r="R5560" s="33">
        <f>IFERROR(__xludf.DUMMYFUNCTION("""COMPUTED_VALUE"""),1.0)</f>
        <v>1</v>
      </c>
      <c r="S5560" s="4" t="str">
        <f>IFERROR(__xludf.DUMMYFUNCTION("""COMPUTED_VALUE"""),"Compusoft")</f>
        <v>Compusoft</v>
      </c>
      <c r="T5560" s="33">
        <f>IFERROR(__xludf.DUMMYFUNCTION("""COMPUTED_VALUE"""),1.0)</f>
        <v>1</v>
      </c>
      <c r="U5560" s="4" t="str">
        <f>IFERROR(__xludf.DUMMYFUNCTION("""COMPUTED_VALUE"""),"Compusoft")</f>
        <v>Compusoft</v>
      </c>
      <c r="V5560" s="33">
        <f>IFERROR(__xludf.DUMMYFUNCTION("""COMPUTED_VALUE"""),1.0)</f>
        <v>1</v>
      </c>
      <c r="W5560" s="4" t="str">
        <f>IFERROR(__xludf.DUMMYFUNCTION("""COMPUTED_VALUE"""),"Compusoft")</f>
        <v>Compusoft</v>
      </c>
      <c r="X5560" s="33">
        <f>IFERROR(__xludf.DUMMYFUNCTION("""COMPUTED_VALUE"""),0.5)</f>
        <v>0.5</v>
      </c>
    </row>
    <row r="5561">
      <c r="K5561" s="4" t="str">
        <f>IFERROR(__xludf.DUMMYFUNCTION("""COMPUTED_VALUE"""),"THE DOGS")</f>
        <v>THE DOGS</v>
      </c>
      <c r="L5561" s="32">
        <f>IFERROR(__xludf.DUMMYFUNCTION("""COMPUTED_VALUE"""),2.0)</f>
        <v>2</v>
      </c>
      <c r="M5561" s="4" t="str">
        <f>IFERROR(__xludf.DUMMYFUNCTION("""COMPUTED_VALUE"""),"Saipos Serviços De Software")</f>
        <v>Saipos Serviços De Software</v>
      </c>
      <c r="N5561" s="33">
        <f>IFERROR(__xludf.DUMMYFUNCTION("""COMPUTED_VALUE"""),0.5)</f>
        <v>0.5</v>
      </c>
      <c r="O5561" s="4" t="str">
        <f>IFERROR(__xludf.DUMMYFUNCTION("""COMPUTED_VALUE"""),"Saipos Serviços De Software")</f>
        <v>Saipos Serviços De Software</v>
      </c>
      <c r="P5561" s="33">
        <f>IFERROR(__xludf.DUMMYFUNCTION("""COMPUTED_VALUE"""),0.5)</f>
        <v>0.5</v>
      </c>
      <c r="Q5561" s="4" t="str">
        <f>IFERROR(__xludf.DUMMYFUNCTION("""COMPUTED_VALUE"""),"Saipos Serviços De Software")</f>
        <v>Saipos Serviços De Software</v>
      </c>
      <c r="R5561" s="33">
        <f>IFERROR(__xludf.DUMMYFUNCTION("""COMPUTED_VALUE"""),0.5)</f>
        <v>0.5</v>
      </c>
      <c r="S5561" s="4" t="str">
        <f>IFERROR(__xludf.DUMMYFUNCTION("""COMPUTED_VALUE"""),"Saipos Serviços De Software")</f>
        <v>Saipos Serviços De Software</v>
      </c>
      <c r="T5561" s="33">
        <f>IFERROR(__xludf.DUMMYFUNCTION("""COMPUTED_VALUE"""),0.5)</f>
        <v>0.5</v>
      </c>
      <c r="U5561" s="4" t="str">
        <f>IFERROR(__xludf.DUMMYFUNCTION("""COMPUTED_VALUE"""),"Saipos Serviços De Software")</f>
        <v>Saipos Serviços De Software</v>
      </c>
      <c r="V5561" s="33">
        <f>IFERROR(__xludf.DUMMYFUNCTION("""COMPUTED_VALUE"""),0.5)</f>
        <v>0.5</v>
      </c>
      <c r="W5561" s="4" t="str">
        <f>IFERROR(__xludf.DUMMYFUNCTION("""COMPUTED_VALUE"""),"Saipos Serviços De Software")</f>
        <v>Saipos Serviços De Software</v>
      </c>
      <c r="X5561" s="33">
        <f>IFERROR(__xludf.DUMMYFUNCTION("""COMPUTED_VALUE"""),0.5)</f>
        <v>0.5</v>
      </c>
    </row>
    <row r="5562">
      <c r="K5562" s="4" t="str">
        <f>IFERROR(__xludf.DUMMYFUNCTION("""COMPUTED_VALUE"""),"SUPER LANCHE Z")</f>
        <v>SUPER LANCHE Z</v>
      </c>
      <c r="L5562" s="32">
        <f>IFERROR(__xludf.DUMMYFUNCTION("""COMPUTED_VALUE"""),2.0)</f>
        <v>2</v>
      </c>
      <c r="M5562" s="4" t="str">
        <f>IFERROR(__xludf.DUMMYFUNCTION("""COMPUTED_VALUE"""),"Consumer Soluções Em Tecnologia Ltda")</f>
        <v>Consumer Soluções Em Tecnologia Ltda</v>
      </c>
      <c r="N5562" s="33">
        <f>IFERROR(__xludf.DUMMYFUNCTION("""COMPUTED_VALUE"""),1.0)</f>
        <v>1</v>
      </c>
      <c r="O5562" s="4" t="str">
        <f>IFERROR(__xludf.DUMMYFUNCTION("""COMPUTED_VALUE"""),"Consumer Soluções Em Tecnologia Ltda")</f>
        <v>Consumer Soluções Em Tecnologia Ltda</v>
      </c>
      <c r="P5562" s="33">
        <f>IFERROR(__xludf.DUMMYFUNCTION("""COMPUTED_VALUE"""),0.5)</f>
        <v>0.5</v>
      </c>
      <c r="Q5562" s="4" t="str">
        <f>IFERROR(__xludf.DUMMYFUNCTION("""COMPUTED_VALUE"""),"Consumer Soluções Em Tecnologia Ltda")</f>
        <v>Consumer Soluções Em Tecnologia Ltda</v>
      </c>
      <c r="R5562" s="33">
        <f>IFERROR(__xludf.DUMMYFUNCTION("""COMPUTED_VALUE"""),0.5)</f>
        <v>0.5</v>
      </c>
      <c r="S5562" s="4" t="str">
        <f>IFERROR(__xludf.DUMMYFUNCTION("""COMPUTED_VALUE"""),"Consumer Soluções Em Tecnologia Ltda")</f>
        <v>Consumer Soluções Em Tecnologia Ltda</v>
      </c>
      <c r="T5562" s="33">
        <f>IFERROR(__xludf.DUMMYFUNCTION("""COMPUTED_VALUE"""),0.5)</f>
        <v>0.5</v>
      </c>
      <c r="U5562" s="4" t="str">
        <f>IFERROR(__xludf.DUMMYFUNCTION("""COMPUTED_VALUE"""),"Consumer Soluções Em Tecnologia Ltda")</f>
        <v>Consumer Soluções Em Tecnologia Ltda</v>
      </c>
      <c r="V5562" s="33">
        <f>IFERROR(__xludf.DUMMYFUNCTION("""COMPUTED_VALUE"""),1.0)</f>
        <v>1</v>
      </c>
      <c r="W5562" s="4" t="str">
        <f>IFERROR(__xludf.DUMMYFUNCTION("""COMPUTED_VALUE"""),"Consumer Soluções Em Tecnologia Ltda")</f>
        <v>Consumer Soluções Em Tecnologia Ltda</v>
      </c>
      <c r="X5562" s="33">
        <f>IFERROR(__xludf.DUMMYFUNCTION("""COMPUTED_VALUE"""),1.0)</f>
        <v>1</v>
      </c>
    </row>
    <row r="5563">
      <c r="K5563" s="4" t="str">
        <f>IFERROR(__xludf.DUMMYFUNCTION("""COMPUTED_VALUE"""),"TO FRITO PORCOES")</f>
        <v>TO FRITO PORCOES</v>
      </c>
      <c r="L5563" s="32">
        <f>IFERROR(__xludf.DUMMYFUNCTION("""COMPUTED_VALUE"""),2.0)</f>
        <v>2</v>
      </c>
      <c r="M5563" s="4" t="str">
        <f>IFERROR(__xludf.DUMMYFUNCTION("""COMPUTED_VALUE"""),"Saipos Serviços De Software")</f>
        <v>Saipos Serviços De Software</v>
      </c>
      <c r="N5563" s="33">
        <f>IFERROR(__xludf.DUMMYFUNCTION("""COMPUTED_VALUE"""),1.0)</f>
        <v>1</v>
      </c>
      <c r="O5563" s="4" t="str">
        <f>IFERROR(__xludf.DUMMYFUNCTION("""COMPUTED_VALUE"""),"Saipos Serviços De Software")</f>
        <v>Saipos Serviços De Software</v>
      </c>
      <c r="P5563" s="33">
        <f>IFERROR(__xludf.DUMMYFUNCTION("""COMPUTED_VALUE"""),1.0)</f>
        <v>1</v>
      </c>
      <c r="Q5563" s="4" t="str">
        <f>IFERROR(__xludf.DUMMYFUNCTION("""COMPUTED_VALUE"""),"Saipos Serviços De Software")</f>
        <v>Saipos Serviços De Software</v>
      </c>
      <c r="R5563" s="33">
        <f>IFERROR(__xludf.DUMMYFUNCTION("""COMPUTED_VALUE"""),1.0)</f>
        <v>1</v>
      </c>
      <c r="S5563" s="4" t="str">
        <f>IFERROR(__xludf.DUMMYFUNCTION("""COMPUTED_VALUE"""),"Saipos Serviços De Software")</f>
        <v>Saipos Serviços De Software</v>
      </c>
      <c r="T5563" s="33">
        <f>IFERROR(__xludf.DUMMYFUNCTION("""COMPUTED_VALUE"""),1.0)</f>
        <v>1</v>
      </c>
      <c r="U5563" s="4" t="str">
        <f>IFERROR(__xludf.DUMMYFUNCTION("""COMPUTED_VALUE"""),"Saipos Serviços De Software")</f>
        <v>Saipos Serviços De Software</v>
      </c>
      <c r="V5563" s="33">
        <f>IFERROR(__xludf.DUMMYFUNCTION("""COMPUTED_VALUE"""),1.0)</f>
        <v>1</v>
      </c>
      <c r="W5563" s="4" t="str">
        <f>IFERROR(__xludf.DUMMYFUNCTION("""COMPUTED_VALUE"""),"Saipos Serviços De Software")</f>
        <v>Saipos Serviços De Software</v>
      </c>
      <c r="X5563" s="33">
        <f>IFERROR(__xludf.DUMMYFUNCTION("""COMPUTED_VALUE"""),1.0)</f>
        <v>1</v>
      </c>
    </row>
    <row r="5564">
      <c r="K5564" s="4" t="str">
        <f>IFERROR(__xludf.DUMMYFUNCTION("""COMPUTED_VALUE"""),"PORTUGRILL")</f>
        <v>PORTUGRILL</v>
      </c>
      <c r="L5564" s="32">
        <f>IFERROR(__xludf.DUMMYFUNCTION("""COMPUTED_VALUE"""),2.0)</f>
        <v>2</v>
      </c>
      <c r="M5564" s="4" t="str">
        <f>IFERROR(__xludf.DUMMYFUNCTION("""COMPUTED_VALUE"""),"null")</f>
        <v>null</v>
      </c>
      <c r="N5564" s="33">
        <f>IFERROR(__xludf.DUMMYFUNCTION("""COMPUTED_VALUE"""),1.0)</f>
        <v>1</v>
      </c>
      <c r="O5564" s="4" t="str">
        <f>IFERROR(__xludf.DUMMYFUNCTION("""COMPUTED_VALUE"""),"null")</f>
        <v>null</v>
      </c>
      <c r="P5564" s="33">
        <f>IFERROR(__xludf.DUMMYFUNCTION("""COMPUTED_VALUE"""),1.0)</f>
        <v>1</v>
      </c>
      <c r="Q5564" s="4" t="str">
        <f>IFERROR(__xludf.DUMMYFUNCTION("""COMPUTED_VALUE"""),"Sagres Automação Comercial")</f>
        <v>Sagres Automação Comercial</v>
      </c>
      <c r="R5564" s="33">
        <f>IFERROR(__xludf.DUMMYFUNCTION("""COMPUTED_VALUE"""),0.5)</f>
        <v>0.5</v>
      </c>
      <c r="S5564" s="4" t="str">
        <f>IFERROR(__xludf.DUMMYFUNCTION("""COMPUTED_VALUE"""),"Sagres Automação Comercial")</f>
        <v>Sagres Automação Comercial</v>
      </c>
      <c r="T5564" s="33">
        <f>IFERROR(__xludf.DUMMYFUNCTION("""COMPUTED_VALUE"""),0.5)</f>
        <v>0.5</v>
      </c>
      <c r="U5564" s="4" t="str">
        <f>IFERROR(__xludf.DUMMYFUNCTION("""COMPUTED_VALUE"""),"null")</f>
        <v>null</v>
      </c>
      <c r="V5564" s="33">
        <f>IFERROR(__xludf.DUMMYFUNCTION("""COMPUTED_VALUE"""),1.0)</f>
        <v>1</v>
      </c>
      <c r="W5564" s="4" t="str">
        <f>IFERROR(__xludf.DUMMYFUNCTION("""COMPUTED_VALUE"""),"null")</f>
        <v>null</v>
      </c>
      <c r="X5564" s="33">
        <f>IFERROR(__xludf.DUMMYFUNCTION("""COMPUTED_VALUE"""),1.0)</f>
        <v>1</v>
      </c>
    </row>
    <row r="5565">
      <c r="K5565" s="4" t="str">
        <f>IFERROR(__xludf.DUMMYFUNCTION("""COMPUTED_VALUE"""),"FECHADA")</f>
        <v>FECHADA</v>
      </c>
      <c r="L5565" s="32">
        <f>IFERROR(__xludf.DUMMYFUNCTION("""COMPUTED_VALUE"""),2.0)</f>
        <v>2</v>
      </c>
      <c r="M5565" s="4" t="str">
        <f>IFERROR(__xludf.DUMMYFUNCTION("""COMPUTED_VALUE"""),"Eclética Tecnologia")</f>
        <v>Eclética Tecnologia</v>
      </c>
      <c r="N5565" s="33">
        <f>IFERROR(__xludf.DUMMYFUNCTION("""COMPUTED_VALUE"""),0.5)</f>
        <v>0.5</v>
      </c>
      <c r="O5565" s="4" t="str">
        <f>IFERROR(__xludf.DUMMYFUNCTION("""COMPUTED_VALUE"""),"Eclética Tecnologia")</f>
        <v>Eclética Tecnologia</v>
      </c>
      <c r="P5565" s="33">
        <f>IFERROR(__xludf.DUMMYFUNCTION("""COMPUTED_VALUE"""),0.5)</f>
        <v>0.5</v>
      </c>
      <c r="Q5565" s="4" t="str">
        <f>IFERROR(__xludf.DUMMYFUNCTION("""COMPUTED_VALUE"""),"Eclética Tecnologia")</f>
        <v>Eclética Tecnologia</v>
      </c>
      <c r="R5565" s="33">
        <f>IFERROR(__xludf.DUMMYFUNCTION("""COMPUTED_VALUE"""),0.5)</f>
        <v>0.5</v>
      </c>
      <c r="S5565" s="4" t="str">
        <f>IFERROR(__xludf.DUMMYFUNCTION("""COMPUTED_VALUE"""),"null")</f>
        <v>null</v>
      </c>
      <c r="T5565" s="33">
        <f>IFERROR(__xludf.DUMMYFUNCTION("""COMPUTED_VALUE"""),0.5)</f>
        <v>0.5</v>
      </c>
      <c r="U5565" s="4" t="str">
        <f>IFERROR(__xludf.DUMMYFUNCTION("""COMPUTED_VALUE"""),"null")</f>
        <v>null</v>
      </c>
      <c r="V5565" s="33">
        <f>IFERROR(__xludf.DUMMYFUNCTION("""COMPUTED_VALUE"""),0.5)</f>
        <v>0.5</v>
      </c>
      <c r="W5565" s="4" t="str">
        <f>IFERROR(__xludf.DUMMYFUNCTION("""COMPUTED_VALUE"""),"null")</f>
        <v>null</v>
      </c>
      <c r="X5565" s="33">
        <f>IFERROR(__xludf.DUMMYFUNCTION("""COMPUTED_VALUE"""),1.0)</f>
        <v>1</v>
      </c>
    </row>
    <row r="5566">
      <c r="K5566" s="4" t="str">
        <f>IFERROR(__xludf.DUMMYFUNCTION("""COMPUTED_VALUE"""),"SANTA OLIVA PIZZARIA")</f>
        <v>SANTA OLIVA PIZZARIA</v>
      </c>
      <c r="L5566" s="32">
        <f>IFERROR(__xludf.DUMMYFUNCTION("""COMPUTED_VALUE"""),2.0)</f>
        <v>2</v>
      </c>
      <c r="M5566" s="4" t="str">
        <f>IFERROR(__xludf.DUMMYFUNCTION("""COMPUTED_VALUE"""),"null")</f>
        <v>null</v>
      </c>
      <c r="N5566" s="33">
        <f>IFERROR(__xludf.DUMMYFUNCTION("""COMPUTED_VALUE"""),0.5)</f>
        <v>0.5</v>
      </c>
      <c r="O5566" s="4" t="str">
        <f>IFERROR(__xludf.DUMMYFUNCTION("""COMPUTED_VALUE"""),"null")</f>
        <v>null</v>
      </c>
      <c r="P5566" s="33">
        <f>IFERROR(__xludf.DUMMYFUNCTION("""COMPUTED_VALUE"""),0.5)</f>
        <v>0.5</v>
      </c>
      <c r="Q5566" s="4" t="str">
        <f>IFERROR(__xludf.DUMMYFUNCTION("""COMPUTED_VALUE"""),"Consumer Soluções Em Tecnologia Ltda")</f>
        <v>Consumer Soluções Em Tecnologia Ltda</v>
      </c>
      <c r="R5566" s="33">
        <f>IFERROR(__xludf.DUMMYFUNCTION("""COMPUTED_VALUE"""),1.0)</f>
        <v>1</v>
      </c>
      <c r="S5566" s="4" t="str">
        <f>IFERROR(__xludf.DUMMYFUNCTION("""COMPUTED_VALUE"""),"null")</f>
        <v>null</v>
      </c>
      <c r="T5566" s="33">
        <f>IFERROR(__xludf.DUMMYFUNCTION("""COMPUTED_VALUE"""),1.0)</f>
        <v>1</v>
      </c>
      <c r="U5566" s="4" t="str">
        <f>IFERROR(__xludf.DUMMYFUNCTION("""COMPUTED_VALUE"""),"null")</f>
        <v>null</v>
      </c>
      <c r="V5566" s="33">
        <f>IFERROR(__xludf.DUMMYFUNCTION("""COMPUTED_VALUE"""),1.0)</f>
        <v>1</v>
      </c>
      <c r="W5566" s="4" t="str">
        <f>IFERROR(__xludf.DUMMYFUNCTION("""COMPUTED_VALUE"""),"null")</f>
        <v>null</v>
      </c>
      <c r="X5566" s="33">
        <f>IFERROR(__xludf.DUMMYFUNCTION("""COMPUTED_VALUE"""),0.5)</f>
        <v>0.5</v>
      </c>
    </row>
    <row r="5567">
      <c r="K5567" s="4" t="str">
        <f>IFERROR(__xludf.DUMMYFUNCTION("""COMPUTED_VALUE"""),"CREME DE ACAI")</f>
        <v>CREME DE ACAI</v>
      </c>
      <c r="L5567" s="32">
        <f>IFERROR(__xludf.DUMMYFUNCTION("""COMPUTED_VALUE"""),2.0)</f>
        <v>2</v>
      </c>
      <c r="M5567" s="4" t="str">
        <f>IFERROR(__xludf.DUMMYFUNCTION("""COMPUTED_VALUE"""),"Anota Ai Solucoes Digitais S/a")</f>
        <v>Anota Ai Solucoes Digitais S/a</v>
      </c>
      <c r="N5567" s="33">
        <f>IFERROR(__xludf.DUMMYFUNCTION("""COMPUTED_VALUE"""),1.0)</f>
        <v>1</v>
      </c>
      <c r="O5567" s="4" t="str">
        <f>IFERROR(__xludf.DUMMYFUNCTION("""COMPUTED_VALUE"""),"Anota Ai Solucoes Digitais S/a")</f>
        <v>Anota Ai Solucoes Digitais S/a</v>
      </c>
      <c r="P5567" s="33">
        <f>IFERROR(__xludf.DUMMYFUNCTION("""COMPUTED_VALUE"""),1.0)</f>
        <v>1</v>
      </c>
      <c r="Q5567" s="4" t="str">
        <f>IFERROR(__xludf.DUMMYFUNCTION("""COMPUTED_VALUE"""),"Anota Ai Solucoes Digitais S/a")</f>
        <v>Anota Ai Solucoes Digitais S/a</v>
      </c>
      <c r="R5567" s="33">
        <f>IFERROR(__xludf.DUMMYFUNCTION("""COMPUTED_VALUE"""),1.0)</f>
        <v>1</v>
      </c>
      <c r="S5567" s="4" t="str">
        <f>IFERROR(__xludf.DUMMYFUNCTION("""COMPUTED_VALUE"""),"Anota Ai Solucoes Digitais S/a")</f>
        <v>Anota Ai Solucoes Digitais S/a</v>
      </c>
      <c r="T5567" s="33">
        <f>IFERROR(__xludf.DUMMYFUNCTION("""COMPUTED_VALUE"""),1.0)</f>
        <v>1</v>
      </c>
      <c r="U5567" s="4" t="str">
        <f>IFERROR(__xludf.DUMMYFUNCTION("""COMPUTED_VALUE"""),"Anota Ai Solucoes Digitais S/a")</f>
        <v>Anota Ai Solucoes Digitais S/a</v>
      </c>
      <c r="V5567" s="33">
        <f>IFERROR(__xludf.DUMMYFUNCTION("""COMPUTED_VALUE"""),1.0)</f>
        <v>1</v>
      </c>
      <c r="W5567" s="4" t="str">
        <f>IFERROR(__xludf.DUMMYFUNCTION("""COMPUTED_VALUE"""),"Anota Ai Solucoes Digitais S/a")</f>
        <v>Anota Ai Solucoes Digitais S/a</v>
      </c>
      <c r="X5567" s="33">
        <f>IFERROR(__xludf.DUMMYFUNCTION("""COMPUTED_VALUE"""),1.0)</f>
        <v>1</v>
      </c>
    </row>
    <row r="5568">
      <c r="K5568" s="4" t="str">
        <f>IFERROR(__xludf.DUMMYFUNCTION("""COMPUTED_VALUE"""),"MAGO DO ACAI")</f>
        <v>MAGO DO ACAI</v>
      </c>
      <c r="L5568" s="32">
        <f>IFERROR(__xludf.DUMMYFUNCTION("""COMPUTED_VALUE"""),2.0)</f>
        <v>2</v>
      </c>
      <c r="M5568" s="4" t="str">
        <f>IFERROR(__xludf.DUMMYFUNCTION("""COMPUTED_VALUE"""),"null")</f>
        <v>null</v>
      </c>
      <c r="N5568" s="33">
        <f>IFERROR(__xludf.DUMMYFUNCTION("""COMPUTED_VALUE"""),0.5)</f>
        <v>0.5</v>
      </c>
      <c r="O5568" s="4" t="str">
        <f>IFERROR(__xludf.DUMMYFUNCTION("""COMPUTED_VALUE"""),"null")</f>
        <v>null</v>
      </c>
      <c r="P5568" s="33">
        <f>IFERROR(__xludf.DUMMYFUNCTION("""COMPUTED_VALUE"""),0.5)</f>
        <v>0.5</v>
      </c>
      <c r="Q5568" s="4" t="str">
        <f>IFERROR(__xludf.DUMMYFUNCTION("""COMPUTED_VALUE"""),"null")</f>
        <v>null</v>
      </c>
      <c r="R5568" s="33">
        <f>IFERROR(__xludf.DUMMYFUNCTION("""COMPUTED_VALUE"""),0.5)</f>
        <v>0.5</v>
      </c>
      <c r="S5568" s="4" t="str">
        <f>IFERROR(__xludf.DUMMYFUNCTION("""COMPUTED_VALUE"""),"null")</f>
        <v>null</v>
      </c>
      <c r="T5568" s="33">
        <f>IFERROR(__xludf.DUMMYFUNCTION("""COMPUTED_VALUE"""),0.5)</f>
        <v>0.5</v>
      </c>
      <c r="U5568" s="4" t="str">
        <f>IFERROR(__xludf.DUMMYFUNCTION("""COMPUTED_VALUE"""),"null")</f>
        <v>null</v>
      </c>
      <c r="V5568" s="33">
        <f>IFERROR(__xludf.DUMMYFUNCTION("""COMPUTED_VALUE"""),0.5)</f>
        <v>0.5</v>
      </c>
      <c r="W5568" s="4" t="str">
        <f>IFERROR(__xludf.DUMMYFUNCTION("""COMPUTED_VALUE"""),"Anota Ai Solucoes Digitais S/a")</f>
        <v>Anota Ai Solucoes Digitais S/a</v>
      </c>
      <c r="X5568" s="33">
        <f>IFERROR(__xludf.DUMMYFUNCTION("""COMPUTED_VALUE"""),0.5)</f>
        <v>0.5</v>
      </c>
    </row>
    <row r="5569">
      <c r="K5569" s="4" t="str">
        <f>IFERROR(__xludf.DUMMYFUNCTION("""COMPUTED_VALUE"""),"DGRANO")</f>
        <v>DGRANO</v>
      </c>
      <c r="L5569" s="32">
        <f>IFERROR(__xludf.DUMMYFUNCTION("""COMPUTED_VALUE"""),2.0)</f>
        <v>2</v>
      </c>
      <c r="M5569" s="4" t="str">
        <f>IFERROR(__xludf.DUMMYFUNCTION("""COMPUTED_VALUE"""),"Anota Ai Solucoes Digitais S/a")</f>
        <v>Anota Ai Solucoes Digitais S/a</v>
      </c>
      <c r="N5569" s="33">
        <f>IFERROR(__xludf.DUMMYFUNCTION("""COMPUTED_VALUE"""),0.5)</f>
        <v>0.5</v>
      </c>
      <c r="O5569" s="4" t="str">
        <f>IFERROR(__xludf.DUMMYFUNCTION("""COMPUTED_VALUE"""),"Anota Ai Solucoes Digitais S/a")</f>
        <v>Anota Ai Solucoes Digitais S/a</v>
      </c>
      <c r="P5569" s="33">
        <f>IFERROR(__xludf.DUMMYFUNCTION("""COMPUTED_VALUE"""),0.5)</f>
        <v>0.5</v>
      </c>
      <c r="Q5569" s="4" t="str">
        <f>IFERROR(__xludf.DUMMYFUNCTION("""COMPUTED_VALUE"""),"Anota Ai Solucoes Digitais S/a")</f>
        <v>Anota Ai Solucoes Digitais S/a</v>
      </c>
      <c r="R5569" s="33">
        <f>IFERROR(__xludf.DUMMYFUNCTION("""COMPUTED_VALUE"""),0.5)</f>
        <v>0.5</v>
      </c>
      <c r="S5569" s="4" t="str">
        <f>IFERROR(__xludf.DUMMYFUNCTION("""COMPUTED_VALUE"""),"Anota Ai Solucoes Digitais S/a")</f>
        <v>Anota Ai Solucoes Digitais S/a</v>
      </c>
      <c r="T5569" s="33">
        <f>IFERROR(__xludf.DUMMYFUNCTION("""COMPUTED_VALUE"""),1.0)</f>
        <v>1</v>
      </c>
      <c r="U5569" s="4" t="str">
        <f>IFERROR(__xludf.DUMMYFUNCTION("""COMPUTED_VALUE"""),"Anota Ai Solucoes Digitais S/a")</f>
        <v>Anota Ai Solucoes Digitais S/a</v>
      </c>
      <c r="V5569" s="33">
        <f>IFERROR(__xludf.DUMMYFUNCTION("""COMPUTED_VALUE"""),1.0)</f>
        <v>1</v>
      </c>
      <c r="W5569" s="4" t="str">
        <f>IFERROR(__xludf.DUMMYFUNCTION("""COMPUTED_VALUE"""),"Anota Ai Solucoes Digitais S/a")</f>
        <v>Anota Ai Solucoes Digitais S/a</v>
      </c>
      <c r="X5569" s="33">
        <f>IFERROR(__xludf.DUMMYFUNCTION("""COMPUTED_VALUE"""),1.0)</f>
        <v>1</v>
      </c>
    </row>
    <row r="5570">
      <c r="K5570" s="4" t="str">
        <f>IFERROR(__xludf.DUMMYFUNCTION("""COMPUTED_VALUE"""),"XIS DO CHEF")</f>
        <v>XIS DO CHEF</v>
      </c>
      <c r="L5570" s="32">
        <f>IFERROR(__xludf.DUMMYFUNCTION("""COMPUTED_VALUE"""),2.0)</f>
        <v>2</v>
      </c>
      <c r="M5570" s="4" t="str">
        <f>IFERROR(__xludf.DUMMYFUNCTION("""COMPUTED_VALUE"""),"Anota Ai Solucoes Digitais S/a")</f>
        <v>Anota Ai Solucoes Digitais S/a</v>
      </c>
      <c r="N5570" s="33">
        <f>IFERROR(__xludf.DUMMYFUNCTION("""COMPUTED_VALUE"""),0.5)</f>
        <v>0.5</v>
      </c>
      <c r="O5570" s="4" t="str">
        <f>IFERROR(__xludf.DUMMYFUNCTION("""COMPUTED_VALUE"""),"Anota Ai Solucoes Digitais S/a")</f>
        <v>Anota Ai Solucoes Digitais S/a</v>
      </c>
      <c r="P5570" s="33">
        <f>IFERROR(__xludf.DUMMYFUNCTION("""COMPUTED_VALUE"""),0.5)</f>
        <v>0.5</v>
      </c>
      <c r="Q5570" s="4" t="str">
        <f>IFERROR(__xludf.DUMMYFUNCTION("""COMPUTED_VALUE"""),"Anota Ai Solucoes Digitais S/a")</f>
        <v>Anota Ai Solucoes Digitais S/a</v>
      </c>
      <c r="R5570" s="33">
        <f>IFERROR(__xludf.DUMMYFUNCTION("""COMPUTED_VALUE"""),0.5)</f>
        <v>0.5</v>
      </c>
      <c r="S5570" s="4" t="str">
        <f>IFERROR(__xludf.DUMMYFUNCTION("""COMPUTED_VALUE"""),"Anota Ai Solucoes Digitais S/a")</f>
        <v>Anota Ai Solucoes Digitais S/a</v>
      </c>
      <c r="T5570" s="33">
        <f>IFERROR(__xludf.DUMMYFUNCTION("""COMPUTED_VALUE"""),0.5)</f>
        <v>0.5</v>
      </c>
      <c r="U5570" s="4" t="str">
        <f>IFERROR(__xludf.DUMMYFUNCTION("""COMPUTED_VALUE"""),"Anota Ai Solucoes Digitais S/a")</f>
        <v>Anota Ai Solucoes Digitais S/a</v>
      </c>
      <c r="V5570" s="33">
        <f>IFERROR(__xludf.DUMMYFUNCTION("""COMPUTED_VALUE"""),0.5)</f>
        <v>0.5</v>
      </c>
      <c r="W5570" s="4" t="str">
        <f>IFERROR(__xludf.DUMMYFUNCTION("""COMPUTED_VALUE"""),"Anota Ai Solucoes Digitais S/a")</f>
        <v>Anota Ai Solucoes Digitais S/a</v>
      </c>
      <c r="X5570" s="33">
        <f>IFERROR(__xludf.DUMMYFUNCTION("""COMPUTED_VALUE"""),0.5)</f>
        <v>0.5</v>
      </c>
    </row>
    <row r="5571">
      <c r="K5571" s="4" t="str">
        <f>IFERROR(__xludf.DUMMYFUNCTION("""COMPUTED_VALUE"""),"LANCHONETE ALVORADA")</f>
        <v>LANCHONETE ALVORADA</v>
      </c>
      <c r="L5571" s="32">
        <f>IFERROR(__xludf.DUMMYFUNCTION("""COMPUTED_VALUE"""),2.0)</f>
        <v>2</v>
      </c>
      <c r="M5571" s="4" t="str">
        <f>IFERROR(__xludf.DUMMYFUNCTION("""COMPUTED_VALUE"""),"null")</f>
        <v>null</v>
      </c>
      <c r="N5571" s="33">
        <f>IFERROR(__xludf.DUMMYFUNCTION("""COMPUTED_VALUE"""),0.5)</f>
        <v>0.5</v>
      </c>
      <c r="O5571" s="4" t="str">
        <f>IFERROR(__xludf.DUMMYFUNCTION("""COMPUTED_VALUE"""),"null")</f>
        <v>null</v>
      </c>
      <c r="P5571" s="33">
        <f>IFERROR(__xludf.DUMMYFUNCTION("""COMPUTED_VALUE"""),0.5)</f>
        <v>0.5</v>
      </c>
      <c r="Q5571" s="4" t="str">
        <f>IFERROR(__xludf.DUMMYFUNCTION("""COMPUTED_VALUE"""),"Saipos Serviços De Software")</f>
        <v>Saipos Serviços De Software</v>
      </c>
      <c r="R5571" s="33">
        <f>IFERROR(__xludf.DUMMYFUNCTION("""COMPUTED_VALUE"""),0.5)</f>
        <v>0.5</v>
      </c>
      <c r="S5571" s="4" t="str">
        <f>IFERROR(__xludf.DUMMYFUNCTION("""COMPUTED_VALUE"""),"Saipos Serviços De Software")</f>
        <v>Saipos Serviços De Software</v>
      </c>
      <c r="T5571" s="33">
        <f>IFERROR(__xludf.DUMMYFUNCTION("""COMPUTED_VALUE"""),0.5)</f>
        <v>0.5</v>
      </c>
      <c r="U5571" s="4" t="str">
        <f>IFERROR(__xludf.DUMMYFUNCTION("""COMPUTED_VALUE"""),"Saipos Serviços De Software")</f>
        <v>Saipos Serviços De Software</v>
      </c>
      <c r="V5571" s="33">
        <f>IFERROR(__xludf.DUMMYFUNCTION("""COMPUTED_VALUE"""),0.5)</f>
        <v>0.5</v>
      </c>
      <c r="W5571" s="4" t="str">
        <f>IFERROR(__xludf.DUMMYFUNCTION("""COMPUTED_VALUE"""),"null")</f>
        <v>null</v>
      </c>
      <c r="X5571" s="33">
        <f>IFERROR(__xludf.DUMMYFUNCTION("""COMPUTED_VALUE"""),1.0)</f>
        <v>1</v>
      </c>
    </row>
    <row r="5572">
      <c r="K5572" s="4" t="str">
        <f>IFERROR(__xludf.DUMMYFUNCTION("""COMPUTED_VALUE"""),"UNA CAFE")</f>
        <v>UNA CAFE</v>
      </c>
      <c r="L5572" s="32">
        <f>IFERROR(__xludf.DUMMYFUNCTION("""COMPUTED_VALUE"""),2.0)</f>
        <v>2</v>
      </c>
      <c r="M5572" s="4" t="str">
        <f>IFERROR(__xludf.DUMMYFUNCTION("""COMPUTED_VALUE"""),"Rw Informática Ltda")</f>
        <v>Rw Informática Ltda</v>
      </c>
      <c r="N5572" s="33">
        <f>IFERROR(__xludf.DUMMYFUNCTION("""COMPUTED_VALUE"""),0.5)</f>
        <v>0.5</v>
      </c>
      <c r="O5572" s="4" t="str">
        <f>IFERROR(__xludf.DUMMYFUNCTION("""COMPUTED_VALUE"""),"Rw Informática Ltda")</f>
        <v>Rw Informática Ltda</v>
      </c>
      <c r="P5572" s="33">
        <f>IFERROR(__xludf.DUMMYFUNCTION("""COMPUTED_VALUE"""),0.5)</f>
        <v>0.5</v>
      </c>
      <c r="Q5572" s="4" t="str">
        <f>IFERROR(__xludf.DUMMYFUNCTION("""COMPUTED_VALUE"""),"Rw Informática Ltda")</f>
        <v>Rw Informática Ltda</v>
      </c>
      <c r="R5572" s="33">
        <f>IFERROR(__xludf.DUMMYFUNCTION("""COMPUTED_VALUE"""),0.5)</f>
        <v>0.5</v>
      </c>
      <c r="S5572" s="4" t="str">
        <f>IFERROR(__xludf.DUMMYFUNCTION("""COMPUTED_VALUE"""),"Rw Informática Ltda")</f>
        <v>Rw Informática Ltda</v>
      </c>
      <c r="T5572" s="33">
        <f>IFERROR(__xludf.DUMMYFUNCTION("""COMPUTED_VALUE"""),0.5)</f>
        <v>0.5</v>
      </c>
      <c r="U5572" s="4" t="str">
        <f>IFERROR(__xludf.DUMMYFUNCTION("""COMPUTED_VALUE"""),"Rw Informática Ltda")</f>
        <v>Rw Informática Ltda</v>
      </c>
      <c r="V5572" s="33">
        <f>IFERROR(__xludf.DUMMYFUNCTION("""COMPUTED_VALUE"""),0.5)</f>
        <v>0.5</v>
      </c>
      <c r="W5572" s="4" t="str">
        <f>IFERROR(__xludf.DUMMYFUNCTION("""COMPUTED_VALUE"""),"Rw Informática Ltda")</f>
        <v>Rw Informática Ltda</v>
      </c>
      <c r="X5572" s="33">
        <f>IFERROR(__xludf.DUMMYFUNCTION("""COMPUTED_VALUE"""),0.5)</f>
        <v>0.5</v>
      </c>
    </row>
    <row r="5573">
      <c r="K5573" s="4" t="str">
        <f>IFERROR(__xludf.DUMMYFUNCTION("""COMPUTED_VALUE"""),"KI ACAI")</f>
        <v>KI ACAI</v>
      </c>
      <c r="L5573" s="32">
        <f>IFERROR(__xludf.DUMMYFUNCTION("""COMPUTED_VALUE"""),2.0)</f>
        <v>2</v>
      </c>
      <c r="M5573" s="4" t="str">
        <f>IFERROR(__xludf.DUMMYFUNCTION("""COMPUTED_VALUE"""),"null")</f>
        <v>null</v>
      </c>
      <c r="N5573" s="33">
        <f>IFERROR(__xludf.DUMMYFUNCTION("""COMPUTED_VALUE"""),0.5)</f>
        <v>0.5</v>
      </c>
      <c r="O5573" s="4" t="str">
        <f>IFERROR(__xludf.DUMMYFUNCTION("""COMPUTED_VALUE"""),"null")</f>
        <v>null</v>
      </c>
      <c r="P5573" s="33">
        <f>IFERROR(__xludf.DUMMYFUNCTION("""COMPUTED_VALUE"""),0.5)</f>
        <v>0.5</v>
      </c>
      <c r="Q5573" s="4" t="str">
        <f>IFERROR(__xludf.DUMMYFUNCTION("""COMPUTED_VALUE"""),"null")</f>
        <v>null</v>
      </c>
      <c r="R5573" s="33">
        <f>IFERROR(__xludf.DUMMYFUNCTION("""COMPUTED_VALUE"""),1.0)</f>
        <v>1</v>
      </c>
      <c r="S5573" s="4" t="str">
        <f>IFERROR(__xludf.DUMMYFUNCTION("""COMPUTED_VALUE"""),"null")</f>
        <v>null</v>
      </c>
      <c r="T5573" s="33">
        <f>IFERROR(__xludf.DUMMYFUNCTION("""COMPUTED_VALUE"""),1.0)</f>
        <v>1</v>
      </c>
      <c r="U5573" s="4" t="str">
        <f>IFERROR(__xludf.DUMMYFUNCTION("""COMPUTED_VALUE"""),"Softcom Tecnologia")</f>
        <v>Softcom Tecnologia</v>
      </c>
      <c r="V5573" s="33">
        <f>IFERROR(__xludf.DUMMYFUNCTION("""COMPUTED_VALUE"""),0.5)</f>
        <v>0.5</v>
      </c>
      <c r="W5573" s="4" t="str">
        <f>IFERROR(__xludf.DUMMYFUNCTION("""COMPUTED_VALUE"""),"Softcom Tecnologia")</f>
        <v>Softcom Tecnologia</v>
      </c>
      <c r="X5573" s="33">
        <f>IFERROR(__xludf.DUMMYFUNCTION("""COMPUTED_VALUE"""),0.5)</f>
        <v>0.5</v>
      </c>
    </row>
    <row r="5574">
      <c r="K5574" s="4" t="str">
        <f>IFERROR(__xludf.DUMMYFUNCTION("""COMPUTED_VALUE"""),"CHURRASCO NA BRASA")</f>
        <v>CHURRASCO NA BRASA</v>
      </c>
      <c r="L5574" s="32">
        <f>IFERROR(__xludf.DUMMYFUNCTION("""COMPUTED_VALUE"""),2.0)</f>
        <v>2</v>
      </c>
      <c r="M5574" s="4" t="str">
        <f>IFERROR(__xludf.DUMMYFUNCTION("""COMPUTED_VALUE"""),"Saipos Serviços De Software")</f>
        <v>Saipos Serviços De Software</v>
      </c>
      <c r="N5574" s="33">
        <f>IFERROR(__xludf.DUMMYFUNCTION("""COMPUTED_VALUE"""),0.5)</f>
        <v>0.5</v>
      </c>
      <c r="O5574" s="4" t="str">
        <f>IFERROR(__xludf.DUMMYFUNCTION("""COMPUTED_VALUE"""),"Saipos Serviços De Software")</f>
        <v>Saipos Serviços De Software</v>
      </c>
      <c r="P5574" s="33">
        <f>IFERROR(__xludf.DUMMYFUNCTION("""COMPUTED_VALUE"""),0.5)</f>
        <v>0.5</v>
      </c>
      <c r="Q5574" s="4" t="str">
        <f>IFERROR(__xludf.DUMMYFUNCTION("""COMPUTED_VALUE"""),"Saipos Serviços De Software")</f>
        <v>Saipos Serviços De Software</v>
      </c>
      <c r="R5574" s="33">
        <f>IFERROR(__xludf.DUMMYFUNCTION("""COMPUTED_VALUE"""),0.5)</f>
        <v>0.5</v>
      </c>
      <c r="S5574" s="4" t="str">
        <f>IFERROR(__xludf.DUMMYFUNCTION("""COMPUTED_VALUE"""),"Saipos Serviços De Software")</f>
        <v>Saipos Serviços De Software</v>
      </c>
      <c r="T5574" s="33">
        <f>IFERROR(__xludf.DUMMYFUNCTION("""COMPUTED_VALUE"""),0.5)</f>
        <v>0.5</v>
      </c>
      <c r="U5574" s="4" t="str">
        <f>IFERROR(__xludf.DUMMYFUNCTION("""COMPUTED_VALUE"""),"Saipos Serviços De Software")</f>
        <v>Saipos Serviços De Software</v>
      </c>
      <c r="V5574" s="33">
        <f>IFERROR(__xludf.DUMMYFUNCTION("""COMPUTED_VALUE"""),0.5)</f>
        <v>0.5</v>
      </c>
      <c r="W5574" s="4" t="str">
        <f>IFERROR(__xludf.DUMMYFUNCTION("""COMPUTED_VALUE"""),"Saipos Serviços De Software")</f>
        <v>Saipos Serviços De Software</v>
      </c>
      <c r="X5574" s="33">
        <f>IFERROR(__xludf.DUMMYFUNCTION("""COMPUTED_VALUE"""),0.5)</f>
        <v>0.5</v>
      </c>
    </row>
    <row r="5575">
      <c r="K5575" s="4" t="str">
        <f>IFERROR(__xludf.DUMMYFUNCTION("""COMPUTED_VALUE"""),"DONA MANU RESTO")</f>
        <v>DONA MANU RESTO</v>
      </c>
      <c r="L5575" s="32">
        <f>IFERROR(__xludf.DUMMYFUNCTION("""COMPUTED_VALUE"""),2.0)</f>
        <v>2</v>
      </c>
      <c r="M5575" s="4" t="str">
        <f>IFERROR(__xludf.DUMMYFUNCTION("""COMPUTED_VALUE"""),"Saipos Serviços De Software")</f>
        <v>Saipos Serviços De Software</v>
      </c>
      <c r="N5575" s="33">
        <f>IFERROR(__xludf.DUMMYFUNCTION("""COMPUTED_VALUE"""),1.0)</f>
        <v>1</v>
      </c>
      <c r="O5575" s="4" t="str">
        <f>IFERROR(__xludf.DUMMYFUNCTION("""COMPUTED_VALUE"""),"null")</f>
        <v>null</v>
      </c>
      <c r="P5575" s="33">
        <f>IFERROR(__xludf.DUMMYFUNCTION("""COMPUTED_VALUE"""),0.5)</f>
        <v>0.5</v>
      </c>
      <c r="Q5575" s="4" t="str">
        <f>IFERROR(__xludf.DUMMYFUNCTION("""COMPUTED_VALUE"""),"null")</f>
        <v>null</v>
      </c>
      <c r="R5575" s="33">
        <f>IFERROR(__xludf.DUMMYFUNCTION("""COMPUTED_VALUE"""),0.5)</f>
        <v>0.5</v>
      </c>
      <c r="S5575" s="4" t="str">
        <f>IFERROR(__xludf.DUMMYFUNCTION("""COMPUTED_VALUE"""),"null")</f>
        <v>null</v>
      </c>
      <c r="T5575" s="33">
        <f>IFERROR(__xludf.DUMMYFUNCTION("""COMPUTED_VALUE"""),0.5)</f>
        <v>0.5</v>
      </c>
      <c r="U5575" s="4" t="str">
        <f>IFERROR(__xludf.DUMMYFUNCTION("""COMPUTED_VALUE"""),"Saipos Serviços De Software")</f>
        <v>Saipos Serviços De Software</v>
      </c>
      <c r="V5575" s="33">
        <f>IFERROR(__xludf.DUMMYFUNCTION("""COMPUTED_VALUE"""),1.0)</f>
        <v>1</v>
      </c>
      <c r="W5575" s="4" t="str">
        <f>IFERROR(__xludf.DUMMYFUNCTION("""COMPUTED_VALUE"""),"null")</f>
        <v>null</v>
      </c>
      <c r="X5575" s="33">
        <f>IFERROR(__xludf.DUMMYFUNCTION("""COMPUTED_VALUE"""),0.5)</f>
        <v>0.5</v>
      </c>
    </row>
    <row r="5576">
      <c r="K5576" s="4" t="str">
        <f>IFERROR(__xludf.DUMMYFUNCTION("""COMPUTED_VALUE"""),"DROGARIAS MAIS BRASIL")</f>
        <v>DROGARIAS MAIS BRASIL</v>
      </c>
      <c r="L5576" s="32">
        <f>IFERROR(__xludf.DUMMYFUNCTION("""COMPUTED_VALUE"""),2.0)</f>
        <v>2</v>
      </c>
      <c r="M5576" s="4" t="str">
        <f>IFERROR(__xludf.DUMMYFUNCTION("""COMPUTED_VALUE"""),"N/A (Not found)")</f>
        <v>N/A (Not found)</v>
      </c>
      <c r="N5576" s="33">
        <f>IFERROR(__xludf.DUMMYFUNCTION("""COMPUTED_VALUE"""),0.5)</f>
        <v>0.5</v>
      </c>
      <c r="O5576" s="4" t="str">
        <f>IFERROR(__xludf.DUMMYFUNCTION("""COMPUTED_VALUE"""),"null")</f>
        <v>null</v>
      </c>
      <c r="P5576" s="33">
        <f>IFERROR(__xludf.DUMMYFUNCTION("""COMPUTED_VALUE"""),1.0)</f>
        <v>1</v>
      </c>
      <c r="Q5576" s="4" t="str">
        <f>IFERROR(__xludf.DUMMYFUNCTION("""COMPUTED_VALUE"""),"null")</f>
        <v>null</v>
      </c>
      <c r="R5576" s="33">
        <f>IFERROR(__xludf.DUMMYFUNCTION("""COMPUTED_VALUE"""),1.0)</f>
        <v>1</v>
      </c>
      <c r="S5576" s="4" t="str">
        <f>IFERROR(__xludf.DUMMYFUNCTION("""COMPUTED_VALUE"""),"null")</f>
        <v>null</v>
      </c>
      <c r="T5576" s="33">
        <f>IFERROR(__xludf.DUMMYFUNCTION("""COMPUTED_VALUE"""),0.5)</f>
        <v>0.5</v>
      </c>
      <c r="U5576" s="4" t="str">
        <f>IFERROR(__xludf.DUMMYFUNCTION("""COMPUTED_VALUE"""),"null")</f>
        <v>null</v>
      </c>
      <c r="V5576" s="33">
        <f>IFERROR(__xludf.DUMMYFUNCTION("""COMPUTED_VALUE"""),0.5)</f>
        <v>0.5</v>
      </c>
      <c r="W5576" s="4" t="str">
        <f>IFERROR(__xludf.DUMMYFUNCTION("""COMPUTED_VALUE"""),"null")</f>
        <v>null</v>
      </c>
      <c r="X5576" s="33">
        <f>IFERROR(__xludf.DUMMYFUNCTION("""COMPUTED_VALUE"""),0.5)</f>
        <v>0.5</v>
      </c>
    </row>
    <row r="5577">
      <c r="K5577" s="4" t="str">
        <f>IFERROR(__xludf.DUMMYFUNCTION("""COMPUTED_VALUE"""),"ACAI NO COPO")</f>
        <v>ACAI NO COPO</v>
      </c>
      <c r="L5577" s="32">
        <f>IFERROR(__xludf.DUMMYFUNCTION("""COMPUTED_VALUE"""),2.0)</f>
        <v>2</v>
      </c>
      <c r="M5577" s="4" t="str">
        <f>IFERROR(__xludf.DUMMYFUNCTION("""COMPUTED_VALUE"""),"Yooga")</f>
        <v>Yooga</v>
      </c>
      <c r="N5577" s="33">
        <f>IFERROR(__xludf.DUMMYFUNCTION("""COMPUTED_VALUE"""),0.5)</f>
        <v>0.5</v>
      </c>
      <c r="O5577" s="4" t="str">
        <f>IFERROR(__xludf.DUMMYFUNCTION("""COMPUTED_VALUE"""),"Yooga")</f>
        <v>Yooga</v>
      </c>
      <c r="P5577" s="33">
        <f>IFERROR(__xludf.DUMMYFUNCTION("""COMPUTED_VALUE"""),0.5)</f>
        <v>0.5</v>
      </c>
      <c r="Q5577" s="4" t="str">
        <f>IFERROR(__xludf.DUMMYFUNCTION("""COMPUTED_VALUE"""),"Yooga")</f>
        <v>Yooga</v>
      </c>
      <c r="R5577" s="33">
        <f>IFERROR(__xludf.DUMMYFUNCTION("""COMPUTED_VALUE"""),0.5)</f>
        <v>0.5</v>
      </c>
      <c r="S5577" s="4" t="str">
        <f>IFERROR(__xludf.DUMMYFUNCTION("""COMPUTED_VALUE"""),"Yooga")</f>
        <v>Yooga</v>
      </c>
      <c r="T5577" s="33">
        <f>IFERROR(__xludf.DUMMYFUNCTION("""COMPUTED_VALUE"""),0.5)</f>
        <v>0.5</v>
      </c>
      <c r="U5577" s="4" t="str">
        <f>IFERROR(__xludf.DUMMYFUNCTION("""COMPUTED_VALUE"""),"Yooga")</f>
        <v>Yooga</v>
      </c>
      <c r="V5577" s="33">
        <f>IFERROR(__xludf.DUMMYFUNCTION("""COMPUTED_VALUE"""),0.5)</f>
        <v>0.5</v>
      </c>
      <c r="W5577" s="4" t="str">
        <f>IFERROR(__xludf.DUMMYFUNCTION("""COMPUTED_VALUE"""),"Yooga")</f>
        <v>Yooga</v>
      </c>
      <c r="X5577" s="33">
        <f>IFERROR(__xludf.DUMMYFUNCTION("""COMPUTED_VALUE"""),0.5)</f>
        <v>0.5</v>
      </c>
    </row>
    <row r="5578">
      <c r="K5578" s="4" t="str">
        <f>IFERROR(__xludf.DUMMYFUNCTION("""COMPUTED_VALUE"""),"ADEGA BROTHERS")</f>
        <v>ADEGA BROTHERS</v>
      </c>
      <c r="L5578" s="32">
        <f>IFERROR(__xludf.DUMMYFUNCTION("""COMPUTED_VALUE"""),2.0)</f>
        <v>2</v>
      </c>
      <c r="M5578" s="4" t="str">
        <f>IFERROR(__xludf.DUMMYFUNCTION("""COMPUTED_VALUE"""),"null")</f>
        <v>null</v>
      </c>
      <c r="N5578" s="33">
        <f>IFERROR(__xludf.DUMMYFUNCTION("""COMPUTED_VALUE"""),0.5)</f>
        <v>0.5</v>
      </c>
      <c r="O5578" s="4" t="str">
        <f>IFERROR(__xludf.DUMMYFUNCTION("""COMPUTED_VALUE"""),"null")</f>
        <v>null</v>
      </c>
      <c r="P5578" s="33">
        <f>IFERROR(__xludf.DUMMYFUNCTION("""COMPUTED_VALUE"""),0.5)</f>
        <v>0.5</v>
      </c>
      <c r="Q5578" s="4" t="str">
        <f>IFERROR(__xludf.DUMMYFUNCTION("""COMPUTED_VALUE"""),"Anota Ai Solucoes Digitais S/a")</f>
        <v>Anota Ai Solucoes Digitais S/a</v>
      </c>
      <c r="R5578" s="33">
        <f>IFERROR(__xludf.DUMMYFUNCTION("""COMPUTED_VALUE"""),0.5)</f>
        <v>0.5</v>
      </c>
      <c r="S5578" s="4" t="str">
        <f>IFERROR(__xludf.DUMMYFUNCTION("""COMPUTED_VALUE"""),"null")</f>
        <v>null</v>
      </c>
      <c r="T5578" s="33">
        <f>IFERROR(__xludf.DUMMYFUNCTION("""COMPUTED_VALUE"""),0.5)</f>
        <v>0.5</v>
      </c>
      <c r="U5578" s="4" t="str">
        <f>IFERROR(__xludf.DUMMYFUNCTION("""COMPUTED_VALUE"""),"null")</f>
        <v>null</v>
      </c>
      <c r="V5578" s="33">
        <f>IFERROR(__xludf.DUMMYFUNCTION("""COMPUTED_VALUE"""),0.5)</f>
        <v>0.5</v>
      </c>
      <c r="W5578" s="4" t="str">
        <f>IFERROR(__xludf.DUMMYFUNCTION("""COMPUTED_VALUE"""),"null")</f>
        <v>null</v>
      </c>
      <c r="X5578" s="33">
        <f>IFERROR(__xludf.DUMMYFUNCTION("""COMPUTED_VALUE"""),0.5)</f>
        <v>0.5</v>
      </c>
    </row>
    <row r="5579">
      <c r="K5579" s="4" t="str">
        <f>IFERROR(__xludf.DUMMYFUNCTION("""COMPUTED_VALUE"""),"DELICIOUS BURGER")</f>
        <v>DELICIOUS BURGER</v>
      </c>
      <c r="L5579" s="32">
        <f>IFERROR(__xludf.DUMMYFUNCTION("""COMPUTED_VALUE"""),2.0)</f>
        <v>2</v>
      </c>
      <c r="M5579" s="4" t="str">
        <f>IFERROR(__xludf.DUMMYFUNCTION("""COMPUTED_VALUE"""),"null")</f>
        <v>null</v>
      </c>
      <c r="N5579" s="33">
        <f>IFERROR(__xludf.DUMMYFUNCTION("""COMPUTED_VALUE"""),1.0)</f>
        <v>1</v>
      </c>
      <c r="O5579" s="4" t="str">
        <f>IFERROR(__xludf.DUMMYFUNCTION("""COMPUTED_VALUE"""),"null")</f>
        <v>null</v>
      </c>
      <c r="P5579" s="33">
        <f>IFERROR(__xludf.DUMMYFUNCTION("""COMPUTED_VALUE"""),1.0)</f>
        <v>1</v>
      </c>
      <c r="Q5579" s="4" t="str">
        <f>IFERROR(__xludf.DUMMYFUNCTION("""COMPUTED_VALUE"""),"null")</f>
        <v>null</v>
      </c>
      <c r="R5579" s="33">
        <f>IFERROR(__xludf.DUMMYFUNCTION("""COMPUTED_VALUE"""),1.0)</f>
        <v>1</v>
      </c>
      <c r="S5579" s="4" t="str">
        <f>IFERROR(__xludf.DUMMYFUNCTION("""COMPUTED_VALUE"""),"null")</f>
        <v>null</v>
      </c>
      <c r="T5579" s="33">
        <f>IFERROR(__xludf.DUMMYFUNCTION("""COMPUTED_VALUE"""),1.0)</f>
        <v>1</v>
      </c>
      <c r="U5579" s="4" t="str">
        <f>IFERROR(__xludf.DUMMYFUNCTION("""COMPUTED_VALUE"""),"null")</f>
        <v>null</v>
      </c>
      <c r="V5579" s="33">
        <f>IFERROR(__xludf.DUMMYFUNCTION("""COMPUTED_VALUE"""),1.0)</f>
        <v>1</v>
      </c>
      <c r="W5579" s="4" t="str">
        <f>IFERROR(__xludf.DUMMYFUNCTION("""COMPUTED_VALUE"""),"Brendi")</f>
        <v>Brendi</v>
      </c>
      <c r="X5579" s="33">
        <f>IFERROR(__xludf.DUMMYFUNCTION("""COMPUTED_VALUE"""),1.0)</f>
        <v>1</v>
      </c>
    </row>
    <row r="5580">
      <c r="K5580" s="4" t="str">
        <f>IFERROR(__xludf.DUMMYFUNCTION("""COMPUTED_VALUE"""),"CAMARAO NO POTE")</f>
        <v>CAMARAO NO POTE</v>
      </c>
      <c r="L5580" s="32">
        <f>IFERROR(__xludf.DUMMYFUNCTION("""COMPUTED_VALUE"""),2.0)</f>
        <v>2</v>
      </c>
      <c r="M5580" s="4" t="str">
        <f>IFERROR(__xludf.DUMMYFUNCTION("""COMPUTED_VALUE"""),"Yooga")</f>
        <v>Yooga</v>
      </c>
      <c r="N5580" s="33">
        <f>IFERROR(__xludf.DUMMYFUNCTION("""COMPUTED_VALUE"""),1.0)</f>
        <v>1</v>
      </c>
      <c r="O5580" s="4" t="str">
        <f>IFERROR(__xludf.DUMMYFUNCTION("""COMPUTED_VALUE"""),"Yooga")</f>
        <v>Yooga</v>
      </c>
      <c r="P5580" s="33">
        <f>IFERROR(__xludf.DUMMYFUNCTION("""COMPUTED_VALUE"""),1.0)</f>
        <v>1</v>
      </c>
      <c r="Q5580" s="4" t="str">
        <f>IFERROR(__xludf.DUMMYFUNCTION("""COMPUTED_VALUE"""),"Yooga")</f>
        <v>Yooga</v>
      </c>
      <c r="R5580" s="33">
        <f>IFERROR(__xludf.DUMMYFUNCTION("""COMPUTED_VALUE"""),0.5)</f>
        <v>0.5</v>
      </c>
      <c r="S5580" s="4" t="str">
        <f>IFERROR(__xludf.DUMMYFUNCTION("""COMPUTED_VALUE"""),"Yooga")</f>
        <v>Yooga</v>
      </c>
      <c r="T5580" s="33">
        <f>IFERROR(__xludf.DUMMYFUNCTION("""COMPUTED_VALUE"""),0.5)</f>
        <v>0.5</v>
      </c>
      <c r="U5580" s="4" t="str">
        <f>IFERROR(__xludf.DUMMYFUNCTION("""COMPUTED_VALUE"""),"Yooga")</f>
        <v>Yooga</v>
      </c>
      <c r="V5580" s="33">
        <f>IFERROR(__xludf.DUMMYFUNCTION("""COMPUTED_VALUE"""),0.5)</f>
        <v>0.5</v>
      </c>
      <c r="W5580" s="4" t="str">
        <f>IFERROR(__xludf.DUMMYFUNCTION("""COMPUTED_VALUE"""),"Yooga")</f>
        <v>Yooga</v>
      </c>
      <c r="X5580" s="33">
        <f>IFERROR(__xludf.DUMMYFUNCTION("""COMPUTED_VALUE"""),0.5)</f>
        <v>0.5</v>
      </c>
    </row>
    <row r="5581">
      <c r="K5581" s="4" t="str">
        <f>IFERROR(__xludf.DUMMYFUNCTION("""COMPUTED_VALUE"""),"PRATO CHEIO RESTAURANTE")</f>
        <v>PRATO CHEIO RESTAURANTE</v>
      </c>
      <c r="L5581" s="32">
        <f>IFERROR(__xludf.DUMMYFUNCTION("""COMPUTED_VALUE"""),2.0)</f>
        <v>2</v>
      </c>
      <c r="M5581" s="4" t="str">
        <f>IFERROR(__xludf.DUMMYFUNCTION("""COMPUTED_VALUE"""),"Anota Ai Solucoes Digitais S/a")</f>
        <v>Anota Ai Solucoes Digitais S/a</v>
      </c>
      <c r="N5581" s="33">
        <f>IFERROR(__xludf.DUMMYFUNCTION("""COMPUTED_VALUE"""),0.5)</f>
        <v>0.5</v>
      </c>
      <c r="O5581" s="4" t="str">
        <f>IFERROR(__xludf.DUMMYFUNCTION("""COMPUTED_VALUE"""),"Anota Ai Solucoes Digitais S/a")</f>
        <v>Anota Ai Solucoes Digitais S/a</v>
      </c>
      <c r="P5581" s="33">
        <f>IFERROR(__xludf.DUMMYFUNCTION("""COMPUTED_VALUE"""),0.5)</f>
        <v>0.5</v>
      </c>
      <c r="Q5581" s="4" t="str">
        <f>IFERROR(__xludf.DUMMYFUNCTION("""COMPUTED_VALUE"""),"Anota Ai Solucoes Digitais S/a")</f>
        <v>Anota Ai Solucoes Digitais S/a</v>
      </c>
      <c r="R5581" s="33">
        <f>IFERROR(__xludf.DUMMYFUNCTION("""COMPUTED_VALUE"""),0.5)</f>
        <v>0.5</v>
      </c>
      <c r="S5581" s="4" t="str">
        <f>IFERROR(__xludf.DUMMYFUNCTION("""COMPUTED_VALUE"""),"Anota Ai Solucoes Digitais S/a")</f>
        <v>Anota Ai Solucoes Digitais S/a</v>
      </c>
      <c r="T5581" s="33">
        <f>IFERROR(__xludf.DUMMYFUNCTION("""COMPUTED_VALUE"""),0.5)</f>
        <v>0.5</v>
      </c>
      <c r="U5581" s="4" t="str">
        <f>IFERROR(__xludf.DUMMYFUNCTION("""COMPUTED_VALUE"""),"Anota Ai Solucoes Digitais S/a")</f>
        <v>Anota Ai Solucoes Digitais S/a</v>
      </c>
      <c r="V5581" s="33">
        <f>IFERROR(__xludf.DUMMYFUNCTION("""COMPUTED_VALUE"""),0.5)</f>
        <v>0.5</v>
      </c>
      <c r="W5581" s="4" t="str">
        <f>IFERROR(__xludf.DUMMYFUNCTION("""COMPUTED_VALUE"""),"null")</f>
        <v>null</v>
      </c>
      <c r="X5581" s="33">
        <f>IFERROR(__xludf.DUMMYFUNCTION("""COMPUTED_VALUE"""),0.5)</f>
        <v>0.5</v>
      </c>
    </row>
    <row r="5582">
      <c r="K5582" s="4" t="str">
        <f>IFERROR(__xludf.DUMMYFUNCTION("""COMPUTED_VALUE"""),"COUNTRY BURGUER")</f>
        <v>COUNTRY BURGUER</v>
      </c>
      <c r="L5582" s="32">
        <f>IFERROR(__xludf.DUMMYFUNCTION("""COMPUTED_VALUE"""),2.0)</f>
        <v>2</v>
      </c>
      <c r="M5582" s="4" t="str">
        <f>IFERROR(__xludf.DUMMYFUNCTION("""COMPUTED_VALUE"""),"null")</f>
        <v>null</v>
      </c>
      <c r="N5582" s="33">
        <f>IFERROR(__xludf.DUMMYFUNCTION("""COMPUTED_VALUE"""),0.5)</f>
        <v>0.5</v>
      </c>
      <c r="O5582" s="4" t="str">
        <f>IFERROR(__xludf.DUMMYFUNCTION("""COMPUTED_VALUE"""),"null")</f>
        <v>null</v>
      </c>
      <c r="P5582" s="33">
        <f>IFERROR(__xludf.DUMMYFUNCTION("""COMPUTED_VALUE"""),0.5)</f>
        <v>0.5</v>
      </c>
      <c r="Q5582" s="4" t="str">
        <f>IFERROR(__xludf.DUMMYFUNCTION("""COMPUTED_VALUE"""),"Brendi")</f>
        <v>Brendi</v>
      </c>
      <c r="R5582" s="33">
        <f>IFERROR(__xludf.DUMMYFUNCTION("""COMPUTED_VALUE"""),0.5)</f>
        <v>0.5</v>
      </c>
      <c r="S5582" s="4" t="str">
        <f>IFERROR(__xludf.DUMMYFUNCTION("""COMPUTED_VALUE"""),"Brendi")</f>
        <v>Brendi</v>
      </c>
      <c r="T5582" s="33">
        <f>IFERROR(__xludf.DUMMYFUNCTION("""COMPUTED_VALUE"""),0.5)</f>
        <v>0.5</v>
      </c>
      <c r="U5582" s="4" t="str">
        <f>IFERROR(__xludf.DUMMYFUNCTION("""COMPUTED_VALUE"""),"Brendi")</f>
        <v>Brendi</v>
      </c>
      <c r="V5582" s="33">
        <f>IFERROR(__xludf.DUMMYFUNCTION("""COMPUTED_VALUE"""),0.5)</f>
        <v>0.5</v>
      </c>
      <c r="W5582" s="4" t="str">
        <f>IFERROR(__xludf.DUMMYFUNCTION("""COMPUTED_VALUE"""),"Brendi")</f>
        <v>Brendi</v>
      </c>
      <c r="X5582" s="33">
        <f>IFERROR(__xludf.DUMMYFUNCTION("""COMPUTED_VALUE"""),0.5)</f>
        <v>0.5</v>
      </c>
    </row>
    <row r="5583">
      <c r="K5583" s="4" t="str">
        <f>IFERROR(__xludf.DUMMYFUNCTION("""COMPUTED_VALUE"""),"COMBOSPORCOES")</f>
        <v>COMBOSPORCOES</v>
      </c>
      <c r="L5583" s="32">
        <f>IFERROR(__xludf.DUMMYFUNCTION("""COMPUTED_VALUE"""),2.0)</f>
        <v>2</v>
      </c>
      <c r="M5583" s="4" t="str">
        <f>IFERROR(__xludf.DUMMYFUNCTION("""COMPUTED_VALUE"""),"null")</f>
        <v>null</v>
      </c>
      <c r="N5583" s="33">
        <f>IFERROR(__xludf.DUMMYFUNCTION("""COMPUTED_VALUE"""),0.5)</f>
        <v>0.5</v>
      </c>
      <c r="O5583" s="4" t="str">
        <f>IFERROR(__xludf.DUMMYFUNCTION("""COMPUTED_VALUE"""),"Mp Multipedidos")</f>
        <v>Mp Multipedidos</v>
      </c>
      <c r="P5583" s="33">
        <f>IFERROR(__xludf.DUMMYFUNCTION("""COMPUTED_VALUE"""),0.5)</f>
        <v>0.5</v>
      </c>
      <c r="Q5583" s="4" t="str">
        <f>IFERROR(__xludf.DUMMYFUNCTION("""COMPUTED_VALUE"""),"Mp Multipedidos")</f>
        <v>Mp Multipedidos</v>
      </c>
      <c r="R5583" s="33">
        <f>IFERROR(__xludf.DUMMYFUNCTION("""COMPUTED_VALUE"""),0.5)</f>
        <v>0.5</v>
      </c>
      <c r="S5583" s="4" t="str">
        <f>IFERROR(__xludf.DUMMYFUNCTION("""COMPUTED_VALUE"""),"Mp Multipedidos")</f>
        <v>Mp Multipedidos</v>
      </c>
      <c r="T5583" s="33">
        <f>IFERROR(__xludf.DUMMYFUNCTION("""COMPUTED_VALUE"""),0.5)</f>
        <v>0.5</v>
      </c>
      <c r="U5583" s="4" t="str">
        <f>IFERROR(__xludf.DUMMYFUNCTION("""COMPUTED_VALUE"""),"Mp Multipedidos")</f>
        <v>Mp Multipedidos</v>
      </c>
      <c r="V5583" s="33">
        <f>IFERROR(__xludf.DUMMYFUNCTION("""COMPUTED_VALUE"""),0.5)</f>
        <v>0.5</v>
      </c>
      <c r="W5583" s="4" t="str">
        <f>IFERROR(__xludf.DUMMYFUNCTION("""COMPUTED_VALUE"""),"Mp Multipedidos")</f>
        <v>Mp Multipedidos</v>
      </c>
      <c r="X5583" s="33">
        <f>IFERROR(__xludf.DUMMYFUNCTION("""COMPUTED_VALUE"""),0.5)</f>
        <v>0.5</v>
      </c>
    </row>
    <row r="5584">
      <c r="K5584" s="4" t="str">
        <f>IFERROR(__xludf.DUMMYFUNCTION("""COMPUTED_VALUE"""),"BROWS BURGUER - ITUIUTABA")</f>
        <v>BROWS BURGUER - ITUIUTABA</v>
      </c>
      <c r="L5584" s="32">
        <f>IFERROR(__xludf.DUMMYFUNCTION("""COMPUTED_VALUE"""),2.0)</f>
        <v>2</v>
      </c>
      <c r="M5584" s="4" t="str">
        <f>IFERROR(__xludf.DUMMYFUNCTION("""COMPUTED_VALUE"""),"null")</f>
        <v>null</v>
      </c>
      <c r="N5584" s="33">
        <f>IFERROR(__xludf.DUMMYFUNCTION("""COMPUTED_VALUE"""),0.5)</f>
        <v>0.5</v>
      </c>
      <c r="O5584" s="4" t="str">
        <f>IFERROR(__xludf.DUMMYFUNCTION("""COMPUTED_VALUE"""),"null")</f>
        <v>null</v>
      </c>
      <c r="P5584" s="33">
        <f>IFERROR(__xludf.DUMMYFUNCTION("""COMPUTED_VALUE"""),1.0)</f>
        <v>1</v>
      </c>
      <c r="Q5584" s="4" t="str">
        <f>IFERROR(__xludf.DUMMYFUNCTION("""COMPUTED_VALUE"""),"Cardápio Web")</f>
        <v>Cardápio Web</v>
      </c>
      <c r="R5584" s="33">
        <f>IFERROR(__xludf.DUMMYFUNCTION("""COMPUTED_VALUE"""),0.5)</f>
        <v>0.5</v>
      </c>
      <c r="S5584" s="4" t="str">
        <f>IFERROR(__xludf.DUMMYFUNCTION("""COMPUTED_VALUE"""),"Cardápio Web")</f>
        <v>Cardápio Web</v>
      </c>
      <c r="T5584" s="33">
        <f>IFERROR(__xludf.DUMMYFUNCTION("""COMPUTED_VALUE"""),0.5)</f>
        <v>0.5</v>
      </c>
      <c r="U5584" s="4" t="str">
        <f>IFERROR(__xludf.DUMMYFUNCTION("""COMPUTED_VALUE"""),"Cardápio Web")</f>
        <v>Cardápio Web</v>
      </c>
      <c r="V5584" s="33">
        <f>IFERROR(__xludf.DUMMYFUNCTION("""COMPUTED_VALUE"""),0.5)</f>
        <v>0.5</v>
      </c>
      <c r="W5584" s="4" t="str">
        <f>IFERROR(__xludf.DUMMYFUNCTION("""COMPUTED_VALUE"""),"Cardápio Web")</f>
        <v>Cardápio Web</v>
      </c>
      <c r="X5584" s="33">
        <f>IFERROR(__xludf.DUMMYFUNCTION("""COMPUTED_VALUE"""),0.5)</f>
        <v>0.5</v>
      </c>
    </row>
    <row r="5585">
      <c r="K5585" s="4" t="str">
        <f>IFERROR(__xludf.DUMMYFUNCTION("""COMPUTED_VALUE"""),"BURGUER TRUCK")</f>
        <v>BURGUER TRUCK</v>
      </c>
      <c r="L5585" s="32">
        <f>IFERROR(__xludf.DUMMYFUNCTION("""COMPUTED_VALUE"""),2.0)</f>
        <v>2</v>
      </c>
      <c r="M5585" s="4" t="str">
        <f>IFERROR(__xludf.DUMMYFUNCTION("""COMPUTED_VALUE"""),"Web Control")</f>
        <v>Web Control</v>
      </c>
      <c r="N5585" s="33">
        <f>IFERROR(__xludf.DUMMYFUNCTION("""COMPUTED_VALUE"""),0.5)</f>
        <v>0.5</v>
      </c>
      <c r="O5585" s="4" t="str">
        <f>IFERROR(__xludf.DUMMYFUNCTION("""COMPUTED_VALUE"""),"null")</f>
        <v>null</v>
      </c>
      <c r="P5585" s="33">
        <f>IFERROR(__xludf.DUMMYFUNCTION("""COMPUTED_VALUE"""),1.0)</f>
        <v>1</v>
      </c>
      <c r="Q5585" s="4" t="str">
        <f>IFERROR(__xludf.DUMMYFUNCTION("""COMPUTED_VALUE"""),"Brendi")</f>
        <v>Brendi</v>
      </c>
      <c r="R5585" s="33">
        <f>IFERROR(__xludf.DUMMYFUNCTION("""COMPUTED_VALUE"""),0.5)</f>
        <v>0.5</v>
      </c>
      <c r="S5585" s="4" t="str">
        <f>IFERROR(__xludf.DUMMYFUNCTION("""COMPUTED_VALUE"""),"Brendi")</f>
        <v>Brendi</v>
      </c>
      <c r="T5585" s="33">
        <f>IFERROR(__xludf.DUMMYFUNCTION("""COMPUTED_VALUE"""),0.5)</f>
        <v>0.5</v>
      </c>
      <c r="U5585" s="4" t="str">
        <f>IFERROR(__xludf.DUMMYFUNCTION("""COMPUTED_VALUE"""),"Brendi")</f>
        <v>Brendi</v>
      </c>
      <c r="V5585" s="33">
        <f>IFERROR(__xludf.DUMMYFUNCTION("""COMPUTED_VALUE"""),0.5)</f>
        <v>0.5</v>
      </c>
      <c r="W5585" s="4" t="str">
        <f>IFERROR(__xludf.DUMMYFUNCTION("""COMPUTED_VALUE"""),"Brendi")</f>
        <v>Brendi</v>
      </c>
      <c r="X5585" s="33">
        <f>IFERROR(__xludf.DUMMYFUNCTION("""COMPUTED_VALUE"""),0.5)</f>
        <v>0.5</v>
      </c>
    </row>
    <row r="5586">
      <c r="K5586" s="4" t="str">
        <f>IFERROR(__xludf.DUMMYFUNCTION("""COMPUTED_VALUE"""),"HEAT BBQ - BURGUER DE QUALIDADE")</f>
        <v>HEAT BBQ - BURGUER DE QUALIDADE</v>
      </c>
      <c r="L5586" s="32">
        <f>IFERROR(__xludf.DUMMYFUNCTION("""COMPUTED_VALUE"""),2.0)</f>
        <v>2</v>
      </c>
      <c r="M5586" s="4" t="str">
        <f>IFERROR(__xludf.DUMMYFUNCTION("""COMPUTED_VALUE"""),"Saipos Serviços De Software")</f>
        <v>Saipos Serviços De Software</v>
      </c>
      <c r="N5586" s="33">
        <f>IFERROR(__xludf.DUMMYFUNCTION("""COMPUTED_VALUE"""),1.0)</f>
        <v>1</v>
      </c>
      <c r="O5586" s="4" t="str">
        <f>IFERROR(__xludf.DUMMYFUNCTION("""COMPUTED_VALUE"""),"Saipos Serviços De Software")</f>
        <v>Saipos Serviços De Software</v>
      </c>
      <c r="P5586" s="33">
        <f>IFERROR(__xludf.DUMMYFUNCTION("""COMPUTED_VALUE"""),1.0)</f>
        <v>1</v>
      </c>
      <c r="Q5586" s="4" t="str">
        <f>IFERROR(__xludf.DUMMYFUNCTION("""COMPUTED_VALUE"""),"Saipos Serviços De Software")</f>
        <v>Saipos Serviços De Software</v>
      </c>
      <c r="R5586" s="33">
        <f>IFERROR(__xludf.DUMMYFUNCTION("""COMPUTED_VALUE"""),1.0)</f>
        <v>1</v>
      </c>
      <c r="S5586" s="4" t="str">
        <f>IFERROR(__xludf.DUMMYFUNCTION("""COMPUTED_VALUE"""),"Saipos Serviços De Software")</f>
        <v>Saipos Serviços De Software</v>
      </c>
      <c r="T5586" s="33">
        <f>IFERROR(__xludf.DUMMYFUNCTION("""COMPUTED_VALUE"""),1.0)</f>
        <v>1</v>
      </c>
      <c r="U5586" s="4" t="str">
        <f>IFERROR(__xludf.DUMMYFUNCTION("""COMPUTED_VALUE"""),"Saipos Serviços De Software")</f>
        <v>Saipos Serviços De Software</v>
      </c>
      <c r="V5586" s="33">
        <f>IFERROR(__xludf.DUMMYFUNCTION("""COMPUTED_VALUE"""),1.0)</f>
        <v>1</v>
      </c>
      <c r="W5586" s="4" t="str">
        <f>IFERROR(__xludf.DUMMYFUNCTION("""COMPUTED_VALUE"""),"Saipos Serviços De Software")</f>
        <v>Saipos Serviços De Software</v>
      </c>
      <c r="X5586" s="33">
        <f>IFERROR(__xludf.DUMMYFUNCTION("""COMPUTED_VALUE"""),1.0)</f>
        <v>1</v>
      </c>
    </row>
    <row r="5587">
      <c r="K5587" s="4" t="str">
        <f>IFERROR(__xludf.DUMMYFUNCTION("""COMPUTED_VALUE"""),"VILLA DA PIZZA")</f>
        <v>VILLA DA PIZZA</v>
      </c>
      <c r="L5587" s="32">
        <f>IFERROR(__xludf.DUMMYFUNCTION("""COMPUTED_VALUE"""),2.0)</f>
        <v>2</v>
      </c>
      <c r="M5587" s="4" t="str">
        <f>IFERROR(__xludf.DUMMYFUNCTION("""COMPUTED_VALUE"""),"Anota Ai Solucoes Digitais S/a")</f>
        <v>Anota Ai Solucoes Digitais S/a</v>
      </c>
      <c r="N5587" s="33">
        <f>IFERROR(__xludf.DUMMYFUNCTION("""COMPUTED_VALUE"""),0.5)</f>
        <v>0.5</v>
      </c>
      <c r="O5587" s="4" t="str">
        <f>IFERROR(__xludf.DUMMYFUNCTION("""COMPUTED_VALUE"""),"Anota Ai Solucoes Digitais S/a")</f>
        <v>Anota Ai Solucoes Digitais S/a</v>
      </c>
      <c r="P5587" s="33">
        <f>IFERROR(__xludf.DUMMYFUNCTION("""COMPUTED_VALUE"""),0.5)</f>
        <v>0.5</v>
      </c>
      <c r="Q5587" s="4" t="str">
        <f>IFERROR(__xludf.DUMMYFUNCTION("""COMPUTED_VALUE"""),"Anota Ai Solucoes Digitais S/a")</f>
        <v>Anota Ai Solucoes Digitais S/a</v>
      </c>
      <c r="R5587" s="33">
        <f>IFERROR(__xludf.DUMMYFUNCTION("""COMPUTED_VALUE"""),0.5)</f>
        <v>0.5</v>
      </c>
      <c r="S5587" s="4" t="str">
        <f>IFERROR(__xludf.DUMMYFUNCTION("""COMPUTED_VALUE"""),"Anota Ai Solucoes Digitais S/a")</f>
        <v>Anota Ai Solucoes Digitais S/a</v>
      </c>
      <c r="T5587" s="33">
        <f>IFERROR(__xludf.DUMMYFUNCTION("""COMPUTED_VALUE"""),0.5)</f>
        <v>0.5</v>
      </c>
      <c r="U5587" s="4" t="str">
        <f>IFERROR(__xludf.DUMMYFUNCTION("""COMPUTED_VALUE"""),"Anota Ai Solucoes Digitais S/a")</f>
        <v>Anota Ai Solucoes Digitais S/a</v>
      </c>
      <c r="V5587" s="33">
        <f>IFERROR(__xludf.DUMMYFUNCTION("""COMPUTED_VALUE"""),0.5)</f>
        <v>0.5</v>
      </c>
      <c r="W5587" s="4" t="str">
        <f>IFERROR(__xludf.DUMMYFUNCTION("""COMPUTED_VALUE"""),"Anota Ai Solucoes Digitais S/a")</f>
        <v>Anota Ai Solucoes Digitais S/a</v>
      </c>
      <c r="X5587" s="33">
        <f>IFERROR(__xludf.DUMMYFUNCTION("""COMPUTED_VALUE"""),0.5)</f>
        <v>0.5</v>
      </c>
    </row>
    <row r="5588">
      <c r="K5588" s="4" t="str">
        <f>IFERROR(__xludf.DUMMYFUNCTION("""COMPUTED_VALUE"""),"TEMAKERIA RIBEIRAO SUSHITEMAKIHOT ROOL")</f>
        <v>TEMAKERIA RIBEIRAO SUSHITEMAKIHOT ROOL</v>
      </c>
      <c r="L5588" s="32">
        <f>IFERROR(__xludf.DUMMYFUNCTION("""COMPUTED_VALUE"""),2.0)</f>
        <v>2</v>
      </c>
      <c r="M5588" s="4" t="str">
        <f>IFERROR(__xludf.DUMMYFUNCTION("""COMPUTED_VALUE"""),"Glow")</f>
        <v>Glow</v>
      </c>
      <c r="N5588" s="33">
        <f>IFERROR(__xludf.DUMMYFUNCTION("""COMPUTED_VALUE"""),1.0)</f>
        <v>1</v>
      </c>
      <c r="O5588" s="4" t="str">
        <f>IFERROR(__xludf.DUMMYFUNCTION("""COMPUTED_VALUE"""),"Glow")</f>
        <v>Glow</v>
      </c>
      <c r="P5588" s="33">
        <f>IFERROR(__xludf.DUMMYFUNCTION("""COMPUTED_VALUE"""),0.5)</f>
        <v>0.5</v>
      </c>
      <c r="Q5588" s="4" t="str">
        <f>IFERROR(__xludf.DUMMYFUNCTION("""COMPUTED_VALUE"""),"null")</f>
        <v>null</v>
      </c>
      <c r="R5588" s="33">
        <f>IFERROR(__xludf.DUMMYFUNCTION("""COMPUTED_VALUE"""),1.0)</f>
        <v>1</v>
      </c>
      <c r="S5588" s="4" t="str">
        <f>IFERROR(__xludf.DUMMYFUNCTION("""COMPUTED_VALUE"""),"null")</f>
        <v>null</v>
      </c>
      <c r="T5588" s="33">
        <f>IFERROR(__xludf.DUMMYFUNCTION("""COMPUTED_VALUE"""),0.5)</f>
        <v>0.5</v>
      </c>
      <c r="U5588" s="4" t="str">
        <f>IFERROR(__xludf.DUMMYFUNCTION("""COMPUTED_VALUE"""),"null")</f>
        <v>null</v>
      </c>
      <c r="V5588" s="33">
        <f>IFERROR(__xludf.DUMMYFUNCTION("""COMPUTED_VALUE"""),0.5)</f>
        <v>0.5</v>
      </c>
      <c r="W5588" s="4" t="str">
        <f>IFERROR(__xludf.DUMMYFUNCTION("""COMPUTED_VALUE"""),"null")</f>
        <v>null</v>
      </c>
      <c r="X5588" s="33">
        <f>IFERROR(__xludf.DUMMYFUNCTION("""COMPUTED_VALUE"""),0.5)</f>
        <v>0.5</v>
      </c>
    </row>
    <row r="5589">
      <c r="K5589" s="4" t="str">
        <f>IFERROR(__xludf.DUMMYFUNCTION("""COMPUTED_VALUE"""),"MIZU SUSHI DELIVERY")</f>
        <v>MIZU SUSHI DELIVERY</v>
      </c>
      <c r="L5589" s="32">
        <f>IFERROR(__xludf.DUMMYFUNCTION("""COMPUTED_VALUE"""),2.0)</f>
        <v>2</v>
      </c>
      <c r="M5589" s="4" t="str">
        <f>IFERROR(__xludf.DUMMYFUNCTION("""COMPUTED_VALUE"""),"Cardápio Web")</f>
        <v>Cardápio Web</v>
      </c>
      <c r="N5589" s="33">
        <f>IFERROR(__xludf.DUMMYFUNCTION("""COMPUTED_VALUE"""),0.5)</f>
        <v>0.5</v>
      </c>
      <c r="O5589" s="4" t="str">
        <f>IFERROR(__xludf.DUMMYFUNCTION("""COMPUTED_VALUE"""),"Cardápio Web")</f>
        <v>Cardápio Web</v>
      </c>
      <c r="P5589" s="33">
        <f>IFERROR(__xludf.DUMMYFUNCTION("""COMPUTED_VALUE"""),0.5)</f>
        <v>0.5</v>
      </c>
      <c r="Q5589" s="4" t="str">
        <f>IFERROR(__xludf.DUMMYFUNCTION("""COMPUTED_VALUE"""),"Cardápio Web")</f>
        <v>Cardápio Web</v>
      </c>
      <c r="R5589" s="33">
        <f>IFERROR(__xludf.DUMMYFUNCTION("""COMPUTED_VALUE"""),0.5)</f>
        <v>0.5</v>
      </c>
      <c r="S5589" s="4" t="str">
        <f>IFERROR(__xludf.DUMMYFUNCTION("""COMPUTED_VALUE"""),"Cardápio Web")</f>
        <v>Cardápio Web</v>
      </c>
      <c r="T5589" s="33">
        <f>IFERROR(__xludf.DUMMYFUNCTION("""COMPUTED_VALUE"""),0.5)</f>
        <v>0.5</v>
      </c>
      <c r="U5589" s="4" t="str">
        <f>IFERROR(__xludf.DUMMYFUNCTION("""COMPUTED_VALUE"""),"Cardápio Web")</f>
        <v>Cardápio Web</v>
      </c>
      <c r="V5589" s="33">
        <f>IFERROR(__xludf.DUMMYFUNCTION("""COMPUTED_VALUE"""),0.5)</f>
        <v>0.5</v>
      </c>
      <c r="W5589" s="4" t="str">
        <f>IFERROR(__xludf.DUMMYFUNCTION("""COMPUTED_VALUE"""),"null")</f>
        <v>null</v>
      </c>
      <c r="X5589" s="33">
        <f>IFERROR(__xludf.DUMMYFUNCTION("""COMPUTED_VALUE"""),0.5)</f>
        <v>0.5</v>
      </c>
    </row>
    <row r="5590">
      <c r="K5590" s="4" t="str">
        <f>IFERROR(__xludf.DUMMYFUNCTION("""COMPUTED_VALUE"""),"DROGARIA OFERTAO")</f>
        <v>DROGARIA OFERTAO</v>
      </c>
      <c r="L5590" s="32">
        <f>IFERROR(__xludf.DUMMYFUNCTION("""COMPUTED_VALUE"""),2.0)</f>
        <v>2</v>
      </c>
      <c r="M5590" s="4" t="str">
        <f>IFERROR(__xludf.DUMMYFUNCTION("""COMPUTED_VALUE"""),"N/A (Not found)")</f>
        <v>N/A (Not found)</v>
      </c>
      <c r="N5590" s="33">
        <f>IFERROR(__xludf.DUMMYFUNCTION("""COMPUTED_VALUE"""),1.0)</f>
        <v>1</v>
      </c>
      <c r="O5590" s="4" t="str">
        <f>IFERROR(__xludf.DUMMYFUNCTION("""COMPUTED_VALUE"""),"N/A (Not found)")</f>
        <v>N/A (Not found)</v>
      </c>
      <c r="P5590" s="33">
        <f>IFERROR(__xludf.DUMMYFUNCTION("""COMPUTED_VALUE"""),1.0)</f>
        <v>1</v>
      </c>
      <c r="Q5590" s="4" t="str">
        <f>IFERROR(__xludf.DUMMYFUNCTION("""COMPUTED_VALUE"""),"N/A (Not found)")</f>
        <v>N/A (Not found)</v>
      </c>
      <c r="R5590" s="33">
        <f>IFERROR(__xludf.DUMMYFUNCTION("""COMPUTED_VALUE"""),1.0)</f>
        <v>1</v>
      </c>
      <c r="S5590" s="4" t="str">
        <f>IFERROR(__xludf.DUMMYFUNCTION("""COMPUTED_VALUE"""),"N/A (Not found)")</f>
        <v>N/A (Not found)</v>
      </c>
      <c r="T5590" s="33">
        <f>IFERROR(__xludf.DUMMYFUNCTION("""COMPUTED_VALUE"""),1.0)</f>
        <v>1</v>
      </c>
      <c r="U5590" s="4" t="str">
        <f>IFERROR(__xludf.DUMMYFUNCTION("""COMPUTED_VALUE"""),"N/A (Not found)")</f>
        <v>N/A (Not found)</v>
      </c>
      <c r="V5590" s="33">
        <f>IFERROR(__xludf.DUMMYFUNCTION("""COMPUTED_VALUE"""),1.0)</f>
        <v>1</v>
      </c>
      <c r="W5590" s="4" t="str">
        <f>IFERROR(__xludf.DUMMYFUNCTION("""COMPUTED_VALUE"""),"N/A (Not found)")</f>
        <v>N/A (Not found)</v>
      </c>
      <c r="X5590" s="33">
        <f>IFERROR(__xludf.DUMMYFUNCTION("""COMPUTED_VALUE"""),1.0)</f>
        <v>1</v>
      </c>
    </row>
    <row r="5591">
      <c r="K5591" s="4" t="str">
        <f>IFERROR(__xludf.DUMMYFUNCTION("""COMPUTED_VALUE"""),"CHEESE HAMBURGUERIA")</f>
        <v>CHEESE HAMBURGUERIA</v>
      </c>
      <c r="L5591" s="32">
        <f>IFERROR(__xludf.DUMMYFUNCTION("""COMPUTED_VALUE"""),2.0)</f>
        <v>2</v>
      </c>
      <c r="M5591" s="4" t="str">
        <f>IFERROR(__xludf.DUMMYFUNCTION("""COMPUTED_VALUE"""),"Saipos Serviços De Software")</f>
        <v>Saipos Serviços De Software</v>
      </c>
      <c r="N5591" s="33">
        <f>IFERROR(__xludf.DUMMYFUNCTION("""COMPUTED_VALUE"""),0.5)</f>
        <v>0.5</v>
      </c>
      <c r="O5591" s="4" t="str">
        <f>IFERROR(__xludf.DUMMYFUNCTION("""COMPUTED_VALUE"""),"Saipos Serviços De Software")</f>
        <v>Saipos Serviços De Software</v>
      </c>
      <c r="P5591" s="33">
        <f>IFERROR(__xludf.DUMMYFUNCTION("""COMPUTED_VALUE"""),0.5)</f>
        <v>0.5</v>
      </c>
      <c r="Q5591" s="4" t="str">
        <f>IFERROR(__xludf.DUMMYFUNCTION("""COMPUTED_VALUE"""),"Saipos Serviços De Software")</f>
        <v>Saipos Serviços De Software</v>
      </c>
      <c r="R5591" s="33">
        <f>IFERROR(__xludf.DUMMYFUNCTION("""COMPUTED_VALUE"""),0.5)</f>
        <v>0.5</v>
      </c>
      <c r="S5591" s="4" t="str">
        <f>IFERROR(__xludf.DUMMYFUNCTION("""COMPUTED_VALUE"""),"null")</f>
        <v>null</v>
      </c>
      <c r="T5591" s="33">
        <f>IFERROR(__xludf.DUMMYFUNCTION("""COMPUTED_VALUE"""),0.5)</f>
        <v>0.5</v>
      </c>
      <c r="U5591" s="4" t="str">
        <f>IFERROR(__xludf.DUMMYFUNCTION("""COMPUTED_VALUE"""),"null")</f>
        <v>null</v>
      </c>
      <c r="V5591" s="33">
        <f>IFERROR(__xludf.DUMMYFUNCTION("""COMPUTED_VALUE"""),0.5)</f>
        <v>0.5</v>
      </c>
      <c r="W5591" s="4" t="str">
        <f>IFERROR(__xludf.DUMMYFUNCTION("""COMPUTED_VALUE"""),"null")</f>
        <v>null</v>
      </c>
      <c r="X5591" s="33">
        <f>IFERROR(__xludf.DUMMYFUNCTION("""COMPUTED_VALUE"""),0.5)</f>
        <v>0.5</v>
      </c>
    </row>
    <row r="5592">
      <c r="K5592" s="4" t="str">
        <f>IFERROR(__xludf.DUMMYFUNCTION("""COMPUTED_VALUE"""),"PIZZARIA FORNELLI")</f>
        <v>PIZZARIA FORNELLI</v>
      </c>
      <c r="L5592" s="32">
        <f>IFERROR(__xludf.DUMMYFUNCTION("""COMPUTED_VALUE"""),2.0)</f>
        <v>2</v>
      </c>
      <c r="M5592" s="4" t="str">
        <f>IFERROR(__xludf.DUMMYFUNCTION("""COMPUTED_VALUE"""),"Mp Multipedidos")</f>
        <v>Mp Multipedidos</v>
      </c>
      <c r="N5592" s="33">
        <f>IFERROR(__xludf.DUMMYFUNCTION("""COMPUTED_VALUE"""),1.0)</f>
        <v>1</v>
      </c>
      <c r="O5592" s="4" t="str">
        <f>IFERROR(__xludf.DUMMYFUNCTION("""COMPUTED_VALUE"""),"null")</f>
        <v>null</v>
      </c>
      <c r="P5592" s="33">
        <f>IFERROR(__xludf.DUMMYFUNCTION("""COMPUTED_VALUE"""),1.0)</f>
        <v>1</v>
      </c>
      <c r="Q5592" s="4" t="str">
        <f>IFERROR(__xludf.DUMMYFUNCTION("""COMPUTED_VALUE"""),"null")</f>
        <v>null</v>
      </c>
      <c r="R5592" s="33">
        <f>IFERROR(__xludf.DUMMYFUNCTION("""COMPUTED_VALUE"""),0.5)</f>
        <v>0.5</v>
      </c>
      <c r="S5592" s="4" t="str">
        <f>IFERROR(__xludf.DUMMYFUNCTION("""COMPUTED_VALUE"""),"null")</f>
        <v>null</v>
      </c>
      <c r="T5592" s="33">
        <f>IFERROR(__xludf.DUMMYFUNCTION("""COMPUTED_VALUE"""),0.5)</f>
        <v>0.5</v>
      </c>
      <c r="U5592" s="4" t="str">
        <f>IFERROR(__xludf.DUMMYFUNCTION("""COMPUTED_VALUE"""),"null")</f>
        <v>null</v>
      </c>
      <c r="V5592" s="33">
        <f>IFERROR(__xludf.DUMMYFUNCTION("""COMPUTED_VALUE"""),0.5)</f>
        <v>0.5</v>
      </c>
      <c r="W5592" s="4" t="str">
        <f>IFERROR(__xludf.DUMMYFUNCTION("""COMPUTED_VALUE"""),"Mp Multipedidos")</f>
        <v>Mp Multipedidos</v>
      </c>
      <c r="X5592" s="33">
        <f>IFERROR(__xludf.DUMMYFUNCTION("""COMPUTED_VALUE"""),1.0)</f>
        <v>1</v>
      </c>
    </row>
    <row r="5593">
      <c r="K5593" s="4" t="str">
        <f>IFERROR(__xludf.DUMMYFUNCTION("""COMPUTED_VALUE"""),"NORDICOS BURGER")</f>
        <v>NORDICOS BURGER</v>
      </c>
      <c r="L5593" s="32">
        <f>IFERROR(__xludf.DUMMYFUNCTION("""COMPUTED_VALUE"""),2.0)</f>
        <v>2</v>
      </c>
      <c r="M5593" s="4" t="str">
        <f>IFERROR(__xludf.DUMMYFUNCTION("""COMPUTED_VALUE"""),"null")</f>
        <v>null</v>
      </c>
      <c r="N5593" s="33">
        <f>IFERROR(__xludf.DUMMYFUNCTION("""COMPUTED_VALUE"""),0.5)</f>
        <v>0.5</v>
      </c>
      <c r="O5593" s="4" t="str">
        <f>IFERROR(__xludf.DUMMYFUNCTION("""COMPUTED_VALUE"""),"Saipos Serviços De Software")</f>
        <v>Saipos Serviços De Software</v>
      </c>
      <c r="P5593" s="33">
        <f>IFERROR(__xludf.DUMMYFUNCTION("""COMPUTED_VALUE"""),1.0)</f>
        <v>1</v>
      </c>
      <c r="Q5593" s="4" t="str">
        <f>IFERROR(__xludf.DUMMYFUNCTION("""COMPUTED_VALUE"""),"Saipos Serviços De Software")</f>
        <v>Saipos Serviços De Software</v>
      </c>
      <c r="R5593" s="33">
        <f>IFERROR(__xludf.DUMMYFUNCTION("""COMPUTED_VALUE"""),1.0)</f>
        <v>1</v>
      </c>
      <c r="S5593" s="4" t="str">
        <f>IFERROR(__xludf.DUMMYFUNCTION("""COMPUTED_VALUE"""),"Saipos Serviços De Software")</f>
        <v>Saipos Serviços De Software</v>
      </c>
      <c r="T5593" s="33">
        <f>IFERROR(__xludf.DUMMYFUNCTION("""COMPUTED_VALUE"""),1.0)</f>
        <v>1</v>
      </c>
      <c r="U5593" s="4" t="str">
        <f>IFERROR(__xludf.DUMMYFUNCTION("""COMPUTED_VALUE"""),"Saipos Serviços De Software")</f>
        <v>Saipos Serviços De Software</v>
      </c>
      <c r="V5593" s="33">
        <f>IFERROR(__xludf.DUMMYFUNCTION("""COMPUTED_VALUE"""),1.0)</f>
        <v>1</v>
      </c>
      <c r="W5593" s="4" t="str">
        <f>IFERROR(__xludf.DUMMYFUNCTION("""COMPUTED_VALUE"""),"Saipos Serviços De Software")</f>
        <v>Saipos Serviços De Software</v>
      </c>
      <c r="X5593" s="33">
        <f>IFERROR(__xludf.DUMMYFUNCTION("""COMPUTED_VALUE"""),1.0)</f>
        <v>1</v>
      </c>
    </row>
    <row r="5594">
      <c r="K5594" s="4" t="str">
        <f>IFERROR(__xludf.DUMMYFUNCTION("""COMPUTED_VALUE"""),"QUIOSQUE LANCHES")</f>
        <v>QUIOSQUE LANCHES</v>
      </c>
      <c r="L5594" s="32">
        <f>IFERROR(__xludf.DUMMYFUNCTION("""COMPUTED_VALUE"""),2.0)</f>
        <v>2</v>
      </c>
      <c r="M5594" s="4" t="str">
        <f>IFERROR(__xludf.DUMMYFUNCTION("""COMPUTED_VALUE"""),"Saipos Serviços De Software")</f>
        <v>Saipos Serviços De Software</v>
      </c>
      <c r="N5594" s="33">
        <f>IFERROR(__xludf.DUMMYFUNCTION("""COMPUTED_VALUE"""),0.5)</f>
        <v>0.5</v>
      </c>
      <c r="O5594" s="4" t="str">
        <f>IFERROR(__xludf.DUMMYFUNCTION("""COMPUTED_VALUE"""),"Saipos Serviços De Software")</f>
        <v>Saipos Serviços De Software</v>
      </c>
      <c r="P5594" s="33">
        <f>IFERROR(__xludf.DUMMYFUNCTION("""COMPUTED_VALUE"""),0.5)</f>
        <v>0.5</v>
      </c>
      <c r="Q5594" s="4" t="str">
        <f>IFERROR(__xludf.DUMMYFUNCTION("""COMPUTED_VALUE"""),"Saipos Serviços De Software")</f>
        <v>Saipos Serviços De Software</v>
      </c>
      <c r="R5594" s="33">
        <f>IFERROR(__xludf.DUMMYFUNCTION("""COMPUTED_VALUE"""),0.5)</f>
        <v>0.5</v>
      </c>
      <c r="S5594" s="4" t="str">
        <f>IFERROR(__xludf.DUMMYFUNCTION("""COMPUTED_VALUE"""),"Saipos Serviços De Software")</f>
        <v>Saipos Serviços De Software</v>
      </c>
      <c r="T5594" s="33">
        <f>IFERROR(__xludf.DUMMYFUNCTION("""COMPUTED_VALUE"""),0.5)</f>
        <v>0.5</v>
      </c>
      <c r="U5594" s="4" t="str">
        <f>IFERROR(__xludf.DUMMYFUNCTION("""COMPUTED_VALUE"""),"null")</f>
        <v>null</v>
      </c>
      <c r="V5594" s="33">
        <f>IFERROR(__xludf.DUMMYFUNCTION("""COMPUTED_VALUE"""),0.5)</f>
        <v>0.5</v>
      </c>
      <c r="W5594" s="4" t="str">
        <f>IFERROR(__xludf.DUMMYFUNCTION("""COMPUTED_VALUE"""),"null")</f>
        <v>null</v>
      </c>
      <c r="X5594" s="33">
        <f>IFERROR(__xludf.DUMMYFUNCTION("""COMPUTED_VALUE"""),0.5)</f>
        <v>0.5</v>
      </c>
    </row>
    <row r="5595">
      <c r="K5595" s="4" t="str">
        <f>IFERROR(__xludf.DUMMYFUNCTION("""COMPUTED_VALUE"""),"NILDS CONVENIENCIA")</f>
        <v>NILDS CONVENIENCIA</v>
      </c>
      <c r="L5595" s="32">
        <f>IFERROR(__xludf.DUMMYFUNCTION("""COMPUTED_VALUE"""),2.0)</f>
        <v>2</v>
      </c>
      <c r="M5595" s="4" t="str">
        <f>IFERROR(__xludf.DUMMYFUNCTION("""COMPUTED_VALUE"""),"null")</f>
        <v>null</v>
      </c>
      <c r="N5595" s="33">
        <f>IFERROR(__xludf.DUMMYFUNCTION("""COMPUTED_VALUE"""),1.0)</f>
        <v>1</v>
      </c>
      <c r="O5595" s="4" t="str">
        <f>IFERROR(__xludf.DUMMYFUNCTION("""COMPUTED_VALUE"""),"N/A (Not found)")</f>
        <v>N/A (Not found)</v>
      </c>
      <c r="P5595" s="33">
        <f>IFERROR(__xludf.DUMMYFUNCTION("""COMPUTED_VALUE"""),0.5)</f>
        <v>0.5</v>
      </c>
      <c r="Q5595" s="4" t="str">
        <f>IFERROR(__xludf.DUMMYFUNCTION("""COMPUTED_VALUE"""),"N/A (Not found)")</f>
        <v>N/A (Not found)</v>
      </c>
      <c r="R5595" s="33">
        <f>IFERROR(__xludf.DUMMYFUNCTION("""COMPUTED_VALUE"""),0.5)</f>
        <v>0.5</v>
      </c>
      <c r="S5595" s="4" t="str">
        <f>IFERROR(__xludf.DUMMYFUNCTION("""COMPUTED_VALUE"""),"N/A (Not found)")</f>
        <v>N/A (Not found)</v>
      </c>
      <c r="T5595" s="33">
        <f>IFERROR(__xludf.DUMMYFUNCTION("""COMPUTED_VALUE"""),0.5)</f>
        <v>0.5</v>
      </c>
      <c r="U5595" s="4" t="str">
        <f>IFERROR(__xludf.DUMMYFUNCTION("""COMPUTED_VALUE"""),"N/A (Not found)")</f>
        <v>N/A (Not found)</v>
      </c>
      <c r="V5595" s="33">
        <f>IFERROR(__xludf.DUMMYFUNCTION("""COMPUTED_VALUE"""),0.5)</f>
        <v>0.5</v>
      </c>
      <c r="W5595" s="4" t="str">
        <f>IFERROR(__xludf.DUMMYFUNCTION("""COMPUTED_VALUE"""),"null")</f>
        <v>null</v>
      </c>
      <c r="X5595" s="33">
        <f>IFERROR(__xludf.DUMMYFUNCTION("""COMPUTED_VALUE"""),1.0)</f>
        <v>1</v>
      </c>
    </row>
    <row r="5596">
      <c r="K5596" s="4" t="str">
        <f>IFERROR(__xludf.DUMMYFUNCTION("""COMPUTED_VALUE"""),"JET CHICKEN FRANGO FRITO")</f>
        <v>JET CHICKEN FRANGO FRITO</v>
      </c>
      <c r="L5596" s="32">
        <f>IFERROR(__xludf.DUMMYFUNCTION("""COMPUTED_VALUE"""),2.0)</f>
        <v>2</v>
      </c>
      <c r="M5596" s="4" t="str">
        <f>IFERROR(__xludf.DUMMYFUNCTION("""COMPUTED_VALUE"""),"null")</f>
        <v>null</v>
      </c>
      <c r="N5596" s="33">
        <f>IFERROR(__xludf.DUMMYFUNCTION("""COMPUTED_VALUE"""),1.0)</f>
        <v>1</v>
      </c>
      <c r="O5596" s="4" t="str">
        <f>IFERROR(__xludf.DUMMYFUNCTION("""COMPUTED_VALUE"""),"null")</f>
        <v>null</v>
      </c>
      <c r="P5596" s="33">
        <f>IFERROR(__xludf.DUMMYFUNCTION("""COMPUTED_VALUE"""),1.0)</f>
        <v>1</v>
      </c>
      <c r="Q5596" s="4" t="str">
        <f>IFERROR(__xludf.DUMMYFUNCTION("""COMPUTED_VALUE"""),"null")</f>
        <v>null</v>
      </c>
      <c r="R5596" s="33">
        <f>IFERROR(__xludf.DUMMYFUNCTION("""COMPUTED_VALUE"""),0.5)</f>
        <v>0.5</v>
      </c>
      <c r="S5596" s="4" t="str">
        <f>IFERROR(__xludf.DUMMYFUNCTION("""COMPUTED_VALUE"""),"null")</f>
        <v>null</v>
      </c>
      <c r="T5596" s="33">
        <f>IFERROR(__xludf.DUMMYFUNCTION("""COMPUTED_VALUE"""),1.0)</f>
        <v>1</v>
      </c>
      <c r="U5596" s="4" t="str">
        <f>IFERROR(__xludf.DUMMYFUNCTION("""COMPUTED_VALUE"""),"Saipos Serviços De Software")</f>
        <v>Saipos Serviços De Software</v>
      </c>
      <c r="V5596" s="33">
        <f>IFERROR(__xludf.DUMMYFUNCTION("""COMPUTED_VALUE"""),0.5)</f>
        <v>0.5</v>
      </c>
      <c r="W5596" s="4" t="str">
        <f>IFERROR(__xludf.DUMMYFUNCTION("""COMPUTED_VALUE"""),"Saipos Serviços De Software")</f>
        <v>Saipos Serviços De Software</v>
      </c>
      <c r="X5596" s="33">
        <f>IFERROR(__xludf.DUMMYFUNCTION("""COMPUTED_VALUE"""),0.5)</f>
        <v>0.5</v>
      </c>
    </row>
    <row r="5597">
      <c r="K5597" s="4" t="str">
        <f>IFERROR(__xludf.DUMMYFUNCTION("""COMPUTED_VALUE"""),"HARMONIA DO SABOR")</f>
        <v>HARMONIA DO SABOR</v>
      </c>
      <c r="L5597" s="32">
        <f>IFERROR(__xludf.DUMMYFUNCTION("""COMPUTED_VALUE"""),2.0)</f>
        <v>2</v>
      </c>
      <c r="M5597" s="4" t="str">
        <f>IFERROR(__xludf.DUMMYFUNCTION("""COMPUTED_VALUE"""),"null")</f>
        <v>null</v>
      </c>
      <c r="N5597" s="33">
        <f>IFERROR(__xludf.DUMMYFUNCTION("""COMPUTED_VALUE"""),1.0)</f>
        <v>1</v>
      </c>
      <c r="O5597" s="4" t="str">
        <f>IFERROR(__xludf.DUMMYFUNCTION("""COMPUTED_VALUE"""),"null")</f>
        <v>null</v>
      </c>
      <c r="P5597" s="33">
        <f>IFERROR(__xludf.DUMMYFUNCTION("""COMPUTED_VALUE"""),0.5)</f>
        <v>0.5</v>
      </c>
      <c r="Q5597" s="4" t="str">
        <f>IFERROR(__xludf.DUMMYFUNCTION("""COMPUTED_VALUE"""),"null")</f>
        <v>null</v>
      </c>
      <c r="R5597" s="33">
        <f>IFERROR(__xludf.DUMMYFUNCTION("""COMPUTED_VALUE"""),1.0)</f>
        <v>1</v>
      </c>
      <c r="S5597" s="4" t="str">
        <f>IFERROR(__xludf.DUMMYFUNCTION("""COMPUTED_VALUE"""),"null")</f>
        <v>null</v>
      </c>
      <c r="T5597" s="33">
        <f>IFERROR(__xludf.DUMMYFUNCTION("""COMPUTED_VALUE"""),1.0)</f>
        <v>1</v>
      </c>
      <c r="U5597" s="4" t="str">
        <f>IFERROR(__xludf.DUMMYFUNCTION("""COMPUTED_VALUE"""),"null")</f>
        <v>null</v>
      </c>
      <c r="V5597" s="33">
        <f>IFERROR(__xludf.DUMMYFUNCTION("""COMPUTED_VALUE"""),1.0)</f>
        <v>1</v>
      </c>
      <c r="W5597" s="4" t="str">
        <f>IFERROR(__xludf.DUMMYFUNCTION("""COMPUTED_VALUE"""),"Syslogica - Novo Conceito Em Software")</f>
        <v>Syslogica - Novo Conceito Em Software</v>
      </c>
      <c r="X5597" s="33">
        <f>IFERROR(__xludf.DUMMYFUNCTION("""COMPUTED_VALUE"""),0.5)</f>
        <v>0.5</v>
      </c>
    </row>
    <row r="5598">
      <c r="K5598" s="4" t="str">
        <f>IFERROR(__xludf.DUMMYFUNCTION("""COMPUTED_VALUE"""),"ARAUJO BEBIDAS")</f>
        <v>ARAUJO BEBIDAS</v>
      </c>
      <c r="L5598" s="32">
        <f>IFERROR(__xludf.DUMMYFUNCTION("""COMPUTED_VALUE"""),2.0)</f>
        <v>2</v>
      </c>
      <c r="M5598" s="4" t="str">
        <f>IFERROR(__xludf.DUMMYFUNCTION("""COMPUTED_VALUE"""),"N/A (Not found)")</f>
        <v>N/A (Not found)</v>
      </c>
      <c r="N5598" s="33">
        <f>IFERROR(__xludf.DUMMYFUNCTION("""COMPUTED_VALUE"""),1.0)</f>
        <v>1</v>
      </c>
      <c r="O5598" s="4" t="str">
        <f>IFERROR(__xludf.DUMMYFUNCTION("""COMPUTED_VALUE"""),"N/A (Not found)")</f>
        <v>N/A (Not found)</v>
      </c>
      <c r="P5598" s="33">
        <f>IFERROR(__xludf.DUMMYFUNCTION("""COMPUTED_VALUE"""),1.0)</f>
        <v>1</v>
      </c>
      <c r="Q5598" s="4" t="str">
        <f>IFERROR(__xludf.DUMMYFUNCTION("""COMPUTED_VALUE"""),"N/A (Not found)")</f>
        <v>N/A (Not found)</v>
      </c>
      <c r="R5598" s="33">
        <f>IFERROR(__xludf.DUMMYFUNCTION("""COMPUTED_VALUE"""),1.0)</f>
        <v>1</v>
      </c>
      <c r="S5598" s="4" t="str">
        <f>IFERROR(__xludf.DUMMYFUNCTION("""COMPUTED_VALUE"""),"N/A (Not found)")</f>
        <v>N/A (Not found)</v>
      </c>
      <c r="T5598" s="33">
        <f>IFERROR(__xludf.DUMMYFUNCTION("""COMPUTED_VALUE"""),0.5)</f>
        <v>0.5</v>
      </c>
      <c r="U5598" s="4" t="str">
        <f>IFERROR(__xludf.DUMMYFUNCTION("""COMPUTED_VALUE"""),"N/A (Not found)")</f>
        <v>N/A (Not found)</v>
      </c>
      <c r="V5598" s="33">
        <f>IFERROR(__xludf.DUMMYFUNCTION("""COMPUTED_VALUE"""),0.5)</f>
        <v>0.5</v>
      </c>
      <c r="W5598" s="4" t="str">
        <f>IFERROR(__xludf.DUMMYFUNCTION("""COMPUTED_VALUE"""),"N/A (Not found)")</f>
        <v>N/A (Not found)</v>
      </c>
      <c r="X5598" s="33">
        <f>IFERROR(__xludf.DUMMYFUNCTION("""COMPUTED_VALUE"""),0.5)</f>
        <v>0.5</v>
      </c>
    </row>
    <row r="5599">
      <c r="K5599" s="4" t="str">
        <f>IFERROR(__xludf.DUMMYFUNCTION("""COMPUTED_VALUE"""),"REAL BURGUER CARIRI")</f>
        <v>REAL BURGUER CARIRI</v>
      </c>
      <c r="L5599" s="32">
        <f>IFERROR(__xludf.DUMMYFUNCTION("""COMPUTED_VALUE"""),2.0)</f>
        <v>2</v>
      </c>
      <c r="M5599" s="4" t="str">
        <f>IFERROR(__xludf.DUMMYFUNCTION("""COMPUTED_VALUE"""),"Brendi")</f>
        <v>Brendi</v>
      </c>
      <c r="N5599" s="33">
        <f>IFERROR(__xludf.DUMMYFUNCTION("""COMPUTED_VALUE"""),0.5)</f>
        <v>0.5</v>
      </c>
      <c r="O5599" s="4" t="str">
        <f>IFERROR(__xludf.DUMMYFUNCTION("""COMPUTED_VALUE"""),"null")</f>
        <v>null</v>
      </c>
      <c r="P5599" s="33">
        <f>IFERROR(__xludf.DUMMYFUNCTION("""COMPUTED_VALUE"""),1.0)</f>
        <v>1</v>
      </c>
      <c r="Q5599" s="4" t="str">
        <f>IFERROR(__xludf.DUMMYFUNCTION("""COMPUTED_VALUE"""),"Brendi")</f>
        <v>Brendi</v>
      </c>
      <c r="R5599" s="33">
        <f>IFERROR(__xludf.DUMMYFUNCTION("""COMPUTED_VALUE"""),0.5)</f>
        <v>0.5</v>
      </c>
      <c r="S5599" s="4" t="str">
        <f>IFERROR(__xludf.DUMMYFUNCTION("""COMPUTED_VALUE"""),"null")</f>
        <v>null</v>
      </c>
      <c r="T5599" s="33">
        <f>IFERROR(__xludf.DUMMYFUNCTION("""COMPUTED_VALUE"""),1.0)</f>
        <v>1</v>
      </c>
      <c r="U5599" s="4" t="str">
        <f>IFERROR(__xludf.DUMMYFUNCTION("""COMPUTED_VALUE"""),"null")</f>
        <v>null</v>
      </c>
      <c r="V5599" s="33">
        <f>IFERROR(__xludf.DUMMYFUNCTION("""COMPUTED_VALUE"""),0.5)</f>
        <v>0.5</v>
      </c>
      <c r="W5599" s="4" t="str">
        <f>IFERROR(__xludf.DUMMYFUNCTION("""COMPUTED_VALUE"""),"null")</f>
        <v>null</v>
      </c>
      <c r="X5599" s="33">
        <f>IFERROR(__xludf.DUMMYFUNCTION("""COMPUTED_VALUE"""),0.5)</f>
        <v>0.5</v>
      </c>
    </row>
    <row r="5600">
      <c r="K5600" s="4" t="str">
        <f>IFERROR(__xludf.DUMMYFUNCTION("""COMPUTED_VALUE"""),"BURGER GREGO JOSE WALTER")</f>
        <v>BURGER GREGO JOSE WALTER</v>
      </c>
      <c r="L5600" s="32">
        <f>IFERROR(__xludf.DUMMYFUNCTION("""COMPUTED_VALUE"""),2.0)</f>
        <v>2</v>
      </c>
      <c r="M5600" s="4" t="str">
        <f>IFERROR(__xludf.DUMMYFUNCTION("""COMPUTED_VALUE"""),"null")</f>
        <v>null</v>
      </c>
      <c r="N5600" s="33">
        <f>IFERROR(__xludf.DUMMYFUNCTION("""COMPUTED_VALUE"""),0.5)</f>
        <v>0.5</v>
      </c>
      <c r="O5600" s="4" t="str">
        <f>IFERROR(__xludf.DUMMYFUNCTION("""COMPUTED_VALUE"""),"null")</f>
        <v>null</v>
      </c>
      <c r="P5600" s="33">
        <f>IFERROR(__xludf.DUMMYFUNCTION("""COMPUTED_VALUE"""),0.5)</f>
        <v>0.5</v>
      </c>
      <c r="Q5600" s="4" t="str">
        <f>IFERROR(__xludf.DUMMYFUNCTION("""COMPUTED_VALUE"""),"null")</f>
        <v>null</v>
      </c>
      <c r="R5600" s="33">
        <f>IFERROR(__xludf.DUMMYFUNCTION("""COMPUTED_VALUE"""),0.5)</f>
        <v>0.5</v>
      </c>
      <c r="S5600" s="4" t="str">
        <f>IFERROR(__xludf.DUMMYFUNCTION("""COMPUTED_VALUE"""),"null")</f>
        <v>null</v>
      </c>
      <c r="T5600" s="33">
        <f>IFERROR(__xludf.DUMMYFUNCTION("""COMPUTED_VALUE"""),1.0)</f>
        <v>1</v>
      </c>
      <c r="U5600" s="4" t="str">
        <f>IFERROR(__xludf.DUMMYFUNCTION("""COMPUTED_VALUE"""),"null")</f>
        <v>null</v>
      </c>
      <c r="V5600" s="33">
        <f>IFERROR(__xludf.DUMMYFUNCTION("""COMPUTED_VALUE"""),0.5)</f>
        <v>0.5</v>
      </c>
      <c r="W5600" s="4" t="str">
        <f>IFERROR(__xludf.DUMMYFUNCTION("""COMPUTED_VALUE"""),"Cardápio Web")</f>
        <v>Cardápio Web</v>
      </c>
      <c r="X5600" s="33">
        <f>IFERROR(__xludf.DUMMYFUNCTION("""COMPUTED_VALUE"""),1.0)</f>
        <v>1</v>
      </c>
    </row>
    <row r="5601">
      <c r="K5601" s="4" t="str">
        <f>IFERROR(__xludf.DUMMYFUNCTION("""COMPUTED_VALUE"""),"XIS DO ALEMAO")</f>
        <v>XIS DO ALEMAO</v>
      </c>
      <c r="L5601" s="32">
        <f>IFERROR(__xludf.DUMMYFUNCTION("""COMPUTED_VALUE"""),2.0)</f>
        <v>2</v>
      </c>
      <c r="M5601" s="4" t="str">
        <f>IFERROR(__xludf.DUMMYFUNCTION("""COMPUTED_VALUE"""),"Saipos Serviços De Software")</f>
        <v>Saipos Serviços De Software</v>
      </c>
      <c r="N5601" s="33">
        <f>IFERROR(__xludf.DUMMYFUNCTION("""COMPUTED_VALUE"""),0.5)</f>
        <v>0.5</v>
      </c>
      <c r="O5601" s="4" t="str">
        <f>IFERROR(__xludf.DUMMYFUNCTION("""COMPUTED_VALUE"""),"Saipos Serviços De Software")</f>
        <v>Saipos Serviços De Software</v>
      </c>
      <c r="P5601" s="33">
        <f>IFERROR(__xludf.DUMMYFUNCTION("""COMPUTED_VALUE"""),0.5)</f>
        <v>0.5</v>
      </c>
      <c r="Q5601" s="4" t="str">
        <f>IFERROR(__xludf.DUMMYFUNCTION("""COMPUTED_VALUE"""),"Saipos Serviços De Software")</f>
        <v>Saipos Serviços De Software</v>
      </c>
      <c r="R5601" s="33">
        <f>IFERROR(__xludf.DUMMYFUNCTION("""COMPUTED_VALUE"""),0.5)</f>
        <v>0.5</v>
      </c>
      <c r="S5601" s="4" t="str">
        <f>IFERROR(__xludf.DUMMYFUNCTION("""COMPUTED_VALUE"""),"Saipos Serviços De Software")</f>
        <v>Saipos Serviços De Software</v>
      </c>
      <c r="T5601" s="33">
        <f>IFERROR(__xludf.DUMMYFUNCTION("""COMPUTED_VALUE"""),0.5)</f>
        <v>0.5</v>
      </c>
      <c r="U5601" s="4" t="str">
        <f>IFERROR(__xludf.DUMMYFUNCTION("""COMPUTED_VALUE"""),"Saipos Serviços De Software")</f>
        <v>Saipos Serviços De Software</v>
      </c>
      <c r="V5601" s="33">
        <f>IFERROR(__xludf.DUMMYFUNCTION("""COMPUTED_VALUE"""),0.5)</f>
        <v>0.5</v>
      </c>
      <c r="W5601" s="4" t="str">
        <f>IFERROR(__xludf.DUMMYFUNCTION("""COMPUTED_VALUE"""),"Saipos Serviços De Software")</f>
        <v>Saipos Serviços De Software</v>
      </c>
      <c r="X5601" s="33">
        <f>IFERROR(__xludf.DUMMYFUNCTION("""COMPUTED_VALUE"""),0.5)</f>
        <v>0.5</v>
      </c>
    </row>
    <row r="5602">
      <c r="K5602" s="4" t="str">
        <f>IFERROR(__xludf.DUMMYFUNCTION("""COMPUTED_VALUE"""),"XIS DO VEIO")</f>
        <v>XIS DO VEIO</v>
      </c>
      <c r="L5602" s="32">
        <f>IFERROR(__xludf.DUMMYFUNCTION("""COMPUTED_VALUE"""),2.0)</f>
        <v>2</v>
      </c>
      <c r="M5602" s="4" t="str">
        <f>IFERROR(__xludf.DUMMYFUNCTION("""COMPUTED_VALUE"""),"Brendi")</f>
        <v>Brendi</v>
      </c>
      <c r="N5602" s="33">
        <f>IFERROR(__xludf.DUMMYFUNCTION("""COMPUTED_VALUE"""),0.5)</f>
        <v>0.5</v>
      </c>
      <c r="O5602" s="4" t="str">
        <f>IFERROR(__xludf.DUMMYFUNCTION("""COMPUTED_VALUE"""),"Brendi")</f>
        <v>Brendi</v>
      </c>
      <c r="P5602" s="33">
        <f>IFERROR(__xludf.DUMMYFUNCTION("""COMPUTED_VALUE"""),0.5)</f>
        <v>0.5</v>
      </c>
      <c r="Q5602" s="4" t="str">
        <f>IFERROR(__xludf.DUMMYFUNCTION("""COMPUTED_VALUE"""),"Brendi")</f>
        <v>Brendi</v>
      </c>
      <c r="R5602" s="33">
        <f>IFERROR(__xludf.DUMMYFUNCTION("""COMPUTED_VALUE"""),0.5)</f>
        <v>0.5</v>
      </c>
      <c r="S5602" s="4" t="str">
        <f>IFERROR(__xludf.DUMMYFUNCTION("""COMPUTED_VALUE"""),"null")</f>
        <v>null</v>
      </c>
      <c r="T5602" s="33">
        <f>IFERROR(__xludf.DUMMYFUNCTION("""COMPUTED_VALUE"""),0.5)</f>
        <v>0.5</v>
      </c>
      <c r="U5602" s="4" t="str">
        <f>IFERROR(__xludf.DUMMYFUNCTION("""COMPUTED_VALUE"""),"null")</f>
        <v>null</v>
      </c>
      <c r="V5602" s="33">
        <f>IFERROR(__xludf.DUMMYFUNCTION("""COMPUTED_VALUE"""),0.5)</f>
        <v>0.5</v>
      </c>
      <c r="W5602" s="4" t="str">
        <f>IFERROR(__xludf.DUMMYFUNCTION("""COMPUTED_VALUE"""),"null")</f>
        <v>null</v>
      </c>
      <c r="X5602" s="33">
        <f>IFERROR(__xludf.DUMMYFUNCTION("""COMPUTED_VALUE"""),0.5)</f>
        <v>0.5</v>
      </c>
    </row>
    <row r="5603">
      <c r="K5603" s="4" t="str">
        <f>IFERROR(__xludf.DUMMYFUNCTION("""COMPUTED_VALUE"""),"PARMEGIAMO")</f>
        <v>PARMEGIAMO</v>
      </c>
      <c r="L5603" s="32">
        <f>IFERROR(__xludf.DUMMYFUNCTION("""COMPUTED_VALUE"""),2.0)</f>
        <v>2</v>
      </c>
      <c r="M5603" s="4" t="str">
        <f>IFERROR(__xludf.DUMMYFUNCTION("""COMPUTED_VALUE"""),"null")</f>
        <v>null</v>
      </c>
      <c r="N5603" s="33">
        <f>IFERROR(__xludf.DUMMYFUNCTION("""COMPUTED_VALUE"""),0.5)</f>
        <v>0.5</v>
      </c>
      <c r="O5603" s="4" t="str">
        <f>IFERROR(__xludf.DUMMYFUNCTION("""COMPUTED_VALUE"""),"null")</f>
        <v>null</v>
      </c>
      <c r="P5603" s="33">
        <f>IFERROR(__xludf.DUMMYFUNCTION("""COMPUTED_VALUE"""),0.5)</f>
        <v>0.5</v>
      </c>
      <c r="Q5603" s="4" t="str">
        <f>IFERROR(__xludf.DUMMYFUNCTION("""COMPUTED_VALUE"""),"null")</f>
        <v>null</v>
      </c>
      <c r="R5603" s="33">
        <f>IFERROR(__xludf.DUMMYFUNCTION("""COMPUTED_VALUE"""),0.5)</f>
        <v>0.5</v>
      </c>
      <c r="S5603" s="4" t="str">
        <f>IFERROR(__xludf.DUMMYFUNCTION("""COMPUTED_VALUE"""),"null")</f>
        <v>null</v>
      </c>
      <c r="T5603" s="33">
        <f>IFERROR(__xludf.DUMMYFUNCTION("""COMPUTED_VALUE"""),0.5)</f>
        <v>0.5</v>
      </c>
      <c r="U5603" s="4" t="str">
        <f>IFERROR(__xludf.DUMMYFUNCTION("""COMPUTED_VALUE"""),"Anota Ai Solucoes Digitais S/a")</f>
        <v>Anota Ai Solucoes Digitais S/a</v>
      </c>
      <c r="V5603" s="33">
        <f>IFERROR(__xludf.DUMMYFUNCTION("""COMPUTED_VALUE"""),0.5)</f>
        <v>0.5</v>
      </c>
      <c r="W5603" s="4" t="str">
        <f>IFERROR(__xludf.DUMMYFUNCTION("""COMPUTED_VALUE"""),"Anota Ai Solucoes Digitais S/a")</f>
        <v>Anota Ai Solucoes Digitais S/a</v>
      </c>
      <c r="X5603" s="33">
        <f>IFERROR(__xludf.DUMMYFUNCTION("""COMPUTED_VALUE"""),0.5)</f>
        <v>0.5</v>
      </c>
    </row>
    <row r="5604">
      <c r="K5604" s="4" t="str">
        <f>IFERROR(__xludf.DUMMYFUNCTION("""COMPUTED_VALUE"""),"ARTESANIA CHORIPANES")</f>
        <v>ARTESANIA CHORIPANES</v>
      </c>
      <c r="L5604" s="32">
        <f>IFERROR(__xludf.DUMMYFUNCTION("""COMPUTED_VALUE"""),2.0)</f>
        <v>2</v>
      </c>
      <c r="M5604" s="4" t="str">
        <f>IFERROR(__xludf.DUMMYFUNCTION("""COMPUTED_VALUE"""),"Opdv")</f>
        <v>Opdv</v>
      </c>
      <c r="N5604" s="33">
        <f>IFERROR(__xludf.DUMMYFUNCTION("""COMPUTED_VALUE"""),1.0)</f>
        <v>1</v>
      </c>
      <c r="O5604" s="4" t="str">
        <f>IFERROR(__xludf.DUMMYFUNCTION("""COMPUTED_VALUE"""),"Opdv")</f>
        <v>Opdv</v>
      </c>
      <c r="P5604" s="33">
        <f>IFERROR(__xludf.DUMMYFUNCTION("""COMPUTED_VALUE"""),1.0)</f>
        <v>1</v>
      </c>
      <c r="Q5604" s="4" t="str">
        <f>IFERROR(__xludf.DUMMYFUNCTION("""COMPUTED_VALUE"""),"Opdv")</f>
        <v>Opdv</v>
      </c>
      <c r="R5604" s="33">
        <f>IFERROR(__xludf.DUMMYFUNCTION("""COMPUTED_VALUE"""),1.0)</f>
        <v>1</v>
      </c>
      <c r="S5604" s="4" t="str">
        <f>IFERROR(__xludf.DUMMYFUNCTION("""COMPUTED_VALUE"""),"Opdv")</f>
        <v>Opdv</v>
      </c>
      <c r="T5604" s="33">
        <f>IFERROR(__xludf.DUMMYFUNCTION("""COMPUTED_VALUE"""),1.0)</f>
        <v>1</v>
      </c>
      <c r="U5604" s="4" t="str">
        <f>IFERROR(__xludf.DUMMYFUNCTION("""COMPUTED_VALUE"""),"Opdv")</f>
        <v>Opdv</v>
      </c>
      <c r="V5604" s="33">
        <f>IFERROR(__xludf.DUMMYFUNCTION("""COMPUTED_VALUE"""),1.0)</f>
        <v>1</v>
      </c>
      <c r="W5604" s="4" t="str">
        <f>IFERROR(__xludf.DUMMYFUNCTION("""COMPUTED_VALUE"""),"Opdv")</f>
        <v>Opdv</v>
      </c>
      <c r="X5604" s="33">
        <f>IFERROR(__xludf.DUMMYFUNCTION("""COMPUTED_VALUE"""),0.5)</f>
        <v>0.5</v>
      </c>
    </row>
    <row r="5605">
      <c r="K5605" s="4" t="str">
        <f>IFERROR(__xludf.DUMMYFUNCTION("""COMPUTED_VALUE"""),"MRCHEFF PIZZA BURGER")</f>
        <v>MRCHEFF PIZZA BURGER</v>
      </c>
      <c r="L5605" s="32">
        <f>IFERROR(__xludf.DUMMYFUNCTION("""COMPUTED_VALUE"""),2.0)</f>
        <v>2</v>
      </c>
      <c r="M5605" s="4" t="str">
        <f>IFERROR(__xludf.DUMMYFUNCTION("""COMPUTED_VALUE"""),"Cardápio Web")</f>
        <v>Cardápio Web</v>
      </c>
      <c r="N5605" s="33">
        <f>IFERROR(__xludf.DUMMYFUNCTION("""COMPUTED_VALUE"""),1.0)</f>
        <v>1</v>
      </c>
      <c r="O5605" s="4" t="str">
        <f>IFERROR(__xludf.DUMMYFUNCTION("""COMPUTED_VALUE"""),"Cardápio Web")</f>
        <v>Cardápio Web</v>
      </c>
      <c r="P5605" s="33">
        <f>IFERROR(__xludf.DUMMYFUNCTION("""COMPUTED_VALUE"""),1.0)</f>
        <v>1</v>
      </c>
      <c r="Q5605" s="4" t="str">
        <f>IFERROR(__xludf.DUMMYFUNCTION("""COMPUTED_VALUE"""),"Cardápio Web")</f>
        <v>Cardápio Web</v>
      </c>
      <c r="R5605" s="33">
        <f>IFERROR(__xludf.DUMMYFUNCTION("""COMPUTED_VALUE"""),1.0)</f>
        <v>1</v>
      </c>
      <c r="S5605" s="4" t="str">
        <f>IFERROR(__xludf.DUMMYFUNCTION("""COMPUTED_VALUE"""),"Cardápio Web")</f>
        <v>Cardápio Web</v>
      </c>
      <c r="T5605" s="33">
        <f>IFERROR(__xludf.DUMMYFUNCTION("""COMPUTED_VALUE"""),1.0)</f>
        <v>1</v>
      </c>
      <c r="U5605" s="4" t="str">
        <f>IFERROR(__xludf.DUMMYFUNCTION("""COMPUTED_VALUE"""),"Cardápio Web")</f>
        <v>Cardápio Web</v>
      </c>
      <c r="V5605" s="33">
        <f>IFERROR(__xludf.DUMMYFUNCTION("""COMPUTED_VALUE"""),1.0)</f>
        <v>1</v>
      </c>
      <c r="W5605" s="4" t="str">
        <f>IFERROR(__xludf.DUMMYFUNCTION("""COMPUTED_VALUE"""),"Cardápio Web")</f>
        <v>Cardápio Web</v>
      </c>
      <c r="X5605" s="33">
        <f>IFERROR(__xludf.DUMMYFUNCTION("""COMPUTED_VALUE"""),1.0)</f>
        <v>1</v>
      </c>
    </row>
    <row r="5606">
      <c r="K5606" s="4" t="str">
        <f>IFERROR(__xludf.DUMMYFUNCTION("""COMPUTED_VALUE"""),"POKITO POKE - PARALELA")</f>
        <v>POKITO POKE - PARALELA</v>
      </c>
      <c r="L5606" s="32">
        <f>IFERROR(__xludf.DUMMYFUNCTION("""COMPUTED_VALUE"""),2.0)</f>
        <v>2</v>
      </c>
      <c r="M5606" s="4" t="str">
        <f>IFERROR(__xludf.DUMMYFUNCTION("""COMPUTED_VALUE"""),"null")</f>
        <v>null</v>
      </c>
      <c r="N5606" s="33">
        <f>IFERROR(__xludf.DUMMYFUNCTION("""COMPUTED_VALUE"""),0.5)</f>
        <v>0.5</v>
      </c>
      <c r="O5606" s="4" t="str">
        <f>IFERROR(__xludf.DUMMYFUNCTION("""COMPUTED_VALUE"""),"null")</f>
        <v>null</v>
      </c>
      <c r="P5606" s="33">
        <f>IFERROR(__xludf.DUMMYFUNCTION("""COMPUTED_VALUE"""),0.5)</f>
        <v>0.5</v>
      </c>
      <c r="Q5606" s="4" t="str">
        <f>IFERROR(__xludf.DUMMYFUNCTION("""COMPUTED_VALUE"""),"null")</f>
        <v>null</v>
      </c>
      <c r="R5606" s="33">
        <f>IFERROR(__xludf.DUMMYFUNCTION("""COMPUTED_VALUE"""),0.5)</f>
        <v>0.5</v>
      </c>
      <c r="S5606" s="4" t="str">
        <f>IFERROR(__xludf.DUMMYFUNCTION("""COMPUTED_VALUE"""),"null")</f>
        <v>null</v>
      </c>
      <c r="T5606" s="33">
        <f>IFERROR(__xludf.DUMMYFUNCTION("""COMPUTED_VALUE"""),0.5)</f>
        <v>0.5</v>
      </c>
      <c r="U5606" s="4" t="str">
        <f>IFERROR(__xludf.DUMMYFUNCTION("""COMPUTED_VALUE"""),"Cardápio Web")</f>
        <v>Cardápio Web</v>
      </c>
      <c r="V5606" s="33">
        <f>IFERROR(__xludf.DUMMYFUNCTION("""COMPUTED_VALUE"""),1.0)</f>
        <v>1</v>
      </c>
      <c r="W5606" s="4" t="str">
        <f>IFERROR(__xludf.DUMMYFUNCTION("""COMPUTED_VALUE"""),"null")</f>
        <v>null</v>
      </c>
      <c r="X5606" s="33">
        <f>IFERROR(__xludf.DUMMYFUNCTION("""COMPUTED_VALUE"""),1.0)</f>
        <v>1</v>
      </c>
    </row>
    <row r="5607">
      <c r="K5607" s="4" t="str">
        <f>IFERROR(__xludf.DUMMYFUNCTION("""COMPUTED_VALUE"""),"CASA NACRE RESTAURANTE E PADARIA")</f>
        <v>CASA NACRE RESTAURANTE E PADARIA</v>
      </c>
      <c r="L5607" s="32">
        <f>IFERROR(__xludf.DUMMYFUNCTION("""COMPUTED_VALUE"""),2.0)</f>
        <v>2</v>
      </c>
      <c r="M5607" s="4" t="str">
        <f>IFERROR(__xludf.DUMMYFUNCTION("""COMPUTED_VALUE"""),"Teknisa Service Ltda")</f>
        <v>Teknisa Service Ltda</v>
      </c>
      <c r="N5607" s="33">
        <f>IFERROR(__xludf.DUMMYFUNCTION("""COMPUTED_VALUE"""),1.0)</f>
        <v>1</v>
      </c>
      <c r="O5607" s="4" t="str">
        <f>IFERROR(__xludf.DUMMYFUNCTION("""COMPUTED_VALUE"""),"null")</f>
        <v>null</v>
      </c>
      <c r="P5607" s="33">
        <f>IFERROR(__xludf.DUMMYFUNCTION("""COMPUTED_VALUE"""),1.0)</f>
        <v>1</v>
      </c>
      <c r="Q5607" s="4" t="str">
        <f>IFERROR(__xludf.DUMMYFUNCTION("""COMPUTED_VALUE"""),"null")</f>
        <v>null</v>
      </c>
      <c r="R5607" s="33">
        <f>IFERROR(__xludf.DUMMYFUNCTION("""COMPUTED_VALUE"""),1.0)</f>
        <v>1</v>
      </c>
      <c r="S5607" s="4" t="str">
        <f>IFERROR(__xludf.DUMMYFUNCTION("""COMPUTED_VALUE"""),"Teknisa Service Ltda")</f>
        <v>Teknisa Service Ltda</v>
      </c>
      <c r="T5607" s="33">
        <f>IFERROR(__xludf.DUMMYFUNCTION("""COMPUTED_VALUE"""),0.6666666666666666)</f>
        <v>0.6666666667</v>
      </c>
      <c r="U5607" s="4" t="str">
        <f>IFERROR(__xludf.DUMMYFUNCTION("""COMPUTED_VALUE"""),"Teknisa Service Ltda")</f>
        <v>Teknisa Service Ltda</v>
      </c>
      <c r="V5607" s="33">
        <f>IFERROR(__xludf.DUMMYFUNCTION("""COMPUTED_VALUE"""),0.6666666666666666)</f>
        <v>0.6666666667</v>
      </c>
      <c r="W5607" s="4" t="str">
        <f>IFERROR(__xludf.DUMMYFUNCTION("""COMPUTED_VALUE"""),"null")</f>
        <v>null</v>
      </c>
      <c r="X5607" s="33">
        <f>IFERROR(__xludf.DUMMYFUNCTION("""COMPUTED_VALUE"""),1.0)</f>
        <v>1</v>
      </c>
    </row>
    <row r="5608">
      <c r="K5608" s="4" t="str">
        <f>IFERROR(__xludf.DUMMYFUNCTION("""COMPUTED_VALUE"""),"ACAI CLUB")</f>
        <v>ACAI CLUB</v>
      </c>
      <c r="L5608" s="32">
        <f>IFERROR(__xludf.DUMMYFUNCTION("""COMPUTED_VALUE"""),2.0)</f>
        <v>2</v>
      </c>
      <c r="M5608" s="4" t="str">
        <f>IFERROR(__xludf.DUMMYFUNCTION("""COMPUTED_VALUE"""),"null")</f>
        <v>null</v>
      </c>
      <c r="N5608" s="33">
        <f>IFERROR(__xludf.DUMMYFUNCTION("""COMPUTED_VALUE"""),1.0)</f>
        <v>1</v>
      </c>
      <c r="O5608" s="4" t="str">
        <f>IFERROR(__xludf.DUMMYFUNCTION("""COMPUTED_VALUE"""),"null")</f>
        <v>null</v>
      </c>
      <c r="P5608" s="33">
        <f>IFERROR(__xludf.DUMMYFUNCTION("""COMPUTED_VALUE"""),1.0)</f>
        <v>1</v>
      </c>
      <c r="Q5608" s="4" t="str">
        <f>IFERROR(__xludf.DUMMYFUNCTION("""COMPUTED_VALUE"""),"null")</f>
        <v>null</v>
      </c>
      <c r="R5608" s="33">
        <f>IFERROR(__xludf.DUMMYFUNCTION("""COMPUTED_VALUE"""),1.0)</f>
        <v>1</v>
      </c>
      <c r="S5608" s="4" t="str">
        <f>IFERROR(__xludf.DUMMYFUNCTION("""COMPUTED_VALUE"""),"null")</f>
        <v>null</v>
      </c>
      <c r="T5608" s="33">
        <f>IFERROR(__xludf.DUMMYFUNCTION("""COMPUTED_VALUE"""),0.5)</f>
        <v>0.5</v>
      </c>
      <c r="U5608" s="4" t="str">
        <f>IFERROR(__xludf.DUMMYFUNCTION("""COMPUTED_VALUE"""),"null")</f>
        <v>null</v>
      </c>
      <c r="V5608" s="33">
        <f>IFERROR(__xludf.DUMMYFUNCTION("""COMPUTED_VALUE"""),1.0)</f>
        <v>1</v>
      </c>
      <c r="W5608" s="4" t="str">
        <f>IFERROR(__xludf.DUMMYFUNCTION("""COMPUTED_VALUE"""),"Yooga")</f>
        <v>Yooga</v>
      </c>
      <c r="X5608" s="33">
        <f>IFERROR(__xludf.DUMMYFUNCTION("""COMPUTED_VALUE"""),0.5)</f>
        <v>0.5</v>
      </c>
    </row>
    <row r="5609">
      <c r="K5609" s="4" t="str">
        <f>IFERROR(__xludf.DUMMYFUNCTION("""COMPUTED_VALUE"""),"AMIGO PET")</f>
        <v>AMIGO PET</v>
      </c>
      <c r="L5609" s="32">
        <f>IFERROR(__xludf.DUMMYFUNCTION("""COMPUTED_VALUE"""),2.0)</f>
        <v>2</v>
      </c>
      <c r="M5609" s="4" t="str">
        <f>IFERROR(__xludf.DUMMYFUNCTION("""COMPUTED_VALUE"""),"null")</f>
        <v>null</v>
      </c>
      <c r="N5609" s="33">
        <f>IFERROR(__xludf.DUMMYFUNCTION("""COMPUTED_VALUE"""),0.5)</f>
        <v>0.5</v>
      </c>
      <c r="O5609" s="4" t="str">
        <f>IFERROR(__xludf.DUMMYFUNCTION("""COMPUTED_VALUE"""),"null")</f>
        <v>null</v>
      </c>
      <c r="P5609" s="33">
        <f>IFERROR(__xludf.DUMMYFUNCTION("""COMPUTED_VALUE"""),0.5)</f>
        <v>0.5</v>
      </c>
      <c r="Q5609" s="4" t="str">
        <f>IFERROR(__xludf.DUMMYFUNCTION("""COMPUTED_VALUE"""),"null")</f>
        <v>null</v>
      </c>
      <c r="R5609" s="33">
        <f>IFERROR(__xludf.DUMMYFUNCTION("""COMPUTED_VALUE"""),0.5)</f>
        <v>0.5</v>
      </c>
      <c r="S5609" s="4" t="str">
        <f>IFERROR(__xludf.DUMMYFUNCTION("""COMPUTED_VALUE"""),"N/A (Not found)")</f>
        <v>N/A (Not found)</v>
      </c>
      <c r="T5609" s="33">
        <f>IFERROR(__xludf.DUMMYFUNCTION("""COMPUTED_VALUE"""),1.0)</f>
        <v>1</v>
      </c>
      <c r="U5609" s="4" t="str">
        <f>IFERROR(__xludf.DUMMYFUNCTION("""COMPUTED_VALUE"""),"N/A (Not found)")</f>
        <v>N/A (Not found)</v>
      </c>
      <c r="V5609" s="33">
        <f>IFERROR(__xludf.DUMMYFUNCTION("""COMPUTED_VALUE"""),1.0)</f>
        <v>1</v>
      </c>
      <c r="W5609" s="4" t="str">
        <f>IFERROR(__xludf.DUMMYFUNCTION("""COMPUTED_VALUE"""),"N/A (Not found)")</f>
        <v>N/A (Not found)</v>
      </c>
      <c r="X5609" s="33">
        <f>IFERROR(__xludf.DUMMYFUNCTION("""COMPUTED_VALUE"""),1.0)</f>
        <v>1</v>
      </c>
    </row>
    <row r="5610">
      <c r="K5610" s="4" t="str">
        <f>IFERROR(__xludf.DUMMYFUNCTION("""COMPUTED_VALUE"""),"GARAGEM HAMBURGUERIA ARTESANAL")</f>
        <v>GARAGEM HAMBURGUERIA ARTESANAL</v>
      </c>
      <c r="L5610" s="32">
        <f>IFERROR(__xludf.DUMMYFUNCTION("""COMPUTED_VALUE"""),2.0)</f>
        <v>2</v>
      </c>
      <c r="M5610" s="4" t="str">
        <f>IFERROR(__xludf.DUMMYFUNCTION("""COMPUTED_VALUE"""),"null")</f>
        <v>null</v>
      </c>
      <c r="N5610" s="33">
        <f>IFERROR(__xludf.DUMMYFUNCTION("""COMPUTED_VALUE"""),0.5)</f>
        <v>0.5</v>
      </c>
      <c r="O5610" s="4" t="str">
        <f>IFERROR(__xludf.DUMMYFUNCTION("""COMPUTED_VALUE"""),"null")</f>
        <v>null</v>
      </c>
      <c r="P5610" s="33">
        <f>IFERROR(__xludf.DUMMYFUNCTION("""COMPUTED_VALUE"""),0.5)</f>
        <v>0.5</v>
      </c>
      <c r="Q5610" s="4" t="str">
        <f>IFERROR(__xludf.DUMMYFUNCTION("""COMPUTED_VALUE"""),"null")</f>
        <v>null</v>
      </c>
      <c r="R5610" s="33">
        <f>IFERROR(__xludf.DUMMYFUNCTION("""COMPUTED_VALUE"""),0.5)</f>
        <v>0.5</v>
      </c>
      <c r="S5610" s="4" t="str">
        <f>IFERROR(__xludf.DUMMYFUNCTION("""COMPUTED_VALUE"""),"Beefood - Sistema Para Restaurantes")</f>
        <v>Beefood - Sistema Para Restaurantes</v>
      </c>
      <c r="T5610" s="33">
        <f>IFERROR(__xludf.DUMMYFUNCTION("""COMPUTED_VALUE"""),0.5)</f>
        <v>0.5</v>
      </c>
      <c r="U5610" s="4" t="str">
        <f>IFERROR(__xludf.DUMMYFUNCTION("""COMPUTED_VALUE"""),"Beefood - Sistema Para Restaurantes")</f>
        <v>Beefood - Sistema Para Restaurantes</v>
      </c>
      <c r="V5610" s="33">
        <f>IFERROR(__xludf.DUMMYFUNCTION("""COMPUTED_VALUE"""),0.5)</f>
        <v>0.5</v>
      </c>
      <c r="W5610" s="4" t="str">
        <f>IFERROR(__xludf.DUMMYFUNCTION("""COMPUTED_VALUE"""),"Beefood - Sistema Para Restaurantes")</f>
        <v>Beefood - Sistema Para Restaurantes</v>
      </c>
      <c r="X5610" s="33">
        <f>IFERROR(__xludf.DUMMYFUNCTION("""COMPUTED_VALUE"""),0.5)</f>
        <v>0.5</v>
      </c>
    </row>
    <row r="5611">
      <c r="K5611" s="4" t="str">
        <f>IFERROR(__xludf.DUMMYFUNCTION("""COMPUTED_VALUE"""),"A SABOROSA PIZZARIA")</f>
        <v>A SABOROSA PIZZARIA</v>
      </c>
      <c r="L5611" s="32">
        <f>IFERROR(__xludf.DUMMYFUNCTION("""COMPUTED_VALUE"""),2.0)</f>
        <v>2</v>
      </c>
      <c r="M5611" s="4" t="str">
        <f>IFERROR(__xludf.DUMMYFUNCTION("""COMPUTED_VALUE"""),"null")</f>
        <v>null</v>
      </c>
      <c r="N5611" s="33">
        <f>IFERROR(__xludf.DUMMYFUNCTION("""COMPUTED_VALUE"""),0.5)</f>
        <v>0.5</v>
      </c>
      <c r="O5611" s="4" t="str">
        <f>IFERROR(__xludf.DUMMYFUNCTION("""COMPUTED_VALUE"""),"Cardápio Web")</f>
        <v>Cardápio Web</v>
      </c>
      <c r="P5611" s="33">
        <f>IFERROR(__xludf.DUMMYFUNCTION("""COMPUTED_VALUE"""),0.5)</f>
        <v>0.5</v>
      </c>
      <c r="Q5611" s="4" t="str">
        <f>IFERROR(__xludf.DUMMYFUNCTION("""COMPUTED_VALUE"""),"Cardápio Web")</f>
        <v>Cardápio Web</v>
      </c>
      <c r="R5611" s="33">
        <f>IFERROR(__xludf.DUMMYFUNCTION("""COMPUTED_VALUE"""),0.5)</f>
        <v>0.5</v>
      </c>
      <c r="S5611" s="4" t="str">
        <f>IFERROR(__xludf.DUMMYFUNCTION("""COMPUTED_VALUE"""),"Cardápio Web")</f>
        <v>Cardápio Web</v>
      </c>
      <c r="T5611" s="33">
        <f>IFERROR(__xludf.DUMMYFUNCTION("""COMPUTED_VALUE"""),0.5)</f>
        <v>0.5</v>
      </c>
      <c r="U5611" s="4" t="str">
        <f>IFERROR(__xludf.DUMMYFUNCTION("""COMPUTED_VALUE"""),"Cardápio Web")</f>
        <v>Cardápio Web</v>
      </c>
      <c r="V5611" s="33">
        <f>IFERROR(__xludf.DUMMYFUNCTION("""COMPUTED_VALUE"""),0.5)</f>
        <v>0.5</v>
      </c>
      <c r="W5611" s="4" t="str">
        <f>IFERROR(__xludf.DUMMYFUNCTION("""COMPUTED_VALUE"""),"Cardápio Web")</f>
        <v>Cardápio Web</v>
      </c>
      <c r="X5611" s="33">
        <f>IFERROR(__xludf.DUMMYFUNCTION("""COMPUTED_VALUE"""),0.5)</f>
        <v>0.5</v>
      </c>
    </row>
    <row r="5612">
      <c r="K5612" s="4" t="str">
        <f>IFERROR(__xludf.DUMMYFUNCTION("""COMPUTED_VALUE"""),"MISTER SALGADOS")</f>
        <v>MISTER SALGADOS</v>
      </c>
      <c r="L5612" s="32">
        <f>IFERROR(__xludf.DUMMYFUNCTION("""COMPUTED_VALUE"""),2.0)</f>
        <v>2</v>
      </c>
      <c r="M5612" s="4" t="str">
        <f>IFERROR(__xludf.DUMMYFUNCTION("""COMPUTED_VALUE"""),"null")</f>
        <v>null</v>
      </c>
      <c r="N5612" s="33">
        <f>IFERROR(__xludf.DUMMYFUNCTION("""COMPUTED_VALUE"""),0.5)</f>
        <v>0.5</v>
      </c>
      <c r="O5612" s="4" t="str">
        <f>IFERROR(__xludf.DUMMYFUNCTION("""COMPUTED_VALUE"""),"null")</f>
        <v>null</v>
      </c>
      <c r="P5612" s="33">
        <f>IFERROR(__xludf.DUMMYFUNCTION("""COMPUTED_VALUE"""),0.5)</f>
        <v>0.5</v>
      </c>
      <c r="Q5612" s="4" t="str">
        <f>IFERROR(__xludf.DUMMYFUNCTION("""COMPUTED_VALUE"""),"null")</f>
        <v>null</v>
      </c>
      <c r="R5612" s="33">
        <f>IFERROR(__xludf.DUMMYFUNCTION("""COMPUTED_VALUE"""),0.5)</f>
        <v>0.5</v>
      </c>
      <c r="S5612" s="4" t="str">
        <f>IFERROR(__xludf.DUMMYFUNCTION("""COMPUTED_VALUE"""),"null")</f>
        <v>null</v>
      </c>
      <c r="T5612" s="33">
        <f>IFERROR(__xludf.DUMMYFUNCTION("""COMPUTED_VALUE"""),0.5)</f>
        <v>0.5</v>
      </c>
      <c r="U5612" s="4" t="str">
        <f>IFERROR(__xludf.DUMMYFUNCTION("""COMPUTED_VALUE"""),"null")</f>
        <v>null</v>
      </c>
      <c r="V5612" s="33">
        <f>IFERROR(__xludf.DUMMYFUNCTION("""COMPUTED_VALUE"""),0.5)</f>
        <v>0.5</v>
      </c>
      <c r="W5612" s="4" t="str">
        <f>IFERROR(__xludf.DUMMYFUNCTION("""COMPUTED_VALUE"""),"Saipos Serviços De Software")</f>
        <v>Saipos Serviços De Software</v>
      </c>
      <c r="X5612" s="33">
        <f>IFERROR(__xludf.DUMMYFUNCTION("""COMPUTED_VALUE"""),1.0)</f>
        <v>1</v>
      </c>
    </row>
    <row r="5613">
      <c r="K5613" s="4" t="str">
        <f>IFERROR(__xludf.DUMMYFUNCTION("""COMPUTED_VALUE"""),"DEGUSTA ACAI IJUI")</f>
        <v>DEGUSTA ACAI IJUI</v>
      </c>
      <c r="L5613" s="32">
        <f>IFERROR(__xludf.DUMMYFUNCTION("""COMPUTED_VALUE"""),2.0)</f>
        <v>2</v>
      </c>
      <c r="M5613" s="4" t="str">
        <f>IFERROR(__xludf.DUMMYFUNCTION("""COMPUTED_VALUE"""),"null")</f>
        <v>null</v>
      </c>
      <c r="N5613" s="33">
        <f>IFERROR(__xludf.DUMMYFUNCTION("""COMPUTED_VALUE"""),0.5)</f>
        <v>0.5</v>
      </c>
      <c r="O5613" s="4" t="str">
        <f>IFERROR(__xludf.DUMMYFUNCTION("""COMPUTED_VALUE"""),"null")</f>
        <v>null</v>
      </c>
      <c r="P5613" s="33">
        <f>IFERROR(__xludf.DUMMYFUNCTION("""COMPUTED_VALUE"""),0.5)</f>
        <v>0.5</v>
      </c>
      <c r="Q5613" s="4" t="str">
        <f>IFERROR(__xludf.DUMMYFUNCTION("""COMPUTED_VALUE"""),"null")</f>
        <v>null</v>
      </c>
      <c r="R5613" s="33">
        <f>IFERROR(__xludf.DUMMYFUNCTION("""COMPUTED_VALUE"""),0.5)</f>
        <v>0.5</v>
      </c>
      <c r="S5613" s="4" t="str">
        <f>IFERROR(__xludf.DUMMYFUNCTION("""COMPUTED_VALUE"""),"null")</f>
        <v>null</v>
      </c>
      <c r="T5613" s="33">
        <f>IFERROR(__xludf.DUMMYFUNCTION("""COMPUTED_VALUE"""),0.5)</f>
        <v>0.5</v>
      </c>
      <c r="U5613" s="4" t="str">
        <f>IFERROR(__xludf.DUMMYFUNCTION("""COMPUTED_VALUE"""),"null")</f>
        <v>null</v>
      </c>
      <c r="V5613" s="33">
        <f>IFERROR(__xludf.DUMMYFUNCTION("""COMPUTED_VALUE"""),0.5)</f>
        <v>0.5</v>
      </c>
      <c r="W5613" s="4" t="str">
        <f>IFERROR(__xludf.DUMMYFUNCTION("""COMPUTED_VALUE"""),"Totvs Large Enterprise Tecnologia S.a.")</f>
        <v>Totvs Large Enterprise Tecnologia S.a.</v>
      </c>
      <c r="X5613" s="33">
        <f>IFERROR(__xludf.DUMMYFUNCTION("""COMPUTED_VALUE"""),1.0)</f>
        <v>1</v>
      </c>
    </row>
    <row r="5614">
      <c r="K5614" s="4" t="str">
        <f>IFERROR(__xludf.DUMMYFUNCTION("""COMPUTED_VALUE"""),"ACAI MIX SUPREMO")</f>
        <v>ACAI MIX SUPREMO</v>
      </c>
      <c r="L5614" s="32">
        <f>IFERROR(__xludf.DUMMYFUNCTION("""COMPUTED_VALUE"""),2.0)</f>
        <v>2</v>
      </c>
      <c r="M5614" s="4" t="str">
        <f>IFERROR(__xludf.DUMMYFUNCTION("""COMPUTED_VALUE"""),"null")</f>
        <v>null</v>
      </c>
      <c r="N5614" s="33">
        <f>IFERROR(__xludf.DUMMYFUNCTION("""COMPUTED_VALUE"""),0.5)</f>
        <v>0.5</v>
      </c>
      <c r="O5614" s="4" t="str">
        <f>IFERROR(__xludf.DUMMYFUNCTION("""COMPUTED_VALUE"""),"null")</f>
        <v>null</v>
      </c>
      <c r="P5614" s="33">
        <f>IFERROR(__xludf.DUMMYFUNCTION("""COMPUTED_VALUE"""),0.5)</f>
        <v>0.5</v>
      </c>
      <c r="Q5614" s="4" t="str">
        <f>IFERROR(__xludf.DUMMYFUNCTION("""COMPUTED_VALUE"""),"null")</f>
        <v>null</v>
      </c>
      <c r="R5614" s="33">
        <f>IFERROR(__xludf.DUMMYFUNCTION("""COMPUTED_VALUE"""),0.5)</f>
        <v>0.5</v>
      </c>
      <c r="S5614" s="4" t="str">
        <f>IFERROR(__xludf.DUMMYFUNCTION("""COMPUTED_VALUE"""),"null")</f>
        <v>null</v>
      </c>
      <c r="T5614" s="33">
        <f>IFERROR(__xludf.DUMMYFUNCTION("""COMPUTED_VALUE"""),0.5)</f>
        <v>0.5</v>
      </c>
      <c r="U5614" s="4" t="str">
        <f>IFERROR(__xludf.DUMMYFUNCTION("""COMPUTED_VALUE"""),"null")</f>
        <v>null</v>
      </c>
      <c r="V5614" s="33">
        <f>IFERROR(__xludf.DUMMYFUNCTION("""COMPUTED_VALUE"""),0.5)</f>
        <v>0.5</v>
      </c>
      <c r="W5614" s="4" t="str">
        <f>IFERROR(__xludf.DUMMYFUNCTION("""COMPUTED_VALUE"""),"Menu Integrado")</f>
        <v>Menu Integrado</v>
      </c>
      <c r="X5614" s="33">
        <f>IFERROR(__xludf.DUMMYFUNCTION("""COMPUTED_VALUE"""),1.0)</f>
        <v>1</v>
      </c>
    </row>
    <row r="5615">
      <c r="K5615" s="4" t="str">
        <f>IFERROR(__xludf.DUMMYFUNCTION("""COMPUTED_VALUE"""),"PIZZARIA MAPP")</f>
        <v>PIZZARIA MAPP</v>
      </c>
      <c r="L5615" s="32">
        <f>IFERROR(__xludf.DUMMYFUNCTION("""COMPUTED_VALUE"""),2.0)</f>
        <v>2</v>
      </c>
      <c r="M5615" s="4" t="str">
        <f>IFERROR(__xludf.DUMMYFUNCTION("""COMPUTED_VALUE"""),"null")</f>
        <v>null</v>
      </c>
      <c r="N5615" s="33">
        <f>IFERROR(__xludf.DUMMYFUNCTION("""COMPUTED_VALUE"""),0.5)</f>
        <v>0.5</v>
      </c>
      <c r="O5615" s="4" t="str">
        <f>IFERROR(__xludf.DUMMYFUNCTION("""COMPUTED_VALUE"""),"null")</f>
        <v>null</v>
      </c>
      <c r="P5615" s="33">
        <f>IFERROR(__xludf.DUMMYFUNCTION("""COMPUTED_VALUE"""),1.0)</f>
        <v>1</v>
      </c>
      <c r="Q5615" s="4" t="str">
        <f>IFERROR(__xludf.DUMMYFUNCTION("""COMPUTED_VALUE"""),"null")</f>
        <v>null</v>
      </c>
      <c r="R5615" s="33">
        <f>IFERROR(__xludf.DUMMYFUNCTION("""COMPUTED_VALUE"""),0.5)</f>
        <v>0.5</v>
      </c>
      <c r="S5615" s="4" t="str">
        <f>IFERROR(__xludf.DUMMYFUNCTION("""COMPUTED_VALUE"""),"null")</f>
        <v>null</v>
      </c>
      <c r="T5615" s="33">
        <f>IFERROR(__xludf.DUMMYFUNCTION("""COMPUTED_VALUE"""),0.5)</f>
        <v>0.5</v>
      </c>
      <c r="U5615" s="4" t="str">
        <f>IFERROR(__xludf.DUMMYFUNCTION("""COMPUTED_VALUE"""),"Suitable Tecnologia E Gestao")</f>
        <v>Suitable Tecnologia E Gestao</v>
      </c>
      <c r="V5615" s="33">
        <f>IFERROR(__xludf.DUMMYFUNCTION("""COMPUTED_VALUE"""),1.0)</f>
        <v>1</v>
      </c>
      <c r="W5615" s="4" t="str">
        <f>IFERROR(__xludf.DUMMYFUNCTION("""COMPUTED_VALUE"""),"Suitable Tecnologia E Gestao")</f>
        <v>Suitable Tecnologia E Gestao</v>
      </c>
      <c r="X5615" s="33">
        <f>IFERROR(__xludf.DUMMYFUNCTION("""COMPUTED_VALUE"""),0.5)</f>
        <v>0.5</v>
      </c>
    </row>
    <row r="5616">
      <c r="K5616" s="4" t="str">
        <f>IFERROR(__xludf.DUMMYFUNCTION("""COMPUTED_VALUE"""),"BLESS BURGUER - HAMBURGUERIA ARTESANAL")</f>
        <v>BLESS BURGUER - HAMBURGUERIA ARTESANAL</v>
      </c>
      <c r="L5616" s="32">
        <f>IFERROR(__xludf.DUMMYFUNCTION("""COMPUTED_VALUE"""),2.0)</f>
        <v>2</v>
      </c>
      <c r="M5616" s="4" t="str">
        <f>IFERROR(__xludf.DUMMYFUNCTION("""COMPUTED_VALUE"""),"null")</f>
        <v>null</v>
      </c>
      <c r="N5616" s="33">
        <f>IFERROR(__xludf.DUMMYFUNCTION("""COMPUTED_VALUE"""),1.0)</f>
        <v>1</v>
      </c>
      <c r="O5616" s="4" t="str">
        <f>IFERROR(__xludf.DUMMYFUNCTION("""COMPUTED_VALUE"""),"null")</f>
        <v>null</v>
      </c>
      <c r="P5616" s="33">
        <f>IFERROR(__xludf.DUMMYFUNCTION("""COMPUTED_VALUE"""),1.0)</f>
        <v>1</v>
      </c>
      <c r="Q5616" s="4" t="str">
        <f>IFERROR(__xludf.DUMMYFUNCTION("""COMPUTED_VALUE"""),"null")</f>
        <v>null</v>
      </c>
      <c r="R5616" s="33">
        <f>IFERROR(__xludf.DUMMYFUNCTION("""COMPUTED_VALUE"""),1.0)</f>
        <v>1</v>
      </c>
      <c r="S5616" s="4" t="str">
        <f>IFERROR(__xludf.DUMMYFUNCTION("""COMPUTED_VALUE"""),"null")</f>
        <v>null</v>
      </c>
      <c r="T5616" s="33">
        <f>IFERROR(__xludf.DUMMYFUNCTION("""COMPUTED_VALUE"""),0.5)</f>
        <v>0.5</v>
      </c>
      <c r="U5616" s="4" t="str">
        <f>IFERROR(__xludf.DUMMYFUNCTION("""COMPUTED_VALUE"""),"Saipos Serviços De Software")</f>
        <v>Saipos Serviços De Software</v>
      </c>
      <c r="V5616" s="33">
        <f>IFERROR(__xludf.DUMMYFUNCTION("""COMPUTED_VALUE"""),1.0)</f>
        <v>1</v>
      </c>
      <c r="W5616" s="4" t="str">
        <f>IFERROR(__xludf.DUMMYFUNCTION("""COMPUTED_VALUE"""),"Saipos Serviços De Software")</f>
        <v>Saipos Serviços De Software</v>
      </c>
      <c r="X5616" s="33">
        <f>IFERROR(__xludf.DUMMYFUNCTION("""COMPUTED_VALUE"""),1.0)</f>
        <v>1</v>
      </c>
    </row>
    <row r="5617">
      <c r="K5617" s="4" t="str">
        <f>IFERROR(__xludf.DUMMYFUNCTION("""COMPUTED_VALUE"""),"SR MAXIMO HAMBURGUERIA")</f>
        <v>SR MAXIMO HAMBURGUERIA</v>
      </c>
      <c r="L5617" s="32">
        <f>IFERROR(__xludf.DUMMYFUNCTION("""COMPUTED_VALUE"""),2.0)</f>
        <v>2</v>
      </c>
      <c r="M5617" s="4" t="str">
        <f>IFERROR(__xludf.DUMMYFUNCTION("""COMPUTED_VALUE"""),"Takeat Tecnologia")</f>
        <v>Takeat Tecnologia</v>
      </c>
      <c r="N5617" s="33">
        <f>IFERROR(__xludf.DUMMYFUNCTION("""COMPUTED_VALUE"""),1.0)</f>
        <v>1</v>
      </c>
      <c r="O5617" s="4" t="str">
        <f>IFERROR(__xludf.DUMMYFUNCTION("""COMPUTED_VALUE"""),"Takeat Tecnologia")</f>
        <v>Takeat Tecnologia</v>
      </c>
      <c r="P5617" s="33">
        <f>IFERROR(__xludf.DUMMYFUNCTION("""COMPUTED_VALUE"""),1.0)</f>
        <v>1</v>
      </c>
      <c r="Q5617" s="4" t="str">
        <f>IFERROR(__xludf.DUMMYFUNCTION("""COMPUTED_VALUE"""),"Takeat Tecnologia")</f>
        <v>Takeat Tecnologia</v>
      </c>
      <c r="R5617" s="33">
        <f>IFERROR(__xludf.DUMMYFUNCTION("""COMPUTED_VALUE"""),1.0)</f>
        <v>1</v>
      </c>
      <c r="S5617" s="4" t="str">
        <f>IFERROR(__xludf.DUMMYFUNCTION("""COMPUTED_VALUE"""),"Takeat Tecnologia")</f>
        <v>Takeat Tecnologia</v>
      </c>
      <c r="T5617" s="33">
        <f>IFERROR(__xludf.DUMMYFUNCTION("""COMPUTED_VALUE"""),1.0)</f>
        <v>1</v>
      </c>
      <c r="U5617" s="4" t="str">
        <f>IFERROR(__xludf.DUMMYFUNCTION("""COMPUTED_VALUE"""),"Takeat Tecnologia")</f>
        <v>Takeat Tecnologia</v>
      </c>
      <c r="V5617" s="33">
        <f>IFERROR(__xludf.DUMMYFUNCTION("""COMPUTED_VALUE"""),1.0)</f>
        <v>1</v>
      </c>
      <c r="W5617" s="4" t="str">
        <f>IFERROR(__xludf.DUMMYFUNCTION("""COMPUTED_VALUE"""),"Takeat Tecnologia")</f>
        <v>Takeat Tecnologia</v>
      </c>
      <c r="X5617" s="33">
        <f>IFERROR(__xludf.DUMMYFUNCTION("""COMPUTED_VALUE"""),1.0)</f>
        <v>1</v>
      </c>
    </row>
    <row r="5618">
      <c r="K5618" s="4" t="str">
        <f>IFERROR(__xludf.DUMMYFUNCTION("""COMPUTED_VALUE"""),"ARENA BAR E PETISCARIA")</f>
        <v>ARENA BAR E PETISCARIA</v>
      </c>
      <c r="L5618" s="32">
        <f>IFERROR(__xludf.DUMMYFUNCTION("""COMPUTED_VALUE"""),2.0)</f>
        <v>2</v>
      </c>
      <c r="M5618" s="4" t="str">
        <f>IFERROR(__xludf.DUMMYFUNCTION("""COMPUTED_VALUE"""),"null")</f>
        <v>null</v>
      </c>
      <c r="N5618" s="33">
        <f>IFERROR(__xludf.DUMMYFUNCTION("""COMPUTED_VALUE"""),0.5)</f>
        <v>0.5</v>
      </c>
      <c r="O5618" s="4" t="str">
        <f>IFERROR(__xludf.DUMMYFUNCTION("""COMPUTED_VALUE"""),"null")</f>
        <v>null</v>
      </c>
      <c r="P5618" s="33">
        <f>IFERROR(__xludf.DUMMYFUNCTION("""COMPUTED_VALUE"""),0.5)</f>
        <v>0.5</v>
      </c>
      <c r="Q5618" s="4" t="str">
        <f>IFERROR(__xludf.DUMMYFUNCTION("""COMPUTED_VALUE"""),"null")</f>
        <v>null</v>
      </c>
      <c r="R5618" s="33">
        <f>IFERROR(__xludf.DUMMYFUNCTION("""COMPUTED_VALUE"""),0.5)</f>
        <v>0.5</v>
      </c>
      <c r="S5618" s="4" t="str">
        <f>IFERROR(__xludf.DUMMYFUNCTION("""COMPUTED_VALUE"""),"null")</f>
        <v>null</v>
      </c>
      <c r="T5618" s="33">
        <f>IFERROR(__xludf.DUMMYFUNCTION("""COMPUTED_VALUE"""),0.5)</f>
        <v>0.5</v>
      </c>
      <c r="U5618" s="4" t="str">
        <f>IFERROR(__xludf.DUMMYFUNCTION("""COMPUTED_VALUE"""),"null")</f>
        <v>null</v>
      </c>
      <c r="V5618" s="33">
        <f>IFERROR(__xludf.DUMMYFUNCTION("""COMPUTED_VALUE"""),0.5)</f>
        <v>0.5</v>
      </c>
      <c r="W5618" s="4" t="str">
        <f>IFERROR(__xludf.DUMMYFUNCTION("""COMPUTED_VALUE"""),"Anota Ai Solucoes Digitais S/a")</f>
        <v>Anota Ai Solucoes Digitais S/a</v>
      </c>
      <c r="X5618" s="33">
        <f>IFERROR(__xludf.DUMMYFUNCTION("""COMPUTED_VALUE"""),0.5)</f>
        <v>0.5</v>
      </c>
    </row>
    <row r="5619">
      <c r="K5619" s="4" t="str">
        <f>IFERROR(__xludf.DUMMYFUNCTION("""COMPUTED_VALUE"""),"FIRENZE PIZZARIA")</f>
        <v>FIRENZE PIZZARIA</v>
      </c>
      <c r="L5619" s="32">
        <f>IFERROR(__xludf.DUMMYFUNCTION("""COMPUTED_VALUE"""),2.0)</f>
        <v>2</v>
      </c>
      <c r="M5619" s="4" t="str">
        <f>IFERROR(__xludf.DUMMYFUNCTION("""COMPUTED_VALUE"""),"Anota Ai Solucoes Digitais S/a")</f>
        <v>Anota Ai Solucoes Digitais S/a</v>
      </c>
      <c r="N5619" s="33">
        <f>IFERROR(__xludf.DUMMYFUNCTION("""COMPUTED_VALUE"""),0.5)</f>
        <v>0.5</v>
      </c>
      <c r="O5619" s="4" t="str">
        <f>IFERROR(__xludf.DUMMYFUNCTION("""COMPUTED_VALUE"""),"Anota Ai Solucoes Digitais S/a")</f>
        <v>Anota Ai Solucoes Digitais S/a</v>
      </c>
      <c r="P5619" s="33">
        <f>IFERROR(__xludf.DUMMYFUNCTION("""COMPUTED_VALUE"""),0.5)</f>
        <v>0.5</v>
      </c>
      <c r="Q5619" s="4" t="str">
        <f>IFERROR(__xludf.DUMMYFUNCTION("""COMPUTED_VALUE"""),"Anota Ai Solucoes Digitais S/a")</f>
        <v>Anota Ai Solucoes Digitais S/a</v>
      </c>
      <c r="R5619" s="33">
        <f>IFERROR(__xludf.DUMMYFUNCTION("""COMPUTED_VALUE"""),0.5)</f>
        <v>0.5</v>
      </c>
      <c r="S5619" s="4" t="str">
        <f>IFERROR(__xludf.DUMMYFUNCTION("""COMPUTED_VALUE"""),"Anota Ai Solucoes Digitais S/a")</f>
        <v>Anota Ai Solucoes Digitais S/a</v>
      </c>
      <c r="T5619" s="33">
        <f>IFERROR(__xludf.DUMMYFUNCTION("""COMPUTED_VALUE"""),0.5)</f>
        <v>0.5</v>
      </c>
      <c r="U5619" s="4" t="str">
        <f>IFERROR(__xludf.DUMMYFUNCTION("""COMPUTED_VALUE"""),"Anota Ai Solucoes Digitais S/a")</f>
        <v>Anota Ai Solucoes Digitais S/a</v>
      </c>
      <c r="V5619" s="33">
        <f>IFERROR(__xludf.DUMMYFUNCTION("""COMPUTED_VALUE"""),0.5)</f>
        <v>0.5</v>
      </c>
      <c r="W5619" s="4" t="str">
        <f>IFERROR(__xludf.DUMMYFUNCTION("""COMPUTED_VALUE"""),"Anota Ai Solucoes Digitais S/a")</f>
        <v>Anota Ai Solucoes Digitais S/a</v>
      </c>
      <c r="X5619" s="33">
        <f>IFERROR(__xludf.DUMMYFUNCTION("""COMPUTED_VALUE"""),0.5)</f>
        <v>0.5</v>
      </c>
    </row>
    <row r="5620">
      <c r="K5620" s="4" t="str">
        <f>IFERROR(__xludf.DUMMYFUNCTION("""COMPUTED_VALUE"""),"BISTRO DA VILA")</f>
        <v>BISTRO DA VILA</v>
      </c>
      <c r="L5620" s="32">
        <f>IFERROR(__xludf.DUMMYFUNCTION("""COMPUTED_VALUE"""),2.0)</f>
        <v>2</v>
      </c>
      <c r="M5620" s="4" t="str">
        <f>IFERROR(__xludf.DUMMYFUNCTION("""COMPUTED_VALUE"""),"Instadelivery")</f>
        <v>Instadelivery</v>
      </c>
      <c r="N5620" s="33">
        <f>IFERROR(__xludf.DUMMYFUNCTION("""COMPUTED_VALUE"""),0.5)</f>
        <v>0.5</v>
      </c>
      <c r="O5620" s="4" t="str">
        <f>IFERROR(__xludf.DUMMYFUNCTION("""COMPUTED_VALUE"""),"Instadelivery")</f>
        <v>Instadelivery</v>
      </c>
      <c r="P5620" s="33">
        <f>IFERROR(__xludf.DUMMYFUNCTION("""COMPUTED_VALUE"""),0.5)</f>
        <v>0.5</v>
      </c>
      <c r="Q5620" s="4" t="str">
        <f>IFERROR(__xludf.DUMMYFUNCTION("""COMPUTED_VALUE"""),"Instadelivery")</f>
        <v>Instadelivery</v>
      </c>
      <c r="R5620" s="33">
        <f>IFERROR(__xludf.DUMMYFUNCTION("""COMPUTED_VALUE"""),0.5)</f>
        <v>0.5</v>
      </c>
      <c r="S5620" s="4" t="str">
        <f>IFERROR(__xludf.DUMMYFUNCTION("""COMPUTED_VALUE"""),"null")</f>
        <v>null</v>
      </c>
      <c r="T5620" s="33">
        <f>IFERROR(__xludf.DUMMYFUNCTION("""COMPUTED_VALUE"""),1.0)</f>
        <v>1</v>
      </c>
      <c r="U5620" s="4" t="str">
        <f>IFERROR(__xludf.DUMMYFUNCTION("""COMPUTED_VALUE"""),"null")</f>
        <v>null</v>
      </c>
      <c r="V5620" s="33">
        <f>IFERROR(__xludf.DUMMYFUNCTION("""COMPUTED_VALUE"""),1.0)</f>
        <v>1</v>
      </c>
      <c r="W5620" s="4" t="str">
        <f>IFERROR(__xludf.DUMMYFUNCTION("""COMPUTED_VALUE"""),"null")</f>
        <v>null</v>
      </c>
      <c r="X5620" s="33">
        <f>IFERROR(__xludf.DUMMYFUNCTION("""COMPUTED_VALUE"""),1.0)</f>
        <v>1</v>
      </c>
    </row>
    <row r="5621">
      <c r="K5621" s="4" t="str">
        <f>IFERROR(__xludf.DUMMYFUNCTION("""COMPUTED_VALUE"""),"TAKE PIZZA DELIVERY")</f>
        <v>TAKE PIZZA DELIVERY</v>
      </c>
      <c r="L5621" s="32">
        <f>IFERROR(__xludf.DUMMYFUNCTION("""COMPUTED_VALUE"""),2.0)</f>
        <v>2</v>
      </c>
      <c r="M5621" s="4" t="str">
        <f>IFERROR(__xludf.DUMMYFUNCTION("""COMPUTED_VALUE"""),"Rjsolutions")</f>
        <v>Rjsolutions</v>
      </c>
      <c r="N5621" s="33">
        <f>IFERROR(__xludf.DUMMYFUNCTION("""COMPUTED_VALUE"""),1.0)</f>
        <v>1</v>
      </c>
      <c r="O5621" s="4" t="str">
        <f>IFERROR(__xludf.DUMMYFUNCTION("""COMPUTED_VALUE"""),"Rjsolutions")</f>
        <v>Rjsolutions</v>
      </c>
      <c r="P5621" s="33">
        <f>IFERROR(__xludf.DUMMYFUNCTION("""COMPUTED_VALUE"""),1.0)</f>
        <v>1</v>
      </c>
      <c r="Q5621" s="4" t="str">
        <f>IFERROR(__xludf.DUMMYFUNCTION("""COMPUTED_VALUE"""),"Rjsolutions")</f>
        <v>Rjsolutions</v>
      </c>
      <c r="R5621" s="33">
        <f>IFERROR(__xludf.DUMMYFUNCTION("""COMPUTED_VALUE"""),1.0)</f>
        <v>1</v>
      </c>
      <c r="S5621" s="4" t="str">
        <f>IFERROR(__xludf.DUMMYFUNCTION("""COMPUTED_VALUE"""),"Rjsolutions")</f>
        <v>Rjsolutions</v>
      </c>
      <c r="T5621" s="33">
        <f>IFERROR(__xludf.DUMMYFUNCTION("""COMPUTED_VALUE"""),1.0)</f>
        <v>1</v>
      </c>
      <c r="U5621" s="4" t="str">
        <f>IFERROR(__xludf.DUMMYFUNCTION("""COMPUTED_VALUE"""),"Rjsolutions")</f>
        <v>Rjsolutions</v>
      </c>
      <c r="V5621" s="33">
        <f>IFERROR(__xludf.DUMMYFUNCTION("""COMPUTED_VALUE"""),1.0)</f>
        <v>1</v>
      </c>
      <c r="W5621" s="4" t="str">
        <f>IFERROR(__xludf.DUMMYFUNCTION("""COMPUTED_VALUE"""),"Rjsolutions")</f>
        <v>Rjsolutions</v>
      </c>
      <c r="X5621" s="33">
        <f>IFERROR(__xludf.DUMMYFUNCTION("""COMPUTED_VALUE"""),1.0)</f>
        <v>1</v>
      </c>
    </row>
    <row r="5622">
      <c r="K5622" s="4" t="str">
        <f>IFERROR(__xludf.DUMMYFUNCTION("""COMPUTED_VALUE"""),"DEUSA DAS MARMITAS - ENTREGA RAPIDA")</f>
        <v>DEUSA DAS MARMITAS - ENTREGA RAPIDA</v>
      </c>
      <c r="L5622" s="32">
        <f>IFERROR(__xludf.DUMMYFUNCTION("""COMPUTED_VALUE"""),2.0)</f>
        <v>2</v>
      </c>
      <c r="M5622" s="4" t="str">
        <f>IFERROR(__xludf.DUMMYFUNCTION("""COMPUTED_VALUE"""),"Cardápio Web")</f>
        <v>Cardápio Web</v>
      </c>
      <c r="N5622" s="33">
        <f>IFERROR(__xludf.DUMMYFUNCTION("""COMPUTED_VALUE"""),1.0)</f>
        <v>1</v>
      </c>
      <c r="O5622" s="4" t="str">
        <f>IFERROR(__xludf.DUMMYFUNCTION("""COMPUTED_VALUE"""),"Cardápio Web")</f>
        <v>Cardápio Web</v>
      </c>
      <c r="P5622" s="33">
        <f>IFERROR(__xludf.DUMMYFUNCTION("""COMPUTED_VALUE"""),1.0)</f>
        <v>1</v>
      </c>
      <c r="Q5622" s="4" t="str">
        <f>IFERROR(__xludf.DUMMYFUNCTION("""COMPUTED_VALUE"""),"Cardápio Web")</f>
        <v>Cardápio Web</v>
      </c>
      <c r="R5622" s="33">
        <f>IFERROR(__xludf.DUMMYFUNCTION("""COMPUTED_VALUE"""),1.0)</f>
        <v>1</v>
      </c>
      <c r="S5622" s="4" t="str">
        <f>IFERROR(__xludf.DUMMYFUNCTION("""COMPUTED_VALUE"""),"Cardápio Web")</f>
        <v>Cardápio Web</v>
      </c>
      <c r="T5622" s="33">
        <f>IFERROR(__xludf.DUMMYFUNCTION("""COMPUTED_VALUE"""),1.0)</f>
        <v>1</v>
      </c>
      <c r="U5622" s="4" t="str">
        <f>IFERROR(__xludf.DUMMYFUNCTION("""COMPUTED_VALUE"""),"Cardápio Web")</f>
        <v>Cardápio Web</v>
      </c>
      <c r="V5622" s="33">
        <f>IFERROR(__xludf.DUMMYFUNCTION("""COMPUTED_VALUE"""),1.0)</f>
        <v>1</v>
      </c>
      <c r="W5622" s="4" t="str">
        <f>IFERROR(__xludf.DUMMYFUNCTION("""COMPUTED_VALUE"""),"Cardápio Web")</f>
        <v>Cardápio Web</v>
      </c>
      <c r="X5622" s="33">
        <f>IFERROR(__xludf.DUMMYFUNCTION("""COMPUTED_VALUE"""),1.0)</f>
        <v>1</v>
      </c>
    </row>
    <row r="5623">
      <c r="K5623" s="4" t="str">
        <f>IFERROR(__xludf.DUMMYFUNCTION("""COMPUTED_VALUE"""),"DELICIAS DA LILI")</f>
        <v>DELICIAS DA LILI</v>
      </c>
      <c r="L5623" s="32">
        <f>IFERROR(__xludf.DUMMYFUNCTION("""COMPUTED_VALUE"""),2.0)</f>
        <v>2</v>
      </c>
      <c r="M5623" s="4" t="str">
        <f>IFERROR(__xludf.DUMMYFUNCTION("""COMPUTED_VALUE"""),"null")</f>
        <v>null</v>
      </c>
      <c r="N5623" s="33">
        <f>IFERROR(__xludf.DUMMYFUNCTION("""COMPUTED_VALUE"""),0.5)</f>
        <v>0.5</v>
      </c>
      <c r="O5623" s="4" t="str">
        <f>IFERROR(__xludf.DUMMYFUNCTION("""COMPUTED_VALUE"""),"null")</f>
        <v>null</v>
      </c>
      <c r="P5623" s="33">
        <f>IFERROR(__xludf.DUMMYFUNCTION("""COMPUTED_VALUE"""),0.5)</f>
        <v>0.5</v>
      </c>
      <c r="Q5623" s="4" t="str">
        <f>IFERROR(__xludf.DUMMYFUNCTION("""COMPUTED_VALUE"""),"null")</f>
        <v>null</v>
      </c>
      <c r="R5623" s="33">
        <f>IFERROR(__xludf.DUMMYFUNCTION("""COMPUTED_VALUE"""),0.5)</f>
        <v>0.5</v>
      </c>
      <c r="S5623" s="4" t="str">
        <f>IFERROR(__xludf.DUMMYFUNCTION("""COMPUTED_VALUE"""),"Alpha Logo")</f>
        <v>Alpha Logo</v>
      </c>
      <c r="T5623" s="33">
        <f>IFERROR(__xludf.DUMMYFUNCTION("""COMPUTED_VALUE"""),0.5)</f>
        <v>0.5</v>
      </c>
      <c r="U5623" s="4" t="str">
        <f>IFERROR(__xludf.DUMMYFUNCTION("""COMPUTED_VALUE"""),"Alpha Logo")</f>
        <v>Alpha Logo</v>
      </c>
      <c r="V5623" s="33">
        <f>IFERROR(__xludf.DUMMYFUNCTION("""COMPUTED_VALUE"""),0.5)</f>
        <v>0.5</v>
      </c>
      <c r="W5623" s="4" t="str">
        <f>IFERROR(__xludf.DUMMYFUNCTION("""COMPUTED_VALUE"""),"Alpha Logo")</f>
        <v>Alpha Logo</v>
      </c>
      <c r="X5623" s="33">
        <f>IFERROR(__xludf.DUMMYFUNCTION("""COMPUTED_VALUE"""),0.5)</f>
        <v>0.5</v>
      </c>
    </row>
    <row r="5624">
      <c r="K5624" s="4" t="str">
        <f>IFERROR(__xludf.DUMMYFUNCTION("""COMPUTED_VALUE"""),"BIBS")</f>
        <v>BIBS</v>
      </c>
      <c r="L5624" s="32">
        <f>IFERROR(__xludf.DUMMYFUNCTION("""COMPUTED_VALUE"""),2.0)</f>
        <v>2</v>
      </c>
      <c r="M5624" s="4" t="str">
        <f>IFERROR(__xludf.DUMMYFUNCTION("""COMPUTED_VALUE"""),"Grandchef Desenvolvimento De Sistemas Ltda")</f>
        <v>Grandchef Desenvolvimento De Sistemas Ltda</v>
      </c>
      <c r="N5624" s="33">
        <f>IFERROR(__xludf.DUMMYFUNCTION("""COMPUTED_VALUE"""),0.5)</f>
        <v>0.5</v>
      </c>
      <c r="O5624" s="4" t="str">
        <f>IFERROR(__xludf.DUMMYFUNCTION("""COMPUTED_VALUE"""),"Grandchef Desenvolvimento De Sistemas Ltda")</f>
        <v>Grandchef Desenvolvimento De Sistemas Ltda</v>
      </c>
      <c r="P5624" s="33">
        <f>IFERROR(__xludf.DUMMYFUNCTION("""COMPUTED_VALUE"""),0.5)</f>
        <v>0.5</v>
      </c>
      <c r="Q5624" s="4" t="str">
        <f>IFERROR(__xludf.DUMMYFUNCTION("""COMPUTED_VALUE"""),"null")</f>
        <v>null</v>
      </c>
      <c r="R5624" s="33">
        <f>IFERROR(__xludf.DUMMYFUNCTION("""COMPUTED_VALUE"""),1.0)</f>
        <v>1</v>
      </c>
      <c r="S5624" s="4" t="str">
        <f>IFERROR(__xludf.DUMMYFUNCTION("""COMPUTED_VALUE"""),"null")</f>
        <v>null</v>
      </c>
      <c r="T5624" s="33">
        <f>IFERROR(__xludf.DUMMYFUNCTION("""COMPUTED_VALUE"""),1.0)</f>
        <v>1</v>
      </c>
      <c r="U5624" s="4" t="str">
        <f>IFERROR(__xludf.DUMMYFUNCTION("""COMPUTED_VALUE"""),"null")</f>
        <v>null</v>
      </c>
      <c r="V5624" s="33">
        <f>IFERROR(__xludf.DUMMYFUNCTION("""COMPUTED_VALUE"""),0.5)</f>
        <v>0.5</v>
      </c>
      <c r="W5624" s="4" t="str">
        <f>IFERROR(__xludf.DUMMYFUNCTION("""COMPUTED_VALUE"""),"Grandchef Desenvolvimento De Sistemas Ltda")</f>
        <v>Grandchef Desenvolvimento De Sistemas Ltda</v>
      </c>
      <c r="X5624" s="33">
        <f>IFERROR(__xludf.DUMMYFUNCTION("""COMPUTED_VALUE"""),0.5)</f>
        <v>0.5</v>
      </c>
    </row>
    <row r="5625">
      <c r="K5625" s="4" t="str">
        <f>IFERROR(__xludf.DUMMYFUNCTION("""COMPUTED_VALUE"""),"LUIGI PIZZAS")</f>
        <v>LUIGI PIZZAS</v>
      </c>
      <c r="L5625" s="32">
        <f>IFERROR(__xludf.DUMMYFUNCTION("""COMPUTED_VALUE"""),2.0)</f>
        <v>2</v>
      </c>
      <c r="M5625" s="4" t="str">
        <f>IFERROR(__xludf.DUMMYFUNCTION("""COMPUTED_VALUE"""),"Consumer Soluções Em Tecnologia Ltda")</f>
        <v>Consumer Soluções Em Tecnologia Ltda</v>
      </c>
      <c r="N5625" s="33">
        <f>IFERROR(__xludf.DUMMYFUNCTION("""COMPUTED_VALUE"""),0.5)</f>
        <v>0.5</v>
      </c>
      <c r="O5625" s="4" t="str">
        <f>IFERROR(__xludf.DUMMYFUNCTION("""COMPUTED_VALUE"""),"Consumer Soluções Em Tecnologia Ltda")</f>
        <v>Consumer Soluções Em Tecnologia Ltda</v>
      </c>
      <c r="P5625" s="33">
        <f>IFERROR(__xludf.DUMMYFUNCTION("""COMPUTED_VALUE"""),0.5)</f>
        <v>0.5</v>
      </c>
      <c r="Q5625" s="4" t="str">
        <f>IFERROR(__xludf.DUMMYFUNCTION("""COMPUTED_VALUE"""),"Consumer Soluções Em Tecnologia Ltda")</f>
        <v>Consumer Soluções Em Tecnologia Ltda</v>
      </c>
      <c r="R5625" s="33">
        <f>IFERROR(__xludf.DUMMYFUNCTION("""COMPUTED_VALUE"""),0.5)</f>
        <v>0.5</v>
      </c>
      <c r="S5625" s="4" t="str">
        <f>IFERROR(__xludf.DUMMYFUNCTION("""COMPUTED_VALUE"""),"Consumer Soluções Em Tecnologia Ltda")</f>
        <v>Consumer Soluções Em Tecnologia Ltda</v>
      </c>
      <c r="T5625" s="33">
        <f>IFERROR(__xludf.DUMMYFUNCTION("""COMPUTED_VALUE"""),0.5)</f>
        <v>0.5</v>
      </c>
      <c r="U5625" s="4" t="str">
        <f>IFERROR(__xludf.DUMMYFUNCTION("""COMPUTED_VALUE"""),"Consumer Soluções Em Tecnologia Ltda")</f>
        <v>Consumer Soluções Em Tecnologia Ltda</v>
      </c>
      <c r="V5625" s="33">
        <f>IFERROR(__xludf.DUMMYFUNCTION("""COMPUTED_VALUE"""),0.5)</f>
        <v>0.5</v>
      </c>
      <c r="W5625" s="4" t="str">
        <f>IFERROR(__xludf.DUMMYFUNCTION("""COMPUTED_VALUE"""),"Consumer Soluções Em Tecnologia Ltda")</f>
        <v>Consumer Soluções Em Tecnologia Ltda</v>
      </c>
      <c r="X5625" s="33">
        <f>IFERROR(__xludf.DUMMYFUNCTION("""COMPUTED_VALUE"""),0.5)</f>
        <v>0.5</v>
      </c>
    </row>
    <row r="5626">
      <c r="K5626" s="4" t="str">
        <f>IFERROR(__xludf.DUMMYFUNCTION("""COMPUTED_VALUE"""),"CHILI BURGER HAMBURGUERIA ARTESANAL")</f>
        <v>CHILI BURGER HAMBURGUERIA ARTESANAL</v>
      </c>
      <c r="L5626" s="32">
        <f>IFERROR(__xludf.DUMMYFUNCTION("""COMPUTED_VALUE"""),2.0)</f>
        <v>2</v>
      </c>
      <c r="M5626" s="4" t="str">
        <f>IFERROR(__xludf.DUMMYFUNCTION("""COMPUTED_VALUE"""),"Expresso Delivery")</f>
        <v>Expresso Delivery</v>
      </c>
      <c r="N5626" s="33">
        <f>IFERROR(__xludf.DUMMYFUNCTION("""COMPUTED_VALUE"""),1.0)</f>
        <v>1</v>
      </c>
      <c r="O5626" s="4" t="str">
        <f>IFERROR(__xludf.DUMMYFUNCTION("""COMPUTED_VALUE"""),"Expresso Delivery")</f>
        <v>Expresso Delivery</v>
      </c>
      <c r="P5626" s="33">
        <f>IFERROR(__xludf.DUMMYFUNCTION("""COMPUTED_VALUE"""),1.0)</f>
        <v>1</v>
      </c>
      <c r="Q5626" s="4" t="str">
        <f>IFERROR(__xludf.DUMMYFUNCTION("""COMPUTED_VALUE"""),"Expresso Delivery")</f>
        <v>Expresso Delivery</v>
      </c>
      <c r="R5626" s="33">
        <f>IFERROR(__xludf.DUMMYFUNCTION("""COMPUTED_VALUE"""),1.0)</f>
        <v>1</v>
      </c>
      <c r="S5626" s="4" t="str">
        <f>IFERROR(__xludf.DUMMYFUNCTION("""COMPUTED_VALUE"""),"Expresso Delivery")</f>
        <v>Expresso Delivery</v>
      </c>
      <c r="T5626" s="33">
        <f>IFERROR(__xludf.DUMMYFUNCTION("""COMPUTED_VALUE"""),0.5)</f>
        <v>0.5</v>
      </c>
      <c r="U5626" s="4" t="str">
        <f>IFERROR(__xludf.DUMMYFUNCTION("""COMPUTED_VALUE"""),"Expresso Delivery")</f>
        <v>Expresso Delivery</v>
      </c>
      <c r="V5626" s="33">
        <f>IFERROR(__xludf.DUMMYFUNCTION("""COMPUTED_VALUE"""),0.5)</f>
        <v>0.5</v>
      </c>
      <c r="W5626" s="4" t="str">
        <f>IFERROR(__xludf.DUMMYFUNCTION("""COMPUTED_VALUE"""),"null")</f>
        <v>null</v>
      </c>
      <c r="X5626" s="33">
        <f>IFERROR(__xludf.DUMMYFUNCTION("""COMPUTED_VALUE"""),1.0)</f>
        <v>1</v>
      </c>
    </row>
    <row r="5627">
      <c r="K5627" s="4" t="str">
        <f>IFERROR(__xludf.DUMMYFUNCTION("""COMPUTED_VALUE"""),"PIZZA POP")</f>
        <v>PIZZA POP</v>
      </c>
      <c r="L5627" s="32">
        <f>IFERROR(__xludf.DUMMYFUNCTION("""COMPUTED_VALUE"""),2.0)</f>
        <v>2</v>
      </c>
      <c r="M5627" s="4" t="str">
        <f>IFERROR(__xludf.DUMMYFUNCTION("""COMPUTED_VALUE"""),"null")</f>
        <v>null</v>
      </c>
      <c r="N5627" s="33">
        <f>IFERROR(__xludf.DUMMYFUNCTION("""COMPUTED_VALUE"""),0.5)</f>
        <v>0.5</v>
      </c>
      <c r="O5627" s="4" t="str">
        <f>IFERROR(__xludf.DUMMYFUNCTION("""COMPUTED_VALUE"""),"null")</f>
        <v>null</v>
      </c>
      <c r="P5627" s="33">
        <f>IFERROR(__xludf.DUMMYFUNCTION("""COMPUTED_VALUE"""),0.5)</f>
        <v>0.5</v>
      </c>
      <c r="Q5627" s="4" t="str">
        <f>IFERROR(__xludf.DUMMYFUNCTION("""COMPUTED_VALUE"""),"null")</f>
        <v>null</v>
      </c>
      <c r="R5627" s="33">
        <f>IFERROR(__xludf.DUMMYFUNCTION("""COMPUTED_VALUE"""),0.5)</f>
        <v>0.5</v>
      </c>
      <c r="S5627" s="4" t="str">
        <f>IFERROR(__xludf.DUMMYFUNCTION("""COMPUTED_VALUE"""),"Saipos Serviços De Software")</f>
        <v>Saipos Serviços De Software</v>
      </c>
      <c r="T5627" s="33">
        <f>IFERROR(__xludf.DUMMYFUNCTION("""COMPUTED_VALUE"""),1.0)</f>
        <v>1</v>
      </c>
      <c r="U5627" s="4" t="str">
        <f>IFERROR(__xludf.DUMMYFUNCTION("""COMPUTED_VALUE"""),"Saipos Serviços De Software")</f>
        <v>Saipos Serviços De Software</v>
      </c>
      <c r="V5627" s="33">
        <f>IFERROR(__xludf.DUMMYFUNCTION("""COMPUTED_VALUE"""),1.0)</f>
        <v>1</v>
      </c>
      <c r="W5627" s="4" t="str">
        <f>IFERROR(__xludf.DUMMYFUNCTION("""COMPUTED_VALUE"""),"Saipos Serviços De Software")</f>
        <v>Saipos Serviços De Software</v>
      </c>
      <c r="X5627" s="33">
        <f>IFERROR(__xludf.DUMMYFUNCTION("""COMPUTED_VALUE"""),1.0)</f>
        <v>1</v>
      </c>
    </row>
    <row r="5628">
      <c r="K5628" s="4" t="str">
        <f>IFERROR(__xludf.DUMMYFUNCTION("""COMPUTED_VALUE"""),"NELLA PIETRA PIZZA")</f>
        <v>NELLA PIETRA PIZZA</v>
      </c>
      <c r="L5628" s="32">
        <f>IFERROR(__xludf.DUMMYFUNCTION("""COMPUTED_VALUE"""),2.0)</f>
        <v>2</v>
      </c>
      <c r="M5628" s="4" t="str">
        <f>IFERROR(__xludf.DUMMYFUNCTION("""COMPUTED_VALUE"""),"Você Pede")</f>
        <v>Você Pede</v>
      </c>
      <c r="N5628" s="33">
        <f>IFERROR(__xludf.DUMMYFUNCTION("""COMPUTED_VALUE"""),0.5)</f>
        <v>0.5</v>
      </c>
      <c r="O5628" s="4" t="str">
        <f>IFERROR(__xludf.DUMMYFUNCTION("""COMPUTED_VALUE"""),"Você Pede")</f>
        <v>Você Pede</v>
      </c>
      <c r="P5628" s="33">
        <f>IFERROR(__xludf.DUMMYFUNCTION("""COMPUTED_VALUE"""),0.5)</f>
        <v>0.5</v>
      </c>
      <c r="Q5628" s="4" t="str">
        <f>IFERROR(__xludf.DUMMYFUNCTION("""COMPUTED_VALUE"""),"Você Pede")</f>
        <v>Você Pede</v>
      </c>
      <c r="R5628" s="33">
        <f>IFERROR(__xludf.DUMMYFUNCTION("""COMPUTED_VALUE"""),0.5)</f>
        <v>0.5</v>
      </c>
      <c r="S5628" s="4" t="str">
        <f>IFERROR(__xludf.DUMMYFUNCTION("""COMPUTED_VALUE"""),"Você Pede")</f>
        <v>Você Pede</v>
      </c>
      <c r="T5628" s="33">
        <f>IFERROR(__xludf.DUMMYFUNCTION("""COMPUTED_VALUE"""),0.5)</f>
        <v>0.5</v>
      </c>
      <c r="U5628" s="4" t="str">
        <f>IFERROR(__xludf.DUMMYFUNCTION("""COMPUTED_VALUE"""),"Você Pede")</f>
        <v>Você Pede</v>
      </c>
      <c r="V5628" s="33">
        <f>IFERROR(__xludf.DUMMYFUNCTION("""COMPUTED_VALUE"""),0.5)</f>
        <v>0.5</v>
      </c>
      <c r="W5628" s="4" t="str">
        <f>IFERROR(__xludf.DUMMYFUNCTION("""COMPUTED_VALUE"""),"Você Pede")</f>
        <v>Você Pede</v>
      </c>
      <c r="X5628" s="33">
        <f>IFERROR(__xludf.DUMMYFUNCTION("""COMPUTED_VALUE"""),0.5)</f>
        <v>0.5</v>
      </c>
    </row>
    <row r="5629">
      <c r="K5629" s="4" t="str">
        <f>IFERROR(__xludf.DUMMYFUNCTION("""COMPUTED_VALUE"""),"CARIOCA REFEICOES - ESPETOS PORCOES")</f>
        <v>CARIOCA REFEICOES - ESPETOS PORCOES</v>
      </c>
      <c r="L5629" s="32">
        <f>IFERROR(__xludf.DUMMYFUNCTION("""COMPUTED_VALUE"""),2.0)</f>
        <v>2</v>
      </c>
      <c r="M5629" s="4" t="str">
        <f>IFERROR(__xludf.DUMMYFUNCTION("""COMPUTED_VALUE"""),"Cardápio Web")</f>
        <v>Cardápio Web</v>
      </c>
      <c r="N5629" s="33">
        <f>IFERROR(__xludf.DUMMYFUNCTION("""COMPUTED_VALUE"""),0.5)</f>
        <v>0.5</v>
      </c>
      <c r="O5629" s="4" t="str">
        <f>IFERROR(__xludf.DUMMYFUNCTION("""COMPUTED_VALUE"""),"Cardápio Web")</f>
        <v>Cardápio Web</v>
      </c>
      <c r="P5629" s="33">
        <f>IFERROR(__xludf.DUMMYFUNCTION("""COMPUTED_VALUE"""),0.5)</f>
        <v>0.5</v>
      </c>
      <c r="Q5629" s="4" t="str">
        <f>IFERROR(__xludf.DUMMYFUNCTION("""COMPUTED_VALUE"""),"Cardápio Web")</f>
        <v>Cardápio Web</v>
      </c>
      <c r="R5629" s="33">
        <f>IFERROR(__xludf.DUMMYFUNCTION("""COMPUTED_VALUE"""),0.5)</f>
        <v>0.5</v>
      </c>
      <c r="S5629" s="4" t="str">
        <f>IFERROR(__xludf.DUMMYFUNCTION("""COMPUTED_VALUE"""),"Cardápio Web")</f>
        <v>Cardápio Web</v>
      </c>
      <c r="T5629" s="33">
        <f>IFERROR(__xludf.DUMMYFUNCTION("""COMPUTED_VALUE"""),1.0)</f>
        <v>1</v>
      </c>
      <c r="U5629" s="4" t="str">
        <f>IFERROR(__xludf.DUMMYFUNCTION("""COMPUTED_VALUE"""),"null")</f>
        <v>null</v>
      </c>
      <c r="V5629" s="33">
        <f>IFERROR(__xludf.DUMMYFUNCTION("""COMPUTED_VALUE"""),0.5)</f>
        <v>0.5</v>
      </c>
      <c r="W5629" s="4" t="str">
        <f>IFERROR(__xludf.DUMMYFUNCTION("""COMPUTED_VALUE"""),"null")</f>
        <v>null</v>
      </c>
      <c r="X5629" s="33">
        <f>IFERROR(__xludf.DUMMYFUNCTION("""COMPUTED_VALUE"""),0.5)</f>
        <v>0.5</v>
      </c>
    </row>
    <row r="5630">
      <c r="K5630" s="4" t="str">
        <f>IFERROR(__xludf.DUMMYFUNCTION("""COMPUTED_VALUE"""),"PIZZARIA PREMIUM")</f>
        <v>PIZZARIA PREMIUM</v>
      </c>
      <c r="L5630" s="32">
        <f>IFERROR(__xludf.DUMMYFUNCTION("""COMPUTED_VALUE"""),2.0)</f>
        <v>2</v>
      </c>
      <c r="M5630" s="4" t="str">
        <f>IFERROR(__xludf.DUMMYFUNCTION("""COMPUTED_VALUE"""),"Hubster")</f>
        <v>Hubster</v>
      </c>
      <c r="N5630" s="33">
        <f>IFERROR(__xludf.DUMMYFUNCTION("""COMPUTED_VALUE"""),0.5)</f>
        <v>0.5</v>
      </c>
      <c r="O5630" s="4" t="str">
        <f>IFERROR(__xludf.DUMMYFUNCTION("""COMPUTED_VALUE"""),"null")</f>
        <v>null</v>
      </c>
      <c r="P5630" s="33">
        <f>IFERROR(__xludf.DUMMYFUNCTION("""COMPUTED_VALUE"""),1.0)</f>
        <v>1</v>
      </c>
      <c r="Q5630" s="4" t="str">
        <f>IFERROR(__xludf.DUMMYFUNCTION("""COMPUTED_VALUE"""),"null")</f>
        <v>null</v>
      </c>
      <c r="R5630" s="33">
        <f>IFERROR(__xludf.DUMMYFUNCTION("""COMPUTED_VALUE"""),1.0)</f>
        <v>1</v>
      </c>
      <c r="S5630" s="4" t="str">
        <f>IFERROR(__xludf.DUMMYFUNCTION("""COMPUTED_VALUE"""),"null")</f>
        <v>null</v>
      </c>
      <c r="T5630" s="33">
        <f>IFERROR(__xludf.DUMMYFUNCTION("""COMPUTED_VALUE"""),1.0)</f>
        <v>1</v>
      </c>
      <c r="U5630" s="4" t="str">
        <f>IFERROR(__xludf.DUMMYFUNCTION("""COMPUTED_VALUE"""),"null")</f>
        <v>null</v>
      </c>
      <c r="V5630" s="33">
        <f>IFERROR(__xludf.DUMMYFUNCTION("""COMPUTED_VALUE"""),0.5)</f>
        <v>0.5</v>
      </c>
      <c r="W5630" s="4" t="str">
        <f>IFERROR(__xludf.DUMMYFUNCTION("""COMPUTED_VALUE"""),"null")</f>
        <v>null</v>
      </c>
      <c r="X5630" s="33">
        <f>IFERROR(__xludf.DUMMYFUNCTION("""COMPUTED_VALUE"""),0.5)</f>
        <v>0.5</v>
      </c>
    </row>
    <row r="5631">
      <c r="K5631" s="4" t="str">
        <f>IFERROR(__xludf.DUMMYFUNCTION("""COMPUTED_VALUE"""),"MB BURGUER")</f>
        <v>MB BURGUER</v>
      </c>
      <c r="L5631" s="32">
        <f>IFERROR(__xludf.DUMMYFUNCTION("""COMPUTED_VALUE"""),2.0)</f>
        <v>2</v>
      </c>
      <c r="M5631" s="4" t="str">
        <f>IFERROR(__xludf.DUMMYFUNCTION("""COMPUTED_VALUE"""),"Whatsmenu Ltda")</f>
        <v>Whatsmenu Ltda</v>
      </c>
      <c r="N5631" s="33">
        <f>IFERROR(__xludf.DUMMYFUNCTION("""COMPUTED_VALUE"""),0.5)</f>
        <v>0.5</v>
      </c>
      <c r="O5631" s="4" t="str">
        <f>IFERROR(__xludf.DUMMYFUNCTION("""COMPUTED_VALUE"""),"Whatsmenu Ltda")</f>
        <v>Whatsmenu Ltda</v>
      </c>
      <c r="P5631" s="33">
        <f>IFERROR(__xludf.DUMMYFUNCTION("""COMPUTED_VALUE"""),0.5)</f>
        <v>0.5</v>
      </c>
      <c r="Q5631" s="4" t="str">
        <f>IFERROR(__xludf.DUMMYFUNCTION("""COMPUTED_VALUE"""),"null")</f>
        <v>null</v>
      </c>
      <c r="R5631" s="33">
        <f>IFERROR(__xludf.DUMMYFUNCTION("""COMPUTED_VALUE"""),1.0)</f>
        <v>1</v>
      </c>
      <c r="S5631" s="4" t="str">
        <f>IFERROR(__xludf.DUMMYFUNCTION("""COMPUTED_VALUE"""),"Whatsmenu Ltda")</f>
        <v>Whatsmenu Ltda</v>
      </c>
      <c r="T5631" s="33">
        <f>IFERROR(__xludf.DUMMYFUNCTION("""COMPUTED_VALUE"""),0.5)</f>
        <v>0.5</v>
      </c>
      <c r="U5631" s="4" t="str">
        <f>IFERROR(__xludf.DUMMYFUNCTION("""COMPUTED_VALUE"""),"Whatsmenu Ltda")</f>
        <v>Whatsmenu Ltda</v>
      </c>
      <c r="V5631" s="33">
        <f>IFERROR(__xludf.DUMMYFUNCTION("""COMPUTED_VALUE"""),0.5)</f>
        <v>0.5</v>
      </c>
      <c r="W5631" s="4" t="str">
        <f>IFERROR(__xludf.DUMMYFUNCTION("""COMPUTED_VALUE"""),"Whatsmenu Ltda")</f>
        <v>Whatsmenu Ltda</v>
      </c>
      <c r="X5631" s="33">
        <f>IFERROR(__xludf.DUMMYFUNCTION("""COMPUTED_VALUE"""),0.5)</f>
        <v>0.5</v>
      </c>
    </row>
    <row r="5632">
      <c r="K5632" s="4" t="str">
        <f>IFERROR(__xludf.DUMMYFUNCTION("""COMPUTED_VALUE"""),"AISH BALADI GASTRONOMIA ARABE")</f>
        <v>AISH BALADI GASTRONOMIA ARABE</v>
      </c>
      <c r="L5632" s="32">
        <f>IFERROR(__xludf.DUMMYFUNCTION("""COMPUTED_VALUE"""),2.0)</f>
        <v>2</v>
      </c>
      <c r="M5632" s="4" t="str">
        <f>IFERROR(__xludf.DUMMYFUNCTION("""COMPUTED_VALUE"""),"Cloudfy")</f>
        <v>Cloudfy</v>
      </c>
      <c r="N5632" s="33">
        <f>IFERROR(__xludf.DUMMYFUNCTION("""COMPUTED_VALUE"""),1.0)</f>
        <v>1</v>
      </c>
      <c r="O5632" s="4" t="str">
        <f>IFERROR(__xludf.DUMMYFUNCTION("""COMPUTED_VALUE"""),"Cloudfy")</f>
        <v>Cloudfy</v>
      </c>
      <c r="P5632" s="33">
        <f>IFERROR(__xludf.DUMMYFUNCTION("""COMPUTED_VALUE"""),1.0)</f>
        <v>1</v>
      </c>
      <c r="Q5632" s="4" t="str">
        <f>IFERROR(__xludf.DUMMYFUNCTION("""COMPUTED_VALUE"""),"Cloudfy")</f>
        <v>Cloudfy</v>
      </c>
      <c r="R5632" s="33">
        <f>IFERROR(__xludf.DUMMYFUNCTION("""COMPUTED_VALUE"""),1.0)</f>
        <v>1</v>
      </c>
      <c r="S5632" s="4" t="str">
        <f>IFERROR(__xludf.DUMMYFUNCTION("""COMPUTED_VALUE"""),"Cloudfy")</f>
        <v>Cloudfy</v>
      </c>
      <c r="T5632" s="33">
        <f>IFERROR(__xludf.DUMMYFUNCTION("""COMPUTED_VALUE"""),1.0)</f>
        <v>1</v>
      </c>
      <c r="U5632" s="4" t="str">
        <f>IFERROR(__xludf.DUMMYFUNCTION("""COMPUTED_VALUE"""),"null")</f>
        <v>null</v>
      </c>
      <c r="V5632" s="33">
        <f>IFERROR(__xludf.DUMMYFUNCTION("""COMPUTED_VALUE"""),0.5)</f>
        <v>0.5</v>
      </c>
      <c r="W5632" s="4" t="str">
        <f>IFERROR(__xludf.DUMMYFUNCTION("""COMPUTED_VALUE"""),"null")</f>
        <v>null</v>
      </c>
      <c r="X5632" s="33">
        <f>IFERROR(__xludf.DUMMYFUNCTION("""COMPUTED_VALUE"""),0.5)</f>
        <v>0.5</v>
      </c>
    </row>
    <row r="5633">
      <c r="K5633" s="4" t="str">
        <f>IFERROR(__xludf.DUMMYFUNCTION("""COMPUTED_VALUE"""),"DONNA ROSA GASTRONOMIA")</f>
        <v>DONNA ROSA GASTRONOMIA</v>
      </c>
      <c r="L5633" s="32">
        <f>IFERROR(__xludf.DUMMYFUNCTION("""COMPUTED_VALUE"""),2.0)</f>
        <v>2</v>
      </c>
      <c r="M5633" s="4" t="str">
        <f>IFERROR(__xludf.DUMMYFUNCTION("""COMPUTED_VALUE"""),"null")</f>
        <v>null</v>
      </c>
      <c r="N5633" s="33">
        <f>IFERROR(__xludf.DUMMYFUNCTION("""COMPUTED_VALUE"""),0.5)</f>
        <v>0.5</v>
      </c>
      <c r="O5633" s="4" t="str">
        <f>IFERROR(__xludf.DUMMYFUNCTION("""COMPUTED_VALUE"""),"Yooga")</f>
        <v>Yooga</v>
      </c>
      <c r="P5633" s="33">
        <f>IFERROR(__xludf.DUMMYFUNCTION("""COMPUTED_VALUE"""),1.0)</f>
        <v>1</v>
      </c>
      <c r="Q5633" s="4" t="str">
        <f>IFERROR(__xludf.DUMMYFUNCTION("""COMPUTED_VALUE"""),"Yooga")</f>
        <v>Yooga</v>
      </c>
      <c r="R5633" s="33">
        <f>IFERROR(__xludf.DUMMYFUNCTION("""COMPUTED_VALUE"""),1.0)</f>
        <v>1</v>
      </c>
      <c r="S5633" s="4" t="str">
        <f>IFERROR(__xludf.DUMMYFUNCTION("""COMPUTED_VALUE"""),"Yooga")</f>
        <v>Yooga</v>
      </c>
      <c r="T5633" s="33">
        <f>IFERROR(__xludf.DUMMYFUNCTION("""COMPUTED_VALUE"""),1.0)</f>
        <v>1</v>
      </c>
      <c r="U5633" s="4" t="str">
        <f>IFERROR(__xludf.DUMMYFUNCTION("""COMPUTED_VALUE"""),"Yooga")</f>
        <v>Yooga</v>
      </c>
      <c r="V5633" s="33">
        <f>IFERROR(__xludf.DUMMYFUNCTION("""COMPUTED_VALUE"""),1.0)</f>
        <v>1</v>
      </c>
      <c r="W5633" s="4" t="str">
        <f>IFERROR(__xludf.DUMMYFUNCTION("""COMPUTED_VALUE"""),"Yooga")</f>
        <v>Yooga</v>
      </c>
      <c r="X5633" s="33">
        <f>IFERROR(__xludf.DUMMYFUNCTION("""COMPUTED_VALUE"""),1.0)</f>
        <v>1</v>
      </c>
    </row>
    <row r="5634">
      <c r="K5634" s="4" t="str">
        <f>IFERROR(__xludf.DUMMYFUNCTION("""COMPUTED_VALUE"""),"DIDA LANCHES")</f>
        <v>DIDA LANCHES</v>
      </c>
      <c r="L5634" s="32">
        <f>IFERROR(__xludf.DUMMYFUNCTION("""COMPUTED_VALUE"""),2.0)</f>
        <v>2</v>
      </c>
      <c r="M5634" s="4" t="str">
        <f>IFERROR(__xludf.DUMMYFUNCTION("""COMPUTED_VALUE"""),"Datacaixa Pdv")</f>
        <v>Datacaixa Pdv</v>
      </c>
      <c r="N5634" s="33">
        <f>IFERROR(__xludf.DUMMYFUNCTION("""COMPUTED_VALUE"""),0.5)</f>
        <v>0.5</v>
      </c>
      <c r="O5634" s="4" t="str">
        <f>IFERROR(__xludf.DUMMYFUNCTION("""COMPUTED_VALUE"""),"Datacaixa Pdv")</f>
        <v>Datacaixa Pdv</v>
      </c>
      <c r="P5634" s="33">
        <f>IFERROR(__xludf.DUMMYFUNCTION("""COMPUTED_VALUE"""),0.5)</f>
        <v>0.5</v>
      </c>
      <c r="Q5634" s="4" t="str">
        <f>IFERROR(__xludf.DUMMYFUNCTION("""COMPUTED_VALUE"""),"Datacaixa Pdv")</f>
        <v>Datacaixa Pdv</v>
      </c>
      <c r="R5634" s="33">
        <f>IFERROR(__xludf.DUMMYFUNCTION("""COMPUTED_VALUE"""),0.5)</f>
        <v>0.5</v>
      </c>
      <c r="S5634" s="4" t="str">
        <f>IFERROR(__xludf.DUMMYFUNCTION("""COMPUTED_VALUE"""),"Datacaixa Pdv")</f>
        <v>Datacaixa Pdv</v>
      </c>
      <c r="T5634" s="33">
        <f>IFERROR(__xludf.DUMMYFUNCTION("""COMPUTED_VALUE"""),0.5)</f>
        <v>0.5</v>
      </c>
      <c r="U5634" s="4" t="str">
        <f>IFERROR(__xludf.DUMMYFUNCTION("""COMPUTED_VALUE"""),"Datacaixa Pdv")</f>
        <v>Datacaixa Pdv</v>
      </c>
      <c r="V5634" s="33">
        <f>IFERROR(__xludf.DUMMYFUNCTION("""COMPUTED_VALUE"""),0.5)</f>
        <v>0.5</v>
      </c>
      <c r="W5634" s="4" t="str">
        <f>IFERROR(__xludf.DUMMYFUNCTION("""COMPUTED_VALUE"""),"Datacaixa Pdv")</f>
        <v>Datacaixa Pdv</v>
      </c>
      <c r="X5634" s="33">
        <f>IFERROR(__xludf.DUMMYFUNCTION("""COMPUTED_VALUE"""),0.5)</f>
        <v>0.5</v>
      </c>
    </row>
    <row r="5635">
      <c r="K5635" s="4" t="str">
        <f>IFERROR(__xludf.DUMMYFUNCTION("""COMPUTED_VALUE"""),"PIZZARIA DU CHEFF")</f>
        <v>PIZZARIA DU CHEFF</v>
      </c>
      <c r="L5635" s="32">
        <f>IFERROR(__xludf.DUMMYFUNCTION("""COMPUTED_VALUE"""),2.0)</f>
        <v>2</v>
      </c>
      <c r="M5635" s="4" t="str">
        <f>IFERROR(__xludf.DUMMYFUNCTION("""COMPUTED_VALUE"""),"Saipos Serviços De Software")</f>
        <v>Saipos Serviços De Software</v>
      </c>
      <c r="N5635" s="33">
        <f>IFERROR(__xludf.DUMMYFUNCTION("""COMPUTED_VALUE"""),0.5)</f>
        <v>0.5</v>
      </c>
      <c r="O5635" s="4" t="str">
        <f>IFERROR(__xludf.DUMMYFUNCTION("""COMPUTED_VALUE"""),"Saipos Serviços De Software")</f>
        <v>Saipos Serviços De Software</v>
      </c>
      <c r="P5635" s="33">
        <f>IFERROR(__xludf.DUMMYFUNCTION("""COMPUTED_VALUE"""),0.5)</f>
        <v>0.5</v>
      </c>
      <c r="Q5635" s="4" t="str">
        <f>IFERROR(__xludf.DUMMYFUNCTION("""COMPUTED_VALUE"""),"null")</f>
        <v>null</v>
      </c>
      <c r="R5635" s="33">
        <f>IFERROR(__xludf.DUMMYFUNCTION("""COMPUTED_VALUE"""),1.0)</f>
        <v>1</v>
      </c>
      <c r="S5635" s="4" t="str">
        <f>IFERROR(__xludf.DUMMYFUNCTION("""COMPUTED_VALUE"""),"null")</f>
        <v>null</v>
      </c>
      <c r="T5635" s="33">
        <f>IFERROR(__xludf.DUMMYFUNCTION("""COMPUTED_VALUE"""),0.5)</f>
        <v>0.5</v>
      </c>
      <c r="U5635" s="4" t="str">
        <f>IFERROR(__xludf.DUMMYFUNCTION("""COMPUTED_VALUE"""),"null")</f>
        <v>null</v>
      </c>
      <c r="V5635" s="33">
        <f>IFERROR(__xludf.DUMMYFUNCTION("""COMPUTED_VALUE"""),0.5)</f>
        <v>0.5</v>
      </c>
      <c r="W5635" s="4" t="str">
        <f>IFERROR(__xludf.DUMMYFUNCTION("""COMPUTED_VALUE"""),"null")</f>
        <v>null</v>
      </c>
      <c r="X5635" s="33">
        <f>IFERROR(__xludf.DUMMYFUNCTION("""COMPUTED_VALUE"""),1.0)</f>
        <v>1</v>
      </c>
    </row>
    <row r="5636">
      <c r="K5636" s="4" t="str">
        <f>IFERROR(__xludf.DUMMYFUNCTION("""COMPUTED_VALUE"""),"RUNNER PIZZA")</f>
        <v>RUNNER PIZZA</v>
      </c>
      <c r="L5636" s="32">
        <f>IFERROR(__xludf.DUMMYFUNCTION("""COMPUTED_VALUE"""),2.0)</f>
        <v>2</v>
      </c>
      <c r="M5636" s="4" t="str">
        <f>IFERROR(__xludf.DUMMYFUNCTION("""COMPUTED_VALUE"""),"Saipos Serviços De Software")</f>
        <v>Saipos Serviços De Software</v>
      </c>
      <c r="N5636" s="33">
        <f>IFERROR(__xludf.DUMMYFUNCTION("""COMPUTED_VALUE"""),1.0)</f>
        <v>1</v>
      </c>
      <c r="O5636" s="4" t="str">
        <f>IFERROR(__xludf.DUMMYFUNCTION("""COMPUTED_VALUE"""),"Saipos Serviços De Software")</f>
        <v>Saipos Serviços De Software</v>
      </c>
      <c r="P5636" s="33">
        <f>IFERROR(__xludf.DUMMYFUNCTION("""COMPUTED_VALUE"""),1.0)</f>
        <v>1</v>
      </c>
      <c r="Q5636" s="4" t="str">
        <f>IFERROR(__xludf.DUMMYFUNCTION("""COMPUTED_VALUE"""),"Saipos Serviços De Software")</f>
        <v>Saipos Serviços De Software</v>
      </c>
      <c r="R5636" s="33">
        <f>IFERROR(__xludf.DUMMYFUNCTION("""COMPUTED_VALUE"""),0.5)</f>
        <v>0.5</v>
      </c>
      <c r="S5636" s="4" t="str">
        <f>IFERROR(__xludf.DUMMYFUNCTION("""COMPUTED_VALUE"""),"Saipos Serviços De Software")</f>
        <v>Saipos Serviços De Software</v>
      </c>
      <c r="T5636" s="33">
        <f>IFERROR(__xludf.DUMMYFUNCTION("""COMPUTED_VALUE"""),0.5)</f>
        <v>0.5</v>
      </c>
      <c r="U5636" s="4" t="str">
        <f>IFERROR(__xludf.DUMMYFUNCTION("""COMPUTED_VALUE"""),"Saipos Serviços De Software")</f>
        <v>Saipos Serviços De Software</v>
      </c>
      <c r="V5636" s="33">
        <f>IFERROR(__xludf.DUMMYFUNCTION("""COMPUTED_VALUE"""),0.5)</f>
        <v>0.5</v>
      </c>
      <c r="W5636" s="4" t="str">
        <f>IFERROR(__xludf.DUMMYFUNCTION("""COMPUTED_VALUE"""),"Saipos Serviços De Software")</f>
        <v>Saipos Serviços De Software</v>
      </c>
      <c r="X5636" s="33">
        <f>IFERROR(__xludf.DUMMYFUNCTION("""COMPUTED_VALUE"""),0.5)</f>
        <v>0.5</v>
      </c>
    </row>
    <row r="5637">
      <c r="K5637" s="4" t="str">
        <f>IFERROR(__xludf.DUMMYFUNCTION("""COMPUTED_VALUE"""),"DELIVERY JOVEM")</f>
        <v>DELIVERY JOVEM</v>
      </c>
      <c r="L5637" s="32">
        <f>IFERROR(__xludf.DUMMYFUNCTION("""COMPUTED_VALUE"""),2.0)</f>
        <v>2</v>
      </c>
      <c r="M5637" s="4" t="str">
        <f>IFERROR(__xludf.DUMMYFUNCTION("""COMPUTED_VALUE"""),"Cardápio Web")</f>
        <v>Cardápio Web</v>
      </c>
      <c r="N5637" s="33">
        <f>IFERROR(__xludf.DUMMYFUNCTION("""COMPUTED_VALUE"""),1.0)</f>
        <v>1</v>
      </c>
      <c r="O5637" s="4" t="str">
        <f>IFERROR(__xludf.DUMMYFUNCTION("""COMPUTED_VALUE"""),"Cardápio Web")</f>
        <v>Cardápio Web</v>
      </c>
      <c r="P5637" s="33">
        <f>IFERROR(__xludf.DUMMYFUNCTION("""COMPUTED_VALUE"""),1.0)</f>
        <v>1</v>
      </c>
      <c r="Q5637" s="4" t="str">
        <f>IFERROR(__xludf.DUMMYFUNCTION("""COMPUTED_VALUE"""),"Cardápio Web")</f>
        <v>Cardápio Web</v>
      </c>
      <c r="R5637" s="33">
        <f>IFERROR(__xludf.DUMMYFUNCTION("""COMPUTED_VALUE"""),1.0)</f>
        <v>1</v>
      </c>
      <c r="S5637" s="4" t="str">
        <f>IFERROR(__xludf.DUMMYFUNCTION("""COMPUTED_VALUE"""),"Cardápio Web")</f>
        <v>Cardápio Web</v>
      </c>
      <c r="T5637" s="33">
        <f>IFERROR(__xludf.DUMMYFUNCTION("""COMPUTED_VALUE"""),1.0)</f>
        <v>1</v>
      </c>
      <c r="U5637" s="4" t="str">
        <f>IFERROR(__xludf.DUMMYFUNCTION("""COMPUTED_VALUE"""),"Cardápio Web")</f>
        <v>Cardápio Web</v>
      </c>
      <c r="V5637" s="33">
        <f>IFERROR(__xludf.DUMMYFUNCTION("""COMPUTED_VALUE"""),1.0)</f>
        <v>1</v>
      </c>
      <c r="W5637" s="4" t="str">
        <f>IFERROR(__xludf.DUMMYFUNCTION("""COMPUTED_VALUE"""),"null")</f>
        <v>null</v>
      </c>
      <c r="X5637" s="33">
        <f>IFERROR(__xludf.DUMMYFUNCTION("""COMPUTED_VALUE"""),0.5)</f>
        <v>0.5</v>
      </c>
    </row>
    <row r="5638">
      <c r="K5638" s="4" t="str">
        <f>IFERROR(__xludf.DUMMYFUNCTION("""COMPUTED_VALUE"""),"SAORI SUSHI DELIVERY")</f>
        <v>SAORI SUSHI DELIVERY</v>
      </c>
      <c r="L5638" s="32">
        <f>IFERROR(__xludf.DUMMYFUNCTION("""COMPUTED_VALUE"""),2.0)</f>
        <v>2</v>
      </c>
      <c r="M5638" s="4" t="str">
        <f>IFERROR(__xludf.DUMMYFUNCTION("""COMPUTED_VALUE"""),"Bitbar")</f>
        <v>Bitbar</v>
      </c>
      <c r="N5638" s="33">
        <f>IFERROR(__xludf.DUMMYFUNCTION("""COMPUTED_VALUE"""),0.5)</f>
        <v>0.5</v>
      </c>
      <c r="O5638" s="4" t="str">
        <f>IFERROR(__xludf.DUMMYFUNCTION("""COMPUTED_VALUE"""),"Bitbar")</f>
        <v>Bitbar</v>
      </c>
      <c r="P5638" s="33">
        <f>IFERROR(__xludf.DUMMYFUNCTION("""COMPUTED_VALUE"""),0.5)</f>
        <v>0.5</v>
      </c>
      <c r="Q5638" s="4" t="str">
        <f>IFERROR(__xludf.DUMMYFUNCTION("""COMPUTED_VALUE"""),"Bitbar")</f>
        <v>Bitbar</v>
      </c>
      <c r="R5638" s="33">
        <f>IFERROR(__xludf.DUMMYFUNCTION("""COMPUTED_VALUE"""),0.5)</f>
        <v>0.5</v>
      </c>
      <c r="S5638" s="4" t="str">
        <f>IFERROR(__xludf.DUMMYFUNCTION("""COMPUTED_VALUE"""),"Bitbar")</f>
        <v>Bitbar</v>
      </c>
      <c r="T5638" s="33">
        <f>IFERROR(__xludf.DUMMYFUNCTION("""COMPUTED_VALUE"""),0.5)</f>
        <v>0.5</v>
      </c>
      <c r="U5638" s="4" t="str">
        <f>IFERROR(__xludf.DUMMYFUNCTION("""COMPUTED_VALUE"""),"Bitbar")</f>
        <v>Bitbar</v>
      </c>
      <c r="V5638" s="33">
        <f>IFERROR(__xludf.DUMMYFUNCTION("""COMPUTED_VALUE"""),0.5)</f>
        <v>0.5</v>
      </c>
      <c r="W5638" s="4" t="str">
        <f>IFERROR(__xludf.DUMMYFUNCTION("""COMPUTED_VALUE"""),"Bitbar")</f>
        <v>Bitbar</v>
      </c>
      <c r="X5638" s="33">
        <f>IFERROR(__xludf.DUMMYFUNCTION("""COMPUTED_VALUE"""),0.5)</f>
        <v>0.5</v>
      </c>
    </row>
    <row r="5639">
      <c r="K5639" s="4" t="str">
        <f>IFERROR(__xludf.DUMMYFUNCTION("""COMPUTED_VALUE"""),"PIZZARIA SABOR PAULISTA")</f>
        <v>PIZZARIA SABOR PAULISTA</v>
      </c>
      <c r="L5639" s="32">
        <f>IFERROR(__xludf.DUMMYFUNCTION("""COMPUTED_VALUE"""),2.0)</f>
        <v>2</v>
      </c>
      <c r="M5639" s="4" t="str">
        <f>IFERROR(__xludf.DUMMYFUNCTION("""COMPUTED_VALUE"""),"Cardápio Web")</f>
        <v>Cardápio Web</v>
      </c>
      <c r="N5639" s="33">
        <f>IFERROR(__xludf.DUMMYFUNCTION("""COMPUTED_VALUE"""),0.5)</f>
        <v>0.5</v>
      </c>
      <c r="O5639" s="4" t="str">
        <f>IFERROR(__xludf.DUMMYFUNCTION("""COMPUTED_VALUE"""),"Cardápio Web")</f>
        <v>Cardápio Web</v>
      </c>
      <c r="P5639" s="33">
        <f>IFERROR(__xludf.DUMMYFUNCTION("""COMPUTED_VALUE"""),0.5)</f>
        <v>0.5</v>
      </c>
      <c r="Q5639" s="4" t="str">
        <f>IFERROR(__xludf.DUMMYFUNCTION("""COMPUTED_VALUE"""),"Cardápio Web")</f>
        <v>Cardápio Web</v>
      </c>
      <c r="R5639" s="33">
        <f>IFERROR(__xludf.DUMMYFUNCTION("""COMPUTED_VALUE"""),0.5)</f>
        <v>0.5</v>
      </c>
      <c r="S5639" s="4" t="str">
        <f>IFERROR(__xludf.DUMMYFUNCTION("""COMPUTED_VALUE"""),"Cardápio Web")</f>
        <v>Cardápio Web</v>
      </c>
      <c r="T5639" s="33">
        <f>IFERROR(__xludf.DUMMYFUNCTION("""COMPUTED_VALUE"""),0.5)</f>
        <v>0.5</v>
      </c>
      <c r="U5639" s="4" t="str">
        <f>IFERROR(__xludf.DUMMYFUNCTION("""COMPUTED_VALUE"""),"Cardápio Web")</f>
        <v>Cardápio Web</v>
      </c>
      <c r="V5639" s="33">
        <f>IFERROR(__xludf.DUMMYFUNCTION("""COMPUTED_VALUE"""),0.5)</f>
        <v>0.5</v>
      </c>
      <c r="W5639" s="4" t="str">
        <f>IFERROR(__xludf.DUMMYFUNCTION("""COMPUTED_VALUE"""),"Cardápio Web")</f>
        <v>Cardápio Web</v>
      </c>
      <c r="X5639" s="33">
        <f>IFERROR(__xludf.DUMMYFUNCTION("""COMPUTED_VALUE"""),0.5)</f>
        <v>0.5</v>
      </c>
    </row>
    <row r="5640">
      <c r="K5640" s="4" t="str">
        <f>IFERROR(__xludf.DUMMYFUNCTION("""COMPUTED_VALUE"""),"THE COFFEETOWN")</f>
        <v>THE COFFEETOWN</v>
      </c>
      <c r="L5640" s="32">
        <f>IFERROR(__xludf.DUMMYFUNCTION("""COMPUTED_VALUE"""),2.0)</f>
        <v>2</v>
      </c>
      <c r="M5640" s="4" t="str">
        <f>IFERROR(__xludf.DUMMYFUNCTION("""COMPUTED_VALUE"""),"null")</f>
        <v>null</v>
      </c>
      <c r="N5640" s="33">
        <f>IFERROR(__xludf.DUMMYFUNCTION("""COMPUTED_VALUE"""),1.0)</f>
        <v>1</v>
      </c>
      <c r="O5640" s="4" t="str">
        <f>IFERROR(__xludf.DUMMYFUNCTION("""COMPUTED_VALUE"""),"null")</f>
        <v>null</v>
      </c>
      <c r="P5640" s="33">
        <f>IFERROR(__xludf.DUMMYFUNCTION("""COMPUTED_VALUE"""),1.0)</f>
        <v>1</v>
      </c>
      <c r="Q5640" s="4" t="str">
        <f>IFERROR(__xludf.DUMMYFUNCTION("""COMPUTED_VALUE"""),"null")</f>
        <v>null</v>
      </c>
      <c r="R5640" s="33">
        <f>IFERROR(__xludf.DUMMYFUNCTION("""COMPUTED_VALUE"""),1.0)</f>
        <v>1</v>
      </c>
      <c r="S5640" s="4" t="str">
        <f>IFERROR(__xludf.DUMMYFUNCTION("""COMPUTED_VALUE"""),"Netcontroll Xmenu")</f>
        <v>Netcontroll Xmenu</v>
      </c>
      <c r="T5640" s="33">
        <f>IFERROR(__xludf.DUMMYFUNCTION("""COMPUTED_VALUE"""),1.0)</f>
        <v>1</v>
      </c>
      <c r="U5640" s="4" t="str">
        <f>IFERROR(__xludf.DUMMYFUNCTION("""COMPUTED_VALUE"""),"Netcontroll Xmenu")</f>
        <v>Netcontroll Xmenu</v>
      </c>
      <c r="V5640" s="33">
        <f>IFERROR(__xludf.DUMMYFUNCTION("""COMPUTED_VALUE"""),1.0)</f>
        <v>1</v>
      </c>
      <c r="W5640" s="4" t="str">
        <f>IFERROR(__xludf.DUMMYFUNCTION("""COMPUTED_VALUE"""),"Netcontroll Xmenu")</f>
        <v>Netcontroll Xmenu</v>
      </c>
      <c r="X5640" s="33">
        <f>IFERROR(__xludf.DUMMYFUNCTION("""COMPUTED_VALUE"""),1.0)</f>
        <v>1</v>
      </c>
    </row>
    <row r="5641">
      <c r="K5641" s="4" t="str">
        <f>IFERROR(__xludf.DUMMYFUNCTION("""COMPUTED_VALUE"""),"MASTER PIZZARIA")</f>
        <v>MASTER PIZZARIA</v>
      </c>
      <c r="L5641" s="32">
        <f>IFERROR(__xludf.DUMMYFUNCTION("""COMPUTED_VALUE"""),2.0)</f>
        <v>2</v>
      </c>
      <c r="M5641" s="4" t="str">
        <f>IFERROR(__xludf.DUMMYFUNCTION("""COMPUTED_VALUE"""),"Cardápio Web")</f>
        <v>Cardápio Web</v>
      </c>
      <c r="N5641" s="33">
        <f>IFERROR(__xludf.DUMMYFUNCTION("""COMPUTED_VALUE"""),1.0)</f>
        <v>1</v>
      </c>
      <c r="O5641" s="4" t="str">
        <f>IFERROR(__xludf.DUMMYFUNCTION("""COMPUTED_VALUE"""),"Cardápio Web")</f>
        <v>Cardápio Web</v>
      </c>
      <c r="P5641" s="33">
        <f>IFERROR(__xludf.DUMMYFUNCTION("""COMPUTED_VALUE"""),1.0)</f>
        <v>1</v>
      </c>
      <c r="Q5641" s="4" t="str">
        <f>IFERROR(__xludf.DUMMYFUNCTION("""COMPUTED_VALUE"""),"Cardápio Web")</f>
        <v>Cardápio Web</v>
      </c>
      <c r="R5641" s="33">
        <f>IFERROR(__xludf.DUMMYFUNCTION("""COMPUTED_VALUE"""),1.0)</f>
        <v>1</v>
      </c>
      <c r="S5641" s="4" t="str">
        <f>IFERROR(__xludf.DUMMYFUNCTION("""COMPUTED_VALUE"""),"Cardápio Web")</f>
        <v>Cardápio Web</v>
      </c>
      <c r="T5641" s="33">
        <f>IFERROR(__xludf.DUMMYFUNCTION("""COMPUTED_VALUE"""),0.5)</f>
        <v>0.5</v>
      </c>
      <c r="U5641" s="4" t="str">
        <f>IFERROR(__xludf.DUMMYFUNCTION("""COMPUTED_VALUE"""),"Cardápio Web")</f>
        <v>Cardápio Web</v>
      </c>
      <c r="V5641" s="33">
        <f>IFERROR(__xludf.DUMMYFUNCTION("""COMPUTED_VALUE"""),0.5)</f>
        <v>0.5</v>
      </c>
      <c r="W5641" s="4" t="str">
        <f>IFERROR(__xludf.DUMMYFUNCTION("""COMPUTED_VALUE"""),"Cardápio Web")</f>
        <v>Cardápio Web</v>
      </c>
      <c r="X5641" s="33">
        <f>IFERROR(__xludf.DUMMYFUNCTION("""COMPUTED_VALUE"""),0.5)</f>
        <v>0.5</v>
      </c>
    </row>
    <row r="5642">
      <c r="K5642" s="4" t="str">
        <f>IFERROR(__xludf.DUMMYFUNCTION("""COMPUTED_VALUE"""),"JOHNYS BURGUER")</f>
        <v>JOHNYS BURGUER</v>
      </c>
      <c r="L5642" s="32">
        <f>IFERROR(__xludf.DUMMYFUNCTION("""COMPUTED_VALUE"""),2.0)</f>
        <v>2</v>
      </c>
      <c r="M5642" s="4" t="str">
        <f>IFERROR(__xludf.DUMMYFUNCTION("""COMPUTED_VALUE"""),"null")</f>
        <v>null</v>
      </c>
      <c r="N5642" s="33">
        <f>IFERROR(__xludf.DUMMYFUNCTION("""COMPUTED_VALUE"""),0.5)</f>
        <v>0.5</v>
      </c>
      <c r="O5642" s="4" t="str">
        <f>IFERROR(__xludf.DUMMYFUNCTION("""COMPUTED_VALUE"""),"Brendi")</f>
        <v>Brendi</v>
      </c>
      <c r="P5642" s="33">
        <f>IFERROR(__xludf.DUMMYFUNCTION("""COMPUTED_VALUE"""),0.5)</f>
        <v>0.5</v>
      </c>
      <c r="Q5642" s="4" t="str">
        <f>IFERROR(__xludf.DUMMYFUNCTION("""COMPUTED_VALUE"""),"Brendi")</f>
        <v>Brendi</v>
      </c>
      <c r="R5642" s="33">
        <f>IFERROR(__xludf.DUMMYFUNCTION("""COMPUTED_VALUE"""),0.5)</f>
        <v>0.5</v>
      </c>
      <c r="S5642" s="4" t="str">
        <f>IFERROR(__xludf.DUMMYFUNCTION("""COMPUTED_VALUE"""),"Brendi")</f>
        <v>Brendi</v>
      </c>
      <c r="T5642" s="33">
        <f>IFERROR(__xludf.DUMMYFUNCTION("""COMPUTED_VALUE"""),0.5)</f>
        <v>0.5</v>
      </c>
      <c r="U5642" s="4" t="str">
        <f>IFERROR(__xludf.DUMMYFUNCTION("""COMPUTED_VALUE"""),"Brendi")</f>
        <v>Brendi</v>
      </c>
      <c r="V5642" s="33">
        <f>IFERROR(__xludf.DUMMYFUNCTION("""COMPUTED_VALUE"""),0.5)</f>
        <v>0.5</v>
      </c>
      <c r="W5642" s="4" t="str">
        <f>IFERROR(__xludf.DUMMYFUNCTION("""COMPUTED_VALUE"""),"null")</f>
        <v>null</v>
      </c>
      <c r="X5642" s="33">
        <f>IFERROR(__xludf.DUMMYFUNCTION("""COMPUTED_VALUE"""),0.5)</f>
        <v>0.5</v>
      </c>
    </row>
    <row r="5643">
      <c r="K5643" s="4" t="str">
        <f>IFERROR(__xludf.DUMMYFUNCTION("""COMPUTED_VALUE"""),"JUST SUSHI E TEMAKI")</f>
        <v>JUST SUSHI E TEMAKI</v>
      </c>
      <c r="L5643" s="32">
        <f>IFERROR(__xludf.DUMMYFUNCTION("""COMPUTED_VALUE"""),2.0)</f>
        <v>2</v>
      </c>
      <c r="M5643" s="4" t="str">
        <f>IFERROR(__xludf.DUMMYFUNCTION("""COMPUTED_VALUE"""),"Você Pede")</f>
        <v>Você Pede</v>
      </c>
      <c r="N5643" s="33">
        <f>IFERROR(__xludf.DUMMYFUNCTION("""COMPUTED_VALUE"""),1.0)</f>
        <v>1</v>
      </c>
      <c r="O5643" s="4" t="str">
        <f>IFERROR(__xludf.DUMMYFUNCTION("""COMPUTED_VALUE"""),"null")</f>
        <v>null</v>
      </c>
      <c r="P5643" s="33">
        <f>IFERROR(__xludf.DUMMYFUNCTION("""COMPUTED_VALUE"""),0.5)</f>
        <v>0.5</v>
      </c>
      <c r="Q5643" s="4" t="str">
        <f>IFERROR(__xludf.DUMMYFUNCTION("""COMPUTED_VALUE"""),"Você Pede")</f>
        <v>Você Pede</v>
      </c>
      <c r="R5643" s="33">
        <f>IFERROR(__xludf.DUMMYFUNCTION("""COMPUTED_VALUE"""),1.0)</f>
        <v>1</v>
      </c>
      <c r="S5643" s="4" t="str">
        <f>IFERROR(__xludf.DUMMYFUNCTION("""COMPUTED_VALUE"""),"Você Pede")</f>
        <v>Você Pede</v>
      </c>
      <c r="T5643" s="33">
        <f>IFERROR(__xludf.DUMMYFUNCTION("""COMPUTED_VALUE"""),1.0)</f>
        <v>1</v>
      </c>
      <c r="U5643" s="4" t="str">
        <f>IFERROR(__xludf.DUMMYFUNCTION("""COMPUTED_VALUE"""),"Você Pede")</f>
        <v>Você Pede</v>
      </c>
      <c r="V5643" s="33">
        <f>IFERROR(__xludf.DUMMYFUNCTION("""COMPUTED_VALUE"""),1.0)</f>
        <v>1</v>
      </c>
      <c r="W5643" s="4" t="str">
        <f>IFERROR(__xludf.DUMMYFUNCTION("""COMPUTED_VALUE"""),"Você Pede")</f>
        <v>Você Pede</v>
      </c>
      <c r="X5643" s="33">
        <f>IFERROR(__xludf.DUMMYFUNCTION("""COMPUTED_VALUE"""),1.0)</f>
        <v>1</v>
      </c>
    </row>
    <row r="5644">
      <c r="K5644" s="4" t="str">
        <f>IFERROR(__xludf.DUMMYFUNCTION("""COMPUTED_VALUE"""),"CAFE MINEIRO")</f>
        <v>CAFE MINEIRO</v>
      </c>
      <c r="L5644" s="32">
        <f>IFERROR(__xludf.DUMMYFUNCTION("""COMPUTED_VALUE"""),2.0)</f>
        <v>2</v>
      </c>
      <c r="M5644" s="4" t="str">
        <f>IFERROR(__xludf.DUMMYFUNCTION("""COMPUTED_VALUE"""),"null")</f>
        <v>null</v>
      </c>
      <c r="N5644" s="33">
        <f>IFERROR(__xludf.DUMMYFUNCTION("""COMPUTED_VALUE"""),1.0)</f>
        <v>1</v>
      </c>
      <c r="O5644" s="4" t="str">
        <f>IFERROR(__xludf.DUMMYFUNCTION("""COMPUTED_VALUE"""),"null")</f>
        <v>null</v>
      </c>
      <c r="P5644" s="33">
        <f>IFERROR(__xludf.DUMMYFUNCTION("""COMPUTED_VALUE"""),1.0)</f>
        <v>1</v>
      </c>
      <c r="Q5644" s="4" t="str">
        <f>IFERROR(__xludf.DUMMYFUNCTION("""COMPUTED_VALUE"""),"null")</f>
        <v>null</v>
      </c>
      <c r="R5644" s="33">
        <f>IFERROR(__xludf.DUMMYFUNCTION("""COMPUTED_VALUE"""),1.0)</f>
        <v>1</v>
      </c>
      <c r="S5644" s="4" t="str">
        <f>IFERROR(__xludf.DUMMYFUNCTION("""COMPUTED_VALUE"""),"Saipos Serviços De Software")</f>
        <v>Saipos Serviços De Software</v>
      </c>
      <c r="T5644" s="33">
        <f>IFERROR(__xludf.DUMMYFUNCTION("""COMPUTED_VALUE"""),1.0)</f>
        <v>1</v>
      </c>
      <c r="U5644" s="4" t="str">
        <f>IFERROR(__xludf.DUMMYFUNCTION("""COMPUTED_VALUE"""),"Saipos Serviços De Software")</f>
        <v>Saipos Serviços De Software</v>
      </c>
      <c r="V5644" s="33">
        <f>IFERROR(__xludf.DUMMYFUNCTION("""COMPUTED_VALUE"""),1.0)</f>
        <v>1</v>
      </c>
      <c r="W5644" s="4" t="str">
        <f>IFERROR(__xludf.DUMMYFUNCTION("""COMPUTED_VALUE"""),"Saipos Serviços De Software")</f>
        <v>Saipos Serviços De Software</v>
      </c>
      <c r="X5644" s="33">
        <f>IFERROR(__xludf.DUMMYFUNCTION("""COMPUTED_VALUE"""),1.0)</f>
        <v>1</v>
      </c>
    </row>
    <row r="5645">
      <c r="K5645" s="4" t="str">
        <f>IFERROR(__xludf.DUMMYFUNCTION("""COMPUTED_VALUE"""),"OLIVEIRA SALGADOS")</f>
        <v>OLIVEIRA SALGADOS</v>
      </c>
      <c r="L5645" s="32">
        <f>IFERROR(__xludf.DUMMYFUNCTION("""COMPUTED_VALUE"""),2.0)</f>
        <v>2</v>
      </c>
      <c r="M5645" s="4" t="str">
        <f>IFERROR(__xludf.DUMMYFUNCTION("""COMPUTED_VALUE"""),"Instadelivery")</f>
        <v>Instadelivery</v>
      </c>
      <c r="N5645" s="33">
        <f>IFERROR(__xludf.DUMMYFUNCTION("""COMPUTED_VALUE"""),1.0)</f>
        <v>1</v>
      </c>
      <c r="O5645" s="4" t="str">
        <f>IFERROR(__xludf.DUMMYFUNCTION("""COMPUTED_VALUE"""),"Saipos Serviços De Software")</f>
        <v>Saipos Serviços De Software</v>
      </c>
      <c r="P5645" s="33">
        <f>IFERROR(__xludf.DUMMYFUNCTION("""COMPUTED_VALUE"""),0.5)</f>
        <v>0.5</v>
      </c>
      <c r="Q5645" s="4" t="str">
        <f>IFERROR(__xludf.DUMMYFUNCTION("""COMPUTED_VALUE"""),"Saipos Serviços De Software")</f>
        <v>Saipos Serviços De Software</v>
      </c>
      <c r="R5645" s="33">
        <f>IFERROR(__xludf.DUMMYFUNCTION("""COMPUTED_VALUE"""),0.5)</f>
        <v>0.5</v>
      </c>
      <c r="S5645" s="4" t="str">
        <f>IFERROR(__xludf.DUMMYFUNCTION("""COMPUTED_VALUE"""),"Saipos Serviços De Software")</f>
        <v>Saipos Serviços De Software</v>
      </c>
      <c r="T5645" s="33">
        <f>IFERROR(__xludf.DUMMYFUNCTION("""COMPUTED_VALUE"""),0.5)</f>
        <v>0.5</v>
      </c>
      <c r="U5645" s="4" t="str">
        <f>IFERROR(__xludf.DUMMYFUNCTION("""COMPUTED_VALUE"""),"Saipos Serviços De Software")</f>
        <v>Saipos Serviços De Software</v>
      </c>
      <c r="V5645" s="33">
        <f>IFERROR(__xludf.DUMMYFUNCTION("""COMPUTED_VALUE"""),0.5)</f>
        <v>0.5</v>
      </c>
      <c r="W5645" s="4" t="str">
        <f>IFERROR(__xludf.DUMMYFUNCTION("""COMPUTED_VALUE"""),"Saipos Serviços De Software")</f>
        <v>Saipos Serviços De Software</v>
      </c>
      <c r="X5645" s="33">
        <f>IFERROR(__xludf.DUMMYFUNCTION("""COMPUTED_VALUE"""),0.5)</f>
        <v>0.5</v>
      </c>
    </row>
    <row r="5646">
      <c r="K5646" s="4" t="str">
        <f>IFERROR(__xludf.DUMMYFUNCTION("""COMPUTED_VALUE"""),"EAT COOKIES")</f>
        <v>EAT COOKIES</v>
      </c>
      <c r="L5646" s="32">
        <f>IFERROR(__xludf.DUMMYFUNCTION("""COMPUTED_VALUE"""),2.0)</f>
        <v>2</v>
      </c>
      <c r="M5646" s="4" t="str">
        <f>IFERROR(__xludf.DUMMYFUNCTION("""COMPUTED_VALUE"""),"Yooga")</f>
        <v>Yooga</v>
      </c>
      <c r="N5646" s="33">
        <f>IFERROR(__xludf.DUMMYFUNCTION("""COMPUTED_VALUE"""),0.5)</f>
        <v>0.5</v>
      </c>
      <c r="O5646" s="4" t="str">
        <f>IFERROR(__xludf.DUMMYFUNCTION("""COMPUTED_VALUE"""),"Yooga")</f>
        <v>Yooga</v>
      </c>
      <c r="P5646" s="33">
        <f>IFERROR(__xludf.DUMMYFUNCTION("""COMPUTED_VALUE"""),0.5)</f>
        <v>0.5</v>
      </c>
      <c r="Q5646" s="4" t="str">
        <f>IFERROR(__xludf.DUMMYFUNCTION("""COMPUTED_VALUE"""),"Yooga")</f>
        <v>Yooga</v>
      </c>
      <c r="R5646" s="33">
        <f>IFERROR(__xludf.DUMMYFUNCTION("""COMPUTED_VALUE"""),0.5)</f>
        <v>0.5</v>
      </c>
      <c r="S5646" s="4" t="str">
        <f>IFERROR(__xludf.DUMMYFUNCTION("""COMPUTED_VALUE"""),"Yooga")</f>
        <v>Yooga</v>
      </c>
      <c r="T5646" s="33">
        <f>IFERROR(__xludf.DUMMYFUNCTION("""COMPUTED_VALUE"""),0.5)</f>
        <v>0.5</v>
      </c>
      <c r="U5646" s="4" t="str">
        <f>IFERROR(__xludf.DUMMYFUNCTION("""COMPUTED_VALUE"""),"Takeat Tecnologia")</f>
        <v>Takeat Tecnologia</v>
      </c>
      <c r="V5646" s="33">
        <f>IFERROR(__xludf.DUMMYFUNCTION("""COMPUTED_VALUE"""),1.0)</f>
        <v>1</v>
      </c>
      <c r="W5646" s="4" t="str">
        <f>IFERROR(__xludf.DUMMYFUNCTION("""COMPUTED_VALUE"""),"Takeat Tecnologia")</f>
        <v>Takeat Tecnologia</v>
      </c>
      <c r="X5646" s="33">
        <f>IFERROR(__xludf.DUMMYFUNCTION("""COMPUTED_VALUE"""),1.0)</f>
        <v>1</v>
      </c>
    </row>
    <row r="5647">
      <c r="K5647" s="4" t="str">
        <f>IFERROR(__xludf.DUMMYFUNCTION("""COMPUTED_VALUE"""),"BOMBONNI CAKE")</f>
        <v>BOMBONNI CAKE</v>
      </c>
      <c r="L5647" s="32">
        <f>IFERROR(__xludf.DUMMYFUNCTION("""COMPUTED_VALUE"""),2.0)</f>
        <v>2</v>
      </c>
      <c r="M5647" s="4" t="str">
        <f>IFERROR(__xludf.DUMMYFUNCTION("""COMPUTED_VALUE"""),"Eclética Tecnologia")</f>
        <v>Eclética Tecnologia</v>
      </c>
      <c r="N5647" s="33">
        <f>IFERROR(__xludf.DUMMYFUNCTION("""COMPUTED_VALUE"""),1.0)</f>
        <v>1</v>
      </c>
      <c r="O5647" s="4" t="str">
        <f>IFERROR(__xludf.DUMMYFUNCTION("""COMPUTED_VALUE"""),"Eclética Tecnologia")</f>
        <v>Eclética Tecnologia</v>
      </c>
      <c r="P5647" s="33">
        <f>IFERROR(__xludf.DUMMYFUNCTION("""COMPUTED_VALUE"""),1.0)</f>
        <v>1</v>
      </c>
      <c r="Q5647" s="4" t="str">
        <f>IFERROR(__xludf.DUMMYFUNCTION("""COMPUTED_VALUE"""),"null")</f>
        <v>null</v>
      </c>
      <c r="R5647" s="33">
        <f>IFERROR(__xludf.DUMMYFUNCTION("""COMPUTED_VALUE"""),0.5)</f>
        <v>0.5</v>
      </c>
      <c r="S5647" s="4" t="str">
        <f>IFERROR(__xludf.DUMMYFUNCTION("""COMPUTED_VALUE"""),"null")</f>
        <v>null</v>
      </c>
      <c r="T5647" s="33">
        <f>IFERROR(__xludf.DUMMYFUNCTION("""COMPUTED_VALUE"""),0.5)</f>
        <v>0.5</v>
      </c>
      <c r="U5647" s="4" t="str">
        <f>IFERROR(__xludf.DUMMYFUNCTION("""COMPUTED_VALUE"""),"null")</f>
        <v>null</v>
      </c>
      <c r="V5647" s="33">
        <f>IFERROR(__xludf.DUMMYFUNCTION("""COMPUTED_VALUE"""),0.5)</f>
        <v>0.5</v>
      </c>
      <c r="W5647" s="4" t="str">
        <f>IFERROR(__xludf.DUMMYFUNCTION("""COMPUTED_VALUE"""),"null")</f>
        <v>null</v>
      </c>
      <c r="X5647" s="33">
        <f>IFERROR(__xludf.DUMMYFUNCTION("""COMPUTED_VALUE"""),0.5)</f>
        <v>0.5</v>
      </c>
    </row>
    <row r="5648">
      <c r="K5648" s="4" t="str">
        <f>IFERROR(__xludf.DUMMYFUNCTION("""COMPUTED_VALUE"""),"ACAIDERA NO KILO")</f>
        <v>ACAIDERA NO KILO</v>
      </c>
      <c r="L5648" s="32">
        <f>IFERROR(__xludf.DUMMYFUNCTION("""COMPUTED_VALUE"""),2.0)</f>
        <v>2</v>
      </c>
      <c r="M5648" s="4" t="str">
        <f>IFERROR(__xludf.DUMMYFUNCTION("""COMPUTED_VALUE"""),"Hubster")</f>
        <v>Hubster</v>
      </c>
      <c r="N5648" s="33">
        <f>IFERROR(__xludf.DUMMYFUNCTION("""COMPUTED_VALUE"""),1.0)</f>
        <v>1</v>
      </c>
      <c r="O5648" s="4" t="str">
        <f>IFERROR(__xludf.DUMMYFUNCTION("""COMPUTED_VALUE"""),"Hubster")</f>
        <v>Hubster</v>
      </c>
      <c r="P5648" s="33">
        <f>IFERROR(__xludf.DUMMYFUNCTION("""COMPUTED_VALUE"""),1.0)</f>
        <v>1</v>
      </c>
      <c r="Q5648" s="4" t="str">
        <f>IFERROR(__xludf.DUMMYFUNCTION("""COMPUTED_VALUE"""),"Hubster")</f>
        <v>Hubster</v>
      </c>
      <c r="R5648" s="33">
        <f>IFERROR(__xludf.DUMMYFUNCTION("""COMPUTED_VALUE"""),1.0)</f>
        <v>1</v>
      </c>
      <c r="S5648" s="4" t="str">
        <f>IFERROR(__xludf.DUMMYFUNCTION("""COMPUTED_VALUE"""),"Hubster")</f>
        <v>Hubster</v>
      </c>
      <c r="T5648" s="33">
        <f>IFERROR(__xludf.DUMMYFUNCTION("""COMPUTED_VALUE"""),0.5)</f>
        <v>0.5</v>
      </c>
      <c r="U5648" s="4" t="str">
        <f>IFERROR(__xludf.DUMMYFUNCTION("""COMPUTED_VALUE"""),"Hubster")</f>
        <v>Hubster</v>
      </c>
      <c r="V5648" s="33">
        <f>IFERROR(__xludf.DUMMYFUNCTION("""COMPUTED_VALUE"""),0.5)</f>
        <v>0.5</v>
      </c>
      <c r="W5648" s="4" t="str">
        <f>IFERROR(__xludf.DUMMYFUNCTION("""COMPUTED_VALUE"""),"Hubster")</f>
        <v>Hubster</v>
      </c>
      <c r="X5648" s="33">
        <f>IFERROR(__xludf.DUMMYFUNCTION("""COMPUTED_VALUE"""),0.5)</f>
        <v>0.5</v>
      </c>
    </row>
    <row r="5649">
      <c r="K5649" s="4" t="str">
        <f>IFERROR(__xludf.DUMMYFUNCTION("""COMPUTED_VALUE"""),"MISTER JAPA SUSHI")</f>
        <v>MISTER JAPA SUSHI</v>
      </c>
      <c r="L5649" s="32">
        <f>IFERROR(__xludf.DUMMYFUNCTION("""COMPUTED_VALUE"""),2.0)</f>
        <v>2</v>
      </c>
      <c r="M5649" s="4" t="str">
        <f>IFERROR(__xludf.DUMMYFUNCTION("""COMPUTED_VALUE"""),"Mp Multipedidos")</f>
        <v>Mp Multipedidos</v>
      </c>
      <c r="N5649" s="33">
        <f>IFERROR(__xludf.DUMMYFUNCTION("""COMPUTED_VALUE"""),1.0)</f>
        <v>1</v>
      </c>
      <c r="O5649" s="4" t="str">
        <f>IFERROR(__xludf.DUMMYFUNCTION("""COMPUTED_VALUE"""),"Mp Multipedidos")</f>
        <v>Mp Multipedidos</v>
      </c>
      <c r="P5649" s="33">
        <f>IFERROR(__xludf.DUMMYFUNCTION("""COMPUTED_VALUE"""),1.0)</f>
        <v>1</v>
      </c>
      <c r="Q5649" s="4" t="str">
        <f>IFERROR(__xludf.DUMMYFUNCTION("""COMPUTED_VALUE"""),"Mp Multipedidos")</f>
        <v>Mp Multipedidos</v>
      </c>
      <c r="R5649" s="33">
        <f>IFERROR(__xludf.DUMMYFUNCTION("""COMPUTED_VALUE"""),1.0)</f>
        <v>1</v>
      </c>
      <c r="S5649" s="4" t="str">
        <f>IFERROR(__xludf.DUMMYFUNCTION("""COMPUTED_VALUE"""),"Mp Multipedidos")</f>
        <v>Mp Multipedidos</v>
      </c>
      <c r="T5649" s="33">
        <f>IFERROR(__xludf.DUMMYFUNCTION("""COMPUTED_VALUE"""),1.0)</f>
        <v>1</v>
      </c>
      <c r="U5649" s="4" t="str">
        <f>IFERROR(__xludf.DUMMYFUNCTION("""COMPUTED_VALUE"""),"Mp Multipedidos")</f>
        <v>Mp Multipedidos</v>
      </c>
      <c r="V5649" s="33">
        <f>IFERROR(__xludf.DUMMYFUNCTION("""COMPUTED_VALUE"""),1.0)</f>
        <v>1</v>
      </c>
      <c r="W5649" s="4" t="str">
        <f>IFERROR(__xludf.DUMMYFUNCTION("""COMPUTED_VALUE"""),"Mp Multipedidos")</f>
        <v>Mp Multipedidos</v>
      </c>
      <c r="X5649" s="33">
        <f>IFERROR(__xludf.DUMMYFUNCTION("""COMPUTED_VALUE"""),1.0)</f>
        <v>1</v>
      </c>
    </row>
    <row r="5650">
      <c r="K5650" s="4" t="str">
        <f>IFERROR(__xludf.DUMMYFUNCTION("""COMPUTED_VALUE"""),"DOG EXPRESS")</f>
        <v>DOG EXPRESS</v>
      </c>
      <c r="L5650" s="32">
        <f>IFERROR(__xludf.DUMMYFUNCTION("""COMPUTED_VALUE"""),2.0)</f>
        <v>2</v>
      </c>
      <c r="M5650" s="4" t="str">
        <f>IFERROR(__xludf.DUMMYFUNCTION("""COMPUTED_VALUE"""),"null")</f>
        <v>null</v>
      </c>
      <c r="N5650" s="33">
        <f>IFERROR(__xludf.DUMMYFUNCTION("""COMPUTED_VALUE"""),0.5)</f>
        <v>0.5</v>
      </c>
      <c r="O5650" s="4" t="str">
        <f>IFERROR(__xludf.DUMMYFUNCTION("""COMPUTED_VALUE"""),"null")</f>
        <v>null</v>
      </c>
      <c r="P5650" s="33">
        <f>IFERROR(__xludf.DUMMYFUNCTION("""COMPUTED_VALUE"""),0.5)</f>
        <v>0.5</v>
      </c>
      <c r="Q5650" s="4" t="str">
        <f>IFERROR(__xludf.DUMMYFUNCTION("""COMPUTED_VALUE"""),"null")</f>
        <v>null</v>
      </c>
      <c r="R5650" s="33">
        <f>IFERROR(__xludf.DUMMYFUNCTION("""COMPUTED_VALUE"""),0.5)</f>
        <v>0.5</v>
      </c>
      <c r="S5650" s="4" t="str">
        <f>IFERROR(__xludf.DUMMYFUNCTION("""COMPUTED_VALUE"""),"null")</f>
        <v>null</v>
      </c>
      <c r="T5650" s="33">
        <f>IFERROR(__xludf.DUMMYFUNCTION("""COMPUTED_VALUE"""),0.5)</f>
        <v>0.5</v>
      </c>
      <c r="U5650" s="4" t="str">
        <f>IFERROR(__xludf.DUMMYFUNCTION("""COMPUTED_VALUE"""),"Anota Ai Solucoes Digitais S/a")</f>
        <v>Anota Ai Solucoes Digitais S/a</v>
      </c>
      <c r="V5650" s="33">
        <f>IFERROR(__xludf.DUMMYFUNCTION("""COMPUTED_VALUE"""),0.5)</f>
        <v>0.5</v>
      </c>
      <c r="W5650" s="4" t="str">
        <f>IFERROR(__xludf.DUMMYFUNCTION("""COMPUTED_VALUE"""),"Anota Ai Solucoes Digitais S/a")</f>
        <v>Anota Ai Solucoes Digitais S/a</v>
      </c>
      <c r="X5650" s="33">
        <f>IFERROR(__xludf.DUMMYFUNCTION("""COMPUTED_VALUE"""),0.5)</f>
        <v>0.5</v>
      </c>
    </row>
    <row r="5651">
      <c r="K5651" s="4" t="str">
        <f>IFERROR(__xludf.DUMMYFUNCTION("""COMPUTED_VALUE"""),"HORA DA PIZZA")</f>
        <v>HORA DA PIZZA</v>
      </c>
      <c r="L5651" s="32">
        <f>IFERROR(__xludf.DUMMYFUNCTION("""COMPUTED_VALUE"""),2.0)</f>
        <v>2</v>
      </c>
      <c r="M5651" s="4" t="str">
        <f>IFERROR(__xludf.DUMMYFUNCTION("""COMPUTED_VALUE"""),"null")</f>
        <v>null</v>
      </c>
      <c r="N5651" s="33">
        <f>IFERROR(__xludf.DUMMYFUNCTION("""COMPUTED_VALUE"""),0.5)</f>
        <v>0.5</v>
      </c>
      <c r="O5651" s="4" t="str">
        <f>IFERROR(__xludf.DUMMYFUNCTION("""COMPUTED_VALUE"""),"null")</f>
        <v>null</v>
      </c>
      <c r="P5651" s="33">
        <f>IFERROR(__xludf.DUMMYFUNCTION("""COMPUTED_VALUE"""),0.5)</f>
        <v>0.5</v>
      </c>
      <c r="Q5651" s="4" t="str">
        <f>IFERROR(__xludf.DUMMYFUNCTION("""COMPUTED_VALUE"""),"Cardápio Web")</f>
        <v>Cardápio Web</v>
      </c>
      <c r="R5651" s="33">
        <f>IFERROR(__xludf.DUMMYFUNCTION("""COMPUTED_VALUE"""),0.5)</f>
        <v>0.5</v>
      </c>
      <c r="S5651" s="4" t="str">
        <f>IFERROR(__xludf.DUMMYFUNCTION("""COMPUTED_VALUE"""),"Cardápio Web")</f>
        <v>Cardápio Web</v>
      </c>
      <c r="T5651" s="33">
        <f>IFERROR(__xludf.DUMMYFUNCTION("""COMPUTED_VALUE"""),0.5)</f>
        <v>0.5</v>
      </c>
      <c r="U5651" s="4" t="str">
        <f>IFERROR(__xludf.DUMMYFUNCTION("""COMPUTED_VALUE"""),"Cardápio Web")</f>
        <v>Cardápio Web</v>
      </c>
      <c r="V5651" s="33">
        <f>IFERROR(__xludf.DUMMYFUNCTION("""COMPUTED_VALUE"""),0.5)</f>
        <v>0.5</v>
      </c>
      <c r="W5651" s="4" t="str">
        <f>IFERROR(__xludf.DUMMYFUNCTION("""COMPUTED_VALUE"""),"null")</f>
        <v>null</v>
      </c>
      <c r="X5651" s="33">
        <f>IFERROR(__xludf.DUMMYFUNCTION("""COMPUTED_VALUE"""),0.5)</f>
        <v>0.5</v>
      </c>
    </row>
    <row r="5652">
      <c r="K5652" s="4" t="str">
        <f>IFERROR(__xludf.DUMMYFUNCTION("""COMPUTED_VALUE"""),"ITALIAN PIZZAS")</f>
        <v>ITALIAN PIZZAS</v>
      </c>
      <c r="L5652" s="32">
        <f>IFERROR(__xludf.DUMMYFUNCTION("""COMPUTED_VALUE"""),2.0)</f>
        <v>2</v>
      </c>
      <c r="M5652" s="4" t="str">
        <f>IFERROR(__xludf.DUMMYFUNCTION("""COMPUTED_VALUE"""),"Saipos Serviços De Software")</f>
        <v>Saipos Serviços De Software</v>
      </c>
      <c r="N5652" s="33">
        <f>IFERROR(__xludf.DUMMYFUNCTION("""COMPUTED_VALUE"""),0.5)</f>
        <v>0.5</v>
      </c>
      <c r="O5652" s="4" t="str">
        <f>IFERROR(__xludf.DUMMYFUNCTION("""COMPUTED_VALUE"""),"Saipos Serviços De Software")</f>
        <v>Saipos Serviços De Software</v>
      </c>
      <c r="P5652" s="33">
        <f>IFERROR(__xludf.DUMMYFUNCTION("""COMPUTED_VALUE"""),0.5)</f>
        <v>0.5</v>
      </c>
      <c r="Q5652" s="4" t="str">
        <f>IFERROR(__xludf.DUMMYFUNCTION("""COMPUTED_VALUE"""),"Saipos Serviços De Software")</f>
        <v>Saipos Serviços De Software</v>
      </c>
      <c r="R5652" s="33">
        <f>IFERROR(__xludf.DUMMYFUNCTION("""COMPUTED_VALUE"""),0.5)</f>
        <v>0.5</v>
      </c>
      <c r="S5652" s="4" t="str">
        <f>IFERROR(__xludf.DUMMYFUNCTION("""COMPUTED_VALUE"""),"Saipos Serviços De Software")</f>
        <v>Saipos Serviços De Software</v>
      </c>
      <c r="T5652" s="33">
        <f>IFERROR(__xludf.DUMMYFUNCTION("""COMPUTED_VALUE"""),0.5)</f>
        <v>0.5</v>
      </c>
      <c r="U5652" s="4" t="str">
        <f>IFERROR(__xludf.DUMMYFUNCTION("""COMPUTED_VALUE"""),"Saipos Serviços De Software")</f>
        <v>Saipos Serviços De Software</v>
      </c>
      <c r="V5652" s="33">
        <f>IFERROR(__xludf.DUMMYFUNCTION("""COMPUTED_VALUE"""),0.5)</f>
        <v>0.5</v>
      </c>
      <c r="W5652" s="4" t="str">
        <f>IFERROR(__xludf.DUMMYFUNCTION("""COMPUTED_VALUE"""),"Saipos Serviços De Software")</f>
        <v>Saipos Serviços De Software</v>
      </c>
      <c r="X5652" s="33">
        <f>IFERROR(__xludf.DUMMYFUNCTION("""COMPUTED_VALUE"""),0.5)</f>
        <v>0.5</v>
      </c>
    </row>
    <row r="5653">
      <c r="K5653" s="4" t="str">
        <f>IFERROR(__xludf.DUMMYFUNCTION("""COMPUTED_VALUE"""),"DROGARIA WLESTE")</f>
        <v>DROGARIA WLESTE</v>
      </c>
      <c r="L5653" s="32">
        <f>IFERROR(__xludf.DUMMYFUNCTION("""COMPUTED_VALUE"""),2.0)</f>
        <v>2</v>
      </c>
      <c r="M5653" s="4" t="str">
        <f>IFERROR(__xludf.DUMMYFUNCTION("""COMPUTED_VALUE"""),"N/A (Not found)")</f>
        <v>N/A (Not found)</v>
      </c>
      <c r="N5653" s="33">
        <f>IFERROR(__xludf.DUMMYFUNCTION("""COMPUTED_VALUE"""),1.0)</f>
        <v>1</v>
      </c>
      <c r="O5653" s="4" t="str">
        <f>IFERROR(__xludf.DUMMYFUNCTION("""COMPUTED_VALUE"""),"N/A (Not found)")</f>
        <v>N/A (Not found)</v>
      </c>
      <c r="P5653" s="33">
        <f>IFERROR(__xludf.DUMMYFUNCTION("""COMPUTED_VALUE"""),1.0)</f>
        <v>1</v>
      </c>
      <c r="Q5653" s="4" t="str">
        <f>IFERROR(__xludf.DUMMYFUNCTION("""COMPUTED_VALUE"""),"N/A (Not found)")</f>
        <v>N/A (Not found)</v>
      </c>
      <c r="R5653" s="33">
        <f>IFERROR(__xludf.DUMMYFUNCTION("""COMPUTED_VALUE"""),1.0)</f>
        <v>1</v>
      </c>
      <c r="S5653" s="4" t="str">
        <f>IFERROR(__xludf.DUMMYFUNCTION("""COMPUTED_VALUE"""),"N/A (Not found)")</f>
        <v>N/A (Not found)</v>
      </c>
      <c r="T5653" s="33">
        <f>IFERROR(__xludf.DUMMYFUNCTION("""COMPUTED_VALUE"""),1.0)</f>
        <v>1</v>
      </c>
      <c r="U5653" s="4" t="str">
        <f>IFERROR(__xludf.DUMMYFUNCTION("""COMPUTED_VALUE"""),"N/A (Not found)")</f>
        <v>N/A (Not found)</v>
      </c>
      <c r="V5653" s="33">
        <f>IFERROR(__xludf.DUMMYFUNCTION("""COMPUTED_VALUE"""),1.0)</f>
        <v>1</v>
      </c>
      <c r="W5653" s="4" t="str">
        <f>IFERROR(__xludf.DUMMYFUNCTION("""COMPUTED_VALUE"""),"N/A (Not found)")</f>
        <v>N/A (Not found)</v>
      </c>
      <c r="X5653" s="33">
        <f>IFERROR(__xludf.DUMMYFUNCTION("""COMPUTED_VALUE"""),1.0)</f>
        <v>1</v>
      </c>
    </row>
    <row r="5654">
      <c r="K5654" s="4" t="str">
        <f>IFERROR(__xludf.DUMMYFUNCTION("""COMPUTED_VALUE"""),"MARAVILHOSA PIZZARIA")</f>
        <v>MARAVILHOSA PIZZARIA</v>
      </c>
      <c r="L5654" s="32">
        <f>IFERROR(__xludf.DUMMYFUNCTION("""COMPUTED_VALUE"""),2.0)</f>
        <v>2</v>
      </c>
      <c r="M5654" s="4" t="str">
        <f>IFERROR(__xludf.DUMMYFUNCTION("""COMPUTED_VALUE"""),"Instadelivery")</f>
        <v>Instadelivery</v>
      </c>
      <c r="N5654" s="33">
        <f>IFERROR(__xludf.DUMMYFUNCTION("""COMPUTED_VALUE"""),1.0)</f>
        <v>1</v>
      </c>
      <c r="O5654" s="4" t="str">
        <f>IFERROR(__xludf.DUMMYFUNCTION("""COMPUTED_VALUE"""),"null")</f>
        <v>null</v>
      </c>
      <c r="P5654" s="33">
        <f>IFERROR(__xludf.DUMMYFUNCTION("""COMPUTED_VALUE"""),0.5)</f>
        <v>0.5</v>
      </c>
      <c r="Q5654" s="4" t="str">
        <f>IFERROR(__xludf.DUMMYFUNCTION("""COMPUTED_VALUE"""),"null")</f>
        <v>null</v>
      </c>
      <c r="R5654" s="33">
        <f>IFERROR(__xludf.DUMMYFUNCTION("""COMPUTED_VALUE"""),0.5)</f>
        <v>0.5</v>
      </c>
      <c r="S5654" s="4" t="str">
        <f>IFERROR(__xludf.DUMMYFUNCTION("""COMPUTED_VALUE"""),"null")</f>
        <v>null</v>
      </c>
      <c r="T5654" s="33">
        <f>IFERROR(__xludf.DUMMYFUNCTION("""COMPUTED_VALUE"""),0.5)</f>
        <v>0.5</v>
      </c>
      <c r="U5654" s="4" t="str">
        <f>IFERROR(__xludf.DUMMYFUNCTION("""COMPUTED_VALUE"""),"null")</f>
        <v>null</v>
      </c>
      <c r="V5654" s="33">
        <f>IFERROR(__xludf.DUMMYFUNCTION("""COMPUTED_VALUE"""),0.5)</f>
        <v>0.5</v>
      </c>
      <c r="W5654" s="4" t="str">
        <f>IFERROR(__xludf.DUMMYFUNCTION("""COMPUTED_VALUE"""),"null")</f>
        <v>null</v>
      </c>
      <c r="X5654" s="33">
        <f>IFERROR(__xludf.DUMMYFUNCTION("""COMPUTED_VALUE"""),0.5)</f>
        <v>0.5</v>
      </c>
    </row>
    <row r="5655">
      <c r="K5655" s="4" t="str">
        <f>IFERROR(__xludf.DUMMYFUNCTION("""COMPUTED_VALUE"""),"BURGUER DO GORDAO")</f>
        <v>BURGUER DO GORDAO</v>
      </c>
      <c r="L5655" s="32">
        <f>IFERROR(__xludf.DUMMYFUNCTION("""COMPUTED_VALUE"""),2.0)</f>
        <v>2</v>
      </c>
      <c r="M5655" s="4" t="str">
        <f>IFERROR(__xludf.DUMMYFUNCTION("""COMPUTED_VALUE"""),"Anota Ai Solucoes Digitais S/a")</f>
        <v>Anota Ai Solucoes Digitais S/a</v>
      </c>
      <c r="N5655" s="33">
        <f>IFERROR(__xludf.DUMMYFUNCTION("""COMPUTED_VALUE"""),0.5)</f>
        <v>0.5</v>
      </c>
      <c r="O5655" s="4" t="str">
        <f>IFERROR(__xludf.DUMMYFUNCTION("""COMPUTED_VALUE"""),"Anota Ai Solucoes Digitais S/a")</f>
        <v>Anota Ai Solucoes Digitais S/a</v>
      </c>
      <c r="P5655" s="33">
        <f>IFERROR(__xludf.DUMMYFUNCTION("""COMPUTED_VALUE"""),0.5)</f>
        <v>0.5</v>
      </c>
      <c r="Q5655" s="4" t="str">
        <f>IFERROR(__xludf.DUMMYFUNCTION("""COMPUTED_VALUE"""),"Anota Ai Solucoes Digitais S/a")</f>
        <v>Anota Ai Solucoes Digitais S/a</v>
      </c>
      <c r="R5655" s="33">
        <f>IFERROR(__xludf.DUMMYFUNCTION("""COMPUTED_VALUE"""),0.5)</f>
        <v>0.5</v>
      </c>
      <c r="S5655" s="4" t="str">
        <f>IFERROR(__xludf.DUMMYFUNCTION("""COMPUTED_VALUE"""),"Anota Ai Solucoes Digitais S/a")</f>
        <v>Anota Ai Solucoes Digitais S/a</v>
      </c>
      <c r="T5655" s="33">
        <f>IFERROR(__xludf.DUMMYFUNCTION("""COMPUTED_VALUE"""),0.5)</f>
        <v>0.5</v>
      </c>
      <c r="U5655" s="4" t="str">
        <f>IFERROR(__xludf.DUMMYFUNCTION("""COMPUTED_VALUE"""),"Anota Ai Solucoes Digitais S/a")</f>
        <v>Anota Ai Solucoes Digitais S/a</v>
      </c>
      <c r="V5655" s="33">
        <f>IFERROR(__xludf.DUMMYFUNCTION("""COMPUTED_VALUE"""),0.5)</f>
        <v>0.5</v>
      </c>
      <c r="W5655" s="4" t="str">
        <f>IFERROR(__xludf.DUMMYFUNCTION("""COMPUTED_VALUE"""),"Anota Ai Solucoes Digitais S/a")</f>
        <v>Anota Ai Solucoes Digitais S/a</v>
      </c>
      <c r="X5655" s="33">
        <f>IFERROR(__xludf.DUMMYFUNCTION("""COMPUTED_VALUE"""),0.5)</f>
        <v>0.5</v>
      </c>
    </row>
    <row r="5656">
      <c r="K5656" s="4" t="str">
        <f>IFERROR(__xludf.DUMMYFUNCTION("""COMPUTED_VALUE"""),"LA TOSCANA PIZZARIA")</f>
        <v>LA TOSCANA PIZZARIA</v>
      </c>
      <c r="L5656" s="32">
        <f>IFERROR(__xludf.DUMMYFUNCTION("""COMPUTED_VALUE"""),2.0)</f>
        <v>2</v>
      </c>
      <c r="M5656" s="4" t="str">
        <f>IFERROR(__xludf.DUMMYFUNCTION("""COMPUTED_VALUE"""),"null")</f>
        <v>null</v>
      </c>
      <c r="N5656" s="33">
        <f>IFERROR(__xludf.DUMMYFUNCTION("""COMPUTED_VALUE"""),0.5)</f>
        <v>0.5</v>
      </c>
      <c r="O5656" s="4" t="str">
        <f>IFERROR(__xludf.DUMMYFUNCTION("""COMPUTED_VALUE"""),"Saipos Serviços De Software")</f>
        <v>Saipos Serviços De Software</v>
      </c>
      <c r="P5656" s="33">
        <f>IFERROR(__xludf.DUMMYFUNCTION("""COMPUTED_VALUE"""),1.0)</f>
        <v>1</v>
      </c>
      <c r="Q5656" s="4" t="str">
        <f>IFERROR(__xludf.DUMMYFUNCTION("""COMPUTED_VALUE"""),"Saipos Serviços De Software")</f>
        <v>Saipos Serviços De Software</v>
      </c>
      <c r="R5656" s="33">
        <f>IFERROR(__xludf.DUMMYFUNCTION("""COMPUTED_VALUE"""),0.5)</f>
        <v>0.5</v>
      </c>
      <c r="S5656" s="4" t="str">
        <f>IFERROR(__xludf.DUMMYFUNCTION("""COMPUTED_VALUE"""),"Saipos Serviços De Software")</f>
        <v>Saipos Serviços De Software</v>
      </c>
      <c r="T5656" s="33">
        <f>IFERROR(__xludf.DUMMYFUNCTION("""COMPUTED_VALUE"""),0.5)</f>
        <v>0.5</v>
      </c>
      <c r="U5656" s="4" t="str">
        <f>IFERROR(__xludf.DUMMYFUNCTION("""COMPUTED_VALUE"""),"Saipos Serviços De Software")</f>
        <v>Saipos Serviços De Software</v>
      </c>
      <c r="V5656" s="33">
        <f>IFERROR(__xludf.DUMMYFUNCTION("""COMPUTED_VALUE"""),0.5)</f>
        <v>0.5</v>
      </c>
      <c r="W5656" s="4" t="str">
        <f>IFERROR(__xludf.DUMMYFUNCTION("""COMPUTED_VALUE"""),"Saipos Serviços De Software")</f>
        <v>Saipos Serviços De Software</v>
      </c>
      <c r="X5656" s="33">
        <f>IFERROR(__xludf.DUMMYFUNCTION("""COMPUTED_VALUE"""),0.5)</f>
        <v>0.5</v>
      </c>
    </row>
    <row r="5657">
      <c r="K5657" s="4" t="str">
        <f>IFERROR(__xludf.DUMMYFUNCTION("""COMPUTED_VALUE"""),"REPUBLICA DO ACAI")</f>
        <v>REPUBLICA DO ACAI</v>
      </c>
      <c r="L5657" s="32">
        <f>IFERROR(__xludf.DUMMYFUNCTION("""COMPUTED_VALUE"""),2.0)</f>
        <v>2</v>
      </c>
      <c r="M5657" s="4" t="str">
        <f>IFERROR(__xludf.DUMMYFUNCTION("""COMPUTED_VALUE"""),"Compilart Tecnologia Ltda")</f>
        <v>Compilart Tecnologia Ltda</v>
      </c>
      <c r="N5657" s="33">
        <f>IFERROR(__xludf.DUMMYFUNCTION("""COMPUTED_VALUE"""),0.5)</f>
        <v>0.5</v>
      </c>
      <c r="O5657" s="4" t="str">
        <f>IFERROR(__xludf.DUMMYFUNCTION("""COMPUTED_VALUE"""),"Compilart Tecnologia Ltda")</f>
        <v>Compilart Tecnologia Ltda</v>
      </c>
      <c r="P5657" s="33">
        <f>IFERROR(__xludf.DUMMYFUNCTION("""COMPUTED_VALUE"""),0.5)</f>
        <v>0.5</v>
      </c>
      <c r="Q5657" s="4" t="str">
        <f>IFERROR(__xludf.DUMMYFUNCTION("""COMPUTED_VALUE"""),"null")</f>
        <v>null</v>
      </c>
      <c r="R5657" s="33">
        <f>IFERROR(__xludf.DUMMYFUNCTION("""COMPUTED_VALUE"""),1.0)</f>
        <v>1</v>
      </c>
      <c r="S5657" s="4" t="str">
        <f>IFERROR(__xludf.DUMMYFUNCTION("""COMPUTED_VALUE"""),"null")</f>
        <v>null</v>
      </c>
      <c r="T5657" s="33">
        <f>IFERROR(__xludf.DUMMYFUNCTION("""COMPUTED_VALUE"""),0.5)</f>
        <v>0.5</v>
      </c>
      <c r="U5657" s="4" t="str">
        <f>IFERROR(__xludf.DUMMYFUNCTION("""COMPUTED_VALUE"""),"null")</f>
        <v>null</v>
      </c>
      <c r="V5657" s="33">
        <f>IFERROR(__xludf.DUMMYFUNCTION("""COMPUTED_VALUE"""),0.5)</f>
        <v>0.5</v>
      </c>
      <c r="W5657" s="4" t="str">
        <f>IFERROR(__xludf.DUMMYFUNCTION("""COMPUTED_VALUE"""),"null")</f>
        <v>null</v>
      </c>
      <c r="X5657" s="33">
        <f>IFERROR(__xludf.DUMMYFUNCTION("""COMPUTED_VALUE"""),0.5)</f>
        <v>0.5</v>
      </c>
    </row>
    <row r="5658">
      <c r="K5658" s="4" t="str">
        <f>IFERROR(__xludf.DUMMYFUNCTION("""COMPUTED_VALUE"""),"PIZZA FRITA SK - VILA CARTIER")</f>
        <v>PIZZA FRITA SK - VILA CARTIER</v>
      </c>
      <c r="L5658" s="32">
        <f>IFERROR(__xludf.DUMMYFUNCTION("""COMPUTED_VALUE"""),2.0)</f>
        <v>2</v>
      </c>
      <c r="M5658" s="4" t="str">
        <f>IFERROR(__xludf.DUMMYFUNCTION("""COMPUTED_VALUE"""),"Cardápio Web")</f>
        <v>Cardápio Web</v>
      </c>
      <c r="N5658" s="33">
        <f>IFERROR(__xludf.DUMMYFUNCTION("""COMPUTED_VALUE"""),0.5)</f>
        <v>0.5</v>
      </c>
      <c r="O5658" s="4" t="str">
        <f>IFERROR(__xludf.DUMMYFUNCTION("""COMPUTED_VALUE"""),"Cardápio Web")</f>
        <v>Cardápio Web</v>
      </c>
      <c r="P5658" s="33">
        <f>IFERROR(__xludf.DUMMYFUNCTION("""COMPUTED_VALUE"""),0.5)</f>
        <v>0.5</v>
      </c>
      <c r="Q5658" s="4" t="str">
        <f>IFERROR(__xludf.DUMMYFUNCTION("""COMPUTED_VALUE"""),"Cardápio Web")</f>
        <v>Cardápio Web</v>
      </c>
      <c r="R5658" s="33">
        <f>IFERROR(__xludf.DUMMYFUNCTION("""COMPUTED_VALUE"""),0.5)</f>
        <v>0.5</v>
      </c>
      <c r="S5658" s="4" t="str">
        <f>IFERROR(__xludf.DUMMYFUNCTION("""COMPUTED_VALUE"""),"Cardápio Web")</f>
        <v>Cardápio Web</v>
      </c>
      <c r="T5658" s="33">
        <f>IFERROR(__xludf.DUMMYFUNCTION("""COMPUTED_VALUE"""),0.5)</f>
        <v>0.5</v>
      </c>
      <c r="U5658" s="4" t="str">
        <f>IFERROR(__xludf.DUMMYFUNCTION("""COMPUTED_VALUE"""),"Cardápio Web")</f>
        <v>Cardápio Web</v>
      </c>
      <c r="V5658" s="33">
        <f>IFERROR(__xludf.DUMMYFUNCTION("""COMPUTED_VALUE"""),0.5)</f>
        <v>0.5</v>
      </c>
      <c r="W5658" s="4" t="str">
        <f>IFERROR(__xludf.DUMMYFUNCTION("""COMPUTED_VALUE"""),"null")</f>
        <v>null</v>
      </c>
      <c r="X5658" s="33">
        <f>IFERROR(__xludf.DUMMYFUNCTION("""COMPUTED_VALUE"""),0.5)</f>
        <v>0.5</v>
      </c>
    </row>
    <row r="5659">
      <c r="K5659" s="4" t="str">
        <f>IFERROR(__xludf.DUMMYFUNCTION("""COMPUTED_VALUE"""),"ROYALLE PIZZARIA E CHOPERIA")</f>
        <v>ROYALLE PIZZARIA E CHOPERIA</v>
      </c>
      <c r="L5659" s="32">
        <f>IFERROR(__xludf.DUMMYFUNCTION("""COMPUTED_VALUE"""),2.0)</f>
        <v>2</v>
      </c>
      <c r="M5659" s="4" t="str">
        <f>IFERROR(__xludf.DUMMYFUNCTION("""COMPUTED_VALUE"""),"null")</f>
        <v>null</v>
      </c>
      <c r="N5659" s="33">
        <f>IFERROR(__xludf.DUMMYFUNCTION("""COMPUTED_VALUE"""),1.0)</f>
        <v>1</v>
      </c>
      <c r="O5659" s="4" t="str">
        <f>IFERROR(__xludf.DUMMYFUNCTION("""COMPUTED_VALUE"""),"Solução Sistemas")</f>
        <v>Solução Sistemas</v>
      </c>
      <c r="P5659" s="33">
        <f>IFERROR(__xludf.DUMMYFUNCTION("""COMPUTED_VALUE"""),0.5)</f>
        <v>0.5</v>
      </c>
      <c r="Q5659" s="4" t="str">
        <f>IFERROR(__xludf.DUMMYFUNCTION("""COMPUTED_VALUE"""),"null")</f>
        <v>null</v>
      </c>
      <c r="R5659" s="33">
        <f>IFERROR(__xludf.DUMMYFUNCTION("""COMPUTED_VALUE"""),1.0)</f>
        <v>1</v>
      </c>
      <c r="S5659" s="4" t="str">
        <f>IFERROR(__xludf.DUMMYFUNCTION("""COMPUTED_VALUE"""),"null")</f>
        <v>null</v>
      </c>
      <c r="T5659" s="33">
        <f>IFERROR(__xludf.DUMMYFUNCTION("""COMPUTED_VALUE"""),1.0)</f>
        <v>1</v>
      </c>
      <c r="U5659" s="4" t="str">
        <f>IFERROR(__xludf.DUMMYFUNCTION("""COMPUTED_VALUE"""),"null")</f>
        <v>null</v>
      </c>
      <c r="V5659" s="33">
        <f>IFERROR(__xludf.DUMMYFUNCTION("""COMPUTED_VALUE"""),0.5)</f>
        <v>0.5</v>
      </c>
      <c r="W5659" s="4" t="str">
        <f>IFERROR(__xludf.DUMMYFUNCTION("""COMPUTED_VALUE"""),"null")</f>
        <v>null</v>
      </c>
      <c r="X5659" s="33">
        <f>IFERROR(__xludf.DUMMYFUNCTION("""COMPUTED_VALUE"""),1.0)</f>
        <v>1</v>
      </c>
    </row>
    <row r="5660">
      <c r="K5660" s="4" t="str">
        <f>IFERROR(__xludf.DUMMYFUNCTION("""COMPUTED_VALUE"""),"BURGUER MIX")</f>
        <v>BURGUER MIX</v>
      </c>
      <c r="L5660" s="32">
        <f>IFERROR(__xludf.DUMMYFUNCTION("""COMPUTED_VALUE"""),2.0)</f>
        <v>2</v>
      </c>
      <c r="M5660" s="4" t="str">
        <f>IFERROR(__xludf.DUMMYFUNCTION("""COMPUTED_VALUE"""),"Anota Ai Solucoes Digitais S/a")</f>
        <v>Anota Ai Solucoes Digitais S/a</v>
      </c>
      <c r="N5660" s="33">
        <f>IFERROR(__xludf.DUMMYFUNCTION("""COMPUTED_VALUE"""),0.5)</f>
        <v>0.5</v>
      </c>
      <c r="O5660" s="4" t="str">
        <f>IFERROR(__xludf.DUMMYFUNCTION("""COMPUTED_VALUE"""),"Anota Ai Solucoes Digitais S/a")</f>
        <v>Anota Ai Solucoes Digitais S/a</v>
      </c>
      <c r="P5660" s="33">
        <f>IFERROR(__xludf.DUMMYFUNCTION("""COMPUTED_VALUE"""),0.5)</f>
        <v>0.5</v>
      </c>
      <c r="Q5660" s="4" t="str">
        <f>IFERROR(__xludf.DUMMYFUNCTION("""COMPUTED_VALUE"""),"Anota Ai Solucoes Digitais S/a")</f>
        <v>Anota Ai Solucoes Digitais S/a</v>
      </c>
      <c r="R5660" s="33">
        <f>IFERROR(__xludf.DUMMYFUNCTION("""COMPUTED_VALUE"""),0.5)</f>
        <v>0.5</v>
      </c>
      <c r="S5660" s="4" t="str">
        <f>IFERROR(__xludf.DUMMYFUNCTION("""COMPUTED_VALUE"""),"Anota Ai Solucoes Digitais S/a")</f>
        <v>Anota Ai Solucoes Digitais S/a</v>
      </c>
      <c r="T5660" s="33">
        <f>IFERROR(__xludf.DUMMYFUNCTION("""COMPUTED_VALUE"""),0.5)</f>
        <v>0.5</v>
      </c>
      <c r="U5660" s="4" t="str">
        <f>IFERROR(__xludf.DUMMYFUNCTION("""COMPUTED_VALUE"""),"Saipos Serviços De Software")</f>
        <v>Saipos Serviços De Software</v>
      </c>
      <c r="V5660" s="33">
        <f>IFERROR(__xludf.DUMMYFUNCTION("""COMPUTED_VALUE"""),0.5)</f>
        <v>0.5</v>
      </c>
      <c r="W5660" s="4" t="str">
        <f>IFERROR(__xludf.DUMMYFUNCTION("""COMPUTED_VALUE"""),"Anota Ai Solucoes Digitais S/a")</f>
        <v>Anota Ai Solucoes Digitais S/a</v>
      </c>
      <c r="X5660" s="33">
        <f>IFERROR(__xludf.DUMMYFUNCTION("""COMPUTED_VALUE"""),0.5)</f>
        <v>0.5</v>
      </c>
    </row>
    <row r="5661">
      <c r="K5661" s="4" t="str">
        <f>IFERROR(__xludf.DUMMYFUNCTION("""COMPUTED_VALUE"""),"MR FOOD")</f>
        <v>MR FOOD</v>
      </c>
      <c r="L5661" s="32">
        <f>IFERROR(__xludf.DUMMYFUNCTION("""COMPUTED_VALUE"""),2.0)</f>
        <v>2</v>
      </c>
      <c r="M5661" s="4" t="str">
        <f>IFERROR(__xludf.DUMMYFUNCTION("""COMPUTED_VALUE"""),"Suitable Tecnologia E Gestao")</f>
        <v>Suitable Tecnologia E Gestao</v>
      </c>
      <c r="N5661" s="33">
        <f>IFERROR(__xludf.DUMMYFUNCTION("""COMPUTED_VALUE"""),0.5)</f>
        <v>0.5</v>
      </c>
      <c r="O5661" s="4" t="str">
        <f>IFERROR(__xludf.DUMMYFUNCTION("""COMPUTED_VALUE"""),"Suitable Tecnologia E Gestao")</f>
        <v>Suitable Tecnologia E Gestao</v>
      </c>
      <c r="P5661" s="33">
        <f>IFERROR(__xludf.DUMMYFUNCTION("""COMPUTED_VALUE"""),0.5)</f>
        <v>0.5</v>
      </c>
      <c r="Q5661" s="4" t="str">
        <f>IFERROR(__xludf.DUMMYFUNCTION("""COMPUTED_VALUE"""),"Suitable Tecnologia E Gestao")</f>
        <v>Suitable Tecnologia E Gestao</v>
      </c>
      <c r="R5661" s="33">
        <f>IFERROR(__xludf.DUMMYFUNCTION("""COMPUTED_VALUE"""),0.5)</f>
        <v>0.5</v>
      </c>
      <c r="S5661" s="4" t="str">
        <f>IFERROR(__xludf.DUMMYFUNCTION("""COMPUTED_VALUE"""),"Suitable Tecnologia E Gestao")</f>
        <v>Suitable Tecnologia E Gestao</v>
      </c>
      <c r="T5661" s="33">
        <f>IFERROR(__xludf.DUMMYFUNCTION("""COMPUTED_VALUE"""),0.5)</f>
        <v>0.5</v>
      </c>
      <c r="U5661" s="4" t="str">
        <f>IFERROR(__xludf.DUMMYFUNCTION("""COMPUTED_VALUE"""),"Suitable Tecnologia E Gestao")</f>
        <v>Suitable Tecnologia E Gestao</v>
      </c>
      <c r="V5661" s="33">
        <f>IFERROR(__xludf.DUMMYFUNCTION("""COMPUTED_VALUE"""),0.5)</f>
        <v>0.5</v>
      </c>
      <c r="W5661" s="4" t="str">
        <f>IFERROR(__xludf.DUMMYFUNCTION("""COMPUTED_VALUE"""),"Suitable Tecnologia E Gestao")</f>
        <v>Suitable Tecnologia E Gestao</v>
      </c>
      <c r="X5661" s="33">
        <f>IFERROR(__xludf.DUMMYFUNCTION("""COMPUTED_VALUE"""),0.5)</f>
        <v>0.5</v>
      </c>
    </row>
    <row r="5662">
      <c r="K5662" s="4" t="str">
        <f>IFERROR(__xludf.DUMMYFUNCTION("""COMPUTED_VALUE"""),"DROGARIA LEAL")</f>
        <v>DROGARIA LEAL</v>
      </c>
      <c r="L5662" s="32">
        <f>IFERROR(__xludf.DUMMYFUNCTION("""COMPUTED_VALUE"""),2.0)</f>
        <v>2</v>
      </c>
      <c r="M5662" s="4" t="str">
        <f>IFERROR(__xludf.DUMMYFUNCTION("""COMPUTED_VALUE"""),"N/A (Not found)")</f>
        <v>N/A (Not found)</v>
      </c>
      <c r="N5662" s="33">
        <f>IFERROR(__xludf.DUMMYFUNCTION("""COMPUTED_VALUE"""),0.5)</f>
        <v>0.5</v>
      </c>
      <c r="O5662" s="4" t="str">
        <f>IFERROR(__xludf.DUMMYFUNCTION("""COMPUTED_VALUE"""),"N/A (Not found)")</f>
        <v>N/A (Not found)</v>
      </c>
      <c r="P5662" s="33">
        <f>IFERROR(__xludf.DUMMYFUNCTION("""COMPUTED_VALUE"""),1.0)</f>
        <v>1</v>
      </c>
      <c r="Q5662" s="4" t="str">
        <f>IFERROR(__xludf.DUMMYFUNCTION("""COMPUTED_VALUE"""),"N/A (Not found)")</f>
        <v>N/A (Not found)</v>
      </c>
      <c r="R5662" s="33">
        <f>IFERROR(__xludf.DUMMYFUNCTION("""COMPUTED_VALUE"""),0.5)</f>
        <v>0.5</v>
      </c>
      <c r="S5662" s="4" t="str">
        <f>IFERROR(__xludf.DUMMYFUNCTION("""COMPUTED_VALUE"""),"N/A (Not found)")</f>
        <v>N/A (Not found)</v>
      </c>
      <c r="T5662" s="33">
        <f>IFERROR(__xludf.DUMMYFUNCTION("""COMPUTED_VALUE"""),0.5)</f>
        <v>0.5</v>
      </c>
      <c r="U5662" s="4" t="str">
        <f>IFERROR(__xludf.DUMMYFUNCTION("""COMPUTED_VALUE"""),"N/A (Not found)")</f>
        <v>N/A (Not found)</v>
      </c>
      <c r="V5662" s="33">
        <f>IFERROR(__xludf.DUMMYFUNCTION("""COMPUTED_VALUE"""),0.5)</f>
        <v>0.5</v>
      </c>
      <c r="W5662" s="4" t="str">
        <f>IFERROR(__xludf.DUMMYFUNCTION("""COMPUTED_VALUE"""),"null")</f>
        <v>null</v>
      </c>
      <c r="X5662" s="33">
        <f>IFERROR(__xludf.DUMMYFUNCTION("""COMPUTED_VALUE"""),1.0)</f>
        <v>1</v>
      </c>
    </row>
    <row r="5663">
      <c r="K5663" s="4" t="str">
        <f>IFERROR(__xludf.DUMMYFUNCTION("""COMPUTED_VALUE"""),"PIZZARIA SPECIALLE")</f>
        <v>PIZZARIA SPECIALLE</v>
      </c>
      <c r="L5663" s="32">
        <f>IFERROR(__xludf.DUMMYFUNCTION("""COMPUTED_VALUE"""),2.0)</f>
        <v>2</v>
      </c>
      <c r="M5663" s="4" t="str">
        <f>IFERROR(__xludf.DUMMYFUNCTION("""COMPUTED_VALUE"""),"Mp Multipedidos")</f>
        <v>Mp Multipedidos</v>
      </c>
      <c r="N5663" s="33">
        <f>IFERROR(__xludf.DUMMYFUNCTION("""COMPUTED_VALUE"""),0.5)</f>
        <v>0.5</v>
      </c>
      <c r="O5663" s="4" t="str">
        <f>IFERROR(__xludf.DUMMYFUNCTION("""COMPUTED_VALUE"""),"Mp Multipedidos")</f>
        <v>Mp Multipedidos</v>
      </c>
      <c r="P5663" s="33">
        <f>IFERROR(__xludf.DUMMYFUNCTION("""COMPUTED_VALUE"""),0.5)</f>
        <v>0.5</v>
      </c>
      <c r="Q5663" s="4" t="str">
        <f>IFERROR(__xludf.DUMMYFUNCTION("""COMPUTED_VALUE"""),"Mp Multipedidos")</f>
        <v>Mp Multipedidos</v>
      </c>
      <c r="R5663" s="33">
        <f>IFERROR(__xludf.DUMMYFUNCTION("""COMPUTED_VALUE"""),0.5)</f>
        <v>0.5</v>
      </c>
      <c r="S5663" s="4" t="str">
        <f>IFERROR(__xludf.DUMMYFUNCTION("""COMPUTED_VALUE"""),"Mp Multipedidos")</f>
        <v>Mp Multipedidos</v>
      </c>
      <c r="T5663" s="33">
        <f>IFERROR(__xludf.DUMMYFUNCTION("""COMPUTED_VALUE"""),0.5)</f>
        <v>0.5</v>
      </c>
      <c r="U5663" s="4" t="str">
        <f>IFERROR(__xludf.DUMMYFUNCTION("""COMPUTED_VALUE"""),"Mp Multipedidos")</f>
        <v>Mp Multipedidos</v>
      </c>
      <c r="V5663" s="33">
        <f>IFERROR(__xludf.DUMMYFUNCTION("""COMPUTED_VALUE"""),0.5)</f>
        <v>0.5</v>
      </c>
      <c r="W5663" s="4" t="str">
        <f>IFERROR(__xludf.DUMMYFUNCTION("""COMPUTED_VALUE"""),"Mp Multipedidos")</f>
        <v>Mp Multipedidos</v>
      </c>
      <c r="X5663" s="33">
        <f>IFERROR(__xludf.DUMMYFUNCTION("""COMPUTED_VALUE"""),0.5)</f>
        <v>0.5</v>
      </c>
    </row>
    <row r="5664">
      <c r="K5664" s="4" t="str">
        <f>IFERROR(__xludf.DUMMYFUNCTION("""COMPUTED_VALUE"""),"SUSHIPREMIUM")</f>
        <v>SUSHIPREMIUM</v>
      </c>
      <c r="L5664" s="32">
        <f>IFERROR(__xludf.DUMMYFUNCTION("""COMPUTED_VALUE"""),2.0)</f>
        <v>2</v>
      </c>
      <c r="M5664" s="4" t="str">
        <f>IFERROR(__xludf.DUMMYFUNCTION("""COMPUTED_VALUE"""),"Anota Ai Solucoes Digitais S/a")</f>
        <v>Anota Ai Solucoes Digitais S/a</v>
      </c>
      <c r="N5664" s="33">
        <f>IFERROR(__xludf.DUMMYFUNCTION("""COMPUTED_VALUE"""),1.0)</f>
        <v>1</v>
      </c>
      <c r="O5664" s="4" t="str">
        <f>IFERROR(__xludf.DUMMYFUNCTION("""COMPUTED_VALUE"""),"Anota Ai Solucoes Digitais S/a")</f>
        <v>Anota Ai Solucoes Digitais S/a</v>
      </c>
      <c r="P5664" s="33">
        <f>IFERROR(__xludf.DUMMYFUNCTION("""COMPUTED_VALUE"""),1.0)</f>
        <v>1</v>
      </c>
      <c r="Q5664" s="4" t="str">
        <f>IFERROR(__xludf.DUMMYFUNCTION("""COMPUTED_VALUE"""),"null")</f>
        <v>null</v>
      </c>
      <c r="R5664" s="33">
        <f>IFERROR(__xludf.DUMMYFUNCTION("""COMPUTED_VALUE"""),0.5)</f>
        <v>0.5</v>
      </c>
      <c r="S5664" s="4" t="str">
        <f>IFERROR(__xludf.DUMMYFUNCTION("""COMPUTED_VALUE"""),"null")</f>
        <v>null</v>
      </c>
      <c r="T5664" s="33">
        <f>IFERROR(__xludf.DUMMYFUNCTION("""COMPUTED_VALUE"""),0.5)</f>
        <v>0.5</v>
      </c>
      <c r="U5664" s="4" t="str">
        <f>IFERROR(__xludf.DUMMYFUNCTION("""COMPUTED_VALUE"""),"Anota Ai Solucoes Digitais S/a")</f>
        <v>Anota Ai Solucoes Digitais S/a</v>
      </c>
      <c r="V5664" s="33">
        <f>IFERROR(__xludf.DUMMYFUNCTION("""COMPUTED_VALUE"""),1.0)</f>
        <v>1</v>
      </c>
      <c r="W5664" s="4" t="str">
        <f>IFERROR(__xludf.DUMMYFUNCTION("""COMPUTED_VALUE"""),"null")</f>
        <v>null</v>
      </c>
      <c r="X5664" s="33">
        <f>IFERROR(__xludf.DUMMYFUNCTION("""COMPUTED_VALUE"""),1.0)</f>
        <v>1</v>
      </c>
    </row>
    <row r="5665">
      <c r="K5665" s="4" t="str">
        <f>IFERROR(__xludf.DUMMYFUNCTION("""COMPUTED_VALUE"""),"FARMA E FARMA")</f>
        <v>FARMA E FARMA</v>
      </c>
      <c r="L5665" s="32">
        <f>IFERROR(__xludf.DUMMYFUNCTION("""COMPUTED_VALUE"""),2.0)</f>
        <v>2</v>
      </c>
      <c r="M5665" s="4" t="str">
        <f>IFERROR(__xludf.DUMMYFUNCTION("""COMPUTED_VALUE"""),"N/A (Not found)")</f>
        <v>N/A (Not found)</v>
      </c>
      <c r="N5665" s="33">
        <f>IFERROR(__xludf.DUMMYFUNCTION("""COMPUTED_VALUE"""),0.5)</f>
        <v>0.5</v>
      </c>
      <c r="O5665" s="4" t="str">
        <f>IFERROR(__xludf.DUMMYFUNCTION("""COMPUTED_VALUE"""),"N/A (Not found)")</f>
        <v>N/A (Not found)</v>
      </c>
      <c r="P5665" s="33">
        <f>IFERROR(__xludf.DUMMYFUNCTION("""COMPUTED_VALUE"""),0.5)</f>
        <v>0.5</v>
      </c>
      <c r="Q5665" s="4" t="str">
        <f>IFERROR(__xludf.DUMMYFUNCTION("""COMPUTED_VALUE"""),"N/A (Not found)")</f>
        <v>N/A (Not found)</v>
      </c>
      <c r="R5665" s="33">
        <f>IFERROR(__xludf.DUMMYFUNCTION("""COMPUTED_VALUE"""),1.0)</f>
        <v>1</v>
      </c>
      <c r="S5665" s="4" t="str">
        <f>IFERROR(__xludf.DUMMYFUNCTION("""COMPUTED_VALUE"""),"N/A (Not found)")</f>
        <v>N/A (Not found)</v>
      </c>
      <c r="T5665" s="33">
        <f>IFERROR(__xludf.DUMMYFUNCTION("""COMPUTED_VALUE"""),1.0)</f>
        <v>1</v>
      </c>
      <c r="U5665" s="4" t="str">
        <f>IFERROR(__xludf.DUMMYFUNCTION("""COMPUTED_VALUE"""),"N/A (Not found)")</f>
        <v>N/A (Not found)</v>
      </c>
      <c r="V5665" s="33">
        <f>IFERROR(__xludf.DUMMYFUNCTION("""COMPUTED_VALUE"""),1.0)</f>
        <v>1</v>
      </c>
      <c r="W5665" s="4" t="str">
        <f>IFERROR(__xludf.DUMMYFUNCTION("""COMPUTED_VALUE"""),"null")</f>
        <v>null</v>
      </c>
      <c r="X5665" s="33">
        <f>IFERROR(__xludf.DUMMYFUNCTION("""COMPUTED_VALUE"""),0.5)</f>
        <v>0.5</v>
      </c>
    </row>
    <row r="5666">
      <c r="K5666" s="4" t="str">
        <f>IFERROR(__xludf.DUMMYFUNCTION("""COMPUTED_VALUE"""),"ACAI DO BIEL")</f>
        <v>ACAI DO BIEL</v>
      </c>
      <c r="L5666" s="32">
        <f>IFERROR(__xludf.DUMMYFUNCTION("""COMPUTED_VALUE"""),2.0)</f>
        <v>2</v>
      </c>
      <c r="M5666" s="4" t="str">
        <f>IFERROR(__xludf.DUMMYFUNCTION("""COMPUTED_VALUE"""),"Yooga")</f>
        <v>Yooga</v>
      </c>
      <c r="N5666" s="33">
        <f>IFERROR(__xludf.DUMMYFUNCTION("""COMPUTED_VALUE"""),0.5)</f>
        <v>0.5</v>
      </c>
      <c r="O5666" s="4" t="str">
        <f>IFERROR(__xludf.DUMMYFUNCTION("""COMPUTED_VALUE"""),"Yooga")</f>
        <v>Yooga</v>
      </c>
      <c r="P5666" s="33">
        <f>IFERROR(__xludf.DUMMYFUNCTION("""COMPUTED_VALUE"""),0.5)</f>
        <v>0.5</v>
      </c>
      <c r="Q5666" s="4" t="str">
        <f>IFERROR(__xludf.DUMMYFUNCTION("""COMPUTED_VALUE"""),"Yooga")</f>
        <v>Yooga</v>
      </c>
      <c r="R5666" s="33">
        <f>IFERROR(__xludf.DUMMYFUNCTION("""COMPUTED_VALUE"""),0.5)</f>
        <v>0.5</v>
      </c>
      <c r="S5666" s="4" t="str">
        <f>IFERROR(__xludf.DUMMYFUNCTION("""COMPUTED_VALUE"""),"Yooga")</f>
        <v>Yooga</v>
      </c>
      <c r="T5666" s="33">
        <f>IFERROR(__xludf.DUMMYFUNCTION("""COMPUTED_VALUE"""),0.5)</f>
        <v>0.5</v>
      </c>
      <c r="U5666" s="4" t="str">
        <f>IFERROR(__xludf.DUMMYFUNCTION("""COMPUTED_VALUE"""),"Yooga")</f>
        <v>Yooga</v>
      </c>
      <c r="V5666" s="33">
        <f>IFERROR(__xludf.DUMMYFUNCTION("""COMPUTED_VALUE"""),0.5)</f>
        <v>0.5</v>
      </c>
      <c r="W5666" s="4" t="str">
        <f>IFERROR(__xludf.DUMMYFUNCTION("""COMPUTED_VALUE"""),"Yooga")</f>
        <v>Yooga</v>
      </c>
      <c r="X5666" s="33">
        <f>IFERROR(__xludf.DUMMYFUNCTION("""COMPUTED_VALUE"""),0.5)</f>
        <v>0.5</v>
      </c>
    </row>
    <row r="5667">
      <c r="K5667" s="4" t="str">
        <f>IFERROR(__xludf.DUMMYFUNCTION("""COMPUTED_VALUE"""),"PIZZA IN CASA")</f>
        <v>PIZZA IN CASA</v>
      </c>
      <c r="L5667" s="32">
        <f>IFERROR(__xludf.DUMMYFUNCTION("""COMPUTED_VALUE"""),2.0)</f>
        <v>2</v>
      </c>
      <c r="M5667" s="4" t="str">
        <f>IFERROR(__xludf.DUMMYFUNCTION("""COMPUTED_VALUE"""),"Instadelivery")</f>
        <v>Instadelivery</v>
      </c>
      <c r="N5667" s="33">
        <f>IFERROR(__xludf.DUMMYFUNCTION("""COMPUTED_VALUE"""),1.0)</f>
        <v>1</v>
      </c>
      <c r="O5667" s="4" t="str">
        <f>IFERROR(__xludf.DUMMYFUNCTION("""COMPUTED_VALUE"""),"null")</f>
        <v>null</v>
      </c>
      <c r="P5667" s="33">
        <f>IFERROR(__xludf.DUMMYFUNCTION("""COMPUTED_VALUE"""),0.5)</f>
        <v>0.5</v>
      </c>
      <c r="Q5667" s="4" t="str">
        <f>IFERROR(__xludf.DUMMYFUNCTION("""COMPUTED_VALUE"""),"null")</f>
        <v>null</v>
      </c>
      <c r="R5667" s="33">
        <f>IFERROR(__xludf.DUMMYFUNCTION("""COMPUTED_VALUE"""),0.5)</f>
        <v>0.5</v>
      </c>
      <c r="S5667" s="4" t="str">
        <f>IFERROR(__xludf.DUMMYFUNCTION("""COMPUTED_VALUE"""),"null")</f>
        <v>null</v>
      </c>
      <c r="T5667" s="33">
        <f>IFERROR(__xludf.DUMMYFUNCTION("""COMPUTED_VALUE"""),0.5)</f>
        <v>0.5</v>
      </c>
      <c r="U5667" s="4" t="str">
        <f>IFERROR(__xludf.DUMMYFUNCTION("""COMPUTED_VALUE"""),"null")</f>
        <v>null</v>
      </c>
      <c r="V5667" s="33">
        <f>IFERROR(__xludf.DUMMYFUNCTION("""COMPUTED_VALUE"""),0.5)</f>
        <v>0.5</v>
      </c>
      <c r="W5667" s="4" t="str">
        <f>IFERROR(__xludf.DUMMYFUNCTION("""COMPUTED_VALUE"""),"null")</f>
        <v>null</v>
      </c>
      <c r="X5667" s="33">
        <f>IFERROR(__xludf.DUMMYFUNCTION("""COMPUTED_VALUE"""),0.5)</f>
        <v>0.5</v>
      </c>
    </row>
    <row r="5668">
      <c r="K5668" s="4" t="str">
        <f>IFERROR(__xludf.DUMMYFUNCTION("""COMPUTED_VALUE"""),"LOJA INATIVA")</f>
        <v>LOJA INATIVA</v>
      </c>
      <c r="L5668" s="32">
        <f>IFERROR(__xludf.DUMMYFUNCTION("""COMPUTED_VALUE"""),2.0)</f>
        <v>2</v>
      </c>
      <c r="M5668" s="4" t="str">
        <f>IFERROR(__xludf.DUMMYFUNCTION("""COMPUTED_VALUE"""),"Cardápio Web")</f>
        <v>Cardápio Web</v>
      </c>
      <c r="N5668" s="33">
        <f>IFERROR(__xludf.DUMMYFUNCTION("""COMPUTED_VALUE"""),0.5)</f>
        <v>0.5</v>
      </c>
      <c r="O5668" s="4" t="str">
        <f>IFERROR(__xludf.DUMMYFUNCTION("""COMPUTED_VALUE"""),"Cardápio Web")</f>
        <v>Cardápio Web</v>
      </c>
      <c r="P5668" s="33">
        <f>IFERROR(__xludf.DUMMYFUNCTION("""COMPUTED_VALUE"""),0.5)</f>
        <v>0.5</v>
      </c>
      <c r="Q5668" s="4" t="str">
        <f>IFERROR(__xludf.DUMMYFUNCTION("""COMPUTED_VALUE"""),"Cardápio Web")</f>
        <v>Cardápio Web</v>
      </c>
      <c r="R5668" s="33">
        <f>IFERROR(__xludf.DUMMYFUNCTION("""COMPUTED_VALUE"""),0.5)</f>
        <v>0.5</v>
      </c>
      <c r="S5668" s="4" t="str">
        <f>IFERROR(__xludf.DUMMYFUNCTION("""COMPUTED_VALUE"""),"Cardápio Web")</f>
        <v>Cardápio Web</v>
      </c>
      <c r="T5668" s="33">
        <f>IFERROR(__xludf.DUMMYFUNCTION("""COMPUTED_VALUE"""),0.5)</f>
        <v>0.5</v>
      </c>
      <c r="U5668" s="4" t="str">
        <f>IFERROR(__xludf.DUMMYFUNCTION("""COMPUTED_VALUE"""),"Cardápio Web")</f>
        <v>Cardápio Web</v>
      </c>
      <c r="V5668" s="33">
        <f>IFERROR(__xludf.DUMMYFUNCTION("""COMPUTED_VALUE"""),0.5)</f>
        <v>0.5</v>
      </c>
      <c r="W5668" s="4" t="str">
        <f>IFERROR(__xludf.DUMMYFUNCTION("""COMPUTED_VALUE"""),"null")</f>
        <v>null</v>
      </c>
      <c r="X5668" s="33">
        <f>IFERROR(__xludf.DUMMYFUNCTION("""COMPUTED_VALUE"""),1.0)</f>
        <v>1</v>
      </c>
    </row>
    <row r="5669">
      <c r="K5669" s="4" t="str">
        <f>IFERROR(__xludf.DUMMYFUNCTION("""COMPUTED_VALUE"""),"POWER MIGA")</f>
        <v>POWER MIGA</v>
      </c>
      <c r="L5669" s="32">
        <f>IFERROR(__xludf.DUMMYFUNCTION("""COMPUTED_VALUE"""),2.0)</f>
        <v>2</v>
      </c>
      <c r="M5669" s="4" t="str">
        <f>IFERROR(__xludf.DUMMYFUNCTION("""COMPUTED_VALUE"""),"Saipos Serviços De Software")</f>
        <v>Saipos Serviços De Software</v>
      </c>
      <c r="N5669" s="33">
        <f>IFERROR(__xludf.DUMMYFUNCTION("""COMPUTED_VALUE"""),1.0)</f>
        <v>1</v>
      </c>
      <c r="O5669" s="4" t="str">
        <f>IFERROR(__xludf.DUMMYFUNCTION("""COMPUTED_VALUE"""),"Saipos Serviços De Software")</f>
        <v>Saipos Serviços De Software</v>
      </c>
      <c r="P5669" s="33">
        <f>IFERROR(__xludf.DUMMYFUNCTION("""COMPUTED_VALUE"""),1.0)</f>
        <v>1</v>
      </c>
      <c r="Q5669" s="4" t="str">
        <f>IFERROR(__xludf.DUMMYFUNCTION("""COMPUTED_VALUE"""),"Saipos Serviços De Software")</f>
        <v>Saipos Serviços De Software</v>
      </c>
      <c r="R5669" s="33">
        <f>IFERROR(__xludf.DUMMYFUNCTION("""COMPUTED_VALUE"""),1.0)</f>
        <v>1</v>
      </c>
      <c r="S5669" s="4" t="str">
        <f>IFERROR(__xludf.DUMMYFUNCTION("""COMPUTED_VALUE"""),"Saipos Serviços De Software")</f>
        <v>Saipos Serviços De Software</v>
      </c>
      <c r="T5669" s="33">
        <f>IFERROR(__xludf.DUMMYFUNCTION("""COMPUTED_VALUE"""),1.0)</f>
        <v>1</v>
      </c>
      <c r="U5669" s="4" t="str">
        <f>IFERROR(__xludf.DUMMYFUNCTION("""COMPUTED_VALUE"""),"Saipos Serviços De Software")</f>
        <v>Saipos Serviços De Software</v>
      </c>
      <c r="V5669" s="33">
        <f>IFERROR(__xludf.DUMMYFUNCTION("""COMPUTED_VALUE"""),1.0)</f>
        <v>1</v>
      </c>
      <c r="W5669" s="4" t="str">
        <f>IFERROR(__xludf.DUMMYFUNCTION("""COMPUTED_VALUE"""),"Saipos Serviços De Software")</f>
        <v>Saipos Serviços De Software</v>
      </c>
      <c r="X5669" s="33">
        <f>IFERROR(__xludf.DUMMYFUNCTION("""COMPUTED_VALUE"""),1.0)</f>
        <v>1</v>
      </c>
    </row>
    <row r="5670">
      <c r="K5670" s="4" t="str">
        <f>IFERROR(__xludf.DUMMYFUNCTION("""COMPUTED_VALUE"""),"ACAI DO NETO")</f>
        <v>ACAI DO NETO</v>
      </c>
      <c r="L5670" s="32">
        <f>IFERROR(__xludf.DUMMYFUNCTION("""COMPUTED_VALUE"""),2.0)</f>
        <v>2</v>
      </c>
      <c r="M5670" s="4" t="str">
        <f>IFERROR(__xludf.DUMMYFUNCTION("""COMPUTED_VALUE"""),"Saipos Serviços De Software")</f>
        <v>Saipos Serviços De Software</v>
      </c>
      <c r="N5670" s="33">
        <f>IFERROR(__xludf.DUMMYFUNCTION("""COMPUTED_VALUE"""),1.0)</f>
        <v>1</v>
      </c>
      <c r="O5670" s="4" t="str">
        <f>IFERROR(__xludf.DUMMYFUNCTION("""COMPUTED_VALUE"""),"Saipos Serviços De Software")</f>
        <v>Saipos Serviços De Software</v>
      </c>
      <c r="P5670" s="33">
        <f>IFERROR(__xludf.DUMMYFUNCTION("""COMPUTED_VALUE"""),1.0)</f>
        <v>1</v>
      </c>
      <c r="Q5670" s="4" t="str">
        <f>IFERROR(__xludf.DUMMYFUNCTION("""COMPUTED_VALUE"""),"Saipos Serviços De Software")</f>
        <v>Saipos Serviços De Software</v>
      </c>
      <c r="R5670" s="33">
        <f>IFERROR(__xludf.DUMMYFUNCTION("""COMPUTED_VALUE"""),1.0)</f>
        <v>1</v>
      </c>
      <c r="S5670" s="4" t="str">
        <f>IFERROR(__xludf.DUMMYFUNCTION("""COMPUTED_VALUE"""),"Saipos Serviços De Software")</f>
        <v>Saipos Serviços De Software</v>
      </c>
      <c r="T5670" s="33">
        <f>IFERROR(__xludf.DUMMYFUNCTION("""COMPUTED_VALUE"""),1.0)</f>
        <v>1</v>
      </c>
      <c r="U5670" s="4" t="str">
        <f>IFERROR(__xludf.DUMMYFUNCTION("""COMPUTED_VALUE"""),"Saipos Serviços De Software")</f>
        <v>Saipos Serviços De Software</v>
      </c>
      <c r="V5670" s="33">
        <f>IFERROR(__xludf.DUMMYFUNCTION("""COMPUTED_VALUE"""),1.0)</f>
        <v>1</v>
      </c>
      <c r="W5670" s="4" t="str">
        <f>IFERROR(__xludf.DUMMYFUNCTION("""COMPUTED_VALUE"""),"Saipos Serviços De Software")</f>
        <v>Saipos Serviços De Software</v>
      </c>
      <c r="X5670" s="33">
        <f>IFERROR(__xludf.DUMMYFUNCTION("""COMPUTED_VALUE"""),1.0)</f>
        <v>1</v>
      </c>
    </row>
    <row r="5671">
      <c r="K5671" s="4" t="str">
        <f>IFERROR(__xludf.DUMMYFUNCTION("""COMPUTED_VALUE"""),"VIVA FARMA")</f>
        <v>VIVA FARMA</v>
      </c>
      <c r="L5671" s="32">
        <f>IFERROR(__xludf.DUMMYFUNCTION("""COMPUTED_VALUE"""),2.0)</f>
        <v>2</v>
      </c>
      <c r="M5671" s="4" t="str">
        <f>IFERROR(__xludf.DUMMYFUNCTION("""COMPUTED_VALUE"""),"N/A (Not found)")</f>
        <v>N/A (Not found)</v>
      </c>
      <c r="N5671" s="33">
        <f>IFERROR(__xludf.DUMMYFUNCTION("""COMPUTED_VALUE"""),0.5)</f>
        <v>0.5</v>
      </c>
      <c r="O5671" s="4" t="str">
        <f>IFERROR(__xludf.DUMMYFUNCTION("""COMPUTED_VALUE"""),"N/A (Not found)")</f>
        <v>N/A (Not found)</v>
      </c>
      <c r="P5671" s="33">
        <f>IFERROR(__xludf.DUMMYFUNCTION("""COMPUTED_VALUE"""),0.5)</f>
        <v>0.5</v>
      </c>
      <c r="Q5671" s="4" t="str">
        <f>IFERROR(__xludf.DUMMYFUNCTION("""COMPUTED_VALUE"""),"N/A (Not found)")</f>
        <v>N/A (Not found)</v>
      </c>
      <c r="R5671" s="33">
        <f>IFERROR(__xludf.DUMMYFUNCTION("""COMPUTED_VALUE"""),0.5)</f>
        <v>0.5</v>
      </c>
      <c r="S5671" s="4" t="str">
        <f>IFERROR(__xludf.DUMMYFUNCTION("""COMPUTED_VALUE"""),"N/A (Not found)")</f>
        <v>N/A (Not found)</v>
      </c>
      <c r="T5671" s="33">
        <f>IFERROR(__xludf.DUMMYFUNCTION("""COMPUTED_VALUE"""),1.0)</f>
        <v>1</v>
      </c>
      <c r="U5671" s="4" t="str">
        <f>IFERROR(__xludf.DUMMYFUNCTION("""COMPUTED_VALUE"""),"N/A (Not found)")</f>
        <v>N/A (Not found)</v>
      </c>
      <c r="V5671" s="33">
        <f>IFERROR(__xludf.DUMMYFUNCTION("""COMPUTED_VALUE"""),1.0)</f>
        <v>1</v>
      </c>
      <c r="W5671" s="4" t="str">
        <f>IFERROR(__xludf.DUMMYFUNCTION("""COMPUTED_VALUE"""),"N/A (Not found)")</f>
        <v>N/A (Not found)</v>
      </c>
      <c r="X5671" s="33">
        <f>IFERROR(__xludf.DUMMYFUNCTION("""COMPUTED_VALUE"""),1.0)</f>
        <v>1</v>
      </c>
    </row>
    <row r="5672">
      <c r="K5672" s="4" t="str">
        <f>IFERROR(__xludf.DUMMYFUNCTION("""COMPUTED_VALUE"""),"TO FRITO PORCOES - FRANGO FRITO CROCANTE")</f>
        <v>TO FRITO PORCOES - FRANGO FRITO CROCANTE</v>
      </c>
      <c r="L5672" s="32">
        <f>IFERROR(__xludf.DUMMYFUNCTION("""COMPUTED_VALUE"""),2.0)</f>
        <v>2</v>
      </c>
      <c r="M5672" s="4" t="str">
        <f>IFERROR(__xludf.DUMMYFUNCTION("""COMPUTED_VALUE"""),"Saipos Serviços De Software")</f>
        <v>Saipos Serviços De Software</v>
      </c>
      <c r="N5672" s="33">
        <f>IFERROR(__xludf.DUMMYFUNCTION("""COMPUTED_VALUE"""),1.0)</f>
        <v>1</v>
      </c>
      <c r="O5672" s="4" t="str">
        <f>IFERROR(__xludf.DUMMYFUNCTION("""COMPUTED_VALUE"""),"null")</f>
        <v>null</v>
      </c>
      <c r="P5672" s="33">
        <f>IFERROR(__xludf.DUMMYFUNCTION("""COMPUTED_VALUE"""),0.5)</f>
        <v>0.5</v>
      </c>
      <c r="Q5672" s="4" t="str">
        <f>IFERROR(__xludf.DUMMYFUNCTION("""COMPUTED_VALUE"""),"Saipos Serviços De Software")</f>
        <v>Saipos Serviços De Software</v>
      </c>
      <c r="R5672" s="33">
        <f>IFERROR(__xludf.DUMMYFUNCTION("""COMPUTED_VALUE"""),1.0)</f>
        <v>1</v>
      </c>
      <c r="S5672" s="4" t="str">
        <f>IFERROR(__xludf.DUMMYFUNCTION("""COMPUTED_VALUE"""),"Saipos Serviços De Software")</f>
        <v>Saipos Serviços De Software</v>
      </c>
      <c r="T5672" s="33">
        <f>IFERROR(__xludf.DUMMYFUNCTION("""COMPUTED_VALUE"""),0.5)</f>
        <v>0.5</v>
      </c>
      <c r="U5672" s="4" t="str">
        <f>IFERROR(__xludf.DUMMYFUNCTION("""COMPUTED_VALUE"""),"Saipos Serviços De Software")</f>
        <v>Saipos Serviços De Software</v>
      </c>
      <c r="V5672" s="33">
        <f>IFERROR(__xludf.DUMMYFUNCTION("""COMPUTED_VALUE"""),0.5)</f>
        <v>0.5</v>
      </c>
      <c r="W5672" s="4" t="str">
        <f>IFERROR(__xludf.DUMMYFUNCTION("""COMPUTED_VALUE"""),"Saipos Serviços De Software")</f>
        <v>Saipos Serviços De Software</v>
      </c>
      <c r="X5672" s="33">
        <f>IFERROR(__xludf.DUMMYFUNCTION("""COMPUTED_VALUE"""),0.5)</f>
        <v>0.5</v>
      </c>
    </row>
    <row r="5673">
      <c r="K5673" s="4" t="str">
        <f>IFERROR(__xludf.DUMMYFUNCTION("""COMPUTED_VALUE"""),"LEVVE FIT")</f>
        <v>LEVVE FIT</v>
      </c>
      <c r="L5673" s="32">
        <f>IFERROR(__xludf.DUMMYFUNCTION("""COMPUTED_VALUE"""),2.0)</f>
        <v>2</v>
      </c>
      <c r="M5673" s="4" t="str">
        <f>IFERROR(__xludf.DUMMYFUNCTION("""COMPUTED_VALUE"""),"Huppersys Tecnologia")</f>
        <v>Huppersys Tecnologia</v>
      </c>
      <c r="N5673" s="33">
        <f>IFERROR(__xludf.DUMMYFUNCTION("""COMPUTED_VALUE"""),0.5)</f>
        <v>0.5</v>
      </c>
      <c r="O5673" s="4" t="str">
        <f>IFERROR(__xludf.DUMMYFUNCTION("""COMPUTED_VALUE"""),"null")</f>
        <v>null</v>
      </c>
      <c r="P5673" s="33">
        <f>IFERROR(__xludf.DUMMYFUNCTION("""COMPUTED_VALUE"""),0.5)</f>
        <v>0.5</v>
      </c>
      <c r="Q5673" s="4" t="str">
        <f>IFERROR(__xludf.DUMMYFUNCTION("""COMPUTED_VALUE"""),"Huppersys Tecnologia")</f>
        <v>Huppersys Tecnologia</v>
      </c>
      <c r="R5673" s="33">
        <f>IFERROR(__xludf.DUMMYFUNCTION("""COMPUTED_VALUE"""),0.5)</f>
        <v>0.5</v>
      </c>
      <c r="S5673" s="4" t="str">
        <f>IFERROR(__xludf.DUMMYFUNCTION("""COMPUTED_VALUE"""),"null")</f>
        <v>null</v>
      </c>
      <c r="T5673" s="33">
        <f>IFERROR(__xludf.DUMMYFUNCTION("""COMPUTED_VALUE"""),0.5)</f>
        <v>0.5</v>
      </c>
      <c r="U5673" s="4" t="str">
        <f>IFERROR(__xludf.DUMMYFUNCTION("""COMPUTED_VALUE"""),"Huppersys Tecnologia")</f>
        <v>Huppersys Tecnologia</v>
      </c>
      <c r="V5673" s="33">
        <f>IFERROR(__xludf.DUMMYFUNCTION("""COMPUTED_VALUE"""),0.5)</f>
        <v>0.5</v>
      </c>
      <c r="W5673" s="4" t="str">
        <f>IFERROR(__xludf.DUMMYFUNCTION("""COMPUTED_VALUE"""),"null")</f>
        <v>null</v>
      </c>
      <c r="X5673" s="33">
        <f>IFERROR(__xludf.DUMMYFUNCTION("""COMPUTED_VALUE"""),0.5)</f>
        <v>0.5</v>
      </c>
    </row>
    <row r="5674">
      <c r="K5674" s="4" t="str">
        <f>IFERROR(__xludf.DUMMYFUNCTION("""COMPUTED_VALUE"""),"POLLI ACAI")</f>
        <v>POLLI ACAI</v>
      </c>
      <c r="L5674" s="32">
        <f>IFERROR(__xludf.DUMMYFUNCTION("""COMPUTED_VALUE"""),2.0)</f>
        <v>2</v>
      </c>
      <c r="M5674" s="4" t="str">
        <f>IFERROR(__xludf.DUMMYFUNCTION("""COMPUTED_VALUE"""),"Cloudfy")</f>
        <v>Cloudfy</v>
      </c>
      <c r="N5674" s="33">
        <f>IFERROR(__xludf.DUMMYFUNCTION("""COMPUTED_VALUE"""),1.0)</f>
        <v>1</v>
      </c>
      <c r="O5674" s="4" t="str">
        <f>IFERROR(__xludf.DUMMYFUNCTION("""COMPUTED_VALUE"""),"Cloudfy")</f>
        <v>Cloudfy</v>
      </c>
      <c r="P5674" s="33">
        <f>IFERROR(__xludf.DUMMYFUNCTION("""COMPUTED_VALUE"""),0.5)</f>
        <v>0.5</v>
      </c>
      <c r="Q5674" s="4" t="str">
        <f>IFERROR(__xludf.DUMMYFUNCTION("""COMPUTED_VALUE"""),"Cloudfy")</f>
        <v>Cloudfy</v>
      </c>
      <c r="R5674" s="33">
        <f>IFERROR(__xludf.DUMMYFUNCTION("""COMPUTED_VALUE"""),0.5)</f>
        <v>0.5</v>
      </c>
      <c r="S5674" s="4" t="str">
        <f>IFERROR(__xludf.DUMMYFUNCTION("""COMPUTED_VALUE"""),"Cloudfy")</f>
        <v>Cloudfy</v>
      </c>
      <c r="T5674" s="33">
        <f>IFERROR(__xludf.DUMMYFUNCTION("""COMPUTED_VALUE"""),1.0)</f>
        <v>1</v>
      </c>
      <c r="U5674" s="4" t="str">
        <f>IFERROR(__xludf.DUMMYFUNCTION("""COMPUTED_VALUE"""),"Cloudfy")</f>
        <v>Cloudfy</v>
      </c>
      <c r="V5674" s="33">
        <f>IFERROR(__xludf.DUMMYFUNCTION("""COMPUTED_VALUE"""),0.5)</f>
        <v>0.5</v>
      </c>
      <c r="W5674" s="4" t="str">
        <f>IFERROR(__xludf.DUMMYFUNCTION("""COMPUTED_VALUE"""),"Cloudfy")</f>
        <v>Cloudfy</v>
      </c>
      <c r="X5674" s="33">
        <f>IFERROR(__xludf.DUMMYFUNCTION("""COMPUTED_VALUE"""),0.5)</f>
        <v>0.5</v>
      </c>
    </row>
    <row r="5675">
      <c r="K5675" s="4" t="str">
        <f>IFERROR(__xludf.DUMMYFUNCTION("""COMPUTED_VALUE"""),"MESTRE BURGUER")</f>
        <v>MESTRE BURGUER</v>
      </c>
      <c r="L5675" s="32">
        <f>IFERROR(__xludf.DUMMYFUNCTION("""COMPUTED_VALUE"""),2.0)</f>
        <v>2</v>
      </c>
      <c r="M5675" s="4" t="str">
        <f>IFERROR(__xludf.DUMMYFUNCTION("""COMPUTED_VALUE"""),"null")</f>
        <v>null</v>
      </c>
      <c r="N5675" s="33">
        <f>IFERROR(__xludf.DUMMYFUNCTION("""COMPUTED_VALUE"""),1.0)</f>
        <v>1</v>
      </c>
      <c r="O5675" s="4" t="str">
        <f>IFERROR(__xludf.DUMMYFUNCTION("""COMPUTED_VALUE"""),"null")</f>
        <v>null</v>
      </c>
      <c r="P5675" s="33">
        <f>IFERROR(__xludf.DUMMYFUNCTION("""COMPUTED_VALUE"""),1.0)</f>
        <v>1</v>
      </c>
      <c r="Q5675" s="4" t="str">
        <f>IFERROR(__xludf.DUMMYFUNCTION("""COMPUTED_VALUE"""),"null")</f>
        <v>null</v>
      </c>
      <c r="R5675" s="33">
        <f>IFERROR(__xludf.DUMMYFUNCTION("""COMPUTED_VALUE"""),1.0)</f>
        <v>1</v>
      </c>
      <c r="S5675" s="4" t="str">
        <f>IFERROR(__xludf.DUMMYFUNCTION("""COMPUTED_VALUE"""),"null")</f>
        <v>null</v>
      </c>
      <c r="T5675" s="33">
        <f>IFERROR(__xludf.DUMMYFUNCTION("""COMPUTED_VALUE"""),0.5)</f>
        <v>0.5</v>
      </c>
      <c r="U5675" s="4" t="str">
        <f>IFERROR(__xludf.DUMMYFUNCTION("""COMPUTED_VALUE"""),"Mp Multipedidos")</f>
        <v>Mp Multipedidos</v>
      </c>
      <c r="V5675" s="33">
        <f>IFERROR(__xludf.DUMMYFUNCTION("""COMPUTED_VALUE"""),0.5)</f>
        <v>0.5</v>
      </c>
      <c r="W5675" s="4" t="str">
        <f>IFERROR(__xludf.DUMMYFUNCTION("""COMPUTED_VALUE"""),"Mp Multipedidos")</f>
        <v>Mp Multipedidos</v>
      </c>
      <c r="X5675" s="33">
        <f>IFERROR(__xludf.DUMMYFUNCTION("""COMPUTED_VALUE"""),0.5)</f>
        <v>0.5</v>
      </c>
    </row>
    <row r="5676">
      <c r="K5676" s="4" t="str">
        <f>IFERROR(__xludf.DUMMYFUNCTION("""COMPUTED_VALUE"""),"PIZZARIA NORDESTINA")</f>
        <v>PIZZARIA NORDESTINA</v>
      </c>
      <c r="L5676" s="32">
        <f>IFERROR(__xludf.DUMMYFUNCTION("""COMPUTED_VALUE"""),2.0)</f>
        <v>2</v>
      </c>
      <c r="M5676" s="4" t="str">
        <f>IFERROR(__xludf.DUMMYFUNCTION("""COMPUTED_VALUE"""),"null")</f>
        <v>null</v>
      </c>
      <c r="N5676" s="33">
        <f>IFERROR(__xludf.DUMMYFUNCTION("""COMPUTED_VALUE"""),0.5)</f>
        <v>0.5</v>
      </c>
      <c r="O5676" s="4" t="str">
        <f>IFERROR(__xludf.DUMMYFUNCTION("""COMPUTED_VALUE"""),"null")</f>
        <v>null</v>
      </c>
      <c r="P5676" s="33">
        <f>IFERROR(__xludf.DUMMYFUNCTION("""COMPUTED_VALUE"""),0.5)</f>
        <v>0.5</v>
      </c>
      <c r="Q5676" s="4" t="str">
        <f>IFERROR(__xludf.DUMMYFUNCTION("""COMPUTED_VALUE"""),"null")</f>
        <v>null</v>
      </c>
      <c r="R5676" s="33">
        <f>IFERROR(__xludf.DUMMYFUNCTION("""COMPUTED_VALUE"""),0.5)</f>
        <v>0.5</v>
      </c>
      <c r="S5676" s="4" t="str">
        <f>IFERROR(__xludf.DUMMYFUNCTION("""COMPUTED_VALUE"""),"null")</f>
        <v>null</v>
      </c>
      <c r="T5676" s="33">
        <f>IFERROR(__xludf.DUMMYFUNCTION("""COMPUTED_VALUE"""),0.5)</f>
        <v>0.5</v>
      </c>
      <c r="U5676" s="4" t="str">
        <f>IFERROR(__xludf.DUMMYFUNCTION("""COMPUTED_VALUE"""),"Beefood - Sistema Para Restaurantes")</f>
        <v>Beefood - Sistema Para Restaurantes</v>
      </c>
      <c r="V5676" s="33">
        <f>IFERROR(__xludf.DUMMYFUNCTION("""COMPUTED_VALUE"""),0.5)</f>
        <v>0.5</v>
      </c>
      <c r="W5676" s="4" t="str">
        <f>IFERROR(__xludf.DUMMYFUNCTION("""COMPUTED_VALUE"""),"Beefood - Sistema Para Restaurantes")</f>
        <v>Beefood - Sistema Para Restaurantes</v>
      </c>
      <c r="X5676" s="33">
        <f>IFERROR(__xludf.DUMMYFUNCTION("""COMPUTED_VALUE"""),0.5)</f>
        <v>0.5</v>
      </c>
    </row>
    <row r="5677">
      <c r="K5677" s="4" t="str">
        <f>IFERROR(__xludf.DUMMYFUNCTION("""COMPUTED_VALUE"""),"FARMACIA DUPOVO")</f>
        <v>FARMACIA DUPOVO</v>
      </c>
      <c r="L5677" s="32">
        <f>IFERROR(__xludf.DUMMYFUNCTION("""COMPUTED_VALUE"""),2.0)</f>
        <v>2</v>
      </c>
      <c r="M5677" s="4" t="str">
        <f>IFERROR(__xludf.DUMMYFUNCTION("""COMPUTED_VALUE"""),"null")</f>
        <v>null</v>
      </c>
      <c r="N5677" s="33">
        <f>IFERROR(__xludf.DUMMYFUNCTION("""COMPUTED_VALUE"""),0.5)</f>
        <v>0.5</v>
      </c>
      <c r="O5677" s="4" t="str">
        <f>IFERROR(__xludf.DUMMYFUNCTION("""COMPUTED_VALUE"""),"null")</f>
        <v>null</v>
      </c>
      <c r="P5677" s="33">
        <f>IFERROR(__xludf.DUMMYFUNCTION("""COMPUTED_VALUE"""),0.5)</f>
        <v>0.5</v>
      </c>
      <c r="Q5677" s="4" t="str">
        <f>IFERROR(__xludf.DUMMYFUNCTION("""COMPUTED_VALUE"""),"N/A (Not found)")</f>
        <v>N/A (Not found)</v>
      </c>
      <c r="R5677" s="33">
        <f>IFERROR(__xludf.DUMMYFUNCTION("""COMPUTED_VALUE"""),0.5)</f>
        <v>0.5</v>
      </c>
      <c r="S5677" s="4" t="str">
        <f>IFERROR(__xludf.DUMMYFUNCTION("""COMPUTED_VALUE"""),"N/A (Not found)")</f>
        <v>N/A (Not found)</v>
      </c>
      <c r="T5677" s="33">
        <f>IFERROR(__xludf.DUMMYFUNCTION("""COMPUTED_VALUE"""),0.5)</f>
        <v>0.5</v>
      </c>
      <c r="U5677" s="4" t="str">
        <f>IFERROR(__xludf.DUMMYFUNCTION("""COMPUTED_VALUE"""),"N/A (Not found)")</f>
        <v>N/A (Not found)</v>
      </c>
      <c r="V5677" s="33">
        <f>IFERROR(__xludf.DUMMYFUNCTION("""COMPUTED_VALUE"""),0.5)</f>
        <v>0.5</v>
      </c>
      <c r="W5677" s="4" t="str">
        <f>IFERROR(__xludf.DUMMYFUNCTION("""COMPUTED_VALUE"""),"N/A (Not found)")</f>
        <v>N/A (Not found)</v>
      </c>
      <c r="X5677" s="33">
        <f>IFERROR(__xludf.DUMMYFUNCTION("""COMPUTED_VALUE"""),0.5)</f>
        <v>0.5</v>
      </c>
    </row>
    <row r="5678">
      <c r="K5678" s="4" t="str">
        <f>IFERROR(__xludf.DUMMYFUNCTION("""COMPUTED_VALUE"""),"PASTELARIA ALOHA")</f>
        <v>PASTELARIA ALOHA</v>
      </c>
      <c r="L5678" s="32">
        <f>IFERROR(__xludf.DUMMYFUNCTION("""COMPUTED_VALUE"""),2.0)</f>
        <v>2</v>
      </c>
      <c r="M5678" s="4" t="str">
        <f>IFERROR(__xludf.DUMMYFUNCTION("""COMPUTED_VALUE"""),"Consumer Soluções Em Tecnologia Ltda")</f>
        <v>Consumer Soluções Em Tecnologia Ltda</v>
      </c>
      <c r="N5678" s="33">
        <f>IFERROR(__xludf.DUMMYFUNCTION("""COMPUTED_VALUE"""),0.5)</f>
        <v>0.5</v>
      </c>
      <c r="O5678" s="4" t="str">
        <f>IFERROR(__xludf.DUMMYFUNCTION("""COMPUTED_VALUE"""),"Consumer Soluções Em Tecnologia Ltda")</f>
        <v>Consumer Soluções Em Tecnologia Ltda</v>
      </c>
      <c r="P5678" s="33">
        <f>IFERROR(__xludf.DUMMYFUNCTION("""COMPUTED_VALUE"""),0.5)</f>
        <v>0.5</v>
      </c>
      <c r="Q5678" s="4" t="str">
        <f>IFERROR(__xludf.DUMMYFUNCTION("""COMPUTED_VALUE"""),"Consumer Soluções Em Tecnologia Ltda")</f>
        <v>Consumer Soluções Em Tecnologia Ltda</v>
      </c>
      <c r="R5678" s="33">
        <f>IFERROR(__xludf.DUMMYFUNCTION("""COMPUTED_VALUE"""),0.5)</f>
        <v>0.5</v>
      </c>
      <c r="S5678" s="4" t="str">
        <f>IFERROR(__xludf.DUMMYFUNCTION("""COMPUTED_VALUE"""),"Consumer Soluções Em Tecnologia Ltda")</f>
        <v>Consumer Soluções Em Tecnologia Ltda</v>
      </c>
      <c r="T5678" s="33">
        <f>IFERROR(__xludf.DUMMYFUNCTION("""COMPUTED_VALUE"""),0.5)</f>
        <v>0.5</v>
      </c>
      <c r="U5678" s="4" t="str">
        <f>IFERROR(__xludf.DUMMYFUNCTION("""COMPUTED_VALUE"""),"Consumer Soluções Em Tecnologia Ltda")</f>
        <v>Consumer Soluções Em Tecnologia Ltda</v>
      </c>
      <c r="V5678" s="33">
        <f>IFERROR(__xludf.DUMMYFUNCTION("""COMPUTED_VALUE"""),0.5)</f>
        <v>0.5</v>
      </c>
      <c r="W5678" s="4" t="str">
        <f>IFERROR(__xludf.DUMMYFUNCTION("""COMPUTED_VALUE"""),"Consumer Soluções Em Tecnologia Ltda")</f>
        <v>Consumer Soluções Em Tecnologia Ltda</v>
      </c>
      <c r="X5678" s="33">
        <f>IFERROR(__xludf.DUMMYFUNCTION("""COMPUTED_VALUE"""),0.5)</f>
        <v>0.5</v>
      </c>
    </row>
    <row r="5679">
      <c r="K5679" s="4" t="str">
        <f>IFERROR(__xludf.DUMMYFUNCTION("""COMPUTED_VALUE"""),"ESPACO BURGUERS")</f>
        <v>ESPACO BURGUERS</v>
      </c>
      <c r="L5679" s="32">
        <f>IFERROR(__xludf.DUMMYFUNCTION("""COMPUTED_VALUE"""),2.0)</f>
        <v>2</v>
      </c>
      <c r="M5679" s="4" t="str">
        <f>IFERROR(__xludf.DUMMYFUNCTION("""COMPUTED_VALUE"""),"Cardápio Web")</f>
        <v>Cardápio Web</v>
      </c>
      <c r="N5679" s="33">
        <f>IFERROR(__xludf.DUMMYFUNCTION("""COMPUTED_VALUE"""),1.0)</f>
        <v>1</v>
      </c>
      <c r="O5679" s="4" t="str">
        <f>IFERROR(__xludf.DUMMYFUNCTION("""COMPUTED_VALUE"""),"null")</f>
        <v>null</v>
      </c>
      <c r="P5679" s="33">
        <f>IFERROR(__xludf.DUMMYFUNCTION("""COMPUTED_VALUE"""),0.5)</f>
        <v>0.5</v>
      </c>
      <c r="Q5679" s="4" t="str">
        <f>IFERROR(__xludf.DUMMYFUNCTION("""COMPUTED_VALUE"""),"null")</f>
        <v>null</v>
      </c>
      <c r="R5679" s="33">
        <f>IFERROR(__xludf.DUMMYFUNCTION("""COMPUTED_VALUE"""),0.5)</f>
        <v>0.5</v>
      </c>
      <c r="S5679" s="4" t="str">
        <f>IFERROR(__xludf.DUMMYFUNCTION("""COMPUTED_VALUE"""),"null")</f>
        <v>null</v>
      </c>
      <c r="T5679" s="33">
        <f>IFERROR(__xludf.DUMMYFUNCTION("""COMPUTED_VALUE"""),0.5)</f>
        <v>0.5</v>
      </c>
      <c r="U5679" s="4" t="str">
        <f>IFERROR(__xludf.DUMMYFUNCTION("""COMPUTED_VALUE"""),"null")</f>
        <v>null</v>
      </c>
      <c r="V5679" s="33">
        <f>IFERROR(__xludf.DUMMYFUNCTION("""COMPUTED_VALUE"""),0.5)</f>
        <v>0.5</v>
      </c>
      <c r="W5679" s="4" t="str">
        <f>IFERROR(__xludf.DUMMYFUNCTION("""COMPUTED_VALUE"""),"null")</f>
        <v>null</v>
      </c>
      <c r="X5679" s="33">
        <f>IFERROR(__xludf.DUMMYFUNCTION("""COMPUTED_VALUE"""),0.5)</f>
        <v>0.5</v>
      </c>
    </row>
    <row r="5680">
      <c r="K5680" s="4" t="str">
        <f>IFERROR(__xludf.DUMMYFUNCTION("""COMPUTED_VALUE"""),"ACAI ORIGINAL")</f>
        <v>ACAI ORIGINAL</v>
      </c>
      <c r="L5680" s="32">
        <f>IFERROR(__xludf.DUMMYFUNCTION("""COMPUTED_VALUE"""),2.0)</f>
        <v>2</v>
      </c>
      <c r="M5680" s="4" t="str">
        <f>IFERROR(__xludf.DUMMYFUNCTION("""COMPUTED_VALUE"""),"Instadelivery")</f>
        <v>Instadelivery</v>
      </c>
      <c r="N5680" s="33">
        <f>IFERROR(__xludf.DUMMYFUNCTION("""COMPUTED_VALUE"""),0.5)</f>
        <v>0.5</v>
      </c>
      <c r="O5680" s="4" t="str">
        <f>IFERROR(__xludf.DUMMYFUNCTION("""COMPUTED_VALUE"""),"Instadelivery")</f>
        <v>Instadelivery</v>
      </c>
      <c r="P5680" s="33">
        <f>IFERROR(__xludf.DUMMYFUNCTION("""COMPUTED_VALUE"""),0.5)</f>
        <v>0.5</v>
      </c>
      <c r="Q5680" s="4" t="str">
        <f>IFERROR(__xludf.DUMMYFUNCTION("""COMPUTED_VALUE"""),"null")</f>
        <v>null</v>
      </c>
      <c r="R5680" s="33">
        <f>IFERROR(__xludf.DUMMYFUNCTION("""COMPUTED_VALUE"""),0.5)</f>
        <v>0.5</v>
      </c>
      <c r="S5680" s="4" t="str">
        <f>IFERROR(__xludf.DUMMYFUNCTION("""COMPUTED_VALUE"""),"Instadelivery")</f>
        <v>Instadelivery</v>
      </c>
      <c r="T5680" s="33">
        <f>IFERROR(__xludf.DUMMYFUNCTION("""COMPUTED_VALUE"""),0.5)</f>
        <v>0.5</v>
      </c>
      <c r="U5680" s="4" t="str">
        <f>IFERROR(__xludf.DUMMYFUNCTION("""COMPUTED_VALUE"""),"Instadelivery")</f>
        <v>Instadelivery</v>
      </c>
      <c r="V5680" s="33">
        <f>IFERROR(__xludf.DUMMYFUNCTION("""COMPUTED_VALUE"""),0.5)</f>
        <v>0.5</v>
      </c>
      <c r="W5680" s="4" t="str">
        <f>IFERROR(__xludf.DUMMYFUNCTION("""COMPUTED_VALUE"""),"null")</f>
        <v>null</v>
      </c>
      <c r="X5680" s="33">
        <f>IFERROR(__xludf.DUMMYFUNCTION("""COMPUTED_VALUE"""),0.5)</f>
        <v>0.5</v>
      </c>
    </row>
    <row r="5681">
      <c r="K5681" s="4" t="str">
        <f>IFERROR(__xludf.DUMMYFUNCTION("""COMPUTED_VALUE"""),"UNIVERSO DAS PIZZAS")</f>
        <v>UNIVERSO DAS PIZZAS</v>
      </c>
      <c r="L5681" s="32">
        <f>IFERROR(__xludf.DUMMYFUNCTION("""COMPUTED_VALUE"""),2.0)</f>
        <v>2</v>
      </c>
      <c r="M5681" s="4" t="str">
        <f>IFERROR(__xludf.DUMMYFUNCTION("""COMPUTED_VALUE"""),"N/A (Not found)")</f>
        <v>N/A (Not found)</v>
      </c>
      <c r="N5681" s="33">
        <f>IFERROR(__xludf.DUMMYFUNCTION("""COMPUTED_VALUE"""),0.5)</f>
        <v>0.5</v>
      </c>
      <c r="O5681" s="4" t="str">
        <f>IFERROR(__xludf.DUMMYFUNCTION("""COMPUTED_VALUE"""),"N/A (Not found)")</f>
        <v>N/A (Not found)</v>
      </c>
      <c r="P5681" s="33">
        <f>IFERROR(__xludf.DUMMYFUNCTION("""COMPUTED_VALUE"""),0.5)</f>
        <v>0.5</v>
      </c>
      <c r="Q5681" s="4" t="str">
        <f>IFERROR(__xludf.DUMMYFUNCTION("""COMPUTED_VALUE"""),"N/A (Not found)")</f>
        <v>N/A (Not found)</v>
      </c>
      <c r="R5681" s="33">
        <f>IFERROR(__xludf.DUMMYFUNCTION("""COMPUTED_VALUE"""),0.5)</f>
        <v>0.5</v>
      </c>
      <c r="S5681" s="4" t="str">
        <f>IFERROR(__xludf.DUMMYFUNCTION("""COMPUTED_VALUE"""),"N/A (Not found)")</f>
        <v>N/A (Not found)</v>
      </c>
      <c r="T5681" s="33">
        <f>IFERROR(__xludf.DUMMYFUNCTION("""COMPUTED_VALUE"""),0.5)</f>
        <v>0.5</v>
      </c>
      <c r="U5681" s="4" t="str">
        <f>IFERROR(__xludf.DUMMYFUNCTION("""COMPUTED_VALUE"""),"null")</f>
        <v>null</v>
      </c>
      <c r="V5681" s="33">
        <f>IFERROR(__xludf.DUMMYFUNCTION("""COMPUTED_VALUE"""),0.5)</f>
        <v>0.5</v>
      </c>
      <c r="W5681" s="4" t="str">
        <f>IFERROR(__xludf.DUMMYFUNCTION("""COMPUTED_VALUE"""),"null")</f>
        <v>null</v>
      </c>
      <c r="X5681" s="33">
        <f>IFERROR(__xludf.DUMMYFUNCTION("""COMPUTED_VALUE"""),0.5)</f>
        <v>0.5</v>
      </c>
    </row>
    <row r="5682">
      <c r="K5682" s="4" t="str">
        <f>IFERROR(__xludf.DUMMYFUNCTION("""COMPUTED_VALUE"""),"IKIGAI SUSHI - GOURMET TEMAKI")</f>
        <v>IKIGAI SUSHI - GOURMET TEMAKI</v>
      </c>
      <c r="L5682" s="32">
        <f>IFERROR(__xludf.DUMMYFUNCTION("""COMPUTED_VALUE"""),2.0)</f>
        <v>2</v>
      </c>
      <c r="M5682" s="4" t="str">
        <f>IFERROR(__xludf.DUMMYFUNCTION("""COMPUTED_VALUE"""),"null")</f>
        <v>null</v>
      </c>
      <c r="N5682" s="33">
        <f>IFERROR(__xludf.DUMMYFUNCTION("""COMPUTED_VALUE"""),0.5)</f>
        <v>0.5</v>
      </c>
      <c r="O5682" s="4" t="str">
        <f>IFERROR(__xludf.DUMMYFUNCTION("""COMPUTED_VALUE"""),"null")</f>
        <v>null</v>
      </c>
      <c r="P5682" s="33">
        <f>IFERROR(__xludf.DUMMYFUNCTION("""COMPUTED_VALUE"""),0.5)</f>
        <v>0.5</v>
      </c>
      <c r="Q5682" s="4" t="str">
        <f>IFERROR(__xludf.DUMMYFUNCTION("""COMPUTED_VALUE"""),"null")</f>
        <v>null</v>
      </c>
      <c r="R5682" s="33">
        <f>IFERROR(__xludf.DUMMYFUNCTION("""COMPUTED_VALUE"""),0.5)</f>
        <v>0.5</v>
      </c>
      <c r="S5682" s="4" t="str">
        <f>IFERROR(__xludf.DUMMYFUNCTION("""COMPUTED_VALUE"""),"Cardápio Web")</f>
        <v>Cardápio Web</v>
      </c>
      <c r="T5682" s="33">
        <f>IFERROR(__xludf.DUMMYFUNCTION("""COMPUTED_VALUE"""),1.0)</f>
        <v>1</v>
      </c>
      <c r="U5682" s="4" t="str">
        <f>IFERROR(__xludf.DUMMYFUNCTION("""COMPUTED_VALUE"""),"Cardápio Web")</f>
        <v>Cardápio Web</v>
      </c>
      <c r="V5682" s="33">
        <f>IFERROR(__xludf.DUMMYFUNCTION("""COMPUTED_VALUE"""),0.5)</f>
        <v>0.5</v>
      </c>
      <c r="W5682" s="4" t="str">
        <f>IFERROR(__xludf.DUMMYFUNCTION("""COMPUTED_VALUE"""),"Cardápio Web")</f>
        <v>Cardápio Web</v>
      </c>
      <c r="X5682" s="33">
        <f>IFERROR(__xludf.DUMMYFUNCTION("""COMPUTED_VALUE"""),0.5)</f>
        <v>0.5</v>
      </c>
    </row>
    <row r="5683">
      <c r="K5683" s="4" t="str">
        <f>IFERROR(__xludf.DUMMYFUNCTION("""COMPUTED_VALUE"""),"VEM DE PIZZA")</f>
        <v>VEM DE PIZZA</v>
      </c>
      <c r="L5683" s="32">
        <f>IFERROR(__xludf.DUMMYFUNCTION("""COMPUTED_VALUE"""),2.0)</f>
        <v>2</v>
      </c>
      <c r="M5683" s="4" t="str">
        <f>IFERROR(__xludf.DUMMYFUNCTION("""COMPUTED_VALUE"""),"null")</f>
        <v>null</v>
      </c>
      <c r="N5683" s="33">
        <f>IFERROR(__xludf.DUMMYFUNCTION("""COMPUTED_VALUE"""),0.5)</f>
        <v>0.5</v>
      </c>
      <c r="O5683" s="4" t="str">
        <f>IFERROR(__xludf.DUMMYFUNCTION("""COMPUTED_VALUE"""),"null")</f>
        <v>null</v>
      </c>
      <c r="P5683" s="33">
        <f>IFERROR(__xludf.DUMMYFUNCTION("""COMPUTED_VALUE"""),0.5)</f>
        <v>0.5</v>
      </c>
      <c r="Q5683" s="4" t="str">
        <f>IFERROR(__xludf.DUMMYFUNCTION("""COMPUTED_VALUE"""),"Saipos Serviços De Software")</f>
        <v>Saipos Serviços De Software</v>
      </c>
      <c r="R5683" s="33">
        <f>IFERROR(__xludf.DUMMYFUNCTION("""COMPUTED_VALUE"""),0.5)</f>
        <v>0.5</v>
      </c>
      <c r="S5683" s="4" t="str">
        <f>IFERROR(__xludf.DUMMYFUNCTION("""COMPUTED_VALUE"""),"Saipos Serviços De Software")</f>
        <v>Saipos Serviços De Software</v>
      </c>
      <c r="T5683" s="33">
        <f>IFERROR(__xludf.DUMMYFUNCTION("""COMPUTED_VALUE"""),0.5)</f>
        <v>0.5</v>
      </c>
      <c r="U5683" s="4" t="str">
        <f>IFERROR(__xludf.DUMMYFUNCTION("""COMPUTED_VALUE"""),"Saipos Serviços De Software")</f>
        <v>Saipos Serviços De Software</v>
      </c>
      <c r="V5683" s="33">
        <f>IFERROR(__xludf.DUMMYFUNCTION("""COMPUTED_VALUE"""),0.5)</f>
        <v>0.5</v>
      </c>
      <c r="W5683" s="4" t="str">
        <f>IFERROR(__xludf.DUMMYFUNCTION("""COMPUTED_VALUE"""),"Saipos Serviços De Software")</f>
        <v>Saipos Serviços De Software</v>
      </c>
      <c r="X5683" s="33">
        <f>IFERROR(__xludf.DUMMYFUNCTION("""COMPUTED_VALUE"""),0.5)</f>
        <v>0.5</v>
      </c>
    </row>
    <row r="5684">
      <c r="K5684" s="4" t="str">
        <f>IFERROR(__xludf.DUMMYFUNCTION("""COMPUTED_VALUE"""),"PIZZARIA HOLLYWOOD")</f>
        <v>PIZZARIA HOLLYWOOD</v>
      </c>
      <c r="L5684" s="32">
        <f>IFERROR(__xludf.DUMMYFUNCTION("""COMPUTED_VALUE"""),2.0)</f>
        <v>2</v>
      </c>
      <c r="M5684" s="4" t="str">
        <f>IFERROR(__xludf.DUMMYFUNCTION("""COMPUTED_VALUE"""),"Cardápio Web")</f>
        <v>Cardápio Web</v>
      </c>
      <c r="N5684" s="33">
        <f>IFERROR(__xludf.DUMMYFUNCTION("""COMPUTED_VALUE"""),1.0)</f>
        <v>1</v>
      </c>
      <c r="O5684" s="4" t="str">
        <f>IFERROR(__xludf.DUMMYFUNCTION("""COMPUTED_VALUE"""),"Cardápio Web")</f>
        <v>Cardápio Web</v>
      </c>
      <c r="P5684" s="33">
        <f>IFERROR(__xludf.DUMMYFUNCTION("""COMPUTED_VALUE"""),1.0)</f>
        <v>1</v>
      </c>
      <c r="Q5684" s="4" t="str">
        <f>IFERROR(__xludf.DUMMYFUNCTION("""COMPUTED_VALUE"""),"Cardápio Web")</f>
        <v>Cardápio Web</v>
      </c>
      <c r="R5684" s="33">
        <f>IFERROR(__xludf.DUMMYFUNCTION("""COMPUTED_VALUE"""),1.0)</f>
        <v>1</v>
      </c>
      <c r="S5684" s="4" t="str">
        <f>IFERROR(__xludf.DUMMYFUNCTION("""COMPUTED_VALUE"""),"Cardápio Web")</f>
        <v>Cardápio Web</v>
      </c>
      <c r="T5684" s="33">
        <f>IFERROR(__xludf.DUMMYFUNCTION("""COMPUTED_VALUE"""),1.0)</f>
        <v>1</v>
      </c>
      <c r="U5684" s="4" t="str">
        <f>IFERROR(__xludf.DUMMYFUNCTION("""COMPUTED_VALUE"""),"Cardápio Web")</f>
        <v>Cardápio Web</v>
      </c>
      <c r="V5684" s="33">
        <f>IFERROR(__xludf.DUMMYFUNCTION("""COMPUTED_VALUE"""),1.0)</f>
        <v>1</v>
      </c>
      <c r="W5684" s="4" t="str">
        <f>IFERROR(__xludf.DUMMYFUNCTION("""COMPUTED_VALUE"""),"Cardápio Web")</f>
        <v>Cardápio Web</v>
      </c>
      <c r="X5684" s="33">
        <f>IFERROR(__xludf.DUMMYFUNCTION("""COMPUTED_VALUE"""),1.0)</f>
        <v>1</v>
      </c>
    </row>
    <row r="5685">
      <c r="K5685" s="4" t="str">
        <f>IFERROR(__xludf.DUMMYFUNCTION("""COMPUTED_VALUE"""),"HAPPY BURGER")</f>
        <v>HAPPY BURGER</v>
      </c>
      <c r="L5685" s="32">
        <f>IFERROR(__xludf.DUMMYFUNCTION("""COMPUTED_VALUE"""),2.0)</f>
        <v>2</v>
      </c>
      <c r="M5685" s="4" t="str">
        <f>IFERROR(__xludf.DUMMYFUNCTION("""COMPUTED_VALUE"""),"Saipos Serviços De Software")</f>
        <v>Saipos Serviços De Software</v>
      </c>
      <c r="N5685" s="33">
        <f>IFERROR(__xludf.DUMMYFUNCTION("""COMPUTED_VALUE"""),0.5)</f>
        <v>0.5</v>
      </c>
      <c r="O5685" s="4" t="str">
        <f>IFERROR(__xludf.DUMMYFUNCTION("""COMPUTED_VALUE"""),"Saipos Serviços De Software")</f>
        <v>Saipos Serviços De Software</v>
      </c>
      <c r="P5685" s="33">
        <f>IFERROR(__xludf.DUMMYFUNCTION("""COMPUTED_VALUE"""),0.5)</f>
        <v>0.5</v>
      </c>
      <c r="Q5685" s="4" t="str">
        <f>IFERROR(__xludf.DUMMYFUNCTION("""COMPUTED_VALUE"""),"Saipos Serviços De Software")</f>
        <v>Saipos Serviços De Software</v>
      </c>
      <c r="R5685" s="33">
        <f>IFERROR(__xludf.DUMMYFUNCTION("""COMPUTED_VALUE"""),0.5)</f>
        <v>0.5</v>
      </c>
      <c r="S5685" s="4" t="str">
        <f>IFERROR(__xludf.DUMMYFUNCTION("""COMPUTED_VALUE"""),"Saipos Serviços De Software")</f>
        <v>Saipos Serviços De Software</v>
      </c>
      <c r="T5685" s="33">
        <f>IFERROR(__xludf.DUMMYFUNCTION("""COMPUTED_VALUE"""),0.5)</f>
        <v>0.5</v>
      </c>
      <c r="U5685" s="4" t="str">
        <f>IFERROR(__xludf.DUMMYFUNCTION("""COMPUTED_VALUE"""),"Saipos Serviços De Software")</f>
        <v>Saipos Serviços De Software</v>
      </c>
      <c r="V5685" s="33">
        <f>IFERROR(__xludf.DUMMYFUNCTION("""COMPUTED_VALUE"""),0.5)</f>
        <v>0.5</v>
      </c>
      <c r="W5685" s="4" t="str">
        <f>IFERROR(__xludf.DUMMYFUNCTION("""COMPUTED_VALUE"""),"Saipos Serviços De Software")</f>
        <v>Saipos Serviços De Software</v>
      </c>
      <c r="X5685" s="33">
        <f>IFERROR(__xludf.DUMMYFUNCTION("""COMPUTED_VALUE"""),0.5)</f>
        <v>0.5</v>
      </c>
    </row>
    <row r="5686">
      <c r="K5686" s="4" t="str">
        <f>IFERROR(__xludf.DUMMYFUNCTION("""COMPUTED_VALUE"""),"MM HAMBURGUERIA")</f>
        <v>MM HAMBURGUERIA</v>
      </c>
      <c r="L5686" s="32">
        <f>IFERROR(__xludf.DUMMYFUNCTION("""COMPUTED_VALUE"""),2.0)</f>
        <v>2</v>
      </c>
      <c r="M5686" s="4" t="str">
        <f>IFERROR(__xludf.DUMMYFUNCTION("""COMPUTED_VALUE"""),"Insert Code Informatica Ltda")</f>
        <v>Insert Code Informatica Ltda</v>
      </c>
      <c r="N5686" s="33">
        <f>IFERROR(__xludf.DUMMYFUNCTION("""COMPUTED_VALUE"""),0.5)</f>
        <v>0.5</v>
      </c>
      <c r="O5686" s="4" t="str">
        <f>IFERROR(__xludf.DUMMYFUNCTION("""COMPUTED_VALUE"""),"Insert Code Informatica Ltda")</f>
        <v>Insert Code Informatica Ltda</v>
      </c>
      <c r="P5686" s="33">
        <f>IFERROR(__xludf.DUMMYFUNCTION("""COMPUTED_VALUE"""),0.5)</f>
        <v>0.5</v>
      </c>
      <c r="Q5686" s="4" t="str">
        <f>IFERROR(__xludf.DUMMYFUNCTION("""COMPUTED_VALUE"""),"Insert Code Informatica Ltda")</f>
        <v>Insert Code Informatica Ltda</v>
      </c>
      <c r="R5686" s="33">
        <f>IFERROR(__xludf.DUMMYFUNCTION("""COMPUTED_VALUE"""),0.5)</f>
        <v>0.5</v>
      </c>
      <c r="S5686" s="4" t="str">
        <f>IFERROR(__xludf.DUMMYFUNCTION("""COMPUTED_VALUE"""),"Insert Code Informatica Ltda")</f>
        <v>Insert Code Informatica Ltda</v>
      </c>
      <c r="T5686" s="33">
        <f>IFERROR(__xludf.DUMMYFUNCTION("""COMPUTED_VALUE"""),0.5)</f>
        <v>0.5</v>
      </c>
      <c r="U5686" s="4" t="str">
        <f>IFERROR(__xludf.DUMMYFUNCTION("""COMPUTED_VALUE"""),"null")</f>
        <v>null</v>
      </c>
      <c r="V5686" s="33">
        <f>IFERROR(__xludf.DUMMYFUNCTION("""COMPUTED_VALUE"""),0.5)</f>
        <v>0.5</v>
      </c>
      <c r="W5686" s="4" t="str">
        <f>IFERROR(__xludf.DUMMYFUNCTION("""COMPUTED_VALUE"""),"null")</f>
        <v>null</v>
      </c>
      <c r="X5686" s="33">
        <f>IFERROR(__xludf.DUMMYFUNCTION("""COMPUTED_VALUE"""),0.5)</f>
        <v>0.5</v>
      </c>
    </row>
    <row r="5687">
      <c r="K5687" s="4" t="str">
        <f>IFERROR(__xludf.DUMMYFUNCTION("""COMPUTED_VALUE"""),"FARMACIA BOM PRECO")</f>
        <v>FARMACIA BOM PRECO</v>
      </c>
      <c r="L5687" s="32">
        <f>IFERROR(__xludf.DUMMYFUNCTION("""COMPUTED_VALUE"""),2.0)</f>
        <v>2</v>
      </c>
      <c r="M5687" s="4" t="str">
        <f>IFERROR(__xludf.DUMMYFUNCTION("""COMPUTED_VALUE"""),"null")</f>
        <v>null</v>
      </c>
      <c r="N5687" s="33">
        <f>IFERROR(__xludf.DUMMYFUNCTION("""COMPUTED_VALUE"""),0.5)</f>
        <v>0.5</v>
      </c>
      <c r="O5687" s="4" t="str">
        <f>IFERROR(__xludf.DUMMYFUNCTION("""COMPUTED_VALUE"""),"N/A (Not found)")</f>
        <v>N/A (Not found)</v>
      </c>
      <c r="P5687" s="33">
        <f>IFERROR(__xludf.DUMMYFUNCTION("""COMPUTED_VALUE"""),1.0)</f>
        <v>1</v>
      </c>
      <c r="Q5687" s="4" t="str">
        <f>IFERROR(__xludf.DUMMYFUNCTION("""COMPUTED_VALUE"""),"N/A (Not found)")</f>
        <v>N/A (Not found)</v>
      </c>
      <c r="R5687" s="33">
        <f>IFERROR(__xludf.DUMMYFUNCTION("""COMPUTED_VALUE"""),1.0)</f>
        <v>1</v>
      </c>
      <c r="S5687" s="4" t="str">
        <f>IFERROR(__xludf.DUMMYFUNCTION("""COMPUTED_VALUE"""),"N/A (Not found)")</f>
        <v>N/A (Not found)</v>
      </c>
      <c r="T5687" s="33">
        <f>IFERROR(__xludf.DUMMYFUNCTION("""COMPUTED_VALUE"""),1.0)</f>
        <v>1</v>
      </c>
      <c r="U5687" s="4" t="str">
        <f>IFERROR(__xludf.DUMMYFUNCTION("""COMPUTED_VALUE"""),"N/A (Not found)")</f>
        <v>N/A (Not found)</v>
      </c>
      <c r="V5687" s="33">
        <f>IFERROR(__xludf.DUMMYFUNCTION("""COMPUTED_VALUE"""),1.0)</f>
        <v>1</v>
      </c>
      <c r="W5687" s="4" t="str">
        <f>IFERROR(__xludf.DUMMYFUNCTION("""COMPUTED_VALUE"""),"N/A (Not found)")</f>
        <v>N/A (Not found)</v>
      </c>
      <c r="X5687" s="33">
        <f>IFERROR(__xludf.DUMMYFUNCTION("""COMPUTED_VALUE"""),1.0)</f>
        <v>1</v>
      </c>
    </row>
    <row r="5688">
      <c r="K5688" s="4" t="str">
        <f>IFERROR(__xludf.DUMMYFUNCTION("""COMPUTED_VALUE"""),"QUINTAL DA PIZZA")</f>
        <v>QUINTAL DA PIZZA</v>
      </c>
      <c r="L5688" s="32">
        <f>IFERROR(__xludf.DUMMYFUNCTION("""COMPUTED_VALUE"""),2.0)</f>
        <v>2</v>
      </c>
      <c r="M5688" s="4" t="str">
        <f>IFERROR(__xludf.DUMMYFUNCTION("""COMPUTED_VALUE"""),"null")</f>
        <v>null</v>
      </c>
      <c r="N5688" s="33">
        <f>IFERROR(__xludf.DUMMYFUNCTION("""COMPUTED_VALUE"""),0.5)</f>
        <v>0.5</v>
      </c>
      <c r="O5688" s="4" t="str">
        <f>IFERROR(__xludf.DUMMYFUNCTION("""COMPUTED_VALUE"""),"null")</f>
        <v>null</v>
      </c>
      <c r="P5688" s="33">
        <f>IFERROR(__xludf.DUMMYFUNCTION("""COMPUTED_VALUE"""),0.5)</f>
        <v>0.5</v>
      </c>
      <c r="Q5688" s="4" t="str">
        <f>IFERROR(__xludf.DUMMYFUNCTION("""COMPUTED_VALUE"""),"Saipos Serviços De Software")</f>
        <v>Saipos Serviços De Software</v>
      </c>
      <c r="R5688" s="33">
        <f>IFERROR(__xludf.DUMMYFUNCTION("""COMPUTED_VALUE"""),0.5)</f>
        <v>0.5</v>
      </c>
      <c r="S5688" s="4" t="str">
        <f>IFERROR(__xludf.DUMMYFUNCTION("""COMPUTED_VALUE"""),"Saipos Serviços De Software")</f>
        <v>Saipos Serviços De Software</v>
      </c>
      <c r="T5688" s="33">
        <f>IFERROR(__xludf.DUMMYFUNCTION("""COMPUTED_VALUE"""),0.5)</f>
        <v>0.5</v>
      </c>
      <c r="U5688" s="4" t="str">
        <f>IFERROR(__xludf.DUMMYFUNCTION("""COMPUTED_VALUE"""),"Saipos Serviços De Software")</f>
        <v>Saipos Serviços De Software</v>
      </c>
      <c r="V5688" s="33">
        <f>IFERROR(__xludf.DUMMYFUNCTION("""COMPUTED_VALUE"""),0.5)</f>
        <v>0.5</v>
      </c>
      <c r="W5688" s="4" t="str">
        <f>IFERROR(__xludf.DUMMYFUNCTION("""COMPUTED_VALUE"""),"Saipos Serviços De Software")</f>
        <v>Saipos Serviços De Software</v>
      </c>
      <c r="X5688" s="33">
        <f>IFERROR(__xludf.DUMMYFUNCTION("""COMPUTED_VALUE"""),0.5)</f>
        <v>0.5</v>
      </c>
    </row>
    <row r="5689">
      <c r="K5689" s="4" t="str">
        <f>IFERROR(__xludf.DUMMYFUNCTION("""COMPUTED_VALUE"""),"DROGARIA BOA VISTA")</f>
        <v>DROGARIA BOA VISTA</v>
      </c>
      <c r="L5689" s="32">
        <f>IFERROR(__xludf.DUMMYFUNCTION("""COMPUTED_VALUE"""),2.0)</f>
        <v>2</v>
      </c>
      <c r="M5689" s="4" t="str">
        <f>IFERROR(__xludf.DUMMYFUNCTION("""COMPUTED_VALUE"""),"null")</f>
        <v>null</v>
      </c>
      <c r="N5689" s="33">
        <f>IFERROR(__xludf.DUMMYFUNCTION("""COMPUTED_VALUE"""),0.5)</f>
        <v>0.5</v>
      </c>
      <c r="O5689" s="4" t="str">
        <f>IFERROR(__xludf.DUMMYFUNCTION("""COMPUTED_VALUE"""),"N/A (Not found)")</f>
        <v>N/A (Not found)</v>
      </c>
      <c r="P5689" s="33">
        <f>IFERROR(__xludf.DUMMYFUNCTION("""COMPUTED_VALUE"""),1.0)</f>
        <v>1</v>
      </c>
      <c r="Q5689" s="4" t="str">
        <f>IFERROR(__xludf.DUMMYFUNCTION("""COMPUTED_VALUE"""),"N/A (Not found)")</f>
        <v>N/A (Not found)</v>
      </c>
      <c r="R5689" s="33">
        <f>IFERROR(__xludf.DUMMYFUNCTION("""COMPUTED_VALUE"""),0.5)</f>
        <v>0.5</v>
      </c>
      <c r="S5689" s="4" t="str">
        <f>IFERROR(__xludf.DUMMYFUNCTION("""COMPUTED_VALUE"""),"N/A (Not found)")</f>
        <v>N/A (Not found)</v>
      </c>
      <c r="T5689" s="33">
        <f>IFERROR(__xludf.DUMMYFUNCTION("""COMPUTED_VALUE"""),1.0)</f>
        <v>1</v>
      </c>
      <c r="U5689" s="4" t="str">
        <f>IFERROR(__xludf.DUMMYFUNCTION("""COMPUTED_VALUE"""),"N/A (Not found)")</f>
        <v>N/A (Not found)</v>
      </c>
      <c r="V5689" s="33">
        <f>IFERROR(__xludf.DUMMYFUNCTION("""COMPUTED_VALUE"""),1.0)</f>
        <v>1</v>
      </c>
      <c r="W5689" s="4" t="str">
        <f>IFERROR(__xludf.DUMMYFUNCTION("""COMPUTED_VALUE"""),"N/A (Not found)")</f>
        <v>N/A (Not found)</v>
      </c>
      <c r="X5689" s="33">
        <f>IFERROR(__xludf.DUMMYFUNCTION("""COMPUTED_VALUE"""),1.0)</f>
        <v>1</v>
      </c>
    </row>
    <row r="5690">
      <c r="K5690" s="4" t="str">
        <f>IFERROR(__xludf.DUMMYFUNCTION("""COMPUTED_VALUE"""),"PRECO FARMA")</f>
        <v>PRECO FARMA</v>
      </c>
      <c r="L5690" s="32">
        <f>IFERROR(__xludf.DUMMYFUNCTION("""COMPUTED_VALUE"""),2.0)</f>
        <v>2</v>
      </c>
      <c r="M5690" s="4" t="str">
        <f>IFERROR(__xludf.DUMMYFUNCTION("""COMPUTED_VALUE"""),"null")</f>
        <v>null</v>
      </c>
      <c r="N5690" s="33">
        <f>IFERROR(__xludf.DUMMYFUNCTION("""COMPUTED_VALUE"""),1.0)</f>
        <v>1</v>
      </c>
      <c r="O5690" s="4" t="str">
        <f>IFERROR(__xludf.DUMMYFUNCTION("""COMPUTED_VALUE"""),"null")</f>
        <v>null</v>
      </c>
      <c r="P5690" s="33">
        <f>IFERROR(__xludf.DUMMYFUNCTION("""COMPUTED_VALUE"""),1.0)</f>
        <v>1</v>
      </c>
      <c r="Q5690" s="4" t="str">
        <f>IFERROR(__xludf.DUMMYFUNCTION("""COMPUTED_VALUE"""),"null")</f>
        <v>null</v>
      </c>
      <c r="R5690" s="33">
        <f>IFERROR(__xludf.DUMMYFUNCTION("""COMPUTED_VALUE"""),1.0)</f>
        <v>1</v>
      </c>
      <c r="S5690" s="4" t="str">
        <f>IFERROR(__xludf.DUMMYFUNCTION("""COMPUTED_VALUE"""),"N/A (Not found)")</f>
        <v>N/A (Not found)</v>
      </c>
      <c r="T5690" s="33">
        <f>IFERROR(__xludf.DUMMYFUNCTION("""COMPUTED_VALUE"""),1.0)</f>
        <v>1</v>
      </c>
      <c r="U5690" s="4" t="str">
        <f>IFERROR(__xludf.DUMMYFUNCTION("""COMPUTED_VALUE"""),"N/A (Not found)")</f>
        <v>N/A (Not found)</v>
      </c>
      <c r="V5690" s="33">
        <f>IFERROR(__xludf.DUMMYFUNCTION("""COMPUTED_VALUE"""),1.0)</f>
        <v>1</v>
      </c>
      <c r="W5690" s="4" t="str">
        <f>IFERROR(__xludf.DUMMYFUNCTION("""COMPUTED_VALUE"""),"N/A (Not found)")</f>
        <v>N/A (Not found)</v>
      </c>
      <c r="X5690" s="33">
        <f>IFERROR(__xludf.DUMMYFUNCTION("""COMPUTED_VALUE"""),1.0)</f>
        <v>1</v>
      </c>
    </row>
    <row r="5691">
      <c r="K5691" s="4" t="str">
        <f>IFERROR(__xludf.DUMMYFUNCTION("""COMPUTED_VALUE"""),"SANTA SEDE BEBIDAS")</f>
        <v>SANTA SEDE BEBIDAS</v>
      </c>
      <c r="L5691" s="32">
        <f>IFERROR(__xludf.DUMMYFUNCTION("""COMPUTED_VALUE"""),2.0)</f>
        <v>2</v>
      </c>
      <c r="M5691" s="4" t="str">
        <f>IFERROR(__xludf.DUMMYFUNCTION("""COMPUTED_VALUE"""),"N/A (Not found)")</f>
        <v>N/A (Not found)</v>
      </c>
      <c r="N5691" s="33">
        <f>IFERROR(__xludf.DUMMYFUNCTION("""COMPUTED_VALUE"""),0.5)</f>
        <v>0.5</v>
      </c>
      <c r="O5691" s="4" t="str">
        <f>IFERROR(__xludf.DUMMYFUNCTION("""COMPUTED_VALUE"""),"N/A (Not found)")</f>
        <v>N/A (Not found)</v>
      </c>
      <c r="P5691" s="33">
        <f>IFERROR(__xludf.DUMMYFUNCTION("""COMPUTED_VALUE"""),0.5)</f>
        <v>0.5</v>
      </c>
      <c r="Q5691" s="4" t="str">
        <f>IFERROR(__xludf.DUMMYFUNCTION("""COMPUTED_VALUE"""),"N/A (Not found)")</f>
        <v>N/A (Not found)</v>
      </c>
      <c r="R5691" s="33">
        <f>IFERROR(__xludf.DUMMYFUNCTION("""COMPUTED_VALUE"""),0.5)</f>
        <v>0.5</v>
      </c>
      <c r="S5691" s="4" t="str">
        <f>IFERROR(__xludf.DUMMYFUNCTION("""COMPUTED_VALUE"""),"N/A (Not found)")</f>
        <v>N/A (Not found)</v>
      </c>
      <c r="T5691" s="33">
        <f>IFERROR(__xludf.DUMMYFUNCTION("""COMPUTED_VALUE"""),0.5)</f>
        <v>0.5</v>
      </c>
      <c r="U5691" s="4" t="str">
        <f>IFERROR(__xludf.DUMMYFUNCTION("""COMPUTED_VALUE"""),"N/A (Not found)")</f>
        <v>N/A (Not found)</v>
      </c>
      <c r="V5691" s="33">
        <f>IFERROR(__xludf.DUMMYFUNCTION("""COMPUTED_VALUE"""),0.5)</f>
        <v>0.5</v>
      </c>
      <c r="W5691" s="4" t="str">
        <f>IFERROR(__xludf.DUMMYFUNCTION("""COMPUTED_VALUE"""),"N/A (Not found)")</f>
        <v>N/A (Not found)</v>
      </c>
      <c r="X5691" s="33">
        <f>IFERROR(__xludf.DUMMYFUNCTION("""COMPUTED_VALUE"""),0.5)</f>
        <v>0.5</v>
      </c>
    </row>
    <row r="5692">
      <c r="K5692" s="4" t="str">
        <f>IFERROR(__xludf.DUMMYFUNCTION("""COMPUTED_VALUE"""),"DONA LU MARMITARIA")</f>
        <v>DONA LU MARMITARIA</v>
      </c>
      <c r="L5692" s="32">
        <f>IFERROR(__xludf.DUMMYFUNCTION("""COMPUTED_VALUE"""),2.0)</f>
        <v>2</v>
      </c>
      <c r="M5692" s="4" t="str">
        <f>IFERROR(__xludf.DUMMYFUNCTION("""COMPUTED_VALUE"""),"null")</f>
        <v>null</v>
      </c>
      <c r="N5692" s="33">
        <f>IFERROR(__xludf.DUMMYFUNCTION("""COMPUTED_VALUE"""),0.5)</f>
        <v>0.5</v>
      </c>
      <c r="O5692" s="4" t="str">
        <f>IFERROR(__xludf.DUMMYFUNCTION("""COMPUTED_VALUE"""),"null")</f>
        <v>null</v>
      </c>
      <c r="P5692" s="33">
        <f>IFERROR(__xludf.DUMMYFUNCTION("""COMPUTED_VALUE"""),0.5)</f>
        <v>0.5</v>
      </c>
      <c r="Q5692" s="4" t="str">
        <f>IFERROR(__xludf.DUMMYFUNCTION("""COMPUTED_VALUE"""),"null")</f>
        <v>null</v>
      </c>
      <c r="R5692" s="33">
        <f>IFERROR(__xludf.DUMMYFUNCTION("""COMPUTED_VALUE"""),0.5)</f>
        <v>0.5</v>
      </c>
      <c r="S5692" s="4" t="str">
        <f>IFERROR(__xludf.DUMMYFUNCTION("""COMPUTED_VALUE"""),"null")</f>
        <v>null</v>
      </c>
      <c r="T5692" s="33">
        <f>IFERROR(__xludf.DUMMYFUNCTION("""COMPUTED_VALUE"""),0.5)</f>
        <v>0.5</v>
      </c>
      <c r="U5692" s="4" t="str">
        <f>IFERROR(__xludf.DUMMYFUNCTION("""COMPUTED_VALUE"""),"Anota Ai Solucoes Digitais S/a")</f>
        <v>Anota Ai Solucoes Digitais S/a</v>
      </c>
      <c r="V5692" s="33">
        <f>IFERROR(__xludf.DUMMYFUNCTION("""COMPUTED_VALUE"""),0.5)</f>
        <v>0.5</v>
      </c>
      <c r="W5692" s="4" t="str">
        <f>IFERROR(__xludf.DUMMYFUNCTION("""COMPUTED_VALUE"""),"null")</f>
        <v>null</v>
      </c>
      <c r="X5692" s="33">
        <f>IFERROR(__xludf.DUMMYFUNCTION("""COMPUTED_VALUE"""),1.0)</f>
        <v>1</v>
      </c>
    </row>
    <row r="5693">
      <c r="K5693" s="4" t="str">
        <f>IFERROR(__xludf.DUMMYFUNCTION("""COMPUTED_VALUE"""),"COXINHAS DE BATATA BOM DE MINAS")</f>
        <v>COXINHAS DE BATATA BOM DE MINAS</v>
      </c>
      <c r="L5693" s="32">
        <f>IFERROR(__xludf.DUMMYFUNCTION("""COMPUTED_VALUE"""),2.0)</f>
        <v>2</v>
      </c>
      <c r="M5693" s="4" t="str">
        <f>IFERROR(__xludf.DUMMYFUNCTION("""COMPUTED_VALUE"""),"Connectplug")</f>
        <v>Connectplug</v>
      </c>
      <c r="N5693" s="33">
        <f>IFERROR(__xludf.DUMMYFUNCTION("""COMPUTED_VALUE"""),1.0)</f>
        <v>1</v>
      </c>
      <c r="O5693" s="4" t="str">
        <f>IFERROR(__xludf.DUMMYFUNCTION("""COMPUTED_VALUE"""),"Connectplug")</f>
        <v>Connectplug</v>
      </c>
      <c r="P5693" s="33">
        <f>IFERROR(__xludf.DUMMYFUNCTION("""COMPUTED_VALUE"""),1.0)</f>
        <v>1</v>
      </c>
      <c r="Q5693" s="4" t="str">
        <f>IFERROR(__xludf.DUMMYFUNCTION("""COMPUTED_VALUE"""),"Connectplug")</f>
        <v>Connectplug</v>
      </c>
      <c r="R5693" s="33">
        <f>IFERROR(__xludf.DUMMYFUNCTION("""COMPUTED_VALUE"""),1.0)</f>
        <v>1</v>
      </c>
      <c r="S5693" s="4" t="str">
        <f>IFERROR(__xludf.DUMMYFUNCTION("""COMPUTED_VALUE"""),"Connectplug")</f>
        <v>Connectplug</v>
      </c>
      <c r="T5693" s="33">
        <f>IFERROR(__xludf.DUMMYFUNCTION("""COMPUTED_VALUE"""),1.0)</f>
        <v>1</v>
      </c>
      <c r="U5693" s="4" t="str">
        <f>IFERROR(__xludf.DUMMYFUNCTION("""COMPUTED_VALUE"""),"Connectplug")</f>
        <v>Connectplug</v>
      </c>
      <c r="V5693" s="33">
        <f>IFERROR(__xludf.DUMMYFUNCTION("""COMPUTED_VALUE"""),1.0)</f>
        <v>1</v>
      </c>
      <c r="W5693" s="4" t="str">
        <f>IFERROR(__xludf.DUMMYFUNCTION("""COMPUTED_VALUE"""),"Connectplug")</f>
        <v>Connectplug</v>
      </c>
      <c r="X5693" s="33">
        <f>IFERROR(__xludf.DUMMYFUNCTION("""COMPUTED_VALUE"""),1.0)</f>
        <v>1</v>
      </c>
    </row>
    <row r="5694">
      <c r="K5694" s="4" t="str">
        <f>IFERROR(__xludf.DUMMYFUNCTION("""COMPUTED_VALUE"""),"HARD ROCK CAFE")</f>
        <v>HARD ROCK CAFE</v>
      </c>
      <c r="L5694" s="32">
        <f>IFERROR(__xludf.DUMMYFUNCTION("""COMPUTED_VALUE"""),2.0)</f>
        <v>2</v>
      </c>
      <c r="M5694" s="4" t="str">
        <f>IFERROR(__xludf.DUMMYFUNCTION("""COMPUTED_VALUE"""),"null")</f>
        <v>null</v>
      </c>
      <c r="N5694" s="33">
        <f>IFERROR(__xludf.DUMMYFUNCTION("""COMPUTED_VALUE"""),0.5)</f>
        <v>0.5</v>
      </c>
      <c r="O5694" s="4" t="str">
        <f>IFERROR(__xludf.DUMMYFUNCTION("""COMPUTED_VALUE"""),"null")</f>
        <v>null</v>
      </c>
      <c r="P5694" s="33">
        <f>IFERROR(__xludf.DUMMYFUNCTION("""COMPUTED_VALUE"""),0.5)</f>
        <v>0.5</v>
      </c>
      <c r="Q5694" s="4" t="str">
        <f>IFERROR(__xludf.DUMMYFUNCTION("""COMPUTED_VALUE"""),"null")</f>
        <v>null</v>
      </c>
      <c r="R5694" s="33">
        <f>IFERROR(__xludf.DUMMYFUNCTION("""COMPUTED_VALUE"""),0.5)</f>
        <v>0.5</v>
      </c>
      <c r="S5694" s="4" t="str">
        <f>IFERROR(__xludf.DUMMYFUNCTION("""COMPUTED_VALUE"""),"null")</f>
        <v>null</v>
      </c>
      <c r="T5694" s="33">
        <f>IFERROR(__xludf.DUMMYFUNCTION("""COMPUTED_VALUE"""),0.5)</f>
        <v>0.5</v>
      </c>
      <c r="U5694" s="4" t="str">
        <f>IFERROR(__xludf.DUMMYFUNCTION("""COMPUTED_VALUE"""),"Dalcatech Automacao E Desenvolvimento De Software Ltda")</f>
        <v>Dalcatech Automacao E Desenvolvimento De Software Ltda</v>
      </c>
      <c r="V5694" s="33">
        <f>IFERROR(__xludf.DUMMYFUNCTION("""COMPUTED_VALUE"""),1.0)</f>
        <v>1</v>
      </c>
      <c r="W5694" s="4" t="str">
        <f>IFERROR(__xludf.DUMMYFUNCTION("""COMPUTED_VALUE"""),"Dalcatech Automacao E Desenvolvimento De Software Ltda")</f>
        <v>Dalcatech Automacao E Desenvolvimento De Software Ltda</v>
      </c>
      <c r="X5694" s="33">
        <f>IFERROR(__xludf.DUMMYFUNCTION("""COMPUTED_VALUE"""),1.0)</f>
        <v>1</v>
      </c>
    </row>
    <row r="5695">
      <c r="K5695" s="4" t="str">
        <f>IFERROR(__xludf.DUMMYFUNCTION("""COMPUTED_VALUE"""),"GELADAO DA VARJOTA")</f>
        <v>GELADAO DA VARJOTA</v>
      </c>
      <c r="L5695" s="32">
        <f>IFERROR(__xludf.DUMMYFUNCTION("""COMPUTED_VALUE"""),2.0)</f>
        <v>2</v>
      </c>
      <c r="M5695" s="4" t="str">
        <f>IFERROR(__xludf.DUMMYFUNCTION("""COMPUTED_VALUE"""),"N/A (Not found)")</f>
        <v>N/A (Not found)</v>
      </c>
      <c r="N5695" s="33">
        <f>IFERROR(__xludf.DUMMYFUNCTION("""COMPUTED_VALUE"""),0.5)</f>
        <v>0.5</v>
      </c>
      <c r="O5695" s="4" t="str">
        <f>IFERROR(__xludf.DUMMYFUNCTION("""COMPUTED_VALUE"""),"N/A (Not found)")</f>
        <v>N/A (Not found)</v>
      </c>
      <c r="P5695" s="33">
        <f>IFERROR(__xludf.DUMMYFUNCTION("""COMPUTED_VALUE"""),0.5)</f>
        <v>0.5</v>
      </c>
      <c r="Q5695" s="4" t="str">
        <f>IFERROR(__xludf.DUMMYFUNCTION("""COMPUTED_VALUE"""),"N/A (Not found)")</f>
        <v>N/A (Not found)</v>
      </c>
      <c r="R5695" s="33">
        <f>IFERROR(__xludf.DUMMYFUNCTION("""COMPUTED_VALUE"""),0.5)</f>
        <v>0.5</v>
      </c>
      <c r="S5695" s="4" t="str">
        <f>IFERROR(__xludf.DUMMYFUNCTION("""COMPUTED_VALUE"""),"N/A (Not found)")</f>
        <v>N/A (Not found)</v>
      </c>
      <c r="T5695" s="33">
        <f>IFERROR(__xludf.DUMMYFUNCTION("""COMPUTED_VALUE"""),0.5)</f>
        <v>0.5</v>
      </c>
      <c r="U5695" s="4" t="str">
        <f>IFERROR(__xludf.DUMMYFUNCTION("""COMPUTED_VALUE"""),"N/A (Not found)")</f>
        <v>N/A (Not found)</v>
      </c>
      <c r="V5695" s="33">
        <f>IFERROR(__xludf.DUMMYFUNCTION("""COMPUTED_VALUE"""),0.5)</f>
        <v>0.5</v>
      </c>
      <c r="W5695" s="4" t="str">
        <f>IFERROR(__xludf.DUMMYFUNCTION("""COMPUTED_VALUE"""),"null")</f>
        <v>null</v>
      </c>
      <c r="X5695" s="33">
        <f>IFERROR(__xludf.DUMMYFUNCTION("""COMPUTED_VALUE"""),0.5)</f>
        <v>0.5</v>
      </c>
    </row>
    <row r="5696">
      <c r="K5696" s="4" t="str">
        <f>IFERROR(__xludf.DUMMYFUNCTION("""COMPUTED_VALUE"""),"VULCANO PIZZAS")</f>
        <v>VULCANO PIZZAS</v>
      </c>
      <c r="L5696" s="32">
        <f>IFERROR(__xludf.DUMMYFUNCTION("""COMPUTED_VALUE"""),2.0)</f>
        <v>2</v>
      </c>
      <c r="M5696" s="4" t="str">
        <f>IFERROR(__xludf.DUMMYFUNCTION("""COMPUTED_VALUE"""),"Brendi")</f>
        <v>Brendi</v>
      </c>
      <c r="N5696" s="33">
        <f>IFERROR(__xludf.DUMMYFUNCTION("""COMPUTED_VALUE"""),1.0)</f>
        <v>1</v>
      </c>
      <c r="O5696" s="4" t="str">
        <f>IFERROR(__xludf.DUMMYFUNCTION("""COMPUTED_VALUE"""),"Brendi")</f>
        <v>Brendi</v>
      </c>
      <c r="P5696" s="33">
        <f>IFERROR(__xludf.DUMMYFUNCTION("""COMPUTED_VALUE"""),0.5)</f>
        <v>0.5</v>
      </c>
      <c r="Q5696" s="4" t="str">
        <f>IFERROR(__xludf.DUMMYFUNCTION("""COMPUTED_VALUE"""),"Brendi")</f>
        <v>Brendi</v>
      </c>
      <c r="R5696" s="33">
        <f>IFERROR(__xludf.DUMMYFUNCTION("""COMPUTED_VALUE"""),0.5)</f>
        <v>0.5</v>
      </c>
      <c r="S5696" s="4" t="str">
        <f>IFERROR(__xludf.DUMMYFUNCTION("""COMPUTED_VALUE"""),"Brendi")</f>
        <v>Brendi</v>
      </c>
      <c r="T5696" s="33">
        <f>IFERROR(__xludf.DUMMYFUNCTION("""COMPUTED_VALUE"""),0.5)</f>
        <v>0.5</v>
      </c>
      <c r="U5696" s="4" t="str">
        <f>IFERROR(__xludf.DUMMYFUNCTION("""COMPUTED_VALUE"""),"Brendi")</f>
        <v>Brendi</v>
      </c>
      <c r="V5696" s="33">
        <f>IFERROR(__xludf.DUMMYFUNCTION("""COMPUTED_VALUE"""),0.5)</f>
        <v>0.5</v>
      </c>
      <c r="W5696" s="4" t="str">
        <f>IFERROR(__xludf.DUMMYFUNCTION("""COMPUTED_VALUE"""),"Brendi")</f>
        <v>Brendi</v>
      </c>
      <c r="X5696" s="33">
        <f>IFERROR(__xludf.DUMMYFUNCTION("""COMPUTED_VALUE"""),0.5)</f>
        <v>0.5</v>
      </c>
    </row>
    <row r="5697">
      <c r="K5697" s="4" t="str">
        <f>IFERROR(__xludf.DUMMYFUNCTION("""COMPUTED_VALUE"""),"MARMITARIA REQUINTE")</f>
        <v>MARMITARIA REQUINTE</v>
      </c>
      <c r="L5697" s="32">
        <f>IFERROR(__xludf.DUMMYFUNCTION("""COMPUTED_VALUE"""),2.0)</f>
        <v>2</v>
      </c>
      <c r="M5697" s="4" t="str">
        <f>IFERROR(__xludf.DUMMYFUNCTION("""COMPUTED_VALUE"""),"Saipos Serviços De Software")</f>
        <v>Saipos Serviços De Software</v>
      </c>
      <c r="N5697" s="33">
        <f>IFERROR(__xludf.DUMMYFUNCTION("""COMPUTED_VALUE"""),1.0)</f>
        <v>1</v>
      </c>
      <c r="O5697" s="4" t="str">
        <f>IFERROR(__xludf.DUMMYFUNCTION("""COMPUTED_VALUE"""),"Saipos Serviços De Software")</f>
        <v>Saipos Serviços De Software</v>
      </c>
      <c r="P5697" s="33">
        <f>IFERROR(__xludf.DUMMYFUNCTION("""COMPUTED_VALUE"""),1.0)</f>
        <v>1</v>
      </c>
      <c r="Q5697" s="4" t="str">
        <f>IFERROR(__xludf.DUMMYFUNCTION("""COMPUTED_VALUE"""),"Saipos Serviços De Software")</f>
        <v>Saipos Serviços De Software</v>
      </c>
      <c r="R5697" s="33">
        <f>IFERROR(__xludf.DUMMYFUNCTION("""COMPUTED_VALUE"""),1.0)</f>
        <v>1</v>
      </c>
      <c r="S5697" s="4" t="str">
        <f>IFERROR(__xludf.DUMMYFUNCTION("""COMPUTED_VALUE"""),"Saipos Serviços De Software")</f>
        <v>Saipos Serviços De Software</v>
      </c>
      <c r="T5697" s="33">
        <f>IFERROR(__xludf.DUMMYFUNCTION("""COMPUTED_VALUE"""),1.0)</f>
        <v>1</v>
      </c>
      <c r="U5697" s="4" t="str">
        <f>IFERROR(__xludf.DUMMYFUNCTION("""COMPUTED_VALUE"""),"Saipos Serviços De Software")</f>
        <v>Saipos Serviços De Software</v>
      </c>
      <c r="V5697" s="33">
        <f>IFERROR(__xludf.DUMMYFUNCTION("""COMPUTED_VALUE"""),1.0)</f>
        <v>1</v>
      </c>
      <c r="W5697" s="4" t="str">
        <f>IFERROR(__xludf.DUMMYFUNCTION("""COMPUTED_VALUE"""),"Saipos Serviços De Software")</f>
        <v>Saipos Serviços De Software</v>
      </c>
      <c r="X5697" s="33">
        <f>IFERROR(__xludf.DUMMYFUNCTION("""COMPUTED_VALUE"""),1.0)</f>
        <v>1</v>
      </c>
    </row>
    <row r="5698">
      <c r="K5698" s="4" t="str">
        <f>IFERROR(__xludf.DUMMYFUNCTION("""COMPUTED_VALUE"""),"DROGARIA MARQUES")</f>
        <v>DROGARIA MARQUES</v>
      </c>
      <c r="L5698" s="32">
        <f>IFERROR(__xludf.DUMMYFUNCTION("""COMPUTED_VALUE"""),2.0)</f>
        <v>2</v>
      </c>
      <c r="M5698" s="4" t="str">
        <f>IFERROR(__xludf.DUMMYFUNCTION("""COMPUTED_VALUE"""),"N/A (Not found)")</f>
        <v>N/A (Not found)</v>
      </c>
      <c r="N5698" s="33">
        <f>IFERROR(__xludf.DUMMYFUNCTION("""COMPUTED_VALUE"""),1.0)</f>
        <v>1</v>
      </c>
      <c r="O5698" s="4" t="str">
        <f>IFERROR(__xludf.DUMMYFUNCTION("""COMPUTED_VALUE"""),"N/A (Not found)")</f>
        <v>N/A (Not found)</v>
      </c>
      <c r="P5698" s="33">
        <f>IFERROR(__xludf.DUMMYFUNCTION("""COMPUTED_VALUE"""),1.0)</f>
        <v>1</v>
      </c>
      <c r="Q5698" s="4" t="str">
        <f>IFERROR(__xludf.DUMMYFUNCTION("""COMPUTED_VALUE"""),"N/A (Not found)")</f>
        <v>N/A (Not found)</v>
      </c>
      <c r="R5698" s="33">
        <f>IFERROR(__xludf.DUMMYFUNCTION("""COMPUTED_VALUE"""),1.0)</f>
        <v>1</v>
      </c>
      <c r="S5698" s="4" t="str">
        <f>IFERROR(__xludf.DUMMYFUNCTION("""COMPUTED_VALUE"""),"N/A (Not found)")</f>
        <v>N/A (Not found)</v>
      </c>
      <c r="T5698" s="33">
        <f>IFERROR(__xludf.DUMMYFUNCTION("""COMPUTED_VALUE"""),1.0)</f>
        <v>1</v>
      </c>
      <c r="U5698" s="4" t="str">
        <f>IFERROR(__xludf.DUMMYFUNCTION("""COMPUTED_VALUE"""),"N/A (Not found)")</f>
        <v>N/A (Not found)</v>
      </c>
      <c r="V5698" s="33">
        <f>IFERROR(__xludf.DUMMYFUNCTION("""COMPUTED_VALUE"""),1.0)</f>
        <v>1</v>
      </c>
      <c r="W5698" s="4" t="str">
        <f>IFERROR(__xludf.DUMMYFUNCTION("""COMPUTED_VALUE"""),"N/A (Not found)")</f>
        <v>N/A (Not found)</v>
      </c>
      <c r="X5698" s="33">
        <f>IFERROR(__xludf.DUMMYFUNCTION("""COMPUTED_VALUE"""),1.0)</f>
        <v>1</v>
      </c>
    </row>
    <row r="5699">
      <c r="K5699" s="4" t="str">
        <f>IFERROR(__xludf.DUMMYFUNCTION("""COMPUTED_VALUE"""),"DINOS BURGUER")</f>
        <v>DINOS BURGUER</v>
      </c>
      <c r="L5699" s="32">
        <f>IFERROR(__xludf.DUMMYFUNCTION("""COMPUTED_VALUE"""),2.0)</f>
        <v>2</v>
      </c>
      <c r="M5699" s="4" t="str">
        <f>IFERROR(__xludf.DUMMYFUNCTION("""COMPUTED_VALUE"""),"null")</f>
        <v>null</v>
      </c>
      <c r="N5699" s="33">
        <f>IFERROR(__xludf.DUMMYFUNCTION("""COMPUTED_VALUE"""),0.5)</f>
        <v>0.5</v>
      </c>
      <c r="O5699" s="4" t="str">
        <f>IFERROR(__xludf.DUMMYFUNCTION("""COMPUTED_VALUE"""),"Brendi")</f>
        <v>Brendi</v>
      </c>
      <c r="P5699" s="33">
        <f>IFERROR(__xludf.DUMMYFUNCTION("""COMPUTED_VALUE"""),0.5)</f>
        <v>0.5</v>
      </c>
      <c r="Q5699" s="4" t="str">
        <f>IFERROR(__xludf.DUMMYFUNCTION("""COMPUTED_VALUE"""),"Brendi")</f>
        <v>Brendi</v>
      </c>
      <c r="R5699" s="33">
        <f>IFERROR(__xludf.DUMMYFUNCTION("""COMPUTED_VALUE"""),0.5)</f>
        <v>0.5</v>
      </c>
      <c r="S5699" s="4" t="str">
        <f>IFERROR(__xludf.DUMMYFUNCTION("""COMPUTED_VALUE"""),"Brendi")</f>
        <v>Brendi</v>
      </c>
      <c r="T5699" s="33">
        <f>IFERROR(__xludf.DUMMYFUNCTION("""COMPUTED_VALUE"""),0.5)</f>
        <v>0.5</v>
      </c>
      <c r="U5699" s="4" t="str">
        <f>IFERROR(__xludf.DUMMYFUNCTION("""COMPUTED_VALUE"""),"Brendi")</f>
        <v>Brendi</v>
      </c>
      <c r="V5699" s="33">
        <f>IFERROR(__xludf.DUMMYFUNCTION("""COMPUTED_VALUE"""),0.5)</f>
        <v>0.5</v>
      </c>
      <c r="W5699" s="4" t="str">
        <f>IFERROR(__xludf.DUMMYFUNCTION("""COMPUTED_VALUE"""),"Brendi")</f>
        <v>Brendi</v>
      </c>
      <c r="X5699" s="33">
        <f>IFERROR(__xludf.DUMMYFUNCTION("""COMPUTED_VALUE"""),0.5)</f>
        <v>0.5</v>
      </c>
    </row>
    <row r="5700">
      <c r="K5700" s="4" t="str">
        <f>IFERROR(__xludf.DUMMYFUNCTION("""COMPUTED_VALUE"""),"BIBIS HAMBURGUERIA - HAMBURGUER ARTESANAL")</f>
        <v>BIBIS HAMBURGUERIA - HAMBURGUER ARTESANAL</v>
      </c>
      <c r="L5700" s="32">
        <f>IFERROR(__xludf.DUMMYFUNCTION("""COMPUTED_VALUE"""),2.0)</f>
        <v>2</v>
      </c>
      <c r="M5700" s="4" t="str">
        <f>IFERROR(__xludf.DUMMYFUNCTION("""COMPUTED_VALUE"""),"Saipos Serviços De Software")</f>
        <v>Saipos Serviços De Software</v>
      </c>
      <c r="N5700" s="33">
        <f>IFERROR(__xludf.DUMMYFUNCTION("""COMPUTED_VALUE"""),0.5)</f>
        <v>0.5</v>
      </c>
      <c r="O5700" s="4" t="str">
        <f>IFERROR(__xludf.DUMMYFUNCTION("""COMPUTED_VALUE"""),"Saipos Serviços De Software")</f>
        <v>Saipos Serviços De Software</v>
      </c>
      <c r="P5700" s="33">
        <f>IFERROR(__xludf.DUMMYFUNCTION("""COMPUTED_VALUE"""),1.0)</f>
        <v>1</v>
      </c>
      <c r="Q5700" s="4" t="str">
        <f>IFERROR(__xludf.DUMMYFUNCTION("""COMPUTED_VALUE"""),"Saipos Serviços De Software")</f>
        <v>Saipos Serviços De Software</v>
      </c>
      <c r="R5700" s="33">
        <f>IFERROR(__xludf.DUMMYFUNCTION("""COMPUTED_VALUE"""),0.5)</f>
        <v>0.5</v>
      </c>
      <c r="S5700" s="4" t="str">
        <f>IFERROR(__xludf.DUMMYFUNCTION("""COMPUTED_VALUE"""),"Saipos Serviços De Software")</f>
        <v>Saipos Serviços De Software</v>
      </c>
      <c r="T5700" s="33">
        <f>IFERROR(__xludf.DUMMYFUNCTION("""COMPUTED_VALUE"""),0.5)</f>
        <v>0.5</v>
      </c>
      <c r="U5700" s="4" t="str">
        <f>IFERROR(__xludf.DUMMYFUNCTION("""COMPUTED_VALUE"""),"null")</f>
        <v>null</v>
      </c>
      <c r="V5700" s="33">
        <f>IFERROR(__xludf.DUMMYFUNCTION("""COMPUTED_VALUE"""),1.0)</f>
        <v>1</v>
      </c>
      <c r="W5700" s="4" t="str">
        <f>IFERROR(__xludf.DUMMYFUNCTION("""COMPUTED_VALUE"""),"null")</f>
        <v>null</v>
      </c>
      <c r="X5700" s="33">
        <f>IFERROR(__xludf.DUMMYFUNCTION("""COMPUTED_VALUE"""),1.0)</f>
        <v>1</v>
      </c>
    </row>
    <row r="5701">
      <c r="K5701" s="4" t="str">
        <f>IFERROR(__xludf.DUMMYFUNCTION("""COMPUTED_VALUE"""),"CASA DA PANQUECA")</f>
        <v>CASA DA PANQUECA</v>
      </c>
      <c r="L5701" s="32">
        <f>IFERROR(__xludf.DUMMYFUNCTION("""COMPUTED_VALUE"""),2.0)</f>
        <v>2</v>
      </c>
      <c r="M5701" s="4" t="str">
        <f>IFERROR(__xludf.DUMMYFUNCTION("""COMPUTED_VALUE"""),"null")</f>
        <v>null</v>
      </c>
      <c r="N5701" s="33">
        <f>IFERROR(__xludf.DUMMYFUNCTION("""COMPUTED_VALUE"""),0.5)</f>
        <v>0.5</v>
      </c>
      <c r="O5701" s="4" t="str">
        <f>IFERROR(__xludf.DUMMYFUNCTION("""COMPUTED_VALUE"""),"null")</f>
        <v>null</v>
      </c>
      <c r="P5701" s="33">
        <f>IFERROR(__xludf.DUMMYFUNCTION("""COMPUTED_VALUE"""),0.5)</f>
        <v>0.5</v>
      </c>
      <c r="Q5701" s="4" t="str">
        <f>IFERROR(__xludf.DUMMYFUNCTION("""COMPUTED_VALUE"""),"null")</f>
        <v>null</v>
      </c>
      <c r="R5701" s="33">
        <f>IFERROR(__xludf.DUMMYFUNCTION("""COMPUTED_VALUE"""),0.5)</f>
        <v>0.5</v>
      </c>
      <c r="S5701" s="4" t="str">
        <f>IFERROR(__xludf.DUMMYFUNCTION("""COMPUTED_VALUE"""),"null")</f>
        <v>null</v>
      </c>
      <c r="T5701" s="33">
        <f>IFERROR(__xludf.DUMMYFUNCTION("""COMPUTED_VALUE"""),0.5)</f>
        <v>0.5</v>
      </c>
      <c r="U5701" s="4" t="str">
        <f>IFERROR(__xludf.DUMMYFUNCTION("""COMPUTED_VALUE"""),"Saipos Serviços De Software")</f>
        <v>Saipos Serviços De Software</v>
      </c>
      <c r="V5701" s="33">
        <f>IFERROR(__xludf.DUMMYFUNCTION("""COMPUTED_VALUE"""),0.5)</f>
        <v>0.5</v>
      </c>
      <c r="W5701" s="4" t="str">
        <f>IFERROR(__xludf.DUMMYFUNCTION("""COMPUTED_VALUE"""),"Saipos Serviços De Software")</f>
        <v>Saipos Serviços De Software</v>
      </c>
      <c r="X5701" s="33">
        <f>IFERROR(__xludf.DUMMYFUNCTION("""COMPUTED_VALUE"""),0.5)</f>
        <v>0.5</v>
      </c>
    </row>
    <row r="5702">
      <c r="K5702" s="4" t="str">
        <f>IFERROR(__xludf.DUMMYFUNCTION("""COMPUTED_VALUE"""),"AVENIDA BEBIDAS CONVENIENCIA")</f>
        <v>AVENIDA BEBIDAS CONVENIENCIA</v>
      </c>
      <c r="L5702" s="32">
        <f>IFERROR(__xludf.DUMMYFUNCTION("""COMPUTED_VALUE"""),2.0)</f>
        <v>2</v>
      </c>
      <c r="M5702" s="4" t="str">
        <f>IFERROR(__xludf.DUMMYFUNCTION("""COMPUTED_VALUE"""),"null")</f>
        <v>null</v>
      </c>
      <c r="N5702" s="33">
        <f>IFERROR(__xludf.DUMMYFUNCTION("""COMPUTED_VALUE"""),0.5)</f>
        <v>0.5</v>
      </c>
      <c r="O5702" s="4" t="str">
        <f>IFERROR(__xludf.DUMMYFUNCTION("""COMPUTED_VALUE"""),"N/A (Not found)")</f>
        <v>N/A (Not found)</v>
      </c>
      <c r="P5702" s="33">
        <f>IFERROR(__xludf.DUMMYFUNCTION("""COMPUTED_VALUE"""),1.0)</f>
        <v>1</v>
      </c>
      <c r="Q5702" s="4" t="str">
        <f>IFERROR(__xludf.DUMMYFUNCTION("""COMPUTED_VALUE"""),"N/A (Not found)")</f>
        <v>N/A (Not found)</v>
      </c>
      <c r="R5702" s="33">
        <f>IFERROR(__xludf.DUMMYFUNCTION("""COMPUTED_VALUE"""),0.5)</f>
        <v>0.5</v>
      </c>
      <c r="S5702" s="4" t="str">
        <f>IFERROR(__xludf.DUMMYFUNCTION("""COMPUTED_VALUE"""),"N/A (Not found)")</f>
        <v>N/A (Not found)</v>
      </c>
      <c r="T5702" s="33">
        <f>IFERROR(__xludf.DUMMYFUNCTION("""COMPUTED_VALUE"""),0.5)</f>
        <v>0.5</v>
      </c>
      <c r="U5702" s="4" t="str">
        <f>IFERROR(__xludf.DUMMYFUNCTION("""COMPUTED_VALUE"""),"N/A (Not found)")</f>
        <v>N/A (Not found)</v>
      </c>
      <c r="V5702" s="33">
        <f>IFERROR(__xludf.DUMMYFUNCTION("""COMPUTED_VALUE"""),0.5)</f>
        <v>0.5</v>
      </c>
      <c r="W5702" s="4" t="str">
        <f>IFERROR(__xludf.DUMMYFUNCTION("""COMPUTED_VALUE"""),"N/A (Not found)")</f>
        <v>N/A (Not found)</v>
      </c>
      <c r="X5702" s="33">
        <f>IFERROR(__xludf.DUMMYFUNCTION("""COMPUTED_VALUE"""),0.5)</f>
        <v>0.5</v>
      </c>
    </row>
    <row r="5703">
      <c r="K5703" s="4" t="str">
        <f>IFERROR(__xludf.DUMMYFUNCTION("""COMPUTED_VALUE"""),"MARMITA DA GI")</f>
        <v>MARMITA DA GI</v>
      </c>
      <c r="L5703" s="32">
        <f>IFERROR(__xludf.DUMMYFUNCTION("""COMPUTED_VALUE"""),2.0)</f>
        <v>2</v>
      </c>
      <c r="M5703" s="4" t="str">
        <f>IFERROR(__xludf.DUMMYFUNCTION("""COMPUTED_VALUE"""),"null")</f>
        <v>null</v>
      </c>
      <c r="N5703" s="33">
        <f>IFERROR(__xludf.DUMMYFUNCTION("""COMPUTED_VALUE"""),1.0)</f>
        <v>1</v>
      </c>
      <c r="O5703" s="4" t="str">
        <f>IFERROR(__xludf.DUMMYFUNCTION("""COMPUTED_VALUE"""),"null")</f>
        <v>null</v>
      </c>
      <c r="P5703" s="33">
        <f>IFERROR(__xludf.DUMMYFUNCTION("""COMPUTED_VALUE"""),1.0)</f>
        <v>1</v>
      </c>
      <c r="Q5703" s="4" t="str">
        <f>IFERROR(__xludf.DUMMYFUNCTION("""COMPUTED_VALUE"""),"Instadelivery")</f>
        <v>Instadelivery</v>
      </c>
      <c r="R5703" s="33">
        <f>IFERROR(__xludf.DUMMYFUNCTION("""COMPUTED_VALUE"""),1.0)</f>
        <v>1</v>
      </c>
      <c r="S5703" s="4" t="str">
        <f>IFERROR(__xludf.DUMMYFUNCTION("""COMPUTED_VALUE"""),"Instadelivery")</f>
        <v>Instadelivery</v>
      </c>
      <c r="T5703" s="33">
        <f>IFERROR(__xludf.DUMMYFUNCTION("""COMPUTED_VALUE"""),0.5)</f>
        <v>0.5</v>
      </c>
      <c r="U5703" s="4" t="str">
        <f>IFERROR(__xludf.DUMMYFUNCTION("""COMPUTED_VALUE"""),"Instadelivery")</f>
        <v>Instadelivery</v>
      </c>
      <c r="V5703" s="33">
        <f>IFERROR(__xludf.DUMMYFUNCTION("""COMPUTED_VALUE"""),0.5)</f>
        <v>0.5</v>
      </c>
      <c r="W5703" s="4" t="str">
        <f>IFERROR(__xludf.DUMMYFUNCTION("""COMPUTED_VALUE"""),"Instadelivery")</f>
        <v>Instadelivery</v>
      </c>
      <c r="X5703" s="33">
        <f>IFERROR(__xludf.DUMMYFUNCTION("""COMPUTED_VALUE"""),0.5)</f>
        <v>0.5</v>
      </c>
    </row>
    <row r="5704">
      <c r="K5704" s="4" t="str">
        <f>IFERROR(__xludf.DUMMYFUNCTION("""COMPUTED_VALUE"""),"CASA DOS ANIMAIS")</f>
        <v>CASA DOS ANIMAIS</v>
      </c>
      <c r="L5704" s="32">
        <f>IFERROR(__xludf.DUMMYFUNCTION("""COMPUTED_VALUE"""),2.0)</f>
        <v>2</v>
      </c>
      <c r="M5704" s="4" t="str">
        <f>IFERROR(__xludf.DUMMYFUNCTION("""COMPUTED_VALUE"""),"N/A (Not found)")</f>
        <v>N/A (Not found)</v>
      </c>
      <c r="N5704" s="33">
        <f>IFERROR(__xludf.DUMMYFUNCTION("""COMPUTED_VALUE"""),0.5)</f>
        <v>0.5</v>
      </c>
      <c r="O5704" s="4" t="str">
        <f>IFERROR(__xludf.DUMMYFUNCTION("""COMPUTED_VALUE"""),"N/A (Not found)")</f>
        <v>N/A (Not found)</v>
      </c>
      <c r="P5704" s="33">
        <f>IFERROR(__xludf.DUMMYFUNCTION("""COMPUTED_VALUE"""),1.0)</f>
        <v>1</v>
      </c>
      <c r="Q5704" s="4" t="str">
        <f>IFERROR(__xludf.DUMMYFUNCTION("""COMPUTED_VALUE"""),"N/A (Not found)")</f>
        <v>N/A (Not found)</v>
      </c>
      <c r="R5704" s="33">
        <f>IFERROR(__xludf.DUMMYFUNCTION("""COMPUTED_VALUE"""),1.0)</f>
        <v>1</v>
      </c>
      <c r="S5704" s="4" t="str">
        <f>IFERROR(__xludf.DUMMYFUNCTION("""COMPUTED_VALUE"""),"N/A (Not found)")</f>
        <v>N/A (Not found)</v>
      </c>
      <c r="T5704" s="33">
        <f>IFERROR(__xludf.DUMMYFUNCTION("""COMPUTED_VALUE"""),1.0)</f>
        <v>1</v>
      </c>
      <c r="U5704" s="4" t="str">
        <f>IFERROR(__xludf.DUMMYFUNCTION("""COMPUTED_VALUE"""),"N/A (Not found)")</f>
        <v>N/A (Not found)</v>
      </c>
      <c r="V5704" s="33">
        <f>IFERROR(__xludf.DUMMYFUNCTION("""COMPUTED_VALUE"""),1.0)</f>
        <v>1</v>
      </c>
      <c r="W5704" s="4" t="str">
        <f>IFERROR(__xludf.DUMMYFUNCTION("""COMPUTED_VALUE"""),"N/A (Not found)")</f>
        <v>N/A (Not found)</v>
      </c>
      <c r="X5704" s="33">
        <f>IFERROR(__xludf.DUMMYFUNCTION("""COMPUTED_VALUE"""),1.0)</f>
        <v>1</v>
      </c>
    </row>
    <row r="5705">
      <c r="K5705" s="4" t="str">
        <f>IFERROR(__xludf.DUMMYFUNCTION("""COMPUTED_VALUE"""),"CERVEJARIA DELIVERY")</f>
        <v>CERVEJARIA DELIVERY</v>
      </c>
      <c r="L5705" s="32">
        <f>IFERROR(__xludf.DUMMYFUNCTION("""COMPUTED_VALUE"""),2.0)</f>
        <v>2</v>
      </c>
      <c r="M5705" s="4" t="str">
        <f>IFERROR(__xludf.DUMMYFUNCTION("""COMPUTED_VALUE"""),"Saipos Serviços De Software")</f>
        <v>Saipos Serviços De Software</v>
      </c>
      <c r="N5705" s="33">
        <f>IFERROR(__xludf.DUMMYFUNCTION("""COMPUTED_VALUE"""),1.0)</f>
        <v>1</v>
      </c>
      <c r="O5705" s="4" t="str">
        <f>IFERROR(__xludf.DUMMYFUNCTION("""COMPUTED_VALUE"""),"null")</f>
        <v>null</v>
      </c>
      <c r="P5705" s="33">
        <f>IFERROR(__xludf.DUMMYFUNCTION("""COMPUTED_VALUE"""),0.5)</f>
        <v>0.5</v>
      </c>
      <c r="Q5705" s="4" t="str">
        <f>IFERROR(__xludf.DUMMYFUNCTION("""COMPUTED_VALUE"""),"null")</f>
        <v>null</v>
      </c>
      <c r="R5705" s="33">
        <f>IFERROR(__xludf.DUMMYFUNCTION("""COMPUTED_VALUE"""),0.5)</f>
        <v>0.5</v>
      </c>
      <c r="S5705" s="4" t="str">
        <f>IFERROR(__xludf.DUMMYFUNCTION("""COMPUTED_VALUE"""),"null")</f>
        <v>null</v>
      </c>
      <c r="T5705" s="33">
        <f>IFERROR(__xludf.DUMMYFUNCTION("""COMPUTED_VALUE"""),0.5)</f>
        <v>0.5</v>
      </c>
      <c r="U5705" s="4" t="str">
        <f>IFERROR(__xludf.DUMMYFUNCTION("""COMPUTED_VALUE"""),"null")</f>
        <v>null</v>
      </c>
      <c r="V5705" s="33">
        <f>IFERROR(__xludf.DUMMYFUNCTION("""COMPUTED_VALUE"""),0.5)</f>
        <v>0.5</v>
      </c>
      <c r="W5705" s="4" t="str">
        <f>IFERROR(__xludf.DUMMYFUNCTION("""COMPUTED_VALUE"""),"null")</f>
        <v>null</v>
      </c>
      <c r="X5705" s="33">
        <f>IFERROR(__xludf.DUMMYFUNCTION("""COMPUTED_VALUE"""),0.5)</f>
        <v>0.5</v>
      </c>
    </row>
    <row r="5706">
      <c r="K5706" s="4" t="str">
        <f>IFERROR(__xludf.DUMMYFUNCTION("""COMPUTED_VALUE"""),"DONATTA PIZZARIA")</f>
        <v>DONATTA PIZZARIA</v>
      </c>
      <c r="L5706" s="32">
        <f>IFERROR(__xludf.DUMMYFUNCTION("""COMPUTED_VALUE"""),2.0)</f>
        <v>2</v>
      </c>
      <c r="M5706" s="4" t="str">
        <f>IFERROR(__xludf.DUMMYFUNCTION("""COMPUTED_VALUE"""),"Cardápio Web")</f>
        <v>Cardápio Web</v>
      </c>
      <c r="N5706" s="33">
        <f>IFERROR(__xludf.DUMMYFUNCTION("""COMPUTED_VALUE"""),0.5)</f>
        <v>0.5</v>
      </c>
      <c r="O5706" s="4" t="str">
        <f>IFERROR(__xludf.DUMMYFUNCTION("""COMPUTED_VALUE"""),"Cardápio Web")</f>
        <v>Cardápio Web</v>
      </c>
      <c r="P5706" s="33">
        <f>IFERROR(__xludf.DUMMYFUNCTION("""COMPUTED_VALUE"""),0.5)</f>
        <v>0.5</v>
      </c>
      <c r="Q5706" s="4" t="str">
        <f>IFERROR(__xludf.DUMMYFUNCTION("""COMPUTED_VALUE"""),"Cardápio Web")</f>
        <v>Cardápio Web</v>
      </c>
      <c r="R5706" s="33">
        <f>IFERROR(__xludf.DUMMYFUNCTION("""COMPUTED_VALUE"""),0.5)</f>
        <v>0.5</v>
      </c>
      <c r="S5706" s="4" t="str">
        <f>IFERROR(__xludf.DUMMYFUNCTION("""COMPUTED_VALUE"""),"Cardápio Web")</f>
        <v>Cardápio Web</v>
      </c>
      <c r="T5706" s="33">
        <f>IFERROR(__xludf.DUMMYFUNCTION("""COMPUTED_VALUE"""),0.5)</f>
        <v>0.5</v>
      </c>
      <c r="U5706" s="4" t="str">
        <f>IFERROR(__xludf.DUMMYFUNCTION("""COMPUTED_VALUE"""),"Cardápio Web")</f>
        <v>Cardápio Web</v>
      </c>
      <c r="V5706" s="33">
        <f>IFERROR(__xludf.DUMMYFUNCTION("""COMPUTED_VALUE"""),1.0)</f>
        <v>1</v>
      </c>
      <c r="W5706" s="4" t="str">
        <f>IFERROR(__xludf.DUMMYFUNCTION("""COMPUTED_VALUE"""),"Cardápio Web")</f>
        <v>Cardápio Web</v>
      </c>
      <c r="X5706" s="33">
        <f>IFERROR(__xludf.DUMMYFUNCTION("""COMPUTED_VALUE"""),1.0)</f>
        <v>1</v>
      </c>
    </row>
    <row r="5707">
      <c r="K5707" s="4" t="str">
        <f>IFERROR(__xludf.DUMMYFUNCTION("""COMPUTED_VALUE"""),"TELE PIZZA")</f>
        <v>TELE PIZZA</v>
      </c>
      <c r="L5707" s="32">
        <f>IFERROR(__xludf.DUMMYFUNCTION("""COMPUTED_VALUE"""),2.0)</f>
        <v>2</v>
      </c>
      <c r="M5707" s="4" t="str">
        <f>IFERROR(__xludf.DUMMYFUNCTION("""COMPUTED_VALUE"""),"Saipos Serviços De Software")</f>
        <v>Saipos Serviços De Software</v>
      </c>
      <c r="N5707" s="33">
        <f>IFERROR(__xludf.DUMMYFUNCTION("""COMPUTED_VALUE"""),0.5)</f>
        <v>0.5</v>
      </c>
      <c r="O5707" s="4" t="str">
        <f>IFERROR(__xludf.DUMMYFUNCTION("""COMPUTED_VALUE"""),"Saipos Serviços De Software")</f>
        <v>Saipos Serviços De Software</v>
      </c>
      <c r="P5707" s="33">
        <f>IFERROR(__xludf.DUMMYFUNCTION("""COMPUTED_VALUE"""),0.5)</f>
        <v>0.5</v>
      </c>
      <c r="Q5707" s="4" t="str">
        <f>IFERROR(__xludf.DUMMYFUNCTION("""COMPUTED_VALUE"""),"Saipos Serviços De Software")</f>
        <v>Saipos Serviços De Software</v>
      </c>
      <c r="R5707" s="33">
        <f>IFERROR(__xludf.DUMMYFUNCTION("""COMPUTED_VALUE"""),0.5)</f>
        <v>0.5</v>
      </c>
      <c r="S5707" s="4" t="str">
        <f>IFERROR(__xludf.DUMMYFUNCTION("""COMPUTED_VALUE"""),"Saipos Serviços De Software")</f>
        <v>Saipos Serviços De Software</v>
      </c>
      <c r="T5707" s="33">
        <f>IFERROR(__xludf.DUMMYFUNCTION("""COMPUTED_VALUE"""),0.5)</f>
        <v>0.5</v>
      </c>
      <c r="U5707" s="4" t="str">
        <f>IFERROR(__xludf.DUMMYFUNCTION("""COMPUTED_VALUE"""),"Saipos Serviços De Software")</f>
        <v>Saipos Serviços De Software</v>
      </c>
      <c r="V5707" s="33">
        <f>IFERROR(__xludf.DUMMYFUNCTION("""COMPUTED_VALUE"""),0.5)</f>
        <v>0.5</v>
      </c>
      <c r="W5707" s="4" t="str">
        <f>IFERROR(__xludf.DUMMYFUNCTION("""COMPUTED_VALUE"""),"Saipos Serviços De Software")</f>
        <v>Saipos Serviços De Software</v>
      </c>
      <c r="X5707" s="33">
        <f>IFERROR(__xludf.DUMMYFUNCTION("""COMPUTED_VALUE"""),0.5)</f>
        <v>0.5</v>
      </c>
    </row>
    <row r="5708">
      <c r="K5708" s="4" t="str">
        <f>IFERROR(__xludf.DUMMYFUNCTION("""COMPUTED_VALUE"""),"HOT DOG W NEGAO")</f>
        <v>HOT DOG W NEGAO</v>
      </c>
      <c r="L5708" s="32">
        <f>IFERROR(__xludf.DUMMYFUNCTION("""COMPUTED_VALUE"""),2.0)</f>
        <v>2</v>
      </c>
      <c r="M5708" s="4" t="str">
        <f>IFERROR(__xludf.DUMMYFUNCTION("""COMPUTED_VALUE"""),"Mp Multipedidos")</f>
        <v>Mp Multipedidos</v>
      </c>
      <c r="N5708" s="33">
        <f>IFERROR(__xludf.DUMMYFUNCTION("""COMPUTED_VALUE"""),0.5)</f>
        <v>0.5</v>
      </c>
      <c r="O5708" s="4" t="str">
        <f>IFERROR(__xludf.DUMMYFUNCTION("""COMPUTED_VALUE"""),"null")</f>
        <v>null</v>
      </c>
      <c r="P5708" s="33">
        <f>IFERROR(__xludf.DUMMYFUNCTION("""COMPUTED_VALUE"""),0.5)</f>
        <v>0.5</v>
      </c>
      <c r="Q5708" s="4" t="str">
        <f>IFERROR(__xludf.DUMMYFUNCTION("""COMPUTED_VALUE"""),"null")</f>
        <v>null</v>
      </c>
      <c r="R5708" s="33">
        <f>IFERROR(__xludf.DUMMYFUNCTION("""COMPUTED_VALUE"""),1.0)</f>
        <v>1</v>
      </c>
      <c r="S5708" s="4" t="str">
        <f>IFERROR(__xludf.DUMMYFUNCTION("""COMPUTED_VALUE"""),"null")</f>
        <v>null</v>
      </c>
      <c r="T5708" s="33">
        <f>IFERROR(__xludf.DUMMYFUNCTION("""COMPUTED_VALUE"""),1.0)</f>
        <v>1</v>
      </c>
      <c r="U5708" s="4" t="str">
        <f>IFERROR(__xludf.DUMMYFUNCTION("""COMPUTED_VALUE"""),"Mp Multipedidos")</f>
        <v>Mp Multipedidos</v>
      </c>
      <c r="V5708" s="33">
        <f>IFERROR(__xludf.DUMMYFUNCTION("""COMPUTED_VALUE"""),0.5)</f>
        <v>0.5</v>
      </c>
      <c r="W5708" s="4" t="str">
        <f>IFERROR(__xludf.DUMMYFUNCTION("""COMPUTED_VALUE"""),"Mp Multipedidos")</f>
        <v>Mp Multipedidos</v>
      </c>
      <c r="X5708" s="33">
        <f>IFERROR(__xludf.DUMMYFUNCTION("""COMPUTED_VALUE"""),0.5)</f>
        <v>0.5</v>
      </c>
    </row>
    <row r="5709">
      <c r="K5709" s="4" t="str">
        <f>IFERROR(__xludf.DUMMYFUNCTION("""COMPUTED_VALUE"""),"GOOD BURGUER")</f>
        <v>GOOD BURGUER</v>
      </c>
      <c r="L5709" s="32">
        <f>IFERROR(__xludf.DUMMYFUNCTION("""COMPUTED_VALUE"""),2.0)</f>
        <v>2</v>
      </c>
      <c r="M5709" s="4" t="str">
        <f>IFERROR(__xludf.DUMMYFUNCTION("""COMPUTED_VALUE"""),"Consumer Soluções Em Tecnologia Ltda")</f>
        <v>Consumer Soluções Em Tecnologia Ltda</v>
      </c>
      <c r="N5709" s="33">
        <f>IFERROR(__xludf.DUMMYFUNCTION("""COMPUTED_VALUE"""),0.5)</f>
        <v>0.5</v>
      </c>
      <c r="O5709" s="4" t="str">
        <f>IFERROR(__xludf.DUMMYFUNCTION("""COMPUTED_VALUE"""),"null")</f>
        <v>null</v>
      </c>
      <c r="P5709" s="33">
        <f>IFERROR(__xludf.DUMMYFUNCTION("""COMPUTED_VALUE"""),0.5)</f>
        <v>0.5</v>
      </c>
      <c r="Q5709" s="4" t="str">
        <f>IFERROR(__xludf.DUMMYFUNCTION("""COMPUTED_VALUE"""),"Saipos Serviços De Software")</f>
        <v>Saipos Serviços De Software</v>
      </c>
      <c r="R5709" s="33">
        <f>IFERROR(__xludf.DUMMYFUNCTION("""COMPUTED_VALUE"""),0.5)</f>
        <v>0.5</v>
      </c>
      <c r="S5709" s="4" t="str">
        <f>IFERROR(__xludf.DUMMYFUNCTION("""COMPUTED_VALUE"""),"Saipos Serviços De Software")</f>
        <v>Saipos Serviços De Software</v>
      </c>
      <c r="T5709" s="33">
        <f>IFERROR(__xludf.DUMMYFUNCTION("""COMPUTED_VALUE"""),0.5)</f>
        <v>0.5</v>
      </c>
      <c r="U5709" s="4" t="str">
        <f>IFERROR(__xludf.DUMMYFUNCTION("""COMPUTED_VALUE"""),"Saipos Serviços De Software")</f>
        <v>Saipos Serviços De Software</v>
      </c>
      <c r="V5709" s="33">
        <f>IFERROR(__xludf.DUMMYFUNCTION("""COMPUTED_VALUE"""),0.5)</f>
        <v>0.5</v>
      </c>
      <c r="W5709" s="4" t="str">
        <f>IFERROR(__xludf.DUMMYFUNCTION("""COMPUTED_VALUE"""),"Saipos Serviços De Software")</f>
        <v>Saipos Serviços De Software</v>
      </c>
      <c r="X5709" s="33">
        <f>IFERROR(__xludf.DUMMYFUNCTION("""COMPUTED_VALUE"""),0.5)</f>
        <v>0.5</v>
      </c>
    </row>
    <row r="5710">
      <c r="K5710" s="4" t="str">
        <f>IFERROR(__xludf.DUMMYFUNCTION("""COMPUTED_VALUE"""),"DROGARIA MIRANTE")</f>
        <v>DROGARIA MIRANTE</v>
      </c>
      <c r="L5710" s="32">
        <f>IFERROR(__xludf.DUMMYFUNCTION("""COMPUTED_VALUE"""),2.0)</f>
        <v>2</v>
      </c>
      <c r="M5710" s="4" t="str">
        <f>IFERROR(__xludf.DUMMYFUNCTION("""COMPUTED_VALUE"""),"N/A (Not found)")</f>
        <v>N/A (Not found)</v>
      </c>
      <c r="N5710" s="33">
        <f>IFERROR(__xludf.DUMMYFUNCTION("""COMPUTED_VALUE"""),0.5)</f>
        <v>0.5</v>
      </c>
      <c r="O5710" s="4" t="str">
        <f>IFERROR(__xludf.DUMMYFUNCTION("""COMPUTED_VALUE"""),"N/A (Not found)")</f>
        <v>N/A (Not found)</v>
      </c>
      <c r="P5710" s="33">
        <f>IFERROR(__xludf.DUMMYFUNCTION("""COMPUTED_VALUE"""),0.5)</f>
        <v>0.5</v>
      </c>
      <c r="Q5710" s="4" t="str">
        <f>IFERROR(__xludf.DUMMYFUNCTION("""COMPUTED_VALUE"""),"N/A (Not found)")</f>
        <v>N/A (Not found)</v>
      </c>
      <c r="R5710" s="33">
        <f>IFERROR(__xludf.DUMMYFUNCTION("""COMPUTED_VALUE"""),1.0)</f>
        <v>1</v>
      </c>
      <c r="S5710" s="4" t="str">
        <f>IFERROR(__xludf.DUMMYFUNCTION("""COMPUTED_VALUE"""),"N/A (Not found)")</f>
        <v>N/A (Not found)</v>
      </c>
      <c r="T5710" s="33">
        <f>IFERROR(__xludf.DUMMYFUNCTION("""COMPUTED_VALUE"""),1.0)</f>
        <v>1</v>
      </c>
      <c r="U5710" s="4" t="str">
        <f>IFERROR(__xludf.DUMMYFUNCTION("""COMPUTED_VALUE"""),"N/A (Not found)")</f>
        <v>N/A (Not found)</v>
      </c>
      <c r="V5710" s="33">
        <f>IFERROR(__xludf.DUMMYFUNCTION("""COMPUTED_VALUE"""),1.0)</f>
        <v>1</v>
      </c>
      <c r="W5710" s="4" t="str">
        <f>IFERROR(__xludf.DUMMYFUNCTION("""COMPUTED_VALUE"""),"N/A (Not found)")</f>
        <v>N/A (Not found)</v>
      </c>
      <c r="X5710" s="33">
        <f>IFERROR(__xludf.DUMMYFUNCTION("""COMPUTED_VALUE"""),0.5)</f>
        <v>0.5</v>
      </c>
    </row>
    <row r="5711">
      <c r="K5711" s="4" t="str">
        <f>IFERROR(__xludf.DUMMYFUNCTION("""COMPUTED_VALUE"""),"CONEXAO ACAI")</f>
        <v>CONEXAO ACAI</v>
      </c>
      <c r="L5711" s="32">
        <f>IFERROR(__xludf.DUMMYFUNCTION("""COMPUTED_VALUE"""),2.0)</f>
        <v>2</v>
      </c>
      <c r="M5711" s="4" t="str">
        <f>IFERROR(__xludf.DUMMYFUNCTION("""COMPUTED_VALUE"""),"Anota Ai Solucoes Digitais S/a")</f>
        <v>Anota Ai Solucoes Digitais S/a</v>
      </c>
      <c r="N5711" s="33">
        <f>IFERROR(__xludf.DUMMYFUNCTION("""COMPUTED_VALUE"""),0.5)</f>
        <v>0.5</v>
      </c>
      <c r="O5711" s="4" t="str">
        <f>IFERROR(__xludf.DUMMYFUNCTION("""COMPUTED_VALUE"""),"Anota Ai Solucoes Digitais S/a")</f>
        <v>Anota Ai Solucoes Digitais S/a</v>
      </c>
      <c r="P5711" s="33">
        <f>IFERROR(__xludf.DUMMYFUNCTION("""COMPUTED_VALUE"""),0.5)</f>
        <v>0.5</v>
      </c>
      <c r="Q5711" s="4" t="str">
        <f>IFERROR(__xludf.DUMMYFUNCTION("""COMPUTED_VALUE"""),"Saipos Serviços De Software")</f>
        <v>Saipos Serviços De Software</v>
      </c>
      <c r="R5711" s="33">
        <f>IFERROR(__xludf.DUMMYFUNCTION("""COMPUTED_VALUE"""),0.5)</f>
        <v>0.5</v>
      </c>
      <c r="S5711" s="4" t="str">
        <f>IFERROR(__xludf.DUMMYFUNCTION("""COMPUTED_VALUE"""),"Saipos Serviços De Software")</f>
        <v>Saipos Serviços De Software</v>
      </c>
      <c r="T5711" s="33">
        <f>IFERROR(__xludf.DUMMYFUNCTION("""COMPUTED_VALUE"""),0.5)</f>
        <v>0.5</v>
      </c>
      <c r="U5711" s="4" t="str">
        <f>IFERROR(__xludf.DUMMYFUNCTION("""COMPUTED_VALUE"""),"Saipos Serviços De Software")</f>
        <v>Saipos Serviços De Software</v>
      </c>
      <c r="V5711" s="33">
        <f>IFERROR(__xludf.DUMMYFUNCTION("""COMPUTED_VALUE"""),0.5)</f>
        <v>0.5</v>
      </c>
      <c r="W5711" s="4" t="str">
        <f>IFERROR(__xludf.DUMMYFUNCTION("""COMPUTED_VALUE"""),"Anota Ai Solucoes Digitais S/a")</f>
        <v>Anota Ai Solucoes Digitais S/a</v>
      </c>
      <c r="X5711" s="33">
        <f>IFERROR(__xludf.DUMMYFUNCTION("""COMPUTED_VALUE"""),0.5)</f>
        <v>0.5</v>
      </c>
    </row>
    <row r="5712">
      <c r="K5712" s="4" t="str">
        <f>IFERROR(__xludf.DUMMYFUNCTION("""COMPUTED_VALUE"""),"SALGADOS SURAIA")</f>
        <v>SALGADOS SURAIA</v>
      </c>
      <c r="L5712" s="32">
        <f>IFERROR(__xludf.DUMMYFUNCTION("""COMPUTED_VALUE"""),2.0)</f>
        <v>2</v>
      </c>
      <c r="M5712" s="4" t="str">
        <f>IFERROR(__xludf.DUMMYFUNCTION("""COMPUTED_VALUE"""),"null")</f>
        <v>null</v>
      </c>
      <c r="N5712" s="33">
        <f>IFERROR(__xludf.DUMMYFUNCTION("""COMPUTED_VALUE"""),0.5)</f>
        <v>0.5</v>
      </c>
      <c r="O5712" s="4" t="str">
        <f>IFERROR(__xludf.DUMMYFUNCTION("""COMPUTED_VALUE"""),"null")</f>
        <v>null</v>
      </c>
      <c r="P5712" s="33">
        <f>IFERROR(__xludf.DUMMYFUNCTION("""COMPUTED_VALUE"""),0.5)</f>
        <v>0.5</v>
      </c>
      <c r="Q5712" s="4" t="str">
        <f>IFERROR(__xludf.DUMMYFUNCTION("""COMPUTED_VALUE"""),"null")</f>
        <v>null</v>
      </c>
      <c r="R5712" s="33">
        <f>IFERROR(__xludf.DUMMYFUNCTION("""COMPUTED_VALUE"""),0.5)</f>
        <v>0.5</v>
      </c>
      <c r="S5712" s="4" t="str">
        <f>IFERROR(__xludf.DUMMYFUNCTION("""COMPUTED_VALUE"""),"Yooga")</f>
        <v>Yooga</v>
      </c>
      <c r="T5712" s="33">
        <f>IFERROR(__xludf.DUMMYFUNCTION("""COMPUTED_VALUE"""),1.0)</f>
        <v>1</v>
      </c>
      <c r="U5712" s="4" t="str">
        <f>IFERROR(__xludf.DUMMYFUNCTION("""COMPUTED_VALUE"""),"Yooga")</f>
        <v>Yooga</v>
      </c>
      <c r="V5712" s="33">
        <f>IFERROR(__xludf.DUMMYFUNCTION("""COMPUTED_VALUE"""),1.0)</f>
        <v>1</v>
      </c>
      <c r="W5712" s="4" t="str">
        <f>IFERROR(__xludf.DUMMYFUNCTION("""COMPUTED_VALUE"""),"Yooga")</f>
        <v>Yooga</v>
      </c>
      <c r="X5712" s="33">
        <f>IFERROR(__xludf.DUMMYFUNCTION("""COMPUTED_VALUE"""),1.0)</f>
        <v>1</v>
      </c>
    </row>
    <row r="5713">
      <c r="K5713" s="4" t="str">
        <f>IFERROR(__xludf.DUMMYFUNCTION("""COMPUTED_VALUE"""),"KIDELICIA LANCHES")</f>
        <v>KIDELICIA LANCHES</v>
      </c>
      <c r="L5713" s="32">
        <f>IFERROR(__xludf.DUMMYFUNCTION("""COMPUTED_VALUE"""),2.0)</f>
        <v>2</v>
      </c>
      <c r="M5713" s="4" t="str">
        <f>IFERROR(__xludf.DUMMYFUNCTION("""COMPUTED_VALUE"""),"null")</f>
        <v>null</v>
      </c>
      <c r="N5713" s="33">
        <f>IFERROR(__xludf.DUMMYFUNCTION("""COMPUTED_VALUE"""),0.5)</f>
        <v>0.5</v>
      </c>
      <c r="O5713" s="4" t="str">
        <f>IFERROR(__xludf.DUMMYFUNCTION("""COMPUTED_VALUE"""),"null")</f>
        <v>null</v>
      </c>
      <c r="P5713" s="33">
        <f>IFERROR(__xludf.DUMMYFUNCTION("""COMPUTED_VALUE"""),0.5)</f>
        <v>0.5</v>
      </c>
      <c r="Q5713" s="4" t="str">
        <f>IFERROR(__xludf.DUMMYFUNCTION("""COMPUTED_VALUE"""),"null")</f>
        <v>null</v>
      </c>
      <c r="R5713" s="33">
        <f>IFERROR(__xludf.DUMMYFUNCTION("""COMPUTED_VALUE"""),0.5)</f>
        <v>0.5</v>
      </c>
      <c r="S5713" s="4" t="str">
        <f>IFERROR(__xludf.DUMMYFUNCTION("""COMPUTED_VALUE"""),"Menu Integrado")</f>
        <v>Menu Integrado</v>
      </c>
      <c r="T5713" s="33">
        <f>IFERROR(__xludf.DUMMYFUNCTION("""COMPUTED_VALUE"""),0.5)</f>
        <v>0.5</v>
      </c>
      <c r="U5713" s="4" t="str">
        <f>IFERROR(__xludf.DUMMYFUNCTION("""COMPUTED_VALUE"""),"Menu Integrado")</f>
        <v>Menu Integrado</v>
      </c>
      <c r="V5713" s="33">
        <f>IFERROR(__xludf.DUMMYFUNCTION("""COMPUTED_VALUE"""),0.5)</f>
        <v>0.5</v>
      </c>
      <c r="W5713" s="4" t="str">
        <f>IFERROR(__xludf.DUMMYFUNCTION("""COMPUTED_VALUE"""),"null")</f>
        <v>null</v>
      </c>
      <c r="X5713" s="33">
        <f>IFERROR(__xludf.DUMMYFUNCTION("""COMPUTED_VALUE"""),0.5)</f>
        <v>0.5</v>
      </c>
    </row>
    <row r="5714">
      <c r="K5714" s="4" t="str">
        <f>IFERROR(__xludf.DUMMYFUNCTION("""COMPUTED_VALUE"""),"JAPA DELIVERY")</f>
        <v>JAPA DELIVERY</v>
      </c>
      <c r="L5714" s="32">
        <f>IFERROR(__xludf.DUMMYFUNCTION("""COMPUTED_VALUE"""),2.0)</f>
        <v>2</v>
      </c>
      <c r="M5714" s="4" t="str">
        <f>IFERROR(__xludf.DUMMYFUNCTION("""COMPUTED_VALUE"""),"Hubzy")</f>
        <v>Hubzy</v>
      </c>
      <c r="N5714" s="33">
        <f>IFERROR(__xludf.DUMMYFUNCTION("""COMPUTED_VALUE"""),0.5)</f>
        <v>0.5</v>
      </c>
      <c r="O5714" s="4" t="str">
        <f>IFERROR(__xludf.DUMMYFUNCTION("""COMPUTED_VALUE"""),"Hubzy")</f>
        <v>Hubzy</v>
      </c>
      <c r="P5714" s="33">
        <f>IFERROR(__xludf.DUMMYFUNCTION("""COMPUTED_VALUE"""),0.5)</f>
        <v>0.5</v>
      </c>
      <c r="Q5714" s="4" t="str">
        <f>IFERROR(__xludf.DUMMYFUNCTION("""COMPUTED_VALUE"""),"Hubzy")</f>
        <v>Hubzy</v>
      </c>
      <c r="R5714" s="33">
        <f>IFERROR(__xludf.DUMMYFUNCTION("""COMPUTED_VALUE"""),0.5)</f>
        <v>0.5</v>
      </c>
      <c r="S5714" s="4" t="str">
        <f>IFERROR(__xludf.DUMMYFUNCTION("""COMPUTED_VALUE"""),"Hubzy")</f>
        <v>Hubzy</v>
      </c>
      <c r="T5714" s="33">
        <f>IFERROR(__xludf.DUMMYFUNCTION("""COMPUTED_VALUE"""),0.5)</f>
        <v>0.5</v>
      </c>
      <c r="U5714" s="4" t="str">
        <f>IFERROR(__xludf.DUMMYFUNCTION("""COMPUTED_VALUE"""),"Hubzy")</f>
        <v>Hubzy</v>
      </c>
      <c r="V5714" s="33">
        <f>IFERROR(__xludf.DUMMYFUNCTION("""COMPUTED_VALUE"""),0.5)</f>
        <v>0.5</v>
      </c>
      <c r="W5714" s="4" t="str">
        <f>IFERROR(__xludf.DUMMYFUNCTION("""COMPUTED_VALUE"""),"Hubzy")</f>
        <v>Hubzy</v>
      </c>
      <c r="X5714" s="33">
        <f>IFERROR(__xludf.DUMMYFUNCTION("""COMPUTED_VALUE"""),0.5)</f>
        <v>0.5</v>
      </c>
    </row>
    <row r="5715">
      <c r="K5715" s="4" t="str">
        <f>IFERROR(__xludf.DUMMYFUNCTION("""COMPUTED_VALUE"""),"CANTINHO DO LANCHE")</f>
        <v>CANTINHO DO LANCHE</v>
      </c>
      <c r="L5715" s="32">
        <f>IFERROR(__xludf.DUMMYFUNCTION("""COMPUTED_VALUE"""),2.0)</f>
        <v>2</v>
      </c>
      <c r="M5715" s="4" t="str">
        <f>IFERROR(__xludf.DUMMYFUNCTION("""COMPUTED_VALUE"""),"Consumer Soluções Em Tecnologia Ltda")</f>
        <v>Consumer Soluções Em Tecnologia Ltda</v>
      </c>
      <c r="N5715" s="33">
        <f>IFERROR(__xludf.DUMMYFUNCTION("""COMPUTED_VALUE"""),0.5)</f>
        <v>0.5</v>
      </c>
      <c r="O5715" s="4" t="str">
        <f>IFERROR(__xludf.DUMMYFUNCTION("""COMPUTED_VALUE"""),"Consumer Soluções Em Tecnologia Ltda")</f>
        <v>Consumer Soluções Em Tecnologia Ltda</v>
      </c>
      <c r="P5715" s="33">
        <f>IFERROR(__xludf.DUMMYFUNCTION("""COMPUTED_VALUE"""),0.5)</f>
        <v>0.5</v>
      </c>
      <c r="Q5715" s="4" t="str">
        <f>IFERROR(__xludf.DUMMYFUNCTION("""COMPUTED_VALUE"""),"Consumer Soluções Em Tecnologia Ltda")</f>
        <v>Consumer Soluções Em Tecnologia Ltda</v>
      </c>
      <c r="R5715" s="33">
        <f>IFERROR(__xludf.DUMMYFUNCTION("""COMPUTED_VALUE"""),0.5)</f>
        <v>0.5</v>
      </c>
      <c r="S5715" s="4" t="str">
        <f>IFERROR(__xludf.DUMMYFUNCTION("""COMPUTED_VALUE"""),"Consumer Soluções Em Tecnologia Ltda")</f>
        <v>Consumer Soluções Em Tecnologia Ltda</v>
      </c>
      <c r="T5715" s="33">
        <f>IFERROR(__xludf.DUMMYFUNCTION("""COMPUTED_VALUE"""),0.5)</f>
        <v>0.5</v>
      </c>
      <c r="U5715" s="4" t="str">
        <f>IFERROR(__xludf.DUMMYFUNCTION("""COMPUTED_VALUE"""),"Consumer Soluções Em Tecnologia Ltda")</f>
        <v>Consumer Soluções Em Tecnologia Ltda</v>
      </c>
      <c r="V5715" s="33">
        <f>IFERROR(__xludf.DUMMYFUNCTION("""COMPUTED_VALUE"""),0.5)</f>
        <v>0.5</v>
      </c>
      <c r="W5715" s="4" t="str">
        <f>IFERROR(__xludf.DUMMYFUNCTION("""COMPUTED_VALUE"""),"Consumer Soluções Em Tecnologia Ltda")</f>
        <v>Consumer Soluções Em Tecnologia Ltda</v>
      </c>
      <c r="X5715" s="33">
        <f>IFERROR(__xludf.DUMMYFUNCTION("""COMPUTED_VALUE"""),0.5)</f>
        <v>0.5</v>
      </c>
    </row>
    <row r="5716">
      <c r="K5716" s="4" t="str">
        <f>IFERROR(__xludf.DUMMYFUNCTION("""COMPUTED_VALUE"""),"JUNINHO LANCHES")</f>
        <v>JUNINHO LANCHES</v>
      </c>
      <c r="L5716" s="32">
        <f>IFERROR(__xludf.DUMMYFUNCTION("""COMPUTED_VALUE"""),2.0)</f>
        <v>2</v>
      </c>
      <c r="M5716" s="4" t="str">
        <f>IFERROR(__xludf.DUMMYFUNCTION("""COMPUTED_VALUE"""),"Softsa Sistemas De Informação Ltda")</f>
        <v>Softsa Sistemas De Informação Ltda</v>
      </c>
      <c r="N5716" s="33">
        <f>IFERROR(__xludf.DUMMYFUNCTION("""COMPUTED_VALUE"""),0.5)</f>
        <v>0.5</v>
      </c>
      <c r="O5716" s="4" t="str">
        <f>IFERROR(__xludf.DUMMYFUNCTION("""COMPUTED_VALUE"""),"null")</f>
        <v>null</v>
      </c>
      <c r="P5716" s="33">
        <f>IFERROR(__xludf.DUMMYFUNCTION("""COMPUTED_VALUE"""),0.5)</f>
        <v>0.5</v>
      </c>
      <c r="Q5716" s="4" t="str">
        <f>IFERROR(__xludf.DUMMYFUNCTION("""COMPUTED_VALUE"""),"Softsa Sistemas De Informação Ltda")</f>
        <v>Softsa Sistemas De Informação Ltda</v>
      </c>
      <c r="R5716" s="33">
        <f>IFERROR(__xludf.DUMMYFUNCTION("""COMPUTED_VALUE"""),0.5)</f>
        <v>0.5</v>
      </c>
      <c r="S5716" s="4" t="str">
        <f>IFERROR(__xludf.DUMMYFUNCTION("""COMPUTED_VALUE"""),"Softsa Sistemas De Informação Ltda")</f>
        <v>Softsa Sistemas De Informação Ltda</v>
      </c>
      <c r="T5716" s="33">
        <f>IFERROR(__xludf.DUMMYFUNCTION("""COMPUTED_VALUE"""),0.5)</f>
        <v>0.5</v>
      </c>
      <c r="U5716" s="4" t="str">
        <f>IFERROR(__xludf.DUMMYFUNCTION("""COMPUTED_VALUE"""),"Softsa Sistemas De Informação Ltda")</f>
        <v>Softsa Sistemas De Informação Ltda</v>
      </c>
      <c r="V5716" s="33">
        <f>IFERROR(__xludf.DUMMYFUNCTION("""COMPUTED_VALUE"""),0.5)</f>
        <v>0.5</v>
      </c>
      <c r="W5716" s="4" t="str">
        <f>IFERROR(__xludf.DUMMYFUNCTION("""COMPUTED_VALUE"""),"Softsa Sistemas De Informação Ltda")</f>
        <v>Softsa Sistemas De Informação Ltda</v>
      </c>
      <c r="X5716" s="33">
        <f>IFERROR(__xludf.DUMMYFUNCTION("""COMPUTED_VALUE"""),0.5)</f>
        <v>0.5</v>
      </c>
    </row>
    <row r="5717">
      <c r="K5717" s="4" t="str">
        <f>IFERROR(__xludf.DUMMYFUNCTION("""COMPUTED_VALUE"""),"ORLA PIZZARIA")</f>
        <v>ORLA PIZZARIA</v>
      </c>
      <c r="L5717" s="32">
        <f>IFERROR(__xludf.DUMMYFUNCTION("""COMPUTED_VALUE"""),2.0)</f>
        <v>2</v>
      </c>
      <c r="M5717" s="4" t="str">
        <f>IFERROR(__xludf.DUMMYFUNCTION("""COMPUTED_VALUE"""),"Instadelivery")</f>
        <v>Instadelivery</v>
      </c>
      <c r="N5717" s="33">
        <f>IFERROR(__xludf.DUMMYFUNCTION("""COMPUTED_VALUE"""),0.5)</f>
        <v>0.5</v>
      </c>
      <c r="O5717" s="4" t="str">
        <f>IFERROR(__xludf.DUMMYFUNCTION("""COMPUTED_VALUE"""),"Instadelivery")</f>
        <v>Instadelivery</v>
      </c>
      <c r="P5717" s="33">
        <f>IFERROR(__xludf.DUMMYFUNCTION("""COMPUTED_VALUE"""),0.5)</f>
        <v>0.5</v>
      </c>
      <c r="Q5717" s="4" t="str">
        <f>IFERROR(__xludf.DUMMYFUNCTION("""COMPUTED_VALUE"""),"Instadelivery")</f>
        <v>Instadelivery</v>
      </c>
      <c r="R5717" s="33">
        <f>IFERROR(__xludf.DUMMYFUNCTION("""COMPUTED_VALUE"""),0.5)</f>
        <v>0.5</v>
      </c>
      <c r="S5717" s="4" t="str">
        <f>IFERROR(__xludf.DUMMYFUNCTION("""COMPUTED_VALUE"""),"Instadelivery")</f>
        <v>Instadelivery</v>
      </c>
      <c r="T5717" s="33">
        <f>IFERROR(__xludf.DUMMYFUNCTION("""COMPUTED_VALUE"""),0.5)</f>
        <v>0.5</v>
      </c>
      <c r="U5717" s="4" t="str">
        <f>IFERROR(__xludf.DUMMYFUNCTION("""COMPUTED_VALUE"""),"Instadelivery")</f>
        <v>Instadelivery</v>
      </c>
      <c r="V5717" s="33">
        <f>IFERROR(__xludf.DUMMYFUNCTION("""COMPUTED_VALUE"""),0.5)</f>
        <v>0.5</v>
      </c>
      <c r="W5717" s="4" t="str">
        <f>IFERROR(__xludf.DUMMYFUNCTION("""COMPUTED_VALUE"""),"Instadelivery")</f>
        <v>Instadelivery</v>
      </c>
      <c r="X5717" s="33">
        <f>IFERROR(__xludf.DUMMYFUNCTION("""COMPUTED_VALUE"""),0.5)</f>
        <v>0.5</v>
      </c>
    </row>
    <row r="5718">
      <c r="K5718" s="4" t="str">
        <f>IFERROR(__xludf.DUMMYFUNCTION("""COMPUTED_VALUE"""),"CASA DA PIZZA - CENTRO")</f>
        <v>CASA DA PIZZA - CENTRO</v>
      </c>
      <c r="L5718" s="32">
        <f>IFERROR(__xludf.DUMMYFUNCTION("""COMPUTED_VALUE"""),2.0)</f>
        <v>2</v>
      </c>
      <c r="M5718" s="4" t="str">
        <f>IFERROR(__xludf.DUMMYFUNCTION("""COMPUTED_VALUE"""),"null")</f>
        <v>null</v>
      </c>
      <c r="N5718" s="33">
        <f>IFERROR(__xludf.DUMMYFUNCTION("""COMPUTED_VALUE"""),1.0)</f>
        <v>1</v>
      </c>
      <c r="O5718" s="4" t="str">
        <f>IFERROR(__xludf.DUMMYFUNCTION("""COMPUTED_VALUE"""),"null")</f>
        <v>null</v>
      </c>
      <c r="P5718" s="33">
        <f>IFERROR(__xludf.DUMMYFUNCTION("""COMPUTED_VALUE"""),1.0)</f>
        <v>1</v>
      </c>
      <c r="Q5718" s="4" t="str">
        <f>IFERROR(__xludf.DUMMYFUNCTION("""COMPUTED_VALUE"""),"Cardápio Web")</f>
        <v>Cardápio Web</v>
      </c>
      <c r="R5718" s="33">
        <f>IFERROR(__xludf.DUMMYFUNCTION("""COMPUTED_VALUE"""),0.5)</f>
        <v>0.5</v>
      </c>
      <c r="S5718" s="4" t="str">
        <f>IFERROR(__xludf.DUMMYFUNCTION("""COMPUTED_VALUE"""),"Cardápio Web")</f>
        <v>Cardápio Web</v>
      </c>
      <c r="T5718" s="33">
        <f>IFERROR(__xludf.DUMMYFUNCTION("""COMPUTED_VALUE"""),0.5)</f>
        <v>0.5</v>
      </c>
      <c r="U5718" s="4" t="str">
        <f>IFERROR(__xludf.DUMMYFUNCTION("""COMPUTED_VALUE"""),"Cardápio Web")</f>
        <v>Cardápio Web</v>
      </c>
      <c r="V5718" s="33">
        <f>IFERROR(__xludf.DUMMYFUNCTION("""COMPUTED_VALUE"""),0.5)</f>
        <v>0.5</v>
      </c>
      <c r="W5718" s="4" t="str">
        <f>IFERROR(__xludf.DUMMYFUNCTION("""COMPUTED_VALUE"""),"Cardápio Web")</f>
        <v>Cardápio Web</v>
      </c>
      <c r="X5718" s="33">
        <f>IFERROR(__xludf.DUMMYFUNCTION("""COMPUTED_VALUE"""),0.5)</f>
        <v>0.5</v>
      </c>
    </row>
    <row r="5719">
      <c r="K5719" s="4" t="str">
        <f>IFERROR(__xludf.DUMMYFUNCTION("""COMPUTED_VALUE"""),"BIFARMA")</f>
        <v>BIFARMA</v>
      </c>
      <c r="L5719" s="32">
        <f>IFERROR(__xludf.DUMMYFUNCTION("""COMPUTED_VALUE"""),2.0)</f>
        <v>2</v>
      </c>
      <c r="M5719" s="4" t="str">
        <f>IFERROR(__xludf.DUMMYFUNCTION("""COMPUTED_VALUE"""),"null")</f>
        <v>null</v>
      </c>
      <c r="N5719" s="33">
        <f>IFERROR(__xludf.DUMMYFUNCTION("""COMPUTED_VALUE"""),1.0)</f>
        <v>1</v>
      </c>
      <c r="O5719" s="4" t="str">
        <f>IFERROR(__xludf.DUMMYFUNCTION("""COMPUTED_VALUE"""),"N/A (Not found)")</f>
        <v>N/A (Not found)</v>
      </c>
      <c r="P5719" s="33">
        <f>IFERROR(__xludf.DUMMYFUNCTION("""COMPUTED_VALUE"""),0.5)</f>
        <v>0.5</v>
      </c>
      <c r="Q5719" s="4" t="str">
        <f>IFERROR(__xludf.DUMMYFUNCTION("""COMPUTED_VALUE"""),"N/A (Not found)")</f>
        <v>N/A (Not found)</v>
      </c>
      <c r="R5719" s="33">
        <f>IFERROR(__xludf.DUMMYFUNCTION("""COMPUTED_VALUE"""),0.5)</f>
        <v>0.5</v>
      </c>
      <c r="S5719" s="4" t="str">
        <f>IFERROR(__xludf.DUMMYFUNCTION("""COMPUTED_VALUE"""),"N/A (Not found)")</f>
        <v>N/A (Not found)</v>
      </c>
      <c r="T5719" s="33">
        <f>IFERROR(__xludf.DUMMYFUNCTION("""COMPUTED_VALUE"""),0.5)</f>
        <v>0.5</v>
      </c>
      <c r="U5719" s="4" t="str">
        <f>IFERROR(__xludf.DUMMYFUNCTION("""COMPUTED_VALUE"""),"N/A (Not found)")</f>
        <v>N/A (Not found)</v>
      </c>
      <c r="V5719" s="33">
        <f>IFERROR(__xludf.DUMMYFUNCTION("""COMPUTED_VALUE"""),1.0)</f>
        <v>1</v>
      </c>
      <c r="W5719" s="4" t="str">
        <f>IFERROR(__xludf.DUMMYFUNCTION("""COMPUTED_VALUE"""),"N/A (Not found)")</f>
        <v>N/A (Not found)</v>
      </c>
      <c r="X5719" s="33">
        <f>IFERROR(__xludf.DUMMYFUNCTION("""COMPUTED_VALUE"""),1.0)</f>
        <v>1</v>
      </c>
    </row>
    <row r="5720">
      <c r="K5720" s="4" t="str">
        <f>IFERROR(__xludf.DUMMYFUNCTION("""COMPUTED_VALUE"""),"TEMPERO NORDESTINO")</f>
        <v>TEMPERO NORDESTINO</v>
      </c>
      <c r="L5720" s="32">
        <f>IFERROR(__xludf.DUMMYFUNCTION("""COMPUTED_VALUE"""),2.0)</f>
        <v>2</v>
      </c>
      <c r="M5720" s="4" t="str">
        <f>IFERROR(__xludf.DUMMYFUNCTION("""COMPUTED_VALUE"""),"Nuc Tecnologia")</f>
        <v>Nuc Tecnologia</v>
      </c>
      <c r="N5720" s="33">
        <f>IFERROR(__xludf.DUMMYFUNCTION("""COMPUTED_VALUE"""),0.5)</f>
        <v>0.5</v>
      </c>
      <c r="O5720" s="4" t="str">
        <f>IFERROR(__xludf.DUMMYFUNCTION("""COMPUTED_VALUE"""),"Nuc Tecnologia")</f>
        <v>Nuc Tecnologia</v>
      </c>
      <c r="P5720" s="33">
        <f>IFERROR(__xludf.DUMMYFUNCTION("""COMPUTED_VALUE"""),0.5)</f>
        <v>0.5</v>
      </c>
      <c r="Q5720" s="4" t="str">
        <f>IFERROR(__xludf.DUMMYFUNCTION("""COMPUTED_VALUE"""),"Nuc Tecnologia")</f>
        <v>Nuc Tecnologia</v>
      </c>
      <c r="R5720" s="33">
        <f>IFERROR(__xludf.DUMMYFUNCTION("""COMPUTED_VALUE"""),0.5)</f>
        <v>0.5</v>
      </c>
      <c r="S5720" s="4" t="str">
        <f>IFERROR(__xludf.DUMMYFUNCTION("""COMPUTED_VALUE"""),"Nuc Tecnologia")</f>
        <v>Nuc Tecnologia</v>
      </c>
      <c r="T5720" s="33">
        <f>IFERROR(__xludf.DUMMYFUNCTION("""COMPUTED_VALUE"""),0.5)</f>
        <v>0.5</v>
      </c>
      <c r="U5720" s="4" t="str">
        <f>IFERROR(__xludf.DUMMYFUNCTION("""COMPUTED_VALUE"""),"Nuc Tecnologia")</f>
        <v>Nuc Tecnologia</v>
      </c>
      <c r="V5720" s="33">
        <f>IFERROR(__xludf.DUMMYFUNCTION("""COMPUTED_VALUE"""),0.5)</f>
        <v>0.5</v>
      </c>
      <c r="W5720" s="4" t="str">
        <f>IFERROR(__xludf.DUMMYFUNCTION("""COMPUTED_VALUE"""),"Nuc Tecnologia")</f>
        <v>Nuc Tecnologia</v>
      </c>
      <c r="X5720" s="33">
        <f>IFERROR(__xludf.DUMMYFUNCTION("""COMPUTED_VALUE"""),0.5)</f>
        <v>0.5</v>
      </c>
    </row>
    <row r="5721">
      <c r="K5721" s="4" t="str">
        <f>IFERROR(__xludf.DUMMYFUNCTION("""COMPUTED_VALUE"""),"PRENSADAO GOURMET")</f>
        <v>PRENSADAO GOURMET</v>
      </c>
      <c r="L5721" s="32">
        <f>IFERROR(__xludf.DUMMYFUNCTION("""COMPUTED_VALUE"""),2.0)</f>
        <v>2</v>
      </c>
      <c r="M5721" s="4" t="str">
        <f>IFERROR(__xludf.DUMMYFUNCTION("""COMPUTED_VALUE"""),"null")</f>
        <v>null</v>
      </c>
      <c r="N5721" s="33">
        <f>IFERROR(__xludf.DUMMYFUNCTION("""COMPUTED_VALUE"""),0.5)</f>
        <v>0.5</v>
      </c>
      <c r="O5721" s="4" t="str">
        <f>IFERROR(__xludf.DUMMYFUNCTION("""COMPUTED_VALUE"""),"null")</f>
        <v>null</v>
      </c>
      <c r="P5721" s="33">
        <f>IFERROR(__xludf.DUMMYFUNCTION("""COMPUTED_VALUE"""),0.5)</f>
        <v>0.5</v>
      </c>
      <c r="Q5721" s="4" t="str">
        <f>IFERROR(__xludf.DUMMYFUNCTION("""COMPUTED_VALUE"""),"null")</f>
        <v>null</v>
      </c>
      <c r="R5721" s="33">
        <f>IFERROR(__xludf.DUMMYFUNCTION("""COMPUTED_VALUE"""),0.5)</f>
        <v>0.5</v>
      </c>
      <c r="S5721" s="4" t="str">
        <f>IFERROR(__xludf.DUMMYFUNCTION("""COMPUTED_VALUE"""),"Cardápio Web")</f>
        <v>Cardápio Web</v>
      </c>
      <c r="T5721" s="33">
        <f>IFERROR(__xludf.DUMMYFUNCTION("""COMPUTED_VALUE"""),1.0)</f>
        <v>1</v>
      </c>
      <c r="U5721" s="4" t="str">
        <f>IFERROR(__xludf.DUMMYFUNCTION("""COMPUTED_VALUE"""),"Cardápio Web")</f>
        <v>Cardápio Web</v>
      </c>
      <c r="V5721" s="33">
        <f>IFERROR(__xludf.DUMMYFUNCTION("""COMPUTED_VALUE"""),1.0)</f>
        <v>1</v>
      </c>
      <c r="W5721" s="4" t="str">
        <f>IFERROR(__xludf.DUMMYFUNCTION("""COMPUTED_VALUE"""),"Cardápio Web")</f>
        <v>Cardápio Web</v>
      </c>
      <c r="X5721" s="33">
        <f>IFERROR(__xludf.DUMMYFUNCTION("""COMPUTED_VALUE"""),1.0)</f>
        <v>1</v>
      </c>
    </row>
    <row r="5722">
      <c r="K5722" s="4" t="str">
        <f>IFERROR(__xludf.DUMMYFUNCTION("""COMPUTED_VALUE"""),"PAPA TUDO LANCHES")</f>
        <v>PAPA TUDO LANCHES</v>
      </c>
      <c r="L5722" s="32">
        <f>IFERROR(__xludf.DUMMYFUNCTION("""COMPUTED_VALUE"""),2.0)</f>
        <v>2</v>
      </c>
      <c r="M5722" s="4" t="str">
        <f>IFERROR(__xludf.DUMMYFUNCTION("""COMPUTED_VALUE"""),"Winfood")</f>
        <v>Winfood</v>
      </c>
      <c r="N5722" s="33">
        <f>IFERROR(__xludf.DUMMYFUNCTION("""COMPUTED_VALUE"""),0.5)</f>
        <v>0.5</v>
      </c>
      <c r="O5722" s="4" t="str">
        <f>IFERROR(__xludf.DUMMYFUNCTION("""COMPUTED_VALUE"""),"Winfood")</f>
        <v>Winfood</v>
      </c>
      <c r="P5722" s="33">
        <f>IFERROR(__xludf.DUMMYFUNCTION("""COMPUTED_VALUE"""),0.5)</f>
        <v>0.5</v>
      </c>
      <c r="Q5722" s="4" t="str">
        <f>IFERROR(__xludf.DUMMYFUNCTION("""COMPUTED_VALUE"""),"Winfood")</f>
        <v>Winfood</v>
      </c>
      <c r="R5722" s="33">
        <f>IFERROR(__xludf.DUMMYFUNCTION("""COMPUTED_VALUE"""),0.5)</f>
        <v>0.5</v>
      </c>
      <c r="S5722" s="4" t="str">
        <f>IFERROR(__xludf.DUMMYFUNCTION("""COMPUTED_VALUE"""),"Winfood")</f>
        <v>Winfood</v>
      </c>
      <c r="T5722" s="33">
        <f>IFERROR(__xludf.DUMMYFUNCTION("""COMPUTED_VALUE"""),0.5)</f>
        <v>0.5</v>
      </c>
      <c r="U5722" s="4" t="str">
        <f>IFERROR(__xludf.DUMMYFUNCTION("""COMPUTED_VALUE"""),"Winfood")</f>
        <v>Winfood</v>
      </c>
      <c r="V5722" s="33">
        <f>IFERROR(__xludf.DUMMYFUNCTION("""COMPUTED_VALUE"""),0.5)</f>
        <v>0.5</v>
      </c>
      <c r="W5722" s="4" t="str">
        <f>IFERROR(__xludf.DUMMYFUNCTION("""COMPUTED_VALUE"""),"null")</f>
        <v>null</v>
      </c>
      <c r="X5722" s="33">
        <f>IFERROR(__xludf.DUMMYFUNCTION("""COMPUTED_VALUE"""),1.0)</f>
        <v>1</v>
      </c>
    </row>
    <row r="5723">
      <c r="K5723" s="4" t="str">
        <f>IFERROR(__xludf.DUMMYFUNCTION("""COMPUTED_VALUE"""),"PIZZARIA BELLA ITALIA")</f>
        <v>PIZZARIA BELLA ITALIA</v>
      </c>
      <c r="L5723" s="32">
        <f>IFERROR(__xludf.DUMMYFUNCTION("""COMPUTED_VALUE"""),2.0)</f>
        <v>2</v>
      </c>
      <c r="M5723" s="4" t="str">
        <f>IFERROR(__xludf.DUMMYFUNCTION("""COMPUTED_VALUE"""),"Connectplug")</f>
        <v>Connectplug</v>
      </c>
      <c r="N5723" s="33">
        <f>IFERROR(__xludf.DUMMYFUNCTION("""COMPUTED_VALUE"""),0.5)</f>
        <v>0.5</v>
      </c>
      <c r="O5723" s="4" t="str">
        <f>IFERROR(__xludf.DUMMYFUNCTION("""COMPUTED_VALUE"""),"Connectplug")</f>
        <v>Connectplug</v>
      </c>
      <c r="P5723" s="33">
        <f>IFERROR(__xludf.DUMMYFUNCTION("""COMPUTED_VALUE"""),0.5)</f>
        <v>0.5</v>
      </c>
      <c r="Q5723" s="4" t="str">
        <f>IFERROR(__xludf.DUMMYFUNCTION("""COMPUTED_VALUE"""),"Connectplug")</f>
        <v>Connectplug</v>
      </c>
      <c r="R5723" s="33">
        <f>IFERROR(__xludf.DUMMYFUNCTION("""COMPUTED_VALUE"""),0.5)</f>
        <v>0.5</v>
      </c>
      <c r="S5723" s="4" t="str">
        <f>IFERROR(__xludf.DUMMYFUNCTION("""COMPUTED_VALUE"""),"Connectplug")</f>
        <v>Connectplug</v>
      </c>
      <c r="T5723" s="33">
        <f>IFERROR(__xludf.DUMMYFUNCTION("""COMPUTED_VALUE"""),0.5)</f>
        <v>0.5</v>
      </c>
      <c r="U5723" s="4" t="str">
        <f>IFERROR(__xludf.DUMMYFUNCTION("""COMPUTED_VALUE"""),"Connectplug")</f>
        <v>Connectplug</v>
      </c>
      <c r="V5723" s="33">
        <f>IFERROR(__xludf.DUMMYFUNCTION("""COMPUTED_VALUE"""),0.5)</f>
        <v>0.5</v>
      </c>
      <c r="W5723" s="4" t="str">
        <f>IFERROR(__xludf.DUMMYFUNCTION("""COMPUTED_VALUE"""),"Connectplug")</f>
        <v>Connectplug</v>
      </c>
      <c r="X5723" s="33">
        <f>IFERROR(__xludf.DUMMYFUNCTION("""COMPUTED_VALUE"""),0.5)</f>
        <v>0.5</v>
      </c>
    </row>
    <row r="5724">
      <c r="K5724" s="4" t="str">
        <f>IFERROR(__xludf.DUMMYFUNCTION("""COMPUTED_VALUE"""),"CASA DO HAMBURGUER ARTESANAL")</f>
        <v>CASA DO HAMBURGUER ARTESANAL</v>
      </c>
      <c r="L5724" s="32">
        <f>IFERROR(__xludf.DUMMYFUNCTION("""COMPUTED_VALUE"""),2.0)</f>
        <v>2</v>
      </c>
      <c r="M5724" s="4" t="str">
        <f>IFERROR(__xludf.DUMMYFUNCTION("""COMPUTED_VALUE"""),"Anota Ai Solucoes Digitais S/a")</f>
        <v>Anota Ai Solucoes Digitais S/a</v>
      </c>
      <c r="N5724" s="33">
        <f>IFERROR(__xludf.DUMMYFUNCTION("""COMPUTED_VALUE"""),1.0)</f>
        <v>1</v>
      </c>
      <c r="O5724" s="4" t="str">
        <f>IFERROR(__xludf.DUMMYFUNCTION("""COMPUTED_VALUE"""),"Anota Ai Solucoes Digitais S/a")</f>
        <v>Anota Ai Solucoes Digitais S/a</v>
      </c>
      <c r="P5724" s="33">
        <f>IFERROR(__xludf.DUMMYFUNCTION("""COMPUTED_VALUE"""),1.0)</f>
        <v>1</v>
      </c>
      <c r="Q5724" s="4" t="str">
        <f>IFERROR(__xludf.DUMMYFUNCTION("""COMPUTED_VALUE"""),"Anota Ai Solucoes Digitais S/a")</f>
        <v>Anota Ai Solucoes Digitais S/a</v>
      </c>
      <c r="R5724" s="33">
        <f>IFERROR(__xludf.DUMMYFUNCTION("""COMPUTED_VALUE"""),1.0)</f>
        <v>1</v>
      </c>
      <c r="S5724" s="4" t="str">
        <f>IFERROR(__xludf.DUMMYFUNCTION("""COMPUTED_VALUE"""),"Anota Ai Solucoes Digitais S/a")</f>
        <v>Anota Ai Solucoes Digitais S/a</v>
      </c>
      <c r="T5724" s="33">
        <f>IFERROR(__xludf.DUMMYFUNCTION("""COMPUTED_VALUE"""),1.0)</f>
        <v>1</v>
      </c>
      <c r="U5724" s="4" t="str">
        <f>IFERROR(__xludf.DUMMYFUNCTION("""COMPUTED_VALUE"""),"Anota Ai Solucoes Digitais S/a")</f>
        <v>Anota Ai Solucoes Digitais S/a</v>
      </c>
      <c r="V5724" s="33">
        <f>IFERROR(__xludf.DUMMYFUNCTION("""COMPUTED_VALUE"""),0.5)</f>
        <v>0.5</v>
      </c>
      <c r="W5724" s="4" t="str">
        <f>IFERROR(__xludf.DUMMYFUNCTION("""COMPUTED_VALUE"""),"Anota Ai Solucoes Digitais S/a")</f>
        <v>Anota Ai Solucoes Digitais S/a</v>
      </c>
      <c r="X5724" s="33">
        <f>IFERROR(__xludf.DUMMYFUNCTION("""COMPUTED_VALUE"""),0.5)</f>
        <v>0.5</v>
      </c>
    </row>
    <row r="5725">
      <c r="K5725" s="4" t="str">
        <f>IFERROR(__xludf.DUMMYFUNCTION("""COMPUTED_VALUE"""),"ANDERSON ACAITERIA")</f>
        <v>ANDERSON ACAITERIA</v>
      </c>
      <c r="L5725" s="32">
        <f>IFERROR(__xludf.DUMMYFUNCTION("""COMPUTED_VALUE"""),2.0)</f>
        <v>2</v>
      </c>
      <c r="M5725" s="4" t="str">
        <f>IFERROR(__xludf.DUMMYFUNCTION("""COMPUTED_VALUE"""),"Alfa Labs")</f>
        <v>Alfa Labs</v>
      </c>
      <c r="N5725" s="33">
        <f>IFERROR(__xludf.DUMMYFUNCTION("""COMPUTED_VALUE"""),0.5)</f>
        <v>0.5</v>
      </c>
      <c r="O5725" s="4" t="str">
        <f>IFERROR(__xludf.DUMMYFUNCTION("""COMPUTED_VALUE"""),"Alfa Labs")</f>
        <v>Alfa Labs</v>
      </c>
      <c r="P5725" s="33">
        <f>IFERROR(__xludf.DUMMYFUNCTION("""COMPUTED_VALUE"""),0.5)</f>
        <v>0.5</v>
      </c>
      <c r="Q5725" s="4" t="str">
        <f>IFERROR(__xludf.DUMMYFUNCTION("""COMPUTED_VALUE"""),"Alfa Labs")</f>
        <v>Alfa Labs</v>
      </c>
      <c r="R5725" s="33">
        <f>IFERROR(__xludf.DUMMYFUNCTION("""COMPUTED_VALUE"""),1.0)</f>
        <v>1</v>
      </c>
      <c r="S5725" s="4" t="str">
        <f>IFERROR(__xludf.DUMMYFUNCTION("""COMPUTED_VALUE"""),"Alfa Labs")</f>
        <v>Alfa Labs</v>
      </c>
      <c r="T5725" s="33">
        <f>IFERROR(__xludf.DUMMYFUNCTION("""COMPUTED_VALUE"""),1.0)</f>
        <v>1</v>
      </c>
      <c r="U5725" s="4" t="str">
        <f>IFERROR(__xludf.DUMMYFUNCTION("""COMPUTED_VALUE"""),"Alfa Labs")</f>
        <v>Alfa Labs</v>
      </c>
      <c r="V5725" s="33">
        <f>IFERROR(__xludf.DUMMYFUNCTION("""COMPUTED_VALUE"""),1.0)</f>
        <v>1</v>
      </c>
      <c r="W5725" s="4" t="str">
        <f>IFERROR(__xludf.DUMMYFUNCTION("""COMPUTED_VALUE"""),"Alfa Labs")</f>
        <v>Alfa Labs</v>
      </c>
      <c r="X5725" s="33">
        <f>IFERROR(__xludf.DUMMYFUNCTION("""COMPUTED_VALUE"""),1.0)</f>
        <v>1</v>
      </c>
    </row>
    <row r="5726">
      <c r="K5726" s="4" t="str">
        <f>IFERROR(__xludf.DUMMYFUNCTION("""COMPUTED_VALUE"""),"HOLLYWOOD PIZZARIA")</f>
        <v>HOLLYWOOD PIZZARIA</v>
      </c>
      <c r="L5726" s="32">
        <f>IFERROR(__xludf.DUMMYFUNCTION("""COMPUTED_VALUE"""),2.0)</f>
        <v>2</v>
      </c>
      <c r="M5726" s="4" t="str">
        <f>IFERROR(__xludf.DUMMYFUNCTION("""COMPUTED_VALUE"""),"null")</f>
        <v>null</v>
      </c>
      <c r="N5726" s="33">
        <f>IFERROR(__xludf.DUMMYFUNCTION("""COMPUTED_VALUE"""),0.5)</f>
        <v>0.5</v>
      </c>
      <c r="O5726" s="4" t="str">
        <f>IFERROR(__xludf.DUMMYFUNCTION("""COMPUTED_VALUE"""),"null")</f>
        <v>null</v>
      </c>
      <c r="P5726" s="33">
        <f>IFERROR(__xludf.DUMMYFUNCTION("""COMPUTED_VALUE"""),0.5)</f>
        <v>0.5</v>
      </c>
      <c r="Q5726" s="4" t="str">
        <f>IFERROR(__xludf.DUMMYFUNCTION("""COMPUTED_VALUE"""),"Cardápio Web")</f>
        <v>Cardápio Web</v>
      </c>
      <c r="R5726" s="33">
        <f>IFERROR(__xludf.DUMMYFUNCTION("""COMPUTED_VALUE"""),1.0)</f>
        <v>1</v>
      </c>
      <c r="S5726" s="4" t="str">
        <f>IFERROR(__xludf.DUMMYFUNCTION("""COMPUTED_VALUE"""),"Cardápio Web")</f>
        <v>Cardápio Web</v>
      </c>
      <c r="T5726" s="33">
        <f>IFERROR(__xludf.DUMMYFUNCTION("""COMPUTED_VALUE"""),1.0)</f>
        <v>1</v>
      </c>
      <c r="U5726" s="4" t="str">
        <f>IFERROR(__xludf.DUMMYFUNCTION("""COMPUTED_VALUE"""),"Cardápio Web")</f>
        <v>Cardápio Web</v>
      </c>
      <c r="V5726" s="33">
        <f>IFERROR(__xludf.DUMMYFUNCTION("""COMPUTED_VALUE"""),1.0)</f>
        <v>1</v>
      </c>
      <c r="W5726" s="4" t="str">
        <f>IFERROR(__xludf.DUMMYFUNCTION("""COMPUTED_VALUE"""),"Cardápio Web")</f>
        <v>Cardápio Web</v>
      </c>
      <c r="X5726" s="33">
        <f>IFERROR(__xludf.DUMMYFUNCTION("""COMPUTED_VALUE"""),1.0)</f>
        <v>1</v>
      </c>
    </row>
    <row r="5727">
      <c r="K5727" s="4" t="str">
        <f>IFERROR(__xludf.DUMMYFUNCTION("""COMPUTED_VALUE"""),"TIPASTA - MASSAS GOURMET")</f>
        <v>TIPASTA - MASSAS GOURMET</v>
      </c>
      <c r="L5727" s="32">
        <f>IFERROR(__xludf.DUMMYFUNCTION("""COMPUTED_VALUE"""),2.0)</f>
        <v>2</v>
      </c>
      <c r="M5727" s="4" t="str">
        <f>IFERROR(__xludf.DUMMYFUNCTION("""COMPUTED_VALUE"""),"Saipos Serviços De Software")</f>
        <v>Saipos Serviços De Software</v>
      </c>
      <c r="N5727" s="33">
        <f>IFERROR(__xludf.DUMMYFUNCTION("""COMPUTED_VALUE"""),1.0)</f>
        <v>1</v>
      </c>
      <c r="O5727" s="4" t="str">
        <f>IFERROR(__xludf.DUMMYFUNCTION("""COMPUTED_VALUE"""),"Saipos Serviços De Software")</f>
        <v>Saipos Serviços De Software</v>
      </c>
      <c r="P5727" s="33">
        <f>IFERROR(__xludf.DUMMYFUNCTION("""COMPUTED_VALUE"""),1.0)</f>
        <v>1</v>
      </c>
      <c r="Q5727" s="4" t="str">
        <f>IFERROR(__xludf.DUMMYFUNCTION("""COMPUTED_VALUE"""),"Saipos Serviços De Software")</f>
        <v>Saipos Serviços De Software</v>
      </c>
      <c r="R5727" s="33">
        <f>IFERROR(__xludf.DUMMYFUNCTION("""COMPUTED_VALUE"""),1.0)</f>
        <v>1</v>
      </c>
      <c r="S5727" s="4" t="str">
        <f>IFERROR(__xludf.DUMMYFUNCTION("""COMPUTED_VALUE"""),"Saipos Serviços De Software")</f>
        <v>Saipos Serviços De Software</v>
      </c>
      <c r="T5727" s="33">
        <f>IFERROR(__xludf.DUMMYFUNCTION("""COMPUTED_VALUE"""),1.0)</f>
        <v>1</v>
      </c>
      <c r="U5727" s="4" t="str">
        <f>IFERROR(__xludf.DUMMYFUNCTION("""COMPUTED_VALUE"""),"Saipos Serviços De Software")</f>
        <v>Saipos Serviços De Software</v>
      </c>
      <c r="V5727" s="33">
        <f>IFERROR(__xludf.DUMMYFUNCTION("""COMPUTED_VALUE"""),1.0)</f>
        <v>1</v>
      </c>
      <c r="W5727" s="4" t="str">
        <f>IFERROR(__xludf.DUMMYFUNCTION("""COMPUTED_VALUE"""),"Saipos Serviços De Software")</f>
        <v>Saipos Serviços De Software</v>
      </c>
      <c r="X5727" s="33">
        <f>IFERROR(__xludf.DUMMYFUNCTION("""COMPUTED_VALUE"""),1.0)</f>
        <v>1</v>
      </c>
    </row>
    <row r="5728">
      <c r="K5728" s="4" t="str">
        <f>IFERROR(__xludf.DUMMYFUNCTION("""COMPUTED_VALUE"""),"COOKINHOUSE HAMBURGUERIA")</f>
        <v>COOKINHOUSE HAMBURGUERIA</v>
      </c>
      <c r="L5728" s="32">
        <f>IFERROR(__xludf.DUMMYFUNCTION("""COMPUTED_VALUE"""),2.0)</f>
        <v>2</v>
      </c>
      <c r="M5728" s="4" t="str">
        <f>IFERROR(__xludf.DUMMYFUNCTION("""COMPUTED_VALUE"""),"Saipos Serviços De Software")</f>
        <v>Saipos Serviços De Software</v>
      </c>
      <c r="N5728" s="33">
        <f>IFERROR(__xludf.DUMMYFUNCTION("""COMPUTED_VALUE"""),1.0)</f>
        <v>1</v>
      </c>
      <c r="O5728" s="4" t="str">
        <f>IFERROR(__xludf.DUMMYFUNCTION("""COMPUTED_VALUE"""),"Saipos Serviços De Software")</f>
        <v>Saipos Serviços De Software</v>
      </c>
      <c r="P5728" s="33">
        <f>IFERROR(__xludf.DUMMYFUNCTION("""COMPUTED_VALUE"""),1.0)</f>
        <v>1</v>
      </c>
      <c r="Q5728" s="4" t="str">
        <f>IFERROR(__xludf.DUMMYFUNCTION("""COMPUTED_VALUE"""),"Saipos Serviços De Software")</f>
        <v>Saipos Serviços De Software</v>
      </c>
      <c r="R5728" s="33">
        <f>IFERROR(__xludf.DUMMYFUNCTION("""COMPUTED_VALUE"""),1.0)</f>
        <v>1</v>
      </c>
      <c r="S5728" s="4" t="str">
        <f>IFERROR(__xludf.DUMMYFUNCTION("""COMPUTED_VALUE"""),"Saipos Serviços De Software")</f>
        <v>Saipos Serviços De Software</v>
      </c>
      <c r="T5728" s="33">
        <f>IFERROR(__xludf.DUMMYFUNCTION("""COMPUTED_VALUE"""),1.0)</f>
        <v>1</v>
      </c>
      <c r="U5728" s="4" t="str">
        <f>IFERROR(__xludf.DUMMYFUNCTION("""COMPUTED_VALUE"""),"Saipos Serviços De Software")</f>
        <v>Saipos Serviços De Software</v>
      </c>
      <c r="V5728" s="33">
        <f>IFERROR(__xludf.DUMMYFUNCTION("""COMPUTED_VALUE"""),1.0)</f>
        <v>1</v>
      </c>
      <c r="W5728" s="4" t="str">
        <f>IFERROR(__xludf.DUMMYFUNCTION("""COMPUTED_VALUE"""),"Saipos Serviços De Software")</f>
        <v>Saipos Serviços De Software</v>
      </c>
      <c r="X5728" s="33">
        <f>IFERROR(__xludf.DUMMYFUNCTION("""COMPUTED_VALUE"""),0.5)</f>
        <v>0.5</v>
      </c>
    </row>
    <row r="5729">
      <c r="K5729" s="4" t="str">
        <f>IFERROR(__xludf.DUMMYFUNCTION("""COMPUTED_VALUE"""),"BAHIA BURGUER - HAMBURGUERIA ARTESANAL")</f>
        <v>BAHIA BURGUER - HAMBURGUERIA ARTESANAL</v>
      </c>
      <c r="L5729" s="32">
        <f>IFERROR(__xludf.DUMMYFUNCTION("""COMPUTED_VALUE"""),2.0)</f>
        <v>2</v>
      </c>
      <c r="M5729" s="4" t="str">
        <f>IFERROR(__xludf.DUMMYFUNCTION("""COMPUTED_VALUE"""),"Cardápio Web")</f>
        <v>Cardápio Web</v>
      </c>
      <c r="N5729" s="33">
        <f>IFERROR(__xludf.DUMMYFUNCTION("""COMPUTED_VALUE"""),1.0)</f>
        <v>1</v>
      </c>
      <c r="O5729" s="4" t="str">
        <f>IFERROR(__xludf.DUMMYFUNCTION("""COMPUTED_VALUE"""),"Cardápio Web")</f>
        <v>Cardápio Web</v>
      </c>
      <c r="P5729" s="33">
        <f>IFERROR(__xludf.DUMMYFUNCTION("""COMPUTED_VALUE"""),1.0)</f>
        <v>1</v>
      </c>
      <c r="Q5729" s="4" t="str">
        <f>IFERROR(__xludf.DUMMYFUNCTION("""COMPUTED_VALUE"""),"Cardápio Web")</f>
        <v>Cardápio Web</v>
      </c>
      <c r="R5729" s="33">
        <f>IFERROR(__xludf.DUMMYFUNCTION("""COMPUTED_VALUE"""),1.0)</f>
        <v>1</v>
      </c>
      <c r="S5729" s="4" t="str">
        <f>IFERROR(__xludf.DUMMYFUNCTION("""COMPUTED_VALUE"""),"Cardápio Web")</f>
        <v>Cardápio Web</v>
      </c>
      <c r="T5729" s="33">
        <f>IFERROR(__xludf.DUMMYFUNCTION("""COMPUTED_VALUE"""),1.0)</f>
        <v>1</v>
      </c>
      <c r="U5729" s="4" t="str">
        <f>IFERROR(__xludf.DUMMYFUNCTION("""COMPUTED_VALUE"""),"Cardápio Web")</f>
        <v>Cardápio Web</v>
      </c>
      <c r="V5729" s="33">
        <f>IFERROR(__xludf.DUMMYFUNCTION("""COMPUTED_VALUE"""),1.0)</f>
        <v>1</v>
      </c>
      <c r="W5729" s="4" t="str">
        <f>IFERROR(__xludf.DUMMYFUNCTION("""COMPUTED_VALUE"""),"Cardápio Web")</f>
        <v>Cardápio Web</v>
      </c>
      <c r="X5729" s="33">
        <f>IFERROR(__xludf.DUMMYFUNCTION("""COMPUTED_VALUE"""),1.0)</f>
        <v>1</v>
      </c>
    </row>
    <row r="5730">
      <c r="K5730" s="4" t="str">
        <f>IFERROR(__xludf.DUMMYFUNCTION("""COMPUTED_VALUE"""),"BRABO BURGER")</f>
        <v>BRABO BURGER</v>
      </c>
      <c r="L5730" s="32">
        <f>IFERROR(__xludf.DUMMYFUNCTION("""COMPUTED_VALUE"""),2.0)</f>
        <v>2</v>
      </c>
      <c r="M5730" s="4" t="str">
        <f>IFERROR(__xludf.DUMMYFUNCTION("""COMPUTED_VALUE"""),"Yooga")</f>
        <v>Yooga</v>
      </c>
      <c r="N5730" s="33">
        <f>IFERROR(__xludf.DUMMYFUNCTION("""COMPUTED_VALUE"""),0.5)</f>
        <v>0.5</v>
      </c>
      <c r="O5730" s="4" t="str">
        <f>IFERROR(__xludf.DUMMYFUNCTION("""COMPUTED_VALUE"""),"Yooga")</f>
        <v>Yooga</v>
      </c>
      <c r="P5730" s="33">
        <f>IFERROR(__xludf.DUMMYFUNCTION("""COMPUTED_VALUE"""),0.5)</f>
        <v>0.5</v>
      </c>
      <c r="Q5730" s="4" t="str">
        <f>IFERROR(__xludf.DUMMYFUNCTION("""COMPUTED_VALUE"""),"Yooga")</f>
        <v>Yooga</v>
      </c>
      <c r="R5730" s="33">
        <f>IFERROR(__xludf.DUMMYFUNCTION("""COMPUTED_VALUE"""),0.5)</f>
        <v>0.5</v>
      </c>
      <c r="S5730" s="4" t="str">
        <f>IFERROR(__xludf.DUMMYFUNCTION("""COMPUTED_VALUE"""),"Yooga")</f>
        <v>Yooga</v>
      </c>
      <c r="T5730" s="33">
        <f>IFERROR(__xludf.DUMMYFUNCTION("""COMPUTED_VALUE"""),0.5)</f>
        <v>0.5</v>
      </c>
      <c r="U5730" s="4" t="str">
        <f>IFERROR(__xludf.DUMMYFUNCTION("""COMPUTED_VALUE"""),"Yooga")</f>
        <v>Yooga</v>
      </c>
      <c r="V5730" s="33">
        <f>IFERROR(__xludf.DUMMYFUNCTION("""COMPUTED_VALUE"""),0.5)</f>
        <v>0.5</v>
      </c>
      <c r="W5730" s="4" t="str">
        <f>IFERROR(__xludf.DUMMYFUNCTION("""COMPUTED_VALUE"""),"Yooga")</f>
        <v>Yooga</v>
      </c>
      <c r="X5730" s="33">
        <f>IFERROR(__xludf.DUMMYFUNCTION("""COMPUTED_VALUE"""),0.5)</f>
        <v>0.5</v>
      </c>
    </row>
    <row r="5731">
      <c r="K5731" s="4" t="str">
        <f>IFERROR(__xludf.DUMMYFUNCTION("""COMPUTED_VALUE"""),"WOLF ROOTS BURGER E PIZZA")</f>
        <v>WOLF ROOTS BURGER E PIZZA</v>
      </c>
      <c r="L5731" s="32">
        <f>IFERROR(__xludf.DUMMYFUNCTION("""COMPUTED_VALUE"""),2.0)</f>
        <v>2</v>
      </c>
      <c r="M5731" s="4" t="str">
        <f>IFERROR(__xludf.DUMMYFUNCTION("""COMPUTED_VALUE"""),"Menu Integrado")</f>
        <v>Menu Integrado</v>
      </c>
      <c r="N5731" s="33">
        <f>IFERROR(__xludf.DUMMYFUNCTION("""COMPUTED_VALUE"""),1.0)</f>
        <v>1</v>
      </c>
      <c r="O5731" s="4" t="str">
        <f>IFERROR(__xludf.DUMMYFUNCTION("""COMPUTED_VALUE"""),"Menu Integrado")</f>
        <v>Menu Integrado</v>
      </c>
      <c r="P5731" s="33">
        <f>IFERROR(__xludf.DUMMYFUNCTION("""COMPUTED_VALUE"""),1.0)</f>
        <v>1</v>
      </c>
      <c r="Q5731" s="4" t="str">
        <f>IFERROR(__xludf.DUMMYFUNCTION("""COMPUTED_VALUE"""),"Menu Integrado")</f>
        <v>Menu Integrado</v>
      </c>
      <c r="R5731" s="33">
        <f>IFERROR(__xludf.DUMMYFUNCTION("""COMPUTED_VALUE"""),1.0)</f>
        <v>1</v>
      </c>
      <c r="S5731" s="4" t="str">
        <f>IFERROR(__xludf.DUMMYFUNCTION("""COMPUTED_VALUE"""),"Menu Integrado")</f>
        <v>Menu Integrado</v>
      </c>
      <c r="T5731" s="33">
        <f>IFERROR(__xludf.DUMMYFUNCTION("""COMPUTED_VALUE"""),1.0)</f>
        <v>1</v>
      </c>
      <c r="U5731" s="4" t="str">
        <f>IFERROR(__xludf.DUMMYFUNCTION("""COMPUTED_VALUE"""),"null")</f>
        <v>null</v>
      </c>
      <c r="V5731" s="33">
        <f>IFERROR(__xludf.DUMMYFUNCTION("""COMPUTED_VALUE"""),0.5)</f>
        <v>0.5</v>
      </c>
      <c r="W5731" s="4" t="str">
        <f>IFERROR(__xludf.DUMMYFUNCTION("""COMPUTED_VALUE"""),"null")</f>
        <v>null</v>
      </c>
      <c r="X5731" s="33">
        <f>IFERROR(__xludf.DUMMYFUNCTION("""COMPUTED_VALUE"""),0.5)</f>
        <v>0.5</v>
      </c>
    </row>
    <row r="5732">
      <c r="K5732" s="4" t="str">
        <f>IFERROR(__xludf.DUMMYFUNCTION("""COMPUTED_VALUE"""),"FORNATTO PIZZARIA")</f>
        <v>FORNATTO PIZZARIA</v>
      </c>
      <c r="L5732" s="32">
        <f>IFERROR(__xludf.DUMMYFUNCTION("""COMPUTED_VALUE"""),2.0)</f>
        <v>2</v>
      </c>
      <c r="M5732" s="4" t="str">
        <f>IFERROR(__xludf.DUMMYFUNCTION("""COMPUTED_VALUE"""),"Saipos Serviços De Software")</f>
        <v>Saipos Serviços De Software</v>
      </c>
      <c r="N5732" s="33">
        <f>IFERROR(__xludf.DUMMYFUNCTION("""COMPUTED_VALUE"""),0.5)</f>
        <v>0.5</v>
      </c>
      <c r="O5732" s="4" t="str">
        <f>IFERROR(__xludf.DUMMYFUNCTION("""COMPUTED_VALUE"""),"Saipos Serviços De Software")</f>
        <v>Saipos Serviços De Software</v>
      </c>
      <c r="P5732" s="33">
        <f>IFERROR(__xludf.DUMMYFUNCTION("""COMPUTED_VALUE"""),0.5)</f>
        <v>0.5</v>
      </c>
      <c r="Q5732" s="4" t="str">
        <f>IFERROR(__xludf.DUMMYFUNCTION("""COMPUTED_VALUE"""),"Saipos Serviços De Software")</f>
        <v>Saipos Serviços De Software</v>
      </c>
      <c r="R5732" s="33">
        <f>IFERROR(__xludf.DUMMYFUNCTION("""COMPUTED_VALUE"""),0.5)</f>
        <v>0.5</v>
      </c>
      <c r="S5732" s="4" t="str">
        <f>IFERROR(__xludf.DUMMYFUNCTION("""COMPUTED_VALUE"""),"Saipos Serviços De Software")</f>
        <v>Saipos Serviços De Software</v>
      </c>
      <c r="T5732" s="33">
        <f>IFERROR(__xludf.DUMMYFUNCTION("""COMPUTED_VALUE"""),0.5)</f>
        <v>0.5</v>
      </c>
      <c r="U5732" s="4" t="str">
        <f>IFERROR(__xludf.DUMMYFUNCTION("""COMPUTED_VALUE"""),"Saipos Serviços De Software")</f>
        <v>Saipos Serviços De Software</v>
      </c>
      <c r="V5732" s="33">
        <f>IFERROR(__xludf.DUMMYFUNCTION("""COMPUTED_VALUE"""),0.5)</f>
        <v>0.5</v>
      </c>
      <c r="W5732" s="4" t="str">
        <f>IFERROR(__xludf.DUMMYFUNCTION("""COMPUTED_VALUE"""),"Saipos Serviços De Software")</f>
        <v>Saipos Serviços De Software</v>
      </c>
      <c r="X5732" s="33">
        <f>IFERROR(__xludf.DUMMYFUNCTION("""COMPUTED_VALUE"""),0.5)</f>
        <v>0.5</v>
      </c>
    </row>
    <row r="5733">
      <c r="K5733" s="4" t="str">
        <f>IFERROR(__xludf.DUMMYFUNCTION("""COMPUTED_VALUE"""),"SABOR DA VILLA")</f>
        <v>SABOR DA VILLA</v>
      </c>
      <c r="L5733" s="32">
        <f>IFERROR(__xludf.DUMMYFUNCTION("""COMPUTED_VALUE"""),2.0)</f>
        <v>2</v>
      </c>
      <c r="M5733" s="4" t="str">
        <f>IFERROR(__xludf.DUMMYFUNCTION("""COMPUTED_VALUE"""),"Instadelivery")</f>
        <v>Instadelivery</v>
      </c>
      <c r="N5733" s="33">
        <f>IFERROR(__xludf.DUMMYFUNCTION("""COMPUTED_VALUE"""),0.5)</f>
        <v>0.5</v>
      </c>
      <c r="O5733" s="4" t="str">
        <f>IFERROR(__xludf.DUMMYFUNCTION("""COMPUTED_VALUE"""),"Instadelivery")</f>
        <v>Instadelivery</v>
      </c>
      <c r="P5733" s="33">
        <f>IFERROR(__xludf.DUMMYFUNCTION("""COMPUTED_VALUE"""),0.5)</f>
        <v>0.5</v>
      </c>
      <c r="Q5733" s="4" t="str">
        <f>IFERROR(__xludf.DUMMYFUNCTION("""COMPUTED_VALUE"""),"null")</f>
        <v>null</v>
      </c>
      <c r="R5733" s="33">
        <f>IFERROR(__xludf.DUMMYFUNCTION("""COMPUTED_VALUE"""),0.5)</f>
        <v>0.5</v>
      </c>
      <c r="S5733" s="4" t="str">
        <f>IFERROR(__xludf.DUMMYFUNCTION("""COMPUTED_VALUE"""),"null")</f>
        <v>null</v>
      </c>
      <c r="T5733" s="33">
        <f>IFERROR(__xludf.DUMMYFUNCTION("""COMPUTED_VALUE"""),1.0)</f>
        <v>1</v>
      </c>
      <c r="U5733" s="4" t="str">
        <f>IFERROR(__xludf.DUMMYFUNCTION("""COMPUTED_VALUE"""),"null")</f>
        <v>null</v>
      </c>
      <c r="V5733" s="33">
        <f>IFERROR(__xludf.DUMMYFUNCTION("""COMPUTED_VALUE"""),1.0)</f>
        <v>1</v>
      </c>
      <c r="W5733" s="4" t="str">
        <f>IFERROR(__xludf.DUMMYFUNCTION("""COMPUTED_VALUE"""),"null")</f>
        <v>null</v>
      </c>
      <c r="X5733" s="33">
        <f>IFERROR(__xludf.DUMMYFUNCTION("""COMPUTED_VALUE"""),1.0)</f>
        <v>1</v>
      </c>
    </row>
    <row r="5734">
      <c r="K5734" s="4" t="str">
        <f>IFERROR(__xludf.DUMMYFUNCTION("""COMPUTED_VALUE"""),"MANJERICAO")</f>
        <v>MANJERICAO</v>
      </c>
      <c r="L5734" s="32">
        <f>IFERROR(__xludf.DUMMYFUNCTION("""COMPUTED_VALUE"""),2.0)</f>
        <v>2</v>
      </c>
      <c r="M5734" s="4" t="str">
        <f>IFERROR(__xludf.DUMMYFUNCTION("""COMPUTED_VALUE"""),"Takeat Tecnologia")</f>
        <v>Takeat Tecnologia</v>
      </c>
      <c r="N5734" s="33">
        <f>IFERROR(__xludf.DUMMYFUNCTION("""COMPUTED_VALUE"""),0.5)</f>
        <v>0.5</v>
      </c>
      <c r="O5734" s="4" t="str">
        <f>IFERROR(__xludf.DUMMYFUNCTION("""COMPUTED_VALUE"""),"Takeat Tecnologia")</f>
        <v>Takeat Tecnologia</v>
      </c>
      <c r="P5734" s="33">
        <f>IFERROR(__xludf.DUMMYFUNCTION("""COMPUTED_VALUE"""),0.5)</f>
        <v>0.5</v>
      </c>
      <c r="Q5734" s="4" t="str">
        <f>IFERROR(__xludf.DUMMYFUNCTION("""COMPUTED_VALUE"""),"Takeat Tecnologia")</f>
        <v>Takeat Tecnologia</v>
      </c>
      <c r="R5734" s="33">
        <f>IFERROR(__xludf.DUMMYFUNCTION("""COMPUTED_VALUE"""),0.5)</f>
        <v>0.5</v>
      </c>
      <c r="S5734" s="4" t="str">
        <f>IFERROR(__xludf.DUMMYFUNCTION("""COMPUTED_VALUE"""),"Takeat Tecnologia")</f>
        <v>Takeat Tecnologia</v>
      </c>
      <c r="T5734" s="33">
        <f>IFERROR(__xludf.DUMMYFUNCTION("""COMPUTED_VALUE"""),0.5)</f>
        <v>0.5</v>
      </c>
      <c r="U5734" s="4" t="str">
        <f>IFERROR(__xludf.DUMMYFUNCTION("""COMPUTED_VALUE"""),"Saipos Serviços De Software")</f>
        <v>Saipos Serviços De Software</v>
      </c>
      <c r="V5734" s="33">
        <f>IFERROR(__xludf.DUMMYFUNCTION("""COMPUTED_VALUE"""),0.5)</f>
        <v>0.5</v>
      </c>
      <c r="W5734" s="4" t="str">
        <f>IFERROR(__xludf.DUMMYFUNCTION("""COMPUTED_VALUE"""),"Saipos Serviços De Software")</f>
        <v>Saipos Serviços De Software</v>
      </c>
      <c r="X5734" s="33">
        <f>IFERROR(__xludf.DUMMYFUNCTION("""COMPUTED_VALUE"""),0.5)</f>
        <v>0.5</v>
      </c>
    </row>
    <row r="5735">
      <c r="K5735" s="4" t="str">
        <f>IFERROR(__xludf.DUMMYFUNCTION("""COMPUTED_VALUE"""),"FARMACIA BIOFARMA")</f>
        <v>FARMACIA BIOFARMA</v>
      </c>
      <c r="L5735" s="32">
        <f>IFERROR(__xludf.DUMMYFUNCTION("""COMPUTED_VALUE"""),2.0)</f>
        <v>2</v>
      </c>
      <c r="M5735" s="4" t="str">
        <f>IFERROR(__xludf.DUMMYFUNCTION("""COMPUTED_VALUE"""),"N/A (Not found)")</f>
        <v>N/A (Not found)</v>
      </c>
      <c r="N5735" s="33">
        <f>IFERROR(__xludf.DUMMYFUNCTION("""COMPUTED_VALUE"""),0.5)</f>
        <v>0.5</v>
      </c>
      <c r="O5735" s="4" t="str">
        <f>IFERROR(__xludf.DUMMYFUNCTION("""COMPUTED_VALUE"""),"N/A (Not found)")</f>
        <v>N/A (Not found)</v>
      </c>
      <c r="P5735" s="33">
        <f>IFERROR(__xludf.DUMMYFUNCTION("""COMPUTED_VALUE"""),1.0)</f>
        <v>1</v>
      </c>
      <c r="Q5735" s="4" t="str">
        <f>IFERROR(__xludf.DUMMYFUNCTION("""COMPUTED_VALUE"""),"null")</f>
        <v>null</v>
      </c>
      <c r="R5735" s="33">
        <f>IFERROR(__xludf.DUMMYFUNCTION("""COMPUTED_VALUE"""),0.5)</f>
        <v>0.5</v>
      </c>
      <c r="S5735" s="4" t="str">
        <f>IFERROR(__xludf.DUMMYFUNCTION("""COMPUTED_VALUE"""),"null")</f>
        <v>null</v>
      </c>
      <c r="T5735" s="33">
        <f>IFERROR(__xludf.DUMMYFUNCTION("""COMPUTED_VALUE"""),0.5)</f>
        <v>0.5</v>
      </c>
      <c r="U5735" s="4" t="str">
        <f>IFERROR(__xludf.DUMMYFUNCTION("""COMPUTED_VALUE"""),"null")</f>
        <v>null</v>
      </c>
      <c r="V5735" s="33">
        <f>IFERROR(__xludf.DUMMYFUNCTION("""COMPUTED_VALUE"""),0.5)</f>
        <v>0.5</v>
      </c>
      <c r="W5735" s="4" t="str">
        <f>IFERROR(__xludf.DUMMYFUNCTION("""COMPUTED_VALUE"""),"null")</f>
        <v>null</v>
      </c>
      <c r="X5735" s="33">
        <f>IFERROR(__xludf.DUMMYFUNCTION("""COMPUTED_VALUE"""),0.5)</f>
        <v>0.5</v>
      </c>
    </row>
    <row r="5736">
      <c r="K5736" s="4" t="str">
        <f>IFERROR(__xludf.DUMMYFUNCTION("""COMPUTED_VALUE"""),"YUKI SUSHI")</f>
        <v>YUKI SUSHI</v>
      </c>
      <c r="L5736" s="32">
        <f>IFERROR(__xludf.DUMMYFUNCTION("""COMPUTED_VALUE"""),2.0)</f>
        <v>2</v>
      </c>
      <c r="M5736" s="4" t="str">
        <f>IFERROR(__xludf.DUMMYFUNCTION("""COMPUTED_VALUE"""),"null")</f>
        <v>null</v>
      </c>
      <c r="N5736" s="33">
        <f>IFERROR(__xludf.DUMMYFUNCTION("""COMPUTED_VALUE"""),0.5)</f>
        <v>0.5</v>
      </c>
      <c r="O5736" s="4" t="str">
        <f>IFERROR(__xludf.DUMMYFUNCTION("""COMPUTED_VALUE"""),"null")</f>
        <v>null</v>
      </c>
      <c r="P5736" s="33">
        <f>IFERROR(__xludf.DUMMYFUNCTION("""COMPUTED_VALUE"""),0.5)</f>
        <v>0.5</v>
      </c>
      <c r="Q5736" s="4" t="str">
        <f>IFERROR(__xludf.DUMMYFUNCTION("""COMPUTED_VALUE"""),"Sigmenu Tecnologia E Marketing Ltda")</f>
        <v>Sigmenu Tecnologia E Marketing Ltda</v>
      </c>
      <c r="R5736" s="33">
        <f>IFERROR(__xludf.DUMMYFUNCTION("""COMPUTED_VALUE"""),0.5)</f>
        <v>0.5</v>
      </c>
      <c r="S5736" s="4" t="str">
        <f>IFERROR(__xludf.DUMMYFUNCTION("""COMPUTED_VALUE"""),"Sigmenu Tecnologia E Marketing Ltda")</f>
        <v>Sigmenu Tecnologia E Marketing Ltda</v>
      </c>
      <c r="T5736" s="33">
        <f>IFERROR(__xludf.DUMMYFUNCTION("""COMPUTED_VALUE"""),0.5)</f>
        <v>0.5</v>
      </c>
      <c r="U5736" s="4" t="str">
        <f>IFERROR(__xludf.DUMMYFUNCTION("""COMPUTED_VALUE"""),"Sigmenu Tecnologia E Marketing Ltda")</f>
        <v>Sigmenu Tecnologia E Marketing Ltda</v>
      </c>
      <c r="V5736" s="33">
        <f>IFERROR(__xludf.DUMMYFUNCTION("""COMPUTED_VALUE"""),0.5)</f>
        <v>0.5</v>
      </c>
      <c r="W5736" s="4" t="str">
        <f>IFERROR(__xludf.DUMMYFUNCTION("""COMPUTED_VALUE"""),"Sigmenu Tecnologia E Marketing Ltda")</f>
        <v>Sigmenu Tecnologia E Marketing Ltda</v>
      </c>
      <c r="X5736" s="33">
        <f>IFERROR(__xludf.DUMMYFUNCTION("""COMPUTED_VALUE"""),0.5)</f>
        <v>0.5</v>
      </c>
    </row>
    <row r="5737">
      <c r="K5737" s="4" t="str">
        <f>IFERROR(__xludf.DUMMYFUNCTION("""COMPUTED_VALUE"""),"EXPLOSAO DO SABOR")</f>
        <v>EXPLOSAO DO SABOR</v>
      </c>
      <c r="L5737" s="32">
        <f>IFERROR(__xludf.DUMMYFUNCTION("""COMPUTED_VALUE"""),2.0)</f>
        <v>2</v>
      </c>
      <c r="M5737" s="4" t="str">
        <f>IFERROR(__xludf.DUMMYFUNCTION("""COMPUTED_VALUE"""),"Saipos Serviços De Software")</f>
        <v>Saipos Serviços De Software</v>
      </c>
      <c r="N5737" s="33">
        <f>IFERROR(__xludf.DUMMYFUNCTION("""COMPUTED_VALUE"""),0.5)</f>
        <v>0.5</v>
      </c>
      <c r="O5737" s="4" t="str">
        <f>IFERROR(__xludf.DUMMYFUNCTION("""COMPUTED_VALUE"""),"Saipos Serviços De Software")</f>
        <v>Saipos Serviços De Software</v>
      </c>
      <c r="P5737" s="33">
        <f>IFERROR(__xludf.DUMMYFUNCTION("""COMPUTED_VALUE"""),0.5)</f>
        <v>0.5</v>
      </c>
      <c r="Q5737" s="4" t="str">
        <f>IFERROR(__xludf.DUMMYFUNCTION("""COMPUTED_VALUE"""),"Saipos Serviços De Software")</f>
        <v>Saipos Serviços De Software</v>
      </c>
      <c r="R5737" s="33">
        <f>IFERROR(__xludf.DUMMYFUNCTION("""COMPUTED_VALUE"""),0.5)</f>
        <v>0.5</v>
      </c>
      <c r="S5737" s="4" t="str">
        <f>IFERROR(__xludf.DUMMYFUNCTION("""COMPUTED_VALUE"""),"Saipos Serviços De Software")</f>
        <v>Saipos Serviços De Software</v>
      </c>
      <c r="T5737" s="33">
        <f>IFERROR(__xludf.DUMMYFUNCTION("""COMPUTED_VALUE"""),0.5)</f>
        <v>0.5</v>
      </c>
      <c r="U5737" s="4" t="str">
        <f>IFERROR(__xludf.DUMMYFUNCTION("""COMPUTED_VALUE"""),"Saipos Serviços De Software")</f>
        <v>Saipos Serviços De Software</v>
      </c>
      <c r="V5737" s="33">
        <f>IFERROR(__xludf.DUMMYFUNCTION("""COMPUTED_VALUE"""),0.5)</f>
        <v>0.5</v>
      </c>
      <c r="W5737" s="4" t="str">
        <f>IFERROR(__xludf.DUMMYFUNCTION("""COMPUTED_VALUE"""),"Saipos Serviços De Software")</f>
        <v>Saipos Serviços De Software</v>
      </c>
      <c r="X5737" s="33">
        <f>IFERROR(__xludf.DUMMYFUNCTION("""COMPUTED_VALUE"""),0.5)</f>
        <v>0.5</v>
      </c>
    </row>
    <row r="5738">
      <c r="K5738" s="4" t="str">
        <f>IFERROR(__xludf.DUMMYFUNCTION("""COMPUTED_VALUE"""),"BAHIA PIZZARIA")</f>
        <v>BAHIA PIZZARIA</v>
      </c>
      <c r="L5738" s="32">
        <f>IFERROR(__xludf.DUMMYFUNCTION("""COMPUTED_VALUE"""),2.0)</f>
        <v>2</v>
      </c>
      <c r="M5738" s="4" t="str">
        <f>IFERROR(__xludf.DUMMYFUNCTION("""COMPUTED_VALUE"""),"Anota Ai Solucoes Digitais S/a")</f>
        <v>Anota Ai Solucoes Digitais S/a</v>
      </c>
      <c r="N5738" s="33">
        <f>IFERROR(__xludf.DUMMYFUNCTION("""COMPUTED_VALUE"""),0.5)</f>
        <v>0.5</v>
      </c>
      <c r="O5738" s="4" t="str">
        <f>IFERROR(__xludf.DUMMYFUNCTION("""COMPUTED_VALUE"""),"null")</f>
        <v>null</v>
      </c>
      <c r="P5738" s="33">
        <f>IFERROR(__xludf.DUMMYFUNCTION("""COMPUTED_VALUE"""),0.5)</f>
        <v>0.5</v>
      </c>
      <c r="Q5738" s="4" t="str">
        <f>IFERROR(__xludf.DUMMYFUNCTION("""COMPUTED_VALUE"""),"null")</f>
        <v>null</v>
      </c>
      <c r="R5738" s="33">
        <f>IFERROR(__xludf.DUMMYFUNCTION("""COMPUTED_VALUE"""),0.5)</f>
        <v>0.5</v>
      </c>
      <c r="S5738" s="4" t="str">
        <f>IFERROR(__xludf.DUMMYFUNCTION("""COMPUTED_VALUE"""),"null")</f>
        <v>null</v>
      </c>
      <c r="T5738" s="33">
        <f>IFERROR(__xludf.DUMMYFUNCTION("""COMPUTED_VALUE"""),0.5)</f>
        <v>0.5</v>
      </c>
      <c r="U5738" s="4" t="str">
        <f>IFERROR(__xludf.DUMMYFUNCTION("""COMPUTED_VALUE"""),"null")</f>
        <v>null</v>
      </c>
      <c r="V5738" s="33">
        <f>IFERROR(__xludf.DUMMYFUNCTION("""COMPUTED_VALUE"""),0.5)</f>
        <v>0.5</v>
      </c>
      <c r="W5738" s="4" t="str">
        <f>IFERROR(__xludf.DUMMYFUNCTION("""COMPUTED_VALUE"""),"null")</f>
        <v>null</v>
      </c>
      <c r="X5738" s="33">
        <f>IFERROR(__xludf.DUMMYFUNCTION("""COMPUTED_VALUE"""),0.5)</f>
        <v>0.5</v>
      </c>
    </row>
    <row r="5739">
      <c r="K5739" s="4" t="str">
        <f>IFERROR(__xludf.DUMMYFUNCTION("""COMPUTED_VALUE"""),"WALEIMAR LANCHES")</f>
        <v>WALEIMAR LANCHES</v>
      </c>
      <c r="L5739" s="32">
        <f>IFERROR(__xludf.DUMMYFUNCTION("""COMPUTED_VALUE"""),2.0)</f>
        <v>2</v>
      </c>
      <c r="M5739" s="4" t="str">
        <f>IFERROR(__xludf.DUMMYFUNCTION("""COMPUTED_VALUE"""),"Cardápio Web")</f>
        <v>Cardápio Web</v>
      </c>
      <c r="N5739" s="33">
        <f>IFERROR(__xludf.DUMMYFUNCTION("""COMPUTED_VALUE"""),0.5)</f>
        <v>0.5</v>
      </c>
      <c r="O5739" s="4" t="str">
        <f>IFERROR(__xludf.DUMMYFUNCTION("""COMPUTED_VALUE"""),"Cardápio Web")</f>
        <v>Cardápio Web</v>
      </c>
      <c r="P5739" s="33">
        <f>IFERROR(__xludf.DUMMYFUNCTION("""COMPUTED_VALUE"""),0.5)</f>
        <v>0.5</v>
      </c>
      <c r="Q5739" s="4" t="str">
        <f>IFERROR(__xludf.DUMMYFUNCTION("""COMPUTED_VALUE"""),"null")</f>
        <v>null</v>
      </c>
      <c r="R5739" s="33">
        <f>IFERROR(__xludf.DUMMYFUNCTION("""COMPUTED_VALUE"""),1.0)</f>
        <v>1</v>
      </c>
      <c r="S5739" s="4" t="str">
        <f>IFERROR(__xludf.DUMMYFUNCTION("""COMPUTED_VALUE"""),"null")</f>
        <v>null</v>
      </c>
      <c r="T5739" s="33">
        <f>IFERROR(__xludf.DUMMYFUNCTION("""COMPUTED_VALUE"""),1.0)</f>
        <v>1</v>
      </c>
      <c r="U5739" s="4" t="str">
        <f>IFERROR(__xludf.DUMMYFUNCTION("""COMPUTED_VALUE"""),"null")</f>
        <v>null</v>
      </c>
      <c r="V5739" s="33">
        <f>IFERROR(__xludf.DUMMYFUNCTION("""COMPUTED_VALUE"""),0.5)</f>
        <v>0.5</v>
      </c>
      <c r="W5739" s="4" t="str">
        <f>IFERROR(__xludf.DUMMYFUNCTION("""COMPUTED_VALUE"""),"null")</f>
        <v>null</v>
      </c>
      <c r="X5739" s="33">
        <f>IFERROR(__xludf.DUMMYFUNCTION("""COMPUTED_VALUE"""),0.5)</f>
        <v>0.5</v>
      </c>
    </row>
    <row r="5740">
      <c r="K5740" s="4" t="str">
        <f>IFERROR(__xludf.DUMMYFUNCTION("""COMPUTED_VALUE"""),"MEGA MASTER PIZZARIA")</f>
        <v>MEGA MASTER PIZZARIA</v>
      </c>
      <c r="L5740" s="32">
        <f>IFERROR(__xludf.DUMMYFUNCTION("""COMPUTED_VALUE"""),2.0)</f>
        <v>2</v>
      </c>
      <c r="M5740" s="4" t="str">
        <f>IFERROR(__xludf.DUMMYFUNCTION("""COMPUTED_VALUE"""),"Saipos Serviços De Software")</f>
        <v>Saipos Serviços De Software</v>
      </c>
      <c r="N5740" s="33">
        <f>IFERROR(__xludf.DUMMYFUNCTION("""COMPUTED_VALUE"""),1.0)</f>
        <v>1</v>
      </c>
      <c r="O5740" s="4" t="str">
        <f>IFERROR(__xludf.DUMMYFUNCTION("""COMPUTED_VALUE"""),"Saipos Serviços De Software")</f>
        <v>Saipos Serviços De Software</v>
      </c>
      <c r="P5740" s="33">
        <f>IFERROR(__xludf.DUMMYFUNCTION("""COMPUTED_VALUE"""),1.0)</f>
        <v>1</v>
      </c>
      <c r="Q5740" s="4" t="str">
        <f>IFERROR(__xludf.DUMMYFUNCTION("""COMPUTED_VALUE"""),"Saipos Serviços De Software")</f>
        <v>Saipos Serviços De Software</v>
      </c>
      <c r="R5740" s="33">
        <f>IFERROR(__xludf.DUMMYFUNCTION("""COMPUTED_VALUE"""),1.0)</f>
        <v>1</v>
      </c>
      <c r="S5740" s="4" t="str">
        <f>IFERROR(__xludf.DUMMYFUNCTION("""COMPUTED_VALUE"""),"Saipos Serviços De Software")</f>
        <v>Saipos Serviços De Software</v>
      </c>
      <c r="T5740" s="33">
        <f>IFERROR(__xludf.DUMMYFUNCTION("""COMPUTED_VALUE"""),1.0)</f>
        <v>1</v>
      </c>
      <c r="U5740" s="4" t="str">
        <f>IFERROR(__xludf.DUMMYFUNCTION("""COMPUTED_VALUE"""),"Saipos Serviços De Software")</f>
        <v>Saipos Serviços De Software</v>
      </c>
      <c r="V5740" s="33">
        <f>IFERROR(__xludf.DUMMYFUNCTION("""COMPUTED_VALUE"""),1.0)</f>
        <v>1</v>
      </c>
      <c r="W5740" s="4" t="str">
        <f>IFERROR(__xludf.DUMMYFUNCTION("""COMPUTED_VALUE"""),"Saipos Serviços De Software")</f>
        <v>Saipos Serviços De Software</v>
      </c>
      <c r="X5740" s="33">
        <f>IFERROR(__xludf.DUMMYFUNCTION("""COMPUTED_VALUE"""),1.0)</f>
        <v>1</v>
      </c>
    </row>
    <row r="5741">
      <c r="K5741" s="4" t="str">
        <f>IFERROR(__xludf.DUMMYFUNCTION("""COMPUTED_VALUE"""),"CIA DO LANCHE")</f>
        <v>CIA DO LANCHE</v>
      </c>
      <c r="L5741" s="32">
        <f>IFERROR(__xludf.DUMMYFUNCTION("""COMPUTED_VALUE"""),2.0)</f>
        <v>2</v>
      </c>
      <c r="M5741" s="4" t="str">
        <f>IFERROR(__xludf.DUMMYFUNCTION("""COMPUTED_VALUE"""),"Mp Multipedidos")</f>
        <v>Mp Multipedidos</v>
      </c>
      <c r="N5741" s="33">
        <f>IFERROR(__xludf.DUMMYFUNCTION("""COMPUTED_VALUE"""),0.5)</f>
        <v>0.5</v>
      </c>
      <c r="O5741" s="4" t="str">
        <f>IFERROR(__xludf.DUMMYFUNCTION("""COMPUTED_VALUE"""),"Mp Multipedidos")</f>
        <v>Mp Multipedidos</v>
      </c>
      <c r="P5741" s="33">
        <f>IFERROR(__xludf.DUMMYFUNCTION("""COMPUTED_VALUE"""),0.5)</f>
        <v>0.5</v>
      </c>
      <c r="Q5741" s="4" t="str">
        <f>IFERROR(__xludf.DUMMYFUNCTION("""COMPUTED_VALUE"""),"Mp Multipedidos")</f>
        <v>Mp Multipedidos</v>
      </c>
      <c r="R5741" s="33">
        <f>IFERROR(__xludf.DUMMYFUNCTION("""COMPUTED_VALUE"""),0.5)</f>
        <v>0.5</v>
      </c>
      <c r="S5741" s="4" t="str">
        <f>IFERROR(__xludf.DUMMYFUNCTION("""COMPUTED_VALUE"""),"Mp Multipedidos")</f>
        <v>Mp Multipedidos</v>
      </c>
      <c r="T5741" s="33">
        <f>IFERROR(__xludf.DUMMYFUNCTION("""COMPUTED_VALUE"""),0.5)</f>
        <v>0.5</v>
      </c>
      <c r="U5741" s="4" t="str">
        <f>IFERROR(__xludf.DUMMYFUNCTION("""COMPUTED_VALUE"""),"null")</f>
        <v>null</v>
      </c>
      <c r="V5741" s="33">
        <f>IFERROR(__xludf.DUMMYFUNCTION("""COMPUTED_VALUE"""),0.5)</f>
        <v>0.5</v>
      </c>
      <c r="W5741" s="4" t="str">
        <f>IFERROR(__xludf.DUMMYFUNCTION("""COMPUTED_VALUE"""),"null")</f>
        <v>null</v>
      </c>
      <c r="X5741" s="33">
        <f>IFERROR(__xludf.DUMMYFUNCTION("""COMPUTED_VALUE"""),0.5)</f>
        <v>0.5</v>
      </c>
    </row>
    <row r="5742">
      <c r="K5742" s="4" t="str">
        <f>IFERROR(__xludf.DUMMYFUNCTION("""COMPUTED_VALUE"""),"LA CANTINA PIZZARIA")</f>
        <v>LA CANTINA PIZZARIA</v>
      </c>
      <c r="L5742" s="32">
        <f>IFERROR(__xludf.DUMMYFUNCTION("""COMPUTED_VALUE"""),2.0)</f>
        <v>2</v>
      </c>
      <c r="M5742" s="4" t="str">
        <f>IFERROR(__xludf.DUMMYFUNCTION("""COMPUTED_VALUE"""),"Cardápio Web")</f>
        <v>Cardápio Web</v>
      </c>
      <c r="N5742" s="33">
        <f>IFERROR(__xludf.DUMMYFUNCTION("""COMPUTED_VALUE"""),0.5)</f>
        <v>0.5</v>
      </c>
      <c r="O5742" s="4" t="str">
        <f>IFERROR(__xludf.DUMMYFUNCTION("""COMPUTED_VALUE"""),"null")</f>
        <v>null</v>
      </c>
      <c r="P5742" s="33">
        <f>IFERROR(__xludf.DUMMYFUNCTION("""COMPUTED_VALUE"""),1.0)</f>
        <v>1</v>
      </c>
      <c r="Q5742" s="4" t="str">
        <f>IFERROR(__xludf.DUMMYFUNCTION("""COMPUTED_VALUE"""),"null")</f>
        <v>null</v>
      </c>
      <c r="R5742" s="33">
        <f>IFERROR(__xludf.DUMMYFUNCTION("""COMPUTED_VALUE"""),1.0)</f>
        <v>1</v>
      </c>
      <c r="S5742" s="4" t="str">
        <f>IFERROR(__xludf.DUMMYFUNCTION("""COMPUTED_VALUE"""),"null")</f>
        <v>null</v>
      </c>
      <c r="T5742" s="33">
        <f>IFERROR(__xludf.DUMMYFUNCTION("""COMPUTED_VALUE"""),1.0)</f>
        <v>1</v>
      </c>
      <c r="U5742" s="4" t="str">
        <f>IFERROR(__xludf.DUMMYFUNCTION("""COMPUTED_VALUE"""),"null")</f>
        <v>null</v>
      </c>
      <c r="V5742" s="33">
        <f>IFERROR(__xludf.DUMMYFUNCTION("""COMPUTED_VALUE"""),0.5)</f>
        <v>0.5</v>
      </c>
      <c r="W5742" s="4" t="str">
        <f>IFERROR(__xludf.DUMMYFUNCTION("""COMPUTED_VALUE"""),"null")</f>
        <v>null</v>
      </c>
      <c r="X5742" s="33">
        <f>IFERROR(__xludf.DUMMYFUNCTION("""COMPUTED_VALUE"""),1.0)</f>
        <v>1</v>
      </c>
    </row>
    <row r="5743">
      <c r="K5743" s="4" t="str">
        <f>IFERROR(__xludf.DUMMYFUNCTION("""COMPUTED_VALUE"""),"INSANO BURGER")</f>
        <v>INSANO BURGER</v>
      </c>
      <c r="L5743" s="32">
        <f>IFERROR(__xludf.DUMMYFUNCTION("""COMPUTED_VALUE"""),2.0)</f>
        <v>2</v>
      </c>
      <c r="M5743" s="4" t="str">
        <f>IFERROR(__xludf.DUMMYFUNCTION("""COMPUTED_VALUE"""),"Consumer Soluções Em Tecnologia Ltda")</f>
        <v>Consumer Soluções Em Tecnologia Ltda</v>
      </c>
      <c r="N5743" s="33">
        <f>IFERROR(__xludf.DUMMYFUNCTION("""COMPUTED_VALUE"""),0.5)</f>
        <v>0.5</v>
      </c>
      <c r="O5743" s="4" t="str">
        <f>IFERROR(__xludf.DUMMYFUNCTION("""COMPUTED_VALUE"""),"Consumer Soluções Em Tecnologia Ltda")</f>
        <v>Consumer Soluções Em Tecnologia Ltda</v>
      </c>
      <c r="P5743" s="33">
        <f>IFERROR(__xludf.DUMMYFUNCTION("""COMPUTED_VALUE"""),0.5)</f>
        <v>0.5</v>
      </c>
      <c r="Q5743" s="4" t="str">
        <f>IFERROR(__xludf.DUMMYFUNCTION("""COMPUTED_VALUE"""),"Consumer Soluções Em Tecnologia Ltda")</f>
        <v>Consumer Soluções Em Tecnologia Ltda</v>
      </c>
      <c r="R5743" s="33">
        <f>IFERROR(__xludf.DUMMYFUNCTION("""COMPUTED_VALUE"""),0.5)</f>
        <v>0.5</v>
      </c>
      <c r="S5743" s="4" t="str">
        <f>IFERROR(__xludf.DUMMYFUNCTION("""COMPUTED_VALUE"""),"Consumer Soluções Em Tecnologia Ltda")</f>
        <v>Consumer Soluções Em Tecnologia Ltda</v>
      </c>
      <c r="T5743" s="33">
        <f>IFERROR(__xludf.DUMMYFUNCTION("""COMPUTED_VALUE"""),0.5)</f>
        <v>0.5</v>
      </c>
      <c r="U5743" s="4" t="str">
        <f>IFERROR(__xludf.DUMMYFUNCTION("""COMPUTED_VALUE"""),"null")</f>
        <v>null</v>
      </c>
      <c r="V5743" s="33">
        <f>IFERROR(__xludf.DUMMYFUNCTION("""COMPUTED_VALUE"""),0.5)</f>
        <v>0.5</v>
      </c>
      <c r="W5743" s="4" t="str">
        <f>IFERROR(__xludf.DUMMYFUNCTION("""COMPUTED_VALUE"""),"null")</f>
        <v>null</v>
      </c>
      <c r="X5743" s="33">
        <f>IFERROR(__xludf.DUMMYFUNCTION("""COMPUTED_VALUE"""),0.5)</f>
        <v>0.5</v>
      </c>
    </row>
    <row r="5744">
      <c r="K5744" s="4" t="str">
        <f>IFERROR(__xludf.DUMMYFUNCTION("""COMPUTED_VALUE"""),"VITINHO LANCHES")</f>
        <v>VITINHO LANCHES</v>
      </c>
      <c r="L5744" s="32">
        <f>IFERROR(__xludf.DUMMYFUNCTION("""COMPUTED_VALUE"""),2.0)</f>
        <v>2</v>
      </c>
      <c r="M5744" s="4" t="str">
        <f>IFERROR(__xludf.DUMMYFUNCTION("""COMPUTED_VALUE"""),"Lecard Delivery")</f>
        <v>Lecard Delivery</v>
      </c>
      <c r="N5744" s="33">
        <f>IFERROR(__xludf.DUMMYFUNCTION("""COMPUTED_VALUE"""),0.5)</f>
        <v>0.5</v>
      </c>
      <c r="O5744" s="4" t="str">
        <f>IFERROR(__xludf.DUMMYFUNCTION("""COMPUTED_VALUE"""),"Lecard Delivery")</f>
        <v>Lecard Delivery</v>
      </c>
      <c r="P5744" s="33">
        <f>IFERROR(__xludf.DUMMYFUNCTION("""COMPUTED_VALUE"""),0.5)</f>
        <v>0.5</v>
      </c>
      <c r="Q5744" s="4" t="str">
        <f>IFERROR(__xludf.DUMMYFUNCTION("""COMPUTED_VALUE"""),"Lecard Delivery")</f>
        <v>Lecard Delivery</v>
      </c>
      <c r="R5744" s="33">
        <f>IFERROR(__xludf.DUMMYFUNCTION("""COMPUTED_VALUE"""),0.5)</f>
        <v>0.5</v>
      </c>
      <c r="S5744" s="4" t="str">
        <f>IFERROR(__xludf.DUMMYFUNCTION("""COMPUTED_VALUE"""),"Lecard Delivery")</f>
        <v>Lecard Delivery</v>
      </c>
      <c r="T5744" s="33">
        <f>IFERROR(__xludf.DUMMYFUNCTION("""COMPUTED_VALUE"""),0.5)</f>
        <v>0.5</v>
      </c>
      <c r="U5744" s="4" t="str">
        <f>IFERROR(__xludf.DUMMYFUNCTION("""COMPUTED_VALUE"""),"Lecard Delivery")</f>
        <v>Lecard Delivery</v>
      </c>
      <c r="V5744" s="33">
        <f>IFERROR(__xludf.DUMMYFUNCTION("""COMPUTED_VALUE"""),1.0)</f>
        <v>1</v>
      </c>
      <c r="W5744" s="4" t="str">
        <f>IFERROR(__xludf.DUMMYFUNCTION("""COMPUTED_VALUE"""),"Lecard Delivery")</f>
        <v>Lecard Delivery</v>
      </c>
      <c r="X5744" s="33">
        <f>IFERROR(__xludf.DUMMYFUNCTION("""COMPUTED_VALUE"""),1.0)</f>
        <v>1</v>
      </c>
    </row>
    <row r="5745">
      <c r="K5745" s="4" t="str">
        <f>IFERROR(__xludf.DUMMYFUNCTION("""COMPUTED_VALUE"""),"TUNICO LANCHES")</f>
        <v>TUNICO LANCHES</v>
      </c>
      <c r="L5745" s="32">
        <f>IFERROR(__xludf.DUMMYFUNCTION("""COMPUTED_VALUE"""),2.0)</f>
        <v>2</v>
      </c>
      <c r="M5745" s="4" t="str">
        <f>IFERROR(__xludf.DUMMYFUNCTION("""COMPUTED_VALUE"""),"null")</f>
        <v>null</v>
      </c>
      <c r="N5745" s="33">
        <f>IFERROR(__xludf.DUMMYFUNCTION("""COMPUTED_VALUE"""),0.5)</f>
        <v>0.5</v>
      </c>
      <c r="O5745" s="4" t="str">
        <f>IFERROR(__xludf.DUMMYFUNCTION("""COMPUTED_VALUE"""),"null")</f>
        <v>null</v>
      </c>
      <c r="P5745" s="33">
        <f>IFERROR(__xludf.DUMMYFUNCTION("""COMPUTED_VALUE"""),0.5)</f>
        <v>0.5</v>
      </c>
      <c r="Q5745" s="4" t="str">
        <f>IFERROR(__xludf.DUMMYFUNCTION("""COMPUTED_VALUE"""),"null")</f>
        <v>null</v>
      </c>
      <c r="R5745" s="33">
        <f>IFERROR(__xludf.DUMMYFUNCTION("""COMPUTED_VALUE"""),0.5)</f>
        <v>0.5</v>
      </c>
      <c r="S5745" s="4" t="str">
        <f>IFERROR(__xludf.DUMMYFUNCTION("""COMPUTED_VALUE"""),"null")</f>
        <v>null</v>
      </c>
      <c r="T5745" s="33">
        <f>IFERROR(__xludf.DUMMYFUNCTION("""COMPUTED_VALUE"""),0.5)</f>
        <v>0.5</v>
      </c>
      <c r="U5745" s="4" t="str">
        <f>IFERROR(__xludf.DUMMYFUNCTION("""COMPUTED_VALUE"""),"Anota Ai Solucoes Digitais S/a")</f>
        <v>Anota Ai Solucoes Digitais S/a</v>
      </c>
      <c r="V5745" s="33">
        <f>IFERROR(__xludf.DUMMYFUNCTION("""COMPUTED_VALUE"""),0.5)</f>
        <v>0.5</v>
      </c>
      <c r="W5745" s="4" t="str">
        <f>IFERROR(__xludf.DUMMYFUNCTION("""COMPUTED_VALUE"""),"null")</f>
        <v>null</v>
      </c>
      <c r="X5745" s="33">
        <f>IFERROR(__xludf.DUMMYFUNCTION("""COMPUTED_VALUE"""),0.5)</f>
        <v>0.5</v>
      </c>
    </row>
    <row r="5746">
      <c r="K5746" s="4" t="str">
        <f>IFERROR(__xludf.DUMMYFUNCTION("""COMPUTED_VALUE"""),"ERIFARMA DROGARIAS")</f>
        <v>ERIFARMA DROGARIAS</v>
      </c>
      <c r="L5746" s="32">
        <f>IFERROR(__xludf.DUMMYFUNCTION("""COMPUTED_VALUE"""),2.0)</f>
        <v>2</v>
      </c>
      <c r="M5746" s="4" t="str">
        <f>IFERROR(__xludf.DUMMYFUNCTION("""COMPUTED_VALUE"""),"N/A (Not found)")</f>
        <v>N/A (Not found)</v>
      </c>
      <c r="N5746" s="33">
        <f>IFERROR(__xludf.DUMMYFUNCTION("""COMPUTED_VALUE"""),1.0)</f>
        <v>1</v>
      </c>
      <c r="O5746" s="4" t="str">
        <f>IFERROR(__xludf.DUMMYFUNCTION("""COMPUTED_VALUE"""),"N/A (Not found)")</f>
        <v>N/A (Not found)</v>
      </c>
      <c r="P5746" s="33">
        <f>IFERROR(__xludf.DUMMYFUNCTION("""COMPUTED_VALUE"""),1.0)</f>
        <v>1</v>
      </c>
      <c r="Q5746" s="4" t="str">
        <f>IFERROR(__xludf.DUMMYFUNCTION("""COMPUTED_VALUE"""),"N/A (Not found)")</f>
        <v>N/A (Not found)</v>
      </c>
      <c r="R5746" s="33">
        <f>IFERROR(__xludf.DUMMYFUNCTION("""COMPUTED_VALUE"""),1.0)</f>
        <v>1</v>
      </c>
      <c r="S5746" s="4" t="str">
        <f>IFERROR(__xludf.DUMMYFUNCTION("""COMPUTED_VALUE"""),"N/A (Not found)")</f>
        <v>N/A (Not found)</v>
      </c>
      <c r="T5746" s="33">
        <f>IFERROR(__xludf.DUMMYFUNCTION("""COMPUTED_VALUE"""),1.0)</f>
        <v>1</v>
      </c>
      <c r="U5746" s="4" t="str">
        <f>IFERROR(__xludf.DUMMYFUNCTION("""COMPUTED_VALUE"""),"N/A (Not found)")</f>
        <v>N/A (Not found)</v>
      </c>
      <c r="V5746" s="33">
        <f>IFERROR(__xludf.DUMMYFUNCTION("""COMPUTED_VALUE"""),1.0)</f>
        <v>1</v>
      </c>
      <c r="W5746" s="4" t="str">
        <f>IFERROR(__xludf.DUMMYFUNCTION("""COMPUTED_VALUE"""),"N/A (Not found)")</f>
        <v>N/A (Not found)</v>
      </c>
      <c r="X5746" s="33">
        <f>IFERROR(__xludf.DUMMYFUNCTION("""COMPUTED_VALUE"""),1.0)</f>
        <v>1</v>
      </c>
    </row>
    <row r="5747">
      <c r="K5747" s="4" t="str">
        <f>IFERROR(__xludf.DUMMYFUNCTION("""COMPUTED_VALUE"""),"AVALANCHES")</f>
        <v>AVALANCHES</v>
      </c>
      <c r="L5747" s="32">
        <f>IFERROR(__xludf.DUMMYFUNCTION("""COMPUTED_VALUE"""),2.0)</f>
        <v>2</v>
      </c>
      <c r="M5747" s="4" t="str">
        <f>IFERROR(__xludf.DUMMYFUNCTION("""COMPUTED_VALUE"""),"Instadelivery")</f>
        <v>Instadelivery</v>
      </c>
      <c r="N5747" s="33">
        <f>IFERROR(__xludf.DUMMYFUNCTION("""COMPUTED_VALUE"""),0.5)</f>
        <v>0.5</v>
      </c>
      <c r="O5747" s="4" t="str">
        <f>IFERROR(__xludf.DUMMYFUNCTION("""COMPUTED_VALUE"""),"Instadelivery")</f>
        <v>Instadelivery</v>
      </c>
      <c r="P5747" s="33">
        <f>IFERROR(__xludf.DUMMYFUNCTION("""COMPUTED_VALUE"""),0.5)</f>
        <v>0.5</v>
      </c>
      <c r="Q5747" s="4" t="str">
        <f>IFERROR(__xludf.DUMMYFUNCTION("""COMPUTED_VALUE"""),"Instadelivery")</f>
        <v>Instadelivery</v>
      </c>
      <c r="R5747" s="33">
        <f>IFERROR(__xludf.DUMMYFUNCTION("""COMPUTED_VALUE"""),0.5)</f>
        <v>0.5</v>
      </c>
      <c r="S5747" s="4" t="str">
        <f>IFERROR(__xludf.DUMMYFUNCTION("""COMPUTED_VALUE"""),"Instadelivery")</f>
        <v>Instadelivery</v>
      </c>
      <c r="T5747" s="33">
        <f>IFERROR(__xludf.DUMMYFUNCTION("""COMPUTED_VALUE"""),1.0)</f>
        <v>1</v>
      </c>
      <c r="U5747" s="4" t="str">
        <f>IFERROR(__xludf.DUMMYFUNCTION("""COMPUTED_VALUE"""),"Instadelivery")</f>
        <v>Instadelivery</v>
      </c>
      <c r="V5747" s="33">
        <f>IFERROR(__xludf.DUMMYFUNCTION("""COMPUTED_VALUE"""),1.0)</f>
        <v>1</v>
      </c>
      <c r="W5747" s="4" t="str">
        <f>IFERROR(__xludf.DUMMYFUNCTION("""COMPUTED_VALUE"""),"Instadelivery")</f>
        <v>Instadelivery</v>
      </c>
      <c r="X5747" s="33">
        <f>IFERROR(__xludf.DUMMYFUNCTION("""COMPUTED_VALUE"""),0.5)</f>
        <v>0.5</v>
      </c>
    </row>
    <row r="5748">
      <c r="K5748" s="4" t="str">
        <f>IFERROR(__xludf.DUMMYFUNCTION("""COMPUTED_VALUE"""),"DOCE SONHO")</f>
        <v>DOCE SONHO</v>
      </c>
      <c r="L5748" s="32">
        <f>IFERROR(__xludf.DUMMYFUNCTION("""COMPUTED_VALUE"""),2.0)</f>
        <v>2</v>
      </c>
      <c r="M5748" s="4" t="str">
        <f>IFERROR(__xludf.DUMMYFUNCTION("""COMPUTED_VALUE"""),"Diggy")</f>
        <v>Diggy</v>
      </c>
      <c r="N5748" s="33">
        <f>IFERROR(__xludf.DUMMYFUNCTION("""COMPUTED_VALUE"""),0.5)</f>
        <v>0.5</v>
      </c>
      <c r="O5748" s="4" t="str">
        <f>IFERROR(__xludf.DUMMYFUNCTION("""COMPUTED_VALUE"""),"Diggy")</f>
        <v>Diggy</v>
      </c>
      <c r="P5748" s="33">
        <f>IFERROR(__xludf.DUMMYFUNCTION("""COMPUTED_VALUE"""),0.5)</f>
        <v>0.5</v>
      </c>
      <c r="Q5748" s="4" t="str">
        <f>IFERROR(__xludf.DUMMYFUNCTION("""COMPUTED_VALUE"""),"Diggy")</f>
        <v>Diggy</v>
      </c>
      <c r="R5748" s="33">
        <f>IFERROR(__xludf.DUMMYFUNCTION("""COMPUTED_VALUE"""),0.5)</f>
        <v>0.5</v>
      </c>
      <c r="S5748" s="4" t="str">
        <f>IFERROR(__xludf.DUMMYFUNCTION("""COMPUTED_VALUE"""),"Diggy")</f>
        <v>Diggy</v>
      </c>
      <c r="T5748" s="33">
        <f>IFERROR(__xludf.DUMMYFUNCTION("""COMPUTED_VALUE"""),0.5)</f>
        <v>0.5</v>
      </c>
      <c r="U5748" s="4" t="str">
        <f>IFERROR(__xludf.DUMMYFUNCTION("""COMPUTED_VALUE"""),"Diggy")</f>
        <v>Diggy</v>
      </c>
      <c r="V5748" s="33">
        <f>IFERROR(__xludf.DUMMYFUNCTION("""COMPUTED_VALUE"""),0.5)</f>
        <v>0.5</v>
      </c>
      <c r="W5748" s="4" t="str">
        <f>IFERROR(__xludf.DUMMYFUNCTION("""COMPUTED_VALUE"""),"Diggy")</f>
        <v>Diggy</v>
      </c>
      <c r="X5748" s="33">
        <f>IFERROR(__xludf.DUMMYFUNCTION("""COMPUTED_VALUE"""),0.5)</f>
        <v>0.5</v>
      </c>
    </row>
    <row r="5749">
      <c r="K5749" s="4" t="str">
        <f>IFERROR(__xludf.DUMMYFUNCTION("""COMPUTED_VALUE"""),"ACAI COM CREME")</f>
        <v>ACAI COM CREME</v>
      </c>
      <c r="L5749" s="32">
        <f>IFERROR(__xludf.DUMMYFUNCTION("""COMPUTED_VALUE"""),2.0)</f>
        <v>2</v>
      </c>
      <c r="M5749" s="4" t="str">
        <f>IFERROR(__xludf.DUMMYFUNCTION("""COMPUTED_VALUE"""),"Yooga")</f>
        <v>Yooga</v>
      </c>
      <c r="N5749" s="33">
        <f>IFERROR(__xludf.DUMMYFUNCTION("""COMPUTED_VALUE"""),1.0)</f>
        <v>1</v>
      </c>
      <c r="O5749" s="4" t="str">
        <f>IFERROR(__xludf.DUMMYFUNCTION("""COMPUTED_VALUE"""),"Yooga")</f>
        <v>Yooga</v>
      </c>
      <c r="P5749" s="33">
        <f>IFERROR(__xludf.DUMMYFUNCTION("""COMPUTED_VALUE"""),1.0)</f>
        <v>1</v>
      </c>
      <c r="Q5749" s="4" t="str">
        <f>IFERROR(__xludf.DUMMYFUNCTION("""COMPUTED_VALUE"""),"Yooga")</f>
        <v>Yooga</v>
      </c>
      <c r="R5749" s="33">
        <f>IFERROR(__xludf.DUMMYFUNCTION("""COMPUTED_VALUE"""),1.0)</f>
        <v>1</v>
      </c>
      <c r="S5749" s="4" t="str">
        <f>IFERROR(__xludf.DUMMYFUNCTION("""COMPUTED_VALUE"""),"Yooga")</f>
        <v>Yooga</v>
      </c>
      <c r="T5749" s="33">
        <f>IFERROR(__xludf.DUMMYFUNCTION("""COMPUTED_VALUE"""),1.0)</f>
        <v>1</v>
      </c>
      <c r="U5749" s="4" t="str">
        <f>IFERROR(__xludf.DUMMYFUNCTION("""COMPUTED_VALUE"""),"Yooga")</f>
        <v>Yooga</v>
      </c>
      <c r="V5749" s="33">
        <f>IFERROR(__xludf.DUMMYFUNCTION("""COMPUTED_VALUE"""),1.0)</f>
        <v>1</v>
      </c>
      <c r="W5749" s="4" t="str">
        <f>IFERROR(__xludf.DUMMYFUNCTION("""COMPUTED_VALUE"""),"Yooga")</f>
        <v>Yooga</v>
      </c>
      <c r="X5749" s="33">
        <f>IFERROR(__xludf.DUMMYFUNCTION("""COMPUTED_VALUE"""),1.0)</f>
        <v>1</v>
      </c>
    </row>
    <row r="5750">
      <c r="K5750" s="4" t="str">
        <f>IFERROR(__xludf.DUMMYFUNCTION("""COMPUTED_VALUE"""),"LN DISTRIBUIDORA")</f>
        <v>LN DISTRIBUIDORA</v>
      </c>
      <c r="L5750" s="32">
        <f>IFERROR(__xludf.DUMMYFUNCTION("""COMPUTED_VALUE"""),2.0)</f>
        <v>2</v>
      </c>
      <c r="M5750" s="4" t="str">
        <f>IFERROR(__xludf.DUMMYFUNCTION("""COMPUTED_VALUE"""),"Anota Ai Solucoes Digitais S/a")</f>
        <v>Anota Ai Solucoes Digitais S/a</v>
      </c>
      <c r="N5750" s="33">
        <f>IFERROR(__xludf.DUMMYFUNCTION("""COMPUTED_VALUE"""),0.5)</f>
        <v>0.5</v>
      </c>
      <c r="O5750" s="4" t="str">
        <f>IFERROR(__xludf.DUMMYFUNCTION("""COMPUTED_VALUE"""),"Anota Ai Solucoes Digitais S/a")</f>
        <v>Anota Ai Solucoes Digitais S/a</v>
      </c>
      <c r="P5750" s="33">
        <f>IFERROR(__xludf.DUMMYFUNCTION("""COMPUTED_VALUE"""),0.5)</f>
        <v>0.5</v>
      </c>
      <c r="Q5750" s="4" t="str">
        <f>IFERROR(__xludf.DUMMYFUNCTION("""COMPUTED_VALUE"""),"Anota Ai Solucoes Digitais S/a")</f>
        <v>Anota Ai Solucoes Digitais S/a</v>
      </c>
      <c r="R5750" s="33">
        <f>IFERROR(__xludf.DUMMYFUNCTION("""COMPUTED_VALUE"""),0.5)</f>
        <v>0.5</v>
      </c>
      <c r="S5750" s="4" t="str">
        <f>IFERROR(__xludf.DUMMYFUNCTION("""COMPUTED_VALUE"""),"null")</f>
        <v>null</v>
      </c>
      <c r="T5750" s="33">
        <f>IFERROR(__xludf.DUMMYFUNCTION("""COMPUTED_VALUE"""),0.5)</f>
        <v>0.5</v>
      </c>
      <c r="U5750" s="4" t="str">
        <f>IFERROR(__xludf.DUMMYFUNCTION("""COMPUTED_VALUE"""),"Anota Ai Solucoes Digitais S/a")</f>
        <v>Anota Ai Solucoes Digitais S/a</v>
      </c>
      <c r="V5750" s="33">
        <f>IFERROR(__xludf.DUMMYFUNCTION("""COMPUTED_VALUE"""),0.5)</f>
        <v>0.5</v>
      </c>
      <c r="W5750" s="4" t="str">
        <f>IFERROR(__xludf.DUMMYFUNCTION("""COMPUTED_VALUE"""),"null")</f>
        <v>null</v>
      </c>
      <c r="X5750" s="33">
        <f>IFERROR(__xludf.DUMMYFUNCTION("""COMPUTED_VALUE"""),0.5)</f>
        <v>0.5</v>
      </c>
    </row>
    <row r="5751">
      <c r="K5751" s="4" t="str">
        <f>IFERROR(__xludf.DUMMYFUNCTION("""COMPUTED_VALUE"""),"AVENGERS BURGUER")</f>
        <v>AVENGERS BURGUER</v>
      </c>
      <c r="L5751" s="32">
        <f>IFERROR(__xludf.DUMMYFUNCTION("""COMPUTED_VALUE"""),2.0)</f>
        <v>2</v>
      </c>
      <c r="M5751" s="4" t="str">
        <f>IFERROR(__xludf.DUMMYFUNCTION("""COMPUTED_VALUE"""),"null")</f>
        <v>null</v>
      </c>
      <c r="N5751" s="33">
        <f>IFERROR(__xludf.DUMMYFUNCTION("""COMPUTED_VALUE"""),0.5)</f>
        <v>0.5</v>
      </c>
      <c r="O5751" s="4" t="str">
        <f>IFERROR(__xludf.DUMMYFUNCTION("""COMPUTED_VALUE"""),"null")</f>
        <v>null</v>
      </c>
      <c r="P5751" s="33">
        <f>IFERROR(__xludf.DUMMYFUNCTION("""COMPUTED_VALUE"""),0.5)</f>
        <v>0.5</v>
      </c>
      <c r="Q5751" s="4" t="str">
        <f>IFERROR(__xludf.DUMMYFUNCTION("""COMPUTED_VALUE"""),"Instadelivery")</f>
        <v>Instadelivery</v>
      </c>
      <c r="R5751" s="33">
        <f>IFERROR(__xludf.DUMMYFUNCTION("""COMPUTED_VALUE"""),1.0)</f>
        <v>1</v>
      </c>
      <c r="S5751" s="4" t="str">
        <f>IFERROR(__xludf.DUMMYFUNCTION("""COMPUTED_VALUE"""),"Instadelivery")</f>
        <v>Instadelivery</v>
      </c>
      <c r="T5751" s="33">
        <f>IFERROR(__xludf.DUMMYFUNCTION("""COMPUTED_VALUE"""),1.0)</f>
        <v>1</v>
      </c>
      <c r="U5751" s="4" t="str">
        <f>IFERROR(__xludf.DUMMYFUNCTION("""COMPUTED_VALUE"""),"null")</f>
        <v>null</v>
      </c>
      <c r="V5751" s="33">
        <f>IFERROR(__xludf.DUMMYFUNCTION("""COMPUTED_VALUE"""),0.5)</f>
        <v>0.5</v>
      </c>
      <c r="W5751" s="4" t="str">
        <f>IFERROR(__xludf.DUMMYFUNCTION("""COMPUTED_VALUE"""),"null")</f>
        <v>null</v>
      </c>
      <c r="X5751" s="33">
        <f>IFERROR(__xludf.DUMMYFUNCTION("""COMPUTED_VALUE"""),0.5)</f>
        <v>0.5</v>
      </c>
    </row>
    <row r="5752">
      <c r="K5752" s="4" t="str">
        <f>IFERROR(__xludf.DUMMYFUNCTION("""COMPUTED_VALUE"""),"THE BEEF HAMBURGUERIA")</f>
        <v>THE BEEF HAMBURGUERIA</v>
      </c>
      <c r="L5752" s="32">
        <f>IFERROR(__xludf.DUMMYFUNCTION("""COMPUTED_VALUE"""),2.0)</f>
        <v>2</v>
      </c>
      <c r="M5752" s="4" t="str">
        <f>IFERROR(__xludf.DUMMYFUNCTION("""COMPUTED_VALUE"""),"null")</f>
        <v>null</v>
      </c>
      <c r="N5752" s="33">
        <f>IFERROR(__xludf.DUMMYFUNCTION("""COMPUTED_VALUE"""),1.0)</f>
        <v>1</v>
      </c>
      <c r="O5752" s="4" t="str">
        <f>IFERROR(__xludf.DUMMYFUNCTION("""COMPUTED_VALUE"""),"null")</f>
        <v>null</v>
      </c>
      <c r="P5752" s="33">
        <f>IFERROR(__xludf.DUMMYFUNCTION("""COMPUTED_VALUE"""),0.5)</f>
        <v>0.5</v>
      </c>
      <c r="Q5752" s="4" t="str">
        <f>IFERROR(__xludf.DUMMYFUNCTION("""COMPUTED_VALUE"""),"Saipos Serviços De Software")</f>
        <v>Saipos Serviços De Software</v>
      </c>
      <c r="R5752" s="33">
        <f>IFERROR(__xludf.DUMMYFUNCTION("""COMPUTED_VALUE"""),0.5)</f>
        <v>0.5</v>
      </c>
      <c r="S5752" s="4" t="str">
        <f>IFERROR(__xludf.DUMMYFUNCTION("""COMPUTED_VALUE"""),"Saipos Serviços De Software")</f>
        <v>Saipos Serviços De Software</v>
      </c>
      <c r="T5752" s="33">
        <f>IFERROR(__xludf.DUMMYFUNCTION("""COMPUTED_VALUE"""),0.5)</f>
        <v>0.5</v>
      </c>
      <c r="U5752" s="4" t="str">
        <f>IFERROR(__xludf.DUMMYFUNCTION("""COMPUTED_VALUE"""),"Saipos Serviços De Software")</f>
        <v>Saipos Serviços De Software</v>
      </c>
      <c r="V5752" s="33">
        <f>IFERROR(__xludf.DUMMYFUNCTION("""COMPUTED_VALUE"""),0.5)</f>
        <v>0.5</v>
      </c>
      <c r="W5752" s="4" t="str">
        <f>IFERROR(__xludf.DUMMYFUNCTION("""COMPUTED_VALUE"""),"Saipos Serviços De Software")</f>
        <v>Saipos Serviços De Software</v>
      </c>
      <c r="X5752" s="33">
        <f>IFERROR(__xludf.DUMMYFUNCTION("""COMPUTED_VALUE"""),0.5)</f>
        <v>0.5</v>
      </c>
    </row>
    <row r="5753">
      <c r="K5753" s="4" t="str">
        <f>IFERROR(__xludf.DUMMYFUNCTION("""COMPUTED_VALUE"""),"CASA DA ESFIHA IACANGA - PIZZARIA")</f>
        <v>CASA DA ESFIHA IACANGA - PIZZARIA</v>
      </c>
      <c r="L5753" s="32">
        <f>IFERROR(__xludf.DUMMYFUNCTION("""COMPUTED_VALUE"""),2.0)</f>
        <v>2</v>
      </c>
      <c r="M5753" s="4" t="str">
        <f>IFERROR(__xludf.DUMMYFUNCTION("""COMPUTED_VALUE"""),"Saipos Serviços De Software")</f>
        <v>Saipos Serviços De Software</v>
      </c>
      <c r="N5753" s="33">
        <f>IFERROR(__xludf.DUMMYFUNCTION("""COMPUTED_VALUE"""),1.0)</f>
        <v>1</v>
      </c>
      <c r="O5753" s="4" t="str">
        <f>IFERROR(__xludf.DUMMYFUNCTION("""COMPUTED_VALUE"""),"Saipos Serviços De Software")</f>
        <v>Saipos Serviços De Software</v>
      </c>
      <c r="P5753" s="33">
        <f>IFERROR(__xludf.DUMMYFUNCTION("""COMPUTED_VALUE"""),1.0)</f>
        <v>1</v>
      </c>
      <c r="Q5753" s="4" t="str">
        <f>IFERROR(__xludf.DUMMYFUNCTION("""COMPUTED_VALUE"""),"Saipos Serviços De Software")</f>
        <v>Saipos Serviços De Software</v>
      </c>
      <c r="R5753" s="33">
        <f>IFERROR(__xludf.DUMMYFUNCTION("""COMPUTED_VALUE"""),1.0)</f>
        <v>1</v>
      </c>
      <c r="S5753" s="4" t="str">
        <f>IFERROR(__xludf.DUMMYFUNCTION("""COMPUTED_VALUE"""),"Saipos Serviços De Software")</f>
        <v>Saipos Serviços De Software</v>
      </c>
      <c r="T5753" s="33">
        <f>IFERROR(__xludf.DUMMYFUNCTION("""COMPUTED_VALUE"""),1.0)</f>
        <v>1</v>
      </c>
      <c r="U5753" s="4" t="str">
        <f>IFERROR(__xludf.DUMMYFUNCTION("""COMPUTED_VALUE"""),"Saipos Serviços De Software")</f>
        <v>Saipos Serviços De Software</v>
      </c>
      <c r="V5753" s="33">
        <f>IFERROR(__xludf.DUMMYFUNCTION("""COMPUTED_VALUE"""),1.0)</f>
        <v>1</v>
      </c>
      <c r="W5753" s="4" t="str">
        <f>IFERROR(__xludf.DUMMYFUNCTION("""COMPUTED_VALUE"""),"Saipos Serviços De Software")</f>
        <v>Saipos Serviços De Software</v>
      </c>
      <c r="X5753" s="33">
        <f>IFERROR(__xludf.DUMMYFUNCTION("""COMPUTED_VALUE"""),1.0)</f>
        <v>1</v>
      </c>
    </row>
    <row r="5754">
      <c r="K5754" s="4" t="str">
        <f>IFERROR(__xludf.DUMMYFUNCTION("""COMPUTED_VALUE"""),"BENDITTA PIZZA - PIZZA ARTESANAL")</f>
        <v>BENDITTA PIZZA - PIZZA ARTESANAL</v>
      </c>
      <c r="L5754" s="32">
        <f>IFERROR(__xludf.DUMMYFUNCTION("""COMPUTED_VALUE"""),2.0)</f>
        <v>2</v>
      </c>
      <c r="M5754" s="4" t="str">
        <f>IFERROR(__xludf.DUMMYFUNCTION("""COMPUTED_VALUE"""),"Cardápio Web")</f>
        <v>Cardápio Web</v>
      </c>
      <c r="N5754" s="33">
        <f>IFERROR(__xludf.DUMMYFUNCTION("""COMPUTED_VALUE"""),0.5)</f>
        <v>0.5</v>
      </c>
      <c r="O5754" s="4" t="str">
        <f>IFERROR(__xludf.DUMMYFUNCTION("""COMPUTED_VALUE"""),"Cardápio Web")</f>
        <v>Cardápio Web</v>
      </c>
      <c r="P5754" s="33">
        <f>IFERROR(__xludf.DUMMYFUNCTION("""COMPUTED_VALUE"""),0.5)</f>
        <v>0.5</v>
      </c>
      <c r="Q5754" s="4" t="str">
        <f>IFERROR(__xludf.DUMMYFUNCTION("""COMPUTED_VALUE"""),"Cardápio Web")</f>
        <v>Cardápio Web</v>
      </c>
      <c r="R5754" s="33">
        <f>IFERROR(__xludf.DUMMYFUNCTION("""COMPUTED_VALUE"""),0.5)</f>
        <v>0.5</v>
      </c>
      <c r="S5754" s="4" t="str">
        <f>IFERROR(__xludf.DUMMYFUNCTION("""COMPUTED_VALUE"""),"null")</f>
        <v>null</v>
      </c>
      <c r="T5754" s="33">
        <f>IFERROR(__xludf.DUMMYFUNCTION("""COMPUTED_VALUE"""),0.5)</f>
        <v>0.5</v>
      </c>
      <c r="U5754" s="4" t="str">
        <f>IFERROR(__xludf.DUMMYFUNCTION("""COMPUTED_VALUE"""),"Cardápio Web")</f>
        <v>Cardápio Web</v>
      </c>
      <c r="V5754" s="33">
        <f>IFERROR(__xludf.DUMMYFUNCTION("""COMPUTED_VALUE"""),0.5)</f>
        <v>0.5</v>
      </c>
      <c r="W5754" s="4" t="str">
        <f>IFERROR(__xludf.DUMMYFUNCTION("""COMPUTED_VALUE"""),"Cardápio Web")</f>
        <v>Cardápio Web</v>
      </c>
      <c r="X5754" s="33">
        <f>IFERROR(__xludf.DUMMYFUNCTION("""COMPUTED_VALUE"""),0.5)</f>
        <v>0.5</v>
      </c>
    </row>
    <row r="5755">
      <c r="K5755" s="4" t="str">
        <f>IFERROR(__xludf.DUMMYFUNCTION("""COMPUTED_VALUE"""),"LUKINHAS LANCHES")</f>
        <v>LUKINHAS LANCHES</v>
      </c>
      <c r="L5755" s="32">
        <f>IFERROR(__xludf.DUMMYFUNCTION("""COMPUTED_VALUE"""),2.0)</f>
        <v>2</v>
      </c>
      <c r="M5755" s="4" t="str">
        <f>IFERROR(__xludf.DUMMYFUNCTION("""COMPUTED_VALUE"""),"null")</f>
        <v>null</v>
      </c>
      <c r="N5755" s="33">
        <f>IFERROR(__xludf.DUMMYFUNCTION("""COMPUTED_VALUE"""),1.0)</f>
        <v>1</v>
      </c>
      <c r="O5755" s="4" t="str">
        <f>IFERROR(__xludf.DUMMYFUNCTION("""COMPUTED_VALUE"""),"null")</f>
        <v>null</v>
      </c>
      <c r="P5755" s="33">
        <f>IFERROR(__xludf.DUMMYFUNCTION("""COMPUTED_VALUE"""),1.0)</f>
        <v>1</v>
      </c>
      <c r="Q5755" s="4" t="str">
        <f>IFERROR(__xludf.DUMMYFUNCTION("""COMPUTED_VALUE"""),"null")</f>
        <v>null</v>
      </c>
      <c r="R5755" s="33">
        <f>IFERROR(__xludf.DUMMYFUNCTION("""COMPUTED_VALUE"""),1.0)</f>
        <v>1</v>
      </c>
      <c r="S5755" s="4" t="str">
        <f>IFERROR(__xludf.DUMMYFUNCTION("""COMPUTED_VALUE"""),"null")</f>
        <v>null</v>
      </c>
      <c r="T5755" s="33">
        <f>IFERROR(__xludf.DUMMYFUNCTION("""COMPUTED_VALUE"""),1.0)</f>
        <v>1</v>
      </c>
      <c r="U5755" s="4" t="str">
        <f>IFERROR(__xludf.DUMMYFUNCTION("""COMPUTED_VALUE"""),"null")</f>
        <v>null</v>
      </c>
      <c r="V5755" s="33">
        <f>IFERROR(__xludf.DUMMYFUNCTION("""COMPUTED_VALUE"""),0.5)</f>
        <v>0.5</v>
      </c>
      <c r="W5755" s="4" t="str">
        <f>IFERROR(__xludf.DUMMYFUNCTION("""COMPUTED_VALUE"""),"Saipos Serviços De Software")</f>
        <v>Saipos Serviços De Software</v>
      </c>
      <c r="X5755" s="33">
        <f>IFERROR(__xludf.DUMMYFUNCTION("""COMPUTED_VALUE"""),0.5)</f>
        <v>0.5</v>
      </c>
    </row>
    <row r="5756">
      <c r="K5756" s="4" t="str">
        <f>IFERROR(__xludf.DUMMYFUNCTION("""COMPUTED_VALUE"""),"DUDU ACAI BURGUER")</f>
        <v>DUDU ACAI BURGUER</v>
      </c>
      <c r="L5756" s="32">
        <f>IFERROR(__xludf.DUMMYFUNCTION("""COMPUTED_VALUE"""),2.0)</f>
        <v>2</v>
      </c>
      <c r="M5756" s="4" t="str">
        <f>IFERROR(__xludf.DUMMYFUNCTION("""COMPUTED_VALUE"""),"Saipos Serviços De Software")</f>
        <v>Saipos Serviços De Software</v>
      </c>
      <c r="N5756" s="33">
        <f>IFERROR(__xludf.DUMMYFUNCTION("""COMPUTED_VALUE"""),1.0)</f>
        <v>1</v>
      </c>
      <c r="O5756" s="4" t="str">
        <f>IFERROR(__xludf.DUMMYFUNCTION("""COMPUTED_VALUE"""),"Saipos Serviços De Software")</f>
        <v>Saipos Serviços De Software</v>
      </c>
      <c r="P5756" s="33">
        <f>IFERROR(__xludf.DUMMYFUNCTION("""COMPUTED_VALUE"""),1.0)</f>
        <v>1</v>
      </c>
      <c r="Q5756" s="4" t="str">
        <f>IFERROR(__xludf.DUMMYFUNCTION("""COMPUTED_VALUE"""),"Saipos Serviços De Software")</f>
        <v>Saipos Serviços De Software</v>
      </c>
      <c r="R5756" s="33">
        <f>IFERROR(__xludf.DUMMYFUNCTION("""COMPUTED_VALUE"""),1.0)</f>
        <v>1</v>
      </c>
      <c r="S5756" s="4" t="str">
        <f>IFERROR(__xludf.DUMMYFUNCTION("""COMPUTED_VALUE"""),"Saipos Serviços De Software")</f>
        <v>Saipos Serviços De Software</v>
      </c>
      <c r="T5756" s="33">
        <f>IFERROR(__xludf.DUMMYFUNCTION("""COMPUTED_VALUE"""),1.0)</f>
        <v>1</v>
      </c>
      <c r="U5756" s="4" t="str">
        <f>IFERROR(__xludf.DUMMYFUNCTION("""COMPUTED_VALUE"""),"Saipos Serviços De Software")</f>
        <v>Saipos Serviços De Software</v>
      </c>
      <c r="V5756" s="33">
        <f>IFERROR(__xludf.DUMMYFUNCTION("""COMPUTED_VALUE"""),1.0)</f>
        <v>1</v>
      </c>
      <c r="W5756" s="4" t="str">
        <f>IFERROR(__xludf.DUMMYFUNCTION("""COMPUTED_VALUE"""),"Saipos Serviços De Software")</f>
        <v>Saipos Serviços De Software</v>
      </c>
      <c r="X5756" s="33">
        <f>IFERROR(__xludf.DUMMYFUNCTION("""COMPUTED_VALUE"""),1.0)</f>
        <v>1</v>
      </c>
    </row>
    <row r="5757">
      <c r="K5757" s="4" t="str">
        <f>IFERROR(__xludf.DUMMYFUNCTION("""COMPUTED_VALUE"""),"SKINA LANCHES")</f>
        <v>SKINA LANCHES</v>
      </c>
      <c r="L5757" s="32">
        <f>IFERROR(__xludf.DUMMYFUNCTION("""COMPUTED_VALUE"""),2.0)</f>
        <v>2</v>
      </c>
      <c r="M5757" s="4" t="str">
        <f>IFERROR(__xludf.DUMMYFUNCTION("""COMPUTED_VALUE"""),"null")</f>
        <v>null</v>
      </c>
      <c r="N5757" s="33">
        <f>IFERROR(__xludf.DUMMYFUNCTION("""COMPUTED_VALUE"""),0.5)</f>
        <v>0.5</v>
      </c>
      <c r="O5757" s="4" t="str">
        <f>IFERROR(__xludf.DUMMYFUNCTION("""COMPUTED_VALUE"""),"Anota Ai Solucoes Digitais S/a")</f>
        <v>Anota Ai Solucoes Digitais S/a</v>
      </c>
      <c r="P5757" s="33">
        <f>IFERROR(__xludf.DUMMYFUNCTION("""COMPUTED_VALUE"""),0.5)</f>
        <v>0.5</v>
      </c>
      <c r="Q5757" s="4" t="str">
        <f>IFERROR(__xludf.DUMMYFUNCTION("""COMPUTED_VALUE"""),"Anota Ai Solucoes Digitais S/a")</f>
        <v>Anota Ai Solucoes Digitais S/a</v>
      </c>
      <c r="R5757" s="33">
        <f>IFERROR(__xludf.DUMMYFUNCTION("""COMPUTED_VALUE"""),0.5)</f>
        <v>0.5</v>
      </c>
      <c r="S5757" s="4" t="str">
        <f>IFERROR(__xludf.DUMMYFUNCTION("""COMPUTED_VALUE"""),"Anota Ai Solucoes Digitais S/a")</f>
        <v>Anota Ai Solucoes Digitais S/a</v>
      </c>
      <c r="T5757" s="33">
        <f>IFERROR(__xludf.DUMMYFUNCTION("""COMPUTED_VALUE"""),0.5)</f>
        <v>0.5</v>
      </c>
      <c r="U5757" s="4" t="str">
        <f>IFERROR(__xludf.DUMMYFUNCTION("""COMPUTED_VALUE"""),"Anota Ai Solucoes Digitais S/a")</f>
        <v>Anota Ai Solucoes Digitais S/a</v>
      </c>
      <c r="V5757" s="33">
        <f>IFERROR(__xludf.DUMMYFUNCTION("""COMPUTED_VALUE"""),0.5)</f>
        <v>0.5</v>
      </c>
      <c r="W5757" s="4" t="str">
        <f>IFERROR(__xludf.DUMMYFUNCTION("""COMPUTED_VALUE"""),"null")</f>
        <v>null</v>
      </c>
      <c r="X5757" s="33">
        <f>IFERROR(__xludf.DUMMYFUNCTION("""COMPUTED_VALUE"""),0.5)</f>
        <v>0.5</v>
      </c>
    </row>
    <row r="5758">
      <c r="K5758" s="4" t="str">
        <f>IFERROR(__xludf.DUMMYFUNCTION("""COMPUTED_VALUE"""),"FLOK PIZZA")</f>
        <v>FLOK PIZZA</v>
      </c>
      <c r="L5758" s="32">
        <f>IFERROR(__xludf.DUMMYFUNCTION("""COMPUTED_VALUE"""),2.0)</f>
        <v>2</v>
      </c>
      <c r="M5758" s="4" t="str">
        <f>IFERROR(__xludf.DUMMYFUNCTION("""COMPUTED_VALUE"""),"Cardápio Web")</f>
        <v>Cardápio Web</v>
      </c>
      <c r="N5758" s="33">
        <f>IFERROR(__xludf.DUMMYFUNCTION("""COMPUTED_VALUE"""),1.0)</f>
        <v>1</v>
      </c>
      <c r="O5758" s="4" t="str">
        <f>IFERROR(__xludf.DUMMYFUNCTION("""COMPUTED_VALUE"""),"Cardápio Web")</f>
        <v>Cardápio Web</v>
      </c>
      <c r="P5758" s="33">
        <f>IFERROR(__xludf.DUMMYFUNCTION("""COMPUTED_VALUE"""),1.0)</f>
        <v>1</v>
      </c>
      <c r="Q5758" s="4" t="str">
        <f>IFERROR(__xludf.DUMMYFUNCTION("""COMPUTED_VALUE"""),"Cardápio Web")</f>
        <v>Cardápio Web</v>
      </c>
      <c r="R5758" s="33">
        <f>IFERROR(__xludf.DUMMYFUNCTION("""COMPUTED_VALUE"""),1.0)</f>
        <v>1</v>
      </c>
      <c r="S5758" s="4" t="str">
        <f>IFERROR(__xludf.DUMMYFUNCTION("""COMPUTED_VALUE"""),"Cardápio Web")</f>
        <v>Cardápio Web</v>
      </c>
      <c r="T5758" s="33">
        <f>IFERROR(__xludf.DUMMYFUNCTION("""COMPUTED_VALUE"""),1.0)</f>
        <v>1</v>
      </c>
      <c r="U5758" s="4" t="str">
        <f>IFERROR(__xludf.DUMMYFUNCTION("""COMPUTED_VALUE"""),"Cardápio Web")</f>
        <v>Cardápio Web</v>
      </c>
      <c r="V5758" s="33">
        <f>IFERROR(__xludf.DUMMYFUNCTION("""COMPUTED_VALUE"""),1.0)</f>
        <v>1</v>
      </c>
      <c r="W5758" s="4" t="str">
        <f>IFERROR(__xludf.DUMMYFUNCTION("""COMPUTED_VALUE"""),"Cardápio Web")</f>
        <v>Cardápio Web</v>
      </c>
      <c r="X5758" s="33">
        <f>IFERROR(__xludf.DUMMYFUNCTION("""COMPUTED_VALUE"""),1.0)</f>
        <v>1</v>
      </c>
    </row>
    <row r="5759">
      <c r="K5759" s="4" t="str">
        <f>IFERROR(__xludf.DUMMYFUNCTION("""COMPUTED_VALUE"""),"EMPORIO DOS GRAOS")</f>
        <v>EMPORIO DOS GRAOS</v>
      </c>
      <c r="L5759" s="32">
        <f>IFERROR(__xludf.DUMMYFUNCTION("""COMPUTED_VALUE"""),2.0)</f>
        <v>2</v>
      </c>
      <c r="M5759" s="4" t="str">
        <f>IFERROR(__xludf.DUMMYFUNCTION("""COMPUTED_VALUE"""),"Izzyblue Sistemas Ltda")</f>
        <v>Izzyblue Sistemas Ltda</v>
      </c>
      <c r="N5759" s="33">
        <f>IFERROR(__xludf.DUMMYFUNCTION("""COMPUTED_VALUE"""),1.0)</f>
        <v>1</v>
      </c>
      <c r="O5759" s="4" t="str">
        <f>IFERROR(__xludf.DUMMYFUNCTION("""COMPUTED_VALUE"""),"Izzyblue Sistemas Ltda")</f>
        <v>Izzyblue Sistemas Ltda</v>
      </c>
      <c r="P5759" s="33">
        <f>IFERROR(__xludf.DUMMYFUNCTION("""COMPUTED_VALUE"""),1.0)</f>
        <v>1</v>
      </c>
      <c r="Q5759" s="4" t="str">
        <f>IFERROR(__xludf.DUMMYFUNCTION("""COMPUTED_VALUE"""),"Izzyblue Sistemas Ltda")</f>
        <v>Izzyblue Sistemas Ltda</v>
      </c>
      <c r="R5759" s="33">
        <f>IFERROR(__xludf.DUMMYFUNCTION("""COMPUTED_VALUE"""),1.0)</f>
        <v>1</v>
      </c>
      <c r="S5759" s="4" t="str">
        <f>IFERROR(__xludf.DUMMYFUNCTION("""COMPUTED_VALUE"""),"Izzyblue Sistemas Ltda")</f>
        <v>Izzyblue Sistemas Ltda</v>
      </c>
      <c r="T5759" s="33">
        <f>IFERROR(__xludf.DUMMYFUNCTION("""COMPUTED_VALUE"""),1.0)</f>
        <v>1</v>
      </c>
      <c r="U5759" s="4" t="str">
        <f>IFERROR(__xludf.DUMMYFUNCTION("""COMPUTED_VALUE"""),"Izzyblue Sistemas Ltda")</f>
        <v>Izzyblue Sistemas Ltda</v>
      </c>
      <c r="V5759" s="33">
        <f>IFERROR(__xludf.DUMMYFUNCTION("""COMPUTED_VALUE"""),1.0)</f>
        <v>1</v>
      </c>
      <c r="W5759" s="4" t="str">
        <f>IFERROR(__xludf.DUMMYFUNCTION("""COMPUTED_VALUE"""),"Izzyblue Sistemas Ltda")</f>
        <v>Izzyblue Sistemas Ltda</v>
      </c>
      <c r="X5759" s="33">
        <f>IFERROR(__xludf.DUMMYFUNCTION("""COMPUTED_VALUE"""),1.0)</f>
        <v>1</v>
      </c>
    </row>
    <row r="5760">
      <c r="K5760" s="4" t="str">
        <f>IFERROR(__xludf.DUMMYFUNCTION("""COMPUTED_VALUE"""),"WK BEBIDAS")</f>
        <v>WK BEBIDAS</v>
      </c>
      <c r="L5760" s="32">
        <f>IFERROR(__xludf.DUMMYFUNCTION("""COMPUTED_VALUE"""),2.0)</f>
        <v>2</v>
      </c>
      <c r="M5760" s="4" t="str">
        <f>IFERROR(__xludf.DUMMYFUNCTION("""COMPUTED_VALUE"""),"Consumer Soluções Em Tecnologia Ltda")</f>
        <v>Consumer Soluções Em Tecnologia Ltda</v>
      </c>
      <c r="N5760" s="33">
        <f>IFERROR(__xludf.DUMMYFUNCTION("""COMPUTED_VALUE"""),0.5)</f>
        <v>0.5</v>
      </c>
      <c r="O5760" s="4" t="str">
        <f>IFERROR(__xludf.DUMMYFUNCTION("""COMPUTED_VALUE"""),"Consumer Soluções Em Tecnologia Ltda")</f>
        <v>Consumer Soluções Em Tecnologia Ltda</v>
      </c>
      <c r="P5760" s="33">
        <f>IFERROR(__xludf.DUMMYFUNCTION("""COMPUTED_VALUE"""),0.5)</f>
        <v>0.5</v>
      </c>
      <c r="Q5760" s="4" t="str">
        <f>IFERROR(__xludf.DUMMYFUNCTION("""COMPUTED_VALUE"""),"Consumer Soluções Em Tecnologia Ltda")</f>
        <v>Consumer Soluções Em Tecnologia Ltda</v>
      </c>
      <c r="R5760" s="33">
        <f>IFERROR(__xludf.DUMMYFUNCTION("""COMPUTED_VALUE"""),0.5)</f>
        <v>0.5</v>
      </c>
      <c r="S5760" s="4" t="str">
        <f>IFERROR(__xludf.DUMMYFUNCTION("""COMPUTED_VALUE"""),"Consumer Soluções Em Tecnologia Ltda")</f>
        <v>Consumer Soluções Em Tecnologia Ltda</v>
      </c>
      <c r="T5760" s="33">
        <f>IFERROR(__xludf.DUMMYFUNCTION("""COMPUTED_VALUE"""),0.5)</f>
        <v>0.5</v>
      </c>
      <c r="U5760" s="4" t="str">
        <f>IFERROR(__xludf.DUMMYFUNCTION("""COMPUTED_VALUE"""),"Consumer Soluções Em Tecnologia Ltda")</f>
        <v>Consumer Soluções Em Tecnologia Ltda</v>
      </c>
      <c r="V5760" s="33">
        <f>IFERROR(__xludf.DUMMYFUNCTION("""COMPUTED_VALUE"""),0.5)</f>
        <v>0.5</v>
      </c>
      <c r="W5760" s="4" t="str">
        <f>IFERROR(__xludf.DUMMYFUNCTION("""COMPUTED_VALUE"""),"Consumer Soluções Em Tecnologia Ltda")</f>
        <v>Consumer Soluções Em Tecnologia Ltda</v>
      </c>
      <c r="X5760" s="33">
        <f>IFERROR(__xludf.DUMMYFUNCTION("""COMPUTED_VALUE"""),0.5)</f>
        <v>0.5</v>
      </c>
    </row>
    <row r="5761">
      <c r="K5761" s="4" t="str">
        <f>IFERROR(__xludf.DUMMYFUNCTION("""COMPUTED_VALUE"""),"MERCADO RAPIDO")</f>
        <v>MERCADO RAPIDO</v>
      </c>
      <c r="L5761" s="32">
        <f>IFERROR(__xludf.DUMMYFUNCTION("""COMPUTED_VALUE"""),2.0)</f>
        <v>2</v>
      </c>
      <c r="M5761" s="4" t="str">
        <f>IFERROR(__xludf.DUMMYFUNCTION("""COMPUTED_VALUE"""),"null")</f>
        <v>null</v>
      </c>
      <c r="N5761" s="33">
        <f>IFERROR(__xludf.DUMMYFUNCTION("""COMPUTED_VALUE"""),0.5)</f>
        <v>0.5</v>
      </c>
      <c r="O5761" s="4" t="str">
        <f>IFERROR(__xludf.DUMMYFUNCTION("""COMPUTED_VALUE"""),"N/A (Not found)")</f>
        <v>N/A (Not found)</v>
      </c>
      <c r="P5761" s="33">
        <f>IFERROR(__xludf.DUMMYFUNCTION("""COMPUTED_VALUE"""),1.0)</f>
        <v>1</v>
      </c>
      <c r="Q5761" s="4" t="str">
        <f>IFERROR(__xludf.DUMMYFUNCTION("""COMPUTED_VALUE"""),"N/A (Not found)")</f>
        <v>N/A (Not found)</v>
      </c>
      <c r="R5761" s="33">
        <f>IFERROR(__xludf.DUMMYFUNCTION("""COMPUTED_VALUE"""),0.5)</f>
        <v>0.5</v>
      </c>
      <c r="S5761" s="4" t="str">
        <f>IFERROR(__xludf.DUMMYFUNCTION("""COMPUTED_VALUE"""),"null")</f>
        <v>null</v>
      </c>
      <c r="T5761" s="33">
        <f>IFERROR(__xludf.DUMMYFUNCTION("""COMPUTED_VALUE"""),0.5)</f>
        <v>0.5</v>
      </c>
      <c r="U5761" s="4" t="str">
        <f>IFERROR(__xludf.DUMMYFUNCTION("""COMPUTED_VALUE"""),"null")</f>
        <v>null</v>
      </c>
      <c r="V5761" s="33">
        <f>IFERROR(__xludf.DUMMYFUNCTION("""COMPUTED_VALUE"""),0.5)</f>
        <v>0.5</v>
      </c>
      <c r="W5761" s="4" t="str">
        <f>IFERROR(__xludf.DUMMYFUNCTION("""COMPUTED_VALUE"""),"null")</f>
        <v>null</v>
      </c>
      <c r="X5761" s="33">
        <f>IFERROR(__xludf.DUMMYFUNCTION("""COMPUTED_VALUE"""),1.0)</f>
        <v>1</v>
      </c>
    </row>
    <row r="5762">
      <c r="K5762" s="4" t="str">
        <f>IFERROR(__xludf.DUMMYFUNCTION("""COMPUTED_VALUE"""),"RESTAURANTE PRATO CHEIO")</f>
        <v>RESTAURANTE PRATO CHEIO</v>
      </c>
      <c r="L5762" s="32">
        <f>IFERROR(__xludf.DUMMYFUNCTION("""COMPUTED_VALUE"""),2.0)</f>
        <v>2</v>
      </c>
      <c r="M5762" s="4" t="str">
        <f>IFERROR(__xludf.DUMMYFUNCTION("""COMPUTED_VALUE"""),"Anota Ai Solucoes Digitais S/a")</f>
        <v>Anota Ai Solucoes Digitais S/a</v>
      </c>
      <c r="N5762" s="33">
        <f>IFERROR(__xludf.DUMMYFUNCTION("""COMPUTED_VALUE"""),0.5)</f>
        <v>0.5</v>
      </c>
      <c r="O5762" s="4" t="str">
        <f>IFERROR(__xludf.DUMMYFUNCTION("""COMPUTED_VALUE"""),"null")</f>
        <v>null</v>
      </c>
      <c r="P5762" s="33">
        <f>IFERROR(__xludf.DUMMYFUNCTION("""COMPUTED_VALUE"""),1.0)</f>
        <v>1</v>
      </c>
      <c r="Q5762" s="4" t="str">
        <f>IFERROR(__xludf.DUMMYFUNCTION("""COMPUTED_VALUE"""),"null")</f>
        <v>null</v>
      </c>
      <c r="R5762" s="33">
        <f>IFERROR(__xludf.DUMMYFUNCTION("""COMPUTED_VALUE"""),1.0)</f>
        <v>1</v>
      </c>
      <c r="S5762" s="4" t="str">
        <f>IFERROR(__xludf.DUMMYFUNCTION("""COMPUTED_VALUE"""),"Anota Ai Solucoes Digitais S/a")</f>
        <v>Anota Ai Solucoes Digitais S/a</v>
      </c>
      <c r="T5762" s="33">
        <f>IFERROR(__xludf.DUMMYFUNCTION("""COMPUTED_VALUE"""),0.5)</f>
        <v>0.5</v>
      </c>
      <c r="U5762" s="4" t="str">
        <f>IFERROR(__xludf.DUMMYFUNCTION("""COMPUTED_VALUE"""),"null")</f>
        <v>null</v>
      </c>
      <c r="V5762" s="33">
        <f>IFERROR(__xludf.DUMMYFUNCTION("""COMPUTED_VALUE"""),1.0)</f>
        <v>1</v>
      </c>
      <c r="W5762" s="4" t="str">
        <f>IFERROR(__xludf.DUMMYFUNCTION("""COMPUTED_VALUE"""),"Anota Ai Solucoes Digitais S/a")</f>
        <v>Anota Ai Solucoes Digitais S/a</v>
      </c>
      <c r="X5762" s="33">
        <f>IFERROR(__xludf.DUMMYFUNCTION("""COMPUTED_VALUE"""),0.5)</f>
        <v>0.5</v>
      </c>
    </row>
    <row r="5763">
      <c r="K5763" s="4" t="str">
        <f>IFERROR(__xludf.DUMMYFUNCTION("""COMPUTED_VALUE"""),"ACAIZEIRA")</f>
        <v>ACAIZEIRA</v>
      </c>
      <c r="L5763" s="32">
        <f>IFERROR(__xludf.DUMMYFUNCTION("""COMPUTED_VALUE"""),2.0)</f>
        <v>2</v>
      </c>
      <c r="M5763" s="4" t="str">
        <f>IFERROR(__xludf.DUMMYFUNCTION("""COMPUTED_VALUE"""),"null")</f>
        <v>null</v>
      </c>
      <c r="N5763" s="33">
        <f>IFERROR(__xludf.DUMMYFUNCTION("""COMPUTED_VALUE"""),1.0)</f>
        <v>1</v>
      </c>
      <c r="O5763" s="4" t="str">
        <f>IFERROR(__xludf.DUMMYFUNCTION("""COMPUTED_VALUE"""),"null")</f>
        <v>null</v>
      </c>
      <c r="P5763" s="33">
        <f>IFERROR(__xludf.DUMMYFUNCTION("""COMPUTED_VALUE"""),1.0)</f>
        <v>1</v>
      </c>
      <c r="Q5763" s="4" t="str">
        <f>IFERROR(__xludf.DUMMYFUNCTION("""COMPUTED_VALUE"""),"null")</f>
        <v>null</v>
      </c>
      <c r="R5763" s="33">
        <f>IFERROR(__xludf.DUMMYFUNCTION("""COMPUTED_VALUE"""),1.0)</f>
        <v>1</v>
      </c>
      <c r="S5763" s="4" t="str">
        <f>IFERROR(__xludf.DUMMYFUNCTION("""COMPUTED_VALUE"""),"null")</f>
        <v>null</v>
      </c>
      <c r="T5763" s="33">
        <f>IFERROR(__xludf.DUMMYFUNCTION("""COMPUTED_VALUE"""),1.0)</f>
        <v>1</v>
      </c>
      <c r="U5763" s="4" t="str">
        <f>IFERROR(__xludf.DUMMYFUNCTION("""COMPUTED_VALUE"""),"Yooga")</f>
        <v>Yooga</v>
      </c>
      <c r="V5763" s="33">
        <f>IFERROR(__xludf.DUMMYFUNCTION("""COMPUTED_VALUE"""),0.5)</f>
        <v>0.5</v>
      </c>
      <c r="W5763" s="4" t="str">
        <f>IFERROR(__xludf.DUMMYFUNCTION("""COMPUTED_VALUE"""),"null")</f>
        <v>null</v>
      </c>
      <c r="X5763" s="33">
        <f>IFERROR(__xludf.DUMMYFUNCTION("""COMPUTED_VALUE"""),0.5)</f>
        <v>0.5</v>
      </c>
    </row>
    <row r="5764">
      <c r="K5764" s="4" t="str">
        <f>IFERROR(__xludf.DUMMYFUNCTION("""COMPUTED_VALUE"""),"QUERO DOCE")</f>
        <v>QUERO DOCE</v>
      </c>
      <c r="L5764" s="32">
        <f>IFERROR(__xludf.DUMMYFUNCTION("""COMPUTED_VALUE"""),2.0)</f>
        <v>2</v>
      </c>
      <c r="M5764" s="4" t="str">
        <f>IFERROR(__xludf.DUMMYFUNCTION("""COMPUTED_VALUE"""),"Saipos Serviços De Software")</f>
        <v>Saipos Serviços De Software</v>
      </c>
      <c r="N5764" s="33">
        <f>IFERROR(__xludf.DUMMYFUNCTION("""COMPUTED_VALUE"""),0.5)</f>
        <v>0.5</v>
      </c>
      <c r="O5764" s="4" t="str">
        <f>IFERROR(__xludf.DUMMYFUNCTION("""COMPUTED_VALUE"""),"Saipos Serviços De Software")</f>
        <v>Saipos Serviços De Software</v>
      </c>
      <c r="P5764" s="33">
        <f>IFERROR(__xludf.DUMMYFUNCTION("""COMPUTED_VALUE"""),0.5)</f>
        <v>0.5</v>
      </c>
      <c r="Q5764" s="4" t="str">
        <f>IFERROR(__xludf.DUMMYFUNCTION("""COMPUTED_VALUE"""),"null")</f>
        <v>null</v>
      </c>
      <c r="R5764" s="33">
        <f>IFERROR(__xludf.DUMMYFUNCTION("""COMPUTED_VALUE"""),0.5)</f>
        <v>0.5</v>
      </c>
      <c r="S5764" s="4" t="str">
        <f>IFERROR(__xludf.DUMMYFUNCTION("""COMPUTED_VALUE"""),"null")</f>
        <v>null</v>
      </c>
      <c r="T5764" s="33">
        <f>IFERROR(__xludf.DUMMYFUNCTION("""COMPUTED_VALUE"""),0.5)</f>
        <v>0.5</v>
      </c>
      <c r="U5764" s="4" t="str">
        <f>IFERROR(__xludf.DUMMYFUNCTION("""COMPUTED_VALUE"""),"null")</f>
        <v>null</v>
      </c>
      <c r="V5764" s="33">
        <f>IFERROR(__xludf.DUMMYFUNCTION("""COMPUTED_VALUE"""),0.5)</f>
        <v>0.5</v>
      </c>
      <c r="W5764" s="4" t="str">
        <f>IFERROR(__xludf.DUMMYFUNCTION("""COMPUTED_VALUE"""),"null")</f>
        <v>null</v>
      </c>
      <c r="X5764" s="33">
        <f>IFERROR(__xludf.DUMMYFUNCTION("""COMPUTED_VALUE"""),0.5)</f>
        <v>0.5</v>
      </c>
    </row>
    <row r="5765">
      <c r="K5765" s="4" t="str">
        <f>IFERROR(__xludf.DUMMYFUNCTION("""COMPUTED_VALUE"""),"PASTEL DA PRACA")</f>
        <v>PASTEL DA PRACA</v>
      </c>
      <c r="L5765" s="32">
        <f>IFERROR(__xludf.DUMMYFUNCTION("""COMPUTED_VALUE"""),2.0)</f>
        <v>2</v>
      </c>
      <c r="M5765" s="4" t="str">
        <f>IFERROR(__xludf.DUMMYFUNCTION("""COMPUTED_VALUE"""),"Schneider Software")</f>
        <v>Schneider Software</v>
      </c>
      <c r="N5765" s="33">
        <f>IFERROR(__xludf.DUMMYFUNCTION("""COMPUTED_VALUE"""),0.5)</f>
        <v>0.5</v>
      </c>
      <c r="O5765" s="4" t="str">
        <f>IFERROR(__xludf.DUMMYFUNCTION("""COMPUTED_VALUE"""),"Schneider Software")</f>
        <v>Schneider Software</v>
      </c>
      <c r="P5765" s="33">
        <f>IFERROR(__xludf.DUMMYFUNCTION("""COMPUTED_VALUE"""),0.5)</f>
        <v>0.5</v>
      </c>
      <c r="Q5765" s="4" t="str">
        <f>IFERROR(__xludf.DUMMYFUNCTION("""COMPUTED_VALUE"""),"Schneider Software")</f>
        <v>Schneider Software</v>
      </c>
      <c r="R5765" s="33">
        <f>IFERROR(__xludf.DUMMYFUNCTION("""COMPUTED_VALUE"""),0.5)</f>
        <v>0.5</v>
      </c>
      <c r="S5765" s="4" t="str">
        <f>IFERROR(__xludf.DUMMYFUNCTION("""COMPUTED_VALUE"""),"Schneider Software")</f>
        <v>Schneider Software</v>
      </c>
      <c r="T5765" s="33">
        <f>IFERROR(__xludf.DUMMYFUNCTION("""COMPUTED_VALUE"""),0.5)</f>
        <v>0.5</v>
      </c>
      <c r="U5765" s="4" t="str">
        <f>IFERROR(__xludf.DUMMYFUNCTION("""COMPUTED_VALUE"""),"null")</f>
        <v>null</v>
      </c>
      <c r="V5765" s="33">
        <f>IFERROR(__xludf.DUMMYFUNCTION("""COMPUTED_VALUE"""),0.5)</f>
        <v>0.5</v>
      </c>
      <c r="W5765" s="4" t="str">
        <f>IFERROR(__xludf.DUMMYFUNCTION("""COMPUTED_VALUE"""),"null")</f>
        <v>null</v>
      </c>
      <c r="X5765" s="33">
        <f>IFERROR(__xludf.DUMMYFUNCTION("""COMPUTED_VALUE"""),0.5)</f>
        <v>0.5</v>
      </c>
    </row>
    <row r="5766">
      <c r="K5766" s="4" t="str">
        <f>IFERROR(__xludf.DUMMYFUNCTION("""COMPUTED_VALUE"""),"ACAI DA CAROL")</f>
        <v>ACAI DA CAROL</v>
      </c>
      <c r="L5766" s="32">
        <f>IFERROR(__xludf.DUMMYFUNCTION("""COMPUTED_VALUE"""),2.0)</f>
        <v>2</v>
      </c>
      <c r="M5766" s="4" t="str">
        <f>IFERROR(__xludf.DUMMYFUNCTION("""COMPUTED_VALUE"""),"Anota Ai Solucoes Digitais S/a")</f>
        <v>Anota Ai Solucoes Digitais S/a</v>
      </c>
      <c r="N5766" s="33">
        <f>IFERROR(__xludf.DUMMYFUNCTION("""COMPUTED_VALUE"""),0.5)</f>
        <v>0.5</v>
      </c>
      <c r="O5766" s="4" t="str">
        <f>IFERROR(__xludf.DUMMYFUNCTION("""COMPUTED_VALUE"""),"Anota Ai Solucoes Digitais S/a")</f>
        <v>Anota Ai Solucoes Digitais S/a</v>
      </c>
      <c r="P5766" s="33">
        <f>IFERROR(__xludf.DUMMYFUNCTION("""COMPUTED_VALUE"""),1.0)</f>
        <v>1</v>
      </c>
      <c r="Q5766" s="4" t="str">
        <f>IFERROR(__xludf.DUMMYFUNCTION("""COMPUTED_VALUE"""),"null")</f>
        <v>null</v>
      </c>
      <c r="R5766" s="33">
        <f>IFERROR(__xludf.DUMMYFUNCTION("""COMPUTED_VALUE"""),1.0)</f>
        <v>1</v>
      </c>
      <c r="S5766" s="4" t="str">
        <f>IFERROR(__xludf.DUMMYFUNCTION("""COMPUTED_VALUE"""),"Anota Ai Solucoes Digitais S/a")</f>
        <v>Anota Ai Solucoes Digitais S/a</v>
      </c>
      <c r="T5766" s="33">
        <f>IFERROR(__xludf.DUMMYFUNCTION("""COMPUTED_VALUE"""),0.5)</f>
        <v>0.5</v>
      </c>
      <c r="U5766" s="4" t="str">
        <f>IFERROR(__xludf.DUMMYFUNCTION("""COMPUTED_VALUE"""),"Saipos Serviços De Software")</f>
        <v>Saipos Serviços De Software</v>
      </c>
      <c r="V5766" s="33">
        <f>IFERROR(__xludf.DUMMYFUNCTION("""COMPUTED_VALUE"""),0.5)</f>
        <v>0.5</v>
      </c>
      <c r="W5766" s="4" t="str">
        <f>IFERROR(__xludf.DUMMYFUNCTION("""COMPUTED_VALUE"""),"Saipos Serviços De Software")</f>
        <v>Saipos Serviços De Software</v>
      </c>
      <c r="X5766" s="33">
        <f>IFERROR(__xludf.DUMMYFUNCTION("""COMPUTED_VALUE"""),0.5)</f>
        <v>0.5</v>
      </c>
    </row>
    <row r="5767">
      <c r="K5767" s="4" t="str">
        <f>IFERROR(__xludf.DUMMYFUNCTION("""COMPUTED_VALUE"""),"DEGUSTAR")</f>
        <v>DEGUSTAR</v>
      </c>
      <c r="L5767" s="32">
        <f>IFERROR(__xludf.DUMMYFUNCTION("""COMPUTED_VALUE"""),2.0)</f>
        <v>2</v>
      </c>
      <c r="M5767" s="4" t="str">
        <f>IFERROR(__xludf.DUMMYFUNCTION("""COMPUTED_VALUE"""),"null")</f>
        <v>null</v>
      </c>
      <c r="N5767" s="33">
        <f>IFERROR(__xludf.DUMMYFUNCTION("""COMPUTED_VALUE"""),1.0)</f>
        <v>1</v>
      </c>
      <c r="O5767" s="4" t="str">
        <f>IFERROR(__xludf.DUMMYFUNCTION("""COMPUTED_VALUE"""),"null")</f>
        <v>null</v>
      </c>
      <c r="P5767" s="33">
        <f>IFERROR(__xludf.DUMMYFUNCTION("""COMPUTED_VALUE"""),1.0)</f>
        <v>1</v>
      </c>
      <c r="Q5767" s="4" t="str">
        <f>IFERROR(__xludf.DUMMYFUNCTION("""COMPUTED_VALUE"""),"Gdoor Sistemas")</f>
        <v>Gdoor Sistemas</v>
      </c>
      <c r="R5767" s="33">
        <f>IFERROR(__xludf.DUMMYFUNCTION("""COMPUTED_VALUE"""),0.5)</f>
        <v>0.5</v>
      </c>
      <c r="S5767" s="4" t="str">
        <f>IFERROR(__xludf.DUMMYFUNCTION("""COMPUTED_VALUE"""),"Gdoor Sistemas")</f>
        <v>Gdoor Sistemas</v>
      </c>
      <c r="T5767" s="33">
        <f>IFERROR(__xludf.DUMMYFUNCTION("""COMPUTED_VALUE"""),0.5)</f>
        <v>0.5</v>
      </c>
      <c r="U5767" s="4" t="str">
        <f>IFERROR(__xludf.DUMMYFUNCTION("""COMPUTED_VALUE"""),"Gdoor Sistemas")</f>
        <v>Gdoor Sistemas</v>
      </c>
      <c r="V5767" s="33">
        <f>IFERROR(__xludf.DUMMYFUNCTION("""COMPUTED_VALUE"""),0.5)</f>
        <v>0.5</v>
      </c>
      <c r="W5767" s="4" t="str">
        <f>IFERROR(__xludf.DUMMYFUNCTION("""COMPUTED_VALUE"""),"null")</f>
        <v>null</v>
      </c>
      <c r="X5767" s="33">
        <f>IFERROR(__xludf.DUMMYFUNCTION("""COMPUTED_VALUE"""),0.5)</f>
        <v>0.5</v>
      </c>
    </row>
    <row r="5768">
      <c r="K5768" s="4" t="str">
        <f>IFERROR(__xludf.DUMMYFUNCTION("""COMPUTED_VALUE"""),"LABRASKO")</f>
        <v>LABRASKO</v>
      </c>
      <c r="L5768" s="32">
        <f>IFERROR(__xludf.DUMMYFUNCTION("""COMPUTED_VALUE"""),2.0)</f>
        <v>2</v>
      </c>
      <c r="M5768" s="4" t="str">
        <f>IFERROR(__xludf.DUMMYFUNCTION("""COMPUTED_VALUE"""),"null")</f>
        <v>null</v>
      </c>
      <c r="N5768" s="33">
        <f>IFERROR(__xludf.DUMMYFUNCTION("""COMPUTED_VALUE"""),1.0)</f>
        <v>1</v>
      </c>
      <c r="O5768" s="4" t="str">
        <f>IFERROR(__xludf.DUMMYFUNCTION("""COMPUTED_VALUE"""),"null")</f>
        <v>null</v>
      </c>
      <c r="P5768" s="33">
        <f>IFERROR(__xludf.DUMMYFUNCTION("""COMPUTED_VALUE"""),0.5)</f>
        <v>0.5</v>
      </c>
      <c r="Q5768" s="4" t="str">
        <f>IFERROR(__xludf.DUMMYFUNCTION("""COMPUTED_VALUE"""),"Sagres Automação Comercial")</f>
        <v>Sagres Automação Comercial</v>
      </c>
      <c r="R5768" s="33">
        <f>IFERROR(__xludf.DUMMYFUNCTION("""COMPUTED_VALUE"""),1.0)</f>
        <v>1</v>
      </c>
      <c r="S5768" s="4" t="str">
        <f>IFERROR(__xludf.DUMMYFUNCTION("""COMPUTED_VALUE"""),"Sagres Automação Comercial")</f>
        <v>Sagres Automação Comercial</v>
      </c>
      <c r="T5768" s="33">
        <f>IFERROR(__xludf.DUMMYFUNCTION("""COMPUTED_VALUE"""),0.5)</f>
        <v>0.5</v>
      </c>
      <c r="U5768" s="4" t="str">
        <f>IFERROR(__xludf.DUMMYFUNCTION("""COMPUTED_VALUE"""),"null")</f>
        <v>null</v>
      </c>
      <c r="V5768" s="33">
        <f>IFERROR(__xludf.DUMMYFUNCTION("""COMPUTED_VALUE"""),1.0)</f>
        <v>1</v>
      </c>
      <c r="W5768" s="4" t="str">
        <f>IFERROR(__xludf.DUMMYFUNCTION("""COMPUTED_VALUE"""),"null")</f>
        <v>null</v>
      </c>
      <c r="X5768" s="33">
        <f>IFERROR(__xludf.DUMMYFUNCTION("""COMPUTED_VALUE"""),1.0)</f>
        <v>1</v>
      </c>
    </row>
    <row r="5769">
      <c r="K5769" s="4" t="str">
        <f>IFERROR(__xludf.DUMMYFUNCTION("""COMPUTED_VALUE"""),"RAINHA DAS PIZZAS")</f>
        <v>RAINHA DAS PIZZAS</v>
      </c>
      <c r="L5769" s="32">
        <f>IFERROR(__xludf.DUMMYFUNCTION("""COMPUTED_VALUE"""),2.0)</f>
        <v>2</v>
      </c>
      <c r="M5769" s="4" t="str">
        <f>IFERROR(__xludf.DUMMYFUNCTION("""COMPUTED_VALUE"""),"Instadelivery")</f>
        <v>Instadelivery</v>
      </c>
      <c r="N5769" s="33">
        <f>IFERROR(__xludf.DUMMYFUNCTION("""COMPUTED_VALUE"""),0.5)</f>
        <v>0.5</v>
      </c>
      <c r="O5769" s="4" t="str">
        <f>IFERROR(__xludf.DUMMYFUNCTION("""COMPUTED_VALUE"""),"Instadelivery")</f>
        <v>Instadelivery</v>
      </c>
      <c r="P5769" s="33">
        <f>IFERROR(__xludf.DUMMYFUNCTION("""COMPUTED_VALUE"""),0.5)</f>
        <v>0.5</v>
      </c>
      <c r="Q5769" s="4" t="str">
        <f>IFERROR(__xludf.DUMMYFUNCTION("""COMPUTED_VALUE"""),"null")</f>
        <v>null</v>
      </c>
      <c r="R5769" s="33">
        <f>IFERROR(__xludf.DUMMYFUNCTION("""COMPUTED_VALUE"""),0.5)</f>
        <v>0.5</v>
      </c>
      <c r="S5769" s="4" t="str">
        <f>IFERROR(__xludf.DUMMYFUNCTION("""COMPUTED_VALUE"""),"null")</f>
        <v>null</v>
      </c>
      <c r="T5769" s="33">
        <f>IFERROR(__xludf.DUMMYFUNCTION("""COMPUTED_VALUE"""),1.0)</f>
        <v>1</v>
      </c>
      <c r="U5769" s="4" t="str">
        <f>IFERROR(__xludf.DUMMYFUNCTION("""COMPUTED_VALUE"""),"null")</f>
        <v>null</v>
      </c>
      <c r="V5769" s="33">
        <f>IFERROR(__xludf.DUMMYFUNCTION("""COMPUTED_VALUE"""),0.5)</f>
        <v>0.5</v>
      </c>
      <c r="W5769" s="4" t="str">
        <f>IFERROR(__xludf.DUMMYFUNCTION("""COMPUTED_VALUE"""),"null")</f>
        <v>null</v>
      </c>
      <c r="X5769" s="33">
        <f>IFERROR(__xludf.DUMMYFUNCTION("""COMPUTED_VALUE"""),0.5)</f>
        <v>0.5</v>
      </c>
    </row>
    <row r="5770">
      <c r="K5770" s="4" t="str">
        <f>IFERROR(__xludf.DUMMYFUNCTION("""COMPUTED_VALUE"""),"PIZZA SHOW")</f>
        <v>PIZZA SHOW</v>
      </c>
      <c r="L5770" s="32">
        <f>IFERROR(__xludf.DUMMYFUNCTION("""COMPUTED_VALUE"""),2.0)</f>
        <v>2</v>
      </c>
      <c r="M5770" s="4" t="str">
        <f>IFERROR(__xludf.DUMMYFUNCTION("""COMPUTED_VALUE"""),"Simsoft Rp Tecnologia")</f>
        <v>Simsoft Rp Tecnologia</v>
      </c>
      <c r="N5770" s="33">
        <f>IFERROR(__xludf.DUMMYFUNCTION("""COMPUTED_VALUE"""),0.5)</f>
        <v>0.5</v>
      </c>
      <c r="O5770" s="4" t="str">
        <f>IFERROR(__xludf.DUMMYFUNCTION("""COMPUTED_VALUE"""),"null")</f>
        <v>null</v>
      </c>
      <c r="P5770" s="33">
        <f>IFERROR(__xludf.DUMMYFUNCTION("""COMPUTED_VALUE"""),0.5)</f>
        <v>0.5</v>
      </c>
      <c r="Q5770" s="4" t="str">
        <f>IFERROR(__xludf.DUMMYFUNCTION("""COMPUTED_VALUE"""),"null")</f>
        <v>null</v>
      </c>
      <c r="R5770" s="33">
        <f>IFERROR(__xludf.DUMMYFUNCTION("""COMPUTED_VALUE"""),0.5)</f>
        <v>0.5</v>
      </c>
      <c r="S5770" s="4" t="str">
        <f>IFERROR(__xludf.DUMMYFUNCTION("""COMPUTED_VALUE"""),"null")</f>
        <v>null</v>
      </c>
      <c r="T5770" s="33">
        <f>IFERROR(__xludf.DUMMYFUNCTION("""COMPUTED_VALUE"""),0.5)</f>
        <v>0.5</v>
      </c>
      <c r="U5770" s="4" t="str">
        <f>IFERROR(__xludf.DUMMYFUNCTION("""COMPUTED_VALUE"""),"null")</f>
        <v>null</v>
      </c>
      <c r="V5770" s="33">
        <f>IFERROR(__xludf.DUMMYFUNCTION("""COMPUTED_VALUE"""),0.5)</f>
        <v>0.5</v>
      </c>
      <c r="W5770" s="4" t="str">
        <f>IFERROR(__xludf.DUMMYFUNCTION("""COMPUTED_VALUE"""),"null")</f>
        <v>null</v>
      </c>
      <c r="X5770" s="33">
        <f>IFERROR(__xludf.DUMMYFUNCTION("""COMPUTED_VALUE"""),0.5)</f>
        <v>0.5</v>
      </c>
    </row>
    <row r="5771">
      <c r="K5771" s="4" t="str">
        <f>IFERROR(__xludf.DUMMYFUNCTION("""COMPUTED_VALUE"""),"DELEITE GOURMET")</f>
        <v>DELEITE GOURMET</v>
      </c>
      <c r="L5771" s="32">
        <f>IFERROR(__xludf.DUMMYFUNCTION("""COMPUTED_VALUE"""),2.0)</f>
        <v>2</v>
      </c>
      <c r="M5771" s="4" t="str">
        <f>IFERROR(__xludf.DUMMYFUNCTION("""COMPUTED_VALUE"""),"Work Soft Comercio De Informatica E Serviços Eireli - Me")</f>
        <v>Work Soft Comercio De Informatica E Serviços Eireli - Me</v>
      </c>
      <c r="N5771" s="33">
        <f>IFERROR(__xludf.DUMMYFUNCTION("""COMPUTED_VALUE"""),1.0)</f>
        <v>1</v>
      </c>
      <c r="O5771" s="4" t="str">
        <f>IFERROR(__xludf.DUMMYFUNCTION("""COMPUTED_VALUE"""),"Work Soft Comercio De Informatica E Serviços Eireli - Me")</f>
        <v>Work Soft Comercio De Informatica E Serviços Eireli - Me</v>
      </c>
      <c r="P5771" s="33">
        <f>IFERROR(__xludf.DUMMYFUNCTION("""COMPUTED_VALUE"""),1.0)</f>
        <v>1</v>
      </c>
      <c r="Q5771" s="4" t="str">
        <f>IFERROR(__xludf.DUMMYFUNCTION("""COMPUTED_VALUE"""),"Work Soft Comercio De Informatica E Serviços Eireli - Me")</f>
        <v>Work Soft Comercio De Informatica E Serviços Eireli - Me</v>
      </c>
      <c r="R5771" s="33">
        <f>IFERROR(__xludf.DUMMYFUNCTION("""COMPUTED_VALUE"""),1.0)</f>
        <v>1</v>
      </c>
      <c r="S5771" s="4" t="str">
        <f>IFERROR(__xludf.DUMMYFUNCTION("""COMPUTED_VALUE"""),"Work Soft Comercio De Informatica E Serviços Eireli - Me")</f>
        <v>Work Soft Comercio De Informatica E Serviços Eireli - Me</v>
      </c>
      <c r="T5771" s="33">
        <f>IFERROR(__xludf.DUMMYFUNCTION("""COMPUTED_VALUE"""),1.0)</f>
        <v>1</v>
      </c>
      <c r="U5771" s="4" t="str">
        <f>IFERROR(__xludf.DUMMYFUNCTION("""COMPUTED_VALUE"""),"Work Soft Comercio De Informatica E Serviços Eireli - Me")</f>
        <v>Work Soft Comercio De Informatica E Serviços Eireli - Me</v>
      </c>
      <c r="V5771" s="33">
        <f>IFERROR(__xludf.DUMMYFUNCTION("""COMPUTED_VALUE"""),1.0)</f>
        <v>1</v>
      </c>
      <c r="W5771" s="4" t="str">
        <f>IFERROR(__xludf.DUMMYFUNCTION("""COMPUTED_VALUE"""),"Work Soft Comercio De Informatica E Serviços Eireli - Me")</f>
        <v>Work Soft Comercio De Informatica E Serviços Eireli - Me</v>
      </c>
      <c r="X5771" s="33">
        <f>IFERROR(__xludf.DUMMYFUNCTION("""COMPUTED_VALUE"""),1.0)</f>
        <v>1</v>
      </c>
    </row>
    <row r="5772">
      <c r="K5772" s="4" t="str">
        <f>IFERROR(__xludf.DUMMYFUNCTION("""COMPUTED_VALUE"""),"SEGATTO BBQ")</f>
        <v>SEGATTO BBQ</v>
      </c>
      <c r="L5772" s="32">
        <f>IFERROR(__xludf.DUMMYFUNCTION("""COMPUTED_VALUE"""),2.0)</f>
        <v>2</v>
      </c>
      <c r="M5772" s="4" t="str">
        <f>IFERROR(__xludf.DUMMYFUNCTION("""COMPUTED_VALUE"""),"Beefood - Sistema Para Restaurantes")</f>
        <v>Beefood - Sistema Para Restaurantes</v>
      </c>
      <c r="N5772" s="33">
        <f>IFERROR(__xludf.DUMMYFUNCTION("""COMPUTED_VALUE"""),1.0)</f>
        <v>1</v>
      </c>
      <c r="O5772" s="4" t="str">
        <f>IFERROR(__xludf.DUMMYFUNCTION("""COMPUTED_VALUE"""),"Beefood - Sistema Para Restaurantes")</f>
        <v>Beefood - Sistema Para Restaurantes</v>
      </c>
      <c r="P5772" s="33">
        <f>IFERROR(__xludf.DUMMYFUNCTION("""COMPUTED_VALUE"""),1.0)</f>
        <v>1</v>
      </c>
      <c r="Q5772" s="4" t="str">
        <f>IFERROR(__xludf.DUMMYFUNCTION("""COMPUTED_VALUE"""),"Beefood - Sistema Para Restaurantes")</f>
        <v>Beefood - Sistema Para Restaurantes</v>
      </c>
      <c r="R5772" s="33">
        <f>IFERROR(__xludf.DUMMYFUNCTION("""COMPUTED_VALUE"""),1.0)</f>
        <v>1</v>
      </c>
      <c r="S5772" s="4" t="str">
        <f>IFERROR(__xludf.DUMMYFUNCTION("""COMPUTED_VALUE"""),"Beefood - Sistema Para Restaurantes")</f>
        <v>Beefood - Sistema Para Restaurantes</v>
      </c>
      <c r="T5772" s="33">
        <f>IFERROR(__xludf.DUMMYFUNCTION("""COMPUTED_VALUE"""),0.5)</f>
        <v>0.5</v>
      </c>
      <c r="U5772" s="4" t="str">
        <f>IFERROR(__xludf.DUMMYFUNCTION("""COMPUTED_VALUE"""),"Beefood - Sistema Para Restaurantes")</f>
        <v>Beefood - Sistema Para Restaurantes</v>
      </c>
      <c r="V5772" s="33">
        <f>IFERROR(__xludf.DUMMYFUNCTION("""COMPUTED_VALUE"""),1.0)</f>
        <v>1</v>
      </c>
      <c r="W5772" s="4" t="str">
        <f>IFERROR(__xludf.DUMMYFUNCTION("""COMPUTED_VALUE"""),"Beefood - Sistema Para Restaurantes")</f>
        <v>Beefood - Sistema Para Restaurantes</v>
      </c>
      <c r="X5772" s="33">
        <f>IFERROR(__xludf.DUMMYFUNCTION("""COMPUTED_VALUE"""),1.0)</f>
        <v>1</v>
      </c>
    </row>
    <row r="5773">
      <c r="K5773" s="4" t="str">
        <f>IFERROR(__xludf.DUMMYFUNCTION("""COMPUTED_VALUE"""),"DISTRIBUIDORA MQ")</f>
        <v>DISTRIBUIDORA MQ</v>
      </c>
      <c r="L5773" s="32">
        <f>IFERROR(__xludf.DUMMYFUNCTION("""COMPUTED_VALUE"""),2.0)</f>
        <v>2</v>
      </c>
      <c r="M5773" s="4" t="str">
        <f>IFERROR(__xludf.DUMMYFUNCTION("""COMPUTED_VALUE"""),"null")</f>
        <v>null</v>
      </c>
      <c r="N5773" s="33">
        <f>IFERROR(__xludf.DUMMYFUNCTION("""COMPUTED_VALUE"""),1.0)</f>
        <v>1</v>
      </c>
      <c r="O5773" s="4" t="str">
        <f>IFERROR(__xludf.DUMMYFUNCTION("""COMPUTED_VALUE"""),"null")</f>
        <v>null</v>
      </c>
      <c r="P5773" s="33">
        <f>IFERROR(__xludf.DUMMYFUNCTION("""COMPUTED_VALUE"""),1.0)</f>
        <v>1</v>
      </c>
      <c r="Q5773" s="4" t="str">
        <f>IFERROR(__xludf.DUMMYFUNCTION("""COMPUTED_VALUE"""),"null")</f>
        <v>null</v>
      </c>
      <c r="R5773" s="33">
        <f>IFERROR(__xludf.DUMMYFUNCTION("""COMPUTED_VALUE"""),1.0)</f>
        <v>1</v>
      </c>
      <c r="S5773" s="4" t="str">
        <f>IFERROR(__xludf.DUMMYFUNCTION("""COMPUTED_VALUE"""),"null")</f>
        <v>null</v>
      </c>
      <c r="T5773" s="33">
        <f>IFERROR(__xludf.DUMMYFUNCTION("""COMPUTED_VALUE"""),0.5)</f>
        <v>0.5</v>
      </c>
      <c r="U5773" s="4" t="str">
        <f>IFERROR(__xludf.DUMMYFUNCTION("""COMPUTED_VALUE"""),"N/A (Not found)")</f>
        <v>N/A (Not found)</v>
      </c>
      <c r="V5773" s="33">
        <f>IFERROR(__xludf.DUMMYFUNCTION("""COMPUTED_VALUE"""),0.5)</f>
        <v>0.5</v>
      </c>
      <c r="W5773" s="4" t="str">
        <f>IFERROR(__xludf.DUMMYFUNCTION("""COMPUTED_VALUE"""),"N/A (Not found)")</f>
        <v>N/A (Not found)</v>
      </c>
      <c r="X5773" s="33">
        <f>IFERROR(__xludf.DUMMYFUNCTION("""COMPUTED_VALUE"""),0.5)</f>
        <v>0.5</v>
      </c>
    </row>
    <row r="5774">
      <c r="K5774" s="4" t="str">
        <f>IFERROR(__xludf.DUMMYFUNCTION("""COMPUTED_VALUE"""),"DOM BURGUER")</f>
        <v>DOM BURGUER</v>
      </c>
      <c r="L5774" s="32">
        <f>IFERROR(__xludf.DUMMYFUNCTION("""COMPUTED_VALUE"""),2.0)</f>
        <v>2</v>
      </c>
      <c r="M5774" s="4" t="str">
        <f>IFERROR(__xludf.DUMMYFUNCTION("""COMPUTED_VALUE"""),"null")</f>
        <v>null</v>
      </c>
      <c r="N5774" s="33">
        <f>IFERROR(__xludf.DUMMYFUNCTION("""COMPUTED_VALUE"""),1.0)</f>
        <v>1</v>
      </c>
      <c r="O5774" s="4" t="str">
        <f>IFERROR(__xludf.DUMMYFUNCTION("""COMPUTED_VALUE"""),"null")</f>
        <v>null</v>
      </c>
      <c r="P5774" s="33">
        <f>IFERROR(__xludf.DUMMYFUNCTION("""COMPUTED_VALUE"""),1.0)</f>
        <v>1</v>
      </c>
      <c r="Q5774" s="4" t="str">
        <f>IFERROR(__xludf.DUMMYFUNCTION("""COMPUTED_VALUE"""),"Anota Ai Solucoes Digitais S/a")</f>
        <v>Anota Ai Solucoes Digitais S/a</v>
      </c>
      <c r="R5774" s="33">
        <f>IFERROR(__xludf.DUMMYFUNCTION("""COMPUTED_VALUE"""),0.5)</f>
        <v>0.5</v>
      </c>
      <c r="S5774" s="4" t="str">
        <f>IFERROR(__xludf.DUMMYFUNCTION("""COMPUTED_VALUE"""),"null")</f>
        <v>null</v>
      </c>
      <c r="T5774" s="33">
        <f>IFERROR(__xludf.DUMMYFUNCTION("""COMPUTED_VALUE"""),0.5)</f>
        <v>0.5</v>
      </c>
      <c r="U5774" s="4" t="str">
        <f>IFERROR(__xludf.DUMMYFUNCTION("""COMPUTED_VALUE"""),"null")</f>
        <v>null</v>
      </c>
      <c r="V5774" s="33">
        <f>IFERROR(__xludf.DUMMYFUNCTION("""COMPUTED_VALUE"""),1.0)</f>
        <v>1</v>
      </c>
      <c r="W5774" s="4" t="str">
        <f>IFERROR(__xludf.DUMMYFUNCTION("""COMPUTED_VALUE"""),"null")</f>
        <v>null</v>
      </c>
      <c r="X5774" s="33">
        <f>IFERROR(__xludf.DUMMYFUNCTION("""COMPUTED_VALUE"""),0.5)</f>
        <v>0.5</v>
      </c>
    </row>
    <row r="5775">
      <c r="K5775" s="4" t="str">
        <f>IFERROR(__xludf.DUMMYFUNCTION("""COMPUTED_VALUE"""),"PROVINCIA DA PIZZA")</f>
        <v>PROVINCIA DA PIZZA</v>
      </c>
      <c r="L5775" s="32">
        <f>IFERROR(__xludf.DUMMYFUNCTION("""COMPUTED_VALUE"""),2.0)</f>
        <v>2</v>
      </c>
      <c r="M5775" s="4" t="str">
        <f>IFERROR(__xludf.DUMMYFUNCTION("""COMPUTED_VALUE"""),"Mp Multipedidos")</f>
        <v>Mp Multipedidos</v>
      </c>
      <c r="N5775" s="33">
        <f>IFERROR(__xludf.DUMMYFUNCTION("""COMPUTED_VALUE"""),1.0)</f>
        <v>1</v>
      </c>
      <c r="O5775" s="4" t="str">
        <f>IFERROR(__xludf.DUMMYFUNCTION("""COMPUTED_VALUE"""),"Mp Multipedidos")</f>
        <v>Mp Multipedidos</v>
      </c>
      <c r="P5775" s="33">
        <f>IFERROR(__xludf.DUMMYFUNCTION("""COMPUTED_VALUE"""),1.0)</f>
        <v>1</v>
      </c>
      <c r="Q5775" s="4" t="str">
        <f>IFERROR(__xludf.DUMMYFUNCTION("""COMPUTED_VALUE"""),"null")</f>
        <v>null</v>
      </c>
      <c r="R5775" s="33">
        <f>IFERROR(__xludf.DUMMYFUNCTION("""COMPUTED_VALUE"""),0.5)</f>
        <v>0.5</v>
      </c>
      <c r="S5775" s="4" t="str">
        <f>IFERROR(__xludf.DUMMYFUNCTION("""COMPUTED_VALUE"""),"Mp Multipedidos")</f>
        <v>Mp Multipedidos</v>
      </c>
      <c r="T5775" s="33">
        <f>IFERROR(__xludf.DUMMYFUNCTION("""COMPUTED_VALUE"""),1.0)</f>
        <v>1</v>
      </c>
      <c r="U5775" s="4" t="str">
        <f>IFERROR(__xludf.DUMMYFUNCTION("""COMPUTED_VALUE"""),"Mp Multipedidos")</f>
        <v>Mp Multipedidos</v>
      </c>
      <c r="V5775" s="33">
        <f>IFERROR(__xludf.DUMMYFUNCTION("""COMPUTED_VALUE"""),1.0)</f>
        <v>1</v>
      </c>
      <c r="W5775" s="4" t="str">
        <f>IFERROR(__xludf.DUMMYFUNCTION("""COMPUTED_VALUE"""),"null")</f>
        <v>null</v>
      </c>
      <c r="X5775" s="33">
        <f>IFERROR(__xludf.DUMMYFUNCTION("""COMPUTED_VALUE"""),1.0)</f>
        <v>1</v>
      </c>
    </row>
    <row r="5776">
      <c r="K5776" s="4" t="str">
        <f>IFERROR(__xludf.DUMMYFUNCTION("""COMPUTED_VALUE"""),"ESTACAO DO SUCO")</f>
        <v>ESTACAO DO SUCO</v>
      </c>
      <c r="L5776" s="32">
        <f>IFERROR(__xludf.DUMMYFUNCTION("""COMPUTED_VALUE"""),2.0)</f>
        <v>2</v>
      </c>
      <c r="M5776" s="4" t="str">
        <f>IFERROR(__xludf.DUMMYFUNCTION("""COMPUTED_VALUE"""),"null")</f>
        <v>null</v>
      </c>
      <c r="N5776" s="33">
        <f>IFERROR(__xludf.DUMMYFUNCTION("""COMPUTED_VALUE"""),0.5)</f>
        <v>0.5</v>
      </c>
      <c r="O5776" s="4" t="str">
        <f>IFERROR(__xludf.DUMMYFUNCTION("""COMPUTED_VALUE"""),"null")</f>
        <v>null</v>
      </c>
      <c r="P5776" s="33">
        <f>IFERROR(__xludf.DUMMYFUNCTION("""COMPUTED_VALUE"""),0.5)</f>
        <v>0.5</v>
      </c>
      <c r="Q5776" s="4" t="str">
        <f>IFERROR(__xludf.DUMMYFUNCTION("""COMPUTED_VALUE"""),"null")</f>
        <v>null</v>
      </c>
      <c r="R5776" s="33">
        <f>IFERROR(__xludf.DUMMYFUNCTION("""COMPUTED_VALUE"""),0.5)</f>
        <v>0.5</v>
      </c>
      <c r="S5776" s="4" t="str">
        <f>IFERROR(__xludf.DUMMYFUNCTION("""COMPUTED_VALUE"""),"null")</f>
        <v>null</v>
      </c>
      <c r="T5776" s="33">
        <f>IFERROR(__xludf.DUMMYFUNCTION("""COMPUTED_VALUE"""),0.5)</f>
        <v>0.5</v>
      </c>
      <c r="U5776" s="4" t="str">
        <f>IFERROR(__xludf.DUMMYFUNCTION("""COMPUTED_VALUE"""),"Saipos Serviços De Software")</f>
        <v>Saipos Serviços De Software</v>
      </c>
      <c r="V5776" s="33">
        <f>IFERROR(__xludf.DUMMYFUNCTION("""COMPUTED_VALUE"""),0.5)</f>
        <v>0.5</v>
      </c>
      <c r="W5776" s="4" t="str">
        <f>IFERROR(__xludf.DUMMYFUNCTION("""COMPUTED_VALUE"""),"Saipos Serviços De Software")</f>
        <v>Saipos Serviços De Software</v>
      </c>
      <c r="X5776" s="33">
        <f>IFERROR(__xludf.DUMMYFUNCTION("""COMPUTED_VALUE"""),0.5)</f>
        <v>0.5</v>
      </c>
    </row>
    <row r="5777">
      <c r="K5777" s="4" t="str">
        <f>IFERROR(__xludf.DUMMYFUNCTION("""COMPUTED_VALUE"""),"POINT DO ESPETINHO")</f>
        <v>POINT DO ESPETINHO</v>
      </c>
      <c r="L5777" s="32">
        <f>IFERROR(__xludf.DUMMYFUNCTION("""COMPUTED_VALUE"""),2.0)</f>
        <v>2</v>
      </c>
      <c r="M5777" s="4" t="str">
        <f>IFERROR(__xludf.DUMMYFUNCTION("""COMPUTED_VALUE"""),"Consumer Soluções Em Tecnologia Ltda")</f>
        <v>Consumer Soluções Em Tecnologia Ltda</v>
      </c>
      <c r="N5777" s="33">
        <f>IFERROR(__xludf.DUMMYFUNCTION("""COMPUTED_VALUE"""),0.5)</f>
        <v>0.5</v>
      </c>
      <c r="O5777" s="4" t="str">
        <f>IFERROR(__xludf.DUMMYFUNCTION("""COMPUTED_VALUE"""),"Consumer Soluções Em Tecnologia Ltda")</f>
        <v>Consumer Soluções Em Tecnologia Ltda</v>
      </c>
      <c r="P5777" s="33">
        <f>IFERROR(__xludf.DUMMYFUNCTION("""COMPUTED_VALUE"""),0.5)</f>
        <v>0.5</v>
      </c>
      <c r="Q5777" s="4" t="str">
        <f>IFERROR(__xludf.DUMMYFUNCTION("""COMPUTED_VALUE"""),"Consumer Soluções Em Tecnologia Ltda")</f>
        <v>Consumer Soluções Em Tecnologia Ltda</v>
      </c>
      <c r="R5777" s="33">
        <f>IFERROR(__xludf.DUMMYFUNCTION("""COMPUTED_VALUE"""),0.5)</f>
        <v>0.5</v>
      </c>
      <c r="S5777" s="4" t="str">
        <f>IFERROR(__xludf.DUMMYFUNCTION("""COMPUTED_VALUE"""),"Consumer Soluções Em Tecnologia Ltda")</f>
        <v>Consumer Soluções Em Tecnologia Ltda</v>
      </c>
      <c r="T5777" s="33">
        <f>IFERROR(__xludf.DUMMYFUNCTION("""COMPUTED_VALUE"""),0.5)</f>
        <v>0.5</v>
      </c>
      <c r="U5777" s="4" t="str">
        <f>IFERROR(__xludf.DUMMYFUNCTION("""COMPUTED_VALUE"""),"Consumer Soluções Em Tecnologia Ltda")</f>
        <v>Consumer Soluções Em Tecnologia Ltda</v>
      </c>
      <c r="V5777" s="33">
        <f>IFERROR(__xludf.DUMMYFUNCTION("""COMPUTED_VALUE"""),0.5)</f>
        <v>0.5</v>
      </c>
      <c r="W5777" s="4" t="str">
        <f>IFERROR(__xludf.DUMMYFUNCTION("""COMPUTED_VALUE"""),"Consumer Soluções Em Tecnologia Ltda")</f>
        <v>Consumer Soluções Em Tecnologia Ltda</v>
      </c>
      <c r="X5777" s="33">
        <f>IFERROR(__xludf.DUMMYFUNCTION("""COMPUTED_VALUE"""),0.5)</f>
        <v>0.5</v>
      </c>
    </row>
    <row r="5778">
      <c r="K5778" s="4" t="str">
        <f>IFERROR(__xludf.DUMMYFUNCTION("""COMPUTED_VALUE"""),"HOT PIZZA")</f>
        <v>HOT PIZZA</v>
      </c>
      <c r="L5778" s="32">
        <f>IFERROR(__xludf.DUMMYFUNCTION("""COMPUTED_VALUE"""),2.0)</f>
        <v>2</v>
      </c>
      <c r="M5778" s="4" t="str">
        <f>IFERROR(__xludf.DUMMYFUNCTION("""COMPUTED_VALUE"""),"Cardápio Web")</f>
        <v>Cardápio Web</v>
      </c>
      <c r="N5778" s="33">
        <f>IFERROR(__xludf.DUMMYFUNCTION("""COMPUTED_VALUE"""),0.5)</f>
        <v>0.5</v>
      </c>
      <c r="O5778" s="4" t="str">
        <f>IFERROR(__xludf.DUMMYFUNCTION("""COMPUTED_VALUE"""),"Cardápio Web")</f>
        <v>Cardápio Web</v>
      </c>
      <c r="P5778" s="33">
        <f>IFERROR(__xludf.DUMMYFUNCTION("""COMPUTED_VALUE"""),0.5)</f>
        <v>0.5</v>
      </c>
      <c r="Q5778" s="4" t="str">
        <f>IFERROR(__xludf.DUMMYFUNCTION("""COMPUTED_VALUE"""),"Cardápio Web")</f>
        <v>Cardápio Web</v>
      </c>
      <c r="R5778" s="33">
        <f>IFERROR(__xludf.DUMMYFUNCTION("""COMPUTED_VALUE"""),0.5)</f>
        <v>0.5</v>
      </c>
      <c r="S5778" s="4" t="str">
        <f>IFERROR(__xludf.DUMMYFUNCTION("""COMPUTED_VALUE"""),"Cardápio Web")</f>
        <v>Cardápio Web</v>
      </c>
      <c r="T5778" s="33">
        <f>IFERROR(__xludf.DUMMYFUNCTION("""COMPUTED_VALUE"""),0.5)</f>
        <v>0.5</v>
      </c>
      <c r="U5778" s="4" t="str">
        <f>IFERROR(__xludf.DUMMYFUNCTION("""COMPUTED_VALUE"""),"Cardápio Web")</f>
        <v>Cardápio Web</v>
      </c>
      <c r="V5778" s="33">
        <f>IFERROR(__xludf.DUMMYFUNCTION("""COMPUTED_VALUE"""),0.5)</f>
        <v>0.5</v>
      </c>
      <c r="W5778" s="4" t="str">
        <f>IFERROR(__xludf.DUMMYFUNCTION("""COMPUTED_VALUE"""),"Cardápio Web")</f>
        <v>Cardápio Web</v>
      </c>
      <c r="X5778" s="33">
        <f>IFERROR(__xludf.DUMMYFUNCTION("""COMPUTED_VALUE"""),0.5)</f>
        <v>0.5</v>
      </c>
    </row>
    <row r="5779">
      <c r="K5779" s="4" t="str">
        <f>IFERROR(__xludf.DUMMYFUNCTION("""COMPUTED_VALUE"""),"REI DA FEIJOADA MARMITA MARMITEX")</f>
        <v>REI DA FEIJOADA MARMITA MARMITEX</v>
      </c>
      <c r="L5779" s="32">
        <f>IFERROR(__xludf.DUMMYFUNCTION("""COMPUTED_VALUE"""),2.0)</f>
        <v>2</v>
      </c>
      <c r="M5779" s="4" t="str">
        <f>IFERROR(__xludf.DUMMYFUNCTION("""COMPUTED_VALUE"""),"Saipos Serviços De Software")</f>
        <v>Saipos Serviços De Software</v>
      </c>
      <c r="N5779" s="33">
        <f>IFERROR(__xludf.DUMMYFUNCTION("""COMPUTED_VALUE"""),0.5)</f>
        <v>0.5</v>
      </c>
      <c r="O5779" s="4" t="str">
        <f>IFERROR(__xludf.DUMMYFUNCTION("""COMPUTED_VALUE"""),"null")</f>
        <v>null</v>
      </c>
      <c r="P5779" s="33">
        <f>IFERROR(__xludf.DUMMYFUNCTION("""COMPUTED_VALUE"""),1.0)</f>
        <v>1</v>
      </c>
      <c r="Q5779" s="4" t="str">
        <f>IFERROR(__xludf.DUMMYFUNCTION("""COMPUTED_VALUE"""),"null")</f>
        <v>null</v>
      </c>
      <c r="R5779" s="33">
        <f>IFERROR(__xludf.DUMMYFUNCTION("""COMPUTED_VALUE"""),1.0)</f>
        <v>1</v>
      </c>
      <c r="S5779" s="4" t="str">
        <f>IFERROR(__xludf.DUMMYFUNCTION("""COMPUTED_VALUE"""),"null")</f>
        <v>null</v>
      </c>
      <c r="T5779" s="33">
        <f>IFERROR(__xludf.DUMMYFUNCTION("""COMPUTED_VALUE"""),1.0)</f>
        <v>1</v>
      </c>
      <c r="U5779" s="4" t="str">
        <f>IFERROR(__xludf.DUMMYFUNCTION("""COMPUTED_VALUE"""),"null")</f>
        <v>null</v>
      </c>
      <c r="V5779" s="33">
        <f>IFERROR(__xludf.DUMMYFUNCTION("""COMPUTED_VALUE"""),0.5)</f>
        <v>0.5</v>
      </c>
      <c r="W5779" s="4" t="str">
        <f>IFERROR(__xludf.DUMMYFUNCTION("""COMPUTED_VALUE"""),"null")</f>
        <v>null</v>
      </c>
      <c r="X5779" s="33">
        <f>IFERROR(__xludf.DUMMYFUNCTION("""COMPUTED_VALUE"""),0.5)</f>
        <v>0.5</v>
      </c>
    </row>
    <row r="5780">
      <c r="K5780" s="4" t="str">
        <f>IFERROR(__xludf.DUMMYFUNCTION("""COMPUTED_VALUE"""),"ACAI DICASA")</f>
        <v>ACAI DICASA</v>
      </c>
      <c r="L5780" s="32">
        <f>IFERROR(__xludf.DUMMYFUNCTION("""COMPUTED_VALUE"""),2.0)</f>
        <v>2</v>
      </c>
      <c r="M5780" s="4" t="str">
        <f>IFERROR(__xludf.DUMMYFUNCTION("""COMPUTED_VALUE"""),"Saipos Serviços De Software")</f>
        <v>Saipos Serviços De Software</v>
      </c>
      <c r="N5780" s="33">
        <f>IFERROR(__xludf.DUMMYFUNCTION("""COMPUTED_VALUE"""),0.5)</f>
        <v>0.5</v>
      </c>
      <c r="O5780" s="4" t="str">
        <f>IFERROR(__xludf.DUMMYFUNCTION("""COMPUTED_VALUE"""),"Saipos Serviços De Software")</f>
        <v>Saipos Serviços De Software</v>
      </c>
      <c r="P5780" s="33">
        <f>IFERROR(__xludf.DUMMYFUNCTION("""COMPUTED_VALUE"""),0.5)</f>
        <v>0.5</v>
      </c>
      <c r="Q5780" s="4" t="str">
        <f>IFERROR(__xludf.DUMMYFUNCTION("""COMPUTED_VALUE"""),"Saipos Serviços De Software")</f>
        <v>Saipos Serviços De Software</v>
      </c>
      <c r="R5780" s="33">
        <f>IFERROR(__xludf.DUMMYFUNCTION("""COMPUTED_VALUE"""),0.5)</f>
        <v>0.5</v>
      </c>
      <c r="S5780" s="4" t="str">
        <f>IFERROR(__xludf.DUMMYFUNCTION("""COMPUTED_VALUE"""),"Saipos Serviços De Software")</f>
        <v>Saipos Serviços De Software</v>
      </c>
      <c r="T5780" s="33">
        <f>IFERROR(__xludf.DUMMYFUNCTION("""COMPUTED_VALUE"""),0.5)</f>
        <v>0.5</v>
      </c>
      <c r="U5780" s="4" t="str">
        <f>IFERROR(__xludf.DUMMYFUNCTION("""COMPUTED_VALUE"""),"Saipos Serviços De Software")</f>
        <v>Saipos Serviços De Software</v>
      </c>
      <c r="V5780" s="33">
        <f>IFERROR(__xludf.DUMMYFUNCTION("""COMPUTED_VALUE"""),0.5)</f>
        <v>0.5</v>
      </c>
      <c r="W5780" s="4" t="str">
        <f>IFERROR(__xludf.DUMMYFUNCTION("""COMPUTED_VALUE"""),"Saipos Serviços De Software")</f>
        <v>Saipos Serviços De Software</v>
      </c>
      <c r="X5780" s="33">
        <f>IFERROR(__xludf.DUMMYFUNCTION("""COMPUTED_VALUE"""),0.5)</f>
        <v>0.5</v>
      </c>
    </row>
    <row r="5781">
      <c r="K5781" s="4" t="str">
        <f>IFERROR(__xludf.DUMMYFUNCTION("""COMPUTED_VALUE"""),"MASTER FARMA")</f>
        <v>MASTER FARMA</v>
      </c>
      <c r="L5781" s="32">
        <f>IFERROR(__xludf.DUMMYFUNCTION("""COMPUTED_VALUE"""),2.0)</f>
        <v>2</v>
      </c>
      <c r="M5781" s="4" t="str">
        <f>IFERROR(__xludf.DUMMYFUNCTION("""COMPUTED_VALUE"""),"null")</f>
        <v>null</v>
      </c>
      <c r="N5781" s="33">
        <f>IFERROR(__xludf.DUMMYFUNCTION("""COMPUTED_VALUE"""),1.0)</f>
        <v>1</v>
      </c>
      <c r="O5781" s="4" t="str">
        <f>IFERROR(__xludf.DUMMYFUNCTION("""COMPUTED_VALUE"""),"null")</f>
        <v>null</v>
      </c>
      <c r="P5781" s="33">
        <f>IFERROR(__xludf.DUMMYFUNCTION("""COMPUTED_VALUE"""),0.5)</f>
        <v>0.5</v>
      </c>
      <c r="Q5781" s="4" t="str">
        <f>IFERROR(__xludf.DUMMYFUNCTION("""COMPUTED_VALUE"""),"null")</f>
        <v>null</v>
      </c>
      <c r="R5781" s="33">
        <f>IFERROR(__xludf.DUMMYFUNCTION("""COMPUTED_VALUE"""),0.5)</f>
        <v>0.5</v>
      </c>
      <c r="S5781" s="4" t="str">
        <f>IFERROR(__xludf.DUMMYFUNCTION("""COMPUTED_VALUE"""),"N/A (Not found)")</f>
        <v>N/A (Not found)</v>
      </c>
      <c r="T5781" s="33">
        <f>IFERROR(__xludf.DUMMYFUNCTION("""COMPUTED_VALUE"""),0.5)</f>
        <v>0.5</v>
      </c>
      <c r="U5781" s="4" t="str">
        <f>IFERROR(__xludf.DUMMYFUNCTION("""COMPUTED_VALUE"""),"N/A (Not found)")</f>
        <v>N/A (Not found)</v>
      </c>
      <c r="V5781" s="33">
        <f>IFERROR(__xludf.DUMMYFUNCTION("""COMPUTED_VALUE"""),0.5)</f>
        <v>0.5</v>
      </c>
      <c r="W5781" s="4" t="str">
        <f>IFERROR(__xludf.DUMMYFUNCTION("""COMPUTED_VALUE"""),"N/A (Not found)")</f>
        <v>N/A (Not found)</v>
      </c>
      <c r="X5781" s="33">
        <f>IFERROR(__xludf.DUMMYFUNCTION("""COMPUTED_VALUE"""),0.5)</f>
        <v>0.5</v>
      </c>
    </row>
    <row r="5782">
      <c r="K5782" s="4" t="str">
        <f>IFERROR(__xludf.DUMMYFUNCTION("""COMPUTED_VALUE"""),"DROGARIA BOA ESPERANCA")</f>
        <v>DROGARIA BOA ESPERANCA</v>
      </c>
      <c r="L5782" s="32">
        <f>IFERROR(__xludf.DUMMYFUNCTION("""COMPUTED_VALUE"""),2.0)</f>
        <v>2</v>
      </c>
      <c r="M5782" s="4" t="str">
        <f>IFERROR(__xludf.DUMMYFUNCTION("""COMPUTED_VALUE"""),"N/A (Not found)")</f>
        <v>N/A (Not found)</v>
      </c>
      <c r="N5782" s="33">
        <f>IFERROR(__xludf.DUMMYFUNCTION("""COMPUTED_VALUE"""),1.0)</f>
        <v>1</v>
      </c>
      <c r="O5782" s="4" t="str">
        <f>IFERROR(__xludf.DUMMYFUNCTION("""COMPUTED_VALUE"""),"N/A (Not found)")</f>
        <v>N/A (Not found)</v>
      </c>
      <c r="P5782" s="33">
        <f>IFERROR(__xludf.DUMMYFUNCTION("""COMPUTED_VALUE"""),1.0)</f>
        <v>1</v>
      </c>
      <c r="Q5782" s="4" t="str">
        <f>IFERROR(__xludf.DUMMYFUNCTION("""COMPUTED_VALUE"""),"N/A (Not found)")</f>
        <v>N/A (Not found)</v>
      </c>
      <c r="R5782" s="33">
        <f>IFERROR(__xludf.DUMMYFUNCTION("""COMPUTED_VALUE"""),1.0)</f>
        <v>1</v>
      </c>
      <c r="S5782" s="4" t="str">
        <f>IFERROR(__xludf.DUMMYFUNCTION("""COMPUTED_VALUE"""),"N/A (Not found)")</f>
        <v>N/A (Not found)</v>
      </c>
      <c r="T5782" s="33">
        <f>IFERROR(__xludf.DUMMYFUNCTION("""COMPUTED_VALUE"""),1.0)</f>
        <v>1</v>
      </c>
      <c r="U5782" s="4" t="str">
        <f>IFERROR(__xludf.DUMMYFUNCTION("""COMPUTED_VALUE"""),"N/A (Not found)")</f>
        <v>N/A (Not found)</v>
      </c>
      <c r="V5782" s="33">
        <f>IFERROR(__xludf.DUMMYFUNCTION("""COMPUTED_VALUE"""),1.0)</f>
        <v>1</v>
      </c>
      <c r="W5782" s="4" t="str">
        <f>IFERROR(__xludf.DUMMYFUNCTION("""COMPUTED_VALUE"""),"N/A (Not found)")</f>
        <v>N/A (Not found)</v>
      </c>
      <c r="X5782" s="33">
        <f>IFERROR(__xludf.DUMMYFUNCTION("""COMPUTED_VALUE"""),1.0)</f>
        <v>1</v>
      </c>
    </row>
    <row r="5783">
      <c r="K5783" s="4" t="str">
        <f>IFERROR(__xludf.DUMMYFUNCTION("""COMPUTED_VALUE"""),"POWER BERRY")</f>
        <v>POWER BERRY</v>
      </c>
      <c r="L5783" s="32">
        <f>IFERROR(__xludf.DUMMYFUNCTION("""COMPUTED_VALUE"""),2.0)</f>
        <v>2</v>
      </c>
      <c r="M5783" s="4" t="str">
        <f>IFERROR(__xludf.DUMMYFUNCTION("""COMPUTED_VALUE"""),"null")</f>
        <v>null</v>
      </c>
      <c r="N5783" s="33">
        <f>IFERROR(__xludf.DUMMYFUNCTION("""COMPUTED_VALUE"""),0.5)</f>
        <v>0.5</v>
      </c>
      <c r="O5783" s="4" t="str">
        <f>IFERROR(__xludf.DUMMYFUNCTION("""COMPUTED_VALUE"""),"null")</f>
        <v>null</v>
      </c>
      <c r="P5783" s="33">
        <f>IFERROR(__xludf.DUMMYFUNCTION("""COMPUTED_VALUE"""),0.5)</f>
        <v>0.5</v>
      </c>
      <c r="Q5783" s="4" t="str">
        <f>IFERROR(__xludf.DUMMYFUNCTION("""COMPUTED_VALUE"""),"null")</f>
        <v>null</v>
      </c>
      <c r="R5783" s="33">
        <f>IFERROR(__xludf.DUMMYFUNCTION("""COMPUTED_VALUE"""),0.5)</f>
        <v>0.5</v>
      </c>
      <c r="S5783" s="4" t="str">
        <f>IFERROR(__xludf.DUMMYFUNCTION("""COMPUTED_VALUE"""),"Saipos Serviços De Software")</f>
        <v>Saipos Serviços De Software</v>
      </c>
      <c r="T5783" s="33">
        <f>IFERROR(__xludf.DUMMYFUNCTION("""COMPUTED_VALUE"""),1.0)</f>
        <v>1</v>
      </c>
      <c r="U5783" s="4" t="str">
        <f>IFERROR(__xludf.DUMMYFUNCTION("""COMPUTED_VALUE"""),"Saipos Serviços De Software")</f>
        <v>Saipos Serviços De Software</v>
      </c>
      <c r="V5783" s="33">
        <f>IFERROR(__xludf.DUMMYFUNCTION("""COMPUTED_VALUE"""),1.0)</f>
        <v>1</v>
      </c>
      <c r="W5783" s="4" t="str">
        <f>IFERROR(__xludf.DUMMYFUNCTION("""COMPUTED_VALUE"""),"Saipos Serviços De Software")</f>
        <v>Saipos Serviços De Software</v>
      </c>
      <c r="X5783" s="33">
        <f>IFERROR(__xludf.DUMMYFUNCTION("""COMPUTED_VALUE"""),1.0)</f>
        <v>1</v>
      </c>
    </row>
    <row r="5784">
      <c r="K5784" s="4" t="str">
        <f>IFERROR(__xludf.DUMMYFUNCTION("""COMPUTED_VALUE"""),"O CHURRASQUEIRO")</f>
        <v>O CHURRASQUEIRO</v>
      </c>
      <c r="L5784" s="32">
        <f>IFERROR(__xludf.DUMMYFUNCTION("""COMPUTED_VALUE"""),2.0)</f>
        <v>2</v>
      </c>
      <c r="M5784" s="4" t="str">
        <f>IFERROR(__xludf.DUMMYFUNCTION("""COMPUTED_VALUE"""),"null")</f>
        <v>null</v>
      </c>
      <c r="N5784" s="33">
        <f>IFERROR(__xludf.DUMMYFUNCTION("""COMPUTED_VALUE"""),0.5)</f>
        <v>0.5</v>
      </c>
      <c r="O5784" s="4" t="str">
        <f>IFERROR(__xludf.DUMMYFUNCTION("""COMPUTED_VALUE"""),"null")</f>
        <v>null</v>
      </c>
      <c r="P5784" s="33">
        <f>IFERROR(__xludf.DUMMYFUNCTION("""COMPUTED_VALUE"""),1.0)</f>
        <v>1</v>
      </c>
      <c r="Q5784" s="4" t="str">
        <f>IFERROR(__xludf.DUMMYFUNCTION("""COMPUTED_VALUE"""),"null")</f>
        <v>null</v>
      </c>
      <c r="R5784" s="33">
        <f>IFERROR(__xludf.DUMMYFUNCTION("""COMPUTED_VALUE"""),1.0)</f>
        <v>1</v>
      </c>
      <c r="S5784" s="4" t="str">
        <f>IFERROR(__xludf.DUMMYFUNCTION("""COMPUTED_VALUE"""),"null")</f>
        <v>null</v>
      </c>
      <c r="T5784" s="33">
        <f>IFERROR(__xludf.DUMMYFUNCTION("""COMPUTED_VALUE"""),1.0)</f>
        <v>1</v>
      </c>
      <c r="U5784" s="4" t="str">
        <f>IFERROR(__xludf.DUMMYFUNCTION("""COMPUTED_VALUE"""),"Instadelivery")</f>
        <v>Instadelivery</v>
      </c>
      <c r="V5784" s="33">
        <f>IFERROR(__xludf.DUMMYFUNCTION("""COMPUTED_VALUE"""),0.5)</f>
        <v>0.5</v>
      </c>
      <c r="W5784" s="4" t="str">
        <f>IFERROR(__xludf.DUMMYFUNCTION("""COMPUTED_VALUE"""),"Instadelivery")</f>
        <v>Instadelivery</v>
      </c>
      <c r="X5784" s="33">
        <f>IFERROR(__xludf.DUMMYFUNCTION("""COMPUTED_VALUE"""),0.5)</f>
        <v>0.5</v>
      </c>
    </row>
    <row r="5785">
      <c r="K5785" s="4" t="str">
        <f>IFERROR(__xludf.DUMMYFUNCTION("""COMPUTED_VALUE"""),"CARIOCAS BURGER")</f>
        <v>CARIOCAS BURGER</v>
      </c>
      <c r="L5785" s="32">
        <f>IFERROR(__xludf.DUMMYFUNCTION("""COMPUTED_VALUE"""),2.0)</f>
        <v>2</v>
      </c>
      <c r="M5785" s="4" t="str">
        <f>IFERROR(__xludf.DUMMYFUNCTION("""COMPUTED_VALUE"""),"Anota Ai Solucoes Digitais S/a")</f>
        <v>Anota Ai Solucoes Digitais S/a</v>
      </c>
      <c r="N5785" s="33">
        <f>IFERROR(__xludf.DUMMYFUNCTION("""COMPUTED_VALUE"""),0.5)</f>
        <v>0.5</v>
      </c>
      <c r="O5785" s="4" t="str">
        <f>IFERROR(__xludf.DUMMYFUNCTION("""COMPUTED_VALUE"""),"Anota Ai Solucoes Digitais S/a")</f>
        <v>Anota Ai Solucoes Digitais S/a</v>
      </c>
      <c r="P5785" s="33">
        <f>IFERROR(__xludf.DUMMYFUNCTION("""COMPUTED_VALUE"""),0.5)</f>
        <v>0.5</v>
      </c>
      <c r="Q5785" s="4" t="str">
        <f>IFERROR(__xludf.DUMMYFUNCTION("""COMPUTED_VALUE"""),"null")</f>
        <v>null</v>
      </c>
      <c r="R5785" s="33">
        <f>IFERROR(__xludf.DUMMYFUNCTION("""COMPUTED_VALUE"""),0.5)</f>
        <v>0.5</v>
      </c>
      <c r="S5785" s="4" t="str">
        <f>IFERROR(__xludf.DUMMYFUNCTION("""COMPUTED_VALUE"""),"Anota Ai Solucoes Digitais S/a")</f>
        <v>Anota Ai Solucoes Digitais S/a</v>
      </c>
      <c r="T5785" s="33">
        <f>IFERROR(__xludf.DUMMYFUNCTION("""COMPUTED_VALUE"""),0.5)</f>
        <v>0.5</v>
      </c>
      <c r="U5785" s="4" t="str">
        <f>IFERROR(__xludf.DUMMYFUNCTION("""COMPUTED_VALUE"""),"null")</f>
        <v>null</v>
      </c>
      <c r="V5785" s="33">
        <f>IFERROR(__xludf.DUMMYFUNCTION("""COMPUTED_VALUE"""),0.5)</f>
        <v>0.5</v>
      </c>
      <c r="W5785" s="4" t="str">
        <f>IFERROR(__xludf.DUMMYFUNCTION("""COMPUTED_VALUE"""),"null")</f>
        <v>null</v>
      </c>
      <c r="X5785" s="33">
        <f>IFERROR(__xludf.DUMMYFUNCTION("""COMPUTED_VALUE"""),0.5)</f>
        <v>0.5</v>
      </c>
    </row>
    <row r="5786">
      <c r="K5786" s="4" t="str">
        <f>IFERROR(__xludf.DUMMYFUNCTION("""COMPUTED_VALUE"""),"ROCK IT HAMBURGUERIA ARTESANAL")</f>
        <v>ROCK IT HAMBURGUERIA ARTESANAL</v>
      </c>
      <c r="L5786" s="32">
        <f>IFERROR(__xludf.DUMMYFUNCTION("""COMPUTED_VALUE"""),2.0)</f>
        <v>2</v>
      </c>
      <c r="M5786" s="4" t="str">
        <f>IFERROR(__xludf.DUMMYFUNCTION("""COMPUTED_VALUE"""),"Saipos Serviços De Software")</f>
        <v>Saipos Serviços De Software</v>
      </c>
      <c r="N5786" s="33">
        <f>IFERROR(__xludf.DUMMYFUNCTION("""COMPUTED_VALUE"""),1.0)</f>
        <v>1</v>
      </c>
      <c r="O5786" s="4" t="str">
        <f>IFERROR(__xludf.DUMMYFUNCTION("""COMPUTED_VALUE"""),"Saipos Serviços De Software")</f>
        <v>Saipos Serviços De Software</v>
      </c>
      <c r="P5786" s="33">
        <f>IFERROR(__xludf.DUMMYFUNCTION("""COMPUTED_VALUE"""),1.0)</f>
        <v>1</v>
      </c>
      <c r="Q5786" s="4" t="str">
        <f>IFERROR(__xludf.DUMMYFUNCTION("""COMPUTED_VALUE"""),"Saipos Serviços De Software")</f>
        <v>Saipos Serviços De Software</v>
      </c>
      <c r="R5786" s="33">
        <f>IFERROR(__xludf.DUMMYFUNCTION("""COMPUTED_VALUE"""),1.0)</f>
        <v>1</v>
      </c>
      <c r="S5786" s="4" t="str">
        <f>IFERROR(__xludf.DUMMYFUNCTION("""COMPUTED_VALUE"""),"null")</f>
        <v>null</v>
      </c>
      <c r="T5786" s="33">
        <f>IFERROR(__xludf.DUMMYFUNCTION("""COMPUTED_VALUE"""),0.5)</f>
        <v>0.5</v>
      </c>
      <c r="U5786" s="4" t="str">
        <f>IFERROR(__xludf.DUMMYFUNCTION("""COMPUTED_VALUE"""),"null")</f>
        <v>null</v>
      </c>
      <c r="V5786" s="33">
        <f>IFERROR(__xludf.DUMMYFUNCTION("""COMPUTED_VALUE"""),0.5)</f>
        <v>0.5</v>
      </c>
      <c r="W5786" s="4" t="str">
        <f>IFERROR(__xludf.DUMMYFUNCTION("""COMPUTED_VALUE"""),"Saipos Serviços De Software")</f>
        <v>Saipos Serviços De Software</v>
      </c>
      <c r="X5786" s="33">
        <f>IFERROR(__xludf.DUMMYFUNCTION("""COMPUTED_VALUE"""),1.0)</f>
        <v>1</v>
      </c>
    </row>
    <row r="5787">
      <c r="K5787" s="4" t="str">
        <f>IFERROR(__xludf.DUMMYFUNCTION("""COMPUTED_VALUE"""),"DELICIAS DA MARY")</f>
        <v>DELICIAS DA MARY</v>
      </c>
      <c r="L5787" s="32">
        <f>IFERROR(__xludf.DUMMYFUNCTION("""COMPUTED_VALUE"""),2.0)</f>
        <v>2</v>
      </c>
      <c r="M5787" s="4" t="str">
        <f>IFERROR(__xludf.DUMMYFUNCTION("""COMPUTED_VALUE"""),"null")</f>
        <v>null</v>
      </c>
      <c r="N5787" s="33">
        <f>IFERROR(__xludf.DUMMYFUNCTION("""COMPUTED_VALUE"""),1.0)</f>
        <v>1</v>
      </c>
      <c r="O5787" s="4" t="str">
        <f>IFERROR(__xludf.DUMMYFUNCTION("""COMPUTED_VALUE"""),"null")</f>
        <v>null</v>
      </c>
      <c r="P5787" s="33">
        <f>IFERROR(__xludf.DUMMYFUNCTION("""COMPUTED_VALUE"""),1.0)</f>
        <v>1</v>
      </c>
      <c r="Q5787" s="4" t="str">
        <f>IFERROR(__xludf.DUMMYFUNCTION("""COMPUTED_VALUE"""),"null")</f>
        <v>null</v>
      </c>
      <c r="R5787" s="33">
        <f>IFERROR(__xludf.DUMMYFUNCTION("""COMPUTED_VALUE"""),1.0)</f>
        <v>1</v>
      </c>
      <c r="S5787" s="4" t="str">
        <f>IFERROR(__xludf.DUMMYFUNCTION("""COMPUTED_VALUE"""),"null")</f>
        <v>null</v>
      </c>
      <c r="T5787" s="33">
        <f>IFERROR(__xludf.DUMMYFUNCTION("""COMPUTED_VALUE"""),1.0)</f>
        <v>1</v>
      </c>
      <c r="U5787" s="4" t="str">
        <f>IFERROR(__xludf.DUMMYFUNCTION("""COMPUTED_VALUE"""),"Cervantes Tecnologia")</f>
        <v>Cervantes Tecnologia</v>
      </c>
      <c r="V5787" s="33">
        <f>IFERROR(__xludf.DUMMYFUNCTION("""COMPUTED_VALUE"""),0.5)</f>
        <v>0.5</v>
      </c>
      <c r="W5787" s="4" t="str">
        <f>IFERROR(__xludf.DUMMYFUNCTION("""COMPUTED_VALUE"""),"Cervantes Tecnologia")</f>
        <v>Cervantes Tecnologia</v>
      </c>
      <c r="X5787" s="33">
        <f>IFERROR(__xludf.DUMMYFUNCTION("""COMPUTED_VALUE"""),0.5)</f>
        <v>0.5</v>
      </c>
    </row>
    <row r="5788">
      <c r="K5788" s="4" t="str">
        <f>IFERROR(__xludf.DUMMYFUNCTION("""COMPUTED_VALUE"""),"RANGO RESTAURANTE E MARMITARIA")</f>
        <v>RANGO RESTAURANTE E MARMITARIA</v>
      </c>
      <c r="L5788" s="32">
        <f>IFERROR(__xludf.DUMMYFUNCTION("""COMPUTED_VALUE"""),2.0)</f>
        <v>2</v>
      </c>
      <c r="M5788" s="4" t="str">
        <f>IFERROR(__xludf.DUMMYFUNCTION("""COMPUTED_VALUE"""),"Instadelivery")</f>
        <v>Instadelivery</v>
      </c>
      <c r="N5788" s="33">
        <f>IFERROR(__xludf.DUMMYFUNCTION("""COMPUTED_VALUE"""),0.5)</f>
        <v>0.5</v>
      </c>
      <c r="O5788" s="4" t="str">
        <f>IFERROR(__xludf.DUMMYFUNCTION("""COMPUTED_VALUE"""),"Instadelivery")</f>
        <v>Instadelivery</v>
      </c>
      <c r="P5788" s="33">
        <f>IFERROR(__xludf.DUMMYFUNCTION("""COMPUTED_VALUE"""),0.5)</f>
        <v>0.5</v>
      </c>
      <c r="Q5788" s="4" t="str">
        <f>IFERROR(__xludf.DUMMYFUNCTION("""COMPUTED_VALUE"""),"Instadelivery")</f>
        <v>Instadelivery</v>
      </c>
      <c r="R5788" s="33">
        <f>IFERROR(__xludf.DUMMYFUNCTION("""COMPUTED_VALUE"""),0.5)</f>
        <v>0.5</v>
      </c>
      <c r="S5788" s="4" t="str">
        <f>IFERROR(__xludf.DUMMYFUNCTION("""COMPUTED_VALUE"""),"Instadelivery")</f>
        <v>Instadelivery</v>
      </c>
      <c r="T5788" s="33">
        <f>IFERROR(__xludf.DUMMYFUNCTION("""COMPUTED_VALUE"""),0.5)</f>
        <v>0.5</v>
      </c>
      <c r="U5788" s="4" t="str">
        <f>IFERROR(__xludf.DUMMYFUNCTION("""COMPUTED_VALUE"""),"Instadelivery")</f>
        <v>Instadelivery</v>
      </c>
      <c r="V5788" s="33">
        <f>IFERROR(__xludf.DUMMYFUNCTION("""COMPUTED_VALUE"""),0.5)</f>
        <v>0.5</v>
      </c>
      <c r="W5788" s="4" t="str">
        <f>IFERROR(__xludf.DUMMYFUNCTION("""COMPUTED_VALUE"""),"Instadelivery")</f>
        <v>Instadelivery</v>
      </c>
      <c r="X5788" s="33">
        <f>IFERROR(__xludf.DUMMYFUNCTION("""COMPUTED_VALUE"""),0.5)</f>
        <v>0.5</v>
      </c>
    </row>
    <row r="5789">
      <c r="K5789" s="4" t="str">
        <f>IFERROR(__xludf.DUMMYFUNCTION("""COMPUTED_VALUE"""),"ACAI DO SOL")</f>
        <v>ACAI DO SOL</v>
      </c>
      <c r="L5789" s="32">
        <f>IFERROR(__xludf.DUMMYFUNCTION("""COMPUTED_VALUE"""),2.0)</f>
        <v>2</v>
      </c>
      <c r="M5789" s="4" t="str">
        <f>IFERROR(__xludf.DUMMYFUNCTION("""COMPUTED_VALUE"""),"null")</f>
        <v>null</v>
      </c>
      <c r="N5789" s="33">
        <f>IFERROR(__xludf.DUMMYFUNCTION("""COMPUTED_VALUE"""),0.5)</f>
        <v>0.5</v>
      </c>
      <c r="O5789" s="4" t="str">
        <f>IFERROR(__xludf.DUMMYFUNCTION("""COMPUTED_VALUE"""),"null")</f>
        <v>null</v>
      </c>
      <c r="P5789" s="33">
        <f>IFERROR(__xludf.DUMMYFUNCTION("""COMPUTED_VALUE"""),0.5)</f>
        <v>0.5</v>
      </c>
      <c r="Q5789" s="4" t="str">
        <f>IFERROR(__xludf.DUMMYFUNCTION("""COMPUTED_VALUE"""),"null")</f>
        <v>null</v>
      </c>
      <c r="R5789" s="33">
        <f>IFERROR(__xludf.DUMMYFUNCTION("""COMPUTED_VALUE"""),0.5)</f>
        <v>0.5</v>
      </c>
      <c r="S5789" s="4" t="str">
        <f>IFERROR(__xludf.DUMMYFUNCTION("""COMPUTED_VALUE"""),"Consumer Soluções Em Tecnologia Ltda")</f>
        <v>Consumer Soluções Em Tecnologia Ltda</v>
      </c>
      <c r="T5789" s="33">
        <f>IFERROR(__xludf.DUMMYFUNCTION("""COMPUTED_VALUE"""),0.5)</f>
        <v>0.5</v>
      </c>
      <c r="U5789" s="4" t="str">
        <f>IFERROR(__xludf.DUMMYFUNCTION("""COMPUTED_VALUE"""),"null")</f>
        <v>null</v>
      </c>
      <c r="V5789" s="33">
        <f>IFERROR(__xludf.DUMMYFUNCTION("""COMPUTED_VALUE"""),1.0)</f>
        <v>1</v>
      </c>
      <c r="W5789" s="4" t="str">
        <f>IFERROR(__xludf.DUMMYFUNCTION("""COMPUTED_VALUE"""),"null")</f>
        <v>null</v>
      </c>
      <c r="X5789" s="33">
        <f>IFERROR(__xludf.DUMMYFUNCTION("""COMPUTED_VALUE"""),1.0)</f>
        <v>1</v>
      </c>
    </row>
    <row r="5790">
      <c r="K5790" s="4" t="str">
        <f>IFERROR(__xludf.DUMMYFUNCTION("""COMPUTED_VALUE"""),"BIG SUSHI")</f>
        <v>BIG SUSHI</v>
      </c>
      <c r="L5790" s="32">
        <f>IFERROR(__xludf.DUMMYFUNCTION("""COMPUTED_VALUE"""),2.0)</f>
        <v>2</v>
      </c>
      <c r="M5790" s="4" t="str">
        <f>IFERROR(__xludf.DUMMYFUNCTION("""COMPUTED_VALUE"""),"null")</f>
        <v>null</v>
      </c>
      <c r="N5790" s="33">
        <f>IFERROR(__xludf.DUMMYFUNCTION("""COMPUTED_VALUE"""),0.5)</f>
        <v>0.5</v>
      </c>
      <c r="O5790" s="4" t="str">
        <f>IFERROR(__xludf.DUMMYFUNCTION("""COMPUTED_VALUE"""),"null")</f>
        <v>null</v>
      </c>
      <c r="P5790" s="33">
        <f>IFERROR(__xludf.DUMMYFUNCTION("""COMPUTED_VALUE"""),0.5)</f>
        <v>0.5</v>
      </c>
      <c r="Q5790" s="4" t="str">
        <f>IFERROR(__xludf.DUMMYFUNCTION("""COMPUTED_VALUE"""),"null")</f>
        <v>null</v>
      </c>
      <c r="R5790" s="33">
        <f>IFERROR(__xludf.DUMMYFUNCTION("""COMPUTED_VALUE"""),0.5)</f>
        <v>0.5</v>
      </c>
      <c r="S5790" s="4" t="str">
        <f>IFERROR(__xludf.DUMMYFUNCTION("""COMPUTED_VALUE"""),"Saipos Serviços De Software")</f>
        <v>Saipos Serviços De Software</v>
      </c>
      <c r="T5790" s="33">
        <f>IFERROR(__xludf.DUMMYFUNCTION("""COMPUTED_VALUE"""),1.0)</f>
        <v>1</v>
      </c>
      <c r="U5790" s="4" t="str">
        <f>IFERROR(__xludf.DUMMYFUNCTION("""COMPUTED_VALUE"""),"Saipos Serviços De Software")</f>
        <v>Saipos Serviços De Software</v>
      </c>
      <c r="V5790" s="33">
        <f>IFERROR(__xludf.DUMMYFUNCTION("""COMPUTED_VALUE"""),0.5)</f>
        <v>0.5</v>
      </c>
      <c r="W5790" s="4" t="str">
        <f>IFERROR(__xludf.DUMMYFUNCTION("""COMPUTED_VALUE"""),"Saipos Serviços De Software")</f>
        <v>Saipos Serviços De Software</v>
      </c>
      <c r="X5790" s="33">
        <f>IFERROR(__xludf.DUMMYFUNCTION("""COMPUTED_VALUE"""),0.5)</f>
        <v>0.5</v>
      </c>
    </row>
    <row r="5791">
      <c r="K5791" s="4" t="str">
        <f>IFERROR(__xludf.DUMMYFUNCTION("""COMPUTED_VALUE"""),"LANCHES DO GAUCHO")</f>
        <v>LANCHES DO GAUCHO</v>
      </c>
      <c r="L5791" s="32">
        <f>IFERROR(__xludf.DUMMYFUNCTION("""COMPUTED_VALUE"""),2.0)</f>
        <v>2</v>
      </c>
      <c r="M5791" s="4" t="str">
        <f>IFERROR(__xludf.DUMMYFUNCTION("""COMPUTED_VALUE"""),"null")</f>
        <v>null</v>
      </c>
      <c r="N5791" s="33">
        <f>IFERROR(__xludf.DUMMYFUNCTION("""COMPUTED_VALUE"""),1.0)</f>
        <v>1</v>
      </c>
      <c r="O5791" s="4" t="str">
        <f>IFERROR(__xludf.DUMMYFUNCTION("""COMPUTED_VALUE"""),"null")</f>
        <v>null</v>
      </c>
      <c r="P5791" s="33">
        <f>IFERROR(__xludf.DUMMYFUNCTION("""COMPUTED_VALUE"""),1.0)</f>
        <v>1</v>
      </c>
      <c r="Q5791" s="4" t="str">
        <f>IFERROR(__xludf.DUMMYFUNCTION("""COMPUTED_VALUE"""),"null")</f>
        <v>null</v>
      </c>
      <c r="R5791" s="33">
        <f>IFERROR(__xludf.DUMMYFUNCTION("""COMPUTED_VALUE"""),1.0)</f>
        <v>1</v>
      </c>
      <c r="S5791" s="4" t="str">
        <f>IFERROR(__xludf.DUMMYFUNCTION("""COMPUTED_VALUE"""),"null")</f>
        <v>null</v>
      </c>
      <c r="T5791" s="33">
        <f>IFERROR(__xludf.DUMMYFUNCTION("""COMPUTED_VALUE"""),0.5)</f>
        <v>0.5</v>
      </c>
      <c r="U5791" s="4" t="str">
        <f>IFERROR(__xludf.DUMMYFUNCTION("""COMPUTED_VALUE"""),"Saipos Serviços De Software")</f>
        <v>Saipos Serviços De Software</v>
      </c>
      <c r="V5791" s="33">
        <f>IFERROR(__xludf.DUMMYFUNCTION("""COMPUTED_VALUE"""),0.5)</f>
        <v>0.5</v>
      </c>
      <c r="W5791" s="4" t="str">
        <f>IFERROR(__xludf.DUMMYFUNCTION("""COMPUTED_VALUE"""),"Saipos Serviços De Software")</f>
        <v>Saipos Serviços De Software</v>
      </c>
      <c r="X5791" s="33">
        <f>IFERROR(__xludf.DUMMYFUNCTION("""COMPUTED_VALUE"""),0.5)</f>
        <v>0.5</v>
      </c>
    </row>
    <row r="5792">
      <c r="K5792" s="4" t="str">
        <f>IFERROR(__xludf.DUMMYFUNCTION("""COMPUTED_VALUE"""),"DROGA MILLE")</f>
        <v>DROGA MILLE</v>
      </c>
      <c r="L5792" s="32">
        <f>IFERROR(__xludf.DUMMYFUNCTION("""COMPUTED_VALUE"""),2.0)</f>
        <v>2</v>
      </c>
      <c r="M5792" s="4" t="str">
        <f>IFERROR(__xludf.DUMMYFUNCTION("""COMPUTED_VALUE"""),"null")</f>
        <v>null</v>
      </c>
      <c r="N5792" s="33">
        <f>IFERROR(__xludf.DUMMYFUNCTION("""COMPUTED_VALUE"""),0.5)</f>
        <v>0.5</v>
      </c>
      <c r="O5792" s="4" t="str">
        <f>IFERROR(__xludf.DUMMYFUNCTION("""COMPUTED_VALUE"""),"null")</f>
        <v>null</v>
      </c>
      <c r="P5792" s="33">
        <f>IFERROR(__xludf.DUMMYFUNCTION("""COMPUTED_VALUE"""),0.5)</f>
        <v>0.5</v>
      </c>
      <c r="Q5792" s="4" t="str">
        <f>IFERROR(__xludf.DUMMYFUNCTION("""COMPUTED_VALUE"""),"N/A (Not found)")</f>
        <v>N/A (Not found)</v>
      </c>
      <c r="R5792" s="33">
        <f>IFERROR(__xludf.DUMMYFUNCTION("""COMPUTED_VALUE"""),1.0)</f>
        <v>1</v>
      </c>
      <c r="S5792" s="4" t="str">
        <f>IFERROR(__xludf.DUMMYFUNCTION("""COMPUTED_VALUE"""),"N/A (Not found)")</f>
        <v>N/A (Not found)</v>
      </c>
      <c r="T5792" s="33">
        <f>IFERROR(__xludf.DUMMYFUNCTION("""COMPUTED_VALUE"""),1.0)</f>
        <v>1</v>
      </c>
      <c r="U5792" s="4" t="str">
        <f>IFERROR(__xludf.DUMMYFUNCTION("""COMPUTED_VALUE"""),"N/A (Not found)")</f>
        <v>N/A (Not found)</v>
      </c>
      <c r="V5792" s="33">
        <f>IFERROR(__xludf.DUMMYFUNCTION("""COMPUTED_VALUE"""),1.0)</f>
        <v>1</v>
      </c>
      <c r="W5792" s="4" t="str">
        <f>IFERROR(__xludf.DUMMYFUNCTION("""COMPUTED_VALUE"""),"N/A (Not found)")</f>
        <v>N/A (Not found)</v>
      </c>
      <c r="X5792" s="33">
        <f>IFERROR(__xludf.DUMMYFUNCTION("""COMPUTED_VALUE"""),1.0)</f>
        <v>1</v>
      </c>
    </row>
    <row r="5793">
      <c r="K5793" s="4" t="str">
        <f>IFERROR(__xludf.DUMMYFUNCTION("""COMPUTED_VALUE"""),"DELICIAS DA VO DIVINA")</f>
        <v>DELICIAS DA VO DIVINA</v>
      </c>
      <c r="L5793" s="32">
        <f>IFERROR(__xludf.DUMMYFUNCTION("""COMPUTED_VALUE"""),2.0)</f>
        <v>2</v>
      </c>
      <c r="M5793" s="4" t="str">
        <f>IFERROR(__xludf.DUMMYFUNCTION("""COMPUTED_VALUE"""),"null")</f>
        <v>null</v>
      </c>
      <c r="N5793" s="33">
        <f>IFERROR(__xludf.DUMMYFUNCTION("""COMPUTED_VALUE"""),0.5)</f>
        <v>0.5</v>
      </c>
      <c r="O5793" s="4" t="str">
        <f>IFERROR(__xludf.DUMMYFUNCTION("""COMPUTED_VALUE"""),"null")</f>
        <v>null</v>
      </c>
      <c r="P5793" s="33">
        <f>IFERROR(__xludf.DUMMYFUNCTION("""COMPUTED_VALUE"""),0.5)</f>
        <v>0.5</v>
      </c>
      <c r="Q5793" s="4" t="str">
        <f>IFERROR(__xludf.DUMMYFUNCTION("""COMPUTED_VALUE"""),"null")</f>
        <v>null</v>
      </c>
      <c r="R5793" s="33">
        <f>IFERROR(__xludf.DUMMYFUNCTION("""COMPUTED_VALUE"""),0.5)</f>
        <v>0.5</v>
      </c>
      <c r="S5793" s="4" t="str">
        <f>IFERROR(__xludf.DUMMYFUNCTION("""COMPUTED_VALUE"""),"Sigmenu Tecnologia E Marketing Ltda")</f>
        <v>Sigmenu Tecnologia E Marketing Ltda</v>
      </c>
      <c r="T5793" s="33">
        <f>IFERROR(__xludf.DUMMYFUNCTION("""COMPUTED_VALUE"""),0.5)</f>
        <v>0.5</v>
      </c>
      <c r="U5793" s="4" t="str">
        <f>IFERROR(__xludf.DUMMYFUNCTION("""COMPUTED_VALUE"""),"Sigmenu Tecnologia E Marketing Ltda")</f>
        <v>Sigmenu Tecnologia E Marketing Ltda</v>
      </c>
      <c r="V5793" s="33">
        <f>IFERROR(__xludf.DUMMYFUNCTION("""COMPUTED_VALUE"""),0.5)</f>
        <v>0.5</v>
      </c>
      <c r="W5793" s="4" t="str">
        <f>IFERROR(__xludf.DUMMYFUNCTION("""COMPUTED_VALUE"""),"Sigmenu Tecnologia E Marketing Ltda")</f>
        <v>Sigmenu Tecnologia E Marketing Ltda</v>
      </c>
      <c r="X5793" s="33">
        <f>IFERROR(__xludf.DUMMYFUNCTION("""COMPUTED_VALUE"""),0.5)</f>
        <v>0.5</v>
      </c>
    </row>
    <row r="5794">
      <c r="K5794" s="4" t="str">
        <f>IFERROR(__xludf.DUMMYFUNCTION("""COMPUTED_VALUE"""),"TRADICIONAL BURGER")</f>
        <v>TRADICIONAL BURGER</v>
      </c>
      <c r="L5794" s="32">
        <f>IFERROR(__xludf.DUMMYFUNCTION("""COMPUTED_VALUE"""),2.0)</f>
        <v>2</v>
      </c>
      <c r="M5794" s="4" t="str">
        <f>IFERROR(__xludf.DUMMYFUNCTION("""COMPUTED_VALUE"""),"null")</f>
        <v>null</v>
      </c>
      <c r="N5794" s="33">
        <f>IFERROR(__xludf.DUMMYFUNCTION("""COMPUTED_VALUE"""),1.0)</f>
        <v>1</v>
      </c>
      <c r="O5794" s="4" t="str">
        <f>IFERROR(__xludf.DUMMYFUNCTION("""COMPUTED_VALUE"""),"Cardápio Web")</f>
        <v>Cardápio Web</v>
      </c>
      <c r="P5794" s="33">
        <f>IFERROR(__xludf.DUMMYFUNCTION("""COMPUTED_VALUE"""),0.5)</f>
        <v>0.5</v>
      </c>
      <c r="Q5794" s="4" t="str">
        <f>IFERROR(__xludf.DUMMYFUNCTION("""COMPUTED_VALUE"""),"Cardápio Web")</f>
        <v>Cardápio Web</v>
      </c>
      <c r="R5794" s="33">
        <f>IFERROR(__xludf.DUMMYFUNCTION("""COMPUTED_VALUE"""),0.5)</f>
        <v>0.5</v>
      </c>
      <c r="S5794" s="4" t="str">
        <f>IFERROR(__xludf.DUMMYFUNCTION("""COMPUTED_VALUE"""),"Cardápio Web")</f>
        <v>Cardápio Web</v>
      </c>
      <c r="T5794" s="33">
        <f>IFERROR(__xludf.DUMMYFUNCTION("""COMPUTED_VALUE"""),0.5)</f>
        <v>0.5</v>
      </c>
      <c r="U5794" s="4" t="str">
        <f>IFERROR(__xludf.DUMMYFUNCTION("""COMPUTED_VALUE"""),"Cardápio Web")</f>
        <v>Cardápio Web</v>
      </c>
      <c r="V5794" s="33">
        <f>IFERROR(__xludf.DUMMYFUNCTION("""COMPUTED_VALUE"""),0.5)</f>
        <v>0.5</v>
      </c>
      <c r="W5794" s="4" t="str">
        <f>IFERROR(__xludf.DUMMYFUNCTION("""COMPUTED_VALUE"""),"Cardápio Web")</f>
        <v>Cardápio Web</v>
      </c>
      <c r="X5794" s="33">
        <f>IFERROR(__xludf.DUMMYFUNCTION("""COMPUTED_VALUE"""),0.5)</f>
        <v>0.5</v>
      </c>
    </row>
    <row r="5795">
      <c r="K5795" s="4" t="str">
        <f>IFERROR(__xludf.DUMMYFUNCTION("""COMPUTED_VALUE"""),"RESTAURANTE DANTELAS COMIDA DE VERDADE - SAUDAVEL")</f>
        <v>RESTAURANTE DANTELAS COMIDA DE VERDADE - SAUDAVEL</v>
      </c>
      <c r="L5795" s="32">
        <f>IFERROR(__xludf.DUMMYFUNCTION("""COMPUTED_VALUE"""),2.0)</f>
        <v>2</v>
      </c>
      <c r="M5795" s="4" t="str">
        <f>IFERROR(__xludf.DUMMYFUNCTION("""COMPUTED_VALUE"""),"null")</f>
        <v>null</v>
      </c>
      <c r="N5795" s="33">
        <f>IFERROR(__xludf.DUMMYFUNCTION("""COMPUTED_VALUE"""),0.5)</f>
        <v>0.5</v>
      </c>
      <c r="O5795" s="4" t="str">
        <f>IFERROR(__xludf.DUMMYFUNCTION("""COMPUTED_VALUE"""),"null")</f>
        <v>null</v>
      </c>
      <c r="P5795" s="33">
        <f>IFERROR(__xludf.DUMMYFUNCTION("""COMPUTED_VALUE"""),0.5)</f>
        <v>0.5</v>
      </c>
      <c r="Q5795" s="4" t="str">
        <f>IFERROR(__xludf.DUMMYFUNCTION("""COMPUTED_VALUE"""),"null")</f>
        <v>null</v>
      </c>
      <c r="R5795" s="33">
        <f>IFERROR(__xludf.DUMMYFUNCTION("""COMPUTED_VALUE"""),1.0)</f>
        <v>1</v>
      </c>
      <c r="S5795" s="4" t="str">
        <f>IFERROR(__xludf.DUMMYFUNCTION("""COMPUTED_VALUE"""),"null")</f>
        <v>null</v>
      </c>
      <c r="T5795" s="33">
        <f>IFERROR(__xludf.DUMMYFUNCTION("""COMPUTED_VALUE"""),1.0)</f>
        <v>1</v>
      </c>
      <c r="U5795" s="4" t="str">
        <f>IFERROR(__xludf.DUMMYFUNCTION("""COMPUTED_VALUE"""),"Cardápio Web")</f>
        <v>Cardápio Web</v>
      </c>
      <c r="V5795" s="33">
        <f>IFERROR(__xludf.DUMMYFUNCTION("""COMPUTED_VALUE"""),1.0)</f>
        <v>1</v>
      </c>
      <c r="W5795" s="4" t="str">
        <f>IFERROR(__xludf.DUMMYFUNCTION("""COMPUTED_VALUE"""),"Cardápio Web")</f>
        <v>Cardápio Web</v>
      </c>
      <c r="X5795" s="33">
        <f>IFERROR(__xludf.DUMMYFUNCTION("""COMPUTED_VALUE"""),0.5)</f>
        <v>0.5</v>
      </c>
    </row>
    <row r="5796">
      <c r="K5796" s="4" t="str">
        <f>IFERROR(__xludf.DUMMYFUNCTION("""COMPUTED_VALUE"""),"BRASA PIZZA")</f>
        <v>BRASA PIZZA</v>
      </c>
      <c r="L5796" s="32">
        <f>IFERROR(__xludf.DUMMYFUNCTION("""COMPUTED_VALUE"""),2.0)</f>
        <v>2</v>
      </c>
      <c r="M5796" s="4" t="str">
        <f>IFERROR(__xludf.DUMMYFUNCTION("""COMPUTED_VALUE"""),"Grandchef Desenvolvimento De Sistemas Ltda")</f>
        <v>Grandchef Desenvolvimento De Sistemas Ltda</v>
      </c>
      <c r="N5796" s="33">
        <f>IFERROR(__xludf.DUMMYFUNCTION("""COMPUTED_VALUE"""),0.5)</f>
        <v>0.5</v>
      </c>
      <c r="O5796" s="4" t="str">
        <f>IFERROR(__xludf.DUMMYFUNCTION("""COMPUTED_VALUE"""),"Grandchef Desenvolvimento De Sistemas Ltda")</f>
        <v>Grandchef Desenvolvimento De Sistemas Ltda</v>
      </c>
      <c r="P5796" s="33">
        <f>IFERROR(__xludf.DUMMYFUNCTION("""COMPUTED_VALUE"""),0.5)</f>
        <v>0.5</v>
      </c>
      <c r="Q5796" s="4" t="str">
        <f>IFERROR(__xludf.DUMMYFUNCTION("""COMPUTED_VALUE"""),"Mp Multipedidos")</f>
        <v>Mp Multipedidos</v>
      </c>
      <c r="R5796" s="33">
        <f>IFERROR(__xludf.DUMMYFUNCTION("""COMPUTED_VALUE"""),0.5)</f>
        <v>0.5</v>
      </c>
      <c r="S5796" s="4" t="str">
        <f>IFERROR(__xludf.DUMMYFUNCTION("""COMPUTED_VALUE"""),"Mp Multipedidos")</f>
        <v>Mp Multipedidos</v>
      </c>
      <c r="T5796" s="33">
        <f>IFERROR(__xludf.DUMMYFUNCTION("""COMPUTED_VALUE"""),0.5)</f>
        <v>0.5</v>
      </c>
      <c r="U5796" s="4" t="str">
        <f>IFERROR(__xludf.DUMMYFUNCTION("""COMPUTED_VALUE"""),"Mp Multipedidos")</f>
        <v>Mp Multipedidos</v>
      </c>
      <c r="V5796" s="33">
        <f>IFERROR(__xludf.DUMMYFUNCTION("""COMPUTED_VALUE"""),0.5)</f>
        <v>0.5</v>
      </c>
      <c r="W5796" s="4" t="str">
        <f>IFERROR(__xludf.DUMMYFUNCTION("""COMPUTED_VALUE"""),"Mp Multipedidos")</f>
        <v>Mp Multipedidos</v>
      </c>
      <c r="X5796" s="33">
        <f>IFERROR(__xludf.DUMMYFUNCTION("""COMPUTED_VALUE"""),0.5)</f>
        <v>0.5</v>
      </c>
    </row>
    <row r="5797">
      <c r="K5797" s="4" t="str">
        <f>IFERROR(__xludf.DUMMYFUNCTION("""COMPUTED_VALUE"""),"MACARRAO NA CHAPA")</f>
        <v>MACARRAO NA CHAPA</v>
      </c>
      <c r="L5797" s="32">
        <f>IFERROR(__xludf.DUMMYFUNCTION("""COMPUTED_VALUE"""),2.0)</f>
        <v>2</v>
      </c>
      <c r="M5797" s="4" t="str">
        <f>IFERROR(__xludf.DUMMYFUNCTION("""COMPUTED_VALUE"""),"Agilizup Solucoes Ltda")</f>
        <v>Agilizup Solucoes Ltda</v>
      </c>
      <c r="N5797" s="33">
        <f>IFERROR(__xludf.DUMMYFUNCTION("""COMPUTED_VALUE"""),0.5)</f>
        <v>0.5</v>
      </c>
      <c r="O5797" s="4" t="str">
        <f>IFERROR(__xludf.DUMMYFUNCTION("""COMPUTED_VALUE"""),"Agilizup Solucoes Ltda")</f>
        <v>Agilizup Solucoes Ltda</v>
      </c>
      <c r="P5797" s="33">
        <f>IFERROR(__xludf.DUMMYFUNCTION("""COMPUTED_VALUE"""),0.5)</f>
        <v>0.5</v>
      </c>
      <c r="Q5797" s="4" t="str">
        <f>IFERROR(__xludf.DUMMYFUNCTION("""COMPUTED_VALUE"""),"null")</f>
        <v>null</v>
      </c>
      <c r="R5797" s="33">
        <f>IFERROR(__xludf.DUMMYFUNCTION("""COMPUTED_VALUE"""),1.0)</f>
        <v>1</v>
      </c>
      <c r="S5797" s="4" t="str">
        <f>IFERROR(__xludf.DUMMYFUNCTION("""COMPUTED_VALUE"""),"null")</f>
        <v>null</v>
      </c>
      <c r="T5797" s="33">
        <f>IFERROR(__xludf.DUMMYFUNCTION("""COMPUTED_VALUE"""),1.0)</f>
        <v>1</v>
      </c>
      <c r="U5797" s="4" t="str">
        <f>IFERROR(__xludf.DUMMYFUNCTION("""COMPUTED_VALUE"""),"null")</f>
        <v>null</v>
      </c>
      <c r="V5797" s="33">
        <f>IFERROR(__xludf.DUMMYFUNCTION("""COMPUTED_VALUE"""),1.0)</f>
        <v>1</v>
      </c>
      <c r="W5797" s="4" t="str">
        <f>IFERROR(__xludf.DUMMYFUNCTION("""COMPUTED_VALUE"""),"null")</f>
        <v>null</v>
      </c>
      <c r="X5797" s="33">
        <f>IFERROR(__xludf.DUMMYFUNCTION("""COMPUTED_VALUE"""),1.0)</f>
        <v>1</v>
      </c>
    </row>
    <row r="5798">
      <c r="K5798" s="4" t="str">
        <f>IFERROR(__xludf.DUMMYFUNCTION("""COMPUTED_VALUE"""),"MIMOS PET")</f>
        <v>MIMOS PET</v>
      </c>
      <c r="L5798" s="32">
        <f>IFERROR(__xludf.DUMMYFUNCTION("""COMPUTED_VALUE"""),2.0)</f>
        <v>2</v>
      </c>
      <c r="M5798" s="4" t="str">
        <f>IFERROR(__xludf.DUMMYFUNCTION("""COMPUTED_VALUE"""),"N/A (Not found)")</f>
        <v>N/A (Not found)</v>
      </c>
      <c r="N5798" s="33">
        <f>IFERROR(__xludf.DUMMYFUNCTION("""COMPUTED_VALUE"""),1.0)</f>
        <v>1</v>
      </c>
      <c r="O5798" s="4" t="str">
        <f>IFERROR(__xludf.DUMMYFUNCTION("""COMPUTED_VALUE"""),"N/A (Not found)")</f>
        <v>N/A (Not found)</v>
      </c>
      <c r="P5798" s="33">
        <f>IFERROR(__xludf.DUMMYFUNCTION("""COMPUTED_VALUE"""),1.0)</f>
        <v>1</v>
      </c>
      <c r="Q5798" s="4" t="str">
        <f>IFERROR(__xludf.DUMMYFUNCTION("""COMPUTED_VALUE"""),"N/A (Not found)")</f>
        <v>N/A (Not found)</v>
      </c>
      <c r="R5798" s="33">
        <f>IFERROR(__xludf.DUMMYFUNCTION("""COMPUTED_VALUE"""),0.5)</f>
        <v>0.5</v>
      </c>
      <c r="S5798" s="4" t="str">
        <f>IFERROR(__xludf.DUMMYFUNCTION("""COMPUTED_VALUE"""),"N/A (Not found)")</f>
        <v>N/A (Not found)</v>
      </c>
      <c r="T5798" s="33">
        <f>IFERROR(__xludf.DUMMYFUNCTION("""COMPUTED_VALUE"""),1.0)</f>
        <v>1</v>
      </c>
      <c r="U5798" s="4" t="str">
        <f>IFERROR(__xludf.DUMMYFUNCTION("""COMPUTED_VALUE"""),"N/A (Not found)")</f>
        <v>N/A (Not found)</v>
      </c>
      <c r="V5798" s="33">
        <f>IFERROR(__xludf.DUMMYFUNCTION("""COMPUTED_VALUE"""),1.0)</f>
        <v>1</v>
      </c>
      <c r="W5798" s="4" t="str">
        <f>IFERROR(__xludf.DUMMYFUNCTION("""COMPUTED_VALUE"""),"N/A (Not found)")</f>
        <v>N/A (Not found)</v>
      </c>
      <c r="X5798" s="33">
        <f>IFERROR(__xludf.DUMMYFUNCTION("""COMPUTED_VALUE"""),1.0)</f>
        <v>1</v>
      </c>
    </row>
    <row r="5799">
      <c r="K5799" s="4" t="str">
        <f>IFERROR(__xludf.DUMMYFUNCTION("""COMPUTED_VALUE"""),"JM ACAI")</f>
        <v>JM ACAI</v>
      </c>
      <c r="L5799" s="32">
        <f>IFERROR(__xludf.DUMMYFUNCTION("""COMPUTED_VALUE"""),2.0)</f>
        <v>2</v>
      </c>
      <c r="M5799" s="4" t="str">
        <f>IFERROR(__xludf.DUMMYFUNCTION("""COMPUTED_VALUE"""),"M-du Tecnologia")</f>
        <v>M-du Tecnologia</v>
      </c>
      <c r="N5799" s="33">
        <f>IFERROR(__xludf.DUMMYFUNCTION("""COMPUTED_VALUE"""),0.5)</f>
        <v>0.5</v>
      </c>
      <c r="O5799" s="4" t="str">
        <f>IFERROR(__xludf.DUMMYFUNCTION("""COMPUTED_VALUE"""),"null")</f>
        <v>null</v>
      </c>
      <c r="P5799" s="33">
        <f>IFERROR(__xludf.DUMMYFUNCTION("""COMPUTED_VALUE"""),0.5)</f>
        <v>0.5</v>
      </c>
      <c r="Q5799" s="4" t="str">
        <f>IFERROR(__xludf.DUMMYFUNCTION("""COMPUTED_VALUE"""),"null")</f>
        <v>null</v>
      </c>
      <c r="R5799" s="33">
        <f>IFERROR(__xludf.DUMMYFUNCTION("""COMPUTED_VALUE"""),1.0)</f>
        <v>1</v>
      </c>
      <c r="S5799" s="4" t="str">
        <f>IFERROR(__xludf.DUMMYFUNCTION("""COMPUTED_VALUE"""),"null")</f>
        <v>null</v>
      </c>
      <c r="T5799" s="33">
        <f>IFERROR(__xludf.DUMMYFUNCTION("""COMPUTED_VALUE"""),0.5)</f>
        <v>0.5</v>
      </c>
      <c r="U5799" s="4" t="str">
        <f>IFERROR(__xludf.DUMMYFUNCTION("""COMPUTED_VALUE"""),"null")</f>
        <v>null</v>
      </c>
      <c r="V5799" s="33">
        <f>IFERROR(__xludf.DUMMYFUNCTION("""COMPUTED_VALUE"""),1.0)</f>
        <v>1</v>
      </c>
      <c r="W5799" s="4" t="str">
        <f>IFERROR(__xludf.DUMMYFUNCTION("""COMPUTED_VALUE"""),"null")</f>
        <v>null</v>
      </c>
      <c r="X5799" s="33">
        <f>IFERROR(__xludf.DUMMYFUNCTION("""COMPUTED_VALUE"""),0.5)</f>
        <v>0.5</v>
      </c>
    </row>
    <row r="5800">
      <c r="K5800" s="4" t="str">
        <f>IFERROR(__xludf.DUMMYFUNCTION("""COMPUTED_VALUE"""),"CASA DAS MARMITAS")</f>
        <v>CASA DAS MARMITAS</v>
      </c>
      <c r="L5800" s="32">
        <f>IFERROR(__xludf.DUMMYFUNCTION("""COMPUTED_VALUE"""),2.0)</f>
        <v>2</v>
      </c>
      <c r="M5800" s="4" t="str">
        <f>IFERROR(__xludf.DUMMYFUNCTION("""COMPUTED_VALUE"""),"Saipos Serviços De Software")</f>
        <v>Saipos Serviços De Software</v>
      </c>
      <c r="N5800" s="33">
        <f>IFERROR(__xludf.DUMMYFUNCTION("""COMPUTED_VALUE"""),0.5)</f>
        <v>0.5</v>
      </c>
      <c r="O5800" s="4" t="str">
        <f>IFERROR(__xludf.DUMMYFUNCTION("""COMPUTED_VALUE"""),"Saipos Serviços De Software")</f>
        <v>Saipos Serviços De Software</v>
      </c>
      <c r="P5800" s="33">
        <f>IFERROR(__xludf.DUMMYFUNCTION("""COMPUTED_VALUE"""),0.5)</f>
        <v>0.5</v>
      </c>
      <c r="Q5800" s="4" t="str">
        <f>IFERROR(__xludf.DUMMYFUNCTION("""COMPUTED_VALUE"""),"Saipos Serviços De Software")</f>
        <v>Saipos Serviços De Software</v>
      </c>
      <c r="R5800" s="33">
        <f>IFERROR(__xludf.DUMMYFUNCTION("""COMPUTED_VALUE"""),0.5)</f>
        <v>0.5</v>
      </c>
      <c r="S5800" s="4" t="str">
        <f>IFERROR(__xludf.DUMMYFUNCTION("""COMPUTED_VALUE"""),"Saipos Serviços De Software")</f>
        <v>Saipos Serviços De Software</v>
      </c>
      <c r="T5800" s="33">
        <f>IFERROR(__xludf.DUMMYFUNCTION("""COMPUTED_VALUE"""),0.5)</f>
        <v>0.5</v>
      </c>
      <c r="U5800" s="4" t="str">
        <f>IFERROR(__xludf.DUMMYFUNCTION("""COMPUTED_VALUE"""),"Saipos Serviços De Software")</f>
        <v>Saipos Serviços De Software</v>
      </c>
      <c r="V5800" s="33">
        <f>IFERROR(__xludf.DUMMYFUNCTION("""COMPUTED_VALUE"""),0.5)</f>
        <v>0.5</v>
      </c>
      <c r="W5800" s="4" t="str">
        <f>IFERROR(__xludf.DUMMYFUNCTION("""COMPUTED_VALUE"""),"Saipos Serviços De Software")</f>
        <v>Saipos Serviços De Software</v>
      </c>
      <c r="X5800" s="33">
        <f>IFERROR(__xludf.DUMMYFUNCTION("""COMPUTED_VALUE"""),0.5)</f>
        <v>0.5</v>
      </c>
    </row>
    <row r="5801">
      <c r="K5801" s="4" t="str">
        <f>IFERROR(__xludf.DUMMYFUNCTION("""COMPUTED_VALUE"""),"CROC FRANGOS E LANCHES - PORCOES")</f>
        <v>CROC FRANGOS E LANCHES - PORCOES</v>
      </c>
      <c r="L5801" s="32">
        <f>IFERROR(__xludf.DUMMYFUNCTION("""COMPUTED_VALUE"""),2.0)</f>
        <v>2</v>
      </c>
      <c r="M5801" s="4" t="str">
        <f>IFERROR(__xludf.DUMMYFUNCTION("""COMPUTED_VALUE"""),"Cardápio Web")</f>
        <v>Cardápio Web</v>
      </c>
      <c r="N5801" s="33">
        <f>IFERROR(__xludf.DUMMYFUNCTION("""COMPUTED_VALUE"""),1.0)</f>
        <v>1</v>
      </c>
      <c r="O5801" s="4" t="str">
        <f>IFERROR(__xludf.DUMMYFUNCTION("""COMPUTED_VALUE"""),"Cardápio Web")</f>
        <v>Cardápio Web</v>
      </c>
      <c r="P5801" s="33">
        <f>IFERROR(__xludf.DUMMYFUNCTION("""COMPUTED_VALUE"""),1.0)</f>
        <v>1</v>
      </c>
      <c r="Q5801" s="4" t="str">
        <f>IFERROR(__xludf.DUMMYFUNCTION("""COMPUTED_VALUE"""),"Cardápio Web")</f>
        <v>Cardápio Web</v>
      </c>
      <c r="R5801" s="33">
        <f>IFERROR(__xludf.DUMMYFUNCTION("""COMPUTED_VALUE"""),1.0)</f>
        <v>1</v>
      </c>
      <c r="S5801" s="4" t="str">
        <f>IFERROR(__xludf.DUMMYFUNCTION("""COMPUTED_VALUE"""),"Cardápio Web")</f>
        <v>Cardápio Web</v>
      </c>
      <c r="T5801" s="33">
        <f>IFERROR(__xludf.DUMMYFUNCTION("""COMPUTED_VALUE"""),1.0)</f>
        <v>1</v>
      </c>
      <c r="U5801" s="4" t="str">
        <f>IFERROR(__xludf.DUMMYFUNCTION("""COMPUTED_VALUE"""),"Cardápio Web")</f>
        <v>Cardápio Web</v>
      </c>
      <c r="V5801" s="33">
        <f>IFERROR(__xludf.DUMMYFUNCTION("""COMPUTED_VALUE"""),1.0)</f>
        <v>1</v>
      </c>
      <c r="W5801" s="4" t="str">
        <f>IFERROR(__xludf.DUMMYFUNCTION("""COMPUTED_VALUE"""),"Cardápio Web")</f>
        <v>Cardápio Web</v>
      </c>
      <c r="X5801" s="33">
        <f>IFERROR(__xludf.DUMMYFUNCTION("""COMPUTED_VALUE"""),1.0)</f>
        <v>1</v>
      </c>
    </row>
    <row r="5802">
      <c r="K5802" s="4" t="str">
        <f>IFERROR(__xludf.DUMMYFUNCTION("""COMPUTED_VALUE"""),"RESTAURANTE DO ALEXANDRE")</f>
        <v>RESTAURANTE DO ALEXANDRE</v>
      </c>
      <c r="L5802" s="32">
        <f>IFERROR(__xludf.DUMMYFUNCTION("""COMPUTED_VALUE"""),2.0)</f>
        <v>2</v>
      </c>
      <c r="M5802" s="4" t="str">
        <f>IFERROR(__xludf.DUMMYFUNCTION("""COMPUTED_VALUE"""),"null")</f>
        <v>null</v>
      </c>
      <c r="N5802" s="33">
        <f>IFERROR(__xludf.DUMMYFUNCTION("""COMPUTED_VALUE"""),0.5)</f>
        <v>0.5</v>
      </c>
      <c r="O5802" s="4" t="str">
        <f>IFERROR(__xludf.DUMMYFUNCTION("""COMPUTED_VALUE"""),"null")</f>
        <v>null</v>
      </c>
      <c r="P5802" s="33">
        <f>IFERROR(__xludf.DUMMYFUNCTION("""COMPUTED_VALUE"""),0.5)</f>
        <v>0.5</v>
      </c>
      <c r="Q5802" s="4" t="str">
        <f>IFERROR(__xludf.DUMMYFUNCTION("""COMPUTED_VALUE"""),"null")</f>
        <v>null</v>
      </c>
      <c r="R5802" s="33">
        <f>IFERROR(__xludf.DUMMYFUNCTION("""COMPUTED_VALUE"""),0.5)</f>
        <v>0.5</v>
      </c>
      <c r="S5802" s="4" t="str">
        <f>IFERROR(__xludf.DUMMYFUNCTION("""COMPUTED_VALUE"""),"null")</f>
        <v>null</v>
      </c>
      <c r="T5802" s="33">
        <f>IFERROR(__xludf.DUMMYFUNCTION("""COMPUTED_VALUE"""),0.5)</f>
        <v>0.5</v>
      </c>
      <c r="U5802" s="4" t="str">
        <f>IFERROR(__xludf.DUMMYFUNCTION("""COMPUTED_VALUE"""),"Saipos Serviços De Software")</f>
        <v>Saipos Serviços De Software</v>
      </c>
      <c r="V5802" s="33">
        <f>IFERROR(__xludf.DUMMYFUNCTION("""COMPUTED_VALUE"""),0.5)</f>
        <v>0.5</v>
      </c>
      <c r="W5802" s="4" t="str">
        <f>IFERROR(__xludf.DUMMYFUNCTION("""COMPUTED_VALUE"""),"Saipos Serviços De Software")</f>
        <v>Saipos Serviços De Software</v>
      </c>
      <c r="X5802" s="33">
        <f>IFERROR(__xludf.DUMMYFUNCTION("""COMPUTED_VALUE"""),0.5)</f>
        <v>0.5</v>
      </c>
    </row>
    <row r="5803">
      <c r="K5803" s="4" t="str">
        <f>IFERROR(__xludf.DUMMYFUNCTION("""COMPUTED_VALUE"""),"PIZZERIA TOSCANA")</f>
        <v>PIZZERIA TOSCANA</v>
      </c>
      <c r="L5803" s="32">
        <f>IFERROR(__xludf.DUMMYFUNCTION("""COMPUTED_VALUE"""),2.0)</f>
        <v>2</v>
      </c>
      <c r="M5803" s="4" t="str">
        <f>IFERROR(__xludf.DUMMYFUNCTION("""COMPUTED_VALUE"""),"Netcontroll Xmenu")</f>
        <v>Netcontroll Xmenu</v>
      </c>
      <c r="N5803" s="33">
        <f>IFERROR(__xludf.DUMMYFUNCTION("""COMPUTED_VALUE"""),1.0)</f>
        <v>1</v>
      </c>
      <c r="O5803" s="4" t="str">
        <f>IFERROR(__xludf.DUMMYFUNCTION("""COMPUTED_VALUE"""),"Netcontroll Xmenu")</f>
        <v>Netcontroll Xmenu</v>
      </c>
      <c r="P5803" s="33">
        <f>IFERROR(__xludf.DUMMYFUNCTION("""COMPUTED_VALUE"""),1.0)</f>
        <v>1</v>
      </c>
      <c r="Q5803" s="4" t="str">
        <f>IFERROR(__xludf.DUMMYFUNCTION("""COMPUTED_VALUE"""),"Netcontroll Xmenu")</f>
        <v>Netcontroll Xmenu</v>
      </c>
      <c r="R5803" s="33">
        <f>IFERROR(__xludf.DUMMYFUNCTION("""COMPUTED_VALUE"""),1.0)</f>
        <v>1</v>
      </c>
      <c r="S5803" s="4" t="str">
        <f>IFERROR(__xludf.DUMMYFUNCTION("""COMPUTED_VALUE"""),"Netcontroll Xmenu")</f>
        <v>Netcontroll Xmenu</v>
      </c>
      <c r="T5803" s="33">
        <f>IFERROR(__xludf.DUMMYFUNCTION("""COMPUTED_VALUE"""),1.0)</f>
        <v>1</v>
      </c>
      <c r="U5803" s="4" t="str">
        <f>IFERROR(__xludf.DUMMYFUNCTION("""COMPUTED_VALUE"""),"Netcontroll Xmenu")</f>
        <v>Netcontroll Xmenu</v>
      </c>
      <c r="V5803" s="33">
        <f>IFERROR(__xludf.DUMMYFUNCTION("""COMPUTED_VALUE"""),1.0)</f>
        <v>1</v>
      </c>
      <c r="W5803" s="4" t="str">
        <f>IFERROR(__xludf.DUMMYFUNCTION("""COMPUTED_VALUE"""),"Netcontroll Xmenu")</f>
        <v>Netcontroll Xmenu</v>
      </c>
      <c r="X5803" s="33">
        <f>IFERROR(__xludf.DUMMYFUNCTION("""COMPUTED_VALUE"""),1.0)</f>
        <v>1</v>
      </c>
    </row>
    <row r="5804">
      <c r="K5804" s="4" t="str">
        <f>IFERROR(__xludf.DUMMYFUNCTION("""COMPUTED_VALUE"""),"HAMBURGUERIA DO BUSAO")</f>
        <v>HAMBURGUERIA DO BUSAO</v>
      </c>
      <c r="L5804" s="32">
        <f>IFERROR(__xludf.DUMMYFUNCTION("""COMPUTED_VALUE"""),2.0)</f>
        <v>2</v>
      </c>
      <c r="M5804" s="4" t="str">
        <f>IFERROR(__xludf.DUMMYFUNCTION("""COMPUTED_VALUE"""),"null")</f>
        <v>null</v>
      </c>
      <c r="N5804" s="33">
        <f>IFERROR(__xludf.DUMMYFUNCTION("""COMPUTED_VALUE"""),1.0)</f>
        <v>1</v>
      </c>
      <c r="O5804" s="4" t="str">
        <f>IFERROR(__xludf.DUMMYFUNCTION("""COMPUTED_VALUE"""),"Alpha Logo")</f>
        <v>Alpha Logo</v>
      </c>
      <c r="P5804" s="33">
        <f>IFERROR(__xludf.DUMMYFUNCTION("""COMPUTED_VALUE"""),0.5)</f>
        <v>0.5</v>
      </c>
      <c r="Q5804" s="4" t="str">
        <f>IFERROR(__xludf.DUMMYFUNCTION("""COMPUTED_VALUE"""),"Alpha Logo")</f>
        <v>Alpha Logo</v>
      </c>
      <c r="R5804" s="33">
        <f>IFERROR(__xludf.DUMMYFUNCTION("""COMPUTED_VALUE"""),0.5)</f>
        <v>0.5</v>
      </c>
      <c r="S5804" s="4" t="str">
        <f>IFERROR(__xludf.DUMMYFUNCTION("""COMPUTED_VALUE"""),"Alpha Logo")</f>
        <v>Alpha Logo</v>
      </c>
      <c r="T5804" s="33">
        <f>IFERROR(__xludf.DUMMYFUNCTION("""COMPUTED_VALUE"""),0.5)</f>
        <v>0.5</v>
      </c>
      <c r="U5804" s="4" t="str">
        <f>IFERROR(__xludf.DUMMYFUNCTION("""COMPUTED_VALUE"""),"Alpha Logo")</f>
        <v>Alpha Logo</v>
      </c>
      <c r="V5804" s="33">
        <f>IFERROR(__xludf.DUMMYFUNCTION("""COMPUTED_VALUE"""),0.5)</f>
        <v>0.5</v>
      </c>
      <c r="W5804" s="4" t="str">
        <f>IFERROR(__xludf.DUMMYFUNCTION("""COMPUTED_VALUE"""),"Alpha Logo")</f>
        <v>Alpha Logo</v>
      </c>
      <c r="X5804" s="33">
        <f>IFERROR(__xludf.DUMMYFUNCTION("""COMPUTED_VALUE"""),0.5)</f>
        <v>0.5</v>
      </c>
    </row>
    <row r="5805">
      <c r="K5805" s="4" t="str">
        <f>IFERROR(__xludf.DUMMYFUNCTION("""COMPUTED_VALUE"""),"COSTELA NA CAIXA")</f>
        <v>COSTELA NA CAIXA</v>
      </c>
      <c r="L5805" s="32">
        <f>IFERROR(__xludf.DUMMYFUNCTION("""COMPUTED_VALUE"""),2.0)</f>
        <v>2</v>
      </c>
      <c r="M5805" s="4" t="str">
        <f>IFERROR(__xludf.DUMMYFUNCTION("""COMPUTED_VALUE"""),"Mp Multipedidos")</f>
        <v>Mp Multipedidos</v>
      </c>
      <c r="N5805" s="33">
        <f>IFERROR(__xludf.DUMMYFUNCTION("""COMPUTED_VALUE"""),0.5)</f>
        <v>0.5</v>
      </c>
      <c r="O5805" s="4" t="str">
        <f>IFERROR(__xludf.DUMMYFUNCTION("""COMPUTED_VALUE"""),"Mp Multipedidos")</f>
        <v>Mp Multipedidos</v>
      </c>
      <c r="P5805" s="33">
        <f>IFERROR(__xludf.DUMMYFUNCTION("""COMPUTED_VALUE"""),1.0)</f>
        <v>1</v>
      </c>
      <c r="Q5805" s="4" t="str">
        <f>IFERROR(__xludf.DUMMYFUNCTION("""COMPUTED_VALUE"""),"null")</f>
        <v>null</v>
      </c>
      <c r="R5805" s="33">
        <f>IFERROR(__xludf.DUMMYFUNCTION("""COMPUTED_VALUE"""),0.5)</f>
        <v>0.5</v>
      </c>
      <c r="S5805" s="4" t="str">
        <f>IFERROR(__xludf.DUMMYFUNCTION("""COMPUTED_VALUE"""),"null")</f>
        <v>null</v>
      </c>
      <c r="T5805" s="33">
        <f>IFERROR(__xludf.DUMMYFUNCTION("""COMPUTED_VALUE"""),0.5)</f>
        <v>0.5</v>
      </c>
      <c r="U5805" s="4" t="str">
        <f>IFERROR(__xludf.DUMMYFUNCTION("""COMPUTED_VALUE"""),"null")</f>
        <v>null</v>
      </c>
      <c r="V5805" s="33">
        <f>IFERROR(__xludf.DUMMYFUNCTION("""COMPUTED_VALUE"""),0.5)</f>
        <v>0.5</v>
      </c>
      <c r="W5805" s="4" t="str">
        <f>IFERROR(__xludf.DUMMYFUNCTION("""COMPUTED_VALUE"""),"null")</f>
        <v>null</v>
      </c>
      <c r="X5805" s="33">
        <f>IFERROR(__xludf.DUMMYFUNCTION("""COMPUTED_VALUE"""),0.5)</f>
        <v>0.5</v>
      </c>
    </row>
    <row r="5806">
      <c r="K5806" s="4" t="str">
        <f>IFERROR(__xludf.DUMMYFUNCTION("""COMPUTED_VALUE"""),"RESENHA BURGUER DELIVERY")</f>
        <v>RESENHA BURGUER DELIVERY</v>
      </c>
      <c r="L5806" s="32">
        <f>IFERROR(__xludf.DUMMYFUNCTION("""COMPUTED_VALUE"""),2.0)</f>
        <v>2</v>
      </c>
      <c r="M5806" s="4" t="str">
        <f>IFERROR(__xludf.DUMMYFUNCTION("""COMPUTED_VALUE"""),"Saipos Serviços De Software")</f>
        <v>Saipos Serviços De Software</v>
      </c>
      <c r="N5806" s="33">
        <f>IFERROR(__xludf.DUMMYFUNCTION("""COMPUTED_VALUE"""),0.5)</f>
        <v>0.5</v>
      </c>
      <c r="O5806" s="4" t="str">
        <f>IFERROR(__xludf.DUMMYFUNCTION("""COMPUTED_VALUE"""),"Saipos Serviços De Software")</f>
        <v>Saipos Serviços De Software</v>
      </c>
      <c r="P5806" s="33">
        <f>IFERROR(__xludf.DUMMYFUNCTION("""COMPUTED_VALUE"""),0.5)</f>
        <v>0.5</v>
      </c>
      <c r="Q5806" s="4" t="str">
        <f>IFERROR(__xludf.DUMMYFUNCTION("""COMPUTED_VALUE"""),"Saipos Serviços De Software")</f>
        <v>Saipos Serviços De Software</v>
      </c>
      <c r="R5806" s="33">
        <f>IFERROR(__xludf.DUMMYFUNCTION("""COMPUTED_VALUE"""),0.5)</f>
        <v>0.5</v>
      </c>
      <c r="S5806" s="4" t="str">
        <f>IFERROR(__xludf.DUMMYFUNCTION("""COMPUTED_VALUE"""),"Saipos Serviços De Software")</f>
        <v>Saipos Serviços De Software</v>
      </c>
      <c r="T5806" s="33">
        <f>IFERROR(__xludf.DUMMYFUNCTION("""COMPUTED_VALUE"""),0.5)</f>
        <v>0.5</v>
      </c>
      <c r="U5806" s="4" t="str">
        <f>IFERROR(__xludf.DUMMYFUNCTION("""COMPUTED_VALUE"""),"Saipos Serviços De Software")</f>
        <v>Saipos Serviços De Software</v>
      </c>
      <c r="V5806" s="33">
        <f>IFERROR(__xludf.DUMMYFUNCTION("""COMPUTED_VALUE"""),0.5)</f>
        <v>0.5</v>
      </c>
      <c r="W5806" s="4" t="str">
        <f>IFERROR(__xludf.DUMMYFUNCTION("""COMPUTED_VALUE"""),"Saipos Serviços De Software")</f>
        <v>Saipos Serviços De Software</v>
      </c>
      <c r="X5806" s="33">
        <f>IFERROR(__xludf.DUMMYFUNCTION("""COMPUTED_VALUE"""),0.5)</f>
        <v>0.5</v>
      </c>
    </row>
    <row r="5807">
      <c r="K5807" s="4" t="str">
        <f>IFERROR(__xludf.DUMMYFUNCTION("""COMPUTED_VALUE"""),"ACAIST - ACAI DE VERDADE")</f>
        <v>ACAIST - ACAI DE VERDADE</v>
      </c>
      <c r="L5807" s="32">
        <f>IFERROR(__xludf.DUMMYFUNCTION("""COMPUTED_VALUE"""),2.0)</f>
        <v>2</v>
      </c>
      <c r="M5807" s="4" t="str">
        <f>IFERROR(__xludf.DUMMYFUNCTION("""COMPUTED_VALUE"""),"Connectplug")</f>
        <v>Connectplug</v>
      </c>
      <c r="N5807" s="33">
        <f>IFERROR(__xludf.DUMMYFUNCTION("""COMPUTED_VALUE"""),1.0)</f>
        <v>1</v>
      </c>
      <c r="O5807" s="4" t="str">
        <f>IFERROR(__xludf.DUMMYFUNCTION("""COMPUTED_VALUE"""),"Connectplug")</f>
        <v>Connectplug</v>
      </c>
      <c r="P5807" s="33">
        <f>IFERROR(__xludf.DUMMYFUNCTION("""COMPUTED_VALUE"""),1.0)</f>
        <v>1</v>
      </c>
      <c r="Q5807" s="4" t="str">
        <f>IFERROR(__xludf.DUMMYFUNCTION("""COMPUTED_VALUE"""),"Connectplug")</f>
        <v>Connectplug</v>
      </c>
      <c r="R5807" s="33">
        <f>IFERROR(__xludf.DUMMYFUNCTION("""COMPUTED_VALUE"""),1.0)</f>
        <v>1</v>
      </c>
      <c r="S5807" s="4" t="str">
        <f>IFERROR(__xludf.DUMMYFUNCTION("""COMPUTED_VALUE"""),"Connectplug")</f>
        <v>Connectplug</v>
      </c>
      <c r="T5807" s="33">
        <f>IFERROR(__xludf.DUMMYFUNCTION("""COMPUTED_VALUE"""),1.0)</f>
        <v>1</v>
      </c>
      <c r="U5807" s="4" t="str">
        <f>IFERROR(__xludf.DUMMYFUNCTION("""COMPUTED_VALUE"""),"Connectplug")</f>
        <v>Connectplug</v>
      </c>
      <c r="V5807" s="33">
        <f>IFERROR(__xludf.DUMMYFUNCTION("""COMPUTED_VALUE"""),1.0)</f>
        <v>1</v>
      </c>
      <c r="W5807" s="4" t="str">
        <f>IFERROR(__xludf.DUMMYFUNCTION("""COMPUTED_VALUE"""),"Connectplug")</f>
        <v>Connectplug</v>
      </c>
      <c r="X5807" s="33">
        <f>IFERROR(__xludf.DUMMYFUNCTION("""COMPUTED_VALUE"""),1.0)</f>
        <v>1</v>
      </c>
    </row>
    <row r="5808">
      <c r="K5808" s="4" t="str">
        <f>IFERROR(__xludf.DUMMYFUNCTION("""COMPUTED_VALUE"""),"VINNY LANCHES")</f>
        <v>VINNY LANCHES</v>
      </c>
      <c r="L5808" s="32">
        <f>IFERROR(__xludf.DUMMYFUNCTION("""COMPUTED_VALUE"""),2.0)</f>
        <v>2</v>
      </c>
      <c r="M5808" s="4" t="str">
        <f>IFERROR(__xludf.DUMMYFUNCTION("""COMPUTED_VALUE"""),"Anota Ai Solucoes Digitais S/a")</f>
        <v>Anota Ai Solucoes Digitais S/a</v>
      </c>
      <c r="N5808" s="33">
        <f>IFERROR(__xludf.DUMMYFUNCTION("""COMPUTED_VALUE"""),1.0)</f>
        <v>1</v>
      </c>
      <c r="O5808" s="4" t="str">
        <f>IFERROR(__xludf.DUMMYFUNCTION("""COMPUTED_VALUE"""),"null")</f>
        <v>null</v>
      </c>
      <c r="P5808" s="33">
        <f>IFERROR(__xludf.DUMMYFUNCTION("""COMPUTED_VALUE"""),0.5)</f>
        <v>0.5</v>
      </c>
      <c r="Q5808" s="4" t="str">
        <f>IFERROR(__xludf.DUMMYFUNCTION("""COMPUTED_VALUE"""),"Anota Ai Solucoes Digitais S/a")</f>
        <v>Anota Ai Solucoes Digitais S/a</v>
      </c>
      <c r="R5808" s="33">
        <f>IFERROR(__xludf.DUMMYFUNCTION("""COMPUTED_VALUE"""),1.0)</f>
        <v>1</v>
      </c>
      <c r="S5808" s="4" t="str">
        <f>IFERROR(__xludf.DUMMYFUNCTION("""COMPUTED_VALUE"""),"null")</f>
        <v>null</v>
      </c>
      <c r="T5808" s="33">
        <f>IFERROR(__xludf.DUMMYFUNCTION("""COMPUTED_VALUE"""),0.5)</f>
        <v>0.5</v>
      </c>
      <c r="U5808" s="4" t="str">
        <f>IFERROR(__xludf.DUMMYFUNCTION("""COMPUTED_VALUE"""),"null")</f>
        <v>null</v>
      </c>
      <c r="V5808" s="33">
        <f>IFERROR(__xludf.DUMMYFUNCTION("""COMPUTED_VALUE"""),1.0)</f>
        <v>1</v>
      </c>
      <c r="W5808" s="4" t="str">
        <f>IFERROR(__xludf.DUMMYFUNCTION("""COMPUTED_VALUE"""),"null")</f>
        <v>null</v>
      </c>
      <c r="X5808" s="33">
        <f>IFERROR(__xludf.DUMMYFUNCTION("""COMPUTED_VALUE"""),0.5)</f>
        <v>0.5</v>
      </c>
    </row>
    <row r="5809">
      <c r="K5809" s="4" t="str">
        <f>IFERROR(__xludf.DUMMYFUNCTION("""COMPUTED_VALUE"""),"MA SALGADOS")</f>
        <v>MA SALGADOS</v>
      </c>
      <c r="L5809" s="32">
        <f>IFERROR(__xludf.DUMMYFUNCTION("""COMPUTED_VALUE"""),2.0)</f>
        <v>2</v>
      </c>
      <c r="M5809" s="4" t="str">
        <f>IFERROR(__xludf.DUMMYFUNCTION("""COMPUTED_VALUE"""),"Saipos Serviços De Software")</f>
        <v>Saipos Serviços De Software</v>
      </c>
      <c r="N5809" s="33">
        <f>IFERROR(__xludf.DUMMYFUNCTION("""COMPUTED_VALUE"""),0.5)</f>
        <v>0.5</v>
      </c>
      <c r="O5809" s="4" t="str">
        <f>IFERROR(__xludf.DUMMYFUNCTION("""COMPUTED_VALUE"""),"Saipos Serviços De Software")</f>
        <v>Saipos Serviços De Software</v>
      </c>
      <c r="P5809" s="33">
        <f>IFERROR(__xludf.DUMMYFUNCTION("""COMPUTED_VALUE"""),0.5)</f>
        <v>0.5</v>
      </c>
      <c r="Q5809" s="4" t="str">
        <f>IFERROR(__xludf.DUMMYFUNCTION("""COMPUTED_VALUE"""),"Saipos Serviços De Software")</f>
        <v>Saipos Serviços De Software</v>
      </c>
      <c r="R5809" s="33">
        <f>IFERROR(__xludf.DUMMYFUNCTION("""COMPUTED_VALUE"""),0.5)</f>
        <v>0.5</v>
      </c>
      <c r="S5809" s="4" t="str">
        <f>IFERROR(__xludf.DUMMYFUNCTION("""COMPUTED_VALUE"""),"Saipos Serviços De Software")</f>
        <v>Saipos Serviços De Software</v>
      </c>
      <c r="T5809" s="33">
        <f>IFERROR(__xludf.DUMMYFUNCTION("""COMPUTED_VALUE"""),0.5)</f>
        <v>0.5</v>
      </c>
      <c r="U5809" s="4" t="str">
        <f>IFERROR(__xludf.DUMMYFUNCTION("""COMPUTED_VALUE"""),"Saipos Serviços De Software")</f>
        <v>Saipos Serviços De Software</v>
      </c>
      <c r="V5809" s="33">
        <f>IFERROR(__xludf.DUMMYFUNCTION("""COMPUTED_VALUE"""),0.5)</f>
        <v>0.5</v>
      </c>
      <c r="W5809" s="4" t="str">
        <f>IFERROR(__xludf.DUMMYFUNCTION("""COMPUTED_VALUE"""),"Saipos Serviços De Software")</f>
        <v>Saipos Serviços De Software</v>
      </c>
      <c r="X5809" s="33">
        <f>IFERROR(__xludf.DUMMYFUNCTION("""COMPUTED_VALUE"""),0.5)</f>
        <v>0.5</v>
      </c>
    </row>
    <row r="5810">
      <c r="K5810" s="4" t="str">
        <f>IFERROR(__xludf.DUMMYFUNCTION("""COMPUTED_VALUE"""),"RUSTICOS BURGUER")</f>
        <v>RUSTICOS BURGUER</v>
      </c>
      <c r="L5810" s="32">
        <f>IFERROR(__xludf.DUMMYFUNCTION("""COMPUTED_VALUE"""),2.0)</f>
        <v>2</v>
      </c>
      <c r="M5810" s="4" t="str">
        <f>IFERROR(__xludf.DUMMYFUNCTION("""COMPUTED_VALUE"""),"M-du Tecnologia")</f>
        <v>M-du Tecnologia</v>
      </c>
      <c r="N5810" s="33">
        <f>IFERROR(__xludf.DUMMYFUNCTION("""COMPUTED_VALUE"""),0.5)</f>
        <v>0.5</v>
      </c>
      <c r="O5810" s="4" t="str">
        <f>IFERROR(__xludf.DUMMYFUNCTION("""COMPUTED_VALUE"""),"M-du Tecnologia")</f>
        <v>M-du Tecnologia</v>
      </c>
      <c r="P5810" s="33">
        <f>IFERROR(__xludf.DUMMYFUNCTION("""COMPUTED_VALUE"""),0.5)</f>
        <v>0.5</v>
      </c>
      <c r="Q5810" s="4" t="str">
        <f>IFERROR(__xludf.DUMMYFUNCTION("""COMPUTED_VALUE"""),"M-du Tecnologia")</f>
        <v>M-du Tecnologia</v>
      </c>
      <c r="R5810" s="33">
        <f>IFERROR(__xludf.DUMMYFUNCTION("""COMPUTED_VALUE"""),0.5)</f>
        <v>0.5</v>
      </c>
      <c r="S5810" s="4" t="str">
        <f>IFERROR(__xludf.DUMMYFUNCTION("""COMPUTED_VALUE"""),"M-du Tecnologia")</f>
        <v>M-du Tecnologia</v>
      </c>
      <c r="T5810" s="33">
        <f>IFERROR(__xludf.DUMMYFUNCTION("""COMPUTED_VALUE"""),0.5)</f>
        <v>0.5</v>
      </c>
      <c r="U5810" s="4" t="str">
        <f>IFERROR(__xludf.DUMMYFUNCTION("""COMPUTED_VALUE"""),"M-du Tecnologia")</f>
        <v>M-du Tecnologia</v>
      </c>
      <c r="V5810" s="33">
        <f>IFERROR(__xludf.DUMMYFUNCTION("""COMPUTED_VALUE"""),0.5)</f>
        <v>0.5</v>
      </c>
      <c r="W5810" s="4" t="str">
        <f>IFERROR(__xludf.DUMMYFUNCTION("""COMPUTED_VALUE"""),"M-du Tecnologia")</f>
        <v>M-du Tecnologia</v>
      </c>
      <c r="X5810" s="33">
        <f>IFERROR(__xludf.DUMMYFUNCTION("""COMPUTED_VALUE"""),0.5)</f>
        <v>0.5</v>
      </c>
    </row>
    <row r="5811">
      <c r="K5811" s="4" t="str">
        <f>IFERROR(__xludf.DUMMYFUNCTION("""COMPUTED_VALUE"""),"PIZZARIA DOM HENRIQUE")</f>
        <v>PIZZARIA DOM HENRIQUE</v>
      </c>
      <c r="L5811" s="32">
        <f>IFERROR(__xludf.DUMMYFUNCTION("""COMPUTED_VALUE"""),2.0)</f>
        <v>2</v>
      </c>
      <c r="M5811" s="4" t="str">
        <f>IFERROR(__xludf.DUMMYFUNCTION("""COMPUTED_VALUE"""),"Expresso Delivery")</f>
        <v>Expresso Delivery</v>
      </c>
      <c r="N5811" s="33">
        <f>IFERROR(__xludf.DUMMYFUNCTION("""COMPUTED_VALUE"""),0.5)</f>
        <v>0.5</v>
      </c>
      <c r="O5811" s="4" t="str">
        <f>IFERROR(__xludf.DUMMYFUNCTION("""COMPUTED_VALUE"""),"Expresso Delivery")</f>
        <v>Expresso Delivery</v>
      </c>
      <c r="P5811" s="33">
        <f>IFERROR(__xludf.DUMMYFUNCTION("""COMPUTED_VALUE"""),0.5)</f>
        <v>0.5</v>
      </c>
      <c r="Q5811" s="4" t="str">
        <f>IFERROR(__xludf.DUMMYFUNCTION("""COMPUTED_VALUE"""),"Expresso Delivery")</f>
        <v>Expresso Delivery</v>
      </c>
      <c r="R5811" s="33">
        <f>IFERROR(__xludf.DUMMYFUNCTION("""COMPUTED_VALUE"""),0.5)</f>
        <v>0.5</v>
      </c>
      <c r="S5811" s="4" t="str">
        <f>IFERROR(__xludf.DUMMYFUNCTION("""COMPUTED_VALUE"""),"Expresso Delivery")</f>
        <v>Expresso Delivery</v>
      </c>
      <c r="T5811" s="33">
        <f>IFERROR(__xludf.DUMMYFUNCTION("""COMPUTED_VALUE"""),0.5)</f>
        <v>0.5</v>
      </c>
      <c r="U5811" s="4" t="str">
        <f>IFERROR(__xludf.DUMMYFUNCTION("""COMPUTED_VALUE"""),"Expresso Delivery")</f>
        <v>Expresso Delivery</v>
      </c>
      <c r="V5811" s="33">
        <f>IFERROR(__xludf.DUMMYFUNCTION("""COMPUTED_VALUE"""),0.5)</f>
        <v>0.5</v>
      </c>
      <c r="W5811" s="4" t="str">
        <f>IFERROR(__xludf.DUMMYFUNCTION("""COMPUTED_VALUE"""),"Expresso Delivery")</f>
        <v>Expresso Delivery</v>
      </c>
      <c r="X5811" s="33">
        <f>IFERROR(__xludf.DUMMYFUNCTION("""COMPUTED_VALUE"""),0.5)</f>
        <v>0.5</v>
      </c>
    </row>
    <row r="5812">
      <c r="K5812" s="4" t="str">
        <f>IFERROR(__xludf.DUMMYFUNCTION("""COMPUTED_VALUE"""),"PIZZARIA BONARI DELIVERY")</f>
        <v>PIZZARIA BONARI DELIVERY</v>
      </c>
      <c r="L5812" s="32">
        <f>IFERROR(__xludf.DUMMYFUNCTION("""COMPUTED_VALUE"""),2.0)</f>
        <v>2</v>
      </c>
      <c r="M5812" s="4" t="str">
        <f>IFERROR(__xludf.DUMMYFUNCTION("""COMPUTED_VALUE"""),"Cardápio Web")</f>
        <v>Cardápio Web</v>
      </c>
      <c r="N5812" s="33">
        <f>IFERROR(__xludf.DUMMYFUNCTION("""COMPUTED_VALUE"""),1.0)</f>
        <v>1</v>
      </c>
      <c r="O5812" s="4" t="str">
        <f>IFERROR(__xludf.DUMMYFUNCTION("""COMPUTED_VALUE"""),"Cardápio Web")</f>
        <v>Cardápio Web</v>
      </c>
      <c r="P5812" s="33">
        <f>IFERROR(__xludf.DUMMYFUNCTION("""COMPUTED_VALUE"""),1.0)</f>
        <v>1</v>
      </c>
      <c r="Q5812" s="4" t="str">
        <f>IFERROR(__xludf.DUMMYFUNCTION("""COMPUTED_VALUE"""),"Cardápio Web")</f>
        <v>Cardápio Web</v>
      </c>
      <c r="R5812" s="33">
        <f>IFERROR(__xludf.DUMMYFUNCTION("""COMPUTED_VALUE"""),1.0)</f>
        <v>1</v>
      </c>
      <c r="S5812" s="4" t="str">
        <f>IFERROR(__xludf.DUMMYFUNCTION("""COMPUTED_VALUE"""),"Cardápio Web")</f>
        <v>Cardápio Web</v>
      </c>
      <c r="T5812" s="33">
        <f>IFERROR(__xludf.DUMMYFUNCTION("""COMPUTED_VALUE"""),1.0)</f>
        <v>1</v>
      </c>
      <c r="U5812" s="4" t="str">
        <f>IFERROR(__xludf.DUMMYFUNCTION("""COMPUTED_VALUE"""),"Cardápio Web")</f>
        <v>Cardápio Web</v>
      </c>
      <c r="V5812" s="33">
        <f>IFERROR(__xludf.DUMMYFUNCTION("""COMPUTED_VALUE"""),1.0)</f>
        <v>1</v>
      </c>
      <c r="W5812" s="4" t="str">
        <f>IFERROR(__xludf.DUMMYFUNCTION("""COMPUTED_VALUE"""),"Cardápio Web")</f>
        <v>Cardápio Web</v>
      </c>
      <c r="X5812" s="33">
        <f>IFERROR(__xludf.DUMMYFUNCTION("""COMPUTED_VALUE"""),1.0)</f>
        <v>1</v>
      </c>
    </row>
    <row r="5813">
      <c r="K5813" s="4" t="str">
        <f>IFERROR(__xludf.DUMMYFUNCTION("""COMPUTED_VALUE"""),"PIZZARIA DO PAPAI")</f>
        <v>PIZZARIA DO PAPAI</v>
      </c>
      <c r="L5813" s="32">
        <f>IFERROR(__xludf.DUMMYFUNCTION("""COMPUTED_VALUE"""),2.0)</f>
        <v>2</v>
      </c>
      <c r="M5813" s="4" t="str">
        <f>IFERROR(__xludf.DUMMYFUNCTION("""COMPUTED_VALUE"""),"null")</f>
        <v>null</v>
      </c>
      <c r="N5813" s="33">
        <f>IFERROR(__xludf.DUMMYFUNCTION("""COMPUTED_VALUE"""),1.0)</f>
        <v>1</v>
      </c>
      <c r="O5813" s="4" t="str">
        <f>IFERROR(__xludf.DUMMYFUNCTION("""COMPUTED_VALUE"""),"null")</f>
        <v>null</v>
      </c>
      <c r="P5813" s="33">
        <f>IFERROR(__xludf.DUMMYFUNCTION("""COMPUTED_VALUE"""),1.0)</f>
        <v>1</v>
      </c>
      <c r="Q5813" s="4" t="str">
        <f>IFERROR(__xludf.DUMMYFUNCTION("""COMPUTED_VALUE"""),"null")</f>
        <v>null</v>
      </c>
      <c r="R5813" s="33">
        <f>IFERROR(__xludf.DUMMYFUNCTION("""COMPUTED_VALUE"""),1.0)</f>
        <v>1</v>
      </c>
      <c r="S5813" s="4" t="str">
        <f>IFERROR(__xludf.DUMMYFUNCTION("""COMPUTED_VALUE"""),"Mp Multipedidos")</f>
        <v>Mp Multipedidos</v>
      </c>
      <c r="T5813" s="33">
        <f>IFERROR(__xludf.DUMMYFUNCTION("""COMPUTED_VALUE"""),0.5)</f>
        <v>0.5</v>
      </c>
      <c r="U5813" s="4" t="str">
        <f>IFERROR(__xludf.DUMMYFUNCTION("""COMPUTED_VALUE"""),"Mp Multipedidos")</f>
        <v>Mp Multipedidos</v>
      </c>
      <c r="V5813" s="33">
        <f>IFERROR(__xludf.DUMMYFUNCTION("""COMPUTED_VALUE"""),0.5)</f>
        <v>0.5</v>
      </c>
      <c r="W5813" s="4" t="str">
        <f>IFERROR(__xludf.DUMMYFUNCTION("""COMPUTED_VALUE"""),"Mp Multipedidos")</f>
        <v>Mp Multipedidos</v>
      </c>
      <c r="X5813" s="33">
        <f>IFERROR(__xludf.DUMMYFUNCTION("""COMPUTED_VALUE"""),0.5)</f>
        <v>0.5</v>
      </c>
    </row>
    <row r="5814">
      <c r="K5814" s="4" t="str">
        <f>IFERROR(__xludf.DUMMYFUNCTION("""COMPUTED_VALUE"""),"OS CHAPAS HAMBURGUERIA")</f>
        <v>OS CHAPAS HAMBURGUERIA</v>
      </c>
      <c r="L5814" s="32">
        <f>IFERROR(__xludf.DUMMYFUNCTION("""COMPUTED_VALUE"""),2.0)</f>
        <v>2</v>
      </c>
      <c r="M5814" s="4" t="str">
        <f>IFERROR(__xludf.DUMMYFUNCTION("""COMPUTED_VALUE"""),"null")</f>
        <v>null</v>
      </c>
      <c r="N5814" s="33">
        <f>IFERROR(__xludf.DUMMYFUNCTION("""COMPUTED_VALUE"""),0.5)</f>
        <v>0.5</v>
      </c>
      <c r="O5814" s="4" t="str">
        <f>IFERROR(__xludf.DUMMYFUNCTION("""COMPUTED_VALUE"""),"null")</f>
        <v>null</v>
      </c>
      <c r="P5814" s="33">
        <f>IFERROR(__xludf.DUMMYFUNCTION("""COMPUTED_VALUE"""),0.5)</f>
        <v>0.5</v>
      </c>
      <c r="Q5814" s="4" t="str">
        <f>IFERROR(__xludf.DUMMYFUNCTION("""COMPUTED_VALUE"""),"null")</f>
        <v>null</v>
      </c>
      <c r="R5814" s="33">
        <f>IFERROR(__xludf.DUMMYFUNCTION("""COMPUTED_VALUE"""),0.5)</f>
        <v>0.5</v>
      </c>
      <c r="S5814" s="4" t="str">
        <f>IFERROR(__xludf.DUMMYFUNCTION("""COMPUTED_VALUE"""),"null")</f>
        <v>null</v>
      </c>
      <c r="T5814" s="33">
        <f>IFERROR(__xludf.DUMMYFUNCTION("""COMPUTED_VALUE"""),0.5)</f>
        <v>0.5</v>
      </c>
      <c r="U5814" s="4" t="str">
        <f>IFERROR(__xludf.DUMMYFUNCTION("""COMPUTED_VALUE"""),"Anota Ai Solucoes Digitais S/a")</f>
        <v>Anota Ai Solucoes Digitais S/a</v>
      </c>
      <c r="V5814" s="33">
        <f>IFERROR(__xludf.DUMMYFUNCTION("""COMPUTED_VALUE"""),1.0)</f>
        <v>1</v>
      </c>
      <c r="W5814" s="4" t="str">
        <f>IFERROR(__xludf.DUMMYFUNCTION("""COMPUTED_VALUE"""),"Anota Ai Solucoes Digitais S/a")</f>
        <v>Anota Ai Solucoes Digitais S/a</v>
      </c>
      <c r="X5814" s="33">
        <f>IFERROR(__xludf.DUMMYFUNCTION("""COMPUTED_VALUE"""),1.0)</f>
        <v>1</v>
      </c>
    </row>
    <row r="5815">
      <c r="K5815" s="4" t="str">
        <f>IFERROR(__xludf.DUMMYFUNCTION("""COMPUTED_VALUE"""),"DELICIAS DA CELIA")</f>
        <v>DELICIAS DA CELIA</v>
      </c>
      <c r="L5815" s="32">
        <f>IFERROR(__xludf.DUMMYFUNCTION("""COMPUTED_VALUE"""),2.0)</f>
        <v>2</v>
      </c>
      <c r="M5815" s="4" t="str">
        <f>IFERROR(__xludf.DUMMYFUNCTION("""COMPUTED_VALUE"""),"Consumer Soluções Em Tecnologia Ltda")</f>
        <v>Consumer Soluções Em Tecnologia Ltda</v>
      </c>
      <c r="N5815" s="33">
        <f>IFERROR(__xludf.DUMMYFUNCTION("""COMPUTED_VALUE"""),0.5)</f>
        <v>0.5</v>
      </c>
      <c r="O5815" s="4" t="str">
        <f>IFERROR(__xludf.DUMMYFUNCTION("""COMPUTED_VALUE"""),"Consumer Soluções Em Tecnologia Ltda")</f>
        <v>Consumer Soluções Em Tecnologia Ltda</v>
      </c>
      <c r="P5815" s="33">
        <f>IFERROR(__xludf.DUMMYFUNCTION("""COMPUTED_VALUE"""),0.5)</f>
        <v>0.5</v>
      </c>
      <c r="Q5815" s="4" t="str">
        <f>IFERROR(__xludf.DUMMYFUNCTION("""COMPUTED_VALUE"""),"Consumer Soluções Em Tecnologia Ltda")</f>
        <v>Consumer Soluções Em Tecnologia Ltda</v>
      </c>
      <c r="R5815" s="33">
        <f>IFERROR(__xludf.DUMMYFUNCTION("""COMPUTED_VALUE"""),0.5)</f>
        <v>0.5</v>
      </c>
      <c r="S5815" s="4" t="str">
        <f>IFERROR(__xludf.DUMMYFUNCTION("""COMPUTED_VALUE"""),"Consumer Soluções Em Tecnologia Ltda")</f>
        <v>Consumer Soluções Em Tecnologia Ltda</v>
      </c>
      <c r="T5815" s="33">
        <f>IFERROR(__xludf.DUMMYFUNCTION("""COMPUTED_VALUE"""),0.5)</f>
        <v>0.5</v>
      </c>
      <c r="U5815" s="4" t="str">
        <f>IFERROR(__xludf.DUMMYFUNCTION("""COMPUTED_VALUE"""),"Consumer Soluções Em Tecnologia Ltda")</f>
        <v>Consumer Soluções Em Tecnologia Ltda</v>
      </c>
      <c r="V5815" s="33">
        <f>IFERROR(__xludf.DUMMYFUNCTION("""COMPUTED_VALUE"""),0.5)</f>
        <v>0.5</v>
      </c>
      <c r="W5815" s="4" t="str">
        <f>IFERROR(__xludf.DUMMYFUNCTION("""COMPUTED_VALUE"""),"Consumer Soluções Em Tecnologia Ltda")</f>
        <v>Consumer Soluções Em Tecnologia Ltda</v>
      </c>
      <c r="X5815" s="33">
        <f>IFERROR(__xludf.DUMMYFUNCTION("""COMPUTED_VALUE"""),0.5)</f>
        <v>0.5</v>
      </c>
    </row>
    <row r="5816">
      <c r="K5816" s="4" t="str">
        <f>IFERROR(__xludf.DUMMYFUNCTION("""COMPUTED_VALUE"""),"ACALU PIZZARIA")</f>
        <v>ACALU PIZZARIA</v>
      </c>
      <c r="L5816" s="32">
        <f>IFERROR(__xludf.DUMMYFUNCTION("""COMPUTED_VALUE"""),2.0)</f>
        <v>2</v>
      </c>
      <c r="M5816" s="4" t="str">
        <f>IFERROR(__xludf.DUMMYFUNCTION("""COMPUTED_VALUE"""),"Cardápio Web")</f>
        <v>Cardápio Web</v>
      </c>
      <c r="N5816" s="33">
        <f>IFERROR(__xludf.DUMMYFUNCTION("""COMPUTED_VALUE"""),1.0)</f>
        <v>1</v>
      </c>
      <c r="O5816" s="4" t="str">
        <f>IFERROR(__xludf.DUMMYFUNCTION("""COMPUTED_VALUE"""),"Cardápio Web")</f>
        <v>Cardápio Web</v>
      </c>
      <c r="P5816" s="33">
        <f>IFERROR(__xludf.DUMMYFUNCTION("""COMPUTED_VALUE"""),1.0)</f>
        <v>1</v>
      </c>
      <c r="Q5816" s="4" t="str">
        <f>IFERROR(__xludf.DUMMYFUNCTION("""COMPUTED_VALUE"""),"Cardápio Web")</f>
        <v>Cardápio Web</v>
      </c>
      <c r="R5816" s="33">
        <f>IFERROR(__xludf.DUMMYFUNCTION("""COMPUTED_VALUE"""),1.0)</f>
        <v>1</v>
      </c>
      <c r="S5816" s="4" t="str">
        <f>IFERROR(__xludf.DUMMYFUNCTION("""COMPUTED_VALUE"""),"Cardápio Web")</f>
        <v>Cardápio Web</v>
      </c>
      <c r="T5816" s="33">
        <f>IFERROR(__xludf.DUMMYFUNCTION("""COMPUTED_VALUE"""),0.5)</f>
        <v>0.5</v>
      </c>
      <c r="U5816" s="4" t="str">
        <f>IFERROR(__xludf.DUMMYFUNCTION("""COMPUTED_VALUE"""),"Cardápio Web")</f>
        <v>Cardápio Web</v>
      </c>
      <c r="V5816" s="33">
        <f>IFERROR(__xludf.DUMMYFUNCTION("""COMPUTED_VALUE"""),0.5)</f>
        <v>0.5</v>
      </c>
      <c r="W5816" s="4" t="str">
        <f>IFERROR(__xludf.DUMMYFUNCTION("""COMPUTED_VALUE"""),"Cardápio Web")</f>
        <v>Cardápio Web</v>
      </c>
      <c r="X5816" s="33">
        <f>IFERROR(__xludf.DUMMYFUNCTION("""COMPUTED_VALUE"""),0.5)</f>
        <v>0.5</v>
      </c>
    </row>
    <row r="5817">
      <c r="K5817" s="4" t="str">
        <f>IFERROR(__xludf.DUMMYFUNCTION("""COMPUTED_VALUE"""),"LA HAMBURGUESA")</f>
        <v>LA HAMBURGUESA</v>
      </c>
      <c r="L5817" s="32">
        <f>IFERROR(__xludf.DUMMYFUNCTION("""COMPUTED_VALUE"""),2.0)</f>
        <v>2</v>
      </c>
      <c r="M5817" s="4" t="str">
        <f>IFERROR(__xludf.DUMMYFUNCTION("""COMPUTED_VALUE"""),"Sistemas Na Web")</f>
        <v>Sistemas Na Web</v>
      </c>
      <c r="N5817" s="33">
        <f>IFERROR(__xludf.DUMMYFUNCTION("""COMPUTED_VALUE"""),0.5)</f>
        <v>0.5</v>
      </c>
      <c r="O5817" s="4" t="str">
        <f>IFERROR(__xludf.DUMMYFUNCTION("""COMPUTED_VALUE"""),"Sistemas Na Web")</f>
        <v>Sistemas Na Web</v>
      </c>
      <c r="P5817" s="33">
        <f>IFERROR(__xludf.DUMMYFUNCTION("""COMPUTED_VALUE"""),0.5)</f>
        <v>0.5</v>
      </c>
      <c r="Q5817" s="4" t="str">
        <f>IFERROR(__xludf.DUMMYFUNCTION("""COMPUTED_VALUE"""),"Sistemas Na Web")</f>
        <v>Sistemas Na Web</v>
      </c>
      <c r="R5817" s="33">
        <f>IFERROR(__xludf.DUMMYFUNCTION("""COMPUTED_VALUE"""),0.5)</f>
        <v>0.5</v>
      </c>
      <c r="S5817" s="4" t="str">
        <f>IFERROR(__xludf.DUMMYFUNCTION("""COMPUTED_VALUE"""),"Sistemas Na Web")</f>
        <v>Sistemas Na Web</v>
      </c>
      <c r="T5817" s="33">
        <f>IFERROR(__xludf.DUMMYFUNCTION("""COMPUTED_VALUE"""),0.5)</f>
        <v>0.5</v>
      </c>
      <c r="U5817" s="4" t="str">
        <f>IFERROR(__xludf.DUMMYFUNCTION("""COMPUTED_VALUE"""),"Sistemas Na Web")</f>
        <v>Sistemas Na Web</v>
      </c>
      <c r="V5817" s="33">
        <f>IFERROR(__xludf.DUMMYFUNCTION("""COMPUTED_VALUE"""),0.5)</f>
        <v>0.5</v>
      </c>
      <c r="W5817" s="4" t="str">
        <f>IFERROR(__xludf.DUMMYFUNCTION("""COMPUTED_VALUE"""),"Sistemas Na Web")</f>
        <v>Sistemas Na Web</v>
      </c>
      <c r="X5817" s="33">
        <f>IFERROR(__xludf.DUMMYFUNCTION("""COMPUTED_VALUE"""),0.5)</f>
        <v>0.5</v>
      </c>
    </row>
    <row r="5818">
      <c r="K5818" s="4" t="str">
        <f>IFERROR(__xludf.DUMMYFUNCTION("""COMPUTED_VALUE"""),"SABOR TROPICAL")</f>
        <v>SABOR TROPICAL</v>
      </c>
      <c r="L5818" s="32">
        <f>IFERROR(__xludf.DUMMYFUNCTION("""COMPUTED_VALUE"""),2.0)</f>
        <v>2</v>
      </c>
      <c r="M5818" s="4" t="str">
        <f>IFERROR(__xludf.DUMMYFUNCTION("""COMPUTED_VALUE"""),"Anota Ai Solucoes Digitais S/a")</f>
        <v>Anota Ai Solucoes Digitais S/a</v>
      </c>
      <c r="N5818" s="33">
        <f>IFERROR(__xludf.DUMMYFUNCTION("""COMPUTED_VALUE"""),0.5)</f>
        <v>0.5</v>
      </c>
      <c r="O5818" s="4" t="str">
        <f>IFERROR(__xludf.DUMMYFUNCTION("""COMPUTED_VALUE"""),"null")</f>
        <v>null</v>
      </c>
      <c r="P5818" s="33">
        <f>IFERROR(__xludf.DUMMYFUNCTION("""COMPUTED_VALUE"""),0.5)</f>
        <v>0.5</v>
      </c>
      <c r="Q5818" s="4" t="str">
        <f>IFERROR(__xludf.DUMMYFUNCTION("""COMPUTED_VALUE"""),"Anota Ai Solucoes Digitais S/a")</f>
        <v>Anota Ai Solucoes Digitais S/a</v>
      </c>
      <c r="R5818" s="33">
        <f>IFERROR(__xludf.DUMMYFUNCTION("""COMPUTED_VALUE"""),0.5)</f>
        <v>0.5</v>
      </c>
      <c r="S5818" s="4" t="str">
        <f>IFERROR(__xludf.DUMMYFUNCTION("""COMPUTED_VALUE"""),"Anota Ai Solucoes Digitais S/a")</f>
        <v>Anota Ai Solucoes Digitais S/a</v>
      </c>
      <c r="T5818" s="33">
        <f>IFERROR(__xludf.DUMMYFUNCTION("""COMPUTED_VALUE"""),0.5)</f>
        <v>0.5</v>
      </c>
      <c r="U5818" s="4" t="str">
        <f>IFERROR(__xludf.DUMMYFUNCTION("""COMPUTED_VALUE"""),"Anota Ai Solucoes Digitais S/a")</f>
        <v>Anota Ai Solucoes Digitais S/a</v>
      </c>
      <c r="V5818" s="33">
        <f>IFERROR(__xludf.DUMMYFUNCTION("""COMPUTED_VALUE"""),0.5)</f>
        <v>0.5</v>
      </c>
      <c r="W5818" s="4" t="str">
        <f>IFERROR(__xludf.DUMMYFUNCTION("""COMPUTED_VALUE"""),"Anota Ai Solucoes Digitais S/a")</f>
        <v>Anota Ai Solucoes Digitais S/a</v>
      </c>
      <c r="X5818" s="33">
        <f>IFERROR(__xludf.DUMMYFUNCTION("""COMPUTED_VALUE"""),0.5)</f>
        <v>0.5</v>
      </c>
    </row>
    <row r="5819">
      <c r="K5819" s="4" t="str">
        <f>IFERROR(__xludf.DUMMYFUNCTION("""COMPUTED_VALUE"""),"DON PEPPERONI")</f>
        <v>DON PEPPERONI</v>
      </c>
      <c r="L5819" s="32">
        <f>IFERROR(__xludf.DUMMYFUNCTION("""COMPUTED_VALUE"""),2.0)</f>
        <v>2</v>
      </c>
      <c r="M5819" s="4" t="str">
        <f>IFERROR(__xludf.DUMMYFUNCTION("""COMPUTED_VALUE"""),"Ajx Automação")</f>
        <v>Ajx Automação</v>
      </c>
      <c r="N5819" s="33">
        <f>IFERROR(__xludf.DUMMYFUNCTION("""COMPUTED_VALUE"""),0.5)</f>
        <v>0.5</v>
      </c>
      <c r="O5819" s="4" t="str">
        <f>IFERROR(__xludf.DUMMYFUNCTION("""COMPUTED_VALUE"""),"Ajx Automação")</f>
        <v>Ajx Automação</v>
      </c>
      <c r="P5819" s="33">
        <f>IFERROR(__xludf.DUMMYFUNCTION("""COMPUTED_VALUE"""),0.5)</f>
        <v>0.5</v>
      </c>
      <c r="Q5819" s="4" t="str">
        <f>IFERROR(__xludf.DUMMYFUNCTION("""COMPUTED_VALUE"""),"Ajx Automação")</f>
        <v>Ajx Automação</v>
      </c>
      <c r="R5819" s="33">
        <f>IFERROR(__xludf.DUMMYFUNCTION("""COMPUTED_VALUE"""),0.5)</f>
        <v>0.5</v>
      </c>
      <c r="S5819" s="4" t="str">
        <f>IFERROR(__xludf.DUMMYFUNCTION("""COMPUTED_VALUE"""),"Ajx Automação")</f>
        <v>Ajx Automação</v>
      </c>
      <c r="T5819" s="33">
        <f>IFERROR(__xludf.DUMMYFUNCTION("""COMPUTED_VALUE"""),0.5)</f>
        <v>0.5</v>
      </c>
      <c r="U5819" s="4" t="str">
        <f>IFERROR(__xludf.DUMMYFUNCTION("""COMPUTED_VALUE"""),"Ajx Automação")</f>
        <v>Ajx Automação</v>
      </c>
      <c r="V5819" s="33">
        <f>IFERROR(__xludf.DUMMYFUNCTION("""COMPUTED_VALUE"""),0.5)</f>
        <v>0.5</v>
      </c>
      <c r="W5819" s="4" t="str">
        <f>IFERROR(__xludf.DUMMYFUNCTION("""COMPUTED_VALUE"""),"Ajx Automação")</f>
        <v>Ajx Automação</v>
      </c>
      <c r="X5819" s="33">
        <f>IFERROR(__xludf.DUMMYFUNCTION("""COMPUTED_VALUE"""),0.5)</f>
        <v>0.5</v>
      </c>
    </row>
    <row r="5820">
      <c r="K5820" s="4" t="str">
        <f>IFERROR(__xludf.DUMMYFUNCTION("""COMPUTED_VALUE"""),"MISTER DIDIO PIZZARIA")</f>
        <v>MISTER DIDIO PIZZARIA</v>
      </c>
      <c r="L5820" s="32">
        <f>IFERROR(__xludf.DUMMYFUNCTION("""COMPUTED_VALUE"""),2.0)</f>
        <v>2</v>
      </c>
      <c r="M5820" s="4" t="str">
        <f>IFERROR(__xludf.DUMMYFUNCTION("""COMPUTED_VALUE"""),"Saipos Serviços De Software")</f>
        <v>Saipos Serviços De Software</v>
      </c>
      <c r="N5820" s="33">
        <f>IFERROR(__xludf.DUMMYFUNCTION("""COMPUTED_VALUE"""),1.0)</f>
        <v>1</v>
      </c>
      <c r="O5820" s="4" t="str">
        <f>IFERROR(__xludf.DUMMYFUNCTION("""COMPUTED_VALUE"""),"Saipos Serviços De Software")</f>
        <v>Saipos Serviços De Software</v>
      </c>
      <c r="P5820" s="33">
        <f>IFERROR(__xludf.DUMMYFUNCTION("""COMPUTED_VALUE"""),1.0)</f>
        <v>1</v>
      </c>
      <c r="Q5820" s="4" t="str">
        <f>IFERROR(__xludf.DUMMYFUNCTION("""COMPUTED_VALUE"""),"Saipos Serviços De Software")</f>
        <v>Saipos Serviços De Software</v>
      </c>
      <c r="R5820" s="33">
        <f>IFERROR(__xludf.DUMMYFUNCTION("""COMPUTED_VALUE"""),1.0)</f>
        <v>1</v>
      </c>
      <c r="S5820" s="4" t="str">
        <f>IFERROR(__xludf.DUMMYFUNCTION("""COMPUTED_VALUE"""),"Saipos Serviços De Software")</f>
        <v>Saipos Serviços De Software</v>
      </c>
      <c r="T5820" s="33">
        <f>IFERROR(__xludf.DUMMYFUNCTION("""COMPUTED_VALUE"""),1.0)</f>
        <v>1</v>
      </c>
      <c r="U5820" s="4" t="str">
        <f>IFERROR(__xludf.DUMMYFUNCTION("""COMPUTED_VALUE"""),"Saipos Serviços De Software")</f>
        <v>Saipos Serviços De Software</v>
      </c>
      <c r="V5820" s="33">
        <f>IFERROR(__xludf.DUMMYFUNCTION("""COMPUTED_VALUE"""),1.0)</f>
        <v>1</v>
      </c>
      <c r="W5820" s="4" t="str">
        <f>IFERROR(__xludf.DUMMYFUNCTION("""COMPUTED_VALUE"""),"Saipos Serviços De Software")</f>
        <v>Saipos Serviços De Software</v>
      </c>
      <c r="X5820" s="33">
        <f>IFERROR(__xludf.DUMMYFUNCTION("""COMPUTED_VALUE"""),1.0)</f>
        <v>1</v>
      </c>
    </row>
    <row r="5821">
      <c r="K5821" s="4" t="str">
        <f>IFERROR(__xludf.DUMMYFUNCTION("""COMPUTED_VALUE"""),"CONFEITARIA DA GABI - BOLOS E DOCES")</f>
        <v>CONFEITARIA DA GABI - BOLOS E DOCES</v>
      </c>
      <c r="L5821" s="32">
        <f>IFERROR(__xludf.DUMMYFUNCTION("""COMPUTED_VALUE"""),2.0)</f>
        <v>2</v>
      </c>
      <c r="M5821" s="4" t="str">
        <f>IFERROR(__xludf.DUMMYFUNCTION("""COMPUTED_VALUE"""),"Yooga")</f>
        <v>Yooga</v>
      </c>
      <c r="N5821" s="33">
        <f>IFERROR(__xludf.DUMMYFUNCTION("""COMPUTED_VALUE"""),1.0)</f>
        <v>1</v>
      </c>
      <c r="O5821" s="4" t="str">
        <f>IFERROR(__xludf.DUMMYFUNCTION("""COMPUTED_VALUE"""),"Yooga")</f>
        <v>Yooga</v>
      </c>
      <c r="P5821" s="33">
        <f>IFERROR(__xludf.DUMMYFUNCTION("""COMPUTED_VALUE"""),1.0)</f>
        <v>1</v>
      </c>
      <c r="Q5821" s="4" t="str">
        <f>IFERROR(__xludf.DUMMYFUNCTION("""COMPUTED_VALUE"""),"Yooga")</f>
        <v>Yooga</v>
      </c>
      <c r="R5821" s="33">
        <f>IFERROR(__xludf.DUMMYFUNCTION("""COMPUTED_VALUE"""),1.0)</f>
        <v>1</v>
      </c>
      <c r="S5821" s="4" t="str">
        <f>IFERROR(__xludf.DUMMYFUNCTION("""COMPUTED_VALUE"""),"Yooga")</f>
        <v>Yooga</v>
      </c>
      <c r="T5821" s="33">
        <f>IFERROR(__xludf.DUMMYFUNCTION("""COMPUTED_VALUE"""),1.0)</f>
        <v>1</v>
      </c>
      <c r="U5821" s="4" t="str">
        <f>IFERROR(__xludf.DUMMYFUNCTION("""COMPUTED_VALUE"""),"Yooga")</f>
        <v>Yooga</v>
      </c>
      <c r="V5821" s="33">
        <f>IFERROR(__xludf.DUMMYFUNCTION("""COMPUTED_VALUE"""),1.0)</f>
        <v>1</v>
      </c>
      <c r="W5821" s="4" t="str">
        <f>IFERROR(__xludf.DUMMYFUNCTION("""COMPUTED_VALUE"""),"Yooga")</f>
        <v>Yooga</v>
      </c>
      <c r="X5821" s="33">
        <f>IFERROR(__xludf.DUMMYFUNCTION("""COMPUTED_VALUE"""),1.0)</f>
        <v>1</v>
      </c>
    </row>
    <row r="5822">
      <c r="K5822" s="4" t="str">
        <f>IFERROR(__xludf.DUMMYFUNCTION("""COMPUTED_VALUE"""),"SUPER LANCHES")</f>
        <v>SUPER LANCHES</v>
      </c>
      <c r="L5822" s="32">
        <f>IFERROR(__xludf.DUMMYFUNCTION("""COMPUTED_VALUE"""),2.0)</f>
        <v>2</v>
      </c>
      <c r="M5822" s="4" t="str">
        <f>IFERROR(__xludf.DUMMYFUNCTION("""COMPUTED_VALUE"""),"Anota Ai Solucoes Digitais S/a")</f>
        <v>Anota Ai Solucoes Digitais S/a</v>
      </c>
      <c r="N5822" s="33">
        <f>IFERROR(__xludf.DUMMYFUNCTION("""COMPUTED_VALUE"""),0.5)</f>
        <v>0.5</v>
      </c>
      <c r="O5822" s="4" t="str">
        <f>IFERROR(__xludf.DUMMYFUNCTION("""COMPUTED_VALUE"""),"Anota Ai Solucoes Digitais S/a")</f>
        <v>Anota Ai Solucoes Digitais S/a</v>
      </c>
      <c r="P5822" s="33">
        <f>IFERROR(__xludf.DUMMYFUNCTION("""COMPUTED_VALUE"""),0.5)</f>
        <v>0.5</v>
      </c>
      <c r="Q5822" s="4" t="str">
        <f>IFERROR(__xludf.DUMMYFUNCTION("""COMPUTED_VALUE"""),"Anota Ai Solucoes Digitais S/a")</f>
        <v>Anota Ai Solucoes Digitais S/a</v>
      </c>
      <c r="R5822" s="33">
        <f>IFERROR(__xludf.DUMMYFUNCTION("""COMPUTED_VALUE"""),0.5)</f>
        <v>0.5</v>
      </c>
      <c r="S5822" s="4" t="str">
        <f>IFERROR(__xludf.DUMMYFUNCTION("""COMPUTED_VALUE"""),"Anota Ai Solucoes Digitais S/a")</f>
        <v>Anota Ai Solucoes Digitais S/a</v>
      </c>
      <c r="T5822" s="33">
        <f>IFERROR(__xludf.DUMMYFUNCTION("""COMPUTED_VALUE"""),0.5)</f>
        <v>0.5</v>
      </c>
      <c r="U5822" s="4" t="str">
        <f>IFERROR(__xludf.DUMMYFUNCTION("""COMPUTED_VALUE"""),"Anota Ai Solucoes Digitais S/a")</f>
        <v>Anota Ai Solucoes Digitais S/a</v>
      </c>
      <c r="V5822" s="33">
        <f>IFERROR(__xludf.DUMMYFUNCTION("""COMPUTED_VALUE"""),0.5)</f>
        <v>0.5</v>
      </c>
      <c r="W5822" s="4" t="str">
        <f>IFERROR(__xludf.DUMMYFUNCTION("""COMPUTED_VALUE"""),"Anota Ai Solucoes Digitais S/a")</f>
        <v>Anota Ai Solucoes Digitais S/a</v>
      </c>
      <c r="X5822" s="33">
        <f>IFERROR(__xludf.DUMMYFUNCTION("""COMPUTED_VALUE"""),0.5)</f>
        <v>0.5</v>
      </c>
    </row>
    <row r="5823">
      <c r="K5823" s="4" t="str">
        <f>IFERROR(__xludf.DUMMYFUNCTION("""COMPUTED_VALUE"""),"PLUTUS")</f>
        <v>PLUTUS</v>
      </c>
      <c r="L5823" s="32">
        <f>IFERROR(__xludf.DUMMYFUNCTION("""COMPUTED_VALUE"""),2.0)</f>
        <v>2</v>
      </c>
      <c r="M5823" s="4" t="str">
        <f>IFERROR(__xludf.DUMMYFUNCTION("""COMPUTED_VALUE"""),"Saipos Serviços De Software")</f>
        <v>Saipos Serviços De Software</v>
      </c>
      <c r="N5823" s="33">
        <f>IFERROR(__xludf.DUMMYFUNCTION("""COMPUTED_VALUE"""),1.0)</f>
        <v>1</v>
      </c>
      <c r="O5823" s="4" t="str">
        <f>IFERROR(__xludf.DUMMYFUNCTION("""COMPUTED_VALUE"""),"Saipos Serviços De Software")</f>
        <v>Saipos Serviços De Software</v>
      </c>
      <c r="P5823" s="33">
        <f>IFERROR(__xludf.DUMMYFUNCTION("""COMPUTED_VALUE"""),1.0)</f>
        <v>1</v>
      </c>
      <c r="Q5823" s="4" t="str">
        <f>IFERROR(__xludf.DUMMYFUNCTION("""COMPUTED_VALUE"""),"Saipos Serviços De Software")</f>
        <v>Saipos Serviços De Software</v>
      </c>
      <c r="R5823" s="33">
        <f>IFERROR(__xludf.DUMMYFUNCTION("""COMPUTED_VALUE"""),1.0)</f>
        <v>1</v>
      </c>
      <c r="S5823" s="4" t="str">
        <f>IFERROR(__xludf.DUMMYFUNCTION("""COMPUTED_VALUE"""),"Saipos Serviços De Software")</f>
        <v>Saipos Serviços De Software</v>
      </c>
      <c r="T5823" s="33">
        <f>IFERROR(__xludf.DUMMYFUNCTION("""COMPUTED_VALUE"""),1.0)</f>
        <v>1</v>
      </c>
      <c r="U5823" s="4" t="str">
        <f>IFERROR(__xludf.DUMMYFUNCTION("""COMPUTED_VALUE"""),"Saipos Serviços De Software")</f>
        <v>Saipos Serviços De Software</v>
      </c>
      <c r="V5823" s="33">
        <f>IFERROR(__xludf.DUMMYFUNCTION("""COMPUTED_VALUE"""),1.0)</f>
        <v>1</v>
      </c>
      <c r="W5823" s="4" t="str">
        <f>IFERROR(__xludf.DUMMYFUNCTION("""COMPUTED_VALUE"""),"Saipos Serviços De Software")</f>
        <v>Saipos Serviços De Software</v>
      </c>
      <c r="X5823" s="33">
        <f>IFERROR(__xludf.DUMMYFUNCTION("""COMPUTED_VALUE"""),1.0)</f>
        <v>1</v>
      </c>
    </row>
    <row r="5824">
      <c r="K5824" s="4" t="str">
        <f>IFERROR(__xludf.DUMMYFUNCTION("""COMPUTED_VALUE"""),"PERFEITO SABOR")</f>
        <v>PERFEITO SABOR</v>
      </c>
      <c r="L5824" s="32">
        <f>IFERROR(__xludf.DUMMYFUNCTION("""COMPUTED_VALUE"""),2.0)</f>
        <v>2</v>
      </c>
      <c r="M5824" s="4" t="str">
        <f>IFERROR(__xludf.DUMMYFUNCTION("""COMPUTED_VALUE"""),"Suitable Tecnologia E Gestao")</f>
        <v>Suitable Tecnologia E Gestao</v>
      </c>
      <c r="N5824" s="33">
        <f>IFERROR(__xludf.DUMMYFUNCTION("""COMPUTED_VALUE"""),1.0)</f>
        <v>1</v>
      </c>
      <c r="O5824" s="4" t="str">
        <f>IFERROR(__xludf.DUMMYFUNCTION("""COMPUTED_VALUE"""),"Suitable Tecnologia E Gestao")</f>
        <v>Suitable Tecnologia E Gestao</v>
      </c>
      <c r="P5824" s="33">
        <f>IFERROR(__xludf.DUMMYFUNCTION("""COMPUTED_VALUE"""),1.0)</f>
        <v>1</v>
      </c>
      <c r="Q5824" s="4" t="str">
        <f>IFERROR(__xludf.DUMMYFUNCTION("""COMPUTED_VALUE"""),"Suitable Tecnologia E Gestao")</f>
        <v>Suitable Tecnologia E Gestao</v>
      </c>
      <c r="R5824" s="33">
        <f>IFERROR(__xludf.DUMMYFUNCTION("""COMPUTED_VALUE"""),1.0)</f>
        <v>1</v>
      </c>
      <c r="S5824" s="4" t="str">
        <f>IFERROR(__xludf.DUMMYFUNCTION("""COMPUTED_VALUE"""),"Suitable Tecnologia E Gestao")</f>
        <v>Suitable Tecnologia E Gestao</v>
      </c>
      <c r="T5824" s="33">
        <f>IFERROR(__xludf.DUMMYFUNCTION("""COMPUTED_VALUE"""),1.0)</f>
        <v>1</v>
      </c>
      <c r="U5824" s="4" t="str">
        <f>IFERROR(__xludf.DUMMYFUNCTION("""COMPUTED_VALUE"""),"Suitable Tecnologia E Gestao")</f>
        <v>Suitable Tecnologia E Gestao</v>
      </c>
      <c r="V5824" s="33">
        <f>IFERROR(__xludf.DUMMYFUNCTION("""COMPUTED_VALUE"""),1.0)</f>
        <v>1</v>
      </c>
      <c r="W5824" s="4" t="str">
        <f>IFERROR(__xludf.DUMMYFUNCTION("""COMPUTED_VALUE"""),"Suitable Tecnologia E Gestao")</f>
        <v>Suitable Tecnologia E Gestao</v>
      </c>
      <c r="X5824" s="33">
        <f>IFERROR(__xludf.DUMMYFUNCTION("""COMPUTED_VALUE"""),1.0)</f>
        <v>1</v>
      </c>
    </row>
    <row r="5825">
      <c r="K5825" s="4" t="str">
        <f>IFERROR(__xludf.DUMMYFUNCTION("""COMPUTED_VALUE"""),"PIZZARIA REI DA PIZZA")</f>
        <v>PIZZARIA REI DA PIZZA</v>
      </c>
      <c r="L5825" s="32">
        <f>IFERROR(__xludf.DUMMYFUNCTION("""COMPUTED_VALUE"""),2.0)</f>
        <v>2</v>
      </c>
      <c r="M5825" s="4" t="str">
        <f>IFERROR(__xludf.DUMMYFUNCTION("""COMPUTED_VALUE"""),"null")</f>
        <v>null</v>
      </c>
      <c r="N5825" s="33">
        <f>IFERROR(__xludf.DUMMYFUNCTION("""COMPUTED_VALUE"""),0.5)</f>
        <v>0.5</v>
      </c>
      <c r="O5825" s="4" t="str">
        <f>IFERROR(__xludf.DUMMYFUNCTION("""COMPUTED_VALUE"""),"null")</f>
        <v>null</v>
      </c>
      <c r="P5825" s="33">
        <f>IFERROR(__xludf.DUMMYFUNCTION("""COMPUTED_VALUE"""),0.5)</f>
        <v>0.5</v>
      </c>
      <c r="Q5825" s="4" t="str">
        <f>IFERROR(__xludf.DUMMYFUNCTION("""COMPUTED_VALUE"""),"Gfr Tec")</f>
        <v>Gfr Tec</v>
      </c>
      <c r="R5825" s="33">
        <f>IFERROR(__xludf.DUMMYFUNCTION("""COMPUTED_VALUE"""),0.5)</f>
        <v>0.5</v>
      </c>
      <c r="S5825" s="4" t="str">
        <f>IFERROR(__xludf.DUMMYFUNCTION("""COMPUTED_VALUE"""),"null")</f>
        <v>null</v>
      </c>
      <c r="T5825" s="33">
        <f>IFERROR(__xludf.DUMMYFUNCTION("""COMPUTED_VALUE"""),0.5)</f>
        <v>0.5</v>
      </c>
      <c r="U5825" s="4" t="str">
        <f>IFERROR(__xludf.DUMMYFUNCTION("""COMPUTED_VALUE"""),"null")</f>
        <v>null</v>
      </c>
      <c r="V5825" s="33">
        <f>IFERROR(__xludf.DUMMYFUNCTION("""COMPUTED_VALUE"""),0.5)</f>
        <v>0.5</v>
      </c>
      <c r="W5825" s="4" t="str">
        <f>IFERROR(__xludf.DUMMYFUNCTION("""COMPUTED_VALUE"""),"null")</f>
        <v>null</v>
      </c>
      <c r="X5825" s="33">
        <f>IFERROR(__xludf.DUMMYFUNCTION("""COMPUTED_VALUE"""),1.0)</f>
        <v>1</v>
      </c>
    </row>
    <row r="5826">
      <c r="K5826" s="4" t="str">
        <f>IFERROR(__xludf.DUMMYFUNCTION("""COMPUTED_VALUE"""),"TAKAI SUSHI BAR")</f>
        <v>TAKAI SUSHI BAR</v>
      </c>
      <c r="L5826" s="32">
        <f>IFERROR(__xludf.DUMMYFUNCTION("""COMPUTED_VALUE"""),2.0)</f>
        <v>2</v>
      </c>
      <c r="M5826" s="4" t="str">
        <f>IFERROR(__xludf.DUMMYFUNCTION("""COMPUTED_VALUE"""),"Metre Sistemas")</f>
        <v>Metre Sistemas</v>
      </c>
      <c r="N5826" s="33">
        <f>IFERROR(__xludf.DUMMYFUNCTION("""COMPUTED_VALUE"""),0.5)</f>
        <v>0.5</v>
      </c>
      <c r="O5826" s="4" t="str">
        <f>IFERROR(__xludf.DUMMYFUNCTION("""COMPUTED_VALUE"""),"Metre Sistemas")</f>
        <v>Metre Sistemas</v>
      </c>
      <c r="P5826" s="33">
        <f>IFERROR(__xludf.DUMMYFUNCTION("""COMPUTED_VALUE"""),0.5)</f>
        <v>0.5</v>
      </c>
      <c r="Q5826" s="4" t="str">
        <f>IFERROR(__xludf.DUMMYFUNCTION("""COMPUTED_VALUE"""),"Metre Sistemas")</f>
        <v>Metre Sistemas</v>
      </c>
      <c r="R5826" s="33">
        <f>IFERROR(__xludf.DUMMYFUNCTION("""COMPUTED_VALUE"""),0.5)</f>
        <v>0.5</v>
      </c>
      <c r="S5826" s="4" t="str">
        <f>IFERROR(__xludf.DUMMYFUNCTION("""COMPUTED_VALUE"""),"Metre Sistemas")</f>
        <v>Metre Sistemas</v>
      </c>
      <c r="T5826" s="33">
        <f>IFERROR(__xludf.DUMMYFUNCTION("""COMPUTED_VALUE"""),0.5)</f>
        <v>0.5</v>
      </c>
      <c r="U5826" s="4" t="str">
        <f>IFERROR(__xludf.DUMMYFUNCTION("""COMPUTED_VALUE"""),"Metre Sistemas")</f>
        <v>Metre Sistemas</v>
      </c>
      <c r="V5826" s="33">
        <f>IFERROR(__xludf.DUMMYFUNCTION("""COMPUTED_VALUE"""),0.5)</f>
        <v>0.5</v>
      </c>
      <c r="W5826" s="4" t="str">
        <f>IFERROR(__xludf.DUMMYFUNCTION("""COMPUTED_VALUE"""),"Metre Sistemas")</f>
        <v>Metre Sistemas</v>
      </c>
      <c r="X5826" s="33">
        <f>IFERROR(__xludf.DUMMYFUNCTION("""COMPUTED_VALUE"""),0.5)</f>
        <v>0.5</v>
      </c>
    </row>
    <row r="5827">
      <c r="K5827" s="4" t="str">
        <f>IFERROR(__xludf.DUMMYFUNCTION("""COMPUTED_VALUE"""),"WOW BURGER")</f>
        <v>WOW BURGER</v>
      </c>
      <c r="L5827" s="32">
        <f>IFERROR(__xludf.DUMMYFUNCTION("""COMPUTED_VALUE"""),2.0)</f>
        <v>2</v>
      </c>
      <c r="M5827" s="4" t="str">
        <f>IFERROR(__xludf.DUMMYFUNCTION("""COMPUTED_VALUE"""),"Saipos Serviços De Software")</f>
        <v>Saipos Serviços De Software</v>
      </c>
      <c r="N5827" s="33">
        <f>IFERROR(__xludf.DUMMYFUNCTION("""COMPUTED_VALUE"""),1.0)</f>
        <v>1</v>
      </c>
      <c r="O5827" s="4" t="str">
        <f>IFERROR(__xludf.DUMMYFUNCTION("""COMPUTED_VALUE"""),"Saipos Serviços De Software")</f>
        <v>Saipos Serviços De Software</v>
      </c>
      <c r="P5827" s="33">
        <f>IFERROR(__xludf.DUMMYFUNCTION("""COMPUTED_VALUE"""),1.0)</f>
        <v>1</v>
      </c>
      <c r="Q5827" s="4" t="str">
        <f>IFERROR(__xludf.DUMMYFUNCTION("""COMPUTED_VALUE"""),"Saipos Serviços De Software")</f>
        <v>Saipos Serviços De Software</v>
      </c>
      <c r="R5827" s="33">
        <f>IFERROR(__xludf.DUMMYFUNCTION("""COMPUTED_VALUE"""),1.0)</f>
        <v>1</v>
      </c>
      <c r="S5827" s="4" t="str">
        <f>IFERROR(__xludf.DUMMYFUNCTION("""COMPUTED_VALUE"""),"null")</f>
        <v>null</v>
      </c>
      <c r="T5827" s="33">
        <f>IFERROR(__xludf.DUMMYFUNCTION("""COMPUTED_VALUE"""),0.5)</f>
        <v>0.5</v>
      </c>
      <c r="U5827" s="4" t="str">
        <f>IFERROR(__xludf.DUMMYFUNCTION("""COMPUTED_VALUE"""),"null")</f>
        <v>null</v>
      </c>
      <c r="V5827" s="33">
        <f>IFERROR(__xludf.DUMMYFUNCTION("""COMPUTED_VALUE"""),0.5)</f>
        <v>0.5</v>
      </c>
      <c r="W5827" s="4" t="str">
        <f>IFERROR(__xludf.DUMMYFUNCTION("""COMPUTED_VALUE"""),"null")</f>
        <v>null</v>
      </c>
      <c r="X5827" s="33">
        <f>IFERROR(__xludf.DUMMYFUNCTION("""COMPUTED_VALUE"""),0.5)</f>
        <v>0.5</v>
      </c>
    </row>
    <row r="5828">
      <c r="K5828" s="4" t="str">
        <f>IFERROR(__xludf.DUMMYFUNCTION("""COMPUTED_VALUE"""),"DELICIAS CASEIRAS")</f>
        <v>DELICIAS CASEIRAS</v>
      </c>
      <c r="L5828" s="32">
        <f>IFERROR(__xludf.DUMMYFUNCTION("""COMPUTED_VALUE"""),2.0)</f>
        <v>2</v>
      </c>
      <c r="M5828" s="4" t="str">
        <f>IFERROR(__xludf.DUMMYFUNCTION("""COMPUTED_VALUE"""),"Instadelivery")</f>
        <v>Instadelivery</v>
      </c>
      <c r="N5828" s="33">
        <f>IFERROR(__xludf.DUMMYFUNCTION("""COMPUTED_VALUE"""),0.5)</f>
        <v>0.5</v>
      </c>
      <c r="O5828" s="4" t="str">
        <f>IFERROR(__xludf.DUMMYFUNCTION("""COMPUTED_VALUE"""),"Instadelivery")</f>
        <v>Instadelivery</v>
      </c>
      <c r="P5828" s="33">
        <f>IFERROR(__xludf.DUMMYFUNCTION("""COMPUTED_VALUE"""),1.0)</f>
        <v>1</v>
      </c>
      <c r="Q5828" s="4" t="str">
        <f>IFERROR(__xludf.DUMMYFUNCTION("""COMPUTED_VALUE"""),"Instadelivery")</f>
        <v>Instadelivery</v>
      </c>
      <c r="R5828" s="33">
        <f>IFERROR(__xludf.DUMMYFUNCTION("""COMPUTED_VALUE"""),1.0)</f>
        <v>1</v>
      </c>
      <c r="S5828" s="4" t="str">
        <f>IFERROR(__xludf.DUMMYFUNCTION("""COMPUTED_VALUE"""),"Instadelivery")</f>
        <v>Instadelivery</v>
      </c>
      <c r="T5828" s="33">
        <f>IFERROR(__xludf.DUMMYFUNCTION("""COMPUTED_VALUE"""),1.0)</f>
        <v>1</v>
      </c>
      <c r="U5828" s="4" t="str">
        <f>IFERROR(__xludf.DUMMYFUNCTION("""COMPUTED_VALUE"""),"Instadelivery")</f>
        <v>Instadelivery</v>
      </c>
      <c r="V5828" s="33">
        <f>IFERROR(__xludf.DUMMYFUNCTION("""COMPUTED_VALUE"""),1.0)</f>
        <v>1</v>
      </c>
      <c r="W5828" s="4" t="str">
        <f>IFERROR(__xludf.DUMMYFUNCTION("""COMPUTED_VALUE"""),"Instadelivery")</f>
        <v>Instadelivery</v>
      </c>
      <c r="X5828" s="33">
        <f>IFERROR(__xludf.DUMMYFUNCTION("""COMPUTED_VALUE"""),1.0)</f>
        <v>1</v>
      </c>
    </row>
    <row r="5829">
      <c r="K5829" s="4" t="str">
        <f>IFERROR(__xludf.DUMMYFUNCTION("""COMPUTED_VALUE"""),"ADEGA REVOADA")</f>
        <v>ADEGA REVOADA</v>
      </c>
      <c r="L5829" s="32">
        <f>IFERROR(__xludf.DUMMYFUNCTION("""COMPUTED_VALUE"""),2.0)</f>
        <v>2</v>
      </c>
      <c r="M5829" s="4" t="str">
        <f>IFERROR(__xludf.DUMMYFUNCTION("""COMPUTED_VALUE"""),"Anota Ai Solucoes Digitais S/a")</f>
        <v>Anota Ai Solucoes Digitais S/a</v>
      </c>
      <c r="N5829" s="33">
        <f>IFERROR(__xludf.DUMMYFUNCTION("""COMPUTED_VALUE"""),0.5)</f>
        <v>0.5</v>
      </c>
      <c r="O5829" s="4" t="str">
        <f>IFERROR(__xludf.DUMMYFUNCTION("""COMPUTED_VALUE"""),"Anota Ai Solucoes Digitais S/a")</f>
        <v>Anota Ai Solucoes Digitais S/a</v>
      </c>
      <c r="P5829" s="33">
        <f>IFERROR(__xludf.DUMMYFUNCTION("""COMPUTED_VALUE"""),0.5)</f>
        <v>0.5</v>
      </c>
      <c r="Q5829" s="4" t="str">
        <f>IFERROR(__xludf.DUMMYFUNCTION("""COMPUTED_VALUE"""),"null")</f>
        <v>null</v>
      </c>
      <c r="R5829" s="33">
        <f>IFERROR(__xludf.DUMMYFUNCTION("""COMPUTED_VALUE"""),0.5)</f>
        <v>0.5</v>
      </c>
      <c r="S5829" s="4" t="str">
        <f>IFERROR(__xludf.DUMMYFUNCTION("""COMPUTED_VALUE"""),"Anota Ai Solucoes Digitais S/a")</f>
        <v>Anota Ai Solucoes Digitais S/a</v>
      </c>
      <c r="T5829" s="33">
        <f>IFERROR(__xludf.DUMMYFUNCTION("""COMPUTED_VALUE"""),0.5)</f>
        <v>0.5</v>
      </c>
      <c r="U5829" s="4" t="str">
        <f>IFERROR(__xludf.DUMMYFUNCTION("""COMPUTED_VALUE"""),"null")</f>
        <v>null</v>
      </c>
      <c r="V5829" s="33">
        <f>IFERROR(__xludf.DUMMYFUNCTION("""COMPUTED_VALUE"""),0.5)</f>
        <v>0.5</v>
      </c>
      <c r="W5829" s="4" t="str">
        <f>IFERROR(__xludf.DUMMYFUNCTION("""COMPUTED_VALUE"""),"null")</f>
        <v>null</v>
      </c>
      <c r="X5829" s="33">
        <f>IFERROR(__xludf.DUMMYFUNCTION("""COMPUTED_VALUE"""),0.5)</f>
        <v>0.5</v>
      </c>
    </row>
    <row r="5830">
      <c r="K5830" s="4" t="str">
        <f>IFERROR(__xludf.DUMMYFUNCTION("""COMPUTED_VALUE"""),"DROGARIA MELHOR PRECO")</f>
        <v>DROGARIA MELHOR PRECO</v>
      </c>
      <c r="L5830" s="32">
        <f>IFERROR(__xludf.DUMMYFUNCTION("""COMPUTED_VALUE"""),2.0)</f>
        <v>2</v>
      </c>
      <c r="M5830" s="4" t="str">
        <f>IFERROR(__xludf.DUMMYFUNCTION("""COMPUTED_VALUE"""),"N/A (Not found)")</f>
        <v>N/A (Not found)</v>
      </c>
      <c r="N5830" s="33">
        <f>IFERROR(__xludf.DUMMYFUNCTION("""COMPUTED_VALUE"""),0.5)</f>
        <v>0.5</v>
      </c>
      <c r="O5830" s="4" t="str">
        <f>IFERROR(__xludf.DUMMYFUNCTION("""COMPUTED_VALUE"""),"N/A (Not found)")</f>
        <v>N/A (Not found)</v>
      </c>
      <c r="P5830" s="33">
        <f>IFERROR(__xludf.DUMMYFUNCTION("""COMPUTED_VALUE"""),1.0)</f>
        <v>1</v>
      </c>
      <c r="Q5830" s="4" t="str">
        <f>IFERROR(__xludf.DUMMYFUNCTION("""COMPUTED_VALUE"""),"N/A (Not found)")</f>
        <v>N/A (Not found)</v>
      </c>
      <c r="R5830" s="33">
        <f>IFERROR(__xludf.DUMMYFUNCTION("""COMPUTED_VALUE"""),1.0)</f>
        <v>1</v>
      </c>
      <c r="S5830" s="4" t="str">
        <f>IFERROR(__xludf.DUMMYFUNCTION("""COMPUTED_VALUE"""),"N/A (Not found)")</f>
        <v>N/A (Not found)</v>
      </c>
      <c r="T5830" s="33">
        <f>IFERROR(__xludf.DUMMYFUNCTION("""COMPUTED_VALUE"""),1.0)</f>
        <v>1</v>
      </c>
      <c r="U5830" s="4" t="str">
        <f>IFERROR(__xludf.DUMMYFUNCTION("""COMPUTED_VALUE"""),"N/A (Not found)")</f>
        <v>N/A (Not found)</v>
      </c>
      <c r="V5830" s="33">
        <f>IFERROR(__xludf.DUMMYFUNCTION("""COMPUTED_VALUE"""),1.0)</f>
        <v>1</v>
      </c>
      <c r="W5830" s="4" t="str">
        <f>IFERROR(__xludf.DUMMYFUNCTION("""COMPUTED_VALUE"""),"N/A (Not found)")</f>
        <v>N/A (Not found)</v>
      </c>
      <c r="X5830" s="33">
        <f>IFERROR(__xludf.DUMMYFUNCTION("""COMPUTED_VALUE"""),1.0)</f>
        <v>1</v>
      </c>
    </row>
    <row r="5831">
      <c r="K5831" s="4" t="str">
        <f>IFERROR(__xludf.DUMMYFUNCTION("""COMPUTED_VALUE"""),"REINO DO PARMIGIANA")</f>
        <v>REINO DO PARMIGIANA</v>
      </c>
      <c r="L5831" s="32">
        <f>IFERROR(__xludf.DUMMYFUNCTION("""COMPUTED_VALUE"""),2.0)</f>
        <v>2</v>
      </c>
      <c r="M5831" s="4" t="str">
        <f>IFERROR(__xludf.DUMMYFUNCTION("""COMPUTED_VALUE"""),"Anota Ai Solucoes Digitais S/a")</f>
        <v>Anota Ai Solucoes Digitais S/a</v>
      </c>
      <c r="N5831" s="33">
        <f>IFERROR(__xludf.DUMMYFUNCTION("""COMPUTED_VALUE"""),0.5)</f>
        <v>0.5</v>
      </c>
      <c r="O5831" s="4" t="str">
        <f>IFERROR(__xludf.DUMMYFUNCTION("""COMPUTED_VALUE"""),"Filialdigital")</f>
        <v>Filialdigital</v>
      </c>
      <c r="P5831" s="33">
        <f>IFERROR(__xludf.DUMMYFUNCTION("""COMPUTED_VALUE"""),0.5)</f>
        <v>0.5</v>
      </c>
      <c r="Q5831" s="4" t="str">
        <f>IFERROR(__xludf.DUMMYFUNCTION("""COMPUTED_VALUE"""),"null")</f>
        <v>null</v>
      </c>
      <c r="R5831" s="33">
        <f>IFERROR(__xludf.DUMMYFUNCTION("""COMPUTED_VALUE"""),1.0)</f>
        <v>1</v>
      </c>
      <c r="S5831" s="4" t="str">
        <f>IFERROR(__xludf.DUMMYFUNCTION("""COMPUTED_VALUE"""),"Anota Ai Solucoes Digitais S/a")</f>
        <v>Anota Ai Solucoes Digitais S/a</v>
      </c>
      <c r="T5831" s="33">
        <f>IFERROR(__xludf.DUMMYFUNCTION("""COMPUTED_VALUE"""),0.5)</f>
        <v>0.5</v>
      </c>
      <c r="U5831" s="4" t="str">
        <f>IFERROR(__xludf.DUMMYFUNCTION("""COMPUTED_VALUE"""),"Anota Ai Solucoes Digitais S/a")</f>
        <v>Anota Ai Solucoes Digitais S/a</v>
      </c>
      <c r="V5831" s="33">
        <f>IFERROR(__xludf.DUMMYFUNCTION("""COMPUTED_VALUE"""),0.5)</f>
        <v>0.5</v>
      </c>
      <c r="W5831" s="4" t="str">
        <f>IFERROR(__xludf.DUMMYFUNCTION("""COMPUTED_VALUE"""),"null")</f>
        <v>null</v>
      </c>
      <c r="X5831" s="33">
        <f>IFERROR(__xludf.DUMMYFUNCTION("""COMPUTED_VALUE"""),0.5)</f>
        <v>0.5</v>
      </c>
    </row>
    <row r="5832">
      <c r="K5832" s="4" t="str">
        <f>IFERROR(__xludf.DUMMYFUNCTION("""COMPUTED_VALUE"""),"BURGUER DA PRACA")</f>
        <v>BURGUER DA PRACA</v>
      </c>
      <c r="L5832" s="32">
        <f>IFERROR(__xludf.DUMMYFUNCTION("""COMPUTED_VALUE"""),2.0)</f>
        <v>2</v>
      </c>
      <c r="M5832" s="4" t="str">
        <f>IFERROR(__xludf.DUMMYFUNCTION("""COMPUTED_VALUE"""),"Cardápio Web")</f>
        <v>Cardápio Web</v>
      </c>
      <c r="N5832" s="33">
        <f>IFERROR(__xludf.DUMMYFUNCTION("""COMPUTED_VALUE"""),0.5)</f>
        <v>0.5</v>
      </c>
      <c r="O5832" s="4" t="str">
        <f>IFERROR(__xludf.DUMMYFUNCTION("""COMPUTED_VALUE"""),"Cardápio Web")</f>
        <v>Cardápio Web</v>
      </c>
      <c r="P5832" s="33">
        <f>IFERROR(__xludf.DUMMYFUNCTION("""COMPUTED_VALUE"""),0.5)</f>
        <v>0.5</v>
      </c>
      <c r="Q5832" s="4" t="str">
        <f>IFERROR(__xludf.DUMMYFUNCTION("""COMPUTED_VALUE"""),"Cardápio Web")</f>
        <v>Cardápio Web</v>
      </c>
      <c r="R5832" s="33">
        <f>IFERROR(__xludf.DUMMYFUNCTION("""COMPUTED_VALUE"""),0.5)</f>
        <v>0.5</v>
      </c>
      <c r="S5832" s="4" t="str">
        <f>IFERROR(__xludf.DUMMYFUNCTION("""COMPUTED_VALUE"""),"Cardápio Web")</f>
        <v>Cardápio Web</v>
      </c>
      <c r="T5832" s="33">
        <f>IFERROR(__xludf.DUMMYFUNCTION("""COMPUTED_VALUE"""),0.5)</f>
        <v>0.5</v>
      </c>
      <c r="U5832" s="4" t="str">
        <f>IFERROR(__xludf.DUMMYFUNCTION("""COMPUTED_VALUE"""),"Cardápio Web")</f>
        <v>Cardápio Web</v>
      </c>
      <c r="V5832" s="33">
        <f>IFERROR(__xludf.DUMMYFUNCTION("""COMPUTED_VALUE"""),0.5)</f>
        <v>0.5</v>
      </c>
      <c r="W5832" s="4" t="str">
        <f>IFERROR(__xludf.DUMMYFUNCTION("""COMPUTED_VALUE"""),"Cardápio Web")</f>
        <v>Cardápio Web</v>
      </c>
      <c r="X5832" s="33">
        <f>IFERROR(__xludf.DUMMYFUNCTION("""COMPUTED_VALUE"""),0.5)</f>
        <v>0.5</v>
      </c>
    </row>
    <row r="5833">
      <c r="K5833" s="4" t="str">
        <f>IFERROR(__xludf.DUMMYFUNCTION("""COMPUTED_VALUE"""),"LA EM CASA")</f>
        <v>LA EM CASA</v>
      </c>
      <c r="L5833" s="32">
        <f>IFERROR(__xludf.DUMMYFUNCTION("""COMPUTED_VALUE"""),2.0)</f>
        <v>2</v>
      </c>
      <c r="M5833" s="4" t="str">
        <f>IFERROR(__xludf.DUMMYFUNCTION("""COMPUTED_VALUE"""),"Instadelivery")</f>
        <v>Instadelivery</v>
      </c>
      <c r="N5833" s="33">
        <f>IFERROR(__xludf.DUMMYFUNCTION("""COMPUTED_VALUE"""),0.5)</f>
        <v>0.5</v>
      </c>
      <c r="O5833" s="4" t="str">
        <f>IFERROR(__xludf.DUMMYFUNCTION("""COMPUTED_VALUE"""),"Instadelivery")</f>
        <v>Instadelivery</v>
      </c>
      <c r="P5833" s="33">
        <f>IFERROR(__xludf.DUMMYFUNCTION("""COMPUTED_VALUE"""),0.5)</f>
        <v>0.5</v>
      </c>
      <c r="Q5833" s="4" t="str">
        <f>IFERROR(__xludf.DUMMYFUNCTION("""COMPUTED_VALUE"""),"Instadelivery")</f>
        <v>Instadelivery</v>
      </c>
      <c r="R5833" s="33">
        <f>IFERROR(__xludf.DUMMYFUNCTION("""COMPUTED_VALUE"""),0.5)</f>
        <v>0.5</v>
      </c>
      <c r="S5833" s="4" t="str">
        <f>IFERROR(__xludf.DUMMYFUNCTION("""COMPUTED_VALUE"""),"Instadelivery")</f>
        <v>Instadelivery</v>
      </c>
      <c r="T5833" s="33">
        <f>IFERROR(__xludf.DUMMYFUNCTION("""COMPUTED_VALUE"""),1.0)</f>
        <v>1</v>
      </c>
      <c r="U5833" s="4" t="str">
        <f>IFERROR(__xludf.DUMMYFUNCTION("""COMPUTED_VALUE"""),"Instadelivery")</f>
        <v>Instadelivery</v>
      </c>
      <c r="V5833" s="33">
        <f>IFERROR(__xludf.DUMMYFUNCTION("""COMPUTED_VALUE"""),1.0)</f>
        <v>1</v>
      </c>
      <c r="W5833" s="4" t="str">
        <f>IFERROR(__xludf.DUMMYFUNCTION("""COMPUTED_VALUE"""),"Instadelivery")</f>
        <v>Instadelivery</v>
      </c>
      <c r="X5833" s="33">
        <f>IFERROR(__xludf.DUMMYFUNCTION("""COMPUTED_VALUE"""),1.0)</f>
        <v>1</v>
      </c>
    </row>
    <row r="5834">
      <c r="K5834" s="4" t="str">
        <f>IFERROR(__xludf.DUMMYFUNCTION("""COMPUTED_VALUE"""),"PIZZARIA A PAULISTANA")</f>
        <v>PIZZARIA A PAULISTANA</v>
      </c>
      <c r="L5834" s="32">
        <f>IFERROR(__xludf.DUMMYFUNCTION("""COMPUTED_VALUE"""),2.0)</f>
        <v>2</v>
      </c>
      <c r="M5834" s="4" t="str">
        <f>IFERROR(__xludf.DUMMYFUNCTION("""COMPUTED_VALUE"""),"Suitable Tecnologia E Gestao")</f>
        <v>Suitable Tecnologia E Gestao</v>
      </c>
      <c r="N5834" s="33">
        <f>IFERROR(__xludf.DUMMYFUNCTION("""COMPUTED_VALUE"""),0.5)</f>
        <v>0.5</v>
      </c>
      <c r="O5834" s="4" t="str">
        <f>IFERROR(__xludf.DUMMYFUNCTION("""COMPUTED_VALUE"""),"Suitable Tecnologia E Gestao")</f>
        <v>Suitable Tecnologia E Gestao</v>
      </c>
      <c r="P5834" s="33">
        <f>IFERROR(__xludf.DUMMYFUNCTION("""COMPUTED_VALUE"""),0.5)</f>
        <v>0.5</v>
      </c>
      <c r="Q5834" s="4" t="str">
        <f>IFERROR(__xludf.DUMMYFUNCTION("""COMPUTED_VALUE"""),"Suitable Tecnologia E Gestao")</f>
        <v>Suitable Tecnologia E Gestao</v>
      </c>
      <c r="R5834" s="33">
        <f>IFERROR(__xludf.DUMMYFUNCTION("""COMPUTED_VALUE"""),0.5)</f>
        <v>0.5</v>
      </c>
      <c r="S5834" s="4" t="str">
        <f>IFERROR(__xludf.DUMMYFUNCTION("""COMPUTED_VALUE"""),"Suitable Tecnologia E Gestao")</f>
        <v>Suitable Tecnologia E Gestao</v>
      </c>
      <c r="T5834" s="33">
        <f>IFERROR(__xludf.DUMMYFUNCTION("""COMPUTED_VALUE"""),0.5)</f>
        <v>0.5</v>
      </c>
      <c r="U5834" s="4" t="str">
        <f>IFERROR(__xludf.DUMMYFUNCTION("""COMPUTED_VALUE"""),"Suitable Tecnologia E Gestao")</f>
        <v>Suitable Tecnologia E Gestao</v>
      </c>
      <c r="V5834" s="33">
        <f>IFERROR(__xludf.DUMMYFUNCTION("""COMPUTED_VALUE"""),0.5)</f>
        <v>0.5</v>
      </c>
      <c r="W5834" s="4" t="str">
        <f>IFERROR(__xludf.DUMMYFUNCTION("""COMPUTED_VALUE"""),"Suitable Tecnologia E Gestao")</f>
        <v>Suitable Tecnologia E Gestao</v>
      </c>
      <c r="X5834" s="33">
        <f>IFERROR(__xludf.DUMMYFUNCTION("""COMPUTED_VALUE"""),0.5)</f>
        <v>0.5</v>
      </c>
    </row>
    <row r="5835">
      <c r="K5835" s="4" t="str">
        <f>IFERROR(__xludf.DUMMYFUNCTION("""COMPUTED_VALUE"""),"VIDA ACAI")</f>
        <v>VIDA ACAI</v>
      </c>
      <c r="L5835" s="32">
        <f>IFERROR(__xludf.DUMMYFUNCTION("""COMPUTED_VALUE"""),2.0)</f>
        <v>2</v>
      </c>
      <c r="M5835" s="4" t="str">
        <f>IFERROR(__xludf.DUMMYFUNCTION("""COMPUTED_VALUE"""),"Cardápio Web")</f>
        <v>Cardápio Web</v>
      </c>
      <c r="N5835" s="33">
        <f>IFERROR(__xludf.DUMMYFUNCTION("""COMPUTED_VALUE"""),0.5)</f>
        <v>0.5</v>
      </c>
      <c r="O5835" s="4" t="str">
        <f>IFERROR(__xludf.DUMMYFUNCTION("""COMPUTED_VALUE"""),"null")</f>
        <v>null</v>
      </c>
      <c r="P5835" s="33">
        <f>IFERROR(__xludf.DUMMYFUNCTION("""COMPUTED_VALUE"""),0.5)</f>
        <v>0.5</v>
      </c>
      <c r="Q5835" s="4" t="str">
        <f>IFERROR(__xludf.DUMMYFUNCTION("""COMPUTED_VALUE"""),"null")</f>
        <v>null</v>
      </c>
      <c r="R5835" s="33">
        <f>IFERROR(__xludf.DUMMYFUNCTION("""COMPUTED_VALUE"""),0.5)</f>
        <v>0.5</v>
      </c>
      <c r="S5835" s="4" t="str">
        <f>IFERROR(__xludf.DUMMYFUNCTION("""COMPUTED_VALUE"""),"null")</f>
        <v>null</v>
      </c>
      <c r="T5835" s="33">
        <f>IFERROR(__xludf.DUMMYFUNCTION("""COMPUTED_VALUE"""),0.5)</f>
        <v>0.5</v>
      </c>
      <c r="U5835" s="4" t="str">
        <f>IFERROR(__xludf.DUMMYFUNCTION("""COMPUTED_VALUE"""),"Cardápio Web")</f>
        <v>Cardápio Web</v>
      </c>
      <c r="V5835" s="33">
        <f>IFERROR(__xludf.DUMMYFUNCTION("""COMPUTED_VALUE"""),0.5)</f>
        <v>0.5</v>
      </c>
      <c r="W5835" s="4" t="str">
        <f>IFERROR(__xludf.DUMMYFUNCTION("""COMPUTED_VALUE"""),"Cardápio Web")</f>
        <v>Cardápio Web</v>
      </c>
      <c r="X5835" s="33">
        <f>IFERROR(__xludf.DUMMYFUNCTION("""COMPUTED_VALUE"""),0.5)</f>
        <v>0.5</v>
      </c>
    </row>
    <row r="5836">
      <c r="K5836" s="4" t="str">
        <f>IFERROR(__xludf.DUMMYFUNCTION("""COMPUTED_VALUE"""),"DROGARIA VIVAMAIS SAUDE")</f>
        <v>DROGARIA VIVAMAIS SAUDE</v>
      </c>
      <c r="L5836" s="32">
        <f>IFERROR(__xludf.DUMMYFUNCTION("""COMPUTED_VALUE"""),2.0)</f>
        <v>2</v>
      </c>
      <c r="M5836" s="4" t="str">
        <f>IFERROR(__xludf.DUMMYFUNCTION("""COMPUTED_VALUE"""),"null")</f>
        <v>null</v>
      </c>
      <c r="N5836" s="33">
        <f>IFERROR(__xludf.DUMMYFUNCTION("""COMPUTED_VALUE"""),1.0)</f>
        <v>1</v>
      </c>
      <c r="O5836" s="4" t="str">
        <f>IFERROR(__xludf.DUMMYFUNCTION("""COMPUTED_VALUE"""),"null")</f>
        <v>null</v>
      </c>
      <c r="P5836" s="33">
        <f>IFERROR(__xludf.DUMMYFUNCTION("""COMPUTED_VALUE"""),1.0)</f>
        <v>1</v>
      </c>
      <c r="Q5836" s="4" t="str">
        <f>IFERROR(__xludf.DUMMYFUNCTION("""COMPUTED_VALUE"""),"null")</f>
        <v>null</v>
      </c>
      <c r="R5836" s="33">
        <f>IFERROR(__xludf.DUMMYFUNCTION("""COMPUTED_VALUE"""),1.0)</f>
        <v>1</v>
      </c>
      <c r="S5836" s="4" t="str">
        <f>IFERROR(__xludf.DUMMYFUNCTION("""COMPUTED_VALUE"""),"null")</f>
        <v>null</v>
      </c>
      <c r="T5836" s="33">
        <f>IFERROR(__xludf.DUMMYFUNCTION("""COMPUTED_VALUE"""),1.0)</f>
        <v>1</v>
      </c>
      <c r="U5836" s="4" t="str">
        <f>IFERROR(__xludf.DUMMYFUNCTION("""COMPUTED_VALUE"""),"N/A (Not found)")</f>
        <v>N/A (Not found)</v>
      </c>
      <c r="V5836" s="33">
        <f>IFERROR(__xludf.DUMMYFUNCTION("""COMPUTED_VALUE"""),1.0)</f>
        <v>1</v>
      </c>
      <c r="W5836" s="4" t="str">
        <f>IFERROR(__xludf.DUMMYFUNCTION("""COMPUTED_VALUE"""),"N/A (Not found)")</f>
        <v>N/A (Not found)</v>
      </c>
      <c r="X5836" s="33">
        <f>IFERROR(__xludf.DUMMYFUNCTION("""COMPUTED_VALUE"""),1.0)</f>
        <v>1</v>
      </c>
    </row>
    <row r="5837">
      <c r="K5837" s="4" t="str">
        <f>IFERROR(__xludf.DUMMYFUNCTION("""COMPUTED_VALUE"""),"SUPREMO BURGUER")</f>
        <v>SUPREMO BURGUER</v>
      </c>
      <c r="L5837" s="32">
        <f>IFERROR(__xludf.DUMMYFUNCTION("""COMPUTED_VALUE"""),2.0)</f>
        <v>2</v>
      </c>
      <c r="M5837" s="4" t="str">
        <f>IFERROR(__xludf.DUMMYFUNCTION("""COMPUTED_VALUE"""),"Cardápio Web")</f>
        <v>Cardápio Web</v>
      </c>
      <c r="N5837" s="33">
        <f>IFERROR(__xludf.DUMMYFUNCTION("""COMPUTED_VALUE"""),0.5)</f>
        <v>0.5</v>
      </c>
      <c r="O5837" s="4" t="str">
        <f>IFERROR(__xludf.DUMMYFUNCTION("""COMPUTED_VALUE"""),"Cardápio Web")</f>
        <v>Cardápio Web</v>
      </c>
      <c r="P5837" s="33">
        <f>IFERROR(__xludf.DUMMYFUNCTION("""COMPUTED_VALUE"""),0.5)</f>
        <v>0.5</v>
      </c>
      <c r="Q5837" s="4" t="str">
        <f>IFERROR(__xludf.DUMMYFUNCTION("""COMPUTED_VALUE"""),"Cardápio Web")</f>
        <v>Cardápio Web</v>
      </c>
      <c r="R5837" s="33">
        <f>IFERROR(__xludf.DUMMYFUNCTION("""COMPUTED_VALUE"""),0.5)</f>
        <v>0.5</v>
      </c>
      <c r="S5837" s="4" t="str">
        <f>IFERROR(__xludf.DUMMYFUNCTION("""COMPUTED_VALUE"""),"Cardápio Web")</f>
        <v>Cardápio Web</v>
      </c>
      <c r="T5837" s="33">
        <f>IFERROR(__xludf.DUMMYFUNCTION("""COMPUTED_VALUE"""),0.5)</f>
        <v>0.5</v>
      </c>
      <c r="U5837" s="4" t="str">
        <f>IFERROR(__xludf.DUMMYFUNCTION("""COMPUTED_VALUE"""),"Cardápio Web")</f>
        <v>Cardápio Web</v>
      </c>
      <c r="V5837" s="33">
        <f>IFERROR(__xludf.DUMMYFUNCTION("""COMPUTED_VALUE"""),0.5)</f>
        <v>0.5</v>
      </c>
      <c r="W5837" s="4" t="str">
        <f>IFERROR(__xludf.DUMMYFUNCTION("""COMPUTED_VALUE"""),"Cardápio Web")</f>
        <v>Cardápio Web</v>
      </c>
      <c r="X5837" s="33">
        <f>IFERROR(__xludf.DUMMYFUNCTION("""COMPUTED_VALUE"""),0.5)</f>
        <v>0.5</v>
      </c>
    </row>
    <row r="5838">
      <c r="K5838" s="4" t="str">
        <f>IFERROR(__xludf.DUMMYFUNCTION("""COMPUTED_VALUE"""),"TAKO SUSHI")</f>
        <v>TAKO SUSHI</v>
      </c>
      <c r="L5838" s="32">
        <f>IFERROR(__xludf.DUMMYFUNCTION("""COMPUTED_VALUE"""),2.0)</f>
        <v>2</v>
      </c>
      <c r="M5838" s="4" t="str">
        <f>IFERROR(__xludf.DUMMYFUNCTION("""COMPUTED_VALUE"""),"Grandchef Desenvolvimento De Sistemas Ltda")</f>
        <v>Grandchef Desenvolvimento De Sistemas Ltda</v>
      </c>
      <c r="N5838" s="33">
        <f>IFERROR(__xludf.DUMMYFUNCTION("""COMPUTED_VALUE"""),0.5)</f>
        <v>0.5</v>
      </c>
      <c r="O5838" s="4" t="str">
        <f>IFERROR(__xludf.DUMMYFUNCTION("""COMPUTED_VALUE"""),"Grandchef Desenvolvimento De Sistemas Ltda")</f>
        <v>Grandchef Desenvolvimento De Sistemas Ltda</v>
      </c>
      <c r="P5838" s="33">
        <f>IFERROR(__xludf.DUMMYFUNCTION("""COMPUTED_VALUE"""),0.5)</f>
        <v>0.5</v>
      </c>
      <c r="Q5838" s="4" t="str">
        <f>IFERROR(__xludf.DUMMYFUNCTION("""COMPUTED_VALUE"""),"null")</f>
        <v>null</v>
      </c>
      <c r="R5838" s="33">
        <f>IFERROR(__xludf.DUMMYFUNCTION("""COMPUTED_VALUE"""),1.0)</f>
        <v>1</v>
      </c>
      <c r="S5838" s="4" t="str">
        <f>IFERROR(__xludf.DUMMYFUNCTION("""COMPUTED_VALUE"""),"Grandchef Desenvolvimento De Sistemas Ltda")</f>
        <v>Grandchef Desenvolvimento De Sistemas Ltda</v>
      </c>
      <c r="T5838" s="33">
        <f>IFERROR(__xludf.DUMMYFUNCTION("""COMPUTED_VALUE"""),0.5)</f>
        <v>0.5</v>
      </c>
      <c r="U5838" s="4" t="str">
        <f>IFERROR(__xludf.DUMMYFUNCTION("""COMPUTED_VALUE"""),"null")</f>
        <v>null</v>
      </c>
      <c r="V5838" s="33">
        <f>IFERROR(__xludf.DUMMYFUNCTION("""COMPUTED_VALUE"""),0.5)</f>
        <v>0.5</v>
      </c>
      <c r="W5838" s="4" t="str">
        <f>IFERROR(__xludf.DUMMYFUNCTION("""COMPUTED_VALUE"""),"Grandchef Desenvolvimento De Sistemas Ltda")</f>
        <v>Grandchef Desenvolvimento De Sistemas Ltda</v>
      </c>
      <c r="X5838" s="33">
        <f>IFERROR(__xludf.DUMMYFUNCTION("""COMPUTED_VALUE"""),0.5)</f>
        <v>0.5</v>
      </c>
    </row>
    <row r="5839">
      <c r="K5839" s="4" t="str">
        <f>IFERROR(__xludf.DUMMYFUNCTION("""COMPUTED_VALUE"""),"DEGUSTE BURGUER")</f>
        <v>DEGUSTE BURGUER</v>
      </c>
      <c r="L5839" s="32">
        <f>IFERROR(__xludf.DUMMYFUNCTION("""COMPUTED_VALUE"""),2.0)</f>
        <v>2</v>
      </c>
      <c r="M5839" s="4" t="str">
        <f>IFERROR(__xludf.DUMMYFUNCTION("""COMPUTED_VALUE"""),"Instadelivery")</f>
        <v>Instadelivery</v>
      </c>
      <c r="N5839" s="33">
        <f>IFERROR(__xludf.DUMMYFUNCTION("""COMPUTED_VALUE"""),0.5)</f>
        <v>0.5</v>
      </c>
      <c r="O5839" s="4" t="str">
        <f>IFERROR(__xludf.DUMMYFUNCTION("""COMPUTED_VALUE"""),"Instadelivery")</f>
        <v>Instadelivery</v>
      </c>
      <c r="P5839" s="33">
        <f>IFERROR(__xludf.DUMMYFUNCTION("""COMPUTED_VALUE"""),0.5)</f>
        <v>0.5</v>
      </c>
      <c r="Q5839" s="4" t="str">
        <f>IFERROR(__xludf.DUMMYFUNCTION("""COMPUTED_VALUE"""),"Instadelivery")</f>
        <v>Instadelivery</v>
      </c>
      <c r="R5839" s="33">
        <f>IFERROR(__xludf.DUMMYFUNCTION("""COMPUTED_VALUE"""),0.5)</f>
        <v>0.5</v>
      </c>
      <c r="S5839" s="4" t="str">
        <f>IFERROR(__xludf.DUMMYFUNCTION("""COMPUTED_VALUE"""),"Instadelivery")</f>
        <v>Instadelivery</v>
      </c>
      <c r="T5839" s="33">
        <f>IFERROR(__xludf.DUMMYFUNCTION("""COMPUTED_VALUE"""),0.5)</f>
        <v>0.5</v>
      </c>
      <c r="U5839" s="4" t="str">
        <f>IFERROR(__xludf.DUMMYFUNCTION("""COMPUTED_VALUE"""),"Instadelivery")</f>
        <v>Instadelivery</v>
      </c>
      <c r="V5839" s="33">
        <f>IFERROR(__xludf.DUMMYFUNCTION("""COMPUTED_VALUE"""),0.5)</f>
        <v>0.5</v>
      </c>
      <c r="W5839" s="4" t="str">
        <f>IFERROR(__xludf.DUMMYFUNCTION("""COMPUTED_VALUE"""),"Instadelivery")</f>
        <v>Instadelivery</v>
      </c>
      <c r="X5839" s="33">
        <f>IFERROR(__xludf.DUMMYFUNCTION("""COMPUTED_VALUE"""),0.5)</f>
        <v>0.5</v>
      </c>
    </row>
    <row r="5840">
      <c r="K5840" s="4" t="str">
        <f>IFERROR(__xludf.DUMMYFUNCTION("""COMPUTED_VALUE"""),"CASA DO PRATINHO")</f>
        <v>CASA DO PRATINHO</v>
      </c>
      <c r="L5840" s="32">
        <f>IFERROR(__xludf.DUMMYFUNCTION("""COMPUTED_VALUE"""),2.0)</f>
        <v>2</v>
      </c>
      <c r="M5840" s="4" t="str">
        <f>IFERROR(__xludf.DUMMYFUNCTION("""COMPUTED_VALUE"""),"Anota Ai Solucoes Digitais S/a")</f>
        <v>Anota Ai Solucoes Digitais S/a</v>
      </c>
      <c r="N5840" s="33">
        <f>IFERROR(__xludf.DUMMYFUNCTION("""COMPUTED_VALUE"""),0.5)</f>
        <v>0.5</v>
      </c>
      <c r="O5840" s="4" t="str">
        <f>IFERROR(__xludf.DUMMYFUNCTION("""COMPUTED_VALUE"""),"Anota Ai Solucoes Digitais S/a")</f>
        <v>Anota Ai Solucoes Digitais S/a</v>
      </c>
      <c r="P5840" s="33">
        <f>IFERROR(__xludf.DUMMYFUNCTION("""COMPUTED_VALUE"""),0.5)</f>
        <v>0.5</v>
      </c>
      <c r="Q5840" s="4" t="str">
        <f>IFERROR(__xludf.DUMMYFUNCTION("""COMPUTED_VALUE"""),"null")</f>
        <v>null</v>
      </c>
      <c r="R5840" s="33">
        <f>IFERROR(__xludf.DUMMYFUNCTION("""COMPUTED_VALUE"""),0.5)</f>
        <v>0.5</v>
      </c>
      <c r="S5840" s="4" t="str">
        <f>IFERROR(__xludf.DUMMYFUNCTION("""COMPUTED_VALUE"""),"Anota Ai Solucoes Digitais S/a")</f>
        <v>Anota Ai Solucoes Digitais S/a</v>
      </c>
      <c r="T5840" s="33">
        <f>IFERROR(__xludf.DUMMYFUNCTION("""COMPUTED_VALUE"""),0.5)</f>
        <v>0.5</v>
      </c>
      <c r="U5840" s="4" t="str">
        <f>IFERROR(__xludf.DUMMYFUNCTION("""COMPUTED_VALUE"""),"Anota Ai Solucoes Digitais S/a")</f>
        <v>Anota Ai Solucoes Digitais S/a</v>
      </c>
      <c r="V5840" s="33">
        <f>IFERROR(__xludf.DUMMYFUNCTION("""COMPUTED_VALUE"""),0.5)</f>
        <v>0.5</v>
      </c>
      <c r="W5840" s="4" t="str">
        <f>IFERROR(__xludf.DUMMYFUNCTION("""COMPUTED_VALUE"""),"Anota Ai Solucoes Digitais S/a")</f>
        <v>Anota Ai Solucoes Digitais S/a</v>
      </c>
      <c r="X5840" s="33">
        <f>IFERROR(__xludf.DUMMYFUNCTION("""COMPUTED_VALUE"""),0.5)</f>
        <v>0.5</v>
      </c>
    </row>
    <row r="5841">
      <c r="K5841" s="4" t="str">
        <f>IFERROR(__xludf.DUMMYFUNCTION("""COMPUTED_VALUE"""),"HAMBURGUERIA DELIVERY")</f>
        <v>HAMBURGUERIA DELIVERY</v>
      </c>
      <c r="L5841" s="32">
        <f>IFERROR(__xludf.DUMMYFUNCTION("""COMPUTED_VALUE"""),2.0)</f>
        <v>2</v>
      </c>
      <c r="M5841" s="4" t="str">
        <f>IFERROR(__xludf.DUMMYFUNCTION("""COMPUTED_VALUE"""),"Parseint Desenvolvimento De Sistemas Ltda")</f>
        <v>Parseint Desenvolvimento De Sistemas Ltda</v>
      </c>
      <c r="N5841" s="33">
        <f>IFERROR(__xludf.DUMMYFUNCTION("""COMPUTED_VALUE"""),0.5)</f>
        <v>0.5</v>
      </c>
      <c r="O5841" s="4" t="str">
        <f>IFERROR(__xludf.DUMMYFUNCTION("""COMPUTED_VALUE"""),"Parseint Desenvolvimento De Sistemas Ltda")</f>
        <v>Parseint Desenvolvimento De Sistemas Ltda</v>
      </c>
      <c r="P5841" s="33">
        <f>IFERROR(__xludf.DUMMYFUNCTION("""COMPUTED_VALUE"""),0.5)</f>
        <v>0.5</v>
      </c>
      <c r="Q5841" s="4" t="str">
        <f>IFERROR(__xludf.DUMMYFUNCTION("""COMPUTED_VALUE"""),"Parseint Desenvolvimento De Sistemas Ltda")</f>
        <v>Parseint Desenvolvimento De Sistemas Ltda</v>
      </c>
      <c r="R5841" s="33">
        <f>IFERROR(__xludf.DUMMYFUNCTION("""COMPUTED_VALUE"""),0.5)</f>
        <v>0.5</v>
      </c>
      <c r="S5841" s="4" t="str">
        <f>IFERROR(__xludf.DUMMYFUNCTION("""COMPUTED_VALUE"""),"null")</f>
        <v>null</v>
      </c>
      <c r="T5841" s="33">
        <f>IFERROR(__xludf.DUMMYFUNCTION("""COMPUTED_VALUE"""),0.5)</f>
        <v>0.5</v>
      </c>
      <c r="U5841" s="4" t="str">
        <f>IFERROR(__xludf.DUMMYFUNCTION("""COMPUTED_VALUE"""),"null")</f>
        <v>null</v>
      </c>
      <c r="V5841" s="33">
        <f>IFERROR(__xludf.DUMMYFUNCTION("""COMPUTED_VALUE"""),1.0)</f>
        <v>1</v>
      </c>
      <c r="W5841" s="4" t="str">
        <f>IFERROR(__xludf.DUMMYFUNCTION("""COMPUTED_VALUE"""),"null")</f>
        <v>null</v>
      </c>
      <c r="X5841" s="33">
        <f>IFERROR(__xludf.DUMMYFUNCTION("""COMPUTED_VALUE"""),0.5)</f>
        <v>0.5</v>
      </c>
    </row>
    <row r="5842">
      <c r="K5842" s="4" t="str">
        <f>IFERROR(__xludf.DUMMYFUNCTION("""COMPUTED_VALUE"""),"ACAI DO MADRUGA")</f>
        <v>ACAI DO MADRUGA</v>
      </c>
      <c r="L5842" s="32">
        <f>IFERROR(__xludf.DUMMYFUNCTION("""COMPUTED_VALUE"""),2.0)</f>
        <v>2</v>
      </c>
      <c r="M5842" s="4" t="str">
        <f>IFERROR(__xludf.DUMMYFUNCTION("""COMPUTED_VALUE"""),"null")</f>
        <v>null</v>
      </c>
      <c r="N5842" s="33">
        <f>IFERROR(__xludf.DUMMYFUNCTION("""COMPUTED_VALUE"""),1.0)</f>
        <v>1</v>
      </c>
      <c r="O5842" s="4" t="str">
        <f>IFERROR(__xludf.DUMMYFUNCTION("""COMPUTED_VALUE"""),"Consumer Soluções Em Tecnologia Ltda")</f>
        <v>Consumer Soluções Em Tecnologia Ltda</v>
      </c>
      <c r="P5842" s="33">
        <f>IFERROR(__xludf.DUMMYFUNCTION("""COMPUTED_VALUE"""),0.5)</f>
        <v>0.5</v>
      </c>
      <c r="Q5842" s="4" t="str">
        <f>IFERROR(__xludf.DUMMYFUNCTION("""COMPUTED_VALUE"""),"null")</f>
        <v>null</v>
      </c>
      <c r="R5842" s="33">
        <f>IFERROR(__xludf.DUMMYFUNCTION("""COMPUTED_VALUE"""),1.0)</f>
        <v>1</v>
      </c>
      <c r="S5842" s="4" t="str">
        <f>IFERROR(__xludf.DUMMYFUNCTION("""COMPUTED_VALUE"""),"null")</f>
        <v>null</v>
      </c>
      <c r="T5842" s="33">
        <f>IFERROR(__xludf.DUMMYFUNCTION("""COMPUTED_VALUE"""),1.0)</f>
        <v>1</v>
      </c>
      <c r="U5842" s="4" t="str">
        <f>IFERROR(__xludf.DUMMYFUNCTION("""COMPUTED_VALUE"""),"null")</f>
        <v>null</v>
      </c>
      <c r="V5842" s="33">
        <f>IFERROR(__xludf.DUMMYFUNCTION("""COMPUTED_VALUE"""),1.0)</f>
        <v>1</v>
      </c>
      <c r="W5842" s="4" t="str">
        <f>IFERROR(__xludf.DUMMYFUNCTION("""COMPUTED_VALUE"""),"null")</f>
        <v>null</v>
      </c>
      <c r="X5842" s="33">
        <f>IFERROR(__xludf.DUMMYFUNCTION("""COMPUTED_VALUE"""),0.5)</f>
        <v>0.5</v>
      </c>
    </row>
    <row r="5843">
      <c r="K5843" s="4" t="str">
        <f>IFERROR(__xludf.DUMMYFUNCTION("""COMPUTED_VALUE"""),"PAPA PIZZA")</f>
        <v>PAPA PIZZA</v>
      </c>
      <c r="L5843" s="32">
        <f>IFERROR(__xludf.DUMMYFUNCTION("""COMPUTED_VALUE"""),2.0)</f>
        <v>2</v>
      </c>
      <c r="M5843" s="4" t="str">
        <f>IFERROR(__xludf.DUMMYFUNCTION("""COMPUTED_VALUE"""),"Instadelivery")</f>
        <v>Instadelivery</v>
      </c>
      <c r="N5843" s="33">
        <f>IFERROR(__xludf.DUMMYFUNCTION("""COMPUTED_VALUE"""),0.5)</f>
        <v>0.5</v>
      </c>
      <c r="O5843" s="4" t="str">
        <f>IFERROR(__xludf.DUMMYFUNCTION("""COMPUTED_VALUE"""),"Instadelivery")</f>
        <v>Instadelivery</v>
      </c>
      <c r="P5843" s="33">
        <f>IFERROR(__xludf.DUMMYFUNCTION("""COMPUTED_VALUE"""),0.5)</f>
        <v>0.5</v>
      </c>
      <c r="Q5843" s="4" t="str">
        <f>IFERROR(__xludf.DUMMYFUNCTION("""COMPUTED_VALUE"""),"Instadelivery")</f>
        <v>Instadelivery</v>
      </c>
      <c r="R5843" s="33">
        <f>IFERROR(__xludf.DUMMYFUNCTION("""COMPUTED_VALUE"""),0.5)</f>
        <v>0.5</v>
      </c>
      <c r="S5843" s="4" t="str">
        <f>IFERROR(__xludf.DUMMYFUNCTION("""COMPUTED_VALUE"""),"Instadelivery")</f>
        <v>Instadelivery</v>
      </c>
      <c r="T5843" s="33">
        <f>IFERROR(__xludf.DUMMYFUNCTION("""COMPUTED_VALUE"""),0.5)</f>
        <v>0.5</v>
      </c>
      <c r="U5843" s="4" t="str">
        <f>IFERROR(__xludf.DUMMYFUNCTION("""COMPUTED_VALUE"""),"Instadelivery")</f>
        <v>Instadelivery</v>
      </c>
      <c r="V5843" s="33">
        <f>IFERROR(__xludf.DUMMYFUNCTION("""COMPUTED_VALUE"""),0.5)</f>
        <v>0.5</v>
      </c>
      <c r="W5843" s="4" t="str">
        <f>IFERROR(__xludf.DUMMYFUNCTION("""COMPUTED_VALUE"""),"null")</f>
        <v>null</v>
      </c>
      <c r="X5843" s="33">
        <f>IFERROR(__xludf.DUMMYFUNCTION("""COMPUTED_VALUE"""),0.5)</f>
        <v>0.5</v>
      </c>
    </row>
    <row r="5844">
      <c r="K5844" s="4" t="str">
        <f>IFERROR(__xludf.DUMMYFUNCTION("""COMPUTED_VALUE"""),"ACAI DO FLOK")</f>
        <v>ACAI DO FLOK</v>
      </c>
      <c r="L5844" s="32">
        <f>IFERROR(__xludf.DUMMYFUNCTION("""COMPUTED_VALUE"""),2.0)</f>
        <v>2</v>
      </c>
      <c r="M5844" s="4" t="str">
        <f>IFERROR(__xludf.DUMMYFUNCTION("""COMPUTED_VALUE"""),"Cardápio Web")</f>
        <v>Cardápio Web</v>
      </c>
      <c r="N5844" s="33">
        <f>IFERROR(__xludf.DUMMYFUNCTION("""COMPUTED_VALUE"""),1.0)</f>
        <v>1</v>
      </c>
      <c r="O5844" s="4" t="str">
        <f>IFERROR(__xludf.DUMMYFUNCTION("""COMPUTED_VALUE"""),"Cardápio Web")</f>
        <v>Cardápio Web</v>
      </c>
      <c r="P5844" s="33">
        <f>IFERROR(__xludf.DUMMYFUNCTION("""COMPUTED_VALUE"""),1.0)</f>
        <v>1</v>
      </c>
      <c r="Q5844" s="4" t="str">
        <f>IFERROR(__xludf.DUMMYFUNCTION("""COMPUTED_VALUE"""),"Cardápio Web")</f>
        <v>Cardápio Web</v>
      </c>
      <c r="R5844" s="33">
        <f>IFERROR(__xludf.DUMMYFUNCTION("""COMPUTED_VALUE"""),1.0)</f>
        <v>1</v>
      </c>
      <c r="S5844" s="4" t="str">
        <f>IFERROR(__xludf.DUMMYFUNCTION("""COMPUTED_VALUE"""),"Cardápio Web")</f>
        <v>Cardápio Web</v>
      </c>
      <c r="T5844" s="33">
        <f>IFERROR(__xludf.DUMMYFUNCTION("""COMPUTED_VALUE"""),1.0)</f>
        <v>1</v>
      </c>
      <c r="U5844" s="4" t="str">
        <f>IFERROR(__xludf.DUMMYFUNCTION("""COMPUTED_VALUE"""),"Cardápio Web")</f>
        <v>Cardápio Web</v>
      </c>
      <c r="V5844" s="33">
        <f>IFERROR(__xludf.DUMMYFUNCTION("""COMPUTED_VALUE"""),1.0)</f>
        <v>1</v>
      </c>
      <c r="W5844" s="4" t="str">
        <f>IFERROR(__xludf.DUMMYFUNCTION("""COMPUTED_VALUE"""),"Cardápio Web")</f>
        <v>Cardápio Web</v>
      </c>
      <c r="X5844" s="33">
        <f>IFERROR(__xludf.DUMMYFUNCTION("""COMPUTED_VALUE"""),1.0)</f>
        <v>1</v>
      </c>
    </row>
    <row r="5845">
      <c r="K5845" s="4" t="str">
        <f>IFERROR(__xludf.DUMMYFUNCTION("""COMPUTED_VALUE"""),"PARADA DO PASTEL")</f>
        <v>PARADA DO PASTEL</v>
      </c>
      <c r="L5845" s="32">
        <f>IFERROR(__xludf.DUMMYFUNCTION("""COMPUTED_VALUE"""),2.0)</f>
        <v>2</v>
      </c>
      <c r="M5845" s="4" t="str">
        <f>IFERROR(__xludf.DUMMYFUNCTION("""COMPUTED_VALUE"""),"null")</f>
        <v>null</v>
      </c>
      <c r="N5845" s="33">
        <f>IFERROR(__xludf.DUMMYFUNCTION("""COMPUTED_VALUE"""),1.0)</f>
        <v>1</v>
      </c>
      <c r="O5845" s="4" t="str">
        <f>IFERROR(__xludf.DUMMYFUNCTION("""COMPUTED_VALUE"""),"null")</f>
        <v>null</v>
      </c>
      <c r="P5845" s="33">
        <f>IFERROR(__xludf.DUMMYFUNCTION("""COMPUTED_VALUE"""),1.0)</f>
        <v>1</v>
      </c>
      <c r="Q5845" s="4" t="str">
        <f>IFERROR(__xludf.DUMMYFUNCTION("""COMPUTED_VALUE"""),"null")</f>
        <v>null</v>
      </c>
      <c r="R5845" s="33">
        <f>IFERROR(__xludf.DUMMYFUNCTION("""COMPUTED_VALUE"""),1.0)</f>
        <v>1</v>
      </c>
      <c r="S5845" s="4" t="str">
        <f>IFERROR(__xludf.DUMMYFUNCTION("""COMPUTED_VALUE"""),"null")</f>
        <v>null</v>
      </c>
      <c r="T5845" s="33">
        <f>IFERROR(__xludf.DUMMYFUNCTION("""COMPUTED_VALUE"""),1.0)</f>
        <v>1</v>
      </c>
      <c r="U5845" s="4" t="str">
        <f>IFERROR(__xludf.DUMMYFUNCTION("""COMPUTED_VALUE"""),"Mapp Sistemas")</f>
        <v>Mapp Sistemas</v>
      </c>
      <c r="V5845" s="33">
        <f>IFERROR(__xludf.DUMMYFUNCTION("""COMPUTED_VALUE"""),0.5)</f>
        <v>0.5</v>
      </c>
      <c r="W5845" s="4" t="str">
        <f>IFERROR(__xludf.DUMMYFUNCTION("""COMPUTED_VALUE"""),"null")</f>
        <v>null</v>
      </c>
      <c r="X5845" s="33">
        <f>IFERROR(__xludf.DUMMYFUNCTION("""COMPUTED_VALUE"""),0.5)</f>
        <v>0.5</v>
      </c>
    </row>
    <row r="5846">
      <c r="K5846" s="4" t="str">
        <f>IFERROR(__xludf.DUMMYFUNCTION("""COMPUTED_VALUE"""),"CASA DO CHEFE")</f>
        <v>CASA DO CHEFE</v>
      </c>
      <c r="L5846" s="32">
        <f>IFERROR(__xludf.DUMMYFUNCTION("""COMPUTED_VALUE"""),2.0)</f>
        <v>2</v>
      </c>
      <c r="M5846" s="4" t="str">
        <f>IFERROR(__xludf.DUMMYFUNCTION("""COMPUTED_VALUE"""),"Instadelivery")</f>
        <v>Instadelivery</v>
      </c>
      <c r="N5846" s="33">
        <f>IFERROR(__xludf.DUMMYFUNCTION("""COMPUTED_VALUE"""),0.5)</f>
        <v>0.5</v>
      </c>
      <c r="O5846" s="4" t="str">
        <f>IFERROR(__xludf.DUMMYFUNCTION("""COMPUTED_VALUE"""),"null")</f>
        <v>null</v>
      </c>
      <c r="P5846" s="33">
        <f>IFERROR(__xludf.DUMMYFUNCTION("""COMPUTED_VALUE"""),0.5)</f>
        <v>0.5</v>
      </c>
      <c r="Q5846" s="4" t="str">
        <f>IFERROR(__xludf.DUMMYFUNCTION("""COMPUTED_VALUE"""),"null")</f>
        <v>null</v>
      </c>
      <c r="R5846" s="33">
        <f>IFERROR(__xludf.DUMMYFUNCTION("""COMPUTED_VALUE"""),1.0)</f>
        <v>1</v>
      </c>
      <c r="S5846" s="4" t="str">
        <f>IFERROR(__xludf.DUMMYFUNCTION("""COMPUTED_VALUE"""),"null")</f>
        <v>null</v>
      </c>
      <c r="T5846" s="33">
        <f>IFERROR(__xludf.DUMMYFUNCTION("""COMPUTED_VALUE"""),1.0)</f>
        <v>1</v>
      </c>
      <c r="U5846" s="4" t="str">
        <f>IFERROR(__xludf.DUMMYFUNCTION("""COMPUTED_VALUE"""),"Instadelivery")</f>
        <v>Instadelivery</v>
      </c>
      <c r="V5846" s="33">
        <f>IFERROR(__xludf.DUMMYFUNCTION("""COMPUTED_VALUE"""),0.5)</f>
        <v>0.5</v>
      </c>
      <c r="W5846" s="4" t="str">
        <f>IFERROR(__xludf.DUMMYFUNCTION("""COMPUTED_VALUE"""),"null")</f>
        <v>null</v>
      </c>
      <c r="X5846" s="33">
        <f>IFERROR(__xludf.DUMMYFUNCTION("""COMPUTED_VALUE"""),1.0)</f>
        <v>1</v>
      </c>
    </row>
    <row r="5847">
      <c r="K5847" s="4" t="str">
        <f>IFERROR(__xludf.DUMMYFUNCTION("""COMPUTED_VALUE"""),"FUEGO BURGER")</f>
        <v>FUEGO BURGER</v>
      </c>
      <c r="L5847" s="32">
        <f>IFERROR(__xludf.DUMMYFUNCTION("""COMPUTED_VALUE"""),2.0)</f>
        <v>2</v>
      </c>
      <c r="M5847" s="4" t="str">
        <f>IFERROR(__xludf.DUMMYFUNCTION("""COMPUTED_VALUE"""),"Instadelivery")</f>
        <v>Instadelivery</v>
      </c>
      <c r="N5847" s="33">
        <f>IFERROR(__xludf.DUMMYFUNCTION("""COMPUTED_VALUE"""),1.0)</f>
        <v>1</v>
      </c>
      <c r="O5847" s="4" t="str">
        <f>IFERROR(__xludf.DUMMYFUNCTION("""COMPUTED_VALUE"""),"Instadelivery")</f>
        <v>Instadelivery</v>
      </c>
      <c r="P5847" s="33">
        <f>IFERROR(__xludf.DUMMYFUNCTION("""COMPUTED_VALUE"""),1.0)</f>
        <v>1</v>
      </c>
      <c r="Q5847" s="4" t="str">
        <f>IFERROR(__xludf.DUMMYFUNCTION("""COMPUTED_VALUE"""),"Instadelivery")</f>
        <v>Instadelivery</v>
      </c>
      <c r="R5847" s="33">
        <f>IFERROR(__xludf.DUMMYFUNCTION("""COMPUTED_VALUE"""),1.0)</f>
        <v>1</v>
      </c>
      <c r="S5847" s="4" t="str">
        <f>IFERROR(__xludf.DUMMYFUNCTION("""COMPUTED_VALUE"""),"Instadelivery")</f>
        <v>Instadelivery</v>
      </c>
      <c r="T5847" s="33">
        <f>IFERROR(__xludf.DUMMYFUNCTION("""COMPUTED_VALUE"""),1.0)</f>
        <v>1</v>
      </c>
      <c r="U5847" s="4" t="str">
        <f>IFERROR(__xludf.DUMMYFUNCTION("""COMPUTED_VALUE"""),"Instadelivery")</f>
        <v>Instadelivery</v>
      </c>
      <c r="V5847" s="33">
        <f>IFERROR(__xludf.DUMMYFUNCTION("""COMPUTED_VALUE"""),1.0)</f>
        <v>1</v>
      </c>
      <c r="W5847" s="4" t="str">
        <f>IFERROR(__xludf.DUMMYFUNCTION("""COMPUTED_VALUE"""),"Instadelivery")</f>
        <v>Instadelivery</v>
      </c>
      <c r="X5847" s="33">
        <f>IFERROR(__xludf.DUMMYFUNCTION("""COMPUTED_VALUE"""),1.0)</f>
        <v>1</v>
      </c>
    </row>
    <row r="5848">
      <c r="K5848" s="4" t="str">
        <f>IFERROR(__xludf.DUMMYFUNCTION("""COMPUTED_VALUE"""),"MUNDO ANIMAL PET SHOP")</f>
        <v>MUNDO ANIMAL PET SHOP</v>
      </c>
      <c r="L5848" s="32">
        <f>IFERROR(__xludf.DUMMYFUNCTION("""COMPUTED_VALUE"""),2.0)</f>
        <v>2</v>
      </c>
      <c r="M5848" s="4" t="str">
        <f>IFERROR(__xludf.DUMMYFUNCTION("""COMPUTED_VALUE"""),"null")</f>
        <v>null</v>
      </c>
      <c r="N5848" s="33">
        <f>IFERROR(__xludf.DUMMYFUNCTION("""COMPUTED_VALUE"""),0.5)</f>
        <v>0.5</v>
      </c>
      <c r="O5848" s="4" t="str">
        <f>IFERROR(__xludf.DUMMYFUNCTION("""COMPUTED_VALUE"""),"N/A (Not found)")</f>
        <v>N/A (Not found)</v>
      </c>
      <c r="P5848" s="33">
        <f>IFERROR(__xludf.DUMMYFUNCTION("""COMPUTED_VALUE"""),1.0)</f>
        <v>1</v>
      </c>
      <c r="Q5848" s="4" t="str">
        <f>IFERROR(__xludf.DUMMYFUNCTION("""COMPUTED_VALUE"""),"N/A (Not found)")</f>
        <v>N/A (Not found)</v>
      </c>
      <c r="R5848" s="33">
        <f>IFERROR(__xludf.DUMMYFUNCTION("""COMPUTED_VALUE"""),1.0)</f>
        <v>1</v>
      </c>
      <c r="S5848" s="4" t="str">
        <f>IFERROR(__xludf.DUMMYFUNCTION("""COMPUTED_VALUE"""),"N/A (Not found)")</f>
        <v>N/A (Not found)</v>
      </c>
      <c r="T5848" s="33">
        <f>IFERROR(__xludf.DUMMYFUNCTION("""COMPUTED_VALUE"""),1.0)</f>
        <v>1</v>
      </c>
      <c r="U5848" s="4" t="str">
        <f>IFERROR(__xludf.DUMMYFUNCTION("""COMPUTED_VALUE"""),"N/A (Not found)")</f>
        <v>N/A (Not found)</v>
      </c>
      <c r="V5848" s="33">
        <f>IFERROR(__xludf.DUMMYFUNCTION("""COMPUTED_VALUE"""),1.0)</f>
        <v>1</v>
      </c>
      <c r="W5848" s="4" t="str">
        <f>IFERROR(__xludf.DUMMYFUNCTION("""COMPUTED_VALUE"""),"N/A (Not found)")</f>
        <v>N/A (Not found)</v>
      </c>
      <c r="X5848" s="33">
        <f>IFERROR(__xludf.DUMMYFUNCTION("""COMPUTED_VALUE"""),1.0)</f>
        <v>1</v>
      </c>
    </row>
    <row r="5849">
      <c r="K5849" s="4" t="str">
        <f>IFERROR(__xludf.DUMMYFUNCTION("""COMPUTED_VALUE"""),"MADRUGAO CONVENIENCIA")</f>
        <v>MADRUGAO CONVENIENCIA</v>
      </c>
      <c r="L5849" s="32">
        <f>IFERROR(__xludf.DUMMYFUNCTION("""COMPUTED_VALUE"""),2.0)</f>
        <v>2</v>
      </c>
      <c r="M5849" s="4" t="str">
        <f>IFERROR(__xludf.DUMMYFUNCTION("""COMPUTED_VALUE"""),"N/A (Not found)")</f>
        <v>N/A (Not found)</v>
      </c>
      <c r="N5849" s="33">
        <f>IFERROR(__xludf.DUMMYFUNCTION("""COMPUTED_VALUE"""),0.5)</f>
        <v>0.5</v>
      </c>
      <c r="O5849" s="4" t="str">
        <f>IFERROR(__xludf.DUMMYFUNCTION("""COMPUTED_VALUE"""),"N/A (Not found)")</f>
        <v>N/A (Not found)</v>
      </c>
      <c r="P5849" s="33">
        <f>IFERROR(__xludf.DUMMYFUNCTION("""COMPUTED_VALUE"""),0.5)</f>
        <v>0.5</v>
      </c>
      <c r="Q5849" s="4" t="str">
        <f>IFERROR(__xludf.DUMMYFUNCTION("""COMPUTED_VALUE"""),"null")</f>
        <v>null</v>
      </c>
      <c r="R5849" s="33">
        <f>IFERROR(__xludf.DUMMYFUNCTION("""COMPUTED_VALUE"""),1.0)</f>
        <v>1</v>
      </c>
      <c r="S5849" s="4" t="str">
        <f>IFERROR(__xludf.DUMMYFUNCTION("""COMPUTED_VALUE"""),"null")</f>
        <v>null</v>
      </c>
      <c r="T5849" s="33">
        <f>IFERROR(__xludf.DUMMYFUNCTION("""COMPUTED_VALUE"""),1.0)</f>
        <v>1</v>
      </c>
      <c r="U5849" s="4" t="str">
        <f>IFERROR(__xludf.DUMMYFUNCTION("""COMPUTED_VALUE"""),"null")</f>
        <v>null</v>
      </c>
      <c r="V5849" s="33">
        <f>IFERROR(__xludf.DUMMYFUNCTION("""COMPUTED_VALUE"""),1.0)</f>
        <v>1</v>
      </c>
      <c r="W5849" s="4" t="str">
        <f>IFERROR(__xludf.DUMMYFUNCTION("""COMPUTED_VALUE"""),"null")</f>
        <v>null</v>
      </c>
      <c r="X5849" s="33">
        <f>IFERROR(__xludf.DUMMYFUNCTION("""COMPUTED_VALUE"""),0.5)</f>
        <v>0.5</v>
      </c>
    </row>
    <row r="5850">
      <c r="K5850" s="4" t="str">
        <f>IFERROR(__xludf.DUMMYFUNCTION("""COMPUTED_VALUE"""),"ACAI DO GURI")</f>
        <v>ACAI DO GURI</v>
      </c>
      <c r="L5850" s="32">
        <f>IFERROR(__xludf.DUMMYFUNCTION("""COMPUTED_VALUE"""),2.0)</f>
        <v>2</v>
      </c>
      <c r="M5850" s="4" t="str">
        <f>IFERROR(__xludf.DUMMYFUNCTION("""COMPUTED_VALUE"""),"Suitable Tecnologia E Gestao")</f>
        <v>Suitable Tecnologia E Gestao</v>
      </c>
      <c r="N5850" s="33">
        <f>IFERROR(__xludf.DUMMYFUNCTION("""COMPUTED_VALUE"""),0.5)</f>
        <v>0.5</v>
      </c>
      <c r="O5850" s="4" t="str">
        <f>IFERROR(__xludf.DUMMYFUNCTION("""COMPUTED_VALUE"""),"Suitable Tecnologia E Gestao")</f>
        <v>Suitable Tecnologia E Gestao</v>
      </c>
      <c r="P5850" s="33">
        <f>IFERROR(__xludf.DUMMYFUNCTION("""COMPUTED_VALUE"""),0.5)</f>
        <v>0.5</v>
      </c>
      <c r="Q5850" s="4" t="str">
        <f>IFERROR(__xludf.DUMMYFUNCTION("""COMPUTED_VALUE"""),"Suitable Tecnologia E Gestao")</f>
        <v>Suitable Tecnologia E Gestao</v>
      </c>
      <c r="R5850" s="33">
        <f>IFERROR(__xludf.DUMMYFUNCTION("""COMPUTED_VALUE"""),1.0)</f>
        <v>1</v>
      </c>
      <c r="S5850" s="4" t="str">
        <f>IFERROR(__xludf.DUMMYFUNCTION("""COMPUTED_VALUE"""),"Suitable Tecnologia E Gestao")</f>
        <v>Suitable Tecnologia E Gestao</v>
      </c>
      <c r="T5850" s="33">
        <f>IFERROR(__xludf.DUMMYFUNCTION("""COMPUTED_VALUE"""),1.0)</f>
        <v>1</v>
      </c>
      <c r="U5850" s="4" t="str">
        <f>IFERROR(__xludf.DUMMYFUNCTION("""COMPUTED_VALUE"""),"Suitable Tecnologia E Gestao")</f>
        <v>Suitable Tecnologia E Gestao</v>
      </c>
      <c r="V5850" s="33">
        <f>IFERROR(__xludf.DUMMYFUNCTION("""COMPUTED_VALUE"""),1.0)</f>
        <v>1</v>
      </c>
      <c r="W5850" s="4" t="str">
        <f>IFERROR(__xludf.DUMMYFUNCTION("""COMPUTED_VALUE"""),"Suitable Tecnologia E Gestao")</f>
        <v>Suitable Tecnologia E Gestao</v>
      </c>
      <c r="X5850" s="33">
        <f>IFERROR(__xludf.DUMMYFUNCTION("""COMPUTED_VALUE"""),1.0)</f>
        <v>1</v>
      </c>
    </row>
    <row r="5851">
      <c r="K5851" s="4" t="str">
        <f>IFERROR(__xludf.DUMMYFUNCTION("""COMPUTED_VALUE"""),"DROGARIA SHALOM")</f>
        <v>DROGARIA SHALOM</v>
      </c>
      <c r="L5851" s="32">
        <f>IFERROR(__xludf.DUMMYFUNCTION("""COMPUTED_VALUE"""),2.0)</f>
        <v>2</v>
      </c>
      <c r="M5851" s="4" t="str">
        <f>IFERROR(__xludf.DUMMYFUNCTION("""COMPUTED_VALUE"""),"N/A (Not found)")</f>
        <v>N/A (Not found)</v>
      </c>
      <c r="N5851" s="33">
        <f>IFERROR(__xludf.DUMMYFUNCTION("""COMPUTED_VALUE"""),1.0)</f>
        <v>1</v>
      </c>
      <c r="O5851" s="4" t="str">
        <f>IFERROR(__xludf.DUMMYFUNCTION("""COMPUTED_VALUE"""),"N/A (Not found)")</f>
        <v>N/A (Not found)</v>
      </c>
      <c r="P5851" s="33">
        <f>IFERROR(__xludf.DUMMYFUNCTION("""COMPUTED_VALUE"""),1.0)</f>
        <v>1</v>
      </c>
      <c r="Q5851" s="4" t="str">
        <f>IFERROR(__xludf.DUMMYFUNCTION("""COMPUTED_VALUE"""),"N/A (Not found)")</f>
        <v>N/A (Not found)</v>
      </c>
      <c r="R5851" s="33">
        <f>IFERROR(__xludf.DUMMYFUNCTION("""COMPUTED_VALUE"""),1.0)</f>
        <v>1</v>
      </c>
      <c r="S5851" s="4" t="str">
        <f>IFERROR(__xludf.DUMMYFUNCTION("""COMPUTED_VALUE"""),"N/A (Not found)")</f>
        <v>N/A (Not found)</v>
      </c>
      <c r="T5851" s="33">
        <f>IFERROR(__xludf.DUMMYFUNCTION("""COMPUTED_VALUE"""),1.0)</f>
        <v>1</v>
      </c>
      <c r="U5851" s="4" t="str">
        <f>IFERROR(__xludf.DUMMYFUNCTION("""COMPUTED_VALUE"""),"N/A (Not found)")</f>
        <v>N/A (Not found)</v>
      </c>
      <c r="V5851" s="33">
        <f>IFERROR(__xludf.DUMMYFUNCTION("""COMPUTED_VALUE"""),1.0)</f>
        <v>1</v>
      </c>
      <c r="W5851" s="4" t="str">
        <f>IFERROR(__xludf.DUMMYFUNCTION("""COMPUTED_VALUE"""),"N/A (Not found)")</f>
        <v>N/A (Not found)</v>
      </c>
      <c r="X5851" s="33">
        <f>IFERROR(__xludf.DUMMYFUNCTION("""COMPUTED_VALUE"""),1.0)</f>
        <v>1</v>
      </c>
    </row>
    <row r="5852">
      <c r="K5852" s="4" t="str">
        <f>IFERROR(__xludf.DUMMYFUNCTION("""COMPUTED_VALUE"""),"GAGOS BURGER")</f>
        <v>GAGOS BURGER</v>
      </c>
      <c r="L5852" s="32">
        <f>IFERROR(__xludf.DUMMYFUNCTION("""COMPUTED_VALUE"""),2.0)</f>
        <v>2</v>
      </c>
      <c r="M5852" s="4" t="str">
        <f>IFERROR(__xludf.DUMMYFUNCTION("""COMPUTED_VALUE"""),"Suitable Tecnologia E Gestao")</f>
        <v>Suitable Tecnologia E Gestao</v>
      </c>
      <c r="N5852" s="33">
        <f>IFERROR(__xludf.DUMMYFUNCTION("""COMPUTED_VALUE"""),0.5)</f>
        <v>0.5</v>
      </c>
      <c r="O5852" s="4" t="str">
        <f>IFERROR(__xludf.DUMMYFUNCTION("""COMPUTED_VALUE"""),"Suitable Tecnologia E Gestao")</f>
        <v>Suitable Tecnologia E Gestao</v>
      </c>
      <c r="P5852" s="33">
        <f>IFERROR(__xludf.DUMMYFUNCTION("""COMPUTED_VALUE"""),0.5)</f>
        <v>0.5</v>
      </c>
      <c r="Q5852" s="4" t="str">
        <f>IFERROR(__xludf.DUMMYFUNCTION("""COMPUTED_VALUE"""),"Suitable Tecnologia E Gestao")</f>
        <v>Suitable Tecnologia E Gestao</v>
      </c>
      <c r="R5852" s="33">
        <f>IFERROR(__xludf.DUMMYFUNCTION("""COMPUTED_VALUE"""),0.5)</f>
        <v>0.5</v>
      </c>
      <c r="S5852" s="4" t="str">
        <f>IFERROR(__xludf.DUMMYFUNCTION("""COMPUTED_VALUE"""),"Suitable Tecnologia E Gestao")</f>
        <v>Suitable Tecnologia E Gestao</v>
      </c>
      <c r="T5852" s="33">
        <f>IFERROR(__xludf.DUMMYFUNCTION("""COMPUTED_VALUE"""),0.5)</f>
        <v>0.5</v>
      </c>
      <c r="U5852" s="4" t="str">
        <f>IFERROR(__xludf.DUMMYFUNCTION("""COMPUTED_VALUE"""),"Suitable Tecnologia E Gestao")</f>
        <v>Suitable Tecnologia E Gestao</v>
      </c>
      <c r="V5852" s="33">
        <f>IFERROR(__xludf.DUMMYFUNCTION("""COMPUTED_VALUE"""),0.5)</f>
        <v>0.5</v>
      </c>
      <c r="W5852" s="4" t="str">
        <f>IFERROR(__xludf.DUMMYFUNCTION("""COMPUTED_VALUE"""),"Suitable Tecnologia E Gestao")</f>
        <v>Suitable Tecnologia E Gestao</v>
      </c>
      <c r="X5852" s="33">
        <f>IFERROR(__xludf.DUMMYFUNCTION("""COMPUTED_VALUE"""),0.5)</f>
        <v>0.5</v>
      </c>
    </row>
    <row r="5853">
      <c r="K5853" s="4" t="str">
        <f>IFERROR(__xludf.DUMMYFUNCTION("""COMPUTED_VALUE"""),"ALTAS HORAS LANCHES")</f>
        <v>ALTAS HORAS LANCHES</v>
      </c>
      <c r="L5853" s="32">
        <f>IFERROR(__xludf.DUMMYFUNCTION("""COMPUTED_VALUE"""),2.0)</f>
        <v>2</v>
      </c>
      <c r="M5853" s="4" t="str">
        <f>IFERROR(__xludf.DUMMYFUNCTION("""COMPUTED_VALUE"""),"null")</f>
        <v>null</v>
      </c>
      <c r="N5853" s="33">
        <f>IFERROR(__xludf.DUMMYFUNCTION("""COMPUTED_VALUE"""),0.5)</f>
        <v>0.5</v>
      </c>
      <c r="O5853" s="4" t="str">
        <f>IFERROR(__xludf.DUMMYFUNCTION("""COMPUTED_VALUE"""),"null")</f>
        <v>null</v>
      </c>
      <c r="P5853" s="33">
        <f>IFERROR(__xludf.DUMMYFUNCTION("""COMPUTED_VALUE"""),0.5)</f>
        <v>0.5</v>
      </c>
      <c r="Q5853" s="4" t="str">
        <f>IFERROR(__xludf.DUMMYFUNCTION("""COMPUTED_VALUE"""),"Instadelivery")</f>
        <v>Instadelivery</v>
      </c>
      <c r="R5853" s="33">
        <f>IFERROR(__xludf.DUMMYFUNCTION("""COMPUTED_VALUE"""),0.5)</f>
        <v>0.5</v>
      </c>
      <c r="S5853" s="4" t="str">
        <f>IFERROR(__xludf.DUMMYFUNCTION("""COMPUTED_VALUE"""),"Instadelivery")</f>
        <v>Instadelivery</v>
      </c>
      <c r="T5853" s="33">
        <f>IFERROR(__xludf.DUMMYFUNCTION("""COMPUTED_VALUE"""),0.5)</f>
        <v>0.5</v>
      </c>
      <c r="U5853" s="4" t="str">
        <f>IFERROR(__xludf.DUMMYFUNCTION("""COMPUTED_VALUE"""),"null")</f>
        <v>null</v>
      </c>
      <c r="V5853" s="33">
        <f>IFERROR(__xludf.DUMMYFUNCTION("""COMPUTED_VALUE"""),1.0)</f>
        <v>1</v>
      </c>
      <c r="W5853" s="4" t="str">
        <f>IFERROR(__xludf.DUMMYFUNCTION("""COMPUTED_VALUE"""),"null")</f>
        <v>null</v>
      </c>
      <c r="X5853" s="33">
        <f>IFERROR(__xludf.DUMMYFUNCTION("""COMPUTED_VALUE"""),0.5)</f>
        <v>0.5</v>
      </c>
    </row>
    <row r="5854">
      <c r="K5854" s="4" t="str">
        <f>IFERROR(__xludf.DUMMYFUNCTION("""COMPUTED_VALUE"""),"PIZZA GOOD")</f>
        <v>PIZZA GOOD</v>
      </c>
      <c r="L5854" s="32">
        <f>IFERROR(__xludf.DUMMYFUNCTION("""COMPUTED_VALUE"""),2.0)</f>
        <v>2</v>
      </c>
      <c r="M5854" s="4" t="str">
        <f>IFERROR(__xludf.DUMMYFUNCTION("""COMPUTED_VALUE"""),"null")</f>
        <v>null</v>
      </c>
      <c r="N5854" s="33">
        <f>IFERROR(__xludf.DUMMYFUNCTION("""COMPUTED_VALUE"""),0.5)</f>
        <v>0.5</v>
      </c>
      <c r="O5854" s="4" t="str">
        <f>IFERROR(__xludf.DUMMYFUNCTION("""COMPUTED_VALUE"""),"null")</f>
        <v>null</v>
      </c>
      <c r="P5854" s="33">
        <f>IFERROR(__xludf.DUMMYFUNCTION("""COMPUTED_VALUE"""),0.5)</f>
        <v>0.5</v>
      </c>
      <c r="Q5854" s="4" t="str">
        <f>IFERROR(__xludf.DUMMYFUNCTION("""COMPUTED_VALUE"""),"null")</f>
        <v>null</v>
      </c>
      <c r="R5854" s="33">
        <f>IFERROR(__xludf.DUMMYFUNCTION("""COMPUTED_VALUE"""),0.5)</f>
        <v>0.5</v>
      </c>
      <c r="S5854" s="4" t="str">
        <f>IFERROR(__xludf.DUMMYFUNCTION("""COMPUTED_VALUE"""),"null")</f>
        <v>null</v>
      </c>
      <c r="T5854" s="33">
        <f>IFERROR(__xludf.DUMMYFUNCTION("""COMPUTED_VALUE"""),0.5)</f>
        <v>0.5</v>
      </c>
      <c r="U5854" s="4" t="str">
        <f>IFERROR(__xludf.DUMMYFUNCTION("""COMPUTED_VALUE"""),"Cardápio Web")</f>
        <v>Cardápio Web</v>
      </c>
      <c r="V5854" s="33">
        <f>IFERROR(__xludf.DUMMYFUNCTION("""COMPUTED_VALUE"""),1.0)</f>
        <v>1</v>
      </c>
      <c r="W5854" s="4" t="str">
        <f>IFERROR(__xludf.DUMMYFUNCTION("""COMPUTED_VALUE"""),"Cardápio Web")</f>
        <v>Cardápio Web</v>
      </c>
      <c r="X5854" s="33">
        <f>IFERROR(__xludf.DUMMYFUNCTION("""COMPUTED_VALUE"""),1.0)</f>
        <v>1</v>
      </c>
    </row>
    <row r="5855">
      <c r="K5855" s="4" t="str">
        <f>IFERROR(__xludf.DUMMYFUNCTION("""COMPUTED_VALUE"""),"DISCO VOADOR EXPRESS")</f>
        <v>DISCO VOADOR EXPRESS</v>
      </c>
      <c r="L5855" s="32">
        <f>IFERROR(__xludf.DUMMYFUNCTION("""COMPUTED_VALUE"""),2.0)</f>
        <v>2</v>
      </c>
      <c r="M5855" s="4" t="str">
        <f>IFERROR(__xludf.DUMMYFUNCTION("""COMPUTED_VALUE"""),"null")</f>
        <v>null</v>
      </c>
      <c r="N5855" s="33">
        <f>IFERROR(__xludf.DUMMYFUNCTION("""COMPUTED_VALUE"""),1.0)</f>
        <v>1</v>
      </c>
      <c r="O5855" s="4" t="str">
        <f>IFERROR(__xludf.DUMMYFUNCTION("""COMPUTED_VALUE"""),"null")</f>
        <v>null</v>
      </c>
      <c r="P5855" s="33">
        <f>IFERROR(__xludf.DUMMYFUNCTION("""COMPUTED_VALUE"""),1.0)</f>
        <v>1</v>
      </c>
      <c r="Q5855" s="4" t="str">
        <f>IFERROR(__xludf.DUMMYFUNCTION("""COMPUTED_VALUE"""),"null")</f>
        <v>null</v>
      </c>
      <c r="R5855" s="33">
        <f>IFERROR(__xludf.DUMMYFUNCTION("""COMPUTED_VALUE"""),1.0)</f>
        <v>1</v>
      </c>
      <c r="S5855" s="4" t="str">
        <f>IFERROR(__xludf.DUMMYFUNCTION("""COMPUTED_VALUE"""),"null")</f>
        <v>null</v>
      </c>
      <c r="T5855" s="33">
        <f>IFERROR(__xludf.DUMMYFUNCTION("""COMPUTED_VALUE"""),1.0)</f>
        <v>1</v>
      </c>
      <c r="U5855" s="4" t="str">
        <f>IFERROR(__xludf.DUMMYFUNCTION("""COMPUTED_VALUE"""),"null")</f>
        <v>null</v>
      </c>
      <c r="V5855" s="33">
        <f>IFERROR(__xludf.DUMMYFUNCTION("""COMPUTED_VALUE"""),0.5)</f>
        <v>0.5</v>
      </c>
      <c r="W5855" s="4" t="str">
        <f>IFERROR(__xludf.DUMMYFUNCTION("""COMPUTED_VALUE"""),"Alfa Labs")</f>
        <v>Alfa Labs</v>
      </c>
      <c r="X5855" s="33">
        <f>IFERROR(__xludf.DUMMYFUNCTION("""COMPUTED_VALUE"""),0.5)</f>
        <v>0.5</v>
      </c>
    </row>
    <row r="5856">
      <c r="K5856" s="4" t="str">
        <f>IFERROR(__xludf.DUMMYFUNCTION("""COMPUTED_VALUE"""),"MONSXTRA PIZZARIA TRINDADE")</f>
        <v>MONSXTRA PIZZARIA TRINDADE</v>
      </c>
      <c r="L5856" s="32">
        <f>IFERROR(__xludf.DUMMYFUNCTION("""COMPUTED_VALUE"""),2.0)</f>
        <v>2</v>
      </c>
      <c r="M5856" s="4" t="str">
        <f>IFERROR(__xludf.DUMMYFUNCTION("""COMPUTED_VALUE"""),"null")</f>
        <v>null</v>
      </c>
      <c r="N5856" s="33">
        <f>IFERROR(__xludf.DUMMYFUNCTION("""COMPUTED_VALUE"""),0.5)</f>
        <v>0.5</v>
      </c>
      <c r="O5856" s="4" t="str">
        <f>IFERROR(__xludf.DUMMYFUNCTION("""COMPUTED_VALUE"""),"null")</f>
        <v>null</v>
      </c>
      <c r="P5856" s="33">
        <f>IFERROR(__xludf.DUMMYFUNCTION("""COMPUTED_VALUE"""),0.5)</f>
        <v>0.5</v>
      </c>
      <c r="Q5856" s="4" t="str">
        <f>IFERROR(__xludf.DUMMYFUNCTION("""COMPUTED_VALUE"""),"null")</f>
        <v>null</v>
      </c>
      <c r="R5856" s="33">
        <f>IFERROR(__xludf.DUMMYFUNCTION("""COMPUTED_VALUE"""),0.5)</f>
        <v>0.5</v>
      </c>
      <c r="S5856" s="4" t="str">
        <f>IFERROR(__xludf.DUMMYFUNCTION("""COMPUTED_VALUE"""),"null")</f>
        <v>null</v>
      </c>
      <c r="T5856" s="33">
        <f>IFERROR(__xludf.DUMMYFUNCTION("""COMPUTED_VALUE"""),0.5)</f>
        <v>0.5</v>
      </c>
      <c r="U5856" s="4" t="str">
        <f>IFERROR(__xludf.DUMMYFUNCTION("""COMPUTED_VALUE"""),"Bitbar")</f>
        <v>Bitbar</v>
      </c>
      <c r="V5856" s="33">
        <f>IFERROR(__xludf.DUMMYFUNCTION("""COMPUTED_VALUE"""),0.5)</f>
        <v>0.5</v>
      </c>
      <c r="W5856" s="4" t="str">
        <f>IFERROR(__xludf.DUMMYFUNCTION("""COMPUTED_VALUE"""),"Bitbar")</f>
        <v>Bitbar</v>
      </c>
      <c r="X5856" s="33">
        <f>IFERROR(__xludf.DUMMYFUNCTION("""COMPUTED_VALUE"""),0.5)</f>
        <v>0.5</v>
      </c>
    </row>
    <row r="5857">
      <c r="K5857" s="4" t="str">
        <f>IFERROR(__xludf.DUMMYFUNCTION("""COMPUTED_VALUE"""),"DROGARIA FELICIDADE")</f>
        <v>DROGARIA FELICIDADE</v>
      </c>
      <c r="L5857" s="32">
        <f>IFERROR(__xludf.DUMMYFUNCTION("""COMPUTED_VALUE"""),2.0)</f>
        <v>2</v>
      </c>
      <c r="M5857" s="4" t="str">
        <f>IFERROR(__xludf.DUMMYFUNCTION("""COMPUTED_VALUE"""),"N/A (Not found)")</f>
        <v>N/A (Not found)</v>
      </c>
      <c r="N5857" s="33">
        <f>IFERROR(__xludf.DUMMYFUNCTION("""COMPUTED_VALUE"""),0.5)</f>
        <v>0.5</v>
      </c>
      <c r="O5857" s="4" t="str">
        <f>IFERROR(__xludf.DUMMYFUNCTION("""COMPUTED_VALUE"""),"N/A (Not found)")</f>
        <v>N/A (Not found)</v>
      </c>
      <c r="P5857" s="33">
        <f>IFERROR(__xludf.DUMMYFUNCTION("""COMPUTED_VALUE"""),1.0)</f>
        <v>1</v>
      </c>
      <c r="Q5857" s="4" t="str">
        <f>IFERROR(__xludf.DUMMYFUNCTION("""COMPUTED_VALUE"""),"N/A (Not found)")</f>
        <v>N/A (Not found)</v>
      </c>
      <c r="R5857" s="33">
        <f>IFERROR(__xludf.DUMMYFUNCTION("""COMPUTED_VALUE"""),1.0)</f>
        <v>1</v>
      </c>
      <c r="S5857" s="4" t="str">
        <f>IFERROR(__xludf.DUMMYFUNCTION("""COMPUTED_VALUE"""),"N/A (Not found)")</f>
        <v>N/A (Not found)</v>
      </c>
      <c r="T5857" s="33">
        <f>IFERROR(__xludf.DUMMYFUNCTION("""COMPUTED_VALUE"""),1.0)</f>
        <v>1</v>
      </c>
      <c r="U5857" s="4" t="str">
        <f>IFERROR(__xludf.DUMMYFUNCTION("""COMPUTED_VALUE"""),"N/A (Not found)")</f>
        <v>N/A (Not found)</v>
      </c>
      <c r="V5857" s="33">
        <f>IFERROR(__xludf.DUMMYFUNCTION("""COMPUTED_VALUE"""),1.0)</f>
        <v>1</v>
      </c>
      <c r="W5857" s="4" t="str">
        <f>IFERROR(__xludf.DUMMYFUNCTION("""COMPUTED_VALUE"""),"null")</f>
        <v>null</v>
      </c>
      <c r="X5857" s="33">
        <f>IFERROR(__xludf.DUMMYFUNCTION("""COMPUTED_VALUE"""),0.5)</f>
        <v>0.5</v>
      </c>
    </row>
    <row r="5858">
      <c r="K5858" s="4" t="str">
        <f>IFERROR(__xludf.DUMMYFUNCTION("""COMPUTED_VALUE"""),"FARMA POUPA MAIS")</f>
        <v>FARMA POUPA MAIS</v>
      </c>
      <c r="L5858" s="32">
        <f>IFERROR(__xludf.DUMMYFUNCTION("""COMPUTED_VALUE"""),2.0)</f>
        <v>2</v>
      </c>
      <c r="M5858" s="4" t="str">
        <f>IFERROR(__xludf.DUMMYFUNCTION("""COMPUTED_VALUE"""),"N/A (Not found)")</f>
        <v>N/A (Not found)</v>
      </c>
      <c r="N5858" s="33">
        <f>IFERROR(__xludf.DUMMYFUNCTION("""COMPUTED_VALUE"""),1.0)</f>
        <v>1</v>
      </c>
      <c r="O5858" s="4" t="str">
        <f>IFERROR(__xludf.DUMMYFUNCTION("""COMPUTED_VALUE"""),"N/A (Not found)")</f>
        <v>N/A (Not found)</v>
      </c>
      <c r="P5858" s="33">
        <f>IFERROR(__xludf.DUMMYFUNCTION("""COMPUTED_VALUE"""),1.0)</f>
        <v>1</v>
      </c>
      <c r="Q5858" s="4" t="str">
        <f>IFERROR(__xludf.DUMMYFUNCTION("""COMPUTED_VALUE"""),"N/A (Not found)")</f>
        <v>N/A (Not found)</v>
      </c>
      <c r="R5858" s="33">
        <f>IFERROR(__xludf.DUMMYFUNCTION("""COMPUTED_VALUE"""),1.0)</f>
        <v>1</v>
      </c>
      <c r="S5858" s="4" t="str">
        <f>IFERROR(__xludf.DUMMYFUNCTION("""COMPUTED_VALUE"""),"N/A (Not found)")</f>
        <v>N/A (Not found)</v>
      </c>
      <c r="T5858" s="33">
        <f>IFERROR(__xludf.DUMMYFUNCTION("""COMPUTED_VALUE"""),1.0)</f>
        <v>1</v>
      </c>
      <c r="U5858" s="4" t="str">
        <f>IFERROR(__xludf.DUMMYFUNCTION("""COMPUTED_VALUE"""),"N/A (Not found)")</f>
        <v>N/A (Not found)</v>
      </c>
      <c r="V5858" s="33">
        <f>IFERROR(__xludf.DUMMYFUNCTION("""COMPUTED_VALUE"""),1.0)</f>
        <v>1</v>
      </c>
      <c r="W5858" s="4" t="str">
        <f>IFERROR(__xludf.DUMMYFUNCTION("""COMPUTED_VALUE"""),"N/A (Not found)")</f>
        <v>N/A (Not found)</v>
      </c>
      <c r="X5858" s="33">
        <f>IFERROR(__xludf.DUMMYFUNCTION("""COMPUTED_VALUE"""),1.0)</f>
        <v>1</v>
      </c>
    </row>
    <row r="5859">
      <c r="K5859" s="4" t="str">
        <f>IFERROR(__xludf.DUMMYFUNCTION("""COMPUTED_VALUE"""),"MARMITARIA SOARES")</f>
        <v>MARMITARIA SOARES</v>
      </c>
      <c r="L5859" s="32">
        <f>IFERROR(__xludf.DUMMYFUNCTION("""COMPUTED_VALUE"""),2.0)</f>
        <v>2</v>
      </c>
      <c r="M5859" s="4" t="str">
        <f>IFERROR(__xludf.DUMMYFUNCTION("""COMPUTED_VALUE"""),"Instadelivery")</f>
        <v>Instadelivery</v>
      </c>
      <c r="N5859" s="33">
        <f>IFERROR(__xludf.DUMMYFUNCTION("""COMPUTED_VALUE"""),0.5)</f>
        <v>0.5</v>
      </c>
      <c r="O5859" s="4" t="str">
        <f>IFERROR(__xludf.DUMMYFUNCTION("""COMPUTED_VALUE"""),"Instadelivery")</f>
        <v>Instadelivery</v>
      </c>
      <c r="P5859" s="33">
        <f>IFERROR(__xludf.DUMMYFUNCTION("""COMPUTED_VALUE"""),0.5)</f>
        <v>0.5</v>
      </c>
      <c r="Q5859" s="4" t="str">
        <f>IFERROR(__xludf.DUMMYFUNCTION("""COMPUTED_VALUE"""),"null")</f>
        <v>null</v>
      </c>
      <c r="R5859" s="33">
        <f>IFERROR(__xludf.DUMMYFUNCTION("""COMPUTED_VALUE"""),1.0)</f>
        <v>1</v>
      </c>
      <c r="S5859" s="4" t="str">
        <f>IFERROR(__xludf.DUMMYFUNCTION("""COMPUTED_VALUE"""),"null")</f>
        <v>null</v>
      </c>
      <c r="T5859" s="33">
        <f>IFERROR(__xludf.DUMMYFUNCTION("""COMPUTED_VALUE"""),1.0)</f>
        <v>1</v>
      </c>
      <c r="U5859" s="4" t="str">
        <f>IFERROR(__xludf.DUMMYFUNCTION("""COMPUTED_VALUE"""),"null")</f>
        <v>null</v>
      </c>
      <c r="V5859" s="33">
        <f>IFERROR(__xludf.DUMMYFUNCTION("""COMPUTED_VALUE"""),1.0)</f>
        <v>1</v>
      </c>
      <c r="W5859" s="4" t="str">
        <f>IFERROR(__xludf.DUMMYFUNCTION("""COMPUTED_VALUE"""),"null")</f>
        <v>null</v>
      </c>
      <c r="X5859" s="33">
        <f>IFERROR(__xludf.DUMMYFUNCTION("""COMPUTED_VALUE"""),1.0)</f>
        <v>1</v>
      </c>
    </row>
    <row r="5860">
      <c r="K5860" s="4" t="str">
        <f>IFERROR(__xludf.DUMMYFUNCTION("""COMPUTED_VALUE"""),"SUPREMO STORE")</f>
        <v>SUPREMO STORE</v>
      </c>
      <c r="L5860" s="32">
        <f>IFERROR(__xludf.DUMMYFUNCTION("""COMPUTED_VALUE"""),2.0)</f>
        <v>2</v>
      </c>
      <c r="M5860" s="4" t="str">
        <f>IFERROR(__xludf.DUMMYFUNCTION("""COMPUTED_VALUE"""),"N/A (Not found)")</f>
        <v>N/A (Not found)</v>
      </c>
      <c r="N5860" s="33">
        <f>IFERROR(__xludf.DUMMYFUNCTION("""COMPUTED_VALUE"""),1.0)</f>
        <v>1</v>
      </c>
      <c r="O5860" s="4" t="str">
        <f>IFERROR(__xludf.DUMMYFUNCTION("""COMPUTED_VALUE"""),"N/A (Not found)")</f>
        <v>N/A (Not found)</v>
      </c>
      <c r="P5860" s="33">
        <f>IFERROR(__xludf.DUMMYFUNCTION("""COMPUTED_VALUE"""),1.0)</f>
        <v>1</v>
      </c>
      <c r="Q5860" s="4" t="str">
        <f>IFERROR(__xludf.DUMMYFUNCTION("""COMPUTED_VALUE"""),"N/A (Not found)")</f>
        <v>N/A (Not found)</v>
      </c>
      <c r="R5860" s="33">
        <f>IFERROR(__xludf.DUMMYFUNCTION("""COMPUTED_VALUE"""),1.0)</f>
        <v>1</v>
      </c>
      <c r="S5860" s="4" t="str">
        <f>IFERROR(__xludf.DUMMYFUNCTION("""COMPUTED_VALUE"""),"N/A (Not found)")</f>
        <v>N/A (Not found)</v>
      </c>
      <c r="T5860" s="33">
        <f>IFERROR(__xludf.DUMMYFUNCTION("""COMPUTED_VALUE"""),1.0)</f>
        <v>1</v>
      </c>
      <c r="U5860" s="4" t="str">
        <f>IFERROR(__xludf.DUMMYFUNCTION("""COMPUTED_VALUE"""),"null")</f>
        <v>null</v>
      </c>
      <c r="V5860" s="33">
        <f>IFERROR(__xludf.DUMMYFUNCTION("""COMPUTED_VALUE"""),0.5)</f>
        <v>0.5</v>
      </c>
      <c r="W5860" s="4" t="str">
        <f>IFERROR(__xludf.DUMMYFUNCTION("""COMPUTED_VALUE"""),"N/A (Not found)")</f>
        <v>N/A (Not found)</v>
      </c>
      <c r="X5860" s="33">
        <f>IFERROR(__xludf.DUMMYFUNCTION("""COMPUTED_VALUE"""),1.0)</f>
        <v>1</v>
      </c>
    </row>
    <row r="5861">
      <c r="K5861" s="4" t="str">
        <f>IFERROR(__xludf.DUMMYFUNCTION("""COMPUTED_VALUE"""),"ACAI E MILK-SHAKE MUSTS - JOAO TEIXEIRA")</f>
        <v>ACAI E MILK-SHAKE MUSTS - JOAO TEIXEIRA</v>
      </c>
      <c r="L5861" s="32">
        <f>IFERROR(__xludf.DUMMYFUNCTION("""COMPUTED_VALUE"""),2.0)</f>
        <v>2</v>
      </c>
      <c r="M5861" s="4" t="str">
        <f>IFERROR(__xludf.DUMMYFUNCTION("""COMPUTED_VALUE"""),"Saipos Serviços De Software")</f>
        <v>Saipos Serviços De Software</v>
      </c>
      <c r="N5861" s="33">
        <f>IFERROR(__xludf.DUMMYFUNCTION("""COMPUTED_VALUE"""),1.0)</f>
        <v>1</v>
      </c>
      <c r="O5861" s="4" t="str">
        <f>IFERROR(__xludf.DUMMYFUNCTION("""COMPUTED_VALUE"""),"Saipos Serviços De Software")</f>
        <v>Saipos Serviços De Software</v>
      </c>
      <c r="P5861" s="33">
        <f>IFERROR(__xludf.DUMMYFUNCTION("""COMPUTED_VALUE"""),1.0)</f>
        <v>1</v>
      </c>
      <c r="Q5861" s="4" t="str">
        <f>IFERROR(__xludf.DUMMYFUNCTION("""COMPUTED_VALUE"""),"Saipos Serviços De Software")</f>
        <v>Saipos Serviços De Software</v>
      </c>
      <c r="R5861" s="33">
        <f>IFERROR(__xludf.DUMMYFUNCTION("""COMPUTED_VALUE"""),1.0)</f>
        <v>1</v>
      </c>
      <c r="S5861" s="4" t="str">
        <f>IFERROR(__xludf.DUMMYFUNCTION("""COMPUTED_VALUE"""),"Saipos Serviços De Software")</f>
        <v>Saipos Serviços De Software</v>
      </c>
      <c r="T5861" s="33">
        <f>IFERROR(__xludf.DUMMYFUNCTION("""COMPUTED_VALUE"""),1.0)</f>
        <v>1</v>
      </c>
      <c r="U5861" s="4" t="str">
        <f>IFERROR(__xludf.DUMMYFUNCTION("""COMPUTED_VALUE"""),"Saipos Serviços De Software")</f>
        <v>Saipos Serviços De Software</v>
      </c>
      <c r="V5861" s="33">
        <f>IFERROR(__xludf.DUMMYFUNCTION("""COMPUTED_VALUE"""),1.0)</f>
        <v>1</v>
      </c>
      <c r="W5861" s="4" t="str">
        <f>IFERROR(__xludf.DUMMYFUNCTION("""COMPUTED_VALUE"""),"Saipos Serviços De Software")</f>
        <v>Saipos Serviços De Software</v>
      </c>
      <c r="X5861" s="33">
        <f>IFERROR(__xludf.DUMMYFUNCTION("""COMPUTED_VALUE"""),1.0)</f>
        <v>1</v>
      </c>
    </row>
    <row r="5862">
      <c r="K5862" s="4" t="str">
        <f>IFERROR(__xludf.DUMMYFUNCTION("""COMPUTED_VALUE"""),"FARMACIA MEGA POPULAR")</f>
        <v>FARMACIA MEGA POPULAR</v>
      </c>
      <c r="L5862" s="32">
        <f>IFERROR(__xludf.DUMMYFUNCTION("""COMPUTED_VALUE"""),2.0)</f>
        <v>2</v>
      </c>
      <c r="M5862" s="4" t="str">
        <f>IFERROR(__xludf.DUMMYFUNCTION("""COMPUTED_VALUE"""),"null")</f>
        <v>null</v>
      </c>
      <c r="N5862" s="33">
        <f>IFERROR(__xludf.DUMMYFUNCTION("""COMPUTED_VALUE"""),0.5)</f>
        <v>0.5</v>
      </c>
      <c r="O5862" s="4" t="str">
        <f>IFERROR(__xludf.DUMMYFUNCTION("""COMPUTED_VALUE"""),"N/A (Not found)")</f>
        <v>N/A (Not found)</v>
      </c>
      <c r="P5862" s="33">
        <f>IFERROR(__xludf.DUMMYFUNCTION("""COMPUTED_VALUE"""),1.0)</f>
        <v>1</v>
      </c>
      <c r="Q5862" s="4" t="str">
        <f>IFERROR(__xludf.DUMMYFUNCTION("""COMPUTED_VALUE"""),"N/A (Not found)")</f>
        <v>N/A (Not found)</v>
      </c>
      <c r="R5862" s="33">
        <f>IFERROR(__xludf.DUMMYFUNCTION("""COMPUTED_VALUE"""),1.0)</f>
        <v>1</v>
      </c>
      <c r="S5862" s="4" t="str">
        <f>IFERROR(__xludf.DUMMYFUNCTION("""COMPUTED_VALUE"""),"N/A (Not found)")</f>
        <v>N/A (Not found)</v>
      </c>
      <c r="T5862" s="33">
        <f>IFERROR(__xludf.DUMMYFUNCTION("""COMPUTED_VALUE"""),1.0)</f>
        <v>1</v>
      </c>
      <c r="U5862" s="4" t="str">
        <f>IFERROR(__xludf.DUMMYFUNCTION("""COMPUTED_VALUE"""),"null")</f>
        <v>null</v>
      </c>
      <c r="V5862" s="33">
        <f>IFERROR(__xludf.DUMMYFUNCTION("""COMPUTED_VALUE"""),0.5)</f>
        <v>0.5</v>
      </c>
      <c r="W5862" s="4" t="str">
        <f>IFERROR(__xludf.DUMMYFUNCTION("""COMPUTED_VALUE"""),"N/A (Not found)")</f>
        <v>N/A (Not found)</v>
      </c>
      <c r="X5862" s="33">
        <f>IFERROR(__xludf.DUMMYFUNCTION("""COMPUTED_VALUE"""),1.0)</f>
        <v>1</v>
      </c>
    </row>
    <row r="5863">
      <c r="K5863" s="4" t="str">
        <f>IFERROR(__xludf.DUMMYFUNCTION("""COMPUTED_VALUE"""),"COXINHAS DONA NITA")</f>
        <v>COXINHAS DONA NITA</v>
      </c>
      <c r="L5863" s="32">
        <f>IFERROR(__xludf.DUMMYFUNCTION("""COMPUTED_VALUE"""),2.0)</f>
        <v>2</v>
      </c>
      <c r="M5863" s="4" t="str">
        <f>IFERROR(__xludf.DUMMYFUNCTION("""COMPUTED_VALUE"""),"Waybe Soluções Em Tecnologia Da Informação Ltda")</f>
        <v>Waybe Soluções Em Tecnologia Da Informação Ltda</v>
      </c>
      <c r="N5863" s="33">
        <f>IFERROR(__xludf.DUMMYFUNCTION("""COMPUTED_VALUE"""),1.0)</f>
        <v>1</v>
      </c>
      <c r="O5863" s="4" t="str">
        <f>IFERROR(__xludf.DUMMYFUNCTION("""COMPUTED_VALUE"""),"Waybe Soluções Em Tecnologia Da Informação Ltda")</f>
        <v>Waybe Soluções Em Tecnologia Da Informação Ltda</v>
      </c>
      <c r="P5863" s="33">
        <f>IFERROR(__xludf.DUMMYFUNCTION("""COMPUTED_VALUE"""),1.0)</f>
        <v>1</v>
      </c>
      <c r="Q5863" s="4" t="str">
        <f>IFERROR(__xludf.DUMMYFUNCTION("""COMPUTED_VALUE"""),"Waybe Soluções Em Tecnologia Da Informação Ltda")</f>
        <v>Waybe Soluções Em Tecnologia Da Informação Ltda</v>
      </c>
      <c r="R5863" s="33">
        <f>IFERROR(__xludf.DUMMYFUNCTION("""COMPUTED_VALUE"""),1.0)</f>
        <v>1</v>
      </c>
      <c r="S5863" s="4" t="str">
        <f>IFERROR(__xludf.DUMMYFUNCTION("""COMPUTED_VALUE"""),"Waybe Soluções Em Tecnologia Da Informação Ltda")</f>
        <v>Waybe Soluções Em Tecnologia Da Informação Ltda</v>
      </c>
      <c r="T5863" s="33">
        <f>IFERROR(__xludf.DUMMYFUNCTION("""COMPUTED_VALUE"""),1.0)</f>
        <v>1</v>
      </c>
      <c r="U5863" s="4" t="str">
        <f>IFERROR(__xludf.DUMMYFUNCTION("""COMPUTED_VALUE"""),"Waybe Soluções Em Tecnologia Da Informação Ltda")</f>
        <v>Waybe Soluções Em Tecnologia Da Informação Ltda</v>
      </c>
      <c r="V5863" s="33">
        <f>IFERROR(__xludf.DUMMYFUNCTION("""COMPUTED_VALUE"""),1.0)</f>
        <v>1</v>
      </c>
      <c r="W5863" s="4" t="str">
        <f>IFERROR(__xludf.DUMMYFUNCTION("""COMPUTED_VALUE"""),"Waybe Soluções Em Tecnologia Da Informação Ltda")</f>
        <v>Waybe Soluções Em Tecnologia Da Informação Ltda</v>
      </c>
      <c r="X5863" s="33">
        <f>IFERROR(__xludf.DUMMYFUNCTION("""COMPUTED_VALUE"""),1.0)</f>
        <v>1</v>
      </c>
    </row>
    <row r="5864">
      <c r="K5864" s="4" t="str">
        <f>IFERROR(__xludf.DUMMYFUNCTION("""COMPUTED_VALUE"""),"IMI - PIZZARIA ARTESANAL")</f>
        <v>IMI - PIZZARIA ARTESANAL</v>
      </c>
      <c r="L5864" s="32">
        <f>IFERROR(__xludf.DUMMYFUNCTION("""COMPUTED_VALUE"""),2.0)</f>
        <v>2</v>
      </c>
      <c r="M5864" s="4" t="str">
        <f>IFERROR(__xludf.DUMMYFUNCTION("""COMPUTED_VALUE"""),"Suitable Tecnologia E Gestao")</f>
        <v>Suitable Tecnologia E Gestao</v>
      </c>
      <c r="N5864" s="33">
        <f>IFERROR(__xludf.DUMMYFUNCTION("""COMPUTED_VALUE"""),1.0)</f>
        <v>1</v>
      </c>
      <c r="O5864" s="4" t="str">
        <f>IFERROR(__xludf.DUMMYFUNCTION("""COMPUTED_VALUE"""),"null")</f>
        <v>null</v>
      </c>
      <c r="P5864" s="33">
        <f>IFERROR(__xludf.DUMMYFUNCTION("""COMPUTED_VALUE"""),1.0)</f>
        <v>1</v>
      </c>
      <c r="Q5864" s="4" t="str">
        <f>IFERROR(__xludf.DUMMYFUNCTION("""COMPUTED_VALUE"""),"Suitable Tecnologia E Gestao")</f>
        <v>Suitable Tecnologia E Gestao</v>
      </c>
      <c r="R5864" s="33">
        <f>IFERROR(__xludf.DUMMYFUNCTION("""COMPUTED_VALUE"""),0.5)</f>
        <v>0.5</v>
      </c>
      <c r="S5864" s="4" t="str">
        <f>IFERROR(__xludf.DUMMYFUNCTION("""COMPUTED_VALUE"""),"Suitable Tecnologia E Gestao")</f>
        <v>Suitable Tecnologia E Gestao</v>
      </c>
      <c r="T5864" s="33">
        <f>IFERROR(__xludf.DUMMYFUNCTION("""COMPUTED_VALUE"""),0.5)</f>
        <v>0.5</v>
      </c>
      <c r="U5864" s="4" t="str">
        <f>IFERROR(__xludf.DUMMYFUNCTION("""COMPUTED_VALUE"""),"Suitable Tecnologia E Gestao")</f>
        <v>Suitable Tecnologia E Gestao</v>
      </c>
      <c r="V5864" s="33">
        <f>IFERROR(__xludf.DUMMYFUNCTION("""COMPUTED_VALUE"""),0.5)</f>
        <v>0.5</v>
      </c>
      <c r="W5864" s="4" t="str">
        <f>IFERROR(__xludf.DUMMYFUNCTION("""COMPUTED_VALUE"""),"Suitable Tecnologia E Gestao")</f>
        <v>Suitable Tecnologia E Gestao</v>
      </c>
      <c r="X5864" s="33">
        <f>IFERROR(__xludf.DUMMYFUNCTION("""COMPUTED_VALUE"""),0.5)</f>
        <v>0.5</v>
      </c>
    </row>
    <row r="5865">
      <c r="K5865" s="4" t="str">
        <f>IFERROR(__xludf.DUMMYFUNCTION("""COMPUTED_VALUE"""),"VILLA 13 DOCERIA GOURMET")</f>
        <v>VILLA 13 DOCERIA GOURMET</v>
      </c>
      <c r="L5865" s="32">
        <f>IFERROR(__xludf.DUMMYFUNCTION("""COMPUTED_VALUE"""),2.0)</f>
        <v>2</v>
      </c>
      <c r="M5865" s="4" t="str">
        <f>IFERROR(__xludf.DUMMYFUNCTION("""COMPUTED_VALUE"""),"null")</f>
        <v>null</v>
      </c>
      <c r="N5865" s="33">
        <f>IFERROR(__xludf.DUMMYFUNCTION("""COMPUTED_VALUE"""),0.5)</f>
        <v>0.5</v>
      </c>
      <c r="O5865" s="4" t="str">
        <f>IFERROR(__xludf.DUMMYFUNCTION("""COMPUTED_VALUE"""),"null")</f>
        <v>null</v>
      </c>
      <c r="P5865" s="33">
        <f>IFERROR(__xludf.DUMMYFUNCTION("""COMPUTED_VALUE"""),0.5)</f>
        <v>0.5</v>
      </c>
      <c r="Q5865" s="4" t="str">
        <f>IFERROR(__xludf.DUMMYFUNCTION("""COMPUTED_VALUE"""),"null")</f>
        <v>null</v>
      </c>
      <c r="R5865" s="33">
        <f>IFERROR(__xludf.DUMMYFUNCTION("""COMPUTED_VALUE"""),0.5)</f>
        <v>0.5</v>
      </c>
      <c r="S5865" s="4" t="str">
        <f>IFERROR(__xludf.DUMMYFUNCTION("""COMPUTED_VALUE"""),"Saipos Serviços De Software")</f>
        <v>Saipos Serviços De Software</v>
      </c>
      <c r="T5865" s="33">
        <f>IFERROR(__xludf.DUMMYFUNCTION("""COMPUTED_VALUE"""),1.0)</f>
        <v>1</v>
      </c>
      <c r="U5865" s="4" t="str">
        <f>IFERROR(__xludf.DUMMYFUNCTION("""COMPUTED_VALUE"""),"Saipos Serviços De Software")</f>
        <v>Saipos Serviços De Software</v>
      </c>
      <c r="V5865" s="33">
        <f>IFERROR(__xludf.DUMMYFUNCTION("""COMPUTED_VALUE"""),0.5)</f>
        <v>0.5</v>
      </c>
      <c r="W5865" s="4" t="str">
        <f>IFERROR(__xludf.DUMMYFUNCTION("""COMPUTED_VALUE"""),"Saipos Serviços De Software")</f>
        <v>Saipos Serviços De Software</v>
      </c>
      <c r="X5865" s="33">
        <f>IFERROR(__xludf.DUMMYFUNCTION("""COMPUTED_VALUE"""),0.5)</f>
        <v>0.5</v>
      </c>
    </row>
    <row r="5866">
      <c r="K5866" s="4" t="str">
        <f>IFERROR(__xludf.DUMMYFUNCTION("""COMPUTED_VALUE"""),"ICE FOOD ACAI")</f>
        <v>ICE FOOD ACAI</v>
      </c>
      <c r="L5866" s="32">
        <f>IFERROR(__xludf.DUMMYFUNCTION("""COMPUTED_VALUE"""),2.0)</f>
        <v>2</v>
      </c>
      <c r="M5866" s="4" t="str">
        <f>IFERROR(__xludf.DUMMYFUNCTION("""COMPUTED_VALUE"""),"null")</f>
        <v>null</v>
      </c>
      <c r="N5866" s="33">
        <f>IFERROR(__xludf.DUMMYFUNCTION("""COMPUTED_VALUE"""),0.5)</f>
        <v>0.5</v>
      </c>
      <c r="O5866" s="4" t="str">
        <f>IFERROR(__xludf.DUMMYFUNCTION("""COMPUTED_VALUE"""),"null")</f>
        <v>null</v>
      </c>
      <c r="P5866" s="33">
        <f>IFERROR(__xludf.DUMMYFUNCTION("""COMPUTED_VALUE"""),0.5)</f>
        <v>0.5</v>
      </c>
      <c r="Q5866" s="4" t="str">
        <f>IFERROR(__xludf.DUMMYFUNCTION("""COMPUTED_VALUE"""),"null")</f>
        <v>null</v>
      </c>
      <c r="R5866" s="33">
        <f>IFERROR(__xludf.DUMMYFUNCTION("""COMPUTED_VALUE"""),0.5)</f>
        <v>0.5</v>
      </c>
      <c r="S5866" s="4" t="str">
        <f>IFERROR(__xludf.DUMMYFUNCTION("""COMPUTED_VALUE"""),"null")</f>
        <v>null</v>
      </c>
      <c r="T5866" s="33">
        <f>IFERROR(__xludf.DUMMYFUNCTION("""COMPUTED_VALUE"""),0.5)</f>
        <v>0.5</v>
      </c>
      <c r="U5866" s="4" t="str">
        <f>IFERROR(__xludf.DUMMYFUNCTION("""COMPUTED_VALUE"""),"null")</f>
        <v>null</v>
      </c>
      <c r="V5866" s="33">
        <f>IFERROR(__xludf.DUMMYFUNCTION("""COMPUTED_VALUE"""),0.5)</f>
        <v>0.5</v>
      </c>
      <c r="W5866" s="4" t="str">
        <f>IFERROR(__xludf.DUMMYFUNCTION("""COMPUTED_VALUE"""),"Anota Ai Solucoes Digitais S/a")</f>
        <v>Anota Ai Solucoes Digitais S/a</v>
      </c>
      <c r="X5866" s="33">
        <f>IFERROR(__xludf.DUMMYFUNCTION("""COMPUTED_VALUE"""),0.5)</f>
        <v>0.5</v>
      </c>
    </row>
    <row r="5867">
      <c r="K5867" s="4" t="str">
        <f>IFERROR(__xludf.DUMMYFUNCTION("""COMPUTED_VALUE"""),"OHANA POKE")</f>
        <v>OHANA POKE</v>
      </c>
      <c r="L5867" s="32">
        <f>IFERROR(__xludf.DUMMYFUNCTION("""COMPUTED_VALUE"""),2.0)</f>
        <v>2</v>
      </c>
      <c r="M5867" s="4" t="str">
        <f>IFERROR(__xludf.DUMMYFUNCTION("""COMPUTED_VALUE"""),"Saipos Serviços De Software")</f>
        <v>Saipos Serviços De Software</v>
      </c>
      <c r="N5867" s="33">
        <f>IFERROR(__xludf.DUMMYFUNCTION("""COMPUTED_VALUE"""),1.0)</f>
        <v>1</v>
      </c>
      <c r="O5867" s="4" t="str">
        <f>IFERROR(__xludf.DUMMYFUNCTION("""COMPUTED_VALUE"""),"null")</f>
        <v>null</v>
      </c>
      <c r="P5867" s="33">
        <f>IFERROR(__xludf.DUMMYFUNCTION("""COMPUTED_VALUE"""),1.0)</f>
        <v>1</v>
      </c>
      <c r="Q5867" s="4" t="str">
        <f>IFERROR(__xludf.DUMMYFUNCTION("""COMPUTED_VALUE"""),"null")</f>
        <v>null</v>
      </c>
      <c r="R5867" s="33">
        <f>IFERROR(__xludf.DUMMYFUNCTION("""COMPUTED_VALUE"""),0.5)</f>
        <v>0.5</v>
      </c>
      <c r="S5867" s="4" t="str">
        <f>IFERROR(__xludf.DUMMYFUNCTION("""COMPUTED_VALUE"""),"null")</f>
        <v>null</v>
      </c>
      <c r="T5867" s="33">
        <f>IFERROR(__xludf.DUMMYFUNCTION("""COMPUTED_VALUE"""),1.0)</f>
        <v>1</v>
      </c>
      <c r="U5867" s="4" t="str">
        <f>IFERROR(__xludf.DUMMYFUNCTION("""COMPUTED_VALUE"""),"null")</f>
        <v>null</v>
      </c>
      <c r="V5867" s="33">
        <f>IFERROR(__xludf.DUMMYFUNCTION("""COMPUTED_VALUE"""),1.0)</f>
        <v>1</v>
      </c>
      <c r="W5867" s="4" t="str">
        <f>IFERROR(__xludf.DUMMYFUNCTION("""COMPUTED_VALUE"""),"null")</f>
        <v>null</v>
      </c>
      <c r="X5867" s="33">
        <f>IFERROR(__xludf.DUMMYFUNCTION("""COMPUTED_VALUE"""),1.0)</f>
        <v>1</v>
      </c>
    </row>
    <row r="5868">
      <c r="K5868" s="4" t="str">
        <f>IFERROR(__xludf.DUMMYFUNCTION("""COMPUTED_VALUE"""),"CASA FIT")</f>
        <v>CASA FIT</v>
      </c>
      <c r="L5868" s="32">
        <f>IFERROR(__xludf.DUMMYFUNCTION("""COMPUTED_VALUE"""),2.0)</f>
        <v>2</v>
      </c>
      <c r="M5868" s="4" t="str">
        <f>IFERROR(__xludf.DUMMYFUNCTION("""COMPUTED_VALUE"""),"null")</f>
        <v>null</v>
      </c>
      <c r="N5868" s="33">
        <f>IFERROR(__xludf.DUMMYFUNCTION("""COMPUTED_VALUE"""),0.5)</f>
        <v>0.5</v>
      </c>
      <c r="O5868" s="4" t="str">
        <f>IFERROR(__xludf.DUMMYFUNCTION("""COMPUTED_VALUE"""),"Saipos Serviços De Software")</f>
        <v>Saipos Serviços De Software</v>
      </c>
      <c r="P5868" s="33">
        <f>IFERROR(__xludf.DUMMYFUNCTION("""COMPUTED_VALUE"""),0.5)</f>
        <v>0.5</v>
      </c>
      <c r="Q5868" s="4" t="str">
        <f>IFERROR(__xludf.DUMMYFUNCTION("""COMPUTED_VALUE"""),"Saipos Serviços De Software")</f>
        <v>Saipos Serviços De Software</v>
      </c>
      <c r="R5868" s="33">
        <f>IFERROR(__xludf.DUMMYFUNCTION("""COMPUTED_VALUE"""),0.5)</f>
        <v>0.5</v>
      </c>
      <c r="S5868" s="4" t="str">
        <f>IFERROR(__xludf.DUMMYFUNCTION("""COMPUTED_VALUE"""),"Saipos Serviços De Software")</f>
        <v>Saipos Serviços De Software</v>
      </c>
      <c r="T5868" s="33">
        <f>IFERROR(__xludf.DUMMYFUNCTION("""COMPUTED_VALUE"""),0.5)</f>
        <v>0.5</v>
      </c>
      <c r="U5868" s="4" t="str">
        <f>IFERROR(__xludf.DUMMYFUNCTION("""COMPUTED_VALUE"""),"Saipos Serviços De Software")</f>
        <v>Saipos Serviços De Software</v>
      </c>
      <c r="V5868" s="33">
        <f>IFERROR(__xludf.DUMMYFUNCTION("""COMPUTED_VALUE"""),0.5)</f>
        <v>0.5</v>
      </c>
      <c r="W5868" s="4" t="str">
        <f>IFERROR(__xludf.DUMMYFUNCTION("""COMPUTED_VALUE"""),"Saipos Serviços De Software")</f>
        <v>Saipos Serviços De Software</v>
      </c>
      <c r="X5868" s="33">
        <f>IFERROR(__xludf.DUMMYFUNCTION("""COMPUTED_VALUE"""),0.5)</f>
        <v>0.5</v>
      </c>
    </row>
    <row r="5869">
      <c r="K5869" s="4" t="str">
        <f>IFERROR(__xludf.DUMMYFUNCTION("""COMPUTED_VALUE"""),"QUINTAL DOS SABORES")</f>
        <v>QUINTAL DOS SABORES</v>
      </c>
      <c r="L5869" s="32">
        <f>IFERROR(__xludf.DUMMYFUNCTION("""COMPUTED_VALUE"""),2.0)</f>
        <v>2</v>
      </c>
      <c r="M5869" s="4" t="str">
        <f>IFERROR(__xludf.DUMMYFUNCTION("""COMPUTED_VALUE"""),"Saipos Serviços De Software")</f>
        <v>Saipos Serviços De Software</v>
      </c>
      <c r="N5869" s="33">
        <f>IFERROR(__xludf.DUMMYFUNCTION("""COMPUTED_VALUE"""),0.5)</f>
        <v>0.5</v>
      </c>
      <c r="O5869" s="4" t="str">
        <f>IFERROR(__xludf.DUMMYFUNCTION("""COMPUTED_VALUE"""),"null")</f>
        <v>null</v>
      </c>
      <c r="P5869" s="33">
        <f>IFERROR(__xludf.DUMMYFUNCTION("""COMPUTED_VALUE"""),0.5)</f>
        <v>0.5</v>
      </c>
      <c r="Q5869" s="4" t="str">
        <f>IFERROR(__xludf.DUMMYFUNCTION("""COMPUTED_VALUE"""),"Saipos Serviços De Software")</f>
        <v>Saipos Serviços De Software</v>
      </c>
      <c r="R5869" s="33">
        <f>IFERROR(__xludf.DUMMYFUNCTION("""COMPUTED_VALUE"""),0.5)</f>
        <v>0.5</v>
      </c>
      <c r="S5869" s="4" t="str">
        <f>IFERROR(__xludf.DUMMYFUNCTION("""COMPUTED_VALUE"""),"null")</f>
        <v>null</v>
      </c>
      <c r="T5869" s="33">
        <f>IFERROR(__xludf.DUMMYFUNCTION("""COMPUTED_VALUE"""),0.5)</f>
        <v>0.5</v>
      </c>
      <c r="U5869" s="4" t="str">
        <f>IFERROR(__xludf.DUMMYFUNCTION("""COMPUTED_VALUE"""),"Saipos Serviços De Software")</f>
        <v>Saipos Serviços De Software</v>
      </c>
      <c r="V5869" s="33">
        <f>IFERROR(__xludf.DUMMYFUNCTION("""COMPUTED_VALUE"""),0.5)</f>
        <v>0.5</v>
      </c>
      <c r="W5869" s="4" t="str">
        <f>IFERROR(__xludf.DUMMYFUNCTION("""COMPUTED_VALUE"""),"Saipos Serviços De Software")</f>
        <v>Saipos Serviços De Software</v>
      </c>
      <c r="X5869" s="33">
        <f>IFERROR(__xludf.DUMMYFUNCTION("""COMPUTED_VALUE"""),0.5)</f>
        <v>0.5</v>
      </c>
    </row>
    <row r="5870">
      <c r="K5870" s="4" t="str">
        <f>IFERROR(__xludf.DUMMYFUNCTION("""COMPUTED_VALUE"""),"PIZZARIA SALVATORE")</f>
        <v>PIZZARIA SALVATORE</v>
      </c>
      <c r="L5870" s="32">
        <f>IFERROR(__xludf.DUMMYFUNCTION("""COMPUTED_VALUE"""),2.0)</f>
        <v>2</v>
      </c>
      <c r="M5870" s="4" t="str">
        <f>IFERROR(__xludf.DUMMYFUNCTION("""COMPUTED_VALUE"""),"null")</f>
        <v>null</v>
      </c>
      <c r="N5870" s="33">
        <f>IFERROR(__xludf.DUMMYFUNCTION("""COMPUTED_VALUE"""),0.5)</f>
        <v>0.5</v>
      </c>
      <c r="O5870" s="4" t="str">
        <f>IFERROR(__xludf.DUMMYFUNCTION("""COMPUTED_VALUE"""),"null")</f>
        <v>null</v>
      </c>
      <c r="P5870" s="33">
        <f>IFERROR(__xludf.DUMMYFUNCTION("""COMPUTED_VALUE"""),0.5)</f>
        <v>0.5</v>
      </c>
      <c r="Q5870" s="4" t="str">
        <f>IFERROR(__xludf.DUMMYFUNCTION("""COMPUTED_VALUE"""),"null")</f>
        <v>null</v>
      </c>
      <c r="R5870" s="33">
        <f>IFERROR(__xludf.DUMMYFUNCTION("""COMPUTED_VALUE"""),0.5)</f>
        <v>0.5</v>
      </c>
      <c r="S5870" s="4" t="str">
        <f>IFERROR(__xludf.DUMMYFUNCTION("""COMPUTED_VALUE"""),"null")</f>
        <v>null</v>
      </c>
      <c r="T5870" s="33">
        <f>IFERROR(__xludf.DUMMYFUNCTION("""COMPUTED_VALUE"""),0.5)</f>
        <v>0.5</v>
      </c>
      <c r="U5870" s="4" t="str">
        <f>IFERROR(__xludf.DUMMYFUNCTION("""COMPUTED_VALUE"""),"Brendi")</f>
        <v>Brendi</v>
      </c>
      <c r="V5870" s="33">
        <f>IFERROR(__xludf.DUMMYFUNCTION("""COMPUTED_VALUE"""),0.5)</f>
        <v>0.5</v>
      </c>
      <c r="W5870" s="4" t="str">
        <f>IFERROR(__xludf.DUMMYFUNCTION("""COMPUTED_VALUE"""),"Brendi")</f>
        <v>Brendi</v>
      </c>
      <c r="X5870" s="33">
        <f>IFERROR(__xludf.DUMMYFUNCTION("""COMPUTED_VALUE"""),0.5)</f>
        <v>0.5</v>
      </c>
    </row>
    <row r="5871">
      <c r="K5871" s="4" t="str">
        <f>IFERROR(__xludf.DUMMYFUNCTION("""COMPUTED_VALUE"""),"TORTELLI")</f>
        <v>TORTELLI</v>
      </c>
      <c r="L5871" s="32">
        <f>IFERROR(__xludf.DUMMYFUNCTION("""COMPUTED_VALUE"""),2.0)</f>
        <v>2</v>
      </c>
      <c r="M5871" s="4" t="str">
        <f>IFERROR(__xludf.DUMMYFUNCTION("""COMPUTED_VALUE"""),"Saipos Serviços De Software")</f>
        <v>Saipos Serviços De Software</v>
      </c>
      <c r="N5871" s="33">
        <f>IFERROR(__xludf.DUMMYFUNCTION("""COMPUTED_VALUE"""),0.5)</f>
        <v>0.5</v>
      </c>
      <c r="O5871" s="4" t="str">
        <f>IFERROR(__xludf.DUMMYFUNCTION("""COMPUTED_VALUE"""),"Saipos Serviços De Software")</f>
        <v>Saipos Serviços De Software</v>
      </c>
      <c r="P5871" s="33">
        <f>IFERROR(__xludf.DUMMYFUNCTION("""COMPUTED_VALUE"""),0.5)</f>
        <v>0.5</v>
      </c>
      <c r="Q5871" s="4" t="str">
        <f>IFERROR(__xludf.DUMMYFUNCTION("""COMPUTED_VALUE"""),"Saipos Serviços De Software")</f>
        <v>Saipos Serviços De Software</v>
      </c>
      <c r="R5871" s="33">
        <f>IFERROR(__xludf.DUMMYFUNCTION("""COMPUTED_VALUE"""),0.5)</f>
        <v>0.5</v>
      </c>
      <c r="S5871" s="4" t="str">
        <f>IFERROR(__xludf.DUMMYFUNCTION("""COMPUTED_VALUE"""),"Saipos Serviços De Software")</f>
        <v>Saipos Serviços De Software</v>
      </c>
      <c r="T5871" s="33">
        <f>IFERROR(__xludf.DUMMYFUNCTION("""COMPUTED_VALUE"""),0.5)</f>
        <v>0.5</v>
      </c>
      <c r="U5871" s="4" t="str">
        <f>IFERROR(__xludf.DUMMYFUNCTION("""COMPUTED_VALUE"""),"Saipos Serviços De Software")</f>
        <v>Saipos Serviços De Software</v>
      </c>
      <c r="V5871" s="33">
        <f>IFERROR(__xludf.DUMMYFUNCTION("""COMPUTED_VALUE"""),0.5)</f>
        <v>0.5</v>
      </c>
      <c r="W5871" s="4" t="str">
        <f>IFERROR(__xludf.DUMMYFUNCTION("""COMPUTED_VALUE"""),"Saipos Serviços De Software")</f>
        <v>Saipos Serviços De Software</v>
      </c>
      <c r="X5871" s="33">
        <f>IFERROR(__xludf.DUMMYFUNCTION("""COMPUTED_VALUE"""),0.5)</f>
        <v>0.5</v>
      </c>
    </row>
    <row r="5872">
      <c r="K5872" s="4" t="str">
        <f>IFERROR(__xludf.DUMMYFUNCTION("""COMPUTED_VALUE"""),"PAUSA GOURMET")</f>
        <v>PAUSA GOURMET</v>
      </c>
      <c r="L5872" s="32">
        <f>IFERROR(__xludf.DUMMYFUNCTION("""COMPUTED_VALUE"""),2.0)</f>
        <v>2</v>
      </c>
      <c r="M5872" s="4" t="str">
        <f>IFERROR(__xludf.DUMMYFUNCTION("""COMPUTED_VALUE"""),"Instadelivery")</f>
        <v>Instadelivery</v>
      </c>
      <c r="N5872" s="33">
        <f>IFERROR(__xludf.DUMMYFUNCTION("""COMPUTED_VALUE"""),0.5)</f>
        <v>0.5</v>
      </c>
      <c r="O5872" s="4" t="str">
        <f>IFERROR(__xludf.DUMMYFUNCTION("""COMPUTED_VALUE"""),"null")</f>
        <v>null</v>
      </c>
      <c r="P5872" s="33">
        <f>IFERROR(__xludf.DUMMYFUNCTION("""COMPUTED_VALUE"""),1.0)</f>
        <v>1</v>
      </c>
      <c r="Q5872" s="4" t="str">
        <f>IFERROR(__xludf.DUMMYFUNCTION("""COMPUTED_VALUE"""),"null")</f>
        <v>null</v>
      </c>
      <c r="R5872" s="33">
        <f>IFERROR(__xludf.DUMMYFUNCTION("""COMPUTED_VALUE"""),0.5)</f>
        <v>0.5</v>
      </c>
      <c r="S5872" s="4" t="str">
        <f>IFERROR(__xludf.DUMMYFUNCTION("""COMPUTED_VALUE"""),"null")</f>
        <v>null</v>
      </c>
      <c r="T5872" s="33">
        <f>IFERROR(__xludf.DUMMYFUNCTION("""COMPUTED_VALUE"""),0.5)</f>
        <v>0.5</v>
      </c>
      <c r="U5872" s="4" t="str">
        <f>IFERROR(__xludf.DUMMYFUNCTION("""COMPUTED_VALUE"""),"null")</f>
        <v>null</v>
      </c>
      <c r="V5872" s="33">
        <f>IFERROR(__xludf.DUMMYFUNCTION("""COMPUTED_VALUE"""),0.5)</f>
        <v>0.5</v>
      </c>
      <c r="W5872" s="4" t="str">
        <f>IFERROR(__xludf.DUMMYFUNCTION("""COMPUTED_VALUE"""),"null")</f>
        <v>null</v>
      </c>
      <c r="X5872" s="33">
        <f>IFERROR(__xludf.DUMMYFUNCTION("""COMPUTED_VALUE"""),1.0)</f>
        <v>1</v>
      </c>
    </row>
    <row r="5873">
      <c r="K5873" s="4" t="str">
        <f>IFERROR(__xludf.DUMMYFUNCTION("""COMPUTED_VALUE"""),"REDE MASTER FARMA")</f>
        <v>REDE MASTER FARMA</v>
      </c>
      <c r="L5873" s="32">
        <f>IFERROR(__xludf.DUMMYFUNCTION("""COMPUTED_VALUE"""),2.0)</f>
        <v>2</v>
      </c>
      <c r="M5873" s="4" t="str">
        <f>IFERROR(__xludf.DUMMYFUNCTION("""COMPUTED_VALUE"""),"N/A (Not found)")</f>
        <v>N/A (Not found)</v>
      </c>
      <c r="N5873" s="33">
        <f>IFERROR(__xludf.DUMMYFUNCTION("""COMPUTED_VALUE"""),1.0)</f>
        <v>1</v>
      </c>
      <c r="O5873" s="4" t="str">
        <f>IFERROR(__xludf.DUMMYFUNCTION("""COMPUTED_VALUE"""),"N/A (Not found)")</f>
        <v>N/A (Not found)</v>
      </c>
      <c r="P5873" s="33">
        <f>IFERROR(__xludf.DUMMYFUNCTION("""COMPUTED_VALUE"""),1.0)</f>
        <v>1</v>
      </c>
      <c r="Q5873" s="4" t="str">
        <f>IFERROR(__xludf.DUMMYFUNCTION("""COMPUTED_VALUE"""),"N/A (Not found)")</f>
        <v>N/A (Not found)</v>
      </c>
      <c r="R5873" s="33">
        <f>IFERROR(__xludf.DUMMYFUNCTION("""COMPUTED_VALUE"""),1.0)</f>
        <v>1</v>
      </c>
      <c r="S5873" s="4" t="str">
        <f>IFERROR(__xludf.DUMMYFUNCTION("""COMPUTED_VALUE"""),"N/A (Not found)")</f>
        <v>N/A (Not found)</v>
      </c>
      <c r="T5873" s="33">
        <f>IFERROR(__xludf.DUMMYFUNCTION("""COMPUTED_VALUE"""),1.0)</f>
        <v>1</v>
      </c>
      <c r="U5873" s="4" t="str">
        <f>IFERROR(__xludf.DUMMYFUNCTION("""COMPUTED_VALUE"""),"N/A (Not found)")</f>
        <v>N/A (Not found)</v>
      </c>
      <c r="V5873" s="33">
        <f>IFERROR(__xludf.DUMMYFUNCTION("""COMPUTED_VALUE"""),1.0)</f>
        <v>1</v>
      </c>
      <c r="W5873" s="4" t="str">
        <f>IFERROR(__xludf.DUMMYFUNCTION("""COMPUTED_VALUE"""),"N/A (Not found)")</f>
        <v>N/A (Not found)</v>
      </c>
      <c r="X5873" s="33">
        <f>IFERROR(__xludf.DUMMYFUNCTION("""COMPUTED_VALUE"""),0.5)</f>
        <v>0.5</v>
      </c>
    </row>
    <row r="5874">
      <c r="K5874" s="4" t="str">
        <f>IFERROR(__xludf.DUMMYFUNCTION("""COMPUTED_VALUE"""),"BATATARIA")</f>
        <v>BATATARIA</v>
      </c>
      <c r="L5874" s="32">
        <f>IFERROR(__xludf.DUMMYFUNCTION("""COMPUTED_VALUE"""),2.0)</f>
        <v>2</v>
      </c>
      <c r="M5874" s="4" t="str">
        <f>IFERROR(__xludf.DUMMYFUNCTION("""COMPUTED_VALUE"""),"null")</f>
        <v>null</v>
      </c>
      <c r="N5874" s="33">
        <f>IFERROR(__xludf.DUMMYFUNCTION("""COMPUTED_VALUE"""),0.5)</f>
        <v>0.5</v>
      </c>
      <c r="O5874" s="4" t="str">
        <f>IFERROR(__xludf.DUMMYFUNCTION("""COMPUTED_VALUE"""),"Brendi")</f>
        <v>Brendi</v>
      </c>
      <c r="P5874" s="33">
        <f>IFERROR(__xludf.DUMMYFUNCTION("""COMPUTED_VALUE"""),0.5)</f>
        <v>0.5</v>
      </c>
      <c r="Q5874" s="4" t="str">
        <f>IFERROR(__xludf.DUMMYFUNCTION("""COMPUTED_VALUE"""),"null")</f>
        <v>null</v>
      </c>
      <c r="R5874" s="33">
        <f>IFERROR(__xludf.DUMMYFUNCTION("""COMPUTED_VALUE"""),1.0)</f>
        <v>1</v>
      </c>
      <c r="S5874" s="4" t="str">
        <f>IFERROR(__xludf.DUMMYFUNCTION("""COMPUTED_VALUE"""),"null")</f>
        <v>null</v>
      </c>
      <c r="T5874" s="33">
        <f>IFERROR(__xludf.DUMMYFUNCTION("""COMPUTED_VALUE"""),1.0)</f>
        <v>1</v>
      </c>
      <c r="U5874" s="4" t="str">
        <f>IFERROR(__xludf.DUMMYFUNCTION("""COMPUTED_VALUE"""),"null")</f>
        <v>null</v>
      </c>
      <c r="V5874" s="33">
        <f>IFERROR(__xludf.DUMMYFUNCTION("""COMPUTED_VALUE"""),1.0)</f>
        <v>1</v>
      </c>
      <c r="W5874" s="4" t="str">
        <f>IFERROR(__xludf.DUMMYFUNCTION("""COMPUTED_VALUE"""),"null")</f>
        <v>null</v>
      </c>
      <c r="X5874" s="33">
        <f>IFERROR(__xludf.DUMMYFUNCTION("""COMPUTED_VALUE"""),1.0)</f>
        <v>1</v>
      </c>
    </row>
    <row r="5875">
      <c r="K5875" s="4" t="str">
        <f>IFERROR(__xludf.DUMMYFUNCTION("""COMPUTED_VALUE"""),"MEDELLIN - BURGERS, PIZZAS E COMIDA REGIONAL")</f>
        <v>MEDELLIN - BURGERS, PIZZAS E COMIDA REGIONAL</v>
      </c>
      <c r="L5875" s="32">
        <f>IFERROR(__xludf.DUMMYFUNCTION("""COMPUTED_VALUE"""),2.0)</f>
        <v>2</v>
      </c>
      <c r="M5875" s="4" t="str">
        <f>IFERROR(__xludf.DUMMYFUNCTION("""COMPUTED_VALUE"""),"Cardápio Web")</f>
        <v>Cardápio Web</v>
      </c>
      <c r="N5875" s="33">
        <f>IFERROR(__xludf.DUMMYFUNCTION("""COMPUTED_VALUE"""),0.5)</f>
        <v>0.5</v>
      </c>
      <c r="O5875" s="4" t="str">
        <f>IFERROR(__xludf.DUMMYFUNCTION("""COMPUTED_VALUE"""),"Cardápio Web")</f>
        <v>Cardápio Web</v>
      </c>
      <c r="P5875" s="33">
        <f>IFERROR(__xludf.DUMMYFUNCTION("""COMPUTED_VALUE"""),0.5)</f>
        <v>0.5</v>
      </c>
      <c r="Q5875" s="4" t="str">
        <f>IFERROR(__xludf.DUMMYFUNCTION("""COMPUTED_VALUE"""),"Cardápio Web")</f>
        <v>Cardápio Web</v>
      </c>
      <c r="R5875" s="33">
        <f>IFERROR(__xludf.DUMMYFUNCTION("""COMPUTED_VALUE"""),0.5)</f>
        <v>0.5</v>
      </c>
      <c r="S5875" s="4" t="str">
        <f>IFERROR(__xludf.DUMMYFUNCTION("""COMPUTED_VALUE"""),"Cardápio Web")</f>
        <v>Cardápio Web</v>
      </c>
      <c r="T5875" s="33">
        <f>IFERROR(__xludf.DUMMYFUNCTION("""COMPUTED_VALUE"""),0.5)</f>
        <v>0.5</v>
      </c>
      <c r="U5875" s="4" t="str">
        <f>IFERROR(__xludf.DUMMYFUNCTION("""COMPUTED_VALUE"""),"Cardápio Web")</f>
        <v>Cardápio Web</v>
      </c>
      <c r="V5875" s="33">
        <f>IFERROR(__xludf.DUMMYFUNCTION("""COMPUTED_VALUE"""),1.0)</f>
        <v>1</v>
      </c>
      <c r="W5875" s="4" t="str">
        <f>IFERROR(__xludf.DUMMYFUNCTION("""COMPUTED_VALUE"""),"null")</f>
        <v>null</v>
      </c>
      <c r="X5875" s="33">
        <f>IFERROR(__xludf.DUMMYFUNCTION("""COMPUTED_VALUE"""),0.5)</f>
        <v>0.5</v>
      </c>
    </row>
    <row r="5876">
      <c r="K5876" s="4" t="str">
        <f>IFERROR(__xludf.DUMMYFUNCTION("""COMPUTED_VALUE"""),"HOT DOG DO GAUCHO")</f>
        <v>HOT DOG DO GAUCHO</v>
      </c>
      <c r="L5876" s="32">
        <f>IFERROR(__xludf.DUMMYFUNCTION("""COMPUTED_VALUE"""),2.0)</f>
        <v>2</v>
      </c>
      <c r="M5876" s="4" t="str">
        <f>IFERROR(__xludf.DUMMYFUNCTION("""COMPUTED_VALUE"""),"Saipos Serviços De Software")</f>
        <v>Saipos Serviços De Software</v>
      </c>
      <c r="N5876" s="33">
        <f>IFERROR(__xludf.DUMMYFUNCTION("""COMPUTED_VALUE"""),0.5)</f>
        <v>0.5</v>
      </c>
      <c r="O5876" s="4" t="str">
        <f>IFERROR(__xludf.DUMMYFUNCTION("""COMPUTED_VALUE"""),"Saipos Serviços De Software")</f>
        <v>Saipos Serviços De Software</v>
      </c>
      <c r="P5876" s="33">
        <f>IFERROR(__xludf.DUMMYFUNCTION("""COMPUTED_VALUE"""),0.5)</f>
        <v>0.5</v>
      </c>
      <c r="Q5876" s="4" t="str">
        <f>IFERROR(__xludf.DUMMYFUNCTION("""COMPUTED_VALUE"""),"Saipos Serviços De Software")</f>
        <v>Saipos Serviços De Software</v>
      </c>
      <c r="R5876" s="33">
        <f>IFERROR(__xludf.DUMMYFUNCTION("""COMPUTED_VALUE"""),0.5)</f>
        <v>0.5</v>
      </c>
      <c r="S5876" s="4" t="str">
        <f>IFERROR(__xludf.DUMMYFUNCTION("""COMPUTED_VALUE"""),"Saipos Serviços De Software")</f>
        <v>Saipos Serviços De Software</v>
      </c>
      <c r="T5876" s="33">
        <f>IFERROR(__xludf.DUMMYFUNCTION("""COMPUTED_VALUE"""),0.5)</f>
        <v>0.5</v>
      </c>
      <c r="U5876" s="4" t="str">
        <f>IFERROR(__xludf.DUMMYFUNCTION("""COMPUTED_VALUE"""),"Saipos Serviços De Software")</f>
        <v>Saipos Serviços De Software</v>
      </c>
      <c r="V5876" s="33">
        <f>IFERROR(__xludf.DUMMYFUNCTION("""COMPUTED_VALUE"""),0.5)</f>
        <v>0.5</v>
      </c>
      <c r="W5876" s="4" t="str">
        <f>IFERROR(__xludf.DUMMYFUNCTION("""COMPUTED_VALUE"""),"Saipos Serviços De Software")</f>
        <v>Saipos Serviços De Software</v>
      </c>
      <c r="X5876" s="33">
        <f>IFERROR(__xludf.DUMMYFUNCTION("""COMPUTED_VALUE"""),0.5)</f>
        <v>0.5</v>
      </c>
    </row>
    <row r="5877">
      <c r="K5877" s="4" t="str">
        <f>IFERROR(__xludf.DUMMYFUNCTION("""COMPUTED_VALUE"""),"XIS PRENSADO DA GAUCHA")</f>
        <v>XIS PRENSADO DA GAUCHA</v>
      </c>
      <c r="L5877" s="32">
        <f>IFERROR(__xludf.DUMMYFUNCTION("""COMPUTED_VALUE"""),2.0)</f>
        <v>2</v>
      </c>
      <c r="M5877" s="4" t="str">
        <f>IFERROR(__xludf.DUMMYFUNCTION("""COMPUTED_VALUE"""),"null")</f>
        <v>null</v>
      </c>
      <c r="N5877" s="33">
        <f>IFERROR(__xludf.DUMMYFUNCTION("""COMPUTED_VALUE"""),1.0)</f>
        <v>1</v>
      </c>
      <c r="O5877" s="4" t="str">
        <f>IFERROR(__xludf.DUMMYFUNCTION("""COMPUTED_VALUE"""),"null")</f>
        <v>null</v>
      </c>
      <c r="P5877" s="33">
        <f>IFERROR(__xludf.DUMMYFUNCTION("""COMPUTED_VALUE"""),1.0)</f>
        <v>1</v>
      </c>
      <c r="Q5877" s="4" t="str">
        <f>IFERROR(__xludf.DUMMYFUNCTION("""COMPUTED_VALUE"""),"null")</f>
        <v>null</v>
      </c>
      <c r="R5877" s="33">
        <f>IFERROR(__xludf.DUMMYFUNCTION("""COMPUTED_VALUE"""),1.0)</f>
        <v>1</v>
      </c>
      <c r="S5877" s="4" t="str">
        <f>IFERROR(__xludf.DUMMYFUNCTION("""COMPUTED_VALUE"""),"null")</f>
        <v>null</v>
      </c>
      <c r="T5877" s="33">
        <f>IFERROR(__xludf.DUMMYFUNCTION("""COMPUTED_VALUE"""),0.5)</f>
        <v>0.5</v>
      </c>
      <c r="U5877" s="4" t="str">
        <f>IFERROR(__xludf.DUMMYFUNCTION("""COMPUTED_VALUE"""),"Saipos Serviços De Software")</f>
        <v>Saipos Serviços De Software</v>
      </c>
      <c r="V5877" s="33">
        <f>IFERROR(__xludf.DUMMYFUNCTION("""COMPUTED_VALUE"""),1.0)</f>
        <v>1</v>
      </c>
      <c r="W5877" s="4" t="str">
        <f>IFERROR(__xludf.DUMMYFUNCTION("""COMPUTED_VALUE"""),"Saipos Serviços De Software")</f>
        <v>Saipos Serviços De Software</v>
      </c>
      <c r="X5877" s="33">
        <f>IFERROR(__xludf.DUMMYFUNCTION("""COMPUTED_VALUE"""),1.0)</f>
        <v>1</v>
      </c>
    </row>
    <row r="5878">
      <c r="K5878" s="4" t="str">
        <f>IFERROR(__xludf.DUMMYFUNCTION("""COMPUTED_VALUE"""),"BRAUS SANDWICHES NA BAGUETE")</f>
        <v>BRAUS SANDWICHES NA BAGUETE</v>
      </c>
      <c r="L5878" s="32">
        <f>IFERROR(__xludf.DUMMYFUNCTION("""COMPUTED_VALUE"""),2.0)</f>
        <v>2</v>
      </c>
      <c r="M5878" s="4" t="str">
        <f>IFERROR(__xludf.DUMMYFUNCTION("""COMPUTED_VALUE"""),"null")</f>
        <v>null</v>
      </c>
      <c r="N5878" s="33">
        <f>IFERROR(__xludf.DUMMYFUNCTION("""COMPUTED_VALUE"""),0.5)</f>
        <v>0.5</v>
      </c>
      <c r="O5878" s="4" t="str">
        <f>IFERROR(__xludf.DUMMYFUNCTION("""COMPUTED_VALUE"""),"null")</f>
        <v>null</v>
      </c>
      <c r="P5878" s="33">
        <f>IFERROR(__xludf.DUMMYFUNCTION("""COMPUTED_VALUE"""),0.5)</f>
        <v>0.5</v>
      </c>
      <c r="Q5878" s="4" t="str">
        <f>IFERROR(__xludf.DUMMYFUNCTION("""COMPUTED_VALUE"""),"null")</f>
        <v>null</v>
      </c>
      <c r="R5878" s="33">
        <f>IFERROR(__xludf.DUMMYFUNCTION("""COMPUTED_VALUE"""),0.5)</f>
        <v>0.5</v>
      </c>
      <c r="S5878" s="4" t="str">
        <f>IFERROR(__xludf.DUMMYFUNCTION("""COMPUTED_VALUE"""),"null")</f>
        <v>null</v>
      </c>
      <c r="T5878" s="33">
        <f>IFERROR(__xludf.DUMMYFUNCTION("""COMPUTED_VALUE"""),0.5)</f>
        <v>0.5</v>
      </c>
      <c r="U5878" s="4" t="str">
        <f>IFERROR(__xludf.DUMMYFUNCTION("""COMPUTED_VALUE"""),"Cardápio Web")</f>
        <v>Cardápio Web</v>
      </c>
      <c r="V5878" s="33">
        <f>IFERROR(__xludf.DUMMYFUNCTION("""COMPUTED_VALUE"""),1.0)</f>
        <v>1</v>
      </c>
      <c r="W5878" s="4" t="str">
        <f>IFERROR(__xludf.DUMMYFUNCTION("""COMPUTED_VALUE"""),"Cardápio Web")</f>
        <v>Cardápio Web</v>
      </c>
      <c r="X5878" s="33">
        <f>IFERROR(__xludf.DUMMYFUNCTION("""COMPUTED_VALUE"""),0.5)</f>
        <v>0.5</v>
      </c>
    </row>
    <row r="5879">
      <c r="K5879" s="4" t="str">
        <f>IFERROR(__xludf.DUMMYFUNCTION("""COMPUTED_VALUE"""),"PIZZARIA LA ROMANI")</f>
        <v>PIZZARIA LA ROMANI</v>
      </c>
      <c r="L5879" s="32">
        <f>IFERROR(__xludf.DUMMYFUNCTION("""COMPUTED_VALUE"""),2.0)</f>
        <v>2</v>
      </c>
      <c r="M5879" s="4" t="str">
        <f>IFERROR(__xludf.DUMMYFUNCTION("""COMPUTED_VALUE"""),"null")</f>
        <v>null</v>
      </c>
      <c r="N5879" s="33">
        <f>IFERROR(__xludf.DUMMYFUNCTION("""COMPUTED_VALUE"""),0.5)</f>
        <v>0.5</v>
      </c>
      <c r="O5879" s="4" t="str">
        <f>IFERROR(__xludf.DUMMYFUNCTION("""COMPUTED_VALUE"""),"null")</f>
        <v>null</v>
      </c>
      <c r="P5879" s="33">
        <f>IFERROR(__xludf.DUMMYFUNCTION("""COMPUTED_VALUE"""),1.0)</f>
        <v>1</v>
      </c>
      <c r="Q5879" s="4" t="str">
        <f>IFERROR(__xludf.DUMMYFUNCTION("""COMPUTED_VALUE"""),"null")</f>
        <v>null</v>
      </c>
      <c r="R5879" s="33">
        <f>IFERROR(__xludf.DUMMYFUNCTION("""COMPUTED_VALUE"""),1.0)</f>
        <v>1</v>
      </c>
      <c r="S5879" s="4" t="str">
        <f>IFERROR(__xludf.DUMMYFUNCTION("""COMPUTED_VALUE"""),"null")</f>
        <v>null</v>
      </c>
      <c r="T5879" s="33">
        <f>IFERROR(__xludf.DUMMYFUNCTION("""COMPUTED_VALUE"""),1.0)</f>
        <v>1</v>
      </c>
      <c r="U5879" s="4" t="str">
        <f>IFERROR(__xludf.DUMMYFUNCTION("""COMPUTED_VALUE"""),"null")</f>
        <v>null</v>
      </c>
      <c r="V5879" s="33">
        <f>IFERROR(__xludf.DUMMYFUNCTION("""COMPUTED_VALUE"""),1.0)</f>
        <v>1</v>
      </c>
      <c r="W5879" s="4" t="str">
        <f>IFERROR(__xludf.DUMMYFUNCTION("""COMPUTED_VALUE"""),"Pedidu Software Ltda")</f>
        <v>Pedidu Software Ltda</v>
      </c>
      <c r="X5879" s="33">
        <f>IFERROR(__xludf.DUMMYFUNCTION("""COMPUTED_VALUE"""),0.5)</f>
        <v>0.5</v>
      </c>
    </row>
    <row r="5880">
      <c r="K5880" s="4" t="str">
        <f>IFERROR(__xludf.DUMMYFUNCTION("""COMPUTED_VALUE"""),"PIZZA PLAY")</f>
        <v>PIZZA PLAY</v>
      </c>
      <c r="L5880" s="32">
        <f>IFERROR(__xludf.DUMMYFUNCTION("""COMPUTED_VALUE"""),2.0)</f>
        <v>2</v>
      </c>
      <c r="M5880" s="4" t="str">
        <f>IFERROR(__xludf.DUMMYFUNCTION("""COMPUTED_VALUE"""),"Clickatende Tecnologia Ltda")</f>
        <v>Clickatende Tecnologia Ltda</v>
      </c>
      <c r="N5880" s="33">
        <f>IFERROR(__xludf.DUMMYFUNCTION("""COMPUTED_VALUE"""),0.5)</f>
        <v>0.5</v>
      </c>
      <c r="O5880" s="4" t="str">
        <f>IFERROR(__xludf.DUMMYFUNCTION("""COMPUTED_VALUE"""),"Clickatende Tecnologia Ltda")</f>
        <v>Clickatende Tecnologia Ltda</v>
      </c>
      <c r="P5880" s="33">
        <f>IFERROR(__xludf.DUMMYFUNCTION("""COMPUTED_VALUE"""),0.5)</f>
        <v>0.5</v>
      </c>
      <c r="Q5880" s="4" t="str">
        <f>IFERROR(__xludf.DUMMYFUNCTION("""COMPUTED_VALUE"""),"Clickatende Tecnologia Ltda")</f>
        <v>Clickatende Tecnologia Ltda</v>
      </c>
      <c r="R5880" s="33">
        <f>IFERROR(__xludf.DUMMYFUNCTION("""COMPUTED_VALUE"""),0.5)</f>
        <v>0.5</v>
      </c>
      <c r="S5880" s="4" t="str">
        <f>IFERROR(__xludf.DUMMYFUNCTION("""COMPUTED_VALUE"""),"Clickatende Tecnologia Ltda")</f>
        <v>Clickatende Tecnologia Ltda</v>
      </c>
      <c r="T5880" s="33">
        <f>IFERROR(__xludf.DUMMYFUNCTION("""COMPUTED_VALUE"""),0.5)</f>
        <v>0.5</v>
      </c>
      <c r="U5880" s="4" t="str">
        <f>IFERROR(__xludf.DUMMYFUNCTION("""COMPUTED_VALUE"""),"Clickatende Tecnologia Ltda")</f>
        <v>Clickatende Tecnologia Ltda</v>
      </c>
      <c r="V5880" s="33">
        <f>IFERROR(__xludf.DUMMYFUNCTION("""COMPUTED_VALUE"""),0.5)</f>
        <v>0.5</v>
      </c>
      <c r="W5880" s="4" t="str">
        <f>IFERROR(__xludf.DUMMYFUNCTION("""COMPUTED_VALUE"""),"null")</f>
        <v>null</v>
      </c>
      <c r="X5880" s="33">
        <f>IFERROR(__xludf.DUMMYFUNCTION("""COMPUTED_VALUE"""),0.5)</f>
        <v>0.5</v>
      </c>
    </row>
    <row r="5881">
      <c r="K5881" s="4" t="str">
        <f>IFERROR(__xludf.DUMMYFUNCTION("""COMPUTED_VALUE"""),"TOKYO NIGHT SUSHI")</f>
        <v>TOKYO NIGHT SUSHI</v>
      </c>
      <c r="L5881" s="32">
        <f>IFERROR(__xludf.DUMMYFUNCTION("""COMPUTED_VALUE"""),2.0)</f>
        <v>2</v>
      </c>
      <c r="M5881" s="4" t="str">
        <f>IFERROR(__xludf.DUMMYFUNCTION("""COMPUTED_VALUE"""),"Suitable Tecnologia E Gestao")</f>
        <v>Suitable Tecnologia E Gestao</v>
      </c>
      <c r="N5881" s="33">
        <f>IFERROR(__xludf.DUMMYFUNCTION("""COMPUTED_VALUE"""),0.5)</f>
        <v>0.5</v>
      </c>
      <c r="O5881" s="4" t="str">
        <f>IFERROR(__xludf.DUMMYFUNCTION("""COMPUTED_VALUE"""),"null")</f>
        <v>null</v>
      </c>
      <c r="P5881" s="33">
        <f>IFERROR(__xludf.DUMMYFUNCTION("""COMPUTED_VALUE"""),1.0)</f>
        <v>1</v>
      </c>
      <c r="Q5881" s="4" t="str">
        <f>IFERROR(__xludf.DUMMYFUNCTION("""COMPUTED_VALUE"""),"Suitable Tecnologia E Gestao")</f>
        <v>Suitable Tecnologia E Gestao</v>
      </c>
      <c r="R5881" s="33">
        <f>IFERROR(__xludf.DUMMYFUNCTION("""COMPUTED_VALUE"""),0.5)</f>
        <v>0.5</v>
      </c>
      <c r="S5881" s="4" t="str">
        <f>IFERROR(__xludf.DUMMYFUNCTION("""COMPUTED_VALUE"""),"Suitable Tecnologia E Gestao")</f>
        <v>Suitable Tecnologia E Gestao</v>
      </c>
      <c r="T5881" s="33">
        <f>IFERROR(__xludf.DUMMYFUNCTION("""COMPUTED_VALUE"""),0.5)</f>
        <v>0.5</v>
      </c>
      <c r="U5881" s="4" t="str">
        <f>IFERROR(__xludf.DUMMYFUNCTION("""COMPUTED_VALUE"""),"Suitable Tecnologia E Gestao")</f>
        <v>Suitable Tecnologia E Gestao</v>
      </c>
      <c r="V5881" s="33">
        <f>IFERROR(__xludf.DUMMYFUNCTION("""COMPUTED_VALUE"""),1.0)</f>
        <v>1</v>
      </c>
      <c r="W5881" s="4" t="str">
        <f>IFERROR(__xludf.DUMMYFUNCTION("""COMPUTED_VALUE"""),"Suitable Tecnologia E Gestao")</f>
        <v>Suitable Tecnologia E Gestao</v>
      </c>
      <c r="X5881" s="33">
        <f>IFERROR(__xludf.DUMMYFUNCTION("""COMPUTED_VALUE"""),1.0)</f>
        <v>1</v>
      </c>
    </row>
    <row r="5882">
      <c r="K5882" s="4" t="str">
        <f>IFERROR(__xludf.DUMMYFUNCTION("""COMPUTED_VALUE"""),"GRANO A MANO PANETTERIA")</f>
        <v>GRANO A MANO PANETTERIA</v>
      </c>
      <c r="L5882" s="32">
        <f>IFERROR(__xludf.DUMMYFUNCTION("""COMPUTED_VALUE"""),2.0)</f>
        <v>2</v>
      </c>
      <c r="M5882" s="4" t="str">
        <f>IFERROR(__xludf.DUMMYFUNCTION("""COMPUTED_VALUE"""),"Ncr")</f>
        <v>Ncr</v>
      </c>
      <c r="N5882" s="33">
        <f>IFERROR(__xludf.DUMMYFUNCTION("""COMPUTED_VALUE"""),1.0)</f>
        <v>1</v>
      </c>
      <c r="O5882" s="4" t="str">
        <f>IFERROR(__xludf.DUMMYFUNCTION("""COMPUTED_VALUE"""),"Ncr")</f>
        <v>Ncr</v>
      </c>
      <c r="P5882" s="33">
        <f>IFERROR(__xludf.DUMMYFUNCTION("""COMPUTED_VALUE"""),1.0)</f>
        <v>1</v>
      </c>
      <c r="Q5882" s="4" t="str">
        <f>IFERROR(__xludf.DUMMYFUNCTION("""COMPUTED_VALUE"""),"Ncr")</f>
        <v>Ncr</v>
      </c>
      <c r="R5882" s="33">
        <f>IFERROR(__xludf.DUMMYFUNCTION("""COMPUTED_VALUE"""),1.0)</f>
        <v>1</v>
      </c>
      <c r="S5882" s="4" t="str">
        <f>IFERROR(__xludf.DUMMYFUNCTION("""COMPUTED_VALUE"""),"Ncr")</f>
        <v>Ncr</v>
      </c>
      <c r="T5882" s="33">
        <f>IFERROR(__xludf.DUMMYFUNCTION("""COMPUTED_VALUE"""),1.0)</f>
        <v>1</v>
      </c>
      <c r="U5882" s="4" t="str">
        <f>IFERROR(__xludf.DUMMYFUNCTION("""COMPUTED_VALUE"""),"Ncr")</f>
        <v>Ncr</v>
      </c>
      <c r="V5882" s="33">
        <f>IFERROR(__xludf.DUMMYFUNCTION("""COMPUTED_VALUE"""),1.0)</f>
        <v>1</v>
      </c>
      <c r="W5882" s="4" t="str">
        <f>IFERROR(__xludf.DUMMYFUNCTION("""COMPUTED_VALUE"""),"null")</f>
        <v>null</v>
      </c>
      <c r="X5882" s="33">
        <f>IFERROR(__xludf.DUMMYFUNCTION("""COMPUTED_VALUE"""),1.0)</f>
        <v>1</v>
      </c>
    </row>
    <row r="5883">
      <c r="K5883" s="4" t="str">
        <f>IFERROR(__xludf.DUMMYFUNCTION("""COMPUTED_VALUE"""),"LU SALGADOS")</f>
        <v>LU SALGADOS</v>
      </c>
      <c r="L5883" s="32">
        <f>IFERROR(__xludf.DUMMYFUNCTION("""COMPUTED_VALUE"""),2.0)</f>
        <v>2</v>
      </c>
      <c r="M5883" s="4" t="str">
        <f>IFERROR(__xludf.DUMMYFUNCTION("""COMPUTED_VALUE"""),"Wls Solucoes Empresariais Ltda")</f>
        <v>Wls Solucoes Empresariais Ltda</v>
      </c>
      <c r="N5883" s="33">
        <f>IFERROR(__xludf.DUMMYFUNCTION("""COMPUTED_VALUE"""),0.5)</f>
        <v>0.5</v>
      </c>
      <c r="O5883" s="4" t="str">
        <f>IFERROR(__xludf.DUMMYFUNCTION("""COMPUTED_VALUE"""),"Wls Solucoes Empresariais Ltda")</f>
        <v>Wls Solucoes Empresariais Ltda</v>
      </c>
      <c r="P5883" s="33">
        <f>IFERROR(__xludf.DUMMYFUNCTION("""COMPUTED_VALUE"""),0.5)</f>
        <v>0.5</v>
      </c>
      <c r="Q5883" s="4" t="str">
        <f>IFERROR(__xludf.DUMMYFUNCTION("""COMPUTED_VALUE"""),"Wls Solucoes Empresariais Ltda")</f>
        <v>Wls Solucoes Empresariais Ltda</v>
      </c>
      <c r="R5883" s="33">
        <f>IFERROR(__xludf.DUMMYFUNCTION("""COMPUTED_VALUE"""),0.5)</f>
        <v>0.5</v>
      </c>
      <c r="S5883" s="4" t="str">
        <f>IFERROR(__xludf.DUMMYFUNCTION("""COMPUTED_VALUE"""),"Wls Solucoes Empresariais Ltda")</f>
        <v>Wls Solucoes Empresariais Ltda</v>
      </c>
      <c r="T5883" s="33">
        <f>IFERROR(__xludf.DUMMYFUNCTION("""COMPUTED_VALUE"""),0.5)</f>
        <v>0.5</v>
      </c>
      <c r="U5883" s="4" t="str">
        <f>IFERROR(__xludf.DUMMYFUNCTION("""COMPUTED_VALUE"""),"Wls Solucoes Empresariais Ltda")</f>
        <v>Wls Solucoes Empresariais Ltda</v>
      </c>
      <c r="V5883" s="33">
        <f>IFERROR(__xludf.DUMMYFUNCTION("""COMPUTED_VALUE"""),0.5)</f>
        <v>0.5</v>
      </c>
      <c r="W5883" s="4" t="str">
        <f>IFERROR(__xludf.DUMMYFUNCTION("""COMPUTED_VALUE"""),"Wls Solucoes Empresariais Ltda")</f>
        <v>Wls Solucoes Empresariais Ltda</v>
      </c>
      <c r="X5883" s="33">
        <f>IFERROR(__xludf.DUMMYFUNCTION("""COMPUTED_VALUE"""),0.5)</f>
        <v>0.5</v>
      </c>
    </row>
    <row r="5884">
      <c r="K5884" s="4" t="str">
        <f>IFERROR(__xludf.DUMMYFUNCTION("""COMPUTED_VALUE"""),"SUPREMO SUSHI DELIVERY")</f>
        <v>SUPREMO SUSHI DELIVERY</v>
      </c>
      <c r="L5884" s="32">
        <f>IFERROR(__xludf.DUMMYFUNCTION("""COMPUTED_VALUE"""),2.0)</f>
        <v>2</v>
      </c>
      <c r="M5884" s="4" t="str">
        <f>IFERROR(__xludf.DUMMYFUNCTION("""COMPUTED_VALUE"""),"Consumer Soluções Em Tecnologia Ltda")</f>
        <v>Consumer Soluções Em Tecnologia Ltda</v>
      </c>
      <c r="N5884" s="33">
        <f>IFERROR(__xludf.DUMMYFUNCTION("""COMPUTED_VALUE"""),1.0)</f>
        <v>1</v>
      </c>
      <c r="O5884" s="4" t="str">
        <f>IFERROR(__xludf.DUMMYFUNCTION("""COMPUTED_VALUE"""),"null")</f>
        <v>null</v>
      </c>
      <c r="P5884" s="33">
        <f>IFERROR(__xludf.DUMMYFUNCTION("""COMPUTED_VALUE"""),0.5)</f>
        <v>0.5</v>
      </c>
      <c r="Q5884" s="4" t="str">
        <f>IFERROR(__xludf.DUMMYFUNCTION("""COMPUTED_VALUE"""),"null")</f>
        <v>null</v>
      </c>
      <c r="R5884" s="33">
        <f>IFERROR(__xludf.DUMMYFUNCTION("""COMPUTED_VALUE"""),0.5)</f>
        <v>0.5</v>
      </c>
      <c r="S5884" s="4" t="str">
        <f>IFERROR(__xludf.DUMMYFUNCTION("""COMPUTED_VALUE"""),"null")</f>
        <v>null</v>
      </c>
      <c r="T5884" s="33">
        <f>IFERROR(__xludf.DUMMYFUNCTION("""COMPUTED_VALUE"""),0.5)</f>
        <v>0.5</v>
      </c>
      <c r="U5884" s="4" t="str">
        <f>IFERROR(__xludf.DUMMYFUNCTION("""COMPUTED_VALUE"""),"null")</f>
        <v>null</v>
      </c>
      <c r="V5884" s="33">
        <f>IFERROR(__xludf.DUMMYFUNCTION("""COMPUTED_VALUE"""),0.5)</f>
        <v>0.5</v>
      </c>
      <c r="W5884" s="4" t="str">
        <f>IFERROR(__xludf.DUMMYFUNCTION("""COMPUTED_VALUE"""),"null")</f>
        <v>null</v>
      </c>
      <c r="X5884" s="33">
        <f>IFERROR(__xludf.DUMMYFUNCTION("""COMPUTED_VALUE"""),1.0)</f>
        <v>1</v>
      </c>
    </row>
    <row r="5885">
      <c r="K5885" s="4" t="str">
        <f>IFERROR(__xludf.DUMMYFUNCTION("""COMPUTED_VALUE"""),"HAMBURGUERIA HAGGAY")</f>
        <v>HAMBURGUERIA HAGGAY</v>
      </c>
      <c r="L5885" s="32">
        <f>IFERROR(__xludf.DUMMYFUNCTION("""COMPUTED_VALUE"""),2.0)</f>
        <v>2</v>
      </c>
      <c r="M5885" s="4" t="str">
        <f>IFERROR(__xludf.DUMMYFUNCTION("""COMPUTED_VALUE"""),"Mp Multipedidos")</f>
        <v>Mp Multipedidos</v>
      </c>
      <c r="N5885" s="33">
        <f>IFERROR(__xludf.DUMMYFUNCTION("""COMPUTED_VALUE"""),1.0)</f>
        <v>1</v>
      </c>
      <c r="O5885" s="4" t="str">
        <f>IFERROR(__xludf.DUMMYFUNCTION("""COMPUTED_VALUE"""),"Saipos Serviços De Software")</f>
        <v>Saipos Serviços De Software</v>
      </c>
      <c r="P5885" s="33">
        <f>IFERROR(__xludf.DUMMYFUNCTION("""COMPUTED_VALUE"""),0.5)</f>
        <v>0.5</v>
      </c>
      <c r="Q5885" s="4" t="str">
        <f>IFERROR(__xludf.DUMMYFUNCTION("""COMPUTED_VALUE"""),"Saipos Serviços De Software")</f>
        <v>Saipos Serviços De Software</v>
      </c>
      <c r="R5885" s="33">
        <f>IFERROR(__xludf.DUMMYFUNCTION("""COMPUTED_VALUE"""),0.5)</f>
        <v>0.5</v>
      </c>
      <c r="S5885" s="4" t="str">
        <f>IFERROR(__xludf.DUMMYFUNCTION("""COMPUTED_VALUE"""),"Saipos Serviços De Software")</f>
        <v>Saipos Serviços De Software</v>
      </c>
      <c r="T5885" s="33">
        <f>IFERROR(__xludf.DUMMYFUNCTION("""COMPUTED_VALUE"""),0.5)</f>
        <v>0.5</v>
      </c>
      <c r="U5885" s="4" t="str">
        <f>IFERROR(__xludf.DUMMYFUNCTION("""COMPUTED_VALUE"""),"Saipos Serviços De Software")</f>
        <v>Saipos Serviços De Software</v>
      </c>
      <c r="V5885" s="33">
        <f>IFERROR(__xludf.DUMMYFUNCTION("""COMPUTED_VALUE"""),0.5)</f>
        <v>0.5</v>
      </c>
      <c r="W5885" s="4" t="str">
        <f>IFERROR(__xludf.DUMMYFUNCTION("""COMPUTED_VALUE"""),"Saipos Serviços De Software")</f>
        <v>Saipos Serviços De Software</v>
      </c>
      <c r="X5885" s="33">
        <f>IFERROR(__xludf.DUMMYFUNCTION("""COMPUTED_VALUE"""),0.5)</f>
        <v>0.5</v>
      </c>
    </row>
    <row r="5886">
      <c r="K5886" s="4" t="str">
        <f>IFERROR(__xludf.DUMMYFUNCTION("""COMPUTED_VALUE"""),"CANTINHO MINEIRO")</f>
        <v>CANTINHO MINEIRO</v>
      </c>
      <c r="L5886" s="32">
        <f>IFERROR(__xludf.DUMMYFUNCTION("""COMPUTED_VALUE"""),2.0)</f>
        <v>2</v>
      </c>
      <c r="M5886" s="4" t="str">
        <f>IFERROR(__xludf.DUMMYFUNCTION("""COMPUTED_VALUE"""),"Freedom Tecnologia Ltda")</f>
        <v>Freedom Tecnologia Ltda</v>
      </c>
      <c r="N5886" s="33">
        <f>IFERROR(__xludf.DUMMYFUNCTION("""COMPUTED_VALUE"""),0.5)</f>
        <v>0.5</v>
      </c>
      <c r="O5886" s="4" t="str">
        <f>IFERROR(__xludf.DUMMYFUNCTION("""COMPUTED_VALUE"""),"Freedom Tecnologia Ltda")</f>
        <v>Freedom Tecnologia Ltda</v>
      </c>
      <c r="P5886" s="33">
        <f>IFERROR(__xludf.DUMMYFUNCTION("""COMPUTED_VALUE"""),0.5)</f>
        <v>0.5</v>
      </c>
      <c r="Q5886" s="4" t="str">
        <f>IFERROR(__xludf.DUMMYFUNCTION("""COMPUTED_VALUE"""),"Freedom Tecnologia Ltda")</f>
        <v>Freedom Tecnologia Ltda</v>
      </c>
      <c r="R5886" s="33">
        <f>IFERROR(__xludf.DUMMYFUNCTION("""COMPUTED_VALUE"""),0.5)</f>
        <v>0.5</v>
      </c>
      <c r="S5886" s="4" t="str">
        <f>IFERROR(__xludf.DUMMYFUNCTION("""COMPUTED_VALUE"""),"Freedom Tecnologia Ltda")</f>
        <v>Freedom Tecnologia Ltda</v>
      </c>
      <c r="T5886" s="33">
        <f>IFERROR(__xludf.DUMMYFUNCTION("""COMPUTED_VALUE"""),0.5)</f>
        <v>0.5</v>
      </c>
      <c r="U5886" s="4" t="str">
        <f>IFERROR(__xludf.DUMMYFUNCTION("""COMPUTED_VALUE"""),"Freedom Tecnologia Ltda")</f>
        <v>Freedom Tecnologia Ltda</v>
      </c>
      <c r="V5886" s="33">
        <f>IFERROR(__xludf.DUMMYFUNCTION("""COMPUTED_VALUE"""),0.5)</f>
        <v>0.5</v>
      </c>
      <c r="W5886" s="4" t="str">
        <f>IFERROR(__xludf.DUMMYFUNCTION("""COMPUTED_VALUE"""),"Freedom Tecnologia Ltda")</f>
        <v>Freedom Tecnologia Ltda</v>
      </c>
      <c r="X5886" s="33">
        <f>IFERROR(__xludf.DUMMYFUNCTION("""COMPUTED_VALUE"""),0.5)</f>
        <v>0.5</v>
      </c>
    </row>
    <row r="5887">
      <c r="K5887" s="4" t="str">
        <f>IFERROR(__xludf.DUMMYFUNCTION("""COMPUTED_VALUE"""),"MAROCAO LANCHES")</f>
        <v>MAROCAO LANCHES</v>
      </c>
      <c r="L5887" s="32">
        <f>IFERROR(__xludf.DUMMYFUNCTION("""COMPUTED_VALUE"""),2.0)</f>
        <v>2</v>
      </c>
      <c r="M5887" s="4" t="str">
        <f>IFERROR(__xludf.DUMMYFUNCTION("""COMPUTED_VALUE"""),"null")</f>
        <v>null</v>
      </c>
      <c r="N5887" s="33">
        <f>IFERROR(__xludf.DUMMYFUNCTION("""COMPUTED_VALUE"""),1.0)</f>
        <v>1</v>
      </c>
      <c r="O5887" s="4" t="str">
        <f>IFERROR(__xludf.DUMMYFUNCTION("""COMPUTED_VALUE"""),"Automatize Sistemas")</f>
        <v>Automatize Sistemas</v>
      </c>
      <c r="P5887" s="33">
        <f>IFERROR(__xludf.DUMMYFUNCTION("""COMPUTED_VALUE"""),0.5)</f>
        <v>0.5</v>
      </c>
      <c r="Q5887" s="4" t="str">
        <f>IFERROR(__xludf.DUMMYFUNCTION("""COMPUTED_VALUE"""),"null")</f>
        <v>null</v>
      </c>
      <c r="R5887" s="33">
        <f>IFERROR(__xludf.DUMMYFUNCTION("""COMPUTED_VALUE"""),1.0)</f>
        <v>1</v>
      </c>
      <c r="S5887" s="4" t="str">
        <f>IFERROR(__xludf.DUMMYFUNCTION("""COMPUTED_VALUE"""),"null")</f>
        <v>null</v>
      </c>
      <c r="T5887" s="33">
        <f>IFERROR(__xludf.DUMMYFUNCTION("""COMPUTED_VALUE"""),1.0)</f>
        <v>1</v>
      </c>
      <c r="U5887" s="4" t="str">
        <f>IFERROR(__xludf.DUMMYFUNCTION("""COMPUTED_VALUE"""),"null")</f>
        <v>null</v>
      </c>
      <c r="V5887" s="33">
        <f>IFERROR(__xludf.DUMMYFUNCTION("""COMPUTED_VALUE"""),0.5)</f>
        <v>0.5</v>
      </c>
      <c r="W5887" s="4" t="str">
        <f>IFERROR(__xludf.DUMMYFUNCTION("""COMPUTED_VALUE"""),"null")</f>
        <v>null</v>
      </c>
      <c r="X5887" s="33">
        <f>IFERROR(__xludf.DUMMYFUNCTION("""COMPUTED_VALUE"""),1.0)</f>
        <v>1</v>
      </c>
    </row>
    <row r="5888">
      <c r="K5888" s="4" t="str">
        <f>IFERROR(__xludf.DUMMYFUNCTION("""COMPUTED_VALUE"""),"KI SALGADOS")</f>
        <v>KI SALGADOS</v>
      </c>
      <c r="L5888" s="32">
        <f>IFERROR(__xludf.DUMMYFUNCTION("""COMPUTED_VALUE"""),2.0)</f>
        <v>2</v>
      </c>
      <c r="M5888" s="4" t="str">
        <f>IFERROR(__xludf.DUMMYFUNCTION("""COMPUTED_VALUE"""),"null")</f>
        <v>null</v>
      </c>
      <c r="N5888" s="33">
        <f>IFERROR(__xludf.DUMMYFUNCTION("""COMPUTED_VALUE"""),0.5)</f>
        <v>0.5</v>
      </c>
      <c r="O5888" s="4" t="str">
        <f>IFERROR(__xludf.DUMMYFUNCTION("""COMPUTED_VALUE"""),"null")</f>
        <v>null</v>
      </c>
      <c r="P5888" s="33">
        <f>IFERROR(__xludf.DUMMYFUNCTION("""COMPUTED_VALUE"""),0.5)</f>
        <v>0.5</v>
      </c>
      <c r="Q5888" s="4" t="str">
        <f>IFERROR(__xludf.DUMMYFUNCTION("""COMPUTED_VALUE"""),"null")</f>
        <v>null</v>
      </c>
      <c r="R5888" s="33">
        <f>IFERROR(__xludf.DUMMYFUNCTION("""COMPUTED_VALUE"""),0.5)</f>
        <v>0.5</v>
      </c>
      <c r="S5888" s="4" t="str">
        <f>IFERROR(__xludf.DUMMYFUNCTION("""COMPUTED_VALUE"""),"null")</f>
        <v>null</v>
      </c>
      <c r="T5888" s="33">
        <f>IFERROR(__xludf.DUMMYFUNCTION("""COMPUTED_VALUE"""),0.5)</f>
        <v>0.5</v>
      </c>
      <c r="U5888" s="4" t="str">
        <f>IFERROR(__xludf.DUMMYFUNCTION("""COMPUTED_VALUE"""),"null")</f>
        <v>null</v>
      </c>
      <c r="V5888" s="33">
        <f>IFERROR(__xludf.DUMMYFUNCTION("""COMPUTED_VALUE"""),0.5)</f>
        <v>0.5</v>
      </c>
      <c r="W5888" s="4" t="str">
        <f>IFERROR(__xludf.DUMMYFUNCTION("""COMPUTED_VALUE"""),"Cardápio Web")</f>
        <v>Cardápio Web</v>
      </c>
      <c r="X5888" s="33">
        <f>IFERROR(__xludf.DUMMYFUNCTION("""COMPUTED_VALUE"""),0.5)</f>
        <v>0.5</v>
      </c>
    </row>
    <row r="5889">
      <c r="K5889" s="4" t="str">
        <f>IFERROR(__xludf.DUMMYFUNCTION("""COMPUTED_VALUE"""),"DROGARIA SAUDE FARMA")</f>
        <v>DROGARIA SAUDE FARMA</v>
      </c>
      <c r="L5889" s="32">
        <f>IFERROR(__xludf.DUMMYFUNCTION("""COMPUTED_VALUE"""),2.0)</f>
        <v>2</v>
      </c>
      <c r="M5889" s="4" t="str">
        <f>IFERROR(__xludf.DUMMYFUNCTION("""COMPUTED_VALUE"""),"N/A (Not found)")</f>
        <v>N/A (Not found)</v>
      </c>
      <c r="N5889" s="33">
        <f>IFERROR(__xludf.DUMMYFUNCTION("""COMPUTED_VALUE"""),1.0)</f>
        <v>1</v>
      </c>
      <c r="O5889" s="4" t="str">
        <f>IFERROR(__xludf.DUMMYFUNCTION("""COMPUTED_VALUE"""),"N/A (Not found)")</f>
        <v>N/A (Not found)</v>
      </c>
      <c r="P5889" s="33">
        <f>IFERROR(__xludf.DUMMYFUNCTION("""COMPUTED_VALUE"""),1.0)</f>
        <v>1</v>
      </c>
      <c r="Q5889" s="4" t="str">
        <f>IFERROR(__xludf.DUMMYFUNCTION("""COMPUTED_VALUE"""),"N/A (Not found)")</f>
        <v>N/A (Not found)</v>
      </c>
      <c r="R5889" s="33">
        <f>IFERROR(__xludf.DUMMYFUNCTION("""COMPUTED_VALUE"""),1.0)</f>
        <v>1</v>
      </c>
      <c r="S5889" s="4" t="str">
        <f>IFERROR(__xludf.DUMMYFUNCTION("""COMPUTED_VALUE"""),"N/A (Not found)")</f>
        <v>N/A (Not found)</v>
      </c>
      <c r="T5889" s="33">
        <f>IFERROR(__xludf.DUMMYFUNCTION("""COMPUTED_VALUE"""),1.0)</f>
        <v>1</v>
      </c>
      <c r="U5889" s="4" t="str">
        <f>IFERROR(__xludf.DUMMYFUNCTION("""COMPUTED_VALUE"""),"N/A (Not found)")</f>
        <v>N/A (Not found)</v>
      </c>
      <c r="V5889" s="33">
        <f>IFERROR(__xludf.DUMMYFUNCTION("""COMPUTED_VALUE"""),1.0)</f>
        <v>1</v>
      </c>
      <c r="W5889" s="4" t="str">
        <f>IFERROR(__xludf.DUMMYFUNCTION("""COMPUTED_VALUE"""),"N/A (Not found)")</f>
        <v>N/A (Not found)</v>
      </c>
      <c r="X5889" s="33">
        <f>IFERROR(__xludf.DUMMYFUNCTION("""COMPUTED_VALUE"""),1.0)</f>
        <v>1</v>
      </c>
    </row>
    <row r="5890">
      <c r="K5890" s="4" t="str">
        <f>IFERROR(__xludf.DUMMYFUNCTION("""COMPUTED_VALUE"""),"X LANCHES")</f>
        <v>X LANCHES</v>
      </c>
      <c r="L5890" s="32">
        <f>IFERROR(__xludf.DUMMYFUNCTION("""COMPUTED_VALUE"""),2.0)</f>
        <v>2</v>
      </c>
      <c r="M5890" s="4" t="str">
        <f>IFERROR(__xludf.DUMMYFUNCTION("""COMPUTED_VALUE"""),"Consumer Soluções Em Tecnologia Ltda")</f>
        <v>Consumer Soluções Em Tecnologia Ltda</v>
      </c>
      <c r="N5890" s="33">
        <f>IFERROR(__xludf.DUMMYFUNCTION("""COMPUTED_VALUE"""),1.0)</f>
        <v>1</v>
      </c>
      <c r="O5890" s="4" t="str">
        <f>IFERROR(__xludf.DUMMYFUNCTION("""COMPUTED_VALUE"""),"null")</f>
        <v>null</v>
      </c>
      <c r="P5890" s="33">
        <f>IFERROR(__xludf.DUMMYFUNCTION("""COMPUTED_VALUE"""),0.5)</f>
        <v>0.5</v>
      </c>
      <c r="Q5890" s="4" t="str">
        <f>IFERROR(__xludf.DUMMYFUNCTION("""COMPUTED_VALUE"""),"Anota Ai Solucoes Digitais S/a")</f>
        <v>Anota Ai Solucoes Digitais S/a</v>
      </c>
      <c r="R5890" s="33">
        <f>IFERROR(__xludf.DUMMYFUNCTION("""COMPUTED_VALUE"""),0.5)</f>
        <v>0.5</v>
      </c>
      <c r="S5890" s="4" t="str">
        <f>IFERROR(__xludf.DUMMYFUNCTION("""COMPUTED_VALUE"""),"null")</f>
        <v>null</v>
      </c>
      <c r="T5890" s="33">
        <f>IFERROR(__xludf.DUMMYFUNCTION("""COMPUTED_VALUE"""),1.0)</f>
        <v>1</v>
      </c>
      <c r="U5890" s="4" t="str">
        <f>IFERROR(__xludf.DUMMYFUNCTION("""COMPUTED_VALUE"""),"Anota Ai Solucoes Digitais S/a")</f>
        <v>Anota Ai Solucoes Digitais S/a</v>
      </c>
      <c r="V5890" s="33">
        <f>IFERROR(__xludf.DUMMYFUNCTION("""COMPUTED_VALUE"""),0.5)</f>
        <v>0.5</v>
      </c>
      <c r="W5890" s="4" t="str">
        <f>IFERROR(__xludf.DUMMYFUNCTION("""COMPUTED_VALUE"""),"Anota Ai Solucoes Digitais S/a")</f>
        <v>Anota Ai Solucoes Digitais S/a</v>
      </c>
      <c r="X5890" s="33">
        <f>IFERROR(__xludf.DUMMYFUNCTION("""COMPUTED_VALUE"""),0.5)</f>
        <v>0.5</v>
      </c>
    </row>
    <row r="5891">
      <c r="K5891" s="4" t="str">
        <f>IFERROR(__xludf.DUMMYFUNCTION("""COMPUTED_VALUE"""),"THE BIGBOY BURGUER")</f>
        <v>THE BIGBOY BURGUER</v>
      </c>
      <c r="L5891" s="32">
        <f>IFERROR(__xludf.DUMMYFUNCTION("""COMPUTED_VALUE"""),2.0)</f>
        <v>2</v>
      </c>
      <c r="M5891" s="4" t="str">
        <f>IFERROR(__xludf.DUMMYFUNCTION("""COMPUTED_VALUE"""),"Saipos Serviços De Software")</f>
        <v>Saipos Serviços De Software</v>
      </c>
      <c r="N5891" s="33">
        <f>IFERROR(__xludf.DUMMYFUNCTION("""COMPUTED_VALUE"""),1.0)</f>
        <v>1</v>
      </c>
      <c r="O5891" s="4" t="str">
        <f>IFERROR(__xludf.DUMMYFUNCTION("""COMPUTED_VALUE"""),"Saipos Serviços De Software")</f>
        <v>Saipos Serviços De Software</v>
      </c>
      <c r="P5891" s="33">
        <f>IFERROR(__xludf.DUMMYFUNCTION("""COMPUTED_VALUE"""),1.0)</f>
        <v>1</v>
      </c>
      <c r="Q5891" s="4" t="str">
        <f>IFERROR(__xludf.DUMMYFUNCTION("""COMPUTED_VALUE"""),"Saipos Serviços De Software")</f>
        <v>Saipos Serviços De Software</v>
      </c>
      <c r="R5891" s="33">
        <f>IFERROR(__xludf.DUMMYFUNCTION("""COMPUTED_VALUE"""),1.0)</f>
        <v>1</v>
      </c>
      <c r="S5891" s="4" t="str">
        <f>IFERROR(__xludf.DUMMYFUNCTION("""COMPUTED_VALUE"""),"Saipos Serviços De Software")</f>
        <v>Saipos Serviços De Software</v>
      </c>
      <c r="T5891" s="33">
        <f>IFERROR(__xludf.DUMMYFUNCTION("""COMPUTED_VALUE"""),1.0)</f>
        <v>1</v>
      </c>
      <c r="U5891" s="4" t="str">
        <f>IFERROR(__xludf.DUMMYFUNCTION("""COMPUTED_VALUE"""),"Saipos Serviços De Software")</f>
        <v>Saipos Serviços De Software</v>
      </c>
      <c r="V5891" s="33">
        <f>IFERROR(__xludf.DUMMYFUNCTION("""COMPUTED_VALUE"""),1.0)</f>
        <v>1</v>
      </c>
      <c r="W5891" s="4" t="str">
        <f>IFERROR(__xludf.DUMMYFUNCTION("""COMPUTED_VALUE"""),"Saipos Serviços De Software")</f>
        <v>Saipos Serviços De Software</v>
      </c>
      <c r="X5891" s="33">
        <f>IFERROR(__xludf.DUMMYFUNCTION("""COMPUTED_VALUE"""),1.0)</f>
        <v>1</v>
      </c>
    </row>
    <row r="5892">
      <c r="K5892" s="4" t="str">
        <f>IFERROR(__xludf.DUMMYFUNCTION("""COMPUTED_VALUE"""),"PIZZARIA ARCOS")</f>
        <v>PIZZARIA ARCOS</v>
      </c>
      <c r="L5892" s="32">
        <f>IFERROR(__xludf.DUMMYFUNCTION("""COMPUTED_VALUE"""),2.0)</f>
        <v>2</v>
      </c>
      <c r="M5892" s="4" t="str">
        <f>IFERROR(__xludf.DUMMYFUNCTION("""COMPUTED_VALUE"""),"null")</f>
        <v>null</v>
      </c>
      <c r="N5892" s="33">
        <f>IFERROR(__xludf.DUMMYFUNCTION("""COMPUTED_VALUE"""),1.0)</f>
        <v>1</v>
      </c>
      <c r="O5892" s="4" t="str">
        <f>IFERROR(__xludf.DUMMYFUNCTION("""COMPUTED_VALUE"""),"null")</f>
        <v>null</v>
      </c>
      <c r="P5892" s="33">
        <f>IFERROR(__xludf.DUMMYFUNCTION("""COMPUTED_VALUE"""),1.0)</f>
        <v>1</v>
      </c>
      <c r="Q5892" s="4" t="str">
        <f>IFERROR(__xludf.DUMMYFUNCTION("""COMPUTED_VALUE"""),"null")</f>
        <v>null</v>
      </c>
      <c r="R5892" s="33">
        <f>IFERROR(__xludf.DUMMYFUNCTION("""COMPUTED_VALUE"""),1.0)</f>
        <v>1</v>
      </c>
      <c r="S5892" s="4" t="str">
        <f>IFERROR(__xludf.DUMMYFUNCTION("""COMPUTED_VALUE"""),"null")</f>
        <v>null</v>
      </c>
      <c r="T5892" s="33">
        <f>IFERROR(__xludf.DUMMYFUNCTION("""COMPUTED_VALUE"""),1.0)</f>
        <v>1</v>
      </c>
      <c r="U5892" s="4" t="str">
        <f>IFERROR(__xludf.DUMMYFUNCTION("""COMPUTED_VALUE"""),"Vitor Saulo Vieira Da Rocha 10739870602")</f>
        <v>Vitor Saulo Vieira Da Rocha 10739870602</v>
      </c>
      <c r="V5892" s="33">
        <f>IFERROR(__xludf.DUMMYFUNCTION("""COMPUTED_VALUE"""),1.0)</f>
        <v>1</v>
      </c>
      <c r="W5892" s="4" t="str">
        <f>IFERROR(__xludf.DUMMYFUNCTION("""COMPUTED_VALUE"""),"Vitor Saulo Vieira Da Rocha 10739870602")</f>
        <v>Vitor Saulo Vieira Da Rocha 10739870602</v>
      </c>
      <c r="X5892" s="33">
        <f>IFERROR(__xludf.DUMMYFUNCTION("""COMPUTED_VALUE"""),1.0)</f>
        <v>1</v>
      </c>
    </row>
    <row r="5893">
      <c r="K5893" s="4" t="str">
        <f>IFERROR(__xludf.DUMMYFUNCTION("""COMPUTED_VALUE"""),"VS BURGER")</f>
        <v>VS BURGER</v>
      </c>
      <c r="L5893" s="32">
        <f>IFERROR(__xludf.DUMMYFUNCTION("""COMPUTED_VALUE"""),2.0)</f>
        <v>2</v>
      </c>
      <c r="M5893" s="4" t="str">
        <f>IFERROR(__xludf.DUMMYFUNCTION("""COMPUTED_VALUE"""),"Anota Ai Solucoes Digitais S/a")</f>
        <v>Anota Ai Solucoes Digitais S/a</v>
      </c>
      <c r="N5893" s="33">
        <f>IFERROR(__xludf.DUMMYFUNCTION("""COMPUTED_VALUE"""),0.5)</f>
        <v>0.5</v>
      </c>
      <c r="O5893" s="4" t="str">
        <f>IFERROR(__xludf.DUMMYFUNCTION("""COMPUTED_VALUE"""),"Anota Ai Solucoes Digitais S/a")</f>
        <v>Anota Ai Solucoes Digitais S/a</v>
      </c>
      <c r="P5893" s="33">
        <f>IFERROR(__xludf.DUMMYFUNCTION("""COMPUTED_VALUE"""),0.5)</f>
        <v>0.5</v>
      </c>
      <c r="Q5893" s="4" t="str">
        <f>IFERROR(__xludf.DUMMYFUNCTION("""COMPUTED_VALUE"""),"Anota Ai Solucoes Digitais S/a")</f>
        <v>Anota Ai Solucoes Digitais S/a</v>
      </c>
      <c r="R5893" s="33">
        <f>IFERROR(__xludf.DUMMYFUNCTION("""COMPUTED_VALUE"""),0.5)</f>
        <v>0.5</v>
      </c>
      <c r="S5893" s="4" t="str">
        <f>IFERROR(__xludf.DUMMYFUNCTION("""COMPUTED_VALUE"""),"Anota Ai Solucoes Digitais S/a")</f>
        <v>Anota Ai Solucoes Digitais S/a</v>
      </c>
      <c r="T5893" s="33">
        <f>IFERROR(__xludf.DUMMYFUNCTION("""COMPUTED_VALUE"""),0.5)</f>
        <v>0.5</v>
      </c>
      <c r="U5893" s="4" t="str">
        <f>IFERROR(__xludf.DUMMYFUNCTION("""COMPUTED_VALUE"""),"Anota Ai Solucoes Digitais S/a")</f>
        <v>Anota Ai Solucoes Digitais S/a</v>
      </c>
      <c r="V5893" s="33">
        <f>IFERROR(__xludf.DUMMYFUNCTION("""COMPUTED_VALUE"""),0.5)</f>
        <v>0.5</v>
      </c>
      <c r="W5893" s="4" t="str">
        <f>IFERROR(__xludf.DUMMYFUNCTION("""COMPUTED_VALUE"""),"Anota Ai Solucoes Digitais S/a")</f>
        <v>Anota Ai Solucoes Digitais S/a</v>
      </c>
      <c r="X5893" s="33">
        <f>IFERROR(__xludf.DUMMYFUNCTION("""COMPUTED_VALUE"""),0.5)</f>
        <v>0.5</v>
      </c>
    </row>
    <row r="5894">
      <c r="K5894" s="4" t="str">
        <f>IFERROR(__xludf.DUMMYFUNCTION("""COMPUTED_VALUE"""),"CHURRASCARIA BOI DOURADO")</f>
        <v>CHURRASCARIA BOI DOURADO</v>
      </c>
      <c r="L5894" s="32">
        <f>IFERROR(__xludf.DUMMYFUNCTION("""COMPUTED_VALUE"""),2.0)</f>
        <v>2</v>
      </c>
      <c r="M5894" s="4" t="str">
        <f>IFERROR(__xludf.DUMMYFUNCTION("""COMPUTED_VALUE"""),"Jclan Sistemas")</f>
        <v>Jclan Sistemas</v>
      </c>
      <c r="N5894" s="33">
        <f>IFERROR(__xludf.DUMMYFUNCTION("""COMPUTED_VALUE"""),0.5)</f>
        <v>0.5</v>
      </c>
      <c r="O5894" s="4" t="str">
        <f>IFERROR(__xludf.DUMMYFUNCTION("""COMPUTED_VALUE"""),"null")</f>
        <v>null</v>
      </c>
      <c r="P5894" s="33">
        <f>IFERROR(__xludf.DUMMYFUNCTION("""COMPUTED_VALUE"""),0.5)</f>
        <v>0.5</v>
      </c>
      <c r="Q5894" s="4" t="str">
        <f>IFERROR(__xludf.DUMMYFUNCTION("""COMPUTED_VALUE"""),"Jclan Sistemas")</f>
        <v>Jclan Sistemas</v>
      </c>
      <c r="R5894" s="33">
        <f>IFERROR(__xludf.DUMMYFUNCTION("""COMPUTED_VALUE"""),0.5)</f>
        <v>0.5</v>
      </c>
      <c r="S5894" s="4" t="str">
        <f>IFERROR(__xludf.DUMMYFUNCTION("""COMPUTED_VALUE"""),"null")</f>
        <v>null</v>
      </c>
      <c r="T5894" s="33">
        <f>IFERROR(__xludf.DUMMYFUNCTION("""COMPUTED_VALUE"""),0.5)</f>
        <v>0.5</v>
      </c>
      <c r="U5894" s="4" t="str">
        <f>IFERROR(__xludf.DUMMYFUNCTION("""COMPUTED_VALUE"""),"null")</f>
        <v>null</v>
      </c>
      <c r="V5894" s="33">
        <f>IFERROR(__xludf.DUMMYFUNCTION("""COMPUTED_VALUE"""),0.5)</f>
        <v>0.5</v>
      </c>
      <c r="W5894" s="4" t="str">
        <f>IFERROR(__xludf.DUMMYFUNCTION("""COMPUTED_VALUE"""),"null")</f>
        <v>null</v>
      </c>
      <c r="X5894" s="33">
        <f>IFERROR(__xludf.DUMMYFUNCTION("""COMPUTED_VALUE"""),0.5)</f>
        <v>0.5</v>
      </c>
    </row>
    <row r="5895">
      <c r="K5895" s="4" t="str">
        <f>IFERROR(__xludf.DUMMYFUNCTION("""COMPUTED_VALUE"""),"CLICK PIZZA EXPRESS")</f>
        <v>CLICK PIZZA EXPRESS</v>
      </c>
      <c r="L5895" s="32">
        <f>IFERROR(__xludf.DUMMYFUNCTION("""COMPUTED_VALUE"""),2.0)</f>
        <v>2</v>
      </c>
      <c r="M5895" s="4" t="str">
        <f>IFERROR(__xludf.DUMMYFUNCTION("""COMPUTED_VALUE"""),"Saipos Serviços De Software")</f>
        <v>Saipos Serviços De Software</v>
      </c>
      <c r="N5895" s="33">
        <f>IFERROR(__xludf.DUMMYFUNCTION("""COMPUTED_VALUE"""),1.0)</f>
        <v>1</v>
      </c>
      <c r="O5895" s="4" t="str">
        <f>IFERROR(__xludf.DUMMYFUNCTION("""COMPUTED_VALUE"""),"Saipos Serviços De Software")</f>
        <v>Saipos Serviços De Software</v>
      </c>
      <c r="P5895" s="33">
        <f>IFERROR(__xludf.DUMMYFUNCTION("""COMPUTED_VALUE"""),1.0)</f>
        <v>1</v>
      </c>
      <c r="Q5895" s="4" t="str">
        <f>IFERROR(__xludf.DUMMYFUNCTION("""COMPUTED_VALUE"""),"Saipos Serviços De Software")</f>
        <v>Saipos Serviços De Software</v>
      </c>
      <c r="R5895" s="33">
        <f>IFERROR(__xludf.DUMMYFUNCTION("""COMPUTED_VALUE"""),1.0)</f>
        <v>1</v>
      </c>
      <c r="S5895" s="4" t="str">
        <f>IFERROR(__xludf.DUMMYFUNCTION("""COMPUTED_VALUE"""),"Saipos Serviços De Software")</f>
        <v>Saipos Serviços De Software</v>
      </c>
      <c r="T5895" s="33">
        <f>IFERROR(__xludf.DUMMYFUNCTION("""COMPUTED_VALUE"""),1.0)</f>
        <v>1</v>
      </c>
      <c r="U5895" s="4" t="str">
        <f>IFERROR(__xludf.DUMMYFUNCTION("""COMPUTED_VALUE"""),"Saipos Serviços De Software")</f>
        <v>Saipos Serviços De Software</v>
      </c>
      <c r="V5895" s="33">
        <f>IFERROR(__xludf.DUMMYFUNCTION("""COMPUTED_VALUE"""),1.0)</f>
        <v>1</v>
      </c>
      <c r="W5895" s="4" t="str">
        <f>IFERROR(__xludf.DUMMYFUNCTION("""COMPUTED_VALUE"""),"Saipos Serviços De Software")</f>
        <v>Saipos Serviços De Software</v>
      </c>
      <c r="X5895" s="33">
        <f>IFERROR(__xludf.DUMMYFUNCTION("""COMPUTED_VALUE"""),1.0)</f>
        <v>1</v>
      </c>
    </row>
    <row r="5896">
      <c r="K5896" s="4" t="str">
        <f>IFERROR(__xludf.DUMMYFUNCTION("""COMPUTED_VALUE"""),"TEMPERO DE MOCA")</f>
        <v>TEMPERO DE MOCA</v>
      </c>
      <c r="L5896" s="32">
        <f>IFERROR(__xludf.DUMMYFUNCTION("""COMPUTED_VALUE"""),2.0)</f>
        <v>2</v>
      </c>
      <c r="M5896" s="4" t="str">
        <f>IFERROR(__xludf.DUMMYFUNCTION("""COMPUTED_VALUE"""),"Consumer Soluções Em Tecnologia Ltda")</f>
        <v>Consumer Soluções Em Tecnologia Ltda</v>
      </c>
      <c r="N5896" s="33">
        <f>IFERROR(__xludf.DUMMYFUNCTION("""COMPUTED_VALUE"""),0.5)</f>
        <v>0.5</v>
      </c>
      <c r="O5896" s="4" t="str">
        <f>IFERROR(__xludf.DUMMYFUNCTION("""COMPUTED_VALUE"""),"Consumer Soluções Em Tecnologia Ltda")</f>
        <v>Consumer Soluções Em Tecnologia Ltda</v>
      </c>
      <c r="P5896" s="33">
        <f>IFERROR(__xludf.DUMMYFUNCTION("""COMPUTED_VALUE"""),0.5)</f>
        <v>0.5</v>
      </c>
      <c r="Q5896" s="4" t="str">
        <f>IFERROR(__xludf.DUMMYFUNCTION("""COMPUTED_VALUE"""),"null")</f>
        <v>null</v>
      </c>
      <c r="R5896" s="33">
        <f>IFERROR(__xludf.DUMMYFUNCTION("""COMPUTED_VALUE"""),1.0)</f>
        <v>1</v>
      </c>
      <c r="S5896" s="4" t="str">
        <f>IFERROR(__xludf.DUMMYFUNCTION("""COMPUTED_VALUE"""),"Consumer Soluções Em Tecnologia Ltda")</f>
        <v>Consumer Soluções Em Tecnologia Ltda</v>
      </c>
      <c r="T5896" s="33">
        <f>IFERROR(__xludf.DUMMYFUNCTION("""COMPUTED_VALUE"""),0.5)</f>
        <v>0.5</v>
      </c>
      <c r="U5896" s="4" t="str">
        <f>IFERROR(__xludf.DUMMYFUNCTION("""COMPUTED_VALUE"""),"null")</f>
        <v>null</v>
      </c>
      <c r="V5896" s="33">
        <f>IFERROR(__xludf.DUMMYFUNCTION("""COMPUTED_VALUE"""),1.0)</f>
        <v>1</v>
      </c>
      <c r="W5896" s="4" t="str">
        <f>IFERROR(__xludf.DUMMYFUNCTION("""COMPUTED_VALUE"""),"Consumer Soluções Em Tecnologia Ltda")</f>
        <v>Consumer Soluções Em Tecnologia Ltda</v>
      </c>
      <c r="X5896" s="33">
        <f>IFERROR(__xludf.DUMMYFUNCTION("""COMPUTED_VALUE"""),0.5)</f>
        <v>0.5</v>
      </c>
    </row>
    <row r="5897">
      <c r="K5897" s="4" t="str">
        <f>IFERROR(__xludf.DUMMYFUNCTION("""COMPUTED_VALUE"""),"BURGAO LANCHES")</f>
        <v>BURGAO LANCHES</v>
      </c>
      <c r="L5897" s="32">
        <f>IFERROR(__xludf.DUMMYFUNCTION("""COMPUTED_VALUE"""),2.0)</f>
        <v>2</v>
      </c>
      <c r="M5897" s="4" t="str">
        <f>IFERROR(__xludf.DUMMYFUNCTION("""COMPUTED_VALUE"""),"Bitbar")</f>
        <v>Bitbar</v>
      </c>
      <c r="N5897" s="33">
        <f>IFERROR(__xludf.DUMMYFUNCTION("""COMPUTED_VALUE"""),0.5)</f>
        <v>0.5</v>
      </c>
      <c r="O5897" s="4" t="str">
        <f>IFERROR(__xludf.DUMMYFUNCTION("""COMPUTED_VALUE"""),"Bitbar")</f>
        <v>Bitbar</v>
      </c>
      <c r="P5897" s="33">
        <f>IFERROR(__xludf.DUMMYFUNCTION("""COMPUTED_VALUE"""),0.5)</f>
        <v>0.5</v>
      </c>
      <c r="Q5897" s="4" t="str">
        <f>IFERROR(__xludf.DUMMYFUNCTION("""COMPUTED_VALUE"""),"Bitbar")</f>
        <v>Bitbar</v>
      </c>
      <c r="R5897" s="33">
        <f>IFERROR(__xludf.DUMMYFUNCTION("""COMPUTED_VALUE"""),0.5)</f>
        <v>0.5</v>
      </c>
      <c r="S5897" s="4" t="str">
        <f>IFERROR(__xludf.DUMMYFUNCTION("""COMPUTED_VALUE"""),"Bitbar")</f>
        <v>Bitbar</v>
      </c>
      <c r="T5897" s="33">
        <f>IFERROR(__xludf.DUMMYFUNCTION("""COMPUTED_VALUE"""),0.5)</f>
        <v>0.5</v>
      </c>
      <c r="U5897" s="4" t="str">
        <f>IFERROR(__xludf.DUMMYFUNCTION("""COMPUTED_VALUE"""),"Bitbar")</f>
        <v>Bitbar</v>
      </c>
      <c r="V5897" s="33">
        <f>IFERROR(__xludf.DUMMYFUNCTION("""COMPUTED_VALUE"""),0.5)</f>
        <v>0.5</v>
      </c>
      <c r="W5897" s="4" t="str">
        <f>IFERROR(__xludf.DUMMYFUNCTION("""COMPUTED_VALUE"""),"Bitbar")</f>
        <v>Bitbar</v>
      </c>
      <c r="X5897" s="33">
        <f>IFERROR(__xludf.DUMMYFUNCTION("""COMPUTED_VALUE"""),0.5)</f>
        <v>0.5</v>
      </c>
    </row>
    <row r="5898">
      <c r="K5898" s="4" t="str">
        <f>IFERROR(__xludf.DUMMYFUNCTION("""COMPUTED_VALUE"""),"ANA BORGONOVI DOCES SAUDAVEIS AB DOCES")</f>
        <v>ANA BORGONOVI DOCES SAUDAVEIS AB DOCES</v>
      </c>
      <c r="L5898" s="32">
        <f>IFERROR(__xludf.DUMMYFUNCTION("""COMPUTED_VALUE"""),2.0)</f>
        <v>2</v>
      </c>
      <c r="M5898" s="4" t="str">
        <f>IFERROR(__xludf.DUMMYFUNCTION("""COMPUTED_VALUE"""),"Swfast Sistemas")</f>
        <v>Swfast Sistemas</v>
      </c>
      <c r="N5898" s="33">
        <f>IFERROR(__xludf.DUMMYFUNCTION("""COMPUTED_VALUE"""),1.0)</f>
        <v>1</v>
      </c>
      <c r="O5898" s="4" t="str">
        <f>IFERROR(__xludf.DUMMYFUNCTION("""COMPUTED_VALUE"""),"null")</f>
        <v>null</v>
      </c>
      <c r="P5898" s="33">
        <f>IFERROR(__xludf.DUMMYFUNCTION("""COMPUTED_VALUE"""),0.5)</f>
        <v>0.5</v>
      </c>
      <c r="Q5898" s="4" t="str">
        <f>IFERROR(__xludf.DUMMYFUNCTION("""COMPUTED_VALUE"""),"Swfast Sistemas")</f>
        <v>Swfast Sistemas</v>
      </c>
      <c r="R5898" s="33">
        <f>IFERROR(__xludf.DUMMYFUNCTION("""COMPUTED_VALUE"""),1.0)</f>
        <v>1</v>
      </c>
      <c r="S5898" s="4" t="str">
        <f>IFERROR(__xludf.DUMMYFUNCTION("""COMPUTED_VALUE"""),"null")</f>
        <v>null</v>
      </c>
      <c r="T5898" s="33">
        <f>IFERROR(__xludf.DUMMYFUNCTION("""COMPUTED_VALUE"""),0.5)</f>
        <v>0.5</v>
      </c>
      <c r="U5898" s="4" t="str">
        <f>IFERROR(__xludf.DUMMYFUNCTION("""COMPUTED_VALUE"""),"Swfast Sistemas")</f>
        <v>Swfast Sistemas</v>
      </c>
      <c r="V5898" s="33">
        <f>IFERROR(__xludf.DUMMYFUNCTION("""COMPUTED_VALUE"""),1.0)</f>
        <v>1</v>
      </c>
      <c r="W5898" s="4" t="str">
        <f>IFERROR(__xludf.DUMMYFUNCTION("""COMPUTED_VALUE"""),"Swfast Sistemas")</f>
        <v>Swfast Sistemas</v>
      </c>
      <c r="X5898" s="33">
        <f>IFERROR(__xludf.DUMMYFUNCTION("""COMPUTED_VALUE"""),0.5)</f>
        <v>0.5</v>
      </c>
    </row>
    <row r="5899">
      <c r="K5899" s="4" t="str">
        <f>IFERROR(__xludf.DUMMYFUNCTION("""COMPUTED_VALUE"""),"CARLOS BURGER")</f>
        <v>CARLOS BURGER</v>
      </c>
      <c r="L5899" s="32">
        <f>IFERROR(__xludf.DUMMYFUNCTION("""COMPUTED_VALUE"""),2.0)</f>
        <v>2</v>
      </c>
      <c r="M5899" s="4" t="str">
        <f>IFERROR(__xludf.DUMMYFUNCTION("""COMPUTED_VALUE"""),"Mp Multipedidos")</f>
        <v>Mp Multipedidos</v>
      </c>
      <c r="N5899" s="33">
        <f>IFERROR(__xludf.DUMMYFUNCTION("""COMPUTED_VALUE"""),1.0)</f>
        <v>1</v>
      </c>
      <c r="O5899" s="4" t="str">
        <f>IFERROR(__xludf.DUMMYFUNCTION("""COMPUTED_VALUE"""),"Mp Multipedidos")</f>
        <v>Mp Multipedidos</v>
      </c>
      <c r="P5899" s="33">
        <f>IFERROR(__xludf.DUMMYFUNCTION("""COMPUTED_VALUE"""),1.0)</f>
        <v>1</v>
      </c>
      <c r="Q5899" s="4" t="str">
        <f>IFERROR(__xludf.DUMMYFUNCTION("""COMPUTED_VALUE"""),"null")</f>
        <v>null</v>
      </c>
      <c r="R5899" s="33">
        <f>IFERROR(__xludf.DUMMYFUNCTION("""COMPUTED_VALUE"""),1.0)</f>
        <v>1</v>
      </c>
      <c r="S5899" s="4" t="str">
        <f>IFERROR(__xludf.DUMMYFUNCTION("""COMPUTED_VALUE"""),"null")</f>
        <v>null</v>
      </c>
      <c r="T5899" s="33">
        <f>IFERROR(__xludf.DUMMYFUNCTION("""COMPUTED_VALUE"""),0.5)</f>
        <v>0.5</v>
      </c>
      <c r="U5899" s="4" t="str">
        <f>IFERROR(__xludf.DUMMYFUNCTION("""COMPUTED_VALUE"""),"null")</f>
        <v>null</v>
      </c>
      <c r="V5899" s="33">
        <f>IFERROR(__xludf.DUMMYFUNCTION("""COMPUTED_VALUE"""),1.0)</f>
        <v>1</v>
      </c>
      <c r="W5899" s="4" t="str">
        <f>IFERROR(__xludf.DUMMYFUNCTION("""COMPUTED_VALUE"""),"null")</f>
        <v>null</v>
      </c>
      <c r="X5899" s="33">
        <f>IFERROR(__xludf.DUMMYFUNCTION("""COMPUTED_VALUE"""),1.0)</f>
        <v>1</v>
      </c>
    </row>
    <row r="5900">
      <c r="K5900" s="4" t="str">
        <f>IFERROR(__xludf.DUMMYFUNCTION("""COMPUTED_VALUE"""),"FORASTEIROS PIZZARIA")</f>
        <v>FORASTEIROS PIZZARIA</v>
      </c>
      <c r="L5900" s="32">
        <f>IFERROR(__xludf.DUMMYFUNCTION("""COMPUTED_VALUE"""),2.0)</f>
        <v>2</v>
      </c>
      <c r="M5900" s="4" t="str">
        <f>IFERROR(__xludf.DUMMYFUNCTION("""COMPUTED_VALUE"""),"Saipos Serviços De Software")</f>
        <v>Saipos Serviços De Software</v>
      </c>
      <c r="N5900" s="33">
        <f>IFERROR(__xludf.DUMMYFUNCTION("""COMPUTED_VALUE"""),0.5)</f>
        <v>0.5</v>
      </c>
      <c r="O5900" s="4" t="str">
        <f>IFERROR(__xludf.DUMMYFUNCTION("""COMPUTED_VALUE"""),"Saipos Serviços De Software")</f>
        <v>Saipos Serviços De Software</v>
      </c>
      <c r="P5900" s="33">
        <f>IFERROR(__xludf.DUMMYFUNCTION("""COMPUTED_VALUE"""),0.5)</f>
        <v>0.5</v>
      </c>
      <c r="Q5900" s="4" t="str">
        <f>IFERROR(__xludf.DUMMYFUNCTION("""COMPUTED_VALUE"""),"Saipos Serviços De Software")</f>
        <v>Saipos Serviços De Software</v>
      </c>
      <c r="R5900" s="33">
        <f>IFERROR(__xludf.DUMMYFUNCTION("""COMPUTED_VALUE"""),0.5)</f>
        <v>0.5</v>
      </c>
      <c r="S5900" s="4" t="str">
        <f>IFERROR(__xludf.DUMMYFUNCTION("""COMPUTED_VALUE"""),"Saipos Serviços De Software")</f>
        <v>Saipos Serviços De Software</v>
      </c>
      <c r="T5900" s="33">
        <f>IFERROR(__xludf.DUMMYFUNCTION("""COMPUTED_VALUE"""),0.5)</f>
        <v>0.5</v>
      </c>
      <c r="U5900" s="4" t="str">
        <f>IFERROR(__xludf.DUMMYFUNCTION("""COMPUTED_VALUE"""),"Saipos Serviços De Software")</f>
        <v>Saipos Serviços De Software</v>
      </c>
      <c r="V5900" s="33">
        <f>IFERROR(__xludf.DUMMYFUNCTION("""COMPUTED_VALUE"""),0.5)</f>
        <v>0.5</v>
      </c>
      <c r="W5900" s="4" t="str">
        <f>IFERROR(__xludf.DUMMYFUNCTION("""COMPUTED_VALUE"""),"Saipos Serviços De Software")</f>
        <v>Saipos Serviços De Software</v>
      </c>
      <c r="X5900" s="33">
        <f>IFERROR(__xludf.DUMMYFUNCTION("""COMPUTED_VALUE"""),0.5)</f>
        <v>0.5</v>
      </c>
    </row>
    <row r="5901">
      <c r="K5901" s="4" t="str">
        <f>IFERROR(__xludf.DUMMYFUNCTION("""COMPUTED_VALUE"""),"CASA DO YAKISOBA")</f>
        <v>CASA DO YAKISOBA</v>
      </c>
      <c r="L5901" s="32">
        <f>IFERROR(__xludf.DUMMYFUNCTION("""COMPUTED_VALUE"""),2.0)</f>
        <v>2</v>
      </c>
      <c r="M5901" s="4" t="str">
        <f>IFERROR(__xludf.DUMMYFUNCTION("""COMPUTED_VALUE"""),"null")</f>
        <v>null</v>
      </c>
      <c r="N5901" s="33">
        <f>IFERROR(__xludf.DUMMYFUNCTION("""COMPUTED_VALUE"""),0.5)</f>
        <v>0.5</v>
      </c>
      <c r="O5901" s="4" t="str">
        <f>IFERROR(__xludf.DUMMYFUNCTION("""COMPUTED_VALUE"""),"null")</f>
        <v>null</v>
      </c>
      <c r="P5901" s="33">
        <f>IFERROR(__xludf.DUMMYFUNCTION("""COMPUTED_VALUE"""),0.5)</f>
        <v>0.5</v>
      </c>
      <c r="Q5901" s="4" t="str">
        <f>IFERROR(__xludf.DUMMYFUNCTION("""COMPUTED_VALUE"""),"null")</f>
        <v>null</v>
      </c>
      <c r="R5901" s="33">
        <f>IFERROR(__xludf.DUMMYFUNCTION("""COMPUTED_VALUE"""),0.5)</f>
        <v>0.5</v>
      </c>
      <c r="S5901" s="4" t="str">
        <f>IFERROR(__xludf.DUMMYFUNCTION("""COMPUTED_VALUE"""),"null")</f>
        <v>null</v>
      </c>
      <c r="T5901" s="33">
        <f>IFERROR(__xludf.DUMMYFUNCTION("""COMPUTED_VALUE"""),0.5)</f>
        <v>0.5</v>
      </c>
      <c r="U5901" s="4" t="str">
        <f>IFERROR(__xludf.DUMMYFUNCTION("""COMPUTED_VALUE"""),"Saipos Serviços De Software")</f>
        <v>Saipos Serviços De Software</v>
      </c>
      <c r="V5901" s="33">
        <f>IFERROR(__xludf.DUMMYFUNCTION("""COMPUTED_VALUE"""),1.0)</f>
        <v>1</v>
      </c>
      <c r="W5901" s="4" t="str">
        <f>IFERROR(__xludf.DUMMYFUNCTION("""COMPUTED_VALUE"""),"Saipos Serviços De Software")</f>
        <v>Saipos Serviços De Software</v>
      </c>
      <c r="X5901" s="33">
        <f>IFERROR(__xludf.DUMMYFUNCTION("""COMPUTED_VALUE"""),1.0)</f>
        <v>1</v>
      </c>
    </row>
    <row r="5902">
      <c r="K5902" s="4" t="str">
        <f>IFERROR(__xludf.DUMMYFUNCTION("""COMPUTED_VALUE"""),"CASARAO RESTAURANTE")</f>
        <v>CASARAO RESTAURANTE</v>
      </c>
      <c r="L5902" s="32">
        <f>IFERROR(__xludf.DUMMYFUNCTION("""COMPUTED_VALUE"""),2.0)</f>
        <v>2</v>
      </c>
      <c r="M5902" s="4" t="str">
        <f>IFERROR(__xludf.DUMMYFUNCTION("""COMPUTED_VALUE"""),"Consumer Soluções Em Tecnologia Ltda")</f>
        <v>Consumer Soluções Em Tecnologia Ltda</v>
      </c>
      <c r="N5902" s="33">
        <f>IFERROR(__xludf.DUMMYFUNCTION("""COMPUTED_VALUE"""),1.0)</f>
        <v>1</v>
      </c>
      <c r="O5902" s="4" t="str">
        <f>IFERROR(__xludf.DUMMYFUNCTION("""COMPUTED_VALUE"""),"Consumer Soluções Em Tecnologia Ltda")</f>
        <v>Consumer Soluções Em Tecnologia Ltda</v>
      </c>
      <c r="P5902" s="33">
        <f>IFERROR(__xludf.DUMMYFUNCTION("""COMPUTED_VALUE"""),1.0)</f>
        <v>1</v>
      </c>
      <c r="Q5902" s="4" t="str">
        <f>IFERROR(__xludf.DUMMYFUNCTION("""COMPUTED_VALUE"""),"Consumer Soluções Em Tecnologia Ltda")</f>
        <v>Consumer Soluções Em Tecnologia Ltda</v>
      </c>
      <c r="R5902" s="33">
        <f>IFERROR(__xludf.DUMMYFUNCTION("""COMPUTED_VALUE"""),1.0)</f>
        <v>1</v>
      </c>
      <c r="S5902" s="4" t="str">
        <f>IFERROR(__xludf.DUMMYFUNCTION("""COMPUTED_VALUE"""),"Consumer Soluções Em Tecnologia Ltda")</f>
        <v>Consumer Soluções Em Tecnologia Ltda</v>
      </c>
      <c r="T5902" s="33">
        <f>IFERROR(__xludf.DUMMYFUNCTION("""COMPUTED_VALUE"""),1.0)</f>
        <v>1</v>
      </c>
      <c r="U5902" s="4" t="str">
        <f>IFERROR(__xludf.DUMMYFUNCTION("""COMPUTED_VALUE"""),"Consumer Soluções Em Tecnologia Ltda")</f>
        <v>Consumer Soluções Em Tecnologia Ltda</v>
      </c>
      <c r="V5902" s="33">
        <f>IFERROR(__xludf.DUMMYFUNCTION("""COMPUTED_VALUE"""),1.0)</f>
        <v>1</v>
      </c>
      <c r="W5902" s="4" t="str">
        <f>IFERROR(__xludf.DUMMYFUNCTION("""COMPUTED_VALUE"""),"Consumer Soluções Em Tecnologia Ltda")</f>
        <v>Consumer Soluções Em Tecnologia Ltda</v>
      </c>
      <c r="X5902" s="33">
        <f>IFERROR(__xludf.DUMMYFUNCTION("""COMPUTED_VALUE"""),1.0)</f>
        <v>1</v>
      </c>
    </row>
    <row r="5903">
      <c r="K5903" s="4" t="str">
        <f>IFERROR(__xludf.DUMMYFUNCTION("""COMPUTED_VALUE"""),"REI DO PODRAO BURGUER - LANCHES")</f>
        <v>REI DO PODRAO BURGUER - LANCHES</v>
      </c>
      <c r="L5903" s="32">
        <f>IFERROR(__xludf.DUMMYFUNCTION("""COMPUTED_VALUE"""),2.0)</f>
        <v>2</v>
      </c>
      <c r="M5903" s="4" t="str">
        <f>IFERROR(__xludf.DUMMYFUNCTION("""COMPUTED_VALUE"""),"null")</f>
        <v>null</v>
      </c>
      <c r="N5903" s="33">
        <f>IFERROR(__xludf.DUMMYFUNCTION("""COMPUTED_VALUE"""),0.5)</f>
        <v>0.5</v>
      </c>
      <c r="O5903" s="4" t="str">
        <f>IFERROR(__xludf.DUMMYFUNCTION("""COMPUTED_VALUE"""),"null")</f>
        <v>null</v>
      </c>
      <c r="P5903" s="33">
        <f>IFERROR(__xludf.DUMMYFUNCTION("""COMPUTED_VALUE"""),1.0)</f>
        <v>1</v>
      </c>
      <c r="Q5903" s="4" t="str">
        <f>IFERROR(__xludf.DUMMYFUNCTION("""COMPUTED_VALUE"""),"null")</f>
        <v>null</v>
      </c>
      <c r="R5903" s="33">
        <f>IFERROR(__xludf.DUMMYFUNCTION("""COMPUTED_VALUE"""),1.0)</f>
        <v>1</v>
      </c>
      <c r="S5903" s="4" t="str">
        <f>IFERROR(__xludf.DUMMYFUNCTION("""COMPUTED_VALUE"""),"Saipos Serviços De Software")</f>
        <v>Saipos Serviços De Software</v>
      </c>
      <c r="T5903" s="33">
        <f>IFERROR(__xludf.DUMMYFUNCTION("""COMPUTED_VALUE"""),0.5)</f>
        <v>0.5</v>
      </c>
      <c r="U5903" s="4" t="str">
        <f>IFERROR(__xludf.DUMMYFUNCTION("""COMPUTED_VALUE"""),"Saipos Serviços De Software")</f>
        <v>Saipos Serviços De Software</v>
      </c>
      <c r="V5903" s="33">
        <f>IFERROR(__xludf.DUMMYFUNCTION("""COMPUTED_VALUE"""),0.5)</f>
        <v>0.5</v>
      </c>
      <c r="W5903" s="4" t="str">
        <f>IFERROR(__xludf.DUMMYFUNCTION("""COMPUTED_VALUE"""),"Saipos Serviços De Software")</f>
        <v>Saipos Serviços De Software</v>
      </c>
      <c r="X5903" s="33">
        <f>IFERROR(__xludf.DUMMYFUNCTION("""COMPUTED_VALUE"""),0.5)</f>
        <v>0.5</v>
      </c>
    </row>
    <row r="5904">
      <c r="K5904" s="4" t="str">
        <f>IFERROR(__xludf.DUMMYFUNCTION("""COMPUTED_VALUE"""),"SMASH BURGER - HAMBURGUERIA")</f>
        <v>SMASH BURGER - HAMBURGUERIA</v>
      </c>
      <c r="L5904" s="32">
        <f>IFERROR(__xludf.DUMMYFUNCTION("""COMPUTED_VALUE"""),2.0)</f>
        <v>2</v>
      </c>
      <c r="M5904" s="4" t="str">
        <f>IFERROR(__xludf.DUMMYFUNCTION("""COMPUTED_VALUE"""),"Brendi")</f>
        <v>Brendi</v>
      </c>
      <c r="N5904" s="33">
        <f>IFERROR(__xludf.DUMMYFUNCTION("""COMPUTED_VALUE"""),0.5)</f>
        <v>0.5</v>
      </c>
      <c r="O5904" s="4" t="str">
        <f>IFERROR(__xludf.DUMMYFUNCTION("""COMPUTED_VALUE"""),"Brendi")</f>
        <v>Brendi</v>
      </c>
      <c r="P5904" s="33">
        <f>IFERROR(__xludf.DUMMYFUNCTION("""COMPUTED_VALUE"""),0.5)</f>
        <v>0.5</v>
      </c>
      <c r="Q5904" s="4" t="str">
        <f>IFERROR(__xludf.DUMMYFUNCTION("""COMPUTED_VALUE"""),"Brendi")</f>
        <v>Brendi</v>
      </c>
      <c r="R5904" s="33">
        <f>IFERROR(__xludf.DUMMYFUNCTION("""COMPUTED_VALUE"""),0.5)</f>
        <v>0.5</v>
      </c>
      <c r="S5904" s="4" t="str">
        <f>IFERROR(__xludf.DUMMYFUNCTION("""COMPUTED_VALUE"""),"Brendi")</f>
        <v>Brendi</v>
      </c>
      <c r="T5904" s="33">
        <f>IFERROR(__xludf.DUMMYFUNCTION("""COMPUTED_VALUE"""),0.5)</f>
        <v>0.5</v>
      </c>
      <c r="U5904" s="4" t="str">
        <f>IFERROR(__xludf.DUMMYFUNCTION("""COMPUTED_VALUE"""),"Brendi")</f>
        <v>Brendi</v>
      </c>
      <c r="V5904" s="33">
        <f>IFERROR(__xludf.DUMMYFUNCTION("""COMPUTED_VALUE"""),0.5)</f>
        <v>0.5</v>
      </c>
      <c r="W5904" s="4" t="str">
        <f>IFERROR(__xludf.DUMMYFUNCTION("""COMPUTED_VALUE"""),"Brendi")</f>
        <v>Brendi</v>
      </c>
      <c r="X5904" s="33">
        <f>IFERROR(__xludf.DUMMYFUNCTION("""COMPUTED_VALUE"""),0.5)</f>
        <v>0.5</v>
      </c>
    </row>
    <row r="5905">
      <c r="K5905" s="4" t="str">
        <f>IFERROR(__xludf.DUMMYFUNCTION("""COMPUTED_VALUE"""),"HEAT BURGER")</f>
        <v>HEAT BURGER</v>
      </c>
      <c r="L5905" s="32">
        <f>IFERROR(__xludf.DUMMYFUNCTION("""COMPUTED_VALUE"""),2.0)</f>
        <v>2</v>
      </c>
      <c r="M5905" s="4" t="str">
        <f>IFERROR(__xludf.DUMMYFUNCTION("""COMPUTED_VALUE"""),"null")</f>
        <v>null</v>
      </c>
      <c r="N5905" s="33">
        <f>IFERROR(__xludf.DUMMYFUNCTION("""COMPUTED_VALUE"""),0.5)</f>
        <v>0.5</v>
      </c>
      <c r="O5905" s="4" t="str">
        <f>IFERROR(__xludf.DUMMYFUNCTION("""COMPUTED_VALUE"""),"Cardápio Web")</f>
        <v>Cardápio Web</v>
      </c>
      <c r="P5905" s="33">
        <f>IFERROR(__xludf.DUMMYFUNCTION("""COMPUTED_VALUE"""),0.5)</f>
        <v>0.5</v>
      </c>
      <c r="Q5905" s="4" t="str">
        <f>IFERROR(__xludf.DUMMYFUNCTION("""COMPUTED_VALUE"""),"Cardápio Web")</f>
        <v>Cardápio Web</v>
      </c>
      <c r="R5905" s="33">
        <f>IFERROR(__xludf.DUMMYFUNCTION("""COMPUTED_VALUE"""),0.5)</f>
        <v>0.5</v>
      </c>
      <c r="S5905" s="4" t="str">
        <f>IFERROR(__xludf.DUMMYFUNCTION("""COMPUTED_VALUE"""),"Cardápio Web")</f>
        <v>Cardápio Web</v>
      </c>
      <c r="T5905" s="33">
        <f>IFERROR(__xludf.DUMMYFUNCTION("""COMPUTED_VALUE"""),0.5)</f>
        <v>0.5</v>
      </c>
      <c r="U5905" s="4" t="str">
        <f>IFERROR(__xludf.DUMMYFUNCTION("""COMPUTED_VALUE"""),"Cardápio Web")</f>
        <v>Cardápio Web</v>
      </c>
      <c r="V5905" s="33">
        <f>IFERROR(__xludf.DUMMYFUNCTION("""COMPUTED_VALUE"""),0.5)</f>
        <v>0.5</v>
      </c>
      <c r="W5905" s="4" t="str">
        <f>IFERROR(__xludf.DUMMYFUNCTION("""COMPUTED_VALUE"""),"Cardápio Web")</f>
        <v>Cardápio Web</v>
      </c>
      <c r="X5905" s="33">
        <f>IFERROR(__xludf.DUMMYFUNCTION("""COMPUTED_VALUE"""),0.5)</f>
        <v>0.5</v>
      </c>
    </row>
    <row r="5906">
      <c r="K5906" s="4" t="str">
        <f>IFERROR(__xludf.DUMMYFUNCTION("""COMPUTED_VALUE"""),"PACO BURGER")</f>
        <v>PACO BURGER</v>
      </c>
      <c r="L5906" s="32">
        <f>IFERROR(__xludf.DUMMYFUNCTION("""COMPUTED_VALUE"""),2.0)</f>
        <v>2</v>
      </c>
      <c r="M5906" s="4" t="str">
        <f>IFERROR(__xludf.DUMMYFUNCTION("""COMPUTED_VALUE"""),"New Analysis Notificacoes Empresariais Ltda")</f>
        <v>New Analysis Notificacoes Empresariais Ltda</v>
      </c>
      <c r="N5906" s="33">
        <f>IFERROR(__xludf.DUMMYFUNCTION("""COMPUTED_VALUE"""),0.5)</f>
        <v>0.5</v>
      </c>
      <c r="O5906" s="4" t="str">
        <f>IFERROR(__xludf.DUMMYFUNCTION("""COMPUTED_VALUE"""),"New Analysis Notificacoes Empresariais Ltda")</f>
        <v>New Analysis Notificacoes Empresariais Ltda</v>
      </c>
      <c r="P5906" s="33">
        <f>IFERROR(__xludf.DUMMYFUNCTION("""COMPUTED_VALUE"""),0.5)</f>
        <v>0.5</v>
      </c>
      <c r="Q5906" s="4" t="str">
        <f>IFERROR(__xludf.DUMMYFUNCTION("""COMPUTED_VALUE"""),"null")</f>
        <v>null</v>
      </c>
      <c r="R5906" s="33">
        <f>IFERROR(__xludf.DUMMYFUNCTION("""COMPUTED_VALUE"""),0.5)</f>
        <v>0.5</v>
      </c>
      <c r="S5906" s="4" t="str">
        <f>IFERROR(__xludf.DUMMYFUNCTION("""COMPUTED_VALUE"""),"New Analysis Notificacoes Empresariais Ltda")</f>
        <v>New Analysis Notificacoes Empresariais Ltda</v>
      </c>
      <c r="T5906" s="33">
        <f>IFERROR(__xludf.DUMMYFUNCTION("""COMPUTED_VALUE"""),0.5)</f>
        <v>0.5</v>
      </c>
      <c r="U5906" s="4" t="str">
        <f>IFERROR(__xludf.DUMMYFUNCTION("""COMPUTED_VALUE"""),"New Analysis Notificacoes Empresariais Ltda")</f>
        <v>New Analysis Notificacoes Empresariais Ltda</v>
      </c>
      <c r="V5906" s="33">
        <f>IFERROR(__xludf.DUMMYFUNCTION("""COMPUTED_VALUE"""),0.5)</f>
        <v>0.5</v>
      </c>
      <c r="W5906" s="4" t="str">
        <f>IFERROR(__xludf.DUMMYFUNCTION("""COMPUTED_VALUE"""),"null")</f>
        <v>null</v>
      </c>
      <c r="X5906" s="33">
        <f>IFERROR(__xludf.DUMMYFUNCTION("""COMPUTED_VALUE"""),0.5)</f>
        <v>0.5</v>
      </c>
    </row>
    <row r="5907">
      <c r="K5907" s="4" t="str">
        <f>IFERROR(__xludf.DUMMYFUNCTION("""COMPUTED_VALUE"""),"LOJA DAS FRUTAS")</f>
        <v>LOJA DAS FRUTAS</v>
      </c>
      <c r="L5907" s="32">
        <f>IFERROR(__xludf.DUMMYFUNCTION("""COMPUTED_VALUE"""),2.0)</f>
        <v>2</v>
      </c>
      <c r="M5907" s="4" t="str">
        <f>IFERROR(__xludf.DUMMYFUNCTION("""COMPUTED_VALUE"""),"N/A (Not found)")</f>
        <v>N/A (Not found)</v>
      </c>
      <c r="N5907" s="33">
        <f>IFERROR(__xludf.DUMMYFUNCTION("""COMPUTED_VALUE"""),1.0)</f>
        <v>1</v>
      </c>
      <c r="O5907" s="4" t="str">
        <f>IFERROR(__xludf.DUMMYFUNCTION("""COMPUTED_VALUE"""),"N/A (Not found)")</f>
        <v>N/A (Not found)</v>
      </c>
      <c r="P5907" s="33">
        <f>IFERROR(__xludf.DUMMYFUNCTION("""COMPUTED_VALUE"""),1.0)</f>
        <v>1</v>
      </c>
      <c r="Q5907" s="4" t="str">
        <f>IFERROR(__xludf.DUMMYFUNCTION("""COMPUTED_VALUE"""),"N/A (Not found)")</f>
        <v>N/A (Not found)</v>
      </c>
      <c r="R5907" s="33">
        <f>IFERROR(__xludf.DUMMYFUNCTION("""COMPUTED_VALUE"""),1.0)</f>
        <v>1</v>
      </c>
      <c r="S5907" s="4" t="str">
        <f>IFERROR(__xludf.DUMMYFUNCTION("""COMPUTED_VALUE"""),"N/A (Not found)")</f>
        <v>N/A (Not found)</v>
      </c>
      <c r="T5907" s="33">
        <f>IFERROR(__xludf.DUMMYFUNCTION("""COMPUTED_VALUE"""),1.0)</f>
        <v>1</v>
      </c>
      <c r="U5907" s="4" t="str">
        <f>IFERROR(__xludf.DUMMYFUNCTION("""COMPUTED_VALUE"""),"N/A (Not found)")</f>
        <v>N/A (Not found)</v>
      </c>
      <c r="V5907" s="33">
        <f>IFERROR(__xludf.DUMMYFUNCTION("""COMPUTED_VALUE"""),1.0)</f>
        <v>1</v>
      </c>
      <c r="W5907" s="4" t="str">
        <f>IFERROR(__xludf.DUMMYFUNCTION("""COMPUTED_VALUE"""),"N/A (Not found)")</f>
        <v>N/A (Not found)</v>
      </c>
      <c r="X5907" s="33">
        <f>IFERROR(__xludf.DUMMYFUNCTION("""COMPUTED_VALUE"""),1.0)</f>
        <v>1</v>
      </c>
    </row>
    <row r="5908">
      <c r="K5908" s="4" t="str">
        <f>IFERROR(__xludf.DUMMYFUNCTION("""COMPUTED_VALUE"""),"STADIUM LANCHES")</f>
        <v>STADIUM LANCHES</v>
      </c>
      <c r="L5908" s="32">
        <f>IFERROR(__xludf.DUMMYFUNCTION("""COMPUTED_VALUE"""),2.0)</f>
        <v>2</v>
      </c>
      <c r="M5908" s="4" t="str">
        <f>IFERROR(__xludf.DUMMYFUNCTION("""COMPUTED_VALUE"""),"Cardápio Web")</f>
        <v>Cardápio Web</v>
      </c>
      <c r="N5908" s="33">
        <f>IFERROR(__xludf.DUMMYFUNCTION("""COMPUTED_VALUE"""),0.5)</f>
        <v>0.5</v>
      </c>
      <c r="O5908" s="4" t="str">
        <f>IFERROR(__xludf.DUMMYFUNCTION("""COMPUTED_VALUE"""),"Cardápio Web")</f>
        <v>Cardápio Web</v>
      </c>
      <c r="P5908" s="33">
        <f>IFERROR(__xludf.DUMMYFUNCTION("""COMPUTED_VALUE"""),0.5)</f>
        <v>0.5</v>
      </c>
      <c r="Q5908" s="4" t="str">
        <f>IFERROR(__xludf.DUMMYFUNCTION("""COMPUTED_VALUE"""),"Cardápio Web")</f>
        <v>Cardápio Web</v>
      </c>
      <c r="R5908" s="33">
        <f>IFERROR(__xludf.DUMMYFUNCTION("""COMPUTED_VALUE"""),0.5)</f>
        <v>0.5</v>
      </c>
      <c r="S5908" s="4" t="str">
        <f>IFERROR(__xludf.DUMMYFUNCTION("""COMPUTED_VALUE"""),"Cardápio Web")</f>
        <v>Cardápio Web</v>
      </c>
      <c r="T5908" s="33">
        <f>IFERROR(__xludf.DUMMYFUNCTION("""COMPUTED_VALUE"""),0.5)</f>
        <v>0.5</v>
      </c>
      <c r="U5908" s="4" t="str">
        <f>IFERROR(__xludf.DUMMYFUNCTION("""COMPUTED_VALUE"""),"Cardápio Web")</f>
        <v>Cardápio Web</v>
      </c>
      <c r="V5908" s="33">
        <f>IFERROR(__xludf.DUMMYFUNCTION("""COMPUTED_VALUE"""),0.5)</f>
        <v>0.5</v>
      </c>
      <c r="W5908" s="4" t="str">
        <f>IFERROR(__xludf.DUMMYFUNCTION("""COMPUTED_VALUE"""),"Cardápio Web")</f>
        <v>Cardápio Web</v>
      </c>
      <c r="X5908" s="33">
        <f>IFERROR(__xludf.DUMMYFUNCTION("""COMPUTED_VALUE"""),0.5)</f>
        <v>0.5</v>
      </c>
    </row>
    <row r="5909">
      <c r="K5909" s="4" t="str">
        <f>IFERROR(__xludf.DUMMYFUNCTION("""COMPUTED_VALUE"""),"SALGADOS DO VOVO")</f>
        <v>SALGADOS DO VOVO</v>
      </c>
      <c r="L5909" s="32">
        <f>IFERROR(__xludf.DUMMYFUNCTION("""COMPUTED_VALUE"""),2.0)</f>
        <v>2</v>
      </c>
      <c r="M5909" s="4" t="str">
        <f>IFERROR(__xludf.DUMMYFUNCTION("""COMPUTED_VALUE"""),"Saipos Serviços De Software")</f>
        <v>Saipos Serviços De Software</v>
      </c>
      <c r="N5909" s="33">
        <f>IFERROR(__xludf.DUMMYFUNCTION("""COMPUTED_VALUE"""),0.5)</f>
        <v>0.5</v>
      </c>
      <c r="O5909" s="4" t="str">
        <f>IFERROR(__xludf.DUMMYFUNCTION("""COMPUTED_VALUE"""),"Saipos Serviços De Software")</f>
        <v>Saipos Serviços De Software</v>
      </c>
      <c r="P5909" s="33">
        <f>IFERROR(__xludf.DUMMYFUNCTION("""COMPUTED_VALUE"""),0.5)</f>
        <v>0.5</v>
      </c>
      <c r="Q5909" s="4" t="str">
        <f>IFERROR(__xludf.DUMMYFUNCTION("""COMPUTED_VALUE"""),"Saipos Serviços De Software")</f>
        <v>Saipos Serviços De Software</v>
      </c>
      <c r="R5909" s="33">
        <f>IFERROR(__xludf.DUMMYFUNCTION("""COMPUTED_VALUE"""),0.5)</f>
        <v>0.5</v>
      </c>
      <c r="S5909" s="4" t="str">
        <f>IFERROR(__xludf.DUMMYFUNCTION("""COMPUTED_VALUE"""),"Saipos Serviços De Software")</f>
        <v>Saipos Serviços De Software</v>
      </c>
      <c r="T5909" s="33">
        <f>IFERROR(__xludf.DUMMYFUNCTION("""COMPUTED_VALUE"""),0.5)</f>
        <v>0.5</v>
      </c>
      <c r="U5909" s="4" t="str">
        <f>IFERROR(__xludf.DUMMYFUNCTION("""COMPUTED_VALUE"""),"Saipos Serviços De Software")</f>
        <v>Saipos Serviços De Software</v>
      </c>
      <c r="V5909" s="33">
        <f>IFERROR(__xludf.DUMMYFUNCTION("""COMPUTED_VALUE"""),0.5)</f>
        <v>0.5</v>
      </c>
      <c r="W5909" s="4" t="str">
        <f>IFERROR(__xludf.DUMMYFUNCTION("""COMPUTED_VALUE"""),"Saipos Serviços De Software")</f>
        <v>Saipos Serviços De Software</v>
      </c>
      <c r="X5909" s="33">
        <f>IFERROR(__xludf.DUMMYFUNCTION("""COMPUTED_VALUE"""),0.5)</f>
        <v>0.5</v>
      </c>
    </row>
    <row r="5910">
      <c r="K5910" s="4" t="str">
        <f>IFERROR(__xludf.DUMMYFUNCTION("""COMPUTED_VALUE"""),"TORI SUSHI")</f>
        <v>TORI SUSHI</v>
      </c>
      <c r="L5910" s="32">
        <f>IFERROR(__xludf.DUMMYFUNCTION("""COMPUTED_VALUE"""),2.0)</f>
        <v>2</v>
      </c>
      <c r="M5910" s="4" t="str">
        <f>IFERROR(__xludf.DUMMYFUNCTION("""COMPUTED_VALUE"""),"Saipos Serviços De Software")</f>
        <v>Saipos Serviços De Software</v>
      </c>
      <c r="N5910" s="33">
        <f>IFERROR(__xludf.DUMMYFUNCTION("""COMPUTED_VALUE"""),1.0)</f>
        <v>1</v>
      </c>
      <c r="O5910" s="4" t="str">
        <f>IFERROR(__xludf.DUMMYFUNCTION("""COMPUTED_VALUE"""),"Saipos Serviços De Software")</f>
        <v>Saipos Serviços De Software</v>
      </c>
      <c r="P5910" s="33">
        <f>IFERROR(__xludf.DUMMYFUNCTION("""COMPUTED_VALUE"""),1.0)</f>
        <v>1</v>
      </c>
      <c r="Q5910" s="4" t="str">
        <f>IFERROR(__xludf.DUMMYFUNCTION("""COMPUTED_VALUE"""),"Saipos Serviços De Software")</f>
        <v>Saipos Serviços De Software</v>
      </c>
      <c r="R5910" s="33">
        <f>IFERROR(__xludf.DUMMYFUNCTION("""COMPUTED_VALUE"""),1.0)</f>
        <v>1</v>
      </c>
      <c r="S5910" s="4" t="str">
        <f>IFERROR(__xludf.DUMMYFUNCTION("""COMPUTED_VALUE"""),"null")</f>
        <v>null</v>
      </c>
      <c r="T5910" s="33">
        <f>IFERROR(__xludf.DUMMYFUNCTION("""COMPUTED_VALUE"""),0.5)</f>
        <v>0.5</v>
      </c>
      <c r="U5910" s="4" t="str">
        <f>IFERROR(__xludf.DUMMYFUNCTION("""COMPUTED_VALUE"""),"null")</f>
        <v>null</v>
      </c>
      <c r="V5910" s="33">
        <f>IFERROR(__xludf.DUMMYFUNCTION("""COMPUTED_VALUE"""),0.5)</f>
        <v>0.5</v>
      </c>
      <c r="W5910" s="4" t="str">
        <f>IFERROR(__xludf.DUMMYFUNCTION("""COMPUTED_VALUE"""),"null")</f>
        <v>null</v>
      </c>
      <c r="X5910" s="33">
        <f>IFERROR(__xludf.DUMMYFUNCTION("""COMPUTED_VALUE"""),0.5)</f>
        <v>0.5</v>
      </c>
    </row>
    <row r="5911">
      <c r="K5911" s="4" t="str">
        <f>IFERROR(__xludf.DUMMYFUNCTION("""COMPUTED_VALUE"""),"LELYS LANCHES")</f>
        <v>LELYS LANCHES</v>
      </c>
      <c r="L5911" s="32">
        <f>IFERROR(__xludf.DUMMYFUNCTION("""COMPUTED_VALUE"""),2.0)</f>
        <v>2</v>
      </c>
      <c r="M5911" s="4" t="str">
        <f>IFERROR(__xludf.DUMMYFUNCTION("""COMPUTED_VALUE"""),"Beefood - Sistema Para Restaurantes")</f>
        <v>Beefood - Sistema Para Restaurantes</v>
      </c>
      <c r="N5911" s="33">
        <f>IFERROR(__xludf.DUMMYFUNCTION("""COMPUTED_VALUE"""),0.6666666666666666)</f>
        <v>0.6666666667</v>
      </c>
      <c r="O5911" s="4" t="str">
        <f>IFERROR(__xludf.DUMMYFUNCTION("""COMPUTED_VALUE"""),"Beefood - Sistema Para Restaurantes")</f>
        <v>Beefood - Sistema Para Restaurantes</v>
      </c>
      <c r="P5911" s="33">
        <f>IFERROR(__xludf.DUMMYFUNCTION("""COMPUTED_VALUE"""),0.6666666666666666)</f>
        <v>0.6666666667</v>
      </c>
      <c r="Q5911" s="4" t="str">
        <f>IFERROR(__xludf.DUMMYFUNCTION("""COMPUTED_VALUE"""),"Beefood - Sistema Para Restaurantes")</f>
        <v>Beefood - Sistema Para Restaurantes</v>
      </c>
      <c r="R5911" s="33">
        <f>IFERROR(__xludf.DUMMYFUNCTION("""COMPUTED_VALUE"""),0.6666666666666666)</f>
        <v>0.6666666667</v>
      </c>
      <c r="S5911" s="4" t="str">
        <f>IFERROR(__xludf.DUMMYFUNCTION("""COMPUTED_VALUE"""),"Anota Ai Solucoes Digitais S/a")</f>
        <v>Anota Ai Solucoes Digitais S/a</v>
      </c>
      <c r="T5911" s="33">
        <f>IFERROR(__xludf.DUMMYFUNCTION("""COMPUTED_VALUE"""),1.0)</f>
        <v>1</v>
      </c>
      <c r="U5911" s="4" t="str">
        <f>IFERROR(__xludf.DUMMYFUNCTION("""COMPUTED_VALUE"""),"Anota Ai Solucoes Digitais S/a")</f>
        <v>Anota Ai Solucoes Digitais S/a</v>
      </c>
      <c r="V5911" s="33">
        <f>IFERROR(__xludf.DUMMYFUNCTION("""COMPUTED_VALUE"""),1.0)</f>
        <v>1</v>
      </c>
      <c r="W5911" s="4" t="str">
        <f>IFERROR(__xludf.DUMMYFUNCTION("""COMPUTED_VALUE"""),"Anota Ai Solucoes Digitais S/a")</f>
        <v>Anota Ai Solucoes Digitais S/a</v>
      </c>
      <c r="X5911" s="33">
        <f>IFERROR(__xludf.DUMMYFUNCTION("""COMPUTED_VALUE"""),1.0)</f>
        <v>1</v>
      </c>
    </row>
    <row r="5912">
      <c r="K5912" s="4" t="str">
        <f>IFERROR(__xludf.DUMMYFUNCTION("""COMPUTED_VALUE"""),"MESTRE DAS PIZZAS")</f>
        <v>MESTRE DAS PIZZAS</v>
      </c>
      <c r="L5912" s="32">
        <f>IFERROR(__xludf.DUMMYFUNCTION("""COMPUTED_VALUE"""),2.0)</f>
        <v>2</v>
      </c>
      <c r="M5912" s="4" t="str">
        <f>IFERROR(__xludf.DUMMYFUNCTION("""COMPUTED_VALUE"""),"Mp Multipedidos")</f>
        <v>Mp Multipedidos</v>
      </c>
      <c r="N5912" s="33">
        <f>IFERROR(__xludf.DUMMYFUNCTION("""COMPUTED_VALUE"""),0.5)</f>
        <v>0.5</v>
      </c>
      <c r="O5912" s="4" t="str">
        <f>IFERROR(__xludf.DUMMYFUNCTION("""COMPUTED_VALUE"""),"Mp Multipedidos")</f>
        <v>Mp Multipedidos</v>
      </c>
      <c r="P5912" s="33">
        <f>IFERROR(__xludf.DUMMYFUNCTION("""COMPUTED_VALUE"""),0.5)</f>
        <v>0.5</v>
      </c>
      <c r="Q5912" s="4" t="str">
        <f>IFERROR(__xludf.DUMMYFUNCTION("""COMPUTED_VALUE"""),"Mp Multipedidos")</f>
        <v>Mp Multipedidos</v>
      </c>
      <c r="R5912" s="33">
        <f>IFERROR(__xludf.DUMMYFUNCTION("""COMPUTED_VALUE"""),0.5)</f>
        <v>0.5</v>
      </c>
      <c r="S5912" s="4" t="str">
        <f>IFERROR(__xludf.DUMMYFUNCTION("""COMPUTED_VALUE"""),"Mp Multipedidos")</f>
        <v>Mp Multipedidos</v>
      </c>
      <c r="T5912" s="33">
        <f>IFERROR(__xludf.DUMMYFUNCTION("""COMPUTED_VALUE"""),0.5)</f>
        <v>0.5</v>
      </c>
      <c r="U5912" s="4" t="str">
        <f>IFERROR(__xludf.DUMMYFUNCTION("""COMPUTED_VALUE"""),"Mp Multipedidos")</f>
        <v>Mp Multipedidos</v>
      </c>
      <c r="V5912" s="33">
        <f>IFERROR(__xludf.DUMMYFUNCTION("""COMPUTED_VALUE"""),0.5)</f>
        <v>0.5</v>
      </c>
      <c r="W5912" s="4" t="str">
        <f>IFERROR(__xludf.DUMMYFUNCTION("""COMPUTED_VALUE"""),"Mp Multipedidos")</f>
        <v>Mp Multipedidos</v>
      </c>
      <c r="X5912" s="33">
        <f>IFERROR(__xludf.DUMMYFUNCTION("""COMPUTED_VALUE"""),0.5)</f>
        <v>0.5</v>
      </c>
    </row>
    <row r="5913">
      <c r="K5913" s="4" t="str">
        <f>IFERROR(__xludf.DUMMYFUNCTION("""COMPUTED_VALUE"""),"BACANAS")</f>
        <v>BACANAS</v>
      </c>
      <c r="L5913" s="32">
        <f>IFERROR(__xludf.DUMMYFUNCTION("""COMPUTED_VALUE"""),2.0)</f>
        <v>2</v>
      </c>
      <c r="M5913" s="4" t="str">
        <f>IFERROR(__xludf.DUMMYFUNCTION("""COMPUTED_VALUE"""),"Vuca Solution")</f>
        <v>Vuca Solution</v>
      </c>
      <c r="N5913" s="33">
        <f>IFERROR(__xludf.DUMMYFUNCTION("""COMPUTED_VALUE"""),0.5)</f>
        <v>0.5</v>
      </c>
      <c r="O5913" s="4" t="str">
        <f>IFERROR(__xludf.DUMMYFUNCTION("""COMPUTED_VALUE"""),"Vuca Solution")</f>
        <v>Vuca Solution</v>
      </c>
      <c r="P5913" s="33">
        <f>IFERROR(__xludf.DUMMYFUNCTION("""COMPUTED_VALUE"""),0.5)</f>
        <v>0.5</v>
      </c>
      <c r="Q5913" s="4" t="str">
        <f>IFERROR(__xludf.DUMMYFUNCTION("""COMPUTED_VALUE"""),"Vuca Solution")</f>
        <v>Vuca Solution</v>
      </c>
      <c r="R5913" s="33">
        <f>IFERROR(__xludf.DUMMYFUNCTION("""COMPUTED_VALUE"""),0.5)</f>
        <v>0.5</v>
      </c>
      <c r="S5913" s="4" t="str">
        <f>IFERROR(__xludf.DUMMYFUNCTION("""COMPUTED_VALUE"""),"Vuca Solution")</f>
        <v>Vuca Solution</v>
      </c>
      <c r="T5913" s="33">
        <f>IFERROR(__xludf.DUMMYFUNCTION("""COMPUTED_VALUE"""),0.5)</f>
        <v>0.5</v>
      </c>
      <c r="U5913" s="4" t="str">
        <f>IFERROR(__xludf.DUMMYFUNCTION("""COMPUTED_VALUE"""),"Vuca Solution")</f>
        <v>Vuca Solution</v>
      </c>
      <c r="V5913" s="33">
        <f>IFERROR(__xludf.DUMMYFUNCTION("""COMPUTED_VALUE"""),0.5)</f>
        <v>0.5</v>
      </c>
      <c r="W5913" s="4" t="str">
        <f>IFERROR(__xludf.DUMMYFUNCTION("""COMPUTED_VALUE"""),"Vuca Solution")</f>
        <v>Vuca Solution</v>
      </c>
      <c r="X5913" s="33">
        <f>IFERROR(__xludf.DUMMYFUNCTION("""COMPUTED_VALUE"""),0.5)</f>
        <v>0.5</v>
      </c>
    </row>
    <row r="5914">
      <c r="K5914" s="4" t="str">
        <f>IFERROR(__xludf.DUMMYFUNCTION("""COMPUTED_VALUE"""),"RN PIZZARIA E LANCHONETE")</f>
        <v>RN PIZZARIA E LANCHONETE</v>
      </c>
      <c r="L5914" s="32">
        <f>IFERROR(__xludf.DUMMYFUNCTION("""COMPUTED_VALUE"""),2.0)</f>
        <v>2</v>
      </c>
      <c r="M5914" s="4" t="str">
        <f>IFERROR(__xludf.DUMMYFUNCTION("""COMPUTED_VALUE"""),"null")</f>
        <v>null</v>
      </c>
      <c r="N5914" s="33">
        <f>IFERROR(__xludf.DUMMYFUNCTION("""COMPUTED_VALUE"""),1.0)</f>
        <v>1</v>
      </c>
      <c r="O5914" s="4" t="str">
        <f>IFERROR(__xludf.DUMMYFUNCTION("""COMPUTED_VALUE"""),"null")</f>
        <v>null</v>
      </c>
      <c r="P5914" s="33">
        <f>IFERROR(__xludf.DUMMYFUNCTION("""COMPUTED_VALUE"""),0.5)</f>
        <v>0.5</v>
      </c>
      <c r="Q5914" s="4" t="str">
        <f>IFERROR(__xludf.DUMMYFUNCTION("""COMPUTED_VALUE"""),"Anota Ai Solucoes Digitais S/a")</f>
        <v>Anota Ai Solucoes Digitais S/a</v>
      </c>
      <c r="R5914" s="33">
        <f>IFERROR(__xludf.DUMMYFUNCTION("""COMPUTED_VALUE"""),0.5)</f>
        <v>0.5</v>
      </c>
      <c r="S5914" s="4" t="str">
        <f>IFERROR(__xludf.DUMMYFUNCTION("""COMPUTED_VALUE"""),"null")</f>
        <v>null</v>
      </c>
      <c r="T5914" s="33">
        <f>IFERROR(__xludf.DUMMYFUNCTION("""COMPUTED_VALUE"""),1.0)</f>
        <v>1</v>
      </c>
      <c r="U5914" s="4" t="str">
        <f>IFERROR(__xludf.DUMMYFUNCTION("""COMPUTED_VALUE"""),"null")</f>
        <v>null</v>
      </c>
      <c r="V5914" s="33">
        <f>IFERROR(__xludf.DUMMYFUNCTION("""COMPUTED_VALUE"""),1.0)</f>
        <v>1</v>
      </c>
      <c r="W5914" s="4" t="str">
        <f>IFERROR(__xludf.DUMMYFUNCTION("""COMPUTED_VALUE"""),"null")</f>
        <v>null</v>
      </c>
      <c r="X5914" s="33">
        <f>IFERROR(__xludf.DUMMYFUNCTION("""COMPUTED_VALUE"""),1.0)</f>
        <v>1</v>
      </c>
    </row>
    <row r="5915">
      <c r="K5915" s="4" t="str">
        <f>IFERROR(__xludf.DUMMYFUNCTION("""COMPUTED_VALUE"""),"LANCHE DO MARCAO")</f>
        <v>LANCHE DO MARCAO</v>
      </c>
      <c r="L5915" s="32">
        <f>IFERROR(__xludf.DUMMYFUNCTION("""COMPUTED_VALUE"""),2.0)</f>
        <v>2</v>
      </c>
      <c r="M5915" s="4" t="str">
        <f>IFERROR(__xludf.DUMMYFUNCTION("""COMPUTED_VALUE"""),"Consumer Soluções Em Tecnologia Ltda")</f>
        <v>Consumer Soluções Em Tecnologia Ltda</v>
      </c>
      <c r="N5915" s="33">
        <f>IFERROR(__xludf.DUMMYFUNCTION("""COMPUTED_VALUE"""),0.5)</f>
        <v>0.5</v>
      </c>
      <c r="O5915" s="4" t="str">
        <f>IFERROR(__xludf.DUMMYFUNCTION("""COMPUTED_VALUE"""),"Consumer Soluções Em Tecnologia Ltda")</f>
        <v>Consumer Soluções Em Tecnologia Ltda</v>
      </c>
      <c r="P5915" s="33">
        <f>IFERROR(__xludf.DUMMYFUNCTION("""COMPUTED_VALUE"""),0.5)</f>
        <v>0.5</v>
      </c>
      <c r="Q5915" s="4" t="str">
        <f>IFERROR(__xludf.DUMMYFUNCTION("""COMPUTED_VALUE"""),"null")</f>
        <v>null</v>
      </c>
      <c r="R5915" s="33">
        <f>IFERROR(__xludf.DUMMYFUNCTION("""COMPUTED_VALUE"""),0.5)</f>
        <v>0.5</v>
      </c>
      <c r="S5915" s="4" t="str">
        <f>IFERROR(__xludf.DUMMYFUNCTION("""COMPUTED_VALUE"""),"Consumer Soluções Em Tecnologia Ltda")</f>
        <v>Consumer Soluções Em Tecnologia Ltda</v>
      </c>
      <c r="T5915" s="33">
        <f>IFERROR(__xludf.DUMMYFUNCTION("""COMPUTED_VALUE"""),0.5)</f>
        <v>0.5</v>
      </c>
      <c r="U5915" s="4" t="str">
        <f>IFERROR(__xludf.DUMMYFUNCTION("""COMPUTED_VALUE"""),"null")</f>
        <v>null</v>
      </c>
      <c r="V5915" s="33">
        <f>IFERROR(__xludf.DUMMYFUNCTION("""COMPUTED_VALUE"""),0.5)</f>
        <v>0.5</v>
      </c>
      <c r="W5915" s="4" t="str">
        <f>IFERROR(__xludf.DUMMYFUNCTION("""COMPUTED_VALUE"""),"null")</f>
        <v>null</v>
      </c>
      <c r="X5915" s="33">
        <f>IFERROR(__xludf.DUMMYFUNCTION("""COMPUTED_VALUE"""),1.0)</f>
        <v>1</v>
      </c>
    </row>
    <row r="5916">
      <c r="K5916" s="4" t="str">
        <f>IFERROR(__xludf.DUMMYFUNCTION("""COMPUTED_VALUE"""),"ASSIM ASSADO")</f>
        <v>ASSIM ASSADO</v>
      </c>
      <c r="L5916" s="32">
        <f>IFERROR(__xludf.DUMMYFUNCTION("""COMPUTED_VALUE"""),2.0)</f>
        <v>2</v>
      </c>
      <c r="M5916" s="4" t="str">
        <f>IFERROR(__xludf.DUMMYFUNCTION("""COMPUTED_VALUE"""),"null")</f>
        <v>null</v>
      </c>
      <c r="N5916" s="33">
        <f>IFERROR(__xludf.DUMMYFUNCTION("""COMPUTED_VALUE"""),0.5)</f>
        <v>0.5</v>
      </c>
      <c r="O5916" s="4" t="str">
        <f>IFERROR(__xludf.DUMMYFUNCTION("""COMPUTED_VALUE"""),"null")</f>
        <v>null</v>
      </c>
      <c r="P5916" s="33">
        <f>IFERROR(__xludf.DUMMYFUNCTION("""COMPUTED_VALUE"""),0.5)</f>
        <v>0.5</v>
      </c>
      <c r="Q5916" s="4" t="str">
        <f>IFERROR(__xludf.DUMMYFUNCTION("""COMPUTED_VALUE"""),"Brendi")</f>
        <v>Brendi</v>
      </c>
      <c r="R5916" s="33">
        <f>IFERROR(__xludf.DUMMYFUNCTION("""COMPUTED_VALUE"""),0.5)</f>
        <v>0.5</v>
      </c>
      <c r="S5916" s="4" t="str">
        <f>IFERROR(__xludf.DUMMYFUNCTION("""COMPUTED_VALUE"""),"Brendi")</f>
        <v>Brendi</v>
      </c>
      <c r="T5916" s="33">
        <f>IFERROR(__xludf.DUMMYFUNCTION("""COMPUTED_VALUE"""),0.5)</f>
        <v>0.5</v>
      </c>
      <c r="U5916" s="4" t="str">
        <f>IFERROR(__xludf.DUMMYFUNCTION("""COMPUTED_VALUE"""),"Brendi")</f>
        <v>Brendi</v>
      </c>
      <c r="V5916" s="33">
        <f>IFERROR(__xludf.DUMMYFUNCTION("""COMPUTED_VALUE"""),0.5)</f>
        <v>0.5</v>
      </c>
      <c r="W5916" s="4" t="str">
        <f>IFERROR(__xludf.DUMMYFUNCTION("""COMPUTED_VALUE"""),"Brendi")</f>
        <v>Brendi</v>
      </c>
      <c r="X5916" s="33">
        <f>IFERROR(__xludf.DUMMYFUNCTION("""COMPUTED_VALUE"""),0.5)</f>
        <v>0.5</v>
      </c>
    </row>
    <row r="5917">
      <c r="K5917" s="4" t="str">
        <f>IFERROR(__xludf.DUMMYFUNCTION("""COMPUTED_VALUE"""),"FORNADA PIZZARIA")</f>
        <v>FORNADA PIZZARIA</v>
      </c>
      <c r="L5917" s="32">
        <f>IFERROR(__xludf.DUMMYFUNCTION("""COMPUTED_VALUE"""),2.0)</f>
        <v>2</v>
      </c>
      <c r="M5917" s="4" t="str">
        <f>IFERROR(__xludf.DUMMYFUNCTION("""COMPUTED_VALUE"""),"Vekttor")</f>
        <v>Vekttor</v>
      </c>
      <c r="N5917" s="33">
        <f>IFERROR(__xludf.DUMMYFUNCTION("""COMPUTED_VALUE"""),0.5)</f>
        <v>0.5</v>
      </c>
      <c r="O5917" s="4" t="str">
        <f>IFERROR(__xludf.DUMMYFUNCTION("""COMPUTED_VALUE"""),"Vekttor")</f>
        <v>Vekttor</v>
      </c>
      <c r="P5917" s="33">
        <f>IFERROR(__xludf.DUMMYFUNCTION("""COMPUTED_VALUE"""),0.5)</f>
        <v>0.5</v>
      </c>
      <c r="Q5917" s="4" t="str">
        <f>IFERROR(__xludf.DUMMYFUNCTION("""COMPUTED_VALUE"""),"Vekttor")</f>
        <v>Vekttor</v>
      </c>
      <c r="R5917" s="33">
        <f>IFERROR(__xludf.DUMMYFUNCTION("""COMPUTED_VALUE"""),0.5)</f>
        <v>0.5</v>
      </c>
      <c r="S5917" s="4" t="str">
        <f>IFERROR(__xludf.DUMMYFUNCTION("""COMPUTED_VALUE"""),"Vekttor")</f>
        <v>Vekttor</v>
      </c>
      <c r="T5917" s="33">
        <f>IFERROR(__xludf.DUMMYFUNCTION("""COMPUTED_VALUE"""),0.5)</f>
        <v>0.5</v>
      </c>
      <c r="U5917" s="4" t="str">
        <f>IFERROR(__xludf.DUMMYFUNCTION("""COMPUTED_VALUE"""),"Vekttor")</f>
        <v>Vekttor</v>
      </c>
      <c r="V5917" s="33">
        <f>IFERROR(__xludf.DUMMYFUNCTION("""COMPUTED_VALUE"""),0.5)</f>
        <v>0.5</v>
      </c>
      <c r="W5917" s="4" t="str">
        <f>IFERROR(__xludf.DUMMYFUNCTION("""COMPUTED_VALUE"""),"Vekttor")</f>
        <v>Vekttor</v>
      </c>
      <c r="X5917" s="33">
        <f>IFERROR(__xludf.DUMMYFUNCTION("""COMPUTED_VALUE"""),0.5)</f>
        <v>0.5</v>
      </c>
    </row>
    <row r="5918">
      <c r="K5918" s="4" t="str">
        <f>IFERROR(__xludf.DUMMYFUNCTION("""COMPUTED_VALUE"""),"POP LANCHES")</f>
        <v>POP LANCHES</v>
      </c>
      <c r="L5918" s="32">
        <f>IFERROR(__xludf.DUMMYFUNCTION("""COMPUTED_VALUE"""),2.0)</f>
        <v>2</v>
      </c>
      <c r="M5918" s="4" t="str">
        <f>IFERROR(__xludf.DUMMYFUNCTION("""COMPUTED_VALUE"""),"Brendi")</f>
        <v>Brendi</v>
      </c>
      <c r="N5918" s="33">
        <f>IFERROR(__xludf.DUMMYFUNCTION("""COMPUTED_VALUE"""),0.5)</f>
        <v>0.5</v>
      </c>
      <c r="O5918" s="4" t="str">
        <f>IFERROR(__xludf.DUMMYFUNCTION("""COMPUTED_VALUE"""),"Brendi")</f>
        <v>Brendi</v>
      </c>
      <c r="P5918" s="33">
        <f>IFERROR(__xludf.DUMMYFUNCTION("""COMPUTED_VALUE"""),0.5)</f>
        <v>0.5</v>
      </c>
      <c r="Q5918" s="4" t="str">
        <f>IFERROR(__xludf.DUMMYFUNCTION("""COMPUTED_VALUE"""),"Brendi")</f>
        <v>Brendi</v>
      </c>
      <c r="R5918" s="33">
        <f>IFERROR(__xludf.DUMMYFUNCTION("""COMPUTED_VALUE"""),0.5)</f>
        <v>0.5</v>
      </c>
      <c r="S5918" s="4" t="str">
        <f>IFERROR(__xludf.DUMMYFUNCTION("""COMPUTED_VALUE"""),"Brendi")</f>
        <v>Brendi</v>
      </c>
      <c r="T5918" s="33">
        <f>IFERROR(__xludf.DUMMYFUNCTION("""COMPUTED_VALUE"""),0.5)</f>
        <v>0.5</v>
      </c>
      <c r="U5918" s="4" t="str">
        <f>IFERROR(__xludf.DUMMYFUNCTION("""COMPUTED_VALUE"""),"Brendi")</f>
        <v>Brendi</v>
      </c>
      <c r="V5918" s="33">
        <f>IFERROR(__xludf.DUMMYFUNCTION("""COMPUTED_VALUE"""),0.5)</f>
        <v>0.5</v>
      </c>
      <c r="W5918" s="4" t="str">
        <f>IFERROR(__xludf.DUMMYFUNCTION("""COMPUTED_VALUE"""),"Brendi")</f>
        <v>Brendi</v>
      </c>
      <c r="X5918" s="33">
        <f>IFERROR(__xludf.DUMMYFUNCTION("""COMPUTED_VALUE"""),0.5)</f>
        <v>0.5</v>
      </c>
    </row>
    <row r="5919">
      <c r="K5919" s="4" t="str">
        <f>IFERROR(__xludf.DUMMYFUNCTION("""COMPUTED_VALUE"""),"SERTAO BURGUER")</f>
        <v>SERTAO BURGUER</v>
      </c>
      <c r="L5919" s="32">
        <f>IFERROR(__xludf.DUMMYFUNCTION("""COMPUTED_VALUE"""),2.0)</f>
        <v>2</v>
      </c>
      <c r="M5919" s="4" t="str">
        <f>IFERROR(__xludf.DUMMYFUNCTION("""COMPUTED_VALUE"""),"null")</f>
        <v>null</v>
      </c>
      <c r="N5919" s="33">
        <f>IFERROR(__xludf.DUMMYFUNCTION("""COMPUTED_VALUE"""),0.5)</f>
        <v>0.5</v>
      </c>
      <c r="O5919" s="4" t="str">
        <f>IFERROR(__xludf.DUMMYFUNCTION("""COMPUTED_VALUE"""),"null")</f>
        <v>null</v>
      </c>
      <c r="P5919" s="33">
        <f>IFERROR(__xludf.DUMMYFUNCTION("""COMPUTED_VALUE"""),0.5)</f>
        <v>0.5</v>
      </c>
      <c r="Q5919" s="4" t="str">
        <f>IFERROR(__xludf.DUMMYFUNCTION("""COMPUTED_VALUE"""),"null")</f>
        <v>null</v>
      </c>
      <c r="R5919" s="33">
        <f>IFERROR(__xludf.DUMMYFUNCTION("""COMPUTED_VALUE"""),0.5)</f>
        <v>0.5</v>
      </c>
      <c r="S5919" s="4" t="str">
        <f>IFERROR(__xludf.DUMMYFUNCTION("""COMPUTED_VALUE"""),"null")</f>
        <v>null</v>
      </c>
      <c r="T5919" s="33">
        <f>IFERROR(__xludf.DUMMYFUNCTION("""COMPUTED_VALUE"""),0.5)</f>
        <v>0.5</v>
      </c>
      <c r="U5919" s="4" t="str">
        <f>IFERROR(__xludf.DUMMYFUNCTION("""COMPUTED_VALUE"""),"null")</f>
        <v>null</v>
      </c>
      <c r="V5919" s="33">
        <f>IFERROR(__xludf.DUMMYFUNCTION("""COMPUTED_VALUE"""),0.5)</f>
        <v>0.5</v>
      </c>
      <c r="W5919" s="4" t="str">
        <f>IFERROR(__xludf.DUMMYFUNCTION("""COMPUTED_VALUE"""),"Brendi")</f>
        <v>Brendi</v>
      </c>
      <c r="X5919" s="33">
        <f>IFERROR(__xludf.DUMMYFUNCTION("""COMPUTED_VALUE"""),0.5)</f>
        <v>0.5</v>
      </c>
    </row>
    <row r="5920">
      <c r="K5920" s="4" t="str">
        <f>IFERROR(__xludf.DUMMYFUNCTION("""COMPUTED_VALUE"""),"PIZZARIA LUIGIS")</f>
        <v>PIZZARIA LUIGIS</v>
      </c>
      <c r="L5920" s="32">
        <f>IFERROR(__xludf.DUMMYFUNCTION("""COMPUTED_VALUE"""),2.0)</f>
        <v>2</v>
      </c>
      <c r="M5920" s="4" t="str">
        <f>IFERROR(__xludf.DUMMYFUNCTION("""COMPUTED_VALUE"""),"Cardápio Web")</f>
        <v>Cardápio Web</v>
      </c>
      <c r="N5920" s="33">
        <f>IFERROR(__xludf.DUMMYFUNCTION("""COMPUTED_VALUE"""),0.5)</f>
        <v>0.5</v>
      </c>
      <c r="O5920" s="4" t="str">
        <f>IFERROR(__xludf.DUMMYFUNCTION("""COMPUTED_VALUE"""),"Cardápio Web")</f>
        <v>Cardápio Web</v>
      </c>
      <c r="P5920" s="33">
        <f>IFERROR(__xludf.DUMMYFUNCTION("""COMPUTED_VALUE"""),0.5)</f>
        <v>0.5</v>
      </c>
      <c r="Q5920" s="4" t="str">
        <f>IFERROR(__xludf.DUMMYFUNCTION("""COMPUTED_VALUE"""),"Cardápio Web")</f>
        <v>Cardápio Web</v>
      </c>
      <c r="R5920" s="33">
        <f>IFERROR(__xludf.DUMMYFUNCTION("""COMPUTED_VALUE"""),0.5)</f>
        <v>0.5</v>
      </c>
      <c r="S5920" s="4" t="str">
        <f>IFERROR(__xludf.DUMMYFUNCTION("""COMPUTED_VALUE"""),"Cardápio Web")</f>
        <v>Cardápio Web</v>
      </c>
      <c r="T5920" s="33">
        <f>IFERROR(__xludf.DUMMYFUNCTION("""COMPUTED_VALUE"""),0.5)</f>
        <v>0.5</v>
      </c>
      <c r="U5920" s="4" t="str">
        <f>IFERROR(__xludf.DUMMYFUNCTION("""COMPUTED_VALUE"""),"Cardápio Web")</f>
        <v>Cardápio Web</v>
      </c>
      <c r="V5920" s="33">
        <f>IFERROR(__xludf.DUMMYFUNCTION("""COMPUTED_VALUE"""),0.5)</f>
        <v>0.5</v>
      </c>
      <c r="W5920" s="4" t="str">
        <f>IFERROR(__xludf.DUMMYFUNCTION("""COMPUTED_VALUE"""),"Cardápio Web")</f>
        <v>Cardápio Web</v>
      </c>
      <c r="X5920" s="33">
        <f>IFERROR(__xludf.DUMMYFUNCTION("""COMPUTED_VALUE"""),0.5)</f>
        <v>0.5</v>
      </c>
    </row>
    <row r="5921">
      <c r="K5921" s="4" t="str">
        <f>IFERROR(__xludf.DUMMYFUNCTION("""COMPUTED_VALUE"""),"BDI BAH BURGER")</f>
        <v>BDI BAH BURGER</v>
      </c>
      <c r="L5921" s="32">
        <f>IFERROR(__xludf.DUMMYFUNCTION("""COMPUTED_VALUE"""),2.0)</f>
        <v>2</v>
      </c>
      <c r="M5921" s="4" t="str">
        <f>IFERROR(__xludf.DUMMYFUNCTION("""COMPUTED_VALUE"""),"Consumer Soluções Em Tecnologia Ltda")</f>
        <v>Consumer Soluções Em Tecnologia Ltda</v>
      </c>
      <c r="N5921" s="33">
        <f>IFERROR(__xludf.DUMMYFUNCTION("""COMPUTED_VALUE"""),1.0)</f>
        <v>1</v>
      </c>
      <c r="O5921" s="4" t="str">
        <f>IFERROR(__xludf.DUMMYFUNCTION("""COMPUTED_VALUE"""),"Consumer Soluções Em Tecnologia Ltda")</f>
        <v>Consumer Soluções Em Tecnologia Ltda</v>
      </c>
      <c r="P5921" s="33">
        <f>IFERROR(__xludf.DUMMYFUNCTION("""COMPUTED_VALUE"""),0.5)</f>
        <v>0.5</v>
      </c>
      <c r="Q5921" s="4" t="str">
        <f>IFERROR(__xludf.DUMMYFUNCTION("""COMPUTED_VALUE"""),"Consumer Soluções Em Tecnologia Ltda")</f>
        <v>Consumer Soluções Em Tecnologia Ltda</v>
      </c>
      <c r="R5921" s="33">
        <f>IFERROR(__xludf.DUMMYFUNCTION("""COMPUTED_VALUE"""),0.5)</f>
        <v>0.5</v>
      </c>
      <c r="S5921" s="4" t="str">
        <f>IFERROR(__xludf.DUMMYFUNCTION("""COMPUTED_VALUE"""),"null")</f>
        <v>null</v>
      </c>
      <c r="T5921" s="33">
        <f>IFERROR(__xludf.DUMMYFUNCTION("""COMPUTED_VALUE"""),1.0)</f>
        <v>1</v>
      </c>
      <c r="U5921" s="4" t="str">
        <f>IFERROR(__xludf.DUMMYFUNCTION("""COMPUTED_VALUE"""),"Consumer Soluções Em Tecnologia Ltda")</f>
        <v>Consumer Soluções Em Tecnologia Ltda</v>
      </c>
      <c r="V5921" s="33">
        <f>IFERROR(__xludf.DUMMYFUNCTION("""COMPUTED_VALUE"""),0.5)</f>
        <v>0.5</v>
      </c>
      <c r="W5921" s="4" t="str">
        <f>IFERROR(__xludf.DUMMYFUNCTION("""COMPUTED_VALUE"""),"Consumer Soluções Em Tecnologia Ltda")</f>
        <v>Consumer Soluções Em Tecnologia Ltda</v>
      </c>
      <c r="X5921" s="33">
        <f>IFERROR(__xludf.DUMMYFUNCTION("""COMPUTED_VALUE"""),0.5)</f>
        <v>0.5</v>
      </c>
    </row>
    <row r="5922">
      <c r="K5922" s="4" t="str">
        <f>IFERROR(__xludf.DUMMYFUNCTION("""COMPUTED_VALUE"""),"TEXANO HAMBURGUERIA")</f>
        <v>TEXANO HAMBURGUERIA</v>
      </c>
      <c r="L5922" s="32">
        <f>IFERROR(__xludf.DUMMYFUNCTION("""COMPUTED_VALUE"""),2.0)</f>
        <v>2</v>
      </c>
      <c r="M5922" s="4" t="str">
        <f>IFERROR(__xludf.DUMMYFUNCTION("""COMPUTED_VALUE"""),"null")</f>
        <v>null</v>
      </c>
      <c r="N5922" s="33">
        <f>IFERROR(__xludf.DUMMYFUNCTION("""COMPUTED_VALUE"""),0.5)</f>
        <v>0.5</v>
      </c>
      <c r="O5922" s="4" t="str">
        <f>IFERROR(__xludf.DUMMYFUNCTION("""COMPUTED_VALUE"""),"null")</f>
        <v>null</v>
      </c>
      <c r="P5922" s="33">
        <f>IFERROR(__xludf.DUMMYFUNCTION("""COMPUTED_VALUE"""),0.5)</f>
        <v>0.5</v>
      </c>
      <c r="Q5922" s="4" t="str">
        <f>IFERROR(__xludf.DUMMYFUNCTION("""COMPUTED_VALUE"""),"null")</f>
        <v>null</v>
      </c>
      <c r="R5922" s="33">
        <f>IFERROR(__xludf.DUMMYFUNCTION("""COMPUTED_VALUE"""),0.5)</f>
        <v>0.5</v>
      </c>
      <c r="S5922" s="4" t="str">
        <f>IFERROR(__xludf.DUMMYFUNCTION("""COMPUTED_VALUE"""),"null")</f>
        <v>null</v>
      </c>
      <c r="T5922" s="33">
        <f>IFERROR(__xludf.DUMMYFUNCTION("""COMPUTED_VALUE"""),0.5)</f>
        <v>0.5</v>
      </c>
      <c r="U5922" s="4" t="str">
        <f>IFERROR(__xludf.DUMMYFUNCTION("""COMPUTED_VALUE"""),"Cardápio Web")</f>
        <v>Cardápio Web</v>
      </c>
      <c r="V5922" s="33">
        <f>IFERROR(__xludf.DUMMYFUNCTION("""COMPUTED_VALUE"""),1.0)</f>
        <v>1</v>
      </c>
      <c r="W5922" s="4" t="str">
        <f>IFERROR(__xludf.DUMMYFUNCTION("""COMPUTED_VALUE"""),"Cardápio Web")</f>
        <v>Cardápio Web</v>
      </c>
      <c r="X5922" s="33">
        <f>IFERROR(__xludf.DUMMYFUNCTION("""COMPUTED_VALUE"""),1.0)</f>
        <v>1</v>
      </c>
    </row>
    <row r="5923">
      <c r="K5923" s="4" t="str">
        <f>IFERROR(__xludf.DUMMYFUNCTION("""COMPUTED_VALUE"""),"REDE INOVA DROGARIAS")</f>
        <v>REDE INOVA DROGARIAS</v>
      </c>
      <c r="L5923" s="32">
        <f>IFERROR(__xludf.DUMMYFUNCTION("""COMPUTED_VALUE"""),2.0)</f>
        <v>2</v>
      </c>
      <c r="M5923" s="4" t="str">
        <f>IFERROR(__xludf.DUMMYFUNCTION("""COMPUTED_VALUE"""),"null")</f>
        <v>null</v>
      </c>
      <c r="N5923" s="33">
        <f>IFERROR(__xludf.DUMMYFUNCTION("""COMPUTED_VALUE"""),0.5)</f>
        <v>0.5</v>
      </c>
      <c r="O5923" s="4" t="str">
        <f>IFERROR(__xludf.DUMMYFUNCTION("""COMPUTED_VALUE"""),"null")</f>
        <v>null</v>
      </c>
      <c r="P5923" s="33">
        <f>IFERROR(__xludf.DUMMYFUNCTION("""COMPUTED_VALUE"""),0.5)</f>
        <v>0.5</v>
      </c>
      <c r="Q5923" s="4" t="str">
        <f>IFERROR(__xludf.DUMMYFUNCTION("""COMPUTED_VALUE"""),"null")</f>
        <v>null</v>
      </c>
      <c r="R5923" s="33">
        <f>IFERROR(__xludf.DUMMYFUNCTION("""COMPUTED_VALUE"""),0.5)</f>
        <v>0.5</v>
      </c>
      <c r="S5923" s="4" t="str">
        <f>IFERROR(__xludf.DUMMYFUNCTION("""COMPUTED_VALUE"""),"null")</f>
        <v>null</v>
      </c>
      <c r="T5923" s="33">
        <f>IFERROR(__xludf.DUMMYFUNCTION("""COMPUTED_VALUE"""),0.5)</f>
        <v>0.5</v>
      </c>
      <c r="U5923" s="4" t="str">
        <f>IFERROR(__xludf.DUMMYFUNCTION("""COMPUTED_VALUE"""),"N/A (Not found)")</f>
        <v>N/A (Not found)</v>
      </c>
      <c r="V5923" s="33">
        <f>IFERROR(__xludf.DUMMYFUNCTION("""COMPUTED_VALUE"""),1.0)</f>
        <v>1</v>
      </c>
      <c r="W5923" s="4" t="str">
        <f>IFERROR(__xludf.DUMMYFUNCTION("""COMPUTED_VALUE"""),"null")</f>
        <v>null</v>
      </c>
      <c r="X5923" s="33">
        <f>IFERROR(__xludf.DUMMYFUNCTION("""COMPUTED_VALUE"""),0.5)</f>
        <v>0.5</v>
      </c>
    </row>
    <row r="5924">
      <c r="K5924" s="4" t="str">
        <f>IFERROR(__xludf.DUMMYFUNCTION("""COMPUTED_VALUE"""),"ACAITERIA ESTACAO CARIRI")</f>
        <v>ACAITERIA ESTACAO CARIRI</v>
      </c>
      <c r="L5924" s="32">
        <f>IFERROR(__xludf.DUMMYFUNCTION("""COMPUTED_VALUE"""),2.0)</f>
        <v>2</v>
      </c>
      <c r="M5924" s="4" t="str">
        <f>IFERROR(__xludf.DUMMYFUNCTION("""COMPUTED_VALUE"""),"null")</f>
        <v>null</v>
      </c>
      <c r="N5924" s="33">
        <f>IFERROR(__xludf.DUMMYFUNCTION("""COMPUTED_VALUE"""),0.5)</f>
        <v>0.5</v>
      </c>
      <c r="O5924" s="4" t="str">
        <f>IFERROR(__xludf.DUMMYFUNCTION("""COMPUTED_VALUE"""),"null")</f>
        <v>null</v>
      </c>
      <c r="P5924" s="33">
        <f>IFERROR(__xludf.DUMMYFUNCTION("""COMPUTED_VALUE"""),1.0)</f>
        <v>1</v>
      </c>
      <c r="Q5924" s="4" t="str">
        <f>IFERROR(__xludf.DUMMYFUNCTION("""COMPUTED_VALUE"""),"null")</f>
        <v>null</v>
      </c>
      <c r="R5924" s="33">
        <f>IFERROR(__xludf.DUMMYFUNCTION("""COMPUTED_VALUE"""),1.0)</f>
        <v>1</v>
      </c>
      <c r="S5924" s="4" t="str">
        <f>IFERROR(__xludf.DUMMYFUNCTION("""COMPUTED_VALUE"""),"null")</f>
        <v>null</v>
      </c>
      <c r="T5924" s="33">
        <f>IFERROR(__xludf.DUMMYFUNCTION("""COMPUTED_VALUE"""),1.0)</f>
        <v>1</v>
      </c>
      <c r="U5924" s="4" t="str">
        <f>IFERROR(__xludf.DUMMYFUNCTION("""COMPUTED_VALUE"""),"null")</f>
        <v>null</v>
      </c>
      <c r="V5924" s="33">
        <f>IFERROR(__xludf.DUMMYFUNCTION("""COMPUTED_VALUE"""),0.5)</f>
        <v>0.5</v>
      </c>
      <c r="W5924" s="4" t="str">
        <f>IFERROR(__xludf.DUMMYFUNCTION("""COMPUTED_VALUE"""),"Saipos Serviços De Software")</f>
        <v>Saipos Serviços De Software</v>
      </c>
      <c r="X5924" s="33">
        <f>IFERROR(__xludf.DUMMYFUNCTION("""COMPUTED_VALUE"""),1.0)</f>
        <v>1</v>
      </c>
    </row>
    <row r="5925">
      <c r="K5925" s="4" t="str">
        <f>IFERROR(__xludf.DUMMYFUNCTION("""COMPUTED_VALUE"""),"FLOW ACAI")</f>
        <v>FLOW ACAI</v>
      </c>
      <c r="L5925" s="32">
        <f>IFERROR(__xludf.DUMMYFUNCTION("""COMPUTED_VALUE"""),2.0)</f>
        <v>2</v>
      </c>
      <c r="M5925" s="4" t="str">
        <f>IFERROR(__xludf.DUMMYFUNCTION("""COMPUTED_VALUE"""),"null")</f>
        <v>null</v>
      </c>
      <c r="N5925" s="33">
        <f>IFERROR(__xludf.DUMMYFUNCTION("""COMPUTED_VALUE"""),1.0)</f>
        <v>1</v>
      </c>
      <c r="O5925" s="4" t="str">
        <f>IFERROR(__xludf.DUMMYFUNCTION("""COMPUTED_VALUE"""),"null")</f>
        <v>null</v>
      </c>
      <c r="P5925" s="33">
        <f>IFERROR(__xludf.DUMMYFUNCTION("""COMPUTED_VALUE"""),1.0)</f>
        <v>1</v>
      </c>
      <c r="Q5925" s="4" t="str">
        <f>IFERROR(__xludf.DUMMYFUNCTION("""COMPUTED_VALUE"""),"null")</f>
        <v>null</v>
      </c>
      <c r="R5925" s="33">
        <f>IFERROR(__xludf.DUMMYFUNCTION("""COMPUTED_VALUE"""),1.0)</f>
        <v>1</v>
      </c>
      <c r="S5925" s="4" t="str">
        <f>IFERROR(__xludf.DUMMYFUNCTION("""COMPUTED_VALUE"""),"Cardápio Web")</f>
        <v>Cardápio Web</v>
      </c>
      <c r="T5925" s="33">
        <f>IFERROR(__xludf.DUMMYFUNCTION("""COMPUTED_VALUE"""),0.5)</f>
        <v>0.5</v>
      </c>
      <c r="U5925" s="4" t="str">
        <f>IFERROR(__xludf.DUMMYFUNCTION("""COMPUTED_VALUE"""),"Cardápio Web")</f>
        <v>Cardápio Web</v>
      </c>
      <c r="V5925" s="33">
        <f>IFERROR(__xludf.DUMMYFUNCTION("""COMPUTED_VALUE"""),0.5)</f>
        <v>0.5</v>
      </c>
      <c r="W5925" s="4" t="str">
        <f>IFERROR(__xludf.DUMMYFUNCTION("""COMPUTED_VALUE"""),"null")</f>
        <v>null</v>
      </c>
      <c r="X5925" s="33">
        <f>IFERROR(__xludf.DUMMYFUNCTION("""COMPUTED_VALUE"""),0.5)</f>
        <v>0.5</v>
      </c>
    </row>
    <row r="5926">
      <c r="K5926" s="4" t="str">
        <f>IFERROR(__xludf.DUMMYFUNCTION("""COMPUTED_VALUE"""),"IMPERIO ACAI")</f>
        <v>IMPERIO ACAI</v>
      </c>
      <c r="L5926" s="32">
        <f>IFERROR(__xludf.DUMMYFUNCTION("""COMPUTED_VALUE"""),2.0)</f>
        <v>2</v>
      </c>
      <c r="M5926" s="4" t="str">
        <f>IFERROR(__xludf.DUMMYFUNCTION("""COMPUTED_VALUE"""),"null")</f>
        <v>null</v>
      </c>
      <c r="N5926" s="33">
        <f>IFERROR(__xludf.DUMMYFUNCTION("""COMPUTED_VALUE"""),1.0)</f>
        <v>1</v>
      </c>
      <c r="O5926" s="4" t="str">
        <f>IFERROR(__xludf.DUMMYFUNCTION("""COMPUTED_VALUE"""),"Instadelivery")</f>
        <v>Instadelivery</v>
      </c>
      <c r="P5926" s="33">
        <f>IFERROR(__xludf.DUMMYFUNCTION("""COMPUTED_VALUE"""),0.5)</f>
        <v>0.5</v>
      </c>
      <c r="Q5926" s="4" t="str">
        <f>IFERROR(__xludf.DUMMYFUNCTION("""COMPUTED_VALUE"""),"null")</f>
        <v>null</v>
      </c>
      <c r="R5926" s="33">
        <f>IFERROR(__xludf.DUMMYFUNCTION("""COMPUTED_VALUE"""),1.0)</f>
        <v>1</v>
      </c>
      <c r="S5926" s="4" t="str">
        <f>IFERROR(__xludf.DUMMYFUNCTION("""COMPUTED_VALUE"""),"null")</f>
        <v>null</v>
      </c>
      <c r="T5926" s="33">
        <f>IFERROR(__xludf.DUMMYFUNCTION("""COMPUTED_VALUE"""),0.5)</f>
        <v>0.5</v>
      </c>
      <c r="U5926" s="4" t="str">
        <f>IFERROR(__xludf.DUMMYFUNCTION("""COMPUTED_VALUE"""),"null")</f>
        <v>null</v>
      </c>
      <c r="V5926" s="33">
        <f>IFERROR(__xludf.DUMMYFUNCTION("""COMPUTED_VALUE"""),1.0)</f>
        <v>1</v>
      </c>
      <c r="W5926" s="4" t="str">
        <f>IFERROR(__xludf.DUMMYFUNCTION("""COMPUTED_VALUE"""),"null")</f>
        <v>null</v>
      </c>
      <c r="X5926" s="33">
        <f>IFERROR(__xludf.DUMMYFUNCTION("""COMPUTED_VALUE"""),1.0)</f>
        <v>1</v>
      </c>
    </row>
    <row r="5927">
      <c r="K5927" s="4" t="str">
        <f>IFERROR(__xludf.DUMMYFUNCTION("""COMPUTED_VALUE"""),"O VEI HAMBURGUERIA")</f>
        <v>O VEI HAMBURGUERIA</v>
      </c>
      <c r="L5927" s="32">
        <f>IFERROR(__xludf.DUMMYFUNCTION("""COMPUTED_VALUE"""),2.0)</f>
        <v>2</v>
      </c>
      <c r="M5927" s="4" t="str">
        <f>IFERROR(__xludf.DUMMYFUNCTION("""COMPUTED_VALUE"""),"Saipos Serviços De Software")</f>
        <v>Saipos Serviços De Software</v>
      </c>
      <c r="N5927" s="33">
        <f>IFERROR(__xludf.DUMMYFUNCTION("""COMPUTED_VALUE"""),1.0)</f>
        <v>1</v>
      </c>
      <c r="O5927" s="4" t="str">
        <f>IFERROR(__xludf.DUMMYFUNCTION("""COMPUTED_VALUE"""),"Saipos Serviços De Software")</f>
        <v>Saipos Serviços De Software</v>
      </c>
      <c r="P5927" s="33">
        <f>IFERROR(__xludf.DUMMYFUNCTION("""COMPUTED_VALUE"""),1.0)</f>
        <v>1</v>
      </c>
      <c r="Q5927" s="4" t="str">
        <f>IFERROR(__xludf.DUMMYFUNCTION("""COMPUTED_VALUE"""),"Saipos Serviços De Software")</f>
        <v>Saipos Serviços De Software</v>
      </c>
      <c r="R5927" s="33">
        <f>IFERROR(__xludf.DUMMYFUNCTION("""COMPUTED_VALUE"""),1.0)</f>
        <v>1</v>
      </c>
      <c r="S5927" s="4" t="str">
        <f>IFERROR(__xludf.DUMMYFUNCTION("""COMPUTED_VALUE"""),"Saipos Serviços De Software")</f>
        <v>Saipos Serviços De Software</v>
      </c>
      <c r="T5927" s="33">
        <f>IFERROR(__xludf.DUMMYFUNCTION("""COMPUTED_VALUE"""),1.0)</f>
        <v>1</v>
      </c>
      <c r="U5927" s="4" t="str">
        <f>IFERROR(__xludf.DUMMYFUNCTION("""COMPUTED_VALUE"""),"Saipos Serviços De Software")</f>
        <v>Saipos Serviços De Software</v>
      </c>
      <c r="V5927" s="33">
        <f>IFERROR(__xludf.DUMMYFUNCTION("""COMPUTED_VALUE"""),0.5)</f>
        <v>0.5</v>
      </c>
      <c r="W5927" s="4" t="str">
        <f>IFERROR(__xludf.DUMMYFUNCTION("""COMPUTED_VALUE"""),"Saipos Serviços De Software")</f>
        <v>Saipos Serviços De Software</v>
      </c>
      <c r="X5927" s="33">
        <f>IFERROR(__xludf.DUMMYFUNCTION("""COMPUTED_VALUE"""),1.0)</f>
        <v>1</v>
      </c>
    </row>
    <row r="5928">
      <c r="K5928" s="4" t="str">
        <f>IFERROR(__xludf.DUMMYFUNCTION("""COMPUTED_VALUE"""),"CINEBURGUER")</f>
        <v>CINEBURGUER</v>
      </c>
      <c r="L5928" s="32">
        <f>IFERROR(__xludf.DUMMYFUNCTION("""COMPUTED_VALUE"""),2.0)</f>
        <v>2</v>
      </c>
      <c r="M5928" s="4" t="str">
        <f>IFERROR(__xludf.DUMMYFUNCTION("""COMPUTED_VALUE"""),"Anota Ai Solucoes Digitais S/a")</f>
        <v>Anota Ai Solucoes Digitais S/a</v>
      </c>
      <c r="N5928" s="33">
        <f>IFERROR(__xludf.DUMMYFUNCTION("""COMPUTED_VALUE"""),0.5)</f>
        <v>0.5</v>
      </c>
      <c r="O5928" s="4" t="str">
        <f>IFERROR(__xludf.DUMMYFUNCTION("""COMPUTED_VALUE"""),"Anota Ai Solucoes Digitais S/a")</f>
        <v>Anota Ai Solucoes Digitais S/a</v>
      </c>
      <c r="P5928" s="33">
        <f>IFERROR(__xludf.DUMMYFUNCTION("""COMPUTED_VALUE"""),1.0)</f>
        <v>1</v>
      </c>
      <c r="Q5928" s="4" t="str">
        <f>IFERROR(__xludf.DUMMYFUNCTION("""COMPUTED_VALUE"""),"null")</f>
        <v>null</v>
      </c>
      <c r="R5928" s="33">
        <f>IFERROR(__xludf.DUMMYFUNCTION("""COMPUTED_VALUE"""),0.5)</f>
        <v>0.5</v>
      </c>
      <c r="S5928" s="4" t="str">
        <f>IFERROR(__xludf.DUMMYFUNCTION("""COMPUTED_VALUE"""),"null")</f>
        <v>null</v>
      </c>
      <c r="T5928" s="33">
        <f>IFERROR(__xludf.DUMMYFUNCTION("""COMPUTED_VALUE"""),0.5)</f>
        <v>0.5</v>
      </c>
      <c r="U5928" s="4" t="str">
        <f>IFERROR(__xludf.DUMMYFUNCTION("""COMPUTED_VALUE"""),"null")</f>
        <v>null</v>
      </c>
      <c r="V5928" s="33">
        <f>IFERROR(__xludf.DUMMYFUNCTION("""COMPUTED_VALUE"""),0.5)</f>
        <v>0.5</v>
      </c>
      <c r="W5928" s="4" t="str">
        <f>IFERROR(__xludf.DUMMYFUNCTION("""COMPUTED_VALUE"""),"null")</f>
        <v>null</v>
      </c>
      <c r="X5928" s="33">
        <f>IFERROR(__xludf.DUMMYFUNCTION("""COMPUTED_VALUE"""),0.5)</f>
        <v>0.5</v>
      </c>
    </row>
    <row r="5929">
      <c r="K5929" s="4" t="str">
        <f>IFERROR(__xludf.DUMMYFUNCTION("""COMPUTED_VALUE"""),"TAPIOCARIA DA TAN")</f>
        <v>TAPIOCARIA DA TAN</v>
      </c>
      <c r="L5929" s="32">
        <f>IFERROR(__xludf.DUMMYFUNCTION("""COMPUTED_VALUE"""),2.0)</f>
        <v>2</v>
      </c>
      <c r="M5929" s="4" t="str">
        <f>IFERROR(__xludf.DUMMYFUNCTION("""COMPUTED_VALUE"""),"Mp Multipedidos")</f>
        <v>Mp Multipedidos</v>
      </c>
      <c r="N5929" s="33">
        <f>IFERROR(__xludf.DUMMYFUNCTION("""COMPUTED_VALUE"""),1.0)</f>
        <v>1</v>
      </c>
      <c r="O5929" s="4" t="str">
        <f>IFERROR(__xludf.DUMMYFUNCTION("""COMPUTED_VALUE"""),"Mp Multipedidos")</f>
        <v>Mp Multipedidos</v>
      </c>
      <c r="P5929" s="33">
        <f>IFERROR(__xludf.DUMMYFUNCTION("""COMPUTED_VALUE"""),1.0)</f>
        <v>1</v>
      </c>
      <c r="Q5929" s="4" t="str">
        <f>IFERROR(__xludf.DUMMYFUNCTION("""COMPUTED_VALUE"""),"Mp Multipedidos")</f>
        <v>Mp Multipedidos</v>
      </c>
      <c r="R5929" s="33">
        <f>IFERROR(__xludf.DUMMYFUNCTION("""COMPUTED_VALUE"""),1.0)</f>
        <v>1</v>
      </c>
      <c r="S5929" s="4" t="str">
        <f>IFERROR(__xludf.DUMMYFUNCTION("""COMPUTED_VALUE"""),"Mp Multipedidos")</f>
        <v>Mp Multipedidos</v>
      </c>
      <c r="T5929" s="33">
        <f>IFERROR(__xludf.DUMMYFUNCTION("""COMPUTED_VALUE"""),1.0)</f>
        <v>1</v>
      </c>
      <c r="U5929" s="4" t="str">
        <f>IFERROR(__xludf.DUMMYFUNCTION("""COMPUTED_VALUE"""),"Mp Multipedidos")</f>
        <v>Mp Multipedidos</v>
      </c>
      <c r="V5929" s="33">
        <f>IFERROR(__xludf.DUMMYFUNCTION("""COMPUTED_VALUE"""),1.0)</f>
        <v>1</v>
      </c>
      <c r="W5929" s="4" t="str">
        <f>IFERROR(__xludf.DUMMYFUNCTION("""COMPUTED_VALUE"""),"Mp Multipedidos")</f>
        <v>Mp Multipedidos</v>
      </c>
      <c r="X5929" s="33">
        <f>IFERROR(__xludf.DUMMYFUNCTION("""COMPUTED_VALUE"""),0.5)</f>
        <v>0.5</v>
      </c>
    </row>
    <row r="5930">
      <c r="K5930" s="4" t="str">
        <f>IFERROR(__xludf.DUMMYFUNCTION("""COMPUTED_VALUE"""),"HAMBURGUERIA - WAVE BURGER")</f>
        <v>HAMBURGUERIA - WAVE BURGER</v>
      </c>
      <c r="L5930" s="32">
        <f>IFERROR(__xludf.DUMMYFUNCTION("""COMPUTED_VALUE"""),2.0)</f>
        <v>2</v>
      </c>
      <c r="M5930" s="4" t="str">
        <f>IFERROR(__xludf.DUMMYFUNCTION("""COMPUTED_VALUE"""),"Consumer Soluções Em Tecnologia Ltda")</f>
        <v>Consumer Soluções Em Tecnologia Ltda</v>
      </c>
      <c r="N5930" s="33">
        <f>IFERROR(__xludf.DUMMYFUNCTION("""COMPUTED_VALUE"""),1.0)</f>
        <v>1</v>
      </c>
      <c r="O5930" s="4" t="str">
        <f>IFERROR(__xludf.DUMMYFUNCTION("""COMPUTED_VALUE"""),"Consumer Soluções Em Tecnologia Ltda")</f>
        <v>Consumer Soluções Em Tecnologia Ltda</v>
      </c>
      <c r="P5930" s="33">
        <f>IFERROR(__xludf.DUMMYFUNCTION("""COMPUTED_VALUE"""),1.0)</f>
        <v>1</v>
      </c>
      <c r="Q5930" s="4" t="str">
        <f>IFERROR(__xludf.DUMMYFUNCTION("""COMPUTED_VALUE"""),"Consumer Soluções Em Tecnologia Ltda")</f>
        <v>Consumer Soluções Em Tecnologia Ltda</v>
      </c>
      <c r="R5930" s="33">
        <f>IFERROR(__xludf.DUMMYFUNCTION("""COMPUTED_VALUE"""),1.0)</f>
        <v>1</v>
      </c>
      <c r="S5930" s="4" t="str">
        <f>IFERROR(__xludf.DUMMYFUNCTION("""COMPUTED_VALUE"""),"Consumer Soluções Em Tecnologia Ltda")</f>
        <v>Consumer Soluções Em Tecnologia Ltda</v>
      </c>
      <c r="T5930" s="33">
        <f>IFERROR(__xludf.DUMMYFUNCTION("""COMPUTED_VALUE"""),1.0)</f>
        <v>1</v>
      </c>
      <c r="U5930" s="4" t="str">
        <f>IFERROR(__xludf.DUMMYFUNCTION("""COMPUTED_VALUE"""),"Consumer Soluções Em Tecnologia Ltda")</f>
        <v>Consumer Soluções Em Tecnologia Ltda</v>
      </c>
      <c r="V5930" s="33">
        <f>IFERROR(__xludf.DUMMYFUNCTION("""COMPUTED_VALUE"""),0.5)</f>
        <v>0.5</v>
      </c>
      <c r="W5930" s="4" t="str">
        <f>IFERROR(__xludf.DUMMYFUNCTION("""COMPUTED_VALUE"""),"Consumer Soluções Em Tecnologia Ltda")</f>
        <v>Consumer Soluções Em Tecnologia Ltda</v>
      </c>
      <c r="X5930" s="33">
        <f>IFERROR(__xludf.DUMMYFUNCTION("""COMPUTED_VALUE"""),1.0)</f>
        <v>1</v>
      </c>
    </row>
    <row r="5931">
      <c r="K5931" s="4" t="str">
        <f>IFERROR(__xludf.DUMMYFUNCTION("""COMPUTED_VALUE"""),"LOJA DESATIVA")</f>
        <v>LOJA DESATIVA</v>
      </c>
      <c r="L5931" s="32">
        <f>IFERROR(__xludf.DUMMYFUNCTION("""COMPUTED_VALUE"""),2.0)</f>
        <v>2</v>
      </c>
      <c r="M5931" s="4" t="str">
        <f>IFERROR(__xludf.DUMMYFUNCTION("""COMPUTED_VALUE"""),"Brendi")</f>
        <v>Brendi</v>
      </c>
      <c r="N5931" s="33">
        <f>IFERROR(__xludf.DUMMYFUNCTION("""COMPUTED_VALUE"""),1.0)</f>
        <v>1</v>
      </c>
      <c r="O5931" s="4" t="str">
        <f>IFERROR(__xludf.DUMMYFUNCTION("""COMPUTED_VALUE"""),"Brendi")</f>
        <v>Brendi</v>
      </c>
      <c r="P5931" s="33">
        <f>IFERROR(__xludf.DUMMYFUNCTION("""COMPUTED_VALUE"""),1.0)</f>
        <v>1</v>
      </c>
      <c r="Q5931" s="4" t="str">
        <f>IFERROR(__xludf.DUMMYFUNCTION("""COMPUTED_VALUE"""),"Cardápio Web")</f>
        <v>Cardápio Web</v>
      </c>
      <c r="R5931" s="33">
        <f>IFERROR(__xludf.DUMMYFUNCTION("""COMPUTED_VALUE"""),1.0)</f>
        <v>1</v>
      </c>
      <c r="S5931" s="4" t="str">
        <f>IFERROR(__xludf.DUMMYFUNCTION("""COMPUTED_VALUE"""),"Cardápio Web")</f>
        <v>Cardápio Web</v>
      </c>
      <c r="T5931" s="33">
        <f>IFERROR(__xludf.DUMMYFUNCTION("""COMPUTED_VALUE"""),1.0)</f>
        <v>1</v>
      </c>
      <c r="U5931" s="4" t="str">
        <f>IFERROR(__xludf.DUMMYFUNCTION("""COMPUTED_VALUE"""),"Cardápio Web")</f>
        <v>Cardápio Web</v>
      </c>
      <c r="V5931" s="33">
        <f>IFERROR(__xludf.DUMMYFUNCTION("""COMPUTED_VALUE"""),1.0)</f>
        <v>1</v>
      </c>
      <c r="W5931" s="4" t="str">
        <f>IFERROR(__xludf.DUMMYFUNCTION("""COMPUTED_VALUE"""),"Cardápio Web")</f>
        <v>Cardápio Web</v>
      </c>
      <c r="X5931" s="33">
        <f>IFERROR(__xludf.DUMMYFUNCTION("""COMPUTED_VALUE"""),1.0)</f>
        <v>1</v>
      </c>
    </row>
    <row r="5932">
      <c r="K5932" s="4" t="str">
        <f>IFERROR(__xludf.DUMMYFUNCTION("""COMPUTED_VALUE"""),"CHURRAS GREGO")</f>
        <v>CHURRAS GREGO</v>
      </c>
      <c r="L5932" s="32">
        <f>IFERROR(__xludf.DUMMYFUNCTION("""COMPUTED_VALUE"""),2.0)</f>
        <v>2</v>
      </c>
      <c r="M5932" s="4" t="str">
        <f>IFERROR(__xludf.DUMMYFUNCTION("""COMPUTED_VALUE"""),"Cardápio Web")</f>
        <v>Cardápio Web</v>
      </c>
      <c r="N5932" s="33">
        <f>IFERROR(__xludf.DUMMYFUNCTION("""COMPUTED_VALUE"""),0.5)</f>
        <v>0.5</v>
      </c>
      <c r="O5932" s="4" t="str">
        <f>IFERROR(__xludf.DUMMYFUNCTION("""COMPUTED_VALUE"""),"null")</f>
        <v>null</v>
      </c>
      <c r="P5932" s="33">
        <f>IFERROR(__xludf.DUMMYFUNCTION("""COMPUTED_VALUE"""),1.0)</f>
        <v>1</v>
      </c>
      <c r="Q5932" s="4" t="str">
        <f>IFERROR(__xludf.DUMMYFUNCTION("""COMPUTED_VALUE"""),"Cardápio Web")</f>
        <v>Cardápio Web</v>
      </c>
      <c r="R5932" s="33">
        <f>IFERROR(__xludf.DUMMYFUNCTION("""COMPUTED_VALUE"""),0.5)</f>
        <v>0.5</v>
      </c>
      <c r="S5932" s="4" t="str">
        <f>IFERROR(__xludf.DUMMYFUNCTION("""COMPUTED_VALUE"""),"Cardápio Web")</f>
        <v>Cardápio Web</v>
      </c>
      <c r="T5932" s="33">
        <f>IFERROR(__xludf.DUMMYFUNCTION("""COMPUTED_VALUE"""),0.5)</f>
        <v>0.5</v>
      </c>
      <c r="U5932" s="4" t="str">
        <f>IFERROR(__xludf.DUMMYFUNCTION("""COMPUTED_VALUE"""),"null")</f>
        <v>null</v>
      </c>
      <c r="V5932" s="33">
        <f>IFERROR(__xludf.DUMMYFUNCTION("""COMPUTED_VALUE"""),0.5)</f>
        <v>0.5</v>
      </c>
      <c r="W5932" s="4" t="str">
        <f>IFERROR(__xludf.DUMMYFUNCTION("""COMPUTED_VALUE"""),"null")</f>
        <v>null</v>
      </c>
      <c r="X5932" s="33">
        <f>IFERROR(__xludf.DUMMYFUNCTION("""COMPUTED_VALUE"""),0.5)</f>
        <v>0.5</v>
      </c>
    </row>
    <row r="5933">
      <c r="K5933" s="4" t="str">
        <f>IFERROR(__xludf.DUMMYFUNCTION("""COMPUTED_VALUE"""),"GENERAL RESTAURANTE")</f>
        <v>GENERAL RESTAURANTE</v>
      </c>
      <c r="L5933" s="32">
        <f>IFERROR(__xludf.DUMMYFUNCTION("""COMPUTED_VALUE"""),2.0)</f>
        <v>2</v>
      </c>
      <c r="M5933" s="4" t="str">
        <f>IFERROR(__xludf.DUMMYFUNCTION("""COMPUTED_VALUE"""),"Gerence Sistemas")</f>
        <v>Gerence Sistemas</v>
      </c>
      <c r="N5933" s="33">
        <f>IFERROR(__xludf.DUMMYFUNCTION("""COMPUTED_VALUE"""),0.5)</f>
        <v>0.5</v>
      </c>
      <c r="O5933" s="4" t="str">
        <f>IFERROR(__xludf.DUMMYFUNCTION("""COMPUTED_VALUE"""),"Gerence Sistemas")</f>
        <v>Gerence Sistemas</v>
      </c>
      <c r="P5933" s="33">
        <f>IFERROR(__xludf.DUMMYFUNCTION("""COMPUTED_VALUE"""),0.5)</f>
        <v>0.5</v>
      </c>
      <c r="Q5933" s="4" t="str">
        <f>IFERROR(__xludf.DUMMYFUNCTION("""COMPUTED_VALUE"""),"Gerence Sistemas")</f>
        <v>Gerence Sistemas</v>
      </c>
      <c r="R5933" s="33">
        <f>IFERROR(__xludf.DUMMYFUNCTION("""COMPUTED_VALUE"""),0.5)</f>
        <v>0.5</v>
      </c>
      <c r="S5933" s="4" t="str">
        <f>IFERROR(__xludf.DUMMYFUNCTION("""COMPUTED_VALUE"""),"Gerence Sistemas")</f>
        <v>Gerence Sistemas</v>
      </c>
      <c r="T5933" s="33">
        <f>IFERROR(__xludf.DUMMYFUNCTION("""COMPUTED_VALUE"""),0.5)</f>
        <v>0.5</v>
      </c>
      <c r="U5933" s="4" t="str">
        <f>IFERROR(__xludf.DUMMYFUNCTION("""COMPUTED_VALUE"""),"Gerence Sistemas")</f>
        <v>Gerence Sistemas</v>
      </c>
      <c r="V5933" s="33">
        <f>IFERROR(__xludf.DUMMYFUNCTION("""COMPUTED_VALUE"""),0.5)</f>
        <v>0.5</v>
      </c>
      <c r="W5933" s="4" t="str">
        <f>IFERROR(__xludf.DUMMYFUNCTION("""COMPUTED_VALUE"""),"Gerence Sistemas")</f>
        <v>Gerence Sistemas</v>
      </c>
      <c r="X5933" s="33">
        <f>IFERROR(__xludf.DUMMYFUNCTION("""COMPUTED_VALUE"""),0.5)</f>
        <v>0.5</v>
      </c>
    </row>
    <row r="5934">
      <c r="K5934" s="4" t="str">
        <f>IFERROR(__xludf.DUMMYFUNCTION("""COMPUTED_VALUE"""),"CARDOSO LANCHES")</f>
        <v>CARDOSO LANCHES</v>
      </c>
      <c r="L5934" s="32">
        <f>IFERROR(__xludf.DUMMYFUNCTION("""COMPUTED_VALUE"""),2.0)</f>
        <v>2</v>
      </c>
      <c r="M5934" s="4" t="str">
        <f>IFERROR(__xludf.DUMMYFUNCTION("""COMPUTED_VALUE"""),"null")</f>
        <v>null</v>
      </c>
      <c r="N5934" s="33">
        <f>IFERROR(__xludf.DUMMYFUNCTION("""COMPUTED_VALUE"""),0.5)</f>
        <v>0.5</v>
      </c>
      <c r="O5934" s="4" t="str">
        <f>IFERROR(__xludf.DUMMYFUNCTION("""COMPUTED_VALUE"""),"Olaclick")</f>
        <v>Olaclick</v>
      </c>
      <c r="P5934" s="33">
        <f>IFERROR(__xludf.DUMMYFUNCTION("""COMPUTED_VALUE"""),0.5)</f>
        <v>0.5</v>
      </c>
      <c r="Q5934" s="4" t="str">
        <f>IFERROR(__xludf.DUMMYFUNCTION("""COMPUTED_VALUE"""),"Olaclick")</f>
        <v>Olaclick</v>
      </c>
      <c r="R5934" s="33">
        <f>IFERROR(__xludf.DUMMYFUNCTION("""COMPUTED_VALUE"""),0.5)</f>
        <v>0.5</v>
      </c>
      <c r="S5934" s="4" t="str">
        <f>IFERROR(__xludf.DUMMYFUNCTION("""COMPUTED_VALUE"""),"Olaclick")</f>
        <v>Olaclick</v>
      </c>
      <c r="T5934" s="33">
        <f>IFERROR(__xludf.DUMMYFUNCTION("""COMPUTED_VALUE"""),0.5)</f>
        <v>0.5</v>
      </c>
      <c r="U5934" s="4" t="str">
        <f>IFERROR(__xludf.DUMMYFUNCTION("""COMPUTED_VALUE"""),"Olaclick")</f>
        <v>Olaclick</v>
      </c>
      <c r="V5934" s="33">
        <f>IFERROR(__xludf.DUMMYFUNCTION("""COMPUTED_VALUE"""),0.5)</f>
        <v>0.5</v>
      </c>
      <c r="W5934" s="4" t="str">
        <f>IFERROR(__xludf.DUMMYFUNCTION("""COMPUTED_VALUE"""),"Olaclick")</f>
        <v>Olaclick</v>
      </c>
      <c r="X5934" s="33">
        <f>IFERROR(__xludf.DUMMYFUNCTION("""COMPUTED_VALUE"""),0.5)</f>
        <v>0.5</v>
      </c>
    </row>
    <row r="5935">
      <c r="K5935" s="4" t="str">
        <f>IFERROR(__xludf.DUMMYFUNCTION("""COMPUTED_VALUE"""),"FLASH MARMITAS - ALMOCO RAPIDO")</f>
        <v>FLASH MARMITAS - ALMOCO RAPIDO</v>
      </c>
      <c r="L5935" s="32">
        <f>IFERROR(__xludf.DUMMYFUNCTION("""COMPUTED_VALUE"""),2.0)</f>
        <v>2</v>
      </c>
      <c r="M5935" s="4" t="str">
        <f>IFERROR(__xludf.DUMMYFUNCTION("""COMPUTED_VALUE"""),"Cardápio Web")</f>
        <v>Cardápio Web</v>
      </c>
      <c r="N5935" s="33">
        <f>IFERROR(__xludf.DUMMYFUNCTION("""COMPUTED_VALUE"""),1.0)</f>
        <v>1</v>
      </c>
      <c r="O5935" s="4" t="str">
        <f>IFERROR(__xludf.DUMMYFUNCTION("""COMPUTED_VALUE"""),"Cardápio Web")</f>
        <v>Cardápio Web</v>
      </c>
      <c r="P5935" s="33">
        <f>IFERROR(__xludf.DUMMYFUNCTION("""COMPUTED_VALUE"""),1.0)</f>
        <v>1</v>
      </c>
      <c r="Q5935" s="4" t="str">
        <f>IFERROR(__xludf.DUMMYFUNCTION("""COMPUTED_VALUE"""),"Cardápio Web")</f>
        <v>Cardápio Web</v>
      </c>
      <c r="R5935" s="33">
        <f>IFERROR(__xludf.DUMMYFUNCTION("""COMPUTED_VALUE"""),1.0)</f>
        <v>1</v>
      </c>
      <c r="S5935" s="4" t="str">
        <f>IFERROR(__xludf.DUMMYFUNCTION("""COMPUTED_VALUE"""),"Cardápio Web")</f>
        <v>Cardápio Web</v>
      </c>
      <c r="T5935" s="33">
        <f>IFERROR(__xludf.DUMMYFUNCTION("""COMPUTED_VALUE"""),1.0)</f>
        <v>1</v>
      </c>
      <c r="U5935" s="4" t="str">
        <f>IFERROR(__xludf.DUMMYFUNCTION("""COMPUTED_VALUE"""),"Cardápio Web")</f>
        <v>Cardápio Web</v>
      </c>
      <c r="V5935" s="33">
        <f>IFERROR(__xludf.DUMMYFUNCTION("""COMPUTED_VALUE"""),1.0)</f>
        <v>1</v>
      </c>
      <c r="W5935" s="4" t="str">
        <f>IFERROR(__xludf.DUMMYFUNCTION("""COMPUTED_VALUE"""),"Cardápio Web")</f>
        <v>Cardápio Web</v>
      </c>
      <c r="X5935" s="33">
        <f>IFERROR(__xludf.DUMMYFUNCTION("""COMPUTED_VALUE"""),1.0)</f>
        <v>1</v>
      </c>
    </row>
    <row r="5936">
      <c r="K5936" s="4" t="str">
        <f>IFERROR(__xludf.DUMMYFUNCTION("""COMPUTED_VALUE"""),"JB ACAI")</f>
        <v>JB ACAI</v>
      </c>
      <c r="L5936" s="32">
        <f>IFERROR(__xludf.DUMMYFUNCTION("""COMPUTED_VALUE"""),2.0)</f>
        <v>2</v>
      </c>
      <c r="M5936" s="4" t="str">
        <f>IFERROR(__xludf.DUMMYFUNCTION("""COMPUTED_VALUE"""),"null")</f>
        <v>null</v>
      </c>
      <c r="N5936" s="33">
        <f>IFERROR(__xludf.DUMMYFUNCTION("""COMPUTED_VALUE"""),0.5)</f>
        <v>0.5</v>
      </c>
      <c r="O5936" s="4" t="str">
        <f>IFERROR(__xludf.DUMMYFUNCTION("""COMPUTED_VALUE"""),"null")</f>
        <v>null</v>
      </c>
      <c r="P5936" s="33">
        <f>IFERROR(__xludf.DUMMYFUNCTION("""COMPUTED_VALUE"""),0.5)</f>
        <v>0.5</v>
      </c>
      <c r="Q5936" s="4" t="str">
        <f>IFERROR(__xludf.DUMMYFUNCTION("""COMPUTED_VALUE"""),"null")</f>
        <v>null</v>
      </c>
      <c r="R5936" s="33">
        <f>IFERROR(__xludf.DUMMYFUNCTION("""COMPUTED_VALUE"""),0.5)</f>
        <v>0.5</v>
      </c>
      <c r="S5936" s="4" t="str">
        <f>IFERROR(__xludf.DUMMYFUNCTION("""COMPUTED_VALUE"""),"null")</f>
        <v>null</v>
      </c>
      <c r="T5936" s="33">
        <f>IFERROR(__xludf.DUMMYFUNCTION("""COMPUTED_VALUE"""),0.5)</f>
        <v>0.5</v>
      </c>
      <c r="U5936" s="4" t="str">
        <f>IFERROR(__xludf.DUMMYFUNCTION("""COMPUTED_VALUE"""),"Instadelivery")</f>
        <v>Instadelivery</v>
      </c>
      <c r="V5936" s="33">
        <f>IFERROR(__xludf.DUMMYFUNCTION("""COMPUTED_VALUE"""),0.5)</f>
        <v>0.5</v>
      </c>
      <c r="W5936" s="4" t="str">
        <f>IFERROR(__xludf.DUMMYFUNCTION("""COMPUTED_VALUE"""),"null")</f>
        <v>null</v>
      </c>
      <c r="X5936" s="33">
        <f>IFERROR(__xludf.DUMMYFUNCTION("""COMPUTED_VALUE"""),0.5)</f>
        <v>0.5</v>
      </c>
    </row>
    <row r="5937">
      <c r="K5937" s="4" t="str">
        <f>IFERROR(__xludf.DUMMYFUNCTION("""COMPUTED_VALUE"""),"JG LANCHES")</f>
        <v>JG LANCHES</v>
      </c>
      <c r="L5937" s="32">
        <f>IFERROR(__xludf.DUMMYFUNCTION("""COMPUTED_VALUE"""),2.0)</f>
        <v>2</v>
      </c>
      <c r="M5937" s="4" t="str">
        <f>IFERROR(__xludf.DUMMYFUNCTION("""COMPUTED_VALUE"""),"Instadelivery")</f>
        <v>Instadelivery</v>
      </c>
      <c r="N5937" s="33">
        <f>IFERROR(__xludf.DUMMYFUNCTION("""COMPUTED_VALUE"""),0.5)</f>
        <v>0.5</v>
      </c>
      <c r="O5937" s="4" t="str">
        <f>IFERROR(__xludf.DUMMYFUNCTION("""COMPUTED_VALUE"""),"Instadelivery")</f>
        <v>Instadelivery</v>
      </c>
      <c r="P5937" s="33">
        <f>IFERROR(__xludf.DUMMYFUNCTION("""COMPUTED_VALUE"""),0.5)</f>
        <v>0.5</v>
      </c>
      <c r="Q5937" s="4" t="str">
        <f>IFERROR(__xludf.DUMMYFUNCTION("""COMPUTED_VALUE"""),"Instadelivery")</f>
        <v>Instadelivery</v>
      </c>
      <c r="R5937" s="33">
        <f>IFERROR(__xludf.DUMMYFUNCTION("""COMPUTED_VALUE"""),0.5)</f>
        <v>0.5</v>
      </c>
      <c r="S5937" s="4" t="str">
        <f>IFERROR(__xludf.DUMMYFUNCTION("""COMPUTED_VALUE"""),"Instadelivery")</f>
        <v>Instadelivery</v>
      </c>
      <c r="T5937" s="33">
        <f>IFERROR(__xludf.DUMMYFUNCTION("""COMPUTED_VALUE"""),0.5)</f>
        <v>0.5</v>
      </c>
      <c r="U5937" s="4" t="str">
        <f>IFERROR(__xludf.DUMMYFUNCTION("""COMPUTED_VALUE"""),"Instadelivery")</f>
        <v>Instadelivery</v>
      </c>
      <c r="V5937" s="33">
        <f>IFERROR(__xludf.DUMMYFUNCTION("""COMPUTED_VALUE"""),0.5)</f>
        <v>0.5</v>
      </c>
      <c r="W5937" s="4" t="str">
        <f>IFERROR(__xludf.DUMMYFUNCTION("""COMPUTED_VALUE"""),"Instadelivery")</f>
        <v>Instadelivery</v>
      </c>
      <c r="X5937" s="33">
        <f>IFERROR(__xludf.DUMMYFUNCTION("""COMPUTED_VALUE"""),0.5)</f>
        <v>0.5</v>
      </c>
    </row>
    <row r="5938">
      <c r="K5938" s="4" t="str">
        <f>IFERROR(__xludf.DUMMYFUNCTION("""COMPUTED_VALUE"""),"BENDITA MASSA")</f>
        <v>BENDITA MASSA</v>
      </c>
      <c r="L5938" s="32">
        <f>IFERROR(__xludf.DUMMYFUNCTION("""COMPUTED_VALUE"""),2.0)</f>
        <v>2</v>
      </c>
      <c r="M5938" s="4" t="str">
        <f>IFERROR(__xludf.DUMMYFUNCTION("""COMPUTED_VALUE"""),"null")</f>
        <v>null</v>
      </c>
      <c r="N5938" s="33">
        <f>IFERROR(__xludf.DUMMYFUNCTION("""COMPUTED_VALUE"""),0.5)</f>
        <v>0.5</v>
      </c>
      <c r="O5938" s="4" t="str">
        <f>IFERROR(__xludf.DUMMYFUNCTION("""COMPUTED_VALUE"""),"Instadelivery")</f>
        <v>Instadelivery</v>
      </c>
      <c r="P5938" s="33">
        <f>IFERROR(__xludf.DUMMYFUNCTION("""COMPUTED_VALUE"""),0.5)</f>
        <v>0.5</v>
      </c>
      <c r="Q5938" s="4" t="str">
        <f>IFERROR(__xludf.DUMMYFUNCTION("""COMPUTED_VALUE"""),"Instadelivery")</f>
        <v>Instadelivery</v>
      </c>
      <c r="R5938" s="33">
        <f>IFERROR(__xludf.DUMMYFUNCTION("""COMPUTED_VALUE"""),0.5)</f>
        <v>0.5</v>
      </c>
      <c r="S5938" s="4" t="str">
        <f>IFERROR(__xludf.DUMMYFUNCTION("""COMPUTED_VALUE"""),"Instadelivery")</f>
        <v>Instadelivery</v>
      </c>
      <c r="T5938" s="33">
        <f>IFERROR(__xludf.DUMMYFUNCTION("""COMPUTED_VALUE"""),0.5)</f>
        <v>0.5</v>
      </c>
      <c r="U5938" s="4" t="str">
        <f>IFERROR(__xludf.DUMMYFUNCTION("""COMPUTED_VALUE"""),"Instadelivery")</f>
        <v>Instadelivery</v>
      </c>
      <c r="V5938" s="33">
        <f>IFERROR(__xludf.DUMMYFUNCTION("""COMPUTED_VALUE"""),0.5)</f>
        <v>0.5</v>
      </c>
      <c r="W5938" s="4" t="str">
        <f>IFERROR(__xludf.DUMMYFUNCTION("""COMPUTED_VALUE"""),"Instadelivery")</f>
        <v>Instadelivery</v>
      </c>
      <c r="X5938" s="33">
        <f>IFERROR(__xludf.DUMMYFUNCTION("""COMPUTED_VALUE"""),0.5)</f>
        <v>0.5</v>
      </c>
    </row>
    <row r="5939">
      <c r="K5939" s="4" t="str">
        <f>IFERROR(__xludf.DUMMYFUNCTION("""COMPUTED_VALUE"""),"MIL DOGS")</f>
        <v>MIL DOGS</v>
      </c>
      <c r="L5939" s="32">
        <f>IFERROR(__xludf.DUMMYFUNCTION("""COMPUTED_VALUE"""),2.0)</f>
        <v>2</v>
      </c>
      <c r="M5939" s="4" t="str">
        <f>IFERROR(__xludf.DUMMYFUNCTION("""COMPUTED_VALUE"""),"Saipos Serviços De Software")</f>
        <v>Saipos Serviços De Software</v>
      </c>
      <c r="N5939" s="33">
        <f>IFERROR(__xludf.DUMMYFUNCTION("""COMPUTED_VALUE"""),1.0)</f>
        <v>1</v>
      </c>
      <c r="O5939" s="4" t="str">
        <f>IFERROR(__xludf.DUMMYFUNCTION("""COMPUTED_VALUE"""),"Saipos Serviços De Software")</f>
        <v>Saipos Serviços De Software</v>
      </c>
      <c r="P5939" s="33">
        <f>IFERROR(__xludf.DUMMYFUNCTION("""COMPUTED_VALUE"""),1.0)</f>
        <v>1</v>
      </c>
      <c r="Q5939" s="4" t="str">
        <f>IFERROR(__xludf.DUMMYFUNCTION("""COMPUTED_VALUE"""),"Saipos Serviços De Software")</f>
        <v>Saipos Serviços De Software</v>
      </c>
      <c r="R5939" s="33">
        <f>IFERROR(__xludf.DUMMYFUNCTION("""COMPUTED_VALUE"""),1.0)</f>
        <v>1</v>
      </c>
      <c r="S5939" s="4" t="str">
        <f>IFERROR(__xludf.DUMMYFUNCTION("""COMPUTED_VALUE"""),"Saipos Serviços De Software")</f>
        <v>Saipos Serviços De Software</v>
      </c>
      <c r="T5939" s="33">
        <f>IFERROR(__xludf.DUMMYFUNCTION("""COMPUTED_VALUE"""),1.0)</f>
        <v>1</v>
      </c>
      <c r="U5939" s="4" t="str">
        <f>IFERROR(__xludf.DUMMYFUNCTION("""COMPUTED_VALUE"""),"Saipos Serviços De Software")</f>
        <v>Saipos Serviços De Software</v>
      </c>
      <c r="V5939" s="33">
        <f>IFERROR(__xludf.DUMMYFUNCTION("""COMPUTED_VALUE"""),1.0)</f>
        <v>1</v>
      </c>
      <c r="W5939" s="4" t="str">
        <f>IFERROR(__xludf.DUMMYFUNCTION("""COMPUTED_VALUE"""),"Saipos Serviços De Software")</f>
        <v>Saipos Serviços De Software</v>
      </c>
      <c r="X5939" s="33">
        <f>IFERROR(__xludf.DUMMYFUNCTION("""COMPUTED_VALUE"""),1.0)</f>
        <v>1</v>
      </c>
    </row>
    <row r="5940">
      <c r="K5940" s="4" t="str">
        <f>IFERROR(__xludf.DUMMYFUNCTION("""COMPUTED_VALUE"""),"SELVA ACAI")</f>
        <v>SELVA ACAI</v>
      </c>
      <c r="L5940" s="32">
        <f>IFERROR(__xludf.DUMMYFUNCTION("""COMPUTED_VALUE"""),2.0)</f>
        <v>2</v>
      </c>
      <c r="M5940" s="4" t="str">
        <f>IFERROR(__xludf.DUMMYFUNCTION("""COMPUTED_VALUE"""),"Cardápio Web")</f>
        <v>Cardápio Web</v>
      </c>
      <c r="N5940" s="33">
        <f>IFERROR(__xludf.DUMMYFUNCTION("""COMPUTED_VALUE"""),0.5)</f>
        <v>0.5</v>
      </c>
      <c r="O5940" s="4" t="str">
        <f>IFERROR(__xludf.DUMMYFUNCTION("""COMPUTED_VALUE"""),"Cardápio Web")</f>
        <v>Cardápio Web</v>
      </c>
      <c r="P5940" s="33">
        <f>IFERROR(__xludf.DUMMYFUNCTION("""COMPUTED_VALUE"""),0.5)</f>
        <v>0.5</v>
      </c>
      <c r="Q5940" s="4" t="str">
        <f>IFERROR(__xludf.DUMMYFUNCTION("""COMPUTED_VALUE"""),"null")</f>
        <v>null</v>
      </c>
      <c r="R5940" s="33">
        <f>IFERROR(__xludf.DUMMYFUNCTION("""COMPUTED_VALUE"""),0.5)</f>
        <v>0.5</v>
      </c>
      <c r="S5940" s="4" t="str">
        <f>IFERROR(__xludf.DUMMYFUNCTION("""COMPUTED_VALUE"""),"null")</f>
        <v>null</v>
      </c>
      <c r="T5940" s="33">
        <f>IFERROR(__xludf.DUMMYFUNCTION("""COMPUTED_VALUE"""),0.5)</f>
        <v>0.5</v>
      </c>
      <c r="U5940" s="4" t="str">
        <f>IFERROR(__xludf.DUMMYFUNCTION("""COMPUTED_VALUE"""),"null")</f>
        <v>null</v>
      </c>
      <c r="V5940" s="33">
        <f>IFERROR(__xludf.DUMMYFUNCTION("""COMPUTED_VALUE"""),0.5)</f>
        <v>0.5</v>
      </c>
      <c r="W5940" s="4" t="str">
        <f>IFERROR(__xludf.DUMMYFUNCTION("""COMPUTED_VALUE"""),"null")</f>
        <v>null</v>
      </c>
      <c r="X5940" s="33">
        <f>IFERROR(__xludf.DUMMYFUNCTION("""COMPUTED_VALUE"""),0.5)</f>
        <v>0.5</v>
      </c>
    </row>
    <row r="5941">
      <c r="K5941" s="4" t="str">
        <f>IFERROR(__xludf.DUMMYFUNCTION("""COMPUTED_VALUE"""),"KAIRO SUSHI")</f>
        <v>KAIRO SUSHI</v>
      </c>
      <c r="L5941" s="32">
        <f>IFERROR(__xludf.DUMMYFUNCTION("""COMPUTED_VALUE"""),2.0)</f>
        <v>2</v>
      </c>
      <c r="M5941" s="4" t="str">
        <f>IFERROR(__xludf.DUMMYFUNCTION("""COMPUTED_VALUE"""),"null")</f>
        <v>null</v>
      </c>
      <c r="N5941" s="33">
        <f>IFERROR(__xludf.DUMMYFUNCTION("""COMPUTED_VALUE"""),1.0)</f>
        <v>1</v>
      </c>
      <c r="O5941" s="4" t="str">
        <f>IFERROR(__xludf.DUMMYFUNCTION("""COMPUTED_VALUE"""),"null")</f>
        <v>null</v>
      </c>
      <c r="P5941" s="33">
        <f>IFERROR(__xludf.DUMMYFUNCTION("""COMPUTED_VALUE"""),1.0)</f>
        <v>1</v>
      </c>
      <c r="Q5941" s="4" t="str">
        <f>IFERROR(__xludf.DUMMYFUNCTION("""COMPUTED_VALUE"""),"Brendi")</f>
        <v>Brendi</v>
      </c>
      <c r="R5941" s="33">
        <f>IFERROR(__xludf.DUMMYFUNCTION("""COMPUTED_VALUE"""),0.5)</f>
        <v>0.5</v>
      </c>
      <c r="S5941" s="4" t="str">
        <f>IFERROR(__xludf.DUMMYFUNCTION("""COMPUTED_VALUE"""),"Brendi")</f>
        <v>Brendi</v>
      </c>
      <c r="T5941" s="33">
        <f>IFERROR(__xludf.DUMMYFUNCTION("""COMPUTED_VALUE"""),0.5)</f>
        <v>0.5</v>
      </c>
      <c r="U5941" s="4" t="str">
        <f>IFERROR(__xludf.DUMMYFUNCTION("""COMPUTED_VALUE"""),"Brendi")</f>
        <v>Brendi</v>
      </c>
      <c r="V5941" s="33">
        <f>IFERROR(__xludf.DUMMYFUNCTION("""COMPUTED_VALUE"""),1.0)</f>
        <v>1</v>
      </c>
      <c r="W5941" s="4" t="str">
        <f>IFERROR(__xludf.DUMMYFUNCTION("""COMPUTED_VALUE"""),"Brendi")</f>
        <v>Brendi</v>
      </c>
      <c r="X5941" s="33">
        <f>IFERROR(__xludf.DUMMYFUNCTION("""COMPUTED_VALUE"""),0.5)</f>
        <v>0.5</v>
      </c>
    </row>
    <row r="5942">
      <c r="K5942" s="4" t="str">
        <f>IFERROR(__xludf.DUMMYFUNCTION("""COMPUTED_VALUE"""),"NO CAPRICHO")</f>
        <v>NO CAPRICHO</v>
      </c>
      <c r="L5942" s="32">
        <f>IFERROR(__xludf.DUMMYFUNCTION("""COMPUTED_VALUE"""),2.0)</f>
        <v>2</v>
      </c>
      <c r="M5942" s="4" t="str">
        <f>IFERROR(__xludf.DUMMYFUNCTION("""COMPUTED_VALUE"""),"null")</f>
        <v>null</v>
      </c>
      <c r="N5942" s="33">
        <f>IFERROR(__xludf.DUMMYFUNCTION("""COMPUTED_VALUE"""),0.5)</f>
        <v>0.5</v>
      </c>
      <c r="O5942" s="4" t="str">
        <f>IFERROR(__xludf.DUMMYFUNCTION("""COMPUTED_VALUE"""),"null")</f>
        <v>null</v>
      </c>
      <c r="P5942" s="33">
        <f>IFERROR(__xludf.DUMMYFUNCTION("""COMPUTED_VALUE"""),0.5)</f>
        <v>0.5</v>
      </c>
      <c r="Q5942" s="4" t="str">
        <f>IFERROR(__xludf.DUMMYFUNCTION("""COMPUTED_VALUE"""),"Anota Ai Solucoes Digitais S/a")</f>
        <v>Anota Ai Solucoes Digitais S/a</v>
      </c>
      <c r="R5942" s="33">
        <f>IFERROR(__xludf.DUMMYFUNCTION("""COMPUTED_VALUE"""),1.0)</f>
        <v>1</v>
      </c>
      <c r="S5942" s="4" t="str">
        <f>IFERROR(__xludf.DUMMYFUNCTION("""COMPUTED_VALUE"""),"Anota Ai Solucoes Digitais S/a")</f>
        <v>Anota Ai Solucoes Digitais S/a</v>
      </c>
      <c r="T5942" s="33">
        <f>IFERROR(__xludf.DUMMYFUNCTION("""COMPUTED_VALUE"""),1.0)</f>
        <v>1</v>
      </c>
      <c r="U5942" s="4" t="str">
        <f>IFERROR(__xludf.DUMMYFUNCTION("""COMPUTED_VALUE"""),"null")</f>
        <v>null</v>
      </c>
      <c r="V5942" s="33">
        <f>IFERROR(__xludf.DUMMYFUNCTION("""COMPUTED_VALUE"""),0.5)</f>
        <v>0.5</v>
      </c>
      <c r="W5942" s="4" t="str">
        <f>IFERROR(__xludf.DUMMYFUNCTION("""COMPUTED_VALUE"""),"null")</f>
        <v>null</v>
      </c>
      <c r="X5942" s="33">
        <f>IFERROR(__xludf.DUMMYFUNCTION("""COMPUTED_VALUE"""),0.5)</f>
        <v>0.5</v>
      </c>
    </row>
    <row r="5943">
      <c r="K5943" s="4" t="str">
        <f>IFERROR(__xludf.DUMMYFUNCTION("""COMPUTED_VALUE"""),"PHARMA POPULAR")</f>
        <v>PHARMA POPULAR</v>
      </c>
      <c r="L5943" s="32">
        <f>IFERROR(__xludf.DUMMYFUNCTION("""COMPUTED_VALUE"""),2.0)</f>
        <v>2</v>
      </c>
      <c r="M5943" s="4" t="str">
        <f>IFERROR(__xludf.DUMMYFUNCTION("""COMPUTED_VALUE"""),"null")</f>
        <v>null</v>
      </c>
      <c r="N5943" s="33">
        <f>IFERROR(__xludf.DUMMYFUNCTION("""COMPUTED_VALUE"""),1.0)</f>
        <v>1</v>
      </c>
      <c r="O5943" s="4" t="str">
        <f>IFERROR(__xludf.DUMMYFUNCTION("""COMPUTED_VALUE"""),"N/A (Not found)")</f>
        <v>N/A (Not found)</v>
      </c>
      <c r="P5943" s="33">
        <f>IFERROR(__xludf.DUMMYFUNCTION("""COMPUTED_VALUE"""),1.0)</f>
        <v>1</v>
      </c>
      <c r="Q5943" s="4" t="str">
        <f>IFERROR(__xludf.DUMMYFUNCTION("""COMPUTED_VALUE"""),"N/A (Not found)")</f>
        <v>N/A (Not found)</v>
      </c>
      <c r="R5943" s="33">
        <f>IFERROR(__xludf.DUMMYFUNCTION("""COMPUTED_VALUE"""),1.0)</f>
        <v>1</v>
      </c>
      <c r="S5943" s="4" t="str">
        <f>IFERROR(__xludf.DUMMYFUNCTION("""COMPUTED_VALUE"""),"N/A (Not found)")</f>
        <v>N/A (Not found)</v>
      </c>
      <c r="T5943" s="33">
        <f>IFERROR(__xludf.DUMMYFUNCTION("""COMPUTED_VALUE"""),1.0)</f>
        <v>1</v>
      </c>
      <c r="U5943" s="4" t="str">
        <f>IFERROR(__xludf.DUMMYFUNCTION("""COMPUTED_VALUE"""),"N/A (Not found)")</f>
        <v>N/A (Not found)</v>
      </c>
      <c r="V5943" s="33">
        <f>IFERROR(__xludf.DUMMYFUNCTION("""COMPUTED_VALUE"""),1.0)</f>
        <v>1</v>
      </c>
      <c r="W5943" s="4" t="str">
        <f>IFERROR(__xludf.DUMMYFUNCTION("""COMPUTED_VALUE"""),"N/A (Not found)")</f>
        <v>N/A (Not found)</v>
      </c>
      <c r="X5943" s="33">
        <f>IFERROR(__xludf.DUMMYFUNCTION("""COMPUTED_VALUE"""),1.0)</f>
        <v>1</v>
      </c>
    </row>
    <row r="5944">
      <c r="K5944" s="4" t="str">
        <f>IFERROR(__xludf.DUMMYFUNCTION("""COMPUTED_VALUE"""),"LE PETIT CAFE")</f>
        <v>LE PETIT CAFE</v>
      </c>
      <c r="L5944" s="32">
        <f>IFERROR(__xludf.DUMMYFUNCTION("""COMPUTED_VALUE"""),2.0)</f>
        <v>2</v>
      </c>
      <c r="M5944" s="4" t="str">
        <f>IFERROR(__xludf.DUMMYFUNCTION("""COMPUTED_VALUE"""),"Consumer Soluções Em Tecnologia Ltda")</f>
        <v>Consumer Soluções Em Tecnologia Ltda</v>
      </c>
      <c r="N5944" s="33">
        <f>IFERROR(__xludf.DUMMYFUNCTION("""COMPUTED_VALUE"""),0.5)</f>
        <v>0.5</v>
      </c>
      <c r="O5944" s="4" t="str">
        <f>IFERROR(__xludf.DUMMYFUNCTION("""COMPUTED_VALUE"""),"null")</f>
        <v>null</v>
      </c>
      <c r="P5944" s="33">
        <f>IFERROR(__xludf.DUMMYFUNCTION("""COMPUTED_VALUE"""),0.5)</f>
        <v>0.5</v>
      </c>
      <c r="Q5944" s="4" t="str">
        <f>IFERROR(__xludf.DUMMYFUNCTION("""COMPUTED_VALUE"""),"null")</f>
        <v>null</v>
      </c>
      <c r="R5944" s="33">
        <f>IFERROR(__xludf.DUMMYFUNCTION("""COMPUTED_VALUE"""),0.5)</f>
        <v>0.5</v>
      </c>
      <c r="S5944" s="4" t="str">
        <f>IFERROR(__xludf.DUMMYFUNCTION("""COMPUTED_VALUE"""),"null")</f>
        <v>null</v>
      </c>
      <c r="T5944" s="33">
        <f>IFERROR(__xludf.DUMMYFUNCTION("""COMPUTED_VALUE"""),0.5)</f>
        <v>0.5</v>
      </c>
      <c r="U5944" s="4" t="str">
        <f>IFERROR(__xludf.DUMMYFUNCTION("""COMPUTED_VALUE"""),"null")</f>
        <v>null</v>
      </c>
      <c r="V5944" s="33">
        <f>IFERROR(__xludf.DUMMYFUNCTION("""COMPUTED_VALUE"""),0.5)</f>
        <v>0.5</v>
      </c>
      <c r="W5944" s="4" t="str">
        <f>IFERROR(__xludf.DUMMYFUNCTION("""COMPUTED_VALUE"""),"Consumer Soluções Em Tecnologia Ltda")</f>
        <v>Consumer Soluções Em Tecnologia Ltda</v>
      </c>
      <c r="X5944" s="33">
        <f>IFERROR(__xludf.DUMMYFUNCTION("""COMPUTED_VALUE"""),0.5)</f>
        <v>0.5</v>
      </c>
    </row>
    <row r="5945">
      <c r="K5945" s="4" t="str">
        <f>IFERROR(__xludf.DUMMYFUNCTION("""COMPUTED_VALUE"""),"PIZZA LAB")</f>
        <v>PIZZA LAB</v>
      </c>
      <c r="L5945" s="32">
        <f>IFERROR(__xludf.DUMMYFUNCTION("""COMPUTED_VALUE"""),2.0)</f>
        <v>2</v>
      </c>
      <c r="M5945" s="4" t="str">
        <f>IFERROR(__xludf.DUMMYFUNCTION("""COMPUTED_VALUE"""),"Cardápio Web")</f>
        <v>Cardápio Web</v>
      </c>
      <c r="N5945" s="33">
        <f>IFERROR(__xludf.DUMMYFUNCTION("""COMPUTED_VALUE"""),1.0)</f>
        <v>1</v>
      </c>
      <c r="O5945" s="4" t="str">
        <f>IFERROR(__xludf.DUMMYFUNCTION("""COMPUTED_VALUE"""),"Cardápio Web")</f>
        <v>Cardápio Web</v>
      </c>
      <c r="P5945" s="33">
        <f>IFERROR(__xludf.DUMMYFUNCTION("""COMPUTED_VALUE"""),1.0)</f>
        <v>1</v>
      </c>
      <c r="Q5945" s="4" t="str">
        <f>IFERROR(__xludf.DUMMYFUNCTION("""COMPUTED_VALUE"""),"Cardápio Web")</f>
        <v>Cardápio Web</v>
      </c>
      <c r="R5945" s="33">
        <f>IFERROR(__xludf.DUMMYFUNCTION("""COMPUTED_VALUE"""),1.0)</f>
        <v>1</v>
      </c>
      <c r="S5945" s="4" t="str">
        <f>IFERROR(__xludf.DUMMYFUNCTION("""COMPUTED_VALUE"""),"Cardápio Web")</f>
        <v>Cardápio Web</v>
      </c>
      <c r="T5945" s="33">
        <f>IFERROR(__xludf.DUMMYFUNCTION("""COMPUTED_VALUE"""),1.0)</f>
        <v>1</v>
      </c>
      <c r="U5945" s="4" t="str">
        <f>IFERROR(__xludf.DUMMYFUNCTION("""COMPUTED_VALUE"""),"Cardápio Web")</f>
        <v>Cardápio Web</v>
      </c>
      <c r="V5945" s="33">
        <f>IFERROR(__xludf.DUMMYFUNCTION("""COMPUTED_VALUE"""),1.0)</f>
        <v>1</v>
      </c>
      <c r="W5945" s="4" t="str">
        <f>IFERROR(__xludf.DUMMYFUNCTION("""COMPUTED_VALUE"""),"Cardápio Web")</f>
        <v>Cardápio Web</v>
      </c>
      <c r="X5945" s="33">
        <f>IFERROR(__xludf.DUMMYFUNCTION("""COMPUTED_VALUE"""),1.0)</f>
        <v>1</v>
      </c>
    </row>
    <row r="5946">
      <c r="K5946" s="4" t="str">
        <f>IFERROR(__xludf.DUMMYFUNCTION("""COMPUTED_VALUE"""),"CARECAS DELIVERY")</f>
        <v>CARECAS DELIVERY</v>
      </c>
      <c r="L5946" s="32">
        <f>IFERROR(__xludf.DUMMYFUNCTION("""COMPUTED_VALUE"""),2.0)</f>
        <v>2</v>
      </c>
      <c r="M5946" s="4" t="str">
        <f>IFERROR(__xludf.DUMMYFUNCTION("""COMPUTED_VALUE"""),"Saipos Serviços De Software")</f>
        <v>Saipos Serviços De Software</v>
      </c>
      <c r="N5946" s="33">
        <f>IFERROR(__xludf.DUMMYFUNCTION("""COMPUTED_VALUE"""),0.5)</f>
        <v>0.5</v>
      </c>
      <c r="O5946" s="4" t="str">
        <f>IFERROR(__xludf.DUMMYFUNCTION("""COMPUTED_VALUE"""),"Saipos Serviços De Software")</f>
        <v>Saipos Serviços De Software</v>
      </c>
      <c r="P5946" s="33">
        <f>IFERROR(__xludf.DUMMYFUNCTION("""COMPUTED_VALUE"""),0.5)</f>
        <v>0.5</v>
      </c>
      <c r="Q5946" s="4" t="str">
        <f>IFERROR(__xludf.DUMMYFUNCTION("""COMPUTED_VALUE"""),"Saipos Serviços De Software")</f>
        <v>Saipos Serviços De Software</v>
      </c>
      <c r="R5946" s="33">
        <f>IFERROR(__xludf.DUMMYFUNCTION("""COMPUTED_VALUE"""),0.5)</f>
        <v>0.5</v>
      </c>
      <c r="S5946" s="4" t="str">
        <f>IFERROR(__xludf.DUMMYFUNCTION("""COMPUTED_VALUE"""),"null")</f>
        <v>null</v>
      </c>
      <c r="T5946" s="33">
        <f>IFERROR(__xludf.DUMMYFUNCTION("""COMPUTED_VALUE"""),0.5)</f>
        <v>0.5</v>
      </c>
      <c r="U5946" s="4" t="str">
        <f>IFERROR(__xludf.DUMMYFUNCTION("""COMPUTED_VALUE"""),"null")</f>
        <v>null</v>
      </c>
      <c r="V5946" s="33">
        <f>IFERROR(__xludf.DUMMYFUNCTION("""COMPUTED_VALUE"""),0.5)</f>
        <v>0.5</v>
      </c>
      <c r="W5946" s="4" t="str">
        <f>IFERROR(__xludf.DUMMYFUNCTION("""COMPUTED_VALUE"""),"null")</f>
        <v>null</v>
      </c>
      <c r="X5946" s="33">
        <f>IFERROR(__xludf.DUMMYFUNCTION("""COMPUTED_VALUE"""),0.5)</f>
        <v>0.5</v>
      </c>
    </row>
    <row r="5947">
      <c r="K5947" s="4" t="str">
        <f>IFERROR(__xludf.DUMMYFUNCTION("""COMPUTED_VALUE"""),"DELICIAS DA TATA")</f>
        <v>DELICIAS DA TATA</v>
      </c>
      <c r="L5947" s="32">
        <f>IFERROR(__xludf.DUMMYFUNCTION("""COMPUTED_VALUE"""),2.0)</f>
        <v>2</v>
      </c>
      <c r="M5947" s="4" t="str">
        <f>IFERROR(__xludf.DUMMYFUNCTION("""COMPUTED_VALUE"""),"null")</f>
        <v>null</v>
      </c>
      <c r="N5947" s="33">
        <f>IFERROR(__xludf.DUMMYFUNCTION("""COMPUTED_VALUE"""),1.0)</f>
        <v>1</v>
      </c>
      <c r="O5947" s="4" t="str">
        <f>IFERROR(__xludf.DUMMYFUNCTION("""COMPUTED_VALUE"""),"null")</f>
        <v>null</v>
      </c>
      <c r="P5947" s="33">
        <f>IFERROR(__xludf.DUMMYFUNCTION("""COMPUTED_VALUE"""),1.0)</f>
        <v>1</v>
      </c>
      <c r="Q5947" s="4" t="str">
        <f>IFERROR(__xludf.DUMMYFUNCTION("""COMPUTED_VALUE"""),"Anota Ai Solucoes Digitais S/a")</f>
        <v>Anota Ai Solucoes Digitais S/a</v>
      </c>
      <c r="R5947" s="33">
        <f>IFERROR(__xludf.DUMMYFUNCTION("""COMPUTED_VALUE"""),0.5)</f>
        <v>0.5</v>
      </c>
      <c r="S5947" s="4" t="str">
        <f>IFERROR(__xludf.DUMMYFUNCTION("""COMPUTED_VALUE"""),"null")</f>
        <v>null</v>
      </c>
      <c r="T5947" s="33">
        <f>IFERROR(__xludf.DUMMYFUNCTION("""COMPUTED_VALUE"""),1.0)</f>
        <v>1</v>
      </c>
      <c r="U5947" s="4" t="str">
        <f>IFERROR(__xludf.DUMMYFUNCTION("""COMPUTED_VALUE"""),"null")</f>
        <v>null</v>
      </c>
      <c r="V5947" s="33">
        <f>IFERROR(__xludf.DUMMYFUNCTION("""COMPUTED_VALUE"""),0.5)</f>
        <v>0.5</v>
      </c>
      <c r="W5947" s="4" t="str">
        <f>IFERROR(__xludf.DUMMYFUNCTION("""COMPUTED_VALUE"""),"null")</f>
        <v>null</v>
      </c>
      <c r="X5947" s="33">
        <f>IFERROR(__xludf.DUMMYFUNCTION("""COMPUTED_VALUE"""),1.0)</f>
        <v>1</v>
      </c>
    </row>
    <row r="5948">
      <c r="K5948" s="4" t="str">
        <f>IFERROR(__xludf.DUMMYFUNCTION("""COMPUTED_VALUE"""),"EUROPA ACAI")</f>
        <v>EUROPA ACAI</v>
      </c>
      <c r="L5948" s="32">
        <f>IFERROR(__xludf.DUMMYFUNCTION("""COMPUTED_VALUE"""),2.0)</f>
        <v>2</v>
      </c>
      <c r="M5948" s="4" t="str">
        <f>IFERROR(__xludf.DUMMYFUNCTION("""COMPUTED_VALUE"""),"Beefood - Sistema Para Restaurantes")</f>
        <v>Beefood - Sistema Para Restaurantes</v>
      </c>
      <c r="N5948" s="33">
        <f>IFERROR(__xludf.DUMMYFUNCTION("""COMPUTED_VALUE"""),0.5)</f>
        <v>0.5</v>
      </c>
      <c r="O5948" s="4" t="str">
        <f>IFERROR(__xludf.DUMMYFUNCTION("""COMPUTED_VALUE"""),"Beefood - Sistema Para Restaurantes")</f>
        <v>Beefood - Sistema Para Restaurantes</v>
      </c>
      <c r="P5948" s="33">
        <f>IFERROR(__xludf.DUMMYFUNCTION("""COMPUTED_VALUE"""),0.5)</f>
        <v>0.5</v>
      </c>
      <c r="Q5948" s="4" t="str">
        <f>IFERROR(__xludf.DUMMYFUNCTION("""COMPUTED_VALUE"""),"Beefood - Sistema Para Restaurantes")</f>
        <v>Beefood - Sistema Para Restaurantes</v>
      </c>
      <c r="R5948" s="33">
        <f>IFERROR(__xludf.DUMMYFUNCTION("""COMPUTED_VALUE"""),0.5)</f>
        <v>0.5</v>
      </c>
      <c r="S5948" s="4" t="str">
        <f>IFERROR(__xludf.DUMMYFUNCTION("""COMPUTED_VALUE"""),"Beefood - Sistema Para Restaurantes")</f>
        <v>Beefood - Sistema Para Restaurantes</v>
      </c>
      <c r="T5948" s="33">
        <f>IFERROR(__xludf.DUMMYFUNCTION("""COMPUTED_VALUE"""),0.5)</f>
        <v>0.5</v>
      </c>
      <c r="U5948" s="4" t="str">
        <f>IFERROR(__xludf.DUMMYFUNCTION("""COMPUTED_VALUE"""),"Beefood - Sistema Para Restaurantes")</f>
        <v>Beefood - Sistema Para Restaurantes</v>
      </c>
      <c r="V5948" s="33">
        <f>IFERROR(__xludf.DUMMYFUNCTION("""COMPUTED_VALUE"""),0.5)</f>
        <v>0.5</v>
      </c>
      <c r="W5948" s="4" t="str">
        <f>IFERROR(__xludf.DUMMYFUNCTION("""COMPUTED_VALUE"""),"Beefood - Sistema Para Restaurantes")</f>
        <v>Beefood - Sistema Para Restaurantes</v>
      </c>
      <c r="X5948" s="33">
        <f>IFERROR(__xludf.DUMMYFUNCTION("""COMPUTED_VALUE"""),0.5)</f>
        <v>0.5</v>
      </c>
    </row>
    <row r="5949">
      <c r="K5949" s="4" t="str">
        <f>IFERROR(__xludf.DUMMYFUNCTION("""COMPUTED_VALUE"""),"DROGARIA DF FARMA")</f>
        <v>DROGARIA DF FARMA</v>
      </c>
      <c r="L5949" s="32">
        <f>IFERROR(__xludf.DUMMYFUNCTION("""COMPUTED_VALUE"""),2.0)</f>
        <v>2</v>
      </c>
      <c r="M5949" s="4" t="str">
        <f>IFERROR(__xludf.DUMMYFUNCTION("""COMPUTED_VALUE"""),"null")</f>
        <v>null</v>
      </c>
      <c r="N5949" s="33">
        <f>IFERROR(__xludf.DUMMYFUNCTION("""COMPUTED_VALUE"""),0.5)</f>
        <v>0.5</v>
      </c>
      <c r="O5949" s="4" t="str">
        <f>IFERROR(__xludf.DUMMYFUNCTION("""COMPUTED_VALUE"""),"null")</f>
        <v>null</v>
      </c>
      <c r="P5949" s="33">
        <f>IFERROR(__xludf.DUMMYFUNCTION("""COMPUTED_VALUE"""),0.5)</f>
        <v>0.5</v>
      </c>
      <c r="Q5949" s="4" t="str">
        <f>IFERROR(__xludf.DUMMYFUNCTION("""COMPUTED_VALUE"""),"null")</f>
        <v>null</v>
      </c>
      <c r="R5949" s="33">
        <f>IFERROR(__xludf.DUMMYFUNCTION("""COMPUTED_VALUE"""),0.5)</f>
        <v>0.5</v>
      </c>
      <c r="S5949" s="4" t="str">
        <f>IFERROR(__xludf.DUMMYFUNCTION("""COMPUTED_VALUE"""),"N/A (Not found)")</f>
        <v>N/A (Not found)</v>
      </c>
      <c r="T5949" s="33">
        <f>IFERROR(__xludf.DUMMYFUNCTION("""COMPUTED_VALUE"""),1.0)</f>
        <v>1</v>
      </c>
      <c r="U5949" s="4" t="str">
        <f>IFERROR(__xludf.DUMMYFUNCTION("""COMPUTED_VALUE"""),"N/A (Not found)")</f>
        <v>N/A (Not found)</v>
      </c>
      <c r="V5949" s="33">
        <f>IFERROR(__xludf.DUMMYFUNCTION("""COMPUTED_VALUE"""),1.0)</f>
        <v>1</v>
      </c>
      <c r="W5949" s="4" t="str">
        <f>IFERROR(__xludf.DUMMYFUNCTION("""COMPUTED_VALUE"""),"N/A (Not found)")</f>
        <v>N/A (Not found)</v>
      </c>
      <c r="X5949" s="33">
        <f>IFERROR(__xludf.DUMMYFUNCTION("""COMPUTED_VALUE"""),1.0)</f>
        <v>1</v>
      </c>
    </row>
    <row r="5950">
      <c r="K5950" s="4" t="str">
        <f>IFERROR(__xludf.DUMMYFUNCTION("""COMPUTED_VALUE"""),"DUFFS ADEGA E DISTRIBUIDORA DE BEBIDAS")</f>
        <v>DUFFS ADEGA E DISTRIBUIDORA DE BEBIDAS</v>
      </c>
      <c r="L5950" s="32">
        <f>IFERROR(__xludf.DUMMYFUNCTION("""COMPUTED_VALUE"""),2.0)</f>
        <v>2</v>
      </c>
      <c r="M5950" s="4" t="str">
        <f>IFERROR(__xludf.DUMMYFUNCTION("""COMPUTED_VALUE"""),"null")</f>
        <v>null</v>
      </c>
      <c r="N5950" s="33">
        <f>IFERROR(__xludf.DUMMYFUNCTION("""COMPUTED_VALUE"""),1.0)</f>
        <v>1</v>
      </c>
      <c r="O5950" s="4" t="str">
        <f>IFERROR(__xludf.DUMMYFUNCTION("""COMPUTED_VALUE"""),"N/A (Not found)")</f>
        <v>N/A (Not found)</v>
      </c>
      <c r="P5950" s="33">
        <f>IFERROR(__xludf.DUMMYFUNCTION("""COMPUTED_VALUE"""),0.5)</f>
        <v>0.5</v>
      </c>
      <c r="Q5950" s="4" t="str">
        <f>IFERROR(__xludf.DUMMYFUNCTION("""COMPUTED_VALUE"""),"N/A (Not found)")</f>
        <v>N/A (Not found)</v>
      </c>
      <c r="R5950" s="33">
        <f>IFERROR(__xludf.DUMMYFUNCTION("""COMPUTED_VALUE"""),0.5)</f>
        <v>0.5</v>
      </c>
      <c r="S5950" s="4" t="str">
        <f>IFERROR(__xludf.DUMMYFUNCTION("""COMPUTED_VALUE"""),"null")</f>
        <v>null</v>
      </c>
      <c r="T5950" s="33">
        <f>IFERROR(__xludf.DUMMYFUNCTION("""COMPUTED_VALUE"""),1.0)</f>
        <v>1</v>
      </c>
      <c r="U5950" s="4" t="str">
        <f>IFERROR(__xludf.DUMMYFUNCTION("""COMPUTED_VALUE"""),"null")</f>
        <v>null</v>
      </c>
      <c r="V5950" s="33">
        <f>IFERROR(__xludf.DUMMYFUNCTION("""COMPUTED_VALUE"""),1.0)</f>
        <v>1</v>
      </c>
      <c r="W5950" s="4" t="str">
        <f>IFERROR(__xludf.DUMMYFUNCTION("""COMPUTED_VALUE"""),"null")</f>
        <v>null</v>
      </c>
      <c r="X5950" s="33">
        <f>IFERROR(__xludf.DUMMYFUNCTION("""COMPUTED_VALUE"""),1.0)</f>
        <v>1</v>
      </c>
    </row>
    <row r="5951">
      <c r="K5951" s="4" t="str">
        <f>IFERROR(__xludf.DUMMYFUNCTION("""COMPUTED_VALUE"""),"FARMAVIDA")</f>
        <v>FARMAVIDA</v>
      </c>
      <c r="L5951" s="32">
        <f>IFERROR(__xludf.DUMMYFUNCTION("""COMPUTED_VALUE"""),2.0)</f>
        <v>2</v>
      </c>
      <c r="M5951" s="4" t="str">
        <f>IFERROR(__xludf.DUMMYFUNCTION("""COMPUTED_VALUE"""),"N/A (Not found)")</f>
        <v>N/A (Not found)</v>
      </c>
      <c r="N5951" s="33">
        <f>IFERROR(__xludf.DUMMYFUNCTION("""COMPUTED_VALUE"""),1.0)</f>
        <v>1</v>
      </c>
      <c r="O5951" s="4" t="str">
        <f>IFERROR(__xludf.DUMMYFUNCTION("""COMPUTED_VALUE"""),"N/A (Not found)")</f>
        <v>N/A (Not found)</v>
      </c>
      <c r="P5951" s="33">
        <f>IFERROR(__xludf.DUMMYFUNCTION("""COMPUTED_VALUE"""),1.0)</f>
        <v>1</v>
      </c>
      <c r="Q5951" s="4" t="str">
        <f>IFERROR(__xludf.DUMMYFUNCTION("""COMPUTED_VALUE"""),"N/A (Not found)")</f>
        <v>N/A (Not found)</v>
      </c>
      <c r="R5951" s="33">
        <f>IFERROR(__xludf.DUMMYFUNCTION("""COMPUTED_VALUE"""),1.0)</f>
        <v>1</v>
      </c>
      <c r="S5951" s="4" t="str">
        <f>IFERROR(__xludf.DUMMYFUNCTION("""COMPUTED_VALUE"""),"N/A (Not found)")</f>
        <v>N/A (Not found)</v>
      </c>
      <c r="T5951" s="33">
        <f>IFERROR(__xludf.DUMMYFUNCTION("""COMPUTED_VALUE"""),1.0)</f>
        <v>1</v>
      </c>
      <c r="U5951" s="4" t="str">
        <f>IFERROR(__xludf.DUMMYFUNCTION("""COMPUTED_VALUE"""),"N/A (Not found)")</f>
        <v>N/A (Not found)</v>
      </c>
      <c r="V5951" s="33">
        <f>IFERROR(__xludf.DUMMYFUNCTION("""COMPUTED_VALUE"""),1.0)</f>
        <v>1</v>
      </c>
      <c r="W5951" s="4" t="str">
        <f>IFERROR(__xludf.DUMMYFUNCTION("""COMPUTED_VALUE"""),"N/A (Not found)")</f>
        <v>N/A (Not found)</v>
      </c>
      <c r="X5951" s="33">
        <f>IFERROR(__xludf.DUMMYFUNCTION("""COMPUTED_VALUE"""),1.0)</f>
        <v>1</v>
      </c>
    </row>
    <row r="5952">
      <c r="K5952" s="4" t="str">
        <f>IFERROR(__xludf.DUMMYFUNCTION("""COMPUTED_VALUE"""),"CONFFEITOU")</f>
        <v>CONFFEITOU</v>
      </c>
      <c r="L5952" s="32">
        <f>IFERROR(__xludf.DUMMYFUNCTION("""COMPUTED_VALUE"""),2.0)</f>
        <v>2</v>
      </c>
      <c r="M5952" s="4" t="str">
        <f>IFERROR(__xludf.DUMMYFUNCTION("""COMPUTED_VALUE"""),"null")</f>
        <v>null</v>
      </c>
      <c r="N5952" s="33">
        <f>IFERROR(__xludf.DUMMYFUNCTION("""COMPUTED_VALUE"""),0.5)</f>
        <v>0.5</v>
      </c>
      <c r="O5952" s="4" t="str">
        <f>IFERROR(__xludf.DUMMYFUNCTION("""COMPUTED_VALUE"""),"Olaclick")</f>
        <v>Olaclick</v>
      </c>
      <c r="P5952" s="33">
        <f>IFERROR(__xludf.DUMMYFUNCTION("""COMPUTED_VALUE"""),1.0)</f>
        <v>1</v>
      </c>
      <c r="Q5952" s="4" t="str">
        <f>IFERROR(__xludf.DUMMYFUNCTION("""COMPUTED_VALUE"""),"Olaclick")</f>
        <v>Olaclick</v>
      </c>
      <c r="R5952" s="33">
        <f>IFERROR(__xludf.DUMMYFUNCTION("""COMPUTED_VALUE"""),0.5)</f>
        <v>0.5</v>
      </c>
      <c r="S5952" s="4" t="str">
        <f>IFERROR(__xludf.DUMMYFUNCTION("""COMPUTED_VALUE"""),"Olaclick")</f>
        <v>Olaclick</v>
      </c>
      <c r="T5952" s="33">
        <f>IFERROR(__xludf.DUMMYFUNCTION("""COMPUTED_VALUE"""),0.5)</f>
        <v>0.5</v>
      </c>
      <c r="U5952" s="4" t="str">
        <f>IFERROR(__xludf.DUMMYFUNCTION("""COMPUTED_VALUE"""),"Olaclick")</f>
        <v>Olaclick</v>
      </c>
      <c r="V5952" s="33">
        <f>IFERROR(__xludf.DUMMYFUNCTION("""COMPUTED_VALUE"""),0.5)</f>
        <v>0.5</v>
      </c>
      <c r="W5952" s="4" t="str">
        <f>IFERROR(__xludf.DUMMYFUNCTION("""COMPUTED_VALUE"""),"Olaclick")</f>
        <v>Olaclick</v>
      </c>
      <c r="X5952" s="33">
        <f>IFERROR(__xludf.DUMMYFUNCTION("""COMPUTED_VALUE"""),0.5)</f>
        <v>0.5</v>
      </c>
    </row>
    <row r="5953">
      <c r="K5953" s="4" t="str">
        <f>IFERROR(__xludf.DUMMYFUNCTION("""COMPUTED_VALUE"""),"CAMPEAO FARMA")</f>
        <v>CAMPEAO FARMA</v>
      </c>
      <c r="L5953" s="32">
        <f>IFERROR(__xludf.DUMMYFUNCTION("""COMPUTED_VALUE"""),2.0)</f>
        <v>2</v>
      </c>
      <c r="M5953" s="4" t="str">
        <f>IFERROR(__xludf.DUMMYFUNCTION("""COMPUTED_VALUE"""),"null")</f>
        <v>null</v>
      </c>
      <c r="N5953" s="33">
        <f>IFERROR(__xludf.DUMMYFUNCTION("""COMPUTED_VALUE"""),1.0)</f>
        <v>1</v>
      </c>
      <c r="O5953" s="4" t="str">
        <f>IFERROR(__xludf.DUMMYFUNCTION("""COMPUTED_VALUE"""),"N/A (Not found)")</f>
        <v>N/A (Not found)</v>
      </c>
      <c r="P5953" s="33">
        <f>IFERROR(__xludf.DUMMYFUNCTION("""COMPUTED_VALUE"""),0.5)</f>
        <v>0.5</v>
      </c>
      <c r="Q5953" s="4" t="str">
        <f>IFERROR(__xludf.DUMMYFUNCTION("""COMPUTED_VALUE"""),"N/A (Not found)")</f>
        <v>N/A (Not found)</v>
      </c>
      <c r="R5953" s="33">
        <f>IFERROR(__xludf.DUMMYFUNCTION("""COMPUTED_VALUE"""),1.0)</f>
        <v>1</v>
      </c>
      <c r="S5953" s="4" t="str">
        <f>IFERROR(__xludf.DUMMYFUNCTION("""COMPUTED_VALUE"""),"N/A (Not found)")</f>
        <v>N/A (Not found)</v>
      </c>
      <c r="T5953" s="33">
        <f>IFERROR(__xludf.DUMMYFUNCTION("""COMPUTED_VALUE"""),1.0)</f>
        <v>1</v>
      </c>
      <c r="U5953" s="4" t="str">
        <f>IFERROR(__xludf.DUMMYFUNCTION("""COMPUTED_VALUE"""),"N/A (Not found)")</f>
        <v>N/A (Not found)</v>
      </c>
      <c r="V5953" s="33">
        <f>IFERROR(__xludf.DUMMYFUNCTION("""COMPUTED_VALUE"""),1.0)</f>
        <v>1</v>
      </c>
      <c r="W5953" s="4" t="str">
        <f>IFERROR(__xludf.DUMMYFUNCTION("""COMPUTED_VALUE"""),"N/A (Not found)")</f>
        <v>N/A (Not found)</v>
      </c>
      <c r="X5953" s="33">
        <f>IFERROR(__xludf.DUMMYFUNCTION("""COMPUTED_VALUE"""),1.0)</f>
        <v>1</v>
      </c>
    </row>
    <row r="5954">
      <c r="K5954" s="4" t="str">
        <f>IFERROR(__xludf.DUMMYFUNCTION("""COMPUTED_VALUE"""),"DISK GELADA")</f>
        <v>DISK GELADA</v>
      </c>
      <c r="L5954" s="32">
        <f>IFERROR(__xludf.DUMMYFUNCTION("""COMPUTED_VALUE"""),2.0)</f>
        <v>2</v>
      </c>
      <c r="M5954" s="4" t="str">
        <f>IFERROR(__xludf.DUMMYFUNCTION("""COMPUTED_VALUE"""),"N/A (Not found)")</f>
        <v>N/A (Not found)</v>
      </c>
      <c r="N5954" s="33">
        <f>IFERROR(__xludf.DUMMYFUNCTION("""COMPUTED_VALUE"""),0.5)</f>
        <v>0.5</v>
      </c>
      <c r="O5954" s="4" t="str">
        <f>IFERROR(__xludf.DUMMYFUNCTION("""COMPUTED_VALUE"""),"N/A (Not found)")</f>
        <v>N/A (Not found)</v>
      </c>
      <c r="P5954" s="33">
        <f>IFERROR(__xludf.DUMMYFUNCTION("""COMPUTED_VALUE"""),0.5)</f>
        <v>0.5</v>
      </c>
      <c r="Q5954" s="4" t="str">
        <f>IFERROR(__xludf.DUMMYFUNCTION("""COMPUTED_VALUE"""),"N/A (Not found)")</f>
        <v>N/A (Not found)</v>
      </c>
      <c r="R5954" s="33">
        <f>IFERROR(__xludf.DUMMYFUNCTION("""COMPUTED_VALUE"""),0.5)</f>
        <v>0.5</v>
      </c>
      <c r="S5954" s="4" t="str">
        <f>IFERROR(__xludf.DUMMYFUNCTION("""COMPUTED_VALUE"""),"null")</f>
        <v>null</v>
      </c>
      <c r="T5954" s="33">
        <f>IFERROR(__xludf.DUMMYFUNCTION("""COMPUTED_VALUE"""),0.5)</f>
        <v>0.5</v>
      </c>
      <c r="U5954" s="4" t="str">
        <f>IFERROR(__xludf.DUMMYFUNCTION("""COMPUTED_VALUE"""),"null")</f>
        <v>null</v>
      </c>
      <c r="V5954" s="33">
        <f>IFERROR(__xludf.DUMMYFUNCTION("""COMPUTED_VALUE"""),1.0)</f>
        <v>1</v>
      </c>
      <c r="W5954" s="4" t="str">
        <f>IFERROR(__xludf.DUMMYFUNCTION("""COMPUTED_VALUE"""),"null")</f>
        <v>null</v>
      </c>
      <c r="X5954" s="33">
        <f>IFERROR(__xludf.DUMMYFUNCTION("""COMPUTED_VALUE"""),1.0)</f>
        <v>1</v>
      </c>
    </row>
    <row r="5955">
      <c r="K5955" s="4" t="str">
        <f>IFERROR(__xludf.DUMMYFUNCTION("""COMPUTED_VALUE"""),"VINIS BURGER")</f>
        <v>VINIS BURGER</v>
      </c>
      <c r="L5955" s="32">
        <f>IFERROR(__xludf.DUMMYFUNCTION("""COMPUTED_VALUE"""),2.0)</f>
        <v>2</v>
      </c>
      <c r="M5955" s="4" t="str">
        <f>IFERROR(__xludf.DUMMYFUNCTION("""COMPUTED_VALUE"""),"null")</f>
        <v>null</v>
      </c>
      <c r="N5955" s="33">
        <f>IFERROR(__xludf.DUMMYFUNCTION("""COMPUTED_VALUE"""),0.5)</f>
        <v>0.5</v>
      </c>
      <c r="O5955" s="4" t="str">
        <f>IFERROR(__xludf.DUMMYFUNCTION("""COMPUTED_VALUE"""),"null")</f>
        <v>null</v>
      </c>
      <c r="P5955" s="33">
        <f>IFERROR(__xludf.DUMMYFUNCTION("""COMPUTED_VALUE"""),0.5)</f>
        <v>0.5</v>
      </c>
      <c r="Q5955" s="4" t="str">
        <f>IFERROR(__xludf.DUMMYFUNCTION("""COMPUTED_VALUE"""),"Diggy")</f>
        <v>Diggy</v>
      </c>
      <c r="R5955" s="33">
        <f>IFERROR(__xludf.DUMMYFUNCTION("""COMPUTED_VALUE"""),0.5)</f>
        <v>0.5</v>
      </c>
      <c r="S5955" s="4" t="str">
        <f>IFERROR(__xludf.DUMMYFUNCTION("""COMPUTED_VALUE"""),"null")</f>
        <v>null</v>
      </c>
      <c r="T5955" s="33">
        <f>IFERROR(__xludf.DUMMYFUNCTION("""COMPUTED_VALUE"""),0.5)</f>
        <v>0.5</v>
      </c>
      <c r="U5955" s="4" t="str">
        <f>IFERROR(__xludf.DUMMYFUNCTION("""COMPUTED_VALUE"""),"Diggy")</f>
        <v>Diggy</v>
      </c>
      <c r="V5955" s="33">
        <f>IFERROR(__xludf.DUMMYFUNCTION("""COMPUTED_VALUE"""),0.5)</f>
        <v>0.5</v>
      </c>
      <c r="W5955" s="4" t="str">
        <f>IFERROR(__xludf.DUMMYFUNCTION("""COMPUTED_VALUE"""),"Diggy")</f>
        <v>Diggy</v>
      </c>
      <c r="X5955" s="33">
        <f>IFERROR(__xludf.DUMMYFUNCTION("""COMPUTED_VALUE"""),0.5)</f>
        <v>0.5</v>
      </c>
    </row>
    <row r="5956">
      <c r="K5956" s="4" t="str">
        <f>IFERROR(__xludf.DUMMYFUNCTION("""COMPUTED_VALUE"""),"BIG BOSS PIZZARIA")</f>
        <v>BIG BOSS PIZZARIA</v>
      </c>
      <c r="L5956" s="32">
        <f>IFERROR(__xludf.DUMMYFUNCTION("""COMPUTED_VALUE"""),2.0)</f>
        <v>2</v>
      </c>
      <c r="M5956" s="4" t="str">
        <f>IFERROR(__xludf.DUMMYFUNCTION("""COMPUTED_VALUE"""),"null")</f>
        <v>null</v>
      </c>
      <c r="N5956" s="33">
        <f>IFERROR(__xludf.DUMMYFUNCTION("""COMPUTED_VALUE"""),0.5)</f>
        <v>0.5</v>
      </c>
      <c r="O5956" s="4" t="str">
        <f>IFERROR(__xludf.DUMMYFUNCTION("""COMPUTED_VALUE"""),"null")</f>
        <v>null</v>
      </c>
      <c r="P5956" s="33">
        <f>IFERROR(__xludf.DUMMYFUNCTION("""COMPUTED_VALUE"""),0.5)</f>
        <v>0.5</v>
      </c>
      <c r="Q5956" s="4" t="str">
        <f>IFERROR(__xludf.DUMMYFUNCTION("""COMPUTED_VALUE"""),"null")</f>
        <v>null</v>
      </c>
      <c r="R5956" s="33">
        <f>IFERROR(__xludf.DUMMYFUNCTION("""COMPUTED_VALUE"""),0.5)</f>
        <v>0.5</v>
      </c>
      <c r="S5956" s="4" t="str">
        <f>IFERROR(__xludf.DUMMYFUNCTION("""COMPUTED_VALUE"""),"null")</f>
        <v>null</v>
      </c>
      <c r="T5956" s="33">
        <f>IFERROR(__xludf.DUMMYFUNCTION("""COMPUTED_VALUE"""),0.5)</f>
        <v>0.5</v>
      </c>
      <c r="U5956" s="4" t="str">
        <f>IFERROR(__xludf.DUMMYFUNCTION("""COMPUTED_VALUE"""),"Saipos Serviços De Software")</f>
        <v>Saipos Serviços De Software</v>
      </c>
      <c r="V5956" s="33">
        <f>IFERROR(__xludf.DUMMYFUNCTION("""COMPUTED_VALUE"""),0.5)</f>
        <v>0.5</v>
      </c>
      <c r="W5956" s="4" t="str">
        <f>IFERROR(__xludf.DUMMYFUNCTION("""COMPUTED_VALUE"""),"Saipos Serviços De Software")</f>
        <v>Saipos Serviços De Software</v>
      </c>
      <c r="X5956" s="33">
        <f>IFERROR(__xludf.DUMMYFUNCTION("""COMPUTED_VALUE"""),0.5)</f>
        <v>0.5</v>
      </c>
    </row>
    <row r="5957">
      <c r="K5957" s="4" t="str">
        <f>IFERROR(__xludf.DUMMYFUNCTION("""COMPUTED_VALUE"""),"HAMBURGUERIA E PIZZARIA RUSTIC BURGER")</f>
        <v>HAMBURGUERIA E PIZZARIA RUSTIC BURGER</v>
      </c>
      <c r="L5957" s="32">
        <f>IFERROR(__xludf.DUMMYFUNCTION("""COMPUTED_VALUE"""),2.0)</f>
        <v>2</v>
      </c>
      <c r="M5957" s="4" t="str">
        <f>IFERROR(__xludf.DUMMYFUNCTION("""COMPUTED_VALUE"""),"Anota Ai Solucoes Digitais S/a")</f>
        <v>Anota Ai Solucoes Digitais S/a</v>
      </c>
      <c r="N5957" s="33">
        <f>IFERROR(__xludf.DUMMYFUNCTION("""COMPUTED_VALUE"""),0.5)</f>
        <v>0.5</v>
      </c>
      <c r="O5957" s="4" t="str">
        <f>IFERROR(__xludf.DUMMYFUNCTION("""COMPUTED_VALUE"""),"null")</f>
        <v>null</v>
      </c>
      <c r="P5957" s="33">
        <f>IFERROR(__xludf.DUMMYFUNCTION("""COMPUTED_VALUE"""),0.5)</f>
        <v>0.5</v>
      </c>
      <c r="Q5957" s="4" t="str">
        <f>IFERROR(__xludf.DUMMYFUNCTION("""COMPUTED_VALUE"""),"null")</f>
        <v>null</v>
      </c>
      <c r="R5957" s="33">
        <f>IFERROR(__xludf.DUMMYFUNCTION("""COMPUTED_VALUE"""),0.5)</f>
        <v>0.5</v>
      </c>
      <c r="S5957" s="4" t="str">
        <f>IFERROR(__xludf.DUMMYFUNCTION("""COMPUTED_VALUE"""),"null")</f>
        <v>null</v>
      </c>
      <c r="T5957" s="33">
        <f>IFERROR(__xludf.DUMMYFUNCTION("""COMPUTED_VALUE"""),0.5)</f>
        <v>0.5</v>
      </c>
      <c r="U5957" s="4" t="str">
        <f>IFERROR(__xludf.DUMMYFUNCTION("""COMPUTED_VALUE"""),"null")</f>
        <v>null</v>
      </c>
      <c r="V5957" s="33">
        <f>IFERROR(__xludf.DUMMYFUNCTION("""COMPUTED_VALUE"""),0.5)</f>
        <v>0.5</v>
      </c>
      <c r="W5957" s="4" t="str">
        <f>IFERROR(__xludf.DUMMYFUNCTION("""COMPUTED_VALUE"""),"null")</f>
        <v>null</v>
      </c>
      <c r="X5957" s="33">
        <f>IFERROR(__xludf.DUMMYFUNCTION("""COMPUTED_VALUE"""),0.5)</f>
        <v>0.5</v>
      </c>
    </row>
    <row r="5958">
      <c r="K5958" s="4" t="str">
        <f>IFERROR(__xludf.DUMMYFUNCTION("""COMPUTED_VALUE"""),"CABOCO FAMINTO")</f>
        <v>CABOCO FAMINTO</v>
      </c>
      <c r="L5958" s="32">
        <f>IFERROR(__xludf.DUMMYFUNCTION("""COMPUTED_VALUE"""),2.0)</f>
        <v>2</v>
      </c>
      <c r="M5958" s="4" t="str">
        <f>IFERROR(__xludf.DUMMYFUNCTION("""COMPUTED_VALUE"""),"3a Solution")</f>
        <v>3a Solution</v>
      </c>
      <c r="N5958" s="33">
        <f>IFERROR(__xludf.DUMMYFUNCTION("""COMPUTED_VALUE"""),0.5)</f>
        <v>0.5</v>
      </c>
      <c r="O5958" s="4" t="str">
        <f>IFERROR(__xludf.DUMMYFUNCTION("""COMPUTED_VALUE"""),"3a Solution")</f>
        <v>3a Solution</v>
      </c>
      <c r="P5958" s="33">
        <f>IFERROR(__xludf.DUMMYFUNCTION("""COMPUTED_VALUE"""),0.5)</f>
        <v>0.5</v>
      </c>
      <c r="Q5958" s="4" t="str">
        <f>IFERROR(__xludf.DUMMYFUNCTION("""COMPUTED_VALUE"""),"3a Solution")</f>
        <v>3a Solution</v>
      </c>
      <c r="R5958" s="33">
        <f>IFERROR(__xludf.DUMMYFUNCTION("""COMPUTED_VALUE"""),0.5)</f>
        <v>0.5</v>
      </c>
      <c r="S5958" s="4" t="str">
        <f>IFERROR(__xludf.DUMMYFUNCTION("""COMPUTED_VALUE"""),"3a Solution")</f>
        <v>3a Solution</v>
      </c>
      <c r="T5958" s="33">
        <f>IFERROR(__xludf.DUMMYFUNCTION("""COMPUTED_VALUE"""),0.5)</f>
        <v>0.5</v>
      </c>
      <c r="U5958" s="4" t="str">
        <f>IFERROR(__xludf.DUMMYFUNCTION("""COMPUTED_VALUE"""),"3a Solution")</f>
        <v>3a Solution</v>
      </c>
      <c r="V5958" s="33">
        <f>IFERROR(__xludf.DUMMYFUNCTION("""COMPUTED_VALUE"""),0.5)</f>
        <v>0.5</v>
      </c>
      <c r="W5958" s="4" t="str">
        <f>IFERROR(__xludf.DUMMYFUNCTION("""COMPUTED_VALUE"""),"3a Solution")</f>
        <v>3a Solution</v>
      </c>
      <c r="X5958" s="33">
        <f>IFERROR(__xludf.DUMMYFUNCTION("""COMPUTED_VALUE"""),0.5)</f>
        <v>0.5</v>
      </c>
    </row>
    <row r="5959">
      <c r="K5959" s="4" t="str">
        <f>IFERROR(__xludf.DUMMYFUNCTION("""COMPUTED_VALUE"""),"LUIGI SALGADOS")</f>
        <v>LUIGI SALGADOS</v>
      </c>
      <c r="L5959" s="32">
        <f>IFERROR(__xludf.DUMMYFUNCTION("""COMPUTED_VALUE"""),2.0)</f>
        <v>2</v>
      </c>
      <c r="M5959" s="4" t="str">
        <f>IFERROR(__xludf.DUMMYFUNCTION("""COMPUTED_VALUE"""),"Softsa Sistemas De Informação Ltda")</f>
        <v>Softsa Sistemas De Informação Ltda</v>
      </c>
      <c r="N5959" s="33">
        <f>IFERROR(__xludf.DUMMYFUNCTION("""COMPUTED_VALUE"""),1.0)</f>
        <v>1</v>
      </c>
      <c r="O5959" s="4" t="str">
        <f>IFERROR(__xludf.DUMMYFUNCTION("""COMPUTED_VALUE"""),"Softsa Sistemas De Informação Ltda")</f>
        <v>Softsa Sistemas De Informação Ltda</v>
      </c>
      <c r="P5959" s="33">
        <f>IFERROR(__xludf.DUMMYFUNCTION("""COMPUTED_VALUE"""),1.0)</f>
        <v>1</v>
      </c>
      <c r="Q5959" s="4" t="str">
        <f>IFERROR(__xludf.DUMMYFUNCTION("""COMPUTED_VALUE"""),"Softsa Sistemas De Informação Ltda")</f>
        <v>Softsa Sistemas De Informação Ltda</v>
      </c>
      <c r="R5959" s="33">
        <f>IFERROR(__xludf.DUMMYFUNCTION("""COMPUTED_VALUE"""),1.0)</f>
        <v>1</v>
      </c>
      <c r="S5959" s="4" t="str">
        <f>IFERROR(__xludf.DUMMYFUNCTION("""COMPUTED_VALUE"""),"Softsa Sistemas De Informação Ltda")</f>
        <v>Softsa Sistemas De Informação Ltda</v>
      </c>
      <c r="T5959" s="33">
        <f>IFERROR(__xludf.DUMMYFUNCTION("""COMPUTED_VALUE"""),1.0)</f>
        <v>1</v>
      </c>
      <c r="U5959" s="4" t="str">
        <f>IFERROR(__xludf.DUMMYFUNCTION("""COMPUTED_VALUE"""),"Softsa Sistemas De Informação Ltda")</f>
        <v>Softsa Sistemas De Informação Ltda</v>
      </c>
      <c r="V5959" s="33">
        <f>IFERROR(__xludf.DUMMYFUNCTION("""COMPUTED_VALUE"""),1.0)</f>
        <v>1</v>
      </c>
      <c r="W5959" s="4" t="str">
        <f>IFERROR(__xludf.DUMMYFUNCTION("""COMPUTED_VALUE"""),"Softsa Sistemas De Informação Ltda")</f>
        <v>Softsa Sistemas De Informação Ltda</v>
      </c>
      <c r="X5959" s="33">
        <f>IFERROR(__xludf.DUMMYFUNCTION("""COMPUTED_VALUE"""),0.6666666666666666)</f>
        <v>0.6666666667</v>
      </c>
    </row>
    <row r="5960">
      <c r="K5960" s="4" t="str">
        <f>IFERROR(__xludf.DUMMYFUNCTION("""COMPUTED_VALUE"""),"PIZZARIA RODRIGUES")</f>
        <v>PIZZARIA RODRIGUES</v>
      </c>
      <c r="L5960" s="32">
        <f>IFERROR(__xludf.DUMMYFUNCTION("""COMPUTED_VALUE"""),2.0)</f>
        <v>2</v>
      </c>
      <c r="M5960" s="4" t="str">
        <f>IFERROR(__xludf.DUMMYFUNCTION("""COMPUTED_VALUE"""),"Cityfoods Ltda")</f>
        <v>Cityfoods Ltda</v>
      </c>
      <c r="N5960" s="33">
        <f>IFERROR(__xludf.DUMMYFUNCTION("""COMPUTED_VALUE"""),0.5)</f>
        <v>0.5</v>
      </c>
      <c r="O5960" s="4" t="str">
        <f>IFERROR(__xludf.DUMMYFUNCTION("""COMPUTED_VALUE"""),"Cityfoods Ltda")</f>
        <v>Cityfoods Ltda</v>
      </c>
      <c r="P5960" s="33">
        <f>IFERROR(__xludf.DUMMYFUNCTION("""COMPUTED_VALUE"""),0.5)</f>
        <v>0.5</v>
      </c>
      <c r="Q5960" s="4" t="str">
        <f>IFERROR(__xludf.DUMMYFUNCTION("""COMPUTED_VALUE"""),"Cityfoods Ltda")</f>
        <v>Cityfoods Ltda</v>
      </c>
      <c r="R5960" s="33">
        <f>IFERROR(__xludf.DUMMYFUNCTION("""COMPUTED_VALUE"""),0.5)</f>
        <v>0.5</v>
      </c>
      <c r="S5960" s="4" t="str">
        <f>IFERROR(__xludf.DUMMYFUNCTION("""COMPUTED_VALUE"""),"Cityfoods Ltda")</f>
        <v>Cityfoods Ltda</v>
      </c>
      <c r="T5960" s="33">
        <f>IFERROR(__xludf.DUMMYFUNCTION("""COMPUTED_VALUE"""),0.5)</f>
        <v>0.5</v>
      </c>
      <c r="U5960" s="4" t="str">
        <f>IFERROR(__xludf.DUMMYFUNCTION("""COMPUTED_VALUE"""),"Cityfoods Ltda")</f>
        <v>Cityfoods Ltda</v>
      </c>
      <c r="V5960" s="33">
        <f>IFERROR(__xludf.DUMMYFUNCTION("""COMPUTED_VALUE"""),0.5)</f>
        <v>0.5</v>
      </c>
      <c r="W5960" s="4" t="str">
        <f>IFERROR(__xludf.DUMMYFUNCTION("""COMPUTED_VALUE"""),"Cityfoods Ltda")</f>
        <v>Cityfoods Ltda</v>
      </c>
      <c r="X5960" s="33">
        <f>IFERROR(__xludf.DUMMYFUNCTION("""COMPUTED_VALUE"""),0.5)</f>
        <v>0.5</v>
      </c>
    </row>
    <row r="5961">
      <c r="K5961" s="4" t="str">
        <f>IFERROR(__xludf.DUMMYFUNCTION("""COMPUTED_VALUE"""),"RESTAURANTE CATULE")</f>
        <v>RESTAURANTE CATULE</v>
      </c>
      <c r="L5961" s="32">
        <f>IFERROR(__xludf.DUMMYFUNCTION("""COMPUTED_VALUE"""),2.0)</f>
        <v>2</v>
      </c>
      <c r="M5961" s="4" t="str">
        <f>IFERROR(__xludf.DUMMYFUNCTION("""COMPUTED_VALUE"""),"null")</f>
        <v>null</v>
      </c>
      <c r="N5961" s="33">
        <f>IFERROR(__xludf.DUMMYFUNCTION("""COMPUTED_VALUE"""),1.0)</f>
        <v>1</v>
      </c>
      <c r="O5961" s="4" t="str">
        <f>IFERROR(__xludf.DUMMYFUNCTION("""COMPUTED_VALUE"""),"L&amp;f Tecnologia Sistemas E Comercio Ltda")</f>
        <v>L&amp;f Tecnologia Sistemas E Comercio Ltda</v>
      </c>
      <c r="P5961" s="33">
        <f>IFERROR(__xludf.DUMMYFUNCTION("""COMPUTED_VALUE"""),0.5)</f>
        <v>0.5</v>
      </c>
      <c r="Q5961" s="4" t="str">
        <f>IFERROR(__xludf.DUMMYFUNCTION("""COMPUTED_VALUE"""),"null")</f>
        <v>null</v>
      </c>
      <c r="R5961" s="33">
        <f>IFERROR(__xludf.DUMMYFUNCTION("""COMPUTED_VALUE"""),1.0)</f>
        <v>1</v>
      </c>
      <c r="S5961" s="4" t="str">
        <f>IFERROR(__xludf.DUMMYFUNCTION("""COMPUTED_VALUE"""),"null")</f>
        <v>null</v>
      </c>
      <c r="T5961" s="33">
        <f>IFERROR(__xludf.DUMMYFUNCTION("""COMPUTED_VALUE"""),1.0)</f>
        <v>1</v>
      </c>
      <c r="U5961" s="4" t="str">
        <f>IFERROR(__xludf.DUMMYFUNCTION("""COMPUTED_VALUE"""),"L&amp;f Tecnologia Sistemas E Comercio Ltda")</f>
        <v>L&amp;f Tecnologia Sistemas E Comercio Ltda</v>
      </c>
      <c r="V5961" s="33">
        <f>IFERROR(__xludf.DUMMYFUNCTION("""COMPUTED_VALUE"""),0.5)</f>
        <v>0.5</v>
      </c>
      <c r="W5961" s="4" t="str">
        <f>IFERROR(__xludf.DUMMYFUNCTION("""COMPUTED_VALUE"""),"L&amp;f Tecnologia Sistemas E Comercio Ltda")</f>
        <v>L&amp;f Tecnologia Sistemas E Comercio Ltda</v>
      </c>
      <c r="X5961" s="33">
        <f>IFERROR(__xludf.DUMMYFUNCTION("""COMPUTED_VALUE"""),0.5)</f>
        <v>0.5</v>
      </c>
    </row>
    <row r="5962">
      <c r="K5962" s="4" t="str">
        <f>IFERROR(__xludf.DUMMYFUNCTION("""COMPUTED_VALUE"""),"BAHJA CULINARIA ARABE")</f>
        <v>BAHJA CULINARIA ARABE</v>
      </c>
      <c r="L5962" s="32">
        <f>IFERROR(__xludf.DUMMYFUNCTION("""COMPUTED_VALUE"""),2.0)</f>
        <v>2</v>
      </c>
      <c r="M5962" s="4" t="str">
        <f>IFERROR(__xludf.DUMMYFUNCTION("""COMPUTED_VALUE"""),"Syslogica - Novo Conceito Em Software")</f>
        <v>Syslogica - Novo Conceito Em Software</v>
      </c>
      <c r="N5962" s="33">
        <f>IFERROR(__xludf.DUMMYFUNCTION("""COMPUTED_VALUE"""),0.5)</f>
        <v>0.5</v>
      </c>
      <c r="O5962" s="4" t="str">
        <f>IFERROR(__xludf.DUMMYFUNCTION("""COMPUTED_VALUE"""),"null")</f>
        <v>null</v>
      </c>
      <c r="P5962" s="33">
        <f>IFERROR(__xludf.DUMMYFUNCTION("""COMPUTED_VALUE"""),1.0)</f>
        <v>1</v>
      </c>
      <c r="Q5962" s="4" t="str">
        <f>IFERROR(__xludf.DUMMYFUNCTION("""COMPUTED_VALUE"""),"Syslogica - Novo Conceito Em Software")</f>
        <v>Syslogica - Novo Conceito Em Software</v>
      </c>
      <c r="R5962" s="33">
        <f>IFERROR(__xludf.DUMMYFUNCTION("""COMPUTED_VALUE"""),1.0)</f>
        <v>1</v>
      </c>
      <c r="S5962" s="4" t="str">
        <f>IFERROR(__xludf.DUMMYFUNCTION("""COMPUTED_VALUE"""),"null")</f>
        <v>null</v>
      </c>
      <c r="T5962" s="33">
        <f>IFERROR(__xludf.DUMMYFUNCTION("""COMPUTED_VALUE"""),0.5)</f>
        <v>0.5</v>
      </c>
      <c r="U5962" s="4" t="str">
        <f>IFERROR(__xludf.DUMMYFUNCTION("""COMPUTED_VALUE"""),"null")</f>
        <v>null</v>
      </c>
      <c r="V5962" s="33">
        <f>IFERROR(__xludf.DUMMYFUNCTION("""COMPUTED_VALUE"""),0.5)</f>
        <v>0.5</v>
      </c>
      <c r="W5962" s="4" t="str">
        <f>IFERROR(__xludf.DUMMYFUNCTION("""COMPUTED_VALUE"""),"null")</f>
        <v>null</v>
      </c>
      <c r="X5962" s="33">
        <f>IFERROR(__xludf.DUMMYFUNCTION("""COMPUTED_VALUE"""),1.0)</f>
        <v>1</v>
      </c>
    </row>
    <row r="5963">
      <c r="K5963" s="4" t="str">
        <f>IFERROR(__xludf.DUMMYFUNCTION("""COMPUTED_VALUE"""),"GALETERIA EXPRESS")</f>
        <v>GALETERIA EXPRESS</v>
      </c>
      <c r="L5963" s="32">
        <f>IFERROR(__xludf.DUMMYFUNCTION("""COMPUTED_VALUE"""),2.0)</f>
        <v>2</v>
      </c>
      <c r="M5963" s="4" t="str">
        <f>IFERROR(__xludf.DUMMYFUNCTION("""COMPUTED_VALUE"""),"Saipos Serviços De Software")</f>
        <v>Saipos Serviços De Software</v>
      </c>
      <c r="N5963" s="33">
        <f>IFERROR(__xludf.DUMMYFUNCTION("""COMPUTED_VALUE"""),1.0)</f>
        <v>1</v>
      </c>
      <c r="O5963" s="4" t="str">
        <f>IFERROR(__xludf.DUMMYFUNCTION("""COMPUTED_VALUE"""),"Saipos Serviços De Software")</f>
        <v>Saipos Serviços De Software</v>
      </c>
      <c r="P5963" s="33">
        <f>IFERROR(__xludf.DUMMYFUNCTION("""COMPUTED_VALUE"""),1.0)</f>
        <v>1</v>
      </c>
      <c r="Q5963" s="4" t="str">
        <f>IFERROR(__xludf.DUMMYFUNCTION("""COMPUTED_VALUE"""),"Saipos Serviços De Software")</f>
        <v>Saipos Serviços De Software</v>
      </c>
      <c r="R5963" s="33">
        <f>IFERROR(__xludf.DUMMYFUNCTION("""COMPUTED_VALUE"""),1.0)</f>
        <v>1</v>
      </c>
      <c r="S5963" s="4" t="str">
        <f>IFERROR(__xludf.DUMMYFUNCTION("""COMPUTED_VALUE"""),"Saipos Serviços De Software")</f>
        <v>Saipos Serviços De Software</v>
      </c>
      <c r="T5963" s="33">
        <f>IFERROR(__xludf.DUMMYFUNCTION("""COMPUTED_VALUE"""),1.0)</f>
        <v>1</v>
      </c>
      <c r="U5963" s="4" t="str">
        <f>IFERROR(__xludf.DUMMYFUNCTION("""COMPUTED_VALUE"""),"Saipos Serviços De Software")</f>
        <v>Saipos Serviços De Software</v>
      </c>
      <c r="V5963" s="33">
        <f>IFERROR(__xludf.DUMMYFUNCTION("""COMPUTED_VALUE"""),1.0)</f>
        <v>1</v>
      </c>
      <c r="W5963" s="4" t="str">
        <f>IFERROR(__xludf.DUMMYFUNCTION("""COMPUTED_VALUE"""),"Saipos Serviços De Software")</f>
        <v>Saipos Serviços De Software</v>
      </c>
      <c r="X5963" s="33">
        <f>IFERROR(__xludf.DUMMYFUNCTION("""COMPUTED_VALUE"""),1.0)</f>
        <v>1</v>
      </c>
    </row>
    <row r="5964">
      <c r="K5964" s="4" t="str">
        <f>IFERROR(__xludf.DUMMYFUNCTION("""COMPUTED_VALUE"""),"IMPERIO PIZZAS")</f>
        <v>IMPERIO PIZZAS</v>
      </c>
      <c r="L5964" s="32">
        <f>IFERROR(__xludf.DUMMYFUNCTION("""COMPUTED_VALUE"""),2.0)</f>
        <v>2</v>
      </c>
      <c r="M5964" s="4" t="str">
        <f>IFERROR(__xludf.DUMMYFUNCTION("""COMPUTED_VALUE"""),"Mp Multipedidos")</f>
        <v>Mp Multipedidos</v>
      </c>
      <c r="N5964" s="33">
        <f>IFERROR(__xludf.DUMMYFUNCTION("""COMPUTED_VALUE"""),0.5)</f>
        <v>0.5</v>
      </c>
      <c r="O5964" s="4" t="str">
        <f>IFERROR(__xludf.DUMMYFUNCTION("""COMPUTED_VALUE"""),"Mp Multipedidos")</f>
        <v>Mp Multipedidos</v>
      </c>
      <c r="P5964" s="33">
        <f>IFERROR(__xludf.DUMMYFUNCTION("""COMPUTED_VALUE"""),0.5)</f>
        <v>0.5</v>
      </c>
      <c r="Q5964" s="4" t="str">
        <f>IFERROR(__xludf.DUMMYFUNCTION("""COMPUTED_VALUE"""),"Mp Multipedidos")</f>
        <v>Mp Multipedidos</v>
      </c>
      <c r="R5964" s="33">
        <f>IFERROR(__xludf.DUMMYFUNCTION("""COMPUTED_VALUE"""),1.0)</f>
        <v>1</v>
      </c>
      <c r="S5964" s="4" t="str">
        <f>IFERROR(__xludf.DUMMYFUNCTION("""COMPUTED_VALUE"""),"Mp Multipedidos")</f>
        <v>Mp Multipedidos</v>
      </c>
      <c r="T5964" s="33">
        <f>IFERROR(__xludf.DUMMYFUNCTION("""COMPUTED_VALUE"""),1.0)</f>
        <v>1</v>
      </c>
      <c r="U5964" s="4" t="str">
        <f>IFERROR(__xludf.DUMMYFUNCTION("""COMPUTED_VALUE"""),"Mp Multipedidos")</f>
        <v>Mp Multipedidos</v>
      </c>
      <c r="V5964" s="33">
        <f>IFERROR(__xludf.DUMMYFUNCTION("""COMPUTED_VALUE"""),0.5)</f>
        <v>0.5</v>
      </c>
      <c r="W5964" s="4" t="str">
        <f>IFERROR(__xludf.DUMMYFUNCTION("""COMPUTED_VALUE"""),"Mp Multipedidos")</f>
        <v>Mp Multipedidos</v>
      </c>
      <c r="X5964" s="33">
        <f>IFERROR(__xludf.DUMMYFUNCTION("""COMPUTED_VALUE"""),1.0)</f>
        <v>1</v>
      </c>
    </row>
    <row r="5965">
      <c r="K5965" s="4" t="str">
        <f>IFERROR(__xludf.DUMMYFUNCTION("""COMPUTED_VALUE"""),"PIZZA PUB")</f>
        <v>PIZZA PUB</v>
      </c>
      <c r="L5965" s="32">
        <f>IFERROR(__xludf.DUMMYFUNCTION("""COMPUTED_VALUE"""),2.0)</f>
        <v>2</v>
      </c>
      <c r="M5965" s="4" t="str">
        <f>IFERROR(__xludf.DUMMYFUNCTION("""COMPUTED_VALUE"""),"Consumer Soluções Em Tecnologia Ltda")</f>
        <v>Consumer Soluções Em Tecnologia Ltda</v>
      </c>
      <c r="N5965" s="33">
        <f>IFERROR(__xludf.DUMMYFUNCTION("""COMPUTED_VALUE"""),1.0)</f>
        <v>1</v>
      </c>
      <c r="O5965" s="4" t="str">
        <f>IFERROR(__xludf.DUMMYFUNCTION("""COMPUTED_VALUE"""),"Consumer Soluções Em Tecnologia Ltda")</f>
        <v>Consumer Soluções Em Tecnologia Ltda</v>
      </c>
      <c r="P5965" s="33">
        <f>IFERROR(__xludf.DUMMYFUNCTION("""COMPUTED_VALUE"""),1.0)</f>
        <v>1</v>
      </c>
      <c r="Q5965" s="4" t="str">
        <f>IFERROR(__xludf.DUMMYFUNCTION("""COMPUTED_VALUE"""),"Consumer Soluções Em Tecnologia Ltda")</f>
        <v>Consumer Soluções Em Tecnologia Ltda</v>
      </c>
      <c r="R5965" s="33">
        <f>IFERROR(__xludf.DUMMYFUNCTION("""COMPUTED_VALUE"""),1.0)</f>
        <v>1</v>
      </c>
      <c r="S5965" s="4" t="str">
        <f>IFERROR(__xludf.DUMMYFUNCTION("""COMPUTED_VALUE"""),"null")</f>
        <v>null</v>
      </c>
      <c r="T5965" s="33">
        <f>IFERROR(__xludf.DUMMYFUNCTION("""COMPUTED_VALUE"""),0.5)</f>
        <v>0.5</v>
      </c>
      <c r="U5965" s="4" t="str">
        <f>IFERROR(__xludf.DUMMYFUNCTION("""COMPUTED_VALUE"""),"Consumer Soluções Em Tecnologia Ltda")</f>
        <v>Consumer Soluções Em Tecnologia Ltda</v>
      </c>
      <c r="V5965" s="33">
        <f>IFERROR(__xludf.DUMMYFUNCTION("""COMPUTED_VALUE"""),1.0)</f>
        <v>1</v>
      </c>
      <c r="W5965" s="4" t="str">
        <f>IFERROR(__xludf.DUMMYFUNCTION("""COMPUTED_VALUE"""),"Consumer Soluções Em Tecnologia Ltda")</f>
        <v>Consumer Soluções Em Tecnologia Ltda</v>
      </c>
      <c r="X5965" s="33">
        <f>IFERROR(__xludf.DUMMYFUNCTION("""COMPUTED_VALUE"""),1.0)</f>
        <v>1</v>
      </c>
    </row>
    <row r="5966">
      <c r="K5966" s="4" t="str">
        <f>IFERROR(__xludf.DUMMYFUNCTION("""COMPUTED_VALUE"""),"O CHAPEIRO LANCHES")</f>
        <v>O CHAPEIRO LANCHES</v>
      </c>
      <c r="L5966" s="32">
        <f>IFERROR(__xludf.DUMMYFUNCTION("""COMPUTED_VALUE"""),2.0)</f>
        <v>2</v>
      </c>
      <c r="M5966" s="4" t="str">
        <f>IFERROR(__xludf.DUMMYFUNCTION("""COMPUTED_VALUE"""),"Saipos Serviços De Software")</f>
        <v>Saipos Serviços De Software</v>
      </c>
      <c r="N5966" s="33">
        <f>IFERROR(__xludf.DUMMYFUNCTION("""COMPUTED_VALUE"""),1.0)</f>
        <v>1</v>
      </c>
      <c r="O5966" s="4" t="str">
        <f>IFERROR(__xludf.DUMMYFUNCTION("""COMPUTED_VALUE"""),"Saipos Serviços De Software")</f>
        <v>Saipos Serviços De Software</v>
      </c>
      <c r="P5966" s="33">
        <f>IFERROR(__xludf.DUMMYFUNCTION("""COMPUTED_VALUE"""),1.0)</f>
        <v>1</v>
      </c>
      <c r="Q5966" s="4" t="str">
        <f>IFERROR(__xludf.DUMMYFUNCTION("""COMPUTED_VALUE"""),"Saipos Serviços De Software")</f>
        <v>Saipos Serviços De Software</v>
      </c>
      <c r="R5966" s="33">
        <f>IFERROR(__xludf.DUMMYFUNCTION("""COMPUTED_VALUE"""),1.0)</f>
        <v>1</v>
      </c>
      <c r="S5966" s="4" t="str">
        <f>IFERROR(__xludf.DUMMYFUNCTION("""COMPUTED_VALUE"""),"Saipos Serviços De Software")</f>
        <v>Saipos Serviços De Software</v>
      </c>
      <c r="T5966" s="33">
        <f>IFERROR(__xludf.DUMMYFUNCTION("""COMPUTED_VALUE"""),1.0)</f>
        <v>1</v>
      </c>
      <c r="U5966" s="4" t="str">
        <f>IFERROR(__xludf.DUMMYFUNCTION("""COMPUTED_VALUE"""),"Saipos Serviços De Software")</f>
        <v>Saipos Serviços De Software</v>
      </c>
      <c r="V5966" s="33">
        <f>IFERROR(__xludf.DUMMYFUNCTION("""COMPUTED_VALUE"""),1.0)</f>
        <v>1</v>
      </c>
      <c r="W5966" s="4" t="str">
        <f>IFERROR(__xludf.DUMMYFUNCTION("""COMPUTED_VALUE"""),"Saipos Serviços De Software")</f>
        <v>Saipos Serviços De Software</v>
      </c>
      <c r="X5966" s="33">
        <f>IFERROR(__xludf.DUMMYFUNCTION("""COMPUTED_VALUE"""),1.0)</f>
        <v>1</v>
      </c>
    </row>
    <row r="5967">
      <c r="K5967" s="4" t="str">
        <f>IFERROR(__xludf.DUMMYFUNCTION("""COMPUTED_VALUE"""),"PIZZARIA DI FLORENCA")</f>
        <v>PIZZARIA DI FLORENCA</v>
      </c>
      <c r="L5967" s="32">
        <f>IFERROR(__xludf.DUMMYFUNCTION("""COMPUTED_VALUE"""),2.0)</f>
        <v>2</v>
      </c>
      <c r="M5967" s="4" t="str">
        <f>IFERROR(__xludf.DUMMYFUNCTION("""COMPUTED_VALUE"""),"Cardápio Web")</f>
        <v>Cardápio Web</v>
      </c>
      <c r="N5967" s="33">
        <f>IFERROR(__xludf.DUMMYFUNCTION("""COMPUTED_VALUE"""),1.0)</f>
        <v>1</v>
      </c>
      <c r="O5967" s="4" t="str">
        <f>IFERROR(__xludf.DUMMYFUNCTION("""COMPUTED_VALUE"""),"Cardápio Web")</f>
        <v>Cardápio Web</v>
      </c>
      <c r="P5967" s="33">
        <f>IFERROR(__xludf.DUMMYFUNCTION("""COMPUTED_VALUE"""),1.0)</f>
        <v>1</v>
      </c>
      <c r="Q5967" s="4" t="str">
        <f>IFERROR(__xludf.DUMMYFUNCTION("""COMPUTED_VALUE"""),"Cardápio Web")</f>
        <v>Cardápio Web</v>
      </c>
      <c r="R5967" s="33">
        <f>IFERROR(__xludf.DUMMYFUNCTION("""COMPUTED_VALUE"""),1.0)</f>
        <v>1</v>
      </c>
      <c r="S5967" s="4" t="str">
        <f>IFERROR(__xludf.DUMMYFUNCTION("""COMPUTED_VALUE"""),"Cardápio Web")</f>
        <v>Cardápio Web</v>
      </c>
      <c r="T5967" s="33">
        <f>IFERROR(__xludf.DUMMYFUNCTION("""COMPUTED_VALUE"""),1.0)</f>
        <v>1</v>
      </c>
      <c r="U5967" s="4" t="str">
        <f>IFERROR(__xludf.DUMMYFUNCTION("""COMPUTED_VALUE"""),"Cardápio Web")</f>
        <v>Cardápio Web</v>
      </c>
      <c r="V5967" s="33">
        <f>IFERROR(__xludf.DUMMYFUNCTION("""COMPUTED_VALUE"""),1.0)</f>
        <v>1</v>
      </c>
      <c r="W5967" s="4" t="str">
        <f>IFERROR(__xludf.DUMMYFUNCTION("""COMPUTED_VALUE"""),"Cardápio Web")</f>
        <v>Cardápio Web</v>
      </c>
      <c r="X5967" s="33">
        <f>IFERROR(__xludf.DUMMYFUNCTION("""COMPUTED_VALUE"""),0.5)</f>
        <v>0.5</v>
      </c>
    </row>
    <row r="5968">
      <c r="K5968" s="4" t="str">
        <f>IFERROR(__xludf.DUMMYFUNCTION("""COMPUTED_VALUE"""),"MOZZARELLA PIZZARIA")</f>
        <v>MOZZARELLA PIZZARIA</v>
      </c>
      <c r="L5968" s="32">
        <f>IFERROR(__xludf.DUMMYFUNCTION("""COMPUTED_VALUE"""),2.0)</f>
        <v>2</v>
      </c>
      <c r="M5968" s="4" t="str">
        <f>IFERROR(__xludf.DUMMYFUNCTION("""COMPUTED_VALUE"""),"Lecard Delivery")</f>
        <v>Lecard Delivery</v>
      </c>
      <c r="N5968" s="33">
        <f>IFERROR(__xludf.DUMMYFUNCTION("""COMPUTED_VALUE"""),0.5)</f>
        <v>0.5</v>
      </c>
      <c r="O5968" s="4" t="str">
        <f>IFERROR(__xludf.DUMMYFUNCTION("""COMPUTED_VALUE"""),"Lecard Delivery")</f>
        <v>Lecard Delivery</v>
      </c>
      <c r="P5968" s="33">
        <f>IFERROR(__xludf.DUMMYFUNCTION("""COMPUTED_VALUE"""),0.5)</f>
        <v>0.5</v>
      </c>
      <c r="Q5968" s="4" t="str">
        <f>IFERROR(__xludf.DUMMYFUNCTION("""COMPUTED_VALUE"""),"Lecard Delivery")</f>
        <v>Lecard Delivery</v>
      </c>
      <c r="R5968" s="33">
        <f>IFERROR(__xludf.DUMMYFUNCTION("""COMPUTED_VALUE"""),0.5)</f>
        <v>0.5</v>
      </c>
      <c r="S5968" s="4" t="str">
        <f>IFERROR(__xludf.DUMMYFUNCTION("""COMPUTED_VALUE"""),"Lecard Delivery")</f>
        <v>Lecard Delivery</v>
      </c>
      <c r="T5968" s="33">
        <f>IFERROR(__xludf.DUMMYFUNCTION("""COMPUTED_VALUE"""),0.5)</f>
        <v>0.5</v>
      </c>
      <c r="U5968" s="4" t="str">
        <f>IFERROR(__xludf.DUMMYFUNCTION("""COMPUTED_VALUE"""),"Lecard Delivery")</f>
        <v>Lecard Delivery</v>
      </c>
      <c r="V5968" s="33">
        <f>IFERROR(__xludf.DUMMYFUNCTION("""COMPUTED_VALUE"""),0.5)</f>
        <v>0.5</v>
      </c>
      <c r="W5968" s="4" t="str">
        <f>IFERROR(__xludf.DUMMYFUNCTION("""COMPUTED_VALUE"""),"Lecard Delivery")</f>
        <v>Lecard Delivery</v>
      </c>
      <c r="X5968" s="33">
        <f>IFERROR(__xludf.DUMMYFUNCTION("""COMPUTED_VALUE"""),0.5)</f>
        <v>0.5</v>
      </c>
    </row>
    <row r="5969">
      <c r="K5969" s="4" t="str">
        <f>IFERROR(__xludf.DUMMYFUNCTION("""COMPUTED_VALUE"""),"ESFIHARIA E PIZZARIA VICTORIANA")</f>
        <v>ESFIHARIA E PIZZARIA VICTORIANA</v>
      </c>
      <c r="L5969" s="32">
        <f>IFERROR(__xludf.DUMMYFUNCTION("""COMPUTED_VALUE"""),2.0)</f>
        <v>2</v>
      </c>
      <c r="M5969" s="4" t="str">
        <f>IFERROR(__xludf.DUMMYFUNCTION("""COMPUTED_VALUE"""),"Eclética Tecnologia")</f>
        <v>Eclética Tecnologia</v>
      </c>
      <c r="N5969" s="33">
        <f>IFERROR(__xludf.DUMMYFUNCTION("""COMPUTED_VALUE"""),1.0)</f>
        <v>1</v>
      </c>
      <c r="O5969" s="4" t="str">
        <f>IFERROR(__xludf.DUMMYFUNCTION("""COMPUTED_VALUE"""),"Eclética Tecnologia")</f>
        <v>Eclética Tecnologia</v>
      </c>
      <c r="P5969" s="33">
        <f>IFERROR(__xludf.DUMMYFUNCTION("""COMPUTED_VALUE"""),1.0)</f>
        <v>1</v>
      </c>
      <c r="Q5969" s="4" t="str">
        <f>IFERROR(__xludf.DUMMYFUNCTION("""COMPUTED_VALUE"""),"Eclética Tecnologia")</f>
        <v>Eclética Tecnologia</v>
      </c>
      <c r="R5969" s="33">
        <f>IFERROR(__xludf.DUMMYFUNCTION("""COMPUTED_VALUE"""),1.0)</f>
        <v>1</v>
      </c>
      <c r="S5969" s="4" t="str">
        <f>IFERROR(__xludf.DUMMYFUNCTION("""COMPUTED_VALUE"""),"Eclética Tecnologia")</f>
        <v>Eclética Tecnologia</v>
      </c>
      <c r="T5969" s="33">
        <f>IFERROR(__xludf.DUMMYFUNCTION("""COMPUTED_VALUE"""),1.0)</f>
        <v>1</v>
      </c>
      <c r="U5969" s="4" t="str">
        <f>IFERROR(__xludf.DUMMYFUNCTION("""COMPUTED_VALUE"""),"Eclética Tecnologia")</f>
        <v>Eclética Tecnologia</v>
      </c>
      <c r="V5969" s="33">
        <f>IFERROR(__xludf.DUMMYFUNCTION("""COMPUTED_VALUE"""),1.0)</f>
        <v>1</v>
      </c>
      <c r="W5969" s="4" t="str">
        <f>IFERROR(__xludf.DUMMYFUNCTION("""COMPUTED_VALUE"""),"Eclética Tecnologia")</f>
        <v>Eclética Tecnologia</v>
      </c>
      <c r="X5969" s="33">
        <f>IFERROR(__xludf.DUMMYFUNCTION("""COMPUTED_VALUE"""),1.0)</f>
        <v>1</v>
      </c>
    </row>
    <row r="5970">
      <c r="K5970" s="4" t="str">
        <f>IFERROR(__xludf.DUMMYFUNCTION("""COMPUTED_VALUE"""),"PANDA YA")</f>
        <v>PANDA YA</v>
      </c>
      <c r="L5970" s="32">
        <f>IFERROR(__xludf.DUMMYFUNCTION("""COMPUTED_VALUE"""),2.0)</f>
        <v>2</v>
      </c>
      <c r="M5970" s="4" t="str">
        <f>IFERROR(__xludf.DUMMYFUNCTION("""COMPUTED_VALUE"""),"Gula.menu Tecnologia Ltda.")</f>
        <v>Gula.menu Tecnologia Ltda.</v>
      </c>
      <c r="N5970" s="33">
        <f>IFERROR(__xludf.DUMMYFUNCTION("""COMPUTED_VALUE"""),1.0)</f>
        <v>1</v>
      </c>
      <c r="O5970" s="4" t="str">
        <f>IFERROR(__xludf.DUMMYFUNCTION("""COMPUTED_VALUE"""),"Gula.menu Tecnologia Ltda.")</f>
        <v>Gula.menu Tecnologia Ltda.</v>
      </c>
      <c r="P5970" s="33">
        <f>IFERROR(__xludf.DUMMYFUNCTION("""COMPUTED_VALUE"""),1.0)</f>
        <v>1</v>
      </c>
      <c r="Q5970" s="4" t="str">
        <f>IFERROR(__xludf.DUMMYFUNCTION("""COMPUTED_VALUE"""),"Gula.menu Tecnologia Ltda.")</f>
        <v>Gula.menu Tecnologia Ltda.</v>
      </c>
      <c r="R5970" s="33">
        <f>IFERROR(__xludf.DUMMYFUNCTION("""COMPUTED_VALUE"""),0.5)</f>
        <v>0.5</v>
      </c>
      <c r="S5970" s="4" t="str">
        <f>IFERROR(__xludf.DUMMYFUNCTION("""COMPUTED_VALUE"""),"Gula.menu Tecnologia Ltda.")</f>
        <v>Gula.menu Tecnologia Ltda.</v>
      </c>
      <c r="T5970" s="33">
        <f>IFERROR(__xludf.DUMMYFUNCTION("""COMPUTED_VALUE"""),0.5)</f>
        <v>0.5</v>
      </c>
      <c r="U5970" s="4" t="str">
        <f>IFERROR(__xludf.DUMMYFUNCTION("""COMPUTED_VALUE"""),"Gula.menu Tecnologia Ltda.")</f>
        <v>Gula.menu Tecnologia Ltda.</v>
      </c>
      <c r="V5970" s="33">
        <f>IFERROR(__xludf.DUMMYFUNCTION("""COMPUTED_VALUE"""),0.5)</f>
        <v>0.5</v>
      </c>
      <c r="W5970" s="4" t="str">
        <f>IFERROR(__xludf.DUMMYFUNCTION("""COMPUTED_VALUE"""),"Gula.menu Tecnologia Ltda.")</f>
        <v>Gula.menu Tecnologia Ltda.</v>
      </c>
      <c r="X5970" s="33">
        <f>IFERROR(__xludf.DUMMYFUNCTION("""COMPUTED_VALUE"""),0.5)</f>
        <v>0.5</v>
      </c>
    </row>
    <row r="5971">
      <c r="K5971" s="4" t="str">
        <f>IFERROR(__xludf.DUMMYFUNCTION("""COMPUTED_VALUE"""),"PUTA BURGUER - HAMBURGUER ARTESANAL")</f>
        <v>PUTA BURGUER - HAMBURGUER ARTESANAL</v>
      </c>
      <c r="L5971" s="32">
        <f>IFERROR(__xludf.DUMMYFUNCTION("""COMPUTED_VALUE"""),2.0)</f>
        <v>2</v>
      </c>
      <c r="M5971" s="4" t="str">
        <f>IFERROR(__xludf.DUMMYFUNCTION("""COMPUTED_VALUE"""),"Saipos Serviços De Software")</f>
        <v>Saipos Serviços De Software</v>
      </c>
      <c r="N5971" s="33">
        <f>IFERROR(__xludf.DUMMYFUNCTION("""COMPUTED_VALUE"""),1.0)</f>
        <v>1</v>
      </c>
      <c r="O5971" s="4" t="str">
        <f>IFERROR(__xludf.DUMMYFUNCTION("""COMPUTED_VALUE"""),"Saipos Serviços De Software")</f>
        <v>Saipos Serviços De Software</v>
      </c>
      <c r="P5971" s="33">
        <f>IFERROR(__xludf.DUMMYFUNCTION("""COMPUTED_VALUE"""),1.0)</f>
        <v>1</v>
      </c>
      <c r="Q5971" s="4" t="str">
        <f>IFERROR(__xludf.DUMMYFUNCTION("""COMPUTED_VALUE"""),"Saipos Serviços De Software")</f>
        <v>Saipos Serviços De Software</v>
      </c>
      <c r="R5971" s="33">
        <f>IFERROR(__xludf.DUMMYFUNCTION("""COMPUTED_VALUE"""),1.0)</f>
        <v>1</v>
      </c>
      <c r="S5971" s="4" t="str">
        <f>IFERROR(__xludf.DUMMYFUNCTION("""COMPUTED_VALUE"""),"Saipos Serviços De Software")</f>
        <v>Saipos Serviços De Software</v>
      </c>
      <c r="T5971" s="33">
        <f>IFERROR(__xludf.DUMMYFUNCTION("""COMPUTED_VALUE"""),1.0)</f>
        <v>1</v>
      </c>
      <c r="U5971" s="4" t="str">
        <f>IFERROR(__xludf.DUMMYFUNCTION("""COMPUTED_VALUE"""),"Saipos Serviços De Software")</f>
        <v>Saipos Serviços De Software</v>
      </c>
      <c r="V5971" s="33">
        <f>IFERROR(__xludf.DUMMYFUNCTION("""COMPUTED_VALUE"""),1.0)</f>
        <v>1</v>
      </c>
      <c r="W5971" s="4" t="str">
        <f>IFERROR(__xludf.DUMMYFUNCTION("""COMPUTED_VALUE"""),"Saipos Serviços De Software")</f>
        <v>Saipos Serviços De Software</v>
      </c>
      <c r="X5971" s="33">
        <f>IFERROR(__xludf.DUMMYFUNCTION("""COMPUTED_VALUE"""),1.0)</f>
        <v>1</v>
      </c>
    </row>
    <row r="5972">
      <c r="K5972" s="4" t="str">
        <f>IFERROR(__xludf.DUMMYFUNCTION("""COMPUTED_VALUE"""),"MAKI SUSHI, TEMAKI YAKISOBA")</f>
        <v>MAKI SUSHI, TEMAKI YAKISOBA</v>
      </c>
      <c r="L5972" s="32">
        <f>IFERROR(__xludf.DUMMYFUNCTION("""COMPUTED_VALUE"""),2.0)</f>
        <v>2</v>
      </c>
      <c r="M5972" s="4" t="str">
        <f>IFERROR(__xludf.DUMMYFUNCTION("""COMPUTED_VALUE"""),"Saipos Serviços De Software")</f>
        <v>Saipos Serviços De Software</v>
      </c>
      <c r="N5972" s="33">
        <f>IFERROR(__xludf.DUMMYFUNCTION("""COMPUTED_VALUE"""),1.0)</f>
        <v>1</v>
      </c>
      <c r="O5972" s="4" t="str">
        <f>IFERROR(__xludf.DUMMYFUNCTION("""COMPUTED_VALUE"""),"Saipos Serviços De Software")</f>
        <v>Saipos Serviços De Software</v>
      </c>
      <c r="P5972" s="33">
        <f>IFERROR(__xludf.DUMMYFUNCTION("""COMPUTED_VALUE"""),1.0)</f>
        <v>1</v>
      </c>
      <c r="Q5972" s="4" t="str">
        <f>IFERROR(__xludf.DUMMYFUNCTION("""COMPUTED_VALUE"""),"Saipos Serviços De Software")</f>
        <v>Saipos Serviços De Software</v>
      </c>
      <c r="R5972" s="33">
        <f>IFERROR(__xludf.DUMMYFUNCTION("""COMPUTED_VALUE"""),0.5)</f>
        <v>0.5</v>
      </c>
      <c r="S5972" s="4" t="str">
        <f>IFERROR(__xludf.DUMMYFUNCTION("""COMPUTED_VALUE"""),"Saipos Serviços De Software")</f>
        <v>Saipos Serviços De Software</v>
      </c>
      <c r="T5972" s="33">
        <f>IFERROR(__xludf.DUMMYFUNCTION("""COMPUTED_VALUE"""),0.5)</f>
        <v>0.5</v>
      </c>
      <c r="U5972" s="4" t="str">
        <f>IFERROR(__xludf.DUMMYFUNCTION("""COMPUTED_VALUE"""),"Saipos Serviços De Software")</f>
        <v>Saipos Serviços De Software</v>
      </c>
      <c r="V5972" s="33">
        <f>IFERROR(__xludf.DUMMYFUNCTION("""COMPUTED_VALUE"""),1.0)</f>
        <v>1</v>
      </c>
      <c r="W5972" s="4" t="str">
        <f>IFERROR(__xludf.DUMMYFUNCTION("""COMPUTED_VALUE"""),"Agilizup Solucoes Ltda")</f>
        <v>Agilizup Solucoes Ltda</v>
      </c>
      <c r="X5972" s="33">
        <f>IFERROR(__xludf.DUMMYFUNCTION("""COMPUTED_VALUE"""),0.5)</f>
        <v>0.5</v>
      </c>
    </row>
    <row r="5973">
      <c r="K5973" s="4" t="str">
        <f>IFERROR(__xludf.DUMMYFUNCTION("""COMPUTED_VALUE"""),"CHEFFS PIZZARIA")</f>
        <v>CHEFFS PIZZARIA</v>
      </c>
      <c r="L5973" s="32">
        <f>IFERROR(__xludf.DUMMYFUNCTION("""COMPUTED_VALUE"""),2.0)</f>
        <v>2</v>
      </c>
      <c r="M5973" s="4" t="str">
        <f>IFERROR(__xludf.DUMMYFUNCTION("""COMPUTED_VALUE"""),"null")</f>
        <v>null</v>
      </c>
      <c r="N5973" s="33">
        <f>IFERROR(__xludf.DUMMYFUNCTION("""COMPUTED_VALUE"""),0.5)</f>
        <v>0.5</v>
      </c>
      <c r="O5973" s="4" t="str">
        <f>IFERROR(__xludf.DUMMYFUNCTION("""COMPUTED_VALUE"""),"null")</f>
        <v>null</v>
      </c>
      <c r="P5973" s="33">
        <f>IFERROR(__xludf.DUMMYFUNCTION("""COMPUTED_VALUE"""),0.5)</f>
        <v>0.5</v>
      </c>
      <c r="Q5973" s="4" t="str">
        <f>IFERROR(__xludf.DUMMYFUNCTION("""COMPUTED_VALUE"""),"Anota Ai Solucoes Digitais S/a")</f>
        <v>Anota Ai Solucoes Digitais S/a</v>
      </c>
      <c r="R5973" s="33">
        <f>IFERROR(__xludf.DUMMYFUNCTION("""COMPUTED_VALUE"""),0.5)</f>
        <v>0.5</v>
      </c>
      <c r="S5973" s="4" t="str">
        <f>IFERROR(__xludf.DUMMYFUNCTION("""COMPUTED_VALUE"""),"Anota Ai Solucoes Digitais S/a")</f>
        <v>Anota Ai Solucoes Digitais S/a</v>
      </c>
      <c r="T5973" s="33">
        <f>IFERROR(__xludf.DUMMYFUNCTION("""COMPUTED_VALUE"""),0.5)</f>
        <v>0.5</v>
      </c>
      <c r="U5973" s="4" t="str">
        <f>IFERROR(__xludf.DUMMYFUNCTION("""COMPUTED_VALUE"""),"Anota Ai Solucoes Digitais S/a")</f>
        <v>Anota Ai Solucoes Digitais S/a</v>
      </c>
      <c r="V5973" s="33">
        <f>IFERROR(__xludf.DUMMYFUNCTION("""COMPUTED_VALUE"""),0.5)</f>
        <v>0.5</v>
      </c>
      <c r="W5973" s="4" t="str">
        <f>IFERROR(__xludf.DUMMYFUNCTION("""COMPUTED_VALUE"""),"Anota Ai Solucoes Digitais S/a")</f>
        <v>Anota Ai Solucoes Digitais S/a</v>
      </c>
      <c r="X5973" s="33">
        <f>IFERROR(__xludf.DUMMYFUNCTION("""COMPUTED_VALUE"""),0.5)</f>
        <v>0.5</v>
      </c>
    </row>
    <row r="5974">
      <c r="K5974" s="4" t="str">
        <f>IFERROR(__xludf.DUMMYFUNCTION("""COMPUTED_VALUE"""),"PIZZARIA BUONNA MASSA")</f>
        <v>PIZZARIA BUONNA MASSA</v>
      </c>
      <c r="L5974" s="32">
        <f>IFERROR(__xludf.DUMMYFUNCTION("""COMPUTED_VALUE"""),2.0)</f>
        <v>2</v>
      </c>
      <c r="M5974" s="4" t="str">
        <f>IFERROR(__xludf.DUMMYFUNCTION("""COMPUTED_VALUE"""),"Fs Soluções Em Tecnologia Ltda")</f>
        <v>Fs Soluções Em Tecnologia Ltda</v>
      </c>
      <c r="N5974" s="33">
        <f>IFERROR(__xludf.DUMMYFUNCTION("""COMPUTED_VALUE"""),1.0)</f>
        <v>1</v>
      </c>
      <c r="O5974" s="4" t="str">
        <f>IFERROR(__xludf.DUMMYFUNCTION("""COMPUTED_VALUE"""),"Fs Soluções Em Tecnologia Ltda")</f>
        <v>Fs Soluções Em Tecnologia Ltda</v>
      </c>
      <c r="P5974" s="33">
        <f>IFERROR(__xludf.DUMMYFUNCTION("""COMPUTED_VALUE"""),0.5)</f>
        <v>0.5</v>
      </c>
      <c r="Q5974" s="4" t="str">
        <f>IFERROR(__xludf.DUMMYFUNCTION("""COMPUTED_VALUE"""),"null")</f>
        <v>null</v>
      </c>
      <c r="R5974" s="33">
        <f>IFERROR(__xludf.DUMMYFUNCTION("""COMPUTED_VALUE"""),0.5)</f>
        <v>0.5</v>
      </c>
      <c r="S5974" s="4" t="str">
        <f>IFERROR(__xludf.DUMMYFUNCTION("""COMPUTED_VALUE"""),"Fs Soluções Em Tecnologia Ltda")</f>
        <v>Fs Soluções Em Tecnologia Ltda</v>
      </c>
      <c r="T5974" s="33">
        <f>IFERROR(__xludf.DUMMYFUNCTION("""COMPUTED_VALUE"""),1.0)</f>
        <v>1</v>
      </c>
      <c r="U5974" s="4" t="str">
        <f>IFERROR(__xludf.DUMMYFUNCTION("""COMPUTED_VALUE"""),"null")</f>
        <v>null</v>
      </c>
      <c r="V5974" s="33">
        <f>IFERROR(__xludf.DUMMYFUNCTION("""COMPUTED_VALUE"""),0.5)</f>
        <v>0.5</v>
      </c>
      <c r="W5974" s="4" t="str">
        <f>IFERROR(__xludf.DUMMYFUNCTION("""COMPUTED_VALUE"""),"null")</f>
        <v>null</v>
      </c>
      <c r="X5974" s="33">
        <f>IFERROR(__xludf.DUMMYFUNCTION("""COMPUTED_VALUE"""),0.5)</f>
        <v>0.5</v>
      </c>
    </row>
    <row r="5975">
      <c r="K5975" s="4" t="str">
        <f>IFERROR(__xludf.DUMMYFUNCTION("""COMPUTED_VALUE"""),"PIZZARIA TOP10")</f>
        <v>PIZZARIA TOP10</v>
      </c>
      <c r="L5975" s="32">
        <f>IFERROR(__xludf.DUMMYFUNCTION("""COMPUTED_VALUE"""),2.0)</f>
        <v>2</v>
      </c>
      <c r="M5975" s="4" t="str">
        <f>IFERROR(__xludf.DUMMYFUNCTION("""COMPUTED_VALUE"""),"null")</f>
        <v>null</v>
      </c>
      <c r="N5975" s="33">
        <f>IFERROR(__xludf.DUMMYFUNCTION("""COMPUTED_VALUE"""),0.5)</f>
        <v>0.5</v>
      </c>
      <c r="O5975" s="4" t="str">
        <f>IFERROR(__xludf.DUMMYFUNCTION("""COMPUTED_VALUE"""),"null")</f>
        <v>null</v>
      </c>
      <c r="P5975" s="33">
        <f>IFERROR(__xludf.DUMMYFUNCTION("""COMPUTED_VALUE"""),0.5)</f>
        <v>0.5</v>
      </c>
      <c r="Q5975" s="4" t="str">
        <f>IFERROR(__xludf.DUMMYFUNCTION("""COMPUTED_VALUE"""),"null")</f>
        <v>null</v>
      </c>
      <c r="R5975" s="33">
        <f>IFERROR(__xludf.DUMMYFUNCTION("""COMPUTED_VALUE"""),1.0)</f>
        <v>1</v>
      </c>
      <c r="S5975" s="4" t="str">
        <f>IFERROR(__xludf.DUMMYFUNCTION("""COMPUTED_VALUE"""),"null")</f>
        <v>null</v>
      </c>
      <c r="T5975" s="33">
        <f>IFERROR(__xludf.DUMMYFUNCTION("""COMPUTED_VALUE"""),0.5)</f>
        <v>0.5</v>
      </c>
      <c r="U5975" s="4" t="str">
        <f>IFERROR(__xludf.DUMMYFUNCTION("""COMPUTED_VALUE"""),"null")</f>
        <v>null</v>
      </c>
      <c r="V5975" s="33">
        <f>IFERROR(__xludf.DUMMYFUNCTION("""COMPUTED_VALUE"""),0.5)</f>
        <v>0.5</v>
      </c>
      <c r="W5975" s="4" t="str">
        <f>IFERROR(__xludf.DUMMYFUNCTION("""COMPUTED_VALUE"""),"Igopizzas Sistemas Ltda")</f>
        <v>Igopizzas Sistemas Ltda</v>
      </c>
      <c r="X5975" s="33">
        <f>IFERROR(__xludf.DUMMYFUNCTION("""COMPUTED_VALUE"""),0.5)</f>
        <v>0.5</v>
      </c>
    </row>
    <row r="5976">
      <c r="K5976" s="4" t="str">
        <f>IFERROR(__xludf.DUMMYFUNCTION("""COMPUTED_VALUE"""),"PETISCARIA E HAMBURGUERIA DA FABI")</f>
        <v>PETISCARIA E HAMBURGUERIA DA FABI</v>
      </c>
      <c r="L5976" s="32">
        <f>IFERROR(__xludf.DUMMYFUNCTION("""COMPUTED_VALUE"""),2.0)</f>
        <v>2</v>
      </c>
      <c r="M5976" s="4" t="str">
        <f>IFERROR(__xludf.DUMMYFUNCTION("""COMPUTED_VALUE"""),"Cervantes Tecnologia")</f>
        <v>Cervantes Tecnologia</v>
      </c>
      <c r="N5976" s="33">
        <f>IFERROR(__xludf.DUMMYFUNCTION("""COMPUTED_VALUE"""),0.5)</f>
        <v>0.5</v>
      </c>
      <c r="O5976" s="4" t="str">
        <f>IFERROR(__xludf.DUMMYFUNCTION("""COMPUTED_VALUE"""),"null")</f>
        <v>null</v>
      </c>
      <c r="P5976" s="33">
        <f>IFERROR(__xludf.DUMMYFUNCTION("""COMPUTED_VALUE"""),1.0)</f>
        <v>1</v>
      </c>
      <c r="Q5976" s="4" t="str">
        <f>IFERROR(__xludf.DUMMYFUNCTION("""COMPUTED_VALUE"""),"null")</f>
        <v>null</v>
      </c>
      <c r="R5976" s="33">
        <f>IFERROR(__xludf.DUMMYFUNCTION("""COMPUTED_VALUE"""),1.0)</f>
        <v>1</v>
      </c>
      <c r="S5976" s="4" t="str">
        <f>IFERROR(__xludf.DUMMYFUNCTION("""COMPUTED_VALUE"""),"null")</f>
        <v>null</v>
      </c>
      <c r="T5976" s="33">
        <f>IFERROR(__xludf.DUMMYFUNCTION("""COMPUTED_VALUE"""),1.0)</f>
        <v>1</v>
      </c>
      <c r="U5976" s="4" t="str">
        <f>IFERROR(__xludf.DUMMYFUNCTION("""COMPUTED_VALUE"""),"null")</f>
        <v>null</v>
      </c>
      <c r="V5976" s="33">
        <f>IFERROR(__xludf.DUMMYFUNCTION("""COMPUTED_VALUE"""),1.0)</f>
        <v>1</v>
      </c>
      <c r="W5976" s="4" t="str">
        <f>IFERROR(__xludf.DUMMYFUNCTION("""COMPUTED_VALUE"""),"null")</f>
        <v>null</v>
      </c>
      <c r="X5976" s="33">
        <f>IFERROR(__xludf.DUMMYFUNCTION("""COMPUTED_VALUE"""),0.5)</f>
        <v>0.5</v>
      </c>
    </row>
    <row r="5977">
      <c r="K5977" s="4" t="str">
        <f>IFERROR(__xludf.DUMMYFUNCTION("""COMPUTED_VALUE"""),"IMPERIO ORIENTAL")</f>
        <v>IMPERIO ORIENTAL</v>
      </c>
      <c r="L5977" s="32">
        <f>IFERROR(__xludf.DUMMYFUNCTION("""COMPUTED_VALUE"""),2.0)</f>
        <v>2</v>
      </c>
      <c r="M5977" s="4" t="str">
        <f>IFERROR(__xludf.DUMMYFUNCTION("""COMPUTED_VALUE"""),"null")</f>
        <v>null</v>
      </c>
      <c r="N5977" s="33">
        <f>IFERROR(__xludf.DUMMYFUNCTION("""COMPUTED_VALUE"""),0.5)</f>
        <v>0.5</v>
      </c>
      <c r="O5977" s="4" t="str">
        <f>IFERROR(__xludf.DUMMYFUNCTION("""COMPUTED_VALUE"""),"null")</f>
        <v>null</v>
      </c>
      <c r="P5977" s="33">
        <f>IFERROR(__xludf.DUMMYFUNCTION("""COMPUTED_VALUE"""),1.0)</f>
        <v>1</v>
      </c>
      <c r="Q5977" s="4" t="str">
        <f>IFERROR(__xludf.DUMMYFUNCTION("""COMPUTED_VALUE"""),"null")</f>
        <v>null</v>
      </c>
      <c r="R5977" s="33">
        <f>IFERROR(__xludf.DUMMYFUNCTION("""COMPUTED_VALUE"""),1.0)</f>
        <v>1</v>
      </c>
      <c r="S5977" s="4" t="str">
        <f>IFERROR(__xludf.DUMMYFUNCTION("""COMPUTED_VALUE"""),"null")</f>
        <v>null</v>
      </c>
      <c r="T5977" s="33">
        <f>IFERROR(__xludf.DUMMYFUNCTION("""COMPUTED_VALUE"""),1.0)</f>
        <v>1</v>
      </c>
      <c r="U5977" s="4" t="str">
        <f>IFERROR(__xludf.DUMMYFUNCTION("""COMPUTED_VALUE"""),"Anota Ai Solucoes Digitais S/a")</f>
        <v>Anota Ai Solucoes Digitais S/a</v>
      </c>
      <c r="V5977" s="33">
        <f>IFERROR(__xludf.DUMMYFUNCTION("""COMPUTED_VALUE"""),0.5)</f>
        <v>0.5</v>
      </c>
      <c r="W5977" s="4" t="str">
        <f>IFERROR(__xludf.DUMMYFUNCTION("""COMPUTED_VALUE"""),"null")</f>
        <v>null</v>
      </c>
      <c r="X5977" s="33">
        <f>IFERROR(__xludf.DUMMYFUNCTION("""COMPUTED_VALUE"""),1.0)</f>
        <v>1</v>
      </c>
    </row>
    <row r="5978">
      <c r="K5978" s="4" t="str">
        <f>IFERROR(__xludf.DUMMYFUNCTION("""COMPUTED_VALUE"""),"BELLA ACAI")</f>
        <v>BELLA ACAI</v>
      </c>
      <c r="L5978" s="32">
        <f>IFERROR(__xludf.DUMMYFUNCTION("""COMPUTED_VALUE"""),2.0)</f>
        <v>2</v>
      </c>
      <c r="M5978" s="4" t="str">
        <f>IFERROR(__xludf.DUMMYFUNCTION("""COMPUTED_VALUE"""),"null")</f>
        <v>null</v>
      </c>
      <c r="N5978" s="33">
        <f>IFERROR(__xludf.DUMMYFUNCTION("""COMPUTED_VALUE"""),0.5)</f>
        <v>0.5</v>
      </c>
      <c r="O5978" s="4" t="str">
        <f>IFERROR(__xludf.DUMMYFUNCTION("""COMPUTED_VALUE"""),"null")</f>
        <v>null</v>
      </c>
      <c r="P5978" s="33">
        <f>IFERROR(__xludf.DUMMYFUNCTION("""COMPUTED_VALUE"""),0.5)</f>
        <v>0.5</v>
      </c>
      <c r="Q5978" s="4" t="str">
        <f>IFERROR(__xludf.DUMMYFUNCTION("""COMPUTED_VALUE"""),"null")</f>
        <v>null</v>
      </c>
      <c r="R5978" s="33">
        <f>IFERROR(__xludf.DUMMYFUNCTION("""COMPUTED_VALUE"""),0.5)</f>
        <v>0.5</v>
      </c>
      <c r="S5978" s="4" t="str">
        <f>IFERROR(__xludf.DUMMYFUNCTION("""COMPUTED_VALUE"""),"null")</f>
        <v>null</v>
      </c>
      <c r="T5978" s="33">
        <f>IFERROR(__xludf.DUMMYFUNCTION("""COMPUTED_VALUE"""),0.5)</f>
        <v>0.5</v>
      </c>
      <c r="U5978" s="4" t="str">
        <f>IFERROR(__xludf.DUMMYFUNCTION("""COMPUTED_VALUE"""),"Instadelivery")</f>
        <v>Instadelivery</v>
      </c>
      <c r="V5978" s="33">
        <f>IFERROR(__xludf.DUMMYFUNCTION("""COMPUTED_VALUE"""),0.5)</f>
        <v>0.5</v>
      </c>
      <c r="W5978" s="4" t="str">
        <f>IFERROR(__xludf.DUMMYFUNCTION("""COMPUTED_VALUE"""),"Instadelivery")</f>
        <v>Instadelivery</v>
      </c>
      <c r="X5978" s="33">
        <f>IFERROR(__xludf.DUMMYFUNCTION("""COMPUTED_VALUE"""),0.5)</f>
        <v>0.5</v>
      </c>
    </row>
    <row r="5979">
      <c r="K5979" s="4" t="str">
        <f>IFERROR(__xludf.DUMMYFUNCTION("""COMPUTED_VALUE"""),"PEREQUE ACAI - A SUA PRAIA")</f>
        <v>PEREQUE ACAI - A SUA PRAIA</v>
      </c>
      <c r="L5979" s="32">
        <f>IFERROR(__xludf.DUMMYFUNCTION("""COMPUTED_VALUE"""),2.0)</f>
        <v>2</v>
      </c>
      <c r="M5979" s="4" t="str">
        <f>IFERROR(__xludf.DUMMYFUNCTION("""COMPUTED_VALUE"""),"Beefood - Sistema Para Restaurantes")</f>
        <v>Beefood - Sistema Para Restaurantes</v>
      </c>
      <c r="N5979" s="33">
        <f>IFERROR(__xludf.DUMMYFUNCTION("""COMPUTED_VALUE"""),1.0)</f>
        <v>1</v>
      </c>
      <c r="O5979" s="4" t="str">
        <f>IFERROR(__xludf.DUMMYFUNCTION("""COMPUTED_VALUE"""),"Beefood - Sistema Para Restaurantes")</f>
        <v>Beefood - Sistema Para Restaurantes</v>
      </c>
      <c r="P5979" s="33">
        <f>IFERROR(__xludf.DUMMYFUNCTION("""COMPUTED_VALUE"""),1.0)</f>
        <v>1</v>
      </c>
      <c r="Q5979" s="4" t="str">
        <f>IFERROR(__xludf.DUMMYFUNCTION("""COMPUTED_VALUE"""),"Beefood - Sistema Para Restaurantes")</f>
        <v>Beefood - Sistema Para Restaurantes</v>
      </c>
      <c r="R5979" s="33">
        <f>IFERROR(__xludf.DUMMYFUNCTION("""COMPUTED_VALUE"""),1.0)</f>
        <v>1</v>
      </c>
      <c r="S5979" s="4" t="str">
        <f>IFERROR(__xludf.DUMMYFUNCTION("""COMPUTED_VALUE"""),"Beefood - Sistema Para Restaurantes")</f>
        <v>Beefood - Sistema Para Restaurantes</v>
      </c>
      <c r="T5979" s="33">
        <f>IFERROR(__xludf.DUMMYFUNCTION("""COMPUTED_VALUE"""),1.0)</f>
        <v>1</v>
      </c>
      <c r="U5979" s="4" t="str">
        <f>IFERROR(__xludf.DUMMYFUNCTION("""COMPUTED_VALUE"""),"Beefood - Sistema Para Restaurantes")</f>
        <v>Beefood - Sistema Para Restaurantes</v>
      </c>
      <c r="V5979" s="33">
        <f>IFERROR(__xludf.DUMMYFUNCTION("""COMPUTED_VALUE"""),1.0)</f>
        <v>1</v>
      </c>
      <c r="W5979" s="4" t="str">
        <f>IFERROR(__xludf.DUMMYFUNCTION("""COMPUTED_VALUE"""),"null")</f>
        <v>null</v>
      </c>
      <c r="X5979" s="33">
        <f>IFERROR(__xludf.DUMMYFUNCTION("""COMPUTED_VALUE"""),0.5)</f>
        <v>0.5</v>
      </c>
    </row>
    <row r="5980">
      <c r="K5980" s="4" t="str">
        <f>IFERROR(__xludf.DUMMYFUNCTION("""COMPUTED_VALUE"""),"PASTEL YAMAGUCHI - VILA INVERNADA")</f>
        <v>PASTEL YAMAGUCHI - VILA INVERNADA</v>
      </c>
      <c r="L5980" s="32">
        <f>IFERROR(__xludf.DUMMYFUNCTION("""COMPUTED_VALUE"""),2.0)</f>
        <v>2</v>
      </c>
      <c r="M5980" s="4" t="str">
        <f>IFERROR(__xludf.DUMMYFUNCTION("""COMPUTED_VALUE"""),"Cardápio Web")</f>
        <v>Cardápio Web</v>
      </c>
      <c r="N5980" s="33">
        <f>IFERROR(__xludf.DUMMYFUNCTION("""COMPUTED_VALUE"""),0.6666666666666666)</f>
        <v>0.6666666667</v>
      </c>
      <c r="O5980" s="4" t="str">
        <f>IFERROR(__xludf.DUMMYFUNCTION("""COMPUTED_VALUE"""),"Cardápio Web")</f>
        <v>Cardápio Web</v>
      </c>
      <c r="P5980" s="33">
        <f>IFERROR(__xludf.DUMMYFUNCTION("""COMPUTED_VALUE"""),0.6666666666666666)</f>
        <v>0.6666666667</v>
      </c>
      <c r="Q5980" s="4" t="str">
        <f>IFERROR(__xludf.DUMMYFUNCTION("""COMPUTED_VALUE"""),"null")</f>
        <v>null</v>
      </c>
      <c r="R5980" s="33">
        <f>IFERROR(__xludf.DUMMYFUNCTION("""COMPUTED_VALUE"""),0.6666666666666666)</f>
        <v>0.6666666667</v>
      </c>
      <c r="S5980" s="4" t="str">
        <f>IFERROR(__xludf.DUMMYFUNCTION("""COMPUTED_VALUE"""),"null")</f>
        <v>null</v>
      </c>
      <c r="T5980" s="33">
        <f>IFERROR(__xludf.DUMMYFUNCTION("""COMPUTED_VALUE"""),1.0)</f>
        <v>1</v>
      </c>
      <c r="U5980" s="4" t="str">
        <f>IFERROR(__xludf.DUMMYFUNCTION("""COMPUTED_VALUE"""),"Cardápio Web")</f>
        <v>Cardápio Web</v>
      </c>
      <c r="V5980" s="33">
        <f>IFERROR(__xludf.DUMMYFUNCTION("""COMPUTED_VALUE"""),0.6666666666666666)</f>
        <v>0.6666666667</v>
      </c>
      <c r="W5980" s="4" t="str">
        <f>IFERROR(__xludf.DUMMYFUNCTION("""COMPUTED_VALUE"""),"Cardápio Web")</f>
        <v>Cardápio Web</v>
      </c>
      <c r="X5980" s="33">
        <f>IFERROR(__xludf.DUMMYFUNCTION("""COMPUTED_VALUE"""),0.6666666666666666)</f>
        <v>0.6666666667</v>
      </c>
    </row>
    <row r="5981">
      <c r="K5981" s="4" t="str">
        <f>IFERROR(__xludf.DUMMYFUNCTION("""COMPUTED_VALUE"""),"LOS HERMANOS PIZZARIA")</f>
        <v>LOS HERMANOS PIZZARIA</v>
      </c>
      <c r="L5981" s="32">
        <f>IFERROR(__xludf.DUMMYFUNCTION("""COMPUTED_VALUE"""),2.0)</f>
        <v>2</v>
      </c>
      <c r="M5981" s="4" t="str">
        <f>IFERROR(__xludf.DUMMYFUNCTION("""COMPUTED_VALUE"""),"Expresso Delivery")</f>
        <v>Expresso Delivery</v>
      </c>
      <c r="N5981" s="33">
        <f>IFERROR(__xludf.DUMMYFUNCTION("""COMPUTED_VALUE"""),0.5)</f>
        <v>0.5</v>
      </c>
      <c r="O5981" s="4" t="str">
        <f>IFERROR(__xludf.DUMMYFUNCTION("""COMPUTED_VALUE"""),"Expresso Delivery")</f>
        <v>Expresso Delivery</v>
      </c>
      <c r="P5981" s="33">
        <f>IFERROR(__xludf.DUMMYFUNCTION("""COMPUTED_VALUE"""),0.5)</f>
        <v>0.5</v>
      </c>
      <c r="Q5981" s="4" t="str">
        <f>IFERROR(__xludf.DUMMYFUNCTION("""COMPUTED_VALUE"""),"Expresso Delivery")</f>
        <v>Expresso Delivery</v>
      </c>
      <c r="R5981" s="33">
        <f>IFERROR(__xludf.DUMMYFUNCTION("""COMPUTED_VALUE"""),0.5)</f>
        <v>0.5</v>
      </c>
      <c r="S5981" s="4" t="str">
        <f>IFERROR(__xludf.DUMMYFUNCTION("""COMPUTED_VALUE"""),"Expresso Delivery")</f>
        <v>Expresso Delivery</v>
      </c>
      <c r="T5981" s="33">
        <f>IFERROR(__xludf.DUMMYFUNCTION("""COMPUTED_VALUE"""),0.5)</f>
        <v>0.5</v>
      </c>
      <c r="U5981" s="4" t="str">
        <f>IFERROR(__xludf.DUMMYFUNCTION("""COMPUTED_VALUE"""),"Anota Ai Solucoes Digitais S/a")</f>
        <v>Anota Ai Solucoes Digitais S/a</v>
      </c>
      <c r="V5981" s="33">
        <f>IFERROR(__xludf.DUMMYFUNCTION("""COMPUTED_VALUE"""),0.5)</f>
        <v>0.5</v>
      </c>
      <c r="W5981" s="4" t="str">
        <f>IFERROR(__xludf.DUMMYFUNCTION("""COMPUTED_VALUE"""),"Anota Ai Solucoes Digitais S/a")</f>
        <v>Anota Ai Solucoes Digitais S/a</v>
      </c>
      <c r="X5981" s="33">
        <f>IFERROR(__xludf.DUMMYFUNCTION("""COMPUTED_VALUE"""),0.5)</f>
        <v>0.5</v>
      </c>
    </row>
    <row r="5982">
      <c r="K5982" s="4" t="str">
        <f>IFERROR(__xludf.DUMMYFUNCTION("""COMPUTED_VALUE"""),"MIX RESTAURANTE")</f>
        <v>MIX RESTAURANTE</v>
      </c>
      <c r="L5982" s="32">
        <f>IFERROR(__xludf.DUMMYFUNCTION("""COMPUTED_VALUE"""),2.0)</f>
        <v>2</v>
      </c>
      <c r="M5982" s="4" t="str">
        <f>IFERROR(__xludf.DUMMYFUNCTION("""COMPUTED_VALUE"""),"null")</f>
        <v>null</v>
      </c>
      <c r="N5982" s="33">
        <f>IFERROR(__xludf.DUMMYFUNCTION("""COMPUTED_VALUE"""),1.0)</f>
        <v>1</v>
      </c>
      <c r="O5982" s="4" t="str">
        <f>IFERROR(__xludf.DUMMYFUNCTION("""COMPUTED_VALUE"""),"null")</f>
        <v>null</v>
      </c>
      <c r="P5982" s="33">
        <f>IFERROR(__xludf.DUMMYFUNCTION("""COMPUTED_VALUE"""),1.0)</f>
        <v>1</v>
      </c>
      <c r="Q5982" s="4" t="str">
        <f>IFERROR(__xludf.DUMMYFUNCTION("""COMPUTED_VALUE"""),"null")</f>
        <v>null</v>
      </c>
      <c r="R5982" s="33">
        <f>IFERROR(__xludf.DUMMYFUNCTION("""COMPUTED_VALUE"""),1.0)</f>
        <v>1</v>
      </c>
      <c r="S5982" s="4" t="str">
        <f>IFERROR(__xludf.DUMMYFUNCTION("""COMPUTED_VALUE"""),"Saipos Serviços De Software")</f>
        <v>Saipos Serviços De Software</v>
      </c>
      <c r="T5982" s="33">
        <f>IFERROR(__xludf.DUMMYFUNCTION("""COMPUTED_VALUE"""),0.5)</f>
        <v>0.5</v>
      </c>
      <c r="U5982" s="4" t="str">
        <f>IFERROR(__xludf.DUMMYFUNCTION("""COMPUTED_VALUE"""),"Saipos Serviços De Software")</f>
        <v>Saipos Serviços De Software</v>
      </c>
      <c r="V5982" s="33">
        <f>IFERROR(__xludf.DUMMYFUNCTION("""COMPUTED_VALUE"""),0.5)</f>
        <v>0.5</v>
      </c>
      <c r="W5982" s="4" t="str">
        <f>IFERROR(__xludf.DUMMYFUNCTION("""COMPUTED_VALUE"""),"Saipos Serviços De Software")</f>
        <v>Saipos Serviços De Software</v>
      </c>
      <c r="X5982" s="33">
        <f>IFERROR(__xludf.DUMMYFUNCTION("""COMPUTED_VALUE"""),0.5)</f>
        <v>0.5</v>
      </c>
    </row>
    <row r="5983">
      <c r="K5983" s="4" t="str">
        <f>IFERROR(__xludf.DUMMYFUNCTION("""COMPUTED_VALUE"""),"FALKAO LANCHES")</f>
        <v>FALKAO LANCHES</v>
      </c>
      <c r="L5983" s="32">
        <f>IFERROR(__xludf.DUMMYFUNCTION("""COMPUTED_VALUE"""),2.0)</f>
        <v>2</v>
      </c>
      <c r="M5983" s="4" t="str">
        <f>IFERROR(__xludf.DUMMYFUNCTION("""COMPUTED_VALUE"""),"Promidia Informatica Ltda")</f>
        <v>Promidia Informatica Ltda</v>
      </c>
      <c r="N5983" s="33">
        <f>IFERROR(__xludf.DUMMYFUNCTION("""COMPUTED_VALUE"""),1.0)</f>
        <v>1</v>
      </c>
      <c r="O5983" s="4" t="str">
        <f>IFERROR(__xludf.DUMMYFUNCTION("""COMPUTED_VALUE"""),"Promidia Informatica Ltda")</f>
        <v>Promidia Informatica Ltda</v>
      </c>
      <c r="P5983" s="33">
        <f>IFERROR(__xludf.DUMMYFUNCTION("""COMPUTED_VALUE"""),1.0)</f>
        <v>1</v>
      </c>
      <c r="Q5983" s="4" t="str">
        <f>IFERROR(__xludf.DUMMYFUNCTION("""COMPUTED_VALUE"""),"Promidia Informatica Ltda")</f>
        <v>Promidia Informatica Ltda</v>
      </c>
      <c r="R5983" s="33">
        <f>IFERROR(__xludf.DUMMYFUNCTION("""COMPUTED_VALUE"""),1.0)</f>
        <v>1</v>
      </c>
      <c r="S5983" s="4" t="str">
        <f>IFERROR(__xludf.DUMMYFUNCTION("""COMPUTED_VALUE"""),"Promidia Informatica Ltda")</f>
        <v>Promidia Informatica Ltda</v>
      </c>
      <c r="T5983" s="33">
        <f>IFERROR(__xludf.DUMMYFUNCTION("""COMPUTED_VALUE"""),1.0)</f>
        <v>1</v>
      </c>
      <c r="U5983" s="4" t="str">
        <f>IFERROR(__xludf.DUMMYFUNCTION("""COMPUTED_VALUE"""),"Promidia Informatica Ltda")</f>
        <v>Promidia Informatica Ltda</v>
      </c>
      <c r="V5983" s="33">
        <f>IFERROR(__xludf.DUMMYFUNCTION("""COMPUTED_VALUE"""),1.0)</f>
        <v>1</v>
      </c>
      <c r="W5983" s="4" t="str">
        <f>IFERROR(__xludf.DUMMYFUNCTION("""COMPUTED_VALUE"""),"Promidia Informatica Ltda")</f>
        <v>Promidia Informatica Ltda</v>
      </c>
      <c r="X5983" s="33">
        <f>IFERROR(__xludf.DUMMYFUNCTION("""COMPUTED_VALUE"""),1.0)</f>
        <v>1</v>
      </c>
    </row>
    <row r="5984">
      <c r="K5984" s="4" t="str">
        <f>IFERROR(__xludf.DUMMYFUNCTION("""COMPUTED_VALUE"""),"NAPOLITA PIZZARIA")</f>
        <v>NAPOLITA PIZZARIA</v>
      </c>
      <c r="L5984" s="32">
        <f>IFERROR(__xludf.DUMMYFUNCTION("""COMPUTED_VALUE"""),2.0)</f>
        <v>2</v>
      </c>
      <c r="M5984" s="4" t="str">
        <f>IFERROR(__xludf.DUMMYFUNCTION("""COMPUTED_VALUE"""),"Saipos Serviços De Software")</f>
        <v>Saipos Serviços De Software</v>
      </c>
      <c r="N5984" s="33">
        <f>IFERROR(__xludf.DUMMYFUNCTION("""COMPUTED_VALUE"""),0.5)</f>
        <v>0.5</v>
      </c>
      <c r="O5984" s="4" t="str">
        <f>IFERROR(__xludf.DUMMYFUNCTION("""COMPUTED_VALUE"""),"Saipos Serviços De Software")</f>
        <v>Saipos Serviços De Software</v>
      </c>
      <c r="P5984" s="33">
        <f>IFERROR(__xludf.DUMMYFUNCTION("""COMPUTED_VALUE"""),0.5)</f>
        <v>0.5</v>
      </c>
      <c r="Q5984" s="4" t="str">
        <f>IFERROR(__xludf.DUMMYFUNCTION("""COMPUTED_VALUE"""),"Saipos Serviços De Software")</f>
        <v>Saipos Serviços De Software</v>
      </c>
      <c r="R5984" s="33">
        <f>IFERROR(__xludf.DUMMYFUNCTION("""COMPUTED_VALUE"""),0.5)</f>
        <v>0.5</v>
      </c>
      <c r="S5984" s="4" t="str">
        <f>IFERROR(__xludf.DUMMYFUNCTION("""COMPUTED_VALUE"""),"Saipos Serviços De Software")</f>
        <v>Saipos Serviços De Software</v>
      </c>
      <c r="T5984" s="33">
        <f>IFERROR(__xludf.DUMMYFUNCTION("""COMPUTED_VALUE"""),0.5)</f>
        <v>0.5</v>
      </c>
      <c r="U5984" s="4" t="str">
        <f>IFERROR(__xludf.DUMMYFUNCTION("""COMPUTED_VALUE"""),"Saipos Serviços De Software")</f>
        <v>Saipos Serviços De Software</v>
      </c>
      <c r="V5984" s="33">
        <f>IFERROR(__xludf.DUMMYFUNCTION("""COMPUTED_VALUE"""),0.5)</f>
        <v>0.5</v>
      </c>
      <c r="W5984" s="4" t="str">
        <f>IFERROR(__xludf.DUMMYFUNCTION("""COMPUTED_VALUE"""),"Saipos Serviços De Software")</f>
        <v>Saipos Serviços De Software</v>
      </c>
      <c r="X5984" s="33">
        <f>IFERROR(__xludf.DUMMYFUNCTION("""COMPUTED_VALUE"""),0.5)</f>
        <v>0.5</v>
      </c>
    </row>
    <row r="5985">
      <c r="K5985" s="4" t="str">
        <f>IFERROR(__xludf.DUMMYFUNCTION("""COMPUTED_VALUE"""),"HAMBURGUERIA DO PORTUGA")</f>
        <v>HAMBURGUERIA DO PORTUGA</v>
      </c>
      <c r="L5985" s="32">
        <f>IFERROR(__xludf.DUMMYFUNCTION("""COMPUTED_VALUE"""),2.0)</f>
        <v>2</v>
      </c>
      <c r="M5985" s="4" t="str">
        <f>IFERROR(__xludf.DUMMYFUNCTION("""COMPUTED_VALUE"""),"Gerence Sistemas")</f>
        <v>Gerence Sistemas</v>
      </c>
      <c r="N5985" s="33">
        <f>IFERROR(__xludf.DUMMYFUNCTION("""COMPUTED_VALUE"""),0.5)</f>
        <v>0.5</v>
      </c>
      <c r="O5985" s="4" t="str">
        <f>IFERROR(__xludf.DUMMYFUNCTION("""COMPUTED_VALUE"""),"Gerence Sistemas")</f>
        <v>Gerence Sistemas</v>
      </c>
      <c r="P5985" s="33">
        <f>IFERROR(__xludf.DUMMYFUNCTION("""COMPUTED_VALUE"""),0.5)</f>
        <v>0.5</v>
      </c>
      <c r="Q5985" s="4" t="str">
        <f>IFERROR(__xludf.DUMMYFUNCTION("""COMPUTED_VALUE"""),"null")</f>
        <v>null</v>
      </c>
      <c r="R5985" s="33">
        <f>IFERROR(__xludf.DUMMYFUNCTION("""COMPUTED_VALUE"""),0.5)</f>
        <v>0.5</v>
      </c>
      <c r="S5985" s="4" t="str">
        <f>IFERROR(__xludf.DUMMYFUNCTION("""COMPUTED_VALUE"""),"null")</f>
        <v>null</v>
      </c>
      <c r="T5985" s="33">
        <f>IFERROR(__xludf.DUMMYFUNCTION("""COMPUTED_VALUE"""),0.5)</f>
        <v>0.5</v>
      </c>
      <c r="U5985" s="4" t="str">
        <f>IFERROR(__xludf.DUMMYFUNCTION("""COMPUTED_VALUE"""),"null")</f>
        <v>null</v>
      </c>
      <c r="V5985" s="33">
        <f>IFERROR(__xludf.DUMMYFUNCTION("""COMPUTED_VALUE"""),0.5)</f>
        <v>0.5</v>
      </c>
      <c r="W5985" s="4" t="str">
        <f>IFERROR(__xludf.DUMMYFUNCTION("""COMPUTED_VALUE"""),"Gerence Sistemas")</f>
        <v>Gerence Sistemas</v>
      </c>
      <c r="X5985" s="33">
        <f>IFERROR(__xludf.DUMMYFUNCTION("""COMPUTED_VALUE"""),0.5)</f>
        <v>0.5</v>
      </c>
    </row>
    <row r="5986">
      <c r="K5986" s="4" t="str">
        <f>IFERROR(__xludf.DUMMYFUNCTION("""COMPUTED_VALUE"""),"NEEDY BURGERS")</f>
        <v>NEEDY BURGERS</v>
      </c>
      <c r="L5986" s="32">
        <f>IFERROR(__xludf.DUMMYFUNCTION("""COMPUTED_VALUE"""),2.0)</f>
        <v>2</v>
      </c>
      <c r="M5986" s="4" t="str">
        <f>IFERROR(__xludf.DUMMYFUNCTION("""COMPUTED_VALUE"""),"Olaclick")</f>
        <v>Olaclick</v>
      </c>
      <c r="N5986" s="33">
        <f>IFERROR(__xludf.DUMMYFUNCTION("""COMPUTED_VALUE"""),0.5)</f>
        <v>0.5</v>
      </c>
      <c r="O5986" s="4" t="str">
        <f>IFERROR(__xludf.DUMMYFUNCTION("""COMPUTED_VALUE"""),"null")</f>
        <v>null</v>
      </c>
      <c r="P5986" s="33">
        <f>IFERROR(__xludf.DUMMYFUNCTION("""COMPUTED_VALUE"""),1.0)</f>
        <v>1</v>
      </c>
      <c r="Q5986" s="4" t="str">
        <f>IFERROR(__xludf.DUMMYFUNCTION("""COMPUTED_VALUE"""),"null")</f>
        <v>null</v>
      </c>
      <c r="R5986" s="33">
        <f>IFERROR(__xludf.DUMMYFUNCTION("""COMPUTED_VALUE"""),1.0)</f>
        <v>1</v>
      </c>
      <c r="S5986" s="4" t="str">
        <f>IFERROR(__xludf.DUMMYFUNCTION("""COMPUTED_VALUE"""),"null")</f>
        <v>null</v>
      </c>
      <c r="T5986" s="33">
        <f>IFERROR(__xludf.DUMMYFUNCTION("""COMPUTED_VALUE"""),1.0)</f>
        <v>1</v>
      </c>
      <c r="U5986" s="4" t="str">
        <f>IFERROR(__xludf.DUMMYFUNCTION("""COMPUTED_VALUE"""),"null")</f>
        <v>null</v>
      </c>
      <c r="V5986" s="33">
        <f>IFERROR(__xludf.DUMMYFUNCTION("""COMPUTED_VALUE"""),1.0)</f>
        <v>1</v>
      </c>
      <c r="W5986" s="4" t="str">
        <f>IFERROR(__xludf.DUMMYFUNCTION("""COMPUTED_VALUE"""),"null")</f>
        <v>null</v>
      </c>
      <c r="X5986" s="33">
        <f>IFERROR(__xludf.DUMMYFUNCTION("""COMPUTED_VALUE"""),0.5)</f>
        <v>0.5</v>
      </c>
    </row>
    <row r="5987">
      <c r="K5987" s="4" t="str">
        <f>IFERROR(__xludf.DUMMYFUNCTION("""COMPUTED_VALUE"""),"ADONAI ACAI")</f>
        <v>ADONAI ACAI</v>
      </c>
      <c r="L5987" s="32">
        <f>IFERROR(__xludf.DUMMYFUNCTION("""COMPUTED_VALUE"""),2.0)</f>
        <v>2</v>
      </c>
      <c r="M5987" s="4" t="str">
        <f>IFERROR(__xludf.DUMMYFUNCTION("""COMPUTED_VALUE"""),"Saipos Serviços De Software")</f>
        <v>Saipos Serviços De Software</v>
      </c>
      <c r="N5987" s="33">
        <f>IFERROR(__xludf.DUMMYFUNCTION("""COMPUTED_VALUE"""),0.5)</f>
        <v>0.5</v>
      </c>
      <c r="O5987" s="4" t="str">
        <f>IFERROR(__xludf.DUMMYFUNCTION("""COMPUTED_VALUE"""),"Saipos Serviços De Software")</f>
        <v>Saipos Serviços De Software</v>
      </c>
      <c r="P5987" s="33">
        <f>IFERROR(__xludf.DUMMYFUNCTION("""COMPUTED_VALUE"""),0.5)</f>
        <v>0.5</v>
      </c>
      <c r="Q5987" s="4" t="str">
        <f>IFERROR(__xludf.DUMMYFUNCTION("""COMPUTED_VALUE"""),"null")</f>
        <v>null</v>
      </c>
      <c r="R5987" s="33">
        <f>IFERROR(__xludf.DUMMYFUNCTION("""COMPUTED_VALUE"""),1.0)</f>
        <v>1</v>
      </c>
      <c r="S5987" s="4" t="str">
        <f>IFERROR(__xludf.DUMMYFUNCTION("""COMPUTED_VALUE"""),"null")</f>
        <v>null</v>
      </c>
      <c r="T5987" s="33">
        <f>IFERROR(__xludf.DUMMYFUNCTION("""COMPUTED_VALUE"""),1.0)</f>
        <v>1</v>
      </c>
      <c r="U5987" s="4" t="str">
        <f>IFERROR(__xludf.DUMMYFUNCTION("""COMPUTED_VALUE"""),"null")</f>
        <v>null</v>
      </c>
      <c r="V5987" s="33">
        <f>IFERROR(__xludf.DUMMYFUNCTION("""COMPUTED_VALUE"""),1.0)</f>
        <v>1</v>
      </c>
      <c r="W5987" s="4" t="str">
        <f>IFERROR(__xludf.DUMMYFUNCTION("""COMPUTED_VALUE"""),"null")</f>
        <v>null</v>
      </c>
      <c r="X5987" s="33">
        <f>IFERROR(__xludf.DUMMYFUNCTION("""COMPUTED_VALUE"""),0.5)</f>
        <v>0.5</v>
      </c>
    </row>
    <row r="5988">
      <c r="K5988" s="4" t="str">
        <f>IFERROR(__xludf.DUMMYFUNCTION("""COMPUTED_VALUE"""),"FLASH PIZZARIA")</f>
        <v>FLASH PIZZARIA</v>
      </c>
      <c r="L5988" s="32">
        <f>IFERROR(__xludf.DUMMYFUNCTION("""COMPUTED_VALUE"""),2.0)</f>
        <v>2</v>
      </c>
      <c r="M5988" s="4" t="str">
        <f>IFERROR(__xludf.DUMMYFUNCTION("""COMPUTED_VALUE"""),"Beefood - Sistema Para Restaurantes")</f>
        <v>Beefood - Sistema Para Restaurantes</v>
      </c>
      <c r="N5988" s="33">
        <f>IFERROR(__xludf.DUMMYFUNCTION("""COMPUTED_VALUE"""),0.5)</f>
        <v>0.5</v>
      </c>
      <c r="O5988" s="4" t="str">
        <f>IFERROR(__xludf.DUMMYFUNCTION("""COMPUTED_VALUE"""),"Beefood - Sistema Para Restaurantes")</f>
        <v>Beefood - Sistema Para Restaurantes</v>
      </c>
      <c r="P5988" s="33">
        <f>IFERROR(__xludf.DUMMYFUNCTION("""COMPUTED_VALUE"""),0.5)</f>
        <v>0.5</v>
      </c>
      <c r="Q5988" s="4" t="str">
        <f>IFERROR(__xludf.DUMMYFUNCTION("""COMPUTED_VALUE"""),"Beefood - Sistema Para Restaurantes")</f>
        <v>Beefood - Sistema Para Restaurantes</v>
      </c>
      <c r="R5988" s="33">
        <f>IFERROR(__xludf.DUMMYFUNCTION("""COMPUTED_VALUE"""),0.5)</f>
        <v>0.5</v>
      </c>
      <c r="S5988" s="4" t="str">
        <f>IFERROR(__xludf.DUMMYFUNCTION("""COMPUTED_VALUE"""),"null")</f>
        <v>null</v>
      </c>
      <c r="T5988" s="33">
        <f>IFERROR(__xludf.DUMMYFUNCTION("""COMPUTED_VALUE"""),0.5)</f>
        <v>0.5</v>
      </c>
      <c r="U5988" s="4" t="str">
        <f>IFERROR(__xludf.DUMMYFUNCTION("""COMPUTED_VALUE"""),"Beefood - Sistema Para Restaurantes")</f>
        <v>Beefood - Sistema Para Restaurantes</v>
      </c>
      <c r="V5988" s="33">
        <f>IFERROR(__xludf.DUMMYFUNCTION("""COMPUTED_VALUE"""),0.5)</f>
        <v>0.5</v>
      </c>
      <c r="W5988" s="4" t="str">
        <f>IFERROR(__xludf.DUMMYFUNCTION("""COMPUTED_VALUE"""),"Beefood - Sistema Para Restaurantes")</f>
        <v>Beefood - Sistema Para Restaurantes</v>
      </c>
      <c r="X5988" s="33">
        <f>IFERROR(__xludf.DUMMYFUNCTION("""COMPUTED_VALUE"""),0.5)</f>
        <v>0.5</v>
      </c>
    </row>
    <row r="5989">
      <c r="K5989" s="4" t="str">
        <f>IFERROR(__xludf.DUMMYFUNCTION("""COMPUTED_VALUE"""),"PSIU FAST DELIVERY - A MAIOR VARIEDADE AQUI")</f>
        <v>PSIU FAST DELIVERY - A MAIOR VARIEDADE AQUI</v>
      </c>
      <c r="L5989" s="32">
        <f>IFERROR(__xludf.DUMMYFUNCTION("""COMPUTED_VALUE"""),2.0)</f>
        <v>2</v>
      </c>
      <c r="M5989" s="4" t="str">
        <f>IFERROR(__xludf.DUMMYFUNCTION("""COMPUTED_VALUE"""),"Saipos Serviços De Software")</f>
        <v>Saipos Serviços De Software</v>
      </c>
      <c r="N5989" s="33">
        <f>IFERROR(__xludf.DUMMYFUNCTION("""COMPUTED_VALUE"""),1.0)</f>
        <v>1</v>
      </c>
      <c r="O5989" s="4" t="str">
        <f>IFERROR(__xludf.DUMMYFUNCTION("""COMPUTED_VALUE"""),"Saipos Serviços De Software")</f>
        <v>Saipos Serviços De Software</v>
      </c>
      <c r="P5989" s="33">
        <f>IFERROR(__xludf.DUMMYFUNCTION("""COMPUTED_VALUE"""),1.0)</f>
        <v>1</v>
      </c>
      <c r="Q5989" s="4" t="str">
        <f>IFERROR(__xludf.DUMMYFUNCTION("""COMPUTED_VALUE"""),"Saipos Serviços De Software")</f>
        <v>Saipos Serviços De Software</v>
      </c>
      <c r="R5989" s="33">
        <f>IFERROR(__xludf.DUMMYFUNCTION("""COMPUTED_VALUE"""),1.0)</f>
        <v>1</v>
      </c>
      <c r="S5989" s="4" t="str">
        <f>IFERROR(__xludf.DUMMYFUNCTION("""COMPUTED_VALUE"""),"Saipos Serviços De Software")</f>
        <v>Saipos Serviços De Software</v>
      </c>
      <c r="T5989" s="33">
        <f>IFERROR(__xludf.DUMMYFUNCTION("""COMPUTED_VALUE"""),1.0)</f>
        <v>1</v>
      </c>
      <c r="U5989" s="4" t="str">
        <f>IFERROR(__xludf.DUMMYFUNCTION("""COMPUTED_VALUE"""),"Saipos Serviços De Software")</f>
        <v>Saipos Serviços De Software</v>
      </c>
      <c r="V5989" s="33">
        <f>IFERROR(__xludf.DUMMYFUNCTION("""COMPUTED_VALUE"""),1.0)</f>
        <v>1</v>
      </c>
      <c r="W5989" s="4" t="str">
        <f>IFERROR(__xludf.DUMMYFUNCTION("""COMPUTED_VALUE"""),"Saipos Serviços De Software")</f>
        <v>Saipos Serviços De Software</v>
      </c>
      <c r="X5989" s="33">
        <f>IFERROR(__xludf.DUMMYFUNCTION("""COMPUTED_VALUE"""),1.0)</f>
        <v>1</v>
      </c>
    </row>
    <row r="5990">
      <c r="K5990" s="4" t="str">
        <f>IFERROR(__xludf.DUMMYFUNCTION("""COMPUTED_VALUE"""),"REI DO FRANGO")</f>
        <v>REI DO FRANGO</v>
      </c>
      <c r="L5990" s="32">
        <f>IFERROR(__xludf.DUMMYFUNCTION("""COMPUTED_VALUE"""),2.0)</f>
        <v>2</v>
      </c>
      <c r="M5990" s="4" t="str">
        <f>IFERROR(__xludf.DUMMYFUNCTION("""COMPUTED_VALUE"""),"Brendi")</f>
        <v>Brendi</v>
      </c>
      <c r="N5990" s="33">
        <f>IFERROR(__xludf.DUMMYFUNCTION("""COMPUTED_VALUE"""),0.5)</f>
        <v>0.5</v>
      </c>
      <c r="O5990" s="4" t="str">
        <f>IFERROR(__xludf.DUMMYFUNCTION("""COMPUTED_VALUE"""),"Brendi")</f>
        <v>Brendi</v>
      </c>
      <c r="P5990" s="33">
        <f>IFERROR(__xludf.DUMMYFUNCTION("""COMPUTED_VALUE"""),0.5)</f>
        <v>0.5</v>
      </c>
      <c r="Q5990" s="4" t="str">
        <f>IFERROR(__xludf.DUMMYFUNCTION("""COMPUTED_VALUE"""),"Brendi")</f>
        <v>Brendi</v>
      </c>
      <c r="R5990" s="33">
        <f>IFERROR(__xludf.DUMMYFUNCTION("""COMPUTED_VALUE"""),0.5)</f>
        <v>0.5</v>
      </c>
      <c r="S5990" s="4" t="str">
        <f>IFERROR(__xludf.DUMMYFUNCTION("""COMPUTED_VALUE"""),"null")</f>
        <v>null</v>
      </c>
      <c r="T5990" s="33">
        <f>IFERROR(__xludf.DUMMYFUNCTION("""COMPUTED_VALUE"""),0.5)</f>
        <v>0.5</v>
      </c>
      <c r="U5990" s="4" t="str">
        <f>IFERROR(__xludf.DUMMYFUNCTION("""COMPUTED_VALUE"""),"Brendi")</f>
        <v>Brendi</v>
      </c>
      <c r="V5990" s="33">
        <f>IFERROR(__xludf.DUMMYFUNCTION("""COMPUTED_VALUE"""),0.5)</f>
        <v>0.5</v>
      </c>
      <c r="W5990" s="4" t="str">
        <f>IFERROR(__xludf.DUMMYFUNCTION("""COMPUTED_VALUE"""),"Brendi")</f>
        <v>Brendi</v>
      </c>
      <c r="X5990" s="33">
        <f>IFERROR(__xludf.DUMMYFUNCTION("""COMPUTED_VALUE"""),0.5)</f>
        <v>0.5</v>
      </c>
    </row>
    <row r="5991">
      <c r="K5991" s="4" t="str">
        <f>IFERROR(__xludf.DUMMYFUNCTION("""COMPUTED_VALUE"""),"BIA BURGUER")</f>
        <v>BIA BURGUER</v>
      </c>
      <c r="L5991" s="32">
        <f>IFERROR(__xludf.DUMMYFUNCTION("""COMPUTED_VALUE"""),2.0)</f>
        <v>2</v>
      </c>
      <c r="M5991" s="4" t="str">
        <f>IFERROR(__xludf.DUMMYFUNCTION("""COMPUTED_VALUE"""),"Cardápio Web")</f>
        <v>Cardápio Web</v>
      </c>
      <c r="N5991" s="33">
        <f>IFERROR(__xludf.DUMMYFUNCTION("""COMPUTED_VALUE"""),0.5)</f>
        <v>0.5</v>
      </c>
      <c r="O5991" s="4" t="str">
        <f>IFERROR(__xludf.DUMMYFUNCTION("""COMPUTED_VALUE"""),"Cardápio Web")</f>
        <v>Cardápio Web</v>
      </c>
      <c r="P5991" s="33">
        <f>IFERROR(__xludf.DUMMYFUNCTION("""COMPUTED_VALUE"""),0.5)</f>
        <v>0.5</v>
      </c>
      <c r="Q5991" s="4" t="str">
        <f>IFERROR(__xludf.DUMMYFUNCTION("""COMPUTED_VALUE"""),"Cardápio Web")</f>
        <v>Cardápio Web</v>
      </c>
      <c r="R5991" s="33">
        <f>IFERROR(__xludf.DUMMYFUNCTION("""COMPUTED_VALUE"""),0.5)</f>
        <v>0.5</v>
      </c>
      <c r="S5991" s="4" t="str">
        <f>IFERROR(__xludf.DUMMYFUNCTION("""COMPUTED_VALUE"""),"Cardápio Web")</f>
        <v>Cardápio Web</v>
      </c>
      <c r="T5991" s="33">
        <f>IFERROR(__xludf.DUMMYFUNCTION("""COMPUTED_VALUE"""),0.5)</f>
        <v>0.5</v>
      </c>
      <c r="U5991" s="4" t="str">
        <f>IFERROR(__xludf.DUMMYFUNCTION("""COMPUTED_VALUE"""),"Cardápio Web")</f>
        <v>Cardápio Web</v>
      </c>
      <c r="V5991" s="33">
        <f>IFERROR(__xludf.DUMMYFUNCTION("""COMPUTED_VALUE"""),0.5)</f>
        <v>0.5</v>
      </c>
      <c r="W5991" s="4" t="str">
        <f>IFERROR(__xludf.DUMMYFUNCTION("""COMPUTED_VALUE"""),"Cardápio Web")</f>
        <v>Cardápio Web</v>
      </c>
      <c r="X5991" s="33">
        <f>IFERROR(__xludf.DUMMYFUNCTION("""COMPUTED_VALUE"""),0.5)</f>
        <v>0.5</v>
      </c>
    </row>
    <row r="5992">
      <c r="K5992" s="4" t="str">
        <f>IFERROR(__xludf.DUMMYFUNCTION("""COMPUTED_VALUE"""),"SUPREME ACAI")</f>
        <v>SUPREME ACAI</v>
      </c>
      <c r="L5992" s="32">
        <f>IFERROR(__xludf.DUMMYFUNCTION("""COMPUTED_VALUE"""),2.0)</f>
        <v>2</v>
      </c>
      <c r="M5992" s="4" t="str">
        <f>IFERROR(__xludf.DUMMYFUNCTION("""COMPUTED_VALUE"""),"Anota Ai Solucoes Digitais S/a")</f>
        <v>Anota Ai Solucoes Digitais S/a</v>
      </c>
      <c r="N5992" s="33">
        <f>IFERROR(__xludf.DUMMYFUNCTION("""COMPUTED_VALUE"""),0.5)</f>
        <v>0.5</v>
      </c>
      <c r="O5992" s="4" t="str">
        <f>IFERROR(__xludf.DUMMYFUNCTION("""COMPUTED_VALUE"""),"Anota Ai Solucoes Digitais S/a")</f>
        <v>Anota Ai Solucoes Digitais S/a</v>
      </c>
      <c r="P5992" s="33">
        <f>IFERROR(__xludf.DUMMYFUNCTION("""COMPUTED_VALUE"""),0.5)</f>
        <v>0.5</v>
      </c>
      <c r="Q5992" s="4" t="str">
        <f>IFERROR(__xludf.DUMMYFUNCTION("""COMPUTED_VALUE"""),"Anota Ai Solucoes Digitais S/a")</f>
        <v>Anota Ai Solucoes Digitais S/a</v>
      </c>
      <c r="R5992" s="33">
        <f>IFERROR(__xludf.DUMMYFUNCTION("""COMPUTED_VALUE"""),0.5)</f>
        <v>0.5</v>
      </c>
      <c r="S5992" s="4" t="str">
        <f>IFERROR(__xludf.DUMMYFUNCTION("""COMPUTED_VALUE"""),"Anota Ai Solucoes Digitais S/a")</f>
        <v>Anota Ai Solucoes Digitais S/a</v>
      </c>
      <c r="T5992" s="33">
        <f>IFERROR(__xludf.DUMMYFUNCTION("""COMPUTED_VALUE"""),0.5)</f>
        <v>0.5</v>
      </c>
      <c r="U5992" s="4" t="str">
        <f>IFERROR(__xludf.DUMMYFUNCTION("""COMPUTED_VALUE"""),"Anota Ai Solucoes Digitais S/a")</f>
        <v>Anota Ai Solucoes Digitais S/a</v>
      </c>
      <c r="V5992" s="33">
        <f>IFERROR(__xludf.DUMMYFUNCTION("""COMPUTED_VALUE"""),0.5)</f>
        <v>0.5</v>
      </c>
      <c r="W5992" s="4" t="str">
        <f>IFERROR(__xludf.DUMMYFUNCTION("""COMPUTED_VALUE"""),"Anota Ai Solucoes Digitais S/a")</f>
        <v>Anota Ai Solucoes Digitais S/a</v>
      </c>
      <c r="X5992" s="33">
        <f>IFERROR(__xludf.DUMMYFUNCTION("""COMPUTED_VALUE"""),0.5)</f>
        <v>0.5</v>
      </c>
    </row>
    <row r="5993">
      <c r="K5993" s="4" t="str">
        <f>IFERROR(__xludf.DUMMYFUNCTION("""COMPUTED_VALUE"""),"MARCONDES ACAI")</f>
        <v>MARCONDES ACAI</v>
      </c>
      <c r="L5993" s="32">
        <f>IFERROR(__xludf.DUMMYFUNCTION("""COMPUTED_VALUE"""),2.0)</f>
        <v>2</v>
      </c>
      <c r="M5993" s="4" t="str">
        <f>IFERROR(__xludf.DUMMYFUNCTION("""COMPUTED_VALUE"""),"Eclética Tecnologia")</f>
        <v>Eclética Tecnologia</v>
      </c>
      <c r="N5993" s="33">
        <f>IFERROR(__xludf.DUMMYFUNCTION("""COMPUTED_VALUE"""),1.0)</f>
        <v>1</v>
      </c>
      <c r="O5993" s="4" t="str">
        <f>IFERROR(__xludf.DUMMYFUNCTION("""COMPUTED_VALUE"""),"null")</f>
        <v>null</v>
      </c>
      <c r="P5993" s="33">
        <f>IFERROR(__xludf.DUMMYFUNCTION("""COMPUTED_VALUE"""),0.5)</f>
        <v>0.5</v>
      </c>
      <c r="Q5993" s="4" t="str">
        <f>IFERROR(__xludf.DUMMYFUNCTION("""COMPUTED_VALUE"""),"null")</f>
        <v>null</v>
      </c>
      <c r="R5993" s="33">
        <f>IFERROR(__xludf.DUMMYFUNCTION("""COMPUTED_VALUE"""),1.0)</f>
        <v>1</v>
      </c>
      <c r="S5993" s="4" t="str">
        <f>IFERROR(__xludf.DUMMYFUNCTION("""COMPUTED_VALUE"""),"null")</f>
        <v>null</v>
      </c>
      <c r="T5993" s="33">
        <f>IFERROR(__xludf.DUMMYFUNCTION("""COMPUTED_VALUE"""),1.0)</f>
        <v>1</v>
      </c>
      <c r="U5993" s="4" t="str">
        <f>IFERROR(__xludf.DUMMYFUNCTION("""COMPUTED_VALUE"""),"null")</f>
        <v>null</v>
      </c>
      <c r="V5993" s="33">
        <f>IFERROR(__xludf.DUMMYFUNCTION("""COMPUTED_VALUE"""),0.5)</f>
        <v>0.5</v>
      </c>
      <c r="W5993" s="4" t="str">
        <f>IFERROR(__xludf.DUMMYFUNCTION("""COMPUTED_VALUE"""),"null")</f>
        <v>null</v>
      </c>
      <c r="X5993" s="33">
        <f>IFERROR(__xludf.DUMMYFUNCTION("""COMPUTED_VALUE"""),0.5)</f>
        <v>0.5</v>
      </c>
    </row>
    <row r="5994">
      <c r="K5994" s="4" t="str">
        <f>IFERROR(__xludf.DUMMYFUNCTION("""COMPUTED_VALUE"""),"FARMA SAUDE")</f>
        <v>FARMA SAUDE</v>
      </c>
      <c r="L5994" s="32">
        <f>IFERROR(__xludf.DUMMYFUNCTION("""COMPUTED_VALUE"""),2.0)</f>
        <v>2</v>
      </c>
      <c r="M5994" s="4" t="str">
        <f>IFERROR(__xludf.DUMMYFUNCTION("""COMPUTED_VALUE"""),"N/A (Not found)")</f>
        <v>N/A (Not found)</v>
      </c>
      <c r="N5994" s="33">
        <f>IFERROR(__xludf.DUMMYFUNCTION("""COMPUTED_VALUE"""),0.5)</f>
        <v>0.5</v>
      </c>
      <c r="O5994" s="4" t="str">
        <f>IFERROR(__xludf.DUMMYFUNCTION("""COMPUTED_VALUE"""),"N/A (Not found)")</f>
        <v>N/A (Not found)</v>
      </c>
      <c r="P5994" s="33">
        <f>IFERROR(__xludf.DUMMYFUNCTION("""COMPUTED_VALUE"""),0.5)</f>
        <v>0.5</v>
      </c>
      <c r="Q5994" s="4" t="str">
        <f>IFERROR(__xludf.DUMMYFUNCTION("""COMPUTED_VALUE"""),"N/A (Not found)")</f>
        <v>N/A (Not found)</v>
      </c>
      <c r="R5994" s="33">
        <f>IFERROR(__xludf.DUMMYFUNCTION("""COMPUTED_VALUE"""),0.5)</f>
        <v>0.5</v>
      </c>
      <c r="S5994" s="4" t="str">
        <f>IFERROR(__xludf.DUMMYFUNCTION("""COMPUTED_VALUE"""),"N/A (Not found)")</f>
        <v>N/A (Not found)</v>
      </c>
      <c r="T5994" s="33">
        <f>IFERROR(__xludf.DUMMYFUNCTION("""COMPUTED_VALUE"""),1.0)</f>
        <v>1</v>
      </c>
      <c r="U5994" s="4" t="str">
        <f>IFERROR(__xludf.DUMMYFUNCTION("""COMPUTED_VALUE"""),"N/A (Not found)")</f>
        <v>N/A (Not found)</v>
      </c>
      <c r="V5994" s="33">
        <f>IFERROR(__xludf.DUMMYFUNCTION("""COMPUTED_VALUE"""),1.0)</f>
        <v>1</v>
      </c>
      <c r="W5994" s="4" t="str">
        <f>IFERROR(__xludf.DUMMYFUNCTION("""COMPUTED_VALUE"""),"N/A (Not found)")</f>
        <v>N/A (Not found)</v>
      </c>
      <c r="X5994" s="33">
        <f>IFERROR(__xludf.DUMMYFUNCTION("""COMPUTED_VALUE"""),1.0)</f>
        <v>1</v>
      </c>
    </row>
    <row r="5995">
      <c r="K5995" s="4" t="str">
        <f>IFERROR(__xludf.DUMMYFUNCTION("""COMPUTED_VALUE"""),"PASTA PIZZA")</f>
        <v>PASTA PIZZA</v>
      </c>
      <c r="L5995" s="32">
        <f>IFERROR(__xludf.DUMMYFUNCTION("""COMPUTED_VALUE"""),2.0)</f>
        <v>2</v>
      </c>
      <c r="M5995" s="4" t="str">
        <f>IFERROR(__xludf.DUMMYFUNCTION("""COMPUTED_VALUE"""),"Winfood")</f>
        <v>Winfood</v>
      </c>
      <c r="N5995" s="33">
        <f>IFERROR(__xludf.DUMMYFUNCTION("""COMPUTED_VALUE"""),0.5)</f>
        <v>0.5</v>
      </c>
      <c r="O5995" s="4" t="str">
        <f>IFERROR(__xludf.DUMMYFUNCTION("""COMPUTED_VALUE"""),"Winfood")</f>
        <v>Winfood</v>
      </c>
      <c r="P5995" s="33">
        <f>IFERROR(__xludf.DUMMYFUNCTION("""COMPUTED_VALUE"""),0.5)</f>
        <v>0.5</v>
      </c>
      <c r="Q5995" s="4" t="str">
        <f>IFERROR(__xludf.DUMMYFUNCTION("""COMPUTED_VALUE"""),"Winfood")</f>
        <v>Winfood</v>
      </c>
      <c r="R5995" s="33">
        <f>IFERROR(__xludf.DUMMYFUNCTION("""COMPUTED_VALUE"""),0.5)</f>
        <v>0.5</v>
      </c>
      <c r="S5995" s="4" t="str">
        <f>IFERROR(__xludf.DUMMYFUNCTION("""COMPUTED_VALUE"""),"Winfood")</f>
        <v>Winfood</v>
      </c>
      <c r="T5995" s="33">
        <f>IFERROR(__xludf.DUMMYFUNCTION("""COMPUTED_VALUE"""),0.5)</f>
        <v>0.5</v>
      </c>
      <c r="U5995" s="4" t="str">
        <f>IFERROR(__xludf.DUMMYFUNCTION("""COMPUTED_VALUE"""),"Winfood")</f>
        <v>Winfood</v>
      </c>
      <c r="V5995" s="33">
        <f>IFERROR(__xludf.DUMMYFUNCTION("""COMPUTED_VALUE"""),0.5)</f>
        <v>0.5</v>
      </c>
      <c r="W5995" s="4" t="str">
        <f>IFERROR(__xludf.DUMMYFUNCTION("""COMPUTED_VALUE"""),"Winfood")</f>
        <v>Winfood</v>
      </c>
      <c r="X5995" s="33">
        <f>IFERROR(__xludf.DUMMYFUNCTION("""COMPUTED_VALUE"""),0.5)</f>
        <v>0.5</v>
      </c>
    </row>
    <row r="5996">
      <c r="K5996" s="4" t="str">
        <f>IFERROR(__xludf.DUMMYFUNCTION("""COMPUTED_VALUE"""),"PIZZARIA LUNA")</f>
        <v>PIZZARIA LUNA</v>
      </c>
      <c r="L5996" s="32">
        <f>IFERROR(__xludf.DUMMYFUNCTION("""COMPUTED_VALUE"""),2.0)</f>
        <v>2</v>
      </c>
      <c r="M5996" s="4" t="str">
        <f>IFERROR(__xludf.DUMMYFUNCTION("""COMPUTED_VALUE"""),"Mp Multipedidos")</f>
        <v>Mp Multipedidos</v>
      </c>
      <c r="N5996" s="33">
        <f>IFERROR(__xludf.DUMMYFUNCTION("""COMPUTED_VALUE"""),0.5)</f>
        <v>0.5</v>
      </c>
      <c r="O5996" s="4" t="str">
        <f>IFERROR(__xludf.DUMMYFUNCTION("""COMPUTED_VALUE"""),"Mp Multipedidos")</f>
        <v>Mp Multipedidos</v>
      </c>
      <c r="P5996" s="33">
        <f>IFERROR(__xludf.DUMMYFUNCTION("""COMPUTED_VALUE"""),0.5)</f>
        <v>0.5</v>
      </c>
      <c r="Q5996" s="4" t="str">
        <f>IFERROR(__xludf.DUMMYFUNCTION("""COMPUTED_VALUE"""),"Mp Multipedidos")</f>
        <v>Mp Multipedidos</v>
      </c>
      <c r="R5996" s="33">
        <f>IFERROR(__xludf.DUMMYFUNCTION("""COMPUTED_VALUE"""),0.5)</f>
        <v>0.5</v>
      </c>
      <c r="S5996" s="4" t="str">
        <f>IFERROR(__xludf.DUMMYFUNCTION("""COMPUTED_VALUE"""),"Mp Multipedidos")</f>
        <v>Mp Multipedidos</v>
      </c>
      <c r="T5996" s="33">
        <f>IFERROR(__xludf.DUMMYFUNCTION("""COMPUTED_VALUE"""),0.5)</f>
        <v>0.5</v>
      </c>
      <c r="U5996" s="4" t="str">
        <f>IFERROR(__xludf.DUMMYFUNCTION("""COMPUTED_VALUE"""),"Mp Multipedidos")</f>
        <v>Mp Multipedidos</v>
      </c>
      <c r="V5996" s="33">
        <f>IFERROR(__xludf.DUMMYFUNCTION("""COMPUTED_VALUE"""),0.5)</f>
        <v>0.5</v>
      </c>
      <c r="W5996" s="4" t="str">
        <f>IFERROR(__xludf.DUMMYFUNCTION("""COMPUTED_VALUE"""),"Mp Multipedidos")</f>
        <v>Mp Multipedidos</v>
      </c>
      <c r="X5996" s="33">
        <f>IFERROR(__xludf.DUMMYFUNCTION("""COMPUTED_VALUE"""),0.5)</f>
        <v>0.5</v>
      </c>
    </row>
    <row r="5997">
      <c r="K5997" s="4" t="str">
        <f>IFERROR(__xludf.DUMMYFUNCTION("""COMPUTED_VALUE"""),"TW BURGER - HAMBURGUER ARTESANAL COMBOS")</f>
        <v>TW BURGER - HAMBURGUER ARTESANAL COMBOS</v>
      </c>
      <c r="L5997" s="32">
        <f>IFERROR(__xludf.DUMMYFUNCTION("""COMPUTED_VALUE"""),2.0)</f>
        <v>2</v>
      </c>
      <c r="M5997" s="4" t="str">
        <f>IFERROR(__xludf.DUMMYFUNCTION("""COMPUTED_VALUE"""),"Brendi")</f>
        <v>Brendi</v>
      </c>
      <c r="N5997" s="33">
        <f>IFERROR(__xludf.DUMMYFUNCTION("""COMPUTED_VALUE"""),1.0)</f>
        <v>1</v>
      </c>
      <c r="O5997" s="4" t="str">
        <f>IFERROR(__xludf.DUMMYFUNCTION("""COMPUTED_VALUE"""),"Brendi")</f>
        <v>Brendi</v>
      </c>
      <c r="P5997" s="33">
        <f>IFERROR(__xludf.DUMMYFUNCTION("""COMPUTED_VALUE"""),1.0)</f>
        <v>1</v>
      </c>
      <c r="Q5997" s="4" t="str">
        <f>IFERROR(__xludf.DUMMYFUNCTION("""COMPUTED_VALUE"""),"Brendi")</f>
        <v>Brendi</v>
      </c>
      <c r="R5997" s="33">
        <f>IFERROR(__xludf.DUMMYFUNCTION("""COMPUTED_VALUE"""),1.0)</f>
        <v>1</v>
      </c>
      <c r="S5997" s="4" t="str">
        <f>IFERROR(__xludf.DUMMYFUNCTION("""COMPUTED_VALUE"""),"null")</f>
        <v>null</v>
      </c>
      <c r="T5997" s="33">
        <f>IFERROR(__xludf.DUMMYFUNCTION("""COMPUTED_VALUE"""),0.5)</f>
        <v>0.5</v>
      </c>
      <c r="U5997" s="4" t="str">
        <f>IFERROR(__xludf.DUMMYFUNCTION("""COMPUTED_VALUE"""),"null")</f>
        <v>null</v>
      </c>
      <c r="V5997" s="33">
        <f>IFERROR(__xludf.DUMMYFUNCTION("""COMPUTED_VALUE"""),0.5)</f>
        <v>0.5</v>
      </c>
      <c r="W5997" s="4" t="str">
        <f>IFERROR(__xludf.DUMMYFUNCTION("""COMPUTED_VALUE"""),"null")</f>
        <v>null</v>
      </c>
      <c r="X5997" s="33">
        <f>IFERROR(__xludf.DUMMYFUNCTION("""COMPUTED_VALUE"""),0.5)</f>
        <v>0.5</v>
      </c>
    </row>
    <row r="5998">
      <c r="K5998" s="4" t="str">
        <f>IFERROR(__xludf.DUMMYFUNCTION("""COMPUTED_VALUE"""),"BINHOS BURGER")</f>
        <v>BINHOS BURGER</v>
      </c>
      <c r="L5998" s="32">
        <f>IFERROR(__xludf.DUMMYFUNCTION("""COMPUTED_VALUE"""),2.0)</f>
        <v>2</v>
      </c>
      <c r="M5998" s="4" t="str">
        <f>IFERROR(__xludf.DUMMYFUNCTION("""COMPUTED_VALUE"""),"Mapp Sistemas")</f>
        <v>Mapp Sistemas</v>
      </c>
      <c r="N5998" s="33">
        <f>IFERROR(__xludf.DUMMYFUNCTION("""COMPUTED_VALUE"""),0.5)</f>
        <v>0.5</v>
      </c>
      <c r="O5998" s="4" t="str">
        <f>IFERROR(__xludf.DUMMYFUNCTION("""COMPUTED_VALUE"""),"Mapp Sistemas")</f>
        <v>Mapp Sistemas</v>
      </c>
      <c r="P5998" s="33">
        <f>IFERROR(__xludf.DUMMYFUNCTION("""COMPUTED_VALUE"""),0.5)</f>
        <v>0.5</v>
      </c>
      <c r="Q5998" s="4" t="str">
        <f>IFERROR(__xludf.DUMMYFUNCTION("""COMPUTED_VALUE"""),"Mapp Sistemas")</f>
        <v>Mapp Sistemas</v>
      </c>
      <c r="R5998" s="33">
        <f>IFERROR(__xludf.DUMMYFUNCTION("""COMPUTED_VALUE"""),0.5)</f>
        <v>0.5</v>
      </c>
      <c r="S5998" s="4" t="str">
        <f>IFERROR(__xludf.DUMMYFUNCTION("""COMPUTED_VALUE"""),"Mapp Sistemas")</f>
        <v>Mapp Sistemas</v>
      </c>
      <c r="T5998" s="33">
        <f>IFERROR(__xludf.DUMMYFUNCTION("""COMPUTED_VALUE"""),0.5)</f>
        <v>0.5</v>
      </c>
      <c r="U5998" s="4" t="str">
        <f>IFERROR(__xludf.DUMMYFUNCTION("""COMPUTED_VALUE"""),"Mapp Sistemas")</f>
        <v>Mapp Sistemas</v>
      </c>
      <c r="V5998" s="33">
        <f>IFERROR(__xludf.DUMMYFUNCTION("""COMPUTED_VALUE"""),0.5)</f>
        <v>0.5</v>
      </c>
      <c r="W5998" s="4" t="str">
        <f>IFERROR(__xludf.DUMMYFUNCTION("""COMPUTED_VALUE"""),"Mapp Sistemas")</f>
        <v>Mapp Sistemas</v>
      </c>
      <c r="X5998" s="33">
        <f>IFERROR(__xludf.DUMMYFUNCTION("""COMPUTED_VALUE"""),0.5)</f>
        <v>0.5</v>
      </c>
    </row>
    <row r="5999">
      <c r="K5999" s="4" t="str">
        <f>IFERROR(__xludf.DUMMYFUNCTION("""COMPUTED_VALUE"""),"JORDAO BAR")</f>
        <v>JORDAO BAR</v>
      </c>
      <c r="L5999" s="32">
        <f>IFERROR(__xludf.DUMMYFUNCTION("""COMPUTED_VALUE"""),2.0)</f>
        <v>2</v>
      </c>
      <c r="M5999" s="4" t="str">
        <f>IFERROR(__xludf.DUMMYFUNCTION("""COMPUTED_VALUE"""),"Ncr")</f>
        <v>Ncr</v>
      </c>
      <c r="N5999" s="33">
        <f>IFERROR(__xludf.DUMMYFUNCTION("""COMPUTED_VALUE"""),1.0)</f>
        <v>1</v>
      </c>
      <c r="O5999" s="4" t="str">
        <f>IFERROR(__xludf.DUMMYFUNCTION("""COMPUTED_VALUE"""),"Ncr")</f>
        <v>Ncr</v>
      </c>
      <c r="P5999" s="33">
        <f>IFERROR(__xludf.DUMMYFUNCTION("""COMPUTED_VALUE"""),1.0)</f>
        <v>1</v>
      </c>
      <c r="Q5999" s="4" t="str">
        <f>IFERROR(__xludf.DUMMYFUNCTION("""COMPUTED_VALUE"""),"Ncr")</f>
        <v>Ncr</v>
      </c>
      <c r="R5999" s="33">
        <f>IFERROR(__xludf.DUMMYFUNCTION("""COMPUTED_VALUE"""),1.0)</f>
        <v>1</v>
      </c>
      <c r="S5999" s="4" t="str">
        <f>IFERROR(__xludf.DUMMYFUNCTION("""COMPUTED_VALUE"""),"Ncr")</f>
        <v>Ncr</v>
      </c>
      <c r="T5999" s="33">
        <f>IFERROR(__xludf.DUMMYFUNCTION("""COMPUTED_VALUE"""),1.0)</f>
        <v>1</v>
      </c>
      <c r="U5999" s="4" t="str">
        <f>IFERROR(__xludf.DUMMYFUNCTION("""COMPUTED_VALUE"""),"Ncr")</f>
        <v>Ncr</v>
      </c>
      <c r="V5999" s="33">
        <f>IFERROR(__xludf.DUMMYFUNCTION("""COMPUTED_VALUE"""),1.0)</f>
        <v>1</v>
      </c>
      <c r="W5999" s="4" t="str">
        <f>IFERROR(__xludf.DUMMYFUNCTION("""COMPUTED_VALUE"""),"Ncr")</f>
        <v>Ncr</v>
      </c>
      <c r="X5999" s="33">
        <f>IFERROR(__xludf.DUMMYFUNCTION("""COMPUTED_VALUE"""),1.0)</f>
        <v>1</v>
      </c>
    </row>
    <row r="6000">
      <c r="K6000" s="4" t="str">
        <f>IFERROR(__xludf.DUMMYFUNCTION("""COMPUTED_VALUE"""),"EXPLOSAO LANCHES")</f>
        <v>EXPLOSAO LANCHES</v>
      </c>
      <c r="L6000" s="32">
        <f>IFERROR(__xludf.DUMMYFUNCTION("""COMPUTED_VALUE"""),2.0)</f>
        <v>2</v>
      </c>
      <c r="M6000" s="4" t="str">
        <f>IFERROR(__xludf.DUMMYFUNCTION("""COMPUTED_VALUE"""),"Instadelivery")</f>
        <v>Instadelivery</v>
      </c>
      <c r="N6000" s="33">
        <f>IFERROR(__xludf.DUMMYFUNCTION("""COMPUTED_VALUE"""),0.5)</f>
        <v>0.5</v>
      </c>
      <c r="O6000" s="4" t="str">
        <f>IFERROR(__xludf.DUMMYFUNCTION("""COMPUTED_VALUE"""),"Instadelivery")</f>
        <v>Instadelivery</v>
      </c>
      <c r="P6000" s="33">
        <f>IFERROR(__xludf.DUMMYFUNCTION("""COMPUTED_VALUE"""),0.5)</f>
        <v>0.5</v>
      </c>
      <c r="Q6000" s="4" t="str">
        <f>IFERROR(__xludf.DUMMYFUNCTION("""COMPUTED_VALUE"""),"Instadelivery")</f>
        <v>Instadelivery</v>
      </c>
      <c r="R6000" s="33">
        <f>IFERROR(__xludf.DUMMYFUNCTION("""COMPUTED_VALUE"""),0.5)</f>
        <v>0.5</v>
      </c>
      <c r="S6000" s="4" t="str">
        <f>IFERROR(__xludf.DUMMYFUNCTION("""COMPUTED_VALUE"""),"Instadelivery")</f>
        <v>Instadelivery</v>
      </c>
      <c r="T6000" s="33">
        <f>IFERROR(__xludf.DUMMYFUNCTION("""COMPUTED_VALUE"""),0.5)</f>
        <v>0.5</v>
      </c>
      <c r="U6000" s="4" t="str">
        <f>IFERROR(__xludf.DUMMYFUNCTION("""COMPUTED_VALUE"""),"Instadelivery")</f>
        <v>Instadelivery</v>
      </c>
      <c r="V6000" s="33">
        <f>IFERROR(__xludf.DUMMYFUNCTION("""COMPUTED_VALUE"""),0.5)</f>
        <v>0.5</v>
      </c>
      <c r="W6000" s="4" t="str">
        <f>IFERROR(__xludf.DUMMYFUNCTION("""COMPUTED_VALUE"""),"Instadelivery")</f>
        <v>Instadelivery</v>
      </c>
      <c r="X6000" s="33">
        <f>IFERROR(__xludf.DUMMYFUNCTION("""COMPUTED_VALUE"""),0.5)</f>
        <v>0.5</v>
      </c>
    </row>
    <row r="6001">
      <c r="K6001" s="4" t="str">
        <f>IFERROR(__xludf.DUMMYFUNCTION("""COMPUTED_VALUE"""),"DROGARIA MAX")</f>
        <v>DROGARIA MAX</v>
      </c>
      <c r="L6001" s="32">
        <f>IFERROR(__xludf.DUMMYFUNCTION("""COMPUTED_VALUE"""),2.0)</f>
        <v>2</v>
      </c>
      <c r="M6001" s="4" t="str">
        <f>IFERROR(__xludf.DUMMYFUNCTION("""COMPUTED_VALUE"""),"null")</f>
        <v>null</v>
      </c>
      <c r="N6001" s="33">
        <f>IFERROR(__xludf.DUMMYFUNCTION("""COMPUTED_VALUE"""),0.5)</f>
        <v>0.5</v>
      </c>
      <c r="O6001" s="4" t="str">
        <f>IFERROR(__xludf.DUMMYFUNCTION("""COMPUTED_VALUE"""),"N/A (Not found)")</f>
        <v>N/A (Not found)</v>
      </c>
      <c r="P6001" s="33">
        <f>IFERROR(__xludf.DUMMYFUNCTION("""COMPUTED_VALUE"""),1.0)</f>
        <v>1</v>
      </c>
      <c r="Q6001" s="4" t="str">
        <f>IFERROR(__xludf.DUMMYFUNCTION("""COMPUTED_VALUE"""),"null")</f>
        <v>null</v>
      </c>
      <c r="R6001" s="33">
        <f>IFERROR(__xludf.DUMMYFUNCTION("""COMPUTED_VALUE"""),0.5)</f>
        <v>0.5</v>
      </c>
      <c r="S6001" s="4" t="str">
        <f>IFERROR(__xludf.DUMMYFUNCTION("""COMPUTED_VALUE"""),"null")</f>
        <v>null</v>
      </c>
      <c r="T6001" s="33">
        <f>IFERROR(__xludf.DUMMYFUNCTION("""COMPUTED_VALUE"""),0.5)</f>
        <v>0.5</v>
      </c>
      <c r="U6001" s="4" t="str">
        <f>IFERROR(__xludf.DUMMYFUNCTION("""COMPUTED_VALUE"""),"null")</f>
        <v>null</v>
      </c>
      <c r="V6001" s="33">
        <f>IFERROR(__xludf.DUMMYFUNCTION("""COMPUTED_VALUE"""),0.5)</f>
        <v>0.5</v>
      </c>
      <c r="W6001" s="4" t="str">
        <f>IFERROR(__xludf.DUMMYFUNCTION("""COMPUTED_VALUE"""),"null")</f>
        <v>null</v>
      </c>
      <c r="X6001" s="33">
        <f>IFERROR(__xludf.DUMMYFUNCTION("""COMPUTED_VALUE"""),0.5)</f>
        <v>0.5</v>
      </c>
    </row>
    <row r="6002">
      <c r="K6002" s="4" t="str">
        <f>IFERROR(__xludf.DUMMYFUNCTION("""COMPUTED_VALUE"""),"TROPICAL BURGUER")</f>
        <v>TROPICAL BURGUER</v>
      </c>
      <c r="L6002" s="32">
        <f>IFERROR(__xludf.DUMMYFUNCTION("""COMPUTED_VALUE"""),2.0)</f>
        <v>2</v>
      </c>
      <c r="M6002" s="4" t="str">
        <f>IFERROR(__xludf.DUMMYFUNCTION("""COMPUTED_VALUE"""),"null")</f>
        <v>null</v>
      </c>
      <c r="N6002" s="33">
        <f>IFERROR(__xludf.DUMMYFUNCTION("""COMPUTED_VALUE"""),0.5)</f>
        <v>0.5</v>
      </c>
      <c r="O6002" s="4" t="str">
        <f>IFERROR(__xludf.DUMMYFUNCTION("""COMPUTED_VALUE"""),"null")</f>
        <v>null</v>
      </c>
      <c r="P6002" s="33">
        <f>IFERROR(__xludf.DUMMYFUNCTION("""COMPUTED_VALUE"""),0.5)</f>
        <v>0.5</v>
      </c>
      <c r="Q6002" s="4" t="str">
        <f>IFERROR(__xludf.DUMMYFUNCTION("""COMPUTED_VALUE"""),"null")</f>
        <v>null</v>
      </c>
      <c r="R6002" s="33">
        <f>IFERROR(__xludf.DUMMYFUNCTION("""COMPUTED_VALUE"""),0.5)</f>
        <v>0.5</v>
      </c>
      <c r="S6002" s="4" t="str">
        <f>IFERROR(__xludf.DUMMYFUNCTION("""COMPUTED_VALUE"""),"Sistemas Na Web")</f>
        <v>Sistemas Na Web</v>
      </c>
      <c r="T6002" s="33">
        <f>IFERROR(__xludf.DUMMYFUNCTION("""COMPUTED_VALUE"""),0.5)</f>
        <v>0.5</v>
      </c>
      <c r="U6002" s="4" t="str">
        <f>IFERROR(__xludf.DUMMYFUNCTION("""COMPUTED_VALUE"""),"null")</f>
        <v>null</v>
      </c>
      <c r="V6002" s="33">
        <f>IFERROR(__xludf.DUMMYFUNCTION("""COMPUTED_VALUE"""),0.5)</f>
        <v>0.5</v>
      </c>
      <c r="W6002" s="4" t="str">
        <f>IFERROR(__xludf.DUMMYFUNCTION("""COMPUTED_VALUE"""),"null")</f>
        <v>null</v>
      </c>
      <c r="X6002" s="33">
        <f>IFERROR(__xludf.DUMMYFUNCTION("""COMPUTED_VALUE"""),0.5)</f>
        <v>0.5</v>
      </c>
    </row>
    <row r="6003">
      <c r="K6003" s="4" t="str">
        <f>IFERROR(__xludf.DUMMYFUNCTION("""COMPUTED_VALUE"""),"ZEDDYS BURGER - HAMBURGUERIA")</f>
        <v>ZEDDYS BURGER - HAMBURGUERIA</v>
      </c>
      <c r="L6003" s="32">
        <f>IFERROR(__xludf.DUMMYFUNCTION("""COMPUTED_VALUE"""),2.0)</f>
        <v>2</v>
      </c>
      <c r="M6003" s="4" t="str">
        <f>IFERROR(__xludf.DUMMYFUNCTION("""COMPUTED_VALUE"""),"Saipos Serviços De Software")</f>
        <v>Saipos Serviços De Software</v>
      </c>
      <c r="N6003" s="33">
        <f>IFERROR(__xludf.DUMMYFUNCTION("""COMPUTED_VALUE"""),1.0)</f>
        <v>1</v>
      </c>
      <c r="O6003" s="4" t="str">
        <f>IFERROR(__xludf.DUMMYFUNCTION("""COMPUTED_VALUE"""),"null")</f>
        <v>null</v>
      </c>
      <c r="P6003" s="33">
        <f>IFERROR(__xludf.DUMMYFUNCTION("""COMPUTED_VALUE"""),0.5)</f>
        <v>0.5</v>
      </c>
      <c r="Q6003" s="4" t="str">
        <f>IFERROR(__xludf.DUMMYFUNCTION("""COMPUTED_VALUE"""),"Saipos Serviços De Software")</f>
        <v>Saipos Serviços De Software</v>
      </c>
      <c r="R6003" s="33">
        <f>IFERROR(__xludf.DUMMYFUNCTION("""COMPUTED_VALUE"""),1.0)</f>
        <v>1</v>
      </c>
      <c r="S6003" s="4" t="str">
        <f>IFERROR(__xludf.DUMMYFUNCTION("""COMPUTED_VALUE"""),"Saipos Serviços De Software")</f>
        <v>Saipos Serviços De Software</v>
      </c>
      <c r="T6003" s="33">
        <f>IFERROR(__xludf.DUMMYFUNCTION("""COMPUTED_VALUE"""),1.0)</f>
        <v>1</v>
      </c>
      <c r="U6003" s="4" t="str">
        <f>IFERROR(__xludf.DUMMYFUNCTION("""COMPUTED_VALUE"""),"Saipos Serviços De Software")</f>
        <v>Saipos Serviços De Software</v>
      </c>
      <c r="V6003" s="33">
        <f>IFERROR(__xludf.DUMMYFUNCTION("""COMPUTED_VALUE"""),1.0)</f>
        <v>1</v>
      </c>
      <c r="W6003" s="4" t="str">
        <f>IFERROR(__xludf.DUMMYFUNCTION("""COMPUTED_VALUE"""),"Saipos Serviços De Software")</f>
        <v>Saipos Serviços De Software</v>
      </c>
      <c r="X6003" s="33">
        <f>IFERROR(__xludf.DUMMYFUNCTION("""COMPUTED_VALUE"""),1.0)</f>
        <v>1</v>
      </c>
    </row>
    <row r="6004">
      <c r="K6004" s="4" t="str">
        <f>IFERROR(__xludf.DUMMYFUNCTION("""COMPUTED_VALUE"""),"FRANGO MANIA")</f>
        <v>FRANGO MANIA</v>
      </c>
      <c r="L6004" s="32">
        <f>IFERROR(__xludf.DUMMYFUNCTION("""COMPUTED_VALUE"""),2.0)</f>
        <v>2</v>
      </c>
      <c r="M6004" s="4" t="str">
        <f>IFERROR(__xludf.DUMMYFUNCTION("""COMPUTED_VALUE"""),"null")</f>
        <v>null</v>
      </c>
      <c r="N6004" s="33">
        <f>IFERROR(__xludf.DUMMYFUNCTION("""COMPUTED_VALUE"""),0.5)</f>
        <v>0.5</v>
      </c>
      <c r="O6004" s="4" t="str">
        <f>IFERROR(__xludf.DUMMYFUNCTION("""COMPUTED_VALUE"""),"null")</f>
        <v>null</v>
      </c>
      <c r="P6004" s="33">
        <f>IFERROR(__xludf.DUMMYFUNCTION("""COMPUTED_VALUE"""),0.5)</f>
        <v>0.5</v>
      </c>
      <c r="Q6004" s="4" t="str">
        <f>IFERROR(__xludf.DUMMYFUNCTION("""COMPUTED_VALUE"""),"Diggy")</f>
        <v>Diggy</v>
      </c>
      <c r="R6004" s="33">
        <f>IFERROR(__xludf.DUMMYFUNCTION("""COMPUTED_VALUE"""),0.5)</f>
        <v>0.5</v>
      </c>
      <c r="S6004" s="4" t="str">
        <f>IFERROR(__xludf.DUMMYFUNCTION("""COMPUTED_VALUE"""),"Diggy")</f>
        <v>Diggy</v>
      </c>
      <c r="T6004" s="33">
        <f>IFERROR(__xludf.DUMMYFUNCTION("""COMPUTED_VALUE"""),0.5)</f>
        <v>0.5</v>
      </c>
      <c r="U6004" s="4" t="str">
        <f>IFERROR(__xludf.DUMMYFUNCTION("""COMPUTED_VALUE"""),"Diggy")</f>
        <v>Diggy</v>
      </c>
      <c r="V6004" s="33">
        <f>IFERROR(__xludf.DUMMYFUNCTION("""COMPUTED_VALUE"""),0.5)</f>
        <v>0.5</v>
      </c>
      <c r="W6004" s="4" t="str">
        <f>IFERROR(__xludf.DUMMYFUNCTION("""COMPUTED_VALUE"""),"null")</f>
        <v>null</v>
      </c>
      <c r="X6004" s="33">
        <f>IFERROR(__xludf.DUMMYFUNCTION("""COMPUTED_VALUE"""),0.5)</f>
        <v>0.5</v>
      </c>
    </row>
    <row r="6005">
      <c r="K6005" s="4" t="str">
        <f>IFERROR(__xludf.DUMMYFUNCTION("""COMPUTED_VALUE"""),"L")</f>
        <v>L</v>
      </c>
      <c r="L6005" s="32">
        <f>IFERROR(__xludf.DUMMYFUNCTION("""COMPUTED_VALUE"""),2.0)</f>
        <v>2</v>
      </c>
      <c r="M6005" s="4" t="str">
        <f>IFERROR(__xludf.DUMMYFUNCTION("""COMPUTED_VALUE"""),"Expresso Delivery")</f>
        <v>Expresso Delivery</v>
      </c>
      <c r="N6005" s="33">
        <f>IFERROR(__xludf.DUMMYFUNCTION("""COMPUTED_VALUE"""),0.5)</f>
        <v>0.5</v>
      </c>
      <c r="O6005" s="4" t="str">
        <f>IFERROR(__xludf.DUMMYFUNCTION("""COMPUTED_VALUE"""),"Expresso Delivery")</f>
        <v>Expresso Delivery</v>
      </c>
      <c r="P6005" s="33">
        <f>IFERROR(__xludf.DUMMYFUNCTION("""COMPUTED_VALUE"""),0.5)</f>
        <v>0.5</v>
      </c>
      <c r="Q6005" s="4" t="str">
        <f>IFERROR(__xludf.DUMMYFUNCTION("""COMPUTED_VALUE"""),"Expresso Delivery")</f>
        <v>Expresso Delivery</v>
      </c>
      <c r="R6005" s="33">
        <f>IFERROR(__xludf.DUMMYFUNCTION("""COMPUTED_VALUE"""),0.5)</f>
        <v>0.5</v>
      </c>
      <c r="S6005" s="4" t="str">
        <f>IFERROR(__xludf.DUMMYFUNCTION("""COMPUTED_VALUE"""),"Expresso Delivery")</f>
        <v>Expresso Delivery</v>
      </c>
      <c r="T6005" s="33">
        <f>IFERROR(__xludf.DUMMYFUNCTION("""COMPUTED_VALUE"""),0.5)</f>
        <v>0.5</v>
      </c>
      <c r="U6005" s="4" t="str">
        <f>IFERROR(__xludf.DUMMYFUNCTION("""COMPUTED_VALUE"""),"null")</f>
        <v>null</v>
      </c>
      <c r="V6005" s="33">
        <f>IFERROR(__xludf.DUMMYFUNCTION("""COMPUTED_VALUE"""),1.0)</f>
        <v>1</v>
      </c>
      <c r="W6005" s="4" t="str">
        <f>IFERROR(__xludf.DUMMYFUNCTION("""COMPUTED_VALUE"""),"null")</f>
        <v>null</v>
      </c>
      <c r="X6005" s="33">
        <f>IFERROR(__xludf.DUMMYFUNCTION("""COMPUTED_VALUE"""),1.0)</f>
        <v>1</v>
      </c>
    </row>
    <row r="6006">
      <c r="K6006" s="4" t="str">
        <f>IFERROR(__xludf.DUMMYFUNCTION("""COMPUTED_VALUE"""),"PIZZARIA ESFIHARIA BOM SABOR")</f>
        <v>PIZZARIA ESFIHARIA BOM SABOR</v>
      </c>
      <c r="L6006" s="32">
        <f>IFERROR(__xludf.DUMMYFUNCTION("""COMPUTED_VALUE"""),2.0)</f>
        <v>2</v>
      </c>
      <c r="M6006" s="4" t="str">
        <f>IFERROR(__xludf.DUMMYFUNCTION("""COMPUTED_VALUE"""),"Saipos Serviços De Software")</f>
        <v>Saipos Serviços De Software</v>
      </c>
      <c r="N6006" s="33">
        <f>IFERROR(__xludf.DUMMYFUNCTION("""COMPUTED_VALUE"""),0.5)</f>
        <v>0.5</v>
      </c>
      <c r="O6006" s="4" t="str">
        <f>IFERROR(__xludf.DUMMYFUNCTION("""COMPUTED_VALUE"""),"Saipos Serviços De Software")</f>
        <v>Saipos Serviços De Software</v>
      </c>
      <c r="P6006" s="33">
        <f>IFERROR(__xludf.DUMMYFUNCTION("""COMPUTED_VALUE"""),0.5)</f>
        <v>0.5</v>
      </c>
      <c r="Q6006" s="4" t="str">
        <f>IFERROR(__xludf.DUMMYFUNCTION("""COMPUTED_VALUE"""),"Saipos Serviços De Software")</f>
        <v>Saipos Serviços De Software</v>
      </c>
      <c r="R6006" s="33">
        <f>IFERROR(__xludf.DUMMYFUNCTION("""COMPUTED_VALUE"""),0.5)</f>
        <v>0.5</v>
      </c>
      <c r="S6006" s="4" t="str">
        <f>IFERROR(__xludf.DUMMYFUNCTION("""COMPUTED_VALUE"""),"Saipos Serviços De Software")</f>
        <v>Saipos Serviços De Software</v>
      </c>
      <c r="T6006" s="33">
        <f>IFERROR(__xludf.DUMMYFUNCTION("""COMPUTED_VALUE"""),0.5)</f>
        <v>0.5</v>
      </c>
      <c r="U6006" s="4" t="str">
        <f>IFERROR(__xludf.DUMMYFUNCTION("""COMPUTED_VALUE"""),"Saipos Serviços De Software")</f>
        <v>Saipos Serviços De Software</v>
      </c>
      <c r="V6006" s="33">
        <f>IFERROR(__xludf.DUMMYFUNCTION("""COMPUTED_VALUE"""),0.5)</f>
        <v>0.5</v>
      </c>
      <c r="W6006" s="4" t="str">
        <f>IFERROR(__xludf.DUMMYFUNCTION("""COMPUTED_VALUE"""),"Saipos Serviços De Software")</f>
        <v>Saipos Serviços De Software</v>
      </c>
      <c r="X6006" s="33">
        <f>IFERROR(__xludf.DUMMYFUNCTION("""COMPUTED_VALUE"""),0.5)</f>
        <v>0.5</v>
      </c>
    </row>
    <row r="6007">
      <c r="K6007" s="4" t="str">
        <f>IFERROR(__xludf.DUMMYFUNCTION("""COMPUTED_VALUE"""),"CASA DA PIZZA QUADRADA")</f>
        <v>CASA DA PIZZA QUADRADA</v>
      </c>
      <c r="L6007" s="32">
        <f>IFERROR(__xludf.DUMMYFUNCTION("""COMPUTED_VALUE"""),2.0)</f>
        <v>2</v>
      </c>
      <c r="M6007" s="4" t="str">
        <f>IFERROR(__xludf.DUMMYFUNCTION("""COMPUTED_VALUE"""),"Lab Jota Marketing Digital Eirele")</f>
        <v>Lab Jota Marketing Digital Eirele</v>
      </c>
      <c r="N6007" s="33">
        <f>IFERROR(__xludf.DUMMYFUNCTION("""COMPUTED_VALUE"""),0.5)</f>
        <v>0.5</v>
      </c>
      <c r="O6007" s="4" t="str">
        <f>IFERROR(__xludf.DUMMYFUNCTION("""COMPUTED_VALUE"""),"Lab Jota Marketing Digital Eirele")</f>
        <v>Lab Jota Marketing Digital Eirele</v>
      </c>
      <c r="P6007" s="33">
        <f>IFERROR(__xludf.DUMMYFUNCTION("""COMPUTED_VALUE"""),0.5)</f>
        <v>0.5</v>
      </c>
      <c r="Q6007" s="4" t="str">
        <f>IFERROR(__xludf.DUMMYFUNCTION("""COMPUTED_VALUE"""),"Lab Jota Marketing Digital Eirele")</f>
        <v>Lab Jota Marketing Digital Eirele</v>
      </c>
      <c r="R6007" s="33">
        <f>IFERROR(__xludf.DUMMYFUNCTION("""COMPUTED_VALUE"""),0.5)</f>
        <v>0.5</v>
      </c>
      <c r="S6007" s="4" t="str">
        <f>IFERROR(__xludf.DUMMYFUNCTION("""COMPUTED_VALUE"""),"Lab Jota Marketing Digital Eirele")</f>
        <v>Lab Jota Marketing Digital Eirele</v>
      </c>
      <c r="T6007" s="33">
        <f>IFERROR(__xludf.DUMMYFUNCTION("""COMPUTED_VALUE"""),0.5)</f>
        <v>0.5</v>
      </c>
      <c r="U6007" s="4" t="str">
        <f>IFERROR(__xludf.DUMMYFUNCTION("""COMPUTED_VALUE"""),"Lab Jota Marketing Digital Eirele")</f>
        <v>Lab Jota Marketing Digital Eirele</v>
      </c>
      <c r="V6007" s="33">
        <f>IFERROR(__xludf.DUMMYFUNCTION("""COMPUTED_VALUE"""),0.5)</f>
        <v>0.5</v>
      </c>
      <c r="W6007" s="4" t="str">
        <f>IFERROR(__xludf.DUMMYFUNCTION("""COMPUTED_VALUE"""),"Lab Jota Marketing Digital Eirele")</f>
        <v>Lab Jota Marketing Digital Eirele</v>
      </c>
      <c r="X6007" s="33">
        <f>IFERROR(__xludf.DUMMYFUNCTION("""COMPUTED_VALUE"""),0.5)</f>
        <v>0.5</v>
      </c>
    </row>
    <row r="6008">
      <c r="K6008" s="4" t="str">
        <f>IFERROR(__xludf.DUMMYFUNCTION("""COMPUTED_VALUE"""),"GIGA ACAI")</f>
        <v>GIGA ACAI</v>
      </c>
      <c r="L6008" s="32">
        <f>IFERROR(__xludf.DUMMYFUNCTION("""COMPUTED_VALUE"""),2.0)</f>
        <v>2</v>
      </c>
      <c r="M6008" s="4" t="str">
        <f>IFERROR(__xludf.DUMMYFUNCTION("""COMPUTED_VALUE"""),"Anota Ai Solucoes Digitais S/a")</f>
        <v>Anota Ai Solucoes Digitais S/a</v>
      </c>
      <c r="N6008" s="33">
        <f>IFERROR(__xludf.DUMMYFUNCTION("""COMPUTED_VALUE"""),0.5)</f>
        <v>0.5</v>
      </c>
      <c r="O6008" s="4" t="str">
        <f>IFERROR(__xludf.DUMMYFUNCTION("""COMPUTED_VALUE"""),"Anota Ai Solucoes Digitais S/a")</f>
        <v>Anota Ai Solucoes Digitais S/a</v>
      </c>
      <c r="P6008" s="33">
        <f>IFERROR(__xludf.DUMMYFUNCTION("""COMPUTED_VALUE"""),0.5)</f>
        <v>0.5</v>
      </c>
      <c r="Q6008" s="4" t="str">
        <f>IFERROR(__xludf.DUMMYFUNCTION("""COMPUTED_VALUE"""),"Anota Ai Solucoes Digitais S/a")</f>
        <v>Anota Ai Solucoes Digitais S/a</v>
      </c>
      <c r="R6008" s="33">
        <f>IFERROR(__xludf.DUMMYFUNCTION("""COMPUTED_VALUE"""),0.5)</f>
        <v>0.5</v>
      </c>
      <c r="S6008" s="4" t="str">
        <f>IFERROR(__xludf.DUMMYFUNCTION("""COMPUTED_VALUE"""),"Anota Ai Solucoes Digitais S/a")</f>
        <v>Anota Ai Solucoes Digitais S/a</v>
      </c>
      <c r="T6008" s="33">
        <f>IFERROR(__xludf.DUMMYFUNCTION("""COMPUTED_VALUE"""),0.5)</f>
        <v>0.5</v>
      </c>
      <c r="U6008" s="4" t="str">
        <f>IFERROR(__xludf.DUMMYFUNCTION("""COMPUTED_VALUE"""),"Anota Ai Solucoes Digitais S/a")</f>
        <v>Anota Ai Solucoes Digitais S/a</v>
      </c>
      <c r="V6008" s="33">
        <f>IFERROR(__xludf.DUMMYFUNCTION("""COMPUTED_VALUE"""),0.5)</f>
        <v>0.5</v>
      </c>
      <c r="W6008" s="4" t="str">
        <f>IFERROR(__xludf.DUMMYFUNCTION("""COMPUTED_VALUE"""),"Anota Ai Solucoes Digitais S/a")</f>
        <v>Anota Ai Solucoes Digitais S/a</v>
      </c>
      <c r="X6008" s="33">
        <f>IFERROR(__xludf.DUMMYFUNCTION("""COMPUTED_VALUE"""),0.5)</f>
        <v>0.5</v>
      </c>
    </row>
    <row r="6009">
      <c r="K6009" s="4" t="str">
        <f>IFERROR(__xludf.DUMMYFUNCTION("""COMPUTED_VALUE"""),"RESTAURANTE TEMPERO CASEIRO")</f>
        <v>RESTAURANTE TEMPERO CASEIRO</v>
      </c>
      <c r="L6009" s="32">
        <f>IFERROR(__xludf.DUMMYFUNCTION("""COMPUTED_VALUE"""),2.0)</f>
        <v>2</v>
      </c>
      <c r="M6009" s="4" t="str">
        <f>IFERROR(__xludf.DUMMYFUNCTION("""COMPUTED_VALUE"""),"M-du Tecnologia")</f>
        <v>M-du Tecnologia</v>
      </c>
      <c r="N6009" s="33">
        <f>IFERROR(__xludf.DUMMYFUNCTION("""COMPUTED_VALUE"""),0.5)</f>
        <v>0.5</v>
      </c>
      <c r="O6009" s="4" t="str">
        <f>IFERROR(__xludf.DUMMYFUNCTION("""COMPUTED_VALUE"""),"M-du Tecnologia")</f>
        <v>M-du Tecnologia</v>
      </c>
      <c r="P6009" s="33">
        <f>IFERROR(__xludf.DUMMYFUNCTION("""COMPUTED_VALUE"""),0.5)</f>
        <v>0.5</v>
      </c>
      <c r="Q6009" s="4" t="str">
        <f>IFERROR(__xludf.DUMMYFUNCTION("""COMPUTED_VALUE"""),"M-du Tecnologia")</f>
        <v>M-du Tecnologia</v>
      </c>
      <c r="R6009" s="33">
        <f>IFERROR(__xludf.DUMMYFUNCTION("""COMPUTED_VALUE"""),0.5)</f>
        <v>0.5</v>
      </c>
      <c r="S6009" s="4" t="str">
        <f>IFERROR(__xludf.DUMMYFUNCTION("""COMPUTED_VALUE"""),"M-du Tecnologia")</f>
        <v>M-du Tecnologia</v>
      </c>
      <c r="T6009" s="33">
        <f>IFERROR(__xludf.DUMMYFUNCTION("""COMPUTED_VALUE"""),0.5)</f>
        <v>0.5</v>
      </c>
      <c r="U6009" s="4" t="str">
        <f>IFERROR(__xludf.DUMMYFUNCTION("""COMPUTED_VALUE"""),"M-du Tecnologia")</f>
        <v>M-du Tecnologia</v>
      </c>
      <c r="V6009" s="33">
        <f>IFERROR(__xludf.DUMMYFUNCTION("""COMPUTED_VALUE"""),0.5)</f>
        <v>0.5</v>
      </c>
      <c r="W6009" s="4" t="str">
        <f>IFERROR(__xludf.DUMMYFUNCTION("""COMPUTED_VALUE"""),"M-du Tecnologia")</f>
        <v>M-du Tecnologia</v>
      </c>
      <c r="X6009" s="33">
        <f>IFERROR(__xludf.DUMMYFUNCTION("""COMPUTED_VALUE"""),0.5)</f>
        <v>0.5</v>
      </c>
    </row>
    <row r="6010">
      <c r="K6010" s="4" t="str">
        <f>IFERROR(__xludf.DUMMYFUNCTION("""COMPUTED_VALUE"""),"DROGA FARMA")</f>
        <v>DROGA FARMA</v>
      </c>
      <c r="L6010" s="32">
        <f>IFERROR(__xludf.DUMMYFUNCTION("""COMPUTED_VALUE"""),2.0)</f>
        <v>2</v>
      </c>
      <c r="M6010" s="4" t="str">
        <f>IFERROR(__xludf.DUMMYFUNCTION("""COMPUTED_VALUE"""),"N/A (Not found)")</f>
        <v>N/A (Not found)</v>
      </c>
      <c r="N6010" s="33">
        <f>IFERROR(__xludf.DUMMYFUNCTION("""COMPUTED_VALUE"""),1.0)</f>
        <v>1</v>
      </c>
      <c r="O6010" s="4" t="str">
        <f>IFERROR(__xludf.DUMMYFUNCTION("""COMPUTED_VALUE"""),"N/A (Not found)")</f>
        <v>N/A (Not found)</v>
      </c>
      <c r="P6010" s="33">
        <f>IFERROR(__xludf.DUMMYFUNCTION("""COMPUTED_VALUE"""),1.0)</f>
        <v>1</v>
      </c>
      <c r="Q6010" s="4" t="str">
        <f>IFERROR(__xludf.DUMMYFUNCTION("""COMPUTED_VALUE"""),"N/A (Not found)")</f>
        <v>N/A (Not found)</v>
      </c>
      <c r="R6010" s="33">
        <f>IFERROR(__xludf.DUMMYFUNCTION("""COMPUTED_VALUE"""),1.0)</f>
        <v>1</v>
      </c>
      <c r="S6010" s="4" t="str">
        <f>IFERROR(__xludf.DUMMYFUNCTION("""COMPUTED_VALUE"""),"N/A (Not found)")</f>
        <v>N/A (Not found)</v>
      </c>
      <c r="T6010" s="33">
        <f>IFERROR(__xludf.DUMMYFUNCTION("""COMPUTED_VALUE"""),1.0)</f>
        <v>1</v>
      </c>
      <c r="U6010" s="4" t="str">
        <f>IFERROR(__xludf.DUMMYFUNCTION("""COMPUTED_VALUE"""),"N/A (Not found)")</f>
        <v>N/A (Not found)</v>
      </c>
      <c r="V6010" s="33">
        <f>IFERROR(__xludf.DUMMYFUNCTION("""COMPUTED_VALUE"""),1.0)</f>
        <v>1</v>
      </c>
      <c r="W6010" s="4" t="str">
        <f>IFERROR(__xludf.DUMMYFUNCTION("""COMPUTED_VALUE"""),"N/A (Not found)")</f>
        <v>N/A (Not found)</v>
      </c>
      <c r="X6010" s="33">
        <f>IFERROR(__xludf.DUMMYFUNCTION("""COMPUTED_VALUE"""),1.0)</f>
        <v>1</v>
      </c>
    </row>
    <row r="6011">
      <c r="K6011" s="4" t="str">
        <f>IFERROR(__xludf.DUMMYFUNCTION("""COMPUTED_VALUE"""),"PARAIBA LANCHE")</f>
        <v>PARAIBA LANCHE</v>
      </c>
      <c r="L6011" s="32">
        <f>IFERROR(__xludf.DUMMYFUNCTION("""COMPUTED_VALUE"""),2.0)</f>
        <v>2</v>
      </c>
      <c r="M6011" s="4" t="str">
        <f>IFERROR(__xludf.DUMMYFUNCTION("""COMPUTED_VALUE"""),"Anota Ai Solucoes Digitais S/a")</f>
        <v>Anota Ai Solucoes Digitais S/a</v>
      </c>
      <c r="N6011" s="33">
        <f>IFERROR(__xludf.DUMMYFUNCTION("""COMPUTED_VALUE"""),0.5)</f>
        <v>0.5</v>
      </c>
      <c r="O6011" s="4" t="str">
        <f>IFERROR(__xludf.DUMMYFUNCTION("""COMPUTED_VALUE"""),"Anota Ai Solucoes Digitais S/a")</f>
        <v>Anota Ai Solucoes Digitais S/a</v>
      </c>
      <c r="P6011" s="33">
        <f>IFERROR(__xludf.DUMMYFUNCTION("""COMPUTED_VALUE"""),0.5)</f>
        <v>0.5</v>
      </c>
      <c r="Q6011" s="4" t="str">
        <f>IFERROR(__xludf.DUMMYFUNCTION("""COMPUTED_VALUE"""),"Anota Ai Solucoes Digitais S/a")</f>
        <v>Anota Ai Solucoes Digitais S/a</v>
      </c>
      <c r="R6011" s="33">
        <f>IFERROR(__xludf.DUMMYFUNCTION("""COMPUTED_VALUE"""),0.5)</f>
        <v>0.5</v>
      </c>
      <c r="S6011" s="4" t="str">
        <f>IFERROR(__xludf.DUMMYFUNCTION("""COMPUTED_VALUE"""),"Anota Ai Solucoes Digitais S/a")</f>
        <v>Anota Ai Solucoes Digitais S/a</v>
      </c>
      <c r="T6011" s="33">
        <f>IFERROR(__xludf.DUMMYFUNCTION("""COMPUTED_VALUE"""),0.5)</f>
        <v>0.5</v>
      </c>
      <c r="U6011" s="4" t="str">
        <f>IFERROR(__xludf.DUMMYFUNCTION("""COMPUTED_VALUE"""),"Grsoft")</f>
        <v>Grsoft</v>
      </c>
      <c r="V6011" s="33">
        <f>IFERROR(__xludf.DUMMYFUNCTION("""COMPUTED_VALUE"""),0.5)</f>
        <v>0.5</v>
      </c>
      <c r="W6011" s="4" t="str">
        <f>IFERROR(__xludf.DUMMYFUNCTION("""COMPUTED_VALUE"""),"Grsoft")</f>
        <v>Grsoft</v>
      </c>
      <c r="X6011" s="33">
        <f>IFERROR(__xludf.DUMMYFUNCTION("""COMPUTED_VALUE"""),0.5)</f>
        <v>0.5</v>
      </c>
    </row>
    <row r="6012">
      <c r="K6012" s="4" t="str">
        <f>IFERROR(__xludf.DUMMYFUNCTION("""COMPUTED_VALUE"""),"SILVANA LANCHES")</f>
        <v>SILVANA LANCHES</v>
      </c>
      <c r="L6012" s="32">
        <f>IFERROR(__xludf.DUMMYFUNCTION("""COMPUTED_VALUE"""),2.0)</f>
        <v>2</v>
      </c>
      <c r="M6012" s="4" t="str">
        <f>IFERROR(__xludf.DUMMYFUNCTION("""COMPUTED_VALUE"""),"Mp Multipedidos")</f>
        <v>Mp Multipedidos</v>
      </c>
      <c r="N6012" s="33">
        <f>IFERROR(__xludf.DUMMYFUNCTION("""COMPUTED_VALUE"""),0.5)</f>
        <v>0.5</v>
      </c>
      <c r="O6012" s="4" t="str">
        <f>IFERROR(__xludf.DUMMYFUNCTION("""COMPUTED_VALUE"""),"Mp Multipedidos")</f>
        <v>Mp Multipedidos</v>
      </c>
      <c r="P6012" s="33">
        <f>IFERROR(__xludf.DUMMYFUNCTION("""COMPUTED_VALUE"""),0.5)</f>
        <v>0.5</v>
      </c>
      <c r="Q6012" s="4" t="str">
        <f>IFERROR(__xludf.DUMMYFUNCTION("""COMPUTED_VALUE"""),"Mp Multipedidos")</f>
        <v>Mp Multipedidos</v>
      </c>
      <c r="R6012" s="33">
        <f>IFERROR(__xludf.DUMMYFUNCTION("""COMPUTED_VALUE"""),0.5)</f>
        <v>0.5</v>
      </c>
      <c r="S6012" s="4" t="str">
        <f>IFERROR(__xludf.DUMMYFUNCTION("""COMPUTED_VALUE"""),"Mp Multipedidos")</f>
        <v>Mp Multipedidos</v>
      </c>
      <c r="T6012" s="33">
        <f>IFERROR(__xludf.DUMMYFUNCTION("""COMPUTED_VALUE"""),0.5)</f>
        <v>0.5</v>
      </c>
      <c r="U6012" s="4" t="str">
        <f>IFERROR(__xludf.DUMMYFUNCTION("""COMPUTED_VALUE"""),"Mp Multipedidos")</f>
        <v>Mp Multipedidos</v>
      </c>
      <c r="V6012" s="33">
        <f>IFERROR(__xludf.DUMMYFUNCTION("""COMPUTED_VALUE"""),0.5)</f>
        <v>0.5</v>
      </c>
      <c r="W6012" s="4" t="str">
        <f>IFERROR(__xludf.DUMMYFUNCTION("""COMPUTED_VALUE"""),"Mp Multipedidos")</f>
        <v>Mp Multipedidos</v>
      </c>
      <c r="X6012" s="33">
        <f>IFERROR(__xludf.DUMMYFUNCTION("""COMPUTED_VALUE"""),0.5)</f>
        <v>0.5</v>
      </c>
    </row>
    <row r="6013">
      <c r="K6013" s="4" t="str">
        <f>IFERROR(__xludf.DUMMYFUNCTION("""COMPUTED_VALUE"""),"ACAI VICTORIA")</f>
        <v>ACAI VICTORIA</v>
      </c>
      <c r="L6013" s="32">
        <f>IFERROR(__xludf.DUMMYFUNCTION("""COMPUTED_VALUE"""),2.0)</f>
        <v>2</v>
      </c>
      <c r="M6013" s="4" t="str">
        <f>IFERROR(__xludf.DUMMYFUNCTION("""COMPUTED_VALUE"""),"Anota Ai Solucoes Digitais S/a")</f>
        <v>Anota Ai Solucoes Digitais S/a</v>
      </c>
      <c r="N6013" s="33">
        <f>IFERROR(__xludf.DUMMYFUNCTION("""COMPUTED_VALUE"""),0.5)</f>
        <v>0.5</v>
      </c>
      <c r="O6013" s="4" t="str">
        <f>IFERROR(__xludf.DUMMYFUNCTION("""COMPUTED_VALUE"""),"Anota Ai Solucoes Digitais S/a")</f>
        <v>Anota Ai Solucoes Digitais S/a</v>
      </c>
      <c r="P6013" s="33">
        <f>IFERROR(__xludf.DUMMYFUNCTION("""COMPUTED_VALUE"""),0.5)</f>
        <v>0.5</v>
      </c>
      <c r="Q6013" s="4" t="str">
        <f>IFERROR(__xludf.DUMMYFUNCTION("""COMPUTED_VALUE"""),"Anota Ai Solucoes Digitais S/a")</f>
        <v>Anota Ai Solucoes Digitais S/a</v>
      </c>
      <c r="R6013" s="33">
        <f>IFERROR(__xludf.DUMMYFUNCTION("""COMPUTED_VALUE"""),0.5)</f>
        <v>0.5</v>
      </c>
      <c r="S6013" s="4" t="str">
        <f>IFERROR(__xludf.DUMMYFUNCTION("""COMPUTED_VALUE"""),"Anota Ai Solucoes Digitais S/a")</f>
        <v>Anota Ai Solucoes Digitais S/a</v>
      </c>
      <c r="T6013" s="33">
        <f>IFERROR(__xludf.DUMMYFUNCTION("""COMPUTED_VALUE"""),0.5)</f>
        <v>0.5</v>
      </c>
      <c r="U6013" s="4" t="str">
        <f>IFERROR(__xludf.DUMMYFUNCTION("""COMPUTED_VALUE"""),"Anota Ai Solucoes Digitais S/a")</f>
        <v>Anota Ai Solucoes Digitais S/a</v>
      </c>
      <c r="V6013" s="33">
        <f>IFERROR(__xludf.DUMMYFUNCTION("""COMPUTED_VALUE"""),0.5)</f>
        <v>0.5</v>
      </c>
      <c r="W6013" s="4" t="str">
        <f>IFERROR(__xludf.DUMMYFUNCTION("""COMPUTED_VALUE"""),"Anota Ai Solucoes Digitais S/a")</f>
        <v>Anota Ai Solucoes Digitais S/a</v>
      </c>
      <c r="X6013" s="33">
        <f>IFERROR(__xludf.DUMMYFUNCTION("""COMPUTED_VALUE"""),0.5)</f>
        <v>0.5</v>
      </c>
    </row>
    <row r="6014">
      <c r="K6014" s="4" t="str">
        <f>IFERROR(__xludf.DUMMYFUNCTION("""COMPUTED_VALUE"""),"PIZZARIA VILLA ROMANA SUPER PIZZA")</f>
        <v>PIZZARIA VILLA ROMANA SUPER PIZZA</v>
      </c>
      <c r="L6014" s="32">
        <f>IFERROR(__xludf.DUMMYFUNCTION("""COMPUTED_VALUE"""),2.0)</f>
        <v>2</v>
      </c>
      <c r="M6014" s="4" t="str">
        <f>IFERROR(__xludf.DUMMYFUNCTION("""COMPUTED_VALUE"""),"Cardápio Web")</f>
        <v>Cardápio Web</v>
      </c>
      <c r="N6014" s="33">
        <f>IFERROR(__xludf.DUMMYFUNCTION("""COMPUTED_VALUE"""),1.0)</f>
        <v>1</v>
      </c>
      <c r="O6014" s="4" t="str">
        <f>IFERROR(__xludf.DUMMYFUNCTION("""COMPUTED_VALUE"""),"Cardápio Web")</f>
        <v>Cardápio Web</v>
      </c>
      <c r="P6014" s="33">
        <f>IFERROR(__xludf.DUMMYFUNCTION("""COMPUTED_VALUE"""),1.0)</f>
        <v>1</v>
      </c>
      <c r="Q6014" s="4" t="str">
        <f>IFERROR(__xludf.DUMMYFUNCTION("""COMPUTED_VALUE"""),"Cardápio Web")</f>
        <v>Cardápio Web</v>
      </c>
      <c r="R6014" s="33">
        <f>IFERROR(__xludf.DUMMYFUNCTION("""COMPUTED_VALUE"""),1.0)</f>
        <v>1</v>
      </c>
      <c r="S6014" s="4" t="str">
        <f>IFERROR(__xludf.DUMMYFUNCTION("""COMPUTED_VALUE"""),"Cardápio Web")</f>
        <v>Cardápio Web</v>
      </c>
      <c r="T6014" s="33">
        <f>IFERROR(__xludf.DUMMYFUNCTION("""COMPUTED_VALUE"""),1.0)</f>
        <v>1</v>
      </c>
      <c r="U6014" s="4" t="str">
        <f>IFERROR(__xludf.DUMMYFUNCTION("""COMPUTED_VALUE"""),"Cardápio Web")</f>
        <v>Cardápio Web</v>
      </c>
      <c r="V6014" s="33">
        <f>IFERROR(__xludf.DUMMYFUNCTION("""COMPUTED_VALUE"""),1.0)</f>
        <v>1</v>
      </c>
      <c r="W6014" s="4" t="str">
        <f>IFERROR(__xludf.DUMMYFUNCTION("""COMPUTED_VALUE"""),"null")</f>
        <v>null</v>
      </c>
      <c r="X6014" s="33">
        <f>IFERROR(__xludf.DUMMYFUNCTION("""COMPUTED_VALUE"""),1.0)</f>
        <v>1</v>
      </c>
    </row>
    <row r="6015">
      <c r="K6015" s="4" t="str">
        <f>IFERROR(__xludf.DUMMYFUNCTION("""COMPUTED_VALUE"""),"OTOSHI SUSHI")</f>
        <v>OTOSHI SUSHI</v>
      </c>
      <c r="L6015" s="32">
        <f>IFERROR(__xludf.DUMMYFUNCTION("""COMPUTED_VALUE"""),2.0)</f>
        <v>2</v>
      </c>
      <c r="M6015" s="4" t="str">
        <f>IFERROR(__xludf.DUMMYFUNCTION("""COMPUTED_VALUE"""),"Instadelivery")</f>
        <v>Instadelivery</v>
      </c>
      <c r="N6015" s="33">
        <f>IFERROR(__xludf.DUMMYFUNCTION("""COMPUTED_VALUE"""),1.0)</f>
        <v>1</v>
      </c>
      <c r="O6015" s="4" t="str">
        <f>IFERROR(__xludf.DUMMYFUNCTION("""COMPUTED_VALUE"""),"Instadelivery")</f>
        <v>Instadelivery</v>
      </c>
      <c r="P6015" s="33">
        <f>IFERROR(__xludf.DUMMYFUNCTION("""COMPUTED_VALUE"""),1.0)</f>
        <v>1</v>
      </c>
      <c r="Q6015" s="4" t="str">
        <f>IFERROR(__xludf.DUMMYFUNCTION("""COMPUTED_VALUE"""),"Instadelivery")</f>
        <v>Instadelivery</v>
      </c>
      <c r="R6015" s="33">
        <f>IFERROR(__xludf.DUMMYFUNCTION("""COMPUTED_VALUE"""),1.0)</f>
        <v>1</v>
      </c>
      <c r="S6015" s="4" t="str">
        <f>IFERROR(__xludf.DUMMYFUNCTION("""COMPUTED_VALUE"""),"Instadelivery")</f>
        <v>Instadelivery</v>
      </c>
      <c r="T6015" s="33">
        <f>IFERROR(__xludf.DUMMYFUNCTION("""COMPUTED_VALUE"""),1.0)</f>
        <v>1</v>
      </c>
      <c r="U6015" s="4" t="str">
        <f>IFERROR(__xludf.DUMMYFUNCTION("""COMPUTED_VALUE"""),"Instadelivery")</f>
        <v>Instadelivery</v>
      </c>
      <c r="V6015" s="33">
        <f>IFERROR(__xludf.DUMMYFUNCTION("""COMPUTED_VALUE"""),1.0)</f>
        <v>1</v>
      </c>
      <c r="W6015" s="4" t="str">
        <f>IFERROR(__xludf.DUMMYFUNCTION("""COMPUTED_VALUE"""),"Instadelivery")</f>
        <v>Instadelivery</v>
      </c>
      <c r="X6015" s="33">
        <f>IFERROR(__xludf.DUMMYFUNCTION("""COMPUTED_VALUE"""),1.0)</f>
        <v>1</v>
      </c>
    </row>
    <row r="6016">
      <c r="K6016" s="4" t="str">
        <f>IFERROR(__xludf.DUMMYFUNCTION("""COMPUTED_VALUE"""),"CONTAINER")</f>
        <v>CONTAINER</v>
      </c>
      <c r="L6016" s="32">
        <f>IFERROR(__xludf.DUMMYFUNCTION("""COMPUTED_VALUE"""),2.0)</f>
        <v>2</v>
      </c>
      <c r="M6016" s="4" t="str">
        <f>IFERROR(__xludf.DUMMYFUNCTION("""COMPUTED_VALUE"""),"Grandchef Desenvolvimento De Sistemas Ltda")</f>
        <v>Grandchef Desenvolvimento De Sistemas Ltda</v>
      </c>
      <c r="N6016" s="33">
        <f>IFERROR(__xludf.DUMMYFUNCTION("""COMPUTED_VALUE"""),0.5)</f>
        <v>0.5</v>
      </c>
      <c r="O6016" s="4" t="str">
        <f>IFERROR(__xludf.DUMMYFUNCTION("""COMPUTED_VALUE"""),"Grandchef Desenvolvimento De Sistemas Ltda")</f>
        <v>Grandchef Desenvolvimento De Sistemas Ltda</v>
      </c>
      <c r="P6016" s="33">
        <f>IFERROR(__xludf.DUMMYFUNCTION("""COMPUTED_VALUE"""),0.5)</f>
        <v>0.5</v>
      </c>
      <c r="Q6016" s="4" t="str">
        <f>IFERROR(__xludf.DUMMYFUNCTION("""COMPUTED_VALUE"""),"Grandchef Desenvolvimento De Sistemas Ltda")</f>
        <v>Grandchef Desenvolvimento De Sistemas Ltda</v>
      </c>
      <c r="R6016" s="33">
        <f>IFERROR(__xludf.DUMMYFUNCTION("""COMPUTED_VALUE"""),0.5)</f>
        <v>0.5</v>
      </c>
      <c r="S6016" s="4" t="str">
        <f>IFERROR(__xludf.DUMMYFUNCTION("""COMPUTED_VALUE"""),"Grandchef Desenvolvimento De Sistemas Ltda")</f>
        <v>Grandchef Desenvolvimento De Sistemas Ltda</v>
      </c>
      <c r="T6016" s="33">
        <f>IFERROR(__xludf.DUMMYFUNCTION("""COMPUTED_VALUE"""),0.5)</f>
        <v>0.5</v>
      </c>
      <c r="U6016" s="4" t="str">
        <f>IFERROR(__xludf.DUMMYFUNCTION("""COMPUTED_VALUE"""),"Grandchef Desenvolvimento De Sistemas Ltda")</f>
        <v>Grandchef Desenvolvimento De Sistemas Ltda</v>
      </c>
      <c r="V6016" s="33">
        <f>IFERROR(__xludf.DUMMYFUNCTION("""COMPUTED_VALUE"""),0.5)</f>
        <v>0.5</v>
      </c>
      <c r="W6016" s="4" t="str">
        <f>IFERROR(__xludf.DUMMYFUNCTION("""COMPUTED_VALUE"""),"Grandchef Desenvolvimento De Sistemas Ltda")</f>
        <v>Grandchef Desenvolvimento De Sistemas Ltda</v>
      </c>
      <c r="X6016" s="33">
        <f>IFERROR(__xludf.DUMMYFUNCTION("""COMPUTED_VALUE"""),0.5)</f>
        <v>0.5</v>
      </c>
    </row>
    <row r="6017">
      <c r="K6017" s="4" t="str">
        <f>IFERROR(__xludf.DUMMYFUNCTION("""COMPUTED_VALUE"""),"FARMACIA SAO VICENTE")</f>
        <v>FARMACIA SAO VICENTE</v>
      </c>
      <c r="L6017" s="32">
        <f>IFERROR(__xludf.DUMMYFUNCTION("""COMPUTED_VALUE"""),2.0)</f>
        <v>2</v>
      </c>
      <c r="M6017" s="4" t="str">
        <f>IFERROR(__xludf.DUMMYFUNCTION("""COMPUTED_VALUE"""),"null")</f>
        <v>null</v>
      </c>
      <c r="N6017" s="33">
        <f>IFERROR(__xludf.DUMMYFUNCTION("""COMPUTED_VALUE"""),1.0)</f>
        <v>1</v>
      </c>
      <c r="O6017" s="4" t="str">
        <f>IFERROR(__xludf.DUMMYFUNCTION("""COMPUTED_VALUE"""),"null")</f>
        <v>null</v>
      </c>
      <c r="P6017" s="33">
        <f>IFERROR(__xludf.DUMMYFUNCTION("""COMPUTED_VALUE"""),1.0)</f>
        <v>1</v>
      </c>
      <c r="Q6017" s="4" t="str">
        <f>IFERROR(__xludf.DUMMYFUNCTION("""COMPUTED_VALUE"""),"null")</f>
        <v>null</v>
      </c>
      <c r="R6017" s="33">
        <f>IFERROR(__xludf.DUMMYFUNCTION("""COMPUTED_VALUE"""),1.0)</f>
        <v>1</v>
      </c>
      <c r="S6017" s="4" t="str">
        <f>IFERROR(__xludf.DUMMYFUNCTION("""COMPUTED_VALUE"""),"null")</f>
        <v>null</v>
      </c>
      <c r="T6017" s="33">
        <f>IFERROR(__xludf.DUMMYFUNCTION("""COMPUTED_VALUE"""),1.0)</f>
        <v>1</v>
      </c>
      <c r="U6017" s="4" t="str">
        <f>IFERROR(__xludf.DUMMYFUNCTION("""COMPUTED_VALUE"""),"N/A (Not found)")</f>
        <v>N/A (Not found)</v>
      </c>
      <c r="V6017" s="33">
        <f>IFERROR(__xludf.DUMMYFUNCTION("""COMPUTED_VALUE"""),0.5)</f>
        <v>0.5</v>
      </c>
      <c r="W6017" s="4" t="str">
        <f>IFERROR(__xludf.DUMMYFUNCTION("""COMPUTED_VALUE"""),"N/A (Not found)")</f>
        <v>N/A (Not found)</v>
      </c>
      <c r="X6017" s="33">
        <f>IFERROR(__xludf.DUMMYFUNCTION("""COMPUTED_VALUE"""),1.0)</f>
        <v>1</v>
      </c>
    </row>
    <row r="6018">
      <c r="K6018" s="4" t="str">
        <f>IFERROR(__xludf.DUMMYFUNCTION("""COMPUTED_VALUE"""),"JAFFAR SUSHI - TEMAKI YAKISOBA POKE SALMAO E COMBINADOS")</f>
        <v>JAFFAR SUSHI - TEMAKI YAKISOBA POKE SALMAO E COMBINADOS</v>
      </c>
      <c r="L6018" s="32">
        <f>IFERROR(__xludf.DUMMYFUNCTION("""COMPUTED_VALUE"""),2.0)</f>
        <v>2</v>
      </c>
      <c r="M6018" s="4" t="str">
        <f>IFERROR(__xludf.DUMMYFUNCTION("""COMPUTED_VALUE"""),"null")</f>
        <v>null</v>
      </c>
      <c r="N6018" s="33">
        <f>IFERROR(__xludf.DUMMYFUNCTION("""COMPUTED_VALUE"""),0.5)</f>
        <v>0.5</v>
      </c>
      <c r="O6018" s="4" t="str">
        <f>IFERROR(__xludf.DUMMYFUNCTION("""COMPUTED_VALUE"""),"Eclética Tecnologia")</f>
        <v>Eclética Tecnologia</v>
      </c>
      <c r="P6018" s="33">
        <f>IFERROR(__xludf.DUMMYFUNCTION("""COMPUTED_VALUE"""),0.5)</f>
        <v>0.5</v>
      </c>
      <c r="Q6018" s="4" t="str">
        <f>IFERROR(__xludf.DUMMYFUNCTION("""COMPUTED_VALUE"""),"Eclética Tecnologia")</f>
        <v>Eclética Tecnologia</v>
      </c>
      <c r="R6018" s="33">
        <f>IFERROR(__xludf.DUMMYFUNCTION("""COMPUTED_VALUE"""),0.5)</f>
        <v>0.5</v>
      </c>
      <c r="S6018" s="4" t="str">
        <f>IFERROR(__xludf.DUMMYFUNCTION("""COMPUTED_VALUE"""),"Eclética Tecnologia")</f>
        <v>Eclética Tecnologia</v>
      </c>
      <c r="T6018" s="33">
        <f>IFERROR(__xludf.DUMMYFUNCTION("""COMPUTED_VALUE"""),0.5)</f>
        <v>0.5</v>
      </c>
      <c r="U6018" s="4" t="str">
        <f>IFERROR(__xludf.DUMMYFUNCTION("""COMPUTED_VALUE"""),"Eclética Tecnologia")</f>
        <v>Eclética Tecnologia</v>
      </c>
      <c r="V6018" s="33">
        <f>IFERROR(__xludf.DUMMYFUNCTION("""COMPUTED_VALUE"""),0.5)</f>
        <v>0.5</v>
      </c>
      <c r="W6018" s="4" t="str">
        <f>IFERROR(__xludf.DUMMYFUNCTION("""COMPUTED_VALUE"""),"Eclética Tecnologia")</f>
        <v>Eclética Tecnologia</v>
      </c>
      <c r="X6018" s="33">
        <f>IFERROR(__xludf.DUMMYFUNCTION("""COMPUTED_VALUE"""),0.5)</f>
        <v>0.5</v>
      </c>
    </row>
    <row r="6019">
      <c r="K6019" s="4" t="str">
        <f>IFERROR(__xludf.DUMMYFUNCTION("""COMPUTED_VALUE"""),"MACARONI - MASSAS ITALIANAS")</f>
        <v>MACARONI - MASSAS ITALIANAS</v>
      </c>
      <c r="L6019" s="32">
        <f>IFERROR(__xludf.DUMMYFUNCTION("""COMPUTED_VALUE"""),2.0)</f>
        <v>2</v>
      </c>
      <c r="M6019" s="4" t="str">
        <f>IFERROR(__xludf.DUMMYFUNCTION("""COMPUTED_VALUE"""),"Cardápio Web")</f>
        <v>Cardápio Web</v>
      </c>
      <c r="N6019" s="33">
        <f>IFERROR(__xludf.DUMMYFUNCTION("""COMPUTED_VALUE"""),0.5)</f>
        <v>0.5</v>
      </c>
      <c r="O6019" s="4" t="str">
        <f>IFERROR(__xludf.DUMMYFUNCTION("""COMPUTED_VALUE"""),"Cardápio Web")</f>
        <v>Cardápio Web</v>
      </c>
      <c r="P6019" s="33">
        <f>IFERROR(__xludf.DUMMYFUNCTION("""COMPUTED_VALUE"""),0.5)</f>
        <v>0.5</v>
      </c>
      <c r="Q6019" s="4" t="str">
        <f>IFERROR(__xludf.DUMMYFUNCTION("""COMPUTED_VALUE"""),"Cardápio Web")</f>
        <v>Cardápio Web</v>
      </c>
      <c r="R6019" s="33">
        <f>IFERROR(__xludf.DUMMYFUNCTION("""COMPUTED_VALUE"""),0.5)</f>
        <v>0.5</v>
      </c>
      <c r="S6019" s="4" t="str">
        <f>IFERROR(__xludf.DUMMYFUNCTION("""COMPUTED_VALUE"""),"Cardápio Web")</f>
        <v>Cardápio Web</v>
      </c>
      <c r="T6019" s="33">
        <f>IFERROR(__xludf.DUMMYFUNCTION("""COMPUTED_VALUE"""),0.5)</f>
        <v>0.5</v>
      </c>
      <c r="U6019" s="4" t="str">
        <f>IFERROR(__xludf.DUMMYFUNCTION("""COMPUTED_VALUE"""),"Cardápio Web")</f>
        <v>Cardápio Web</v>
      </c>
      <c r="V6019" s="33">
        <f>IFERROR(__xludf.DUMMYFUNCTION("""COMPUTED_VALUE"""),0.5)</f>
        <v>0.5</v>
      </c>
      <c r="W6019" s="4" t="str">
        <f>IFERROR(__xludf.DUMMYFUNCTION("""COMPUTED_VALUE"""),"Cardápio Web")</f>
        <v>Cardápio Web</v>
      </c>
      <c r="X6019" s="33">
        <f>IFERROR(__xludf.DUMMYFUNCTION("""COMPUTED_VALUE"""),0.5)</f>
        <v>0.5</v>
      </c>
    </row>
    <row r="6020">
      <c r="K6020" s="4" t="str">
        <f>IFERROR(__xludf.DUMMYFUNCTION("""COMPUTED_VALUE"""),"RESTAURANTE DONA MARIA")</f>
        <v>RESTAURANTE DONA MARIA</v>
      </c>
      <c r="L6020" s="32">
        <f>IFERROR(__xludf.DUMMYFUNCTION("""COMPUTED_VALUE"""),2.0)</f>
        <v>2</v>
      </c>
      <c r="M6020" s="4" t="str">
        <f>IFERROR(__xludf.DUMMYFUNCTION("""COMPUTED_VALUE"""),"Saipos Serviços De Software")</f>
        <v>Saipos Serviços De Software</v>
      </c>
      <c r="N6020" s="33">
        <f>IFERROR(__xludf.DUMMYFUNCTION("""COMPUTED_VALUE"""),1.0)</f>
        <v>1</v>
      </c>
      <c r="O6020" s="4" t="str">
        <f>IFERROR(__xludf.DUMMYFUNCTION("""COMPUTED_VALUE"""),"Saipos Serviços De Software")</f>
        <v>Saipos Serviços De Software</v>
      </c>
      <c r="P6020" s="33">
        <f>IFERROR(__xludf.DUMMYFUNCTION("""COMPUTED_VALUE"""),1.0)</f>
        <v>1</v>
      </c>
      <c r="Q6020" s="4" t="str">
        <f>IFERROR(__xludf.DUMMYFUNCTION("""COMPUTED_VALUE"""),"Yooga")</f>
        <v>Yooga</v>
      </c>
      <c r="R6020" s="33">
        <f>IFERROR(__xludf.DUMMYFUNCTION("""COMPUTED_VALUE"""),0.5)</f>
        <v>0.5</v>
      </c>
      <c r="S6020" s="4" t="str">
        <f>IFERROR(__xludf.DUMMYFUNCTION("""COMPUTED_VALUE"""),"Yooga")</f>
        <v>Yooga</v>
      </c>
      <c r="T6020" s="33">
        <f>IFERROR(__xludf.DUMMYFUNCTION("""COMPUTED_VALUE"""),0.5)</f>
        <v>0.5</v>
      </c>
      <c r="U6020" s="4" t="str">
        <f>IFERROR(__xludf.DUMMYFUNCTION("""COMPUTED_VALUE"""),"Yooga")</f>
        <v>Yooga</v>
      </c>
      <c r="V6020" s="33">
        <f>IFERROR(__xludf.DUMMYFUNCTION("""COMPUTED_VALUE"""),0.5)</f>
        <v>0.5</v>
      </c>
      <c r="W6020" s="4" t="str">
        <f>IFERROR(__xludf.DUMMYFUNCTION("""COMPUTED_VALUE"""),"Yooga")</f>
        <v>Yooga</v>
      </c>
      <c r="X6020" s="33">
        <f>IFERROR(__xludf.DUMMYFUNCTION("""COMPUTED_VALUE"""),0.5)</f>
        <v>0.5</v>
      </c>
    </row>
    <row r="6021">
      <c r="K6021" s="4" t="str">
        <f>IFERROR(__xludf.DUMMYFUNCTION("""COMPUTED_VALUE"""),"TOP GRILL RESTAURANTE")</f>
        <v>TOP GRILL RESTAURANTE</v>
      </c>
      <c r="L6021" s="32">
        <f>IFERROR(__xludf.DUMMYFUNCTION("""COMPUTED_VALUE"""),2.0)</f>
        <v>2</v>
      </c>
      <c r="M6021" s="4" t="str">
        <f>IFERROR(__xludf.DUMMYFUNCTION("""COMPUTED_VALUE"""),"Saipos Serviços De Software")</f>
        <v>Saipos Serviços De Software</v>
      </c>
      <c r="N6021" s="33">
        <f>IFERROR(__xludf.DUMMYFUNCTION("""COMPUTED_VALUE"""),0.5)</f>
        <v>0.5</v>
      </c>
      <c r="O6021" s="4" t="str">
        <f>IFERROR(__xludf.DUMMYFUNCTION("""COMPUTED_VALUE"""),"Saipos Serviços De Software")</f>
        <v>Saipos Serviços De Software</v>
      </c>
      <c r="P6021" s="33">
        <f>IFERROR(__xludf.DUMMYFUNCTION("""COMPUTED_VALUE"""),0.5)</f>
        <v>0.5</v>
      </c>
      <c r="Q6021" s="4" t="str">
        <f>IFERROR(__xludf.DUMMYFUNCTION("""COMPUTED_VALUE"""),"Saipos Serviços De Software")</f>
        <v>Saipos Serviços De Software</v>
      </c>
      <c r="R6021" s="33">
        <f>IFERROR(__xludf.DUMMYFUNCTION("""COMPUTED_VALUE"""),0.5)</f>
        <v>0.5</v>
      </c>
      <c r="S6021" s="4" t="str">
        <f>IFERROR(__xludf.DUMMYFUNCTION("""COMPUTED_VALUE"""),"null")</f>
        <v>null</v>
      </c>
      <c r="T6021" s="33">
        <f>IFERROR(__xludf.DUMMYFUNCTION("""COMPUTED_VALUE"""),0.5)</f>
        <v>0.5</v>
      </c>
      <c r="U6021" s="4" t="str">
        <f>IFERROR(__xludf.DUMMYFUNCTION("""COMPUTED_VALUE"""),"null")</f>
        <v>null</v>
      </c>
      <c r="V6021" s="33">
        <f>IFERROR(__xludf.DUMMYFUNCTION("""COMPUTED_VALUE"""),0.5)</f>
        <v>0.5</v>
      </c>
      <c r="W6021" s="4" t="str">
        <f>IFERROR(__xludf.DUMMYFUNCTION("""COMPUTED_VALUE"""),"null")</f>
        <v>null</v>
      </c>
      <c r="X6021" s="33">
        <f>IFERROR(__xludf.DUMMYFUNCTION("""COMPUTED_VALUE"""),0.5)</f>
        <v>0.5</v>
      </c>
    </row>
    <row r="6022">
      <c r="K6022" s="4" t="str">
        <f>IFERROR(__xludf.DUMMYFUNCTION("""COMPUTED_VALUE"""),"DROGARIA VITALLE")</f>
        <v>DROGARIA VITALLE</v>
      </c>
      <c r="L6022" s="32">
        <f>IFERROR(__xludf.DUMMYFUNCTION("""COMPUTED_VALUE"""),2.0)</f>
        <v>2</v>
      </c>
      <c r="M6022" s="4" t="str">
        <f>IFERROR(__xludf.DUMMYFUNCTION("""COMPUTED_VALUE"""),"N/A (Not found)")</f>
        <v>N/A (Not found)</v>
      </c>
      <c r="N6022" s="33">
        <f>IFERROR(__xludf.DUMMYFUNCTION("""COMPUTED_VALUE"""),1.0)</f>
        <v>1</v>
      </c>
      <c r="O6022" s="4" t="str">
        <f>IFERROR(__xludf.DUMMYFUNCTION("""COMPUTED_VALUE"""),"N/A (Not found)")</f>
        <v>N/A (Not found)</v>
      </c>
      <c r="P6022" s="33">
        <f>IFERROR(__xludf.DUMMYFUNCTION("""COMPUTED_VALUE"""),1.0)</f>
        <v>1</v>
      </c>
      <c r="Q6022" s="4" t="str">
        <f>IFERROR(__xludf.DUMMYFUNCTION("""COMPUTED_VALUE"""),"N/A (Not found)")</f>
        <v>N/A (Not found)</v>
      </c>
      <c r="R6022" s="33">
        <f>IFERROR(__xludf.DUMMYFUNCTION("""COMPUTED_VALUE"""),1.0)</f>
        <v>1</v>
      </c>
      <c r="S6022" s="4" t="str">
        <f>IFERROR(__xludf.DUMMYFUNCTION("""COMPUTED_VALUE"""),"N/A (Not found)")</f>
        <v>N/A (Not found)</v>
      </c>
      <c r="T6022" s="33">
        <f>IFERROR(__xludf.DUMMYFUNCTION("""COMPUTED_VALUE"""),1.0)</f>
        <v>1</v>
      </c>
      <c r="U6022" s="4" t="str">
        <f>IFERROR(__xludf.DUMMYFUNCTION("""COMPUTED_VALUE"""),"N/A (Not found)")</f>
        <v>N/A (Not found)</v>
      </c>
      <c r="V6022" s="33">
        <f>IFERROR(__xludf.DUMMYFUNCTION("""COMPUTED_VALUE"""),1.0)</f>
        <v>1</v>
      </c>
      <c r="W6022" s="4" t="str">
        <f>IFERROR(__xludf.DUMMYFUNCTION("""COMPUTED_VALUE"""),"null")</f>
        <v>null</v>
      </c>
      <c r="X6022" s="33">
        <f>IFERROR(__xludf.DUMMYFUNCTION("""COMPUTED_VALUE"""),0.5)</f>
        <v>0.5</v>
      </c>
    </row>
    <row r="6023">
      <c r="K6023" s="4" t="str">
        <f>IFERROR(__xludf.DUMMYFUNCTION("""COMPUTED_VALUE"""),"PIZZAS FINAMORE")</f>
        <v>PIZZAS FINAMORE</v>
      </c>
      <c r="L6023" s="32">
        <f>IFERROR(__xludf.DUMMYFUNCTION("""COMPUTED_VALUE"""),2.0)</f>
        <v>2</v>
      </c>
      <c r="M6023" s="4" t="str">
        <f>IFERROR(__xludf.DUMMYFUNCTION("""COMPUTED_VALUE"""),"null")</f>
        <v>null</v>
      </c>
      <c r="N6023" s="33">
        <f>IFERROR(__xludf.DUMMYFUNCTION("""COMPUTED_VALUE"""),0.5)</f>
        <v>0.5</v>
      </c>
      <c r="O6023" s="4" t="str">
        <f>IFERROR(__xludf.DUMMYFUNCTION("""COMPUTED_VALUE"""),"Brendi")</f>
        <v>Brendi</v>
      </c>
      <c r="P6023" s="33">
        <f>IFERROR(__xludf.DUMMYFUNCTION("""COMPUTED_VALUE"""),0.5)</f>
        <v>0.5</v>
      </c>
      <c r="Q6023" s="4" t="str">
        <f>IFERROR(__xludf.DUMMYFUNCTION("""COMPUTED_VALUE"""),"Brendi")</f>
        <v>Brendi</v>
      </c>
      <c r="R6023" s="33">
        <f>IFERROR(__xludf.DUMMYFUNCTION("""COMPUTED_VALUE"""),0.5)</f>
        <v>0.5</v>
      </c>
      <c r="S6023" s="4" t="str">
        <f>IFERROR(__xludf.DUMMYFUNCTION("""COMPUTED_VALUE"""),"Brendi")</f>
        <v>Brendi</v>
      </c>
      <c r="T6023" s="33">
        <f>IFERROR(__xludf.DUMMYFUNCTION("""COMPUTED_VALUE"""),0.5)</f>
        <v>0.5</v>
      </c>
      <c r="U6023" s="4" t="str">
        <f>IFERROR(__xludf.DUMMYFUNCTION("""COMPUTED_VALUE"""),"Brendi")</f>
        <v>Brendi</v>
      </c>
      <c r="V6023" s="33">
        <f>IFERROR(__xludf.DUMMYFUNCTION("""COMPUTED_VALUE"""),0.5)</f>
        <v>0.5</v>
      </c>
      <c r="W6023" s="4" t="str">
        <f>IFERROR(__xludf.DUMMYFUNCTION("""COMPUTED_VALUE"""),"Brendi")</f>
        <v>Brendi</v>
      </c>
      <c r="X6023" s="33">
        <f>IFERROR(__xludf.DUMMYFUNCTION("""COMPUTED_VALUE"""),0.5)</f>
        <v>0.5</v>
      </c>
    </row>
    <row r="6024">
      <c r="K6024" s="4" t="str">
        <f>IFERROR(__xludf.DUMMYFUNCTION("""COMPUTED_VALUE"""),"SAGUIS BURGUER")</f>
        <v>SAGUIS BURGUER</v>
      </c>
      <c r="L6024" s="32">
        <f>IFERROR(__xludf.DUMMYFUNCTION("""COMPUTED_VALUE"""),2.0)</f>
        <v>2</v>
      </c>
      <c r="M6024" s="4" t="str">
        <f>IFERROR(__xludf.DUMMYFUNCTION("""COMPUTED_VALUE"""),"null")</f>
        <v>null</v>
      </c>
      <c r="N6024" s="33">
        <f>IFERROR(__xludf.DUMMYFUNCTION("""COMPUTED_VALUE"""),0.5)</f>
        <v>0.5</v>
      </c>
      <c r="O6024" s="4" t="str">
        <f>IFERROR(__xludf.DUMMYFUNCTION("""COMPUTED_VALUE"""),"null")</f>
        <v>null</v>
      </c>
      <c r="P6024" s="33">
        <f>IFERROR(__xludf.DUMMYFUNCTION("""COMPUTED_VALUE"""),0.5)</f>
        <v>0.5</v>
      </c>
      <c r="Q6024" s="4" t="str">
        <f>IFERROR(__xludf.DUMMYFUNCTION("""COMPUTED_VALUE"""),"null")</f>
        <v>null</v>
      </c>
      <c r="R6024" s="33">
        <f>IFERROR(__xludf.DUMMYFUNCTION("""COMPUTED_VALUE"""),0.5)</f>
        <v>0.5</v>
      </c>
      <c r="S6024" s="4" t="str">
        <f>IFERROR(__xludf.DUMMYFUNCTION("""COMPUTED_VALUE"""),"null")</f>
        <v>null</v>
      </c>
      <c r="T6024" s="33">
        <f>IFERROR(__xludf.DUMMYFUNCTION("""COMPUTED_VALUE"""),0.5)</f>
        <v>0.5</v>
      </c>
      <c r="U6024" s="4" t="str">
        <f>IFERROR(__xludf.DUMMYFUNCTION("""COMPUTED_VALUE"""),"null")</f>
        <v>null</v>
      </c>
      <c r="V6024" s="33">
        <f>IFERROR(__xludf.DUMMYFUNCTION("""COMPUTED_VALUE"""),1.0)</f>
        <v>1</v>
      </c>
      <c r="W6024" s="4" t="str">
        <f>IFERROR(__xludf.DUMMYFUNCTION("""COMPUTED_VALUE"""),"Parseint Desenvolvimento De Sistemas Ltda")</f>
        <v>Parseint Desenvolvimento De Sistemas Ltda</v>
      </c>
      <c r="X6024" s="33">
        <f>IFERROR(__xludf.DUMMYFUNCTION("""COMPUTED_VALUE"""),0.5)</f>
        <v>0.5</v>
      </c>
    </row>
    <row r="6025">
      <c r="K6025" s="4" t="str">
        <f>IFERROR(__xludf.DUMMYFUNCTION("""COMPUTED_VALUE"""),"PAPA LUDI PIZZARIA")</f>
        <v>PAPA LUDI PIZZARIA</v>
      </c>
      <c r="L6025" s="32">
        <f>IFERROR(__xludf.DUMMYFUNCTION("""COMPUTED_VALUE"""),2.0)</f>
        <v>2</v>
      </c>
      <c r="M6025" s="4" t="str">
        <f>IFERROR(__xludf.DUMMYFUNCTION("""COMPUTED_VALUE"""),"Cardápio Web")</f>
        <v>Cardápio Web</v>
      </c>
      <c r="N6025" s="33">
        <f>IFERROR(__xludf.DUMMYFUNCTION("""COMPUTED_VALUE"""),0.5)</f>
        <v>0.5</v>
      </c>
      <c r="O6025" s="4" t="str">
        <f>IFERROR(__xludf.DUMMYFUNCTION("""COMPUTED_VALUE"""),"Cardápio Web")</f>
        <v>Cardápio Web</v>
      </c>
      <c r="P6025" s="33">
        <f>IFERROR(__xludf.DUMMYFUNCTION("""COMPUTED_VALUE"""),0.5)</f>
        <v>0.5</v>
      </c>
      <c r="Q6025" s="4" t="str">
        <f>IFERROR(__xludf.DUMMYFUNCTION("""COMPUTED_VALUE"""),"Cardápio Web")</f>
        <v>Cardápio Web</v>
      </c>
      <c r="R6025" s="33">
        <f>IFERROR(__xludf.DUMMYFUNCTION("""COMPUTED_VALUE"""),0.5)</f>
        <v>0.5</v>
      </c>
      <c r="S6025" s="4" t="str">
        <f>IFERROR(__xludf.DUMMYFUNCTION("""COMPUTED_VALUE"""),"Cardápio Web")</f>
        <v>Cardápio Web</v>
      </c>
      <c r="T6025" s="33">
        <f>IFERROR(__xludf.DUMMYFUNCTION("""COMPUTED_VALUE"""),0.5)</f>
        <v>0.5</v>
      </c>
      <c r="U6025" s="4" t="str">
        <f>IFERROR(__xludf.DUMMYFUNCTION("""COMPUTED_VALUE"""),"Cardápio Web")</f>
        <v>Cardápio Web</v>
      </c>
      <c r="V6025" s="33">
        <f>IFERROR(__xludf.DUMMYFUNCTION("""COMPUTED_VALUE"""),0.5)</f>
        <v>0.5</v>
      </c>
      <c r="W6025" s="4" t="str">
        <f>IFERROR(__xludf.DUMMYFUNCTION("""COMPUTED_VALUE"""),"Cardápio Web")</f>
        <v>Cardápio Web</v>
      </c>
      <c r="X6025" s="33">
        <f>IFERROR(__xludf.DUMMYFUNCTION("""COMPUTED_VALUE"""),0.5)</f>
        <v>0.5</v>
      </c>
    </row>
    <row r="6026">
      <c r="K6026" s="4" t="str">
        <f>IFERROR(__xludf.DUMMYFUNCTION("""COMPUTED_VALUE"""),"CESTAS DE CAFE MANHA, FLORES E PRESENTES")</f>
        <v>CESTAS DE CAFE MANHA, FLORES E PRESENTES</v>
      </c>
      <c r="L6026" s="32">
        <f>IFERROR(__xludf.DUMMYFUNCTION("""COMPUTED_VALUE"""),2.0)</f>
        <v>2</v>
      </c>
      <c r="M6026" s="4" t="str">
        <f>IFERROR(__xludf.DUMMYFUNCTION("""COMPUTED_VALUE"""),"null")</f>
        <v>null</v>
      </c>
      <c r="N6026" s="33">
        <f>IFERROR(__xludf.DUMMYFUNCTION("""COMPUTED_VALUE"""),1.0)</f>
        <v>1</v>
      </c>
      <c r="O6026" s="4" t="str">
        <f>IFERROR(__xludf.DUMMYFUNCTION("""COMPUTED_VALUE"""),"null")</f>
        <v>null</v>
      </c>
      <c r="P6026" s="33">
        <f>IFERROR(__xludf.DUMMYFUNCTION("""COMPUTED_VALUE"""),1.0)</f>
        <v>1</v>
      </c>
      <c r="Q6026" s="4" t="str">
        <f>IFERROR(__xludf.DUMMYFUNCTION("""COMPUTED_VALUE"""),"null")</f>
        <v>null</v>
      </c>
      <c r="R6026" s="33">
        <f>IFERROR(__xludf.DUMMYFUNCTION("""COMPUTED_VALUE"""),1.0)</f>
        <v>1</v>
      </c>
      <c r="S6026" s="4" t="str">
        <f>IFERROR(__xludf.DUMMYFUNCTION("""COMPUTED_VALUE"""),"Yooga")</f>
        <v>Yooga</v>
      </c>
      <c r="T6026" s="33">
        <f>IFERROR(__xludf.DUMMYFUNCTION("""COMPUTED_VALUE"""),1.0)</f>
        <v>1</v>
      </c>
      <c r="U6026" s="4" t="str">
        <f>IFERROR(__xludf.DUMMYFUNCTION("""COMPUTED_VALUE"""),"Yooga")</f>
        <v>Yooga</v>
      </c>
      <c r="V6026" s="33">
        <f>IFERROR(__xludf.DUMMYFUNCTION("""COMPUTED_VALUE"""),1.0)</f>
        <v>1</v>
      </c>
      <c r="W6026" s="4" t="str">
        <f>IFERROR(__xludf.DUMMYFUNCTION("""COMPUTED_VALUE"""),"null")</f>
        <v>null</v>
      </c>
      <c r="X6026" s="33">
        <f>IFERROR(__xludf.DUMMYFUNCTION("""COMPUTED_VALUE"""),1.0)</f>
        <v>1</v>
      </c>
    </row>
    <row r="6027">
      <c r="K6027" s="4" t="str">
        <f>IFERROR(__xludf.DUMMYFUNCTION("""COMPUTED_VALUE"""),"CASA DO MACARRAO")</f>
        <v>CASA DO MACARRAO</v>
      </c>
      <c r="L6027" s="32">
        <f>IFERROR(__xludf.DUMMYFUNCTION("""COMPUTED_VALUE"""),2.0)</f>
        <v>2</v>
      </c>
      <c r="M6027" s="4" t="str">
        <f>IFERROR(__xludf.DUMMYFUNCTION("""COMPUTED_VALUE"""),"null")</f>
        <v>null</v>
      </c>
      <c r="N6027" s="33">
        <f>IFERROR(__xludf.DUMMYFUNCTION("""COMPUTED_VALUE"""),1.0)</f>
        <v>1</v>
      </c>
      <c r="O6027" s="4" t="str">
        <f>IFERROR(__xludf.DUMMYFUNCTION("""COMPUTED_VALUE"""),"null")</f>
        <v>null</v>
      </c>
      <c r="P6027" s="33">
        <f>IFERROR(__xludf.DUMMYFUNCTION("""COMPUTED_VALUE"""),0.5)</f>
        <v>0.5</v>
      </c>
      <c r="Q6027" s="4" t="str">
        <f>IFERROR(__xludf.DUMMYFUNCTION("""COMPUTED_VALUE"""),"null")</f>
        <v>null</v>
      </c>
      <c r="R6027" s="33">
        <f>IFERROR(__xludf.DUMMYFUNCTION("""COMPUTED_VALUE"""),1.0)</f>
        <v>1</v>
      </c>
      <c r="S6027" s="4" t="str">
        <f>IFERROR(__xludf.DUMMYFUNCTION("""COMPUTED_VALUE"""),"null")</f>
        <v>null</v>
      </c>
      <c r="T6027" s="33">
        <f>IFERROR(__xludf.DUMMYFUNCTION("""COMPUTED_VALUE"""),0.5)</f>
        <v>0.5</v>
      </c>
      <c r="U6027" s="4" t="str">
        <f>IFERROR(__xludf.DUMMYFUNCTION("""COMPUTED_VALUE"""),"null")</f>
        <v>null</v>
      </c>
      <c r="V6027" s="33">
        <f>IFERROR(__xludf.DUMMYFUNCTION("""COMPUTED_VALUE"""),0.5)</f>
        <v>0.5</v>
      </c>
      <c r="W6027" s="4" t="str">
        <f>IFERROR(__xludf.DUMMYFUNCTION("""COMPUTED_VALUE"""),"Saipos Serviços De Software")</f>
        <v>Saipos Serviços De Software</v>
      </c>
      <c r="X6027" s="33">
        <f>IFERROR(__xludf.DUMMYFUNCTION("""COMPUTED_VALUE"""),0.5)</f>
        <v>0.5</v>
      </c>
    </row>
    <row r="6028">
      <c r="K6028" s="4" t="str">
        <f>IFERROR(__xludf.DUMMYFUNCTION("""COMPUTED_VALUE"""),"ACAI DO MAX")</f>
        <v>ACAI DO MAX</v>
      </c>
      <c r="L6028" s="32">
        <f>IFERROR(__xludf.DUMMYFUNCTION("""COMPUTED_VALUE"""),2.0)</f>
        <v>2</v>
      </c>
      <c r="M6028" s="4" t="str">
        <f>IFERROR(__xludf.DUMMYFUNCTION("""COMPUTED_VALUE"""),"Instadelivery")</f>
        <v>Instadelivery</v>
      </c>
      <c r="N6028" s="33">
        <f>IFERROR(__xludf.DUMMYFUNCTION("""COMPUTED_VALUE"""),0.5)</f>
        <v>0.5</v>
      </c>
      <c r="O6028" s="4" t="str">
        <f>IFERROR(__xludf.DUMMYFUNCTION("""COMPUTED_VALUE"""),"null")</f>
        <v>null</v>
      </c>
      <c r="P6028" s="33">
        <f>IFERROR(__xludf.DUMMYFUNCTION("""COMPUTED_VALUE"""),1.0)</f>
        <v>1</v>
      </c>
      <c r="Q6028" s="4" t="str">
        <f>IFERROR(__xludf.DUMMYFUNCTION("""COMPUTED_VALUE"""),"null")</f>
        <v>null</v>
      </c>
      <c r="R6028" s="33">
        <f>IFERROR(__xludf.DUMMYFUNCTION("""COMPUTED_VALUE"""),1.0)</f>
        <v>1</v>
      </c>
      <c r="S6028" s="4" t="str">
        <f>IFERROR(__xludf.DUMMYFUNCTION("""COMPUTED_VALUE"""),"null")</f>
        <v>null</v>
      </c>
      <c r="T6028" s="33">
        <f>IFERROR(__xludf.DUMMYFUNCTION("""COMPUTED_VALUE"""),0.5)</f>
        <v>0.5</v>
      </c>
      <c r="U6028" s="4" t="str">
        <f>IFERROR(__xludf.DUMMYFUNCTION("""COMPUTED_VALUE"""),"null")</f>
        <v>null</v>
      </c>
      <c r="V6028" s="33">
        <f>IFERROR(__xludf.DUMMYFUNCTION("""COMPUTED_VALUE"""),0.5)</f>
        <v>0.5</v>
      </c>
      <c r="W6028" s="4" t="str">
        <f>IFERROR(__xludf.DUMMYFUNCTION("""COMPUTED_VALUE"""),"null")</f>
        <v>null</v>
      </c>
      <c r="X6028" s="33">
        <f>IFERROR(__xludf.DUMMYFUNCTION("""COMPUTED_VALUE"""),1.0)</f>
        <v>1</v>
      </c>
    </row>
    <row r="6029">
      <c r="K6029" s="4" t="str">
        <f>IFERROR(__xludf.DUMMYFUNCTION("""COMPUTED_VALUE"""),"XIS DO MAGNIFICO")</f>
        <v>XIS DO MAGNIFICO</v>
      </c>
      <c r="L6029" s="32">
        <f>IFERROR(__xludf.DUMMYFUNCTION("""COMPUTED_VALUE"""),2.0)</f>
        <v>2</v>
      </c>
      <c r="M6029" s="4" t="str">
        <f>IFERROR(__xludf.DUMMYFUNCTION("""COMPUTED_VALUE"""),"Anota Ai Solucoes Digitais S/a")</f>
        <v>Anota Ai Solucoes Digitais S/a</v>
      </c>
      <c r="N6029" s="33">
        <f>IFERROR(__xludf.DUMMYFUNCTION("""COMPUTED_VALUE"""),0.5)</f>
        <v>0.5</v>
      </c>
      <c r="O6029" s="4" t="str">
        <f>IFERROR(__xludf.DUMMYFUNCTION("""COMPUTED_VALUE"""),"Anota Ai Solucoes Digitais S/a")</f>
        <v>Anota Ai Solucoes Digitais S/a</v>
      </c>
      <c r="P6029" s="33">
        <f>IFERROR(__xludf.DUMMYFUNCTION("""COMPUTED_VALUE"""),1.0)</f>
        <v>1</v>
      </c>
      <c r="Q6029" s="4" t="str">
        <f>IFERROR(__xludf.DUMMYFUNCTION("""COMPUTED_VALUE"""),"null")</f>
        <v>null</v>
      </c>
      <c r="R6029" s="33">
        <f>IFERROR(__xludf.DUMMYFUNCTION("""COMPUTED_VALUE"""),0.5)</f>
        <v>0.5</v>
      </c>
      <c r="S6029" s="4" t="str">
        <f>IFERROR(__xludf.DUMMYFUNCTION("""COMPUTED_VALUE"""),"null")</f>
        <v>null</v>
      </c>
      <c r="T6029" s="33">
        <f>IFERROR(__xludf.DUMMYFUNCTION("""COMPUTED_VALUE"""),0.5)</f>
        <v>0.5</v>
      </c>
      <c r="U6029" s="4" t="str">
        <f>IFERROR(__xludf.DUMMYFUNCTION("""COMPUTED_VALUE"""),"null")</f>
        <v>null</v>
      </c>
      <c r="V6029" s="33">
        <f>IFERROR(__xludf.DUMMYFUNCTION("""COMPUTED_VALUE"""),0.5)</f>
        <v>0.5</v>
      </c>
      <c r="W6029" s="4" t="str">
        <f>IFERROR(__xludf.DUMMYFUNCTION("""COMPUTED_VALUE"""),"null")</f>
        <v>null</v>
      </c>
      <c r="X6029" s="33">
        <f>IFERROR(__xludf.DUMMYFUNCTION("""COMPUTED_VALUE"""),0.5)</f>
        <v>0.5</v>
      </c>
    </row>
    <row r="6030">
      <c r="K6030" s="4" t="str">
        <f>IFERROR(__xludf.DUMMYFUNCTION("""COMPUTED_VALUE"""),"LA CASA HAMBURGUERIA")</f>
        <v>LA CASA HAMBURGUERIA</v>
      </c>
      <c r="L6030" s="32">
        <f>IFERROR(__xludf.DUMMYFUNCTION("""COMPUTED_VALUE"""),2.0)</f>
        <v>2</v>
      </c>
      <c r="M6030" s="4" t="str">
        <f>IFERROR(__xludf.DUMMYFUNCTION("""COMPUTED_VALUE"""),"null")</f>
        <v>null</v>
      </c>
      <c r="N6030" s="33">
        <f>IFERROR(__xludf.DUMMYFUNCTION("""COMPUTED_VALUE"""),0.5)</f>
        <v>0.5</v>
      </c>
      <c r="O6030" s="4" t="str">
        <f>IFERROR(__xludf.DUMMYFUNCTION("""COMPUTED_VALUE"""),"null")</f>
        <v>null</v>
      </c>
      <c r="P6030" s="33">
        <f>IFERROR(__xludf.DUMMYFUNCTION("""COMPUTED_VALUE"""),0.5)</f>
        <v>0.5</v>
      </c>
      <c r="Q6030" s="4" t="str">
        <f>IFERROR(__xludf.DUMMYFUNCTION("""COMPUTED_VALUE"""),"null")</f>
        <v>null</v>
      </c>
      <c r="R6030" s="33">
        <f>IFERROR(__xludf.DUMMYFUNCTION("""COMPUTED_VALUE"""),0.5)</f>
        <v>0.5</v>
      </c>
      <c r="S6030" s="4" t="str">
        <f>IFERROR(__xludf.DUMMYFUNCTION("""COMPUTED_VALUE"""),"null")</f>
        <v>null</v>
      </c>
      <c r="T6030" s="33">
        <f>IFERROR(__xludf.DUMMYFUNCTION("""COMPUTED_VALUE"""),0.5)</f>
        <v>0.5</v>
      </c>
      <c r="U6030" s="4" t="str">
        <f>IFERROR(__xludf.DUMMYFUNCTION("""COMPUTED_VALUE"""),"null")</f>
        <v>null</v>
      </c>
      <c r="V6030" s="33">
        <f>IFERROR(__xludf.DUMMYFUNCTION("""COMPUTED_VALUE"""),1.0)</f>
        <v>1</v>
      </c>
      <c r="W6030" s="4" t="str">
        <f>IFERROR(__xludf.DUMMYFUNCTION("""COMPUTED_VALUE"""),"Saipos Serviços De Software")</f>
        <v>Saipos Serviços De Software</v>
      </c>
      <c r="X6030" s="33">
        <f>IFERROR(__xludf.DUMMYFUNCTION("""COMPUTED_VALUE"""),0.5)</f>
        <v>0.5</v>
      </c>
    </row>
    <row r="6031">
      <c r="K6031" s="4" t="str">
        <f>IFERROR(__xludf.DUMMYFUNCTION("""COMPUTED_VALUE"""),"RESTAURANTE SAL DA TERRA")</f>
        <v>RESTAURANTE SAL DA TERRA</v>
      </c>
      <c r="L6031" s="32">
        <f>IFERROR(__xludf.DUMMYFUNCTION("""COMPUTED_VALUE"""),2.0)</f>
        <v>2</v>
      </c>
      <c r="M6031" s="4" t="str">
        <f>IFERROR(__xludf.DUMMYFUNCTION("""COMPUTED_VALUE"""),"Saipos Serviços De Software")</f>
        <v>Saipos Serviços De Software</v>
      </c>
      <c r="N6031" s="33">
        <f>IFERROR(__xludf.DUMMYFUNCTION("""COMPUTED_VALUE"""),1.0)</f>
        <v>1</v>
      </c>
      <c r="O6031" s="4" t="str">
        <f>IFERROR(__xludf.DUMMYFUNCTION("""COMPUTED_VALUE"""),"Anota Ai Solucoes Digitais S/a")</f>
        <v>Anota Ai Solucoes Digitais S/a</v>
      </c>
      <c r="P6031" s="33">
        <f>IFERROR(__xludf.DUMMYFUNCTION("""COMPUTED_VALUE"""),0.5)</f>
        <v>0.5</v>
      </c>
      <c r="Q6031" s="4" t="str">
        <f>IFERROR(__xludf.DUMMYFUNCTION("""COMPUTED_VALUE"""),"Anota Ai Solucoes Digitais S/a")</f>
        <v>Anota Ai Solucoes Digitais S/a</v>
      </c>
      <c r="R6031" s="33">
        <f>IFERROR(__xludf.DUMMYFUNCTION("""COMPUTED_VALUE"""),0.5)</f>
        <v>0.5</v>
      </c>
      <c r="S6031" s="4" t="str">
        <f>IFERROR(__xludf.DUMMYFUNCTION("""COMPUTED_VALUE"""),"Anota Ai Solucoes Digitais S/a")</f>
        <v>Anota Ai Solucoes Digitais S/a</v>
      </c>
      <c r="T6031" s="33">
        <f>IFERROR(__xludf.DUMMYFUNCTION("""COMPUTED_VALUE"""),0.5)</f>
        <v>0.5</v>
      </c>
      <c r="U6031" s="4" t="str">
        <f>IFERROR(__xludf.DUMMYFUNCTION("""COMPUTED_VALUE"""),"Anota Ai Solucoes Digitais S/a")</f>
        <v>Anota Ai Solucoes Digitais S/a</v>
      </c>
      <c r="V6031" s="33">
        <f>IFERROR(__xludf.DUMMYFUNCTION("""COMPUTED_VALUE"""),0.5)</f>
        <v>0.5</v>
      </c>
      <c r="W6031" s="4" t="str">
        <f>IFERROR(__xludf.DUMMYFUNCTION("""COMPUTED_VALUE"""),"Anota Ai Solucoes Digitais S/a")</f>
        <v>Anota Ai Solucoes Digitais S/a</v>
      </c>
      <c r="X6031" s="33">
        <f>IFERROR(__xludf.DUMMYFUNCTION("""COMPUTED_VALUE"""),0.5)</f>
        <v>0.5</v>
      </c>
    </row>
    <row r="6032">
      <c r="K6032" s="4" t="str">
        <f>IFERROR(__xludf.DUMMYFUNCTION("""COMPUTED_VALUE"""),"CURRAL BURGER - HAMBURGUERIA SMASH")</f>
        <v>CURRAL BURGER - HAMBURGUERIA SMASH</v>
      </c>
      <c r="L6032" s="32">
        <f>IFERROR(__xludf.DUMMYFUNCTION("""COMPUTED_VALUE"""),2.0)</f>
        <v>2</v>
      </c>
      <c r="M6032" s="4" t="str">
        <f>IFERROR(__xludf.DUMMYFUNCTION("""COMPUTED_VALUE"""),"Cardápio Web")</f>
        <v>Cardápio Web</v>
      </c>
      <c r="N6032" s="33">
        <f>IFERROR(__xludf.DUMMYFUNCTION("""COMPUTED_VALUE"""),1.0)</f>
        <v>1</v>
      </c>
      <c r="O6032" s="4" t="str">
        <f>IFERROR(__xludf.DUMMYFUNCTION("""COMPUTED_VALUE"""),"Cardápio Web")</f>
        <v>Cardápio Web</v>
      </c>
      <c r="P6032" s="33">
        <f>IFERROR(__xludf.DUMMYFUNCTION("""COMPUTED_VALUE"""),1.0)</f>
        <v>1</v>
      </c>
      <c r="Q6032" s="4" t="str">
        <f>IFERROR(__xludf.DUMMYFUNCTION("""COMPUTED_VALUE"""),"Cardápio Web")</f>
        <v>Cardápio Web</v>
      </c>
      <c r="R6032" s="33">
        <f>IFERROR(__xludf.DUMMYFUNCTION("""COMPUTED_VALUE"""),1.0)</f>
        <v>1</v>
      </c>
      <c r="S6032" s="4" t="str">
        <f>IFERROR(__xludf.DUMMYFUNCTION("""COMPUTED_VALUE"""),"Cardápio Web")</f>
        <v>Cardápio Web</v>
      </c>
      <c r="T6032" s="33">
        <f>IFERROR(__xludf.DUMMYFUNCTION("""COMPUTED_VALUE"""),1.0)</f>
        <v>1</v>
      </c>
      <c r="U6032" s="4" t="str">
        <f>IFERROR(__xludf.DUMMYFUNCTION("""COMPUTED_VALUE"""),"Cardápio Web")</f>
        <v>Cardápio Web</v>
      </c>
      <c r="V6032" s="33">
        <f>IFERROR(__xludf.DUMMYFUNCTION("""COMPUTED_VALUE"""),1.0)</f>
        <v>1</v>
      </c>
      <c r="W6032" s="4" t="str">
        <f>IFERROR(__xludf.DUMMYFUNCTION("""COMPUTED_VALUE"""),"Cardápio Web")</f>
        <v>Cardápio Web</v>
      </c>
      <c r="X6032" s="33">
        <f>IFERROR(__xludf.DUMMYFUNCTION("""COMPUTED_VALUE"""),1.0)</f>
        <v>1</v>
      </c>
    </row>
    <row r="6033">
      <c r="K6033" s="4" t="str">
        <f>IFERROR(__xludf.DUMMYFUNCTION("""COMPUTED_VALUE"""),"HOKKAI SUSHI")</f>
        <v>HOKKAI SUSHI</v>
      </c>
      <c r="L6033" s="32">
        <f>IFERROR(__xludf.DUMMYFUNCTION("""COMPUTED_VALUE"""),2.0)</f>
        <v>2</v>
      </c>
      <c r="M6033" s="4" t="str">
        <f>IFERROR(__xludf.DUMMYFUNCTION("""COMPUTED_VALUE"""),"null")</f>
        <v>null</v>
      </c>
      <c r="N6033" s="33">
        <f>IFERROR(__xludf.DUMMYFUNCTION("""COMPUTED_VALUE"""),0.5)</f>
        <v>0.5</v>
      </c>
      <c r="O6033" s="4" t="str">
        <f>IFERROR(__xludf.DUMMYFUNCTION("""COMPUTED_VALUE"""),"null")</f>
        <v>null</v>
      </c>
      <c r="P6033" s="33">
        <f>IFERROR(__xludf.DUMMYFUNCTION("""COMPUTED_VALUE"""),0.5)</f>
        <v>0.5</v>
      </c>
      <c r="Q6033" s="4" t="str">
        <f>IFERROR(__xludf.DUMMYFUNCTION("""COMPUTED_VALUE"""),"null")</f>
        <v>null</v>
      </c>
      <c r="R6033" s="33">
        <f>IFERROR(__xludf.DUMMYFUNCTION("""COMPUTED_VALUE"""),1.0)</f>
        <v>1</v>
      </c>
      <c r="S6033" s="4" t="str">
        <f>IFERROR(__xludf.DUMMYFUNCTION("""COMPUTED_VALUE"""),"Anota Ai Solucoes Digitais S/a")</f>
        <v>Anota Ai Solucoes Digitais S/a</v>
      </c>
      <c r="T6033" s="33">
        <f>IFERROR(__xludf.DUMMYFUNCTION("""COMPUTED_VALUE"""),0.5)</f>
        <v>0.5</v>
      </c>
      <c r="U6033" s="4" t="str">
        <f>IFERROR(__xludf.DUMMYFUNCTION("""COMPUTED_VALUE"""),"null")</f>
        <v>null</v>
      </c>
      <c r="V6033" s="33">
        <f>IFERROR(__xludf.DUMMYFUNCTION("""COMPUTED_VALUE"""),1.0)</f>
        <v>1</v>
      </c>
      <c r="W6033" s="4" t="str">
        <f>IFERROR(__xludf.DUMMYFUNCTION("""COMPUTED_VALUE"""),"Anota Ai Solucoes Digitais S/a")</f>
        <v>Anota Ai Solucoes Digitais S/a</v>
      </c>
      <c r="X6033" s="33">
        <f>IFERROR(__xludf.DUMMYFUNCTION("""COMPUTED_VALUE"""),0.5)</f>
        <v>0.5</v>
      </c>
    </row>
    <row r="6034">
      <c r="K6034" s="4" t="str">
        <f>IFERROR(__xludf.DUMMYFUNCTION("""COMPUTED_VALUE"""),"PIZZARIA MARGUERITA")</f>
        <v>PIZZARIA MARGUERITA</v>
      </c>
      <c r="L6034" s="32">
        <f>IFERROR(__xludf.DUMMYFUNCTION("""COMPUTED_VALUE"""),2.0)</f>
        <v>2</v>
      </c>
      <c r="M6034" s="4" t="str">
        <f>IFERROR(__xludf.DUMMYFUNCTION("""COMPUTED_VALUE"""),"Alfa Labs")</f>
        <v>Alfa Labs</v>
      </c>
      <c r="N6034" s="33">
        <f>IFERROR(__xludf.DUMMYFUNCTION("""COMPUTED_VALUE"""),0.5)</f>
        <v>0.5</v>
      </c>
      <c r="O6034" s="4" t="str">
        <f>IFERROR(__xludf.DUMMYFUNCTION("""COMPUTED_VALUE"""),"null")</f>
        <v>null</v>
      </c>
      <c r="P6034" s="33">
        <f>IFERROR(__xludf.DUMMYFUNCTION("""COMPUTED_VALUE"""),0.5)</f>
        <v>0.5</v>
      </c>
      <c r="Q6034" s="4" t="str">
        <f>IFERROR(__xludf.DUMMYFUNCTION("""COMPUTED_VALUE"""),"Alfa Labs")</f>
        <v>Alfa Labs</v>
      </c>
      <c r="R6034" s="33">
        <f>IFERROR(__xludf.DUMMYFUNCTION("""COMPUTED_VALUE"""),0.5)</f>
        <v>0.5</v>
      </c>
      <c r="S6034" s="4" t="str">
        <f>IFERROR(__xludf.DUMMYFUNCTION("""COMPUTED_VALUE"""),"null")</f>
        <v>null</v>
      </c>
      <c r="T6034" s="33">
        <f>IFERROR(__xludf.DUMMYFUNCTION("""COMPUTED_VALUE"""),0.5)</f>
        <v>0.5</v>
      </c>
      <c r="U6034" s="4" t="str">
        <f>IFERROR(__xludf.DUMMYFUNCTION("""COMPUTED_VALUE"""),"null")</f>
        <v>null</v>
      </c>
      <c r="V6034" s="33">
        <f>IFERROR(__xludf.DUMMYFUNCTION("""COMPUTED_VALUE"""),0.5)</f>
        <v>0.5</v>
      </c>
      <c r="W6034" s="4" t="str">
        <f>IFERROR(__xludf.DUMMYFUNCTION("""COMPUTED_VALUE"""),"Alfa Labs")</f>
        <v>Alfa Labs</v>
      </c>
      <c r="X6034" s="33">
        <f>IFERROR(__xludf.DUMMYFUNCTION("""COMPUTED_VALUE"""),0.5)</f>
        <v>0.5</v>
      </c>
    </row>
    <row r="6035">
      <c r="K6035" s="4" t="str">
        <f>IFERROR(__xludf.DUMMYFUNCTION("""COMPUTED_VALUE"""),"BRUNA LANCHES")</f>
        <v>BRUNA LANCHES</v>
      </c>
      <c r="L6035" s="32">
        <f>IFERROR(__xludf.DUMMYFUNCTION("""COMPUTED_VALUE"""),2.0)</f>
        <v>2</v>
      </c>
      <c r="M6035" s="4" t="str">
        <f>IFERROR(__xludf.DUMMYFUNCTION("""COMPUTED_VALUE"""),"Saipos Serviços De Software")</f>
        <v>Saipos Serviços De Software</v>
      </c>
      <c r="N6035" s="33">
        <f>IFERROR(__xludf.DUMMYFUNCTION("""COMPUTED_VALUE"""),0.5)</f>
        <v>0.5</v>
      </c>
      <c r="O6035" s="4" t="str">
        <f>IFERROR(__xludf.DUMMYFUNCTION("""COMPUTED_VALUE"""),"Saipos Serviços De Software")</f>
        <v>Saipos Serviços De Software</v>
      </c>
      <c r="P6035" s="33">
        <f>IFERROR(__xludf.DUMMYFUNCTION("""COMPUTED_VALUE"""),0.5)</f>
        <v>0.5</v>
      </c>
      <c r="Q6035" s="4" t="str">
        <f>IFERROR(__xludf.DUMMYFUNCTION("""COMPUTED_VALUE"""),"Saipos Serviços De Software")</f>
        <v>Saipos Serviços De Software</v>
      </c>
      <c r="R6035" s="33">
        <f>IFERROR(__xludf.DUMMYFUNCTION("""COMPUTED_VALUE"""),0.5)</f>
        <v>0.5</v>
      </c>
      <c r="S6035" s="4" t="str">
        <f>IFERROR(__xludf.DUMMYFUNCTION("""COMPUTED_VALUE"""),"Saipos Serviços De Software")</f>
        <v>Saipos Serviços De Software</v>
      </c>
      <c r="T6035" s="33">
        <f>IFERROR(__xludf.DUMMYFUNCTION("""COMPUTED_VALUE"""),0.5)</f>
        <v>0.5</v>
      </c>
      <c r="U6035" s="4" t="str">
        <f>IFERROR(__xludf.DUMMYFUNCTION("""COMPUTED_VALUE"""),"Saipos Serviços De Software")</f>
        <v>Saipos Serviços De Software</v>
      </c>
      <c r="V6035" s="33">
        <f>IFERROR(__xludf.DUMMYFUNCTION("""COMPUTED_VALUE"""),0.5)</f>
        <v>0.5</v>
      </c>
      <c r="W6035" s="4" t="str">
        <f>IFERROR(__xludf.DUMMYFUNCTION("""COMPUTED_VALUE"""),"Saipos Serviços De Software")</f>
        <v>Saipos Serviços De Software</v>
      </c>
      <c r="X6035" s="33">
        <f>IFERROR(__xludf.DUMMYFUNCTION("""COMPUTED_VALUE"""),0.5)</f>
        <v>0.5</v>
      </c>
    </row>
    <row r="6036">
      <c r="K6036" s="4" t="str">
        <f>IFERROR(__xludf.DUMMYFUNCTION("""COMPUTED_VALUE"""),"BARCELONA LANCHES")</f>
        <v>BARCELONA LANCHES</v>
      </c>
      <c r="L6036" s="32">
        <f>IFERROR(__xludf.DUMMYFUNCTION("""COMPUTED_VALUE"""),2.0)</f>
        <v>2</v>
      </c>
      <c r="M6036" s="4" t="str">
        <f>IFERROR(__xludf.DUMMYFUNCTION("""COMPUTED_VALUE"""),"null")</f>
        <v>null</v>
      </c>
      <c r="N6036" s="33">
        <f>IFERROR(__xludf.DUMMYFUNCTION("""COMPUTED_VALUE"""),0.5)</f>
        <v>0.5</v>
      </c>
      <c r="O6036" s="4" t="str">
        <f>IFERROR(__xludf.DUMMYFUNCTION("""COMPUTED_VALUE"""),"Brendi")</f>
        <v>Brendi</v>
      </c>
      <c r="P6036" s="33">
        <f>IFERROR(__xludf.DUMMYFUNCTION("""COMPUTED_VALUE"""),0.5)</f>
        <v>0.5</v>
      </c>
      <c r="Q6036" s="4" t="str">
        <f>IFERROR(__xludf.DUMMYFUNCTION("""COMPUTED_VALUE"""),"null")</f>
        <v>null</v>
      </c>
      <c r="R6036" s="33">
        <f>IFERROR(__xludf.DUMMYFUNCTION("""COMPUTED_VALUE"""),0.5)</f>
        <v>0.5</v>
      </c>
      <c r="S6036" s="4" t="str">
        <f>IFERROR(__xludf.DUMMYFUNCTION("""COMPUTED_VALUE"""),"null")</f>
        <v>null</v>
      </c>
      <c r="T6036" s="33">
        <f>IFERROR(__xludf.DUMMYFUNCTION("""COMPUTED_VALUE"""),0.5)</f>
        <v>0.5</v>
      </c>
      <c r="U6036" s="4" t="str">
        <f>IFERROR(__xludf.DUMMYFUNCTION("""COMPUTED_VALUE"""),"null")</f>
        <v>null</v>
      </c>
      <c r="V6036" s="33">
        <f>IFERROR(__xludf.DUMMYFUNCTION("""COMPUTED_VALUE"""),0.5)</f>
        <v>0.5</v>
      </c>
      <c r="W6036" s="4" t="str">
        <f>IFERROR(__xludf.DUMMYFUNCTION("""COMPUTED_VALUE"""),"null")</f>
        <v>null</v>
      </c>
      <c r="X6036" s="33">
        <f>IFERROR(__xludf.DUMMYFUNCTION("""COMPUTED_VALUE"""),0.5)</f>
        <v>0.5</v>
      </c>
    </row>
    <row r="6037">
      <c r="K6037" s="4" t="str">
        <f>IFERROR(__xludf.DUMMYFUNCTION("""COMPUTED_VALUE"""),"PERFIL DESATIVADO")</f>
        <v>PERFIL DESATIVADO</v>
      </c>
      <c r="L6037" s="32">
        <f>IFERROR(__xludf.DUMMYFUNCTION("""COMPUTED_VALUE"""),2.0)</f>
        <v>2</v>
      </c>
      <c r="M6037" s="4" t="str">
        <f>IFERROR(__xludf.DUMMYFUNCTION("""COMPUTED_VALUE"""),"Menew - Linx")</f>
        <v>Menew - Linx</v>
      </c>
      <c r="N6037" s="33">
        <f>IFERROR(__xludf.DUMMYFUNCTION("""COMPUTED_VALUE"""),0.5)</f>
        <v>0.5</v>
      </c>
      <c r="O6037" s="4" t="str">
        <f>IFERROR(__xludf.DUMMYFUNCTION("""COMPUTED_VALUE"""),"null")</f>
        <v>null</v>
      </c>
      <c r="P6037" s="33">
        <f>IFERROR(__xludf.DUMMYFUNCTION("""COMPUTED_VALUE"""),0.5)</f>
        <v>0.5</v>
      </c>
      <c r="Q6037" s="4" t="str">
        <f>IFERROR(__xludf.DUMMYFUNCTION("""COMPUTED_VALUE"""),"null")</f>
        <v>null</v>
      </c>
      <c r="R6037" s="33">
        <f>IFERROR(__xludf.DUMMYFUNCTION("""COMPUTED_VALUE"""),0.5)</f>
        <v>0.5</v>
      </c>
      <c r="S6037" s="4" t="str">
        <f>IFERROR(__xludf.DUMMYFUNCTION("""COMPUTED_VALUE"""),"null")</f>
        <v>null</v>
      </c>
      <c r="T6037" s="33">
        <f>IFERROR(__xludf.DUMMYFUNCTION("""COMPUTED_VALUE"""),1.0)</f>
        <v>1</v>
      </c>
      <c r="U6037" s="4" t="str">
        <f>IFERROR(__xludf.DUMMYFUNCTION("""COMPUTED_VALUE"""),"null")</f>
        <v>null</v>
      </c>
      <c r="V6037" s="33">
        <f>IFERROR(__xludf.DUMMYFUNCTION("""COMPUTED_VALUE"""),1.0)</f>
        <v>1</v>
      </c>
      <c r="W6037" s="4" t="str">
        <f>IFERROR(__xludf.DUMMYFUNCTION("""COMPUTED_VALUE"""),"null")</f>
        <v>null</v>
      </c>
      <c r="X6037" s="33">
        <f>IFERROR(__xludf.DUMMYFUNCTION("""COMPUTED_VALUE"""),1.0)</f>
        <v>1</v>
      </c>
    </row>
    <row r="6038">
      <c r="K6038" s="4" t="str">
        <f>IFERROR(__xludf.DUMMYFUNCTION("""COMPUTED_VALUE"""),"DOM LANCHES")</f>
        <v>DOM LANCHES</v>
      </c>
      <c r="L6038" s="32">
        <f>IFERROR(__xludf.DUMMYFUNCTION("""COMPUTED_VALUE"""),2.0)</f>
        <v>2</v>
      </c>
      <c r="M6038" s="4" t="str">
        <f>IFERROR(__xludf.DUMMYFUNCTION("""COMPUTED_VALUE"""),"Grandchef Desenvolvimento De Sistemas Ltda")</f>
        <v>Grandchef Desenvolvimento De Sistemas Ltda</v>
      </c>
      <c r="N6038" s="33">
        <f>IFERROR(__xludf.DUMMYFUNCTION("""COMPUTED_VALUE"""),0.5)</f>
        <v>0.5</v>
      </c>
      <c r="O6038" s="4" t="str">
        <f>IFERROR(__xludf.DUMMYFUNCTION("""COMPUTED_VALUE"""),"null")</f>
        <v>null</v>
      </c>
      <c r="P6038" s="33">
        <f>IFERROR(__xludf.DUMMYFUNCTION("""COMPUTED_VALUE"""),1.0)</f>
        <v>1</v>
      </c>
      <c r="Q6038" s="4" t="str">
        <f>IFERROR(__xludf.DUMMYFUNCTION("""COMPUTED_VALUE"""),"null")</f>
        <v>null</v>
      </c>
      <c r="R6038" s="33">
        <f>IFERROR(__xludf.DUMMYFUNCTION("""COMPUTED_VALUE"""),1.0)</f>
        <v>1</v>
      </c>
      <c r="S6038" s="4" t="str">
        <f>IFERROR(__xludf.DUMMYFUNCTION("""COMPUTED_VALUE"""),"null")</f>
        <v>null</v>
      </c>
      <c r="T6038" s="33">
        <f>IFERROR(__xludf.DUMMYFUNCTION("""COMPUTED_VALUE"""),1.0)</f>
        <v>1</v>
      </c>
      <c r="U6038" s="4" t="str">
        <f>IFERROR(__xludf.DUMMYFUNCTION("""COMPUTED_VALUE"""),"null")</f>
        <v>null</v>
      </c>
      <c r="V6038" s="33">
        <f>IFERROR(__xludf.DUMMYFUNCTION("""COMPUTED_VALUE"""),1.0)</f>
        <v>1</v>
      </c>
      <c r="W6038" s="4" t="str">
        <f>IFERROR(__xludf.DUMMYFUNCTION("""COMPUTED_VALUE"""),"null")</f>
        <v>null</v>
      </c>
      <c r="X6038" s="33">
        <f>IFERROR(__xludf.DUMMYFUNCTION("""COMPUTED_VALUE"""),1.0)</f>
        <v>1</v>
      </c>
    </row>
    <row r="6039">
      <c r="K6039" s="4" t="str">
        <f>IFERROR(__xludf.DUMMYFUNCTION("""COMPUTED_VALUE"""),"SABOR DO NORDESTE")</f>
        <v>SABOR DO NORDESTE</v>
      </c>
      <c r="L6039" s="32">
        <f>IFERROR(__xludf.DUMMYFUNCTION("""COMPUTED_VALUE"""),2.0)</f>
        <v>2</v>
      </c>
      <c r="M6039" s="4" t="str">
        <f>IFERROR(__xludf.DUMMYFUNCTION("""COMPUTED_VALUE"""),"Anota Ai Solucoes Digitais S/a")</f>
        <v>Anota Ai Solucoes Digitais S/a</v>
      </c>
      <c r="N6039" s="33">
        <f>IFERROR(__xludf.DUMMYFUNCTION("""COMPUTED_VALUE"""),0.5)</f>
        <v>0.5</v>
      </c>
      <c r="O6039" s="4" t="str">
        <f>IFERROR(__xludf.DUMMYFUNCTION("""COMPUTED_VALUE"""),"Anota Ai Solucoes Digitais S/a")</f>
        <v>Anota Ai Solucoes Digitais S/a</v>
      </c>
      <c r="P6039" s="33">
        <f>IFERROR(__xludf.DUMMYFUNCTION("""COMPUTED_VALUE"""),0.5)</f>
        <v>0.5</v>
      </c>
      <c r="Q6039" s="4" t="str">
        <f>IFERROR(__xludf.DUMMYFUNCTION("""COMPUTED_VALUE"""),"Anota Ai Solucoes Digitais S/a")</f>
        <v>Anota Ai Solucoes Digitais S/a</v>
      </c>
      <c r="R6039" s="33">
        <f>IFERROR(__xludf.DUMMYFUNCTION("""COMPUTED_VALUE"""),0.5)</f>
        <v>0.5</v>
      </c>
      <c r="S6039" s="4" t="str">
        <f>IFERROR(__xludf.DUMMYFUNCTION("""COMPUTED_VALUE"""),"Anota Ai Solucoes Digitais S/a")</f>
        <v>Anota Ai Solucoes Digitais S/a</v>
      </c>
      <c r="T6039" s="33">
        <f>IFERROR(__xludf.DUMMYFUNCTION("""COMPUTED_VALUE"""),1.0)</f>
        <v>1</v>
      </c>
      <c r="U6039" s="4" t="str">
        <f>IFERROR(__xludf.DUMMYFUNCTION("""COMPUTED_VALUE"""),"Anota Ai Solucoes Digitais S/a")</f>
        <v>Anota Ai Solucoes Digitais S/a</v>
      </c>
      <c r="V6039" s="33">
        <f>IFERROR(__xludf.DUMMYFUNCTION("""COMPUTED_VALUE"""),1.0)</f>
        <v>1</v>
      </c>
      <c r="W6039" s="4" t="str">
        <f>IFERROR(__xludf.DUMMYFUNCTION("""COMPUTED_VALUE"""),"Anota Ai Solucoes Digitais S/a")</f>
        <v>Anota Ai Solucoes Digitais S/a</v>
      </c>
      <c r="X6039" s="33">
        <f>IFERROR(__xludf.DUMMYFUNCTION("""COMPUTED_VALUE"""),1.0)</f>
        <v>1</v>
      </c>
    </row>
    <row r="6040">
      <c r="K6040" s="4" t="str">
        <f>IFERROR(__xludf.DUMMYFUNCTION("""COMPUTED_VALUE"""),"DOGAO LANCHE")</f>
        <v>DOGAO LANCHE</v>
      </c>
      <c r="L6040" s="32">
        <f>IFERROR(__xludf.DUMMYFUNCTION("""COMPUTED_VALUE"""),2.0)</f>
        <v>2</v>
      </c>
      <c r="M6040" s="4" t="str">
        <f>IFERROR(__xludf.DUMMYFUNCTION("""COMPUTED_VALUE"""),"Wls Solucoes Empresariais Ltda")</f>
        <v>Wls Solucoes Empresariais Ltda</v>
      </c>
      <c r="N6040" s="33">
        <f>IFERROR(__xludf.DUMMYFUNCTION("""COMPUTED_VALUE"""),0.5)</f>
        <v>0.5</v>
      </c>
      <c r="O6040" s="4" t="str">
        <f>IFERROR(__xludf.DUMMYFUNCTION("""COMPUTED_VALUE"""),"Wls Solucoes Empresariais Ltda")</f>
        <v>Wls Solucoes Empresariais Ltda</v>
      </c>
      <c r="P6040" s="33">
        <f>IFERROR(__xludf.DUMMYFUNCTION("""COMPUTED_VALUE"""),0.5)</f>
        <v>0.5</v>
      </c>
      <c r="Q6040" s="4" t="str">
        <f>IFERROR(__xludf.DUMMYFUNCTION("""COMPUTED_VALUE"""),"Wls Solucoes Empresariais Ltda")</f>
        <v>Wls Solucoes Empresariais Ltda</v>
      </c>
      <c r="R6040" s="33">
        <f>IFERROR(__xludf.DUMMYFUNCTION("""COMPUTED_VALUE"""),0.5)</f>
        <v>0.5</v>
      </c>
      <c r="S6040" s="4" t="str">
        <f>IFERROR(__xludf.DUMMYFUNCTION("""COMPUTED_VALUE"""),"Wls Solucoes Empresariais Ltda")</f>
        <v>Wls Solucoes Empresariais Ltda</v>
      </c>
      <c r="T6040" s="33">
        <f>IFERROR(__xludf.DUMMYFUNCTION("""COMPUTED_VALUE"""),0.5)</f>
        <v>0.5</v>
      </c>
      <c r="U6040" s="4" t="str">
        <f>IFERROR(__xludf.DUMMYFUNCTION("""COMPUTED_VALUE"""),"Wls Solucoes Empresariais Ltda")</f>
        <v>Wls Solucoes Empresariais Ltda</v>
      </c>
      <c r="V6040" s="33">
        <f>IFERROR(__xludf.DUMMYFUNCTION("""COMPUTED_VALUE"""),0.5)</f>
        <v>0.5</v>
      </c>
      <c r="W6040" s="4" t="str">
        <f>IFERROR(__xludf.DUMMYFUNCTION("""COMPUTED_VALUE"""),"Wls Solucoes Empresariais Ltda")</f>
        <v>Wls Solucoes Empresariais Ltda</v>
      </c>
      <c r="X6040" s="33">
        <f>IFERROR(__xludf.DUMMYFUNCTION("""COMPUTED_VALUE"""),0.5)</f>
        <v>0.5</v>
      </c>
    </row>
    <row r="6041">
      <c r="K6041" s="4" t="str">
        <f>IFERROR(__xludf.DUMMYFUNCTION("""COMPUTED_VALUE"""),"100 PIZZAS")</f>
        <v>100 PIZZAS</v>
      </c>
      <c r="L6041" s="32">
        <f>IFERROR(__xludf.DUMMYFUNCTION("""COMPUTED_VALUE"""),2.0)</f>
        <v>2</v>
      </c>
      <c r="M6041" s="4" t="str">
        <f>IFERROR(__xludf.DUMMYFUNCTION("""COMPUTED_VALUE"""),"Kcms")</f>
        <v>Kcms</v>
      </c>
      <c r="N6041" s="33">
        <f>IFERROR(__xludf.DUMMYFUNCTION("""COMPUTED_VALUE"""),0.5)</f>
        <v>0.5</v>
      </c>
      <c r="O6041" s="4" t="str">
        <f>IFERROR(__xludf.DUMMYFUNCTION("""COMPUTED_VALUE"""),"Kcms")</f>
        <v>Kcms</v>
      </c>
      <c r="P6041" s="33">
        <f>IFERROR(__xludf.DUMMYFUNCTION("""COMPUTED_VALUE"""),0.5)</f>
        <v>0.5</v>
      </c>
      <c r="Q6041" s="4" t="str">
        <f>IFERROR(__xludf.DUMMYFUNCTION("""COMPUTED_VALUE"""),"Kcms")</f>
        <v>Kcms</v>
      </c>
      <c r="R6041" s="33">
        <f>IFERROR(__xludf.DUMMYFUNCTION("""COMPUTED_VALUE"""),0.5)</f>
        <v>0.5</v>
      </c>
      <c r="S6041" s="4" t="str">
        <f>IFERROR(__xludf.DUMMYFUNCTION("""COMPUTED_VALUE"""),"Kcms")</f>
        <v>Kcms</v>
      </c>
      <c r="T6041" s="33">
        <f>IFERROR(__xludf.DUMMYFUNCTION("""COMPUTED_VALUE"""),0.5)</f>
        <v>0.5</v>
      </c>
      <c r="U6041" s="4" t="str">
        <f>IFERROR(__xludf.DUMMYFUNCTION("""COMPUTED_VALUE"""),"Kcms")</f>
        <v>Kcms</v>
      </c>
      <c r="V6041" s="33">
        <f>IFERROR(__xludf.DUMMYFUNCTION("""COMPUTED_VALUE"""),0.5)</f>
        <v>0.5</v>
      </c>
      <c r="W6041" s="4" t="str">
        <f>IFERROR(__xludf.DUMMYFUNCTION("""COMPUTED_VALUE"""),"Beefood - Sistema Para Restaurantes")</f>
        <v>Beefood - Sistema Para Restaurantes</v>
      </c>
      <c r="X6041" s="33">
        <f>IFERROR(__xludf.DUMMYFUNCTION("""COMPUTED_VALUE"""),0.5)</f>
        <v>0.5</v>
      </c>
    </row>
    <row r="6042">
      <c r="K6042" s="4" t="str">
        <f>IFERROR(__xludf.DUMMYFUNCTION("""COMPUTED_VALUE"""),"RESTAURANTE CHINA YANTAI")</f>
        <v>RESTAURANTE CHINA YANTAI</v>
      </c>
      <c r="L6042" s="32">
        <f>IFERROR(__xludf.DUMMYFUNCTION("""COMPUTED_VALUE"""),2.0)</f>
        <v>2</v>
      </c>
      <c r="M6042" s="4" t="str">
        <f>IFERROR(__xludf.DUMMYFUNCTION("""COMPUTED_VALUE"""),"Mp Multipedidos")</f>
        <v>Mp Multipedidos</v>
      </c>
      <c r="N6042" s="33">
        <f>IFERROR(__xludf.DUMMYFUNCTION("""COMPUTED_VALUE"""),1.0)</f>
        <v>1</v>
      </c>
      <c r="O6042" s="4" t="str">
        <f>IFERROR(__xludf.DUMMYFUNCTION("""COMPUTED_VALUE"""),"Mp Multipedidos")</f>
        <v>Mp Multipedidos</v>
      </c>
      <c r="P6042" s="33">
        <f>IFERROR(__xludf.DUMMYFUNCTION("""COMPUTED_VALUE"""),1.0)</f>
        <v>1</v>
      </c>
      <c r="Q6042" s="4" t="str">
        <f>IFERROR(__xludf.DUMMYFUNCTION("""COMPUTED_VALUE"""),"Mp Multipedidos")</f>
        <v>Mp Multipedidos</v>
      </c>
      <c r="R6042" s="33">
        <f>IFERROR(__xludf.DUMMYFUNCTION("""COMPUTED_VALUE"""),1.0)</f>
        <v>1</v>
      </c>
      <c r="S6042" s="4" t="str">
        <f>IFERROR(__xludf.DUMMYFUNCTION("""COMPUTED_VALUE"""),"Mp Multipedidos")</f>
        <v>Mp Multipedidos</v>
      </c>
      <c r="T6042" s="33">
        <f>IFERROR(__xludf.DUMMYFUNCTION("""COMPUTED_VALUE"""),1.0)</f>
        <v>1</v>
      </c>
      <c r="U6042" s="4" t="str">
        <f>IFERROR(__xludf.DUMMYFUNCTION("""COMPUTED_VALUE"""),"Mp Multipedidos")</f>
        <v>Mp Multipedidos</v>
      </c>
      <c r="V6042" s="33">
        <f>IFERROR(__xludf.DUMMYFUNCTION("""COMPUTED_VALUE"""),0.5)</f>
        <v>0.5</v>
      </c>
      <c r="W6042" s="4" t="str">
        <f>IFERROR(__xludf.DUMMYFUNCTION("""COMPUTED_VALUE"""),"Mp Multipedidos")</f>
        <v>Mp Multipedidos</v>
      </c>
      <c r="X6042" s="33">
        <f>IFERROR(__xludf.DUMMYFUNCTION("""COMPUTED_VALUE"""),0.5)</f>
        <v>0.5</v>
      </c>
    </row>
    <row r="6043">
      <c r="K6043" s="4" t="str">
        <f>IFERROR(__xludf.DUMMYFUNCTION("""COMPUTED_VALUE"""),"VILLA DORO PIZZARIA")</f>
        <v>VILLA DORO PIZZARIA</v>
      </c>
      <c r="L6043" s="32">
        <f>IFERROR(__xludf.DUMMYFUNCTION("""COMPUTED_VALUE"""),2.0)</f>
        <v>2</v>
      </c>
      <c r="M6043" s="4" t="str">
        <f>IFERROR(__xludf.DUMMYFUNCTION("""COMPUTED_VALUE"""),"Cardápio Web")</f>
        <v>Cardápio Web</v>
      </c>
      <c r="N6043" s="33">
        <f>IFERROR(__xludf.DUMMYFUNCTION("""COMPUTED_VALUE"""),1.0)</f>
        <v>1</v>
      </c>
      <c r="O6043" s="4" t="str">
        <f>IFERROR(__xludf.DUMMYFUNCTION("""COMPUTED_VALUE"""),"null")</f>
        <v>null</v>
      </c>
      <c r="P6043" s="33">
        <f>IFERROR(__xludf.DUMMYFUNCTION("""COMPUTED_VALUE"""),0.5)</f>
        <v>0.5</v>
      </c>
      <c r="Q6043" s="4" t="str">
        <f>IFERROR(__xludf.DUMMYFUNCTION("""COMPUTED_VALUE"""),"null")</f>
        <v>null</v>
      </c>
      <c r="R6043" s="33">
        <f>IFERROR(__xludf.DUMMYFUNCTION("""COMPUTED_VALUE"""),0.5)</f>
        <v>0.5</v>
      </c>
      <c r="S6043" s="4" t="str">
        <f>IFERROR(__xludf.DUMMYFUNCTION("""COMPUTED_VALUE"""),"null")</f>
        <v>null</v>
      </c>
      <c r="T6043" s="33">
        <f>IFERROR(__xludf.DUMMYFUNCTION("""COMPUTED_VALUE"""),0.5)</f>
        <v>0.5</v>
      </c>
      <c r="U6043" s="4" t="str">
        <f>IFERROR(__xludf.DUMMYFUNCTION("""COMPUTED_VALUE"""),"Cardápio Web")</f>
        <v>Cardápio Web</v>
      </c>
      <c r="V6043" s="33">
        <f>IFERROR(__xludf.DUMMYFUNCTION("""COMPUTED_VALUE"""),1.0)</f>
        <v>1</v>
      </c>
      <c r="W6043" s="4" t="str">
        <f>IFERROR(__xludf.DUMMYFUNCTION("""COMPUTED_VALUE"""),"null")</f>
        <v>null</v>
      </c>
      <c r="X6043" s="33">
        <f>IFERROR(__xludf.DUMMYFUNCTION("""COMPUTED_VALUE"""),0.5)</f>
        <v>0.5</v>
      </c>
    </row>
    <row r="6044">
      <c r="K6044" s="4" t="str">
        <f>IFERROR(__xludf.DUMMYFUNCTION("""COMPUTED_VALUE"""),"ONE SUSHI")</f>
        <v>ONE SUSHI</v>
      </c>
      <c r="L6044" s="32">
        <f>IFERROR(__xludf.DUMMYFUNCTION("""COMPUTED_VALUE"""),2.0)</f>
        <v>2</v>
      </c>
      <c r="M6044" s="4" t="str">
        <f>IFERROR(__xludf.DUMMYFUNCTION("""COMPUTED_VALUE"""),"3a Solution")</f>
        <v>3a Solution</v>
      </c>
      <c r="N6044" s="33">
        <f>IFERROR(__xludf.DUMMYFUNCTION("""COMPUTED_VALUE"""),0.6666666666666666)</f>
        <v>0.6666666667</v>
      </c>
      <c r="O6044" s="4" t="str">
        <f>IFERROR(__xludf.DUMMYFUNCTION("""COMPUTED_VALUE"""),"3a Solution")</f>
        <v>3a Solution</v>
      </c>
      <c r="P6044" s="33">
        <f>IFERROR(__xludf.DUMMYFUNCTION("""COMPUTED_VALUE"""),0.6666666666666666)</f>
        <v>0.6666666667</v>
      </c>
      <c r="Q6044" s="4" t="str">
        <f>IFERROR(__xludf.DUMMYFUNCTION("""COMPUTED_VALUE"""),"3a Solution")</f>
        <v>3a Solution</v>
      </c>
      <c r="R6044" s="33">
        <f>IFERROR(__xludf.DUMMYFUNCTION("""COMPUTED_VALUE"""),0.6666666666666666)</f>
        <v>0.6666666667</v>
      </c>
      <c r="S6044" s="4" t="str">
        <f>IFERROR(__xludf.DUMMYFUNCTION("""COMPUTED_VALUE"""),"3a Solution")</f>
        <v>3a Solution</v>
      </c>
      <c r="T6044" s="33">
        <f>IFERROR(__xludf.DUMMYFUNCTION("""COMPUTED_VALUE"""),0.6666666666666666)</f>
        <v>0.6666666667</v>
      </c>
      <c r="U6044" s="4" t="str">
        <f>IFERROR(__xludf.DUMMYFUNCTION("""COMPUTED_VALUE"""),"3a Solution")</f>
        <v>3a Solution</v>
      </c>
      <c r="V6044" s="33">
        <f>IFERROR(__xludf.DUMMYFUNCTION("""COMPUTED_VALUE"""),0.6666666666666666)</f>
        <v>0.6666666667</v>
      </c>
      <c r="W6044" s="4" t="str">
        <f>IFERROR(__xludf.DUMMYFUNCTION("""COMPUTED_VALUE"""),"3a Solution")</f>
        <v>3a Solution</v>
      </c>
      <c r="X6044" s="33">
        <f>IFERROR(__xludf.DUMMYFUNCTION("""COMPUTED_VALUE"""),0.6666666666666666)</f>
        <v>0.6666666667</v>
      </c>
    </row>
    <row r="6045">
      <c r="K6045" s="4" t="str">
        <f>IFERROR(__xludf.DUMMYFUNCTION("""COMPUTED_VALUE"""),"SABOR DA PIZZA")</f>
        <v>SABOR DA PIZZA</v>
      </c>
      <c r="L6045" s="32">
        <f>IFERROR(__xludf.DUMMYFUNCTION("""COMPUTED_VALUE"""),2.0)</f>
        <v>2</v>
      </c>
      <c r="M6045" s="4" t="str">
        <f>IFERROR(__xludf.DUMMYFUNCTION("""COMPUTED_VALUE"""),"Brendi")</f>
        <v>Brendi</v>
      </c>
      <c r="N6045" s="33">
        <f>IFERROR(__xludf.DUMMYFUNCTION("""COMPUTED_VALUE"""),0.5)</f>
        <v>0.5</v>
      </c>
      <c r="O6045" s="4" t="str">
        <f>IFERROR(__xludf.DUMMYFUNCTION("""COMPUTED_VALUE"""),"Brendi")</f>
        <v>Brendi</v>
      </c>
      <c r="P6045" s="33">
        <f>IFERROR(__xludf.DUMMYFUNCTION("""COMPUTED_VALUE"""),0.5)</f>
        <v>0.5</v>
      </c>
      <c r="Q6045" s="4" t="str">
        <f>IFERROR(__xludf.DUMMYFUNCTION("""COMPUTED_VALUE"""),"Brendi")</f>
        <v>Brendi</v>
      </c>
      <c r="R6045" s="33">
        <f>IFERROR(__xludf.DUMMYFUNCTION("""COMPUTED_VALUE"""),0.5)</f>
        <v>0.5</v>
      </c>
      <c r="S6045" s="4" t="str">
        <f>IFERROR(__xludf.DUMMYFUNCTION("""COMPUTED_VALUE"""),"Brendi")</f>
        <v>Brendi</v>
      </c>
      <c r="T6045" s="33">
        <f>IFERROR(__xludf.DUMMYFUNCTION("""COMPUTED_VALUE"""),0.5)</f>
        <v>0.5</v>
      </c>
      <c r="U6045" s="4" t="str">
        <f>IFERROR(__xludf.DUMMYFUNCTION("""COMPUTED_VALUE"""),"Brendi")</f>
        <v>Brendi</v>
      </c>
      <c r="V6045" s="33">
        <f>IFERROR(__xludf.DUMMYFUNCTION("""COMPUTED_VALUE"""),0.5)</f>
        <v>0.5</v>
      </c>
      <c r="W6045" s="4" t="str">
        <f>IFERROR(__xludf.DUMMYFUNCTION("""COMPUTED_VALUE"""),"Brendi")</f>
        <v>Brendi</v>
      </c>
      <c r="X6045" s="33">
        <f>IFERROR(__xludf.DUMMYFUNCTION("""COMPUTED_VALUE"""),0.5)</f>
        <v>0.5</v>
      </c>
    </row>
    <row r="6046">
      <c r="K6046" s="4" t="str">
        <f>IFERROR(__xludf.DUMMYFUNCTION("""COMPUTED_VALUE"""),"DOJO SUSHI")</f>
        <v>DOJO SUSHI</v>
      </c>
      <c r="L6046" s="32">
        <f>IFERROR(__xludf.DUMMYFUNCTION("""COMPUTED_VALUE"""),2.0)</f>
        <v>2</v>
      </c>
      <c r="M6046" s="4" t="str">
        <f>IFERROR(__xludf.DUMMYFUNCTION("""COMPUTED_VALUE"""),"Takeat Tecnologia")</f>
        <v>Takeat Tecnologia</v>
      </c>
      <c r="N6046" s="33">
        <f>IFERROR(__xludf.DUMMYFUNCTION("""COMPUTED_VALUE"""),0.5)</f>
        <v>0.5</v>
      </c>
      <c r="O6046" s="4" t="str">
        <f>IFERROR(__xludf.DUMMYFUNCTION("""COMPUTED_VALUE"""),"Takeat Tecnologia")</f>
        <v>Takeat Tecnologia</v>
      </c>
      <c r="P6046" s="33">
        <f>IFERROR(__xludf.DUMMYFUNCTION("""COMPUTED_VALUE"""),0.5)</f>
        <v>0.5</v>
      </c>
      <c r="Q6046" s="4" t="str">
        <f>IFERROR(__xludf.DUMMYFUNCTION("""COMPUTED_VALUE"""),"Takeat Tecnologia")</f>
        <v>Takeat Tecnologia</v>
      </c>
      <c r="R6046" s="33">
        <f>IFERROR(__xludf.DUMMYFUNCTION("""COMPUTED_VALUE"""),0.5)</f>
        <v>0.5</v>
      </c>
      <c r="S6046" s="4" t="str">
        <f>IFERROR(__xludf.DUMMYFUNCTION("""COMPUTED_VALUE"""),"Takeat Tecnologia")</f>
        <v>Takeat Tecnologia</v>
      </c>
      <c r="T6046" s="33">
        <f>IFERROR(__xludf.DUMMYFUNCTION("""COMPUTED_VALUE"""),0.5)</f>
        <v>0.5</v>
      </c>
      <c r="U6046" s="4" t="str">
        <f>IFERROR(__xludf.DUMMYFUNCTION("""COMPUTED_VALUE"""),"Takeat Tecnologia")</f>
        <v>Takeat Tecnologia</v>
      </c>
      <c r="V6046" s="33">
        <f>IFERROR(__xludf.DUMMYFUNCTION("""COMPUTED_VALUE"""),0.5)</f>
        <v>0.5</v>
      </c>
      <c r="W6046" s="4" t="str">
        <f>IFERROR(__xludf.DUMMYFUNCTION("""COMPUTED_VALUE"""),"Takeat Tecnologia")</f>
        <v>Takeat Tecnologia</v>
      </c>
      <c r="X6046" s="33">
        <f>IFERROR(__xludf.DUMMYFUNCTION("""COMPUTED_VALUE"""),0.5)</f>
        <v>0.5</v>
      </c>
    </row>
    <row r="6047">
      <c r="K6047" s="4" t="str">
        <f>IFERROR(__xludf.DUMMYFUNCTION("""COMPUTED_VALUE"""),"LA MIA PIZZA")</f>
        <v>LA MIA PIZZA</v>
      </c>
      <c r="L6047" s="32">
        <f>IFERROR(__xludf.DUMMYFUNCTION("""COMPUTED_VALUE"""),2.0)</f>
        <v>2</v>
      </c>
      <c r="M6047" s="4" t="str">
        <f>IFERROR(__xludf.DUMMYFUNCTION("""COMPUTED_VALUE"""),"Latech Informatica Ltda")</f>
        <v>Latech Informatica Ltda</v>
      </c>
      <c r="N6047" s="33">
        <f>IFERROR(__xludf.DUMMYFUNCTION("""COMPUTED_VALUE"""),0.5)</f>
        <v>0.5</v>
      </c>
      <c r="O6047" s="4" t="str">
        <f>IFERROR(__xludf.DUMMYFUNCTION("""COMPUTED_VALUE"""),"Latech Informatica Ltda")</f>
        <v>Latech Informatica Ltda</v>
      </c>
      <c r="P6047" s="33">
        <f>IFERROR(__xludf.DUMMYFUNCTION("""COMPUTED_VALUE"""),0.5)</f>
        <v>0.5</v>
      </c>
      <c r="Q6047" s="4" t="str">
        <f>IFERROR(__xludf.DUMMYFUNCTION("""COMPUTED_VALUE"""),"null")</f>
        <v>null</v>
      </c>
      <c r="R6047" s="33">
        <f>IFERROR(__xludf.DUMMYFUNCTION("""COMPUTED_VALUE"""),1.0)</f>
        <v>1</v>
      </c>
      <c r="S6047" s="4" t="str">
        <f>IFERROR(__xludf.DUMMYFUNCTION("""COMPUTED_VALUE"""),"null")</f>
        <v>null</v>
      </c>
      <c r="T6047" s="33">
        <f>IFERROR(__xludf.DUMMYFUNCTION("""COMPUTED_VALUE"""),0.5)</f>
        <v>0.5</v>
      </c>
      <c r="U6047" s="4" t="str">
        <f>IFERROR(__xludf.DUMMYFUNCTION("""COMPUTED_VALUE"""),"null")</f>
        <v>null</v>
      </c>
      <c r="V6047" s="33">
        <f>IFERROR(__xludf.DUMMYFUNCTION("""COMPUTED_VALUE"""),1.0)</f>
        <v>1</v>
      </c>
      <c r="W6047" s="4" t="str">
        <f>IFERROR(__xludf.DUMMYFUNCTION("""COMPUTED_VALUE"""),"null")</f>
        <v>null</v>
      </c>
      <c r="X6047" s="33">
        <f>IFERROR(__xludf.DUMMYFUNCTION("""COMPUTED_VALUE"""),0.5)</f>
        <v>0.5</v>
      </c>
    </row>
    <row r="6048">
      <c r="K6048" s="4" t="str">
        <f>IFERROR(__xludf.DUMMYFUNCTION("""COMPUTED_VALUE"""),"JUNA MASSAS CIA")</f>
        <v>JUNA MASSAS CIA</v>
      </c>
      <c r="L6048" s="32">
        <f>IFERROR(__xludf.DUMMYFUNCTION("""COMPUTED_VALUE"""),2.0)</f>
        <v>2</v>
      </c>
      <c r="M6048" s="4" t="str">
        <f>IFERROR(__xludf.DUMMYFUNCTION("""COMPUTED_VALUE"""),"Instadelivery")</f>
        <v>Instadelivery</v>
      </c>
      <c r="N6048" s="33">
        <f>IFERROR(__xludf.DUMMYFUNCTION("""COMPUTED_VALUE"""),1.0)</f>
        <v>1</v>
      </c>
      <c r="O6048" s="4" t="str">
        <f>IFERROR(__xludf.DUMMYFUNCTION("""COMPUTED_VALUE"""),"Instadelivery")</f>
        <v>Instadelivery</v>
      </c>
      <c r="P6048" s="33">
        <f>IFERROR(__xludf.DUMMYFUNCTION("""COMPUTED_VALUE"""),1.0)</f>
        <v>1</v>
      </c>
      <c r="Q6048" s="4" t="str">
        <f>IFERROR(__xludf.DUMMYFUNCTION("""COMPUTED_VALUE"""),"Instadelivery")</f>
        <v>Instadelivery</v>
      </c>
      <c r="R6048" s="33">
        <f>IFERROR(__xludf.DUMMYFUNCTION("""COMPUTED_VALUE"""),1.0)</f>
        <v>1</v>
      </c>
      <c r="S6048" s="4" t="str">
        <f>IFERROR(__xludf.DUMMYFUNCTION("""COMPUTED_VALUE"""),"Instadelivery")</f>
        <v>Instadelivery</v>
      </c>
      <c r="T6048" s="33">
        <f>IFERROR(__xludf.DUMMYFUNCTION("""COMPUTED_VALUE"""),1.0)</f>
        <v>1</v>
      </c>
      <c r="U6048" s="4" t="str">
        <f>IFERROR(__xludf.DUMMYFUNCTION("""COMPUTED_VALUE"""),"Instadelivery")</f>
        <v>Instadelivery</v>
      </c>
      <c r="V6048" s="33">
        <f>IFERROR(__xludf.DUMMYFUNCTION("""COMPUTED_VALUE"""),1.0)</f>
        <v>1</v>
      </c>
      <c r="W6048" s="4" t="str">
        <f>IFERROR(__xludf.DUMMYFUNCTION("""COMPUTED_VALUE"""),"Instadelivery")</f>
        <v>Instadelivery</v>
      </c>
      <c r="X6048" s="33">
        <f>IFERROR(__xludf.DUMMYFUNCTION("""COMPUTED_VALUE"""),1.0)</f>
        <v>1</v>
      </c>
    </row>
    <row r="6049">
      <c r="K6049" s="4" t="str">
        <f>IFERROR(__xludf.DUMMYFUNCTION("""COMPUTED_VALUE"""),"TOP DOG")</f>
        <v>TOP DOG</v>
      </c>
      <c r="L6049" s="32">
        <f>IFERROR(__xludf.DUMMYFUNCTION("""COMPUTED_VALUE"""),2.0)</f>
        <v>2</v>
      </c>
      <c r="M6049" s="4" t="str">
        <f>IFERROR(__xludf.DUMMYFUNCTION("""COMPUTED_VALUE"""),"Anota Ai Solucoes Digitais S/a")</f>
        <v>Anota Ai Solucoes Digitais S/a</v>
      </c>
      <c r="N6049" s="33">
        <f>IFERROR(__xludf.DUMMYFUNCTION("""COMPUTED_VALUE"""),0.5)</f>
        <v>0.5</v>
      </c>
      <c r="O6049" s="4" t="str">
        <f>IFERROR(__xludf.DUMMYFUNCTION("""COMPUTED_VALUE"""),"Anota Ai Solucoes Digitais S/a")</f>
        <v>Anota Ai Solucoes Digitais S/a</v>
      </c>
      <c r="P6049" s="33">
        <f>IFERROR(__xludf.DUMMYFUNCTION("""COMPUTED_VALUE"""),0.5)</f>
        <v>0.5</v>
      </c>
      <c r="Q6049" s="4" t="str">
        <f>IFERROR(__xludf.DUMMYFUNCTION("""COMPUTED_VALUE"""),"Anota Ai Solucoes Digitais S/a")</f>
        <v>Anota Ai Solucoes Digitais S/a</v>
      </c>
      <c r="R6049" s="33">
        <f>IFERROR(__xludf.DUMMYFUNCTION("""COMPUTED_VALUE"""),0.5)</f>
        <v>0.5</v>
      </c>
      <c r="S6049" s="4" t="str">
        <f>IFERROR(__xludf.DUMMYFUNCTION("""COMPUTED_VALUE"""),"Anota Ai Solucoes Digitais S/a")</f>
        <v>Anota Ai Solucoes Digitais S/a</v>
      </c>
      <c r="T6049" s="33">
        <f>IFERROR(__xludf.DUMMYFUNCTION("""COMPUTED_VALUE"""),0.5)</f>
        <v>0.5</v>
      </c>
      <c r="U6049" s="4" t="str">
        <f>IFERROR(__xludf.DUMMYFUNCTION("""COMPUTED_VALUE"""),"Anota Ai Solucoes Digitais S/a")</f>
        <v>Anota Ai Solucoes Digitais S/a</v>
      </c>
      <c r="V6049" s="33">
        <f>IFERROR(__xludf.DUMMYFUNCTION("""COMPUTED_VALUE"""),0.5)</f>
        <v>0.5</v>
      </c>
      <c r="W6049" s="4" t="str">
        <f>IFERROR(__xludf.DUMMYFUNCTION("""COMPUTED_VALUE"""),"Anota Ai Solucoes Digitais S/a")</f>
        <v>Anota Ai Solucoes Digitais S/a</v>
      </c>
      <c r="X6049" s="33">
        <f>IFERROR(__xludf.DUMMYFUNCTION("""COMPUTED_VALUE"""),0.5)</f>
        <v>0.5</v>
      </c>
    </row>
    <row r="6050">
      <c r="K6050" s="4" t="str">
        <f>IFERROR(__xludf.DUMMYFUNCTION("""COMPUTED_VALUE"""),"BLEND BURGUER")</f>
        <v>BLEND BURGUER</v>
      </c>
      <c r="L6050" s="32">
        <f>IFERROR(__xludf.DUMMYFUNCTION("""COMPUTED_VALUE"""),2.0)</f>
        <v>2</v>
      </c>
      <c r="M6050" s="4" t="str">
        <f>IFERROR(__xludf.DUMMYFUNCTION("""COMPUTED_VALUE"""),"Saipos Serviços De Software")</f>
        <v>Saipos Serviços De Software</v>
      </c>
      <c r="N6050" s="33">
        <f>IFERROR(__xludf.DUMMYFUNCTION("""COMPUTED_VALUE"""),0.5)</f>
        <v>0.5</v>
      </c>
      <c r="O6050" s="4" t="str">
        <f>IFERROR(__xludf.DUMMYFUNCTION("""COMPUTED_VALUE"""),"Saipos Serviços De Software")</f>
        <v>Saipos Serviços De Software</v>
      </c>
      <c r="P6050" s="33">
        <f>IFERROR(__xludf.DUMMYFUNCTION("""COMPUTED_VALUE"""),0.5)</f>
        <v>0.5</v>
      </c>
      <c r="Q6050" s="4" t="str">
        <f>IFERROR(__xludf.DUMMYFUNCTION("""COMPUTED_VALUE"""),"Saipos Serviços De Software")</f>
        <v>Saipos Serviços De Software</v>
      </c>
      <c r="R6050" s="33">
        <f>IFERROR(__xludf.DUMMYFUNCTION("""COMPUTED_VALUE"""),0.5)</f>
        <v>0.5</v>
      </c>
      <c r="S6050" s="4" t="str">
        <f>IFERROR(__xludf.DUMMYFUNCTION("""COMPUTED_VALUE"""),"Saipos Serviços De Software")</f>
        <v>Saipos Serviços De Software</v>
      </c>
      <c r="T6050" s="33">
        <f>IFERROR(__xludf.DUMMYFUNCTION("""COMPUTED_VALUE"""),0.5)</f>
        <v>0.5</v>
      </c>
      <c r="U6050" s="4" t="str">
        <f>IFERROR(__xludf.DUMMYFUNCTION("""COMPUTED_VALUE"""),"Saipos Serviços De Software")</f>
        <v>Saipos Serviços De Software</v>
      </c>
      <c r="V6050" s="33">
        <f>IFERROR(__xludf.DUMMYFUNCTION("""COMPUTED_VALUE"""),1.0)</f>
        <v>1</v>
      </c>
      <c r="W6050" s="4" t="str">
        <f>IFERROR(__xludf.DUMMYFUNCTION("""COMPUTED_VALUE"""),"Saipos Serviços De Software")</f>
        <v>Saipos Serviços De Software</v>
      </c>
      <c r="X6050" s="33">
        <f>IFERROR(__xludf.DUMMYFUNCTION("""COMPUTED_VALUE"""),1.0)</f>
        <v>1</v>
      </c>
    </row>
    <row r="6051">
      <c r="K6051" s="4" t="str">
        <f>IFERROR(__xludf.DUMMYFUNCTION("""COMPUTED_VALUE"""),"DROGARIA NOSSA UNIAO")</f>
        <v>DROGARIA NOSSA UNIAO</v>
      </c>
      <c r="L6051" s="32">
        <f>IFERROR(__xludf.DUMMYFUNCTION("""COMPUTED_VALUE"""),2.0)</f>
        <v>2</v>
      </c>
      <c r="M6051" s="4" t="str">
        <f>IFERROR(__xludf.DUMMYFUNCTION("""COMPUTED_VALUE"""),"N/A (Not found)")</f>
        <v>N/A (Not found)</v>
      </c>
      <c r="N6051" s="33">
        <f>IFERROR(__xludf.DUMMYFUNCTION("""COMPUTED_VALUE"""),1.0)</f>
        <v>1</v>
      </c>
      <c r="O6051" s="4" t="str">
        <f>IFERROR(__xludf.DUMMYFUNCTION("""COMPUTED_VALUE"""),"N/A (Not found)")</f>
        <v>N/A (Not found)</v>
      </c>
      <c r="P6051" s="33">
        <f>IFERROR(__xludf.DUMMYFUNCTION("""COMPUTED_VALUE"""),1.0)</f>
        <v>1</v>
      </c>
      <c r="Q6051" s="4" t="str">
        <f>IFERROR(__xludf.DUMMYFUNCTION("""COMPUTED_VALUE"""),"N/A (Not found)")</f>
        <v>N/A (Not found)</v>
      </c>
      <c r="R6051" s="33">
        <f>IFERROR(__xludf.DUMMYFUNCTION("""COMPUTED_VALUE"""),1.0)</f>
        <v>1</v>
      </c>
      <c r="S6051" s="4" t="str">
        <f>IFERROR(__xludf.DUMMYFUNCTION("""COMPUTED_VALUE"""),"N/A (Not found)")</f>
        <v>N/A (Not found)</v>
      </c>
      <c r="T6051" s="33">
        <f>IFERROR(__xludf.DUMMYFUNCTION("""COMPUTED_VALUE"""),1.0)</f>
        <v>1</v>
      </c>
      <c r="U6051" s="4" t="str">
        <f>IFERROR(__xludf.DUMMYFUNCTION("""COMPUTED_VALUE"""),"N/A (Not found)")</f>
        <v>N/A (Not found)</v>
      </c>
      <c r="V6051" s="33">
        <f>IFERROR(__xludf.DUMMYFUNCTION("""COMPUTED_VALUE"""),1.0)</f>
        <v>1</v>
      </c>
      <c r="W6051" s="4" t="str">
        <f>IFERROR(__xludf.DUMMYFUNCTION("""COMPUTED_VALUE"""),"N/A (Not found)")</f>
        <v>N/A (Not found)</v>
      </c>
      <c r="X6051" s="33">
        <f>IFERROR(__xludf.DUMMYFUNCTION("""COMPUTED_VALUE"""),1.0)</f>
        <v>1</v>
      </c>
    </row>
    <row r="6052">
      <c r="K6052" s="4" t="str">
        <f>IFERROR(__xludf.DUMMYFUNCTION("""COMPUTED_VALUE"""),"O BBK BURGUER")</f>
        <v>O BBK BURGUER</v>
      </c>
      <c r="L6052" s="32">
        <f>IFERROR(__xludf.DUMMYFUNCTION("""COMPUTED_VALUE"""),2.0)</f>
        <v>2</v>
      </c>
      <c r="M6052" s="4" t="str">
        <f>IFERROR(__xludf.DUMMYFUNCTION("""COMPUTED_VALUE"""),"Saipos Serviços De Software")</f>
        <v>Saipos Serviços De Software</v>
      </c>
      <c r="N6052" s="33">
        <f>IFERROR(__xludf.DUMMYFUNCTION("""COMPUTED_VALUE"""),0.5)</f>
        <v>0.5</v>
      </c>
      <c r="O6052" s="4" t="str">
        <f>IFERROR(__xludf.DUMMYFUNCTION("""COMPUTED_VALUE"""),"null")</f>
        <v>null</v>
      </c>
      <c r="P6052" s="33">
        <f>IFERROR(__xludf.DUMMYFUNCTION("""COMPUTED_VALUE"""),1.0)</f>
        <v>1</v>
      </c>
      <c r="Q6052" s="4" t="str">
        <f>IFERROR(__xludf.DUMMYFUNCTION("""COMPUTED_VALUE"""),"null")</f>
        <v>null</v>
      </c>
      <c r="R6052" s="33">
        <f>IFERROR(__xludf.DUMMYFUNCTION("""COMPUTED_VALUE"""),1.0)</f>
        <v>1</v>
      </c>
      <c r="S6052" s="4" t="str">
        <f>IFERROR(__xludf.DUMMYFUNCTION("""COMPUTED_VALUE"""),"null")</f>
        <v>null</v>
      </c>
      <c r="T6052" s="33">
        <f>IFERROR(__xludf.DUMMYFUNCTION("""COMPUTED_VALUE"""),1.0)</f>
        <v>1</v>
      </c>
      <c r="U6052" s="4" t="str">
        <f>IFERROR(__xludf.DUMMYFUNCTION("""COMPUTED_VALUE"""),"null")</f>
        <v>null</v>
      </c>
      <c r="V6052" s="33">
        <f>IFERROR(__xludf.DUMMYFUNCTION("""COMPUTED_VALUE"""),0.5)</f>
        <v>0.5</v>
      </c>
      <c r="W6052" s="4" t="str">
        <f>IFERROR(__xludf.DUMMYFUNCTION("""COMPUTED_VALUE"""),"null")</f>
        <v>null</v>
      </c>
      <c r="X6052" s="33">
        <f>IFERROR(__xludf.DUMMYFUNCTION("""COMPUTED_VALUE"""),0.5)</f>
        <v>0.5</v>
      </c>
    </row>
    <row r="6053">
      <c r="K6053" s="4" t="str">
        <f>IFERROR(__xludf.DUMMYFUNCTION("""COMPUTED_VALUE"""),"CUPIM GRILL CHURRASCARIA")</f>
        <v>CUPIM GRILL CHURRASCARIA</v>
      </c>
      <c r="L6053" s="32">
        <f>IFERROR(__xludf.DUMMYFUNCTION("""COMPUTED_VALUE"""),2.0)</f>
        <v>2</v>
      </c>
      <c r="M6053" s="4" t="str">
        <f>IFERROR(__xludf.DUMMYFUNCTION("""COMPUTED_VALUE"""),"Totvs Large Enterprise Tecnologia S.a.")</f>
        <v>Totvs Large Enterprise Tecnologia S.a.</v>
      </c>
      <c r="N6053" s="33">
        <f>IFERROR(__xludf.DUMMYFUNCTION("""COMPUTED_VALUE"""),0.5)</f>
        <v>0.5</v>
      </c>
      <c r="O6053" s="4" t="str">
        <f>IFERROR(__xludf.DUMMYFUNCTION("""COMPUTED_VALUE"""),"Totvs Large Enterprise Tecnologia S.a.")</f>
        <v>Totvs Large Enterprise Tecnologia S.a.</v>
      </c>
      <c r="P6053" s="33">
        <f>IFERROR(__xludf.DUMMYFUNCTION("""COMPUTED_VALUE"""),0.5)</f>
        <v>0.5</v>
      </c>
      <c r="Q6053" s="4" t="str">
        <f>IFERROR(__xludf.DUMMYFUNCTION("""COMPUTED_VALUE"""),"Totvs Large Enterprise Tecnologia S.a.")</f>
        <v>Totvs Large Enterprise Tecnologia S.a.</v>
      </c>
      <c r="R6053" s="33">
        <f>IFERROR(__xludf.DUMMYFUNCTION("""COMPUTED_VALUE"""),0.5)</f>
        <v>0.5</v>
      </c>
      <c r="S6053" s="4" t="str">
        <f>IFERROR(__xludf.DUMMYFUNCTION("""COMPUTED_VALUE"""),"Totvs Large Enterprise Tecnologia S.a.")</f>
        <v>Totvs Large Enterprise Tecnologia S.a.</v>
      </c>
      <c r="T6053" s="33">
        <f>IFERROR(__xludf.DUMMYFUNCTION("""COMPUTED_VALUE"""),0.5)</f>
        <v>0.5</v>
      </c>
      <c r="U6053" s="4" t="str">
        <f>IFERROR(__xludf.DUMMYFUNCTION("""COMPUTED_VALUE"""),"Totvs Large Enterprise Tecnologia S.a.")</f>
        <v>Totvs Large Enterprise Tecnologia S.a.</v>
      </c>
      <c r="V6053" s="33">
        <f>IFERROR(__xludf.DUMMYFUNCTION("""COMPUTED_VALUE"""),0.5)</f>
        <v>0.5</v>
      </c>
      <c r="W6053" s="4" t="str">
        <f>IFERROR(__xludf.DUMMYFUNCTION("""COMPUTED_VALUE"""),"Totvs Large Enterprise Tecnologia S.a.")</f>
        <v>Totvs Large Enterprise Tecnologia S.a.</v>
      </c>
      <c r="X6053" s="33">
        <f>IFERROR(__xludf.DUMMYFUNCTION("""COMPUTED_VALUE"""),0.5)</f>
        <v>0.5</v>
      </c>
    </row>
    <row r="6054">
      <c r="K6054" s="4" t="str">
        <f>IFERROR(__xludf.DUMMYFUNCTION("""COMPUTED_VALUE"""),"NIPPON SUSHI")</f>
        <v>NIPPON SUSHI</v>
      </c>
      <c r="L6054" s="32">
        <f>IFERROR(__xludf.DUMMYFUNCTION("""COMPUTED_VALUE"""),2.0)</f>
        <v>2</v>
      </c>
      <c r="M6054" s="4" t="str">
        <f>IFERROR(__xludf.DUMMYFUNCTION("""COMPUTED_VALUE"""),"Wps Sistemas Ltda")</f>
        <v>Wps Sistemas Ltda</v>
      </c>
      <c r="N6054" s="33">
        <f>IFERROR(__xludf.DUMMYFUNCTION("""COMPUTED_VALUE"""),0.5)</f>
        <v>0.5</v>
      </c>
      <c r="O6054" s="4" t="str">
        <f>IFERROR(__xludf.DUMMYFUNCTION("""COMPUTED_VALUE"""),"Wps Sistemas Ltda")</f>
        <v>Wps Sistemas Ltda</v>
      </c>
      <c r="P6054" s="33">
        <f>IFERROR(__xludf.DUMMYFUNCTION("""COMPUTED_VALUE"""),0.5)</f>
        <v>0.5</v>
      </c>
      <c r="Q6054" s="4" t="str">
        <f>IFERROR(__xludf.DUMMYFUNCTION("""COMPUTED_VALUE"""),"Wps Sistemas Ltda")</f>
        <v>Wps Sistemas Ltda</v>
      </c>
      <c r="R6054" s="33">
        <f>IFERROR(__xludf.DUMMYFUNCTION("""COMPUTED_VALUE"""),0.5)</f>
        <v>0.5</v>
      </c>
      <c r="S6054" s="4" t="str">
        <f>IFERROR(__xludf.DUMMYFUNCTION("""COMPUTED_VALUE"""),"Wps Sistemas Ltda")</f>
        <v>Wps Sistemas Ltda</v>
      </c>
      <c r="T6054" s="33">
        <f>IFERROR(__xludf.DUMMYFUNCTION("""COMPUTED_VALUE"""),0.5)</f>
        <v>0.5</v>
      </c>
      <c r="U6054" s="4" t="str">
        <f>IFERROR(__xludf.DUMMYFUNCTION("""COMPUTED_VALUE"""),"Wps Sistemas Ltda")</f>
        <v>Wps Sistemas Ltda</v>
      </c>
      <c r="V6054" s="33">
        <f>IFERROR(__xludf.DUMMYFUNCTION("""COMPUTED_VALUE"""),0.5)</f>
        <v>0.5</v>
      </c>
      <c r="W6054" s="4" t="str">
        <f>IFERROR(__xludf.DUMMYFUNCTION("""COMPUTED_VALUE"""),"Wps Sistemas Ltda")</f>
        <v>Wps Sistemas Ltda</v>
      </c>
      <c r="X6054" s="33">
        <f>IFERROR(__xludf.DUMMYFUNCTION("""COMPUTED_VALUE"""),0.5)</f>
        <v>0.5</v>
      </c>
    </row>
    <row r="6055">
      <c r="K6055" s="4" t="str">
        <f>IFERROR(__xludf.DUMMYFUNCTION("""COMPUTED_VALUE"""),"PIZZA PLANET")</f>
        <v>PIZZA PLANET</v>
      </c>
      <c r="L6055" s="32">
        <f>IFERROR(__xludf.DUMMYFUNCTION("""COMPUTED_VALUE"""),2.0)</f>
        <v>2</v>
      </c>
      <c r="M6055" s="4" t="str">
        <f>IFERROR(__xludf.DUMMYFUNCTION("""COMPUTED_VALUE"""),"null")</f>
        <v>null</v>
      </c>
      <c r="N6055" s="33">
        <f>IFERROR(__xludf.DUMMYFUNCTION("""COMPUTED_VALUE"""),0.5)</f>
        <v>0.5</v>
      </c>
      <c r="O6055" s="4" t="str">
        <f>IFERROR(__xludf.DUMMYFUNCTION("""COMPUTED_VALUE"""),"Clickatende Tecnologia Ltda")</f>
        <v>Clickatende Tecnologia Ltda</v>
      </c>
      <c r="P6055" s="33">
        <f>IFERROR(__xludf.DUMMYFUNCTION("""COMPUTED_VALUE"""),0.5)</f>
        <v>0.5</v>
      </c>
      <c r="Q6055" s="4" t="str">
        <f>IFERROR(__xludf.DUMMYFUNCTION("""COMPUTED_VALUE"""),"Clickatende Tecnologia Ltda")</f>
        <v>Clickatende Tecnologia Ltda</v>
      </c>
      <c r="R6055" s="33">
        <f>IFERROR(__xludf.DUMMYFUNCTION("""COMPUTED_VALUE"""),0.5)</f>
        <v>0.5</v>
      </c>
      <c r="S6055" s="4" t="str">
        <f>IFERROR(__xludf.DUMMYFUNCTION("""COMPUTED_VALUE"""),"Clickatende Tecnologia Ltda")</f>
        <v>Clickatende Tecnologia Ltda</v>
      </c>
      <c r="T6055" s="33">
        <f>IFERROR(__xludf.DUMMYFUNCTION("""COMPUTED_VALUE"""),0.5)</f>
        <v>0.5</v>
      </c>
      <c r="U6055" s="4" t="str">
        <f>IFERROR(__xludf.DUMMYFUNCTION("""COMPUTED_VALUE"""),"Clickatende Tecnologia Ltda")</f>
        <v>Clickatende Tecnologia Ltda</v>
      </c>
      <c r="V6055" s="33">
        <f>IFERROR(__xludf.DUMMYFUNCTION("""COMPUTED_VALUE"""),0.5)</f>
        <v>0.5</v>
      </c>
      <c r="W6055" s="4" t="str">
        <f>IFERROR(__xludf.DUMMYFUNCTION("""COMPUTED_VALUE"""),"Clickatende Tecnologia Ltda")</f>
        <v>Clickatende Tecnologia Ltda</v>
      </c>
      <c r="X6055" s="33">
        <f>IFERROR(__xludf.DUMMYFUNCTION("""COMPUTED_VALUE"""),0.5)</f>
        <v>0.5</v>
      </c>
    </row>
    <row r="6056">
      <c r="K6056" s="4" t="str">
        <f>IFERROR(__xludf.DUMMYFUNCTION("""COMPUTED_VALUE"""),"DESEJO DE ACAI")</f>
        <v>DESEJO DE ACAI</v>
      </c>
      <c r="L6056" s="32">
        <f>IFERROR(__xludf.DUMMYFUNCTION("""COMPUTED_VALUE"""),2.0)</f>
        <v>2</v>
      </c>
      <c r="M6056" s="4" t="str">
        <f>IFERROR(__xludf.DUMMYFUNCTION("""COMPUTED_VALUE"""),"Anota Ai Solucoes Digitais S/a")</f>
        <v>Anota Ai Solucoes Digitais S/a</v>
      </c>
      <c r="N6056" s="33">
        <f>IFERROR(__xludf.DUMMYFUNCTION("""COMPUTED_VALUE"""),0.5)</f>
        <v>0.5</v>
      </c>
      <c r="O6056" s="4" t="str">
        <f>IFERROR(__xludf.DUMMYFUNCTION("""COMPUTED_VALUE"""),"Anota Ai Solucoes Digitais S/a")</f>
        <v>Anota Ai Solucoes Digitais S/a</v>
      </c>
      <c r="P6056" s="33">
        <f>IFERROR(__xludf.DUMMYFUNCTION("""COMPUTED_VALUE"""),0.5)</f>
        <v>0.5</v>
      </c>
      <c r="Q6056" s="4" t="str">
        <f>IFERROR(__xludf.DUMMYFUNCTION("""COMPUTED_VALUE"""),"Anota Ai Solucoes Digitais S/a")</f>
        <v>Anota Ai Solucoes Digitais S/a</v>
      </c>
      <c r="R6056" s="33">
        <f>IFERROR(__xludf.DUMMYFUNCTION("""COMPUTED_VALUE"""),0.5)</f>
        <v>0.5</v>
      </c>
      <c r="S6056" s="4" t="str">
        <f>IFERROR(__xludf.DUMMYFUNCTION("""COMPUTED_VALUE"""),"Anota Ai Solucoes Digitais S/a")</f>
        <v>Anota Ai Solucoes Digitais S/a</v>
      </c>
      <c r="T6056" s="33">
        <f>IFERROR(__xludf.DUMMYFUNCTION("""COMPUTED_VALUE"""),0.5)</f>
        <v>0.5</v>
      </c>
      <c r="U6056" s="4" t="str">
        <f>IFERROR(__xludf.DUMMYFUNCTION("""COMPUTED_VALUE"""),"Anota Ai Solucoes Digitais S/a")</f>
        <v>Anota Ai Solucoes Digitais S/a</v>
      </c>
      <c r="V6056" s="33">
        <f>IFERROR(__xludf.DUMMYFUNCTION("""COMPUTED_VALUE"""),0.5)</f>
        <v>0.5</v>
      </c>
      <c r="W6056" s="4" t="str">
        <f>IFERROR(__xludf.DUMMYFUNCTION("""COMPUTED_VALUE"""),"Anota Ai Solucoes Digitais S/a")</f>
        <v>Anota Ai Solucoes Digitais S/a</v>
      </c>
      <c r="X6056" s="33">
        <f>IFERROR(__xludf.DUMMYFUNCTION("""COMPUTED_VALUE"""),0.5)</f>
        <v>0.5</v>
      </c>
    </row>
    <row r="6057">
      <c r="K6057" s="4" t="str">
        <f>IFERROR(__xludf.DUMMYFUNCTION("""COMPUTED_VALUE"""),"MARMITARIA COMIDA DE MAE")</f>
        <v>MARMITARIA COMIDA DE MAE</v>
      </c>
      <c r="L6057" s="32">
        <f>IFERROR(__xludf.DUMMYFUNCTION("""COMPUTED_VALUE"""),2.0)</f>
        <v>2</v>
      </c>
      <c r="M6057" s="4" t="str">
        <f>IFERROR(__xludf.DUMMYFUNCTION("""COMPUTED_VALUE"""),"Cardápio Web")</f>
        <v>Cardápio Web</v>
      </c>
      <c r="N6057" s="33">
        <f>IFERROR(__xludf.DUMMYFUNCTION("""COMPUTED_VALUE"""),0.5)</f>
        <v>0.5</v>
      </c>
      <c r="O6057" s="4" t="str">
        <f>IFERROR(__xludf.DUMMYFUNCTION("""COMPUTED_VALUE"""),"Cardápio Web")</f>
        <v>Cardápio Web</v>
      </c>
      <c r="P6057" s="33">
        <f>IFERROR(__xludf.DUMMYFUNCTION("""COMPUTED_VALUE"""),0.5)</f>
        <v>0.5</v>
      </c>
      <c r="Q6057" s="4" t="str">
        <f>IFERROR(__xludf.DUMMYFUNCTION("""COMPUTED_VALUE"""),"null")</f>
        <v>null</v>
      </c>
      <c r="R6057" s="33">
        <f>IFERROR(__xludf.DUMMYFUNCTION("""COMPUTED_VALUE"""),0.5)</f>
        <v>0.5</v>
      </c>
      <c r="S6057" s="4" t="str">
        <f>IFERROR(__xludf.DUMMYFUNCTION("""COMPUTED_VALUE"""),"null")</f>
        <v>null</v>
      </c>
      <c r="T6057" s="33">
        <f>IFERROR(__xludf.DUMMYFUNCTION("""COMPUTED_VALUE"""),0.5)</f>
        <v>0.5</v>
      </c>
      <c r="U6057" s="4" t="str">
        <f>IFERROR(__xludf.DUMMYFUNCTION("""COMPUTED_VALUE"""),"null")</f>
        <v>null</v>
      </c>
      <c r="V6057" s="33">
        <f>IFERROR(__xludf.DUMMYFUNCTION("""COMPUTED_VALUE"""),0.5)</f>
        <v>0.5</v>
      </c>
      <c r="W6057" s="4" t="str">
        <f>IFERROR(__xludf.DUMMYFUNCTION("""COMPUTED_VALUE"""),"null")</f>
        <v>null</v>
      </c>
      <c r="X6057" s="33">
        <f>IFERROR(__xludf.DUMMYFUNCTION("""COMPUTED_VALUE"""),0.5)</f>
        <v>0.5</v>
      </c>
    </row>
    <row r="6058">
      <c r="K6058" s="4" t="str">
        <f>IFERROR(__xludf.DUMMYFUNCTION("""COMPUTED_VALUE"""),"DROGARIA MIX FARMA")</f>
        <v>DROGARIA MIX FARMA</v>
      </c>
      <c r="L6058" s="32">
        <f>IFERROR(__xludf.DUMMYFUNCTION("""COMPUTED_VALUE"""),2.0)</f>
        <v>2</v>
      </c>
      <c r="M6058" s="4" t="str">
        <f>IFERROR(__xludf.DUMMYFUNCTION("""COMPUTED_VALUE"""),"N/A (Not found)")</f>
        <v>N/A (Not found)</v>
      </c>
      <c r="N6058" s="33">
        <f>IFERROR(__xludf.DUMMYFUNCTION("""COMPUTED_VALUE"""),1.0)</f>
        <v>1</v>
      </c>
      <c r="O6058" s="4" t="str">
        <f>IFERROR(__xludf.DUMMYFUNCTION("""COMPUTED_VALUE"""),"N/A (Not found)")</f>
        <v>N/A (Not found)</v>
      </c>
      <c r="P6058" s="33">
        <f>IFERROR(__xludf.DUMMYFUNCTION("""COMPUTED_VALUE"""),1.0)</f>
        <v>1</v>
      </c>
      <c r="Q6058" s="4" t="str">
        <f>IFERROR(__xludf.DUMMYFUNCTION("""COMPUTED_VALUE"""),"null")</f>
        <v>null</v>
      </c>
      <c r="R6058" s="33">
        <f>IFERROR(__xludf.DUMMYFUNCTION("""COMPUTED_VALUE"""),0.5)</f>
        <v>0.5</v>
      </c>
      <c r="S6058" s="4" t="str">
        <f>IFERROR(__xludf.DUMMYFUNCTION("""COMPUTED_VALUE"""),"null")</f>
        <v>null</v>
      </c>
      <c r="T6058" s="33">
        <f>IFERROR(__xludf.DUMMYFUNCTION("""COMPUTED_VALUE"""),0.5)</f>
        <v>0.5</v>
      </c>
      <c r="U6058" s="4" t="str">
        <f>IFERROR(__xludf.DUMMYFUNCTION("""COMPUTED_VALUE"""),"null")</f>
        <v>null</v>
      </c>
      <c r="V6058" s="33">
        <f>IFERROR(__xludf.DUMMYFUNCTION("""COMPUTED_VALUE"""),0.5)</f>
        <v>0.5</v>
      </c>
      <c r="W6058" s="4" t="str">
        <f>IFERROR(__xludf.DUMMYFUNCTION("""COMPUTED_VALUE"""),"null")</f>
        <v>null</v>
      </c>
      <c r="X6058" s="33">
        <f>IFERROR(__xludf.DUMMYFUNCTION("""COMPUTED_VALUE"""),0.5)</f>
        <v>0.5</v>
      </c>
    </row>
    <row r="6059">
      <c r="K6059" s="4" t="str">
        <f>IFERROR(__xludf.DUMMYFUNCTION("""COMPUTED_VALUE"""),"PALADAR COMIDA BRASILEIRA")</f>
        <v>PALADAR COMIDA BRASILEIRA</v>
      </c>
      <c r="L6059" s="32">
        <f>IFERROR(__xludf.DUMMYFUNCTION("""COMPUTED_VALUE"""),2.0)</f>
        <v>2</v>
      </c>
      <c r="M6059" s="4" t="str">
        <f>IFERROR(__xludf.DUMMYFUNCTION("""COMPUTED_VALUE"""),"Saipos Serviços De Software")</f>
        <v>Saipos Serviços De Software</v>
      </c>
      <c r="N6059" s="33">
        <f>IFERROR(__xludf.DUMMYFUNCTION("""COMPUTED_VALUE"""),0.5)</f>
        <v>0.5</v>
      </c>
      <c r="O6059" s="4" t="str">
        <f>IFERROR(__xludf.DUMMYFUNCTION("""COMPUTED_VALUE"""),"Saipos Serviços De Software")</f>
        <v>Saipos Serviços De Software</v>
      </c>
      <c r="P6059" s="33">
        <f>IFERROR(__xludf.DUMMYFUNCTION("""COMPUTED_VALUE"""),0.5)</f>
        <v>0.5</v>
      </c>
      <c r="Q6059" s="4" t="str">
        <f>IFERROR(__xludf.DUMMYFUNCTION("""COMPUTED_VALUE"""),"Saipos Serviços De Software")</f>
        <v>Saipos Serviços De Software</v>
      </c>
      <c r="R6059" s="33">
        <f>IFERROR(__xludf.DUMMYFUNCTION("""COMPUTED_VALUE"""),0.5)</f>
        <v>0.5</v>
      </c>
      <c r="S6059" s="4" t="str">
        <f>IFERROR(__xludf.DUMMYFUNCTION("""COMPUTED_VALUE"""),"Saipos Serviços De Software")</f>
        <v>Saipos Serviços De Software</v>
      </c>
      <c r="T6059" s="33">
        <f>IFERROR(__xludf.DUMMYFUNCTION("""COMPUTED_VALUE"""),1.0)</f>
        <v>1</v>
      </c>
      <c r="U6059" s="4" t="str">
        <f>IFERROR(__xludf.DUMMYFUNCTION("""COMPUTED_VALUE"""),"Saipos Serviços De Software")</f>
        <v>Saipos Serviços De Software</v>
      </c>
      <c r="V6059" s="33">
        <f>IFERROR(__xludf.DUMMYFUNCTION("""COMPUTED_VALUE"""),1.0)</f>
        <v>1</v>
      </c>
      <c r="W6059" s="4" t="str">
        <f>IFERROR(__xludf.DUMMYFUNCTION("""COMPUTED_VALUE"""),"Saipos Serviços De Software")</f>
        <v>Saipos Serviços De Software</v>
      </c>
      <c r="X6059" s="33">
        <f>IFERROR(__xludf.DUMMYFUNCTION("""COMPUTED_VALUE"""),1.0)</f>
        <v>1</v>
      </c>
    </row>
    <row r="6060">
      <c r="K6060" s="4" t="str">
        <f>IFERROR(__xludf.DUMMYFUNCTION("""COMPUTED_VALUE"""),"PET GATO")</f>
        <v>PET GATO</v>
      </c>
      <c r="L6060" s="32">
        <f>IFERROR(__xludf.DUMMYFUNCTION("""COMPUTED_VALUE"""),2.0)</f>
        <v>2</v>
      </c>
      <c r="M6060" s="4" t="str">
        <f>IFERROR(__xludf.DUMMYFUNCTION("""COMPUTED_VALUE"""),"null")</f>
        <v>null</v>
      </c>
      <c r="N6060" s="33">
        <f>IFERROR(__xludf.DUMMYFUNCTION("""COMPUTED_VALUE"""),0.5)</f>
        <v>0.5</v>
      </c>
      <c r="O6060" s="4" t="str">
        <f>IFERROR(__xludf.DUMMYFUNCTION("""COMPUTED_VALUE"""),"N/A (Not found)")</f>
        <v>N/A (Not found)</v>
      </c>
      <c r="P6060" s="33">
        <f>IFERROR(__xludf.DUMMYFUNCTION("""COMPUTED_VALUE"""),1.0)</f>
        <v>1</v>
      </c>
      <c r="Q6060" s="4" t="str">
        <f>IFERROR(__xludf.DUMMYFUNCTION("""COMPUTED_VALUE"""),"N/A (Not found)")</f>
        <v>N/A (Not found)</v>
      </c>
      <c r="R6060" s="33">
        <f>IFERROR(__xludf.DUMMYFUNCTION("""COMPUTED_VALUE"""),1.0)</f>
        <v>1</v>
      </c>
      <c r="S6060" s="4" t="str">
        <f>IFERROR(__xludf.DUMMYFUNCTION("""COMPUTED_VALUE"""),"N/A (Not found)")</f>
        <v>N/A (Not found)</v>
      </c>
      <c r="T6060" s="33">
        <f>IFERROR(__xludf.DUMMYFUNCTION("""COMPUTED_VALUE"""),1.0)</f>
        <v>1</v>
      </c>
      <c r="U6060" s="4" t="str">
        <f>IFERROR(__xludf.DUMMYFUNCTION("""COMPUTED_VALUE"""),"N/A (Not found)")</f>
        <v>N/A (Not found)</v>
      </c>
      <c r="V6060" s="33">
        <f>IFERROR(__xludf.DUMMYFUNCTION("""COMPUTED_VALUE"""),1.0)</f>
        <v>1</v>
      </c>
      <c r="W6060" s="4" t="str">
        <f>IFERROR(__xludf.DUMMYFUNCTION("""COMPUTED_VALUE"""),"N/A (Not found)")</f>
        <v>N/A (Not found)</v>
      </c>
      <c r="X6060" s="33">
        <f>IFERROR(__xludf.DUMMYFUNCTION("""COMPUTED_VALUE"""),1.0)</f>
        <v>1</v>
      </c>
    </row>
    <row r="6061">
      <c r="K6061" s="4" t="str">
        <f>IFERROR(__xludf.DUMMYFUNCTION("""COMPUTED_VALUE"""),"SUMMER ACAITERIA")</f>
        <v>SUMMER ACAITERIA</v>
      </c>
      <c r="L6061" s="32">
        <f>IFERROR(__xludf.DUMMYFUNCTION("""COMPUTED_VALUE"""),2.0)</f>
        <v>2</v>
      </c>
      <c r="M6061" s="4" t="str">
        <f>IFERROR(__xludf.DUMMYFUNCTION("""COMPUTED_VALUE"""),"Instadelivery")</f>
        <v>Instadelivery</v>
      </c>
      <c r="N6061" s="33">
        <f>IFERROR(__xludf.DUMMYFUNCTION("""COMPUTED_VALUE"""),0.5)</f>
        <v>0.5</v>
      </c>
      <c r="O6061" s="4" t="str">
        <f>IFERROR(__xludf.DUMMYFUNCTION("""COMPUTED_VALUE"""),"Instadelivery")</f>
        <v>Instadelivery</v>
      </c>
      <c r="P6061" s="33">
        <f>IFERROR(__xludf.DUMMYFUNCTION("""COMPUTED_VALUE"""),0.5)</f>
        <v>0.5</v>
      </c>
      <c r="Q6061" s="4" t="str">
        <f>IFERROR(__xludf.DUMMYFUNCTION("""COMPUTED_VALUE"""),"Instadelivery")</f>
        <v>Instadelivery</v>
      </c>
      <c r="R6061" s="33">
        <f>IFERROR(__xludf.DUMMYFUNCTION("""COMPUTED_VALUE"""),0.5)</f>
        <v>0.5</v>
      </c>
      <c r="S6061" s="4" t="str">
        <f>IFERROR(__xludf.DUMMYFUNCTION("""COMPUTED_VALUE"""),"Instadelivery")</f>
        <v>Instadelivery</v>
      </c>
      <c r="T6061" s="33">
        <f>IFERROR(__xludf.DUMMYFUNCTION("""COMPUTED_VALUE"""),0.5)</f>
        <v>0.5</v>
      </c>
      <c r="U6061" s="4" t="str">
        <f>IFERROR(__xludf.DUMMYFUNCTION("""COMPUTED_VALUE"""),"Instadelivery")</f>
        <v>Instadelivery</v>
      </c>
      <c r="V6061" s="33">
        <f>IFERROR(__xludf.DUMMYFUNCTION("""COMPUTED_VALUE"""),0.5)</f>
        <v>0.5</v>
      </c>
      <c r="W6061" s="4" t="str">
        <f>IFERROR(__xludf.DUMMYFUNCTION("""COMPUTED_VALUE"""),"Instadelivery")</f>
        <v>Instadelivery</v>
      </c>
      <c r="X6061" s="33">
        <f>IFERROR(__xludf.DUMMYFUNCTION("""COMPUTED_VALUE"""),0.5)</f>
        <v>0.5</v>
      </c>
    </row>
    <row r="6062">
      <c r="K6062" s="4" t="str">
        <f>IFERROR(__xludf.DUMMYFUNCTION("""COMPUTED_VALUE"""),"GALETERIA DO BOCA")</f>
        <v>GALETERIA DO BOCA</v>
      </c>
      <c r="L6062" s="32">
        <f>IFERROR(__xludf.DUMMYFUNCTION("""COMPUTED_VALUE"""),2.0)</f>
        <v>2</v>
      </c>
      <c r="M6062" s="4" t="str">
        <f>IFERROR(__xludf.DUMMYFUNCTION("""COMPUTED_VALUE"""),"Cardápio Web")</f>
        <v>Cardápio Web</v>
      </c>
      <c r="N6062" s="33">
        <f>IFERROR(__xludf.DUMMYFUNCTION("""COMPUTED_VALUE"""),1.0)</f>
        <v>1</v>
      </c>
      <c r="O6062" s="4" t="str">
        <f>IFERROR(__xludf.DUMMYFUNCTION("""COMPUTED_VALUE"""),"Cardápio Web")</f>
        <v>Cardápio Web</v>
      </c>
      <c r="P6062" s="33">
        <f>IFERROR(__xludf.DUMMYFUNCTION("""COMPUTED_VALUE"""),1.0)</f>
        <v>1</v>
      </c>
      <c r="Q6062" s="4" t="str">
        <f>IFERROR(__xludf.DUMMYFUNCTION("""COMPUTED_VALUE"""),"Cardápio Web")</f>
        <v>Cardápio Web</v>
      </c>
      <c r="R6062" s="33">
        <f>IFERROR(__xludf.DUMMYFUNCTION("""COMPUTED_VALUE"""),1.0)</f>
        <v>1</v>
      </c>
      <c r="S6062" s="4" t="str">
        <f>IFERROR(__xludf.DUMMYFUNCTION("""COMPUTED_VALUE"""),"Cardápio Web")</f>
        <v>Cardápio Web</v>
      </c>
      <c r="T6062" s="33">
        <f>IFERROR(__xludf.DUMMYFUNCTION("""COMPUTED_VALUE"""),1.0)</f>
        <v>1</v>
      </c>
      <c r="U6062" s="4" t="str">
        <f>IFERROR(__xludf.DUMMYFUNCTION("""COMPUTED_VALUE"""),"Cardápio Web")</f>
        <v>Cardápio Web</v>
      </c>
      <c r="V6062" s="33">
        <f>IFERROR(__xludf.DUMMYFUNCTION("""COMPUTED_VALUE"""),1.0)</f>
        <v>1</v>
      </c>
      <c r="W6062" s="4" t="str">
        <f>IFERROR(__xludf.DUMMYFUNCTION("""COMPUTED_VALUE"""),"Cardápio Web")</f>
        <v>Cardápio Web</v>
      </c>
      <c r="X6062" s="33">
        <f>IFERROR(__xludf.DUMMYFUNCTION("""COMPUTED_VALUE"""),1.0)</f>
        <v>1</v>
      </c>
    </row>
    <row r="6063">
      <c r="K6063" s="4" t="str">
        <f>IFERROR(__xludf.DUMMYFUNCTION("""COMPUTED_VALUE"""),"BROTHER S BURGER - HAMBURGUERIA")</f>
        <v>BROTHER S BURGER - HAMBURGUERIA</v>
      </c>
      <c r="L6063" s="32">
        <f>IFERROR(__xludf.DUMMYFUNCTION("""COMPUTED_VALUE"""),2.0)</f>
        <v>2</v>
      </c>
      <c r="M6063" s="4" t="str">
        <f>IFERROR(__xludf.DUMMYFUNCTION("""COMPUTED_VALUE"""),"null")</f>
        <v>null</v>
      </c>
      <c r="N6063" s="33">
        <f>IFERROR(__xludf.DUMMYFUNCTION("""COMPUTED_VALUE"""),0.5)</f>
        <v>0.5</v>
      </c>
      <c r="O6063" s="4" t="str">
        <f>IFERROR(__xludf.DUMMYFUNCTION("""COMPUTED_VALUE"""),"Saipos Serviços De Software")</f>
        <v>Saipos Serviços De Software</v>
      </c>
      <c r="P6063" s="33">
        <f>IFERROR(__xludf.DUMMYFUNCTION("""COMPUTED_VALUE"""),1.0)</f>
        <v>1</v>
      </c>
      <c r="Q6063" s="4" t="str">
        <f>IFERROR(__xludf.DUMMYFUNCTION("""COMPUTED_VALUE"""),"Saipos Serviços De Software")</f>
        <v>Saipos Serviços De Software</v>
      </c>
      <c r="R6063" s="33">
        <f>IFERROR(__xludf.DUMMYFUNCTION("""COMPUTED_VALUE"""),1.0)</f>
        <v>1</v>
      </c>
      <c r="S6063" s="4" t="str">
        <f>IFERROR(__xludf.DUMMYFUNCTION("""COMPUTED_VALUE"""),"Saipos Serviços De Software")</f>
        <v>Saipos Serviços De Software</v>
      </c>
      <c r="T6063" s="33">
        <f>IFERROR(__xludf.DUMMYFUNCTION("""COMPUTED_VALUE"""),1.0)</f>
        <v>1</v>
      </c>
      <c r="U6063" s="4" t="str">
        <f>IFERROR(__xludf.DUMMYFUNCTION("""COMPUTED_VALUE"""),"Saipos Serviços De Software")</f>
        <v>Saipos Serviços De Software</v>
      </c>
      <c r="V6063" s="33">
        <f>IFERROR(__xludf.DUMMYFUNCTION("""COMPUTED_VALUE"""),1.0)</f>
        <v>1</v>
      </c>
      <c r="W6063" s="4" t="str">
        <f>IFERROR(__xludf.DUMMYFUNCTION("""COMPUTED_VALUE"""),"Saipos Serviços De Software")</f>
        <v>Saipos Serviços De Software</v>
      </c>
      <c r="X6063" s="33">
        <f>IFERROR(__xludf.DUMMYFUNCTION("""COMPUTED_VALUE"""),1.0)</f>
        <v>1</v>
      </c>
    </row>
    <row r="6064">
      <c r="K6064" s="4" t="str">
        <f>IFERROR(__xludf.DUMMYFUNCTION("""COMPUTED_VALUE"""),"O")</f>
        <v>O</v>
      </c>
      <c r="L6064" s="32">
        <f>IFERROR(__xludf.DUMMYFUNCTION("""COMPUTED_VALUE"""),2.0)</f>
        <v>2</v>
      </c>
      <c r="M6064" s="4" t="str">
        <f>IFERROR(__xludf.DUMMYFUNCTION("""COMPUTED_VALUE"""),"null")</f>
        <v>null</v>
      </c>
      <c r="N6064" s="33">
        <f>IFERROR(__xludf.DUMMYFUNCTION("""COMPUTED_VALUE"""),0.5)</f>
        <v>0.5</v>
      </c>
      <c r="O6064" s="4" t="str">
        <f>IFERROR(__xludf.DUMMYFUNCTION("""COMPUTED_VALUE"""),"null")</f>
        <v>null</v>
      </c>
      <c r="P6064" s="33">
        <f>IFERROR(__xludf.DUMMYFUNCTION("""COMPUTED_VALUE"""),1.0)</f>
        <v>1</v>
      </c>
      <c r="Q6064" s="4" t="str">
        <f>IFERROR(__xludf.DUMMYFUNCTION("""COMPUTED_VALUE"""),"null")</f>
        <v>null</v>
      </c>
      <c r="R6064" s="33">
        <f>IFERROR(__xludf.DUMMYFUNCTION("""COMPUTED_VALUE"""),1.0)</f>
        <v>1</v>
      </c>
      <c r="S6064" s="4" t="str">
        <f>IFERROR(__xludf.DUMMYFUNCTION("""COMPUTED_VALUE"""),"null")</f>
        <v>null</v>
      </c>
      <c r="T6064" s="33">
        <f>IFERROR(__xludf.DUMMYFUNCTION("""COMPUTED_VALUE"""),1.0)</f>
        <v>1</v>
      </c>
      <c r="U6064" s="4" t="str">
        <f>IFERROR(__xludf.DUMMYFUNCTION("""COMPUTED_VALUE"""),"null")</f>
        <v>null</v>
      </c>
      <c r="V6064" s="33">
        <f>IFERROR(__xludf.DUMMYFUNCTION("""COMPUTED_VALUE"""),1.0)</f>
        <v>1</v>
      </c>
      <c r="W6064" s="4" t="str">
        <f>IFERROR(__xludf.DUMMYFUNCTION("""COMPUTED_VALUE"""),"Hubster")</f>
        <v>Hubster</v>
      </c>
      <c r="X6064" s="33">
        <f>IFERROR(__xludf.DUMMYFUNCTION("""COMPUTED_VALUE"""),0.5)</f>
        <v>0.5</v>
      </c>
    </row>
    <row r="6065">
      <c r="K6065" s="4" t="str">
        <f>IFERROR(__xludf.DUMMYFUNCTION("""COMPUTED_VALUE"""),"DIMAS BURGUER")</f>
        <v>DIMAS BURGUER</v>
      </c>
      <c r="L6065" s="32">
        <f>IFERROR(__xludf.DUMMYFUNCTION("""COMPUTED_VALUE"""),2.0)</f>
        <v>2</v>
      </c>
      <c r="M6065" s="4" t="str">
        <f>IFERROR(__xludf.DUMMYFUNCTION("""COMPUTED_VALUE"""),"Instadelivery")</f>
        <v>Instadelivery</v>
      </c>
      <c r="N6065" s="33">
        <f>IFERROR(__xludf.DUMMYFUNCTION("""COMPUTED_VALUE"""),0.5)</f>
        <v>0.5</v>
      </c>
      <c r="O6065" s="4" t="str">
        <f>IFERROR(__xludf.DUMMYFUNCTION("""COMPUTED_VALUE"""),"Instadelivery")</f>
        <v>Instadelivery</v>
      </c>
      <c r="P6065" s="33">
        <f>IFERROR(__xludf.DUMMYFUNCTION("""COMPUTED_VALUE"""),0.5)</f>
        <v>0.5</v>
      </c>
      <c r="Q6065" s="4" t="str">
        <f>IFERROR(__xludf.DUMMYFUNCTION("""COMPUTED_VALUE"""),"Instadelivery")</f>
        <v>Instadelivery</v>
      </c>
      <c r="R6065" s="33">
        <f>IFERROR(__xludf.DUMMYFUNCTION("""COMPUTED_VALUE"""),0.5)</f>
        <v>0.5</v>
      </c>
      <c r="S6065" s="4" t="str">
        <f>IFERROR(__xludf.DUMMYFUNCTION("""COMPUTED_VALUE"""),"Instadelivery")</f>
        <v>Instadelivery</v>
      </c>
      <c r="T6065" s="33">
        <f>IFERROR(__xludf.DUMMYFUNCTION("""COMPUTED_VALUE"""),0.5)</f>
        <v>0.5</v>
      </c>
      <c r="U6065" s="4" t="str">
        <f>IFERROR(__xludf.DUMMYFUNCTION("""COMPUTED_VALUE"""),"Instadelivery")</f>
        <v>Instadelivery</v>
      </c>
      <c r="V6065" s="33">
        <f>IFERROR(__xludf.DUMMYFUNCTION("""COMPUTED_VALUE"""),0.5)</f>
        <v>0.5</v>
      </c>
      <c r="W6065" s="4" t="str">
        <f>IFERROR(__xludf.DUMMYFUNCTION("""COMPUTED_VALUE"""),"Instadelivery")</f>
        <v>Instadelivery</v>
      </c>
      <c r="X6065" s="33">
        <f>IFERROR(__xludf.DUMMYFUNCTION("""COMPUTED_VALUE"""),0.5)</f>
        <v>0.5</v>
      </c>
    </row>
    <row r="6066">
      <c r="K6066" s="4" t="str">
        <f>IFERROR(__xludf.DUMMYFUNCTION("""COMPUTED_VALUE"""),"HAMBURGUER ZN")</f>
        <v>HAMBURGUER ZN</v>
      </c>
      <c r="L6066" s="32">
        <f>IFERROR(__xludf.DUMMYFUNCTION("""COMPUTED_VALUE"""),2.0)</f>
        <v>2</v>
      </c>
      <c r="M6066" s="4" t="str">
        <f>IFERROR(__xludf.DUMMYFUNCTION("""COMPUTED_VALUE"""),"Saipos Serviços De Software")</f>
        <v>Saipos Serviços De Software</v>
      </c>
      <c r="N6066" s="33">
        <f>IFERROR(__xludf.DUMMYFUNCTION("""COMPUTED_VALUE"""),0.5)</f>
        <v>0.5</v>
      </c>
      <c r="O6066" s="4" t="str">
        <f>IFERROR(__xludf.DUMMYFUNCTION("""COMPUTED_VALUE"""),"Saipos Serviços De Software")</f>
        <v>Saipos Serviços De Software</v>
      </c>
      <c r="P6066" s="33">
        <f>IFERROR(__xludf.DUMMYFUNCTION("""COMPUTED_VALUE"""),0.5)</f>
        <v>0.5</v>
      </c>
      <c r="Q6066" s="4" t="str">
        <f>IFERROR(__xludf.DUMMYFUNCTION("""COMPUTED_VALUE"""),"Saipos Serviços De Software")</f>
        <v>Saipos Serviços De Software</v>
      </c>
      <c r="R6066" s="33">
        <f>IFERROR(__xludf.DUMMYFUNCTION("""COMPUTED_VALUE"""),0.5)</f>
        <v>0.5</v>
      </c>
      <c r="S6066" s="4" t="str">
        <f>IFERROR(__xludf.DUMMYFUNCTION("""COMPUTED_VALUE"""),"Saipos Serviços De Software")</f>
        <v>Saipos Serviços De Software</v>
      </c>
      <c r="T6066" s="33">
        <f>IFERROR(__xludf.DUMMYFUNCTION("""COMPUTED_VALUE"""),0.5)</f>
        <v>0.5</v>
      </c>
      <c r="U6066" s="4" t="str">
        <f>IFERROR(__xludf.DUMMYFUNCTION("""COMPUTED_VALUE"""),"Saipos Serviços De Software")</f>
        <v>Saipos Serviços De Software</v>
      </c>
      <c r="V6066" s="33">
        <f>IFERROR(__xludf.DUMMYFUNCTION("""COMPUTED_VALUE"""),0.5)</f>
        <v>0.5</v>
      </c>
      <c r="W6066" s="4" t="str">
        <f>IFERROR(__xludf.DUMMYFUNCTION("""COMPUTED_VALUE"""),"null")</f>
        <v>null</v>
      </c>
      <c r="X6066" s="33">
        <f>IFERROR(__xludf.DUMMYFUNCTION("""COMPUTED_VALUE"""),1.0)</f>
        <v>1</v>
      </c>
    </row>
    <row r="6067">
      <c r="K6067" s="4" t="str">
        <f>IFERROR(__xludf.DUMMYFUNCTION("""COMPUTED_VALUE"""),"WE PUDIM - O MELHOR PUDIM DA VIDA")</f>
        <v>WE PUDIM - O MELHOR PUDIM DA VIDA</v>
      </c>
      <c r="L6067" s="32">
        <f>IFERROR(__xludf.DUMMYFUNCTION("""COMPUTED_VALUE"""),2.0)</f>
        <v>2</v>
      </c>
      <c r="M6067" s="4" t="str">
        <f>IFERROR(__xludf.DUMMYFUNCTION("""COMPUTED_VALUE"""),"Anota Ai Solucoes Digitais S/a")</f>
        <v>Anota Ai Solucoes Digitais S/a</v>
      </c>
      <c r="N6067" s="33">
        <f>IFERROR(__xludf.DUMMYFUNCTION("""COMPUTED_VALUE"""),1.0)</f>
        <v>1</v>
      </c>
      <c r="O6067" s="4" t="str">
        <f>IFERROR(__xludf.DUMMYFUNCTION("""COMPUTED_VALUE"""),"Anota Ai Solucoes Digitais S/a")</f>
        <v>Anota Ai Solucoes Digitais S/a</v>
      </c>
      <c r="P6067" s="33">
        <f>IFERROR(__xludf.DUMMYFUNCTION("""COMPUTED_VALUE"""),1.0)</f>
        <v>1</v>
      </c>
      <c r="Q6067" s="4" t="str">
        <f>IFERROR(__xludf.DUMMYFUNCTION("""COMPUTED_VALUE"""),"Anota Ai Solucoes Digitais S/a")</f>
        <v>Anota Ai Solucoes Digitais S/a</v>
      </c>
      <c r="R6067" s="33">
        <f>IFERROR(__xludf.DUMMYFUNCTION("""COMPUTED_VALUE"""),1.0)</f>
        <v>1</v>
      </c>
      <c r="S6067" s="4" t="str">
        <f>IFERROR(__xludf.DUMMYFUNCTION("""COMPUTED_VALUE"""),"Anota Ai Solucoes Digitais S/a")</f>
        <v>Anota Ai Solucoes Digitais S/a</v>
      </c>
      <c r="T6067" s="33">
        <f>IFERROR(__xludf.DUMMYFUNCTION("""COMPUTED_VALUE"""),1.0)</f>
        <v>1</v>
      </c>
      <c r="U6067" s="4" t="str">
        <f>IFERROR(__xludf.DUMMYFUNCTION("""COMPUTED_VALUE"""),"Anota Ai Solucoes Digitais S/a")</f>
        <v>Anota Ai Solucoes Digitais S/a</v>
      </c>
      <c r="V6067" s="33">
        <f>IFERROR(__xludf.DUMMYFUNCTION("""COMPUTED_VALUE"""),1.0)</f>
        <v>1</v>
      </c>
      <c r="W6067" s="4" t="str">
        <f>IFERROR(__xludf.DUMMYFUNCTION("""COMPUTED_VALUE"""),"Anota Ai Solucoes Digitais S/a")</f>
        <v>Anota Ai Solucoes Digitais S/a</v>
      </c>
      <c r="X6067" s="33">
        <f>IFERROR(__xludf.DUMMYFUNCTION("""COMPUTED_VALUE"""),1.0)</f>
        <v>1</v>
      </c>
    </row>
    <row r="6068">
      <c r="K6068" s="4" t="str">
        <f>IFERROR(__xludf.DUMMYFUNCTION("""COMPUTED_VALUE"""),"95 BURGUER")</f>
        <v>95 BURGUER</v>
      </c>
      <c r="L6068" s="32">
        <f>IFERROR(__xludf.DUMMYFUNCTION("""COMPUTED_VALUE"""),2.0)</f>
        <v>2</v>
      </c>
      <c r="M6068" s="4" t="str">
        <f>IFERROR(__xludf.DUMMYFUNCTION("""COMPUTED_VALUE"""),"Anota Ai Solucoes Digitais S/a")</f>
        <v>Anota Ai Solucoes Digitais S/a</v>
      </c>
      <c r="N6068" s="33">
        <f>IFERROR(__xludf.DUMMYFUNCTION("""COMPUTED_VALUE"""),0.5)</f>
        <v>0.5</v>
      </c>
      <c r="O6068" s="4" t="str">
        <f>IFERROR(__xludf.DUMMYFUNCTION("""COMPUTED_VALUE"""),"Anota Ai Solucoes Digitais S/a")</f>
        <v>Anota Ai Solucoes Digitais S/a</v>
      </c>
      <c r="P6068" s="33">
        <f>IFERROR(__xludf.DUMMYFUNCTION("""COMPUTED_VALUE"""),0.5)</f>
        <v>0.5</v>
      </c>
      <c r="Q6068" s="4" t="str">
        <f>IFERROR(__xludf.DUMMYFUNCTION("""COMPUTED_VALUE"""),"null")</f>
        <v>null</v>
      </c>
      <c r="R6068" s="33">
        <f>IFERROR(__xludf.DUMMYFUNCTION("""COMPUTED_VALUE"""),1.0)</f>
        <v>1</v>
      </c>
      <c r="S6068" s="4" t="str">
        <f>IFERROR(__xludf.DUMMYFUNCTION("""COMPUTED_VALUE"""),"Anota Ai Solucoes Digitais S/a")</f>
        <v>Anota Ai Solucoes Digitais S/a</v>
      </c>
      <c r="T6068" s="33">
        <f>IFERROR(__xludf.DUMMYFUNCTION("""COMPUTED_VALUE"""),0.5)</f>
        <v>0.5</v>
      </c>
      <c r="U6068" s="4" t="str">
        <f>IFERROR(__xludf.DUMMYFUNCTION("""COMPUTED_VALUE"""),"null")</f>
        <v>null</v>
      </c>
      <c r="V6068" s="33">
        <f>IFERROR(__xludf.DUMMYFUNCTION("""COMPUTED_VALUE"""),1.0)</f>
        <v>1</v>
      </c>
      <c r="W6068" s="4" t="str">
        <f>IFERROR(__xludf.DUMMYFUNCTION("""COMPUTED_VALUE"""),"null")</f>
        <v>null</v>
      </c>
      <c r="X6068" s="33">
        <f>IFERROR(__xludf.DUMMYFUNCTION("""COMPUTED_VALUE"""),0.5)</f>
        <v>0.5</v>
      </c>
    </row>
    <row r="6069">
      <c r="K6069" s="4" t="str">
        <f>IFERROR(__xludf.DUMMYFUNCTION("""COMPUTED_VALUE"""),"BOUTIQUE DO FRANGO")</f>
        <v>BOUTIQUE DO FRANGO</v>
      </c>
      <c r="L6069" s="32">
        <f>IFERROR(__xludf.DUMMYFUNCTION("""COMPUTED_VALUE"""),2.0)</f>
        <v>2</v>
      </c>
      <c r="M6069" s="4" t="str">
        <f>IFERROR(__xludf.DUMMYFUNCTION("""COMPUTED_VALUE"""),"Instadelivery")</f>
        <v>Instadelivery</v>
      </c>
      <c r="N6069" s="33">
        <f>IFERROR(__xludf.DUMMYFUNCTION("""COMPUTED_VALUE"""),0.5)</f>
        <v>0.5</v>
      </c>
      <c r="O6069" s="4" t="str">
        <f>IFERROR(__xludf.DUMMYFUNCTION("""COMPUTED_VALUE"""),"Instadelivery")</f>
        <v>Instadelivery</v>
      </c>
      <c r="P6069" s="33">
        <f>IFERROR(__xludf.DUMMYFUNCTION("""COMPUTED_VALUE"""),0.5)</f>
        <v>0.5</v>
      </c>
      <c r="Q6069" s="4" t="str">
        <f>IFERROR(__xludf.DUMMYFUNCTION("""COMPUTED_VALUE"""),"Instadelivery")</f>
        <v>Instadelivery</v>
      </c>
      <c r="R6069" s="33">
        <f>IFERROR(__xludf.DUMMYFUNCTION("""COMPUTED_VALUE"""),0.5)</f>
        <v>0.5</v>
      </c>
      <c r="S6069" s="4" t="str">
        <f>IFERROR(__xludf.DUMMYFUNCTION("""COMPUTED_VALUE"""),"Instadelivery")</f>
        <v>Instadelivery</v>
      </c>
      <c r="T6069" s="33">
        <f>IFERROR(__xludf.DUMMYFUNCTION("""COMPUTED_VALUE"""),0.5)</f>
        <v>0.5</v>
      </c>
      <c r="U6069" s="4" t="str">
        <f>IFERROR(__xludf.DUMMYFUNCTION("""COMPUTED_VALUE"""),"Instadelivery")</f>
        <v>Instadelivery</v>
      </c>
      <c r="V6069" s="33">
        <f>IFERROR(__xludf.DUMMYFUNCTION("""COMPUTED_VALUE"""),0.5)</f>
        <v>0.5</v>
      </c>
      <c r="W6069" s="4" t="str">
        <f>IFERROR(__xludf.DUMMYFUNCTION("""COMPUTED_VALUE"""),"Instadelivery")</f>
        <v>Instadelivery</v>
      </c>
      <c r="X6069" s="33">
        <f>IFERROR(__xludf.DUMMYFUNCTION("""COMPUTED_VALUE"""),0.5)</f>
        <v>0.5</v>
      </c>
    </row>
    <row r="6070">
      <c r="K6070" s="4" t="str">
        <f>IFERROR(__xludf.DUMMYFUNCTION("""COMPUTED_VALUE"""),"YELLOW ACAI E SORVETES")</f>
        <v>YELLOW ACAI E SORVETES</v>
      </c>
      <c r="L6070" s="32">
        <f>IFERROR(__xludf.DUMMYFUNCTION("""COMPUTED_VALUE"""),2.0)</f>
        <v>2</v>
      </c>
      <c r="M6070" s="4" t="str">
        <f>IFERROR(__xludf.DUMMYFUNCTION("""COMPUTED_VALUE"""),"Atena Tecnologia Da Informacao Ltda")</f>
        <v>Atena Tecnologia Da Informacao Ltda</v>
      </c>
      <c r="N6070" s="33">
        <f>IFERROR(__xludf.DUMMYFUNCTION("""COMPUTED_VALUE"""),1.0)</f>
        <v>1</v>
      </c>
      <c r="O6070" s="4" t="str">
        <f>IFERROR(__xludf.DUMMYFUNCTION("""COMPUTED_VALUE"""),"null")</f>
        <v>null</v>
      </c>
      <c r="P6070" s="33">
        <f>IFERROR(__xludf.DUMMYFUNCTION("""COMPUTED_VALUE"""),0.5)</f>
        <v>0.5</v>
      </c>
      <c r="Q6070" s="4" t="str">
        <f>IFERROR(__xludf.DUMMYFUNCTION("""COMPUTED_VALUE"""),"null")</f>
        <v>null</v>
      </c>
      <c r="R6070" s="33">
        <f>IFERROR(__xludf.DUMMYFUNCTION("""COMPUTED_VALUE"""),1.0)</f>
        <v>1</v>
      </c>
      <c r="S6070" s="4" t="str">
        <f>IFERROR(__xludf.DUMMYFUNCTION("""COMPUTED_VALUE"""),"null")</f>
        <v>null</v>
      </c>
      <c r="T6070" s="33">
        <f>IFERROR(__xludf.DUMMYFUNCTION("""COMPUTED_VALUE"""),1.0)</f>
        <v>1</v>
      </c>
      <c r="U6070" s="4" t="str">
        <f>IFERROR(__xludf.DUMMYFUNCTION("""COMPUTED_VALUE"""),"null")</f>
        <v>null</v>
      </c>
      <c r="V6070" s="33">
        <f>IFERROR(__xludf.DUMMYFUNCTION("""COMPUTED_VALUE"""),1.0)</f>
        <v>1</v>
      </c>
      <c r="W6070" s="4" t="str">
        <f>IFERROR(__xludf.DUMMYFUNCTION("""COMPUTED_VALUE"""),"null")</f>
        <v>null</v>
      </c>
      <c r="X6070" s="33">
        <f>IFERROR(__xludf.DUMMYFUNCTION("""COMPUTED_VALUE"""),1.0)</f>
        <v>1</v>
      </c>
    </row>
    <row r="6071">
      <c r="K6071" s="4" t="str">
        <f>IFERROR(__xludf.DUMMYFUNCTION("""COMPUTED_VALUE"""),"PASTA ALHO - PAO DE ALHO RECHEADO")</f>
        <v>PASTA ALHO - PAO DE ALHO RECHEADO</v>
      </c>
      <c r="L6071" s="32">
        <f>IFERROR(__xludf.DUMMYFUNCTION("""COMPUTED_VALUE"""),2.0)</f>
        <v>2</v>
      </c>
      <c r="M6071" s="4" t="str">
        <f>IFERROR(__xludf.DUMMYFUNCTION("""COMPUTED_VALUE"""),"Anove Tecnologia")</f>
        <v>Anove Tecnologia</v>
      </c>
      <c r="N6071" s="33">
        <f>IFERROR(__xludf.DUMMYFUNCTION("""COMPUTED_VALUE"""),0.5)</f>
        <v>0.5</v>
      </c>
      <c r="O6071" s="4" t="str">
        <f>IFERROR(__xludf.DUMMYFUNCTION("""COMPUTED_VALUE"""),"null")</f>
        <v>null</v>
      </c>
      <c r="P6071" s="33">
        <f>IFERROR(__xludf.DUMMYFUNCTION("""COMPUTED_VALUE"""),0.5)</f>
        <v>0.5</v>
      </c>
      <c r="Q6071" s="4" t="str">
        <f>IFERROR(__xludf.DUMMYFUNCTION("""COMPUTED_VALUE"""),"null")</f>
        <v>null</v>
      </c>
      <c r="R6071" s="33">
        <f>IFERROR(__xludf.DUMMYFUNCTION("""COMPUTED_VALUE"""),1.0)</f>
        <v>1</v>
      </c>
      <c r="S6071" s="4" t="str">
        <f>IFERROR(__xludf.DUMMYFUNCTION("""COMPUTED_VALUE"""),"null")</f>
        <v>null</v>
      </c>
      <c r="T6071" s="33">
        <f>IFERROR(__xludf.DUMMYFUNCTION("""COMPUTED_VALUE"""),0.5)</f>
        <v>0.5</v>
      </c>
      <c r="U6071" s="4" t="str">
        <f>IFERROR(__xludf.DUMMYFUNCTION("""COMPUTED_VALUE"""),"null")</f>
        <v>null</v>
      </c>
      <c r="V6071" s="33">
        <f>IFERROR(__xludf.DUMMYFUNCTION("""COMPUTED_VALUE"""),1.0)</f>
        <v>1</v>
      </c>
      <c r="W6071" s="4" t="str">
        <f>IFERROR(__xludf.DUMMYFUNCTION("""COMPUTED_VALUE"""),"null")</f>
        <v>null</v>
      </c>
      <c r="X6071" s="33">
        <f>IFERROR(__xludf.DUMMYFUNCTION("""COMPUTED_VALUE"""),0.5)</f>
        <v>0.5</v>
      </c>
    </row>
    <row r="6072">
      <c r="K6072" s="4" t="str">
        <f>IFERROR(__xludf.DUMMYFUNCTION("""COMPUTED_VALUE"""),"SABOR ORIENTAL")</f>
        <v>SABOR ORIENTAL</v>
      </c>
      <c r="L6072" s="32">
        <f>IFERROR(__xludf.DUMMYFUNCTION("""COMPUTED_VALUE"""),2.0)</f>
        <v>2</v>
      </c>
      <c r="M6072" s="4" t="str">
        <f>IFERROR(__xludf.DUMMYFUNCTION("""COMPUTED_VALUE"""),"null")</f>
        <v>null</v>
      </c>
      <c r="N6072" s="33">
        <f>IFERROR(__xludf.DUMMYFUNCTION("""COMPUTED_VALUE"""),0.5)</f>
        <v>0.5</v>
      </c>
      <c r="O6072" s="4" t="str">
        <f>IFERROR(__xludf.DUMMYFUNCTION("""COMPUTED_VALUE"""),"Grandchef Desenvolvimento De Sistemas Ltda")</f>
        <v>Grandchef Desenvolvimento De Sistemas Ltda</v>
      </c>
      <c r="P6072" s="33">
        <f>IFERROR(__xludf.DUMMYFUNCTION("""COMPUTED_VALUE"""),0.5)</f>
        <v>0.5</v>
      </c>
      <c r="Q6072" s="4" t="str">
        <f>IFERROR(__xludf.DUMMYFUNCTION("""COMPUTED_VALUE"""),"null")</f>
        <v>null</v>
      </c>
      <c r="R6072" s="33">
        <f>IFERROR(__xludf.DUMMYFUNCTION("""COMPUTED_VALUE"""),0.5)</f>
        <v>0.5</v>
      </c>
      <c r="S6072" s="4" t="str">
        <f>IFERROR(__xludf.DUMMYFUNCTION("""COMPUTED_VALUE"""),"null")</f>
        <v>null</v>
      </c>
      <c r="T6072" s="33">
        <f>IFERROR(__xludf.DUMMYFUNCTION("""COMPUTED_VALUE"""),0.5)</f>
        <v>0.5</v>
      </c>
      <c r="U6072" s="4" t="str">
        <f>IFERROR(__xludf.DUMMYFUNCTION("""COMPUTED_VALUE"""),"null")</f>
        <v>null</v>
      </c>
      <c r="V6072" s="33">
        <f>IFERROR(__xludf.DUMMYFUNCTION("""COMPUTED_VALUE"""),0.5)</f>
        <v>0.5</v>
      </c>
      <c r="W6072" s="4" t="str">
        <f>IFERROR(__xludf.DUMMYFUNCTION("""COMPUTED_VALUE"""),"Grandchef Desenvolvimento De Sistemas Ltda")</f>
        <v>Grandchef Desenvolvimento De Sistemas Ltda</v>
      </c>
      <c r="X6072" s="33">
        <f>IFERROR(__xludf.DUMMYFUNCTION("""COMPUTED_VALUE"""),0.5)</f>
        <v>0.5</v>
      </c>
    </row>
    <row r="6073">
      <c r="K6073" s="4" t="str">
        <f>IFERROR(__xludf.DUMMYFUNCTION("""COMPUTED_VALUE"""),"ACAI DA LUA")</f>
        <v>ACAI DA LUA</v>
      </c>
      <c r="L6073" s="32">
        <f>IFERROR(__xludf.DUMMYFUNCTION("""COMPUTED_VALUE"""),2.0)</f>
        <v>2</v>
      </c>
      <c r="M6073" s="4" t="str">
        <f>IFERROR(__xludf.DUMMYFUNCTION("""COMPUTED_VALUE"""),"Wls Solucoes Empresariais Ltda")</f>
        <v>Wls Solucoes Empresariais Ltda</v>
      </c>
      <c r="N6073" s="33">
        <f>IFERROR(__xludf.DUMMYFUNCTION("""COMPUTED_VALUE"""),0.5)</f>
        <v>0.5</v>
      </c>
      <c r="O6073" s="4" t="str">
        <f>IFERROR(__xludf.DUMMYFUNCTION("""COMPUTED_VALUE"""),"Wls Solucoes Empresariais Ltda")</f>
        <v>Wls Solucoes Empresariais Ltda</v>
      </c>
      <c r="P6073" s="33">
        <f>IFERROR(__xludf.DUMMYFUNCTION("""COMPUTED_VALUE"""),0.5)</f>
        <v>0.5</v>
      </c>
      <c r="Q6073" s="4" t="str">
        <f>IFERROR(__xludf.DUMMYFUNCTION("""COMPUTED_VALUE"""),"null")</f>
        <v>null</v>
      </c>
      <c r="R6073" s="33">
        <f>IFERROR(__xludf.DUMMYFUNCTION("""COMPUTED_VALUE"""),1.0)</f>
        <v>1</v>
      </c>
      <c r="S6073" s="4" t="str">
        <f>IFERROR(__xludf.DUMMYFUNCTION("""COMPUTED_VALUE"""),"null")</f>
        <v>null</v>
      </c>
      <c r="T6073" s="33">
        <f>IFERROR(__xludf.DUMMYFUNCTION("""COMPUTED_VALUE"""),1.0)</f>
        <v>1</v>
      </c>
      <c r="U6073" s="4" t="str">
        <f>IFERROR(__xludf.DUMMYFUNCTION("""COMPUTED_VALUE"""),"null")</f>
        <v>null</v>
      </c>
      <c r="V6073" s="33">
        <f>IFERROR(__xludf.DUMMYFUNCTION("""COMPUTED_VALUE"""),1.0)</f>
        <v>1</v>
      </c>
      <c r="W6073" s="4" t="str">
        <f>IFERROR(__xludf.DUMMYFUNCTION("""COMPUTED_VALUE"""),"null")</f>
        <v>null</v>
      </c>
      <c r="X6073" s="33">
        <f>IFERROR(__xludf.DUMMYFUNCTION("""COMPUTED_VALUE"""),0.5)</f>
        <v>0.5</v>
      </c>
    </row>
    <row r="6074">
      <c r="K6074" s="4" t="str">
        <f>IFERROR(__xludf.DUMMYFUNCTION("""COMPUTED_VALUE"""),"DOM PABLO PIZZARIA")</f>
        <v>DOM PABLO PIZZARIA</v>
      </c>
      <c r="L6074" s="32">
        <f>IFERROR(__xludf.DUMMYFUNCTION("""COMPUTED_VALUE"""),2.0)</f>
        <v>2</v>
      </c>
      <c r="M6074" s="4" t="str">
        <f>IFERROR(__xludf.DUMMYFUNCTION("""COMPUTED_VALUE"""),"null")</f>
        <v>null</v>
      </c>
      <c r="N6074" s="33">
        <f>IFERROR(__xludf.DUMMYFUNCTION("""COMPUTED_VALUE"""),1.0)</f>
        <v>1</v>
      </c>
      <c r="O6074" s="4" t="str">
        <f>IFERROR(__xludf.DUMMYFUNCTION("""COMPUTED_VALUE"""),"Saipos Serviços De Software")</f>
        <v>Saipos Serviços De Software</v>
      </c>
      <c r="P6074" s="33">
        <f>IFERROR(__xludf.DUMMYFUNCTION("""COMPUTED_VALUE"""),1.0)</f>
        <v>1</v>
      </c>
      <c r="Q6074" s="4" t="str">
        <f>IFERROR(__xludf.DUMMYFUNCTION("""COMPUTED_VALUE"""),"null")</f>
        <v>null</v>
      </c>
      <c r="R6074" s="33">
        <f>IFERROR(__xludf.DUMMYFUNCTION("""COMPUTED_VALUE"""),0.5)</f>
        <v>0.5</v>
      </c>
      <c r="S6074" s="4" t="str">
        <f>IFERROR(__xludf.DUMMYFUNCTION("""COMPUTED_VALUE"""),"null")</f>
        <v>null</v>
      </c>
      <c r="T6074" s="33">
        <f>IFERROR(__xludf.DUMMYFUNCTION("""COMPUTED_VALUE"""),1.0)</f>
        <v>1</v>
      </c>
      <c r="U6074" s="4" t="str">
        <f>IFERROR(__xludf.DUMMYFUNCTION("""COMPUTED_VALUE"""),"null")</f>
        <v>null</v>
      </c>
      <c r="V6074" s="33">
        <f>IFERROR(__xludf.DUMMYFUNCTION("""COMPUTED_VALUE"""),1.0)</f>
        <v>1</v>
      </c>
      <c r="W6074" s="4" t="str">
        <f>IFERROR(__xludf.DUMMYFUNCTION("""COMPUTED_VALUE"""),"null")</f>
        <v>null</v>
      </c>
      <c r="X6074" s="33">
        <f>IFERROR(__xludf.DUMMYFUNCTION("""COMPUTED_VALUE"""),1.0)</f>
        <v>1</v>
      </c>
    </row>
    <row r="6075">
      <c r="K6075" s="4" t="str">
        <f>IFERROR(__xludf.DUMMYFUNCTION("""COMPUTED_VALUE"""),"BUONISSIMA PIZZA E CALZONES")</f>
        <v>BUONISSIMA PIZZA E CALZONES</v>
      </c>
      <c r="L6075" s="32">
        <f>IFERROR(__xludf.DUMMYFUNCTION("""COMPUTED_VALUE"""),2.0)</f>
        <v>2</v>
      </c>
      <c r="M6075" s="4" t="str">
        <f>IFERROR(__xludf.DUMMYFUNCTION("""COMPUTED_VALUE"""),"Bitbar")</f>
        <v>Bitbar</v>
      </c>
      <c r="N6075" s="33">
        <f>IFERROR(__xludf.DUMMYFUNCTION("""COMPUTED_VALUE"""),1.0)</f>
        <v>1</v>
      </c>
      <c r="O6075" s="4" t="str">
        <f>IFERROR(__xludf.DUMMYFUNCTION("""COMPUTED_VALUE"""),"Bitbar")</f>
        <v>Bitbar</v>
      </c>
      <c r="P6075" s="33">
        <f>IFERROR(__xludf.DUMMYFUNCTION("""COMPUTED_VALUE"""),0.5)</f>
        <v>0.5</v>
      </c>
      <c r="Q6075" s="4" t="str">
        <f>IFERROR(__xludf.DUMMYFUNCTION("""COMPUTED_VALUE"""),"Bitbar")</f>
        <v>Bitbar</v>
      </c>
      <c r="R6075" s="33">
        <f>IFERROR(__xludf.DUMMYFUNCTION("""COMPUTED_VALUE"""),1.0)</f>
        <v>1</v>
      </c>
      <c r="S6075" s="4" t="str">
        <f>IFERROR(__xludf.DUMMYFUNCTION("""COMPUTED_VALUE"""),"Bitbar")</f>
        <v>Bitbar</v>
      </c>
      <c r="T6075" s="33">
        <f>IFERROR(__xludf.DUMMYFUNCTION("""COMPUTED_VALUE"""),0.5)</f>
        <v>0.5</v>
      </c>
      <c r="U6075" s="4" t="str">
        <f>IFERROR(__xludf.DUMMYFUNCTION("""COMPUTED_VALUE"""),"Bitbar")</f>
        <v>Bitbar</v>
      </c>
      <c r="V6075" s="33">
        <f>IFERROR(__xludf.DUMMYFUNCTION("""COMPUTED_VALUE"""),0.5)</f>
        <v>0.5</v>
      </c>
      <c r="W6075" s="4" t="str">
        <f>IFERROR(__xludf.DUMMYFUNCTION("""COMPUTED_VALUE"""),"Bitbar")</f>
        <v>Bitbar</v>
      </c>
      <c r="X6075" s="33">
        <f>IFERROR(__xludf.DUMMYFUNCTION("""COMPUTED_VALUE"""),0.5)</f>
        <v>0.5</v>
      </c>
    </row>
    <row r="6076">
      <c r="K6076" s="4" t="str">
        <f>IFERROR(__xludf.DUMMYFUNCTION("""COMPUTED_VALUE"""),"CENTRAL DA COXINHA")</f>
        <v>CENTRAL DA COXINHA</v>
      </c>
      <c r="L6076" s="32">
        <f>IFERROR(__xludf.DUMMYFUNCTION("""COMPUTED_VALUE"""),2.0)</f>
        <v>2</v>
      </c>
      <c r="M6076" s="4" t="str">
        <f>IFERROR(__xludf.DUMMYFUNCTION("""COMPUTED_VALUE"""),"Grandchef Desenvolvimento De Sistemas Ltda")</f>
        <v>Grandchef Desenvolvimento De Sistemas Ltda</v>
      </c>
      <c r="N6076" s="33">
        <f>IFERROR(__xludf.DUMMYFUNCTION("""COMPUTED_VALUE"""),0.5)</f>
        <v>0.5</v>
      </c>
      <c r="O6076" s="4" t="str">
        <f>IFERROR(__xludf.DUMMYFUNCTION("""COMPUTED_VALUE"""),"null")</f>
        <v>null</v>
      </c>
      <c r="P6076" s="33">
        <f>IFERROR(__xludf.DUMMYFUNCTION("""COMPUTED_VALUE"""),0.5)</f>
        <v>0.5</v>
      </c>
      <c r="Q6076" s="4" t="str">
        <f>IFERROR(__xludf.DUMMYFUNCTION("""COMPUTED_VALUE"""),"Grandchef Desenvolvimento De Sistemas Ltda")</f>
        <v>Grandchef Desenvolvimento De Sistemas Ltda</v>
      </c>
      <c r="R6076" s="33">
        <f>IFERROR(__xludf.DUMMYFUNCTION("""COMPUTED_VALUE"""),1.0)</f>
        <v>1</v>
      </c>
      <c r="S6076" s="4" t="str">
        <f>IFERROR(__xludf.DUMMYFUNCTION("""COMPUTED_VALUE"""),"Grandchef Desenvolvimento De Sistemas Ltda")</f>
        <v>Grandchef Desenvolvimento De Sistemas Ltda</v>
      </c>
      <c r="T6076" s="33">
        <f>IFERROR(__xludf.DUMMYFUNCTION("""COMPUTED_VALUE"""),1.0)</f>
        <v>1</v>
      </c>
      <c r="U6076" s="4" t="str">
        <f>IFERROR(__xludf.DUMMYFUNCTION("""COMPUTED_VALUE"""),"Grandchef Desenvolvimento De Sistemas Ltda")</f>
        <v>Grandchef Desenvolvimento De Sistemas Ltda</v>
      </c>
      <c r="V6076" s="33">
        <f>IFERROR(__xludf.DUMMYFUNCTION("""COMPUTED_VALUE"""),0.5)</f>
        <v>0.5</v>
      </c>
      <c r="W6076" s="4" t="str">
        <f>IFERROR(__xludf.DUMMYFUNCTION("""COMPUTED_VALUE"""),"Grandchef Desenvolvimento De Sistemas Ltda")</f>
        <v>Grandchef Desenvolvimento De Sistemas Ltda</v>
      </c>
      <c r="X6076" s="33">
        <f>IFERROR(__xludf.DUMMYFUNCTION("""COMPUTED_VALUE"""),0.5)</f>
        <v>0.5</v>
      </c>
    </row>
    <row r="6077">
      <c r="K6077" s="4" t="str">
        <f>IFERROR(__xludf.DUMMYFUNCTION("""COMPUTED_VALUE"""),"MARUJOS PIZZARIA")</f>
        <v>MARUJOS PIZZARIA</v>
      </c>
      <c r="L6077" s="32">
        <f>IFERROR(__xludf.DUMMYFUNCTION("""COMPUTED_VALUE"""),2.0)</f>
        <v>2</v>
      </c>
      <c r="M6077" s="4" t="str">
        <f>IFERROR(__xludf.DUMMYFUNCTION("""COMPUTED_VALUE"""),"Softcom Tecnologia")</f>
        <v>Softcom Tecnologia</v>
      </c>
      <c r="N6077" s="33">
        <f>IFERROR(__xludf.DUMMYFUNCTION("""COMPUTED_VALUE"""),0.5)</f>
        <v>0.5</v>
      </c>
      <c r="O6077" s="4" t="str">
        <f>IFERROR(__xludf.DUMMYFUNCTION("""COMPUTED_VALUE"""),"Softcom Tecnologia")</f>
        <v>Softcom Tecnologia</v>
      </c>
      <c r="P6077" s="33">
        <f>IFERROR(__xludf.DUMMYFUNCTION("""COMPUTED_VALUE"""),0.5)</f>
        <v>0.5</v>
      </c>
      <c r="Q6077" s="4" t="str">
        <f>IFERROR(__xludf.DUMMYFUNCTION("""COMPUTED_VALUE"""),"Softcom Tecnologia")</f>
        <v>Softcom Tecnologia</v>
      </c>
      <c r="R6077" s="33">
        <f>IFERROR(__xludf.DUMMYFUNCTION("""COMPUTED_VALUE"""),0.5)</f>
        <v>0.5</v>
      </c>
      <c r="S6077" s="4" t="str">
        <f>IFERROR(__xludf.DUMMYFUNCTION("""COMPUTED_VALUE"""),"Softcom Tecnologia")</f>
        <v>Softcom Tecnologia</v>
      </c>
      <c r="T6077" s="33">
        <f>IFERROR(__xludf.DUMMYFUNCTION("""COMPUTED_VALUE"""),0.5)</f>
        <v>0.5</v>
      </c>
      <c r="U6077" s="4" t="str">
        <f>IFERROR(__xludf.DUMMYFUNCTION("""COMPUTED_VALUE"""),"Softcom Tecnologia")</f>
        <v>Softcom Tecnologia</v>
      </c>
      <c r="V6077" s="33">
        <f>IFERROR(__xludf.DUMMYFUNCTION("""COMPUTED_VALUE"""),0.5)</f>
        <v>0.5</v>
      </c>
      <c r="W6077" s="4" t="str">
        <f>IFERROR(__xludf.DUMMYFUNCTION("""COMPUTED_VALUE"""),"Softcom Tecnologia")</f>
        <v>Softcom Tecnologia</v>
      </c>
      <c r="X6077" s="33">
        <f>IFERROR(__xludf.DUMMYFUNCTION("""COMPUTED_VALUE"""),0.5)</f>
        <v>0.5</v>
      </c>
    </row>
    <row r="6078">
      <c r="K6078" s="4" t="str">
        <f>IFERROR(__xludf.DUMMYFUNCTION("""COMPUTED_VALUE"""),"CHEF DAS MARMITAS")</f>
        <v>CHEF DAS MARMITAS</v>
      </c>
      <c r="L6078" s="32">
        <f>IFERROR(__xludf.DUMMYFUNCTION("""COMPUTED_VALUE"""),2.0)</f>
        <v>2</v>
      </c>
      <c r="M6078" s="4" t="str">
        <f>IFERROR(__xludf.DUMMYFUNCTION("""COMPUTED_VALUE"""),"Saipos Serviços De Software")</f>
        <v>Saipos Serviços De Software</v>
      </c>
      <c r="N6078" s="33">
        <f>IFERROR(__xludf.DUMMYFUNCTION("""COMPUTED_VALUE"""),0.5)</f>
        <v>0.5</v>
      </c>
      <c r="O6078" s="4" t="str">
        <f>IFERROR(__xludf.DUMMYFUNCTION("""COMPUTED_VALUE"""),"null")</f>
        <v>null</v>
      </c>
      <c r="P6078" s="33">
        <f>IFERROR(__xludf.DUMMYFUNCTION("""COMPUTED_VALUE"""),0.5)</f>
        <v>0.5</v>
      </c>
      <c r="Q6078" s="4" t="str">
        <f>IFERROR(__xludf.DUMMYFUNCTION("""COMPUTED_VALUE"""),"null")</f>
        <v>null</v>
      </c>
      <c r="R6078" s="33">
        <f>IFERROR(__xludf.DUMMYFUNCTION("""COMPUTED_VALUE"""),0.5)</f>
        <v>0.5</v>
      </c>
      <c r="S6078" s="4" t="str">
        <f>IFERROR(__xludf.DUMMYFUNCTION("""COMPUTED_VALUE"""),"null")</f>
        <v>null</v>
      </c>
      <c r="T6078" s="33">
        <f>IFERROR(__xludf.DUMMYFUNCTION("""COMPUTED_VALUE"""),0.5)</f>
        <v>0.5</v>
      </c>
      <c r="U6078" s="4" t="str">
        <f>IFERROR(__xludf.DUMMYFUNCTION("""COMPUTED_VALUE"""),"null")</f>
        <v>null</v>
      </c>
      <c r="V6078" s="33">
        <f>IFERROR(__xludf.DUMMYFUNCTION("""COMPUTED_VALUE"""),0.5)</f>
        <v>0.5</v>
      </c>
      <c r="W6078" s="4" t="str">
        <f>IFERROR(__xludf.DUMMYFUNCTION("""COMPUTED_VALUE"""),"null")</f>
        <v>null</v>
      </c>
      <c r="X6078" s="33">
        <f>IFERROR(__xludf.DUMMYFUNCTION("""COMPUTED_VALUE"""),0.5)</f>
        <v>0.5</v>
      </c>
    </row>
    <row r="6079">
      <c r="K6079" s="4" t="str">
        <f>IFERROR(__xludf.DUMMYFUNCTION("""COMPUTED_VALUE"""),"REI BURGUER")</f>
        <v>REI BURGUER</v>
      </c>
      <c r="L6079" s="32">
        <f>IFERROR(__xludf.DUMMYFUNCTION("""COMPUTED_VALUE"""),2.0)</f>
        <v>2</v>
      </c>
      <c r="M6079" s="4" t="str">
        <f>IFERROR(__xludf.DUMMYFUNCTION("""COMPUTED_VALUE"""),"null")</f>
        <v>null</v>
      </c>
      <c r="N6079" s="33">
        <f>IFERROR(__xludf.DUMMYFUNCTION("""COMPUTED_VALUE"""),0.5)</f>
        <v>0.5</v>
      </c>
      <c r="O6079" s="4" t="str">
        <f>IFERROR(__xludf.DUMMYFUNCTION("""COMPUTED_VALUE"""),"null")</f>
        <v>null</v>
      </c>
      <c r="P6079" s="33">
        <f>IFERROR(__xludf.DUMMYFUNCTION("""COMPUTED_VALUE"""),0.5)</f>
        <v>0.5</v>
      </c>
      <c r="Q6079" s="4" t="str">
        <f>IFERROR(__xludf.DUMMYFUNCTION("""COMPUTED_VALUE"""),"null")</f>
        <v>null</v>
      </c>
      <c r="R6079" s="33">
        <f>IFERROR(__xludf.DUMMYFUNCTION("""COMPUTED_VALUE"""),0.5)</f>
        <v>0.5</v>
      </c>
      <c r="S6079" s="4" t="str">
        <f>IFERROR(__xludf.DUMMYFUNCTION("""COMPUTED_VALUE"""),"null")</f>
        <v>null</v>
      </c>
      <c r="T6079" s="33">
        <f>IFERROR(__xludf.DUMMYFUNCTION("""COMPUTED_VALUE"""),0.5)</f>
        <v>0.5</v>
      </c>
      <c r="U6079" s="4" t="str">
        <f>IFERROR(__xludf.DUMMYFUNCTION("""COMPUTED_VALUE"""),"Saipos Serviços De Software")</f>
        <v>Saipos Serviços De Software</v>
      </c>
      <c r="V6079" s="33">
        <f>IFERROR(__xludf.DUMMYFUNCTION("""COMPUTED_VALUE"""),0.5)</f>
        <v>0.5</v>
      </c>
      <c r="W6079" s="4" t="str">
        <f>IFERROR(__xludf.DUMMYFUNCTION("""COMPUTED_VALUE"""),"null")</f>
        <v>null</v>
      </c>
      <c r="X6079" s="33">
        <f>IFERROR(__xludf.DUMMYFUNCTION("""COMPUTED_VALUE"""),0.5)</f>
        <v>0.5</v>
      </c>
    </row>
    <row r="6080">
      <c r="K6080" s="4" t="str">
        <f>IFERROR(__xludf.DUMMYFUNCTION("""COMPUTED_VALUE"""),"TOURO BURGER")</f>
        <v>TOURO BURGER</v>
      </c>
      <c r="L6080" s="32">
        <f>IFERROR(__xludf.DUMMYFUNCTION("""COMPUTED_VALUE"""),2.0)</f>
        <v>2</v>
      </c>
      <c r="M6080" s="4" t="str">
        <f>IFERROR(__xludf.DUMMYFUNCTION("""COMPUTED_VALUE"""),"Saipos Serviços De Software")</f>
        <v>Saipos Serviços De Software</v>
      </c>
      <c r="N6080" s="33">
        <f>IFERROR(__xludf.DUMMYFUNCTION("""COMPUTED_VALUE"""),1.0)</f>
        <v>1</v>
      </c>
      <c r="O6080" s="4" t="str">
        <f>IFERROR(__xludf.DUMMYFUNCTION("""COMPUTED_VALUE"""),"Saipos Serviços De Software")</f>
        <v>Saipos Serviços De Software</v>
      </c>
      <c r="P6080" s="33">
        <f>IFERROR(__xludf.DUMMYFUNCTION("""COMPUTED_VALUE"""),1.0)</f>
        <v>1</v>
      </c>
      <c r="Q6080" s="4" t="str">
        <f>IFERROR(__xludf.DUMMYFUNCTION("""COMPUTED_VALUE"""),"Saipos Serviços De Software")</f>
        <v>Saipos Serviços De Software</v>
      </c>
      <c r="R6080" s="33">
        <f>IFERROR(__xludf.DUMMYFUNCTION("""COMPUTED_VALUE"""),1.0)</f>
        <v>1</v>
      </c>
      <c r="S6080" s="4" t="str">
        <f>IFERROR(__xludf.DUMMYFUNCTION("""COMPUTED_VALUE"""),"Saipos Serviços De Software")</f>
        <v>Saipos Serviços De Software</v>
      </c>
      <c r="T6080" s="33">
        <f>IFERROR(__xludf.DUMMYFUNCTION("""COMPUTED_VALUE"""),1.0)</f>
        <v>1</v>
      </c>
      <c r="U6080" s="4" t="str">
        <f>IFERROR(__xludf.DUMMYFUNCTION("""COMPUTED_VALUE"""),"Saipos Serviços De Software")</f>
        <v>Saipos Serviços De Software</v>
      </c>
      <c r="V6080" s="33">
        <f>IFERROR(__xludf.DUMMYFUNCTION("""COMPUTED_VALUE"""),1.0)</f>
        <v>1</v>
      </c>
      <c r="W6080" s="4" t="str">
        <f>IFERROR(__xludf.DUMMYFUNCTION("""COMPUTED_VALUE"""),"null")</f>
        <v>null</v>
      </c>
      <c r="X6080" s="33">
        <f>IFERROR(__xludf.DUMMYFUNCTION("""COMPUTED_VALUE"""),0.5)</f>
        <v>0.5</v>
      </c>
    </row>
    <row r="6081">
      <c r="K6081" s="4" t="str">
        <f>IFERROR(__xludf.DUMMYFUNCTION("""COMPUTED_VALUE"""),"VEM COM FOME LANCHES")</f>
        <v>VEM COM FOME LANCHES</v>
      </c>
      <c r="L6081" s="32">
        <f>IFERROR(__xludf.DUMMYFUNCTION("""COMPUTED_VALUE"""),2.0)</f>
        <v>2</v>
      </c>
      <c r="M6081" s="4" t="str">
        <f>IFERROR(__xludf.DUMMYFUNCTION("""COMPUTED_VALUE"""),"Menew - Linx")</f>
        <v>Menew - Linx</v>
      </c>
      <c r="N6081" s="33">
        <f>IFERROR(__xludf.DUMMYFUNCTION("""COMPUTED_VALUE"""),0.5)</f>
        <v>0.5</v>
      </c>
      <c r="O6081" s="4" t="str">
        <f>IFERROR(__xludf.DUMMYFUNCTION("""COMPUTED_VALUE"""),"Menew - Linx")</f>
        <v>Menew - Linx</v>
      </c>
      <c r="P6081" s="33">
        <f>IFERROR(__xludf.DUMMYFUNCTION("""COMPUTED_VALUE"""),0.5)</f>
        <v>0.5</v>
      </c>
      <c r="Q6081" s="4" t="str">
        <f>IFERROR(__xludf.DUMMYFUNCTION("""COMPUTED_VALUE"""),"Menew - Linx")</f>
        <v>Menew - Linx</v>
      </c>
      <c r="R6081" s="33">
        <f>IFERROR(__xludf.DUMMYFUNCTION("""COMPUTED_VALUE"""),0.5)</f>
        <v>0.5</v>
      </c>
      <c r="S6081" s="4" t="str">
        <f>IFERROR(__xludf.DUMMYFUNCTION("""COMPUTED_VALUE"""),"Menew - Linx")</f>
        <v>Menew - Linx</v>
      </c>
      <c r="T6081" s="33">
        <f>IFERROR(__xludf.DUMMYFUNCTION("""COMPUTED_VALUE"""),0.5)</f>
        <v>0.5</v>
      </c>
      <c r="U6081" s="4" t="str">
        <f>IFERROR(__xludf.DUMMYFUNCTION("""COMPUTED_VALUE"""),"Menew - Linx")</f>
        <v>Menew - Linx</v>
      </c>
      <c r="V6081" s="33">
        <f>IFERROR(__xludf.DUMMYFUNCTION("""COMPUTED_VALUE"""),0.5)</f>
        <v>0.5</v>
      </c>
      <c r="W6081" s="4" t="str">
        <f>IFERROR(__xludf.DUMMYFUNCTION("""COMPUTED_VALUE"""),"Menew - Linx")</f>
        <v>Menew - Linx</v>
      </c>
      <c r="X6081" s="33">
        <f>IFERROR(__xludf.DUMMYFUNCTION("""COMPUTED_VALUE"""),0.5)</f>
        <v>0.5</v>
      </c>
    </row>
    <row r="6082">
      <c r="K6082" s="4" t="str">
        <f>IFERROR(__xludf.DUMMYFUNCTION("""COMPUTED_VALUE"""),"MACEIO PIZZA BBG")</f>
        <v>MACEIO PIZZA BBG</v>
      </c>
      <c r="L6082" s="32">
        <f>IFERROR(__xludf.DUMMYFUNCTION("""COMPUTED_VALUE"""),2.0)</f>
        <v>2</v>
      </c>
      <c r="M6082" s="4" t="str">
        <f>IFERROR(__xludf.DUMMYFUNCTION("""COMPUTED_VALUE"""),"Cardápio Web")</f>
        <v>Cardápio Web</v>
      </c>
      <c r="N6082" s="33">
        <f>IFERROR(__xludf.DUMMYFUNCTION("""COMPUTED_VALUE"""),1.0)</f>
        <v>1</v>
      </c>
      <c r="O6082" s="4" t="str">
        <f>IFERROR(__xludf.DUMMYFUNCTION("""COMPUTED_VALUE"""),"Cardápio Web")</f>
        <v>Cardápio Web</v>
      </c>
      <c r="P6082" s="33">
        <f>IFERROR(__xludf.DUMMYFUNCTION("""COMPUTED_VALUE"""),1.0)</f>
        <v>1</v>
      </c>
      <c r="Q6082" s="4" t="str">
        <f>IFERROR(__xludf.DUMMYFUNCTION("""COMPUTED_VALUE"""),"Cardápio Web")</f>
        <v>Cardápio Web</v>
      </c>
      <c r="R6082" s="33">
        <f>IFERROR(__xludf.DUMMYFUNCTION("""COMPUTED_VALUE"""),1.0)</f>
        <v>1</v>
      </c>
      <c r="S6082" s="4" t="str">
        <f>IFERROR(__xludf.DUMMYFUNCTION("""COMPUTED_VALUE"""),"Cardápio Web")</f>
        <v>Cardápio Web</v>
      </c>
      <c r="T6082" s="33">
        <f>IFERROR(__xludf.DUMMYFUNCTION("""COMPUTED_VALUE"""),1.0)</f>
        <v>1</v>
      </c>
      <c r="U6082" s="4" t="str">
        <f>IFERROR(__xludf.DUMMYFUNCTION("""COMPUTED_VALUE"""),"Cardápio Web")</f>
        <v>Cardápio Web</v>
      </c>
      <c r="V6082" s="33">
        <f>IFERROR(__xludf.DUMMYFUNCTION("""COMPUTED_VALUE"""),1.0)</f>
        <v>1</v>
      </c>
      <c r="W6082" s="4" t="str">
        <f>IFERROR(__xludf.DUMMYFUNCTION("""COMPUTED_VALUE"""),"Cardápio Web")</f>
        <v>Cardápio Web</v>
      </c>
      <c r="X6082" s="33">
        <f>IFERROR(__xludf.DUMMYFUNCTION("""COMPUTED_VALUE"""),1.0)</f>
        <v>1</v>
      </c>
    </row>
    <row r="6083">
      <c r="K6083" s="4" t="str">
        <f>IFERROR(__xludf.DUMMYFUNCTION("""COMPUTED_VALUE"""),"LANCHE DA FAMILIA")</f>
        <v>LANCHE DA FAMILIA</v>
      </c>
      <c r="L6083" s="32">
        <f>IFERROR(__xludf.DUMMYFUNCTION("""COMPUTED_VALUE"""),2.0)</f>
        <v>2</v>
      </c>
      <c r="M6083" s="4" t="str">
        <f>IFERROR(__xludf.DUMMYFUNCTION("""COMPUTED_VALUE"""),"Anota Ai Solucoes Digitais S/a")</f>
        <v>Anota Ai Solucoes Digitais S/a</v>
      </c>
      <c r="N6083" s="33">
        <f>IFERROR(__xludf.DUMMYFUNCTION("""COMPUTED_VALUE"""),0.5)</f>
        <v>0.5</v>
      </c>
      <c r="O6083" s="4" t="str">
        <f>IFERROR(__xludf.DUMMYFUNCTION("""COMPUTED_VALUE"""),"Anota Ai Solucoes Digitais S/a")</f>
        <v>Anota Ai Solucoes Digitais S/a</v>
      </c>
      <c r="P6083" s="33">
        <f>IFERROR(__xludf.DUMMYFUNCTION("""COMPUTED_VALUE"""),0.5)</f>
        <v>0.5</v>
      </c>
      <c r="Q6083" s="4" t="str">
        <f>IFERROR(__xludf.DUMMYFUNCTION("""COMPUTED_VALUE"""),"null")</f>
        <v>null</v>
      </c>
      <c r="R6083" s="33">
        <f>IFERROR(__xludf.DUMMYFUNCTION("""COMPUTED_VALUE"""),1.0)</f>
        <v>1</v>
      </c>
      <c r="S6083" s="4" t="str">
        <f>IFERROR(__xludf.DUMMYFUNCTION("""COMPUTED_VALUE"""),"null")</f>
        <v>null</v>
      </c>
      <c r="T6083" s="33">
        <f>IFERROR(__xludf.DUMMYFUNCTION("""COMPUTED_VALUE"""),1.0)</f>
        <v>1</v>
      </c>
      <c r="U6083" s="4" t="str">
        <f>IFERROR(__xludf.DUMMYFUNCTION("""COMPUTED_VALUE"""),"null")</f>
        <v>null</v>
      </c>
      <c r="V6083" s="33">
        <f>IFERROR(__xludf.DUMMYFUNCTION("""COMPUTED_VALUE"""),1.0)</f>
        <v>1</v>
      </c>
      <c r="W6083" s="4" t="str">
        <f>IFERROR(__xludf.DUMMYFUNCTION("""COMPUTED_VALUE"""),"null")</f>
        <v>null</v>
      </c>
      <c r="X6083" s="33">
        <f>IFERROR(__xludf.DUMMYFUNCTION("""COMPUTED_VALUE"""),1.0)</f>
        <v>1</v>
      </c>
    </row>
    <row r="6084">
      <c r="K6084" s="4" t="str">
        <f>IFERROR(__xludf.DUMMYFUNCTION("""COMPUTED_VALUE"""),"VILLA BURGUER")</f>
        <v>VILLA BURGUER</v>
      </c>
      <c r="L6084" s="32">
        <f>IFERROR(__xludf.DUMMYFUNCTION("""COMPUTED_VALUE"""),2.0)</f>
        <v>2</v>
      </c>
      <c r="M6084" s="4" t="str">
        <f>IFERROR(__xludf.DUMMYFUNCTION("""COMPUTED_VALUE"""),"Cardápio Web")</f>
        <v>Cardápio Web</v>
      </c>
      <c r="N6084" s="33">
        <f>IFERROR(__xludf.DUMMYFUNCTION("""COMPUTED_VALUE"""),0.5)</f>
        <v>0.5</v>
      </c>
      <c r="O6084" s="4" t="str">
        <f>IFERROR(__xludf.DUMMYFUNCTION("""COMPUTED_VALUE"""),"Cardápio Web")</f>
        <v>Cardápio Web</v>
      </c>
      <c r="P6084" s="33">
        <f>IFERROR(__xludf.DUMMYFUNCTION("""COMPUTED_VALUE"""),0.5)</f>
        <v>0.5</v>
      </c>
      <c r="Q6084" s="4" t="str">
        <f>IFERROR(__xludf.DUMMYFUNCTION("""COMPUTED_VALUE"""),"Cardápio Web")</f>
        <v>Cardápio Web</v>
      </c>
      <c r="R6084" s="33">
        <f>IFERROR(__xludf.DUMMYFUNCTION("""COMPUTED_VALUE"""),0.5)</f>
        <v>0.5</v>
      </c>
      <c r="S6084" s="4" t="str">
        <f>IFERROR(__xludf.DUMMYFUNCTION("""COMPUTED_VALUE"""),"Cardápio Web")</f>
        <v>Cardápio Web</v>
      </c>
      <c r="T6084" s="33">
        <f>IFERROR(__xludf.DUMMYFUNCTION("""COMPUTED_VALUE"""),0.5)</f>
        <v>0.5</v>
      </c>
      <c r="U6084" s="4" t="str">
        <f>IFERROR(__xludf.DUMMYFUNCTION("""COMPUTED_VALUE"""),"Cardápio Web")</f>
        <v>Cardápio Web</v>
      </c>
      <c r="V6084" s="33">
        <f>IFERROR(__xludf.DUMMYFUNCTION("""COMPUTED_VALUE"""),0.5)</f>
        <v>0.5</v>
      </c>
      <c r="W6084" s="4" t="str">
        <f>IFERROR(__xludf.DUMMYFUNCTION("""COMPUTED_VALUE"""),"Cardápio Web")</f>
        <v>Cardápio Web</v>
      </c>
      <c r="X6084" s="33">
        <f>IFERROR(__xludf.DUMMYFUNCTION("""COMPUTED_VALUE"""),0.5)</f>
        <v>0.5</v>
      </c>
    </row>
    <row r="6085">
      <c r="K6085" s="4" t="str">
        <f>IFERROR(__xludf.DUMMYFUNCTION("""COMPUTED_VALUE"""),"CENTRAL DO HAMBURGUER")</f>
        <v>CENTRAL DO HAMBURGUER</v>
      </c>
      <c r="L6085" s="32">
        <f>IFERROR(__xludf.DUMMYFUNCTION("""COMPUTED_VALUE"""),2.0)</f>
        <v>2</v>
      </c>
      <c r="M6085" s="4" t="str">
        <f>IFERROR(__xludf.DUMMYFUNCTION("""COMPUTED_VALUE"""),"null")</f>
        <v>null</v>
      </c>
      <c r="N6085" s="33">
        <f>IFERROR(__xludf.DUMMYFUNCTION("""COMPUTED_VALUE"""),1.0)</f>
        <v>1</v>
      </c>
      <c r="O6085" s="4" t="str">
        <f>IFERROR(__xludf.DUMMYFUNCTION("""COMPUTED_VALUE"""),"null")</f>
        <v>null</v>
      </c>
      <c r="P6085" s="33">
        <f>IFERROR(__xludf.DUMMYFUNCTION("""COMPUTED_VALUE"""),0.5)</f>
        <v>0.5</v>
      </c>
      <c r="Q6085" s="4" t="str">
        <f>IFERROR(__xludf.DUMMYFUNCTION("""COMPUTED_VALUE"""),"null")</f>
        <v>null</v>
      </c>
      <c r="R6085" s="33">
        <f>IFERROR(__xludf.DUMMYFUNCTION("""COMPUTED_VALUE"""),1.0)</f>
        <v>1</v>
      </c>
      <c r="S6085" s="4" t="str">
        <f>IFERROR(__xludf.DUMMYFUNCTION("""COMPUTED_VALUE"""),"N/A (Not found)")</f>
        <v>N/A (Not found)</v>
      </c>
      <c r="T6085" s="33">
        <f>IFERROR(__xludf.DUMMYFUNCTION("""COMPUTED_VALUE"""),0.5)</f>
        <v>0.5</v>
      </c>
      <c r="U6085" s="4" t="str">
        <f>IFERROR(__xludf.DUMMYFUNCTION("""COMPUTED_VALUE"""),"null")</f>
        <v>null</v>
      </c>
      <c r="V6085" s="33">
        <f>IFERROR(__xludf.DUMMYFUNCTION("""COMPUTED_VALUE"""),1.0)</f>
        <v>1</v>
      </c>
      <c r="W6085" s="4" t="str">
        <f>IFERROR(__xludf.DUMMYFUNCTION("""COMPUTED_VALUE"""),"null")</f>
        <v>null</v>
      </c>
      <c r="X6085" s="33">
        <f>IFERROR(__xludf.DUMMYFUNCTION("""COMPUTED_VALUE"""),1.0)</f>
        <v>1</v>
      </c>
    </row>
    <row r="6086">
      <c r="K6086" s="4" t="str">
        <f>IFERROR(__xludf.DUMMYFUNCTION("""COMPUTED_VALUE"""),"APOLLOS EXPRESS")</f>
        <v>APOLLOS EXPRESS</v>
      </c>
      <c r="L6086" s="32">
        <f>IFERROR(__xludf.DUMMYFUNCTION("""COMPUTED_VALUE"""),2.0)</f>
        <v>2</v>
      </c>
      <c r="M6086" s="4" t="str">
        <f>IFERROR(__xludf.DUMMYFUNCTION("""COMPUTED_VALUE"""),"N/A (Not found)")</f>
        <v>N/A (Not found)</v>
      </c>
      <c r="N6086" s="33">
        <f>IFERROR(__xludf.DUMMYFUNCTION("""COMPUTED_VALUE"""),0.5)</f>
        <v>0.5</v>
      </c>
      <c r="O6086" s="4" t="str">
        <f>IFERROR(__xludf.DUMMYFUNCTION("""COMPUTED_VALUE"""),"null")</f>
        <v>null</v>
      </c>
      <c r="P6086" s="33">
        <f>IFERROR(__xludf.DUMMYFUNCTION("""COMPUTED_VALUE"""),1.0)</f>
        <v>1</v>
      </c>
      <c r="Q6086" s="4" t="str">
        <f>IFERROR(__xludf.DUMMYFUNCTION("""COMPUTED_VALUE"""),"null")</f>
        <v>null</v>
      </c>
      <c r="R6086" s="33">
        <f>IFERROR(__xludf.DUMMYFUNCTION("""COMPUTED_VALUE"""),1.0)</f>
        <v>1</v>
      </c>
      <c r="S6086" s="4" t="str">
        <f>IFERROR(__xludf.DUMMYFUNCTION("""COMPUTED_VALUE"""),"null")</f>
        <v>null</v>
      </c>
      <c r="T6086" s="33">
        <f>IFERROR(__xludf.DUMMYFUNCTION("""COMPUTED_VALUE"""),1.0)</f>
        <v>1</v>
      </c>
      <c r="U6086" s="4" t="str">
        <f>IFERROR(__xludf.DUMMYFUNCTION("""COMPUTED_VALUE"""),"null")</f>
        <v>null</v>
      </c>
      <c r="V6086" s="33">
        <f>IFERROR(__xludf.DUMMYFUNCTION("""COMPUTED_VALUE"""),1.0)</f>
        <v>1</v>
      </c>
      <c r="W6086" s="4" t="str">
        <f>IFERROR(__xludf.DUMMYFUNCTION("""COMPUTED_VALUE"""),"null")</f>
        <v>null</v>
      </c>
      <c r="X6086" s="33">
        <f>IFERROR(__xludf.DUMMYFUNCTION("""COMPUTED_VALUE"""),1.0)</f>
        <v>1</v>
      </c>
    </row>
    <row r="6087">
      <c r="K6087" s="4" t="str">
        <f>IFERROR(__xludf.DUMMYFUNCTION("""COMPUTED_VALUE"""),"ROSTI RESTAURANTE")</f>
        <v>ROSTI RESTAURANTE</v>
      </c>
      <c r="L6087" s="32">
        <f>IFERROR(__xludf.DUMMYFUNCTION("""COMPUTED_VALUE"""),2.0)</f>
        <v>2</v>
      </c>
      <c r="M6087" s="4" t="str">
        <f>IFERROR(__xludf.DUMMYFUNCTION("""COMPUTED_VALUE"""),"Anota Ai Solucoes Digitais S/a")</f>
        <v>Anota Ai Solucoes Digitais S/a</v>
      </c>
      <c r="N6087" s="33">
        <f>IFERROR(__xludf.DUMMYFUNCTION("""COMPUTED_VALUE"""),0.5)</f>
        <v>0.5</v>
      </c>
      <c r="O6087" s="4" t="str">
        <f>IFERROR(__xludf.DUMMYFUNCTION("""COMPUTED_VALUE"""),"Anota Ai Solucoes Digitais S/a")</f>
        <v>Anota Ai Solucoes Digitais S/a</v>
      </c>
      <c r="P6087" s="33">
        <f>IFERROR(__xludf.DUMMYFUNCTION("""COMPUTED_VALUE"""),0.5)</f>
        <v>0.5</v>
      </c>
      <c r="Q6087" s="4" t="str">
        <f>IFERROR(__xludf.DUMMYFUNCTION("""COMPUTED_VALUE"""),"Anota Ai Solucoes Digitais S/a")</f>
        <v>Anota Ai Solucoes Digitais S/a</v>
      </c>
      <c r="R6087" s="33">
        <f>IFERROR(__xludf.DUMMYFUNCTION("""COMPUTED_VALUE"""),0.5)</f>
        <v>0.5</v>
      </c>
      <c r="S6087" s="4" t="str">
        <f>IFERROR(__xludf.DUMMYFUNCTION("""COMPUTED_VALUE"""),"null")</f>
        <v>null</v>
      </c>
      <c r="T6087" s="33">
        <f>IFERROR(__xludf.DUMMYFUNCTION("""COMPUTED_VALUE"""),1.0)</f>
        <v>1</v>
      </c>
      <c r="U6087" s="4" t="str">
        <f>IFERROR(__xludf.DUMMYFUNCTION("""COMPUTED_VALUE"""),"Anota Ai Solucoes Digitais S/a")</f>
        <v>Anota Ai Solucoes Digitais S/a</v>
      </c>
      <c r="V6087" s="33">
        <f>IFERROR(__xludf.DUMMYFUNCTION("""COMPUTED_VALUE"""),0.5)</f>
        <v>0.5</v>
      </c>
      <c r="W6087" s="4" t="str">
        <f>IFERROR(__xludf.DUMMYFUNCTION("""COMPUTED_VALUE"""),"Anota Ai Solucoes Digitais S/a")</f>
        <v>Anota Ai Solucoes Digitais S/a</v>
      </c>
      <c r="X6087" s="33">
        <f>IFERROR(__xludf.DUMMYFUNCTION("""COMPUTED_VALUE"""),0.5)</f>
        <v>0.5</v>
      </c>
    </row>
    <row r="6088">
      <c r="K6088" s="4" t="str">
        <f>IFERROR(__xludf.DUMMYFUNCTION("""COMPUTED_VALUE"""),"CASA DE PAES E BOLOS - ESTELA LIMA")</f>
        <v>CASA DE PAES E BOLOS - ESTELA LIMA</v>
      </c>
      <c r="L6088" s="32">
        <f>IFERROR(__xludf.DUMMYFUNCTION("""COMPUTED_VALUE"""),2.0)</f>
        <v>2</v>
      </c>
      <c r="M6088" s="4" t="str">
        <f>IFERROR(__xludf.DUMMYFUNCTION("""COMPUTED_VALUE"""),"null")</f>
        <v>null</v>
      </c>
      <c r="N6088" s="33">
        <f>IFERROR(__xludf.DUMMYFUNCTION("""COMPUTED_VALUE"""),0.5)</f>
        <v>0.5</v>
      </c>
      <c r="O6088" s="4" t="str">
        <f>IFERROR(__xludf.DUMMYFUNCTION("""COMPUTED_VALUE"""),"null")</f>
        <v>null</v>
      </c>
      <c r="P6088" s="33">
        <f>IFERROR(__xludf.DUMMYFUNCTION("""COMPUTED_VALUE"""),0.5)</f>
        <v>0.5</v>
      </c>
      <c r="Q6088" s="4" t="str">
        <f>IFERROR(__xludf.DUMMYFUNCTION("""COMPUTED_VALUE"""),"Alpha Logo")</f>
        <v>Alpha Logo</v>
      </c>
      <c r="R6088" s="33">
        <f>IFERROR(__xludf.DUMMYFUNCTION("""COMPUTED_VALUE"""),1.0)</f>
        <v>1</v>
      </c>
      <c r="S6088" s="4" t="str">
        <f>IFERROR(__xludf.DUMMYFUNCTION("""COMPUTED_VALUE"""),"null")</f>
        <v>null</v>
      </c>
      <c r="T6088" s="33">
        <f>IFERROR(__xludf.DUMMYFUNCTION("""COMPUTED_VALUE"""),0.5)</f>
        <v>0.5</v>
      </c>
      <c r="U6088" s="4" t="str">
        <f>IFERROR(__xludf.DUMMYFUNCTION("""COMPUTED_VALUE"""),"null")</f>
        <v>null</v>
      </c>
      <c r="V6088" s="33">
        <f>IFERROR(__xludf.DUMMYFUNCTION("""COMPUTED_VALUE"""),0.5)</f>
        <v>0.5</v>
      </c>
      <c r="W6088" s="4" t="str">
        <f>IFERROR(__xludf.DUMMYFUNCTION("""COMPUTED_VALUE"""),"null")</f>
        <v>null</v>
      </c>
      <c r="X6088" s="33">
        <f>IFERROR(__xludf.DUMMYFUNCTION("""COMPUTED_VALUE"""),0.5)</f>
        <v>0.5</v>
      </c>
    </row>
    <row r="6089">
      <c r="K6089" s="4" t="str">
        <f>IFERROR(__xludf.DUMMYFUNCTION("""COMPUTED_VALUE"""),"JUNA DELIVERY - MASSAS NHOQUES GOURMET")</f>
        <v>JUNA DELIVERY - MASSAS NHOQUES GOURMET</v>
      </c>
      <c r="L6089" s="32">
        <f>IFERROR(__xludf.DUMMYFUNCTION("""COMPUTED_VALUE"""),2.0)</f>
        <v>2</v>
      </c>
      <c r="M6089" s="4" t="str">
        <f>IFERROR(__xludf.DUMMYFUNCTION("""COMPUTED_VALUE"""),"Instadelivery")</f>
        <v>Instadelivery</v>
      </c>
      <c r="N6089" s="33">
        <f>IFERROR(__xludf.DUMMYFUNCTION("""COMPUTED_VALUE"""),1.0)</f>
        <v>1</v>
      </c>
      <c r="O6089" s="4" t="str">
        <f>IFERROR(__xludf.DUMMYFUNCTION("""COMPUTED_VALUE"""),"Instadelivery")</f>
        <v>Instadelivery</v>
      </c>
      <c r="P6089" s="33">
        <f>IFERROR(__xludf.DUMMYFUNCTION("""COMPUTED_VALUE"""),1.0)</f>
        <v>1</v>
      </c>
      <c r="Q6089" s="4" t="str">
        <f>IFERROR(__xludf.DUMMYFUNCTION("""COMPUTED_VALUE"""),"Instadelivery")</f>
        <v>Instadelivery</v>
      </c>
      <c r="R6089" s="33">
        <f>IFERROR(__xludf.DUMMYFUNCTION("""COMPUTED_VALUE"""),1.0)</f>
        <v>1</v>
      </c>
      <c r="S6089" s="4" t="str">
        <f>IFERROR(__xludf.DUMMYFUNCTION("""COMPUTED_VALUE"""),"Instadelivery")</f>
        <v>Instadelivery</v>
      </c>
      <c r="T6089" s="33">
        <f>IFERROR(__xludf.DUMMYFUNCTION("""COMPUTED_VALUE"""),1.0)</f>
        <v>1</v>
      </c>
      <c r="U6089" s="4" t="str">
        <f>IFERROR(__xludf.DUMMYFUNCTION("""COMPUTED_VALUE"""),"Instadelivery")</f>
        <v>Instadelivery</v>
      </c>
      <c r="V6089" s="33">
        <f>IFERROR(__xludf.DUMMYFUNCTION("""COMPUTED_VALUE"""),1.0)</f>
        <v>1</v>
      </c>
      <c r="W6089" s="4" t="str">
        <f>IFERROR(__xludf.DUMMYFUNCTION("""COMPUTED_VALUE"""),"Instadelivery")</f>
        <v>Instadelivery</v>
      </c>
      <c r="X6089" s="33">
        <f>IFERROR(__xludf.DUMMYFUNCTION("""COMPUTED_VALUE"""),1.0)</f>
        <v>1</v>
      </c>
    </row>
    <row r="6090">
      <c r="K6090" s="4" t="str">
        <f>IFERROR(__xludf.DUMMYFUNCTION("""COMPUTED_VALUE"""),"RECANTO DA MARMITA")</f>
        <v>RECANTO DA MARMITA</v>
      </c>
      <c r="L6090" s="32">
        <f>IFERROR(__xludf.DUMMYFUNCTION("""COMPUTED_VALUE"""),2.0)</f>
        <v>2</v>
      </c>
      <c r="M6090" s="4" t="str">
        <f>IFERROR(__xludf.DUMMYFUNCTION("""COMPUTED_VALUE"""),"null")</f>
        <v>null</v>
      </c>
      <c r="N6090" s="33">
        <f>IFERROR(__xludf.DUMMYFUNCTION("""COMPUTED_VALUE"""),0.5)</f>
        <v>0.5</v>
      </c>
      <c r="O6090" s="4" t="str">
        <f>IFERROR(__xludf.DUMMYFUNCTION("""COMPUTED_VALUE"""),"Suitable Tecnologia E Gestao")</f>
        <v>Suitable Tecnologia E Gestao</v>
      </c>
      <c r="P6090" s="33">
        <f>IFERROR(__xludf.DUMMYFUNCTION("""COMPUTED_VALUE"""),0.5)</f>
        <v>0.5</v>
      </c>
      <c r="Q6090" s="4" t="str">
        <f>IFERROR(__xludf.DUMMYFUNCTION("""COMPUTED_VALUE"""),"Suitable Tecnologia E Gestao")</f>
        <v>Suitable Tecnologia E Gestao</v>
      </c>
      <c r="R6090" s="33">
        <f>IFERROR(__xludf.DUMMYFUNCTION("""COMPUTED_VALUE"""),0.5)</f>
        <v>0.5</v>
      </c>
      <c r="S6090" s="4" t="str">
        <f>IFERROR(__xludf.DUMMYFUNCTION("""COMPUTED_VALUE"""),"Suitable Tecnologia E Gestao")</f>
        <v>Suitable Tecnologia E Gestao</v>
      </c>
      <c r="T6090" s="33">
        <f>IFERROR(__xludf.DUMMYFUNCTION("""COMPUTED_VALUE"""),0.5)</f>
        <v>0.5</v>
      </c>
      <c r="U6090" s="4" t="str">
        <f>IFERROR(__xludf.DUMMYFUNCTION("""COMPUTED_VALUE"""),"Suitable Tecnologia E Gestao")</f>
        <v>Suitable Tecnologia E Gestao</v>
      </c>
      <c r="V6090" s="33">
        <f>IFERROR(__xludf.DUMMYFUNCTION("""COMPUTED_VALUE"""),0.5)</f>
        <v>0.5</v>
      </c>
      <c r="W6090" s="4" t="str">
        <f>IFERROR(__xludf.DUMMYFUNCTION("""COMPUTED_VALUE"""),"Suitable Tecnologia E Gestao")</f>
        <v>Suitable Tecnologia E Gestao</v>
      </c>
      <c r="X6090" s="33">
        <f>IFERROR(__xludf.DUMMYFUNCTION("""COMPUTED_VALUE"""),0.5)</f>
        <v>0.5</v>
      </c>
    </row>
    <row r="6091">
      <c r="K6091" s="4" t="str">
        <f>IFERROR(__xludf.DUMMYFUNCTION("""COMPUTED_VALUE"""),"GASTRO PIZZA")</f>
        <v>GASTRO PIZZA</v>
      </c>
      <c r="L6091" s="32">
        <f>IFERROR(__xludf.DUMMYFUNCTION("""COMPUTED_VALUE"""),2.0)</f>
        <v>2</v>
      </c>
      <c r="M6091" s="4" t="str">
        <f>IFERROR(__xludf.DUMMYFUNCTION("""COMPUTED_VALUE"""),"Saipos Serviços De Software")</f>
        <v>Saipos Serviços De Software</v>
      </c>
      <c r="N6091" s="33">
        <f>IFERROR(__xludf.DUMMYFUNCTION("""COMPUTED_VALUE"""),0.5)</f>
        <v>0.5</v>
      </c>
      <c r="O6091" s="4" t="str">
        <f>IFERROR(__xludf.DUMMYFUNCTION("""COMPUTED_VALUE"""),"Saipos Serviços De Software")</f>
        <v>Saipos Serviços De Software</v>
      </c>
      <c r="P6091" s="33">
        <f>IFERROR(__xludf.DUMMYFUNCTION("""COMPUTED_VALUE"""),0.5)</f>
        <v>0.5</v>
      </c>
      <c r="Q6091" s="4" t="str">
        <f>IFERROR(__xludf.DUMMYFUNCTION("""COMPUTED_VALUE"""),"null")</f>
        <v>null</v>
      </c>
      <c r="R6091" s="33">
        <f>IFERROR(__xludf.DUMMYFUNCTION("""COMPUTED_VALUE"""),1.0)</f>
        <v>1</v>
      </c>
      <c r="S6091" s="4" t="str">
        <f>IFERROR(__xludf.DUMMYFUNCTION("""COMPUTED_VALUE"""),"null")</f>
        <v>null</v>
      </c>
      <c r="T6091" s="33">
        <f>IFERROR(__xludf.DUMMYFUNCTION("""COMPUTED_VALUE"""),1.0)</f>
        <v>1</v>
      </c>
      <c r="U6091" s="4" t="str">
        <f>IFERROR(__xludf.DUMMYFUNCTION("""COMPUTED_VALUE"""),"null")</f>
        <v>null</v>
      </c>
      <c r="V6091" s="33">
        <f>IFERROR(__xludf.DUMMYFUNCTION("""COMPUTED_VALUE"""),0.5)</f>
        <v>0.5</v>
      </c>
      <c r="W6091" s="4" t="str">
        <f>IFERROR(__xludf.DUMMYFUNCTION("""COMPUTED_VALUE"""),"null")</f>
        <v>null</v>
      </c>
      <c r="X6091" s="33">
        <f>IFERROR(__xludf.DUMMYFUNCTION("""COMPUTED_VALUE"""),1.0)</f>
        <v>1</v>
      </c>
    </row>
    <row r="6092">
      <c r="K6092" s="4" t="str">
        <f>IFERROR(__xludf.DUMMYFUNCTION("""COMPUTED_VALUE"""),"DROGARIA AVENIDA")</f>
        <v>DROGARIA AVENIDA</v>
      </c>
      <c r="L6092" s="32">
        <f>IFERROR(__xludf.DUMMYFUNCTION("""COMPUTED_VALUE"""),2.0)</f>
        <v>2</v>
      </c>
      <c r="M6092" s="4" t="str">
        <f>IFERROR(__xludf.DUMMYFUNCTION("""COMPUTED_VALUE"""),"null")</f>
        <v>null</v>
      </c>
      <c r="N6092" s="33">
        <f>IFERROR(__xludf.DUMMYFUNCTION("""COMPUTED_VALUE"""),1.0)</f>
        <v>1</v>
      </c>
      <c r="O6092" s="4" t="str">
        <f>IFERROR(__xludf.DUMMYFUNCTION("""COMPUTED_VALUE"""),"null")</f>
        <v>null</v>
      </c>
      <c r="P6092" s="33">
        <f>IFERROR(__xludf.DUMMYFUNCTION("""COMPUTED_VALUE"""),1.0)</f>
        <v>1</v>
      </c>
      <c r="Q6092" s="4" t="str">
        <f>IFERROR(__xludf.DUMMYFUNCTION("""COMPUTED_VALUE"""),"null")</f>
        <v>null</v>
      </c>
      <c r="R6092" s="33">
        <f>IFERROR(__xludf.DUMMYFUNCTION("""COMPUTED_VALUE"""),1.0)</f>
        <v>1</v>
      </c>
      <c r="S6092" s="4" t="str">
        <f>IFERROR(__xludf.DUMMYFUNCTION("""COMPUTED_VALUE"""),"N/A (Not found)")</f>
        <v>N/A (Not found)</v>
      </c>
      <c r="T6092" s="33">
        <f>IFERROR(__xludf.DUMMYFUNCTION("""COMPUTED_VALUE"""),0.5)</f>
        <v>0.5</v>
      </c>
      <c r="U6092" s="4" t="str">
        <f>IFERROR(__xludf.DUMMYFUNCTION("""COMPUTED_VALUE"""),"N/A (Not found)")</f>
        <v>N/A (Not found)</v>
      </c>
      <c r="V6092" s="33">
        <f>IFERROR(__xludf.DUMMYFUNCTION("""COMPUTED_VALUE"""),0.5)</f>
        <v>0.5</v>
      </c>
      <c r="W6092" s="4" t="str">
        <f>IFERROR(__xludf.DUMMYFUNCTION("""COMPUTED_VALUE"""),"N/A (Not found)")</f>
        <v>N/A (Not found)</v>
      </c>
      <c r="X6092" s="33">
        <f>IFERROR(__xludf.DUMMYFUNCTION("""COMPUTED_VALUE"""),1.0)</f>
        <v>1</v>
      </c>
    </row>
    <row r="6093">
      <c r="K6093" s="4" t="str">
        <f>IFERROR(__xludf.DUMMYFUNCTION("""COMPUTED_VALUE"""),"ACAIZERA")</f>
        <v>ACAIZERA</v>
      </c>
      <c r="L6093" s="32">
        <f>IFERROR(__xludf.DUMMYFUNCTION("""COMPUTED_VALUE"""),2.0)</f>
        <v>2</v>
      </c>
      <c r="M6093" s="4" t="str">
        <f>IFERROR(__xludf.DUMMYFUNCTION("""COMPUTED_VALUE"""),"null")</f>
        <v>null</v>
      </c>
      <c r="N6093" s="33">
        <f>IFERROR(__xludf.DUMMYFUNCTION("""COMPUTED_VALUE"""),0.5)</f>
        <v>0.5</v>
      </c>
      <c r="O6093" s="4" t="str">
        <f>IFERROR(__xludf.DUMMYFUNCTION("""COMPUTED_VALUE"""),"null")</f>
        <v>null</v>
      </c>
      <c r="P6093" s="33">
        <f>IFERROR(__xludf.DUMMYFUNCTION("""COMPUTED_VALUE"""),0.5)</f>
        <v>0.5</v>
      </c>
      <c r="Q6093" s="4" t="str">
        <f>IFERROR(__xludf.DUMMYFUNCTION("""COMPUTED_VALUE"""),"null")</f>
        <v>null</v>
      </c>
      <c r="R6093" s="33">
        <f>IFERROR(__xludf.DUMMYFUNCTION("""COMPUTED_VALUE"""),0.5)</f>
        <v>0.5</v>
      </c>
      <c r="S6093" s="4" t="str">
        <f>IFERROR(__xludf.DUMMYFUNCTION("""COMPUTED_VALUE"""),"null")</f>
        <v>null</v>
      </c>
      <c r="T6093" s="33">
        <f>IFERROR(__xludf.DUMMYFUNCTION("""COMPUTED_VALUE"""),1.0)</f>
        <v>1</v>
      </c>
      <c r="U6093" s="4" t="str">
        <f>IFERROR(__xludf.DUMMYFUNCTION("""COMPUTED_VALUE"""),"Anota Ai Solucoes Digitais S/a")</f>
        <v>Anota Ai Solucoes Digitais S/a</v>
      </c>
      <c r="V6093" s="33">
        <f>IFERROR(__xludf.DUMMYFUNCTION("""COMPUTED_VALUE"""),0.5)</f>
        <v>0.5</v>
      </c>
      <c r="W6093" s="4" t="str">
        <f>IFERROR(__xludf.DUMMYFUNCTION("""COMPUTED_VALUE"""),"null")</f>
        <v>null</v>
      </c>
      <c r="X6093" s="33">
        <f>IFERROR(__xludf.DUMMYFUNCTION("""COMPUTED_VALUE"""),1.0)</f>
        <v>1</v>
      </c>
    </row>
    <row r="6094">
      <c r="K6094" s="4" t="str">
        <f>IFERROR(__xludf.DUMMYFUNCTION("""COMPUTED_VALUE"""),"CACHORRAO DO CLAUDIAO")</f>
        <v>CACHORRAO DO CLAUDIAO</v>
      </c>
      <c r="L6094" s="32">
        <f>IFERROR(__xludf.DUMMYFUNCTION("""COMPUTED_VALUE"""),2.0)</f>
        <v>2</v>
      </c>
      <c r="M6094" s="4" t="str">
        <f>IFERROR(__xludf.DUMMYFUNCTION("""COMPUTED_VALUE"""),"Suitable Tecnologia E Gestao")</f>
        <v>Suitable Tecnologia E Gestao</v>
      </c>
      <c r="N6094" s="33">
        <f>IFERROR(__xludf.DUMMYFUNCTION("""COMPUTED_VALUE"""),0.5)</f>
        <v>0.5</v>
      </c>
      <c r="O6094" s="4" t="str">
        <f>IFERROR(__xludf.DUMMYFUNCTION("""COMPUTED_VALUE"""),"Suitable Tecnologia E Gestao")</f>
        <v>Suitable Tecnologia E Gestao</v>
      </c>
      <c r="P6094" s="33">
        <f>IFERROR(__xludf.DUMMYFUNCTION("""COMPUTED_VALUE"""),1.0)</f>
        <v>1</v>
      </c>
      <c r="Q6094" s="4" t="str">
        <f>IFERROR(__xludf.DUMMYFUNCTION("""COMPUTED_VALUE"""),"Suitable Tecnologia E Gestao")</f>
        <v>Suitable Tecnologia E Gestao</v>
      </c>
      <c r="R6094" s="33">
        <f>IFERROR(__xludf.DUMMYFUNCTION("""COMPUTED_VALUE"""),1.0)</f>
        <v>1</v>
      </c>
      <c r="S6094" s="4" t="str">
        <f>IFERROR(__xludf.DUMMYFUNCTION("""COMPUTED_VALUE"""),"Suitable Tecnologia E Gestao")</f>
        <v>Suitable Tecnologia E Gestao</v>
      </c>
      <c r="T6094" s="33">
        <f>IFERROR(__xludf.DUMMYFUNCTION("""COMPUTED_VALUE"""),1.0)</f>
        <v>1</v>
      </c>
      <c r="U6094" s="4" t="str">
        <f>IFERROR(__xludf.DUMMYFUNCTION("""COMPUTED_VALUE"""),"Suitable Tecnologia E Gestao")</f>
        <v>Suitable Tecnologia E Gestao</v>
      </c>
      <c r="V6094" s="33">
        <f>IFERROR(__xludf.DUMMYFUNCTION("""COMPUTED_VALUE"""),1.0)</f>
        <v>1</v>
      </c>
      <c r="W6094" s="4" t="str">
        <f>IFERROR(__xludf.DUMMYFUNCTION("""COMPUTED_VALUE"""),"Suitable Tecnologia E Gestao")</f>
        <v>Suitable Tecnologia E Gestao</v>
      </c>
      <c r="X6094" s="33">
        <f>IFERROR(__xludf.DUMMYFUNCTION("""COMPUTED_VALUE"""),0.5)</f>
        <v>0.5</v>
      </c>
    </row>
    <row r="6095">
      <c r="K6095" s="4" t="str">
        <f>IFERROR(__xludf.DUMMYFUNCTION("""COMPUTED_VALUE"""),"CRISPY CO FRANGO SAO BRAZ")</f>
        <v>CRISPY CO FRANGO SAO BRAZ</v>
      </c>
      <c r="L6095" s="32">
        <f>IFERROR(__xludf.DUMMYFUNCTION("""COMPUTED_VALUE"""),2.0)</f>
        <v>2</v>
      </c>
      <c r="M6095" s="4" t="str">
        <f>IFERROR(__xludf.DUMMYFUNCTION("""COMPUTED_VALUE"""),"null")</f>
        <v>null</v>
      </c>
      <c r="N6095" s="33">
        <f>IFERROR(__xludf.DUMMYFUNCTION("""COMPUTED_VALUE"""),0.5)</f>
        <v>0.5</v>
      </c>
      <c r="O6095" s="4" t="str">
        <f>IFERROR(__xludf.DUMMYFUNCTION("""COMPUTED_VALUE"""),"null")</f>
        <v>null</v>
      </c>
      <c r="P6095" s="33">
        <f>IFERROR(__xludf.DUMMYFUNCTION("""COMPUTED_VALUE"""),0.5)</f>
        <v>0.5</v>
      </c>
      <c r="Q6095" s="4" t="str">
        <f>IFERROR(__xludf.DUMMYFUNCTION("""COMPUTED_VALUE"""),"null")</f>
        <v>null</v>
      </c>
      <c r="R6095" s="33">
        <f>IFERROR(__xludf.DUMMYFUNCTION("""COMPUTED_VALUE"""),0.5)</f>
        <v>0.5</v>
      </c>
      <c r="S6095" s="4" t="str">
        <f>IFERROR(__xludf.DUMMYFUNCTION("""COMPUTED_VALUE"""),"null")</f>
        <v>null</v>
      </c>
      <c r="T6095" s="33">
        <f>IFERROR(__xludf.DUMMYFUNCTION("""COMPUTED_VALUE"""),0.5)</f>
        <v>0.5</v>
      </c>
      <c r="U6095" s="4" t="str">
        <f>IFERROR(__xludf.DUMMYFUNCTION("""COMPUTED_VALUE"""),"Brendi")</f>
        <v>Brendi</v>
      </c>
      <c r="V6095" s="33">
        <f>IFERROR(__xludf.DUMMYFUNCTION("""COMPUTED_VALUE"""),0.5)</f>
        <v>0.5</v>
      </c>
      <c r="W6095" s="4" t="str">
        <f>IFERROR(__xludf.DUMMYFUNCTION("""COMPUTED_VALUE"""),"null")</f>
        <v>null</v>
      </c>
      <c r="X6095" s="33">
        <f>IFERROR(__xludf.DUMMYFUNCTION("""COMPUTED_VALUE"""),1.0)</f>
        <v>1</v>
      </c>
    </row>
    <row r="6096">
      <c r="K6096" s="4" t="str">
        <f>IFERROR(__xludf.DUMMYFUNCTION("""COMPUTED_VALUE"""),"DROGARIAS MAIS BARATO")</f>
        <v>DROGARIAS MAIS BARATO</v>
      </c>
      <c r="L6096" s="32">
        <f>IFERROR(__xludf.DUMMYFUNCTION("""COMPUTED_VALUE"""),2.0)</f>
        <v>2</v>
      </c>
      <c r="M6096" s="4" t="str">
        <f>IFERROR(__xludf.DUMMYFUNCTION("""COMPUTED_VALUE"""),"null")</f>
        <v>null</v>
      </c>
      <c r="N6096" s="33">
        <f>IFERROR(__xludf.DUMMYFUNCTION("""COMPUTED_VALUE"""),0.5)</f>
        <v>0.5</v>
      </c>
      <c r="O6096" s="4" t="str">
        <f>IFERROR(__xludf.DUMMYFUNCTION("""COMPUTED_VALUE"""),"null")</f>
        <v>null</v>
      </c>
      <c r="P6096" s="33">
        <f>IFERROR(__xludf.DUMMYFUNCTION("""COMPUTED_VALUE"""),0.5)</f>
        <v>0.5</v>
      </c>
      <c r="Q6096" s="4" t="str">
        <f>IFERROR(__xludf.DUMMYFUNCTION("""COMPUTED_VALUE"""),"null")</f>
        <v>null</v>
      </c>
      <c r="R6096" s="33">
        <f>IFERROR(__xludf.DUMMYFUNCTION("""COMPUTED_VALUE"""),0.5)</f>
        <v>0.5</v>
      </c>
      <c r="S6096" s="4" t="str">
        <f>IFERROR(__xludf.DUMMYFUNCTION("""COMPUTED_VALUE"""),"null")</f>
        <v>null</v>
      </c>
      <c r="T6096" s="33">
        <f>IFERROR(__xludf.DUMMYFUNCTION("""COMPUTED_VALUE"""),0.5)</f>
        <v>0.5</v>
      </c>
      <c r="U6096" s="4" t="str">
        <f>IFERROR(__xludf.DUMMYFUNCTION("""COMPUTED_VALUE"""),"N/A (Not found)")</f>
        <v>N/A (Not found)</v>
      </c>
      <c r="V6096" s="33">
        <f>IFERROR(__xludf.DUMMYFUNCTION("""COMPUTED_VALUE"""),1.0)</f>
        <v>1</v>
      </c>
      <c r="W6096" s="4" t="str">
        <f>IFERROR(__xludf.DUMMYFUNCTION("""COMPUTED_VALUE"""),"N/A (Not found)")</f>
        <v>N/A (Not found)</v>
      </c>
      <c r="X6096" s="33">
        <f>IFERROR(__xludf.DUMMYFUNCTION("""COMPUTED_VALUE"""),1.0)</f>
        <v>1</v>
      </c>
    </row>
    <row r="6097">
      <c r="K6097" s="4" t="str">
        <f>IFERROR(__xludf.DUMMYFUNCTION("""COMPUTED_VALUE"""),"SAILOR JACK HAMBURGUERIA")</f>
        <v>SAILOR JACK HAMBURGUERIA</v>
      </c>
      <c r="L6097" s="32">
        <f>IFERROR(__xludf.DUMMYFUNCTION("""COMPUTED_VALUE"""),2.0)</f>
        <v>2</v>
      </c>
      <c r="M6097" s="4" t="str">
        <f>IFERROR(__xludf.DUMMYFUNCTION("""COMPUTED_VALUE"""),"null")</f>
        <v>null</v>
      </c>
      <c r="N6097" s="33">
        <f>IFERROR(__xludf.DUMMYFUNCTION("""COMPUTED_VALUE"""),0.5)</f>
        <v>0.5</v>
      </c>
      <c r="O6097" s="4" t="str">
        <f>IFERROR(__xludf.DUMMYFUNCTION("""COMPUTED_VALUE"""),"Saipos Serviços De Software")</f>
        <v>Saipos Serviços De Software</v>
      </c>
      <c r="P6097" s="33">
        <f>IFERROR(__xludf.DUMMYFUNCTION("""COMPUTED_VALUE"""),1.0)</f>
        <v>1</v>
      </c>
      <c r="Q6097" s="4" t="str">
        <f>IFERROR(__xludf.DUMMYFUNCTION("""COMPUTED_VALUE"""),"Saipos Serviços De Software")</f>
        <v>Saipos Serviços De Software</v>
      </c>
      <c r="R6097" s="33">
        <f>IFERROR(__xludf.DUMMYFUNCTION("""COMPUTED_VALUE"""),0.5)</f>
        <v>0.5</v>
      </c>
      <c r="S6097" s="4" t="str">
        <f>IFERROR(__xludf.DUMMYFUNCTION("""COMPUTED_VALUE"""),"Saipos Serviços De Software")</f>
        <v>Saipos Serviços De Software</v>
      </c>
      <c r="T6097" s="33">
        <f>IFERROR(__xludf.DUMMYFUNCTION("""COMPUTED_VALUE"""),0.5)</f>
        <v>0.5</v>
      </c>
      <c r="U6097" s="4" t="str">
        <f>IFERROR(__xludf.DUMMYFUNCTION("""COMPUTED_VALUE"""),"Saipos Serviços De Software")</f>
        <v>Saipos Serviços De Software</v>
      </c>
      <c r="V6097" s="33">
        <f>IFERROR(__xludf.DUMMYFUNCTION("""COMPUTED_VALUE"""),0.5)</f>
        <v>0.5</v>
      </c>
      <c r="W6097" s="4" t="str">
        <f>IFERROR(__xludf.DUMMYFUNCTION("""COMPUTED_VALUE"""),"Saipos Serviços De Software")</f>
        <v>Saipos Serviços De Software</v>
      </c>
      <c r="X6097" s="33">
        <f>IFERROR(__xludf.DUMMYFUNCTION("""COMPUTED_VALUE"""),0.5)</f>
        <v>0.5</v>
      </c>
    </row>
    <row r="6098">
      <c r="K6098" s="4" t="str">
        <f>IFERROR(__xludf.DUMMYFUNCTION("""COMPUTED_VALUE"""),"DISTRIBUIDORA ROTA 27")</f>
        <v>DISTRIBUIDORA ROTA 27</v>
      </c>
      <c r="L6098" s="32">
        <f>IFERROR(__xludf.DUMMYFUNCTION("""COMPUTED_VALUE"""),2.0)</f>
        <v>2</v>
      </c>
      <c r="M6098" s="4" t="str">
        <f>IFERROR(__xludf.DUMMYFUNCTION("""COMPUTED_VALUE"""),"Yooga")</f>
        <v>Yooga</v>
      </c>
      <c r="N6098" s="33">
        <f>IFERROR(__xludf.DUMMYFUNCTION("""COMPUTED_VALUE"""),0.5)</f>
        <v>0.5</v>
      </c>
      <c r="O6098" s="4" t="str">
        <f>IFERROR(__xludf.DUMMYFUNCTION("""COMPUTED_VALUE"""),"Yooga")</f>
        <v>Yooga</v>
      </c>
      <c r="P6098" s="33">
        <f>IFERROR(__xludf.DUMMYFUNCTION("""COMPUTED_VALUE"""),0.5)</f>
        <v>0.5</v>
      </c>
      <c r="Q6098" s="4" t="str">
        <f>IFERROR(__xludf.DUMMYFUNCTION("""COMPUTED_VALUE"""),"Yooga")</f>
        <v>Yooga</v>
      </c>
      <c r="R6098" s="33">
        <f>IFERROR(__xludf.DUMMYFUNCTION("""COMPUTED_VALUE"""),0.5)</f>
        <v>0.5</v>
      </c>
      <c r="S6098" s="4" t="str">
        <f>IFERROR(__xludf.DUMMYFUNCTION("""COMPUTED_VALUE"""),"Yooga")</f>
        <v>Yooga</v>
      </c>
      <c r="T6098" s="33">
        <f>IFERROR(__xludf.DUMMYFUNCTION("""COMPUTED_VALUE"""),0.5)</f>
        <v>0.5</v>
      </c>
      <c r="U6098" s="4" t="str">
        <f>IFERROR(__xludf.DUMMYFUNCTION("""COMPUTED_VALUE"""),"null")</f>
        <v>null</v>
      </c>
      <c r="V6098" s="33">
        <f>IFERROR(__xludf.DUMMYFUNCTION("""COMPUTED_VALUE"""),0.5)</f>
        <v>0.5</v>
      </c>
      <c r="W6098" s="4" t="str">
        <f>IFERROR(__xludf.DUMMYFUNCTION("""COMPUTED_VALUE"""),"null")</f>
        <v>null</v>
      </c>
      <c r="X6098" s="33">
        <f>IFERROR(__xludf.DUMMYFUNCTION("""COMPUTED_VALUE"""),0.5)</f>
        <v>0.5</v>
      </c>
    </row>
    <row r="6099">
      <c r="K6099" s="4" t="str">
        <f>IFERROR(__xludf.DUMMYFUNCTION("""COMPUTED_VALUE"""),"LITORAL LANCHES")</f>
        <v>LITORAL LANCHES</v>
      </c>
      <c r="L6099" s="32">
        <f>IFERROR(__xludf.DUMMYFUNCTION("""COMPUTED_VALUE"""),2.0)</f>
        <v>2</v>
      </c>
      <c r="M6099" s="4" t="str">
        <f>IFERROR(__xludf.DUMMYFUNCTION("""COMPUTED_VALUE"""),"Consumer Soluções Em Tecnologia Ltda")</f>
        <v>Consumer Soluções Em Tecnologia Ltda</v>
      </c>
      <c r="N6099" s="33">
        <f>IFERROR(__xludf.DUMMYFUNCTION("""COMPUTED_VALUE"""),0.5)</f>
        <v>0.5</v>
      </c>
      <c r="O6099" s="4" t="str">
        <f>IFERROR(__xludf.DUMMYFUNCTION("""COMPUTED_VALUE"""),"Consumer Soluções Em Tecnologia Ltda")</f>
        <v>Consumer Soluções Em Tecnologia Ltda</v>
      </c>
      <c r="P6099" s="33">
        <f>IFERROR(__xludf.DUMMYFUNCTION("""COMPUTED_VALUE"""),0.5)</f>
        <v>0.5</v>
      </c>
      <c r="Q6099" s="4" t="str">
        <f>IFERROR(__xludf.DUMMYFUNCTION("""COMPUTED_VALUE"""),"null")</f>
        <v>null</v>
      </c>
      <c r="R6099" s="33">
        <f>IFERROR(__xludf.DUMMYFUNCTION("""COMPUTED_VALUE"""),0.5)</f>
        <v>0.5</v>
      </c>
      <c r="S6099" s="4" t="str">
        <f>IFERROR(__xludf.DUMMYFUNCTION("""COMPUTED_VALUE"""),"null")</f>
        <v>null</v>
      </c>
      <c r="T6099" s="33">
        <f>IFERROR(__xludf.DUMMYFUNCTION("""COMPUTED_VALUE"""),0.5)</f>
        <v>0.5</v>
      </c>
      <c r="U6099" s="4" t="str">
        <f>IFERROR(__xludf.DUMMYFUNCTION("""COMPUTED_VALUE"""),"Consumer Soluções Em Tecnologia Ltda")</f>
        <v>Consumer Soluções Em Tecnologia Ltda</v>
      </c>
      <c r="V6099" s="33">
        <f>IFERROR(__xludf.DUMMYFUNCTION("""COMPUTED_VALUE"""),0.5)</f>
        <v>0.5</v>
      </c>
      <c r="W6099" s="4" t="str">
        <f>IFERROR(__xludf.DUMMYFUNCTION("""COMPUTED_VALUE"""),"Consumer Soluções Em Tecnologia Ltda")</f>
        <v>Consumer Soluções Em Tecnologia Ltda</v>
      </c>
      <c r="X6099" s="33">
        <f>IFERROR(__xludf.DUMMYFUNCTION("""COMPUTED_VALUE"""),0.5)</f>
        <v>0.5</v>
      </c>
    </row>
    <row r="6100">
      <c r="K6100" s="4" t="str">
        <f>IFERROR(__xludf.DUMMYFUNCTION("""COMPUTED_VALUE"""),"TEMPERO DA VILLA")</f>
        <v>TEMPERO DA VILLA</v>
      </c>
      <c r="L6100" s="32">
        <f>IFERROR(__xludf.DUMMYFUNCTION("""COMPUTED_VALUE"""),2.0)</f>
        <v>2</v>
      </c>
      <c r="M6100" s="4" t="str">
        <f>IFERROR(__xludf.DUMMYFUNCTION("""COMPUTED_VALUE"""),"Saipos Serviços De Software")</f>
        <v>Saipos Serviços De Software</v>
      </c>
      <c r="N6100" s="33">
        <f>IFERROR(__xludf.DUMMYFUNCTION("""COMPUTED_VALUE"""),1.0)</f>
        <v>1</v>
      </c>
      <c r="O6100" s="4" t="str">
        <f>IFERROR(__xludf.DUMMYFUNCTION("""COMPUTED_VALUE"""),"Saipos Serviços De Software")</f>
        <v>Saipos Serviços De Software</v>
      </c>
      <c r="P6100" s="33">
        <f>IFERROR(__xludf.DUMMYFUNCTION("""COMPUTED_VALUE"""),1.0)</f>
        <v>1</v>
      </c>
      <c r="Q6100" s="4" t="str">
        <f>IFERROR(__xludf.DUMMYFUNCTION("""COMPUTED_VALUE"""),"Saipos Serviços De Software")</f>
        <v>Saipos Serviços De Software</v>
      </c>
      <c r="R6100" s="33">
        <f>IFERROR(__xludf.DUMMYFUNCTION("""COMPUTED_VALUE"""),0.5)</f>
        <v>0.5</v>
      </c>
      <c r="S6100" s="4" t="str">
        <f>IFERROR(__xludf.DUMMYFUNCTION("""COMPUTED_VALUE"""),"Saipos Serviços De Software")</f>
        <v>Saipos Serviços De Software</v>
      </c>
      <c r="T6100" s="33">
        <f>IFERROR(__xludf.DUMMYFUNCTION("""COMPUTED_VALUE"""),0.5)</f>
        <v>0.5</v>
      </c>
      <c r="U6100" s="4" t="str">
        <f>IFERROR(__xludf.DUMMYFUNCTION("""COMPUTED_VALUE"""),"Saipos Serviços De Software")</f>
        <v>Saipos Serviços De Software</v>
      </c>
      <c r="V6100" s="33">
        <f>IFERROR(__xludf.DUMMYFUNCTION("""COMPUTED_VALUE"""),0.5)</f>
        <v>0.5</v>
      </c>
      <c r="W6100" s="4" t="str">
        <f>IFERROR(__xludf.DUMMYFUNCTION("""COMPUTED_VALUE"""),"Saipos Serviços De Software")</f>
        <v>Saipos Serviços De Software</v>
      </c>
      <c r="X6100" s="33">
        <f>IFERROR(__xludf.DUMMYFUNCTION("""COMPUTED_VALUE"""),0.5)</f>
        <v>0.5</v>
      </c>
    </row>
    <row r="6101">
      <c r="K6101" s="4" t="str">
        <f>IFERROR(__xludf.DUMMYFUNCTION("""COMPUTED_VALUE"""),"DROGARIA IMPERIAL")</f>
        <v>DROGARIA IMPERIAL</v>
      </c>
      <c r="L6101" s="32">
        <f>IFERROR(__xludf.DUMMYFUNCTION("""COMPUTED_VALUE"""),2.0)</f>
        <v>2</v>
      </c>
      <c r="M6101" s="4" t="str">
        <f>IFERROR(__xludf.DUMMYFUNCTION("""COMPUTED_VALUE"""),"N/A (Not found)")</f>
        <v>N/A (Not found)</v>
      </c>
      <c r="N6101" s="33">
        <f>IFERROR(__xludf.DUMMYFUNCTION("""COMPUTED_VALUE"""),0.5)</f>
        <v>0.5</v>
      </c>
      <c r="O6101" s="4" t="str">
        <f>IFERROR(__xludf.DUMMYFUNCTION("""COMPUTED_VALUE"""),"N/A (Not found)")</f>
        <v>N/A (Not found)</v>
      </c>
      <c r="P6101" s="33">
        <f>IFERROR(__xludf.DUMMYFUNCTION("""COMPUTED_VALUE"""),0.5)</f>
        <v>0.5</v>
      </c>
      <c r="Q6101" s="4" t="str">
        <f>IFERROR(__xludf.DUMMYFUNCTION("""COMPUTED_VALUE"""),"N/A (Not found)")</f>
        <v>N/A (Not found)</v>
      </c>
      <c r="R6101" s="33">
        <f>IFERROR(__xludf.DUMMYFUNCTION("""COMPUTED_VALUE"""),0.5)</f>
        <v>0.5</v>
      </c>
      <c r="S6101" s="4" t="str">
        <f>IFERROR(__xludf.DUMMYFUNCTION("""COMPUTED_VALUE"""),"N/A (Not found)")</f>
        <v>N/A (Not found)</v>
      </c>
      <c r="T6101" s="33">
        <f>IFERROR(__xludf.DUMMYFUNCTION("""COMPUTED_VALUE"""),1.0)</f>
        <v>1</v>
      </c>
      <c r="U6101" s="4" t="str">
        <f>IFERROR(__xludf.DUMMYFUNCTION("""COMPUTED_VALUE"""),"N/A (Not found)")</f>
        <v>N/A (Not found)</v>
      </c>
      <c r="V6101" s="33">
        <f>IFERROR(__xludf.DUMMYFUNCTION("""COMPUTED_VALUE"""),1.0)</f>
        <v>1</v>
      </c>
      <c r="W6101" s="4" t="str">
        <f>IFERROR(__xludf.DUMMYFUNCTION("""COMPUTED_VALUE"""),"N/A (Not found)")</f>
        <v>N/A (Not found)</v>
      </c>
      <c r="X6101" s="33">
        <f>IFERROR(__xludf.DUMMYFUNCTION("""COMPUTED_VALUE"""),1.0)</f>
        <v>1</v>
      </c>
    </row>
    <row r="6102">
      <c r="K6102" s="4" t="str">
        <f>IFERROR(__xludf.DUMMYFUNCTION("""COMPUTED_VALUE"""),"VELOCE PIZZA DELIVERY")</f>
        <v>VELOCE PIZZA DELIVERY</v>
      </c>
      <c r="L6102" s="32">
        <f>IFERROR(__xludf.DUMMYFUNCTION("""COMPUTED_VALUE"""),2.0)</f>
        <v>2</v>
      </c>
      <c r="M6102" s="4" t="str">
        <f>IFERROR(__xludf.DUMMYFUNCTION("""COMPUTED_VALUE"""),"Saipos Serviços De Software")</f>
        <v>Saipos Serviços De Software</v>
      </c>
      <c r="N6102" s="33">
        <f>IFERROR(__xludf.DUMMYFUNCTION("""COMPUTED_VALUE"""),1.0)</f>
        <v>1</v>
      </c>
      <c r="O6102" s="4" t="str">
        <f>IFERROR(__xludf.DUMMYFUNCTION("""COMPUTED_VALUE"""),"Saipos Serviços De Software")</f>
        <v>Saipos Serviços De Software</v>
      </c>
      <c r="P6102" s="33">
        <f>IFERROR(__xludf.DUMMYFUNCTION("""COMPUTED_VALUE"""),1.0)</f>
        <v>1</v>
      </c>
      <c r="Q6102" s="4" t="str">
        <f>IFERROR(__xludf.DUMMYFUNCTION("""COMPUTED_VALUE"""),"Saipos Serviços De Software")</f>
        <v>Saipos Serviços De Software</v>
      </c>
      <c r="R6102" s="33">
        <f>IFERROR(__xludf.DUMMYFUNCTION("""COMPUTED_VALUE"""),1.0)</f>
        <v>1</v>
      </c>
      <c r="S6102" s="4" t="str">
        <f>IFERROR(__xludf.DUMMYFUNCTION("""COMPUTED_VALUE"""),"Saipos Serviços De Software")</f>
        <v>Saipos Serviços De Software</v>
      </c>
      <c r="T6102" s="33">
        <f>IFERROR(__xludf.DUMMYFUNCTION("""COMPUTED_VALUE"""),1.0)</f>
        <v>1</v>
      </c>
      <c r="U6102" s="4" t="str">
        <f>IFERROR(__xludf.DUMMYFUNCTION("""COMPUTED_VALUE"""),"Saipos Serviços De Software")</f>
        <v>Saipos Serviços De Software</v>
      </c>
      <c r="V6102" s="33">
        <f>IFERROR(__xludf.DUMMYFUNCTION("""COMPUTED_VALUE"""),1.0)</f>
        <v>1</v>
      </c>
      <c r="W6102" s="4" t="str">
        <f>IFERROR(__xludf.DUMMYFUNCTION("""COMPUTED_VALUE"""),"Saipos Serviços De Software")</f>
        <v>Saipos Serviços De Software</v>
      </c>
      <c r="X6102" s="33">
        <f>IFERROR(__xludf.DUMMYFUNCTION("""COMPUTED_VALUE"""),1.0)</f>
        <v>1</v>
      </c>
    </row>
    <row r="6103">
      <c r="K6103" s="4" t="str">
        <f>IFERROR(__xludf.DUMMYFUNCTION("""COMPUTED_VALUE"""),"FABRICIO LANCHES")</f>
        <v>FABRICIO LANCHES</v>
      </c>
      <c r="L6103" s="32">
        <f>IFERROR(__xludf.DUMMYFUNCTION("""COMPUTED_VALUE"""),2.0)</f>
        <v>2</v>
      </c>
      <c r="M6103" s="4" t="str">
        <f>IFERROR(__xludf.DUMMYFUNCTION("""COMPUTED_VALUE"""),"Saipos Serviços De Software")</f>
        <v>Saipos Serviços De Software</v>
      </c>
      <c r="N6103" s="33">
        <f>IFERROR(__xludf.DUMMYFUNCTION("""COMPUTED_VALUE"""),0.5)</f>
        <v>0.5</v>
      </c>
      <c r="O6103" s="4" t="str">
        <f>IFERROR(__xludf.DUMMYFUNCTION("""COMPUTED_VALUE"""),"null")</f>
        <v>null</v>
      </c>
      <c r="P6103" s="33">
        <f>IFERROR(__xludf.DUMMYFUNCTION("""COMPUTED_VALUE"""),0.5)</f>
        <v>0.5</v>
      </c>
      <c r="Q6103" s="4" t="str">
        <f>IFERROR(__xludf.DUMMYFUNCTION("""COMPUTED_VALUE"""),"null")</f>
        <v>null</v>
      </c>
      <c r="R6103" s="33">
        <f>IFERROR(__xludf.DUMMYFUNCTION("""COMPUTED_VALUE"""),0.5)</f>
        <v>0.5</v>
      </c>
      <c r="S6103" s="4" t="str">
        <f>IFERROR(__xludf.DUMMYFUNCTION("""COMPUTED_VALUE"""),"null")</f>
        <v>null</v>
      </c>
      <c r="T6103" s="33">
        <f>IFERROR(__xludf.DUMMYFUNCTION("""COMPUTED_VALUE"""),0.5)</f>
        <v>0.5</v>
      </c>
      <c r="U6103" s="4" t="str">
        <f>IFERROR(__xludf.DUMMYFUNCTION("""COMPUTED_VALUE"""),"null")</f>
        <v>null</v>
      </c>
      <c r="V6103" s="33">
        <f>IFERROR(__xludf.DUMMYFUNCTION("""COMPUTED_VALUE"""),0.5)</f>
        <v>0.5</v>
      </c>
      <c r="W6103" s="4" t="str">
        <f>IFERROR(__xludf.DUMMYFUNCTION("""COMPUTED_VALUE"""),"null")</f>
        <v>null</v>
      </c>
      <c r="X6103" s="33">
        <f>IFERROR(__xludf.DUMMYFUNCTION("""COMPUTED_VALUE"""),0.5)</f>
        <v>0.5</v>
      </c>
    </row>
    <row r="6104">
      <c r="K6104" s="4" t="str">
        <f>IFERROR(__xludf.DUMMYFUNCTION("""COMPUTED_VALUE"""),"COMPANHIA DO ACAI")</f>
        <v>COMPANHIA DO ACAI</v>
      </c>
      <c r="L6104" s="32">
        <f>IFERROR(__xludf.DUMMYFUNCTION("""COMPUTED_VALUE"""),2.0)</f>
        <v>2</v>
      </c>
      <c r="M6104" s="4" t="str">
        <f>IFERROR(__xludf.DUMMYFUNCTION("""COMPUTED_VALUE"""),"null")</f>
        <v>null</v>
      </c>
      <c r="N6104" s="33">
        <f>IFERROR(__xludf.DUMMYFUNCTION("""COMPUTED_VALUE"""),0.5)</f>
        <v>0.5</v>
      </c>
      <c r="O6104" s="4" t="str">
        <f>IFERROR(__xludf.DUMMYFUNCTION("""COMPUTED_VALUE"""),"Saipos Serviços De Software")</f>
        <v>Saipos Serviços De Software</v>
      </c>
      <c r="P6104" s="33">
        <f>IFERROR(__xludf.DUMMYFUNCTION("""COMPUTED_VALUE"""),0.5)</f>
        <v>0.5</v>
      </c>
      <c r="Q6104" s="4" t="str">
        <f>IFERROR(__xludf.DUMMYFUNCTION("""COMPUTED_VALUE"""),"Saipos Serviços De Software")</f>
        <v>Saipos Serviços De Software</v>
      </c>
      <c r="R6104" s="33">
        <f>IFERROR(__xludf.DUMMYFUNCTION("""COMPUTED_VALUE"""),0.5)</f>
        <v>0.5</v>
      </c>
      <c r="S6104" s="4" t="str">
        <f>IFERROR(__xludf.DUMMYFUNCTION("""COMPUTED_VALUE"""),"Crm Ti Ltda.")</f>
        <v>Crm Ti Ltda.</v>
      </c>
      <c r="T6104" s="33">
        <f>IFERROR(__xludf.DUMMYFUNCTION("""COMPUTED_VALUE"""),0.5)</f>
        <v>0.5</v>
      </c>
      <c r="U6104" s="4" t="str">
        <f>IFERROR(__xludf.DUMMYFUNCTION("""COMPUTED_VALUE"""),"null")</f>
        <v>null</v>
      </c>
      <c r="V6104" s="33">
        <f>IFERROR(__xludf.DUMMYFUNCTION("""COMPUTED_VALUE"""),1.0)</f>
        <v>1</v>
      </c>
      <c r="W6104" s="4" t="str">
        <f>IFERROR(__xludf.DUMMYFUNCTION("""COMPUTED_VALUE"""),"Crm Ti Ltda.")</f>
        <v>Crm Ti Ltda.</v>
      </c>
      <c r="X6104" s="33">
        <f>IFERROR(__xludf.DUMMYFUNCTION("""COMPUTED_VALUE"""),0.5)</f>
        <v>0.5</v>
      </c>
    </row>
    <row r="6105">
      <c r="K6105" s="4" t="str">
        <f>IFERROR(__xludf.DUMMYFUNCTION("""COMPUTED_VALUE"""),"BEST BURGUERS")</f>
        <v>BEST BURGUERS</v>
      </c>
      <c r="L6105" s="32">
        <f>IFERROR(__xludf.DUMMYFUNCTION("""COMPUTED_VALUE"""),2.0)</f>
        <v>2</v>
      </c>
      <c r="M6105" s="4" t="str">
        <f>IFERROR(__xludf.DUMMYFUNCTION("""COMPUTED_VALUE"""),"null")</f>
        <v>null</v>
      </c>
      <c r="N6105" s="33">
        <f>IFERROR(__xludf.DUMMYFUNCTION("""COMPUTED_VALUE"""),1.0)</f>
        <v>1</v>
      </c>
      <c r="O6105" s="4" t="str">
        <f>IFERROR(__xludf.DUMMYFUNCTION("""COMPUTED_VALUE"""),"null")</f>
        <v>null</v>
      </c>
      <c r="P6105" s="33">
        <f>IFERROR(__xludf.DUMMYFUNCTION("""COMPUTED_VALUE"""),1.0)</f>
        <v>1</v>
      </c>
      <c r="Q6105" s="4" t="str">
        <f>IFERROR(__xludf.DUMMYFUNCTION("""COMPUTED_VALUE"""),"null")</f>
        <v>null</v>
      </c>
      <c r="R6105" s="33">
        <f>IFERROR(__xludf.DUMMYFUNCTION("""COMPUTED_VALUE"""),1.0)</f>
        <v>1</v>
      </c>
      <c r="S6105" s="4" t="str">
        <f>IFERROR(__xludf.DUMMYFUNCTION("""COMPUTED_VALUE"""),"Saipos Serviços De Software")</f>
        <v>Saipos Serviços De Software</v>
      </c>
      <c r="T6105" s="33">
        <f>IFERROR(__xludf.DUMMYFUNCTION("""COMPUTED_VALUE"""),1.0)</f>
        <v>1</v>
      </c>
      <c r="U6105" s="4" t="str">
        <f>IFERROR(__xludf.DUMMYFUNCTION("""COMPUTED_VALUE"""),"Saipos Serviços De Software")</f>
        <v>Saipos Serviços De Software</v>
      </c>
      <c r="V6105" s="33">
        <f>IFERROR(__xludf.DUMMYFUNCTION("""COMPUTED_VALUE"""),1.0)</f>
        <v>1</v>
      </c>
      <c r="W6105" s="4" t="str">
        <f>IFERROR(__xludf.DUMMYFUNCTION("""COMPUTED_VALUE"""),"Saipos Serviços De Software")</f>
        <v>Saipos Serviços De Software</v>
      </c>
      <c r="X6105" s="33">
        <f>IFERROR(__xludf.DUMMYFUNCTION("""COMPUTED_VALUE"""),1.0)</f>
        <v>1</v>
      </c>
    </row>
    <row r="6106">
      <c r="K6106" s="4" t="str">
        <f>IFERROR(__xludf.DUMMYFUNCTION("""COMPUTED_VALUE"""),"PIZZAIOLOS DELIVERY")</f>
        <v>PIZZAIOLOS DELIVERY</v>
      </c>
      <c r="L6106" s="32">
        <f>IFERROR(__xludf.DUMMYFUNCTION("""COMPUTED_VALUE"""),2.0)</f>
        <v>2</v>
      </c>
      <c r="M6106" s="4" t="str">
        <f>IFERROR(__xludf.DUMMYFUNCTION("""COMPUTED_VALUE"""),"Suitable Tecnologia E Gestao")</f>
        <v>Suitable Tecnologia E Gestao</v>
      </c>
      <c r="N6106" s="33">
        <f>IFERROR(__xludf.DUMMYFUNCTION("""COMPUTED_VALUE"""),1.0)</f>
        <v>1</v>
      </c>
      <c r="O6106" s="4" t="str">
        <f>IFERROR(__xludf.DUMMYFUNCTION("""COMPUTED_VALUE"""),"Suitable Tecnologia E Gestao")</f>
        <v>Suitable Tecnologia E Gestao</v>
      </c>
      <c r="P6106" s="33">
        <f>IFERROR(__xludf.DUMMYFUNCTION("""COMPUTED_VALUE"""),1.0)</f>
        <v>1</v>
      </c>
      <c r="Q6106" s="4" t="str">
        <f>IFERROR(__xludf.DUMMYFUNCTION("""COMPUTED_VALUE"""),"Suitable Tecnologia E Gestao")</f>
        <v>Suitable Tecnologia E Gestao</v>
      </c>
      <c r="R6106" s="33">
        <f>IFERROR(__xludf.DUMMYFUNCTION("""COMPUTED_VALUE"""),1.0)</f>
        <v>1</v>
      </c>
      <c r="S6106" s="4" t="str">
        <f>IFERROR(__xludf.DUMMYFUNCTION("""COMPUTED_VALUE"""),"Suitable Tecnologia E Gestao")</f>
        <v>Suitable Tecnologia E Gestao</v>
      </c>
      <c r="T6106" s="33">
        <f>IFERROR(__xludf.DUMMYFUNCTION("""COMPUTED_VALUE"""),1.0)</f>
        <v>1</v>
      </c>
      <c r="U6106" s="4" t="str">
        <f>IFERROR(__xludf.DUMMYFUNCTION("""COMPUTED_VALUE"""),"Suitable Tecnologia E Gestao")</f>
        <v>Suitable Tecnologia E Gestao</v>
      </c>
      <c r="V6106" s="33">
        <f>IFERROR(__xludf.DUMMYFUNCTION("""COMPUTED_VALUE"""),1.0)</f>
        <v>1</v>
      </c>
      <c r="W6106" s="4" t="str">
        <f>IFERROR(__xludf.DUMMYFUNCTION("""COMPUTED_VALUE"""),"null")</f>
        <v>null</v>
      </c>
      <c r="X6106" s="33">
        <f>IFERROR(__xludf.DUMMYFUNCTION("""COMPUTED_VALUE"""),0.5)</f>
        <v>0.5</v>
      </c>
    </row>
    <row r="6107">
      <c r="K6107" s="4" t="str">
        <f>IFERROR(__xludf.DUMMYFUNCTION("""COMPUTED_VALUE"""),"MORETA BURGERS")</f>
        <v>MORETA BURGERS</v>
      </c>
      <c r="L6107" s="32">
        <f>IFERROR(__xludf.DUMMYFUNCTION("""COMPUTED_VALUE"""),2.0)</f>
        <v>2</v>
      </c>
      <c r="M6107" s="4" t="str">
        <f>IFERROR(__xludf.DUMMYFUNCTION("""COMPUTED_VALUE"""),"Saipos Serviços De Software")</f>
        <v>Saipos Serviços De Software</v>
      </c>
      <c r="N6107" s="33">
        <f>IFERROR(__xludf.DUMMYFUNCTION("""COMPUTED_VALUE"""),1.0)</f>
        <v>1</v>
      </c>
      <c r="O6107" s="4" t="str">
        <f>IFERROR(__xludf.DUMMYFUNCTION("""COMPUTED_VALUE"""),"Saipos Serviços De Software")</f>
        <v>Saipos Serviços De Software</v>
      </c>
      <c r="P6107" s="33">
        <f>IFERROR(__xludf.DUMMYFUNCTION("""COMPUTED_VALUE"""),0.5)</f>
        <v>0.5</v>
      </c>
      <c r="Q6107" s="4" t="str">
        <f>IFERROR(__xludf.DUMMYFUNCTION("""COMPUTED_VALUE"""),"Saipos Serviços De Software")</f>
        <v>Saipos Serviços De Software</v>
      </c>
      <c r="R6107" s="33">
        <f>IFERROR(__xludf.DUMMYFUNCTION("""COMPUTED_VALUE"""),0.5)</f>
        <v>0.5</v>
      </c>
      <c r="S6107" s="4" t="str">
        <f>IFERROR(__xludf.DUMMYFUNCTION("""COMPUTED_VALUE"""),"Saipos Serviços De Software")</f>
        <v>Saipos Serviços De Software</v>
      </c>
      <c r="T6107" s="33">
        <f>IFERROR(__xludf.DUMMYFUNCTION("""COMPUTED_VALUE"""),0.5)</f>
        <v>0.5</v>
      </c>
      <c r="U6107" s="4" t="str">
        <f>IFERROR(__xludf.DUMMYFUNCTION("""COMPUTED_VALUE"""),"Saipos Serviços De Software")</f>
        <v>Saipos Serviços De Software</v>
      </c>
      <c r="V6107" s="33">
        <f>IFERROR(__xludf.DUMMYFUNCTION("""COMPUTED_VALUE"""),1.0)</f>
        <v>1</v>
      </c>
      <c r="W6107" s="4" t="str">
        <f>IFERROR(__xludf.DUMMYFUNCTION("""COMPUTED_VALUE"""),"Saipos Serviços De Software")</f>
        <v>Saipos Serviços De Software</v>
      </c>
      <c r="X6107" s="33">
        <f>IFERROR(__xludf.DUMMYFUNCTION("""COMPUTED_VALUE"""),0.5)</f>
        <v>0.5</v>
      </c>
    </row>
    <row r="6108">
      <c r="K6108" s="4" t="str">
        <f>IFERROR(__xludf.DUMMYFUNCTION("""COMPUTED_VALUE"""),"PIZZA DO PEDACO")</f>
        <v>PIZZA DO PEDACO</v>
      </c>
      <c r="L6108" s="32">
        <f>IFERROR(__xludf.DUMMYFUNCTION("""COMPUTED_VALUE"""),2.0)</f>
        <v>2</v>
      </c>
      <c r="M6108" s="4" t="str">
        <f>IFERROR(__xludf.DUMMYFUNCTION("""COMPUTED_VALUE"""),"Expresso Delivery")</f>
        <v>Expresso Delivery</v>
      </c>
      <c r="N6108" s="33">
        <f>IFERROR(__xludf.DUMMYFUNCTION("""COMPUTED_VALUE"""),0.5)</f>
        <v>0.5</v>
      </c>
      <c r="O6108" s="4" t="str">
        <f>IFERROR(__xludf.DUMMYFUNCTION("""COMPUTED_VALUE"""),"Expresso Delivery")</f>
        <v>Expresso Delivery</v>
      </c>
      <c r="P6108" s="33">
        <f>IFERROR(__xludf.DUMMYFUNCTION("""COMPUTED_VALUE"""),0.5)</f>
        <v>0.5</v>
      </c>
      <c r="Q6108" s="4" t="str">
        <f>IFERROR(__xludf.DUMMYFUNCTION("""COMPUTED_VALUE"""),"Expresso Delivery")</f>
        <v>Expresso Delivery</v>
      </c>
      <c r="R6108" s="33">
        <f>IFERROR(__xludf.DUMMYFUNCTION("""COMPUTED_VALUE"""),0.5)</f>
        <v>0.5</v>
      </c>
      <c r="S6108" s="4" t="str">
        <f>IFERROR(__xludf.DUMMYFUNCTION("""COMPUTED_VALUE"""),"Expresso Delivery")</f>
        <v>Expresso Delivery</v>
      </c>
      <c r="T6108" s="33">
        <f>IFERROR(__xludf.DUMMYFUNCTION("""COMPUTED_VALUE"""),0.5)</f>
        <v>0.5</v>
      </c>
      <c r="U6108" s="4" t="str">
        <f>IFERROR(__xludf.DUMMYFUNCTION("""COMPUTED_VALUE"""),"Expresso Delivery")</f>
        <v>Expresso Delivery</v>
      </c>
      <c r="V6108" s="33">
        <f>IFERROR(__xludf.DUMMYFUNCTION("""COMPUTED_VALUE"""),0.5)</f>
        <v>0.5</v>
      </c>
      <c r="W6108" s="4" t="str">
        <f>IFERROR(__xludf.DUMMYFUNCTION("""COMPUTED_VALUE"""),"Expresso Delivery")</f>
        <v>Expresso Delivery</v>
      </c>
      <c r="X6108" s="33">
        <f>IFERROR(__xludf.DUMMYFUNCTION("""COMPUTED_VALUE"""),0.5)</f>
        <v>0.5</v>
      </c>
    </row>
    <row r="6109">
      <c r="K6109" s="4" t="str">
        <f>IFERROR(__xludf.DUMMYFUNCTION("""COMPUTED_VALUE"""),"DELICIAS DA SANDRA")</f>
        <v>DELICIAS DA SANDRA</v>
      </c>
      <c r="L6109" s="32">
        <f>IFERROR(__xludf.DUMMYFUNCTION("""COMPUTED_VALUE"""),2.0)</f>
        <v>2</v>
      </c>
      <c r="M6109" s="4" t="str">
        <f>IFERROR(__xludf.DUMMYFUNCTION("""COMPUTED_VALUE"""),"Olaclick")</f>
        <v>Olaclick</v>
      </c>
      <c r="N6109" s="33">
        <f>IFERROR(__xludf.DUMMYFUNCTION("""COMPUTED_VALUE"""),0.5)</f>
        <v>0.5</v>
      </c>
      <c r="O6109" s="4" t="str">
        <f>IFERROR(__xludf.DUMMYFUNCTION("""COMPUTED_VALUE"""),"Olaclick")</f>
        <v>Olaclick</v>
      </c>
      <c r="P6109" s="33">
        <f>IFERROR(__xludf.DUMMYFUNCTION("""COMPUTED_VALUE"""),0.5)</f>
        <v>0.5</v>
      </c>
      <c r="Q6109" s="4" t="str">
        <f>IFERROR(__xludf.DUMMYFUNCTION("""COMPUTED_VALUE"""),"Olaclick")</f>
        <v>Olaclick</v>
      </c>
      <c r="R6109" s="33">
        <f>IFERROR(__xludf.DUMMYFUNCTION("""COMPUTED_VALUE"""),0.5)</f>
        <v>0.5</v>
      </c>
      <c r="S6109" s="4" t="str">
        <f>IFERROR(__xludf.DUMMYFUNCTION("""COMPUTED_VALUE"""),"null")</f>
        <v>null</v>
      </c>
      <c r="T6109" s="33">
        <f>IFERROR(__xludf.DUMMYFUNCTION("""COMPUTED_VALUE"""),0.5)</f>
        <v>0.5</v>
      </c>
      <c r="U6109" s="4" t="str">
        <f>IFERROR(__xludf.DUMMYFUNCTION("""COMPUTED_VALUE"""),"Instadelivery")</f>
        <v>Instadelivery</v>
      </c>
      <c r="V6109" s="33">
        <f>IFERROR(__xludf.DUMMYFUNCTION("""COMPUTED_VALUE"""),1.0)</f>
        <v>1</v>
      </c>
      <c r="W6109" s="4" t="str">
        <f>IFERROR(__xludf.DUMMYFUNCTION("""COMPUTED_VALUE"""),"Instadelivery")</f>
        <v>Instadelivery</v>
      </c>
      <c r="X6109" s="33">
        <f>IFERROR(__xludf.DUMMYFUNCTION("""COMPUTED_VALUE"""),1.0)</f>
        <v>1</v>
      </c>
    </row>
    <row r="6110">
      <c r="K6110" s="4" t="str">
        <f>IFERROR(__xludf.DUMMYFUNCTION("""COMPUTED_VALUE"""),"SUSHI TEMAKI")</f>
        <v>SUSHI TEMAKI</v>
      </c>
      <c r="L6110" s="32">
        <f>IFERROR(__xludf.DUMMYFUNCTION("""COMPUTED_VALUE"""),2.0)</f>
        <v>2</v>
      </c>
      <c r="M6110" s="4" t="str">
        <f>IFERROR(__xludf.DUMMYFUNCTION("""COMPUTED_VALUE"""),"null")</f>
        <v>null</v>
      </c>
      <c r="N6110" s="33">
        <f>IFERROR(__xludf.DUMMYFUNCTION("""COMPUTED_VALUE"""),1.0)</f>
        <v>1</v>
      </c>
      <c r="O6110" s="4" t="str">
        <f>IFERROR(__xludf.DUMMYFUNCTION("""COMPUTED_VALUE"""),"Olaclick")</f>
        <v>Olaclick</v>
      </c>
      <c r="P6110" s="33">
        <f>IFERROR(__xludf.DUMMYFUNCTION("""COMPUTED_VALUE"""),0.5)</f>
        <v>0.5</v>
      </c>
      <c r="Q6110" s="4" t="str">
        <f>IFERROR(__xludf.DUMMYFUNCTION("""COMPUTED_VALUE"""),"Olaclick")</f>
        <v>Olaclick</v>
      </c>
      <c r="R6110" s="33">
        <f>IFERROR(__xludf.DUMMYFUNCTION("""COMPUTED_VALUE"""),0.5)</f>
        <v>0.5</v>
      </c>
      <c r="S6110" s="4" t="str">
        <f>IFERROR(__xludf.DUMMYFUNCTION("""COMPUTED_VALUE"""),"Olaclick")</f>
        <v>Olaclick</v>
      </c>
      <c r="T6110" s="33">
        <f>IFERROR(__xludf.DUMMYFUNCTION("""COMPUTED_VALUE"""),0.5)</f>
        <v>0.5</v>
      </c>
      <c r="U6110" s="4" t="str">
        <f>IFERROR(__xludf.DUMMYFUNCTION("""COMPUTED_VALUE"""),"Olaclick")</f>
        <v>Olaclick</v>
      </c>
      <c r="V6110" s="33">
        <f>IFERROR(__xludf.DUMMYFUNCTION("""COMPUTED_VALUE"""),0.5)</f>
        <v>0.5</v>
      </c>
      <c r="W6110" s="4" t="str">
        <f>IFERROR(__xludf.DUMMYFUNCTION("""COMPUTED_VALUE"""),"Olaclick")</f>
        <v>Olaclick</v>
      </c>
      <c r="X6110" s="33">
        <f>IFERROR(__xludf.DUMMYFUNCTION("""COMPUTED_VALUE"""),1.0)</f>
        <v>1</v>
      </c>
    </row>
    <row r="6111">
      <c r="K6111" s="4" t="str">
        <f>IFERROR(__xludf.DUMMYFUNCTION("""COMPUTED_VALUE"""),"WS BEBIDAS")</f>
        <v>WS BEBIDAS</v>
      </c>
      <c r="L6111" s="32">
        <f>IFERROR(__xludf.DUMMYFUNCTION("""COMPUTED_VALUE"""),2.0)</f>
        <v>2</v>
      </c>
      <c r="M6111" s="4" t="str">
        <f>IFERROR(__xludf.DUMMYFUNCTION("""COMPUTED_VALUE"""),"null")</f>
        <v>null</v>
      </c>
      <c r="N6111" s="33">
        <f>IFERROR(__xludf.DUMMYFUNCTION("""COMPUTED_VALUE"""),1.0)</f>
        <v>1</v>
      </c>
      <c r="O6111" s="4" t="str">
        <f>IFERROR(__xludf.DUMMYFUNCTION("""COMPUTED_VALUE"""),"null")</f>
        <v>null</v>
      </c>
      <c r="P6111" s="33">
        <f>IFERROR(__xludf.DUMMYFUNCTION("""COMPUTED_VALUE"""),1.0)</f>
        <v>1</v>
      </c>
      <c r="Q6111" s="4" t="str">
        <f>IFERROR(__xludf.DUMMYFUNCTION("""COMPUTED_VALUE"""),"null")</f>
        <v>null</v>
      </c>
      <c r="R6111" s="33">
        <f>IFERROR(__xludf.DUMMYFUNCTION("""COMPUTED_VALUE"""),1.0)</f>
        <v>1</v>
      </c>
      <c r="S6111" s="4" t="str">
        <f>IFERROR(__xludf.DUMMYFUNCTION("""COMPUTED_VALUE"""),"null")</f>
        <v>null</v>
      </c>
      <c r="T6111" s="33">
        <f>IFERROR(__xludf.DUMMYFUNCTION("""COMPUTED_VALUE"""),1.0)</f>
        <v>1</v>
      </c>
      <c r="U6111" s="4" t="str">
        <f>IFERROR(__xludf.DUMMYFUNCTION("""COMPUTED_VALUE"""),"null")</f>
        <v>null</v>
      </c>
      <c r="V6111" s="33">
        <f>IFERROR(__xludf.DUMMYFUNCTION("""COMPUTED_VALUE"""),0.5)</f>
        <v>0.5</v>
      </c>
      <c r="W6111" s="4" t="str">
        <f>IFERROR(__xludf.DUMMYFUNCTION("""COMPUTED_VALUE"""),"Saipos Serviços De Software")</f>
        <v>Saipos Serviços De Software</v>
      </c>
      <c r="X6111" s="33">
        <f>IFERROR(__xludf.DUMMYFUNCTION("""COMPUTED_VALUE"""),0.5)</f>
        <v>0.5</v>
      </c>
    </row>
    <row r="6112">
      <c r="K6112" s="4" t="str">
        <f>IFERROR(__xludf.DUMMYFUNCTION("""COMPUTED_VALUE"""),"COSTELAO")</f>
        <v>COSTELAO</v>
      </c>
      <c r="L6112" s="32">
        <f>IFERROR(__xludf.DUMMYFUNCTION("""COMPUTED_VALUE"""),2.0)</f>
        <v>2</v>
      </c>
      <c r="M6112" s="4" t="str">
        <f>IFERROR(__xludf.DUMMYFUNCTION("""COMPUTED_VALUE"""),"null")</f>
        <v>null</v>
      </c>
      <c r="N6112" s="33">
        <f>IFERROR(__xludf.DUMMYFUNCTION("""COMPUTED_VALUE"""),0.5)</f>
        <v>0.5</v>
      </c>
      <c r="O6112" s="4" t="str">
        <f>IFERROR(__xludf.DUMMYFUNCTION("""COMPUTED_VALUE"""),"null")</f>
        <v>null</v>
      </c>
      <c r="P6112" s="33">
        <f>IFERROR(__xludf.DUMMYFUNCTION("""COMPUTED_VALUE"""),1.0)</f>
        <v>1</v>
      </c>
      <c r="Q6112" s="4" t="str">
        <f>IFERROR(__xludf.DUMMYFUNCTION("""COMPUTED_VALUE"""),"Whatsmenu Ltda")</f>
        <v>Whatsmenu Ltda</v>
      </c>
      <c r="R6112" s="33">
        <f>IFERROR(__xludf.DUMMYFUNCTION("""COMPUTED_VALUE"""),0.5)</f>
        <v>0.5</v>
      </c>
      <c r="S6112" s="4" t="str">
        <f>IFERROR(__xludf.DUMMYFUNCTION("""COMPUTED_VALUE"""),"Whatsmenu Ltda")</f>
        <v>Whatsmenu Ltda</v>
      </c>
      <c r="T6112" s="33">
        <f>IFERROR(__xludf.DUMMYFUNCTION("""COMPUTED_VALUE"""),0.5)</f>
        <v>0.5</v>
      </c>
      <c r="U6112" s="4" t="str">
        <f>IFERROR(__xludf.DUMMYFUNCTION("""COMPUTED_VALUE"""),"null")</f>
        <v>null</v>
      </c>
      <c r="V6112" s="33">
        <f>IFERROR(__xludf.DUMMYFUNCTION("""COMPUTED_VALUE"""),1.0)</f>
        <v>1</v>
      </c>
      <c r="W6112" s="4" t="str">
        <f>IFERROR(__xludf.DUMMYFUNCTION("""COMPUTED_VALUE"""),"null")</f>
        <v>null</v>
      </c>
      <c r="X6112" s="33">
        <f>IFERROR(__xludf.DUMMYFUNCTION("""COMPUTED_VALUE"""),1.0)</f>
        <v>1</v>
      </c>
    </row>
    <row r="6113">
      <c r="K6113" s="4" t="str">
        <f>IFERROR(__xludf.DUMMYFUNCTION("""COMPUTED_VALUE"""),"FAMBURGER")</f>
        <v>FAMBURGER</v>
      </c>
      <c r="L6113" s="32">
        <f>IFERROR(__xludf.DUMMYFUNCTION("""COMPUTED_VALUE"""),2.0)</f>
        <v>2</v>
      </c>
      <c r="M6113" s="4" t="str">
        <f>IFERROR(__xludf.DUMMYFUNCTION("""COMPUTED_VALUE"""),"Food Plus")</f>
        <v>Food Plus</v>
      </c>
      <c r="N6113" s="33">
        <f>IFERROR(__xludf.DUMMYFUNCTION("""COMPUTED_VALUE"""),0.5)</f>
        <v>0.5</v>
      </c>
      <c r="O6113" s="4" t="str">
        <f>IFERROR(__xludf.DUMMYFUNCTION("""COMPUTED_VALUE"""),"Food Plus")</f>
        <v>Food Plus</v>
      </c>
      <c r="P6113" s="33">
        <f>IFERROR(__xludf.DUMMYFUNCTION("""COMPUTED_VALUE"""),1.0)</f>
        <v>1</v>
      </c>
      <c r="Q6113" s="4" t="str">
        <f>IFERROR(__xludf.DUMMYFUNCTION("""COMPUTED_VALUE"""),"Food Plus")</f>
        <v>Food Plus</v>
      </c>
      <c r="R6113" s="33">
        <f>IFERROR(__xludf.DUMMYFUNCTION("""COMPUTED_VALUE"""),0.5)</f>
        <v>0.5</v>
      </c>
      <c r="S6113" s="4" t="str">
        <f>IFERROR(__xludf.DUMMYFUNCTION("""COMPUTED_VALUE"""),"Food Plus")</f>
        <v>Food Plus</v>
      </c>
      <c r="T6113" s="33">
        <f>IFERROR(__xludf.DUMMYFUNCTION("""COMPUTED_VALUE"""),0.5)</f>
        <v>0.5</v>
      </c>
      <c r="U6113" s="4" t="str">
        <f>IFERROR(__xludf.DUMMYFUNCTION("""COMPUTED_VALUE"""),"Food Plus")</f>
        <v>Food Plus</v>
      </c>
      <c r="V6113" s="33">
        <f>IFERROR(__xludf.DUMMYFUNCTION("""COMPUTED_VALUE"""),0.5)</f>
        <v>0.5</v>
      </c>
      <c r="W6113" s="4" t="str">
        <f>IFERROR(__xludf.DUMMYFUNCTION("""COMPUTED_VALUE"""),"Food Plus")</f>
        <v>Food Plus</v>
      </c>
      <c r="X6113" s="33">
        <f>IFERROR(__xludf.DUMMYFUNCTION("""COMPUTED_VALUE"""),1.0)</f>
        <v>1</v>
      </c>
    </row>
    <row r="6114">
      <c r="K6114" s="4" t="str">
        <f>IFERROR(__xludf.DUMMYFUNCTION("""COMPUTED_VALUE"""),"NAYO SUSHI E FRUTOS DO MAR")</f>
        <v>NAYO SUSHI E FRUTOS DO MAR</v>
      </c>
      <c r="L6114" s="32">
        <f>IFERROR(__xludf.DUMMYFUNCTION("""COMPUTED_VALUE"""),2.0)</f>
        <v>2</v>
      </c>
      <c r="M6114" s="4" t="str">
        <f>IFERROR(__xludf.DUMMYFUNCTION("""COMPUTED_VALUE"""),"Bitbar")</f>
        <v>Bitbar</v>
      </c>
      <c r="N6114" s="33">
        <f>IFERROR(__xludf.DUMMYFUNCTION("""COMPUTED_VALUE"""),1.0)</f>
        <v>1</v>
      </c>
      <c r="O6114" s="4" t="str">
        <f>IFERROR(__xludf.DUMMYFUNCTION("""COMPUTED_VALUE"""),"Bitbar")</f>
        <v>Bitbar</v>
      </c>
      <c r="P6114" s="33">
        <f>IFERROR(__xludf.DUMMYFUNCTION("""COMPUTED_VALUE"""),1.0)</f>
        <v>1</v>
      </c>
      <c r="Q6114" s="4" t="str">
        <f>IFERROR(__xludf.DUMMYFUNCTION("""COMPUTED_VALUE"""),"Bitbar")</f>
        <v>Bitbar</v>
      </c>
      <c r="R6114" s="33">
        <f>IFERROR(__xludf.DUMMYFUNCTION("""COMPUTED_VALUE"""),0.5)</f>
        <v>0.5</v>
      </c>
      <c r="S6114" s="4" t="str">
        <f>IFERROR(__xludf.DUMMYFUNCTION("""COMPUTED_VALUE"""),"Bitbar")</f>
        <v>Bitbar</v>
      </c>
      <c r="T6114" s="33">
        <f>IFERROR(__xludf.DUMMYFUNCTION("""COMPUTED_VALUE"""),1.0)</f>
        <v>1</v>
      </c>
      <c r="U6114" s="4" t="str">
        <f>IFERROR(__xludf.DUMMYFUNCTION("""COMPUTED_VALUE"""),"Bitbar")</f>
        <v>Bitbar</v>
      </c>
      <c r="V6114" s="33">
        <f>IFERROR(__xludf.DUMMYFUNCTION("""COMPUTED_VALUE"""),1.0)</f>
        <v>1</v>
      </c>
      <c r="W6114" s="4" t="str">
        <f>IFERROR(__xludf.DUMMYFUNCTION("""COMPUTED_VALUE"""),"Bitbar")</f>
        <v>Bitbar</v>
      </c>
      <c r="X6114" s="33">
        <f>IFERROR(__xludf.DUMMYFUNCTION("""COMPUTED_VALUE"""),1.0)</f>
        <v>1</v>
      </c>
    </row>
    <row r="6115">
      <c r="K6115" s="4" t="str">
        <f>IFERROR(__xludf.DUMMYFUNCTION("""COMPUTED_VALUE"""),"LANCHONETE DO IRMAO")</f>
        <v>LANCHONETE DO IRMAO</v>
      </c>
      <c r="L6115" s="32">
        <f>IFERROR(__xludf.DUMMYFUNCTION("""COMPUTED_VALUE"""),2.0)</f>
        <v>2</v>
      </c>
      <c r="M6115" s="4" t="str">
        <f>IFERROR(__xludf.DUMMYFUNCTION("""COMPUTED_VALUE"""),"Yooga")</f>
        <v>Yooga</v>
      </c>
      <c r="N6115" s="33">
        <f>IFERROR(__xludf.DUMMYFUNCTION("""COMPUTED_VALUE"""),0.5)</f>
        <v>0.5</v>
      </c>
      <c r="O6115" s="4" t="str">
        <f>IFERROR(__xludf.DUMMYFUNCTION("""COMPUTED_VALUE"""),"Yooga")</f>
        <v>Yooga</v>
      </c>
      <c r="P6115" s="33">
        <f>IFERROR(__xludf.DUMMYFUNCTION("""COMPUTED_VALUE"""),0.5)</f>
        <v>0.5</v>
      </c>
      <c r="Q6115" s="4" t="str">
        <f>IFERROR(__xludf.DUMMYFUNCTION("""COMPUTED_VALUE"""),"Yooga")</f>
        <v>Yooga</v>
      </c>
      <c r="R6115" s="33">
        <f>IFERROR(__xludf.DUMMYFUNCTION("""COMPUTED_VALUE"""),0.5)</f>
        <v>0.5</v>
      </c>
      <c r="S6115" s="4" t="str">
        <f>IFERROR(__xludf.DUMMYFUNCTION("""COMPUTED_VALUE"""),"Yooga")</f>
        <v>Yooga</v>
      </c>
      <c r="T6115" s="33">
        <f>IFERROR(__xludf.DUMMYFUNCTION("""COMPUTED_VALUE"""),0.5)</f>
        <v>0.5</v>
      </c>
      <c r="U6115" s="4" t="str">
        <f>IFERROR(__xludf.DUMMYFUNCTION("""COMPUTED_VALUE"""),"Yooga")</f>
        <v>Yooga</v>
      </c>
      <c r="V6115" s="33">
        <f>IFERROR(__xludf.DUMMYFUNCTION("""COMPUTED_VALUE"""),0.5)</f>
        <v>0.5</v>
      </c>
      <c r="W6115" s="4" t="str">
        <f>IFERROR(__xludf.DUMMYFUNCTION("""COMPUTED_VALUE"""),"Yooga")</f>
        <v>Yooga</v>
      </c>
      <c r="X6115" s="33">
        <f>IFERROR(__xludf.DUMMYFUNCTION("""COMPUTED_VALUE"""),0.5)</f>
        <v>0.5</v>
      </c>
    </row>
    <row r="6116">
      <c r="K6116" s="4" t="str">
        <f>IFERROR(__xludf.DUMMYFUNCTION("""COMPUTED_VALUE"""),"VENEZA PIZZARIA")</f>
        <v>VENEZA PIZZARIA</v>
      </c>
      <c r="L6116" s="32">
        <f>IFERROR(__xludf.DUMMYFUNCTION("""COMPUTED_VALUE"""),2.0)</f>
        <v>2</v>
      </c>
      <c r="M6116" s="4" t="str">
        <f>IFERROR(__xludf.DUMMYFUNCTION("""COMPUTED_VALUE"""),"Grk Soluções Informatica Eireli")</f>
        <v>Grk Soluções Informatica Eireli</v>
      </c>
      <c r="N6116" s="33">
        <f>IFERROR(__xludf.DUMMYFUNCTION("""COMPUTED_VALUE"""),0.5)</f>
        <v>0.5</v>
      </c>
      <c r="O6116" s="4" t="str">
        <f>IFERROR(__xludf.DUMMYFUNCTION("""COMPUTED_VALUE"""),"Grk Soluções Informatica Eireli")</f>
        <v>Grk Soluções Informatica Eireli</v>
      </c>
      <c r="P6116" s="33">
        <f>IFERROR(__xludf.DUMMYFUNCTION("""COMPUTED_VALUE"""),0.5)</f>
        <v>0.5</v>
      </c>
      <c r="Q6116" s="4" t="str">
        <f>IFERROR(__xludf.DUMMYFUNCTION("""COMPUTED_VALUE"""),"Grk Soluções Informatica Eireli")</f>
        <v>Grk Soluções Informatica Eireli</v>
      </c>
      <c r="R6116" s="33">
        <f>IFERROR(__xludf.DUMMYFUNCTION("""COMPUTED_VALUE"""),0.5)</f>
        <v>0.5</v>
      </c>
      <c r="S6116" s="4" t="str">
        <f>IFERROR(__xludf.DUMMYFUNCTION("""COMPUTED_VALUE"""),"Grk Soluções Informatica Eireli")</f>
        <v>Grk Soluções Informatica Eireli</v>
      </c>
      <c r="T6116" s="33">
        <f>IFERROR(__xludf.DUMMYFUNCTION("""COMPUTED_VALUE"""),0.5)</f>
        <v>0.5</v>
      </c>
      <c r="U6116" s="4" t="str">
        <f>IFERROR(__xludf.DUMMYFUNCTION("""COMPUTED_VALUE"""),"Grk Soluções Informatica Eireli")</f>
        <v>Grk Soluções Informatica Eireli</v>
      </c>
      <c r="V6116" s="33">
        <f>IFERROR(__xludf.DUMMYFUNCTION("""COMPUTED_VALUE"""),0.5)</f>
        <v>0.5</v>
      </c>
      <c r="W6116" s="4" t="str">
        <f>IFERROR(__xludf.DUMMYFUNCTION("""COMPUTED_VALUE"""),"Grk Soluções Informatica Eireli")</f>
        <v>Grk Soluções Informatica Eireli</v>
      </c>
      <c r="X6116" s="33">
        <f>IFERROR(__xludf.DUMMYFUNCTION("""COMPUTED_VALUE"""),0.5)</f>
        <v>0.5</v>
      </c>
    </row>
    <row r="6117">
      <c r="K6117" s="4" t="str">
        <f>IFERROR(__xludf.DUMMYFUNCTION("""COMPUTED_VALUE"""),"BLACK SUSHI")</f>
        <v>BLACK SUSHI</v>
      </c>
      <c r="L6117" s="32">
        <f>IFERROR(__xludf.DUMMYFUNCTION("""COMPUTED_VALUE"""),2.0)</f>
        <v>2</v>
      </c>
      <c r="M6117" s="4" t="str">
        <f>IFERROR(__xludf.DUMMYFUNCTION("""COMPUTED_VALUE"""),"Dev10 Soluções Em Sotfware Ltda")</f>
        <v>Dev10 Soluções Em Sotfware Ltda</v>
      </c>
      <c r="N6117" s="33">
        <f>IFERROR(__xludf.DUMMYFUNCTION("""COMPUTED_VALUE"""),0.5)</f>
        <v>0.5</v>
      </c>
      <c r="O6117" s="4" t="str">
        <f>IFERROR(__xludf.DUMMYFUNCTION("""COMPUTED_VALUE"""),"Dev10 Soluções Em Sotfware Ltda")</f>
        <v>Dev10 Soluções Em Sotfware Ltda</v>
      </c>
      <c r="P6117" s="33">
        <f>IFERROR(__xludf.DUMMYFUNCTION("""COMPUTED_VALUE"""),0.5)</f>
        <v>0.5</v>
      </c>
      <c r="Q6117" s="4" t="str">
        <f>IFERROR(__xludf.DUMMYFUNCTION("""COMPUTED_VALUE"""),"Dev10 Soluções Em Sotfware Ltda")</f>
        <v>Dev10 Soluções Em Sotfware Ltda</v>
      </c>
      <c r="R6117" s="33">
        <f>IFERROR(__xludf.DUMMYFUNCTION("""COMPUTED_VALUE"""),0.5)</f>
        <v>0.5</v>
      </c>
      <c r="S6117" s="4" t="str">
        <f>IFERROR(__xludf.DUMMYFUNCTION("""COMPUTED_VALUE"""),"Dev10 Soluções Em Sotfware Ltda")</f>
        <v>Dev10 Soluções Em Sotfware Ltda</v>
      </c>
      <c r="T6117" s="33">
        <f>IFERROR(__xludf.DUMMYFUNCTION("""COMPUTED_VALUE"""),0.5)</f>
        <v>0.5</v>
      </c>
      <c r="U6117" s="4" t="str">
        <f>IFERROR(__xludf.DUMMYFUNCTION("""COMPUTED_VALUE"""),"null")</f>
        <v>null</v>
      </c>
      <c r="V6117" s="33">
        <f>IFERROR(__xludf.DUMMYFUNCTION("""COMPUTED_VALUE"""),0.5)</f>
        <v>0.5</v>
      </c>
      <c r="W6117" s="4" t="str">
        <f>IFERROR(__xludf.DUMMYFUNCTION("""COMPUTED_VALUE"""),"Dev10 Soluções Em Sotfware Ltda")</f>
        <v>Dev10 Soluções Em Sotfware Ltda</v>
      </c>
      <c r="X6117" s="33">
        <f>IFERROR(__xludf.DUMMYFUNCTION("""COMPUTED_VALUE"""),0.5)</f>
        <v>0.5</v>
      </c>
    </row>
    <row r="6118">
      <c r="K6118" s="4" t="str">
        <f>IFERROR(__xludf.DUMMYFUNCTION("""COMPUTED_VALUE"""),"BOLOGNAS MACARRAO EXPRESSO")</f>
        <v>BOLOGNAS MACARRAO EXPRESSO</v>
      </c>
      <c r="L6118" s="32">
        <f>IFERROR(__xludf.DUMMYFUNCTION("""COMPUTED_VALUE"""),2.0)</f>
        <v>2</v>
      </c>
      <c r="M6118" s="4" t="str">
        <f>IFERROR(__xludf.DUMMYFUNCTION("""COMPUTED_VALUE"""),"Consumer Soluções Em Tecnologia Ltda")</f>
        <v>Consumer Soluções Em Tecnologia Ltda</v>
      </c>
      <c r="N6118" s="33">
        <f>IFERROR(__xludf.DUMMYFUNCTION("""COMPUTED_VALUE"""),0.5)</f>
        <v>0.5</v>
      </c>
      <c r="O6118" s="4" t="str">
        <f>IFERROR(__xludf.DUMMYFUNCTION("""COMPUTED_VALUE"""),"Consumer Soluções Em Tecnologia Ltda")</f>
        <v>Consumer Soluções Em Tecnologia Ltda</v>
      </c>
      <c r="P6118" s="33">
        <f>IFERROR(__xludf.DUMMYFUNCTION("""COMPUTED_VALUE"""),0.5)</f>
        <v>0.5</v>
      </c>
      <c r="Q6118" s="4" t="str">
        <f>IFERROR(__xludf.DUMMYFUNCTION("""COMPUTED_VALUE"""),"Consumer Soluções Em Tecnologia Ltda")</f>
        <v>Consumer Soluções Em Tecnologia Ltda</v>
      </c>
      <c r="R6118" s="33">
        <f>IFERROR(__xludf.DUMMYFUNCTION("""COMPUTED_VALUE"""),0.5)</f>
        <v>0.5</v>
      </c>
      <c r="S6118" s="4" t="str">
        <f>IFERROR(__xludf.DUMMYFUNCTION("""COMPUTED_VALUE"""),"Consumer Soluções Em Tecnologia Ltda")</f>
        <v>Consumer Soluções Em Tecnologia Ltda</v>
      </c>
      <c r="T6118" s="33">
        <f>IFERROR(__xludf.DUMMYFUNCTION("""COMPUTED_VALUE"""),0.5)</f>
        <v>0.5</v>
      </c>
      <c r="U6118" s="4" t="str">
        <f>IFERROR(__xludf.DUMMYFUNCTION("""COMPUTED_VALUE"""),"Consumer Soluções Em Tecnologia Ltda")</f>
        <v>Consumer Soluções Em Tecnologia Ltda</v>
      </c>
      <c r="V6118" s="33">
        <f>IFERROR(__xludf.DUMMYFUNCTION("""COMPUTED_VALUE"""),0.5)</f>
        <v>0.5</v>
      </c>
      <c r="W6118" s="4" t="str">
        <f>IFERROR(__xludf.DUMMYFUNCTION("""COMPUTED_VALUE"""),"Consumer Soluções Em Tecnologia Ltda")</f>
        <v>Consumer Soluções Em Tecnologia Ltda</v>
      </c>
      <c r="X6118" s="33">
        <f>IFERROR(__xludf.DUMMYFUNCTION("""COMPUTED_VALUE"""),0.5)</f>
        <v>0.5</v>
      </c>
    </row>
    <row r="6119">
      <c r="K6119" s="4" t="str">
        <f>IFERROR(__xludf.DUMMYFUNCTION("""COMPUTED_VALUE"""),"GEORGIA CAFE - BOLOS , DOCES SALGADOS")</f>
        <v>GEORGIA CAFE - BOLOS , DOCES SALGADOS</v>
      </c>
      <c r="L6119" s="32">
        <f>IFERROR(__xludf.DUMMYFUNCTION("""COMPUTED_VALUE"""),2.0)</f>
        <v>2</v>
      </c>
      <c r="M6119" s="4" t="str">
        <f>IFERROR(__xludf.DUMMYFUNCTION("""COMPUTED_VALUE"""),"Eclética Tecnologia")</f>
        <v>Eclética Tecnologia</v>
      </c>
      <c r="N6119" s="33">
        <f>IFERROR(__xludf.DUMMYFUNCTION("""COMPUTED_VALUE"""),1.0)</f>
        <v>1</v>
      </c>
      <c r="O6119" s="4" t="str">
        <f>IFERROR(__xludf.DUMMYFUNCTION("""COMPUTED_VALUE"""),"Eclética Tecnologia")</f>
        <v>Eclética Tecnologia</v>
      </c>
      <c r="P6119" s="33">
        <f>IFERROR(__xludf.DUMMYFUNCTION("""COMPUTED_VALUE"""),1.0)</f>
        <v>1</v>
      </c>
      <c r="Q6119" s="4" t="str">
        <f>IFERROR(__xludf.DUMMYFUNCTION("""COMPUTED_VALUE"""),"Eclética Tecnologia")</f>
        <v>Eclética Tecnologia</v>
      </c>
      <c r="R6119" s="33">
        <f>IFERROR(__xludf.DUMMYFUNCTION("""COMPUTED_VALUE"""),1.0)</f>
        <v>1</v>
      </c>
      <c r="S6119" s="4" t="str">
        <f>IFERROR(__xludf.DUMMYFUNCTION("""COMPUTED_VALUE"""),"Eclética Tecnologia")</f>
        <v>Eclética Tecnologia</v>
      </c>
      <c r="T6119" s="33">
        <f>IFERROR(__xludf.DUMMYFUNCTION("""COMPUTED_VALUE"""),1.0)</f>
        <v>1</v>
      </c>
      <c r="U6119" s="4" t="str">
        <f>IFERROR(__xludf.DUMMYFUNCTION("""COMPUTED_VALUE"""),"Eclética Tecnologia")</f>
        <v>Eclética Tecnologia</v>
      </c>
      <c r="V6119" s="33">
        <f>IFERROR(__xludf.DUMMYFUNCTION("""COMPUTED_VALUE"""),0.5)</f>
        <v>0.5</v>
      </c>
      <c r="W6119" s="4" t="str">
        <f>IFERROR(__xludf.DUMMYFUNCTION("""COMPUTED_VALUE"""),"null")</f>
        <v>null</v>
      </c>
      <c r="X6119" s="33">
        <f>IFERROR(__xludf.DUMMYFUNCTION("""COMPUTED_VALUE"""),0.5)</f>
        <v>0.5</v>
      </c>
    </row>
    <row r="6120">
      <c r="K6120" s="4" t="str">
        <f>IFERROR(__xludf.DUMMYFUNCTION("""COMPUTED_VALUE"""),"LIGEIRINHO SALGADOS")</f>
        <v>LIGEIRINHO SALGADOS</v>
      </c>
      <c r="L6120" s="32">
        <f>IFERROR(__xludf.DUMMYFUNCTION("""COMPUTED_VALUE"""),2.0)</f>
        <v>2</v>
      </c>
      <c r="M6120" s="4" t="str">
        <f>IFERROR(__xludf.DUMMYFUNCTION("""COMPUTED_VALUE"""),"Cardápio Web")</f>
        <v>Cardápio Web</v>
      </c>
      <c r="N6120" s="33">
        <f>IFERROR(__xludf.DUMMYFUNCTION("""COMPUTED_VALUE"""),0.5)</f>
        <v>0.5</v>
      </c>
      <c r="O6120" s="4" t="str">
        <f>IFERROR(__xludf.DUMMYFUNCTION("""COMPUTED_VALUE"""),"Cardápio Web")</f>
        <v>Cardápio Web</v>
      </c>
      <c r="P6120" s="33">
        <f>IFERROR(__xludf.DUMMYFUNCTION("""COMPUTED_VALUE"""),0.5)</f>
        <v>0.5</v>
      </c>
      <c r="Q6120" s="4" t="str">
        <f>IFERROR(__xludf.DUMMYFUNCTION("""COMPUTED_VALUE"""),"Cardápio Web")</f>
        <v>Cardápio Web</v>
      </c>
      <c r="R6120" s="33">
        <f>IFERROR(__xludf.DUMMYFUNCTION("""COMPUTED_VALUE"""),0.5)</f>
        <v>0.5</v>
      </c>
      <c r="S6120" s="4" t="str">
        <f>IFERROR(__xludf.DUMMYFUNCTION("""COMPUTED_VALUE"""),"Cardápio Web")</f>
        <v>Cardápio Web</v>
      </c>
      <c r="T6120" s="33">
        <f>IFERROR(__xludf.DUMMYFUNCTION("""COMPUTED_VALUE"""),0.5)</f>
        <v>0.5</v>
      </c>
      <c r="U6120" s="4" t="str">
        <f>IFERROR(__xludf.DUMMYFUNCTION("""COMPUTED_VALUE"""),"Cardápio Web")</f>
        <v>Cardápio Web</v>
      </c>
      <c r="V6120" s="33">
        <f>IFERROR(__xludf.DUMMYFUNCTION("""COMPUTED_VALUE"""),0.5)</f>
        <v>0.5</v>
      </c>
      <c r="W6120" s="4" t="str">
        <f>IFERROR(__xludf.DUMMYFUNCTION("""COMPUTED_VALUE"""),"null")</f>
        <v>null</v>
      </c>
      <c r="X6120" s="33">
        <f>IFERROR(__xludf.DUMMYFUNCTION("""COMPUTED_VALUE"""),0.5)</f>
        <v>0.5</v>
      </c>
    </row>
    <row r="6121">
      <c r="K6121" s="4" t="str">
        <f>IFERROR(__xludf.DUMMYFUNCTION("""COMPUTED_VALUE"""),"PASTELARIA DA VILA")</f>
        <v>PASTELARIA DA VILA</v>
      </c>
      <c r="L6121" s="32">
        <f>IFERROR(__xludf.DUMMYFUNCTION("""COMPUTED_VALUE"""),2.0)</f>
        <v>2</v>
      </c>
      <c r="M6121" s="4" t="str">
        <f>IFERROR(__xludf.DUMMYFUNCTION("""COMPUTED_VALUE"""),"Consumer Soluções Em Tecnologia Ltda")</f>
        <v>Consumer Soluções Em Tecnologia Ltda</v>
      </c>
      <c r="N6121" s="33">
        <f>IFERROR(__xludf.DUMMYFUNCTION("""COMPUTED_VALUE"""),1.0)</f>
        <v>1</v>
      </c>
      <c r="O6121" s="4" t="str">
        <f>IFERROR(__xludf.DUMMYFUNCTION("""COMPUTED_VALUE"""),"Consumer Soluções Em Tecnologia Ltda")</f>
        <v>Consumer Soluções Em Tecnologia Ltda</v>
      </c>
      <c r="P6121" s="33">
        <f>IFERROR(__xludf.DUMMYFUNCTION("""COMPUTED_VALUE"""),1.0)</f>
        <v>1</v>
      </c>
      <c r="Q6121" s="4" t="str">
        <f>IFERROR(__xludf.DUMMYFUNCTION("""COMPUTED_VALUE"""),"Consumer Soluções Em Tecnologia Ltda")</f>
        <v>Consumer Soluções Em Tecnologia Ltda</v>
      </c>
      <c r="R6121" s="33">
        <f>IFERROR(__xludf.DUMMYFUNCTION("""COMPUTED_VALUE"""),0.5)</f>
        <v>0.5</v>
      </c>
      <c r="S6121" s="4" t="str">
        <f>IFERROR(__xludf.DUMMYFUNCTION("""COMPUTED_VALUE"""),"Consumer Soluções Em Tecnologia Ltda")</f>
        <v>Consumer Soluções Em Tecnologia Ltda</v>
      </c>
      <c r="T6121" s="33">
        <f>IFERROR(__xludf.DUMMYFUNCTION("""COMPUTED_VALUE"""),0.5)</f>
        <v>0.5</v>
      </c>
      <c r="U6121" s="4" t="str">
        <f>IFERROR(__xludf.DUMMYFUNCTION("""COMPUTED_VALUE"""),"Consumer Soluções Em Tecnologia Ltda")</f>
        <v>Consumer Soluções Em Tecnologia Ltda</v>
      </c>
      <c r="V6121" s="33">
        <f>IFERROR(__xludf.DUMMYFUNCTION("""COMPUTED_VALUE"""),1.0)</f>
        <v>1</v>
      </c>
      <c r="W6121" s="4" t="str">
        <f>IFERROR(__xludf.DUMMYFUNCTION("""COMPUTED_VALUE"""),"Consumer Soluções Em Tecnologia Ltda")</f>
        <v>Consumer Soluções Em Tecnologia Ltda</v>
      </c>
      <c r="X6121" s="33">
        <f>IFERROR(__xludf.DUMMYFUNCTION("""COMPUTED_VALUE"""),0.5)</f>
        <v>0.5</v>
      </c>
    </row>
    <row r="6122">
      <c r="K6122" s="4" t="str">
        <f>IFERROR(__xludf.DUMMYFUNCTION("""COMPUTED_VALUE"""),"CIA DA PICANHA")</f>
        <v>CIA DA PICANHA</v>
      </c>
      <c r="L6122" s="32">
        <f>IFERROR(__xludf.DUMMYFUNCTION("""COMPUTED_VALUE"""),2.0)</f>
        <v>2</v>
      </c>
      <c r="M6122" s="4" t="str">
        <f>IFERROR(__xludf.DUMMYFUNCTION("""COMPUTED_VALUE"""),"Alpha Logo")</f>
        <v>Alpha Logo</v>
      </c>
      <c r="N6122" s="33">
        <f>IFERROR(__xludf.DUMMYFUNCTION("""COMPUTED_VALUE"""),0.5)</f>
        <v>0.5</v>
      </c>
      <c r="O6122" s="4" t="str">
        <f>IFERROR(__xludf.DUMMYFUNCTION("""COMPUTED_VALUE"""),"Alpha Logo")</f>
        <v>Alpha Logo</v>
      </c>
      <c r="P6122" s="33">
        <f>IFERROR(__xludf.DUMMYFUNCTION("""COMPUTED_VALUE"""),0.5)</f>
        <v>0.5</v>
      </c>
      <c r="Q6122" s="4" t="str">
        <f>IFERROR(__xludf.DUMMYFUNCTION("""COMPUTED_VALUE"""),"Alpha Logo")</f>
        <v>Alpha Logo</v>
      </c>
      <c r="R6122" s="33">
        <f>IFERROR(__xludf.DUMMYFUNCTION("""COMPUTED_VALUE"""),0.5)</f>
        <v>0.5</v>
      </c>
      <c r="S6122" s="4" t="str">
        <f>IFERROR(__xludf.DUMMYFUNCTION("""COMPUTED_VALUE"""),"Alpha Logo")</f>
        <v>Alpha Logo</v>
      </c>
      <c r="T6122" s="33">
        <f>IFERROR(__xludf.DUMMYFUNCTION("""COMPUTED_VALUE"""),0.5)</f>
        <v>0.5</v>
      </c>
      <c r="U6122" s="4" t="str">
        <f>IFERROR(__xludf.DUMMYFUNCTION("""COMPUTED_VALUE"""),"Alpha Logo")</f>
        <v>Alpha Logo</v>
      </c>
      <c r="V6122" s="33">
        <f>IFERROR(__xludf.DUMMYFUNCTION("""COMPUTED_VALUE"""),0.5)</f>
        <v>0.5</v>
      </c>
      <c r="W6122" s="4" t="str">
        <f>IFERROR(__xludf.DUMMYFUNCTION("""COMPUTED_VALUE"""),"Alpha Logo")</f>
        <v>Alpha Logo</v>
      </c>
      <c r="X6122" s="33">
        <f>IFERROR(__xludf.DUMMYFUNCTION("""COMPUTED_VALUE"""),0.5)</f>
        <v>0.5</v>
      </c>
    </row>
    <row r="6123">
      <c r="K6123" s="4" t="str">
        <f>IFERROR(__xludf.DUMMYFUNCTION("""COMPUTED_VALUE"""),"DOGAO HOT DOG")</f>
        <v>DOGAO HOT DOG</v>
      </c>
      <c r="L6123" s="32">
        <f>IFERROR(__xludf.DUMMYFUNCTION("""COMPUTED_VALUE"""),2.0)</f>
        <v>2</v>
      </c>
      <c r="M6123" s="4" t="str">
        <f>IFERROR(__xludf.DUMMYFUNCTION("""COMPUTED_VALUE"""),"Nébula Sistemas")</f>
        <v>Nébula Sistemas</v>
      </c>
      <c r="N6123" s="33">
        <f>IFERROR(__xludf.DUMMYFUNCTION("""COMPUTED_VALUE"""),0.5)</f>
        <v>0.5</v>
      </c>
      <c r="O6123" s="4" t="str">
        <f>IFERROR(__xludf.DUMMYFUNCTION("""COMPUTED_VALUE"""),"Nébula Sistemas")</f>
        <v>Nébula Sistemas</v>
      </c>
      <c r="P6123" s="33">
        <f>IFERROR(__xludf.DUMMYFUNCTION("""COMPUTED_VALUE"""),0.5)</f>
        <v>0.5</v>
      </c>
      <c r="Q6123" s="4" t="str">
        <f>IFERROR(__xludf.DUMMYFUNCTION("""COMPUTED_VALUE"""),"Nébula Sistemas")</f>
        <v>Nébula Sistemas</v>
      </c>
      <c r="R6123" s="33">
        <f>IFERROR(__xludf.DUMMYFUNCTION("""COMPUTED_VALUE"""),0.5)</f>
        <v>0.5</v>
      </c>
      <c r="S6123" s="4" t="str">
        <f>IFERROR(__xludf.DUMMYFUNCTION("""COMPUTED_VALUE"""),"Nébula Sistemas")</f>
        <v>Nébula Sistemas</v>
      </c>
      <c r="T6123" s="33">
        <f>IFERROR(__xludf.DUMMYFUNCTION("""COMPUTED_VALUE"""),0.5)</f>
        <v>0.5</v>
      </c>
      <c r="U6123" s="4" t="str">
        <f>IFERROR(__xludf.DUMMYFUNCTION("""COMPUTED_VALUE"""),"Nébula Sistemas")</f>
        <v>Nébula Sistemas</v>
      </c>
      <c r="V6123" s="33">
        <f>IFERROR(__xludf.DUMMYFUNCTION("""COMPUTED_VALUE"""),0.5)</f>
        <v>0.5</v>
      </c>
      <c r="W6123" s="4" t="str">
        <f>IFERROR(__xludf.DUMMYFUNCTION("""COMPUTED_VALUE"""),"Nébula Sistemas")</f>
        <v>Nébula Sistemas</v>
      </c>
      <c r="X6123" s="33">
        <f>IFERROR(__xludf.DUMMYFUNCTION("""COMPUTED_VALUE"""),0.5)</f>
        <v>0.5</v>
      </c>
    </row>
    <row r="6124">
      <c r="K6124" s="4" t="str">
        <f>IFERROR(__xludf.DUMMYFUNCTION("""COMPUTED_VALUE"""),"JEFFS BURGUER")</f>
        <v>JEFFS BURGUER</v>
      </c>
      <c r="L6124" s="32">
        <f>IFERROR(__xludf.DUMMYFUNCTION("""COMPUTED_VALUE"""),2.0)</f>
        <v>2</v>
      </c>
      <c r="M6124" s="4" t="str">
        <f>IFERROR(__xludf.DUMMYFUNCTION("""COMPUTED_VALUE"""),"Yooga")</f>
        <v>Yooga</v>
      </c>
      <c r="N6124" s="33">
        <f>IFERROR(__xludf.DUMMYFUNCTION("""COMPUTED_VALUE"""),0.5)</f>
        <v>0.5</v>
      </c>
      <c r="O6124" s="4" t="str">
        <f>IFERROR(__xludf.DUMMYFUNCTION("""COMPUTED_VALUE"""),"Yooga")</f>
        <v>Yooga</v>
      </c>
      <c r="P6124" s="33">
        <f>IFERROR(__xludf.DUMMYFUNCTION("""COMPUTED_VALUE"""),0.5)</f>
        <v>0.5</v>
      </c>
      <c r="Q6124" s="4" t="str">
        <f>IFERROR(__xludf.DUMMYFUNCTION("""COMPUTED_VALUE"""),"Yooga")</f>
        <v>Yooga</v>
      </c>
      <c r="R6124" s="33">
        <f>IFERROR(__xludf.DUMMYFUNCTION("""COMPUTED_VALUE"""),0.5)</f>
        <v>0.5</v>
      </c>
      <c r="S6124" s="4" t="str">
        <f>IFERROR(__xludf.DUMMYFUNCTION("""COMPUTED_VALUE"""),"Yooga")</f>
        <v>Yooga</v>
      </c>
      <c r="T6124" s="33">
        <f>IFERROR(__xludf.DUMMYFUNCTION("""COMPUTED_VALUE"""),0.5)</f>
        <v>0.5</v>
      </c>
      <c r="U6124" s="4" t="str">
        <f>IFERROR(__xludf.DUMMYFUNCTION("""COMPUTED_VALUE"""),"Yooga")</f>
        <v>Yooga</v>
      </c>
      <c r="V6124" s="33">
        <f>IFERROR(__xludf.DUMMYFUNCTION("""COMPUTED_VALUE"""),0.5)</f>
        <v>0.5</v>
      </c>
      <c r="W6124" s="4" t="str">
        <f>IFERROR(__xludf.DUMMYFUNCTION("""COMPUTED_VALUE"""),"Yooga")</f>
        <v>Yooga</v>
      </c>
      <c r="X6124" s="33">
        <f>IFERROR(__xludf.DUMMYFUNCTION("""COMPUTED_VALUE"""),0.5)</f>
        <v>0.5</v>
      </c>
    </row>
    <row r="6125">
      <c r="K6125" s="4" t="str">
        <f>IFERROR(__xludf.DUMMYFUNCTION("""COMPUTED_VALUE"""),"JACKS BURGER")</f>
        <v>JACKS BURGER</v>
      </c>
      <c r="L6125" s="32">
        <f>IFERROR(__xludf.DUMMYFUNCTION("""COMPUTED_VALUE"""),2.0)</f>
        <v>2</v>
      </c>
      <c r="M6125" s="4" t="str">
        <f>IFERROR(__xludf.DUMMYFUNCTION("""COMPUTED_VALUE"""),"Grsoft")</f>
        <v>Grsoft</v>
      </c>
      <c r="N6125" s="33">
        <f>IFERROR(__xludf.DUMMYFUNCTION("""COMPUTED_VALUE"""),0.5)</f>
        <v>0.5</v>
      </c>
      <c r="O6125" s="4" t="str">
        <f>IFERROR(__xludf.DUMMYFUNCTION("""COMPUTED_VALUE"""),"Grsoft")</f>
        <v>Grsoft</v>
      </c>
      <c r="P6125" s="33">
        <f>IFERROR(__xludf.DUMMYFUNCTION("""COMPUTED_VALUE"""),0.5)</f>
        <v>0.5</v>
      </c>
      <c r="Q6125" s="4" t="str">
        <f>IFERROR(__xludf.DUMMYFUNCTION("""COMPUTED_VALUE"""),"Grsoft")</f>
        <v>Grsoft</v>
      </c>
      <c r="R6125" s="33">
        <f>IFERROR(__xludf.DUMMYFUNCTION("""COMPUTED_VALUE"""),0.5)</f>
        <v>0.5</v>
      </c>
      <c r="S6125" s="4" t="str">
        <f>IFERROR(__xludf.DUMMYFUNCTION("""COMPUTED_VALUE"""),"Grsoft")</f>
        <v>Grsoft</v>
      </c>
      <c r="T6125" s="33">
        <f>IFERROR(__xludf.DUMMYFUNCTION("""COMPUTED_VALUE"""),0.5)</f>
        <v>0.5</v>
      </c>
      <c r="U6125" s="4" t="str">
        <f>IFERROR(__xludf.DUMMYFUNCTION("""COMPUTED_VALUE"""),"Grsoft")</f>
        <v>Grsoft</v>
      </c>
      <c r="V6125" s="33">
        <f>IFERROR(__xludf.DUMMYFUNCTION("""COMPUTED_VALUE"""),0.5)</f>
        <v>0.5</v>
      </c>
      <c r="W6125" s="4" t="str">
        <f>IFERROR(__xludf.DUMMYFUNCTION("""COMPUTED_VALUE"""),"Grsoft")</f>
        <v>Grsoft</v>
      </c>
      <c r="X6125" s="33">
        <f>IFERROR(__xludf.DUMMYFUNCTION("""COMPUTED_VALUE"""),0.5)</f>
        <v>0.5</v>
      </c>
    </row>
    <row r="6126">
      <c r="K6126" s="4" t="str">
        <f>IFERROR(__xludf.DUMMYFUNCTION("""COMPUTED_VALUE"""),"SIRI ORIENTAL SUSHI")</f>
        <v>SIRI ORIENTAL SUSHI</v>
      </c>
      <c r="L6126" s="32">
        <f>IFERROR(__xludf.DUMMYFUNCTION("""COMPUTED_VALUE"""),2.0)</f>
        <v>2</v>
      </c>
      <c r="M6126" s="4" t="str">
        <f>IFERROR(__xludf.DUMMYFUNCTION("""COMPUTED_VALUE"""),"Hubzy")</f>
        <v>Hubzy</v>
      </c>
      <c r="N6126" s="33">
        <f>IFERROR(__xludf.DUMMYFUNCTION("""COMPUTED_VALUE"""),1.0)</f>
        <v>1</v>
      </c>
      <c r="O6126" s="4" t="str">
        <f>IFERROR(__xludf.DUMMYFUNCTION("""COMPUTED_VALUE"""),"Hubzy")</f>
        <v>Hubzy</v>
      </c>
      <c r="P6126" s="33">
        <f>IFERROR(__xludf.DUMMYFUNCTION("""COMPUTED_VALUE"""),1.0)</f>
        <v>1</v>
      </c>
      <c r="Q6126" s="4" t="str">
        <f>IFERROR(__xludf.DUMMYFUNCTION("""COMPUTED_VALUE"""),"Hubzy")</f>
        <v>Hubzy</v>
      </c>
      <c r="R6126" s="33">
        <f>IFERROR(__xludf.DUMMYFUNCTION("""COMPUTED_VALUE"""),1.0)</f>
        <v>1</v>
      </c>
      <c r="S6126" s="4" t="str">
        <f>IFERROR(__xludf.DUMMYFUNCTION("""COMPUTED_VALUE"""),"Hubzy")</f>
        <v>Hubzy</v>
      </c>
      <c r="T6126" s="33">
        <f>IFERROR(__xludf.DUMMYFUNCTION("""COMPUTED_VALUE"""),1.0)</f>
        <v>1</v>
      </c>
      <c r="U6126" s="4" t="str">
        <f>IFERROR(__xludf.DUMMYFUNCTION("""COMPUTED_VALUE"""),"Hubzy")</f>
        <v>Hubzy</v>
      </c>
      <c r="V6126" s="33">
        <f>IFERROR(__xludf.DUMMYFUNCTION("""COMPUTED_VALUE"""),1.0)</f>
        <v>1</v>
      </c>
      <c r="W6126" s="4" t="str">
        <f>IFERROR(__xludf.DUMMYFUNCTION("""COMPUTED_VALUE"""),"Hubzy")</f>
        <v>Hubzy</v>
      </c>
      <c r="X6126" s="33">
        <f>IFERROR(__xludf.DUMMYFUNCTION("""COMPUTED_VALUE"""),1.0)</f>
        <v>1</v>
      </c>
    </row>
    <row r="6127">
      <c r="K6127" s="4" t="str">
        <f>IFERROR(__xludf.DUMMYFUNCTION("""COMPUTED_VALUE"""),"PIZZA CLUB DELIVERY")</f>
        <v>PIZZA CLUB DELIVERY</v>
      </c>
      <c r="L6127" s="32">
        <f>IFERROR(__xludf.DUMMYFUNCTION("""COMPUTED_VALUE"""),2.0)</f>
        <v>2</v>
      </c>
      <c r="M6127" s="4" t="str">
        <f>IFERROR(__xludf.DUMMYFUNCTION("""COMPUTED_VALUE"""),"Ecta Tecnologia")</f>
        <v>Ecta Tecnologia</v>
      </c>
      <c r="N6127" s="33">
        <f>IFERROR(__xludf.DUMMYFUNCTION("""COMPUTED_VALUE"""),0.5)</f>
        <v>0.5</v>
      </c>
      <c r="O6127" s="4" t="str">
        <f>IFERROR(__xludf.DUMMYFUNCTION("""COMPUTED_VALUE"""),"Ecta Tecnologia")</f>
        <v>Ecta Tecnologia</v>
      </c>
      <c r="P6127" s="33">
        <f>IFERROR(__xludf.DUMMYFUNCTION("""COMPUTED_VALUE"""),0.5)</f>
        <v>0.5</v>
      </c>
      <c r="Q6127" s="4" t="str">
        <f>IFERROR(__xludf.DUMMYFUNCTION("""COMPUTED_VALUE"""),"Ecta Tecnologia")</f>
        <v>Ecta Tecnologia</v>
      </c>
      <c r="R6127" s="33">
        <f>IFERROR(__xludf.DUMMYFUNCTION("""COMPUTED_VALUE"""),0.5)</f>
        <v>0.5</v>
      </c>
      <c r="S6127" s="4" t="str">
        <f>IFERROR(__xludf.DUMMYFUNCTION("""COMPUTED_VALUE"""),"Ecta Tecnologia")</f>
        <v>Ecta Tecnologia</v>
      </c>
      <c r="T6127" s="33">
        <f>IFERROR(__xludf.DUMMYFUNCTION("""COMPUTED_VALUE"""),0.5)</f>
        <v>0.5</v>
      </c>
      <c r="U6127" s="4" t="str">
        <f>IFERROR(__xludf.DUMMYFUNCTION("""COMPUTED_VALUE"""),"Ecta Tecnologia")</f>
        <v>Ecta Tecnologia</v>
      </c>
      <c r="V6127" s="33">
        <f>IFERROR(__xludf.DUMMYFUNCTION("""COMPUTED_VALUE"""),0.5)</f>
        <v>0.5</v>
      </c>
      <c r="W6127" s="4" t="str">
        <f>IFERROR(__xludf.DUMMYFUNCTION("""COMPUTED_VALUE"""),"Ecta Tecnologia")</f>
        <v>Ecta Tecnologia</v>
      </c>
      <c r="X6127" s="33">
        <f>IFERROR(__xludf.DUMMYFUNCTION("""COMPUTED_VALUE"""),0.5)</f>
        <v>0.5</v>
      </c>
    </row>
    <row r="6128">
      <c r="K6128" s="4" t="str">
        <f>IFERROR(__xludf.DUMMYFUNCTION("""COMPUTED_VALUE"""),"ARENA BEER")</f>
        <v>ARENA BEER</v>
      </c>
      <c r="L6128" s="32">
        <f>IFERROR(__xludf.DUMMYFUNCTION("""COMPUTED_VALUE"""),2.0)</f>
        <v>2</v>
      </c>
      <c r="M6128" s="4" t="str">
        <f>IFERROR(__xludf.DUMMYFUNCTION("""COMPUTED_VALUE"""),"Saipos Serviços De Software")</f>
        <v>Saipos Serviços De Software</v>
      </c>
      <c r="N6128" s="33">
        <f>IFERROR(__xludf.DUMMYFUNCTION("""COMPUTED_VALUE"""),0.5)</f>
        <v>0.5</v>
      </c>
      <c r="O6128" s="4" t="str">
        <f>IFERROR(__xludf.DUMMYFUNCTION("""COMPUTED_VALUE"""),"Saipos Serviços De Software")</f>
        <v>Saipos Serviços De Software</v>
      </c>
      <c r="P6128" s="33">
        <f>IFERROR(__xludf.DUMMYFUNCTION("""COMPUTED_VALUE"""),0.5)</f>
        <v>0.5</v>
      </c>
      <c r="Q6128" s="4" t="str">
        <f>IFERROR(__xludf.DUMMYFUNCTION("""COMPUTED_VALUE"""),"Saipos Serviços De Software")</f>
        <v>Saipos Serviços De Software</v>
      </c>
      <c r="R6128" s="33">
        <f>IFERROR(__xludf.DUMMYFUNCTION("""COMPUTED_VALUE"""),0.5)</f>
        <v>0.5</v>
      </c>
      <c r="S6128" s="4" t="str">
        <f>IFERROR(__xludf.DUMMYFUNCTION("""COMPUTED_VALUE"""),"Saipos Serviços De Software")</f>
        <v>Saipos Serviços De Software</v>
      </c>
      <c r="T6128" s="33">
        <f>IFERROR(__xludf.DUMMYFUNCTION("""COMPUTED_VALUE"""),0.5)</f>
        <v>0.5</v>
      </c>
      <c r="U6128" s="4" t="str">
        <f>IFERROR(__xludf.DUMMYFUNCTION("""COMPUTED_VALUE"""),"Saipos Serviços De Software")</f>
        <v>Saipos Serviços De Software</v>
      </c>
      <c r="V6128" s="33">
        <f>IFERROR(__xludf.DUMMYFUNCTION("""COMPUTED_VALUE"""),0.5)</f>
        <v>0.5</v>
      </c>
      <c r="W6128" s="4" t="str">
        <f>IFERROR(__xludf.DUMMYFUNCTION("""COMPUTED_VALUE"""),"Saipos Serviços De Software")</f>
        <v>Saipos Serviços De Software</v>
      </c>
      <c r="X6128" s="33">
        <f>IFERROR(__xludf.DUMMYFUNCTION("""COMPUTED_VALUE"""),0.5)</f>
        <v>0.5</v>
      </c>
    </row>
    <row r="6129">
      <c r="K6129" s="4" t="str">
        <f>IFERROR(__xludf.DUMMYFUNCTION("""COMPUTED_VALUE"""),"OCIO")</f>
        <v>OCIO</v>
      </c>
      <c r="L6129" s="32">
        <f>IFERROR(__xludf.DUMMYFUNCTION("""COMPUTED_VALUE"""),2.0)</f>
        <v>2</v>
      </c>
      <c r="M6129" s="4" t="str">
        <f>IFERROR(__xludf.DUMMYFUNCTION("""COMPUTED_VALUE"""),"Ncr")</f>
        <v>Ncr</v>
      </c>
      <c r="N6129" s="33">
        <f>IFERROR(__xludf.DUMMYFUNCTION("""COMPUTED_VALUE"""),1.0)</f>
        <v>1</v>
      </c>
      <c r="O6129" s="4" t="str">
        <f>IFERROR(__xludf.DUMMYFUNCTION("""COMPUTED_VALUE"""),"Ncr")</f>
        <v>Ncr</v>
      </c>
      <c r="P6129" s="33">
        <f>IFERROR(__xludf.DUMMYFUNCTION("""COMPUTED_VALUE"""),1.0)</f>
        <v>1</v>
      </c>
      <c r="Q6129" s="4" t="str">
        <f>IFERROR(__xludf.DUMMYFUNCTION("""COMPUTED_VALUE"""),"Ncr")</f>
        <v>Ncr</v>
      </c>
      <c r="R6129" s="33">
        <f>IFERROR(__xludf.DUMMYFUNCTION("""COMPUTED_VALUE"""),1.0)</f>
        <v>1</v>
      </c>
      <c r="S6129" s="4" t="str">
        <f>IFERROR(__xludf.DUMMYFUNCTION("""COMPUTED_VALUE"""),"Ncr")</f>
        <v>Ncr</v>
      </c>
      <c r="T6129" s="33">
        <f>IFERROR(__xludf.DUMMYFUNCTION("""COMPUTED_VALUE"""),1.0)</f>
        <v>1</v>
      </c>
      <c r="U6129" s="4" t="str">
        <f>IFERROR(__xludf.DUMMYFUNCTION("""COMPUTED_VALUE"""),"Ncr")</f>
        <v>Ncr</v>
      </c>
      <c r="V6129" s="33">
        <f>IFERROR(__xludf.DUMMYFUNCTION("""COMPUTED_VALUE"""),1.0)</f>
        <v>1</v>
      </c>
      <c r="W6129" s="4" t="str">
        <f>IFERROR(__xludf.DUMMYFUNCTION("""COMPUTED_VALUE"""),"Ncr")</f>
        <v>Ncr</v>
      </c>
      <c r="X6129" s="33">
        <f>IFERROR(__xludf.DUMMYFUNCTION("""COMPUTED_VALUE"""),1.0)</f>
        <v>1</v>
      </c>
    </row>
    <row r="6130">
      <c r="K6130" s="4" t="str">
        <f>IFERROR(__xludf.DUMMYFUNCTION("""COMPUTED_VALUE"""),"CANTINHO CASEIRO")</f>
        <v>CANTINHO CASEIRO</v>
      </c>
      <c r="L6130" s="32">
        <f>IFERROR(__xludf.DUMMYFUNCTION("""COMPUTED_VALUE"""),2.0)</f>
        <v>2</v>
      </c>
      <c r="M6130" s="4" t="str">
        <f>IFERROR(__xludf.DUMMYFUNCTION("""COMPUTED_VALUE"""),"Inovar Informatica Ltda")</f>
        <v>Inovar Informatica Ltda</v>
      </c>
      <c r="N6130" s="33">
        <f>IFERROR(__xludf.DUMMYFUNCTION("""COMPUTED_VALUE"""),0.5)</f>
        <v>0.5</v>
      </c>
      <c r="O6130" s="4" t="str">
        <f>IFERROR(__xludf.DUMMYFUNCTION("""COMPUTED_VALUE"""),"Inovar Informatica Ltda")</f>
        <v>Inovar Informatica Ltda</v>
      </c>
      <c r="P6130" s="33">
        <f>IFERROR(__xludf.DUMMYFUNCTION("""COMPUTED_VALUE"""),0.5)</f>
        <v>0.5</v>
      </c>
      <c r="Q6130" s="4" t="str">
        <f>IFERROR(__xludf.DUMMYFUNCTION("""COMPUTED_VALUE"""),"Inovar Informatica Ltda")</f>
        <v>Inovar Informatica Ltda</v>
      </c>
      <c r="R6130" s="33">
        <f>IFERROR(__xludf.DUMMYFUNCTION("""COMPUTED_VALUE"""),0.5)</f>
        <v>0.5</v>
      </c>
      <c r="S6130" s="4" t="str">
        <f>IFERROR(__xludf.DUMMYFUNCTION("""COMPUTED_VALUE"""),"null")</f>
        <v>null</v>
      </c>
      <c r="T6130" s="33">
        <f>IFERROR(__xludf.DUMMYFUNCTION("""COMPUTED_VALUE"""),1.0)</f>
        <v>1</v>
      </c>
      <c r="U6130" s="4" t="str">
        <f>IFERROR(__xludf.DUMMYFUNCTION("""COMPUTED_VALUE"""),"Inovarsistemas")</f>
        <v>Inovarsistemas</v>
      </c>
      <c r="V6130" s="33">
        <f>IFERROR(__xludf.DUMMYFUNCTION("""COMPUTED_VALUE"""),0.5)</f>
        <v>0.5</v>
      </c>
      <c r="W6130" s="4" t="str">
        <f>IFERROR(__xludf.DUMMYFUNCTION("""COMPUTED_VALUE"""),"Inovarsistemas")</f>
        <v>Inovarsistemas</v>
      </c>
      <c r="X6130" s="33">
        <f>IFERROR(__xludf.DUMMYFUNCTION("""COMPUTED_VALUE"""),0.5)</f>
        <v>0.5</v>
      </c>
    </row>
    <row r="6131">
      <c r="K6131" s="4" t="str">
        <f>IFERROR(__xludf.DUMMYFUNCTION("""COMPUTED_VALUE"""),"MISSOSHIRO SUSHI")</f>
        <v>MISSOSHIRO SUSHI</v>
      </c>
      <c r="L6131" s="32">
        <f>IFERROR(__xludf.DUMMYFUNCTION("""COMPUTED_VALUE"""),2.0)</f>
        <v>2</v>
      </c>
      <c r="M6131" s="4" t="str">
        <f>IFERROR(__xludf.DUMMYFUNCTION("""COMPUTED_VALUE"""),"Cardápio Web")</f>
        <v>Cardápio Web</v>
      </c>
      <c r="N6131" s="33">
        <f>IFERROR(__xludf.DUMMYFUNCTION("""COMPUTED_VALUE"""),1.0)</f>
        <v>1</v>
      </c>
      <c r="O6131" s="4" t="str">
        <f>IFERROR(__xludf.DUMMYFUNCTION("""COMPUTED_VALUE"""),"Cardápio Web")</f>
        <v>Cardápio Web</v>
      </c>
      <c r="P6131" s="33">
        <f>IFERROR(__xludf.DUMMYFUNCTION("""COMPUTED_VALUE"""),1.0)</f>
        <v>1</v>
      </c>
      <c r="Q6131" s="4" t="str">
        <f>IFERROR(__xludf.DUMMYFUNCTION("""COMPUTED_VALUE"""),"null")</f>
        <v>null</v>
      </c>
      <c r="R6131" s="33">
        <f>IFERROR(__xludf.DUMMYFUNCTION("""COMPUTED_VALUE"""),1.0)</f>
        <v>1</v>
      </c>
      <c r="S6131" s="4" t="str">
        <f>IFERROR(__xludf.DUMMYFUNCTION("""COMPUTED_VALUE"""),"null")</f>
        <v>null</v>
      </c>
      <c r="T6131" s="33">
        <f>IFERROR(__xludf.DUMMYFUNCTION("""COMPUTED_VALUE"""),1.0)</f>
        <v>1</v>
      </c>
      <c r="U6131" s="4" t="str">
        <f>IFERROR(__xludf.DUMMYFUNCTION("""COMPUTED_VALUE"""),"null")</f>
        <v>null</v>
      </c>
      <c r="V6131" s="33">
        <f>IFERROR(__xludf.DUMMYFUNCTION("""COMPUTED_VALUE"""),0.5)</f>
        <v>0.5</v>
      </c>
      <c r="W6131" s="4" t="str">
        <f>IFERROR(__xludf.DUMMYFUNCTION("""COMPUTED_VALUE"""),"null")</f>
        <v>null</v>
      </c>
      <c r="X6131" s="33">
        <f>IFERROR(__xludf.DUMMYFUNCTION("""COMPUTED_VALUE"""),0.5)</f>
        <v>0.5</v>
      </c>
    </row>
    <row r="6132">
      <c r="K6132" s="4" t="str">
        <f>IFERROR(__xludf.DUMMYFUNCTION("""COMPUTED_VALUE"""),"REI DA TAPIOCA")</f>
        <v>REI DA TAPIOCA</v>
      </c>
      <c r="L6132" s="32">
        <f>IFERROR(__xludf.DUMMYFUNCTION("""COMPUTED_VALUE"""),2.0)</f>
        <v>2</v>
      </c>
      <c r="M6132" s="4" t="str">
        <f>IFERROR(__xludf.DUMMYFUNCTION("""COMPUTED_VALUE"""),"null")</f>
        <v>null</v>
      </c>
      <c r="N6132" s="33">
        <f>IFERROR(__xludf.DUMMYFUNCTION("""COMPUTED_VALUE"""),1.0)</f>
        <v>1</v>
      </c>
      <c r="O6132" s="4" t="str">
        <f>IFERROR(__xludf.DUMMYFUNCTION("""COMPUTED_VALUE"""),"null")</f>
        <v>null</v>
      </c>
      <c r="P6132" s="33">
        <f>IFERROR(__xludf.DUMMYFUNCTION("""COMPUTED_VALUE"""),0.5)</f>
        <v>0.5</v>
      </c>
      <c r="Q6132" s="4" t="str">
        <f>IFERROR(__xludf.DUMMYFUNCTION("""COMPUTED_VALUE"""),"null")</f>
        <v>null</v>
      </c>
      <c r="R6132" s="33">
        <f>IFERROR(__xludf.DUMMYFUNCTION("""COMPUTED_VALUE"""),0.5)</f>
        <v>0.5</v>
      </c>
      <c r="S6132" s="4" t="str">
        <f>IFERROR(__xludf.DUMMYFUNCTION("""COMPUTED_VALUE"""),"null")</f>
        <v>null</v>
      </c>
      <c r="T6132" s="33">
        <f>IFERROR(__xludf.DUMMYFUNCTION("""COMPUTED_VALUE"""),0.5)</f>
        <v>0.5</v>
      </c>
      <c r="U6132" s="4" t="str">
        <f>IFERROR(__xludf.DUMMYFUNCTION("""COMPUTED_VALUE"""),"Brendi")</f>
        <v>Brendi</v>
      </c>
      <c r="V6132" s="33">
        <f>IFERROR(__xludf.DUMMYFUNCTION("""COMPUTED_VALUE"""),0.5)</f>
        <v>0.5</v>
      </c>
      <c r="W6132" s="4" t="str">
        <f>IFERROR(__xludf.DUMMYFUNCTION("""COMPUTED_VALUE"""),"Brendi")</f>
        <v>Brendi</v>
      </c>
      <c r="X6132" s="33">
        <f>IFERROR(__xludf.DUMMYFUNCTION("""COMPUTED_VALUE"""),0.5)</f>
        <v>0.5</v>
      </c>
    </row>
    <row r="6133">
      <c r="K6133" s="4" t="str">
        <f>IFERROR(__xludf.DUMMYFUNCTION("""COMPUTED_VALUE"""),"SILLGAMES BURGER - HAMBURGUERIA ARTESANAL")</f>
        <v>SILLGAMES BURGER - HAMBURGUERIA ARTESANAL</v>
      </c>
      <c r="L6133" s="32">
        <f>IFERROR(__xludf.DUMMYFUNCTION("""COMPUTED_VALUE"""),2.0)</f>
        <v>2</v>
      </c>
      <c r="M6133" s="4" t="str">
        <f>IFERROR(__xludf.DUMMYFUNCTION("""COMPUTED_VALUE"""),"Mapp Sistemas")</f>
        <v>Mapp Sistemas</v>
      </c>
      <c r="N6133" s="33">
        <f>IFERROR(__xludf.DUMMYFUNCTION("""COMPUTED_VALUE"""),1.0)</f>
        <v>1</v>
      </c>
      <c r="O6133" s="4" t="str">
        <f>IFERROR(__xludf.DUMMYFUNCTION("""COMPUTED_VALUE"""),"Mapp Sistemas")</f>
        <v>Mapp Sistemas</v>
      </c>
      <c r="P6133" s="33">
        <f>IFERROR(__xludf.DUMMYFUNCTION("""COMPUTED_VALUE"""),1.0)</f>
        <v>1</v>
      </c>
      <c r="Q6133" s="4" t="str">
        <f>IFERROR(__xludf.DUMMYFUNCTION("""COMPUTED_VALUE"""),"null")</f>
        <v>null</v>
      </c>
      <c r="R6133" s="33">
        <f>IFERROR(__xludf.DUMMYFUNCTION("""COMPUTED_VALUE"""),0.5)</f>
        <v>0.5</v>
      </c>
      <c r="S6133" s="4" t="str">
        <f>IFERROR(__xludf.DUMMYFUNCTION("""COMPUTED_VALUE"""),"null")</f>
        <v>null</v>
      </c>
      <c r="T6133" s="33">
        <f>IFERROR(__xludf.DUMMYFUNCTION("""COMPUTED_VALUE"""),0.5)</f>
        <v>0.5</v>
      </c>
      <c r="U6133" s="4" t="str">
        <f>IFERROR(__xludf.DUMMYFUNCTION("""COMPUTED_VALUE"""),"Negocios Ponto Com Servicos Logisticos Personalizados Ltda")</f>
        <v>Negocios Ponto Com Servicos Logisticos Personalizados Ltda</v>
      </c>
      <c r="V6133" s="33">
        <f>IFERROR(__xludf.DUMMYFUNCTION("""COMPUTED_VALUE"""),0.5)</f>
        <v>0.5</v>
      </c>
      <c r="W6133" s="4" t="str">
        <f>IFERROR(__xludf.DUMMYFUNCTION("""COMPUTED_VALUE"""),"Negocios Ponto Com Servicos Logisticos Personalizados Ltda")</f>
        <v>Negocios Ponto Com Servicos Logisticos Personalizados Ltda</v>
      </c>
      <c r="X6133" s="33">
        <f>IFERROR(__xludf.DUMMYFUNCTION("""COMPUTED_VALUE"""),0.5)</f>
        <v>0.5</v>
      </c>
    </row>
    <row r="6134">
      <c r="K6134" s="4" t="str">
        <f>IFERROR(__xludf.DUMMYFUNCTION("""COMPUTED_VALUE"""),"KYOTO COZINHA ORIENTAL")</f>
        <v>KYOTO COZINHA ORIENTAL</v>
      </c>
      <c r="L6134" s="32">
        <f>IFERROR(__xludf.DUMMYFUNCTION("""COMPUTED_VALUE"""),2.0)</f>
        <v>2</v>
      </c>
      <c r="M6134" s="4" t="str">
        <f>IFERROR(__xludf.DUMMYFUNCTION("""COMPUTED_VALUE"""),"Beefood - Sistema Para Restaurantes")</f>
        <v>Beefood - Sistema Para Restaurantes</v>
      </c>
      <c r="N6134" s="33">
        <f>IFERROR(__xludf.DUMMYFUNCTION("""COMPUTED_VALUE"""),0.5)</f>
        <v>0.5</v>
      </c>
      <c r="O6134" s="4" t="str">
        <f>IFERROR(__xludf.DUMMYFUNCTION("""COMPUTED_VALUE"""),"Beefood - Sistema Para Restaurantes")</f>
        <v>Beefood - Sistema Para Restaurantes</v>
      </c>
      <c r="P6134" s="33">
        <f>IFERROR(__xludf.DUMMYFUNCTION("""COMPUTED_VALUE"""),0.5)</f>
        <v>0.5</v>
      </c>
      <c r="Q6134" s="4" t="str">
        <f>IFERROR(__xludf.DUMMYFUNCTION("""COMPUTED_VALUE"""),"Beefood - Sistema Para Restaurantes")</f>
        <v>Beefood - Sistema Para Restaurantes</v>
      </c>
      <c r="R6134" s="33">
        <f>IFERROR(__xludf.DUMMYFUNCTION("""COMPUTED_VALUE"""),0.5)</f>
        <v>0.5</v>
      </c>
      <c r="S6134" s="4" t="str">
        <f>IFERROR(__xludf.DUMMYFUNCTION("""COMPUTED_VALUE"""),"Beefood - Sistema Para Restaurantes")</f>
        <v>Beefood - Sistema Para Restaurantes</v>
      </c>
      <c r="T6134" s="33">
        <f>IFERROR(__xludf.DUMMYFUNCTION("""COMPUTED_VALUE"""),0.5)</f>
        <v>0.5</v>
      </c>
      <c r="U6134" s="4" t="str">
        <f>IFERROR(__xludf.DUMMYFUNCTION("""COMPUTED_VALUE"""),"Beefood - Sistema Para Restaurantes")</f>
        <v>Beefood - Sistema Para Restaurantes</v>
      </c>
      <c r="V6134" s="33">
        <f>IFERROR(__xludf.DUMMYFUNCTION("""COMPUTED_VALUE"""),0.5)</f>
        <v>0.5</v>
      </c>
      <c r="W6134" s="4" t="str">
        <f>IFERROR(__xludf.DUMMYFUNCTION("""COMPUTED_VALUE"""),"Beefood - Sistema Para Restaurantes")</f>
        <v>Beefood - Sistema Para Restaurantes</v>
      </c>
      <c r="X6134" s="33">
        <f>IFERROR(__xludf.DUMMYFUNCTION("""COMPUTED_VALUE"""),0.5)</f>
        <v>0.5</v>
      </c>
    </row>
    <row r="6135">
      <c r="K6135" s="4" t="str">
        <f>IFERROR(__xludf.DUMMYFUNCTION("""COMPUTED_VALUE"""),"GENERAL BURGUER")</f>
        <v>GENERAL BURGUER</v>
      </c>
      <c r="L6135" s="32">
        <f>IFERROR(__xludf.DUMMYFUNCTION("""COMPUTED_VALUE"""),2.0)</f>
        <v>2</v>
      </c>
      <c r="M6135" s="4" t="str">
        <f>IFERROR(__xludf.DUMMYFUNCTION("""COMPUTED_VALUE"""),"Cardápio Web")</f>
        <v>Cardápio Web</v>
      </c>
      <c r="N6135" s="33">
        <f>IFERROR(__xludf.DUMMYFUNCTION("""COMPUTED_VALUE"""),0.5)</f>
        <v>0.5</v>
      </c>
      <c r="O6135" s="4" t="str">
        <f>IFERROR(__xludf.DUMMYFUNCTION("""COMPUTED_VALUE"""),"Cardápio Web")</f>
        <v>Cardápio Web</v>
      </c>
      <c r="P6135" s="33">
        <f>IFERROR(__xludf.DUMMYFUNCTION("""COMPUTED_VALUE"""),0.5)</f>
        <v>0.5</v>
      </c>
      <c r="Q6135" s="4" t="str">
        <f>IFERROR(__xludf.DUMMYFUNCTION("""COMPUTED_VALUE"""),"Cardápio Web")</f>
        <v>Cardápio Web</v>
      </c>
      <c r="R6135" s="33">
        <f>IFERROR(__xludf.DUMMYFUNCTION("""COMPUTED_VALUE"""),0.5)</f>
        <v>0.5</v>
      </c>
      <c r="S6135" s="4" t="str">
        <f>IFERROR(__xludf.DUMMYFUNCTION("""COMPUTED_VALUE"""),"Cardápio Web")</f>
        <v>Cardápio Web</v>
      </c>
      <c r="T6135" s="33">
        <f>IFERROR(__xludf.DUMMYFUNCTION("""COMPUTED_VALUE"""),0.5)</f>
        <v>0.5</v>
      </c>
      <c r="U6135" s="4" t="str">
        <f>IFERROR(__xludf.DUMMYFUNCTION("""COMPUTED_VALUE"""),"Cardápio Web")</f>
        <v>Cardápio Web</v>
      </c>
      <c r="V6135" s="33">
        <f>IFERROR(__xludf.DUMMYFUNCTION("""COMPUTED_VALUE"""),0.5)</f>
        <v>0.5</v>
      </c>
      <c r="W6135" s="4" t="str">
        <f>IFERROR(__xludf.DUMMYFUNCTION("""COMPUTED_VALUE"""),"Cardápio Web")</f>
        <v>Cardápio Web</v>
      </c>
      <c r="X6135" s="33">
        <f>IFERROR(__xludf.DUMMYFUNCTION("""COMPUTED_VALUE"""),0.5)</f>
        <v>0.5</v>
      </c>
    </row>
    <row r="6136">
      <c r="K6136" s="4" t="str">
        <f>IFERROR(__xludf.DUMMYFUNCTION("""COMPUTED_VALUE"""),"DOCERIA NOBRE")</f>
        <v>DOCERIA NOBRE</v>
      </c>
      <c r="L6136" s="32">
        <f>IFERROR(__xludf.DUMMYFUNCTION("""COMPUTED_VALUE"""),2.0)</f>
        <v>2</v>
      </c>
      <c r="M6136" s="4" t="str">
        <f>IFERROR(__xludf.DUMMYFUNCTION("""COMPUTED_VALUE"""),"Instadelivery")</f>
        <v>Instadelivery</v>
      </c>
      <c r="N6136" s="33">
        <f>IFERROR(__xludf.DUMMYFUNCTION("""COMPUTED_VALUE"""),0.5)</f>
        <v>0.5</v>
      </c>
      <c r="O6136" s="4" t="str">
        <f>IFERROR(__xludf.DUMMYFUNCTION("""COMPUTED_VALUE"""),"Instadelivery")</f>
        <v>Instadelivery</v>
      </c>
      <c r="P6136" s="33">
        <f>IFERROR(__xludf.DUMMYFUNCTION("""COMPUTED_VALUE"""),0.5)</f>
        <v>0.5</v>
      </c>
      <c r="Q6136" s="4" t="str">
        <f>IFERROR(__xludf.DUMMYFUNCTION("""COMPUTED_VALUE"""),"null")</f>
        <v>null</v>
      </c>
      <c r="R6136" s="33">
        <f>IFERROR(__xludf.DUMMYFUNCTION("""COMPUTED_VALUE"""),0.5)</f>
        <v>0.5</v>
      </c>
      <c r="S6136" s="4" t="str">
        <f>IFERROR(__xludf.DUMMYFUNCTION("""COMPUTED_VALUE"""),"null")</f>
        <v>null</v>
      </c>
      <c r="T6136" s="33">
        <f>IFERROR(__xludf.DUMMYFUNCTION("""COMPUTED_VALUE"""),1.0)</f>
        <v>1</v>
      </c>
      <c r="U6136" s="4" t="str">
        <f>IFERROR(__xludf.DUMMYFUNCTION("""COMPUTED_VALUE"""),"null")</f>
        <v>null</v>
      </c>
      <c r="V6136" s="33">
        <f>IFERROR(__xludf.DUMMYFUNCTION("""COMPUTED_VALUE"""),0.5)</f>
        <v>0.5</v>
      </c>
      <c r="W6136" s="4" t="str">
        <f>IFERROR(__xludf.DUMMYFUNCTION("""COMPUTED_VALUE"""),"null")</f>
        <v>null</v>
      </c>
      <c r="X6136" s="33">
        <f>IFERROR(__xludf.DUMMYFUNCTION("""COMPUTED_VALUE"""),0.5)</f>
        <v>0.5</v>
      </c>
    </row>
    <row r="6137">
      <c r="K6137" s="4" t="str">
        <f>IFERROR(__xludf.DUMMYFUNCTION("""COMPUTED_VALUE"""),"RESTAURANTE BENDITA COMIDA")</f>
        <v>RESTAURANTE BENDITA COMIDA</v>
      </c>
      <c r="L6137" s="32">
        <f>IFERROR(__xludf.DUMMYFUNCTION("""COMPUTED_VALUE"""),2.0)</f>
        <v>2</v>
      </c>
      <c r="M6137" s="4" t="str">
        <f>IFERROR(__xludf.DUMMYFUNCTION("""COMPUTED_VALUE"""),"Saipos Serviços De Software")</f>
        <v>Saipos Serviços De Software</v>
      </c>
      <c r="N6137" s="33">
        <f>IFERROR(__xludf.DUMMYFUNCTION("""COMPUTED_VALUE"""),0.5)</f>
        <v>0.5</v>
      </c>
      <c r="O6137" s="4" t="str">
        <f>IFERROR(__xludf.DUMMYFUNCTION("""COMPUTED_VALUE"""),"Saipos Serviços De Software")</f>
        <v>Saipos Serviços De Software</v>
      </c>
      <c r="P6137" s="33">
        <f>IFERROR(__xludf.DUMMYFUNCTION("""COMPUTED_VALUE"""),0.5)</f>
        <v>0.5</v>
      </c>
      <c r="Q6137" s="4" t="str">
        <f>IFERROR(__xludf.DUMMYFUNCTION("""COMPUTED_VALUE"""),"Saipos Serviços De Software")</f>
        <v>Saipos Serviços De Software</v>
      </c>
      <c r="R6137" s="33">
        <f>IFERROR(__xludf.DUMMYFUNCTION("""COMPUTED_VALUE"""),0.5)</f>
        <v>0.5</v>
      </c>
      <c r="S6137" s="4" t="str">
        <f>IFERROR(__xludf.DUMMYFUNCTION("""COMPUTED_VALUE"""),"Saipos Serviços De Software")</f>
        <v>Saipos Serviços De Software</v>
      </c>
      <c r="T6137" s="33">
        <f>IFERROR(__xludf.DUMMYFUNCTION("""COMPUTED_VALUE"""),0.5)</f>
        <v>0.5</v>
      </c>
      <c r="U6137" s="4" t="str">
        <f>IFERROR(__xludf.DUMMYFUNCTION("""COMPUTED_VALUE"""),"null")</f>
        <v>null</v>
      </c>
      <c r="V6137" s="33">
        <f>IFERROR(__xludf.DUMMYFUNCTION("""COMPUTED_VALUE"""),1.0)</f>
        <v>1</v>
      </c>
      <c r="W6137" s="4" t="str">
        <f>IFERROR(__xludf.DUMMYFUNCTION("""COMPUTED_VALUE"""),"null")</f>
        <v>null</v>
      </c>
      <c r="X6137" s="33">
        <f>IFERROR(__xludf.DUMMYFUNCTION("""COMPUTED_VALUE"""),0.5)</f>
        <v>0.5</v>
      </c>
    </row>
    <row r="6138">
      <c r="K6138" s="4" t="str">
        <f>IFERROR(__xludf.DUMMYFUNCTION("""COMPUTED_VALUE"""),"EMPORIO PET")</f>
        <v>EMPORIO PET</v>
      </c>
      <c r="L6138" s="32">
        <f>IFERROR(__xludf.DUMMYFUNCTION("""COMPUTED_VALUE"""),2.0)</f>
        <v>2</v>
      </c>
      <c r="M6138" s="4" t="str">
        <f>IFERROR(__xludf.DUMMYFUNCTION("""COMPUTED_VALUE"""),"N/A (Not found)")</f>
        <v>N/A (Not found)</v>
      </c>
      <c r="N6138" s="33">
        <f>IFERROR(__xludf.DUMMYFUNCTION("""COMPUTED_VALUE"""),0.5)</f>
        <v>0.5</v>
      </c>
      <c r="O6138" s="4" t="str">
        <f>IFERROR(__xludf.DUMMYFUNCTION("""COMPUTED_VALUE"""),"N/A (Not found)")</f>
        <v>N/A (Not found)</v>
      </c>
      <c r="P6138" s="33">
        <f>IFERROR(__xludf.DUMMYFUNCTION("""COMPUTED_VALUE"""),1.0)</f>
        <v>1</v>
      </c>
      <c r="Q6138" s="4" t="str">
        <f>IFERROR(__xludf.DUMMYFUNCTION("""COMPUTED_VALUE"""),"N/A (Not found)")</f>
        <v>N/A (Not found)</v>
      </c>
      <c r="R6138" s="33">
        <f>IFERROR(__xludf.DUMMYFUNCTION("""COMPUTED_VALUE"""),1.0)</f>
        <v>1</v>
      </c>
      <c r="S6138" s="4" t="str">
        <f>IFERROR(__xludf.DUMMYFUNCTION("""COMPUTED_VALUE"""),"N/A (Not found)")</f>
        <v>N/A (Not found)</v>
      </c>
      <c r="T6138" s="33">
        <f>IFERROR(__xludf.DUMMYFUNCTION("""COMPUTED_VALUE"""),1.0)</f>
        <v>1</v>
      </c>
      <c r="U6138" s="4" t="str">
        <f>IFERROR(__xludf.DUMMYFUNCTION("""COMPUTED_VALUE"""),"N/A (Not found)")</f>
        <v>N/A (Not found)</v>
      </c>
      <c r="V6138" s="33">
        <f>IFERROR(__xludf.DUMMYFUNCTION("""COMPUTED_VALUE"""),1.0)</f>
        <v>1</v>
      </c>
      <c r="W6138" s="4" t="str">
        <f>IFERROR(__xludf.DUMMYFUNCTION("""COMPUTED_VALUE"""),"N/A (Not found)")</f>
        <v>N/A (Not found)</v>
      </c>
      <c r="X6138" s="33">
        <f>IFERROR(__xludf.DUMMYFUNCTION("""COMPUTED_VALUE"""),1.0)</f>
        <v>1</v>
      </c>
    </row>
    <row r="6139">
      <c r="K6139" s="4" t="str">
        <f>IFERROR(__xludf.DUMMYFUNCTION("""COMPUTED_VALUE"""),"AKATSUKI SUSHI")</f>
        <v>AKATSUKI SUSHI</v>
      </c>
      <c r="L6139" s="32">
        <f>IFERROR(__xludf.DUMMYFUNCTION("""COMPUTED_VALUE"""),2.0)</f>
        <v>2</v>
      </c>
      <c r="M6139" s="4" t="str">
        <f>IFERROR(__xludf.DUMMYFUNCTION("""COMPUTED_VALUE"""),"Anota Ai Solucoes Digitais S/a")</f>
        <v>Anota Ai Solucoes Digitais S/a</v>
      </c>
      <c r="N6139" s="33">
        <f>IFERROR(__xludf.DUMMYFUNCTION("""COMPUTED_VALUE"""),0.5)</f>
        <v>0.5</v>
      </c>
      <c r="O6139" s="4" t="str">
        <f>IFERROR(__xludf.DUMMYFUNCTION("""COMPUTED_VALUE"""),"Anota Ai Solucoes Digitais S/a")</f>
        <v>Anota Ai Solucoes Digitais S/a</v>
      </c>
      <c r="P6139" s="33">
        <f>IFERROR(__xludf.DUMMYFUNCTION("""COMPUTED_VALUE"""),0.5)</f>
        <v>0.5</v>
      </c>
      <c r="Q6139" s="4" t="str">
        <f>IFERROR(__xludf.DUMMYFUNCTION("""COMPUTED_VALUE"""),"Anota Ai Solucoes Digitais S/a")</f>
        <v>Anota Ai Solucoes Digitais S/a</v>
      </c>
      <c r="R6139" s="33">
        <f>IFERROR(__xludf.DUMMYFUNCTION("""COMPUTED_VALUE"""),0.5)</f>
        <v>0.5</v>
      </c>
      <c r="S6139" s="4" t="str">
        <f>IFERROR(__xludf.DUMMYFUNCTION("""COMPUTED_VALUE"""),"Anota Ai Solucoes Digitais S/a")</f>
        <v>Anota Ai Solucoes Digitais S/a</v>
      </c>
      <c r="T6139" s="33">
        <f>IFERROR(__xludf.DUMMYFUNCTION("""COMPUTED_VALUE"""),0.5)</f>
        <v>0.5</v>
      </c>
      <c r="U6139" s="4" t="str">
        <f>IFERROR(__xludf.DUMMYFUNCTION("""COMPUTED_VALUE"""),"Anota Ai Solucoes Digitais S/a")</f>
        <v>Anota Ai Solucoes Digitais S/a</v>
      </c>
      <c r="V6139" s="33">
        <f>IFERROR(__xludf.DUMMYFUNCTION("""COMPUTED_VALUE"""),0.5)</f>
        <v>0.5</v>
      </c>
      <c r="W6139" s="4" t="str">
        <f>IFERROR(__xludf.DUMMYFUNCTION("""COMPUTED_VALUE"""),"Anota Ai Solucoes Digitais S/a")</f>
        <v>Anota Ai Solucoes Digitais S/a</v>
      </c>
      <c r="X6139" s="33">
        <f>IFERROR(__xludf.DUMMYFUNCTION("""COMPUTED_VALUE"""),0.5)</f>
        <v>0.5</v>
      </c>
    </row>
    <row r="6140">
      <c r="K6140" s="4" t="str">
        <f>IFERROR(__xludf.DUMMYFUNCTION("""COMPUTED_VALUE"""),"ESPACO ANIMAL")</f>
        <v>ESPACO ANIMAL</v>
      </c>
      <c r="L6140" s="32">
        <f>IFERROR(__xludf.DUMMYFUNCTION("""COMPUTED_VALUE"""),2.0)</f>
        <v>2</v>
      </c>
      <c r="M6140" s="4" t="str">
        <f>IFERROR(__xludf.DUMMYFUNCTION("""COMPUTED_VALUE"""),"N/A (Not found)")</f>
        <v>N/A (Not found)</v>
      </c>
      <c r="N6140" s="33">
        <f>IFERROR(__xludf.DUMMYFUNCTION("""COMPUTED_VALUE"""),0.5)</f>
        <v>0.5</v>
      </c>
      <c r="O6140" s="4" t="str">
        <f>IFERROR(__xludf.DUMMYFUNCTION("""COMPUTED_VALUE"""),"null")</f>
        <v>null</v>
      </c>
      <c r="P6140" s="33">
        <f>IFERROR(__xludf.DUMMYFUNCTION("""COMPUTED_VALUE"""),1.0)</f>
        <v>1</v>
      </c>
      <c r="Q6140" s="4" t="str">
        <f>IFERROR(__xludf.DUMMYFUNCTION("""COMPUTED_VALUE"""),"N/A (Not found)")</f>
        <v>N/A (Not found)</v>
      </c>
      <c r="R6140" s="33">
        <f>IFERROR(__xludf.DUMMYFUNCTION("""COMPUTED_VALUE"""),0.5)</f>
        <v>0.5</v>
      </c>
      <c r="S6140" s="4" t="str">
        <f>IFERROR(__xludf.DUMMYFUNCTION("""COMPUTED_VALUE"""),"null")</f>
        <v>null</v>
      </c>
      <c r="T6140" s="33">
        <f>IFERROR(__xludf.DUMMYFUNCTION("""COMPUTED_VALUE"""),0.5)</f>
        <v>0.5</v>
      </c>
      <c r="U6140" s="4" t="str">
        <f>IFERROR(__xludf.DUMMYFUNCTION("""COMPUTED_VALUE"""),"N/A (Not found)")</f>
        <v>N/A (Not found)</v>
      </c>
      <c r="V6140" s="33">
        <f>IFERROR(__xludf.DUMMYFUNCTION("""COMPUTED_VALUE"""),1.0)</f>
        <v>1</v>
      </c>
      <c r="W6140" s="4" t="str">
        <f>IFERROR(__xludf.DUMMYFUNCTION("""COMPUTED_VALUE"""),"null")</f>
        <v>null</v>
      </c>
      <c r="X6140" s="33">
        <f>IFERROR(__xludf.DUMMYFUNCTION("""COMPUTED_VALUE"""),0.5)</f>
        <v>0.5</v>
      </c>
    </row>
    <row r="6141">
      <c r="K6141" s="4" t="str">
        <f>IFERROR(__xludf.DUMMYFUNCTION("""COMPUTED_VALUE"""),"GUGAS RESTAURANTE")</f>
        <v>GUGAS RESTAURANTE</v>
      </c>
      <c r="L6141" s="32">
        <f>IFERROR(__xludf.DUMMYFUNCTION("""COMPUTED_VALUE"""),2.0)</f>
        <v>2</v>
      </c>
      <c r="M6141" s="4" t="str">
        <f>IFERROR(__xludf.DUMMYFUNCTION("""COMPUTED_VALUE"""),"Anota Ai Solucoes Digitais S/a")</f>
        <v>Anota Ai Solucoes Digitais S/a</v>
      </c>
      <c r="N6141" s="33">
        <f>IFERROR(__xludf.DUMMYFUNCTION("""COMPUTED_VALUE"""),0.5)</f>
        <v>0.5</v>
      </c>
      <c r="O6141" s="4" t="str">
        <f>IFERROR(__xludf.DUMMYFUNCTION("""COMPUTED_VALUE"""),"Anota Ai Solucoes Digitais S/a")</f>
        <v>Anota Ai Solucoes Digitais S/a</v>
      </c>
      <c r="P6141" s="33">
        <f>IFERROR(__xludf.DUMMYFUNCTION("""COMPUTED_VALUE"""),0.5)</f>
        <v>0.5</v>
      </c>
      <c r="Q6141" s="4" t="str">
        <f>IFERROR(__xludf.DUMMYFUNCTION("""COMPUTED_VALUE"""),"Anota Ai Solucoes Digitais S/a")</f>
        <v>Anota Ai Solucoes Digitais S/a</v>
      </c>
      <c r="R6141" s="33">
        <f>IFERROR(__xludf.DUMMYFUNCTION("""COMPUTED_VALUE"""),0.5)</f>
        <v>0.5</v>
      </c>
      <c r="S6141" s="4" t="str">
        <f>IFERROR(__xludf.DUMMYFUNCTION("""COMPUTED_VALUE"""),"Anota Ai Solucoes Digitais S/a")</f>
        <v>Anota Ai Solucoes Digitais S/a</v>
      </c>
      <c r="T6141" s="33">
        <f>IFERROR(__xludf.DUMMYFUNCTION("""COMPUTED_VALUE"""),0.5)</f>
        <v>0.5</v>
      </c>
      <c r="U6141" s="4" t="str">
        <f>IFERROR(__xludf.DUMMYFUNCTION("""COMPUTED_VALUE"""),"Cardápio Web")</f>
        <v>Cardápio Web</v>
      </c>
      <c r="V6141" s="33">
        <f>IFERROR(__xludf.DUMMYFUNCTION("""COMPUTED_VALUE"""),1.0)</f>
        <v>1</v>
      </c>
      <c r="W6141" s="4" t="str">
        <f>IFERROR(__xludf.DUMMYFUNCTION("""COMPUTED_VALUE"""),"Cardápio Web")</f>
        <v>Cardápio Web</v>
      </c>
      <c r="X6141" s="33">
        <f>IFERROR(__xludf.DUMMYFUNCTION("""COMPUTED_VALUE"""),0.5)</f>
        <v>0.5</v>
      </c>
    </row>
    <row r="6142">
      <c r="K6142" s="4" t="str">
        <f>IFERROR(__xludf.DUMMYFUNCTION("""COMPUTED_VALUE"""),"NAYO SUSHI")</f>
        <v>NAYO SUSHI</v>
      </c>
      <c r="L6142" s="32">
        <f>IFERROR(__xludf.DUMMYFUNCTION("""COMPUTED_VALUE"""),2.0)</f>
        <v>2</v>
      </c>
      <c r="M6142" s="4" t="str">
        <f>IFERROR(__xludf.DUMMYFUNCTION("""COMPUTED_VALUE"""),"Bitbar")</f>
        <v>Bitbar</v>
      </c>
      <c r="N6142" s="33">
        <f>IFERROR(__xludf.DUMMYFUNCTION("""COMPUTED_VALUE"""),1.0)</f>
        <v>1</v>
      </c>
      <c r="O6142" s="4" t="str">
        <f>IFERROR(__xludf.DUMMYFUNCTION("""COMPUTED_VALUE"""),"Bitbar")</f>
        <v>Bitbar</v>
      </c>
      <c r="P6142" s="33">
        <f>IFERROR(__xludf.DUMMYFUNCTION("""COMPUTED_VALUE"""),1.0)</f>
        <v>1</v>
      </c>
      <c r="Q6142" s="4" t="str">
        <f>IFERROR(__xludf.DUMMYFUNCTION("""COMPUTED_VALUE"""),"Bitbar")</f>
        <v>Bitbar</v>
      </c>
      <c r="R6142" s="33">
        <f>IFERROR(__xludf.DUMMYFUNCTION("""COMPUTED_VALUE"""),0.5)</f>
        <v>0.5</v>
      </c>
      <c r="S6142" s="4" t="str">
        <f>IFERROR(__xludf.DUMMYFUNCTION("""COMPUTED_VALUE"""),"Bitbar")</f>
        <v>Bitbar</v>
      </c>
      <c r="T6142" s="33">
        <f>IFERROR(__xludf.DUMMYFUNCTION("""COMPUTED_VALUE"""),1.0)</f>
        <v>1</v>
      </c>
      <c r="U6142" s="4" t="str">
        <f>IFERROR(__xludf.DUMMYFUNCTION("""COMPUTED_VALUE"""),"Bitbar")</f>
        <v>Bitbar</v>
      </c>
      <c r="V6142" s="33">
        <f>IFERROR(__xludf.DUMMYFUNCTION("""COMPUTED_VALUE"""),1.0)</f>
        <v>1</v>
      </c>
      <c r="W6142" s="4" t="str">
        <f>IFERROR(__xludf.DUMMYFUNCTION("""COMPUTED_VALUE"""),"Bitbar")</f>
        <v>Bitbar</v>
      </c>
      <c r="X6142" s="33">
        <f>IFERROR(__xludf.DUMMYFUNCTION("""COMPUTED_VALUE"""),1.0)</f>
        <v>1</v>
      </c>
    </row>
    <row r="6143">
      <c r="K6143" s="4" t="str">
        <f>IFERROR(__xludf.DUMMYFUNCTION("""COMPUTED_VALUE"""),"ESQUINA DO ESPETO")</f>
        <v>ESQUINA DO ESPETO</v>
      </c>
      <c r="L6143" s="32">
        <f>IFERROR(__xludf.DUMMYFUNCTION("""COMPUTED_VALUE"""),2.0)</f>
        <v>2</v>
      </c>
      <c r="M6143" s="4" t="str">
        <f>IFERROR(__xludf.DUMMYFUNCTION("""COMPUTED_VALUE"""),"Saipos Serviços De Software")</f>
        <v>Saipos Serviços De Software</v>
      </c>
      <c r="N6143" s="33">
        <f>IFERROR(__xludf.DUMMYFUNCTION("""COMPUTED_VALUE"""),0.5)</f>
        <v>0.5</v>
      </c>
      <c r="O6143" s="4" t="str">
        <f>IFERROR(__xludf.DUMMYFUNCTION("""COMPUTED_VALUE"""),"null")</f>
        <v>null</v>
      </c>
      <c r="P6143" s="33">
        <f>IFERROR(__xludf.DUMMYFUNCTION("""COMPUTED_VALUE"""),1.0)</f>
        <v>1</v>
      </c>
      <c r="Q6143" s="4" t="str">
        <f>IFERROR(__xludf.DUMMYFUNCTION("""COMPUTED_VALUE"""),"null")</f>
        <v>null</v>
      </c>
      <c r="R6143" s="33">
        <f>IFERROR(__xludf.DUMMYFUNCTION("""COMPUTED_VALUE"""),0.5)</f>
        <v>0.5</v>
      </c>
      <c r="S6143" s="4" t="str">
        <f>IFERROR(__xludf.DUMMYFUNCTION("""COMPUTED_VALUE"""),"null")</f>
        <v>null</v>
      </c>
      <c r="T6143" s="33">
        <f>IFERROR(__xludf.DUMMYFUNCTION("""COMPUTED_VALUE"""),0.5)</f>
        <v>0.5</v>
      </c>
      <c r="U6143" s="4" t="str">
        <f>IFERROR(__xludf.DUMMYFUNCTION("""COMPUTED_VALUE"""),"null")</f>
        <v>null</v>
      </c>
      <c r="V6143" s="33">
        <f>IFERROR(__xludf.DUMMYFUNCTION("""COMPUTED_VALUE"""),0.5)</f>
        <v>0.5</v>
      </c>
      <c r="W6143" s="4" t="str">
        <f>IFERROR(__xludf.DUMMYFUNCTION("""COMPUTED_VALUE"""),"null")</f>
        <v>null</v>
      </c>
      <c r="X6143" s="33">
        <f>IFERROR(__xludf.DUMMYFUNCTION("""COMPUTED_VALUE"""),0.5)</f>
        <v>0.5</v>
      </c>
    </row>
    <row r="6144">
      <c r="K6144" s="4" t="str">
        <f>IFERROR(__xludf.DUMMYFUNCTION("""COMPUTED_VALUE"""),"ONE ACAI E SORVETE")</f>
        <v>ONE ACAI E SORVETE</v>
      </c>
      <c r="L6144" s="32">
        <f>IFERROR(__xludf.DUMMYFUNCTION("""COMPUTED_VALUE"""),2.0)</f>
        <v>2</v>
      </c>
      <c r="M6144" s="4" t="str">
        <f>IFERROR(__xludf.DUMMYFUNCTION("""COMPUTED_VALUE"""),"null")</f>
        <v>null</v>
      </c>
      <c r="N6144" s="33">
        <f>IFERROR(__xludf.DUMMYFUNCTION("""COMPUTED_VALUE"""),0.5)</f>
        <v>0.5</v>
      </c>
      <c r="O6144" s="4" t="str">
        <f>IFERROR(__xludf.DUMMYFUNCTION("""COMPUTED_VALUE"""),"null")</f>
        <v>null</v>
      </c>
      <c r="P6144" s="33">
        <f>IFERROR(__xludf.DUMMYFUNCTION("""COMPUTED_VALUE"""),0.5)</f>
        <v>0.5</v>
      </c>
      <c r="Q6144" s="4" t="str">
        <f>IFERROR(__xludf.DUMMYFUNCTION("""COMPUTED_VALUE"""),"null")</f>
        <v>null</v>
      </c>
      <c r="R6144" s="33">
        <f>IFERROR(__xludf.DUMMYFUNCTION("""COMPUTED_VALUE"""),0.5)</f>
        <v>0.5</v>
      </c>
      <c r="S6144" s="4" t="str">
        <f>IFERROR(__xludf.DUMMYFUNCTION("""COMPUTED_VALUE"""),"Saipos Serviços De Software")</f>
        <v>Saipos Serviços De Software</v>
      </c>
      <c r="T6144" s="33">
        <f>IFERROR(__xludf.DUMMYFUNCTION("""COMPUTED_VALUE"""),1.0)</f>
        <v>1</v>
      </c>
      <c r="U6144" s="4" t="str">
        <f>IFERROR(__xludf.DUMMYFUNCTION("""COMPUTED_VALUE"""),"Saipos Serviços De Software")</f>
        <v>Saipos Serviços De Software</v>
      </c>
      <c r="V6144" s="33">
        <f>IFERROR(__xludf.DUMMYFUNCTION("""COMPUTED_VALUE"""),1.0)</f>
        <v>1</v>
      </c>
      <c r="W6144" s="4" t="str">
        <f>IFERROR(__xludf.DUMMYFUNCTION("""COMPUTED_VALUE"""),"Saipos Serviços De Software")</f>
        <v>Saipos Serviços De Software</v>
      </c>
      <c r="X6144" s="33">
        <f>IFERROR(__xludf.DUMMYFUNCTION("""COMPUTED_VALUE"""),1.0)</f>
        <v>1</v>
      </c>
    </row>
    <row r="6145">
      <c r="K6145" s="4" t="str">
        <f>IFERROR(__xludf.DUMMYFUNCTION("""COMPUTED_VALUE"""),"RAFAS BURGUER")</f>
        <v>RAFAS BURGUER</v>
      </c>
      <c r="L6145" s="32">
        <f>IFERROR(__xludf.DUMMYFUNCTION("""COMPUTED_VALUE"""),2.0)</f>
        <v>2</v>
      </c>
      <c r="M6145" s="4" t="str">
        <f>IFERROR(__xludf.DUMMYFUNCTION("""COMPUTED_VALUE"""),"Instadelivery")</f>
        <v>Instadelivery</v>
      </c>
      <c r="N6145" s="33">
        <f>IFERROR(__xludf.DUMMYFUNCTION("""COMPUTED_VALUE"""),0.5)</f>
        <v>0.5</v>
      </c>
      <c r="O6145" s="4" t="str">
        <f>IFERROR(__xludf.DUMMYFUNCTION("""COMPUTED_VALUE"""),"Instadelivery")</f>
        <v>Instadelivery</v>
      </c>
      <c r="P6145" s="33">
        <f>IFERROR(__xludf.DUMMYFUNCTION("""COMPUTED_VALUE"""),0.5)</f>
        <v>0.5</v>
      </c>
      <c r="Q6145" s="4" t="str">
        <f>IFERROR(__xludf.DUMMYFUNCTION("""COMPUTED_VALUE"""),"Instadelivery")</f>
        <v>Instadelivery</v>
      </c>
      <c r="R6145" s="33">
        <f>IFERROR(__xludf.DUMMYFUNCTION("""COMPUTED_VALUE"""),0.5)</f>
        <v>0.5</v>
      </c>
      <c r="S6145" s="4" t="str">
        <f>IFERROR(__xludf.DUMMYFUNCTION("""COMPUTED_VALUE"""),"Instadelivery")</f>
        <v>Instadelivery</v>
      </c>
      <c r="T6145" s="33">
        <f>IFERROR(__xludf.DUMMYFUNCTION("""COMPUTED_VALUE"""),0.5)</f>
        <v>0.5</v>
      </c>
      <c r="U6145" s="4" t="str">
        <f>IFERROR(__xludf.DUMMYFUNCTION("""COMPUTED_VALUE"""),"Instadelivery")</f>
        <v>Instadelivery</v>
      </c>
      <c r="V6145" s="33">
        <f>IFERROR(__xludf.DUMMYFUNCTION("""COMPUTED_VALUE"""),0.5)</f>
        <v>0.5</v>
      </c>
      <c r="W6145" s="4" t="str">
        <f>IFERROR(__xludf.DUMMYFUNCTION("""COMPUTED_VALUE"""),"Instadelivery")</f>
        <v>Instadelivery</v>
      </c>
      <c r="X6145" s="33">
        <f>IFERROR(__xludf.DUMMYFUNCTION("""COMPUTED_VALUE"""),0.5)</f>
        <v>0.5</v>
      </c>
    </row>
    <row r="6146">
      <c r="K6146" s="4" t="str">
        <f>IFERROR(__xludf.DUMMYFUNCTION("""COMPUTED_VALUE"""),"RESTAURANTE SABORES DA PRAIA")</f>
        <v>RESTAURANTE SABORES DA PRAIA</v>
      </c>
      <c r="L6146" s="32">
        <f>IFERROR(__xludf.DUMMYFUNCTION("""COMPUTED_VALUE"""),2.0)</f>
        <v>2</v>
      </c>
      <c r="M6146" s="4" t="str">
        <f>IFERROR(__xludf.DUMMYFUNCTION("""COMPUTED_VALUE"""),"null")</f>
        <v>null</v>
      </c>
      <c r="N6146" s="33">
        <f>IFERROR(__xludf.DUMMYFUNCTION("""COMPUTED_VALUE"""),1.0)</f>
        <v>1</v>
      </c>
      <c r="O6146" s="4" t="str">
        <f>IFERROR(__xludf.DUMMYFUNCTION("""COMPUTED_VALUE"""),"null")</f>
        <v>null</v>
      </c>
      <c r="P6146" s="33">
        <f>IFERROR(__xludf.DUMMYFUNCTION("""COMPUTED_VALUE"""),1.0)</f>
        <v>1</v>
      </c>
      <c r="Q6146" s="4" t="str">
        <f>IFERROR(__xludf.DUMMYFUNCTION("""COMPUTED_VALUE"""),"null")</f>
        <v>null</v>
      </c>
      <c r="R6146" s="33">
        <f>IFERROR(__xludf.DUMMYFUNCTION("""COMPUTED_VALUE"""),0.5)</f>
        <v>0.5</v>
      </c>
      <c r="S6146" s="4" t="str">
        <f>IFERROR(__xludf.DUMMYFUNCTION("""COMPUTED_VALUE"""),"null")</f>
        <v>null</v>
      </c>
      <c r="T6146" s="33">
        <f>IFERROR(__xludf.DUMMYFUNCTION("""COMPUTED_VALUE"""),0.5)</f>
        <v>0.5</v>
      </c>
      <c r="U6146" s="4" t="str">
        <f>IFERROR(__xludf.DUMMYFUNCTION("""COMPUTED_VALUE"""),"Osdweb Informatica Ltda  - Panterafood")</f>
        <v>Osdweb Informatica Ltda  - Panterafood</v>
      </c>
      <c r="V6146" s="33">
        <f>IFERROR(__xludf.DUMMYFUNCTION("""COMPUTED_VALUE"""),1.0)</f>
        <v>1</v>
      </c>
      <c r="W6146" s="4" t="str">
        <f>IFERROR(__xludf.DUMMYFUNCTION("""COMPUTED_VALUE"""),"Osdweb Informatica Ltda  - Panterafood")</f>
        <v>Osdweb Informatica Ltda  - Panterafood</v>
      </c>
      <c r="X6146" s="33">
        <f>IFERROR(__xludf.DUMMYFUNCTION("""COMPUTED_VALUE"""),0.5)</f>
        <v>0.5</v>
      </c>
    </row>
    <row r="6147">
      <c r="K6147" s="4" t="str">
        <f>IFERROR(__xludf.DUMMYFUNCTION("""COMPUTED_VALUE"""),"ACAI DO GORDO")</f>
        <v>ACAI DO GORDO</v>
      </c>
      <c r="L6147" s="32">
        <f>IFERROR(__xludf.DUMMYFUNCTION("""COMPUTED_VALUE"""),2.0)</f>
        <v>2</v>
      </c>
      <c r="M6147" s="4" t="str">
        <f>IFERROR(__xludf.DUMMYFUNCTION("""COMPUTED_VALUE"""),"null")</f>
        <v>null</v>
      </c>
      <c r="N6147" s="33">
        <f>IFERROR(__xludf.DUMMYFUNCTION("""COMPUTED_VALUE"""),0.5)</f>
        <v>0.5</v>
      </c>
      <c r="O6147" s="4" t="str">
        <f>IFERROR(__xludf.DUMMYFUNCTION("""COMPUTED_VALUE"""),"null")</f>
        <v>null</v>
      </c>
      <c r="P6147" s="33">
        <f>IFERROR(__xludf.DUMMYFUNCTION("""COMPUTED_VALUE"""),0.5)</f>
        <v>0.5</v>
      </c>
      <c r="Q6147" s="4" t="str">
        <f>IFERROR(__xludf.DUMMYFUNCTION("""COMPUTED_VALUE"""),"null")</f>
        <v>null</v>
      </c>
      <c r="R6147" s="33">
        <f>IFERROR(__xludf.DUMMYFUNCTION("""COMPUTED_VALUE"""),0.5)</f>
        <v>0.5</v>
      </c>
      <c r="S6147" s="4" t="str">
        <f>IFERROR(__xludf.DUMMYFUNCTION("""COMPUTED_VALUE"""),"null")</f>
        <v>null</v>
      </c>
      <c r="T6147" s="33">
        <f>IFERROR(__xludf.DUMMYFUNCTION("""COMPUTED_VALUE"""),0.5)</f>
        <v>0.5</v>
      </c>
      <c r="U6147" s="4" t="str">
        <f>IFERROR(__xludf.DUMMYFUNCTION("""COMPUTED_VALUE"""),"Instadelivery")</f>
        <v>Instadelivery</v>
      </c>
      <c r="V6147" s="33">
        <f>IFERROR(__xludf.DUMMYFUNCTION("""COMPUTED_VALUE"""),0.5)</f>
        <v>0.5</v>
      </c>
      <c r="W6147" s="4" t="str">
        <f>IFERROR(__xludf.DUMMYFUNCTION("""COMPUTED_VALUE"""),"null")</f>
        <v>null</v>
      </c>
      <c r="X6147" s="33">
        <f>IFERROR(__xludf.DUMMYFUNCTION("""COMPUTED_VALUE"""),0.5)</f>
        <v>0.5</v>
      </c>
    </row>
    <row r="6148">
      <c r="K6148" s="4" t="str">
        <f>IFERROR(__xludf.DUMMYFUNCTION("""COMPUTED_VALUE"""),"DL BURGUER")</f>
        <v>DL BURGUER</v>
      </c>
      <c r="L6148" s="32">
        <f>IFERROR(__xludf.DUMMYFUNCTION("""COMPUTED_VALUE"""),2.0)</f>
        <v>2</v>
      </c>
      <c r="M6148" s="4" t="str">
        <f>IFERROR(__xludf.DUMMYFUNCTION("""COMPUTED_VALUE"""),"null")</f>
        <v>null</v>
      </c>
      <c r="N6148" s="33">
        <f>IFERROR(__xludf.DUMMYFUNCTION("""COMPUTED_VALUE"""),0.5)</f>
        <v>0.5</v>
      </c>
      <c r="O6148" s="4" t="str">
        <f>IFERROR(__xludf.DUMMYFUNCTION("""COMPUTED_VALUE"""),"null")</f>
        <v>null</v>
      </c>
      <c r="P6148" s="33">
        <f>IFERROR(__xludf.DUMMYFUNCTION("""COMPUTED_VALUE"""),0.5)</f>
        <v>0.5</v>
      </c>
      <c r="Q6148" s="4" t="str">
        <f>IFERROR(__xludf.DUMMYFUNCTION("""COMPUTED_VALUE"""),"Cervantes Tecnologia")</f>
        <v>Cervantes Tecnologia</v>
      </c>
      <c r="R6148" s="33">
        <f>IFERROR(__xludf.DUMMYFUNCTION("""COMPUTED_VALUE"""),0.5)</f>
        <v>0.5</v>
      </c>
      <c r="S6148" s="4" t="str">
        <f>IFERROR(__xludf.DUMMYFUNCTION("""COMPUTED_VALUE"""),"null")</f>
        <v>null</v>
      </c>
      <c r="T6148" s="33">
        <f>IFERROR(__xludf.DUMMYFUNCTION("""COMPUTED_VALUE"""),0.5)</f>
        <v>0.5</v>
      </c>
      <c r="U6148" s="4" t="str">
        <f>IFERROR(__xludf.DUMMYFUNCTION("""COMPUTED_VALUE"""),"null")</f>
        <v>null</v>
      </c>
      <c r="V6148" s="33">
        <f>IFERROR(__xludf.DUMMYFUNCTION("""COMPUTED_VALUE"""),0.5)</f>
        <v>0.5</v>
      </c>
      <c r="W6148" s="4" t="str">
        <f>IFERROR(__xludf.DUMMYFUNCTION("""COMPUTED_VALUE"""),"null")</f>
        <v>null</v>
      </c>
      <c r="X6148" s="33">
        <f>IFERROR(__xludf.DUMMYFUNCTION("""COMPUTED_VALUE"""),0.5)</f>
        <v>0.5</v>
      </c>
    </row>
    <row r="6149">
      <c r="K6149" s="4" t="str">
        <f>IFERROR(__xludf.DUMMYFUNCTION("""COMPUTED_VALUE"""),"DROGARIA MOURA")</f>
        <v>DROGARIA MOURA</v>
      </c>
      <c r="L6149" s="32">
        <f>IFERROR(__xludf.DUMMYFUNCTION("""COMPUTED_VALUE"""),2.0)</f>
        <v>2</v>
      </c>
      <c r="M6149" s="4" t="str">
        <f>IFERROR(__xludf.DUMMYFUNCTION("""COMPUTED_VALUE"""),"null")</f>
        <v>null</v>
      </c>
      <c r="N6149" s="33">
        <f>IFERROR(__xludf.DUMMYFUNCTION("""COMPUTED_VALUE"""),1.0)</f>
        <v>1</v>
      </c>
      <c r="O6149" s="4" t="str">
        <f>IFERROR(__xludf.DUMMYFUNCTION("""COMPUTED_VALUE"""),"null")</f>
        <v>null</v>
      </c>
      <c r="P6149" s="33">
        <f>IFERROR(__xludf.DUMMYFUNCTION("""COMPUTED_VALUE"""),0.5)</f>
        <v>0.5</v>
      </c>
      <c r="Q6149" s="4" t="str">
        <f>IFERROR(__xludf.DUMMYFUNCTION("""COMPUTED_VALUE"""),"null")</f>
        <v>null</v>
      </c>
      <c r="R6149" s="33">
        <f>IFERROR(__xludf.DUMMYFUNCTION("""COMPUTED_VALUE"""),0.5)</f>
        <v>0.5</v>
      </c>
      <c r="S6149" s="4" t="str">
        <f>IFERROR(__xludf.DUMMYFUNCTION("""COMPUTED_VALUE"""),"N/A (Not found)")</f>
        <v>N/A (Not found)</v>
      </c>
      <c r="T6149" s="33">
        <f>IFERROR(__xludf.DUMMYFUNCTION("""COMPUTED_VALUE"""),1.0)</f>
        <v>1</v>
      </c>
      <c r="U6149" s="4" t="str">
        <f>IFERROR(__xludf.DUMMYFUNCTION("""COMPUTED_VALUE"""),"N/A (Not found)")</f>
        <v>N/A (Not found)</v>
      </c>
      <c r="V6149" s="33">
        <f>IFERROR(__xludf.DUMMYFUNCTION("""COMPUTED_VALUE"""),1.0)</f>
        <v>1</v>
      </c>
      <c r="W6149" s="4" t="str">
        <f>IFERROR(__xludf.DUMMYFUNCTION("""COMPUTED_VALUE"""),"N/A (Not found)")</f>
        <v>N/A (Not found)</v>
      </c>
      <c r="X6149" s="33">
        <f>IFERROR(__xludf.DUMMYFUNCTION("""COMPUTED_VALUE"""),1.0)</f>
        <v>1</v>
      </c>
    </row>
    <row r="6150">
      <c r="K6150" s="4" t="str">
        <f>IFERROR(__xludf.DUMMYFUNCTION("""COMPUTED_VALUE"""),"PEIXINHO TRADICIONAL")</f>
        <v>PEIXINHO TRADICIONAL</v>
      </c>
      <c r="L6150" s="32">
        <f>IFERROR(__xludf.DUMMYFUNCTION("""COMPUTED_VALUE"""),2.0)</f>
        <v>2</v>
      </c>
      <c r="M6150" s="4" t="str">
        <f>IFERROR(__xludf.DUMMYFUNCTION("""COMPUTED_VALUE"""),"null")</f>
        <v>null</v>
      </c>
      <c r="N6150" s="33">
        <f>IFERROR(__xludf.DUMMYFUNCTION("""COMPUTED_VALUE"""),0.5)</f>
        <v>0.5</v>
      </c>
      <c r="O6150" s="4" t="str">
        <f>IFERROR(__xludf.DUMMYFUNCTION("""COMPUTED_VALUE"""),"null")</f>
        <v>null</v>
      </c>
      <c r="P6150" s="33">
        <f>IFERROR(__xludf.DUMMYFUNCTION("""COMPUTED_VALUE"""),0.5)</f>
        <v>0.5</v>
      </c>
      <c r="Q6150" s="4" t="str">
        <f>IFERROR(__xludf.DUMMYFUNCTION("""COMPUTED_VALUE"""),"null")</f>
        <v>null</v>
      </c>
      <c r="R6150" s="33">
        <f>IFERROR(__xludf.DUMMYFUNCTION("""COMPUTED_VALUE"""),0.5)</f>
        <v>0.5</v>
      </c>
      <c r="S6150" s="4" t="str">
        <f>IFERROR(__xludf.DUMMYFUNCTION("""COMPUTED_VALUE"""),"null")</f>
        <v>null</v>
      </c>
      <c r="T6150" s="33">
        <f>IFERROR(__xludf.DUMMYFUNCTION("""COMPUTED_VALUE"""),0.5)</f>
        <v>0.5</v>
      </c>
      <c r="U6150" s="4" t="str">
        <f>IFERROR(__xludf.DUMMYFUNCTION("""COMPUTED_VALUE"""),"null")</f>
        <v>null</v>
      </c>
      <c r="V6150" s="33">
        <f>IFERROR(__xludf.DUMMYFUNCTION("""COMPUTED_VALUE"""),0.5)</f>
        <v>0.5</v>
      </c>
      <c r="W6150" s="4" t="str">
        <f>IFERROR(__xludf.DUMMYFUNCTION("""COMPUTED_VALUE"""),"Netcontroll Xmenu")</f>
        <v>Netcontroll Xmenu</v>
      </c>
      <c r="X6150" s="33">
        <f>IFERROR(__xludf.DUMMYFUNCTION("""COMPUTED_VALUE"""),1.0)</f>
        <v>1</v>
      </c>
    </row>
    <row r="6151">
      <c r="K6151" s="4" t="str">
        <f>IFERROR(__xludf.DUMMYFUNCTION("""COMPUTED_VALUE"""),"ACAI BOX")</f>
        <v>ACAI BOX</v>
      </c>
      <c r="L6151" s="32">
        <f>IFERROR(__xludf.DUMMYFUNCTION("""COMPUTED_VALUE"""),2.0)</f>
        <v>2</v>
      </c>
      <c r="M6151" s="4" t="str">
        <f>IFERROR(__xludf.DUMMYFUNCTION("""COMPUTED_VALUE"""),"Brendi")</f>
        <v>Brendi</v>
      </c>
      <c r="N6151" s="33">
        <f>IFERROR(__xludf.DUMMYFUNCTION("""COMPUTED_VALUE"""),0.5)</f>
        <v>0.5</v>
      </c>
      <c r="O6151" s="4" t="str">
        <f>IFERROR(__xludf.DUMMYFUNCTION("""COMPUTED_VALUE"""),"Brendi")</f>
        <v>Brendi</v>
      </c>
      <c r="P6151" s="33">
        <f>IFERROR(__xludf.DUMMYFUNCTION("""COMPUTED_VALUE"""),0.5)</f>
        <v>0.5</v>
      </c>
      <c r="Q6151" s="4" t="str">
        <f>IFERROR(__xludf.DUMMYFUNCTION("""COMPUTED_VALUE"""),"Brendi")</f>
        <v>Brendi</v>
      </c>
      <c r="R6151" s="33">
        <f>IFERROR(__xludf.DUMMYFUNCTION("""COMPUTED_VALUE"""),1.0)</f>
        <v>1</v>
      </c>
      <c r="S6151" s="4" t="str">
        <f>IFERROR(__xludf.DUMMYFUNCTION("""COMPUTED_VALUE"""),"Brendi")</f>
        <v>Brendi</v>
      </c>
      <c r="T6151" s="33">
        <f>IFERROR(__xludf.DUMMYFUNCTION("""COMPUTED_VALUE"""),1.0)</f>
        <v>1</v>
      </c>
      <c r="U6151" s="4" t="str">
        <f>IFERROR(__xludf.DUMMYFUNCTION("""COMPUTED_VALUE"""),"Brendi")</f>
        <v>Brendi</v>
      </c>
      <c r="V6151" s="33">
        <f>IFERROR(__xludf.DUMMYFUNCTION("""COMPUTED_VALUE"""),1.0)</f>
        <v>1</v>
      </c>
      <c r="W6151" s="4" t="str">
        <f>IFERROR(__xludf.DUMMYFUNCTION("""COMPUTED_VALUE"""),"Brendi")</f>
        <v>Brendi</v>
      </c>
      <c r="X6151" s="33">
        <f>IFERROR(__xludf.DUMMYFUNCTION("""COMPUTED_VALUE"""),1.0)</f>
        <v>1</v>
      </c>
    </row>
    <row r="6152">
      <c r="K6152" s="4" t="str">
        <f>IFERROR(__xludf.DUMMYFUNCTION("""COMPUTED_VALUE"""),"UNIVERSO PET")</f>
        <v>UNIVERSO PET</v>
      </c>
      <c r="L6152" s="32">
        <f>IFERROR(__xludf.DUMMYFUNCTION("""COMPUTED_VALUE"""),2.0)</f>
        <v>2</v>
      </c>
      <c r="M6152" s="4" t="str">
        <f>IFERROR(__xludf.DUMMYFUNCTION("""COMPUTED_VALUE"""),"null")</f>
        <v>null</v>
      </c>
      <c r="N6152" s="33">
        <f>IFERROR(__xludf.DUMMYFUNCTION("""COMPUTED_VALUE"""),0.5)</f>
        <v>0.5</v>
      </c>
      <c r="O6152" s="4" t="str">
        <f>IFERROR(__xludf.DUMMYFUNCTION("""COMPUTED_VALUE"""),"null")</f>
        <v>null</v>
      </c>
      <c r="P6152" s="33">
        <f>IFERROR(__xludf.DUMMYFUNCTION("""COMPUTED_VALUE"""),1.0)</f>
        <v>1</v>
      </c>
      <c r="Q6152" s="4" t="str">
        <f>IFERROR(__xludf.DUMMYFUNCTION("""COMPUTED_VALUE"""),"null")</f>
        <v>null</v>
      </c>
      <c r="R6152" s="33">
        <f>IFERROR(__xludf.DUMMYFUNCTION("""COMPUTED_VALUE"""),1.0)</f>
        <v>1</v>
      </c>
      <c r="S6152" s="4" t="str">
        <f>IFERROR(__xludf.DUMMYFUNCTION("""COMPUTED_VALUE"""),"null")</f>
        <v>null</v>
      </c>
      <c r="T6152" s="33">
        <f>IFERROR(__xludf.DUMMYFUNCTION("""COMPUTED_VALUE"""),1.0)</f>
        <v>1</v>
      </c>
      <c r="U6152" s="4" t="str">
        <f>IFERROR(__xludf.DUMMYFUNCTION("""COMPUTED_VALUE"""),"N/A (Not found)")</f>
        <v>N/A (Not found)</v>
      </c>
      <c r="V6152" s="33">
        <f>IFERROR(__xludf.DUMMYFUNCTION("""COMPUTED_VALUE"""),0.5)</f>
        <v>0.5</v>
      </c>
      <c r="W6152" s="4" t="str">
        <f>IFERROR(__xludf.DUMMYFUNCTION("""COMPUTED_VALUE"""),"N/A (Not found)")</f>
        <v>N/A (Not found)</v>
      </c>
      <c r="X6152" s="33">
        <f>IFERROR(__xludf.DUMMYFUNCTION("""COMPUTED_VALUE"""),0.5)</f>
        <v>0.5</v>
      </c>
    </row>
    <row r="6153">
      <c r="K6153" s="4" t="str">
        <f>IFERROR(__xludf.DUMMYFUNCTION("""COMPUTED_VALUE"""),"GOLDEN PIZZARIA")</f>
        <v>GOLDEN PIZZARIA</v>
      </c>
      <c r="L6153" s="32">
        <f>IFERROR(__xludf.DUMMYFUNCTION("""COMPUTED_VALUE"""),2.0)</f>
        <v>2</v>
      </c>
      <c r="M6153" s="4" t="str">
        <f>IFERROR(__xludf.DUMMYFUNCTION("""COMPUTED_VALUE"""),"null")</f>
        <v>null</v>
      </c>
      <c r="N6153" s="33">
        <f>IFERROR(__xludf.DUMMYFUNCTION("""COMPUTED_VALUE"""),0.5)</f>
        <v>0.5</v>
      </c>
      <c r="O6153" s="4" t="str">
        <f>IFERROR(__xludf.DUMMYFUNCTION("""COMPUTED_VALUE"""),"null")</f>
        <v>null</v>
      </c>
      <c r="P6153" s="33">
        <f>IFERROR(__xludf.DUMMYFUNCTION("""COMPUTED_VALUE"""),0.5)</f>
        <v>0.5</v>
      </c>
      <c r="Q6153" s="4" t="str">
        <f>IFERROR(__xludf.DUMMYFUNCTION("""COMPUTED_VALUE"""),"null")</f>
        <v>null</v>
      </c>
      <c r="R6153" s="33">
        <f>IFERROR(__xludf.DUMMYFUNCTION("""COMPUTED_VALUE"""),0.5)</f>
        <v>0.5</v>
      </c>
      <c r="S6153" s="4" t="str">
        <f>IFERROR(__xludf.DUMMYFUNCTION("""COMPUTED_VALUE"""),"null")</f>
        <v>null</v>
      </c>
      <c r="T6153" s="33">
        <f>IFERROR(__xludf.DUMMYFUNCTION("""COMPUTED_VALUE"""),0.5)</f>
        <v>0.5</v>
      </c>
      <c r="U6153" s="4" t="str">
        <f>IFERROR(__xludf.DUMMYFUNCTION("""COMPUTED_VALUE"""),"null")</f>
        <v>null</v>
      </c>
      <c r="V6153" s="33">
        <f>IFERROR(__xludf.DUMMYFUNCTION("""COMPUTED_VALUE"""),0.5)</f>
        <v>0.5</v>
      </c>
      <c r="W6153" s="4" t="str">
        <f>IFERROR(__xludf.DUMMYFUNCTION("""COMPUTED_VALUE"""),"Saipos Serviços De Software")</f>
        <v>Saipos Serviços De Software</v>
      </c>
      <c r="X6153" s="33">
        <f>IFERROR(__xludf.DUMMYFUNCTION("""COMPUTED_VALUE"""),1.0)</f>
        <v>1</v>
      </c>
    </row>
    <row r="6154">
      <c r="K6154" s="4" t="str">
        <f>IFERROR(__xludf.DUMMYFUNCTION("""COMPUTED_VALUE"""),"BRUTUS")</f>
        <v>BRUTUS</v>
      </c>
      <c r="L6154" s="32">
        <f>IFERROR(__xludf.DUMMYFUNCTION("""COMPUTED_VALUE"""),2.0)</f>
        <v>2</v>
      </c>
      <c r="M6154" s="4" t="str">
        <f>IFERROR(__xludf.DUMMYFUNCTION("""COMPUTED_VALUE"""),"Schneider Software")</f>
        <v>Schneider Software</v>
      </c>
      <c r="N6154" s="33">
        <f>IFERROR(__xludf.DUMMYFUNCTION("""COMPUTED_VALUE"""),0.5)</f>
        <v>0.5</v>
      </c>
      <c r="O6154" s="4" t="str">
        <f>IFERROR(__xludf.DUMMYFUNCTION("""COMPUTED_VALUE"""),"Schneider Software")</f>
        <v>Schneider Software</v>
      </c>
      <c r="P6154" s="33">
        <f>IFERROR(__xludf.DUMMYFUNCTION("""COMPUTED_VALUE"""),0.5)</f>
        <v>0.5</v>
      </c>
      <c r="Q6154" s="4" t="str">
        <f>IFERROR(__xludf.DUMMYFUNCTION("""COMPUTED_VALUE"""),"Schneider Software")</f>
        <v>Schneider Software</v>
      </c>
      <c r="R6154" s="33">
        <f>IFERROR(__xludf.DUMMYFUNCTION("""COMPUTED_VALUE"""),0.5)</f>
        <v>0.5</v>
      </c>
      <c r="S6154" s="4" t="str">
        <f>IFERROR(__xludf.DUMMYFUNCTION("""COMPUTED_VALUE"""),"Schneider Software")</f>
        <v>Schneider Software</v>
      </c>
      <c r="T6154" s="33">
        <f>IFERROR(__xludf.DUMMYFUNCTION("""COMPUTED_VALUE"""),0.5)</f>
        <v>0.5</v>
      </c>
      <c r="U6154" s="4" t="str">
        <f>IFERROR(__xludf.DUMMYFUNCTION("""COMPUTED_VALUE"""),"Schneider Software")</f>
        <v>Schneider Software</v>
      </c>
      <c r="V6154" s="33">
        <f>IFERROR(__xludf.DUMMYFUNCTION("""COMPUTED_VALUE"""),0.5)</f>
        <v>0.5</v>
      </c>
      <c r="W6154" s="4" t="str">
        <f>IFERROR(__xludf.DUMMYFUNCTION("""COMPUTED_VALUE"""),"null")</f>
        <v>null</v>
      </c>
      <c r="X6154" s="33">
        <f>IFERROR(__xludf.DUMMYFUNCTION("""COMPUTED_VALUE"""),1.0)</f>
        <v>1</v>
      </c>
    </row>
    <row r="6155">
      <c r="K6155" s="4" t="str">
        <f>IFERROR(__xludf.DUMMYFUNCTION("""COMPUTED_VALUE"""),"AGAFARMA")</f>
        <v>AGAFARMA</v>
      </c>
      <c r="L6155" s="32">
        <f>IFERROR(__xludf.DUMMYFUNCTION("""COMPUTED_VALUE"""),2.0)</f>
        <v>2</v>
      </c>
      <c r="M6155" s="4" t="str">
        <f>IFERROR(__xludf.DUMMYFUNCTION("""COMPUTED_VALUE"""),"N/A (Not found)")</f>
        <v>N/A (Not found)</v>
      </c>
      <c r="N6155" s="33">
        <f>IFERROR(__xludf.DUMMYFUNCTION("""COMPUTED_VALUE"""),1.0)</f>
        <v>1</v>
      </c>
      <c r="O6155" s="4" t="str">
        <f>IFERROR(__xludf.DUMMYFUNCTION("""COMPUTED_VALUE"""),"N/A (Not found)")</f>
        <v>N/A (Not found)</v>
      </c>
      <c r="P6155" s="33">
        <f>IFERROR(__xludf.DUMMYFUNCTION("""COMPUTED_VALUE"""),1.0)</f>
        <v>1</v>
      </c>
      <c r="Q6155" s="4" t="str">
        <f>IFERROR(__xludf.DUMMYFUNCTION("""COMPUTED_VALUE"""),"N/A (Not found)")</f>
        <v>N/A (Not found)</v>
      </c>
      <c r="R6155" s="33">
        <f>IFERROR(__xludf.DUMMYFUNCTION("""COMPUTED_VALUE"""),1.0)</f>
        <v>1</v>
      </c>
      <c r="S6155" s="4" t="str">
        <f>IFERROR(__xludf.DUMMYFUNCTION("""COMPUTED_VALUE"""),"N/A (Not found)")</f>
        <v>N/A (Not found)</v>
      </c>
      <c r="T6155" s="33">
        <f>IFERROR(__xludf.DUMMYFUNCTION("""COMPUTED_VALUE"""),1.0)</f>
        <v>1</v>
      </c>
      <c r="U6155" s="4" t="str">
        <f>IFERROR(__xludf.DUMMYFUNCTION("""COMPUTED_VALUE"""),"N/A (Not found)")</f>
        <v>N/A (Not found)</v>
      </c>
      <c r="V6155" s="33">
        <f>IFERROR(__xludf.DUMMYFUNCTION("""COMPUTED_VALUE"""),1.0)</f>
        <v>1</v>
      </c>
      <c r="W6155" s="4" t="str">
        <f>IFERROR(__xludf.DUMMYFUNCTION("""COMPUTED_VALUE"""),"N/A (Not found)")</f>
        <v>N/A (Not found)</v>
      </c>
      <c r="X6155" s="33">
        <f>IFERROR(__xludf.DUMMYFUNCTION("""COMPUTED_VALUE"""),1.0)</f>
        <v>1</v>
      </c>
    </row>
    <row r="6156">
      <c r="K6156" s="4" t="str">
        <f>IFERROR(__xludf.DUMMYFUNCTION("""COMPUTED_VALUE"""),"SILVANA FAST BURGER")</f>
        <v>SILVANA FAST BURGER</v>
      </c>
      <c r="L6156" s="32">
        <f>IFERROR(__xludf.DUMMYFUNCTION("""COMPUTED_VALUE"""),2.0)</f>
        <v>2</v>
      </c>
      <c r="M6156" s="4" t="str">
        <f>IFERROR(__xludf.DUMMYFUNCTION("""COMPUTED_VALUE"""),"null")</f>
        <v>null</v>
      </c>
      <c r="N6156" s="33">
        <f>IFERROR(__xludf.DUMMYFUNCTION("""COMPUTED_VALUE"""),0.5)</f>
        <v>0.5</v>
      </c>
      <c r="O6156" s="4" t="str">
        <f>IFERROR(__xludf.DUMMYFUNCTION("""COMPUTED_VALUE"""),"null")</f>
        <v>null</v>
      </c>
      <c r="P6156" s="33">
        <f>IFERROR(__xludf.DUMMYFUNCTION("""COMPUTED_VALUE"""),0.5)</f>
        <v>0.5</v>
      </c>
      <c r="Q6156" s="4" t="str">
        <f>IFERROR(__xludf.DUMMYFUNCTION("""COMPUTED_VALUE"""),"null")</f>
        <v>null</v>
      </c>
      <c r="R6156" s="33">
        <f>IFERROR(__xludf.DUMMYFUNCTION("""COMPUTED_VALUE"""),0.5)</f>
        <v>0.5</v>
      </c>
      <c r="S6156" s="4" t="str">
        <f>IFERROR(__xludf.DUMMYFUNCTION("""COMPUTED_VALUE"""),"Suitable Tecnologia E Gestao")</f>
        <v>Suitable Tecnologia E Gestao</v>
      </c>
      <c r="T6156" s="33">
        <f>IFERROR(__xludf.DUMMYFUNCTION("""COMPUTED_VALUE"""),1.0)</f>
        <v>1</v>
      </c>
      <c r="U6156" s="4" t="str">
        <f>IFERROR(__xludf.DUMMYFUNCTION("""COMPUTED_VALUE"""),"Suitable Tecnologia E Gestao")</f>
        <v>Suitable Tecnologia E Gestao</v>
      </c>
      <c r="V6156" s="33">
        <f>IFERROR(__xludf.DUMMYFUNCTION("""COMPUTED_VALUE"""),0.5)</f>
        <v>0.5</v>
      </c>
      <c r="W6156" s="4" t="str">
        <f>IFERROR(__xludf.DUMMYFUNCTION("""COMPUTED_VALUE"""),"null")</f>
        <v>null</v>
      </c>
      <c r="X6156" s="33">
        <f>IFERROR(__xludf.DUMMYFUNCTION("""COMPUTED_VALUE"""),0.5)</f>
        <v>0.5</v>
      </c>
    </row>
    <row r="6157">
      <c r="K6157" s="4" t="str">
        <f>IFERROR(__xludf.DUMMYFUNCTION("""COMPUTED_VALUE"""),"ATACADAO DOS REMEDIOS")</f>
        <v>ATACADAO DOS REMEDIOS</v>
      </c>
      <c r="L6157" s="32">
        <f>IFERROR(__xludf.DUMMYFUNCTION("""COMPUTED_VALUE"""),2.0)</f>
        <v>2</v>
      </c>
      <c r="M6157" s="4" t="str">
        <f>IFERROR(__xludf.DUMMYFUNCTION("""COMPUTED_VALUE"""),"null")</f>
        <v>null</v>
      </c>
      <c r="N6157" s="33">
        <f>IFERROR(__xludf.DUMMYFUNCTION("""COMPUTED_VALUE"""),1.0)</f>
        <v>1</v>
      </c>
      <c r="O6157" s="4" t="str">
        <f>IFERROR(__xludf.DUMMYFUNCTION("""COMPUTED_VALUE"""),"null")</f>
        <v>null</v>
      </c>
      <c r="P6157" s="33">
        <f>IFERROR(__xludf.DUMMYFUNCTION("""COMPUTED_VALUE"""),1.0)</f>
        <v>1</v>
      </c>
      <c r="Q6157" s="4" t="str">
        <f>IFERROR(__xludf.DUMMYFUNCTION("""COMPUTED_VALUE"""),"null")</f>
        <v>null</v>
      </c>
      <c r="R6157" s="33">
        <f>IFERROR(__xludf.DUMMYFUNCTION("""COMPUTED_VALUE"""),1.0)</f>
        <v>1</v>
      </c>
      <c r="S6157" s="4" t="str">
        <f>IFERROR(__xludf.DUMMYFUNCTION("""COMPUTED_VALUE"""),"N/A (Not found)")</f>
        <v>N/A (Not found)</v>
      </c>
      <c r="T6157" s="33">
        <f>IFERROR(__xludf.DUMMYFUNCTION("""COMPUTED_VALUE"""),0.5)</f>
        <v>0.5</v>
      </c>
      <c r="U6157" s="4" t="str">
        <f>IFERROR(__xludf.DUMMYFUNCTION("""COMPUTED_VALUE"""),"N/A (Not found)")</f>
        <v>N/A (Not found)</v>
      </c>
      <c r="V6157" s="33">
        <f>IFERROR(__xludf.DUMMYFUNCTION("""COMPUTED_VALUE"""),0.5)</f>
        <v>0.5</v>
      </c>
      <c r="W6157" s="4" t="str">
        <f>IFERROR(__xludf.DUMMYFUNCTION("""COMPUTED_VALUE"""),"N/A (Not found)")</f>
        <v>N/A (Not found)</v>
      </c>
      <c r="X6157" s="33">
        <f>IFERROR(__xludf.DUMMYFUNCTION("""COMPUTED_VALUE"""),1.0)</f>
        <v>1</v>
      </c>
    </row>
    <row r="6158">
      <c r="K6158" s="4" t="str">
        <f>IFERROR(__xludf.DUMMYFUNCTION("""COMPUTED_VALUE"""),"MARIOS BURGERS")</f>
        <v>MARIOS BURGERS</v>
      </c>
      <c r="L6158" s="32">
        <f>IFERROR(__xludf.DUMMYFUNCTION("""COMPUTED_VALUE"""),2.0)</f>
        <v>2</v>
      </c>
      <c r="M6158" s="4" t="str">
        <f>IFERROR(__xludf.DUMMYFUNCTION("""COMPUTED_VALUE"""),"Consumer Soluções Em Tecnologia Ltda")</f>
        <v>Consumer Soluções Em Tecnologia Ltda</v>
      </c>
      <c r="N6158" s="33">
        <f>IFERROR(__xludf.DUMMYFUNCTION("""COMPUTED_VALUE"""),1.0)</f>
        <v>1</v>
      </c>
      <c r="O6158" s="4" t="str">
        <f>IFERROR(__xludf.DUMMYFUNCTION("""COMPUTED_VALUE"""),"null")</f>
        <v>null</v>
      </c>
      <c r="P6158" s="33">
        <f>IFERROR(__xludf.DUMMYFUNCTION("""COMPUTED_VALUE"""),1.0)</f>
        <v>1</v>
      </c>
      <c r="Q6158" s="4" t="str">
        <f>IFERROR(__xludf.DUMMYFUNCTION("""COMPUTED_VALUE"""),"Consumer Soluções Em Tecnologia Ltda")</f>
        <v>Consumer Soluções Em Tecnologia Ltda</v>
      </c>
      <c r="R6158" s="33">
        <f>IFERROR(__xludf.DUMMYFUNCTION("""COMPUTED_VALUE"""),0.5)</f>
        <v>0.5</v>
      </c>
      <c r="S6158" s="4" t="str">
        <f>IFERROR(__xludf.DUMMYFUNCTION("""COMPUTED_VALUE"""),"Consumer Soluções Em Tecnologia Ltda")</f>
        <v>Consumer Soluções Em Tecnologia Ltda</v>
      </c>
      <c r="T6158" s="33">
        <f>IFERROR(__xludf.DUMMYFUNCTION("""COMPUTED_VALUE"""),1.0)</f>
        <v>1</v>
      </c>
      <c r="U6158" s="4" t="str">
        <f>IFERROR(__xludf.DUMMYFUNCTION("""COMPUTED_VALUE"""),"null")</f>
        <v>null</v>
      </c>
      <c r="V6158" s="33">
        <f>IFERROR(__xludf.DUMMYFUNCTION("""COMPUTED_VALUE"""),1.0)</f>
        <v>1</v>
      </c>
      <c r="W6158" s="4" t="str">
        <f>IFERROR(__xludf.DUMMYFUNCTION("""COMPUTED_VALUE"""),"Consumer Soluções Em Tecnologia Ltda")</f>
        <v>Consumer Soluções Em Tecnologia Ltda</v>
      </c>
      <c r="X6158" s="33">
        <f>IFERROR(__xludf.DUMMYFUNCTION("""COMPUTED_VALUE"""),1.0)</f>
        <v>1</v>
      </c>
    </row>
    <row r="6159">
      <c r="K6159" s="4" t="str">
        <f>IFERROR(__xludf.DUMMYFUNCTION("""COMPUTED_VALUE"""),"PANELA VELHA - MARMITA")</f>
        <v>PANELA VELHA - MARMITA</v>
      </c>
      <c r="L6159" s="32">
        <f>IFERROR(__xludf.DUMMYFUNCTION("""COMPUTED_VALUE"""),2.0)</f>
        <v>2</v>
      </c>
      <c r="M6159" s="4" t="str">
        <f>IFERROR(__xludf.DUMMYFUNCTION("""COMPUTED_VALUE"""),"M-du Tecnologia")</f>
        <v>M-du Tecnologia</v>
      </c>
      <c r="N6159" s="33">
        <f>IFERROR(__xludf.DUMMYFUNCTION("""COMPUTED_VALUE"""),0.5)</f>
        <v>0.5</v>
      </c>
      <c r="O6159" s="4" t="str">
        <f>IFERROR(__xludf.DUMMYFUNCTION("""COMPUTED_VALUE"""),"M-du Tecnologia")</f>
        <v>M-du Tecnologia</v>
      </c>
      <c r="P6159" s="33">
        <f>IFERROR(__xludf.DUMMYFUNCTION("""COMPUTED_VALUE"""),0.5)</f>
        <v>0.5</v>
      </c>
      <c r="Q6159" s="4" t="str">
        <f>IFERROR(__xludf.DUMMYFUNCTION("""COMPUTED_VALUE"""),"M-du Tecnologia")</f>
        <v>M-du Tecnologia</v>
      </c>
      <c r="R6159" s="33">
        <f>IFERROR(__xludf.DUMMYFUNCTION("""COMPUTED_VALUE"""),0.5)</f>
        <v>0.5</v>
      </c>
      <c r="S6159" s="4" t="str">
        <f>IFERROR(__xludf.DUMMYFUNCTION("""COMPUTED_VALUE"""),"M-du Tecnologia")</f>
        <v>M-du Tecnologia</v>
      </c>
      <c r="T6159" s="33">
        <f>IFERROR(__xludf.DUMMYFUNCTION("""COMPUTED_VALUE"""),0.5)</f>
        <v>0.5</v>
      </c>
      <c r="U6159" s="4" t="str">
        <f>IFERROR(__xludf.DUMMYFUNCTION("""COMPUTED_VALUE"""),"M-du Tecnologia")</f>
        <v>M-du Tecnologia</v>
      </c>
      <c r="V6159" s="33">
        <f>IFERROR(__xludf.DUMMYFUNCTION("""COMPUTED_VALUE"""),0.5)</f>
        <v>0.5</v>
      </c>
      <c r="W6159" s="4" t="str">
        <f>IFERROR(__xludf.DUMMYFUNCTION("""COMPUTED_VALUE"""),"M-du Tecnologia")</f>
        <v>M-du Tecnologia</v>
      </c>
      <c r="X6159" s="33">
        <f>IFERROR(__xludf.DUMMYFUNCTION("""COMPUTED_VALUE"""),0.5)</f>
        <v>0.5</v>
      </c>
    </row>
    <row r="6160">
      <c r="K6160" s="4" t="str">
        <f>IFERROR(__xludf.DUMMYFUNCTION("""COMPUTED_VALUE"""),"TB BURGUER - HAMBURGUERIA")</f>
        <v>TB BURGUER - HAMBURGUERIA</v>
      </c>
      <c r="L6160" s="32">
        <f>IFERROR(__xludf.DUMMYFUNCTION("""COMPUTED_VALUE"""),2.0)</f>
        <v>2</v>
      </c>
      <c r="M6160" s="4" t="str">
        <f>IFERROR(__xludf.DUMMYFUNCTION("""COMPUTED_VALUE"""),"Saipos Serviços De Software")</f>
        <v>Saipos Serviços De Software</v>
      </c>
      <c r="N6160" s="33">
        <f>IFERROR(__xludf.DUMMYFUNCTION("""COMPUTED_VALUE"""),0.5)</f>
        <v>0.5</v>
      </c>
      <c r="O6160" s="4" t="str">
        <f>IFERROR(__xludf.DUMMYFUNCTION("""COMPUTED_VALUE"""),"Brendi")</f>
        <v>Brendi</v>
      </c>
      <c r="P6160" s="33">
        <f>IFERROR(__xludf.DUMMYFUNCTION("""COMPUTED_VALUE"""),1.0)</f>
        <v>1</v>
      </c>
      <c r="Q6160" s="4" t="str">
        <f>IFERROR(__xludf.DUMMYFUNCTION("""COMPUTED_VALUE"""),"Brendi")</f>
        <v>Brendi</v>
      </c>
      <c r="R6160" s="33">
        <f>IFERROR(__xludf.DUMMYFUNCTION("""COMPUTED_VALUE"""),1.0)</f>
        <v>1</v>
      </c>
      <c r="S6160" s="4" t="str">
        <f>IFERROR(__xludf.DUMMYFUNCTION("""COMPUTED_VALUE"""),"Brendi")</f>
        <v>Brendi</v>
      </c>
      <c r="T6160" s="33">
        <f>IFERROR(__xludf.DUMMYFUNCTION("""COMPUTED_VALUE"""),1.0)</f>
        <v>1</v>
      </c>
      <c r="U6160" s="4" t="str">
        <f>IFERROR(__xludf.DUMMYFUNCTION("""COMPUTED_VALUE"""),"Brendi")</f>
        <v>Brendi</v>
      </c>
      <c r="V6160" s="33">
        <f>IFERROR(__xludf.DUMMYFUNCTION("""COMPUTED_VALUE"""),0.5)</f>
        <v>0.5</v>
      </c>
      <c r="W6160" s="4" t="str">
        <f>IFERROR(__xludf.DUMMYFUNCTION("""COMPUTED_VALUE"""),"Brendi")</f>
        <v>Brendi</v>
      </c>
      <c r="X6160" s="33">
        <f>IFERROR(__xludf.DUMMYFUNCTION("""COMPUTED_VALUE"""),0.5)</f>
        <v>0.5</v>
      </c>
    </row>
    <row r="6161">
      <c r="K6161" s="4" t="str">
        <f>IFERROR(__xludf.DUMMYFUNCTION("""COMPUTED_VALUE"""),"DOCE ENCANTO CONFEITARIA")</f>
        <v>DOCE ENCANTO CONFEITARIA</v>
      </c>
      <c r="L6161" s="32">
        <f>IFERROR(__xludf.DUMMYFUNCTION("""COMPUTED_VALUE"""),2.0)</f>
        <v>2</v>
      </c>
      <c r="M6161" s="4" t="str">
        <f>IFERROR(__xludf.DUMMYFUNCTION("""COMPUTED_VALUE"""),"Mp Multipedidos")</f>
        <v>Mp Multipedidos</v>
      </c>
      <c r="N6161" s="33">
        <f>IFERROR(__xludf.DUMMYFUNCTION("""COMPUTED_VALUE"""),0.5)</f>
        <v>0.5</v>
      </c>
      <c r="O6161" s="4" t="str">
        <f>IFERROR(__xludf.DUMMYFUNCTION("""COMPUTED_VALUE"""),"Mp Multipedidos")</f>
        <v>Mp Multipedidos</v>
      </c>
      <c r="P6161" s="33">
        <f>IFERROR(__xludf.DUMMYFUNCTION("""COMPUTED_VALUE"""),0.5)</f>
        <v>0.5</v>
      </c>
      <c r="Q6161" s="4" t="str">
        <f>IFERROR(__xludf.DUMMYFUNCTION("""COMPUTED_VALUE"""),"null")</f>
        <v>null</v>
      </c>
      <c r="R6161" s="33">
        <f>IFERROR(__xludf.DUMMYFUNCTION("""COMPUTED_VALUE"""),1.0)</f>
        <v>1</v>
      </c>
      <c r="S6161" s="4" t="str">
        <f>IFERROR(__xludf.DUMMYFUNCTION("""COMPUTED_VALUE"""),"null")</f>
        <v>null</v>
      </c>
      <c r="T6161" s="33">
        <f>IFERROR(__xludf.DUMMYFUNCTION("""COMPUTED_VALUE"""),1.0)</f>
        <v>1</v>
      </c>
      <c r="U6161" s="4" t="str">
        <f>IFERROR(__xludf.DUMMYFUNCTION("""COMPUTED_VALUE"""),"null")</f>
        <v>null</v>
      </c>
      <c r="V6161" s="33">
        <f>IFERROR(__xludf.DUMMYFUNCTION("""COMPUTED_VALUE"""),0.5)</f>
        <v>0.5</v>
      </c>
      <c r="W6161" s="4" t="str">
        <f>IFERROR(__xludf.DUMMYFUNCTION("""COMPUTED_VALUE"""),"null")</f>
        <v>null</v>
      </c>
      <c r="X6161" s="33">
        <f>IFERROR(__xludf.DUMMYFUNCTION("""COMPUTED_VALUE"""),0.5)</f>
        <v>0.5</v>
      </c>
    </row>
    <row r="6162">
      <c r="K6162" s="4" t="str">
        <f>IFERROR(__xludf.DUMMYFUNCTION("""COMPUTED_VALUE"""),"ALVES BURGER")</f>
        <v>ALVES BURGER</v>
      </c>
      <c r="L6162" s="32">
        <f>IFERROR(__xludf.DUMMYFUNCTION("""COMPUTED_VALUE"""),2.0)</f>
        <v>2</v>
      </c>
      <c r="M6162" s="4" t="str">
        <f>IFERROR(__xludf.DUMMYFUNCTION("""COMPUTED_VALUE"""),"null")</f>
        <v>null</v>
      </c>
      <c r="N6162" s="33">
        <f>IFERROR(__xludf.DUMMYFUNCTION("""COMPUTED_VALUE"""),0.5)</f>
        <v>0.5</v>
      </c>
      <c r="O6162" s="4" t="str">
        <f>IFERROR(__xludf.DUMMYFUNCTION("""COMPUTED_VALUE"""),"Anota Ai Solucoes Digitais S/a")</f>
        <v>Anota Ai Solucoes Digitais S/a</v>
      </c>
      <c r="P6162" s="33">
        <f>IFERROR(__xludf.DUMMYFUNCTION("""COMPUTED_VALUE"""),0.5)</f>
        <v>0.5</v>
      </c>
      <c r="Q6162" s="4" t="str">
        <f>IFERROR(__xludf.DUMMYFUNCTION("""COMPUTED_VALUE"""),"Anota Ai Solucoes Digitais S/a")</f>
        <v>Anota Ai Solucoes Digitais S/a</v>
      </c>
      <c r="R6162" s="33">
        <f>IFERROR(__xludf.DUMMYFUNCTION("""COMPUTED_VALUE"""),0.5)</f>
        <v>0.5</v>
      </c>
      <c r="S6162" s="4" t="str">
        <f>IFERROR(__xludf.DUMMYFUNCTION("""COMPUTED_VALUE"""),"Anota Ai Solucoes Digitais S/a")</f>
        <v>Anota Ai Solucoes Digitais S/a</v>
      </c>
      <c r="T6162" s="33">
        <f>IFERROR(__xludf.DUMMYFUNCTION("""COMPUTED_VALUE"""),0.5)</f>
        <v>0.5</v>
      </c>
      <c r="U6162" s="4" t="str">
        <f>IFERROR(__xludf.DUMMYFUNCTION("""COMPUTED_VALUE"""),"null")</f>
        <v>null</v>
      </c>
      <c r="V6162" s="33">
        <f>IFERROR(__xludf.DUMMYFUNCTION("""COMPUTED_VALUE"""),1.0)</f>
        <v>1</v>
      </c>
      <c r="W6162" s="4" t="str">
        <f>IFERROR(__xludf.DUMMYFUNCTION("""COMPUTED_VALUE"""),"null")</f>
        <v>null</v>
      </c>
      <c r="X6162" s="33">
        <f>IFERROR(__xludf.DUMMYFUNCTION("""COMPUTED_VALUE"""),1.0)</f>
        <v>1</v>
      </c>
    </row>
    <row r="6163">
      <c r="K6163" s="4" t="str">
        <f>IFERROR(__xludf.DUMMYFUNCTION("""COMPUTED_VALUE"""),"RESTAURANTE LABAREDA")</f>
        <v>RESTAURANTE LABAREDA</v>
      </c>
      <c r="L6163" s="32">
        <f>IFERROR(__xludf.DUMMYFUNCTION("""COMPUTED_VALUE"""),2.0)</f>
        <v>2</v>
      </c>
      <c r="M6163" s="4" t="str">
        <f>IFERROR(__xludf.DUMMYFUNCTION("""COMPUTED_VALUE"""),"Cooknet Automacao Comercial")</f>
        <v>Cooknet Automacao Comercial</v>
      </c>
      <c r="N6163" s="33">
        <f>IFERROR(__xludf.DUMMYFUNCTION("""COMPUTED_VALUE"""),0.5)</f>
        <v>0.5</v>
      </c>
      <c r="O6163" s="4" t="str">
        <f>IFERROR(__xludf.DUMMYFUNCTION("""COMPUTED_VALUE"""),"Cooknet Automacao Comercial")</f>
        <v>Cooknet Automacao Comercial</v>
      </c>
      <c r="P6163" s="33">
        <f>IFERROR(__xludf.DUMMYFUNCTION("""COMPUTED_VALUE"""),0.5)</f>
        <v>0.5</v>
      </c>
      <c r="Q6163" s="4" t="str">
        <f>IFERROR(__xludf.DUMMYFUNCTION("""COMPUTED_VALUE"""),"Cooknet Automacao Comercial")</f>
        <v>Cooknet Automacao Comercial</v>
      </c>
      <c r="R6163" s="33">
        <f>IFERROR(__xludf.DUMMYFUNCTION("""COMPUTED_VALUE"""),0.5)</f>
        <v>0.5</v>
      </c>
      <c r="S6163" s="4" t="str">
        <f>IFERROR(__xludf.DUMMYFUNCTION("""COMPUTED_VALUE"""),"Cooknet Automacao Comercial")</f>
        <v>Cooknet Automacao Comercial</v>
      </c>
      <c r="T6163" s="33">
        <f>IFERROR(__xludf.DUMMYFUNCTION("""COMPUTED_VALUE"""),0.5)</f>
        <v>0.5</v>
      </c>
      <c r="U6163" s="4" t="str">
        <f>IFERROR(__xludf.DUMMYFUNCTION("""COMPUTED_VALUE"""),"Cooknet Automacao Comercial")</f>
        <v>Cooknet Automacao Comercial</v>
      </c>
      <c r="V6163" s="33">
        <f>IFERROR(__xludf.DUMMYFUNCTION("""COMPUTED_VALUE"""),0.5)</f>
        <v>0.5</v>
      </c>
      <c r="W6163" s="4" t="str">
        <f>IFERROR(__xludf.DUMMYFUNCTION("""COMPUTED_VALUE"""),"Fire Sistemas")</f>
        <v>Fire Sistemas</v>
      </c>
      <c r="X6163" s="33">
        <f>IFERROR(__xludf.DUMMYFUNCTION("""COMPUTED_VALUE"""),0.5)</f>
        <v>0.5</v>
      </c>
    </row>
    <row r="6164">
      <c r="K6164" s="4" t="str">
        <f>IFERROR(__xludf.DUMMYFUNCTION("""COMPUTED_VALUE"""),"DI FIORI PIZZARIA - PITUBA")</f>
        <v>DI FIORI PIZZARIA - PITUBA</v>
      </c>
      <c r="L6164" s="32">
        <f>IFERROR(__xludf.DUMMYFUNCTION("""COMPUTED_VALUE"""),2.0)</f>
        <v>2</v>
      </c>
      <c r="M6164" s="4" t="str">
        <f>IFERROR(__xludf.DUMMYFUNCTION("""COMPUTED_VALUE"""),"Saipos Serviços De Software")</f>
        <v>Saipos Serviços De Software</v>
      </c>
      <c r="N6164" s="33">
        <f>IFERROR(__xludf.DUMMYFUNCTION("""COMPUTED_VALUE"""),1.0)</f>
        <v>1</v>
      </c>
      <c r="O6164" s="4" t="str">
        <f>IFERROR(__xludf.DUMMYFUNCTION("""COMPUTED_VALUE"""),"Saipos Serviços De Software")</f>
        <v>Saipos Serviços De Software</v>
      </c>
      <c r="P6164" s="33">
        <f>IFERROR(__xludf.DUMMYFUNCTION("""COMPUTED_VALUE"""),1.0)</f>
        <v>1</v>
      </c>
      <c r="Q6164" s="4" t="str">
        <f>IFERROR(__xludf.DUMMYFUNCTION("""COMPUTED_VALUE"""),"Saipos Serviços De Software")</f>
        <v>Saipos Serviços De Software</v>
      </c>
      <c r="R6164" s="33">
        <f>IFERROR(__xludf.DUMMYFUNCTION("""COMPUTED_VALUE"""),1.0)</f>
        <v>1</v>
      </c>
      <c r="S6164" s="4" t="str">
        <f>IFERROR(__xludf.DUMMYFUNCTION("""COMPUTED_VALUE"""),"Saipos Serviços De Software")</f>
        <v>Saipos Serviços De Software</v>
      </c>
      <c r="T6164" s="33">
        <f>IFERROR(__xludf.DUMMYFUNCTION("""COMPUTED_VALUE"""),1.0)</f>
        <v>1</v>
      </c>
      <c r="U6164" s="4" t="str">
        <f>IFERROR(__xludf.DUMMYFUNCTION("""COMPUTED_VALUE"""),"null")</f>
        <v>null</v>
      </c>
      <c r="V6164" s="33">
        <f>IFERROR(__xludf.DUMMYFUNCTION("""COMPUTED_VALUE"""),0.5)</f>
        <v>0.5</v>
      </c>
      <c r="W6164" s="4" t="str">
        <f>IFERROR(__xludf.DUMMYFUNCTION("""COMPUTED_VALUE"""),"null")</f>
        <v>null</v>
      </c>
      <c r="X6164" s="33">
        <f>IFERROR(__xludf.DUMMYFUNCTION("""COMPUTED_VALUE"""),0.5)</f>
        <v>0.5</v>
      </c>
    </row>
    <row r="6165">
      <c r="K6165" s="4" t="str">
        <f>IFERROR(__xludf.DUMMYFUNCTION("""COMPUTED_VALUE"""),"KIMURA SUSHI")</f>
        <v>KIMURA SUSHI</v>
      </c>
      <c r="L6165" s="32">
        <f>IFERROR(__xludf.DUMMYFUNCTION("""COMPUTED_VALUE"""),2.0)</f>
        <v>2</v>
      </c>
      <c r="M6165" s="4" t="str">
        <f>IFERROR(__xludf.DUMMYFUNCTION("""COMPUTED_VALUE"""),"Connectplug")</f>
        <v>Connectplug</v>
      </c>
      <c r="N6165" s="33">
        <f>IFERROR(__xludf.DUMMYFUNCTION("""COMPUTED_VALUE"""),0.5)</f>
        <v>0.5</v>
      </c>
      <c r="O6165" s="4" t="str">
        <f>IFERROR(__xludf.DUMMYFUNCTION("""COMPUTED_VALUE"""),"Connectplug")</f>
        <v>Connectplug</v>
      </c>
      <c r="P6165" s="33">
        <f>IFERROR(__xludf.DUMMYFUNCTION("""COMPUTED_VALUE"""),0.5)</f>
        <v>0.5</v>
      </c>
      <c r="Q6165" s="4" t="str">
        <f>IFERROR(__xludf.DUMMYFUNCTION("""COMPUTED_VALUE"""),"Connectplug")</f>
        <v>Connectplug</v>
      </c>
      <c r="R6165" s="33">
        <f>IFERROR(__xludf.DUMMYFUNCTION("""COMPUTED_VALUE"""),0.5)</f>
        <v>0.5</v>
      </c>
      <c r="S6165" s="4" t="str">
        <f>IFERROR(__xludf.DUMMYFUNCTION("""COMPUTED_VALUE"""),"Connectplug")</f>
        <v>Connectplug</v>
      </c>
      <c r="T6165" s="33">
        <f>IFERROR(__xludf.DUMMYFUNCTION("""COMPUTED_VALUE"""),0.5)</f>
        <v>0.5</v>
      </c>
      <c r="U6165" s="4" t="str">
        <f>IFERROR(__xludf.DUMMYFUNCTION("""COMPUTED_VALUE"""),"Connectplug")</f>
        <v>Connectplug</v>
      </c>
      <c r="V6165" s="33">
        <f>IFERROR(__xludf.DUMMYFUNCTION("""COMPUTED_VALUE"""),0.5)</f>
        <v>0.5</v>
      </c>
      <c r="W6165" s="4" t="str">
        <f>IFERROR(__xludf.DUMMYFUNCTION("""COMPUTED_VALUE"""),"Connectplug")</f>
        <v>Connectplug</v>
      </c>
      <c r="X6165" s="33">
        <f>IFERROR(__xludf.DUMMYFUNCTION("""COMPUTED_VALUE"""),0.5)</f>
        <v>0.5</v>
      </c>
    </row>
    <row r="6166">
      <c r="K6166" s="4" t="str">
        <f>IFERROR(__xludf.DUMMYFUNCTION("""COMPUTED_VALUE"""),"REI DO MARMITEX")</f>
        <v>REI DO MARMITEX</v>
      </c>
      <c r="L6166" s="32">
        <f>IFERROR(__xludf.DUMMYFUNCTION("""COMPUTED_VALUE"""),2.0)</f>
        <v>2</v>
      </c>
      <c r="M6166" s="4" t="str">
        <f>IFERROR(__xludf.DUMMYFUNCTION("""COMPUTED_VALUE"""),"Saipos Serviços De Software")</f>
        <v>Saipos Serviços De Software</v>
      </c>
      <c r="N6166" s="33">
        <f>IFERROR(__xludf.DUMMYFUNCTION("""COMPUTED_VALUE"""),0.5)</f>
        <v>0.5</v>
      </c>
      <c r="O6166" s="4" t="str">
        <f>IFERROR(__xludf.DUMMYFUNCTION("""COMPUTED_VALUE"""),"Saipos Serviços De Software")</f>
        <v>Saipos Serviços De Software</v>
      </c>
      <c r="P6166" s="33">
        <f>IFERROR(__xludf.DUMMYFUNCTION("""COMPUTED_VALUE"""),0.5)</f>
        <v>0.5</v>
      </c>
      <c r="Q6166" s="4" t="str">
        <f>IFERROR(__xludf.DUMMYFUNCTION("""COMPUTED_VALUE"""),"Saipos Serviços De Software")</f>
        <v>Saipos Serviços De Software</v>
      </c>
      <c r="R6166" s="33">
        <f>IFERROR(__xludf.DUMMYFUNCTION("""COMPUTED_VALUE"""),0.5)</f>
        <v>0.5</v>
      </c>
      <c r="S6166" s="4" t="str">
        <f>IFERROR(__xludf.DUMMYFUNCTION("""COMPUTED_VALUE"""),"Saipos Serviços De Software")</f>
        <v>Saipos Serviços De Software</v>
      </c>
      <c r="T6166" s="33">
        <f>IFERROR(__xludf.DUMMYFUNCTION("""COMPUTED_VALUE"""),0.5)</f>
        <v>0.5</v>
      </c>
      <c r="U6166" s="4" t="str">
        <f>IFERROR(__xludf.DUMMYFUNCTION("""COMPUTED_VALUE"""),"Saipos Serviços De Software")</f>
        <v>Saipos Serviços De Software</v>
      </c>
      <c r="V6166" s="33">
        <f>IFERROR(__xludf.DUMMYFUNCTION("""COMPUTED_VALUE"""),0.5)</f>
        <v>0.5</v>
      </c>
      <c r="W6166" s="4" t="str">
        <f>IFERROR(__xludf.DUMMYFUNCTION("""COMPUTED_VALUE"""),"Saipos Serviços De Software")</f>
        <v>Saipos Serviços De Software</v>
      </c>
      <c r="X6166" s="33">
        <f>IFERROR(__xludf.DUMMYFUNCTION("""COMPUTED_VALUE"""),0.5)</f>
        <v>0.5</v>
      </c>
    </row>
    <row r="6167">
      <c r="K6167" s="4" t="str">
        <f>IFERROR(__xludf.DUMMYFUNCTION("""COMPUTED_VALUE"""),"PARRILHERO")</f>
        <v>PARRILHERO</v>
      </c>
      <c r="L6167" s="32">
        <f>IFERROR(__xludf.DUMMYFUNCTION("""COMPUTED_VALUE"""),2.0)</f>
        <v>2</v>
      </c>
      <c r="M6167" s="4" t="str">
        <f>IFERROR(__xludf.DUMMYFUNCTION("""COMPUTED_VALUE"""),"Saipos Serviços De Software")</f>
        <v>Saipos Serviços De Software</v>
      </c>
      <c r="N6167" s="33">
        <f>IFERROR(__xludf.DUMMYFUNCTION("""COMPUTED_VALUE"""),0.5)</f>
        <v>0.5</v>
      </c>
      <c r="O6167" s="4" t="str">
        <f>IFERROR(__xludf.DUMMYFUNCTION("""COMPUTED_VALUE"""),"Saipos Serviços De Software")</f>
        <v>Saipos Serviços De Software</v>
      </c>
      <c r="P6167" s="33">
        <f>IFERROR(__xludf.DUMMYFUNCTION("""COMPUTED_VALUE"""),0.5)</f>
        <v>0.5</v>
      </c>
      <c r="Q6167" s="4" t="str">
        <f>IFERROR(__xludf.DUMMYFUNCTION("""COMPUTED_VALUE"""),"Saipos Serviços De Software")</f>
        <v>Saipos Serviços De Software</v>
      </c>
      <c r="R6167" s="33">
        <f>IFERROR(__xludf.DUMMYFUNCTION("""COMPUTED_VALUE"""),1.0)</f>
        <v>1</v>
      </c>
      <c r="S6167" s="4" t="str">
        <f>IFERROR(__xludf.DUMMYFUNCTION("""COMPUTED_VALUE"""),"null")</f>
        <v>null</v>
      </c>
      <c r="T6167" s="33">
        <f>IFERROR(__xludf.DUMMYFUNCTION("""COMPUTED_VALUE"""),0.5)</f>
        <v>0.5</v>
      </c>
      <c r="U6167" s="4" t="str">
        <f>IFERROR(__xludf.DUMMYFUNCTION("""COMPUTED_VALUE"""),"null")</f>
        <v>null</v>
      </c>
      <c r="V6167" s="33">
        <f>IFERROR(__xludf.DUMMYFUNCTION("""COMPUTED_VALUE"""),0.5)</f>
        <v>0.5</v>
      </c>
      <c r="W6167" s="4" t="str">
        <f>IFERROR(__xludf.DUMMYFUNCTION("""COMPUTED_VALUE"""),"null")</f>
        <v>null</v>
      </c>
      <c r="X6167" s="33">
        <f>IFERROR(__xludf.DUMMYFUNCTION("""COMPUTED_VALUE"""),0.5)</f>
        <v>0.5</v>
      </c>
    </row>
    <row r="6168">
      <c r="K6168" s="4" t="str">
        <f>IFERROR(__xludf.DUMMYFUNCTION("""COMPUTED_VALUE"""),"ADRIANO LANCHES, ACAI SORVETES")</f>
        <v>ADRIANO LANCHES, ACAI SORVETES</v>
      </c>
      <c r="L6168" s="32">
        <f>IFERROR(__xludf.DUMMYFUNCTION("""COMPUTED_VALUE"""),2.0)</f>
        <v>2</v>
      </c>
      <c r="M6168" s="4" t="str">
        <f>IFERROR(__xludf.DUMMYFUNCTION("""COMPUTED_VALUE"""),"null")</f>
        <v>null</v>
      </c>
      <c r="N6168" s="33">
        <f>IFERROR(__xludf.DUMMYFUNCTION("""COMPUTED_VALUE"""),1.0)</f>
        <v>1</v>
      </c>
      <c r="O6168" s="4" t="str">
        <f>IFERROR(__xludf.DUMMYFUNCTION("""COMPUTED_VALUE"""),"null")</f>
        <v>null</v>
      </c>
      <c r="P6168" s="33">
        <f>IFERROR(__xludf.DUMMYFUNCTION("""COMPUTED_VALUE"""),1.0)</f>
        <v>1</v>
      </c>
      <c r="Q6168" s="4" t="str">
        <f>IFERROR(__xludf.DUMMYFUNCTION("""COMPUTED_VALUE"""),"null")</f>
        <v>null</v>
      </c>
      <c r="R6168" s="33">
        <f>IFERROR(__xludf.DUMMYFUNCTION("""COMPUTED_VALUE"""),1.0)</f>
        <v>1</v>
      </c>
      <c r="S6168" s="4" t="str">
        <f>IFERROR(__xludf.DUMMYFUNCTION("""COMPUTED_VALUE"""),"null")</f>
        <v>null</v>
      </c>
      <c r="T6168" s="33">
        <f>IFERROR(__xludf.DUMMYFUNCTION("""COMPUTED_VALUE"""),1.0)</f>
        <v>1</v>
      </c>
      <c r="U6168" s="4" t="str">
        <f>IFERROR(__xludf.DUMMYFUNCTION("""COMPUTED_VALUE"""),"null")</f>
        <v>null</v>
      </c>
      <c r="V6168" s="33">
        <f>IFERROR(__xludf.DUMMYFUNCTION("""COMPUTED_VALUE"""),0.5)</f>
        <v>0.5</v>
      </c>
      <c r="W6168" s="4" t="str">
        <f>IFERROR(__xludf.DUMMYFUNCTION("""COMPUTED_VALUE"""),"M-du Tecnologia")</f>
        <v>M-du Tecnologia</v>
      </c>
      <c r="X6168" s="33">
        <f>IFERROR(__xludf.DUMMYFUNCTION("""COMPUTED_VALUE"""),1.0)</f>
        <v>1</v>
      </c>
    </row>
    <row r="6169">
      <c r="K6169" s="4" t="str">
        <f>IFERROR(__xludf.DUMMYFUNCTION("""COMPUTED_VALUE"""),"LEOS BURGUER")</f>
        <v>LEOS BURGUER</v>
      </c>
      <c r="L6169" s="32">
        <f>IFERROR(__xludf.DUMMYFUNCTION("""COMPUTED_VALUE"""),2.0)</f>
        <v>2</v>
      </c>
      <c r="M6169" s="4" t="str">
        <f>IFERROR(__xludf.DUMMYFUNCTION("""COMPUTED_VALUE"""),"Instadelivery")</f>
        <v>Instadelivery</v>
      </c>
      <c r="N6169" s="33">
        <f>IFERROR(__xludf.DUMMYFUNCTION("""COMPUTED_VALUE"""),0.5)</f>
        <v>0.5</v>
      </c>
      <c r="O6169" s="4" t="str">
        <f>IFERROR(__xludf.DUMMYFUNCTION("""COMPUTED_VALUE"""),"Instadelivery")</f>
        <v>Instadelivery</v>
      </c>
      <c r="P6169" s="33">
        <f>IFERROR(__xludf.DUMMYFUNCTION("""COMPUTED_VALUE"""),0.5)</f>
        <v>0.5</v>
      </c>
      <c r="Q6169" s="4" t="str">
        <f>IFERROR(__xludf.DUMMYFUNCTION("""COMPUTED_VALUE"""),"Saipos Serviços De Software")</f>
        <v>Saipos Serviços De Software</v>
      </c>
      <c r="R6169" s="33">
        <f>IFERROR(__xludf.DUMMYFUNCTION("""COMPUTED_VALUE"""),0.5)</f>
        <v>0.5</v>
      </c>
      <c r="S6169" s="4" t="str">
        <f>IFERROR(__xludf.DUMMYFUNCTION("""COMPUTED_VALUE"""),"Saipos Serviços De Software")</f>
        <v>Saipos Serviços De Software</v>
      </c>
      <c r="T6169" s="33">
        <f>IFERROR(__xludf.DUMMYFUNCTION("""COMPUTED_VALUE"""),0.5)</f>
        <v>0.5</v>
      </c>
      <c r="U6169" s="4" t="str">
        <f>IFERROR(__xludf.DUMMYFUNCTION("""COMPUTED_VALUE"""),"Saipos Serviços De Software")</f>
        <v>Saipos Serviços De Software</v>
      </c>
      <c r="V6169" s="33">
        <f>IFERROR(__xludf.DUMMYFUNCTION("""COMPUTED_VALUE"""),0.5)</f>
        <v>0.5</v>
      </c>
      <c r="W6169" s="4" t="str">
        <f>IFERROR(__xludf.DUMMYFUNCTION("""COMPUTED_VALUE"""),"Instadelivery")</f>
        <v>Instadelivery</v>
      </c>
      <c r="X6169" s="33">
        <f>IFERROR(__xludf.DUMMYFUNCTION("""COMPUTED_VALUE"""),0.5)</f>
        <v>0.5</v>
      </c>
    </row>
    <row r="6170">
      <c r="K6170" s="4" t="str">
        <f>IFERROR(__xludf.DUMMYFUNCTION("""COMPUTED_VALUE"""),"LA BRASA HAMBURGUERIA")</f>
        <v>LA BRASA HAMBURGUERIA</v>
      </c>
      <c r="L6170" s="32">
        <f>IFERROR(__xludf.DUMMYFUNCTION("""COMPUTED_VALUE"""),2.0)</f>
        <v>2</v>
      </c>
      <c r="M6170" s="4" t="str">
        <f>IFERROR(__xludf.DUMMYFUNCTION("""COMPUTED_VALUE"""),"Suitable Tecnologia E Gestao")</f>
        <v>Suitable Tecnologia E Gestao</v>
      </c>
      <c r="N6170" s="33">
        <f>IFERROR(__xludf.DUMMYFUNCTION("""COMPUTED_VALUE"""),0.5)</f>
        <v>0.5</v>
      </c>
      <c r="O6170" s="4" t="str">
        <f>IFERROR(__xludf.DUMMYFUNCTION("""COMPUTED_VALUE"""),"Suitable Tecnologia E Gestao")</f>
        <v>Suitable Tecnologia E Gestao</v>
      </c>
      <c r="P6170" s="33">
        <f>IFERROR(__xludf.DUMMYFUNCTION("""COMPUTED_VALUE"""),0.5)</f>
        <v>0.5</v>
      </c>
      <c r="Q6170" s="4" t="str">
        <f>IFERROR(__xludf.DUMMYFUNCTION("""COMPUTED_VALUE"""),"Suitable Tecnologia E Gestao")</f>
        <v>Suitable Tecnologia E Gestao</v>
      </c>
      <c r="R6170" s="33">
        <f>IFERROR(__xludf.DUMMYFUNCTION("""COMPUTED_VALUE"""),0.5)</f>
        <v>0.5</v>
      </c>
      <c r="S6170" s="4" t="str">
        <f>IFERROR(__xludf.DUMMYFUNCTION("""COMPUTED_VALUE"""),"Suitable Tecnologia E Gestao")</f>
        <v>Suitable Tecnologia E Gestao</v>
      </c>
      <c r="T6170" s="33">
        <f>IFERROR(__xludf.DUMMYFUNCTION("""COMPUTED_VALUE"""),0.5)</f>
        <v>0.5</v>
      </c>
      <c r="U6170" s="4" t="str">
        <f>IFERROR(__xludf.DUMMYFUNCTION("""COMPUTED_VALUE"""),"Suitable Tecnologia E Gestao")</f>
        <v>Suitable Tecnologia E Gestao</v>
      </c>
      <c r="V6170" s="33">
        <f>IFERROR(__xludf.DUMMYFUNCTION("""COMPUTED_VALUE"""),0.5)</f>
        <v>0.5</v>
      </c>
      <c r="W6170" s="4" t="str">
        <f>IFERROR(__xludf.DUMMYFUNCTION("""COMPUTED_VALUE"""),"Suitable Tecnologia E Gestao")</f>
        <v>Suitable Tecnologia E Gestao</v>
      </c>
      <c r="X6170" s="33">
        <f>IFERROR(__xludf.DUMMYFUNCTION("""COMPUTED_VALUE"""),0.5)</f>
        <v>0.5</v>
      </c>
    </row>
    <row r="6171">
      <c r="K6171" s="4" t="str">
        <f>IFERROR(__xludf.DUMMYFUNCTION("""COMPUTED_VALUE"""),"PIZZARIA OLIVEIRA")</f>
        <v>PIZZARIA OLIVEIRA</v>
      </c>
      <c r="L6171" s="32">
        <f>IFERROR(__xludf.DUMMYFUNCTION("""COMPUTED_VALUE"""),2.0)</f>
        <v>2</v>
      </c>
      <c r="M6171" s="4" t="str">
        <f>IFERROR(__xludf.DUMMYFUNCTION("""COMPUTED_VALUE"""),"Instadelivery")</f>
        <v>Instadelivery</v>
      </c>
      <c r="N6171" s="33">
        <f>IFERROR(__xludf.DUMMYFUNCTION("""COMPUTED_VALUE"""),0.5)</f>
        <v>0.5</v>
      </c>
      <c r="O6171" s="4" t="str">
        <f>IFERROR(__xludf.DUMMYFUNCTION("""COMPUTED_VALUE"""),"Instadelivery")</f>
        <v>Instadelivery</v>
      </c>
      <c r="P6171" s="33">
        <f>IFERROR(__xludf.DUMMYFUNCTION("""COMPUTED_VALUE"""),0.5)</f>
        <v>0.5</v>
      </c>
      <c r="Q6171" s="4" t="str">
        <f>IFERROR(__xludf.DUMMYFUNCTION("""COMPUTED_VALUE"""),"Instadelivery")</f>
        <v>Instadelivery</v>
      </c>
      <c r="R6171" s="33">
        <f>IFERROR(__xludf.DUMMYFUNCTION("""COMPUTED_VALUE"""),0.5)</f>
        <v>0.5</v>
      </c>
      <c r="S6171" s="4" t="str">
        <f>IFERROR(__xludf.DUMMYFUNCTION("""COMPUTED_VALUE"""),"Instadelivery")</f>
        <v>Instadelivery</v>
      </c>
      <c r="T6171" s="33">
        <f>IFERROR(__xludf.DUMMYFUNCTION("""COMPUTED_VALUE"""),0.5)</f>
        <v>0.5</v>
      </c>
      <c r="U6171" s="4" t="str">
        <f>IFERROR(__xludf.DUMMYFUNCTION("""COMPUTED_VALUE"""),"Instadelivery")</f>
        <v>Instadelivery</v>
      </c>
      <c r="V6171" s="33">
        <f>IFERROR(__xludf.DUMMYFUNCTION("""COMPUTED_VALUE"""),0.5)</f>
        <v>0.5</v>
      </c>
      <c r="W6171" s="4" t="str">
        <f>IFERROR(__xludf.DUMMYFUNCTION("""COMPUTED_VALUE"""),"Instadelivery")</f>
        <v>Instadelivery</v>
      </c>
      <c r="X6171" s="33">
        <f>IFERROR(__xludf.DUMMYFUNCTION("""COMPUTED_VALUE"""),0.5)</f>
        <v>0.5</v>
      </c>
    </row>
    <row r="6172">
      <c r="K6172" s="4" t="str">
        <f>IFERROR(__xludf.DUMMYFUNCTION("""COMPUTED_VALUE"""),"NINOS PIZZARIA")</f>
        <v>NINOS PIZZARIA</v>
      </c>
      <c r="L6172" s="32">
        <f>IFERROR(__xludf.DUMMYFUNCTION("""COMPUTED_VALUE"""),2.0)</f>
        <v>2</v>
      </c>
      <c r="M6172" s="4" t="str">
        <f>IFERROR(__xludf.DUMMYFUNCTION("""COMPUTED_VALUE"""),"Suitable Tecnologia E Gestao")</f>
        <v>Suitable Tecnologia E Gestao</v>
      </c>
      <c r="N6172" s="33">
        <f>IFERROR(__xludf.DUMMYFUNCTION("""COMPUTED_VALUE"""),0.5)</f>
        <v>0.5</v>
      </c>
      <c r="O6172" s="4" t="str">
        <f>IFERROR(__xludf.DUMMYFUNCTION("""COMPUTED_VALUE"""),"Suitable Tecnologia E Gestao")</f>
        <v>Suitable Tecnologia E Gestao</v>
      </c>
      <c r="P6172" s="33">
        <f>IFERROR(__xludf.DUMMYFUNCTION("""COMPUTED_VALUE"""),0.5)</f>
        <v>0.5</v>
      </c>
      <c r="Q6172" s="4" t="str">
        <f>IFERROR(__xludf.DUMMYFUNCTION("""COMPUTED_VALUE"""),"Suitable Tecnologia E Gestao")</f>
        <v>Suitable Tecnologia E Gestao</v>
      </c>
      <c r="R6172" s="33">
        <f>IFERROR(__xludf.DUMMYFUNCTION("""COMPUTED_VALUE"""),0.5)</f>
        <v>0.5</v>
      </c>
      <c r="S6172" s="4" t="str">
        <f>IFERROR(__xludf.DUMMYFUNCTION("""COMPUTED_VALUE"""),"Suitable Tecnologia E Gestao")</f>
        <v>Suitable Tecnologia E Gestao</v>
      </c>
      <c r="T6172" s="33">
        <f>IFERROR(__xludf.DUMMYFUNCTION("""COMPUTED_VALUE"""),0.5)</f>
        <v>0.5</v>
      </c>
      <c r="U6172" s="4" t="str">
        <f>IFERROR(__xludf.DUMMYFUNCTION("""COMPUTED_VALUE"""),"Suitable Tecnologia E Gestao")</f>
        <v>Suitable Tecnologia E Gestao</v>
      </c>
      <c r="V6172" s="33">
        <f>IFERROR(__xludf.DUMMYFUNCTION("""COMPUTED_VALUE"""),0.5)</f>
        <v>0.5</v>
      </c>
      <c r="W6172" s="4" t="str">
        <f>IFERROR(__xludf.DUMMYFUNCTION("""COMPUTED_VALUE"""),"Suitable Tecnologia E Gestao")</f>
        <v>Suitable Tecnologia E Gestao</v>
      </c>
      <c r="X6172" s="33">
        <f>IFERROR(__xludf.DUMMYFUNCTION("""COMPUTED_VALUE"""),0.5)</f>
        <v>0.5</v>
      </c>
    </row>
    <row r="6173">
      <c r="K6173" s="4" t="str">
        <f>IFERROR(__xludf.DUMMYFUNCTION("""COMPUTED_VALUE"""),"GALU BURGUER")</f>
        <v>GALU BURGUER</v>
      </c>
      <c r="L6173" s="32">
        <f>IFERROR(__xludf.DUMMYFUNCTION("""COMPUTED_VALUE"""),2.0)</f>
        <v>2</v>
      </c>
      <c r="M6173" s="4" t="str">
        <f>IFERROR(__xludf.DUMMYFUNCTION("""COMPUTED_VALUE"""),"Consumer Soluções Em Tecnologia Ltda")</f>
        <v>Consumer Soluções Em Tecnologia Ltda</v>
      </c>
      <c r="N6173" s="33">
        <f>IFERROR(__xludf.DUMMYFUNCTION("""COMPUTED_VALUE"""),1.0)</f>
        <v>1</v>
      </c>
      <c r="O6173" s="4" t="str">
        <f>IFERROR(__xludf.DUMMYFUNCTION("""COMPUTED_VALUE"""),"null")</f>
        <v>null</v>
      </c>
      <c r="P6173" s="33">
        <f>IFERROR(__xludf.DUMMYFUNCTION("""COMPUTED_VALUE"""),1.0)</f>
        <v>1</v>
      </c>
      <c r="Q6173" s="4" t="str">
        <f>IFERROR(__xludf.DUMMYFUNCTION("""COMPUTED_VALUE"""),"null")</f>
        <v>null</v>
      </c>
      <c r="R6173" s="33">
        <f>IFERROR(__xludf.DUMMYFUNCTION("""COMPUTED_VALUE"""),0.5)</f>
        <v>0.5</v>
      </c>
      <c r="S6173" s="4" t="str">
        <f>IFERROR(__xludf.DUMMYFUNCTION("""COMPUTED_VALUE"""),"Consumer Soluções Em Tecnologia Ltda")</f>
        <v>Consumer Soluções Em Tecnologia Ltda</v>
      </c>
      <c r="T6173" s="33">
        <f>IFERROR(__xludf.DUMMYFUNCTION("""COMPUTED_VALUE"""),0.5)</f>
        <v>0.5</v>
      </c>
      <c r="U6173" s="4" t="str">
        <f>IFERROR(__xludf.DUMMYFUNCTION("""COMPUTED_VALUE"""),"null")</f>
        <v>null</v>
      </c>
      <c r="V6173" s="33">
        <f>IFERROR(__xludf.DUMMYFUNCTION("""COMPUTED_VALUE"""),0.5)</f>
        <v>0.5</v>
      </c>
      <c r="W6173" s="4" t="str">
        <f>IFERROR(__xludf.DUMMYFUNCTION("""COMPUTED_VALUE"""),"null")</f>
        <v>null</v>
      </c>
      <c r="X6173" s="33">
        <f>IFERROR(__xludf.DUMMYFUNCTION("""COMPUTED_VALUE"""),0.5)</f>
        <v>0.5</v>
      </c>
    </row>
    <row r="6174">
      <c r="K6174" s="4" t="str">
        <f>IFERROR(__xludf.DUMMYFUNCTION("""COMPUTED_VALUE"""),"BRAVO HAMBURGUERIA")</f>
        <v>BRAVO HAMBURGUERIA</v>
      </c>
      <c r="L6174" s="32">
        <f>IFERROR(__xludf.DUMMYFUNCTION("""COMPUTED_VALUE"""),2.0)</f>
        <v>2</v>
      </c>
      <c r="M6174" s="4" t="str">
        <f>IFERROR(__xludf.DUMMYFUNCTION("""COMPUTED_VALUE"""),"Saipos Serviços De Software")</f>
        <v>Saipos Serviços De Software</v>
      </c>
      <c r="N6174" s="33">
        <f>IFERROR(__xludf.DUMMYFUNCTION("""COMPUTED_VALUE"""),1.0)</f>
        <v>1</v>
      </c>
      <c r="O6174" s="4" t="str">
        <f>IFERROR(__xludf.DUMMYFUNCTION("""COMPUTED_VALUE"""),"Saipos Serviços De Software")</f>
        <v>Saipos Serviços De Software</v>
      </c>
      <c r="P6174" s="33">
        <f>IFERROR(__xludf.DUMMYFUNCTION("""COMPUTED_VALUE"""),1.0)</f>
        <v>1</v>
      </c>
      <c r="Q6174" s="4" t="str">
        <f>IFERROR(__xludf.DUMMYFUNCTION("""COMPUTED_VALUE"""),"Saipos Serviços De Software")</f>
        <v>Saipos Serviços De Software</v>
      </c>
      <c r="R6174" s="33">
        <f>IFERROR(__xludf.DUMMYFUNCTION("""COMPUTED_VALUE"""),1.0)</f>
        <v>1</v>
      </c>
      <c r="S6174" s="4" t="str">
        <f>IFERROR(__xludf.DUMMYFUNCTION("""COMPUTED_VALUE"""),"Saipos Serviços De Software")</f>
        <v>Saipos Serviços De Software</v>
      </c>
      <c r="T6174" s="33">
        <f>IFERROR(__xludf.DUMMYFUNCTION("""COMPUTED_VALUE"""),1.0)</f>
        <v>1</v>
      </c>
      <c r="U6174" s="4" t="str">
        <f>IFERROR(__xludf.DUMMYFUNCTION("""COMPUTED_VALUE"""),"Saipos Serviços De Software")</f>
        <v>Saipos Serviços De Software</v>
      </c>
      <c r="V6174" s="33">
        <f>IFERROR(__xludf.DUMMYFUNCTION("""COMPUTED_VALUE"""),1.0)</f>
        <v>1</v>
      </c>
      <c r="W6174" s="4" t="str">
        <f>IFERROR(__xludf.DUMMYFUNCTION("""COMPUTED_VALUE"""),"Saipos Serviços De Software")</f>
        <v>Saipos Serviços De Software</v>
      </c>
      <c r="X6174" s="33">
        <f>IFERROR(__xludf.DUMMYFUNCTION("""COMPUTED_VALUE"""),1.0)</f>
        <v>1</v>
      </c>
    </row>
    <row r="6175">
      <c r="K6175" s="4" t="str">
        <f>IFERROR(__xludf.DUMMYFUNCTION("""COMPUTED_VALUE"""),"SOS LANCHES")</f>
        <v>SOS LANCHES</v>
      </c>
      <c r="L6175" s="32">
        <f>IFERROR(__xludf.DUMMYFUNCTION("""COMPUTED_VALUE"""),2.0)</f>
        <v>2</v>
      </c>
      <c r="M6175" s="4" t="str">
        <f>IFERROR(__xludf.DUMMYFUNCTION("""COMPUTED_VALUE"""),"Anota Ai Solucoes Digitais S/a")</f>
        <v>Anota Ai Solucoes Digitais S/a</v>
      </c>
      <c r="N6175" s="33">
        <f>IFERROR(__xludf.DUMMYFUNCTION("""COMPUTED_VALUE"""),0.5)</f>
        <v>0.5</v>
      </c>
      <c r="O6175" s="4" t="str">
        <f>IFERROR(__xludf.DUMMYFUNCTION("""COMPUTED_VALUE"""),"Anota Ai Solucoes Digitais S/a")</f>
        <v>Anota Ai Solucoes Digitais S/a</v>
      </c>
      <c r="P6175" s="33">
        <f>IFERROR(__xludf.DUMMYFUNCTION("""COMPUTED_VALUE"""),0.5)</f>
        <v>0.5</v>
      </c>
      <c r="Q6175" s="4" t="str">
        <f>IFERROR(__xludf.DUMMYFUNCTION("""COMPUTED_VALUE"""),"Anota Ai Solucoes Digitais S/a")</f>
        <v>Anota Ai Solucoes Digitais S/a</v>
      </c>
      <c r="R6175" s="33">
        <f>IFERROR(__xludf.DUMMYFUNCTION("""COMPUTED_VALUE"""),0.5)</f>
        <v>0.5</v>
      </c>
      <c r="S6175" s="4" t="str">
        <f>IFERROR(__xludf.DUMMYFUNCTION("""COMPUTED_VALUE"""),"Anota Ai Solucoes Digitais S/a")</f>
        <v>Anota Ai Solucoes Digitais S/a</v>
      </c>
      <c r="T6175" s="33">
        <f>IFERROR(__xludf.DUMMYFUNCTION("""COMPUTED_VALUE"""),0.5)</f>
        <v>0.5</v>
      </c>
      <c r="U6175" s="4" t="str">
        <f>IFERROR(__xludf.DUMMYFUNCTION("""COMPUTED_VALUE"""),"Anota Ai Solucoes Digitais S/a")</f>
        <v>Anota Ai Solucoes Digitais S/a</v>
      </c>
      <c r="V6175" s="33">
        <f>IFERROR(__xludf.DUMMYFUNCTION("""COMPUTED_VALUE"""),0.5)</f>
        <v>0.5</v>
      </c>
      <c r="W6175" s="4" t="str">
        <f>IFERROR(__xludf.DUMMYFUNCTION("""COMPUTED_VALUE"""),"Anota Ai Solucoes Digitais S/a")</f>
        <v>Anota Ai Solucoes Digitais S/a</v>
      </c>
      <c r="X6175" s="33">
        <f>IFERROR(__xludf.DUMMYFUNCTION("""COMPUTED_VALUE"""),0.5)</f>
        <v>0.5</v>
      </c>
    </row>
    <row r="6176">
      <c r="K6176" s="4" t="str">
        <f>IFERROR(__xludf.DUMMYFUNCTION("""COMPUTED_VALUE"""),"WAKAM SUSHI DELIVERY")</f>
        <v>WAKAM SUSHI DELIVERY</v>
      </c>
      <c r="L6176" s="32">
        <f>IFERROR(__xludf.DUMMYFUNCTION("""COMPUTED_VALUE"""),2.0)</f>
        <v>2</v>
      </c>
      <c r="M6176" s="4" t="str">
        <f>IFERROR(__xludf.DUMMYFUNCTION("""COMPUTED_VALUE"""),"Saipos Serviços De Software")</f>
        <v>Saipos Serviços De Software</v>
      </c>
      <c r="N6176" s="33">
        <f>IFERROR(__xludf.DUMMYFUNCTION("""COMPUTED_VALUE"""),0.5)</f>
        <v>0.5</v>
      </c>
      <c r="O6176" s="4" t="str">
        <f>IFERROR(__xludf.DUMMYFUNCTION("""COMPUTED_VALUE"""),"Saipos Serviços De Software")</f>
        <v>Saipos Serviços De Software</v>
      </c>
      <c r="P6176" s="33">
        <f>IFERROR(__xludf.DUMMYFUNCTION("""COMPUTED_VALUE"""),0.5)</f>
        <v>0.5</v>
      </c>
      <c r="Q6176" s="4" t="str">
        <f>IFERROR(__xludf.DUMMYFUNCTION("""COMPUTED_VALUE"""),"null")</f>
        <v>null</v>
      </c>
      <c r="R6176" s="33">
        <f>IFERROR(__xludf.DUMMYFUNCTION("""COMPUTED_VALUE"""),1.0)</f>
        <v>1</v>
      </c>
      <c r="S6176" s="4" t="str">
        <f>IFERROR(__xludf.DUMMYFUNCTION("""COMPUTED_VALUE"""),"null")</f>
        <v>null</v>
      </c>
      <c r="T6176" s="33">
        <f>IFERROR(__xludf.DUMMYFUNCTION("""COMPUTED_VALUE"""),1.0)</f>
        <v>1</v>
      </c>
      <c r="U6176" s="4" t="str">
        <f>IFERROR(__xludf.DUMMYFUNCTION("""COMPUTED_VALUE"""),"null")</f>
        <v>null</v>
      </c>
      <c r="V6176" s="33">
        <f>IFERROR(__xludf.DUMMYFUNCTION("""COMPUTED_VALUE"""),1.0)</f>
        <v>1</v>
      </c>
      <c r="W6176" s="4" t="str">
        <f>IFERROR(__xludf.DUMMYFUNCTION("""COMPUTED_VALUE"""),"Saipos Serviços De Software")</f>
        <v>Saipos Serviços De Software</v>
      </c>
      <c r="X6176" s="33">
        <f>IFERROR(__xludf.DUMMYFUNCTION("""COMPUTED_VALUE"""),1.0)</f>
        <v>1</v>
      </c>
    </row>
    <row r="6177">
      <c r="K6177" s="4" t="str">
        <f>IFERROR(__xludf.DUMMYFUNCTION("""COMPUTED_VALUE"""),"PASTEL NA PRACA")</f>
        <v>PASTEL NA PRACA</v>
      </c>
      <c r="L6177" s="32">
        <f>IFERROR(__xludf.DUMMYFUNCTION("""COMPUTED_VALUE"""),2.0)</f>
        <v>2</v>
      </c>
      <c r="M6177" s="4" t="str">
        <f>IFERROR(__xludf.DUMMYFUNCTION("""COMPUTED_VALUE"""),"Cardápio Web")</f>
        <v>Cardápio Web</v>
      </c>
      <c r="N6177" s="33">
        <f>IFERROR(__xludf.DUMMYFUNCTION("""COMPUTED_VALUE"""),0.5)</f>
        <v>0.5</v>
      </c>
      <c r="O6177" s="4" t="str">
        <f>IFERROR(__xludf.DUMMYFUNCTION("""COMPUTED_VALUE"""),"Cardápio Web")</f>
        <v>Cardápio Web</v>
      </c>
      <c r="P6177" s="33">
        <f>IFERROR(__xludf.DUMMYFUNCTION("""COMPUTED_VALUE"""),0.5)</f>
        <v>0.5</v>
      </c>
      <c r="Q6177" s="4" t="str">
        <f>IFERROR(__xludf.DUMMYFUNCTION("""COMPUTED_VALUE"""),"Cardápio Web")</f>
        <v>Cardápio Web</v>
      </c>
      <c r="R6177" s="33">
        <f>IFERROR(__xludf.DUMMYFUNCTION("""COMPUTED_VALUE"""),0.5)</f>
        <v>0.5</v>
      </c>
      <c r="S6177" s="4" t="str">
        <f>IFERROR(__xludf.DUMMYFUNCTION("""COMPUTED_VALUE"""),"Cardápio Web")</f>
        <v>Cardápio Web</v>
      </c>
      <c r="T6177" s="33">
        <f>IFERROR(__xludf.DUMMYFUNCTION("""COMPUTED_VALUE"""),0.5)</f>
        <v>0.5</v>
      </c>
      <c r="U6177" s="4" t="str">
        <f>IFERROR(__xludf.DUMMYFUNCTION("""COMPUTED_VALUE"""),"Cardápio Web")</f>
        <v>Cardápio Web</v>
      </c>
      <c r="V6177" s="33">
        <f>IFERROR(__xludf.DUMMYFUNCTION("""COMPUTED_VALUE"""),0.5)</f>
        <v>0.5</v>
      </c>
      <c r="W6177" s="4" t="str">
        <f>IFERROR(__xludf.DUMMYFUNCTION("""COMPUTED_VALUE"""),"Cardápio Web")</f>
        <v>Cardápio Web</v>
      </c>
      <c r="X6177" s="33">
        <f>IFERROR(__xludf.DUMMYFUNCTION("""COMPUTED_VALUE"""),0.5)</f>
        <v>0.5</v>
      </c>
    </row>
    <row r="6178">
      <c r="K6178" s="4" t="str">
        <f>IFERROR(__xludf.DUMMYFUNCTION("""COMPUTED_VALUE"""),"BENDITO BURGER NA BRASA")</f>
        <v>BENDITO BURGER NA BRASA</v>
      </c>
      <c r="L6178" s="32">
        <f>IFERROR(__xludf.DUMMYFUNCTION("""COMPUTED_VALUE"""),2.0)</f>
        <v>2</v>
      </c>
      <c r="M6178" s="4" t="str">
        <f>IFERROR(__xludf.DUMMYFUNCTION("""COMPUTED_VALUE"""),"Saipos Serviços De Software")</f>
        <v>Saipos Serviços De Software</v>
      </c>
      <c r="N6178" s="33">
        <f>IFERROR(__xludf.DUMMYFUNCTION("""COMPUTED_VALUE"""),1.0)</f>
        <v>1</v>
      </c>
      <c r="O6178" s="4" t="str">
        <f>IFERROR(__xludf.DUMMYFUNCTION("""COMPUTED_VALUE"""),"Saipos Serviços De Software")</f>
        <v>Saipos Serviços De Software</v>
      </c>
      <c r="P6178" s="33">
        <f>IFERROR(__xludf.DUMMYFUNCTION("""COMPUTED_VALUE"""),1.0)</f>
        <v>1</v>
      </c>
      <c r="Q6178" s="4" t="str">
        <f>IFERROR(__xludf.DUMMYFUNCTION("""COMPUTED_VALUE"""),"Saipos Serviços De Software")</f>
        <v>Saipos Serviços De Software</v>
      </c>
      <c r="R6178" s="33">
        <f>IFERROR(__xludf.DUMMYFUNCTION("""COMPUTED_VALUE"""),1.0)</f>
        <v>1</v>
      </c>
      <c r="S6178" s="4" t="str">
        <f>IFERROR(__xludf.DUMMYFUNCTION("""COMPUTED_VALUE"""),"Saipos Serviços De Software")</f>
        <v>Saipos Serviços De Software</v>
      </c>
      <c r="T6178" s="33">
        <f>IFERROR(__xludf.DUMMYFUNCTION("""COMPUTED_VALUE"""),1.0)</f>
        <v>1</v>
      </c>
      <c r="U6178" s="4" t="str">
        <f>IFERROR(__xludf.DUMMYFUNCTION("""COMPUTED_VALUE"""),"Saipos Serviços De Software")</f>
        <v>Saipos Serviços De Software</v>
      </c>
      <c r="V6178" s="33">
        <f>IFERROR(__xludf.DUMMYFUNCTION("""COMPUTED_VALUE"""),1.0)</f>
        <v>1</v>
      </c>
      <c r="W6178" s="4" t="str">
        <f>IFERROR(__xludf.DUMMYFUNCTION("""COMPUTED_VALUE"""),"Saipos Serviços De Software")</f>
        <v>Saipos Serviços De Software</v>
      </c>
      <c r="X6178" s="33">
        <f>IFERROR(__xludf.DUMMYFUNCTION("""COMPUTED_VALUE"""),1.0)</f>
        <v>1</v>
      </c>
    </row>
    <row r="6179">
      <c r="K6179" s="4" t="str">
        <f>IFERROR(__xludf.DUMMYFUNCTION("""COMPUTED_VALUE"""),"O HAMBURGUEIRO")</f>
        <v>O HAMBURGUEIRO</v>
      </c>
      <c r="L6179" s="32">
        <f>IFERROR(__xludf.DUMMYFUNCTION("""COMPUTED_VALUE"""),2.0)</f>
        <v>2</v>
      </c>
      <c r="M6179" s="4" t="str">
        <f>IFERROR(__xludf.DUMMYFUNCTION("""COMPUTED_VALUE"""),"Suitable Tecnologia E Gestao")</f>
        <v>Suitable Tecnologia E Gestao</v>
      </c>
      <c r="N6179" s="33">
        <f>IFERROR(__xludf.DUMMYFUNCTION("""COMPUTED_VALUE"""),0.5)</f>
        <v>0.5</v>
      </c>
      <c r="O6179" s="4" t="str">
        <f>IFERROR(__xludf.DUMMYFUNCTION("""COMPUTED_VALUE"""),"Suitable Tecnologia E Gestao")</f>
        <v>Suitable Tecnologia E Gestao</v>
      </c>
      <c r="P6179" s="33">
        <f>IFERROR(__xludf.DUMMYFUNCTION("""COMPUTED_VALUE"""),0.5)</f>
        <v>0.5</v>
      </c>
      <c r="Q6179" s="4" t="str">
        <f>IFERROR(__xludf.DUMMYFUNCTION("""COMPUTED_VALUE"""),"Suitable Tecnologia E Gestao")</f>
        <v>Suitable Tecnologia E Gestao</v>
      </c>
      <c r="R6179" s="33">
        <f>IFERROR(__xludf.DUMMYFUNCTION("""COMPUTED_VALUE"""),0.5)</f>
        <v>0.5</v>
      </c>
      <c r="S6179" s="4" t="str">
        <f>IFERROR(__xludf.DUMMYFUNCTION("""COMPUTED_VALUE"""),"Suitable Tecnologia E Gestao")</f>
        <v>Suitable Tecnologia E Gestao</v>
      </c>
      <c r="T6179" s="33">
        <f>IFERROR(__xludf.DUMMYFUNCTION("""COMPUTED_VALUE"""),0.5)</f>
        <v>0.5</v>
      </c>
      <c r="U6179" s="4" t="str">
        <f>IFERROR(__xludf.DUMMYFUNCTION("""COMPUTED_VALUE"""),"Suitable Tecnologia E Gestao")</f>
        <v>Suitable Tecnologia E Gestao</v>
      </c>
      <c r="V6179" s="33">
        <f>IFERROR(__xludf.DUMMYFUNCTION("""COMPUTED_VALUE"""),0.5)</f>
        <v>0.5</v>
      </c>
      <c r="W6179" s="4" t="str">
        <f>IFERROR(__xludf.DUMMYFUNCTION("""COMPUTED_VALUE"""),"Suitable Tecnologia E Gestao")</f>
        <v>Suitable Tecnologia E Gestao</v>
      </c>
      <c r="X6179" s="33">
        <f>IFERROR(__xludf.DUMMYFUNCTION("""COMPUTED_VALUE"""),0.5)</f>
        <v>0.5</v>
      </c>
    </row>
    <row r="6180">
      <c r="K6180" s="4" t="str">
        <f>IFERROR(__xludf.DUMMYFUNCTION("""COMPUTED_VALUE"""),"ACAI SABOR DO PARA")</f>
        <v>ACAI SABOR DO PARA</v>
      </c>
      <c r="L6180" s="32">
        <f>IFERROR(__xludf.DUMMYFUNCTION("""COMPUTED_VALUE"""),2.0)</f>
        <v>2</v>
      </c>
      <c r="M6180" s="4" t="str">
        <f>IFERROR(__xludf.DUMMYFUNCTION("""COMPUTED_VALUE"""),"null")</f>
        <v>null</v>
      </c>
      <c r="N6180" s="33">
        <f>IFERROR(__xludf.DUMMYFUNCTION("""COMPUTED_VALUE"""),1.0)</f>
        <v>1</v>
      </c>
      <c r="O6180" s="4" t="str">
        <f>IFERROR(__xludf.DUMMYFUNCTION("""COMPUTED_VALUE"""),"null")</f>
        <v>null</v>
      </c>
      <c r="P6180" s="33">
        <f>IFERROR(__xludf.DUMMYFUNCTION("""COMPUTED_VALUE"""),1.0)</f>
        <v>1</v>
      </c>
      <c r="Q6180" s="4" t="str">
        <f>IFERROR(__xludf.DUMMYFUNCTION("""COMPUTED_VALUE"""),"null")</f>
        <v>null</v>
      </c>
      <c r="R6180" s="33">
        <f>IFERROR(__xludf.DUMMYFUNCTION("""COMPUTED_VALUE"""),1.0)</f>
        <v>1</v>
      </c>
      <c r="S6180" s="4" t="str">
        <f>IFERROR(__xludf.DUMMYFUNCTION("""COMPUTED_VALUE"""),"Softcom Tecnologia")</f>
        <v>Softcom Tecnologia</v>
      </c>
      <c r="T6180" s="33">
        <f>IFERROR(__xludf.DUMMYFUNCTION("""COMPUTED_VALUE"""),0.5)</f>
        <v>0.5</v>
      </c>
      <c r="U6180" s="4" t="str">
        <f>IFERROR(__xludf.DUMMYFUNCTION("""COMPUTED_VALUE"""),"null")</f>
        <v>null</v>
      </c>
      <c r="V6180" s="33">
        <f>IFERROR(__xludf.DUMMYFUNCTION("""COMPUTED_VALUE"""),1.0)</f>
        <v>1</v>
      </c>
      <c r="W6180" s="4" t="str">
        <f>IFERROR(__xludf.DUMMYFUNCTION("""COMPUTED_VALUE"""),"Softcom Tecnologia")</f>
        <v>Softcom Tecnologia</v>
      </c>
      <c r="X6180" s="33">
        <f>IFERROR(__xludf.DUMMYFUNCTION("""COMPUTED_VALUE"""),0.5)</f>
        <v>0.5</v>
      </c>
    </row>
    <row r="6181">
      <c r="K6181" s="4" t="str">
        <f>IFERROR(__xludf.DUMMYFUNCTION("""COMPUTED_VALUE"""),"CASA MENDEZ")</f>
        <v>CASA MENDEZ</v>
      </c>
      <c r="L6181" s="32">
        <f>IFERROR(__xludf.DUMMYFUNCTION("""COMPUTED_VALUE"""),2.0)</f>
        <v>2</v>
      </c>
      <c r="M6181" s="4" t="str">
        <f>IFERROR(__xludf.DUMMYFUNCTION("""COMPUTED_VALUE"""),"Alpha Logo")</f>
        <v>Alpha Logo</v>
      </c>
      <c r="N6181" s="33">
        <f>IFERROR(__xludf.DUMMYFUNCTION("""COMPUTED_VALUE"""),1.0)</f>
        <v>1</v>
      </c>
      <c r="O6181" s="4" t="str">
        <f>IFERROR(__xludf.DUMMYFUNCTION("""COMPUTED_VALUE"""),"Alpha Logo")</f>
        <v>Alpha Logo</v>
      </c>
      <c r="P6181" s="33">
        <f>IFERROR(__xludf.DUMMYFUNCTION("""COMPUTED_VALUE"""),1.0)</f>
        <v>1</v>
      </c>
      <c r="Q6181" s="4" t="str">
        <f>IFERROR(__xludf.DUMMYFUNCTION("""COMPUTED_VALUE"""),"Alpha Logo")</f>
        <v>Alpha Logo</v>
      </c>
      <c r="R6181" s="33">
        <f>IFERROR(__xludf.DUMMYFUNCTION("""COMPUTED_VALUE"""),1.0)</f>
        <v>1</v>
      </c>
      <c r="S6181" s="4" t="str">
        <f>IFERROR(__xludf.DUMMYFUNCTION("""COMPUTED_VALUE"""),"Alpha Logo")</f>
        <v>Alpha Logo</v>
      </c>
      <c r="T6181" s="33">
        <f>IFERROR(__xludf.DUMMYFUNCTION("""COMPUTED_VALUE"""),1.0)</f>
        <v>1</v>
      </c>
      <c r="U6181" s="4" t="str">
        <f>IFERROR(__xludf.DUMMYFUNCTION("""COMPUTED_VALUE"""),"Alpha Logo")</f>
        <v>Alpha Logo</v>
      </c>
      <c r="V6181" s="33">
        <f>IFERROR(__xludf.DUMMYFUNCTION("""COMPUTED_VALUE"""),1.0)</f>
        <v>1</v>
      </c>
      <c r="W6181" s="4" t="str">
        <f>IFERROR(__xludf.DUMMYFUNCTION("""COMPUTED_VALUE"""),"Alpha Logo")</f>
        <v>Alpha Logo</v>
      </c>
      <c r="X6181" s="33">
        <f>IFERROR(__xludf.DUMMYFUNCTION("""COMPUTED_VALUE"""),0.5)</f>
        <v>0.5</v>
      </c>
    </row>
    <row r="6182">
      <c r="K6182" s="4" t="str">
        <f>IFERROR(__xludf.DUMMYFUNCTION("""COMPUTED_VALUE"""),"BROCA BURGUER")</f>
        <v>BROCA BURGUER</v>
      </c>
      <c r="L6182" s="32">
        <f>IFERROR(__xludf.DUMMYFUNCTION("""COMPUTED_VALUE"""),2.0)</f>
        <v>2</v>
      </c>
      <c r="M6182" s="4" t="str">
        <f>IFERROR(__xludf.DUMMYFUNCTION("""COMPUTED_VALUE"""),"null")</f>
        <v>null</v>
      </c>
      <c r="N6182" s="33">
        <f>IFERROR(__xludf.DUMMYFUNCTION("""COMPUTED_VALUE"""),0.5)</f>
        <v>0.5</v>
      </c>
      <c r="O6182" s="4" t="str">
        <f>IFERROR(__xludf.DUMMYFUNCTION("""COMPUTED_VALUE"""),"Yooga")</f>
        <v>Yooga</v>
      </c>
      <c r="P6182" s="33">
        <f>IFERROR(__xludf.DUMMYFUNCTION("""COMPUTED_VALUE"""),1.0)</f>
        <v>1</v>
      </c>
      <c r="Q6182" s="4" t="str">
        <f>IFERROR(__xludf.DUMMYFUNCTION("""COMPUTED_VALUE"""),"null")</f>
        <v>null</v>
      </c>
      <c r="R6182" s="33">
        <f>IFERROR(__xludf.DUMMYFUNCTION("""COMPUTED_VALUE"""),0.5)</f>
        <v>0.5</v>
      </c>
      <c r="S6182" s="4" t="str">
        <f>IFERROR(__xludf.DUMMYFUNCTION("""COMPUTED_VALUE"""),"null")</f>
        <v>null</v>
      </c>
      <c r="T6182" s="33">
        <f>IFERROR(__xludf.DUMMYFUNCTION("""COMPUTED_VALUE"""),0.5)</f>
        <v>0.5</v>
      </c>
      <c r="U6182" s="4" t="str">
        <f>IFERROR(__xludf.DUMMYFUNCTION("""COMPUTED_VALUE"""),"null")</f>
        <v>null</v>
      </c>
      <c r="V6182" s="33">
        <f>IFERROR(__xludf.DUMMYFUNCTION("""COMPUTED_VALUE"""),0.5)</f>
        <v>0.5</v>
      </c>
      <c r="W6182" s="4" t="str">
        <f>IFERROR(__xludf.DUMMYFUNCTION("""COMPUTED_VALUE"""),"null")</f>
        <v>null</v>
      </c>
      <c r="X6182" s="33">
        <f>IFERROR(__xludf.DUMMYFUNCTION("""COMPUTED_VALUE"""),0.5)</f>
        <v>0.5</v>
      </c>
    </row>
    <row r="6183">
      <c r="K6183" s="4" t="str">
        <f>IFERROR(__xludf.DUMMYFUNCTION("""COMPUTED_VALUE"""),"PIZZARIA PASTELBURG PIZZA")</f>
        <v>PIZZARIA PASTELBURG PIZZA</v>
      </c>
      <c r="L6183" s="32">
        <f>IFERROR(__xludf.DUMMYFUNCTION("""COMPUTED_VALUE"""),2.0)</f>
        <v>2</v>
      </c>
      <c r="M6183" s="4" t="str">
        <f>IFERROR(__xludf.DUMMYFUNCTION("""COMPUTED_VALUE"""),"Cardápio Web")</f>
        <v>Cardápio Web</v>
      </c>
      <c r="N6183" s="33">
        <f>IFERROR(__xludf.DUMMYFUNCTION("""COMPUTED_VALUE"""),1.0)</f>
        <v>1</v>
      </c>
      <c r="O6183" s="4" t="str">
        <f>IFERROR(__xludf.DUMMYFUNCTION("""COMPUTED_VALUE"""),"Cardápio Web")</f>
        <v>Cardápio Web</v>
      </c>
      <c r="P6183" s="33">
        <f>IFERROR(__xludf.DUMMYFUNCTION("""COMPUTED_VALUE"""),1.0)</f>
        <v>1</v>
      </c>
      <c r="Q6183" s="4" t="str">
        <f>IFERROR(__xludf.DUMMYFUNCTION("""COMPUTED_VALUE"""),"Cardápio Web")</f>
        <v>Cardápio Web</v>
      </c>
      <c r="R6183" s="33">
        <f>IFERROR(__xludf.DUMMYFUNCTION("""COMPUTED_VALUE"""),1.0)</f>
        <v>1</v>
      </c>
      <c r="S6183" s="4" t="str">
        <f>IFERROR(__xludf.DUMMYFUNCTION("""COMPUTED_VALUE"""),"Cardápio Web")</f>
        <v>Cardápio Web</v>
      </c>
      <c r="T6183" s="33">
        <f>IFERROR(__xludf.DUMMYFUNCTION("""COMPUTED_VALUE"""),1.0)</f>
        <v>1</v>
      </c>
      <c r="U6183" s="4" t="str">
        <f>IFERROR(__xludf.DUMMYFUNCTION("""COMPUTED_VALUE"""),"Saipos Serviços De Software")</f>
        <v>Saipos Serviços De Software</v>
      </c>
      <c r="V6183" s="33">
        <f>IFERROR(__xludf.DUMMYFUNCTION("""COMPUTED_VALUE"""),0.5)</f>
        <v>0.5</v>
      </c>
      <c r="W6183" s="4" t="str">
        <f>IFERROR(__xludf.DUMMYFUNCTION("""COMPUTED_VALUE"""),"Saipos Serviços De Software")</f>
        <v>Saipos Serviços De Software</v>
      </c>
      <c r="X6183" s="33">
        <f>IFERROR(__xludf.DUMMYFUNCTION("""COMPUTED_VALUE"""),1.0)</f>
        <v>1</v>
      </c>
    </row>
    <row r="6184">
      <c r="K6184" s="4" t="str">
        <f>IFERROR(__xludf.DUMMYFUNCTION("""COMPUTED_VALUE"""),"BLACK BULL STEAKHOUSE")</f>
        <v>BLACK BULL STEAKHOUSE</v>
      </c>
      <c r="L6184" s="32">
        <f>IFERROR(__xludf.DUMMYFUNCTION("""COMPUTED_VALUE"""),2.0)</f>
        <v>2</v>
      </c>
      <c r="M6184" s="4" t="str">
        <f>IFERROR(__xludf.DUMMYFUNCTION("""COMPUTED_VALUE"""),"Sagres Automação Comercial")</f>
        <v>Sagres Automação Comercial</v>
      </c>
      <c r="N6184" s="33">
        <f>IFERROR(__xludf.DUMMYFUNCTION("""COMPUTED_VALUE"""),1.0)</f>
        <v>1</v>
      </c>
      <c r="O6184" s="4" t="str">
        <f>IFERROR(__xludf.DUMMYFUNCTION("""COMPUTED_VALUE"""),"null")</f>
        <v>null</v>
      </c>
      <c r="P6184" s="33">
        <f>IFERROR(__xludf.DUMMYFUNCTION("""COMPUTED_VALUE"""),0.5)</f>
        <v>0.5</v>
      </c>
      <c r="Q6184" s="4" t="str">
        <f>IFERROR(__xludf.DUMMYFUNCTION("""COMPUTED_VALUE"""),"null")</f>
        <v>null</v>
      </c>
      <c r="R6184" s="33">
        <f>IFERROR(__xludf.DUMMYFUNCTION("""COMPUTED_VALUE"""),0.5)</f>
        <v>0.5</v>
      </c>
      <c r="S6184" s="4" t="str">
        <f>IFERROR(__xludf.DUMMYFUNCTION("""COMPUTED_VALUE"""),"null")</f>
        <v>null</v>
      </c>
      <c r="T6184" s="33">
        <f>IFERROR(__xludf.DUMMYFUNCTION("""COMPUTED_VALUE"""),0.5)</f>
        <v>0.5</v>
      </c>
      <c r="U6184" s="4" t="str">
        <f>IFERROR(__xludf.DUMMYFUNCTION("""COMPUTED_VALUE"""),"null")</f>
        <v>null</v>
      </c>
      <c r="V6184" s="33">
        <f>IFERROR(__xludf.DUMMYFUNCTION("""COMPUTED_VALUE"""),1.0)</f>
        <v>1</v>
      </c>
      <c r="W6184" s="4" t="str">
        <f>IFERROR(__xludf.DUMMYFUNCTION("""COMPUTED_VALUE"""),"null")</f>
        <v>null</v>
      </c>
      <c r="X6184" s="33">
        <f>IFERROR(__xludf.DUMMYFUNCTION("""COMPUTED_VALUE"""),1.0)</f>
        <v>1</v>
      </c>
    </row>
    <row r="6185">
      <c r="K6185" s="4" t="str">
        <f>IFERROR(__xludf.DUMMYFUNCTION("""COMPUTED_VALUE"""),"PIZZARIA GABRIELA")</f>
        <v>PIZZARIA GABRIELA</v>
      </c>
      <c r="L6185" s="32">
        <f>IFERROR(__xludf.DUMMYFUNCTION("""COMPUTED_VALUE"""),2.0)</f>
        <v>2</v>
      </c>
      <c r="M6185" s="4">
        <f>IFERROR(__xludf.DUMMYFUNCTION("""COMPUTED_VALUE"""),88.0)</f>
        <v>88</v>
      </c>
      <c r="N6185" s="33">
        <f>IFERROR(__xludf.DUMMYFUNCTION("""COMPUTED_VALUE"""),0.5)</f>
        <v>0.5</v>
      </c>
      <c r="O6185" s="4" t="str">
        <f>IFERROR(__xludf.DUMMYFUNCTION("""COMPUTED_VALUE"""),"null")</f>
        <v>null</v>
      </c>
      <c r="P6185" s="33">
        <f>IFERROR(__xludf.DUMMYFUNCTION("""COMPUTED_VALUE"""),0.5)</f>
        <v>0.5</v>
      </c>
      <c r="Q6185" s="4" t="str">
        <f>IFERROR(__xludf.DUMMYFUNCTION("""COMPUTED_VALUE"""),"null")</f>
        <v>null</v>
      </c>
      <c r="R6185" s="33">
        <f>IFERROR(__xludf.DUMMYFUNCTION("""COMPUTED_VALUE"""),0.5)</f>
        <v>0.5</v>
      </c>
      <c r="S6185" s="4" t="str">
        <f>IFERROR(__xludf.DUMMYFUNCTION("""COMPUTED_VALUE"""),"null")</f>
        <v>null</v>
      </c>
      <c r="T6185" s="33">
        <f>IFERROR(__xludf.DUMMYFUNCTION("""COMPUTED_VALUE"""),0.5)</f>
        <v>0.5</v>
      </c>
      <c r="U6185" s="4" t="str">
        <f>IFERROR(__xludf.DUMMYFUNCTION("""COMPUTED_VALUE"""),"null")</f>
        <v>null</v>
      </c>
      <c r="V6185" s="33">
        <f>IFERROR(__xludf.DUMMYFUNCTION("""COMPUTED_VALUE"""),0.5)</f>
        <v>0.5</v>
      </c>
      <c r="W6185" s="4" t="str">
        <f>IFERROR(__xludf.DUMMYFUNCTION("""COMPUTED_VALUE"""),"null")</f>
        <v>null</v>
      </c>
      <c r="X6185" s="33">
        <f>IFERROR(__xludf.DUMMYFUNCTION("""COMPUTED_VALUE"""),0.5)</f>
        <v>0.5</v>
      </c>
    </row>
    <row r="6186">
      <c r="K6186" s="4" t="str">
        <f>IFERROR(__xludf.DUMMYFUNCTION("""COMPUTED_VALUE"""),"JOAQUIM HAMBURGUER RAIZ")</f>
        <v>JOAQUIM HAMBURGUER RAIZ</v>
      </c>
      <c r="L6186" s="32">
        <f>IFERROR(__xludf.DUMMYFUNCTION("""COMPUTED_VALUE"""),2.0)</f>
        <v>2</v>
      </c>
      <c r="M6186" s="4" t="str">
        <f>IFERROR(__xludf.DUMMYFUNCTION("""COMPUTED_VALUE"""),"Cardápio Web")</f>
        <v>Cardápio Web</v>
      </c>
      <c r="N6186" s="33">
        <f>IFERROR(__xludf.DUMMYFUNCTION("""COMPUTED_VALUE"""),1.0)</f>
        <v>1</v>
      </c>
      <c r="O6186" s="4" t="str">
        <f>IFERROR(__xludf.DUMMYFUNCTION("""COMPUTED_VALUE"""),"Cardápio Web")</f>
        <v>Cardápio Web</v>
      </c>
      <c r="P6186" s="33">
        <f>IFERROR(__xludf.DUMMYFUNCTION("""COMPUTED_VALUE"""),1.0)</f>
        <v>1</v>
      </c>
      <c r="Q6186" s="4" t="str">
        <f>IFERROR(__xludf.DUMMYFUNCTION("""COMPUTED_VALUE"""),"Cardápio Web")</f>
        <v>Cardápio Web</v>
      </c>
      <c r="R6186" s="33">
        <f>IFERROR(__xludf.DUMMYFUNCTION("""COMPUTED_VALUE"""),0.5)</f>
        <v>0.5</v>
      </c>
      <c r="S6186" s="4" t="str">
        <f>IFERROR(__xludf.DUMMYFUNCTION("""COMPUTED_VALUE"""),"Cardápio Web")</f>
        <v>Cardápio Web</v>
      </c>
      <c r="T6186" s="33">
        <f>IFERROR(__xludf.DUMMYFUNCTION("""COMPUTED_VALUE"""),0.5)</f>
        <v>0.5</v>
      </c>
      <c r="U6186" s="4" t="str">
        <f>IFERROR(__xludf.DUMMYFUNCTION("""COMPUTED_VALUE"""),"Cardápio Web")</f>
        <v>Cardápio Web</v>
      </c>
      <c r="V6186" s="33">
        <f>IFERROR(__xludf.DUMMYFUNCTION("""COMPUTED_VALUE"""),0.5)</f>
        <v>0.5</v>
      </c>
      <c r="W6186" s="4" t="str">
        <f>IFERROR(__xludf.DUMMYFUNCTION("""COMPUTED_VALUE"""),"Cardápio Web")</f>
        <v>Cardápio Web</v>
      </c>
      <c r="X6186" s="33">
        <f>IFERROR(__xludf.DUMMYFUNCTION("""COMPUTED_VALUE"""),0.5)</f>
        <v>0.5</v>
      </c>
    </row>
    <row r="6187">
      <c r="K6187" s="4" t="str">
        <f>IFERROR(__xludf.DUMMYFUNCTION("""COMPUTED_VALUE"""),"WEST BURGUER")</f>
        <v>WEST BURGUER</v>
      </c>
      <c r="L6187" s="32">
        <f>IFERROR(__xludf.DUMMYFUNCTION("""COMPUTED_VALUE"""),2.0)</f>
        <v>2</v>
      </c>
      <c r="M6187" s="4" t="str">
        <f>IFERROR(__xludf.DUMMYFUNCTION("""COMPUTED_VALUE"""),"Consumer Soluções Em Tecnologia Ltda")</f>
        <v>Consumer Soluções Em Tecnologia Ltda</v>
      </c>
      <c r="N6187" s="33">
        <f>IFERROR(__xludf.DUMMYFUNCTION("""COMPUTED_VALUE"""),0.5)</f>
        <v>0.5</v>
      </c>
      <c r="O6187" s="4" t="str">
        <f>IFERROR(__xludf.DUMMYFUNCTION("""COMPUTED_VALUE"""),"Consumer Soluções Em Tecnologia Ltda")</f>
        <v>Consumer Soluções Em Tecnologia Ltda</v>
      </c>
      <c r="P6187" s="33">
        <f>IFERROR(__xludf.DUMMYFUNCTION("""COMPUTED_VALUE"""),0.5)</f>
        <v>0.5</v>
      </c>
      <c r="Q6187" s="4" t="str">
        <f>IFERROR(__xludf.DUMMYFUNCTION("""COMPUTED_VALUE"""),"Consumer Soluções Em Tecnologia Ltda")</f>
        <v>Consumer Soluções Em Tecnologia Ltda</v>
      </c>
      <c r="R6187" s="33">
        <f>IFERROR(__xludf.DUMMYFUNCTION("""COMPUTED_VALUE"""),0.5)</f>
        <v>0.5</v>
      </c>
      <c r="S6187" s="4" t="str">
        <f>IFERROR(__xludf.DUMMYFUNCTION("""COMPUTED_VALUE"""),"null")</f>
        <v>null</v>
      </c>
      <c r="T6187" s="33">
        <f>IFERROR(__xludf.DUMMYFUNCTION("""COMPUTED_VALUE"""),0.5)</f>
        <v>0.5</v>
      </c>
      <c r="U6187" s="4" t="str">
        <f>IFERROR(__xludf.DUMMYFUNCTION("""COMPUTED_VALUE"""),"Consumer Soluções Em Tecnologia Ltda")</f>
        <v>Consumer Soluções Em Tecnologia Ltda</v>
      </c>
      <c r="V6187" s="33">
        <f>IFERROR(__xludf.DUMMYFUNCTION("""COMPUTED_VALUE"""),0.5)</f>
        <v>0.5</v>
      </c>
      <c r="W6187" s="4" t="str">
        <f>IFERROR(__xludf.DUMMYFUNCTION("""COMPUTED_VALUE"""),"Consumer Soluções Em Tecnologia Ltda")</f>
        <v>Consumer Soluções Em Tecnologia Ltda</v>
      </c>
      <c r="X6187" s="33">
        <f>IFERROR(__xludf.DUMMYFUNCTION("""COMPUTED_VALUE"""),0.5)</f>
        <v>0.5</v>
      </c>
    </row>
    <row r="6188">
      <c r="K6188" s="4" t="str">
        <f>IFERROR(__xludf.DUMMYFUNCTION("""COMPUTED_VALUE"""),"GARAGE BURGUER")</f>
        <v>GARAGE BURGUER</v>
      </c>
      <c r="L6188" s="32">
        <f>IFERROR(__xludf.DUMMYFUNCTION("""COMPUTED_VALUE"""),2.0)</f>
        <v>2</v>
      </c>
      <c r="M6188" s="4" t="str">
        <f>IFERROR(__xludf.DUMMYFUNCTION("""COMPUTED_VALUE"""),"Saipos Serviços De Software")</f>
        <v>Saipos Serviços De Software</v>
      </c>
      <c r="N6188" s="33">
        <f>IFERROR(__xludf.DUMMYFUNCTION("""COMPUTED_VALUE"""),0.5)</f>
        <v>0.5</v>
      </c>
      <c r="O6188" s="4" t="str">
        <f>IFERROR(__xludf.DUMMYFUNCTION("""COMPUTED_VALUE"""),"Saipos Serviços De Software")</f>
        <v>Saipos Serviços De Software</v>
      </c>
      <c r="P6188" s="33">
        <f>IFERROR(__xludf.DUMMYFUNCTION("""COMPUTED_VALUE"""),0.5)</f>
        <v>0.5</v>
      </c>
      <c r="Q6188" s="4" t="str">
        <f>IFERROR(__xludf.DUMMYFUNCTION("""COMPUTED_VALUE"""),"Saipos Serviços De Software")</f>
        <v>Saipos Serviços De Software</v>
      </c>
      <c r="R6188" s="33">
        <f>IFERROR(__xludf.DUMMYFUNCTION("""COMPUTED_VALUE"""),0.5)</f>
        <v>0.5</v>
      </c>
      <c r="S6188" s="4" t="str">
        <f>IFERROR(__xludf.DUMMYFUNCTION("""COMPUTED_VALUE"""),"Saipos Serviços De Software")</f>
        <v>Saipos Serviços De Software</v>
      </c>
      <c r="T6188" s="33">
        <f>IFERROR(__xludf.DUMMYFUNCTION("""COMPUTED_VALUE"""),0.5)</f>
        <v>0.5</v>
      </c>
      <c r="U6188" s="4" t="str">
        <f>IFERROR(__xludf.DUMMYFUNCTION("""COMPUTED_VALUE"""),"Saipos Serviços De Software")</f>
        <v>Saipos Serviços De Software</v>
      </c>
      <c r="V6188" s="33">
        <f>IFERROR(__xludf.DUMMYFUNCTION("""COMPUTED_VALUE"""),0.5)</f>
        <v>0.5</v>
      </c>
      <c r="W6188" s="4" t="str">
        <f>IFERROR(__xludf.DUMMYFUNCTION("""COMPUTED_VALUE"""),"Saipos Serviços De Software")</f>
        <v>Saipos Serviços De Software</v>
      </c>
      <c r="X6188" s="33">
        <f>IFERROR(__xludf.DUMMYFUNCTION("""COMPUTED_VALUE"""),0.5)</f>
        <v>0.5</v>
      </c>
    </row>
    <row r="6189">
      <c r="K6189" s="4" t="str">
        <f>IFERROR(__xludf.DUMMYFUNCTION("""COMPUTED_VALUE"""),"EU QUERO CAFE")</f>
        <v>EU QUERO CAFE</v>
      </c>
      <c r="L6189" s="32">
        <f>IFERROR(__xludf.DUMMYFUNCTION("""COMPUTED_VALUE"""),2.0)</f>
        <v>2</v>
      </c>
      <c r="M6189" s="4" t="str">
        <f>IFERROR(__xludf.DUMMYFUNCTION("""COMPUTED_VALUE"""),"Saipos Serviços De Software")</f>
        <v>Saipos Serviços De Software</v>
      </c>
      <c r="N6189" s="33">
        <f>IFERROR(__xludf.DUMMYFUNCTION("""COMPUTED_VALUE"""),1.0)</f>
        <v>1</v>
      </c>
      <c r="O6189" s="4" t="str">
        <f>IFERROR(__xludf.DUMMYFUNCTION("""COMPUTED_VALUE"""),"Saipos Serviços De Software")</f>
        <v>Saipos Serviços De Software</v>
      </c>
      <c r="P6189" s="33">
        <f>IFERROR(__xludf.DUMMYFUNCTION("""COMPUTED_VALUE"""),1.0)</f>
        <v>1</v>
      </c>
      <c r="Q6189" s="4" t="str">
        <f>IFERROR(__xludf.DUMMYFUNCTION("""COMPUTED_VALUE"""),"Saipos Serviços De Software")</f>
        <v>Saipos Serviços De Software</v>
      </c>
      <c r="R6189" s="33">
        <f>IFERROR(__xludf.DUMMYFUNCTION("""COMPUTED_VALUE"""),1.0)</f>
        <v>1</v>
      </c>
      <c r="S6189" s="4" t="str">
        <f>IFERROR(__xludf.DUMMYFUNCTION("""COMPUTED_VALUE"""),"Saipos Serviços De Software")</f>
        <v>Saipos Serviços De Software</v>
      </c>
      <c r="T6189" s="33">
        <f>IFERROR(__xludf.DUMMYFUNCTION("""COMPUTED_VALUE"""),1.0)</f>
        <v>1</v>
      </c>
      <c r="U6189" s="4" t="str">
        <f>IFERROR(__xludf.DUMMYFUNCTION("""COMPUTED_VALUE"""),"Saipos Serviços De Software")</f>
        <v>Saipos Serviços De Software</v>
      </c>
      <c r="V6189" s="33">
        <f>IFERROR(__xludf.DUMMYFUNCTION("""COMPUTED_VALUE"""),1.0)</f>
        <v>1</v>
      </c>
      <c r="W6189" s="4" t="str">
        <f>IFERROR(__xludf.DUMMYFUNCTION("""COMPUTED_VALUE"""),"Saipos Serviços De Software")</f>
        <v>Saipos Serviços De Software</v>
      </c>
      <c r="X6189" s="33">
        <f>IFERROR(__xludf.DUMMYFUNCTION("""COMPUTED_VALUE"""),1.0)</f>
        <v>1</v>
      </c>
    </row>
    <row r="6190">
      <c r="K6190" s="4" t="str">
        <f>IFERROR(__xludf.DUMMYFUNCTION("""COMPUTED_VALUE"""),"MARMITARIA PAIFILHO")</f>
        <v>MARMITARIA PAIFILHO</v>
      </c>
      <c r="L6190" s="32">
        <f>IFERROR(__xludf.DUMMYFUNCTION("""COMPUTED_VALUE"""),2.0)</f>
        <v>2</v>
      </c>
      <c r="M6190" s="4" t="str">
        <f>IFERROR(__xludf.DUMMYFUNCTION("""COMPUTED_VALUE"""),"Cardápio Web")</f>
        <v>Cardápio Web</v>
      </c>
      <c r="N6190" s="33">
        <f>IFERROR(__xludf.DUMMYFUNCTION("""COMPUTED_VALUE"""),1.0)</f>
        <v>1</v>
      </c>
      <c r="O6190" s="4" t="str">
        <f>IFERROR(__xludf.DUMMYFUNCTION("""COMPUTED_VALUE"""),"Cardápio Web")</f>
        <v>Cardápio Web</v>
      </c>
      <c r="P6190" s="33">
        <f>IFERROR(__xludf.DUMMYFUNCTION("""COMPUTED_VALUE"""),1.0)</f>
        <v>1</v>
      </c>
      <c r="Q6190" s="4" t="str">
        <f>IFERROR(__xludf.DUMMYFUNCTION("""COMPUTED_VALUE"""),"null")</f>
        <v>null</v>
      </c>
      <c r="R6190" s="33">
        <f>IFERROR(__xludf.DUMMYFUNCTION("""COMPUTED_VALUE"""),1.0)</f>
        <v>1</v>
      </c>
      <c r="S6190" s="4" t="str">
        <f>IFERROR(__xludf.DUMMYFUNCTION("""COMPUTED_VALUE"""),"null")</f>
        <v>null</v>
      </c>
      <c r="T6190" s="33">
        <f>IFERROR(__xludf.DUMMYFUNCTION("""COMPUTED_VALUE"""),1.0)</f>
        <v>1</v>
      </c>
      <c r="U6190" s="4" t="str">
        <f>IFERROR(__xludf.DUMMYFUNCTION("""COMPUTED_VALUE"""),"null")</f>
        <v>null</v>
      </c>
      <c r="V6190" s="33">
        <f>IFERROR(__xludf.DUMMYFUNCTION("""COMPUTED_VALUE"""),1.0)</f>
        <v>1</v>
      </c>
      <c r="W6190" s="4" t="str">
        <f>IFERROR(__xludf.DUMMYFUNCTION("""COMPUTED_VALUE"""),"null")</f>
        <v>null</v>
      </c>
      <c r="X6190" s="33">
        <f>IFERROR(__xludf.DUMMYFUNCTION("""COMPUTED_VALUE"""),1.0)</f>
        <v>1</v>
      </c>
    </row>
    <row r="6191">
      <c r="K6191" s="4" t="str">
        <f>IFERROR(__xludf.DUMMYFUNCTION("""COMPUTED_VALUE"""),"HARRYS BURGUER")</f>
        <v>HARRYS BURGUER</v>
      </c>
      <c r="L6191" s="32">
        <f>IFERROR(__xludf.DUMMYFUNCTION("""COMPUTED_VALUE"""),2.0)</f>
        <v>2</v>
      </c>
      <c r="M6191" s="4" t="str">
        <f>IFERROR(__xludf.DUMMYFUNCTION("""COMPUTED_VALUE"""),"Anota Ai Solucoes Digitais S/a")</f>
        <v>Anota Ai Solucoes Digitais S/a</v>
      </c>
      <c r="N6191" s="33">
        <f>IFERROR(__xludf.DUMMYFUNCTION("""COMPUTED_VALUE"""),0.5)</f>
        <v>0.5</v>
      </c>
      <c r="O6191" s="4" t="str">
        <f>IFERROR(__xludf.DUMMYFUNCTION("""COMPUTED_VALUE"""),"Anota Ai Solucoes Digitais S/a")</f>
        <v>Anota Ai Solucoes Digitais S/a</v>
      </c>
      <c r="P6191" s="33">
        <f>IFERROR(__xludf.DUMMYFUNCTION("""COMPUTED_VALUE"""),0.5)</f>
        <v>0.5</v>
      </c>
      <c r="Q6191" s="4" t="str">
        <f>IFERROR(__xludf.DUMMYFUNCTION("""COMPUTED_VALUE"""),"Anota Ai Solucoes Digitais S/a")</f>
        <v>Anota Ai Solucoes Digitais S/a</v>
      </c>
      <c r="R6191" s="33">
        <f>IFERROR(__xludf.DUMMYFUNCTION("""COMPUTED_VALUE"""),0.5)</f>
        <v>0.5</v>
      </c>
      <c r="S6191" s="4" t="str">
        <f>IFERROR(__xludf.DUMMYFUNCTION("""COMPUTED_VALUE"""),"Anota Ai Solucoes Digitais S/a")</f>
        <v>Anota Ai Solucoes Digitais S/a</v>
      </c>
      <c r="T6191" s="33">
        <f>IFERROR(__xludf.DUMMYFUNCTION("""COMPUTED_VALUE"""),0.5)</f>
        <v>0.5</v>
      </c>
      <c r="U6191" s="4" t="str">
        <f>IFERROR(__xludf.DUMMYFUNCTION("""COMPUTED_VALUE"""),"null")</f>
        <v>null</v>
      </c>
      <c r="V6191" s="33">
        <f>IFERROR(__xludf.DUMMYFUNCTION("""COMPUTED_VALUE"""),1.0)</f>
        <v>1</v>
      </c>
      <c r="W6191" s="4" t="str">
        <f>IFERROR(__xludf.DUMMYFUNCTION("""COMPUTED_VALUE"""),"null")</f>
        <v>null</v>
      </c>
      <c r="X6191" s="33">
        <f>IFERROR(__xludf.DUMMYFUNCTION("""COMPUTED_VALUE"""),0.5)</f>
        <v>0.5</v>
      </c>
    </row>
    <row r="6192">
      <c r="K6192" s="4" t="str">
        <f>IFERROR(__xludf.DUMMYFUNCTION("""COMPUTED_VALUE"""),"SUSHIMAIS")</f>
        <v>SUSHIMAIS</v>
      </c>
      <c r="L6192" s="32">
        <f>IFERROR(__xludf.DUMMYFUNCTION("""COMPUTED_VALUE"""),2.0)</f>
        <v>2</v>
      </c>
      <c r="M6192" s="4" t="str">
        <f>IFERROR(__xludf.DUMMYFUNCTION("""COMPUTED_VALUE"""),"Agilizup Solucoes Ltda")</f>
        <v>Agilizup Solucoes Ltda</v>
      </c>
      <c r="N6192" s="33">
        <f>IFERROR(__xludf.DUMMYFUNCTION("""COMPUTED_VALUE"""),1.0)</f>
        <v>1</v>
      </c>
      <c r="O6192" s="4" t="str">
        <f>IFERROR(__xludf.DUMMYFUNCTION("""COMPUTED_VALUE"""),"Agilizup Solucoes Ltda")</f>
        <v>Agilizup Solucoes Ltda</v>
      </c>
      <c r="P6192" s="33">
        <f>IFERROR(__xludf.DUMMYFUNCTION("""COMPUTED_VALUE"""),1.0)</f>
        <v>1</v>
      </c>
      <c r="Q6192" s="4" t="str">
        <f>IFERROR(__xludf.DUMMYFUNCTION("""COMPUTED_VALUE"""),"Agilizup Solucoes Ltda")</f>
        <v>Agilizup Solucoes Ltda</v>
      </c>
      <c r="R6192" s="33">
        <f>IFERROR(__xludf.DUMMYFUNCTION("""COMPUTED_VALUE"""),1.0)</f>
        <v>1</v>
      </c>
      <c r="S6192" s="4" t="str">
        <f>IFERROR(__xludf.DUMMYFUNCTION("""COMPUTED_VALUE"""),"Agilizup Solucoes Ltda")</f>
        <v>Agilizup Solucoes Ltda</v>
      </c>
      <c r="T6192" s="33">
        <f>IFERROR(__xludf.DUMMYFUNCTION("""COMPUTED_VALUE"""),1.0)</f>
        <v>1</v>
      </c>
      <c r="U6192" s="4" t="str">
        <f>IFERROR(__xludf.DUMMYFUNCTION("""COMPUTED_VALUE"""),"Agilizup Solucoes Ltda")</f>
        <v>Agilizup Solucoes Ltda</v>
      </c>
      <c r="V6192" s="33">
        <f>IFERROR(__xludf.DUMMYFUNCTION("""COMPUTED_VALUE"""),1.0)</f>
        <v>1</v>
      </c>
      <c r="W6192" s="4" t="str">
        <f>IFERROR(__xludf.DUMMYFUNCTION("""COMPUTED_VALUE"""),"Agilizup Solucoes Ltda")</f>
        <v>Agilizup Solucoes Ltda</v>
      </c>
      <c r="X6192" s="33">
        <f>IFERROR(__xludf.DUMMYFUNCTION("""COMPUTED_VALUE"""),1.0)</f>
        <v>1</v>
      </c>
    </row>
    <row r="6193">
      <c r="K6193" s="4" t="str">
        <f>IFERROR(__xludf.DUMMYFUNCTION("""COMPUTED_VALUE"""),"NATUBERRY ACAI")</f>
        <v>NATUBERRY ACAI</v>
      </c>
      <c r="L6193" s="32">
        <f>IFERROR(__xludf.DUMMYFUNCTION("""COMPUTED_VALUE"""),2.0)</f>
        <v>2</v>
      </c>
      <c r="M6193" s="4" t="str">
        <f>IFERROR(__xludf.DUMMYFUNCTION("""COMPUTED_VALUE"""),"Whatsmenu Ltda")</f>
        <v>Whatsmenu Ltda</v>
      </c>
      <c r="N6193" s="33">
        <f>IFERROR(__xludf.DUMMYFUNCTION("""COMPUTED_VALUE"""),0.5)</f>
        <v>0.5</v>
      </c>
      <c r="O6193" s="4" t="str">
        <f>IFERROR(__xludf.DUMMYFUNCTION("""COMPUTED_VALUE"""),"null")</f>
        <v>null</v>
      </c>
      <c r="P6193" s="33">
        <f>IFERROR(__xludf.DUMMYFUNCTION("""COMPUTED_VALUE"""),1.0)</f>
        <v>1</v>
      </c>
      <c r="Q6193" s="4" t="str">
        <f>IFERROR(__xludf.DUMMYFUNCTION("""COMPUTED_VALUE"""),"null")</f>
        <v>null</v>
      </c>
      <c r="R6193" s="33">
        <f>IFERROR(__xludf.DUMMYFUNCTION("""COMPUTED_VALUE"""),1.0)</f>
        <v>1</v>
      </c>
      <c r="S6193" s="4" t="str">
        <f>IFERROR(__xludf.DUMMYFUNCTION("""COMPUTED_VALUE"""),"null")</f>
        <v>null</v>
      </c>
      <c r="T6193" s="33">
        <f>IFERROR(__xludf.DUMMYFUNCTION("""COMPUTED_VALUE"""),1.0)</f>
        <v>1</v>
      </c>
      <c r="U6193" s="4" t="str">
        <f>IFERROR(__xludf.DUMMYFUNCTION("""COMPUTED_VALUE"""),"null")</f>
        <v>null</v>
      </c>
      <c r="V6193" s="33">
        <f>IFERROR(__xludf.DUMMYFUNCTION("""COMPUTED_VALUE"""),1.0)</f>
        <v>1</v>
      </c>
      <c r="W6193" s="4" t="str">
        <f>IFERROR(__xludf.DUMMYFUNCTION("""COMPUTED_VALUE"""),"null")</f>
        <v>null</v>
      </c>
      <c r="X6193" s="33">
        <f>IFERROR(__xludf.DUMMYFUNCTION("""COMPUTED_VALUE"""),0.5)</f>
        <v>0.5</v>
      </c>
    </row>
    <row r="6194">
      <c r="K6194" s="4" t="str">
        <f>IFERROR(__xludf.DUMMYFUNCTION("""COMPUTED_VALUE"""),"ZE DO BAURU - HAMBURGUER, XIS E COMBOS EM PROMOCAO")</f>
        <v>ZE DO BAURU - HAMBURGUER, XIS E COMBOS EM PROMOCAO</v>
      </c>
      <c r="L6194" s="32">
        <f>IFERROR(__xludf.DUMMYFUNCTION("""COMPUTED_VALUE"""),2.0)</f>
        <v>2</v>
      </c>
      <c r="M6194" s="4" t="str">
        <f>IFERROR(__xludf.DUMMYFUNCTION("""COMPUTED_VALUE"""),"Saipos Serviços De Software")</f>
        <v>Saipos Serviços De Software</v>
      </c>
      <c r="N6194" s="33">
        <f>IFERROR(__xludf.DUMMYFUNCTION("""COMPUTED_VALUE"""),1.0)</f>
        <v>1</v>
      </c>
      <c r="O6194" s="4" t="str">
        <f>IFERROR(__xludf.DUMMYFUNCTION("""COMPUTED_VALUE"""),"Saipos Serviços De Software")</f>
        <v>Saipos Serviços De Software</v>
      </c>
      <c r="P6194" s="33">
        <f>IFERROR(__xludf.DUMMYFUNCTION("""COMPUTED_VALUE"""),1.0)</f>
        <v>1</v>
      </c>
      <c r="Q6194" s="4" t="str">
        <f>IFERROR(__xludf.DUMMYFUNCTION("""COMPUTED_VALUE"""),"Saipos Serviços De Software")</f>
        <v>Saipos Serviços De Software</v>
      </c>
      <c r="R6194" s="33">
        <f>IFERROR(__xludf.DUMMYFUNCTION("""COMPUTED_VALUE"""),1.0)</f>
        <v>1</v>
      </c>
      <c r="S6194" s="4" t="str">
        <f>IFERROR(__xludf.DUMMYFUNCTION("""COMPUTED_VALUE"""),"Saipos Serviços De Software")</f>
        <v>Saipos Serviços De Software</v>
      </c>
      <c r="T6194" s="33">
        <f>IFERROR(__xludf.DUMMYFUNCTION("""COMPUTED_VALUE"""),1.0)</f>
        <v>1</v>
      </c>
      <c r="U6194" s="4" t="str">
        <f>IFERROR(__xludf.DUMMYFUNCTION("""COMPUTED_VALUE"""),"Saipos Serviços De Software")</f>
        <v>Saipos Serviços De Software</v>
      </c>
      <c r="V6194" s="33">
        <f>IFERROR(__xludf.DUMMYFUNCTION("""COMPUTED_VALUE"""),1.0)</f>
        <v>1</v>
      </c>
      <c r="W6194" s="4" t="str">
        <f>IFERROR(__xludf.DUMMYFUNCTION("""COMPUTED_VALUE"""),"Saipos Serviços De Software")</f>
        <v>Saipos Serviços De Software</v>
      </c>
      <c r="X6194" s="33">
        <f>IFERROR(__xludf.DUMMYFUNCTION("""COMPUTED_VALUE"""),1.0)</f>
        <v>1</v>
      </c>
    </row>
    <row r="6195">
      <c r="K6195" s="4" t="str">
        <f>IFERROR(__xludf.DUMMYFUNCTION("""COMPUTED_VALUE"""),"CHICKEN CRISPY - FRANGO NO BALDE")</f>
        <v>CHICKEN CRISPY - FRANGO NO BALDE</v>
      </c>
      <c r="L6195" s="32">
        <f>IFERROR(__xludf.DUMMYFUNCTION("""COMPUTED_VALUE"""),2.0)</f>
        <v>2</v>
      </c>
      <c r="M6195" s="4" t="str">
        <f>IFERROR(__xludf.DUMMYFUNCTION("""COMPUTED_VALUE"""),"null")</f>
        <v>null</v>
      </c>
      <c r="N6195" s="33">
        <f>IFERROR(__xludf.DUMMYFUNCTION("""COMPUTED_VALUE"""),1.0)</f>
        <v>1</v>
      </c>
      <c r="O6195" s="4" t="str">
        <f>IFERROR(__xludf.DUMMYFUNCTION("""COMPUTED_VALUE"""),"Vekttor")</f>
        <v>Vekttor</v>
      </c>
      <c r="P6195" s="33">
        <f>IFERROR(__xludf.DUMMYFUNCTION("""COMPUTED_VALUE"""),1.0)</f>
        <v>1</v>
      </c>
      <c r="Q6195" s="4" t="str">
        <f>IFERROR(__xludf.DUMMYFUNCTION("""COMPUTED_VALUE"""),"Vekttor")</f>
        <v>Vekttor</v>
      </c>
      <c r="R6195" s="33">
        <f>IFERROR(__xludf.DUMMYFUNCTION("""COMPUTED_VALUE"""),1.0)</f>
        <v>1</v>
      </c>
      <c r="S6195" s="4" t="str">
        <f>IFERROR(__xludf.DUMMYFUNCTION("""COMPUTED_VALUE"""),"Vekttor")</f>
        <v>Vekttor</v>
      </c>
      <c r="T6195" s="33">
        <f>IFERROR(__xludf.DUMMYFUNCTION("""COMPUTED_VALUE"""),0.5)</f>
        <v>0.5</v>
      </c>
      <c r="U6195" s="4" t="str">
        <f>IFERROR(__xludf.DUMMYFUNCTION("""COMPUTED_VALUE"""),"Vekttor")</f>
        <v>Vekttor</v>
      </c>
      <c r="V6195" s="33">
        <f>IFERROR(__xludf.DUMMYFUNCTION("""COMPUTED_VALUE"""),0.5)</f>
        <v>0.5</v>
      </c>
      <c r="W6195" s="4" t="str">
        <f>IFERROR(__xludf.DUMMYFUNCTION("""COMPUTED_VALUE"""),"Vekttor")</f>
        <v>Vekttor</v>
      </c>
      <c r="X6195" s="33">
        <f>IFERROR(__xludf.DUMMYFUNCTION("""COMPUTED_VALUE"""),0.5)</f>
        <v>0.5</v>
      </c>
    </row>
    <row r="6196">
      <c r="K6196" s="4" t="str">
        <f>IFERROR(__xludf.DUMMYFUNCTION("""COMPUTED_VALUE"""),"MARMITEX TEMPERO DE CASA")</f>
        <v>MARMITEX TEMPERO DE CASA</v>
      </c>
      <c r="L6196" s="32">
        <f>IFERROR(__xludf.DUMMYFUNCTION("""COMPUTED_VALUE"""),2.0)</f>
        <v>2</v>
      </c>
      <c r="M6196" s="4" t="str">
        <f>IFERROR(__xludf.DUMMYFUNCTION("""COMPUTED_VALUE"""),"Saipos Serviços De Software")</f>
        <v>Saipos Serviços De Software</v>
      </c>
      <c r="N6196" s="33">
        <f>IFERROR(__xludf.DUMMYFUNCTION("""COMPUTED_VALUE"""),1.0)</f>
        <v>1</v>
      </c>
      <c r="O6196" s="4" t="str">
        <f>IFERROR(__xludf.DUMMYFUNCTION("""COMPUTED_VALUE"""),"Saipos Serviços De Software")</f>
        <v>Saipos Serviços De Software</v>
      </c>
      <c r="P6196" s="33">
        <f>IFERROR(__xludf.DUMMYFUNCTION("""COMPUTED_VALUE"""),1.0)</f>
        <v>1</v>
      </c>
      <c r="Q6196" s="4" t="str">
        <f>IFERROR(__xludf.DUMMYFUNCTION("""COMPUTED_VALUE"""),"Saipos Serviços De Software")</f>
        <v>Saipos Serviços De Software</v>
      </c>
      <c r="R6196" s="33">
        <f>IFERROR(__xludf.DUMMYFUNCTION("""COMPUTED_VALUE"""),1.0)</f>
        <v>1</v>
      </c>
      <c r="S6196" s="4" t="str">
        <f>IFERROR(__xludf.DUMMYFUNCTION("""COMPUTED_VALUE"""),"Saipos Serviços De Software")</f>
        <v>Saipos Serviços De Software</v>
      </c>
      <c r="T6196" s="33">
        <f>IFERROR(__xludf.DUMMYFUNCTION("""COMPUTED_VALUE"""),1.0)</f>
        <v>1</v>
      </c>
      <c r="U6196" s="4" t="str">
        <f>IFERROR(__xludf.DUMMYFUNCTION("""COMPUTED_VALUE"""),"Saipos Serviços De Software")</f>
        <v>Saipos Serviços De Software</v>
      </c>
      <c r="V6196" s="33">
        <f>IFERROR(__xludf.DUMMYFUNCTION("""COMPUTED_VALUE"""),1.0)</f>
        <v>1</v>
      </c>
      <c r="W6196" s="4" t="str">
        <f>IFERROR(__xludf.DUMMYFUNCTION("""COMPUTED_VALUE"""),"Saipos Serviços De Software")</f>
        <v>Saipos Serviços De Software</v>
      </c>
      <c r="X6196" s="33">
        <f>IFERROR(__xludf.DUMMYFUNCTION("""COMPUTED_VALUE"""),1.0)</f>
        <v>1</v>
      </c>
    </row>
    <row r="6197">
      <c r="K6197" s="4" t="str">
        <f>IFERROR(__xludf.DUMMYFUNCTION("""COMPUTED_VALUE"""),"DROGARIA VIEIRA")</f>
        <v>DROGARIA VIEIRA</v>
      </c>
      <c r="L6197" s="32">
        <f>IFERROR(__xludf.DUMMYFUNCTION("""COMPUTED_VALUE"""),2.0)</f>
        <v>2</v>
      </c>
      <c r="M6197" s="4" t="str">
        <f>IFERROR(__xludf.DUMMYFUNCTION("""COMPUTED_VALUE"""),"N/A (Not found)")</f>
        <v>N/A (Not found)</v>
      </c>
      <c r="N6197" s="33">
        <f>IFERROR(__xludf.DUMMYFUNCTION("""COMPUTED_VALUE"""),0.5)</f>
        <v>0.5</v>
      </c>
      <c r="O6197" s="4" t="str">
        <f>IFERROR(__xludf.DUMMYFUNCTION("""COMPUTED_VALUE"""),"N/A (Not found)")</f>
        <v>N/A (Not found)</v>
      </c>
      <c r="P6197" s="33">
        <f>IFERROR(__xludf.DUMMYFUNCTION("""COMPUTED_VALUE"""),0.5)</f>
        <v>0.5</v>
      </c>
      <c r="Q6197" s="4" t="str">
        <f>IFERROR(__xludf.DUMMYFUNCTION("""COMPUTED_VALUE"""),"N/A (Not found)")</f>
        <v>N/A (Not found)</v>
      </c>
      <c r="R6197" s="33">
        <f>IFERROR(__xludf.DUMMYFUNCTION("""COMPUTED_VALUE"""),0.5)</f>
        <v>0.5</v>
      </c>
      <c r="S6197" s="4" t="str">
        <f>IFERROR(__xludf.DUMMYFUNCTION("""COMPUTED_VALUE"""),"N/A (Not found)")</f>
        <v>N/A (Not found)</v>
      </c>
      <c r="T6197" s="33">
        <f>IFERROR(__xludf.DUMMYFUNCTION("""COMPUTED_VALUE"""),0.5)</f>
        <v>0.5</v>
      </c>
      <c r="U6197" s="4" t="str">
        <f>IFERROR(__xludf.DUMMYFUNCTION("""COMPUTED_VALUE"""),"N/A (Not found)")</f>
        <v>N/A (Not found)</v>
      </c>
      <c r="V6197" s="33">
        <f>IFERROR(__xludf.DUMMYFUNCTION("""COMPUTED_VALUE"""),0.5)</f>
        <v>0.5</v>
      </c>
      <c r="W6197" s="4" t="str">
        <f>IFERROR(__xludf.DUMMYFUNCTION("""COMPUTED_VALUE"""),"N/A (Not found)")</f>
        <v>N/A (Not found)</v>
      </c>
      <c r="X6197" s="33">
        <f>IFERROR(__xludf.DUMMYFUNCTION("""COMPUTED_VALUE"""),1.0)</f>
        <v>1</v>
      </c>
    </row>
    <row r="6198">
      <c r="K6198" s="4" t="str">
        <f>IFERROR(__xludf.DUMMYFUNCTION("""COMPUTED_VALUE"""),"RODIZIO JAPONES NA PROMOCAO")</f>
        <v>RODIZIO JAPONES NA PROMOCAO</v>
      </c>
      <c r="L6198" s="32">
        <f>IFERROR(__xludf.DUMMYFUNCTION("""COMPUTED_VALUE"""),2.0)</f>
        <v>2</v>
      </c>
      <c r="M6198" s="4" t="str">
        <f>IFERROR(__xludf.DUMMYFUNCTION("""COMPUTED_VALUE"""),"Ncr")</f>
        <v>Ncr</v>
      </c>
      <c r="N6198" s="33">
        <f>IFERROR(__xludf.DUMMYFUNCTION("""COMPUTED_VALUE"""),1.0)</f>
        <v>1</v>
      </c>
      <c r="O6198" s="4" t="str">
        <f>IFERROR(__xludf.DUMMYFUNCTION("""COMPUTED_VALUE"""),"null")</f>
        <v>null</v>
      </c>
      <c r="P6198" s="33">
        <f>IFERROR(__xludf.DUMMYFUNCTION("""COMPUTED_VALUE"""),1.0)</f>
        <v>1</v>
      </c>
      <c r="Q6198" s="4" t="str">
        <f>IFERROR(__xludf.DUMMYFUNCTION("""COMPUTED_VALUE"""),"null")</f>
        <v>null</v>
      </c>
      <c r="R6198" s="33">
        <f>IFERROR(__xludf.DUMMYFUNCTION("""COMPUTED_VALUE"""),1.0)</f>
        <v>1</v>
      </c>
      <c r="S6198" s="4" t="str">
        <f>IFERROR(__xludf.DUMMYFUNCTION("""COMPUTED_VALUE"""),"null")</f>
        <v>null</v>
      </c>
      <c r="T6198" s="33">
        <f>IFERROR(__xludf.DUMMYFUNCTION("""COMPUTED_VALUE"""),1.0)</f>
        <v>1</v>
      </c>
      <c r="U6198" s="4" t="str">
        <f>IFERROR(__xludf.DUMMYFUNCTION("""COMPUTED_VALUE"""),"null")</f>
        <v>null</v>
      </c>
      <c r="V6198" s="33">
        <f>IFERROR(__xludf.DUMMYFUNCTION("""COMPUTED_VALUE"""),1.0)</f>
        <v>1</v>
      </c>
      <c r="W6198" s="4" t="str">
        <f>IFERROR(__xludf.DUMMYFUNCTION("""COMPUTED_VALUE"""),"null")</f>
        <v>null</v>
      </c>
      <c r="X6198" s="33">
        <f>IFERROR(__xludf.DUMMYFUNCTION("""COMPUTED_VALUE"""),1.0)</f>
        <v>1</v>
      </c>
    </row>
    <row r="6199">
      <c r="K6199" s="4" t="str">
        <f>IFERROR(__xludf.DUMMYFUNCTION("""COMPUTED_VALUE"""),"IMPERIO SUSHI")</f>
        <v>IMPERIO SUSHI</v>
      </c>
      <c r="L6199" s="32">
        <f>IFERROR(__xludf.DUMMYFUNCTION("""COMPUTED_VALUE"""),2.0)</f>
        <v>2</v>
      </c>
      <c r="M6199" s="4" t="str">
        <f>IFERROR(__xludf.DUMMYFUNCTION("""COMPUTED_VALUE"""),"Saipos Serviços De Software")</f>
        <v>Saipos Serviços De Software</v>
      </c>
      <c r="N6199" s="33">
        <f>IFERROR(__xludf.DUMMYFUNCTION("""COMPUTED_VALUE"""),0.5)</f>
        <v>0.5</v>
      </c>
      <c r="O6199" s="4" t="str">
        <f>IFERROR(__xludf.DUMMYFUNCTION("""COMPUTED_VALUE"""),"null")</f>
        <v>null</v>
      </c>
      <c r="P6199" s="33">
        <f>IFERROR(__xludf.DUMMYFUNCTION("""COMPUTED_VALUE"""),1.0)</f>
        <v>1</v>
      </c>
      <c r="Q6199" s="4" t="str">
        <f>IFERROR(__xludf.DUMMYFUNCTION("""COMPUTED_VALUE"""),"null")</f>
        <v>null</v>
      </c>
      <c r="R6199" s="33">
        <f>IFERROR(__xludf.DUMMYFUNCTION("""COMPUTED_VALUE"""),1.0)</f>
        <v>1</v>
      </c>
      <c r="S6199" s="4" t="str">
        <f>IFERROR(__xludf.DUMMYFUNCTION("""COMPUTED_VALUE"""),"null")</f>
        <v>null</v>
      </c>
      <c r="T6199" s="33">
        <f>IFERROR(__xludf.DUMMYFUNCTION("""COMPUTED_VALUE"""),1.0)</f>
        <v>1</v>
      </c>
      <c r="U6199" s="4" t="str">
        <f>IFERROR(__xludf.DUMMYFUNCTION("""COMPUTED_VALUE"""),"null")</f>
        <v>null</v>
      </c>
      <c r="V6199" s="33">
        <f>IFERROR(__xludf.DUMMYFUNCTION("""COMPUTED_VALUE"""),1.0)</f>
        <v>1</v>
      </c>
      <c r="W6199" s="4" t="str">
        <f>IFERROR(__xludf.DUMMYFUNCTION("""COMPUTED_VALUE"""),"null")</f>
        <v>null</v>
      </c>
      <c r="X6199" s="33">
        <f>IFERROR(__xludf.DUMMYFUNCTION("""COMPUTED_VALUE"""),1.0)</f>
        <v>1</v>
      </c>
    </row>
    <row r="6200">
      <c r="K6200" s="4" t="str">
        <f>IFERROR(__xludf.DUMMYFUNCTION("""COMPUTED_VALUE"""),"COMENDADOR")</f>
        <v>COMENDADOR</v>
      </c>
      <c r="L6200" s="32">
        <f>IFERROR(__xludf.DUMMYFUNCTION("""COMPUTED_VALUE"""),2.0)</f>
        <v>2</v>
      </c>
      <c r="M6200" s="4" t="str">
        <f>IFERROR(__xludf.DUMMYFUNCTION("""COMPUTED_VALUE"""),"null")</f>
        <v>null</v>
      </c>
      <c r="N6200" s="33">
        <f>IFERROR(__xludf.DUMMYFUNCTION("""COMPUTED_VALUE"""),1.0)</f>
        <v>1</v>
      </c>
      <c r="O6200" s="4" t="str">
        <f>IFERROR(__xludf.DUMMYFUNCTION("""COMPUTED_VALUE"""),"null")</f>
        <v>null</v>
      </c>
      <c r="P6200" s="33">
        <f>IFERROR(__xludf.DUMMYFUNCTION("""COMPUTED_VALUE"""),0.5)</f>
        <v>0.5</v>
      </c>
      <c r="Q6200" s="4" t="str">
        <f>IFERROR(__xludf.DUMMYFUNCTION("""COMPUTED_VALUE"""),"N/A (Not found)")</f>
        <v>N/A (Not found)</v>
      </c>
      <c r="R6200" s="33">
        <f>IFERROR(__xludf.DUMMYFUNCTION("""COMPUTED_VALUE"""),0.5)</f>
        <v>0.5</v>
      </c>
      <c r="S6200" s="4" t="str">
        <f>IFERROR(__xludf.DUMMYFUNCTION("""COMPUTED_VALUE"""),"N/A (Not found)")</f>
        <v>N/A (Not found)</v>
      </c>
      <c r="T6200" s="33">
        <f>IFERROR(__xludf.DUMMYFUNCTION("""COMPUTED_VALUE"""),0.5)</f>
        <v>0.5</v>
      </c>
      <c r="U6200" s="4" t="str">
        <f>IFERROR(__xludf.DUMMYFUNCTION("""COMPUTED_VALUE"""),"null")</f>
        <v>null</v>
      </c>
      <c r="V6200" s="33">
        <f>IFERROR(__xludf.DUMMYFUNCTION("""COMPUTED_VALUE"""),1.0)</f>
        <v>1</v>
      </c>
      <c r="W6200" s="4" t="str">
        <f>IFERROR(__xludf.DUMMYFUNCTION("""COMPUTED_VALUE"""),"N/A (Not found)")</f>
        <v>N/A (Not found)</v>
      </c>
      <c r="X6200" s="33">
        <f>IFERROR(__xludf.DUMMYFUNCTION("""COMPUTED_VALUE"""),0.5)</f>
        <v>0.5</v>
      </c>
    </row>
    <row r="6201">
      <c r="K6201" s="4" t="str">
        <f>IFERROR(__xludf.DUMMYFUNCTION("""COMPUTED_VALUE"""),"BAKO TEMAKERIA SUSHI BELA VISTA")</f>
        <v>BAKO TEMAKERIA SUSHI BELA VISTA</v>
      </c>
      <c r="L6201" s="32">
        <f>IFERROR(__xludf.DUMMYFUNCTION("""COMPUTED_VALUE"""),2.0)</f>
        <v>2</v>
      </c>
      <c r="M6201" s="4" t="str">
        <f>IFERROR(__xludf.DUMMYFUNCTION("""COMPUTED_VALUE"""),"Saipos Serviços De Software")</f>
        <v>Saipos Serviços De Software</v>
      </c>
      <c r="N6201" s="33">
        <f>IFERROR(__xludf.DUMMYFUNCTION("""COMPUTED_VALUE"""),1.0)</f>
        <v>1</v>
      </c>
      <c r="O6201" s="4" t="str">
        <f>IFERROR(__xludf.DUMMYFUNCTION("""COMPUTED_VALUE"""),"Saipos Serviços De Software")</f>
        <v>Saipos Serviços De Software</v>
      </c>
      <c r="P6201" s="33">
        <f>IFERROR(__xludf.DUMMYFUNCTION("""COMPUTED_VALUE"""),1.0)</f>
        <v>1</v>
      </c>
      <c r="Q6201" s="4" t="str">
        <f>IFERROR(__xludf.DUMMYFUNCTION("""COMPUTED_VALUE"""),"Saipos Serviços De Software")</f>
        <v>Saipos Serviços De Software</v>
      </c>
      <c r="R6201" s="33">
        <f>IFERROR(__xludf.DUMMYFUNCTION("""COMPUTED_VALUE"""),1.0)</f>
        <v>1</v>
      </c>
      <c r="S6201" s="4" t="str">
        <f>IFERROR(__xludf.DUMMYFUNCTION("""COMPUTED_VALUE"""),"Saipos Serviços De Software")</f>
        <v>Saipos Serviços De Software</v>
      </c>
      <c r="T6201" s="33">
        <f>IFERROR(__xludf.DUMMYFUNCTION("""COMPUTED_VALUE"""),0.5)</f>
        <v>0.5</v>
      </c>
      <c r="U6201" s="4" t="str">
        <f>IFERROR(__xludf.DUMMYFUNCTION("""COMPUTED_VALUE"""),"Saipos Serviços De Software")</f>
        <v>Saipos Serviços De Software</v>
      </c>
      <c r="V6201" s="33">
        <f>IFERROR(__xludf.DUMMYFUNCTION("""COMPUTED_VALUE"""),1.0)</f>
        <v>1</v>
      </c>
      <c r="W6201" s="4" t="str">
        <f>IFERROR(__xludf.DUMMYFUNCTION("""COMPUTED_VALUE"""),"Saipos Serviços De Software")</f>
        <v>Saipos Serviços De Software</v>
      </c>
      <c r="X6201" s="33">
        <f>IFERROR(__xludf.DUMMYFUNCTION("""COMPUTED_VALUE"""),0.5)</f>
        <v>0.5</v>
      </c>
    </row>
    <row r="6202">
      <c r="K6202" s="4" t="str">
        <f>IFERROR(__xludf.DUMMYFUNCTION("""COMPUTED_VALUE"""),"SHOP DAS MASSAS - SALGADINHOS")</f>
        <v>SHOP DAS MASSAS - SALGADINHOS</v>
      </c>
      <c r="L6202" s="32">
        <f>IFERROR(__xludf.DUMMYFUNCTION("""COMPUTED_VALUE"""),2.0)</f>
        <v>2</v>
      </c>
      <c r="M6202" s="4" t="str">
        <f>IFERROR(__xludf.DUMMYFUNCTION("""COMPUTED_VALUE"""),"Cardápio Web")</f>
        <v>Cardápio Web</v>
      </c>
      <c r="N6202" s="33">
        <f>IFERROR(__xludf.DUMMYFUNCTION("""COMPUTED_VALUE"""),0.5)</f>
        <v>0.5</v>
      </c>
      <c r="O6202" s="4" t="str">
        <f>IFERROR(__xludf.DUMMYFUNCTION("""COMPUTED_VALUE"""),"Cardápio Web")</f>
        <v>Cardápio Web</v>
      </c>
      <c r="P6202" s="33">
        <f>IFERROR(__xludf.DUMMYFUNCTION("""COMPUTED_VALUE"""),0.5)</f>
        <v>0.5</v>
      </c>
      <c r="Q6202" s="4" t="str">
        <f>IFERROR(__xludf.DUMMYFUNCTION("""COMPUTED_VALUE"""),"Cardápio Web")</f>
        <v>Cardápio Web</v>
      </c>
      <c r="R6202" s="33">
        <f>IFERROR(__xludf.DUMMYFUNCTION("""COMPUTED_VALUE"""),0.5)</f>
        <v>0.5</v>
      </c>
      <c r="S6202" s="4" t="str">
        <f>IFERROR(__xludf.DUMMYFUNCTION("""COMPUTED_VALUE"""),"null")</f>
        <v>null</v>
      </c>
      <c r="T6202" s="33">
        <f>IFERROR(__xludf.DUMMYFUNCTION("""COMPUTED_VALUE"""),0.5)</f>
        <v>0.5</v>
      </c>
      <c r="U6202" s="4" t="str">
        <f>IFERROR(__xludf.DUMMYFUNCTION("""COMPUTED_VALUE"""),"Cardápio Web")</f>
        <v>Cardápio Web</v>
      </c>
      <c r="V6202" s="33">
        <f>IFERROR(__xludf.DUMMYFUNCTION("""COMPUTED_VALUE"""),0.5)</f>
        <v>0.5</v>
      </c>
      <c r="W6202" s="4" t="str">
        <f>IFERROR(__xludf.DUMMYFUNCTION("""COMPUTED_VALUE"""),"Cardápio Web")</f>
        <v>Cardápio Web</v>
      </c>
      <c r="X6202" s="33">
        <f>IFERROR(__xludf.DUMMYFUNCTION("""COMPUTED_VALUE"""),0.5)</f>
        <v>0.5</v>
      </c>
    </row>
    <row r="6203">
      <c r="K6203" s="4" t="str">
        <f>IFERROR(__xludf.DUMMYFUNCTION("""COMPUTED_VALUE"""),"SANTO BURGER - CENTRO")</f>
        <v>SANTO BURGER - CENTRO</v>
      </c>
      <c r="L6203" s="32">
        <f>IFERROR(__xludf.DUMMYFUNCTION("""COMPUTED_VALUE"""),2.0)</f>
        <v>2</v>
      </c>
      <c r="M6203" s="4" t="str">
        <f>IFERROR(__xludf.DUMMYFUNCTION("""COMPUTED_VALUE"""),"Dev10 Soluções Em Sotfware Ltda")</f>
        <v>Dev10 Soluções Em Sotfware Ltda</v>
      </c>
      <c r="N6203" s="33">
        <f>IFERROR(__xludf.DUMMYFUNCTION("""COMPUTED_VALUE"""),0.5)</f>
        <v>0.5</v>
      </c>
      <c r="O6203" s="4" t="str">
        <f>IFERROR(__xludf.DUMMYFUNCTION("""COMPUTED_VALUE"""),"Dev10 Soluções Em Sotfware Ltda")</f>
        <v>Dev10 Soluções Em Sotfware Ltda</v>
      </c>
      <c r="P6203" s="33">
        <f>IFERROR(__xludf.DUMMYFUNCTION("""COMPUTED_VALUE"""),1.0)</f>
        <v>1</v>
      </c>
      <c r="Q6203" s="4" t="str">
        <f>IFERROR(__xludf.DUMMYFUNCTION("""COMPUTED_VALUE"""),"null")</f>
        <v>null</v>
      </c>
      <c r="R6203" s="33">
        <f>IFERROR(__xludf.DUMMYFUNCTION("""COMPUTED_VALUE"""),0.5)</f>
        <v>0.5</v>
      </c>
      <c r="S6203" s="4" t="str">
        <f>IFERROR(__xludf.DUMMYFUNCTION("""COMPUTED_VALUE"""),"null")</f>
        <v>null</v>
      </c>
      <c r="T6203" s="33">
        <f>IFERROR(__xludf.DUMMYFUNCTION("""COMPUTED_VALUE"""),0.5)</f>
        <v>0.5</v>
      </c>
      <c r="U6203" s="4" t="str">
        <f>IFERROR(__xludf.DUMMYFUNCTION("""COMPUTED_VALUE"""),"null")</f>
        <v>null</v>
      </c>
      <c r="V6203" s="33">
        <f>IFERROR(__xludf.DUMMYFUNCTION("""COMPUTED_VALUE"""),0.5)</f>
        <v>0.5</v>
      </c>
      <c r="W6203" s="4" t="str">
        <f>IFERROR(__xludf.DUMMYFUNCTION("""COMPUTED_VALUE"""),"null")</f>
        <v>null</v>
      </c>
      <c r="X6203" s="33">
        <f>IFERROR(__xludf.DUMMYFUNCTION("""COMPUTED_VALUE"""),0.5)</f>
        <v>0.5</v>
      </c>
    </row>
    <row r="6204">
      <c r="K6204" s="4" t="str">
        <f>IFERROR(__xludf.DUMMYFUNCTION("""COMPUTED_VALUE"""),"BOM BURGUER")</f>
        <v>BOM BURGUER</v>
      </c>
      <c r="L6204" s="32">
        <f>IFERROR(__xludf.DUMMYFUNCTION("""COMPUTED_VALUE"""),2.0)</f>
        <v>2</v>
      </c>
      <c r="M6204" s="4" t="str">
        <f>IFERROR(__xludf.DUMMYFUNCTION("""COMPUTED_VALUE"""),"Brendi")</f>
        <v>Brendi</v>
      </c>
      <c r="N6204" s="33">
        <f>IFERROR(__xludf.DUMMYFUNCTION("""COMPUTED_VALUE"""),0.5)</f>
        <v>0.5</v>
      </c>
      <c r="O6204" s="4" t="str">
        <f>IFERROR(__xludf.DUMMYFUNCTION("""COMPUTED_VALUE"""),"Brendi")</f>
        <v>Brendi</v>
      </c>
      <c r="P6204" s="33">
        <f>IFERROR(__xludf.DUMMYFUNCTION("""COMPUTED_VALUE"""),0.5)</f>
        <v>0.5</v>
      </c>
      <c r="Q6204" s="4" t="str">
        <f>IFERROR(__xludf.DUMMYFUNCTION("""COMPUTED_VALUE"""),"Brendi")</f>
        <v>Brendi</v>
      </c>
      <c r="R6204" s="33">
        <f>IFERROR(__xludf.DUMMYFUNCTION("""COMPUTED_VALUE"""),0.5)</f>
        <v>0.5</v>
      </c>
      <c r="S6204" s="4" t="str">
        <f>IFERROR(__xludf.DUMMYFUNCTION("""COMPUTED_VALUE"""),"Brendi")</f>
        <v>Brendi</v>
      </c>
      <c r="T6204" s="33">
        <f>IFERROR(__xludf.DUMMYFUNCTION("""COMPUTED_VALUE"""),0.5)</f>
        <v>0.5</v>
      </c>
      <c r="U6204" s="4" t="str">
        <f>IFERROR(__xludf.DUMMYFUNCTION("""COMPUTED_VALUE"""),"null")</f>
        <v>null</v>
      </c>
      <c r="V6204" s="33">
        <f>IFERROR(__xludf.DUMMYFUNCTION("""COMPUTED_VALUE"""),0.5)</f>
        <v>0.5</v>
      </c>
      <c r="W6204" s="4" t="str">
        <f>IFERROR(__xludf.DUMMYFUNCTION("""COMPUTED_VALUE"""),"null")</f>
        <v>null</v>
      </c>
      <c r="X6204" s="33">
        <f>IFERROR(__xludf.DUMMYFUNCTION("""COMPUTED_VALUE"""),1.0)</f>
        <v>1</v>
      </c>
    </row>
    <row r="6205">
      <c r="K6205" s="4" t="str">
        <f>IFERROR(__xludf.DUMMYFUNCTION("""COMPUTED_VALUE"""),"O PAI DO XIS")</f>
        <v>O PAI DO XIS</v>
      </c>
      <c r="L6205" s="32">
        <f>IFERROR(__xludf.DUMMYFUNCTION("""COMPUTED_VALUE"""),2.0)</f>
        <v>2</v>
      </c>
      <c r="M6205" s="4" t="str">
        <f>IFERROR(__xludf.DUMMYFUNCTION("""COMPUTED_VALUE"""),"Hubster")</f>
        <v>Hubster</v>
      </c>
      <c r="N6205" s="33">
        <f>IFERROR(__xludf.DUMMYFUNCTION("""COMPUTED_VALUE"""),0.5)</f>
        <v>0.5</v>
      </c>
      <c r="O6205" s="4" t="str">
        <f>IFERROR(__xludf.DUMMYFUNCTION("""COMPUTED_VALUE"""),"Hubster")</f>
        <v>Hubster</v>
      </c>
      <c r="P6205" s="33">
        <f>IFERROR(__xludf.DUMMYFUNCTION("""COMPUTED_VALUE"""),0.5)</f>
        <v>0.5</v>
      </c>
      <c r="Q6205" s="4" t="str">
        <f>IFERROR(__xludf.DUMMYFUNCTION("""COMPUTED_VALUE"""),"Hubster")</f>
        <v>Hubster</v>
      </c>
      <c r="R6205" s="33">
        <f>IFERROR(__xludf.DUMMYFUNCTION("""COMPUTED_VALUE"""),0.5)</f>
        <v>0.5</v>
      </c>
      <c r="S6205" s="4" t="str">
        <f>IFERROR(__xludf.DUMMYFUNCTION("""COMPUTED_VALUE"""),"Hubster")</f>
        <v>Hubster</v>
      </c>
      <c r="T6205" s="33">
        <f>IFERROR(__xludf.DUMMYFUNCTION("""COMPUTED_VALUE"""),0.5)</f>
        <v>0.5</v>
      </c>
      <c r="U6205" s="4" t="str">
        <f>IFERROR(__xludf.DUMMYFUNCTION("""COMPUTED_VALUE"""),"Hubster")</f>
        <v>Hubster</v>
      </c>
      <c r="V6205" s="33">
        <f>IFERROR(__xludf.DUMMYFUNCTION("""COMPUTED_VALUE"""),0.5)</f>
        <v>0.5</v>
      </c>
      <c r="W6205" s="4" t="str">
        <f>IFERROR(__xludf.DUMMYFUNCTION("""COMPUTED_VALUE"""),"Hubster")</f>
        <v>Hubster</v>
      </c>
      <c r="X6205" s="33">
        <f>IFERROR(__xludf.DUMMYFUNCTION("""COMPUTED_VALUE"""),0.5)</f>
        <v>0.5</v>
      </c>
    </row>
    <row r="6206">
      <c r="K6206" s="4" t="str">
        <f>IFERROR(__xludf.DUMMYFUNCTION("""COMPUTED_VALUE"""),"DBURGUER HAMBURGUERIA")</f>
        <v>DBURGUER HAMBURGUERIA</v>
      </c>
      <c r="L6206" s="32">
        <f>IFERROR(__xludf.DUMMYFUNCTION("""COMPUTED_VALUE"""),2.0)</f>
        <v>2</v>
      </c>
      <c r="M6206" s="4" t="str">
        <f>IFERROR(__xludf.DUMMYFUNCTION("""COMPUTED_VALUE"""),"null")</f>
        <v>null</v>
      </c>
      <c r="N6206" s="33">
        <f>IFERROR(__xludf.DUMMYFUNCTION("""COMPUTED_VALUE"""),0.5)</f>
        <v>0.5</v>
      </c>
      <c r="O6206" s="4" t="str">
        <f>IFERROR(__xludf.DUMMYFUNCTION("""COMPUTED_VALUE"""),"null")</f>
        <v>null</v>
      </c>
      <c r="P6206" s="33">
        <f>IFERROR(__xludf.DUMMYFUNCTION("""COMPUTED_VALUE"""),0.5)</f>
        <v>0.5</v>
      </c>
      <c r="Q6206" s="4" t="str">
        <f>IFERROR(__xludf.DUMMYFUNCTION("""COMPUTED_VALUE"""),"Brendi")</f>
        <v>Brendi</v>
      </c>
      <c r="R6206" s="33">
        <f>IFERROR(__xludf.DUMMYFUNCTION("""COMPUTED_VALUE"""),0.5)</f>
        <v>0.5</v>
      </c>
      <c r="S6206" s="4" t="str">
        <f>IFERROR(__xludf.DUMMYFUNCTION("""COMPUTED_VALUE"""),"Brendi")</f>
        <v>Brendi</v>
      </c>
      <c r="T6206" s="33">
        <f>IFERROR(__xludf.DUMMYFUNCTION("""COMPUTED_VALUE"""),0.5)</f>
        <v>0.5</v>
      </c>
      <c r="U6206" s="4" t="str">
        <f>IFERROR(__xludf.DUMMYFUNCTION("""COMPUTED_VALUE"""),"Brendi")</f>
        <v>Brendi</v>
      </c>
      <c r="V6206" s="33">
        <f>IFERROR(__xludf.DUMMYFUNCTION("""COMPUTED_VALUE"""),0.5)</f>
        <v>0.5</v>
      </c>
      <c r="W6206" s="4" t="str">
        <f>IFERROR(__xludf.DUMMYFUNCTION("""COMPUTED_VALUE"""),"Brendi")</f>
        <v>Brendi</v>
      </c>
      <c r="X6206" s="33">
        <f>IFERROR(__xludf.DUMMYFUNCTION("""COMPUTED_VALUE"""),0.5)</f>
        <v>0.5</v>
      </c>
    </row>
    <row r="6207">
      <c r="K6207" s="4" t="str">
        <f>IFERROR(__xludf.DUMMYFUNCTION("""COMPUTED_VALUE"""),"PIAUI LANCHES")</f>
        <v>PIAUI LANCHES</v>
      </c>
      <c r="L6207" s="32">
        <f>IFERROR(__xludf.DUMMYFUNCTION("""COMPUTED_VALUE"""),2.0)</f>
        <v>2</v>
      </c>
      <c r="M6207" s="4" t="str">
        <f>IFERROR(__xludf.DUMMYFUNCTION("""COMPUTED_VALUE"""),"Anota Ai Solucoes Digitais S/a")</f>
        <v>Anota Ai Solucoes Digitais S/a</v>
      </c>
      <c r="N6207" s="33">
        <f>IFERROR(__xludf.DUMMYFUNCTION("""COMPUTED_VALUE"""),0.5)</f>
        <v>0.5</v>
      </c>
      <c r="O6207" s="4" t="str">
        <f>IFERROR(__xludf.DUMMYFUNCTION("""COMPUTED_VALUE"""),"Anota Ai Solucoes Digitais S/a")</f>
        <v>Anota Ai Solucoes Digitais S/a</v>
      </c>
      <c r="P6207" s="33">
        <f>IFERROR(__xludf.DUMMYFUNCTION("""COMPUTED_VALUE"""),0.5)</f>
        <v>0.5</v>
      </c>
      <c r="Q6207" s="4" t="str">
        <f>IFERROR(__xludf.DUMMYFUNCTION("""COMPUTED_VALUE"""),"Anota Ai Solucoes Digitais S/a")</f>
        <v>Anota Ai Solucoes Digitais S/a</v>
      </c>
      <c r="R6207" s="33">
        <f>IFERROR(__xludf.DUMMYFUNCTION("""COMPUTED_VALUE"""),0.5)</f>
        <v>0.5</v>
      </c>
      <c r="S6207" s="4" t="str">
        <f>IFERROR(__xludf.DUMMYFUNCTION("""COMPUTED_VALUE"""),"Anota Ai Solucoes Digitais S/a")</f>
        <v>Anota Ai Solucoes Digitais S/a</v>
      </c>
      <c r="T6207" s="33">
        <f>IFERROR(__xludf.DUMMYFUNCTION("""COMPUTED_VALUE"""),0.5)</f>
        <v>0.5</v>
      </c>
      <c r="U6207" s="4" t="str">
        <f>IFERROR(__xludf.DUMMYFUNCTION("""COMPUTED_VALUE"""),"Anota Ai Solucoes Digitais S/a")</f>
        <v>Anota Ai Solucoes Digitais S/a</v>
      </c>
      <c r="V6207" s="33">
        <f>IFERROR(__xludf.DUMMYFUNCTION("""COMPUTED_VALUE"""),0.5)</f>
        <v>0.5</v>
      </c>
      <c r="W6207" s="4" t="str">
        <f>IFERROR(__xludf.DUMMYFUNCTION("""COMPUTED_VALUE"""),"null")</f>
        <v>null</v>
      </c>
      <c r="X6207" s="33">
        <f>IFERROR(__xludf.DUMMYFUNCTION("""COMPUTED_VALUE"""),0.5)</f>
        <v>0.5</v>
      </c>
    </row>
    <row r="6208">
      <c r="K6208" s="4" t="str">
        <f>IFERROR(__xludf.DUMMYFUNCTION("""COMPUTED_VALUE"""),"STOUT PIZZA")</f>
        <v>STOUT PIZZA</v>
      </c>
      <c r="L6208" s="32">
        <f>IFERROR(__xludf.DUMMYFUNCTION("""COMPUTED_VALUE"""),2.0)</f>
        <v>2</v>
      </c>
      <c r="M6208" s="4" t="str">
        <f>IFERROR(__xludf.DUMMYFUNCTION("""COMPUTED_VALUE"""),"null")</f>
        <v>null</v>
      </c>
      <c r="N6208" s="33">
        <f>IFERROR(__xludf.DUMMYFUNCTION("""COMPUTED_VALUE"""),0.5)</f>
        <v>0.5</v>
      </c>
      <c r="O6208" s="4" t="str">
        <f>IFERROR(__xludf.DUMMYFUNCTION("""COMPUTED_VALUE"""),"null")</f>
        <v>null</v>
      </c>
      <c r="P6208" s="33">
        <f>IFERROR(__xludf.DUMMYFUNCTION("""COMPUTED_VALUE"""),0.5)</f>
        <v>0.5</v>
      </c>
      <c r="Q6208" s="4" t="str">
        <f>IFERROR(__xludf.DUMMYFUNCTION("""COMPUTED_VALUE"""),"Parseint Desenvolvimento De Sistemas Ltda")</f>
        <v>Parseint Desenvolvimento De Sistemas Ltda</v>
      </c>
      <c r="R6208" s="33">
        <f>IFERROR(__xludf.DUMMYFUNCTION("""COMPUTED_VALUE"""),0.5)</f>
        <v>0.5</v>
      </c>
      <c r="S6208" s="4" t="str">
        <f>IFERROR(__xludf.DUMMYFUNCTION("""COMPUTED_VALUE"""),"Parseint Desenvolvimento De Sistemas Ltda")</f>
        <v>Parseint Desenvolvimento De Sistemas Ltda</v>
      </c>
      <c r="T6208" s="33">
        <f>IFERROR(__xludf.DUMMYFUNCTION("""COMPUTED_VALUE"""),0.5)</f>
        <v>0.5</v>
      </c>
      <c r="U6208" s="4" t="str">
        <f>IFERROR(__xludf.DUMMYFUNCTION("""COMPUTED_VALUE"""),"Parseint Desenvolvimento De Sistemas Ltda")</f>
        <v>Parseint Desenvolvimento De Sistemas Ltda</v>
      </c>
      <c r="V6208" s="33">
        <f>IFERROR(__xludf.DUMMYFUNCTION("""COMPUTED_VALUE"""),0.5)</f>
        <v>0.5</v>
      </c>
      <c r="W6208" s="4" t="str">
        <f>IFERROR(__xludf.DUMMYFUNCTION("""COMPUTED_VALUE"""),"Parseint Desenvolvimento De Sistemas Ltda")</f>
        <v>Parseint Desenvolvimento De Sistemas Ltda</v>
      </c>
      <c r="X6208" s="33">
        <f>IFERROR(__xludf.DUMMYFUNCTION("""COMPUTED_VALUE"""),0.5)</f>
        <v>0.5</v>
      </c>
    </row>
    <row r="6209">
      <c r="K6209" s="4" t="str">
        <f>IFERROR(__xludf.DUMMYFUNCTION("""COMPUTED_VALUE"""),"PIZZARIA LUNA - DELIVERY RAPIDO")</f>
        <v>PIZZARIA LUNA - DELIVERY RAPIDO</v>
      </c>
      <c r="L6209" s="32">
        <f>IFERROR(__xludf.DUMMYFUNCTION("""COMPUTED_VALUE"""),2.0)</f>
        <v>2</v>
      </c>
      <c r="M6209" s="4" t="str">
        <f>IFERROR(__xludf.DUMMYFUNCTION("""COMPUTED_VALUE"""),"Mp Multipedidos")</f>
        <v>Mp Multipedidos</v>
      </c>
      <c r="N6209" s="33">
        <f>IFERROR(__xludf.DUMMYFUNCTION("""COMPUTED_VALUE"""),1.0)</f>
        <v>1</v>
      </c>
      <c r="O6209" s="4" t="str">
        <f>IFERROR(__xludf.DUMMYFUNCTION("""COMPUTED_VALUE"""),"Mp Multipedidos")</f>
        <v>Mp Multipedidos</v>
      </c>
      <c r="P6209" s="33">
        <f>IFERROR(__xludf.DUMMYFUNCTION("""COMPUTED_VALUE"""),0.5)</f>
        <v>0.5</v>
      </c>
      <c r="Q6209" s="4" t="str">
        <f>IFERROR(__xludf.DUMMYFUNCTION("""COMPUTED_VALUE"""),"Mp Multipedidos")</f>
        <v>Mp Multipedidos</v>
      </c>
      <c r="R6209" s="33">
        <f>IFERROR(__xludf.DUMMYFUNCTION("""COMPUTED_VALUE"""),1.0)</f>
        <v>1</v>
      </c>
      <c r="S6209" s="4" t="str">
        <f>IFERROR(__xludf.DUMMYFUNCTION("""COMPUTED_VALUE"""),"Mp Multipedidos")</f>
        <v>Mp Multipedidos</v>
      </c>
      <c r="T6209" s="33">
        <f>IFERROR(__xludf.DUMMYFUNCTION("""COMPUTED_VALUE"""),0.5)</f>
        <v>0.5</v>
      </c>
      <c r="U6209" s="4" t="str">
        <f>IFERROR(__xludf.DUMMYFUNCTION("""COMPUTED_VALUE"""),"null")</f>
        <v>null</v>
      </c>
      <c r="V6209" s="33">
        <f>IFERROR(__xludf.DUMMYFUNCTION("""COMPUTED_VALUE"""),0.5)</f>
        <v>0.5</v>
      </c>
      <c r="W6209" s="4" t="str">
        <f>IFERROR(__xludf.DUMMYFUNCTION("""COMPUTED_VALUE"""),"Mp Multipedidos")</f>
        <v>Mp Multipedidos</v>
      </c>
      <c r="X6209" s="33">
        <f>IFERROR(__xludf.DUMMYFUNCTION("""COMPUTED_VALUE"""),0.5)</f>
        <v>0.5</v>
      </c>
    </row>
    <row r="6210">
      <c r="K6210" s="4" t="str">
        <f>IFERROR(__xludf.DUMMYFUNCTION("""COMPUTED_VALUE"""),"FATIADOS BBQ")</f>
        <v>FATIADOS BBQ</v>
      </c>
      <c r="L6210" s="32">
        <f>IFERROR(__xludf.DUMMYFUNCTION("""COMPUTED_VALUE"""),2.0)</f>
        <v>2</v>
      </c>
      <c r="M6210" s="4" t="str">
        <f>IFERROR(__xludf.DUMMYFUNCTION("""COMPUTED_VALUE"""),"null")</f>
        <v>null</v>
      </c>
      <c r="N6210" s="33">
        <f>IFERROR(__xludf.DUMMYFUNCTION("""COMPUTED_VALUE"""),0.5)</f>
        <v>0.5</v>
      </c>
      <c r="O6210" s="4" t="str">
        <f>IFERROR(__xludf.DUMMYFUNCTION("""COMPUTED_VALUE"""),"Anota Ai Solucoes Digitais S/a")</f>
        <v>Anota Ai Solucoes Digitais S/a</v>
      </c>
      <c r="P6210" s="33">
        <f>IFERROR(__xludf.DUMMYFUNCTION("""COMPUTED_VALUE"""),0.5)</f>
        <v>0.5</v>
      </c>
      <c r="Q6210" s="4" t="str">
        <f>IFERROR(__xludf.DUMMYFUNCTION("""COMPUTED_VALUE"""),"Anota Ai Solucoes Digitais S/a")</f>
        <v>Anota Ai Solucoes Digitais S/a</v>
      </c>
      <c r="R6210" s="33">
        <f>IFERROR(__xludf.DUMMYFUNCTION("""COMPUTED_VALUE"""),0.5)</f>
        <v>0.5</v>
      </c>
      <c r="S6210" s="4" t="str">
        <f>IFERROR(__xludf.DUMMYFUNCTION("""COMPUTED_VALUE"""),"Anota Ai Solucoes Digitais S/a")</f>
        <v>Anota Ai Solucoes Digitais S/a</v>
      </c>
      <c r="T6210" s="33">
        <f>IFERROR(__xludf.DUMMYFUNCTION("""COMPUTED_VALUE"""),0.5)</f>
        <v>0.5</v>
      </c>
      <c r="U6210" s="4" t="str">
        <f>IFERROR(__xludf.DUMMYFUNCTION("""COMPUTED_VALUE"""),"Anota Ai Solucoes Digitais S/a")</f>
        <v>Anota Ai Solucoes Digitais S/a</v>
      </c>
      <c r="V6210" s="33">
        <f>IFERROR(__xludf.DUMMYFUNCTION("""COMPUTED_VALUE"""),0.5)</f>
        <v>0.5</v>
      </c>
      <c r="W6210" s="4" t="str">
        <f>IFERROR(__xludf.DUMMYFUNCTION("""COMPUTED_VALUE"""),"null")</f>
        <v>null</v>
      </c>
      <c r="X6210" s="33">
        <f>IFERROR(__xludf.DUMMYFUNCTION("""COMPUTED_VALUE"""),1.0)</f>
        <v>1</v>
      </c>
    </row>
    <row r="6211">
      <c r="K6211" s="4" t="str">
        <f>IFERROR(__xludf.DUMMYFUNCTION("""COMPUTED_VALUE"""),"BBQ BURGER")</f>
        <v>BBQ BURGER</v>
      </c>
      <c r="L6211" s="32">
        <f>IFERROR(__xludf.DUMMYFUNCTION("""COMPUTED_VALUE"""),2.0)</f>
        <v>2</v>
      </c>
      <c r="M6211" s="4" t="str">
        <f>IFERROR(__xludf.DUMMYFUNCTION("""COMPUTED_VALUE"""),"Mapp Sistemas")</f>
        <v>Mapp Sistemas</v>
      </c>
      <c r="N6211" s="33">
        <f>IFERROR(__xludf.DUMMYFUNCTION("""COMPUTED_VALUE"""),0.5)</f>
        <v>0.5</v>
      </c>
      <c r="O6211" s="4" t="str">
        <f>IFERROR(__xludf.DUMMYFUNCTION("""COMPUTED_VALUE"""),"Mapp Sistemas")</f>
        <v>Mapp Sistemas</v>
      </c>
      <c r="P6211" s="33">
        <f>IFERROR(__xludf.DUMMYFUNCTION("""COMPUTED_VALUE"""),0.5)</f>
        <v>0.5</v>
      </c>
      <c r="Q6211" s="4" t="str">
        <f>IFERROR(__xludf.DUMMYFUNCTION("""COMPUTED_VALUE"""),"Mapp Sistemas")</f>
        <v>Mapp Sistemas</v>
      </c>
      <c r="R6211" s="33">
        <f>IFERROR(__xludf.DUMMYFUNCTION("""COMPUTED_VALUE"""),0.5)</f>
        <v>0.5</v>
      </c>
      <c r="S6211" s="4" t="str">
        <f>IFERROR(__xludf.DUMMYFUNCTION("""COMPUTED_VALUE"""),"Mapp Sistemas")</f>
        <v>Mapp Sistemas</v>
      </c>
      <c r="T6211" s="33">
        <f>IFERROR(__xludf.DUMMYFUNCTION("""COMPUTED_VALUE"""),0.5)</f>
        <v>0.5</v>
      </c>
      <c r="U6211" s="4" t="str">
        <f>IFERROR(__xludf.DUMMYFUNCTION("""COMPUTED_VALUE"""),"Mapp Sistemas")</f>
        <v>Mapp Sistemas</v>
      </c>
      <c r="V6211" s="33">
        <f>IFERROR(__xludf.DUMMYFUNCTION("""COMPUTED_VALUE"""),0.5)</f>
        <v>0.5</v>
      </c>
      <c r="W6211" s="4" t="str">
        <f>IFERROR(__xludf.DUMMYFUNCTION("""COMPUTED_VALUE"""),"Mapp Sistemas")</f>
        <v>Mapp Sistemas</v>
      </c>
      <c r="X6211" s="33">
        <f>IFERROR(__xludf.DUMMYFUNCTION("""COMPUTED_VALUE"""),0.5)</f>
        <v>0.5</v>
      </c>
    </row>
    <row r="6212">
      <c r="K6212" s="4" t="str">
        <f>IFERROR(__xludf.DUMMYFUNCTION("""COMPUTED_VALUE"""),"PANINE")</f>
        <v>PANINE</v>
      </c>
      <c r="L6212" s="32">
        <f>IFERROR(__xludf.DUMMYFUNCTION("""COMPUTED_VALUE"""),2.0)</f>
        <v>2</v>
      </c>
      <c r="M6212" s="4" t="str">
        <f>IFERROR(__xludf.DUMMYFUNCTION("""COMPUTED_VALUE"""),"Beefood - Sistema Para Restaurantes")</f>
        <v>Beefood - Sistema Para Restaurantes</v>
      </c>
      <c r="N6212" s="33">
        <f>IFERROR(__xludf.DUMMYFUNCTION("""COMPUTED_VALUE"""),0.5)</f>
        <v>0.5</v>
      </c>
      <c r="O6212" s="4" t="str">
        <f>IFERROR(__xludf.DUMMYFUNCTION("""COMPUTED_VALUE"""),"Beefood - Sistema Para Restaurantes")</f>
        <v>Beefood - Sistema Para Restaurantes</v>
      </c>
      <c r="P6212" s="33">
        <f>IFERROR(__xludf.DUMMYFUNCTION("""COMPUTED_VALUE"""),1.0)</f>
        <v>1</v>
      </c>
      <c r="Q6212" s="4" t="str">
        <f>IFERROR(__xludf.DUMMYFUNCTION("""COMPUTED_VALUE"""),"Beefood - Sistema Para Restaurantes")</f>
        <v>Beefood - Sistema Para Restaurantes</v>
      </c>
      <c r="R6212" s="33">
        <f>IFERROR(__xludf.DUMMYFUNCTION("""COMPUTED_VALUE"""),1.0)</f>
        <v>1</v>
      </c>
      <c r="S6212" s="4" t="str">
        <f>IFERROR(__xludf.DUMMYFUNCTION("""COMPUTED_VALUE"""),"Beefood - Sistema Para Restaurantes")</f>
        <v>Beefood - Sistema Para Restaurantes</v>
      </c>
      <c r="T6212" s="33">
        <f>IFERROR(__xludf.DUMMYFUNCTION("""COMPUTED_VALUE"""),1.0)</f>
        <v>1</v>
      </c>
      <c r="U6212" s="4" t="str">
        <f>IFERROR(__xludf.DUMMYFUNCTION("""COMPUTED_VALUE"""),"Beefood - Sistema Para Restaurantes")</f>
        <v>Beefood - Sistema Para Restaurantes</v>
      </c>
      <c r="V6212" s="33">
        <f>IFERROR(__xludf.DUMMYFUNCTION("""COMPUTED_VALUE"""),1.0)</f>
        <v>1</v>
      </c>
      <c r="W6212" s="4" t="str">
        <f>IFERROR(__xludf.DUMMYFUNCTION("""COMPUTED_VALUE"""),"Beefood - Sistema Para Restaurantes")</f>
        <v>Beefood - Sistema Para Restaurantes</v>
      </c>
      <c r="X6212" s="33">
        <f>IFERROR(__xludf.DUMMYFUNCTION("""COMPUTED_VALUE"""),1.0)</f>
        <v>1</v>
      </c>
    </row>
    <row r="6213">
      <c r="K6213" s="4" t="str">
        <f>IFERROR(__xludf.DUMMYFUNCTION("""COMPUTED_VALUE"""),"SHOWRRASCO STEAKHOUSE")</f>
        <v>SHOWRRASCO STEAKHOUSE</v>
      </c>
      <c r="L6213" s="32">
        <f>IFERROR(__xludf.DUMMYFUNCTION("""COMPUTED_VALUE"""),2.0)</f>
        <v>2</v>
      </c>
      <c r="M6213" s="4" t="str">
        <f>IFERROR(__xludf.DUMMYFUNCTION("""COMPUTED_VALUE"""),"Cardápio Web")</f>
        <v>Cardápio Web</v>
      </c>
      <c r="N6213" s="33">
        <f>IFERROR(__xludf.DUMMYFUNCTION("""COMPUTED_VALUE"""),0.5)</f>
        <v>0.5</v>
      </c>
      <c r="O6213" s="4" t="str">
        <f>IFERROR(__xludf.DUMMYFUNCTION("""COMPUTED_VALUE"""),"Cardápio Web")</f>
        <v>Cardápio Web</v>
      </c>
      <c r="P6213" s="33">
        <f>IFERROR(__xludf.DUMMYFUNCTION("""COMPUTED_VALUE"""),0.5)</f>
        <v>0.5</v>
      </c>
      <c r="Q6213" s="4" t="str">
        <f>IFERROR(__xludf.DUMMYFUNCTION("""COMPUTED_VALUE"""),"Cardápio Web")</f>
        <v>Cardápio Web</v>
      </c>
      <c r="R6213" s="33">
        <f>IFERROR(__xludf.DUMMYFUNCTION("""COMPUTED_VALUE"""),1.0)</f>
        <v>1</v>
      </c>
      <c r="S6213" s="4" t="str">
        <f>IFERROR(__xludf.DUMMYFUNCTION("""COMPUTED_VALUE"""),"Cardápio Web")</f>
        <v>Cardápio Web</v>
      </c>
      <c r="T6213" s="33">
        <f>IFERROR(__xludf.DUMMYFUNCTION("""COMPUTED_VALUE"""),0.5)</f>
        <v>0.5</v>
      </c>
      <c r="U6213" s="4" t="str">
        <f>IFERROR(__xludf.DUMMYFUNCTION("""COMPUTED_VALUE"""),"Cardápio Web")</f>
        <v>Cardápio Web</v>
      </c>
      <c r="V6213" s="33">
        <f>IFERROR(__xludf.DUMMYFUNCTION("""COMPUTED_VALUE"""),0.5)</f>
        <v>0.5</v>
      </c>
      <c r="W6213" s="4" t="str">
        <f>IFERROR(__xludf.DUMMYFUNCTION("""COMPUTED_VALUE"""),"Cardápio Web")</f>
        <v>Cardápio Web</v>
      </c>
      <c r="X6213" s="33">
        <f>IFERROR(__xludf.DUMMYFUNCTION("""COMPUTED_VALUE"""),0.5)</f>
        <v>0.5</v>
      </c>
    </row>
    <row r="6214">
      <c r="K6214" s="4" t="str">
        <f>IFERROR(__xludf.DUMMYFUNCTION("""COMPUTED_VALUE"""),"PIZZARIA EMOJI - AS MELHORES PIZZA")</f>
        <v>PIZZARIA EMOJI - AS MELHORES PIZZA</v>
      </c>
      <c r="L6214" s="32">
        <f>IFERROR(__xludf.DUMMYFUNCTION("""COMPUTED_VALUE"""),2.0)</f>
        <v>2</v>
      </c>
      <c r="M6214" s="4" t="str">
        <f>IFERROR(__xludf.DUMMYFUNCTION("""COMPUTED_VALUE"""),"null")</f>
        <v>null</v>
      </c>
      <c r="N6214" s="33">
        <f>IFERROR(__xludf.DUMMYFUNCTION("""COMPUTED_VALUE"""),0.5)</f>
        <v>0.5</v>
      </c>
      <c r="O6214" s="4" t="str">
        <f>IFERROR(__xludf.DUMMYFUNCTION("""COMPUTED_VALUE"""),"null")</f>
        <v>null</v>
      </c>
      <c r="P6214" s="33">
        <f>IFERROR(__xludf.DUMMYFUNCTION("""COMPUTED_VALUE"""),0.5)</f>
        <v>0.5</v>
      </c>
      <c r="Q6214" s="4" t="str">
        <f>IFERROR(__xludf.DUMMYFUNCTION("""COMPUTED_VALUE"""),"null")</f>
        <v>null</v>
      </c>
      <c r="R6214" s="33">
        <f>IFERROR(__xludf.DUMMYFUNCTION("""COMPUTED_VALUE"""),0.5)</f>
        <v>0.5</v>
      </c>
      <c r="S6214" s="4" t="str">
        <f>IFERROR(__xludf.DUMMYFUNCTION("""COMPUTED_VALUE"""),"null")</f>
        <v>null</v>
      </c>
      <c r="T6214" s="33">
        <f>IFERROR(__xludf.DUMMYFUNCTION("""COMPUTED_VALUE"""),0.5)</f>
        <v>0.5</v>
      </c>
      <c r="U6214" s="4" t="str">
        <f>IFERROR(__xludf.DUMMYFUNCTION("""COMPUTED_VALUE"""),"Instadelivery")</f>
        <v>Instadelivery</v>
      </c>
      <c r="V6214" s="33">
        <f>IFERROR(__xludf.DUMMYFUNCTION("""COMPUTED_VALUE"""),1.0)</f>
        <v>1</v>
      </c>
      <c r="W6214" s="4" t="str">
        <f>IFERROR(__xludf.DUMMYFUNCTION("""COMPUTED_VALUE"""),"Instadelivery")</f>
        <v>Instadelivery</v>
      </c>
      <c r="X6214" s="33">
        <f>IFERROR(__xludf.DUMMYFUNCTION("""COMPUTED_VALUE"""),0.5)</f>
        <v>0.5</v>
      </c>
    </row>
    <row r="6215">
      <c r="K6215" s="4" t="str">
        <f>IFERROR(__xludf.DUMMYFUNCTION("""COMPUTED_VALUE"""),"GO PIZZAS")</f>
        <v>GO PIZZAS</v>
      </c>
      <c r="L6215" s="32">
        <f>IFERROR(__xludf.DUMMYFUNCTION("""COMPUTED_VALUE"""),2.0)</f>
        <v>2</v>
      </c>
      <c r="M6215" s="4" t="str">
        <f>IFERROR(__xludf.DUMMYFUNCTION("""COMPUTED_VALUE"""),"null")</f>
        <v>null</v>
      </c>
      <c r="N6215" s="33">
        <f>IFERROR(__xludf.DUMMYFUNCTION("""COMPUTED_VALUE"""),1.0)</f>
        <v>1</v>
      </c>
      <c r="O6215" s="4" t="str">
        <f>IFERROR(__xludf.DUMMYFUNCTION("""COMPUTED_VALUE"""),"Saipos Serviços De Software")</f>
        <v>Saipos Serviços De Software</v>
      </c>
      <c r="P6215" s="33">
        <f>IFERROR(__xludf.DUMMYFUNCTION("""COMPUTED_VALUE"""),0.5)</f>
        <v>0.5</v>
      </c>
      <c r="Q6215" s="4" t="str">
        <f>IFERROR(__xludf.DUMMYFUNCTION("""COMPUTED_VALUE"""),"null")</f>
        <v>null</v>
      </c>
      <c r="R6215" s="33">
        <f>IFERROR(__xludf.DUMMYFUNCTION("""COMPUTED_VALUE"""),1.0)</f>
        <v>1</v>
      </c>
      <c r="S6215" s="4" t="str">
        <f>IFERROR(__xludf.DUMMYFUNCTION("""COMPUTED_VALUE"""),"Saipos Serviços De Software")</f>
        <v>Saipos Serviços De Software</v>
      </c>
      <c r="T6215" s="33">
        <f>IFERROR(__xludf.DUMMYFUNCTION("""COMPUTED_VALUE"""),0.5)</f>
        <v>0.5</v>
      </c>
      <c r="U6215" s="4" t="str">
        <f>IFERROR(__xludf.DUMMYFUNCTION("""COMPUTED_VALUE"""),"Saipos Serviços De Software")</f>
        <v>Saipos Serviços De Software</v>
      </c>
      <c r="V6215" s="33">
        <f>IFERROR(__xludf.DUMMYFUNCTION("""COMPUTED_VALUE"""),0.5)</f>
        <v>0.5</v>
      </c>
      <c r="W6215" s="4" t="str">
        <f>IFERROR(__xludf.DUMMYFUNCTION("""COMPUTED_VALUE"""),"Saipos Serviços De Software")</f>
        <v>Saipos Serviços De Software</v>
      </c>
      <c r="X6215" s="33">
        <f>IFERROR(__xludf.DUMMYFUNCTION("""COMPUTED_VALUE"""),0.5)</f>
        <v>0.5</v>
      </c>
    </row>
    <row r="6216">
      <c r="K6216" s="4" t="str">
        <f>IFERROR(__xludf.DUMMYFUNCTION("""COMPUTED_VALUE"""),"SUPERMERCADO MEURER")</f>
        <v>SUPERMERCADO MEURER</v>
      </c>
      <c r="L6216" s="32">
        <f>IFERROR(__xludf.DUMMYFUNCTION("""COMPUTED_VALUE"""),2.0)</f>
        <v>2</v>
      </c>
      <c r="M6216" s="4" t="str">
        <f>IFERROR(__xludf.DUMMYFUNCTION("""COMPUTED_VALUE"""),"null")</f>
        <v>null</v>
      </c>
      <c r="N6216" s="33">
        <f>IFERROR(__xludf.DUMMYFUNCTION("""COMPUTED_VALUE"""),1.0)</f>
        <v>1</v>
      </c>
      <c r="O6216" s="4" t="str">
        <f>IFERROR(__xludf.DUMMYFUNCTION("""COMPUTED_VALUE"""),"N/A (Not found)")</f>
        <v>N/A (Not found)</v>
      </c>
      <c r="P6216" s="33">
        <f>IFERROR(__xludf.DUMMYFUNCTION("""COMPUTED_VALUE"""),0.5)</f>
        <v>0.5</v>
      </c>
      <c r="Q6216" s="4" t="str">
        <f>IFERROR(__xludf.DUMMYFUNCTION("""COMPUTED_VALUE"""),"N/A (Not found)")</f>
        <v>N/A (Not found)</v>
      </c>
      <c r="R6216" s="33">
        <f>IFERROR(__xludf.DUMMYFUNCTION("""COMPUTED_VALUE"""),0.5)</f>
        <v>0.5</v>
      </c>
      <c r="S6216" s="4" t="str">
        <f>IFERROR(__xludf.DUMMYFUNCTION("""COMPUTED_VALUE"""),"N/A (Not found)")</f>
        <v>N/A (Not found)</v>
      </c>
      <c r="T6216" s="33">
        <f>IFERROR(__xludf.DUMMYFUNCTION("""COMPUTED_VALUE"""),0.5)</f>
        <v>0.5</v>
      </c>
      <c r="U6216" s="4" t="str">
        <f>IFERROR(__xludf.DUMMYFUNCTION("""COMPUTED_VALUE"""),"null")</f>
        <v>null</v>
      </c>
      <c r="V6216" s="33">
        <f>IFERROR(__xludf.DUMMYFUNCTION("""COMPUTED_VALUE"""),0.5)</f>
        <v>0.5</v>
      </c>
      <c r="W6216" s="4" t="str">
        <f>IFERROR(__xludf.DUMMYFUNCTION("""COMPUTED_VALUE"""),"null")</f>
        <v>null</v>
      </c>
      <c r="X6216" s="33">
        <f>IFERROR(__xludf.DUMMYFUNCTION("""COMPUTED_VALUE"""),1.0)</f>
        <v>1</v>
      </c>
    </row>
    <row r="6217">
      <c r="K6217" s="4" t="str">
        <f>IFERROR(__xludf.DUMMYFUNCTION("""COMPUTED_VALUE"""),"ZE DO BAURU - XIS, LANCHES E PORCOES")</f>
        <v>ZE DO BAURU - XIS, LANCHES E PORCOES</v>
      </c>
      <c r="L6217" s="32">
        <f>IFERROR(__xludf.DUMMYFUNCTION("""COMPUTED_VALUE"""),2.0)</f>
        <v>2</v>
      </c>
      <c r="M6217" s="4" t="str">
        <f>IFERROR(__xludf.DUMMYFUNCTION("""COMPUTED_VALUE"""),"Saipos Serviços De Software")</f>
        <v>Saipos Serviços De Software</v>
      </c>
      <c r="N6217" s="33">
        <f>IFERROR(__xludf.DUMMYFUNCTION("""COMPUTED_VALUE"""),1.0)</f>
        <v>1</v>
      </c>
      <c r="O6217" s="4" t="str">
        <f>IFERROR(__xludf.DUMMYFUNCTION("""COMPUTED_VALUE"""),"Saipos Serviços De Software")</f>
        <v>Saipos Serviços De Software</v>
      </c>
      <c r="P6217" s="33">
        <f>IFERROR(__xludf.DUMMYFUNCTION("""COMPUTED_VALUE"""),1.0)</f>
        <v>1</v>
      </c>
      <c r="Q6217" s="4" t="str">
        <f>IFERROR(__xludf.DUMMYFUNCTION("""COMPUTED_VALUE"""),"Saipos Serviços De Software")</f>
        <v>Saipos Serviços De Software</v>
      </c>
      <c r="R6217" s="33">
        <f>IFERROR(__xludf.DUMMYFUNCTION("""COMPUTED_VALUE"""),1.0)</f>
        <v>1</v>
      </c>
      <c r="S6217" s="4" t="str">
        <f>IFERROR(__xludf.DUMMYFUNCTION("""COMPUTED_VALUE"""),"Saipos Serviços De Software")</f>
        <v>Saipos Serviços De Software</v>
      </c>
      <c r="T6217" s="33">
        <f>IFERROR(__xludf.DUMMYFUNCTION("""COMPUTED_VALUE"""),1.0)</f>
        <v>1</v>
      </c>
      <c r="U6217" s="4" t="str">
        <f>IFERROR(__xludf.DUMMYFUNCTION("""COMPUTED_VALUE"""),"Saipos Serviços De Software")</f>
        <v>Saipos Serviços De Software</v>
      </c>
      <c r="V6217" s="33">
        <f>IFERROR(__xludf.DUMMYFUNCTION("""COMPUTED_VALUE"""),1.0)</f>
        <v>1</v>
      </c>
      <c r="W6217" s="4" t="str">
        <f>IFERROR(__xludf.DUMMYFUNCTION("""COMPUTED_VALUE"""),"Saipos Serviços De Software")</f>
        <v>Saipos Serviços De Software</v>
      </c>
      <c r="X6217" s="33">
        <f>IFERROR(__xludf.DUMMYFUNCTION("""COMPUTED_VALUE"""),1.0)</f>
        <v>1</v>
      </c>
    </row>
    <row r="6218">
      <c r="K6218" s="4" t="str">
        <f>IFERROR(__xludf.DUMMYFUNCTION("""COMPUTED_VALUE"""),"OBA ACAI")</f>
        <v>OBA ACAI</v>
      </c>
      <c r="L6218" s="32">
        <f>IFERROR(__xludf.DUMMYFUNCTION("""COMPUTED_VALUE"""),2.0)</f>
        <v>2</v>
      </c>
      <c r="M6218" s="4" t="str">
        <f>IFERROR(__xludf.DUMMYFUNCTION("""COMPUTED_VALUE"""),"Brendi")</f>
        <v>Brendi</v>
      </c>
      <c r="N6218" s="33">
        <f>IFERROR(__xludf.DUMMYFUNCTION("""COMPUTED_VALUE"""),0.5)</f>
        <v>0.5</v>
      </c>
      <c r="O6218" s="4" t="str">
        <f>IFERROR(__xludf.DUMMYFUNCTION("""COMPUTED_VALUE"""),"Brendi")</f>
        <v>Brendi</v>
      </c>
      <c r="P6218" s="33">
        <f>IFERROR(__xludf.DUMMYFUNCTION("""COMPUTED_VALUE"""),0.5)</f>
        <v>0.5</v>
      </c>
      <c r="Q6218" s="4" t="str">
        <f>IFERROR(__xludf.DUMMYFUNCTION("""COMPUTED_VALUE"""),"Brendi")</f>
        <v>Brendi</v>
      </c>
      <c r="R6218" s="33">
        <f>IFERROR(__xludf.DUMMYFUNCTION("""COMPUTED_VALUE"""),0.5)</f>
        <v>0.5</v>
      </c>
      <c r="S6218" s="4" t="str">
        <f>IFERROR(__xludf.DUMMYFUNCTION("""COMPUTED_VALUE"""),"Brendi")</f>
        <v>Brendi</v>
      </c>
      <c r="T6218" s="33">
        <f>IFERROR(__xludf.DUMMYFUNCTION("""COMPUTED_VALUE"""),0.5)</f>
        <v>0.5</v>
      </c>
      <c r="U6218" s="4" t="str">
        <f>IFERROR(__xludf.DUMMYFUNCTION("""COMPUTED_VALUE"""),"null")</f>
        <v>null</v>
      </c>
      <c r="V6218" s="33">
        <f>IFERROR(__xludf.DUMMYFUNCTION("""COMPUTED_VALUE"""),0.5)</f>
        <v>0.5</v>
      </c>
      <c r="W6218" s="4" t="str">
        <f>IFERROR(__xludf.DUMMYFUNCTION("""COMPUTED_VALUE"""),"null")</f>
        <v>null</v>
      </c>
      <c r="X6218" s="33">
        <f>IFERROR(__xludf.DUMMYFUNCTION("""COMPUTED_VALUE"""),0.5)</f>
        <v>0.5</v>
      </c>
    </row>
    <row r="6219">
      <c r="K6219" s="4" t="str">
        <f>IFERROR(__xludf.DUMMYFUNCTION("""COMPUTED_VALUE"""),"THE BEST - HOT-DOG GOURMET")</f>
        <v>THE BEST - HOT-DOG GOURMET</v>
      </c>
      <c r="L6219" s="32">
        <f>IFERROR(__xludf.DUMMYFUNCTION("""COMPUTED_VALUE"""),2.0)</f>
        <v>2</v>
      </c>
      <c r="M6219" s="4" t="str">
        <f>IFERROR(__xludf.DUMMYFUNCTION("""COMPUTED_VALUE"""),"null")</f>
        <v>null</v>
      </c>
      <c r="N6219" s="33">
        <f>IFERROR(__xludf.DUMMYFUNCTION("""COMPUTED_VALUE"""),0.5)</f>
        <v>0.5</v>
      </c>
      <c r="O6219" s="4" t="str">
        <f>IFERROR(__xludf.DUMMYFUNCTION("""COMPUTED_VALUE"""),"null")</f>
        <v>null</v>
      </c>
      <c r="P6219" s="33">
        <f>IFERROR(__xludf.DUMMYFUNCTION("""COMPUTED_VALUE"""),0.5)</f>
        <v>0.5</v>
      </c>
      <c r="Q6219" s="4" t="str">
        <f>IFERROR(__xludf.DUMMYFUNCTION("""COMPUTED_VALUE"""),"null")</f>
        <v>null</v>
      </c>
      <c r="R6219" s="33">
        <f>IFERROR(__xludf.DUMMYFUNCTION("""COMPUTED_VALUE"""),0.5)</f>
        <v>0.5</v>
      </c>
      <c r="S6219" s="4" t="str">
        <f>IFERROR(__xludf.DUMMYFUNCTION("""COMPUTED_VALUE"""),"null")</f>
        <v>null</v>
      </c>
      <c r="T6219" s="33">
        <f>IFERROR(__xludf.DUMMYFUNCTION("""COMPUTED_VALUE"""),0.5)</f>
        <v>0.5</v>
      </c>
      <c r="U6219" s="4" t="str">
        <f>IFERROR(__xludf.DUMMYFUNCTION("""COMPUTED_VALUE"""),"Cardápio Web")</f>
        <v>Cardápio Web</v>
      </c>
      <c r="V6219" s="33">
        <f>IFERROR(__xludf.DUMMYFUNCTION("""COMPUTED_VALUE"""),1.0)</f>
        <v>1</v>
      </c>
      <c r="W6219" s="4" t="str">
        <f>IFERROR(__xludf.DUMMYFUNCTION("""COMPUTED_VALUE"""),"Cardápio Web")</f>
        <v>Cardápio Web</v>
      </c>
      <c r="X6219" s="33">
        <f>IFERROR(__xludf.DUMMYFUNCTION("""COMPUTED_VALUE"""),1.0)</f>
        <v>1</v>
      </c>
    </row>
    <row r="6220">
      <c r="K6220" s="4" t="str">
        <f>IFERROR(__xludf.DUMMYFUNCTION("""COMPUTED_VALUE"""),"ACAI MATRIZ - ENTREGA RAPIDA")</f>
        <v>ACAI MATRIZ - ENTREGA RAPIDA</v>
      </c>
      <c r="L6220" s="32">
        <f>IFERROR(__xludf.DUMMYFUNCTION("""COMPUTED_VALUE"""),2.0)</f>
        <v>2</v>
      </c>
      <c r="M6220" s="4" t="str">
        <f>IFERROR(__xludf.DUMMYFUNCTION("""COMPUTED_VALUE"""),"null")</f>
        <v>null</v>
      </c>
      <c r="N6220" s="33">
        <f>IFERROR(__xludf.DUMMYFUNCTION("""COMPUTED_VALUE"""),0.5)</f>
        <v>0.5</v>
      </c>
      <c r="O6220" s="4" t="str">
        <f>IFERROR(__xludf.DUMMYFUNCTION("""COMPUTED_VALUE"""),"null")</f>
        <v>null</v>
      </c>
      <c r="P6220" s="33">
        <f>IFERROR(__xludf.DUMMYFUNCTION("""COMPUTED_VALUE"""),0.5)</f>
        <v>0.5</v>
      </c>
      <c r="Q6220" s="4" t="str">
        <f>IFERROR(__xludf.DUMMYFUNCTION("""COMPUTED_VALUE"""),"null")</f>
        <v>null</v>
      </c>
      <c r="R6220" s="33">
        <f>IFERROR(__xludf.DUMMYFUNCTION("""COMPUTED_VALUE"""),0.5)</f>
        <v>0.5</v>
      </c>
      <c r="S6220" s="4" t="str">
        <f>IFERROR(__xludf.DUMMYFUNCTION("""COMPUTED_VALUE"""),"null")</f>
        <v>null</v>
      </c>
      <c r="T6220" s="33">
        <f>IFERROR(__xludf.DUMMYFUNCTION("""COMPUTED_VALUE"""),1.0)</f>
        <v>1</v>
      </c>
      <c r="U6220" s="4" t="str">
        <f>IFERROR(__xludf.DUMMYFUNCTION("""COMPUTED_VALUE"""),"null")</f>
        <v>null</v>
      </c>
      <c r="V6220" s="33">
        <f>IFERROR(__xludf.DUMMYFUNCTION("""COMPUTED_VALUE"""),1.0)</f>
        <v>1</v>
      </c>
      <c r="W6220" s="4" t="str">
        <f>IFERROR(__xludf.DUMMYFUNCTION("""COMPUTED_VALUE"""),"Saipos Serviços De Software")</f>
        <v>Saipos Serviços De Software</v>
      </c>
      <c r="X6220" s="33">
        <f>IFERROR(__xludf.DUMMYFUNCTION("""COMPUTED_VALUE"""),1.0)</f>
        <v>1</v>
      </c>
    </row>
    <row r="6221">
      <c r="K6221" s="4" t="str">
        <f>IFERROR(__xludf.DUMMYFUNCTION("""COMPUTED_VALUE"""),"DISTRIBUIDORA DO DG")</f>
        <v>DISTRIBUIDORA DO DG</v>
      </c>
      <c r="L6221" s="32">
        <f>IFERROR(__xludf.DUMMYFUNCTION("""COMPUTED_VALUE"""),2.0)</f>
        <v>2</v>
      </c>
      <c r="M6221" s="4" t="str">
        <f>IFERROR(__xludf.DUMMYFUNCTION("""COMPUTED_VALUE"""),"null")</f>
        <v>null</v>
      </c>
      <c r="N6221" s="33">
        <f>IFERROR(__xludf.DUMMYFUNCTION("""COMPUTED_VALUE"""),1.0)</f>
        <v>1</v>
      </c>
      <c r="O6221" s="4" t="str">
        <f>IFERROR(__xludf.DUMMYFUNCTION("""COMPUTED_VALUE"""),"null")</f>
        <v>null</v>
      </c>
      <c r="P6221" s="33">
        <f>IFERROR(__xludf.DUMMYFUNCTION("""COMPUTED_VALUE"""),1.0)</f>
        <v>1</v>
      </c>
      <c r="Q6221" s="4" t="str">
        <f>IFERROR(__xludf.DUMMYFUNCTION("""COMPUTED_VALUE"""),"Yooga")</f>
        <v>Yooga</v>
      </c>
      <c r="R6221" s="33">
        <f>IFERROR(__xludf.DUMMYFUNCTION("""COMPUTED_VALUE"""),0.5)</f>
        <v>0.5</v>
      </c>
      <c r="S6221" s="4" t="str">
        <f>IFERROR(__xludf.DUMMYFUNCTION("""COMPUTED_VALUE"""),"null")</f>
        <v>null</v>
      </c>
      <c r="T6221" s="33">
        <f>IFERROR(__xludf.DUMMYFUNCTION("""COMPUTED_VALUE"""),0.5)</f>
        <v>0.5</v>
      </c>
      <c r="U6221" s="4" t="str">
        <f>IFERROR(__xludf.DUMMYFUNCTION("""COMPUTED_VALUE"""),"null")</f>
        <v>null</v>
      </c>
      <c r="V6221" s="33">
        <f>IFERROR(__xludf.DUMMYFUNCTION("""COMPUTED_VALUE"""),0.5)</f>
        <v>0.5</v>
      </c>
      <c r="W6221" s="4" t="str">
        <f>IFERROR(__xludf.DUMMYFUNCTION("""COMPUTED_VALUE"""),"null")</f>
        <v>null</v>
      </c>
      <c r="X6221" s="33">
        <f>IFERROR(__xludf.DUMMYFUNCTION("""COMPUTED_VALUE"""),0.5)</f>
        <v>0.5</v>
      </c>
    </row>
    <row r="6222">
      <c r="K6222" s="4" t="str">
        <f>IFERROR(__xludf.DUMMYFUNCTION("""COMPUTED_VALUE"""),"PAPA FRANGO CROCANTE")</f>
        <v>PAPA FRANGO CROCANTE</v>
      </c>
      <c r="L6222" s="32">
        <f>IFERROR(__xludf.DUMMYFUNCTION("""COMPUTED_VALUE"""),2.0)</f>
        <v>2</v>
      </c>
      <c r="M6222" s="4" t="str">
        <f>IFERROR(__xludf.DUMMYFUNCTION("""COMPUTED_VALUE"""),"null")</f>
        <v>null</v>
      </c>
      <c r="N6222" s="33">
        <f>IFERROR(__xludf.DUMMYFUNCTION("""COMPUTED_VALUE"""),0.5)</f>
        <v>0.5</v>
      </c>
      <c r="O6222" s="4" t="str">
        <f>IFERROR(__xludf.DUMMYFUNCTION("""COMPUTED_VALUE"""),"null")</f>
        <v>null</v>
      </c>
      <c r="P6222" s="33">
        <f>IFERROR(__xludf.DUMMYFUNCTION("""COMPUTED_VALUE"""),1.0)</f>
        <v>1</v>
      </c>
      <c r="Q6222" s="4" t="str">
        <f>IFERROR(__xludf.DUMMYFUNCTION("""COMPUTED_VALUE"""),"Sgi Informática")</f>
        <v>Sgi Informática</v>
      </c>
      <c r="R6222" s="33">
        <f>IFERROR(__xludf.DUMMYFUNCTION("""COMPUTED_VALUE"""),1.0)</f>
        <v>1</v>
      </c>
      <c r="S6222" s="4" t="str">
        <f>IFERROR(__xludf.DUMMYFUNCTION("""COMPUTED_VALUE"""),"Sgi Informática")</f>
        <v>Sgi Informática</v>
      </c>
      <c r="T6222" s="33">
        <f>IFERROR(__xludf.DUMMYFUNCTION("""COMPUTED_VALUE"""),1.0)</f>
        <v>1</v>
      </c>
      <c r="U6222" s="4" t="str">
        <f>IFERROR(__xludf.DUMMYFUNCTION("""COMPUTED_VALUE"""),"Sgi Informática")</f>
        <v>Sgi Informática</v>
      </c>
      <c r="V6222" s="33">
        <f>IFERROR(__xludf.DUMMYFUNCTION("""COMPUTED_VALUE"""),1.0)</f>
        <v>1</v>
      </c>
      <c r="W6222" s="4" t="str">
        <f>IFERROR(__xludf.DUMMYFUNCTION("""COMPUTED_VALUE"""),"Sgi Informática")</f>
        <v>Sgi Informática</v>
      </c>
      <c r="X6222" s="33">
        <f>IFERROR(__xludf.DUMMYFUNCTION("""COMPUTED_VALUE"""),1.0)</f>
        <v>1</v>
      </c>
    </row>
    <row r="6223">
      <c r="K6223" s="4" t="str">
        <f>IFERROR(__xludf.DUMMYFUNCTION("""COMPUTED_VALUE"""),"MARMITARIA TIA SONIA")</f>
        <v>MARMITARIA TIA SONIA</v>
      </c>
      <c r="L6223" s="32">
        <f>IFERROR(__xludf.DUMMYFUNCTION("""COMPUTED_VALUE"""),2.0)</f>
        <v>2</v>
      </c>
      <c r="M6223" s="4" t="str">
        <f>IFERROR(__xludf.DUMMYFUNCTION("""COMPUTED_VALUE"""),"null")</f>
        <v>null</v>
      </c>
      <c r="N6223" s="33">
        <f>IFERROR(__xludf.DUMMYFUNCTION("""COMPUTED_VALUE"""),1.0)</f>
        <v>1</v>
      </c>
      <c r="O6223" s="4" t="str">
        <f>IFERROR(__xludf.DUMMYFUNCTION("""COMPUTED_VALUE"""),"Santi")</f>
        <v>Santi</v>
      </c>
      <c r="P6223" s="33">
        <f>IFERROR(__xludf.DUMMYFUNCTION("""COMPUTED_VALUE"""),0.5)</f>
        <v>0.5</v>
      </c>
      <c r="Q6223" s="4" t="str">
        <f>IFERROR(__xludf.DUMMYFUNCTION("""COMPUTED_VALUE"""),"null")</f>
        <v>null</v>
      </c>
      <c r="R6223" s="33">
        <f>IFERROR(__xludf.DUMMYFUNCTION("""COMPUTED_VALUE"""),0.5)</f>
        <v>0.5</v>
      </c>
      <c r="S6223" s="4" t="str">
        <f>IFERROR(__xludf.DUMMYFUNCTION("""COMPUTED_VALUE"""),"Santi")</f>
        <v>Santi</v>
      </c>
      <c r="T6223" s="33">
        <f>IFERROR(__xludf.DUMMYFUNCTION("""COMPUTED_VALUE"""),0.5)</f>
        <v>0.5</v>
      </c>
      <c r="U6223" s="4" t="str">
        <f>IFERROR(__xludf.DUMMYFUNCTION("""COMPUTED_VALUE"""),"Santi")</f>
        <v>Santi</v>
      </c>
      <c r="V6223" s="33">
        <f>IFERROR(__xludf.DUMMYFUNCTION("""COMPUTED_VALUE"""),0.5)</f>
        <v>0.5</v>
      </c>
      <c r="W6223" s="4" t="str">
        <f>IFERROR(__xludf.DUMMYFUNCTION("""COMPUTED_VALUE"""),"Santi")</f>
        <v>Santi</v>
      </c>
      <c r="X6223" s="33">
        <f>IFERROR(__xludf.DUMMYFUNCTION("""COMPUTED_VALUE"""),0.5)</f>
        <v>0.5</v>
      </c>
    </row>
    <row r="6224">
      <c r="K6224" s="4" t="str">
        <f>IFERROR(__xludf.DUMMYFUNCTION("""COMPUTED_VALUE"""),"GELADAO DISTRIBUIDORA")</f>
        <v>GELADAO DISTRIBUIDORA</v>
      </c>
      <c r="L6224" s="32">
        <f>IFERROR(__xludf.DUMMYFUNCTION("""COMPUTED_VALUE"""),2.0)</f>
        <v>2</v>
      </c>
      <c r="M6224" s="4" t="str">
        <f>IFERROR(__xludf.DUMMYFUNCTION("""COMPUTED_VALUE"""),"null")</f>
        <v>null</v>
      </c>
      <c r="N6224" s="33">
        <f>IFERROR(__xludf.DUMMYFUNCTION("""COMPUTED_VALUE"""),0.5)</f>
        <v>0.5</v>
      </c>
      <c r="O6224" s="4" t="str">
        <f>IFERROR(__xludf.DUMMYFUNCTION("""COMPUTED_VALUE"""),"null")</f>
        <v>null</v>
      </c>
      <c r="P6224" s="33">
        <f>IFERROR(__xludf.DUMMYFUNCTION("""COMPUTED_VALUE"""),0.5)</f>
        <v>0.5</v>
      </c>
      <c r="Q6224" s="4" t="str">
        <f>IFERROR(__xludf.DUMMYFUNCTION("""COMPUTED_VALUE"""),"null")</f>
        <v>null</v>
      </c>
      <c r="R6224" s="33">
        <f>IFERROR(__xludf.DUMMYFUNCTION("""COMPUTED_VALUE"""),1.0)</f>
        <v>1</v>
      </c>
      <c r="S6224" s="4" t="str">
        <f>IFERROR(__xludf.DUMMYFUNCTION("""COMPUTED_VALUE"""),"null")</f>
        <v>null</v>
      </c>
      <c r="T6224" s="33">
        <f>IFERROR(__xludf.DUMMYFUNCTION("""COMPUTED_VALUE"""),1.0)</f>
        <v>1</v>
      </c>
      <c r="U6224" s="4" t="str">
        <f>IFERROR(__xludf.DUMMYFUNCTION("""COMPUTED_VALUE"""),"null")</f>
        <v>null</v>
      </c>
      <c r="V6224" s="33">
        <f>IFERROR(__xludf.DUMMYFUNCTION("""COMPUTED_VALUE"""),1.0)</f>
        <v>1</v>
      </c>
      <c r="W6224" s="4" t="str">
        <f>IFERROR(__xludf.DUMMYFUNCTION("""COMPUTED_VALUE"""),"N/A (Not found)")</f>
        <v>N/A (Not found)</v>
      </c>
      <c r="X6224" s="33">
        <f>IFERROR(__xludf.DUMMYFUNCTION("""COMPUTED_VALUE"""),0.5)</f>
        <v>0.5</v>
      </c>
    </row>
    <row r="6225">
      <c r="K6225" s="4" t="str">
        <f>IFERROR(__xludf.DUMMYFUNCTION("""COMPUTED_VALUE"""),"PIZZARIA NOSSA CASA")</f>
        <v>PIZZARIA NOSSA CASA</v>
      </c>
      <c r="L6225" s="32">
        <f>IFERROR(__xludf.DUMMYFUNCTION("""COMPUTED_VALUE"""),2.0)</f>
        <v>2</v>
      </c>
      <c r="M6225" s="4" t="str">
        <f>IFERROR(__xludf.DUMMYFUNCTION("""COMPUTED_VALUE"""),"Cardápio Web")</f>
        <v>Cardápio Web</v>
      </c>
      <c r="N6225" s="33">
        <f>IFERROR(__xludf.DUMMYFUNCTION("""COMPUTED_VALUE"""),0.5)</f>
        <v>0.5</v>
      </c>
      <c r="O6225" s="4" t="str">
        <f>IFERROR(__xludf.DUMMYFUNCTION("""COMPUTED_VALUE"""),"null")</f>
        <v>null</v>
      </c>
      <c r="P6225" s="33">
        <f>IFERROR(__xludf.DUMMYFUNCTION("""COMPUTED_VALUE"""),1.0)</f>
        <v>1</v>
      </c>
      <c r="Q6225" s="4" t="str">
        <f>IFERROR(__xludf.DUMMYFUNCTION("""COMPUTED_VALUE"""),"null")</f>
        <v>null</v>
      </c>
      <c r="R6225" s="33">
        <f>IFERROR(__xludf.DUMMYFUNCTION("""COMPUTED_VALUE"""),1.0)</f>
        <v>1</v>
      </c>
      <c r="S6225" s="4" t="str">
        <f>IFERROR(__xludf.DUMMYFUNCTION("""COMPUTED_VALUE"""),"null")</f>
        <v>null</v>
      </c>
      <c r="T6225" s="33">
        <f>IFERROR(__xludf.DUMMYFUNCTION("""COMPUTED_VALUE"""),0.5)</f>
        <v>0.5</v>
      </c>
      <c r="U6225" s="4" t="str">
        <f>IFERROR(__xludf.DUMMYFUNCTION("""COMPUTED_VALUE"""),"null")</f>
        <v>null</v>
      </c>
      <c r="V6225" s="33">
        <f>IFERROR(__xludf.DUMMYFUNCTION("""COMPUTED_VALUE"""),0.5)</f>
        <v>0.5</v>
      </c>
      <c r="W6225" s="4" t="str">
        <f>IFERROR(__xludf.DUMMYFUNCTION("""COMPUTED_VALUE"""),"null")</f>
        <v>null</v>
      </c>
      <c r="X6225" s="33">
        <f>IFERROR(__xludf.DUMMYFUNCTION("""COMPUTED_VALUE"""),0.5)</f>
        <v>0.5</v>
      </c>
    </row>
    <row r="6226">
      <c r="K6226" s="4" t="str">
        <f>IFERROR(__xludf.DUMMYFUNCTION("""COMPUTED_VALUE"""),"AMANDA LANCHES")</f>
        <v>AMANDA LANCHES</v>
      </c>
      <c r="L6226" s="32">
        <f>IFERROR(__xludf.DUMMYFUNCTION("""COMPUTED_VALUE"""),2.0)</f>
        <v>2</v>
      </c>
      <c r="M6226" s="4" t="str">
        <f>IFERROR(__xludf.DUMMYFUNCTION("""COMPUTED_VALUE"""),"Mp Multipedidos")</f>
        <v>Mp Multipedidos</v>
      </c>
      <c r="N6226" s="33">
        <f>IFERROR(__xludf.DUMMYFUNCTION("""COMPUTED_VALUE"""),0.5)</f>
        <v>0.5</v>
      </c>
      <c r="O6226" s="4" t="str">
        <f>IFERROR(__xludf.DUMMYFUNCTION("""COMPUTED_VALUE"""),"null")</f>
        <v>null</v>
      </c>
      <c r="P6226" s="33">
        <f>IFERROR(__xludf.DUMMYFUNCTION("""COMPUTED_VALUE"""),1.0)</f>
        <v>1</v>
      </c>
      <c r="Q6226" s="4" t="str">
        <f>IFERROR(__xludf.DUMMYFUNCTION("""COMPUTED_VALUE"""),"null")</f>
        <v>null</v>
      </c>
      <c r="R6226" s="33">
        <f>IFERROR(__xludf.DUMMYFUNCTION("""COMPUTED_VALUE"""),1.0)</f>
        <v>1</v>
      </c>
      <c r="S6226" s="4" t="str">
        <f>IFERROR(__xludf.DUMMYFUNCTION("""COMPUTED_VALUE"""),"null")</f>
        <v>null</v>
      </c>
      <c r="T6226" s="33">
        <f>IFERROR(__xludf.DUMMYFUNCTION("""COMPUTED_VALUE"""),1.0)</f>
        <v>1</v>
      </c>
      <c r="U6226" s="4" t="str">
        <f>IFERROR(__xludf.DUMMYFUNCTION("""COMPUTED_VALUE"""),"null")</f>
        <v>null</v>
      </c>
      <c r="V6226" s="33">
        <f>IFERROR(__xludf.DUMMYFUNCTION("""COMPUTED_VALUE"""),0.5)</f>
        <v>0.5</v>
      </c>
      <c r="W6226" s="4" t="str">
        <f>IFERROR(__xludf.DUMMYFUNCTION("""COMPUTED_VALUE"""),"null")</f>
        <v>null</v>
      </c>
      <c r="X6226" s="33">
        <f>IFERROR(__xludf.DUMMYFUNCTION("""COMPUTED_VALUE"""),0.5)</f>
        <v>0.5</v>
      </c>
    </row>
    <row r="6227">
      <c r="K6227" s="4" t="str">
        <f>IFERROR(__xludf.DUMMYFUNCTION("""COMPUTED_VALUE"""),"PIZZARIA DA MAMA")</f>
        <v>PIZZARIA DA MAMA</v>
      </c>
      <c r="L6227" s="32">
        <f>IFERROR(__xludf.DUMMYFUNCTION("""COMPUTED_VALUE"""),2.0)</f>
        <v>2</v>
      </c>
      <c r="M6227" s="4" t="str">
        <f>IFERROR(__xludf.DUMMYFUNCTION("""COMPUTED_VALUE"""),"null")</f>
        <v>null</v>
      </c>
      <c r="N6227" s="33">
        <f>IFERROR(__xludf.DUMMYFUNCTION("""COMPUTED_VALUE"""),0.5)</f>
        <v>0.5</v>
      </c>
      <c r="O6227" s="4" t="str">
        <f>IFERROR(__xludf.DUMMYFUNCTION("""COMPUTED_VALUE"""),"null")</f>
        <v>null</v>
      </c>
      <c r="P6227" s="33">
        <f>IFERROR(__xludf.DUMMYFUNCTION("""COMPUTED_VALUE"""),0.5)</f>
        <v>0.5</v>
      </c>
      <c r="Q6227" s="4" t="str">
        <f>IFERROR(__xludf.DUMMYFUNCTION("""COMPUTED_VALUE"""),"null")</f>
        <v>null</v>
      </c>
      <c r="R6227" s="33">
        <f>IFERROR(__xludf.DUMMYFUNCTION("""COMPUTED_VALUE"""),0.5)</f>
        <v>0.5</v>
      </c>
      <c r="S6227" s="4" t="str">
        <f>IFERROR(__xludf.DUMMYFUNCTION("""COMPUTED_VALUE"""),"null")</f>
        <v>null</v>
      </c>
      <c r="T6227" s="33">
        <f>IFERROR(__xludf.DUMMYFUNCTION("""COMPUTED_VALUE"""),1.0)</f>
        <v>1</v>
      </c>
      <c r="U6227" s="4" t="str">
        <f>IFERROR(__xludf.DUMMYFUNCTION("""COMPUTED_VALUE"""),"null")</f>
        <v>null</v>
      </c>
      <c r="V6227" s="33">
        <f>IFERROR(__xludf.DUMMYFUNCTION("""COMPUTED_VALUE"""),1.0)</f>
        <v>1</v>
      </c>
      <c r="W6227" s="4" t="str">
        <f>IFERROR(__xludf.DUMMYFUNCTION("""COMPUTED_VALUE"""),"Instadelivery")</f>
        <v>Instadelivery</v>
      </c>
      <c r="X6227" s="33">
        <f>IFERROR(__xludf.DUMMYFUNCTION("""COMPUTED_VALUE"""),0.5)</f>
        <v>0.5</v>
      </c>
    </row>
    <row r="6228">
      <c r="K6228" s="4" t="str">
        <f>IFERROR(__xludf.DUMMYFUNCTION("""COMPUTED_VALUE"""),"CANTINHO DO LANCHE ACAI")</f>
        <v>CANTINHO DO LANCHE ACAI</v>
      </c>
      <c r="L6228" s="32">
        <f>IFERROR(__xludf.DUMMYFUNCTION("""COMPUTED_VALUE"""),2.0)</f>
        <v>2</v>
      </c>
      <c r="M6228" s="4" t="str">
        <f>IFERROR(__xludf.DUMMYFUNCTION("""COMPUTED_VALUE"""),"null")</f>
        <v>null</v>
      </c>
      <c r="N6228" s="33">
        <f>IFERROR(__xludf.DUMMYFUNCTION("""COMPUTED_VALUE"""),1.0)</f>
        <v>1</v>
      </c>
      <c r="O6228" s="4" t="str">
        <f>IFERROR(__xludf.DUMMYFUNCTION("""COMPUTED_VALUE"""),"null")</f>
        <v>null</v>
      </c>
      <c r="P6228" s="33">
        <f>IFERROR(__xludf.DUMMYFUNCTION("""COMPUTED_VALUE"""),1.0)</f>
        <v>1</v>
      </c>
      <c r="Q6228" s="4" t="str">
        <f>IFERROR(__xludf.DUMMYFUNCTION("""COMPUTED_VALUE"""),"Instadelivery")</f>
        <v>Instadelivery</v>
      </c>
      <c r="R6228" s="33">
        <f>IFERROR(__xludf.DUMMYFUNCTION("""COMPUTED_VALUE"""),0.5)</f>
        <v>0.5</v>
      </c>
      <c r="S6228" s="4" t="str">
        <f>IFERROR(__xludf.DUMMYFUNCTION("""COMPUTED_VALUE"""),"null")</f>
        <v>null</v>
      </c>
      <c r="T6228" s="33">
        <f>IFERROR(__xludf.DUMMYFUNCTION("""COMPUTED_VALUE"""),1.0)</f>
        <v>1</v>
      </c>
      <c r="U6228" s="4" t="str">
        <f>IFERROR(__xludf.DUMMYFUNCTION("""COMPUTED_VALUE"""),"null")</f>
        <v>null</v>
      </c>
      <c r="V6228" s="33">
        <f>IFERROR(__xludf.DUMMYFUNCTION("""COMPUTED_VALUE"""),0.5)</f>
        <v>0.5</v>
      </c>
      <c r="W6228" s="4" t="str">
        <f>IFERROR(__xludf.DUMMYFUNCTION("""COMPUTED_VALUE"""),"null")</f>
        <v>null</v>
      </c>
      <c r="X6228" s="33">
        <f>IFERROR(__xludf.DUMMYFUNCTION("""COMPUTED_VALUE"""),0.5)</f>
        <v>0.5</v>
      </c>
    </row>
    <row r="6229">
      <c r="K6229" s="4" t="str">
        <f>IFERROR(__xludf.DUMMYFUNCTION("""COMPUTED_VALUE"""),"LA BRULEE")</f>
        <v>LA BRULEE</v>
      </c>
      <c r="L6229" s="32">
        <f>IFERROR(__xludf.DUMMYFUNCTION("""COMPUTED_VALUE"""),2.0)</f>
        <v>2</v>
      </c>
      <c r="M6229" s="4" t="str">
        <f>IFERROR(__xludf.DUMMYFUNCTION("""COMPUTED_VALUE"""),"Bbifood")</f>
        <v>Bbifood</v>
      </c>
      <c r="N6229" s="33">
        <f>IFERROR(__xludf.DUMMYFUNCTION("""COMPUTED_VALUE"""),1.0)</f>
        <v>1</v>
      </c>
      <c r="O6229" s="4" t="str">
        <f>IFERROR(__xludf.DUMMYFUNCTION("""COMPUTED_VALUE"""),"Bbifood")</f>
        <v>Bbifood</v>
      </c>
      <c r="P6229" s="33">
        <f>IFERROR(__xludf.DUMMYFUNCTION("""COMPUTED_VALUE"""),1.0)</f>
        <v>1</v>
      </c>
      <c r="Q6229" s="4" t="str">
        <f>IFERROR(__xludf.DUMMYFUNCTION("""COMPUTED_VALUE"""),"null")</f>
        <v>null</v>
      </c>
      <c r="R6229" s="33">
        <f>IFERROR(__xludf.DUMMYFUNCTION("""COMPUTED_VALUE"""),0.5)</f>
        <v>0.5</v>
      </c>
      <c r="S6229" s="4" t="str">
        <f>IFERROR(__xludf.DUMMYFUNCTION("""COMPUTED_VALUE"""),"Bbifood")</f>
        <v>Bbifood</v>
      </c>
      <c r="T6229" s="33">
        <f>IFERROR(__xludf.DUMMYFUNCTION("""COMPUTED_VALUE"""),1.0)</f>
        <v>1</v>
      </c>
      <c r="U6229" s="4" t="str">
        <f>IFERROR(__xludf.DUMMYFUNCTION("""COMPUTED_VALUE"""),"Bbifood")</f>
        <v>Bbifood</v>
      </c>
      <c r="V6229" s="33">
        <f>IFERROR(__xludf.DUMMYFUNCTION("""COMPUTED_VALUE"""),1.0)</f>
        <v>1</v>
      </c>
      <c r="W6229" s="4" t="str">
        <f>IFERROR(__xludf.DUMMYFUNCTION("""COMPUTED_VALUE"""),"Bbifood")</f>
        <v>Bbifood</v>
      </c>
      <c r="X6229" s="33">
        <f>IFERROR(__xludf.DUMMYFUNCTION("""COMPUTED_VALUE"""),1.0)</f>
        <v>1</v>
      </c>
    </row>
    <row r="6230">
      <c r="K6230" s="4" t="str">
        <f>IFERROR(__xludf.DUMMYFUNCTION("""COMPUTED_VALUE"""),"AROMA E SABOR")</f>
        <v>AROMA E SABOR</v>
      </c>
      <c r="L6230" s="32">
        <f>IFERROR(__xludf.DUMMYFUNCTION("""COMPUTED_VALUE"""),2.0)</f>
        <v>2</v>
      </c>
      <c r="M6230" s="4" t="str">
        <f>IFERROR(__xludf.DUMMYFUNCTION("""COMPUTED_VALUE"""),"Brendi")</f>
        <v>Brendi</v>
      </c>
      <c r="N6230" s="33">
        <f>IFERROR(__xludf.DUMMYFUNCTION("""COMPUTED_VALUE"""),0.5)</f>
        <v>0.5</v>
      </c>
      <c r="O6230" s="4" t="str">
        <f>IFERROR(__xludf.DUMMYFUNCTION("""COMPUTED_VALUE"""),"Brendi")</f>
        <v>Brendi</v>
      </c>
      <c r="P6230" s="33">
        <f>IFERROR(__xludf.DUMMYFUNCTION("""COMPUTED_VALUE"""),0.5)</f>
        <v>0.5</v>
      </c>
      <c r="Q6230" s="4" t="str">
        <f>IFERROR(__xludf.DUMMYFUNCTION("""COMPUTED_VALUE"""),"Brendi")</f>
        <v>Brendi</v>
      </c>
      <c r="R6230" s="33">
        <f>IFERROR(__xludf.DUMMYFUNCTION("""COMPUTED_VALUE"""),0.5)</f>
        <v>0.5</v>
      </c>
      <c r="S6230" s="4" t="str">
        <f>IFERROR(__xludf.DUMMYFUNCTION("""COMPUTED_VALUE"""),"Brendi")</f>
        <v>Brendi</v>
      </c>
      <c r="T6230" s="33">
        <f>IFERROR(__xludf.DUMMYFUNCTION("""COMPUTED_VALUE"""),0.5)</f>
        <v>0.5</v>
      </c>
      <c r="U6230" s="4" t="str">
        <f>IFERROR(__xludf.DUMMYFUNCTION("""COMPUTED_VALUE"""),"Brendi")</f>
        <v>Brendi</v>
      </c>
      <c r="V6230" s="33">
        <f>IFERROR(__xludf.DUMMYFUNCTION("""COMPUTED_VALUE"""),0.5)</f>
        <v>0.5</v>
      </c>
      <c r="W6230" s="4" t="str">
        <f>IFERROR(__xludf.DUMMYFUNCTION("""COMPUTED_VALUE"""),"Brendi")</f>
        <v>Brendi</v>
      </c>
      <c r="X6230" s="33">
        <f>IFERROR(__xludf.DUMMYFUNCTION("""COMPUTED_VALUE"""),0.5)</f>
        <v>0.5</v>
      </c>
    </row>
    <row r="6231">
      <c r="K6231" s="4" t="str">
        <f>IFERROR(__xludf.DUMMYFUNCTION("""COMPUTED_VALUE"""),"SUPER DOG")</f>
        <v>SUPER DOG</v>
      </c>
      <c r="L6231" s="32">
        <f>IFERROR(__xludf.DUMMYFUNCTION("""COMPUTED_VALUE"""),2.0)</f>
        <v>2</v>
      </c>
      <c r="M6231" s="4" t="str">
        <f>IFERROR(__xludf.DUMMYFUNCTION("""COMPUTED_VALUE"""),"Yooga")</f>
        <v>Yooga</v>
      </c>
      <c r="N6231" s="33">
        <f>IFERROR(__xludf.DUMMYFUNCTION("""COMPUTED_VALUE"""),0.5)</f>
        <v>0.5</v>
      </c>
      <c r="O6231" s="4" t="str">
        <f>IFERROR(__xludf.DUMMYFUNCTION("""COMPUTED_VALUE"""),"Yooga")</f>
        <v>Yooga</v>
      </c>
      <c r="P6231" s="33">
        <f>IFERROR(__xludf.DUMMYFUNCTION("""COMPUTED_VALUE"""),0.5)</f>
        <v>0.5</v>
      </c>
      <c r="Q6231" s="4" t="str">
        <f>IFERROR(__xludf.DUMMYFUNCTION("""COMPUTED_VALUE"""),"Yooga")</f>
        <v>Yooga</v>
      </c>
      <c r="R6231" s="33">
        <f>IFERROR(__xludf.DUMMYFUNCTION("""COMPUTED_VALUE"""),0.5)</f>
        <v>0.5</v>
      </c>
      <c r="S6231" s="4" t="str">
        <f>IFERROR(__xludf.DUMMYFUNCTION("""COMPUTED_VALUE"""),"Yooga")</f>
        <v>Yooga</v>
      </c>
      <c r="T6231" s="33">
        <f>IFERROR(__xludf.DUMMYFUNCTION("""COMPUTED_VALUE"""),0.5)</f>
        <v>0.5</v>
      </c>
      <c r="U6231" s="4" t="str">
        <f>IFERROR(__xludf.DUMMYFUNCTION("""COMPUTED_VALUE"""),"Yooga")</f>
        <v>Yooga</v>
      </c>
      <c r="V6231" s="33">
        <f>IFERROR(__xludf.DUMMYFUNCTION("""COMPUTED_VALUE"""),0.5)</f>
        <v>0.5</v>
      </c>
      <c r="W6231" s="4" t="str">
        <f>IFERROR(__xludf.DUMMYFUNCTION("""COMPUTED_VALUE"""),"Yooga")</f>
        <v>Yooga</v>
      </c>
      <c r="X6231" s="33">
        <f>IFERROR(__xludf.DUMMYFUNCTION("""COMPUTED_VALUE"""),0.5)</f>
        <v>0.5</v>
      </c>
    </row>
    <row r="6232">
      <c r="K6232" s="4" t="str">
        <f>IFERROR(__xludf.DUMMYFUNCTION("""COMPUTED_VALUE"""),"DOGAO JUNIOR")</f>
        <v>DOGAO JUNIOR</v>
      </c>
      <c r="L6232" s="32">
        <f>IFERROR(__xludf.DUMMYFUNCTION("""COMPUTED_VALUE"""),2.0)</f>
        <v>2</v>
      </c>
      <c r="M6232" s="4" t="str">
        <f>IFERROR(__xludf.DUMMYFUNCTION("""COMPUTED_VALUE"""),"Mp Multipedidos")</f>
        <v>Mp Multipedidos</v>
      </c>
      <c r="N6232" s="33">
        <f>IFERROR(__xludf.DUMMYFUNCTION("""COMPUTED_VALUE"""),1.0)</f>
        <v>1</v>
      </c>
      <c r="O6232" s="4" t="str">
        <f>IFERROR(__xludf.DUMMYFUNCTION("""COMPUTED_VALUE"""),"Mp Multipedidos")</f>
        <v>Mp Multipedidos</v>
      </c>
      <c r="P6232" s="33">
        <f>IFERROR(__xludf.DUMMYFUNCTION("""COMPUTED_VALUE"""),1.0)</f>
        <v>1</v>
      </c>
      <c r="Q6232" s="4" t="str">
        <f>IFERROR(__xludf.DUMMYFUNCTION("""COMPUTED_VALUE"""),"Mp Multipedidos")</f>
        <v>Mp Multipedidos</v>
      </c>
      <c r="R6232" s="33">
        <f>IFERROR(__xludf.DUMMYFUNCTION("""COMPUTED_VALUE"""),1.0)</f>
        <v>1</v>
      </c>
      <c r="S6232" s="4" t="str">
        <f>IFERROR(__xludf.DUMMYFUNCTION("""COMPUTED_VALUE"""),"Mp Multipedidos")</f>
        <v>Mp Multipedidos</v>
      </c>
      <c r="T6232" s="33">
        <f>IFERROR(__xludf.DUMMYFUNCTION("""COMPUTED_VALUE"""),1.0)</f>
        <v>1</v>
      </c>
      <c r="U6232" s="4" t="str">
        <f>IFERROR(__xludf.DUMMYFUNCTION("""COMPUTED_VALUE"""),"Mp Multipedidos")</f>
        <v>Mp Multipedidos</v>
      </c>
      <c r="V6232" s="33">
        <f>IFERROR(__xludf.DUMMYFUNCTION("""COMPUTED_VALUE"""),1.0)</f>
        <v>1</v>
      </c>
      <c r="W6232" s="4" t="str">
        <f>IFERROR(__xludf.DUMMYFUNCTION("""COMPUTED_VALUE"""),"Mp Multipedidos")</f>
        <v>Mp Multipedidos</v>
      </c>
      <c r="X6232" s="33">
        <f>IFERROR(__xludf.DUMMYFUNCTION("""COMPUTED_VALUE"""),1.0)</f>
        <v>1</v>
      </c>
    </row>
    <row r="6233">
      <c r="K6233" s="4" t="str">
        <f>IFERROR(__xludf.DUMMYFUNCTION("""COMPUTED_VALUE"""),"DU CHINA - SAO JOAO")</f>
        <v>DU CHINA - SAO JOAO</v>
      </c>
      <c r="L6233" s="32">
        <f>IFERROR(__xludf.DUMMYFUNCTION("""COMPUTED_VALUE"""),2.0)</f>
        <v>2</v>
      </c>
      <c r="M6233" s="4" t="str">
        <f>IFERROR(__xludf.DUMMYFUNCTION("""COMPUTED_VALUE"""),"Sagres Automação Comercial")</f>
        <v>Sagres Automação Comercial</v>
      </c>
      <c r="N6233" s="33">
        <f>IFERROR(__xludf.DUMMYFUNCTION("""COMPUTED_VALUE"""),1.0)</f>
        <v>1</v>
      </c>
      <c r="O6233" s="4" t="str">
        <f>IFERROR(__xludf.DUMMYFUNCTION("""COMPUTED_VALUE"""),"Sagres Automação Comercial")</f>
        <v>Sagres Automação Comercial</v>
      </c>
      <c r="P6233" s="33">
        <f>IFERROR(__xludf.DUMMYFUNCTION("""COMPUTED_VALUE"""),1.0)</f>
        <v>1</v>
      </c>
      <c r="Q6233" s="4" t="str">
        <f>IFERROR(__xludf.DUMMYFUNCTION("""COMPUTED_VALUE"""),"Sagres Automação Comercial")</f>
        <v>Sagres Automação Comercial</v>
      </c>
      <c r="R6233" s="33">
        <f>IFERROR(__xludf.DUMMYFUNCTION("""COMPUTED_VALUE"""),1.0)</f>
        <v>1</v>
      </c>
      <c r="S6233" s="4" t="str">
        <f>IFERROR(__xludf.DUMMYFUNCTION("""COMPUTED_VALUE"""),"Sagres Automação Comercial")</f>
        <v>Sagres Automação Comercial</v>
      </c>
      <c r="T6233" s="33">
        <f>IFERROR(__xludf.DUMMYFUNCTION("""COMPUTED_VALUE"""),1.0)</f>
        <v>1</v>
      </c>
      <c r="U6233" s="4" t="str">
        <f>IFERROR(__xludf.DUMMYFUNCTION("""COMPUTED_VALUE"""),"Sagres Automação Comercial")</f>
        <v>Sagres Automação Comercial</v>
      </c>
      <c r="V6233" s="33">
        <f>IFERROR(__xludf.DUMMYFUNCTION("""COMPUTED_VALUE"""),1.0)</f>
        <v>1</v>
      </c>
      <c r="W6233" s="4" t="str">
        <f>IFERROR(__xludf.DUMMYFUNCTION("""COMPUTED_VALUE"""),"Sagres Automação Comercial")</f>
        <v>Sagres Automação Comercial</v>
      </c>
      <c r="X6233" s="33">
        <f>IFERROR(__xludf.DUMMYFUNCTION("""COMPUTED_VALUE"""),1.0)</f>
        <v>1</v>
      </c>
    </row>
    <row r="6234">
      <c r="K6234" s="4" t="str">
        <f>IFERROR(__xludf.DUMMYFUNCTION("""COMPUTED_VALUE"""),"ESQUINA DO FRANGO")</f>
        <v>ESQUINA DO FRANGO</v>
      </c>
      <c r="L6234" s="32">
        <f>IFERROR(__xludf.DUMMYFUNCTION("""COMPUTED_VALUE"""),2.0)</f>
        <v>2</v>
      </c>
      <c r="M6234" s="4" t="str">
        <f>IFERROR(__xludf.DUMMYFUNCTION("""COMPUTED_VALUE"""),"null")</f>
        <v>null</v>
      </c>
      <c r="N6234" s="33">
        <f>IFERROR(__xludf.DUMMYFUNCTION("""COMPUTED_VALUE"""),1.0)</f>
        <v>1</v>
      </c>
      <c r="O6234" s="4" t="str">
        <f>IFERROR(__xludf.DUMMYFUNCTION("""COMPUTED_VALUE"""),"null")</f>
        <v>null</v>
      </c>
      <c r="P6234" s="33">
        <f>IFERROR(__xludf.DUMMYFUNCTION("""COMPUTED_VALUE"""),1.0)</f>
        <v>1</v>
      </c>
      <c r="Q6234" s="4" t="str">
        <f>IFERROR(__xludf.DUMMYFUNCTION("""COMPUTED_VALUE"""),"null")</f>
        <v>null</v>
      </c>
      <c r="R6234" s="33">
        <f>IFERROR(__xludf.DUMMYFUNCTION("""COMPUTED_VALUE"""),1.0)</f>
        <v>1</v>
      </c>
      <c r="S6234" s="4" t="str">
        <f>IFERROR(__xludf.DUMMYFUNCTION("""COMPUTED_VALUE"""),"null")</f>
        <v>null</v>
      </c>
      <c r="T6234" s="33">
        <f>IFERROR(__xludf.DUMMYFUNCTION("""COMPUTED_VALUE"""),0.5)</f>
        <v>0.5</v>
      </c>
      <c r="U6234" s="4" t="str">
        <f>IFERROR(__xludf.DUMMYFUNCTION("""COMPUTED_VALUE"""),"Saipos Serviços De Software")</f>
        <v>Saipos Serviços De Software</v>
      </c>
      <c r="V6234" s="33">
        <f>IFERROR(__xludf.DUMMYFUNCTION("""COMPUTED_VALUE"""),0.5)</f>
        <v>0.5</v>
      </c>
      <c r="W6234" s="4" t="str">
        <f>IFERROR(__xludf.DUMMYFUNCTION("""COMPUTED_VALUE"""),"Saipos Serviços De Software")</f>
        <v>Saipos Serviços De Software</v>
      </c>
      <c r="X6234" s="33">
        <f>IFERROR(__xludf.DUMMYFUNCTION("""COMPUTED_VALUE"""),0.5)</f>
        <v>0.5</v>
      </c>
    </row>
    <row r="6235">
      <c r="K6235" s="4" t="str">
        <f>IFERROR(__xludf.DUMMYFUNCTION("""COMPUTED_VALUE"""),"SKINA DO ACAI")</f>
        <v>SKINA DO ACAI</v>
      </c>
      <c r="L6235" s="32">
        <f>IFERROR(__xludf.DUMMYFUNCTION("""COMPUTED_VALUE"""),2.0)</f>
        <v>2</v>
      </c>
      <c r="M6235" s="4" t="str">
        <f>IFERROR(__xludf.DUMMYFUNCTION("""COMPUTED_VALUE"""),"Grsoft")</f>
        <v>Grsoft</v>
      </c>
      <c r="N6235" s="33">
        <f>IFERROR(__xludf.DUMMYFUNCTION("""COMPUTED_VALUE"""),0.5)</f>
        <v>0.5</v>
      </c>
      <c r="O6235" s="4" t="str">
        <f>IFERROR(__xludf.DUMMYFUNCTION("""COMPUTED_VALUE"""),"Grsoft")</f>
        <v>Grsoft</v>
      </c>
      <c r="P6235" s="33">
        <f>IFERROR(__xludf.DUMMYFUNCTION("""COMPUTED_VALUE"""),0.5)</f>
        <v>0.5</v>
      </c>
      <c r="Q6235" s="4" t="str">
        <f>IFERROR(__xludf.DUMMYFUNCTION("""COMPUTED_VALUE"""),"Grsoft")</f>
        <v>Grsoft</v>
      </c>
      <c r="R6235" s="33">
        <f>IFERROR(__xludf.DUMMYFUNCTION("""COMPUTED_VALUE"""),0.5)</f>
        <v>0.5</v>
      </c>
      <c r="S6235" s="4" t="str">
        <f>IFERROR(__xludf.DUMMYFUNCTION("""COMPUTED_VALUE"""),"Grsoft")</f>
        <v>Grsoft</v>
      </c>
      <c r="T6235" s="33">
        <f>IFERROR(__xludf.DUMMYFUNCTION("""COMPUTED_VALUE"""),0.5)</f>
        <v>0.5</v>
      </c>
      <c r="U6235" s="4" t="str">
        <f>IFERROR(__xludf.DUMMYFUNCTION("""COMPUTED_VALUE"""),"Grsoft")</f>
        <v>Grsoft</v>
      </c>
      <c r="V6235" s="33">
        <f>IFERROR(__xludf.DUMMYFUNCTION("""COMPUTED_VALUE"""),0.5)</f>
        <v>0.5</v>
      </c>
      <c r="W6235" s="4" t="str">
        <f>IFERROR(__xludf.DUMMYFUNCTION("""COMPUTED_VALUE"""),"Grsoft")</f>
        <v>Grsoft</v>
      </c>
      <c r="X6235" s="33">
        <f>IFERROR(__xludf.DUMMYFUNCTION("""COMPUTED_VALUE"""),0.5)</f>
        <v>0.5</v>
      </c>
    </row>
    <row r="6236">
      <c r="K6236" s="4" t="str">
        <f>IFERROR(__xludf.DUMMYFUNCTION("""COMPUTED_VALUE"""),"CASA DO CALDO")</f>
        <v>CASA DO CALDO</v>
      </c>
      <c r="L6236" s="32">
        <f>IFERROR(__xludf.DUMMYFUNCTION("""COMPUTED_VALUE"""),2.0)</f>
        <v>2</v>
      </c>
      <c r="M6236" s="4" t="str">
        <f>IFERROR(__xludf.DUMMYFUNCTION("""COMPUTED_VALUE"""),"Solução Sistemas")</f>
        <v>Solução Sistemas</v>
      </c>
      <c r="N6236" s="33">
        <f>IFERROR(__xludf.DUMMYFUNCTION("""COMPUTED_VALUE"""),0.5)</f>
        <v>0.5</v>
      </c>
      <c r="O6236" s="4" t="str">
        <f>IFERROR(__xludf.DUMMYFUNCTION("""COMPUTED_VALUE"""),"null")</f>
        <v>null</v>
      </c>
      <c r="P6236" s="33">
        <f>IFERROR(__xludf.DUMMYFUNCTION("""COMPUTED_VALUE"""),0.5)</f>
        <v>0.5</v>
      </c>
      <c r="Q6236" s="4" t="str">
        <f>IFERROR(__xludf.DUMMYFUNCTION("""COMPUTED_VALUE"""),"null")</f>
        <v>null</v>
      </c>
      <c r="R6236" s="33">
        <f>IFERROR(__xludf.DUMMYFUNCTION("""COMPUTED_VALUE"""),0.5)</f>
        <v>0.5</v>
      </c>
      <c r="S6236" s="4" t="str">
        <f>IFERROR(__xludf.DUMMYFUNCTION("""COMPUTED_VALUE"""),"null")</f>
        <v>null</v>
      </c>
      <c r="T6236" s="33">
        <f>IFERROR(__xludf.DUMMYFUNCTION("""COMPUTED_VALUE"""),0.5)</f>
        <v>0.5</v>
      </c>
      <c r="U6236" s="4" t="str">
        <f>IFERROR(__xludf.DUMMYFUNCTION("""COMPUTED_VALUE"""),"Solução Sistemas")</f>
        <v>Solução Sistemas</v>
      </c>
      <c r="V6236" s="33">
        <f>IFERROR(__xludf.DUMMYFUNCTION("""COMPUTED_VALUE"""),0.5)</f>
        <v>0.5</v>
      </c>
      <c r="W6236" s="4" t="str">
        <f>IFERROR(__xludf.DUMMYFUNCTION("""COMPUTED_VALUE"""),"Solução Sistemas")</f>
        <v>Solução Sistemas</v>
      </c>
      <c r="X6236" s="33">
        <f>IFERROR(__xludf.DUMMYFUNCTION("""COMPUTED_VALUE"""),0.5)</f>
        <v>0.5</v>
      </c>
    </row>
    <row r="6237">
      <c r="K6237" s="4" t="str">
        <f>IFERROR(__xludf.DUMMYFUNCTION("""COMPUTED_VALUE"""),"WOOKIES COOKIES FOFINHOS")</f>
        <v>WOOKIES COOKIES FOFINHOS</v>
      </c>
      <c r="L6237" s="32">
        <f>IFERROR(__xludf.DUMMYFUNCTION("""COMPUTED_VALUE"""),2.0)</f>
        <v>2</v>
      </c>
      <c r="M6237" s="4" t="str">
        <f>IFERROR(__xludf.DUMMYFUNCTION("""COMPUTED_VALUE"""),"Hubzy")</f>
        <v>Hubzy</v>
      </c>
      <c r="N6237" s="33">
        <f>IFERROR(__xludf.DUMMYFUNCTION("""COMPUTED_VALUE"""),1.0)</f>
        <v>1</v>
      </c>
      <c r="O6237" s="4" t="str">
        <f>IFERROR(__xludf.DUMMYFUNCTION("""COMPUTED_VALUE"""),"Hubzy")</f>
        <v>Hubzy</v>
      </c>
      <c r="P6237" s="33">
        <f>IFERROR(__xludf.DUMMYFUNCTION("""COMPUTED_VALUE"""),1.0)</f>
        <v>1</v>
      </c>
      <c r="Q6237" s="4" t="str">
        <f>IFERROR(__xludf.DUMMYFUNCTION("""COMPUTED_VALUE"""),"Hubzy")</f>
        <v>Hubzy</v>
      </c>
      <c r="R6237" s="33">
        <f>IFERROR(__xludf.DUMMYFUNCTION("""COMPUTED_VALUE"""),1.0)</f>
        <v>1</v>
      </c>
      <c r="S6237" s="4" t="str">
        <f>IFERROR(__xludf.DUMMYFUNCTION("""COMPUTED_VALUE"""),"Hubzy")</f>
        <v>Hubzy</v>
      </c>
      <c r="T6237" s="33">
        <f>IFERROR(__xludf.DUMMYFUNCTION("""COMPUTED_VALUE"""),1.0)</f>
        <v>1</v>
      </c>
      <c r="U6237" s="4" t="str">
        <f>IFERROR(__xludf.DUMMYFUNCTION("""COMPUTED_VALUE"""),"Hubzy")</f>
        <v>Hubzy</v>
      </c>
      <c r="V6237" s="33">
        <f>IFERROR(__xludf.DUMMYFUNCTION("""COMPUTED_VALUE"""),1.0)</f>
        <v>1</v>
      </c>
      <c r="W6237" s="4" t="str">
        <f>IFERROR(__xludf.DUMMYFUNCTION("""COMPUTED_VALUE"""),"Hubzy")</f>
        <v>Hubzy</v>
      </c>
      <c r="X6237" s="33">
        <f>IFERROR(__xludf.DUMMYFUNCTION("""COMPUTED_VALUE"""),1.0)</f>
        <v>1</v>
      </c>
    </row>
    <row r="6238">
      <c r="K6238" s="4" t="str">
        <f>IFERROR(__xludf.DUMMYFUNCTION("""COMPUTED_VALUE"""),"PIZZARIA DA FAMILIA")</f>
        <v>PIZZARIA DA FAMILIA</v>
      </c>
      <c r="L6238" s="32">
        <f>IFERROR(__xludf.DUMMYFUNCTION("""COMPUTED_VALUE"""),2.0)</f>
        <v>2</v>
      </c>
      <c r="M6238" s="4" t="str">
        <f>IFERROR(__xludf.DUMMYFUNCTION("""COMPUTED_VALUE"""),"Cardápio Web")</f>
        <v>Cardápio Web</v>
      </c>
      <c r="N6238" s="33">
        <f>IFERROR(__xludf.DUMMYFUNCTION("""COMPUTED_VALUE"""),0.5)</f>
        <v>0.5</v>
      </c>
      <c r="O6238" s="4" t="str">
        <f>IFERROR(__xludf.DUMMYFUNCTION("""COMPUTED_VALUE"""),"Cardápio Web")</f>
        <v>Cardápio Web</v>
      </c>
      <c r="P6238" s="33">
        <f>IFERROR(__xludf.DUMMYFUNCTION("""COMPUTED_VALUE"""),0.5)</f>
        <v>0.5</v>
      </c>
      <c r="Q6238" s="4" t="str">
        <f>IFERROR(__xludf.DUMMYFUNCTION("""COMPUTED_VALUE"""),"Cardápio Web")</f>
        <v>Cardápio Web</v>
      </c>
      <c r="R6238" s="33">
        <f>IFERROR(__xludf.DUMMYFUNCTION("""COMPUTED_VALUE"""),0.5)</f>
        <v>0.5</v>
      </c>
      <c r="S6238" s="4" t="str">
        <f>IFERROR(__xludf.DUMMYFUNCTION("""COMPUTED_VALUE"""),"Cardápio Web")</f>
        <v>Cardápio Web</v>
      </c>
      <c r="T6238" s="33">
        <f>IFERROR(__xludf.DUMMYFUNCTION("""COMPUTED_VALUE"""),0.5)</f>
        <v>0.5</v>
      </c>
      <c r="U6238" s="4" t="str">
        <f>IFERROR(__xludf.DUMMYFUNCTION("""COMPUTED_VALUE"""),"Cardápio Web")</f>
        <v>Cardápio Web</v>
      </c>
      <c r="V6238" s="33">
        <f>IFERROR(__xludf.DUMMYFUNCTION("""COMPUTED_VALUE"""),0.5)</f>
        <v>0.5</v>
      </c>
      <c r="W6238" s="4" t="str">
        <f>IFERROR(__xludf.DUMMYFUNCTION("""COMPUTED_VALUE"""),"Cardápio Web")</f>
        <v>Cardápio Web</v>
      </c>
      <c r="X6238" s="33">
        <f>IFERROR(__xludf.DUMMYFUNCTION("""COMPUTED_VALUE"""),0.5)</f>
        <v>0.5</v>
      </c>
    </row>
    <row r="6239">
      <c r="K6239" s="4" t="str">
        <f>IFERROR(__xludf.DUMMYFUNCTION("""COMPUTED_VALUE"""),"IMPERIO DOG")</f>
        <v>IMPERIO DOG</v>
      </c>
      <c r="L6239" s="32">
        <f>IFERROR(__xludf.DUMMYFUNCTION("""COMPUTED_VALUE"""),2.0)</f>
        <v>2</v>
      </c>
      <c r="M6239" s="4" t="str">
        <f>IFERROR(__xludf.DUMMYFUNCTION("""COMPUTED_VALUE"""),"null")</f>
        <v>null</v>
      </c>
      <c r="N6239" s="33">
        <f>IFERROR(__xludf.DUMMYFUNCTION("""COMPUTED_VALUE"""),0.5)</f>
        <v>0.5</v>
      </c>
      <c r="O6239" s="4" t="str">
        <f>IFERROR(__xludf.DUMMYFUNCTION("""COMPUTED_VALUE"""),"Instadelivery")</f>
        <v>Instadelivery</v>
      </c>
      <c r="P6239" s="33">
        <f>IFERROR(__xludf.DUMMYFUNCTION("""COMPUTED_VALUE"""),0.5)</f>
        <v>0.5</v>
      </c>
      <c r="Q6239" s="4" t="str">
        <f>IFERROR(__xludf.DUMMYFUNCTION("""COMPUTED_VALUE"""),"Instadelivery")</f>
        <v>Instadelivery</v>
      </c>
      <c r="R6239" s="33">
        <f>IFERROR(__xludf.DUMMYFUNCTION("""COMPUTED_VALUE"""),0.5)</f>
        <v>0.5</v>
      </c>
      <c r="S6239" s="4" t="str">
        <f>IFERROR(__xludf.DUMMYFUNCTION("""COMPUTED_VALUE"""),"Instadelivery")</f>
        <v>Instadelivery</v>
      </c>
      <c r="T6239" s="33">
        <f>IFERROR(__xludf.DUMMYFUNCTION("""COMPUTED_VALUE"""),0.5)</f>
        <v>0.5</v>
      </c>
      <c r="U6239" s="4" t="str">
        <f>IFERROR(__xludf.DUMMYFUNCTION("""COMPUTED_VALUE"""),"null")</f>
        <v>null</v>
      </c>
      <c r="V6239" s="33">
        <f>IFERROR(__xludf.DUMMYFUNCTION("""COMPUTED_VALUE"""),0.5)</f>
        <v>0.5</v>
      </c>
      <c r="W6239" s="4" t="str">
        <f>IFERROR(__xludf.DUMMYFUNCTION("""COMPUTED_VALUE"""),"null")</f>
        <v>null</v>
      </c>
      <c r="X6239" s="33">
        <f>IFERROR(__xludf.DUMMYFUNCTION("""COMPUTED_VALUE"""),0.5)</f>
        <v>0.5</v>
      </c>
    </row>
    <row r="6240">
      <c r="K6240" s="4" t="str">
        <f>IFERROR(__xludf.DUMMYFUNCTION("""COMPUTED_VALUE"""),"QUICK ACAI")</f>
        <v>QUICK ACAI</v>
      </c>
      <c r="L6240" s="32">
        <f>IFERROR(__xludf.DUMMYFUNCTION("""COMPUTED_VALUE"""),2.0)</f>
        <v>2</v>
      </c>
      <c r="M6240" s="4" t="str">
        <f>IFERROR(__xludf.DUMMYFUNCTION("""COMPUTED_VALUE"""),"M-du Tecnologia")</f>
        <v>M-du Tecnologia</v>
      </c>
      <c r="N6240" s="33">
        <f>IFERROR(__xludf.DUMMYFUNCTION("""COMPUTED_VALUE"""),1.0)</f>
        <v>1</v>
      </c>
      <c r="O6240" s="4" t="str">
        <f>IFERROR(__xludf.DUMMYFUNCTION("""COMPUTED_VALUE"""),"M-du Tecnologia")</f>
        <v>M-du Tecnologia</v>
      </c>
      <c r="P6240" s="33">
        <f>IFERROR(__xludf.DUMMYFUNCTION("""COMPUTED_VALUE"""),1.0)</f>
        <v>1</v>
      </c>
      <c r="Q6240" s="4" t="str">
        <f>IFERROR(__xludf.DUMMYFUNCTION("""COMPUTED_VALUE"""),"M-du Tecnologia")</f>
        <v>M-du Tecnologia</v>
      </c>
      <c r="R6240" s="33">
        <f>IFERROR(__xludf.DUMMYFUNCTION("""COMPUTED_VALUE"""),1.0)</f>
        <v>1</v>
      </c>
      <c r="S6240" s="4" t="str">
        <f>IFERROR(__xludf.DUMMYFUNCTION("""COMPUTED_VALUE"""),"M-du Tecnologia")</f>
        <v>M-du Tecnologia</v>
      </c>
      <c r="T6240" s="33">
        <f>IFERROR(__xludf.DUMMYFUNCTION("""COMPUTED_VALUE"""),1.0)</f>
        <v>1</v>
      </c>
      <c r="U6240" s="4" t="str">
        <f>IFERROR(__xludf.DUMMYFUNCTION("""COMPUTED_VALUE"""),"M-du Tecnologia")</f>
        <v>M-du Tecnologia</v>
      </c>
      <c r="V6240" s="33">
        <f>IFERROR(__xludf.DUMMYFUNCTION("""COMPUTED_VALUE"""),1.0)</f>
        <v>1</v>
      </c>
      <c r="W6240" s="4" t="str">
        <f>IFERROR(__xludf.DUMMYFUNCTION("""COMPUTED_VALUE"""),"M-du Tecnologia")</f>
        <v>M-du Tecnologia</v>
      </c>
      <c r="X6240" s="33">
        <f>IFERROR(__xludf.DUMMYFUNCTION("""COMPUTED_VALUE"""),1.0)</f>
        <v>1</v>
      </c>
    </row>
    <row r="6241">
      <c r="K6241" s="4" t="str">
        <f>IFERROR(__xludf.DUMMYFUNCTION("""COMPUTED_VALUE"""),"MARMITARIA SABOR DE MINAS")</f>
        <v>MARMITARIA SABOR DE MINAS</v>
      </c>
      <c r="L6241" s="32">
        <f>IFERROR(__xludf.DUMMYFUNCTION("""COMPUTED_VALUE"""),2.0)</f>
        <v>2</v>
      </c>
      <c r="M6241" s="4" t="str">
        <f>IFERROR(__xludf.DUMMYFUNCTION("""COMPUTED_VALUE"""),"null")</f>
        <v>null</v>
      </c>
      <c r="N6241" s="33">
        <f>IFERROR(__xludf.DUMMYFUNCTION("""COMPUTED_VALUE"""),0.5)</f>
        <v>0.5</v>
      </c>
      <c r="O6241" s="4" t="str">
        <f>IFERROR(__xludf.DUMMYFUNCTION("""COMPUTED_VALUE"""),"null")</f>
        <v>null</v>
      </c>
      <c r="P6241" s="33">
        <f>IFERROR(__xludf.DUMMYFUNCTION("""COMPUTED_VALUE"""),0.5)</f>
        <v>0.5</v>
      </c>
      <c r="Q6241" s="4" t="str">
        <f>IFERROR(__xludf.DUMMYFUNCTION("""COMPUTED_VALUE"""),"null")</f>
        <v>null</v>
      </c>
      <c r="R6241" s="33">
        <f>IFERROR(__xludf.DUMMYFUNCTION("""COMPUTED_VALUE"""),0.5)</f>
        <v>0.5</v>
      </c>
      <c r="S6241" s="4" t="str">
        <f>IFERROR(__xludf.DUMMYFUNCTION("""COMPUTED_VALUE"""),"Saipos Serviços De Software")</f>
        <v>Saipos Serviços De Software</v>
      </c>
      <c r="T6241" s="33">
        <f>IFERROR(__xludf.DUMMYFUNCTION("""COMPUTED_VALUE"""),0.5)</f>
        <v>0.5</v>
      </c>
      <c r="U6241" s="4" t="str">
        <f>IFERROR(__xludf.DUMMYFUNCTION("""COMPUTED_VALUE"""),"Saipos Serviços De Software")</f>
        <v>Saipos Serviços De Software</v>
      </c>
      <c r="V6241" s="33">
        <f>IFERROR(__xludf.DUMMYFUNCTION("""COMPUTED_VALUE"""),0.5)</f>
        <v>0.5</v>
      </c>
      <c r="W6241" s="4" t="str">
        <f>IFERROR(__xludf.DUMMYFUNCTION("""COMPUTED_VALUE"""),"Saipos Serviços De Software")</f>
        <v>Saipos Serviços De Software</v>
      </c>
      <c r="X6241" s="33">
        <f>IFERROR(__xludf.DUMMYFUNCTION("""COMPUTED_VALUE"""),0.5)</f>
        <v>0.5</v>
      </c>
    </row>
    <row r="6242">
      <c r="K6242" s="4" t="str">
        <f>IFERROR(__xludf.DUMMYFUNCTION("""COMPUTED_VALUE"""),"TEMPERO DA ROCA")</f>
        <v>TEMPERO DA ROCA</v>
      </c>
      <c r="L6242" s="32">
        <f>IFERROR(__xludf.DUMMYFUNCTION("""COMPUTED_VALUE"""),2.0)</f>
        <v>2</v>
      </c>
      <c r="M6242" s="4" t="str">
        <f>IFERROR(__xludf.DUMMYFUNCTION("""COMPUTED_VALUE"""),"Mapp Sistemas")</f>
        <v>Mapp Sistemas</v>
      </c>
      <c r="N6242" s="33">
        <f>IFERROR(__xludf.DUMMYFUNCTION("""COMPUTED_VALUE"""),0.5)</f>
        <v>0.5</v>
      </c>
      <c r="O6242" s="4" t="str">
        <f>IFERROR(__xludf.DUMMYFUNCTION("""COMPUTED_VALUE"""),"Mapp Sistemas")</f>
        <v>Mapp Sistemas</v>
      </c>
      <c r="P6242" s="33">
        <f>IFERROR(__xludf.DUMMYFUNCTION("""COMPUTED_VALUE"""),0.5)</f>
        <v>0.5</v>
      </c>
      <c r="Q6242" s="4" t="str">
        <f>IFERROR(__xludf.DUMMYFUNCTION("""COMPUTED_VALUE"""),"Mapp Sistemas")</f>
        <v>Mapp Sistemas</v>
      </c>
      <c r="R6242" s="33">
        <f>IFERROR(__xludf.DUMMYFUNCTION("""COMPUTED_VALUE"""),0.5)</f>
        <v>0.5</v>
      </c>
      <c r="S6242" s="4" t="str">
        <f>IFERROR(__xludf.DUMMYFUNCTION("""COMPUTED_VALUE"""),"Mapp Sistemas")</f>
        <v>Mapp Sistemas</v>
      </c>
      <c r="T6242" s="33">
        <f>IFERROR(__xludf.DUMMYFUNCTION("""COMPUTED_VALUE"""),0.5)</f>
        <v>0.5</v>
      </c>
      <c r="U6242" s="4" t="str">
        <f>IFERROR(__xludf.DUMMYFUNCTION("""COMPUTED_VALUE"""),"Mapp Sistemas")</f>
        <v>Mapp Sistemas</v>
      </c>
      <c r="V6242" s="33">
        <f>IFERROR(__xludf.DUMMYFUNCTION("""COMPUTED_VALUE"""),0.5)</f>
        <v>0.5</v>
      </c>
      <c r="W6242" s="4" t="str">
        <f>IFERROR(__xludf.DUMMYFUNCTION("""COMPUTED_VALUE"""),"Mapp Sistemas")</f>
        <v>Mapp Sistemas</v>
      </c>
      <c r="X6242" s="33">
        <f>IFERROR(__xludf.DUMMYFUNCTION("""COMPUTED_VALUE"""),0.5)</f>
        <v>0.5</v>
      </c>
    </row>
    <row r="6243">
      <c r="K6243" s="4" t="str">
        <f>IFERROR(__xludf.DUMMYFUNCTION("""COMPUTED_VALUE"""),"PARADA DO ESPETO")</f>
        <v>PARADA DO ESPETO</v>
      </c>
      <c r="L6243" s="32">
        <f>IFERROR(__xludf.DUMMYFUNCTION("""COMPUTED_VALUE"""),2.0)</f>
        <v>2</v>
      </c>
      <c r="M6243" s="4" t="str">
        <f>IFERROR(__xludf.DUMMYFUNCTION("""COMPUTED_VALUE"""),"Sagres Automação Comercial")</f>
        <v>Sagres Automação Comercial</v>
      </c>
      <c r="N6243" s="33">
        <f>IFERROR(__xludf.DUMMYFUNCTION("""COMPUTED_VALUE"""),0.5)</f>
        <v>0.5</v>
      </c>
      <c r="O6243" s="4" t="str">
        <f>IFERROR(__xludf.DUMMYFUNCTION("""COMPUTED_VALUE"""),"Sagres Automação Comercial")</f>
        <v>Sagres Automação Comercial</v>
      </c>
      <c r="P6243" s="33">
        <f>IFERROR(__xludf.DUMMYFUNCTION("""COMPUTED_VALUE"""),0.5)</f>
        <v>0.5</v>
      </c>
      <c r="Q6243" s="4" t="str">
        <f>IFERROR(__xludf.DUMMYFUNCTION("""COMPUTED_VALUE"""),"Sagres Automação Comercial")</f>
        <v>Sagres Automação Comercial</v>
      </c>
      <c r="R6243" s="33">
        <f>IFERROR(__xludf.DUMMYFUNCTION("""COMPUTED_VALUE"""),0.5)</f>
        <v>0.5</v>
      </c>
      <c r="S6243" s="4" t="str">
        <f>IFERROR(__xludf.DUMMYFUNCTION("""COMPUTED_VALUE"""),"Sagres Automação Comercial")</f>
        <v>Sagres Automação Comercial</v>
      </c>
      <c r="T6243" s="33">
        <f>IFERROR(__xludf.DUMMYFUNCTION("""COMPUTED_VALUE"""),0.5)</f>
        <v>0.5</v>
      </c>
      <c r="U6243" s="4" t="str">
        <f>IFERROR(__xludf.DUMMYFUNCTION("""COMPUTED_VALUE"""),"Sagres Automação Comercial")</f>
        <v>Sagres Automação Comercial</v>
      </c>
      <c r="V6243" s="33">
        <f>IFERROR(__xludf.DUMMYFUNCTION("""COMPUTED_VALUE"""),0.5)</f>
        <v>0.5</v>
      </c>
      <c r="W6243" s="4" t="str">
        <f>IFERROR(__xludf.DUMMYFUNCTION("""COMPUTED_VALUE"""),"Sagres Automação Comercial")</f>
        <v>Sagres Automação Comercial</v>
      </c>
      <c r="X6243" s="33">
        <f>IFERROR(__xludf.DUMMYFUNCTION("""COMPUTED_VALUE"""),0.5)</f>
        <v>0.5</v>
      </c>
    </row>
    <row r="6244">
      <c r="K6244" s="4" t="str">
        <f>IFERROR(__xludf.DUMMYFUNCTION("""COMPUTED_VALUE"""),"DROGARIA UNIAO")</f>
        <v>DROGARIA UNIAO</v>
      </c>
      <c r="L6244" s="32">
        <f>IFERROR(__xludf.DUMMYFUNCTION("""COMPUTED_VALUE"""),2.0)</f>
        <v>2</v>
      </c>
      <c r="M6244" s="4" t="str">
        <f>IFERROR(__xludf.DUMMYFUNCTION("""COMPUTED_VALUE"""),"N/A (Not found)")</f>
        <v>N/A (Not found)</v>
      </c>
      <c r="N6244" s="33">
        <f>IFERROR(__xludf.DUMMYFUNCTION("""COMPUTED_VALUE"""),1.0)</f>
        <v>1</v>
      </c>
      <c r="O6244" s="4" t="str">
        <f>IFERROR(__xludf.DUMMYFUNCTION("""COMPUTED_VALUE"""),"null")</f>
        <v>null</v>
      </c>
      <c r="P6244" s="33">
        <f>IFERROR(__xludf.DUMMYFUNCTION("""COMPUTED_VALUE"""),0.5)</f>
        <v>0.5</v>
      </c>
      <c r="Q6244" s="4" t="str">
        <f>IFERROR(__xludf.DUMMYFUNCTION("""COMPUTED_VALUE"""),"N/A (Not found)")</f>
        <v>N/A (Not found)</v>
      </c>
      <c r="R6244" s="33">
        <f>IFERROR(__xludf.DUMMYFUNCTION("""COMPUTED_VALUE"""),1.0)</f>
        <v>1</v>
      </c>
      <c r="S6244" s="4" t="str">
        <f>IFERROR(__xludf.DUMMYFUNCTION("""COMPUTED_VALUE"""),"null")</f>
        <v>null</v>
      </c>
      <c r="T6244" s="33">
        <f>IFERROR(__xludf.DUMMYFUNCTION("""COMPUTED_VALUE"""),0.5)</f>
        <v>0.5</v>
      </c>
      <c r="U6244" s="4" t="str">
        <f>IFERROR(__xludf.DUMMYFUNCTION("""COMPUTED_VALUE"""),"null")</f>
        <v>null</v>
      </c>
      <c r="V6244" s="33">
        <f>IFERROR(__xludf.DUMMYFUNCTION("""COMPUTED_VALUE"""),0.5)</f>
        <v>0.5</v>
      </c>
      <c r="W6244" s="4" t="str">
        <f>IFERROR(__xludf.DUMMYFUNCTION("""COMPUTED_VALUE"""),"null")</f>
        <v>null</v>
      </c>
      <c r="X6244" s="33">
        <f>IFERROR(__xludf.DUMMYFUNCTION("""COMPUTED_VALUE"""),0.5)</f>
        <v>0.5</v>
      </c>
    </row>
    <row r="6245">
      <c r="K6245" s="4" t="str">
        <f>IFERROR(__xludf.DUMMYFUNCTION("""COMPUTED_VALUE"""),"PIZZERIA PIARELLO")</f>
        <v>PIZZERIA PIARELLO</v>
      </c>
      <c r="L6245" s="32">
        <f>IFERROR(__xludf.DUMMYFUNCTION("""COMPUTED_VALUE"""),2.0)</f>
        <v>2</v>
      </c>
      <c r="M6245" s="4" t="str">
        <f>IFERROR(__xludf.DUMMYFUNCTION("""COMPUTED_VALUE"""),"Eclética Tecnologia")</f>
        <v>Eclética Tecnologia</v>
      </c>
      <c r="N6245" s="33">
        <f>IFERROR(__xludf.DUMMYFUNCTION("""COMPUTED_VALUE"""),1.0)</f>
        <v>1</v>
      </c>
      <c r="O6245" s="4" t="str">
        <f>IFERROR(__xludf.DUMMYFUNCTION("""COMPUTED_VALUE"""),"Eclética Tecnologia")</f>
        <v>Eclética Tecnologia</v>
      </c>
      <c r="P6245" s="33">
        <f>IFERROR(__xludf.DUMMYFUNCTION("""COMPUTED_VALUE"""),1.0)</f>
        <v>1</v>
      </c>
      <c r="Q6245" s="4" t="str">
        <f>IFERROR(__xludf.DUMMYFUNCTION("""COMPUTED_VALUE"""),"Eclética Tecnologia")</f>
        <v>Eclética Tecnologia</v>
      </c>
      <c r="R6245" s="33">
        <f>IFERROR(__xludf.DUMMYFUNCTION("""COMPUTED_VALUE"""),1.0)</f>
        <v>1</v>
      </c>
      <c r="S6245" s="4" t="str">
        <f>IFERROR(__xludf.DUMMYFUNCTION("""COMPUTED_VALUE"""),"Eclética Tecnologia")</f>
        <v>Eclética Tecnologia</v>
      </c>
      <c r="T6245" s="33">
        <f>IFERROR(__xludf.DUMMYFUNCTION("""COMPUTED_VALUE"""),1.0)</f>
        <v>1</v>
      </c>
      <c r="U6245" s="4" t="str">
        <f>IFERROR(__xludf.DUMMYFUNCTION("""COMPUTED_VALUE"""),"Eclética Tecnologia")</f>
        <v>Eclética Tecnologia</v>
      </c>
      <c r="V6245" s="33">
        <f>IFERROR(__xludf.DUMMYFUNCTION("""COMPUTED_VALUE"""),1.0)</f>
        <v>1</v>
      </c>
      <c r="W6245" s="4" t="str">
        <f>IFERROR(__xludf.DUMMYFUNCTION("""COMPUTED_VALUE"""),"Eclética Tecnologia")</f>
        <v>Eclética Tecnologia</v>
      </c>
      <c r="X6245" s="33">
        <f>IFERROR(__xludf.DUMMYFUNCTION("""COMPUTED_VALUE"""),1.0)</f>
        <v>1</v>
      </c>
    </row>
    <row r="6246">
      <c r="K6246" s="4" t="str">
        <f>IFERROR(__xludf.DUMMYFUNCTION("""COMPUTED_VALUE"""),"ADEGA SAO FRANCISCO")</f>
        <v>ADEGA SAO FRANCISCO</v>
      </c>
      <c r="L6246" s="32">
        <f>IFERROR(__xludf.DUMMYFUNCTION("""COMPUTED_VALUE"""),2.0)</f>
        <v>2</v>
      </c>
      <c r="M6246" s="4" t="str">
        <f>IFERROR(__xludf.DUMMYFUNCTION("""COMPUTED_VALUE"""),"null")</f>
        <v>null</v>
      </c>
      <c r="N6246" s="33">
        <f>IFERROR(__xludf.DUMMYFUNCTION("""COMPUTED_VALUE"""),0.5)</f>
        <v>0.5</v>
      </c>
      <c r="O6246" s="4" t="str">
        <f>IFERROR(__xludf.DUMMYFUNCTION("""COMPUTED_VALUE"""),"N/A (Not found)")</f>
        <v>N/A (Not found)</v>
      </c>
      <c r="P6246" s="33">
        <f>IFERROR(__xludf.DUMMYFUNCTION("""COMPUTED_VALUE"""),1.0)</f>
        <v>1</v>
      </c>
      <c r="Q6246" s="4" t="str">
        <f>IFERROR(__xludf.DUMMYFUNCTION("""COMPUTED_VALUE"""),"null")</f>
        <v>null</v>
      </c>
      <c r="R6246" s="33">
        <f>IFERROR(__xludf.DUMMYFUNCTION("""COMPUTED_VALUE"""),0.5)</f>
        <v>0.5</v>
      </c>
      <c r="S6246" s="4" t="str">
        <f>IFERROR(__xludf.DUMMYFUNCTION("""COMPUTED_VALUE"""),"null")</f>
        <v>null</v>
      </c>
      <c r="T6246" s="33">
        <f>IFERROR(__xludf.DUMMYFUNCTION("""COMPUTED_VALUE"""),0.5)</f>
        <v>0.5</v>
      </c>
      <c r="U6246" s="4" t="str">
        <f>IFERROR(__xludf.DUMMYFUNCTION("""COMPUTED_VALUE"""),"null")</f>
        <v>null</v>
      </c>
      <c r="V6246" s="33">
        <f>IFERROR(__xludf.DUMMYFUNCTION("""COMPUTED_VALUE"""),0.5)</f>
        <v>0.5</v>
      </c>
      <c r="W6246" s="4" t="str">
        <f>IFERROR(__xludf.DUMMYFUNCTION("""COMPUTED_VALUE"""),"null")</f>
        <v>null</v>
      </c>
      <c r="X6246" s="33">
        <f>IFERROR(__xludf.DUMMYFUNCTION("""COMPUTED_VALUE"""),0.5)</f>
        <v>0.5</v>
      </c>
    </row>
    <row r="6247">
      <c r="K6247" s="4" t="str">
        <f>IFERROR(__xludf.DUMMYFUNCTION("""COMPUTED_VALUE"""),"MARMITINHAS BABY - COMIDA SAUDAVEL")</f>
        <v>MARMITINHAS BABY - COMIDA SAUDAVEL</v>
      </c>
      <c r="L6247" s="32">
        <f>IFERROR(__xludf.DUMMYFUNCTION("""COMPUTED_VALUE"""),2.0)</f>
        <v>2</v>
      </c>
      <c r="M6247" s="4" t="str">
        <f>IFERROR(__xludf.DUMMYFUNCTION("""COMPUTED_VALUE"""),"Beefood - Sistema Para Restaurantes")</f>
        <v>Beefood - Sistema Para Restaurantes</v>
      </c>
      <c r="N6247" s="33">
        <f>IFERROR(__xludf.DUMMYFUNCTION("""COMPUTED_VALUE"""),1.0)</f>
        <v>1</v>
      </c>
      <c r="O6247" s="4" t="str">
        <f>IFERROR(__xludf.DUMMYFUNCTION("""COMPUTED_VALUE"""),"Beefood - Sistema Para Restaurantes")</f>
        <v>Beefood - Sistema Para Restaurantes</v>
      </c>
      <c r="P6247" s="33">
        <f>IFERROR(__xludf.DUMMYFUNCTION("""COMPUTED_VALUE"""),1.0)</f>
        <v>1</v>
      </c>
      <c r="Q6247" s="4" t="str">
        <f>IFERROR(__xludf.DUMMYFUNCTION("""COMPUTED_VALUE"""),"Beefood - Sistema Para Restaurantes")</f>
        <v>Beefood - Sistema Para Restaurantes</v>
      </c>
      <c r="R6247" s="33">
        <f>IFERROR(__xludf.DUMMYFUNCTION("""COMPUTED_VALUE"""),1.0)</f>
        <v>1</v>
      </c>
      <c r="S6247" s="4" t="str">
        <f>IFERROR(__xludf.DUMMYFUNCTION("""COMPUTED_VALUE"""),"null")</f>
        <v>null</v>
      </c>
      <c r="T6247" s="33">
        <f>IFERROR(__xludf.DUMMYFUNCTION("""COMPUTED_VALUE"""),0.5)</f>
        <v>0.5</v>
      </c>
      <c r="U6247" s="4" t="str">
        <f>IFERROR(__xludf.DUMMYFUNCTION("""COMPUTED_VALUE"""),"null")</f>
        <v>null</v>
      </c>
      <c r="V6247" s="33">
        <f>IFERROR(__xludf.DUMMYFUNCTION("""COMPUTED_VALUE"""),1.0)</f>
        <v>1</v>
      </c>
      <c r="W6247" s="4" t="str">
        <f>IFERROR(__xludf.DUMMYFUNCTION("""COMPUTED_VALUE"""),"null")</f>
        <v>null</v>
      </c>
      <c r="X6247" s="33">
        <f>IFERROR(__xludf.DUMMYFUNCTION("""COMPUTED_VALUE"""),1.0)</f>
        <v>1</v>
      </c>
    </row>
    <row r="6248">
      <c r="K6248" s="4" t="str">
        <f>IFERROR(__xludf.DUMMYFUNCTION("""COMPUTED_VALUE"""),"PRATO CHEIO")</f>
        <v>PRATO CHEIO</v>
      </c>
      <c r="L6248" s="32">
        <f>IFERROR(__xludf.DUMMYFUNCTION("""COMPUTED_VALUE"""),2.0)</f>
        <v>2</v>
      </c>
      <c r="M6248" s="4" t="str">
        <f>IFERROR(__xludf.DUMMYFUNCTION("""COMPUTED_VALUE"""),"Metre Sistemas")</f>
        <v>Metre Sistemas</v>
      </c>
      <c r="N6248" s="33">
        <f>IFERROR(__xludf.DUMMYFUNCTION("""COMPUTED_VALUE"""),0.5)</f>
        <v>0.5</v>
      </c>
      <c r="O6248" s="4" t="str">
        <f>IFERROR(__xludf.DUMMYFUNCTION("""COMPUTED_VALUE"""),"Metre Sistemas")</f>
        <v>Metre Sistemas</v>
      </c>
      <c r="P6248" s="33">
        <f>IFERROR(__xludf.DUMMYFUNCTION("""COMPUTED_VALUE"""),0.5)</f>
        <v>0.5</v>
      </c>
      <c r="Q6248" s="4" t="str">
        <f>IFERROR(__xludf.DUMMYFUNCTION("""COMPUTED_VALUE"""),"Metre Sistemas")</f>
        <v>Metre Sistemas</v>
      </c>
      <c r="R6248" s="33">
        <f>IFERROR(__xludf.DUMMYFUNCTION("""COMPUTED_VALUE"""),0.5)</f>
        <v>0.5</v>
      </c>
      <c r="S6248" s="4" t="str">
        <f>IFERROR(__xludf.DUMMYFUNCTION("""COMPUTED_VALUE"""),"Metre Sistemas")</f>
        <v>Metre Sistemas</v>
      </c>
      <c r="T6248" s="33">
        <f>IFERROR(__xludf.DUMMYFUNCTION("""COMPUTED_VALUE"""),0.5)</f>
        <v>0.5</v>
      </c>
      <c r="U6248" s="4" t="str">
        <f>IFERROR(__xludf.DUMMYFUNCTION("""COMPUTED_VALUE"""),"Metre Sistemas")</f>
        <v>Metre Sistemas</v>
      </c>
      <c r="V6248" s="33">
        <f>IFERROR(__xludf.DUMMYFUNCTION("""COMPUTED_VALUE"""),0.5)</f>
        <v>0.5</v>
      </c>
      <c r="W6248" s="4" t="str">
        <f>IFERROR(__xludf.DUMMYFUNCTION("""COMPUTED_VALUE"""),"Metre Sistemas")</f>
        <v>Metre Sistemas</v>
      </c>
      <c r="X6248" s="33">
        <f>IFERROR(__xludf.DUMMYFUNCTION("""COMPUTED_VALUE"""),0.5)</f>
        <v>0.5</v>
      </c>
    </row>
    <row r="6249">
      <c r="K6249" s="4" t="str">
        <f>IFERROR(__xludf.DUMMYFUNCTION("""COMPUTED_VALUE"""),"REI DAS ASINHAS")</f>
        <v>REI DAS ASINHAS</v>
      </c>
      <c r="L6249" s="32">
        <f>IFERROR(__xludf.DUMMYFUNCTION("""COMPUTED_VALUE"""),2.0)</f>
        <v>2</v>
      </c>
      <c r="M6249" s="4" t="str">
        <f>IFERROR(__xludf.DUMMYFUNCTION("""COMPUTED_VALUE"""),"Mp Multipedidos")</f>
        <v>Mp Multipedidos</v>
      </c>
      <c r="N6249" s="33">
        <f>IFERROR(__xludf.DUMMYFUNCTION("""COMPUTED_VALUE"""),0.5)</f>
        <v>0.5</v>
      </c>
      <c r="O6249" s="4" t="str">
        <f>IFERROR(__xludf.DUMMYFUNCTION("""COMPUTED_VALUE"""),"Mp Multipedidos")</f>
        <v>Mp Multipedidos</v>
      </c>
      <c r="P6249" s="33">
        <f>IFERROR(__xludf.DUMMYFUNCTION("""COMPUTED_VALUE"""),0.5)</f>
        <v>0.5</v>
      </c>
      <c r="Q6249" s="4" t="str">
        <f>IFERROR(__xludf.DUMMYFUNCTION("""COMPUTED_VALUE"""),"Mp Multipedidos")</f>
        <v>Mp Multipedidos</v>
      </c>
      <c r="R6249" s="33">
        <f>IFERROR(__xludf.DUMMYFUNCTION("""COMPUTED_VALUE"""),0.5)</f>
        <v>0.5</v>
      </c>
      <c r="S6249" s="4" t="str">
        <f>IFERROR(__xludf.DUMMYFUNCTION("""COMPUTED_VALUE"""),"Mp Multipedidos")</f>
        <v>Mp Multipedidos</v>
      </c>
      <c r="T6249" s="33">
        <f>IFERROR(__xludf.DUMMYFUNCTION("""COMPUTED_VALUE"""),0.5)</f>
        <v>0.5</v>
      </c>
      <c r="U6249" s="4" t="str">
        <f>IFERROR(__xludf.DUMMYFUNCTION("""COMPUTED_VALUE"""),"Mp Multipedidos")</f>
        <v>Mp Multipedidos</v>
      </c>
      <c r="V6249" s="33">
        <f>IFERROR(__xludf.DUMMYFUNCTION("""COMPUTED_VALUE"""),0.5)</f>
        <v>0.5</v>
      </c>
      <c r="W6249" s="4" t="str">
        <f>IFERROR(__xludf.DUMMYFUNCTION("""COMPUTED_VALUE"""),"Mp Multipedidos")</f>
        <v>Mp Multipedidos</v>
      </c>
      <c r="X6249" s="33">
        <f>IFERROR(__xludf.DUMMYFUNCTION("""COMPUTED_VALUE"""),0.5)</f>
        <v>0.5</v>
      </c>
    </row>
    <row r="6250">
      <c r="K6250" s="4" t="str">
        <f>IFERROR(__xludf.DUMMYFUNCTION("""COMPUTED_VALUE"""),"EMPORIO LANCHES E PIZZAS")</f>
        <v>EMPORIO LANCHES E PIZZAS</v>
      </c>
      <c r="L6250" s="32">
        <f>IFERROR(__xludf.DUMMYFUNCTION("""COMPUTED_VALUE"""),2.0)</f>
        <v>2</v>
      </c>
      <c r="M6250" s="4" t="str">
        <f>IFERROR(__xludf.DUMMYFUNCTION("""COMPUTED_VALUE"""),"Wps Sistemas Ltda")</f>
        <v>Wps Sistemas Ltda</v>
      </c>
      <c r="N6250" s="33">
        <f>IFERROR(__xludf.DUMMYFUNCTION("""COMPUTED_VALUE"""),0.5)</f>
        <v>0.5</v>
      </c>
      <c r="O6250" s="4" t="str">
        <f>IFERROR(__xludf.DUMMYFUNCTION("""COMPUTED_VALUE"""),"Wps Sistemas Ltda")</f>
        <v>Wps Sistemas Ltda</v>
      </c>
      <c r="P6250" s="33">
        <f>IFERROR(__xludf.DUMMYFUNCTION("""COMPUTED_VALUE"""),0.5)</f>
        <v>0.5</v>
      </c>
      <c r="Q6250" s="4" t="str">
        <f>IFERROR(__xludf.DUMMYFUNCTION("""COMPUTED_VALUE"""),"Wps Sistemas Ltda")</f>
        <v>Wps Sistemas Ltda</v>
      </c>
      <c r="R6250" s="33">
        <f>IFERROR(__xludf.DUMMYFUNCTION("""COMPUTED_VALUE"""),0.5)</f>
        <v>0.5</v>
      </c>
      <c r="S6250" s="4" t="str">
        <f>IFERROR(__xludf.DUMMYFUNCTION("""COMPUTED_VALUE"""),"Wps Sistemas Ltda")</f>
        <v>Wps Sistemas Ltda</v>
      </c>
      <c r="T6250" s="33">
        <f>IFERROR(__xludf.DUMMYFUNCTION("""COMPUTED_VALUE"""),0.5)</f>
        <v>0.5</v>
      </c>
      <c r="U6250" s="4" t="str">
        <f>IFERROR(__xludf.DUMMYFUNCTION("""COMPUTED_VALUE"""),"Wps Sistemas Ltda")</f>
        <v>Wps Sistemas Ltda</v>
      </c>
      <c r="V6250" s="33">
        <f>IFERROR(__xludf.DUMMYFUNCTION("""COMPUTED_VALUE"""),0.5)</f>
        <v>0.5</v>
      </c>
      <c r="W6250" s="4" t="str">
        <f>IFERROR(__xludf.DUMMYFUNCTION("""COMPUTED_VALUE"""),"Wps Sistemas Ltda")</f>
        <v>Wps Sistemas Ltda</v>
      </c>
      <c r="X6250" s="33">
        <f>IFERROR(__xludf.DUMMYFUNCTION("""COMPUTED_VALUE"""),0.5)</f>
        <v>0.5</v>
      </c>
    </row>
    <row r="6251">
      <c r="K6251" s="4" t="str">
        <f>IFERROR(__xludf.DUMMYFUNCTION("""COMPUTED_VALUE"""),"BOTECO ZE MANE")</f>
        <v>BOTECO ZE MANE</v>
      </c>
      <c r="L6251" s="32">
        <f>IFERROR(__xludf.DUMMYFUNCTION("""COMPUTED_VALUE"""),2.0)</f>
        <v>2</v>
      </c>
      <c r="M6251" s="4" t="str">
        <f>IFERROR(__xludf.DUMMYFUNCTION("""COMPUTED_VALUE"""),"Ncr")</f>
        <v>Ncr</v>
      </c>
      <c r="N6251" s="33">
        <f>IFERROR(__xludf.DUMMYFUNCTION("""COMPUTED_VALUE"""),0.5)</f>
        <v>0.5</v>
      </c>
      <c r="O6251" s="4" t="str">
        <f>IFERROR(__xludf.DUMMYFUNCTION("""COMPUTED_VALUE"""),"Ncr")</f>
        <v>Ncr</v>
      </c>
      <c r="P6251" s="33">
        <f>IFERROR(__xludf.DUMMYFUNCTION("""COMPUTED_VALUE"""),0.5)</f>
        <v>0.5</v>
      </c>
      <c r="Q6251" s="4" t="str">
        <f>IFERROR(__xludf.DUMMYFUNCTION("""COMPUTED_VALUE"""),"Ncr")</f>
        <v>Ncr</v>
      </c>
      <c r="R6251" s="33">
        <f>IFERROR(__xludf.DUMMYFUNCTION("""COMPUTED_VALUE"""),0.5)</f>
        <v>0.5</v>
      </c>
      <c r="S6251" s="4" t="str">
        <f>IFERROR(__xludf.DUMMYFUNCTION("""COMPUTED_VALUE"""),"Ncr")</f>
        <v>Ncr</v>
      </c>
      <c r="T6251" s="33">
        <f>IFERROR(__xludf.DUMMYFUNCTION("""COMPUTED_VALUE"""),0.5)</f>
        <v>0.5</v>
      </c>
      <c r="U6251" s="4" t="str">
        <f>IFERROR(__xludf.DUMMYFUNCTION("""COMPUTED_VALUE"""),"Ncr")</f>
        <v>Ncr</v>
      </c>
      <c r="V6251" s="33">
        <f>IFERROR(__xludf.DUMMYFUNCTION("""COMPUTED_VALUE"""),1.0)</f>
        <v>1</v>
      </c>
      <c r="W6251" s="4" t="str">
        <f>IFERROR(__xludf.DUMMYFUNCTION("""COMPUTED_VALUE"""),"null")</f>
        <v>null</v>
      </c>
      <c r="X6251" s="33">
        <f>IFERROR(__xludf.DUMMYFUNCTION("""COMPUTED_VALUE"""),0.5)</f>
        <v>0.5</v>
      </c>
    </row>
    <row r="6252">
      <c r="K6252" s="4" t="str">
        <f>IFERROR(__xludf.DUMMYFUNCTION("""COMPUTED_VALUE"""),"PLAY BURGER")</f>
        <v>PLAY BURGER</v>
      </c>
      <c r="L6252" s="32">
        <f>IFERROR(__xludf.DUMMYFUNCTION("""COMPUTED_VALUE"""),2.0)</f>
        <v>2</v>
      </c>
      <c r="M6252" s="4" t="str">
        <f>IFERROR(__xludf.DUMMYFUNCTION("""COMPUTED_VALUE"""),"Brendi")</f>
        <v>Brendi</v>
      </c>
      <c r="N6252" s="33">
        <f>IFERROR(__xludf.DUMMYFUNCTION("""COMPUTED_VALUE"""),0.5)</f>
        <v>0.5</v>
      </c>
      <c r="O6252" s="4" t="str">
        <f>IFERROR(__xludf.DUMMYFUNCTION("""COMPUTED_VALUE"""),"Brendi")</f>
        <v>Brendi</v>
      </c>
      <c r="P6252" s="33">
        <f>IFERROR(__xludf.DUMMYFUNCTION("""COMPUTED_VALUE"""),0.5)</f>
        <v>0.5</v>
      </c>
      <c r="Q6252" s="4" t="str">
        <f>IFERROR(__xludf.DUMMYFUNCTION("""COMPUTED_VALUE"""),"Brendi")</f>
        <v>Brendi</v>
      </c>
      <c r="R6252" s="33">
        <f>IFERROR(__xludf.DUMMYFUNCTION("""COMPUTED_VALUE"""),0.5)</f>
        <v>0.5</v>
      </c>
      <c r="S6252" s="4" t="str">
        <f>IFERROR(__xludf.DUMMYFUNCTION("""COMPUTED_VALUE"""),"Brendi")</f>
        <v>Brendi</v>
      </c>
      <c r="T6252" s="33">
        <f>IFERROR(__xludf.DUMMYFUNCTION("""COMPUTED_VALUE"""),0.5)</f>
        <v>0.5</v>
      </c>
      <c r="U6252" s="4" t="str">
        <f>IFERROR(__xludf.DUMMYFUNCTION("""COMPUTED_VALUE"""),"Brendi")</f>
        <v>Brendi</v>
      </c>
      <c r="V6252" s="33">
        <f>IFERROR(__xludf.DUMMYFUNCTION("""COMPUTED_VALUE"""),0.5)</f>
        <v>0.5</v>
      </c>
      <c r="W6252" s="4" t="str">
        <f>IFERROR(__xludf.DUMMYFUNCTION("""COMPUTED_VALUE"""),"Brendi")</f>
        <v>Brendi</v>
      </c>
      <c r="X6252" s="33">
        <f>IFERROR(__xludf.DUMMYFUNCTION("""COMPUTED_VALUE"""),0.5)</f>
        <v>0.5</v>
      </c>
    </row>
    <row r="6253">
      <c r="K6253" s="4" t="str">
        <f>IFERROR(__xludf.DUMMYFUNCTION("""COMPUTED_VALUE"""),"GUGA BURGUER")</f>
        <v>GUGA BURGUER</v>
      </c>
      <c r="L6253" s="32">
        <f>IFERROR(__xludf.DUMMYFUNCTION("""COMPUTED_VALUE"""),2.0)</f>
        <v>2</v>
      </c>
      <c r="M6253" s="4" t="str">
        <f>IFERROR(__xludf.DUMMYFUNCTION("""COMPUTED_VALUE"""),"Anota Ai Solucoes Digitais S/a")</f>
        <v>Anota Ai Solucoes Digitais S/a</v>
      </c>
      <c r="N6253" s="33">
        <f>IFERROR(__xludf.DUMMYFUNCTION("""COMPUTED_VALUE"""),0.5)</f>
        <v>0.5</v>
      </c>
      <c r="O6253" s="4" t="str">
        <f>IFERROR(__xludf.DUMMYFUNCTION("""COMPUTED_VALUE"""),"Anota Ai Solucoes Digitais S/a")</f>
        <v>Anota Ai Solucoes Digitais S/a</v>
      </c>
      <c r="P6253" s="33">
        <f>IFERROR(__xludf.DUMMYFUNCTION("""COMPUTED_VALUE"""),0.5)</f>
        <v>0.5</v>
      </c>
      <c r="Q6253" s="4" t="str">
        <f>IFERROR(__xludf.DUMMYFUNCTION("""COMPUTED_VALUE"""),"Anota Ai Solucoes Digitais S/a")</f>
        <v>Anota Ai Solucoes Digitais S/a</v>
      </c>
      <c r="R6253" s="33">
        <f>IFERROR(__xludf.DUMMYFUNCTION("""COMPUTED_VALUE"""),0.5)</f>
        <v>0.5</v>
      </c>
      <c r="S6253" s="4" t="str">
        <f>IFERROR(__xludf.DUMMYFUNCTION("""COMPUTED_VALUE"""),"Anota Ai Solucoes Digitais S/a")</f>
        <v>Anota Ai Solucoes Digitais S/a</v>
      </c>
      <c r="T6253" s="33">
        <f>IFERROR(__xludf.DUMMYFUNCTION("""COMPUTED_VALUE"""),0.5)</f>
        <v>0.5</v>
      </c>
      <c r="U6253" s="4" t="str">
        <f>IFERROR(__xludf.DUMMYFUNCTION("""COMPUTED_VALUE"""),"null")</f>
        <v>null</v>
      </c>
      <c r="V6253" s="33">
        <f>IFERROR(__xludf.DUMMYFUNCTION("""COMPUTED_VALUE"""),0.5)</f>
        <v>0.5</v>
      </c>
      <c r="W6253" s="4" t="str">
        <f>IFERROR(__xludf.DUMMYFUNCTION("""COMPUTED_VALUE"""),"Anota Ai Solucoes Digitais S/a")</f>
        <v>Anota Ai Solucoes Digitais S/a</v>
      </c>
      <c r="X6253" s="33">
        <f>IFERROR(__xludf.DUMMYFUNCTION("""COMPUTED_VALUE"""),0.5)</f>
        <v>0.5</v>
      </c>
    </row>
    <row r="6254">
      <c r="K6254" s="4" t="str">
        <f>IFERROR(__xludf.DUMMYFUNCTION("""COMPUTED_VALUE"""),"BENTOS BURGUER")</f>
        <v>BENTOS BURGUER</v>
      </c>
      <c r="L6254" s="32">
        <f>IFERROR(__xludf.DUMMYFUNCTION("""COMPUTED_VALUE"""),2.0)</f>
        <v>2</v>
      </c>
      <c r="M6254" s="4" t="str">
        <f>IFERROR(__xludf.DUMMYFUNCTION("""COMPUTED_VALUE"""),"Saipos Serviços De Software")</f>
        <v>Saipos Serviços De Software</v>
      </c>
      <c r="N6254" s="33">
        <f>IFERROR(__xludf.DUMMYFUNCTION("""COMPUTED_VALUE"""),1.0)</f>
        <v>1</v>
      </c>
      <c r="O6254" s="4" t="str">
        <f>IFERROR(__xludf.DUMMYFUNCTION("""COMPUTED_VALUE"""),"Saipos Serviços De Software")</f>
        <v>Saipos Serviços De Software</v>
      </c>
      <c r="P6254" s="33">
        <f>IFERROR(__xludf.DUMMYFUNCTION("""COMPUTED_VALUE"""),0.5)</f>
        <v>0.5</v>
      </c>
      <c r="Q6254" s="4" t="str">
        <f>IFERROR(__xludf.DUMMYFUNCTION("""COMPUTED_VALUE"""),"null")</f>
        <v>null</v>
      </c>
      <c r="R6254" s="33">
        <f>IFERROR(__xludf.DUMMYFUNCTION("""COMPUTED_VALUE"""),1.0)</f>
        <v>1</v>
      </c>
      <c r="S6254" s="4" t="str">
        <f>IFERROR(__xludf.DUMMYFUNCTION("""COMPUTED_VALUE"""),"null")</f>
        <v>null</v>
      </c>
      <c r="T6254" s="33">
        <f>IFERROR(__xludf.DUMMYFUNCTION("""COMPUTED_VALUE"""),1.0)</f>
        <v>1</v>
      </c>
      <c r="U6254" s="4" t="str">
        <f>IFERROR(__xludf.DUMMYFUNCTION("""COMPUTED_VALUE"""),"null")</f>
        <v>null</v>
      </c>
      <c r="V6254" s="33">
        <f>IFERROR(__xludf.DUMMYFUNCTION("""COMPUTED_VALUE"""),0.5)</f>
        <v>0.5</v>
      </c>
      <c r="W6254" s="4" t="str">
        <f>IFERROR(__xludf.DUMMYFUNCTION("""COMPUTED_VALUE"""),"null")</f>
        <v>null</v>
      </c>
      <c r="X6254" s="33">
        <f>IFERROR(__xludf.DUMMYFUNCTION("""COMPUTED_VALUE"""),1.0)</f>
        <v>1</v>
      </c>
    </row>
    <row r="6255">
      <c r="K6255" s="4" t="str">
        <f>IFERROR(__xludf.DUMMYFUNCTION("""COMPUTED_VALUE"""),"TARE SUSHI")</f>
        <v>TARE SUSHI</v>
      </c>
      <c r="L6255" s="32">
        <f>IFERROR(__xludf.DUMMYFUNCTION("""COMPUTED_VALUE"""),2.0)</f>
        <v>2</v>
      </c>
      <c r="M6255" s="4" t="str">
        <f>IFERROR(__xludf.DUMMYFUNCTION("""COMPUTED_VALUE"""),"Mp Multipedidos")</f>
        <v>Mp Multipedidos</v>
      </c>
      <c r="N6255" s="33">
        <f>IFERROR(__xludf.DUMMYFUNCTION("""COMPUTED_VALUE"""),0.5)</f>
        <v>0.5</v>
      </c>
      <c r="O6255" s="4" t="str">
        <f>IFERROR(__xludf.DUMMYFUNCTION("""COMPUTED_VALUE"""),"Mp Multipedidos")</f>
        <v>Mp Multipedidos</v>
      </c>
      <c r="P6255" s="33">
        <f>IFERROR(__xludf.DUMMYFUNCTION("""COMPUTED_VALUE"""),0.5)</f>
        <v>0.5</v>
      </c>
      <c r="Q6255" s="4" t="str">
        <f>IFERROR(__xludf.DUMMYFUNCTION("""COMPUTED_VALUE"""),"Mp Multipedidos")</f>
        <v>Mp Multipedidos</v>
      </c>
      <c r="R6255" s="33">
        <f>IFERROR(__xludf.DUMMYFUNCTION("""COMPUTED_VALUE"""),0.5)</f>
        <v>0.5</v>
      </c>
      <c r="S6255" s="4" t="str">
        <f>IFERROR(__xludf.DUMMYFUNCTION("""COMPUTED_VALUE"""),"Mp Multipedidos")</f>
        <v>Mp Multipedidos</v>
      </c>
      <c r="T6255" s="33">
        <f>IFERROR(__xludf.DUMMYFUNCTION("""COMPUTED_VALUE"""),0.5)</f>
        <v>0.5</v>
      </c>
      <c r="U6255" s="4" t="str">
        <f>IFERROR(__xludf.DUMMYFUNCTION("""COMPUTED_VALUE"""),"Mp Multipedidos")</f>
        <v>Mp Multipedidos</v>
      </c>
      <c r="V6255" s="33">
        <f>IFERROR(__xludf.DUMMYFUNCTION("""COMPUTED_VALUE"""),0.5)</f>
        <v>0.5</v>
      </c>
      <c r="W6255" s="4" t="str">
        <f>IFERROR(__xludf.DUMMYFUNCTION("""COMPUTED_VALUE"""),"Mp Multipedidos")</f>
        <v>Mp Multipedidos</v>
      </c>
      <c r="X6255" s="33">
        <f>IFERROR(__xludf.DUMMYFUNCTION("""COMPUTED_VALUE"""),0.5)</f>
        <v>0.5</v>
      </c>
    </row>
    <row r="6256">
      <c r="K6256" s="4" t="str">
        <f>IFERROR(__xludf.DUMMYFUNCTION("""COMPUTED_VALUE"""),"CHICKENS BR - FRANGO FRITO PERFEITO")</f>
        <v>CHICKENS BR - FRANGO FRITO PERFEITO</v>
      </c>
      <c r="L6256" s="32">
        <f>IFERROR(__xludf.DUMMYFUNCTION("""COMPUTED_VALUE"""),2.0)</f>
        <v>2</v>
      </c>
      <c r="M6256" s="4" t="str">
        <f>IFERROR(__xludf.DUMMYFUNCTION("""COMPUTED_VALUE"""),"Cardápio Web")</f>
        <v>Cardápio Web</v>
      </c>
      <c r="N6256" s="33">
        <f>IFERROR(__xludf.DUMMYFUNCTION("""COMPUTED_VALUE"""),1.0)</f>
        <v>1</v>
      </c>
      <c r="O6256" s="4" t="str">
        <f>IFERROR(__xludf.DUMMYFUNCTION("""COMPUTED_VALUE"""),"Cardápio Web")</f>
        <v>Cardápio Web</v>
      </c>
      <c r="P6256" s="33">
        <f>IFERROR(__xludf.DUMMYFUNCTION("""COMPUTED_VALUE"""),1.0)</f>
        <v>1</v>
      </c>
      <c r="Q6256" s="4" t="str">
        <f>IFERROR(__xludf.DUMMYFUNCTION("""COMPUTED_VALUE"""),"Cardápio Web")</f>
        <v>Cardápio Web</v>
      </c>
      <c r="R6256" s="33">
        <f>IFERROR(__xludf.DUMMYFUNCTION("""COMPUTED_VALUE"""),1.0)</f>
        <v>1</v>
      </c>
      <c r="S6256" s="4" t="str">
        <f>IFERROR(__xludf.DUMMYFUNCTION("""COMPUTED_VALUE"""),"Cardápio Web")</f>
        <v>Cardápio Web</v>
      </c>
      <c r="T6256" s="33">
        <f>IFERROR(__xludf.DUMMYFUNCTION("""COMPUTED_VALUE"""),1.0)</f>
        <v>1</v>
      </c>
      <c r="U6256" s="4" t="str">
        <f>IFERROR(__xludf.DUMMYFUNCTION("""COMPUTED_VALUE"""),"Cardápio Web")</f>
        <v>Cardápio Web</v>
      </c>
      <c r="V6256" s="33">
        <f>IFERROR(__xludf.DUMMYFUNCTION("""COMPUTED_VALUE"""),1.0)</f>
        <v>1</v>
      </c>
      <c r="W6256" s="4" t="str">
        <f>IFERROR(__xludf.DUMMYFUNCTION("""COMPUTED_VALUE"""),"Cardápio Web")</f>
        <v>Cardápio Web</v>
      </c>
      <c r="X6256" s="33">
        <f>IFERROR(__xludf.DUMMYFUNCTION("""COMPUTED_VALUE"""),1.0)</f>
        <v>1</v>
      </c>
    </row>
    <row r="6257">
      <c r="K6257" s="4" t="str">
        <f>IFERROR(__xludf.DUMMYFUNCTION("""COMPUTED_VALUE"""),"PIZZARIA LYS")</f>
        <v>PIZZARIA LYS</v>
      </c>
      <c r="L6257" s="32">
        <f>IFERROR(__xludf.DUMMYFUNCTION("""COMPUTED_VALUE"""),2.0)</f>
        <v>2</v>
      </c>
      <c r="M6257" s="4" t="str">
        <f>IFERROR(__xludf.DUMMYFUNCTION("""COMPUTED_VALUE"""),"null")</f>
        <v>null</v>
      </c>
      <c r="N6257" s="33">
        <f>IFERROR(__xludf.DUMMYFUNCTION("""COMPUTED_VALUE"""),0.5)</f>
        <v>0.5</v>
      </c>
      <c r="O6257" s="4" t="str">
        <f>IFERROR(__xludf.DUMMYFUNCTION("""COMPUTED_VALUE"""),"null")</f>
        <v>null</v>
      </c>
      <c r="P6257" s="33">
        <f>IFERROR(__xludf.DUMMYFUNCTION("""COMPUTED_VALUE"""),0.5)</f>
        <v>0.5</v>
      </c>
      <c r="Q6257" s="4" t="str">
        <f>IFERROR(__xludf.DUMMYFUNCTION("""COMPUTED_VALUE"""),"null")</f>
        <v>null</v>
      </c>
      <c r="R6257" s="33">
        <f>IFERROR(__xludf.DUMMYFUNCTION("""COMPUTED_VALUE"""),0.5)</f>
        <v>0.5</v>
      </c>
      <c r="S6257" s="4" t="str">
        <f>IFERROR(__xludf.DUMMYFUNCTION("""COMPUTED_VALUE"""),"null")</f>
        <v>null</v>
      </c>
      <c r="T6257" s="33">
        <f>IFERROR(__xludf.DUMMYFUNCTION("""COMPUTED_VALUE"""),1.0)</f>
        <v>1</v>
      </c>
      <c r="U6257" s="4" t="str">
        <f>IFERROR(__xludf.DUMMYFUNCTION("""COMPUTED_VALUE"""),"Saipos Serviços De Software")</f>
        <v>Saipos Serviços De Software</v>
      </c>
      <c r="V6257" s="33">
        <f>IFERROR(__xludf.DUMMYFUNCTION("""COMPUTED_VALUE"""),0.5)</f>
        <v>0.5</v>
      </c>
      <c r="W6257" s="4" t="str">
        <f>IFERROR(__xludf.DUMMYFUNCTION("""COMPUTED_VALUE"""),"Saipos Serviços De Software")</f>
        <v>Saipos Serviços De Software</v>
      </c>
      <c r="X6257" s="33">
        <f>IFERROR(__xludf.DUMMYFUNCTION("""COMPUTED_VALUE"""),0.5)</f>
        <v>0.5</v>
      </c>
    </row>
    <row r="6258">
      <c r="K6258" s="4" t="str">
        <f>IFERROR(__xludf.DUMMYFUNCTION("""COMPUTED_VALUE"""),"PARMEGIANA EXPRESS - MARMITAS")</f>
        <v>PARMEGIANA EXPRESS - MARMITAS</v>
      </c>
      <c r="L6258" s="32">
        <f>IFERROR(__xludf.DUMMYFUNCTION("""COMPUTED_VALUE"""),2.0)</f>
        <v>2</v>
      </c>
      <c r="M6258" s="4" t="str">
        <f>IFERROR(__xludf.DUMMYFUNCTION("""COMPUTED_VALUE"""),"null")</f>
        <v>null</v>
      </c>
      <c r="N6258" s="33">
        <f>IFERROR(__xludf.DUMMYFUNCTION("""COMPUTED_VALUE"""),1.0)</f>
        <v>1</v>
      </c>
      <c r="O6258" s="4" t="str">
        <f>IFERROR(__xludf.DUMMYFUNCTION("""COMPUTED_VALUE"""),"null")</f>
        <v>null</v>
      </c>
      <c r="P6258" s="33">
        <f>IFERROR(__xludf.DUMMYFUNCTION("""COMPUTED_VALUE"""),1.0)</f>
        <v>1</v>
      </c>
      <c r="Q6258" s="4" t="str">
        <f>IFERROR(__xludf.DUMMYFUNCTION("""COMPUTED_VALUE"""),"Cardápio Web")</f>
        <v>Cardápio Web</v>
      </c>
      <c r="R6258" s="33">
        <f>IFERROR(__xludf.DUMMYFUNCTION("""COMPUTED_VALUE"""),0.5)</f>
        <v>0.5</v>
      </c>
      <c r="S6258" s="4" t="str">
        <f>IFERROR(__xludf.DUMMYFUNCTION("""COMPUTED_VALUE"""),"Cardápio Web")</f>
        <v>Cardápio Web</v>
      </c>
      <c r="T6258" s="33">
        <f>IFERROR(__xludf.DUMMYFUNCTION("""COMPUTED_VALUE"""),0.5)</f>
        <v>0.5</v>
      </c>
      <c r="U6258" s="4" t="str">
        <f>IFERROR(__xludf.DUMMYFUNCTION("""COMPUTED_VALUE"""),"Cardápio Web")</f>
        <v>Cardápio Web</v>
      </c>
      <c r="V6258" s="33">
        <f>IFERROR(__xludf.DUMMYFUNCTION("""COMPUTED_VALUE"""),1.0)</f>
        <v>1</v>
      </c>
      <c r="W6258" s="4" t="str">
        <f>IFERROR(__xludf.DUMMYFUNCTION("""COMPUTED_VALUE"""),"Cardápio Web")</f>
        <v>Cardápio Web</v>
      </c>
      <c r="X6258" s="33">
        <f>IFERROR(__xludf.DUMMYFUNCTION("""COMPUTED_VALUE"""),1.0)</f>
        <v>1</v>
      </c>
    </row>
    <row r="6259">
      <c r="K6259" s="4" t="str">
        <f>IFERROR(__xludf.DUMMYFUNCTION("""COMPUTED_VALUE"""),"VITAL ACAI")</f>
        <v>VITAL ACAI</v>
      </c>
      <c r="L6259" s="32">
        <f>IFERROR(__xludf.DUMMYFUNCTION("""COMPUTED_VALUE"""),2.0)</f>
        <v>2</v>
      </c>
      <c r="M6259" s="4" t="str">
        <f>IFERROR(__xludf.DUMMYFUNCTION("""COMPUTED_VALUE"""),"Anota Ai Solucoes Digitais S/a")</f>
        <v>Anota Ai Solucoes Digitais S/a</v>
      </c>
      <c r="N6259" s="33">
        <f>IFERROR(__xludf.DUMMYFUNCTION("""COMPUTED_VALUE"""),0.5)</f>
        <v>0.5</v>
      </c>
      <c r="O6259" s="4" t="str">
        <f>IFERROR(__xludf.DUMMYFUNCTION("""COMPUTED_VALUE"""),"null")</f>
        <v>null</v>
      </c>
      <c r="P6259" s="33">
        <f>IFERROR(__xludf.DUMMYFUNCTION("""COMPUTED_VALUE"""),1.0)</f>
        <v>1</v>
      </c>
      <c r="Q6259" s="4" t="str">
        <f>IFERROR(__xludf.DUMMYFUNCTION("""COMPUTED_VALUE"""),"null")</f>
        <v>null</v>
      </c>
      <c r="R6259" s="33">
        <f>IFERROR(__xludf.DUMMYFUNCTION("""COMPUTED_VALUE"""),1.0)</f>
        <v>1</v>
      </c>
      <c r="S6259" s="4" t="str">
        <f>IFERROR(__xludf.DUMMYFUNCTION("""COMPUTED_VALUE"""),"null")</f>
        <v>null</v>
      </c>
      <c r="T6259" s="33">
        <f>IFERROR(__xludf.DUMMYFUNCTION("""COMPUTED_VALUE"""),0.5)</f>
        <v>0.5</v>
      </c>
      <c r="U6259" s="4" t="str">
        <f>IFERROR(__xludf.DUMMYFUNCTION("""COMPUTED_VALUE"""),"null")</f>
        <v>null</v>
      </c>
      <c r="V6259" s="33">
        <f>IFERROR(__xludf.DUMMYFUNCTION("""COMPUTED_VALUE"""),0.5)</f>
        <v>0.5</v>
      </c>
      <c r="W6259" s="4" t="str">
        <f>IFERROR(__xludf.DUMMYFUNCTION("""COMPUTED_VALUE"""),"null")</f>
        <v>null</v>
      </c>
      <c r="X6259" s="33">
        <f>IFERROR(__xludf.DUMMYFUNCTION("""COMPUTED_VALUE"""),0.5)</f>
        <v>0.5</v>
      </c>
    </row>
    <row r="6260">
      <c r="K6260" s="4" t="str">
        <f>IFERROR(__xludf.DUMMYFUNCTION("""COMPUTED_VALUE"""),"OS CHEFES HAMBURGUERIA")</f>
        <v>OS CHEFES HAMBURGUERIA</v>
      </c>
      <c r="L6260" s="32">
        <f>IFERROR(__xludf.DUMMYFUNCTION("""COMPUTED_VALUE"""),2.0)</f>
        <v>2</v>
      </c>
      <c r="M6260" s="4" t="str">
        <f>IFERROR(__xludf.DUMMYFUNCTION("""COMPUTED_VALUE"""),"Saipos Serviços De Software")</f>
        <v>Saipos Serviços De Software</v>
      </c>
      <c r="N6260" s="33">
        <f>IFERROR(__xludf.DUMMYFUNCTION("""COMPUTED_VALUE"""),1.0)</f>
        <v>1</v>
      </c>
      <c r="O6260" s="4" t="str">
        <f>IFERROR(__xludf.DUMMYFUNCTION("""COMPUTED_VALUE"""),"Saipos Serviços De Software")</f>
        <v>Saipos Serviços De Software</v>
      </c>
      <c r="P6260" s="33">
        <f>IFERROR(__xludf.DUMMYFUNCTION("""COMPUTED_VALUE"""),1.0)</f>
        <v>1</v>
      </c>
      <c r="Q6260" s="4" t="str">
        <f>IFERROR(__xludf.DUMMYFUNCTION("""COMPUTED_VALUE"""),"Saipos Serviços De Software")</f>
        <v>Saipos Serviços De Software</v>
      </c>
      <c r="R6260" s="33">
        <f>IFERROR(__xludf.DUMMYFUNCTION("""COMPUTED_VALUE"""),1.0)</f>
        <v>1</v>
      </c>
      <c r="S6260" s="4" t="str">
        <f>IFERROR(__xludf.DUMMYFUNCTION("""COMPUTED_VALUE"""),"Saipos Serviços De Software")</f>
        <v>Saipos Serviços De Software</v>
      </c>
      <c r="T6260" s="33">
        <f>IFERROR(__xludf.DUMMYFUNCTION("""COMPUTED_VALUE"""),1.0)</f>
        <v>1</v>
      </c>
      <c r="U6260" s="4" t="str">
        <f>IFERROR(__xludf.DUMMYFUNCTION("""COMPUTED_VALUE"""),"Saipos Serviços De Software")</f>
        <v>Saipos Serviços De Software</v>
      </c>
      <c r="V6260" s="33">
        <f>IFERROR(__xludf.DUMMYFUNCTION("""COMPUTED_VALUE"""),1.0)</f>
        <v>1</v>
      </c>
      <c r="W6260" s="4" t="str">
        <f>IFERROR(__xludf.DUMMYFUNCTION("""COMPUTED_VALUE"""),"Saipos Serviços De Software")</f>
        <v>Saipos Serviços De Software</v>
      </c>
      <c r="X6260" s="33">
        <f>IFERROR(__xludf.DUMMYFUNCTION("""COMPUTED_VALUE"""),1.0)</f>
        <v>1</v>
      </c>
    </row>
    <row r="6261">
      <c r="K6261" s="4" t="str">
        <f>IFERROR(__xludf.DUMMYFUNCTION("""COMPUTED_VALUE"""),"JAPA GO SUSHI, TEMAKI POKE")</f>
        <v>JAPA GO SUSHI, TEMAKI POKE</v>
      </c>
      <c r="L6261" s="32">
        <f>IFERROR(__xludf.DUMMYFUNCTION("""COMPUTED_VALUE"""),2.0)</f>
        <v>2</v>
      </c>
      <c r="M6261" s="4" t="str">
        <f>IFERROR(__xludf.DUMMYFUNCTION("""COMPUTED_VALUE"""),"Saipos Serviços De Software")</f>
        <v>Saipos Serviços De Software</v>
      </c>
      <c r="N6261" s="33">
        <f>IFERROR(__xludf.DUMMYFUNCTION("""COMPUTED_VALUE"""),1.0)</f>
        <v>1</v>
      </c>
      <c r="O6261" s="4" t="str">
        <f>IFERROR(__xludf.DUMMYFUNCTION("""COMPUTED_VALUE"""),"Saipos Serviços De Software")</f>
        <v>Saipos Serviços De Software</v>
      </c>
      <c r="P6261" s="33">
        <f>IFERROR(__xludf.DUMMYFUNCTION("""COMPUTED_VALUE"""),1.0)</f>
        <v>1</v>
      </c>
      <c r="Q6261" s="4" t="str">
        <f>IFERROR(__xludf.DUMMYFUNCTION("""COMPUTED_VALUE"""),"Saipos Serviços De Software")</f>
        <v>Saipos Serviços De Software</v>
      </c>
      <c r="R6261" s="33">
        <f>IFERROR(__xludf.DUMMYFUNCTION("""COMPUTED_VALUE"""),1.0)</f>
        <v>1</v>
      </c>
      <c r="S6261" s="4" t="str">
        <f>IFERROR(__xludf.DUMMYFUNCTION("""COMPUTED_VALUE"""),"Saipos Serviços De Software")</f>
        <v>Saipos Serviços De Software</v>
      </c>
      <c r="T6261" s="33">
        <f>IFERROR(__xludf.DUMMYFUNCTION("""COMPUTED_VALUE"""),1.0)</f>
        <v>1</v>
      </c>
      <c r="U6261" s="4" t="str">
        <f>IFERROR(__xludf.DUMMYFUNCTION("""COMPUTED_VALUE"""),"Saipos Serviços De Software")</f>
        <v>Saipos Serviços De Software</v>
      </c>
      <c r="V6261" s="33">
        <f>IFERROR(__xludf.DUMMYFUNCTION("""COMPUTED_VALUE"""),1.0)</f>
        <v>1</v>
      </c>
      <c r="W6261" s="4" t="str">
        <f>IFERROR(__xludf.DUMMYFUNCTION("""COMPUTED_VALUE"""),"Saipos Serviços De Software")</f>
        <v>Saipos Serviços De Software</v>
      </c>
      <c r="X6261" s="33">
        <f>IFERROR(__xludf.DUMMYFUNCTION("""COMPUTED_VALUE"""),1.0)</f>
        <v>1</v>
      </c>
    </row>
    <row r="6262">
      <c r="K6262" s="4" t="str">
        <f>IFERROR(__xludf.DUMMYFUNCTION("""COMPUTED_VALUE"""),"BRUTUS HAMBURGUERIA")</f>
        <v>BRUTUS HAMBURGUERIA</v>
      </c>
      <c r="L6262" s="32">
        <f>IFERROR(__xludf.DUMMYFUNCTION("""COMPUTED_VALUE"""),2.0)</f>
        <v>2</v>
      </c>
      <c r="M6262" s="4" t="str">
        <f>IFERROR(__xludf.DUMMYFUNCTION("""COMPUTED_VALUE"""),"null")</f>
        <v>null</v>
      </c>
      <c r="N6262" s="33">
        <f>IFERROR(__xludf.DUMMYFUNCTION("""COMPUTED_VALUE"""),0.5)</f>
        <v>0.5</v>
      </c>
      <c r="O6262" s="4" t="str">
        <f>IFERROR(__xludf.DUMMYFUNCTION("""COMPUTED_VALUE"""),"null")</f>
        <v>null</v>
      </c>
      <c r="P6262" s="33">
        <f>IFERROR(__xludf.DUMMYFUNCTION("""COMPUTED_VALUE"""),0.5)</f>
        <v>0.5</v>
      </c>
      <c r="Q6262" s="4" t="str">
        <f>IFERROR(__xludf.DUMMYFUNCTION("""COMPUTED_VALUE"""),"null")</f>
        <v>null</v>
      </c>
      <c r="R6262" s="33">
        <f>IFERROR(__xludf.DUMMYFUNCTION("""COMPUTED_VALUE"""),0.5)</f>
        <v>0.5</v>
      </c>
      <c r="S6262" s="4" t="str">
        <f>IFERROR(__xludf.DUMMYFUNCTION("""COMPUTED_VALUE"""),"null")</f>
        <v>null</v>
      </c>
      <c r="T6262" s="33">
        <f>IFERROR(__xludf.DUMMYFUNCTION("""COMPUTED_VALUE"""),0.5)</f>
        <v>0.5</v>
      </c>
      <c r="U6262" s="4" t="str">
        <f>IFERROR(__xludf.DUMMYFUNCTION("""COMPUTED_VALUE"""),"null")</f>
        <v>null</v>
      </c>
      <c r="V6262" s="33">
        <f>IFERROR(__xludf.DUMMYFUNCTION("""COMPUTED_VALUE"""),0.5)</f>
        <v>0.5</v>
      </c>
      <c r="W6262" s="4" t="str">
        <f>IFERROR(__xludf.DUMMYFUNCTION("""COMPUTED_VALUE"""),"Anota Ai Solucoes Digitais S/a")</f>
        <v>Anota Ai Solucoes Digitais S/a</v>
      </c>
      <c r="X6262" s="33">
        <f>IFERROR(__xludf.DUMMYFUNCTION("""COMPUTED_VALUE"""),0.5)</f>
        <v>0.5</v>
      </c>
    </row>
    <row r="6263">
      <c r="K6263" s="4" t="str">
        <f>IFERROR(__xludf.DUMMYFUNCTION("""COMPUTED_VALUE"""),"YAMA SUSHI")</f>
        <v>YAMA SUSHI</v>
      </c>
      <c r="L6263" s="32">
        <f>IFERROR(__xludf.DUMMYFUNCTION("""COMPUTED_VALUE"""),2.0)</f>
        <v>2</v>
      </c>
      <c r="M6263" s="4" t="str">
        <f>IFERROR(__xludf.DUMMYFUNCTION("""COMPUTED_VALUE"""),"Cardápio Web")</f>
        <v>Cardápio Web</v>
      </c>
      <c r="N6263" s="33">
        <f>IFERROR(__xludf.DUMMYFUNCTION("""COMPUTED_VALUE"""),0.5)</f>
        <v>0.5</v>
      </c>
      <c r="O6263" s="4" t="str">
        <f>IFERROR(__xludf.DUMMYFUNCTION("""COMPUTED_VALUE"""),"Cardápio Web")</f>
        <v>Cardápio Web</v>
      </c>
      <c r="P6263" s="33">
        <f>IFERROR(__xludf.DUMMYFUNCTION("""COMPUTED_VALUE"""),0.5)</f>
        <v>0.5</v>
      </c>
      <c r="Q6263" s="4" t="str">
        <f>IFERROR(__xludf.DUMMYFUNCTION("""COMPUTED_VALUE"""),"Cardápio Web")</f>
        <v>Cardápio Web</v>
      </c>
      <c r="R6263" s="33">
        <f>IFERROR(__xludf.DUMMYFUNCTION("""COMPUTED_VALUE"""),0.5)</f>
        <v>0.5</v>
      </c>
      <c r="S6263" s="4" t="str">
        <f>IFERROR(__xludf.DUMMYFUNCTION("""COMPUTED_VALUE"""),"Cardápio Web")</f>
        <v>Cardápio Web</v>
      </c>
      <c r="T6263" s="33">
        <f>IFERROR(__xludf.DUMMYFUNCTION("""COMPUTED_VALUE"""),0.5)</f>
        <v>0.5</v>
      </c>
      <c r="U6263" s="4" t="str">
        <f>IFERROR(__xludf.DUMMYFUNCTION("""COMPUTED_VALUE"""),"Cardápio Web")</f>
        <v>Cardápio Web</v>
      </c>
      <c r="V6263" s="33">
        <f>IFERROR(__xludf.DUMMYFUNCTION("""COMPUTED_VALUE"""),0.5)</f>
        <v>0.5</v>
      </c>
      <c r="W6263" s="4" t="str">
        <f>IFERROR(__xludf.DUMMYFUNCTION("""COMPUTED_VALUE"""),"Cardápio Web")</f>
        <v>Cardápio Web</v>
      </c>
      <c r="X6263" s="33">
        <f>IFERROR(__xludf.DUMMYFUNCTION("""COMPUTED_VALUE"""),0.5)</f>
        <v>0.5</v>
      </c>
    </row>
    <row r="6264">
      <c r="K6264" s="4" t="str">
        <f>IFERROR(__xludf.DUMMYFUNCTION("""COMPUTED_VALUE"""),"ADEGA SANTA EUDOXIA")</f>
        <v>ADEGA SANTA EUDOXIA</v>
      </c>
      <c r="L6264" s="32">
        <f>IFERROR(__xludf.DUMMYFUNCTION("""COMPUTED_VALUE"""),2.0)</f>
        <v>2</v>
      </c>
      <c r="M6264" s="4" t="str">
        <f>IFERROR(__xludf.DUMMYFUNCTION("""COMPUTED_VALUE"""),"null")</f>
        <v>null</v>
      </c>
      <c r="N6264" s="33">
        <f>IFERROR(__xludf.DUMMYFUNCTION("""COMPUTED_VALUE"""),0.5)</f>
        <v>0.5</v>
      </c>
      <c r="O6264" s="4" t="str">
        <f>IFERROR(__xludf.DUMMYFUNCTION("""COMPUTED_VALUE"""),"N/A (Not found)")</f>
        <v>N/A (Not found)</v>
      </c>
      <c r="P6264" s="33">
        <f>IFERROR(__xludf.DUMMYFUNCTION("""COMPUTED_VALUE"""),1.0)</f>
        <v>1</v>
      </c>
      <c r="Q6264" s="4" t="str">
        <f>IFERROR(__xludf.DUMMYFUNCTION("""COMPUTED_VALUE"""),"N/A (Not found)")</f>
        <v>N/A (Not found)</v>
      </c>
      <c r="R6264" s="33">
        <f>IFERROR(__xludf.DUMMYFUNCTION("""COMPUTED_VALUE"""),1.0)</f>
        <v>1</v>
      </c>
      <c r="S6264" s="4" t="str">
        <f>IFERROR(__xludf.DUMMYFUNCTION("""COMPUTED_VALUE"""),"N/A (Not found)")</f>
        <v>N/A (Not found)</v>
      </c>
      <c r="T6264" s="33">
        <f>IFERROR(__xludf.DUMMYFUNCTION("""COMPUTED_VALUE"""),1.0)</f>
        <v>1</v>
      </c>
      <c r="U6264" s="4" t="str">
        <f>IFERROR(__xludf.DUMMYFUNCTION("""COMPUTED_VALUE"""),"N/A (Not found)")</f>
        <v>N/A (Not found)</v>
      </c>
      <c r="V6264" s="33">
        <f>IFERROR(__xludf.DUMMYFUNCTION("""COMPUTED_VALUE"""),1.0)</f>
        <v>1</v>
      </c>
      <c r="W6264" s="4" t="str">
        <f>IFERROR(__xludf.DUMMYFUNCTION("""COMPUTED_VALUE"""),"N/A (Not found)")</f>
        <v>N/A (Not found)</v>
      </c>
      <c r="X6264" s="33">
        <f>IFERROR(__xludf.DUMMYFUNCTION("""COMPUTED_VALUE"""),1.0)</f>
        <v>1</v>
      </c>
    </row>
    <row r="6265">
      <c r="K6265" s="4" t="str">
        <f>IFERROR(__xludf.DUMMYFUNCTION("""COMPUTED_VALUE"""),"BAR BRASIL")</f>
        <v>BAR BRASIL</v>
      </c>
      <c r="L6265" s="32">
        <f>IFERROR(__xludf.DUMMYFUNCTION("""COMPUTED_VALUE"""),2.0)</f>
        <v>2</v>
      </c>
      <c r="M6265" s="4" t="str">
        <f>IFERROR(__xludf.DUMMYFUNCTION("""COMPUTED_VALUE"""),"Anove Tecnologia")</f>
        <v>Anove Tecnologia</v>
      </c>
      <c r="N6265" s="33">
        <f>IFERROR(__xludf.DUMMYFUNCTION("""COMPUTED_VALUE"""),0.5)</f>
        <v>0.5</v>
      </c>
      <c r="O6265" s="4" t="str">
        <f>IFERROR(__xludf.DUMMYFUNCTION("""COMPUTED_VALUE"""),"null")</f>
        <v>null</v>
      </c>
      <c r="P6265" s="33">
        <f>IFERROR(__xludf.DUMMYFUNCTION("""COMPUTED_VALUE"""),0.5)</f>
        <v>0.5</v>
      </c>
      <c r="Q6265" s="4" t="str">
        <f>IFERROR(__xludf.DUMMYFUNCTION("""COMPUTED_VALUE"""),"null")</f>
        <v>null</v>
      </c>
      <c r="R6265" s="33">
        <f>IFERROR(__xludf.DUMMYFUNCTION("""COMPUTED_VALUE"""),0.5)</f>
        <v>0.5</v>
      </c>
      <c r="S6265" s="4" t="str">
        <f>IFERROR(__xludf.DUMMYFUNCTION("""COMPUTED_VALUE"""),"null")</f>
        <v>null</v>
      </c>
      <c r="T6265" s="33">
        <f>IFERROR(__xludf.DUMMYFUNCTION("""COMPUTED_VALUE"""),0.5)</f>
        <v>0.5</v>
      </c>
      <c r="U6265" s="4" t="str">
        <f>IFERROR(__xludf.DUMMYFUNCTION("""COMPUTED_VALUE"""),"Anove Tecnologia")</f>
        <v>Anove Tecnologia</v>
      </c>
      <c r="V6265" s="33">
        <f>IFERROR(__xludf.DUMMYFUNCTION("""COMPUTED_VALUE"""),0.5)</f>
        <v>0.5</v>
      </c>
      <c r="W6265" s="4" t="str">
        <f>IFERROR(__xludf.DUMMYFUNCTION("""COMPUTED_VALUE"""),"Anove Tecnologia")</f>
        <v>Anove Tecnologia</v>
      </c>
      <c r="X6265" s="33">
        <f>IFERROR(__xludf.DUMMYFUNCTION("""COMPUTED_VALUE"""),0.5)</f>
        <v>0.5</v>
      </c>
    </row>
    <row r="6266">
      <c r="K6266" s="4" t="str">
        <f>IFERROR(__xludf.DUMMYFUNCTION("""COMPUTED_VALUE"""),"PASTEL KING")</f>
        <v>PASTEL KING</v>
      </c>
      <c r="L6266" s="32">
        <f>IFERROR(__xludf.DUMMYFUNCTION("""COMPUTED_VALUE"""),2.0)</f>
        <v>2</v>
      </c>
      <c r="M6266" s="4" t="str">
        <f>IFERROR(__xludf.DUMMYFUNCTION("""COMPUTED_VALUE"""),"null")</f>
        <v>null</v>
      </c>
      <c r="N6266" s="33">
        <f>IFERROR(__xludf.DUMMYFUNCTION("""COMPUTED_VALUE"""),1.0)</f>
        <v>1</v>
      </c>
      <c r="O6266" s="4" t="str">
        <f>IFERROR(__xludf.DUMMYFUNCTION("""COMPUTED_VALUE"""),"Brendi")</f>
        <v>Brendi</v>
      </c>
      <c r="P6266" s="33">
        <f>IFERROR(__xludf.DUMMYFUNCTION("""COMPUTED_VALUE"""),1.0)</f>
        <v>1</v>
      </c>
      <c r="Q6266" s="4" t="str">
        <f>IFERROR(__xludf.DUMMYFUNCTION("""COMPUTED_VALUE"""),"null")</f>
        <v>null</v>
      </c>
      <c r="R6266" s="33">
        <f>IFERROR(__xludf.DUMMYFUNCTION("""COMPUTED_VALUE"""),0.5)</f>
        <v>0.5</v>
      </c>
      <c r="S6266" s="4" t="str">
        <f>IFERROR(__xludf.DUMMYFUNCTION("""COMPUTED_VALUE"""),"null")</f>
        <v>null</v>
      </c>
      <c r="T6266" s="33">
        <f>IFERROR(__xludf.DUMMYFUNCTION("""COMPUTED_VALUE"""),0.5)</f>
        <v>0.5</v>
      </c>
      <c r="U6266" s="4" t="str">
        <f>IFERROR(__xludf.DUMMYFUNCTION("""COMPUTED_VALUE"""),"Brendi")</f>
        <v>Brendi</v>
      </c>
      <c r="V6266" s="33">
        <f>IFERROR(__xludf.DUMMYFUNCTION("""COMPUTED_VALUE"""),1.0)</f>
        <v>1</v>
      </c>
      <c r="W6266" s="4" t="str">
        <f>IFERROR(__xludf.DUMMYFUNCTION("""COMPUTED_VALUE"""),"Brendi")</f>
        <v>Brendi</v>
      </c>
      <c r="X6266" s="33">
        <f>IFERROR(__xludf.DUMMYFUNCTION("""COMPUTED_VALUE"""),0.5)</f>
        <v>0.5</v>
      </c>
    </row>
    <row r="6267">
      <c r="K6267" s="4" t="str">
        <f>IFERROR(__xludf.DUMMYFUNCTION("""COMPUTED_VALUE"""),"BITE BURGER")</f>
        <v>BITE BURGER</v>
      </c>
      <c r="L6267" s="32">
        <f>IFERROR(__xludf.DUMMYFUNCTION("""COMPUTED_VALUE"""),2.0)</f>
        <v>2</v>
      </c>
      <c r="M6267" s="4" t="str">
        <f>IFERROR(__xludf.DUMMYFUNCTION("""COMPUTED_VALUE"""),"null")</f>
        <v>null</v>
      </c>
      <c r="N6267" s="33">
        <f>IFERROR(__xludf.DUMMYFUNCTION("""COMPUTED_VALUE"""),0.5)</f>
        <v>0.5</v>
      </c>
      <c r="O6267" s="4" t="str">
        <f>IFERROR(__xludf.DUMMYFUNCTION("""COMPUTED_VALUE"""),"null")</f>
        <v>null</v>
      </c>
      <c r="P6267" s="33">
        <f>IFERROR(__xludf.DUMMYFUNCTION("""COMPUTED_VALUE"""),0.5)</f>
        <v>0.5</v>
      </c>
      <c r="Q6267" s="4" t="str">
        <f>IFERROR(__xludf.DUMMYFUNCTION("""COMPUTED_VALUE"""),"null")</f>
        <v>null</v>
      </c>
      <c r="R6267" s="33">
        <f>IFERROR(__xludf.DUMMYFUNCTION("""COMPUTED_VALUE"""),0.5)</f>
        <v>0.5</v>
      </c>
      <c r="S6267" s="4" t="str">
        <f>IFERROR(__xludf.DUMMYFUNCTION("""COMPUTED_VALUE"""),"null")</f>
        <v>null</v>
      </c>
      <c r="T6267" s="33">
        <f>IFERROR(__xludf.DUMMYFUNCTION("""COMPUTED_VALUE"""),0.5)</f>
        <v>0.5</v>
      </c>
      <c r="U6267" s="4" t="str">
        <f>IFERROR(__xludf.DUMMYFUNCTION("""COMPUTED_VALUE"""),"null")</f>
        <v>null</v>
      </c>
      <c r="V6267" s="33">
        <f>IFERROR(__xludf.DUMMYFUNCTION("""COMPUTED_VALUE"""),0.5)</f>
        <v>0.5</v>
      </c>
      <c r="W6267" s="4" t="str">
        <f>IFERROR(__xludf.DUMMYFUNCTION("""COMPUTED_VALUE"""),"Saipos Serviços De Software")</f>
        <v>Saipos Serviços De Software</v>
      </c>
      <c r="X6267" s="33">
        <f>IFERROR(__xludf.DUMMYFUNCTION("""COMPUTED_VALUE"""),0.5)</f>
        <v>0.5</v>
      </c>
    </row>
    <row r="6268">
      <c r="K6268" s="4" t="str">
        <f>IFERROR(__xludf.DUMMYFUNCTION("""COMPUTED_VALUE"""),"SHOWRRASQUINHO DO IMPERADOR")</f>
        <v>SHOWRRASQUINHO DO IMPERADOR</v>
      </c>
      <c r="L6268" s="32">
        <f>IFERROR(__xludf.DUMMYFUNCTION("""COMPUTED_VALUE"""),2.0)</f>
        <v>2</v>
      </c>
      <c r="M6268" s="4" t="str">
        <f>IFERROR(__xludf.DUMMYFUNCTION("""COMPUTED_VALUE"""),"Saipos Serviços De Software")</f>
        <v>Saipos Serviços De Software</v>
      </c>
      <c r="N6268" s="33">
        <f>IFERROR(__xludf.DUMMYFUNCTION("""COMPUTED_VALUE"""),0.5)</f>
        <v>0.5</v>
      </c>
      <c r="O6268" s="4" t="str">
        <f>IFERROR(__xludf.DUMMYFUNCTION("""COMPUTED_VALUE"""),"Saipos Serviços De Software")</f>
        <v>Saipos Serviços De Software</v>
      </c>
      <c r="P6268" s="33">
        <f>IFERROR(__xludf.DUMMYFUNCTION("""COMPUTED_VALUE"""),0.5)</f>
        <v>0.5</v>
      </c>
      <c r="Q6268" s="4" t="str">
        <f>IFERROR(__xludf.DUMMYFUNCTION("""COMPUTED_VALUE"""),"Saipos Serviços De Software")</f>
        <v>Saipos Serviços De Software</v>
      </c>
      <c r="R6268" s="33">
        <f>IFERROR(__xludf.DUMMYFUNCTION("""COMPUTED_VALUE"""),1.0)</f>
        <v>1</v>
      </c>
      <c r="S6268" s="4" t="str">
        <f>IFERROR(__xludf.DUMMYFUNCTION("""COMPUTED_VALUE"""),"null")</f>
        <v>null</v>
      </c>
      <c r="T6268" s="33">
        <f>IFERROR(__xludf.DUMMYFUNCTION("""COMPUTED_VALUE"""),0.5)</f>
        <v>0.5</v>
      </c>
      <c r="U6268" s="4" t="str">
        <f>IFERROR(__xludf.DUMMYFUNCTION("""COMPUTED_VALUE"""),"null")</f>
        <v>null</v>
      </c>
      <c r="V6268" s="33">
        <f>IFERROR(__xludf.DUMMYFUNCTION("""COMPUTED_VALUE"""),0.5)</f>
        <v>0.5</v>
      </c>
      <c r="W6268" s="4" t="str">
        <f>IFERROR(__xludf.DUMMYFUNCTION("""COMPUTED_VALUE"""),"null")</f>
        <v>null</v>
      </c>
      <c r="X6268" s="33">
        <f>IFERROR(__xludf.DUMMYFUNCTION("""COMPUTED_VALUE"""),0.5)</f>
        <v>0.5</v>
      </c>
    </row>
    <row r="6269">
      <c r="K6269" s="4" t="str">
        <f>IFERROR(__xludf.DUMMYFUNCTION("""COMPUTED_VALUE"""),"NOGUI - HOTDOGS E HAMBURGUERIA ARTESANAL")</f>
        <v>NOGUI - HOTDOGS E HAMBURGUERIA ARTESANAL</v>
      </c>
      <c r="L6269" s="32">
        <f>IFERROR(__xludf.DUMMYFUNCTION("""COMPUTED_VALUE"""),2.0)</f>
        <v>2</v>
      </c>
      <c r="M6269" s="4" t="str">
        <f>IFERROR(__xludf.DUMMYFUNCTION("""COMPUTED_VALUE"""),"Cardápio Web")</f>
        <v>Cardápio Web</v>
      </c>
      <c r="N6269" s="33">
        <f>IFERROR(__xludf.DUMMYFUNCTION("""COMPUTED_VALUE"""),1.0)</f>
        <v>1</v>
      </c>
      <c r="O6269" s="4" t="str">
        <f>IFERROR(__xludf.DUMMYFUNCTION("""COMPUTED_VALUE"""),"null")</f>
        <v>null</v>
      </c>
      <c r="P6269" s="33">
        <f>IFERROR(__xludf.DUMMYFUNCTION("""COMPUTED_VALUE"""),0.5)</f>
        <v>0.5</v>
      </c>
      <c r="Q6269" s="4" t="str">
        <f>IFERROR(__xludf.DUMMYFUNCTION("""COMPUTED_VALUE"""),"null")</f>
        <v>null</v>
      </c>
      <c r="R6269" s="33">
        <f>IFERROR(__xludf.DUMMYFUNCTION("""COMPUTED_VALUE"""),0.5)</f>
        <v>0.5</v>
      </c>
      <c r="S6269" s="4" t="str">
        <f>IFERROR(__xludf.DUMMYFUNCTION("""COMPUTED_VALUE"""),"null")</f>
        <v>null</v>
      </c>
      <c r="T6269" s="33">
        <f>IFERROR(__xludf.DUMMYFUNCTION("""COMPUTED_VALUE"""),0.5)</f>
        <v>0.5</v>
      </c>
      <c r="U6269" s="4" t="str">
        <f>IFERROR(__xludf.DUMMYFUNCTION("""COMPUTED_VALUE"""),"Cardápio Web")</f>
        <v>Cardápio Web</v>
      </c>
      <c r="V6269" s="33">
        <f>IFERROR(__xludf.DUMMYFUNCTION("""COMPUTED_VALUE"""),1.0)</f>
        <v>1</v>
      </c>
      <c r="W6269" s="4" t="str">
        <f>IFERROR(__xludf.DUMMYFUNCTION("""COMPUTED_VALUE"""),"Cardápio Web")</f>
        <v>Cardápio Web</v>
      </c>
      <c r="X6269" s="33">
        <f>IFERROR(__xludf.DUMMYFUNCTION("""COMPUTED_VALUE"""),1.0)</f>
        <v>1</v>
      </c>
    </row>
    <row r="6270">
      <c r="K6270" s="4" t="str">
        <f>IFERROR(__xludf.DUMMYFUNCTION("""COMPUTED_VALUE"""),"MOTA BURGUER SBC")</f>
        <v>MOTA BURGUER SBC</v>
      </c>
      <c r="L6270" s="32">
        <f>IFERROR(__xludf.DUMMYFUNCTION("""COMPUTED_VALUE"""),2.0)</f>
        <v>2</v>
      </c>
      <c r="M6270" s="4" t="str">
        <f>IFERROR(__xludf.DUMMYFUNCTION("""COMPUTED_VALUE"""),"Yooga")</f>
        <v>Yooga</v>
      </c>
      <c r="N6270" s="33">
        <f>IFERROR(__xludf.DUMMYFUNCTION("""COMPUTED_VALUE"""),0.5)</f>
        <v>0.5</v>
      </c>
      <c r="O6270" s="4" t="str">
        <f>IFERROR(__xludf.DUMMYFUNCTION("""COMPUTED_VALUE"""),"Yooga")</f>
        <v>Yooga</v>
      </c>
      <c r="P6270" s="33">
        <f>IFERROR(__xludf.DUMMYFUNCTION("""COMPUTED_VALUE"""),0.5)</f>
        <v>0.5</v>
      </c>
      <c r="Q6270" s="4" t="str">
        <f>IFERROR(__xludf.DUMMYFUNCTION("""COMPUTED_VALUE"""),"Yooga")</f>
        <v>Yooga</v>
      </c>
      <c r="R6270" s="33">
        <f>IFERROR(__xludf.DUMMYFUNCTION("""COMPUTED_VALUE"""),1.0)</f>
        <v>1</v>
      </c>
      <c r="S6270" s="4" t="str">
        <f>IFERROR(__xludf.DUMMYFUNCTION("""COMPUTED_VALUE"""),"Yooga")</f>
        <v>Yooga</v>
      </c>
      <c r="T6270" s="33">
        <f>IFERROR(__xludf.DUMMYFUNCTION("""COMPUTED_VALUE"""),1.0)</f>
        <v>1</v>
      </c>
      <c r="U6270" s="4" t="str">
        <f>IFERROR(__xludf.DUMMYFUNCTION("""COMPUTED_VALUE"""),"Yooga")</f>
        <v>Yooga</v>
      </c>
      <c r="V6270" s="33">
        <f>IFERROR(__xludf.DUMMYFUNCTION("""COMPUTED_VALUE"""),0.5)</f>
        <v>0.5</v>
      </c>
      <c r="W6270" s="4" t="str">
        <f>IFERROR(__xludf.DUMMYFUNCTION("""COMPUTED_VALUE"""),"null")</f>
        <v>null</v>
      </c>
      <c r="X6270" s="33">
        <f>IFERROR(__xludf.DUMMYFUNCTION("""COMPUTED_VALUE"""),1.0)</f>
        <v>1</v>
      </c>
    </row>
    <row r="6271">
      <c r="K6271" s="4" t="str">
        <f>IFERROR(__xludf.DUMMYFUNCTION("""COMPUTED_VALUE"""),"CHICAO LANCHES")</f>
        <v>CHICAO LANCHES</v>
      </c>
      <c r="L6271" s="32">
        <f>IFERROR(__xludf.DUMMYFUNCTION("""COMPUTED_VALUE"""),2.0)</f>
        <v>2</v>
      </c>
      <c r="M6271" s="4" t="str">
        <f>IFERROR(__xludf.DUMMYFUNCTION("""COMPUTED_VALUE"""),"null")</f>
        <v>null</v>
      </c>
      <c r="N6271" s="33">
        <f>IFERROR(__xludf.DUMMYFUNCTION("""COMPUTED_VALUE"""),0.5)</f>
        <v>0.5</v>
      </c>
      <c r="O6271" s="4" t="str">
        <f>IFERROR(__xludf.DUMMYFUNCTION("""COMPUTED_VALUE"""),"null")</f>
        <v>null</v>
      </c>
      <c r="P6271" s="33">
        <f>IFERROR(__xludf.DUMMYFUNCTION("""COMPUTED_VALUE"""),0.5)</f>
        <v>0.5</v>
      </c>
      <c r="Q6271" s="4" t="str">
        <f>IFERROR(__xludf.DUMMYFUNCTION("""COMPUTED_VALUE"""),"null")</f>
        <v>null</v>
      </c>
      <c r="R6271" s="33">
        <f>IFERROR(__xludf.DUMMYFUNCTION("""COMPUTED_VALUE"""),0.5)</f>
        <v>0.5</v>
      </c>
      <c r="S6271" s="4" t="str">
        <f>IFERROR(__xludf.DUMMYFUNCTION("""COMPUTED_VALUE"""),"null")</f>
        <v>null</v>
      </c>
      <c r="T6271" s="33">
        <f>IFERROR(__xludf.DUMMYFUNCTION("""COMPUTED_VALUE"""),0.5)</f>
        <v>0.5</v>
      </c>
      <c r="U6271" s="4" t="str">
        <f>IFERROR(__xludf.DUMMYFUNCTION("""COMPUTED_VALUE"""),"Mp Multipedidos")</f>
        <v>Mp Multipedidos</v>
      </c>
      <c r="V6271" s="33">
        <f>IFERROR(__xludf.DUMMYFUNCTION("""COMPUTED_VALUE"""),0.5)</f>
        <v>0.5</v>
      </c>
      <c r="W6271" s="4" t="str">
        <f>IFERROR(__xludf.DUMMYFUNCTION("""COMPUTED_VALUE"""),"Mp Multipedidos")</f>
        <v>Mp Multipedidos</v>
      </c>
      <c r="X6271" s="33">
        <f>IFERROR(__xludf.DUMMYFUNCTION("""COMPUTED_VALUE"""),0.5)</f>
        <v>0.5</v>
      </c>
    </row>
    <row r="6272">
      <c r="K6272" s="4" t="str">
        <f>IFERROR(__xludf.DUMMYFUNCTION("""COMPUTED_VALUE"""),"NOVO SABOR")</f>
        <v>NOVO SABOR</v>
      </c>
      <c r="L6272" s="32">
        <f>IFERROR(__xludf.DUMMYFUNCTION("""COMPUTED_VALUE"""),2.0)</f>
        <v>2</v>
      </c>
      <c r="M6272" s="4" t="str">
        <f>IFERROR(__xludf.DUMMYFUNCTION("""COMPUTED_VALUE"""),"null")</f>
        <v>null</v>
      </c>
      <c r="N6272" s="33">
        <f>IFERROR(__xludf.DUMMYFUNCTION("""COMPUTED_VALUE"""),0.5)</f>
        <v>0.5</v>
      </c>
      <c r="O6272" s="4" t="str">
        <f>IFERROR(__xludf.DUMMYFUNCTION("""COMPUTED_VALUE"""),"null")</f>
        <v>null</v>
      </c>
      <c r="P6272" s="33">
        <f>IFERROR(__xludf.DUMMYFUNCTION("""COMPUTED_VALUE"""),0.5)</f>
        <v>0.5</v>
      </c>
      <c r="Q6272" s="4" t="str">
        <f>IFERROR(__xludf.DUMMYFUNCTION("""COMPUTED_VALUE"""),"null")</f>
        <v>null</v>
      </c>
      <c r="R6272" s="33">
        <f>IFERROR(__xludf.DUMMYFUNCTION("""COMPUTED_VALUE"""),1.0)</f>
        <v>1</v>
      </c>
      <c r="S6272" s="4" t="str">
        <f>IFERROR(__xludf.DUMMYFUNCTION("""COMPUTED_VALUE"""),"null")</f>
        <v>null</v>
      </c>
      <c r="T6272" s="33">
        <f>IFERROR(__xludf.DUMMYFUNCTION("""COMPUTED_VALUE"""),0.5)</f>
        <v>0.5</v>
      </c>
      <c r="U6272" s="4" t="str">
        <f>IFERROR(__xludf.DUMMYFUNCTION("""COMPUTED_VALUE"""),"Anota Ai Solucoes Digitais S/a")</f>
        <v>Anota Ai Solucoes Digitais S/a</v>
      </c>
      <c r="V6272" s="33">
        <f>IFERROR(__xludf.DUMMYFUNCTION("""COMPUTED_VALUE"""),1.0)</f>
        <v>1</v>
      </c>
      <c r="W6272" s="4" t="str">
        <f>IFERROR(__xludf.DUMMYFUNCTION("""COMPUTED_VALUE"""),"Anota Ai Solucoes Digitais S/a")</f>
        <v>Anota Ai Solucoes Digitais S/a</v>
      </c>
      <c r="X6272" s="33">
        <f>IFERROR(__xludf.DUMMYFUNCTION("""COMPUTED_VALUE"""),0.5)</f>
        <v>0.5</v>
      </c>
    </row>
    <row r="6273">
      <c r="K6273" s="4" t="str">
        <f>IFERROR(__xludf.DUMMYFUNCTION("""COMPUTED_VALUE"""),"PIZZARELLA PIZZARIA")</f>
        <v>PIZZARELLA PIZZARIA</v>
      </c>
      <c r="L6273" s="32">
        <f>IFERROR(__xludf.DUMMYFUNCTION("""COMPUTED_VALUE"""),2.0)</f>
        <v>2</v>
      </c>
      <c r="M6273" s="4" t="str">
        <f>IFERROR(__xludf.DUMMYFUNCTION("""COMPUTED_VALUE"""),"Saipos Serviços De Software")</f>
        <v>Saipos Serviços De Software</v>
      </c>
      <c r="N6273" s="33">
        <f>IFERROR(__xludf.DUMMYFUNCTION("""COMPUTED_VALUE"""),0.5)</f>
        <v>0.5</v>
      </c>
      <c r="O6273" s="4" t="str">
        <f>IFERROR(__xludf.DUMMYFUNCTION("""COMPUTED_VALUE"""),"null")</f>
        <v>null</v>
      </c>
      <c r="P6273" s="33">
        <f>IFERROR(__xludf.DUMMYFUNCTION("""COMPUTED_VALUE"""),0.5)</f>
        <v>0.5</v>
      </c>
      <c r="Q6273" s="4" t="str">
        <f>IFERROR(__xludf.DUMMYFUNCTION("""COMPUTED_VALUE"""),"null")</f>
        <v>null</v>
      </c>
      <c r="R6273" s="33">
        <f>IFERROR(__xludf.DUMMYFUNCTION("""COMPUTED_VALUE"""),0.5)</f>
        <v>0.5</v>
      </c>
      <c r="S6273" s="4" t="str">
        <f>IFERROR(__xludf.DUMMYFUNCTION("""COMPUTED_VALUE"""),"null")</f>
        <v>null</v>
      </c>
      <c r="T6273" s="33">
        <f>IFERROR(__xludf.DUMMYFUNCTION("""COMPUTED_VALUE"""),0.5)</f>
        <v>0.5</v>
      </c>
      <c r="U6273" s="4" t="str">
        <f>IFERROR(__xludf.DUMMYFUNCTION("""COMPUTED_VALUE"""),"null")</f>
        <v>null</v>
      </c>
      <c r="V6273" s="33">
        <f>IFERROR(__xludf.DUMMYFUNCTION("""COMPUTED_VALUE"""),0.5)</f>
        <v>0.5</v>
      </c>
      <c r="W6273" s="4" t="str">
        <f>IFERROR(__xludf.DUMMYFUNCTION("""COMPUTED_VALUE"""),"null")</f>
        <v>null</v>
      </c>
      <c r="X6273" s="33">
        <f>IFERROR(__xludf.DUMMYFUNCTION("""COMPUTED_VALUE"""),0.5)</f>
        <v>0.5</v>
      </c>
    </row>
    <row r="6274">
      <c r="K6274" s="4" t="str">
        <f>IFERROR(__xludf.DUMMYFUNCTION("""COMPUTED_VALUE"""),"KID BACON")</f>
        <v>KID BACON</v>
      </c>
      <c r="L6274" s="32">
        <f>IFERROR(__xludf.DUMMYFUNCTION("""COMPUTED_VALUE"""),2.0)</f>
        <v>2</v>
      </c>
      <c r="M6274" s="4" t="str">
        <f>IFERROR(__xludf.DUMMYFUNCTION("""COMPUTED_VALUE"""),"One Solucoes")</f>
        <v>One Solucoes</v>
      </c>
      <c r="N6274" s="33">
        <f>IFERROR(__xludf.DUMMYFUNCTION("""COMPUTED_VALUE"""),1.0)</f>
        <v>1</v>
      </c>
      <c r="O6274" s="4" t="str">
        <f>IFERROR(__xludf.DUMMYFUNCTION("""COMPUTED_VALUE"""),"One Solucoes")</f>
        <v>One Solucoes</v>
      </c>
      <c r="P6274" s="33">
        <f>IFERROR(__xludf.DUMMYFUNCTION("""COMPUTED_VALUE"""),1.0)</f>
        <v>1</v>
      </c>
      <c r="Q6274" s="4" t="str">
        <f>IFERROR(__xludf.DUMMYFUNCTION("""COMPUTED_VALUE"""),"One Solucoes")</f>
        <v>One Solucoes</v>
      </c>
      <c r="R6274" s="33">
        <f>IFERROR(__xludf.DUMMYFUNCTION("""COMPUTED_VALUE"""),1.0)</f>
        <v>1</v>
      </c>
      <c r="S6274" s="4" t="str">
        <f>IFERROR(__xludf.DUMMYFUNCTION("""COMPUTED_VALUE"""),"One Solucoes")</f>
        <v>One Solucoes</v>
      </c>
      <c r="T6274" s="33">
        <f>IFERROR(__xludf.DUMMYFUNCTION("""COMPUTED_VALUE"""),1.0)</f>
        <v>1</v>
      </c>
      <c r="U6274" s="4" t="str">
        <f>IFERROR(__xludf.DUMMYFUNCTION("""COMPUTED_VALUE"""),"One Solucoes")</f>
        <v>One Solucoes</v>
      </c>
      <c r="V6274" s="33">
        <f>IFERROR(__xludf.DUMMYFUNCTION("""COMPUTED_VALUE"""),1.0)</f>
        <v>1</v>
      </c>
      <c r="W6274" s="4" t="str">
        <f>IFERROR(__xludf.DUMMYFUNCTION("""COMPUTED_VALUE"""),"One Solucoes")</f>
        <v>One Solucoes</v>
      </c>
      <c r="X6274" s="33">
        <f>IFERROR(__xludf.DUMMYFUNCTION("""COMPUTED_VALUE"""),1.0)</f>
        <v>1</v>
      </c>
    </row>
    <row r="6275">
      <c r="K6275" s="4" t="str">
        <f>IFERROR(__xludf.DUMMYFUNCTION("""COMPUTED_VALUE"""),"MANGIARE PIZZARIA")</f>
        <v>MANGIARE PIZZARIA</v>
      </c>
      <c r="L6275" s="32">
        <f>IFERROR(__xludf.DUMMYFUNCTION("""COMPUTED_VALUE"""),2.0)</f>
        <v>2</v>
      </c>
      <c r="M6275" s="4" t="str">
        <f>IFERROR(__xludf.DUMMYFUNCTION("""COMPUTED_VALUE"""),"Sigmenu Tecnologia E Marketing Ltda")</f>
        <v>Sigmenu Tecnologia E Marketing Ltda</v>
      </c>
      <c r="N6275" s="33">
        <f>IFERROR(__xludf.DUMMYFUNCTION("""COMPUTED_VALUE"""),0.5)</f>
        <v>0.5</v>
      </c>
      <c r="O6275" s="4" t="str">
        <f>IFERROR(__xludf.DUMMYFUNCTION("""COMPUTED_VALUE"""),"Sigmenu Tecnologia E Marketing Ltda")</f>
        <v>Sigmenu Tecnologia E Marketing Ltda</v>
      </c>
      <c r="P6275" s="33">
        <f>IFERROR(__xludf.DUMMYFUNCTION("""COMPUTED_VALUE"""),0.5)</f>
        <v>0.5</v>
      </c>
      <c r="Q6275" s="4" t="str">
        <f>IFERROR(__xludf.DUMMYFUNCTION("""COMPUTED_VALUE"""),"Sigmenu Tecnologia E Marketing Ltda")</f>
        <v>Sigmenu Tecnologia E Marketing Ltda</v>
      </c>
      <c r="R6275" s="33">
        <f>IFERROR(__xludf.DUMMYFUNCTION("""COMPUTED_VALUE"""),0.5)</f>
        <v>0.5</v>
      </c>
      <c r="S6275" s="4" t="str">
        <f>IFERROR(__xludf.DUMMYFUNCTION("""COMPUTED_VALUE"""),"Sigmenu Tecnologia E Marketing Ltda")</f>
        <v>Sigmenu Tecnologia E Marketing Ltda</v>
      </c>
      <c r="T6275" s="33">
        <f>IFERROR(__xludf.DUMMYFUNCTION("""COMPUTED_VALUE"""),0.5)</f>
        <v>0.5</v>
      </c>
      <c r="U6275" s="4" t="str">
        <f>IFERROR(__xludf.DUMMYFUNCTION("""COMPUTED_VALUE"""),"Sigmenu Tecnologia E Marketing Ltda")</f>
        <v>Sigmenu Tecnologia E Marketing Ltda</v>
      </c>
      <c r="V6275" s="33">
        <f>IFERROR(__xludf.DUMMYFUNCTION("""COMPUTED_VALUE"""),0.5)</f>
        <v>0.5</v>
      </c>
      <c r="W6275" s="4" t="str">
        <f>IFERROR(__xludf.DUMMYFUNCTION("""COMPUTED_VALUE"""),"Sigmenu Tecnologia E Marketing Ltda")</f>
        <v>Sigmenu Tecnologia E Marketing Ltda</v>
      </c>
      <c r="X6275" s="33">
        <f>IFERROR(__xludf.DUMMYFUNCTION("""COMPUTED_VALUE"""),0.5)</f>
        <v>0.5</v>
      </c>
    </row>
    <row r="6276">
      <c r="K6276" s="4" t="str">
        <f>IFERROR(__xludf.DUMMYFUNCTION("""COMPUTED_VALUE"""),"LA FIORELLA - ALPHAVILLE")</f>
        <v>LA FIORELLA - ALPHAVILLE</v>
      </c>
      <c r="L6276" s="32">
        <f>IFERROR(__xludf.DUMMYFUNCTION("""COMPUTED_VALUE"""),2.0)</f>
        <v>2</v>
      </c>
      <c r="M6276" s="4" t="str">
        <f>IFERROR(__xludf.DUMMYFUNCTION("""COMPUTED_VALUE"""),"Brendi")</f>
        <v>Brendi</v>
      </c>
      <c r="N6276" s="33">
        <f>IFERROR(__xludf.DUMMYFUNCTION("""COMPUTED_VALUE"""),0.5)</f>
        <v>0.5</v>
      </c>
      <c r="O6276" s="4" t="str">
        <f>IFERROR(__xludf.DUMMYFUNCTION("""COMPUTED_VALUE"""),"Brendi")</f>
        <v>Brendi</v>
      </c>
      <c r="P6276" s="33">
        <f>IFERROR(__xludf.DUMMYFUNCTION("""COMPUTED_VALUE"""),1.0)</f>
        <v>1</v>
      </c>
      <c r="Q6276" s="4" t="str">
        <f>IFERROR(__xludf.DUMMYFUNCTION("""COMPUTED_VALUE"""),"Brendi")</f>
        <v>Brendi</v>
      </c>
      <c r="R6276" s="33">
        <f>IFERROR(__xludf.DUMMYFUNCTION("""COMPUTED_VALUE"""),1.0)</f>
        <v>1</v>
      </c>
      <c r="S6276" s="4" t="str">
        <f>IFERROR(__xludf.DUMMYFUNCTION("""COMPUTED_VALUE"""),"Brendi")</f>
        <v>Brendi</v>
      </c>
      <c r="T6276" s="33">
        <f>IFERROR(__xludf.DUMMYFUNCTION("""COMPUTED_VALUE"""),1.0)</f>
        <v>1</v>
      </c>
      <c r="U6276" s="4" t="str">
        <f>IFERROR(__xludf.DUMMYFUNCTION("""COMPUTED_VALUE"""),"Brendi")</f>
        <v>Brendi</v>
      </c>
      <c r="V6276" s="33">
        <f>IFERROR(__xludf.DUMMYFUNCTION("""COMPUTED_VALUE"""),1.0)</f>
        <v>1</v>
      </c>
      <c r="W6276" s="4" t="str">
        <f>IFERROR(__xludf.DUMMYFUNCTION("""COMPUTED_VALUE"""),"Brendi")</f>
        <v>Brendi</v>
      </c>
      <c r="X6276" s="33">
        <f>IFERROR(__xludf.DUMMYFUNCTION("""COMPUTED_VALUE"""),1.0)</f>
        <v>1</v>
      </c>
    </row>
    <row r="6277">
      <c r="K6277" s="4" t="str">
        <f>IFERROR(__xludf.DUMMYFUNCTION("""COMPUTED_VALUE"""),"ACAI COMPLETAO")</f>
        <v>ACAI COMPLETAO</v>
      </c>
      <c r="L6277" s="32">
        <f>IFERROR(__xludf.DUMMYFUNCTION("""COMPUTED_VALUE"""),2.0)</f>
        <v>2</v>
      </c>
      <c r="M6277" s="4" t="str">
        <f>IFERROR(__xludf.DUMMYFUNCTION("""COMPUTED_VALUE"""),"null")</f>
        <v>null</v>
      </c>
      <c r="N6277" s="33">
        <f>IFERROR(__xludf.DUMMYFUNCTION("""COMPUTED_VALUE"""),0.5)</f>
        <v>0.5</v>
      </c>
      <c r="O6277" s="4" t="str">
        <f>IFERROR(__xludf.DUMMYFUNCTION("""COMPUTED_VALUE"""),"null")</f>
        <v>null</v>
      </c>
      <c r="P6277" s="33">
        <f>IFERROR(__xludf.DUMMYFUNCTION("""COMPUTED_VALUE"""),0.5)</f>
        <v>0.5</v>
      </c>
      <c r="Q6277" s="4" t="str">
        <f>IFERROR(__xludf.DUMMYFUNCTION("""COMPUTED_VALUE"""),"null")</f>
        <v>null</v>
      </c>
      <c r="R6277" s="33">
        <f>IFERROR(__xludf.DUMMYFUNCTION("""COMPUTED_VALUE"""),0.5)</f>
        <v>0.5</v>
      </c>
      <c r="S6277" s="4" t="str">
        <f>IFERROR(__xludf.DUMMYFUNCTION("""COMPUTED_VALUE"""),"Saipos Serviços De Software")</f>
        <v>Saipos Serviços De Software</v>
      </c>
      <c r="T6277" s="33">
        <f>IFERROR(__xludf.DUMMYFUNCTION("""COMPUTED_VALUE"""),0.5)</f>
        <v>0.5</v>
      </c>
      <c r="U6277" s="4" t="str">
        <f>IFERROR(__xludf.DUMMYFUNCTION("""COMPUTED_VALUE"""),"null")</f>
        <v>null</v>
      </c>
      <c r="V6277" s="33">
        <f>IFERROR(__xludf.DUMMYFUNCTION("""COMPUTED_VALUE"""),0.5)</f>
        <v>0.5</v>
      </c>
      <c r="W6277" s="4" t="str">
        <f>IFERROR(__xludf.DUMMYFUNCTION("""COMPUTED_VALUE"""),"Saipos Serviços De Software")</f>
        <v>Saipos Serviços De Software</v>
      </c>
      <c r="X6277" s="33">
        <f>IFERROR(__xludf.DUMMYFUNCTION("""COMPUTED_VALUE"""),0.5)</f>
        <v>0.5</v>
      </c>
    </row>
    <row r="6278">
      <c r="K6278" s="4" t="str">
        <f>IFERROR(__xludf.DUMMYFUNCTION("""COMPUTED_VALUE"""),"VILA 248")</f>
        <v>VILA 248</v>
      </c>
      <c r="L6278" s="32">
        <f>IFERROR(__xludf.DUMMYFUNCTION("""COMPUTED_VALUE"""),2.0)</f>
        <v>2</v>
      </c>
      <c r="M6278" s="4" t="str">
        <f>IFERROR(__xludf.DUMMYFUNCTION("""COMPUTED_VALUE"""),"null")</f>
        <v>null</v>
      </c>
      <c r="N6278" s="33">
        <f>IFERROR(__xludf.DUMMYFUNCTION("""COMPUTED_VALUE"""),1.0)</f>
        <v>1</v>
      </c>
      <c r="O6278" s="4" t="str">
        <f>IFERROR(__xludf.DUMMYFUNCTION("""COMPUTED_VALUE"""),"null")</f>
        <v>null</v>
      </c>
      <c r="P6278" s="33">
        <f>IFERROR(__xludf.DUMMYFUNCTION("""COMPUTED_VALUE"""),1.0)</f>
        <v>1</v>
      </c>
      <c r="Q6278" s="4" t="str">
        <f>IFERROR(__xludf.DUMMYFUNCTION("""COMPUTED_VALUE"""),"null")</f>
        <v>null</v>
      </c>
      <c r="R6278" s="33">
        <f>IFERROR(__xludf.DUMMYFUNCTION("""COMPUTED_VALUE"""),1.0)</f>
        <v>1</v>
      </c>
      <c r="S6278" s="4" t="str">
        <f>IFERROR(__xludf.DUMMYFUNCTION("""COMPUTED_VALUE"""),"Consumer Soluções Em Tecnologia Ltda")</f>
        <v>Consumer Soluções Em Tecnologia Ltda</v>
      </c>
      <c r="T6278" s="33">
        <f>IFERROR(__xludf.DUMMYFUNCTION("""COMPUTED_VALUE"""),0.5)</f>
        <v>0.5</v>
      </c>
      <c r="U6278" s="4" t="str">
        <f>IFERROR(__xludf.DUMMYFUNCTION("""COMPUTED_VALUE"""),"Consumer Soluções Em Tecnologia Ltda")</f>
        <v>Consumer Soluções Em Tecnologia Ltda</v>
      </c>
      <c r="V6278" s="33">
        <f>IFERROR(__xludf.DUMMYFUNCTION("""COMPUTED_VALUE"""),0.5)</f>
        <v>0.5</v>
      </c>
      <c r="W6278" s="4" t="str">
        <f>IFERROR(__xludf.DUMMYFUNCTION("""COMPUTED_VALUE"""),"Consumer Soluções Em Tecnologia Ltda")</f>
        <v>Consumer Soluções Em Tecnologia Ltda</v>
      </c>
      <c r="X6278" s="33">
        <f>IFERROR(__xludf.DUMMYFUNCTION("""COMPUTED_VALUE"""),1.0)</f>
        <v>1</v>
      </c>
    </row>
    <row r="6279">
      <c r="K6279" s="4" t="str">
        <f>IFERROR(__xludf.DUMMYFUNCTION("""COMPUTED_VALUE"""),"IPHONE, CARREGADOR, CABO - CONECTA JA")</f>
        <v>IPHONE, CARREGADOR, CABO - CONECTA JA</v>
      </c>
      <c r="L6279" s="32">
        <f>IFERROR(__xludf.DUMMYFUNCTION("""COMPUTED_VALUE"""),2.0)</f>
        <v>2</v>
      </c>
      <c r="M6279" s="4" t="str">
        <f>IFERROR(__xludf.DUMMYFUNCTION("""COMPUTED_VALUE"""),"Instadelivery")</f>
        <v>Instadelivery</v>
      </c>
      <c r="N6279" s="33">
        <f>IFERROR(__xludf.DUMMYFUNCTION("""COMPUTED_VALUE"""),1.0)</f>
        <v>1</v>
      </c>
      <c r="O6279" s="4" t="str">
        <f>IFERROR(__xludf.DUMMYFUNCTION("""COMPUTED_VALUE"""),"Instadelivery")</f>
        <v>Instadelivery</v>
      </c>
      <c r="P6279" s="33">
        <f>IFERROR(__xludf.DUMMYFUNCTION("""COMPUTED_VALUE"""),0.5)</f>
        <v>0.5</v>
      </c>
      <c r="Q6279" s="4" t="str">
        <f>IFERROR(__xludf.DUMMYFUNCTION("""COMPUTED_VALUE"""),"null")</f>
        <v>null</v>
      </c>
      <c r="R6279" s="33">
        <f>IFERROR(__xludf.DUMMYFUNCTION("""COMPUTED_VALUE"""),0.5)</f>
        <v>0.5</v>
      </c>
      <c r="S6279" s="4" t="str">
        <f>IFERROR(__xludf.DUMMYFUNCTION("""COMPUTED_VALUE"""),"null")</f>
        <v>null</v>
      </c>
      <c r="T6279" s="33">
        <f>IFERROR(__xludf.DUMMYFUNCTION("""COMPUTED_VALUE"""),0.5)</f>
        <v>0.5</v>
      </c>
      <c r="U6279" s="4" t="str">
        <f>IFERROR(__xludf.DUMMYFUNCTION("""COMPUTED_VALUE"""),"null")</f>
        <v>null</v>
      </c>
      <c r="V6279" s="33">
        <f>IFERROR(__xludf.DUMMYFUNCTION("""COMPUTED_VALUE"""),0.5)</f>
        <v>0.5</v>
      </c>
      <c r="W6279" s="4" t="str">
        <f>IFERROR(__xludf.DUMMYFUNCTION("""COMPUTED_VALUE"""),"null")</f>
        <v>null</v>
      </c>
      <c r="X6279" s="33">
        <f>IFERROR(__xludf.DUMMYFUNCTION("""COMPUTED_VALUE"""),0.5)</f>
        <v>0.5</v>
      </c>
    </row>
    <row r="6280">
      <c r="K6280" s="4" t="str">
        <f>IFERROR(__xludf.DUMMYFUNCTION("""COMPUTED_VALUE"""),"O BISTROO")</f>
        <v>O BISTROO</v>
      </c>
      <c r="L6280" s="32">
        <f>IFERROR(__xludf.DUMMYFUNCTION("""COMPUTED_VALUE"""),2.0)</f>
        <v>2</v>
      </c>
      <c r="M6280" s="4" t="str">
        <f>IFERROR(__xludf.DUMMYFUNCTION("""COMPUTED_VALUE"""),"Grandchef Desenvolvimento De Sistemas Ltda")</f>
        <v>Grandchef Desenvolvimento De Sistemas Ltda</v>
      </c>
      <c r="N6280" s="33">
        <f>IFERROR(__xludf.DUMMYFUNCTION("""COMPUTED_VALUE"""),1.0)</f>
        <v>1</v>
      </c>
      <c r="O6280" s="4" t="str">
        <f>IFERROR(__xludf.DUMMYFUNCTION("""COMPUTED_VALUE"""),"Grandchef Desenvolvimento De Sistemas Ltda")</f>
        <v>Grandchef Desenvolvimento De Sistemas Ltda</v>
      </c>
      <c r="P6280" s="33">
        <f>IFERROR(__xludf.DUMMYFUNCTION("""COMPUTED_VALUE"""),1.0)</f>
        <v>1</v>
      </c>
      <c r="Q6280" s="4" t="str">
        <f>IFERROR(__xludf.DUMMYFUNCTION("""COMPUTED_VALUE"""),"Grandchef Desenvolvimento De Sistemas Ltda")</f>
        <v>Grandchef Desenvolvimento De Sistemas Ltda</v>
      </c>
      <c r="R6280" s="33">
        <f>IFERROR(__xludf.DUMMYFUNCTION("""COMPUTED_VALUE"""),1.0)</f>
        <v>1</v>
      </c>
      <c r="S6280" s="4" t="str">
        <f>IFERROR(__xludf.DUMMYFUNCTION("""COMPUTED_VALUE"""),"Grandchef Desenvolvimento De Sistemas Ltda")</f>
        <v>Grandchef Desenvolvimento De Sistemas Ltda</v>
      </c>
      <c r="T6280" s="33">
        <f>IFERROR(__xludf.DUMMYFUNCTION("""COMPUTED_VALUE"""),1.0)</f>
        <v>1</v>
      </c>
      <c r="U6280" s="4" t="str">
        <f>IFERROR(__xludf.DUMMYFUNCTION("""COMPUTED_VALUE"""),"Grandchef Desenvolvimento De Sistemas Ltda")</f>
        <v>Grandchef Desenvolvimento De Sistemas Ltda</v>
      </c>
      <c r="V6280" s="33">
        <f>IFERROR(__xludf.DUMMYFUNCTION("""COMPUTED_VALUE"""),1.0)</f>
        <v>1</v>
      </c>
      <c r="W6280" s="4" t="str">
        <f>IFERROR(__xludf.DUMMYFUNCTION("""COMPUTED_VALUE"""),"Grandchef Desenvolvimento De Sistemas Ltda")</f>
        <v>Grandchef Desenvolvimento De Sistemas Ltda</v>
      </c>
      <c r="X6280" s="33">
        <f>IFERROR(__xludf.DUMMYFUNCTION("""COMPUTED_VALUE"""),1.0)</f>
        <v>1</v>
      </c>
    </row>
    <row r="6281">
      <c r="K6281" s="4" t="str">
        <f>IFERROR(__xludf.DUMMYFUNCTION("""COMPUTED_VALUE"""),"PAZZI PER GELATO")</f>
        <v>PAZZI PER GELATO</v>
      </c>
      <c r="L6281" s="32">
        <f>IFERROR(__xludf.DUMMYFUNCTION("""COMPUTED_VALUE"""),2.0)</f>
        <v>2</v>
      </c>
      <c r="M6281" s="4" t="str">
        <f>IFERROR(__xludf.DUMMYFUNCTION("""COMPUTED_VALUE"""),"Swfast Sistemas")</f>
        <v>Swfast Sistemas</v>
      </c>
      <c r="N6281" s="33">
        <f>IFERROR(__xludf.DUMMYFUNCTION("""COMPUTED_VALUE"""),1.0)</f>
        <v>1</v>
      </c>
      <c r="O6281" s="4" t="str">
        <f>IFERROR(__xludf.DUMMYFUNCTION("""COMPUTED_VALUE"""),"Swfast Sistemas")</f>
        <v>Swfast Sistemas</v>
      </c>
      <c r="P6281" s="33">
        <f>IFERROR(__xludf.DUMMYFUNCTION("""COMPUTED_VALUE"""),1.0)</f>
        <v>1</v>
      </c>
      <c r="Q6281" s="4" t="str">
        <f>IFERROR(__xludf.DUMMYFUNCTION("""COMPUTED_VALUE"""),"Swfast Sistemas")</f>
        <v>Swfast Sistemas</v>
      </c>
      <c r="R6281" s="33">
        <f>IFERROR(__xludf.DUMMYFUNCTION("""COMPUTED_VALUE"""),0.5)</f>
        <v>0.5</v>
      </c>
      <c r="S6281" s="4" t="str">
        <f>IFERROR(__xludf.DUMMYFUNCTION("""COMPUTED_VALUE"""),"Swfast Sistemas")</f>
        <v>Swfast Sistemas</v>
      </c>
      <c r="T6281" s="33">
        <f>IFERROR(__xludf.DUMMYFUNCTION("""COMPUTED_VALUE"""),1.0)</f>
        <v>1</v>
      </c>
      <c r="U6281" s="4" t="str">
        <f>IFERROR(__xludf.DUMMYFUNCTION("""COMPUTED_VALUE"""),"Swfast Sistemas")</f>
        <v>Swfast Sistemas</v>
      </c>
      <c r="V6281" s="33">
        <f>IFERROR(__xludf.DUMMYFUNCTION("""COMPUTED_VALUE"""),0.5)</f>
        <v>0.5</v>
      </c>
      <c r="W6281" s="4" t="str">
        <f>IFERROR(__xludf.DUMMYFUNCTION("""COMPUTED_VALUE"""),"null")</f>
        <v>null</v>
      </c>
      <c r="X6281" s="33">
        <f>IFERROR(__xludf.DUMMYFUNCTION("""COMPUTED_VALUE"""),0.5)</f>
        <v>0.5</v>
      </c>
    </row>
    <row r="6282">
      <c r="K6282" s="4" t="str">
        <f>IFERROR(__xludf.DUMMYFUNCTION("""COMPUTED_VALUE"""),"GG BURGUER")</f>
        <v>GG BURGUER</v>
      </c>
      <c r="L6282" s="32">
        <f>IFERROR(__xludf.DUMMYFUNCTION("""COMPUTED_VALUE"""),2.0)</f>
        <v>2</v>
      </c>
      <c r="M6282" s="4" t="str">
        <f>IFERROR(__xludf.DUMMYFUNCTION("""COMPUTED_VALUE"""),"Instadelivery")</f>
        <v>Instadelivery</v>
      </c>
      <c r="N6282" s="33">
        <f>IFERROR(__xludf.DUMMYFUNCTION("""COMPUTED_VALUE"""),0.5)</f>
        <v>0.5</v>
      </c>
      <c r="O6282" s="4" t="str">
        <f>IFERROR(__xludf.DUMMYFUNCTION("""COMPUTED_VALUE"""),"null")</f>
        <v>null</v>
      </c>
      <c r="P6282" s="33">
        <f>IFERROR(__xludf.DUMMYFUNCTION("""COMPUTED_VALUE"""),1.0)</f>
        <v>1</v>
      </c>
      <c r="Q6282" s="4" t="str">
        <f>IFERROR(__xludf.DUMMYFUNCTION("""COMPUTED_VALUE"""),"null")</f>
        <v>null</v>
      </c>
      <c r="R6282" s="33">
        <f>IFERROR(__xludf.DUMMYFUNCTION("""COMPUTED_VALUE"""),1.0)</f>
        <v>1</v>
      </c>
      <c r="S6282" s="4" t="str">
        <f>IFERROR(__xludf.DUMMYFUNCTION("""COMPUTED_VALUE"""),"null")</f>
        <v>null</v>
      </c>
      <c r="T6282" s="33">
        <f>IFERROR(__xludf.DUMMYFUNCTION("""COMPUTED_VALUE"""),1.0)</f>
        <v>1</v>
      </c>
      <c r="U6282" s="4" t="str">
        <f>IFERROR(__xludf.DUMMYFUNCTION("""COMPUTED_VALUE"""),"null")</f>
        <v>null</v>
      </c>
      <c r="V6282" s="33">
        <f>IFERROR(__xludf.DUMMYFUNCTION("""COMPUTED_VALUE"""),1.0)</f>
        <v>1</v>
      </c>
      <c r="W6282" s="4" t="str">
        <f>IFERROR(__xludf.DUMMYFUNCTION("""COMPUTED_VALUE"""),"null")</f>
        <v>null</v>
      </c>
      <c r="X6282" s="33">
        <f>IFERROR(__xludf.DUMMYFUNCTION("""COMPUTED_VALUE"""),0.5)</f>
        <v>0.5</v>
      </c>
    </row>
    <row r="6283">
      <c r="K6283" s="4" t="str">
        <f>IFERROR(__xludf.DUMMYFUNCTION("""COMPUTED_VALUE"""),"GORDOLA BURGER")</f>
        <v>GORDOLA BURGER</v>
      </c>
      <c r="L6283" s="32">
        <f>IFERROR(__xludf.DUMMYFUNCTION("""COMPUTED_VALUE"""),2.0)</f>
        <v>2</v>
      </c>
      <c r="M6283" s="4" t="str">
        <f>IFERROR(__xludf.DUMMYFUNCTION("""COMPUTED_VALUE"""),"Olaclick")</f>
        <v>Olaclick</v>
      </c>
      <c r="N6283" s="33">
        <f>IFERROR(__xludf.DUMMYFUNCTION("""COMPUTED_VALUE"""),0.5)</f>
        <v>0.5</v>
      </c>
      <c r="O6283" s="4" t="str">
        <f>IFERROR(__xludf.DUMMYFUNCTION("""COMPUTED_VALUE"""),"Cardápio Web")</f>
        <v>Cardápio Web</v>
      </c>
      <c r="P6283" s="33">
        <f>IFERROR(__xludf.DUMMYFUNCTION("""COMPUTED_VALUE"""),0.5)</f>
        <v>0.5</v>
      </c>
      <c r="Q6283" s="4" t="str">
        <f>IFERROR(__xludf.DUMMYFUNCTION("""COMPUTED_VALUE"""),"Cardápio Web")</f>
        <v>Cardápio Web</v>
      </c>
      <c r="R6283" s="33">
        <f>IFERROR(__xludf.DUMMYFUNCTION("""COMPUTED_VALUE"""),0.5)</f>
        <v>0.5</v>
      </c>
      <c r="S6283" s="4" t="str">
        <f>IFERROR(__xludf.DUMMYFUNCTION("""COMPUTED_VALUE"""),"Cardápio Web")</f>
        <v>Cardápio Web</v>
      </c>
      <c r="T6283" s="33">
        <f>IFERROR(__xludf.DUMMYFUNCTION("""COMPUTED_VALUE"""),0.5)</f>
        <v>0.5</v>
      </c>
      <c r="U6283" s="4" t="str">
        <f>IFERROR(__xludf.DUMMYFUNCTION("""COMPUTED_VALUE"""),"Cardápio Web")</f>
        <v>Cardápio Web</v>
      </c>
      <c r="V6283" s="33">
        <f>IFERROR(__xludf.DUMMYFUNCTION("""COMPUTED_VALUE"""),0.5)</f>
        <v>0.5</v>
      </c>
      <c r="W6283" s="4" t="str">
        <f>IFERROR(__xludf.DUMMYFUNCTION("""COMPUTED_VALUE"""),"Cardápio Web")</f>
        <v>Cardápio Web</v>
      </c>
      <c r="X6283" s="33">
        <f>IFERROR(__xludf.DUMMYFUNCTION("""COMPUTED_VALUE"""),0.5)</f>
        <v>0.5</v>
      </c>
    </row>
    <row r="6284">
      <c r="K6284" s="4" t="str">
        <f>IFERROR(__xludf.DUMMYFUNCTION("""COMPUTED_VALUE"""),"DOCERIA DOCE SONHO")</f>
        <v>DOCERIA DOCE SONHO</v>
      </c>
      <c r="L6284" s="32">
        <f>IFERROR(__xludf.DUMMYFUNCTION("""COMPUTED_VALUE"""),2.0)</f>
        <v>2</v>
      </c>
      <c r="M6284" s="4" t="str">
        <f>IFERROR(__xludf.DUMMYFUNCTION("""COMPUTED_VALUE"""),"Cardápio Web")</f>
        <v>Cardápio Web</v>
      </c>
      <c r="N6284" s="33">
        <f>IFERROR(__xludf.DUMMYFUNCTION("""COMPUTED_VALUE"""),0.5)</f>
        <v>0.5</v>
      </c>
      <c r="O6284" s="4" t="str">
        <f>IFERROR(__xludf.DUMMYFUNCTION("""COMPUTED_VALUE"""),"Cardápio Web")</f>
        <v>Cardápio Web</v>
      </c>
      <c r="P6284" s="33">
        <f>IFERROR(__xludf.DUMMYFUNCTION("""COMPUTED_VALUE"""),0.5)</f>
        <v>0.5</v>
      </c>
      <c r="Q6284" s="4" t="str">
        <f>IFERROR(__xludf.DUMMYFUNCTION("""COMPUTED_VALUE"""),"null")</f>
        <v>null</v>
      </c>
      <c r="R6284" s="33">
        <f>IFERROR(__xludf.DUMMYFUNCTION("""COMPUTED_VALUE"""),1.0)</f>
        <v>1</v>
      </c>
      <c r="S6284" s="4" t="str">
        <f>IFERROR(__xludf.DUMMYFUNCTION("""COMPUTED_VALUE"""),"null")</f>
        <v>null</v>
      </c>
      <c r="T6284" s="33">
        <f>IFERROR(__xludf.DUMMYFUNCTION("""COMPUTED_VALUE"""),1.0)</f>
        <v>1</v>
      </c>
      <c r="U6284" s="4" t="str">
        <f>IFERROR(__xludf.DUMMYFUNCTION("""COMPUTED_VALUE"""),"null")</f>
        <v>null</v>
      </c>
      <c r="V6284" s="33">
        <f>IFERROR(__xludf.DUMMYFUNCTION("""COMPUTED_VALUE"""),1.0)</f>
        <v>1</v>
      </c>
      <c r="W6284" s="4" t="str">
        <f>IFERROR(__xludf.DUMMYFUNCTION("""COMPUTED_VALUE"""),"Cardápio Web")</f>
        <v>Cardápio Web</v>
      </c>
      <c r="X6284" s="33">
        <f>IFERROR(__xludf.DUMMYFUNCTION("""COMPUTED_VALUE"""),0.5)</f>
        <v>0.5</v>
      </c>
    </row>
    <row r="6285">
      <c r="K6285" s="4" t="str">
        <f>IFERROR(__xludf.DUMMYFUNCTION("""COMPUTED_VALUE"""),"ESPACO DO ACAI")</f>
        <v>ESPACO DO ACAI</v>
      </c>
      <c r="L6285" s="32">
        <f>IFERROR(__xludf.DUMMYFUNCTION("""COMPUTED_VALUE"""),2.0)</f>
        <v>2</v>
      </c>
      <c r="M6285" s="4" t="str">
        <f>IFERROR(__xludf.DUMMYFUNCTION("""COMPUTED_VALUE"""),"Consumer Soluções Em Tecnologia Ltda")</f>
        <v>Consumer Soluções Em Tecnologia Ltda</v>
      </c>
      <c r="N6285" s="33">
        <f>IFERROR(__xludf.DUMMYFUNCTION("""COMPUTED_VALUE"""),0.5)</f>
        <v>0.5</v>
      </c>
      <c r="O6285" s="4" t="str">
        <f>IFERROR(__xludf.DUMMYFUNCTION("""COMPUTED_VALUE"""),"Consumer Soluções Em Tecnologia Ltda")</f>
        <v>Consumer Soluções Em Tecnologia Ltda</v>
      </c>
      <c r="P6285" s="33">
        <f>IFERROR(__xludf.DUMMYFUNCTION("""COMPUTED_VALUE"""),0.5)</f>
        <v>0.5</v>
      </c>
      <c r="Q6285" s="4" t="str">
        <f>IFERROR(__xludf.DUMMYFUNCTION("""COMPUTED_VALUE"""),"Consumer Soluções Em Tecnologia Ltda")</f>
        <v>Consumer Soluções Em Tecnologia Ltda</v>
      </c>
      <c r="R6285" s="33">
        <f>IFERROR(__xludf.DUMMYFUNCTION("""COMPUTED_VALUE"""),0.5)</f>
        <v>0.5</v>
      </c>
      <c r="S6285" s="4" t="str">
        <f>IFERROR(__xludf.DUMMYFUNCTION("""COMPUTED_VALUE"""),"Consumer Soluções Em Tecnologia Ltda")</f>
        <v>Consumer Soluções Em Tecnologia Ltda</v>
      </c>
      <c r="T6285" s="33">
        <f>IFERROR(__xludf.DUMMYFUNCTION("""COMPUTED_VALUE"""),0.5)</f>
        <v>0.5</v>
      </c>
      <c r="U6285" s="4" t="str">
        <f>IFERROR(__xludf.DUMMYFUNCTION("""COMPUTED_VALUE"""),"Consumer Soluções Em Tecnologia Ltda")</f>
        <v>Consumer Soluções Em Tecnologia Ltda</v>
      </c>
      <c r="V6285" s="33">
        <f>IFERROR(__xludf.DUMMYFUNCTION("""COMPUTED_VALUE"""),0.5)</f>
        <v>0.5</v>
      </c>
      <c r="W6285" s="4" t="str">
        <f>IFERROR(__xludf.DUMMYFUNCTION("""COMPUTED_VALUE"""),"Consumer Soluções Em Tecnologia Ltda")</f>
        <v>Consumer Soluções Em Tecnologia Ltda</v>
      </c>
      <c r="X6285" s="33">
        <f>IFERROR(__xludf.DUMMYFUNCTION("""COMPUTED_VALUE"""),0.5)</f>
        <v>0.5</v>
      </c>
    </row>
    <row r="6286">
      <c r="K6286" s="4" t="str">
        <f>IFERROR(__xludf.DUMMYFUNCTION("""COMPUTED_VALUE"""),"MAGIA DA PIZZA")</f>
        <v>MAGIA DA PIZZA</v>
      </c>
      <c r="L6286" s="32">
        <f>IFERROR(__xludf.DUMMYFUNCTION("""COMPUTED_VALUE"""),2.0)</f>
        <v>2</v>
      </c>
      <c r="M6286" s="4" t="str">
        <f>IFERROR(__xludf.DUMMYFUNCTION("""COMPUTED_VALUE"""),"Parseint Desenvolvimento De Sistemas Ltda")</f>
        <v>Parseint Desenvolvimento De Sistemas Ltda</v>
      </c>
      <c r="N6286" s="33">
        <f>IFERROR(__xludf.DUMMYFUNCTION("""COMPUTED_VALUE"""),0.5)</f>
        <v>0.5</v>
      </c>
      <c r="O6286" s="4" t="str">
        <f>IFERROR(__xludf.DUMMYFUNCTION("""COMPUTED_VALUE"""),"Parseint Desenvolvimento De Sistemas Ltda")</f>
        <v>Parseint Desenvolvimento De Sistemas Ltda</v>
      </c>
      <c r="P6286" s="33">
        <f>IFERROR(__xludf.DUMMYFUNCTION("""COMPUTED_VALUE"""),0.5)</f>
        <v>0.5</v>
      </c>
      <c r="Q6286" s="4" t="str">
        <f>IFERROR(__xludf.DUMMYFUNCTION("""COMPUTED_VALUE"""),"Parseint Desenvolvimento De Sistemas Ltda")</f>
        <v>Parseint Desenvolvimento De Sistemas Ltda</v>
      </c>
      <c r="R6286" s="33">
        <f>IFERROR(__xludf.DUMMYFUNCTION("""COMPUTED_VALUE"""),0.5)</f>
        <v>0.5</v>
      </c>
      <c r="S6286" s="4" t="str">
        <f>IFERROR(__xludf.DUMMYFUNCTION("""COMPUTED_VALUE"""),"Parseint Desenvolvimento De Sistemas Ltda")</f>
        <v>Parseint Desenvolvimento De Sistemas Ltda</v>
      </c>
      <c r="T6286" s="33">
        <f>IFERROR(__xludf.DUMMYFUNCTION("""COMPUTED_VALUE"""),0.5)</f>
        <v>0.5</v>
      </c>
      <c r="U6286" s="4" t="str">
        <f>IFERROR(__xludf.DUMMYFUNCTION("""COMPUTED_VALUE"""),"Parseint Desenvolvimento De Sistemas Ltda")</f>
        <v>Parseint Desenvolvimento De Sistemas Ltda</v>
      </c>
      <c r="V6286" s="33">
        <f>IFERROR(__xludf.DUMMYFUNCTION("""COMPUTED_VALUE"""),0.5)</f>
        <v>0.5</v>
      </c>
      <c r="W6286" s="4" t="str">
        <f>IFERROR(__xludf.DUMMYFUNCTION("""COMPUTED_VALUE"""),"Parseint Desenvolvimento De Sistemas Ltda")</f>
        <v>Parseint Desenvolvimento De Sistemas Ltda</v>
      </c>
      <c r="X6286" s="33">
        <f>IFERROR(__xludf.DUMMYFUNCTION("""COMPUTED_VALUE"""),0.5)</f>
        <v>0.5</v>
      </c>
    </row>
    <row r="6287">
      <c r="K6287" s="4" t="str">
        <f>IFERROR(__xludf.DUMMYFUNCTION("""COMPUTED_VALUE"""),"PIZZARIA DO LEO")</f>
        <v>PIZZARIA DO LEO</v>
      </c>
      <c r="L6287" s="32">
        <f>IFERROR(__xludf.DUMMYFUNCTION("""COMPUTED_VALUE"""),2.0)</f>
        <v>2</v>
      </c>
      <c r="M6287" s="4" t="str">
        <f>IFERROR(__xludf.DUMMYFUNCTION("""COMPUTED_VALUE"""),"Anota Ai Solucoes Digitais S/a")</f>
        <v>Anota Ai Solucoes Digitais S/a</v>
      </c>
      <c r="N6287" s="33">
        <f>IFERROR(__xludf.DUMMYFUNCTION("""COMPUTED_VALUE"""),0.5)</f>
        <v>0.5</v>
      </c>
      <c r="O6287" s="4" t="str">
        <f>IFERROR(__xludf.DUMMYFUNCTION("""COMPUTED_VALUE"""),"Anota Ai Solucoes Digitais S/a")</f>
        <v>Anota Ai Solucoes Digitais S/a</v>
      </c>
      <c r="P6287" s="33">
        <f>IFERROR(__xludf.DUMMYFUNCTION("""COMPUTED_VALUE"""),0.5)</f>
        <v>0.5</v>
      </c>
      <c r="Q6287" s="4" t="str">
        <f>IFERROR(__xludf.DUMMYFUNCTION("""COMPUTED_VALUE"""),"Saipos Serviços De Software")</f>
        <v>Saipos Serviços De Software</v>
      </c>
      <c r="R6287" s="33">
        <f>IFERROR(__xludf.DUMMYFUNCTION("""COMPUTED_VALUE"""),0.5)</f>
        <v>0.5</v>
      </c>
      <c r="S6287" s="4" t="str">
        <f>IFERROR(__xludf.DUMMYFUNCTION("""COMPUTED_VALUE"""),"Saipos Serviços De Software")</f>
        <v>Saipos Serviços De Software</v>
      </c>
      <c r="T6287" s="33">
        <f>IFERROR(__xludf.DUMMYFUNCTION("""COMPUTED_VALUE"""),0.5)</f>
        <v>0.5</v>
      </c>
      <c r="U6287" s="4" t="str">
        <f>IFERROR(__xludf.DUMMYFUNCTION("""COMPUTED_VALUE"""),"Saipos Serviços De Software")</f>
        <v>Saipos Serviços De Software</v>
      </c>
      <c r="V6287" s="33">
        <f>IFERROR(__xludf.DUMMYFUNCTION("""COMPUTED_VALUE"""),0.5)</f>
        <v>0.5</v>
      </c>
      <c r="W6287" s="4" t="str">
        <f>IFERROR(__xludf.DUMMYFUNCTION("""COMPUTED_VALUE"""),"Saipos Serviços De Software")</f>
        <v>Saipos Serviços De Software</v>
      </c>
      <c r="X6287" s="33">
        <f>IFERROR(__xludf.DUMMYFUNCTION("""COMPUTED_VALUE"""),0.5)</f>
        <v>0.5</v>
      </c>
    </row>
    <row r="6288">
      <c r="K6288" s="4" t="str">
        <f>IFERROR(__xludf.DUMMYFUNCTION("""COMPUTED_VALUE"""),"ESTACAO GOURMET")</f>
        <v>ESTACAO GOURMET</v>
      </c>
      <c r="L6288" s="32">
        <f>IFERROR(__xludf.DUMMYFUNCTION("""COMPUTED_VALUE"""),2.0)</f>
        <v>2</v>
      </c>
      <c r="M6288" s="4" t="str">
        <f>IFERROR(__xludf.DUMMYFUNCTION("""COMPUTED_VALUE"""),"Consumer Soluções Em Tecnologia Ltda")</f>
        <v>Consumer Soluções Em Tecnologia Ltda</v>
      </c>
      <c r="N6288" s="33">
        <f>IFERROR(__xludf.DUMMYFUNCTION("""COMPUTED_VALUE"""),0.5)</f>
        <v>0.5</v>
      </c>
      <c r="O6288" s="4" t="str">
        <f>IFERROR(__xludf.DUMMYFUNCTION("""COMPUTED_VALUE"""),"null")</f>
        <v>null</v>
      </c>
      <c r="P6288" s="33">
        <f>IFERROR(__xludf.DUMMYFUNCTION("""COMPUTED_VALUE"""),1.0)</f>
        <v>1</v>
      </c>
      <c r="Q6288" s="4" t="str">
        <f>IFERROR(__xludf.DUMMYFUNCTION("""COMPUTED_VALUE"""),"null")</f>
        <v>null</v>
      </c>
      <c r="R6288" s="33">
        <f>IFERROR(__xludf.DUMMYFUNCTION("""COMPUTED_VALUE"""),1.0)</f>
        <v>1</v>
      </c>
      <c r="S6288" s="4" t="str">
        <f>IFERROR(__xludf.DUMMYFUNCTION("""COMPUTED_VALUE"""),"null")</f>
        <v>null</v>
      </c>
      <c r="T6288" s="33">
        <f>IFERROR(__xludf.DUMMYFUNCTION("""COMPUTED_VALUE"""),1.0)</f>
        <v>1</v>
      </c>
      <c r="U6288" s="4" t="str">
        <f>IFERROR(__xludf.DUMMYFUNCTION("""COMPUTED_VALUE"""),"null")</f>
        <v>null</v>
      </c>
      <c r="V6288" s="33">
        <f>IFERROR(__xludf.DUMMYFUNCTION("""COMPUTED_VALUE"""),0.5)</f>
        <v>0.5</v>
      </c>
      <c r="W6288" s="4" t="str">
        <f>IFERROR(__xludf.DUMMYFUNCTION("""COMPUTED_VALUE"""),"null")</f>
        <v>null</v>
      </c>
      <c r="X6288" s="33">
        <f>IFERROR(__xludf.DUMMYFUNCTION("""COMPUTED_VALUE"""),1.0)</f>
        <v>1</v>
      </c>
    </row>
    <row r="6289">
      <c r="K6289" s="4" t="str">
        <f>IFERROR(__xludf.DUMMYFUNCTION("""COMPUTED_VALUE"""),"DOLIVETTO PIZZARIA")</f>
        <v>DOLIVETTO PIZZARIA</v>
      </c>
      <c r="L6289" s="32">
        <f>IFERROR(__xludf.DUMMYFUNCTION("""COMPUTED_VALUE"""),2.0)</f>
        <v>2</v>
      </c>
      <c r="M6289" s="4" t="str">
        <f>IFERROR(__xludf.DUMMYFUNCTION("""COMPUTED_VALUE"""),"M-du Tecnologia")</f>
        <v>M-du Tecnologia</v>
      </c>
      <c r="N6289" s="33">
        <f>IFERROR(__xludf.DUMMYFUNCTION("""COMPUTED_VALUE"""),1.0)</f>
        <v>1</v>
      </c>
      <c r="O6289" s="4" t="str">
        <f>IFERROR(__xludf.DUMMYFUNCTION("""COMPUTED_VALUE"""),"M-du Tecnologia")</f>
        <v>M-du Tecnologia</v>
      </c>
      <c r="P6289" s="33">
        <f>IFERROR(__xludf.DUMMYFUNCTION("""COMPUTED_VALUE"""),1.0)</f>
        <v>1</v>
      </c>
      <c r="Q6289" s="4" t="str">
        <f>IFERROR(__xludf.DUMMYFUNCTION("""COMPUTED_VALUE"""),"M-du Tecnologia")</f>
        <v>M-du Tecnologia</v>
      </c>
      <c r="R6289" s="33">
        <f>IFERROR(__xludf.DUMMYFUNCTION("""COMPUTED_VALUE"""),1.0)</f>
        <v>1</v>
      </c>
      <c r="S6289" s="4" t="str">
        <f>IFERROR(__xludf.DUMMYFUNCTION("""COMPUTED_VALUE"""),"M-du Tecnologia")</f>
        <v>M-du Tecnologia</v>
      </c>
      <c r="T6289" s="33">
        <f>IFERROR(__xludf.DUMMYFUNCTION("""COMPUTED_VALUE"""),1.0)</f>
        <v>1</v>
      </c>
      <c r="U6289" s="4" t="str">
        <f>IFERROR(__xludf.DUMMYFUNCTION("""COMPUTED_VALUE"""),"null")</f>
        <v>null</v>
      </c>
      <c r="V6289" s="33">
        <f>IFERROR(__xludf.DUMMYFUNCTION("""COMPUTED_VALUE"""),1.0)</f>
        <v>1</v>
      </c>
      <c r="W6289" s="4" t="str">
        <f>IFERROR(__xludf.DUMMYFUNCTION("""COMPUTED_VALUE"""),"null")</f>
        <v>null</v>
      </c>
      <c r="X6289" s="33">
        <f>IFERROR(__xludf.DUMMYFUNCTION("""COMPUTED_VALUE"""),1.0)</f>
        <v>1</v>
      </c>
    </row>
    <row r="6290">
      <c r="K6290" s="4" t="str">
        <f>IFERROR(__xludf.DUMMYFUNCTION("""COMPUTED_VALUE"""),"FUJI SUSHI")</f>
        <v>FUJI SUSHI</v>
      </c>
      <c r="L6290" s="32">
        <f>IFERROR(__xludf.DUMMYFUNCTION("""COMPUTED_VALUE"""),2.0)</f>
        <v>2</v>
      </c>
      <c r="M6290" s="4" t="str">
        <f>IFERROR(__xludf.DUMMYFUNCTION("""COMPUTED_VALUE"""),"null")</f>
        <v>null</v>
      </c>
      <c r="N6290" s="33">
        <f>IFERROR(__xludf.DUMMYFUNCTION("""COMPUTED_VALUE"""),0.5)</f>
        <v>0.5</v>
      </c>
      <c r="O6290" s="4" t="str">
        <f>IFERROR(__xludf.DUMMYFUNCTION("""COMPUTED_VALUE"""),"null")</f>
        <v>null</v>
      </c>
      <c r="P6290" s="33">
        <f>IFERROR(__xludf.DUMMYFUNCTION("""COMPUTED_VALUE"""),0.5)</f>
        <v>0.5</v>
      </c>
      <c r="Q6290" s="4" t="str">
        <f>IFERROR(__xludf.DUMMYFUNCTION("""COMPUTED_VALUE"""),"Anota Ai Solucoes Digitais S/a")</f>
        <v>Anota Ai Solucoes Digitais S/a</v>
      </c>
      <c r="R6290" s="33">
        <f>IFERROR(__xludf.DUMMYFUNCTION("""COMPUTED_VALUE"""),0.5)</f>
        <v>0.5</v>
      </c>
      <c r="S6290" s="4" t="str">
        <f>IFERROR(__xludf.DUMMYFUNCTION("""COMPUTED_VALUE"""),"Anota Ai Solucoes Digitais S/a")</f>
        <v>Anota Ai Solucoes Digitais S/a</v>
      </c>
      <c r="T6290" s="33">
        <f>IFERROR(__xludf.DUMMYFUNCTION("""COMPUTED_VALUE"""),0.5)</f>
        <v>0.5</v>
      </c>
      <c r="U6290" s="4" t="str">
        <f>IFERROR(__xludf.DUMMYFUNCTION("""COMPUTED_VALUE"""),"Anota Ai Solucoes Digitais S/a")</f>
        <v>Anota Ai Solucoes Digitais S/a</v>
      </c>
      <c r="V6290" s="33">
        <f>IFERROR(__xludf.DUMMYFUNCTION("""COMPUTED_VALUE"""),0.5)</f>
        <v>0.5</v>
      </c>
      <c r="W6290" s="4" t="str">
        <f>IFERROR(__xludf.DUMMYFUNCTION("""COMPUTED_VALUE"""),"Anota Ai Solucoes Digitais S/a")</f>
        <v>Anota Ai Solucoes Digitais S/a</v>
      </c>
      <c r="X6290" s="33">
        <f>IFERROR(__xludf.DUMMYFUNCTION("""COMPUTED_VALUE"""),0.5)</f>
        <v>0.5</v>
      </c>
    </row>
    <row r="6291">
      <c r="K6291" s="4" t="str">
        <f>IFERROR(__xludf.DUMMYFUNCTION("""COMPUTED_VALUE"""),"DUO BURGUER")</f>
        <v>DUO BURGUER</v>
      </c>
      <c r="L6291" s="32">
        <f>IFERROR(__xludf.DUMMYFUNCTION("""COMPUTED_VALUE"""),2.0)</f>
        <v>2</v>
      </c>
      <c r="M6291" s="4" t="str">
        <f>IFERROR(__xludf.DUMMYFUNCTION("""COMPUTED_VALUE"""),"Saipos Serviços De Software")</f>
        <v>Saipos Serviços De Software</v>
      </c>
      <c r="N6291" s="33">
        <f>IFERROR(__xludf.DUMMYFUNCTION("""COMPUTED_VALUE"""),0.5)</f>
        <v>0.5</v>
      </c>
      <c r="O6291" s="4" t="str">
        <f>IFERROR(__xludf.DUMMYFUNCTION("""COMPUTED_VALUE"""),"Saipos Serviços De Software")</f>
        <v>Saipos Serviços De Software</v>
      </c>
      <c r="P6291" s="33">
        <f>IFERROR(__xludf.DUMMYFUNCTION("""COMPUTED_VALUE"""),0.5)</f>
        <v>0.5</v>
      </c>
      <c r="Q6291" s="4" t="str">
        <f>IFERROR(__xludf.DUMMYFUNCTION("""COMPUTED_VALUE"""),"Saipos Serviços De Software")</f>
        <v>Saipos Serviços De Software</v>
      </c>
      <c r="R6291" s="33">
        <f>IFERROR(__xludf.DUMMYFUNCTION("""COMPUTED_VALUE"""),0.5)</f>
        <v>0.5</v>
      </c>
      <c r="S6291" s="4" t="str">
        <f>IFERROR(__xludf.DUMMYFUNCTION("""COMPUTED_VALUE"""),"Saipos Serviços De Software")</f>
        <v>Saipos Serviços De Software</v>
      </c>
      <c r="T6291" s="33">
        <f>IFERROR(__xludf.DUMMYFUNCTION("""COMPUTED_VALUE"""),0.5)</f>
        <v>0.5</v>
      </c>
      <c r="U6291" s="4" t="str">
        <f>IFERROR(__xludf.DUMMYFUNCTION("""COMPUTED_VALUE"""),"Saipos Serviços De Software")</f>
        <v>Saipos Serviços De Software</v>
      </c>
      <c r="V6291" s="33">
        <f>IFERROR(__xludf.DUMMYFUNCTION("""COMPUTED_VALUE"""),0.5)</f>
        <v>0.5</v>
      </c>
      <c r="W6291" s="4" t="str">
        <f>IFERROR(__xludf.DUMMYFUNCTION("""COMPUTED_VALUE"""),"Saipos Serviços De Software")</f>
        <v>Saipos Serviços De Software</v>
      </c>
      <c r="X6291" s="33">
        <f>IFERROR(__xludf.DUMMYFUNCTION("""COMPUTED_VALUE"""),0.5)</f>
        <v>0.5</v>
      </c>
    </row>
    <row r="6292">
      <c r="K6292" s="4" t="str">
        <f>IFERROR(__xludf.DUMMYFUNCTION("""COMPUTED_VALUE"""),"LAICAO")</f>
        <v>LAICAO</v>
      </c>
      <c r="L6292" s="32">
        <f>IFERROR(__xludf.DUMMYFUNCTION("""COMPUTED_VALUE"""),2.0)</f>
        <v>2</v>
      </c>
      <c r="M6292" s="4" t="str">
        <f>IFERROR(__xludf.DUMMYFUNCTION("""COMPUTED_VALUE"""),"N/A (Not found)")</f>
        <v>N/A (Not found)</v>
      </c>
      <c r="N6292" s="33">
        <f>IFERROR(__xludf.DUMMYFUNCTION("""COMPUTED_VALUE"""),1.0)</f>
        <v>1</v>
      </c>
      <c r="O6292" s="4" t="str">
        <f>IFERROR(__xludf.DUMMYFUNCTION("""COMPUTED_VALUE"""),"N/A (Not found)")</f>
        <v>N/A (Not found)</v>
      </c>
      <c r="P6292" s="33">
        <f>IFERROR(__xludf.DUMMYFUNCTION("""COMPUTED_VALUE"""),1.0)</f>
        <v>1</v>
      </c>
      <c r="Q6292" s="4" t="str">
        <f>IFERROR(__xludf.DUMMYFUNCTION("""COMPUTED_VALUE"""),"N/A (Not found)")</f>
        <v>N/A (Not found)</v>
      </c>
      <c r="R6292" s="33">
        <f>IFERROR(__xludf.DUMMYFUNCTION("""COMPUTED_VALUE"""),1.0)</f>
        <v>1</v>
      </c>
      <c r="S6292" s="4" t="str">
        <f>IFERROR(__xludf.DUMMYFUNCTION("""COMPUTED_VALUE"""),"N/A (Not found)")</f>
        <v>N/A (Not found)</v>
      </c>
      <c r="T6292" s="33">
        <f>IFERROR(__xludf.DUMMYFUNCTION("""COMPUTED_VALUE"""),1.0)</f>
        <v>1</v>
      </c>
      <c r="U6292" s="4" t="str">
        <f>IFERROR(__xludf.DUMMYFUNCTION("""COMPUTED_VALUE"""),"N/A (Not found)")</f>
        <v>N/A (Not found)</v>
      </c>
      <c r="V6292" s="33">
        <f>IFERROR(__xludf.DUMMYFUNCTION("""COMPUTED_VALUE"""),1.0)</f>
        <v>1</v>
      </c>
      <c r="W6292" s="4" t="str">
        <f>IFERROR(__xludf.DUMMYFUNCTION("""COMPUTED_VALUE"""),"N/A (Not found)")</f>
        <v>N/A (Not found)</v>
      </c>
      <c r="X6292" s="33">
        <f>IFERROR(__xludf.DUMMYFUNCTION("""COMPUTED_VALUE"""),1.0)</f>
        <v>1</v>
      </c>
    </row>
    <row r="6293">
      <c r="K6293" s="4" t="str">
        <f>IFERROR(__xludf.DUMMYFUNCTION("""COMPUTED_VALUE"""),"AMERICAN BURGER FOOD TRUCK")</f>
        <v>AMERICAN BURGER FOOD TRUCK</v>
      </c>
      <c r="L6293" s="32">
        <f>IFERROR(__xludf.DUMMYFUNCTION("""COMPUTED_VALUE"""),2.0)</f>
        <v>2</v>
      </c>
      <c r="M6293" s="4" t="str">
        <f>IFERROR(__xludf.DUMMYFUNCTION("""COMPUTED_VALUE"""),"Suitable Tecnologia E Gestao")</f>
        <v>Suitable Tecnologia E Gestao</v>
      </c>
      <c r="N6293" s="33">
        <f>IFERROR(__xludf.DUMMYFUNCTION("""COMPUTED_VALUE"""),1.0)</f>
        <v>1</v>
      </c>
      <c r="O6293" s="4" t="str">
        <f>IFERROR(__xludf.DUMMYFUNCTION("""COMPUTED_VALUE"""),"null")</f>
        <v>null</v>
      </c>
      <c r="P6293" s="33">
        <f>IFERROR(__xludf.DUMMYFUNCTION("""COMPUTED_VALUE"""),0.5)</f>
        <v>0.5</v>
      </c>
      <c r="Q6293" s="4" t="str">
        <f>IFERROR(__xludf.DUMMYFUNCTION("""COMPUTED_VALUE"""),"null")</f>
        <v>null</v>
      </c>
      <c r="R6293" s="33">
        <f>IFERROR(__xludf.DUMMYFUNCTION("""COMPUTED_VALUE"""),0.5)</f>
        <v>0.5</v>
      </c>
      <c r="S6293" s="4" t="str">
        <f>IFERROR(__xludf.DUMMYFUNCTION("""COMPUTED_VALUE"""),"null")</f>
        <v>null</v>
      </c>
      <c r="T6293" s="33">
        <f>IFERROR(__xludf.DUMMYFUNCTION("""COMPUTED_VALUE"""),0.5)</f>
        <v>0.5</v>
      </c>
      <c r="U6293" s="4" t="str">
        <f>IFERROR(__xludf.DUMMYFUNCTION("""COMPUTED_VALUE"""),"null")</f>
        <v>null</v>
      </c>
      <c r="V6293" s="33">
        <f>IFERROR(__xludf.DUMMYFUNCTION("""COMPUTED_VALUE"""),0.5)</f>
        <v>0.5</v>
      </c>
      <c r="W6293" s="4" t="str">
        <f>IFERROR(__xludf.DUMMYFUNCTION("""COMPUTED_VALUE"""),"null")</f>
        <v>null</v>
      </c>
      <c r="X6293" s="33">
        <f>IFERROR(__xludf.DUMMYFUNCTION("""COMPUTED_VALUE"""),0.5)</f>
        <v>0.5</v>
      </c>
    </row>
    <row r="6294">
      <c r="K6294" s="4" t="str">
        <f>IFERROR(__xludf.DUMMYFUNCTION("""COMPUTED_VALUE"""),"IMPERIAL FARMA")</f>
        <v>IMPERIAL FARMA</v>
      </c>
      <c r="L6294" s="32">
        <f>IFERROR(__xludf.DUMMYFUNCTION("""COMPUTED_VALUE"""),2.0)</f>
        <v>2</v>
      </c>
      <c r="M6294" s="4" t="str">
        <f>IFERROR(__xludf.DUMMYFUNCTION("""COMPUTED_VALUE"""),"N/A (Not found)")</f>
        <v>N/A (Not found)</v>
      </c>
      <c r="N6294" s="33">
        <f>IFERROR(__xludf.DUMMYFUNCTION("""COMPUTED_VALUE"""),0.5)</f>
        <v>0.5</v>
      </c>
      <c r="O6294" s="4" t="str">
        <f>IFERROR(__xludf.DUMMYFUNCTION("""COMPUTED_VALUE"""),"N/A (Not found)")</f>
        <v>N/A (Not found)</v>
      </c>
      <c r="P6294" s="33">
        <f>IFERROR(__xludf.DUMMYFUNCTION("""COMPUTED_VALUE"""),0.5)</f>
        <v>0.5</v>
      </c>
      <c r="Q6294" s="4" t="str">
        <f>IFERROR(__xludf.DUMMYFUNCTION("""COMPUTED_VALUE"""),"N/A (Not found)")</f>
        <v>N/A (Not found)</v>
      </c>
      <c r="R6294" s="33">
        <f>IFERROR(__xludf.DUMMYFUNCTION("""COMPUTED_VALUE"""),0.5)</f>
        <v>0.5</v>
      </c>
      <c r="S6294" s="4" t="str">
        <f>IFERROR(__xludf.DUMMYFUNCTION("""COMPUTED_VALUE"""),"N/A (Not found)")</f>
        <v>N/A (Not found)</v>
      </c>
      <c r="T6294" s="33">
        <f>IFERROR(__xludf.DUMMYFUNCTION("""COMPUTED_VALUE"""),0.5)</f>
        <v>0.5</v>
      </c>
      <c r="U6294" s="4" t="str">
        <f>IFERROR(__xludf.DUMMYFUNCTION("""COMPUTED_VALUE"""),"N/A (Not found)")</f>
        <v>N/A (Not found)</v>
      </c>
      <c r="V6294" s="33">
        <f>IFERROR(__xludf.DUMMYFUNCTION("""COMPUTED_VALUE"""),0.5)</f>
        <v>0.5</v>
      </c>
      <c r="W6294" s="4" t="str">
        <f>IFERROR(__xludf.DUMMYFUNCTION("""COMPUTED_VALUE"""),"null")</f>
        <v>null</v>
      </c>
      <c r="X6294" s="33">
        <f>IFERROR(__xludf.DUMMYFUNCTION("""COMPUTED_VALUE"""),0.5)</f>
        <v>0.5</v>
      </c>
    </row>
    <row r="6295">
      <c r="K6295" s="4" t="str">
        <f>IFERROR(__xludf.DUMMYFUNCTION("""COMPUTED_VALUE"""),"CAPITAO PIZZA")</f>
        <v>CAPITAO PIZZA</v>
      </c>
      <c r="L6295" s="32">
        <f>IFERROR(__xludf.DUMMYFUNCTION("""COMPUTED_VALUE"""),2.0)</f>
        <v>2</v>
      </c>
      <c r="M6295" s="4" t="str">
        <f>IFERROR(__xludf.DUMMYFUNCTION("""COMPUTED_VALUE"""),"Saipos Serviços De Software")</f>
        <v>Saipos Serviços De Software</v>
      </c>
      <c r="N6295" s="33">
        <f>IFERROR(__xludf.DUMMYFUNCTION("""COMPUTED_VALUE"""),0.5)</f>
        <v>0.5</v>
      </c>
      <c r="O6295" s="4" t="str">
        <f>IFERROR(__xludf.DUMMYFUNCTION("""COMPUTED_VALUE"""),"null")</f>
        <v>null</v>
      </c>
      <c r="P6295" s="33">
        <f>IFERROR(__xludf.DUMMYFUNCTION("""COMPUTED_VALUE"""),0.5)</f>
        <v>0.5</v>
      </c>
      <c r="Q6295" s="4" t="str">
        <f>IFERROR(__xludf.DUMMYFUNCTION("""COMPUTED_VALUE"""),"Saipos Serviços De Software")</f>
        <v>Saipos Serviços De Software</v>
      </c>
      <c r="R6295" s="33">
        <f>IFERROR(__xludf.DUMMYFUNCTION("""COMPUTED_VALUE"""),0.5)</f>
        <v>0.5</v>
      </c>
      <c r="S6295" s="4" t="str">
        <f>IFERROR(__xludf.DUMMYFUNCTION("""COMPUTED_VALUE"""),"Saipos Serviços De Software")</f>
        <v>Saipos Serviços De Software</v>
      </c>
      <c r="T6295" s="33">
        <f>IFERROR(__xludf.DUMMYFUNCTION("""COMPUTED_VALUE"""),0.5)</f>
        <v>0.5</v>
      </c>
      <c r="U6295" s="4" t="str">
        <f>IFERROR(__xludf.DUMMYFUNCTION("""COMPUTED_VALUE"""),"Saipos Serviços De Software")</f>
        <v>Saipos Serviços De Software</v>
      </c>
      <c r="V6295" s="33">
        <f>IFERROR(__xludf.DUMMYFUNCTION("""COMPUTED_VALUE"""),0.5)</f>
        <v>0.5</v>
      </c>
      <c r="W6295" s="4" t="str">
        <f>IFERROR(__xludf.DUMMYFUNCTION("""COMPUTED_VALUE"""),"Saipos Serviços De Software")</f>
        <v>Saipos Serviços De Software</v>
      </c>
      <c r="X6295" s="33">
        <f>IFERROR(__xludf.DUMMYFUNCTION("""COMPUTED_VALUE"""),0.5)</f>
        <v>0.5</v>
      </c>
    </row>
    <row r="6296">
      <c r="K6296" s="4" t="str">
        <f>IFERROR(__xludf.DUMMYFUNCTION("""COMPUTED_VALUE"""),"BURGER BOX")</f>
        <v>BURGER BOX</v>
      </c>
      <c r="L6296" s="32">
        <f>IFERROR(__xludf.DUMMYFUNCTION("""COMPUTED_VALUE"""),2.0)</f>
        <v>2</v>
      </c>
      <c r="M6296" s="4" t="str">
        <f>IFERROR(__xludf.DUMMYFUNCTION("""COMPUTED_VALUE"""),"Saipos Serviços De Software")</f>
        <v>Saipos Serviços De Software</v>
      </c>
      <c r="N6296" s="33">
        <f>IFERROR(__xludf.DUMMYFUNCTION("""COMPUTED_VALUE"""),0.5)</f>
        <v>0.5</v>
      </c>
      <c r="O6296" s="4" t="str">
        <f>IFERROR(__xludf.DUMMYFUNCTION("""COMPUTED_VALUE"""),"null")</f>
        <v>null</v>
      </c>
      <c r="P6296" s="33">
        <f>IFERROR(__xludf.DUMMYFUNCTION("""COMPUTED_VALUE"""),0.5)</f>
        <v>0.5</v>
      </c>
      <c r="Q6296" s="4" t="str">
        <f>IFERROR(__xludf.DUMMYFUNCTION("""COMPUTED_VALUE"""),"null")</f>
        <v>null</v>
      </c>
      <c r="R6296" s="33">
        <f>IFERROR(__xludf.DUMMYFUNCTION("""COMPUTED_VALUE"""),0.5)</f>
        <v>0.5</v>
      </c>
      <c r="S6296" s="4" t="str">
        <f>IFERROR(__xludf.DUMMYFUNCTION("""COMPUTED_VALUE"""),"null")</f>
        <v>null</v>
      </c>
      <c r="T6296" s="33">
        <f>IFERROR(__xludf.DUMMYFUNCTION("""COMPUTED_VALUE"""),0.5)</f>
        <v>0.5</v>
      </c>
      <c r="U6296" s="4" t="str">
        <f>IFERROR(__xludf.DUMMYFUNCTION("""COMPUTED_VALUE"""),"null")</f>
        <v>null</v>
      </c>
      <c r="V6296" s="33">
        <f>IFERROR(__xludf.DUMMYFUNCTION("""COMPUTED_VALUE"""),0.5)</f>
        <v>0.5</v>
      </c>
      <c r="W6296" s="4" t="str">
        <f>IFERROR(__xludf.DUMMYFUNCTION("""COMPUTED_VALUE"""),"null")</f>
        <v>null</v>
      </c>
      <c r="X6296" s="33">
        <f>IFERROR(__xludf.DUMMYFUNCTION("""COMPUTED_VALUE"""),0.5)</f>
        <v>0.5</v>
      </c>
    </row>
    <row r="6297">
      <c r="K6297" s="4" t="str">
        <f>IFERROR(__xludf.DUMMYFUNCTION("""COMPUTED_VALUE"""),"RESTAURANTE FF FAMILIA FERRARI")</f>
        <v>RESTAURANTE FF FAMILIA FERRARI</v>
      </c>
      <c r="L6297" s="32">
        <f>IFERROR(__xludf.DUMMYFUNCTION("""COMPUTED_VALUE"""),2.0)</f>
        <v>2</v>
      </c>
      <c r="M6297" s="4" t="str">
        <f>IFERROR(__xludf.DUMMYFUNCTION("""COMPUTED_VALUE"""),"null")</f>
        <v>null</v>
      </c>
      <c r="N6297" s="33">
        <f>IFERROR(__xludf.DUMMYFUNCTION("""COMPUTED_VALUE"""),0.5)</f>
        <v>0.5</v>
      </c>
      <c r="O6297" s="4" t="str">
        <f>IFERROR(__xludf.DUMMYFUNCTION("""COMPUTED_VALUE"""),"Dalcatech Automacao E Desenvolvimento De Software Ltda")</f>
        <v>Dalcatech Automacao E Desenvolvimento De Software Ltda</v>
      </c>
      <c r="P6297" s="33">
        <f>IFERROR(__xludf.DUMMYFUNCTION("""COMPUTED_VALUE"""),0.5)</f>
        <v>0.5</v>
      </c>
      <c r="Q6297" s="4" t="str">
        <f>IFERROR(__xludf.DUMMYFUNCTION("""COMPUTED_VALUE"""),"Dalcatech Automacao E Desenvolvimento De Software Ltda")</f>
        <v>Dalcatech Automacao E Desenvolvimento De Software Ltda</v>
      </c>
      <c r="R6297" s="33">
        <f>IFERROR(__xludf.DUMMYFUNCTION("""COMPUTED_VALUE"""),0.5)</f>
        <v>0.5</v>
      </c>
      <c r="S6297" s="4" t="str">
        <f>IFERROR(__xludf.DUMMYFUNCTION("""COMPUTED_VALUE"""),"Dalcatech Automacao E Desenvolvimento De Software Ltda")</f>
        <v>Dalcatech Automacao E Desenvolvimento De Software Ltda</v>
      </c>
      <c r="T6297" s="33">
        <f>IFERROR(__xludf.DUMMYFUNCTION("""COMPUTED_VALUE"""),0.5)</f>
        <v>0.5</v>
      </c>
      <c r="U6297" s="4" t="str">
        <f>IFERROR(__xludf.DUMMYFUNCTION("""COMPUTED_VALUE"""),"Dalcatech Automacao E Desenvolvimento De Software Ltda")</f>
        <v>Dalcatech Automacao E Desenvolvimento De Software Ltda</v>
      </c>
      <c r="V6297" s="33">
        <f>IFERROR(__xludf.DUMMYFUNCTION("""COMPUTED_VALUE"""),0.5)</f>
        <v>0.5</v>
      </c>
      <c r="W6297" s="4" t="str">
        <f>IFERROR(__xludf.DUMMYFUNCTION("""COMPUTED_VALUE"""),"Dalcatech Automacao E Desenvolvimento De Software Ltda")</f>
        <v>Dalcatech Automacao E Desenvolvimento De Software Ltda</v>
      </c>
      <c r="X6297" s="33">
        <f>IFERROR(__xludf.DUMMYFUNCTION("""COMPUTED_VALUE"""),0.5)</f>
        <v>0.5</v>
      </c>
    </row>
    <row r="6298">
      <c r="K6298" s="4" t="str">
        <f>IFERROR(__xludf.DUMMYFUNCTION("""COMPUTED_VALUE"""),"GUARANA DA AMAZONIA JUNDIAI")</f>
        <v>GUARANA DA AMAZONIA JUNDIAI</v>
      </c>
      <c r="L6298" s="32">
        <f>IFERROR(__xludf.DUMMYFUNCTION("""COMPUTED_VALUE"""),2.0)</f>
        <v>2</v>
      </c>
      <c r="M6298" s="4" t="str">
        <f>IFERROR(__xludf.DUMMYFUNCTION("""COMPUTED_VALUE"""),"Saipos Serviços De Software")</f>
        <v>Saipos Serviços De Software</v>
      </c>
      <c r="N6298" s="33">
        <f>IFERROR(__xludf.DUMMYFUNCTION("""COMPUTED_VALUE"""),1.0)</f>
        <v>1</v>
      </c>
      <c r="O6298" s="4" t="str">
        <f>IFERROR(__xludf.DUMMYFUNCTION("""COMPUTED_VALUE"""),"Saipos Serviços De Software")</f>
        <v>Saipos Serviços De Software</v>
      </c>
      <c r="P6298" s="33">
        <f>IFERROR(__xludf.DUMMYFUNCTION("""COMPUTED_VALUE"""),1.0)</f>
        <v>1</v>
      </c>
      <c r="Q6298" s="4" t="str">
        <f>IFERROR(__xludf.DUMMYFUNCTION("""COMPUTED_VALUE"""),"null")</f>
        <v>null</v>
      </c>
      <c r="R6298" s="33">
        <f>IFERROR(__xludf.DUMMYFUNCTION("""COMPUTED_VALUE"""),1.0)</f>
        <v>1</v>
      </c>
      <c r="S6298" s="4" t="str">
        <f>IFERROR(__xludf.DUMMYFUNCTION("""COMPUTED_VALUE"""),"null")</f>
        <v>null</v>
      </c>
      <c r="T6298" s="33">
        <f>IFERROR(__xludf.DUMMYFUNCTION("""COMPUTED_VALUE"""),1.0)</f>
        <v>1</v>
      </c>
      <c r="U6298" s="4" t="str">
        <f>IFERROR(__xludf.DUMMYFUNCTION("""COMPUTED_VALUE"""),"null")</f>
        <v>null</v>
      </c>
      <c r="V6298" s="33">
        <f>IFERROR(__xludf.DUMMYFUNCTION("""COMPUTED_VALUE"""),1.0)</f>
        <v>1</v>
      </c>
      <c r="W6298" s="4" t="str">
        <f>IFERROR(__xludf.DUMMYFUNCTION("""COMPUTED_VALUE"""),"null")</f>
        <v>null</v>
      </c>
      <c r="X6298" s="33">
        <f>IFERROR(__xludf.DUMMYFUNCTION("""COMPUTED_VALUE"""),1.0)</f>
        <v>1</v>
      </c>
    </row>
    <row r="6299">
      <c r="K6299" s="4" t="str">
        <f>IFERROR(__xludf.DUMMYFUNCTION("""COMPUTED_VALUE"""),"MAGIA DO ACAI")</f>
        <v>MAGIA DO ACAI</v>
      </c>
      <c r="L6299" s="32">
        <f>IFERROR(__xludf.DUMMYFUNCTION("""COMPUTED_VALUE"""),2.0)</f>
        <v>2</v>
      </c>
      <c r="M6299" s="4" t="str">
        <f>IFERROR(__xludf.DUMMYFUNCTION("""COMPUTED_VALUE"""),"null")</f>
        <v>null</v>
      </c>
      <c r="N6299" s="33">
        <f>IFERROR(__xludf.DUMMYFUNCTION("""COMPUTED_VALUE"""),0.5)</f>
        <v>0.5</v>
      </c>
      <c r="O6299" s="4" t="str">
        <f>IFERROR(__xludf.DUMMYFUNCTION("""COMPUTED_VALUE"""),"null")</f>
        <v>null</v>
      </c>
      <c r="P6299" s="33">
        <f>IFERROR(__xludf.DUMMYFUNCTION("""COMPUTED_VALUE"""),0.5)</f>
        <v>0.5</v>
      </c>
      <c r="Q6299" s="4" t="str">
        <f>IFERROR(__xludf.DUMMYFUNCTION("""COMPUTED_VALUE"""),"null")</f>
        <v>null</v>
      </c>
      <c r="R6299" s="33">
        <f>IFERROR(__xludf.DUMMYFUNCTION("""COMPUTED_VALUE"""),1.0)</f>
        <v>1</v>
      </c>
      <c r="S6299" s="4" t="str">
        <f>IFERROR(__xludf.DUMMYFUNCTION("""COMPUTED_VALUE"""),"null")</f>
        <v>null</v>
      </c>
      <c r="T6299" s="33">
        <f>IFERROR(__xludf.DUMMYFUNCTION("""COMPUTED_VALUE"""),1.0)</f>
        <v>1</v>
      </c>
      <c r="U6299" s="4" t="str">
        <f>IFERROR(__xludf.DUMMYFUNCTION("""COMPUTED_VALUE"""),"null")</f>
        <v>null</v>
      </c>
      <c r="V6299" s="33">
        <f>IFERROR(__xludf.DUMMYFUNCTION("""COMPUTED_VALUE"""),0.5)</f>
        <v>0.5</v>
      </c>
      <c r="W6299" s="4" t="str">
        <f>IFERROR(__xludf.DUMMYFUNCTION("""COMPUTED_VALUE"""),"Saipos Serviços De Software")</f>
        <v>Saipos Serviços De Software</v>
      </c>
      <c r="X6299" s="33">
        <f>IFERROR(__xludf.DUMMYFUNCTION("""COMPUTED_VALUE"""),0.5)</f>
        <v>0.5</v>
      </c>
    </row>
    <row r="6300">
      <c r="K6300" s="4" t="str">
        <f>IFERROR(__xludf.DUMMYFUNCTION("""COMPUTED_VALUE"""),"DELLA SANTA SEM GLUTEN")</f>
        <v>DELLA SANTA SEM GLUTEN</v>
      </c>
      <c r="L6300" s="32">
        <f>IFERROR(__xludf.DUMMYFUNCTION("""COMPUTED_VALUE"""),2.0)</f>
        <v>2</v>
      </c>
      <c r="M6300" s="4" t="str">
        <f>IFERROR(__xludf.DUMMYFUNCTION("""COMPUTED_VALUE"""),"null")</f>
        <v>null</v>
      </c>
      <c r="N6300" s="33">
        <f>IFERROR(__xludf.DUMMYFUNCTION("""COMPUTED_VALUE"""),1.0)</f>
        <v>1</v>
      </c>
      <c r="O6300" s="4" t="str">
        <f>IFERROR(__xludf.DUMMYFUNCTION("""COMPUTED_VALUE"""),"null")</f>
        <v>null</v>
      </c>
      <c r="P6300" s="33">
        <f>IFERROR(__xludf.DUMMYFUNCTION("""COMPUTED_VALUE"""),1.0)</f>
        <v>1</v>
      </c>
      <c r="Q6300" s="4" t="str">
        <f>IFERROR(__xludf.DUMMYFUNCTION("""COMPUTED_VALUE"""),"null")</f>
        <v>null</v>
      </c>
      <c r="R6300" s="33">
        <f>IFERROR(__xludf.DUMMYFUNCTION("""COMPUTED_VALUE"""),0.5)</f>
        <v>0.5</v>
      </c>
      <c r="S6300" s="4" t="str">
        <f>IFERROR(__xludf.DUMMYFUNCTION("""COMPUTED_VALUE"""),"Saipos Serviços De Software")</f>
        <v>Saipos Serviços De Software</v>
      </c>
      <c r="T6300" s="33">
        <f>IFERROR(__xludf.DUMMYFUNCTION("""COMPUTED_VALUE"""),0.5)</f>
        <v>0.5</v>
      </c>
      <c r="U6300" s="4" t="str">
        <f>IFERROR(__xludf.DUMMYFUNCTION("""COMPUTED_VALUE"""),"Saipos Serviços De Software")</f>
        <v>Saipos Serviços De Software</v>
      </c>
      <c r="V6300" s="33">
        <f>IFERROR(__xludf.DUMMYFUNCTION("""COMPUTED_VALUE"""),0.5)</f>
        <v>0.5</v>
      </c>
      <c r="W6300" s="4" t="str">
        <f>IFERROR(__xludf.DUMMYFUNCTION("""COMPUTED_VALUE"""),"Saipos Serviços De Software")</f>
        <v>Saipos Serviços De Software</v>
      </c>
      <c r="X6300" s="33">
        <f>IFERROR(__xludf.DUMMYFUNCTION("""COMPUTED_VALUE"""),0.5)</f>
        <v>0.5</v>
      </c>
    </row>
    <row r="6301">
      <c r="K6301" s="4" t="str">
        <f>IFERROR(__xludf.DUMMYFUNCTION("""COMPUTED_VALUE"""),"NHOQUE VA BENE MASSAS ARTESANAIS")</f>
        <v>NHOQUE VA BENE MASSAS ARTESANAIS</v>
      </c>
      <c r="L6301" s="32">
        <f>IFERROR(__xludf.DUMMYFUNCTION("""COMPUTED_VALUE"""),2.0)</f>
        <v>2</v>
      </c>
      <c r="M6301" s="4" t="str">
        <f>IFERROR(__xludf.DUMMYFUNCTION("""COMPUTED_VALUE"""),"Cardápio Web")</f>
        <v>Cardápio Web</v>
      </c>
      <c r="N6301" s="33">
        <f>IFERROR(__xludf.DUMMYFUNCTION("""COMPUTED_VALUE"""),0.5)</f>
        <v>0.5</v>
      </c>
      <c r="O6301" s="4" t="str">
        <f>IFERROR(__xludf.DUMMYFUNCTION("""COMPUTED_VALUE"""),"Cardápio Web")</f>
        <v>Cardápio Web</v>
      </c>
      <c r="P6301" s="33">
        <f>IFERROR(__xludf.DUMMYFUNCTION("""COMPUTED_VALUE"""),1.0)</f>
        <v>1</v>
      </c>
      <c r="Q6301" s="4" t="str">
        <f>IFERROR(__xludf.DUMMYFUNCTION("""COMPUTED_VALUE"""),"Cardápio Web")</f>
        <v>Cardápio Web</v>
      </c>
      <c r="R6301" s="33">
        <f>IFERROR(__xludf.DUMMYFUNCTION("""COMPUTED_VALUE"""),1.0)</f>
        <v>1</v>
      </c>
      <c r="S6301" s="4" t="str">
        <f>IFERROR(__xludf.DUMMYFUNCTION("""COMPUTED_VALUE"""),"Cardápio Web")</f>
        <v>Cardápio Web</v>
      </c>
      <c r="T6301" s="33">
        <f>IFERROR(__xludf.DUMMYFUNCTION("""COMPUTED_VALUE"""),1.0)</f>
        <v>1</v>
      </c>
      <c r="U6301" s="4" t="str">
        <f>IFERROR(__xludf.DUMMYFUNCTION("""COMPUTED_VALUE"""),"Cardápio Web")</f>
        <v>Cardápio Web</v>
      </c>
      <c r="V6301" s="33">
        <f>IFERROR(__xludf.DUMMYFUNCTION("""COMPUTED_VALUE"""),1.0)</f>
        <v>1</v>
      </c>
      <c r="W6301" s="4" t="str">
        <f>IFERROR(__xludf.DUMMYFUNCTION("""COMPUTED_VALUE"""),"Cardápio Web")</f>
        <v>Cardápio Web</v>
      </c>
      <c r="X6301" s="33">
        <f>IFERROR(__xludf.DUMMYFUNCTION("""COMPUTED_VALUE"""),1.0)</f>
        <v>1</v>
      </c>
    </row>
    <row r="6302">
      <c r="K6302" s="4" t="str">
        <f>IFERROR(__xludf.DUMMYFUNCTION("""COMPUTED_VALUE"""),"PAZZI PER GELATO - GELATOS E DOCES ARTESANAIS")</f>
        <v>PAZZI PER GELATO - GELATOS E DOCES ARTESANAIS</v>
      </c>
      <c r="L6302" s="32">
        <f>IFERROR(__xludf.DUMMYFUNCTION("""COMPUTED_VALUE"""),2.0)</f>
        <v>2</v>
      </c>
      <c r="M6302" s="4" t="str">
        <f>IFERROR(__xludf.DUMMYFUNCTION("""COMPUTED_VALUE"""),"Swfast Sistemas")</f>
        <v>Swfast Sistemas</v>
      </c>
      <c r="N6302" s="33">
        <f>IFERROR(__xludf.DUMMYFUNCTION("""COMPUTED_VALUE"""),1.0)</f>
        <v>1</v>
      </c>
      <c r="O6302" s="4" t="str">
        <f>IFERROR(__xludf.DUMMYFUNCTION("""COMPUTED_VALUE"""),"Swfast Sistemas")</f>
        <v>Swfast Sistemas</v>
      </c>
      <c r="P6302" s="33">
        <f>IFERROR(__xludf.DUMMYFUNCTION("""COMPUTED_VALUE"""),1.0)</f>
        <v>1</v>
      </c>
      <c r="Q6302" s="4" t="str">
        <f>IFERROR(__xludf.DUMMYFUNCTION("""COMPUTED_VALUE"""),"Swfast Sistemas")</f>
        <v>Swfast Sistemas</v>
      </c>
      <c r="R6302" s="33">
        <f>IFERROR(__xludf.DUMMYFUNCTION("""COMPUTED_VALUE"""),0.5)</f>
        <v>0.5</v>
      </c>
      <c r="S6302" s="4" t="str">
        <f>IFERROR(__xludf.DUMMYFUNCTION("""COMPUTED_VALUE"""),"Swfast Sistemas")</f>
        <v>Swfast Sistemas</v>
      </c>
      <c r="T6302" s="33">
        <f>IFERROR(__xludf.DUMMYFUNCTION("""COMPUTED_VALUE"""),1.0)</f>
        <v>1</v>
      </c>
      <c r="U6302" s="4" t="str">
        <f>IFERROR(__xludf.DUMMYFUNCTION("""COMPUTED_VALUE"""),"Swfast Sistemas")</f>
        <v>Swfast Sistemas</v>
      </c>
      <c r="V6302" s="33">
        <f>IFERROR(__xludf.DUMMYFUNCTION("""COMPUTED_VALUE"""),0.5)</f>
        <v>0.5</v>
      </c>
      <c r="W6302" s="4" t="str">
        <f>IFERROR(__xludf.DUMMYFUNCTION("""COMPUTED_VALUE"""),"null")</f>
        <v>null</v>
      </c>
      <c r="X6302" s="33">
        <f>IFERROR(__xludf.DUMMYFUNCTION("""COMPUTED_VALUE"""),0.5)</f>
        <v>0.5</v>
      </c>
    </row>
    <row r="6303">
      <c r="K6303" s="4" t="str">
        <f>IFERROR(__xludf.DUMMYFUNCTION("""COMPUTED_VALUE"""),"HEVENI BURGER - SANTA FELICIDADE")</f>
        <v>HEVENI BURGER - SANTA FELICIDADE</v>
      </c>
      <c r="L6303" s="32">
        <f>IFERROR(__xludf.DUMMYFUNCTION("""COMPUTED_VALUE"""),2.0)</f>
        <v>2</v>
      </c>
      <c r="M6303" s="4" t="str">
        <f>IFERROR(__xludf.DUMMYFUNCTION("""COMPUTED_VALUE"""),"null")</f>
        <v>null</v>
      </c>
      <c r="N6303" s="33">
        <f>IFERROR(__xludf.DUMMYFUNCTION("""COMPUTED_VALUE"""),0.5)</f>
        <v>0.5</v>
      </c>
      <c r="O6303" s="4" t="str">
        <f>IFERROR(__xludf.DUMMYFUNCTION("""COMPUTED_VALUE"""),"null")</f>
        <v>null</v>
      </c>
      <c r="P6303" s="33">
        <f>IFERROR(__xludf.DUMMYFUNCTION("""COMPUTED_VALUE"""),0.5)</f>
        <v>0.5</v>
      </c>
      <c r="Q6303" s="4" t="str">
        <f>IFERROR(__xludf.DUMMYFUNCTION("""COMPUTED_VALUE"""),"null")</f>
        <v>null</v>
      </c>
      <c r="R6303" s="33">
        <f>IFERROR(__xludf.DUMMYFUNCTION("""COMPUTED_VALUE"""),0.5)</f>
        <v>0.5</v>
      </c>
      <c r="S6303" s="4" t="str">
        <f>IFERROR(__xludf.DUMMYFUNCTION("""COMPUTED_VALUE"""),"null")</f>
        <v>null</v>
      </c>
      <c r="T6303" s="33">
        <f>IFERROR(__xludf.DUMMYFUNCTION("""COMPUTED_VALUE"""),0.5)</f>
        <v>0.5</v>
      </c>
      <c r="U6303" s="4" t="str">
        <f>IFERROR(__xludf.DUMMYFUNCTION("""COMPUTED_VALUE"""),"Saipos Serviços De Software")</f>
        <v>Saipos Serviços De Software</v>
      </c>
      <c r="V6303" s="33">
        <f>IFERROR(__xludf.DUMMYFUNCTION("""COMPUTED_VALUE"""),1.0)</f>
        <v>1</v>
      </c>
      <c r="W6303" s="4" t="str">
        <f>IFERROR(__xludf.DUMMYFUNCTION("""COMPUTED_VALUE"""),"Saipos Serviços De Software")</f>
        <v>Saipos Serviços De Software</v>
      </c>
      <c r="X6303" s="33">
        <f>IFERROR(__xludf.DUMMYFUNCTION("""COMPUTED_VALUE"""),0.5)</f>
        <v>0.5</v>
      </c>
    </row>
    <row r="6304">
      <c r="K6304" s="4" t="str">
        <f>IFERROR(__xludf.DUMMYFUNCTION("""COMPUTED_VALUE"""),"DROGARIA DO TRABALHADOR BRASILEIRO")</f>
        <v>DROGARIA DO TRABALHADOR BRASILEIRO</v>
      </c>
      <c r="L6304" s="32">
        <f>IFERROR(__xludf.DUMMYFUNCTION("""COMPUTED_VALUE"""),2.0)</f>
        <v>2</v>
      </c>
      <c r="M6304" s="4" t="str">
        <f>IFERROR(__xludf.DUMMYFUNCTION("""COMPUTED_VALUE"""),"N/A (Not found)")</f>
        <v>N/A (Not found)</v>
      </c>
      <c r="N6304" s="33">
        <f>IFERROR(__xludf.DUMMYFUNCTION("""COMPUTED_VALUE"""),0.5)</f>
        <v>0.5</v>
      </c>
      <c r="O6304" s="4" t="str">
        <f>IFERROR(__xludf.DUMMYFUNCTION("""COMPUTED_VALUE"""),"N/A (Not found)")</f>
        <v>N/A (Not found)</v>
      </c>
      <c r="P6304" s="33">
        <f>IFERROR(__xludf.DUMMYFUNCTION("""COMPUTED_VALUE"""),0.5)</f>
        <v>0.5</v>
      </c>
      <c r="Q6304" s="4" t="str">
        <f>IFERROR(__xludf.DUMMYFUNCTION("""COMPUTED_VALUE"""),"N/A (Not found)")</f>
        <v>N/A (Not found)</v>
      </c>
      <c r="R6304" s="33">
        <f>IFERROR(__xludf.DUMMYFUNCTION("""COMPUTED_VALUE"""),1.0)</f>
        <v>1</v>
      </c>
      <c r="S6304" s="4" t="str">
        <f>IFERROR(__xludf.DUMMYFUNCTION("""COMPUTED_VALUE"""),"N/A (Not found)")</f>
        <v>N/A (Not found)</v>
      </c>
      <c r="T6304" s="33">
        <f>IFERROR(__xludf.DUMMYFUNCTION("""COMPUTED_VALUE"""),1.0)</f>
        <v>1</v>
      </c>
      <c r="U6304" s="4" t="str">
        <f>IFERROR(__xludf.DUMMYFUNCTION("""COMPUTED_VALUE"""),"null")</f>
        <v>null</v>
      </c>
      <c r="V6304" s="33">
        <f>IFERROR(__xludf.DUMMYFUNCTION("""COMPUTED_VALUE"""),0.5)</f>
        <v>0.5</v>
      </c>
      <c r="W6304" s="4" t="str">
        <f>IFERROR(__xludf.DUMMYFUNCTION("""COMPUTED_VALUE"""),"null")</f>
        <v>null</v>
      </c>
      <c r="X6304" s="33">
        <f>IFERROR(__xludf.DUMMYFUNCTION("""COMPUTED_VALUE"""),0.5)</f>
        <v>0.5</v>
      </c>
    </row>
    <row r="6305">
      <c r="K6305" s="4" t="str">
        <f>IFERROR(__xludf.DUMMYFUNCTION("""COMPUTED_VALUE"""),"GARDEN CAFE")</f>
        <v>GARDEN CAFE</v>
      </c>
      <c r="L6305" s="32">
        <f>IFERROR(__xludf.DUMMYFUNCTION("""COMPUTED_VALUE"""),2.0)</f>
        <v>2</v>
      </c>
      <c r="M6305" s="4" t="str">
        <f>IFERROR(__xludf.DUMMYFUNCTION("""COMPUTED_VALUE"""),"null")</f>
        <v>null</v>
      </c>
      <c r="N6305" s="33">
        <f>IFERROR(__xludf.DUMMYFUNCTION("""COMPUTED_VALUE"""),1.0)</f>
        <v>1</v>
      </c>
      <c r="O6305" s="4" t="str">
        <f>IFERROR(__xludf.DUMMYFUNCTION("""COMPUTED_VALUE"""),"null")</f>
        <v>null</v>
      </c>
      <c r="P6305" s="33">
        <f>IFERROR(__xludf.DUMMYFUNCTION("""COMPUTED_VALUE"""),1.0)</f>
        <v>1</v>
      </c>
      <c r="Q6305" s="4" t="str">
        <f>IFERROR(__xludf.DUMMYFUNCTION("""COMPUTED_VALUE"""),"null")</f>
        <v>null</v>
      </c>
      <c r="R6305" s="33">
        <f>IFERROR(__xludf.DUMMYFUNCTION("""COMPUTED_VALUE"""),1.0)</f>
        <v>1</v>
      </c>
      <c r="S6305" s="4" t="str">
        <f>IFERROR(__xludf.DUMMYFUNCTION("""COMPUTED_VALUE"""),"null")</f>
        <v>null</v>
      </c>
      <c r="T6305" s="33">
        <f>IFERROR(__xludf.DUMMYFUNCTION("""COMPUTED_VALUE"""),0.5)</f>
        <v>0.5</v>
      </c>
      <c r="U6305" s="4" t="str">
        <f>IFERROR(__xludf.DUMMYFUNCTION("""COMPUTED_VALUE"""),"Anota Ai Solucoes Digitais S/a")</f>
        <v>Anota Ai Solucoes Digitais S/a</v>
      </c>
      <c r="V6305" s="33">
        <f>IFERROR(__xludf.DUMMYFUNCTION("""COMPUTED_VALUE"""),1.0)</f>
        <v>1</v>
      </c>
      <c r="W6305" s="4" t="str">
        <f>IFERROR(__xludf.DUMMYFUNCTION("""COMPUTED_VALUE"""),"Anota Ai Solucoes Digitais S/a")</f>
        <v>Anota Ai Solucoes Digitais S/a</v>
      </c>
      <c r="X6305" s="33">
        <f>IFERROR(__xludf.DUMMYFUNCTION("""COMPUTED_VALUE"""),0.5)</f>
        <v>0.5</v>
      </c>
    </row>
    <row r="6306">
      <c r="K6306" s="4" t="str">
        <f>IFERROR(__xludf.DUMMYFUNCTION("""COMPUTED_VALUE"""),"PARADA DO ESPETINHO")</f>
        <v>PARADA DO ESPETINHO</v>
      </c>
      <c r="L6306" s="32">
        <f>IFERROR(__xludf.DUMMYFUNCTION("""COMPUTED_VALUE"""),2.0)</f>
        <v>2</v>
      </c>
      <c r="M6306" s="4" t="str">
        <f>IFERROR(__xludf.DUMMYFUNCTION("""COMPUTED_VALUE"""),"Anota Ai Solucoes Digitais S/a")</f>
        <v>Anota Ai Solucoes Digitais S/a</v>
      </c>
      <c r="N6306" s="33">
        <f>IFERROR(__xludf.DUMMYFUNCTION("""COMPUTED_VALUE"""),0.5)</f>
        <v>0.5</v>
      </c>
      <c r="O6306" s="4" t="str">
        <f>IFERROR(__xludf.DUMMYFUNCTION("""COMPUTED_VALUE"""),"Anota Ai Solucoes Digitais S/a")</f>
        <v>Anota Ai Solucoes Digitais S/a</v>
      </c>
      <c r="P6306" s="33">
        <f>IFERROR(__xludf.DUMMYFUNCTION("""COMPUTED_VALUE"""),0.5)</f>
        <v>0.5</v>
      </c>
      <c r="Q6306" s="4" t="str">
        <f>IFERROR(__xludf.DUMMYFUNCTION("""COMPUTED_VALUE"""),"Anota Ai Solucoes Digitais S/a")</f>
        <v>Anota Ai Solucoes Digitais S/a</v>
      </c>
      <c r="R6306" s="33">
        <f>IFERROR(__xludf.DUMMYFUNCTION("""COMPUTED_VALUE"""),0.5)</f>
        <v>0.5</v>
      </c>
      <c r="S6306" s="4" t="str">
        <f>IFERROR(__xludf.DUMMYFUNCTION("""COMPUTED_VALUE"""),"Anota Ai Solucoes Digitais S/a")</f>
        <v>Anota Ai Solucoes Digitais S/a</v>
      </c>
      <c r="T6306" s="33">
        <f>IFERROR(__xludf.DUMMYFUNCTION("""COMPUTED_VALUE"""),0.5)</f>
        <v>0.5</v>
      </c>
      <c r="U6306" s="4" t="str">
        <f>IFERROR(__xludf.DUMMYFUNCTION("""COMPUTED_VALUE"""),"Anota Ai Solucoes Digitais S/a")</f>
        <v>Anota Ai Solucoes Digitais S/a</v>
      </c>
      <c r="V6306" s="33">
        <f>IFERROR(__xludf.DUMMYFUNCTION("""COMPUTED_VALUE"""),0.5)</f>
        <v>0.5</v>
      </c>
      <c r="W6306" s="4" t="str">
        <f>IFERROR(__xludf.DUMMYFUNCTION("""COMPUTED_VALUE"""),"Anota Ai Solucoes Digitais S/a")</f>
        <v>Anota Ai Solucoes Digitais S/a</v>
      </c>
      <c r="X6306" s="33">
        <f>IFERROR(__xludf.DUMMYFUNCTION("""COMPUTED_VALUE"""),0.5)</f>
        <v>0.5</v>
      </c>
    </row>
    <row r="6307">
      <c r="K6307" s="4" t="str">
        <f>IFERROR(__xludf.DUMMYFUNCTION("""COMPUTED_VALUE"""),"DROGARIA OPCAO FARMA")</f>
        <v>DROGARIA OPCAO FARMA</v>
      </c>
      <c r="L6307" s="32">
        <f>IFERROR(__xludf.DUMMYFUNCTION("""COMPUTED_VALUE"""),2.0)</f>
        <v>2</v>
      </c>
      <c r="M6307" s="4" t="str">
        <f>IFERROR(__xludf.DUMMYFUNCTION("""COMPUTED_VALUE"""),"N/A (Not found)")</f>
        <v>N/A (Not found)</v>
      </c>
      <c r="N6307" s="33">
        <f>IFERROR(__xludf.DUMMYFUNCTION("""COMPUTED_VALUE"""),1.0)</f>
        <v>1</v>
      </c>
      <c r="O6307" s="4" t="str">
        <f>IFERROR(__xludf.DUMMYFUNCTION("""COMPUTED_VALUE"""),"N/A (Not found)")</f>
        <v>N/A (Not found)</v>
      </c>
      <c r="P6307" s="33">
        <f>IFERROR(__xludf.DUMMYFUNCTION("""COMPUTED_VALUE"""),1.0)</f>
        <v>1</v>
      </c>
      <c r="Q6307" s="4" t="str">
        <f>IFERROR(__xludf.DUMMYFUNCTION("""COMPUTED_VALUE"""),"N/A (Not found)")</f>
        <v>N/A (Not found)</v>
      </c>
      <c r="R6307" s="33">
        <f>IFERROR(__xludf.DUMMYFUNCTION("""COMPUTED_VALUE"""),1.0)</f>
        <v>1</v>
      </c>
      <c r="S6307" s="4" t="str">
        <f>IFERROR(__xludf.DUMMYFUNCTION("""COMPUTED_VALUE"""),"N/A (Not found)")</f>
        <v>N/A (Not found)</v>
      </c>
      <c r="T6307" s="33">
        <f>IFERROR(__xludf.DUMMYFUNCTION("""COMPUTED_VALUE"""),1.0)</f>
        <v>1</v>
      </c>
      <c r="U6307" s="4" t="str">
        <f>IFERROR(__xludf.DUMMYFUNCTION("""COMPUTED_VALUE"""),"N/A (Not found)")</f>
        <v>N/A (Not found)</v>
      </c>
      <c r="V6307" s="33">
        <f>IFERROR(__xludf.DUMMYFUNCTION("""COMPUTED_VALUE"""),1.0)</f>
        <v>1</v>
      </c>
      <c r="W6307" s="4" t="str">
        <f>IFERROR(__xludf.DUMMYFUNCTION("""COMPUTED_VALUE"""),"N/A (Not found)")</f>
        <v>N/A (Not found)</v>
      </c>
      <c r="X6307" s="33">
        <f>IFERROR(__xludf.DUMMYFUNCTION("""COMPUTED_VALUE"""),1.0)</f>
        <v>1</v>
      </c>
    </row>
    <row r="6308">
      <c r="K6308" s="4" t="str">
        <f>IFERROR(__xludf.DUMMYFUNCTION("""COMPUTED_VALUE"""),"HAKALU POKE - COMIDA JAPONESA E SAUDAVEL")</f>
        <v>HAKALU POKE - COMIDA JAPONESA E SAUDAVEL</v>
      </c>
      <c r="L6308" s="32">
        <f>IFERROR(__xludf.DUMMYFUNCTION("""COMPUTED_VALUE"""),2.0)</f>
        <v>2</v>
      </c>
      <c r="M6308" s="4" t="str">
        <f>IFERROR(__xludf.DUMMYFUNCTION("""COMPUTED_VALUE"""),"Saipos Serviços De Software")</f>
        <v>Saipos Serviços De Software</v>
      </c>
      <c r="N6308" s="33">
        <f>IFERROR(__xludf.DUMMYFUNCTION("""COMPUTED_VALUE"""),0.5)</f>
        <v>0.5</v>
      </c>
      <c r="O6308" s="4" t="str">
        <f>IFERROR(__xludf.DUMMYFUNCTION("""COMPUTED_VALUE"""),"Saipos Serviços De Software")</f>
        <v>Saipos Serviços De Software</v>
      </c>
      <c r="P6308" s="33">
        <f>IFERROR(__xludf.DUMMYFUNCTION("""COMPUTED_VALUE"""),0.5)</f>
        <v>0.5</v>
      </c>
      <c r="Q6308" s="4" t="str">
        <f>IFERROR(__xludf.DUMMYFUNCTION("""COMPUTED_VALUE"""),"Saipos Serviços De Software")</f>
        <v>Saipos Serviços De Software</v>
      </c>
      <c r="R6308" s="33">
        <f>IFERROR(__xludf.DUMMYFUNCTION("""COMPUTED_VALUE"""),1.0)</f>
        <v>1</v>
      </c>
      <c r="S6308" s="4" t="str">
        <f>IFERROR(__xludf.DUMMYFUNCTION("""COMPUTED_VALUE"""),"Saipos Serviços De Software")</f>
        <v>Saipos Serviços De Software</v>
      </c>
      <c r="T6308" s="33">
        <f>IFERROR(__xludf.DUMMYFUNCTION("""COMPUTED_VALUE"""),1.0)</f>
        <v>1</v>
      </c>
      <c r="U6308" s="4" t="str">
        <f>IFERROR(__xludf.DUMMYFUNCTION("""COMPUTED_VALUE"""),"Saipos Serviços De Software")</f>
        <v>Saipos Serviços De Software</v>
      </c>
      <c r="V6308" s="33">
        <f>IFERROR(__xludf.DUMMYFUNCTION("""COMPUTED_VALUE"""),1.0)</f>
        <v>1</v>
      </c>
      <c r="W6308" s="4" t="str">
        <f>IFERROR(__xludf.DUMMYFUNCTION("""COMPUTED_VALUE"""),"Saipos Serviços De Software")</f>
        <v>Saipos Serviços De Software</v>
      </c>
      <c r="X6308" s="33">
        <f>IFERROR(__xludf.DUMMYFUNCTION("""COMPUTED_VALUE"""),1.0)</f>
        <v>1</v>
      </c>
    </row>
    <row r="6309">
      <c r="K6309" s="4" t="str">
        <f>IFERROR(__xludf.DUMMYFUNCTION("""COMPUTED_VALUE"""),"BROOKS HAMBURGUERIA")</f>
        <v>BROOKS HAMBURGUERIA</v>
      </c>
      <c r="L6309" s="32">
        <f>IFERROR(__xludf.DUMMYFUNCTION("""COMPUTED_VALUE"""),2.0)</f>
        <v>2</v>
      </c>
      <c r="M6309" s="4" t="str">
        <f>IFERROR(__xludf.DUMMYFUNCTION("""COMPUTED_VALUE"""),"Cardápio Web")</f>
        <v>Cardápio Web</v>
      </c>
      <c r="N6309" s="33">
        <f>IFERROR(__xludf.DUMMYFUNCTION("""COMPUTED_VALUE"""),0.5)</f>
        <v>0.5</v>
      </c>
      <c r="O6309" s="4" t="str">
        <f>IFERROR(__xludf.DUMMYFUNCTION("""COMPUTED_VALUE"""),"Cardápio Web")</f>
        <v>Cardápio Web</v>
      </c>
      <c r="P6309" s="33">
        <f>IFERROR(__xludf.DUMMYFUNCTION("""COMPUTED_VALUE"""),0.5)</f>
        <v>0.5</v>
      </c>
      <c r="Q6309" s="4" t="str">
        <f>IFERROR(__xludf.DUMMYFUNCTION("""COMPUTED_VALUE"""),"Cardápio Web")</f>
        <v>Cardápio Web</v>
      </c>
      <c r="R6309" s="33">
        <f>IFERROR(__xludf.DUMMYFUNCTION("""COMPUTED_VALUE"""),0.5)</f>
        <v>0.5</v>
      </c>
      <c r="S6309" s="4" t="str">
        <f>IFERROR(__xludf.DUMMYFUNCTION("""COMPUTED_VALUE"""),"null")</f>
        <v>null</v>
      </c>
      <c r="T6309" s="33">
        <f>IFERROR(__xludf.DUMMYFUNCTION("""COMPUTED_VALUE"""),0.5)</f>
        <v>0.5</v>
      </c>
      <c r="U6309" s="4" t="str">
        <f>IFERROR(__xludf.DUMMYFUNCTION("""COMPUTED_VALUE"""),"Cardápio Web")</f>
        <v>Cardápio Web</v>
      </c>
      <c r="V6309" s="33">
        <f>IFERROR(__xludf.DUMMYFUNCTION("""COMPUTED_VALUE"""),0.5)</f>
        <v>0.5</v>
      </c>
      <c r="W6309" s="4" t="str">
        <f>IFERROR(__xludf.DUMMYFUNCTION("""COMPUTED_VALUE"""),"Cardápio Web")</f>
        <v>Cardápio Web</v>
      </c>
      <c r="X6309" s="33">
        <f>IFERROR(__xludf.DUMMYFUNCTION("""COMPUTED_VALUE"""),0.5)</f>
        <v>0.5</v>
      </c>
    </row>
    <row r="6310">
      <c r="K6310" s="4" t="str">
        <f>IFERROR(__xludf.DUMMYFUNCTION("""COMPUTED_VALUE"""),"BIFAO MARMITARIA")</f>
        <v>BIFAO MARMITARIA</v>
      </c>
      <c r="L6310" s="32">
        <f>IFERROR(__xludf.DUMMYFUNCTION("""COMPUTED_VALUE"""),2.0)</f>
        <v>2</v>
      </c>
      <c r="M6310" s="4" t="str">
        <f>IFERROR(__xludf.DUMMYFUNCTION("""COMPUTED_VALUE"""),"Soma Comercio E Licenciamento De Software Ltda")</f>
        <v>Soma Comercio E Licenciamento De Software Ltda</v>
      </c>
      <c r="N6310" s="33">
        <f>IFERROR(__xludf.DUMMYFUNCTION("""COMPUTED_VALUE"""),1.0)</f>
        <v>1</v>
      </c>
      <c r="O6310" s="4" t="str">
        <f>IFERROR(__xludf.DUMMYFUNCTION("""COMPUTED_VALUE"""),"Soma Comercio E Licenciamento De Software Ltda")</f>
        <v>Soma Comercio E Licenciamento De Software Ltda</v>
      </c>
      <c r="P6310" s="33">
        <f>IFERROR(__xludf.DUMMYFUNCTION("""COMPUTED_VALUE"""),1.0)</f>
        <v>1</v>
      </c>
      <c r="Q6310" s="4" t="str">
        <f>IFERROR(__xludf.DUMMYFUNCTION("""COMPUTED_VALUE"""),"Soma Comercio E Licenciamento De Software Ltda")</f>
        <v>Soma Comercio E Licenciamento De Software Ltda</v>
      </c>
      <c r="R6310" s="33">
        <f>IFERROR(__xludf.DUMMYFUNCTION("""COMPUTED_VALUE"""),1.0)</f>
        <v>1</v>
      </c>
      <c r="S6310" s="4" t="str">
        <f>IFERROR(__xludf.DUMMYFUNCTION("""COMPUTED_VALUE"""),"Soma Comercio E Licenciamento De Software Ltda")</f>
        <v>Soma Comercio E Licenciamento De Software Ltda</v>
      </c>
      <c r="T6310" s="33">
        <f>IFERROR(__xludf.DUMMYFUNCTION("""COMPUTED_VALUE"""),1.0)</f>
        <v>1</v>
      </c>
      <c r="U6310" s="4" t="str">
        <f>IFERROR(__xludf.DUMMYFUNCTION("""COMPUTED_VALUE"""),"Soma Comercio E Licenciamento De Software Ltda")</f>
        <v>Soma Comercio E Licenciamento De Software Ltda</v>
      </c>
      <c r="V6310" s="33">
        <f>IFERROR(__xludf.DUMMYFUNCTION("""COMPUTED_VALUE"""),1.0)</f>
        <v>1</v>
      </c>
      <c r="W6310" s="4" t="str">
        <f>IFERROR(__xludf.DUMMYFUNCTION("""COMPUTED_VALUE"""),"Soma Comercio E Licenciamento De Software Ltda")</f>
        <v>Soma Comercio E Licenciamento De Software Ltda</v>
      </c>
      <c r="X6310" s="33">
        <f>IFERROR(__xludf.DUMMYFUNCTION("""COMPUTED_VALUE"""),1.0)</f>
        <v>1</v>
      </c>
    </row>
    <row r="6311">
      <c r="K6311" s="4" t="str">
        <f>IFERROR(__xludf.DUMMYFUNCTION("""COMPUTED_VALUE"""),"PIRATAS BURGER")</f>
        <v>PIRATAS BURGER</v>
      </c>
      <c r="L6311" s="32">
        <f>IFERROR(__xludf.DUMMYFUNCTION("""COMPUTED_VALUE"""),2.0)</f>
        <v>2</v>
      </c>
      <c r="M6311" s="4" t="str">
        <f>IFERROR(__xludf.DUMMYFUNCTION("""COMPUTED_VALUE"""),"Saipos Serviços De Software")</f>
        <v>Saipos Serviços De Software</v>
      </c>
      <c r="N6311" s="33">
        <f>IFERROR(__xludf.DUMMYFUNCTION("""COMPUTED_VALUE"""),0.5)</f>
        <v>0.5</v>
      </c>
      <c r="O6311" s="4" t="str">
        <f>IFERROR(__xludf.DUMMYFUNCTION("""COMPUTED_VALUE"""),"Saipos Serviços De Software")</f>
        <v>Saipos Serviços De Software</v>
      </c>
      <c r="P6311" s="33">
        <f>IFERROR(__xludf.DUMMYFUNCTION("""COMPUTED_VALUE"""),0.5)</f>
        <v>0.5</v>
      </c>
      <c r="Q6311" s="4" t="str">
        <f>IFERROR(__xludf.DUMMYFUNCTION("""COMPUTED_VALUE"""),"Saipos Serviços De Software")</f>
        <v>Saipos Serviços De Software</v>
      </c>
      <c r="R6311" s="33">
        <f>IFERROR(__xludf.DUMMYFUNCTION("""COMPUTED_VALUE"""),0.5)</f>
        <v>0.5</v>
      </c>
      <c r="S6311" s="4" t="str">
        <f>IFERROR(__xludf.DUMMYFUNCTION("""COMPUTED_VALUE"""),"Saipos Serviços De Software")</f>
        <v>Saipos Serviços De Software</v>
      </c>
      <c r="T6311" s="33">
        <f>IFERROR(__xludf.DUMMYFUNCTION("""COMPUTED_VALUE"""),0.5)</f>
        <v>0.5</v>
      </c>
      <c r="U6311" s="4" t="str">
        <f>IFERROR(__xludf.DUMMYFUNCTION("""COMPUTED_VALUE"""),"Saipos Serviços De Software")</f>
        <v>Saipos Serviços De Software</v>
      </c>
      <c r="V6311" s="33">
        <f>IFERROR(__xludf.DUMMYFUNCTION("""COMPUTED_VALUE"""),0.5)</f>
        <v>0.5</v>
      </c>
      <c r="W6311" s="4" t="str">
        <f>IFERROR(__xludf.DUMMYFUNCTION("""COMPUTED_VALUE"""),"Saipos Serviços De Software")</f>
        <v>Saipos Serviços De Software</v>
      </c>
      <c r="X6311" s="33">
        <f>IFERROR(__xludf.DUMMYFUNCTION("""COMPUTED_VALUE"""),0.5)</f>
        <v>0.5</v>
      </c>
    </row>
    <row r="6312">
      <c r="K6312" s="4" t="str">
        <f>IFERROR(__xludf.DUMMYFUNCTION("""COMPUTED_VALUE"""),"DROGARIA CLARO VIDA")</f>
        <v>DROGARIA CLARO VIDA</v>
      </c>
      <c r="L6312" s="32">
        <f>IFERROR(__xludf.DUMMYFUNCTION("""COMPUTED_VALUE"""),2.0)</f>
        <v>2</v>
      </c>
      <c r="M6312" s="4" t="str">
        <f>IFERROR(__xludf.DUMMYFUNCTION("""COMPUTED_VALUE"""),"N/A (Not found)")</f>
        <v>N/A (Not found)</v>
      </c>
      <c r="N6312" s="33">
        <f>IFERROR(__xludf.DUMMYFUNCTION("""COMPUTED_VALUE"""),1.0)</f>
        <v>1</v>
      </c>
      <c r="O6312" s="4" t="str">
        <f>IFERROR(__xludf.DUMMYFUNCTION("""COMPUTED_VALUE"""),"N/A (Not found)")</f>
        <v>N/A (Not found)</v>
      </c>
      <c r="P6312" s="33">
        <f>IFERROR(__xludf.DUMMYFUNCTION("""COMPUTED_VALUE"""),1.0)</f>
        <v>1</v>
      </c>
      <c r="Q6312" s="4" t="str">
        <f>IFERROR(__xludf.DUMMYFUNCTION("""COMPUTED_VALUE"""),"N/A (Not found)")</f>
        <v>N/A (Not found)</v>
      </c>
      <c r="R6312" s="33">
        <f>IFERROR(__xludf.DUMMYFUNCTION("""COMPUTED_VALUE"""),1.0)</f>
        <v>1</v>
      </c>
      <c r="S6312" s="4" t="str">
        <f>IFERROR(__xludf.DUMMYFUNCTION("""COMPUTED_VALUE"""),"N/A (Not found)")</f>
        <v>N/A (Not found)</v>
      </c>
      <c r="T6312" s="33">
        <f>IFERROR(__xludf.DUMMYFUNCTION("""COMPUTED_VALUE"""),1.0)</f>
        <v>1</v>
      </c>
      <c r="U6312" s="4" t="str">
        <f>IFERROR(__xludf.DUMMYFUNCTION("""COMPUTED_VALUE"""),"N/A (Not found)")</f>
        <v>N/A (Not found)</v>
      </c>
      <c r="V6312" s="33">
        <f>IFERROR(__xludf.DUMMYFUNCTION("""COMPUTED_VALUE"""),1.0)</f>
        <v>1</v>
      </c>
      <c r="W6312" s="4" t="str">
        <f>IFERROR(__xludf.DUMMYFUNCTION("""COMPUTED_VALUE"""),"N/A (Not found)")</f>
        <v>N/A (Not found)</v>
      </c>
      <c r="X6312" s="33">
        <f>IFERROR(__xludf.DUMMYFUNCTION("""COMPUTED_VALUE"""),1.0)</f>
        <v>1</v>
      </c>
    </row>
    <row r="6313">
      <c r="K6313" s="4" t="str">
        <f>IFERROR(__xludf.DUMMYFUNCTION("""COMPUTED_VALUE"""),"DROGARIA REAL")</f>
        <v>DROGARIA REAL</v>
      </c>
      <c r="L6313" s="32">
        <f>IFERROR(__xludf.DUMMYFUNCTION("""COMPUTED_VALUE"""),2.0)</f>
        <v>2</v>
      </c>
      <c r="M6313" s="4" t="str">
        <f>IFERROR(__xludf.DUMMYFUNCTION("""COMPUTED_VALUE"""),"null")</f>
        <v>null</v>
      </c>
      <c r="N6313" s="33">
        <f>IFERROR(__xludf.DUMMYFUNCTION("""COMPUTED_VALUE"""),0.5)</f>
        <v>0.5</v>
      </c>
      <c r="O6313" s="4" t="str">
        <f>IFERROR(__xludf.DUMMYFUNCTION("""COMPUTED_VALUE"""),"N/A (Not found)")</f>
        <v>N/A (Not found)</v>
      </c>
      <c r="P6313" s="33">
        <f>IFERROR(__xludf.DUMMYFUNCTION("""COMPUTED_VALUE"""),1.0)</f>
        <v>1</v>
      </c>
      <c r="Q6313" s="4" t="str">
        <f>IFERROR(__xludf.DUMMYFUNCTION("""COMPUTED_VALUE"""),"N/A (Not found)")</f>
        <v>N/A (Not found)</v>
      </c>
      <c r="R6313" s="33">
        <f>IFERROR(__xludf.DUMMYFUNCTION("""COMPUTED_VALUE"""),1.0)</f>
        <v>1</v>
      </c>
      <c r="S6313" s="4" t="str">
        <f>IFERROR(__xludf.DUMMYFUNCTION("""COMPUTED_VALUE"""),"N/A (Not found)")</f>
        <v>N/A (Not found)</v>
      </c>
      <c r="T6313" s="33">
        <f>IFERROR(__xludf.DUMMYFUNCTION("""COMPUTED_VALUE"""),1.0)</f>
        <v>1</v>
      </c>
      <c r="U6313" s="4" t="str">
        <f>IFERROR(__xludf.DUMMYFUNCTION("""COMPUTED_VALUE"""),"N/A (Not found)")</f>
        <v>N/A (Not found)</v>
      </c>
      <c r="V6313" s="33">
        <f>IFERROR(__xludf.DUMMYFUNCTION("""COMPUTED_VALUE"""),1.0)</f>
        <v>1</v>
      </c>
      <c r="W6313" s="4" t="str">
        <f>IFERROR(__xludf.DUMMYFUNCTION("""COMPUTED_VALUE"""),"N/A (Not found)")</f>
        <v>N/A (Not found)</v>
      </c>
      <c r="X6313" s="33">
        <f>IFERROR(__xludf.DUMMYFUNCTION("""COMPUTED_VALUE"""),1.0)</f>
        <v>1</v>
      </c>
    </row>
    <row r="6314">
      <c r="K6314" s="4" t="str">
        <f>IFERROR(__xludf.DUMMYFUNCTION("""COMPUTED_VALUE"""),"TRI BEBIDAS")</f>
        <v>TRI BEBIDAS</v>
      </c>
      <c r="L6314" s="32">
        <f>IFERROR(__xludf.DUMMYFUNCTION("""COMPUTED_VALUE"""),2.0)</f>
        <v>2</v>
      </c>
      <c r="M6314" s="4" t="str">
        <f>IFERROR(__xludf.DUMMYFUNCTION("""COMPUTED_VALUE"""),"null")</f>
        <v>null</v>
      </c>
      <c r="N6314" s="33">
        <f>IFERROR(__xludf.DUMMYFUNCTION("""COMPUTED_VALUE"""),0.5)</f>
        <v>0.5</v>
      </c>
      <c r="O6314" s="4" t="str">
        <f>IFERROR(__xludf.DUMMYFUNCTION("""COMPUTED_VALUE"""),"null")</f>
        <v>null</v>
      </c>
      <c r="P6314" s="33">
        <f>IFERROR(__xludf.DUMMYFUNCTION("""COMPUTED_VALUE"""),1.0)</f>
        <v>1</v>
      </c>
      <c r="Q6314" s="4" t="str">
        <f>IFERROR(__xludf.DUMMYFUNCTION("""COMPUTED_VALUE"""),"N/A (Not found)")</f>
        <v>N/A (Not found)</v>
      </c>
      <c r="R6314" s="33">
        <f>IFERROR(__xludf.DUMMYFUNCTION("""COMPUTED_VALUE"""),0.5)</f>
        <v>0.5</v>
      </c>
      <c r="S6314" s="4" t="str">
        <f>IFERROR(__xludf.DUMMYFUNCTION("""COMPUTED_VALUE"""),"N/A (Not found)")</f>
        <v>N/A (Not found)</v>
      </c>
      <c r="T6314" s="33">
        <f>IFERROR(__xludf.DUMMYFUNCTION("""COMPUTED_VALUE"""),0.5)</f>
        <v>0.5</v>
      </c>
      <c r="U6314" s="4" t="str">
        <f>IFERROR(__xludf.DUMMYFUNCTION("""COMPUTED_VALUE"""),"N/A (Not found)")</f>
        <v>N/A (Not found)</v>
      </c>
      <c r="V6314" s="33">
        <f>IFERROR(__xludf.DUMMYFUNCTION("""COMPUTED_VALUE"""),0.5)</f>
        <v>0.5</v>
      </c>
      <c r="W6314" s="4" t="str">
        <f>IFERROR(__xludf.DUMMYFUNCTION("""COMPUTED_VALUE"""),"null")</f>
        <v>null</v>
      </c>
      <c r="X6314" s="33">
        <f>IFERROR(__xludf.DUMMYFUNCTION("""COMPUTED_VALUE"""),1.0)</f>
        <v>1</v>
      </c>
    </row>
    <row r="6315">
      <c r="K6315" s="4" t="str">
        <f>IFERROR(__xludf.DUMMYFUNCTION("""COMPUTED_VALUE"""),"PIZZARIA DO VALE")</f>
        <v>PIZZARIA DO VALE</v>
      </c>
      <c r="L6315" s="32">
        <f>IFERROR(__xludf.DUMMYFUNCTION("""COMPUTED_VALUE"""),2.0)</f>
        <v>2</v>
      </c>
      <c r="M6315" s="4" t="str">
        <f>IFERROR(__xludf.DUMMYFUNCTION("""COMPUTED_VALUE"""),"null")</f>
        <v>null</v>
      </c>
      <c r="N6315" s="33">
        <f>IFERROR(__xludf.DUMMYFUNCTION("""COMPUTED_VALUE"""),1.0)</f>
        <v>1</v>
      </c>
      <c r="O6315" s="4" t="str">
        <f>IFERROR(__xludf.DUMMYFUNCTION("""COMPUTED_VALUE"""),"Diggy")</f>
        <v>Diggy</v>
      </c>
      <c r="P6315" s="33">
        <f>IFERROR(__xludf.DUMMYFUNCTION("""COMPUTED_VALUE"""),0.5)</f>
        <v>0.5</v>
      </c>
      <c r="Q6315" s="4" t="str">
        <f>IFERROR(__xludf.DUMMYFUNCTION("""COMPUTED_VALUE"""),"null")</f>
        <v>null</v>
      </c>
      <c r="R6315" s="33">
        <f>IFERROR(__xludf.DUMMYFUNCTION("""COMPUTED_VALUE"""),0.5)</f>
        <v>0.5</v>
      </c>
      <c r="S6315" s="4" t="str">
        <f>IFERROR(__xludf.DUMMYFUNCTION("""COMPUTED_VALUE"""),"null")</f>
        <v>null</v>
      </c>
      <c r="T6315" s="33">
        <f>IFERROR(__xludf.DUMMYFUNCTION("""COMPUTED_VALUE"""),0.5)</f>
        <v>0.5</v>
      </c>
      <c r="U6315" s="4" t="str">
        <f>IFERROR(__xludf.DUMMYFUNCTION("""COMPUTED_VALUE"""),"null")</f>
        <v>null</v>
      </c>
      <c r="V6315" s="33">
        <f>IFERROR(__xludf.DUMMYFUNCTION("""COMPUTED_VALUE"""),1.0)</f>
        <v>1</v>
      </c>
      <c r="W6315" s="4" t="str">
        <f>IFERROR(__xludf.DUMMYFUNCTION("""COMPUTED_VALUE"""),"null")</f>
        <v>null</v>
      </c>
      <c r="X6315" s="33">
        <f>IFERROR(__xludf.DUMMYFUNCTION("""COMPUTED_VALUE"""),1.0)</f>
        <v>1</v>
      </c>
    </row>
    <row r="6316">
      <c r="K6316" s="4" t="str">
        <f>IFERROR(__xludf.DUMMYFUNCTION("""COMPUTED_VALUE"""),"SEO SMASH - BURGERS COMBOS")</f>
        <v>SEO SMASH - BURGERS COMBOS</v>
      </c>
      <c r="L6316" s="32">
        <f>IFERROR(__xludf.DUMMYFUNCTION("""COMPUTED_VALUE"""),2.0)</f>
        <v>2</v>
      </c>
      <c r="M6316" s="4" t="str">
        <f>IFERROR(__xludf.DUMMYFUNCTION("""COMPUTED_VALUE"""),"Saipos Serviços De Software")</f>
        <v>Saipos Serviços De Software</v>
      </c>
      <c r="N6316" s="33">
        <f>IFERROR(__xludf.DUMMYFUNCTION("""COMPUTED_VALUE"""),1.0)</f>
        <v>1</v>
      </c>
      <c r="O6316" s="4" t="str">
        <f>IFERROR(__xludf.DUMMYFUNCTION("""COMPUTED_VALUE"""),"null")</f>
        <v>null</v>
      </c>
      <c r="P6316" s="33">
        <f>IFERROR(__xludf.DUMMYFUNCTION("""COMPUTED_VALUE"""),0.5)</f>
        <v>0.5</v>
      </c>
      <c r="Q6316" s="4" t="str">
        <f>IFERROR(__xludf.DUMMYFUNCTION("""COMPUTED_VALUE"""),"null")</f>
        <v>null</v>
      </c>
      <c r="R6316" s="33">
        <f>IFERROR(__xludf.DUMMYFUNCTION("""COMPUTED_VALUE"""),0.5)</f>
        <v>0.5</v>
      </c>
      <c r="S6316" s="4" t="str">
        <f>IFERROR(__xludf.DUMMYFUNCTION("""COMPUTED_VALUE"""),"null")</f>
        <v>null</v>
      </c>
      <c r="T6316" s="33">
        <f>IFERROR(__xludf.DUMMYFUNCTION("""COMPUTED_VALUE"""),0.5)</f>
        <v>0.5</v>
      </c>
      <c r="U6316" s="4" t="str">
        <f>IFERROR(__xludf.DUMMYFUNCTION("""COMPUTED_VALUE"""),"null")</f>
        <v>null</v>
      </c>
      <c r="V6316" s="33">
        <f>IFERROR(__xludf.DUMMYFUNCTION("""COMPUTED_VALUE"""),0.5)</f>
        <v>0.5</v>
      </c>
      <c r="W6316" s="4" t="str">
        <f>IFERROR(__xludf.DUMMYFUNCTION("""COMPUTED_VALUE"""),"null")</f>
        <v>null</v>
      </c>
      <c r="X6316" s="33">
        <f>IFERROR(__xludf.DUMMYFUNCTION("""COMPUTED_VALUE"""),0.5)</f>
        <v>0.5</v>
      </c>
    </row>
    <row r="6317">
      <c r="K6317" s="4" t="str">
        <f>IFERROR(__xludf.DUMMYFUNCTION("""COMPUTED_VALUE"""),"DOM DIEGO LANCHES")</f>
        <v>DOM DIEGO LANCHES</v>
      </c>
      <c r="L6317" s="32">
        <f>IFERROR(__xludf.DUMMYFUNCTION("""COMPUTED_VALUE"""),2.0)</f>
        <v>2</v>
      </c>
      <c r="M6317" s="4" t="str">
        <f>IFERROR(__xludf.DUMMYFUNCTION("""COMPUTED_VALUE"""),"Brendi")</f>
        <v>Brendi</v>
      </c>
      <c r="N6317" s="33">
        <f>IFERROR(__xludf.DUMMYFUNCTION("""COMPUTED_VALUE"""),0.5)</f>
        <v>0.5</v>
      </c>
      <c r="O6317" s="4" t="str">
        <f>IFERROR(__xludf.DUMMYFUNCTION("""COMPUTED_VALUE"""),"Brendi")</f>
        <v>Brendi</v>
      </c>
      <c r="P6317" s="33">
        <f>IFERROR(__xludf.DUMMYFUNCTION("""COMPUTED_VALUE"""),0.5)</f>
        <v>0.5</v>
      </c>
      <c r="Q6317" s="4" t="str">
        <f>IFERROR(__xludf.DUMMYFUNCTION("""COMPUTED_VALUE"""),"null")</f>
        <v>null</v>
      </c>
      <c r="R6317" s="33">
        <f>IFERROR(__xludf.DUMMYFUNCTION("""COMPUTED_VALUE"""),0.5)</f>
        <v>0.5</v>
      </c>
      <c r="S6317" s="4" t="str">
        <f>IFERROR(__xludf.DUMMYFUNCTION("""COMPUTED_VALUE"""),"null")</f>
        <v>null</v>
      </c>
      <c r="T6317" s="33">
        <f>IFERROR(__xludf.DUMMYFUNCTION("""COMPUTED_VALUE"""),0.5)</f>
        <v>0.5</v>
      </c>
      <c r="U6317" s="4" t="str">
        <f>IFERROR(__xludf.DUMMYFUNCTION("""COMPUTED_VALUE"""),"null")</f>
        <v>null</v>
      </c>
      <c r="V6317" s="33">
        <f>IFERROR(__xludf.DUMMYFUNCTION("""COMPUTED_VALUE"""),0.5)</f>
        <v>0.5</v>
      </c>
      <c r="W6317" s="4" t="str">
        <f>IFERROR(__xludf.DUMMYFUNCTION("""COMPUTED_VALUE"""),"null")</f>
        <v>null</v>
      </c>
      <c r="X6317" s="33">
        <f>IFERROR(__xludf.DUMMYFUNCTION("""COMPUTED_VALUE"""),0.5)</f>
        <v>0.5</v>
      </c>
    </row>
    <row r="6318">
      <c r="K6318" s="4" t="str">
        <f>IFERROR(__xludf.DUMMYFUNCTION("""COMPUTED_VALUE"""),"REI DO GALETO - BOUTIQUE DE CARNE ASSADA")</f>
        <v>REI DO GALETO - BOUTIQUE DE CARNE ASSADA</v>
      </c>
      <c r="L6318" s="32">
        <f>IFERROR(__xludf.DUMMYFUNCTION("""COMPUTED_VALUE"""),2.0)</f>
        <v>2</v>
      </c>
      <c r="M6318" s="4" t="str">
        <f>IFERROR(__xludf.DUMMYFUNCTION("""COMPUTED_VALUE"""),"Cardápio Web")</f>
        <v>Cardápio Web</v>
      </c>
      <c r="N6318" s="33">
        <f>IFERROR(__xludf.DUMMYFUNCTION("""COMPUTED_VALUE"""),0.6666666666666666)</f>
        <v>0.6666666667</v>
      </c>
      <c r="O6318" s="4" t="str">
        <f>IFERROR(__xludf.DUMMYFUNCTION("""COMPUTED_VALUE"""),"Cardápio Web")</f>
        <v>Cardápio Web</v>
      </c>
      <c r="P6318" s="33">
        <f>IFERROR(__xludf.DUMMYFUNCTION("""COMPUTED_VALUE"""),0.6666666666666666)</f>
        <v>0.6666666667</v>
      </c>
      <c r="Q6318" s="4" t="str">
        <f>IFERROR(__xludf.DUMMYFUNCTION("""COMPUTED_VALUE"""),"Cardápio Web")</f>
        <v>Cardápio Web</v>
      </c>
      <c r="R6318" s="33">
        <f>IFERROR(__xludf.DUMMYFUNCTION("""COMPUTED_VALUE"""),0.6666666666666666)</f>
        <v>0.6666666667</v>
      </c>
      <c r="S6318" s="4" t="str">
        <f>IFERROR(__xludf.DUMMYFUNCTION("""COMPUTED_VALUE"""),"Cardápio Web")</f>
        <v>Cardápio Web</v>
      </c>
      <c r="T6318" s="33">
        <f>IFERROR(__xludf.DUMMYFUNCTION("""COMPUTED_VALUE"""),0.6666666666666666)</f>
        <v>0.6666666667</v>
      </c>
      <c r="U6318" s="4" t="str">
        <f>IFERROR(__xludf.DUMMYFUNCTION("""COMPUTED_VALUE"""),"Cardápio Web")</f>
        <v>Cardápio Web</v>
      </c>
      <c r="V6318" s="33">
        <f>IFERROR(__xludf.DUMMYFUNCTION("""COMPUTED_VALUE"""),0.6666666666666666)</f>
        <v>0.6666666667</v>
      </c>
      <c r="W6318" s="4" t="str">
        <f>IFERROR(__xludf.DUMMYFUNCTION("""COMPUTED_VALUE"""),"Cardápio Web")</f>
        <v>Cardápio Web</v>
      </c>
      <c r="X6318" s="33">
        <f>IFERROR(__xludf.DUMMYFUNCTION("""COMPUTED_VALUE"""),1.0)</f>
        <v>1</v>
      </c>
    </row>
    <row r="6319">
      <c r="K6319" s="4" t="str">
        <f>IFERROR(__xludf.DUMMYFUNCTION("""COMPUTED_VALUE"""),"PANTYNOVA")</f>
        <v>PANTYNOVA</v>
      </c>
      <c r="L6319" s="32">
        <f>IFERROR(__xludf.DUMMYFUNCTION("""COMPUTED_VALUE"""),2.0)</f>
        <v>2</v>
      </c>
      <c r="M6319" s="4" t="str">
        <f>IFERROR(__xludf.DUMMYFUNCTION("""COMPUTED_VALUE"""),"null")</f>
        <v>null</v>
      </c>
      <c r="N6319" s="33">
        <f>IFERROR(__xludf.DUMMYFUNCTION("""COMPUTED_VALUE"""),1.0)</f>
        <v>1</v>
      </c>
      <c r="O6319" s="4" t="str">
        <f>IFERROR(__xludf.DUMMYFUNCTION("""COMPUTED_VALUE"""),"null")</f>
        <v>null</v>
      </c>
      <c r="P6319" s="33">
        <f>IFERROR(__xludf.DUMMYFUNCTION("""COMPUTED_VALUE"""),1.0)</f>
        <v>1</v>
      </c>
      <c r="Q6319" s="4" t="str">
        <f>IFERROR(__xludf.DUMMYFUNCTION("""COMPUTED_VALUE"""),"null")</f>
        <v>null</v>
      </c>
      <c r="R6319" s="33">
        <f>IFERROR(__xludf.DUMMYFUNCTION("""COMPUTED_VALUE"""),1.0)</f>
        <v>1</v>
      </c>
      <c r="S6319" s="4" t="str">
        <f>IFERROR(__xludf.DUMMYFUNCTION("""COMPUTED_VALUE"""),"N/A (Not found)")</f>
        <v>N/A (Not found)</v>
      </c>
      <c r="T6319" s="33">
        <f>IFERROR(__xludf.DUMMYFUNCTION("""COMPUTED_VALUE"""),1.0)</f>
        <v>1</v>
      </c>
      <c r="U6319" s="4" t="str">
        <f>IFERROR(__xludf.DUMMYFUNCTION("""COMPUTED_VALUE"""),"null")</f>
        <v>null</v>
      </c>
      <c r="V6319" s="33">
        <f>IFERROR(__xludf.DUMMYFUNCTION("""COMPUTED_VALUE"""),1.0)</f>
        <v>1</v>
      </c>
      <c r="W6319" s="4" t="str">
        <f>IFERROR(__xludf.DUMMYFUNCTION("""COMPUTED_VALUE"""),"N/A (Not found)")</f>
        <v>N/A (Not found)</v>
      </c>
      <c r="X6319" s="33">
        <f>IFERROR(__xludf.DUMMYFUNCTION("""COMPUTED_VALUE"""),0.5)</f>
        <v>0.5</v>
      </c>
    </row>
    <row r="6320">
      <c r="K6320" s="4" t="str">
        <f>IFERROR(__xludf.DUMMYFUNCTION("""COMPUTED_VALUE"""),"CENTER FARMA")</f>
        <v>CENTER FARMA</v>
      </c>
      <c r="L6320" s="32">
        <f>IFERROR(__xludf.DUMMYFUNCTION("""COMPUTED_VALUE"""),2.0)</f>
        <v>2</v>
      </c>
      <c r="M6320" s="4" t="str">
        <f>IFERROR(__xludf.DUMMYFUNCTION("""COMPUTED_VALUE"""),"N/A (Not found)")</f>
        <v>N/A (Not found)</v>
      </c>
      <c r="N6320" s="33">
        <f>IFERROR(__xludf.DUMMYFUNCTION("""COMPUTED_VALUE"""),1.0)</f>
        <v>1</v>
      </c>
      <c r="O6320" s="4" t="str">
        <f>IFERROR(__xludf.DUMMYFUNCTION("""COMPUTED_VALUE"""),"N/A (Not found)")</f>
        <v>N/A (Not found)</v>
      </c>
      <c r="P6320" s="33">
        <f>IFERROR(__xludf.DUMMYFUNCTION("""COMPUTED_VALUE"""),1.0)</f>
        <v>1</v>
      </c>
      <c r="Q6320" s="4" t="str">
        <f>IFERROR(__xludf.DUMMYFUNCTION("""COMPUTED_VALUE"""),"N/A (Not found)")</f>
        <v>N/A (Not found)</v>
      </c>
      <c r="R6320" s="33">
        <f>IFERROR(__xludf.DUMMYFUNCTION("""COMPUTED_VALUE"""),1.0)</f>
        <v>1</v>
      </c>
      <c r="S6320" s="4" t="str">
        <f>IFERROR(__xludf.DUMMYFUNCTION("""COMPUTED_VALUE"""),"null")</f>
        <v>null</v>
      </c>
      <c r="T6320" s="33">
        <f>IFERROR(__xludf.DUMMYFUNCTION("""COMPUTED_VALUE"""),0.5)</f>
        <v>0.5</v>
      </c>
      <c r="U6320" s="4" t="str">
        <f>IFERROR(__xludf.DUMMYFUNCTION("""COMPUTED_VALUE"""),"null")</f>
        <v>null</v>
      </c>
      <c r="V6320" s="33">
        <f>IFERROR(__xludf.DUMMYFUNCTION("""COMPUTED_VALUE"""),0.5)</f>
        <v>0.5</v>
      </c>
      <c r="W6320" s="4" t="str">
        <f>IFERROR(__xludf.DUMMYFUNCTION("""COMPUTED_VALUE"""),"N/A (Not found)")</f>
        <v>N/A (Not found)</v>
      </c>
      <c r="X6320" s="33">
        <f>IFERROR(__xludf.DUMMYFUNCTION("""COMPUTED_VALUE"""),1.0)</f>
        <v>1</v>
      </c>
    </row>
    <row r="6321">
      <c r="K6321" s="4" t="str">
        <f>IFERROR(__xludf.DUMMYFUNCTION("""COMPUTED_VALUE"""),"ARENA HAMBURGUERIA")</f>
        <v>ARENA HAMBURGUERIA</v>
      </c>
      <c r="L6321" s="32">
        <f>IFERROR(__xludf.DUMMYFUNCTION("""COMPUTED_VALUE"""),2.0)</f>
        <v>2</v>
      </c>
      <c r="M6321" s="4" t="str">
        <f>IFERROR(__xludf.DUMMYFUNCTION("""COMPUTED_VALUE"""),"Consumer Soluções Em Tecnologia Ltda")</f>
        <v>Consumer Soluções Em Tecnologia Ltda</v>
      </c>
      <c r="N6321" s="33">
        <f>IFERROR(__xludf.DUMMYFUNCTION("""COMPUTED_VALUE"""),0.5)</f>
        <v>0.5</v>
      </c>
      <c r="O6321" s="4" t="str">
        <f>IFERROR(__xludf.DUMMYFUNCTION("""COMPUTED_VALUE"""),"null")</f>
        <v>null</v>
      </c>
      <c r="P6321" s="33">
        <f>IFERROR(__xludf.DUMMYFUNCTION("""COMPUTED_VALUE"""),1.0)</f>
        <v>1</v>
      </c>
      <c r="Q6321" s="4" t="str">
        <f>IFERROR(__xludf.DUMMYFUNCTION("""COMPUTED_VALUE"""),"null")</f>
        <v>null</v>
      </c>
      <c r="R6321" s="33">
        <f>IFERROR(__xludf.DUMMYFUNCTION("""COMPUTED_VALUE"""),1.0)</f>
        <v>1</v>
      </c>
      <c r="S6321" s="4" t="str">
        <f>IFERROR(__xludf.DUMMYFUNCTION("""COMPUTED_VALUE"""),"null")</f>
        <v>null</v>
      </c>
      <c r="T6321" s="33">
        <f>IFERROR(__xludf.DUMMYFUNCTION("""COMPUTED_VALUE"""),0.5)</f>
        <v>0.5</v>
      </c>
      <c r="U6321" s="4" t="str">
        <f>IFERROR(__xludf.DUMMYFUNCTION("""COMPUTED_VALUE"""),"null")</f>
        <v>null</v>
      </c>
      <c r="V6321" s="33">
        <f>IFERROR(__xludf.DUMMYFUNCTION("""COMPUTED_VALUE"""),0.5)</f>
        <v>0.5</v>
      </c>
      <c r="W6321" s="4" t="str">
        <f>IFERROR(__xludf.DUMMYFUNCTION("""COMPUTED_VALUE"""),"null")</f>
        <v>null</v>
      </c>
      <c r="X6321" s="33">
        <f>IFERROR(__xludf.DUMMYFUNCTION("""COMPUTED_VALUE"""),0.5)</f>
        <v>0.5</v>
      </c>
    </row>
    <row r="6322">
      <c r="K6322" s="4" t="str">
        <f>IFERROR(__xludf.DUMMYFUNCTION("""COMPUTED_VALUE"""),"PET LIFE")</f>
        <v>PET LIFE</v>
      </c>
      <c r="L6322" s="32">
        <f>IFERROR(__xludf.DUMMYFUNCTION("""COMPUTED_VALUE"""),2.0)</f>
        <v>2</v>
      </c>
      <c r="M6322" s="4" t="str">
        <f>IFERROR(__xludf.DUMMYFUNCTION("""COMPUTED_VALUE"""),"null")</f>
        <v>null</v>
      </c>
      <c r="N6322" s="33">
        <f>IFERROR(__xludf.DUMMYFUNCTION("""COMPUTED_VALUE"""),1.0)</f>
        <v>1</v>
      </c>
      <c r="O6322" s="4" t="str">
        <f>IFERROR(__xludf.DUMMYFUNCTION("""COMPUTED_VALUE"""),"null")</f>
        <v>null</v>
      </c>
      <c r="P6322" s="33">
        <f>IFERROR(__xludf.DUMMYFUNCTION("""COMPUTED_VALUE"""),1.0)</f>
        <v>1</v>
      </c>
      <c r="Q6322" s="4" t="str">
        <f>IFERROR(__xludf.DUMMYFUNCTION("""COMPUTED_VALUE"""),"null")</f>
        <v>null</v>
      </c>
      <c r="R6322" s="33">
        <f>IFERROR(__xludf.DUMMYFUNCTION("""COMPUTED_VALUE"""),1.0)</f>
        <v>1</v>
      </c>
      <c r="S6322" s="4" t="str">
        <f>IFERROR(__xludf.DUMMYFUNCTION("""COMPUTED_VALUE"""),"null")</f>
        <v>null</v>
      </c>
      <c r="T6322" s="33">
        <f>IFERROR(__xludf.DUMMYFUNCTION("""COMPUTED_VALUE"""),1.0)</f>
        <v>1</v>
      </c>
      <c r="U6322" s="4" t="str">
        <f>IFERROR(__xludf.DUMMYFUNCTION("""COMPUTED_VALUE"""),"N/A (Not found)")</f>
        <v>N/A (Not found)</v>
      </c>
      <c r="V6322" s="33">
        <f>IFERROR(__xludf.DUMMYFUNCTION("""COMPUTED_VALUE"""),0.5)</f>
        <v>0.5</v>
      </c>
      <c r="W6322" s="4" t="str">
        <f>IFERROR(__xludf.DUMMYFUNCTION("""COMPUTED_VALUE"""),"null")</f>
        <v>null</v>
      </c>
      <c r="X6322" s="33">
        <f>IFERROR(__xludf.DUMMYFUNCTION("""COMPUTED_VALUE"""),0.5)</f>
        <v>0.5</v>
      </c>
    </row>
    <row r="6323">
      <c r="K6323" s="4" t="str">
        <f>IFERROR(__xludf.DUMMYFUNCTION("""COMPUTED_VALUE"""),"ADEGA SANTO ANTONIO")</f>
        <v>ADEGA SANTO ANTONIO</v>
      </c>
      <c r="L6323" s="32">
        <f>IFERROR(__xludf.DUMMYFUNCTION("""COMPUTED_VALUE"""),2.0)</f>
        <v>2</v>
      </c>
      <c r="M6323" s="4" t="str">
        <f>IFERROR(__xludf.DUMMYFUNCTION("""COMPUTED_VALUE"""),"null")</f>
        <v>null</v>
      </c>
      <c r="N6323" s="33">
        <f>IFERROR(__xludf.DUMMYFUNCTION("""COMPUTED_VALUE"""),0.5)</f>
        <v>0.5</v>
      </c>
      <c r="O6323" s="4" t="str">
        <f>IFERROR(__xludf.DUMMYFUNCTION("""COMPUTED_VALUE"""),"null")</f>
        <v>null</v>
      </c>
      <c r="P6323" s="33">
        <f>IFERROR(__xludf.DUMMYFUNCTION("""COMPUTED_VALUE"""),0.5)</f>
        <v>0.5</v>
      </c>
      <c r="Q6323" s="4" t="str">
        <f>IFERROR(__xludf.DUMMYFUNCTION("""COMPUTED_VALUE"""),"null")</f>
        <v>null</v>
      </c>
      <c r="R6323" s="33">
        <f>IFERROR(__xludf.DUMMYFUNCTION("""COMPUTED_VALUE"""),0.5)</f>
        <v>0.5</v>
      </c>
      <c r="S6323" s="4" t="str">
        <f>IFERROR(__xludf.DUMMYFUNCTION("""COMPUTED_VALUE"""),"N/A (Not found)")</f>
        <v>N/A (Not found)</v>
      </c>
      <c r="T6323" s="33">
        <f>IFERROR(__xludf.DUMMYFUNCTION("""COMPUTED_VALUE"""),0.5)</f>
        <v>0.5</v>
      </c>
      <c r="U6323" s="4" t="str">
        <f>IFERROR(__xludf.DUMMYFUNCTION("""COMPUTED_VALUE"""),"N/A (Not found)")</f>
        <v>N/A (Not found)</v>
      </c>
      <c r="V6323" s="33">
        <f>IFERROR(__xludf.DUMMYFUNCTION("""COMPUTED_VALUE"""),0.5)</f>
        <v>0.5</v>
      </c>
      <c r="W6323" s="4" t="str">
        <f>IFERROR(__xludf.DUMMYFUNCTION("""COMPUTED_VALUE"""),"N/A (Not found)")</f>
        <v>N/A (Not found)</v>
      </c>
      <c r="X6323" s="33">
        <f>IFERROR(__xludf.DUMMYFUNCTION("""COMPUTED_VALUE"""),0.5)</f>
        <v>0.5</v>
      </c>
    </row>
    <row r="6324">
      <c r="K6324" s="4" t="str">
        <f>IFERROR(__xludf.DUMMYFUNCTION("""COMPUTED_VALUE"""),"CASA DO PET")</f>
        <v>CASA DO PET</v>
      </c>
      <c r="L6324" s="32">
        <f>IFERROR(__xludf.DUMMYFUNCTION("""COMPUTED_VALUE"""),2.0)</f>
        <v>2</v>
      </c>
      <c r="M6324" s="4" t="str">
        <f>IFERROR(__xludf.DUMMYFUNCTION("""COMPUTED_VALUE"""),"null")</f>
        <v>null</v>
      </c>
      <c r="N6324" s="33">
        <f>IFERROR(__xludf.DUMMYFUNCTION("""COMPUTED_VALUE"""),0.5)</f>
        <v>0.5</v>
      </c>
      <c r="O6324" s="4" t="str">
        <f>IFERROR(__xludf.DUMMYFUNCTION("""COMPUTED_VALUE"""),"null")</f>
        <v>null</v>
      </c>
      <c r="P6324" s="33">
        <f>IFERROR(__xludf.DUMMYFUNCTION("""COMPUTED_VALUE"""),0.5)</f>
        <v>0.5</v>
      </c>
      <c r="Q6324" s="4" t="str">
        <f>IFERROR(__xludf.DUMMYFUNCTION("""COMPUTED_VALUE"""),"null")</f>
        <v>null</v>
      </c>
      <c r="R6324" s="33">
        <f>IFERROR(__xludf.DUMMYFUNCTION("""COMPUTED_VALUE"""),0.5)</f>
        <v>0.5</v>
      </c>
      <c r="S6324" s="4" t="str">
        <f>IFERROR(__xludf.DUMMYFUNCTION("""COMPUTED_VALUE"""),"null")</f>
        <v>null</v>
      </c>
      <c r="T6324" s="33">
        <f>IFERROR(__xludf.DUMMYFUNCTION("""COMPUTED_VALUE"""),0.5)</f>
        <v>0.5</v>
      </c>
      <c r="U6324" s="4" t="str">
        <f>IFERROR(__xludf.DUMMYFUNCTION("""COMPUTED_VALUE"""),"null")</f>
        <v>null</v>
      </c>
      <c r="V6324" s="33">
        <f>IFERROR(__xludf.DUMMYFUNCTION("""COMPUTED_VALUE"""),0.5)</f>
        <v>0.5</v>
      </c>
      <c r="W6324" s="4" t="str">
        <f>IFERROR(__xludf.DUMMYFUNCTION("""COMPUTED_VALUE"""),"N/A (Not found)")</f>
        <v>N/A (Not found)</v>
      </c>
      <c r="X6324" s="33">
        <f>IFERROR(__xludf.DUMMYFUNCTION("""COMPUTED_VALUE"""),1.0)</f>
        <v>1</v>
      </c>
    </row>
    <row r="6325">
      <c r="K6325" s="4" t="str">
        <f>IFERROR(__xludf.DUMMYFUNCTION("""COMPUTED_VALUE"""),"QUEIJO E CARNE BURGER")</f>
        <v>QUEIJO E CARNE BURGER</v>
      </c>
      <c r="L6325" s="32">
        <f>IFERROR(__xludf.DUMMYFUNCTION("""COMPUTED_VALUE"""),2.0)</f>
        <v>2</v>
      </c>
      <c r="M6325" s="4" t="str">
        <f>IFERROR(__xludf.DUMMYFUNCTION("""COMPUTED_VALUE"""),"Saipos Serviços De Software")</f>
        <v>Saipos Serviços De Software</v>
      </c>
      <c r="N6325" s="33">
        <f>IFERROR(__xludf.DUMMYFUNCTION("""COMPUTED_VALUE"""),1.0)</f>
        <v>1</v>
      </c>
      <c r="O6325" s="4" t="str">
        <f>IFERROR(__xludf.DUMMYFUNCTION("""COMPUTED_VALUE"""),"Saipos Serviços De Software")</f>
        <v>Saipos Serviços De Software</v>
      </c>
      <c r="P6325" s="33">
        <f>IFERROR(__xludf.DUMMYFUNCTION("""COMPUTED_VALUE"""),1.0)</f>
        <v>1</v>
      </c>
      <c r="Q6325" s="4" t="str">
        <f>IFERROR(__xludf.DUMMYFUNCTION("""COMPUTED_VALUE"""),"Saipos Serviços De Software")</f>
        <v>Saipos Serviços De Software</v>
      </c>
      <c r="R6325" s="33">
        <f>IFERROR(__xludf.DUMMYFUNCTION("""COMPUTED_VALUE"""),1.0)</f>
        <v>1</v>
      </c>
      <c r="S6325" s="4" t="str">
        <f>IFERROR(__xludf.DUMMYFUNCTION("""COMPUTED_VALUE"""),"Saipos Serviços De Software")</f>
        <v>Saipos Serviços De Software</v>
      </c>
      <c r="T6325" s="33">
        <f>IFERROR(__xludf.DUMMYFUNCTION("""COMPUTED_VALUE"""),1.0)</f>
        <v>1</v>
      </c>
      <c r="U6325" s="4" t="str">
        <f>IFERROR(__xludf.DUMMYFUNCTION("""COMPUTED_VALUE"""),"Saipos Serviços De Software")</f>
        <v>Saipos Serviços De Software</v>
      </c>
      <c r="V6325" s="33">
        <f>IFERROR(__xludf.DUMMYFUNCTION("""COMPUTED_VALUE"""),1.0)</f>
        <v>1</v>
      </c>
      <c r="W6325" s="4" t="str">
        <f>IFERROR(__xludf.DUMMYFUNCTION("""COMPUTED_VALUE"""),"Saipos Serviços De Software")</f>
        <v>Saipos Serviços De Software</v>
      </c>
      <c r="X6325" s="33">
        <f>IFERROR(__xludf.DUMMYFUNCTION("""COMPUTED_VALUE"""),1.0)</f>
        <v>1</v>
      </c>
    </row>
    <row r="6326">
      <c r="K6326" s="4" t="str">
        <f>IFERROR(__xludf.DUMMYFUNCTION("""COMPUTED_VALUE"""),"MEGA PASTEL")</f>
        <v>MEGA PASTEL</v>
      </c>
      <c r="L6326" s="32">
        <f>IFERROR(__xludf.DUMMYFUNCTION("""COMPUTED_VALUE"""),2.0)</f>
        <v>2</v>
      </c>
      <c r="M6326" s="4" t="str">
        <f>IFERROR(__xludf.DUMMYFUNCTION("""COMPUTED_VALUE"""),"Whatsmenu Ltda")</f>
        <v>Whatsmenu Ltda</v>
      </c>
      <c r="N6326" s="33">
        <f>IFERROR(__xludf.DUMMYFUNCTION("""COMPUTED_VALUE"""),0.5)</f>
        <v>0.5</v>
      </c>
      <c r="O6326" s="4" t="str">
        <f>IFERROR(__xludf.DUMMYFUNCTION("""COMPUTED_VALUE"""),"Whatsmenu Ltda")</f>
        <v>Whatsmenu Ltda</v>
      </c>
      <c r="P6326" s="33">
        <f>IFERROR(__xludf.DUMMYFUNCTION("""COMPUTED_VALUE"""),0.5)</f>
        <v>0.5</v>
      </c>
      <c r="Q6326" s="4" t="str">
        <f>IFERROR(__xludf.DUMMYFUNCTION("""COMPUTED_VALUE"""),"Whatsmenu Ltda")</f>
        <v>Whatsmenu Ltda</v>
      </c>
      <c r="R6326" s="33">
        <f>IFERROR(__xludf.DUMMYFUNCTION("""COMPUTED_VALUE"""),0.5)</f>
        <v>0.5</v>
      </c>
      <c r="S6326" s="4" t="str">
        <f>IFERROR(__xludf.DUMMYFUNCTION("""COMPUTED_VALUE"""),"Whatsmenu Ltda")</f>
        <v>Whatsmenu Ltda</v>
      </c>
      <c r="T6326" s="33">
        <f>IFERROR(__xludf.DUMMYFUNCTION("""COMPUTED_VALUE"""),0.5)</f>
        <v>0.5</v>
      </c>
      <c r="U6326" s="4" t="str">
        <f>IFERROR(__xludf.DUMMYFUNCTION("""COMPUTED_VALUE"""),"null")</f>
        <v>null</v>
      </c>
      <c r="V6326" s="33">
        <f>IFERROR(__xludf.DUMMYFUNCTION("""COMPUTED_VALUE"""),1.0)</f>
        <v>1</v>
      </c>
      <c r="W6326" s="4" t="str">
        <f>IFERROR(__xludf.DUMMYFUNCTION("""COMPUTED_VALUE"""),"null")</f>
        <v>null</v>
      </c>
      <c r="X6326" s="33">
        <f>IFERROR(__xludf.DUMMYFUNCTION("""COMPUTED_VALUE"""),1.0)</f>
        <v>1</v>
      </c>
    </row>
    <row r="6327">
      <c r="K6327" s="4" t="str">
        <f>IFERROR(__xludf.DUMMYFUNCTION("""COMPUTED_VALUE"""),"THE BROTHERS BURGUER")</f>
        <v>THE BROTHERS BURGUER</v>
      </c>
      <c r="L6327" s="32">
        <f>IFERROR(__xludf.DUMMYFUNCTION("""COMPUTED_VALUE"""),2.0)</f>
        <v>2</v>
      </c>
      <c r="M6327" s="4" t="str">
        <f>IFERROR(__xludf.DUMMYFUNCTION("""COMPUTED_VALUE"""),"Instadelivery")</f>
        <v>Instadelivery</v>
      </c>
      <c r="N6327" s="33">
        <f>IFERROR(__xludf.DUMMYFUNCTION("""COMPUTED_VALUE"""),0.5)</f>
        <v>0.5</v>
      </c>
      <c r="O6327" s="4" t="str">
        <f>IFERROR(__xludf.DUMMYFUNCTION("""COMPUTED_VALUE"""),"Instadelivery")</f>
        <v>Instadelivery</v>
      </c>
      <c r="P6327" s="33">
        <f>IFERROR(__xludf.DUMMYFUNCTION("""COMPUTED_VALUE"""),0.5)</f>
        <v>0.5</v>
      </c>
      <c r="Q6327" s="4" t="str">
        <f>IFERROR(__xludf.DUMMYFUNCTION("""COMPUTED_VALUE"""),"Instadelivery")</f>
        <v>Instadelivery</v>
      </c>
      <c r="R6327" s="33">
        <f>IFERROR(__xludf.DUMMYFUNCTION("""COMPUTED_VALUE"""),0.5)</f>
        <v>0.5</v>
      </c>
      <c r="S6327" s="4" t="str">
        <f>IFERROR(__xludf.DUMMYFUNCTION("""COMPUTED_VALUE"""),"Instadelivery")</f>
        <v>Instadelivery</v>
      </c>
      <c r="T6327" s="33">
        <f>IFERROR(__xludf.DUMMYFUNCTION("""COMPUTED_VALUE"""),0.5)</f>
        <v>0.5</v>
      </c>
      <c r="U6327" s="4" t="str">
        <f>IFERROR(__xludf.DUMMYFUNCTION("""COMPUTED_VALUE"""),"Instadelivery")</f>
        <v>Instadelivery</v>
      </c>
      <c r="V6327" s="33">
        <f>IFERROR(__xludf.DUMMYFUNCTION("""COMPUTED_VALUE"""),0.5)</f>
        <v>0.5</v>
      </c>
      <c r="W6327" s="4" t="str">
        <f>IFERROR(__xludf.DUMMYFUNCTION("""COMPUTED_VALUE"""),"Instadelivery")</f>
        <v>Instadelivery</v>
      </c>
      <c r="X6327" s="33">
        <f>IFERROR(__xludf.DUMMYFUNCTION("""COMPUTED_VALUE"""),0.5)</f>
        <v>0.5</v>
      </c>
    </row>
    <row r="6328">
      <c r="K6328" s="4" t="str">
        <f>IFERROR(__xludf.DUMMYFUNCTION("""COMPUTED_VALUE"""),"PIZZA MIA")</f>
        <v>PIZZA MIA</v>
      </c>
      <c r="L6328" s="32">
        <f>IFERROR(__xludf.DUMMYFUNCTION("""COMPUTED_VALUE"""),2.0)</f>
        <v>2</v>
      </c>
      <c r="M6328" s="4" t="str">
        <f>IFERROR(__xludf.DUMMYFUNCTION("""COMPUTED_VALUE"""),"Fas Tecnologia")</f>
        <v>Fas Tecnologia</v>
      </c>
      <c r="N6328" s="33">
        <f>IFERROR(__xludf.DUMMYFUNCTION("""COMPUTED_VALUE"""),0.5)</f>
        <v>0.5</v>
      </c>
      <c r="O6328" s="4" t="str">
        <f>IFERROR(__xludf.DUMMYFUNCTION("""COMPUTED_VALUE"""),"Fas Tecnologia")</f>
        <v>Fas Tecnologia</v>
      </c>
      <c r="P6328" s="33">
        <f>IFERROR(__xludf.DUMMYFUNCTION("""COMPUTED_VALUE"""),0.5)</f>
        <v>0.5</v>
      </c>
      <c r="Q6328" s="4" t="str">
        <f>IFERROR(__xludf.DUMMYFUNCTION("""COMPUTED_VALUE"""),"Fas Tecnologia")</f>
        <v>Fas Tecnologia</v>
      </c>
      <c r="R6328" s="33">
        <f>IFERROR(__xludf.DUMMYFUNCTION("""COMPUTED_VALUE"""),0.5)</f>
        <v>0.5</v>
      </c>
      <c r="S6328" s="4" t="str">
        <f>IFERROR(__xludf.DUMMYFUNCTION("""COMPUTED_VALUE"""),"Fas Tecnologia")</f>
        <v>Fas Tecnologia</v>
      </c>
      <c r="T6328" s="33">
        <f>IFERROR(__xludf.DUMMYFUNCTION("""COMPUTED_VALUE"""),0.5)</f>
        <v>0.5</v>
      </c>
      <c r="U6328" s="4" t="str">
        <f>IFERROR(__xludf.DUMMYFUNCTION("""COMPUTED_VALUE"""),"Fas Tecnologia")</f>
        <v>Fas Tecnologia</v>
      </c>
      <c r="V6328" s="33">
        <f>IFERROR(__xludf.DUMMYFUNCTION("""COMPUTED_VALUE"""),0.5)</f>
        <v>0.5</v>
      </c>
      <c r="W6328" s="4" t="str">
        <f>IFERROR(__xludf.DUMMYFUNCTION("""COMPUTED_VALUE"""),"Fas Tecnologia")</f>
        <v>Fas Tecnologia</v>
      </c>
      <c r="X6328" s="33">
        <f>IFERROR(__xludf.DUMMYFUNCTION("""COMPUTED_VALUE"""),0.5)</f>
        <v>0.5</v>
      </c>
    </row>
    <row r="6329">
      <c r="K6329" s="4" t="str">
        <f>IFERROR(__xludf.DUMMYFUNCTION("""COMPUTED_VALUE"""),"ROTA ACAI")</f>
        <v>ROTA ACAI</v>
      </c>
      <c r="L6329" s="32">
        <f>IFERROR(__xludf.DUMMYFUNCTION("""COMPUTED_VALUE"""),2.0)</f>
        <v>2</v>
      </c>
      <c r="M6329" s="4" t="str">
        <f>IFERROR(__xludf.DUMMYFUNCTION("""COMPUTED_VALUE"""),"Yooga")</f>
        <v>Yooga</v>
      </c>
      <c r="N6329" s="33">
        <f>IFERROR(__xludf.DUMMYFUNCTION("""COMPUTED_VALUE"""),0.5)</f>
        <v>0.5</v>
      </c>
      <c r="O6329" s="4" t="str">
        <f>IFERROR(__xludf.DUMMYFUNCTION("""COMPUTED_VALUE"""),"Yooga")</f>
        <v>Yooga</v>
      </c>
      <c r="P6329" s="33">
        <f>IFERROR(__xludf.DUMMYFUNCTION("""COMPUTED_VALUE"""),0.5)</f>
        <v>0.5</v>
      </c>
      <c r="Q6329" s="4" t="str">
        <f>IFERROR(__xludf.DUMMYFUNCTION("""COMPUTED_VALUE"""),"Yooga")</f>
        <v>Yooga</v>
      </c>
      <c r="R6329" s="33">
        <f>IFERROR(__xludf.DUMMYFUNCTION("""COMPUTED_VALUE"""),0.5)</f>
        <v>0.5</v>
      </c>
      <c r="S6329" s="4" t="str">
        <f>IFERROR(__xludf.DUMMYFUNCTION("""COMPUTED_VALUE"""),"Yooga")</f>
        <v>Yooga</v>
      </c>
      <c r="T6329" s="33">
        <f>IFERROR(__xludf.DUMMYFUNCTION("""COMPUTED_VALUE"""),0.5)</f>
        <v>0.5</v>
      </c>
      <c r="U6329" s="4" t="str">
        <f>IFERROR(__xludf.DUMMYFUNCTION("""COMPUTED_VALUE"""),"Yooga")</f>
        <v>Yooga</v>
      </c>
      <c r="V6329" s="33">
        <f>IFERROR(__xludf.DUMMYFUNCTION("""COMPUTED_VALUE"""),0.5)</f>
        <v>0.5</v>
      </c>
      <c r="W6329" s="4" t="str">
        <f>IFERROR(__xludf.DUMMYFUNCTION("""COMPUTED_VALUE"""),"Yooga")</f>
        <v>Yooga</v>
      </c>
      <c r="X6329" s="33">
        <f>IFERROR(__xludf.DUMMYFUNCTION("""COMPUTED_VALUE"""),0.5)</f>
        <v>0.5</v>
      </c>
    </row>
    <row r="6330">
      <c r="K6330" s="4" t="str">
        <f>IFERROR(__xludf.DUMMYFUNCTION("""COMPUTED_VALUE"""),"COMPLETO HAMBURGUERIA ARTESANAL")</f>
        <v>COMPLETO HAMBURGUERIA ARTESANAL</v>
      </c>
      <c r="L6330" s="32">
        <f>IFERROR(__xludf.DUMMYFUNCTION("""COMPUTED_VALUE"""),2.0)</f>
        <v>2</v>
      </c>
      <c r="M6330" s="4" t="str">
        <f>IFERROR(__xludf.DUMMYFUNCTION("""COMPUTED_VALUE"""),"Saipos Serviços De Software")</f>
        <v>Saipos Serviços De Software</v>
      </c>
      <c r="N6330" s="33">
        <f>IFERROR(__xludf.DUMMYFUNCTION("""COMPUTED_VALUE"""),1.0)</f>
        <v>1</v>
      </c>
      <c r="O6330" s="4" t="str">
        <f>IFERROR(__xludf.DUMMYFUNCTION("""COMPUTED_VALUE"""),"Saipos Serviços De Software")</f>
        <v>Saipos Serviços De Software</v>
      </c>
      <c r="P6330" s="33">
        <f>IFERROR(__xludf.DUMMYFUNCTION("""COMPUTED_VALUE"""),1.0)</f>
        <v>1</v>
      </c>
      <c r="Q6330" s="4" t="str">
        <f>IFERROR(__xludf.DUMMYFUNCTION("""COMPUTED_VALUE"""),"Saipos Serviços De Software")</f>
        <v>Saipos Serviços De Software</v>
      </c>
      <c r="R6330" s="33">
        <f>IFERROR(__xludf.DUMMYFUNCTION("""COMPUTED_VALUE"""),0.5)</f>
        <v>0.5</v>
      </c>
      <c r="S6330" s="4" t="str">
        <f>IFERROR(__xludf.DUMMYFUNCTION("""COMPUTED_VALUE"""),"Saipos Serviços De Software")</f>
        <v>Saipos Serviços De Software</v>
      </c>
      <c r="T6330" s="33">
        <f>IFERROR(__xludf.DUMMYFUNCTION("""COMPUTED_VALUE"""),0.5)</f>
        <v>0.5</v>
      </c>
      <c r="U6330" s="4" t="str">
        <f>IFERROR(__xludf.DUMMYFUNCTION("""COMPUTED_VALUE"""),"Saipos Serviços De Software")</f>
        <v>Saipos Serviços De Software</v>
      </c>
      <c r="V6330" s="33">
        <f>IFERROR(__xludf.DUMMYFUNCTION("""COMPUTED_VALUE"""),0.5)</f>
        <v>0.5</v>
      </c>
      <c r="W6330" s="4" t="str">
        <f>IFERROR(__xludf.DUMMYFUNCTION("""COMPUTED_VALUE"""),"Saipos Serviços De Software")</f>
        <v>Saipos Serviços De Software</v>
      </c>
      <c r="X6330" s="33">
        <f>IFERROR(__xludf.DUMMYFUNCTION("""COMPUTED_VALUE"""),0.5)</f>
        <v>0.5</v>
      </c>
    </row>
    <row r="6331">
      <c r="K6331" s="4" t="str">
        <f>IFERROR(__xludf.DUMMYFUNCTION("""COMPUTED_VALUE"""),"PAO COM COSTELA")</f>
        <v>PAO COM COSTELA</v>
      </c>
      <c r="L6331" s="32">
        <f>IFERROR(__xludf.DUMMYFUNCTION("""COMPUTED_VALUE"""),2.0)</f>
        <v>2</v>
      </c>
      <c r="M6331" s="4" t="str">
        <f>IFERROR(__xludf.DUMMYFUNCTION("""COMPUTED_VALUE"""),"Junsoft Tecnologia")</f>
        <v>Junsoft Tecnologia</v>
      </c>
      <c r="N6331" s="33">
        <f>IFERROR(__xludf.DUMMYFUNCTION("""COMPUTED_VALUE"""),1.0)</f>
        <v>1</v>
      </c>
      <c r="O6331" s="4" t="str">
        <f>IFERROR(__xludf.DUMMYFUNCTION("""COMPUTED_VALUE"""),"null")</f>
        <v>null</v>
      </c>
      <c r="P6331" s="33">
        <f>IFERROR(__xludf.DUMMYFUNCTION("""COMPUTED_VALUE"""),0.5)</f>
        <v>0.5</v>
      </c>
      <c r="Q6331" s="4" t="str">
        <f>IFERROR(__xludf.DUMMYFUNCTION("""COMPUTED_VALUE"""),"null")</f>
        <v>null</v>
      </c>
      <c r="R6331" s="33">
        <f>IFERROR(__xludf.DUMMYFUNCTION("""COMPUTED_VALUE"""),0.5)</f>
        <v>0.5</v>
      </c>
      <c r="S6331" s="4" t="str">
        <f>IFERROR(__xludf.DUMMYFUNCTION("""COMPUTED_VALUE"""),"Junsoft Tecnologia")</f>
        <v>Junsoft Tecnologia</v>
      </c>
      <c r="T6331" s="33">
        <f>IFERROR(__xludf.DUMMYFUNCTION("""COMPUTED_VALUE"""),1.0)</f>
        <v>1</v>
      </c>
      <c r="U6331" s="4" t="str">
        <f>IFERROR(__xludf.DUMMYFUNCTION("""COMPUTED_VALUE"""),"null")</f>
        <v>null</v>
      </c>
      <c r="V6331" s="33">
        <f>IFERROR(__xludf.DUMMYFUNCTION("""COMPUTED_VALUE"""),1.0)</f>
        <v>1</v>
      </c>
      <c r="W6331" s="4" t="str">
        <f>IFERROR(__xludf.DUMMYFUNCTION("""COMPUTED_VALUE"""),"null")</f>
        <v>null</v>
      </c>
      <c r="X6331" s="33">
        <f>IFERROR(__xludf.DUMMYFUNCTION("""COMPUTED_VALUE"""),1.0)</f>
        <v>1</v>
      </c>
    </row>
    <row r="6332">
      <c r="K6332" s="4" t="str">
        <f>IFERROR(__xludf.DUMMYFUNCTION("""COMPUTED_VALUE"""),"CACHORRO DO DUDU")</f>
        <v>CACHORRO DO DUDU</v>
      </c>
      <c r="L6332" s="32">
        <f>IFERROR(__xludf.DUMMYFUNCTION("""COMPUTED_VALUE"""),2.0)</f>
        <v>2</v>
      </c>
      <c r="M6332" s="4" t="str">
        <f>IFERROR(__xludf.DUMMYFUNCTION("""COMPUTED_VALUE"""),"Brendi")</f>
        <v>Brendi</v>
      </c>
      <c r="N6332" s="33">
        <f>IFERROR(__xludf.DUMMYFUNCTION("""COMPUTED_VALUE"""),1.0)</f>
        <v>1</v>
      </c>
      <c r="O6332" s="4" t="str">
        <f>IFERROR(__xludf.DUMMYFUNCTION("""COMPUTED_VALUE"""),"null")</f>
        <v>null</v>
      </c>
      <c r="P6332" s="33">
        <f>IFERROR(__xludf.DUMMYFUNCTION("""COMPUTED_VALUE"""),0.5)</f>
        <v>0.5</v>
      </c>
      <c r="Q6332" s="4" t="str">
        <f>IFERROR(__xludf.DUMMYFUNCTION("""COMPUTED_VALUE"""),"Brendi")</f>
        <v>Brendi</v>
      </c>
      <c r="R6332" s="33">
        <f>IFERROR(__xludf.DUMMYFUNCTION("""COMPUTED_VALUE"""),1.0)</f>
        <v>1</v>
      </c>
      <c r="S6332" s="4" t="str">
        <f>IFERROR(__xludf.DUMMYFUNCTION("""COMPUTED_VALUE"""),"Brendi")</f>
        <v>Brendi</v>
      </c>
      <c r="T6332" s="33">
        <f>IFERROR(__xludf.DUMMYFUNCTION("""COMPUTED_VALUE"""),1.0)</f>
        <v>1</v>
      </c>
      <c r="U6332" s="4" t="str">
        <f>IFERROR(__xludf.DUMMYFUNCTION("""COMPUTED_VALUE"""),"Brendi")</f>
        <v>Brendi</v>
      </c>
      <c r="V6332" s="33">
        <f>IFERROR(__xludf.DUMMYFUNCTION("""COMPUTED_VALUE"""),1.0)</f>
        <v>1</v>
      </c>
      <c r="W6332" s="4" t="str">
        <f>IFERROR(__xludf.DUMMYFUNCTION("""COMPUTED_VALUE"""),"Brendi")</f>
        <v>Brendi</v>
      </c>
      <c r="X6332" s="33">
        <f>IFERROR(__xludf.DUMMYFUNCTION("""COMPUTED_VALUE"""),0.5)</f>
        <v>0.5</v>
      </c>
    </row>
    <row r="6333">
      <c r="K6333" s="4" t="str">
        <f>IFERROR(__xludf.DUMMYFUNCTION("""COMPUTED_VALUE"""),"REI DAS MARMITAS - COMIDA CASEIRA")</f>
        <v>REI DAS MARMITAS - COMIDA CASEIRA</v>
      </c>
      <c r="L6333" s="32">
        <f>IFERROR(__xludf.DUMMYFUNCTION("""COMPUTED_VALUE"""),2.0)</f>
        <v>2</v>
      </c>
      <c r="M6333" s="4" t="str">
        <f>IFERROR(__xludf.DUMMYFUNCTION("""COMPUTED_VALUE"""),"Saipos Serviços De Software")</f>
        <v>Saipos Serviços De Software</v>
      </c>
      <c r="N6333" s="33">
        <f>IFERROR(__xludf.DUMMYFUNCTION("""COMPUTED_VALUE"""),1.0)</f>
        <v>1</v>
      </c>
      <c r="O6333" s="4" t="str">
        <f>IFERROR(__xludf.DUMMYFUNCTION("""COMPUTED_VALUE"""),"Saipos Serviços De Software")</f>
        <v>Saipos Serviços De Software</v>
      </c>
      <c r="P6333" s="33">
        <f>IFERROR(__xludf.DUMMYFUNCTION("""COMPUTED_VALUE"""),1.0)</f>
        <v>1</v>
      </c>
      <c r="Q6333" s="4" t="str">
        <f>IFERROR(__xludf.DUMMYFUNCTION("""COMPUTED_VALUE"""),"Saipos Serviços De Software")</f>
        <v>Saipos Serviços De Software</v>
      </c>
      <c r="R6333" s="33">
        <f>IFERROR(__xludf.DUMMYFUNCTION("""COMPUTED_VALUE"""),1.0)</f>
        <v>1</v>
      </c>
      <c r="S6333" s="4" t="str">
        <f>IFERROR(__xludf.DUMMYFUNCTION("""COMPUTED_VALUE"""),"Saipos Serviços De Software")</f>
        <v>Saipos Serviços De Software</v>
      </c>
      <c r="T6333" s="33">
        <f>IFERROR(__xludf.DUMMYFUNCTION("""COMPUTED_VALUE"""),1.0)</f>
        <v>1</v>
      </c>
      <c r="U6333" s="4" t="str">
        <f>IFERROR(__xludf.DUMMYFUNCTION("""COMPUTED_VALUE"""),"Saipos Serviços De Software")</f>
        <v>Saipos Serviços De Software</v>
      </c>
      <c r="V6333" s="33">
        <f>IFERROR(__xludf.DUMMYFUNCTION("""COMPUTED_VALUE"""),1.0)</f>
        <v>1</v>
      </c>
      <c r="W6333" s="4" t="str">
        <f>IFERROR(__xludf.DUMMYFUNCTION("""COMPUTED_VALUE"""),"Saipos Serviços De Software")</f>
        <v>Saipos Serviços De Software</v>
      </c>
      <c r="X6333" s="33">
        <f>IFERROR(__xludf.DUMMYFUNCTION("""COMPUTED_VALUE"""),1.0)</f>
        <v>1</v>
      </c>
    </row>
    <row r="6334">
      <c r="K6334" s="4" t="str">
        <f>IFERROR(__xludf.DUMMYFUNCTION("""COMPUTED_VALUE"""),"DROGARIA DO POVO")</f>
        <v>DROGARIA DO POVO</v>
      </c>
      <c r="L6334" s="32">
        <f>IFERROR(__xludf.DUMMYFUNCTION("""COMPUTED_VALUE"""),2.0)</f>
        <v>2</v>
      </c>
      <c r="M6334" s="4" t="str">
        <f>IFERROR(__xludf.DUMMYFUNCTION("""COMPUTED_VALUE"""),"N/A (Not found)")</f>
        <v>N/A (Not found)</v>
      </c>
      <c r="N6334" s="33">
        <f>IFERROR(__xludf.DUMMYFUNCTION("""COMPUTED_VALUE"""),0.5)</f>
        <v>0.5</v>
      </c>
      <c r="O6334" s="4" t="str">
        <f>IFERROR(__xludf.DUMMYFUNCTION("""COMPUTED_VALUE"""),"N/A (Not found)")</f>
        <v>N/A (Not found)</v>
      </c>
      <c r="P6334" s="33">
        <f>IFERROR(__xludf.DUMMYFUNCTION("""COMPUTED_VALUE"""),0.5)</f>
        <v>0.5</v>
      </c>
      <c r="Q6334" s="4" t="str">
        <f>IFERROR(__xludf.DUMMYFUNCTION("""COMPUTED_VALUE"""),"N/A (Not found)")</f>
        <v>N/A (Not found)</v>
      </c>
      <c r="R6334" s="33">
        <f>IFERROR(__xludf.DUMMYFUNCTION("""COMPUTED_VALUE"""),0.5)</f>
        <v>0.5</v>
      </c>
      <c r="S6334" s="4" t="str">
        <f>IFERROR(__xludf.DUMMYFUNCTION("""COMPUTED_VALUE"""),"N/A (Not found)")</f>
        <v>N/A (Not found)</v>
      </c>
      <c r="T6334" s="33">
        <f>IFERROR(__xludf.DUMMYFUNCTION("""COMPUTED_VALUE"""),0.5)</f>
        <v>0.5</v>
      </c>
      <c r="U6334" s="4" t="str">
        <f>IFERROR(__xludf.DUMMYFUNCTION("""COMPUTED_VALUE"""),"N/A (Not found)")</f>
        <v>N/A (Not found)</v>
      </c>
      <c r="V6334" s="33">
        <f>IFERROR(__xludf.DUMMYFUNCTION("""COMPUTED_VALUE"""),0.5)</f>
        <v>0.5</v>
      </c>
      <c r="W6334" s="4" t="str">
        <f>IFERROR(__xludf.DUMMYFUNCTION("""COMPUTED_VALUE"""),"N/A (Not found)")</f>
        <v>N/A (Not found)</v>
      </c>
      <c r="X6334" s="33">
        <f>IFERROR(__xludf.DUMMYFUNCTION("""COMPUTED_VALUE"""),1.0)</f>
        <v>1</v>
      </c>
    </row>
    <row r="6335">
      <c r="K6335" s="4" t="str">
        <f>IFERROR(__xludf.DUMMYFUNCTION("""COMPUTED_VALUE"""),"SR BATATA")</f>
        <v>SR BATATA</v>
      </c>
      <c r="L6335" s="32">
        <f>IFERROR(__xludf.DUMMYFUNCTION("""COMPUTED_VALUE"""),2.0)</f>
        <v>2</v>
      </c>
      <c r="M6335" s="4" t="str">
        <f>IFERROR(__xludf.DUMMYFUNCTION("""COMPUTED_VALUE"""),"Beefood - Sistema Para Restaurantes")</f>
        <v>Beefood - Sistema Para Restaurantes</v>
      </c>
      <c r="N6335" s="33">
        <f>IFERROR(__xludf.DUMMYFUNCTION("""COMPUTED_VALUE"""),0.5)</f>
        <v>0.5</v>
      </c>
      <c r="O6335" s="4" t="str">
        <f>IFERROR(__xludf.DUMMYFUNCTION("""COMPUTED_VALUE"""),"Beefood - Sistema Para Restaurantes")</f>
        <v>Beefood - Sistema Para Restaurantes</v>
      </c>
      <c r="P6335" s="33">
        <f>IFERROR(__xludf.DUMMYFUNCTION("""COMPUTED_VALUE"""),0.5)</f>
        <v>0.5</v>
      </c>
      <c r="Q6335" s="4" t="str">
        <f>IFERROR(__xludf.DUMMYFUNCTION("""COMPUTED_VALUE"""),"Beefood - Sistema Para Restaurantes")</f>
        <v>Beefood - Sistema Para Restaurantes</v>
      </c>
      <c r="R6335" s="33">
        <f>IFERROR(__xludf.DUMMYFUNCTION("""COMPUTED_VALUE"""),0.5)</f>
        <v>0.5</v>
      </c>
      <c r="S6335" s="4" t="str">
        <f>IFERROR(__xludf.DUMMYFUNCTION("""COMPUTED_VALUE"""),"Beefood - Sistema Para Restaurantes")</f>
        <v>Beefood - Sistema Para Restaurantes</v>
      </c>
      <c r="T6335" s="33">
        <f>IFERROR(__xludf.DUMMYFUNCTION("""COMPUTED_VALUE"""),0.5)</f>
        <v>0.5</v>
      </c>
      <c r="U6335" s="4" t="str">
        <f>IFERROR(__xludf.DUMMYFUNCTION("""COMPUTED_VALUE"""),"Beefood - Sistema Para Restaurantes")</f>
        <v>Beefood - Sistema Para Restaurantes</v>
      </c>
      <c r="V6335" s="33">
        <f>IFERROR(__xludf.DUMMYFUNCTION("""COMPUTED_VALUE"""),0.5)</f>
        <v>0.5</v>
      </c>
      <c r="W6335" s="4" t="str">
        <f>IFERROR(__xludf.DUMMYFUNCTION("""COMPUTED_VALUE"""),"Beefood - Sistema Para Restaurantes")</f>
        <v>Beefood - Sistema Para Restaurantes</v>
      </c>
      <c r="X6335" s="33">
        <f>IFERROR(__xludf.DUMMYFUNCTION("""COMPUTED_VALUE"""),0.5)</f>
        <v>0.5</v>
      </c>
    </row>
    <row r="6336">
      <c r="K6336" s="4" t="str">
        <f>IFERROR(__xludf.DUMMYFUNCTION("""COMPUTED_VALUE"""),"MAXX BURGUER")</f>
        <v>MAXX BURGUER</v>
      </c>
      <c r="L6336" s="32">
        <f>IFERROR(__xludf.DUMMYFUNCTION("""COMPUTED_VALUE"""),2.0)</f>
        <v>2</v>
      </c>
      <c r="M6336" s="4" t="str">
        <f>IFERROR(__xludf.DUMMYFUNCTION("""COMPUTED_VALUE"""),"Anota Ai Solucoes Digitais S/a")</f>
        <v>Anota Ai Solucoes Digitais S/a</v>
      </c>
      <c r="N6336" s="33">
        <f>IFERROR(__xludf.DUMMYFUNCTION("""COMPUTED_VALUE"""),0.5)</f>
        <v>0.5</v>
      </c>
      <c r="O6336" s="4" t="str">
        <f>IFERROR(__xludf.DUMMYFUNCTION("""COMPUTED_VALUE"""),"Anota Ai Solucoes Digitais S/a")</f>
        <v>Anota Ai Solucoes Digitais S/a</v>
      </c>
      <c r="P6336" s="33">
        <f>IFERROR(__xludf.DUMMYFUNCTION("""COMPUTED_VALUE"""),0.5)</f>
        <v>0.5</v>
      </c>
      <c r="Q6336" s="4" t="str">
        <f>IFERROR(__xludf.DUMMYFUNCTION("""COMPUTED_VALUE"""),"null")</f>
        <v>null</v>
      </c>
      <c r="R6336" s="33">
        <f>IFERROR(__xludf.DUMMYFUNCTION("""COMPUTED_VALUE"""),0.5)</f>
        <v>0.5</v>
      </c>
      <c r="S6336" s="4" t="str">
        <f>IFERROR(__xludf.DUMMYFUNCTION("""COMPUTED_VALUE"""),"null")</f>
        <v>null</v>
      </c>
      <c r="T6336" s="33">
        <f>IFERROR(__xludf.DUMMYFUNCTION("""COMPUTED_VALUE"""),0.5)</f>
        <v>0.5</v>
      </c>
      <c r="U6336" s="4" t="str">
        <f>IFERROR(__xludf.DUMMYFUNCTION("""COMPUTED_VALUE"""),"null")</f>
        <v>null</v>
      </c>
      <c r="V6336" s="33">
        <f>IFERROR(__xludf.DUMMYFUNCTION("""COMPUTED_VALUE"""),1.0)</f>
        <v>1</v>
      </c>
      <c r="W6336" s="4" t="str">
        <f>IFERROR(__xludf.DUMMYFUNCTION("""COMPUTED_VALUE"""),"null")</f>
        <v>null</v>
      </c>
      <c r="X6336" s="33">
        <f>IFERROR(__xludf.DUMMYFUNCTION("""COMPUTED_VALUE"""),1.0)</f>
        <v>1</v>
      </c>
    </row>
    <row r="6337">
      <c r="K6337" s="4" t="str">
        <f>IFERROR(__xludf.DUMMYFUNCTION("""COMPUTED_VALUE"""),"SMASH DO AGRO E FRANGO FRITO")</f>
        <v>SMASH DO AGRO E FRANGO FRITO</v>
      </c>
      <c r="L6337" s="32">
        <f>IFERROR(__xludf.DUMMYFUNCTION("""COMPUTED_VALUE"""),2.0)</f>
        <v>2</v>
      </c>
      <c r="M6337" s="4" t="str">
        <f>IFERROR(__xludf.DUMMYFUNCTION("""COMPUTED_VALUE"""),"Suitable Tecnologia E Gestao")</f>
        <v>Suitable Tecnologia E Gestao</v>
      </c>
      <c r="N6337" s="33">
        <f>IFERROR(__xludf.DUMMYFUNCTION("""COMPUTED_VALUE"""),1.0)</f>
        <v>1</v>
      </c>
      <c r="O6337" s="4" t="str">
        <f>IFERROR(__xludf.DUMMYFUNCTION("""COMPUTED_VALUE"""),"Suitable Tecnologia E Gestao")</f>
        <v>Suitable Tecnologia E Gestao</v>
      </c>
      <c r="P6337" s="33">
        <f>IFERROR(__xludf.DUMMYFUNCTION("""COMPUTED_VALUE"""),1.0)</f>
        <v>1</v>
      </c>
      <c r="Q6337" s="4" t="str">
        <f>IFERROR(__xludf.DUMMYFUNCTION("""COMPUTED_VALUE"""),"Suitable Tecnologia E Gestao")</f>
        <v>Suitable Tecnologia E Gestao</v>
      </c>
      <c r="R6337" s="33">
        <f>IFERROR(__xludf.DUMMYFUNCTION("""COMPUTED_VALUE"""),1.0)</f>
        <v>1</v>
      </c>
      <c r="S6337" s="4" t="str">
        <f>IFERROR(__xludf.DUMMYFUNCTION("""COMPUTED_VALUE"""),"Suitable Tecnologia E Gestao")</f>
        <v>Suitable Tecnologia E Gestao</v>
      </c>
      <c r="T6337" s="33">
        <f>IFERROR(__xludf.DUMMYFUNCTION("""COMPUTED_VALUE"""),1.0)</f>
        <v>1</v>
      </c>
      <c r="U6337" s="4" t="str">
        <f>IFERROR(__xludf.DUMMYFUNCTION("""COMPUTED_VALUE"""),"Suitable Tecnologia E Gestao")</f>
        <v>Suitable Tecnologia E Gestao</v>
      </c>
      <c r="V6337" s="33">
        <f>IFERROR(__xludf.DUMMYFUNCTION("""COMPUTED_VALUE"""),1.0)</f>
        <v>1</v>
      </c>
      <c r="W6337" s="4" t="str">
        <f>IFERROR(__xludf.DUMMYFUNCTION("""COMPUTED_VALUE"""),"Suitable Tecnologia E Gestao")</f>
        <v>Suitable Tecnologia E Gestao</v>
      </c>
      <c r="X6337" s="33">
        <f>IFERROR(__xludf.DUMMYFUNCTION("""COMPUTED_VALUE"""),1.0)</f>
        <v>1</v>
      </c>
    </row>
    <row r="6338">
      <c r="K6338" s="4" t="str">
        <f>IFERROR(__xludf.DUMMYFUNCTION("""COMPUTED_VALUE"""),"DISK ACAI")</f>
        <v>DISK ACAI</v>
      </c>
      <c r="L6338" s="32">
        <f>IFERROR(__xludf.DUMMYFUNCTION("""COMPUTED_VALUE"""),2.0)</f>
        <v>2</v>
      </c>
      <c r="M6338" s="4" t="str">
        <f>IFERROR(__xludf.DUMMYFUNCTION("""COMPUTED_VALUE"""),"null")</f>
        <v>null</v>
      </c>
      <c r="N6338" s="33">
        <f>IFERROR(__xludf.DUMMYFUNCTION("""COMPUTED_VALUE"""),0.5)</f>
        <v>0.5</v>
      </c>
      <c r="O6338" s="4" t="str">
        <f>IFERROR(__xludf.DUMMYFUNCTION("""COMPUTED_VALUE"""),"Anota Ai Solucoes Digitais S/a")</f>
        <v>Anota Ai Solucoes Digitais S/a</v>
      </c>
      <c r="P6338" s="33">
        <f>IFERROR(__xludf.DUMMYFUNCTION("""COMPUTED_VALUE"""),0.5)</f>
        <v>0.5</v>
      </c>
      <c r="Q6338" s="4" t="str">
        <f>IFERROR(__xludf.DUMMYFUNCTION("""COMPUTED_VALUE"""),"Anota Ai Solucoes Digitais S/a")</f>
        <v>Anota Ai Solucoes Digitais S/a</v>
      </c>
      <c r="R6338" s="33">
        <f>IFERROR(__xludf.DUMMYFUNCTION("""COMPUTED_VALUE"""),0.5)</f>
        <v>0.5</v>
      </c>
      <c r="S6338" s="4" t="str">
        <f>IFERROR(__xludf.DUMMYFUNCTION("""COMPUTED_VALUE"""),"Instadelivery")</f>
        <v>Instadelivery</v>
      </c>
      <c r="T6338" s="33">
        <f>IFERROR(__xludf.DUMMYFUNCTION("""COMPUTED_VALUE"""),0.5)</f>
        <v>0.5</v>
      </c>
      <c r="U6338" s="4" t="str">
        <f>IFERROR(__xludf.DUMMYFUNCTION("""COMPUTED_VALUE"""),"Instadelivery")</f>
        <v>Instadelivery</v>
      </c>
      <c r="V6338" s="33">
        <f>IFERROR(__xludf.DUMMYFUNCTION("""COMPUTED_VALUE"""),0.5)</f>
        <v>0.5</v>
      </c>
      <c r="W6338" s="4" t="str">
        <f>IFERROR(__xludf.DUMMYFUNCTION("""COMPUTED_VALUE"""),"Instadelivery")</f>
        <v>Instadelivery</v>
      </c>
      <c r="X6338" s="33">
        <f>IFERROR(__xludf.DUMMYFUNCTION("""COMPUTED_VALUE"""),0.5)</f>
        <v>0.5</v>
      </c>
    </row>
    <row r="6339">
      <c r="K6339" s="4" t="str">
        <f>IFERROR(__xludf.DUMMYFUNCTION("""COMPUTED_VALUE"""),"BROTHERS BURGER - HAMBURGUERIA")</f>
        <v>BROTHERS BURGER - HAMBURGUERIA</v>
      </c>
      <c r="L6339" s="32">
        <f>IFERROR(__xludf.DUMMYFUNCTION("""COMPUTED_VALUE"""),2.0)</f>
        <v>2</v>
      </c>
      <c r="M6339" s="4" t="str">
        <f>IFERROR(__xludf.DUMMYFUNCTION("""COMPUTED_VALUE"""),"Consumer Soluções Em Tecnologia Ltda")</f>
        <v>Consumer Soluções Em Tecnologia Ltda</v>
      </c>
      <c r="N6339" s="33">
        <f>IFERROR(__xludf.DUMMYFUNCTION("""COMPUTED_VALUE"""),0.5)</f>
        <v>0.5</v>
      </c>
      <c r="O6339" s="4" t="str">
        <f>IFERROR(__xludf.DUMMYFUNCTION("""COMPUTED_VALUE"""),"null")</f>
        <v>null</v>
      </c>
      <c r="P6339" s="33">
        <f>IFERROR(__xludf.DUMMYFUNCTION("""COMPUTED_VALUE"""),0.5)</f>
        <v>0.5</v>
      </c>
      <c r="Q6339" s="4" t="str">
        <f>IFERROR(__xludf.DUMMYFUNCTION("""COMPUTED_VALUE"""),"Consumer Soluções Em Tecnologia Ltda")</f>
        <v>Consumer Soluções Em Tecnologia Ltda</v>
      </c>
      <c r="R6339" s="33">
        <f>IFERROR(__xludf.DUMMYFUNCTION("""COMPUTED_VALUE"""),0.5)</f>
        <v>0.5</v>
      </c>
      <c r="S6339" s="4" t="str">
        <f>IFERROR(__xludf.DUMMYFUNCTION("""COMPUTED_VALUE"""),"Consumer Soluções Em Tecnologia Ltda")</f>
        <v>Consumer Soluções Em Tecnologia Ltda</v>
      </c>
      <c r="T6339" s="33">
        <f>IFERROR(__xludf.DUMMYFUNCTION("""COMPUTED_VALUE"""),0.5)</f>
        <v>0.5</v>
      </c>
      <c r="U6339" s="4" t="str">
        <f>IFERROR(__xludf.DUMMYFUNCTION("""COMPUTED_VALUE"""),"Consumer Soluções Em Tecnologia Ltda")</f>
        <v>Consumer Soluções Em Tecnologia Ltda</v>
      </c>
      <c r="V6339" s="33">
        <f>IFERROR(__xludf.DUMMYFUNCTION("""COMPUTED_VALUE"""),0.5)</f>
        <v>0.5</v>
      </c>
      <c r="W6339" s="4" t="str">
        <f>IFERROR(__xludf.DUMMYFUNCTION("""COMPUTED_VALUE"""),"Consumer Soluções Em Tecnologia Ltda")</f>
        <v>Consumer Soluções Em Tecnologia Ltda</v>
      </c>
      <c r="X6339" s="33">
        <f>IFERROR(__xludf.DUMMYFUNCTION("""COMPUTED_VALUE"""),0.5)</f>
        <v>0.5</v>
      </c>
    </row>
    <row r="6340">
      <c r="K6340" s="4" t="str">
        <f>IFERROR(__xludf.DUMMYFUNCTION("""COMPUTED_VALUE"""),"TROPICAL")</f>
        <v>TROPICAL</v>
      </c>
      <c r="L6340" s="32">
        <f>IFERROR(__xludf.DUMMYFUNCTION("""COMPUTED_VALUE"""),2.0)</f>
        <v>2</v>
      </c>
      <c r="M6340" s="4" t="str">
        <f>IFERROR(__xludf.DUMMYFUNCTION("""COMPUTED_VALUE"""),"N/A (Not found)")</f>
        <v>N/A (Not found)</v>
      </c>
      <c r="N6340" s="33">
        <f>IFERROR(__xludf.DUMMYFUNCTION("""COMPUTED_VALUE"""),0.5)</f>
        <v>0.5</v>
      </c>
      <c r="O6340" s="4" t="str">
        <f>IFERROR(__xludf.DUMMYFUNCTION("""COMPUTED_VALUE"""),"N/A (Not found)")</f>
        <v>N/A (Not found)</v>
      </c>
      <c r="P6340" s="33">
        <f>IFERROR(__xludf.DUMMYFUNCTION("""COMPUTED_VALUE"""),0.5)</f>
        <v>0.5</v>
      </c>
      <c r="Q6340" s="4" t="str">
        <f>IFERROR(__xludf.DUMMYFUNCTION("""COMPUTED_VALUE"""),"N/A (Not found)")</f>
        <v>N/A (Not found)</v>
      </c>
      <c r="R6340" s="33">
        <f>IFERROR(__xludf.DUMMYFUNCTION("""COMPUTED_VALUE"""),0.5)</f>
        <v>0.5</v>
      </c>
      <c r="S6340" s="4" t="str">
        <f>IFERROR(__xludf.DUMMYFUNCTION("""COMPUTED_VALUE"""),"N/A (Not found)")</f>
        <v>N/A (Not found)</v>
      </c>
      <c r="T6340" s="33">
        <f>IFERROR(__xludf.DUMMYFUNCTION("""COMPUTED_VALUE"""),0.5)</f>
        <v>0.5</v>
      </c>
      <c r="U6340" s="4" t="str">
        <f>IFERROR(__xludf.DUMMYFUNCTION("""COMPUTED_VALUE"""),"N/A (Not found)")</f>
        <v>N/A (Not found)</v>
      </c>
      <c r="V6340" s="33">
        <f>IFERROR(__xludf.DUMMYFUNCTION("""COMPUTED_VALUE"""),0.5)</f>
        <v>0.5</v>
      </c>
      <c r="W6340" s="4" t="str">
        <f>IFERROR(__xludf.DUMMYFUNCTION("""COMPUTED_VALUE"""),"N/A (Not found)")</f>
        <v>N/A (Not found)</v>
      </c>
      <c r="X6340" s="33">
        <f>IFERROR(__xludf.DUMMYFUNCTION("""COMPUTED_VALUE"""),0.5)</f>
        <v>0.5</v>
      </c>
    </row>
    <row r="6341">
      <c r="K6341" s="4" t="str">
        <f>IFERROR(__xludf.DUMMYFUNCTION("""COMPUTED_VALUE"""),"PIZZARIA VALENTINA")</f>
        <v>PIZZARIA VALENTINA</v>
      </c>
      <c r="L6341" s="32">
        <f>IFERROR(__xludf.DUMMYFUNCTION("""COMPUTED_VALUE"""),2.0)</f>
        <v>2</v>
      </c>
      <c r="M6341" s="4" t="str">
        <f>IFERROR(__xludf.DUMMYFUNCTION("""COMPUTED_VALUE"""),"Takeat Tecnologia")</f>
        <v>Takeat Tecnologia</v>
      </c>
      <c r="N6341" s="33">
        <f>IFERROR(__xludf.DUMMYFUNCTION("""COMPUTED_VALUE"""),0.5)</f>
        <v>0.5</v>
      </c>
      <c r="O6341" s="4" t="str">
        <f>IFERROR(__xludf.DUMMYFUNCTION("""COMPUTED_VALUE"""),"Takeat Tecnologia")</f>
        <v>Takeat Tecnologia</v>
      </c>
      <c r="P6341" s="33">
        <f>IFERROR(__xludf.DUMMYFUNCTION("""COMPUTED_VALUE"""),0.5)</f>
        <v>0.5</v>
      </c>
      <c r="Q6341" s="4" t="str">
        <f>IFERROR(__xludf.DUMMYFUNCTION("""COMPUTED_VALUE"""),"null")</f>
        <v>null</v>
      </c>
      <c r="R6341" s="33">
        <f>IFERROR(__xludf.DUMMYFUNCTION("""COMPUTED_VALUE"""),1.0)</f>
        <v>1</v>
      </c>
      <c r="S6341" s="4" t="str">
        <f>IFERROR(__xludf.DUMMYFUNCTION("""COMPUTED_VALUE"""),"Takeat Tecnologia")</f>
        <v>Takeat Tecnologia</v>
      </c>
      <c r="T6341" s="33">
        <f>IFERROR(__xludf.DUMMYFUNCTION("""COMPUTED_VALUE"""),0.5)</f>
        <v>0.5</v>
      </c>
      <c r="U6341" s="4" t="str">
        <f>IFERROR(__xludf.DUMMYFUNCTION("""COMPUTED_VALUE"""),"Takeat Tecnologia")</f>
        <v>Takeat Tecnologia</v>
      </c>
      <c r="V6341" s="33">
        <f>IFERROR(__xludf.DUMMYFUNCTION("""COMPUTED_VALUE"""),0.5)</f>
        <v>0.5</v>
      </c>
      <c r="W6341" s="4" t="str">
        <f>IFERROR(__xludf.DUMMYFUNCTION("""COMPUTED_VALUE"""),"null")</f>
        <v>null</v>
      </c>
      <c r="X6341" s="33">
        <f>IFERROR(__xludf.DUMMYFUNCTION("""COMPUTED_VALUE"""),0.5)</f>
        <v>0.5</v>
      </c>
    </row>
    <row r="6342">
      <c r="K6342" s="4" t="str">
        <f>IFERROR(__xludf.DUMMYFUNCTION("""COMPUTED_VALUE"""),"LA CASA PIZZARIA")</f>
        <v>LA CASA PIZZARIA</v>
      </c>
      <c r="L6342" s="32">
        <f>IFERROR(__xludf.DUMMYFUNCTION("""COMPUTED_VALUE"""),2.0)</f>
        <v>2</v>
      </c>
      <c r="M6342" s="4" t="str">
        <f>IFERROR(__xludf.DUMMYFUNCTION("""COMPUTED_VALUE"""),"Mp Multipedidos")</f>
        <v>Mp Multipedidos</v>
      </c>
      <c r="N6342" s="33">
        <f>IFERROR(__xludf.DUMMYFUNCTION("""COMPUTED_VALUE"""),0.5)</f>
        <v>0.5</v>
      </c>
      <c r="O6342" s="4" t="str">
        <f>IFERROR(__xludf.DUMMYFUNCTION("""COMPUTED_VALUE"""),"Mp Multipedidos")</f>
        <v>Mp Multipedidos</v>
      </c>
      <c r="P6342" s="33">
        <f>IFERROR(__xludf.DUMMYFUNCTION("""COMPUTED_VALUE"""),0.5)</f>
        <v>0.5</v>
      </c>
      <c r="Q6342" s="4" t="str">
        <f>IFERROR(__xludf.DUMMYFUNCTION("""COMPUTED_VALUE"""),"null")</f>
        <v>null</v>
      </c>
      <c r="R6342" s="33">
        <f>IFERROR(__xludf.DUMMYFUNCTION("""COMPUTED_VALUE"""),0.5)</f>
        <v>0.5</v>
      </c>
      <c r="S6342" s="4" t="str">
        <f>IFERROR(__xludf.DUMMYFUNCTION("""COMPUTED_VALUE"""),"Mp Multipedidos")</f>
        <v>Mp Multipedidos</v>
      </c>
      <c r="T6342" s="33">
        <f>IFERROR(__xludf.DUMMYFUNCTION("""COMPUTED_VALUE"""),0.5)</f>
        <v>0.5</v>
      </c>
      <c r="U6342" s="4" t="str">
        <f>IFERROR(__xludf.DUMMYFUNCTION("""COMPUTED_VALUE"""),"Mp Multipedidos")</f>
        <v>Mp Multipedidos</v>
      </c>
      <c r="V6342" s="33">
        <f>IFERROR(__xludf.DUMMYFUNCTION("""COMPUTED_VALUE"""),0.5)</f>
        <v>0.5</v>
      </c>
      <c r="W6342" s="4" t="str">
        <f>IFERROR(__xludf.DUMMYFUNCTION("""COMPUTED_VALUE"""),"Mp Multipedidos")</f>
        <v>Mp Multipedidos</v>
      </c>
      <c r="X6342" s="33">
        <f>IFERROR(__xludf.DUMMYFUNCTION("""COMPUTED_VALUE"""),0.5)</f>
        <v>0.5</v>
      </c>
    </row>
    <row r="6343">
      <c r="K6343" s="4" t="str">
        <f>IFERROR(__xludf.DUMMYFUNCTION("""COMPUTED_VALUE"""),"PIZZARIA VESUVIO")</f>
        <v>PIZZARIA VESUVIO</v>
      </c>
      <c r="L6343" s="32">
        <f>IFERROR(__xludf.DUMMYFUNCTION("""COMPUTED_VALUE"""),2.0)</f>
        <v>2</v>
      </c>
      <c r="M6343" s="4" t="str">
        <f>IFERROR(__xludf.DUMMYFUNCTION("""COMPUTED_VALUE"""),"Anota Ai Solucoes Digitais S/a")</f>
        <v>Anota Ai Solucoes Digitais S/a</v>
      </c>
      <c r="N6343" s="33">
        <f>IFERROR(__xludf.DUMMYFUNCTION("""COMPUTED_VALUE"""),1.0)</f>
        <v>1</v>
      </c>
      <c r="O6343" s="4" t="str">
        <f>IFERROR(__xludf.DUMMYFUNCTION("""COMPUTED_VALUE"""),"Anota Ai Solucoes Digitais S/a")</f>
        <v>Anota Ai Solucoes Digitais S/a</v>
      </c>
      <c r="P6343" s="33">
        <f>IFERROR(__xludf.DUMMYFUNCTION("""COMPUTED_VALUE"""),1.0)</f>
        <v>1</v>
      </c>
      <c r="Q6343" s="4" t="str">
        <f>IFERROR(__xludf.DUMMYFUNCTION("""COMPUTED_VALUE"""),"Anota Ai Solucoes Digitais S/a")</f>
        <v>Anota Ai Solucoes Digitais S/a</v>
      </c>
      <c r="R6343" s="33">
        <f>IFERROR(__xludf.DUMMYFUNCTION("""COMPUTED_VALUE"""),1.0)</f>
        <v>1</v>
      </c>
      <c r="S6343" s="4" t="str">
        <f>IFERROR(__xludf.DUMMYFUNCTION("""COMPUTED_VALUE"""),"Anota Ai Solucoes Digitais S/a")</f>
        <v>Anota Ai Solucoes Digitais S/a</v>
      </c>
      <c r="T6343" s="33">
        <f>IFERROR(__xludf.DUMMYFUNCTION("""COMPUTED_VALUE"""),1.0)</f>
        <v>1</v>
      </c>
      <c r="U6343" s="4" t="str">
        <f>IFERROR(__xludf.DUMMYFUNCTION("""COMPUTED_VALUE"""),"Anota Ai Solucoes Digitais S/a")</f>
        <v>Anota Ai Solucoes Digitais S/a</v>
      </c>
      <c r="V6343" s="33">
        <f>IFERROR(__xludf.DUMMYFUNCTION("""COMPUTED_VALUE"""),1.0)</f>
        <v>1</v>
      </c>
      <c r="W6343" s="4" t="str">
        <f>IFERROR(__xludf.DUMMYFUNCTION("""COMPUTED_VALUE"""),"Anota Ai Solucoes Digitais S/a")</f>
        <v>Anota Ai Solucoes Digitais S/a</v>
      </c>
      <c r="X6343" s="33">
        <f>IFERROR(__xludf.DUMMYFUNCTION("""COMPUTED_VALUE"""),1.0)</f>
        <v>1</v>
      </c>
    </row>
    <row r="6344">
      <c r="K6344" s="4" t="str">
        <f>IFERROR(__xludf.DUMMYFUNCTION("""COMPUTED_VALUE"""),"LA PREFERITA PIZZA")</f>
        <v>LA PREFERITA PIZZA</v>
      </c>
      <c r="L6344" s="32">
        <f>IFERROR(__xludf.DUMMYFUNCTION("""COMPUTED_VALUE"""),2.0)</f>
        <v>2</v>
      </c>
      <c r="M6344" s="4" t="str">
        <f>IFERROR(__xludf.DUMMYFUNCTION("""COMPUTED_VALUE"""),"Ncr")</f>
        <v>Ncr</v>
      </c>
      <c r="N6344" s="33">
        <f>IFERROR(__xludf.DUMMYFUNCTION("""COMPUTED_VALUE"""),0.5)</f>
        <v>0.5</v>
      </c>
      <c r="O6344" s="4" t="str">
        <f>IFERROR(__xludf.DUMMYFUNCTION("""COMPUTED_VALUE"""),"Ncr")</f>
        <v>Ncr</v>
      </c>
      <c r="P6344" s="33">
        <f>IFERROR(__xludf.DUMMYFUNCTION("""COMPUTED_VALUE"""),0.5)</f>
        <v>0.5</v>
      </c>
      <c r="Q6344" s="4" t="str">
        <f>IFERROR(__xludf.DUMMYFUNCTION("""COMPUTED_VALUE"""),"Ncr")</f>
        <v>Ncr</v>
      </c>
      <c r="R6344" s="33">
        <f>IFERROR(__xludf.DUMMYFUNCTION("""COMPUTED_VALUE"""),1.0)</f>
        <v>1</v>
      </c>
      <c r="S6344" s="4" t="str">
        <f>IFERROR(__xludf.DUMMYFUNCTION("""COMPUTED_VALUE"""),"Ncr")</f>
        <v>Ncr</v>
      </c>
      <c r="T6344" s="33">
        <f>IFERROR(__xludf.DUMMYFUNCTION("""COMPUTED_VALUE"""),1.0)</f>
        <v>1</v>
      </c>
      <c r="U6344" s="4" t="str">
        <f>IFERROR(__xludf.DUMMYFUNCTION("""COMPUTED_VALUE"""),"Ncr")</f>
        <v>Ncr</v>
      </c>
      <c r="V6344" s="33">
        <f>IFERROR(__xludf.DUMMYFUNCTION("""COMPUTED_VALUE"""),1.0)</f>
        <v>1</v>
      </c>
      <c r="W6344" s="4" t="str">
        <f>IFERROR(__xludf.DUMMYFUNCTION("""COMPUTED_VALUE"""),"Ncr")</f>
        <v>Ncr</v>
      </c>
      <c r="X6344" s="33">
        <f>IFERROR(__xludf.DUMMYFUNCTION("""COMPUTED_VALUE"""),0.5)</f>
        <v>0.5</v>
      </c>
    </row>
    <row r="6345">
      <c r="K6345" s="4" t="str">
        <f>IFERROR(__xludf.DUMMYFUNCTION("""COMPUTED_VALUE"""),"POKEJA")</f>
        <v>POKEJA</v>
      </c>
      <c r="L6345" s="32">
        <f>IFERROR(__xludf.DUMMYFUNCTION("""COMPUTED_VALUE"""),2.0)</f>
        <v>2</v>
      </c>
      <c r="M6345" s="4" t="str">
        <f>IFERROR(__xludf.DUMMYFUNCTION("""COMPUTED_VALUE"""),"null")</f>
        <v>null</v>
      </c>
      <c r="N6345" s="33">
        <f>IFERROR(__xludf.DUMMYFUNCTION("""COMPUTED_VALUE"""),0.5)</f>
        <v>0.5</v>
      </c>
      <c r="O6345" s="4" t="str">
        <f>IFERROR(__xludf.DUMMYFUNCTION("""COMPUTED_VALUE"""),"null")</f>
        <v>null</v>
      </c>
      <c r="P6345" s="33">
        <f>IFERROR(__xludf.DUMMYFUNCTION("""COMPUTED_VALUE"""),0.5)</f>
        <v>0.5</v>
      </c>
      <c r="Q6345" s="4" t="str">
        <f>IFERROR(__xludf.DUMMYFUNCTION("""COMPUTED_VALUE"""),"null")</f>
        <v>null</v>
      </c>
      <c r="R6345" s="33">
        <f>IFERROR(__xludf.DUMMYFUNCTION("""COMPUTED_VALUE"""),0.5)</f>
        <v>0.5</v>
      </c>
      <c r="S6345" s="4" t="str">
        <f>IFERROR(__xludf.DUMMYFUNCTION("""COMPUTED_VALUE"""),"null")</f>
        <v>null</v>
      </c>
      <c r="T6345" s="33">
        <f>IFERROR(__xludf.DUMMYFUNCTION("""COMPUTED_VALUE"""),0.5)</f>
        <v>0.5</v>
      </c>
      <c r="U6345" s="4" t="str">
        <f>IFERROR(__xludf.DUMMYFUNCTION("""COMPUTED_VALUE"""),"Saipos Serviços De Software")</f>
        <v>Saipos Serviços De Software</v>
      </c>
      <c r="V6345" s="33">
        <f>IFERROR(__xludf.DUMMYFUNCTION("""COMPUTED_VALUE"""),1.0)</f>
        <v>1</v>
      </c>
      <c r="W6345" s="4" t="str">
        <f>IFERROR(__xludf.DUMMYFUNCTION("""COMPUTED_VALUE"""),"Saipos Serviços De Software")</f>
        <v>Saipos Serviços De Software</v>
      </c>
      <c r="X6345" s="33">
        <f>IFERROR(__xludf.DUMMYFUNCTION("""COMPUTED_VALUE"""),1.0)</f>
        <v>1</v>
      </c>
    </row>
    <row r="6346">
      <c r="K6346" s="4" t="str">
        <f>IFERROR(__xludf.DUMMYFUNCTION("""COMPUTED_VALUE"""),"PIZZARIA BUONA MADONA")</f>
        <v>PIZZARIA BUONA MADONA</v>
      </c>
      <c r="L6346" s="32">
        <f>IFERROR(__xludf.DUMMYFUNCTION("""COMPUTED_VALUE"""),2.0)</f>
        <v>2</v>
      </c>
      <c r="M6346" s="4" t="str">
        <f>IFERROR(__xludf.DUMMYFUNCTION("""COMPUTED_VALUE"""),"Saipos Serviços De Software")</f>
        <v>Saipos Serviços De Software</v>
      </c>
      <c r="N6346" s="33">
        <f>IFERROR(__xludf.DUMMYFUNCTION("""COMPUTED_VALUE"""),1.0)</f>
        <v>1</v>
      </c>
      <c r="O6346" s="4" t="str">
        <f>IFERROR(__xludf.DUMMYFUNCTION("""COMPUTED_VALUE"""),"Saipos Serviços De Software")</f>
        <v>Saipos Serviços De Software</v>
      </c>
      <c r="P6346" s="33">
        <f>IFERROR(__xludf.DUMMYFUNCTION("""COMPUTED_VALUE"""),0.5)</f>
        <v>0.5</v>
      </c>
      <c r="Q6346" s="4" t="str">
        <f>IFERROR(__xludf.DUMMYFUNCTION("""COMPUTED_VALUE"""),"Saipos Serviços De Software")</f>
        <v>Saipos Serviços De Software</v>
      </c>
      <c r="R6346" s="33">
        <f>IFERROR(__xludf.DUMMYFUNCTION("""COMPUTED_VALUE"""),0.5)</f>
        <v>0.5</v>
      </c>
      <c r="S6346" s="4" t="str">
        <f>IFERROR(__xludf.DUMMYFUNCTION("""COMPUTED_VALUE"""),"Saipos Serviços De Software")</f>
        <v>Saipos Serviços De Software</v>
      </c>
      <c r="T6346" s="33">
        <f>IFERROR(__xludf.DUMMYFUNCTION("""COMPUTED_VALUE"""),0.5)</f>
        <v>0.5</v>
      </c>
      <c r="U6346" s="4" t="str">
        <f>IFERROR(__xludf.DUMMYFUNCTION("""COMPUTED_VALUE"""),"Saipos Serviços De Software")</f>
        <v>Saipos Serviços De Software</v>
      </c>
      <c r="V6346" s="33">
        <f>IFERROR(__xludf.DUMMYFUNCTION("""COMPUTED_VALUE"""),0.5)</f>
        <v>0.5</v>
      </c>
      <c r="W6346" s="4" t="str">
        <f>IFERROR(__xludf.DUMMYFUNCTION("""COMPUTED_VALUE"""),"Saipos Serviços De Software")</f>
        <v>Saipos Serviços De Software</v>
      </c>
      <c r="X6346" s="33">
        <f>IFERROR(__xludf.DUMMYFUNCTION("""COMPUTED_VALUE"""),0.5)</f>
        <v>0.5</v>
      </c>
    </row>
    <row r="6347">
      <c r="K6347" s="4" t="str">
        <f>IFERROR(__xludf.DUMMYFUNCTION("""COMPUTED_VALUE"""),"CEDRO CAFE")</f>
        <v>CEDRO CAFE</v>
      </c>
      <c r="L6347" s="32">
        <f>IFERROR(__xludf.DUMMYFUNCTION("""COMPUTED_VALUE"""),2.0)</f>
        <v>2</v>
      </c>
      <c r="M6347" s="4" t="str">
        <f>IFERROR(__xludf.DUMMYFUNCTION("""COMPUTED_VALUE"""),"null")</f>
        <v>null</v>
      </c>
      <c r="N6347" s="33">
        <f>IFERROR(__xludf.DUMMYFUNCTION("""COMPUTED_VALUE"""),0.5)</f>
        <v>0.5</v>
      </c>
      <c r="O6347" s="4" t="str">
        <f>IFERROR(__xludf.DUMMYFUNCTION("""COMPUTED_VALUE"""),"null")</f>
        <v>null</v>
      </c>
      <c r="P6347" s="33">
        <f>IFERROR(__xludf.DUMMYFUNCTION("""COMPUTED_VALUE"""),0.5)</f>
        <v>0.5</v>
      </c>
      <c r="Q6347" s="4" t="str">
        <f>IFERROR(__xludf.DUMMYFUNCTION("""COMPUTED_VALUE"""),"null")</f>
        <v>null</v>
      </c>
      <c r="R6347" s="33">
        <f>IFERROR(__xludf.DUMMYFUNCTION("""COMPUTED_VALUE"""),0.5)</f>
        <v>0.5</v>
      </c>
      <c r="S6347" s="4" t="str">
        <f>IFERROR(__xludf.DUMMYFUNCTION("""COMPUTED_VALUE"""),"null")</f>
        <v>null</v>
      </c>
      <c r="T6347" s="33">
        <f>IFERROR(__xludf.DUMMYFUNCTION("""COMPUTED_VALUE"""),1.0)</f>
        <v>1</v>
      </c>
      <c r="U6347" s="4" t="str">
        <f>IFERROR(__xludf.DUMMYFUNCTION("""COMPUTED_VALUE"""),"null")</f>
        <v>null</v>
      </c>
      <c r="V6347" s="33">
        <f>IFERROR(__xludf.DUMMYFUNCTION("""COMPUTED_VALUE"""),1.0)</f>
        <v>1</v>
      </c>
      <c r="W6347" s="4" t="str">
        <f>IFERROR(__xludf.DUMMYFUNCTION("""COMPUTED_VALUE"""),"Instadelivery")</f>
        <v>Instadelivery</v>
      </c>
      <c r="X6347" s="33">
        <f>IFERROR(__xludf.DUMMYFUNCTION("""COMPUTED_VALUE"""),0.5)</f>
        <v>0.5</v>
      </c>
    </row>
    <row r="6348">
      <c r="K6348" s="4" t="str">
        <f>IFERROR(__xludf.DUMMYFUNCTION("""COMPUTED_VALUE"""),"MASTER SUSHI DELIVERY")</f>
        <v>MASTER SUSHI DELIVERY</v>
      </c>
      <c r="L6348" s="32">
        <f>IFERROR(__xludf.DUMMYFUNCTION("""COMPUTED_VALUE"""),2.0)</f>
        <v>2</v>
      </c>
      <c r="M6348" s="4" t="str">
        <f>IFERROR(__xludf.DUMMYFUNCTION("""COMPUTED_VALUE"""),"Saipos Serviços De Software")</f>
        <v>Saipos Serviços De Software</v>
      </c>
      <c r="N6348" s="33">
        <f>IFERROR(__xludf.DUMMYFUNCTION("""COMPUTED_VALUE"""),1.0)</f>
        <v>1</v>
      </c>
      <c r="O6348" s="4" t="str">
        <f>IFERROR(__xludf.DUMMYFUNCTION("""COMPUTED_VALUE"""),"Saipos Serviços De Software")</f>
        <v>Saipos Serviços De Software</v>
      </c>
      <c r="P6348" s="33">
        <f>IFERROR(__xludf.DUMMYFUNCTION("""COMPUTED_VALUE"""),1.0)</f>
        <v>1</v>
      </c>
      <c r="Q6348" s="4" t="str">
        <f>IFERROR(__xludf.DUMMYFUNCTION("""COMPUTED_VALUE"""),"Saipos Serviços De Software")</f>
        <v>Saipos Serviços De Software</v>
      </c>
      <c r="R6348" s="33">
        <f>IFERROR(__xludf.DUMMYFUNCTION("""COMPUTED_VALUE"""),1.0)</f>
        <v>1</v>
      </c>
      <c r="S6348" s="4" t="str">
        <f>IFERROR(__xludf.DUMMYFUNCTION("""COMPUTED_VALUE"""),"Saipos Serviços De Software")</f>
        <v>Saipos Serviços De Software</v>
      </c>
      <c r="T6348" s="33">
        <f>IFERROR(__xludf.DUMMYFUNCTION("""COMPUTED_VALUE"""),1.0)</f>
        <v>1</v>
      </c>
      <c r="U6348" s="4" t="str">
        <f>IFERROR(__xludf.DUMMYFUNCTION("""COMPUTED_VALUE"""),"null")</f>
        <v>null</v>
      </c>
      <c r="V6348" s="33">
        <f>IFERROR(__xludf.DUMMYFUNCTION("""COMPUTED_VALUE"""),1.0)</f>
        <v>1</v>
      </c>
      <c r="W6348" s="4" t="str">
        <f>IFERROR(__xludf.DUMMYFUNCTION("""COMPUTED_VALUE"""),"Cityfoods Ltda")</f>
        <v>Cityfoods Ltda</v>
      </c>
      <c r="X6348" s="33">
        <f>IFERROR(__xludf.DUMMYFUNCTION("""COMPUTED_VALUE"""),0.5)</f>
        <v>0.5</v>
      </c>
    </row>
    <row r="6349">
      <c r="K6349" s="4" t="str">
        <f>IFERROR(__xludf.DUMMYFUNCTION("""COMPUTED_VALUE"""),"SHEKINA BURGER STEAK")</f>
        <v>SHEKINA BURGER STEAK</v>
      </c>
      <c r="L6349" s="32">
        <f>IFERROR(__xludf.DUMMYFUNCTION("""COMPUTED_VALUE"""),2.0)</f>
        <v>2</v>
      </c>
      <c r="M6349" s="4" t="str">
        <f>IFERROR(__xludf.DUMMYFUNCTION("""COMPUTED_VALUE"""),"Dual Sete Sistemas E Tecnologia")</f>
        <v>Dual Sete Sistemas E Tecnologia</v>
      </c>
      <c r="N6349" s="33">
        <f>IFERROR(__xludf.DUMMYFUNCTION("""COMPUTED_VALUE"""),0.5)</f>
        <v>0.5</v>
      </c>
      <c r="O6349" s="4" t="str">
        <f>IFERROR(__xludf.DUMMYFUNCTION("""COMPUTED_VALUE"""),"Dual Sete Sistemas E Tecnologia")</f>
        <v>Dual Sete Sistemas E Tecnologia</v>
      </c>
      <c r="P6349" s="33">
        <f>IFERROR(__xludf.DUMMYFUNCTION("""COMPUTED_VALUE"""),1.0)</f>
        <v>1</v>
      </c>
      <c r="Q6349" s="4" t="str">
        <f>IFERROR(__xludf.DUMMYFUNCTION("""COMPUTED_VALUE"""),"Dual Sete Sistemas E Tecnologia")</f>
        <v>Dual Sete Sistemas E Tecnologia</v>
      </c>
      <c r="R6349" s="33">
        <f>IFERROR(__xludf.DUMMYFUNCTION("""COMPUTED_VALUE"""),1.0)</f>
        <v>1</v>
      </c>
      <c r="S6349" s="4" t="str">
        <f>IFERROR(__xludf.DUMMYFUNCTION("""COMPUTED_VALUE"""),"Dual Sete Sistemas E Tecnologia")</f>
        <v>Dual Sete Sistemas E Tecnologia</v>
      </c>
      <c r="T6349" s="33">
        <f>IFERROR(__xludf.DUMMYFUNCTION("""COMPUTED_VALUE"""),0.5)</f>
        <v>0.5</v>
      </c>
      <c r="U6349" s="4" t="str">
        <f>IFERROR(__xludf.DUMMYFUNCTION("""COMPUTED_VALUE"""),"null")</f>
        <v>null</v>
      </c>
      <c r="V6349" s="33">
        <f>IFERROR(__xludf.DUMMYFUNCTION("""COMPUTED_VALUE"""),0.5)</f>
        <v>0.5</v>
      </c>
      <c r="W6349" s="4" t="str">
        <f>IFERROR(__xludf.DUMMYFUNCTION("""COMPUTED_VALUE"""),"null")</f>
        <v>null</v>
      </c>
      <c r="X6349" s="33">
        <f>IFERROR(__xludf.DUMMYFUNCTION("""COMPUTED_VALUE"""),0.5)</f>
        <v>0.5</v>
      </c>
    </row>
    <row r="6350">
      <c r="K6350" s="4" t="str">
        <f>IFERROR(__xludf.DUMMYFUNCTION("""COMPUTED_VALUE"""),"BRASE SANDWICH WRAPS")</f>
        <v>BRASE SANDWICH WRAPS</v>
      </c>
      <c r="L6350" s="32">
        <f>IFERROR(__xludf.DUMMYFUNCTION("""COMPUTED_VALUE"""),2.0)</f>
        <v>2</v>
      </c>
      <c r="M6350" s="4" t="str">
        <f>IFERROR(__xludf.DUMMYFUNCTION("""COMPUTED_VALUE"""),"Cardápio Web")</f>
        <v>Cardápio Web</v>
      </c>
      <c r="N6350" s="33">
        <f>IFERROR(__xludf.DUMMYFUNCTION("""COMPUTED_VALUE"""),1.0)</f>
        <v>1</v>
      </c>
      <c r="O6350" s="4" t="str">
        <f>IFERROR(__xludf.DUMMYFUNCTION("""COMPUTED_VALUE"""),"Cardápio Web")</f>
        <v>Cardápio Web</v>
      </c>
      <c r="P6350" s="33">
        <f>IFERROR(__xludf.DUMMYFUNCTION("""COMPUTED_VALUE"""),1.0)</f>
        <v>1</v>
      </c>
      <c r="Q6350" s="4" t="str">
        <f>IFERROR(__xludf.DUMMYFUNCTION("""COMPUTED_VALUE"""),"Cardápio Web")</f>
        <v>Cardápio Web</v>
      </c>
      <c r="R6350" s="33">
        <f>IFERROR(__xludf.DUMMYFUNCTION("""COMPUTED_VALUE"""),1.0)</f>
        <v>1</v>
      </c>
      <c r="S6350" s="4" t="str">
        <f>IFERROR(__xludf.DUMMYFUNCTION("""COMPUTED_VALUE"""),"Cardápio Web")</f>
        <v>Cardápio Web</v>
      </c>
      <c r="T6350" s="33">
        <f>IFERROR(__xludf.DUMMYFUNCTION("""COMPUTED_VALUE"""),1.0)</f>
        <v>1</v>
      </c>
      <c r="U6350" s="4" t="str">
        <f>IFERROR(__xludf.DUMMYFUNCTION("""COMPUTED_VALUE"""),"Cardápio Web")</f>
        <v>Cardápio Web</v>
      </c>
      <c r="V6350" s="33">
        <f>IFERROR(__xludf.DUMMYFUNCTION("""COMPUTED_VALUE"""),1.0)</f>
        <v>1</v>
      </c>
      <c r="W6350" s="4" t="str">
        <f>IFERROR(__xludf.DUMMYFUNCTION("""COMPUTED_VALUE"""),"Cardápio Web")</f>
        <v>Cardápio Web</v>
      </c>
      <c r="X6350" s="33">
        <f>IFERROR(__xludf.DUMMYFUNCTION("""COMPUTED_VALUE"""),1.0)</f>
        <v>1</v>
      </c>
    </row>
    <row r="6351">
      <c r="K6351" s="4" t="str">
        <f>IFERROR(__xludf.DUMMYFUNCTION("""COMPUTED_VALUE"""),"REDE DROGAO POPULAR - JAGUARIUNA")</f>
        <v>REDE DROGAO POPULAR - JAGUARIUNA</v>
      </c>
      <c r="L6351" s="32">
        <f>IFERROR(__xludf.DUMMYFUNCTION("""COMPUTED_VALUE"""),2.0)</f>
        <v>2</v>
      </c>
      <c r="M6351" s="4" t="str">
        <f>IFERROR(__xludf.DUMMYFUNCTION("""COMPUTED_VALUE"""),"N/A (Not found)")</f>
        <v>N/A (Not found)</v>
      </c>
      <c r="N6351" s="33">
        <f>IFERROR(__xludf.DUMMYFUNCTION("""COMPUTED_VALUE"""),1.0)</f>
        <v>1</v>
      </c>
      <c r="O6351" s="4" t="str">
        <f>IFERROR(__xludf.DUMMYFUNCTION("""COMPUTED_VALUE"""),"N/A (Not found)")</f>
        <v>N/A (Not found)</v>
      </c>
      <c r="P6351" s="33">
        <f>IFERROR(__xludf.DUMMYFUNCTION("""COMPUTED_VALUE"""),1.0)</f>
        <v>1</v>
      </c>
      <c r="Q6351" s="4" t="str">
        <f>IFERROR(__xludf.DUMMYFUNCTION("""COMPUTED_VALUE"""),"N/A (Not found)")</f>
        <v>N/A (Not found)</v>
      </c>
      <c r="R6351" s="33">
        <f>IFERROR(__xludf.DUMMYFUNCTION("""COMPUTED_VALUE"""),1.0)</f>
        <v>1</v>
      </c>
      <c r="S6351" s="4" t="str">
        <f>IFERROR(__xludf.DUMMYFUNCTION("""COMPUTED_VALUE"""),"N/A (Not found)")</f>
        <v>N/A (Not found)</v>
      </c>
      <c r="T6351" s="33">
        <f>IFERROR(__xludf.DUMMYFUNCTION("""COMPUTED_VALUE"""),1.0)</f>
        <v>1</v>
      </c>
      <c r="U6351" s="4" t="str">
        <f>IFERROR(__xludf.DUMMYFUNCTION("""COMPUTED_VALUE"""),"N/A (Not found)")</f>
        <v>N/A (Not found)</v>
      </c>
      <c r="V6351" s="33">
        <f>IFERROR(__xludf.DUMMYFUNCTION("""COMPUTED_VALUE"""),1.0)</f>
        <v>1</v>
      </c>
      <c r="W6351" s="4" t="str">
        <f>IFERROR(__xludf.DUMMYFUNCTION("""COMPUTED_VALUE"""),"N/A (Not found)")</f>
        <v>N/A (Not found)</v>
      </c>
      <c r="X6351" s="33">
        <f>IFERROR(__xludf.DUMMYFUNCTION("""COMPUTED_VALUE"""),1.0)</f>
        <v>1</v>
      </c>
    </row>
    <row r="6352">
      <c r="K6352" s="4" t="str">
        <f>IFERROR(__xludf.DUMMYFUNCTION("""COMPUTED_VALUE"""),"FARMACIA SANTA LUCIA")</f>
        <v>FARMACIA SANTA LUCIA</v>
      </c>
      <c r="L6352" s="32">
        <f>IFERROR(__xludf.DUMMYFUNCTION("""COMPUTED_VALUE"""),2.0)</f>
        <v>2</v>
      </c>
      <c r="M6352" s="4" t="str">
        <f>IFERROR(__xludf.DUMMYFUNCTION("""COMPUTED_VALUE"""),"N/A (Not found)")</f>
        <v>N/A (Not found)</v>
      </c>
      <c r="N6352" s="33">
        <f>IFERROR(__xludf.DUMMYFUNCTION("""COMPUTED_VALUE"""),1.0)</f>
        <v>1</v>
      </c>
      <c r="O6352" s="4" t="str">
        <f>IFERROR(__xludf.DUMMYFUNCTION("""COMPUTED_VALUE"""),"N/A (Not found)")</f>
        <v>N/A (Not found)</v>
      </c>
      <c r="P6352" s="33">
        <f>IFERROR(__xludf.DUMMYFUNCTION("""COMPUTED_VALUE"""),1.0)</f>
        <v>1</v>
      </c>
      <c r="Q6352" s="4" t="str">
        <f>IFERROR(__xludf.DUMMYFUNCTION("""COMPUTED_VALUE"""),"N/A (Not found)")</f>
        <v>N/A (Not found)</v>
      </c>
      <c r="R6352" s="33">
        <f>IFERROR(__xludf.DUMMYFUNCTION("""COMPUTED_VALUE"""),1.0)</f>
        <v>1</v>
      </c>
      <c r="S6352" s="4" t="str">
        <f>IFERROR(__xludf.DUMMYFUNCTION("""COMPUTED_VALUE"""),"N/A (Not found)")</f>
        <v>N/A (Not found)</v>
      </c>
      <c r="T6352" s="33">
        <f>IFERROR(__xludf.DUMMYFUNCTION("""COMPUTED_VALUE"""),1.0)</f>
        <v>1</v>
      </c>
      <c r="U6352" s="4" t="str">
        <f>IFERROR(__xludf.DUMMYFUNCTION("""COMPUTED_VALUE"""),"N/A (Not found)")</f>
        <v>N/A (Not found)</v>
      </c>
      <c r="V6352" s="33">
        <f>IFERROR(__xludf.DUMMYFUNCTION("""COMPUTED_VALUE"""),1.0)</f>
        <v>1</v>
      </c>
      <c r="W6352" s="4" t="str">
        <f>IFERROR(__xludf.DUMMYFUNCTION("""COMPUTED_VALUE"""),"N/A (Not found)")</f>
        <v>N/A (Not found)</v>
      </c>
      <c r="X6352" s="33">
        <f>IFERROR(__xludf.DUMMYFUNCTION("""COMPUTED_VALUE"""),1.0)</f>
        <v>1</v>
      </c>
    </row>
    <row r="6353">
      <c r="K6353" s="4" t="str">
        <f>IFERROR(__xludf.DUMMYFUNCTION("""COMPUTED_VALUE"""),"NUNES BEBIDAS")</f>
        <v>NUNES BEBIDAS</v>
      </c>
      <c r="L6353" s="32">
        <f>IFERROR(__xludf.DUMMYFUNCTION("""COMPUTED_VALUE"""),2.0)</f>
        <v>2</v>
      </c>
      <c r="M6353" s="4" t="str">
        <f>IFERROR(__xludf.DUMMYFUNCTION("""COMPUTED_VALUE"""),"null")</f>
        <v>null</v>
      </c>
      <c r="N6353" s="33">
        <f>IFERROR(__xludf.DUMMYFUNCTION("""COMPUTED_VALUE"""),1.0)</f>
        <v>1</v>
      </c>
      <c r="O6353" s="4" t="str">
        <f>IFERROR(__xludf.DUMMYFUNCTION("""COMPUTED_VALUE"""),"N/A (Not found)")</f>
        <v>N/A (Not found)</v>
      </c>
      <c r="P6353" s="33">
        <f>IFERROR(__xludf.DUMMYFUNCTION("""COMPUTED_VALUE"""),0.5)</f>
        <v>0.5</v>
      </c>
      <c r="Q6353" s="4" t="str">
        <f>IFERROR(__xludf.DUMMYFUNCTION("""COMPUTED_VALUE"""),"N/A (Not found)")</f>
        <v>N/A (Not found)</v>
      </c>
      <c r="R6353" s="33">
        <f>IFERROR(__xludf.DUMMYFUNCTION("""COMPUTED_VALUE"""),0.5)</f>
        <v>0.5</v>
      </c>
      <c r="S6353" s="4" t="str">
        <f>IFERROR(__xludf.DUMMYFUNCTION("""COMPUTED_VALUE"""),"N/A (Not found)")</f>
        <v>N/A (Not found)</v>
      </c>
      <c r="T6353" s="33">
        <f>IFERROR(__xludf.DUMMYFUNCTION("""COMPUTED_VALUE"""),0.5)</f>
        <v>0.5</v>
      </c>
      <c r="U6353" s="4" t="str">
        <f>IFERROR(__xludf.DUMMYFUNCTION("""COMPUTED_VALUE"""),"N/A (Not found)")</f>
        <v>N/A (Not found)</v>
      </c>
      <c r="V6353" s="33">
        <f>IFERROR(__xludf.DUMMYFUNCTION("""COMPUTED_VALUE"""),0.5)</f>
        <v>0.5</v>
      </c>
      <c r="W6353" s="4" t="str">
        <f>IFERROR(__xludf.DUMMYFUNCTION("""COMPUTED_VALUE"""),"N/A (Not found)")</f>
        <v>N/A (Not found)</v>
      </c>
      <c r="X6353" s="33">
        <f>IFERROR(__xludf.DUMMYFUNCTION("""COMPUTED_VALUE"""),0.5)</f>
        <v>0.5</v>
      </c>
    </row>
    <row r="6354">
      <c r="K6354" s="4" t="str">
        <f>IFERROR(__xludf.DUMMYFUNCTION("""COMPUTED_VALUE"""),"HOT DOG DA PRACA")</f>
        <v>HOT DOG DA PRACA</v>
      </c>
      <c r="L6354" s="32">
        <f>IFERROR(__xludf.DUMMYFUNCTION("""COMPUTED_VALUE"""),2.0)</f>
        <v>2</v>
      </c>
      <c r="M6354" s="4" t="str">
        <f>IFERROR(__xludf.DUMMYFUNCTION("""COMPUTED_VALUE"""),"null")</f>
        <v>null</v>
      </c>
      <c r="N6354" s="33">
        <f>IFERROR(__xludf.DUMMYFUNCTION("""COMPUTED_VALUE"""),1.0)</f>
        <v>1</v>
      </c>
      <c r="O6354" s="4" t="str">
        <f>IFERROR(__xludf.DUMMYFUNCTION("""COMPUTED_VALUE"""),"null")</f>
        <v>null</v>
      </c>
      <c r="P6354" s="33">
        <f>IFERROR(__xludf.DUMMYFUNCTION("""COMPUTED_VALUE"""),0.5)</f>
        <v>0.5</v>
      </c>
      <c r="Q6354" s="4" t="str">
        <f>IFERROR(__xludf.DUMMYFUNCTION("""COMPUTED_VALUE"""),"null")</f>
        <v>null</v>
      </c>
      <c r="R6354" s="33">
        <f>IFERROR(__xludf.DUMMYFUNCTION("""COMPUTED_VALUE"""),0.5)</f>
        <v>0.5</v>
      </c>
      <c r="S6354" s="4" t="str">
        <f>IFERROR(__xludf.DUMMYFUNCTION("""COMPUTED_VALUE"""),"null")</f>
        <v>null</v>
      </c>
      <c r="T6354" s="33">
        <f>IFERROR(__xludf.DUMMYFUNCTION("""COMPUTED_VALUE"""),0.5)</f>
        <v>0.5</v>
      </c>
      <c r="U6354" s="4" t="str">
        <f>IFERROR(__xludf.DUMMYFUNCTION("""COMPUTED_VALUE"""),"null")</f>
        <v>null</v>
      </c>
      <c r="V6354" s="33">
        <f>IFERROR(__xludf.DUMMYFUNCTION("""COMPUTED_VALUE"""),0.5)</f>
        <v>0.5</v>
      </c>
      <c r="W6354" s="4" t="str">
        <f>IFERROR(__xludf.DUMMYFUNCTION("""COMPUTED_VALUE"""),"Instadelivery")</f>
        <v>Instadelivery</v>
      </c>
      <c r="X6354" s="33">
        <f>IFERROR(__xludf.DUMMYFUNCTION("""COMPUTED_VALUE"""),0.5)</f>
        <v>0.5</v>
      </c>
    </row>
    <row r="6355">
      <c r="K6355" s="4" t="str">
        <f>IFERROR(__xludf.DUMMYFUNCTION("""COMPUTED_VALUE"""),"HOUSE ACAI")</f>
        <v>HOUSE ACAI</v>
      </c>
      <c r="L6355" s="32">
        <f>IFERROR(__xludf.DUMMYFUNCTION("""COMPUTED_VALUE"""),2.0)</f>
        <v>2</v>
      </c>
      <c r="M6355" s="4" t="str">
        <f>IFERROR(__xludf.DUMMYFUNCTION("""COMPUTED_VALUE"""),"null")</f>
        <v>null</v>
      </c>
      <c r="N6355" s="33">
        <f>IFERROR(__xludf.DUMMYFUNCTION("""COMPUTED_VALUE"""),0.5)</f>
        <v>0.5</v>
      </c>
      <c r="O6355" s="4" t="str">
        <f>IFERROR(__xludf.DUMMYFUNCTION("""COMPUTED_VALUE"""),"null")</f>
        <v>null</v>
      </c>
      <c r="P6355" s="33">
        <f>IFERROR(__xludf.DUMMYFUNCTION("""COMPUTED_VALUE"""),0.5)</f>
        <v>0.5</v>
      </c>
      <c r="Q6355" s="4" t="str">
        <f>IFERROR(__xludf.DUMMYFUNCTION("""COMPUTED_VALUE"""),"null")</f>
        <v>null</v>
      </c>
      <c r="R6355" s="33">
        <f>IFERROR(__xludf.DUMMYFUNCTION("""COMPUTED_VALUE"""),0.5)</f>
        <v>0.5</v>
      </c>
      <c r="S6355" s="4" t="str">
        <f>IFERROR(__xludf.DUMMYFUNCTION("""COMPUTED_VALUE"""),"null")</f>
        <v>null</v>
      </c>
      <c r="T6355" s="33">
        <f>IFERROR(__xludf.DUMMYFUNCTION("""COMPUTED_VALUE"""),0.5)</f>
        <v>0.5</v>
      </c>
      <c r="U6355" s="4" t="str">
        <f>IFERROR(__xludf.DUMMYFUNCTION("""COMPUTED_VALUE"""),"null")</f>
        <v>null</v>
      </c>
      <c r="V6355" s="33">
        <f>IFERROR(__xludf.DUMMYFUNCTION("""COMPUTED_VALUE"""),0.5)</f>
        <v>0.5</v>
      </c>
      <c r="W6355" s="4" t="str">
        <f>IFERROR(__xludf.DUMMYFUNCTION("""COMPUTED_VALUE"""),"Anota Ai Solucoes Digitais S/a")</f>
        <v>Anota Ai Solucoes Digitais S/a</v>
      </c>
      <c r="X6355" s="33">
        <f>IFERROR(__xludf.DUMMYFUNCTION("""COMPUTED_VALUE"""),0.5)</f>
        <v>0.5</v>
      </c>
    </row>
    <row r="6356">
      <c r="K6356" s="4" t="str">
        <f>IFERROR(__xludf.DUMMYFUNCTION("""COMPUTED_VALUE"""),"NOVO SABOR HAMBURGUERIA SANTA TEREZA")</f>
        <v>NOVO SABOR HAMBURGUERIA SANTA TEREZA</v>
      </c>
      <c r="L6356" s="32">
        <f>IFERROR(__xludf.DUMMYFUNCTION("""COMPUTED_VALUE"""),2.0)</f>
        <v>2</v>
      </c>
      <c r="M6356" s="4" t="str">
        <f>IFERROR(__xludf.DUMMYFUNCTION("""COMPUTED_VALUE"""),"null")</f>
        <v>null</v>
      </c>
      <c r="N6356" s="33">
        <f>IFERROR(__xludf.DUMMYFUNCTION("""COMPUTED_VALUE"""),1.0)</f>
        <v>1</v>
      </c>
      <c r="O6356" s="4" t="str">
        <f>IFERROR(__xludf.DUMMYFUNCTION("""COMPUTED_VALUE"""),"null")</f>
        <v>null</v>
      </c>
      <c r="P6356" s="33">
        <f>IFERROR(__xludf.DUMMYFUNCTION("""COMPUTED_VALUE"""),0.5)</f>
        <v>0.5</v>
      </c>
      <c r="Q6356" s="4" t="str">
        <f>IFERROR(__xludf.DUMMYFUNCTION("""COMPUTED_VALUE"""),"null")</f>
        <v>null</v>
      </c>
      <c r="R6356" s="33">
        <f>IFERROR(__xludf.DUMMYFUNCTION("""COMPUTED_VALUE"""),0.5)</f>
        <v>0.5</v>
      </c>
      <c r="S6356" s="4" t="str">
        <f>IFERROR(__xludf.DUMMYFUNCTION("""COMPUTED_VALUE"""),"null")</f>
        <v>null</v>
      </c>
      <c r="T6356" s="33">
        <f>IFERROR(__xludf.DUMMYFUNCTION("""COMPUTED_VALUE"""),0.5)</f>
        <v>0.5</v>
      </c>
      <c r="U6356" s="4" t="str">
        <f>IFERROR(__xludf.DUMMYFUNCTION("""COMPUTED_VALUE"""),"One Solucoes")</f>
        <v>One Solucoes</v>
      </c>
      <c r="V6356" s="33">
        <f>IFERROR(__xludf.DUMMYFUNCTION("""COMPUTED_VALUE"""),1.0)</f>
        <v>1</v>
      </c>
      <c r="W6356" s="4" t="str">
        <f>IFERROR(__xludf.DUMMYFUNCTION("""COMPUTED_VALUE"""),"One Solucoes")</f>
        <v>One Solucoes</v>
      </c>
      <c r="X6356" s="33">
        <f>IFERROR(__xludf.DUMMYFUNCTION("""COMPUTED_VALUE"""),0.5)</f>
        <v>0.5</v>
      </c>
    </row>
    <row r="6357">
      <c r="K6357" s="4" t="str">
        <f>IFERROR(__xludf.DUMMYFUNCTION("""COMPUTED_VALUE"""),"O PORTUGUES")</f>
        <v>O PORTUGUES</v>
      </c>
      <c r="L6357" s="32">
        <f>IFERROR(__xludf.DUMMYFUNCTION("""COMPUTED_VALUE"""),2.0)</f>
        <v>2</v>
      </c>
      <c r="M6357" s="4" t="str">
        <f>IFERROR(__xludf.DUMMYFUNCTION("""COMPUTED_VALUE"""),"Winfood")</f>
        <v>Winfood</v>
      </c>
      <c r="N6357" s="33">
        <f>IFERROR(__xludf.DUMMYFUNCTION("""COMPUTED_VALUE"""),0.5)</f>
        <v>0.5</v>
      </c>
      <c r="O6357" s="4" t="str">
        <f>IFERROR(__xludf.DUMMYFUNCTION("""COMPUTED_VALUE"""),"Winfood")</f>
        <v>Winfood</v>
      </c>
      <c r="P6357" s="33">
        <f>IFERROR(__xludf.DUMMYFUNCTION("""COMPUTED_VALUE"""),0.5)</f>
        <v>0.5</v>
      </c>
      <c r="Q6357" s="4" t="str">
        <f>IFERROR(__xludf.DUMMYFUNCTION("""COMPUTED_VALUE"""),"Winfood")</f>
        <v>Winfood</v>
      </c>
      <c r="R6357" s="33">
        <f>IFERROR(__xludf.DUMMYFUNCTION("""COMPUTED_VALUE"""),0.5)</f>
        <v>0.5</v>
      </c>
      <c r="S6357" s="4" t="str">
        <f>IFERROR(__xludf.DUMMYFUNCTION("""COMPUTED_VALUE"""),"Winfood")</f>
        <v>Winfood</v>
      </c>
      <c r="T6357" s="33">
        <f>IFERROR(__xludf.DUMMYFUNCTION("""COMPUTED_VALUE"""),0.5)</f>
        <v>0.5</v>
      </c>
      <c r="U6357" s="4" t="str">
        <f>IFERROR(__xludf.DUMMYFUNCTION("""COMPUTED_VALUE"""),"Winfood")</f>
        <v>Winfood</v>
      </c>
      <c r="V6357" s="33">
        <f>IFERROR(__xludf.DUMMYFUNCTION("""COMPUTED_VALUE"""),0.5)</f>
        <v>0.5</v>
      </c>
      <c r="W6357" s="4" t="str">
        <f>IFERROR(__xludf.DUMMYFUNCTION("""COMPUTED_VALUE"""),"Winfood")</f>
        <v>Winfood</v>
      </c>
      <c r="X6357" s="33">
        <f>IFERROR(__xludf.DUMMYFUNCTION("""COMPUTED_VALUE"""),0.5)</f>
        <v>0.5</v>
      </c>
    </row>
    <row r="6358">
      <c r="K6358" s="4" t="str">
        <f>IFERROR(__xludf.DUMMYFUNCTION("""COMPUTED_VALUE"""),"MATTEUS BURGER")</f>
        <v>MATTEUS BURGER</v>
      </c>
      <c r="L6358" s="32">
        <f>IFERROR(__xludf.DUMMYFUNCTION("""COMPUTED_VALUE"""),2.0)</f>
        <v>2</v>
      </c>
      <c r="M6358" s="4" t="str">
        <f>IFERROR(__xludf.DUMMYFUNCTION("""COMPUTED_VALUE"""),"Yooga")</f>
        <v>Yooga</v>
      </c>
      <c r="N6358" s="33">
        <f>IFERROR(__xludf.DUMMYFUNCTION("""COMPUTED_VALUE"""),0.5)</f>
        <v>0.5</v>
      </c>
      <c r="O6358" s="4" t="str">
        <f>IFERROR(__xludf.DUMMYFUNCTION("""COMPUTED_VALUE"""),"Yooga")</f>
        <v>Yooga</v>
      </c>
      <c r="P6358" s="33">
        <f>IFERROR(__xludf.DUMMYFUNCTION("""COMPUTED_VALUE"""),0.5)</f>
        <v>0.5</v>
      </c>
      <c r="Q6358" s="4" t="str">
        <f>IFERROR(__xludf.DUMMYFUNCTION("""COMPUTED_VALUE"""),"Yooga")</f>
        <v>Yooga</v>
      </c>
      <c r="R6358" s="33">
        <f>IFERROR(__xludf.DUMMYFUNCTION("""COMPUTED_VALUE"""),0.5)</f>
        <v>0.5</v>
      </c>
      <c r="S6358" s="4" t="str">
        <f>IFERROR(__xludf.DUMMYFUNCTION("""COMPUTED_VALUE"""),"Yooga")</f>
        <v>Yooga</v>
      </c>
      <c r="T6358" s="33">
        <f>IFERROR(__xludf.DUMMYFUNCTION("""COMPUTED_VALUE"""),0.5)</f>
        <v>0.5</v>
      </c>
      <c r="U6358" s="4" t="str">
        <f>IFERROR(__xludf.DUMMYFUNCTION("""COMPUTED_VALUE"""),"Yooga")</f>
        <v>Yooga</v>
      </c>
      <c r="V6358" s="33">
        <f>IFERROR(__xludf.DUMMYFUNCTION("""COMPUTED_VALUE"""),1.0)</f>
        <v>1</v>
      </c>
      <c r="W6358" s="4" t="str">
        <f>IFERROR(__xludf.DUMMYFUNCTION("""COMPUTED_VALUE"""),"null")</f>
        <v>null</v>
      </c>
      <c r="X6358" s="33">
        <f>IFERROR(__xludf.DUMMYFUNCTION("""COMPUTED_VALUE"""),0.5)</f>
        <v>0.5</v>
      </c>
    </row>
    <row r="6359">
      <c r="K6359" s="4" t="str">
        <f>IFERROR(__xludf.DUMMYFUNCTION("""COMPUTED_VALUE"""),"MOCHILEIROS CASUAL RESTAURANT")</f>
        <v>MOCHILEIROS CASUAL RESTAURANT</v>
      </c>
      <c r="L6359" s="32">
        <f>IFERROR(__xludf.DUMMYFUNCTION("""COMPUTED_VALUE"""),2.0)</f>
        <v>2</v>
      </c>
      <c r="M6359" s="4" t="str">
        <f>IFERROR(__xludf.DUMMYFUNCTION("""COMPUTED_VALUE"""),"null")</f>
        <v>null</v>
      </c>
      <c r="N6359" s="33">
        <f>IFERROR(__xludf.DUMMYFUNCTION("""COMPUTED_VALUE"""),0.5)</f>
        <v>0.5</v>
      </c>
      <c r="O6359" s="4" t="str">
        <f>IFERROR(__xludf.DUMMYFUNCTION("""COMPUTED_VALUE"""),"null")</f>
        <v>null</v>
      </c>
      <c r="P6359" s="33">
        <f>IFERROR(__xludf.DUMMYFUNCTION("""COMPUTED_VALUE"""),1.0)</f>
        <v>1</v>
      </c>
      <c r="Q6359" s="4" t="str">
        <f>IFERROR(__xludf.DUMMYFUNCTION("""COMPUTED_VALUE"""),"Totvs Large Enterprise Tecnologia S.a.")</f>
        <v>Totvs Large Enterprise Tecnologia S.a.</v>
      </c>
      <c r="R6359" s="33">
        <f>IFERROR(__xludf.DUMMYFUNCTION("""COMPUTED_VALUE"""),1.0)</f>
        <v>1</v>
      </c>
      <c r="S6359" s="4" t="str">
        <f>IFERROR(__xludf.DUMMYFUNCTION("""COMPUTED_VALUE"""),"Totvs Large Enterprise Tecnologia S.a.")</f>
        <v>Totvs Large Enterprise Tecnologia S.a.</v>
      </c>
      <c r="T6359" s="33">
        <f>IFERROR(__xludf.DUMMYFUNCTION("""COMPUTED_VALUE"""),0.5)</f>
        <v>0.5</v>
      </c>
      <c r="U6359" s="4" t="str">
        <f>IFERROR(__xludf.DUMMYFUNCTION("""COMPUTED_VALUE"""),"Totvs Large Enterprise Tecnologia S.a.")</f>
        <v>Totvs Large Enterprise Tecnologia S.a.</v>
      </c>
      <c r="V6359" s="33">
        <f>IFERROR(__xludf.DUMMYFUNCTION("""COMPUTED_VALUE"""),1.0)</f>
        <v>1</v>
      </c>
      <c r="W6359" s="4" t="str">
        <f>IFERROR(__xludf.DUMMYFUNCTION("""COMPUTED_VALUE"""),"Totvs Large Enterprise Tecnologia S.a.")</f>
        <v>Totvs Large Enterprise Tecnologia S.a.</v>
      </c>
      <c r="X6359" s="33">
        <f>IFERROR(__xludf.DUMMYFUNCTION("""COMPUTED_VALUE"""),1.0)</f>
        <v>1</v>
      </c>
    </row>
    <row r="6360">
      <c r="K6360" s="4" t="str">
        <f>IFERROR(__xludf.DUMMYFUNCTION("""COMPUTED_VALUE"""),"LEAL BURGUER")</f>
        <v>LEAL BURGUER</v>
      </c>
      <c r="L6360" s="32">
        <f>IFERROR(__xludf.DUMMYFUNCTION("""COMPUTED_VALUE"""),2.0)</f>
        <v>2</v>
      </c>
      <c r="M6360" s="4" t="str">
        <f>IFERROR(__xludf.DUMMYFUNCTION("""COMPUTED_VALUE"""),"Anota Ai Solucoes Digitais S/a")</f>
        <v>Anota Ai Solucoes Digitais S/a</v>
      </c>
      <c r="N6360" s="33">
        <f>IFERROR(__xludf.DUMMYFUNCTION("""COMPUTED_VALUE"""),0.5)</f>
        <v>0.5</v>
      </c>
      <c r="O6360" s="4" t="str">
        <f>IFERROR(__xludf.DUMMYFUNCTION("""COMPUTED_VALUE"""),"Anota Ai Solucoes Digitais S/a")</f>
        <v>Anota Ai Solucoes Digitais S/a</v>
      </c>
      <c r="P6360" s="33">
        <f>IFERROR(__xludf.DUMMYFUNCTION("""COMPUTED_VALUE"""),0.5)</f>
        <v>0.5</v>
      </c>
      <c r="Q6360" s="4" t="str">
        <f>IFERROR(__xludf.DUMMYFUNCTION("""COMPUTED_VALUE"""),"Anota Ai Solucoes Digitais S/a")</f>
        <v>Anota Ai Solucoes Digitais S/a</v>
      </c>
      <c r="R6360" s="33">
        <f>IFERROR(__xludf.DUMMYFUNCTION("""COMPUTED_VALUE"""),0.5)</f>
        <v>0.5</v>
      </c>
      <c r="S6360" s="4" t="str">
        <f>IFERROR(__xludf.DUMMYFUNCTION("""COMPUTED_VALUE"""),"Anota Ai Solucoes Digitais S/a")</f>
        <v>Anota Ai Solucoes Digitais S/a</v>
      </c>
      <c r="T6360" s="33">
        <f>IFERROR(__xludf.DUMMYFUNCTION("""COMPUTED_VALUE"""),1.0)</f>
        <v>1</v>
      </c>
      <c r="U6360" s="4" t="str">
        <f>IFERROR(__xludf.DUMMYFUNCTION("""COMPUTED_VALUE"""),"Anota Ai Solucoes Digitais S/a")</f>
        <v>Anota Ai Solucoes Digitais S/a</v>
      </c>
      <c r="V6360" s="33">
        <f>IFERROR(__xludf.DUMMYFUNCTION("""COMPUTED_VALUE"""),1.0)</f>
        <v>1</v>
      </c>
      <c r="W6360" s="4" t="str">
        <f>IFERROR(__xludf.DUMMYFUNCTION("""COMPUTED_VALUE"""),"Anota Ai Solucoes Digitais S/a")</f>
        <v>Anota Ai Solucoes Digitais S/a</v>
      </c>
      <c r="X6360" s="33">
        <f>IFERROR(__xludf.DUMMYFUNCTION("""COMPUTED_VALUE"""),0.5)</f>
        <v>0.5</v>
      </c>
    </row>
    <row r="6361">
      <c r="K6361" s="4" t="str">
        <f>IFERROR(__xludf.DUMMYFUNCTION("""COMPUTED_VALUE"""),"HAMBURGUERIA MESTRE DO SABOR")</f>
        <v>HAMBURGUERIA MESTRE DO SABOR</v>
      </c>
      <c r="L6361" s="32">
        <f>IFERROR(__xludf.DUMMYFUNCTION("""COMPUTED_VALUE"""),2.0)</f>
        <v>2</v>
      </c>
      <c r="M6361" s="4" t="str">
        <f>IFERROR(__xludf.DUMMYFUNCTION("""COMPUTED_VALUE"""),"Saipos Serviços De Software")</f>
        <v>Saipos Serviços De Software</v>
      </c>
      <c r="N6361" s="33">
        <f>IFERROR(__xludf.DUMMYFUNCTION("""COMPUTED_VALUE"""),0.5)</f>
        <v>0.5</v>
      </c>
      <c r="O6361" s="4" t="str">
        <f>IFERROR(__xludf.DUMMYFUNCTION("""COMPUTED_VALUE"""),"Saipos Serviços De Software")</f>
        <v>Saipos Serviços De Software</v>
      </c>
      <c r="P6361" s="33">
        <f>IFERROR(__xludf.DUMMYFUNCTION("""COMPUTED_VALUE"""),0.5)</f>
        <v>0.5</v>
      </c>
      <c r="Q6361" s="4" t="str">
        <f>IFERROR(__xludf.DUMMYFUNCTION("""COMPUTED_VALUE"""),"Saipos Serviços De Software")</f>
        <v>Saipos Serviços De Software</v>
      </c>
      <c r="R6361" s="33">
        <f>IFERROR(__xludf.DUMMYFUNCTION("""COMPUTED_VALUE"""),0.5)</f>
        <v>0.5</v>
      </c>
      <c r="S6361" s="4" t="str">
        <f>IFERROR(__xludf.DUMMYFUNCTION("""COMPUTED_VALUE"""),"Saipos Serviços De Software")</f>
        <v>Saipos Serviços De Software</v>
      </c>
      <c r="T6361" s="33">
        <f>IFERROR(__xludf.DUMMYFUNCTION("""COMPUTED_VALUE"""),0.5)</f>
        <v>0.5</v>
      </c>
      <c r="U6361" s="4" t="str">
        <f>IFERROR(__xludf.DUMMYFUNCTION("""COMPUTED_VALUE"""),"null")</f>
        <v>null</v>
      </c>
      <c r="V6361" s="33">
        <f>IFERROR(__xludf.DUMMYFUNCTION("""COMPUTED_VALUE"""),0.5)</f>
        <v>0.5</v>
      </c>
      <c r="W6361" s="4" t="str">
        <f>IFERROR(__xludf.DUMMYFUNCTION("""COMPUTED_VALUE"""),"Saipos Serviços De Software")</f>
        <v>Saipos Serviços De Software</v>
      </c>
      <c r="X6361" s="33">
        <f>IFERROR(__xludf.DUMMYFUNCTION("""COMPUTED_VALUE"""),0.5)</f>
        <v>0.5</v>
      </c>
    </row>
    <row r="6362">
      <c r="K6362" s="4" t="str">
        <f>IFERROR(__xludf.DUMMYFUNCTION("""COMPUTED_VALUE"""),"MILANO PIZZARIA")</f>
        <v>MILANO PIZZARIA</v>
      </c>
      <c r="L6362" s="32">
        <f>IFERROR(__xludf.DUMMYFUNCTION("""COMPUTED_VALUE"""),2.0)</f>
        <v>2</v>
      </c>
      <c r="M6362" s="4" t="str">
        <f>IFERROR(__xludf.DUMMYFUNCTION("""COMPUTED_VALUE"""),"Saipos Serviços De Software")</f>
        <v>Saipos Serviços De Software</v>
      </c>
      <c r="N6362" s="33">
        <f>IFERROR(__xludf.DUMMYFUNCTION("""COMPUTED_VALUE"""),0.5)</f>
        <v>0.5</v>
      </c>
      <c r="O6362" s="4" t="str">
        <f>IFERROR(__xludf.DUMMYFUNCTION("""COMPUTED_VALUE"""),"Saipos Serviços De Software")</f>
        <v>Saipos Serviços De Software</v>
      </c>
      <c r="P6362" s="33">
        <f>IFERROR(__xludf.DUMMYFUNCTION("""COMPUTED_VALUE"""),0.5)</f>
        <v>0.5</v>
      </c>
      <c r="Q6362" s="4" t="str">
        <f>IFERROR(__xludf.DUMMYFUNCTION("""COMPUTED_VALUE"""),"Saipos Serviços De Software")</f>
        <v>Saipos Serviços De Software</v>
      </c>
      <c r="R6362" s="33">
        <f>IFERROR(__xludf.DUMMYFUNCTION("""COMPUTED_VALUE"""),0.5)</f>
        <v>0.5</v>
      </c>
      <c r="S6362" s="4" t="str">
        <f>IFERROR(__xludf.DUMMYFUNCTION("""COMPUTED_VALUE"""),"Saipos Serviços De Software")</f>
        <v>Saipos Serviços De Software</v>
      </c>
      <c r="T6362" s="33">
        <f>IFERROR(__xludf.DUMMYFUNCTION("""COMPUTED_VALUE"""),0.5)</f>
        <v>0.5</v>
      </c>
      <c r="U6362" s="4" t="str">
        <f>IFERROR(__xludf.DUMMYFUNCTION("""COMPUTED_VALUE"""),"Saipos Serviços De Software")</f>
        <v>Saipos Serviços De Software</v>
      </c>
      <c r="V6362" s="33">
        <f>IFERROR(__xludf.DUMMYFUNCTION("""COMPUTED_VALUE"""),0.5)</f>
        <v>0.5</v>
      </c>
      <c r="W6362" s="4" t="str">
        <f>IFERROR(__xludf.DUMMYFUNCTION("""COMPUTED_VALUE"""),"Saipos Serviços De Software")</f>
        <v>Saipos Serviços De Software</v>
      </c>
      <c r="X6362" s="33">
        <f>IFERROR(__xludf.DUMMYFUNCTION("""COMPUTED_VALUE"""),0.5)</f>
        <v>0.5</v>
      </c>
    </row>
    <row r="6363">
      <c r="K6363" s="4" t="str">
        <f>IFERROR(__xludf.DUMMYFUNCTION("""COMPUTED_VALUE"""),"DROGARIA POUPAQUI")</f>
        <v>DROGARIA POUPAQUI</v>
      </c>
      <c r="L6363" s="32">
        <f>IFERROR(__xludf.DUMMYFUNCTION("""COMPUTED_VALUE"""),2.0)</f>
        <v>2</v>
      </c>
      <c r="M6363" s="4" t="str">
        <f>IFERROR(__xludf.DUMMYFUNCTION("""COMPUTED_VALUE"""),"N/A (Not found)")</f>
        <v>N/A (Not found)</v>
      </c>
      <c r="N6363" s="33">
        <f>IFERROR(__xludf.DUMMYFUNCTION("""COMPUTED_VALUE"""),1.0)</f>
        <v>1</v>
      </c>
      <c r="O6363" s="4" t="str">
        <f>IFERROR(__xludf.DUMMYFUNCTION("""COMPUTED_VALUE"""),"N/A (Not found)")</f>
        <v>N/A (Not found)</v>
      </c>
      <c r="P6363" s="33">
        <f>IFERROR(__xludf.DUMMYFUNCTION("""COMPUTED_VALUE"""),1.0)</f>
        <v>1</v>
      </c>
      <c r="Q6363" s="4" t="str">
        <f>IFERROR(__xludf.DUMMYFUNCTION("""COMPUTED_VALUE"""),"N/A (Not found)")</f>
        <v>N/A (Not found)</v>
      </c>
      <c r="R6363" s="33">
        <f>IFERROR(__xludf.DUMMYFUNCTION("""COMPUTED_VALUE"""),1.0)</f>
        <v>1</v>
      </c>
      <c r="S6363" s="4" t="str">
        <f>IFERROR(__xludf.DUMMYFUNCTION("""COMPUTED_VALUE"""),"N/A (Not found)")</f>
        <v>N/A (Not found)</v>
      </c>
      <c r="T6363" s="33">
        <f>IFERROR(__xludf.DUMMYFUNCTION("""COMPUTED_VALUE"""),1.0)</f>
        <v>1</v>
      </c>
      <c r="U6363" s="4" t="str">
        <f>IFERROR(__xludf.DUMMYFUNCTION("""COMPUTED_VALUE"""),"N/A (Not found)")</f>
        <v>N/A (Not found)</v>
      </c>
      <c r="V6363" s="33">
        <f>IFERROR(__xludf.DUMMYFUNCTION("""COMPUTED_VALUE"""),1.0)</f>
        <v>1</v>
      </c>
      <c r="W6363" s="4" t="str">
        <f>IFERROR(__xludf.DUMMYFUNCTION("""COMPUTED_VALUE"""),"N/A (Not found)")</f>
        <v>N/A (Not found)</v>
      </c>
      <c r="X6363" s="33">
        <f>IFERROR(__xludf.DUMMYFUNCTION("""COMPUTED_VALUE"""),1.0)</f>
        <v>1</v>
      </c>
    </row>
    <row r="6364">
      <c r="K6364" s="4" t="str">
        <f>IFERROR(__xludf.DUMMYFUNCTION("""COMPUTED_VALUE"""),"PIZZARIA SABOR DO SUL")</f>
        <v>PIZZARIA SABOR DO SUL</v>
      </c>
      <c r="L6364" s="32">
        <f>IFERROR(__xludf.DUMMYFUNCTION("""COMPUTED_VALUE"""),2.0)</f>
        <v>2</v>
      </c>
      <c r="M6364" s="4" t="str">
        <f>IFERROR(__xludf.DUMMYFUNCTION("""COMPUTED_VALUE"""),"Promidia Informatica Ltda")</f>
        <v>Promidia Informatica Ltda</v>
      </c>
      <c r="N6364" s="33">
        <f>IFERROR(__xludf.DUMMYFUNCTION("""COMPUTED_VALUE"""),0.5)</f>
        <v>0.5</v>
      </c>
      <c r="O6364" s="4" t="str">
        <f>IFERROR(__xludf.DUMMYFUNCTION("""COMPUTED_VALUE"""),"Promidia Informatica Ltda")</f>
        <v>Promidia Informatica Ltda</v>
      </c>
      <c r="P6364" s="33">
        <f>IFERROR(__xludf.DUMMYFUNCTION("""COMPUTED_VALUE"""),0.5)</f>
        <v>0.5</v>
      </c>
      <c r="Q6364" s="4" t="str">
        <f>IFERROR(__xludf.DUMMYFUNCTION("""COMPUTED_VALUE"""),"Promidia Informatica Ltda")</f>
        <v>Promidia Informatica Ltda</v>
      </c>
      <c r="R6364" s="33">
        <f>IFERROR(__xludf.DUMMYFUNCTION("""COMPUTED_VALUE"""),0.5)</f>
        <v>0.5</v>
      </c>
      <c r="S6364" s="4" t="str">
        <f>IFERROR(__xludf.DUMMYFUNCTION("""COMPUTED_VALUE"""),"Promidia Informatica Ltda")</f>
        <v>Promidia Informatica Ltda</v>
      </c>
      <c r="T6364" s="33">
        <f>IFERROR(__xludf.DUMMYFUNCTION("""COMPUTED_VALUE"""),0.5)</f>
        <v>0.5</v>
      </c>
      <c r="U6364" s="4" t="str">
        <f>IFERROR(__xludf.DUMMYFUNCTION("""COMPUTED_VALUE"""),"Promidia Informatica Ltda")</f>
        <v>Promidia Informatica Ltda</v>
      </c>
      <c r="V6364" s="33">
        <f>IFERROR(__xludf.DUMMYFUNCTION("""COMPUTED_VALUE"""),0.5)</f>
        <v>0.5</v>
      </c>
      <c r="W6364" s="4" t="str">
        <f>IFERROR(__xludf.DUMMYFUNCTION("""COMPUTED_VALUE"""),"Promidia Informatica Ltda")</f>
        <v>Promidia Informatica Ltda</v>
      </c>
      <c r="X6364" s="33">
        <f>IFERROR(__xludf.DUMMYFUNCTION("""COMPUTED_VALUE"""),0.5)</f>
        <v>0.5</v>
      </c>
    </row>
    <row r="6365">
      <c r="K6365" s="4" t="str">
        <f>IFERROR(__xludf.DUMMYFUNCTION("""COMPUTED_VALUE"""),"SIMPLES SALGADOS")</f>
        <v>SIMPLES SALGADOS</v>
      </c>
      <c r="L6365" s="32">
        <f>IFERROR(__xludf.DUMMYFUNCTION("""COMPUTED_VALUE"""),2.0)</f>
        <v>2</v>
      </c>
      <c r="M6365" s="4" t="str">
        <f>IFERROR(__xludf.DUMMYFUNCTION("""COMPUTED_VALUE"""),"Yooga")</f>
        <v>Yooga</v>
      </c>
      <c r="N6365" s="33">
        <f>IFERROR(__xludf.DUMMYFUNCTION("""COMPUTED_VALUE"""),1.0)</f>
        <v>1</v>
      </c>
      <c r="O6365" s="4" t="str">
        <f>IFERROR(__xludf.DUMMYFUNCTION("""COMPUTED_VALUE"""),"Yooga")</f>
        <v>Yooga</v>
      </c>
      <c r="P6365" s="33">
        <f>IFERROR(__xludf.DUMMYFUNCTION("""COMPUTED_VALUE"""),1.0)</f>
        <v>1</v>
      </c>
      <c r="Q6365" s="4" t="str">
        <f>IFERROR(__xludf.DUMMYFUNCTION("""COMPUTED_VALUE"""),"null")</f>
        <v>null</v>
      </c>
      <c r="R6365" s="33">
        <f>IFERROR(__xludf.DUMMYFUNCTION("""COMPUTED_VALUE"""),0.5)</f>
        <v>0.5</v>
      </c>
      <c r="S6365" s="4" t="str">
        <f>IFERROR(__xludf.DUMMYFUNCTION("""COMPUTED_VALUE"""),"null")</f>
        <v>null</v>
      </c>
      <c r="T6365" s="33">
        <f>IFERROR(__xludf.DUMMYFUNCTION("""COMPUTED_VALUE"""),0.5)</f>
        <v>0.5</v>
      </c>
      <c r="U6365" s="4" t="str">
        <f>IFERROR(__xludf.DUMMYFUNCTION("""COMPUTED_VALUE"""),"null")</f>
        <v>null</v>
      </c>
      <c r="V6365" s="33">
        <f>IFERROR(__xludf.DUMMYFUNCTION("""COMPUTED_VALUE"""),0.5)</f>
        <v>0.5</v>
      </c>
      <c r="W6365" s="4" t="str">
        <f>IFERROR(__xludf.DUMMYFUNCTION("""COMPUTED_VALUE"""),"null")</f>
        <v>null</v>
      </c>
      <c r="X6365" s="33">
        <f>IFERROR(__xludf.DUMMYFUNCTION("""COMPUTED_VALUE"""),0.5)</f>
        <v>0.5</v>
      </c>
    </row>
    <row r="6366">
      <c r="K6366" s="4" t="str">
        <f>IFERROR(__xludf.DUMMYFUNCTION("""COMPUTED_VALUE"""),"PIZZARIA NOGUEIRA")</f>
        <v>PIZZARIA NOGUEIRA</v>
      </c>
      <c r="L6366" s="32">
        <f>IFERROR(__xludf.DUMMYFUNCTION("""COMPUTED_VALUE"""),2.0)</f>
        <v>2</v>
      </c>
      <c r="M6366" s="4" t="str">
        <f>IFERROR(__xludf.DUMMYFUNCTION("""COMPUTED_VALUE"""),"Garcom Web")</f>
        <v>Garcom Web</v>
      </c>
      <c r="N6366" s="33">
        <f>IFERROR(__xludf.DUMMYFUNCTION("""COMPUTED_VALUE"""),0.5)</f>
        <v>0.5</v>
      </c>
      <c r="O6366" s="4" t="str">
        <f>IFERROR(__xludf.DUMMYFUNCTION("""COMPUTED_VALUE"""),"Garcom Web")</f>
        <v>Garcom Web</v>
      </c>
      <c r="P6366" s="33">
        <f>IFERROR(__xludf.DUMMYFUNCTION("""COMPUTED_VALUE"""),0.5)</f>
        <v>0.5</v>
      </c>
      <c r="Q6366" s="4" t="str">
        <f>IFERROR(__xludf.DUMMYFUNCTION("""COMPUTED_VALUE"""),"Garcom Web")</f>
        <v>Garcom Web</v>
      </c>
      <c r="R6366" s="33">
        <f>IFERROR(__xludf.DUMMYFUNCTION("""COMPUTED_VALUE"""),0.5)</f>
        <v>0.5</v>
      </c>
      <c r="S6366" s="4" t="str">
        <f>IFERROR(__xludf.DUMMYFUNCTION("""COMPUTED_VALUE"""),"Garcom Web")</f>
        <v>Garcom Web</v>
      </c>
      <c r="T6366" s="33">
        <f>IFERROR(__xludf.DUMMYFUNCTION("""COMPUTED_VALUE"""),0.5)</f>
        <v>0.5</v>
      </c>
      <c r="U6366" s="4" t="str">
        <f>IFERROR(__xludf.DUMMYFUNCTION("""COMPUTED_VALUE"""),"Garcom Web")</f>
        <v>Garcom Web</v>
      </c>
      <c r="V6366" s="33">
        <f>IFERROR(__xludf.DUMMYFUNCTION("""COMPUTED_VALUE"""),0.5)</f>
        <v>0.5</v>
      </c>
      <c r="W6366" s="4" t="str">
        <f>IFERROR(__xludf.DUMMYFUNCTION("""COMPUTED_VALUE"""),"Garcom Web")</f>
        <v>Garcom Web</v>
      </c>
      <c r="X6366" s="33">
        <f>IFERROR(__xludf.DUMMYFUNCTION("""COMPUTED_VALUE"""),0.5)</f>
        <v>0.5</v>
      </c>
    </row>
    <row r="6367">
      <c r="K6367" s="4" t="str">
        <f>IFERROR(__xludf.DUMMYFUNCTION("""COMPUTED_VALUE"""),"KAITO SUSHI")</f>
        <v>KAITO SUSHI</v>
      </c>
      <c r="L6367" s="32">
        <f>IFERROR(__xludf.DUMMYFUNCTION("""COMPUTED_VALUE"""),2.0)</f>
        <v>2</v>
      </c>
      <c r="M6367" s="4" t="str">
        <f>IFERROR(__xludf.DUMMYFUNCTION("""COMPUTED_VALUE"""),"Hubster")</f>
        <v>Hubster</v>
      </c>
      <c r="N6367" s="33">
        <f>IFERROR(__xludf.DUMMYFUNCTION("""COMPUTED_VALUE"""),0.5)</f>
        <v>0.5</v>
      </c>
      <c r="O6367" s="4" t="str">
        <f>IFERROR(__xludf.DUMMYFUNCTION("""COMPUTED_VALUE"""),"Hubster")</f>
        <v>Hubster</v>
      </c>
      <c r="P6367" s="33">
        <f>IFERROR(__xludf.DUMMYFUNCTION("""COMPUTED_VALUE"""),0.5)</f>
        <v>0.5</v>
      </c>
      <c r="Q6367" s="4" t="str">
        <f>IFERROR(__xludf.DUMMYFUNCTION("""COMPUTED_VALUE"""),"Hubster")</f>
        <v>Hubster</v>
      </c>
      <c r="R6367" s="33">
        <f>IFERROR(__xludf.DUMMYFUNCTION("""COMPUTED_VALUE"""),0.5)</f>
        <v>0.5</v>
      </c>
      <c r="S6367" s="4" t="str">
        <f>IFERROR(__xludf.DUMMYFUNCTION("""COMPUTED_VALUE"""),"Hubster")</f>
        <v>Hubster</v>
      </c>
      <c r="T6367" s="33">
        <f>IFERROR(__xludf.DUMMYFUNCTION("""COMPUTED_VALUE"""),0.5)</f>
        <v>0.5</v>
      </c>
      <c r="U6367" s="4" t="str">
        <f>IFERROR(__xludf.DUMMYFUNCTION("""COMPUTED_VALUE"""),"null")</f>
        <v>null</v>
      </c>
      <c r="V6367" s="33">
        <f>IFERROR(__xludf.DUMMYFUNCTION("""COMPUTED_VALUE"""),0.5)</f>
        <v>0.5</v>
      </c>
      <c r="W6367" s="4" t="str">
        <f>IFERROR(__xludf.DUMMYFUNCTION("""COMPUTED_VALUE"""),"Hubster")</f>
        <v>Hubster</v>
      </c>
      <c r="X6367" s="33">
        <f>IFERROR(__xludf.DUMMYFUNCTION("""COMPUTED_VALUE"""),0.5)</f>
        <v>0.5</v>
      </c>
    </row>
    <row r="6368">
      <c r="K6368" s="4" t="str">
        <f>IFERROR(__xludf.DUMMYFUNCTION("""COMPUTED_VALUE"""),"PIZZARIA ARAUJO")</f>
        <v>PIZZARIA ARAUJO</v>
      </c>
      <c r="L6368" s="32">
        <f>IFERROR(__xludf.DUMMYFUNCTION("""COMPUTED_VALUE"""),2.0)</f>
        <v>2</v>
      </c>
      <c r="M6368" s="4" t="str">
        <f>IFERROR(__xludf.DUMMYFUNCTION("""COMPUTED_VALUE"""),"Anota Ai Solucoes Digitais S/a")</f>
        <v>Anota Ai Solucoes Digitais S/a</v>
      </c>
      <c r="N6368" s="33">
        <f>IFERROR(__xludf.DUMMYFUNCTION("""COMPUTED_VALUE"""),0.5)</f>
        <v>0.5</v>
      </c>
      <c r="O6368" s="4" t="str">
        <f>IFERROR(__xludf.DUMMYFUNCTION("""COMPUTED_VALUE"""),"Anota Ai Solucoes Digitais S/a")</f>
        <v>Anota Ai Solucoes Digitais S/a</v>
      </c>
      <c r="P6368" s="33">
        <f>IFERROR(__xludf.DUMMYFUNCTION("""COMPUTED_VALUE"""),0.5)</f>
        <v>0.5</v>
      </c>
      <c r="Q6368" s="4" t="str">
        <f>IFERROR(__xludf.DUMMYFUNCTION("""COMPUTED_VALUE"""),"Anota Ai Solucoes Digitais S/a")</f>
        <v>Anota Ai Solucoes Digitais S/a</v>
      </c>
      <c r="R6368" s="33">
        <f>IFERROR(__xludf.DUMMYFUNCTION("""COMPUTED_VALUE"""),0.5)</f>
        <v>0.5</v>
      </c>
      <c r="S6368" s="4" t="str">
        <f>IFERROR(__xludf.DUMMYFUNCTION("""COMPUTED_VALUE"""),"null")</f>
        <v>null</v>
      </c>
      <c r="T6368" s="33">
        <f>IFERROR(__xludf.DUMMYFUNCTION("""COMPUTED_VALUE"""),1.0)</f>
        <v>1</v>
      </c>
      <c r="U6368" s="4" t="str">
        <f>IFERROR(__xludf.DUMMYFUNCTION("""COMPUTED_VALUE"""),"Anota Ai Solucoes Digitais S/a")</f>
        <v>Anota Ai Solucoes Digitais S/a</v>
      </c>
      <c r="V6368" s="33">
        <f>IFERROR(__xludf.DUMMYFUNCTION("""COMPUTED_VALUE"""),0.5)</f>
        <v>0.5</v>
      </c>
      <c r="W6368" s="4" t="str">
        <f>IFERROR(__xludf.DUMMYFUNCTION("""COMPUTED_VALUE"""),"Anota Ai Solucoes Digitais S/a")</f>
        <v>Anota Ai Solucoes Digitais S/a</v>
      </c>
      <c r="X6368" s="33">
        <f>IFERROR(__xludf.DUMMYFUNCTION("""COMPUTED_VALUE"""),0.5)</f>
        <v>0.5</v>
      </c>
    </row>
    <row r="6369">
      <c r="K6369" s="4" t="str">
        <f>IFERROR(__xludf.DUMMYFUNCTION("""COMPUTED_VALUE"""),"DIVINUS LANCHES")</f>
        <v>DIVINUS LANCHES</v>
      </c>
      <c r="L6369" s="32">
        <f>IFERROR(__xludf.DUMMYFUNCTION("""COMPUTED_VALUE"""),2.0)</f>
        <v>2</v>
      </c>
      <c r="M6369" s="4" t="str">
        <f>IFERROR(__xludf.DUMMYFUNCTION("""COMPUTED_VALUE"""),"Cardápio Web")</f>
        <v>Cardápio Web</v>
      </c>
      <c r="N6369" s="33">
        <f>IFERROR(__xludf.DUMMYFUNCTION("""COMPUTED_VALUE"""),0.5)</f>
        <v>0.5</v>
      </c>
      <c r="O6369" s="4" t="str">
        <f>IFERROR(__xludf.DUMMYFUNCTION("""COMPUTED_VALUE"""),"null")</f>
        <v>null</v>
      </c>
      <c r="P6369" s="33">
        <f>IFERROR(__xludf.DUMMYFUNCTION("""COMPUTED_VALUE"""),0.5)</f>
        <v>0.5</v>
      </c>
      <c r="Q6369" s="4" t="str">
        <f>IFERROR(__xludf.DUMMYFUNCTION("""COMPUTED_VALUE"""),"null")</f>
        <v>null</v>
      </c>
      <c r="R6369" s="33">
        <f>IFERROR(__xludf.DUMMYFUNCTION("""COMPUTED_VALUE"""),0.5)</f>
        <v>0.5</v>
      </c>
      <c r="S6369" s="4" t="str">
        <f>IFERROR(__xludf.DUMMYFUNCTION("""COMPUTED_VALUE"""),"Cardápio Web")</f>
        <v>Cardápio Web</v>
      </c>
      <c r="T6369" s="33">
        <f>IFERROR(__xludf.DUMMYFUNCTION("""COMPUTED_VALUE"""),0.5)</f>
        <v>0.5</v>
      </c>
      <c r="U6369" s="4" t="str">
        <f>IFERROR(__xludf.DUMMYFUNCTION("""COMPUTED_VALUE"""),"Cardápio Web")</f>
        <v>Cardápio Web</v>
      </c>
      <c r="V6369" s="33">
        <f>IFERROR(__xludf.DUMMYFUNCTION("""COMPUTED_VALUE"""),0.5)</f>
        <v>0.5</v>
      </c>
      <c r="W6369" s="4" t="str">
        <f>IFERROR(__xludf.DUMMYFUNCTION("""COMPUTED_VALUE"""),"Cardápio Web")</f>
        <v>Cardápio Web</v>
      </c>
      <c r="X6369" s="33">
        <f>IFERROR(__xludf.DUMMYFUNCTION("""COMPUTED_VALUE"""),0.5)</f>
        <v>0.5</v>
      </c>
    </row>
    <row r="6370">
      <c r="K6370" s="4" t="str">
        <f>IFERROR(__xludf.DUMMYFUNCTION("""COMPUTED_VALUE"""),"HAMBURGUERIA ARTESANAL")</f>
        <v>HAMBURGUERIA ARTESANAL</v>
      </c>
      <c r="L6370" s="32">
        <f>IFERROR(__xludf.DUMMYFUNCTION("""COMPUTED_VALUE"""),2.0)</f>
        <v>2</v>
      </c>
      <c r="M6370" s="4" t="str">
        <f>IFERROR(__xludf.DUMMYFUNCTION("""COMPUTED_VALUE"""),"Suitable Tecnologia E Gestao")</f>
        <v>Suitable Tecnologia E Gestao</v>
      </c>
      <c r="N6370" s="33">
        <f>IFERROR(__xludf.DUMMYFUNCTION("""COMPUTED_VALUE"""),1.0)</f>
        <v>1</v>
      </c>
      <c r="O6370" s="4" t="str">
        <f>IFERROR(__xludf.DUMMYFUNCTION("""COMPUTED_VALUE"""),"Suitable Tecnologia E Gestao")</f>
        <v>Suitable Tecnologia E Gestao</v>
      </c>
      <c r="P6370" s="33">
        <f>IFERROR(__xludf.DUMMYFUNCTION("""COMPUTED_VALUE"""),1.0)</f>
        <v>1</v>
      </c>
      <c r="Q6370" s="4" t="str">
        <f>IFERROR(__xludf.DUMMYFUNCTION("""COMPUTED_VALUE"""),"null")</f>
        <v>null</v>
      </c>
      <c r="R6370" s="33">
        <f>IFERROR(__xludf.DUMMYFUNCTION("""COMPUTED_VALUE"""),1.0)</f>
        <v>1</v>
      </c>
      <c r="S6370" s="4" t="str">
        <f>IFERROR(__xludf.DUMMYFUNCTION("""COMPUTED_VALUE"""),"null")</f>
        <v>null</v>
      </c>
      <c r="T6370" s="33">
        <f>IFERROR(__xludf.DUMMYFUNCTION("""COMPUTED_VALUE"""),1.0)</f>
        <v>1</v>
      </c>
      <c r="U6370" s="4" t="str">
        <f>IFERROR(__xludf.DUMMYFUNCTION("""COMPUTED_VALUE"""),"null")</f>
        <v>null</v>
      </c>
      <c r="V6370" s="33">
        <f>IFERROR(__xludf.DUMMYFUNCTION("""COMPUTED_VALUE"""),1.0)</f>
        <v>1</v>
      </c>
      <c r="W6370" s="4" t="str">
        <f>IFERROR(__xludf.DUMMYFUNCTION("""COMPUTED_VALUE"""),"Suitable Tecnologia E Gestao")</f>
        <v>Suitable Tecnologia E Gestao</v>
      </c>
      <c r="X6370" s="33">
        <f>IFERROR(__xludf.DUMMYFUNCTION("""COMPUTED_VALUE"""),0.5)</f>
        <v>0.5</v>
      </c>
    </row>
    <row r="6371">
      <c r="K6371" s="4" t="str">
        <f>IFERROR(__xludf.DUMMYFUNCTION("""COMPUTED_VALUE"""),"PIZZARIA BAMBINOS")</f>
        <v>PIZZARIA BAMBINOS</v>
      </c>
      <c r="L6371" s="32">
        <f>IFERROR(__xludf.DUMMYFUNCTION("""COMPUTED_VALUE"""),2.0)</f>
        <v>2</v>
      </c>
      <c r="M6371" s="4" t="str">
        <f>IFERROR(__xludf.DUMMYFUNCTION("""COMPUTED_VALUE"""),"null")</f>
        <v>null</v>
      </c>
      <c r="N6371" s="33">
        <f>IFERROR(__xludf.DUMMYFUNCTION("""COMPUTED_VALUE"""),1.0)</f>
        <v>1</v>
      </c>
      <c r="O6371" s="4" t="str">
        <f>IFERROR(__xludf.DUMMYFUNCTION("""COMPUTED_VALUE"""),"Anota Ai Solucoes Digitais S/a")</f>
        <v>Anota Ai Solucoes Digitais S/a</v>
      </c>
      <c r="P6371" s="33">
        <f>IFERROR(__xludf.DUMMYFUNCTION("""COMPUTED_VALUE"""),0.5)</f>
        <v>0.5</v>
      </c>
      <c r="Q6371" s="4" t="str">
        <f>IFERROR(__xludf.DUMMYFUNCTION("""COMPUTED_VALUE"""),"null")</f>
        <v>null</v>
      </c>
      <c r="R6371" s="33">
        <f>IFERROR(__xludf.DUMMYFUNCTION("""COMPUTED_VALUE"""),1.0)</f>
        <v>1</v>
      </c>
      <c r="S6371" s="4" t="str">
        <f>IFERROR(__xludf.DUMMYFUNCTION("""COMPUTED_VALUE"""),"Anota Ai Solucoes Digitais S/a")</f>
        <v>Anota Ai Solucoes Digitais S/a</v>
      </c>
      <c r="T6371" s="33">
        <f>IFERROR(__xludf.DUMMYFUNCTION("""COMPUTED_VALUE"""),1.0)</f>
        <v>1</v>
      </c>
      <c r="U6371" s="4" t="str">
        <f>IFERROR(__xludf.DUMMYFUNCTION("""COMPUTED_VALUE"""),"Anota Ai Solucoes Digitais S/a")</f>
        <v>Anota Ai Solucoes Digitais S/a</v>
      </c>
      <c r="V6371" s="33">
        <f>IFERROR(__xludf.DUMMYFUNCTION("""COMPUTED_VALUE"""),0.5)</f>
        <v>0.5</v>
      </c>
      <c r="W6371" s="4" t="str">
        <f>IFERROR(__xludf.DUMMYFUNCTION("""COMPUTED_VALUE"""),"null")</f>
        <v>null</v>
      </c>
      <c r="X6371" s="33">
        <f>IFERROR(__xludf.DUMMYFUNCTION("""COMPUTED_VALUE"""),0.5)</f>
        <v>0.5</v>
      </c>
    </row>
    <row r="6372">
      <c r="K6372" s="4" t="str">
        <f>IFERROR(__xludf.DUMMYFUNCTION("""COMPUTED_VALUE"""),"MAX BURGER")</f>
        <v>MAX BURGER</v>
      </c>
      <c r="L6372" s="32">
        <f>IFERROR(__xludf.DUMMYFUNCTION("""COMPUTED_VALUE"""),2.0)</f>
        <v>2</v>
      </c>
      <c r="M6372" s="4" t="str">
        <f>IFERROR(__xludf.DUMMYFUNCTION("""COMPUTED_VALUE"""),"Yooga")</f>
        <v>Yooga</v>
      </c>
      <c r="N6372" s="33">
        <f>IFERROR(__xludf.DUMMYFUNCTION("""COMPUTED_VALUE"""),0.5)</f>
        <v>0.5</v>
      </c>
      <c r="O6372" s="4" t="str">
        <f>IFERROR(__xludf.DUMMYFUNCTION("""COMPUTED_VALUE"""),"Yooga")</f>
        <v>Yooga</v>
      </c>
      <c r="P6372" s="33">
        <f>IFERROR(__xludf.DUMMYFUNCTION("""COMPUTED_VALUE"""),0.5)</f>
        <v>0.5</v>
      </c>
      <c r="Q6372" s="4" t="str">
        <f>IFERROR(__xludf.DUMMYFUNCTION("""COMPUTED_VALUE"""),"Yooga")</f>
        <v>Yooga</v>
      </c>
      <c r="R6372" s="33">
        <f>IFERROR(__xludf.DUMMYFUNCTION("""COMPUTED_VALUE"""),0.5)</f>
        <v>0.5</v>
      </c>
      <c r="S6372" s="4" t="str">
        <f>IFERROR(__xludf.DUMMYFUNCTION("""COMPUTED_VALUE"""),"Yooga")</f>
        <v>Yooga</v>
      </c>
      <c r="T6372" s="33">
        <f>IFERROR(__xludf.DUMMYFUNCTION("""COMPUTED_VALUE"""),0.5)</f>
        <v>0.5</v>
      </c>
      <c r="U6372" s="4" t="str">
        <f>IFERROR(__xludf.DUMMYFUNCTION("""COMPUTED_VALUE"""),"Yooga")</f>
        <v>Yooga</v>
      </c>
      <c r="V6372" s="33">
        <f>IFERROR(__xludf.DUMMYFUNCTION("""COMPUTED_VALUE"""),0.5)</f>
        <v>0.5</v>
      </c>
      <c r="W6372" s="4" t="str">
        <f>IFERROR(__xludf.DUMMYFUNCTION("""COMPUTED_VALUE"""),"Yooga")</f>
        <v>Yooga</v>
      </c>
      <c r="X6372" s="33">
        <f>IFERROR(__xludf.DUMMYFUNCTION("""COMPUTED_VALUE"""),0.5)</f>
        <v>0.5</v>
      </c>
    </row>
    <row r="6373">
      <c r="K6373" s="4" t="str">
        <f>IFERROR(__xludf.DUMMYFUNCTION("""COMPUTED_VALUE"""),"PASTEL DA CASA")</f>
        <v>PASTEL DA CASA</v>
      </c>
      <c r="L6373" s="32">
        <f>IFERROR(__xludf.DUMMYFUNCTION("""COMPUTED_VALUE"""),2.0)</f>
        <v>2</v>
      </c>
      <c r="M6373" s="4" t="str">
        <f>IFERROR(__xludf.DUMMYFUNCTION("""COMPUTED_VALUE"""),"null")</f>
        <v>null</v>
      </c>
      <c r="N6373" s="33">
        <f>IFERROR(__xludf.DUMMYFUNCTION("""COMPUTED_VALUE"""),1.0)</f>
        <v>1</v>
      </c>
      <c r="O6373" s="4" t="str">
        <f>IFERROR(__xludf.DUMMYFUNCTION("""COMPUTED_VALUE"""),"null")</f>
        <v>null</v>
      </c>
      <c r="P6373" s="33">
        <f>IFERROR(__xludf.DUMMYFUNCTION("""COMPUTED_VALUE"""),1.0)</f>
        <v>1</v>
      </c>
      <c r="Q6373" s="4" t="str">
        <f>IFERROR(__xludf.DUMMYFUNCTION("""COMPUTED_VALUE"""),"null")</f>
        <v>null</v>
      </c>
      <c r="R6373" s="33">
        <f>IFERROR(__xludf.DUMMYFUNCTION("""COMPUTED_VALUE"""),1.0)</f>
        <v>1</v>
      </c>
      <c r="S6373" s="4" t="str">
        <f>IFERROR(__xludf.DUMMYFUNCTION("""COMPUTED_VALUE"""),"null")</f>
        <v>null</v>
      </c>
      <c r="T6373" s="33">
        <f>IFERROR(__xludf.DUMMYFUNCTION("""COMPUTED_VALUE"""),1.0)</f>
        <v>1</v>
      </c>
      <c r="U6373" s="4" t="str">
        <f>IFERROR(__xludf.DUMMYFUNCTION("""COMPUTED_VALUE"""),"Agilizup Solucoes Ltda")</f>
        <v>Agilizup Solucoes Ltda</v>
      </c>
      <c r="V6373" s="33">
        <f>IFERROR(__xludf.DUMMYFUNCTION("""COMPUTED_VALUE"""),0.5)</f>
        <v>0.5</v>
      </c>
      <c r="W6373" s="4" t="str">
        <f>IFERROR(__xludf.DUMMYFUNCTION("""COMPUTED_VALUE"""),"null")</f>
        <v>null</v>
      </c>
      <c r="X6373" s="33">
        <f>IFERROR(__xludf.DUMMYFUNCTION("""COMPUTED_VALUE"""),1.0)</f>
        <v>1</v>
      </c>
    </row>
    <row r="6374">
      <c r="K6374" s="4" t="str">
        <f>IFERROR(__xludf.DUMMYFUNCTION("""COMPUTED_VALUE"""),"PET COMPANY")</f>
        <v>PET COMPANY</v>
      </c>
      <c r="L6374" s="32">
        <f>IFERROR(__xludf.DUMMYFUNCTION("""COMPUTED_VALUE"""),2.0)</f>
        <v>2</v>
      </c>
      <c r="M6374" s="4" t="str">
        <f>IFERROR(__xludf.DUMMYFUNCTION("""COMPUTED_VALUE"""),"null")</f>
        <v>null</v>
      </c>
      <c r="N6374" s="33">
        <f>IFERROR(__xludf.DUMMYFUNCTION("""COMPUTED_VALUE"""),1.0)</f>
        <v>1</v>
      </c>
      <c r="O6374" s="4" t="str">
        <f>IFERROR(__xludf.DUMMYFUNCTION("""COMPUTED_VALUE"""),"N/A (Not found)")</f>
        <v>N/A (Not found)</v>
      </c>
      <c r="P6374" s="33">
        <f>IFERROR(__xludf.DUMMYFUNCTION("""COMPUTED_VALUE"""),0.5)</f>
        <v>0.5</v>
      </c>
      <c r="Q6374" s="4" t="str">
        <f>IFERROR(__xludf.DUMMYFUNCTION("""COMPUTED_VALUE"""),"null")</f>
        <v>null</v>
      </c>
      <c r="R6374" s="33">
        <f>IFERROR(__xludf.DUMMYFUNCTION("""COMPUTED_VALUE"""),1.0)</f>
        <v>1</v>
      </c>
      <c r="S6374" s="4" t="str">
        <f>IFERROR(__xludf.DUMMYFUNCTION("""COMPUTED_VALUE"""),"null")</f>
        <v>null</v>
      </c>
      <c r="T6374" s="33">
        <f>IFERROR(__xludf.DUMMYFUNCTION("""COMPUTED_VALUE"""),0.5)</f>
        <v>0.5</v>
      </c>
      <c r="U6374" s="4" t="str">
        <f>IFERROR(__xludf.DUMMYFUNCTION("""COMPUTED_VALUE"""),"null")</f>
        <v>null</v>
      </c>
      <c r="V6374" s="33">
        <f>IFERROR(__xludf.DUMMYFUNCTION("""COMPUTED_VALUE"""),0.5)</f>
        <v>0.5</v>
      </c>
      <c r="W6374" s="4" t="str">
        <f>IFERROR(__xludf.DUMMYFUNCTION("""COMPUTED_VALUE"""),"null")</f>
        <v>null</v>
      </c>
      <c r="X6374" s="33">
        <f>IFERROR(__xludf.DUMMYFUNCTION("""COMPUTED_VALUE"""),0.5)</f>
        <v>0.5</v>
      </c>
    </row>
    <row r="6375">
      <c r="K6375" s="4" t="str">
        <f>IFERROR(__xludf.DUMMYFUNCTION("""COMPUTED_VALUE"""),"PIZZA HOT - PIZZARIA E LANCHES")</f>
        <v>PIZZA HOT - PIZZARIA E LANCHES</v>
      </c>
      <c r="L6375" s="32">
        <f>IFERROR(__xludf.DUMMYFUNCTION("""COMPUTED_VALUE"""),2.0)</f>
        <v>2</v>
      </c>
      <c r="M6375" s="4" t="str">
        <f>IFERROR(__xludf.DUMMYFUNCTION("""COMPUTED_VALUE"""),"null")</f>
        <v>null</v>
      </c>
      <c r="N6375" s="33">
        <f>IFERROR(__xludf.DUMMYFUNCTION("""COMPUTED_VALUE"""),1.0)</f>
        <v>1</v>
      </c>
      <c r="O6375" s="4" t="str">
        <f>IFERROR(__xludf.DUMMYFUNCTION("""COMPUTED_VALUE"""),"null")</f>
        <v>null</v>
      </c>
      <c r="P6375" s="33">
        <f>IFERROR(__xludf.DUMMYFUNCTION("""COMPUTED_VALUE"""),1.0)</f>
        <v>1</v>
      </c>
      <c r="Q6375" s="4" t="str">
        <f>IFERROR(__xludf.DUMMYFUNCTION("""COMPUTED_VALUE"""),"null")</f>
        <v>null</v>
      </c>
      <c r="R6375" s="33">
        <f>IFERROR(__xludf.DUMMYFUNCTION("""COMPUTED_VALUE"""),0.5)</f>
        <v>0.5</v>
      </c>
      <c r="S6375" s="4" t="str">
        <f>IFERROR(__xludf.DUMMYFUNCTION("""COMPUTED_VALUE"""),"null")</f>
        <v>null</v>
      </c>
      <c r="T6375" s="33">
        <f>IFERROR(__xludf.DUMMYFUNCTION("""COMPUTED_VALUE"""),0.5)</f>
        <v>0.5</v>
      </c>
      <c r="U6375" s="4" t="str">
        <f>IFERROR(__xludf.DUMMYFUNCTION("""COMPUTED_VALUE"""),"null")</f>
        <v>null</v>
      </c>
      <c r="V6375" s="33">
        <f>IFERROR(__xludf.DUMMYFUNCTION("""COMPUTED_VALUE"""),0.5)</f>
        <v>0.5</v>
      </c>
      <c r="W6375" s="4" t="str">
        <f>IFERROR(__xludf.DUMMYFUNCTION("""COMPUTED_VALUE"""),"Saipos Serviços De Software")</f>
        <v>Saipos Serviços De Software</v>
      </c>
      <c r="X6375" s="33">
        <f>IFERROR(__xludf.DUMMYFUNCTION("""COMPUTED_VALUE"""),0.5)</f>
        <v>0.5</v>
      </c>
    </row>
    <row r="6376">
      <c r="K6376" s="4" t="str">
        <f>IFERROR(__xludf.DUMMYFUNCTION("""COMPUTED_VALUE"""),"LE CHEFS BISTRO")</f>
        <v>LE CHEFS BISTRO</v>
      </c>
      <c r="L6376" s="32">
        <f>IFERROR(__xludf.DUMMYFUNCTION("""COMPUTED_VALUE"""),2.0)</f>
        <v>2</v>
      </c>
      <c r="M6376" s="4" t="str">
        <f>IFERROR(__xludf.DUMMYFUNCTION("""COMPUTED_VALUE"""),"Saipos Serviços De Software")</f>
        <v>Saipos Serviços De Software</v>
      </c>
      <c r="N6376" s="33">
        <f>IFERROR(__xludf.DUMMYFUNCTION("""COMPUTED_VALUE"""),1.0)</f>
        <v>1</v>
      </c>
      <c r="O6376" s="4" t="str">
        <f>IFERROR(__xludf.DUMMYFUNCTION("""COMPUTED_VALUE"""),"Saipos Serviços De Software")</f>
        <v>Saipos Serviços De Software</v>
      </c>
      <c r="P6376" s="33">
        <f>IFERROR(__xludf.DUMMYFUNCTION("""COMPUTED_VALUE"""),1.0)</f>
        <v>1</v>
      </c>
      <c r="Q6376" s="4" t="str">
        <f>IFERROR(__xludf.DUMMYFUNCTION("""COMPUTED_VALUE"""),"Saipos Serviços De Software")</f>
        <v>Saipos Serviços De Software</v>
      </c>
      <c r="R6376" s="33">
        <f>IFERROR(__xludf.DUMMYFUNCTION("""COMPUTED_VALUE"""),1.0)</f>
        <v>1</v>
      </c>
      <c r="S6376" s="4" t="str">
        <f>IFERROR(__xludf.DUMMYFUNCTION("""COMPUTED_VALUE"""),"Saipos Serviços De Software")</f>
        <v>Saipos Serviços De Software</v>
      </c>
      <c r="T6376" s="33">
        <f>IFERROR(__xludf.DUMMYFUNCTION("""COMPUTED_VALUE"""),1.0)</f>
        <v>1</v>
      </c>
      <c r="U6376" s="4" t="str">
        <f>IFERROR(__xludf.DUMMYFUNCTION("""COMPUTED_VALUE"""),"Saipos Serviços De Software")</f>
        <v>Saipos Serviços De Software</v>
      </c>
      <c r="V6376" s="33">
        <f>IFERROR(__xludf.DUMMYFUNCTION("""COMPUTED_VALUE"""),0.5)</f>
        <v>0.5</v>
      </c>
      <c r="W6376" s="4" t="str">
        <f>IFERROR(__xludf.DUMMYFUNCTION("""COMPUTED_VALUE"""),"Saipos Serviços De Software")</f>
        <v>Saipos Serviços De Software</v>
      </c>
      <c r="X6376" s="33">
        <f>IFERROR(__xludf.DUMMYFUNCTION("""COMPUTED_VALUE"""),0.5)</f>
        <v>0.5</v>
      </c>
    </row>
    <row r="6377">
      <c r="K6377" s="4" t="str">
        <f>IFERROR(__xludf.DUMMYFUNCTION("""COMPUTED_VALUE"""),"BIBI DOCURAS")</f>
        <v>BIBI DOCURAS</v>
      </c>
      <c r="L6377" s="32">
        <f>IFERROR(__xludf.DUMMYFUNCTION("""COMPUTED_VALUE"""),2.0)</f>
        <v>2</v>
      </c>
      <c r="M6377" s="4" t="str">
        <f>IFERROR(__xludf.DUMMYFUNCTION("""COMPUTED_VALUE"""),"null")</f>
        <v>null</v>
      </c>
      <c r="N6377" s="33">
        <f>IFERROR(__xludf.DUMMYFUNCTION("""COMPUTED_VALUE"""),0.5)</f>
        <v>0.5</v>
      </c>
      <c r="O6377" s="4" t="str">
        <f>IFERROR(__xludf.DUMMYFUNCTION("""COMPUTED_VALUE"""),"Cardápio Web")</f>
        <v>Cardápio Web</v>
      </c>
      <c r="P6377" s="33">
        <f>IFERROR(__xludf.DUMMYFUNCTION("""COMPUTED_VALUE"""),1.0)</f>
        <v>1</v>
      </c>
      <c r="Q6377" s="4" t="str">
        <f>IFERROR(__xludf.DUMMYFUNCTION("""COMPUTED_VALUE"""),"null")</f>
        <v>null</v>
      </c>
      <c r="R6377" s="33">
        <f>IFERROR(__xludf.DUMMYFUNCTION("""COMPUTED_VALUE"""),0.5)</f>
        <v>0.5</v>
      </c>
      <c r="S6377" s="4" t="str">
        <f>IFERROR(__xludf.DUMMYFUNCTION("""COMPUTED_VALUE"""),"null")</f>
        <v>null</v>
      </c>
      <c r="T6377" s="33">
        <f>IFERROR(__xludf.DUMMYFUNCTION("""COMPUTED_VALUE"""),0.5)</f>
        <v>0.5</v>
      </c>
      <c r="U6377" s="4" t="str">
        <f>IFERROR(__xludf.DUMMYFUNCTION("""COMPUTED_VALUE"""),"null")</f>
        <v>null</v>
      </c>
      <c r="V6377" s="33">
        <f>IFERROR(__xludf.DUMMYFUNCTION("""COMPUTED_VALUE"""),0.5)</f>
        <v>0.5</v>
      </c>
      <c r="W6377" s="4" t="str">
        <f>IFERROR(__xludf.DUMMYFUNCTION("""COMPUTED_VALUE"""),"null")</f>
        <v>null</v>
      </c>
      <c r="X6377" s="33">
        <f>IFERROR(__xludf.DUMMYFUNCTION("""COMPUTED_VALUE"""),0.5)</f>
        <v>0.5</v>
      </c>
    </row>
    <row r="6378">
      <c r="K6378" s="4" t="str">
        <f>IFERROR(__xludf.DUMMYFUNCTION("""COMPUTED_VALUE"""),"OAK SUSHI")</f>
        <v>OAK SUSHI</v>
      </c>
      <c r="L6378" s="32">
        <f>IFERROR(__xludf.DUMMYFUNCTION("""COMPUTED_VALUE"""),2.0)</f>
        <v>2</v>
      </c>
      <c r="M6378" s="4" t="str">
        <f>IFERROR(__xludf.DUMMYFUNCTION("""COMPUTED_VALUE"""),"Anota Ai Solucoes Digitais S/a")</f>
        <v>Anota Ai Solucoes Digitais S/a</v>
      </c>
      <c r="N6378" s="33">
        <f>IFERROR(__xludf.DUMMYFUNCTION("""COMPUTED_VALUE"""),0.5)</f>
        <v>0.5</v>
      </c>
      <c r="O6378" s="4" t="str">
        <f>IFERROR(__xludf.DUMMYFUNCTION("""COMPUTED_VALUE"""),"Anota Ai Solucoes Digitais S/a")</f>
        <v>Anota Ai Solucoes Digitais S/a</v>
      </c>
      <c r="P6378" s="33">
        <f>IFERROR(__xludf.DUMMYFUNCTION("""COMPUTED_VALUE"""),1.0)</f>
        <v>1</v>
      </c>
      <c r="Q6378" s="4" t="str">
        <f>IFERROR(__xludf.DUMMYFUNCTION("""COMPUTED_VALUE"""),"Anota Ai Solucoes Digitais S/a")</f>
        <v>Anota Ai Solucoes Digitais S/a</v>
      </c>
      <c r="R6378" s="33">
        <f>IFERROR(__xludf.DUMMYFUNCTION("""COMPUTED_VALUE"""),1.0)</f>
        <v>1</v>
      </c>
      <c r="S6378" s="4" t="str">
        <f>IFERROR(__xludf.DUMMYFUNCTION("""COMPUTED_VALUE"""),"Anota Ai Solucoes Digitais S/a")</f>
        <v>Anota Ai Solucoes Digitais S/a</v>
      </c>
      <c r="T6378" s="33">
        <f>IFERROR(__xludf.DUMMYFUNCTION("""COMPUTED_VALUE"""),1.0)</f>
        <v>1</v>
      </c>
      <c r="U6378" s="4" t="str">
        <f>IFERROR(__xludf.DUMMYFUNCTION("""COMPUTED_VALUE"""),"Anota Ai Solucoes Digitais S/a")</f>
        <v>Anota Ai Solucoes Digitais S/a</v>
      </c>
      <c r="V6378" s="33">
        <f>IFERROR(__xludf.DUMMYFUNCTION("""COMPUTED_VALUE"""),1.0)</f>
        <v>1</v>
      </c>
      <c r="W6378" s="4" t="str">
        <f>IFERROR(__xludf.DUMMYFUNCTION("""COMPUTED_VALUE"""),"Anota Ai Solucoes Digitais S/a")</f>
        <v>Anota Ai Solucoes Digitais S/a</v>
      </c>
      <c r="X6378" s="33">
        <f>IFERROR(__xludf.DUMMYFUNCTION("""COMPUTED_VALUE"""),0.5)</f>
        <v>0.5</v>
      </c>
    </row>
    <row r="6379">
      <c r="K6379" s="4" t="str">
        <f>IFERROR(__xludf.DUMMYFUNCTION("""COMPUTED_VALUE"""),"MARMITARIA DU CHEF")</f>
        <v>MARMITARIA DU CHEF</v>
      </c>
      <c r="L6379" s="32">
        <f>IFERROR(__xludf.DUMMYFUNCTION("""COMPUTED_VALUE"""),2.0)</f>
        <v>2</v>
      </c>
      <c r="M6379" s="4" t="str">
        <f>IFERROR(__xludf.DUMMYFUNCTION("""COMPUTED_VALUE"""),"null")</f>
        <v>null</v>
      </c>
      <c r="N6379" s="33">
        <f>IFERROR(__xludf.DUMMYFUNCTION("""COMPUTED_VALUE"""),1.0)</f>
        <v>1</v>
      </c>
      <c r="O6379" s="4" t="str">
        <f>IFERROR(__xludf.DUMMYFUNCTION("""COMPUTED_VALUE"""),"null")</f>
        <v>null</v>
      </c>
      <c r="P6379" s="33">
        <f>IFERROR(__xludf.DUMMYFUNCTION("""COMPUTED_VALUE"""),1.0)</f>
        <v>1</v>
      </c>
      <c r="Q6379" s="4" t="str">
        <f>IFERROR(__xludf.DUMMYFUNCTION("""COMPUTED_VALUE"""),"null")</f>
        <v>null</v>
      </c>
      <c r="R6379" s="33">
        <f>IFERROR(__xludf.DUMMYFUNCTION("""COMPUTED_VALUE"""),1.0)</f>
        <v>1</v>
      </c>
      <c r="S6379" s="4" t="str">
        <f>IFERROR(__xludf.DUMMYFUNCTION("""COMPUTED_VALUE"""),"null")</f>
        <v>null</v>
      </c>
      <c r="T6379" s="33">
        <f>IFERROR(__xludf.DUMMYFUNCTION("""COMPUTED_VALUE"""),1.0)</f>
        <v>1</v>
      </c>
      <c r="U6379" s="4" t="str">
        <f>IFERROR(__xludf.DUMMYFUNCTION("""COMPUTED_VALUE"""),"Consumer Soluções Em Tecnologia Ltda")</f>
        <v>Consumer Soluções Em Tecnologia Ltda</v>
      </c>
      <c r="V6379" s="33">
        <f>IFERROR(__xludf.DUMMYFUNCTION("""COMPUTED_VALUE"""),0.5)</f>
        <v>0.5</v>
      </c>
      <c r="W6379" s="4" t="str">
        <f>IFERROR(__xludf.DUMMYFUNCTION("""COMPUTED_VALUE"""),"null")</f>
        <v>null</v>
      </c>
      <c r="X6379" s="33">
        <f>IFERROR(__xludf.DUMMYFUNCTION("""COMPUTED_VALUE"""),0.5)</f>
        <v>0.5</v>
      </c>
    </row>
    <row r="6380">
      <c r="K6380" s="4" t="str">
        <f>IFERROR(__xludf.DUMMYFUNCTION("""COMPUTED_VALUE"""),"TROPICANA SALADA")</f>
        <v>TROPICANA SALADA</v>
      </c>
      <c r="L6380" s="32">
        <f>IFERROR(__xludf.DUMMYFUNCTION("""COMPUTED_VALUE"""),2.0)</f>
        <v>2</v>
      </c>
      <c r="M6380" s="4" t="str">
        <f>IFERROR(__xludf.DUMMYFUNCTION("""COMPUTED_VALUE"""),"null")</f>
        <v>null</v>
      </c>
      <c r="N6380" s="33">
        <f>IFERROR(__xludf.DUMMYFUNCTION("""COMPUTED_VALUE"""),0.5)</f>
        <v>0.5</v>
      </c>
      <c r="O6380" s="4" t="str">
        <f>IFERROR(__xludf.DUMMYFUNCTION("""COMPUTED_VALUE"""),"Instadelivery")</f>
        <v>Instadelivery</v>
      </c>
      <c r="P6380" s="33">
        <f>IFERROR(__xludf.DUMMYFUNCTION("""COMPUTED_VALUE"""),1.0)</f>
        <v>1</v>
      </c>
      <c r="Q6380" s="4" t="str">
        <f>IFERROR(__xludf.DUMMYFUNCTION("""COMPUTED_VALUE"""),"Instadelivery")</f>
        <v>Instadelivery</v>
      </c>
      <c r="R6380" s="33">
        <f>IFERROR(__xludf.DUMMYFUNCTION("""COMPUTED_VALUE"""),1.0)</f>
        <v>1</v>
      </c>
      <c r="S6380" s="4" t="str">
        <f>IFERROR(__xludf.DUMMYFUNCTION("""COMPUTED_VALUE"""),"Instadelivery")</f>
        <v>Instadelivery</v>
      </c>
      <c r="T6380" s="33">
        <f>IFERROR(__xludf.DUMMYFUNCTION("""COMPUTED_VALUE"""),1.0)</f>
        <v>1</v>
      </c>
      <c r="U6380" s="4" t="str">
        <f>IFERROR(__xludf.DUMMYFUNCTION("""COMPUTED_VALUE"""),"null")</f>
        <v>null</v>
      </c>
      <c r="V6380" s="33">
        <f>IFERROR(__xludf.DUMMYFUNCTION("""COMPUTED_VALUE"""),0.5)</f>
        <v>0.5</v>
      </c>
      <c r="W6380" s="4" t="str">
        <f>IFERROR(__xludf.DUMMYFUNCTION("""COMPUTED_VALUE"""),"null")</f>
        <v>null</v>
      </c>
      <c r="X6380" s="33">
        <f>IFERROR(__xludf.DUMMYFUNCTION("""COMPUTED_VALUE"""),0.5)</f>
        <v>0.5</v>
      </c>
    </row>
    <row r="6381">
      <c r="K6381" s="4" t="str">
        <f>IFERROR(__xludf.DUMMYFUNCTION("""COMPUTED_VALUE"""),"FARMA BOLSO")</f>
        <v>FARMA BOLSO</v>
      </c>
      <c r="L6381" s="32">
        <f>IFERROR(__xludf.DUMMYFUNCTION("""COMPUTED_VALUE"""),2.0)</f>
        <v>2</v>
      </c>
      <c r="M6381" s="4" t="str">
        <f>IFERROR(__xludf.DUMMYFUNCTION("""COMPUTED_VALUE"""),"null")</f>
        <v>null</v>
      </c>
      <c r="N6381" s="33">
        <f>IFERROR(__xludf.DUMMYFUNCTION("""COMPUTED_VALUE"""),0.5)</f>
        <v>0.5</v>
      </c>
      <c r="O6381" s="4" t="str">
        <f>IFERROR(__xludf.DUMMYFUNCTION("""COMPUTED_VALUE"""),"null")</f>
        <v>null</v>
      </c>
      <c r="P6381" s="33">
        <f>IFERROR(__xludf.DUMMYFUNCTION("""COMPUTED_VALUE"""),0.5)</f>
        <v>0.5</v>
      </c>
      <c r="Q6381" s="4" t="str">
        <f>IFERROR(__xludf.DUMMYFUNCTION("""COMPUTED_VALUE"""),"N/A (Not found)")</f>
        <v>N/A (Not found)</v>
      </c>
      <c r="R6381" s="33">
        <f>IFERROR(__xludf.DUMMYFUNCTION("""COMPUTED_VALUE"""),1.0)</f>
        <v>1</v>
      </c>
      <c r="S6381" s="4" t="str">
        <f>IFERROR(__xludf.DUMMYFUNCTION("""COMPUTED_VALUE"""),"N/A (Not found)")</f>
        <v>N/A (Not found)</v>
      </c>
      <c r="T6381" s="33">
        <f>IFERROR(__xludf.DUMMYFUNCTION("""COMPUTED_VALUE"""),1.0)</f>
        <v>1</v>
      </c>
      <c r="U6381" s="4" t="str">
        <f>IFERROR(__xludf.DUMMYFUNCTION("""COMPUTED_VALUE"""),"null")</f>
        <v>null</v>
      </c>
      <c r="V6381" s="33">
        <f>IFERROR(__xludf.DUMMYFUNCTION("""COMPUTED_VALUE"""),0.5)</f>
        <v>0.5</v>
      </c>
      <c r="W6381" s="4" t="str">
        <f>IFERROR(__xludf.DUMMYFUNCTION("""COMPUTED_VALUE"""),"null")</f>
        <v>null</v>
      </c>
      <c r="X6381" s="33">
        <f>IFERROR(__xludf.DUMMYFUNCTION("""COMPUTED_VALUE"""),0.5)</f>
        <v>0.5</v>
      </c>
    </row>
    <row r="6382">
      <c r="K6382" s="4" t="str">
        <f>IFERROR(__xludf.DUMMYFUNCTION("""COMPUTED_VALUE"""),"GALVAS BURGER - HAMBURGUER ARTESANAL")</f>
        <v>GALVAS BURGER - HAMBURGUER ARTESANAL</v>
      </c>
      <c r="L6382" s="32">
        <f>IFERROR(__xludf.DUMMYFUNCTION("""COMPUTED_VALUE"""),2.0)</f>
        <v>2</v>
      </c>
      <c r="M6382" s="4" t="str">
        <f>IFERROR(__xludf.DUMMYFUNCTION("""COMPUTED_VALUE"""),"null")</f>
        <v>null</v>
      </c>
      <c r="N6382" s="33">
        <f>IFERROR(__xludf.DUMMYFUNCTION("""COMPUTED_VALUE"""),0.5)</f>
        <v>0.5</v>
      </c>
      <c r="O6382" s="4" t="str">
        <f>IFERROR(__xludf.DUMMYFUNCTION("""COMPUTED_VALUE"""),"null")</f>
        <v>null</v>
      </c>
      <c r="P6382" s="33">
        <f>IFERROR(__xludf.DUMMYFUNCTION("""COMPUTED_VALUE"""),0.5)</f>
        <v>0.5</v>
      </c>
      <c r="Q6382" s="4" t="str">
        <f>IFERROR(__xludf.DUMMYFUNCTION("""COMPUTED_VALUE"""),"null")</f>
        <v>null</v>
      </c>
      <c r="R6382" s="33">
        <f>IFERROR(__xludf.DUMMYFUNCTION("""COMPUTED_VALUE"""),0.5)</f>
        <v>0.5</v>
      </c>
      <c r="S6382" s="4" t="str">
        <f>IFERROR(__xludf.DUMMYFUNCTION("""COMPUTED_VALUE"""),"null")</f>
        <v>null</v>
      </c>
      <c r="T6382" s="33">
        <f>IFERROR(__xludf.DUMMYFUNCTION("""COMPUTED_VALUE"""),0.5)</f>
        <v>0.5</v>
      </c>
      <c r="U6382" s="4" t="str">
        <f>IFERROR(__xludf.DUMMYFUNCTION("""COMPUTED_VALUE"""),"Consumer Soluções Em Tecnologia Ltda")</f>
        <v>Consumer Soluções Em Tecnologia Ltda</v>
      </c>
      <c r="V6382" s="33">
        <f>IFERROR(__xludf.DUMMYFUNCTION("""COMPUTED_VALUE"""),1.0)</f>
        <v>1</v>
      </c>
      <c r="W6382" s="4" t="str">
        <f>IFERROR(__xludf.DUMMYFUNCTION("""COMPUTED_VALUE"""),"Consumer Soluções Em Tecnologia Ltda")</f>
        <v>Consumer Soluções Em Tecnologia Ltda</v>
      </c>
      <c r="X6382" s="33">
        <f>IFERROR(__xludf.DUMMYFUNCTION("""COMPUTED_VALUE"""),0.5)</f>
        <v>0.5</v>
      </c>
    </row>
    <row r="6383">
      <c r="K6383" s="4" t="str">
        <f>IFERROR(__xludf.DUMMYFUNCTION("""COMPUTED_VALUE"""),"DIA DE BOLO - ITAJAI")</f>
        <v>DIA DE BOLO - ITAJAI</v>
      </c>
      <c r="L6383" s="32">
        <f>IFERROR(__xludf.DUMMYFUNCTION("""COMPUTED_VALUE"""),2.0)</f>
        <v>2</v>
      </c>
      <c r="M6383" s="4" t="str">
        <f>IFERROR(__xludf.DUMMYFUNCTION("""COMPUTED_VALUE"""),"null")</f>
        <v>null</v>
      </c>
      <c r="N6383" s="33">
        <f>IFERROR(__xludf.DUMMYFUNCTION("""COMPUTED_VALUE"""),0.5)</f>
        <v>0.5</v>
      </c>
      <c r="O6383" s="4" t="str">
        <f>IFERROR(__xludf.DUMMYFUNCTION("""COMPUTED_VALUE"""),"Parseint Desenvolvimento De Sistemas Ltda")</f>
        <v>Parseint Desenvolvimento De Sistemas Ltda</v>
      </c>
      <c r="P6383" s="33">
        <f>IFERROR(__xludf.DUMMYFUNCTION("""COMPUTED_VALUE"""),1.0)</f>
        <v>1</v>
      </c>
      <c r="Q6383" s="4" t="str">
        <f>IFERROR(__xludf.DUMMYFUNCTION("""COMPUTED_VALUE"""),"Parseint Desenvolvimento De Sistemas Ltda")</f>
        <v>Parseint Desenvolvimento De Sistemas Ltda</v>
      </c>
      <c r="R6383" s="33">
        <f>IFERROR(__xludf.DUMMYFUNCTION("""COMPUTED_VALUE"""),0.5)</f>
        <v>0.5</v>
      </c>
      <c r="S6383" s="4" t="str">
        <f>IFERROR(__xludf.DUMMYFUNCTION("""COMPUTED_VALUE"""),"Parseint Desenvolvimento De Sistemas Ltda")</f>
        <v>Parseint Desenvolvimento De Sistemas Ltda</v>
      </c>
      <c r="T6383" s="33">
        <f>IFERROR(__xludf.DUMMYFUNCTION("""COMPUTED_VALUE"""),0.5)</f>
        <v>0.5</v>
      </c>
      <c r="U6383" s="4" t="str">
        <f>IFERROR(__xludf.DUMMYFUNCTION("""COMPUTED_VALUE"""),"Parseint Desenvolvimento De Sistemas Ltda")</f>
        <v>Parseint Desenvolvimento De Sistemas Ltda</v>
      </c>
      <c r="V6383" s="33">
        <f>IFERROR(__xludf.DUMMYFUNCTION("""COMPUTED_VALUE"""),0.5)</f>
        <v>0.5</v>
      </c>
      <c r="W6383" s="4" t="str">
        <f>IFERROR(__xludf.DUMMYFUNCTION("""COMPUTED_VALUE"""),"Parseint Desenvolvimento De Sistemas Ltda")</f>
        <v>Parseint Desenvolvimento De Sistemas Ltda</v>
      </c>
      <c r="X6383" s="33">
        <f>IFERROR(__xludf.DUMMYFUNCTION("""COMPUTED_VALUE"""),0.5)</f>
        <v>0.5</v>
      </c>
    </row>
    <row r="6384">
      <c r="K6384" s="4" t="str">
        <f>IFERROR(__xludf.DUMMYFUNCTION("""COMPUTED_VALUE"""),"BAR DO URSO")</f>
        <v>BAR DO URSO</v>
      </c>
      <c r="L6384" s="32">
        <f>IFERROR(__xludf.DUMMYFUNCTION("""COMPUTED_VALUE"""),2.0)</f>
        <v>2</v>
      </c>
      <c r="M6384" s="4" t="str">
        <f>IFERROR(__xludf.DUMMYFUNCTION("""COMPUTED_VALUE"""),"Connectplug")</f>
        <v>Connectplug</v>
      </c>
      <c r="N6384" s="33">
        <f>IFERROR(__xludf.DUMMYFUNCTION("""COMPUTED_VALUE"""),0.5)</f>
        <v>0.5</v>
      </c>
      <c r="O6384" s="4" t="str">
        <f>IFERROR(__xludf.DUMMYFUNCTION("""COMPUTED_VALUE"""),"null")</f>
        <v>null</v>
      </c>
      <c r="P6384" s="33">
        <f>IFERROR(__xludf.DUMMYFUNCTION("""COMPUTED_VALUE"""),0.5)</f>
        <v>0.5</v>
      </c>
      <c r="Q6384" s="4" t="str">
        <f>IFERROR(__xludf.DUMMYFUNCTION("""COMPUTED_VALUE"""),"null")</f>
        <v>null</v>
      </c>
      <c r="R6384" s="33">
        <f>IFERROR(__xludf.DUMMYFUNCTION("""COMPUTED_VALUE"""),0.5)</f>
        <v>0.5</v>
      </c>
      <c r="S6384" s="4" t="str">
        <f>IFERROR(__xludf.DUMMYFUNCTION("""COMPUTED_VALUE"""),"null")</f>
        <v>null</v>
      </c>
      <c r="T6384" s="33">
        <f>IFERROR(__xludf.DUMMYFUNCTION("""COMPUTED_VALUE"""),0.5)</f>
        <v>0.5</v>
      </c>
      <c r="U6384" s="4" t="str">
        <f>IFERROR(__xludf.DUMMYFUNCTION("""COMPUTED_VALUE"""),"null")</f>
        <v>null</v>
      </c>
      <c r="V6384" s="33">
        <f>IFERROR(__xludf.DUMMYFUNCTION("""COMPUTED_VALUE"""),0.5)</f>
        <v>0.5</v>
      </c>
      <c r="W6384" s="4" t="str">
        <f>IFERROR(__xludf.DUMMYFUNCTION("""COMPUTED_VALUE"""),"null")</f>
        <v>null</v>
      </c>
      <c r="X6384" s="33">
        <f>IFERROR(__xludf.DUMMYFUNCTION("""COMPUTED_VALUE"""),0.5)</f>
        <v>0.5</v>
      </c>
    </row>
    <row r="6385">
      <c r="K6385" s="4" t="str">
        <f>IFERROR(__xludf.DUMMYFUNCTION("""COMPUTED_VALUE"""),"TRADICIONAL BURGUER")</f>
        <v>TRADICIONAL BURGUER</v>
      </c>
      <c r="L6385" s="32">
        <f>IFERROR(__xludf.DUMMYFUNCTION("""COMPUTED_VALUE"""),2.0)</f>
        <v>2</v>
      </c>
      <c r="M6385" s="4" t="str">
        <f>IFERROR(__xludf.DUMMYFUNCTION("""COMPUTED_VALUE"""),"Dev10 Soluções Em Sotfware Ltda")</f>
        <v>Dev10 Soluções Em Sotfware Ltda</v>
      </c>
      <c r="N6385" s="33">
        <f>IFERROR(__xludf.DUMMYFUNCTION("""COMPUTED_VALUE"""),0.5)</f>
        <v>0.5</v>
      </c>
      <c r="O6385" s="4" t="str">
        <f>IFERROR(__xludf.DUMMYFUNCTION("""COMPUTED_VALUE"""),"null")</f>
        <v>null</v>
      </c>
      <c r="P6385" s="33">
        <f>IFERROR(__xludf.DUMMYFUNCTION("""COMPUTED_VALUE"""),1.0)</f>
        <v>1</v>
      </c>
      <c r="Q6385" s="4" t="str">
        <f>IFERROR(__xludf.DUMMYFUNCTION("""COMPUTED_VALUE"""),"null")</f>
        <v>null</v>
      </c>
      <c r="R6385" s="33">
        <f>IFERROR(__xludf.DUMMYFUNCTION("""COMPUTED_VALUE"""),0.5)</f>
        <v>0.5</v>
      </c>
      <c r="S6385" s="4" t="str">
        <f>IFERROR(__xludf.DUMMYFUNCTION("""COMPUTED_VALUE"""),"null")</f>
        <v>null</v>
      </c>
      <c r="T6385" s="33">
        <f>IFERROR(__xludf.DUMMYFUNCTION("""COMPUTED_VALUE"""),1.0)</f>
        <v>1</v>
      </c>
      <c r="U6385" s="4" t="str">
        <f>IFERROR(__xludf.DUMMYFUNCTION("""COMPUTED_VALUE"""),"null")</f>
        <v>null</v>
      </c>
      <c r="V6385" s="33">
        <f>IFERROR(__xludf.DUMMYFUNCTION("""COMPUTED_VALUE"""),1.0)</f>
        <v>1</v>
      </c>
      <c r="W6385" s="4" t="str">
        <f>IFERROR(__xludf.DUMMYFUNCTION("""COMPUTED_VALUE"""),"null")</f>
        <v>null</v>
      </c>
      <c r="X6385" s="33">
        <f>IFERROR(__xludf.DUMMYFUNCTION("""COMPUTED_VALUE"""),1.0)</f>
        <v>1</v>
      </c>
    </row>
    <row r="6386">
      <c r="K6386" s="4" t="str">
        <f>IFERROR(__xludf.DUMMYFUNCTION("""COMPUTED_VALUE"""),"FRANGOLINO")</f>
        <v>FRANGOLINO</v>
      </c>
      <c r="L6386" s="32">
        <f>IFERROR(__xludf.DUMMYFUNCTION("""COMPUTED_VALUE"""),2.0)</f>
        <v>2</v>
      </c>
      <c r="M6386" s="4" t="str">
        <f>IFERROR(__xludf.DUMMYFUNCTION("""COMPUTED_VALUE"""),"Anota Ai Solucoes Digitais S/a")</f>
        <v>Anota Ai Solucoes Digitais S/a</v>
      </c>
      <c r="N6386" s="33">
        <f>IFERROR(__xludf.DUMMYFUNCTION("""COMPUTED_VALUE"""),0.5)</f>
        <v>0.5</v>
      </c>
      <c r="O6386" s="4" t="str">
        <f>IFERROR(__xludf.DUMMYFUNCTION("""COMPUTED_VALUE"""),"null")</f>
        <v>null</v>
      </c>
      <c r="P6386" s="33">
        <f>IFERROR(__xludf.DUMMYFUNCTION("""COMPUTED_VALUE"""),1.0)</f>
        <v>1</v>
      </c>
      <c r="Q6386" s="4" t="str">
        <f>IFERROR(__xludf.DUMMYFUNCTION("""COMPUTED_VALUE"""),"null")</f>
        <v>null</v>
      </c>
      <c r="R6386" s="33">
        <f>IFERROR(__xludf.DUMMYFUNCTION("""COMPUTED_VALUE"""),0.5)</f>
        <v>0.5</v>
      </c>
      <c r="S6386" s="4" t="str">
        <f>IFERROR(__xludf.DUMMYFUNCTION("""COMPUTED_VALUE"""),"Anota Ai Solucoes Digitais S/a")</f>
        <v>Anota Ai Solucoes Digitais S/a</v>
      </c>
      <c r="T6386" s="33">
        <f>IFERROR(__xludf.DUMMYFUNCTION("""COMPUTED_VALUE"""),0.5)</f>
        <v>0.5</v>
      </c>
      <c r="U6386" s="4" t="str">
        <f>IFERROR(__xludf.DUMMYFUNCTION("""COMPUTED_VALUE"""),"Anota Ai Solucoes Digitais S/a")</f>
        <v>Anota Ai Solucoes Digitais S/a</v>
      </c>
      <c r="V6386" s="33">
        <f>IFERROR(__xludf.DUMMYFUNCTION("""COMPUTED_VALUE"""),0.5)</f>
        <v>0.5</v>
      </c>
      <c r="W6386" s="4" t="str">
        <f>IFERROR(__xludf.DUMMYFUNCTION("""COMPUTED_VALUE"""),"null")</f>
        <v>null</v>
      </c>
      <c r="X6386" s="33">
        <f>IFERROR(__xludf.DUMMYFUNCTION("""COMPUTED_VALUE"""),1.0)</f>
        <v>1</v>
      </c>
    </row>
    <row r="6387">
      <c r="K6387" s="4" t="str">
        <f>IFERROR(__xludf.DUMMYFUNCTION("""COMPUTED_VALUE"""),"BJ CAKES")</f>
        <v>BJ CAKES</v>
      </c>
      <c r="L6387" s="32">
        <f>IFERROR(__xludf.DUMMYFUNCTION("""COMPUTED_VALUE"""),2.0)</f>
        <v>2</v>
      </c>
      <c r="M6387" s="4" t="str">
        <f>IFERROR(__xludf.DUMMYFUNCTION("""COMPUTED_VALUE"""),"Saipos Serviços De Software")</f>
        <v>Saipos Serviços De Software</v>
      </c>
      <c r="N6387" s="33">
        <f>IFERROR(__xludf.DUMMYFUNCTION("""COMPUTED_VALUE"""),1.0)</f>
        <v>1</v>
      </c>
      <c r="O6387" s="4" t="str">
        <f>IFERROR(__xludf.DUMMYFUNCTION("""COMPUTED_VALUE"""),"Saipos Serviços De Software")</f>
        <v>Saipos Serviços De Software</v>
      </c>
      <c r="P6387" s="33">
        <f>IFERROR(__xludf.DUMMYFUNCTION("""COMPUTED_VALUE"""),1.0)</f>
        <v>1</v>
      </c>
      <c r="Q6387" s="4" t="str">
        <f>IFERROR(__xludf.DUMMYFUNCTION("""COMPUTED_VALUE"""),"Saipos Serviços De Software")</f>
        <v>Saipos Serviços De Software</v>
      </c>
      <c r="R6387" s="33">
        <f>IFERROR(__xludf.DUMMYFUNCTION("""COMPUTED_VALUE"""),1.0)</f>
        <v>1</v>
      </c>
      <c r="S6387" s="4" t="str">
        <f>IFERROR(__xludf.DUMMYFUNCTION("""COMPUTED_VALUE"""),"Saipos Serviços De Software")</f>
        <v>Saipos Serviços De Software</v>
      </c>
      <c r="T6387" s="33">
        <f>IFERROR(__xludf.DUMMYFUNCTION("""COMPUTED_VALUE"""),1.0)</f>
        <v>1</v>
      </c>
      <c r="U6387" s="4" t="str">
        <f>IFERROR(__xludf.DUMMYFUNCTION("""COMPUTED_VALUE"""),"Saipos Serviços De Software")</f>
        <v>Saipos Serviços De Software</v>
      </c>
      <c r="V6387" s="33">
        <f>IFERROR(__xludf.DUMMYFUNCTION("""COMPUTED_VALUE"""),1.0)</f>
        <v>1</v>
      </c>
      <c r="W6387" s="4" t="str">
        <f>IFERROR(__xludf.DUMMYFUNCTION("""COMPUTED_VALUE"""),"Saipos Serviços De Software")</f>
        <v>Saipos Serviços De Software</v>
      </c>
      <c r="X6387" s="33">
        <f>IFERROR(__xludf.DUMMYFUNCTION("""COMPUTED_VALUE"""),1.0)</f>
        <v>1</v>
      </c>
    </row>
    <row r="6388">
      <c r="K6388" s="4" t="str">
        <f>IFERROR(__xludf.DUMMYFUNCTION("""COMPUTED_VALUE"""),"NA BRASA STEAK HOUSE")</f>
        <v>NA BRASA STEAK HOUSE</v>
      </c>
      <c r="L6388" s="32">
        <f>IFERROR(__xludf.DUMMYFUNCTION("""COMPUTED_VALUE"""),2.0)</f>
        <v>2</v>
      </c>
      <c r="M6388" s="4" t="str">
        <f>IFERROR(__xludf.DUMMYFUNCTION("""COMPUTED_VALUE"""),"null")</f>
        <v>null</v>
      </c>
      <c r="N6388" s="33">
        <f>IFERROR(__xludf.DUMMYFUNCTION("""COMPUTED_VALUE"""),0.5)</f>
        <v>0.5</v>
      </c>
      <c r="O6388" s="4" t="str">
        <f>IFERROR(__xludf.DUMMYFUNCTION("""COMPUTED_VALUE"""),"null")</f>
        <v>null</v>
      </c>
      <c r="P6388" s="33">
        <f>IFERROR(__xludf.DUMMYFUNCTION("""COMPUTED_VALUE"""),0.5)</f>
        <v>0.5</v>
      </c>
      <c r="Q6388" s="4" t="str">
        <f>IFERROR(__xludf.DUMMYFUNCTION("""COMPUTED_VALUE"""),"null")</f>
        <v>null</v>
      </c>
      <c r="R6388" s="33">
        <f>IFERROR(__xludf.DUMMYFUNCTION("""COMPUTED_VALUE"""),0.5)</f>
        <v>0.5</v>
      </c>
      <c r="S6388" s="4" t="str">
        <f>IFERROR(__xludf.DUMMYFUNCTION("""COMPUTED_VALUE"""),"Algoritma Sistemas De Software Ltda")</f>
        <v>Algoritma Sistemas De Software Ltda</v>
      </c>
      <c r="T6388" s="33">
        <f>IFERROR(__xludf.DUMMYFUNCTION("""COMPUTED_VALUE"""),0.5)</f>
        <v>0.5</v>
      </c>
      <c r="U6388" s="4" t="str">
        <f>IFERROR(__xludf.DUMMYFUNCTION("""COMPUTED_VALUE"""),"Algoritma Sistemas De Software Ltda")</f>
        <v>Algoritma Sistemas De Software Ltda</v>
      </c>
      <c r="V6388" s="33">
        <f>IFERROR(__xludf.DUMMYFUNCTION("""COMPUTED_VALUE"""),0.5)</f>
        <v>0.5</v>
      </c>
      <c r="W6388" s="4" t="str">
        <f>IFERROR(__xludf.DUMMYFUNCTION("""COMPUTED_VALUE"""),"Algoritma Sistemas De Software Ltda")</f>
        <v>Algoritma Sistemas De Software Ltda</v>
      </c>
      <c r="X6388" s="33">
        <f>IFERROR(__xludf.DUMMYFUNCTION("""COMPUTED_VALUE"""),0.5)</f>
        <v>0.5</v>
      </c>
    </row>
    <row r="6389">
      <c r="K6389" s="4" t="str">
        <f>IFERROR(__xludf.DUMMYFUNCTION("""COMPUTED_VALUE"""),"MARE ALTA")</f>
        <v>MARE ALTA</v>
      </c>
      <c r="L6389" s="32">
        <f>IFERROR(__xludf.DUMMYFUNCTION("""COMPUTED_VALUE"""),2.0)</f>
        <v>2</v>
      </c>
      <c r="M6389" s="4" t="str">
        <f>IFERROR(__xludf.DUMMYFUNCTION("""COMPUTED_VALUE"""),"null")</f>
        <v>null</v>
      </c>
      <c r="N6389" s="33">
        <f>IFERROR(__xludf.DUMMYFUNCTION("""COMPUTED_VALUE"""),1.0)</f>
        <v>1</v>
      </c>
      <c r="O6389" s="4" t="str">
        <f>IFERROR(__xludf.DUMMYFUNCTION("""COMPUTED_VALUE"""),"null")</f>
        <v>null</v>
      </c>
      <c r="P6389" s="33">
        <f>IFERROR(__xludf.DUMMYFUNCTION("""COMPUTED_VALUE"""),1.0)</f>
        <v>1</v>
      </c>
      <c r="Q6389" s="4" t="str">
        <f>IFERROR(__xludf.DUMMYFUNCTION("""COMPUTED_VALUE"""),"null")</f>
        <v>null</v>
      </c>
      <c r="R6389" s="33">
        <f>IFERROR(__xludf.DUMMYFUNCTION("""COMPUTED_VALUE"""),1.0)</f>
        <v>1</v>
      </c>
      <c r="S6389" s="4" t="str">
        <f>IFERROR(__xludf.DUMMYFUNCTION("""COMPUTED_VALUE"""),"null")</f>
        <v>null</v>
      </c>
      <c r="T6389" s="33">
        <f>IFERROR(__xludf.DUMMYFUNCTION("""COMPUTED_VALUE"""),1.0)</f>
        <v>1</v>
      </c>
      <c r="U6389" s="4" t="str">
        <f>IFERROR(__xludf.DUMMYFUNCTION("""COMPUTED_VALUE"""),"null")</f>
        <v>null</v>
      </c>
      <c r="V6389" s="33">
        <f>IFERROR(__xludf.DUMMYFUNCTION("""COMPUTED_VALUE"""),0.5)</f>
        <v>0.5</v>
      </c>
      <c r="W6389" s="4" t="str">
        <f>IFERROR(__xludf.DUMMYFUNCTION("""COMPUTED_VALUE"""),"Saipos Serviços De Software")</f>
        <v>Saipos Serviços De Software</v>
      </c>
      <c r="X6389" s="33">
        <f>IFERROR(__xludf.DUMMYFUNCTION("""COMPUTED_VALUE"""),0.5)</f>
        <v>0.5</v>
      </c>
    </row>
    <row r="6390">
      <c r="K6390" s="4" t="str">
        <f>IFERROR(__xludf.DUMMYFUNCTION("""COMPUTED_VALUE"""),"SUPER BURGUER")</f>
        <v>SUPER BURGUER</v>
      </c>
      <c r="L6390" s="32">
        <f>IFERROR(__xludf.DUMMYFUNCTION("""COMPUTED_VALUE"""),2.0)</f>
        <v>2</v>
      </c>
      <c r="M6390" s="4" t="str">
        <f>IFERROR(__xludf.DUMMYFUNCTION("""COMPUTED_VALUE"""),"null")</f>
        <v>null</v>
      </c>
      <c r="N6390" s="33">
        <f>IFERROR(__xludf.DUMMYFUNCTION("""COMPUTED_VALUE"""),1.0)</f>
        <v>1</v>
      </c>
      <c r="O6390" s="4" t="str">
        <f>IFERROR(__xludf.DUMMYFUNCTION("""COMPUTED_VALUE"""),"null")</f>
        <v>null</v>
      </c>
      <c r="P6390" s="33">
        <f>IFERROR(__xludf.DUMMYFUNCTION("""COMPUTED_VALUE"""),1.0)</f>
        <v>1</v>
      </c>
      <c r="Q6390" s="4" t="str">
        <f>IFERROR(__xludf.DUMMYFUNCTION("""COMPUTED_VALUE"""),"null")</f>
        <v>null</v>
      </c>
      <c r="R6390" s="33">
        <f>IFERROR(__xludf.DUMMYFUNCTION("""COMPUTED_VALUE"""),1.0)</f>
        <v>1</v>
      </c>
      <c r="S6390" s="4" t="str">
        <f>IFERROR(__xludf.DUMMYFUNCTION("""COMPUTED_VALUE"""),"Instadelivery")</f>
        <v>Instadelivery</v>
      </c>
      <c r="T6390" s="33">
        <f>IFERROR(__xludf.DUMMYFUNCTION("""COMPUTED_VALUE"""),1.0)</f>
        <v>1</v>
      </c>
      <c r="U6390" s="4" t="str">
        <f>IFERROR(__xludf.DUMMYFUNCTION("""COMPUTED_VALUE"""),"Instadelivery")</f>
        <v>Instadelivery</v>
      </c>
      <c r="V6390" s="33">
        <f>IFERROR(__xludf.DUMMYFUNCTION("""COMPUTED_VALUE"""),1.0)</f>
        <v>1</v>
      </c>
      <c r="W6390" s="4" t="str">
        <f>IFERROR(__xludf.DUMMYFUNCTION("""COMPUTED_VALUE"""),"Instadelivery")</f>
        <v>Instadelivery</v>
      </c>
      <c r="X6390" s="33">
        <f>IFERROR(__xludf.DUMMYFUNCTION("""COMPUTED_VALUE"""),1.0)</f>
        <v>1</v>
      </c>
    </row>
    <row r="6391">
      <c r="K6391" s="4" t="str">
        <f>IFERROR(__xludf.DUMMYFUNCTION("""COMPUTED_VALUE"""),"SABOR E BRASA")</f>
        <v>SABOR E BRASA</v>
      </c>
      <c r="L6391" s="32">
        <f>IFERROR(__xludf.DUMMYFUNCTION("""COMPUTED_VALUE"""),2.0)</f>
        <v>2</v>
      </c>
      <c r="M6391" s="4" t="str">
        <f>IFERROR(__xludf.DUMMYFUNCTION("""COMPUTED_VALUE"""),"Consumer Soluções Em Tecnologia Ltda")</f>
        <v>Consumer Soluções Em Tecnologia Ltda</v>
      </c>
      <c r="N6391" s="33">
        <f>IFERROR(__xludf.DUMMYFUNCTION("""COMPUTED_VALUE"""),0.5)</f>
        <v>0.5</v>
      </c>
      <c r="O6391" s="4" t="str">
        <f>IFERROR(__xludf.DUMMYFUNCTION("""COMPUTED_VALUE"""),"Consumer Soluções Em Tecnologia Ltda")</f>
        <v>Consumer Soluções Em Tecnologia Ltda</v>
      </c>
      <c r="P6391" s="33">
        <f>IFERROR(__xludf.DUMMYFUNCTION("""COMPUTED_VALUE"""),0.5)</f>
        <v>0.5</v>
      </c>
      <c r="Q6391" s="4" t="str">
        <f>IFERROR(__xludf.DUMMYFUNCTION("""COMPUTED_VALUE"""),"null")</f>
        <v>null</v>
      </c>
      <c r="R6391" s="33">
        <f>IFERROR(__xludf.DUMMYFUNCTION("""COMPUTED_VALUE"""),0.5)</f>
        <v>0.5</v>
      </c>
      <c r="S6391" s="4" t="str">
        <f>IFERROR(__xludf.DUMMYFUNCTION("""COMPUTED_VALUE"""),"null")</f>
        <v>null</v>
      </c>
      <c r="T6391" s="33">
        <f>IFERROR(__xludf.DUMMYFUNCTION("""COMPUTED_VALUE"""),0.5)</f>
        <v>0.5</v>
      </c>
      <c r="U6391" s="4" t="str">
        <f>IFERROR(__xludf.DUMMYFUNCTION("""COMPUTED_VALUE"""),"null")</f>
        <v>null</v>
      </c>
      <c r="V6391" s="33">
        <f>IFERROR(__xludf.DUMMYFUNCTION("""COMPUTED_VALUE"""),0.5)</f>
        <v>0.5</v>
      </c>
      <c r="W6391" s="4" t="str">
        <f>IFERROR(__xludf.DUMMYFUNCTION("""COMPUTED_VALUE"""),"null")</f>
        <v>null</v>
      </c>
      <c r="X6391" s="33">
        <f>IFERROR(__xludf.DUMMYFUNCTION("""COMPUTED_VALUE"""),0.5)</f>
        <v>0.5</v>
      </c>
    </row>
    <row r="6392">
      <c r="K6392" s="4" t="str">
        <f>IFERROR(__xludf.DUMMYFUNCTION("""COMPUTED_VALUE"""),"COZINHA REAL")</f>
        <v>COZINHA REAL</v>
      </c>
      <c r="L6392" s="32">
        <f>IFERROR(__xludf.DUMMYFUNCTION("""COMPUTED_VALUE"""),2.0)</f>
        <v>2</v>
      </c>
      <c r="M6392" s="4" t="str">
        <f>IFERROR(__xludf.DUMMYFUNCTION("""COMPUTED_VALUE"""),"null")</f>
        <v>null</v>
      </c>
      <c r="N6392" s="33">
        <f>IFERROR(__xludf.DUMMYFUNCTION("""COMPUTED_VALUE"""),0.5)</f>
        <v>0.5</v>
      </c>
      <c r="O6392" s="4" t="str">
        <f>IFERROR(__xludf.DUMMYFUNCTION("""COMPUTED_VALUE"""),"Instadelivery")</f>
        <v>Instadelivery</v>
      </c>
      <c r="P6392" s="33">
        <f>IFERROR(__xludf.DUMMYFUNCTION("""COMPUTED_VALUE"""),0.5)</f>
        <v>0.5</v>
      </c>
      <c r="Q6392" s="4" t="str">
        <f>IFERROR(__xludf.DUMMYFUNCTION("""COMPUTED_VALUE"""),"Instadelivery")</f>
        <v>Instadelivery</v>
      </c>
      <c r="R6392" s="33">
        <f>IFERROR(__xludf.DUMMYFUNCTION("""COMPUTED_VALUE"""),0.5)</f>
        <v>0.5</v>
      </c>
      <c r="S6392" s="4" t="str">
        <f>IFERROR(__xludf.DUMMYFUNCTION("""COMPUTED_VALUE"""),"Instadelivery")</f>
        <v>Instadelivery</v>
      </c>
      <c r="T6392" s="33">
        <f>IFERROR(__xludf.DUMMYFUNCTION("""COMPUTED_VALUE"""),0.5)</f>
        <v>0.5</v>
      </c>
      <c r="U6392" s="4" t="str">
        <f>IFERROR(__xludf.DUMMYFUNCTION("""COMPUTED_VALUE"""),"Instadelivery")</f>
        <v>Instadelivery</v>
      </c>
      <c r="V6392" s="33">
        <f>IFERROR(__xludf.DUMMYFUNCTION("""COMPUTED_VALUE"""),0.5)</f>
        <v>0.5</v>
      </c>
      <c r="W6392" s="4" t="str">
        <f>IFERROR(__xludf.DUMMYFUNCTION("""COMPUTED_VALUE"""),"Instadelivery")</f>
        <v>Instadelivery</v>
      </c>
      <c r="X6392" s="33">
        <f>IFERROR(__xludf.DUMMYFUNCTION("""COMPUTED_VALUE"""),0.5)</f>
        <v>0.5</v>
      </c>
    </row>
    <row r="6393">
      <c r="K6393" s="4" t="str">
        <f>IFERROR(__xludf.DUMMYFUNCTION("""COMPUTED_VALUE"""),"GLOBAL BEBIDAS")</f>
        <v>GLOBAL BEBIDAS</v>
      </c>
      <c r="L6393" s="32">
        <f>IFERROR(__xludf.DUMMYFUNCTION("""COMPUTED_VALUE"""),2.0)</f>
        <v>2</v>
      </c>
      <c r="M6393" s="4" t="str">
        <f>IFERROR(__xludf.DUMMYFUNCTION("""COMPUTED_VALUE"""),"null")</f>
        <v>null</v>
      </c>
      <c r="N6393" s="33">
        <f>IFERROR(__xludf.DUMMYFUNCTION("""COMPUTED_VALUE"""),1.0)</f>
        <v>1</v>
      </c>
      <c r="O6393" s="4" t="str">
        <f>IFERROR(__xludf.DUMMYFUNCTION("""COMPUTED_VALUE"""),"null")</f>
        <v>null</v>
      </c>
      <c r="P6393" s="33">
        <f>IFERROR(__xludf.DUMMYFUNCTION("""COMPUTED_VALUE"""),1.0)</f>
        <v>1</v>
      </c>
      <c r="Q6393" s="4" t="str">
        <f>IFERROR(__xludf.DUMMYFUNCTION("""COMPUTED_VALUE"""),"null")</f>
        <v>null</v>
      </c>
      <c r="R6393" s="33">
        <f>IFERROR(__xludf.DUMMYFUNCTION("""COMPUTED_VALUE"""),0.5)</f>
        <v>0.5</v>
      </c>
      <c r="S6393" s="4" t="str">
        <f>IFERROR(__xludf.DUMMYFUNCTION("""COMPUTED_VALUE"""),"null")</f>
        <v>null</v>
      </c>
      <c r="T6393" s="33">
        <f>IFERROR(__xludf.DUMMYFUNCTION("""COMPUTED_VALUE"""),0.5)</f>
        <v>0.5</v>
      </c>
      <c r="U6393" s="4" t="str">
        <f>IFERROR(__xludf.DUMMYFUNCTION("""COMPUTED_VALUE"""),"null")</f>
        <v>null</v>
      </c>
      <c r="V6393" s="33">
        <f>IFERROR(__xludf.DUMMYFUNCTION("""COMPUTED_VALUE"""),0.5)</f>
        <v>0.5</v>
      </c>
      <c r="W6393" s="4" t="str">
        <f>IFERROR(__xludf.DUMMYFUNCTION("""COMPUTED_VALUE"""),"N/A (Not found)")</f>
        <v>N/A (Not found)</v>
      </c>
      <c r="X6393" s="33">
        <f>IFERROR(__xludf.DUMMYFUNCTION("""COMPUTED_VALUE"""),1.0)</f>
        <v>1</v>
      </c>
    </row>
    <row r="6394">
      <c r="K6394" s="4" t="str">
        <f>IFERROR(__xludf.DUMMYFUNCTION("""COMPUTED_VALUE"""),"CARTIER ACAI")</f>
        <v>CARTIER ACAI</v>
      </c>
      <c r="L6394" s="32">
        <f>IFERROR(__xludf.DUMMYFUNCTION("""COMPUTED_VALUE"""),2.0)</f>
        <v>2</v>
      </c>
      <c r="M6394" s="4" t="str">
        <f>IFERROR(__xludf.DUMMYFUNCTION("""COMPUTED_VALUE"""),"Saipos Serviços De Software")</f>
        <v>Saipos Serviços De Software</v>
      </c>
      <c r="N6394" s="33">
        <f>IFERROR(__xludf.DUMMYFUNCTION("""COMPUTED_VALUE"""),1.0)</f>
        <v>1</v>
      </c>
      <c r="O6394" s="4" t="str">
        <f>IFERROR(__xludf.DUMMYFUNCTION("""COMPUTED_VALUE"""),"Saipos Serviços De Software")</f>
        <v>Saipos Serviços De Software</v>
      </c>
      <c r="P6394" s="33">
        <f>IFERROR(__xludf.DUMMYFUNCTION("""COMPUTED_VALUE"""),1.0)</f>
        <v>1</v>
      </c>
      <c r="Q6394" s="4" t="str">
        <f>IFERROR(__xludf.DUMMYFUNCTION("""COMPUTED_VALUE"""),"Saipos Serviços De Software")</f>
        <v>Saipos Serviços De Software</v>
      </c>
      <c r="R6394" s="33">
        <f>IFERROR(__xludf.DUMMYFUNCTION("""COMPUTED_VALUE"""),1.0)</f>
        <v>1</v>
      </c>
      <c r="S6394" s="4" t="str">
        <f>IFERROR(__xludf.DUMMYFUNCTION("""COMPUTED_VALUE"""),"Saipos Serviços De Software")</f>
        <v>Saipos Serviços De Software</v>
      </c>
      <c r="T6394" s="33">
        <f>IFERROR(__xludf.DUMMYFUNCTION("""COMPUTED_VALUE"""),0.5)</f>
        <v>0.5</v>
      </c>
      <c r="U6394" s="4" t="str">
        <f>IFERROR(__xludf.DUMMYFUNCTION("""COMPUTED_VALUE"""),"Saipos Serviços De Software")</f>
        <v>Saipos Serviços De Software</v>
      </c>
      <c r="V6394" s="33">
        <f>IFERROR(__xludf.DUMMYFUNCTION("""COMPUTED_VALUE"""),0.5)</f>
        <v>0.5</v>
      </c>
      <c r="W6394" s="4" t="str">
        <f>IFERROR(__xludf.DUMMYFUNCTION("""COMPUTED_VALUE"""),"Saipos Serviços De Software")</f>
        <v>Saipos Serviços De Software</v>
      </c>
      <c r="X6394" s="33">
        <f>IFERROR(__xludf.DUMMYFUNCTION("""COMPUTED_VALUE"""),0.5)</f>
        <v>0.5</v>
      </c>
    </row>
    <row r="6395">
      <c r="K6395" s="4" t="str">
        <f>IFERROR(__xludf.DUMMYFUNCTION("""COMPUTED_VALUE"""),"SMASH HOUSE")</f>
        <v>SMASH HOUSE</v>
      </c>
      <c r="L6395" s="32">
        <f>IFERROR(__xludf.DUMMYFUNCTION("""COMPUTED_VALUE"""),2.0)</f>
        <v>2</v>
      </c>
      <c r="M6395" s="4" t="str">
        <f>IFERROR(__xludf.DUMMYFUNCTION("""COMPUTED_VALUE"""),"Saipos Serviços De Software")</f>
        <v>Saipos Serviços De Software</v>
      </c>
      <c r="N6395" s="33">
        <f>IFERROR(__xludf.DUMMYFUNCTION("""COMPUTED_VALUE"""),0.5)</f>
        <v>0.5</v>
      </c>
      <c r="O6395" s="4" t="str">
        <f>IFERROR(__xludf.DUMMYFUNCTION("""COMPUTED_VALUE"""),"Saipos Serviços De Software")</f>
        <v>Saipos Serviços De Software</v>
      </c>
      <c r="P6395" s="33">
        <f>IFERROR(__xludf.DUMMYFUNCTION("""COMPUTED_VALUE"""),0.5)</f>
        <v>0.5</v>
      </c>
      <c r="Q6395" s="4" t="str">
        <f>IFERROR(__xludf.DUMMYFUNCTION("""COMPUTED_VALUE"""),"Saipos Serviços De Software")</f>
        <v>Saipos Serviços De Software</v>
      </c>
      <c r="R6395" s="33">
        <f>IFERROR(__xludf.DUMMYFUNCTION("""COMPUTED_VALUE"""),0.5)</f>
        <v>0.5</v>
      </c>
      <c r="S6395" s="4" t="str">
        <f>IFERROR(__xludf.DUMMYFUNCTION("""COMPUTED_VALUE"""),"Saipos Serviços De Software")</f>
        <v>Saipos Serviços De Software</v>
      </c>
      <c r="T6395" s="33">
        <f>IFERROR(__xludf.DUMMYFUNCTION("""COMPUTED_VALUE"""),0.5)</f>
        <v>0.5</v>
      </c>
      <c r="U6395" s="4" t="str">
        <f>IFERROR(__xludf.DUMMYFUNCTION("""COMPUTED_VALUE"""),"Saipos Serviços De Software")</f>
        <v>Saipos Serviços De Software</v>
      </c>
      <c r="V6395" s="33">
        <f>IFERROR(__xludf.DUMMYFUNCTION("""COMPUTED_VALUE"""),0.5)</f>
        <v>0.5</v>
      </c>
      <c r="W6395" s="4" t="str">
        <f>IFERROR(__xludf.DUMMYFUNCTION("""COMPUTED_VALUE"""),"Saipos Serviços De Software")</f>
        <v>Saipos Serviços De Software</v>
      </c>
      <c r="X6395" s="33">
        <f>IFERROR(__xludf.DUMMYFUNCTION("""COMPUTED_VALUE"""),0.5)</f>
        <v>0.5</v>
      </c>
    </row>
    <row r="6396">
      <c r="K6396" s="4" t="str">
        <f>IFERROR(__xludf.DUMMYFUNCTION("""COMPUTED_VALUE"""),"MACGYVER BURGUERIA - CENTRO SUL")</f>
        <v>MACGYVER BURGUERIA - CENTRO SUL</v>
      </c>
      <c r="L6396" s="32">
        <f>IFERROR(__xludf.DUMMYFUNCTION("""COMPUTED_VALUE"""),2.0)</f>
        <v>2</v>
      </c>
      <c r="M6396" s="4" t="str">
        <f>IFERROR(__xludf.DUMMYFUNCTION("""COMPUTED_VALUE"""),"Saipos Serviços De Software")</f>
        <v>Saipos Serviços De Software</v>
      </c>
      <c r="N6396" s="33">
        <f>IFERROR(__xludf.DUMMYFUNCTION("""COMPUTED_VALUE"""),1.0)</f>
        <v>1</v>
      </c>
      <c r="O6396" s="4" t="str">
        <f>IFERROR(__xludf.DUMMYFUNCTION("""COMPUTED_VALUE"""),"Saipos Serviços De Software")</f>
        <v>Saipos Serviços De Software</v>
      </c>
      <c r="P6396" s="33">
        <f>IFERROR(__xludf.DUMMYFUNCTION("""COMPUTED_VALUE"""),1.0)</f>
        <v>1</v>
      </c>
      <c r="Q6396" s="4" t="str">
        <f>IFERROR(__xludf.DUMMYFUNCTION("""COMPUTED_VALUE"""),"Saipos Serviços De Software")</f>
        <v>Saipos Serviços De Software</v>
      </c>
      <c r="R6396" s="33">
        <f>IFERROR(__xludf.DUMMYFUNCTION("""COMPUTED_VALUE"""),1.0)</f>
        <v>1</v>
      </c>
      <c r="S6396" s="4" t="str">
        <f>IFERROR(__xludf.DUMMYFUNCTION("""COMPUTED_VALUE"""),"Saipos Serviços De Software")</f>
        <v>Saipos Serviços De Software</v>
      </c>
      <c r="T6396" s="33">
        <f>IFERROR(__xludf.DUMMYFUNCTION("""COMPUTED_VALUE"""),1.0)</f>
        <v>1</v>
      </c>
      <c r="U6396" s="4" t="str">
        <f>IFERROR(__xludf.DUMMYFUNCTION("""COMPUTED_VALUE"""),"null")</f>
        <v>null</v>
      </c>
      <c r="V6396" s="33">
        <f>IFERROR(__xludf.DUMMYFUNCTION("""COMPUTED_VALUE"""),0.5)</f>
        <v>0.5</v>
      </c>
      <c r="W6396" s="4" t="str">
        <f>IFERROR(__xludf.DUMMYFUNCTION("""COMPUTED_VALUE"""),"null")</f>
        <v>null</v>
      </c>
      <c r="X6396" s="33">
        <f>IFERROR(__xludf.DUMMYFUNCTION("""COMPUTED_VALUE"""),0.5)</f>
        <v>0.5</v>
      </c>
    </row>
    <row r="6397">
      <c r="K6397" s="4" t="str">
        <f>IFERROR(__xludf.DUMMYFUNCTION("""COMPUTED_VALUE"""),"TIO JO BURGS - HAMBURGUERIA")</f>
        <v>TIO JO BURGS - HAMBURGUERIA</v>
      </c>
      <c r="L6397" s="32">
        <f>IFERROR(__xludf.DUMMYFUNCTION("""COMPUTED_VALUE"""),2.0)</f>
        <v>2</v>
      </c>
      <c r="M6397" s="4" t="str">
        <f>IFERROR(__xludf.DUMMYFUNCTION("""COMPUTED_VALUE"""),"Cardápio Web")</f>
        <v>Cardápio Web</v>
      </c>
      <c r="N6397" s="33">
        <f>IFERROR(__xludf.DUMMYFUNCTION("""COMPUTED_VALUE"""),1.0)</f>
        <v>1</v>
      </c>
      <c r="O6397" s="4" t="str">
        <f>IFERROR(__xludf.DUMMYFUNCTION("""COMPUTED_VALUE"""),"Cardápio Web")</f>
        <v>Cardápio Web</v>
      </c>
      <c r="P6397" s="33">
        <f>IFERROR(__xludf.DUMMYFUNCTION("""COMPUTED_VALUE"""),1.0)</f>
        <v>1</v>
      </c>
      <c r="Q6397" s="4" t="str">
        <f>IFERROR(__xludf.DUMMYFUNCTION("""COMPUTED_VALUE"""),"Agilizup Solucoes Ltda")</f>
        <v>Agilizup Solucoes Ltda</v>
      </c>
      <c r="R6397" s="33">
        <f>IFERROR(__xludf.DUMMYFUNCTION("""COMPUTED_VALUE"""),0.5)</f>
        <v>0.5</v>
      </c>
      <c r="S6397" s="4" t="str">
        <f>IFERROR(__xludf.DUMMYFUNCTION("""COMPUTED_VALUE"""),"Cardápio Web")</f>
        <v>Cardápio Web</v>
      </c>
      <c r="T6397" s="33">
        <f>IFERROR(__xludf.DUMMYFUNCTION("""COMPUTED_VALUE"""),1.0)</f>
        <v>1</v>
      </c>
      <c r="U6397" s="4" t="str">
        <f>IFERROR(__xludf.DUMMYFUNCTION("""COMPUTED_VALUE"""),"Cardápio Web")</f>
        <v>Cardápio Web</v>
      </c>
      <c r="V6397" s="33">
        <f>IFERROR(__xludf.DUMMYFUNCTION("""COMPUTED_VALUE"""),1.0)</f>
        <v>1</v>
      </c>
      <c r="W6397" s="4" t="str">
        <f>IFERROR(__xludf.DUMMYFUNCTION("""COMPUTED_VALUE"""),"Cardápio Web")</f>
        <v>Cardápio Web</v>
      </c>
      <c r="X6397" s="33">
        <f>IFERROR(__xludf.DUMMYFUNCTION("""COMPUTED_VALUE"""),1.0)</f>
        <v>1</v>
      </c>
    </row>
    <row r="6398">
      <c r="K6398" s="4" t="str">
        <f>IFERROR(__xludf.DUMMYFUNCTION("""COMPUTED_VALUE"""),"DON CHICO PIZZARIA")</f>
        <v>DON CHICO PIZZARIA</v>
      </c>
      <c r="L6398" s="32">
        <f>IFERROR(__xludf.DUMMYFUNCTION("""COMPUTED_VALUE"""),2.0)</f>
        <v>2</v>
      </c>
      <c r="M6398" s="4" t="str">
        <f>IFERROR(__xludf.DUMMYFUNCTION("""COMPUTED_VALUE"""),"null")</f>
        <v>null</v>
      </c>
      <c r="N6398" s="33">
        <f>IFERROR(__xludf.DUMMYFUNCTION("""COMPUTED_VALUE"""),1.0)</f>
        <v>1</v>
      </c>
      <c r="O6398" s="4" t="str">
        <f>IFERROR(__xludf.DUMMYFUNCTION("""COMPUTED_VALUE"""),"null")</f>
        <v>null</v>
      </c>
      <c r="P6398" s="33">
        <f>IFERROR(__xludf.DUMMYFUNCTION("""COMPUTED_VALUE"""),1.0)</f>
        <v>1</v>
      </c>
      <c r="Q6398" s="4" t="str">
        <f>IFERROR(__xludf.DUMMYFUNCTION("""COMPUTED_VALUE"""),"null")</f>
        <v>null</v>
      </c>
      <c r="R6398" s="33">
        <f>IFERROR(__xludf.DUMMYFUNCTION("""COMPUTED_VALUE"""),1.0)</f>
        <v>1</v>
      </c>
      <c r="S6398" s="4" t="str">
        <f>IFERROR(__xludf.DUMMYFUNCTION("""COMPUTED_VALUE"""),"null")</f>
        <v>null</v>
      </c>
      <c r="T6398" s="33">
        <f>IFERROR(__xludf.DUMMYFUNCTION("""COMPUTED_VALUE"""),1.0)</f>
        <v>1</v>
      </c>
      <c r="U6398" s="4" t="str">
        <f>IFERROR(__xludf.DUMMYFUNCTION("""COMPUTED_VALUE"""),"null")</f>
        <v>null</v>
      </c>
      <c r="V6398" s="33">
        <f>IFERROR(__xludf.DUMMYFUNCTION("""COMPUTED_VALUE"""),1.0)</f>
        <v>1</v>
      </c>
      <c r="W6398" s="4" t="str">
        <f>IFERROR(__xludf.DUMMYFUNCTION("""COMPUTED_VALUE"""),"Saipos Serviços De Software")</f>
        <v>Saipos Serviços De Software</v>
      </c>
      <c r="X6398" s="33">
        <f>IFERROR(__xludf.DUMMYFUNCTION("""COMPUTED_VALUE"""),1.0)</f>
        <v>1</v>
      </c>
    </row>
    <row r="6399">
      <c r="K6399" s="4" t="str">
        <f>IFERROR(__xludf.DUMMYFUNCTION("""COMPUTED_VALUE"""),"PREMIUM SUSHI")</f>
        <v>PREMIUM SUSHI</v>
      </c>
      <c r="L6399" s="32">
        <f>IFERROR(__xludf.DUMMYFUNCTION("""COMPUTED_VALUE"""),2.0)</f>
        <v>2</v>
      </c>
      <c r="M6399" s="4" t="str">
        <f>IFERROR(__xludf.DUMMYFUNCTION("""COMPUTED_VALUE"""),"Cardápio Web")</f>
        <v>Cardápio Web</v>
      </c>
      <c r="N6399" s="33">
        <f>IFERROR(__xludf.DUMMYFUNCTION("""COMPUTED_VALUE"""),1.0)</f>
        <v>1</v>
      </c>
      <c r="O6399" s="4" t="str">
        <f>IFERROR(__xludf.DUMMYFUNCTION("""COMPUTED_VALUE"""),"Cardápio Web")</f>
        <v>Cardápio Web</v>
      </c>
      <c r="P6399" s="33">
        <f>IFERROR(__xludf.DUMMYFUNCTION("""COMPUTED_VALUE"""),0.5)</f>
        <v>0.5</v>
      </c>
      <c r="Q6399" s="4" t="str">
        <f>IFERROR(__xludf.DUMMYFUNCTION("""COMPUTED_VALUE"""),"Cardápio Web")</f>
        <v>Cardápio Web</v>
      </c>
      <c r="R6399" s="33">
        <f>IFERROR(__xludf.DUMMYFUNCTION("""COMPUTED_VALUE"""),0.5)</f>
        <v>0.5</v>
      </c>
      <c r="S6399" s="4" t="str">
        <f>IFERROR(__xludf.DUMMYFUNCTION("""COMPUTED_VALUE"""),"null")</f>
        <v>null</v>
      </c>
      <c r="T6399" s="33">
        <f>IFERROR(__xludf.DUMMYFUNCTION("""COMPUTED_VALUE"""),0.5)</f>
        <v>0.5</v>
      </c>
      <c r="U6399" s="4" t="str">
        <f>IFERROR(__xludf.DUMMYFUNCTION("""COMPUTED_VALUE"""),"Cardápio Web")</f>
        <v>Cardápio Web</v>
      </c>
      <c r="V6399" s="33">
        <f>IFERROR(__xludf.DUMMYFUNCTION("""COMPUTED_VALUE"""),0.5)</f>
        <v>0.5</v>
      </c>
      <c r="W6399" s="4" t="str">
        <f>IFERROR(__xludf.DUMMYFUNCTION("""COMPUTED_VALUE"""),"null")</f>
        <v>null</v>
      </c>
      <c r="X6399" s="33">
        <f>IFERROR(__xludf.DUMMYFUNCTION("""COMPUTED_VALUE"""),0.5)</f>
        <v>0.5</v>
      </c>
    </row>
    <row r="6400">
      <c r="K6400" s="4" t="str">
        <f>IFERROR(__xludf.DUMMYFUNCTION("""COMPUTED_VALUE"""),"MASTER DOGS")</f>
        <v>MASTER DOGS</v>
      </c>
      <c r="L6400" s="32">
        <f>IFERROR(__xludf.DUMMYFUNCTION("""COMPUTED_VALUE"""),2.0)</f>
        <v>2</v>
      </c>
      <c r="M6400" s="4" t="str">
        <f>IFERROR(__xludf.DUMMYFUNCTION("""COMPUTED_VALUE"""),"Saipos Serviços De Software")</f>
        <v>Saipos Serviços De Software</v>
      </c>
      <c r="N6400" s="33">
        <f>IFERROR(__xludf.DUMMYFUNCTION("""COMPUTED_VALUE"""),0.5)</f>
        <v>0.5</v>
      </c>
      <c r="O6400" s="4" t="str">
        <f>IFERROR(__xludf.DUMMYFUNCTION("""COMPUTED_VALUE"""),"Saipos Serviços De Software")</f>
        <v>Saipos Serviços De Software</v>
      </c>
      <c r="P6400" s="33">
        <f>IFERROR(__xludf.DUMMYFUNCTION("""COMPUTED_VALUE"""),0.5)</f>
        <v>0.5</v>
      </c>
      <c r="Q6400" s="4" t="str">
        <f>IFERROR(__xludf.DUMMYFUNCTION("""COMPUTED_VALUE"""),"Saipos Serviços De Software")</f>
        <v>Saipos Serviços De Software</v>
      </c>
      <c r="R6400" s="33">
        <f>IFERROR(__xludf.DUMMYFUNCTION("""COMPUTED_VALUE"""),0.5)</f>
        <v>0.5</v>
      </c>
      <c r="S6400" s="4" t="str">
        <f>IFERROR(__xludf.DUMMYFUNCTION("""COMPUTED_VALUE"""),"Saipos Serviços De Software")</f>
        <v>Saipos Serviços De Software</v>
      </c>
      <c r="T6400" s="33">
        <f>IFERROR(__xludf.DUMMYFUNCTION("""COMPUTED_VALUE"""),0.5)</f>
        <v>0.5</v>
      </c>
      <c r="U6400" s="4" t="str">
        <f>IFERROR(__xludf.DUMMYFUNCTION("""COMPUTED_VALUE"""),"Saipos Serviços De Software")</f>
        <v>Saipos Serviços De Software</v>
      </c>
      <c r="V6400" s="33">
        <f>IFERROR(__xludf.DUMMYFUNCTION("""COMPUTED_VALUE"""),0.5)</f>
        <v>0.5</v>
      </c>
      <c r="W6400" s="4" t="str">
        <f>IFERROR(__xludf.DUMMYFUNCTION("""COMPUTED_VALUE"""),"Saipos Serviços De Software")</f>
        <v>Saipos Serviços De Software</v>
      </c>
      <c r="X6400" s="33">
        <f>IFERROR(__xludf.DUMMYFUNCTION("""COMPUTED_VALUE"""),0.5)</f>
        <v>0.5</v>
      </c>
    </row>
    <row r="6401">
      <c r="K6401" s="4" t="str">
        <f>IFERROR(__xludf.DUMMYFUNCTION("""COMPUTED_VALUE"""),"ZITTA SWEET SHOP - COOKIES")</f>
        <v>ZITTA SWEET SHOP - COOKIES</v>
      </c>
      <c r="L6401" s="32">
        <f>IFERROR(__xludf.DUMMYFUNCTION("""COMPUTED_VALUE"""),2.0)</f>
        <v>2</v>
      </c>
      <c r="M6401" s="4" t="str">
        <f>IFERROR(__xludf.DUMMYFUNCTION("""COMPUTED_VALUE"""),"Menew - Linx")</f>
        <v>Menew - Linx</v>
      </c>
      <c r="N6401" s="33">
        <f>IFERROR(__xludf.DUMMYFUNCTION("""COMPUTED_VALUE"""),1.0)</f>
        <v>1</v>
      </c>
      <c r="O6401" s="4" t="str">
        <f>IFERROR(__xludf.DUMMYFUNCTION("""COMPUTED_VALUE"""),"Menew - Linx")</f>
        <v>Menew - Linx</v>
      </c>
      <c r="P6401" s="33">
        <f>IFERROR(__xludf.DUMMYFUNCTION("""COMPUTED_VALUE"""),1.0)</f>
        <v>1</v>
      </c>
      <c r="Q6401" s="4" t="str">
        <f>IFERROR(__xludf.DUMMYFUNCTION("""COMPUTED_VALUE"""),"Menew - Linx")</f>
        <v>Menew - Linx</v>
      </c>
      <c r="R6401" s="33">
        <f>IFERROR(__xludf.DUMMYFUNCTION("""COMPUTED_VALUE"""),1.0)</f>
        <v>1</v>
      </c>
      <c r="S6401" s="4" t="str">
        <f>IFERROR(__xludf.DUMMYFUNCTION("""COMPUTED_VALUE"""),"Menew - Linx")</f>
        <v>Menew - Linx</v>
      </c>
      <c r="T6401" s="33">
        <f>IFERROR(__xludf.DUMMYFUNCTION("""COMPUTED_VALUE"""),1.0)</f>
        <v>1</v>
      </c>
      <c r="U6401" s="4" t="str">
        <f>IFERROR(__xludf.DUMMYFUNCTION("""COMPUTED_VALUE"""),"Menew - Linx")</f>
        <v>Menew - Linx</v>
      </c>
      <c r="V6401" s="33">
        <f>IFERROR(__xludf.DUMMYFUNCTION("""COMPUTED_VALUE"""),1.0)</f>
        <v>1</v>
      </c>
      <c r="W6401" s="4" t="str">
        <f>IFERROR(__xludf.DUMMYFUNCTION("""COMPUTED_VALUE"""),"Menew - Linx")</f>
        <v>Menew - Linx</v>
      </c>
      <c r="X6401" s="33">
        <f>IFERROR(__xludf.DUMMYFUNCTION("""COMPUTED_VALUE"""),1.0)</f>
        <v>1</v>
      </c>
    </row>
    <row r="6402">
      <c r="K6402" s="4" t="str">
        <f>IFERROR(__xludf.DUMMYFUNCTION("""COMPUTED_VALUE"""),"IMPERADOR SALGADOS")</f>
        <v>IMPERADOR SALGADOS</v>
      </c>
      <c r="L6402" s="32">
        <f>IFERROR(__xludf.DUMMYFUNCTION("""COMPUTED_VALUE"""),2.0)</f>
        <v>2</v>
      </c>
      <c r="M6402" s="4" t="str">
        <f>IFERROR(__xludf.DUMMYFUNCTION("""COMPUTED_VALUE"""),"Saipos Serviços De Software")</f>
        <v>Saipos Serviços De Software</v>
      </c>
      <c r="N6402" s="33">
        <f>IFERROR(__xludf.DUMMYFUNCTION("""COMPUTED_VALUE"""),0.5)</f>
        <v>0.5</v>
      </c>
      <c r="O6402" s="4" t="str">
        <f>IFERROR(__xludf.DUMMYFUNCTION("""COMPUTED_VALUE"""),"Saipos Serviços De Software")</f>
        <v>Saipos Serviços De Software</v>
      </c>
      <c r="P6402" s="33">
        <f>IFERROR(__xludf.DUMMYFUNCTION("""COMPUTED_VALUE"""),0.5)</f>
        <v>0.5</v>
      </c>
      <c r="Q6402" s="4" t="str">
        <f>IFERROR(__xludf.DUMMYFUNCTION("""COMPUTED_VALUE"""),"Saipos Serviços De Software")</f>
        <v>Saipos Serviços De Software</v>
      </c>
      <c r="R6402" s="33">
        <f>IFERROR(__xludf.DUMMYFUNCTION("""COMPUTED_VALUE"""),0.5)</f>
        <v>0.5</v>
      </c>
      <c r="S6402" s="4" t="str">
        <f>IFERROR(__xludf.DUMMYFUNCTION("""COMPUTED_VALUE"""),"Saipos Serviços De Software")</f>
        <v>Saipos Serviços De Software</v>
      </c>
      <c r="T6402" s="33">
        <f>IFERROR(__xludf.DUMMYFUNCTION("""COMPUTED_VALUE"""),0.5)</f>
        <v>0.5</v>
      </c>
      <c r="U6402" s="4" t="str">
        <f>IFERROR(__xludf.DUMMYFUNCTION("""COMPUTED_VALUE"""),"Saipos Serviços De Software")</f>
        <v>Saipos Serviços De Software</v>
      </c>
      <c r="V6402" s="33">
        <f>IFERROR(__xludf.DUMMYFUNCTION("""COMPUTED_VALUE"""),0.5)</f>
        <v>0.5</v>
      </c>
      <c r="W6402" s="4" t="str">
        <f>IFERROR(__xludf.DUMMYFUNCTION("""COMPUTED_VALUE"""),"Saipos Serviços De Software")</f>
        <v>Saipos Serviços De Software</v>
      </c>
      <c r="X6402" s="33">
        <f>IFERROR(__xludf.DUMMYFUNCTION("""COMPUTED_VALUE"""),0.5)</f>
        <v>0.5</v>
      </c>
    </row>
    <row r="6403">
      <c r="K6403" s="4" t="str">
        <f>IFERROR(__xludf.DUMMYFUNCTION("""COMPUTED_VALUE"""),"NIHON SUSHI")</f>
        <v>NIHON SUSHI</v>
      </c>
      <c r="L6403" s="32">
        <f>IFERROR(__xludf.DUMMYFUNCTION("""COMPUTED_VALUE"""),2.0)</f>
        <v>2</v>
      </c>
      <c r="M6403" s="4" t="str">
        <f>IFERROR(__xludf.DUMMYFUNCTION("""COMPUTED_VALUE"""),"Vuca Solution")</f>
        <v>Vuca Solution</v>
      </c>
      <c r="N6403" s="33">
        <f>IFERROR(__xludf.DUMMYFUNCTION("""COMPUTED_VALUE"""),0.5)</f>
        <v>0.5</v>
      </c>
      <c r="O6403" s="4" t="str">
        <f>IFERROR(__xludf.DUMMYFUNCTION("""COMPUTED_VALUE"""),"Vuca Solution")</f>
        <v>Vuca Solution</v>
      </c>
      <c r="P6403" s="33">
        <f>IFERROR(__xludf.DUMMYFUNCTION("""COMPUTED_VALUE"""),0.5)</f>
        <v>0.5</v>
      </c>
      <c r="Q6403" s="4" t="str">
        <f>IFERROR(__xludf.DUMMYFUNCTION("""COMPUTED_VALUE"""),"Vuca Solution")</f>
        <v>Vuca Solution</v>
      </c>
      <c r="R6403" s="33">
        <f>IFERROR(__xludf.DUMMYFUNCTION("""COMPUTED_VALUE"""),0.5)</f>
        <v>0.5</v>
      </c>
      <c r="S6403" s="4" t="str">
        <f>IFERROR(__xludf.DUMMYFUNCTION("""COMPUTED_VALUE"""),"Vuca Solution")</f>
        <v>Vuca Solution</v>
      </c>
      <c r="T6403" s="33">
        <f>IFERROR(__xludf.DUMMYFUNCTION("""COMPUTED_VALUE"""),0.5)</f>
        <v>0.5</v>
      </c>
      <c r="U6403" s="4" t="str">
        <f>IFERROR(__xludf.DUMMYFUNCTION("""COMPUTED_VALUE"""),"Vuca Solution")</f>
        <v>Vuca Solution</v>
      </c>
      <c r="V6403" s="33">
        <f>IFERROR(__xludf.DUMMYFUNCTION("""COMPUTED_VALUE"""),0.5)</f>
        <v>0.5</v>
      </c>
      <c r="W6403" s="4" t="str">
        <f>IFERROR(__xludf.DUMMYFUNCTION("""COMPUTED_VALUE"""),"Vuca Solution")</f>
        <v>Vuca Solution</v>
      </c>
      <c r="X6403" s="33">
        <f>IFERROR(__xludf.DUMMYFUNCTION("""COMPUTED_VALUE"""),0.5)</f>
        <v>0.5</v>
      </c>
    </row>
    <row r="6404">
      <c r="K6404" s="4" t="str">
        <f>IFERROR(__xludf.DUMMYFUNCTION("""COMPUTED_VALUE"""),"KAIJIN SUSHI")</f>
        <v>KAIJIN SUSHI</v>
      </c>
      <c r="L6404" s="32">
        <f>IFERROR(__xludf.DUMMYFUNCTION("""COMPUTED_VALUE"""),2.0)</f>
        <v>2</v>
      </c>
      <c r="M6404" s="4" t="str">
        <f>IFERROR(__xludf.DUMMYFUNCTION("""COMPUTED_VALUE"""),"Suitable Tecnologia E Gestao")</f>
        <v>Suitable Tecnologia E Gestao</v>
      </c>
      <c r="N6404" s="33">
        <f>IFERROR(__xludf.DUMMYFUNCTION("""COMPUTED_VALUE"""),1.0)</f>
        <v>1</v>
      </c>
      <c r="O6404" s="4" t="str">
        <f>IFERROR(__xludf.DUMMYFUNCTION("""COMPUTED_VALUE"""),"Suitable Tecnologia E Gestao")</f>
        <v>Suitable Tecnologia E Gestao</v>
      </c>
      <c r="P6404" s="33">
        <f>IFERROR(__xludf.DUMMYFUNCTION("""COMPUTED_VALUE"""),1.0)</f>
        <v>1</v>
      </c>
      <c r="Q6404" s="4" t="str">
        <f>IFERROR(__xludf.DUMMYFUNCTION("""COMPUTED_VALUE"""),"Suitable Tecnologia E Gestao")</f>
        <v>Suitable Tecnologia E Gestao</v>
      </c>
      <c r="R6404" s="33">
        <f>IFERROR(__xludf.DUMMYFUNCTION("""COMPUTED_VALUE"""),1.0)</f>
        <v>1</v>
      </c>
      <c r="S6404" s="4" t="str">
        <f>IFERROR(__xludf.DUMMYFUNCTION("""COMPUTED_VALUE"""),"Suitable Tecnologia E Gestao")</f>
        <v>Suitable Tecnologia E Gestao</v>
      </c>
      <c r="T6404" s="33">
        <f>IFERROR(__xludf.DUMMYFUNCTION("""COMPUTED_VALUE"""),1.0)</f>
        <v>1</v>
      </c>
      <c r="U6404" s="4" t="str">
        <f>IFERROR(__xludf.DUMMYFUNCTION("""COMPUTED_VALUE"""),"Suitable Tecnologia E Gestao")</f>
        <v>Suitable Tecnologia E Gestao</v>
      </c>
      <c r="V6404" s="33">
        <f>IFERROR(__xludf.DUMMYFUNCTION("""COMPUTED_VALUE"""),1.0)</f>
        <v>1</v>
      </c>
      <c r="W6404" s="4" t="str">
        <f>IFERROR(__xludf.DUMMYFUNCTION("""COMPUTED_VALUE"""),"Suitable Tecnologia E Gestao")</f>
        <v>Suitable Tecnologia E Gestao</v>
      </c>
      <c r="X6404" s="33">
        <f>IFERROR(__xludf.DUMMYFUNCTION("""COMPUTED_VALUE"""),1.0)</f>
        <v>1</v>
      </c>
    </row>
    <row r="6405">
      <c r="K6405" s="4" t="str">
        <f>IFERROR(__xludf.DUMMYFUNCTION("""COMPUTED_VALUE"""),"PIZZARIA ROMA")</f>
        <v>PIZZARIA ROMA</v>
      </c>
      <c r="L6405" s="32">
        <f>IFERROR(__xludf.DUMMYFUNCTION("""COMPUTED_VALUE"""),2.0)</f>
        <v>2</v>
      </c>
      <c r="M6405" s="4" t="str">
        <f>IFERROR(__xludf.DUMMYFUNCTION("""COMPUTED_VALUE"""),"null")</f>
        <v>null</v>
      </c>
      <c r="N6405" s="33">
        <f>IFERROR(__xludf.DUMMYFUNCTION("""COMPUTED_VALUE"""),0.5)</f>
        <v>0.5</v>
      </c>
      <c r="O6405" s="4" t="str">
        <f>IFERROR(__xludf.DUMMYFUNCTION("""COMPUTED_VALUE"""),"null")</f>
        <v>null</v>
      </c>
      <c r="P6405" s="33">
        <f>IFERROR(__xludf.DUMMYFUNCTION("""COMPUTED_VALUE"""),0.5)</f>
        <v>0.5</v>
      </c>
      <c r="Q6405" s="4" t="str">
        <f>IFERROR(__xludf.DUMMYFUNCTION("""COMPUTED_VALUE"""),"null")</f>
        <v>null</v>
      </c>
      <c r="R6405" s="33">
        <f>IFERROR(__xludf.DUMMYFUNCTION("""COMPUTED_VALUE"""),0.5)</f>
        <v>0.5</v>
      </c>
      <c r="S6405" s="4" t="str">
        <f>IFERROR(__xludf.DUMMYFUNCTION("""COMPUTED_VALUE"""),"null")</f>
        <v>null</v>
      </c>
      <c r="T6405" s="33">
        <f>IFERROR(__xludf.DUMMYFUNCTION("""COMPUTED_VALUE"""),0.5)</f>
        <v>0.5</v>
      </c>
      <c r="U6405" s="4" t="str">
        <f>IFERROR(__xludf.DUMMYFUNCTION("""COMPUTED_VALUE"""),"null")</f>
        <v>null</v>
      </c>
      <c r="V6405" s="33">
        <f>IFERROR(__xludf.DUMMYFUNCTION("""COMPUTED_VALUE"""),0.5)</f>
        <v>0.5</v>
      </c>
      <c r="W6405" s="4" t="str">
        <f>IFERROR(__xludf.DUMMYFUNCTION("""COMPUTED_VALUE"""),"Schneider Software")</f>
        <v>Schneider Software</v>
      </c>
      <c r="X6405" s="33">
        <f>IFERROR(__xludf.DUMMYFUNCTION("""COMPUTED_VALUE"""),0.5)</f>
        <v>0.5</v>
      </c>
    </row>
    <row r="6406">
      <c r="K6406" s="4" t="str">
        <f>IFERROR(__xludf.DUMMYFUNCTION("""COMPUTED_VALUE"""),"PONTO XIS")</f>
        <v>PONTO XIS</v>
      </c>
      <c r="L6406" s="32">
        <f>IFERROR(__xludf.DUMMYFUNCTION("""COMPUTED_VALUE"""),2.0)</f>
        <v>2</v>
      </c>
      <c r="M6406" s="4" t="str">
        <f>IFERROR(__xludf.DUMMYFUNCTION("""COMPUTED_VALUE"""),"Saipos Serviços De Software")</f>
        <v>Saipos Serviços De Software</v>
      </c>
      <c r="N6406" s="33">
        <f>IFERROR(__xludf.DUMMYFUNCTION("""COMPUTED_VALUE"""),0.5)</f>
        <v>0.5</v>
      </c>
      <c r="O6406" s="4" t="str">
        <f>IFERROR(__xludf.DUMMYFUNCTION("""COMPUTED_VALUE"""),"Saipos Serviços De Software")</f>
        <v>Saipos Serviços De Software</v>
      </c>
      <c r="P6406" s="33">
        <f>IFERROR(__xludf.DUMMYFUNCTION("""COMPUTED_VALUE"""),0.5)</f>
        <v>0.5</v>
      </c>
      <c r="Q6406" s="4" t="str">
        <f>IFERROR(__xludf.DUMMYFUNCTION("""COMPUTED_VALUE"""),"Saipos Serviços De Software")</f>
        <v>Saipos Serviços De Software</v>
      </c>
      <c r="R6406" s="33">
        <f>IFERROR(__xludf.DUMMYFUNCTION("""COMPUTED_VALUE"""),0.5)</f>
        <v>0.5</v>
      </c>
      <c r="S6406" s="4" t="str">
        <f>IFERROR(__xludf.DUMMYFUNCTION("""COMPUTED_VALUE"""),"Saipos Serviços De Software")</f>
        <v>Saipos Serviços De Software</v>
      </c>
      <c r="T6406" s="33">
        <f>IFERROR(__xludf.DUMMYFUNCTION("""COMPUTED_VALUE"""),0.5)</f>
        <v>0.5</v>
      </c>
      <c r="U6406" s="4" t="str">
        <f>IFERROR(__xludf.DUMMYFUNCTION("""COMPUTED_VALUE"""),"Saipos Serviços De Software")</f>
        <v>Saipos Serviços De Software</v>
      </c>
      <c r="V6406" s="33">
        <f>IFERROR(__xludf.DUMMYFUNCTION("""COMPUTED_VALUE"""),0.5)</f>
        <v>0.5</v>
      </c>
      <c r="W6406" s="4" t="str">
        <f>IFERROR(__xludf.DUMMYFUNCTION("""COMPUTED_VALUE"""),"Saipos Serviços De Software")</f>
        <v>Saipos Serviços De Software</v>
      </c>
      <c r="X6406" s="33">
        <f>IFERROR(__xludf.DUMMYFUNCTION("""COMPUTED_VALUE"""),0.5)</f>
        <v>0.5</v>
      </c>
    </row>
    <row r="6407">
      <c r="K6407" s="4" t="str">
        <f>IFERROR(__xludf.DUMMYFUNCTION("""COMPUTED_VALUE"""),"TO FRITO SALGADOS")</f>
        <v>TO FRITO SALGADOS</v>
      </c>
      <c r="L6407" s="32">
        <f>IFERROR(__xludf.DUMMYFUNCTION("""COMPUTED_VALUE"""),2.0)</f>
        <v>2</v>
      </c>
      <c r="M6407" s="4" t="str">
        <f>IFERROR(__xludf.DUMMYFUNCTION("""COMPUTED_VALUE"""),"Anota Ai Solucoes Digitais S/a")</f>
        <v>Anota Ai Solucoes Digitais S/a</v>
      </c>
      <c r="N6407" s="33">
        <f>IFERROR(__xludf.DUMMYFUNCTION("""COMPUTED_VALUE"""),0.5)</f>
        <v>0.5</v>
      </c>
      <c r="O6407" s="4" t="str">
        <f>IFERROR(__xludf.DUMMYFUNCTION("""COMPUTED_VALUE"""),"Anota Ai Solucoes Digitais S/a")</f>
        <v>Anota Ai Solucoes Digitais S/a</v>
      </c>
      <c r="P6407" s="33">
        <f>IFERROR(__xludf.DUMMYFUNCTION("""COMPUTED_VALUE"""),0.5)</f>
        <v>0.5</v>
      </c>
      <c r="Q6407" s="4" t="str">
        <f>IFERROR(__xludf.DUMMYFUNCTION("""COMPUTED_VALUE"""),"null")</f>
        <v>null</v>
      </c>
      <c r="R6407" s="33">
        <f>IFERROR(__xludf.DUMMYFUNCTION("""COMPUTED_VALUE"""),0.5)</f>
        <v>0.5</v>
      </c>
      <c r="S6407" s="4" t="str">
        <f>IFERROR(__xludf.DUMMYFUNCTION("""COMPUTED_VALUE"""),"Anota Ai Solucoes Digitais S/a")</f>
        <v>Anota Ai Solucoes Digitais S/a</v>
      </c>
      <c r="T6407" s="33">
        <f>IFERROR(__xludf.DUMMYFUNCTION("""COMPUTED_VALUE"""),0.5)</f>
        <v>0.5</v>
      </c>
      <c r="U6407" s="4" t="str">
        <f>IFERROR(__xludf.DUMMYFUNCTION("""COMPUTED_VALUE"""),"Anota Ai Solucoes Digitais S/a")</f>
        <v>Anota Ai Solucoes Digitais S/a</v>
      </c>
      <c r="V6407" s="33">
        <f>IFERROR(__xludf.DUMMYFUNCTION("""COMPUTED_VALUE"""),0.5)</f>
        <v>0.5</v>
      </c>
      <c r="W6407" s="4" t="str">
        <f>IFERROR(__xludf.DUMMYFUNCTION("""COMPUTED_VALUE"""),"Anota Ai Solucoes Digitais S/a")</f>
        <v>Anota Ai Solucoes Digitais S/a</v>
      </c>
      <c r="X6407" s="33">
        <f>IFERROR(__xludf.DUMMYFUNCTION("""COMPUTED_VALUE"""),0.5)</f>
        <v>0.5</v>
      </c>
    </row>
    <row r="6408">
      <c r="K6408" s="4" t="str">
        <f>IFERROR(__xludf.DUMMYFUNCTION("""COMPUTED_VALUE"""),"GEMEOS LANCHES")</f>
        <v>GEMEOS LANCHES</v>
      </c>
      <c r="L6408" s="32">
        <f>IFERROR(__xludf.DUMMYFUNCTION("""COMPUTED_VALUE"""),2.0)</f>
        <v>2</v>
      </c>
      <c r="M6408" s="4" t="str">
        <f>IFERROR(__xludf.DUMMYFUNCTION("""COMPUTED_VALUE"""),"null")</f>
        <v>null</v>
      </c>
      <c r="N6408" s="33">
        <f>IFERROR(__xludf.DUMMYFUNCTION("""COMPUTED_VALUE"""),1.0)</f>
        <v>1</v>
      </c>
      <c r="O6408" s="4" t="str">
        <f>IFERROR(__xludf.DUMMYFUNCTION("""COMPUTED_VALUE"""),"null")</f>
        <v>null</v>
      </c>
      <c r="P6408" s="33">
        <f>IFERROR(__xludf.DUMMYFUNCTION("""COMPUTED_VALUE"""),1.0)</f>
        <v>1</v>
      </c>
      <c r="Q6408" s="4" t="str">
        <f>IFERROR(__xludf.DUMMYFUNCTION("""COMPUTED_VALUE"""),"null")</f>
        <v>null</v>
      </c>
      <c r="R6408" s="33">
        <f>IFERROR(__xludf.DUMMYFUNCTION("""COMPUTED_VALUE"""),0.5)</f>
        <v>0.5</v>
      </c>
      <c r="S6408" s="4" t="str">
        <f>IFERROR(__xludf.DUMMYFUNCTION("""COMPUTED_VALUE"""),"null")</f>
        <v>null</v>
      </c>
      <c r="T6408" s="33">
        <f>IFERROR(__xludf.DUMMYFUNCTION("""COMPUTED_VALUE"""),0.5)</f>
        <v>0.5</v>
      </c>
      <c r="U6408" s="4" t="str">
        <f>IFERROR(__xludf.DUMMYFUNCTION("""COMPUTED_VALUE"""),"null")</f>
        <v>null</v>
      </c>
      <c r="V6408" s="33">
        <f>IFERROR(__xludf.DUMMYFUNCTION("""COMPUTED_VALUE"""),1.0)</f>
        <v>1</v>
      </c>
      <c r="W6408" s="4" t="str">
        <f>IFERROR(__xludf.DUMMYFUNCTION("""COMPUTED_VALUE"""),"Agilizup Solucoes Ltda")</f>
        <v>Agilizup Solucoes Ltda</v>
      </c>
      <c r="X6408" s="33">
        <f>IFERROR(__xludf.DUMMYFUNCTION("""COMPUTED_VALUE"""),0.5)</f>
        <v>0.5</v>
      </c>
    </row>
    <row r="6409">
      <c r="K6409" s="4" t="str">
        <f>IFERROR(__xludf.DUMMYFUNCTION("""COMPUTED_VALUE"""),"BEACH BURGUER")</f>
        <v>BEACH BURGUER</v>
      </c>
      <c r="L6409" s="32">
        <f>IFERROR(__xludf.DUMMYFUNCTION("""COMPUTED_VALUE"""),2.0)</f>
        <v>2</v>
      </c>
      <c r="M6409" s="4" t="str">
        <f>IFERROR(__xludf.DUMMYFUNCTION("""COMPUTED_VALUE"""),"Saipos Serviços De Software")</f>
        <v>Saipos Serviços De Software</v>
      </c>
      <c r="N6409" s="33">
        <f>IFERROR(__xludf.DUMMYFUNCTION("""COMPUTED_VALUE"""),1.0)</f>
        <v>1</v>
      </c>
      <c r="O6409" s="4" t="str">
        <f>IFERROR(__xludf.DUMMYFUNCTION("""COMPUTED_VALUE"""),"Saipos Serviços De Software")</f>
        <v>Saipos Serviços De Software</v>
      </c>
      <c r="P6409" s="33">
        <f>IFERROR(__xludf.DUMMYFUNCTION("""COMPUTED_VALUE"""),1.0)</f>
        <v>1</v>
      </c>
      <c r="Q6409" s="4" t="str">
        <f>IFERROR(__xludf.DUMMYFUNCTION("""COMPUTED_VALUE"""),"Saipos Serviços De Software")</f>
        <v>Saipos Serviços De Software</v>
      </c>
      <c r="R6409" s="33">
        <f>IFERROR(__xludf.DUMMYFUNCTION("""COMPUTED_VALUE"""),1.0)</f>
        <v>1</v>
      </c>
      <c r="S6409" s="4" t="str">
        <f>IFERROR(__xludf.DUMMYFUNCTION("""COMPUTED_VALUE"""),"Saipos Serviços De Software")</f>
        <v>Saipos Serviços De Software</v>
      </c>
      <c r="T6409" s="33">
        <f>IFERROR(__xludf.DUMMYFUNCTION("""COMPUTED_VALUE"""),1.0)</f>
        <v>1</v>
      </c>
      <c r="U6409" s="4" t="str">
        <f>IFERROR(__xludf.DUMMYFUNCTION("""COMPUTED_VALUE"""),"Saipos Serviços De Software")</f>
        <v>Saipos Serviços De Software</v>
      </c>
      <c r="V6409" s="33">
        <f>IFERROR(__xludf.DUMMYFUNCTION("""COMPUTED_VALUE"""),1.0)</f>
        <v>1</v>
      </c>
      <c r="W6409" s="4" t="str">
        <f>IFERROR(__xludf.DUMMYFUNCTION("""COMPUTED_VALUE"""),"Saipos Serviços De Software")</f>
        <v>Saipos Serviços De Software</v>
      </c>
      <c r="X6409" s="33">
        <f>IFERROR(__xludf.DUMMYFUNCTION("""COMPUTED_VALUE"""),0.5)</f>
        <v>0.5</v>
      </c>
    </row>
    <row r="6410">
      <c r="K6410" s="4" t="str">
        <f>IFERROR(__xludf.DUMMYFUNCTION("""COMPUTED_VALUE"""),"PASTELARIA DO FERNANDO")</f>
        <v>PASTELARIA DO FERNANDO</v>
      </c>
      <c r="L6410" s="32">
        <f>IFERROR(__xludf.DUMMYFUNCTION("""COMPUTED_VALUE"""),2.0)</f>
        <v>2</v>
      </c>
      <c r="M6410" s="4" t="str">
        <f>IFERROR(__xludf.DUMMYFUNCTION("""COMPUTED_VALUE"""),"Saipos Serviços De Software")</f>
        <v>Saipos Serviços De Software</v>
      </c>
      <c r="N6410" s="33">
        <f>IFERROR(__xludf.DUMMYFUNCTION("""COMPUTED_VALUE"""),1.0)</f>
        <v>1</v>
      </c>
      <c r="O6410" s="4" t="str">
        <f>IFERROR(__xludf.DUMMYFUNCTION("""COMPUTED_VALUE"""),"Saipos Serviços De Software")</f>
        <v>Saipos Serviços De Software</v>
      </c>
      <c r="P6410" s="33">
        <f>IFERROR(__xludf.DUMMYFUNCTION("""COMPUTED_VALUE"""),1.0)</f>
        <v>1</v>
      </c>
      <c r="Q6410" s="4" t="str">
        <f>IFERROR(__xludf.DUMMYFUNCTION("""COMPUTED_VALUE"""),"Saipos Serviços De Software")</f>
        <v>Saipos Serviços De Software</v>
      </c>
      <c r="R6410" s="33">
        <f>IFERROR(__xludf.DUMMYFUNCTION("""COMPUTED_VALUE"""),1.0)</f>
        <v>1</v>
      </c>
      <c r="S6410" s="4" t="str">
        <f>IFERROR(__xludf.DUMMYFUNCTION("""COMPUTED_VALUE"""),"Saipos Serviços De Software")</f>
        <v>Saipos Serviços De Software</v>
      </c>
      <c r="T6410" s="33">
        <f>IFERROR(__xludf.DUMMYFUNCTION("""COMPUTED_VALUE"""),1.0)</f>
        <v>1</v>
      </c>
      <c r="U6410" s="4" t="str">
        <f>IFERROR(__xludf.DUMMYFUNCTION("""COMPUTED_VALUE"""),"Saipos Serviços De Software")</f>
        <v>Saipos Serviços De Software</v>
      </c>
      <c r="V6410" s="33">
        <f>IFERROR(__xludf.DUMMYFUNCTION("""COMPUTED_VALUE"""),1.0)</f>
        <v>1</v>
      </c>
      <c r="W6410" s="4" t="str">
        <f>IFERROR(__xludf.DUMMYFUNCTION("""COMPUTED_VALUE"""),"Saipos Serviços De Software")</f>
        <v>Saipos Serviços De Software</v>
      </c>
      <c r="X6410" s="33">
        <f>IFERROR(__xludf.DUMMYFUNCTION("""COMPUTED_VALUE"""),1.0)</f>
        <v>1</v>
      </c>
    </row>
    <row r="6411">
      <c r="K6411" s="4" t="str">
        <f>IFERROR(__xludf.DUMMYFUNCTION("""COMPUTED_VALUE"""),"ATELIE DOCES SONHOS")</f>
        <v>ATELIE DOCES SONHOS</v>
      </c>
      <c r="L6411" s="32">
        <f>IFERROR(__xludf.DUMMYFUNCTION("""COMPUTED_VALUE"""),2.0)</f>
        <v>2</v>
      </c>
      <c r="M6411" s="4" t="str">
        <f>IFERROR(__xludf.DUMMYFUNCTION("""COMPUTED_VALUE"""),"G22 Ti Solucoes Em Software Ltda")</f>
        <v>G22 Ti Solucoes Em Software Ltda</v>
      </c>
      <c r="N6411" s="33">
        <f>IFERROR(__xludf.DUMMYFUNCTION("""COMPUTED_VALUE"""),0.5)</f>
        <v>0.5</v>
      </c>
      <c r="O6411" s="4" t="str">
        <f>IFERROR(__xludf.DUMMYFUNCTION("""COMPUTED_VALUE"""),"null")</f>
        <v>null</v>
      </c>
      <c r="P6411" s="33">
        <f>IFERROR(__xludf.DUMMYFUNCTION("""COMPUTED_VALUE"""),1.0)</f>
        <v>1</v>
      </c>
      <c r="Q6411" s="4" t="str">
        <f>IFERROR(__xludf.DUMMYFUNCTION("""COMPUTED_VALUE"""),"null")</f>
        <v>null</v>
      </c>
      <c r="R6411" s="33">
        <f>IFERROR(__xludf.DUMMYFUNCTION("""COMPUTED_VALUE"""),0.5)</f>
        <v>0.5</v>
      </c>
      <c r="S6411" s="4" t="str">
        <f>IFERROR(__xludf.DUMMYFUNCTION("""COMPUTED_VALUE"""),"null")</f>
        <v>null</v>
      </c>
      <c r="T6411" s="33">
        <f>IFERROR(__xludf.DUMMYFUNCTION("""COMPUTED_VALUE"""),0.5)</f>
        <v>0.5</v>
      </c>
      <c r="U6411" s="4" t="str">
        <f>IFERROR(__xludf.DUMMYFUNCTION("""COMPUTED_VALUE"""),"null")</f>
        <v>null</v>
      </c>
      <c r="V6411" s="33">
        <f>IFERROR(__xludf.DUMMYFUNCTION("""COMPUTED_VALUE"""),0.5)</f>
        <v>0.5</v>
      </c>
      <c r="W6411" s="4" t="str">
        <f>IFERROR(__xludf.DUMMYFUNCTION("""COMPUTED_VALUE"""),"null")</f>
        <v>null</v>
      </c>
      <c r="X6411" s="33">
        <f>IFERROR(__xludf.DUMMYFUNCTION("""COMPUTED_VALUE"""),1.0)</f>
        <v>1</v>
      </c>
    </row>
    <row r="6412">
      <c r="K6412" s="4" t="str">
        <f>IFERROR(__xludf.DUMMYFUNCTION("""COMPUTED_VALUE"""),"BATATA DO GORDAO")</f>
        <v>BATATA DO GORDAO</v>
      </c>
      <c r="L6412" s="32">
        <f>IFERROR(__xludf.DUMMYFUNCTION("""COMPUTED_VALUE"""),2.0)</f>
        <v>2</v>
      </c>
      <c r="M6412" s="4" t="str">
        <f>IFERROR(__xludf.DUMMYFUNCTION("""COMPUTED_VALUE"""),"Cardápio Web")</f>
        <v>Cardápio Web</v>
      </c>
      <c r="N6412" s="33">
        <f>IFERROR(__xludf.DUMMYFUNCTION("""COMPUTED_VALUE"""),0.5)</f>
        <v>0.5</v>
      </c>
      <c r="O6412" s="4" t="str">
        <f>IFERROR(__xludf.DUMMYFUNCTION("""COMPUTED_VALUE"""),"Cardápio Web")</f>
        <v>Cardápio Web</v>
      </c>
      <c r="P6412" s="33">
        <f>IFERROR(__xludf.DUMMYFUNCTION("""COMPUTED_VALUE"""),0.5)</f>
        <v>0.5</v>
      </c>
      <c r="Q6412" s="4" t="str">
        <f>IFERROR(__xludf.DUMMYFUNCTION("""COMPUTED_VALUE"""),"Cardápio Web")</f>
        <v>Cardápio Web</v>
      </c>
      <c r="R6412" s="33">
        <f>IFERROR(__xludf.DUMMYFUNCTION("""COMPUTED_VALUE"""),0.5)</f>
        <v>0.5</v>
      </c>
      <c r="S6412" s="4" t="str">
        <f>IFERROR(__xludf.DUMMYFUNCTION("""COMPUTED_VALUE"""),"Cardápio Web")</f>
        <v>Cardápio Web</v>
      </c>
      <c r="T6412" s="33">
        <f>IFERROR(__xludf.DUMMYFUNCTION("""COMPUTED_VALUE"""),0.5)</f>
        <v>0.5</v>
      </c>
      <c r="U6412" s="4" t="str">
        <f>IFERROR(__xludf.DUMMYFUNCTION("""COMPUTED_VALUE"""),"Cardápio Web")</f>
        <v>Cardápio Web</v>
      </c>
      <c r="V6412" s="33">
        <f>IFERROR(__xludf.DUMMYFUNCTION("""COMPUTED_VALUE"""),0.5)</f>
        <v>0.5</v>
      </c>
      <c r="W6412" s="4" t="str">
        <f>IFERROR(__xludf.DUMMYFUNCTION("""COMPUTED_VALUE"""),"Cardápio Web")</f>
        <v>Cardápio Web</v>
      </c>
      <c r="X6412" s="33">
        <f>IFERROR(__xludf.DUMMYFUNCTION("""COMPUTED_VALUE"""),0.5)</f>
        <v>0.5</v>
      </c>
    </row>
    <row r="6413">
      <c r="K6413" s="4" t="str">
        <f>IFERROR(__xludf.DUMMYFUNCTION("""COMPUTED_VALUE"""),"YUMI SUSHI")</f>
        <v>YUMI SUSHI</v>
      </c>
      <c r="L6413" s="32">
        <f>IFERROR(__xludf.DUMMYFUNCTION("""COMPUTED_VALUE"""),2.0)</f>
        <v>2</v>
      </c>
      <c r="M6413" s="4" t="str">
        <f>IFERROR(__xludf.DUMMYFUNCTION("""COMPUTED_VALUE"""),"Instadelivery")</f>
        <v>Instadelivery</v>
      </c>
      <c r="N6413" s="33">
        <f>IFERROR(__xludf.DUMMYFUNCTION("""COMPUTED_VALUE"""),0.5)</f>
        <v>0.5</v>
      </c>
      <c r="O6413" s="4" t="str">
        <f>IFERROR(__xludf.DUMMYFUNCTION("""COMPUTED_VALUE"""),"Instadelivery")</f>
        <v>Instadelivery</v>
      </c>
      <c r="P6413" s="33">
        <f>IFERROR(__xludf.DUMMYFUNCTION("""COMPUTED_VALUE"""),0.5)</f>
        <v>0.5</v>
      </c>
      <c r="Q6413" s="4" t="str">
        <f>IFERROR(__xludf.DUMMYFUNCTION("""COMPUTED_VALUE"""),"Instadelivery")</f>
        <v>Instadelivery</v>
      </c>
      <c r="R6413" s="33">
        <f>IFERROR(__xludf.DUMMYFUNCTION("""COMPUTED_VALUE"""),0.5)</f>
        <v>0.5</v>
      </c>
      <c r="S6413" s="4" t="str">
        <f>IFERROR(__xludf.DUMMYFUNCTION("""COMPUTED_VALUE"""),"Instadelivery")</f>
        <v>Instadelivery</v>
      </c>
      <c r="T6413" s="33">
        <f>IFERROR(__xludf.DUMMYFUNCTION("""COMPUTED_VALUE"""),0.5)</f>
        <v>0.5</v>
      </c>
      <c r="U6413" s="4" t="str">
        <f>IFERROR(__xludf.DUMMYFUNCTION("""COMPUTED_VALUE"""),"Instadelivery")</f>
        <v>Instadelivery</v>
      </c>
      <c r="V6413" s="33">
        <f>IFERROR(__xludf.DUMMYFUNCTION("""COMPUTED_VALUE"""),0.5)</f>
        <v>0.5</v>
      </c>
      <c r="W6413" s="4" t="str">
        <f>IFERROR(__xludf.DUMMYFUNCTION("""COMPUTED_VALUE"""),"Instadelivery")</f>
        <v>Instadelivery</v>
      </c>
      <c r="X6413" s="33">
        <f>IFERROR(__xludf.DUMMYFUNCTION("""COMPUTED_VALUE"""),0.5)</f>
        <v>0.5</v>
      </c>
    </row>
    <row r="6414">
      <c r="K6414" s="4" t="str">
        <f>IFERROR(__xludf.DUMMYFUNCTION("""COMPUTED_VALUE"""),"ALECRIM RESTAURANTE E MARMITARIA")</f>
        <v>ALECRIM RESTAURANTE E MARMITARIA</v>
      </c>
      <c r="L6414" s="32">
        <f>IFERROR(__xludf.DUMMYFUNCTION("""COMPUTED_VALUE"""),2.0)</f>
        <v>2</v>
      </c>
      <c r="M6414" s="4" t="str">
        <f>IFERROR(__xludf.DUMMYFUNCTION("""COMPUTED_VALUE"""),"Anota Ai Solucoes Digitais S/a")</f>
        <v>Anota Ai Solucoes Digitais S/a</v>
      </c>
      <c r="N6414" s="33">
        <f>IFERROR(__xludf.DUMMYFUNCTION("""COMPUTED_VALUE"""),0.5)</f>
        <v>0.5</v>
      </c>
      <c r="O6414" s="4" t="str">
        <f>IFERROR(__xludf.DUMMYFUNCTION("""COMPUTED_VALUE"""),"Anota Ai Solucoes Digitais S/a")</f>
        <v>Anota Ai Solucoes Digitais S/a</v>
      </c>
      <c r="P6414" s="33">
        <f>IFERROR(__xludf.DUMMYFUNCTION("""COMPUTED_VALUE"""),0.5)</f>
        <v>0.5</v>
      </c>
      <c r="Q6414" s="4" t="str">
        <f>IFERROR(__xludf.DUMMYFUNCTION("""COMPUTED_VALUE"""),"Anota Ai Solucoes Digitais S/a")</f>
        <v>Anota Ai Solucoes Digitais S/a</v>
      </c>
      <c r="R6414" s="33">
        <f>IFERROR(__xludf.DUMMYFUNCTION("""COMPUTED_VALUE"""),0.5)</f>
        <v>0.5</v>
      </c>
      <c r="S6414" s="4" t="str">
        <f>IFERROR(__xludf.DUMMYFUNCTION("""COMPUTED_VALUE"""),"Anota Ai Solucoes Digitais S/a")</f>
        <v>Anota Ai Solucoes Digitais S/a</v>
      </c>
      <c r="T6414" s="33">
        <f>IFERROR(__xludf.DUMMYFUNCTION("""COMPUTED_VALUE"""),0.5)</f>
        <v>0.5</v>
      </c>
      <c r="U6414" s="4" t="str">
        <f>IFERROR(__xludf.DUMMYFUNCTION("""COMPUTED_VALUE"""),"Anota Ai Solucoes Digitais S/a")</f>
        <v>Anota Ai Solucoes Digitais S/a</v>
      </c>
      <c r="V6414" s="33">
        <f>IFERROR(__xludf.DUMMYFUNCTION("""COMPUTED_VALUE"""),0.5)</f>
        <v>0.5</v>
      </c>
      <c r="W6414" s="4" t="str">
        <f>IFERROR(__xludf.DUMMYFUNCTION("""COMPUTED_VALUE"""),"Anota Ai Solucoes Digitais S/a")</f>
        <v>Anota Ai Solucoes Digitais S/a</v>
      </c>
      <c r="X6414" s="33">
        <f>IFERROR(__xludf.DUMMYFUNCTION("""COMPUTED_VALUE"""),0.5)</f>
        <v>0.5</v>
      </c>
    </row>
    <row r="6415">
      <c r="K6415" s="4" t="str">
        <f>IFERROR(__xludf.DUMMYFUNCTION("""COMPUTED_VALUE"""),"FRAN ABREU DOCES")</f>
        <v>FRAN ABREU DOCES</v>
      </c>
      <c r="L6415" s="32">
        <f>IFERROR(__xludf.DUMMYFUNCTION("""COMPUTED_VALUE"""),2.0)</f>
        <v>2</v>
      </c>
      <c r="M6415" s="4" t="str">
        <f>IFERROR(__xludf.DUMMYFUNCTION("""COMPUTED_VALUE"""),"Alloy Tecnologia")</f>
        <v>Alloy Tecnologia</v>
      </c>
      <c r="N6415" s="33">
        <f>IFERROR(__xludf.DUMMYFUNCTION("""COMPUTED_VALUE"""),1.0)</f>
        <v>1</v>
      </c>
      <c r="O6415" s="4" t="str">
        <f>IFERROR(__xludf.DUMMYFUNCTION("""COMPUTED_VALUE"""),"Alloy Tecnologia")</f>
        <v>Alloy Tecnologia</v>
      </c>
      <c r="P6415" s="33">
        <f>IFERROR(__xludf.DUMMYFUNCTION("""COMPUTED_VALUE"""),1.0)</f>
        <v>1</v>
      </c>
      <c r="Q6415" s="4" t="str">
        <f>IFERROR(__xludf.DUMMYFUNCTION("""COMPUTED_VALUE"""),"Alloy Tecnologia")</f>
        <v>Alloy Tecnologia</v>
      </c>
      <c r="R6415" s="33">
        <f>IFERROR(__xludf.DUMMYFUNCTION("""COMPUTED_VALUE"""),1.0)</f>
        <v>1</v>
      </c>
      <c r="S6415" s="4" t="str">
        <f>IFERROR(__xludf.DUMMYFUNCTION("""COMPUTED_VALUE"""),"Alloy Tecnologia")</f>
        <v>Alloy Tecnologia</v>
      </c>
      <c r="T6415" s="33">
        <f>IFERROR(__xludf.DUMMYFUNCTION("""COMPUTED_VALUE"""),0.5)</f>
        <v>0.5</v>
      </c>
      <c r="U6415" s="4" t="str">
        <f>IFERROR(__xludf.DUMMYFUNCTION("""COMPUTED_VALUE"""),"Alloy Tecnologia")</f>
        <v>Alloy Tecnologia</v>
      </c>
      <c r="V6415" s="33">
        <f>IFERROR(__xludf.DUMMYFUNCTION("""COMPUTED_VALUE"""),1.0)</f>
        <v>1</v>
      </c>
      <c r="W6415" s="4" t="str">
        <f>IFERROR(__xludf.DUMMYFUNCTION("""COMPUTED_VALUE"""),"Alloy Tecnologia")</f>
        <v>Alloy Tecnologia</v>
      </c>
      <c r="X6415" s="33">
        <f>IFERROR(__xludf.DUMMYFUNCTION("""COMPUTED_VALUE"""),1.0)</f>
        <v>1</v>
      </c>
    </row>
    <row r="6416">
      <c r="K6416" s="4" t="str">
        <f>IFERROR(__xludf.DUMMYFUNCTION("""COMPUTED_VALUE"""),"VILA LANCHES")</f>
        <v>VILA LANCHES</v>
      </c>
      <c r="L6416" s="32">
        <f>IFERROR(__xludf.DUMMYFUNCTION("""COMPUTED_VALUE"""),2.0)</f>
        <v>2</v>
      </c>
      <c r="M6416" s="4" t="str">
        <f>IFERROR(__xludf.DUMMYFUNCTION("""COMPUTED_VALUE"""),"null")</f>
        <v>null</v>
      </c>
      <c r="N6416" s="33">
        <f>IFERROR(__xludf.DUMMYFUNCTION("""COMPUTED_VALUE"""),0.5)</f>
        <v>0.5</v>
      </c>
      <c r="O6416" s="4" t="str">
        <f>IFERROR(__xludf.DUMMYFUNCTION("""COMPUTED_VALUE"""),"null")</f>
        <v>null</v>
      </c>
      <c r="P6416" s="33">
        <f>IFERROR(__xludf.DUMMYFUNCTION("""COMPUTED_VALUE"""),0.5)</f>
        <v>0.5</v>
      </c>
      <c r="Q6416" s="4" t="str">
        <f>IFERROR(__xludf.DUMMYFUNCTION("""COMPUTED_VALUE"""),"null")</f>
        <v>null</v>
      </c>
      <c r="R6416" s="33">
        <f>IFERROR(__xludf.DUMMYFUNCTION("""COMPUTED_VALUE"""),0.5)</f>
        <v>0.5</v>
      </c>
      <c r="S6416" s="4" t="str">
        <f>IFERROR(__xludf.DUMMYFUNCTION("""COMPUTED_VALUE"""),"null")</f>
        <v>null</v>
      </c>
      <c r="T6416" s="33">
        <f>IFERROR(__xludf.DUMMYFUNCTION("""COMPUTED_VALUE"""),0.5)</f>
        <v>0.5</v>
      </c>
      <c r="U6416" s="4" t="str">
        <f>IFERROR(__xludf.DUMMYFUNCTION("""COMPUTED_VALUE"""),"null")</f>
        <v>null</v>
      </c>
      <c r="V6416" s="33">
        <f>IFERROR(__xludf.DUMMYFUNCTION("""COMPUTED_VALUE"""),1.0)</f>
        <v>1</v>
      </c>
      <c r="W6416" s="4" t="str">
        <f>IFERROR(__xludf.DUMMYFUNCTION("""COMPUTED_VALUE"""),"Mp Multipedidos")</f>
        <v>Mp Multipedidos</v>
      </c>
      <c r="X6416" s="33">
        <f>IFERROR(__xludf.DUMMYFUNCTION("""COMPUTED_VALUE"""),0.5)</f>
        <v>0.5</v>
      </c>
    </row>
    <row r="6417">
      <c r="K6417" s="4" t="str">
        <f>IFERROR(__xludf.DUMMYFUNCTION("""COMPUTED_VALUE"""),"RF LANCHES")</f>
        <v>RF LANCHES</v>
      </c>
      <c r="L6417" s="32">
        <f>IFERROR(__xludf.DUMMYFUNCTION("""COMPUTED_VALUE"""),2.0)</f>
        <v>2</v>
      </c>
      <c r="M6417" s="4" t="str">
        <f>IFERROR(__xludf.DUMMYFUNCTION("""COMPUTED_VALUE"""),"Anota Ai Solucoes Digitais S/a")</f>
        <v>Anota Ai Solucoes Digitais S/a</v>
      </c>
      <c r="N6417" s="33">
        <f>IFERROR(__xludf.DUMMYFUNCTION("""COMPUTED_VALUE"""),1.0)</f>
        <v>1</v>
      </c>
      <c r="O6417" s="4" t="str">
        <f>IFERROR(__xludf.DUMMYFUNCTION("""COMPUTED_VALUE"""),"Anota Ai Solucoes Digitais S/a")</f>
        <v>Anota Ai Solucoes Digitais S/a</v>
      </c>
      <c r="P6417" s="33">
        <f>IFERROR(__xludf.DUMMYFUNCTION("""COMPUTED_VALUE"""),0.5)</f>
        <v>0.5</v>
      </c>
      <c r="Q6417" s="4" t="str">
        <f>IFERROR(__xludf.DUMMYFUNCTION("""COMPUTED_VALUE"""),"Anota Ai Solucoes Digitais S/a")</f>
        <v>Anota Ai Solucoes Digitais S/a</v>
      </c>
      <c r="R6417" s="33">
        <f>IFERROR(__xludf.DUMMYFUNCTION("""COMPUTED_VALUE"""),0.5)</f>
        <v>0.5</v>
      </c>
      <c r="S6417" s="4" t="str">
        <f>IFERROR(__xludf.DUMMYFUNCTION("""COMPUTED_VALUE"""),"Anota Ai Solucoes Digitais S/a")</f>
        <v>Anota Ai Solucoes Digitais S/a</v>
      </c>
      <c r="T6417" s="33">
        <f>IFERROR(__xludf.DUMMYFUNCTION("""COMPUTED_VALUE"""),0.5)</f>
        <v>0.5</v>
      </c>
      <c r="U6417" s="4" t="str">
        <f>IFERROR(__xludf.DUMMYFUNCTION("""COMPUTED_VALUE"""),"null")</f>
        <v>null</v>
      </c>
      <c r="V6417" s="33">
        <f>IFERROR(__xludf.DUMMYFUNCTION("""COMPUTED_VALUE"""),1.0)</f>
        <v>1</v>
      </c>
      <c r="W6417" s="4" t="str">
        <f>IFERROR(__xludf.DUMMYFUNCTION("""COMPUTED_VALUE"""),"null")</f>
        <v>null</v>
      </c>
      <c r="X6417" s="33">
        <f>IFERROR(__xludf.DUMMYFUNCTION("""COMPUTED_VALUE"""),1.0)</f>
        <v>1</v>
      </c>
    </row>
    <row r="6418">
      <c r="K6418" s="4" t="str">
        <f>IFERROR(__xludf.DUMMYFUNCTION("""COMPUTED_VALUE"""),"SENHORA MARMITARIA")</f>
        <v>SENHORA MARMITARIA</v>
      </c>
      <c r="L6418" s="32">
        <f>IFERROR(__xludf.DUMMYFUNCTION("""COMPUTED_VALUE"""),2.0)</f>
        <v>2</v>
      </c>
      <c r="M6418" s="4" t="str">
        <f>IFERROR(__xludf.DUMMYFUNCTION("""COMPUTED_VALUE"""),"Saipos Serviços De Software")</f>
        <v>Saipos Serviços De Software</v>
      </c>
      <c r="N6418" s="33">
        <f>IFERROR(__xludf.DUMMYFUNCTION("""COMPUTED_VALUE"""),0.5)</f>
        <v>0.5</v>
      </c>
      <c r="O6418" s="4" t="str">
        <f>IFERROR(__xludf.DUMMYFUNCTION("""COMPUTED_VALUE"""),"Saipos Serviços De Software")</f>
        <v>Saipos Serviços De Software</v>
      </c>
      <c r="P6418" s="33">
        <f>IFERROR(__xludf.DUMMYFUNCTION("""COMPUTED_VALUE"""),0.5)</f>
        <v>0.5</v>
      </c>
      <c r="Q6418" s="4" t="str">
        <f>IFERROR(__xludf.DUMMYFUNCTION("""COMPUTED_VALUE"""),"Saipos Serviços De Software")</f>
        <v>Saipos Serviços De Software</v>
      </c>
      <c r="R6418" s="33">
        <f>IFERROR(__xludf.DUMMYFUNCTION("""COMPUTED_VALUE"""),1.0)</f>
        <v>1</v>
      </c>
      <c r="S6418" s="4" t="str">
        <f>IFERROR(__xludf.DUMMYFUNCTION("""COMPUTED_VALUE"""),"Saipos Serviços De Software")</f>
        <v>Saipos Serviços De Software</v>
      </c>
      <c r="T6418" s="33">
        <f>IFERROR(__xludf.DUMMYFUNCTION("""COMPUTED_VALUE"""),1.0)</f>
        <v>1</v>
      </c>
      <c r="U6418" s="4" t="str">
        <f>IFERROR(__xludf.DUMMYFUNCTION("""COMPUTED_VALUE"""),"Saipos Serviços De Software")</f>
        <v>Saipos Serviços De Software</v>
      </c>
      <c r="V6418" s="33">
        <f>IFERROR(__xludf.DUMMYFUNCTION("""COMPUTED_VALUE"""),1.0)</f>
        <v>1</v>
      </c>
      <c r="W6418" s="4" t="str">
        <f>IFERROR(__xludf.DUMMYFUNCTION("""COMPUTED_VALUE"""),"Saipos Serviços De Software")</f>
        <v>Saipos Serviços De Software</v>
      </c>
      <c r="X6418" s="33">
        <f>IFERROR(__xludf.DUMMYFUNCTION("""COMPUTED_VALUE"""),1.0)</f>
        <v>1</v>
      </c>
    </row>
    <row r="6419">
      <c r="K6419" s="4" t="str">
        <f>IFERROR(__xludf.DUMMYFUNCTION("""COMPUTED_VALUE"""),"UAI Q PAO DE QUEIJO CAFETERIA")</f>
        <v>UAI Q PAO DE QUEIJO CAFETERIA</v>
      </c>
      <c r="L6419" s="32">
        <f>IFERROR(__xludf.DUMMYFUNCTION("""COMPUTED_VALUE"""),2.0)</f>
        <v>2</v>
      </c>
      <c r="M6419" s="4" t="str">
        <f>IFERROR(__xludf.DUMMYFUNCTION("""COMPUTED_VALUE"""),"null")</f>
        <v>null</v>
      </c>
      <c r="N6419" s="33">
        <f>IFERROR(__xludf.DUMMYFUNCTION("""COMPUTED_VALUE"""),1.0)</f>
        <v>1</v>
      </c>
      <c r="O6419" s="4" t="str">
        <f>IFERROR(__xludf.DUMMYFUNCTION("""COMPUTED_VALUE"""),"null")</f>
        <v>null</v>
      </c>
      <c r="P6419" s="33">
        <f>IFERROR(__xludf.DUMMYFUNCTION("""COMPUTED_VALUE"""),1.0)</f>
        <v>1</v>
      </c>
      <c r="Q6419" s="4" t="str">
        <f>IFERROR(__xludf.DUMMYFUNCTION("""COMPUTED_VALUE"""),"null")</f>
        <v>null</v>
      </c>
      <c r="R6419" s="33">
        <f>IFERROR(__xludf.DUMMYFUNCTION("""COMPUTED_VALUE"""),1.0)</f>
        <v>1</v>
      </c>
      <c r="S6419" s="4" t="str">
        <f>IFERROR(__xludf.DUMMYFUNCTION("""COMPUTED_VALUE"""),"null")</f>
        <v>null</v>
      </c>
      <c r="T6419" s="33">
        <f>IFERROR(__xludf.DUMMYFUNCTION("""COMPUTED_VALUE"""),1.0)</f>
        <v>1</v>
      </c>
      <c r="U6419" s="4" t="str">
        <f>IFERROR(__xludf.DUMMYFUNCTION("""COMPUTED_VALUE"""),"Suitable Tecnologia E Gestao")</f>
        <v>Suitable Tecnologia E Gestao</v>
      </c>
      <c r="V6419" s="33">
        <f>IFERROR(__xludf.DUMMYFUNCTION("""COMPUTED_VALUE"""),1.0)</f>
        <v>1</v>
      </c>
      <c r="W6419" s="4" t="str">
        <f>IFERROR(__xludf.DUMMYFUNCTION("""COMPUTED_VALUE"""),"Suitable Tecnologia E Gestao")</f>
        <v>Suitable Tecnologia E Gestao</v>
      </c>
      <c r="X6419" s="33">
        <f>IFERROR(__xludf.DUMMYFUNCTION("""COMPUTED_VALUE"""),1.0)</f>
        <v>1</v>
      </c>
    </row>
    <row r="6420">
      <c r="K6420" s="4" t="str">
        <f>IFERROR(__xludf.DUMMYFUNCTION("""COMPUTED_VALUE"""),"FABRICA DE DOCES BRASIL")</f>
        <v>FABRICA DE DOCES BRASIL</v>
      </c>
      <c r="L6420" s="32">
        <f>IFERROR(__xludf.DUMMYFUNCTION("""COMPUTED_VALUE"""),2.0)</f>
        <v>2</v>
      </c>
      <c r="M6420" s="4" t="str">
        <f>IFERROR(__xludf.DUMMYFUNCTION("""COMPUTED_VALUE"""),"Cloudfy")</f>
        <v>Cloudfy</v>
      </c>
      <c r="N6420" s="33">
        <f>IFERROR(__xludf.DUMMYFUNCTION("""COMPUTED_VALUE"""),1.0)</f>
        <v>1</v>
      </c>
      <c r="O6420" s="4" t="str">
        <f>IFERROR(__xludf.DUMMYFUNCTION("""COMPUTED_VALUE"""),"Cloudfy")</f>
        <v>Cloudfy</v>
      </c>
      <c r="P6420" s="33">
        <f>IFERROR(__xludf.DUMMYFUNCTION("""COMPUTED_VALUE"""),1.0)</f>
        <v>1</v>
      </c>
      <c r="Q6420" s="4" t="str">
        <f>IFERROR(__xludf.DUMMYFUNCTION("""COMPUTED_VALUE"""),"Cloudfy")</f>
        <v>Cloudfy</v>
      </c>
      <c r="R6420" s="33">
        <f>IFERROR(__xludf.DUMMYFUNCTION("""COMPUTED_VALUE"""),1.0)</f>
        <v>1</v>
      </c>
      <c r="S6420" s="4" t="str">
        <f>IFERROR(__xludf.DUMMYFUNCTION("""COMPUTED_VALUE"""),"Cloudfy")</f>
        <v>Cloudfy</v>
      </c>
      <c r="T6420" s="33">
        <f>IFERROR(__xludf.DUMMYFUNCTION("""COMPUTED_VALUE"""),1.0)</f>
        <v>1</v>
      </c>
      <c r="U6420" s="4" t="str">
        <f>IFERROR(__xludf.DUMMYFUNCTION("""COMPUTED_VALUE"""),"Cloudfy")</f>
        <v>Cloudfy</v>
      </c>
      <c r="V6420" s="33">
        <f>IFERROR(__xludf.DUMMYFUNCTION("""COMPUTED_VALUE"""),1.0)</f>
        <v>1</v>
      </c>
      <c r="W6420" s="4" t="str">
        <f>IFERROR(__xludf.DUMMYFUNCTION("""COMPUTED_VALUE"""),"Cloudfy")</f>
        <v>Cloudfy</v>
      </c>
      <c r="X6420" s="33">
        <f>IFERROR(__xludf.DUMMYFUNCTION("""COMPUTED_VALUE"""),1.0)</f>
        <v>1</v>
      </c>
    </row>
    <row r="6421">
      <c r="K6421" s="4" t="str">
        <f>IFERROR(__xludf.DUMMYFUNCTION("""COMPUTED_VALUE"""),"LANCHONETE AVENIDA")</f>
        <v>LANCHONETE AVENIDA</v>
      </c>
      <c r="L6421" s="32">
        <f>IFERROR(__xludf.DUMMYFUNCTION("""COMPUTED_VALUE"""),2.0)</f>
        <v>2</v>
      </c>
      <c r="M6421" s="4" t="str">
        <f>IFERROR(__xludf.DUMMYFUNCTION("""COMPUTED_VALUE"""),"Connectplug")</f>
        <v>Connectplug</v>
      </c>
      <c r="N6421" s="33">
        <f>IFERROR(__xludf.DUMMYFUNCTION("""COMPUTED_VALUE"""),0.5)</f>
        <v>0.5</v>
      </c>
      <c r="O6421" s="4" t="str">
        <f>IFERROR(__xludf.DUMMYFUNCTION("""COMPUTED_VALUE"""),"Connectplug")</f>
        <v>Connectplug</v>
      </c>
      <c r="P6421" s="33">
        <f>IFERROR(__xludf.DUMMYFUNCTION("""COMPUTED_VALUE"""),0.5)</f>
        <v>0.5</v>
      </c>
      <c r="Q6421" s="4" t="str">
        <f>IFERROR(__xludf.DUMMYFUNCTION("""COMPUTED_VALUE"""),"Connectplug")</f>
        <v>Connectplug</v>
      </c>
      <c r="R6421" s="33">
        <f>IFERROR(__xludf.DUMMYFUNCTION("""COMPUTED_VALUE"""),0.5)</f>
        <v>0.5</v>
      </c>
      <c r="S6421" s="4" t="str">
        <f>IFERROR(__xludf.DUMMYFUNCTION("""COMPUTED_VALUE"""),"Connectplug")</f>
        <v>Connectplug</v>
      </c>
      <c r="T6421" s="33">
        <f>IFERROR(__xludf.DUMMYFUNCTION("""COMPUTED_VALUE"""),0.5)</f>
        <v>0.5</v>
      </c>
      <c r="U6421" s="4" t="str">
        <f>IFERROR(__xludf.DUMMYFUNCTION("""COMPUTED_VALUE"""),"null")</f>
        <v>null</v>
      </c>
      <c r="V6421" s="33">
        <f>IFERROR(__xludf.DUMMYFUNCTION("""COMPUTED_VALUE"""),0.5)</f>
        <v>0.5</v>
      </c>
      <c r="W6421" s="4" t="str">
        <f>IFERROR(__xludf.DUMMYFUNCTION("""COMPUTED_VALUE"""),"null")</f>
        <v>null</v>
      </c>
      <c r="X6421" s="33">
        <f>IFERROR(__xludf.DUMMYFUNCTION("""COMPUTED_VALUE"""),0.5)</f>
        <v>0.5</v>
      </c>
    </row>
    <row r="6422">
      <c r="K6422" s="4" t="str">
        <f>IFERROR(__xludf.DUMMYFUNCTION("""COMPUTED_VALUE"""),"SOS ACAI")</f>
        <v>SOS ACAI</v>
      </c>
      <c r="L6422" s="32">
        <f>IFERROR(__xludf.DUMMYFUNCTION("""COMPUTED_VALUE"""),2.0)</f>
        <v>2</v>
      </c>
      <c r="M6422" s="4" t="str">
        <f>IFERROR(__xludf.DUMMYFUNCTION("""COMPUTED_VALUE"""),"null")</f>
        <v>null</v>
      </c>
      <c r="N6422" s="33">
        <f>IFERROR(__xludf.DUMMYFUNCTION("""COMPUTED_VALUE"""),1.0)</f>
        <v>1</v>
      </c>
      <c r="O6422" s="4" t="str">
        <f>IFERROR(__xludf.DUMMYFUNCTION("""COMPUTED_VALUE"""),"null")</f>
        <v>null</v>
      </c>
      <c r="P6422" s="33">
        <f>IFERROR(__xludf.DUMMYFUNCTION("""COMPUTED_VALUE"""),1.0)</f>
        <v>1</v>
      </c>
      <c r="Q6422" s="4" t="str">
        <f>IFERROR(__xludf.DUMMYFUNCTION("""COMPUTED_VALUE"""),"null")</f>
        <v>null</v>
      </c>
      <c r="R6422" s="33">
        <f>IFERROR(__xludf.DUMMYFUNCTION("""COMPUTED_VALUE"""),1.0)</f>
        <v>1</v>
      </c>
      <c r="S6422" s="4" t="str">
        <f>IFERROR(__xludf.DUMMYFUNCTION("""COMPUTED_VALUE"""),"Saipos Serviços De Software")</f>
        <v>Saipos Serviços De Software</v>
      </c>
      <c r="T6422" s="33">
        <f>IFERROR(__xludf.DUMMYFUNCTION("""COMPUTED_VALUE"""),1.0)</f>
        <v>1</v>
      </c>
      <c r="U6422" s="4" t="str">
        <f>IFERROR(__xludf.DUMMYFUNCTION("""COMPUTED_VALUE"""),"Saipos Serviços De Software")</f>
        <v>Saipos Serviços De Software</v>
      </c>
      <c r="V6422" s="33">
        <f>IFERROR(__xludf.DUMMYFUNCTION("""COMPUTED_VALUE"""),1.0)</f>
        <v>1</v>
      </c>
      <c r="W6422" s="4" t="str">
        <f>IFERROR(__xludf.DUMMYFUNCTION("""COMPUTED_VALUE"""),"Saipos Serviços De Software")</f>
        <v>Saipos Serviços De Software</v>
      </c>
      <c r="X6422" s="33">
        <f>IFERROR(__xludf.DUMMYFUNCTION("""COMPUTED_VALUE"""),1.0)</f>
        <v>1</v>
      </c>
    </row>
    <row r="6423">
      <c r="K6423" s="4" t="str">
        <f>IFERROR(__xludf.DUMMYFUNCTION("""COMPUTED_VALUE"""),"PIZZARIA VERY - PALHOCA")</f>
        <v>PIZZARIA VERY - PALHOCA</v>
      </c>
      <c r="L6423" s="32">
        <f>IFERROR(__xludf.DUMMYFUNCTION("""COMPUTED_VALUE"""),2.0)</f>
        <v>2</v>
      </c>
      <c r="M6423" s="4" t="str">
        <f>IFERROR(__xludf.DUMMYFUNCTION("""COMPUTED_VALUE"""),"null")</f>
        <v>null</v>
      </c>
      <c r="N6423" s="33">
        <f>IFERROR(__xludf.DUMMYFUNCTION("""COMPUTED_VALUE"""),0.5)</f>
        <v>0.5</v>
      </c>
      <c r="O6423" s="4" t="str">
        <f>IFERROR(__xludf.DUMMYFUNCTION("""COMPUTED_VALUE"""),"null")</f>
        <v>null</v>
      </c>
      <c r="P6423" s="33">
        <f>IFERROR(__xludf.DUMMYFUNCTION("""COMPUTED_VALUE"""),1.0)</f>
        <v>1</v>
      </c>
      <c r="Q6423" s="4" t="str">
        <f>IFERROR(__xludf.DUMMYFUNCTION("""COMPUTED_VALUE"""),"null")</f>
        <v>null</v>
      </c>
      <c r="R6423" s="33">
        <f>IFERROR(__xludf.DUMMYFUNCTION("""COMPUTED_VALUE"""),1.0)</f>
        <v>1</v>
      </c>
      <c r="S6423" s="4" t="str">
        <f>IFERROR(__xludf.DUMMYFUNCTION("""COMPUTED_VALUE"""),"null")</f>
        <v>null</v>
      </c>
      <c r="T6423" s="33">
        <f>IFERROR(__xludf.DUMMYFUNCTION("""COMPUTED_VALUE"""),1.0)</f>
        <v>1</v>
      </c>
      <c r="U6423" s="4" t="str">
        <f>IFERROR(__xludf.DUMMYFUNCTION("""COMPUTED_VALUE"""),"null")</f>
        <v>null</v>
      </c>
      <c r="V6423" s="33">
        <f>IFERROR(__xludf.DUMMYFUNCTION("""COMPUTED_VALUE"""),1.0)</f>
        <v>1</v>
      </c>
      <c r="W6423" s="4" t="str">
        <f>IFERROR(__xludf.DUMMYFUNCTION("""COMPUTED_VALUE"""),"Cardápio Web")</f>
        <v>Cardápio Web</v>
      </c>
      <c r="X6423" s="33">
        <f>IFERROR(__xludf.DUMMYFUNCTION("""COMPUTED_VALUE"""),0.5)</f>
        <v>0.5</v>
      </c>
    </row>
    <row r="6424">
      <c r="K6424" s="4" t="str">
        <f>IFERROR(__xludf.DUMMYFUNCTION("""COMPUTED_VALUE"""),"FRANGO A JATO")</f>
        <v>FRANGO A JATO</v>
      </c>
      <c r="L6424" s="32">
        <f>IFERROR(__xludf.DUMMYFUNCTION("""COMPUTED_VALUE"""),2.0)</f>
        <v>2</v>
      </c>
      <c r="M6424" s="4" t="str">
        <f>IFERROR(__xludf.DUMMYFUNCTION("""COMPUTED_VALUE"""),"Consumer Soluções Em Tecnologia Ltda")</f>
        <v>Consumer Soluções Em Tecnologia Ltda</v>
      </c>
      <c r="N6424" s="33">
        <f>IFERROR(__xludf.DUMMYFUNCTION("""COMPUTED_VALUE"""),0.5)</f>
        <v>0.5</v>
      </c>
      <c r="O6424" s="4" t="str">
        <f>IFERROR(__xludf.DUMMYFUNCTION("""COMPUTED_VALUE"""),"null")</f>
        <v>null</v>
      </c>
      <c r="P6424" s="33">
        <f>IFERROR(__xludf.DUMMYFUNCTION("""COMPUTED_VALUE"""),0.5)</f>
        <v>0.5</v>
      </c>
      <c r="Q6424" s="4" t="str">
        <f>IFERROR(__xludf.DUMMYFUNCTION("""COMPUTED_VALUE"""),"null")</f>
        <v>null</v>
      </c>
      <c r="R6424" s="33">
        <f>IFERROR(__xludf.DUMMYFUNCTION("""COMPUTED_VALUE"""),0.5)</f>
        <v>0.5</v>
      </c>
      <c r="S6424" s="4" t="str">
        <f>IFERROR(__xludf.DUMMYFUNCTION("""COMPUTED_VALUE"""),"null")</f>
        <v>null</v>
      </c>
      <c r="T6424" s="33">
        <f>IFERROR(__xludf.DUMMYFUNCTION("""COMPUTED_VALUE"""),0.5)</f>
        <v>0.5</v>
      </c>
      <c r="U6424" s="4" t="str">
        <f>IFERROR(__xludf.DUMMYFUNCTION("""COMPUTED_VALUE"""),"null")</f>
        <v>null</v>
      </c>
      <c r="V6424" s="33">
        <f>IFERROR(__xludf.DUMMYFUNCTION("""COMPUTED_VALUE"""),0.5)</f>
        <v>0.5</v>
      </c>
      <c r="W6424" s="4" t="str">
        <f>IFERROR(__xludf.DUMMYFUNCTION("""COMPUTED_VALUE"""),"Consumer Soluções Em Tecnologia Ltda")</f>
        <v>Consumer Soluções Em Tecnologia Ltda</v>
      </c>
      <c r="X6424" s="33">
        <f>IFERROR(__xludf.DUMMYFUNCTION("""COMPUTED_VALUE"""),0.5)</f>
        <v>0.5</v>
      </c>
    </row>
    <row r="6425">
      <c r="K6425" s="4" t="str">
        <f>IFERROR(__xludf.DUMMYFUNCTION("""COMPUTED_VALUE"""),"AGUA VIVA LANCHES")</f>
        <v>AGUA VIVA LANCHES</v>
      </c>
      <c r="L6425" s="32">
        <f>IFERROR(__xludf.DUMMYFUNCTION("""COMPUTED_VALUE"""),2.0)</f>
        <v>2</v>
      </c>
      <c r="M6425" s="4" t="str">
        <f>IFERROR(__xludf.DUMMYFUNCTION("""COMPUTED_VALUE"""),"Anota Ai Solucoes Digitais S/a")</f>
        <v>Anota Ai Solucoes Digitais S/a</v>
      </c>
      <c r="N6425" s="33">
        <f>IFERROR(__xludf.DUMMYFUNCTION("""COMPUTED_VALUE"""),0.5)</f>
        <v>0.5</v>
      </c>
      <c r="O6425" s="4" t="str">
        <f>IFERROR(__xludf.DUMMYFUNCTION("""COMPUTED_VALUE"""),"Anota Ai Solucoes Digitais S/a")</f>
        <v>Anota Ai Solucoes Digitais S/a</v>
      </c>
      <c r="P6425" s="33">
        <f>IFERROR(__xludf.DUMMYFUNCTION("""COMPUTED_VALUE"""),0.5)</f>
        <v>0.5</v>
      </c>
      <c r="Q6425" s="4" t="str">
        <f>IFERROR(__xludf.DUMMYFUNCTION("""COMPUTED_VALUE"""),"Anota Ai Solucoes Digitais S/a")</f>
        <v>Anota Ai Solucoes Digitais S/a</v>
      </c>
      <c r="R6425" s="33">
        <f>IFERROR(__xludf.DUMMYFUNCTION("""COMPUTED_VALUE"""),0.5)</f>
        <v>0.5</v>
      </c>
      <c r="S6425" s="4" t="str">
        <f>IFERROR(__xludf.DUMMYFUNCTION("""COMPUTED_VALUE"""),"Anota Ai Solucoes Digitais S/a")</f>
        <v>Anota Ai Solucoes Digitais S/a</v>
      </c>
      <c r="T6425" s="33">
        <f>IFERROR(__xludf.DUMMYFUNCTION("""COMPUTED_VALUE"""),0.5)</f>
        <v>0.5</v>
      </c>
      <c r="U6425" s="4" t="str">
        <f>IFERROR(__xludf.DUMMYFUNCTION("""COMPUTED_VALUE"""),"Anota Ai Solucoes Digitais S/a")</f>
        <v>Anota Ai Solucoes Digitais S/a</v>
      </c>
      <c r="V6425" s="33">
        <f>IFERROR(__xludf.DUMMYFUNCTION("""COMPUTED_VALUE"""),0.5)</f>
        <v>0.5</v>
      </c>
      <c r="W6425" s="4" t="str">
        <f>IFERROR(__xludf.DUMMYFUNCTION("""COMPUTED_VALUE"""),"Anota Ai Solucoes Digitais S/a")</f>
        <v>Anota Ai Solucoes Digitais S/a</v>
      </c>
      <c r="X6425" s="33">
        <f>IFERROR(__xludf.DUMMYFUNCTION("""COMPUTED_VALUE"""),0.5)</f>
        <v>0.5</v>
      </c>
    </row>
    <row r="6426">
      <c r="K6426" s="4" t="str">
        <f>IFERROR(__xludf.DUMMYFUNCTION("""COMPUTED_VALUE"""),"FARMACIA PROGRESSO")</f>
        <v>FARMACIA PROGRESSO</v>
      </c>
      <c r="L6426" s="32">
        <f>IFERROR(__xludf.DUMMYFUNCTION("""COMPUTED_VALUE"""),2.0)</f>
        <v>2</v>
      </c>
      <c r="M6426" s="4" t="str">
        <f>IFERROR(__xludf.DUMMYFUNCTION("""COMPUTED_VALUE"""),"N/A (Not found)")</f>
        <v>N/A (Not found)</v>
      </c>
      <c r="N6426" s="33">
        <f>IFERROR(__xludf.DUMMYFUNCTION("""COMPUTED_VALUE"""),1.0)</f>
        <v>1</v>
      </c>
      <c r="O6426" s="4" t="str">
        <f>IFERROR(__xludf.DUMMYFUNCTION("""COMPUTED_VALUE"""),"null")</f>
        <v>null</v>
      </c>
      <c r="P6426" s="33">
        <f>IFERROR(__xludf.DUMMYFUNCTION("""COMPUTED_VALUE"""),0.5)</f>
        <v>0.5</v>
      </c>
      <c r="Q6426" s="4" t="str">
        <f>IFERROR(__xludf.DUMMYFUNCTION("""COMPUTED_VALUE"""),"null")</f>
        <v>null</v>
      </c>
      <c r="R6426" s="33">
        <f>IFERROR(__xludf.DUMMYFUNCTION("""COMPUTED_VALUE"""),0.5)</f>
        <v>0.5</v>
      </c>
      <c r="S6426" s="4" t="str">
        <f>IFERROR(__xludf.DUMMYFUNCTION("""COMPUTED_VALUE"""),"null")</f>
        <v>null</v>
      </c>
      <c r="T6426" s="33">
        <f>IFERROR(__xludf.DUMMYFUNCTION("""COMPUTED_VALUE"""),0.5)</f>
        <v>0.5</v>
      </c>
      <c r="U6426" s="4" t="str">
        <f>IFERROR(__xludf.DUMMYFUNCTION("""COMPUTED_VALUE"""),"null")</f>
        <v>null</v>
      </c>
      <c r="V6426" s="33">
        <f>IFERROR(__xludf.DUMMYFUNCTION("""COMPUTED_VALUE"""),0.5)</f>
        <v>0.5</v>
      </c>
      <c r="W6426" s="4" t="str">
        <f>IFERROR(__xludf.DUMMYFUNCTION("""COMPUTED_VALUE"""),"null")</f>
        <v>null</v>
      </c>
      <c r="X6426" s="33">
        <f>IFERROR(__xludf.DUMMYFUNCTION("""COMPUTED_VALUE"""),0.5)</f>
        <v>0.5</v>
      </c>
    </row>
    <row r="6427">
      <c r="K6427" s="4" t="str">
        <f>IFERROR(__xludf.DUMMYFUNCTION("""COMPUTED_VALUE"""),"PRIME BURGERS")</f>
        <v>PRIME BURGERS</v>
      </c>
      <c r="L6427" s="32">
        <f>IFERROR(__xludf.DUMMYFUNCTION("""COMPUTED_VALUE"""),2.0)</f>
        <v>2</v>
      </c>
      <c r="M6427" s="4" t="str">
        <f>IFERROR(__xludf.DUMMYFUNCTION("""COMPUTED_VALUE"""),"Saipos Serviços De Software")</f>
        <v>Saipos Serviços De Software</v>
      </c>
      <c r="N6427" s="33">
        <f>IFERROR(__xludf.DUMMYFUNCTION("""COMPUTED_VALUE"""),1.0)</f>
        <v>1</v>
      </c>
      <c r="O6427" s="4" t="str">
        <f>IFERROR(__xludf.DUMMYFUNCTION("""COMPUTED_VALUE"""),"Saipos Serviços De Software")</f>
        <v>Saipos Serviços De Software</v>
      </c>
      <c r="P6427" s="33">
        <f>IFERROR(__xludf.DUMMYFUNCTION("""COMPUTED_VALUE"""),1.0)</f>
        <v>1</v>
      </c>
      <c r="Q6427" s="4" t="str">
        <f>IFERROR(__xludf.DUMMYFUNCTION("""COMPUTED_VALUE"""),"Saipos Serviços De Software")</f>
        <v>Saipos Serviços De Software</v>
      </c>
      <c r="R6427" s="33">
        <f>IFERROR(__xludf.DUMMYFUNCTION("""COMPUTED_VALUE"""),1.0)</f>
        <v>1</v>
      </c>
      <c r="S6427" s="4" t="str">
        <f>IFERROR(__xludf.DUMMYFUNCTION("""COMPUTED_VALUE"""),"Saipos Serviços De Software")</f>
        <v>Saipos Serviços De Software</v>
      </c>
      <c r="T6427" s="33">
        <f>IFERROR(__xludf.DUMMYFUNCTION("""COMPUTED_VALUE"""),1.0)</f>
        <v>1</v>
      </c>
      <c r="U6427" s="4" t="str">
        <f>IFERROR(__xludf.DUMMYFUNCTION("""COMPUTED_VALUE"""),"Saipos Serviços De Software")</f>
        <v>Saipos Serviços De Software</v>
      </c>
      <c r="V6427" s="33">
        <f>IFERROR(__xludf.DUMMYFUNCTION("""COMPUTED_VALUE"""),1.0)</f>
        <v>1</v>
      </c>
      <c r="W6427" s="4" t="str">
        <f>IFERROR(__xludf.DUMMYFUNCTION("""COMPUTED_VALUE"""),"Saipos Serviços De Software")</f>
        <v>Saipos Serviços De Software</v>
      </c>
      <c r="X6427" s="33">
        <f>IFERROR(__xludf.DUMMYFUNCTION("""COMPUTED_VALUE"""),1.0)</f>
        <v>1</v>
      </c>
    </row>
    <row r="6428">
      <c r="K6428" s="4" t="str">
        <f>IFERROR(__xludf.DUMMYFUNCTION("""COMPUTED_VALUE"""),"PONTO DO LANCHE")</f>
        <v>PONTO DO LANCHE</v>
      </c>
      <c r="L6428" s="32">
        <f>IFERROR(__xludf.DUMMYFUNCTION("""COMPUTED_VALUE"""),2.0)</f>
        <v>2</v>
      </c>
      <c r="M6428" s="4" t="str">
        <f>IFERROR(__xludf.DUMMYFUNCTION("""COMPUTED_VALUE"""),"null")</f>
        <v>null</v>
      </c>
      <c r="N6428" s="33">
        <f>IFERROR(__xludf.DUMMYFUNCTION("""COMPUTED_VALUE"""),0.5)</f>
        <v>0.5</v>
      </c>
      <c r="O6428" s="4" t="str">
        <f>IFERROR(__xludf.DUMMYFUNCTION("""COMPUTED_VALUE"""),"null")</f>
        <v>null</v>
      </c>
      <c r="P6428" s="33">
        <f>IFERROR(__xludf.DUMMYFUNCTION("""COMPUTED_VALUE"""),0.5)</f>
        <v>0.5</v>
      </c>
      <c r="Q6428" s="4" t="str">
        <f>IFERROR(__xludf.DUMMYFUNCTION("""COMPUTED_VALUE"""),"null")</f>
        <v>null</v>
      </c>
      <c r="R6428" s="33">
        <f>IFERROR(__xludf.DUMMYFUNCTION("""COMPUTED_VALUE"""),1.0)</f>
        <v>1</v>
      </c>
      <c r="S6428" s="4" t="str">
        <f>IFERROR(__xludf.DUMMYFUNCTION("""COMPUTED_VALUE"""),"null")</f>
        <v>null</v>
      </c>
      <c r="T6428" s="33">
        <f>IFERROR(__xludf.DUMMYFUNCTION("""COMPUTED_VALUE"""),1.0)</f>
        <v>1</v>
      </c>
      <c r="U6428" s="4" t="str">
        <f>IFERROR(__xludf.DUMMYFUNCTION("""COMPUTED_VALUE"""),"Brendi")</f>
        <v>Brendi</v>
      </c>
      <c r="V6428" s="33">
        <f>IFERROR(__xludf.DUMMYFUNCTION("""COMPUTED_VALUE"""),0.5)</f>
        <v>0.5</v>
      </c>
      <c r="W6428" s="4" t="str">
        <f>IFERROR(__xludf.DUMMYFUNCTION("""COMPUTED_VALUE"""),"Brendi")</f>
        <v>Brendi</v>
      </c>
      <c r="X6428" s="33">
        <f>IFERROR(__xludf.DUMMYFUNCTION("""COMPUTED_VALUE"""),0.5)</f>
        <v>0.5</v>
      </c>
    </row>
    <row r="6429">
      <c r="K6429" s="4" t="str">
        <f>IFERROR(__xludf.DUMMYFUNCTION("""COMPUTED_VALUE"""),"BURGUER 3M - HAMBURGUERIA ARTESANAL - LANCHES")</f>
        <v>BURGUER 3M - HAMBURGUERIA ARTESANAL - LANCHES</v>
      </c>
      <c r="L6429" s="32">
        <f>IFERROR(__xludf.DUMMYFUNCTION("""COMPUTED_VALUE"""),2.0)</f>
        <v>2</v>
      </c>
      <c r="M6429" s="4" t="str">
        <f>IFERROR(__xludf.DUMMYFUNCTION("""COMPUTED_VALUE"""),"Cardápio Web")</f>
        <v>Cardápio Web</v>
      </c>
      <c r="N6429" s="33">
        <f>IFERROR(__xludf.DUMMYFUNCTION("""COMPUTED_VALUE"""),1.0)</f>
        <v>1</v>
      </c>
      <c r="O6429" s="4" t="str">
        <f>IFERROR(__xludf.DUMMYFUNCTION("""COMPUTED_VALUE"""),"Cardápio Web")</f>
        <v>Cardápio Web</v>
      </c>
      <c r="P6429" s="33">
        <f>IFERROR(__xludf.DUMMYFUNCTION("""COMPUTED_VALUE"""),1.0)</f>
        <v>1</v>
      </c>
      <c r="Q6429" s="4" t="str">
        <f>IFERROR(__xludf.DUMMYFUNCTION("""COMPUTED_VALUE"""),"Cardápio Web")</f>
        <v>Cardápio Web</v>
      </c>
      <c r="R6429" s="33">
        <f>IFERROR(__xludf.DUMMYFUNCTION("""COMPUTED_VALUE"""),1.0)</f>
        <v>1</v>
      </c>
      <c r="S6429" s="4" t="str">
        <f>IFERROR(__xludf.DUMMYFUNCTION("""COMPUTED_VALUE"""),"Cardápio Web")</f>
        <v>Cardápio Web</v>
      </c>
      <c r="T6429" s="33">
        <f>IFERROR(__xludf.DUMMYFUNCTION("""COMPUTED_VALUE"""),1.0)</f>
        <v>1</v>
      </c>
      <c r="U6429" s="4" t="str">
        <f>IFERROR(__xludf.DUMMYFUNCTION("""COMPUTED_VALUE"""),"null")</f>
        <v>null</v>
      </c>
      <c r="V6429" s="33">
        <f>IFERROR(__xludf.DUMMYFUNCTION("""COMPUTED_VALUE"""),0.5)</f>
        <v>0.5</v>
      </c>
      <c r="W6429" s="4" t="str">
        <f>IFERROR(__xludf.DUMMYFUNCTION("""COMPUTED_VALUE"""),"null")</f>
        <v>null</v>
      </c>
      <c r="X6429" s="33">
        <f>IFERROR(__xludf.DUMMYFUNCTION("""COMPUTED_VALUE"""),0.5)</f>
        <v>0.5</v>
      </c>
    </row>
    <row r="6430">
      <c r="K6430" s="4" t="str">
        <f>IFERROR(__xludf.DUMMYFUNCTION("""COMPUTED_VALUE"""),"RESTAURANTE RECANTO SERTANEJO - MARMITAS")</f>
        <v>RESTAURANTE RECANTO SERTANEJO - MARMITAS</v>
      </c>
      <c r="L6430" s="32">
        <f>IFERROR(__xludf.DUMMYFUNCTION("""COMPUTED_VALUE"""),2.0)</f>
        <v>2</v>
      </c>
      <c r="M6430" s="4" t="str">
        <f>IFERROR(__xludf.DUMMYFUNCTION("""COMPUTED_VALUE"""),"Saipos Serviços De Software")</f>
        <v>Saipos Serviços De Software</v>
      </c>
      <c r="N6430" s="33">
        <f>IFERROR(__xludf.DUMMYFUNCTION("""COMPUTED_VALUE"""),1.0)</f>
        <v>1</v>
      </c>
      <c r="O6430" s="4" t="str">
        <f>IFERROR(__xludf.DUMMYFUNCTION("""COMPUTED_VALUE"""),"Saipos Serviços De Software")</f>
        <v>Saipos Serviços De Software</v>
      </c>
      <c r="P6430" s="33">
        <f>IFERROR(__xludf.DUMMYFUNCTION("""COMPUTED_VALUE"""),1.0)</f>
        <v>1</v>
      </c>
      <c r="Q6430" s="4" t="str">
        <f>IFERROR(__xludf.DUMMYFUNCTION("""COMPUTED_VALUE"""),"Saipos Serviços De Software")</f>
        <v>Saipos Serviços De Software</v>
      </c>
      <c r="R6430" s="33">
        <f>IFERROR(__xludf.DUMMYFUNCTION("""COMPUTED_VALUE"""),1.0)</f>
        <v>1</v>
      </c>
      <c r="S6430" s="4" t="str">
        <f>IFERROR(__xludf.DUMMYFUNCTION("""COMPUTED_VALUE"""),"Saipos Serviços De Software")</f>
        <v>Saipos Serviços De Software</v>
      </c>
      <c r="T6430" s="33">
        <f>IFERROR(__xludf.DUMMYFUNCTION("""COMPUTED_VALUE"""),1.0)</f>
        <v>1</v>
      </c>
      <c r="U6430" s="4" t="str">
        <f>IFERROR(__xludf.DUMMYFUNCTION("""COMPUTED_VALUE"""),"Saipos Serviços De Software")</f>
        <v>Saipos Serviços De Software</v>
      </c>
      <c r="V6430" s="33">
        <f>IFERROR(__xludf.DUMMYFUNCTION("""COMPUTED_VALUE"""),1.0)</f>
        <v>1</v>
      </c>
      <c r="W6430" s="4" t="str">
        <f>IFERROR(__xludf.DUMMYFUNCTION("""COMPUTED_VALUE"""),"Saipos Serviços De Software")</f>
        <v>Saipos Serviços De Software</v>
      </c>
      <c r="X6430" s="33">
        <f>IFERROR(__xludf.DUMMYFUNCTION("""COMPUTED_VALUE"""),1.0)</f>
        <v>1</v>
      </c>
    </row>
    <row r="6431">
      <c r="K6431" s="4" t="str">
        <f>IFERROR(__xludf.DUMMYFUNCTION("""COMPUTED_VALUE"""),"O ARABE SHAWARMA")</f>
        <v>O ARABE SHAWARMA</v>
      </c>
      <c r="L6431" s="32">
        <f>IFERROR(__xludf.DUMMYFUNCTION("""COMPUTED_VALUE"""),2.0)</f>
        <v>2</v>
      </c>
      <c r="M6431" s="4" t="str">
        <f>IFERROR(__xludf.DUMMYFUNCTION("""COMPUTED_VALUE"""),"Saipos Serviços De Software")</f>
        <v>Saipos Serviços De Software</v>
      </c>
      <c r="N6431" s="33">
        <f>IFERROR(__xludf.DUMMYFUNCTION("""COMPUTED_VALUE"""),1.0)</f>
        <v>1</v>
      </c>
      <c r="O6431" s="4" t="str">
        <f>IFERROR(__xludf.DUMMYFUNCTION("""COMPUTED_VALUE"""),"Saipos Serviços De Software")</f>
        <v>Saipos Serviços De Software</v>
      </c>
      <c r="P6431" s="33">
        <f>IFERROR(__xludf.DUMMYFUNCTION("""COMPUTED_VALUE"""),1.0)</f>
        <v>1</v>
      </c>
      <c r="Q6431" s="4" t="str">
        <f>IFERROR(__xludf.DUMMYFUNCTION("""COMPUTED_VALUE"""),"Saipos Serviços De Software")</f>
        <v>Saipos Serviços De Software</v>
      </c>
      <c r="R6431" s="33">
        <f>IFERROR(__xludf.DUMMYFUNCTION("""COMPUTED_VALUE"""),1.0)</f>
        <v>1</v>
      </c>
      <c r="S6431" s="4" t="str">
        <f>IFERROR(__xludf.DUMMYFUNCTION("""COMPUTED_VALUE"""),"Saipos Serviços De Software")</f>
        <v>Saipos Serviços De Software</v>
      </c>
      <c r="T6431" s="33">
        <f>IFERROR(__xludf.DUMMYFUNCTION("""COMPUTED_VALUE"""),1.0)</f>
        <v>1</v>
      </c>
      <c r="U6431" s="4" t="str">
        <f>IFERROR(__xludf.DUMMYFUNCTION("""COMPUTED_VALUE"""),"Saipos Serviços De Software")</f>
        <v>Saipos Serviços De Software</v>
      </c>
      <c r="V6431" s="33">
        <f>IFERROR(__xludf.DUMMYFUNCTION("""COMPUTED_VALUE"""),1.0)</f>
        <v>1</v>
      </c>
      <c r="W6431" s="4" t="str">
        <f>IFERROR(__xludf.DUMMYFUNCTION("""COMPUTED_VALUE"""),"Saipos Serviços De Software")</f>
        <v>Saipos Serviços De Software</v>
      </c>
      <c r="X6431" s="33">
        <f>IFERROR(__xludf.DUMMYFUNCTION("""COMPUTED_VALUE"""),1.0)</f>
        <v>1</v>
      </c>
    </row>
    <row r="6432">
      <c r="K6432" s="4" t="str">
        <f>IFERROR(__xludf.DUMMYFUNCTION("""COMPUTED_VALUE"""),"ACAIDERA DELIVERY")</f>
        <v>ACAIDERA DELIVERY</v>
      </c>
      <c r="L6432" s="32">
        <f>IFERROR(__xludf.DUMMYFUNCTION("""COMPUTED_VALUE"""),2.0)</f>
        <v>2</v>
      </c>
      <c r="M6432" s="4" t="str">
        <f>IFERROR(__xludf.DUMMYFUNCTION("""COMPUTED_VALUE"""),"M-du Tecnologia")</f>
        <v>M-du Tecnologia</v>
      </c>
      <c r="N6432" s="33">
        <f>IFERROR(__xludf.DUMMYFUNCTION("""COMPUTED_VALUE"""),0.5)</f>
        <v>0.5</v>
      </c>
      <c r="O6432" s="4" t="str">
        <f>IFERROR(__xludf.DUMMYFUNCTION("""COMPUTED_VALUE"""),"M-du Tecnologia")</f>
        <v>M-du Tecnologia</v>
      </c>
      <c r="P6432" s="33">
        <f>IFERROR(__xludf.DUMMYFUNCTION("""COMPUTED_VALUE"""),0.5)</f>
        <v>0.5</v>
      </c>
      <c r="Q6432" s="4" t="str">
        <f>IFERROR(__xludf.DUMMYFUNCTION("""COMPUTED_VALUE"""),"M-du Tecnologia")</f>
        <v>M-du Tecnologia</v>
      </c>
      <c r="R6432" s="33">
        <f>IFERROR(__xludf.DUMMYFUNCTION("""COMPUTED_VALUE"""),0.5)</f>
        <v>0.5</v>
      </c>
      <c r="S6432" s="4" t="str">
        <f>IFERROR(__xludf.DUMMYFUNCTION("""COMPUTED_VALUE"""),"M-du Tecnologia")</f>
        <v>M-du Tecnologia</v>
      </c>
      <c r="T6432" s="33">
        <f>IFERROR(__xludf.DUMMYFUNCTION("""COMPUTED_VALUE"""),0.5)</f>
        <v>0.5</v>
      </c>
      <c r="U6432" s="4" t="str">
        <f>IFERROR(__xludf.DUMMYFUNCTION("""COMPUTED_VALUE"""),"M-du Tecnologia")</f>
        <v>M-du Tecnologia</v>
      </c>
      <c r="V6432" s="33">
        <f>IFERROR(__xludf.DUMMYFUNCTION("""COMPUTED_VALUE"""),0.5)</f>
        <v>0.5</v>
      </c>
      <c r="W6432" s="4" t="str">
        <f>IFERROR(__xludf.DUMMYFUNCTION("""COMPUTED_VALUE"""),"M-du Tecnologia")</f>
        <v>M-du Tecnologia</v>
      </c>
      <c r="X6432" s="33">
        <f>IFERROR(__xludf.DUMMYFUNCTION("""COMPUTED_VALUE"""),0.5)</f>
        <v>0.5</v>
      </c>
    </row>
    <row r="6433">
      <c r="K6433" s="4" t="str">
        <f>IFERROR(__xludf.DUMMYFUNCTION("""COMPUTED_VALUE"""),"VMARCHE MERCADO VEGANO")</f>
        <v>VMARCHE MERCADO VEGANO</v>
      </c>
      <c r="L6433" s="32">
        <f>IFERROR(__xludf.DUMMYFUNCTION("""COMPUTED_VALUE"""),2.0)</f>
        <v>2</v>
      </c>
      <c r="M6433" s="4" t="str">
        <f>IFERROR(__xludf.DUMMYFUNCTION("""COMPUTED_VALUE"""),"N/A (Not found)")</f>
        <v>N/A (Not found)</v>
      </c>
      <c r="N6433" s="33">
        <f>IFERROR(__xludf.DUMMYFUNCTION("""COMPUTED_VALUE"""),1.0)</f>
        <v>1</v>
      </c>
      <c r="O6433" s="4" t="str">
        <f>IFERROR(__xludf.DUMMYFUNCTION("""COMPUTED_VALUE"""),"N/A (Not found)")</f>
        <v>N/A (Not found)</v>
      </c>
      <c r="P6433" s="33">
        <f>IFERROR(__xludf.DUMMYFUNCTION("""COMPUTED_VALUE"""),0.5)</f>
        <v>0.5</v>
      </c>
      <c r="Q6433" s="4" t="str">
        <f>IFERROR(__xludf.DUMMYFUNCTION("""COMPUTED_VALUE"""),"N/A (Not found)")</f>
        <v>N/A (Not found)</v>
      </c>
      <c r="R6433" s="33">
        <f>IFERROR(__xludf.DUMMYFUNCTION("""COMPUTED_VALUE"""),0.5)</f>
        <v>0.5</v>
      </c>
      <c r="S6433" s="4" t="str">
        <f>IFERROR(__xludf.DUMMYFUNCTION("""COMPUTED_VALUE"""),"N/A (Not found)")</f>
        <v>N/A (Not found)</v>
      </c>
      <c r="T6433" s="33">
        <f>IFERROR(__xludf.DUMMYFUNCTION("""COMPUTED_VALUE"""),0.5)</f>
        <v>0.5</v>
      </c>
      <c r="U6433" s="4" t="str">
        <f>IFERROR(__xludf.DUMMYFUNCTION("""COMPUTED_VALUE"""),"N/A (Not found)")</f>
        <v>N/A (Not found)</v>
      </c>
      <c r="V6433" s="33">
        <f>IFERROR(__xludf.DUMMYFUNCTION("""COMPUTED_VALUE"""),0.5)</f>
        <v>0.5</v>
      </c>
      <c r="W6433" s="4" t="str">
        <f>IFERROR(__xludf.DUMMYFUNCTION("""COMPUTED_VALUE"""),"N/A (Not found)")</f>
        <v>N/A (Not found)</v>
      </c>
      <c r="X6433" s="33">
        <f>IFERROR(__xludf.DUMMYFUNCTION("""COMPUTED_VALUE"""),0.5)</f>
        <v>0.5</v>
      </c>
    </row>
    <row r="6434">
      <c r="K6434" s="4" t="str">
        <f>IFERROR(__xludf.DUMMYFUNCTION("""COMPUTED_VALUE"""),"TOMBA LATAS CACHORRO QUENTE")</f>
        <v>TOMBA LATAS CACHORRO QUENTE</v>
      </c>
      <c r="L6434" s="32">
        <f>IFERROR(__xludf.DUMMYFUNCTION("""COMPUTED_VALUE"""),2.0)</f>
        <v>2</v>
      </c>
      <c r="M6434" s="4" t="str">
        <f>IFERROR(__xludf.DUMMYFUNCTION("""COMPUTED_VALUE"""),"Saipos Serviços De Software")</f>
        <v>Saipos Serviços De Software</v>
      </c>
      <c r="N6434" s="33">
        <f>IFERROR(__xludf.DUMMYFUNCTION("""COMPUTED_VALUE"""),1.0)</f>
        <v>1</v>
      </c>
      <c r="O6434" s="4" t="str">
        <f>IFERROR(__xludf.DUMMYFUNCTION("""COMPUTED_VALUE"""),"Saipos Serviços De Software")</f>
        <v>Saipos Serviços De Software</v>
      </c>
      <c r="P6434" s="33">
        <f>IFERROR(__xludf.DUMMYFUNCTION("""COMPUTED_VALUE"""),1.0)</f>
        <v>1</v>
      </c>
      <c r="Q6434" s="4" t="str">
        <f>IFERROR(__xludf.DUMMYFUNCTION("""COMPUTED_VALUE"""),"Saipos Serviços De Software")</f>
        <v>Saipos Serviços De Software</v>
      </c>
      <c r="R6434" s="33">
        <f>IFERROR(__xludf.DUMMYFUNCTION("""COMPUTED_VALUE"""),0.5)</f>
        <v>0.5</v>
      </c>
      <c r="S6434" s="4" t="str">
        <f>IFERROR(__xludf.DUMMYFUNCTION("""COMPUTED_VALUE"""),"Saipos Serviços De Software")</f>
        <v>Saipos Serviços De Software</v>
      </c>
      <c r="T6434" s="33">
        <f>IFERROR(__xludf.DUMMYFUNCTION("""COMPUTED_VALUE"""),0.5)</f>
        <v>0.5</v>
      </c>
      <c r="U6434" s="4" t="str">
        <f>IFERROR(__xludf.DUMMYFUNCTION("""COMPUTED_VALUE"""),"Saipos Serviços De Software")</f>
        <v>Saipos Serviços De Software</v>
      </c>
      <c r="V6434" s="33">
        <f>IFERROR(__xludf.DUMMYFUNCTION("""COMPUTED_VALUE"""),0.5)</f>
        <v>0.5</v>
      </c>
      <c r="W6434" s="4" t="str">
        <f>IFERROR(__xludf.DUMMYFUNCTION("""COMPUTED_VALUE"""),"Saipos Serviços De Software")</f>
        <v>Saipos Serviços De Software</v>
      </c>
      <c r="X6434" s="33">
        <f>IFERROR(__xludf.DUMMYFUNCTION("""COMPUTED_VALUE"""),0.5)</f>
        <v>0.5</v>
      </c>
    </row>
    <row r="6435">
      <c r="K6435" s="4" t="str">
        <f>IFERROR(__xludf.DUMMYFUNCTION("""COMPUTED_VALUE"""),"FREDS PIZZA")</f>
        <v>FREDS PIZZA</v>
      </c>
      <c r="L6435" s="32">
        <f>IFERROR(__xludf.DUMMYFUNCTION("""COMPUTED_VALUE"""),2.0)</f>
        <v>2</v>
      </c>
      <c r="M6435" s="4" t="str">
        <f>IFERROR(__xludf.DUMMYFUNCTION("""COMPUTED_VALUE"""),"Saipos Serviços De Software")</f>
        <v>Saipos Serviços De Software</v>
      </c>
      <c r="N6435" s="33">
        <f>IFERROR(__xludf.DUMMYFUNCTION("""COMPUTED_VALUE"""),1.0)</f>
        <v>1</v>
      </c>
      <c r="O6435" s="4" t="str">
        <f>IFERROR(__xludf.DUMMYFUNCTION("""COMPUTED_VALUE"""),"Saipos Serviços De Software")</f>
        <v>Saipos Serviços De Software</v>
      </c>
      <c r="P6435" s="33">
        <f>IFERROR(__xludf.DUMMYFUNCTION("""COMPUTED_VALUE"""),1.0)</f>
        <v>1</v>
      </c>
      <c r="Q6435" s="4" t="str">
        <f>IFERROR(__xludf.DUMMYFUNCTION("""COMPUTED_VALUE"""),"Saipos Serviços De Software")</f>
        <v>Saipos Serviços De Software</v>
      </c>
      <c r="R6435" s="33">
        <f>IFERROR(__xludf.DUMMYFUNCTION("""COMPUTED_VALUE"""),1.0)</f>
        <v>1</v>
      </c>
      <c r="S6435" s="4" t="str">
        <f>IFERROR(__xludf.DUMMYFUNCTION("""COMPUTED_VALUE"""),"Saipos Serviços De Software")</f>
        <v>Saipos Serviços De Software</v>
      </c>
      <c r="T6435" s="33">
        <f>IFERROR(__xludf.DUMMYFUNCTION("""COMPUTED_VALUE"""),1.0)</f>
        <v>1</v>
      </c>
      <c r="U6435" s="4" t="str">
        <f>IFERROR(__xludf.DUMMYFUNCTION("""COMPUTED_VALUE"""),"Saipos Serviços De Software")</f>
        <v>Saipos Serviços De Software</v>
      </c>
      <c r="V6435" s="33">
        <f>IFERROR(__xludf.DUMMYFUNCTION("""COMPUTED_VALUE"""),1.0)</f>
        <v>1</v>
      </c>
      <c r="W6435" s="4" t="str">
        <f>IFERROR(__xludf.DUMMYFUNCTION("""COMPUTED_VALUE"""),"Saipos Serviços De Software")</f>
        <v>Saipos Serviços De Software</v>
      </c>
      <c r="X6435" s="33">
        <f>IFERROR(__xludf.DUMMYFUNCTION("""COMPUTED_VALUE"""),1.0)</f>
        <v>1</v>
      </c>
    </row>
    <row r="6436">
      <c r="K6436" s="4" t="str">
        <f>IFERROR(__xludf.DUMMYFUNCTION("""COMPUTED_VALUE"""),"FLASH ACAI")</f>
        <v>FLASH ACAI</v>
      </c>
      <c r="L6436" s="32">
        <f>IFERROR(__xludf.DUMMYFUNCTION("""COMPUTED_VALUE"""),2.0)</f>
        <v>2</v>
      </c>
      <c r="M6436" s="4" t="str">
        <f>IFERROR(__xludf.DUMMYFUNCTION("""COMPUTED_VALUE"""),"Saipos Serviços De Software")</f>
        <v>Saipos Serviços De Software</v>
      </c>
      <c r="N6436" s="33">
        <f>IFERROR(__xludf.DUMMYFUNCTION("""COMPUTED_VALUE"""),0.5)</f>
        <v>0.5</v>
      </c>
      <c r="O6436" s="4" t="str">
        <f>IFERROR(__xludf.DUMMYFUNCTION("""COMPUTED_VALUE"""),"Saipos Serviços De Software")</f>
        <v>Saipos Serviços De Software</v>
      </c>
      <c r="P6436" s="33">
        <f>IFERROR(__xludf.DUMMYFUNCTION("""COMPUTED_VALUE"""),0.5)</f>
        <v>0.5</v>
      </c>
      <c r="Q6436" s="4" t="str">
        <f>IFERROR(__xludf.DUMMYFUNCTION("""COMPUTED_VALUE"""),"Saipos Serviços De Software")</f>
        <v>Saipos Serviços De Software</v>
      </c>
      <c r="R6436" s="33">
        <f>IFERROR(__xludf.DUMMYFUNCTION("""COMPUTED_VALUE"""),0.5)</f>
        <v>0.5</v>
      </c>
      <c r="S6436" s="4" t="str">
        <f>IFERROR(__xludf.DUMMYFUNCTION("""COMPUTED_VALUE"""),"Saipos Serviços De Software")</f>
        <v>Saipos Serviços De Software</v>
      </c>
      <c r="T6436" s="33">
        <f>IFERROR(__xludf.DUMMYFUNCTION("""COMPUTED_VALUE"""),0.5)</f>
        <v>0.5</v>
      </c>
      <c r="U6436" s="4" t="str">
        <f>IFERROR(__xludf.DUMMYFUNCTION("""COMPUTED_VALUE"""),"Saipos Serviços De Software")</f>
        <v>Saipos Serviços De Software</v>
      </c>
      <c r="V6436" s="33">
        <f>IFERROR(__xludf.DUMMYFUNCTION("""COMPUTED_VALUE"""),0.5)</f>
        <v>0.5</v>
      </c>
      <c r="W6436" s="4" t="str">
        <f>IFERROR(__xludf.DUMMYFUNCTION("""COMPUTED_VALUE"""),"Saipos Serviços De Software")</f>
        <v>Saipos Serviços De Software</v>
      </c>
      <c r="X6436" s="33">
        <f>IFERROR(__xludf.DUMMYFUNCTION("""COMPUTED_VALUE"""),0.5)</f>
        <v>0.5</v>
      </c>
    </row>
    <row r="6437">
      <c r="K6437" s="4" t="str">
        <f>IFERROR(__xludf.DUMMYFUNCTION("""COMPUTED_VALUE"""),"ACAI GOLDEN")</f>
        <v>ACAI GOLDEN</v>
      </c>
      <c r="L6437" s="32">
        <f>IFERROR(__xludf.DUMMYFUNCTION("""COMPUTED_VALUE"""),2.0)</f>
        <v>2</v>
      </c>
      <c r="M6437" s="4" t="str">
        <f>IFERROR(__xludf.DUMMYFUNCTION("""COMPUTED_VALUE"""),"Instadelivery")</f>
        <v>Instadelivery</v>
      </c>
      <c r="N6437" s="33">
        <f>IFERROR(__xludf.DUMMYFUNCTION("""COMPUTED_VALUE"""),0.5)</f>
        <v>0.5</v>
      </c>
      <c r="O6437" s="4" t="str">
        <f>IFERROR(__xludf.DUMMYFUNCTION("""COMPUTED_VALUE"""),"Instadelivery")</f>
        <v>Instadelivery</v>
      </c>
      <c r="P6437" s="33">
        <f>IFERROR(__xludf.DUMMYFUNCTION("""COMPUTED_VALUE"""),0.5)</f>
        <v>0.5</v>
      </c>
      <c r="Q6437" s="4" t="str">
        <f>IFERROR(__xludf.DUMMYFUNCTION("""COMPUTED_VALUE"""),"Instadelivery")</f>
        <v>Instadelivery</v>
      </c>
      <c r="R6437" s="33">
        <f>IFERROR(__xludf.DUMMYFUNCTION("""COMPUTED_VALUE"""),0.5)</f>
        <v>0.5</v>
      </c>
      <c r="S6437" s="4" t="str">
        <f>IFERROR(__xludf.DUMMYFUNCTION("""COMPUTED_VALUE"""),"null")</f>
        <v>null</v>
      </c>
      <c r="T6437" s="33">
        <f>IFERROR(__xludf.DUMMYFUNCTION("""COMPUTED_VALUE"""),1.0)</f>
        <v>1</v>
      </c>
      <c r="U6437" s="4" t="str">
        <f>IFERROR(__xludf.DUMMYFUNCTION("""COMPUTED_VALUE"""),"null")</f>
        <v>null</v>
      </c>
      <c r="V6437" s="33">
        <f>IFERROR(__xludf.DUMMYFUNCTION("""COMPUTED_VALUE"""),1.0)</f>
        <v>1</v>
      </c>
      <c r="W6437" s="4" t="str">
        <f>IFERROR(__xludf.DUMMYFUNCTION("""COMPUTED_VALUE"""),"null")</f>
        <v>null</v>
      </c>
      <c r="X6437" s="33">
        <f>IFERROR(__xludf.DUMMYFUNCTION("""COMPUTED_VALUE"""),0.5)</f>
        <v>0.5</v>
      </c>
    </row>
    <row r="6438">
      <c r="K6438" s="4" t="str">
        <f>IFERROR(__xludf.DUMMYFUNCTION("""COMPUTED_VALUE"""),"SAL DOCE PIZZARIA")</f>
        <v>SAL DOCE PIZZARIA</v>
      </c>
      <c r="L6438" s="32">
        <f>IFERROR(__xludf.DUMMYFUNCTION("""COMPUTED_VALUE"""),2.0)</f>
        <v>2</v>
      </c>
      <c r="M6438" s="4" t="str">
        <f>IFERROR(__xludf.DUMMYFUNCTION("""COMPUTED_VALUE"""),"Cardápio Web")</f>
        <v>Cardápio Web</v>
      </c>
      <c r="N6438" s="33">
        <f>IFERROR(__xludf.DUMMYFUNCTION("""COMPUTED_VALUE"""),1.0)</f>
        <v>1</v>
      </c>
      <c r="O6438" s="4" t="str">
        <f>IFERROR(__xludf.DUMMYFUNCTION("""COMPUTED_VALUE"""),"Cardápio Web")</f>
        <v>Cardápio Web</v>
      </c>
      <c r="P6438" s="33">
        <f>IFERROR(__xludf.DUMMYFUNCTION("""COMPUTED_VALUE"""),1.0)</f>
        <v>1</v>
      </c>
      <c r="Q6438" s="4" t="str">
        <f>IFERROR(__xludf.DUMMYFUNCTION("""COMPUTED_VALUE"""),"Cardápio Web")</f>
        <v>Cardápio Web</v>
      </c>
      <c r="R6438" s="33">
        <f>IFERROR(__xludf.DUMMYFUNCTION("""COMPUTED_VALUE"""),1.0)</f>
        <v>1</v>
      </c>
      <c r="S6438" s="4" t="str">
        <f>IFERROR(__xludf.DUMMYFUNCTION("""COMPUTED_VALUE"""),"Cardápio Web")</f>
        <v>Cardápio Web</v>
      </c>
      <c r="T6438" s="33">
        <f>IFERROR(__xludf.DUMMYFUNCTION("""COMPUTED_VALUE"""),1.0)</f>
        <v>1</v>
      </c>
      <c r="U6438" s="4" t="str">
        <f>IFERROR(__xludf.DUMMYFUNCTION("""COMPUTED_VALUE"""),"Cardápio Web")</f>
        <v>Cardápio Web</v>
      </c>
      <c r="V6438" s="33">
        <f>IFERROR(__xludf.DUMMYFUNCTION("""COMPUTED_VALUE"""),1.0)</f>
        <v>1</v>
      </c>
      <c r="W6438" s="4" t="str">
        <f>IFERROR(__xludf.DUMMYFUNCTION("""COMPUTED_VALUE"""),"Cardápio Web")</f>
        <v>Cardápio Web</v>
      </c>
      <c r="X6438" s="33">
        <f>IFERROR(__xludf.DUMMYFUNCTION("""COMPUTED_VALUE"""),1.0)</f>
        <v>1</v>
      </c>
    </row>
    <row r="6439">
      <c r="K6439" s="4" t="str">
        <f>IFERROR(__xludf.DUMMYFUNCTION("""COMPUTED_VALUE"""),"IGOR LANCHES")</f>
        <v>IGOR LANCHES</v>
      </c>
      <c r="L6439" s="32">
        <f>IFERROR(__xludf.DUMMYFUNCTION("""COMPUTED_VALUE"""),2.0)</f>
        <v>2</v>
      </c>
      <c r="M6439" s="4" t="str">
        <f>IFERROR(__xludf.DUMMYFUNCTION("""COMPUTED_VALUE"""),"null")</f>
        <v>null</v>
      </c>
      <c r="N6439" s="33">
        <f>IFERROR(__xludf.DUMMYFUNCTION("""COMPUTED_VALUE"""),0.5)</f>
        <v>0.5</v>
      </c>
      <c r="O6439" s="4" t="str">
        <f>IFERROR(__xludf.DUMMYFUNCTION("""COMPUTED_VALUE"""),"null")</f>
        <v>null</v>
      </c>
      <c r="P6439" s="33">
        <f>IFERROR(__xludf.DUMMYFUNCTION("""COMPUTED_VALUE"""),0.5)</f>
        <v>0.5</v>
      </c>
      <c r="Q6439" s="4" t="str">
        <f>IFERROR(__xludf.DUMMYFUNCTION("""COMPUTED_VALUE"""),"null")</f>
        <v>null</v>
      </c>
      <c r="R6439" s="33">
        <f>IFERROR(__xludf.DUMMYFUNCTION("""COMPUTED_VALUE"""),1.0)</f>
        <v>1</v>
      </c>
      <c r="S6439" s="4" t="str">
        <f>IFERROR(__xludf.DUMMYFUNCTION("""COMPUTED_VALUE"""),"null")</f>
        <v>null</v>
      </c>
      <c r="T6439" s="33">
        <f>IFERROR(__xludf.DUMMYFUNCTION("""COMPUTED_VALUE"""),1.0)</f>
        <v>1</v>
      </c>
      <c r="U6439" s="4" t="str">
        <f>IFERROR(__xludf.DUMMYFUNCTION("""COMPUTED_VALUE"""),"null")</f>
        <v>null</v>
      </c>
      <c r="V6439" s="33">
        <f>IFERROR(__xludf.DUMMYFUNCTION("""COMPUTED_VALUE"""),1.0)</f>
        <v>1</v>
      </c>
      <c r="W6439" s="4" t="str">
        <f>IFERROR(__xludf.DUMMYFUNCTION("""COMPUTED_VALUE"""),"Saipos Serviços De Software")</f>
        <v>Saipos Serviços De Software</v>
      </c>
      <c r="X6439" s="33">
        <f>IFERROR(__xludf.DUMMYFUNCTION("""COMPUTED_VALUE"""),0.5)</f>
        <v>0.5</v>
      </c>
    </row>
    <row r="6440">
      <c r="K6440" s="4" t="str">
        <f>IFERROR(__xludf.DUMMYFUNCTION("""COMPUTED_VALUE"""),"SANDOOBAH HAMBURGUERIA")</f>
        <v>SANDOOBAH HAMBURGUERIA</v>
      </c>
      <c r="L6440" s="32">
        <f>IFERROR(__xludf.DUMMYFUNCTION("""COMPUTED_VALUE"""),2.0)</f>
        <v>2</v>
      </c>
      <c r="M6440" s="4" t="str">
        <f>IFERROR(__xludf.DUMMYFUNCTION("""COMPUTED_VALUE"""),"Winfood")</f>
        <v>Winfood</v>
      </c>
      <c r="N6440" s="33">
        <f>IFERROR(__xludf.DUMMYFUNCTION("""COMPUTED_VALUE"""),0.5)</f>
        <v>0.5</v>
      </c>
      <c r="O6440" s="4" t="str">
        <f>IFERROR(__xludf.DUMMYFUNCTION("""COMPUTED_VALUE"""),"Winfood")</f>
        <v>Winfood</v>
      </c>
      <c r="P6440" s="33">
        <f>IFERROR(__xludf.DUMMYFUNCTION("""COMPUTED_VALUE"""),0.5)</f>
        <v>0.5</v>
      </c>
      <c r="Q6440" s="4" t="str">
        <f>IFERROR(__xludf.DUMMYFUNCTION("""COMPUTED_VALUE"""),"Winfood")</f>
        <v>Winfood</v>
      </c>
      <c r="R6440" s="33">
        <f>IFERROR(__xludf.DUMMYFUNCTION("""COMPUTED_VALUE"""),0.5)</f>
        <v>0.5</v>
      </c>
      <c r="S6440" s="4" t="str">
        <f>IFERROR(__xludf.DUMMYFUNCTION("""COMPUTED_VALUE"""),"Winfood")</f>
        <v>Winfood</v>
      </c>
      <c r="T6440" s="33">
        <f>IFERROR(__xludf.DUMMYFUNCTION("""COMPUTED_VALUE"""),0.5)</f>
        <v>0.5</v>
      </c>
      <c r="U6440" s="4" t="str">
        <f>IFERROR(__xludf.DUMMYFUNCTION("""COMPUTED_VALUE"""),"Winfood")</f>
        <v>Winfood</v>
      </c>
      <c r="V6440" s="33">
        <f>IFERROR(__xludf.DUMMYFUNCTION("""COMPUTED_VALUE"""),0.5)</f>
        <v>0.5</v>
      </c>
      <c r="W6440" s="4" t="str">
        <f>IFERROR(__xludf.DUMMYFUNCTION("""COMPUTED_VALUE"""),"Winfood")</f>
        <v>Winfood</v>
      </c>
      <c r="X6440" s="33">
        <f>IFERROR(__xludf.DUMMYFUNCTION("""COMPUTED_VALUE"""),0.5)</f>
        <v>0.5</v>
      </c>
    </row>
    <row r="6441">
      <c r="K6441" s="4" t="str">
        <f>IFERROR(__xludf.DUMMYFUNCTION("""COMPUTED_VALUE"""),"JOW HAMBURGUERIA")</f>
        <v>JOW HAMBURGUERIA</v>
      </c>
      <c r="L6441" s="32">
        <f>IFERROR(__xludf.DUMMYFUNCTION("""COMPUTED_VALUE"""),2.0)</f>
        <v>2</v>
      </c>
      <c r="M6441" s="4" t="str">
        <f>IFERROR(__xludf.DUMMYFUNCTION("""COMPUTED_VALUE"""),"Saipos Serviços De Software")</f>
        <v>Saipos Serviços De Software</v>
      </c>
      <c r="N6441" s="33">
        <f>IFERROR(__xludf.DUMMYFUNCTION("""COMPUTED_VALUE"""),0.5)</f>
        <v>0.5</v>
      </c>
      <c r="O6441" s="4" t="str">
        <f>IFERROR(__xludf.DUMMYFUNCTION("""COMPUTED_VALUE"""),"Saipos Serviços De Software")</f>
        <v>Saipos Serviços De Software</v>
      </c>
      <c r="P6441" s="33">
        <f>IFERROR(__xludf.DUMMYFUNCTION("""COMPUTED_VALUE"""),0.5)</f>
        <v>0.5</v>
      </c>
      <c r="Q6441" s="4" t="str">
        <f>IFERROR(__xludf.DUMMYFUNCTION("""COMPUTED_VALUE"""),"Saipos Serviços De Software")</f>
        <v>Saipos Serviços De Software</v>
      </c>
      <c r="R6441" s="33">
        <f>IFERROR(__xludf.DUMMYFUNCTION("""COMPUTED_VALUE"""),0.5)</f>
        <v>0.5</v>
      </c>
      <c r="S6441" s="4" t="str">
        <f>IFERROR(__xludf.DUMMYFUNCTION("""COMPUTED_VALUE"""),"Saipos Serviços De Software")</f>
        <v>Saipos Serviços De Software</v>
      </c>
      <c r="T6441" s="33">
        <f>IFERROR(__xludf.DUMMYFUNCTION("""COMPUTED_VALUE"""),0.5)</f>
        <v>0.5</v>
      </c>
      <c r="U6441" s="4" t="str">
        <f>IFERROR(__xludf.DUMMYFUNCTION("""COMPUTED_VALUE"""),"Saipos Serviços De Software")</f>
        <v>Saipos Serviços De Software</v>
      </c>
      <c r="V6441" s="33">
        <f>IFERROR(__xludf.DUMMYFUNCTION("""COMPUTED_VALUE"""),0.5)</f>
        <v>0.5</v>
      </c>
      <c r="W6441" s="4" t="str">
        <f>IFERROR(__xludf.DUMMYFUNCTION("""COMPUTED_VALUE"""),"Saipos Serviços De Software")</f>
        <v>Saipos Serviços De Software</v>
      </c>
      <c r="X6441" s="33">
        <f>IFERROR(__xludf.DUMMYFUNCTION("""COMPUTED_VALUE"""),0.5)</f>
        <v>0.5</v>
      </c>
    </row>
    <row r="6442">
      <c r="K6442" s="4" t="str">
        <f>IFERROR(__xludf.DUMMYFUNCTION("""COMPUTED_VALUE"""),"PAO COM LINGUICA")</f>
        <v>PAO COM LINGUICA</v>
      </c>
      <c r="L6442" s="32">
        <f>IFERROR(__xludf.DUMMYFUNCTION("""COMPUTED_VALUE"""),2.0)</f>
        <v>2</v>
      </c>
      <c r="M6442" s="4" t="str">
        <f>IFERROR(__xludf.DUMMYFUNCTION("""COMPUTED_VALUE"""),"Connectplug")</f>
        <v>Connectplug</v>
      </c>
      <c r="N6442" s="33">
        <f>IFERROR(__xludf.DUMMYFUNCTION("""COMPUTED_VALUE"""),0.5)</f>
        <v>0.5</v>
      </c>
      <c r="O6442" s="4" t="str">
        <f>IFERROR(__xludf.DUMMYFUNCTION("""COMPUTED_VALUE"""),"Connectplug")</f>
        <v>Connectplug</v>
      </c>
      <c r="P6442" s="33">
        <f>IFERROR(__xludf.DUMMYFUNCTION("""COMPUTED_VALUE"""),0.5)</f>
        <v>0.5</v>
      </c>
      <c r="Q6442" s="4" t="str">
        <f>IFERROR(__xludf.DUMMYFUNCTION("""COMPUTED_VALUE"""),"Connectplug")</f>
        <v>Connectplug</v>
      </c>
      <c r="R6442" s="33">
        <f>IFERROR(__xludf.DUMMYFUNCTION("""COMPUTED_VALUE"""),0.5)</f>
        <v>0.5</v>
      </c>
      <c r="S6442" s="4" t="str">
        <f>IFERROR(__xludf.DUMMYFUNCTION("""COMPUTED_VALUE"""),"Connectplug")</f>
        <v>Connectplug</v>
      </c>
      <c r="T6442" s="33">
        <f>IFERROR(__xludf.DUMMYFUNCTION("""COMPUTED_VALUE"""),0.5)</f>
        <v>0.5</v>
      </c>
      <c r="U6442" s="4" t="str">
        <f>IFERROR(__xludf.DUMMYFUNCTION("""COMPUTED_VALUE"""),"Connectplug")</f>
        <v>Connectplug</v>
      </c>
      <c r="V6442" s="33">
        <f>IFERROR(__xludf.DUMMYFUNCTION("""COMPUTED_VALUE"""),0.5)</f>
        <v>0.5</v>
      </c>
      <c r="W6442" s="4" t="str">
        <f>IFERROR(__xludf.DUMMYFUNCTION("""COMPUTED_VALUE"""),"Connectplug")</f>
        <v>Connectplug</v>
      </c>
      <c r="X6442" s="33">
        <f>IFERROR(__xludf.DUMMYFUNCTION("""COMPUTED_VALUE"""),0.5)</f>
        <v>0.5</v>
      </c>
    </row>
    <row r="6443">
      <c r="K6443" s="4" t="str">
        <f>IFERROR(__xludf.DUMMYFUNCTION("""COMPUTED_VALUE"""),"INOOBURGUER HAMBURGUERIA - LANCHES")</f>
        <v>INOOBURGUER HAMBURGUERIA - LANCHES</v>
      </c>
      <c r="L6443" s="32">
        <f>IFERROR(__xludf.DUMMYFUNCTION("""COMPUTED_VALUE"""),2.0)</f>
        <v>2</v>
      </c>
      <c r="M6443" s="4" t="str">
        <f>IFERROR(__xludf.DUMMYFUNCTION("""COMPUTED_VALUE"""),"Menu Integrado")</f>
        <v>Menu Integrado</v>
      </c>
      <c r="N6443" s="33">
        <f>IFERROR(__xludf.DUMMYFUNCTION("""COMPUTED_VALUE"""),1.0)</f>
        <v>1</v>
      </c>
      <c r="O6443" s="4" t="str">
        <f>IFERROR(__xludf.DUMMYFUNCTION("""COMPUTED_VALUE"""),"Menu Integrado")</f>
        <v>Menu Integrado</v>
      </c>
      <c r="P6443" s="33">
        <f>IFERROR(__xludf.DUMMYFUNCTION("""COMPUTED_VALUE"""),1.0)</f>
        <v>1</v>
      </c>
      <c r="Q6443" s="4" t="str">
        <f>IFERROR(__xludf.DUMMYFUNCTION("""COMPUTED_VALUE"""),"Menu Integrado")</f>
        <v>Menu Integrado</v>
      </c>
      <c r="R6443" s="33">
        <f>IFERROR(__xludf.DUMMYFUNCTION("""COMPUTED_VALUE"""),1.0)</f>
        <v>1</v>
      </c>
      <c r="S6443" s="4" t="str">
        <f>IFERROR(__xludf.DUMMYFUNCTION("""COMPUTED_VALUE"""),"Menu Integrado")</f>
        <v>Menu Integrado</v>
      </c>
      <c r="T6443" s="33">
        <f>IFERROR(__xludf.DUMMYFUNCTION("""COMPUTED_VALUE"""),1.0)</f>
        <v>1</v>
      </c>
      <c r="U6443" s="4" t="str">
        <f>IFERROR(__xludf.DUMMYFUNCTION("""COMPUTED_VALUE"""),"Menu Integrado")</f>
        <v>Menu Integrado</v>
      </c>
      <c r="V6443" s="33">
        <f>IFERROR(__xludf.DUMMYFUNCTION("""COMPUTED_VALUE"""),1.0)</f>
        <v>1</v>
      </c>
      <c r="W6443" s="4" t="str">
        <f>IFERROR(__xludf.DUMMYFUNCTION("""COMPUTED_VALUE"""),"Menu Integrado")</f>
        <v>Menu Integrado</v>
      </c>
      <c r="X6443" s="33">
        <f>IFERROR(__xludf.DUMMYFUNCTION("""COMPUTED_VALUE"""),1.0)</f>
        <v>1</v>
      </c>
    </row>
    <row r="6444">
      <c r="K6444" s="4" t="str">
        <f>IFERROR(__xludf.DUMMYFUNCTION("""COMPUTED_VALUE"""),"FREDIES BURGER")</f>
        <v>FREDIES BURGER</v>
      </c>
      <c r="L6444" s="32">
        <f>IFERROR(__xludf.DUMMYFUNCTION("""COMPUTED_VALUE"""),2.0)</f>
        <v>2</v>
      </c>
      <c r="M6444" s="4" t="str">
        <f>IFERROR(__xludf.DUMMYFUNCTION("""COMPUTED_VALUE"""),"Cardápio Web")</f>
        <v>Cardápio Web</v>
      </c>
      <c r="N6444" s="33">
        <f>IFERROR(__xludf.DUMMYFUNCTION("""COMPUTED_VALUE"""),1.0)</f>
        <v>1</v>
      </c>
      <c r="O6444" s="4" t="str">
        <f>IFERROR(__xludf.DUMMYFUNCTION("""COMPUTED_VALUE"""),"Cardápio Web")</f>
        <v>Cardápio Web</v>
      </c>
      <c r="P6444" s="33">
        <f>IFERROR(__xludf.DUMMYFUNCTION("""COMPUTED_VALUE"""),1.0)</f>
        <v>1</v>
      </c>
      <c r="Q6444" s="4" t="str">
        <f>IFERROR(__xludf.DUMMYFUNCTION("""COMPUTED_VALUE"""),"Cardápio Web")</f>
        <v>Cardápio Web</v>
      </c>
      <c r="R6444" s="33">
        <f>IFERROR(__xludf.DUMMYFUNCTION("""COMPUTED_VALUE"""),1.0)</f>
        <v>1</v>
      </c>
      <c r="S6444" s="4" t="str">
        <f>IFERROR(__xludf.DUMMYFUNCTION("""COMPUTED_VALUE"""),"Cardápio Web")</f>
        <v>Cardápio Web</v>
      </c>
      <c r="T6444" s="33">
        <f>IFERROR(__xludf.DUMMYFUNCTION("""COMPUTED_VALUE"""),1.0)</f>
        <v>1</v>
      </c>
      <c r="U6444" s="4" t="str">
        <f>IFERROR(__xludf.DUMMYFUNCTION("""COMPUTED_VALUE"""),"Cardápio Web")</f>
        <v>Cardápio Web</v>
      </c>
      <c r="V6444" s="33">
        <f>IFERROR(__xludf.DUMMYFUNCTION("""COMPUTED_VALUE"""),1.0)</f>
        <v>1</v>
      </c>
      <c r="W6444" s="4" t="str">
        <f>IFERROR(__xludf.DUMMYFUNCTION("""COMPUTED_VALUE"""),"Cardápio Web")</f>
        <v>Cardápio Web</v>
      </c>
      <c r="X6444" s="33">
        <f>IFERROR(__xludf.DUMMYFUNCTION("""COMPUTED_VALUE"""),1.0)</f>
        <v>1</v>
      </c>
    </row>
    <row r="6445">
      <c r="K6445" s="4" t="str">
        <f>IFERROR(__xludf.DUMMYFUNCTION("""COMPUTED_VALUE"""),"CAVEIRA BURGUER")</f>
        <v>CAVEIRA BURGUER</v>
      </c>
      <c r="L6445" s="32">
        <f>IFERROR(__xludf.DUMMYFUNCTION("""COMPUTED_VALUE"""),2.0)</f>
        <v>2</v>
      </c>
      <c r="M6445" s="4" t="str">
        <f>IFERROR(__xludf.DUMMYFUNCTION("""COMPUTED_VALUE"""),"Anota Ai Solucoes Digitais S/a")</f>
        <v>Anota Ai Solucoes Digitais S/a</v>
      </c>
      <c r="N6445" s="33">
        <f>IFERROR(__xludf.DUMMYFUNCTION("""COMPUTED_VALUE"""),0.5)</f>
        <v>0.5</v>
      </c>
      <c r="O6445" s="4" t="str">
        <f>IFERROR(__xludf.DUMMYFUNCTION("""COMPUTED_VALUE"""),"Anota Ai Solucoes Digitais S/a")</f>
        <v>Anota Ai Solucoes Digitais S/a</v>
      </c>
      <c r="P6445" s="33">
        <f>IFERROR(__xludf.DUMMYFUNCTION("""COMPUTED_VALUE"""),0.5)</f>
        <v>0.5</v>
      </c>
      <c r="Q6445" s="4" t="str">
        <f>IFERROR(__xludf.DUMMYFUNCTION("""COMPUTED_VALUE"""),"Anota Ai Solucoes Digitais S/a")</f>
        <v>Anota Ai Solucoes Digitais S/a</v>
      </c>
      <c r="R6445" s="33">
        <f>IFERROR(__xludf.DUMMYFUNCTION("""COMPUTED_VALUE"""),0.5)</f>
        <v>0.5</v>
      </c>
      <c r="S6445" s="4" t="str">
        <f>IFERROR(__xludf.DUMMYFUNCTION("""COMPUTED_VALUE"""),"Anota Ai Solucoes Digitais S/a")</f>
        <v>Anota Ai Solucoes Digitais S/a</v>
      </c>
      <c r="T6445" s="33">
        <f>IFERROR(__xludf.DUMMYFUNCTION("""COMPUTED_VALUE"""),0.5)</f>
        <v>0.5</v>
      </c>
      <c r="U6445" s="4" t="str">
        <f>IFERROR(__xludf.DUMMYFUNCTION("""COMPUTED_VALUE"""),"Anota Ai Solucoes Digitais S/a")</f>
        <v>Anota Ai Solucoes Digitais S/a</v>
      </c>
      <c r="V6445" s="33">
        <f>IFERROR(__xludf.DUMMYFUNCTION("""COMPUTED_VALUE"""),0.5)</f>
        <v>0.5</v>
      </c>
      <c r="W6445" s="4" t="str">
        <f>IFERROR(__xludf.DUMMYFUNCTION("""COMPUTED_VALUE"""),"Anota Ai Solucoes Digitais S/a")</f>
        <v>Anota Ai Solucoes Digitais S/a</v>
      </c>
      <c r="X6445" s="33">
        <f>IFERROR(__xludf.DUMMYFUNCTION("""COMPUTED_VALUE"""),0.5)</f>
        <v>0.5</v>
      </c>
    </row>
    <row r="6446">
      <c r="K6446" s="4" t="str">
        <f>IFERROR(__xludf.DUMMYFUNCTION("""COMPUTED_VALUE"""),"ACAI DO GORDAO")</f>
        <v>ACAI DO GORDAO</v>
      </c>
      <c r="L6446" s="32">
        <f>IFERROR(__xludf.DUMMYFUNCTION("""COMPUTED_VALUE"""),2.0)</f>
        <v>2</v>
      </c>
      <c r="M6446" s="4" t="str">
        <f>IFERROR(__xludf.DUMMYFUNCTION("""COMPUTED_VALUE"""),"Suitable Tecnologia E Gestao")</f>
        <v>Suitable Tecnologia E Gestao</v>
      </c>
      <c r="N6446" s="33">
        <f>IFERROR(__xludf.DUMMYFUNCTION("""COMPUTED_VALUE"""),0.5)</f>
        <v>0.5</v>
      </c>
      <c r="O6446" s="4" t="str">
        <f>IFERROR(__xludf.DUMMYFUNCTION("""COMPUTED_VALUE"""),"Suitable Tecnologia E Gestao")</f>
        <v>Suitable Tecnologia E Gestao</v>
      </c>
      <c r="P6446" s="33">
        <f>IFERROR(__xludf.DUMMYFUNCTION("""COMPUTED_VALUE"""),0.5)</f>
        <v>0.5</v>
      </c>
      <c r="Q6446" s="4" t="str">
        <f>IFERROR(__xludf.DUMMYFUNCTION("""COMPUTED_VALUE"""),"Suitable Tecnologia E Gestao")</f>
        <v>Suitable Tecnologia E Gestao</v>
      </c>
      <c r="R6446" s="33">
        <f>IFERROR(__xludf.DUMMYFUNCTION("""COMPUTED_VALUE"""),0.5)</f>
        <v>0.5</v>
      </c>
      <c r="S6446" s="4" t="str">
        <f>IFERROR(__xludf.DUMMYFUNCTION("""COMPUTED_VALUE"""),"Suitable Tecnologia E Gestao")</f>
        <v>Suitable Tecnologia E Gestao</v>
      </c>
      <c r="T6446" s="33">
        <f>IFERROR(__xludf.DUMMYFUNCTION("""COMPUTED_VALUE"""),0.5)</f>
        <v>0.5</v>
      </c>
      <c r="U6446" s="4" t="str">
        <f>IFERROR(__xludf.DUMMYFUNCTION("""COMPUTED_VALUE"""),"Suitable Tecnologia E Gestao")</f>
        <v>Suitable Tecnologia E Gestao</v>
      </c>
      <c r="V6446" s="33">
        <f>IFERROR(__xludf.DUMMYFUNCTION("""COMPUTED_VALUE"""),0.5)</f>
        <v>0.5</v>
      </c>
      <c r="W6446" s="4" t="str">
        <f>IFERROR(__xludf.DUMMYFUNCTION("""COMPUTED_VALUE"""),"Suitable Tecnologia E Gestao")</f>
        <v>Suitable Tecnologia E Gestao</v>
      </c>
      <c r="X6446" s="33">
        <f>IFERROR(__xludf.DUMMYFUNCTION("""COMPUTED_VALUE"""),0.5)</f>
        <v>0.5</v>
      </c>
    </row>
    <row r="6447">
      <c r="K6447" s="4" t="str">
        <f>IFERROR(__xludf.DUMMYFUNCTION("""COMPUTED_VALUE"""),"VILLA GRILL HAMBURGUERIA")</f>
        <v>VILLA GRILL HAMBURGUERIA</v>
      </c>
      <c r="L6447" s="32">
        <f>IFERROR(__xludf.DUMMYFUNCTION("""COMPUTED_VALUE"""),2.0)</f>
        <v>2</v>
      </c>
      <c r="M6447" s="4" t="str">
        <f>IFERROR(__xludf.DUMMYFUNCTION("""COMPUTED_VALUE"""),"Infoluck Sistemas")</f>
        <v>Infoluck Sistemas</v>
      </c>
      <c r="N6447" s="33">
        <f>IFERROR(__xludf.DUMMYFUNCTION("""COMPUTED_VALUE"""),1.0)</f>
        <v>1</v>
      </c>
      <c r="O6447" s="4" t="str">
        <f>IFERROR(__xludf.DUMMYFUNCTION("""COMPUTED_VALUE"""),"Infoluck Sistemas")</f>
        <v>Infoluck Sistemas</v>
      </c>
      <c r="P6447" s="33">
        <f>IFERROR(__xludf.DUMMYFUNCTION("""COMPUTED_VALUE"""),1.0)</f>
        <v>1</v>
      </c>
      <c r="Q6447" s="4" t="str">
        <f>IFERROR(__xludf.DUMMYFUNCTION("""COMPUTED_VALUE"""),"Infoluck Sistemas")</f>
        <v>Infoluck Sistemas</v>
      </c>
      <c r="R6447" s="33">
        <f>IFERROR(__xludf.DUMMYFUNCTION("""COMPUTED_VALUE"""),1.0)</f>
        <v>1</v>
      </c>
      <c r="S6447" s="4" t="str">
        <f>IFERROR(__xludf.DUMMYFUNCTION("""COMPUTED_VALUE"""),"Infoluck Sistemas")</f>
        <v>Infoluck Sistemas</v>
      </c>
      <c r="T6447" s="33">
        <f>IFERROR(__xludf.DUMMYFUNCTION("""COMPUTED_VALUE"""),1.0)</f>
        <v>1</v>
      </c>
      <c r="U6447" s="4" t="str">
        <f>IFERROR(__xludf.DUMMYFUNCTION("""COMPUTED_VALUE"""),"Infoluck Sistemas")</f>
        <v>Infoluck Sistemas</v>
      </c>
      <c r="V6447" s="33">
        <f>IFERROR(__xludf.DUMMYFUNCTION("""COMPUTED_VALUE"""),1.0)</f>
        <v>1</v>
      </c>
      <c r="W6447" s="4" t="str">
        <f>IFERROR(__xludf.DUMMYFUNCTION("""COMPUTED_VALUE"""),"Infoluck Sistemas")</f>
        <v>Infoluck Sistemas</v>
      </c>
      <c r="X6447" s="33">
        <f>IFERROR(__xludf.DUMMYFUNCTION("""COMPUTED_VALUE"""),1.0)</f>
        <v>1</v>
      </c>
    </row>
    <row r="6448">
      <c r="K6448" s="4" t="str">
        <f>IFERROR(__xludf.DUMMYFUNCTION("""COMPUTED_VALUE"""),"FOGAZZA - PICANCO")</f>
        <v>FOGAZZA - PICANCO</v>
      </c>
      <c r="L6448" s="32">
        <f>IFERROR(__xludf.DUMMYFUNCTION("""COMPUTED_VALUE"""),2.0)</f>
        <v>2</v>
      </c>
      <c r="M6448" s="4" t="str">
        <f>IFERROR(__xludf.DUMMYFUNCTION("""COMPUTED_VALUE"""),"Saipos Serviços De Software")</f>
        <v>Saipos Serviços De Software</v>
      </c>
      <c r="N6448" s="33">
        <f>IFERROR(__xludf.DUMMYFUNCTION("""COMPUTED_VALUE"""),1.0)</f>
        <v>1</v>
      </c>
      <c r="O6448" s="4" t="str">
        <f>IFERROR(__xludf.DUMMYFUNCTION("""COMPUTED_VALUE"""),"Saipos Serviços De Software")</f>
        <v>Saipos Serviços De Software</v>
      </c>
      <c r="P6448" s="33">
        <f>IFERROR(__xludf.DUMMYFUNCTION("""COMPUTED_VALUE"""),1.0)</f>
        <v>1</v>
      </c>
      <c r="Q6448" s="4" t="str">
        <f>IFERROR(__xludf.DUMMYFUNCTION("""COMPUTED_VALUE"""),"Saipos Serviços De Software")</f>
        <v>Saipos Serviços De Software</v>
      </c>
      <c r="R6448" s="33">
        <f>IFERROR(__xludf.DUMMYFUNCTION("""COMPUTED_VALUE"""),1.0)</f>
        <v>1</v>
      </c>
      <c r="S6448" s="4" t="str">
        <f>IFERROR(__xludf.DUMMYFUNCTION("""COMPUTED_VALUE"""),"Saipos Serviços De Software")</f>
        <v>Saipos Serviços De Software</v>
      </c>
      <c r="T6448" s="33">
        <f>IFERROR(__xludf.DUMMYFUNCTION("""COMPUTED_VALUE"""),1.0)</f>
        <v>1</v>
      </c>
      <c r="U6448" s="4" t="str">
        <f>IFERROR(__xludf.DUMMYFUNCTION("""COMPUTED_VALUE"""),"Saipos Serviços De Software")</f>
        <v>Saipos Serviços De Software</v>
      </c>
      <c r="V6448" s="33">
        <f>IFERROR(__xludf.DUMMYFUNCTION("""COMPUTED_VALUE"""),1.0)</f>
        <v>1</v>
      </c>
      <c r="W6448" s="4" t="str">
        <f>IFERROR(__xludf.DUMMYFUNCTION("""COMPUTED_VALUE"""),"Saipos Serviços De Software")</f>
        <v>Saipos Serviços De Software</v>
      </c>
      <c r="X6448" s="33">
        <f>IFERROR(__xludf.DUMMYFUNCTION("""COMPUTED_VALUE"""),1.0)</f>
        <v>1</v>
      </c>
    </row>
    <row r="6449">
      <c r="K6449" s="4" t="str">
        <f>IFERROR(__xludf.DUMMYFUNCTION("""COMPUTED_VALUE"""),"CASA DA FOGAZZA")</f>
        <v>CASA DA FOGAZZA</v>
      </c>
      <c r="L6449" s="32">
        <f>IFERROR(__xludf.DUMMYFUNCTION("""COMPUTED_VALUE"""),2.0)</f>
        <v>2</v>
      </c>
      <c r="M6449" s="4" t="str">
        <f>IFERROR(__xludf.DUMMYFUNCTION("""COMPUTED_VALUE"""),"Sti3 Soluções Em Ti")</f>
        <v>Sti3 Soluções Em Ti</v>
      </c>
      <c r="N6449" s="33">
        <f>IFERROR(__xludf.DUMMYFUNCTION("""COMPUTED_VALUE"""),0.5)</f>
        <v>0.5</v>
      </c>
      <c r="O6449" s="4" t="str">
        <f>IFERROR(__xludf.DUMMYFUNCTION("""COMPUTED_VALUE"""),"Sti3 Soluções Em Ti")</f>
        <v>Sti3 Soluções Em Ti</v>
      </c>
      <c r="P6449" s="33">
        <f>IFERROR(__xludf.DUMMYFUNCTION("""COMPUTED_VALUE"""),0.5)</f>
        <v>0.5</v>
      </c>
      <c r="Q6449" s="4" t="str">
        <f>IFERROR(__xludf.DUMMYFUNCTION("""COMPUTED_VALUE"""),"Sti3 Soluções Em Ti")</f>
        <v>Sti3 Soluções Em Ti</v>
      </c>
      <c r="R6449" s="33">
        <f>IFERROR(__xludf.DUMMYFUNCTION("""COMPUTED_VALUE"""),0.5)</f>
        <v>0.5</v>
      </c>
      <c r="S6449" s="4" t="str">
        <f>IFERROR(__xludf.DUMMYFUNCTION("""COMPUTED_VALUE"""),"Sti3 Soluções Em Ti")</f>
        <v>Sti3 Soluções Em Ti</v>
      </c>
      <c r="T6449" s="33">
        <f>IFERROR(__xludf.DUMMYFUNCTION("""COMPUTED_VALUE"""),0.5)</f>
        <v>0.5</v>
      </c>
      <c r="U6449" s="4" t="str">
        <f>IFERROR(__xludf.DUMMYFUNCTION("""COMPUTED_VALUE"""),"Sti3 Soluções Em Ti")</f>
        <v>Sti3 Soluções Em Ti</v>
      </c>
      <c r="V6449" s="33">
        <f>IFERROR(__xludf.DUMMYFUNCTION("""COMPUTED_VALUE"""),0.5)</f>
        <v>0.5</v>
      </c>
      <c r="W6449" s="4" t="str">
        <f>IFERROR(__xludf.DUMMYFUNCTION("""COMPUTED_VALUE"""),"Sti3 Soluções Em Ti")</f>
        <v>Sti3 Soluções Em Ti</v>
      </c>
      <c r="X6449" s="33">
        <f>IFERROR(__xludf.DUMMYFUNCTION("""COMPUTED_VALUE"""),0.5)</f>
        <v>0.5</v>
      </c>
    </row>
    <row r="6450">
      <c r="K6450" s="4" t="str">
        <f>IFERROR(__xludf.DUMMYFUNCTION("""COMPUTED_VALUE"""),"GRUPO BAO BAR")</f>
        <v>GRUPO BAO BAR</v>
      </c>
      <c r="L6450" s="32">
        <f>IFERROR(__xludf.DUMMYFUNCTION("""COMPUTED_VALUE"""),2.0)</f>
        <v>2</v>
      </c>
      <c r="M6450" s="4" t="str">
        <f>IFERROR(__xludf.DUMMYFUNCTION("""COMPUTED_VALUE"""),"null")</f>
        <v>null</v>
      </c>
      <c r="N6450" s="33">
        <f>IFERROR(__xludf.DUMMYFUNCTION("""COMPUTED_VALUE"""),1.0)</f>
        <v>1</v>
      </c>
      <c r="O6450" s="4" t="str">
        <f>IFERROR(__xludf.DUMMYFUNCTION("""COMPUTED_VALUE"""),"null")</f>
        <v>null</v>
      </c>
      <c r="P6450" s="33">
        <f>IFERROR(__xludf.DUMMYFUNCTION("""COMPUTED_VALUE"""),1.0)</f>
        <v>1</v>
      </c>
      <c r="Q6450" s="4" t="str">
        <f>IFERROR(__xludf.DUMMYFUNCTION("""COMPUTED_VALUE"""),"null")</f>
        <v>null</v>
      </c>
      <c r="R6450" s="33">
        <f>IFERROR(__xludf.DUMMYFUNCTION("""COMPUTED_VALUE"""),0.6666666666666666)</f>
        <v>0.6666666667</v>
      </c>
      <c r="S6450" s="4" t="str">
        <f>IFERROR(__xludf.DUMMYFUNCTION("""COMPUTED_VALUE"""),"null")</f>
        <v>null</v>
      </c>
      <c r="T6450" s="33">
        <f>IFERROR(__xludf.DUMMYFUNCTION("""COMPUTED_VALUE"""),1.0)</f>
        <v>1</v>
      </c>
      <c r="U6450" s="4" t="str">
        <f>IFERROR(__xludf.DUMMYFUNCTION("""COMPUTED_VALUE"""),"Zigpay")</f>
        <v>Zigpay</v>
      </c>
      <c r="V6450" s="33">
        <f>IFERROR(__xludf.DUMMYFUNCTION("""COMPUTED_VALUE"""),0.6666666666666666)</f>
        <v>0.6666666667</v>
      </c>
      <c r="W6450" s="4" t="str">
        <f>IFERROR(__xludf.DUMMYFUNCTION("""COMPUTED_VALUE"""),"null")</f>
        <v>null</v>
      </c>
      <c r="X6450" s="33">
        <f>IFERROR(__xludf.DUMMYFUNCTION("""COMPUTED_VALUE"""),1.0)</f>
        <v>1</v>
      </c>
    </row>
    <row r="6451">
      <c r="K6451" s="4" t="str">
        <f>IFERROR(__xludf.DUMMYFUNCTION("""COMPUTED_VALUE"""),"TEMPERO MINEIRO")</f>
        <v>TEMPERO MINEIRO</v>
      </c>
      <c r="L6451" s="32">
        <f>IFERROR(__xludf.DUMMYFUNCTION("""COMPUTED_VALUE"""),2.0)</f>
        <v>2</v>
      </c>
      <c r="M6451" s="4" t="str">
        <f>IFERROR(__xludf.DUMMYFUNCTION("""COMPUTED_VALUE"""),"null")</f>
        <v>null</v>
      </c>
      <c r="N6451" s="33">
        <f>IFERROR(__xludf.DUMMYFUNCTION("""COMPUTED_VALUE"""),0.5)</f>
        <v>0.5</v>
      </c>
      <c r="O6451" s="4" t="str">
        <f>IFERROR(__xludf.DUMMYFUNCTION("""COMPUTED_VALUE"""),"null")</f>
        <v>null</v>
      </c>
      <c r="P6451" s="33">
        <f>IFERROR(__xludf.DUMMYFUNCTION("""COMPUTED_VALUE"""),0.5)</f>
        <v>0.5</v>
      </c>
      <c r="Q6451" s="4" t="str">
        <f>IFERROR(__xludf.DUMMYFUNCTION("""COMPUTED_VALUE"""),"null")</f>
        <v>null</v>
      </c>
      <c r="R6451" s="33">
        <f>IFERROR(__xludf.DUMMYFUNCTION("""COMPUTED_VALUE"""),0.5)</f>
        <v>0.5</v>
      </c>
      <c r="S6451" s="4" t="str">
        <f>IFERROR(__xludf.DUMMYFUNCTION("""COMPUTED_VALUE"""),"null")</f>
        <v>null</v>
      </c>
      <c r="T6451" s="33">
        <f>IFERROR(__xludf.DUMMYFUNCTION("""COMPUTED_VALUE"""),0.5)</f>
        <v>0.5</v>
      </c>
      <c r="U6451" s="4" t="str">
        <f>IFERROR(__xludf.DUMMYFUNCTION("""COMPUTED_VALUE"""),"Cardápio Web")</f>
        <v>Cardápio Web</v>
      </c>
      <c r="V6451" s="33">
        <f>IFERROR(__xludf.DUMMYFUNCTION("""COMPUTED_VALUE"""),1.0)</f>
        <v>1</v>
      </c>
      <c r="W6451" s="4" t="str">
        <f>IFERROR(__xludf.DUMMYFUNCTION("""COMPUTED_VALUE"""),"Cardápio Web")</f>
        <v>Cardápio Web</v>
      </c>
      <c r="X6451" s="33">
        <f>IFERROR(__xludf.DUMMYFUNCTION("""COMPUTED_VALUE"""),1.0)</f>
        <v>1</v>
      </c>
    </row>
    <row r="6452">
      <c r="K6452" s="4" t="str">
        <f>IFERROR(__xludf.DUMMYFUNCTION("""COMPUTED_VALUE"""),"PICA PAU LANCHES")</f>
        <v>PICA PAU LANCHES</v>
      </c>
      <c r="L6452" s="32">
        <f>IFERROR(__xludf.DUMMYFUNCTION("""COMPUTED_VALUE"""),2.0)</f>
        <v>2</v>
      </c>
      <c r="M6452" s="4" t="str">
        <f>IFERROR(__xludf.DUMMYFUNCTION("""COMPUTED_VALUE"""),"Anota Ai Solucoes Digitais S/a")</f>
        <v>Anota Ai Solucoes Digitais S/a</v>
      </c>
      <c r="N6452" s="33">
        <f>IFERROR(__xludf.DUMMYFUNCTION("""COMPUTED_VALUE"""),1.0)</f>
        <v>1</v>
      </c>
      <c r="O6452" s="4" t="str">
        <f>IFERROR(__xludf.DUMMYFUNCTION("""COMPUTED_VALUE"""),"null")</f>
        <v>null</v>
      </c>
      <c r="P6452" s="33">
        <f>IFERROR(__xludf.DUMMYFUNCTION("""COMPUTED_VALUE"""),0.5)</f>
        <v>0.5</v>
      </c>
      <c r="Q6452" s="4" t="str">
        <f>IFERROR(__xludf.DUMMYFUNCTION("""COMPUTED_VALUE"""),"null")</f>
        <v>null</v>
      </c>
      <c r="R6452" s="33">
        <f>IFERROR(__xludf.DUMMYFUNCTION("""COMPUTED_VALUE"""),1.0)</f>
        <v>1</v>
      </c>
      <c r="S6452" s="4" t="str">
        <f>IFERROR(__xludf.DUMMYFUNCTION("""COMPUTED_VALUE"""),"Anota Ai Solucoes Digitais S/a")</f>
        <v>Anota Ai Solucoes Digitais S/a</v>
      </c>
      <c r="T6452" s="33">
        <f>IFERROR(__xludf.DUMMYFUNCTION("""COMPUTED_VALUE"""),1.0)</f>
        <v>1</v>
      </c>
      <c r="U6452" s="4" t="str">
        <f>IFERROR(__xludf.DUMMYFUNCTION("""COMPUTED_VALUE"""),"Anota Ai Solucoes Digitais S/a")</f>
        <v>Anota Ai Solucoes Digitais S/a</v>
      </c>
      <c r="V6452" s="33">
        <f>IFERROR(__xludf.DUMMYFUNCTION("""COMPUTED_VALUE"""),1.0)</f>
        <v>1</v>
      </c>
      <c r="W6452" s="4" t="str">
        <f>IFERROR(__xludf.DUMMYFUNCTION("""COMPUTED_VALUE"""),"Anota Ai Solucoes Digitais S/a")</f>
        <v>Anota Ai Solucoes Digitais S/a</v>
      </c>
      <c r="X6452" s="33">
        <f>IFERROR(__xludf.DUMMYFUNCTION("""COMPUTED_VALUE"""),1.0)</f>
        <v>1</v>
      </c>
    </row>
    <row r="6453">
      <c r="K6453" s="4" t="str">
        <f>IFERROR(__xludf.DUMMYFUNCTION("""COMPUTED_VALUE"""),"DU-NADA PIZZARIA - PIZZA")</f>
        <v>DU-NADA PIZZARIA - PIZZA</v>
      </c>
      <c r="L6453" s="32">
        <f>IFERROR(__xludf.DUMMYFUNCTION("""COMPUTED_VALUE"""),2.0)</f>
        <v>2</v>
      </c>
      <c r="M6453" s="4" t="str">
        <f>IFERROR(__xludf.DUMMYFUNCTION("""COMPUTED_VALUE"""),"Cardápio Web")</f>
        <v>Cardápio Web</v>
      </c>
      <c r="N6453" s="33">
        <f>IFERROR(__xludf.DUMMYFUNCTION("""COMPUTED_VALUE"""),1.0)</f>
        <v>1</v>
      </c>
      <c r="O6453" s="4" t="str">
        <f>IFERROR(__xludf.DUMMYFUNCTION("""COMPUTED_VALUE"""),"Cardápio Web")</f>
        <v>Cardápio Web</v>
      </c>
      <c r="P6453" s="33">
        <f>IFERROR(__xludf.DUMMYFUNCTION("""COMPUTED_VALUE"""),1.0)</f>
        <v>1</v>
      </c>
      <c r="Q6453" s="4" t="str">
        <f>IFERROR(__xludf.DUMMYFUNCTION("""COMPUTED_VALUE"""),"Cardápio Web")</f>
        <v>Cardápio Web</v>
      </c>
      <c r="R6453" s="33">
        <f>IFERROR(__xludf.DUMMYFUNCTION("""COMPUTED_VALUE"""),1.0)</f>
        <v>1</v>
      </c>
      <c r="S6453" s="4" t="str">
        <f>IFERROR(__xludf.DUMMYFUNCTION("""COMPUTED_VALUE"""),"Cardápio Web")</f>
        <v>Cardápio Web</v>
      </c>
      <c r="T6453" s="33">
        <f>IFERROR(__xludf.DUMMYFUNCTION("""COMPUTED_VALUE"""),1.0)</f>
        <v>1</v>
      </c>
      <c r="U6453" s="4" t="str">
        <f>IFERROR(__xludf.DUMMYFUNCTION("""COMPUTED_VALUE"""),"Cardápio Web")</f>
        <v>Cardápio Web</v>
      </c>
      <c r="V6453" s="33">
        <f>IFERROR(__xludf.DUMMYFUNCTION("""COMPUTED_VALUE"""),1.0)</f>
        <v>1</v>
      </c>
      <c r="W6453" s="4" t="str">
        <f>IFERROR(__xludf.DUMMYFUNCTION("""COMPUTED_VALUE"""),"Cardápio Web")</f>
        <v>Cardápio Web</v>
      </c>
      <c r="X6453" s="33">
        <f>IFERROR(__xludf.DUMMYFUNCTION("""COMPUTED_VALUE"""),1.0)</f>
        <v>1</v>
      </c>
    </row>
    <row r="6454">
      <c r="K6454" s="4" t="str">
        <f>IFERROR(__xludf.DUMMYFUNCTION("""COMPUTED_VALUE"""),"WILLS BURGUER")</f>
        <v>WILLS BURGUER</v>
      </c>
      <c r="L6454" s="32">
        <f>IFERROR(__xludf.DUMMYFUNCTION("""COMPUTED_VALUE"""),2.0)</f>
        <v>2</v>
      </c>
      <c r="M6454" s="4" t="str">
        <f>IFERROR(__xludf.DUMMYFUNCTION("""COMPUTED_VALUE"""),"Datacaixa Pdv")</f>
        <v>Datacaixa Pdv</v>
      </c>
      <c r="N6454" s="33">
        <f>IFERROR(__xludf.DUMMYFUNCTION("""COMPUTED_VALUE"""),0.5)</f>
        <v>0.5</v>
      </c>
      <c r="O6454" s="4" t="str">
        <f>IFERROR(__xludf.DUMMYFUNCTION("""COMPUTED_VALUE"""),"Datacaixa Pdv")</f>
        <v>Datacaixa Pdv</v>
      </c>
      <c r="P6454" s="33">
        <f>IFERROR(__xludf.DUMMYFUNCTION("""COMPUTED_VALUE"""),0.5)</f>
        <v>0.5</v>
      </c>
      <c r="Q6454" s="4" t="str">
        <f>IFERROR(__xludf.DUMMYFUNCTION("""COMPUTED_VALUE"""),"null")</f>
        <v>null</v>
      </c>
      <c r="R6454" s="33">
        <f>IFERROR(__xludf.DUMMYFUNCTION("""COMPUTED_VALUE"""),0.5)</f>
        <v>0.5</v>
      </c>
      <c r="S6454" s="4" t="str">
        <f>IFERROR(__xludf.DUMMYFUNCTION("""COMPUTED_VALUE"""),"null")</f>
        <v>null</v>
      </c>
      <c r="T6454" s="33">
        <f>IFERROR(__xludf.DUMMYFUNCTION("""COMPUTED_VALUE"""),0.5)</f>
        <v>0.5</v>
      </c>
      <c r="U6454" s="4" t="str">
        <f>IFERROR(__xludf.DUMMYFUNCTION("""COMPUTED_VALUE"""),"null")</f>
        <v>null</v>
      </c>
      <c r="V6454" s="33">
        <f>IFERROR(__xludf.DUMMYFUNCTION("""COMPUTED_VALUE"""),1.0)</f>
        <v>1</v>
      </c>
      <c r="W6454" s="4" t="str">
        <f>IFERROR(__xludf.DUMMYFUNCTION("""COMPUTED_VALUE"""),"null")</f>
        <v>null</v>
      </c>
      <c r="X6454" s="33">
        <f>IFERROR(__xludf.DUMMYFUNCTION("""COMPUTED_VALUE"""),1.0)</f>
        <v>1</v>
      </c>
    </row>
    <row r="6455">
      <c r="K6455" s="4" t="str">
        <f>IFERROR(__xludf.DUMMYFUNCTION("""COMPUTED_VALUE"""),"CHAPA BURGUER")</f>
        <v>CHAPA BURGUER</v>
      </c>
      <c r="L6455" s="32">
        <f>IFERROR(__xludf.DUMMYFUNCTION("""COMPUTED_VALUE"""),2.0)</f>
        <v>2</v>
      </c>
      <c r="M6455" s="4" t="str">
        <f>IFERROR(__xludf.DUMMYFUNCTION("""COMPUTED_VALUE"""),"Whatsmenu Ltda")</f>
        <v>Whatsmenu Ltda</v>
      </c>
      <c r="N6455" s="33">
        <f>IFERROR(__xludf.DUMMYFUNCTION("""COMPUTED_VALUE"""),0.5)</f>
        <v>0.5</v>
      </c>
      <c r="O6455" s="4" t="str">
        <f>IFERROR(__xludf.DUMMYFUNCTION("""COMPUTED_VALUE"""),"Whatsmenu Ltda")</f>
        <v>Whatsmenu Ltda</v>
      </c>
      <c r="P6455" s="33">
        <f>IFERROR(__xludf.DUMMYFUNCTION("""COMPUTED_VALUE"""),0.5)</f>
        <v>0.5</v>
      </c>
      <c r="Q6455" s="4" t="str">
        <f>IFERROR(__xludf.DUMMYFUNCTION("""COMPUTED_VALUE"""),"null")</f>
        <v>null</v>
      </c>
      <c r="R6455" s="33">
        <f>IFERROR(__xludf.DUMMYFUNCTION("""COMPUTED_VALUE"""),1.0)</f>
        <v>1</v>
      </c>
      <c r="S6455" s="4" t="str">
        <f>IFERROR(__xludf.DUMMYFUNCTION("""COMPUTED_VALUE"""),"null")</f>
        <v>null</v>
      </c>
      <c r="T6455" s="33">
        <f>IFERROR(__xludf.DUMMYFUNCTION("""COMPUTED_VALUE"""),1.0)</f>
        <v>1</v>
      </c>
      <c r="U6455" s="4" t="str">
        <f>IFERROR(__xludf.DUMMYFUNCTION("""COMPUTED_VALUE"""),"null")</f>
        <v>null</v>
      </c>
      <c r="V6455" s="33">
        <f>IFERROR(__xludf.DUMMYFUNCTION("""COMPUTED_VALUE"""),1.0)</f>
        <v>1</v>
      </c>
      <c r="W6455" s="4" t="str">
        <f>IFERROR(__xludf.DUMMYFUNCTION("""COMPUTED_VALUE"""),"null")</f>
        <v>null</v>
      </c>
      <c r="X6455" s="33">
        <f>IFERROR(__xludf.DUMMYFUNCTION("""COMPUTED_VALUE"""),1.0)</f>
        <v>1</v>
      </c>
    </row>
    <row r="6456">
      <c r="K6456" s="4" t="str">
        <f>IFERROR(__xludf.DUMMYFUNCTION("""COMPUTED_VALUE"""),"PREMIUM PIZZAS")</f>
        <v>PREMIUM PIZZAS</v>
      </c>
      <c r="L6456" s="32">
        <f>IFERROR(__xludf.DUMMYFUNCTION("""COMPUTED_VALUE"""),2.0)</f>
        <v>2</v>
      </c>
      <c r="M6456" s="4" t="str">
        <f>IFERROR(__xludf.DUMMYFUNCTION("""COMPUTED_VALUE"""),"Saipos Serviços De Software")</f>
        <v>Saipos Serviços De Software</v>
      </c>
      <c r="N6456" s="33">
        <f>IFERROR(__xludf.DUMMYFUNCTION("""COMPUTED_VALUE"""),1.0)</f>
        <v>1</v>
      </c>
      <c r="O6456" s="4" t="str">
        <f>IFERROR(__xludf.DUMMYFUNCTION("""COMPUTED_VALUE"""),"Saipos Serviços De Software")</f>
        <v>Saipos Serviços De Software</v>
      </c>
      <c r="P6456" s="33">
        <f>IFERROR(__xludf.DUMMYFUNCTION("""COMPUTED_VALUE"""),1.0)</f>
        <v>1</v>
      </c>
      <c r="Q6456" s="4" t="str">
        <f>IFERROR(__xludf.DUMMYFUNCTION("""COMPUTED_VALUE"""),"Saipos Serviços De Software")</f>
        <v>Saipos Serviços De Software</v>
      </c>
      <c r="R6456" s="33">
        <f>IFERROR(__xludf.DUMMYFUNCTION("""COMPUTED_VALUE"""),1.0)</f>
        <v>1</v>
      </c>
      <c r="S6456" s="4" t="str">
        <f>IFERROR(__xludf.DUMMYFUNCTION("""COMPUTED_VALUE"""),"Saipos Serviços De Software")</f>
        <v>Saipos Serviços De Software</v>
      </c>
      <c r="T6456" s="33">
        <f>IFERROR(__xludf.DUMMYFUNCTION("""COMPUTED_VALUE"""),1.0)</f>
        <v>1</v>
      </c>
      <c r="U6456" s="4" t="str">
        <f>IFERROR(__xludf.DUMMYFUNCTION("""COMPUTED_VALUE"""),"Saipos Serviços De Software")</f>
        <v>Saipos Serviços De Software</v>
      </c>
      <c r="V6456" s="33">
        <f>IFERROR(__xludf.DUMMYFUNCTION("""COMPUTED_VALUE"""),1.0)</f>
        <v>1</v>
      </c>
      <c r="W6456" s="4" t="str">
        <f>IFERROR(__xludf.DUMMYFUNCTION("""COMPUTED_VALUE"""),"Saipos Serviços De Software")</f>
        <v>Saipos Serviços De Software</v>
      </c>
      <c r="X6456" s="33">
        <f>IFERROR(__xludf.DUMMYFUNCTION("""COMPUTED_VALUE"""),1.0)</f>
        <v>1</v>
      </c>
    </row>
    <row r="6457">
      <c r="K6457" s="4" t="str">
        <f>IFERROR(__xludf.DUMMYFUNCTION("""COMPUTED_VALUE"""),"PONTO DO SANDUICHE")</f>
        <v>PONTO DO SANDUICHE</v>
      </c>
      <c r="L6457" s="32">
        <f>IFERROR(__xludf.DUMMYFUNCTION("""COMPUTED_VALUE"""),2.0)</f>
        <v>2</v>
      </c>
      <c r="M6457" s="4" t="str">
        <f>IFERROR(__xludf.DUMMYFUNCTION("""COMPUTED_VALUE"""),"M-du Tecnologia")</f>
        <v>M-du Tecnologia</v>
      </c>
      <c r="N6457" s="33">
        <f>IFERROR(__xludf.DUMMYFUNCTION("""COMPUTED_VALUE"""),0.5)</f>
        <v>0.5</v>
      </c>
      <c r="O6457" s="4" t="str">
        <f>IFERROR(__xludf.DUMMYFUNCTION("""COMPUTED_VALUE"""),"M-du Tecnologia")</f>
        <v>M-du Tecnologia</v>
      </c>
      <c r="P6457" s="33">
        <f>IFERROR(__xludf.DUMMYFUNCTION("""COMPUTED_VALUE"""),0.5)</f>
        <v>0.5</v>
      </c>
      <c r="Q6457" s="4" t="str">
        <f>IFERROR(__xludf.DUMMYFUNCTION("""COMPUTED_VALUE"""),"M-du Tecnologia")</f>
        <v>M-du Tecnologia</v>
      </c>
      <c r="R6457" s="33">
        <f>IFERROR(__xludf.DUMMYFUNCTION("""COMPUTED_VALUE"""),0.5)</f>
        <v>0.5</v>
      </c>
      <c r="S6457" s="4" t="str">
        <f>IFERROR(__xludf.DUMMYFUNCTION("""COMPUTED_VALUE"""),"M-du Tecnologia")</f>
        <v>M-du Tecnologia</v>
      </c>
      <c r="T6457" s="33">
        <f>IFERROR(__xludf.DUMMYFUNCTION("""COMPUTED_VALUE"""),0.5)</f>
        <v>0.5</v>
      </c>
      <c r="U6457" s="4" t="str">
        <f>IFERROR(__xludf.DUMMYFUNCTION("""COMPUTED_VALUE"""),"M-du Tecnologia")</f>
        <v>M-du Tecnologia</v>
      </c>
      <c r="V6457" s="33">
        <f>IFERROR(__xludf.DUMMYFUNCTION("""COMPUTED_VALUE"""),0.5)</f>
        <v>0.5</v>
      </c>
      <c r="W6457" s="4" t="str">
        <f>IFERROR(__xludf.DUMMYFUNCTION("""COMPUTED_VALUE"""),"M-du Tecnologia")</f>
        <v>M-du Tecnologia</v>
      </c>
      <c r="X6457" s="33">
        <f>IFERROR(__xludf.DUMMYFUNCTION("""COMPUTED_VALUE"""),0.5)</f>
        <v>0.5</v>
      </c>
    </row>
    <row r="6458">
      <c r="K6458" s="4" t="str">
        <f>IFERROR(__xludf.DUMMYFUNCTION("""COMPUTED_VALUE"""),"SABOR EM FAMILIA")</f>
        <v>SABOR EM FAMILIA</v>
      </c>
      <c r="L6458" s="32">
        <f>IFERROR(__xludf.DUMMYFUNCTION("""COMPUTED_VALUE"""),2.0)</f>
        <v>2</v>
      </c>
      <c r="M6458" s="4" t="str">
        <f>IFERROR(__xludf.DUMMYFUNCTION("""COMPUTED_VALUE"""),"Beefood - Sistema Para Restaurantes")</f>
        <v>Beefood - Sistema Para Restaurantes</v>
      </c>
      <c r="N6458" s="33">
        <f>IFERROR(__xludf.DUMMYFUNCTION("""COMPUTED_VALUE"""),0.5)</f>
        <v>0.5</v>
      </c>
      <c r="O6458" s="4" t="str">
        <f>IFERROR(__xludf.DUMMYFUNCTION("""COMPUTED_VALUE"""),"Beefood - Sistema Para Restaurantes")</f>
        <v>Beefood - Sistema Para Restaurantes</v>
      </c>
      <c r="P6458" s="33">
        <f>IFERROR(__xludf.DUMMYFUNCTION("""COMPUTED_VALUE"""),0.5)</f>
        <v>0.5</v>
      </c>
      <c r="Q6458" s="4" t="str">
        <f>IFERROR(__xludf.DUMMYFUNCTION("""COMPUTED_VALUE"""),"Beefood - Sistema Para Restaurantes")</f>
        <v>Beefood - Sistema Para Restaurantes</v>
      </c>
      <c r="R6458" s="33">
        <f>IFERROR(__xludf.DUMMYFUNCTION("""COMPUTED_VALUE"""),0.5)</f>
        <v>0.5</v>
      </c>
      <c r="S6458" s="4" t="str">
        <f>IFERROR(__xludf.DUMMYFUNCTION("""COMPUTED_VALUE"""),"Beefood - Sistema Para Restaurantes")</f>
        <v>Beefood - Sistema Para Restaurantes</v>
      </c>
      <c r="T6458" s="33">
        <f>IFERROR(__xludf.DUMMYFUNCTION("""COMPUTED_VALUE"""),0.5)</f>
        <v>0.5</v>
      </c>
      <c r="U6458" s="4" t="str">
        <f>IFERROR(__xludf.DUMMYFUNCTION("""COMPUTED_VALUE"""),"Beefood - Sistema Para Restaurantes")</f>
        <v>Beefood - Sistema Para Restaurantes</v>
      </c>
      <c r="V6458" s="33">
        <f>IFERROR(__xludf.DUMMYFUNCTION("""COMPUTED_VALUE"""),0.5)</f>
        <v>0.5</v>
      </c>
      <c r="W6458" s="4" t="str">
        <f>IFERROR(__xludf.DUMMYFUNCTION("""COMPUTED_VALUE"""),"Beefood - Sistema Para Restaurantes")</f>
        <v>Beefood - Sistema Para Restaurantes</v>
      </c>
      <c r="X6458" s="33">
        <f>IFERROR(__xludf.DUMMYFUNCTION("""COMPUTED_VALUE"""),0.5)</f>
        <v>0.5</v>
      </c>
    </row>
    <row r="6459">
      <c r="K6459" s="4" t="str">
        <f>IFERROR(__xludf.DUMMYFUNCTION("""COMPUTED_VALUE"""),"ACUCAR COM AFETO - DOCES E BOLOS")</f>
        <v>ACUCAR COM AFETO - DOCES E BOLOS</v>
      </c>
      <c r="L6459" s="32">
        <f>IFERROR(__xludf.DUMMYFUNCTION("""COMPUTED_VALUE"""),2.0)</f>
        <v>2</v>
      </c>
      <c r="M6459" s="4" t="str">
        <f>IFERROR(__xludf.DUMMYFUNCTION("""COMPUTED_VALUE"""),"Hubster")</f>
        <v>Hubster</v>
      </c>
      <c r="N6459" s="33">
        <f>IFERROR(__xludf.DUMMYFUNCTION("""COMPUTED_VALUE"""),1.0)</f>
        <v>1</v>
      </c>
      <c r="O6459" s="4" t="str">
        <f>IFERROR(__xludf.DUMMYFUNCTION("""COMPUTED_VALUE"""),"Hubster")</f>
        <v>Hubster</v>
      </c>
      <c r="P6459" s="33">
        <f>IFERROR(__xludf.DUMMYFUNCTION("""COMPUTED_VALUE"""),1.0)</f>
        <v>1</v>
      </c>
      <c r="Q6459" s="4" t="str">
        <f>IFERROR(__xludf.DUMMYFUNCTION("""COMPUTED_VALUE"""),"Hubster")</f>
        <v>Hubster</v>
      </c>
      <c r="R6459" s="33">
        <f>IFERROR(__xludf.DUMMYFUNCTION("""COMPUTED_VALUE"""),1.0)</f>
        <v>1</v>
      </c>
      <c r="S6459" s="4" t="str">
        <f>IFERROR(__xludf.DUMMYFUNCTION("""COMPUTED_VALUE"""),"Hubster")</f>
        <v>Hubster</v>
      </c>
      <c r="T6459" s="33">
        <f>IFERROR(__xludf.DUMMYFUNCTION("""COMPUTED_VALUE"""),1.0)</f>
        <v>1</v>
      </c>
      <c r="U6459" s="4" t="str">
        <f>IFERROR(__xludf.DUMMYFUNCTION("""COMPUTED_VALUE"""),"Hubster")</f>
        <v>Hubster</v>
      </c>
      <c r="V6459" s="33">
        <f>IFERROR(__xludf.DUMMYFUNCTION("""COMPUTED_VALUE"""),1.0)</f>
        <v>1</v>
      </c>
      <c r="W6459" s="4" t="str">
        <f>IFERROR(__xludf.DUMMYFUNCTION("""COMPUTED_VALUE"""),"Hubster")</f>
        <v>Hubster</v>
      </c>
      <c r="X6459" s="33">
        <f>IFERROR(__xludf.DUMMYFUNCTION("""COMPUTED_VALUE"""),0.5)</f>
        <v>0.5</v>
      </c>
    </row>
    <row r="6460">
      <c r="K6460" s="4" t="str">
        <f>IFERROR(__xludf.DUMMYFUNCTION("""COMPUTED_VALUE"""),"MERCADO DELIVERY")</f>
        <v>MERCADO DELIVERY</v>
      </c>
      <c r="L6460" s="32">
        <f>IFERROR(__xludf.DUMMYFUNCTION("""COMPUTED_VALUE"""),2.0)</f>
        <v>2</v>
      </c>
      <c r="M6460" s="4" t="str">
        <f>IFERROR(__xludf.DUMMYFUNCTION("""COMPUTED_VALUE"""),"N/A (Not found)")</f>
        <v>N/A (Not found)</v>
      </c>
      <c r="N6460" s="33">
        <f>IFERROR(__xludf.DUMMYFUNCTION("""COMPUTED_VALUE"""),0.5)</f>
        <v>0.5</v>
      </c>
      <c r="O6460" s="4" t="str">
        <f>IFERROR(__xludf.DUMMYFUNCTION("""COMPUTED_VALUE"""),"N/A (Not found)")</f>
        <v>N/A (Not found)</v>
      </c>
      <c r="P6460" s="33">
        <f>IFERROR(__xludf.DUMMYFUNCTION("""COMPUTED_VALUE"""),0.5)</f>
        <v>0.5</v>
      </c>
      <c r="Q6460" s="4" t="str">
        <f>IFERROR(__xludf.DUMMYFUNCTION("""COMPUTED_VALUE"""),"null")</f>
        <v>null</v>
      </c>
      <c r="R6460" s="33">
        <f>IFERROR(__xludf.DUMMYFUNCTION("""COMPUTED_VALUE"""),0.5)</f>
        <v>0.5</v>
      </c>
      <c r="S6460" s="4" t="str">
        <f>IFERROR(__xludf.DUMMYFUNCTION("""COMPUTED_VALUE"""),"N/A (Not found)")</f>
        <v>N/A (Not found)</v>
      </c>
      <c r="T6460" s="33">
        <f>IFERROR(__xludf.DUMMYFUNCTION("""COMPUTED_VALUE"""),1.0)</f>
        <v>1</v>
      </c>
      <c r="U6460" s="4" t="str">
        <f>IFERROR(__xludf.DUMMYFUNCTION("""COMPUTED_VALUE"""),"null")</f>
        <v>null</v>
      </c>
      <c r="V6460" s="33">
        <f>IFERROR(__xludf.DUMMYFUNCTION("""COMPUTED_VALUE"""),1.0)</f>
        <v>1</v>
      </c>
      <c r="W6460" s="4" t="str">
        <f>IFERROR(__xludf.DUMMYFUNCTION("""COMPUTED_VALUE"""),"N/A (Not found)")</f>
        <v>N/A (Not found)</v>
      </c>
      <c r="X6460" s="33">
        <f>IFERROR(__xludf.DUMMYFUNCTION("""COMPUTED_VALUE"""),0.5)</f>
        <v>0.5</v>
      </c>
    </row>
    <row r="6461">
      <c r="K6461" s="4" t="str">
        <f>IFERROR(__xludf.DUMMYFUNCTION("""COMPUTED_VALUE"""),"RM FARMA")</f>
        <v>RM FARMA</v>
      </c>
      <c r="L6461" s="32">
        <f>IFERROR(__xludf.DUMMYFUNCTION("""COMPUTED_VALUE"""),2.0)</f>
        <v>2</v>
      </c>
      <c r="M6461" s="4" t="str">
        <f>IFERROR(__xludf.DUMMYFUNCTION("""COMPUTED_VALUE"""),"null")</f>
        <v>null</v>
      </c>
      <c r="N6461" s="33">
        <f>IFERROR(__xludf.DUMMYFUNCTION("""COMPUTED_VALUE"""),0.5)</f>
        <v>0.5</v>
      </c>
      <c r="O6461" s="4" t="str">
        <f>IFERROR(__xludf.DUMMYFUNCTION("""COMPUTED_VALUE"""),"N/A (Not found)")</f>
        <v>N/A (Not found)</v>
      </c>
      <c r="P6461" s="33">
        <f>IFERROR(__xludf.DUMMYFUNCTION("""COMPUTED_VALUE"""),1.0)</f>
        <v>1</v>
      </c>
      <c r="Q6461" s="4" t="str">
        <f>IFERROR(__xludf.DUMMYFUNCTION("""COMPUTED_VALUE"""),"null")</f>
        <v>null</v>
      </c>
      <c r="R6461" s="33">
        <f>IFERROR(__xludf.DUMMYFUNCTION("""COMPUTED_VALUE"""),0.5)</f>
        <v>0.5</v>
      </c>
      <c r="S6461" s="4" t="str">
        <f>IFERROR(__xludf.DUMMYFUNCTION("""COMPUTED_VALUE"""),"N/A (Not found)")</f>
        <v>N/A (Not found)</v>
      </c>
      <c r="T6461" s="33">
        <f>IFERROR(__xludf.DUMMYFUNCTION("""COMPUTED_VALUE"""),1.0)</f>
        <v>1</v>
      </c>
      <c r="U6461" s="4" t="str">
        <f>IFERROR(__xludf.DUMMYFUNCTION("""COMPUTED_VALUE"""),"N/A (Not found)")</f>
        <v>N/A (Not found)</v>
      </c>
      <c r="V6461" s="33">
        <f>IFERROR(__xludf.DUMMYFUNCTION("""COMPUTED_VALUE"""),1.0)</f>
        <v>1</v>
      </c>
      <c r="W6461" s="4" t="str">
        <f>IFERROR(__xludf.DUMMYFUNCTION("""COMPUTED_VALUE"""),"null")</f>
        <v>null</v>
      </c>
      <c r="X6461" s="33">
        <f>IFERROR(__xludf.DUMMYFUNCTION("""COMPUTED_VALUE"""),0.5)</f>
        <v>0.5</v>
      </c>
    </row>
    <row r="6462">
      <c r="K6462" s="4" t="str">
        <f>IFERROR(__xludf.DUMMYFUNCTION("""COMPUTED_VALUE"""),"STAN STEAK HOUSE")</f>
        <v>STAN STEAK HOUSE</v>
      </c>
      <c r="L6462" s="32">
        <f>IFERROR(__xludf.DUMMYFUNCTION("""COMPUTED_VALUE"""),2.0)</f>
        <v>2</v>
      </c>
      <c r="M6462" s="4" t="str">
        <f>IFERROR(__xludf.DUMMYFUNCTION("""COMPUTED_VALUE"""),"null")</f>
        <v>null</v>
      </c>
      <c r="N6462" s="33">
        <f>IFERROR(__xludf.DUMMYFUNCTION("""COMPUTED_VALUE"""),0.5)</f>
        <v>0.5</v>
      </c>
      <c r="O6462" s="4" t="str">
        <f>IFERROR(__xludf.DUMMYFUNCTION("""COMPUTED_VALUE"""),"null")</f>
        <v>null</v>
      </c>
      <c r="P6462" s="33">
        <f>IFERROR(__xludf.DUMMYFUNCTION("""COMPUTED_VALUE"""),0.5)</f>
        <v>0.5</v>
      </c>
      <c r="Q6462" s="4" t="str">
        <f>IFERROR(__xludf.DUMMYFUNCTION("""COMPUTED_VALUE"""),"null")</f>
        <v>null</v>
      </c>
      <c r="R6462" s="33">
        <f>IFERROR(__xludf.DUMMYFUNCTION("""COMPUTED_VALUE"""),0.5)</f>
        <v>0.5</v>
      </c>
      <c r="S6462" s="4" t="str">
        <f>IFERROR(__xludf.DUMMYFUNCTION("""COMPUTED_VALUE"""),"null")</f>
        <v>null</v>
      </c>
      <c r="T6462" s="33">
        <f>IFERROR(__xludf.DUMMYFUNCTION("""COMPUTED_VALUE"""),0.5)</f>
        <v>0.5</v>
      </c>
      <c r="U6462" s="4" t="str">
        <f>IFERROR(__xludf.DUMMYFUNCTION("""COMPUTED_VALUE"""),"null")</f>
        <v>null</v>
      </c>
      <c r="V6462" s="33">
        <f>IFERROR(__xludf.DUMMYFUNCTION("""COMPUTED_VALUE"""),0.5)</f>
        <v>0.5</v>
      </c>
      <c r="W6462" s="4" t="str">
        <f>IFERROR(__xludf.DUMMYFUNCTION("""COMPUTED_VALUE"""),"Beefood - Sistema Para Restaurantes")</f>
        <v>Beefood - Sistema Para Restaurantes</v>
      </c>
      <c r="X6462" s="33">
        <f>IFERROR(__xludf.DUMMYFUNCTION("""COMPUTED_VALUE"""),1.0)</f>
        <v>1</v>
      </c>
    </row>
    <row r="6463">
      <c r="K6463" s="4" t="str">
        <f>IFERROR(__xludf.DUMMYFUNCTION("""COMPUTED_VALUE"""),"ARENA BEBIDAS")</f>
        <v>ARENA BEBIDAS</v>
      </c>
      <c r="L6463" s="32">
        <f>IFERROR(__xludf.DUMMYFUNCTION("""COMPUTED_VALUE"""),2.0)</f>
        <v>2</v>
      </c>
      <c r="M6463" s="4" t="str">
        <f>IFERROR(__xludf.DUMMYFUNCTION("""COMPUTED_VALUE"""),"N/A (Not found)")</f>
        <v>N/A (Not found)</v>
      </c>
      <c r="N6463" s="33">
        <f>IFERROR(__xludf.DUMMYFUNCTION("""COMPUTED_VALUE"""),0.5)</f>
        <v>0.5</v>
      </c>
      <c r="O6463" s="4" t="str">
        <f>IFERROR(__xludf.DUMMYFUNCTION("""COMPUTED_VALUE"""),"N/A (Not found)")</f>
        <v>N/A (Not found)</v>
      </c>
      <c r="P6463" s="33">
        <f>IFERROR(__xludf.DUMMYFUNCTION("""COMPUTED_VALUE"""),0.5)</f>
        <v>0.5</v>
      </c>
      <c r="Q6463" s="4" t="str">
        <f>IFERROR(__xludf.DUMMYFUNCTION("""COMPUTED_VALUE"""),"N/A (Not found)")</f>
        <v>N/A (Not found)</v>
      </c>
      <c r="R6463" s="33">
        <f>IFERROR(__xludf.DUMMYFUNCTION("""COMPUTED_VALUE"""),1.0)</f>
        <v>1</v>
      </c>
      <c r="S6463" s="4" t="str">
        <f>IFERROR(__xludf.DUMMYFUNCTION("""COMPUTED_VALUE"""),"N/A (Not found)")</f>
        <v>N/A (Not found)</v>
      </c>
      <c r="T6463" s="33">
        <f>IFERROR(__xludf.DUMMYFUNCTION("""COMPUTED_VALUE"""),0.5)</f>
        <v>0.5</v>
      </c>
      <c r="U6463" s="4" t="str">
        <f>IFERROR(__xludf.DUMMYFUNCTION("""COMPUTED_VALUE"""),"N/A (Not found)")</f>
        <v>N/A (Not found)</v>
      </c>
      <c r="V6463" s="33">
        <f>IFERROR(__xludf.DUMMYFUNCTION("""COMPUTED_VALUE"""),0.5)</f>
        <v>0.5</v>
      </c>
      <c r="W6463" s="4" t="str">
        <f>IFERROR(__xludf.DUMMYFUNCTION("""COMPUTED_VALUE"""),"N/A (Not found)")</f>
        <v>N/A (Not found)</v>
      </c>
      <c r="X6463" s="33">
        <f>IFERROR(__xludf.DUMMYFUNCTION("""COMPUTED_VALUE"""),0.5)</f>
        <v>0.5</v>
      </c>
    </row>
    <row r="6464">
      <c r="K6464" s="4" t="str">
        <f>IFERROR(__xludf.DUMMYFUNCTION("""COMPUTED_VALUE"""),"DROGARIA FORMOSA")</f>
        <v>DROGARIA FORMOSA</v>
      </c>
      <c r="L6464" s="32">
        <f>IFERROR(__xludf.DUMMYFUNCTION("""COMPUTED_VALUE"""),2.0)</f>
        <v>2</v>
      </c>
      <c r="M6464" s="4" t="str">
        <f>IFERROR(__xludf.DUMMYFUNCTION("""COMPUTED_VALUE"""),"null")</f>
        <v>null</v>
      </c>
      <c r="N6464" s="33">
        <f>IFERROR(__xludf.DUMMYFUNCTION("""COMPUTED_VALUE"""),1.0)</f>
        <v>1</v>
      </c>
      <c r="O6464" s="4" t="str">
        <f>IFERROR(__xludf.DUMMYFUNCTION("""COMPUTED_VALUE"""),"null")</f>
        <v>null</v>
      </c>
      <c r="P6464" s="33">
        <f>IFERROR(__xludf.DUMMYFUNCTION("""COMPUTED_VALUE"""),1.0)</f>
        <v>1</v>
      </c>
      <c r="Q6464" s="4" t="str">
        <f>IFERROR(__xludf.DUMMYFUNCTION("""COMPUTED_VALUE"""),"N/A (Not found)")</f>
        <v>N/A (Not found)</v>
      </c>
      <c r="R6464" s="33">
        <f>IFERROR(__xludf.DUMMYFUNCTION("""COMPUTED_VALUE"""),0.5)</f>
        <v>0.5</v>
      </c>
      <c r="S6464" s="4" t="str">
        <f>IFERROR(__xludf.DUMMYFUNCTION("""COMPUTED_VALUE"""),"N/A (Not found)")</f>
        <v>N/A (Not found)</v>
      </c>
      <c r="T6464" s="33">
        <f>IFERROR(__xludf.DUMMYFUNCTION("""COMPUTED_VALUE"""),0.5)</f>
        <v>0.5</v>
      </c>
      <c r="U6464" s="4" t="str">
        <f>IFERROR(__xludf.DUMMYFUNCTION("""COMPUTED_VALUE"""),"N/A (Not found)")</f>
        <v>N/A (Not found)</v>
      </c>
      <c r="V6464" s="33">
        <f>IFERROR(__xludf.DUMMYFUNCTION("""COMPUTED_VALUE"""),0.5)</f>
        <v>0.5</v>
      </c>
      <c r="W6464" s="4" t="str">
        <f>IFERROR(__xludf.DUMMYFUNCTION("""COMPUTED_VALUE"""),"N/A (Not found)")</f>
        <v>N/A (Not found)</v>
      </c>
      <c r="X6464" s="33">
        <f>IFERROR(__xludf.DUMMYFUNCTION("""COMPUTED_VALUE"""),1.0)</f>
        <v>1</v>
      </c>
    </row>
    <row r="6465">
      <c r="K6465" s="4" t="str">
        <f>IFERROR(__xludf.DUMMYFUNCTION("""COMPUTED_VALUE"""),"ACAI DA LILY")</f>
        <v>ACAI DA LILY</v>
      </c>
      <c r="L6465" s="32">
        <f>IFERROR(__xludf.DUMMYFUNCTION("""COMPUTED_VALUE"""),2.0)</f>
        <v>2</v>
      </c>
      <c r="M6465" s="4" t="str">
        <f>IFERROR(__xludf.DUMMYFUNCTION("""COMPUTED_VALUE"""),"Anove Tecnologia")</f>
        <v>Anove Tecnologia</v>
      </c>
      <c r="N6465" s="33">
        <f>IFERROR(__xludf.DUMMYFUNCTION("""COMPUTED_VALUE"""),1.0)</f>
        <v>1</v>
      </c>
      <c r="O6465" s="4" t="str">
        <f>IFERROR(__xludf.DUMMYFUNCTION("""COMPUTED_VALUE"""),"Anove Tecnologia")</f>
        <v>Anove Tecnologia</v>
      </c>
      <c r="P6465" s="33">
        <f>IFERROR(__xludf.DUMMYFUNCTION("""COMPUTED_VALUE"""),1.0)</f>
        <v>1</v>
      </c>
      <c r="Q6465" s="4" t="str">
        <f>IFERROR(__xludf.DUMMYFUNCTION("""COMPUTED_VALUE"""),"Anove Tecnologia")</f>
        <v>Anove Tecnologia</v>
      </c>
      <c r="R6465" s="33">
        <f>IFERROR(__xludf.DUMMYFUNCTION("""COMPUTED_VALUE"""),1.0)</f>
        <v>1</v>
      </c>
      <c r="S6465" s="4" t="str">
        <f>IFERROR(__xludf.DUMMYFUNCTION("""COMPUTED_VALUE"""),"Anove Tecnologia")</f>
        <v>Anove Tecnologia</v>
      </c>
      <c r="T6465" s="33">
        <f>IFERROR(__xludf.DUMMYFUNCTION("""COMPUTED_VALUE"""),1.0)</f>
        <v>1</v>
      </c>
      <c r="U6465" s="4" t="str">
        <f>IFERROR(__xludf.DUMMYFUNCTION("""COMPUTED_VALUE"""),"Anove Tecnologia")</f>
        <v>Anove Tecnologia</v>
      </c>
      <c r="V6465" s="33">
        <f>IFERROR(__xludf.DUMMYFUNCTION("""COMPUTED_VALUE"""),1.0)</f>
        <v>1</v>
      </c>
      <c r="W6465" s="4" t="str">
        <f>IFERROR(__xludf.DUMMYFUNCTION("""COMPUTED_VALUE"""),"Anove Tecnologia")</f>
        <v>Anove Tecnologia</v>
      </c>
      <c r="X6465" s="33">
        <f>IFERROR(__xludf.DUMMYFUNCTION("""COMPUTED_VALUE"""),1.0)</f>
        <v>1</v>
      </c>
    </row>
    <row r="6466">
      <c r="K6466" s="4" t="str">
        <f>IFERROR(__xludf.DUMMYFUNCTION("""COMPUTED_VALUE"""),"OLIMPO BURGUER")</f>
        <v>OLIMPO BURGUER</v>
      </c>
      <c r="L6466" s="32">
        <f>IFERROR(__xludf.DUMMYFUNCTION("""COMPUTED_VALUE"""),2.0)</f>
        <v>2</v>
      </c>
      <c r="M6466" s="4" t="str">
        <f>IFERROR(__xludf.DUMMYFUNCTION("""COMPUTED_VALUE"""),"Consumer Soluções Em Tecnologia Ltda")</f>
        <v>Consumer Soluções Em Tecnologia Ltda</v>
      </c>
      <c r="N6466" s="33">
        <f>IFERROR(__xludf.DUMMYFUNCTION("""COMPUTED_VALUE"""),0.5)</f>
        <v>0.5</v>
      </c>
      <c r="O6466" s="4" t="str">
        <f>IFERROR(__xludf.DUMMYFUNCTION("""COMPUTED_VALUE"""),"Consumer Soluções Em Tecnologia Ltda")</f>
        <v>Consumer Soluções Em Tecnologia Ltda</v>
      </c>
      <c r="P6466" s="33">
        <f>IFERROR(__xludf.DUMMYFUNCTION("""COMPUTED_VALUE"""),0.5)</f>
        <v>0.5</v>
      </c>
      <c r="Q6466" s="4" t="str">
        <f>IFERROR(__xludf.DUMMYFUNCTION("""COMPUTED_VALUE"""),"Consumer Soluções Em Tecnologia Ltda")</f>
        <v>Consumer Soluções Em Tecnologia Ltda</v>
      </c>
      <c r="R6466" s="33">
        <f>IFERROR(__xludf.DUMMYFUNCTION("""COMPUTED_VALUE"""),0.5)</f>
        <v>0.5</v>
      </c>
      <c r="S6466" s="4" t="str">
        <f>IFERROR(__xludf.DUMMYFUNCTION("""COMPUTED_VALUE"""),"Consumer Soluções Em Tecnologia Ltda")</f>
        <v>Consumer Soluções Em Tecnologia Ltda</v>
      </c>
      <c r="T6466" s="33">
        <f>IFERROR(__xludf.DUMMYFUNCTION("""COMPUTED_VALUE"""),0.5)</f>
        <v>0.5</v>
      </c>
      <c r="U6466" s="4" t="str">
        <f>IFERROR(__xludf.DUMMYFUNCTION("""COMPUTED_VALUE"""),"Consumer Soluções Em Tecnologia Ltda")</f>
        <v>Consumer Soluções Em Tecnologia Ltda</v>
      </c>
      <c r="V6466" s="33">
        <f>IFERROR(__xludf.DUMMYFUNCTION("""COMPUTED_VALUE"""),0.5)</f>
        <v>0.5</v>
      </c>
      <c r="W6466" s="4" t="str">
        <f>IFERROR(__xludf.DUMMYFUNCTION("""COMPUTED_VALUE"""),"Consumer Soluções Em Tecnologia Ltda")</f>
        <v>Consumer Soluções Em Tecnologia Ltda</v>
      </c>
      <c r="X6466" s="33">
        <f>IFERROR(__xludf.DUMMYFUNCTION("""COMPUTED_VALUE"""),0.5)</f>
        <v>0.5</v>
      </c>
    </row>
    <row r="6467">
      <c r="K6467" s="4" t="str">
        <f>IFERROR(__xludf.DUMMYFUNCTION("""COMPUTED_VALUE"""),"IBIZA BURGER")</f>
        <v>IBIZA BURGER</v>
      </c>
      <c r="L6467" s="32">
        <f>IFERROR(__xludf.DUMMYFUNCTION("""COMPUTED_VALUE"""),2.0)</f>
        <v>2</v>
      </c>
      <c r="M6467" s="4" t="str">
        <f>IFERROR(__xludf.DUMMYFUNCTION("""COMPUTED_VALUE"""),"Consumer Soluções Em Tecnologia Ltda")</f>
        <v>Consumer Soluções Em Tecnologia Ltda</v>
      </c>
      <c r="N6467" s="33">
        <f>IFERROR(__xludf.DUMMYFUNCTION("""COMPUTED_VALUE"""),0.5)</f>
        <v>0.5</v>
      </c>
      <c r="O6467" s="4" t="str">
        <f>IFERROR(__xludf.DUMMYFUNCTION("""COMPUTED_VALUE"""),"null")</f>
        <v>null</v>
      </c>
      <c r="P6467" s="33">
        <f>IFERROR(__xludf.DUMMYFUNCTION("""COMPUTED_VALUE"""),1.0)</f>
        <v>1</v>
      </c>
      <c r="Q6467" s="4" t="str">
        <f>IFERROR(__xludf.DUMMYFUNCTION("""COMPUTED_VALUE"""),"null")</f>
        <v>null</v>
      </c>
      <c r="R6467" s="33">
        <f>IFERROR(__xludf.DUMMYFUNCTION("""COMPUTED_VALUE"""),0.5)</f>
        <v>0.5</v>
      </c>
      <c r="S6467" s="4" t="str">
        <f>IFERROR(__xludf.DUMMYFUNCTION("""COMPUTED_VALUE"""),"null")</f>
        <v>null</v>
      </c>
      <c r="T6467" s="33">
        <f>IFERROR(__xludf.DUMMYFUNCTION("""COMPUTED_VALUE"""),1.0)</f>
        <v>1</v>
      </c>
      <c r="U6467" s="4" t="str">
        <f>IFERROR(__xludf.DUMMYFUNCTION("""COMPUTED_VALUE"""),"null")</f>
        <v>null</v>
      </c>
      <c r="V6467" s="33">
        <f>IFERROR(__xludf.DUMMYFUNCTION("""COMPUTED_VALUE"""),1.0)</f>
        <v>1</v>
      </c>
      <c r="W6467" s="4" t="str">
        <f>IFERROR(__xludf.DUMMYFUNCTION("""COMPUTED_VALUE"""),"Consumer Soluções Em Tecnologia Ltda")</f>
        <v>Consumer Soluções Em Tecnologia Ltda</v>
      </c>
      <c r="X6467" s="33">
        <f>IFERROR(__xludf.DUMMYFUNCTION("""COMPUTED_VALUE"""),0.5)</f>
        <v>0.5</v>
      </c>
    </row>
    <row r="6468">
      <c r="K6468" s="4" t="str">
        <f>IFERROR(__xludf.DUMMYFUNCTION("""COMPUTED_VALUE"""),"BOKA LANCHES")</f>
        <v>BOKA LANCHES</v>
      </c>
      <c r="L6468" s="32">
        <f>IFERROR(__xludf.DUMMYFUNCTION("""COMPUTED_VALUE"""),2.0)</f>
        <v>2</v>
      </c>
      <c r="M6468" s="4" t="str">
        <f>IFERROR(__xludf.DUMMYFUNCTION("""COMPUTED_VALUE"""),"Vuca Solution")</f>
        <v>Vuca Solution</v>
      </c>
      <c r="N6468" s="33">
        <f>IFERROR(__xludf.DUMMYFUNCTION("""COMPUTED_VALUE"""),0.5)</f>
        <v>0.5</v>
      </c>
      <c r="O6468" s="4" t="str">
        <f>IFERROR(__xludf.DUMMYFUNCTION("""COMPUTED_VALUE"""),"Vuca Solution")</f>
        <v>Vuca Solution</v>
      </c>
      <c r="P6468" s="33">
        <f>IFERROR(__xludf.DUMMYFUNCTION("""COMPUTED_VALUE"""),0.5)</f>
        <v>0.5</v>
      </c>
      <c r="Q6468" s="4" t="str">
        <f>IFERROR(__xludf.DUMMYFUNCTION("""COMPUTED_VALUE"""),"Vuca Solution")</f>
        <v>Vuca Solution</v>
      </c>
      <c r="R6468" s="33">
        <f>IFERROR(__xludf.DUMMYFUNCTION("""COMPUTED_VALUE"""),0.5)</f>
        <v>0.5</v>
      </c>
      <c r="S6468" s="4" t="str">
        <f>IFERROR(__xludf.DUMMYFUNCTION("""COMPUTED_VALUE"""),"Vuca Solution")</f>
        <v>Vuca Solution</v>
      </c>
      <c r="T6468" s="33">
        <f>IFERROR(__xludf.DUMMYFUNCTION("""COMPUTED_VALUE"""),0.5)</f>
        <v>0.5</v>
      </c>
      <c r="U6468" s="4" t="str">
        <f>IFERROR(__xludf.DUMMYFUNCTION("""COMPUTED_VALUE"""),"Vuca Solution")</f>
        <v>Vuca Solution</v>
      </c>
      <c r="V6468" s="33">
        <f>IFERROR(__xludf.DUMMYFUNCTION("""COMPUTED_VALUE"""),0.5)</f>
        <v>0.5</v>
      </c>
      <c r="W6468" s="4" t="str">
        <f>IFERROR(__xludf.DUMMYFUNCTION("""COMPUTED_VALUE"""),"Vuca Solution")</f>
        <v>Vuca Solution</v>
      </c>
      <c r="X6468" s="33">
        <f>IFERROR(__xludf.DUMMYFUNCTION("""COMPUTED_VALUE"""),0.5)</f>
        <v>0.5</v>
      </c>
    </row>
    <row r="6469">
      <c r="K6469" s="4" t="str">
        <f>IFERROR(__xludf.DUMMYFUNCTION("""COMPUTED_VALUE"""),"ROLLBURGER - HAMBURGUERIA")</f>
        <v>ROLLBURGER - HAMBURGUERIA</v>
      </c>
      <c r="L6469" s="32">
        <f>IFERROR(__xludf.DUMMYFUNCTION("""COMPUTED_VALUE"""),2.0)</f>
        <v>2</v>
      </c>
      <c r="M6469" s="4" t="str">
        <f>IFERROR(__xludf.DUMMYFUNCTION("""COMPUTED_VALUE"""),"Eclética Tecnologia")</f>
        <v>Eclética Tecnologia</v>
      </c>
      <c r="N6469" s="33">
        <f>IFERROR(__xludf.DUMMYFUNCTION("""COMPUTED_VALUE"""),0.6666666666666666)</f>
        <v>0.6666666667</v>
      </c>
      <c r="O6469" s="4" t="str">
        <f>IFERROR(__xludf.DUMMYFUNCTION("""COMPUTED_VALUE"""),"Eclética Tecnologia")</f>
        <v>Eclética Tecnologia</v>
      </c>
      <c r="P6469" s="33">
        <f>IFERROR(__xludf.DUMMYFUNCTION("""COMPUTED_VALUE"""),0.6666666666666666)</f>
        <v>0.6666666667</v>
      </c>
      <c r="Q6469" s="4" t="str">
        <f>IFERROR(__xludf.DUMMYFUNCTION("""COMPUTED_VALUE"""),"Eclética Tecnologia")</f>
        <v>Eclética Tecnologia</v>
      </c>
      <c r="R6469" s="33">
        <f>IFERROR(__xludf.DUMMYFUNCTION("""COMPUTED_VALUE"""),0.6666666666666666)</f>
        <v>0.6666666667</v>
      </c>
      <c r="S6469" s="4" t="str">
        <f>IFERROR(__xludf.DUMMYFUNCTION("""COMPUTED_VALUE"""),"Eclética Tecnologia")</f>
        <v>Eclética Tecnologia</v>
      </c>
      <c r="T6469" s="33">
        <f>IFERROR(__xludf.DUMMYFUNCTION("""COMPUTED_VALUE"""),0.6666666666666666)</f>
        <v>0.6666666667</v>
      </c>
      <c r="U6469" s="4" t="str">
        <f>IFERROR(__xludf.DUMMYFUNCTION("""COMPUTED_VALUE"""),"Eclética Tecnologia")</f>
        <v>Eclética Tecnologia</v>
      </c>
      <c r="V6469" s="33">
        <f>IFERROR(__xludf.DUMMYFUNCTION("""COMPUTED_VALUE"""),0.6666666666666666)</f>
        <v>0.6666666667</v>
      </c>
      <c r="W6469" s="4" t="str">
        <f>IFERROR(__xludf.DUMMYFUNCTION("""COMPUTED_VALUE"""),"Eclética Tecnologia")</f>
        <v>Eclética Tecnologia</v>
      </c>
      <c r="X6469" s="33">
        <f>IFERROR(__xludf.DUMMYFUNCTION("""COMPUTED_VALUE"""),1.0)</f>
        <v>1</v>
      </c>
    </row>
    <row r="6470">
      <c r="K6470" s="4" t="str">
        <f>IFERROR(__xludf.DUMMYFUNCTION("""COMPUTED_VALUE"""),"RISOTTO MIX")</f>
        <v>RISOTTO MIX</v>
      </c>
      <c r="L6470" s="32">
        <f>IFERROR(__xludf.DUMMYFUNCTION("""COMPUTED_VALUE"""),2.0)</f>
        <v>2</v>
      </c>
      <c r="M6470" s="4" t="str">
        <f>IFERROR(__xludf.DUMMYFUNCTION("""COMPUTED_VALUE"""),"Waybe Soluções Em Tecnologia Da Informação Ltda")</f>
        <v>Waybe Soluções Em Tecnologia Da Informação Ltda</v>
      </c>
      <c r="N6470" s="33">
        <f>IFERROR(__xludf.DUMMYFUNCTION("""COMPUTED_VALUE"""),0.5)</f>
        <v>0.5</v>
      </c>
      <c r="O6470" s="4" t="str">
        <f>IFERROR(__xludf.DUMMYFUNCTION("""COMPUTED_VALUE"""),"Waybe Soluções Em Tecnologia Da Informação Ltda")</f>
        <v>Waybe Soluções Em Tecnologia Da Informação Ltda</v>
      </c>
      <c r="P6470" s="33">
        <f>IFERROR(__xludf.DUMMYFUNCTION("""COMPUTED_VALUE"""),0.5)</f>
        <v>0.5</v>
      </c>
      <c r="Q6470" s="4" t="str">
        <f>IFERROR(__xludf.DUMMYFUNCTION("""COMPUTED_VALUE"""),"Waybe Soluções Em Tecnologia Da Informação Ltda")</f>
        <v>Waybe Soluções Em Tecnologia Da Informação Ltda</v>
      </c>
      <c r="R6470" s="33">
        <f>IFERROR(__xludf.DUMMYFUNCTION("""COMPUTED_VALUE"""),0.5)</f>
        <v>0.5</v>
      </c>
      <c r="S6470" s="4" t="str">
        <f>IFERROR(__xludf.DUMMYFUNCTION("""COMPUTED_VALUE"""),"Waybe Soluções Em Tecnologia Da Informação Ltda")</f>
        <v>Waybe Soluções Em Tecnologia Da Informação Ltda</v>
      </c>
      <c r="T6470" s="33">
        <f>IFERROR(__xludf.DUMMYFUNCTION("""COMPUTED_VALUE"""),0.5)</f>
        <v>0.5</v>
      </c>
      <c r="U6470" s="4" t="str">
        <f>IFERROR(__xludf.DUMMYFUNCTION("""COMPUTED_VALUE"""),"Waybe Soluções Em Tecnologia Da Informação Ltda")</f>
        <v>Waybe Soluções Em Tecnologia Da Informação Ltda</v>
      </c>
      <c r="V6470" s="33">
        <f>IFERROR(__xludf.DUMMYFUNCTION("""COMPUTED_VALUE"""),0.5)</f>
        <v>0.5</v>
      </c>
      <c r="W6470" s="4" t="str">
        <f>IFERROR(__xludf.DUMMYFUNCTION("""COMPUTED_VALUE"""),"Waybe Soluções Em Tecnologia Da Informação Ltda")</f>
        <v>Waybe Soluções Em Tecnologia Da Informação Ltda</v>
      </c>
      <c r="X6470" s="33">
        <f>IFERROR(__xludf.DUMMYFUNCTION("""COMPUTED_VALUE"""),0.5)</f>
        <v>0.5</v>
      </c>
    </row>
    <row r="6471">
      <c r="K6471" s="4" t="str">
        <f>IFERROR(__xludf.DUMMYFUNCTION("""COMPUTED_VALUE"""),"MENEZES LANCHES")</f>
        <v>MENEZES LANCHES</v>
      </c>
      <c r="L6471" s="32">
        <f>IFERROR(__xludf.DUMMYFUNCTION("""COMPUTED_VALUE"""),2.0)</f>
        <v>2</v>
      </c>
      <c r="M6471" s="4" t="str">
        <f>IFERROR(__xludf.DUMMYFUNCTION("""COMPUTED_VALUE"""),"Gplus Sistemas")</f>
        <v>Gplus Sistemas</v>
      </c>
      <c r="N6471" s="33">
        <f>IFERROR(__xludf.DUMMYFUNCTION("""COMPUTED_VALUE"""),0.5)</f>
        <v>0.5</v>
      </c>
      <c r="O6471" s="4" t="str">
        <f>IFERROR(__xludf.DUMMYFUNCTION("""COMPUTED_VALUE"""),"Gplus Sistemas")</f>
        <v>Gplus Sistemas</v>
      </c>
      <c r="P6471" s="33">
        <f>IFERROR(__xludf.DUMMYFUNCTION("""COMPUTED_VALUE"""),0.5)</f>
        <v>0.5</v>
      </c>
      <c r="Q6471" s="4" t="str">
        <f>IFERROR(__xludf.DUMMYFUNCTION("""COMPUTED_VALUE"""),"null")</f>
        <v>null</v>
      </c>
      <c r="R6471" s="33">
        <f>IFERROR(__xludf.DUMMYFUNCTION("""COMPUTED_VALUE"""),0.5)</f>
        <v>0.5</v>
      </c>
      <c r="S6471" s="4" t="str">
        <f>IFERROR(__xludf.DUMMYFUNCTION("""COMPUTED_VALUE"""),"Cardápio Web")</f>
        <v>Cardápio Web</v>
      </c>
      <c r="T6471" s="33">
        <f>IFERROR(__xludf.DUMMYFUNCTION("""COMPUTED_VALUE"""),0.5)</f>
        <v>0.5</v>
      </c>
      <c r="U6471" s="4" t="str">
        <f>IFERROR(__xludf.DUMMYFUNCTION("""COMPUTED_VALUE"""),"Cardápio Web")</f>
        <v>Cardápio Web</v>
      </c>
      <c r="V6471" s="33">
        <f>IFERROR(__xludf.DUMMYFUNCTION("""COMPUTED_VALUE"""),0.5)</f>
        <v>0.5</v>
      </c>
      <c r="W6471" s="4" t="str">
        <f>IFERROR(__xludf.DUMMYFUNCTION("""COMPUTED_VALUE"""),"Cardápio Web")</f>
        <v>Cardápio Web</v>
      </c>
      <c r="X6471" s="33">
        <f>IFERROR(__xludf.DUMMYFUNCTION("""COMPUTED_VALUE"""),0.5)</f>
        <v>0.5</v>
      </c>
    </row>
    <row r="6472">
      <c r="K6472" s="4" t="str">
        <f>IFERROR(__xludf.DUMMYFUNCTION("""COMPUTED_VALUE"""),"IPHOME LANCHES")</f>
        <v>IPHOME LANCHES</v>
      </c>
      <c r="L6472" s="32">
        <f>IFERROR(__xludf.DUMMYFUNCTION("""COMPUTED_VALUE"""),2.0)</f>
        <v>2</v>
      </c>
      <c r="M6472" s="4" t="str">
        <f>IFERROR(__xludf.DUMMYFUNCTION("""COMPUTED_VALUE"""),"Consumer Soluções Em Tecnologia Ltda")</f>
        <v>Consumer Soluções Em Tecnologia Ltda</v>
      </c>
      <c r="N6472" s="33">
        <f>IFERROR(__xludf.DUMMYFUNCTION("""COMPUTED_VALUE"""),0.5)</f>
        <v>0.5</v>
      </c>
      <c r="O6472" s="4" t="str">
        <f>IFERROR(__xludf.DUMMYFUNCTION("""COMPUTED_VALUE"""),"Consumer Soluções Em Tecnologia Ltda")</f>
        <v>Consumer Soluções Em Tecnologia Ltda</v>
      </c>
      <c r="P6472" s="33">
        <f>IFERROR(__xludf.DUMMYFUNCTION("""COMPUTED_VALUE"""),0.5)</f>
        <v>0.5</v>
      </c>
      <c r="Q6472" s="4" t="str">
        <f>IFERROR(__xludf.DUMMYFUNCTION("""COMPUTED_VALUE"""),"Consumer Soluções Em Tecnologia Ltda")</f>
        <v>Consumer Soluções Em Tecnologia Ltda</v>
      </c>
      <c r="R6472" s="33">
        <f>IFERROR(__xludf.DUMMYFUNCTION("""COMPUTED_VALUE"""),0.5)</f>
        <v>0.5</v>
      </c>
      <c r="S6472" s="4" t="str">
        <f>IFERROR(__xludf.DUMMYFUNCTION("""COMPUTED_VALUE"""),"Consumer Soluções Em Tecnologia Ltda")</f>
        <v>Consumer Soluções Em Tecnologia Ltda</v>
      </c>
      <c r="T6472" s="33">
        <f>IFERROR(__xludf.DUMMYFUNCTION("""COMPUTED_VALUE"""),0.5)</f>
        <v>0.5</v>
      </c>
      <c r="U6472" s="4" t="str">
        <f>IFERROR(__xludf.DUMMYFUNCTION("""COMPUTED_VALUE"""),"Consumer Soluções Em Tecnologia Ltda")</f>
        <v>Consumer Soluções Em Tecnologia Ltda</v>
      </c>
      <c r="V6472" s="33">
        <f>IFERROR(__xludf.DUMMYFUNCTION("""COMPUTED_VALUE"""),0.5)</f>
        <v>0.5</v>
      </c>
      <c r="W6472" s="4" t="str">
        <f>IFERROR(__xludf.DUMMYFUNCTION("""COMPUTED_VALUE"""),"Consumer Soluções Em Tecnologia Ltda")</f>
        <v>Consumer Soluções Em Tecnologia Ltda</v>
      </c>
      <c r="X6472" s="33">
        <f>IFERROR(__xludf.DUMMYFUNCTION("""COMPUTED_VALUE"""),0.5)</f>
        <v>0.5</v>
      </c>
    </row>
    <row r="6473">
      <c r="K6473" s="4" t="str">
        <f>IFERROR(__xludf.DUMMYFUNCTION("""COMPUTED_VALUE"""),"MEOW - O MELHOR COOKIE DA CIDADE")</f>
        <v>MEOW - O MELHOR COOKIE DA CIDADE</v>
      </c>
      <c r="L6473" s="32">
        <f>IFERROR(__xludf.DUMMYFUNCTION("""COMPUTED_VALUE"""),2.0)</f>
        <v>2</v>
      </c>
      <c r="M6473" s="4" t="str">
        <f>IFERROR(__xludf.DUMMYFUNCTION("""COMPUTED_VALUE"""),"Consumer Soluções Em Tecnologia Ltda")</f>
        <v>Consumer Soluções Em Tecnologia Ltda</v>
      </c>
      <c r="N6473" s="33">
        <f>IFERROR(__xludf.DUMMYFUNCTION("""COMPUTED_VALUE"""),0.5)</f>
        <v>0.5</v>
      </c>
      <c r="O6473" s="4" t="str">
        <f>IFERROR(__xludf.DUMMYFUNCTION("""COMPUTED_VALUE"""),"null")</f>
        <v>null</v>
      </c>
      <c r="P6473" s="33">
        <f>IFERROR(__xludf.DUMMYFUNCTION("""COMPUTED_VALUE"""),1.0)</f>
        <v>1</v>
      </c>
      <c r="Q6473" s="4" t="str">
        <f>IFERROR(__xludf.DUMMYFUNCTION("""COMPUTED_VALUE"""),"Consumer Soluções Em Tecnologia Ltda")</f>
        <v>Consumer Soluções Em Tecnologia Ltda</v>
      </c>
      <c r="R6473" s="33">
        <f>IFERROR(__xludf.DUMMYFUNCTION("""COMPUTED_VALUE"""),0.5)</f>
        <v>0.5</v>
      </c>
      <c r="S6473" s="4" t="str">
        <f>IFERROR(__xludf.DUMMYFUNCTION("""COMPUTED_VALUE"""),"Consumer Soluções Em Tecnologia Ltda")</f>
        <v>Consumer Soluções Em Tecnologia Ltda</v>
      </c>
      <c r="T6473" s="33">
        <f>IFERROR(__xludf.DUMMYFUNCTION("""COMPUTED_VALUE"""),0.5)</f>
        <v>0.5</v>
      </c>
      <c r="U6473" s="4" t="str">
        <f>IFERROR(__xludf.DUMMYFUNCTION("""COMPUTED_VALUE"""),"null")</f>
        <v>null</v>
      </c>
      <c r="V6473" s="33">
        <f>IFERROR(__xludf.DUMMYFUNCTION("""COMPUTED_VALUE"""),0.5)</f>
        <v>0.5</v>
      </c>
      <c r="W6473" s="4" t="str">
        <f>IFERROR(__xludf.DUMMYFUNCTION("""COMPUTED_VALUE"""),"Consumer Soluções Em Tecnologia Ltda")</f>
        <v>Consumer Soluções Em Tecnologia Ltda</v>
      </c>
      <c r="X6473" s="33">
        <f>IFERROR(__xludf.DUMMYFUNCTION("""COMPUTED_VALUE"""),0.5)</f>
        <v>0.5</v>
      </c>
    </row>
    <row r="6474">
      <c r="K6474" s="4" t="str">
        <f>IFERROR(__xludf.DUMMYFUNCTION("""COMPUTED_VALUE"""),"DALLAS BURGER")</f>
        <v>DALLAS BURGER</v>
      </c>
      <c r="L6474" s="32">
        <f>IFERROR(__xludf.DUMMYFUNCTION("""COMPUTED_VALUE"""),2.0)</f>
        <v>2</v>
      </c>
      <c r="M6474" s="4" t="str">
        <f>IFERROR(__xludf.DUMMYFUNCTION("""COMPUTED_VALUE"""),"null")</f>
        <v>null</v>
      </c>
      <c r="N6474" s="33">
        <f>IFERROR(__xludf.DUMMYFUNCTION("""COMPUTED_VALUE"""),0.5)</f>
        <v>0.5</v>
      </c>
      <c r="O6474" s="4" t="str">
        <f>IFERROR(__xludf.DUMMYFUNCTION("""COMPUTED_VALUE"""),"null")</f>
        <v>null</v>
      </c>
      <c r="P6474" s="33">
        <f>IFERROR(__xludf.DUMMYFUNCTION("""COMPUTED_VALUE"""),0.5)</f>
        <v>0.5</v>
      </c>
      <c r="Q6474" s="4" t="str">
        <f>IFERROR(__xludf.DUMMYFUNCTION("""COMPUTED_VALUE"""),"null")</f>
        <v>null</v>
      </c>
      <c r="R6474" s="33">
        <f>IFERROR(__xludf.DUMMYFUNCTION("""COMPUTED_VALUE"""),0.5)</f>
        <v>0.5</v>
      </c>
      <c r="S6474" s="4" t="str">
        <f>IFERROR(__xludf.DUMMYFUNCTION("""COMPUTED_VALUE"""),"Bbifood")</f>
        <v>Bbifood</v>
      </c>
      <c r="T6474" s="33">
        <f>IFERROR(__xludf.DUMMYFUNCTION("""COMPUTED_VALUE"""),0.5)</f>
        <v>0.5</v>
      </c>
      <c r="U6474" s="4" t="str">
        <f>IFERROR(__xludf.DUMMYFUNCTION("""COMPUTED_VALUE"""),"null")</f>
        <v>null</v>
      </c>
      <c r="V6474" s="33">
        <f>IFERROR(__xludf.DUMMYFUNCTION("""COMPUTED_VALUE"""),0.5)</f>
        <v>0.5</v>
      </c>
      <c r="W6474" s="4" t="str">
        <f>IFERROR(__xludf.DUMMYFUNCTION("""COMPUTED_VALUE"""),"Bbifood")</f>
        <v>Bbifood</v>
      </c>
      <c r="X6474" s="33">
        <f>IFERROR(__xludf.DUMMYFUNCTION("""COMPUTED_VALUE"""),0.5)</f>
        <v>0.5</v>
      </c>
    </row>
    <row r="6475">
      <c r="K6475" s="4" t="str">
        <f>IFERROR(__xludf.DUMMYFUNCTION("""COMPUTED_VALUE"""),"WILLS BURGER")</f>
        <v>WILLS BURGER</v>
      </c>
      <c r="L6475" s="32">
        <f>IFERROR(__xludf.DUMMYFUNCTION("""COMPUTED_VALUE"""),2.0)</f>
        <v>2</v>
      </c>
      <c r="M6475" s="4" t="str">
        <f>IFERROR(__xludf.DUMMYFUNCTION("""COMPUTED_VALUE"""),"Connectplug")</f>
        <v>Connectplug</v>
      </c>
      <c r="N6475" s="33">
        <f>IFERROR(__xludf.DUMMYFUNCTION("""COMPUTED_VALUE"""),0.5)</f>
        <v>0.5</v>
      </c>
      <c r="O6475" s="4" t="str">
        <f>IFERROR(__xludf.DUMMYFUNCTION("""COMPUTED_VALUE"""),"Connectplug")</f>
        <v>Connectplug</v>
      </c>
      <c r="P6475" s="33">
        <f>IFERROR(__xludf.DUMMYFUNCTION("""COMPUTED_VALUE"""),0.5)</f>
        <v>0.5</v>
      </c>
      <c r="Q6475" s="4" t="str">
        <f>IFERROR(__xludf.DUMMYFUNCTION("""COMPUTED_VALUE"""),"Connectplug")</f>
        <v>Connectplug</v>
      </c>
      <c r="R6475" s="33">
        <f>IFERROR(__xludf.DUMMYFUNCTION("""COMPUTED_VALUE"""),0.5)</f>
        <v>0.5</v>
      </c>
      <c r="S6475" s="4" t="str">
        <f>IFERROR(__xludf.DUMMYFUNCTION("""COMPUTED_VALUE"""),"Connectplug")</f>
        <v>Connectplug</v>
      </c>
      <c r="T6475" s="33">
        <f>IFERROR(__xludf.DUMMYFUNCTION("""COMPUTED_VALUE"""),0.5)</f>
        <v>0.5</v>
      </c>
      <c r="U6475" s="4" t="str">
        <f>IFERROR(__xludf.DUMMYFUNCTION("""COMPUTED_VALUE"""),"Connectplug")</f>
        <v>Connectplug</v>
      </c>
      <c r="V6475" s="33">
        <f>IFERROR(__xludf.DUMMYFUNCTION("""COMPUTED_VALUE"""),0.5)</f>
        <v>0.5</v>
      </c>
      <c r="W6475" s="4" t="str">
        <f>IFERROR(__xludf.DUMMYFUNCTION("""COMPUTED_VALUE"""),"Connectplug")</f>
        <v>Connectplug</v>
      </c>
      <c r="X6475" s="33">
        <f>IFERROR(__xludf.DUMMYFUNCTION("""COMPUTED_VALUE"""),0.5)</f>
        <v>0.5</v>
      </c>
    </row>
    <row r="6476">
      <c r="K6476" s="4" t="str">
        <f>IFERROR(__xludf.DUMMYFUNCTION("""COMPUTED_VALUE"""),"TAIANI NUNES BOLOS ARTESANAIS")</f>
        <v>TAIANI NUNES BOLOS ARTESANAIS</v>
      </c>
      <c r="L6476" s="32">
        <f>IFERROR(__xludf.DUMMYFUNCTION("""COMPUTED_VALUE"""),2.0)</f>
        <v>2</v>
      </c>
      <c r="M6476" s="4" t="str">
        <f>IFERROR(__xludf.DUMMYFUNCTION("""COMPUTED_VALUE"""),"Saipos Serviços De Software")</f>
        <v>Saipos Serviços De Software</v>
      </c>
      <c r="N6476" s="33">
        <f>IFERROR(__xludf.DUMMYFUNCTION("""COMPUTED_VALUE"""),1.0)</f>
        <v>1</v>
      </c>
      <c r="O6476" s="4" t="str">
        <f>IFERROR(__xludf.DUMMYFUNCTION("""COMPUTED_VALUE"""),"null")</f>
        <v>null</v>
      </c>
      <c r="P6476" s="33">
        <f>IFERROR(__xludf.DUMMYFUNCTION("""COMPUTED_VALUE"""),0.5)</f>
        <v>0.5</v>
      </c>
      <c r="Q6476" s="4" t="str">
        <f>IFERROR(__xludf.DUMMYFUNCTION("""COMPUTED_VALUE"""),"null")</f>
        <v>null</v>
      </c>
      <c r="R6476" s="33">
        <f>IFERROR(__xludf.DUMMYFUNCTION("""COMPUTED_VALUE"""),0.5)</f>
        <v>0.5</v>
      </c>
      <c r="S6476" s="4" t="str">
        <f>IFERROR(__xludf.DUMMYFUNCTION("""COMPUTED_VALUE"""),"null")</f>
        <v>null</v>
      </c>
      <c r="T6476" s="33">
        <f>IFERROR(__xludf.DUMMYFUNCTION("""COMPUTED_VALUE"""),0.5)</f>
        <v>0.5</v>
      </c>
      <c r="U6476" s="4" t="str">
        <f>IFERROR(__xludf.DUMMYFUNCTION("""COMPUTED_VALUE"""),"null")</f>
        <v>null</v>
      </c>
      <c r="V6476" s="33">
        <f>IFERROR(__xludf.DUMMYFUNCTION("""COMPUTED_VALUE"""),0.5)</f>
        <v>0.5</v>
      </c>
      <c r="W6476" s="4" t="str">
        <f>IFERROR(__xludf.DUMMYFUNCTION("""COMPUTED_VALUE"""),"null")</f>
        <v>null</v>
      </c>
      <c r="X6476" s="33">
        <f>IFERROR(__xludf.DUMMYFUNCTION("""COMPUTED_VALUE"""),0.5)</f>
        <v>0.5</v>
      </c>
    </row>
    <row r="6477">
      <c r="K6477" s="4" t="str">
        <f>IFERROR(__xludf.DUMMYFUNCTION("""COMPUTED_VALUE"""),"HAMBURGUESA I LANCHES HAMBURGUER ARTESANAL")</f>
        <v>HAMBURGUESA I LANCHES HAMBURGUER ARTESANAL</v>
      </c>
      <c r="L6477" s="32">
        <f>IFERROR(__xludf.DUMMYFUNCTION("""COMPUTED_VALUE"""),2.0)</f>
        <v>2</v>
      </c>
      <c r="M6477" s="4" t="str">
        <f>IFERROR(__xludf.DUMMYFUNCTION("""COMPUTED_VALUE"""),"Glow")</f>
        <v>Glow</v>
      </c>
      <c r="N6477" s="33">
        <f>IFERROR(__xludf.DUMMYFUNCTION("""COMPUTED_VALUE"""),1.0)</f>
        <v>1</v>
      </c>
      <c r="O6477" s="4" t="str">
        <f>IFERROR(__xludf.DUMMYFUNCTION("""COMPUTED_VALUE"""),"Glow")</f>
        <v>Glow</v>
      </c>
      <c r="P6477" s="33">
        <f>IFERROR(__xludf.DUMMYFUNCTION("""COMPUTED_VALUE"""),1.0)</f>
        <v>1</v>
      </c>
      <c r="Q6477" s="4" t="str">
        <f>IFERROR(__xludf.DUMMYFUNCTION("""COMPUTED_VALUE"""),"Glow")</f>
        <v>Glow</v>
      </c>
      <c r="R6477" s="33">
        <f>IFERROR(__xludf.DUMMYFUNCTION("""COMPUTED_VALUE"""),1.0)</f>
        <v>1</v>
      </c>
      <c r="S6477" s="4" t="str">
        <f>IFERROR(__xludf.DUMMYFUNCTION("""COMPUTED_VALUE"""),"null")</f>
        <v>null</v>
      </c>
      <c r="T6477" s="33">
        <f>IFERROR(__xludf.DUMMYFUNCTION("""COMPUTED_VALUE"""),1.0)</f>
        <v>1</v>
      </c>
      <c r="U6477" s="4" t="str">
        <f>IFERROR(__xludf.DUMMYFUNCTION("""COMPUTED_VALUE"""),"Glow")</f>
        <v>Glow</v>
      </c>
      <c r="V6477" s="33">
        <f>IFERROR(__xludf.DUMMYFUNCTION("""COMPUTED_VALUE"""),0.6666666666666666)</f>
        <v>0.6666666667</v>
      </c>
      <c r="W6477" s="4" t="str">
        <f>IFERROR(__xludf.DUMMYFUNCTION("""COMPUTED_VALUE"""),"null")</f>
        <v>null</v>
      </c>
      <c r="X6477" s="33">
        <f>IFERROR(__xludf.DUMMYFUNCTION("""COMPUTED_VALUE"""),1.0)</f>
        <v>1</v>
      </c>
    </row>
    <row r="6478">
      <c r="K6478" s="4" t="str">
        <f>IFERROR(__xludf.DUMMYFUNCTION("""COMPUTED_VALUE"""),"TOP YAKI")</f>
        <v>TOP YAKI</v>
      </c>
      <c r="L6478" s="32">
        <f>IFERROR(__xludf.DUMMYFUNCTION("""COMPUTED_VALUE"""),2.0)</f>
        <v>2</v>
      </c>
      <c r="M6478" s="4" t="str">
        <f>IFERROR(__xludf.DUMMYFUNCTION("""COMPUTED_VALUE"""),"Totvs Large Enterprise Tecnologia S.a.")</f>
        <v>Totvs Large Enterprise Tecnologia S.a.</v>
      </c>
      <c r="N6478" s="33">
        <f>IFERROR(__xludf.DUMMYFUNCTION("""COMPUTED_VALUE"""),1.0)</f>
        <v>1</v>
      </c>
      <c r="O6478" s="4" t="str">
        <f>IFERROR(__xludf.DUMMYFUNCTION("""COMPUTED_VALUE"""),"Totvs Large Enterprise Tecnologia S.a.")</f>
        <v>Totvs Large Enterprise Tecnologia S.a.</v>
      </c>
      <c r="P6478" s="33">
        <f>IFERROR(__xludf.DUMMYFUNCTION("""COMPUTED_VALUE"""),1.0)</f>
        <v>1</v>
      </c>
      <c r="Q6478" s="4" t="str">
        <f>IFERROR(__xludf.DUMMYFUNCTION("""COMPUTED_VALUE"""),"Totvs Large Enterprise Tecnologia S.a.")</f>
        <v>Totvs Large Enterprise Tecnologia S.a.</v>
      </c>
      <c r="R6478" s="33">
        <f>IFERROR(__xludf.DUMMYFUNCTION("""COMPUTED_VALUE"""),1.0)</f>
        <v>1</v>
      </c>
      <c r="S6478" s="4" t="str">
        <f>IFERROR(__xludf.DUMMYFUNCTION("""COMPUTED_VALUE"""),"Totvs Large Enterprise Tecnologia S.a.")</f>
        <v>Totvs Large Enterprise Tecnologia S.a.</v>
      </c>
      <c r="T6478" s="33">
        <f>IFERROR(__xludf.DUMMYFUNCTION("""COMPUTED_VALUE"""),1.0)</f>
        <v>1</v>
      </c>
      <c r="U6478" s="4" t="str">
        <f>IFERROR(__xludf.DUMMYFUNCTION("""COMPUTED_VALUE"""),"Totvs Large Enterprise Tecnologia S.a.")</f>
        <v>Totvs Large Enterprise Tecnologia S.a.</v>
      </c>
      <c r="V6478" s="33">
        <f>IFERROR(__xludf.DUMMYFUNCTION("""COMPUTED_VALUE"""),1.0)</f>
        <v>1</v>
      </c>
      <c r="W6478" s="4" t="str">
        <f>IFERROR(__xludf.DUMMYFUNCTION("""COMPUTED_VALUE"""),"Totvs Large Enterprise Tecnologia S.a.")</f>
        <v>Totvs Large Enterprise Tecnologia S.a.</v>
      </c>
      <c r="X6478" s="33">
        <f>IFERROR(__xludf.DUMMYFUNCTION("""COMPUTED_VALUE"""),1.0)</f>
        <v>1</v>
      </c>
    </row>
    <row r="6479">
      <c r="K6479" s="4" t="str">
        <f>IFERROR(__xludf.DUMMYFUNCTION("""COMPUTED_VALUE"""),"TAPIOCA DAS PRETAS")</f>
        <v>TAPIOCA DAS PRETAS</v>
      </c>
      <c r="L6479" s="32">
        <f>IFERROR(__xludf.DUMMYFUNCTION("""COMPUTED_VALUE"""),2.0)</f>
        <v>2</v>
      </c>
      <c r="M6479" s="4" t="str">
        <f>IFERROR(__xludf.DUMMYFUNCTION("""COMPUTED_VALUE"""),"Vuca Solution")</f>
        <v>Vuca Solution</v>
      </c>
      <c r="N6479" s="33">
        <f>IFERROR(__xludf.DUMMYFUNCTION("""COMPUTED_VALUE"""),0.5)</f>
        <v>0.5</v>
      </c>
      <c r="O6479" s="4" t="str">
        <f>IFERROR(__xludf.DUMMYFUNCTION("""COMPUTED_VALUE"""),"Saipos Serviços De Software")</f>
        <v>Saipos Serviços De Software</v>
      </c>
      <c r="P6479" s="33">
        <f>IFERROR(__xludf.DUMMYFUNCTION("""COMPUTED_VALUE"""),0.5)</f>
        <v>0.5</v>
      </c>
      <c r="Q6479" s="4" t="str">
        <f>IFERROR(__xludf.DUMMYFUNCTION("""COMPUTED_VALUE"""),"Saipos Serviços De Software")</f>
        <v>Saipos Serviços De Software</v>
      </c>
      <c r="R6479" s="33">
        <f>IFERROR(__xludf.DUMMYFUNCTION("""COMPUTED_VALUE"""),0.5)</f>
        <v>0.5</v>
      </c>
      <c r="S6479" s="4" t="str">
        <f>IFERROR(__xludf.DUMMYFUNCTION("""COMPUTED_VALUE"""),"Saipos Serviços De Software")</f>
        <v>Saipos Serviços De Software</v>
      </c>
      <c r="T6479" s="33">
        <f>IFERROR(__xludf.DUMMYFUNCTION("""COMPUTED_VALUE"""),1.0)</f>
        <v>1</v>
      </c>
      <c r="U6479" s="4" t="str">
        <f>IFERROR(__xludf.DUMMYFUNCTION("""COMPUTED_VALUE"""),"Saipos Serviços De Software")</f>
        <v>Saipos Serviços De Software</v>
      </c>
      <c r="V6479" s="33">
        <f>IFERROR(__xludf.DUMMYFUNCTION("""COMPUTED_VALUE"""),1.0)</f>
        <v>1</v>
      </c>
      <c r="W6479" s="4" t="str">
        <f>IFERROR(__xludf.DUMMYFUNCTION("""COMPUTED_VALUE"""),"Saipos Serviços De Software")</f>
        <v>Saipos Serviços De Software</v>
      </c>
      <c r="X6479" s="33">
        <f>IFERROR(__xludf.DUMMYFUNCTION("""COMPUTED_VALUE"""),1.0)</f>
        <v>1</v>
      </c>
    </row>
    <row r="6480">
      <c r="K6480" s="4" t="str">
        <f>IFERROR(__xludf.DUMMYFUNCTION("""COMPUTED_VALUE"""),"BELEZA EXPRESS")</f>
        <v>BELEZA EXPRESS</v>
      </c>
      <c r="L6480" s="32">
        <f>IFERROR(__xludf.DUMMYFUNCTION("""COMPUTED_VALUE"""),2.0)</f>
        <v>2</v>
      </c>
      <c r="M6480" s="4" t="str">
        <f>IFERROR(__xludf.DUMMYFUNCTION("""COMPUTED_VALUE"""),"N/A (Not found)")</f>
        <v>N/A (Not found)</v>
      </c>
      <c r="N6480" s="33">
        <f>IFERROR(__xludf.DUMMYFUNCTION("""COMPUTED_VALUE"""),0.5)</f>
        <v>0.5</v>
      </c>
      <c r="O6480" s="4" t="str">
        <f>IFERROR(__xludf.DUMMYFUNCTION("""COMPUTED_VALUE"""),"N/A (Not found)")</f>
        <v>N/A (Not found)</v>
      </c>
      <c r="P6480" s="33">
        <f>IFERROR(__xludf.DUMMYFUNCTION("""COMPUTED_VALUE"""),0.5)</f>
        <v>0.5</v>
      </c>
      <c r="Q6480" s="4" t="str">
        <f>IFERROR(__xludf.DUMMYFUNCTION("""COMPUTED_VALUE"""),"N/A (Not found)")</f>
        <v>N/A (Not found)</v>
      </c>
      <c r="R6480" s="33">
        <f>IFERROR(__xludf.DUMMYFUNCTION("""COMPUTED_VALUE"""),1.0)</f>
        <v>1</v>
      </c>
      <c r="S6480" s="4" t="str">
        <f>IFERROR(__xludf.DUMMYFUNCTION("""COMPUTED_VALUE"""),"N/A (Not found)")</f>
        <v>N/A (Not found)</v>
      </c>
      <c r="T6480" s="33">
        <f>IFERROR(__xludf.DUMMYFUNCTION("""COMPUTED_VALUE"""),0.5)</f>
        <v>0.5</v>
      </c>
      <c r="U6480" s="4" t="str">
        <f>IFERROR(__xludf.DUMMYFUNCTION("""COMPUTED_VALUE"""),"N/A (Not found)")</f>
        <v>N/A (Not found)</v>
      </c>
      <c r="V6480" s="33">
        <f>IFERROR(__xludf.DUMMYFUNCTION("""COMPUTED_VALUE"""),0.5)</f>
        <v>0.5</v>
      </c>
      <c r="W6480" s="4" t="str">
        <f>IFERROR(__xludf.DUMMYFUNCTION("""COMPUTED_VALUE"""),"N/A (Not found)")</f>
        <v>N/A (Not found)</v>
      </c>
      <c r="X6480" s="33">
        <f>IFERROR(__xludf.DUMMYFUNCTION("""COMPUTED_VALUE"""),0.5)</f>
        <v>0.5</v>
      </c>
    </row>
    <row r="6481">
      <c r="K6481" s="4" t="str">
        <f>IFERROR(__xludf.DUMMYFUNCTION("""COMPUTED_VALUE"""),"SCOOBY DOG")</f>
        <v>SCOOBY DOG</v>
      </c>
      <c r="L6481" s="32">
        <f>IFERROR(__xludf.DUMMYFUNCTION("""COMPUTED_VALUE"""),2.0)</f>
        <v>2</v>
      </c>
      <c r="M6481" s="4" t="str">
        <f>IFERROR(__xludf.DUMMYFUNCTION("""COMPUTED_VALUE"""),"Cervantes Tecnologia")</f>
        <v>Cervantes Tecnologia</v>
      </c>
      <c r="N6481" s="33">
        <f>IFERROR(__xludf.DUMMYFUNCTION("""COMPUTED_VALUE"""),0.5)</f>
        <v>0.5</v>
      </c>
      <c r="O6481" s="4" t="str">
        <f>IFERROR(__xludf.DUMMYFUNCTION("""COMPUTED_VALUE"""),"Cervantes Tecnologia")</f>
        <v>Cervantes Tecnologia</v>
      </c>
      <c r="P6481" s="33">
        <f>IFERROR(__xludf.DUMMYFUNCTION("""COMPUTED_VALUE"""),0.5)</f>
        <v>0.5</v>
      </c>
      <c r="Q6481" s="4" t="str">
        <f>IFERROR(__xludf.DUMMYFUNCTION("""COMPUTED_VALUE"""),"Cervantes Tecnologia")</f>
        <v>Cervantes Tecnologia</v>
      </c>
      <c r="R6481" s="33">
        <f>IFERROR(__xludf.DUMMYFUNCTION("""COMPUTED_VALUE"""),0.5)</f>
        <v>0.5</v>
      </c>
      <c r="S6481" s="4" t="str">
        <f>IFERROR(__xludf.DUMMYFUNCTION("""COMPUTED_VALUE"""),"Cervantes Tecnologia")</f>
        <v>Cervantes Tecnologia</v>
      </c>
      <c r="T6481" s="33">
        <f>IFERROR(__xludf.DUMMYFUNCTION("""COMPUTED_VALUE"""),0.5)</f>
        <v>0.5</v>
      </c>
      <c r="U6481" s="4" t="str">
        <f>IFERROR(__xludf.DUMMYFUNCTION("""COMPUTED_VALUE"""),"Cervantes Tecnologia")</f>
        <v>Cervantes Tecnologia</v>
      </c>
      <c r="V6481" s="33">
        <f>IFERROR(__xludf.DUMMYFUNCTION("""COMPUTED_VALUE"""),0.5)</f>
        <v>0.5</v>
      </c>
      <c r="W6481" s="4" t="str">
        <f>IFERROR(__xludf.DUMMYFUNCTION("""COMPUTED_VALUE"""),"Cervantes Tecnologia")</f>
        <v>Cervantes Tecnologia</v>
      </c>
      <c r="X6481" s="33">
        <f>IFERROR(__xludf.DUMMYFUNCTION("""COMPUTED_VALUE"""),0.5)</f>
        <v>0.5</v>
      </c>
    </row>
    <row r="6482">
      <c r="K6482" s="4" t="str">
        <f>IFERROR(__xludf.DUMMYFUNCTION("""COMPUTED_VALUE"""),"COMIDA NA CAIXA")</f>
        <v>COMIDA NA CAIXA</v>
      </c>
      <c r="L6482" s="32">
        <f>IFERROR(__xludf.DUMMYFUNCTION("""COMPUTED_VALUE"""),2.0)</f>
        <v>2</v>
      </c>
      <c r="M6482" s="4" t="str">
        <f>IFERROR(__xludf.DUMMYFUNCTION("""COMPUTED_VALUE"""),"Anota Ai Solucoes Digitais S/a")</f>
        <v>Anota Ai Solucoes Digitais S/a</v>
      </c>
      <c r="N6482" s="33">
        <f>IFERROR(__xludf.DUMMYFUNCTION("""COMPUTED_VALUE"""),0.5)</f>
        <v>0.5</v>
      </c>
      <c r="O6482" s="4" t="str">
        <f>IFERROR(__xludf.DUMMYFUNCTION("""COMPUTED_VALUE"""),"Anota Ai Solucoes Digitais S/a")</f>
        <v>Anota Ai Solucoes Digitais S/a</v>
      </c>
      <c r="P6482" s="33">
        <f>IFERROR(__xludf.DUMMYFUNCTION("""COMPUTED_VALUE"""),0.5)</f>
        <v>0.5</v>
      </c>
      <c r="Q6482" s="4" t="str">
        <f>IFERROR(__xludf.DUMMYFUNCTION("""COMPUTED_VALUE"""),"Instadelivery")</f>
        <v>Instadelivery</v>
      </c>
      <c r="R6482" s="33">
        <f>IFERROR(__xludf.DUMMYFUNCTION("""COMPUTED_VALUE"""),0.5)</f>
        <v>0.5</v>
      </c>
      <c r="S6482" s="4" t="str">
        <f>IFERROR(__xludf.DUMMYFUNCTION("""COMPUTED_VALUE"""),"Instadelivery")</f>
        <v>Instadelivery</v>
      </c>
      <c r="T6482" s="33">
        <f>IFERROR(__xludf.DUMMYFUNCTION("""COMPUTED_VALUE"""),0.5)</f>
        <v>0.5</v>
      </c>
      <c r="U6482" s="4" t="str">
        <f>IFERROR(__xludf.DUMMYFUNCTION("""COMPUTED_VALUE"""),"Instadelivery")</f>
        <v>Instadelivery</v>
      </c>
      <c r="V6482" s="33">
        <f>IFERROR(__xludf.DUMMYFUNCTION("""COMPUTED_VALUE"""),0.5)</f>
        <v>0.5</v>
      </c>
      <c r="W6482" s="4" t="str">
        <f>IFERROR(__xludf.DUMMYFUNCTION("""COMPUTED_VALUE"""),"Instadelivery")</f>
        <v>Instadelivery</v>
      </c>
      <c r="X6482" s="33">
        <f>IFERROR(__xludf.DUMMYFUNCTION("""COMPUTED_VALUE"""),0.5)</f>
        <v>0.5</v>
      </c>
    </row>
    <row r="6483">
      <c r="K6483" s="4" t="str">
        <f>IFERROR(__xludf.DUMMYFUNCTION("""COMPUTED_VALUE"""),"MUNDO PET")</f>
        <v>MUNDO PET</v>
      </c>
      <c r="L6483" s="32">
        <f>IFERROR(__xludf.DUMMYFUNCTION("""COMPUTED_VALUE"""),2.0)</f>
        <v>2</v>
      </c>
      <c r="M6483" s="4" t="str">
        <f>IFERROR(__xludf.DUMMYFUNCTION("""COMPUTED_VALUE"""),"null")</f>
        <v>null</v>
      </c>
      <c r="N6483" s="33">
        <f>IFERROR(__xludf.DUMMYFUNCTION("""COMPUTED_VALUE"""),0.5)</f>
        <v>0.5</v>
      </c>
      <c r="O6483" s="4" t="str">
        <f>IFERROR(__xludf.DUMMYFUNCTION("""COMPUTED_VALUE"""),"null")</f>
        <v>null</v>
      </c>
      <c r="P6483" s="33">
        <f>IFERROR(__xludf.DUMMYFUNCTION("""COMPUTED_VALUE"""),0.5)</f>
        <v>0.5</v>
      </c>
      <c r="Q6483" s="4" t="str">
        <f>IFERROR(__xludf.DUMMYFUNCTION("""COMPUTED_VALUE"""),"N/A (Not found)")</f>
        <v>N/A (Not found)</v>
      </c>
      <c r="R6483" s="33">
        <f>IFERROR(__xludf.DUMMYFUNCTION("""COMPUTED_VALUE"""),1.0)</f>
        <v>1</v>
      </c>
      <c r="S6483" s="4" t="str">
        <f>IFERROR(__xludf.DUMMYFUNCTION("""COMPUTED_VALUE"""),"null")</f>
        <v>null</v>
      </c>
      <c r="T6483" s="33">
        <f>IFERROR(__xludf.DUMMYFUNCTION("""COMPUTED_VALUE"""),0.5)</f>
        <v>0.5</v>
      </c>
      <c r="U6483" s="4" t="str">
        <f>IFERROR(__xludf.DUMMYFUNCTION("""COMPUTED_VALUE"""),"N/A (Not found)")</f>
        <v>N/A (Not found)</v>
      </c>
      <c r="V6483" s="33">
        <f>IFERROR(__xludf.DUMMYFUNCTION("""COMPUTED_VALUE"""),0.5)</f>
        <v>0.5</v>
      </c>
      <c r="W6483" s="4" t="str">
        <f>IFERROR(__xludf.DUMMYFUNCTION("""COMPUTED_VALUE"""),"N/A (Not found)")</f>
        <v>N/A (Not found)</v>
      </c>
      <c r="X6483" s="33">
        <f>IFERROR(__xludf.DUMMYFUNCTION("""COMPUTED_VALUE"""),0.5)</f>
        <v>0.5</v>
      </c>
    </row>
    <row r="6484">
      <c r="K6484" s="4" t="str">
        <f>IFERROR(__xludf.DUMMYFUNCTION("""COMPUTED_VALUE"""),"PIZZARIA RAIZ")</f>
        <v>PIZZARIA RAIZ</v>
      </c>
      <c r="L6484" s="32">
        <f>IFERROR(__xludf.DUMMYFUNCTION("""COMPUTED_VALUE"""),2.0)</f>
        <v>2</v>
      </c>
      <c r="M6484" s="4" t="str">
        <f>IFERROR(__xludf.DUMMYFUNCTION("""COMPUTED_VALUE"""),"null")</f>
        <v>null</v>
      </c>
      <c r="N6484" s="33">
        <f>IFERROR(__xludf.DUMMYFUNCTION("""COMPUTED_VALUE"""),0.5)</f>
        <v>0.5</v>
      </c>
      <c r="O6484" s="4" t="str">
        <f>IFERROR(__xludf.DUMMYFUNCTION("""COMPUTED_VALUE"""),"null")</f>
        <v>null</v>
      </c>
      <c r="P6484" s="33">
        <f>IFERROR(__xludf.DUMMYFUNCTION("""COMPUTED_VALUE"""),0.5)</f>
        <v>0.5</v>
      </c>
      <c r="Q6484" s="4" t="str">
        <f>IFERROR(__xludf.DUMMYFUNCTION("""COMPUTED_VALUE"""),"null")</f>
        <v>null</v>
      </c>
      <c r="R6484" s="33">
        <f>IFERROR(__xludf.DUMMYFUNCTION("""COMPUTED_VALUE"""),0.5)</f>
        <v>0.5</v>
      </c>
      <c r="S6484" s="4" t="str">
        <f>IFERROR(__xludf.DUMMYFUNCTION("""COMPUTED_VALUE"""),"null")</f>
        <v>null</v>
      </c>
      <c r="T6484" s="33">
        <f>IFERROR(__xludf.DUMMYFUNCTION("""COMPUTED_VALUE"""),0.5)</f>
        <v>0.5</v>
      </c>
      <c r="U6484" s="4" t="str">
        <f>IFERROR(__xludf.DUMMYFUNCTION("""COMPUTED_VALUE"""),"null")</f>
        <v>null</v>
      </c>
      <c r="V6484" s="33">
        <f>IFERROR(__xludf.DUMMYFUNCTION("""COMPUTED_VALUE"""),0.5)</f>
        <v>0.5</v>
      </c>
      <c r="W6484" s="4" t="str">
        <f>IFERROR(__xludf.DUMMYFUNCTION("""COMPUTED_VALUE"""),"Saipos Serviços De Software")</f>
        <v>Saipos Serviços De Software</v>
      </c>
      <c r="X6484" s="33">
        <f>IFERROR(__xludf.DUMMYFUNCTION("""COMPUTED_VALUE"""),1.0)</f>
        <v>1</v>
      </c>
    </row>
    <row r="6485">
      <c r="K6485" s="4" t="str">
        <f>IFERROR(__xludf.DUMMYFUNCTION("""COMPUTED_VALUE"""),"IVO BURGUER")</f>
        <v>IVO BURGUER</v>
      </c>
      <c r="L6485" s="32">
        <f>IFERROR(__xludf.DUMMYFUNCTION("""COMPUTED_VALUE"""),2.0)</f>
        <v>2</v>
      </c>
      <c r="M6485" s="4" t="str">
        <f>IFERROR(__xludf.DUMMYFUNCTION("""COMPUTED_VALUE"""),"Softsa Sistemas De Informação Ltda")</f>
        <v>Softsa Sistemas De Informação Ltda</v>
      </c>
      <c r="N6485" s="33">
        <f>IFERROR(__xludf.DUMMYFUNCTION("""COMPUTED_VALUE"""),1.0)</f>
        <v>1</v>
      </c>
      <c r="O6485" s="4" t="str">
        <f>IFERROR(__xludf.DUMMYFUNCTION("""COMPUTED_VALUE"""),"Softsa Sistemas De Informação Ltda")</f>
        <v>Softsa Sistemas De Informação Ltda</v>
      </c>
      <c r="P6485" s="33">
        <f>IFERROR(__xludf.DUMMYFUNCTION("""COMPUTED_VALUE"""),1.0)</f>
        <v>1</v>
      </c>
      <c r="Q6485" s="4" t="str">
        <f>IFERROR(__xludf.DUMMYFUNCTION("""COMPUTED_VALUE"""),"Softsa Sistemas De Informação Ltda")</f>
        <v>Softsa Sistemas De Informação Ltda</v>
      </c>
      <c r="R6485" s="33">
        <f>IFERROR(__xludf.DUMMYFUNCTION("""COMPUTED_VALUE"""),1.0)</f>
        <v>1</v>
      </c>
      <c r="S6485" s="4" t="str">
        <f>IFERROR(__xludf.DUMMYFUNCTION("""COMPUTED_VALUE"""),"Softsa Sistemas De Informação Ltda")</f>
        <v>Softsa Sistemas De Informação Ltda</v>
      </c>
      <c r="T6485" s="33">
        <f>IFERROR(__xludf.DUMMYFUNCTION("""COMPUTED_VALUE"""),1.0)</f>
        <v>1</v>
      </c>
      <c r="U6485" s="4" t="str">
        <f>IFERROR(__xludf.DUMMYFUNCTION("""COMPUTED_VALUE"""),"Softsa Sistemas De Informação Ltda")</f>
        <v>Softsa Sistemas De Informação Ltda</v>
      </c>
      <c r="V6485" s="33">
        <f>IFERROR(__xludf.DUMMYFUNCTION("""COMPUTED_VALUE"""),0.5)</f>
        <v>0.5</v>
      </c>
      <c r="W6485" s="4" t="str">
        <f>IFERROR(__xludf.DUMMYFUNCTION("""COMPUTED_VALUE"""),"Softsa Sistemas De Informação Ltda")</f>
        <v>Softsa Sistemas De Informação Ltda</v>
      </c>
      <c r="X6485" s="33">
        <f>IFERROR(__xludf.DUMMYFUNCTION("""COMPUTED_VALUE"""),1.0)</f>
        <v>1</v>
      </c>
    </row>
    <row r="6486">
      <c r="K6486" s="4" t="str">
        <f>IFERROR(__xludf.DUMMYFUNCTION("""COMPUTED_VALUE"""),"ROYAL BURGUER LINS")</f>
        <v>ROYAL BURGUER LINS</v>
      </c>
      <c r="L6486" s="32">
        <f>IFERROR(__xludf.DUMMYFUNCTION("""COMPUTED_VALUE"""),2.0)</f>
        <v>2</v>
      </c>
      <c r="M6486" s="4" t="str">
        <f>IFERROR(__xludf.DUMMYFUNCTION("""COMPUTED_VALUE"""),"M-du Tecnologia")</f>
        <v>M-du Tecnologia</v>
      </c>
      <c r="N6486" s="33">
        <f>IFERROR(__xludf.DUMMYFUNCTION("""COMPUTED_VALUE"""),0.5)</f>
        <v>0.5</v>
      </c>
      <c r="O6486" s="4" t="str">
        <f>IFERROR(__xludf.DUMMYFUNCTION("""COMPUTED_VALUE"""),"null")</f>
        <v>null</v>
      </c>
      <c r="P6486" s="33">
        <f>IFERROR(__xludf.DUMMYFUNCTION("""COMPUTED_VALUE"""),1.0)</f>
        <v>1</v>
      </c>
      <c r="Q6486" s="4" t="str">
        <f>IFERROR(__xludf.DUMMYFUNCTION("""COMPUTED_VALUE"""),"null")</f>
        <v>null</v>
      </c>
      <c r="R6486" s="33">
        <f>IFERROR(__xludf.DUMMYFUNCTION("""COMPUTED_VALUE"""),0.5)</f>
        <v>0.5</v>
      </c>
      <c r="S6486" s="4" t="str">
        <f>IFERROR(__xludf.DUMMYFUNCTION("""COMPUTED_VALUE"""),"null")</f>
        <v>null</v>
      </c>
      <c r="T6486" s="33">
        <f>IFERROR(__xludf.DUMMYFUNCTION("""COMPUTED_VALUE"""),0.5)</f>
        <v>0.5</v>
      </c>
      <c r="U6486" s="4" t="str">
        <f>IFERROR(__xludf.DUMMYFUNCTION("""COMPUTED_VALUE"""),"null")</f>
        <v>null</v>
      </c>
      <c r="V6486" s="33">
        <f>IFERROR(__xludf.DUMMYFUNCTION("""COMPUTED_VALUE"""),0.5)</f>
        <v>0.5</v>
      </c>
      <c r="W6486" s="4" t="str">
        <f>IFERROR(__xludf.DUMMYFUNCTION("""COMPUTED_VALUE"""),"null")</f>
        <v>null</v>
      </c>
      <c r="X6486" s="33">
        <f>IFERROR(__xludf.DUMMYFUNCTION("""COMPUTED_VALUE"""),0.5)</f>
        <v>0.5</v>
      </c>
    </row>
    <row r="6487">
      <c r="K6487" s="4" t="str">
        <f>IFERROR(__xludf.DUMMYFUNCTION("""COMPUTED_VALUE"""),"BORA DE X-SALADA - COMBOS TAXA GRATIS")</f>
        <v>BORA DE X-SALADA - COMBOS TAXA GRATIS</v>
      </c>
      <c r="L6487" s="32">
        <f>IFERROR(__xludf.DUMMYFUNCTION("""COMPUTED_VALUE"""),2.0)</f>
        <v>2</v>
      </c>
      <c r="M6487" s="4" t="str">
        <f>IFERROR(__xludf.DUMMYFUNCTION("""COMPUTED_VALUE"""),"Saipos Serviços De Software")</f>
        <v>Saipos Serviços De Software</v>
      </c>
      <c r="N6487" s="33">
        <f>IFERROR(__xludf.DUMMYFUNCTION("""COMPUTED_VALUE"""),1.0)</f>
        <v>1</v>
      </c>
      <c r="O6487" s="4" t="str">
        <f>IFERROR(__xludf.DUMMYFUNCTION("""COMPUTED_VALUE"""),"null")</f>
        <v>null</v>
      </c>
      <c r="P6487" s="33">
        <f>IFERROR(__xludf.DUMMYFUNCTION("""COMPUTED_VALUE"""),0.5)</f>
        <v>0.5</v>
      </c>
      <c r="Q6487" s="4" t="str">
        <f>IFERROR(__xludf.DUMMYFUNCTION("""COMPUTED_VALUE"""),"null")</f>
        <v>null</v>
      </c>
      <c r="R6487" s="33">
        <f>IFERROR(__xludf.DUMMYFUNCTION("""COMPUTED_VALUE"""),0.5)</f>
        <v>0.5</v>
      </c>
      <c r="S6487" s="4" t="str">
        <f>IFERROR(__xludf.DUMMYFUNCTION("""COMPUTED_VALUE"""),"null")</f>
        <v>null</v>
      </c>
      <c r="T6487" s="33">
        <f>IFERROR(__xludf.DUMMYFUNCTION("""COMPUTED_VALUE"""),0.5)</f>
        <v>0.5</v>
      </c>
      <c r="U6487" s="4" t="str">
        <f>IFERROR(__xludf.DUMMYFUNCTION("""COMPUTED_VALUE"""),"null")</f>
        <v>null</v>
      </c>
      <c r="V6487" s="33">
        <f>IFERROR(__xludf.DUMMYFUNCTION("""COMPUTED_VALUE"""),0.5)</f>
        <v>0.5</v>
      </c>
      <c r="W6487" s="4" t="str">
        <f>IFERROR(__xludf.DUMMYFUNCTION("""COMPUTED_VALUE"""),"null")</f>
        <v>null</v>
      </c>
      <c r="X6487" s="33">
        <f>IFERROR(__xludf.DUMMYFUNCTION("""COMPUTED_VALUE"""),0.5)</f>
        <v>0.5</v>
      </c>
    </row>
    <row r="6488">
      <c r="K6488" s="4" t="str">
        <f>IFERROR(__xludf.DUMMYFUNCTION("""COMPUTED_VALUE"""),"TABERNA BURGER HOUSE")</f>
        <v>TABERNA BURGER HOUSE</v>
      </c>
      <c r="L6488" s="32">
        <f>IFERROR(__xludf.DUMMYFUNCTION("""COMPUTED_VALUE"""),2.0)</f>
        <v>2</v>
      </c>
      <c r="M6488" s="4" t="str">
        <f>IFERROR(__xludf.DUMMYFUNCTION("""COMPUTED_VALUE"""),"Yooga")</f>
        <v>Yooga</v>
      </c>
      <c r="N6488" s="33">
        <f>IFERROR(__xludf.DUMMYFUNCTION("""COMPUTED_VALUE"""),0.5)</f>
        <v>0.5</v>
      </c>
      <c r="O6488" s="4" t="str">
        <f>IFERROR(__xludf.DUMMYFUNCTION("""COMPUTED_VALUE"""),"Yooga")</f>
        <v>Yooga</v>
      </c>
      <c r="P6488" s="33">
        <f>IFERROR(__xludf.DUMMYFUNCTION("""COMPUTED_VALUE"""),0.5)</f>
        <v>0.5</v>
      </c>
      <c r="Q6488" s="4" t="str">
        <f>IFERROR(__xludf.DUMMYFUNCTION("""COMPUTED_VALUE"""),"Yooga")</f>
        <v>Yooga</v>
      </c>
      <c r="R6488" s="33">
        <f>IFERROR(__xludf.DUMMYFUNCTION("""COMPUTED_VALUE"""),0.5)</f>
        <v>0.5</v>
      </c>
      <c r="S6488" s="4" t="str">
        <f>IFERROR(__xludf.DUMMYFUNCTION("""COMPUTED_VALUE"""),"Yooga")</f>
        <v>Yooga</v>
      </c>
      <c r="T6488" s="33">
        <f>IFERROR(__xludf.DUMMYFUNCTION("""COMPUTED_VALUE"""),1.0)</f>
        <v>1</v>
      </c>
      <c r="U6488" s="4" t="str">
        <f>IFERROR(__xludf.DUMMYFUNCTION("""COMPUTED_VALUE"""),"Yooga")</f>
        <v>Yooga</v>
      </c>
      <c r="V6488" s="33">
        <f>IFERROR(__xludf.DUMMYFUNCTION("""COMPUTED_VALUE"""),1.0)</f>
        <v>1</v>
      </c>
      <c r="W6488" s="4" t="str">
        <f>IFERROR(__xludf.DUMMYFUNCTION("""COMPUTED_VALUE"""),"Yooga")</f>
        <v>Yooga</v>
      </c>
      <c r="X6488" s="33">
        <f>IFERROR(__xludf.DUMMYFUNCTION("""COMPUTED_VALUE"""),1.0)</f>
        <v>1</v>
      </c>
    </row>
    <row r="6489">
      <c r="K6489" s="4" t="str">
        <f>IFERROR(__xludf.DUMMYFUNCTION("""COMPUTED_VALUE"""),"CHINA FOOD")</f>
        <v>CHINA FOOD</v>
      </c>
      <c r="L6489" s="32">
        <f>IFERROR(__xludf.DUMMYFUNCTION("""COMPUTED_VALUE"""),2.0)</f>
        <v>2</v>
      </c>
      <c r="M6489" s="4" t="str">
        <f>IFERROR(__xludf.DUMMYFUNCTION("""COMPUTED_VALUE"""),"Cardápio Web")</f>
        <v>Cardápio Web</v>
      </c>
      <c r="N6489" s="33">
        <f>IFERROR(__xludf.DUMMYFUNCTION("""COMPUTED_VALUE"""),0.5)</f>
        <v>0.5</v>
      </c>
      <c r="O6489" s="4" t="str">
        <f>IFERROR(__xludf.DUMMYFUNCTION("""COMPUTED_VALUE"""),"Cardápio Web")</f>
        <v>Cardápio Web</v>
      </c>
      <c r="P6489" s="33">
        <f>IFERROR(__xludf.DUMMYFUNCTION("""COMPUTED_VALUE"""),0.5)</f>
        <v>0.5</v>
      </c>
      <c r="Q6489" s="4" t="str">
        <f>IFERROR(__xludf.DUMMYFUNCTION("""COMPUTED_VALUE"""),"null")</f>
        <v>null</v>
      </c>
      <c r="R6489" s="33">
        <f>IFERROR(__xludf.DUMMYFUNCTION("""COMPUTED_VALUE"""),0.5)</f>
        <v>0.5</v>
      </c>
      <c r="S6489" s="4" t="str">
        <f>IFERROR(__xludf.DUMMYFUNCTION("""COMPUTED_VALUE"""),"null")</f>
        <v>null</v>
      </c>
      <c r="T6489" s="33">
        <f>IFERROR(__xludf.DUMMYFUNCTION("""COMPUTED_VALUE"""),0.5)</f>
        <v>0.5</v>
      </c>
      <c r="U6489" s="4" t="str">
        <f>IFERROR(__xludf.DUMMYFUNCTION("""COMPUTED_VALUE"""),"null")</f>
        <v>null</v>
      </c>
      <c r="V6489" s="33">
        <f>IFERROR(__xludf.DUMMYFUNCTION("""COMPUTED_VALUE"""),0.5)</f>
        <v>0.5</v>
      </c>
      <c r="W6489" s="4" t="str">
        <f>IFERROR(__xludf.DUMMYFUNCTION("""COMPUTED_VALUE"""),"null")</f>
        <v>null</v>
      </c>
      <c r="X6489" s="33">
        <f>IFERROR(__xludf.DUMMYFUNCTION("""COMPUTED_VALUE"""),0.5)</f>
        <v>0.5</v>
      </c>
    </row>
    <row r="6490">
      <c r="K6490" s="4" t="str">
        <f>IFERROR(__xludf.DUMMYFUNCTION("""COMPUTED_VALUE"""),"IMPERIO BURGUER E HOT DOG")</f>
        <v>IMPERIO BURGUER E HOT DOG</v>
      </c>
      <c r="L6490" s="32">
        <f>IFERROR(__xludf.DUMMYFUNCTION("""COMPUTED_VALUE"""),2.0)</f>
        <v>2</v>
      </c>
      <c r="M6490" s="4" t="str">
        <f>IFERROR(__xludf.DUMMYFUNCTION("""COMPUTED_VALUE"""),"Brendi")</f>
        <v>Brendi</v>
      </c>
      <c r="N6490" s="33">
        <f>IFERROR(__xludf.DUMMYFUNCTION("""COMPUTED_VALUE"""),0.5)</f>
        <v>0.5</v>
      </c>
      <c r="O6490" s="4" t="str">
        <f>IFERROR(__xludf.DUMMYFUNCTION("""COMPUTED_VALUE"""),"Brendi")</f>
        <v>Brendi</v>
      </c>
      <c r="P6490" s="33">
        <f>IFERROR(__xludf.DUMMYFUNCTION("""COMPUTED_VALUE"""),0.5)</f>
        <v>0.5</v>
      </c>
      <c r="Q6490" s="4" t="str">
        <f>IFERROR(__xludf.DUMMYFUNCTION("""COMPUTED_VALUE"""),"Brendi")</f>
        <v>Brendi</v>
      </c>
      <c r="R6490" s="33">
        <f>IFERROR(__xludf.DUMMYFUNCTION("""COMPUTED_VALUE"""),0.5)</f>
        <v>0.5</v>
      </c>
      <c r="S6490" s="4" t="str">
        <f>IFERROR(__xludf.DUMMYFUNCTION("""COMPUTED_VALUE"""),"Brendi")</f>
        <v>Brendi</v>
      </c>
      <c r="T6490" s="33">
        <f>IFERROR(__xludf.DUMMYFUNCTION("""COMPUTED_VALUE"""),0.5)</f>
        <v>0.5</v>
      </c>
      <c r="U6490" s="4" t="str">
        <f>IFERROR(__xludf.DUMMYFUNCTION("""COMPUTED_VALUE"""),"Brendi")</f>
        <v>Brendi</v>
      </c>
      <c r="V6490" s="33">
        <f>IFERROR(__xludf.DUMMYFUNCTION("""COMPUTED_VALUE"""),0.5)</f>
        <v>0.5</v>
      </c>
      <c r="W6490" s="4" t="str">
        <f>IFERROR(__xludf.DUMMYFUNCTION("""COMPUTED_VALUE"""),"Brendi")</f>
        <v>Brendi</v>
      </c>
      <c r="X6490" s="33">
        <f>IFERROR(__xludf.DUMMYFUNCTION("""COMPUTED_VALUE"""),0.5)</f>
        <v>0.5</v>
      </c>
    </row>
    <row r="6491">
      <c r="K6491" s="4" t="str">
        <f>IFERROR(__xludf.DUMMYFUNCTION("""COMPUTED_VALUE"""),"RC DISTRIBUIDORA")</f>
        <v>RC DISTRIBUIDORA</v>
      </c>
      <c r="L6491" s="32">
        <f>IFERROR(__xludf.DUMMYFUNCTION("""COMPUTED_VALUE"""),2.0)</f>
        <v>2</v>
      </c>
      <c r="M6491" s="4" t="str">
        <f>IFERROR(__xludf.DUMMYFUNCTION("""COMPUTED_VALUE"""),"Yooga")</f>
        <v>Yooga</v>
      </c>
      <c r="N6491" s="33">
        <f>IFERROR(__xludf.DUMMYFUNCTION("""COMPUTED_VALUE"""),0.5)</f>
        <v>0.5</v>
      </c>
      <c r="O6491" s="4" t="str">
        <f>IFERROR(__xludf.DUMMYFUNCTION("""COMPUTED_VALUE"""),"Yooga")</f>
        <v>Yooga</v>
      </c>
      <c r="P6491" s="33">
        <f>IFERROR(__xludf.DUMMYFUNCTION("""COMPUTED_VALUE"""),0.5)</f>
        <v>0.5</v>
      </c>
      <c r="Q6491" s="4" t="str">
        <f>IFERROR(__xludf.DUMMYFUNCTION("""COMPUTED_VALUE"""),"Yooga")</f>
        <v>Yooga</v>
      </c>
      <c r="R6491" s="33">
        <f>IFERROR(__xludf.DUMMYFUNCTION("""COMPUTED_VALUE"""),0.5)</f>
        <v>0.5</v>
      </c>
      <c r="S6491" s="4" t="str">
        <f>IFERROR(__xludf.DUMMYFUNCTION("""COMPUTED_VALUE"""),"Yooga")</f>
        <v>Yooga</v>
      </c>
      <c r="T6491" s="33">
        <f>IFERROR(__xludf.DUMMYFUNCTION("""COMPUTED_VALUE"""),0.5)</f>
        <v>0.5</v>
      </c>
      <c r="U6491" s="4" t="str">
        <f>IFERROR(__xludf.DUMMYFUNCTION("""COMPUTED_VALUE"""),"Yooga")</f>
        <v>Yooga</v>
      </c>
      <c r="V6491" s="33">
        <f>IFERROR(__xludf.DUMMYFUNCTION("""COMPUTED_VALUE"""),0.5)</f>
        <v>0.5</v>
      </c>
      <c r="W6491" s="4" t="str">
        <f>IFERROR(__xludf.DUMMYFUNCTION("""COMPUTED_VALUE"""),"Yooga")</f>
        <v>Yooga</v>
      </c>
      <c r="X6491" s="33">
        <f>IFERROR(__xludf.DUMMYFUNCTION("""COMPUTED_VALUE"""),0.5)</f>
        <v>0.5</v>
      </c>
    </row>
    <row r="6492">
      <c r="K6492" s="4" t="str">
        <f>IFERROR(__xludf.DUMMYFUNCTION("""COMPUTED_VALUE"""),"HOT DOG DO LUKAO")</f>
        <v>HOT DOG DO LUKAO</v>
      </c>
      <c r="L6492" s="32">
        <f>IFERROR(__xludf.DUMMYFUNCTION("""COMPUTED_VALUE"""),2.0)</f>
        <v>2</v>
      </c>
      <c r="M6492" s="4" t="str">
        <f>IFERROR(__xludf.DUMMYFUNCTION("""COMPUTED_VALUE"""),"Anota Ai Solucoes Digitais S/a")</f>
        <v>Anota Ai Solucoes Digitais S/a</v>
      </c>
      <c r="N6492" s="33">
        <f>IFERROR(__xludf.DUMMYFUNCTION("""COMPUTED_VALUE"""),1.0)</f>
        <v>1</v>
      </c>
      <c r="O6492" s="4" t="str">
        <f>IFERROR(__xludf.DUMMYFUNCTION("""COMPUTED_VALUE"""),"Anota Ai Solucoes Digitais S/a")</f>
        <v>Anota Ai Solucoes Digitais S/a</v>
      </c>
      <c r="P6492" s="33">
        <f>IFERROR(__xludf.DUMMYFUNCTION("""COMPUTED_VALUE"""),1.0)</f>
        <v>1</v>
      </c>
      <c r="Q6492" s="4" t="str">
        <f>IFERROR(__xludf.DUMMYFUNCTION("""COMPUTED_VALUE"""),"Anota Ai Solucoes Digitais S/a")</f>
        <v>Anota Ai Solucoes Digitais S/a</v>
      </c>
      <c r="R6492" s="33">
        <f>IFERROR(__xludf.DUMMYFUNCTION("""COMPUTED_VALUE"""),1.0)</f>
        <v>1</v>
      </c>
      <c r="S6492" s="4" t="str">
        <f>IFERROR(__xludf.DUMMYFUNCTION("""COMPUTED_VALUE"""),"null")</f>
        <v>null</v>
      </c>
      <c r="T6492" s="33">
        <f>IFERROR(__xludf.DUMMYFUNCTION("""COMPUTED_VALUE"""),1.0)</f>
        <v>1</v>
      </c>
      <c r="U6492" s="4" t="str">
        <f>IFERROR(__xludf.DUMMYFUNCTION("""COMPUTED_VALUE"""),"null")</f>
        <v>null</v>
      </c>
      <c r="V6492" s="33">
        <f>IFERROR(__xludf.DUMMYFUNCTION("""COMPUTED_VALUE"""),1.0)</f>
        <v>1</v>
      </c>
      <c r="W6492" s="4" t="str">
        <f>IFERROR(__xludf.DUMMYFUNCTION("""COMPUTED_VALUE"""),"null")</f>
        <v>null</v>
      </c>
      <c r="X6492" s="33">
        <f>IFERROR(__xludf.DUMMYFUNCTION("""COMPUTED_VALUE"""),1.0)</f>
        <v>1</v>
      </c>
    </row>
    <row r="6493">
      <c r="K6493" s="4" t="str">
        <f>IFERROR(__xludf.DUMMYFUNCTION("""COMPUTED_VALUE"""),"CANTINHO DA MASSA")</f>
        <v>CANTINHO DA MASSA</v>
      </c>
      <c r="L6493" s="32">
        <f>IFERROR(__xludf.DUMMYFUNCTION("""COMPUTED_VALUE"""),2.0)</f>
        <v>2</v>
      </c>
      <c r="M6493" s="4" t="str">
        <f>IFERROR(__xludf.DUMMYFUNCTION("""COMPUTED_VALUE"""),"null")</f>
        <v>null</v>
      </c>
      <c r="N6493" s="33">
        <f>IFERROR(__xludf.DUMMYFUNCTION("""COMPUTED_VALUE"""),0.5)</f>
        <v>0.5</v>
      </c>
      <c r="O6493" s="4" t="str">
        <f>IFERROR(__xludf.DUMMYFUNCTION("""COMPUTED_VALUE"""),"null")</f>
        <v>null</v>
      </c>
      <c r="P6493" s="33">
        <f>IFERROR(__xludf.DUMMYFUNCTION("""COMPUTED_VALUE"""),0.5)</f>
        <v>0.5</v>
      </c>
      <c r="Q6493" s="4" t="str">
        <f>IFERROR(__xludf.DUMMYFUNCTION("""COMPUTED_VALUE"""),"null")</f>
        <v>null</v>
      </c>
      <c r="R6493" s="33">
        <f>IFERROR(__xludf.DUMMYFUNCTION("""COMPUTED_VALUE"""),0.5)</f>
        <v>0.5</v>
      </c>
      <c r="S6493" s="4" t="str">
        <f>IFERROR(__xludf.DUMMYFUNCTION("""COMPUTED_VALUE"""),"Saipos Serviços De Software")</f>
        <v>Saipos Serviços De Software</v>
      </c>
      <c r="T6493" s="33">
        <f>IFERROR(__xludf.DUMMYFUNCTION("""COMPUTED_VALUE"""),0.5)</f>
        <v>0.5</v>
      </c>
      <c r="U6493" s="4" t="str">
        <f>IFERROR(__xludf.DUMMYFUNCTION("""COMPUTED_VALUE"""),"Saipos Serviços De Software")</f>
        <v>Saipos Serviços De Software</v>
      </c>
      <c r="V6493" s="33">
        <f>IFERROR(__xludf.DUMMYFUNCTION("""COMPUTED_VALUE"""),0.5)</f>
        <v>0.5</v>
      </c>
      <c r="W6493" s="4" t="str">
        <f>IFERROR(__xludf.DUMMYFUNCTION("""COMPUTED_VALUE"""),"Saipos Serviços De Software")</f>
        <v>Saipos Serviços De Software</v>
      </c>
      <c r="X6493" s="33">
        <f>IFERROR(__xludf.DUMMYFUNCTION("""COMPUTED_VALUE"""),0.5)</f>
        <v>0.5</v>
      </c>
    </row>
    <row r="6494">
      <c r="K6494" s="4" t="str">
        <f>IFERROR(__xludf.DUMMYFUNCTION("""COMPUTED_VALUE"""),"ART BURGER")</f>
        <v>ART BURGER</v>
      </c>
      <c r="L6494" s="32">
        <f>IFERROR(__xludf.DUMMYFUNCTION("""COMPUTED_VALUE"""),2.0)</f>
        <v>2</v>
      </c>
      <c r="M6494" s="4" t="str">
        <f>IFERROR(__xludf.DUMMYFUNCTION("""COMPUTED_VALUE"""),"M-du Tecnologia")</f>
        <v>M-du Tecnologia</v>
      </c>
      <c r="N6494" s="33">
        <f>IFERROR(__xludf.DUMMYFUNCTION("""COMPUTED_VALUE"""),0.5)</f>
        <v>0.5</v>
      </c>
      <c r="O6494" s="4" t="str">
        <f>IFERROR(__xludf.DUMMYFUNCTION("""COMPUTED_VALUE"""),"null")</f>
        <v>null</v>
      </c>
      <c r="P6494" s="33">
        <f>IFERROR(__xludf.DUMMYFUNCTION("""COMPUTED_VALUE"""),1.0)</f>
        <v>1</v>
      </c>
      <c r="Q6494" s="4" t="str">
        <f>IFERROR(__xludf.DUMMYFUNCTION("""COMPUTED_VALUE"""),"null")</f>
        <v>null</v>
      </c>
      <c r="R6494" s="33">
        <f>IFERROR(__xludf.DUMMYFUNCTION("""COMPUTED_VALUE"""),1.0)</f>
        <v>1</v>
      </c>
      <c r="S6494" s="4" t="str">
        <f>IFERROR(__xludf.DUMMYFUNCTION("""COMPUTED_VALUE"""),"null")</f>
        <v>null</v>
      </c>
      <c r="T6494" s="33">
        <f>IFERROR(__xludf.DUMMYFUNCTION("""COMPUTED_VALUE"""),1.0)</f>
        <v>1</v>
      </c>
      <c r="U6494" s="4" t="str">
        <f>IFERROR(__xludf.DUMMYFUNCTION("""COMPUTED_VALUE"""),"M-du Tecnologia")</f>
        <v>M-du Tecnologia</v>
      </c>
      <c r="V6494" s="33">
        <f>IFERROR(__xludf.DUMMYFUNCTION("""COMPUTED_VALUE"""),0.5)</f>
        <v>0.5</v>
      </c>
      <c r="W6494" s="4" t="str">
        <f>IFERROR(__xludf.DUMMYFUNCTION("""COMPUTED_VALUE"""),"null")</f>
        <v>null</v>
      </c>
      <c r="X6494" s="33">
        <f>IFERROR(__xludf.DUMMYFUNCTION("""COMPUTED_VALUE"""),0.5)</f>
        <v>0.5</v>
      </c>
    </row>
    <row r="6495">
      <c r="K6495" s="4" t="str">
        <f>IFERROR(__xludf.DUMMYFUNCTION("""COMPUTED_VALUE"""),"DAMANA SABORES AUTENTICOS")</f>
        <v>DAMANA SABORES AUTENTICOS</v>
      </c>
      <c r="L6495" s="32">
        <f>IFERROR(__xludf.DUMMYFUNCTION("""COMPUTED_VALUE"""),2.0)</f>
        <v>2</v>
      </c>
      <c r="M6495" s="4" t="str">
        <f>IFERROR(__xludf.DUMMYFUNCTION("""COMPUTED_VALUE"""),"Saipos Serviços De Software")</f>
        <v>Saipos Serviços De Software</v>
      </c>
      <c r="N6495" s="33">
        <f>IFERROR(__xludf.DUMMYFUNCTION("""COMPUTED_VALUE"""),0.5)</f>
        <v>0.5</v>
      </c>
      <c r="O6495" s="4" t="str">
        <f>IFERROR(__xludf.DUMMYFUNCTION("""COMPUTED_VALUE"""),"null")</f>
        <v>null</v>
      </c>
      <c r="P6495" s="33">
        <f>IFERROR(__xludf.DUMMYFUNCTION("""COMPUTED_VALUE"""),1.0)</f>
        <v>1</v>
      </c>
      <c r="Q6495" s="4" t="str">
        <f>IFERROR(__xludf.DUMMYFUNCTION("""COMPUTED_VALUE"""),"Saipos Serviços De Software")</f>
        <v>Saipos Serviços De Software</v>
      </c>
      <c r="R6495" s="33">
        <f>IFERROR(__xludf.DUMMYFUNCTION("""COMPUTED_VALUE"""),0.5)</f>
        <v>0.5</v>
      </c>
      <c r="S6495" s="4" t="str">
        <f>IFERROR(__xludf.DUMMYFUNCTION("""COMPUTED_VALUE"""),"Saipos Serviços De Software")</f>
        <v>Saipos Serviços De Software</v>
      </c>
      <c r="T6495" s="33">
        <f>IFERROR(__xludf.DUMMYFUNCTION("""COMPUTED_VALUE"""),0.5)</f>
        <v>0.5</v>
      </c>
      <c r="U6495" s="4" t="str">
        <f>IFERROR(__xludf.DUMMYFUNCTION("""COMPUTED_VALUE"""),"Saipos Serviços De Software")</f>
        <v>Saipos Serviços De Software</v>
      </c>
      <c r="V6495" s="33">
        <f>IFERROR(__xludf.DUMMYFUNCTION("""COMPUTED_VALUE"""),1.0)</f>
        <v>1</v>
      </c>
      <c r="W6495" s="4" t="str">
        <f>IFERROR(__xludf.DUMMYFUNCTION("""COMPUTED_VALUE"""),"null")</f>
        <v>null</v>
      </c>
      <c r="X6495" s="33">
        <f>IFERROR(__xludf.DUMMYFUNCTION("""COMPUTED_VALUE"""),0.5)</f>
        <v>0.5</v>
      </c>
    </row>
    <row r="6496">
      <c r="K6496" s="4" t="str">
        <f>IFERROR(__xludf.DUMMYFUNCTION("""COMPUTED_VALUE"""),"LARICAS LANCHES")</f>
        <v>LARICAS LANCHES</v>
      </c>
      <c r="L6496" s="32">
        <f>IFERROR(__xludf.DUMMYFUNCTION("""COMPUTED_VALUE"""),2.0)</f>
        <v>2</v>
      </c>
      <c r="M6496" s="4" t="str">
        <f>IFERROR(__xludf.DUMMYFUNCTION("""COMPUTED_VALUE"""),"Anota Ai Solucoes Digitais S/a")</f>
        <v>Anota Ai Solucoes Digitais S/a</v>
      </c>
      <c r="N6496" s="33">
        <f>IFERROR(__xludf.DUMMYFUNCTION("""COMPUTED_VALUE"""),0.5)</f>
        <v>0.5</v>
      </c>
      <c r="O6496" s="4" t="str">
        <f>IFERROR(__xludf.DUMMYFUNCTION("""COMPUTED_VALUE"""),"Anota Ai Solucoes Digitais S/a")</f>
        <v>Anota Ai Solucoes Digitais S/a</v>
      </c>
      <c r="P6496" s="33">
        <f>IFERROR(__xludf.DUMMYFUNCTION("""COMPUTED_VALUE"""),0.5)</f>
        <v>0.5</v>
      </c>
      <c r="Q6496" s="4" t="str">
        <f>IFERROR(__xludf.DUMMYFUNCTION("""COMPUTED_VALUE"""),"Anota Ai Solucoes Digitais S/a")</f>
        <v>Anota Ai Solucoes Digitais S/a</v>
      </c>
      <c r="R6496" s="33">
        <f>IFERROR(__xludf.DUMMYFUNCTION("""COMPUTED_VALUE"""),0.5)</f>
        <v>0.5</v>
      </c>
      <c r="S6496" s="4" t="str">
        <f>IFERROR(__xludf.DUMMYFUNCTION("""COMPUTED_VALUE"""),"null")</f>
        <v>null</v>
      </c>
      <c r="T6496" s="33">
        <f>IFERROR(__xludf.DUMMYFUNCTION("""COMPUTED_VALUE"""),0.5)</f>
        <v>0.5</v>
      </c>
      <c r="U6496" s="4" t="str">
        <f>IFERROR(__xludf.DUMMYFUNCTION("""COMPUTED_VALUE"""),"Anota Ai Solucoes Digitais S/a")</f>
        <v>Anota Ai Solucoes Digitais S/a</v>
      </c>
      <c r="V6496" s="33">
        <f>IFERROR(__xludf.DUMMYFUNCTION("""COMPUTED_VALUE"""),0.5)</f>
        <v>0.5</v>
      </c>
      <c r="W6496" s="4" t="str">
        <f>IFERROR(__xludf.DUMMYFUNCTION("""COMPUTED_VALUE"""),"null")</f>
        <v>null</v>
      </c>
      <c r="X6496" s="33">
        <f>IFERROR(__xludf.DUMMYFUNCTION("""COMPUTED_VALUE"""),0.5)</f>
        <v>0.5</v>
      </c>
    </row>
    <row r="6497">
      <c r="K6497" s="4" t="str">
        <f>IFERROR(__xludf.DUMMYFUNCTION("""COMPUTED_VALUE"""),"BURGUER JUMP")</f>
        <v>BURGUER JUMP</v>
      </c>
      <c r="L6497" s="32">
        <f>IFERROR(__xludf.DUMMYFUNCTION("""COMPUTED_VALUE"""),2.0)</f>
        <v>2</v>
      </c>
      <c r="M6497" s="4" t="str">
        <f>IFERROR(__xludf.DUMMYFUNCTION("""COMPUTED_VALUE"""),"Beefood - Sistema Para Restaurantes")</f>
        <v>Beefood - Sistema Para Restaurantes</v>
      </c>
      <c r="N6497" s="33">
        <f>IFERROR(__xludf.DUMMYFUNCTION("""COMPUTED_VALUE"""),0.5)</f>
        <v>0.5</v>
      </c>
      <c r="O6497" s="4" t="str">
        <f>IFERROR(__xludf.DUMMYFUNCTION("""COMPUTED_VALUE"""),"Beefood - Sistema Para Restaurantes")</f>
        <v>Beefood - Sistema Para Restaurantes</v>
      </c>
      <c r="P6497" s="33">
        <f>IFERROR(__xludf.DUMMYFUNCTION("""COMPUTED_VALUE"""),0.5)</f>
        <v>0.5</v>
      </c>
      <c r="Q6497" s="4" t="str">
        <f>IFERROR(__xludf.DUMMYFUNCTION("""COMPUTED_VALUE"""),"Beefood - Sistema Para Restaurantes")</f>
        <v>Beefood - Sistema Para Restaurantes</v>
      </c>
      <c r="R6497" s="33">
        <f>IFERROR(__xludf.DUMMYFUNCTION("""COMPUTED_VALUE"""),0.5)</f>
        <v>0.5</v>
      </c>
      <c r="S6497" s="4" t="str">
        <f>IFERROR(__xludf.DUMMYFUNCTION("""COMPUTED_VALUE"""),"Beefood - Sistema Para Restaurantes")</f>
        <v>Beefood - Sistema Para Restaurantes</v>
      </c>
      <c r="T6497" s="33">
        <f>IFERROR(__xludf.DUMMYFUNCTION("""COMPUTED_VALUE"""),0.5)</f>
        <v>0.5</v>
      </c>
      <c r="U6497" s="4" t="str">
        <f>IFERROR(__xludf.DUMMYFUNCTION("""COMPUTED_VALUE"""),"Beefood - Sistema Para Restaurantes")</f>
        <v>Beefood - Sistema Para Restaurantes</v>
      </c>
      <c r="V6497" s="33">
        <f>IFERROR(__xludf.DUMMYFUNCTION("""COMPUTED_VALUE"""),0.5)</f>
        <v>0.5</v>
      </c>
      <c r="W6497" s="4" t="str">
        <f>IFERROR(__xludf.DUMMYFUNCTION("""COMPUTED_VALUE"""),"Beefood - Sistema Para Restaurantes")</f>
        <v>Beefood - Sistema Para Restaurantes</v>
      </c>
      <c r="X6497" s="33">
        <f>IFERROR(__xludf.DUMMYFUNCTION("""COMPUTED_VALUE"""),0.5)</f>
        <v>0.5</v>
      </c>
    </row>
    <row r="6498">
      <c r="K6498" s="4" t="str">
        <f>IFERROR(__xludf.DUMMYFUNCTION("""COMPUTED_VALUE"""),"SMASHS AVARE")</f>
        <v>SMASHS AVARE</v>
      </c>
      <c r="L6498" s="32">
        <f>IFERROR(__xludf.DUMMYFUNCTION("""COMPUTED_VALUE"""),2.0)</f>
        <v>2</v>
      </c>
      <c r="M6498" s="4" t="str">
        <f>IFERROR(__xludf.DUMMYFUNCTION("""COMPUTED_VALUE"""),"Menu Integrado")</f>
        <v>Menu Integrado</v>
      </c>
      <c r="N6498" s="33">
        <f>IFERROR(__xludf.DUMMYFUNCTION("""COMPUTED_VALUE"""),1.0)</f>
        <v>1</v>
      </c>
      <c r="O6498" s="4" t="str">
        <f>IFERROR(__xludf.DUMMYFUNCTION("""COMPUTED_VALUE"""),"null")</f>
        <v>null</v>
      </c>
      <c r="P6498" s="33">
        <f>IFERROR(__xludf.DUMMYFUNCTION("""COMPUTED_VALUE"""),0.5)</f>
        <v>0.5</v>
      </c>
      <c r="Q6498" s="4" t="str">
        <f>IFERROR(__xludf.DUMMYFUNCTION("""COMPUTED_VALUE"""),"Brendi")</f>
        <v>Brendi</v>
      </c>
      <c r="R6498" s="33">
        <f>IFERROR(__xludf.DUMMYFUNCTION("""COMPUTED_VALUE"""),1.0)</f>
        <v>1</v>
      </c>
      <c r="S6498" s="4" t="str">
        <f>IFERROR(__xludf.DUMMYFUNCTION("""COMPUTED_VALUE"""),"Brendi")</f>
        <v>Brendi</v>
      </c>
      <c r="T6498" s="33">
        <f>IFERROR(__xludf.DUMMYFUNCTION("""COMPUTED_VALUE"""),1.0)</f>
        <v>1</v>
      </c>
      <c r="U6498" s="4" t="str">
        <f>IFERROR(__xludf.DUMMYFUNCTION("""COMPUTED_VALUE"""),"null")</f>
        <v>null</v>
      </c>
      <c r="V6498" s="33">
        <f>IFERROR(__xludf.DUMMYFUNCTION("""COMPUTED_VALUE"""),0.5)</f>
        <v>0.5</v>
      </c>
      <c r="W6498" s="4" t="str">
        <f>IFERROR(__xludf.DUMMYFUNCTION("""COMPUTED_VALUE"""),"null")</f>
        <v>null</v>
      </c>
      <c r="X6498" s="33">
        <f>IFERROR(__xludf.DUMMYFUNCTION("""COMPUTED_VALUE"""),0.5)</f>
        <v>0.5</v>
      </c>
    </row>
    <row r="6499">
      <c r="K6499" s="4" t="str">
        <f>IFERROR(__xludf.DUMMYFUNCTION("""COMPUTED_VALUE"""),"O HEROI PIZZA E BURGUER LESTE")</f>
        <v>O HEROI PIZZA E BURGUER LESTE</v>
      </c>
      <c r="L6499" s="32">
        <f>IFERROR(__xludf.DUMMYFUNCTION("""COMPUTED_VALUE"""),2.0)</f>
        <v>2</v>
      </c>
      <c r="M6499" s="4" t="str">
        <f>IFERROR(__xludf.DUMMYFUNCTION("""COMPUTED_VALUE"""),"Consumer Soluções Em Tecnologia Ltda")</f>
        <v>Consumer Soluções Em Tecnologia Ltda</v>
      </c>
      <c r="N6499" s="33">
        <f>IFERROR(__xludf.DUMMYFUNCTION("""COMPUTED_VALUE"""),1.0)</f>
        <v>1</v>
      </c>
      <c r="O6499" s="4" t="str">
        <f>IFERROR(__xludf.DUMMYFUNCTION("""COMPUTED_VALUE"""),"null")</f>
        <v>null</v>
      </c>
      <c r="P6499" s="33">
        <f>IFERROR(__xludf.DUMMYFUNCTION("""COMPUTED_VALUE"""),0.5)</f>
        <v>0.5</v>
      </c>
      <c r="Q6499" s="4" t="str">
        <f>IFERROR(__xludf.DUMMYFUNCTION("""COMPUTED_VALUE"""),"null")</f>
        <v>null</v>
      </c>
      <c r="R6499" s="33">
        <f>IFERROR(__xludf.DUMMYFUNCTION("""COMPUTED_VALUE"""),1.0)</f>
        <v>1</v>
      </c>
      <c r="S6499" s="4" t="str">
        <f>IFERROR(__xludf.DUMMYFUNCTION("""COMPUTED_VALUE"""),"null")</f>
        <v>null</v>
      </c>
      <c r="T6499" s="33">
        <f>IFERROR(__xludf.DUMMYFUNCTION("""COMPUTED_VALUE"""),0.5)</f>
        <v>0.5</v>
      </c>
      <c r="U6499" s="4" t="str">
        <f>IFERROR(__xludf.DUMMYFUNCTION("""COMPUTED_VALUE"""),"null")</f>
        <v>null</v>
      </c>
      <c r="V6499" s="33">
        <f>IFERROR(__xludf.DUMMYFUNCTION("""COMPUTED_VALUE"""),1.0)</f>
        <v>1</v>
      </c>
      <c r="W6499" s="4" t="str">
        <f>IFERROR(__xludf.DUMMYFUNCTION("""COMPUTED_VALUE"""),"null")</f>
        <v>null</v>
      </c>
      <c r="X6499" s="33">
        <f>IFERROR(__xludf.DUMMYFUNCTION("""COMPUTED_VALUE"""),0.5)</f>
        <v>0.5</v>
      </c>
    </row>
    <row r="6500">
      <c r="K6500" s="4" t="str">
        <f>IFERROR(__xludf.DUMMYFUNCTION("""COMPUTED_VALUE"""),"DUO PASTEIS")</f>
        <v>DUO PASTEIS</v>
      </c>
      <c r="L6500" s="32">
        <f>IFERROR(__xludf.DUMMYFUNCTION("""COMPUTED_VALUE"""),2.0)</f>
        <v>2</v>
      </c>
      <c r="M6500" s="4" t="str">
        <f>IFERROR(__xludf.DUMMYFUNCTION("""COMPUTED_VALUE"""),"Anota Ai Solucoes Digitais S/a")</f>
        <v>Anota Ai Solucoes Digitais S/a</v>
      </c>
      <c r="N6500" s="33">
        <f>IFERROR(__xludf.DUMMYFUNCTION("""COMPUTED_VALUE"""),1.0)</f>
        <v>1</v>
      </c>
      <c r="O6500" s="4" t="str">
        <f>IFERROR(__xludf.DUMMYFUNCTION("""COMPUTED_VALUE"""),"null")</f>
        <v>null</v>
      </c>
      <c r="P6500" s="33">
        <f>IFERROR(__xludf.DUMMYFUNCTION("""COMPUTED_VALUE"""),0.5)</f>
        <v>0.5</v>
      </c>
      <c r="Q6500" s="4" t="str">
        <f>IFERROR(__xludf.DUMMYFUNCTION("""COMPUTED_VALUE"""),"null")</f>
        <v>null</v>
      </c>
      <c r="R6500" s="33">
        <f>IFERROR(__xludf.DUMMYFUNCTION("""COMPUTED_VALUE"""),0.5)</f>
        <v>0.5</v>
      </c>
      <c r="S6500" s="4" t="str">
        <f>IFERROR(__xludf.DUMMYFUNCTION("""COMPUTED_VALUE"""),"null")</f>
        <v>null</v>
      </c>
      <c r="T6500" s="33">
        <f>IFERROR(__xludf.DUMMYFUNCTION("""COMPUTED_VALUE"""),1.0)</f>
        <v>1</v>
      </c>
      <c r="U6500" s="4" t="str">
        <f>IFERROR(__xludf.DUMMYFUNCTION("""COMPUTED_VALUE"""),"null")</f>
        <v>null</v>
      </c>
      <c r="V6500" s="33">
        <f>IFERROR(__xludf.DUMMYFUNCTION("""COMPUTED_VALUE"""),1.0)</f>
        <v>1</v>
      </c>
      <c r="W6500" s="4" t="str">
        <f>IFERROR(__xludf.DUMMYFUNCTION("""COMPUTED_VALUE"""),"null")</f>
        <v>null</v>
      </c>
      <c r="X6500" s="33">
        <f>IFERROR(__xludf.DUMMYFUNCTION("""COMPUTED_VALUE"""),1.0)</f>
        <v>1</v>
      </c>
    </row>
    <row r="6501">
      <c r="K6501" s="4" t="str">
        <f>IFERROR(__xludf.DUMMYFUNCTION("""COMPUTED_VALUE"""),"ACAI DO LINO")</f>
        <v>ACAI DO LINO</v>
      </c>
      <c r="L6501" s="32">
        <f>IFERROR(__xludf.DUMMYFUNCTION("""COMPUTED_VALUE"""),2.0)</f>
        <v>2</v>
      </c>
      <c r="M6501" s="4" t="str">
        <f>IFERROR(__xludf.DUMMYFUNCTION("""COMPUTED_VALUE"""),"Menu Integrado")</f>
        <v>Menu Integrado</v>
      </c>
      <c r="N6501" s="33">
        <f>IFERROR(__xludf.DUMMYFUNCTION("""COMPUTED_VALUE"""),1.0)</f>
        <v>1</v>
      </c>
      <c r="O6501" s="4" t="str">
        <f>IFERROR(__xludf.DUMMYFUNCTION("""COMPUTED_VALUE"""),"Menu Integrado")</f>
        <v>Menu Integrado</v>
      </c>
      <c r="P6501" s="33">
        <f>IFERROR(__xludf.DUMMYFUNCTION("""COMPUTED_VALUE"""),0.5)</f>
        <v>0.5</v>
      </c>
      <c r="Q6501" s="4" t="str">
        <f>IFERROR(__xludf.DUMMYFUNCTION("""COMPUTED_VALUE"""),"Brendi")</f>
        <v>Brendi</v>
      </c>
      <c r="R6501" s="33">
        <f>IFERROR(__xludf.DUMMYFUNCTION("""COMPUTED_VALUE"""),1.0)</f>
        <v>1</v>
      </c>
      <c r="S6501" s="4" t="str">
        <f>IFERROR(__xludf.DUMMYFUNCTION("""COMPUTED_VALUE"""),"Brendi")</f>
        <v>Brendi</v>
      </c>
      <c r="T6501" s="33">
        <f>IFERROR(__xludf.DUMMYFUNCTION("""COMPUTED_VALUE"""),1.0)</f>
        <v>1</v>
      </c>
      <c r="U6501" s="4" t="str">
        <f>IFERROR(__xludf.DUMMYFUNCTION("""COMPUTED_VALUE"""),"Brendi")</f>
        <v>Brendi</v>
      </c>
      <c r="V6501" s="33">
        <f>IFERROR(__xludf.DUMMYFUNCTION("""COMPUTED_VALUE"""),0.5)</f>
        <v>0.5</v>
      </c>
      <c r="W6501" s="4" t="str">
        <f>IFERROR(__xludf.DUMMYFUNCTION("""COMPUTED_VALUE"""),"Brendi")</f>
        <v>Brendi</v>
      </c>
      <c r="X6501" s="33">
        <f>IFERROR(__xludf.DUMMYFUNCTION("""COMPUTED_VALUE"""),0.5)</f>
        <v>0.5</v>
      </c>
    </row>
    <row r="6502">
      <c r="K6502" s="4" t="str">
        <f>IFERROR(__xludf.DUMMYFUNCTION("""COMPUTED_VALUE"""),"ACAI FLOW")</f>
        <v>ACAI FLOW</v>
      </c>
      <c r="L6502" s="32">
        <f>IFERROR(__xludf.DUMMYFUNCTION("""COMPUTED_VALUE"""),2.0)</f>
        <v>2</v>
      </c>
      <c r="M6502" s="4" t="str">
        <f>IFERROR(__xludf.DUMMYFUNCTION("""COMPUTED_VALUE"""),"null")</f>
        <v>null</v>
      </c>
      <c r="N6502" s="33">
        <f>IFERROR(__xludf.DUMMYFUNCTION("""COMPUTED_VALUE"""),1.0)</f>
        <v>1</v>
      </c>
      <c r="O6502" s="4" t="str">
        <f>IFERROR(__xludf.DUMMYFUNCTION("""COMPUTED_VALUE"""),"Anota Ai Solucoes Digitais S/a")</f>
        <v>Anota Ai Solucoes Digitais S/a</v>
      </c>
      <c r="P6502" s="33">
        <f>IFERROR(__xludf.DUMMYFUNCTION("""COMPUTED_VALUE"""),0.5)</f>
        <v>0.5</v>
      </c>
      <c r="Q6502" s="4" t="str">
        <f>IFERROR(__xludf.DUMMYFUNCTION("""COMPUTED_VALUE"""),"null")</f>
        <v>null</v>
      </c>
      <c r="R6502" s="33">
        <f>IFERROR(__xludf.DUMMYFUNCTION("""COMPUTED_VALUE"""),1.0)</f>
        <v>1</v>
      </c>
      <c r="S6502" s="4" t="str">
        <f>IFERROR(__xludf.DUMMYFUNCTION("""COMPUTED_VALUE"""),"null")</f>
        <v>null</v>
      </c>
      <c r="T6502" s="33">
        <f>IFERROR(__xludf.DUMMYFUNCTION("""COMPUTED_VALUE"""),0.5)</f>
        <v>0.5</v>
      </c>
      <c r="U6502" s="4" t="str">
        <f>IFERROR(__xludf.DUMMYFUNCTION("""COMPUTED_VALUE"""),"null")</f>
        <v>null</v>
      </c>
      <c r="V6502" s="33">
        <f>IFERROR(__xludf.DUMMYFUNCTION("""COMPUTED_VALUE"""),0.5)</f>
        <v>0.5</v>
      </c>
      <c r="W6502" s="4" t="str">
        <f>IFERROR(__xludf.DUMMYFUNCTION("""COMPUTED_VALUE"""),"null")</f>
        <v>null</v>
      </c>
      <c r="X6502" s="33">
        <f>IFERROR(__xludf.DUMMYFUNCTION("""COMPUTED_VALUE"""),0.5)</f>
        <v>0.5</v>
      </c>
    </row>
    <row r="6503">
      <c r="K6503" s="4" t="str">
        <f>IFERROR(__xludf.DUMMYFUNCTION("""COMPUTED_VALUE"""),"LEO PIZZAS")</f>
        <v>LEO PIZZAS</v>
      </c>
      <c r="L6503" s="32">
        <f>IFERROR(__xludf.DUMMYFUNCTION("""COMPUTED_VALUE"""),2.0)</f>
        <v>2</v>
      </c>
      <c r="M6503" s="4" t="str">
        <f>IFERROR(__xludf.DUMMYFUNCTION("""COMPUTED_VALUE"""),"null")</f>
        <v>null</v>
      </c>
      <c r="N6503" s="33">
        <f>IFERROR(__xludf.DUMMYFUNCTION("""COMPUTED_VALUE"""),0.5)</f>
        <v>0.5</v>
      </c>
      <c r="O6503" s="4" t="str">
        <f>IFERROR(__xludf.DUMMYFUNCTION("""COMPUTED_VALUE"""),"null")</f>
        <v>null</v>
      </c>
      <c r="P6503" s="33">
        <f>IFERROR(__xludf.DUMMYFUNCTION("""COMPUTED_VALUE"""),0.5)</f>
        <v>0.5</v>
      </c>
      <c r="Q6503" s="4" t="str">
        <f>IFERROR(__xludf.DUMMYFUNCTION("""COMPUTED_VALUE"""),"Saipos Serviços De Software")</f>
        <v>Saipos Serviços De Software</v>
      </c>
      <c r="R6503" s="33">
        <f>IFERROR(__xludf.DUMMYFUNCTION("""COMPUTED_VALUE"""),1.0)</f>
        <v>1</v>
      </c>
      <c r="S6503" s="4" t="str">
        <f>IFERROR(__xludf.DUMMYFUNCTION("""COMPUTED_VALUE"""),"Saipos Serviços De Software")</f>
        <v>Saipos Serviços De Software</v>
      </c>
      <c r="T6503" s="33">
        <f>IFERROR(__xludf.DUMMYFUNCTION("""COMPUTED_VALUE"""),1.0)</f>
        <v>1</v>
      </c>
      <c r="U6503" s="4" t="str">
        <f>IFERROR(__xludf.DUMMYFUNCTION("""COMPUTED_VALUE"""),"null")</f>
        <v>null</v>
      </c>
      <c r="V6503" s="33">
        <f>IFERROR(__xludf.DUMMYFUNCTION("""COMPUTED_VALUE"""),0.5)</f>
        <v>0.5</v>
      </c>
      <c r="W6503" s="4" t="str">
        <f>IFERROR(__xludf.DUMMYFUNCTION("""COMPUTED_VALUE"""),"Saipos Serviços De Software")</f>
        <v>Saipos Serviços De Software</v>
      </c>
      <c r="X6503" s="33">
        <f>IFERROR(__xludf.DUMMYFUNCTION("""COMPUTED_VALUE"""),1.0)</f>
        <v>1</v>
      </c>
    </row>
    <row r="6504">
      <c r="K6504" s="4" t="str">
        <f>IFERROR(__xludf.DUMMYFUNCTION("""COMPUTED_VALUE"""),"RESTAURANTE D CARMEM")</f>
        <v>RESTAURANTE D CARMEM</v>
      </c>
      <c r="L6504" s="32">
        <f>IFERROR(__xludf.DUMMYFUNCTION("""COMPUTED_VALUE"""),2.0)</f>
        <v>2</v>
      </c>
      <c r="M6504" s="4" t="str">
        <f>IFERROR(__xludf.DUMMYFUNCTION("""COMPUTED_VALUE"""),"null")</f>
        <v>null</v>
      </c>
      <c r="N6504" s="33">
        <f>IFERROR(__xludf.DUMMYFUNCTION("""COMPUTED_VALUE"""),0.5)</f>
        <v>0.5</v>
      </c>
      <c r="O6504" s="4" t="str">
        <f>IFERROR(__xludf.DUMMYFUNCTION("""COMPUTED_VALUE"""),"null")</f>
        <v>null</v>
      </c>
      <c r="P6504" s="33">
        <f>IFERROR(__xludf.DUMMYFUNCTION("""COMPUTED_VALUE"""),0.5)</f>
        <v>0.5</v>
      </c>
      <c r="Q6504" s="4" t="str">
        <f>IFERROR(__xludf.DUMMYFUNCTION("""COMPUTED_VALUE"""),"null")</f>
        <v>null</v>
      </c>
      <c r="R6504" s="33">
        <f>IFERROR(__xludf.DUMMYFUNCTION("""COMPUTED_VALUE"""),0.5)</f>
        <v>0.5</v>
      </c>
      <c r="S6504" s="4" t="str">
        <f>IFERROR(__xludf.DUMMYFUNCTION("""COMPUTED_VALUE"""),"Resulti Sistemas")</f>
        <v>Resulti Sistemas</v>
      </c>
      <c r="T6504" s="33">
        <f>IFERROR(__xludf.DUMMYFUNCTION("""COMPUTED_VALUE"""),1.0)</f>
        <v>1</v>
      </c>
      <c r="U6504" s="4" t="str">
        <f>IFERROR(__xludf.DUMMYFUNCTION("""COMPUTED_VALUE"""),"Resulti Sistemas")</f>
        <v>Resulti Sistemas</v>
      </c>
      <c r="V6504" s="33">
        <f>IFERROR(__xludf.DUMMYFUNCTION("""COMPUTED_VALUE"""),0.5)</f>
        <v>0.5</v>
      </c>
      <c r="W6504" s="4" t="str">
        <f>IFERROR(__xludf.DUMMYFUNCTION("""COMPUTED_VALUE"""),"Resulti Sistemas")</f>
        <v>Resulti Sistemas</v>
      </c>
      <c r="X6504" s="33">
        <f>IFERROR(__xludf.DUMMYFUNCTION("""COMPUTED_VALUE"""),0.5)</f>
        <v>0.5</v>
      </c>
    </row>
    <row r="6505">
      <c r="K6505" s="4" t="str">
        <f>IFERROR(__xludf.DUMMYFUNCTION("""COMPUTED_VALUE"""),"NA LENHA PIZZARIA")</f>
        <v>NA LENHA PIZZARIA</v>
      </c>
      <c r="L6505" s="32">
        <f>IFERROR(__xludf.DUMMYFUNCTION("""COMPUTED_VALUE"""),2.0)</f>
        <v>2</v>
      </c>
      <c r="M6505" s="4" t="str">
        <f>IFERROR(__xludf.DUMMYFUNCTION("""COMPUTED_VALUE"""),"Anota Ai Solucoes Digitais S/a")</f>
        <v>Anota Ai Solucoes Digitais S/a</v>
      </c>
      <c r="N6505" s="33">
        <f>IFERROR(__xludf.DUMMYFUNCTION("""COMPUTED_VALUE"""),0.5)</f>
        <v>0.5</v>
      </c>
      <c r="O6505" s="4" t="str">
        <f>IFERROR(__xludf.DUMMYFUNCTION("""COMPUTED_VALUE"""),"Anota Ai Solucoes Digitais S/a")</f>
        <v>Anota Ai Solucoes Digitais S/a</v>
      </c>
      <c r="P6505" s="33">
        <f>IFERROR(__xludf.DUMMYFUNCTION("""COMPUTED_VALUE"""),0.5)</f>
        <v>0.5</v>
      </c>
      <c r="Q6505" s="4" t="str">
        <f>IFERROR(__xludf.DUMMYFUNCTION("""COMPUTED_VALUE"""),"Anota Ai Solucoes Digitais S/a")</f>
        <v>Anota Ai Solucoes Digitais S/a</v>
      </c>
      <c r="R6505" s="33">
        <f>IFERROR(__xludf.DUMMYFUNCTION("""COMPUTED_VALUE"""),0.5)</f>
        <v>0.5</v>
      </c>
      <c r="S6505" s="4" t="str">
        <f>IFERROR(__xludf.DUMMYFUNCTION("""COMPUTED_VALUE"""),"Anota Ai Solucoes Digitais S/a")</f>
        <v>Anota Ai Solucoes Digitais S/a</v>
      </c>
      <c r="T6505" s="33">
        <f>IFERROR(__xludf.DUMMYFUNCTION("""COMPUTED_VALUE"""),0.5)</f>
        <v>0.5</v>
      </c>
      <c r="U6505" s="4" t="str">
        <f>IFERROR(__xludf.DUMMYFUNCTION("""COMPUTED_VALUE"""),"Anota Ai Solucoes Digitais S/a")</f>
        <v>Anota Ai Solucoes Digitais S/a</v>
      </c>
      <c r="V6505" s="33">
        <f>IFERROR(__xludf.DUMMYFUNCTION("""COMPUTED_VALUE"""),0.5)</f>
        <v>0.5</v>
      </c>
      <c r="W6505" s="4" t="str">
        <f>IFERROR(__xludf.DUMMYFUNCTION("""COMPUTED_VALUE"""),"Anota Ai Solucoes Digitais S/a")</f>
        <v>Anota Ai Solucoes Digitais S/a</v>
      </c>
      <c r="X6505" s="33">
        <f>IFERROR(__xludf.DUMMYFUNCTION("""COMPUTED_VALUE"""),0.5)</f>
        <v>0.5</v>
      </c>
    </row>
    <row r="6506">
      <c r="K6506" s="4" t="str">
        <f>IFERROR(__xludf.DUMMYFUNCTION("""COMPUTED_VALUE"""),"DANNYS CROCANT FOOD")</f>
        <v>DANNYS CROCANT FOOD</v>
      </c>
      <c r="L6506" s="32">
        <f>IFERROR(__xludf.DUMMYFUNCTION("""COMPUTED_VALUE"""),2.0)</f>
        <v>2</v>
      </c>
      <c r="M6506" s="4" t="str">
        <f>IFERROR(__xludf.DUMMYFUNCTION("""COMPUTED_VALUE"""),"Anota Ai Solucoes Digitais S/a")</f>
        <v>Anota Ai Solucoes Digitais S/a</v>
      </c>
      <c r="N6506" s="33">
        <f>IFERROR(__xludf.DUMMYFUNCTION("""COMPUTED_VALUE"""),1.0)</f>
        <v>1</v>
      </c>
      <c r="O6506" s="4" t="str">
        <f>IFERROR(__xludf.DUMMYFUNCTION("""COMPUTED_VALUE"""),"Anota Ai Solucoes Digitais S/a")</f>
        <v>Anota Ai Solucoes Digitais S/a</v>
      </c>
      <c r="P6506" s="33">
        <f>IFERROR(__xludf.DUMMYFUNCTION("""COMPUTED_VALUE"""),1.0)</f>
        <v>1</v>
      </c>
      <c r="Q6506" s="4" t="str">
        <f>IFERROR(__xludf.DUMMYFUNCTION("""COMPUTED_VALUE"""),"Anota Ai Solucoes Digitais S/a")</f>
        <v>Anota Ai Solucoes Digitais S/a</v>
      </c>
      <c r="R6506" s="33">
        <f>IFERROR(__xludf.DUMMYFUNCTION("""COMPUTED_VALUE"""),1.0)</f>
        <v>1</v>
      </c>
      <c r="S6506" s="4" t="str">
        <f>IFERROR(__xludf.DUMMYFUNCTION("""COMPUTED_VALUE"""),"Anota Ai Solucoes Digitais S/a")</f>
        <v>Anota Ai Solucoes Digitais S/a</v>
      </c>
      <c r="T6506" s="33">
        <f>IFERROR(__xludf.DUMMYFUNCTION("""COMPUTED_VALUE"""),1.0)</f>
        <v>1</v>
      </c>
      <c r="U6506" s="4" t="str">
        <f>IFERROR(__xludf.DUMMYFUNCTION("""COMPUTED_VALUE"""),"Anota Ai Solucoes Digitais S/a")</f>
        <v>Anota Ai Solucoes Digitais S/a</v>
      </c>
      <c r="V6506" s="33">
        <f>IFERROR(__xludf.DUMMYFUNCTION("""COMPUTED_VALUE"""),1.0)</f>
        <v>1</v>
      </c>
      <c r="W6506" s="4" t="str">
        <f>IFERROR(__xludf.DUMMYFUNCTION("""COMPUTED_VALUE"""),"Anota Ai Solucoes Digitais S/a")</f>
        <v>Anota Ai Solucoes Digitais S/a</v>
      </c>
      <c r="X6506" s="33">
        <f>IFERROR(__xludf.DUMMYFUNCTION("""COMPUTED_VALUE"""),1.0)</f>
        <v>1</v>
      </c>
    </row>
    <row r="6507">
      <c r="K6507" s="4" t="str">
        <f>IFERROR(__xludf.DUMMYFUNCTION("""COMPUTED_VALUE"""),"SUSHI PREFACIO")</f>
        <v>SUSHI PREFACIO</v>
      </c>
      <c r="L6507" s="32">
        <f>IFERROR(__xludf.DUMMYFUNCTION("""COMPUTED_VALUE"""),2.0)</f>
        <v>2</v>
      </c>
      <c r="M6507" s="4" t="str">
        <f>IFERROR(__xludf.DUMMYFUNCTION("""COMPUTED_VALUE"""),"null")</f>
        <v>null</v>
      </c>
      <c r="N6507" s="33">
        <f>IFERROR(__xludf.DUMMYFUNCTION("""COMPUTED_VALUE"""),0.5)</f>
        <v>0.5</v>
      </c>
      <c r="O6507" s="4" t="str">
        <f>IFERROR(__xludf.DUMMYFUNCTION("""COMPUTED_VALUE"""),"null")</f>
        <v>null</v>
      </c>
      <c r="P6507" s="33">
        <f>IFERROR(__xludf.DUMMYFUNCTION("""COMPUTED_VALUE"""),0.5)</f>
        <v>0.5</v>
      </c>
      <c r="Q6507" s="4" t="str">
        <f>IFERROR(__xludf.DUMMYFUNCTION("""COMPUTED_VALUE"""),"Cardápio Web")</f>
        <v>Cardápio Web</v>
      </c>
      <c r="R6507" s="33">
        <f>IFERROR(__xludf.DUMMYFUNCTION("""COMPUTED_VALUE"""),0.5)</f>
        <v>0.5</v>
      </c>
      <c r="S6507" s="4" t="str">
        <f>IFERROR(__xludf.DUMMYFUNCTION("""COMPUTED_VALUE"""),"null")</f>
        <v>null</v>
      </c>
      <c r="T6507" s="33">
        <f>IFERROR(__xludf.DUMMYFUNCTION("""COMPUTED_VALUE"""),0.5)</f>
        <v>0.5</v>
      </c>
      <c r="U6507" s="4" t="str">
        <f>IFERROR(__xludf.DUMMYFUNCTION("""COMPUTED_VALUE"""),"null")</f>
        <v>null</v>
      </c>
      <c r="V6507" s="33">
        <f>IFERROR(__xludf.DUMMYFUNCTION("""COMPUTED_VALUE"""),0.5)</f>
        <v>0.5</v>
      </c>
      <c r="W6507" s="4" t="str">
        <f>IFERROR(__xludf.DUMMYFUNCTION("""COMPUTED_VALUE"""),"null")</f>
        <v>null</v>
      </c>
      <c r="X6507" s="33">
        <f>IFERROR(__xludf.DUMMYFUNCTION("""COMPUTED_VALUE"""),0.5)</f>
        <v>0.5</v>
      </c>
    </row>
    <row r="6508">
      <c r="K6508" s="4" t="str">
        <f>IFERROR(__xludf.DUMMYFUNCTION("""COMPUTED_VALUE"""),"MEOW - FRESHLY BAKED COOKIES")</f>
        <v>MEOW - FRESHLY BAKED COOKIES</v>
      </c>
      <c r="L6508" s="32">
        <f>IFERROR(__xludf.DUMMYFUNCTION("""COMPUTED_VALUE"""),2.0)</f>
        <v>2</v>
      </c>
      <c r="M6508" s="4" t="str">
        <f>IFERROR(__xludf.DUMMYFUNCTION("""COMPUTED_VALUE"""),"Consumer Soluções Em Tecnologia Ltda")</f>
        <v>Consumer Soluções Em Tecnologia Ltda</v>
      </c>
      <c r="N6508" s="33">
        <f>IFERROR(__xludf.DUMMYFUNCTION("""COMPUTED_VALUE"""),0.5)</f>
        <v>0.5</v>
      </c>
      <c r="O6508" s="4" t="str">
        <f>IFERROR(__xludf.DUMMYFUNCTION("""COMPUTED_VALUE"""),"Consumer Soluções Em Tecnologia Ltda")</f>
        <v>Consumer Soluções Em Tecnologia Ltda</v>
      </c>
      <c r="P6508" s="33">
        <f>IFERROR(__xludf.DUMMYFUNCTION("""COMPUTED_VALUE"""),0.5)</f>
        <v>0.5</v>
      </c>
      <c r="Q6508" s="4" t="str">
        <f>IFERROR(__xludf.DUMMYFUNCTION("""COMPUTED_VALUE"""),"Consumer Soluções Em Tecnologia Ltda")</f>
        <v>Consumer Soluções Em Tecnologia Ltda</v>
      </c>
      <c r="R6508" s="33">
        <f>IFERROR(__xludf.DUMMYFUNCTION("""COMPUTED_VALUE"""),0.5)</f>
        <v>0.5</v>
      </c>
      <c r="S6508" s="4" t="str">
        <f>IFERROR(__xludf.DUMMYFUNCTION("""COMPUTED_VALUE"""),"Consumer Soluções Em Tecnologia Ltda")</f>
        <v>Consumer Soluções Em Tecnologia Ltda</v>
      </c>
      <c r="T6508" s="33">
        <f>IFERROR(__xludf.DUMMYFUNCTION("""COMPUTED_VALUE"""),0.5)</f>
        <v>0.5</v>
      </c>
      <c r="U6508" s="4" t="str">
        <f>IFERROR(__xludf.DUMMYFUNCTION("""COMPUTED_VALUE"""),"Consumer Soluções Em Tecnologia Ltda")</f>
        <v>Consumer Soluções Em Tecnologia Ltda</v>
      </c>
      <c r="V6508" s="33">
        <f>IFERROR(__xludf.DUMMYFUNCTION("""COMPUTED_VALUE"""),1.0)</f>
        <v>1</v>
      </c>
      <c r="W6508" s="4" t="str">
        <f>IFERROR(__xludf.DUMMYFUNCTION("""COMPUTED_VALUE"""),"Consumer Soluções Em Tecnologia Ltda")</f>
        <v>Consumer Soluções Em Tecnologia Ltda</v>
      </c>
      <c r="X6508" s="33">
        <f>IFERROR(__xludf.DUMMYFUNCTION("""COMPUTED_VALUE"""),0.5)</f>
        <v>0.5</v>
      </c>
    </row>
    <row r="6509">
      <c r="K6509" s="4" t="str">
        <f>IFERROR(__xludf.DUMMYFUNCTION("""COMPUTED_VALUE"""),"PARMA PIZZARIA")</f>
        <v>PARMA PIZZARIA</v>
      </c>
      <c r="L6509" s="32">
        <f>IFERROR(__xludf.DUMMYFUNCTION("""COMPUTED_VALUE"""),2.0)</f>
        <v>2</v>
      </c>
      <c r="M6509" s="4" t="str">
        <f>IFERROR(__xludf.DUMMYFUNCTION("""COMPUTED_VALUE"""),"Consumer Soluções Em Tecnologia Ltda")</f>
        <v>Consumer Soluções Em Tecnologia Ltda</v>
      </c>
      <c r="N6509" s="33">
        <f>IFERROR(__xludf.DUMMYFUNCTION("""COMPUTED_VALUE"""),0.5)</f>
        <v>0.5</v>
      </c>
      <c r="O6509" s="4" t="str">
        <f>IFERROR(__xludf.DUMMYFUNCTION("""COMPUTED_VALUE"""),"Consumer Soluções Em Tecnologia Ltda")</f>
        <v>Consumer Soluções Em Tecnologia Ltda</v>
      </c>
      <c r="P6509" s="33">
        <f>IFERROR(__xludf.DUMMYFUNCTION("""COMPUTED_VALUE"""),0.5)</f>
        <v>0.5</v>
      </c>
      <c r="Q6509" s="4" t="str">
        <f>IFERROR(__xludf.DUMMYFUNCTION("""COMPUTED_VALUE"""),"Consumer Soluções Em Tecnologia Ltda")</f>
        <v>Consumer Soluções Em Tecnologia Ltda</v>
      </c>
      <c r="R6509" s="33">
        <f>IFERROR(__xludf.DUMMYFUNCTION("""COMPUTED_VALUE"""),0.5)</f>
        <v>0.5</v>
      </c>
      <c r="S6509" s="4" t="str">
        <f>IFERROR(__xludf.DUMMYFUNCTION("""COMPUTED_VALUE"""),"null")</f>
        <v>null</v>
      </c>
      <c r="T6509" s="33">
        <f>IFERROR(__xludf.DUMMYFUNCTION("""COMPUTED_VALUE"""),1.0)</f>
        <v>1</v>
      </c>
      <c r="U6509" s="4" t="str">
        <f>IFERROR(__xludf.DUMMYFUNCTION("""COMPUTED_VALUE"""),"null")</f>
        <v>null</v>
      </c>
      <c r="V6509" s="33">
        <f>IFERROR(__xludf.DUMMYFUNCTION("""COMPUTED_VALUE"""),1.0)</f>
        <v>1</v>
      </c>
      <c r="W6509" s="4" t="str">
        <f>IFERROR(__xludf.DUMMYFUNCTION("""COMPUTED_VALUE"""),"Consumer Soluções Em Tecnologia Ltda")</f>
        <v>Consumer Soluções Em Tecnologia Ltda</v>
      </c>
      <c r="X6509" s="33">
        <f>IFERROR(__xludf.DUMMYFUNCTION("""COMPUTED_VALUE"""),0.5)</f>
        <v>0.5</v>
      </c>
    </row>
    <row r="6510">
      <c r="K6510" s="4" t="str">
        <f>IFERROR(__xludf.DUMMYFUNCTION("""COMPUTED_VALUE"""),"DOGUETO FERRAZ DE VASCONCELOS")</f>
        <v>DOGUETO FERRAZ DE VASCONCELOS</v>
      </c>
      <c r="L6510" s="32">
        <f>IFERROR(__xludf.DUMMYFUNCTION("""COMPUTED_VALUE"""),2.0)</f>
        <v>2</v>
      </c>
      <c r="M6510" s="4" t="str">
        <f>IFERROR(__xludf.DUMMYFUNCTION("""COMPUTED_VALUE"""),"Saipos Serviços De Software")</f>
        <v>Saipos Serviços De Software</v>
      </c>
      <c r="N6510" s="33">
        <f>IFERROR(__xludf.DUMMYFUNCTION("""COMPUTED_VALUE"""),1.0)</f>
        <v>1</v>
      </c>
      <c r="O6510" s="4" t="str">
        <f>IFERROR(__xludf.DUMMYFUNCTION("""COMPUTED_VALUE"""),"Saipos Serviços De Software")</f>
        <v>Saipos Serviços De Software</v>
      </c>
      <c r="P6510" s="33">
        <f>IFERROR(__xludf.DUMMYFUNCTION("""COMPUTED_VALUE"""),1.0)</f>
        <v>1</v>
      </c>
      <c r="Q6510" s="4" t="str">
        <f>IFERROR(__xludf.DUMMYFUNCTION("""COMPUTED_VALUE"""),"Saipos Serviços De Software")</f>
        <v>Saipos Serviços De Software</v>
      </c>
      <c r="R6510" s="33">
        <f>IFERROR(__xludf.DUMMYFUNCTION("""COMPUTED_VALUE"""),1.0)</f>
        <v>1</v>
      </c>
      <c r="S6510" s="4" t="str">
        <f>IFERROR(__xludf.DUMMYFUNCTION("""COMPUTED_VALUE"""),"Saipos Serviços De Software")</f>
        <v>Saipos Serviços De Software</v>
      </c>
      <c r="T6510" s="33">
        <f>IFERROR(__xludf.DUMMYFUNCTION("""COMPUTED_VALUE"""),1.0)</f>
        <v>1</v>
      </c>
      <c r="U6510" s="4" t="str">
        <f>IFERROR(__xludf.DUMMYFUNCTION("""COMPUTED_VALUE"""),"Saipos Serviços De Software")</f>
        <v>Saipos Serviços De Software</v>
      </c>
      <c r="V6510" s="33">
        <f>IFERROR(__xludf.DUMMYFUNCTION("""COMPUTED_VALUE"""),1.0)</f>
        <v>1</v>
      </c>
      <c r="W6510" s="4" t="str">
        <f>IFERROR(__xludf.DUMMYFUNCTION("""COMPUTED_VALUE"""),"Saipos Serviços De Software")</f>
        <v>Saipos Serviços De Software</v>
      </c>
      <c r="X6510" s="33">
        <f>IFERROR(__xludf.DUMMYFUNCTION("""COMPUTED_VALUE"""),1.0)</f>
        <v>1</v>
      </c>
    </row>
    <row r="6511">
      <c r="K6511" s="4" t="str">
        <f>IFERROR(__xludf.DUMMYFUNCTION("""COMPUTED_VALUE"""),"BRABOS BURGUER")</f>
        <v>BRABOS BURGUER</v>
      </c>
      <c r="L6511" s="32">
        <f>IFERROR(__xludf.DUMMYFUNCTION("""COMPUTED_VALUE"""),2.0)</f>
        <v>2</v>
      </c>
      <c r="M6511" s="4" t="str">
        <f>IFERROR(__xludf.DUMMYFUNCTION("""COMPUTED_VALUE"""),"Consumer Soluções Em Tecnologia Ltda")</f>
        <v>Consumer Soluções Em Tecnologia Ltda</v>
      </c>
      <c r="N6511" s="33">
        <f>IFERROR(__xludf.DUMMYFUNCTION("""COMPUTED_VALUE"""),0.5)</f>
        <v>0.5</v>
      </c>
      <c r="O6511" s="4" t="str">
        <f>IFERROR(__xludf.DUMMYFUNCTION("""COMPUTED_VALUE"""),"Consumer Soluções Em Tecnologia Ltda")</f>
        <v>Consumer Soluções Em Tecnologia Ltda</v>
      </c>
      <c r="P6511" s="33">
        <f>IFERROR(__xludf.DUMMYFUNCTION("""COMPUTED_VALUE"""),0.5)</f>
        <v>0.5</v>
      </c>
      <c r="Q6511" s="4" t="str">
        <f>IFERROR(__xludf.DUMMYFUNCTION("""COMPUTED_VALUE"""),"Consumer Soluções Em Tecnologia Ltda")</f>
        <v>Consumer Soluções Em Tecnologia Ltda</v>
      </c>
      <c r="R6511" s="33">
        <f>IFERROR(__xludf.DUMMYFUNCTION("""COMPUTED_VALUE"""),0.5)</f>
        <v>0.5</v>
      </c>
      <c r="S6511" s="4" t="str">
        <f>IFERROR(__xludf.DUMMYFUNCTION("""COMPUTED_VALUE"""),"Consumer Soluções Em Tecnologia Ltda")</f>
        <v>Consumer Soluções Em Tecnologia Ltda</v>
      </c>
      <c r="T6511" s="33">
        <f>IFERROR(__xludf.DUMMYFUNCTION("""COMPUTED_VALUE"""),0.5)</f>
        <v>0.5</v>
      </c>
      <c r="U6511" s="4" t="str">
        <f>IFERROR(__xludf.DUMMYFUNCTION("""COMPUTED_VALUE"""),"Consumer Soluções Em Tecnologia Ltda")</f>
        <v>Consumer Soluções Em Tecnologia Ltda</v>
      </c>
      <c r="V6511" s="33">
        <f>IFERROR(__xludf.DUMMYFUNCTION("""COMPUTED_VALUE"""),0.5)</f>
        <v>0.5</v>
      </c>
      <c r="W6511" s="4" t="str">
        <f>IFERROR(__xludf.DUMMYFUNCTION("""COMPUTED_VALUE"""),"Consumer Soluções Em Tecnologia Ltda")</f>
        <v>Consumer Soluções Em Tecnologia Ltda</v>
      </c>
      <c r="X6511" s="33">
        <f>IFERROR(__xludf.DUMMYFUNCTION("""COMPUTED_VALUE"""),0.5)</f>
        <v>0.5</v>
      </c>
    </row>
    <row r="6512">
      <c r="K6512" s="4" t="str">
        <f>IFERROR(__xludf.DUMMYFUNCTION("""COMPUTED_VALUE"""),"RESTAURANTE CASA DA VOVO")</f>
        <v>RESTAURANTE CASA DA VOVO</v>
      </c>
      <c r="L6512" s="32">
        <f>IFERROR(__xludf.DUMMYFUNCTION("""COMPUTED_VALUE"""),2.0)</f>
        <v>2</v>
      </c>
      <c r="M6512" s="4" t="str">
        <f>IFERROR(__xludf.DUMMYFUNCTION("""COMPUTED_VALUE"""),"Vekttor")</f>
        <v>Vekttor</v>
      </c>
      <c r="N6512" s="33">
        <f>IFERROR(__xludf.DUMMYFUNCTION("""COMPUTED_VALUE"""),0.5)</f>
        <v>0.5</v>
      </c>
      <c r="O6512" s="4" t="str">
        <f>IFERROR(__xludf.DUMMYFUNCTION("""COMPUTED_VALUE"""),"Vekttor")</f>
        <v>Vekttor</v>
      </c>
      <c r="P6512" s="33">
        <f>IFERROR(__xludf.DUMMYFUNCTION("""COMPUTED_VALUE"""),0.5)</f>
        <v>0.5</v>
      </c>
      <c r="Q6512" s="4" t="str">
        <f>IFERROR(__xludf.DUMMYFUNCTION("""COMPUTED_VALUE"""),"Vekttor")</f>
        <v>Vekttor</v>
      </c>
      <c r="R6512" s="33">
        <f>IFERROR(__xludf.DUMMYFUNCTION("""COMPUTED_VALUE"""),0.5)</f>
        <v>0.5</v>
      </c>
      <c r="S6512" s="4" t="str">
        <f>IFERROR(__xludf.DUMMYFUNCTION("""COMPUTED_VALUE"""),"Vekttor")</f>
        <v>Vekttor</v>
      </c>
      <c r="T6512" s="33">
        <f>IFERROR(__xludf.DUMMYFUNCTION("""COMPUTED_VALUE"""),0.5)</f>
        <v>0.5</v>
      </c>
      <c r="U6512" s="4" t="str">
        <f>IFERROR(__xludf.DUMMYFUNCTION("""COMPUTED_VALUE"""),"Vekttor")</f>
        <v>Vekttor</v>
      </c>
      <c r="V6512" s="33">
        <f>IFERROR(__xludf.DUMMYFUNCTION("""COMPUTED_VALUE"""),0.5)</f>
        <v>0.5</v>
      </c>
      <c r="W6512" s="4" t="str">
        <f>IFERROR(__xludf.DUMMYFUNCTION("""COMPUTED_VALUE"""),"Vekttor")</f>
        <v>Vekttor</v>
      </c>
      <c r="X6512" s="33">
        <f>IFERROR(__xludf.DUMMYFUNCTION("""COMPUTED_VALUE"""),0.5)</f>
        <v>0.5</v>
      </c>
    </row>
    <row r="6513">
      <c r="K6513" s="4" t="str">
        <f>IFERROR(__xludf.DUMMYFUNCTION("""COMPUTED_VALUE"""),"GALILEU PIZZARIA")</f>
        <v>GALILEU PIZZARIA</v>
      </c>
      <c r="L6513" s="32">
        <f>IFERROR(__xludf.DUMMYFUNCTION("""COMPUTED_VALUE"""),2.0)</f>
        <v>2</v>
      </c>
      <c r="M6513" s="4" t="str">
        <f>IFERROR(__xludf.DUMMYFUNCTION("""COMPUTED_VALUE"""),"Beefood - Sistema Para Restaurantes")</f>
        <v>Beefood - Sistema Para Restaurantes</v>
      </c>
      <c r="N6513" s="33">
        <f>IFERROR(__xludf.DUMMYFUNCTION("""COMPUTED_VALUE"""),1.0)</f>
        <v>1</v>
      </c>
      <c r="O6513" s="4" t="str">
        <f>IFERROR(__xludf.DUMMYFUNCTION("""COMPUTED_VALUE"""),"Beefood - Sistema Para Restaurantes")</f>
        <v>Beefood - Sistema Para Restaurantes</v>
      </c>
      <c r="P6513" s="33">
        <f>IFERROR(__xludf.DUMMYFUNCTION("""COMPUTED_VALUE"""),1.0)</f>
        <v>1</v>
      </c>
      <c r="Q6513" s="4" t="str">
        <f>IFERROR(__xludf.DUMMYFUNCTION("""COMPUTED_VALUE"""),"Beefood - Sistema Para Restaurantes")</f>
        <v>Beefood - Sistema Para Restaurantes</v>
      </c>
      <c r="R6513" s="33">
        <f>IFERROR(__xludf.DUMMYFUNCTION("""COMPUTED_VALUE"""),1.0)</f>
        <v>1</v>
      </c>
      <c r="S6513" s="4" t="str">
        <f>IFERROR(__xludf.DUMMYFUNCTION("""COMPUTED_VALUE"""),"Beefood - Sistema Para Restaurantes")</f>
        <v>Beefood - Sistema Para Restaurantes</v>
      </c>
      <c r="T6513" s="33">
        <f>IFERROR(__xludf.DUMMYFUNCTION("""COMPUTED_VALUE"""),1.0)</f>
        <v>1</v>
      </c>
      <c r="U6513" s="4" t="str">
        <f>IFERROR(__xludf.DUMMYFUNCTION("""COMPUTED_VALUE"""),"Beefood - Sistema Para Restaurantes")</f>
        <v>Beefood - Sistema Para Restaurantes</v>
      </c>
      <c r="V6513" s="33">
        <f>IFERROR(__xludf.DUMMYFUNCTION("""COMPUTED_VALUE"""),1.0)</f>
        <v>1</v>
      </c>
      <c r="W6513" s="4" t="str">
        <f>IFERROR(__xludf.DUMMYFUNCTION("""COMPUTED_VALUE"""),"Beefood - Sistema Para Restaurantes")</f>
        <v>Beefood - Sistema Para Restaurantes</v>
      </c>
      <c r="X6513" s="33">
        <f>IFERROR(__xludf.DUMMYFUNCTION("""COMPUTED_VALUE"""),1.0)</f>
        <v>1</v>
      </c>
    </row>
    <row r="6514">
      <c r="K6514" s="4" t="str">
        <f>IFERROR(__xludf.DUMMYFUNCTION("""COMPUTED_VALUE"""),"MARTINS ESPETOS")</f>
        <v>MARTINS ESPETOS</v>
      </c>
      <c r="L6514" s="32">
        <f>IFERROR(__xludf.DUMMYFUNCTION("""COMPUTED_VALUE"""),2.0)</f>
        <v>2</v>
      </c>
      <c r="M6514" s="4" t="str">
        <f>IFERROR(__xludf.DUMMYFUNCTION("""COMPUTED_VALUE"""),"null")</f>
        <v>null</v>
      </c>
      <c r="N6514" s="33">
        <f>IFERROR(__xludf.DUMMYFUNCTION("""COMPUTED_VALUE"""),0.5)</f>
        <v>0.5</v>
      </c>
      <c r="O6514" s="4" t="str">
        <f>IFERROR(__xludf.DUMMYFUNCTION("""COMPUTED_VALUE"""),"null")</f>
        <v>null</v>
      </c>
      <c r="P6514" s="33">
        <f>IFERROR(__xludf.DUMMYFUNCTION("""COMPUTED_VALUE"""),0.5)</f>
        <v>0.5</v>
      </c>
      <c r="Q6514" s="4" t="str">
        <f>IFERROR(__xludf.DUMMYFUNCTION("""COMPUTED_VALUE"""),"Saipos Serviços De Software")</f>
        <v>Saipos Serviços De Software</v>
      </c>
      <c r="R6514" s="33">
        <f>IFERROR(__xludf.DUMMYFUNCTION("""COMPUTED_VALUE"""),0.5)</f>
        <v>0.5</v>
      </c>
      <c r="S6514" s="4" t="str">
        <f>IFERROR(__xludf.DUMMYFUNCTION("""COMPUTED_VALUE"""),"Saipos Serviços De Software")</f>
        <v>Saipos Serviços De Software</v>
      </c>
      <c r="T6514" s="33">
        <f>IFERROR(__xludf.DUMMYFUNCTION("""COMPUTED_VALUE"""),0.5)</f>
        <v>0.5</v>
      </c>
      <c r="U6514" s="4" t="str">
        <f>IFERROR(__xludf.DUMMYFUNCTION("""COMPUTED_VALUE"""),"Saipos Serviços De Software")</f>
        <v>Saipos Serviços De Software</v>
      </c>
      <c r="V6514" s="33">
        <f>IFERROR(__xludf.DUMMYFUNCTION("""COMPUTED_VALUE"""),0.5)</f>
        <v>0.5</v>
      </c>
      <c r="W6514" s="4" t="str">
        <f>IFERROR(__xludf.DUMMYFUNCTION("""COMPUTED_VALUE"""),"Saipos Serviços De Software")</f>
        <v>Saipos Serviços De Software</v>
      </c>
      <c r="X6514" s="33">
        <f>IFERROR(__xludf.DUMMYFUNCTION("""COMPUTED_VALUE"""),0.5)</f>
        <v>0.5</v>
      </c>
    </row>
    <row r="6515">
      <c r="K6515" s="4" t="str">
        <f>IFERROR(__xludf.DUMMYFUNCTION("""COMPUTED_VALUE"""),"PIZZARIA PARAISO DA PIZZA")</f>
        <v>PIZZARIA PARAISO DA PIZZA</v>
      </c>
      <c r="L6515" s="32">
        <f>IFERROR(__xludf.DUMMYFUNCTION("""COMPUTED_VALUE"""),2.0)</f>
        <v>2</v>
      </c>
      <c r="M6515" s="4" t="str">
        <f>IFERROR(__xludf.DUMMYFUNCTION("""COMPUTED_VALUE"""),"Cardápio Web")</f>
        <v>Cardápio Web</v>
      </c>
      <c r="N6515" s="33">
        <f>IFERROR(__xludf.DUMMYFUNCTION("""COMPUTED_VALUE"""),0.5)</f>
        <v>0.5</v>
      </c>
      <c r="O6515" s="4" t="str">
        <f>IFERROR(__xludf.DUMMYFUNCTION("""COMPUTED_VALUE"""),"Cardápio Web")</f>
        <v>Cardápio Web</v>
      </c>
      <c r="P6515" s="33">
        <f>IFERROR(__xludf.DUMMYFUNCTION("""COMPUTED_VALUE"""),0.5)</f>
        <v>0.5</v>
      </c>
      <c r="Q6515" s="4" t="str">
        <f>IFERROR(__xludf.DUMMYFUNCTION("""COMPUTED_VALUE"""),"Premio Sistemas Ltda")</f>
        <v>Premio Sistemas Ltda</v>
      </c>
      <c r="R6515" s="33">
        <f>IFERROR(__xludf.DUMMYFUNCTION("""COMPUTED_VALUE"""),0.5)</f>
        <v>0.5</v>
      </c>
      <c r="S6515" s="4" t="str">
        <f>IFERROR(__xludf.DUMMYFUNCTION("""COMPUTED_VALUE"""),"Cardápio Web")</f>
        <v>Cardápio Web</v>
      </c>
      <c r="T6515" s="33">
        <f>IFERROR(__xludf.DUMMYFUNCTION("""COMPUTED_VALUE"""),0.5)</f>
        <v>0.5</v>
      </c>
      <c r="U6515" s="4" t="str">
        <f>IFERROR(__xludf.DUMMYFUNCTION("""COMPUTED_VALUE"""),"Cardápio Web")</f>
        <v>Cardápio Web</v>
      </c>
      <c r="V6515" s="33">
        <f>IFERROR(__xludf.DUMMYFUNCTION("""COMPUTED_VALUE"""),0.5)</f>
        <v>0.5</v>
      </c>
      <c r="W6515" s="4" t="str">
        <f>IFERROR(__xludf.DUMMYFUNCTION("""COMPUTED_VALUE"""),"Cardápio Web")</f>
        <v>Cardápio Web</v>
      </c>
      <c r="X6515" s="33">
        <f>IFERROR(__xludf.DUMMYFUNCTION("""COMPUTED_VALUE"""),0.5)</f>
        <v>0.5</v>
      </c>
    </row>
    <row r="6516">
      <c r="K6516" s="4" t="str">
        <f>IFERROR(__xludf.DUMMYFUNCTION("""COMPUTED_VALUE"""),"MINAS LANCHES")</f>
        <v>MINAS LANCHES</v>
      </c>
      <c r="L6516" s="32">
        <f>IFERROR(__xludf.DUMMYFUNCTION("""COMPUTED_VALUE"""),2.0)</f>
        <v>2</v>
      </c>
      <c r="M6516" s="4" t="str">
        <f>IFERROR(__xludf.DUMMYFUNCTION("""COMPUTED_VALUE"""),"Anota Ai Solucoes Digitais S/a")</f>
        <v>Anota Ai Solucoes Digitais S/a</v>
      </c>
      <c r="N6516" s="33">
        <f>IFERROR(__xludf.DUMMYFUNCTION("""COMPUTED_VALUE"""),0.5)</f>
        <v>0.5</v>
      </c>
      <c r="O6516" s="4" t="str">
        <f>IFERROR(__xludf.DUMMYFUNCTION("""COMPUTED_VALUE"""),"Anota Ai Solucoes Digitais S/a")</f>
        <v>Anota Ai Solucoes Digitais S/a</v>
      </c>
      <c r="P6516" s="33">
        <f>IFERROR(__xludf.DUMMYFUNCTION("""COMPUTED_VALUE"""),0.5)</f>
        <v>0.5</v>
      </c>
      <c r="Q6516" s="4" t="str">
        <f>IFERROR(__xludf.DUMMYFUNCTION("""COMPUTED_VALUE"""),"Anota Ai Solucoes Digitais S/a")</f>
        <v>Anota Ai Solucoes Digitais S/a</v>
      </c>
      <c r="R6516" s="33">
        <f>IFERROR(__xludf.DUMMYFUNCTION("""COMPUTED_VALUE"""),0.5)</f>
        <v>0.5</v>
      </c>
      <c r="S6516" s="4" t="str">
        <f>IFERROR(__xludf.DUMMYFUNCTION("""COMPUTED_VALUE"""),"Anota Ai Solucoes Digitais S/a")</f>
        <v>Anota Ai Solucoes Digitais S/a</v>
      </c>
      <c r="T6516" s="33">
        <f>IFERROR(__xludf.DUMMYFUNCTION("""COMPUTED_VALUE"""),0.5)</f>
        <v>0.5</v>
      </c>
      <c r="U6516" s="4" t="str">
        <f>IFERROR(__xludf.DUMMYFUNCTION("""COMPUTED_VALUE"""),"Anota Ai Solucoes Digitais S/a")</f>
        <v>Anota Ai Solucoes Digitais S/a</v>
      </c>
      <c r="V6516" s="33">
        <f>IFERROR(__xludf.DUMMYFUNCTION("""COMPUTED_VALUE"""),0.5)</f>
        <v>0.5</v>
      </c>
      <c r="W6516" s="4" t="str">
        <f>IFERROR(__xludf.DUMMYFUNCTION("""COMPUTED_VALUE"""),"Anota Ai Solucoes Digitais S/a")</f>
        <v>Anota Ai Solucoes Digitais S/a</v>
      </c>
      <c r="X6516" s="33">
        <f>IFERROR(__xludf.DUMMYFUNCTION("""COMPUTED_VALUE"""),0.5)</f>
        <v>0.5</v>
      </c>
    </row>
    <row r="6517">
      <c r="K6517" s="4" t="str">
        <f>IFERROR(__xludf.DUMMYFUNCTION("""COMPUTED_VALUE"""),"JURASSIC PIZZA")</f>
        <v>JURASSIC PIZZA</v>
      </c>
      <c r="L6517" s="32">
        <f>IFERROR(__xludf.DUMMYFUNCTION("""COMPUTED_VALUE"""),2.0)</f>
        <v>2</v>
      </c>
      <c r="M6517" s="4" t="str">
        <f>IFERROR(__xludf.DUMMYFUNCTION("""COMPUTED_VALUE"""),"Cardápio Web")</f>
        <v>Cardápio Web</v>
      </c>
      <c r="N6517" s="33">
        <f>IFERROR(__xludf.DUMMYFUNCTION("""COMPUTED_VALUE"""),0.5)</f>
        <v>0.5</v>
      </c>
      <c r="O6517" s="4" t="str">
        <f>IFERROR(__xludf.DUMMYFUNCTION("""COMPUTED_VALUE"""),"Cardápio Web")</f>
        <v>Cardápio Web</v>
      </c>
      <c r="P6517" s="33">
        <f>IFERROR(__xludf.DUMMYFUNCTION("""COMPUTED_VALUE"""),0.5)</f>
        <v>0.5</v>
      </c>
      <c r="Q6517" s="4" t="str">
        <f>IFERROR(__xludf.DUMMYFUNCTION("""COMPUTED_VALUE"""),"Cardápio Web")</f>
        <v>Cardápio Web</v>
      </c>
      <c r="R6517" s="33">
        <f>IFERROR(__xludf.DUMMYFUNCTION("""COMPUTED_VALUE"""),0.5)</f>
        <v>0.5</v>
      </c>
      <c r="S6517" s="4" t="str">
        <f>IFERROR(__xludf.DUMMYFUNCTION("""COMPUTED_VALUE"""),"Cardápio Web")</f>
        <v>Cardápio Web</v>
      </c>
      <c r="T6517" s="33">
        <f>IFERROR(__xludf.DUMMYFUNCTION("""COMPUTED_VALUE"""),0.5)</f>
        <v>0.5</v>
      </c>
      <c r="U6517" s="4" t="str">
        <f>IFERROR(__xludf.DUMMYFUNCTION("""COMPUTED_VALUE"""),"Cardápio Web")</f>
        <v>Cardápio Web</v>
      </c>
      <c r="V6517" s="33">
        <f>IFERROR(__xludf.DUMMYFUNCTION("""COMPUTED_VALUE"""),0.5)</f>
        <v>0.5</v>
      </c>
      <c r="W6517" s="4" t="str">
        <f>IFERROR(__xludf.DUMMYFUNCTION("""COMPUTED_VALUE"""),"Cardápio Web")</f>
        <v>Cardápio Web</v>
      </c>
      <c r="X6517" s="33">
        <f>IFERROR(__xludf.DUMMYFUNCTION("""COMPUTED_VALUE"""),0.5)</f>
        <v>0.5</v>
      </c>
    </row>
    <row r="6518">
      <c r="K6518" s="4" t="str">
        <f>IFERROR(__xludf.DUMMYFUNCTION("""COMPUTED_VALUE"""),"MANA POKE SUSHI")</f>
        <v>MANA POKE SUSHI</v>
      </c>
      <c r="L6518" s="32">
        <f>IFERROR(__xludf.DUMMYFUNCTION("""COMPUTED_VALUE"""),2.0)</f>
        <v>2</v>
      </c>
      <c r="M6518" s="4" t="str">
        <f>IFERROR(__xludf.DUMMYFUNCTION("""COMPUTED_VALUE"""),"null")</f>
        <v>null</v>
      </c>
      <c r="N6518" s="33">
        <f>IFERROR(__xludf.DUMMYFUNCTION("""COMPUTED_VALUE"""),1.0)</f>
        <v>1</v>
      </c>
      <c r="O6518" s="4" t="str">
        <f>IFERROR(__xludf.DUMMYFUNCTION("""COMPUTED_VALUE"""),"null")</f>
        <v>null</v>
      </c>
      <c r="P6518" s="33">
        <f>IFERROR(__xludf.DUMMYFUNCTION("""COMPUTED_VALUE"""),1.0)</f>
        <v>1</v>
      </c>
      <c r="Q6518" s="4" t="str">
        <f>IFERROR(__xludf.DUMMYFUNCTION("""COMPUTED_VALUE"""),"Cardápio Web")</f>
        <v>Cardápio Web</v>
      </c>
      <c r="R6518" s="33">
        <f>IFERROR(__xludf.DUMMYFUNCTION("""COMPUTED_VALUE"""),1.0)</f>
        <v>1</v>
      </c>
      <c r="S6518" s="4" t="str">
        <f>IFERROR(__xludf.DUMMYFUNCTION("""COMPUTED_VALUE"""),"Cardápio Web")</f>
        <v>Cardápio Web</v>
      </c>
      <c r="T6518" s="33">
        <f>IFERROR(__xludf.DUMMYFUNCTION("""COMPUTED_VALUE"""),0.5)</f>
        <v>0.5</v>
      </c>
      <c r="U6518" s="4" t="str">
        <f>IFERROR(__xludf.DUMMYFUNCTION("""COMPUTED_VALUE"""),"Cardápio Web")</f>
        <v>Cardápio Web</v>
      </c>
      <c r="V6518" s="33">
        <f>IFERROR(__xludf.DUMMYFUNCTION("""COMPUTED_VALUE"""),0.5)</f>
        <v>0.5</v>
      </c>
      <c r="W6518" s="4" t="str">
        <f>IFERROR(__xludf.DUMMYFUNCTION("""COMPUTED_VALUE"""),"Cardápio Web")</f>
        <v>Cardápio Web</v>
      </c>
      <c r="X6518" s="33">
        <f>IFERROR(__xludf.DUMMYFUNCTION("""COMPUTED_VALUE"""),0.5)</f>
        <v>0.5</v>
      </c>
    </row>
    <row r="6519">
      <c r="K6519" s="4" t="str">
        <f>IFERROR(__xludf.DUMMYFUNCTION("""COMPUTED_VALUE"""),"DUDU RESTAURANTE")</f>
        <v>DUDU RESTAURANTE</v>
      </c>
      <c r="L6519" s="32">
        <f>IFERROR(__xludf.DUMMYFUNCTION("""COMPUTED_VALUE"""),2.0)</f>
        <v>2</v>
      </c>
      <c r="M6519" s="4" t="str">
        <f>IFERROR(__xludf.DUMMYFUNCTION("""COMPUTED_VALUE"""),"Anota Ai Solucoes Digitais S/a")</f>
        <v>Anota Ai Solucoes Digitais S/a</v>
      </c>
      <c r="N6519" s="33">
        <f>IFERROR(__xludf.DUMMYFUNCTION("""COMPUTED_VALUE"""),0.5)</f>
        <v>0.5</v>
      </c>
      <c r="O6519" s="4" t="str">
        <f>IFERROR(__xludf.DUMMYFUNCTION("""COMPUTED_VALUE"""),"Anota Ai Solucoes Digitais S/a")</f>
        <v>Anota Ai Solucoes Digitais S/a</v>
      </c>
      <c r="P6519" s="33">
        <f>IFERROR(__xludf.DUMMYFUNCTION("""COMPUTED_VALUE"""),0.5)</f>
        <v>0.5</v>
      </c>
      <c r="Q6519" s="4" t="str">
        <f>IFERROR(__xludf.DUMMYFUNCTION("""COMPUTED_VALUE"""),"Anota Ai Solucoes Digitais S/a")</f>
        <v>Anota Ai Solucoes Digitais S/a</v>
      </c>
      <c r="R6519" s="33">
        <f>IFERROR(__xludf.DUMMYFUNCTION("""COMPUTED_VALUE"""),0.5)</f>
        <v>0.5</v>
      </c>
      <c r="S6519" s="4" t="str">
        <f>IFERROR(__xludf.DUMMYFUNCTION("""COMPUTED_VALUE"""),"Anota Ai Solucoes Digitais S/a")</f>
        <v>Anota Ai Solucoes Digitais S/a</v>
      </c>
      <c r="T6519" s="33">
        <f>IFERROR(__xludf.DUMMYFUNCTION("""COMPUTED_VALUE"""),0.5)</f>
        <v>0.5</v>
      </c>
      <c r="U6519" s="4" t="str">
        <f>IFERROR(__xludf.DUMMYFUNCTION("""COMPUTED_VALUE"""),"Anota Ai Solucoes Digitais S/a")</f>
        <v>Anota Ai Solucoes Digitais S/a</v>
      </c>
      <c r="V6519" s="33">
        <f>IFERROR(__xludf.DUMMYFUNCTION("""COMPUTED_VALUE"""),0.5)</f>
        <v>0.5</v>
      </c>
      <c r="W6519" s="4" t="str">
        <f>IFERROR(__xludf.DUMMYFUNCTION("""COMPUTED_VALUE"""),"Anota Ai Solucoes Digitais S/a")</f>
        <v>Anota Ai Solucoes Digitais S/a</v>
      </c>
      <c r="X6519" s="33">
        <f>IFERROR(__xludf.DUMMYFUNCTION("""COMPUTED_VALUE"""),0.5)</f>
        <v>0.5</v>
      </c>
    </row>
    <row r="6520">
      <c r="K6520" s="4" t="str">
        <f>IFERROR(__xludf.DUMMYFUNCTION("""COMPUTED_VALUE"""),"MONTEIRO PIZZARIA")</f>
        <v>MONTEIRO PIZZARIA</v>
      </c>
      <c r="L6520" s="32">
        <f>IFERROR(__xludf.DUMMYFUNCTION("""COMPUTED_VALUE"""),2.0)</f>
        <v>2</v>
      </c>
      <c r="M6520" s="4" t="str">
        <f>IFERROR(__xludf.DUMMYFUNCTION("""COMPUTED_VALUE"""),"Suitable Tecnologia E Gestao")</f>
        <v>Suitable Tecnologia E Gestao</v>
      </c>
      <c r="N6520" s="33">
        <f>IFERROR(__xludf.DUMMYFUNCTION("""COMPUTED_VALUE"""),0.5)</f>
        <v>0.5</v>
      </c>
      <c r="O6520" s="4" t="str">
        <f>IFERROR(__xludf.DUMMYFUNCTION("""COMPUTED_VALUE"""),"Suitable Tecnologia E Gestao")</f>
        <v>Suitable Tecnologia E Gestao</v>
      </c>
      <c r="P6520" s="33">
        <f>IFERROR(__xludf.DUMMYFUNCTION("""COMPUTED_VALUE"""),0.5)</f>
        <v>0.5</v>
      </c>
      <c r="Q6520" s="4" t="str">
        <f>IFERROR(__xludf.DUMMYFUNCTION("""COMPUTED_VALUE"""),"Suitable Tecnologia E Gestao")</f>
        <v>Suitable Tecnologia E Gestao</v>
      </c>
      <c r="R6520" s="33">
        <f>IFERROR(__xludf.DUMMYFUNCTION("""COMPUTED_VALUE"""),0.5)</f>
        <v>0.5</v>
      </c>
      <c r="S6520" s="4" t="str">
        <f>IFERROR(__xludf.DUMMYFUNCTION("""COMPUTED_VALUE"""),"null")</f>
        <v>null</v>
      </c>
      <c r="T6520" s="33">
        <f>IFERROR(__xludf.DUMMYFUNCTION("""COMPUTED_VALUE"""),0.5)</f>
        <v>0.5</v>
      </c>
      <c r="U6520" s="4" t="str">
        <f>IFERROR(__xludf.DUMMYFUNCTION("""COMPUTED_VALUE"""),"Suitable Tecnologia E Gestao")</f>
        <v>Suitable Tecnologia E Gestao</v>
      </c>
      <c r="V6520" s="33">
        <f>IFERROR(__xludf.DUMMYFUNCTION("""COMPUTED_VALUE"""),0.5)</f>
        <v>0.5</v>
      </c>
      <c r="W6520" s="4" t="str">
        <f>IFERROR(__xludf.DUMMYFUNCTION("""COMPUTED_VALUE"""),"Suitable Tecnologia E Gestao")</f>
        <v>Suitable Tecnologia E Gestao</v>
      </c>
      <c r="X6520" s="33">
        <f>IFERROR(__xludf.DUMMYFUNCTION("""COMPUTED_VALUE"""),0.5)</f>
        <v>0.5</v>
      </c>
    </row>
    <row r="6521">
      <c r="K6521" s="4" t="str">
        <f>IFERROR(__xludf.DUMMYFUNCTION("""COMPUTED_VALUE"""),"IPPON TEMAKI E POKEE")</f>
        <v>IPPON TEMAKI E POKEE</v>
      </c>
      <c r="L6521" s="32">
        <f>IFERROR(__xludf.DUMMYFUNCTION("""COMPUTED_VALUE"""),2.0)</f>
        <v>2</v>
      </c>
      <c r="M6521" s="4" t="str">
        <f>IFERROR(__xludf.DUMMYFUNCTION("""COMPUTED_VALUE"""),"Saipos Serviços De Software")</f>
        <v>Saipos Serviços De Software</v>
      </c>
      <c r="N6521" s="33">
        <f>IFERROR(__xludf.DUMMYFUNCTION("""COMPUTED_VALUE"""),1.0)</f>
        <v>1</v>
      </c>
      <c r="O6521" s="4" t="str">
        <f>IFERROR(__xludf.DUMMYFUNCTION("""COMPUTED_VALUE"""),"Saipos Serviços De Software")</f>
        <v>Saipos Serviços De Software</v>
      </c>
      <c r="P6521" s="33">
        <f>IFERROR(__xludf.DUMMYFUNCTION("""COMPUTED_VALUE"""),1.0)</f>
        <v>1</v>
      </c>
      <c r="Q6521" s="4" t="str">
        <f>IFERROR(__xludf.DUMMYFUNCTION("""COMPUTED_VALUE"""),"Saipos Serviços De Software")</f>
        <v>Saipos Serviços De Software</v>
      </c>
      <c r="R6521" s="33">
        <f>IFERROR(__xludf.DUMMYFUNCTION("""COMPUTED_VALUE"""),1.0)</f>
        <v>1</v>
      </c>
      <c r="S6521" s="4" t="str">
        <f>IFERROR(__xludf.DUMMYFUNCTION("""COMPUTED_VALUE"""),"Saipos Serviços De Software")</f>
        <v>Saipos Serviços De Software</v>
      </c>
      <c r="T6521" s="33">
        <f>IFERROR(__xludf.DUMMYFUNCTION("""COMPUTED_VALUE"""),1.0)</f>
        <v>1</v>
      </c>
      <c r="U6521" s="4" t="str">
        <f>IFERROR(__xludf.DUMMYFUNCTION("""COMPUTED_VALUE"""),"Saipos Serviços De Software")</f>
        <v>Saipos Serviços De Software</v>
      </c>
      <c r="V6521" s="33">
        <f>IFERROR(__xludf.DUMMYFUNCTION("""COMPUTED_VALUE"""),1.0)</f>
        <v>1</v>
      </c>
      <c r="W6521" s="4" t="str">
        <f>IFERROR(__xludf.DUMMYFUNCTION("""COMPUTED_VALUE"""),"Saipos Serviços De Software")</f>
        <v>Saipos Serviços De Software</v>
      </c>
      <c r="X6521" s="33">
        <f>IFERROR(__xludf.DUMMYFUNCTION("""COMPUTED_VALUE"""),1.0)</f>
        <v>1</v>
      </c>
    </row>
    <row r="6522">
      <c r="K6522" s="4" t="str">
        <f>IFERROR(__xludf.DUMMYFUNCTION("""COMPUTED_VALUE"""),"KINNA DO CHURRASCO")</f>
        <v>KINNA DO CHURRASCO</v>
      </c>
      <c r="L6522" s="32">
        <f>IFERROR(__xludf.DUMMYFUNCTION("""COMPUTED_VALUE"""),2.0)</f>
        <v>2</v>
      </c>
      <c r="M6522" s="4" t="str">
        <f>IFERROR(__xludf.DUMMYFUNCTION("""COMPUTED_VALUE"""),"Anota Ai Solucoes Digitais S/a")</f>
        <v>Anota Ai Solucoes Digitais S/a</v>
      </c>
      <c r="N6522" s="33">
        <f>IFERROR(__xludf.DUMMYFUNCTION("""COMPUTED_VALUE"""),0.5)</f>
        <v>0.5</v>
      </c>
      <c r="O6522" s="4" t="str">
        <f>IFERROR(__xludf.DUMMYFUNCTION("""COMPUTED_VALUE"""),"null")</f>
        <v>null</v>
      </c>
      <c r="P6522" s="33">
        <f>IFERROR(__xludf.DUMMYFUNCTION("""COMPUTED_VALUE"""),1.0)</f>
        <v>1</v>
      </c>
      <c r="Q6522" s="4" t="str">
        <f>IFERROR(__xludf.DUMMYFUNCTION("""COMPUTED_VALUE"""),"null")</f>
        <v>null</v>
      </c>
      <c r="R6522" s="33">
        <f>IFERROR(__xludf.DUMMYFUNCTION("""COMPUTED_VALUE"""),1.0)</f>
        <v>1</v>
      </c>
      <c r="S6522" s="4" t="str">
        <f>IFERROR(__xludf.DUMMYFUNCTION("""COMPUTED_VALUE"""),"null")</f>
        <v>null</v>
      </c>
      <c r="T6522" s="33">
        <f>IFERROR(__xludf.DUMMYFUNCTION("""COMPUTED_VALUE"""),1.0)</f>
        <v>1</v>
      </c>
      <c r="U6522" s="4" t="str">
        <f>IFERROR(__xludf.DUMMYFUNCTION("""COMPUTED_VALUE"""),"null")</f>
        <v>null</v>
      </c>
      <c r="V6522" s="33">
        <f>IFERROR(__xludf.DUMMYFUNCTION("""COMPUTED_VALUE"""),1.0)</f>
        <v>1</v>
      </c>
      <c r="W6522" s="4" t="str">
        <f>IFERROR(__xludf.DUMMYFUNCTION("""COMPUTED_VALUE"""),"null")</f>
        <v>null</v>
      </c>
      <c r="X6522" s="33">
        <f>IFERROR(__xludf.DUMMYFUNCTION("""COMPUTED_VALUE"""),0.5)</f>
        <v>0.5</v>
      </c>
    </row>
    <row r="6523">
      <c r="K6523" s="4" t="str">
        <f>IFERROR(__xludf.DUMMYFUNCTION("""COMPUTED_VALUE"""),"COMIDA JAPONESA")</f>
        <v>COMIDA JAPONESA</v>
      </c>
      <c r="L6523" s="32">
        <f>IFERROR(__xludf.DUMMYFUNCTION("""COMPUTED_VALUE"""),2.0)</f>
        <v>2</v>
      </c>
      <c r="M6523" s="4" t="str">
        <f>IFERROR(__xludf.DUMMYFUNCTION("""COMPUTED_VALUE"""),"Mp Multipedidos")</f>
        <v>Mp Multipedidos</v>
      </c>
      <c r="N6523" s="33">
        <f>IFERROR(__xludf.DUMMYFUNCTION("""COMPUTED_VALUE"""),0.5)</f>
        <v>0.5</v>
      </c>
      <c r="O6523" s="4" t="str">
        <f>IFERROR(__xludf.DUMMYFUNCTION("""COMPUTED_VALUE"""),"Mp Multipedidos")</f>
        <v>Mp Multipedidos</v>
      </c>
      <c r="P6523" s="33">
        <f>IFERROR(__xludf.DUMMYFUNCTION("""COMPUTED_VALUE"""),0.5)</f>
        <v>0.5</v>
      </c>
      <c r="Q6523" s="4" t="str">
        <f>IFERROR(__xludf.DUMMYFUNCTION("""COMPUTED_VALUE"""),"Mp Multipedidos")</f>
        <v>Mp Multipedidos</v>
      </c>
      <c r="R6523" s="33">
        <f>IFERROR(__xludf.DUMMYFUNCTION("""COMPUTED_VALUE"""),0.5)</f>
        <v>0.5</v>
      </c>
      <c r="S6523" s="4" t="str">
        <f>IFERROR(__xludf.DUMMYFUNCTION("""COMPUTED_VALUE"""),"Mp Multipedidos")</f>
        <v>Mp Multipedidos</v>
      </c>
      <c r="T6523" s="33">
        <f>IFERROR(__xludf.DUMMYFUNCTION("""COMPUTED_VALUE"""),0.5)</f>
        <v>0.5</v>
      </c>
      <c r="U6523" s="4" t="str">
        <f>IFERROR(__xludf.DUMMYFUNCTION("""COMPUTED_VALUE"""),"Mp Multipedidos")</f>
        <v>Mp Multipedidos</v>
      </c>
      <c r="V6523" s="33">
        <f>IFERROR(__xludf.DUMMYFUNCTION("""COMPUTED_VALUE"""),0.5)</f>
        <v>0.5</v>
      </c>
      <c r="W6523" s="4" t="str">
        <f>IFERROR(__xludf.DUMMYFUNCTION("""COMPUTED_VALUE"""),"Mp Multipedidos")</f>
        <v>Mp Multipedidos</v>
      </c>
      <c r="X6523" s="33">
        <f>IFERROR(__xludf.DUMMYFUNCTION("""COMPUTED_VALUE"""),0.5)</f>
        <v>0.5</v>
      </c>
    </row>
    <row r="6524">
      <c r="K6524" s="4" t="str">
        <f>IFERROR(__xludf.DUMMYFUNCTION("""COMPUTED_VALUE"""),"BLACK BULL BURGER")</f>
        <v>BLACK BULL BURGER</v>
      </c>
      <c r="L6524" s="32">
        <f>IFERROR(__xludf.DUMMYFUNCTION("""COMPUTED_VALUE"""),2.0)</f>
        <v>2</v>
      </c>
      <c r="M6524" s="4" t="str">
        <f>IFERROR(__xludf.DUMMYFUNCTION("""COMPUTED_VALUE"""),"Menew - Linx")</f>
        <v>Menew - Linx</v>
      </c>
      <c r="N6524" s="33">
        <f>IFERROR(__xludf.DUMMYFUNCTION("""COMPUTED_VALUE"""),0.5)</f>
        <v>0.5</v>
      </c>
      <c r="O6524" s="4" t="str">
        <f>IFERROR(__xludf.DUMMYFUNCTION("""COMPUTED_VALUE"""),"Menew - Linx")</f>
        <v>Menew - Linx</v>
      </c>
      <c r="P6524" s="33">
        <f>IFERROR(__xludf.DUMMYFUNCTION("""COMPUTED_VALUE"""),0.5)</f>
        <v>0.5</v>
      </c>
      <c r="Q6524" s="4" t="str">
        <f>IFERROR(__xludf.DUMMYFUNCTION("""COMPUTED_VALUE"""),"Menew - Linx")</f>
        <v>Menew - Linx</v>
      </c>
      <c r="R6524" s="33">
        <f>IFERROR(__xludf.DUMMYFUNCTION("""COMPUTED_VALUE"""),0.5)</f>
        <v>0.5</v>
      </c>
      <c r="S6524" s="4" t="str">
        <f>IFERROR(__xludf.DUMMYFUNCTION("""COMPUTED_VALUE"""),"Menew - Linx")</f>
        <v>Menew - Linx</v>
      </c>
      <c r="T6524" s="33">
        <f>IFERROR(__xludf.DUMMYFUNCTION("""COMPUTED_VALUE"""),0.5)</f>
        <v>0.5</v>
      </c>
      <c r="U6524" s="4" t="str">
        <f>IFERROR(__xludf.DUMMYFUNCTION("""COMPUTED_VALUE"""),"Menew - Linx")</f>
        <v>Menew - Linx</v>
      </c>
      <c r="V6524" s="33">
        <f>IFERROR(__xludf.DUMMYFUNCTION("""COMPUTED_VALUE"""),0.5)</f>
        <v>0.5</v>
      </c>
      <c r="W6524" s="4" t="str">
        <f>IFERROR(__xludf.DUMMYFUNCTION("""COMPUTED_VALUE"""),"Menew - Linx")</f>
        <v>Menew - Linx</v>
      </c>
      <c r="X6524" s="33">
        <f>IFERROR(__xludf.DUMMYFUNCTION("""COMPUTED_VALUE"""),0.5)</f>
        <v>0.5</v>
      </c>
    </row>
    <row r="6525">
      <c r="K6525" s="4" t="str">
        <f>IFERROR(__xludf.DUMMYFUNCTION("""COMPUTED_VALUE"""),"JARICO HAMBURGUERIA")</f>
        <v>JARICO HAMBURGUERIA</v>
      </c>
      <c r="L6525" s="32">
        <f>IFERROR(__xludf.DUMMYFUNCTION("""COMPUTED_VALUE"""),2.0)</f>
        <v>2</v>
      </c>
      <c r="M6525" s="4" t="str">
        <f>IFERROR(__xludf.DUMMYFUNCTION("""COMPUTED_VALUE"""),"Automatize Sistemas")</f>
        <v>Automatize Sistemas</v>
      </c>
      <c r="N6525" s="33">
        <f>IFERROR(__xludf.DUMMYFUNCTION("""COMPUTED_VALUE"""),0.5)</f>
        <v>0.5</v>
      </c>
      <c r="O6525" s="4" t="str">
        <f>IFERROR(__xludf.DUMMYFUNCTION("""COMPUTED_VALUE"""),"Automatize Sistemas")</f>
        <v>Automatize Sistemas</v>
      </c>
      <c r="P6525" s="33">
        <f>IFERROR(__xludf.DUMMYFUNCTION("""COMPUTED_VALUE"""),0.5)</f>
        <v>0.5</v>
      </c>
      <c r="Q6525" s="4" t="str">
        <f>IFERROR(__xludf.DUMMYFUNCTION("""COMPUTED_VALUE"""),"null")</f>
        <v>null</v>
      </c>
      <c r="R6525" s="33">
        <f>IFERROR(__xludf.DUMMYFUNCTION("""COMPUTED_VALUE"""),0.5)</f>
        <v>0.5</v>
      </c>
      <c r="S6525" s="4" t="str">
        <f>IFERROR(__xludf.DUMMYFUNCTION("""COMPUTED_VALUE"""),"null")</f>
        <v>null</v>
      </c>
      <c r="T6525" s="33">
        <f>IFERROR(__xludf.DUMMYFUNCTION("""COMPUTED_VALUE"""),0.5)</f>
        <v>0.5</v>
      </c>
      <c r="U6525" s="4" t="str">
        <f>IFERROR(__xludf.DUMMYFUNCTION("""COMPUTED_VALUE"""),"null")</f>
        <v>null</v>
      </c>
      <c r="V6525" s="33">
        <f>IFERROR(__xludf.DUMMYFUNCTION("""COMPUTED_VALUE"""),0.5)</f>
        <v>0.5</v>
      </c>
      <c r="W6525" s="4" t="str">
        <f>IFERROR(__xludf.DUMMYFUNCTION("""COMPUTED_VALUE"""),"null")</f>
        <v>null</v>
      </c>
      <c r="X6525" s="33">
        <f>IFERROR(__xludf.DUMMYFUNCTION("""COMPUTED_VALUE"""),0.5)</f>
        <v>0.5</v>
      </c>
    </row>
    <row r="6526">
      <c r="K6526" s="4" t="str">
        <f>IFERROR(__xludf.DUMMYFUNCTION("""COMPUTED_VALUE"""),"GARDEN HAMBURGUERIA")</f>
        <v>GARDEN HAMBURGUERIA</v>
      </c>
      <c r="L6526" s="32">
        <f>IFERROR(__xludf.DUMMYFUNCTION("""COMPUTED_VALUE"""),2.0)</f>
        <v>2</v>
      </c>
      <c r="M6526" s="4" t="str">
        <f>IFERROR(__xludf.DUMMYFUNCTION("""COMPUTED_VALUE"""),"Instadelivery")</f>
        <v>Instadelivery</v>
      </c>
      <c r="N6526" s="33">
        <f>IFERROR(__xludf.DUMMYFUNCTION("""COMPUTED_VALUE"""),0.5)</f>
        <v>0.5</v>
      </c>
      <c r="O6526" s="4" t="str">
        <f>IFERROR(__xludf.DUMMYFUNCTION("""COMPUTED_VALUE"""),"null")</f>
        <v>null</v>
      </c>
      <c r="P6526" s="33">
        <f>IFERROR(__xludf.DUMMYFUNCTION("""COMPUTED_VALUE"""),0.5)</f>
        <v>0.5</v>
      </c>
      <c r="Q6526" s="4" t="str">
        <f>IFERROR(__xludf.DUMMYFUNCTION("""COMPUTED_VALUE"""),"null")</f>
        <v>null</v>
      </c>
      <c r="R6526" s="33">
        <f>IFERROR(__xludf.DUMMYFUNCTION("""COMPUTED_VALUE"""),1.0)</f>
        <v>1</v>
      </c>
      <c r="S6526" s="4" t="str">
        <f>IFERROR(__xludf.DUMMYFUNCTION("""COMPUTED_VALUE"""),"null")</f>
        <v>null</v>
      </c>
      <c r="T6526" s="33">
        <f>IFERROR(__xludf.DUMMYFUNCTION("""COMPUTED_VALUE"""),1.0)</f>
        <v>1</v>
      </c>
      <c r="U6526" s="4" t="str">
        <f>IFERROR(__xludf.DUMMYFUNCTION("""COMPUTED_VALUE"""),"null")</f>
        <v>null</v>
      </c>
      <c r="V6526" s="33">
        <f>IFERROR(__xludf.DUMMYFUNCTION("""COMPUTED_VALUE"""),1.0)</f>
        <v>1</v>
      </c>
      <c r="W6526" s="4" t="str">
        <f>IFERROR(__xludf.DUMMYFUNCTION("""COMPUTED_VALUE"""),"null")</f>
        <v>null</v>
      </c>
      <c r="X6526" s="33">
        <f>IFERROR(__xludf.DUMMYFUNCTION("""COMPUTED_VALUE"""),1.0)</f>
        <v>1</v>
      </c>
    </row>
    <row r="6527">
      <c r="K6527" s="4" t="str">
        <f>IFERROR(__xludf.DUMMYFUNCTION("""COMPUTED_VALUE"""),"MANIA DE PASTEL")</f>
        <v>MANIA DE PASTEL</v>
      </c>
      <c r="L6527" s="32">
        <f>IFERROR(__xludf.DUMMYFUNCTION("""COMPUTED_VALUE"""),2.0)</f>
        <v>2</v>
      </c>
      <c r="M6527" s="4" t="str">
        <f>IFERROR(__xludf.DUMMYFUNCTION("""COMPUTED_VALUE"""),"Diggy")</f>
        <v>Diggy</v>
      </c>
      <c r="N6527" s="33">
        <f>IFERROR(__xludf.DUMMYFUNCTION("""COMPUTED_VALUE"""),0.5)</f>
        <v>0.5</v>
      </c>
      <c r="O6527" s="4" t="str">
        <f>IFERROR(__xludf.DUMMYFUNCTION("""COMPUTED_VALUE"""),"Diggy")</f>
        <v>Diggy</v>
      </c>
      <c r="P6527" s="33">
        <f>IFERROR(__xludf.DUMMYFUNCTION("""COMPUTED_VALUE"""),0.5)</f>
        <v>0.5</v>
      </c>
      <c r="Q6527" s="4" t="str">
        <f>IFERROR(__xludf.DUMMYFUNCTION("""COMPUTED_VALUE"""),"Diggy")</f>
        <v>Diggy</v>
      </c>
      <c r="R6527" s="33">
        <f>IFERROR(__xludf.DUMMYFUNCTION("""COMPUTED_VALUE"""),0.5)</f>
        <v>0.5</v>
      </c>
      <c r="S6527" s="4" t="str">
        <f>IFERROR(__xludf.DUMMYFUNCTION("""COMPUTED_VALUE"""),"null")</f>
        <v>null</v>
      </c>
      <c r="T6527" s="33">
        <f>IFERROR(__xludf.DUMMYFUNCTION("""COMPUTED_VALUE"""),0.5)</f>
        <v>0.5</v>
      </c>
      <c r="U6527" s="4" t="str">
        <f>IFERROR(__xludf.DUMMYFUNCTION("""COMPUTED_VALUE"""),"null")</f>
        <v>null</v>
      </c>
      <c r="V6527" s="33">
        <f>IFERROR(__xludf.DUMMYFUNCTION("""COMPUTED_VALUE"""),0.5)</f>
        <v>0.5</v>
      </c>
      <c r="W6527" s="4" t="str">
        <f>IFERROR(__xludf.DUMMYFUNCTION("""COMPUTED_VALUE"""),"null")</f>
        <v>null</v>
      </c>
      <c r="X6527" s="33">
        <f>IFERROR(__xludf.DUMMYFUNCTION("""COMPUTED_VALUE"""),0.5)</f>
        <v>0.5</v>
      </c>
    </row>
    <row r="6528">
      <c r="K6528" s="4" t="str">
        <f>IFERROR(__xludf.DUMMYFUNCTION("""COMPUTED_VALUE"""),"PASTEL CIA DE COSMOS")</f>
        <v>PASTEL CIA DE COSMOS</v>
      </c>
      <c r="L6528" s="32">
        <f>IFERROR(__xludf.DUMMYFUNCTION("""COMPUTED_VALUE"""),2.0)</f>
        <v>2</v>
      </c>
      <c r="M6528" s="4" t="str">
        <f>IFERROR(__xludf.DUMMYFUNCTION("""COMPUTED_VALUE"""),"null")</f>
        <v>null</v>
      </c>
      <c r="N6528" s="33">
        <f>IFERROR(__xludf.DUMMYFUNCTION("""COMPUTED_VALUE"""),0.5)</f>
        <v>0.5</v>
      </c>
      <c r="O6528" s="4" t="str">
        <f>IFERROR(__xludf.DUMMYFUNCTION("""COMPUTED_VALUE"""),"null")</f>
        <v>null</v>
      </c>
      <c r="P6528" s="33">
        <f>IFERROR(__xludf.DUMMYFUNCTION("""COMPUTED_VALUE"""),0.5)</f>
        <v>0.5</v>
      </c>
      <c r="Q6528" s="4" t="str">
        <f>IFERROR(__xludf.DUMMYFUNCTION("""COMPUTED_VALUE"""),"null")</f>
        <v>null</v>
      </c>
      <c r="R6528" s="33">
        <f>IFERROR(__xludf.DUMMYFUNCTION("""COMPUTED_VALUE"""),0.5)</f>
        <v>0.5</v>
      </c>
      <c r="S6528" s="4" t="str">
        <f>IFERROR(__xludf.DUMMYFUNCTION("""COMPUTED_VALUE"""),"null")</f>
        <v>null</v>
      </c>
      <c r="T6528" s="33">
        <f>IFERROR(__xludf.DUMMYFUNCTION("""COMPUTED_VALUE"""),1.0)</f>
        <v>1</v>
      </c>
      <c r="U6528" s="4" t="str">
        <f>IFERROR(__xludf.DUMMYFUNCTION("""COMPUTED_VALUE"""),"Alloy Tecnologia")</f>
        <v>Alloy Tecnologia</v>
      </c>
      <c r="V6528" s="33">
        <f>IFERROR(__xludf.DUMMYFUNCTION("""COMPUTED_VALUE"""),1.0)</f>
        <v>1</v>
      </c>
      <c r="W6528" s="4" t="str">
        <f>IFERROR(__xludf.DUMMYFUNCTION("""COMPUTED_VALUE"""),"Alloy Tecnologia")</f>
        <v>Alloy Tecnologia</v>
      </c>
      <c r="X6528" s="33">
        <f>IFERROR(__xludf.DUMMYFUNCTION("""COMPUTED_VALUE"""),1.0)</f>
        <v>1</v>
      </c>
    </row>
    <row r="6529">
      <c r="K6529" s="4" t="str">
        <f>IFERROR(__xludf.DUMMYFUNCTION("""COMPUTED_VALUE"""),"MAXIMUS PIZZA")</f>
        <v>MAXIMUS PIZZA</v>
      </c>
      <c r="L6529" s="32">
        <f>IFERROR(__xludf.DUMMYFUNCTION("""COMPUTED_VALUE"""),2.0)</f>
        <v>2</v>
      </c>
      <c r="M6529" s="4" t="str">
        <f>IFERROR(__xludf.DUMMYFUNCTION("""COMPUTED_VALUE"""),"null")</f>
        <v>null</v>
      </c>
      <c r="N6529" s="33">
        <f>IFERROR(__xludf.DUMMYFUNCTION("""COMPUTED_VALUE"""),1.0)</f>
        <v>1</v>
      </c>
      <c r="O6529" s="4" t="str">
        <f>IFERROR(__xludf.DUMMYFUNCTION("""COMPUTED_VALUE"""),"null")</f>
        <v>null</v>
      </c>
      <c r="P6529" s="33">
        <f>IFERROR(__xludf.DUMMYFUNCTION("""COMPUTED_VALUE"""),1.0)</f>
        <v>1</v>
      </c>
      <c r="Q6529" s="4" t="str">
        <f>IFERROR(__xludf.DUMMYFUNCTION("""COMPUTED_VALUE"""),"Anota Ai Solucoes Digitais S/a")</f>
        <v>Anota Ai Solucoes Digitais S/a</v>
      </c>
      <c r="R6529" s="33">
        <f>IFERROR(__xludf.DUMMYFUNCTION("""COMPUTED_VALUE"""),0.5)</f>
        <v>0.5</v>
      </c>
      <c r="S6529" s="4" t="str">
        <f>IFERROR(__xludf.DUMMYFUNCTION("""COMPUTED_VALUE"""),"Anota Ai Solucoes Digitais S/a")</f>
        <v>Anota Ai Solucoes Digitais S/a</v>
      </c>
      <c r="T6529" s="33">
        <f>IFERROR(__xludf.DUMMYFUNCTION("""COMPUTED_VALUE"""),0.5)</f>
        <v>0.5</v>
      </c>
      <c r="U6529" s="4" t="str">
        <f>IFERROR(__xludf.DUMMYFUNCTION("""COMPUTED_VALUE"""),"Anota Ai Solucoes Digitais S/a")</f>
        <v>Anota Ai Solucoes Digitais S/a</v>
      </c>
      <c r="V6529" s="33">
        <f>IFERROR(__xludf.DUMMYFUNCTION("""COMPUTED_VALUE"""),0.5)</f>
        <v>0.5</v>
      </c>
      <c r="W6529" s="4" t="str">
        <f>IFERROR(__xludf.DUMMYFUNCTION("""COMPUTED_VALUE"""),"Anota Ai Solucoes Digitais S/a")</f>
        <v>Anota Ai Solucoes Digitais S/a</v>
      </c>
      <c r="X6529" s="33">
        <f>IFERROR(__xludf.DUMMYFUNCTION("""COMPUTED_VALUE"""),0.5)</f>
        <v>0.5</v>
      </c>
    </row>
    <row r="6530">
      <c r="K6530" s="4" t="str">
        <f>IFERROR(__xludf.DUMMYFUNCTION("""COMPUTED_VALUE"""),"PONTO DOG")</f>
        <v>PONTO DOG</v>
      </c>
      <c r="L6530" s="32">
        <f>IFERROR(__xludf.DUMMYFUNCTION("""COMPUTED_VALUE"""),2.0)</f>
        <v>2</v>
      </c>
      <c r="M6530" s="4" t="str">
        <f>IFERROR(__xludf.DUMMYFUNCTION("""COMPUTED_VALUE"""),"Saipos Serviços De Software")</f>
        <v>Saipos Serviços De Software</v>
      </c>
      <c r="N6530" s="33">
        <f>IFERROR(__xludf.DUMMYFUNCTION("""COMPUTED_VALUE"""),0.5)</f>
        <v>0.5</v>
      </c>
      <c r="O6530" s="4" t="str">
        <f>IFERROR(__xludf.DUMMYFUNCTION("""COMPUTED_VALUE"""),"Saipos Serviços De Software")</f>
        <v>Saipos Serviços De Software</v>
      </c>
      <c r="P6530" s="33">
        <f>IFERROR(__xludf.DUMMYFUNCTION("""COMPUTED_VALUE"""),0.5)</f>
        <v>0.5</v>
      </c>
      <c r="Q6530" s="4" t="str">
        <f>IFERROR(__xludf.DUMMYFUNCTION("""COMPUTED_VALUE"""),"Saipos Serviços De Software")</f>
        <v>Saipos Serviços De Software</v>
      </c>
      <c r="R6530" s="33">
        <f>IFERROR(__xludf.DUMMYFUNCTION("""COMPUTED_VALUE"""),0.5)</f>
        <v>0.5</v>
      </c>
      <c r="S6530" s="4" t="str">
        <f>IFERROR(__xludf.DUMMYFUNCTION("""COMPUTED_VALUE"""),"Saipos Serviços De Software")</f>
        <v>Saipos Serviços De Software</v>
      </c>
      <c r="T6530" s="33">
        <f>IFERROR(__xludf.DUMMYFUNCTION("""COMPUTED_VALUE"""),0.5)</f>
        <v>0.5</v>
      </c>
      <c r="U6530" s="4" t="str">
        <f>IFERROR(__xludf.DUMMYFUNCTION("""COMPUTED_VALUE"""),"Saipos Serviços De Software")</f>
        <v>Saipos Serviços De Software</v>
      </c>
      <c r="V6530" s="33">
        <f>IFERROR(__xludf.DUMMYFUNCTION("""COMPUTED_VALUE"""),1.0)</f>
        <v>1</v>
      </c>
      <c r="W6530" s="4" t="str">
        <f>IFERROR(__xludf.DUMMYFUNCTION("""COMPUTED_VALUE"""),"null")</f>
        <v>null</v>
      </c>
      <c r="X6530" s="33">
        <f>IFERROR(__xludf.DUMMYFUNCTION("""COMPUTED_VALUE"""),0.5)</f>
        <v>0.5</v>
      </c>
    </row>
    <row r="6531">
      <c r="K6531" s="4" t="str">
        <f>IFERROR(__xludf.DUMMYFUNCTION("""COMPUTED_VALUE"""),"FAMILY BURGUER")</f>
        <v>FAMILY BURGUER</v>
      </c>
      <c r="L6531" s="32">
        <f>IFERROR(__xludf.DUMMYFUNCTION("""COMPUTED_VALUE"""),2.0)</f>
        <v>2</v>
      </c>
      <c r="M6531" s="4" t="str">
        <f>IFERROR(__xludf.DUMMYFUNCTION("""COMPUTED_VALUE"""),"Anota Ai Solucoes Digitais S/a")</f>
        <v>Anota Ai Solucoes Digitais S/a</v>
      </c>
      <c r="N6531" s="33">
        <f>IFERROR(__xludf.DUMMYFUNCTION("""COMPUTED_VALUE"""),0.5)</f>
        <v>0.5</v>
      </c>
      <c r="O6531" s="4" t="str">
        <f>IFERROR(__xludf.DUMMYFUNCTION("""COMPUTED_VALUE"""),"Anota Ai Solucoes Digitais S/a")</f>
        <v>Anota Ai Solucoes Digitais S/a</v>
      </c>
      <c r="P6531" s="33">
        <f>IFERROR(__xludf.DUMMYFUNCTION("""COMPUTED_VALUE"""),0.5)</f>
        <v>0.5</v>
      </c>
      <c r="Q6531" s="4" t="str">
        <f>IFERROR(__xludf.DUMMYFUNCTION("""COMPUTED_VALUE"""),"Anota Ai Solucoes Digitais S/a")</f>
        <v>Anota Ai Solucoes Digitais S/a</v>
      </c>
      <c r="R6531" s="33">
        <f>IFERROR(__xludf.DUMMYFUNCTION("""COMPUTED_VALUE"""),0.5)</f>
        <v>0.5</v>
      </c>
      <c r="S6531" s="4" t="str">
        <f>IFERROR(__xludf.DUMMYFUNCTION("""COMPUTED_VALUE"""),"Anota Ai Solucoes Digitais S/a")</f>
        <v>Anota Ai Solucoes Digitais S/a</v>
      </c>
      <c r="T6531" s="33">
        <f>IFERROR(__xludf.DUMMYFUNCTION("""COMPUTED_VALUE"""),0.5)</f>
        <v>0.5</v>
      </c>
      <c r="U6531" s="4" t="str">
        <f>IFERROR(__xludf.DUMMYFUNCTION("""COMPUTED_VALUE"""),"null")</f>
        <v>null</v>
      </c>
      <c r="V6531" s="33">
        <f>IFERROR(__xludf.DUMMYFUNCTION("""COMPUTED_VALUE"""),0.5)</f>
        <v>0.5</v>
      </c>
      <c r="W6531" s="4" t="str">
        <f>IFERROR(__xludf.DUMMYFUNCTION("""COMPUTED_VALUE"""),"Anota Ai Solucoes Digitais S/a")</f>
        <v>Anota Ai Solucoes Digitais S/a</v>
      </c>
      <c r="X6531" s="33">
        <f>IFERROR(__xludf.DUMMYFUNCTION("""COMPUTED_VALUE"""),0.5)</f>
        <v>0.5</v>
      </c>
    </row>
    <row r="6532">
      <c r="K6532" s="4" t="str">
        <f>IFERROR(__xludf.DUMMYFUNCTION("""COMPUTED_VALUE"""),"SUSHI CAICARAS")</f>
        <v>SUSHI CAICARAS</v>
      </c>
      <c r="L6532" s="32">
        <f>IFERROR(__xludf.DUMMYFUNCTION("""COMPUTED_VALUE"""),2.0)</f>
        <v>2</v>
      </c>
      <c r="M6532" s="4" t="str">
        <f>IFERROR(__xludf.DUMMYFUNCTION("""COMPUTED_VALUE"""),"Cardápio Web")</f>
        <v>Cardápio Web</v>
      </c>
      <c r="N6532" s="33">
        <f>IFERROR(__xludf.DUMMYFUNCTION("""COMPUTED_VALUE"""),0.5)</f>
        <v>0.5</v>
      </c>
      <c r="O6532" s="4" t="str">
        <f>IFERROR(__xludf.DUMMYFUNCTION("""COMPUTED_VALUE"""),"Cardápio Web")</f>
        <v>Cardápio Web</v>
      </c>
      <c r="P6532" s="33">
        <f>IFERROR(__xludf.DUMMYFUNCTION("""COMPUTED_VALUE"""),0.5)</f>
        <v>0.5</v>
      </c>
      <c r="Q6532" s="4" t="str">
        <f>IFERROR(__xludf.DUMMYFUNCTION("""COMPUTED_VALUE"""),"Cardápio Web")</f>
        <v>Cardápio Web</v>
      </c>
      <c r="R6532" s="33">
        <f>IFERROR(__xludf.DUMMYFUNCTION("""COMPUTED_VALUE"""),0.5)</f>
        <v>0.5</v>
      </c>
      <c r="S6532" s="4" t="str">
        <f>IFERROR(__xludf.DUMMYFUNCTION("""COMPUTED_VALUE"""),"null")</f>
        <v>null</v>
      </c>
      <c r="T6532" s="33">
        <f>IFERROR(__xludf.DUMMYFUNCTION("""COMPUTED_VALUE"""),0.5)</f>
        <v>0.5</v>
      </c>
      <c r="U6532" s="4" t="str">
        <f>IFERROR(__xludf.DUMMYFUNCTION("""COMPUTED_VALUE"""),"Cardápio Web")</f>
        <v>Cardápio Web</v>
      </c>
      <c r="V6532" s="33">
        <f>IFERROR(__xludf.DUMMYFUNCTION("""COMPUTED_VALUE"""),0.5)</f>
        <v>0.5</v>
      </c>
      <c r="W6532" s="4" t="str">
        <f>IFERROR(__xludf.DUMMYFUNCTION("""COMPUTED_VALUE"""),"null")</f>
        <v>null</v>
      </c>
      <c r="X6532" s="33">
        <f>IFERROR(__xludf.DUMMYFUNCTION("""COMPUTED_VALUE"""),0.5)</f>
        <v>0.5</v>
      </c>
    </row>
    <row r="6533">
      <c r="K6533" s="4" t="str">
        <f>IFERROR(__xludf.DUMMYFUNCTION("""COMPUTED_VALUE"""),"TOCA DA BRUXA")</f>
        <v>TOCA DA BRUXA</v>
      </c>
      <c r="L6533" s="32">
        <f>IFERROR(__xludf.DUMMYFUNCTION("""COMPUTED_VALUE"""),2.0)</f>
        <v>2</v>
      </c>
      <c r="M6533" s="4" t="str">
        <f>IFERROR(__xludf.DUMMYFUNCTION("""COMPUTED_VALUE"""),"Suitable Tecnologia E Gestao")</f>
        <v>Suitable Tecnologia E Gestao</v>
      </c>
      <c r="N6533" s="33">
        <f>IFERROR(__xludf.DUMMYFUNCTION("""COMPUTED_VALUE"""),0.5)</f>
        <v>0.5</v>
      </c>
      <c r="O6533" s="4" t="str">
        <f>IFERROR(__xludf.DUMMYFUNCTION("""COMPUTED_VALUE"""),"Suitable Tecnologia E Gestao")</f>
        <v>Suitable Tecnologia E Gestao</v>
      </c>
      <c r="P6533" s="33">
        <f>IFERROR(__xludf.DUMMYFUNCTION("""COMPUTED_VALUE"""),0.5)</f>
        <v>0.5</v>
      </c>
      <c r="Q6533" s="4" t="str">
        <f>IFERROR(__xludf.DUMMYFUNCTION("""COMPUTED_VALUE"""),"Suitable Tecnologia E Gestao")</f>
        <v>Suitable Tecnologia E Gestao</v>
      </c>
      <c r="R6533" s="33">
        <f>IFERROR(__xludf.DUMMYFUNCTION("""COMPUTED_VALUE"""),0.5)</f>
        <v>0.5</v>
      </c>
      <c r="S6533" s="4" t="str">
        <f>IFERROR(__xludf.DUMMYFUNCTION("""COMPUTED_VALUE"""),"Suitable Tecnologia E Gestao")</f>
        <v>Suitable Tecnologia E Gestao</v>
      </c>
      <c r="T6533" s="33">
        <f>IFERROR(__xludf.DUMMYFUNCTION("""COMPUTED_VALUE"""),0.5)</f>
        <v>0.5</v>
      </c>
      <c r="U6533" s="4" t="str">
        <f>IFERROR(__xludf.DUMMYFUNCTION("""COMPUTED_VALUE"""),"Suitable Tecnologia E Gestao")</f>
        <v>Suitable Tecnologia E Gestao</v>
      </c>
      <c r="V6533" s="33">
        <f>IFERROR(__xludf.DUMMYFUNCTION("""COMPUTED_VALUE"""),0.5)</f>
        <v>0.5</v>
      </c>
      <c r="W6533" s="4" t="str">
        <f>IFERROR(__xludf.DUMMYFUNCTION("""COMPUTED_VALUE"""),"Suitable Tecnologia E Gestao")</f>
        <v>Suitable Tecnologia E Gestao</v>
      </c>
      <c r="X6533" s="33">
        <f>IFERROR(__xludf.DUMMYFUNCTION("""COMPUTED_VALUE"""),0.5)</f>
        <v>0.5</v>
      </c>
    </row>
    <row r="6534">
      <c r="K6534" s="4" t="str">
        <f>IFERROR(__xludf.DUMMYFUNCTION("""COMPUTED_VALUE"""),"ACAI LOUNGE")</f>
        <v>ACAI LOUNGE</v>
      </c>
      <c r="L6534" s="32">
        <f>IFERROR(__xludf.DUMMYFUNCTION("""COMPUTED_VALUE"""),2.0)</f>
        <v>2</v>
      </c>
      <c r="M6534" s="4" t="str">
        <f>IFERROR(__xludf.DUMMYFUNCTION("""COMPUTED_VALUE"""),"Rw Informática Ltda")</f>
        <v>Rw Informática Ltda</v>
      </c>
      <c r="N6534" s="33">
        <f>IFERROR(__xludf.DUMMYFUNCTION("""COMPUTED_VALUE"""),0.5)</f>
        <v>0.5</v>
      </c>
      <c r="O6534" s="4" t="str">
        <f>IFERROR(__xludf.DUMMYFUNCTION("""COMPUTED_VALUE"""),"Rw Informática Ltda")</f>
        <v>Rw Informática Ltda</v>
      </c>
      <c r="P6534" s="33">
        <f>IFERROR(__xludf.DUMMYFUNCTION("""COMPUTED_VALUE"""),0.5)</f>
        <v>0.5</v>
      </c>
      <c r="Q6534" s="4" t="str">
        <f>IFERROR(__xludf.DUMMYFUNCTION("""COMPUTED_VALUE"""),"Rw Informática Ltda")</f>
        <v>Rw Informática Ltda</v>
      </c>
      <c r="R6534" s="33">
        <f>IFERROR(__xludf.DUMMYFUNCTION("""COMPUTED_VALUE"""),0.5)</f>
        <v>0.5</v>
      </c>
      <c r="S6534" s="4" t="str">
        <f>IFERROR(__xludf.DUMMYFUNCTION("""COMPUTED_VALUE"""),"Rw Informática Ltda")</f>
        <v>Rw Informática Ltda</v>
      </c>
      <c r="T6534" s="33">
        <f>IFERROR(__xludf.DUMMYFUNCTION("""COMPUTED_VALUE"""),0.5)</f>
        <v>0.5</v>
      </c>
      <c r="U6534" s="4" t="str">
        <f>IFERROR(__xludf.DUMMYFUNCTION("""COMPUTED_VALUE"""),"Rw Informática Ltda")</f>
        <v>Rw Informática Ltda</v>
      </c>
      <c r="V6534" s="33">
        <f>IFERROR(__xludf.DUMMYFUNCTION("""COMPUTED_VALUE"""),0.5)</f>
        <v>0.5</v>
      </c>
      <c r="W6534" s="4" t="str">
        <f>IFERROR(__xludf.DUMMYFUNCTION("""COMPUTED_VALUE"""),"Rw Informática Ltda")</f>
        <v>Rw Informática Ltda</v>
      </c>
      <c r="X6534" s="33">
        <f>IFERROR(__xludf.DUMMYFUNCTION("""COMPUTED_VALUE"""),0.5)</f>
        <v>0.5</v>
      </c>
    </row>
    <row r="6535">
      <c r="K6535" s="4" t="str">
        <f>IFERROR(__xludf.DUMMYFUNCTION("""COMPUTED_VALUE"""),"PIZZARIA CANOENSE")</f>
        <v>PIZZARIA CANOENSE</v>
      </c>
      <c r="L6535" s="32">
        <f>IFERROR(__xludf.DUMMYFUNCTION("""COMPUTED_VALUE"""),2.0)</f>
        <v>2</v>
      </c>
      <c r="M6535" s="4" t="str">
        <f>IFERROR(__xludf.DUMMYFUNCTION("""COMPUTED_VALUE"""),"Parseint Desenvolvimento De Sistemas Ltda")</f>
        <v>Parseint Desenvolvimento De Sistemas Ltda</v>
      </c>
      <c r="N6535" s="33">
        <f>IFERROR(__xludf.DUMMYFUNCTION("""COMPUTED_VALUE"""),1.0)</f>
        <v>1</v>
      </c>
      <c r="O6535" s="4" t="str">
        <f>IFERROR(__xludf.DUMMYFUNCTION("""COMPUTED_VALUE"""),"Takeat Tecnologia")</f>
        <v>Takeat Tecnologia</v>
      </c>
      <c r="P6535" s="33">
        <f>IFERROR(__xludf.DUMMYFUNCTION("""COMPUTED_VALUE"""),1.0)</f>
        <v>1</v>
      </c>
      <c r="Q6535" s="4" t="str">
        <f>IFERROR(__xludf.DUMMYFUNCTION("""COMPUTED_VALUE"""),"Takeat Tecnologia")</f>
        <v>Takeat Tecnologia</v>
      </c>
      <c r="R6535" s="33">
        <f>IFERROR(__xludf.DUMMYFUNCTION("""COMPUTED_VALUE"""),1.0)</f>
        <v>1</v>
      </c>
      <c r="S6535" s="4" t="str">
        <f>IFERROR(__xludf.DUMMYFUNCTION("""COMPUTED_VALUE"""),"null")</f>
        <v>null</v>
      </c>
      <c r="T6535" s="33">
        <f>IFERROR(__xludf.DUMMYFUNCTION("""COMPUTED_VALUE"""),1.0)</f>
        <v>1</v>
      </c>
      <c r="U6535" s="4" t="str">
        <f>IFERROR(__xludf.DUMMYFUNCTION("""COMPUTED_VALUE"""),"null")</f>
        <v>null</v>
      </c>
      <c r="V6535" s="33">
        <f>IFERROR(__xludf.DUMMYFUNCTION("""COMPUTED_VALUE"""),1.0)</f>
        <v>1</v>
      </c>
      <c r="W6535" s="4" t="str">
        <f>IFERROR(__xludf.DUMMYFUNCTION("""COMPUTED_VALUE"""),"null")</f>
        <v>null</v>
      </c>
      <c r="X6535" s="33">
        <f>IFERROR(__xludf.DUMMYFUNCTION("""COMPUTED_VALUE"""),0.6666666666666666)</f>
        <v>0.6666666667</v>
      </c>
    </row>
    <row r="6536">
      <c r="K6536" s="4" t="str">
        <f>IFERROR(__xludf.DUMMYFUNCTION("""COMPUTED_VALUE"""),"CALDINHO DO MATUTO")</f>
        <v>CALDINHO DO MATUTO</v>
      </c>
      <c r="L6536" s="32">
        <f>IFERROR(__xludf.DUMMYFUNCTION("""COMPUTED_VALUE"""),2.0)</f>
        <v>2</v>
      </c>
      <c r="M6536" s="4" t="str">
        <f>IFERROR(__xludf.DUMMYFUNCTION("""COMPUTED_VALUE"""),"Yooga")</f>
        <v>Yooga</v>
      </c>
      <c r="N6536" s="33">
        <f>IFERROR(__xludf.DUMMYFUNCTION("""COMPUTED_VALUE"""),0.5)</f>
        <v>0.5</v>
      </c>
      <c r="O6536" s="4" t="str">
        <f>IFERROR(__xludf.DUMMYFUNCTION("""COMPUTED_VALUE"""),"Yooga")</f>
        <v>Yooga</v>
      </c>
      <c r="P6536" s="33">
        <f>IFERROR(__xludf.DUMMYFUNCTION("""COMPUTED_VALUE"""),0.5)</f>
        <v>0.5</v>
      </c>
      <c r="Q6536" s="4" t="str">
        <f>IFERROR(__xludf.DUMMYFUNCTION("""COMPUTED_VALUE"""),"Yooga")</f>
        <v>Yooga</v>
      </c>
      <c r="R6536" s="33">
        <f>IFERROR(__xludf.DUMMYFUNCTION("""COMPUTED_VALUE"""),0.5)</f>
        <v>0.5</v>
      </c>
      <c r="S6536" s="4" t="str">
        <f>IFERROR(__xludf.DUMMYFUNCTION("""COMPUTED_VALUE"""),"Yooga")</f>
        <v>Yooga</v>
      </c>
      <c r="T6536" s="33">
        <f>IFERROR(__xludf.DUMMYFUNCTION("""COMPUTED_VALUE"""),0.5)</f>
        <v>0.5</v>
      </c>
      <c r="U6536" s="4" t="str">
        <f>IFERROR(__xludf.DUMMYFUNCTION("""COMPUTED_VALUE"""),"Yooga")</f>
        <v>Yooga</v>
      </c>
      <c r="V6536" s="33">
        <f>IFERROR(__xludf.DUMMYFUNCTION("""COMPUTED_VALUE"""),0.5)</f>
        <v>0.5</v>
      </c>
      <c r="W6536" s="4" t="str">
        <f>IFERROR(__xludf.DUMMYFUNCTION("""COMPUTED_VALUE"""),"Yooga")</f>
        <v>Yooga</v>
      </c>
      <c r="X6536" s="33">
        <f>IFERROR(__xludf.DUMMYFUNCTION("""COMPUTED_VALUE"""),1.0)</f>
        <v>1</v>
      </c>
    </row>
    <row r="6537">
      <c r="K6537" s="4" t="str">
        <f>IFERROR(__xludf.DUMMYFUNCTION("""COMPUTED_VALUE"""),"SWEET SAMPA ACAI E CHURROS")</f>
        <v>SWEET SAMPA ACAI E CHURROS</v>
      </c>
      <c r="L6537" s="32">
        <f>IFERROR(__xludf.DUMMYFUNCTION("""COMPUTED_VALUE"""),2.0)</f>
        <v>2</v>
      </c>
      <c r="M6537" s="4" t="str">
        <f>IFERROR(__xludf.DUMMYFUNCTION("""COMPUTED_VALUE"""),"Menu Integrado")</f>
        <v>Menu Integrado</v>
      </c>
      <c r="N6537" s="33">
        <f>IFERROR(__xludf.DUMMYFUNCTION("""COMPUTED_VALUE"""),1.0)</f>
        <v>1</v>
      </c>
      <c r="O6537" s="4" t="str">
        <f>IFERROR(__xludf.DUMMYFUNCTION("""COMPUTED_VALUE"""),"Menu Integrado")</f>
        <v>Menu Integrado</v>
      </c>
      <c r="P6537" s="33">
        <f>IFERROR(__xludf.DUMMYFUNCTION("""COMPUTED_VALUE"""),1.0)</f>
        <v>1</v>
      </c>
      <c r="Q6537" s="4" t="str">
        <f>IFERROR(__xludf.DUMMYFUNCTION("""COMPUTED_VALUE"""),"Menu Integrado")</f>
        <v>Menu Integrado</v>
      </c>
      <c r="R6537" s="33">
        <f>IFERROR(__xludf.DUMMYFUNCTION("""COMPUTED_VALUE"""),1.0)</f>
        <v>1</v>
      </c>
      <c r="S6537" s="4" t="str">
        <f>IFERROR(__xludf.DUMMYFUNCTION("""COMPUTED_VALUE"""),"Menu Integrado")</f>
        <v>Menu Integrado</v>
      </c>
      <c r="T6537" s="33">
        <f>IFERROR(__xludf.DUMMYFUNCTION("""COMPUTED_VALUE"""),1.0)</f>
        <v>1</v>
      </c>
      <c r="U6537" s="4" t="str">
        <f>IFERROR(__xludf.DUMMYFUNCTION("""COMPUTED_VALUE"""),"Hubster")</f>
        <v>Hubster</v>
      </c>
      <c r="V6537" s="33">
        <f>IFERROR(__xludf.DUMMYFUNCTION("""COMPUTED_VALUE"""),1.0)</f>
        <v>1</v>
      </c>
      <c r="W6537" s="4" t="str">
        <f>IFERROR(__xludf.DUMMYFUNCTION("""COMPUTED_VALUE"""),"Hubster")</f>
        <v>Hubster</v>
      </c>
      <c r="X6537" s="33">
        <f>IFERROR(__xludf.DUMMYFUNCTION("""COMPUTED_VALUE"""),1.0)</f>
        <v>1</v>
      </c>
    </row>
    <row r="6538">
      <c r="K6538" s="4" t="str">
        <f>IFERROR(__xludf.DUMMYFUNCTION("""COMPUTED_VALUE"""),"DONA MARMITA - ENTREGA RAPIDA")</f>
        <v>DONA MARMITA - ENTREGA RAPIDA</v>
      </c>
      <c r="L6538" s="32">
        <f>IFERROR(__xludf.DUMMYFUNCTION("""COMPUTED_VALUE"""),2.0)</f>
        <v>2</v>
      </c>
      <c r="M6538" s="4" t="str">
        <f>IFERROR(__xludf.DUMMYFUNCTION("""COMPUTED_VALUE"""),"Cardápio Web")</f>
        <v>Cardápio Web</v>
      </c>
      <c r="N6538" s="33">
        <f>IFERROR(__xludf.DUMMYFUNCTION("""COMPUTED_VALUE"""),0.5)</f>
        <v>0.5</v>
      </c>
      <c r="O6538" s="4" t="str">
        <f>IFERROR(__xludf.DUMMYFUNCTION("""COMPUTED_VALUE"""),"null")</f>
        <v>null</v>
      </c>
      <c r="P6538" s="33">
        <f>IFERROR(__xludf.DUMMYFUNCTION("""COMPUTED_VALUE"""),1.0)</f>
        <v>1</v>
      </c>
      <c r="Q6538" s="4" t="str">
        <f>IFERROR(__xludf.DUMMYFUNCTION("""COMPUTED_VALUE"""),"null")</f>
        <v>null</v>
      </c>
      <c r="R6538" s="33">
        <f>IFERROR(__xludf.DUMMYFUNCTION("""COMPUTED_VALUE"""),1.0)</f>
        <v>1</v>
      </c>
      <c r="S6538" s="4" t="str">
        <f>IFERROR(__xludf.DUMMYFUNCTION("""COMPUTED_VALUE"""),"null")</f>
        <v>null</v>
      </c>
      <c r="T6538" s="33">
        <f>IFERROR(__xludf.DUMMYFUNCTION("""COMPUTED_VALUE"""),0.5)</f>
        <v>0.5</v>
      </c>
      <c r="U6538" s="4" t="str">
        <f>IFERROR(__xludf.DUMMYFUNCTION("""COMPUTED_VALUE"""),"null")</f>
        <v>null</v>
      </c>
      <c r="V6538" s="33">
        <f>IFERROR(__xludf.DUMMYFUNCTION("""COMPUTED_VALUE"""),0.5)</f>
        <v>0.5</v>
      </c>
      <c r="W6538" s="4" t="str">
        <f>IFERROR(__xludf.DUMMYFUNCTION("""COMPUTED_VALUE"""),"null")</f>
        <v>null</v>
      </c>
      <c r="X6538" s="33">
        <f>IFERROR(__xludf.DUMMYFUNCTION("""COMPUTED_VALUE"""),0.5)</f>
        <v>0.5</v>
      </c>
    </row>
    <row r="6539">
      <c r="K6539" s="4" t="str">
        <f>IFERROR(__xludf.DUMMYFUNCTION("""COMPUTED_VALUE"""),"ROCHA BEBIDAS")</f>
        <v>ROCHA BEBIDAS</v>
      </c>
      <c r="L6539" s="32">
        <f>IFERROR(__xludf.DUMMYFUNCTION("""COMPUTED_VALUE"""),2.0)</f>
        <v>2</v>
      </c>
      <c r="M6539" s="4" t="str">
        <f>IFERROR(__xludf.DUMMYFUNCTION("""COMPUTED_VALUE"""),"N/A (Not found)")</f>
        <v>N/A (Not found)</v>
      </c>
      <c r="N6539" s="33">
        <f>IFERROR(__xludf.DUMMYFUNCTION("""COMPUTED_VALUE"""),0.5)</f>
        <v>0.5</v>
      </c>
      <c r="O6539" s="4" t="str">
        <f>IFERROR(__xludf.DUMMYFUNCTION("""COMPUTED_VALUE"""),"N/A (Not found)")</f>
        <v>N/A (Not found)</v>
      </c>
      <c r="P6539" s="33">
        <f>IFERROR(__xludf.DUMMYFUNCTION("""COMPUTED_VALUE"""),0.5)</f>
        <v>0.5</v>
      </c>
      <c r="Q6539" s="4" t="str">
        <f>IFERROR(__xludf.DUMMYFUNCTION("""COMPUTED_VALUE"""),"N/A (Not found)")</f>
        <v>N/A (Not found)</v>
      </c>
      <c r="R6539" s="33">
        <f>IFERROR(__xludf.DUMMYFUNCTION("""COMPUTED_VALUE"""),0.5)</f>
        <v>0.5</v>
      </c>
      <c r="S6539" s="4" t="str">
        <f>IFERROR(__xludf.DUMMYFUNCTION("""COMPUTED_VALUE"""),"N/A (Not found)")</f>
        <v>N/A (Not found)</v>
      </c>
      <c r="T6539" s="33">
        <f>IFERROR(__xludf.DUMMYFUNCTION("""COMPUTED_VALUE"""),1.0)</f>
        <v>1</v>
      </c>
      <c r="U6539" s="4" t="str">
        <f>IFERROR(__xludf.DUMMYFUNCTION("""COMPUTED_VALUE"""),"N/A (Not found)")</f>
        <v>N/A (Not found)</v>
      </c>
      <c r="V6539" s="33">
        <f>IFERROR(__xludf.DUMMYFUNCTION("""COMPUTED_VALUE"""),1.0)</f>
        <v>1</v>
      </c>
      <c r="W6539" s="4" t="str">
        <f>IFERROR(__xludf.DUMMYFUNCTION("""COMPUTED_VALUE"""),"null")</f>
        <v>null</v>
      </c>
      <c r="X6539" s="33">
        <f>IFERROR(__xludf.DUMMYFUNCTION("""COMPUTED_VALUE"""),0.5)</f>
        <v>0.5</v>
      </c>
    </row>
    <row r="6540">
      <c r="K6540" s="4" t="str">
        <f>IFERROR(__xludf.DUMMYFUNCTION("""COMPUTED_VALUE"""),"FRIENDS BURGER")</f>
        <v>FRIENDS BURGER</v>
      </c>
      <c r="L6540" s="32">
        <f>IFERROR(__xludf.DUMMYFUNCTION("""COMPUTED_VALUE"""),2.0)</f>
        <v>2</v>
      </c>
      <c r="M6540" s="4" t="str">
        <f>IFERROR(__xludf.DUMMYFUNCTION("""COMPUTED_VALUE"""),"Anota Ai Solucoes Digitais S/a")</f>
        <v>Anota Ai Solucoes Digitais S/a</v>
      </c>
      <c r="N6540" s="33">
        <f>IFERROR(__xludf.DUMMYFUNCTION("""COMPUTED_VALUE"""),0.5)</f>
        <v>0.5</v>
      </c>
      <c r="O6540" s="4" t="str">
        <f>IFERROR(__xludf.DUMMYFUNCTION("""COMPUTED_VALUE"""),"Anota Ai Solucoes Digitais S/a")</f>
        <v>Anota Ai Solucoes Digitais S/a</v>
      </c>
      <c r="P6540" s="33">
        <f>IFERROR(__xludf.DUMMYFUNCTION("""COMPUTED_VALUE"""),0.5)</f>
        <v>0.5</v>
      </c>
      <c r="Q6540" s="4" t="str">
        <f>IFERROR(__xludf.DUMMYFUNCTION("""COMPUTED_VALUE"""),"Anota Ai Solucoes Digitais S/a")</f>
        <v>Anota Ai Solucoes Digitais S/a</v>
      </c>
      <c r="R6540" s="33">
        <f>IFERROR(__xludf.DUMMYFUNCTION("""COMPUTED_VALUE"""),0.5)</f>
        <v>0.5</v>
      </c>
      <c r="S6540" s="4" t="str">
        <f>IFERROR(__xludf.DUMMYFUNCTION("""COMPUTED_VALUE"""),"Anota Ai Solucoes Digitais S/a")</f>
        <v>Anota Ai Solucoes Digitais S/a</v>
      </c>
      <c r="T6540" s="33">
        <f>IFERROR(__xludf.DUMMYFUNCTION("""COMPUTED_VALUE"""),0.5)</f>
        <v>0.5</v>
      </c>
      <c r="U6540" s="4" t="str">
        <f>IFERROR(__xludf.DUMMYFUNCTION("""COMPUTED_VALUE"""),"Anota Ai Solucoes Digitais S/a")</f>
        <v>Anota Ai Solucoes Digitais S/a</v>
      </c>
      <c r="V6540" s="33">
        <f>IFERROR(__xludf.DUMMYFUNCTION("""COMPUTED_VALUE"""),0.5)</f>
        <v>0.5</v>
      </c>
      <c r="W6540" s="4" t="str">
        <f>IFERROR(__xludf.DUMMYFUNCTION("""COMPUTED_VALUE"""),"Anota Ai Solucoes Digitais S/a")</f>
        <v>Anota Ai Solucoes Digitais S/a</v>
      </c>
      <c r="X6540" s="33">
        <f>IFERROR(__xludf.DUMMYFUNCTION("""COMPUTED_VALUE"""),0.5)</f>
        <v>0.5</v>
      </c>
    </row>
    <row r="6541">
      <c r="K6541" s="4" t="str">
        <f>IFERROR(__xludf.DUMMYFUNCTION("""COMPUTED_VALUE"""),"SUSHI CAICARAS - COMIDA JAPONESA")</f>
        <v>SUSHI CAICARAS - COMIDA JAPONESA</v>
      </c>
      <c r="L6541" s="32">
        <f>IFERROR(__xludf.DUMMYFUNCTION("""COMPUTED_VALUE"""),2.0)</f>
        <v>2</v>
      </c>
      <c r="M6541" s="4" t="str">
        <f>IFERROR(__xludf.DUMMYFUNCTION("""COMPUTED_VALUE"""),"Cardápio Web")</f>
        <v>Cardápio Web</v>
      </c>
      <c r="N6541" s="33">
        <f>IFERROR(__xludf.DUMMYFUNCTION("""COMPUTED_VALUE"""),0.5)</f>
        <v>0.5</v>
      </c>
      <c r="O6541" s="4" t="str">
        <f>IFERROR(__xludf.DUMMYFUNCTION("""COMPUTED_VALUE"""),"Cardápio Web")</f>
        <v>Cardápio Web</v>
      </c>
      <c r="P6541" s="33">
        <f>IFERROR(__xludf.DUMMYFUNCTION("""COMPUTED_VALUE"""),0.5)</f>
        <v>0.5</v>
      </c>
      <c r="Q6541" s="4" t="str">
        <f>IFERROR(__xludf.DUMMYFUNCTION("""COMPUTED_VALUE"""),"Cardápio Web")</f>
        <v>Cardápio Web</v>
      </c>
      <c r="R6541" s="33">
        <f>IFERROR(__xludf.DUMMYFUNCTION("""COMPUTED_VALUE"""),0.5)</f>
        <v>0.5</v>
      </c>
      <c r="S6541" s="4" t="str">
        <f>IFERROR(__xludf.DUMMYFUNCTION("""COMPUTED_VALUE"""),"null")</f>
        <v>null</v>
      </c>
      <c r="T6541" s="33">
        <f>IFERROR(__xludf.DUMMYFUNCTION("""COMPUTED_VALUE"""),0.5)</f>
        <v>0.5</v>
      </c>
      <c r="U6541" s="4" t="str">
        <f>IFERROR(__xludf.DUMMYFUNCTION("""COMPUTED_VALUE"""),"Cardápio Web")</f>
        <v>Cardápio Web</v>
      </c>
      <c r="V6541" s="33">
        <f>IFERROR(__xludf.DUMMYFUNCTION("""COMPUTED_VALUE"""),0.5)</f>
        <v>0.5</v>
      </c>
      <c r="W6541" s="4" t="str">
        <f>IFERROR(__xludf.DUMMYFUNCTION("""COMPUTED_VALUE"""),"null")</f>
        <v>null</v>
      </c>
      <c r="X6541" s="33">
        <f>IFERROR(__xludf.DUMMYFUNCTION("""COMPUTED_VALUE"""),0.5)</f>
        <v>0.5</v>
      </c>
    </row>
    <row r="6542">
      <c r="K6542" s="4" t="str">
        <f>IFERROR(__xludf.DUMMYFUNCTION("""COMPUTED_VALUE"""),"MIRANDA LANCHES E JANTAR")</f>
        <v>MIRANDA LANCHES E JANTAR</v>
      </c>
      <c r="L6542" s="32">
        <f>IFERROR(__xludf.DUMMYFUNCTION("""COMPUTED_VALUE"""),2.0)</f>
        <v>2</v>
      </c>
      <c r="M6542" s="4" t="str">
        <f>IFERROR(__xludf.DUMMYFUNCTION("""COMPUTED_VALUE"""),"null")</f>
        <v>null</v>
      </c>
      <c r="N6542" s="33">
        <f>IFERROR(__xludf.DUMMYFUNCTION("""COMPUTED_VALUE"""),1.0)</f>
        <v>1</v>
      </c>
      <c r="O6542" s="4" t="str">
        <f>IFERROR(__xludf.DUMMYFUNCTION("""COMPUTED_VALUE"""),"null")</f>
        <v>null</v>
      </c>
      <c r="P6542" s="33">
        <f>IFERROR(__xludf.DUMMYFUNCTION("""COMPUTED_VALUE"""),1.0)</f>
        <v>1</v>
      </c>
      <c r="Q6542" s="4" t="str">
        <f>IFERROR(__xludf.DUMMYFUNCTION("""COMPUTED_VALUE"""),"null")</f>
        <v>null</v>
      </c>
      <c r="R6542" s="33">
        <f>IFERROR(__xludf.DUMMYFUNCTION("""COMPUTED_VALUE"""),0.5)</f>
        <v>0.5</v>
      </c>
      <c r="S6542" s="4" t="str">
        <f>IFERROR(__xludf.DUMMYFUNCTION("""COMPUTED_VALUE"""),"null")</f>
        <v>null</v>
      </c>
      <c r="T6542" s="33">
        <f>IFERROR(__xludf.DUMMYFUNCTION("""COMPUTED_VALUE"""),0.5)</f>
        <v>0.5</v>
      </c>
      <c r="U6542" s="4" t="str">
        <f>IFERROR(__xludf.DUMMYFUNCTION("""COMPUTED_VALUE"""),"null")</f>
        <v>null</v>
      </c>
      <c r="V6542" s="33">
        <f>IFERROR(__xludf.DUMMYFUNCTION("""COMPUTED_VALUE"""),0.5)</f>
        <v>0.5</v>
      </c>
      <c r="W6542" s="4" t="str">
        <f>IFERROR(__xludf.DUMMYFUNCTION("""COMPUTED_VALUE"""),"Cardápio Web")</f>
        <v>Cardápio Web</v>
      </c>
      <c r="X6542" s="33">
        <f>IFERROR(__xludf.DUMMYFUNCTION("""COMPUTED_VALUE"""),1.0)</f>
        <v>1</v>
      </c>
    </row>
    <row r="6543">
      <c r="K6543" s="4" t="str">
        <f>IFERROR(__xludf.DUMMYFUNCTION("""COMPUTED_VALUE"""),"CUPIM DE SOL")</f>
        <v>CUPIM DE SOL</v>
      </c>
      <c r="L6543" s="32">
        <f>IFERROR(__xludf.DUMMYFUNCTION("""COMPUTED_VALUE"""),2.0)</f>
        <v>2</v>
      </c>
      <c r="M6543" s="4" t="str">
        <f>IFERROR(__xludf.DUMMYFUNCTION("""COMPUTED_VALUE"""),"W M Fernandes - Me")</f>
        <v>W M Fernandes - Me</v>
      </c>
      <c r="N6543" s="33">
        <f>IFERROR(__xludf.DUMMYFUNCTION("""COMPUTED_VALUE"""),0.6666666666666666)</f>
        <v>0.6666666667</v>
      </c>
      <c r="O6543" s="4" t="str">
        <f>IFERROR(__xludf.DUMMYFUNCTION("""COMPUTED_VALUE"""),"W M Fernandes - Me")</f>
        <v>W M Fernandes - Me</v>
      </c>
      <c r="P6543" s="33">
        <f>IFERROR(__xludf.DUMMYFUNCTION("""COMPUTED_VALUE"""),1.0)</f>
        <v>1</v>
      </c>
      <c r="Q6543" s="4" t="str">
        <f>IFERROR(__xludf.DUMMYFUNCTION("""COMPUTED_VALUE"""),"W M Fernandes - Me")</f>
        <v>W M Fernandes - Me</v>
      </c>
      <c r="R6543" s="33">
        <f>IFERROR(__xludf.DUMMYFUNCTION("""COMPUTED_VALUE"""),1.0)</f>
        <v>1</v>
      </c>
      <c r="S6543" s="4" t="str">
        <f>IFERROR(__xludf.DUMMYFUNCTION("""COMPUTED_VALUE"""),"W M Fernandes - Me")</f>
        <v>W M Fernandes - Me</v>
      </c>
      <c r="T6543" s="33">
        <f>IFERROR(__xludf.DUMMYFUNCTION("""COMPUTED_VALUE"""),0.6666666666666666)</f>
        <v>0.6666666667</v>
      </c>
      <c r="U6543" s="4" t="str">
        <f>IFERROR(__xludf.DUMMYFUNCTION("""COMPUTED_VALUE"""),"W M Fernandes - Me")</f>
        <v>W M Fernandes - Me</v>
      </c>
      <c r="V6543" s="33">
        <f>IFERROR(__xludf.DUMMYFUNCTION("""COMPUTED_VALUE"""),0.6666666666666666)</f>
        <v>0.6666666667</v>
      </c>
      <c r="W6543" s="4" t="str">
        <f>IFERROR(__xludf.DUMMYFUNCTION("""COMPUTED_VALUE"""),"W M Fernandes - Me")</f>
        <v>W M Fernandes - Me</v>
      </c>
      <c r="X6543" s="33">
        <f>IFERROR(__xludf.DUMMYFUNCTION("""COMPUTED_VALUE"""),1.0)</f>
        <v>1</v>
      </c>
    </row>
    <row r="6544">
      <c r="K6544" s="4" t="str">
        <f>IFERROR(__xludf.DUMMYFUNCTION("""COMPUTED_VALUE"""),"NAYAS ARABE")</f>
        <v>NAYAS ARABE</v>
      </c>
      <c r="L6544" s="32">
        <f>IFERROR(__xludf.DUMMYFUNCTION("""COMPUTED_VALUE"""),2.0)</f>
        <v>2</v>
      </c>
      <c r="M6544" s="4" t="str">
        <f>IFERROR(__xludf.DUMMYFUNCTION("""COMPUTED_VALUE"""),"Beefood - Sistema Para Restaurantes")</f>
        <v>Beefood - Sistema Para Restaurantes</v>
      </c>
      <c r="N6544" s="33">
        <f>IFERROR(__xludf.DUMMYFUNCTION("""COMPUTED_VALUE"""),0.6666666666666666)</f>
        <v>0.6666666667</v>
      </c>
      <c r="O6544" s="4" t="str">
        <f>IFERROR(__xludf.DUMMYFUNCTION("""COMPUTED_VALUE"""),"Beefood - Sistema Para Restaurantes")</f>
        <v>Beefood - Sistema Para Restaurantes</v>
      </c>
      <c r="P6544" s="33">
        <f>IFERROR(__xludf.DUMMYFUNCTION("""COMPUTED_VALUE"""),0.6666666666666666)</f>
        <v>0.6666666667</v>
      </c>
      <c r="Q6544" s="4" t="str">
        <f>IFERROR(__xludf.DUMMYFUNCTION("""COMPUTED_VALUE"""),"Beefood - Sistema Para Restaurantes")</f>
        <v>Beefood - Sistema Para Restaurantes</v>
      </c>
      <c r="R6544" s="33">
        <f>IFERROR(__xludf.DUMMYFUNCTION("""COMPUTED_VALUE"""),0.6666666666666666)</f>
        <v>0.6666666667</v>
      </c>
      <c r="S6544" s="4" t="str">
        <f>IFERROR(__xludf.DUMMYFUNCTION("""COMPUTED_VALUE"""),"Beefood - Sistema Para Restaurantes")</f>
        <v>Beefood - Sistema Para Restaurantes</v>
      </c>
      <c r="T6544" s="33">
        <f>IFERROR(__xludf.DUMMYFUNCTION("""COMPUTED_VALUE"""),0.6666666666666666)</f>
        <v>0.6666666667</v>
      </c>
      <c r="U6544" s="4" t="str">
        <f>IFERROR(__xludf.DUMMYFUNCTION("""COMPUTED_VALUE"""),"Beefood - Sistema Para Restaurantes")</f>
        <v>Beefood - Sistema Para Restaurantes</v>
      </c>
      <c r="V6544" s="33">
        <f>IFERROR(__xludf.DUMMYFUNCTION("""COMPUTED_VALUE"""),1.0)</f>
        <v>1</v>
      </c>
      <c r="W6544" s="4" t="str">
        <f>IFERROR(__xludf.DUMMYFUNCTION("""COMPUTED_VALUE"""),"Beefood - Sistema Para Restaurantes")</f>
        <v>Beefood - Sistema Para Restaurantes</v>
      </c>
      <c r="X6544" s="33">
        <f>IFERROR(__xludf.DUMMYFUNCTION("""COMPUTED_VALUE"""),1.0)</f>
        <v>1</v>
      </c>
    </row>
    <row r="6545">
      <c r="K6545" s="4" t="str">
        <f>IFERROR(__xludf.DUMMYFUNCTION("""COMPUTED_VALUE"""),"MITSUMAKI TEMAKERIA E SUSHI BAR")</f>
        <v>MITSUMAKI TEMAKERIA E SUSHI BAR</v>
      </c>
      <c r="L6545" s="32">
        <f>IFERROR(__xludf.DUMMYFUNCTION("""COMPUTED_VALUE"""),2.0)</f>
        <v>2</v>
      </c>
      <c r="M6545" s="4" t="str">
        <f>IFERROR(__xludf.DUMMYFUNCTION("""COMPUTED_VALUE"""),"Garcom Web")</f>
        <v>Garcom Web</v>
      </c>
      <c r="N6545" s="33">
        <f>IFERROR(__xludf.DUMMYFUNCTION("""COMPUTED_VALUE"""),1.0)</f>
        <v>1</v>
      </c>
      <c r="O6545" s="4" t="str">
        <f>IFERROR(__xludf.DUMMYFUNCTION("""COMPUTED_VALUE"""),"Garcom Web")</f>
        <v>Garcom Web</v>
      </c>
      <c r="P6545" s="33">
        <f>IFERROR(__xludf.DUMMYFUNCTION("""COMPUTED_VALUE"""),1.0)</f>
        <v>1</v>
      </c>
      <c r="Q6545" s="4" t="str">
        <f>IFERROR(__xludf.DUMMYFUNCTION("""COMPUTED_VALUE"""),"Garcom Web")</f>
        <v>Garcom Web</v>
      </c>
      <c r="R6545" s="33">
        <f>IFERROR(__xludf.DUMMYFUNCTION("""COMPUTED_VALUE"""),1.0)</f>
        <v>1</v>
      </c>
      <c r="S6545" s="4" t="str">
        <f>IFERROR(__xludf.DUMMYFUNCTION("""COMPUTED_VALUE"""),"Garcom Web")</f>
        <v>Garcom Web</v>
      </c>
      <c r="T6545" s="33">
        <f>IFERROR(__xludf.DUMMYFUNCTION("""COMPUTED_VALUE"""),1.0)</f>
        <v>1</v>
      </c>
      <c r="U6545" s="4" t="str">
        <f>IFERROR(__xludf.DUMMYFUNCTION("""COMPUTED_VALUE"""),"Garcom Web")</f>
        <v>Garcom Web</v>
      </c>
      <c r="V6545" s="33">
        <f>IFERROR(__xludf.DUMMYFUNCTION("""COMPUTED_VALUE"""),1.0)</f>
        <v>1</v>
      </c>
      <c r="W6545" s="4" t="str">
        <f>IFERROR(__xludf.DUMMYFUNCTION("""COMPUTED_VALUE"""),"Garcom Web")</f>
        <v>Garcom Web</v>
      </c>
      <c r="X6545" s="33">
        <f>IFERROR(__xludf.DUMMYFUNCTION("""COMPUTED_VALUE"""),0.5)</f>
        <v>0.5</v>
      </c>
    </row>
    <row r="6546">
      <c r="K6546" s="4" t="str">
        <f>IFERROR(__xludf.DUMMYFUNCTION("""COMPUTED_VALUE"""),"YOYO HAMBURGUERIA")</f>
        <v>YOYO HAMBURGUERIA</v>
      </c>
      <c r="L6546" s="32">
        <f>IFERROR(__xludf.DUMMYFUNCTION("""COMPUTED_VALUE"""),2.0)</f>
        <v>2</v>
      </c>
      <c r="M6546" s="4" t="str">
        <f>IFERROR(__xludf.DUMMYFUNCTION("""COMPUTED_VALUE"""),"Instadelivery")</f>
        <v>Instadelivery</v>
      </c>
      <c r="N6546" s="33">
        <f>IFERROR(__xludf.DUMMYFUNCTION("""COMPUTED_VALUE"""),0.5)</f>
        <v>0.5</v>
      </c>
      <c r="O6546" s="4" t="str">
        <f>IFERROR(__xludf.DUMMYFUNCTION("""COMPUTED_VALUE"""),"Instadelivery")</f>
        <v>Instadelivery</v>
      </c>
      <c r="P6546" s="33">
        <f>IFERROR(__xludf.DUMMYFUNCTION("""COMPUTED_VALUE"""),0.5)</f>
        <v>0.5</v>
      </c>
      <c r="Q6546" s="4" t="str">
        <f>IFERROR(__xludf.DUMMYFUNCTION("""COMPUTED_VALUE"""),"Instadelivery")</f>
        <v>Instadelivery</v>
      </c>
      <c r="R6546" s="33">
        <f>IFERROR(__xludf.DUMMYFUNCTION("""COMPUTED_VALUE"""),0.5)</f>
        <v>0.5</v>
      </c>
      <c r="S6546" s="4" t="str">
        <f>IFERROR(__xludf.DUMMYFUNCTION("""COMPUTED_VALUE"""),"Instadelivery")</f>
        <v>Instadelivery</v>
      </c>
      <c r="T6546" s="33">
        <f>IFERROR(__xludf.DUMMYFUNCTION("""COMPUTED_VALUE"""),0.5)</f>
        <v>0.5</v>
      </c>
      <c r="U6546" s="4" t="str">
        <f>IFERROR(__xludf.DUMMYFUNCTION("""COMPUTED_VALUE"""),"Instadelivery")</f>
        <v>Instadelivery</v>
      </c>
      <c r="V6546" s="33">
        <f>IFERROR(__xludf.DUMMYFUNCTION("""COMPUTED_VALUE"""),0.5)</f>
        <v>0.5</v>
      </c>
      <c r="W6546" s="4" t="str">
        <f>IFERROR(__xludf.DUMMYFUNCTION("""COMPUTED_VALUE"""),"Instadelivery")</f>
        <v>Instadelivery</v>
      </c>
      <c r="X6546" s="33">
        <f>IFERROR(__xludf.DUMMYFUNCTION("""COMPUTED_VALUE"""),1.0)</f>
        <v>1</v>
      </c>
    </row>
    <row r="6547">
      <c r="K6547" s="4" t="str">
        <f>IFERROR(__xludf.DUMMYFUNCTION("""COMPUTED_VALUE"""),"DROGARIA FARMACEU")</f>
        <v>DROGARIA FARMACEU</v>
      </c>
      <c r="L6547" s="32">
        <f>IFERROR(__xludf.DUMMYFUNCTION("""COMPUTED_VALUE"""),2.0)</f>
        <v>2</v>
      </c>
      <c r="M6547" s="4" t="str">
        <f>IFERROR(__xludf.DUMMYFUNCTION("""COMPUTED_VALUE"""),"null")</f>
        <v>null</v>
      </c>
      <c r="N6547" s="33">
        <f>IFERROR(__xludf.DUMMYFUNCTION("""COMPUTED_VALUE"""),0.5)</f>
        <v>0.5</v>
      </c>
      <c r="O6547" s="4" t="str">
        <f>IFERROR(__xludf.DUMMYFUNCTION("""COMPUTED_VALUE"""),"null")</f>
        <v>null</v>
      </c>
      <c r="P6547" s="33">
        <f>IFERROR(__xludf.DUMMYFUNCTION("""COMPUTED_VALUE"""),0.5)</f>
        <v>0.5</v>
      </c>
      <c r="Q6547" s="4" t="str">
        <f>IFERROR(__xludf.DUMMYFUNCTION("""COMPUTED_VALUE"""),"null")</f>
        <v>null</v>
      </c>
      <c r="R6547" s="33">
        <f>IFERROR(__xludf.DUMMYFUNCTION("""COMPUTED_VALUE"""),0.5)</f>
        <v>0.5</v>
      </c>
      <c r="S6547" s="4" t="str">
        <f>IFERROR(__xludf.DUMMYFUNCTION("""COMPUTED_VALUE"""),"null")</f>
        <v>null</v>
      </c>
      <c r="T6547" s="33">
        <f>IFERROR(__xludf.DUMMYFUNCTION("""COMPUTED_VALUE"""),0.5)</f>
        <v>0.5</v>
      </c>
      <c r="U6547" s="4" t="str">
        <f>IFERROR(__xludf.DUMMYFUNCTION("""COMPUTED_VALUE"""),"null")</f>
        <v>null</v>
      </c>
      <c r="V6547" s="33">
        <f>IFERROR(__xludf.DUMMYFUNCTION("""COMPUTED_VALUE"""),0.5)</f>
        <v>0.5</v>
      </c>
      <c r="W6547" s="4" t="str">
        <f>IFERROR(__xludf.DUMMYFUNCTION("""COMPUTED_VALUE"""),"N/A (Not found)")</f>
        <v>N/A (Not found)</v>
      </c>
      <c r="X6547" s="33">
        <f>IFERROR(__xludf.DUMMYFUNCTION("""COMPUTED_VALUE"""),1.0)</f>
        <v>1</v>
      </c>
    </row>
    <row r="6548">
      <c r="K6548" s="4" t="str">
        <f>IFERROR(__xludf.DUMMYFUNCTION("""COMPUTED_VALUE"""),"BENDITA PIZZA - ITAPARICA")</f>
        <v>BENDITA PIZZA - ITAPARICA</v>
      </c>
      <c r="L6548" s="32">
        <f>IFERROR(__xludf.DUMMYFUNCTION("""COMPUTED_VALUE"""),2.0)</f>
        <v>2</v>
      </c>
      <c r="M6548" s="4" t="str">
        <f>IFERROR(__xludf.DUMMYFUNCTION("""COMPUTED_VALUE"""),"null")</f>
        <v>null</v>
      </c>
      <c r="N6548" s="33">
        <f>IFERROR(__xludf.DUMMYFUNCTION("""COMPUTED_VALUE"""),1.0)</f>
        <v>1</v>
      </c>
      <c r="O6548" s="4" t="str">
        <f>IFERROR(__xludf.DUMMYFUNCTION("""COMPUTED_VALUE"""),"null")</f>
        <v>null</v>
      </c>
      <c r="P6548" s="33">
        <f>IFERROR(__xludf.DUMMYFUNCTION("""COMPUTED_VALUE"""),1.0)</f>
        <v>1</v>
      </c>
      <c r="Q6548" s="4" t="str">
        <f>IFERROR(__xludf.DUMMYFUNCTION("""COMPUTED_VALUE"""),"null")</f>
        <v>null</v>
      </c>
      <c r="R6548" s="33">
        <f>IFERROR(__xludf.DUMMYFUNCTION("""COMPUTED_VALUE"""),1.0)</f>
        <v>1</v>
      </c>
      <c r="S6548" s="4" t="str">
        <f>IFERROR(__xludf.DUMMYFUNCTION("""COMPUTED_VALUE"""),"Saipos Serviços De Software")</f>
        <v>Saipos Serviços De Software</v>
      </c>
      <c r="T6548" s="33">
        <f>IFERROR(__xludf.DUMMYFUNCTION("""COMPUTED_VALUE"""),1.0)</f>
        <v>1</v>
      </c>
      <c r="U6548" s="4" t="str">
        <f>IFERROR(__xludf.DUMMYFUNCTION("""COMPUTED_VALUE"""),"Saipos Serviços De Software")</f>
        <v>Saipos Serviços De Software</v>
      </c>
      <c r="V6548" s="33">
        <f>IFERROR(__xludf.DUMMYFUNCTION("""COMPUTED_VALUE"""),1.0)</f>
        <v>1</v>
      </c>
      <c r="W6548" s="4" t="str">
        <f>IFERROR(__xludf.DUMMYFUNCTION("""COMPUTED_VALUE"""),"Saipos Serviços De Software")</f>
        <v>Saipos Serviços De Software</v>
      </c>
      <c r="X6548" s="33">
        <f>IFERROR(__xludf.DUMMYFUNCTION("""COMPUTED_VALUE"""),1.0)</f>
        <v>1</v>
      </c>
    </row>
    <row r="6549">
      <c r="K6549" s="4" t="str">
        <f>IFERROR(__xludf.DUMMYFUNCTION("""COMPUTED_VALUE"""),"1999 PIZZA - CONTA MARCA")</f>
        <v>1999 PIZZA - CONTA MARCA</v>
      </c>
      <c r="L6549" s="32">
        <f>IFERROR(__xludf.DUMMYFUNCTION("""COMPUTED_VALUE"""),2.0)</f>
        <v>2</v>
      </c>
      <c r="M6549" s="4" t="str">
        <f>IFERROR(__xludf.DUMMYFUNCTION("""COMPUTED_VALUE"""),"null")</f>
        <v>null</v>
      </c>
      <c r="N6549" s="33">
        <f>IFERROR(__xludf.DUMMYFUNCTION("""COMPUTED_VALUE"""),0.5)</f>
        <v>0.5</v>
      </c>
      <c r="O6549" s="4" t="str">
        <f>IFERROR(__xludf.DUMMYFUNCTION("""COMPUTED_VALUE"""),"null")</f>
        <v>null</v>
      </c>
      <c r="P6549" s="33">
        <f>IFERROR(__xludf.DUMMYFUNCTION("""COMPUTED_VALUE"""),0.5)</f>
        <v>0.5</v>
      </c>
      <c r="Q6549" s="4" t="str">
        <f>IFERROR(__xludf.DUMMYFUNCTION("""COMPUTED_VALUE"""),"null")</f>
        <v>null</v>
      </c>
      <c r="R6549" s="33">
        <f>IFERROR(__xludf.DUMMYFUNCTION("""COMPUTED_VALUE"""),0.5)</f>
        <v>0.5</v>
      </c>
      <c r="S6549" s="4" t="str">
        <f>IFERROR(__xludf.DUMMYFUNCTION("""COMPUTED_VALUE"""),"null")</f>
        <v>null</v>
      </c>
      <c r="T6549" s="33">
        <f>IFERROR(__xludf.DUMMYFUNCTION("""COMPUTED_VALUE"""),0.5)</f>
        <v>0.5</v>
      </c>
      <c r="U6549" s="4" t="str">
        <f>IFERROR(__xludf.DUMMYFUNCTION("""COMPUTED_VALUE"""),"Saipos Serviços De Software")</f>
        <v>Saipos Serviços De Software</v>
      </c>
      <c r="V6549" s="33">
        <f>IFERROR(__xludf.DUMMYFUNCTION("""COMPUTED_VALUE"""),1.0)</f>
        <v>1</v>
      </c>
      <c r="W6549" s="4" t="str">
        <f>IFERROR(__xludf.DUMMYFUNCTION("""COMPUTED_VALUE"""),"Saipos Serviços De Software")</f>
        <v>Saipos Serviços De Software</v>
      </c>
      <c r="X6549" s="33">
        <f>IFERROR(__xludf.DUMMYFUNCTION("""COMPUTED_VALUE"""),1.0)</f>
        <v>1</v>
      </c>
    </row>
    <row r="6550">
      <c r="K6550" s="4" t="str">
        <f>IFERROR(__xludf.DUMMYFUNCTION("""COMPUTED_VALUE"""),"20BARRA9 - CONTA PAI")</f>
        <v>20BARRA9 - CONTA PAI</v>
      </c>
      <c r="L6550" s="32">
        <f>IFERROR(__xludf.DUMMYFUNCTION("""COMPUTED_VALUE"""),2.0)</f>
        <v>2</v>
      </c>
      <c r="M6550" s="4" t="str">
        <f>IFERROR(__xludf.DUMMYFUNCTION("""COMPUTED_VALUE"""),"Ncr")</f>
        <v>Ncr</v>
      </c>
      <c r="N6550" s="33">
        <f>IFERROR(__xludf.DUMMYFUNCTION("""COMPUTED_VALUE"""),1.0)</f>
        <v>1</v>
      </c>
      <c r="O6550" s="4" t="str">
        <f>IFERROR(__xludf.DUMMYFUNCTION("""COMPUTED_VALUE"""),"Ncr")</f>
        <v>Ncr</v>
      </c>
      <c r="P6550" s="33">
        <f>IFERROR(__xludf.DUMMYFUNCTION("""COMPUTED_VALUE"""),1.0)</f>
        <v>1</v>
      </c>
      <c r="Q6550" s="4" t="str">
        <f>IFERROR(__xludf.DUMMYFUNCTION("""COMPUTED_VALUE"""),"Ncr")</f>
        <v>Ncr</v>
      </c>
      <c r="R6550" s="33">
        <f>IFERROR(__xludf.DUMMYFUNCTION("""COMPUTED_VALUE"""),1.0)</f>
        <v>1</v>
      </c>
      <c r="S6550" s="4" t="str">
        <f>IFERROR(__xludf.DUMMYFUNCTION("""COMPUTED_VALUE"""),"Ncr")</f>
        <v>Ncr</v>
      </c>
      <c r="T6550" s="33">
        <f>IFERROR(__xludf.DUMMYFUNCTION("""COMPUTED_VALUE"""),1.0)</f>
        <v>1</v>
      </c>
      <c r="U6550" s="4" t="str">
        <f>IFERROR(__xludf.DUMMYFUNCTION("""COMPUTED_VALUE"""),"Ncr")</f>
        <v>Ncr</v>
      </c>
      <c r="V6550" s="33">
        <f>IFERROR(__xludf.DUMMYFUNCTION("""COMPUTED_VALUE"""),1.0)</f>
        <v>1</v>
      </c>
      <c r="W6550" s="4" t="str">
        <f>IFERROR(__xludf.DUMMYFUNCTION("""COMPUTED_VALUE"""),"Ncr")</f>
        <v>Ncr</v>
      </c>
      <c r="X6550" s="33">
        <f>IFERROR(__xludf.DUMMYFUNCTION("""COMPUTED_VALUE"""),1.0)</f>
        <v>1</v>
      </c>
    </row>
    <row r="6551">
      <c r="K6551" s="4" t="str">
        <f>IFERROR(__xludf.DUMMYFUNCTION("""COMPUTED_VALUE"""),"336 HAMBURGUERIA CONTA MARCA")</f>
        <v>336 HAMBURGUERIA CONTA MARCA</v>
      </c>
      <c r="L6551" s="32">
        <f>IFERROR(__xludf.DUMMYFUNCTION("""COMPUTED_VALUE"""),2.0)</f>
        <v>2</v>
      </c>
      <c r="M6551" s="4" t="str">
        <f>IFERROR(__xludf.DUMMYFUNCTION("""COMPUTED_VALUE"""),"Saipos Serviços De Software")</f>
        <v>Saipos Serviços De Software</v>
      </c>
      <c r="N6551" s="33">
        <f>IFERROR(__xludf.DUMMYFUNCTION("""COMPUTED_VALUE"""),0.5)</f>
        <v>0.5</v>
      </c>
      <c r="O6551" s="4" t="str">
        <f>IFERROR(__xludf.DUMMYFUNCTION("""COMPUTED_VALUE"""),"Saipos Serviços De Software")</f>
        <v>Saipos Serviços De Software</v>
      </c>
      <c r="P6551" s="33">
        <f>IFERROR(__xludf.DUMMYFUNCTION("""COMPUTED_VALUE"""),0.5)</f>
        <v>0.5</v>
      </c>
      <c r="Q6551" s="4" t="str">
        <f>IFERROR(__xludf.DUMMYFUNCTION("""COMPUTED_VALUE"""),"Saipos Serviços De Software")</f>
        <v>Saipos Serviços De Software</v>
      </c>
      <c r="R6551" s="33">
        <f>IFERROR(__xludf.DUMMYFUNCTION("""COMPUTED_VALUE"""),1.0)</f>
        <v>1</v>
      </c>
      <c r="S6551" s="4" t="str">
        <f>IFERROR(__xludf.DUMMYFUNCTION("""COMPUTED_VALUE"""),"Saipos Serviços De Software")</f>
        <v>Saipos Serviços De Software</v>
      </c>
      <c r="T6551" s="33">
        <f>IFERROR(__xludf.DUMMYFUNCTION("""COMPUTED_VALUE"""),0.5)</f>
        <v>0.5</v>
      </c>
      <c r="U6551" s="4" t="str">
        <f>IFERROR(__xludf.DUMMYFUNCTION("""COMPUTED_VALUE"""),"Saipos Serviços De Software")</f>
        <v>Saipos Serviços De Software</v>
      </c>
      <c r="V6551" s="33">
        <f>IFERROR(__xludf.DUMMYFUNCTION("""COMPUTED_VALUE"""),0.5)</f>
        <v>0.5</v>
      </c>
      <c r="W6551" s="4" t="str">
        <f>IFERROR(__xludf.DUMMYFUNCTION("""COMPUTED_VALUE"""),"Saipos Serviços De Software")</f>
        <v>Saipos Serviços De Software</v>
      </c>
      <c r="X6551" s="33">
        <f>IFERROR(__xludf.DUMMYFUNCTION("""COMPUTED_VALUE"""),0.5)</f>
        <v>0.5</v>
      </c>
    </row>
    <row r="6552">
      <c r="K6552" s="4" t="str">
        <f>IFERROR(__xludf.DUMMYFUNCTION("""COMPUTED_VALUE"""),"40 SABORES")</f>
        <v>40 SABORES</v>
      </c>
      <c r="L6552" s="32">
        <f>IFERROR(__xludf.DUMMYFUNCTION("""COMPUTED_VALUE"""),2.0)</f>
        <v>2</v>
      </c>
      <c r="M6552" s="4" t="str">
        <f>IFERROR(__xludf.DUMMYFUNCTION("""COMPUTED_VALUE"""),"null")</f>
        <v>null</v>
      </c>
      <c r="N6552" s="33">
        <f>IFERROR(__xludf.DUMMYFUNCTION("""COMPUTED_VALUE"""),0.5)</f>
        <v>0.5</v>
      </c>
      <c r="O6552" s="4" t="str">
        <f>IFERROR(__xludf.DUMMYFUNCTION("""COMPUTED_VALUE"""),"Saipos Serviços De Software")</f>
        <v>Saipos Serviços De Software</v>
      </c>
      <c r="P6552" s="33">
        <f>IFERROR(__xludf.DUMMYFUNCTION("""COMPUTED_VALUE"""),0.5)</f>
        <v>0.5</v>
      </c>
      <c r="Q6552" s="4" t="str">
        <f>IFERROR(__xludf.DUMMYFUNCTION("""COMPUTED_VALUE"""),"Saipos Serviços De Software")</f>
        <v>Saipos Serviços De Software</v>
      </c>
      <c r="R6552" s="33">
        <f>IFERROR(__xludf.DUMMYFUNCTION("""COMPUTED_VALUE"""),0.5)</f>
        <v>0.5</v>
      </c>
      <c r="S6552" s="4" t="str">
        <f>IFERROR(__xludf.DUMMYFUNCTION("""COMPUTED_VALUE"""),"Saipos Serviços De Software")</f>
        <v>Saipos Serviços De Software</v>
      </c>
      <c r="T6552" s="33">
        <f>IFERROR(__xludf.DUMMYFUNCTION("""COMPUTED_VALUE"""),0.5)</f>
        <v>0.5</v>
      </c>
      <c r="U6552" s="4" t="str">
        <f>IFERROR(__xludf.DUMMYFUNCTION("""COMPUTED_VALUE"""),"Saipos Serviços De Software")</f>
        <v>Saipos Serviços De Software</v>
      </c>
      <c r="V6552" s="33">
        <f>IFERROR(__xludf.DUMMYFUNCTION("""COMPUTED_VALUE"""),0.5)</f>
        <v>0.5</v>
      </c>
      <c r="W6552" s="4" t="str">
        <f>IFERROR(__xludf.DUMMYFUNCTION("""COMPUTED_VALUE"""),"Saipos Serviços De Software")</f>
        <v>Saipos Serviços De Software</v>
      </c>
      <c r="X6552" s="33">
        <f>IFERROR(__xludf.DUMMYFUNCTION("""COMPUTED_VALUE"""),0.5)</f>
        <v>0.5</v>
      </c>
    </row>
    <row r="6553">
      <c r="K6553" s="4" t="str">
        <f>IFERROR(__xludf.DUMMYFUNCTION("""COMPUTED_VALUE"""),"400 STEAK CLUB")</f>
        <v>400 STEAK CLUB</v>
      </c>
      <c r="L6553" s="32">
        <f>IFERROR(__xludf.DUMMYFUNCTION("""COMPUTED_VALUE"""),2.0)</f>
        <v>2</v>
      </c>
      <c r="M6553" s="4" t="str">
        <f>IFERROR(__xludf.DUMMYFUNCTION("""COMPUTED_VALUE"""),"Saipos Serviços De Software")</f>
        <v>Saipos Serviços De Software</v>
      </c>
      <c r="N6553" s="33">
        <f>IFERROR(__xludf.DUMMYFUNCTION("""COMPUTED_VALUE"""),1.0)</f>
        <v>1</v>
      </c>
      <c r="O6553" s="4" t="str">
        <f>IFERROR(__xludf.DUMMYFUNCTION("""COMPUTED_VALUE"""),"Saipos Serviços De Software")</f>
        <v>Saipos Serviços De Software</v>
      </c>
      <c r="P6553" s="33">
        <f>IFERROR(__xludf.DUMMYFUNCTION("""COMPUTED_VALUE"""),0.5)</f>
        <v>0.5</v>
      </c>
      <c r="Q6553" s="4" t="str">
        <f>IFERROR(__xludf.DUMMYFUNCTION("""COMPUTED_VALUE"""),"Saipos Serviços De Software")</f>
        <v>Saipos Serviços De Software</v>
      </c>
      <c r="R6553" s="33">
        <f>IFERROR(__xludf.DUMMYFUNCTION("""COMPUTED_VALUE"""),0.5)</f>
        <v>0.5</v>
      </c>
      <c r="S6553" s="4" t="str">
        <f>IFERROR(__xludf.DUMMYFUNCTION("""COMPUTED_VALUE"""),"null")</f>
        <v>null</v>
      </c>
      <c r="T6553" s="33">
        <f>IFERROR(__xludf.DUMMYFUNCTION("""COMPUTED_VALUE"""),0.5)</f>
        <v>0.5</v>
      </c>
      <c r="U6553" s="4" t="str">
        <f>IFERROR(__xludf.DUMMYFUNCTION("""COMPUTED_VALUE"""),"null")</f>
        <v>null</v>
      </c>
      <c r="V6553" s="33">
        <f>IFERROR(__xludf.DUMMYFUNCTION("""COMPUTED_VALUE"""),0.5)</f>
        <v>0.5</v>
      </c>
      <c r="W6553" s="4" t="str">
        <f>IFERROR(__xludf.DUMMYFUNCTION("""COMPUTED_VALUE"""),"null")</f>
        <v>null</v>
      </c>
      <c r="X6553" s="33">
        <f>IFERROR(__xludf.DUMMYFUNCTION("""COMPUTED_VALUE"""),0.5)</f>
        <v>0.5</v>
      </c>
    </row>
    <row r="6554">
      <c r="K6554" s="4" t="str">
        <f>IFERROR(__xludf.DUMMYFUNCTION("""COMPUTED_VALUE"""),"4BEER - MARCA")</f>
        <v>4BEER - MARCA</v>
      </c>
      <c r="L6554" s="32">
        <f>IFERROR(__xludf.DUMMYFUNCTION("""COMPUTED_VALUE"""),2.0)</f>
        <v>2</v>
      </c>
      <c r="M6554" s="4" t="str">
        <f>IFERROR(__xludf.DUMMYFUNCTION("""COMPUTED_VALUE"""),"Lexsis Sistemas")</f>
        <v>Lexsis Sistemas</v>
      </c>
      <c r="N6554" s="33">
        <f>IFERROR(__xludf.DUMMYFUNCTION("""COMPUTED_VALUE"""),1.0)</f>
        <v>1</v>
      </c>
      <c r="O6554" s="4" t="str">
        <f>IFERROR(__xludf.DUMMYFUNCTION("""COMPUTED_VALUE"""),"Lexsis Sistemas")</f>
        <v>Lexsis Sistemas</v>
      </c>
      <c r="P6554" s="33">
        <f>IFERROR(__xludf.DUMMYFUNCTION("""COMPUTED_VALUE"""),1.0)</f>
        <v>1</v>
      </c>
      <c r="Q6554" s="4" t="str">
        <f>IFERROR(__xludf.DUMMYFUNCTION("""COMPUTED_VALUE"""),"Lexsis Sistemas")</f>
        <v>Lexsis Sistemas</v>
      </c>
      <c r="R6554" s="33">
        <f>IFERROR(__xludf.DUMMYFUNCTION("""COMPUTED_VALUE"""),1.0)</f>
        <v>1</v>
      </c>
      <c r="S6554" s="4" t="str">
        <f>IFERROR(__xludf.DUMMYFUNCTION("""COMPUTED_VALUE"""),"Lexsis Sistemas")</f>
        <v>Lexsis Sistemas</v>
      </c>
      <c r="T6554" s="33">
        <f>IFERROR(__xludf.DUMMYFUNCTION("""COMPUTED_VALUE"""),1.0)</f>
        <v>1</v>
      </c>
      <c r="U6554" s="4" t="str">
        <f>IFERROR(__xludf.DUMMYFUNCTION("""COMPUTED_VALUE"""),"Lexsis Sistemas")</f>
        <v>Lexsis Sistemas</v>
      </c>
      <c r="V6554" s="33">
        <f>IFERROR(__xludf.DUMMYFUNCTION("""COMPUTED_VALUE"""),1.0)</f>
        <v>1</v>
      </c>
      <c r="W6554" s="4" t="str">
        <f>IFERROR(__xludf.DUMMYFUNCTION("""COMPUTED_VALUE"""),"Lexsis Sistemas")</f>
        <v>Lexsis Sistemas</v>
      </c>
      <c r="X6554" s="33">
        <f>IFERROR(__xludf.DUMMYFUNCTION("""COMPUTED_VALUE"""),1.0)</f>
        <v>1</v>
      </c>
    </row>
    <row r="6555">
      <c r="K6555" s="4" t="str">
        <f>IFERROR(__xludf.DUMMYFUNCTION("""COMPUTED_VALUE"""),"7 MARES")</f>
        <v>7 MARES</v>
      </c>
      <c r="L6555" s="32">
        <f>IFERROR(__xludf.DUMMYFUNCTION("""COMPUTED_VALUE"""),2.0)</f>
        <v>2</v>
      </c>
      <c r="M6555" s="4" t="str">
        <f>IFERROR(__xludf.DUMMYFUNCTION("""COMPUTED_VALUE"""),"Consumer Soluções Em Tecnologia Ltda")</f>
        <v>Consumer Soluções Em Tecnologia Ltda</v>
      </c>
      <c r="N6555" s="33">
        <f>IFERROR(__xludf.DUMMYFUNCTION("""COMPUTED_VALUE"""),1.0)</f>
        <v>1</v>
      </c>
      <c r="O6555" s="4" t="str">
        <f>IFERROR(__xludf.DUMMYFUNCTION("""COMPUTED_VALUE"""),"null")</f>
        <v>null</v>
      </c>
      <c r="P6555" s="33">
        <f>IFERROR(__xludf.DUMMYFUNCTION("""COMPUTED_VALUE"""),0.5)</f>
        <v>0.5</v>
      </c>
      <c r="Q6555" s="4" t="str">
        <f>IFERROR(__xludf.DUMMYFUNCTION("""COMPUTED_VALUE"""),"null")</f>
        <v>null</v>
      </c>
      <c r="R6555" s="33">
        <f>IFERROR(__xludf.DUMMYFUNCTION("""COMPUTED_VALUE"""),1.0)</f>
        <v>1</v>
      </c>
      <c r="S6555" s="4" t="str">
        <f>IFERROR(__xludf.DUMMYFUNCTION("""COMPUTED_VALUE"""),"null")</f>
        <v>null</v>
      </c>
      <c r="T6555" s="33">
        <f>IFERROR(__xludf.DUMMYFUNCTION("""COMPUTED_VALUE"""),1.0)</f>
        <v>1</v>
      </c>
      <c r="U6555" s="4" t="str">
        <f>IFERROR(__xludf.DUMMYFUNCTION("""COMPUTED_VALUE"""),"Consumer Soluções Em Tecnologia Ltda")</f>
        <v>Consumer Soluções Em Tecnologia Ltda</v>
      </c>
      <c r="V6555" s="33">
        <f>IFERROR(__xludf.DUMMYFUNCTION("""COMPUTED_VALUE"""),1.0)</f>
        <v>1</v>
      </c>
      <c r="W6555" s="4" t="str">
        <f>IFERROR(__xludf.DUMMYFUNCTION("""COMPUTED_VALUE"""),"Consumer Soluções Em Tecnologia Ltda")</f>
        <v>Consumer Soluções Em Tecnologia Ltda</v>
      </c>
      <c r="X6555" s="33">
        <f>IFERROR(__xludf.DUMMYFUNCTION("""COMPUTED_VALUE"""),1.0)</f>
        <v>1</v>
      </c>
    </row>
    <row r="6556">
      <c r="K6556" s="4" t="str">
        <f>IFERROR(__xludf.DUMMYFUNCTION("""COMPUTED_VALUE"""),"85 SUSHI FORTALEZA - CONTA MARCA")</f>
        <v>85 SUSHI FORTALEZA - CONTA MARCA</v>
      </c>
      <c r="L6556" s="32">
        <f>IFERROR(__xludf.DUMMYFUNCTION("""COMPUTED_VALUE"""),2.0)</f>
        <v>2</v>
      </c>
      <c r="M6556" s="4" t="str">
        <f>IFERROR(__xludf.DUMMYFUNCTION("""COMPUTED_VALUE"""),"null")</f>
        <v>null</v>
      </c>
      <c r="N6556" s="33">
        <f>IFERROR(__xludf.DUMMYFUNCTION("""COMPUTED_VALUE"""),0.5)</f>
        <v>0.5</v>
      </c>
      <c r="O6556" s="4" t="str">
        <f>IFERROR(__xludf.DUMMYFUNCTION("""COMPUTED_VALUE"""),"null")</f>
        <v>null</v>
      </c>
      <c r="P6556" s="33">
        <f>IFERROR(__xludf.DUMMYFUNCTION("""COMPUTED_VALUE"""),0.5)</f>
        <v>0.5</v>
      </c>
      <c r="Q6556" s="4" t="str">
        <f>IFERROR(__xludf.DUMMYFUNCTION("""COMPUTED_VALUE"""),"null")</f>
        <v>null</v>
      </c>
      <c r="R6556" s="33">
        <f>IFERROR(__xludf.DUMMYFUNCTION("""COMPUTED_VALUE"""),0.5)</f>
        <v>0.5</v>
      </c>
      <c r="S6556" s="4" t="str">
        <f>IFERROR(__xludf.DUMMYFUNCTION("""COMPUTED_VALUE"""),"null")</f>
        <v>null</v>
      </c>
      <c r="T6556" s="33">
        <f>IFERROR(__xludf.DUMMYFUNCTION("""COMPUTED_VALUE"""),0.5)</f>
        <v>0.5</v>
      </c>
      <c r="U6556" s="4" t="str">
        <f>IFERROR(__xludf.DUMMYFUNCTION("""COMPUTED_VALUE"""),"Agilizup Solucoes Ltda")</f>
        <v>Agilizup Solucoes Ltda</v>
      </c>
      <c r="V6556" s="33">
        <f>IFERROR(__xludf.DUMMYFUNCTION("""COMPUTED_VALUE"""),1.0)</f>
        <v>1</v>
      </c>
      <c r="W6556" s="4" t="str">
        <f>IFERROR(__xludf.DUMMYFUNCTION("""COMPUTED_VALUE"""),"Agilizup Solucoes Ltda")</f>
        <v>Agilizup Solucoes Ltda</v>
      </c>
      <c r="X6556" s="33">
        <f>IFERROR(__xludf.DUMMYFUNCTION("""COMPUTED_VALUE"""),1.0)</f>
        <v>1</v>
      </c>
    </row>
    <row r="6557">
      <c r="K6557" s="4" t="str">
        <f>IFERROR(__xludf.DUMMYFUNCTION("""COMPUTED_VALUE"""),"99 ACAI DELIVERY")</f>
        <v>99 ACAI DELIVERY</v>
      </c>
      <c r="L6557" s="32">
        <f>IFERROR(__xludf.DUMMYFUNCTION("""COMPUTED_VALUE"""),2.0)</f>
        <v>2</v>
      </c>
      <c r="M6557" s="4" t="str">
        <f>IFERROR(__xludf.DUMMYFUNCTION("""COMPUTED_VALUE"""),"Consumer Soluções Em Tecnologia Ltda")</f>
        <v>Consumer Soluções Em Tecnologia Ltda</v>
      </c>
      <c r="N6557" s="33">
        <f>IFERROR(__xludf.DUMMYFUNCTION("""COMPUTED_VALUE"""),1.0)</f>
        <v>1</v>
      </c>
      <c r="O6557" s="4" t="str">
        <f>IFERROR(__xludf.DUMMYFUNCTION("""COMPUTED_VALUE"""),"Consumer Soluções Em Tecnologia Ltda")</f>
        <v>Consumer Soluções Em Tecnologia Ltda</v>
      </c>
      <c r="P6557" s="33">
        <f>IFERROR(__xludf.DUMMYFUNCTION("""COMPUTED_VALUE"""),1.0)</f>
        <v>1</v>
      </c>
      <c r="Q6557" s="4" t="str">
        <f>IFERROR(__xludf.DUMMYFUNCTION("""COMPUTED_VALUE"""),"Consumer Soluções Em Tecnologia Ltda")</f>
        <v>Consumer Soluções Em Tecnologia Ltda</v>
      </c>
      <c r="R6557" s="33">
        <f>IFERROR(__xludf.DUMMYFUNCTION("""COMPUTED_VALUE"""),1.0)</f>
        <v>1</v>
      </c>
      <c r="S6557" s="4" t="str">
        <f>IFERROR(__xludf.DUMMYFUNCTION("""COMPUTED_VALUE"""),"null")</f>
        <v>null</v>
      </c>
      <c r="T6557" s="33">
        <f>IFERROR(__xludf.DUMMYFUNCTION("""COMPUTED_VALUE"""),0.5)</f>
        <v>0.5</v>
      </c>
      <c r="U6557" s="4" t="str">
        <f>IFERROR(__xludf.DUMMYFUNCTION("""COMPUTED_VALUE"""),"Consumer Soluções Em Tecnologia Ltda")</f>
        <v>Consumer Soluções Em Tecnologia Ltda</v>
      </c>
      <c r="V6557" s="33">
        <f>IFERROR(__xludf.DUMMYFUNCTION("""COMPUTED_VALUE"""),1.0)</f>
        <v>1</v>
      </c>
      <c r="W6557" s="4" t="str">
        <f>IFERROR(__xludf.DUMMYFUNCTION("""COMPUTED_VALUE"""),"Consumer Soluções Em Tecnologia Ltda")</f>
        <v>Consumer Soluções Em Tecnologia Ltda</v>
      </c>
      <c r="X6557" s="33">
        <f>IFERROR(__xludf.DUMMYFUNCTION("""COMPUTED_VALUE"""),1.0)</f>
        <v>1</v>
      </c>
    </row>
    <row r="6558">
      <c r="K6558" s="4" t="str">
        <f>IFERROR(__xludf.DUMMYFUNCTION("""COMPUTED_VALUE"""),"99 ESFIHAS")</f>
        <v>99 ESFIHAS</v>
      </c>
      <c r="L6558" s="32">
        <f>IFERROR(__xludf.DUMMYFUNCTION("""COMPUTED_VALUE"""),2.0)</f>
        <v>2</v>
      </c>
      <c r="M6558" s="4" t="str">
        <f>IFERROR(__xludf.DUMMYFUNCTION("""COMPUTED_VALUE"""),"Grandchef Desenvolvimento De Sistemas Ltda")</f>
        <v>Grandchef Desenvolvimento De Sistemas Ltda</v>
      </c>
      <c r="N6558" s="33">
        <f>IFERROR(__xludf.DUMMYFUNCTION("""COMPUTED_VALUE"""),1.0)</f>
        <v>1</v>
      </c>
      <c r="O6558" s="4" t="str">
        <f>IFERROR(__xludf.DUMMYFUNCTION("""COMPUTED_VALUE"""),"Grandchef Desenvolvimento De Sistemas Ltda")</f>
        <v>Grandchef Desenvolvimento De Sistemas Ltda</v>
      </c>
      <c r="P6558" s="33">
        <f>IFERROR(__xludf.DUMMYFUNCTION("""COMPUTED_VALUE"""),1.0)</f>
        <v>1</v>
      </c>
      <c r="Q6558" s="4" t="str">
        <f>IFERROR(__xludf.DUMMYFUNCTION("""COMPUTED_VALUE"""),"Grandchef Desenvolvimento De Sistemas Ltda")</f>
        <v>Grandchef Desenvolvimento De Sistemas Ltda</v>
      </c>
      <c r="R6558" s="33">
        <f>IFERROR(__xludf.DUMMYFUNCTION("""COMPUTED_VALUE"""),1.0)</f>
        <v>1</v>
      </c>
      <c r="S6558" s="4" t="str">
        <f>IFERROR(__xludf.DUMMYFUNCTION("""COMPUTED_VALUE"""),"Grandchef Desenvolvimento De Sistemas Ltda")</f>
        <v>Grandchef Desenvolvimento De Sistemas Ltda</v>
      </c>
      <c r="T6558" s="33">
        <f>IFERROR(__xludf.DUMMYFUNCTION("""COMPUTED_VALUE"""),1.0)</f>
        <v>1</v>
      </c>
      <c r="U6558" s="4" t="str">
        <f>IFERROR(__xludf.DUMMYFUNCTION("""COMPUTED_VALUE"""),"Grandchef Desenvolvimento De Sistemas Ltda")</f>
        <v>Grandchef Desenvolvimento De Sistemas Ltda</v>
      </c>
      <c r="V6558" s="33">
        <f>IFERROR(__xludf.DUMMYFUNCTION("""COMPUTED_VALUE"""),1.0)</f>
        <v>1</v>
      </c>
      <c r="W6558" s="4" t="str">
        <f>IFERROR(__xludf.DUMMYFUNCTION("""COMPUTED_VALUE"""),"Grandchef Desenvolvimento De Sistemas Ltda")</f>
        <v>Grandchef Desenvolvimento De Sistemas Ltda</v>
      </c>
      <c r="X6558" s="33">
        <f>IFERROR(__xludf.DUMMYFUNCTION("""COMPUTED_VALUE"""),1.0)</f>
        <v>1</v>
      </c>
    </row>
    <row r="6559">
      <c r="K6559" s="4" t="str">
        <f>IFERROR(__xludf.DUMMYFUNCTION("""COMPUTED_VALUE"""),"A BARLO DOCES E SALGADOS")</f>
        <v>A BARLO DOCES E SALGADOS</v>
      </c>
      <c r="L6559" s="32">
        <f>IFERROR(__xludf.DUMMYFUNCTION("""COMPUTED_VALUE"""),2.0)</f>
        <v>2</v>
      </c>
      <c r="M6559" s="4" t="str">
        <f>IFERROR(__xludf.DUMMYFUNCTION("""COMPUTED_VALUE"""),"Eclética Tecnologia")</f>
        <v>Eclética Tecnologia</v>
      </c>
      <c r="N6559" s="33">
        <f>IFERROR(__xludf.DUMMYFUNCTION("""COMPUTED_VALUE"""),1.0)</f>
        <v>1</v>
      </c>
      <c r="O6559" s="4" t="str">
        <f>IFERROR(__xludf.DUMMYFUNCTION("""COMPUTED_VALUE"""),"null")</f>
        <v>null</v>
      </c>
      <c r="P6559" s="33">
        <f>IFERROR(__xludf.DUMMYFUNCTION("""COMPUTED_VALUE"""),0.5)</f>
        <v>0.5</v>
      </c>
      <c r="Q6559" s="4" t="str">
        <f>IFERROR(__xludf.DUMMYFUNCTION("""COMPUTED_VALUE"""),"null")</f>
        <v>null</v>
      </c>
      <c r="R6559" s="33">
        <f>IFERROR(__xludf.DUMMYFUNCTION("""COMPUTED_VALUE"""),1.0)</f>
        <v>1</v>
      </c>
      <c r="S6559" s="4" t="str">
        <f>IFERROR(__xludf.DUMMYFUNCTION("""COMPUTED_VALUE"""),"null")</f>
        <v>null</v>
      </c>
      <c r="T6559" s="33">
        <f>IFERROR(__xludf.DUMMYFUNCTION("""COMPUTED_VALUE"""),0.5)</f>
        <v>0.5</v>
      </c>
      <c r="U6559" s="4" t="str">
        <f>IFERROR(__xludf.DUMMYFUNCTION("""COMPUTED_VALUE"""),"null")</f>
        <v>null</v>
      </c>
      <c r="V6559" s="33">
        <f>IFERROR(__xludf.DUMMYFUNCTION("""COMPUTED_VALUE"""),0.5)</f>
        <v>0.5</v>
      </c>
      <c r="W6559" s="4" t="str">
        <f>IFERROR(__xludf.DUMMYFUNCTION("""COMPUTED_VALUE"""),"Eclética Tecnologia")</f>
        <v>Eclética Tecnologia</v>
      </c>
      <c r="X6559" s="33">
        <f>IFERROR(__xludf.DUMMYFUNCTION("""COMPUTED_VALUE"""),1.0)</f>
        <v>1</v>
      </c>
    </row>
    <row r="6560">
      <c r="K6560" s="4" t="str">
        <f>IFERROR(__xludf.DUMMYFUNCTION("""COMPUTED_VALUE"""),"A CASA DA LASANHA")</f>
        <v>A CASA DA LASANHA</v>
      </c>
      <c r="L6560" s="32">
        <f>IFERROR(__xludf.DUMMYFUNCTION("""COMPUTED_VALUE"""),2.0)</f>
        <v>2</v>
      </c>
      <c r="M6560" s="4" t="str">
        <f>IFERROR(__xludf.DUMMYFUNCTION("""COMPUTED_VALUE"""),"null")</f>
        <v>null</v>
      </c>
      <c r="N6560" s="33">
        <f>IFERROR(__xludf.DUMMYFUNCTION("""COMPUTED_VALUE"""),0.5)</f>
        <v>0.5</v>
      </c>
      <c r="O6560" s="4" t="str">
        <f>IFERROR(__xludf.DUMMYFUNCTION("""COMPUTED_VALUE"""),"null")</f>
        <v>null</v>
      </c>
      <c r="P6560" s="33">
        <f>IFERROR(__xludf.DUMMYFUNCTION("""COMPUTED_VALUE"""),0.5)</f>
        <v>0.5</v>
      </c>
      <c r="Q6560" s="4" t="str">
        <f>IFERROR(__xludf.DUMMYFUNCTION("""COMPUTED_VALUE"""),"null")</f>
        <v>null</v>
      </c>
      <c r="R6560" s="33">
        <f>IFERROR(__xludf.DUMMYFUNCTION("""COMPUTED_VALUE"""),0.5)</f>
        <v>0.5</v>
      </c>
      <c r="S6560" s="4" t="str">
        <f>IFERROR(__xludf.DUMMYFUNCTION("""COMPUTED_VALUE"""),"null")</f>
        <v>null</v>
      </c>
      <c r="T6560" s="33">
        <f>IFERROR(__xludf.DUMMYFUNCTION("""COMPUTED_VALUE"""),0.5)</f>
        <v>0.5</v>
      </c>
      <c r="U6560" s="4" t="str">
        <f>IFERROR(__xludf.DUMMYFUNCTION("""COMPUTED_VALUE"""),"null")</f>
        <v>null</v>
      </c>
      <c r="V6560" s="33">
        <f>IFERROR(__xludf.DUMMYFUNCTION("""COMPUTED_VALUE"""),0.5)</f>
        <v>0.5</v>
      </c>
      <c r="W6560" s="4" t="str">
        <f>IFERROR(__xludf.DUMMYFUNCTION("""COMPUTED_VALUE"""),"Beefood - Sistema Para Restaurantes")</f>
        <v>Beefood - Sistema Para Restaurantes</v>
      </c>
      <c r="X6560" s="33">
        <f>IFERROR(__xludf.DUMMYFUNCTION("""COMPUTED_VALUE"""),0.5)</f>
        <v>0.5</v>
      </c>
    </row>
    <row r="6561">
      <c r="K6561" s="4" t="str">
        <f>IFERROR(__xludf.DUMMYFUNCTION("""COMPUTED_VALUE"""),"A CASA DO FRANGO ASSADO")</f>
        <v>A CASA DO FRANGO ASSADO</v>
      </c>
      <c r="L6561" s="32">
        <f>IFERROR(__xludf.DUMMYFUNCTION("""COMPUTED_VALUE"""),2.0)</f>
        <v>2</v>
      </c>
      <c r="M6561" s="4" t="str">
        <f>IFERROR(__xludf.DUMMYFUNCTION("""COMPUTED_VALUE"""),"Saipos Serviços De Software")</f>
        <v>Saipos Serviços De Software</v>
      </c>
      <c r="N6561" s="33">
        <f>IFERROR(__xludf.DUMMYFUNCTION("""COMPUTED_VALUE"""),1.0)</f>
        <v>1</v>
      </c>
      <c r="O6561" s="4" t="str">
        <f>IFERROR(__xludf.DUMMYFUNCTION("""COMPUTED_VALUE"""),"Saipos Serviços De Software")</f>
        <v>Saipos Serviços De Software</v>
      </c>
      <c r="P6561" s="33">
        <f>IFERROR(__xludf.DUMMYFUNCTION("""COMPUTED_VALUE"""),1.0)</f>
        <v>1</v>
      </c>
      <c r="Q6561" s="4" t="str">
        <f>IFERROR(__xludf.DUMMYFUNCTION("""COMPUTED_VALUE"""),"Saipos Serviços De Software")</f>
        <v>Saipos Serviços De Software</v>
      </c>
      <c r="R6561" s="33">
        <f>IFERROR(__xludf.DUMMYFUNCTION("""COMPUTED_VALUE"""),1.0)</f>
        <v>1</v>
      </c>
      <c r="S6561" s="4" t="str">
        <f>IFERROR(__xludf.DUMMYFUNCTION("""COMPUTED_VALUE"""),"Saipos Serviços De Software")</f>
        <v>Saipos Serviços De Software</v>
      </c>
      <c r="T6561" s="33">
        <f>IFERROR(__xludf.DUMMYFUNCTION("""COMPUTED_VALUE"""),1.0)</f>
        <v>1</v>
      </c>
      <c r="U6561" s="4" t="str">
        <f>IFERROR(__xludf.DUMMYFUNCTION("""COMPUTED_VALUE"""),"Saipos Serviços De Software")</f>
        <v>Saipos Serviços De Software</v>
      </c>
      <c r="V6561" s="33">
        <f>IFERROR(__xludf.DUMMYFUNCTION("""COMPUTED_VALUE"""),0.5)</f>
        <v>0.5</v>
      </c>
      <c r="W6561" s="4" t="str">
        <f>IFERROR(__xludf.DUMMYFUNCTION("""COMPUTED_VALUE"""),"Saipos Serviços De Software")</f>
        <v>Saipos Serviços De Software</v>
      </c>
      <c r="X6561" s="33">
        <f>IFERROR(__xludf.DUMMYFUNCTION("""COMPUTED_VALUE"""),0.5)</f>
        <v>0.5</v>
      </c>
    </row>
    <row r="6562">
      <c r="K6562" s="4" t="str">
        <f>IFERROR(__xludf.DUMMYFUNCTION("""COMPUTED_VALUE"""),"A HORA DO VINHO - CONTA PAI")</f>
        <v>A HORA DO VINHO - CONTA PAI</v>
      </c>
      <c r="L6562" s="32">
        <f>IFERROR(__xludf.DUMMYFUNCTION("""COMPUTED_VALUE"""),2.0)</f>
        <v>2</v>
      </c>
      <c r="M6562" s="4" t="str">
        <f>IFERROR(__xludf.DUMMYFUNCTION("""COMPUTED_VALUE"""),"Connectplug")</f>
        <v>Connectplug</v>
      </c>
      <c r="N6562" s="33">
        <f>IFERROR(__xludf.DUMMYFUNCTION("""COMPUTED_VALUE"""),1.0)</f>
        <v>1</v>
      </c>
      <c r="O6562" s="4" t="str">
        <f>IFERROR(__xludf.DUMMYFUNCTION("""COMPUTED_VALUE"""),"null")</f>
        <v>null</v>
      </c>
      <c r="P6562" s="33">
        <f>IFERROR(__xludf.DUMMYFUNCTION("""COMPUTED_VALUE"""),0.5)</f>
        <v>0.5</v>
      </c>
      <c r="Q6562" s="4" t="str">
        <f>IFERROR(__xludf.DUMMYFUNCTION("""COMPUTED_VALUE"""),"Connectplug")</f>
        <v>Connectplug</v>
      </c>
      <c r="R6562" s="33">
        <f>IFERROR(__xludf.DUMMYFUNCTION("""COMPUTED_VALUE"""),0.5)</f>
        <v>0.5</v>
      </c>
      <c r="S6562" s="4" t="str">
        <f>IFERROR(__xludf.DUMMYFUNCTION("""COMPUTED_VALUE"""),"null")</f>
        <v>null</v>
      </c>
      <c r="T6562" s="33">
        <f>IFERROR(__xludf.DUMMYFUNCTION("""COMPUTED_VALUE"""),1.0)</f>
        <v>1</v>
      </c>
      <c r="U6562" s="4" t="str">
        <f>IFERROR(__xludf.DUMMYFUNCTION("""COMPUTED_VALUE"""),"Connectplug")</f>
        <v>Connectplug</v>
      </c>
      <c r="V6562" s="33">
        <f>IFERROR(__xludf.DUMMYFUNCTION("""COMPUTED_VALUE"""),0.5)</f>
        <v>0.5</v>
      </c>
      <c r="W6562" s="4" t="str">
        <f>IFERROR(__xludf.DUMMYFUNCTION("""COMPUTED_VALUE"""),"null")</f>
        <v>null</v>
      </c>
      <c r="X6562" s="33">
        <f>IFERROR(__xludf.DUMMYFUNCTION("""COMPUTED_VALUE"""),1.0)</f>
        <v>1</v>
      </c>
    </row>
    <row r="6563">
      <c r="K6563" s="4" t="str">
        <f>IFERROR(__xludf.DUMMYFUNCTION("""COMPUTED_VALUE"""),"A PAMPHYLIA")</f>
        <v>A PAMPHYLIA</v>
      </c>
      <c r="L6563" s="32">
        <f>IFERROR(__xludf.DUMMYFUNCTION("""COMPUTED_VALUE"""),2.0)</f>
        <v>2</v>
      </c>
      <c r="M6563" s="4" t="str">
        <f>IFERROR(__xludf.DUMMYFUNCTION("""COMPUTED_VALUE"""),"Netcontroll Xmenu")</f>
        <v>Netcontroll Xmenu</v>
      </c>
      <c r="N6563" s="33">
        <f>IFERROR(__xludf.DUMMYFUNCTION("""COMPUTED_VALUE"""),1.0)</f>
        <v>1</v>
      </c>
      <c r="O6563" s="4" t="str">
        <f>IFERROR(__xludf.DUMMYFUNCTION("""COMPUTED_VALUE"""),"Netcontroll Xmenu")</f>
        <v>Netcontroll Xmenu</v>
      </c>
      <c r="P6563" s="33">
        <f>IFERROR(__xludf.DUMMYFUNCTION("""COMPUTED_VALUE"""),1.0)</f>
        <v>1</v>
      </c>
      <c r="Q6563" s="4" t="str">
        <f>IFERROR(__xludf.DUMMYFUNCTION("""COMPUTED_VALUE"""),"Netcontroll Xmenu")</f>
        <v>Netcontroll Xmenu</v>
      </c>
      <c r="R6563" s="33">
        <f>IFERROR(__xludf.DUMMYFUNCTION("""COMPUTED_VALUE"""),1.0)</f>
        <v>1</v>
      </c>
      <c r="S6563" s="4" t="str">
        <f>IFERROR(__xludf.DUMMYFUNCTION("""COMPUTED_VALUE"""),"Netcontroll Xmenu")</f>
        <v>Netcontroll Xmenu</v>
      </c>
      <c r="T6563" s="33">
        <f>IFERROR(__xludf.DUMMYFUNCTION("""COMPUTED_VALUE"""),1.0)</f>
        <v>1</v>
      </c>
      <c r="U6563" s="4" t="str">
        <f>IFERROR(__xludf.DUMMYFUNCTION("""COMPUTED_VALUE"""),"Netcontroll Xmenu")</f>
        <v>Netcontroll Xmenu</v>
      </c>
      <c r="V6563" s="33">
        <f>IFERROR(__xludf.DUMMYFUNCTION("""COMPUTED_VALUE"""),1.0)</f>
        <v>1</v>
      </c>
      <c r="W6563" s="4" t="str">
        <f>IFERROR(__xludf.DUMMYFUNCTION("""COMPUTED_VALUE"""),"Netcontroll Xmenu")</f>
        <v>Netcontroll Xmenu</v>
      </c>
      <c r="X6563" s="33">
        <f>IFERROR(__xludf.DUMMYFUNCTION("""COMPUTED_VALUE"""),1.0)</f>
        <v>1</v>
      </c>
    </row>
    <row r="6564">
      <c r="K6564" s="4" t="str">
        <f>IFERROR(__xludf.DUMMYFUNCTION("""COMPUTED_VALUE"""),"A PORTEIRA")</f>
        <v>A PORTEIRA</v>
      </c>
      <c r="L6564" s="32">
        <f>IFERROR(__xludf.DUMMYFUNCTION("""COMPUTED_VALUE"""),2.0)</f>
        <v>2</v>
      </c>
      <c r="M6564" s="4" t="str">
        <f>IFERROR(__xludf.DUMMYFUNCTION("""COMPUTED_VALUE"""),"Totvs Large Enterprise Tecnologia S.a.")</f>
        <v>Totvs Large Enterprise Tecnologia S.a.</v>
      </c>
      <c r="N6564" s="33">
        <f>IFERROR(__xludf.DUMMYFUNCTION("""COMPUTED_VALUE"""),1.0)</f>
        <v>1</v>
      </c>
      <c r="O6564" s="4" t="str">
        <f>IFERROR(__xludf.DUMMYFUNCTION("""COMPUTED_VALUE"""),"Totvs Large Enterprise Tecnologia S.a.")</f>
        <v>Totvs Large Enterprise Tecnologia S.a.</v>
      </c>
      <c r="P6564" s="33">
        <f>IFERROR(__xludf.DUMMYFUNCTION("""COMPUTED_VALUE"""),1.0)</f>
        <v>1</v>
      </c>
      <c r="Q6564" s="4" t="str">
        <f>IFERROR(__xludf.DUMMYFUNCTION("""COMPUTED_VALUE"""),"Totvs Large Enterprise Tecnologia S.a.")</f>
        <v>Totvs Large Enterprise Tecnologia S.a.</v>
      </c>
      <c r="R6564" s="33">
        <f>IFERROR(__xludf.DUMMYFUNCTION("""COMPUTED_VALUE"""),0.5)</f>
        <v>0.5</v>
      </c>
      <c r="S6564" s="4" t="str">
        <f>IFERROR(__xludf.DUMMYFUNCTION("""COMPUTED_VALUE"""),"Totvs Large Enterprise Tecnologia S.a.")</f>
        <v>Totvs Large Enterprise Tecnologia S.a.</v>
      </c>
      <c r="T6564" s="33">
        <f>IFERROR(__xludf.DUMMYFUNCTION("""COMPUTED_VALUE"""),0.5)</f>
        <v>0.5</v>
      </c>
      <c r="U6564" s="4" t="str">
        <f>IFERROR(__xludf.DUMMYFUNCTION("""COMPUTED_VALUE"""),"Totvs Large Enterprise Tecnologia S.a.")</f>
        <v>Totvs Large Enterprise Tecnologia S.a.</v>
      </c>
      <c r="V6564" s="33">
        <f>IFERROR(__xludf.DUMMYFUNCTION("""COMPUTED_VALUE"""),1.0)</f>
        <v>1</v>
      </c>
      <c r="W6564" s="4" t="str">
        <f>IFERROR(__xludf.DUMMYFUNCTION("""COMPUTED_VALUE"""),"Totvs Large Enterprise Tecnologia S.a.")</f>
        <v>Totvs Large Enterprise Tecnologia S.a.</v>
      </c>
      <c r="X6564" s="33">
        <f>IFERROR(__xludf.DUMMYFUNCTION("""COMPUTED_VALUE"""),1.0)</f>
        <v>1</v>
      </c>
    </row>
    <row r="6565">
      <c r="K6565" s="4" t="str">
        <f>IFERROR(__xludf.DUMMYFUNCTION("""COMPUTED_VALUE"""),"A ROCA - MARMITEX -")</f>
        <v>A ROCA - MARMITEX -</v>
      </c>
      <c r="L6565" s="32">
        <f>IFERROR(__xludf.DUMMYFUNCTION("""COMPUTED_VALUE"""),2.0)</f>
        <v>2</v>
      </c>
      <c r="M6565" s="4" t="str">
        <f>IFERROR(__xludf.DUMMYFUNCTION("""COMPUTED_VALUE"""),"Saipos Serviços De Software")</f>
        <v>Saipos Serviços De Software</v>
      </c>
      <c r="N6565" s="33">
        <f>IFERROR(__xludf.DUMMYFUNCTION("""COMPUTED_VALUE"""),1.0)</f>
        <v>1</v>
      </c>
      <c r="O6565" s="4" t="str">
        <f>IFERROR(__xludf.DUMMYFUNCTION("""COMPUTED_VALUE"""),"Saipos Serviços De Software")</f>
        <v>Saipos Serviços De Software</v>
      </c>
      <c r="P6565" s="33">
        <f>IFERROR(__xludf.DUMMYFUNCTION("""COMPUTED_VALUE"""),1.0)</f>
        <v>1</v>
      </c>
      <c r="Q6565" s="4" t="str">
        <f>IFERROR(__xludf.DUMMYFUNCTION("""COMPUTED_VALUE"""),"Saipos Serviços De Software")</f>
        <v>Saipos Serviços De Software</v>
      </c>
      <c r="R6565" s="33">
        <f>IFERROR(__xludf.DUMMYFUNCTION("""COMPUTED_VALUE"""),1.0)</f>
        <v>1</v>
      </c>
      <c r="S6565" s="4" t="str">
        <f>IFERROR(__xludf.DUMMYFUNCTION("""COMPUTED_VALUE"""),"Saipos Serviços De Software")</f>
        <v>Saipos Serviços De Software</v>
      </c>
      <c r="T6565" s="33">
        <f>IFERROR(__xludf.DUMMYFUNCTION("""COMPUTED_VALUE"""),1.0)</f>
        <v>1</v>
      </c>
      <c r="U6565" s="4" t="str">
        <f>IFERROR(__xludf.DUMMYFUNCTION("""COMPUTED_VALUE"""),"Saipos Serviços De Software")</f>
        <v>Saipos Serviços De Software</v>
      </c>
      <c r="V6565" s="33">
        <f>IFERROR(__xludf.DUMMYFUNCTION("""COMPUTED_VALUE"""),1.0)</f>
        <v>1</v>
      </c>
      <c r="W6565" s="4" t="str">
        <f>IFERROR(__xludf.DUMMYFUNCTION("""COMPUTED_VALUE"""),"Saipos Serviços De Software")</f>
        <v>Saipos Serviços De Software</v>
      </c>
      <c r="X6565" s="33">
        <f>IFERROR(__xludf.DUMMYFUNCTION("""COMPUTED_VALUE"""),1.0)</f>
        <v>1</v>
      </c>
    </row>
    <row r="6566">
      <c r="K6566" s="4" t="str">
        <f>IFERROR(__xludf.DUMMYFUNCTION("""COMPUTED_VALUE"""),"A SENHORA PIZZA - GUARULHOS")</f>
        <v>A SENHORA PIZZA - GUARULHOS</v>
      </c>
      <c r="L6566" s="32">
        <f>IFERROR(__xludf.DUMMYFUNCTION("""COMPUTED_VALUE"""),2.0)</f>
        <v>2</v>
      </c>
      <c r="M6566" s="4" t="str">
        <f>IFERROR(__xludf.DUMMYFUNCTION("""COMPUTED_VALUE"""),"Ncr")</f>
        <v>Ncr</v>
      </c>
      <c r="N6566" s="33">
        <f>IFERROR(__xludf.DUMMYFUNCTION("""COMPUTED_VALUE"""),1.0)</f>
        <v>1</v>
      </c>
      <c r="O6566" s="4" t="str">
        <f>IFERROR(__xludf.DUMMYFUNCTION("""COMPUTED_VALUE"""),"Ncr")</f>
        <v>Ncr</v>
      </c>
      <c r="P6566" s="33">
        <f>IFERROR(__xludf.DUMMYFUNCTION("""COMPUTED_VALUE"""),1.0)</f>
        <v>1</v>
      </c>
      <c r="Q6566" s="4" t="str">
        <f>IFERROR(__xludf.DUMMYFUNCTION("""COMPUTED_VALUE"""),"Ncr")</f>
        <v>Ncr</v>
      </c>
      <c r="R6566" s="33">
        <f>IFERROR(__xludf.DUMMYFUNCTION("""COMPUTED_VALUE"""),1.0)</f>
        <v>1</v>
      </c>
      <c r="S6566" s="4" t="str">
        <f>IFERROR(__xludf.DUMMYFUNCTION("""COMPUTED_VALUE"""),"Ncr")</f>
        <v>Ncr</v>
      </c>
      <c r="T6566" s="33">
        <f>IFERROR(__xludf.DUMMYFUNCTION("""COMPUTED_VALUE"""),1.0)</f>
        <v>1</v>
      </c>
      <c r="U6566" s="4" t="str">
        <f>IFERROR(__xludf.DUMMYFUNCTION("""COMPUTED_VALUE"""),"Ncr")</f>
        <v>Ncr</v>
      </c>
      <c r="V6566" s="33">
        <f>IFERROR(__xludf.DUMMYFUNCTION("""COMPUTED_VALUE"""),1.0)</f>
        <v>1</v>
      </c>
      <c r="W6566" s="4" t="str">
        <f>IFERROR(__xludf.DUMMYFUNCTION("""COMPUTED_VALUE"""),"Ncr")</f>
        <v>Ncr</v>
      </c>
      <c r="X6566" s="33">
        <f>IFERROR(__xludf.DUMMYFUNCTION("""COMPUTED_VALUE"""),1.0)</f>
        <v>1</v>
      </c>
    </row>
    <row r="6567">
      <c r="K6567" s="4" t="str">
        <f>IFERROR(__xludf.DUMMYFUNCTION("""COMPUTED_VALUE"""),"A3 SUSHI - THE")</f>
        <v>A3 SUSHI - THE</v>
      </c>
      <c r="L6567" s="32">
        <f>IFERROR(__xludf.DUMMYFUNCTION("""COMPUTED_VALUE"""),2.0)</f>
        <v>2</v>
      </c>
      <c r="M6567" s="4" t="str">
        <f>IFERROR(__xludf.DUMMYFUNCTION("""COMPUTED_VALUE"""),"null")</f>
        <v>null</v>
      </c>
      <c r="N6567" s="33">
        <f>IFERROR(__xludf.DUMMYFUNCTION("""COMPUTED_VALUE"""),0.5)</f>
        <v>0.5</v>
      </c>
      <c r="O6567" s="4" t="str">
        <f>IFERROR(__xludf.DUMMYFUNCTION("""COMPUTED_VALUE"""),"Soft Solutions")</f>
        <v>Soft Solutions</v>
      </c>
      <c r="P6567" s="33">
        <f>IFERROR(__xludf.DUMMYFUNCTION("""COMPUTED_VALUE"""),1.0)</f>
        <v>1</v>
      </c>
      <c r="Q6567" s="4" t="str">
        <f>IFERROR(__xludf.DUMMYFUNCTION("""COMPUTED_VALUE"""),"Soft Solutions")</f>
        <v>Soft Solutions</v>
      </c>
      <c r="R6567" s="33">
        <f>IFERROR(__xludf.DUMMYFUNCTION("""COMPUTED_VALUE"""),0.5)</f>
        <v>0.5</v>
      </c>
      <c r="S6567" s="4" t="str">
        <f>IFERROR(__xludf.DUMMYFUNCTION("""COMPUTED_VALUE"""),"null")</f>
        <v>null</v>
      </c>
      <c r="T6567" s="33">
        <f>IFERROR(__xludf.DUMMYFUNCTION("""COMPUTED_VALUE"""),0.5)</f>
        <v>0.5</v>
      </c>
      <c r="U6567" s="4" t="str">
        <f>IFERROR(__xludf.DUMMYFUNCTION("""COMPUTED_VALUE"""),"Soft Solutions")</f>
        <v>Soft Solutions</v>
      </c>
      <c r="V6567" s="33">
        <f>IFERROR(__xludf.DUMMYFUNCTION("""COMPUTED_VALUE"""),0.5)</f>
        <v>0.5</v>
      </c>
      <c r="W6567" s="4" t="str">
        <f>IFERROR(__xludf.DUMMYFUNCTION("""COMPUTED_VALUE"""),"null")</f>
        <v>null</v>
      </c>
      <c r="X6567" s="33">
        <f>IFERROR(__xludf.DUMMYFUNCTION("""COMPUTED_VALUE"""),0.5)</f>
        <v>0.5</v>
      </c>
    </row>
    <row r="6568">
      <c r="K6568" s="4" t="str">
        <f>IFERROR(__xludf.DUMMYFUNCTION("""COMPUTED_VALUE"""),"ABACAZO - CONTA PAI")</f>
        <v>ABACAZO - CONTA PAI</v>
      </c>
      <c r="L6568" s="32">
        <f>IFERROR(__xludf.DUMMYFUNCTION("""COMPUTED_VALUE"""),2.0)</f>
        <v>2</v>
      </c>
      <c r="M6568" s="4" t="str">
        <f>IFERROR(__xludf.DUMMYFUNCTION("""COMPUTED_VALUE"""),"Nxz Sistema Inteligentes Ltda")</f>
        <v>Nxz Sistema Inteligentes Ltda</v>
      </c>
      <c r="N6568" s="33">
        <f>IFERROR(__xludf.DUMMYFUNCTION("""COMPUTED_VALUE"""),0.5)</f>
        <v>0.5</v>
      </c>
      <c r="O6568" s="4" t="str">
        <f>IFERROR(__xludf.DUMMYFUNCTION("""COMPUTED_VALUE"""),"Nxz Sistema Inteligentes Ltda")</f>
        <v>Nxz Sistema Inteligentes Ltda</v>
      </c>
      <c r="P6568" s="33">
        <f>IFERROR(__xludf.DUMMYFUNCTION("""COMPUTED_VALUE"""),0.5)</f>
        <v>0.5</v>
      </c>
      <c r="Q6568" s="4" t="str">
        <f>IFERROR(__xludf.DUMMYFUNCTION("""COMPUTED_VALUE"""),"null")</f>
        <v>null</v>
      </c>
      <c r="R6568" s="33">
        <f>IFERROR(__xludf.DUMMYFUNCTION("""COMPUTED_VALUE"""),0.5)</f>
        <v>0.5</v>
      </c>
      <c r="S6568" s="4" t="str">
        <f>IFERROR(__xludf.DUMMYFUNCTION("""COMPUTED_VALUE"""),"null")</f>
        <v>null</v>
      </c>
      <c r="T6568" s="33">
        <f>IFERROR(__xludf.DUMMYFUNCTION("""COMPUTED_VALUE"""),0.5)</f>
        <v>0.5</v>
      </c>
      <c r="U6568" s="4" t="str">
        <f>IFERROR(__xludf.DUMMYFUNCTION("""COMPUTED_VALUE"""),"null")</f>
        <v>null</v>
      </c>
      <c r="V6568" s="33">
        <f>IFERROR(__xludf.DUMMYFUNCTION("""COMPUTED_VALUE"""),0.5)</f>
        <v>0.5</v>
      </c>
      <c r="W6568" s="4" t="str">
        <f>IFERROR(__xludf.DUMMYFUNCTION("""COMPUTED_VALUE"""),"null")</f>
        <v>null</v>
      </c>
      <c r="X6568" s="33">
        <f>IFERROR(__xludf.DUMMYFUNCTION("""COMPUTED_VALUE"""),0.5)</f>
        <v>0.5</v>
      </c>
    </row>
    <row r="6569">
      <c r="K6569" s="4" t="str">
        <f>IFERROR(__xludf.DUMMYFUNCTION("""COMPUTED_VALUE"""),"AC FARMA TRES DE MAIO - CONTA PAI")</f>
        <v>AC FARMA TRES DE MAIO - CONTA PAI</v>
      </c>
      <c r="L6569" s="32">
        <f>IFERROR(__xludf.DUMMYFUNCTION("""COMPUTED_VALUE"""),2.0)</f>
        <v>2</v>
      </c>
      <c r="M6569" s="4" t="str">
        <f>IFERROR(__xludf.DUMMYFUNCTION("""COMPUTED_VALUE"""),"N/A (Not found)")</f>
        <v>N/A (Not found)</v>
      </c>
      <c r="N6569" s="33">
        <f>IFERROR(__xludf.DUMMYFUNCTION("""COMPUTED_VALUE"""),1.0)</f>
        <v>1</v>
      </c>
      <c r="O6569" s="4" t="str">
        <f>IFERROR(__xludf.DUMMYFUNCTION("""COMPUTED_VALUE"""),"N/A (Not found)")</f>
        <v>N/A (Not found)</v>
      </c>
      <c r="P6569" s="33">
        <f>IFERROR(__xludf.DUMMYFUNCTION("""COMPUTED_VALUE"""),1.0)</f>
        <v>1</v>
      </c>
      <c r="Q6569" s="4" t="str">
        <f>IFERROR(__xludf.DUMMYFUNCTION("""COMPUTED_VALUE"""),"N/A (Not found)")</f>
        <v>N/A (Not found)</v>
      </c>
      <c r="R6569" s="33">
        <f>IFERROR(__xludf.DUMMYFUNCTION("""COMPUTED_VALUE"""),1.0)</f>
        <v>1</v>
      </c>
      <c r="S6569" s="4" t="str">
        <f>IFERROR(__xludf.DUMMYFUNCTION("""COMPUTED_VALUE"""),"N/A (Not found)")</f>
        <v>N/A (Not found)</v>
      </c>
      <c r="T6569" s="33">
        <f>IFERROR(__xludf.DUMMYFUNCTION("""COMPUTED_VALUE"""),1.0)</f>
        <v>1</v>
      </c>
      <c r="U6569" s="4" t="str">
        <f>IFERROR(__xludf.DUMMYFUNCTION("""COMPUTED_VALUE"""),"N/A (Not found)")</f>
        <v>N/A (Not found)</v>
      </c>
      <c r="V6569" s="33">
        <f>IFERROR(__xludf.DUMMYFUNCTION("""COMPUTED_VALUE"""),1.0)</f>
        <v>1</v>
      </c>
      <c r="W6569" s="4" t="str">
        <f>IFERROR(__xludf.DUMMYFUNCTION("""COMPUTED_VALUE"""),"N/A (Not found)")</f>
        <v>N/A (Not found)</v>
      </c>
      <c r="X6569" s="33">
        <f>IFERROR(__xludf.DUMMYFUNCTION("""COMPUTED_VALUE"""),1.0)</f>
        <v>1</v>
      </c>
    </row>
    <row r="6570">
      <c r="K6570" s="4" t="str">
        <f>IFERROR(__xludf.DUMMYFUNCTION("""COMPUTED_VALUE"""),"ACAI CONEX")</f>
        <v>ACAI CONEX</v>
      </c>
      <c r="L6570" s="32">
        <f>IFERROR(__xludf.DUMMYFUNCTION("""COMPUTED_VALUE"""),2.0)</f>
        <v>2</v>
      </c>
      <c r="M6570" s="4" t="str">
        <f>IFERROR(__xludf.DUMMYFUNCTION("""COMPUTED_VALUE"""),"Saipos Serviços De Software")</f>
        <v>Saipos Serviços De Software</v>
      </c>
      <c r="N6570" s="33">
        <f>IFERROR(__xludf.DUMMYFUNCTION("""COMPUTED_VALUE"""),1.0)</f>
        <v>1</v>
      </c>
      <c r="O6570" s="4" t="str">
        <f>IFERROR(__xludf.DUMMYFUNCTION("""COMPUTED_VALUE"""),"Saipos Serviços De Software")</f>
        <v>Saipos Serviços De Software</v>
      </c>
      <c r="P6570" s="33">
        <f>IFERROR(__xludf.DUMMYFUNCTION("""COMPUTED_VALUE"""),1.0)</f>
        <v>1</v>
      </c>
      <c r="Q6570" s="4" t="str">
        <f>IFERROR(__xludf.DUMMYFUNCTION("""COMPUTED_VALUE"""),"Saipos Serviços De Software")</f>
        <v>Saipos Serviços De Software</v>
      </c>
      <c r="R6570" s="33">
        <f>IFERROR(__xludf.DUMMYFUNCTION("""COMPUTED_VALUE"""),1.0)</f>
        <v>1</v>
      </c>
      <c r="S6570" s="4" t="str">
        <f>IFERROR(__xludf.DUMMYFUNCTION("""COMPUTED_VALUE"""),"Saipos Serviços De Software")</f>
        <v>Saipos Serviços De Software</v>
      </c>
      <c r="T6570" s="33">
        <f>IFERROR(__xludf.DUMMYFUNCTION("""COMPUTED_VALUE"""),1.0)</f>
        <v>1</v>
      </c>
      <c r="U6570" s="4" t="str">
        <f>IFERROR(__xludf.DUMMYFUNCTION("""COMPUTED_VALUE"""),"Saipos Serviços De Software")</f>
        <v>Saipos Serviços De Software</v>
      </c>
      <c r="V6570" s="33">
        <f>IFERROR(__xludf.DUMMYFUNCTION("""COMPUTED_VALUE"""),1.0)</f>
        <v>1</v>
      </c>
      <c r="W6570" s="4" t="str">
        <f>IFERROR(__xludf.DUMMYFUNCTION("""COMPUTED_VALUE"""),"Saipos Serviços De Software")</f>
        <v>Saipos Serviços De Software</v>
      </c>
      <c r="X6570" s="33">
        <f>IFERROR(__xludf.DUMMYFUNCTION("""COMPUTED_VALUE"""),1.0)</f>
        <v>1</v>
      </c>
    </row>
    <row r="6571">
      <c r="K6571" s="4" t="str">
        <f>IFERROR(__xludf.DUMMYFUNCTION("""COMPUTED_VALUE"""),"ACAI DA 012")</f>
        <v>ACAI DA 012</v>
      </c>
      <c r="L6571" s="32">
        <f>IFERROR(__xludf.DUMMYFUNCTION("""COMPUTED_VALUE"""),2.0)</f>
        <v>2</v>
      </c>
      <c r="M6571" s="4" t="str">
        <f>IFERROR(__xludf.DUMMYFUNCTION("""COMPUTED_VALUE"""),"Saipos Serviços De Software")</f>
        <v>Saipos Serviços De Software</v>
      </c>
      <c r="N6571" s="33">
        <f>IFERROR(__xludf.DUMMYFUNCTION("""COMPUTED_VALUE"""),1.0)</f>
        <v>1</v>
      </c>
      <c r="O6571" s="4" t="str">
        <f>IFERROR(__xludf.DUMMYFUNCTION("""COMPUTED_VALUE"""),"Saipos Serviços De Software")</f>
        <v>Saipos Serviços De Software</v>
      </c>
      <c r="P6571" s="33">
        <f>IFERROR(__xludf.DUMMYFUNCTION("""COMPUTED_VALUE"""),1.0)</f>
        <v>1</v>
      </c>
      <c r="Q6571" s="4" t="str">
        <f>IFERROR(__xludf.DUMMYFUNCTION("""COMPUTED_VALUE"""),"Saipos Serviços De Software")</f>
        <v>Saipos Serviços De Software</v>
      </c>
      <c r="R6571" s="33">
        <f>IFERROR(__xludf.DUMMYFUNCTION("""COMPUTED_VALUE"""),1.0)</f>
        <v>1</v>
      </c>
      <c r="S6571" s="4" t="str">
        <f>IFERROR(__xludf.DUMMYFUNCTION("""COMPUTED_VALUE"""),"Saipos Serviços De Software")</f>
        <v>Saipos Serviços De Software</v>
      </c>
      <c r="T6571" s="33">
        <f>IFERROR(__xludf.DUMMYFUNCTION("""COMPUTED_VALUE"""),1.0)</f>
        <v>1</v>
      </c>
      <c r="U6571" s="4" t="str">
        <f>IFERROR(__xludf.DUMMYFUNCTION("""COMPUTED_VALUE"""),"Saipos Serviços De Software")</f>
        <v>Saipos Serviços De Software</v>
      </c>
      <c r="V6571" s="33">
        <f>IFERROR(__xludf.DUMMYFUNCTION("""COMPUTED_VALUE"""),1.0)</f>
        <v>1</v>
      </c>
      <c r="W6571" s="4" t="str">
        <f>IFERROR(__xludf.DUMMYFUNCTION("""COMPUTED_VALUE"""),"Saipos Serviços De Software")</f>
        <v>Saipos Serviços De Software</v>
      </c>
      <c r="X6571" s="33">
        <f>IFERROR(__xludf.DUMMYFUNCTION("""COMPUTED_VALUE"""),1.0)</f>
        <v>1</v>
      </c>
    </row>
    <row r="6572">
      <c r="K6572" s="4" t="str">
        <f>IFERROR(__xludf.DUMMYFUNCTION("""COMPUTED_VALUE"""),"ACAI DA LARA - CONTA MARCA")</f>
        <v>ACAI DA LARA - CONTA MARCA</v>
      </c>
      <c r="L6572" s="32">
        <f>IFERROR(__xludf.DUMMYFUNCTION("""COMPUTED_VALUE"""),2.0)</f>
        <v>2</v>
      </c>
      <c r="M6572" s="4" t="str">
        <f>IFERROR(__xludf.DUMMYFUNCTION("""COMPUTED_VALUE"""),"null")</f>
        <v>null</v>
      </c>
      <c r="N6572" s="33">
        <f>IFERROR(__xludf.DUMMYFUNCTION("""COMPUTED_VALUE"""),1.0)</f>
        <v>1</v>
      </c>
      <c r="O6572" s="4" t="str">
        <f>IFERROR(__xludf.DUMMYFUNCTION("""COMPUTED_VALUE"""),"null")</f>
        <v>null</v>
      </c>
      <c r="P6572" s="33">
        <f>IFERROR(__xludf.DUMMYFUNCTION("""COMPUTED_VALUE"""),1.0)</f>
        <v>1</v>
      </c>
      <c r="Q6572" s="4" t="str">
        <f>IFERROR(__xludf.DUMMYFUNCTION("""COMPUTED_VALUE"""),"Saipos Serviços De Software")</f>
        <v>Saipos Serviços De Software</v>
      </c>
      <c r="R6572" s="33">
        <f>IFERROR(__xludf.DUMMYFUNCTION("""COMPUTED_VALUE"""),1.0)</f>
        <v>1</v>
      </c>
      <c r="S6572" s="4" t="str">
        <f>IFERROR(__xludf.DUMMYFUNCTION("""COMPUTED_VALUE"""),"Saipos Serviços De Software")</f>
        <v>Saipos Serviços De Software</v>
      </c>
      <c r="T6572" s="33">
        <f>IFERROR(__xludf.DUMMYFUNCTION("""COMPUTED_VALUE"""),1.0)</f>
        <v>1</v>
      </c>
      <c r="U6572" s="4" t="str">
        <f>IFERROR(__xludf.DUMMYFUNCTION("""COMPUTED_VALUE"""),"Saipos Serviços De Software")</f>
        <v>Saipos Serviços De Software</v>
      </c>
      <c r="V6572" s="33">
        <f>IFERROR(__xludf.DUMMYFUNCTION("""COMPUTED_VALUE"""),1.0)</f>
        <v>1</v>
      </c>
      <c r="W6572" s="4" t="str">
        <f>IFERROR(__xludf.DUMMYFUNCTION("""COMPUTED_VALUE"""),"null")</f>
        <v>null</v>
      </c>
      <c r="X6572" s="33">
        <f>IFERROR(__xludf.DUMMYFUNCTION("""COMPUTED_VALUE"""),1.0)</f>
        <v>1</v>
      </c>
    </row>
    <row r="6573">
      <c r="K6573" s="4" t="str">
        <f>IFERROR(__xludf.DUMMYFUNCTION("""COMPUTED_VALUE"""),"ACAI DO MADRUGA - CORRETO")</f>
        <v>ACAI DO MADRUGA - CORRETO</v>
      </c>
      <c r="L6573" s="32">
        <f>IFERROR(__xludf.DUMMYFUNCTION("""COMPUTED_VALUE"""),2.0)</f>
        <v>2</v>
      </c>
      <c r="M6573" s="4" t="str">
        <f>IFERROR(__xludf.DUMMYFUNCTION("""COMPUTED_VALUE"""),"Stone Co.")</f>
        <v>Stone Co.</v>
      </c>
      <c r="N6573" s="33">
        <f>IFERROR(__xludf.DUMMYFUNCTION("""COMPUTED_VALUE"""),1.0)</f>
        <v>1</v>
      </c>
      <c r="O6573" s="4" t="str">
        <f>IFERROR(__xludf.DUMMYFUNCTION("""COMPUTED_VALUE"""),"Stone Co.")</f>
        <v>Stone Co.</v>
      </c>
      <c r="P6573" s="33">
        <f>IFERROR(__xludf.DUMMYFUNCTION("""COMPUTED_VALUE"""),1.0)</f>
        <v>1</v>
      </c>
      <c r="Q6573" s="4" t="str">
        <f>IFERROR(__xludf.DUMMYFUNCTION("""COMPUTED_VALUE"""),"Stone Co.")</f>
        <v>Stone Co.</v>
      </c>
      <c r="R6573" s="33">
        <f>IFERROR(__xludf.DUMMYFUNCTION("""COMPUTED_VALUE"""),1.0)</f>
        <v>1</v>
      </c>
      <c r="S6573" s="4" t="str">
        <f>IFERROR(__xludf.DUMMYFUNCTION("""COMPUTED_VALUE"""),"Stone Co.")</f>
        <v>Stone Co.</v>
      </c>
      <c r="T6573" s="33">
        <f>IFERROR(__xludf.DUMMYFUNCTION("""COMPUTED_VALUE"""),1.0)</f>
        <v>1</v>
      </c>
      <c r="U6573" s="4" t="str">
        <f>IFERROR(__xludf.DUMMYFUNCTION("""COMPUTED_VALUE"""),"Stone Co.")</f>
        <v>Stone Co.</v>
      </c>
      <c r="V6573" s="33">
        <f>IFERROR(__xludf.DUMMYFUNCTION("""COMPUTED_VALUE"""),1.0)</f>
        <v>1</v>
      </c>
      <c r="W6573" s="4" t="str">
        <f>IFERROR(__xludf.DUMMYFUNCTION("""COMPUTED_VALUE"""),"Stone Co.")</f>
        <v>Stone Co.</v>
      </c>
      <c r="X6573" s="33">
        <f>IFERROR(__xludf.DUMMYFUNCTION("""COMPUTED_VALUE"""),1.0)</f>
        <v>1</v>
      </c>
    </row>
    <row r="6574">
      <c r="K6574" s="4" t="str">
        <f>IFERROR(__xludf.DUMMYFUNCTION("""COMPUTED_VALUE"""),"ACAI DO REI - CP")</f>
        <v>ACAI DO REI - CP</v>
      </c>
      <c r="L6574" s="32">
        <f>IFERROR(__xludf.DUMMYFUNCTION("""COMPUTED_VALUE"""),2.0)</f>
        <v>2</v>
      </c>
      <c r="M6574" s="4" t="str">
        <f>IFERROR(__xludf.DUMMYFUNCTION("""COMPUTED_VALUE"""),"null")</f>
        <v>null</v>
      </c>
      <c r="N6574" s="33">
        <f>IFERROR(__xludf.DUMMYFUNCTION("""COMPUTED_VALUE"""),1.0)</f>
        <v>1</v>
      </c>
      <c r="O6574" s="4" t="str">
        <f>IFERROR(__xludf.DUMMYFUNCTION("""COMPUTED_VALUE"""),"null")</f>
        <v>null</v>
      </c>
      <c r="P6574" s="33">
        <f>IFERROR(__xludf.DUMMYFUNCTION("""COMPUTED_VALUE"""),1.0)</f>
        <v>1</v>
      </c>
      <c r="Q6574" s="4" t="str">
        <f>IFERROR(__xludf.DUMMYFUNCTION("""COMPUTED_VALUE"""),"Saipos Serviços De Software")</f>
        <v>Saipos Serviços De Software</v>
      </c>
      <c r="R6574" s="33">
        <f>IFERROR(__xludf.DUMMYFUNCTION("""COMPUTED_VALUE"""),1.0)</f>
        <v>1</v>
      </c>
      <c r="S6574" s="4" t="str">
        <f>IFERROR(__xludf.DUMMYFUNCTION("""COMPUTED_VALUE"""),"Saipos Serviços De Software")</f>
        <v>Saipos Serviços De Software</v>
      </c>
      <c r="T6574" s="33">
        <f>IFERROR(__xludf.DUMMYFUNCTION("""COMPUTED_VALUE"""),1.0)</f>
        <v>1</v>
      </c>
      <c r="U6574" s="4" t="str">
        <f>IFERROR(__xludf.DUMMYFUNCTION("""COMPUTED_VALUE"""),"Saipos Serviços De Software")</f>
        <v>Saipos Serviços De Software</v>
      </c>
      <c r="V6574" s="33">
        <f>IFERROR(__xludf.DUMMYFUNCTION("""COMPUTED_VALUE"""),1.0)</f>
        <v>1</v>
      </c>
      <c r="W6574" s="4" t="str">
        <f>IFERROR(__xludf.DUMMYFUNCTION("""COMPUTED_VALUE"""),"Saipos Serviços De Software")</f>
        <v>Saipos Serviços De Software</v>
      </c>
      <c r="X6574" s="33">
        <f>IFERROR(__xludf.DUMMYFUNCTION("""COMPUTED_VALUE"""),1.0)</f>
        <v>1</v>
      </c>
    </row>
    <row r="6575">
      <c r="K6575" s="4" t="str">
        <f>IFERROR(__xludf.DUMMYFUNCTION("""COMPUTED_VALUE"""),"ACAI DO RUAN - CONTA MARCA")</f>
        <v>ACAI DO RUAN - CONTA MARCA</v>
      </c>
      <c r="L6575" s="32">
        <f>IFERROR(__xludf.DUMMYFUNCTION("""COMPUTED_VALUE"""),2.0)</f>
        <v>2</v>
      </c>
      <c r="M6575" s="4" t="str">
        <f>IFERROR(__xludf.DUMMYFUNCTION("""COMPUTED_VALUE"""),"Berp Sistemas")</f>
        <v>Berp Sistemas</v>
      </c>
      <c r="N6575" s="33">
        <f>IFERROR(__xludf.DUMMYFUNCTION("""COMPUTED_VALUE"""),1.0)</f>
        <v>1</v>
      </c>
      <c r="O6575" s="4" t="str">
        <f>IFERROR(__xludf.DUMMYFUNCTION("""COMPUTED_VALUE"""),"Berp Sistemas")</f>
        <v>Berp Sistemas</v>
      </c>
      <c r="P6575" s="33">
        <f>IFERROR(__xludf.DUMMYFUNCTION("""COMPUTED_VALUE"""),1.0)</f>
        <v>1</v>
      </c>
      <c r="Q6575" s="4" t="str">
        <f>IFERROR(__xludf.DUMMYFUNCTION("""COMPUTED_VALUE"""),"Berp Sistemas")</f>
        <v>Berp Sistemas</v>
      </c>
      <c r="R6575" s="33">
        <f>IFERROR(__xludf.DUMMYFUNCTION("""COMPUTED_VALUE"""),1.0)</f>
        <v>1</v>
      </c>
      <c r="S6575" s="4" t="str">
        <f>IFERROR(__xludf.DUMMYFUNCTION("""COMPUTED_VALUE"""),"Berp Sistemas")</f>
        <v>Berp Sistemas</v>
      </c>
      <c r="T6575" s="33">
        <f>IFERROR(__xludf.DUMMYFUNCTION("""COMPUTED_VALUE"""),1.0)</f>
        <v>1</v>
      </c>
      <c r="U6575" s="4" t="str">
        <f>IFERROR(__xludf.DUMMYFUNCTION("""COMPUTED_VALUE"""),"Berp Sistemas")</f>
        <v>Berp Sistemas</v>
      </c>
      <c r="V6575" s="33">
        <f>IFERROR(__xludf.DUMMYFUNCTION("""COMPUTED_VALUE"""),1.0)</f>
        <v>1</v>
      </c>
      <c r="W6575" s="4" t="str">
        <f>IFERROR(__xludf.DUMMYFUNCTION("""COMPUTED_VALUE"""),"Berp Sistemas")</f>
        <v>Berp Sistemas</v>
      </c>
      <c r="X6575" s="33">
        <f>IFERROR(__xludf.DUMMYFUNCTION("""COMPUTED_VALUE"""),1.0)</f>
        <v>1</v>
      </c>
    </row>
    <row r="6576">
      <c r="K6576" s="4" t="str">
        <f>IFERROR(__xludf.DUMMYFUNCTION("""COMPUTED_VALUE"""),"ACAI E SALAD GRILL CWB CP")</f>
        <v>ACAI E SALAD GRILL CWB CP</v>
      </c>
      <c r="L6576" s="32">
        <f>IFERROR(__xludf.DUMMYFUNCTION("""COMPUTED_VALUE"""),2.0)</f>
        <v>2</v>
      </c>
      <c r="M6576" s="4" t="str">
        <f>IFERROR(__xludf.DUMMYFUNCTION("""COMPUTED_VALUE"""),"Saipos Serviços De Software")</f>
        <v>Saipos Serviços De Software</v>
      </c>
      <c r="N6576" s="33">
        <f>IFERROR(__xludf.DUMMYFUNCTION("""COMPUTED_VALUE"""),1.0)</f>
        <v>1</v>
      </c>
      <c r="O6576" s="4" t="str">
        <f>IFERROR(__xludf.DUMMYFUNCTION("""COMPUTED_VALUE"""),"Saipos Serviços De Software")</f>
        <v>Saipos Serviços De Software</v>
      </c>
      <c r="P6576" s="33">
        <f>IFERROR(__xludf.DUMMYFUNCTION("""COMPUTED_VALUE"""),0.5)</f>
        <v>0.5</v>
      </c>
      <c r="Q6576" s="4" t="str">
        <f>IFERROR(__xludf.DUMMYFUNCTION("""COMPUTED_VALUE"""),"Saipos Serviços De Software")</f>
        <v>Saipos Serviços De Software</v>
      </c>
      <c r="R6576" s="33">
        <f>IFERROR(__xludf.DUMMYFUNCTION("""COMPUTED_VALUE"""),0.5)</f>
        <v>0.5</v>
      </c>
      <c r="S6576" s="4" t="str">
        <f>IFERROR(__xludf.DUMMYFUNCTION("""COMPUTED_VALUE"""),"Saipos Serviços De Software")</f>
        <v>Saipos Serviços De Software</v>
      </c>
      <c r="T6576" s="33">
        <f>IFERROR(__xludf.DUMMYFUNCTION("""COMPUTED_VALUE"""),1.0)</f>
        <v>1</v>
      </c>
      <c r="U6576" s="4" t="str">
        <f>IFERROR(__xludf.DUMMYFUNCTION("""COMPUTED_VALUE"""),"Saipos Serviços De Software")</f>
        <v>Saipos Serviços De Software</v>
      </c>
      <c r="V6576" s="33">
        <f>IFERROR(__xludf.DUMMYFUNCTION("""COMPUTED_VALUE"""),1.0)</f>
        <v>1</v>
      </c>
      <c r="W6576" s="4" t="str">
        <f>IFERROR(__xludf.DUMMYFUNCTION("""COMPUTED_VALUE"""),"Saipos Serviços De Software")</f>
        <v>Saipos Serviços De Software</v>
      </c>
      <c r="X6576" s="33">
        <f>IFERROR(__xludf.DUMMYFUNCTION("""COMPUTED_VALUE"""),1.0)</f>
        <v>1</v>
      </c>
    </row>
    <row r="6577">
      <c r="K6577" s="4" t="str">
        <f>IFERROR(__xludf.DUMMYFUNCTION("""COMPUTED_VALUE"""),"ACAI PAINEIRAS JARDIM NORDESTE")</f>
        <v>ACAI PAINEIRAS JARDIM NORDESTE</v>
      </c>
      <c r="L6577" s="32">
        <f>IFERROR(__xludf.DUMMYFUNCTION("""COMPUTED_VALUE"""),2.0)</f>
        <v>2</v>
      </c>
      <c r="M6577" s="4" t="str">
        <f>IFERROR(__xludf.DUMMYFUNCTION("""COMPUTED_VALUE"""),"Anota Ai Solucoes Digitais S/a")</f>
        <v>Anota Ai Solucoes Digitais S/a</v>
      </c>
      <c r="N6577" s="33">
        <f>IFERROR(__xludf.DUMMYFUNCTION("""COMPUTED_VALUE"""),0.5)</f>
        <v>0.5</v>
      </c>
      <c r="O6577" s="4" t="str">
        <f>IFERROR(__xludf.DUMMYFUNCTION("""COMPUTED_VALUE"""),"Anota Ai Solucoes Digitais S/a")</f>
        <v>Anota Ai Solucoes Digitais S/a</v>
      </c>
      <c r="P6577" s="33">
        <f>IFERROR(__xludf.DUMMYFUNCTION("""COMPUTED_VALUE"""),0.5)</f>
        <v>0.5</v>
      </c>
      <c r="Q6577" s="4" t="str">
        <f>IFERROR(__xludf.DUMMYFUNCTION("""COMPUTED_VALUE"""),"null")</f>
        <v>null</v>
      </c>
      <c r="R6577" s="33">
        <f>IFERROR(__xludf.DUMMYFUNCTION("""COMPUTED_VALUE"""),0.5)</f>
        <v>0.5</v>
      </c>
      <c r="S6577" s="4" t="str">
        <f>IFERROR(__xludf.DUMMYFUNCTION("""COMPUTED_VALUE"""),"null")</f>
        <v>null</v>
      </c>
      <c r="T6577" s="33">
        <f>IFERROR(__xludf.DUMMYFUNCTION("""COMPUTED_VALUE"""),0.5)</f>
        <v>0.5</v>
      </c>
      <c r="U6577" s="4" t="str">
        <f>IFERROR(__xludf.DUMMYFUNCTION("""COMPUTED_VALUE"""),"null")</f>
        <v>null</v>
      </c>
      <c r="V6577" s="33">
        <f>IFERROR(__xludf.DUMMYFUNCTION("""COMPUTED_VALUE"""),0.5)</f>
        <v>0.5</v>
      </c>
      <c r="W6577" s="4" t="str">
        <f>IFERROR(__xludf.DUMMYFUNCTION("""COMPUTED_VALUE"""),"null")</f>
        <v>null</v>
      </c>
      <c r="X6577" s="33">
        <f>IFERROR(__xludf.DUMMYFUNCTION("""COMPUTED_VALUE"""),0.5)</f>
        <v>0.5</v>
      </c>
    </row>
    <row r="6578">
      <c r="K6578" s="4" t="str">
        <f>IFERROR(__xludf.DUMMYFUNCTION("""COMPUTED_VALUE"""),"ACAI PREMIUM HIGIENOPOLIS")</f>
        <v>ACAI PREMIUM HIGIENOPOLIS</v>
      </c>
      <c r="L6578" s="32">
        <f>IFERROR(__xludf.DUMMYFUNCTION("""COMPUTED_VALUE"""),2.0)</f>
        <v>2</v>
      </c>
      <c r="M6578" s="4" t="str">
        <f>IFERROR(__xludf.DUMMYFUNCTION("""COMPUTED_VALUE"""),"null")</f>
        <v>null</v>
      </c>
      <c r="N6578" s="33">
        <f>IFERROR(__xludf.DUMMYFUNCTION("""COMPUTED_VALUE"""),0.5)</f>
        <v>0.5</v>
      </c>
      <c r="O6578" s="4" t="str">
        <f>IFERROR(__xludf.DUMMYFUNCTION("""COMPUTED_VALUE"""),"Beefood - Sistema Para Restaurantes")</f>
        <v>Beefood - Sistema Para Restaurantes</v>
      </c>
      <c r="P6578" s="33">
        <f>IFERROR(__xludf.DUMMYFUNCTION("""COMPUTED_VALUE"""),1.0)</f>
        <v>1</v>
      </c>
      <c r="Q6578" s="4" t="str">
        <f>IFERROR(__xludf.DUMMYFUNCTION("""COMPUTED_VALUE"""),"null")</f>
        <v>null</v>
      </c>
      <c r="R6578" s="33">
        <f>IFERROR(__xludf.DUMMYFUNCTION("""COMPUTED_VALUE"""),0.5)</f>
        <v>0.5</v>
      </c>
      <c r="S6578" s="4" t="str">
        <f>IFERROR(__xludf.DUMMYFUNCTION("""COMPUTED_VALUE"""),"null")</f>
        <v>null</v>
      </c>
      <c r="T6578" s="33">
        <f>IFERROR(__xludf.DUMMYFUNCTION("""COMPUTED_VALUE"""),0.5)</f>
        <v>0.5</v>
      </c>
      <c r="U6578" s="4" t="str">
        <f>IFERROR(__xludf.DUMMYFUNCTION("""COMPUTED_VALUE"""),"null")</f>
        <v>null</v>
      </c>
      <c r="V6578" s="33">
        <f>IFERROR(__xludf.DUMMYFUNCTION("""COMPUTED_VALUE"""),0.5)</f>
        <v>0.5</v>
      </c>
      <c r="W6578" s="4" t="str">
        <f>IFERROR(__xludf.DUMMYFUNCTION("""COMPUTED_VALUE"""),"null")</f>
        <v>null</v>
      </c>
      <c r="X6578" s="33">
        <f>IFERROR(__xludf.DUMMYFUNCTION("""COMPUTED_VALUE"""),0.5)</f>
        <v>0.5</v>
      </c>
    </row>
    <row r="6579">
      <c r="K6579" s="4" t="str">
        <f>IFERROR(__xludf.DUMMYFUNCTION("""COMPUTED_VALUE"""),"ACAI SORVETE MILKSHAKE - ONESTOP")</f>
        <v>ACAI SORVETE MILKSHAKE - ONESTOP</v>
      </c>
      <c r="L6579" s="32">
        <f>IFERROR(__xludf.DUMMYFUNCTION("""COMPUTED_VALUE"""),2.0)</f>
        <v>2</v>
      </c>
      <c r="M6579" s="4" t="str">
        <f>IFERROR(__xludf.DUMMYFUNCTION("""COMPUTED_VALUE"""),"Saipos Serviços De Software")</f>
        <v>Saipos Serviços De Software</v>
      </c>
      <c r="N6579" s="33">
        <f>IFERROR(__xludf.DUMMYFUNCTION("""COMPUTED_VALUE"""),1.0)</f>
        <v>1</v>
      </c>
      <c r="O6579" s="4" t="str">
        <f>IFERROR(__xludf.DUMMYFUNCTION("""COMPUTED_VALUE"""),"Saipos Serviços De Software")</f>
        <v>Saipos Serviços De Software</v>
      </c>
      <c r="P6579" s="33">
        <f>IFERROR(__xludf.DUMMYFUNCTION("""COMPUTED_VALUE"""),1.0)</f>
        <v>1</v>
      </c>
      <c r="Q6579" s="4" t="str">
        <f>IFERROR(__xludf.DUMMYFUNCTION("""COMPUTED_VALUE"""),"Saipos Serviços De Software")</f>
        <v>Saipos Serviços De Software</v>
      </c>
      <c r="R6579" s="33">
        <f>IFERROR(__xludf.DUMMYFUNCTION("""COMPUTED_VALUE"""),1.0)</f>
        <v>1</v>
      </c>
      <c r="S6579" s="4" t="str">
        <f>IFERROR(__xludf.DUMMYFUNCTION("""COMPUTED_VALUE"""),"Saipos Serviços De Software")</f>
        <v>Saipos Serviços De Software</v>
      </c>
      <c r="T6579" s="33">
        <f>IFERROR(__xludf.DUMMYFUNCTION("""COMPUTED_VALUE"""),1.0)</f>
        <v>1</v>
      </c>
      <c r="U6579" s="4" t="str">
        <f>IFERROR(__xludf.DUMMYFUNCTION("""COMPUTED_VALUE"""),"Saipos Serviços De Software")</f>
        <v>Saipos Serviços De Software</v>
      </c>
      <c r="V6579" s="33">
        <f>IFERROR(__xludf.DUMMYFUNCTION("""COMPUTED_VALUE"""),1.0)</f>
        <v>1</v>
      </c>
      <c r="W6579" s="4" t="str">
        <f>IFERROR(__xludf.DUMMYFUNCTION("""COMPUTED_VALUE"""),"Saipos Serviços De Software")</f>
        <v>Saipos Serviços De Software</v>
      </c>
      <c r="X6579" s="33">
        <f>IFERROR(__xludf.DUMMYFUNCTION("""COMPUTED_VALUE"""),1.0)</f>
        <v>1</v>
      </c>
    </row>
    <row r="6580">
      <c r="K6580" s="4" t="str">
        <f>IFERROR(__xludf.DUMMYFUNCTION("""COMPUTED_VALUE"""),"ACAI STREET")</f>
        <v>ACAI STREET</v>
      </c>
      <c r="L6580" s="32">
        <f>IFERROR(__xludf.DUMMYFUNCTION("""COMPUTED_VALUE"""),2.0)</f>
        <v>2</v>
      </c>
      <c r="M6580" s="4" t="str">
        <f>IFERROR(__xludf.DUMMYFUNCTION("""COMPUTED_VALUE"""),"Consumer Soluções Em Tecnologia Ltda")</f>
        <v>Consumer Soluções Em Tecnologia Ltda</v>
      </c>
      <c r="N6580" s="33">
        <f>IFERROR(__xludf.DUMMYFUNCTION("""COMPUTED_VALUE"""),1.0)</f>
        <v>1</v>
      </c>
      <c r="O6580" s="4" t="str">
        <f>IFERROR(__xludf.DUMMYFUNCTION("""COMPUTED_VALUE"""),"Consumer Soluções Em Tecnologia Ltda")</f>
        <v>Consumer Soluções Em Tecnologia Ltda</v>
      </c>
      <c r="P6580" s="33">
        <f>IFERROR(__xludf.DUMMYFUNCTION("""COMPUTED_VALUE"""),1.0)</f>
        <v>1</v>
      </c>
      <c r="Q6580" s="4" t="str">
        <f>IFERROR(__xludf.DUMMYFUNCTION("""COMPUTED_VALUE"""),"Consumer Soluções Em Tecnologia Ltda")</f>
        <v>Consumer Soluções Em Tecnologia Ltda</v>
      </c>
      <c r="R6580" s="33">
        <f>IFERROR(__xludf.DUMMYFUNCTION("""COMPUTED_VALUE"""),1.0)</f>
        <v>1</v>
      </c>
      <c r="S6580" s="4" t="str">
        <f>IFERROR(__xludf.DUMMYFUNCTION("""COMPUTED_VALUE"""),"Consumer Soluções Em Tecnologia Ltda")</f>
        <v>Consumer Soluções Em Tecnologia Ltda</v>
      </c>
      <c r="T6580" s="33">
        <f>IFERROR(__xludf.DUMMYFUNCTION("""COMPUTED_VALUE"""),1.0)</f>
        <v>1</v>
      </c>
      <c r="U6580" s="4" t="str">
        <f>IFERROR(__xludf.DUMMYFUNCTION("""COMPUTED_VALUE"""),"Consumer Soluções Em Tecnologia Ltda")</f>
        <v>Consumer Soluções Em Tecnologia Ltda</v>
      </c>
      <c r="V6580" s="33">
        <f>IFERROR(__xludf.DUMMYFUNCTION("""COMPUTED_VALUE"""),1.0)</f>
        <v>1</v>
      </c>
      <c r="W6580" s="4" t="str">
        <f>IFERROR(__xludf.DUMMYFUNCTION("""COMPUTED_VALUE"""),"Consumer Soluções Em Tecnologia Ltda")</f>
        <v>Consumer Soluções Em Tecnologia Ltda</v>
      </c>
      <c r="X6580" s="33">
        <f>IFERROR(__xludf.DUMMYFUNCTION("""COMPUTED_VALUE"""),1.0)</f>
        <v>1</v>
      </c>
    </row>
    <row r="6581">
      <c r="K6581" s="4" t="str">
        <f>IFERROR(__xludf.DUMMYFUNCTION("""COMPUTED_VALUE"""),"ACAITERIA CERRADO")</f>
        <v>ACAITERIA CERRADO</v>
      </c>
      <c r="L6581" s="32">
        <f>IFERROR(__xludf.DUMMYFUNCTION("""COMPUTED_VALUE"""),2.0)</f>
        <v>2</v>
      </c>
      <c r="M6581" s="4" t="str">
        <f>IFERROR(__xludf.DUMMYFUNCTION("""COMPUTED_VALUE"""),"Consumer Soluções Em Tecnologia Ltda")</f>
        <v>Consumer Soluções Em Tecnologia Ltda</v>
      </c>
      <c r="N6581" s="33">
        <f>IFERROR(__xludf.DUMMYFUNCTION("""COMPUTED_VALUE"""),1.0)</f>
        <v>1</v>
      </c>
      <c r="O6581" s="4" t="str">
        <f>IFERROR(__xludf.DUMMYFUNCTION("""COMPUTED_VALUE"""),"Consumer Soluções Em Tecnologia Ltda")</f>
        <v>Consumer Soluções Em Tecnologia Ltda</v>
      </c>
      <c r="P6581" s="33">
        <f>IFERROR(__xludf.DUMMYFUNCTION("""COMPUTED_VALUE"""),0.5)</f>
        <v>0.5</v>
      </c>
      <c r="Q6581" s="4" t="str">
        <f>IFERROR(__xludf.DUMMYFUNCTION("""COMPUTED_VALUE"""),"Consumer Soluções Em Tecnologia Ltda")</f>
        <v>Consumer Soluções Em Tecnologia Ltda</v>
      </c>
      <c r="R6581" s="33">
        <f>IFERROR(__xludf.DUMMYFUNCTION("""COMPUTED_VALUE"""),1.0)</f>
        <v>1</v>
      </c>
      <c r="S6581" s="4" t="str">
        <f>IFERROR(__xludf.DUMMYFUNCTION("""COMPUTED_VALUE"""),"Consumer Soluções Em Tecnologia Ltda")</f>
        <v>Consumer Soluções Em Tecnologia Ltda</v>
      </c>
      <c r="T6581" s="33">
        <f>IFERROR(__xludf.DUMMYFUNCTION("""COMPUTED_VALUE"""),1.0)</f>
        <v>1</v>
      </c>
      <c r="U6581" s="4" t="str">
        <f>IFERROR(__xludf.DUMMYFUNCTION("""COMPUTED_VALUE"""),"Consumer Soluções Em Tecnologia Ltda")</f>
        <v>Consumer Soluções Em Tecnologia Ltda</v>
      </c>
      <c r="V6581" s="33">
        <f>IFERROR(__xludf.DUMMYFUNCTION("""COMPUTED_VALUE"""),0.5)</f>
        <v>0.5</v>
      </c>
      <c r="W6581" s="4" t="str">
        <f>IFERROR(__xludf.DUMMYFUNCTION("""COMPUTED_VALUE"""),"Consumer Soluções Em Tecnologia Ltda")</f>
        <v>Consumer Soluções Em Tecnologia Ltda</v>
      </c>
      <c r="X6581" s="33">
        <f>IFERROR(__xludf.DUMMYFUNCTION("""COMPUTED_VALUE"""),1.0)</f>
        <v>1</v>
      </c>
    </row>
    <row r="6582">
      <c r="K6582" s="4" t="str">
        <f>IFERROR(__xludf.DUMMYFUNCTION("""COMPUTED_VALUE"""),"ACCIOLE ACAI ARTESANAL UBERLANDIAMG")</f>
        <v>ACCIOLE ACAI ARTESANAL UBERLANDIAMG</v>
      </c>
      <c r="L6582" s="32">
        <f>IFERROR(__xludf.DUMMYFUNCTION("""COMPUTED_VALUE"""),2.0)</f>
        <v>2</v>
      </c>
      <c r="M6582" s="4" t="str">
        <f>IFERROR(__xludf.DUMMYFUNCTION("""COMPUTED_VALUE"""),"Saipos Serviços De Software")</f>
        <v>Saipos Serviços De Software</v>
      </c>
      <c r="N6582" s="33">
        <f>IFERROR(__xludf.DUMMYFUNCTION("""COMPUTED_VALUE"""),1.0)</f>
        <v>1</v>
      </c>
      <c r="O6582" s="4" t="str">
        <f>IFERROR(__xludf.DUMMYFUNCTION("""COMPUTED_VALUE"""),"Saipos Serviços De Software")</f>
        <v>Saipos Serviços De Software</v>
      </c>
      <c r="P6582" s="33">
        <f>IFERROR(__xludf.DUMMYFUNCTION("""COMPUTED_VALUE"""),1.0)</f>
        <v>1</v>
      </c>
      <c r="Q6582" s="4" t="str">
        <f>IFERROR(__xludf.DUMMYFUNCTION("""COMPUTED_VALUE"""),"Saipos Serviços De Software")</f>
        <v>Saipos Serviços De Software</v>
      </c>
      <c r="R6582" s="33">
        <f>IFERROR(__xludf.DUMMYFUNCTION("""COMPUTED_VALUE"""),1.0)</f>
        <v>1</v>
      </c>
      <c r="S6582" s="4" t="str">
        <f>IFERROR(__xludf.DUMMYFUNCTION("""COMPUTED_VALUE"""),"Saipos Serviços De Software")</f>
        <v>Saipos Serviços De Software</v>
      </c>
      <c r="T6582" s="33">
        <f>IFERROR(__xludf.DUMMYFUNCTION("""COMPUTED_VALUE"""),1.0)</f>
        <v>1</v>
      </c>
      <c r="U6582" s="4" t="str">
        <f>IFERROR(__xludf.DUMMYFUNCTION("""COMPUTED_VALUE"""),"Saipos Serviços De Software")</f>
        <v>Saipos Serviços De Software</v>
      </c>
      <c r="V6582" s="33">
        <f>IFERROR(__xludf.DUMMYFUNCTION("""COMPUTED_VALUE"""),1.0)</f>
        <v>1</v>
      </c>
      <c r="W6582" s="4" t="str">
        <f>IFERROR(__xludf.DUMMYFUNCTION("""COMPUTED_VALUE"""),"Saipos Serviços De Software")</f>
        <v>Saipos Serviços De Software</v>
      </c>
      <c r="X6582" s="33">
        <f>IFERROR(__xludf.DUMMYFUNCTION("""COMPUTED_VALUE"""),1.0)</f>
        <v>1</v>
      </c>
    </row>
    <row r="6583">
      <c r="K6583" s="4" t="str">
        <f>IFERROR(__xludf.DUMMYFUNCTION("""COMPUTED_VALUE"""),"ACIDOS NATURAIS")</f>
        <v>ACIDOS NATURAIS</v>
      </c>
      <c r="L6583" s="32">
        <f>IFERROR(__xludf.DUMMYFUNCTION("""COMPUTED_VALUE"""),2.0)</f>
        <v>2</v>
      </c>
      <c r="M6583" s="4" t="str">
        <f>IFERROR(__xludf.DUMMYFUNCTION("""COMPUTED_VALUE"""),"Netcontroll Xmenu")</f>
        <v>Netcontroll Xmenu</v>
      </c>
      <c r="N6583" s="33">
        <f>IFERROR(__xludf.DUMMYFUNCTION("""COMPUTED_VALUE"""),1.0)</f>
        <v>1</v>
      </c>
      <c r="O6583" s="4" t="str">
        <f>IFERROR(__xludf.DUMMYFUNCTION("""COMPUTED_VALUE"""),"Netcontroll Xmenu")</f>
        <v>Netcontroll Xmenu</v>
      </c>
      <c r="P6583" s="33">
        <f>IFERROR(__xludf.DUMMYFUNCTION("""COMPUTED_VALUE"""),1.0)</f>
        <v>1</v>
      </c>
      <c r="Q6583" s="4" t="str">
        <f>IFERROR(__xludf.DUMMYFUNCTION("""COMPUTED_VALUE"""),"Netcontroll Xmenu")</f>
        <v>Netcontroll Xmenu</v>
      </c>
      <c r="R6583" s="33">
        <f>IFERROR(__xludf.DUMMYFUNCTION("""COMPUTED_VALUE"""),1.0)</f>
        <v>1</v>
      </c>
      <c r="S6583" s="4" t="str">
        <f>IFERROR(__xludf.DUMMYFUNCTION("""COMPUTED_VALUE"""),"Netcontroll Xmenu")</f>
        <v>Netcontroll Xmenu</v>
      </c>
      <c r="T6583" s="33">
        <f>IFERROR(__xludf.DUMMYFUNCTION("""COMPUTED_VALUE"""),1.0)</f>
        <v>1</v>
      </c>
      <c r="U6583" s="4" t="str">
        <f>IFERROR(__xludf.DUMMYFUNCTION("""COMPUTED_VALUE"""),"Netcontroll Xmenu")</f>
        <v>Netcontroll Xmenu</v>
      </c>
      <c r="V6583" s="33">
        <f>IFERROR(__xludf.DUMMYFUNCTION("""COMPUTED_VALUE"""),0.5)</f>
        <v>0.5</v>
      </c>
      <c r="W6583" s="4" t="str">
        <f>IFERROR(__xludf.DUMMYFUNCTION("""COMPUTED_VALUE"""),"Netcontroll Xmenu")</f>
        <v>Netcontroll Xmenu</v>
      </c>
      <c r="X6583" s="33">
        <f>IFERROR(__xludf.DUMMYFUNCTION("""COMPUTED_VALUE"""),0.5)</f>
        <v>0.5</v>
      </c>
    </row>
    <row r="6584">
      <c r="K6584" s="4" t="str">
        <f>IFERROR(__xludf.DUMMYFUNCTION("""COMPUTED_VALUE"""),"AEROCALDO BAR E RESTAURANTE")</f>
        <v>AEROCALDO BAR E RESTAURANTE</v>
      </c>
      <c r="L6584" s="32">
        <f>IFERROR(__xludf.DUMMYFUNCTION("""COMPUTED_VALUE"""),2.0)</f>
        <v>2</v>
      </c>
      <c r="M6584" s="4" t="str">
        <f>IFERROR(__xludf.DUMMYFUNCTION("""COMPUTED_VALUE"""),"Ncr")</f>
        <v>Ncr</v>
      </c>
      <c r="N6584" s="33">
        <f>IFERROR(__xludf.DUMMYFUNCTION("""COMPUTED_VALUE"""),1.0)</f>
        <v>1</v>
      </c>
      <c r="O6584" s="4" t="str">
        <f>IFERROR(__xludf.DUMMYFUNCTION("""COMPUTED_VALUE"""),"Ncr")</f>
        <v>Ncr</v>
      </c>
      <c r="P6584" s="33">
        <f>IFERROR(__xludf.DUMMYFUNCTION("""COMPUTED_VALUE"""),1.0)</f>
        <v>1</v>
      </c>
      <c r="Q6584" s="4" t="str">
        <f>IFERROR(__xludf.DUMMYFUNCTION("""COMPUTED_VALUE"""),"Ncr")</f>
        <v>Ncr</v>
      </c>
      <c r="R6584" s="33">
        <f>IFERROR(__xludf.DUMMYFUNCTION("""COMPUTED_VALUE"""),1.0)</f>
        <v>1</v>
      </c>
      <c r="S6584" s="4" t="str">
        <f>IFERROR(__xludf.DUMMYFUNCTION("""COMPUTED_VALUE"""),"Ncr")</f>
        <v>Ncr</v>
      </c>
      <c r="T6584" s="33">
        <f>IFERROR(__xludf.DUMMYFUNCTION("""COMPUTED_VALUE"""),1.0)</f>
        <v>1</v>
      </c>
      <c r="U6584" s="4" t="str">
        <f>IFERROR(__xludf.DUMMYFUNCTION("""COMPUTED_VALUE"""),"Ncr")</f>
        <v>Ncr</v>
      </c>
      <c r="V6584" s="33">
        <f>IFERROR(__xludf.DUMMYFUNCTION("""COMPUTED_VALUE"""),1.0)</f>
        <v>1</v>
      </c>
      <c r="W6584" s="4" t="str">
        <f>IFERROR(__xludf.DUMMYFUNCTION("""COMPUTED_VALUE"""),"Ncr")</f>
        <v>Ncr</v>
      </c>
      <c r="X6584" s="33">
        <f>IFERROR(__xludf.DUMMYFUNCTION("""COMPUTED_VALUE"""),1.0)</f>
        <v>1</v>
      </c>
    </row>
    <row r="6585">
      <c r="K6585" s="4" t="str">
        <f>IFERROR(__xludf.DUMMYFUNCTION("""COMPUTED_VALUE"""),"AGLIOS CONTA PAI")</f>
        <v>AGLIOS CONTA PAI</v>
      </c>
      <c r="L6585" s="32">
        <f>IFERROR(__xludf.DUMMYFUNCTION("""COMPUTED_VALUE"""),2.0)</f>
        <v>2</v>
      </c>
      <c r="M6585" s="4" t="str">
        <f>IFERROR(__xludf.DUMMYFUNCTION("""COMPUTED_VALUE"""),"null")</f>
        <v>null</v>
      </c>
      <c r="N6585" s="33">
        <f>IFERROR(__xludf.DUMMYFUNCTION("""COMPUTED_VALUE"""),1.0)</f>
        <v>1</v>
      </c>
      <c r="O6585" s="4" t="str">
        <f>IFERROR(__xludf.DUMMYFUNCTION("""COMPUTED_VALUE"""),"null")</f>
        <v>null</v>
      </c>
      <c r="P6585" s="33">
        <f>IFERROR(__xludf.DUMMYFUNCTION("""COMPUTED_VALUE"""),1.0)</f>
        <v>1</v>
      </c>
      <c r="Q6585" s="4" t="str">
        <f>IFERROR(__xludf.DUMMYFUNCTION("""COMPUTED_VALUE"""),"null")</f>
        <v>null</v>
      </c>
      <c r="R6585" s="33">
        <f>IFERROR(__xludf.DUMMYFUNCTION("""COMPUTED_VALUE"""),1.0)</f>
        <v>1</v>
      </c>
      <c r="S6585" s="4" t="str">
        <f>IFERROR(__xludf.DUMMYFUNCTION("""COMPUTED_VALUE"""),"null")</f>
        <v>null</v>
      </c>
      <c r="T6585" s="33">
        <f>IFERROR(__xludf.DUMMYFUNCTION("""COMPUTED_VALUE"""),1.0)</f>
        <v>1</v>
      </c>
      <c r="U6585" s="4" t="str">
        <f>IFERROR(__xludf.DUMMYFUNCTION("""COMPUTED_VALUE"""),"null")</f>
        <v>null</v>
      </c>
      <c r="V6585" s="33">
        <f>IFERROR(__xludf.DUMMYFUNCTION("""COMPUTED_VALUE"""),1.0)</f>
        <v>1</v>
      </c>
      <c r="W6585" s="4" t="str">
        <f>IFERROR(__xludf.DUMMYFUNCTION("""COMPUTED_VALUE"""),"Saipos Serviços De Software")</f>
        <v>Saipos Serviços De Software</v>
      </c>
      <c r="X6585" s="33">
        <f>IFERROR(__xludf.DUMMYFUNCTION("""COMPUTED_VALUE"""),1.0)</f>
        <v>1</v>
      </c>
    </row>
    <row r="6586">
      <c r="K6586" s="4" t="str">
        <f>IFERROR(__xludf.DUMMYFUNCTION("""COMPUTED_VALUE"""),"AGROPET MINEIRO - MARCA")</f>
        <v>AGROPET MINEIRO - MARCA</v>
      </c>
      <c r="L6586" s="32">
        <f>IFERROR(__xludf.DUMMYFUNCTION("""COMPUTED_VALUE"""),2.0)</f>
        <v>2</v>
      </c>
      <c r="M6586" s="4" t="str">
        <f>IFERROR(__xludf.DUMMYFUNCTION("""COMPUTED_VALUE"""),"N/A (Not found)")</f>
        <v>N/A (Not found)</v>
      </c>
      <c r="N6586" s="33">
        <f>IFERROR(__xludf.DUMMYFUNCTION("""COMPUTED_VALUE"""),1.0)</f>
        <v>1</v>
      </c>
      <c r="O6586" s="4" t="str">
        <f>IFERROR(__xludf.DUMMYFUNCTION("""COMPUTED_VALUE"""),"N/A (Not found)")</f>
        <v>N/A (Not found)</v>
      </c>
      <c r="P6586" s="33">
        <f>IFERROR(__xludf.DUMMYFUNCTION("""COMPUTED_VALUE"""),1.0)</f>
        <v>1</v>
      </c>
      <c r="Q6586" s="4" t="str">
        <f>IFERROR(__xludf.DUMMYFUNCTION("""COMPUTED_VALUE"""),"N/A (Not found)")</f>
        <v>N/A (Not found)</v>
      </c>
      <c r="R6586" s="33">
        <f>IFERROR(__xludf.DUMMYFUNCTION("""COMPUTED_VALUE"""),1.0)</f>
        <v>1</v>
      </c>
      <c r="S6586" s="4" t="str">
        <f>IFERROR(__xludf.DUMMYFUNCTION("""COMPUTED_VALUE"""),"N/A (Not found)")</f>
        <v>N/A (Not found)</v>
      </c>
      <c r="T6586" s="33">
        <f>IFERROR(__xludf.DUMMYFUNCTION("""COMPUTED_VALUE"""),1.0)</f>
        <v>1</v>
      </c>
      <c r="U6586" s="4" t="str">
        <f>IFERROR(__xludf.DUMMYFUNCTION("""COMPUTED_VALUE"""),"N/A (Not found)")</f>
        <v>N/A (Not found)</v>
      </c>
      <c r="V6586" s="33">
        <f>IFERROR(__xludf.DUMMYFUNCTION("""COMPUTED_VALUE"""),1.0)</f>
        <v>1</v>
      </c>
      <c r="W6586" s="4" t="str">
        <f>IFERROR(__xludf.DUMMYFUNCTION("""COMPUTED_VALUE"""),"N/A (Not found)")</f>
        <v>N/A (Not found)</v>
      </c>
      <c r="X6586" s="33">
        <f>IFERROR(__xludf.DUMMYFUNCTION("""COMPUTED_VALUE"""),1.0)</f>
        <v>1</v>
      </c>
    </row>
    <row r="6587">
      <c r="K6587" s="4" t="str">
        <f>IFERROR(__xludf.DUMMYFUNCTION("""COMPUTED_VALUE"""),"AGUZZO CUCINA")</f>
        <v>AGUZZO CUCINA</v>
      </c>
      <c r="L6587" s="32">
        <f>IFERROR(__xludf.DUMMYFUNCTION("""COMPUTED_VALUE"""),2.0)</f>
        <v>2</v>
      </c>
      <c r="M6587" s="4" t="str">
        <f>IFERROR(__xludf.DUMMYFUNCTION("""COMPUTED_VALUE"""),"Ld Consultoria Em Gestão Empresarial")</f>
        <v>Ld Consultoria Em Gestão Empresarial</v>
      </c>
      <c r="N6587" s="33">
        <f>IFERROR(__xludf.DUMMYFUNCTION("""COMPUTED_VALUE"""),1.0)</f>
        <v>1</v>
      </c>
      <c r="O6587" s="4" t="str">
        <f>IFERROR(__xludf.DUMMYFUNCTION("""COMPUTED_VALUE"""),"Ld Consultoria Em Gestão Empresarial")</f>
        <v>Ld Consultoria Em Gestão Empresarial</v>
      </c>
      <c r="P6587" s="33">
        <f>IFERROR(__xludf.DUMMYFUNCTION("""COMPUTED_VALUE"""),1.0)</f>
        <v>1</v>
      </c>
      <c r="Q6587" s="4" t="str">
        <f>IFERROR(__xludf.DUMMYFUNCTION("""COMPUTED_VALUE"""),"Ld Consultoria Em Gestão Empresarial")</f>
        <v>Ld Consultoria Em Gestão Empresarial</v>
      </c>
      <c r="R6587" s="33">
        <f>IFERROR(__xludf.DUMMYFUNCTION("""COMPUTED_VALUE"""),1.0)</f>
        <v>1</v>
      </c>
      <c r="S6587" s="4" t="str">
        <f>IFERROR(__xludf.DUMMYFUNCTION("""COMPUTED_VALUE"""),"Ld Consultoria Em Gestão Empresarial")</f>
        <v>Ld Consultoria Em Gestão Empresarial</v>
      </c>
      <c r="T6587" s="33">
        <f>IFERROR(__xludf.DUMMYFUNCTION("""COMPUTED_VALUE"""),1.0)</f>
        <v>1</v>
      </c>
      <c r="U6587" s="4" t="str">
        <f>IFERROR(__xludf.DUMMYFUNCTION("""COMPUTED_VALUE"""),"Ld Consultoria Em Gestão Empresarial")</f>
        <v>Ld Consultoria Em Gestão Empresarial</v>
      </c>
      <c r="V6587" s="33">
        <f>IFERROR(__xludf.DUMMYFUNCTION("""COMPUTED_VALUE"""),1.0)</f>
        <v>1</v>
      </c>
      <c r="W6587" s="4" t="str">
        <f>IFERROR(__xludf.DUMMYFUNCTION("""COMPUTED_VALUE"""),"Ld Consultoria Em Gestão Empresarial")</f>
        <v>Ld Consultoria Em Gestão Empresarial</v>
      </c>
      <c r="X6587" s="33">
        <f>IFERROR(__xludf.DUMMYFUNCTION("""COMPUTED_VALUE"""),1.0)</f>
        <v>1</v>
      </c>
    </row>
    <row r="6588">
      <c r="K6588" s="4" t="str">
        <f>IFERROR(__xludf.DUMMYFUNCTION("""COMPUTED_VALUE"""),"AHAM SAO PAULO")</f>
        <v>AHAM SAO PAULO</v>
      </c>
      <c r="L6588" s="32">
        <f>IFERROR(__xludf.DUMMYFUNCTION("""COMPUTED_VALUE"""),2.0)</f>
        <v>2</v>
      </c>
      <c r="M6588" s="4" t="str">
        <f>IFERROR(__xludf.DUMMYFUNCTION("""COMPUTED_VALUE"""),"Saipos Serviços De Software")</f>
        <v>Saipos Serviços De Software</v>
      </c>
      <c r="N6588" s="33">
        <f>IFERROR(__xludf.DUMMYFUNCTION("""COMPUTED_VALUE"""),1.0)</f>
        <v>1</v>
      </c>
      <c r="O6588" s="4" t="str">
        <f>IFERROR(__xludf.DUMMYFUNCTION("""COMPUTED_VALUE"""),"Saipos Serviços De Software")</f>
        <v>Saipos Serviços De Software</v>
      </c>
      <c r="P6588" s="33">
        <f>IFERROR(__xludf.DUMMYFUNCTION("""COMPUTED_VALUE"""),1.0)</f>
        <v>1</v>
      </c>
      <c r="Q6588" s="4" t="str">
        <f>IFERROR(__xludf.DUMMYFUNCTION("""COMPUTED_VALUE"""),"Saipos Serviços De Software")</f>
        <v>Saipos Serviços De Software</v>
      </c>
      <c r="R6588" s="33">
        <f>IFERROR(__xludf.DUMMYFUNCTION("""COMPUTED_VALUE"""),1.0)</f>
        <v>1</v>
      </c>
      <c r="S6588" s="4" t="str">
        <f>IFERROR(__xludf.DUMMYFUNCTION("""COMPUTED_VALUE"""),"Saipos Serviços De Software")</f>
        <v>Saipos Serviços De Software</v>
      </c>
      <c r="T6588" s="33">
        <f>IFERROR(__xludf.DUMMYFUNCTION("""COMPUTED_VALUE"""),1.0)</f>
        <v>1</v>
      </c>
      <c r="U6588" s="4" t="str">
        <f>IFERROR(__xludf.DUMMYFUNCTION("""COMPUTED_VALUE"""),"Saipos Serviços De Software")</f>
        <v>Saipos Serviços De Software</v>
      </c>
      <c r="V6588" s="33">
        <f>IFERROR(__xludf.DUMMYFUNCTION("""COMPUTED_VALUE"""),1.0)</f>
        <v>1</v>
      </c>
      <c r="W6588" s="4" t="str">
        <f>IFERROR(__xludf.DUMMYFUNCTION("""COMPUTED_VALUE"""),"Saipos Serviços De Software")</f>
        <v>Saipos Serviços De Software</v>
      </c>
      <c r="X6588" s="33">
        <f>IFERROR(__xludf.DUMMYFUNCTION("""COMPUTED_VALUE"""),1.0)</f>
        <v>1</v>
      </c>
    </row>
    <row r="6589">
      <c r="K6589" s="4" t="str">
        <f>IFERROR(__xludf.DUMMYFUNCTION("""COMPUTED_VALUE"""),"AIPIM BURGUER E PIZZA")</f>
        <v>AIPIM BURGUER E PIZZA</v>
      </c>
      <c r="L6589" s="32">
        <f>IFERROR(__xludf.DUMMYFUNCTION("""COMPUTED_VALUE"""),2.0)</f>
        <v>2</v>
      </c>
      <c r="M6589" s="4" t="str">
        <f>IFERROR(__xludf.DUMMYFUNCTION("""COMPUTED_VALUE"""),"Saipos Serviços De Software")</f>
        <v>Saipos Serviços De Software</v>
      </c>
      <c r="N6589" s="33">
        <f>IFERROR(__xludf.DUMMYFUNCTION("""COMPUTED_VALUE"""),1.0)</f>
        <v>1</v>
      </c>
      <c r="O6589" s="4" t="str">
        <f>IFERROR(__xludf.DUMMYFUNCTION("""COMPUTED_VALUE"""),"Saipos Serviços De Software")</f>
        <v>Saipos Serviços De Software</v>
      </c>
      <c r="P6589" s="33">
        <f>IFERROR(__xludf.DUMMYFUNCTION("""COMPUTED_VALUE"""),1.0)</f>
        <v>1</v>
      </c>
      <c r="Q6589" s="4" t="str">
        <f>IFERROR(__xludf.DUMMYFUNCTION("""COMPUTED_VALUE"""),"Saipos Serviços De Software")</f>
        <v>Saipos Serviços De Software</v>
      </c>
      <c r="R6589" s="33">
        <f>IFERROR(__xludf.DUMMYFUNCTION("""COMPUTED_VALUE"""),1.0)</f>
        <v>1</v>
      </c>
      <c r="S6589" s="4" t="str">
        <f>IFERROR(__xludf.DUMMYFUNCTION("""COMPUTED_VALUE"""),"Saipos Serviços De Software")</f>
        <v>Saipos Serviços De Software</v>
      </c>
      <c r="T6589" s="33">
        <f>IFERROR(__xludf.DUMMYFUNCTION("""COMPUTED_VALUE"""),1.0)</f>
        <v>1</v>
      </c>
      <c r="U6589" s="4" t="str">
        <f>IFERROR(__xludf.DUMMYFUNCTION("""COMPUTED_VALUE"""),"Saipos Serviços De Software")</f>
        <v>Saipos Serviços De Software</v>
      </c>
      <c r="V6589" s="33">
        <f>IFERROR(__xludf.DUMMYFUNCTION("""COMPUTED_VALUE"""),1.0)</f>
        <v>1</v>
      </c>
      <c r="W6589" s="4" t="str">
        <f>IFERROR(__xludf.DUMMYFUNCTION("""COMPUTED_VALUE"""),"Saipos Serviços De Software")</f>
        <v>Saipos Serviços De Software</v>
      </c>
      <c r="X6589" s="33">
        <f>IFERROR(__xludf.DUMMYFUNCTION("""COMPUTED_VALUE"""),1.0)</f>
        <v>1</v>
      </c>
    </row>
    <row r="6590">
      <c r="K6590" s="4" t="str">
        <f>IFERROR(__xludf.DUMMYFUNCTION("""COMPUTED_VALUE"""),"GRUPO AL AMIR - CONTA GRUPO")</f>
        <v>GRUPO AL AMIR - CONTA GRUPO</v>
      </c>
      <c r="L6590" s="32">
        <f>IFERROR(__xludf.DUMMYFUNCTION("""COMPUTED_VALUE"""),2.0)</f>
        <v>2</v>
      </c>
      <c r="M6590" s="4" t="str">
        <f>IFERROR(__xludf.DUMMYFUNCTION("""COMPUTED_VALUE"""),"Opdv")</f>
        <v>Opdv</v>
      </c>
      <c r="N6590" s="33">
        <f>IFERROR(__xludf.DUMMYFUNCTION("""COMPUTED_VALUE"""),1.0)</f>
        <v>1</v>
      </c>
      <c r="O6590" s="4" t="str">
        <f>IFERROR(__xludf.DUMMYFUNCTION("""COMPUTED_VALUE"""),"Opdv")</f>
        <v>Opdv</v>
      </c>
      <c r="P6590" s="33">
        <f>IFERROR(__xludf.DUMMYFUNCTION("""COMPUTED_VALUE"""),1.0)</f>
        <v>1</v>
      </c>
      <c r="Q6590" s="4" t="str">
        <f>IFERROR(__xludf.DUMMYFUNCTION("""COMPUTED_VALUE"""),"Opdv")</f>
        <v>Opdv</v>
      </c>
      <c r="R6590" s="33">
        <f>IFERROR(__xludf.DUMMYFUNCTION("""COMPUTED_VALUE"""),1.0)</f>
        <v>1</v>
      </c>
      <c r="S6590" s="4" t="str">
        <f>IFERROR(__xludf.DUMMYFUNCTION("""COMPUTED_VALUE"""),"Opdv")</f>
        <v>Opdv</v>
      </c>
      <c r="T6590" s="33">
        <f>IFERROR(__xludf.DUMMYFUNCTION("""COMPUTED_VALUE"""),1.0)</f>
        <v>1</v>
      </c>
      <c r="U6590" s="4" t="str">
        <f>IFERROR(__xludf.DUMMYFUNCTION("""COMPUTED_VALUE"""),"Opdv")</f>
        <v>Opdv</v>
      </c>
      <c r="V6590" s="33">
        <f>IFERROR(__xludf.DUMMYFUNCTION("""COMPUTED_VALUE"""),1.0)</f>
        <v>1</v>
      </c>
      <c r="W6590" s="4" t="str">
        <f>IFERROR(__xludf.DUMMYFUNCTION("""COMPUTED_VALUE"""),"Opdv")</f>
        <v>Opdv</v>
      </c>
      <c r="X6590" s="33">
        <f>IFERROR(__xludf.DUMMYFUNCTION("""COMPUTED_VALUE"""),1.0)</f>
        <v>1</v>
      </c>
    </row>
    <row r="6591">
      <c r="K6591" s="4" t="str">
        <f>IFERROR(__xludf.DUMMYFUNCTION("""COMPUTED_VALUE"""),"AL NUR - MARCA")</f>
        <v>AL NUR - MARCA</v>
      </c>
      <c r="L6591" s="32">
        <f>IFERROR(__xludf.DUMMYFUNCTION("""COMPUTED_VALUE"""),2.0)</f>
        <v>2</v>
      </c>
      <c r="M6591" s="4" t="str">
        <f>IFERROR(__xludf.DUMMYFUNCTION("""COMPUTED_VALUE"""),"Totvs Large Enterprise Tecnologia S.a.")</f>
        <v>Totvs Large Enterprise Tecnologia S.a.</v>
      </c>
      <c r="N6591" s="33">
        <f>IFERROR(__xludf.DUMMYFUNCTION("""COMPUTED_VALUE"""),1.0)</f>
        <v>1</v>
      </c>
      <c r="O6591" s="4" t="str">
        <f>IFERROR(__xludf.DUMMYFUNCTION("""COMPUTED_VALUE"""),"Totvs Large Enterprise Tecnologia S.a.")</f>
        <v>Totvs Large Enterprise Tecnologia S.a.</v>
      </c>
      <c r="P6591" s="33">
        <f>IFERROR(__xludf.DUMMYFUNCTION("""COMPUTED_VALUE"""),1.0)</f>
        <v>1</v>
      </c>
      <c r="Q6591" s="4" t="str">
        <f>IFERROR(__xludf.DUMMYFUNCTION("""COMPUTED_VALUE"""),"Totvs Large Enterprise Tecnologia S.a.")</f>
        <v>Totvs Large Enterprise Tecnologia S.a.</v>
      </c>
      <c r="R6591" s="33">
        <f>IFERROR(__xludf.DUMMYFUNCTION("""COMPUTED_VALUE"""),1.0)</f>
        <v>1</v>
      </c>
      <c r="S6591" s="4" t="str">
        <f>IFERROR(__xludf.DUMMYFUNCTION("""COMPUTED_VALUE"""),"Totvs Large Enterprise Tecnologia S.a.")</f>
        <v>Totvs Large Enterprise Tecnologia S.a.</v>
      </c>
      <c r="T6591" s="33">
        <f>IFERROR(__xludf.DUMMYFUNCTION("""COMPUTED_VALUE"""),1.0)</f>
        <v>1</v>
      </c>
      <c r="U6591" s="4" t="str">
        <f>IFERROR(__xludf.DUMMYFUNCTION("""COMPUTED_VALUE"""),"Totvs Large Enterprise Tecnologia S.a.")</f>
        <v>Totvs Large Enterprise Tecnologia S.a.</v>
      </c>
      <c r="V6591" s="33">
        <f>IFERROR(__xludf.DUMMYFUNCTION("""COMPUTED_VALUE"""),1.0)</f>
        <v>1</v>
      </c>
      <c r="W6591" s="4" t="str">
        <f>IFERROR(__xludf.DUMMYFUNCTION("""COMPUTED_VALUE"""),"Totvs Large Enterprise Tecnologia S.a.")</f>
        <v>Totvs Large Enterprise Tecnologia S.a.</v>
      </c>
      <c r="X6591" s="33">
        <f>IFERROR(__xludf.DUMMYFUNCTION("""COMPUTED_VALUE"""),1.0)</f>
        <v>1</v>
      </c>
    </row>
    <row r="6592">
      <c r="K6592" s="4" t="str">
        <f>IFERROR(__xludf.DUMMYFUNCTION("""COMPUTED_VALUE"""),"ALAMEDA PIZZERIA")</f>
        <v>ALAMEDA PIZZERIA</v>
      </c>
      <c r="L6592" s="32">
        <f>IFERROR(__xludf.DUMMYFUNCTION("""COMPUTED_VALUE"""),2.0)</f>
        <v>2</v>
      </c>
      <c r="M6592" s="4" t="str">
        <f>IFERROR(__xludf.DUMMYFUNCTION("""COMPUTED_VALUE"""),"Suitable Tecnologia E Gestao")</f>
        <v>Suitable Tecnologia E Gestao</v>
      </c>
      <c r="N6592" s="33">
        <f>IFERROR(__xludf.DUMMYFUNCTION("""COMPUTED_VALUE"""),1.0)</f>
        <v>1</v>
      </c>
      <c r="O6592" s="4" t="str">
        <f>IFERROR(__xludf.DUMMYFUNCTION("""COMPUTED_VALUE"""),"Suitable Tecnologia E Gestao")</f>
        <v>Suitable Tecnologia E Gestao</v>
      </c>
      <c r="P6592" s="33">
        <f>IFERROR(__xludf.DUMMYFUNCTION("""COMPUTED_VALUE"""),1.0)</f>
        <v>1</v>
      </c>
      <c r="Q6592" s="4" t="str">
        <f>IFERROR(__xludf.DUMMYFUNCTION("""COMPUTED_VALUE"""),"Suitable Tecnologia E Gestao")</f>
        <v>Suitable Tecnologia E Gestao</v>
      </c>
      <c r="R6592" s="33">
        <f>IFERROR(__xludf.DUMMYFUNCTION("""COMPUTED_VALUE"""),1.0)</f>
        <v>1</v>
      </c>
      <c r="S6592" s="4" t="str">
        <f>IFERROR(__xludf.DUMMYFUNCTION("""COMPUTED_VALUE"""),"Suitable Tecnologia E Gestao")</f>
        <v>Suitable Tecnologia E Gestao</v>
      </c>
      <c r="T6592" s="33">
        <f>IFERROR(__xludf.DUMMYFUNCTION("""COMPUTED_VALUE"""),1.0)</f>
        <v>1</v>
      </c>
      <c r="U6592" s="4" t="str">
        <f>IFERROR(__xludf.DUMMYFUNCTION("""COMPUTED_VALUE"""),"Suitable Tecnologia E Gestao")</f>
        <v>Suitable Tecnologia E Gestao</v>
      </c>
      <c r="V6592" s="33">
        <f>IFERROR(__xludf.DUMMYFUNCTION("""COMPUTED_VALUE"""),1.0)</f>
        <v>1</v>
      </c>
      <c r="W6592" s="4" t="str">
        <f>IFERROR(__xludf.DUMMYFUNCTION("""COMPUTED_VALUE"""),"Suitable Tecnologia E Gestao")</f>
        <v>Suitable Tecnologia E Gestao</v>
      </c>
      <c r="X6592" s="33">
        <f>IFERROR(__xludf.DUMMYFUNCTION("""COMPUTED_VALUE"""),0.5)</f>
        <v>0.5</v>
      </c>
    </row>
    <row r="6593">
      <c r="K6593" s="4" t="str">
        <f>IFERROR(__xludf.DUMMYFUNCTION("""COMPUTED_VALUE"""),"ALHO - PAO DE ALHO")</f>
        <v>ALHO - PAO DE ALHO</v>
      </c>
      <c r="L6593" s="32">
        <f>IFERROR(__xludf.DUMMYFUNCTION("""COMPUTED_VALUE"""),2.0)</f>
        <v>2</v>
      </c>
      <c r="M6593" s="4" t="str">
        <f>IFERROR(__xludf.DUMMYFUNCTION("""COMPUTED_VALUE"""),"Saipos Serviços De Software")</f>
        <v>Saipos Serviços De Software</v>
      </c>
      <c r="N6593" s="33">
        <f>IFERROR(__xludf.DUMMYFUNCTION("""COMPUTED_VALUE"""),1.0)</f>
        <v>1</v>
      </c>
      <c r="O6593" s="4" t="str">
        <f>IFERROR(__xludf.DUMMYFUNCTION("""COMPUTED_VALUE"""),"null")</f>
        <v>null</v>
      </c>
      <c r="P6593" s="33">
        <f>IFERROR(__xludf.DUMMYFUNCTION("""COMPUTED_VALUE"""),0.5)</f>
        <v>0.5</v>
      </c>
      <c r="Q6593" s="4" t="str">
        <f>IFERROR(__xludf.DUMMYFUNCTION("""COMPUTED_VALUE"""),"null")</f>
        <v>null</v>
      </c>
      <c r="R6593" s="33">
        <f>IFERROR(__xludf.DUMMYFUNCTION("""COMPUTED_VALUE"""),1.0)</f>
        <v>1</v>
      </c>
      <c r="S6593" s="4" t="str">
        <f>IFERROR(__xludf.DUMMYFUNCTION("""COMPUTED_VALUE"""),"null")</f>
        <v>null</v>
      </c>
      <c r="T6593" s="33">
        <f>IFERROR(__xludf.DUMMYFUNCTION("""COMPUTED_VALUE"""),1.0)</f>
        <v>1</v>
      </c>
      <c r="U6593" s="4" t="str">
        <f>IFERROR(__xludf.DUMMYFUNCTION("""COMPUTED_VALUE"""),"null")</f>
        <v>null</v>
      </c>
      <c r="V6593" s="33">
        <f>IFERROR(__xludf.DUMMYFUNCTION("""COMPUTED_VALUE"""),1.0)</f>
        <v>1</v>
      </c>
      <c r="W6593" s="4" t="str">
        <f>IFERROR(__xludf.DUMMYFUNCTION("""COMPUTED_VALUE"""),"null")</f>
        <v>null</v>
      </c>
      <c r="X6593" s="33">
        <f>IFERROR(__xludf.DUMMYFUNCTION("""COMPUTED_VALUE"""),1.0)</f>
        <v>1</v>
      </c>
    </row>
    <row r="6594">
      <c r="K6594" s="4" t="str">
        <f>IFERROR(__xludf.DUMMYFUNCTION("""COMPUTED_VALUE"""),"ALL KONE")</f>
        <v>ALL KONE</v>
      </c>
      <c r="L6594" s="32">
        <f>IFERROR(__xludf.DUMMYFUNCTION("""COMPUTED_VALUE"""),2.0)</f>
        <v>2</v>
      </c>
      <c r="M6594" s="4" t="str">
        <f>IFERROR(__xludf.DUMMYFUNCTION("""COMPUTED_VALUE"""),"Nimbus Erp")</f>
        <v>Nimbus Erp</v>
      </c>
      <c r="N6594" s="33">
        <f>IFERROR(__xludf.DUMMYFUNCTION("""COMPUTED_VALUE"""),1.0)</f>
        <v>1</v>
      </c>
      <c r="O6594" s="4" t="str">
        <f>IFERROR(__xludf.DUMMYFUNCTION("""COMPUTED_VALUE"""),"Nimbus Erp")</f>
        <v>Nimbus Erp</v>
      </c>
      <c r="P6594" s="33">
        <f>IFERROR(__xludf.DUMMYFUNCTION("""COMPUTED_VALUE"""),1.0)</f>
        <v>1</v>
      </c>
      <c r="Q6594" s="4" t="str">
        <f>IFERROR(__xludf.DUMMYFUNCTION("""COMPUTED_VALUE"""),"Nimbus Erp")</f>
        <v>Nimbus Erp</v>
      </c>
      <c r="R6594" s="33">
        <f>IFERROR(__xludf.DUMMYFUNCTION("""COMPUTED_VALUE"""),0.5)</f>
        <v>0.5</v>
      </c>
      <c r="S6594" s="4" t="str">
        <f>IFERROR(__xludf.DUMMYFUNCTION("""COMPUTED_VALUE"""),"Nimbus Erp")</f>
        <v>Nimbus Erp</v>
      </c>
      <c r="T6594" s="33">
        <f>IFERROR(__xludf.DUMMYFUNCTION("""COMPUTED_VALUE"""),1.0)</f>
        <v>1</v>
      </c>
      <c r="U6594" s="4" t="str">
        <f>IFERROR(__xludf.DUMMYFUNCTION("""COMPUTED_VALUE"""),"null")</f>
        <v>null</v>
      </c>
      <c r="V6594" s="33">
        <f>IFERROR(__xludf.DUMMYFUNCTION("""COMPUTED_VALUE"""),1.0)</f>
        <v>1</v>
      </c>
      <c r="W6594" s="4" t="str">
        <f>IFERROR(__xludf.DUMMYFUNCTION("""COMPUTED_VALUE"""),"Nimbus Erp")</f>
        <v>Nimbus Erp</v>
      </c>
      <c r="X6594" s="33">
        <f>IFERROR(__xludf.DUMMYFUNCTION("""COMPUTED_VALUE"""),1.0)</f>
        <v>1</v>
      </c>
    </row>
    <row r="6595">
      <c r="K6595" s="4" t="str">
        <f>IFERROR(__xludf.DUMMYFUNCTION("""COMPUTED_VALUE"""),"ALMAZA - MARCA")</f>
        <v>ALMAZA - MARCA</v>
      </c>
      <c r="L6595" s="32">
        <f>IFERROR(__xludf.DUMMYFUNCTION("""COMPUTED_VALUE"""),2.0)</f>
        <v>2</v>
      </c>
      <c r="M6595" s="4" t="str">
        <f>IFERROR(__xludf.DUMMYFUNCTION("""COMPUTED_VALUE"""),"Sagres Automação Comercial")</f>
        <v>Sagres Automação Comercial</v>
      </c>
      <c r="N6595" s="33">
        <f>IFERROR(__xludf.DUMMYFUNCTION("""COMPUTED_VALUE"""),0.5)</f>
        <v>0.5</v>
      </c>
      <c r="O6595" s="4" t="str">
        <f>IFERROR(__xludf.DUMMYFUNCTION("""COMPUTED_VALUE"""),"Sagres Automação Comercial")</f>
        <v>Sagres Automação Comercial</v>
      </c>
      <c r="P6595" s="33">
        <f>IFERROR(__xludf.DUMMYFUNCTION("""COMPUTED_VALUE"""),0.5)</f>
        <v>0.5</v>
      </c>
      <c r="Q6595" s="4" t="str">
        <f>IFERROR(__xludf.DUMMYFUNCTION("""COMPUTED_VALUE"""),"Sagres Automação Comercial")</f>
        <v>Sagres Automação Comercial</v>
      </c>
      <c r="R6595" s="33">
        <f>IFERROR(__xludf.DUMMYFUNCTION("""COMPUTED_VALUE"""),0.5)</f>
        <v>0.5</v>
      </c>
      <c r="S6595" s="4" t="str">
        <f>IFERROR(__xludf.DUMMYFUNCTION("""COMPUTED_VALUE"""),"Sagres Automação Comercial")</f>
        <v>Sagres Automação Comercial</v>
      </c>
      <c r="T6595" s="33">
        <f>IFERROR(__xludf.DUMMYFUNCTION("""COMPUTED_VALUE"""),0.5)</f>
        <v>0.5</v>
      </c>
      <c r="U6595" s="4" t="str">
        <f>IFERROR(__xludf.DUMMYFUNCTION("""COMPUTED_VALUE"""),"Sagres Automação Comercial")</f>
        <v>Sagres Automação Comercial</v>
      </c>
      <c r="V6595" s="33">
        <f>IFERROR(__xludf.DUMMYFUNCTION("""COMPUTED_VALUE"""),0.5)</f>
        <v>0.5</v>
      </c>
      <c r="W6595" s="4" t="str">
        <f>IFERROR(__xludf.DUMMYFUNCTION("""COMPUTED_VALUE"""),"Sagres Automação Comercial")</f>
        <v>Sagres Automação Comercial</v>
      </c>
      <c r="X6595" s="33">
        <f>IFERROR(__xludf.DUMMYFUNCTION("""COMPUTED_VALUE"""),0.5)</f>
        <v>0.5</v>
      </c>
    </row>
    <row r="6596">
      <c r="K6596" s="4" t="str">
        <f>IFERROR(__xludf.DUMMYFUNCTION("""COMPUTED_VALUE"""),"ALOHA POKE BEER")</f>
        <v>ALOHA POKE BEER</v>
      </c>
      <c r="L6596" s="32">
        <f>IFERROR(__xludf.DUMMYFUNCTION("""COMPUTED_VALUE"""),2.0)</f>
        <v>2</v>
      </c>
      <c r="M6596" s="4" t="str">
        <f>IFERROR(__xludf.DUMMYFUNCTION("""COMPUTED_VALUE"""),"Swfast Sistemas")</f>
        <v>Swfast Sistemas</v>
      </c>
      <c r="N6596" s="33">
        <f>IFERROR(__xludf.DUMMYFUNCTION("""COMPUTED_VALUE"""),1.0)</f>
        <v>1</v>
      </c>
      <c r="O6596" s="4" t="str">
        <f>IFERROR(__xludf.DUMMYFUNCTION("""COMPUTED_VALUE"""),"Swfast Sistemas")</f>
        <v>Swfast Sistemas</v>
      </c>
      <c r="P6596" s="33">
        <f>IFERROR(__xludf.DUMMYFUNCTION("""COMPUTED_VALUE"""),1.0)</f>
        <v>1</v>
      </c>
      <c r="Q6596" s="4" t="str">
        <f>IFERROR(__xludf.DUMMYFUNCTION("""COMPUTED_VALUE"""),"Swfast Sistemas")</f>
        <v>Swfast Sistemas</v>
      </c>
      <c r="R6596" s="33">
        <f>IFERROR(__xludf.DUMMYFUNCTION("""COMPUTED_VALUE"""),1.0)</f>
        <v>1</v>
      </c>
      <c r="S6596" s="4" t="str">
        <f>IFERROR(__xludf.DUMMYFUNCTION("""COMPUTED_VALUE"""),"Swfast Sistemas")</f>
        <v>Swfast Sistemas</v>
      </c>
      <c r="T6596" s="33">
        <f>IFERROR(__xludf.DUMMYFUNCTION("""COMPUTED_VALUE"""),1.0)</f>
        <v>1</v>
      </c>
      <c r="U6596" s="4" t="str">
        <f>IFERROR(__xludf.DUMMYFUNCTION("""COMPUTED_VALUE"""),"Swfast Sistemas")</f>
        <v>Swfast Sistemas</v>
      </c>
      <c r="V6596" s="33">
        <f>IFERROR(__xludf.DUMMYFUNCTION("""COMPUTED_VALUE"""),1.0)</f>
        <v>1</v>
      </c>
      <c r="W6596" s="4" t="str">
        <f>IFERROR(__xludf.DUMMYFUNCTION("""COMPUTED_VALUE"""),"Swfast Sistemas")</f>
        <v>Swfast Sistemas</v>
      </c>
      <c r="X6596" s="33">
        <f>IFERROR(__xludf.DUMMYFUNCTION("""COMPUTED_VALUE"""),1.0)</f>
        <v>1</v>
      </c>
    </row>
    <row r="6597">
      <c r="K6597" s="4" t="str">
        <f>IFERROR(__xludf.DUMMYFUNCTION("""COMPUTED_VALUE"""),"ALOHAPOKE")</f>
        <v>ALOHAPOKE</v>
      </c>
      <c r="L6597" s="32">
        <f>IFERROR(__xludf.DUMMYFUNCTION("""COMPUTED_VALUE"""),2.0)</f>
        <v>2</v>
      </c>
      <c r="M6597" s="4" t="str">
        <f>IFERROR(__xludf.DUMMYFUNCTION("""COMPUTED_VALUE"""),"Yooga")</f>
        <v>Yooga</v>
      </c>
      <c r="N6597" s="33">
        <f>IFERROR(__xludf.DUMMYFUNCTION("""COMPUTED_VALUE"""),1.0)</f>
        <v>1</v>
      </c>
      <c r="O6597" s="4" t="str">
        <f>IFERROR(__xludf.DUMMYFUNCTION("""COMPUTED_VALUE"""),"Yooga")</f>
        <v>Yooga</v>
      </c>
      <c r="P6597" s="33">
        <f>IFERROR(__xludf.DUMMYFUNCTION("""COMPUTED_VALUE"""),1.0)</f>
        <v>1</v>
      </c>
      <c r="Q6597" s="4" t="str">
        <f>IFERROR(__xludf.DUMMYFUNCTION("""COMPUTED_VALUE"""),"Yooga")</f>
        <v>Yooga</v>
      </c>
      <c r="R6597" s="33">
        <f>IFERROR(__xludf.DUMMYFUNCTION("""COMPUTED_VALUE"""),1.0)</f>
        <v>1</v>
      </c>
      <c r="S6597" s="4" t="str">
        <f>IFERROR(__xludf.DUMMYFUNCTION("""COMPUTED_VALUE"""),"Yooga")</f>
        <v>Yooga</v>
      </c>
      <c r="T6597" s="33">
        <f>IFERROR(__xludf.DUMMYFUNCTION("""COMPUTED_VALUE"""),1.0)</f>
        <v>1</v>
      </c>
      <c r="U6597" s="4" t="str">
        <f>IFERROR(__xludf.DUMMYFUNCTION("""COMPUTED_VALUE"""),"Yooga")</f>
        <v>Yooga</v>
      </c>
      <c r="V6597" s="33">
        <f>IFERROR(__xludf.DUMMYFUNCTION("""COMPUTED_VALUE"""),1.0)</f>
        <v>1</v>
      </c>
      <c r="W6597" s="4" t="str">
        <f>IFERROR(__xludf.DUMMYFUNCTION("""COMPUTED_VALUE"""),"Yooga")</f>
        <v>Yooga</v>
      </c>
      <c r="X6597" s="33">
        <f>IFERROR(__xludf.DUMMYFUNCTION("""COMPUTED_VALUE"""),1.0)</f>
        <v>1</v>
      </c>
    </row>
    <row r="6598">
      <c r="K6598" s="4" t="str">
        <f>IFERROR(__xludf.DUMMYFUNCTION("""COMPUTED_VALUE"""),"ALTAS HORAS FRANCA")</f>
        <v>ALTAS HORAS FRANCA</v>
      </c>
      <c r="L6598" s="32">
        <f>IFERROR(__xludf.DUMMYFUNCTION("""COMPUTED_VALUE"""),2.0)</f>
        <v>2</v>
      </c>
      <c r="M6598" s="4" t="str">
        <f>IFERROR(__xludf.DUMMYFUNCTION("""COMPUTED_VALUE"""),"Cainelli Automação Comercial")</f>
        <v>Cainelli Automação Comercial</v>
      </c>
      <c r="N6598" s="33">
        <f>IFERROR(__xludf.DUMMYFUNCTION("""COMPUTED_VALUE"""),1.0)</f>
        <v>1</v>
      </c>
      <c r="O6598" s="4" t="str">
        <f>IFERROR(__xludf.DUMMYFUNCTION("""COMPUTED_VALUE"""),"Cainelli Automação Comercial")</f>
        <v>Cainelli Automação Comercial</v>
      </c>
      <c r="P6598" s="33">
        <f>IFERROR(__xludf.DUMMYFUNCTION("""COMPUTED_VALUE"""),1.0)</f>
        <v>1</v>
      </c>
      <c r="Q6598" s="4" t="str">
        <f>IFERROR(__xludf.DUMMYFUNCTION("""COMPUTED_VALUE"""),"Cainelli Automação Comercial")</f>
        <v>Cainelli Automação Comercial</v>
      </c>
      <c r="R6598" s="33">
        <f>IFERROR(__xludf.DUMMYFUNCTION("""COMPUTED_VALUE"""),1.0)</f>
        <v>1</v>
      </c>
      <c r="S6598" s="4" t="str">
        <f>IFERROR(__xludf.DUMMYFUNCTION("""COMPUTED_VALUE"""),"Cainelli Automação Comercial")</f>
        <v>Cainelli Automação Comercial</v>
      </c>
      <c r="T6598" s="33">
        <f>IFERROR(__xludf.DUMMYFUNCTION("""COMPUTED_VALUE"""),0.5)</f>
        <v>0.5</v>
      </c>
      <c r="U6598" s="4" t="str">
        <f>IFERROR(__xludf.DUMMYFUNCTION("""COMPUTED_VALUE"""),"null")</f>
        <v>null</v>
      </c>
      <c r="V6598" s="33">
        <f>IFERROR(__xludf.DUMMYFUNCTION("""COMPUTED_VALUE"""),0.5)</f>
        <v>0.5</v>
      </c>
      <c r="W6598" s="4" t="str">
        <f>IFERROR(__xludf.DUMMYFUNCTION("""COMPUTED_VALUE"""),"Cainelli Automação Comercial")</f>
        <v>Cainelli Automação Comercial</v>
      </c>
      <c r="X6598" s="33">
        <f>IFERROR(__xludf.DUMMYFUNCTION("""COMPUTED_VALUE"""),1.0)</f>
        <v>1</v>
      </c>
    </row>
    <row r="6599">
      <c r="K6599" s="4" t="str">
        <f>IFERROR(__xludf.DUMMYFUNCTION("""COMPUTED_VALUE"""),"AMAZO - PATIO HIGIENOPOLIS")</f>
        <v>AMAZO - PATIO HIGIENOPOLIS</v>
      </c>
      <c r="L6599" s="32">
        <f>IFERROR(__xludf.DUMMYFUNCTION("""COMPUTED_VALUE"""),2.0)</f>
        <v>2</v>
      </c>
      <c r="M6599" s="4" t="str">
        <f>IFERROR(__xludf.DUMMYFUNCTION("""COMPUTED_VALUE"""),"Saipos Serviços De Software")</f>
        <v>Saipos Serviços De Software</v>
      </c>
      <c r="N6599" s="33">
        <f>IFERROR(__xludf.DUMMYFUNCTION("""COMPUTED_VALUE"""),1.0)</f>
        <v>1</v>
      </c>
      <c r="O6599" s="4" t="str">
        <f>IFERROR(__xludf.DUMMYFUNCTION("""COMPUTED_VALUE"""),"Saipos Serviços De Software")</f>
        <v>Saipos Serviços De Software</v>
      </c>
      <c r="P6599" s="33">
        <f>IFERROR(__xludf.DUMMYFUNCTION("""COMPUTED_VALUE"""),1.0)</f>
        <v>1</v>
      </c>
      <c r="Q6599" s="4" t="str">
        <f>IFERROR(__xludf.DUMMYFUNCTION("""COMPUTED_VALUE"""),"null")</f>
        <v>null</v>
      </c>
      <c r="R6599" s="33">
        <f>IFERROR(__xludf.DUMMYFUNCTION("""COMPUTED_VALUE"""),0.5)</f>
        <v>0.5</v>
      </c>
      <c r="S6599" s="4" t="str">
        <f>IFERROR(__xludf.DUMMYFUNCTION("""COMPUTED_VALUE"""),"null")</f>
        <v>null</v>
      </c>
      <c r="T6599" s="33">
        <f>IFERROR(__xludf.DUMMYFUNCTION("""COMPUTED_VALUE"""),0.5)</f>
        <v>0.5</v>
      </c>
      <c r="U6599" s="4" t="str">
        <f>IFERROR(__xludf.DUMMYFUNCTION("""COMPUTED_VALUE"""),"null")</f>
        <v>null</v>
      </c>
      <c r="V6599" s="33">
        <f>IFERROR(__xludf.DUMMYFUNCTION("""COMPUTED_VALUE"""),1.0)</f>
        <v>1</v>
      </c>
      <c r="W6599" s="4" t="str">
        <f>IFERROR(__xludf.DUMMYFUNCTION("""COMPUTED_VALUE"""),"null")</f>
        <v>null</v>
      </c>
      <c r="X6599" s="33">
        <f>IFERROR(__xludf.DUMMYFUNCTION("""COMPUTED_VALUE"""),1.0)</f>
        <v>1</v>
      </c>
    </row>
    <row r="6600">
      <c r="K6600" s="4" t="str">
        <f>IFERROR(__xludf.DUMMYFUNCTION("""COMPUTED_VALUE"""),"AMAZON BOWLING MAO")</f>
        <v>AMAZON BOWLING MAO</v>
      </c>
      <c r="L6600" s="32">
        <f>IFERROR(__xludf.DUMMYFUNCTION("""COMPUTED_VALUE"""),2.0)</f>
        <v>2</v>
      </c>
      <c r="M6600" s="4" t="str">
        <f>IFERROR(__xludf.DUMMYFUNCTION("""COMPUTED_VALUE"""),"null")</f>
        <v>null</v>
      </c>
      <c r="N6600" s="33">
        <f>IFERROR(__xludf.DUMMYFUNCTION("""COMPUTED_VALUE"""),1.0)</f>
        <v>1</v>
      </c>
      <c r="O6600" s="4" t="str">
        <f>IFERROR(__xludf.DUMMYFUNCTION("""COMPUTED_VALUE"""),"null")</f>
        <v>null</v>
      </c>
      <c r="P6600" s="33">
        <f>IFERROR(__xludf.DUMMYFUNCTION("""COMPUTED_VALUE"""),1.0)</f>
        <v>1</v>
      </c>
      <c r="Q6600" s="4" t="str">
        <f>IFERROR(__xludf.DUMMYFUNCTION("""COMPUTED_VALUE"""),"Teknisa Service Ltda")</f>
        <v>Teknisa Service Ltda</v>
      </c>
      <c r="R6600" s="33">
        <f>IFERROR(__xludf.DUMMYFUNCTION("""COMPUTED_VALUE"""),0.5)</f>
        <v>0.5</v>
      </c>
      <c r="S6600" s="4" t="str">
        <f>IFERROR(__xludf.DUMMYFUNCTION("""COMPUTED_VALUE"""),"Teknisa Service Ltda")</f>
        <v>Teknisa Service Ltda</v>
      </c>
      <c r="T6600" s="33">
        <f>IFERROR(__xludf.DUMMYFUNCTION("""COMPUTED_VALUE"""),0.5)</f>
        <v>0.5</v>
      </c>
      <c r="U6600" s="4" t="str">
        <f>IFERROR(__xludf.DUMMYFUNCTION("""COMPUTED_VALUE"""),"Teknisa Service Ltda")</f>
        <v>Teknisa Service Ltda</v>
      </c>
      <c r="V6600" s="33">
        <f>IFERROR(__xludf.DUMMYFUNCTION("""COMPUTED_VALUE"""),0.5)</f>
        <v>0.5</v>
      </c>
      <c r="W6600" s="4" t="str">
        <f>IFERROR(__xludf.DUMMYFUNCTION("""COMPUTED_VALUE"""),"Teknisa Service Ltda")</f>
        <v>Teknisa Service Ltda</v>
      </c>
      <c r="X6600" s="33">
        <f>IFERROR(__xludf.DUMMYFUNCTION("""COMPUTED_VALUE"""),1.0)</f>
        <v>1</v>
      </c>
    </row>
    <row r="6601">
      <c r="K6601" s="4" t="str">
        <f>IFERROR(__xludf.DUMMYFUNCTION("""COMPUTED_VALUE"""),"AMAZONIA NA CUIA - CONTA PAI")</f>
        <v>AMAZONIA NA CUIA - CONTA PAI</v>
      </c>
      <c r="L6601" s="32">
        <f>IFERROR(__xludf.DUMMYFUNCTION("""COMPUTED_VALUE"""),2.0)</f>
        <v>2</v>
      </c>
      <c r="M6601" s="4" t="str">
        <f>IFERROR(__xludf.DUMMYFUNCTION("""COMPUTED_VALUE"""),"Cloudfy")</f>
        <v>Cloudfy</v>
      </c>
      <c r="N6601" s="33">
        <f>IFERROR(__xludf.DUMMYFUNCTION("""COMPUTED_VALUE"""),1.0)</f>
        <v>1</v>
      </c>
      <c r="O6601" s="4" t="str">
        <f>IFERROR(__xludf.DUMMYFUNCTION("""COMPUTED_VALUE"""),"Cloudfy")</f>
        <v>Cloudfy</v>
      </c>
      <c r="P6601" s="33">
        <f>IFERROR(__xludf.DUMMYFUNCTION("""COMPUTED_VALUE"""),1.0)</f>
        <v>1</v>
      </c>
      <c r="Q6601" s="4" t="str">
        <f>IFERROR(__xludf.DUMMYFUNCTION("""COMPUTED_VALUE"""),"Cloudfy")</f>
        <v>Cloudfy</v>
      </c>
      <c r="R6601" s="33">
        <f>IFERROR(__xludf.DUMMYFUNCTION("""COMPUTED_VALUE"""),1.0)</f>
        <v>1</v>
      </c>
      <c r="S6601" s="4" t="str">
        <f>IFERROR(__xludf.DUMMYFUNCTION("""COMPUTED_VALUE"""),"Cloudfy")</f>
        <v>Cloudfy</v>
      </c>
      <c r="T6601" s="33">
        <f>IFERROR(__xludf.DUMMYFUNCTION("""COMPUTED_VALUE"""),0.5)</f>
        <v>0.5</v>
      </c>
      <c r="U6601" s="35" t="str">
        <f>IFERROR(__xludf.DUMMYFUNCTION("""COMPUTED_VALUE"""),"Maisentregas.com")</f>
        <v>Maisentregas.com</v>
      </c>
      <c r="V6601" s="33">
        <f>IFERROR(__xludf.DUMMYFUNCTION("""COMPUTED_VALUE"""),1.0)</f>
        <v>1</v>
      </c>
      <c r="W6601" s="4" t="str">
        <f>IFERROR(__xludf.DUMMYFUNCTION("""COMPUTED_VALUE"""),"Cloudfy")</f>
        <v>Cloudfy</v>
      </c>
      <c r="X6601" s="33">
        <f>IFERROR(__xludf.DUMMYFUNCTION("""COMPUTED_VALUE"""),1.0)</f>
        <v>1</v>
      </c>
    </row>
    <row r="6602">
      <c r="K6602" s="4" t="str">
        <f>IFERROR(__xludf.DUMMYFUNCTION("""COMPUTED_VALUE"""),"AME FOODS - CONTA PAI")</f>
        <v>AME FOODS - CONTA PAI</v>
      </c>
      <c r="L6602" s="32">
        <f>IFERROR(__xludf.DUMMYFUNCTION("""COMPUTED_VALUE"""),2.0)</f>
        <v>2</v>
      </c>
      <c r="M6602" s="4" t="str">
        <f>IFERROR(__xludf.DUMMYFUNCTION("""COMPUTED_VALUE"""),"Saipos Serviços De Software")</f>
        <v>Saipos Serviços De Software</v>
      </c>
      <c r="N6602" s="33">
        <f>IFERROR(__xludf.DUMMYFUNCTION("""COMPUTED_VALUE"""),1.0)</f>
        <v>1</v>
      </c>
      <c r="O6602" s="4" t="str">
        <f>IFERROR(__xludf.DUMMYFUNCTION("""COMPUTED_VALUE"""),"Saipos Serviços De Software")</f>
        <v>Saipos Serviços De Software</v>
      </c>
      <c r="P6602" s="33">
        <f>IFERROR(__xludf.DUMMYFUNCTION("""COMPUTED_VALUE"""),1.0)</f>
        <v>1</v>
      </c>
      <c r="Q6602" s="4" t="str">
        <f>IFERROR(__xludf.DUMMYFUNCTION("""COMPUTED_VALUE"""),"Saipos Serviços De Software")</f>
        <v>Saipos Serviços De Software</v>
      </c>
      <c r="R6602" s="33">
        <f>IFERROR(__xludf.DUMMYFUNCTION("""COMPUTED_VALUE"""),1.0)</f>
        <v>1</v>
      </c>
      <c r="S6602" s="4" t="str">
        <f>IFERROR(__xludf.DUMMYFUNCTION("""COMPUTED_VALUE"""),"Saipos Serviços De Software")</f>
        <v>Saipos Serviços De Software</v>
      </c>
      <c r="T6602" s="33">
        <f>IFERROR(__xludf.DUMMYFUNCTION("""COMPUTED_VALUE"""),0.5)</f>
        <v>0.5</v>
      </c>
      <c r="U6602" s="4" t="str">
        <f>IFERROR(__xludf.DUMMYFUNCTION("""COMPUTED_VALUE"""),"Saipos Serviços De Software")</f>
        <v>Saipos Serviços De Software</v>
      </c>
      <c r="V6602" s="33">
        <f>IFERROR(__xludf.DUMMYFUNCTION("""COMPUTED_VALUE"""),1.0)</f>
        <v>1</v>
      </c>
      <c r="W6602" s="4" t="str">
        <f>IFERROR(__xludf.DUMMYFUNCTION("""COMPUTED_VALUE"""),"null")</f>
        <v>null</v>
      </c>
      <c r="X6602" s="33">
        <f>IFERROR(__xludf.DUMMYFUNCTION("""COMPUTED_VALUE"""),0.5)</f>
        <v>0.5</v>
      </c>
    </row>
    <row r="6603">
      <c r="K6603" s="4" t="str">
        <f>IFERROR(__xludf.DUMMYFUNCTION("""COMPUTED_VALUE"""),"AMMO BURGUER")</f>
        <v>AMMO BURGUER</v>
      </c>
      <c r="L6603" s="32">
        <f>IFERROR(__xludf.DUMMYFUNCTION("""COMPUTED_VALUE"""),2.0)</f>
        <v>2</v>
      </c>
      <c r="M6603" s="4" t="str">
        <f>IFERROR(__xludf.DUMMYFUNCTION("""COMPUTED_VALUE"""),"Eclética Tecnologia")</f>
        <v>Eclética Tecnologia</v>
      </c>
      <c r="N6603" s="33">
        <f>IFERROR(__xludf.DUMMYFUNCTION("""COMPUTED_VALUE"""),1.0)</f>
        <v>1</v>
      </c>
      <c r="O6603" s="4" t="str">
        <f>IFERROR(__xludf.DUMMYFUNCTION("""COMPUTED_VALUE"""),"Eclética Tecnologia")</f>
        <v>Eclética Tecnologia</v>
      </c>
      <c r="P6603" s="33">
        <f>IFERROR(__xludf.DUMMYFUNCTION("""COMPUTED_VALUE"""),0.5)</f>
        <v>0.5</v>
      </c>
      <c r="Q6603" s="4" t="str">
        <f>IFERROR(__xludf.DUMMYFUNCTION("""COMPUTED_VALUE"""),"Eclética Tecnologia")</f>
        <v>Eclética Tecnologia</v>
      </c>
      <c r="R6603" s="33">
        <f>IFERROR(__xludf.DUMMYFUNCTION("""COMPUTED_VALUE"""),1.0)</f>
        <v>1</v>
      </c>
      <c r="S6603" s="4" t="str">
        <f>IFERROR(__xludf.DUMMYFUNCTION("""COMPUTED_VALUE"""),"Eclética Tecnologia")</f>
        <v>Eclética Tecnologia</v>
      </c>
      <c r="T6603" s="33">
        <f>IFERROR(__xludf.DUMMYFUNCTION("""COMPUTED_VALUE"""),1.0)</f>
        <v>1</v>
      </c>
      <c r="U6603" s="4" t="str">
        <f>IFERROR(__xludf.DUMMYFUNCTION("""COMPUTED_VALUE"""),"Eclética Tecnologia")</f>
        <v>Eclética Tecnologia</v>
      </c>
      <c r="V6603" s="33">
        <f>IFERROR(__xludf.DUMMYFUNCTION("""COMPUTED_VALUE"""),1.0)</f>
        <v>1</v>
      </c>
      <c r="W6603" s="4" t="str">
        <f>IFERROR(__xludf.DUMMYFUNCTION("""COMPUTED_VALUE"""),"Eclética Tecnologia")</f>
        <v>Eclética Tecnologia</v>
      </c>
      <c r="X6603" s="33">
        <f>IFERROR(__xludf.DUMMYFUNCTION("""COMPUTED_VALUE"""),1.0)</f>
        <v>1</v>
      </c>
    </row>
    <row r="6604">
      <c r="K6604" s="4" t="str">
        <f>IFERROR(__xludf.DUMMYFUNCTION("""COMPUTED_VALUE"""),"AMSTERDAM BURGER BEER")</f>
        <v>AMSTERDAM BURGER BEER</v>
      </c>
      <c r="L6604" s="32">
        <f>IFERROR(__xludf.DUMMYFUNCTION("""COMPUTED_VALUE"""),2.0)</f>
        <v>2</v>
      </c>
      <c r="M6604" s="4" t="str">
        <f>IFERROR(__xludf.DUMMYFUNCTION("""COMPUTED_VALUE"""),"Eclética Tecnologia")</f>
        <v>Eclética Tecnologia</v>
      </c>
      <c r="N6604" s="33">
        <f>IFERROR(__xludf.DUMMYFUNCTION("""COMPUTED_VALUE"""),1.0)</f>
        <v>1</v>
      </c>
      <c r="O6604" s="4" t="str">
        <f>IFERROR(__xludf.DUMMYFUNCTION("""COMPUTED_VALUE"""),"Eclética Tecnologia")</f>
        <v>Eclética Tecnologia</v>
      </c>
      <c r="P6604" s="33">
        <f>IFERROR(__xludf.DUMMYFUNCTION("""COMPUTED_VALUE"""),1.0)</f>
        <v>1</v>
      </c>
      <c r="Q6604" s="4" t="str">
        <f>IFERROR(__xludf.DUMMYFUNCTION("""COMPUTED_VALUE"""),"Eclética Tecnologia")</f>
        <v>Eclética Tecnologia</v>
      </c>
      <c r="R6604" s="33">
        <f>IFERROR(__xludf.DUMMYFUNCTION("""COMPUTED_VALUE"""),1.0)</f>
        <v>1</v>
      </c>
      <c r="S6604" s="4" t="str">
        <f>IFERROR(__xludf.DUMMYFUNCTION("""COMPUTED_VALUE"""),"Eclética Tecnologia")</f>
        <v>Eclética Tecnologia</v>
      </c>
      <c r="T6604" s="33">
        <f>IFERROR(__xludf.DUMMYFUNCTION("""COMPUTED_VALUE"""),1.0)</f>
        <v>1</v>
      </c>
      <c r="U6604" s="4" t="str">
        <f>IFERROR(__xludf.DUMMYFUNCTION("""COMPUTED_VALUE"""),"Eclética Tecnologia")</f>
        <v>Eclética Tecnologia</v>
      </c>
      <c r="V6604" s="33">
        <f>IFERROR(__xludf.DUMMYFUNCTION("""COMPUTED_VALUE"""),1.0)</f>
        <v>1</v>
      </c>
      <c r="W6604" s="4" t="str">
        <f>IFERROR(__xludf.DUMMYFUNCTION("""COMPUTED_VALUE"""),"Eclética Tecnologia")</f>
        <v>Eclética Tecnologia</v>
      </c>
      <c r="X6604" s="33">
        <f>IFERROR(__xludf.DUMMYFUNCTION("""COMPUTED_VALUE"""),1.0)</f>
        <v>1</v>
      </c>
    </row>
    <row r="6605">
      <c r="K6605" s="4" t="str">
        <f>IFERROR(__xludf.DUMMYFUNCTION("""COMPUTED_VALUE"""),"ANARCO - CONTA PAI")</f>
        <v>ANARCO - CONTA PAI</v>
      </c>
      <c r="L6605" s="32">
        <f>IFERROR(__xludf.DUMMYFUNCTION("""COMPUTED_VALUE"""),2.0)</f>
        <v>2</v>
      </c>
      <c r="M6605" s="4" t="str">
        <f>IFERROR(__xludf.DUMMYFUNCTION("""COMPUTED_VALUE"""),"null")</f>
        <v>null</v>
      </c>
      <c r="N6605" s="33">
        <f>IFERROR(__xludf.DUMMYFUNCTION("""COMPUTED_VALUE"""),1.0)</f>
        <v>1</v>
      </c>
      <c r="O6605" s="4" t="str">
        <f>IFERROR(__xludf.DUMMYFUNCTION("""COMPUTED_VALUE"""),"null")</f>
        <v>null</v>
      </c>
      <c r="P6605" s="33">
        <f>IFERROR(__xludf.DUMMYFUNCTION("""COMPUTED_VALUE"""),1.0)</f>
        <v>1</v>
      </c>
      <c r="Q6605" s="4" t="str">
        <f>IFERROR(__xludf.DUMMYFUNCTION("""COMPUTED_VALUE"""),"Netcontroll Xmenu")</f>
        <v>Netcontroll Xmenu</v>
      </c>
      <c r="R6605" s="33">
        <f>IFERROR(__xludf.DUMMYFUNCTION("""COMPUTED_VALUE"""),0.5)</f>
        <v>0.5</v>
      </c>
      <c r="S6605" s="4" t="str">
        <f>IFERROR(__xludf.DUMMYFUNCTION("""COMPUTED_VALUE"""),"Netcontroll Xmenu")</f>
        <v>Netcontroll Xmenu</v>
      </c>
      <c r="T6605" s="33">
        <f>IFERROR(__xludf.DUMMYFUNCTION("""COMPUTED_VALUE"""),1.0)</f>
        <v>1</v>
      </c>
      <c r="U6605" s="4" t="str">
        <f>IFERROR(__xludf.DUMMYFUNCTION("""COMPUTED_VALUE"""),"Netcontroll Xmenu")</f>
        <v>Netcontroll Xmenu</v>
      </c>
      <c r="V6605" s="33">
        <f>IFERROR(__xludf.DUMMYFUNCTION("""COMPUTED_VALUE"""),1.0)</f>
        <v>1</v>
      </c>
      <c r="W6605" s="4" t="str">
        <f>IFERROR(__xludf.DUMMYFUNCTION("""COMPUTED_VALUE"""),"Netcontroll Xmenu")</f>
        <v>Netcontroll Xmenu</v>
      </c>
      <c r="X6605" s="33">
        <f>IFERROR(__xludf.DUMMYFUNCTION("""COMPUTED_VALUE"""),0.5)</f>
        <v>0.5</v>
      </c>
    </row>
    <row r="6606">
      <c r="K6606" s="4" t="str">
        <f>IFERROR(__xludf.DUMMYFUNCTION("""COMPUTED_VALUE"""),"ANCORA BURGER - MATRIZ")</f>
        <v>ANCORA BURGER - MATRIZ</v>
      </c>
      <c r="L6606" s="32">
        <f>IFERROR(__xludf.DUMMYFUNCTION("""COMPUTED_VALUE"""),2.0)</f>
        <v>2</v>
      </c>
      <c r="M6606" s="4" t="str">
        <f>IFERROR(__xludf.DUMMYFUNCTION("""COMPUTED_VALUE"""),"Softsa Sistemas De Informação Ltda")</f>
        <v>Softsa Sistemas De Informação Ltda</v>
      </c>
      <c r="N6606" s="33">
        <f>IFERROR(__xludf.DUMMYFUNCTION("""COMPUTED_VALUE"""),1.0)</f>
        <v>1</v>
      </c>
      <c r="O6606" s="4" t="str">
        <f>IFERROR(__xludf.DUMMYFUNCTION("""COMPUTED_VALUE"""),"Softsa Sistemas De Informação Ltda")</f>
        <v>Softsa Sistemas De Informação Ltda</v>
      </c>
      <c r="P6606" s="33">
        <f>IFERROR(__xludf.DUMMYFUNCTION("""COMPUTED_VALUE"""),1.0)</f>
        <v>1</v>
      </c>
      <c r="Q6606" s="4" t="str">
        <f>IFERROR(__xludf.DUMMYFUNCTION("""COMPUTED_VALUE"""),"Softsa Sistemas De Informação Ltda")</f>
        <v>Softsa Sistemas De Informação Ltda</v>
      </c>
      <c r="R6606" s="33">
        <f>IFERROR(__xludf.DUMMYFUNCTION("""COMPUTED_VALUE"""),1.0)</f>
        <v>1</v>
      </c>
      <c r="S6606" s="4" t="str">
        <f>IFERROR(__xludf.DUMMYFUNCTION("""COMPUTED_VALUE"""),"Softsa Sistemas De Informação Ltda")</f>
        <v>Softsa Sistemas De Informação Ltda</v>
      </c>
      <c r="T6606" s="33">
        <f>IFERROR(__xludf.DUMMYFUNCTION("""COMPUTED_VALUE"""),1.0)</f>
        <v>1</v>
      </c>
      <c r="U6606" s="4" t="str">
        <f>IFERROR(__xludf.DUMMYFUNCTION("""COMPUTED_VALUE"""),"Softsa Sistemas De Informação Ltda")</f>
        <v>Softsa Sistemas De Informação Ltda</v>
      </c>
      <c r="V6606" s="33">
        <f>IFERROR(__xludf.DUMMYFUNCTION("""COMPUTED_VALUE"""),1.0)</f>
        <v>1</v>
      </c>
      <c r="W6606" s="4" t="str">
        <f>IFERROR(__xludf.DUMMYFUNCTION("""COMPUTED_VALUE"""),"Softsa Sistemas De Informação Ltda")</f>
        <v>Softsa Sistemas De Informação Ltda</v>
      </c>
      <c r="X6606" s="33">
        <f>IFERROR(__xludf.DUMMYFUNCTION("""COMPUTED_VALUE"""),1.0)</f>
        <v>1</v>
      </c>
    </row>
    <row r="6607">
      <c r="K6607" s="4" t="str">
        <f>IFERROR(__xludf.DUMMYFUNCTION("""COMPUTED_VALUE"""),"ANGEL DONUTS - CONTA MARCA")</f>
        <v>ANGEL DONUTS - CONTA MARCA</v>
      </c>
      <c r="L6607" s="32">
        <f>IFERROR(__xludf.DUMMYFUNCTION("""COMPUTED_VALUE"""),2.0)</f>
        <v>2</v>
      </c>
      <c r="M6607" s="4" t="str">
        <f>IFERROR(__xludf.DUMMYFUNCTION("""COMPUTED_VALUE"""),"Saipos Serviços De Software")</f>
        <v>Saipos Serviços De Software</v>
      </c>
      <c r="N6607" s="33">
        <f>IFERROR(__xludf.DUMMYFUNCTION("""COMPUTED_VALUE"""),1.0)</f>
        <v>1</v>
      </c>
      <c r="O6607" s="4" t="str">
        <f>IFERROR(__xludf.DUMMYFUNCTION("""COMPUTED_VALUE"""),"Saipos Serviços De Software")</f>
        <v>Saipos Serviços De Software</v>
      </c>
      <c r="P6607" s="33">
        <f>IFERROR(__xludf.DUMMYFUNCTION("""COMPUTED_VALUE"""),1.0)</f>
        <v>1</v>
      </c>
      <c r="Q6607" s="4" t="str">
        <f>IFERROR(__xludf.DUMMYFUNCTION("""COMPUTED_VALUE"""),"Saipos Serviços De Software")</f>
        <v>Saipos Serviços De Software</v>
      </c>
      <c r="R6607" s="33">
        <f>IFERROR(__xludf.DUMMYFUNCTION("""COMPUTED_VALUE"""),1.0)</f>
        <v>1</v>
      </c>
      <c r="S6607" s="4" t="str">
        <f>IFERROR(__xludf.DUMMYFUNCTION("""COMPUTED_VALUE"""),"Saipos Serviços De Software")</f>
        <v>Saipos Serviços De Software</v>
      </c>
      <c r="T6607" s="33">
        <f>IFERROR(__xludf.DUMMYFUNCTION("""COMPUTED_VALUE"""),1.0)</f>
        <v>1</v>
      </c>
      <c r="U6607" s="4" t="str">
        <f>IFERROR(__xludf.DUMMYFUNCTION("""COMPUTED_VALUE"""),"Saipos Serviços De Software")</f>
        <v>Saipos Serviços De Software</v>
      </c>
      <c r="V6607" s="33">
        <f>IFERROR(__xludf.DUMMYFUNCTION("""COMPUTED_VALUE"""),0.5)</f>
        <v>0.5</v>
      </c>
      <c r="W6607" s="4" t="str">
        <f>IFERROR(__xludf.DUMMYFUNCTION("""COMPUTED_VALUE"""),"Saipos Serviços De Software")</f>
        <v>Saipos Serviços De Software</v>
      </c>
      <c r="X6607" s="33">
        <f>IFERROR(__xludf.DUMMYFUNCTION("""COMPUTED_VALUE"""),0.5)</f>
        <v>0.5</v>
      </c>
    </row>
    <row r="6608">
      <c r="K6608" s="4" t="str">
        <f>IFERROR(__xludf.DUMMYFUNCTION("""COMPUTED_VALUE"""),"ANISAN")</f>
        <v>ANISAN</v>
      </c>
      <c r="L6608" s="32">
        <f>IFERROR(__xludf.DUMMYFUNCTION("""COMPUTED_VALUE"""),2.0)</f>
        <v>2</v>
      </c>
      <c r="M6608" s="4" t="str">
        <f>IFERROR(__xludf.DUMMYFUNCTION("""COMPUTED_VALUE"""),"Saipos Serviços De Software")</f>
        <v>Saipos Serviços De Software</v>
      </c>
      <c r="N6608" s="33">
        <f>IFERROR(__xludf.DUMMYFUNCTION("""COMPUTED_VALUE"""),1.0)</f>
        <v>1</v>
      </c>
      <c r="O6608" s="4" t="str">
        <f>IFERROR(__xludf.DUMMYFUNCTION("""COMPUTED_VALUE"""),"Saipos Serviços De Software")</f>
        <v>Saipos Serviços De Software</v>
      </c>
      <c r="P6608" s="33">
        <f>IFERROR(__xludf.DUMMYFUNCTION("""COMPUTED_VALUE"""),1.0)</f>
        <v>1</v>
      </c>
      <c r="Q6608" s="4" t="str">
        <f>IFERROR(__xludf.DUMMYFUNCTION("""COMPUTED_VALUE"""),"Saipos Serviços De Software")</f>
        <v>Saipos Serviços De Software</v>
      </c>
      <c r="R6608" s="33">
        <f>IFERROR(__xludf.DUMMYFUNCTION("""COMPUTED_VALUE"""),1.0)</f>
        <v>1</v>
      </c>
      <c r="S6608" s="4" t="str">
        <f>IFERROR(__xludf.DUMMYFUNCTION("""COMPUTED_VALUE"""),"Saipos Serviços De Software")</f>
        <v>Saipos Serviços De Software</v>
      </c>
      <c r="T6608" s="33">
        <f>IFERROR(__xludf.DUMMYFUNCTION("""COMPUTED_VALUE"""),1.0)</f>
        <v>1</v>
      </c>
      <c r="U6608" s="4" t="str">
        <f>IFERROR(__xludf.DUMMYFUNCTION("""COMPUTED_VALUE"""),"Saipos Serviços De Software")</f>
        <v>Saipos Serviços De Software</v>
      </c>
      <c r="V6608" s="33">
        <f>IFERROR(__xludf.DUMMYFUNCTION("""COMPUTED_VALUE"""),1.0)</f>
        <v>1</v>
      </c>
      <c r="W6608" s="4" t="str">
        <f>IFERROR(__xludf.DUMMYFUNCTION("""COMPUTED_VALUE"""),"Saipos Serviços De Software")</f>
        <v>Saipos Serviços De Software</v>
      </c>
      <c r="X6608" s="33">
        <f>IFERROR(__xludf.DUMMYFUNCTION("""COMPUTED_VALUE"""),1.0)</f>
        <v>1</v>
      </c>
    </row>
    <row r="6609">
      <c r="K6609" s="4" t="str">
        <f>IFERROR(__xludf.DUMMYFUNCTION("""COMPUTED_VALUE"""),"ANNIE CAKE SHOP")</f>
        <v>ANNIE CAKE SHOP</v>
      </c>
      <c r="L6609" s="32">
        <f>IFERROR(__xludf.DUMMYFUNCTION("""COMPUTED_VALUE"""),2.0)</f>
        <v>2</v>
      </c>
      <c r="M6609" s="4" t="str">
        <f>IFERROR(__xludf.DUMMYFUNCTION("""COMPUTED_VALUE"""),"Menew - Linx")</f>
        <v>Menew - Linx</v>
      </c>
      <c r="N6609" s="33">
        <f>IFERROR(__xludf.DUMMYFUNCTION("""COMPUTED_VALUE"""),1.0)</f>
        <v>1</v>
      </c>
      <c r="O6609" s="4" t="str">
        <f>IFERROR(__xludf.DUMMYFUNCTION("""COMPUTED_VALUE"""),"Menew - Linx")</f>
        <v>Menew - Linx</v>
      </c>
      <c r="P6609" s="33">
        <f>IFERROR(__xludf.DUMMYFUNCTION("""COMPUTED_VALUE"""),1.0)</f>
        <v>1</v>
      </c>
      <c r="Q6609" s="4" t="str">
        <f>IFERROR(__xludf.DUMMYFUNCTION("""COMPUTED_VALUE"""),"Menew - Linx")</f>
        <v>Menew - Linx</v>
      </c>
      <c r="R6609" s="33">
        <f>IFERROR(__xludf.DUMMYFUNCTION("""COMPUTED_VALUE"""),1.0)</f>
        <v>1</v>
      </c>
      <c r="S6609" s="4" t="str">
        <f>IFERROR(__xludf.DUMMYFUNCTION("""COMPUTED_VALUE"""),"Menew - Linx")</f>
        <v>Menew - Linx</v>
      </c>
      <c r="T6609" s="33">
        <f>IFERROR(__xludf.DUMMYFUNCTION("""COMPUTED_VALUE"""),1.0)</f>
        <v>1</v>
      </c>
      <c r="U6609" s="4" t="str">
        <f>IFERROR(__xludf.DUMMYFUNCTION("""COMPUTED_VALUE"""),"Menew - Linx")</f>
        <v>Menew - Linx</v>
      </c>
      <c r="V6609" s="33">
        <f>IFERROR(__xludf.DUMMYFUNCTION("""COMPUTED_VALUE"""),1.0)</f>
        <v>1</v>
      </c>
      <c r="W6609" s="4" t="str">
        <f>IFERROR(__xludf.DUMMYFUNCTION("""COMPUTED_VALUE"""),"Menew - Linx")</f>
        <v>Menew - Linx</v>
      </c>
      <c r="X6609" s="33">
        <f>IFERROR(__xludf.DUMMYFUNCTION("""COMPUTED_VALUE"""),0.5)</f>
        <v>0.5</v>
      </c>
    </row>
    <row r="6610">
      <c r="K6610" s="4" t="str">
        <f>IFERROR(__xludf.DUMMYFUNCTION("""COMPUTED_VALUE"""),"APARTAMENTO CLANDESTINO")</f>
        <v>APARTAMENTO CLANDESTINO</v>
      </c>
      <c r="L6610" s="32">
        <f>IFERROR(__xludf.DUMMYFUNCTION("""COMPUTED_VALUE"""),2.0)</f>
        <v>2</v>
      </c>
      <c r="M6610" s="4" t="str">
        <f>IFERROR(__xludf.DUMMYFUNCTION("""COMPUTED_VALUE"""),"Netcontroll Xmenu")</f>
        <v>Netcontroll Xmenu</v>
      </c>
      <c r="N6610" s="33">
        <f>IFERROR(__xludf.DUMMYFUNCTION("""COMPUTED_VALUE"""),1.0)</f>
        <v>1</v>
      </c>
      <c r="O6610" s="4" t="str">
        <f>IFERROR(__xludf.DUMMYFUNCTION("""COMPUTED_VALUE"""),"Netcontroll Xmenu")</f>
        <v>Netcontroll Xmenu</v>
      </c>
      <c r="P6610" s="33">
        <f>IFERROR(__xludf.DUMMYFUNCTION("""COMPUTED_VALUE"""),1.0)</f>
        <v>1</v>
      </c>
      <c r="Q6610" s="4" t="str">
        <f>IFERROR(__xludf.DUMMYFUNCTION("""COMPUTED_VALUE"""),"Netcontroll Xmenu")</f>
        <v>Netcontroll Xmenu</v>
      </c>
      <c r="R6610" s="33">
        <f>IFERROR(__xludf.DUMMYFUNCTION("""COMPUTED_VALUE"""),1.0)</f>
        <v>1</v>
      </c>
      <c r="S6610" s="4" t="str">
        <f>IFERROR(__xludf.DUMMYFUNCTION("""COMPUTED_VALUE"""),"Netcontroll Xmenu")</f>
        <v>Netcontroll Xmenu</v>
      </c>
      <c r="T6610" s="33">
        <f>IFERROR(__xludf.DUMMYFUNCTION("""COMPUTED_VALUE"""),1.0)</f>
        <v>1</v>
      </c>
      <c r="U6610" s="4" t="str">
        <f>IFERROR(__xludf.DUMMYFUNCTION("""COMPUTED_VALUE"""),"Netcontroll Xmenu")</f>
        <v>Netcontroll Xmenu</v>
      </c>
      <c r="V6610" s="33">
        <f>IFERROR(__xludf.DUMMYFUNCTION("""COMPUTED_VALUE"""),1.0)</f>
        <v>1</v>
      </c>
      <c r="W6610" s="4" t="str">
        <f>IFERROR(__xludf.DUMMYFUNCTION("""COMPUTED_VALUE"""),"Netcontroll Xmenu")</f>
        <v>Netcontroll Xmenu</v>
      </c>
      <c r="X6610" s="33">
        <f>IFERROR(__xludf.DUMMYFUNCTION("""COMPUTED_VALUE"""),1.0)</f>
        <v>1</v>
      </c>
    </row>
    <row r="6611">
      <c r="K6611" s="4" t="str">
        <f>IFERROR(__xludf.DUMMYFUNCTION("""COMPUTED_VALUE"""),"ARABADS")</f>
        <v>ARABADS</v>
      </c>
      <c r="L6611" s="32">
        <f>IFERROR(__xludf.DUMMYFUNCTION("""COMPUTED_VALUE"""),2.0)</f>
        <v>2</v>
      </c>
      <c r="M6611" s="4" t="str">
        <f>IFERROR(__xludf.DUMMYFUNCTION("""COMPUTED_VALUE"""),"Cardápio Web")</f>
        <v>Cardápio Web</v>
      </c>
      <c r="N6611" s="33">
        <f>IFERROR(__xludf.DUMMYFUNCTION("""COMPUTED_VALUE"""),0.5)</f>
        <v>0.5</v>
      </c>
      <c r="O6611" s="4" t="str">
        <f>IFERROR(__xludf.DUMMYFUNCTION("""COMPUTED_VALUE"""),"Cardápio Web")</f>
        <v>Cardápio Web</v>
      </c>
      <c r="P6611" s="33">
        <f>IFERROR(__xludf.DUMMYFUNCTION("""COMPUTED_VALUE"""),0.5)</f>
        <v>0.5</v>
      </c>
      <c r="Q6611" s="4" t="str">
        <f>IFERROR(__xludf.DUMMYFUNCTION("""COMPUTED_VALUE"""),"Cardápio Web")</f>
        <v>Cardápio Web</v>
      </c>
      <c r="R6611" s="33">
        <f>IFERROR(__xludf.DUMMYFUNCTION("""COMPUTED_VALUE"""),0.5)</f>
        <v>0.5</v>
      </c>
      <c r="S6611" s="4" t="str">
        <f>IFERROR(__xludf.DUMMYFUNCTION("""COMPUTED_VALUE"""),"Cardápio Web")</f>
        <v>Cardápio Web</v>
      </c>
      <c r="T6611" s="33">
        <f>IFERROR(__xludf.DUMMYFUNCTION("""COMPUTED_VALUE"""),0.5)</f>
        <v>0.5</v>
      </c>
      <c r="U6611" s="4" t="str">
        <f>IFERROR(__xludf.DUMMYFUNCTION("""COMPUTED_VALUE"""),"Cardápio Web")</f>
        <v>Cardápio Web</v>
      </c>
      <c r="V6611" s="33">
        <f>IFERROR(__xludf.DUMMYFUNCTION("""COMPUTED_VALUE"""),0.5)</f>
        <v>0.5</v>
      </c>
      <c r="W6611" s="4" t="str">
        <f>IFERROR(__xludf.DUMMYFUNCTION("""COMPUTED_VALUE"""),"Cardápio Web")</f>
        <v>Cardápio Web</v>
      </c>
      <c r="X6611" s="33">
        <f>IFERROR(__xludf.DUMMYFUNCTION("""COMPUTED_VALUE"""),0.5)</f>
        <v>0.5</v>
      </c>
    </row>
    <row r="6612">
      <c r="K6612" s="4" t="str">
        <f>IFERROR(__xludf.DUMMYFUNCTION("""COMPUTED_VALUE"""),"ARIGA FOOD")</f>
        <v>ARIGA FOOD</v>
      </c>
      <c r="L6612" s="32">
        <f>IFERROR(__xludf.DUMMYFUNCTION("""COMPUTED_VALUE"""),2.0)</f>
        <v>2</v>
      </c>
      <c r="M6612" s="4" t="str">
        <f>IFERROR(__xludf.DUMMYFUNCTION("""COMPUTED_VALUE"""),"Ncr")</f>
        <v>Ncr</v>
      </c>
      <c r="N6612" s="33">
        <f>IFERROR(__xludf.DUMMYFUNCTION("""COMPUTED_VALUE"""),1.0)</f>
        <v>1</v>
      </c>
      <c r="O6612" s="4" t="str">
        <f>IFERROR(__xludf.DUMMYFUNCTION("""COMPUTED_VALUE"""),"Ncr")</f>
        <v>Ncr</v>
      </c>
      <c r="P6612" s="33">
        <f>IFERROR(__xludf.DUMMYFUNCTION("""COMPUTED_VALUE"""),1.0)</f>
        <v>1</v>
      </c>
      <c r="Q6612" s="4" t="str">
        <f>IFERROR(__xludf.DUMMYFUNCTION("""COMPUTED_VALUE"""),"Ncr")</f>
        <v>Ncr</v>
      </c>
      <c r="R6612" s="33">
        <f>IFERROR(__xludf.DUMMYFUNCTION("""COMPUTED_VALUE"""),1.0)</f>
        <v>1</v>
      </c>
      <c r="S6612" s="4" t="str">
        <f>IFERROR(__xludf.DUMMYFUNCTION("""COMPUTED_VALUE"""),"Ncr")</f>
        <v>Ncr</v>
      </c>
      <c r="T6612" s="33">
        <f>IFERROR(__xludf.DUMMYFUNCTION("""COMPUTED_VALUE"""),1.0)</f>
        <v>1</v>
      </c>
      <c r="U6612" s="4" t="str">
        <f>IFERROR(__xludf.DUMMYFUNCTION("""COMPUTED_VALUE"""),"Ncr")</f>
        <v>Ncr</v>
      </c>
      <c r="V6612" s="33">
        <f>IFERROR(__xludf.DUMMYFUNCTION("""COMPUTED_VALUE"""),1.0)</f>
        <v>1</v>
      </c>
      <c r="W6612" s="4" t="str">
        <f>IFERROR(__xludf.DUMMYFUNCTION("""COMPUTED_VALUE"""),"Ncr")</f>
        <v>Ncr</v>
      </c>
      <c r="X6612" s="33">
        <f>IFERROR(__xludf.DUMMYFUNCTION("""COMPUTED_VALUE"""),1.0)</f>
        <v>1</v>
      </c>
    </row>
    <row r="6613">
      <c r="K6613" s="4" t="str">
        <f>IFERROR(__xludf.DUMMYFUNCTION("""COMPUTED_VALUE"""),"ARMAZEM BELEM")</f>
        <v>ARMAZEM BELEM</v>
      </c>
      <c r="L6613" s="32">
        <f>IFERROR(__xludf.DUMMYFUNCTION("""COMPUTED_VALUE"""),2.0)</f>
        <v>2</v>
      </c>
      <c r="M6613" s="4" t="str">
        <f>IFERROR(__xludf.DUMMYFUNCTION("""COMPUTED_VALUE"""),"Cloudfy")</f>
        <v>Cloudfy</v>
      </c>
      <c r="N6613" s="33">
        <f>IFERROR(__xludf.DUMMYFUNCTION("""COMPUTED_VALUE"""),0.5)</f>
        <v>0.5</v>
      </c>
      <c r="O6613" s="4" t="str">
        <f>IFERROR(__xludf.DUMMYFUNCTION("""COMPUTED_VALUE"""),"Cloudfy")</f>
        <v>Cloudfy</v>
      </c>
      <c r="P6613" s="33">
        <f>IFERROR(__xludf.DUMMYFUNCTION("""COMPUTED_VALUE"""),0.5)</f>
        <v>0.5</v>
      </c>
      <c r="Q6613" s="4" t="str">
        <f>IFERROR(__xludf.DUMMYFUNCTION("""COMPUTED_VALUE"""),"Cloudfy")</f>
        <v>Cloudfy</v>
      </c>
      <c r="R6613" s="33">
        <f>IFERROR(__xludf.DUMMYFUNCTION("""COMPUTED_VALUE"""),0.5)</f>
        <v>0.5</v>
      </c>
      <c r="S6613" s="4" t="str">
        <f>IFERROR(__xludf.DUMMYFUNCTION("""COMPUTED_VALUE"""),"Cloudfy")</f>
        <v>Cloudfy</v>
      </c>
      <c r="T6613" s="33">
        <f>IFERROR(__xludf.DUMMYFUNCTION("""COMPUTED_VALUE"""),0.5)</f>
        <v>0.5</v>
      </c>
      <c r="U6613" s="4" t="str">
        <f>IFERROR(__xludf.DUMMYFUNCTION("""COMPUTED_VALUE"""),"Cloudfy")</f>
        <v>Cloudfy</v>
      </c>
      <c r="V6613" s="33">
        <f>IFERROR(__xludf.DUMMYFUNCTION("""COMPUTED_VALUE"""),0.5)</f>
        <v>0.5</v>
      </c>
      <c r="W6613" s="4" t="str">
        <f>IFERROR(__xludf.DUMMYFUNCTION("""COMPUTED_VALUE"""),"Cloudfy")</f>
        <v>Cloudfy</v>
      </c>
      <c r="X6613" s="33">
        <f>IFERROR(__xludf.DUMMYFUNCTION("""COMPUTED_VALUE"""),0.5)</f>
        <v>0.5</v>
      </c>
    </row>
    <row r="6614">
      <c r="K6614" s="4" t="str">
        <f>IFERROR(__xludf.DUMMYFUNCTION("""COMPUTED_VALUE"""),"ARO26 - CONTA PAI")</f>
        <v>ARO26 - CONTA PAI</v>
      </c>
      <c r="L6614" s="32">
        <f>IFERROR(__xludf.DUMMYFUNCTION("""COMPUTED_VALUE"""),2.0)</f>
        <v>2</v>
      </c>
      <c r="M6614" s="4" t="str">
        <f>IFERROR(__xludf.DUMMYFUNCTION("""COMPUTED_VALUE"""),"Saipos Serviços De Software")</f>
        <v>Saipos Serviços De Software</v>
      </c>
      <c r="N6614" s="33">
        <f>IFERROR(__xludf.DUMMYFUNCTION("""COMPUTED_VALUE"""),1.0)</f>
        <v>1</v>
      </c>
      <c r="O6614" s="4" t="str">
        <f>IFERROR(__xludf.DUMMYFUNCTION("""COMPUTED_VALUE"""),"Saipos Serviços De Software")</f>
        <v>Saipos Serviços De Software</v>
      </c>
      <c r="P6614" s="33">
        <f>IFERROR(__xludf.DUMMYFUNCTION("""COMPUTED_VALUE"""),1.0)</f>
        <v>1</v>
      </c>
      <c r="Q6614" s="4" t="str">
        <f>IFERROR(__xludf.DUMMYFUNCTION("""COMPUTED_VALUE"""),"Saipos Serviços De Software")</f>
        <v>Saipos Serviços De Software</v>
      </c>
      <c r="R6614" s="33">
        <f>IFERROR(__xludf.DUMMYFUNCTION("""COMPUTED_VALUE"""),1.0)</f>
        <v>1</v>
      </c>
      <c r="S6614" s="4" t="str">
        <f>IFERROR(__xludf.DUMMYFUNCTION("""COMPUTED_VALUE"""),"Saipos Serviços De Software")</f>
        <v>Saipos Serviços De Software</v>
      </c>
      <c r="T6614" s="33">
        <f>IFERROR(__xludf.DUMMYFUNCTION("""COMPUTED_VALUE"""),1.0)</f>
        <v>1</v>
      </c>
      <c r="U6614" s="4" t="str">
        <f>IFERROR(__xludf.DUMMYFUNCTION("""COMPUTED_VALUE"""),"Saipos Serviços De Software")</f>
        <v>Saipos Serviços De Software</v>
      </c>
      <c r="V6614" s="33">
        <f>IFERROR(__xludf.DUMMYFUNCTION("""COMPUTED_VALUE"""),1.0)</f>
        <v>1</v>
      </c>
      <c r="W6614" s="4" t="str">
        <f>IFERROR(__xludf.DUMMYFUNCTION("""COMPUTED_VALUE"""),"Saipos Serviços De Software")</f>
        <v>Saipos Serviços De Software</v>
      </c>
      <c r="X6614" s="33">
        <f>IFERROR(__xludf.DUMMYFUNCTION("""COMPUTED_VALUE"""),1.0)</f>
        <v>1</v>
      </c>
    </row>
    <row r="6615">
      <c r="K6615" s="4" t="str">
        <f>IFERROR(__xludf.DUMMYFUNCTION("""COMPUTED_VALUE"""),"ART DELLA PASTA")</f>
        <v>ART DELLA PASTA</v>
      </c>
      <c r="L6615" s="32">
        <f>IFERROR(__xludf.DUMMYFUNCTION("""COMPUTED_VALUE"""),2.0)</f>
        <v>2</v>
      </c>
      <c r="M6615" s="4" t="str">
        <f>IFERROR(__xludf.DUMMYFUNCTION("""COMPUTED_VALUE"""),"Garcom Web")</f>
        <v>Garcom Web</v>
      </c>
      <c r="N6615" s="33">
        <f>IFERROR(__xludf.DUMMYFUNCTION("""COMPUTED_VALUE"""),1.0)</f>
        <v>1</v>
      </c>
      <c r="O6615" s="4" t="str">
        <f>IFERROR(__xludf.DUMMYFUNCTION("""COMPUTED_VALUE"""),"Garcom Web")</f>
        <v>Garcom Web</v>
      </c>
      <c r="P6615" s="33">
        <f>IFERROR(__xludf.DUMMYFUNCTION("""COMPUTED_VALUE"""),1.0)</f>
        <v>1</v>
      </c>
      <c r="Q6615" s="4" t="str">
        <f>IFERROR(__xludf.DUMMYFUNCTION("""COMPUTED_VALUE"""),"Garcom Web")</f>
        <v>Garcom Web</v>
      </c>
      <c r="R6615" s="33">
        <f>IFERROR(__xludf.DUMMYFUNCTION("""COMPUTED_VALUE"""),1.0)</f>
        <v>1</v>
      </c>
      <c r="S6615" s="4" t="str">
        <f>IFERROR(__xludf.DUMMYFUNCTION("""COMPUTED_VALUE"""),"Garcom Web")</f>
        <v>Garcom Web</v>
      </c>
      <c r="T6615" s="33">
        <f>IFERROR(__xludf.DUMMYFUNCTION("""COMPUTED_VALUE"""),1.0)</f>
        <v>1</v>
      </c>
      <c r="U6615" s="4" t="str">
        <f>IFERROR(__xludf.DUMMYFUNCTION("""COMPUTED_VALUE"""),"Garcom Web")</f>
        <v>Garcom Web</v>
      </c>
      <c r="V6615" s="33">
        <f>IFERROR(__xludf.DUMMYFUNCTION("""COMPUTED_VALUE"""),1.0)</f>
        <v>1</v>
      </c>
      <c r="W6615" s="4" t="str">
        <f>IFERROR(__xludf.DUMMYFUNCTION("""COMPUTED_VALUE"""),"Garcom Web")</f>
        <v>Garcom Web</v>
      </c>
      <c r="X6615" s="33">
        <f>IFERROR(__xludf.DUMMYFUNCTION("""COMPUTED_VALUE"""),1.0)</f>
        <v>1</v>
      </c>
    </row>
    <row r="6616">
      <c r="K6616" s="4" t="str">
        <f>IFERROR(__xludf.DUMMYFUNCTION("""COMPUTED_VALUE"""),"ART PIZZARIA")</f>
        <v>ART PIZZARIA</v>
      </c>
      <c r="L6616" s="32">
        <f>IFERROR(__xludf.DUMMYFUNCTION("""COMPUTED_VALUE"""),2.0)</f>
        <v>2</v>
      </c>
      <c r="M6616" s="4" t="str">
        <f>IFERROR(__xludf.DUMMYFUNCTION("""COMPUTED_VALUE"""),"Saipos Serviços De Software")</f>
        <v>Saipos Serviços De Software</v>
      </c>
      <c r="N6616" s="33">
        <f>IFERROR(__xludf.DUMMYFUNCTION("""COMPUTED_VALUE"""),1.0)</f>
        <v>1</v>
      </c>
      <c r="O6616" s="4" t="str">
        <f>IFERROR(__xludf.DUMMYFUNCTION("""COMPUTED_VALUE"""),"Saipos Serviços De Software")</f>
        <v>Saipos Serviços De Software</v>
      </c>
      <c r="P6616" s="33">
        <f>IFERROR(__xludf.DUMMYFUNCTION("""COMPUTED_VALUE"""),1.0)</f>
        <v>1</v>
      </c>
      <c r="Q6616" s="4" t="str">
        <f>IFERROR(__xludf.DUMMYFUNCTION("""COMPUTED_VALUE"""),"Saipos Serviços De Software")</f>
        <v>Saipos Serviços De Software</v>
      </c>
      <c r="R6616" s="33">
        <f>IFERROR(__xludf.DUMMYFUNCTION("""COMPUTED_VALUE"""),1.0)</f>
        <v>1</v>
      </c>
      <c r="S6616" s="4" t="str">
        <f>IFERROR(__xludf.DUMMYFUNCTION("""COMPUTED_VALUE"""),"Saipos Serviços De Software")</f>
        <v>Saipos Serviços De Software</v>
      </c>
      <c r="T6616" s="33">
        <f>IFERROR(__xludf.DUMMYFUNCTION("""COMPUTED_VALUE"""),1.0)</f>
        <v>1</v>
      </c>
      <c r="U6616" s="4" t="str">
        <f>IFERROR(__xludf.DUMMYFUNCTION("""COMPUTED_VALUE"""),"Saipos Serviços De Software")</f>
        <v>Saipos Serviços De Software</v>
      </c>
      <c r="V6616" s="33">
        <f>IFERROR(__xludf.DUMMYFUNCTION("""COMPUTED_VALUE"""),1.0)</f>
        <v>1</v>
      </c>
      <c r="W6616" s="4" t="str">
        <f>IFERROR(__xludf.DUMMYFUNCTION("""COMPUTED_VALUE"""),"Saipos Serviços De Software")</f>
        <v>Saipos Serviços De Software</v>
      </c>
      <c r="X6616" s="33">
        <f>IFERROR(__xludf.DUMMYFUNCTION("""COMPUTED_VALUE"""),1.0)</f>
        <v>1</v>
      </c>
    </row>
    <row r="6617">
      <c r="K6617" s="4" t="str">
        <f>IFERROR(__xludf.DUMMYFUNCTION("""COMPUTED_VALUE"""),"ARTESANO PIZZA BAR FLORIPA - CONTA MARCA")</f>
        <v>ARTESANO PIZZA BAR FLORIPA - CONTA MARCA</v>
      </c>
      <c r="L6617" s="32">
        <f>IFERROR(__xludf.DUMMYFUNCTION("""COMPUTED_VALUE"""),2.0)</f>
        <v>2</v>
      </c>
      <c r="M6617" s="4" t="str">
        <f>IFERROR(__xludf.DUMMYFUNCTION("""COMPUTED_VALUE"""),"Totvs Large Enterprise Tecnologia S.a.")</f>
        <v>Totvs Large Enterprise Tecnologia S.a.</v>
      </c>
      <c r="N6617" s="33">
        <f>IFERROR(__xludf.DUMMYFUNCTION("""COMPUTED_VALUE"""),1.0)</f>
        <v>1</v>
      </c>
      <c r="O6617" s="4" t="str">
        <f>IFERROR(__xludf.DUMMYFUNCTION("""COMPUTED_VALUE"""),"Totvs Large Enterprise Tecnologia S.a.")</f>
        <v>Totvs Large Enterprise Tecnologia S.a.</v>
      </c>
      <c r="P6617" s="33">
        <f>IFERROR(__xludf.DUMMYFUNCTION("""COMPUTED_VALUE"""),1.0)</f>
        <v>1</v>
      </c>
      <c r="Q6617" s="4" t="str">
        <f>IFERROR(__xludf.DUMMYFUNCTION("""COMPUTED_VALUE"""),"Totvs Large Enterprise Tecnologia S.a.")</f>
        <v>Totvs Large Enterprise Tecnologia S.a.</v>
      </c>
      <c r="R6617" s="33">
        <f>IFERROR(__xludf.DUMMYFUNCTION("""COMPUTED_VALUE"""),1.0)</f>
        <v>1</v>
      </c>
      <c r="S6617" s="4" t="str">
        <f>IFERROR(__xludf.DUMMYFUNCTION("""COMPUTED_VALUE"""),"Totvs Large Enterprise Tecnologia S.a.")</f>
        <v>Totvs Large Enterprise Tecnologia S.a.</v>
      </c>
      <c r="T6617" s="33">
        <f>IFERROR(__xludf.DUMMYFUNCTION("""COMPUTED_VALUE"""),1.0)</f>
        <v>1</v>
      </c>
      <c r="U6617" s="4" t="str">
        <f>IFERROR(__xludf.DUMMYFUNCTION("""COMPUTED_VALUE"""),"Totvs Large Enterprise Tecnologia S.a.")</f>
        <v>Totvs Large Enterprise Tecnologia S.a.</v>
      </c>
      <c r="V6617" s="33">
        <f>IFERROR(__xludf.DUMMYFUNCTION("""COMPUTED_VALUE"""),1.0)</f>
        <v>1</v>
      </c>
      <c r="W6617" s="4" t="str">
        <f>IFERROR(__xludf.DUMMYFUNCTION("""COMPUTED_VALUE"""),"Totvs Large Enterprise Tecnologia S.a.")</f>
        <v>Totvs Large Enterprise Tecnologia S.a.</v>
      </c>
      <c r="X6617" s="33">
        <f>IFERROR(__xludf.DUMMYFUNCTION("""COMPUTED_VALUE"""),0.5)</f>
        <v>0.5</v>
      </c>
    </row>
    <row r="6618">
      <c r="K6618" s="4" t="str">
        <f>IFERROR(__xludf.DUMMYFUNCTION("""COMPUTED_VALUE"""),"ASGARD BURGUER - CONTA PAI")</f>
        <v>ASGARD BURGUER - CONTA PAI</v>
      </c>
      <c r="L6618" s="32">
        <f>IFERROR(__xludf.DUMMYFUNCTION("""COMPUTED_VALUE"""),2.0)</f>
        <v>2</v>
      </c>
      <c r="M6618" s="4" t="str">
        <f>IFERROR(__xludf.DUMMYFUNCTION("""COMPUTED_VALUE"""),"Saipos Serviços De Software")</f>
        <v>Saipos Serviços De Software</v>
      </c>
      <c r="N6618" s="33">
        <f>IFERROR(__xludf.DUMMYFUNCTION("""COMPUTED_VALUE"""),1.0)</f>
        <v>1</v>
      </c>
      <c r="O6618" s="4" t="str">
        <f>IFERROR(__xludf.DUMMYFUNCTION("""COMPUTED_VALUE"""),"Saipos Serviços De Software")</f>
        <v>Saipos Serviços De Software</v>
      </c>
      <c r="P6618" s="33">
        <f>IFERROR(__xludf.DUMMYFUNCTION("""COMPUTED_VALUE"""),1.0)</f>
        <v>1</v>
      </c>
      <c r="Q6618" s="4" t="str">
        <f>IFERROR(__xludf.DUMMYFUNCTION("""COMPUTED_VALUE"""),"Saipos Serviços De Software")</f>
        <v>Saipos Serviços De Software</v>
      </c>
      <c r="R6618" s="33">
        <f>IFERROR(__xludf.DUMMYFUNCTION("""COMPUTED_VALUE"""),1.0)</f>
        <v>1</v>
      </c>
      <c r="S6618" s="4" t="str">
        <f>IFERROR(__xludf.DUMMYFUNCTION("""COMPUTED_VALUE"""),"Saipos Serviços De Software")</f>
        <v>Saipos Serviços De Software</v>
      </c>
      <c r="T6618" s="33">
        <f>IFERROR(__xludf.DUMMYFUNCTION("""COMPUTED_VALUE"""),1.0)</f>
        <v>1</v>
      </c>
      <c r="U6618" s="4" t="str">
        <f>IFERROR(__xludf.DUMMYFUNCTION("""COMPUTED_VALUE"""),"Saipos Serviços De Software")</f>
        <v>Saipos Serviços De Software</v>
      </c>
      <c r="V6618" s="33">
        <f>IFERROR(__xludf.DUMMYFUNCTION("""COMPUTED_VALUE"""),1.0)</f>
        <v>1</v>
      </c>
      <c r="W6618" s="4" t="str">
        <f>IFERROR(__xludf.DUMMYFUNCTION("""COMPUTED_VALUE"""),"Saipos Serviços De Software")</f>
        <v>Saipos Serviços De Software</v>
      </c>
      <c r="X6618" s="33">
        <f>IFERROR(__xludf.DUMMYFUNCTION("""COMPUTED_VALUE"""),1.0)</f>
        <v>1</v>
      </c>
    </row>
    <row r="6619">
      <c r="K6619" s="4" t="str">
        <f>IFERROR(__xludf.DUMMYFUNCTION("""COMPUTED_VALUE"""),"ASIA EXPRESS - JAPONES E CHINES")</f>
        <v>ASIA EXPRESS - JAPONES E CHINES</v>
      </c>
      <c r="L6619" s="32">
        <f>IFERROR(__xludf.DUMMYFUNCTION("""COMPUTED_VALUE"""),2.0)</f>
        <v>2</v>
      </c>
      <c r="M6619" s="4" t="str">
        <f>IFERROR(__xludf.DUMMYFUNCTION("""COMPUTED_VALUE"""),"Expresso Delivery")</f>
        <v>Expresso Delivery</v>
      </c>
      <c r="N6619" s="33">
        <f>IFERROR(__xludf.DUMMYFUNCTION("""COMPUTED_VALUE"""),1.0)</f>
        <v>1</v>
      </c>
      <c r="O6619" s="4" t="str">
        <f>IFERROR(__xludf.DUMMYFUNCTION("""COMPUTED_VALUE"""),"Expresso Delivery")</f>
        <v>Expresso Delivery</v>
      </c>
      <c r="P6619" s="33">
        <f>IFERROR(__xludf.DUMMYFUNCTION("""COMPUTED_VALUE"""),1.0)</f>
        <v>1</v>
      </c>
      <c r="Q6619" s="4" t="str">
        <f>IFERROR(__xludf.DUMMYFUNCTION("""COMPUTED_VALUE"""),"Expresso Delivery")</f>
        <v>Expresso Delivery</v>
      </c>
      <c r="R6619" s="33">
        <f>IFERROR(__xludf.DUMMYFUNCTION("""COMPUTED_VALUE"""),1.0)</f>
        <v>1</v>
      </c>
      <c r="S6619" s="4" t="str">
        <f>IFERROR(__xludf.DUMMYFUNCTION("""COMPUTED_VALUE"""),"Expresso Delivery")</f>
        <v>Expresso Delivery</v>
      </c>
      <c r="T6619" s="33">
        <f>IFERROR(__xludf.DUMMYFUNCTION("""COMPUTED_VALUE"""),1.0)</f>
        <v>1</v>
      </c>
      <c r="U6619" s="4" t="str">
        <f>IFERROR(__xludf.DUMMYFUNCTION("""COMPUTED_VALUE"""),"Expresso Delivery")</f>
        <v>Expresso Delivery</v>
      </c>
      <c r="V6619" s="33">
        <f>IFERROR(__xludf.DUMMYFUNCTION("""COMPUTED_VALUE"""),1.0)</f>
        <v>1</v>
      </c>
      <c r="W6619" s="4" t="str">
        <f>IFERROR(__xludf.DUMMYFUNCTION("""COMPUTED_VALUE"""),"Expresso Delivery")</f>
        <v>Expresso Delivery</v>
      </c>
      <c r="X6619" s="33">
        <f>IFERROR(__xludf.DUMMYFUNCTION("""COMPUTED_VALUE"""),1.0)</f>
        <v>1</v>
      </c>
    </row>
    <row r="6620">
      <c r="K6620" s="4" t="str">
        <f>IFERROR(__xludf.DUMMYFUNCTION("""COMPUTED_VALUE"""),"ASSUNTA CONTA MARCA")</f>
        <v>ASSUNTA CONTA MARCA</v>
      </c>
      <c r="L6620" s="32">
        <f>IFERROR(__xludf.DUMMYFUNCTION("""COMPUTED_VALUE"""),2.0)</f>
        <v>2</v>
      </c>
      <c r="M6620" s="4" t="str">
        <f>IFERROR(__xludf.DUMMYFUNCTION("""COMPUTED_VALUE"""),"Ncr")</f>
        <v>Ncr</v>
      </c>
      <c r="N6620" s="33">
        <f>IFERROR(__xludf.DUMMYFUNCTION("""COMPUTED_VALUE"""),1.0)</f>
        <v>1</v>
      </c>
      <c r="O6620" s="4" t="str">
        <f>IFERROR(__xludf.DUMMYFUNCTION("""COMPUTED_VALUE"""),"Ncr")</f>
        <v>Ncr</v>
      </c>
      <c r="P6620" s="33">
        <f>IFERROR(__xludf.DUMMYFUNCTION("""COMPUTED_VALUE"""),1.0)</f>
        <v>1</v>
      </c>
      <c r="Q6620" s="4" t="str">
        <f>IFERROR(__xludf.DUMMYFUNCTION("""COMPUTED_VALUE"""),"Ncr")</f>
        <v>Ncr</v>
      </c>
      <c r="R6620" s="33">
        <f>IFERROR(__xludf.DUMMYFUNCTION("""COMPUTED_VALUE"""),1.0)</f>
        <v>1</v>
      </c>
      <c r="S6620" s="4" t="str">
        <f>IFERROR(__xludf.DUMMYFUNCTION("""COMPUTED_VALUE"""),"Ncr")</f>
        <v>Ncr</v>
      </c>
      <c r="T6620" s="33">
        <f>IFERROR(__xludf.DUMMYFUNCTION("""COMPUTED_VALUE"""),1.0)</f>
        <v>1</v>
      </c>
      <c r="U6620" s="4" t="str">
        <f>IFERROR(__xludf.DUMMYFUNCTION("""COMPUTED_VALUE"""),"Ncr")</f>
        <v>Ncr</v>
      </c>
      <c r="V6620" s="33">
        <f>IFERROR(__xludf.DUMMYFUNCTION("""COMPUTED_VALUE"""),1.0)</f>
        <v>1</v>
      </c>
      <c r="W6620" s="4" t="str">
        <f>IFERROR(__xludf.DUMMYFUNCTION("""COMPUTED_VALUE"""),"Ncr")</f>
        <v>Ncr</v>
      </c>
      <c r="X6620" s="33">
        <f>IFERROR(__xludf.DUMMYFUNCTION("""COMPUTED_VALUE"""),1.0)</f>
        <v>1</v>
      </c>
    </row>
    <row r="6621">
      <c r="K6621" s="4" t="str">
        <f>IFERROR(__xludf.DUMMYFUNCTION("""COMPUTED_VALUE"""),"MERCALE - CONTA GRUPO")</f>
        <v>MERCALE - CONTA GRUPO</v>
      </c>
      <c r="L6621" s="32">
        <f>IFERROR(__xludf.DUMMYFUNCTION("""COMPUTED_VALUE"""),2.0)</f>
        <v>2</v>
      </c>
      <c r="M6621" s="4" t="str">
        <f>IFERROR(__xludf.DUMMYFUNCTION("""COMPUTED_VALUE"""),"null")</f>
        <v>null</v>
      </c>
      <c r="N6621" s="33">
        <f>IFERROR(__xludf.DUMMYFUNCTION("""COMPUTED_VALUE"""),0.5)</f>
        <v>0.5</v>
      </c>
      <c r="O6621" s="4" t="str">
        <f>IFERROR(__xludf.DUMMYFUNCTION("""COMPUTED_VALUE"""),"null")</f>
        <v>null</v>
      </c>
      <c r="P6621" s="33">
        <f>IFERROR(__xludf.DUMMYFUNCTION("""COMPUTED_VALUE"""),0.5)</f>
        <v>0.5</v>
      </c>
      <c r="Q6621" s="4" t="str">
        <f>IFERROR(__xludf.DUMMYFUNCTION("""COMPUTED_VALUE"""),"N/A (Not found)")</f>
        <v>N/A (Not found)</v>
      </c>
      <c r="R6621" s="33">
        <f>IFERROR(__xludf.DUMMYFUNCTION("""COMPUTED_VALUE"""),1.0)</f>
        <v>1</v>
      </c>
      <c r="S6621" s="4" t="str">
        <f>IFERROR(__xludf.DUMMYFUNCTION("""COMPUTED_VALUE"""),"N/A (Not found)")</f>
        <v>N/A (Not found)</v>
      </c>
      <c r="T6621" s="33">
        <f>IFERROR(__xludf.DUMMYFUNCTION("""COMPUTED_VALUE"""),1.0)</f>
        <v>1</v>
      </c>
      <c r="U6621" s="4" t="str">
        <f>IFERROR(__xludf.DUMMYFUNCTION("""COMPUTED_VALUE"""),"N/A (Not found)")</f>
        <v>N/A (Not found)</v>
      </c>
      <c r="V6621" s="33">
        <f>IFERROR(__xludf.DUMMYFUNCTION("""COMPUTED_VALUE"""),1.0)</f>
        <v>1</v>
      </c>
      <c r="W6621" s="4" t="str">
        <f>IFERROR(__xludf.DUMMYFUNCTION("""COMPUTED_VALUE"""),"N/A (Not found)")</f>
        <v>N/A (Not found)</v>
      </c>
      <c r="X6621" s="33">
        <f>IFERROR(__xludf.DUMMYFUNCTION("""COMPUTED_VALUE"""),1.0)</f>
        <v>1</v>
      </c>
    </row>
    <row r="6622">
      <c r="K6622" s="4" t="str">
        <f>IFERROR(__xludf.DUMMYFUNCTION("""COMPUTED_VALUE"""),"ATELIER DAS GOSTOSURAS")</f>
        <v>ATELIER DAS GOSTOSURAS</v>
      </c>
      <c r="L6622" s="32">
        <f>IFERROR(__xludf.DUMMYFUNCTION("""COMPUTED_VALUE"""),2.0)</f>
        <v>2</v>
      </c>
      <c r="M6622" s="4" t="str">
        <f>IFERROR(__xludf.DUMMYFUNCTION("""COMPUTED_VALUE"""),"Saipos Serviços De Software")</f>
        <v>Saipos Serviços De Software</v>
      </c>
      <c r="N6622" s="33">
        <f>IFERROR(__xludf.DUMMYFUNCTION("""COMPUTED_VALUE"""),1.0)</f>
        <v>1</v>
      </c>
      <c r="O6622" s="4" t="str">
        <f>IFERROR(__xludf.DUMMYFUNCTION("""COMPUTED_VALUE"""),"Saipos Serviços De Software")</f>
        <v>Saipos Serviços De Software</v>
      </c>
      <c r="P6622" s="33">
        <f>IFERROR(__xludf.DUMMYFUNCTION("""COMPUTED_VALUE"""),1.0)</f>
        <v>1</v>
      </c>
      <c r="Q6622" s="4" t="str">
        <f>IFERROR(__xludf.DUMMYFUNCTION("""COMPUTED_VALUE"""),"Saipos Serviços De Software")</f>
        <v>Saipos Serviços De Software</v>
      </c>
      <c r="R6622" s="33">
        <f>IFERROR(__xludf.DUMMYFUNCTION("""COMPUTED_VALUE"""),0.5)</f>
        <v>0.5</v>
      </c>
      <c r="S6622" s="4" t="str">
        <f>IFERROR(__xludf.DUMMYFUNCTION("""COMPUTED_VALUE"""),"Saipos Serviços De Software")</f>
        <v>Saipos Serviços De Software</v>
      </c>
      <c r="T6622" s="33">
        <f>IFERROR(__xludf.DUMMYFUNCTION("""COMPUTED_VALUE"""),0.5)</f>
        <v>0.5</v>
      </c>
      <c r="U6622" s="4" t="str">
        <f>IFERROR(__xludf.DUMMYFUNCTION("""COMPUTED_VALUE"""),"Saipos Serviços De Software")</f>
        <v>Saipos Serviços De Software</v>
      </c>
      <c r="V6622" s="33">
        <f>IFERROR(__xludf.DUMMYFUNCTION("""COMPUTED_VALUE"""),1.0)</f>
        <v>1</v>
      </c>
      <c r="W6622" s="4" t="str">
        <f>IFERROR(__xludf.DUMMYFUNCTION("""COMPUTED_VALUE"""),"Saipos Serviços De Software")</f>
        <v>Saipos Serviços De Software</v>
      </c>
      <c r="X6622" s="33">
        <f>IFERROR(__xludf.DUMMYFUNCTION("""COMPUTED_VALUE"""),0.5)</f>
        <v>0.5</v>
      </c>
    </row>
    <row r="6623">
      <c r="K6623" s="4" t="str">
        <f>IFERROR(__xludf.DUMMYFUNCTION("""COMPUTED_VALUE"""),"ATITUDE FARMA - CONTA MARCA")</f>
        <v>ATITUDE FARMA - CONTA MARCA</v>
      </c>
      <c r="L6623" s="32">
        <f>IFERROR(__xludf.DUMMYFUNCTION("""COMPUTED_VALUE"""),2.0)</f>
        <v>2</v>
      </c>
      <c r="M6623" s="4" t="str">
        <f>IFERROR(__xludf.DUMMYFUNCTION("""COMPUTED_VALUE"""),"N/A (Not found)")</f>
        <v>N/A (Not found)</v>
      </c>
      <c r="N6623" s="33">
        <f>IFERROR(__xludf.DUMMYFUNCTION("""COMPUTED_VALUE"""),1.0)</f>
        <v>1</v>
      </c>
      <c r="O6623" s="4" t="str">
        <f>IFERROR(__xludf.DUMMYFUNCTION("""COMPUTED_VALUE"""),"N/A (Not found)")</f>
        <v>N/A (Not found)</v>
      </c>
      <c r="P6623" s="33">
        <f>IFERROR(__xludf.DUMMYFUNCTION("""COMPUTED_VALUE"""),1.0)</f>
        <v>1</v>
      </c>
      <c r="Q6623" s="4" t="str">
        <f>IFERROR(__xludf.DUMMYFUNCTION("""COMPUTED_VALUE"""),"N/A (Not found)")</f>
        <v>N/A (Not found)</v>
      </c>
      <c r="R6623" s="33">
        <f>IFERROR(__xludf.DUMMYFUNCTION("""COMPUTED_VALUE"""),1.0)</f>
        <v>1</v>
      </c>
      <c r="S6623" s="4" t="str">
        <f>IFERROR(__xludf.DUMMYFUNCTION("""COMPUTED_VALUE"""),"N/A (Not found)")</f>
        <v>N/A (Not found)</v>
      </c>
      <c r="T6623" s="33">
        <f>IFERROR(__xludf.DUMMYFUNCTION("""COMPUTED_VALUE"""),1.0)</f>
        <v>1</v>
      </c>
      <c r="U6623" s="4" t="str">
        <f>IFERROR(__xludf.DUMMYFUNCTION("""COMPUTED_VALUE"""),"N/A (Not found)")</f>
        <v>N/A (Not found)</v>
      </c>
      <c r="V6623" s="33">
        <f>IFERROR(__xludf.DUMMYFUNCTION("""COMPUTED_VALUE"""),1.0)</f>
        <v>1</v>
      </c>
      <c r="W6623" s="4" t="str">
        <f>IFERROR(__xludf.DUMMYFUNCTION("""COMPUTED_VALUE"""),"N/A (Not found)")</f>
        <v>N/A (Not found)</v>
      </c>
      <c r="X6623" s="33">
        <f>IFERROR(__xludf.DUMMYFUNCTION("""COMPUTED_VALUE"""),1.0)</f>
        <v>1</v>
      </c>
    </row>
    <row r="6624">
      <c r="K6624" s="4" t="str">
        <f>IFERROR(__xludf.DUMMYFUNCTION("""COMPUTED_VALUE"""),"ATITUDE FARMA - LOJAS DIAS - CONTA MARCA")</f>
        <v>ATITUDE FARMA - LOJAS DIAS - CONTA MARCA</v>
      </c>
      <c r="L6624" s="32">
        <f>IFERROR(__xludf.DUMMYFUNCTION("""COMPUTED_VALUE"""),2.0)</f>
        <v>2</v>
      </c>
      <c r="M6624" s="4" t="str">
        <f>IFERROR(__xludf.DUMMYFUNCTION("""COMPUTED_VALUE"""),"N/A (Not found)")</f>
        <v>N/A (Not found)</v>
      </c>
      <c r="N6624" s="33">
        <f>IFERROR(__xludf.DUMMYFUNCTION("""COMPUTED_VALUE"""),1.0)</f>
        <v>1</v>
      </c>
      <c r="O6624" s="4" t="str">
        <f>IFERROR(__xludf.DUMMYFUNCTION("""COMPUTED_VALUE"""),"N/A (Not found)")</f>
        <v>N/A (Not found)</v>
      </c>
      <c r="P6624" s="33">
        <f>IFERROR(__xludf.DUMMYFUNCTION("""COMPUTED_VALUE"""),1.0)</f>
        <v>1</v>
      </c>
      <c r="Q6624" s="4" t="str">
        <f>IFERROR(__xludf.DUMMYFUNCTION("""COMPUTED_VALUE"""),"N/A (Not found)")</f>
        <v>N/A (Not found)</v>
      </c>
      <c r="R6624" s="33">
        <f>IFERROR(__xludf.DUMMYFUNCTION("""COMPUTED_VALUE"""),1.0)</f>
        <v>1</v>
      </c>
      <c r="S6624" s="4" t="str">
        <f>IFERROR(__xludf.DUMMYFUNCTION("""COMPUTED_VALUE"""),"N/A (Not found)")</f>
        <v>N/A (Not found)</v>
      </c>
      <c r="T6624" s="33">
        <f>IFERROR(__xludf.DUMMYFUNCTION("""COMPUTED_VALUE"""),1.0)</f>
        <v>1</v>
      </c>
      <c r="U6624" s="4" t="str">
        <f>IFERROR(__xludf.DUMMYFUNCTION("""COMPUTED_VALUE"""),"N/A (Not found)")</f>
        <v>N/A (Not found)</v>
      </c>
      <c r="V6624" s="33">
        <f>IFERROR(__xludf.DUMMYFUNCTION("""COMPUTED_VALUE"""),1.0)</f>
        <v>1</v>
      </c>
      <c r="W6624" s="4" t="str">
        <f>IFERROR(__xludf.DUMMYFUNCTION("""COMPUTED_VALUE"""),"N/A (Not found)")</f>
        <v>N/A (Not found)</v>
      </c>
      <c r="X6624" s="33">
        <f>IFERROR(__xludf.DUMMYFUNCTION("""COMPUTED_VALUE"""),1.0)</f>
        <v>1</v>
      </c>
    </row>
    <row r="6625">
      <c r="K6625" s="4" t="str">
        <f>IFERROR(__xludf.DUMMYFUNCTION("""COMPUTED_VALUE"""),"ATLANTICA PHARMA - LOJA MONGAGUA - CONTA MARCA")</f>
        <v>ATLANTICA PHARMA - LOJA MONGAGUA - CONTA MARCA</v>
      </c>
      <c r="L6625" s="32">
        <f>IFERROR(__xludf.DUMMYFUNCTION("""COMPUTED_VALUE"""),2.0)</f>
        <v>2</v>
      </c>
      <c r="M6625" s="4" t="str">
        <f>IFERROR(__xludf.DUMMYFUNCTION("""COMPUTED_VALUE"""),"N/A (Not found)")</f>
        <v>N/A (Not found)</v>
      </c>
      <c r="N6625" s="33">
        <f>IFERROR(__xludf.DUMMYFUNCTION("""COMPUTED_VALUE"""),1.0)</f>
        <v>1</v>
      </c>
      <c r="O6625" s="4" t="str">
        <f>IFERROR(__xludf.DUMMYFUNCTION("""COMPUTED_VALUE"""),"N/A (Not found)")</f>
        <v>N/A (Not found)</v>
      </c>
      <c r="P6625" s="33">
        <f>IFERROR(__xludf.DUMMYFUNCTION("""COMPUTED_VALUE"""),1.0)</f>
        <v>1</v>
      </c>
      <c r="Q6625" s="4" t="str">
        <f>IFERROR(__xludf.DUMMYFUNCTION("""COMPUTED_VALUE"""),"N/A (Not found)")</f>
        <v>N/A (Not found)</v>
      </c>
      <c r="R6625" s="33">
        <f>IFERROR(__xludf.DUMMYFUNCTION("""COMPUTED_VALUE"""),1.0)</f>
        <v>1</v>
      </c>
      <c r="S6625" s="4" t="str">
        <f>IFERROR(__xludf.DUMMYFUNCTION("""COMPUTED_VALUE"""),"N/A (Not found)")</f>
        <v>N/A (Not found)</v>
      </c>
      <c r="T6625" s="33">
        <f>IFERROR(__xludf.DUMMYFUNCTION("""COMPUTED_VALUE"""),1.0)</f>
        <v>1</v>
      </c>
      <c r="U6625" s="4" t="str">
        <f>IFERROR(__xludf.DUMMYFUNCTION("""COMPUTED_VALUE"""),"N/A (Not found)")</f>
        <v>N/A (Not found)</v>
      </c>
      <c r="V6625" s="33">
        <f>IFERROR(__xludf.DUMMYFUNCTION("""COMPUTED_VALUE"""),1.0)</f>
        <v>1</v>
      </c>
      <c r="W6625" s="4" t="str">
        <f>IFERROR(__xludf.DUMMYFUNCTION("""COMPUTED_VALUE"""),"N/A (Not found)")</f>
        <v>N/A (Not found)</v>
      </c>
      <c r="X6625" s="33">
        <f>IFERROR(__xludf.DUMMYFUNCTION("""COMPUTED_VALUE"""),1.0)</f>
        <v>1</v>
      </c>
    </row>
    <row r="6626">
      <c r="K6626" s="4" t="str">
        <f>IFERROR(__xludf.DUMMYFUNCTION("""COMPUTED_VALUE"""),"ATLANTIS BURGUER - CONTA PAI")</f>
        <v>ATLANTIS BURGUER - CONTA PAI</v>
      </c>
      <c r="L6626" s="32">
        <f>IFERROR(__xludf.DUMMYFUNCTION("""COMPUTED_VALUE"""),2.0)</f>
        <v>2</v>
      </c>
      <c r="M6626" s="4" t="str">
        <f>IFERROR(__xludf.DUMMYFUNCTION("""COMPUTED_VALUE"""),"Saipos Serviços De Software")</f>
        <v>Saipos Serviços De Software</v>
      </c>
      <c r="N6626" s="33">
        <f>IFERROR(__xludf.DUMMYFUNCTION("""COMPUTED_VALUE"""),1.0)</f>
        <v>1</v>
      </c>
      <c r="O6626" s="4" t="str">
        <f>IFERROR(__xludf.DUMMYFUNCTION("""COMPUTED_VALUE"""),"null")</f>
        <v>null</v>
      </c>
      <c r="P6626" s="33">
        <f>IFERROR(__xludf.DUMMYFUNCTION("""COMPUTED_VALUE"""),0.5)</f>
        <v>0.5</v>
      </c>
      <c r="Q6626" s="4" t="str">
        <f>IFERROR(__xludf.DUMMYFUNCTION("""COMPUTED_VALUE"""),"null")</f>
        <v>null</v>
      </c>
      <c r="R6626" s="33">
        <f>IFERROR(__xludf.DUMMYFUNCTION("""COMPUTED_VALUE"""),0.5)</f>
        <v>0.5</v>
      </c>
      <c r="S6626" s="4" t="str">
        <f>IFERROR(__xludf.DUMMYFUNCTION("""COMPUTED_VALUE"""),"null")</f>
        <v>null</v>
      </c>
      <c r="T6626" s="33">
        <f>IFERROR(__xludf.DUMMYFUNCTION("""COMPUTED_VALUE"""),1.0)</f>
        <v>1</v>
      </c>
      <c r="U6626" s="4" t="str">
        <f>IFERROR(__xludf.DUMMYFUNCTION("""COMPUTED_VALUE"""),"null")</f>
        <v>null</v>
      </c>
      <c r="V6626" s="33">
        <f>IFERROR(__xludf.DUMMYFUNCTION("""COMPUTED_VALUE"""),1.0)</f>
        <v>1</v>
      </c>
      <c r="W6626" s="4" t="str">
        <f>IFERROR(__xludf.DUMMYFUNCTION("""COMPUTED_VALUE"""),"null")</f>
        <v>null</v>
      </c>
      <c r="X6626" s="33">
        <f>IFERROR(__xludf.DUMMYFUNCTION("""COMPUTED_VALUE"""),1.0)</f>
        <v>1</v>
      </c>
    </row>
    <row r="6627">
      <c r="K6627" s="4" t="str">
        <f>IFERROR(__xludf.DUMMYFUNCTION("""COMPUTED_VALUE"""),"ATOMIC BURGER")</f>
        <v>ATOMIC BURGER</v>
      </c>
      <c r="L6627" s="32">
        <f>IFERROR(__xludf.DUMMYFUNCTION("""COMPUTED_VALUE"""),2.0)</f>
        <v>2</v>
      </c>
      <c r="M6627" s="4" t="str">
        <f>IFERROR(__xludf.DUMMYFUNCTION("""COMPUTED_VALUE"""),"Saipos Serviços De Software")</f>
        <v>Saipos Serviços De Software</v>
      </c>
      <c r="N6627" s="33">
        <f>IFERROR(__xludf.DUMMYFUNCTION("""COMPUTED_VALUE"""),1.0)</f>
        <v>1</v>
      </c>
      <c r="O6627" s="4" t="str">
        <f>IFERROR(__xludf.DUMMYFUNCTION("""COMPUTED_VALUE"""),"Saipos Serviços De Software")</f>
        <v>Saipos Serviços De Software</v>
      </c>
      <c r="P6627" s="33">
        <f>IFERROR(__xludf.DUMMYFUNCTION("""COMPUTED_VALUE"""),1.0)</f>
        <v>1</v>
      </c>
      <c r="Q6627" s="4" t="str">
        <f>IFERROR(__xludf.DUMMYFUNCTION("""COMPUTED_VALUE"""),"Saipos Serviços De Software")</f>
        <v>Saipos Serviços De Software</v>
      </c>
      <c r="R6627" s="33">
        <f>IFERROR(__xludf.DUMMYFUNCTION("""COMPUTED_VALUE"""),1.0)</f>
        <v>1</v>
      </c>
      <c r="S6627" s="4" t="str">
        <f>IFERROR(__xludf.DUMMYFUNCTION("""COMPUTED_VALUE"""),"Saipos Serviços De Software")</f>
        <v>Saipos Serviços De Software</v>
      </c>
      <c r="T6627" s="33">
        <f>IFERROR(__xludf.DUMMYFUNCTION("""COMPUTED_VALUE"""),1.0)</f>
        <v>1</v>
      </c>
      <c r="U6627" s="4" t="str">
        <f>IFERROR(__xludf.DUMMYFUNCTION("""COMPUTED_VALUE"""),"Saipos Serviços De Software")</f>
        <v>Saipos Serviços De Software</v>
      </c>
      <c r="V6627" s="33">
        <f>IFERROR(__xludf.DUMMYFUNCTION("""COMPUTED_VALUE"""),1.0)</f>
        <v>1</v>
      </c>
      <c r="W6627" s="4" t="str">
        <f>IFERROR(__xludf.DUMMYFUNCTION("""COMPUTED_VALUE"""),"Saipos Serviços De Software")</f>
        <v>Saipos Serviços De Software</v>
      </c>
      <c r="X6627" s="33">
        <f>IFERROR(__xludf.DUMMYFUNCTION("""COMPUTED_VALUE"""),0.5)</f>
        <v>0.5</v>
      </c>
    </row>
    <row r="6628">
      <c r="K6628" s="4" t="str">
        <f>IFERROR(__xludf.DUMMYFUNCTION("""COMPUTED_VALUE"""),"AVENIDA PAULISTA PIZZA, PASTA E VINO - CONTA PAI")</f>
        <v>AVENIDA PAULISTA PIZZA, PASTA E VINO - CONTA PAI</v>
      </c>
      <c r="L6628" s="32">
        <f>IFERROR(__xludf.DUMMYFUNCTION("""COMPUTED_VALUE"""),2.0)</f>
        <v>2</v>
      </c>
      <c r="M6628" s="4" t="str">
        <f>IFERROR(__xludf.DUMMYFUNCTION("""COMPUTED_VALUE"""),"Cloudfy")</f>
        <v>Cloudfy</v>
      </c>
      <c r="N6628" s="33">
        <f>IFERROR(__xludf.DUMMYFUNCTION("""COMPUTED_VALUE"""),1.0)</f>
        <v>1</v>
      </c>
      <c r="O6628" s="4" t="str">
        <f>IFERROR(__xludf.DUMMYFUNCTION("""COMPUTED_VALUE"""),"Cloudfy")</f>
        <v>Cloudfy</v>
      </c>
      <c r="P6628" s="33">
        <f>IFERROR(__xludf.DUMMYFUNCTION("""COMPUTED_VALUE"""),0.5)</f>
        <v>0.5</v>
      </c>
      <c r="Q6628" s="4" t="str">
        <f>IFERROR(__xludf.DUMMYFUNCTION("""COMPUTED_VALUE"""),"Cloudfy")</f>
        <v>Cloudfy</v>
      </c>
      <c r="R6628" s="33">
        <f>IFERROR(__xludf.DUMMYFUNCTION("""COMPUTED_VALUE"""),0.5)</f>
        <v>0.5</v>
      </c>
      <c r="S6628" s="4" t="str">
        <f>IFERROR(__xludf.DUMMYFUNCTION("""COMPUTED_VALUE"""),"Cloudfy")</f>
        <v>Cloudfy</v>
      </c>
      <c r="T6628" s="33">
        <f>IFERROR(__xludf.DUMMYFUNCTION("""COMPUTED_VALUE"""),0.5)</f>
        <v>0.5</v>
      </c>
      <c r="U6628" s="4" t="str">
        <f>IFERROR(__xludf.DUMMYFUNCTION("""COMPUTED_VALUE"""),"Cloudfy")</f>
        <v>Cloudfy</v>
      </c>
      <c r="V6628" s="33">
        <f>IFERROR(__xludf.DUMMYFUNCTION("""COMPUTED_VALUE"""),0.5)</f>
        <v>0.5</v>
      </c>
      <c r="W6628" s="4" t="str">
        <f>IFERROR(__xludf.DUMMYFUNCTION("""COMPUTED_VALUE"""),"Cloudfy")</f>
        <v>Cloudfy</v>
      </c>
      <c r="X6628" s="33">
        <f>IFERROR(__xludf.DUMMYFUNCTION("""COMPUTED_VALUE"""),1.0)</f>
        <v>1</v>
      </c>
    </row>
    <row r="6629">
      <c r="K6629" s="4" t="str">
        <f>IFERROR(__xludf.DUMMYFUNCTION("""COMPUTED_VALUE"""),"AXERITO")</f>
        <v>AXERITO</v>
      </c>
      <c r="L6629" s="32">
        <f>IFERROR(__xludf.DUMMYFUNCTION("""COMPUTED_VALUE"""),2.0)</f>
        <v>2</v>
      </c>
      <c r="M6629" s="4" t="str">
        <f>IFERROR(__xludf.DUMMYFUNCTION("""COMPUTED_VALUE"""),"Vekttor")</f>
        <v>Vekttor</v>
      </c>
      <c r="N6629" s="33">
        <f>IFERROR(__xludf.DUMMYFUNCTION("""COMPUTED_VALUE"""),1.0)</f>
        <v>1</v>
      </c>
      <c r="O6629" s="4" t="str">
        <f>IFERROR(__xludf.DUMMYFUNCTION("""COMPUTED_VALUE"""),"Vekttor")</f>
        <v>Vekttor</v>
      </c>
      <c r="P6629" s="33">
        <f>IFERROR(__xludf.DUMMYFUNCTION("""COMPUTED_VALUE"""),1.0)</f>
        <v>1</v>
      </c>
      <c r="Q6629" s="4" t="str">
        <f>IFERROR(__xludf.DUMMYFUNCTION("""COMPUTED_VALUE"""),"Vekttor")</f>
        <v>Vekttor</v>
      </c>
      <c r="R6629" s="33">
        <f>IFERROR(__xludf.DUMMYFUNCTION("""COMPUTED_VALUE"""),1.0)</f>
        <v>1</v>
      </c>
      <c r="S6629" s="4" t="str">
        <f>IFERROR(__xludf.DUMMYFUNCTION("""COMPUTED_VALUE"""),"Vekttor")</f>
        <v>Vekttor</v>
      </c>
      <c r="T6629" s="33">
        <f>IFERROR(__xludf.DUMMYFUNCTION("""COMPUTED_VALUE"""),1.0)</f>
        <v>1</v>
      </c>
      <c r="U6629" s="4" t="str">
        <f>IFERROR(__xludf.DUMMYFUNCTION("""COMPUTED_VALUE"""),"Vekttor")</f>
        <v>Vekttor</v>
      </c>
      <c r="V6629" s="33">
        <f>IFERROR(__xludf.DUMMYFUNCTION("""COMPUTED_VALUE"""),1.0)</f>
        <v>1</v>
      </c>
      <c r="W6629" s="4" t="str">
        <f>IFERROR(__xludf.DUMMYFUNCTION("""COMPUTED_VALUE"""),"Vekttor")</f>
        <v>Vekttor</v>
      </c>
      <c r="X6629" s="33">
        <f>IFERROR(__xludf.DUMMYFUNCTION("""COMPUTED_VALUE"""),1.0)</f>
        <v>1</v>
      </c>
    </row>
    <row r="6630">
      <c r="K6630" s="4" t="str">
        <f>IFERROR(__xludf.DUMMYFUNCTION("""COMPUTED_VALUE"""),"B2 ACAI")</f>
        <v>B2 ACAI</v>
      </c>
      <c r="L6630" s="32">
        <f>IFERROR(__xludf.DUMMYFUNCTION("""COMPUTED_VALUE"""),2.0)</f>
        <v>2</v>
      </c>
      <c r="M6630" s="4" t="str">
        <f>IFERROR(__xludf.DUMMYFUNCTION("""COMPUTED_VALUE"""),"Yooga")</f>
        <v>Yooga</v>
      </c>
      <c r="N6630" s="33">
        <f>IFERROR(__xludf.DUMMYFUNCTION("""COMPUTED_VALUE"""),1.0)</f>
        <v>1</v>
      </c>
      <c r="O6630" s="4" t="str">
        <f>IFERROR(__xludf.DUMMYFUNCTION("""COMPUTED_VALUE"""),"Yooga")</f>
        <v>Yooga</v>
      </c>
      <c r="P6630" s="33">
        <f>IFERROR(__xludf.DUMMYFUNCTION("""COMPUTED_VALUE"""),1.0)</f>
        <v>1</v>
      </c>
      <c r="Q6630" s="4" t="str">
        <f>IFERROR(__xludf.DUMMYFUNCTION("""COMPUTED_VALUE"""),"Yooga")</f>
        <v>Yooga</v>
      </c>
      <c r="R6630" s="33">
        <f>IFERROR(__xludf.DUMMYFUNCTION("""COMPUTED_VALUE"""),1.0)</f>
        <v>1</v>
      </c>
      <c r="S6630" s="4" t="str">
        <f>IFERROR(__xludf.DUMMYFUNCTION("""COMPUTED_VALUE"""),"Yooga")</f>
        <v>Yooga</v>
      </c>
      <c r="T6630" s="33">
        <f>IFERROR(__xludf.DUMMYFUNCTION("""COMPUTED_VALUE"""),1.0)</f>
        <v>1</v>
      </c>
      <c r="U6630" s="4" t="str">
        <f>IFERROR(__xludf.DUMMYFUNCTION("""COMPUTED_VALUE"""),"Yooga")</f>
        <v>Yooga</v>
      </c>
      <c r="V6630" s="33">
        <f>IFERROR(__xludf.DUMMYFUNCTION("""COMPUTED_VALUE"""),1.0)</f>
        <v>1</v>
      </c>
      <c r="W6630" s="4" t="str">
        <f>IFERROR(__xludf.DUMMYFUNCTION("""COMPUTED_VALUE"""),"Yooga")</f>
        <v>Yooga</v>
      </c>
      <c r="X6630" s="33">
        <f>IFERROR(__xludf.DUMMYFUNCTION("""COMPUTED_VALUE"""),1.0)</f>
        <v>1</v>
      </c>
    </row>
    <row r="6631">
      <c r="K6631" s="4" t="str">
        <f>IFERROR(__xludf.DUMMYFUNCTION("""COMPUTED_VALUE"""),"BAALBEK - FLORESTA")</f>
        <v>BAALBEK - FLORESTA</v>
      </c>
      <c r="L6631" s="32">
        <f>IFERROR(__xludf.DUMMYFUNCTION("""COMPUTED_VALUE"""),2.0)</f>
        <v>2</v>
      </c>
      <c r="M6631" s="4" t="str">
        <f>IFERROR(__xludf.DUMMYFUNCTION("""COMPUTED_VALUE"""),"null")</f>
        <v>null</v>
      </c>
      <c r="N6631" s="33">
        <f>IFERROR(__xludf.DUMMYFUNCTION("""COMPUTED_VALUE"""),0.5)</f>
        <v>0.5</v>
      </c>
      <c r="O6631" s="4" t="str">
        <f>IFERROR(__xludf.DUMMYFUNCTION("""COMPUTED_VALUE"""),"null")</f>
        <v>null</v>
      </c>
      <c r="P6631" s="33">
        <f>IFERROR(__xludf.DUMMYFUNCTION("""COMPUTED_VALUE"""),1.0)</f>
        <v>1</v>
      </c>
      <c r="Q6631" s="4" t="str">
        <f>IFERROR(__xludf.DUMMYFUNCTION("""COMPUTED_VALUE"""),"null")</f>
        <v>null</v>
      </c>
      <c r="R6631" s="33">
        <f>IFERROR(__xludf.DUMMYFUNCTION("""COMPUTED_VALUE"""),1.0)</f>
        <v>1</v>
      </c>
      <c r="S6631" s="4" t="str">
        <f>IFERROR(__xludf.DUMMYFUNCTION("""COMPUTED_VALUE"""),"null")</f>
        <v>null</v>
      </c>
      <c r="T6631" s="33">
        <f>IFERROR(__xludf.DUMMYFUNCTION("""COMPUTED_VALUE"""),0.5)</f>
        <v>0.5</v>
      </c>
      <c r="U6631" s="4" t="str">
        <f>IFERROR(__xludf.DUMMYFUNCTION("""COMPUTED_VALUE"""),"Bitbar")</f>
        <v>Bitbar</v>
      </c>
      <c r="V6631" s="33">
        <f>IFERROR(__xludf.DUMMYFUNCTION("""COMPUTED_VALUE"""),1.0)</f>
        <v>1</v>
      </c>
      <c r="W6631" s="4" t="str">
        <f>IFERROR(__xludf.DUMMYFUNCTION("""COMPUTED_VALUE"""),"Bitbar")</f>
        <v>Bitbar</v>
      </c>
      <c r="X6631" s="33">
        <f>IFERROR(__xludf.DUMMYFUNCTION("""COMPUTED_VALUE"""),1.0)</f>
        <v>1</v>
      </c>
    </row>
    <row r="6632">
      <c r="K6632" s="4" t="str">
        <f>IFERROR(__xludf.DUMMYFUNCTION("""COMPUTED_VALUE"""),"BABY BEEF")</f>
        <v>BABY BEEF</v>
      </c>
      <c r="L6632" s="32">
        <f>IFERROR(__xludf.DUMMYFUNCTION("""COMPUTED_VALUE"""),2.0)</f>
        <v>2</v>
      </c>
      <c r="M6632" s="4" t="str">
        <f>IFERROR(__xludf.DUMMYFUNCTION("""COMPUTED_VALUE"""),"Alterdata Tecnologia Em Informatica Ltda")</f>
        <v>Alterdata Tecnologia Em Informatica Ltda</v>
      </c>
      <c r="N6632" s="33">
        <f>IFERROR(__xludf.DUMMYFUNCTION("""COMPUTED_VALUE"""),0.5)</f>
        <v>0.5</v>
      </c>
      <c r="O6632" s="4" t="str">
        <f>IFERROR(__xludf.DUMMYFUNCTION("""COMPUTED_VALUE"""),"Alterdata Tecnologia Em Informatica Ltda")</f>
        <v>Alterdata Tecnologia Em Informatica Ltda</v>
      </c>
      <c r="P6632" s="33">
        <f>IFERROR(__xludf.DUMMYFUNCTION("""COMPUTED_VALUE"""),1.0)</f>
        <v>1</v>
      </c>
      <c r="Q6632" s="4" t="str">
        <f>IFERROR(__xludf.DUMMYFUNCTION("""COMPUTED_VALUE"""),"Alterdata Tecnologia Em Informatica Ltda")</f>
        <v>Alterdata Tecnologia Em Informatica Ltda</v>
      </c>
      <c r="R6632" s="33">
        <f>IFERROR(__xludf.DUMMYFUNCTION("""COMPUTED_VALUE"""),1.0)</f>
        <v>1</v>
      </c>
      <c r="S6632" s="4" t="str">
        <f>IFERROR(__xludf.DUMMYFUNCTION("""COMPUTED_VALUE"""),"null")</f>
        <v>null</v>
      </c>
      <c r="T6632" s="33">
        <f>IFERROR(__xludf.DUMMYFUNCTION("""COMPUTED_VALUE"""),0.5)</f>
        <v>0.5</v>
      </c>
      <c r="U6632" s="4" t="str">
        <f>IFERROR(__xludf.DUMMYFUNCTION("""COMPUTED_VALUE"""),"null")</f>
        <v>null</v>
      </c>
      <c r="V6632" s="33">
        <f>IFERROR(__xludf.DUMMYFUNCTION("""COMPUTED_VALUE"""),0.5)</f>
        <v>0.5</v>
      </c>
      <c r="W6632" s="4" t="str">
        <f>IFERROR(__xludf.DUMMYFUNCTION("""COMPUTED_VALUE"""),"Alterdata Tecnologia Em Informatica Ltda")</f>
        <v>Alterdata Tecnologia Em Informatica Ltda</v>
      </c>
      <c r="X6632" s="33">
        <f>IFERROR(__xludf.DUMMYFUNCTION("""COMPUTED_VALUE"""),1.0)</f>
        <v>1</v>
      </c>
    </row>
    <row r="6633">
      <c r="K6633" s="4" t="str">
        <f>IFERROR(__xludf.DUMMYFUNCTION("""COMPUTED_VALUE"""),"GRUPO A BELA SINTRA")</f>
        <v>GRUPO A BELA SINTRA</v>
      </c>
      <c r="L6633" s="32">
        <f>IFERROR(__xludf.DUMMYFUNCTION("""COMPUTED_VALUE"""),2.0)</f>
        <v>2</v>
      </c>
      <c r="M6633" s="4" t="str">
        <f>IFERROR(__xludf.DUMMYFUNCTION("""COMPUTED_VALUE"""),"Hubster")</f>
        <v>Hubster</v>
      </c>
      <c r="N6633" s="33">
        <f>IFERROR(__xludf.DUMMYFUNCTION("""COMPUTED_VALUE"""),1.0)</f>
        <v>1</v>
      </c>
      <c r="O6633" s="4" t="str">
        <f>IFERROR(__xludf.DUMMYFUNCTION("""COMPUTED_VALUE"""),"null")</f>
        <v>null</v>
      </c>
      <c r="P6633" s="33">
        <f>IFERROR(__xludf.DUMMYFUNCTION("""COMPUTED_VALUE"""),1.0)</f>
        <v>1</v>
      </c>
      <c r="Q6633" s="4" t="str">
        <f>IFERROR(__xludf.DUMMYFUNCTION("""COMPUTED_VALUE"""),"null")</f>
        <v>null</v>
      </c>
      <c r="R6633" s="33">
        <f>IFERROR(__xludf.DUMMYFUNCTION("""COMPUTED_VALUE"""),1.0)</f>
        <v>1</v>
      </c>
      <c r="S6633" s="4" t="str">
        <f>IFERROR(__xludf.DUMMYFUNCTION("""COMPUTED_VALUE"""),"null")</f>
        <v>null</v>
      </c>
      <c r="T6633" s="33">
        <f>IFERROR(__xludf.DUMMYFUNCTION("""COMPUTED_VALUE"""),1.0)</f>
        <v>1</v>
      </c>
      <c r="U6633" s="4" t="str">
        <f>IFERROR(__xludf.DUMMYFUNCTION("""COMPUTED_VALUE"""),"null")</f>
        <v>null</v>
      </c>
      <c r="V6633" s="33">
        <f>IFERROR(__xludf.DUMMYFUNCTION("""COMPUTED_VALUE"""),1.0)</f>
        <v>1</v>
      </c>
      <c r="W6633" s="4" t="str">
        <f>IFERROR(__xludf.DUMMYFUNCTION("""COMPUTED_VALUE"""),"null")</f>
        <v>null</v>
      </c>
      <c r="X6633" s="33">
        <f>IFERROR(__xludf.DUMMYFUNCTION("""COMPUTED_VALUE"""),1.0)</f>
        <v>1</v>
      </c>
    </row>
    <row r="6634">
      <c r="K6634" s="4" t="str">
        <f>IFERROR(__xludf.DUMMYFUNCTION("""COMPUTED_VALUE"""),"BACIAO")</f>
        <v>BACIAO</v>
      </c>
      <c r="L6634" s="32">
        <f>IFERROR(__xludf.DUMMYFUNCTION("""COMPUTED_VALUE"""),2.0)</f>
        <v>2</v>
      </c>
      <c r="M6634" s="4" t="str">
        <f>IFERROR(__xludf.DUMMYFUNCTION("""COMPUTED_VALUE"""),"null")</f>
        <v>null</v>
      </c>
      <c r="N6634" s="33">
        <f>IFERROR(__xludf.DUMMYFUNCTION("""COMPUTED_VALUE"""),1.0)</f>
        <v>1</v>
      </c>
      <c r="O6634" s="4" t="str">
        <f>IFERROR(__xludf.DUMMYFUNCTION("""COMPUTED_VALUE"""),"null")</f>
        <v>null</v>
      </c>
      <c r="P6634" s="33">
        <f>IFERROR(__xludf.DUMMYFUNCTION("""COMPUTED_VALUE"""),1.0)</f>
        <v>1</v>
      </c>
      <c r="Q6634" s="4" t="str">
        <f>IFERROR(__xludf.DUMMYFUNCTION("""COMPUTED_VALUE"""),"null")</f>
        <v>null</v>
      </c>
      <c r="R6634" s="33">
        <f>IFERROR(__xludf.DUMMYFUNCTION("""COMPUTED_VALUE"""),1.0)</f>
        <v>1</v>
      </c>
      <c r="S6634" s="4" t="str">
        <f>IFERROR(__xludf.DUMMYFUNCTION("""COMPUTED_VALUE"""),"Anota Ai Solucoes Digitais S/a")</f>
        <v>Anota Ai Solucoes Digitais S/a</v>
      </c>
      <c r="T6634" s="33">
        <f>IFERROR(__xludf.DUMMYFUNCTION("""COMPUTED_VALUE"""),0.5)</f>
        <v>0.5</v>
      </c>
      <c r="U6634" s="4" t="str">
        <f>IFERROR(__xludf.DUMMYFUNCTION("""COMPUTED_VALUE"""),"Anota Ai Solucoes Digitais S/a")</f>
        <v>Anota Ai Solucoes Digitais S/a</v>
      </c>
      <c r="V6634" s="33">
        <f>IFERROR(__xludf.DUMMYFUNCTION("""COMPUTED_VALUE"""),1.0)</f>
        <v>1</v>
      </c>
      <c r="W6634" s="4" t="str">
        <f>IFERROR(__xludf.DUMMYFUNCTION("""COMPUTED_VALUE"""),"Anota Ai Solucoes Digitais S/a")</f>
        <v>Anota Ai Solucoes Digitais S/a</v>
      </c>
      <c r="X6634" s="33">
        <f>IFERROR(__xludf.DUMMYFUNCTION("""COMPUTED_VALUE"""),1.0)</f>
        <v>1</v>
      </c>
    </row>
    <row r="6635">
      <c r="K6635" s="4" t="str">
        <f>IFERROR(__xludf.DUMMYFUNCTION("""COMPUTED_VALUE"""),"BAIAO DE DOIS - VILA EMA -")</f>
        <v>BAIAO DE DOIS - VILA EMA -</v>
      </c>
      <c r="L6635" s="32">
        <f>IFERROR(__xludf.DUMMYFUNCTION("""COMPUTED_VALUE"""),2.0)</f>
        <v>2</v>
      </c>
      <c r="M6635" s="4" t="str">
        <f>IFERROR(__xludf.DUMMYFUNCTION("""COMPUTED_VALUE"""),"null")</f>
        <v>null</v>
      </c>
      <c r="N6635" s="33">
        <f>IFERROR(__xludf.DUMMYFUNCTION("""COMPUTED_VALUE"""),0.5)</f>
        <v>0.5</v>
      </c>
      <c r="O6635" s="4" t="str">
        <f>IFERROR(__xludf.DUMMYFUNCTION("""COMPUTED_VALUE"""),"null")</f>
        <v>null</v>
      </c>
      <c r="P6635" s="33">
        <f>IFERROR(__xludf.DUMMYFUNCTION("""COMPUTED_VALUE"""),0.5)</f>
        <v>0.5</v>
      </c>
      <c r="Q6635" s="4" t="str">
        <f>IFERROR(__xludf.DUMMYFUNCTION("""COMPUTED_VALUE"""),"null")</f>
        <v>null</v>
      </c>
      <c r="R6635" s="33">
        <f>IFERROR(__xludf.DUMMYFUNCTION("""COMPUTED_VALUE"""),0.5)</f>
        <v>0.5</v>
      </c>
      <c r="S6635" s="4" t="str">
        <f>IFERROR(__xludf.DUMMYFUNCTION("""COMPUTED_VALUE"""),"null")</f>
        <v>null</v>
      </c>
      <c r="T6635" s="33">
        <f>IFERROR(__xludf.DUMMYFUNCTION("""COMPUTED_VALUE"""),0.5)</f>
        <v>0.5</v>
      </c>
      <c r="U6635" s="4" t="str">
        <f>IFERROR(__xludf.DUMMYFUNCTION("""COMPUTED_VALUE"""),"Saipos Serviços De Software")</f>
        <v>Saipos Serviços De Software</v>
      </c>
      <c r="V6635" s="33">
        <f>IFERROR(__xludf.DUMMYFUNCTION("""COMPUTED_VALUE"""),1.0)</f>
        <v>1</v>
      </c>
      <c r="W6635" s="4" t="str">
        <f>IFERROR(__xludf.DUMMYFUNCTION("""COMPUTED_VALUE"""),"Saipos Serviços De Software")</f>
        <v>Saipos Serviços De Software</v>
      </c>
      <c r="X6635" s="33">
        <f>IFERROR(__xludf.DUMMYFUNCTION("""COMPUTED_VALUE"""),1.0)</f>
        <v>1</v>
      </c>
    </row>
    <row r="6636">
      <c r="K6636" s="4" t="str">
        <f>IFERROR(__xludf.DUMMYFUNCTION("""COMPUTED_VALUE"""),"BAIAO DE OURO")</f>
        <v>BAIAO DE OURO</v>
      </c>
      <c r="L6636" s="32">
        <f>IFERROR(__xludf.DUMMYFUNCTION("""COMPUTED_VALUE"""),2.0)</f>
        <v>2</v>
      </c>
      <c r="M6636" s="4" t="str">
        <f>IFERROR(__xludf.DUMMYFUNCTION("""COMPUTED_VALUE"""),"Solução Sistemas")</f>
        <v>Solução Sistemas</v>
      </c>
      <c r="N6636" s="33">
        <f>IFERROR(__xludf.DUMMYFUNCTION("""COMPUTED_VALUE"""),1.0)</f>
        <v>1</v>
      </c>
      <c r="O6636" s="4" t="str">
        <f>IFERROR(__xludf.DUMMYFUNCTION("""COMPUTED_VALUE"""),"null")</f>
        <v>null</v>
      </c>
      <c r="P6636" s="33">
        <f>IFERROR(__xludf.DUMMYFUNCTION("""COMPUTED_VALUE"""),0.5)</f>
        <v>0.5</v>
      </c>
      <c r="Q6636" s="4" t="str">
        <f>IFERROR(__xludf.DUMMYFUNCTION("""COMPUTED_VALUE"""),"Solução Sistemas")</f>
        <v>Solução Sistemas</v>
      </c>
      <c r="R6636" s="33">
        <f>IFERROR(__xludf.DUMMYFUNCTION("""COMPUTED_VALUE"""),1.0)</f>
        <v>1</v>
      </c>
      <c r="S6636" s="4" t="str">
        <f>IFERROR(__xludf.DUMMYFUNCTION("""COMPUTED_VALUE"""),"Solução Sistemas")</f>
        <v>Solução Sistemas</v>
      </c>
      <c r="T6636" s="33">
        <f>IFERROR(__xludf.DUMMYFUNCTION("""COMPUTED_VALUE"""),1.0)</f>
        <v>1</v>
      </c>
      <c r="U6636" s="4" t="str">
        <f>IFERROR(__xludf.DUMMYFUNCTION("""COMPUTED_VALUE"""),"Solução Sistemas")</f>
        <v>Solução Sistemas</v>
      </c>
      <c r="V6636" s="33">
        <f>IFERROR(__xludf.DUMMYFUNCTION("""COMPUTED_VALUE"""),1.0)</f>
        <v>1</v>
      </c>
      <c r="W6636" s="4" t="str">
        <f>IFERROR(__xludf.DUMMYFUNCTION("""COMPUTED_VALUE"""),"Solução Sistemas")</f>
        <v>Solução Sistemas</v>
      </c>
      <c r="X6636" s="33">
        <f>IFERROR(__xludf.DUMMYFUNCTION("""COMPUTED_VALUE"""),1.0)</f>
        <v>1</v>
      </c>
    </row>
    <row r="6637">
      <c r="K6637" s="4" t="str">
        <f>IFERROR(__xludf.DUMMYFUNCTION("""COMPUTED_VALUE"""),"BAIXO ARAGUAIA")</f>
        <v>BAIXO ARAGUAIA</v>
      </c>
      <c r="L6637" s="32">
        <f>IFERROR(__xludf.DUMMYFUNCTION("""COMPUTED_VALUE"""),2.0)</f>
        <v>2</v>
      </c>
      <c r="M6637" s="4" t="str">
        <f>IFERROR(__xludf.DUMMYFUNCTION("""COMPUTED_VALUE"""),"Ncr")</f>
        <v>Ncr</v>
      </c>
      <c r="N6637" s="33">
        <f>IFERROR(__xludf.DUMMYFUNCTION("""COMPUTED_VALUE"""),1.0)</f>
        <v>1</v>
      </c>
      <c r="O6637" s="4" t="str">
        <f>IFERROR(__xludf.DUMMYFUNCTION("""COMPUTED_VALUE"""),"Ncr")</f>
        <v>Ncr</v>
      </c>
      <c r="P6637" s="33">
        <f>IFERROR(__xludf.DUMMYFUNCTION("""COMPUTED_VALUE"""),1.0)</f>
        <v>1</v>
      </c>
      <c r="Q6637" s="4" t="str">
        <f>IFERROR(__xludf.DUMMYFUNCTION("""COMPUTED_VALUE"""),"Ncr")</f>
        <v>Ncr</v>
      </c>
      <c r="R6637" s="33">
        <f>IFERROR(__xludf.DUMMYFUNCTION("""COMPUTED_VALUE"""),1.0)</f>
        <v>1</v>
      </c>
      <c r="S6637" s="4" t="str">
        <f>IFERROR(__xludf.DUMMYFUNCTION("""COMPUTED_VALUE"""),"Ncr")</f>
        <v>Ncr</v>
      </c>
      <c r="T6637" s="33">
        <f>IFERROR(__xludf.DUMMYFUNCTION("""COMPUTED_VALUE"""),1.0)</f>
        <v>1</v>
      </c>
      <c r="U6637" s="4" t="str">
        <f>IFERROR(__xludf.DUMMYFUNCTION("""COMPUTED_VALUE"""),"Ncr")</f>
        <v>Ncr</v>
      </c>
      <c r="V6637" s="33">
        <f>IFERROR(__xludf.DUMMYFUNCTION("""COMPUTED_VALUE"""),1.0)</f>
        <v>1</v>
      </c>
      <c r="W6637" s="4" t="str">
        <f>IFERROR(__xludf.DUMMYFUNCTION("""COMPUTED_VALUE"""),"null")</f>
        <v>null</v>
      </c>
      <c r="X6637" s="33">
        <f>IFERROR(__xludf.DUMMYFUNCTION("""COMPUTED_VALUE"""),0.5)</f>
        <v>0.5</v>
      </c>
    </row>
    <row r="6638">
      <c r="K6638" s="4" t="str">
        <f>IFERROR(__xludf.DUMMYFUNCTION("""COMPUTED_VALUE"""),"BANANA NEVADA PIZZAS")</f>
        <v>BANANA NEVADA PIZZAS</v>
      </c>
      <c r="L6638" s="32">
        <f>IFERROR(__xludf.DUMMYFUNCTION("""COMPUTED_VALUE"""),2.0)</f>
        <v>2</v>
      </c>
      <c r="M6638" s="4" t="str">
        <f>IFERROR(__xludf.DUMMYFUNCTION("""COMPUTED_VALUE"""),"Expresso Delivery")</f>
        <v>Expresso Delivery</v>
      </c>
      <c r="N6638" s="33">
        <f>IFERROR(__xludf.DUMMYFUNCTION("""COMPUTED_VALUE"""),1.0)</f>
        <v>1</v>
      </c>
      <c r="O6638" s="4" t="str">
        <f>IFERROR(__xludf.DUMMYFUNCTION("""COMPUTED_VALUE"""),"Expresso Delivery")</f>
        <v>Expresso Delivery</v>
      </c>
      <c r="P6638" s="33">
        <f>IFERROR(__xludf.DUMMYFUNCTION("""COMPUTED_VALUE"""),1.0)</f>
        <v>1</v>
      </c>
      <c r="Q6638" s="4" t="str">
        <f>IFERROR(__xludf.DUMMYFUNCTION("""COMPUTED_VALUE"""),"Expresso Delivery")</f>
        <v>Expresso Delivery</v>
      </c>
      <c r="R6638" s="33">
        <f>IFERROR(__xludf.DUMMYFUNCTION("""COMPUTED_VALUE"""),1.0)</f>
        <v>1</v>
      </c>
      <c r="S6638" s="4" t="str">
        <f>IFERROR(__xludf.DUMMYFUNCTION("""COMPUTED_VALUE"""),"Expresso Delivery")</f>
        <v>Expresso Delivery</v>
      </c>
      <c r="T6638" s="33">
        <f>IFERROR(__xludf.DUMMYFUNCTION("""COMPUTED_VALUE"""),1.0)</f>
        <v>1</v>
      </c>
      <c r="U6638" s="4" t="str">
        <f>IFERROR(__xludf.DUMMYFUNCTION("""COMPUTED_VALUE"""),"Expresso Delivery")</f>
        <v>Expresso Delivery</v>
      </c>
      <c r="V6638" s="33">
        <f>IFERROR(__xludf.DUMMYFUNCTION("""COMPUTED_VALUE"""),1.0)</f>
        <v>1</v>
      </c>
      <c r="W6638" s="4" t="str">
        <f>IFERROR(__xludf.DUMMYFUNCTION("""COMPUTED_VALUE"""),"Expresso Delivery")</f>
        <v>Expresso Delivery</v>
      </c>
      <c r="X6638" s="33">
        <f>IFERROR(__xludf.DUMMYFUNCTION("""COMPUTED_VALUE"""),1.0)</f>
        <v>1</v>
      </c>
    </row>
    <row r="6639">
      <c r="K6639" s="4" t="str">
        <f>IFERROR(__xludf.DUMMYFUNCTION("""COMPUTED_VALUE"""),"BANCA 40")</f>
        <v>BANCA 40</v>
      </c>
      <c r="L6639" s="32">
        <f>IFERROR(__xludf.DUMMYFUNCTION("""COMPUTED_VALUE"""),2.0)</f>
        <v>2</v>
      </c>
      <c r="M6639" s="4" t="str">
        <f>IFERROR(__xludf.DUMMYFUNCTION("""COMPUTED_VALUE"""),"Bitbar")</f>
        <v>Bitbar</v>
      </c>
      <c r="N6639" s="33">
        <f>IFERROR(__xludf.DUMMYFUNCTION("""COMPUTED_VALUE"""),1.0)</f>
        <v>1</v>
      </c>
      <c r="O6639" s="4" t="str">
        <f>IFERROR(__xludf.DUMMYFUNCTION("""COMPUTED_VALUE"""),"Bitbar")</f>
        <v>Bitbar</v>
      </c>
      <c r="P6639" s="33">
        <f>IFERROR(__xludf.DUMMYFUNCTION("""COMPUTED_VALUE"""),0.5)</f>
        <v>0.5</v>
      </c>
      <c r="Q6639" s="4" t="str">
        <f>IFERROR(__xludf.DUMMYFUNCTION("""COMPUTED_VALUE"""),"Bitbar")</f>
        <v>Bitbar</v>
      </c>
      <c r="R6639" s="33">
        <f>IFERROR(__xludf.DUMMYFUNCTION("""COMPUTED_VALUE"""),0.5)</f>
        <v>0.5</v>
      </c>
      <c r="S6639" s="4" t="str">
        <f>IFERROR(__xludf.DUMMYFUNCTION("""COMPUTED_VALUE"""),"Bitbar")</f>
        <v>Bitbar</v>
      </c>
      <c r="T6639" s="33">
        <f>IFERROR(__xludf.DUMMYFUNCTION("""COMPUTED_VALUE"""),0.5)</f>
        <v>0.5</v>
      </c>
      <c r="U6639" s="4" t="str">
        <f>IFERROR(__xludf.DUMMYFUNCTION("""COMPUTED_VALUE"""),"Bitbar")</f>
        <v>Bitbar</v>
      </c>
      <c r="V6639" s="33">
        <f>IFERROR(__xludf.DUMMYFUNCTION("""COMPUTED_VALUE"""),0.5)</f>
        <v>0.5</v>
      </c>
      <c r="W6639" s="4" t="str">
        <f>IFERROR(__xludf.DUMMYFUNCTION("""COMPUTED_VALUE"""),"Bitbar")</f>
        <v>Bitbar</v>
      </c>
      <c r="X6639" s="33">
        <f>IFERROR(__xludf.DUMMYFUNCTION("""COMPUTED_VALUE"""),0.5)</f>
        <v>0.5</v>
      </c>
    </row>
    <row r="6640">
      <c r="K6640" s="4" t="str">
        <f>IFERROR(__xludf.DUMMYFUNCTION("""COMPUTED_VALUE"""),"BANZAI ES")</f>
        <v>BANZAI ES</v>
      </c>
      <c r="L6640" s="32">
        <f>IFERROR(__xludf.DUMMYFUNCTION("""COMPUTED_VALUE"""),2.0)</f>
        <v>2</v>
      </c>
      <c r="M6640" s="4" t="str">
        <f>IFERROR(__xludf.DUMMYFUNCTION("""COMPUTED_VALUE"""),"null")</f>
        <v>null</v>
      </c>
      <c r="N6640" s="33">
        <f>IFERROR(__xludf.DUMMYFUNCTION("""COMPUTED_VALUE"""),0.5)</f>
        <v>0.5</v>
      </c>
      <c r="O6640" s="4" t="str">
        <f>IFERROR(__xludf.DUMMYFUNCTION("""COMPUTED_VALUE"""),"null")</f>
        <v>null</v>
      </c>
      <c r="P6640" s="33">
        <f>IFERROR(__xludf.DUMMYFUNCTION("""COMPUTED_VALUE"""),0.5)</f>
        <v>0.5</v>
      </c>
      <c r="Q6640" s="4" t="str">
        <f>IFERROR(__xludf.DUMMYFUNCTION("""COMPUTED_VALUE"""),"Tigoo Serviços Ltda.")</f>
        <v>Tigoo Serviços Ltda.</v>
      </c>
      <c r="R6640" s="33">
        <f>IFERROR(__xludf.DUMMYFUNCTION("""COMPUTED_VALUE"""),1.0)</f>
        <v>1</v>
      </c>
      <c r="S6640" s="4" t="str">
        <f>IFERROR(__xludf.DUMMYFUNCTION("""COMPUTED_VALUE"""),"Tigoo Serviços Ltda.")</f>
        <v>Tigoo Serviços Ltda.</v>
      </c>
      <c r="T6640" s="33">
        <f>IFERROR(__xludf.DUMMYFUNCTION("""COMPUTED_VALUE"""),0.5)</f>
        <v>0.5</v>
      </c>
      <c r="U6640" s="4" t="str">
        <f>IFERROR(__xludf.DUMMYFUNCTION("""COMPUTED_VALUE"""),"Tigoo Serviços Ltda.")</f>
        <v>Tigoo Serviços Ltda.</v>
      </c>
      <c r="V6640" s="33">
        <f>IFERROR(__xludf.DUMMYFUNCTION("""COMPUTED_VALUE"""),0.5)</f>
        <v>0.5</v>
      </c>
      <c r="W6640" s="4" t="str">
        <f>IFERROR(__xludf.DUMMYFUNCTION("""COMPUTED_VALUE"""),"Tigoo Serviços Ltda.")</f>
        <v>Tigoo Serviços Ltda.</v>
      </c>
      <c r="X6640" s="33">
        <f>IFERROR(__xludf.DUMMYFUNCTION("""COMPUTED_VALUE"""),0.5)</f>
        <v>0.5</v>
      </c>
    </row>
    <row r="6641">
      <c r="K6641" s="4" t="str">
        <f>IFERROR(__xludf.DUMMYFUNCTION("""COMPUTED_VALUE"""),"BAR CORONEL")</f>
        <v>BAR CORONEL</v>
      </c>
      <c r="L6641" s="32">
        <f>IFERROR(__xludf.DUMMYFUNCTION("""COMPUTED_VALUE"""),2.0)</f>
        <v>2</v>
      </c>
      <c r="M6641" s="4" t="str">
        <f>IFERROR(__xludf.DUMMYFUNCTION("""COMPUTED_VALUE"""),"Saipos Serviços De Software")</f>
        <v>Saipos Serviços De Software</v>
      </c>
      <c r="N6641" s="33">
        <f>IFERROR(__xludf.DUMMYFUNCTION("""COMPUTED_VALUE"""),0.5)</f>
        <v>0.5</v>
      </c>
      <c r="O6641" s="4" t="str">
        <f>IFERROR(__xludf.DUMMYFUNCTION("""COMPUTED_VALUE"""),"Saipos Serviços De Software")</f>
        <v>Saipos Serviços De Software</v>
      </c>
      <c r="P6641" s="33">
        <f>IFERROR(__xludf.DUMMYFUNCTION("""COMPUTED_VALUE"""),0.5)</f>
        <v>0.5</v>
      </c>
      <c r="Q6641" s="4" t="str">
        <f>IFERROR(__xludf.DUMMYFUNCTION("""COMPUTED_VALUE"""),"Saipos Serviços De Software")</f>
        <v>Saipos Serviços De Software</v>
      </c>
      <c r="R6641" s="33">
        <f>IFERROR(__xludf.DUMMYFUNCTION("""COMPUTED_VALUE"""),0.5)</f>
        <v>0.5</v>
      </c>
      <c r="S6641" s="4" t="str">
        <f>IFERROR(__xludf.DUMMYFUNCTION("""COMPUTED_VALUE"""),"Saipos Serviços De Software")</f>
        <v>Saipos Serviços De Software</v>
      </c>
      <c r="T6641" s="33">
        <f>IFERROR(__xludf.DUMMYFUNCTION("""COMPUTED_VALUE"""),0.5)</f>
        <v>0.5</v>
      </c>
      <c r="U6641" s="4" t="str">
        <f>IFERROR(__xludf.DUMMYFUNCTION("""COMPUTED_VALUE"""),"Saipos Serviços De Software")</f>
        <v>Saipos Serviços De Software</v>
      </c>
      <c r="V6641" s="33">
        <f>IFERROR(__xludf.DUMMYFUNCTION("""COMPUTED_VALUE"""),1.0)</f>
        <v>1</v>
      </c>
      <c r="W6641" s="4" t="str">
        <f>IFERROR(__xludf.DUMMYFUNCTION("""COMPUTED_VALUE"""),"Saipos Serviços De Software")</f>
        <v>Saipos Serviços De Software</v>
      </c>
      <c r="X6641" s="33">
        <f>IFERROR(__xludf.DUMMYFUNCTION("""COMPUTED_VALUE"""),1.0)</f>
        <v>1</v>
      </c>
    </row>
    <row r="6642">
      <c r="K6642" s="4" t="str">
        <f>IFERROR(__xludf.DUMMYFUNCTION("""COMPUTED_VALUE"""),"BAR DO ALEMAO - O ORIGINAL")</f>
        <v>BAR DO ALEMAO - O ORIGINAL</v>
      </c>
      <c r="L6642" s="32">
        <f>IFERROR(__xludf.DUMMYFUNCTION("""COMPUTED_VALUE"""),2.0)</f>
        <v>2</v>
      </c>
      <c r="M6642" s="4" t="str">
        <f>IFERROR(__xludf.DUMMYFUNCTION("""COMPUTED_VALUE"""),"Ncr")</f>
        <v>Ncr</v>
      </c>
      <c r="N6642" s="33">
        <f>IFERROR(__xludf.DUMMYFUNCTION("""COMPUTED_VALUE"""),0.5)</f>
        <v>0.5</v>
      </c>
      <c r="O6642" s="4" t="str">
        <f>IFERROR(__xludf.DUMMYFUNCTION("""COMPUTED_VALUE"""),"Ncr")</f>
        <v>Ncr</v>
      </c>
      <c r="P6642" s="33">
        <f>IFERROR(__xludf.DUMMYFUNCTION("""COMPUTED_VALUE"""),0.5)</f>
        <v>0.5</v>
      </c>
      <c r="Q6642" s="4" t="str">
        <f>IFERROR(__xludf.DUMMYFUNCTION("""COMPUTED_VALUE"""),"Ncr")</f>
        <v>Ncr</v>
      </c>
      <c r="R6642" s="33">
        <f>IFERROR(__xludf.DUMMYFUNCTION("""COMPUTED_VALUE"""),0.5)</f>
        <v>0.5</v>
      </c>
      <c r="S6642" s="4" t="str">
        <f>IFERROR(__xludf.DUMMYFUNCTION("""COMPUTED_VALUE"""),"Ncr")</f>
        <v>Ncr</v>
      </c>
      <c r="T6642" s="33">
        <f>IFERROR(__xludf.DUMMYFUNCTION("""COMPUTED_VALUE"""),0.5)</f>
        <v>0.5</v>
      </c>
      <c r="U6642" s="4" t="str">
        <f>IFERROR(__xludf.DUMMYFUNCTION("""COMPUTED_VALUE"""),"Ncr")</f>
        <v>Ncr</v>
      </c>
      <c r="V6642" s="33">
        <f>IFERROR(__xludf.DUMMYFUNCTION("""COMPUTED_VALUE"""),0.5)</f>
        <v>0.5</v>
      </c>
      <c r="W6642" s="4" t="str">
        <f>IFERROR(__xludf.DUMMYFUNCTION("""COMPUTED_VALUE"""),"Ncr")</f>
        <v>Ncr</v>
      </c>
      <c r="X6642" s="33">
        <f>IFERROR(__xludf.DUMMYFUNCTION("""COMPUTED_VALUE"""),0.5)</f>
        <v>0.5</v>
      </c>
    </row>
    <row r="6643">
      <c r="K6643" s="4" t="str">
        <f>IFERROR(__xludf.DUMMYFUNCTION("""COMPUTED_VALUE"""),"BAR DO BILL")</f>
        <v>BAR DO BILL</v>
      </c>
      <c r="L6643" s="32">
        <f>IFERROR(__xludf.DUMMYFUNCTION("""COMPUTED_VALUE"""),2.0)</f>
        <v>2</v>
      </c>
      <c r="M6643" s="4" t="str">
        <f>IFERROR(__xludf.DUMMYFUNCTION("""COMPUTED_VALUE"""),"null")</f>
        <v>null</v>
      </c>
      <c r="N6643" s="33">
        <f>IFERROR(__xludf.DUMMYFUNCTION("""COMPUTED_VALUE"""),0.5)</f>
        <v>0.5</v>
      </c>
      <c r="O6643" s="4" t="str">
        <f>IFERROR(__xludf.DUMMYFUNCTION("""COMPUTED_VALUE"""),"null")</f>
        <v>null</v>
      </c>
      <c r="P6643" s="33">
        <f>IFERROR(__xludf.DUMMYFUNCTION("""COMPUTED_VALUE"""),0.5)</f>
        <v>0.5</v>
      </c>
      <c r="Q6643" s="4" t="str">
        <f>IFERROR(__xludf.DUMMYFUNCTION("""COMPUTED_VALUE"""),"null")</f>
        <v>null</v>
      </c>
      <c r="R6643" s="33">
        <f>IFERROR(__xludf.DUMMYFUNCTION("""COMPUTED_VALUE"""),1.0)</f>
        <v>1</v>
      </c>
      <c r="S6643" s="4" t="str">
        <f>IFERROR(__xludf.DUMMYFUNCTION("""COMPUTED_VALUE"""),"F-rest Sistema Para Food Service Ltda")</f>
        <v>F-rest Sistema Para Food Service Ltda</v>
      </c>
      <c r="T6643" s="33">
        <f>IFERROR(__xludf.DUMMYFUNCTION("""COMPUTED_VALUE"""),0.5)</f>
        <v>0.5</v>
      </c>
      <c r="U6643" s="4" t="str">
        <f>IFERROR(__xludf.DUMMYFUNCTION("""COMPUTED_VALUE"""),"null")</f>
        <v>null</v>
      </c>
      <c r="V6643" s="33">
        <f>IFERROR(__xludf.DUMMYFUNCTION("""COMPUTED_VALUE"""),1.0)</f>
        <v>1</v>
      </c>
      <c r="W6643" s="4" t="str">
        <f>IFERROR(__xludf.DUMMYFUNCTION("""COMPUTED_VALUE"""),"F-rest Sistema Para Food Service Ltda")</f>
        <v>F-rest Sistema Para Food Service Ltda</v>
      </c>
      <c r="X6643" s="33">
        <f>IFERROR(__xludf.DUMMYFUNCTION("""COMPUTED_VALUE"""),0.5)</f>
        <v>0.5</v>
      </c>
    </row>
    <row r="6644">
      <c r="K6644" s="4" t="str">
        <f>IFERROR(__xludf.DUMMYFUNCTION("""COMPUTED_VALUE"""),"BAR DO BOLINHO")</f>
        <v>BAR DO BOLINHO</v>
      </c>
      <c r="L6644" s="32">
        <f>IFERROR(__xludf.DUMMYFUNCTION("""COMPUTED_VALUE"""),2.0)</f>
        <v>2</v>
      </c>
      <c r="M6644" s="4" t="str">
        <f>IFERROR(__xludf.DUMMYFUNCTION("""COMPUTED_VALUE"""),"Eclética Tecnologia")</f>
        <v>Eclética Tecnologia</v>
      </c>
      <c r="N6644" s="33">
        <f>IFERROR(__xludf.DUMMYFUNCTION("""COMPUTED_VALUE"""),1.0)</f>
        <v>1</v>
      </c>
      <c r="O6644" s="4" t="str">
        <f>IFERROR(__xludf.DUMMYFUNCTION("""COMPUTED_VALUE"""),"Eclética Tecnologia")</f>
        <v>Eclética Tecnologia</v>
      </c>
      <c r="P6644" s="33">
        <f>IFERROR(__xludf.DUMMYFUNCTION("""COMPUTED_VALUE"""),1.0)</f>
        <v>1</v>
      </c>
      <c r="Q6644" s="4" t="str">
        <f>IFERROR(__xludf.DUMMYFUNCTION("""COMPUTED_VALUE"""),"Eclética Tecnologia")</f>
        <v>Eclética Tecnologia</v>
      </c>
      <c r="R6644" s="33">
        <f>IFERROR(__xludf.DUMMYFUNCTION("""COMPUTED_VALUE"""),1.0)</f>
        <v>1</v>
      </c>
      <c r="S6644" s="4" t="str">
        <f>IFERROR(__xludf.DUMMYFUNCTION("""COMPUTED_VALUE"""),"Eclética Tecnologia")</f>
        <v>Eclética Tecnologia</v>
      </c>
      <c r="T6644" s="33">
        <f>IFERROR(__xludf.DUMMYFUNCTION("""COMPUTED_VALUE"""),1.0)</f>
        <v>1</v>
      </c>
      <c r="U6644" s="4" t="str">
        <f>IFERROR(__xludf.DUMMYFUNCTION("""COMPUTED_VALUE"""),"Eclética Tecnologia")</f>
        <v>Eclética Tecnologia</v>
      </c>
      <c r="V6644" s="33">
        <f>IFERROR(__xludf.DUMMYFUNCTION("""COMPUTED_VALUE"""),1.0)</f>
        <v>1</v>
      </c>
      <c r="W6644" s="4" t="str">
        <f>IFERROR(__xludf.DUMMYFUNCTION("""COMPUTED_VALUE"""),"Eclética Tecnologia")</f>
        <v>Eclética Tecnologia</v>
      </c>
      <c r="X6644" s="33">
        <f>IFERROR(__xludf.DUMMYFUNCTION("""COMPUTED_VALUE"""),1.0)</f>
        <v>1</v>
      </c>
    </row>
    <row r="6645">
      <c r="K6645" s="4" t="str">
        <f>IFERROR(__xludf.DUMMYFUNCTION("""COMPUTED_VALUE"""),"BAR DO LOPES - PAI")</f>
        <v>BAR DO LOPES - PAI</v>
      </c>
      <c r="L6645" s="32">
        <f>IFERROR(__xludf.DUMMYFUNCTION("""COMPUTED_VALUE"""),2.0)</f>
        <v>2</v>
      </c>
      <c r="M6645" s="4" t="str">
        <f>IFERROR(__xludf.DUMMYFUNCTION("""COMPUTED_VALUE"""),"Saipos Serviços De Software")</f>
        <v>Saipos Serviços De Software</v>
      </c>
      <c r="N6645" s="33">
        <f>IFERROR(__xludf.DUMMYFUNCTION("""COMPUTED_VALUE"""),0.5)</f>
        <v>0.5</v>
      </c>
      <c r="O6645" s="4" t="str">
        <f>IFERROR(__xludf.DUMMYFUNCTION("""COMPUTED_VALUE"""),"Saipos Serviços De Software")</f>
        <v>Saipos Serviços De Software</v>
      </c>
      <c r="P6645" s="33">
        <f>IFERROR(__xludf.DUMMYFUNCTION("""COMPUTED_VALUE"""),0.5)</f>
        <v>0.5</v>
      </c>
      <c r="Q6645" s="4" t="str">
        <f>IFERROR(__xludf.DUMMYFUNCTION("""COMPUTED_VALUE"""),"Saipos Serviços De Software")</f>
        <v>Saipos Serviços De Software</v>
      </c>
      <c r="R6645" s="33">
        <f>IFERROR(__xludf.DUMMYFUNCTION("""COMPUTED_VALUE"""),0.5)</f>
        <v>0.5</v>
      </c>
      <c r="S6645" s="4" t="str">
        <f>IFERROR(__xludf.DUMMYFUNCTION("""COMPUTED_VALUE"""),"Saipos Serviços De Software")</f>
        <v>Saipos Serviços De Software</v>
      </c>
      <c r="T6645" s="33">
        <f>IFERROR(__xludf.DUMMYFUNCTION("""COMPUTED_VALUE"""),0.5)</f>
        <v>0.5</v>
      </c>
      <c r="U6645" s="4" t="str">
        <f>IFERROR(__xludf.DUMMYFUNCTION("""COMPUTED_VALUE"""),"Saipos Serviços De Software")</f>
        <v>Saipos Serviços De Software</v>
      </c>
      <c r="V6645" s="33">
        <f>IFERROR(__xludf.DUMMYFUNCTION("""COMPUTED_VALUE"""),0.5)</f>
        <v>0.5</v>
      </c>
      <c r="W6645" s="4" t="str">
        <f>IFERROR(__xludf.DUMMYFUNCTION("""COMPUTED_VALUE"""),"Saipos Serviços De Software")</f>
        <v>Saipos Serviços De Software</v>
      </c>
      <c r="X6645" s="33">
        <f>IFERROR(__xludf.DUMMYFUNCTION("""COMPUTED_VALUE"""),0.5)</f>
        <v>0.5</v>
      </c>
    </row>
    <row r="6646">
      <c r="K6646" s="4" t="str">
        <f>IFERROR(__xludf.DUMMYFUNCTION("""COMPUTED_VALUE"""),"BAR DO LUIZ F")</f>
        <v>BAR DO LUIZ F</v>
      </c>
      <c r="L6646" s="32">
        <f>IFERROR(__xludf.DUMMYFUNCTION("""COMPUTED_VALUE"""),2.0)</f>
        <v>2</v>
      </c>
      <c r="M6646" s="4" t="str">
        <f>IFERROR(__xludf.DUMMYFUNCTION("""COMPUTED_VALUE"""),"Ncr")</f>
        <v>Ncr</v>
      </c>
      <c r="N6646" s="33">
        <f>IFERROR(__xludf.DUMMYFUNCTION("""COMPUTED_VALUE"""),1.0)</f>
        <v>1</v>
      </c>
      <c r="O6646" s="4" t="str">
        <f>IFERROR(__xludf.DUMMYFUNCTION("""COMPUTED_VALUE"""),"Ncr")</f>
        <v>Ncr</v>
      </c>
      <c r="P6646" s="33">
        <f>IFERROR(__xludf.DUMMYFUNCTION("""COMPUTED_VALUE"""),0.5)</f>
        <v>0.5</v>
      </c>
      <c r="Q6646" s="4" t="str">
        <f>IFERROR(__xludf.DUMMYFUNCTION("""COMPUTED_VALUE"""),"null")</f>
        <v>null</v>
      </c>
      <c r="R6646" s="33">
        <f>IFERROR(__xludf.DUMMYFUNCTION("""COMPUTED_VALUE"""),1.0)</f>
        <v>1</v>
      </c>
      <c r="S6646" s="4" t="str">
        <f>IFERROR(__xludf.DUMMYFUNCTION("""COMPUTED_VALUE"""),"null")</f>
        <v>null</v>
      </c>
      <c r="T6646" s="33">
        <f>IFERROR(__xludf.DUMMYFUNCTION("""COMPUTED_VALUE"""),1.0)</f>
        <v>1</v>
      </c>
      <c r="U6646" s="4" t="str">
        <f>IFERROR(__xludf.DUMMYFUNCTION("""COMPUTED_VALUE"""),"null")</f>
        <v>null</v>
      </c>
      <c r="V6646" s="33">
        <f>IFERROR(__xludf.DUMMYFUNCTION("""COMPUTED_VALUE"""),1.0)</f>
        <v>1</v>
      </c>
      <c r="W6646" s="4" t="str">
        <f>IFERROR(__xludf.DUMMYFUNCTION("""COMPUTED_VALUE"""),"null")</f>
        <v>null</v>
      </c>
      <c r="X6646" s="33">
        <f>IFERROR(__xludf.DUMMYFUNCTION("""COMPUTED_VALUE"""),1.0)</f>
        <v>1</v>
      </c>
    </row>
    <row r="6647">
      <c r="K6647" s="4" t="str">
        <f>IFERROR(__xludf.DUMMYFUNCTION("""COMPUTED_VALUE"""),"BARACAI SUSHIS N BURGERS")</f>
        <v>BARACAI SUSHIS N BURGERS</v>
      </c>
      <c r="L6647" s="32">
        <f>IFERROR(__xludf.DUMMYFUNCTION("""COMPUTED_VALUE"""),2.0)</f>
        <v>2</v>
      </c>
      <c r="M6647" s="4" t="str">
        <f>IFERROR(__xludf.DUMMYFUNCTION("""COMPUTED_VALUE"""),"Ncr")</f>
        <v>Ncr</v>
      </c>
      <c r="N6647" s="33">
        <f>IFERROR(__xludf.DUMMYFUNCTION("""COMPUTED_VALUE"""),1.0)</f>
        <v>1</v>
      </c>
      <c r="O6647" s="4" t="str">
        <f>IFERROR(__xludf.DUMMYFUNCTION("""COMPUTED_VALUE"""),"Ncr")</f>
        <v>Ncr</v>
      </c>
      <c r="P6647" s="33">
        <f>IFERROR(__xludf.DUMMYFUNCTION("""COMPUTED_VALUE"""),1.0)</f>
        <v>1</v>
      </c>
      <c r="Q6647" s="4" t="str">
        <f>IFERROR(__xludf.DUMMYFUNCTION("""COMPUTED_VALUE"""),"Ncr")</f>
        <v>Ncr</v>
      </c>
      <c r="R6647" s="33">
        <f>IFERROR(__xludf.DUMMYFUNCTION("""COMPUTED_VALUE"""),1.0)</f>
        <v>1</v>
      </c>
      <c r="S6647" s="4" t="str">
        <f>IFERROR(__xludf.DUMMYFUNCTION("""COMPUTED_VALUE"""),"Ncr")</f>
        <v>Ncr</v>
      </c>
      <c r="T6647" s="33">
        <f>IFERROR(__xludf.DUMMYFUNCTION("""COMPUTED_VALUE"""),0.5)</f>
        <v>0.5</v>
      </c>
      <c r="U6647" s="4" t="str">
        <f>IFERROR(__xludf.DUMMYFUNCTION("""COMPUTED_VALUE"""),"Ncr")</f>
        <v>Ncr</v>
      </c>
      <c r="V6647" s="33">
        <f>IFERROR(__xludf.DUMMYFUNCTION("""COMPUTED_VALUE"""),1.0)</f>
        <v>1</v>
      </c>
      <c r="W6647" s="4" t="str">
        <f>IFERROR(__xludf.DUMMYFUNCTION("""COMPUTED_VALUE"""),"Ncr")</f>
        <v>Ncr</v>
      </c>
      <c r="X6647" s="33">
        <f>IFERROR(__xludf.DUMMYFUNCTION("""COMPUTED_VALUE"""),1.0)</f>
        <v>1</v>
      </c>
    </row>
    <row r="6648">
      <c r="K6648" s="4" t="str">
        <f>IFERROR(__xludf.DUMMYFUNCTION("""COMPUTED_VALUE"""),"BARAKAH")</f>
        <v>BARAKAH</v>
      </c>
      <c r="L6648" s="32">
        <f>IFERROR(__xludf.DUMMYFUNCTION("""COMPUTED_VALUE"""),2.0)</f>
        <v>2</v>
      </c>
      <c r="M6648" s="4" t="str">
        <f>IFERROR(__xludf.DUMMYFUNCTION("""COMPUTED_VALUE"""),"Ld Consultoria Em Gestão Empresarial")</f>
        <v>Ld Consultoria Em Gestão Empresarial</v>
      </c>
      <c r="N6648" s="33">
        <f>IFERROR(__xludf.DUMMYFUNCTION("""COMPUTED_VALUE"""),1.0)</f>
        <v>1</v>
      </c>
      <c r="O6648" s="4" t="str">
        <f>IFERROR(__xludf.DUMMYFUNCTION("""COMPUTED_VALUE"""),"Ld Consultoria Em Gestão Empresarial")</f>
        <v>Ld Consultoria Em Gestão Empresarial</v>
      </c>
      <c r="P6648" s="33">
        <f>IFERROR(__xludf.DUMMYFUNCTION("""COMPUTED_VALUE"""),1.0)</f>
        <v>1</v>
      </c>
      <c r="Q6648" s="4" t="str">
        <f>IFERROR(__xludf.DUMMYFUNCTION("""COMPUTED_VALUE"""),"Ld Consultoria Em Gestão Empresarial")</f>
        <v>Ld Consultoria Em Gestão Empresarial</v>
      </c>
      <c r="R6648" s="33">
        <f>IFERROR(__xludf.DUMMYFUNCTION("""COMPUTED_VALUE"""),1.0)</f>
        <v>1</v>
      </c>
      <c r="S6648" s="4" t="str">
        <f>IFERROR(__xludf.DUMMYFUNCTION("""COMPUTED_VALUE"""),"Ld Consultoria Em Gestão Empresarial")</f>
        <v>Ld Consultoria Em Gestão Empresarial</v>
      </c>
      <c r="T6648" s="33">
        <f>IFERROR(__xludf.DUMMYFUNCTION("""COMPUTED_VALUE"""),1.0)</f>
        <v>1</v>
      </c>
      <c r="U6648" s="4" t="str">
        <f>IFERROR(__xludf.DUMMYFUNCTION("""COMPUTED_VALUE"""),"Ld Consultoria Em Gestão Empresarial")</f>
        <v>Ld Consultoria Em Gestão Empresarial</v>
      </c>
      <c r="V6648" s="33">
        <f>IFERROR(__xludf.DUMMYFUNCTION("""COMPUTED_VALUE"""),1.0)</f>
        <v>1</v>
      </c>
      <c r="W6648" s="4" t="str">
        <f>IFERROR(__xludf.DUMMYFUNCTION("""COMPUTED_VALUE"""),"Ld Consultoria Em Gestão Empresarial")</f>
        <v>Ld Consultoria Em Gestão Empresarial</v>
      </c>
      <c r="X6648" s="33">
        <f>IFERROR(__xludf.DUMMYFUNCTION("""COMPUTED_VALUE"""),1.0)</f>
        <v>1</v>
      </c>
    </row>
    <row r="6649">
      <c r="K6649" s="4" t="str">
        <f>IFERROR(__xludf.DUMMYFUNCTION("""COMPUTED_VALUE"""),"BARAO JOINVILLE - CONTA MARCA")</f>
        <v>BARAO JOINVILLE - CONTA MARCA</v>
      </c>
      <c r="L6649" s="32">
        <f>IFERROR(__xludf.DUMMYFUNCTION("""COMPUTED_VALUE"""),2.0)</f>
        <v>2</v>
      </c>
      <c r="M6649" s="4" t="str">
        <f>IFERROR(__xludf.DUMMYFUNCTION("""COMPUTED_VALUE"""),"Jaxtech")</f>
        <v>Jaxtech</v>
      </c>
      <c r="N6649" s="33">
        <f>IFERROR(__xludf.DUMMYFUNCTION("""COMPUTED_VALUE"""),1.0)</f>
        <v>1</v>
      </c>
      <c r="O6649" s="4" t="str">
        <f>IFERROR(__xludf.DUMMYFUNCTION("""COMPUTED_VALUE"""),"Jaxtech")</f>
        <v>Jaxtech</v>
      </c>
      <c r="P6649" s="33">
        <f>IFERROR(__xludf.DUMMYFUNCTION("""COMPUTED_VALUE"""),0.5)</f>
        <v>0.5</v>
      </c>
      <c r="Q6649" s="4" t="str">
        <f>IFERROR(__xludf.DUMMYFUNCTION("""COMPUTED_VALUE"""),"Jaxtech")</f>
        <v>Jaxtech</v>
      </c>
      <c r="R6649" s="33">
        <f>IFERROR(__xludf.DUMMYFUNCTION("""COMPUTED_VALUE"""),0.5)</f>
        <v>0.5</v>
      </c>
      <c r="S6649" s="4" t="str">
        <f>IFERROR(__xludf.DUMMYFUNCTION("""COMPUTED_VALUE"""),"null")</f>
        <v>null</v>
      </c>
      <c r="T6649" s="33">
        <f>IFERROR(__xludf.DUMMYFUNCTION("""COMPUTED_VALUE"""),1.0)</f>
        <v>1</v>
      </c>
      <c r="U6649" s="4" t="str">
        <f>IFERROR(__xludf.DUMMYFUNCTION("""COMPUTED_VALUE"""),"null")</f>
        <v>null</v>
      </c>
      <c r="V6649" s="33">
        <f>IFERROR(__xludf.DUMMYFUNCTION("""COMPUTED_VALUE"""),1.0)</f>
        <v>1</v>
      </c>
      <c r="W6649" s="4" t="str">
        <f>IFERROR(__xludf.DUMMYFUNCTION("""COMPUTED_VALUE"""),"null")</f>
        <v>null</v>
      </c>
      <c r="X6649" s="33">
        <f>IFERROR(__xludf.DUMMYFUNCTION("""COMPUTED_VALUE"""),0.5)</f>
        <v>0.5</v>
      </c>
    </row>
    <row r="6650">
      <c r="K6650" s="4" t="str">
        <f>IFERROR(__xludf.DUMMYFUNCTION("""COMPUTED_VALUE"""),"BARDEGA CONTA PAI")</f>
        <v>BARDEGA CONTA PAI</v>
      </c>
      <c r="L6650" s="32">
        <f>IFERROR(__xludf.DUMMYFUNCTION("""COMPUTED_VALUE"""),2.0)</f>
        <v>2</v>
      </c>
      <c r="M6650" s="4" t="str">
        <f>IFERROR(__xludf.DUMMYFUNCTION("""COMPUTED_VALUE"""),"null")</f>
        <v>null</v>
      </c>
      <c r="N6650" s="33">
        <f>IFERROR(__xludf.DUMMYFUNCTION("""COMPUTED_VALUE"""),0.5)</f>
        <v>0.5</v>
      </c>
      <c r="O6650" s="4" t="str">
        <f>IFERROR(__xludf.DUMMYFUNCTION("""COMPUTED_VALUE"""),"null")</f>
        <v>null</v>
      </c>
      <c r="P6650" s="33">
        <f>IFERROR(__xludf.DUMMYFUNCTION("""COMPUTED_VALUE"""),0.5)</f>
        <v>0.5</v>
      </c>
      <c r="Q6650" s="4" t="str">
        <f>IFERROR(__xludf.DUMMYFUNCTION("""COMPUTED_VALUE"""),"Swfast Sistemas")</f>
        <v>Swfast Sistemas</v>
      </c>
      <c r="R6650" s="33">
        <f>IFERROR(__xludf.DUMMYFUNCTION("""COMPUTED_VALUE"""),1.0)</f>
        <v>1</v>
      </c>
      <c r="S6650" s="4" t="str">
        <f>IFERROR(__xludf.DUMMYFUNCTION("""COMPUTED_VALUE"""),"null")</f>
        <v>null</v>
      </c>
      <c r="T6650" s="33">
        <f>IFERROR(__xludf.DUMMYFUNCTION("""COMPUTED_VALUE"""),1.0)</f>
        <v>1</v>
      </c>
      <c r="U6650" s="4" t="str">
        <f>IFERROR(__xludf.DUMMYFUNCTION("""COMPUTED_VALUE"""),"null")</f>
        <v>null</v>
      </c>
      <c r="V6650" s="33">
        <f>IFERROR(__xludf.DUMMYFUNCTION("""COMPUTED_VALUE"""),1.0)</f>
        <v>1</v>
      </c>
      <c r="W6650" s="4" t="str">
        <f>IFERROR(__xludf.DUMMYFUNCTION("""COMPUTED_VALUE"""),"null")</f>
        <v>null</v>
      </c>
      <c r="X6650" s="33">
        <f>IFERROR(__xludf.DUMMYFUNCTION("""COMPUTED_VALUE"""),0.5)</f>
        <v>0.5</v>
      </c>
    </row>
    <row r="6651">
      <c r="K6651" s="4" t="str">
        <f>IFERROR(__xludf.DUMMYFUNCTION("""COMPUTED_VALUE"""),"BAROLLO - AM")</f>
        <v>BAROLLO - AM</v>
      </c>
      <c r="L6651" s="32">
        <f>IFERROR(__xludf.DUMMYFUNCTION("""COMPUTED_VALUE"""),2.0)</f>
        <v>2</v>
      </c>
      <c r="M6651" s="4" t="str">
        <f>IFERROR(__xludf.DUMMYFUNCTION("""COMPUTED_VALUE"""),"Proabakus Desenvolvimento De Sistemas Ltda")</f>
        <v>Proabakus Desenvolvimento De Sistemas Ltda</v>
      </c>
      <c r="N6651" s="33">
        <f>IFERROR(__xludf.DUMMYFUNCTION("""COMPUTED_VALUE"""),1.0)</f>
        <v>1</v>
      </c>
      <c r="O6651" s="4" t="str">
        <f>IFERROR(__xludf.DUMMYFUNCTION("""COMPUTED_VALUE"""),"Proabakus Desenvolvimento De Sistemas Ltda")</f>
        <v>Proabakus Desenvolvimento De Sistemas Ltda</v>
      </c>
      <c r="P6651" s="33">
        <f>IFERROR(__xludf.DUMMYFUNCTION("""COMPUTED_VALUE"""),1.0)</f>
        <v>1</v>
      </c>
      <c r="Q6651" s="4" t="str">
        <f>IFERROR(__xludf.DUMMYFUNCTION("""COMPUTED_VALUE"""),"Proabakus Desenvolvimento De Sistemas Ltda")</f>
        <v>Proabakus Desenvolvimento De Sistemas Ltda</v>
      </c>
      <c r="R6651" s="33">
        <f>IFERROR(__xludf.DUMMYFUNCTION("""COMPUTED_VALUE"""),1.0)</f>
        <v>1</v>
      </c>
      <c r="S6651" s="4" t="str">
        <f>IFERROR(__xludf.DUMMYFUNCTION("""COMPUTED_VALUE"""),"Saipos Serviços De Software")</f>
        <v>Saipos Serviços De Software</v>
      </c>
      <c r="T6651" s="33">
        <f>IFERROR(__xludf.DUMMYFUNCTION("""COMPUTED_VALUE"""),1.0)</f>
        <v>1</v>
      </c>
      <c r="U6651" s="4" t="str">
        <f>IFERROR(__xludf.DUMMYFUNCTION("""COMPUTED_VALUE"""),"Saipos Serviços De Software")</f>
        <v>Saipos Serviços De Software</v>
      </c>
      <c r="V6651" s="33">
        <f>IFERROR(__xludf.DUMMYFUNCTION("""COMPUTED_VALUE"""),1.0)</f>
        <v>1</v>
      </c>
      <c r="W6651" s="4" t="str">
        <f>IFERROR(__xludf.DUMMYFUNCTION("""COMPUTED_VALUE"""),"Saipos Serviços De Software")</f>
        <v>Saipos Serviços De Software</v>
      </c>
      <c r="X6651" s="33">
        <f>IFERROR(__xludf.DUMMYFUNCTION("""COMPUTED_VALUE"""),1.0)</f>
        <v>1</v>
      </c>
    </row>
    <row r="6652">
      <c r="K6652" s="4" t="str">
        <f>IFERROR(__xludf.DUMMYFUNCTION("""COMPUTED_VALUE"""),"BAROLO")</f>
        <v>BAROLO</v>
      </c>
      <c r="L6652" s="32">
        <f>IFERROR(__xludf.DUMMYFUNCTION("""COMPUTED_VALUE"""),2.0)</f>
        <v>2</v>
      </c>
      <c r="M6652" s="4" t="str">
        <f>IFERROR(__xludf.DUMMYFUNCTION("""COMPUTED_VALUE"""),"Cloudfy")</f>
        <v>Cloudfy</v>
      </c>
      <c r="N6652" s="33">
        <f>IFERROR(__xludf.DUMMYFUNCTION("""COMPUTED_VALUE"""),1.0)</f>
        <v>1</v>
      </c>
      <c r="O6652" s="4" t="str">
        <f>IFERROR(__xludf.DUMMYFUNCTION("""COMPUTED_VALUE"""),"Cloudfy")</f>
        <v>Cloudfy</v>
      </c>
      <c r="P6652" s="33">
        <f>IFERROR(__xludf.DUMMYFUNCTION("""COMPUTED_VALUE"""),1.0)</f>
        <v>1</v>
      </c>
      <c r="Q6652" s="4" t="str">
        <f>IFERROR(__xludf.DUMMYFUNCTION("""COMPUTED_VALUE"""),"Cloudfy")</f>
        <v>Cloudfy</v>
      </c>
      <c r="R6652" s="33">
        <f>IFERROR(__xludf.DUMMYFUNCTION("""COMPUTED_VALUE"""),1.0)</f>
        <v>1</v>
      </c>
      <c r="S6652" s="4" t="str">
        <f>IFERROR(__xludf.DUMMYFUNCTION("""COMPUTED_VALUE"""),"Cloudfy")</f>
        <v>Cloudfy</v>
      </c>
      <c r="T6652" s="33">
        <f>IFERROR(__xludf.DUMMYFUNCTION("""COMPUTED_VALUE"""),1.0)</f>
        <v>1</v>
      </c>
      <c r="U6652" s="4" t="str">
        <f>IFERROR(__xludf.DUMMYFUNCTION("""COMPUTED_VALUE"""),"Cloudfy")</f>
        <v>Cloudfy</v>
      </c>
      <c r="V6652" s="33">
        <f>IFERROR(__xludf.DUMMYFUNCTION("""COMPUTED_VALUE"""),1.0)</f>
        <v>1</v>
      </c>
      <c r="W6652" s="4" t="str">
        <f>IFERROR(__xludf.DUMMYFUNCTION("""COMPUTED_VALUE"""),"Cloudfy")</f>
        <v>Cloudfy</v>
      </c>
      <c r="X6652" s="33">
        <f>IFERROR(__xludf.DUMMYFUNCTION("""COMPUTED_VALUE"""),1.0)</f>
        <v>1</v>
      </c>
    </row>
    <row r="6653">
      <c r="K6653" s="4" t="str">
        <f>IFERROR(__xludf.DUMMYFUNCTION("""COMPUTED_VALUE"""),"BAROLO TRATTORIA CURITIBA")</f>
        <v>BAROLO TRATTORIA CURITIBA</v>
      </c>
      <c r="L6653" s="32">
        <f>IFERROR(__xludf.DUMMYFUNCTION("""COMPUTED_VALUE"""),2.0)</f>
        <v>2</v>
      </c>
      <c r="M6653" s="4" t="str">
        <f>IFERROR(__xludf.DUMMYFUNCTION("""COMPUTED_VALUE"""),"Noah Sistemas Ltda")</f>
        <v>Noah Sistemas Ltda</v>
      </c>
      <c r="N6653" s="33">
        <f>IFERROR(__xludf.DUMMYFUNCTION("""COMPUTED_VALUE"""),0.5)</f>
        <v>0.5</v>
      </c>
      <c r="O6653" s="4" t="str">
        <f>IFERROR(__xludf.DUMMYFUNCTION("""COMPUTED_VALUE"""),"Noah Sistemas Ltda")</f>
        <v>Noah Sistemas Ltda</v>
      </c>
      <c r="P6653" s="33">
        <f>IFERROR(__xludf.DUMMYFUNCTION("""COMPUTED_VALUE"""),0.5)</f>
        <v>0.5</v>
      </c>
      <c r="Q6653" s="4" t="str">
        <f>IFERROR(__xludf.DUMMYFUNCTION("""COMPUTED_VALUE"""),"Noah Sistemas Ltda")</f>
        <v>Noah Sistemas Ltda</v>
      </c>
      <c r="R6653" s="33">
        <f>IFERROR(__xludf.DUMMYFUNCTION("""COMPUTED_VALUE"""),0.5)</f>
        <v>0.5</v>
      </c>
      <c r="S6653" s="4" t="str">
        <f>IFERROR(__xludf.DUMMYFUNCTION("""COMPUTED_VALUE"""),"Noah Sistemas Ltda")</f>
        <v>Noah Sistemas Ltda</v>
      </c>
      <c r="T6653" s="33">
        <f>IFERROR(__xludf.DUMMYFUNCTION("""COMPUTED_VALUE"""),0.5)</f>
        <v>0.5</v>
      </c>
      <c r="U6653" s="4" t="str">
        <f>IFERROR(__xludf.DUMMYFUNCTION("""COMPUTED_VALUE"""),"null")</f>
        <v>null</v>
      </c>
      <c r="V6653" s="33">
        <f>IFERROR(__xludf.DUMMYFUNCTION("""COMPUTED_VALUE"""),0.5)</f>
        <v>0.5</v>
      </c>
      <c r="W6653" s="4" t="str">
        <f>IFERROR(__xludf.DUMMYFUNCTION("""COMPUTED_VALUE"""),"Noah Sistemas Ltda")</f>
        <v>Noah Sistemas Ltda</v>
      </c>
      <c r="X6653" s="33">
        <f>IFERROR(__xludf.DUMMYFUNCTION("""COMPUTED_VALUE"""),0.5)</f>
        <v>0.5</v>
      </c>
    </row>
    <row r="6654">
      <c r="K6654" s="4" t="str">
        <f>IFERROR(__xludf.DUMMYFUNCTION("""COMPUTED_VALUE"""),"BATATA DA PAZ")</f>
        <v>BATATA DA PAZ</v>
      </c>
      <c r="L6654" s="32">
        <f>IFERROR(__xludf.DUMMYFUNCTION("""COMPUTED_VALUE"""),2.0)</f>
        <v>2</v>
      </c>
      <c r="M6654" s="4" t="str">
        <f>IFERROR(__xludf.DUMMYFUNCTION("""COMPUTED_VALUE"""),"Saipos Serviços De Software")</f>
        <v>Saipos Serviços De Software</v>
      </c>
      <c r="N6654" s="33">
        <f>IFERROR(__xludf.DUMMYFUNCTION("""COMPUTED_VALUE"""),1.0)</f>
        <v>1</v>
      </c>
      <c r="O6654" s="4" t="str">
        <f>IFERROR(__xludf.DUMMYFUNCTION("""COMPUTED_VALUE"""),"Saipos Serviços De Software")</f>
        <v>Saipos Serviços De Software</v>
      </c>
      <c r="P6654" s="33">
        <f>IFERROR(__xludf.DUMMYFUNCTION("""COMPUTED_VALUE"""),1.0)</f>
        <v>1</v>
      </c>
      <c r="Q6654" s="4" t="str">
        <f>IFERROR(__xludf.DUMMYFUNCTION("""COMPUTED_VALUE"""),"Saipos Serviços De Software")</f>
        <v>Saipos Serviços De Software</v>
      </c>
      <c r="R6654" s="33">
        <f>IFERROR(__xludf.DUMMYFUNCTION("""COMPUTED_VALUE"""),1.0)</f>
        <v>1</v>
      </c>
      <c r="S6654" s="4" t="str">
        <f>IFERROR(__xludf.DUMMYFUNCTION("""COMPUTED_VALUE"""),"Saipos Serviços De Software")</f>
        <v>Saipos Serviços De Software</v>
      </c>
      <c r="T6654" s="33">
        <f>IFERROR(__xludf.DUMMYFUNCTION("""COMPUTED_VALUE"""),1.0)</f>
        <v>1</v>
      </c>
      <c r="U6654" s="4" t="str">
        <f>IFERROR(__xludf.DUMMYFUNCTION("""COMPUTED_VALUE"""),"Saipos Serviços De Software")</f>
        <v>Saipos Serviços De Software</v>
      </c>
      <c r="V6654" s="33">
        <f>IFERROR(__xludf.DUMMYFUNCTION("""COMPUTED_VALUE"""),1.0)</f>
        <v>1</v>
      </c>
      <c r="W6654" s="4" t="str">
        <f>IFERROR(__xludf.DUMMYFUNCTION("""COMPUTED_VALUE"""),"Saipos Serviços De Software")</f>
        <v>Saipos Serviços De Software</v>
      </c>
      <c r="X6654" s="33">
        <f>IFERROR(__xludf.DUMMYFUNCTION("""COMPUTED_VALUE"""),1.0)</f>
        <v>1</v>
      </c>
    </row>
    <row r="6655">
      <c r="K6655" s="4" t="str">
        <f>IFERROR(__xludf.DUMMYFUNCTION("""COMPUTED_VALUE"""),"BATE BURGER - HAMBURGUERIA ARTESANAL - UBERLANDIA")</f>
        <v>BATE BURGER - HAMBURGUERIA ARTESANAL - UBERLANDIA</v>
      </c>
      <c r="L6655" s="32">
        <f>IFERROR(__xludf.DUMMYFUNCTION("""COMPUTED_VALUE"""),2.0)</f>
        <v>2</v>
      </c>
      <c r="M6655" s="4" t="str">
        <f>IFERROR(__xludf.DUMMYFUNCTION("""COMPUTED_VALUE"""),"null")</f>
        <v>null</v>
      </c>
      <c r="N6655" s="33">
        <f>IFERROR(__xludf.DUMMYFUNCTION("""COMPUTED_VALUE"""),0.5)</f>
        <v>0.5</v>
      </c>
      <c r="O6655" s="4" t="str">
        <f>IFERROR(__xludf.DUMMYFUNCTION("""COMPUTED_VALUE"""),"null")</f>
        <v>null</v>
      </c>
      <c r="P6655" s="33">
        <f>IFERROR(__xludf.DUMMYFUNCTION("""COMPUTED_VALUE"""),0.5)</f>
        <v>0.5</v>
      </c>
      <c r="Q6655" s="4" t="str">
        <f>IFERROR(__xludf.DUMMYFUNCTION("""COMPUTED_VALUE"""),"null")</f>
        <v>null</v>
      </c>
      <c r="R6655" s="33">
        <f>IFERROR(__xludf.DUMMYFUNCTION("""COMPUTED_VALUE"""),0.5)</f>
        <v>0.5</v>
      </c>
      <c r="S6655" s="4" t="str">
        <f>IFERROR(__xludf.DUMMYFUNCTION("""COMPUTED_VALUE"""),"Saipos Serviços De Software")</f>
        <v>Saipos Serviços De Software</v>
      </c>
      <c r="T6655" s="33">
        <f>IFERROR(__xludf.DUMMYFUNCTION("""COMPUTED_VALUE"""),1.0)</f>
        <v>1</v>
      </c>
      <c r="U6655" s="4" t="str">
        <f>IFERROR(__xludf.DUMMYFUNCTION("""COMPUTED_VALUE"""),"Saipos Serviços De Software")</f>
        <v>Saipos Serviços De Software</v>
      </c>
      <c r="V6655" s="33">
        <f>IFERROR(__xludf.DUMMYFUNCTION("""COMPUTED_VALUE"""),1.0)</f>
        <v>1</v>
      </c>
      <c r="W6655" s="4" t="str">
        <f>IFERROR(__xludf.DUMMYFUNCTION("""COMPUTED_VALUE"""),"Saipos Serviços De Software")</f>
        <v>Saipos Serviços De Software</v>
      </c>
      <c r="X6655" s="33">
        <f>IFERROR(__xludf.DUMMYFUNCTION("""COMPUTED_VALUE"""),1.0)</f>
        <v>1</v>
      </c>
    </row>
    <row r="6656">
      <c r="K6656" s="4" t="str">
        <f>IFERROR(__xludf.DUMMYFUNCTION("""COMPUTED_VALUE"""),"BATTAGINI PIZZAS")</f>
        <v>BATTAGINI PIZZAS</v>
      </c>
      <c r="L6656" s="32">
        <f>IFERROR(__xludf.DUMMYFUNCTION("""COMPUTED_VALUE"""),2.0)</f>
        <v>2</v>
      </c>
      <c r="M6656" s="4" t="str">
        <f>IFERROR(__xludf.DUMMYFUNCTION("""COMPUTED_VALUE"""),"Cardápio Web")</f>
        <v>Cardápio Web</v>
      </c>
      <c r="N6656" s="33">
        <f>IFERROR(__xludf.DUMMYFUNCTION("""COMPUTED_VALUE"""),1.0)</f>
        <v>1</v>
      </c>
      <c r="O6656" s="4" t="str">
        <f>IFERROR(__xludf.DUMMYFUNCTION("""COMPUTED_VALUE"""),"Cardápio Web")</f>
        <v>Cardápio Web</v>
      </c>
      <c r="P6656" s="33">
        <f>IFERROR(__xludf.DUMMYFUNCTION("""COMPUTED_VALUE"""),1.0)</f>
        <v>1</v>
      </c>
      <c r="Q6656" s="4" t="str">
        <f>IFERROR(__xludf.DUMMYFUNCTION("""COMPUTED_VALUE"""),"Cardápio Web")</f>
        <v>Cardápio Web</v>
      </c>
      <c r="R6656" s="33">
        <f>IFERROR(__xludf.DUMMYFUNCTION("""COMPUTED_VALUE"""),1.0)</f>
        <v>1</v>
      </c>
      <c r="S6656" s="4" t="str">
        <f>IFERROR(__xludf.DUMMYFUNCTION("""COMPUTED_VALUE"""),"Cardápio Web")</f>
        <v>Cardápio Web</v>
      </c>
      <c r="T6656" s="33">
        <f>IFERROR(__xludf.DUMMYFUNCTION("""COMPUTED_VALUE"""),1.0)</f>
        <v>1</v>
      </c>
      <c r="U6656" s="4" t="str">
        <f>IFERROR(__xludf.DUMMYFUNCTION("""COMPUTED_VALUE"""),"Cardápio Web")</f>
        <v>Cardápio Web</v>
      </c>
      <c r="V6656" s="33">
        <f>IFERROR(__xludf.DUMMYFUNCTION("""COMPUTED_VALUE"""),1.0)</f>
        <v>1</v>
      </c>
      <c r="W6656" s="4" t="str">
        <f>IFERROR(__xludf.DUMMYFUNCTION("""COMPUTED_VALUE"""),"Cardápio Web")</f>
        <v>Cardápio Web</v>
      </c>
      <c r="X6656" s="33">
        <f>IFERROR(__xludf.DUMMYFUNCTION("""COMPUTED_VALUE"""),1.0)</f>
        <v>1</v>
      </c>
    </row>
    <row r="6657">
      <c r="K6657" s="4" t="str">
        <f>IFERROR(__xludf.DUMMYFUNCTION("""COMPUTED_VALUE"""),"BAURU TRIANON LANCHES - MARCA")</f>
        <v>BAURU TRIANON LANCHES - MARCA</v>
      </c>
      <c r="L6657" s="32">
        <f>IFERROR(__xludf.DUMMYFUNCTION("""COMPUTED_VALUE"""),2.0)</f>
        <v>2</v>
      </c>
      <c r="M6657" s="4" t="str">
        <f>IFERROR(__xludf.DUMMYFUNCTION("""COMPUTED_VALUE"""),"Lexsis Sistemas")</f>
        <v>Lexsis Sistemas</v>
      </c>
      <c r="N6657" s="33">
        <f>IFERROR(__xludf.DUMMYFUNCTION("""COMPUTED_VALUE"""),1.0)</f>
        <v>1</v>
      </c>
      <c r="O6657" s="4" t="str">
        <f>IFERROR(__xludf.DUMMYFUNCTION("""COMPUTED_VALUE"""),"Lexsis Sistemas")</f>
        <v>Lexsis Sistemas</v>
      </c>
      <c r="P6657" s="33">
        <f>IFERROR(__xludf.DUMMYFUNCTION("""COMPUTED_VALUE"""),1.0)</f>
        <v>1</v>
      </c>
      <c r="Q6657" s="4" t="str">
        <f>IFERROR(__xludf.DUMMYFUNCTION("""COMPUTED_VALUE"""),"Lexsis Sistemas")</f>
        <v>Lexsis Sistemas</v>
      </c>
      <c r="R6657" s="33">
        <f>IFERROR(__xludf.DUMMYFUNCTION("""COMPUTED_VALUE"""),1.0)</f>
        <v>1</v>
      </c>
      <c r="S6657" s="4" t="str">
        <f>IFERROR(__xludf.DUMMYFUNCTION("""COMPUTED_VALUE"""),"Lexsis Sistemas")</f>
        <v>Lexsis Sistemas</v>
      </c>
      <c r="T6657" s="33">
        <f>IFERROR(__xludf.DUMMYFUNCTION("""COMPUTED_VALUE"""),1.0)</f>
        <v>1</v>
      </c>
      <c r="U6657" s="4" t="str">
        <f>IFERROR(__xludf.DUMMYFUNCTION("""COMPUTED_VALUE"""),"Lexsis Sistemas")</f>
        <v>Lexsis Sistemas</v>
      </c>
      <c r="V6657" s="33">
        <f>IFERROR(__xludf.DUMMYFUNCTION("""COMPUTED_VALUE"""),1.0)</f>
        <v>1</v>
      </c>
      <c r="W6657" s="4" t="str">
        <f>IFERROR(__xludf.DUMMYFUNCTION("""COMPUTED_VALUE"""),"Lexsis Sistemas")</f>
        <v>Lexsis Sistemas</v>
      </c>
      <c r="X6657" s="33">
        <f>IFERROR(__xludf.DUMMYFUNCTION("""COMPUTED_VALUE"""),1.0)</f>
        <v>1</v>
      </c>
    </row>
    <row r="6658">
      <c r="K6658" s="4" t="str">
        <f>IFERROR(__xludf.DUMMYFUNCTION("""COMPUTED_VALUE"""),"BBB-BURGUERIA MARCA")</f>
        <v>BBB-BURGUERIA MARCA</v>
      </c>
      <c r="L6658" s="32">
        <f>IFERROR(__xludf.DUMMYFUNCTION("""COMPUTED_VALUE"""),2.0)</f>
        <v>2</v>
      </c>
      <c r="M6658" s="4" t="str">
        <f>IFERROR(__xludf.DUMMYFUNCTION("""COMPUTED_VALUE"""),"One Solucoes")</f>
        <v>One Solucoes</v>
      </c>
      <c r="N6658" s="33">
        <f>IFERROR(__xludf.DUMMYFUNCTION("""COMPUTED_VALUE"""),1.0)</f>
        <v>1</v>
      </c>
      <c r="O6658" s="4" t="str">
        <f>IFERROR(__xludf.DUMMYFUNCTION("""COMPUTED_VALUE"""),"One Solucoes")</f>
        <v>One Solucoes</v>
      </c>
      <c r="P6658" s="33">
        <f>IFERROR(__xludf.DUMMYFUNCTION("""COMPUTED_VALUE"""),1.0)</f>
        <v>1</v>
      </c>
      <c r="Q6658" s="4" t="str">
        <f>IFERROR(__xludf.DUMMYFUNCTION("""COMPUTED_VALUE"""),"One Solucoes")</f>
        <v>One Solucoes</v>
      </c>
      <c r="R6658" s="33">
        <f>IFERROR(__xludf.DUMMYFUNCTION("""COMPUTED_VALUE"""),1.0)</f>
        <v>1</v>
      </c>
      <c r="S6658" s="4" t="str">
        <f>IFERROR(__xludf.DUMMYFUNCTION("""COMPUTED_VALUE"""),"One Solucoes")</f>
        <v>One Solucoes</v>
      </c>
      <c r="T6658" s="33">
        <f>IFERROR(__xludf.DUMMYFUNCTION("""COMPUTED_VALUE"""),1.0)</f>
        <v>1</v>
      </c>
      <c r="U6658" s="4" t="str">
        <f>IFERROR(__xludf.DUMMYFUNCTION("""COMPUTED_VALUE"""),"One Solucoes")</f>
        <v>One Solucoes</v>
      </c>
      <c r="V6658" s="33">
        <f>IFERROR(__xludf.DUMMYFUNCTION("""COMPUTED_VALUE"""),1.0)</f>
        <v>1</v>
      </c>
      <c r="W6658" s="4" t="str">
        <f>IFERROR(__xludf.DUMMYFUNCTION("""COMPUTED_VALUE"""),"One Solucoes")</f>
        <v>One Solucoes</v>
      </c>
      <c r="X6658" s="33">
        <f>IFERROR(__xludf.DUMMYFUNCTION("""COMPUTED_VALUE"""),1.0)</f>
        <v>1</v>
      </c>
    </row>
    <row r="6659">
      <c r="K6659" s="4" t="str">
        <f>IFERROR(__xludf.DUMMYFUNCTION("""COMPUTED_VALUE"""),"BEIRUTTINO")</f>
        <v>BEIRUTTINO</v>
      </c>
      <c r="L6659" s="32">
        <f>IFERROR(__xludf.DUMMYFUNCTION("""COMPUTED_VALUE"""),2.0)</f>
        <v>2</v>
      </c>
      <c r="M6659" s="4" t="str">
        <f>IFERROR(__xludf.DUMMYFUNCTION("""COMPUTED_VALUE"""),"null")</f>
        <v>null</v>
      </c>
      <c r="N6659" s="33">
        <f>IFERROR(__xludf.DUMMYFUNCTION("""COMPUTED_VALUE"""),0.5)</f>
        <v>0.5</v>
      </c>
      <c r="O6659" s="4" t="str">
        <f>IFERROR(__xludf.DUMMYFUNCTION("""COMPUTED_VALUE"""),"null")</f>
        <v>null</v>
      </c>
      <c r="P6659" s="33">
        <f>IFERROR(__xludf.DUMMYFUNCTION("""COMPUTED_VALUE"""),0.5)</f>
        <v>0.5</v>
      </c>
      <c r="Q6659" s="4" t="str">
        <f>IFERROR(__xludf.DUMMYFUNCTION("""COMPUTED_VALUE"""),"null")</f>
        <v>null</v>
      </c>
      <c r="R6659" s="33">
        <f>IFERROR(__xludf.DUMMYFUNCTION("""COMPUTED_VALUE"""),0.5)</f>
        <v>0.5</v>
      </c>
      <c r="S6659" s="4" t="str">
        <f>IFERROR(__xludf.DUMMYFUNCTION("""COMPUTED_VALUE"""),"Saipos Serviços De Software")</f>
        <v>Saipos Serviços De Software</v>
      </c>
      <c r="T6659" s="33">
        <f>IFERROR(__xludf.DUMMYFUNCTION("""COMPUTED_VALUE"""),1.0)</f>
        <v>1</v>
      </c>
      <c r="U6659" s="4" t="str">
        <f>IFERROR(__xludf.DUMMYFUNCTION("""COMPUTED_VALUE"""),"Saipos Serviços De Software")</f>
        <v>Saipos Serviços De Software</v>
      </c>
      <c r="V6659" s="33">
        <f>IFERROR(__xludf.DUMMYFUNCTION("""COMPUTED_VALUE"""),1.0)</f>
        <v>1</v>
      </c>
      <c r="W6659" s="4" t="str">
        <f>IFERROR(__xludf.DUMMYFUNCTION("""COMPUTED_VALUE"""),"Saipos Serviços De Software")</f>
        <v>Saipos Serviços De Software</v>
      </c>
      <c r="X6659" s="33">
        <f>IFERROR(__xludf.DUMMYFUNCTION("""COMPUTED_VALUE"""),1.0)</f>
        <v>1</v>
      </c>
    </row>
    <row r="6660">
      <c r="K6660" s="4" t="str">
        <f>IFERROR(__xludf.DUMMYFUNCTION("""COMPUTED_VALUE"""),"BEL LANCHES - CONTA PAI")</f>
        <v>BEL LANCHES - CONTA PAI</v>
      </c>
      <c r="L6660" s="32">
        <f>IFERROR(__xludf.DUMMYFUNCTION("""COMPUTED_VALUE"""),2.0)</f>
        <v>2</v>
      </c>
      <c r="M6660" s="4" t="str">
        <f>IFERROR(__xludf.DUMMYFUNCTION("""COMPUTED_VALUE"""),"null")</f>
        <v>null</v>
      </c>
      <c r="N6660" s="33">
        <f>IFERROR(__xludf.DUMMYFUNCTION("""COMPUTED_VALUE"""),1.0)</f>
        <v>1</v>
      </c>
      <c r="O6660" s="4" t="str">
        <f>IFERROR(__xludf.DUMMYFUNCTION("""COMPUTED_VALUE"""),"null")</f>
        <v>null</v>
      </c>
      <c r="P6660" s="33">
        <f>IFERROR(__xludf.DUMMYFUNCTION("""COMPUTED_VALUE"""),1.0)</f>
        <v>1</v>
      </c>
      <c r="Q6660" s="4" t="str">
        <f>IFERROR(__xludf.DUMMYFUNCTION("""COMPUTED_VALUE"""),"null")</f>
        <v>null</v>
      </c>
      <c r="R6660" s="33">
        <f>IFERROR(__xludf.DUMMYFUNCTION("""COMPUTED_VALUE"""),1.0)</f>
        <v>1</v>
      </c>
      <c r="S6660" s="4" t="str">
        <f>IFERROR(__xludf.DUMMYFUNCTION("""COMPUTED_VALUE"""),"Saipos Serviços De Software")</f>
        <v>Saipos Serviços De Software</v>
      </c>
      <c r="T6660" s="33">
        <f>IFERROR(__xludf.DUMMYFUNCTION("""COMPUTED_VALUE"""),1.0)</f>
        <v>1</v>
      </c>
      <c r="U6660" s="4" t="str">
        <f>IFERROR(__xludf.DUMMYFUNCTION("""COMPUTED_VALUE"""),"Saipos Serviços De Software")</f>
        <v>Saipos Serviços De Software</v>
      </c>
      <c r="V6660" s="33">
        <f>IFERROR(__xludf.DUMMYFUNCTION("""COMPUTED_VALUE"""),1.0)</f>
        <v>1</v>
      </c>
      <c r="W6660" s="4" t="str">
        <f>IFERROR(__xludf.DUMMYFUNCTION("""COMPUTED_VALUE"""),"null")</f>
        <v>null</v>
      </c>
      <c r="X6660" s="33">
        <f>IFERROR(__xludf.DUMMYFUNCTION("""COMPUTED_VALUE"""),1.0)</f>
        <v>1</v>
      </c>
    </row>
    <row r="6661">
      <c r="K6661" s="4" t="str">
        <f>IFERROR(__xludf.DUMMYFUNCTION("""COMPUTED_VALUE"""),"BELGALETO")</f>
        <v>BELGALETO</v>
      </c>
      <c r="L6661" s="32">
        <f>IFERROR(__xludf.DUMMYFUNCTION("""COMPUTED_VALUE"""),2.0)</f>
        <v>2</v>
      </c>
      <c r="M6661" s="4" t="str">
        <f>IFERROR(__xludf.DUMMYFUNCTION("""COMPUTED_VALUE"""),"Ncr")</f>
        <v>Ncr</v>
      </c>
      <c r="N6661" s="33">
        <f>IFERROR(__xludf.DUMMYFUNCTION("""COMPUTED_VALUE"""),0.5)</f>
        <v>0.5</v>
      </c>
      <c r="O6661" s="4" t="str">
        <f>IFERROR(__xludf.DUMMYFUNCTION("""COMPUTED_VALUE"""),"null")</f>
        <v>null</v>
      </c>
      <c r="P6661" s="33">
        <f>IFERROR(__xludf.DUMMYFUNCTION("""COMPUTED_VALUE"""),1.0)</f>
        <v>1</v>
      </c>
      <c r="Q6661" s="4" t="str">
        <f>IFERROR(__xludf.DUMMYFUNCTION("""COMPUTED_VALUE"""),"null")</f>
        <v>null</v>
      </c>
      <c r="R6661" s="33">
        <f>IFERROR(__xludf.DUMMYFUNCTION("""COMPUTED_VALUE"""),1.0)</f>
        <v>1</v>
      </c>
      <c r="S6661" s="4" t="str">
        <f>IFERROR(__xludf.DUMMYFUNCTION("""COMPUTED_VALUE"""),"null")</f>
        <v>null</v>
      </c>
      <c r="T6661" s="33">
        <f>IFERROR(__xludf.DUMMYFUNCTION("""COMPUTED_VALUE"""),1.0)</f>
        <v>1</v>
      </c>
      <c r="U6661" s="4" t="str">
        <f>IFERROR(__xludf.DUMMYFUNCTION("""COMPUTED_VALUE"""),"null")</f>
        <v>null</v>
      </c>
      <c r="V6661" s="33">
        <f>IFERROR(__xludf.DUMMYFUNCTION("""COMPUTED_VALUE"""),0.5)</f>
        <v>0.5</v>
      </c>
      <c r="W6661" s="4" t="str">
        <f>IFERROR(__xludf.DUMMYFUNCTION("""COMPUTED_VALUE"""),"Ncr")</f>
        <v>Ncr</v>
      </c>
      <c r="X6661" s="33">
        <f>IFERROR(__xludf.DUMMYFUNCTION("""COMPUTED_VALUE"""),0.5)</f>
        <v>0.5</v>
      </c>
    </row>
    <row r="6662">
      <c r="K6662" s="4" t="str">
        <f>IFERROR(__xludf.DUMMYFUNCTION("""COMPUTED_VALUE"""),"BELISCANDO")</f>
        <v>BELISCANDO</v>
      </c>
      <c r="L6662" s="32">
        <f>IFERROR(__xludf.DUMMYFUNCTION("""COMPUTED_VALUE"""),2.0)</f>
        <v>2</v>
      </c>
      <c r="M6662" s="4" t="str">
        <f>IFERROR(__xludf.DUMMYFUNCTION("""COMPUTED_VALUE"""),"Saipos Serviços De Software")</f>
        <v>Saipos Serviços De Software</v>
      </c>
      <c r="N6662" s="33">
        <f>IFERROR(__xludf.DUMMYFUNCTION("""COMPUTED_VALUE"""),1.0)</f>
        <v>1</v>
      </c>
      <c r="O6662" s="4" t="str">
        <f>IFERROR(__xludf.DUMMYFUNCTION("""COMPUTED_VALUE"""),"Saipos Serviços De Software")</f>
        <v>Saipos Serviços De Software</v>
      </c>
      <c r="P6662" s="33">
        <f>IFERROR(__xludf.DUMMYFUNCTION("""COMPUTED_VALUE"""),1.0)</f>
        <v>1</v>
      </c>
      <c r="Q6662" s="4" t="str">
        <f>IFERROR(__xludf.DUMMYFUNCTION("""COMPUTED_VALUE"""),"Saipos Serviços De Software")</f>
        <v>Saipos Serviços De Software</v>
      </c>
      <c r="R6662" s="33">
        <f>IFERROR(__xludf.DUMMYFUNCTION("""COMPUTED_VALUE"""),1.0)</f>
        <v>1</v>
      </c>
      <c r="S6662" s="4" t="str">
        <f>IFERROR(__xludf.DUMMYFUNCTION("""COMPUTED_VALUE"""),"Saipos Serviços De Software")</f>
        <v>Saipos Serviços De Software</v>
      </c>
      <c r="T6662" s="33">
        <f>IFERROR(__xludf.DUMMYFUNCTION("""COMPUTED_VALUE"""),1.0)</f>
        <v>1</v>
      </c>
      <c r="U6662" s="4" t="str">
        <f>IFERROR(__xludf.DUMMYFUNCTION("""COMPUTED_VALUE"""),"Saipos Serviços De Software")</f>
        <v>Saipos Serviços De Software</v>
      </c>
      <c r="V6662" s="33">
        <f>IFERROR(__xludf.DUMMYFUNCTION("""COMPUTED_VALUE"""),1.0)</f>
        <v>1</v>
      </c>
      <c r="W6662" s="4" t="str">
        <f>IFERROR(__xludf.DUMMYFUNCTION("""COMPUTED_VALUE"""),"Saipos Serviços De Software")</f>
        <v>Saipos Serviços De Software</v>
      </c>
      <c r="X6662" s="33">
        <f>IFERROR(__xludf.DUMMYFUNCTION("""COMPUTED_VALUE"""),1.0)</f>
        <v>1</v>
      </c>
    </row>
    <row r="6663">
      <c r="K6663" s="4" t="str">
        <f>IFERROR(__xludf.DUMMYFUNCTION("""COMPUTED_VALUE"""),"BELLA MORENE II")</f>
        <v>BELLA MORENE II</v>
      </c>
      <c r="L6663" s="32">
        <f>IFERROR(__xludf.DUMMYFUNCTION("""COMPUTED_VALUE"""),2.0)</f>
        <v>2</v>
      </c>
      <c r="M6663" s="4" t="str">
        <f>IFERROR(__xludf.DUMMYFUNCTION("""COMPUTED_VALUE"""),"Grk Soluções Informatica Eireli")</f>
        <v>Grk Soluções Informatica Eireli</v>
      </c>
      <c r="N6663" s="33">
        <f>IFERROR(__xludf.DUMMYFUNCTION("""COMPUTED_VALUE"""),0.5)</f>
        <v>0.5</v>
      </c>
      <c r="O6663" s="4" t="str">
        <f>IFERROR(__xludf.DUMMYFUNCTION("""COMPUTED_VALUE"""),"Grk Soluções Informatica Eireli")</f>
        <v>Grk Soluções Informatica Eireli</v>
      </c>
      <c r="P6663" s="33">
        <f>IFERROR(__xludf.DUMMYFUNCTION("""COMPUTED_VALUE"""),0.5)</f>
        <v>0.5</v>
      </c>
      <c r="Q6663" s="4" t="str">
        <f>IFERROR(__xludf.DUMMYFUNCTION("""COMPUTED_VALUE"""),"Grk Soluções Informatica Eireli")</f>
        <v>Grk Soluções Informatica Eireli</v>
      </c>
      <c r="R6663" s="33">
        <f>IFERROR(__xludf.DUMMYFUNCTION("""COMPUTED_VALUE"""),0.5)</f>
        <v>0.5</v>
      </c>
      <c r="S6663" s="4" t="str">
        <f>IFERROR(__xludf.DUMMYFUNCTION("""COMPUTED_VALUE"""),"Grk Soluções Informatica Eireli")</f>
        <v>Grk Soluções Informatica Eireli</v>
      </c>
      <c r="T6663" s="33">
        <f>IFERROR(__xludf.DUMMYFUNCTION("""COMPUTED_VALUE"""),0.5)</f>
        <v>0.5</v>
      </c>
      <c r="U6663" s="4" t="str">
        <f>IFERROR(__xludf.DUMMYFUNCTION("""COMPUTED_VALUE"""),"Grk Soluções Informatica Eireli")</f>
        <v>Grk Soluções Informatica Eireli</v>
      </c>
      <c r="V6663" s="33">
        <f>IFERROR(__xludf.DUMMYFUNCTION("""COMPUTED_VALUE"""),0.5)</f>
        <v>0.5</v>
      </c>
      <c r="W6663" s="4" t="str">
        <f>IFERROR(__xludf.DUMMYFUNCTION("""COMPUTED_VALUE"""),"Grk Soluções Informatica Eireli")</f>
        <v>Grk Soluções Informatica Eireli</v>
      </c>
      <c r="X6663" s="33">
        <f>IFERROR(__xludf.DUMMYFUNCTION("""COMPUTED_VALUE"""),0.5)</f>
        <v>0.5</v>
      </c>
    </row>
    <row r="6664">
      <c r="K6664" s="4" t="str">
        <f>IFERROR(__xludf.DUMMYFUNCTION("""COMPUTED_VALUE"""),"BELLAFIT CONTA PAI")</f>
        <v>BELLAFIT CONTA PAI</v>
      </c>
      <c r="L6664" s="32">
        <f>IFERROR(__xludf.DUMMYFUNCTION("""COMPUTED_VALUE"""),2.0)</f>
        <v>2</v>
      </c>
      <c r="M6664" s="4" t="str">
        <f>IFERROR(__xludf.DUMMYFUNCTION("""COMPUTED_VALUE"""),"Saipos Serviços De Software")</f>
        <v>Saipos Serviços De Software</v>
      </c>
      <c r="N6664" s="33">
        <f>IFERROR(__xludf.DUMMYFUNCTION("""COMPUTED_VALUE"""),1.0)</f>
        <v>1</v>
      </c>
      <c r="O6664" s="4" t="str">
        <f>IFERROR(__xludf.DUMMYFUNCTION("""COMPUTED_VALUE"""),"null")</f>
        <v>null</v>
      </c>
      <c r="P6664" s="33">
        <f>IFERROR(__xludf.DUMMYFUNCTION("""COMPUTED_VALUE"""),0.5)</f>
        <v>0.5</v>
      </c>
      <c r="Q6664" s="4" t="str">
        <f>IFERROR(__xludf.DUMMYFUNCTION("""COMPUTED_VALUE"""),"Saipos Serviços De Software")</f>
        <v>Saipos Serviços De Software</v>
      </c>
      <c r="R6664" s="33">
        <f>IFERROR(__xludf.DUMMYFUNCTION("""COMPUTED_VALUE"""),1.0)</f>
        <v>1</v>
      </c>
      <c r="S6664" s="4" t="str">
        <f>IFERROR(__xludf.DUMMYFUNCTION("""COMPUTED_VALUE"""),"Saipos Serviços De Software")</f>
        <v>Saipos Serviços De Software</v>
      </c>
      <c r="T6664" s="33">
        <f>IFERROR(__xludf.DUMMYFUNCTION("""COMPUTED_VALUE"""),1.0)</f>
        <v>1</v>
      </c>
      <c r="U6664" s="4" t="str">
        <f>IFERROR(__xludf.DUMMYFUNCTION("""COMPUTED_VALUE"""),"Saipos Serviços De Software")</f>
        <v>Saipos Serviços De Software</v>
      </c>
      <c r="V6664" s="33">
        <f>IFERROR(__xludf.DUMMYFUNCTION("""COMPUTED_VALUE"""),1.0)</f>
        <v>1</v>
      </c>
      <c r="W6664" s="4" t="str">
        <f>IFERROR(__xludf.DUMMYFUNCTION("""COMPUTED_VALUE"""),"Saipos Serviços De Software")</f>
        <v>Saipos Serviços De Software</v>
      </c>
      <c r="X6664" s="33">
        <f>IFERROR(__xludf.DUMMYFUNCTION("""COMPUTED_VALUE"""),1.0)</f>
        <v>1</v>
      </c>
    </row>
    <row r="6665">
      <c r="K6665" s="4" t="str">
        <f>IFERROR(__xludf.DUMMYFUNCTION("""COMPUTED_VALUE"""),"BELOS CONFEITARIA MODERNA")</f>
        <v>BELOS CONFEITARIA MODERNA</v>
      </c>
      <c r="L6665" s="32">
        <f>IFERROR(__xludf.DUMMYFUNCTION("""COMPUTED_VALUE"""),2.0)</f>
        <v>2</v>
      </c>
      <c r="M6665" s="4" t="str">
        <f>IFERROR(__xludf.DUMMYFUNCTION("""COMPUTED_VALUE"""),"Saipos Serviços De Software")</f>
        <v>Saipos Serviços De Software</v>
      </c>
      <c r="N6665" s="33">
        <f>IFERROR(__xludf.DUMMYFUNCTION("""COMPUTED_VALUE"""),1.0)</f>
        <v>1</v>
      </c>
      <c r="O6665" s="4" t="str">
        <f>IFERROR(__xludf.DUMMYFUNCTION("""COMPUTED_VALUE"""),"Saipos Serviços De Software")</f>
        <v>Saipos Serviços De Software</v>
      </c>
      <c r="P6665" s="33">
        <f>IFERROR(__xludf.DUMMYFUNCTION("""COMPUTED_VALUE"""),1.0)</f>
        <v>1</v>
      </c>
      <c r="Q6665" s="4" t="str">
        <f>IFERROR(__xludf.DUMMYFUNCTION("""COMPUTED_VALUE"""),"Saipos Serviços De Software")</f>
        <v>Saipos Serviços De Software</v>
      </c>
      <c r="R6665" s="33">
        <f>IFERROR(__xludf.DUMMYFUNCTION("""COMPUTED_VALUE"""),1.0)</f>
        <v>1</v>
      </c>
      <c r="S6665" s="4" t="str">
        <f>IFERROR(__xludf.DUMMYFUNCTION("""COMPUTED_VALUE"""),"Saipos Serviços De Software")</f>
        <v>Saipos Serviços De Software</v>
      </c>
      <c r="T6665" s="33">
        <f>IFERROR(__xludf.DUMMYFUNCTION("""COMPUTED_VALUE"""),1.0)</f>
        <v>1</v>
      </c>
      <c r="U6665" s="4" t="str">
        <f>IFERROR(__xludf.DUMMYFUNCTION("""COMPUTED_VALUE"""),"null")</f>
        <v>null</v>
      </c>
      <c r="V6665" s="33">
        <f>IFERROR(__xludf.DUMMYFUNCTION("""COMPUTED_VALUE"""),1.0)</f>
        <v>1</v>
      </c>
      <c r="W6665" s="4" t="str">
        <f>IFERROR(__xludf.DUMMYFUNCTION("""COMPUTED_VALUE"""),"null")</f>
        <v>null</v>
      </c>
      <c r="X6665" s="33">
        <f>IFERROR(__xludf.DUMMYFUNCTION("""COMPUTED_VALUE"""),1.0)</f>
        <v>1</v>
      </c>
    </row>
    <row r="6666">
      <c r="K6666" s="4" t="str">
        <f>IFERROR(__xludf.DUMMYFUNCTION("""COMPUTED_VALUE"""),"BELTRAME SUPERMERCADOS - CONTA PAI")</f>
        <v>BELTRAME SUPERMERCADOS - CONTA PAI</v>
      </c>
      <c r="L6666" s="32">
        <f>IFERROR(__xludf.DUMMYFUNCTION("""COMPUTED_VALUE"""),2.0)</f>
        <v>2</v>
      </c>
      <c r="M6666" s="4" t="str">
        <f>IFERROR(__xludf.DUMMYFUNCTION("""COMPUTED_VALUE"""),"N/A (Not found)")</f>
        <v>N/A (Not found)</v>
      </c>
      <c r="N6666" s="33">
        <f>IFERROR(__xludf.DUMMYFUNCTION("""COMPUTED_VALUE"""),1.0)</f>
        <v>1</v>
      </c>
      <c r="O6666" s="4" t="str">
        <f>IFERROR(__xludf.DUMMYFUNCTION("""COMPUTED_VALUE"""),"N/A (Not found)")</f>
        <v>N/A (Not found)</v>
      </c>
      <c r="P6666" s="33">
        <f>IFERROR(__xludf.DUMMYFUNCTION("""COMPUTED_VALUE"""),1.0)</f>
        <v>1</v>
      </c>
      <c r="Q6666" s="4" t="str">
        <f>IFERROR(__xludf.DUMMYFUNCTION("""COMPUTED_VALUE"""),"N/A (Not found)")</f>
        <v>N/A (Not found)</v>
      </c>
      <c r="R6666" s="33">
        <f>IFERROR(__xludf.DUMMYFUNCTION("""COMPUTED_VALUE"""),1.0)</f>
        <v>1</v>
      </c>
      <c r="S6666" s="4" t="str">
        <f>IFERROR(__xludf.DUMMYFUNCTION("""COMPUTED_VALUE"""),"N/A (Not found)")</f>
        <v>N/A (Not found)</v>
      </c>
      <c r="T6666" s="33">
        <f>IFERROR(__xludf.DUMMYFUNCTION("""COMPUTED_VALUE"""),1.0)</f>
        <v>1</v>
      </c>
      <c r="U6666" s="4" t="str">
        <f>IFERROR(__xludf.DUMMYFUNCTION("""COMPUTED_VALUE"""),"N/A (Not found)")</f>
        <v>N/A (Not found)</v>
      </c>
      <c r="V6666" s="33">
        <f>IFERROR(__xludf.DUMMYFUNCTION("""COMPUTED_VALUE"""),1.0)</f>
        <v>1</v>
      </c>
      <c r="W6666" s="4" t="str">
        <f>IFERROR(__xludf.DUMMYFUNCTION("""COMPUTED_VALUE"""),"N/A (Not found)")</f>
        <v>N/A (Not found)</v>
      </c>
      <c r="X6666" s="33">
        <f>IFERROR(__xludf.DUMMYFUNCTION("""COMPUTED_VALUE"""),1.0)</f>
        <v>1</v>
      </c>
    </row>
    <row r="6667">
      <c r="K6667" s="4" t="str">
        <f>IFERROR(__xludf.DUMMYFUNCTION("""COMPUTED_VALUE"""),"BENEDITA BOLOS")</f>
        <v>BENEDITA BOLOS</v>
      </c>
      <c r="L6667" s="32">
        <f>IFERROR(__xludf.DUMMYFUNCTION("""COMPUTED_VALUE"""),2.0)</f>
        <v>2</v>
      </c>
      <c r="M6667" s="4" t="str">
        <f>IFERROR(__xludf.DUMMYFUNCTION("""COMPUTED_VALUE"""),"null")</f>
        <v>null</v>
      </c>
      <c r="N6667" s="33">
        <f>IFERROR(__xludf.DUMMYFUNCTION("""COMPUTED_VALUE"""),1.0)</f>
        <v>1</v>
      </c>
      <c r="O6667" s="4" t="str">
        <f>IFERROR(__xludf.DUMMYFUNCTION("""COMPUTED_VALUE"""),"null")</f>
        <v>null</v>
      </c>
      <c r="P6667" s="33">
        <f>IFERROR(__xludf.DUMMYFUNCTION("""COMPUTED_VALUE"""),1.0)</f>
        <v>1</v>
      </c>
      <c r="Q6667" s="4" t="str">
        <f>IFERROR(__xludf.DUMMYFUNCTION("""COMPUTED_VALUE"""),"null")</f>
        <v>null</v>
      </c>
      <c r="R6667" s="33">
        <f>IFERROR(__xludf.DUMMYFUNCTION("""COMPUTED_VALUE"""),1.0)</f>
        <v>1</v>
      </c>
      <c r="S6667" s="4" t="str">
        <f>IFERROR(__xludf.DUMMYFUNCTION("""COMPUTED_VALUE"""),"Saipos Serviços De Software")</f>
        <v>Saipos Serviços De Software</v>
      </c>
      <c r="T6667" s="33">
        <f>IFERROR(__xludf.DUMMYFUNCTION("""COMPUTED_VALUE"""),1.0)</f>
        <v>1</v>
      </c>
      <c r="U6667" s="4" t="str">
        <f>IFERROR(__xludf.DUMMYFUNCTION("""COMPUTED_VALUE"""),"null")</f>
        <v>null</v>
      </c>
      <c r="V6667" s="33">
        <f>IFERROR(__xludf.DUMMYFUNCTION("""COMPUTED_VALUE"""),0.5)</f>
        <v>0.5</v>
      </c>
      <c r="W6667" s="4" t="str">
        <f>IFERROR(__xludf.DUMMYFUNCTION("""COMPUTED_VALUE"""),"null")</f>
        <v>null</v>
      </c>
      <c r="X6667" s="33">
        <f>IFERROR(__xludf.DUMMYFUNCTION("""COMPUTED_VALUE"""),0.5)</f>
        <v>0.5</v>
      </c>
    </row>
    <row r="6668">
      <c r="K6668" s="4" t="str">
        <f>IFERROR(__xludf.DUMMYFUNCTION("""COMPUTED_VALUE"""),"BENOLIEL")</f>
        <v>BENOLIEL</v>
      </c>
      <c r="L6668" s="32">
        <f>IFERROR(__xludf.DUMMYFUNCTION("""COMPUTED_VALUE"""),2.0)</f>
        <v>2</v>
      </c>
      <c r="M6668" s="4" t="str">
        <f>IFERROR(__xludf.DUMMYFUNCTION("""COMPUTED_VALUE"""),"Ncr")</f>
        <v>Ncr</v>
      </c>
      <c r="N6668" s="33">
        <f>IFERROR(__xludf.DUMMYFUNCTION("""COMPUTED_VALUE"""),1.0)</f>
        <v>1</v>
      </c>
      <c r="O6668" s="4" t="str">
        <f>IFERROR(__xludf.DUMMYFUNCTION("""COMPUTED_VALUE"""),"Ncr")</f>
        <v>Ncr</v>
      </c>
      <c r="P6668" s="33">
        <f>IFERROR(__xludf.DUMMYFUNCTION("""COMPUTED_VALUE"""),1.0)</f>
        <v>1</v>
      </c>
      <c r="Q6668" s="4" t="str">
        <f>IFERROR(__xludf.DUMMYFUNCTION("""COMPUTED_VALUE"""),"Ncr")</f>
        <v>Ncr</v>
      </c>
      <c r="R6668" s="33">
        <f>IFERROR(__xludf.DUMMYFUNCTION("""COMPUTED_VALUE"""),1.0)</f>
        <v>1</v>
      </c>
      <c r="S6668" s="4" t="str">
        <f>IFERROR(__xludf.DUMMYFUNCTION("""COMPUTED_VALUE"""),"Ncr")</f>
        <v>Ncr</v>
      </c>
      <c r="T6668" s="33">
        <f>IFERROR(__xludf.DUMMYFUNCTION("""COMPUTED_VALUE"""),1.0)</f>
        <v>1</v>
      </c>
      <c r="U6668" s="4" t="str">
        <f>IFERROR(__xludf.DUMMYFUNCTION("""COMPUTED_VALUE"""),"Ncr")</f>
        <v>Ncr</v>
      </c>
      <c r="V6668" s="33">
        <f>IFERROR(__xludf.DUMMYFUNCTION("""COMPUTED_VALUE"""),1.0)</f>
        <v>1</v>
      </c>
      <c r="W6668" s="4" t="str">
        <f>IFERROR(__xludf.DUMMYFUNCTION("""COMPUTED_VALUE"""),"Ncr")</f>
        <v>Ncr</v>
      </c>
      <c r="X6668" s="33">
        <f>IFERROR(__xludf.DUMMYFUNCTION("""COMPUTED_VALUE"""),1.0)</f>
        <v>1</v>
      </c>
    </row>
    <row r="6669">
      <c r="K6669" s="4" t="str">
        <f>IFERROR(__xludf.DUMMYFUNCTION("""COMPUTED_VALUE"""),"BESSA BRASIL")</f>
        <v>BESSA BRASIL</v>
      </c>
      <c r="L6669" s="32">
        <f>IFERROR(__xludf.DUMMYFUNCTION("""COMPUTED_VALUE"""),2.0)</f>
        <v>2</v>
      </c>
      <c r="M6669" s="4" t="str">
        <f>IFERROR(__xludf.DUMMYFUNCTION("""COMPUTED_VALUE"""),"null")</f>
        <v>null</v>
      </c>
      <c r="N6669" s="33">
        <f>IFERROR(__xludf.DUMMYFUNCTION("""COMPUTED_VALUE"""),0.5)</f>
        <v>0.5</v>
      </c>
      <c r="O6669" s="4" t="str">
        <f>IFERROR(__xludf.DUMMYFUNCTION("""COMPUTED_VALUE"""),"Jaxtech")</f>
        <v>Jaxtech</v>
      </c>
      <c r="P6669" s="33">
        <f>IFERROR(__xludf.DUMMYFUNCTION("""COMPUTED_VALUE"""),1.0)</f>
        <v>1</v>
      </c>
      <c r="Q6669" s="4" t="str">
        <f>IFERROR(__xludf.DUMMYFUNCTION("""COMPUTED_VALUE"""),"Jaxtech")</f>
        <v>Jaxtech</v>
      </c>
      <c r="R6669" s="33">
        <f>IFERROR(__xludf.DUMMYFUNCTION("""COMPUTED_VALUE"""),1.0)</f>
        <v>1</v>
      </c>
      <c r="S6669" s="4" t="str">
        <f>IFERROR(__xludf.DUMMYFUNCTION("""COMPUTED_VALUE"""),"Jaxtech")</f>
        <v>Jaxtech</v>
      </c>
      <c r="T6669" s="33">
        <f>IFERROR(__xludf.DUMMYFUNCTION("""COMPUTED_VALUE"""),1.0)</f>
        <v>1</v>
      </c>
      <c r="U6669" s="4" t="str">
        <f>IFERROR(__xludf.DUMMYFUNCTION("""COMPUTED_VALUE"""),"Jaxtech")</f>
        <v>Jaxtech</v>
      </c>
      <c r="V6669" s="33">
        <f>IFERROR(__xludf.DUMMYFUNCTION("""COMPUTED_VALUE"""),1.0)</f>
        <v>1</v>
      </c>
      <c r="W6669" s="4" t="str">
        <f>IFERROR(__xludf.DUMMYFUNCTION("""COMPUTED_VALUE"""),"Jaxtech")</f>
        <v>Jaxtech</v>
      </c>
      <c r="X6669" s="33">
        <f>IFERROR(__xludf.DUMMYFUNCTION("""COMPUTED_VALUE"""),1.0)</f>
        <v>1</v>
      </c>
    </row>
    <row r="6670">
      <c r="K6670" s="4" t="str">
        <f>IFERROR(__xludf.DUMMYFUNCTION("""COMPUTED_VALUE"""),"BESTBURGUER")</f>
        <v>BESTBURGUER</v>
      </c>
      <c r="L6670" s="32">
        <f>IFERROR(__xludf.DUMMYFUNCTION("""COMPUTED_VALUE"""),2.0)</f>
        <v>2</v>
      </c>
      <c r="M6670" s="4" t="str">
        <f>IFERROR(__xludf.DUMMYFUNCTION("""COMPUTED_VALUE"""),"Dev10 Soluções Em Sotfware Ltda")</f>
        <v>Dev10 Soluções Em Sotfware Ltda</v>
      </c>
      <c r="N6670" s="33">
        <f>IFERROR(__xludf.DUMMYFUNCTION("""COMPUTED_VALUE"""),1.0)</f>
        <v>1</v>
      </c>
      <c r="O6670" s="4" t="str">
        <f>IFERROR(__xludf.DUMMYFUNCTION("""COMPUTED_VALUE"""),"Dev10 Soluções Em Sotfware Ltda")</f>
        <v>Dev10 Soluções Em Sotfware Ltda</v>
      </c>
      <c r="P6670" s="33">
        <f>IFERROR(__xludf.DUMMYFUNCTION("""COMPUTED_VALUE"""),1.0)</f>
        <v>1</v>
      </c>
      <c r="Q6670" s="4" t="str">
        <f>IFERROR(__xludf.DUMMYFUNCTION("""COMPUTED_VALUE"""),"Dev10 Soluções Em Sotfware Ltda")</f>
        <v>Dev10 Soluções Em Sotfware Ltda</v>
      </c>
      <c r="R6670" s="33">
        <f>IFERROR(__xludf.DUMMYFUNCTION("""COMPUTED_VALUE"""),0.5)</f>
        <v>0.5</v>
      </c>
      <c r="S6670" s="4" t="str">
        <f>IFERROR(__xludf.DUMMYFUNCTION("""COMPUTED_VALUE"""),"Dev10 Soluções Em Sotfware Ltda")</f>
        <v>Dev10 Soluções Em Sotfware Ltda</v>
      </c>
      <c r="T6670" s="33">
        <f>IFERROR(__xludf.DUMMYFUNCTION("""COMPUTED_VALUE"""),0.5)</f>
        <v>0.5</v>
      </c>
      <c r="U6670" s="4" t="str">
        <f>IFERROR(__xludf.DUMMYFUNCTION("""COMPUTED_VALUE"""),"Dev10 Soluções Em Sotfware Ltda")</f>
        <v>Dev10 Soluções Em Sotfware Ltda</v>
      </c>
      <c r="V6670" s="33">
        <f>IFERROR(__xludf.DUMMYFUNCTION("""COMPUTED_VALUE"""),0.5)</f>
        <v>0.5</v>
      </c>
      <c r="W6670" s="4" t="str">
        <f>IFERROR(__xludf.DUMMYFUNCTION("""COMPUTED_VALUE"""),"Dev10 Soluções Em Sotfware Ltda")</f>
        <v>Dev10 Soluções Em Sotfware Ltda</v>
      </c>
      <c r="X6670" s="33">
        <f>IFERROR(__xludf.DUMMYFUNCTION("""COMPUTED_VALUE"""),0.5)</f>
        <v>0.5</v>
      </c>
    </row>
    <row r="6671">
      <c r="K6671" s="4" t="str">
        <f>IFERROR(__xludf.DUMMYFUNCTION("""COMPUTED_VALUE"""),"BETTY")</f>
        <v>BETTY</v>
      </c>
      <c r="L6671" s="32">
        <f>IFERROR(__xludf.DUMMYFUNCTION("""COMPUTED_VALUE"""),2.0)</f>
        <v>2</v>
      </c>
      <c r="M6671" s="4" t="str">
        <f>IFERROR(__xludf.DUMMYFUNCTION("""COMPUTED_VALUE"""),"Saipos Serviços De Software")</f>
        <v>Saipos Serviços De Software</v>
      </c>
      <c r="N6671" s="33">
        <f>IFERROR(__xludf.DUMMYFUNCTION("""COMPUTED_VALUE"""),1.0)</f>
        <v>1</v>
      </c>
      <c r="O6671" s="4" t="str">
        <f>IFERROR(__xludf.DUMMYFUNCTION("""COMPUTED_VALUE"""),"Saipos Serviços De Software")</f>
        <v>Saipos Serviços De Software</v>
      </c>
      <c r="P6671" s="33">
        <f>IFERROR(__xludf.DUMMYFUNCTION("""COMPUTED_VALUE"""),1.0)</f>
        <v>1</v>
      </c>
      <c r="Q6671" s="4" t="str">
        <f>IFERROR(__xludf.DUMMYFUNCTION("""COMPUTED_VALUE"""),"Saipos Serviços De Software")</f>
        <v>Saipos Serviços De Software</v>
      </c>
      <c r="R6671" s="33">
        <f>IFERROR(__xludf.DUMMYFUNCTION("""COMPUTED_VALUE"""),1.0)</f>
        <v>1</v>
      </c>
      <c r="S6671" s="4" t="str">
        <f>IFERROR(__xludf.DUMMYFUNCTION("""COMPUTED_VALUE"""),"Saipos Serviços De Software")</f>
        <v>Saipos Serviços De Software</v>
      </c>
      <c r="T6671" s="33">
        <f>IFERROR(__xludf.DUMMYFUNCTION("""COMPUTED_VALUE"""),1.0)</f>
        <v>1</v>
      </c>
      <c r="U6671" s="4" t="str">
        <f>IFERROR(__xludf.DUMMYFUNCTION("""COMPUTED_VALUE"""),"Saipos Serviços De Software")</f>
        <v>Saipos Serviços De Software</v>
      </c>
      <c r="V6671" s="33">
        <f>IFERROR(__xludf.DUMMYFUNCTION("""COMPUTED_VALUE"""),1.0)</f>
        <v>1</v>
      </c>
      <c r="W6671" s="4" t="str">
        <f>IFERROR(__xludf.DUMMYFUNCTION("""COMPUTED_VALUE"""),"Saipos Serviços De Software")</f>
        <v>Saipos Serviços De Software</v>
      </c>
      <c r="X6671" s="33">
        <f>IFERROR(__xludf.DUMMYFUNCTION("""COMPUTED_VALUE"""),1.0)</f>
        <v>1</v>
      </c>
    </row>
    <row r="6672">
      <c r="K6672" s="4" t="str">
        <f>IFERROR(__xludf.DUMMYFUNCTION("""COMPUTED_VALUE"""),"BIDU LANCHES - MARCA")</f>
        <v>BIDU LANCHES - MARCA</v>
      </c>
      <c r="L6672" s="32">
        <f>IFERROR(__xludf.DUMMYFUNCTION("""COMPUTED_VALUE"""),2.0)</f>
        <v>2</v>
      </c>
      <c r="M6672" s="4" t="str">
        <f>IFERROR(__xludf.DUMMYFUNCTION("""COMPUTED_VALUE"""),"Mp Multipedidos")</f>
        <v>Mp Multipedidos</v>
      </c>
      <c r="N6672" s="33">
        <f>IFERROR(__xludf.DUMMYFUNCTION("""COMPUTED_VALUE"""),1.0)</f>
        <v>1</v>
      </c>
      <c r="O6672" s="4" t="str">
        <f>IFERROR(__xludf.DUMMYFUNCTION("""COMPUTED_VALUE"""),"Mp Multipedidos")</f>
        <v>Mp Multipedidos</v>
      </c>
      <c r="P6672" s="33">
        <f>IFERROR(__xludf.DUMMYFUNCTION("""COMPUTED_VALUE"""),1.0)</f>
        <v>1</v>
      </c>
      <c r="Q6672" s="4" t="str">
        <f>IFERROR(__xludf.DUMMYFUNCTION("""COMPUTED_VALUE"""),"Mp Multipedidos")</f>
        <v>Mp Multipedidos</v>
      </c>
      <c r="R6672" s="33">
        <f>IFERROR(__xludf.DUMMYFUNCTION("""COMPUTED_VALUE"""),1.0)</f>
        <v>1</v>
      </c>
      <c r="S6672" s="4" t="str">
        <f>IFERROR(__xludf.DUMMYFUNCTION("""COMPUTED_VALUE"""),"Mp Multipedidos")</f>
        <v>Mp Multipedidos</v>
      </c>
      <c r="T6672" s="33">
        <f>IFERROR(__xludf.DUMMYFUNCTION("""COMPUTED_VALUE"""),1.0)</f>
        <v>1</v>
      </c>
      <c r="U6672" s="4" t="str">
        <f>IFERROR(__xludf.DUMMYFUNCTION("""COMPUTED_VALUE"""),"Mp Multipedidos")</f>
        <v>Mp Multipedidos</v>
      </c>
      <c r="V6672" s="33">
        <f>IFERROR(__xludf.DUMMYFUNCTION("""COMPUTED_VALUE"""),1.0)</f>
        <v>1</v>
      </c>
      <c r="W6672" s="4" t="str">
        <f>IFERROR(__xludf.DUMMYFUNCTION("""COMPUTED_VALUE"""),"Mp Multipedidos")</f>
        <v>Mp Multipedidos</v>
      </c>
      <c r="X6672" s="33">
        <f>IFERROR(__xludf.DUMMYFUNCTION("""COMPUTED_VALUE"""),1.0)</f>
        <v>1</v>
      </c>
    </row>
    <row r="6673">
      <c r="K6673" s="4" t="str">
        <f>IFERROR(__xludf.DUMMYFUNCTION("""COMPUTED_VALUE"""),"BIG CHURROS")</f>
        <v>BIG CHURROS</v>
      </c>
      <c r="L6673" s="32">
        <f>IFERROR(__xludf.DUMMYFUNCTION("""COMPUTED_VALUE"""),2.0)</f>
        <v>2</v>
      </c>
      <c r="M6673" s="4" t="str">
        <f>IFERROR(__xludf.DUMMYFUNCTION("""COMPUTED_VALUE"""),"Anota Ai Solucoes Digitais S/a")</f>
        <v>Anota Ai Solucoes Digitais S/a</v>
      </c>
      <c r="N6673" s="33">
        <f>IFERROR(__xludf.DUMMYFUNCTION("""COMPUTED_VALUE"""),1.0)</f>
        <v>1</v>
      </c>
      <c r="O6673" s="4" t="str">
        <f>IFERROR(__xludf.DUMMYFUNCTION("""COMPUTED_VALUE"""),"Anota Ai Solucoes Digitais S/a")</f>
        <v>Anota Ai Solucoes Digitais S/a</v>
      </c>
      <c r="P6673" s="33">
        <f>IFERROR(__xludf.DUMMYFUNCTION("""COMPUTED_VALUE"""),1.0)</f>
        <v>1</v>
      </c>
      <c r="Q6673" s="4" t="str">
        <f>IFERROR(__xludf.DUMMYFUNCTION("""COMPUTED_VALUE"""),"Anota Ai Solucoes Digitais S/a")</f>
        <v>Anota Ai Solucoes Digitais S/a</v>
      </c>
      <c r="R6673" s="33">
        <f>IFERROR(__xludf.DUMMYFUNCTION("""COMPUTED_VALUE"""),1.0)</f>
        <v>1</v>
      </c>
      <c r="S6673" s="4" t="str">
        <f>IFERROR(__xludf.DUMMYFUNCTION("""COMPUTED_VALUE"""),"Anota Ai Solucoes Digitais S/a")</f>
        <v>Anota Ai Solucoes Digitais S/a</v>
      </c>
      <c r="T6673" s="33">
        <f>IFERROR(__xludf.DUMMYFUNCTION("""COMPUTED_VALUE"""),1.0)</f>
        <v>1</v>
      </c>
      <c r="U6673" s="4" t="str">
        <f>IFERROR(__xludf.DUMMYFUNCTION("""COMPUTED_VALUE"""),"Anota Ai Solucoes Digitais S/a")</f>
        <v>Anota Ai Solucoes Digitais S/a</v>
      </c>
      <c r="V6673" s="33">
        <f>IFERROR(__xludf.DUMMYFUNCTION("""COMPUTED_VALUE"""),1.0)</f>
        <v>1</v>
      </c>
      <c r="W6673" s="4" t="str">
        <f>IFERROR(__xludf.DUMMYFUNCTION("""COMPUTED_VALUE"""),"Anota Ai Solucoes Digitais S/a")</f>
        <v>Anota Ai Solucoes Digitais S/a</v>
      </c>
      <c r="X6673" s="33">
        <f>IFERROR(__xludf.DUMMYFUNCTION("""COMPUTED_VALUE"""),1.0)</f>
        <v>1</v>
      </c>
    </row>
    <row r="6674">
      <c r="K6674" s="4" t="str">
        <f>IFERROR(__xludf.DUMMYFUNCTION("""COMPUTED_VALUE"""),"BIG FAMILIA")</f>
        <v>BIG FAMILIA</v>
      </c>
      <c r="L6674" s="32">
        <f>IFERROR(__xludf.DUMMYFUNCTION("""COMPUTED_VALUE"""),2.0)</f>
        <v>2</v>
      </c>
      <c r="M6674" s="4" t="str">
        <f>IFERROR(__xludf.DUMMYFUNCTION("""COMPUTED_VALUE"""),"Saipos Serviços De Software")</f>
        <v>Saipos Serviços De Software</v>
      </c>
      <c r="N6674" s="33">
        <f>IFERROR(__xludf.DUMMYFUNCTION("""COMPUTED_VALUE"""),1.0)</f>
        <v>1</v>
      </c>
      <c r="O6674" s="4" t="str">
        <f>IFERROR(__xludf.DUMMYFUNCTION("""COMPUTED_VALUE"""),"Saipos Serviços De Software")</f>
        <v>Saipos Serviços De Software</v>
      </c>
      <c r="P6674" s="33">
        <f>IFERROR(__xludf.DUMMYFUNCTION("""COMPUTED_VALUE"""),1.0)</f>
        <v>1</v>
      </c>
      <c r="Q6674" s="4" t="str">
        <f>IFERROR(__xludf.DUMMYFUNCTION("""COMPUTED_VALUE"""),"Saipos Serviços De Software")</f>
        <v>Saipos Serviços De Software</v>
      </c>
      <c r="R6674" s="33">
        <f>IFERROR(__xludf.DUMMYFUNCTION("""COMPUTED_VALUE"""),1.0)</f>
        <v>1</v>
      </c>
      <c r="S6674" s="4" t="str">
        <f>IFERROR(__xludf.DUMMYFUNCTION("""COMPUTED_VALUE"""),"Saipos Serviços De Software")</f>
        <v>Saipos Serviços De Software</v>
      </c>
      <c r="T6674" s="33">
        <f>IFERROR(__xludf.DUMMYFUNCTION("""COMPUTED_VALUE"""),1.0)</f>
        <v>1</v>
      </c>
      <c r="U6674" s="4" t="str">
        <f>IFERROR(__xludf.DUMMYFUNCTION("""COMPUTED_VALUE"""),"Saipos Serviços De Software")</f>
        <v>Saipos Serviços De Software</v>
      </c>
      <c r="V6674" s="33">
        <f>IFERROR(__xludf.DUMMYFUNCTION("""COMPUTED_VALUE"""),1.0)</f>
        <v>1</v>
      </c>
      <c r="W6674" s="4" t="str">
        <f>IFERROR(__xludf.DUMMYFUNCTION("""COMPUTED_VALUE"""),"Saipos Serviços De Software")</f>
        <v>Saipos Serviços De Software</v>
      </c>
      <c r="X6674" s="33">
        <f>IFERROR(__xludf.DUMMYFUNCTION("""COMPUTED_VALUE"""),1.0)</f>
        <v>1</v>
      </c>
    </row>
    <row r="6675">
      <c r="K6675" s="4" t="str">
        <f>IFERROR(__xludf.DUMMYFUNCTION("""COMPUTED_VALUE"""),"BIG FOGAZZA")</f>
        <v>BIG FOGAZZA</v>
      </c>
      <c r="L6675" s="32">
        <f>IFERROR(__xludf.DUMMYFUNCTION("""COMPUTED_VALUE"""),2.0)</f>
        <v>2</v>
      </c>
      <c r="M6675" s="4" t="str">
        <f>IFERROR(__xludf.DUMMYFUNCTION("""COMPUTED_VALUE"""),"Anota Ai Solucoes Digitais S/a")</f>
        <v>Anota Ai Solucoes Digitais S/a</v>
      </c>
      <c r="N6675" s="33">
        <f>IFERROR(__xludf.DUMMYFUNCTION("""COMPUTED_VALUE"""),1.0)</f>
        <v>1</v>
      </c>
      <c r="O6675" s="4" t="str">
        <f>IFERROR(__xludf.DUMMYFUNCTION("""COMPUTED_VALUE"""),"Anota Ai Solucoes Digitais S/a")</f>
        <v>Anota Ai Solucoes Digitais S/a</v>
      </c>
      <c r="P6675" s="33">
        <f>IFERROR(__xludf.DUMMYFUNCTION("""COMPUTED_VALUE"""),1.0)</f>
        <v>1</v>
      </c>
      <c r="Q6675" s="4" t="str">
        <f>IFERROR(__xludf.DUMMYFUNCTION("""COMPUTED_VALUE"""),"Anota Ai Solucoes Digitais S/a")</f>
        <v>Anota Ai Solucoes Digitais S/a</v>
      </c>
      <c r="R6675" s="33">
        <f>IFERROR(__xludf.DUMMYFUNCTION("""COMPUTED_VALUE"""),1.0)</f>
        <v>1</v>
      </c>
      <c r="S6675" s="4" t="str">
        <f>IFERROR(__xludf.DUMMYFUNCTION("""COMPUTED_VALUE"""),"Anota Ai Solucoes Digitais S/a")</f>
        <v>Anota Ai Solucoes Digitais S/a</v>
      </c>
      <c r="T6675" s="33">
        <f>IFERROR(__xludf.DUMMYFUNCTION("""COMPUTED_VALUE"""),1.0)</f>
        <v>1</v>
      </c>
      <c r="U6675" s="4" t="str">
        <f>IFERROR(__xludf.DUMMYFUNCTION("""COMPUTED_VALUE"""),"Anota Ai Solucoes Digitais S/a")</f>
        <v>Anota Ai Solucoes Digitais S/a</v>
      </c>
      <c r="V6675" s="33">
        <f>IFERROR(__xludf.DUMMYFUNCTION("""COMPUTED_VALUE"""),1.0)</f>
        <v>1</v>
      </c>
      <c r="W6675" s="4" t="str">
        <f>IFERROR(__xludf.DUMMYFUNCTION("""COMPUTED_VALUE"""),"Anota Ai Solucoes Digitais S/a")</f>
        <v>Anota Ai Solucoes Digitais S/a</v>
      </c>
      <c r="X6675" s="33">
        <f>IFERROR(__xludf.DUMMYFUNCTION("""COMPUTED_VALUE"""),1.0)</f>
        <v>1</v>
      </c>
    </row>
    <row r="6676">
      <c r="K6676" s="4" t="str">
        <f>IFERROR(__xludf.DUMMYFUNCTION("""COMPUTED_VALUE"""),"BIG FRANGO NA BRASA")</f>
        <v>BIG FRANGO NA BRASA</v>
      </c>
      <c r="L6676" s="32">
        <f>IFERROR(__xludf.DUMMYFUNCTION("""COMPUTED_VALUE"""),2.0)</f>
        <v>2</v>
      </c>
      <c r="M6676" s="4" t="str">
        <f>IFERROR(__xludf.DUMMYFUNCTION("""COMPUTED_VALUE"""),"Agilizup Solucoes Ltda")</f>
        <v>Agilizup Solucoes Ltda</v>
      </c>
      <c r="N6676" s="33">
        <f>IFERROR(__xludf.DUMMYFUNCTION("""COMPUTED_VALUE"""),1.0)</f>
        <v>1</v>
      </c>
      <c r="O6676" s="4" t="str">
        <f>IFERROR(__xludf.DUMMYFUNCTION("""COMPUTED_VALUE"""),"Agilizup Solucoes Ltda")</f>
        <v>Agilizup Solucoes Ltda</v>
      </c>
      <c r="P6676" s="33">
        <f>IFERROR(__xludf.DUMMYFUNCTION("""COMPUTED_VALUE"""),1.0)</f>
        <v>1</v>
      </c>
      <c r="Q6676" s="4" t="str">
        <f>IFERROR(__xludf.DUMMYFUNCTION("""COMPUTED_VALUE"""),"null")</f>
        <v>null</v>
      </c>
      <c r="R6676" s="33">
        <f>IFERROR(__xludf.DUMMYFUNCTION("""COMPUTED_VALUE"""),1.0)</f>
        <v>1</v>
      </c>
      <c r="S6676" s="4" t="str">
        <f>IFERROR(__xludf.DUMMYFUNCTION("""COMPUTED_VALUE"""),"null")</f>
        <v>null</v>
      </c>
      <c r="T6676" s="33">
        <f>IFERROR(__xludf.DUMMYFUNCTION("""COMPUTED_VALUE"""),1.0)</f>
        <v>1</v>
      </c>
      <c r="U6676" s="4" t="str">
        <f>IFERROR(__xludf.DUMMYFUNCTION("""COMPUTED_VALUE"""),"null")</f>
        <v>null</v>
      </c>
      <c r="V6676" s="33">
        <f>IFERROR(__xludf.DUMMYFUNCTION("""COMPUTED_VALUE"""),1.0)</f>
        <v>1</v>
      </c>
      <c r="W6676" s="4" t="str">
        <f>IFERROR(__xludf.DUMMYFUNCTION("""COMPUTED_VALUE"""),"null")</f>
        <v>null</v>
      </c>
      <c r="X6676" s="33">
        <f>IFERROR(__xludf.DUMMYFUNCTION("""COMPUTED_VALUE"""),1.0)</f>
        <v>1</v>
      </c>
    </row>
    <row r="6677">
      <c r="K6677" s="4" t="str">
        <f>IFERROR(__xludf.DUMMYFUNCTION("""COMPUTED_VALUE"""),"BIG JACK - MARCA")</f>
        <v>BIG JACK - MARCA</v>
      </c>
      <c r="L6677" s="32">
        <f>IFERROR(__xludf.DUMMYFUNCTION("""COMPUTED_VALUE"""),2.0)</f>
        <v>2</v>
      </c>
      <c r="M6677" s="4" t="str">
        <f>IFERROR(__xludf.DUMMYFUNCTION("""COMPUTED_VALUE"""),"Saipos Serviços De Software")</f>
        <v>Saipos Serviços De Software</v>
      </c>
      <c r="N6677" s="33">
        <f>IFERROR(__xludf.DUMMYFUNCTION("""COMPUTED_VALUE"""),1.0)</f>
        <v>1</v>
      </c>
      <c r="O6677" s="4" t="str">
        <f>IFERROR(__xludf.DUMMYFUNCTION("""COMPUTED_VALUE"""),"Saipos Serviços De Software")</f>
        <v>Saipos Serviços De Software</v>
      </c>
      <c r="P6677" s="33">
        <f>IFERROR(__xludf.DUMMYFUNCTION("""COMPUTED_VALUE"""),1.0)</f>
        <v>1</v>
      </c>
      <c r="Q6677" s="4" t="str">
        <f>IFERROR(__xludf.DUMMYFUNCTION("""COMPUTED_VALUE"""),"Saipos Serviços De Software")</f>
        <v>Saipos Serviços De Software</v>
      </c>
      <c r="R6677" s="33">
        <f>IFERROR(__xludf.DUMMYFUNCTION("""COMPUTED_VALUE"""),1.0)</f>
        <v>1</v>
      </c>
      <c r="S6677" s="4" t="str">
        <f>IFERROR(__xludf.DUMMYFUNCTION("""COMPUTED_VALUE"""),"Saipos Serviços De Software")</f>
        <v>Saipos Serviços De Software</v>
      </c>
      <c r="T6677" s="33">
        <f>IFERROR(__xludf.DUMMYFUNCTION("""COMPUTED_VALUE"""),1.0)</f>
        <v>1</v>
      </c>
      <c r="U6677" s="4" t="str">
        <f>IFERROR(__xludf.DUMMYFUNCTION("""COMPUTED_VALUE"""),"Saipos Serviços De Software")</f>
        <v>Saipos Serviços De Software</v>
      </c>
      <c r="V6677" s="33">
        <f>IFERROR(__xludf.DUMMYFUNCTION("""COMPUTED_VALUE"""),1.0)</f>
        <v>1</v>
      </c>
      <c r="W6677" s="4" t="str">
        <f>IFERROR(__xludf.DUMMYFUNCTION("""COMPUTED_VALUE"""),"Saipos Serviços De Software")</f>
        <v>Saipos Serviços De Software</v>
      </c>
      <c r="X6677" s="33">
        <f>IFERROR(__xludf.DUMMYFUNCTION("""COMPUTED_VALUE"""),1.0)</f>
        <v>1</v>
      </c>
    </row>
    <row r="6678">
      <c r="K6678" s="4" t="str">
        <f>IFERROR(__xludf.DUMMYFUNCTION("""COMPUTED_VALUE"""),"BIG JEFF S BURGER - SOROCABA")</f>
        <v>BIG JEFF S BURGER - SOROCABA</v>
      </c>
      <c r="L6678" s="32">
        <f>IFERROR(__xludf.DUMMYFUNCTION("""COMPUTED_VALUE"""),2.0)</f>
        <v>2</v>
      </c>
      <c r="M6678" s="4" t="str">
        <f>IFERROR(__xludf.DUMMYFUNCTION("""COMPUTED_VALUE"""),"Kcms")</f>
        <v>Kcms</v>
      </c>
      <c r="N6678" s="33">
        <f>IFERROR(__xludf.DUMMYFUNCTION("""COMPUTED_VALUE"""),0.5)</f>
        <v>0.5</v>
      </c>
      <c r="O6678" s="4" t="str">
        <f>IFERROR(__xludf.DUMMYFUNCTION("""COMPUTED_VALUE"""),"Kcms")</f>
        <v>Kcms</v>
      </c>
      <c r="P6678" s="33">
        <f>IFERROR(__xludf.DUMMYFUNCTION("""COMPUTED_VALUE"""),0.5)</f>
        <v>0.5</v>
      </c>
      <c r="Q6678" s="4" t="str">
        <f>IFERROR(__xludf.DUMMYFUNCTION("""COMPUTED_VALUE"""),"Kcms")</f>
        <v>Kcms</v>
      </c>
      <c r="R6678" s="33">
        <f>IFERROR(__xludf.DUMMYFUNCTION("""COMPUTED_VALUE"""),1.0)</f>
        <v>1</v>
      </c>
      <c r="S6678" s="4" t="str">
        <f>IFERROR(__xludf.DUMMYFUNCTION("""COMPUTED_VALUE"""),"Kcms")</f>
        <v>Kcms</v>
      </c>
      <c r="T6678" s="33">
        <f>IFERROR(__xludf.DUMMYFUNCTION("""COMPUTED_VALUE"""),1.0)</f>
        <v>1</v>
      </c>
      <c r="U6678" s="4" t="str">
        <f>IFERROR(__xludf.DUMMYFUNCTION("""COMPUTED_VALUE"""),"Kcms")</f>
        <v>Kcms</v>
      </c>
      <c r="V6678" s="33">
        <f>IFERROR(__xludf.DUMMYFUNCTION("""COMPUTED_VALUE"""),1.0)</f>
        <v>1</v>
      </c>
      <c r="W6678" s="4" t="str">
        <f>IFERROR(__xludf.DUMMYFUNCTION("""COMPUTED_VALUE"""),"Kcms")</f>
        <v>Kcms</v>
      </c>
      <c r="X6678" s="33">
        <f>IFERROR(__xludf.DUMMYFUNCTION("""COMPUTED_VALUE"""),1.0)</f>
        <v>1</v>
      </c>
    </row>
    <row r="6679">
      <c r="K6679" s="4" t="str">
        <f>IFERROR(__xludf.DUMMYFUNCTION("""COMPUTED_VALUE"""),"BIG PIZZA VILLA")</f>
        <v>BIG PIZZA VILLA</v>
      </c>
      <c r="L6679" s="32">
        <f>IFERROR(__xludf.DUMMYFUNCTION("""COMPUTED_VALUE"""),2.0)</f>
        <v>2</v>
      </c>
      <c r="M6679" s="4" t="str">
        <f>IFERROR(__xludf.DUMMYFUNCTION("""COMPUTED_VALUE"""),"Sistema Pallas")</f>
        <v>Sistema Pallas</v>
      </c>
      <c r="N6679" s="33">
        <f>IFERROR(__xludf.DUMMYFUNCTION("""COMPUTED_VALUE"""),1.0)</f>
        <v>1</v>
      </c>
      <c r="O6679" s="4" t="str">
        <f>IFERROR(__xludf.DUMMYFUNCTION("""COMPUTED_VALUE"""),"Sistema Pallas")</f>
        <v>Sistema Pallas</v>
      </c>
      <c r="P6679" s="33">
        <f>IFERROR(__xludf.DUMMYFUNCTION("""COMPUTED_VALUE"""),1.0)</f>
        <v>1</v>
      </c>
      <c r="Q6679" s="4" t="str">
        <f>IFERROR(__xludf.DUMMYFUNCTION("""COMPUTED_VALUE"""),"Sistema Pallas")</f>
        <v>Sistema Pallas</v>
      </c>
      <c r="R6679" s="33">
        <f>IFERROR(__xludf.DUMMYFUNCTION("""COMPUTED_VALUE"""),0.5)</f>
        <v>0.5</v>
      </c>
      <c r="S6679" s="4" t="str">
        <f>IFERROR(__xludf.DUMMYFUNCTION("""COMPUTED_VALUE"""),"Sistema Pallas")</f>
        <v>Sistema Pallas</v>
      </c>
      <c r="T6679" s="33">
        <f>IFERROR(__xludf.DUMMYFUNCTION("""COMPUTED_VALUE"""),1.0)</f>
        <v>1</v>
      </c>
      <c r="U6679" s="4" t="str">
        <f>IFERROR(__xludf.DUMMYFUNCTION("""COMPUTED_VALUE"""),"Sistema Pallas")</f>
        <v>Sistema Pallas</v>
      </c>
      <c r="V6679" s="33">
        <f>IFERROR(__xludf.DUMMYFUNCTION("""COMPUTED_VALUE"""),1.0)</f>
        <v>1</v>
      </c>
      <c r="W6679" s="4" t="str">
        <f>IFERROR(__xludf.DUMMYFUNCTION("""COMPUTED_VALUE"""),"Sistema Pallas")</f>
        <v>Sistema Pallas</v>
      </c>
      <c r="X6679" s="33">
        <f>IFERROR(__xludf.DUMMYFUNCTION("""COMPUTED_VALUE"""),1.0)</f>
        <v>1</v>
      </c>
    </row>
    <row r="6680">
      <c r="K6680" s="4" t="str">
        <f>IFERROR(__xludf.DUMMYFUNCTION("""COMPUTED_VALUE"""),"BIG XIS RESTAURANTE SC - CONTA MARCA")</f>
        <v>BIG XIS RESTAURANTE SC - CONTA MARCA</v>
      </c>
      <c r="L6680" s="32">
        <f>IFERROR(__xludf.DUMMYFUNCTION("""COMPUTED_VALUE"""),2.0)</f>
        <v>2</v>
      </c>
      <c r="M6680" s="4" t="str">
        <f>IFERROR(__xludf.DUMMYFUNCTION("""COMPUTED_VALUE"""),"Cardápio Web")</f>
        <v>Cardápio Web</v>
      </c>
      <c r="N6680" s="33">
        <f>IFERROR(__xludf.DUMMYFUNCTION("""COMPUTED_VALUE"""),1.0)</f>
        <v>1</v>
      </c>
      <c r="O6680" s="4" t="str">
        <f>IFERROR(__xludf.DUMMYFUNCTION("""COMPUTED_VALUE"""),"Cardápio Web")</f>
        <v>Cardápio Web</v>
      </c>
      <c r="P6680" s="33">
        <f>IFERROR(__xludf.DUMMYFUNCTION("""COMPUTED_VALUE"""),1.0)</f>
        <v>1</v>
      </c>
      <c r="Q6680" s="4" t="str">
        <f>IFERROR(__xludf.DUMMYFUNCTION("""COMPUTED_VALUE"""),"Cardápio Web")</f>
        <v>Cardápio Web</v>
      </c>
      <c r="R6680" s="33">
        <f>IFERROR(__xludf.DUMMYFUNCTION("""COMPUTED_VALUE"""),1.0)</f>
        <v>1</v>
      </c>
      <c r="S6680" s="4" t="str">
        <f>IFERROR(__xludf.DUMMYFUNCTION("""COMPUTED_VALUE"""),"Cardápio Web")</f>
        <v>Cardápio Web</v>
      </c>
      <c r="T6680" s="33">
        <f>IFERROR(__xludf.DUMMYFUNCTION("""COMPUTED_VALUE"""),1.0)</f>
        <v>1</v>
      </c>
      <c r="U6680" s="4" t="str">
        <f>IFERROR(__xludf.DUMMYFUNCTION("""COMPUTED_VALUE"""),"Cardápio Web")</f>
        <v>Cardápio Web</v>
      </c>
      <c r="V6680" s="33">
        <f>IFERROR(__xludf.DUMMYFUNCTION("""COMPUTED_VALUE"""),1.0)</f>
        <v>1</v>
      </c>
      <c r="W6680" s="4" t="str">
        <f>IFERROR(__xludf.DUMMYFUNCTION("""COMPUTED_VALUE"""),"Cardápio Web")</f>
        <v>Cardápio Web</v>
      </c>
      <c r="X6680" s="33">
        <f>IFERROR(__xludf.DUMMYFUNCTION("""COMPUTED_VALUE"""),1.0)</f>
        <v>1</v>
      </c>
    </row>
    <row r="6681">
      <c r="K6681" s="4" t="str">
        <f>IFERROR(__xludf.DUMMYFUNCTION("""COMPUTED_VALUE"""),"BISTRO 021 - NATURE")</f>
        <v>BISTRO 021 - NATURE</v>
      </c>
      <c r="L6681" s="32">
        <f>IFERROR(__xludf.DUMMYFUNCTION("""COMPUTED_VALUE"""),2.0)</f>
        <v>2</v>
      </c>
      <c r="M6681" s="4" t="str">
        <f>IFERROR(__xludf.DUMMYFUNCTION("""COMPUTED_VALUE"""),"null")</f>
        <v>null</v>
      </c>
      <c r="N6681" s="33">
        <f>IFERROR(__xludf.DUMMYFUNCTION("""COMPUTED_VALUE"""),0.5)</f>
        <v>0.5</v>
      </c>
      <c r="O6681" s="4" t="str">
        <f>IFERROR(__xludf.DUMMYFUNCTION("""COMPUTED_VALUE"""),"Saipos Serviços De Software")</f>
        <v>Saipos Serviços De Software</v>
      </c>
      <c r="P6681" s="33">
        <f>IFERROR(__xludf.DUMMYFUNCTION("""COMPUTED_VALUE"""),1.0)</f>
        <v>1</v>
      </c>
      <c r="Q6681" s="4" t="str">
        <f>IFERROR(__xludf.DUMMYFUNCTION("""COMPUTED_VALUE"""),"Saipos Serviços De Software")</f>
        <v>Saipos Serviços De Software</v>
      </c>
      <c r="R6681" s="33">
        <f>IFERROR(__xludf.DUMMYFUNCTION("""COMPUTED_VALUE"""),1.0)</f>
        <v>1</v>
      </c>
      <c r="S6681" s="4" t="str">
        <f>IFERROR(__xludf.DUMMYFUNCTION("""COMPUTED_VALUE"""),"Saipos Serviços De Software")</f>
        <v>Saipos Serviços De Software</v>
      </c>
      <c r="T6681" s="33">
        <f>IFERROR(__xludf.DUMMYFUNCTION("""COMPUTED_VALUE"""),1.0)</f>
        <v>1</v>
      </c>
      <c r="U6681" s="4" t="str">
        <f>IFERROR(__xludf.DUMMYFUNCTION("""COMPUTED_VALUE"""),"Saipos Serviços De Software")</f>
        <v>Saipos Serviços De Software</v>
      </c>
      <c r="V6681" s="33">
        <f>IFERROR(__xludf.DUMMYFUNCTION("""COMPUTED_VALUE"""),1.0)</f>
        <v>1</v>
      </c>
      <c r="W6681" s="4" t="str">
        <f>IFERROR(__xludf.DUMMYFUNCTION("""COMPUTED_VALUE"""),"Saipos Serviços De Software")</f>
        <v>Saipos Serviços De Software</v>
      </c>
      <c r="X6681" s="33">
        <f>IFERROR(__xludf.DUMMYFUNCTION("""COMPUTED_VALUE"""),1.0)</f>
        <v>1</v>
      </c>
    </row>
    <row r="6682">
      <c r="K6682" s="4" t="str">
        <f>IFERROR(__xludf.DUMMYFUNCTION("""COMPUTED_VALUE"""),"BISTRO RIOS")</f>
        <v>BISTRO RIOS</v>
      </c>
      <c r="L6682" s="32">
        <f>IFERROR(__xludf.DUMMYFUNCTION("""COMPUTED_VALUE"""),2.0)</f>
        <v>2</v>
      </c>
      <c r="M6682" s="4" t="str">
        <f>IFERROR(__xludf.DUMMYFUNCTION("""COMPUTED_VALUE"""),"F-rest Sistema Para Food Service Ltda")</f>
        <v>F-rest Sistema Para Food Service Ltda</v>
      </c>
      <c r="N6682" s="33">
        <f>IFERROR(__xludf.DUMMYFUNCTION("""COMPUTED_VALUE"""),1.0)</f>
        <v>1</v>
      </c>
      <c r="O6682" s="4" t="str">
        <f>IFERROR(__xludf.DUMMYFUNCTION("""COMPUTED_VALUE"""),"F-rest Sistema Para Food Service Ltda")</f>
        <v>F-rest Sistema Para Food Service Ltda</v>
      </c>
      <c r="P6682" s="33">
        <f>IFERROR(__xludf.DUMMYFUNCTION("""COMPUTED_VALUE"""),1.0)</f>
        <v>1</v>
      </c>
      <c r="Q6682" s="4" t="str">
        <f>IFERROR(__xludf.DUMMYFUNCTION("""COMPUTED_VALUE"""),"F-rest Sistema Para Food Service Ltda")</f>
        <v>F-rest Sistema Para Food Service Ltda</v>
      </c>
      <c r="R6682" s="33">
        <f>IFERROR(__xludf.DUMMYFUNCTION("""COMPUTED_VALUE"""),1.0)</f>
        <v>1</v>
      </c>
      <c r="S6682" s="4" t="str">
        <f>IFERROR(__xludf.DUMMYFUNCTION("""COMPUTED_VALUE"""),"F-rest Sistema Para Food Service Ltda")</f>
        <v>F-rest Sistema Para Food Service Ltda</v>
      </c>
      <c r="T6682" s="33">
        <f>IFERROR(__xludf.DUMMYFUNCTION("""COMPUTED_VALUE"""),0.5)</f>
        <v>0.5</v>
      </c>
      <c r="U6682" s="4" t="str">
        <f>IFERROR(__xludf.DUMMYFUNCTION("""COMPUTED_VALUE"""),"null")</f>
        <v>null</v>
      </c>
      <c r="V6682" s="33">
        <f>IFERROR(__xludf.DUMMYFUNCTION("""COMPUTED_VALUE"""),1.0)</f>
        <v>1</v>
      </c>
      <c r="W6682" s="4" t="str">
        <f>IFERROR(__xludf.DUMMYFUNCTION("""COMPUTED_VALUE"""),"F-rest Sistema Para Food Service Ltda")</f>
        <v>F-rest Sistema Para Food Service Ltda</v>
      </c>
      <c r="X6682" s="33">
        <f>IFERROR(__xludf.DUMMYFUNCTION("""COMPUTED_VALUE"""),1.0)</f>
        <v>1</v>
      </c>
    </row>
    <row r="6683">
      <c r="K6683" s="4" t="str">
        <f>IFERROR(__xludf.DUMMYFUNCTION("""COMPUTED_VALUE"""),"BLACK BURGUER E PIZZA - PAI")</f>
        <v>BLACK BURGUER E PIZZA - PAI</v>
      </c>
      <c r="L6683" s="32">
        <f>IFERROR(__xludf.DUMMYFUNCTION("""COMPUTED_VALUE"""),2.0)</f>
        <v>2</v>
      </c>
      <c r="M6683" s="4" t="str">
        <f>IFERROR(__xludf.DUMMYFUNCTION("""COMPUTED_VALUE"""),"Menu Integrado")</f>
        <v>Menu Integrado</v>
      </c>
      <c r="N6683" s="33">
        <f>IFERROR(__xludf.DUMMYFUNCTION("""COMPUTED_VALUE"""),1.0)</f>
        <v>1</v>
      </c>
      <c r="O6683" s="4" t="str">
        <f>IFERROR(__xludf.DUMMYFUNCTION("""COMPUTED_VALUE"""),"Menu Integrado")</f>
        <v>Menu Integrado</v>
      </c>
      <c r="P6683" s="33">
        <f>IFERROR(__xludf.DUMMYFUNCTION("""COMPUTED_VALUE"""),1.0)</f>
        <v>1</v>
      </c>
      <c r="Q6683" s="4" t="str">
        <f>IFERROR(__xludf.DUMMYFUNCTION("""COMPUTED_VALUE"""),"Menu Integrado")</f>
        <v>Menu Integrado</v>
      </c>
      <c r="R6683" s="33">
        <f>IFERROR(__xludf.DUMMYFUNCTION("""COMPUTED_VALUE"""),1.0)</f>
        <v>1</v>
      </c>
      <c r="S6683" s="4" t="str">
        <f>IFERROR(__xludf.DUMMYFUNCTION("""COMPUTED_VALUE"""),"Menu Integrado")</f>
        <v>Menu Integrado</v>
      </c>
      <c r="T6683" s="33">
        <f>IFERROR(__xludf.DUMMYFUNCTION("""COMPUTED_VALUE"""),1.0)</f>
        <v>1</v>
      </c>
      <c r="U6683" s="4" t="str">
        <f>IFERROR(__xludf.DUMMYFUNCTION("""COMPUTED_VALUE"""),"Menu Integrado")</f>
        <v>Menu Integrado</v>
      </c>
      <c r="V6683" s="33">
        <f>IFERROR(__xludf.DUMMYFUNCTION("""COMPUTED_VALUE"""),1.0)</f>
        <v>1</v>
      </c>
      <c r="W6683" s="4" t="str">
        <f>IFERROR(__xludf.DUMMYFUNCTION("""COMPUTED_VALUE"""),"Menu Integrado")</f>
        <v>Menu Integrado</v>
      </c>
      <c r="X6683" s="33">
        <f>IFERROR(__xludf.DUMMYFUNCTION("""COMPUTED_VALUE"""),1.0)</f>
        <v>1</v>
      </c>
    </row>
    <row r="6684">
      <c r="K6684" s="4" t="str">
        <f>IFERROR(__xludf.DUMMYFUNCTION("""COMPUTED_VALUE"""),"BLITZ BURGER")</f>
        <v>BLITZ BURGER</v>
      </c>
      <c r="L6684" s="32">
        <f>IFERROR(__xludf.DUMMYFUNCTION("""COMPUTED_VALUE"""),2.0)</f>
        <v>2</v>
      </c>
      <c r="M6684" s="4" t="str">
        <f>IFERROR(__xludf.DUMMYFUNCTION("""COMPUTED_VALUE"""),"Insert Code Informatica Ltda")</f>
        <v>Insert Code Informatica Ltda</v>
      </c>
      <c r="N6684" s="33">
        <f>IFERROR(__xludf.DUMMYFUNCTION("""COMPUTED_VALUE"""),1.0)</f>
        <v>1</v>
      </c>
      <c r="O6684" s="4" t="str">
        <f>IFERROR(__xludf.DUMMYFUNCTION("""COMPUTED_VALUE"""),"Insert Code Informatica Ltda")</f>
        <v>Insert Code Informatica Ltda</v>
      </c>
      <c r="P6684" s="33">
        <f>IFERROR(__xludf.DUMMYFUNCTION("""COMPUTED_VALUE"""),1.0)</f>
        <v>1</v>
      </c>
      <c r="Q6684" s="4" t="str">
        <f>IFERROR(__xludf.DUMMYFUNCTION("""COMPUTED_VALUE"""),"Insert Code Informatica Ltda")</f>
        <v>Insert Code Informatica Ltda</v>
      </c>
      <c r="R6684" s="33">
        <f>IFERROR(__xludf.DUMMYFUNCTION("""COMPUTED_VALUE"""),1.0)</f>
        <v>1</v>
      </c>
      <c r="S6684" s="4" t="str">
        <f>IFERROR(__xludf.DUMMYFUNCTION("""COMPUTED_VALUE"""),"Insert Code Informatica Ltda")</f>
        <v>Insert Code Informatica Ltda</v>
      </c>
      <c r="T6684" s="33">
        <f>IFERROR(__xludf.DUMMYFUNCTION("""COMPUTED_VALUE"""),1.0)</f>
        <v>1</v>
      </c>
      <c r="U6684" s="4" t="str">
        <f>IFERROR(__xludf.DUMMYFUNCTION("""COMPUTED_VALUE"""),"Insert Code Informatica Ltda")</f>
        <v>Insert Code Informatica Ltda</v>
      </c>
      <c r="V6684" s="33">
        <f>IFERROR(__xludf.DUMMYFUNCTION("""COMPUTED_VALUE"""),1.0)</f>
        <v>1</v>
      </c>
      <c r="W6684" s="4" t="str">
        <f>IFERROR(__xludf.DUMMYFUNCTION("""COMPUTED_VALUE"""),"Insert Code Informatica Ltda")</f>
        <v>Insert Code Informatica Ltda</v>
      </c>
      <c r="X6684" s="33">
        <f>IFERROR(__xludf.DUMMYFUNCTION("""COMPUTED_VALUE"""),1.0)</f>
        <v>1</v>
      </c>
    </row>
    <row r="6685">
      <c r="K6685" s="4" t="str">
        <f>IFERROR(__xludf.DUMMYFUNCTION("""COMPUTED_VALUE"""),"BLS BURGERS AND SANDWICHES")</f>
        <v>BLS BURGERS AND SANDWICHES</v>
      </c>
      <c r="L6685" s="32">
        <f>IFERROR(__xludf.DUMMYFUNCTION("""COMPUTED_VALUE"""),2.0)</f>
        <v>2</v>
      </c>
      <c r="M6685" s="4" t="str">
        <f>IFERROR(__xludf.DUMMYFUNCTION("""COMPUTED_VALUE"""),"Saipos Serviços De Software")</f>
        <v>Saipos Serviços De Software</v>
      </c>
      <c r="N6685" s="33">
        <f>IFERROR(__xludf.DUMMYFUNCTION("""COMPUTED_VALUE"""),0.5)</f>
        <v>0.5</v>
      </c>
      <c r="O6685" s="4" t="str">
        <f>IFERROR(__xludf.DUMMYFUNCTION("""COMPUTED_VALUE"""),"null")</f>
        <v>null</v>
      </c>
      <c r="P6685" s="33">
        <f>IFERROR(__xludf.DUMMYFUNCTION("""COMPUTED_VALUE"""),1.0)</f>
        <v>1</v>
      </c>
      <c r="Q6685" s="4" t="str">
        <f>IFERROR(__xludf.DUMMYFUNCTION("""COMPUTED_VALUE"""),"null")</f>
        <v>null</v>
      </c>
      <c r="R6685" s="33">
        <f>IFERROR(__xludf.DUMMYFUNCTION("""COMPUTED_VALUE"""),1.0)</f>
        <v>1</v>
      </c>
      <c r="S6685" s="4" t="str">
        <f>IFERROR(__xludf.DUMMYFUNCTION("""COMPUTED_VALUE"""),"null")</f>
        <v>null</v>
      </c>
      <c r="T6685" s="33">
        <f>IFERROR(__xludf.DUMMYFUNCTION("""COMPUTED_VALUE"""),1.0)</f>
        <v>1</v>
      </c>
      <c r="U6685" s="4" t="str">
        <f>IFERROR(__xludf.DUMMYFUNCTION("""COMPUTED_VALUE"""),"Saipos Serviços De Software")</f>
        <v>Saipos Serviços De Software</v>
      </c>
      <c r="V6685" s="33">
        <f>IFERROR(__xludf.DUMMYFUNCTION("""COMPUTED_VALUE"""),1.0)</f>
        <v>1</v>
      </c>
      <c r="W6685" s="4" t="str">
        <f>IFERROR(__xludf.DUMMYFUNCTION("""COMPUTED_VALUE"""),"Saipos Serviços De Software")</f>
        <v>Saipos Serviços De Software</v>
      </c>
      <c r="X6685" s="33">
        <f>IFERROR(__xludf.DUMMYFUNCTION("""COMPUTED_VALUE"""),1.0)</f>
        <v>1</v>
      </c>
    </row>
    <row r="6686">
      <c r="K6686" s="4" t="str">
        <f>IFERROR(__xludf.DUMMYFUNCTION("""COMPUTED_VALUE"""),"BOB BARAO PIZZARIA - SC")</f>
        <v>BOB BARAO PIZZARIA - SC</v>
      </c>
      <c r="L6686" s="32">
        <f>IFERROR(__xludf.DUMMYFUNCTION("""COMPUTED_VALUE"""),2.0)</f>
        <v>2</v>
      </c>
      <c r="M6686" s="4" t="str">
        <f>IFERROR(__xludf.DUMMYFUNCTION("""COMPUTED_VALUE"""),"Saipos Serviços De Software")</f>
        <v>Saipos Serviços De Software</v>
      </c>
      <c r="N6686" s="33">
        <f>IFERROR(__xludf.DUMMYFUNCTION("""COMPUTED_VALUE"""),1.0)</f>
        <v>1</v>
      </c>
      <c r="O6686" s="4" t="str">
        <f>IFERROR(__xludf.DUMMYFUNCTION("""COMPUTED_VALUE"""),"Saipos Serviços De Software")</f>
        <v>Saipos Serviços De Software</v>
      </c>
      <c r="P6686" s="33">
        <f>IFERROR(__xludf.DUMMYFUNCTION("""COMPUTED_VALUE"""),1.0)</f>
        <v>1</v>
      </c>
      <c r="Q6686" s="4" t="str">
        <f>IFERROR(__xludf.DUMMYFUNCTION("""COMPUTED_VALUE"""),"Saipos Serviços De Software")</f>
        <v>Saipos Serviços De Software</v>
      </c>
      <c r="R6686" s="33">
        <f>IFERROR(__xludf.DUMMYFUNCTION("""COMPUTED_VALUE"""),1.0)</f>
        <v>1</v>
      </c>
      <c r="S6686" s="4" t="str">
        <f>IFERROR(__xludf.DUMMYFUNCTION("""COMPUTED_VALUE"""),"Saipos Serviços De Software")</f>
        <v>Saipos Serviços De Software</v>
      </c>
      <c r="T6686" s="33">
        <f>IFERROR(__xludf.DUMMYFUNCTION("""COMPUTED_VALUE"""),1.0)</f>
        <v>1</v>
      </c>
      <c r="U6686" s="4" t="str">
        <f>IFERROR(__xludf.DUMMYFUNCTION("""COMPUTED_VALUE"""),"Saipos Serviços De Software")</f>
        <v>Saipos Serviços De Software</v>
      </c>
      <c r="V6686" s="33">
        <f>IFERROR(__xludf.DUMMYFUNCTION("""COMPUTED_VALUE"""),1.0)</f>
        <v>1</v>
      </c>
      <c r="W6686" s="4" t="str">
        <f>IFERROR(__xludf.DUMMYFUNCTION("""COMPUTED_VALUE"""),"Saipos Serviços De Software")</f>
        <v>Saipos Serviços De Software</v>
      </c>
      <c r="X6686" s="33">
        <f>IFERROR(__xludf.DUMMYFUNCTION("""COMPUTED_VALUE"""),1.0)</f>
        <v>1</v>
      </c>
    </row>
    <row r="6687">
      <c r="K6687" s="4" t="str">
        <f>IFERROR(__xludf.DUMMYFUNCTION("""COMPUTED_VALUE"""),"BOLINHA")</f>
        <v>BOLINHA</v>
      </c>
      <c r="L6687" s="32">
        <f>IFERROR(__xludf.DUMMYFUNCTION("""COMPUTED_VALUE"""),2.0)</f>
        <v>2</v>
      </c>
      <c r="M6687" s="4" t="str">
        <f>IFERROR(__xludf.DUMMYFUNCTION("""COMPUTED_VALUE"""),"Saipos Serviços De Software")</f>
        <v>Saipos Serviços De Software</v>
      </c>
      <c r="N6687" s="33">
        <f>IFERROR(__xludf.DUMMYFUNCTION("""COMPUTED_VALUE"""),1.0)</f>
        <v>1</v>
      </c>
      <c r="O6687" s="4" t="str">
        <f>IFERROR(__xludf.DUMMYFUNCTION("""COMPUTED_VALUE"""),"Saipos Serviços De Software")</f>
        <v>Saipos Serviços De Software</v>
      </c>
      <c r="P6687" s="33">
        <f>IFERROR(__xludf.DUMMYFUNCTION("""COMPUTED_VALUE"""),1.0)</f>
        <v>1</v>
      </c>
      <c r="Q6687" s="4" t="str">
        <f>IFERROR(__xludf.DUMMYFUNCTION("""COMPUTED_VALUE"""),"Saipos Serviços De Software")</f>
        <v>Saipos Serviços De Software</v>
      </c>
      <c r="R6687" s="33">
        <f>IFERROR(__xludf.DUMMYFUNCTION("""COMPUTED_VALUE"""),1.0)</f>
        <v>1</v>
      </c>
      <c r="S6687" s="4" t="str">
        <f>IFERROR(__xludf.DUMMYFUNCTION("""COMPUTED_VALUE"""),"Saipos Serviços De Software")</f>
        <v>Saipos Serviços De Software</v>
      </c>
      <c r="T6687" s="33">
        <f>IFERROR(__xludf.DUMMYFUNCTION("""COMPUTED_VALUE"""),1.0)</f>
        <v>1</v>
      </c>
      <c r="U6687" s="4" t="str">
        <f>IFERROR(__xludf.DUMMYFUNCTION("""COMPUTED_VALUE"""),"Saipos Serviços De Software")</f>
        <v>Saipos Serviços De Software</v>
      </c>
      <c r="V6687" s="33">
        <f>IFERROR(__xludf.DUMMYFUNCTION("""COMPUTED_VALUE"""),1.0)</f>
        <v>1</v>
      </c>
      <c r="W6687" s="4" t="str">
        <f>IFERROR(__xludf.DUMMYFUNCTION("""COMPUTED_VALUE"""),"Saipos Serviços De Software")</f>
        <v>Saipos Serviços De Software</v>
      </c>
      <c r="X6687" s="33">
        <f>IFERROR(__xludf.DUMMYFUNCTION("""COMPUTED_VALUE"""),1.0)</f>
        <v>1</v>
      </c>
    </row>
    <row r="6688">
      <c r="K6688" s="4" t="str">
        <f>IFERROR(__xludf.DUMMYFUNCTION("""COMPUTED_VALUE"""),"BOLOS SIL SIL CONTA PAI")</f>
        <v>BOLOS SIL SIL CONTA PAI</v>
      </c>
      <c r="L6688" s="32">
        <f>IFERROR(__xludf.DUMMYFUNCTION("""COMPUTED_VALUE"""),2.0)</f>
        <v>2</v>
      </c>
      <c r="M6688" s="4" t="str">
        <f>IFERROR(__xludf.DUMMYFUNCTION("""COMPUTED_VALUE"""),"Anota Ai Solucoes Digitais S/a")</f>
        <v>Anota Ai Solucoes Digitais S/a</v>
      </c>
      <c r="N6688" s="33">
        <f>IFERROR(__xludf.DUMMYFUNCTION("""COMPUTED_VALUE"""),1.0)</f>
        <v>1</v>
      </c>
      <c r="O6688" s="4" t="str">
        <f>IFERROR(__xludf.DUMMYFUNCTION("""COMPUTED_VALUE"""),"Anota Ai Solucoes Digitais S/a")</f>
        <v>Anota Ai Solucoes Digitais S/a</v>
      </c>
      <c r="P6688" s="33">
        <f>IFERROR(__xludf.DUMMYFUNCTION("""COMPUTED_VALUE"""),1.0)</f>
        <v>1</v>
      </c>
      <c r="Q6688" s="4" t="str">
        <f>IFERROR(__xludf.DUMMYFUNCTION("""COMPUTED_VALUE"""),"Anota Ai Solucoes Digitais S/a")</f>
        <v>Anota Ai Solucoes Digitais S/a</v>
      </c>
      <c r="R6688" s="33">
        <f>IFERROR(__xludf.DUMMYFUNCTION("""COMPUTED_VALUE"""),1.0)</f>
        <v>1</v>
      </c>
      <c r="S6688" s="4" t="str">
        <f>IFERROR(__xludf.DUMMYFUNCTION("""COMPUTED_VALUE"""),"Anota Ai Solucoes Digitais S/a")</f>
        <v>Anota Ai Solucoes Digitais S/a</v>
      </c>
      <c r="T6688" s="33">
        <f>IFERROR(__xludf.DUMMYFUNCTION("""COMPUTED_VALUE"""),0.5)</f>
        <v>0.5</v>
      </c>
      <c r="U6688" s="4" t="str">
        <f>IFERROR(__xludf.DUMMYFUNCTION("""COMPUTED_VALUE"""),"Anota Ai Solucoes Digitais S/a")</f>
        <v>Anota Ai Solucoes Digitais S/a</v>
      </c>
      <c r="V6688" s="33">
        <f>IFERROR(__xludf.DUMMYFUNCTION("""COMPUTED_VALUE"""),1.0)</f>
        <v>1</v>
      </c>
      <c r="W6688" s="4" t="str">
        <f>IFERROR(__xludf.DUMMYFUNCTION("""COMPUTED_VALUE"""),"Anota Ai Solucoes Digitais S/a")</f>
        <v>Anota Ai Solucoes Digitais S/a</v>
      </c>
      <c r="X6688" s="33">
        <f>IFERROR(__xludf.DUMMYFUNCTION("""COMPUTED_VALUE"""),1.0)</f>
        <v>1</v>
      </c>
    </row>
    <row r="6689">
      <c r="K6689" s="4" t="str">
        <f>IFERROR(__xludf.DUMMYFUNCTION("""COMPUTED_VALUE"""),"BOM DE GARFO RESTAURANTE SC - CONTA MARCA")</f>
        <v>BOM DE GARFO RESTAURANTE SC - CONTA MARCA</v>
      </c>
      <c r="L6689" s="32">
        <f>IFERROR(__xludf.DUMMYFUNCTION("""COMPUTED_VALUE"""),2.0)</f>
        <v>2</v>
      </c>
      <c r="M6689" s="4" t="str">
        <f>IFERROR(__xludf.DUMMYFUNCTION("""COMPUTED_VALUE"""),"Saipos Serviços De Software")</f>
        <v>Saipos Serviços De Software</v>
      </c>
      <c r="N6689" s="33">
        <f>IFERROR(__xludf.DUMMYFUNCTION("""COMPUTED_VALUE"""),1.0)</f>
        <v>1</v>
      </c>
      <c r="O6689" s="4" t="str">
        <f>IFERROR(__xludf.DUMMYFUNCTION("""COMPUTED_VALUE"""),"Saipos Serviços De Software")</f>
        <v>Saipos Serviços De Software</v>
      </c>
      <c r="P6689" s="33">
        <f>IFERROR(__xludf.DUMMYFUNCTION("""COMPUTED_VALUE"""),1.0)</f>
        <v>1</v>
      </c>
      <c r="Q6689" s="4" t="str">
        <f>IFERROR(__xludf.DUMMYFUNCTION("""COMPUTED_VALUE"""),"Saipos Serviços De Software")</f>
        <v>Saipos Serviços De Software</v>
      </c>
      <c r="R6689" s="33">
        <f>IFERROR(__xludf.DUMMYFUNCTION("""COMPUTED_VALUE"""),1.0)</f>
        <v>1</v>
      </c>
      <c r="S6689" s="4" t="str">
        <f>IFERROR(__xludf.DUMMYFUNCTION("""COMPUTED_VALUE"""),"Saipos Serviços De Software")</f>
        <v>Saipos Serviços De Software</v>
      </c>
      <c r="T6689" s="33">
        <f>IFERROR(__xludf.DUMMYFUNCTION("""COMPUTED_VALUE"""),1.0)</f>
        <v>1</v>
      </c>
      <c r="U6689" s="4" t="str">
        <f>IFERROR(__xludf.DUMMYFUNCTION("""COMPUTED_VALUE"""),"Saipos Serviços De Software")</f>
        <v>Saipos Serviços De Software</v>
      </c>
      <c r="V6689" s="33">
        <f>IFERROR(__xludf.DUMMYFUNCTION("""COMPUTED_VALUE"""),1.0)</f>
        <v>1</v>
      </c>
      <c r="W6689" s="4" t="str">
        <f>IFERROR(__xludf.DUMMYFUNCTION("""COMPUTED_VALUE"""),"Saipos Serviços De Software")</f>
        <v>Saipos Serviços De Software</v>
      </c>
      <c r="X6689" s="33">
        <f>IFERROR(__xludf.DUMMYFUNCTION("""COMPUTED_VALUE"""),1.0)</f>
        <v>1</v>
      </c>
    </row>
    <row r="6690">
      <c r="K6690" s="4" t="str">
        <f>IFERROR(__xludf.DUMMYFUNCTION("""COMPUTED_VALUE"""),"BOMBA LANCHES")</f>
        <v>BOMBA LANCHES</v>
      </c>
      <c r="L6690" s="32">
        <f>IFERROR(__xludf.DUMMYFUNCTION("""COMPUTED_VALUE"""),2.0)</f>
        <v>2</v>
      </c>
      <c r="M6690" s="4" t="str">
        <f>IFERROR(__xludf.DUMMYFUNCTION("""COMPUTED_VALUE"""),"Cardápio Web")</f>
        <v>Cardápio Web</v>
      </c>
      <c r="N6690" s="33">
        <f>IFERROR(__xludf.DUMMYFUNCTION("""COMPUTED_VALUE"""),1.0)</f>
        <v>1</v>
      </c>
      <c r="O6690" s="4" t="str">
        <f>IFERROR(__xludf.DUMMYFUNCTION("""COMPUTED_VALUE"""),"Cardápio Web")</f>
        <v>Cardápio Web</v>
      </c>
      <c r="P6690" s="33">
        <f>IFERROR(__xludf.DUMMYFUNCTION("""COMPUTED_VALUE"""),1.0)</f>
        <v>1</v>
      </c>
      <c r="Q6690" s="4" t="str">
        <f>IFERROR(__xludf.DUMMYFUNCTION("""COMPUTED_VALUE"""),"Cardápio Web")</f>
        <v>Cardápio Web</v>
      </c>
      <c r="R6690" s="33">
        <f>IFERROR(__xludf.DUMMYFUNCTION("""COMPUTED_VALUE"""),1.0)</f>
        <v>1</v>
      </c>
      <c r="S6690" s="4" t="str">
        <f>IFERROR(__xludf.DUMMYFUNCTION("""COMPUTED_VALUE"""),"Cardápio Web")</f>
        <v>Cardápio Web</v>
      </c>
      <c r="T6690" s="33">
        <f>IFERROR(__xludf.DUMMYFUNCTION("""COMPUTED_VALUE"""),1.0)</f>
        <v>1</v>
      </c>
      <c r="U6690" s="4" t="str">
        <f>IFERROR(__xludf.DUMMYFUNCTION("""COMPUTED_VALUE"""),"Cardápio Web")</f>
        <v>Cardápio Web</v>
      </c>
      <c r="V6690" s="33">
        <f>IFERROR(__xludf.DUMMYFUNCTION("""COMPUTED_VALUE"""),1.0)</f>
        <v>1</v>
      </c>
      <c r="W6690" s="4" t="str">
        <f>IFERROR(__xludf.DUMMYFUNCTION("""COMPUTED_VALUE"""),"Cardápio Web")</f>
        <v>Cardápio Web</v>
      </c>
      <c r="X6690" s="33">
        <f>IFERROR(__xludf.DUMMYFUNCTION("""COMPUTED_VALUE"""),1.0)</f>
        <v>1</v>
      </c>
    </row>
    <row r="6691">
      <c r="K6691" s="4" t="str">
        <f>IFERROR(__xludf.DUMMYFUNCTION("""COMPUTED_VALUE"""),"BONA PIZZA - CONTA MARCA")</f>
        <v>BONA PIZZA - CONTA MARCA</v>
      </c>
      <c r="L6691" s="32">
        <f>IFERROR(__xludf.DUMMYFUNCTION("""COMPUTED_VALUE"""),2.0)</f>
        <v>2</v>
      </c>
      <c r="M6691" s="4" t="str">
        <f>IFERROR(__xludf.DUMMYFUNCTION("""COMPUTED_VALUE"""),"Consumer Soluções Em Tecnologia Ltda")</f>
        <v>Consumer Soluções Em Tecnologia Ltda</v>
      </c>
      <c r="N6691" s="33">
        <f>IFERROR(__xludf.DUMMYFUNCTION("""COMPUTED_VALUE"""),0.5)</f>
        <v>0.5</v>
      </c>
      <c r="O6691" s="4" t="str">
        <f>IFERROR(__xludf.DUMMYFUNCTION("""COMPUTED_VALUE"""),"null")</f>
        <v>null</v>
      </c>
      <c r="P6691" s="33">
        <f>IFERROR(__xludf.DUMMYFUNCTION("""COMPUTED_VALUE"""),1.0)</f>
        <v>1</v>
      </c>
      <c r="Q6691" s="4" t="str">
        <f>IFERROR(__xludf.DUMMYFUNCTION("""COMPUTED_VALUE"""),"null")</f>
        <v>null</v>
      </c>
      <c r="R6691" s="33">
        <f>IFERROR(__xludf.DUMMYFUNCTION("""COMPUTED_VALUE"""),1.0)</f>
        <v>1</v>
      </c>
      <c r="S6691" s="4" t="str">
        <f>IFERROR(__xludf.DUMMYFUNCTION("""COMPUTED_VALUE"""),"Consumer Soluções Em Tecnologia Ltda")</f>
        <v>Consumer Soluções Em Tecnologia Ltda</v>
      </c>
      <c r="T6691" s="33">
        <f>IFERROR(__xludf.DUMMYFUNCTION("""COMPUTED_VALUE"""),0.5)</f>
        <v>0.5</v>
      </c>
      <c r="U6691" s="4" t="str">
        <f>IFERROR(__xludf.DUMMYFUNCTION("""COMPUTED_VALUE"""),"null")</f>
        <v>null</v>
      </c>
      <c r="V6691" s="33">
        <f>IFERROR(__xludf.DUMMYFUNCTION("""COMPUTED_VALUE"""),0.5)</f>
        <v>0.5</v>
      </c>
      <c r="W6691" s="4" t="str">
        <f>IFERROR(__xludf.DUMMYFUNCTION("""COMPUTED_VALUE"""),"Consumer Soluções Em Tecnologia Ltda")</f>
        <v>Consumer Soluções Em Tecnologia Ltda</v>
      </c>
      <c r="X6691" s="33">
        <f>IFERROR(__xludf.DUMMYFUNCTION("""COMPUTED_VALUE"""),0.5)</f>
        <v>0.5</v>
      </c>
    </row>
    <row r="6692">
      <c r="K6692" s="4" t="str">
        <f>IFERROR(__xludf.DUMMYFUNCTION("""COMPUTED_VALUE"""),"BONA VENTURA PIZZARIA - MARCA")</f>
        <v>BONA VENTURA PIZZARIA - MARCA</v>
      </c>
      <c r="L6692" s="32">
        <f>IFERROR(__xludf.DUMMYFUNCTION("""COMPUTED_VALUE"""),2.0)</f>
        <v>2</v>
      </c>
      <c r="M6692" s="4" t="str">
        <f>IFERROR(__xludf.DUMMYFUNCTION("""COMPUTED_VALUE"""),"Schneider Software")</f>
        <v>Schneider Software</v>
      </c>
      <c r="N6692" s="33">
        <f>IFERROR(__xludf.DUMMYFUNCTION("""COMPUTED_VALUE"""),1.0)</f>
        <v>1</v>
      </c>
      <c r="O6692" s="4" t="str">
        <f>IFERROR(__xludf.DUMMYFUNCTION("""COMPUTED_VALUE"""),"Schneider Software")</f>
        <v>Schneider Software</v>
      </c>
      <c r="P6692" s="33">
        <f>IFERROR(__xludf.DUMMYFUNCTION("""COMPUTED_VALUE"""),1.0)</f>
        <v>1</v>
      </c>
      <c r="Q6692" s="4" t="str">
        <f>IFERROR(__xludf.DUMMYFUNCTION("""COMPUTED_VALUE"""),"null")</f>
        <v>null</v>
      </c>
      <c r="R6692" s="33">
        <f>IFERROR(__xludf.DUMMYFUNCTION("""COMPUTED_VALUE"""),1.0)</f>
        <v>1</v>
      </c>
      <c r="S6692" s="4" t="str">
        <f>IFERROR(__xludf.DUMMYFUNCTION("""COMPUTED_VALUE"""),"null")</f>
        <v>null</v>
      </c>
      <c r="T6692" s="33">
        <f>IFERROR(__xludf.DUMMYFUNCTION("""COMPUTED_VALUE"""),1.0)</f>
        <v>1</v>
      </c>
      <c r="U6692" s="4" t="str">
        <f>IFERROR(__xludf.DUMMYFUNCTION("""COMPUTED_VALUE"""),"Schneider Software")</f>
        <v>Schneider Software</v>
      </c>
      <c r="V6692" s="33">
        <f>IFERROR(__xludf.DUMMYFUNCTION("""COMPUTED_VALUE"""),0.5)</f>
        <v>0.5</v>
      </c>
      <c r="W6692" s="4" t="str">
        <f>IFERROR(__xludf.DUMMYFUNCTION("""COMPUTED_VALUE"""),"Schneider Software")</f>
        <v>Schneider Software</v>
      </c>
      <c r="X6692" s="33">
        <f>IFERROR(__xludf.DUMMYFUNCTION("""COMPUTED_VALUE"""),0.5)</f>
        <v>0.5</v>
      </c>
    </row>
    <row r="6693">
      <c r="K6693" s="4" t="str">
        <f>IFERROR(__xludf.DUMMYFUNCTION("""COMPUTED_VALUE"""),"BONANOVA")</f>
        <v>BONANOVA</v>
      </c>
      <c r="L6693" s="32">
        <f>IFERROR(__xludf.DUMMYFUNCTION("""COMPUTED_VALUE"""),2.0)</f>
        <v>2</v>
      </c>
      <c r="M6693" s="4" t="str">
        <f>IFERROR(__xludf.DUMMYFUNCTION("""COMPUTED_VALUE"""),"Grk Soluções Informatica Eireli")</f>
        <v>Grk Soluções Informatica Eireli</v>
      </c>
      <c r="N6693" s="33">
        <f>IFERROR(__xludf.DUMMYFUNCTION("""COMPUTED_VALUE"""),1.0)</f>
        <v>1</v>
      </c>
      <c r="O6693" s="4" t="str">
        <f>IFERROR(__xludf.DUMMYFUNCTION("""COMPUTED_VALUE"""),"Grk Soluções Informatica Eireli")</f>
        <v>Grk Soluções Informatica Eireli</v>
      </c>
      <c r="P6693" s="33">
        <f>IFERROR(__xludf.DUMMYFUNCTION("""COMPUTED_VALUE"""),1.0)</f>
        <v>1</v>
      </c>
      <c r="Q6693" s="4" t="str">
        <f>IFERROR(__xludf.DUMMYFUNCTION("""COMPUTED_VALUE"""),"Grk Soluções Informatica Eireli")</f>
        <v>Grk Soluções Informatica Eireli</v>
      </c>
      <c r="R6693" s="33">
        <f>IFERROR(__xludf.DUMMYFUNCTION("""COMPUTED_VALUE"""),1.0)</f>
        <v>1</v>
      </c>
      <c r="S6693" s="4" t="str">
        <f>IFERROR(__xludf.DUMMYFUNCTION("""COMPUTED_VALUE"""),"Grk Soluções Informatica Eireli")</f>
        <v>Grk Soluções Informatica Eireli</v>
      </c>
      <c r="T6693" s="33">
        <f>IFERROR(__xludf.DUMMYFUNCTION("""COMPUTED_VALUE"""),1.0)</f>
        <v>1</v>
      </c>
      <c r="U6693" s="4" t="str">
        <f>IFERROR(__xludf.DUMMYFUNCTION("""COMPUTED_VALUE"""),"Grk Soluções Informatica Eireli")</f>
        <v>Grk Soluções Informatica Eireli</v>
      </c>
      <c r="V6693" s="33">
        <f>IFERROR(__xludf.DUMMYFUNCTION("""COMPUTED_VALUE"""),1.0)</f>
        <v>1</v>
      </c>
      <c r="W6693" s="4" t="str">
        <f>IFERROR(__xludf.DUMMYFUNCTION("""COMPUTED_VALUE"""),"Grk Soluções Informatica Eireli")</f>
        <v>Grk Soluções Informatica Eireli</v>
      </c>
      <c r="X6693" s="33">
        <f>IFERROR(__xludf.DUMMYFUNCTION("""COMPUTED_VALUE"""),1.0)</f>
        <v>1</v>
      </c>
    </row>
    <row r="6694">
      <c r="K6694" s="4" t="str">
        <f>IFERROR(__xludf.DUMMYFUNCTION("""COMPUTED_VALUE"""),"BONDBICO")</f>
        <v>BONDBICO</v>
      </c>
      <c r="L6694" s="32">
        <f>IFERROR(__xludf.DUMMYFUNCTION("""COMPUTED_VALUE"""),2.0)</f>
        <v>2</v>
      </c>
      <c r="M6694" s="4" t="str">
        <f>IFERROR(__xludf.DUMMYFUNCTION("""COMPUTED_VALUE"""),"Totvs Large Enterprise Tecnologia S.a.")</f>
        <v>Totvs Large Enterprise Tecnologia S.a.</v>
      </c>
      <c r="N6694" s="33">
        <f>IFERROR(__xludf.DUMMYFUNCTION("""COMPUTED_VALUE"""),1.0)</f>
        <v>1</v>
      </c>
      <c r="O6694" s="4" t="str">
        <f>IFERROR(__xludf.DUMMYFUNCTION("""COMPUTED_VALUE"""),"Totvs Large Enterprise Tecnologia S.a.")</f>
        <v>Totvs Large Enterprise Tecnologia S.a.</v>
      </c>
      <c r="P6694" s="33">
        <f>IFERROR(__xludf.DUMMYFUNCTION("""COMPUTED_VALUE"""),1.0)</f>
        <v>1</v>
      </c>
      <c r="Q6694" s="4" t="str">
        <f>IFERROR(__xludf.DUMMYFUNCTION("""COMPUTED_VALUE"""),"Totvs Large Enterprise Tecnologia S.a.")</f>
        <v>Totvs Large Enterprise Tecnologia S.a.</v>
      </c>
      <c r="R6694" s="33">
        <f>IFERROR(__xludf.DUMMYFUNCTION("""COMPUTED_VALUE"""),0.5)</f>
        <v>0.5</v>
      </c>
      <c r="S6694" s="4" t="str">
        <f>IFERROR(__xludf.DUMMYFUNCTION("""COMPUTED_VALUE"""),"Totvs Large Enterprise Tecnologia S.a.")</f>
        <v>Totvs Large Enterprise Tecnologia S.a.</v>
      </c>
      <c r="T6694" s="33">
        <f>IFERROR(__xludf.DUMMYFUNCTION("""COMPUTED_VALUE"""),1.0)</f>
        <v>1</v>
      </c>
      <c r="U6694" s="4" t="str">
        <f>IFERROR(__xludf.DUMMYFUNCTION("""COMPUTED_VALUE"""),"Totvs Large Enterprise Tecnologia S.a.")</f>
        <v>Totvs Large Enterprise Tecnologia S.a.</v>
      </c>
      <c r="V6694" s="33">
        <f>IFERROR(__xludf.DUMMYFUNCTION("""COMPUTED_VALUE"""),1.0)</f>
        <v>1</v>
      </c>
      <c r="W6694" s="4" t="str">
        <f>IFERROR(__xludf.DUMMYFUNCTION("""COMPUTED_VALUE"""),"Totvs Large Enterprise Tecnologia S.a.")</f>
        <v>Totvs Large Enterprise Tecnologia S.a.</v>
      </c>
      <c r="X6694" s="33">
        <f>IFERROR(__xludf.DUMMYFUNCTION("""COMPUTED_VALUE"""),1.0)</f>
        <v>1</v>
      </c>
    </row>
    <row r="6695">
      <c r="K6695" s="4" t="str">
        <f>IFERROR(__xludf.DUMMYFUNCTION("""COMPUTED_VALUE"""),"BONISSIMA RAJA - CONTA PAI")</f>
        <v>BONISSIMA RAJA - CONTA PAI</v>
      </c>
      <c r="L6695" s="32">
        <f>IFERROR(__xludf.DUMMYFUNCTION("""COMPUTED_VALUE"""),2.0)</f>
        <v>2</v>
      </c>
      <c r="M6695" s="4" t="str">
        <f>IFERROR(__xludf.DUMMYFUNCTION("""COMPUTED_VALUE"""),"Linear Sistemas Ltda")</f>
        <v>Linear Sistemas Ltda</v>
      </c>
      <c r="N6695" s="33">
        <f>IFERROR(__xludf.DUMMYFUNCTION("""COMPUTED_VALUE"""),1.0)</f>
        <v>1</v>
      </c>
      <c r="O6695" s="4" t="str">
        <f>IFERROR(__xludf.DUMMYFUNCTION("""COMPUTED_VALUE"""),"null")</f>
        <v>null</v>
      </c>
      <c r="P6695" s="33">
        <f>IFERROR(__xludf.DUMMYFUNCTION("""COMPUTED_VALUE"""),0.5)</f>
        <v>0.5</v>
      </c>
      <c r="Q6695" s="4" t="str">
        <f>IFERROR(__xludf.DUMMYFUNCTION("""COMPUTED_VALUE"""),"null")</f>
        <v>null</v>
      </c>
      <c r="R6695" s="33">
        <f>IFERROR(__xludf.DUMMYFUNCTION("""COMPUTED_VALUE"""),0.5)</f>
        <v>0.5</v>
      </c>
      <c r="S6695" s="4" t="str">
        <f>IFERROR(__xludf.DUMMYFUNCTION("""COMPUTED_VALUE"""),"null")</f>
        <v>null</v>
      </c>
      <c r="T6695" s="33">
        <f>IFERROR(__xludf.DUMMYFUNCTION("""COMPUTED_VALUE"""),0.5)</f>
        <v>0.5</v>
      </c>
      <c r="U6695" s="4" t="str">
        <f>IFERROR(__xludf.DUMMYFUNCTION("""COMPUTED_VALUE"""),"null")</f>
        <v>null</v>
      </c>
      <c r="V6695" s="33">
        <f>IFERROR(__xludf.DUMMYFUNCTION("""COMPUTED_VALUE"""),0.5)</f>
        <v>0.5</v>
      </c>
      <c r="W6695" s="4" t="str">
        <f>IFERROR(__xludf.DUMMYFUNCTION("""COMPUTED_VALUE"""),"null")</f>
        <v>null</v>
      </c>
      <c r="X6695" s="33">
        <f>IFERROR(__xludf.DUMMYFUNCTION("""COMPUTED_VALUE"""),0.5)</f>
        <v>0.5</v>
      </c>
    </row>
    <row r="6696">
      <c r="K6696" s="4" t="str">
        <f>IFERROR(__xludf.DUMMYFUNCTION("""COMPUTED_VALUE"""),"BONISSIMA VILA DA SERRA - CONTA PAI")</f>
        <v>BONISSIMA VILA DA SERRA - CONTA PAI</v>
      </c>
      <c r="L6696" s="32">
        <f>IFERROR(__xludf.DUMMYFUNCTION("""COMPUTED_VALUE"""),2.0)</f>
        <v>2</v>
      </c>
      <c r="M6696" s="4" t="str">
        <f>IFERROR(__xludf.DUMMYFUNCTION("""COMPUTED_VALUE"""),"Linear Sistemas Ltda")</f>
        <v>Linear Sistemas Ltda</v>
      </c>
      <c r="N6696" s="33">
        <f>IFERROR(__xludf.DUMMYFUNCTION("""COMPUTED_VALUE"""),1.0)</f>
        <v>1</v>
      </c>
      <c r="O6696" s="4" t="str">
        <f>IFERROR(__xludf.DUMMYFUNCTION("""COMPUTED_VALUE"""),"Linear Sistemas Ltda")</f>
        <v>Linear Sistemas Ltda</v>
      </c>
      <c r="P6696" s="33">
        <f>IFERROR(__xludf.DUMMYFUNCTION("""COMPUTED_VALUE"""),1.0)</f>
        <v>1</v>
      </c>
      <c r="Q6696" s="4" t="str">
        <f>IFERROR(__xludf.DUMMYFUNCTION("""COMPUTED_VALUE"""),"Linear Sistemas Ltda")</f>
        <v>Linear Sistemas Ltda</v>
      </c>
      <c r="R6696" s="33">
        <f>IFERROR(__xludf.DUMMYFUNCTION("""COMPUTED_VALUE"""),0.5)</f>
        <v>0.5</v>
      </c>
      <c r="S6696" s="4" t="str">
        <f>IFERROR(__xludf.DUMMYFUNCTION("""COMPUTED_VALUE"""),"Linear Sistemas Ltda")</f>
        <v>Linear Sistemas Ltda</v>
      </c>
      <c r="T6696" s="33">
        <f>IFERROR(__xludf.DUMMYFUNCTION("""COMPUTED_VALUE"""),1.0)</f>
        <v>1</v>
      </c>
      <c r="U6696" s="4" t="str">
        <f>IFERROR(__xludf.DUMMYFUNCTION("""COMPUTED_VALUE"""),"Linear Sistemas Ltda")</f>
        <v>Linear Sistemas Ltda</v>
      </c>
      <c r="V6696" s="33">
        <f>IFERROR(__xludf.DUMMYFUNCTION("""COMPUTED_VALUE"""),1.0)</f>
        <v>1</v>
      </c>
      <c r="W6696" s="4" t="str">
        <f>IFERROR(__xludf.DUMMYFUNCTION("""COMPUTED_VALUE"""),"Linear Sistemas Ltda")</f>
        <v>Linear Sistemas Ltda</v>
      </c>
      <c r="X6696" s="33">
        <f>IFERROR(__xludf.DUMMYFUNCTION("""COMPUTED_VALUE"""),1.0)</f>
        <v>1</v>
      </c>
    </row>
    <row r="6697">
      <c r="K6697" s="4" t="str">
        <f>IFERROR(__xludf.DUMMYFUNCTION("""COMPUTED_VALUE"""),"BONNA DELIVERY")</f>
        <v>BONNA DELIVERY</v>
      </c>
      <c r="L6697" s="32">
        <f>IFERROR(__xludf.DUMMYFUNCTION("""COMPUTED_VALUE"""),2.0)</f>
        <v>2</v>
      </c>
      <c r="M6697" s="4" t="str">
        <f>IFERROR(__xludf.DUMMYFUNCTION("""COMPUTED_VALUE"""),"Yooga")</f>
        <v>Yooga</v>
      </c>
      <c r="N6697" s="33">
        <f>IFERROR(__xludf.DUMMYFUNCTION("""COMPUTED_VALUE"""),0.5)</f>
        <v>0.5</v>
      </c>
      <c r="O6697" s="4" t="str">
        <f>IFERROR(__xludf.DUMMYFUNCTION("""COMPUTED_VALUE"""),"Yooga")</f>
        <v>Yooga</v>
      </c>
      <c r="P6697" s="33">
        <f>IFERROR(__xludf.DUMMYFUNCTION("""COMPUTED_VALUE"""),0.5)</f>
        <v>0.5</v>
      </c>
      <c r="Q6697" s="4" t="str">
        <f>IFERROR(__xludf.DUMMYFUNCTION("""COMPUTED_VALUE"""),"Yooga")</f>
        <v>Yooga</v>
      </c>
      <c r="R6697" s="33">
        <f>IFERROR(__xludf.DUMMYFUNCTION("""COMPUTED_VALUE"""),0.5)</f>
        <v>0.5</v>
      </c>
      <c r="S6697" s="4" t="str">
        <f>IFERROR(__xludf.DUMMYFUNCTION("""COMPUTED_VALUE"""),"Yooga")</f>
        <v>Yooga</v>
      </c>
      <c r="T6697" s="33">
        <f>IFERROR(__xludf.DUMMYFUNCTION("""COMPUTED_VALUE"""),1.0)</f>
        <v>1</v>
      </c>
      <c r="U6697" s="4" t="str">
        <f>IFERROR(__xludf.DUMMYFUNCTION("""COMPUTED_VALUE"""),"Yooga")</f>
        <v>Yooga</v>
      </c>
      <c r="V6697" s="33">
        <f>IFERROR(__xludf.DUMMYFUNCTION("""COMPUTED_VALUE"""),1.0)</f>
        <v>1</v>
      </c>
      <c r="W6697" s="4" t="str">
        <f>IFERROR(__xludf.DUMMYFUNCTION("""COMPUTED_VALUE"""),"Yooga")</f>
        <v>Yooga</v>
      </c>
      <c r="X6697" s="33">
        <f>IFERROR(__xludf.DUMMYFUNCTION("""COMPUTED_VALUE"""),1.0)</f>
        <v>1</v>
      </c>
    </row>
    <row r="6698">
      <c r="K6698" s="4" t="str">
        <f>IFERROR(__xludf.DUMMYFUNCTION("""COMPUTED_VALUE"""),"BONNA PIZZA EXPRESS")</f>
        <v>BONNA PIZZA EXPRESS</v>
      </c>
      <c r="L6698" s="32">
        <f>IFERROR(__xludf.DUMMYFUNCTION("""COMPUTED_VALUE"""),2.0)</f>
        <v>2</v>
      </c>
      <c r="M6698" s="4" t="str">
        <f>IFERROR(__xludf.DUMMYFUNCTION("""COMPUTED_VALUE"""),"Saipos Serviços De Software")</f>
        <v>Saipos Serviços De Software</v>
      </c>
      <c r="N6698" s="33">
        <f>IFERROR(__xludf.DUMMYFUNCTION("""COMPUTED_VALUE"""),1.0)</f>
        <v>1</v>
      </c>
      <c r="O6698" s="4" t="str">
        <f>IFERROR(__xludf.DUMMYFUNCTION("""COMPUTED_VALUE"""),"Saipos Serviços De Software")</f>
        <v>Saipos Serviços De Software</v>
      </c>
      <c r="P6698" s="33">
        <f>IFERROR(__xludf.DUMMYFUNCTION("""COMPUTED_VALUE"""),1.0)</f>
        <v>1</v>
      </c>
      <c r="Q6698" s="4" t="str">
        <f>IFERROR(__xludf.DUMMYFUNCTION("""COMPUTED_VALUE"""),"Saipos Serviços De Software")</f>
        <v>Saipos Serviços De Software</v>
      </c>
      <c r="R6698" s="33">
        <f>IFERROR(__xludf.DUMMYFUNCTION("""COMPUTED_VALUE"""),0.5)</f>
        <v>0.5</v>
      </c>
      <c r="S6698" s="4" t="str">
        <f>IFERROR(__xludf.DUMMYFUNCTION("""COMPUTED_VALUE"""),"Saipos Serviços De Software")</f>
        <v>Saipos Serviços De Software</v>
      </c>
      <c r="T6698" s="33">
        <f>IFERROR(__xludf.DUMMYFUNCTION("""COMPUTED_VALUE"""),1.0)</f>
        <v>1</v>
      </c>
      <c r="U6698" s="4" t="str">
        <f>IFERROR(__xludf.DUMMYFUNCTION("""COMPUTED_VALUE"""),"Saipos Serviços De Software")</f>
        <v>Saipos Serviços De Software</v>
      </c>
      <c r="V6698" s="33">
        <f>IFERROR(__xludf.DUMMYFUNCTION("""COMPUTED_VALUE"""),1.0)</f>
        <v>1</v>
      </c>
      <c r="W6698" s="4" t="str">
        <f>IFERROR(__xludf.DUMMYFUNCTION("""COMPUTED_VALUE"""),"Saipos Serviços De Software")</f>
        <v>Saipos Serviços De Software</v>
      </c>
      <c r="X6698" s="33">
        <f>IFERROR(__xludf.DUMMYFUNCTION("""COMPUTED_VALUE"""),1.0)</f>
        <v>1</v>
      </c>
    </row>
    <row r="6699">
      <c r="K6699" s="4" t="str">
        <f>IFERROR(__xludf.DUMMYFUNCTION("""COMPUTED_VALUE"""),"BORGO DELI")</f>
        <v>BORGO DELI</v>
      </c>
      <c r="L6699" s="32">
        <f>IFERROR(__xludf.DUMMYFUNCTION("""COMPUTED_VALUE"""),2.0)</f>
        <v>2</v>
      </c>
      <c r="M6699" s="4" t="str">
        <f>IFERROR(__xludf.DUMMYFUNCTION("""COMPUTED_VALUE"""),"Altec Sistemas")</f>
        <v>Altec Sistemas</v>
      </c>
      <c r="N6699" s="33">
        <f>IFERROR(__xludf.DUMMYFUNCTION("""COMPUTED_VALUE"""),1.0)</f>
        <v>1</v>
      </c>
      <c r="O6699" s="4" t="str">
        <f>IFERROR(__xludf.DUMMYFUNCTION("""COMPUTED_VALUE"""),"Altec Sistemas")</f>
        <v>Altec Sistemas</v>
      </c>
      <c r="P6699" s="33">
        <f>IFERROR(__xludf.DUMMYFUNCTION("""COMPUTED_VALUE"""),0.5)</f>
        <v>0.5</v>
      </c>
      <c r="Q6699" s="4" t="str">
        <f>IFERROR(__xludf.DUMMYFUNCTION("""COMPUTED_VALUE"""),"Altec Sistemas")</f>
        <v>Altec Sistemas</v>
      </c>
      <c r="R6699" s="33">
        <f>IFERROR(__xludf.DUMMYFUNCTION("""COMPUTED_VALUE"""),0.5)</f>
        <v>0.5</v>
      </c>
      <c r="S6699" s="4" t="str">
        <f>IFERROR(__xludf.DUMMYFUNCTION("""COMPUTED_VALUE"""),"Altec Sistemas")</f>
        <v>Altec Sistemas</v>
      </c>
      <c r="T6699" s="33">
        <f>IFERROR(__xludf.DUMMYFUNCTION("""COMPUTED_VALUE"""),0.5)</f>
        <v>0.5</v>
      </c>
      <c r="U6699" s="4" t="str">
        <f>IFERROR(__xludf.DUMMYFUNCTION("""COMPUTED_VALUE"""),"Altec Sistemas")</f>
        <v>Altec Sistemas</v>
      </c>
      <c r="V6699" s="33">
        <f>IFERROR(__xludf.DUMMYFUNCTION("""COMPUTED_VALUE"""),0.5)</f>
        <v>0.5</v>
      </c>
      <c r="W6699" s="4" t="str">
        <f>IFERROR(__xludf.DUMMYFUNCTION("""COMPUTED_VALUE"""),"Altec Sistemas")</f>
        <v>Altec Sistemas</v>
      </c>
      <c r="X6699" s="33">
        <f>IFERROR(__xludf.DUMMYFUNCTION("""COMPUTED_VALUE"""),0.5)</f>
        <v>0.5</v>
      </c>
    </row>
    <row r="6700">
      <c r="K6700" s="4" t="str">
        <f>IFERROR(__xludf.DUMMYFUNCTION("""COMPUTED_VALUE"""),"BOTANIKAFE")</f>
        <v>BOTANIKAFE</v>
      </c>
      <c r="L6700" s="32">
        <f>IFERROR(__xludf.DUMMYFUNCTION("""COMPUTED_VALUE"""),2.0)</f>
        <v>2</v>
      </c>
      <c r="M6700" s="4" t="str">
        <f>IFERROR(__xludf.DUMMYFUNCTION("""COMPUTED_VALUE"""),"null")</f>
        <v>null</v>
      </c>
      <c r="N6700" s="33">
        <f>IFERROR(__xludf.DUMMYFUNCTION("""COMPUTED_VALUE"""),0.5)</f>
        <v>0.5</v>
      </c>
      <c r="O6700" s="4" t="str">
        <f>IFERROR(__xludf.DUMMYFUNCTION("""COMPUTED_VALUE"""),"null")</f>
        <v>null</v>
      </c>
      <c r="P6700" s="33">
        <f>IFERROR(__xludf.DUMMYFUNCTION("""COMPUTED_VALUE"""),0.5)</f>
        <v>0.5</v>
      </c>
      <c r="Q6700" s="4" t="str">
        <f>IFERROR(__xludf.DUMMYFUNCTION("""COMPUTED_VALUE"""),"null")</f>
        <v>null</v>
      </c>
      <c r="R6700" s="33">
        <f>IFERROR(__xludf.DUMMYFUNCTION("""COMPUTED_VALUE"""),0.5)</f>
        <v>0.5</v>
      </c>
      <c r="S6700" s="4" t="str">
        <f>IFERROR(__xludf.DUMMYFUNCTION("""COMPUTED_VALUE"""),"null")</f>
        <v>null</v>
      </c>
      <c r="T6700" s="33">
        <f>IFERROR(__xludf.DUMMYFUNCTION("""COMPUTED_VALUE"""),0.5)</f>
        <v>0.5</v>
      </c>
      <c r="U6700" s="4" t="str">
        <f>IFERROR(__xludf.DUMMYFUNCTION("""COMPUTED_VALUE"""),"null")</f>
        <v>null</v>
      </c>
      <c r="V6700" s="33">
        <f>IFERROR(__xludf.DUMMYFUNCTION("""COMPUTED_VALUE"""),0.5)</f>
        <v>0.5</v>
      </c>
      <c r="W6700" s="4" t="str">
        <f>IFERROR(__xludf.DUMMYFUNCTION("""COMPUTED_VALUE"""),"Ncr")</f>
        <v>Ncr</v>
      </c>
      <c r="X6700" s="33">
        <f>IFERROR(__xludf.DUMMYFUNCTION("""COMPUTED_VALUE"""),1.0)</f>
        <v>1</v>
      </c>
    </row>
    <row r="6701">
      <c r="K6701" s="4" t="str">
        <f>IFERROR(__xludf.DUMMYFUNCTION("""COMPUTED_VALUE"""),"BOUTIQUE BURGER")</f>
        <v>BOUTIQUE BURGER</v>
      </c>
      <c r="L6701" s="32">
        <f>IFERROR(__xludf.DUMMYFUNCTION("""COMPUTED_VALUE"""),2.0)</f>
        <v>2</v>
      </c>
      <c r="M6701" s="4" t="str">
        <f>IFERROR(__xludf.DUMMYFUNCTION("""COMPUTED_VALUE"""),"Cardápio Web")</f>
        <v>Cardápio Web</v>
      </c>
      <c r="N6701" s="33">
        <f>IFERROR(__xludf.DUMMYFUNCTION("""COMPUTED_VALUE"""),1.0)</f>
        <v>1</v>
      </c>
      <c r="O6701" s="4" t="str">
        <f>IFERROR(__xludf.DUMMYFUNCTION("""COMPUTED_VALUE"""),"Cardápio Web")</f>
        <v>Cardápio Web</v>
      </c>
      <c r="P6701" s="33">
        <f>IFERROR(__xludf.DUMMYFUNCTION("""COMPUTED_VALUE"""),1.0)</f>
        <v>1</v>
      </c>
      <c r="Q6701" s="4" t="str">
        <f>IFERROR(__xludf.DUMMYFUNCTION("""COMPUTED_VALUE"""),"Cardápio Web")</f>
        <v>Cardápio Web</v>
      </c>
      <c r="R6701" s="33">
        <f>IFERROR(__xludf.DUMMYFUNCTION("""COMPUTED_VALUE"""),1.0)</f>
        <v>1</v>
      </c>
      <c r="S6701" s="4" t="str">
        <f>IFERROR(__xludf.DUMMYFUNCTION("""COMPUTED_VALUE"""),"Cardápio Web")</f>
        <v>Cardápio Web</v>
      </c>
      <c r="T6701" s="33">
        <f>IFERROR(__xludf.DUMMYFUNCTION("""COMPUTED_VALUE"""),1.0)</f>
        <v>1</v>
      </c>
      <c r="U6701" s="4" t="str">
        <f>IFERROR(__xludf.DUMMYFUNCTION("""COMPUTED_VALUE"""),"Cardápio Web")</f>
        <v>Cardápio Web</v>
      </c>
      <c r="V6701" s="33">
        <f>IFERROR(__xludf.DUMMYFUNCTION("""COMPUTED_VALUE"""),1.0)</f>
        <v>1</v>
      </c>
      <c r="W6701" s="4" t="str">
        <f>IFERROR(__xludf.DUMMYFUNCTION("""COMPUTED_VALUE"""),"Cardápio Web")</f>
        <v>Cardápio Web</v>
      </c>
      <c r="X6701" s="33">
        <f>IFERROR(__xludf.DUMMYFUNCTION("""COMPUTED_VALUE"""),1.0)</f>
        <v>1</v>
      </c>
    </row>
    <row r="6702">
      <c r="K6702" s="4" t="str">
        <f>IFERROR(__xludf.DUMMYFUNCTION("""COMPUTED_VALUE"""),"BOUTIQUE DO PAO DE LO")</f>
        <v>BOUTIQUE DO PAO DE LO</v>
      </c>
      <c r="L6702" s="32">
        <f>IFERROR(__xludf.DUMMYFUNCTION("""COMPUTED_VALUE"""),2.0)</f>
        <v>2</v>
      </c>
      <c r="M6702" s="4" t="str">
        <f>IFERROR(__xludf.DUMMYFUNCTION("""COMPUTED_VALUE"""),"Cloudfy")</f>
        <v>Cloudfy</v>
      </c>
      <c r="N6702" s="33">
        <f>IFERROR(__xludf.DUMMYFUNCTION("""COMPUTED_VALUE"""),1.0)</f>
        <v>1</v>
      </c>
      <c r="O6702" s="4" t="str">
        <f>IFERROR(__xludf.DUMMYFUNCTION("""COMPUTED_VALUE"""),"Cloudfy")</f>
        <v>Cloudfy</v>
      </c>
      <c r="P6702" s="33">
        <f>IFERROR(__xludf.DUMMYFUNCTION("""COMPUTED_VALUE"""),1.0)</f>
        <v>1</v>
      </c>
      <c r="Q6702" s="4" t="str">
        <f>IFERROR(__xludf.DUMMYFUNCTION("""COMPUTED_VALUE"""),"Cloudfy")</f>
        <v>Cloudfy</v>
      </c>
      <c r="R6702" s="33">
        <f>IFERROR(__xludf.DUMMYFUNCTION("""COMPUTED_VALUE"""),1.0)</f>
        <v>1</v>
      </c>
      <c r="S6702" s="4" t="str">
        <f>IFERROR(__xludf.DUMMYFUNCTION("""COMPUTED_VALUE"""),"Cloudfy")</f>
        <v>Cloudfy</v>
      </c>
      <c r="T6702" s="33">
        <f>IFERROR(__xludf.DUMMYFUNCTION("""COMPUTED_VALUE"""),1.0)</f>
        <v>1</v>
      </c>
      <c r="U6702" s="4" t="str">
        <f>IFERROR(__xludf.DUMMYFUNCTION("""COMPUTED_VALUE"""),"Cloudfy")</f>
        <v>Cloudfy</v>
      </c>
      <c r="V6702" s="33">
        <f>IFERROR(__xludf.DUMMYFUNCTION("""COMPUTED_VALUE"""),1.0)</f>
        <v>1</v>
      </c>
      <c r="W6702" s="4" t="str">
        <f>IFERROR(__xludf.DUMMYFUNCTION("""COMPUTED_VALUE"""),"Cloudfy")</f>
        <v>Cloudfy</v>
      </c>
      <c r="X6702" s="33">
        <f>IFERROR(__xludf.DUMMYFUNCTION("""COMPUTED_VALUE"""),1.0)</f>
        <v>1</v>
      </c>
    </row>
    <row r="6703">
      <c r="K6703" s="4" t="str">
        <f>IFERROR(__xludf.DUMMYFUNCTION("""COMPUTED_VALUE"""),"BOVINOS PG")</f>
        <v>BOVINOS PG</v>
      </c>
      <c r="L6703" s="32">
        <f>IFERROR(__xludf.DUMMYFUNCTION("""COMPUTED_VALUE"""),2.0)</f>
        <v>2</v>
      </c>
      <c r="M6703" s="4" t="str">
        <f>IFERROR(__xludf.DUMMYFUNCTION("""COMPUTED_VALUE"""),"Saipos Serviços De Software")</f>
        <v>Saipos Serviços De Software</v>
      </c>
      <c r="N6703" s="33">
        <f>IFERROR(__xludf.DUMMYFUNCTION("""COMPUTED_VALUE"""),1.0)</f>
        <v>1</v>
      </c>
      <c r="O6703" s="4" t="str">
        <f>IFERROR(__xludf.DUMMYFUNCTION("""COMPUTED_VALUE"""),"Saipos Serviços De Software")</f>
        <v>Saipos Serviços De Software</v>
      </c>
      <c r="P6703" s="33">
        <f>IFERROR(__xludf.DUMMYFUNCTION("""COMPUTED_VALUE"""),1.0)</f>
        <v>1</v>
      </c>
      <c r="Q6703" s="4" t="str">
        <f>IFERROR(__xludf.DUMMYFUNCTION("""COMPUTED_VALUE"""),"Saipos Serviços De Software")</f>
        <v>Saipos Serviços De Software</v>
      </c>
      <c r="R6703" s="33">
        <f>IFERROR(__xludf.DUMMYFUNCTION("""COMPUTED_VALUE"""),1.0)</f>
        <v>1</v>
      </c>
      <c r="S6703" s="4" t="str">
        <f>IFERROR(__xludf.DUMMYFUNCTION("""COMPUTED_VALUE"""),"Saipos Serviços De Software")</f>
        <v>Saipos Serviços De Software</v>
      </c>
      <c r="T6703" s="33">
        <f>IFERROR(__xludf.DUMMYFUNCTION("""COMPUTED_VALUE"""),1.0)</f>
        <v>1</v>
      </c>
      <c r="U6703" s="4" t="str">
        <f>IFERROR(__xludf.DUMMYFUNCTION("""COMPUTED_VALUE"""),"null")</f>
        <v>null</v>
      </c>
      <c r="V6703" s="33">
        <f>IFERROR(__xludf.DUMMYFUNCTION("""COMPUTED_VALUE"""),0.5)</f>
        <v>0.5</v>
      </c>
      <c r="W6703" s="4" t="str">
        <f>IFERROR(__xludf.DUMMYFUNCTION("""COMPUTED_VALUE"""),"null")</f>
        <v>null</v>
      </c>
      <c r="X6703" s="33">
        <f>IFERROR(__xludf.DUMMYFUNCTION("""COMPUTED_VALUE"""),0.5)</f>
        <v>0.5</v>
      </c>
    </row>
    <row r="6704">
      <c r="K6704" s="4" t="str">
        <f>IFERROR(__xludf.DUMMYFUNCTION("""COMPUTED_VALUE"""),"BOX CONTA PAI")</f>
        <v>BOX CONTA PAI</v>
      </c>
      <c r="L6704" s="32">
        <f>IFERROR(__xludf.DUMMYFUNCTION("""COMPUTED_VALUE"""),2.0)</f>
        <v>2</v>
      </c>
      <c r="M6704" s="4" t="str">
        <f>IFERROR(__xludf.DUMMYFUNCTION("""COMPUTED_VALUE"""),"Freedom Tecnologia Ltda")</f>
        <v>Freedom Tecnologia Ltda</v>
      </c>
      <c r="N6704" s="33">
        <f>IFERROR(__xludf.DUMMYFUNCTION("""COMPUTED_VALUE"""),1.0)</f>
        <v>1</v>
      </c>
      <c r="O6704" s="4" t="str">
        <f>IFERROR(__xludf.DUMMYFUNCTION("""COMPUTED_VALUE"""),"Freedom Tecnologia Ltda")</f>
        <v>Freedom Tecnologia Ltda</v>
      </c>
      <c r="P6704" s="33">
        <f>IFERROR(__xludf.DUMMYFUNCTION("""COMPUTED_VALUE"""),1.0)</f>
        <v>1</v>
      </c>
      <c r="Q6704" s="4" t="str">
        <f>IFERROR(__xludf.DUMMYFUNCTION("""COMPUTED_VALUE"""),"Freedom Tecnologia Ltda")</f>
        <v>Freedom Tecnologia Ltda</v>
      </c>
      <c r="R6704" s="33">
        <f>IFERROR(__xludf.DUMMYFUNCTION("""COMPUTED_VALUE"""),1.0)</f>
        <v>1</v>
      </c>
      <c r="S6704" s="4" t="str">
        <f>IFERROR(__xludf.DUMMYFUNCTION("""COMPUTED_VALUE"""),"Freedom Tecnologia Ltda")</f>
        <v>Freedom Tecnologia Ltda</v>
      </c>
      <c r="T6704" s="33">
        <f>IFERROR(__xludf.DUMMYFUNCTION("""COMPUTED_VALUE"""),0.5)</f>
        <v>0.5</v>
      </c>
      <c r="U6704" s="4" t="str">
        <f>IFERROR(__xludf.DUMMYFUNCTION("""COMPUTED_VALUE"""),"Freedom Tecnologia Ltda")</f>
        <v>Freedom Tecnologia Ltda</v>
      </c>
      <c r="V6704" s="33">
        <f>IFERROR(__xludf.DUMMYFUNCTION("""COMPUTED_VALUE"""),1.0)</f>
        <v>1</v>
      </c>
      <c r="W6704" s="4" t="str">
        <f>IFERROR(__xludf.DUMMYFUNCTION("""COMPUTED_VALUE"""),"Freedom Tecnologia Ltda")</f>
        <v>Freedom Tecnologia Ltda</v>
      </c>
      <c r="X6704" s="33">
        <f>IFERROR(__xludf.DUMMYFUNCTION("""COMPUTED_VALUE"""),0.5)</f>
        <v>0.5</v>
      </c>
    </row>
    <row r="6705">
      <c r="K6705" s="4" t="str">
        <f>IFERROR(__xludf.DUMMYFUNCTION("""COMPUTED_VALUE"""),"BRASA BAR")</f>
        <v>BRASA BAR</v>
      </c>
      <c r="L6705" s="32">
        <f>IFERROR(__xludf.DUMMYFUNCTION("""COMPUTED_VALUE"""),2.0)</f>
        <v>2</v>
      </c>
      <c r="M6705" s="4" t="str">
        <f>IFERROR(__xludf.DUMMYFUNCTION("""COMPUTED_VALUE"""),"Ncr")</f>
        <v>Ncr</v>
      </c>
      <c r="N6705" s="33">
        <f>IFERROR(__xludf.DUMMYFUNCTION("""COMPUTED_VALUE"""),1.0)</f>
        <v>1</v>
      </c>
      <c r="O6705" s="4" t="str">
        <f>IFERROR(__xludf.DUMMYFUNCTION("""COMPUTED_VALUE"""),"Ncr")</f>
        <v>Ncr</v>
      </c>
      <c r="P6705" s="33">
        <f>IFERROR(__xludf.DUMMYFUNCTION("""COMPUTED_VALUE"""),1.0)</f>
        <v>1</v>
      </c>
      <c r="Q6705" s="4" t="str">
        <f>IFERROR(__xludf.DUMMYFUNCTION("""COMPUTED_VALUE"""),"Ncr")</f>
        <v>Ncr</v>
      </c>
      <c r="R6705" s="33">
        <f>IFERROR(__xludf.DUMMYFUNCTION("""COMPUTED_VALUE"""),1.0)</f>
        <v>1</v>
      </c>
      <c r="S6705" s="4" t="str">
        <f>IFERROR(__xludf.DUMMYFUNCTION("""COMPUTED_VALUE"""),"Ncr")</f>
        <v>Ncr</v>
      </c>
      <c r="T6705" s="33">
        <f>IFERROR(__xludf.DUMMYFUNCTION("""COMPUTED_VALUE"""),1.0)</f>
        <v>1</v>
      </c>
      <c r="U6705" s="4" t="str">
        <f>IFERROR(__xludf.DUMMYFUNCTION("""COMPUTED_VALUE"""),"Ncr")</f>
        <v>Ncr</v>
      </c>
      <c r="V6705" s="33">
        <f>IFERROR(__xludf.DUMMYFUNCTION("""COMPUTED_VALUE"""),1.0)</f>
        <v>1</v>
      </c>
      <c r="W6705" s="4" t="str">
        <f>IFERROR(__xludf.DUMMYFUNCTION("""COMPUTED_VALUE"""),"Ncr")</f>
        <v>Ncr</v>
      </c>
      <c r="X6705" s="33">
        <f>IFERROR(__xludf.DUMMYFUNCTION("""COMPUTED_VALUE"""),1.0)</f>
        <v>1</v>
      </c>
    </row>
    <row r="6706">
      <c r="K6706" s="4" t="str">
        <f>IFERROR(__xludf.DUMMYFUNCTION("""COMPUTED_VALUE"""),"BRASA BURGER - MARCA")</f>
        <v>BRASA BURGER - MARCA</v>
      </c>
      <c r="L6706" s="32">
        <f>IFERROR(__xludf.DUMMYFUNCTION("""COMPUTED_VALUE"""),2.0)</f>
        <v>2</v>
      </c>
      <c r="M6706" s="4" t="str">
        <f>IFERROR(__xludf.DUMMYFUNCTION("""COMPUTED_VALUE"""),"Totvs Large Enterprise Tecnologia S.a.")</f>
        <v>Totvs Large Enterprise Tecnologia S.a.</v>
      </c>
      <c r="N6706" s="33">
        <f>IFERROR(__xludf.DUMMYFUNCTION("""COMPUTED_VALUE"""),1.0)</f>
        <v>1</v>
      </c>
      <c r="O6706" s="4" t="str">
        <f>IFERROR(__xludf.DUMMYFUNCTION("""COMPUTED_VALUE"""),"Totvs Large Enterprise Tecnologia S.a.")</f>
        <v>Totvs Large Enterprise Tecnologia S.a.</v>
      </c>
      <c r="P6706" s="33">
        <f>IFERROR(__xludf.DUMMYFUNCTION("""COMPUTED_VALUE"""),1.0)</f>
        <v>1</v>
      </c>
      <c r="Q6706" s="4" t="str">
        <f>IFERROR(__xludf.DUMMYFUNCTION("""COMPUTED_VALUE"""),"Totvs Large Enterprise Tecnologia S.a.")</f>
        <v>Totvs Large Enterprise Tecnologia S.a.</v>
      </c>
      <c r="R6706" s="33">
        <f>IFERROR(__xludf.DUMMYFUNCTION("""COMPUTED_VALUE"""),1.0)</f>
        <v>1</v>
      </c>
      <c r="S6706" s="4" t="str">
        <f>IFERROR(__xludf.DUMMYFUNCTION("""COMPUTED_VALUE"""),"Totvs Large Enterprise Tecnologia S.a.")</f>
        <v>Totvs Large Enterprise Tecnologia S.a.</v>
      </c>
      <c r="T6706" s="33">
        <f>IFERROR(__xludf.DUMMYFUNCTION("""COMPUTED_VALUE"""),1.0)</f>
        <v>1</v>
      </c>
      <c r="U6706" s="4" t="str">
        <f>IFERROR(__xludf.DUMMYFUNCTION("""COMPUTED_VALUE"""),"Totvs Large Enterprise Tecnologia S.a.")</f>
        <v>Totvs Large Enterprise Tecnologia S.a.</v>
      </c>
      <c r="V6706" s="33">
        <f>IFERROR(__xludf.DUMMYFUNCTION("""COMPUTED_VALUE"""),1.0)</f>
        <v>1</v>
      </c>
      <c r="W6706" s="4" t="str">
        <f>IFERROR(__xludf.DUMMYFUNCTION("""COMPUTED_VALUE"""),"Totvs Large Enterprise Tecnologia S.a.")</f>
        <v>Totvs Large Enterprise Tecnologia S.a.</v>
      </c>
      <c r="X6706" s="33">
        <f>IFERROR(__xludf.DUMMYFUNCTION("""COMPUTED_VALUE"""),1.0)</f>
        <v>1</v>
      </c>
    </row>
    <row r="6707">
      <c r="K6707" s="4" t="str">
        <f>IFERROR(__xludf.DUMMYFUNCTION("""COMPUTED_VALUE"""),"BRASA CIA")</f>
        <v>BRASA CIA</v>
      </c>
      <c r="L6707" s="32">
        <f>IFERROR(__xludf.DUMMYFUNCTION("""COMPUTED_VALUE"""),2.0)</f>
        <v>2</v>
      </c>
      <c r="M6707" s="4" t="str">
        <f>IFERROR(__xludf.DUMMYFUNCTION("""COMPUTED_VALUE"""),"Saipos Serviços De Software")</f>
        <v>Saipos Serviços De Software</v>
      </c>
      <c r="N6707" s="33">
        <f>IFERROR(__xludf.DUMMYFUNCTION("""COMPUTED_VALUE"""),1.0)</f>
        <v>1</v>
      </c>
      <c r="O6707" s="4" t="str">
        <f>IFERROR(__xludf.DUMMYFUNCTION("""COMPUTED_VALUE"""),"Saipos Serviços De Software")</f>
        <v>Saipos Serviços De Software</v>
      </c>
      <c r="P6707" s="33">
        <f>IFERROR(__xludf.DUMMYFUNCTION("""COMPUTED_VALUE"""),1.0)</f>
        <v>1</v>
      </c>
      <c r="Q6707" s="4" t="str">
        <f>IFERROR(__xludf.DUMMYFUNCTION("""COMPUTED_VALUE"""),"Saipos Serviços De Software")</f>
        <v>Saipos Serviços De Software</v>
      </c>
      <c r="R6707" s="33">
        <f>IFERROR(__xludf.DUMMYFUNCTION("""COMPUTED_VALUE"""),1.0)</f>
        <v>1</v>
      </c>
      <c r="S6707" s="4" t="str">
        <f>IFERROR(__xludf.DUMMYFUNCTION("""COMPUTED_VALUE"""),"Saipos Serviços De Software")</f>
        <v>Saipos Serviços De Software</v>
      </c>
      <c r="T6707" s="33">
        <f>IFERROR(__xludf.DUMMYFUNCTION("""COMPUTED_VALUE"""),1.0)</f>
        <v>1</v>
      </c>
      <c r="U6707" s="4" t="str">
        <f>IFERROR(__xludf.DUMMYFUNCTION("""COMPUTED_VALUE"""),"Saipos Serviços De Software")</f>
        <v>Saipos Serviços De Software</v>
      </c>
      <c r="V6707" s="33">
        <f>IFERROR(__xludf.DUMMYFUNCTION("""COMPUTED_VALUE"""),0.5)</f>
        <v>0.5</v>
      </c>
      <c r="W6707" s="4" t="str">
        <f>IFERROR(__xludf.DUMMYFUNCTION("""COMPUTED_VALUE"""),"Saipos Serviços De Software")</f>
        <v>Saipos Serviços De Software</v>
      </c>
      <c r="X6707" s="33">
        <f>IFERROR(__xludf.DUMMYFUNCTION("""COMPUTED_VALUE"""),0.5)</f>
        <v>0.5</v>
      </c>
    </row>
    <row r="6708">
      <c r="K6708" s="4" t="str">
        <f>IFERROR(__xludf.DUMMYFUNCTION("""COMPUTED_VALUE"""),"BRASEIRO CHURRASCARIA - CONTA MARCA")</f>
        <v>BRASEIRO CHURRASCARIA - CONTA MARCA</v>
      </c>
      <c r="L6708" s="32">
        <f>IFERROR(__xludf.DUMMYFUNCTION("""COMPUTED_VALUE"""),2.0)</f>
        <v>2</v>
      </c>
      <c r="M6708" s="4" t="str">
        <f>IFERROR(__xludf.DUMMYFUNCTION("""COMPUTED_VALUE"""),"Softwar")</f>
        <v>Softwar</v>
      </c>
      <c r="N6708" s="33">
        <f>IFERROR(__xludf.DUMMYFUNCTION("""COMPUTED_VALUE"""),1.0)</f>
        <v>1</v>
      </c>
      <c r="O6708" s="4" t="str">
        <f>IFERROR(__xludf.DUMMYFUNCTION("""COMPUTED_VALUE"""),"Softwar")</f>
        <v>Softwar</v>
      </c>
      <c r="P6708" s="33">
        <f>IFERROR(__xludf.DUMMYFUNCTION("""COMPUTED_VALUE"""),1.0)</f>
        <v>1</v>
      </c>
      <c r="Q6708" s="4" t="str">
        <f>IFERROR(__xludf.DUMMYFUNCTION("""COMPUTED_VALUE"""),"Softwar")</f>
        <v>Softwar</v>
      </c>
      <c r="R6708" s="33">
        <f>IFERROR(__xludf.DUMMYFUNCTION("""COMPUTED_VALUE"""),1.0)</f>
        <v>1</v>
      </c>
      <c r="S6708" s="4" t="str">
        <f>IFERROR(__xludf.DUMMYFUNCTION("""COMPUTED_VALUE"""),"null")</f>
        <v>null</v>
      </c>
      <c r="T6708" s="33">
        <f>IFERROR(__xludf.DUMMYFUNCTION("""COMPUTED_VALUE"""),0.5)</f>
        <v>0.5</v>
      </c>
      <c r="U6708" s="4" t="str">
        <f>IFERROR(__xludf.DUMMYFUNCTION("""COMPUTED_VALUE"""),"Softwar")</f>
        <v>Softwar</v>
      </c>
      <c r="V6708" s="33">
        <f>IFERROR(__xludf.DUMMYFUNCTION("""COMPUTED_VALUE"""),1.0)</f>
        <v>1</v>
      </c>
      <c r="W6708" s="4" t="str">
        <f>IFERROR(__xludf.DUMMYFUNCTION("""COMPUTED_VALUE"""),"Softwar")</f>
        <v>Softwar</v>
      </c>
      <c r="X6708" s="33">
        <f>IFERROR(__xludf.DUMMYFUNCTION("""COMPUTED_VALUE"""),1.0)</f>
        <v>1</v>
      </c>
    </row>
    <row r="6709">
      <c r="K6709" s="4" t="str">
        <f>IFERROR(__xludf.DUMMYFUNCTION("""COMPUTED_VALUE"""),"BRASERO COMIDA ARTESANAL")</f>
        <v>BRASERO COMIDA ARTESANAL</v>
      </c>
      <c r="L6709" s="32">
        <f>IFERROR(__xludf.DUMMYFUNCTION("""COMPUTED_VALUE"""),2.0)</f>
        <v>2</v>
      </c>
      <c r="M6709" s="4" t="str">
        <f>IFERROR(__xludf.DUMMYFUNCTION("""COMPUTED_VALUE"""),"Eclética Tecnologia")</f>
        <v>Eclética Tecnologia</v>
      </c>
      <c r="N6709" s="33">
        <f>IFERROR(__xludf.DUMMYFUNCTION("""COMPUTED_VALUE"""),1.0)</f>
        <v>1</v>
      </c>
      <c r="O6709" s="4" t="str">
        <f>IFERROR(__xludf.DUMMYFUNCTION("""COMPUTED_VALUE"""),"Eclética Tecnologia")</f>
        <v>Eclética Tecnologia</v>
      </c>
      <c r="P6709" s="33">
        <f>IFERROR(__xludf.DUMMYFUNCTION("""COMPUTED_VALUE"""),1.0)</f>
        <v>1</v>
      </c>
      <c r="Q6709" s="4" t="str">
        <f>IFERROR(__xludf.DUMMYFUNCTION("""COMPUTED_VALUE"""),"Eclética Tecnologia")</f>
        <v>Eclética Tecnologia</v>
      </c>
      <c r="R6709" s="33">
        <f>IFERROR(__xludf.DUMMYFUNCTION("""COMPUTED_VALUE"""),1.0)</f>
        <v>1</v>
      </c>
      <c r="S6709" s="4" t="str">
        <f>IFERROR(__xludf.DUMMYFUNCTION("""COMPUTED_VALUE"""),"Eclética Tecnologia")</f>
        <v>Eclética Tecnologia</v>
      </c>
      <c r="T6709" s="33">
        <f>IFERROR(__xludf.DUMMYFUNCTION("""COMPUTED_VALUE"""),1.0)</f>
        <v>1</v>
      </c>
      <c r="U6709" s="4" t="str">
        <f>IFERROR(__xludf.DUMMYFUNCTION("""COMPUTED_VALUE"""),"Eclética Tecnologia")</f>
        <v>Eclética Tecnologia</v>
      </c>
      <c r="V6709" s="33">
        <f>IFERROR(__xludf.DUMMYFUNCTION("""COMPUTED_VALUE"""),1.0)</f>
        <v>1</v>
      </c>
      <c r="W6709" s="4" t="str">
        <f>IFERROR(__xludf.DUMMYFUNCTION("""COMPUTED_VALUE"""),"Eclética Tecnologia")</f>
        <v>Eclética Tecnologia</v>
      </c>
      <c r="X6709" s="33">
        <f>IFERROR(__xludf.DUMMYFUNCTION("""COMPUTED_VALUE"""),1.0)</f>
        <v>1</v>
      </c>
    </row>
    <row r="6710">
      <c r="K6710" s="4" t="str">
        <f>IFERROR(__xludf.DUMMYFUNCTION("""COMPUTED_VALUE"""),"BRAZUKIS - RIBEIRAO PRETO")</f>
        <v>BRAZUKIS - RIBEIRAO PRETO</v>
      </c>
      <c r="L6710" s="32">
        <f>IFERROR(__xludf.DUMMYFUNCTION("""COMPUTED_VALUE"""),2.0)</f>
        <v>2</v>
      </c>
      <c r="M6710" s="4" t="str">
        <f>IFERROR(__xludf.DUMMYFUNCTION("""COMPUTED_VALUE"""),"Totvs Large Enterprise Tecnologia S.a.")</f>
        <v>Totvs Large Enterprise Tecnologia S.a.</v>
      </c>
      <c r="N6710" s="33">
        <f>IFERROR(__xludf.DUMMYFUNCTION("""COMPUTED_VALUE"""),1.0)</f>
        <v>1</v>
      </c>
      <c r="O6710" s="4" t="str">
        <f>IFERROR(__xludf.DUMMYFUNCTION("""COMPUTED_VALUE"""),"Netcontroll Xmenu")</f>
        <v>Netcontroll Xmenu</v>
      </c>
      <c r="P6710" s="33">
        <f>IFERROR(__xludf.DUMMYFUNCTION("""COMPUTED_VALUE"""),1.0)</f>
        <v>1</v>
      </c>
      <c r="Q6710" s="4" t="str">
        <f>IFERROR(__xludf.DUMMYFUNCTION("""COMPUTED_VALUE"""),"Netcontroll Xmenu")</f>
        <v>Netcontroll Xmenu</v>
      </c>
      <c r="R6710" s="33">
        <f>IFERROR(__xludf.DUMMYFUNCTION("""COMPUTED_VALUE"""),1.0)</f>
        <v>1</v>
      </c>
      <c r="S6710" s="4" t="str">
        <f>IFERROR(__xludf.DUMMYFUNCTION("""COMPUTED_VALUE"""),"Netcontroll Xmenu")</f>
        <v>Netcontroll Xmenu</v>
      </c>
      <c r="T6710" s="33">
        <f>IFERROR(__xludf.DUMMYFUNCTION("""COMPUTED_VALUE"""),1.0)</f>
        <v>1</v>
      </c>
      <c r="U6710" s="4" t="str">
        <f>IFERROR(__xludf.DUMMYFUNCTION("""COMPUTED_VALUE"""),"null")</f>
        <v>null</v>
      </c>
      <c r="V6710" s="33">
        <f>IFERROR(__xludf.DUMMYFUNCTION("""COMPUTED_VALUE"""),0.5)</f>
        <v>0.5</v>
      </c>
      <c r="W6710" s="4" t="str">
        <f>IFERROR(__xludf.DUMMYFUNCTION("""COMPUTED_VALUE"""),"null")</f>
        <v>null</v>
      </c>
      <c r="X6710" s="33">
        <f>IFERROR(__xludf.DUMMYFUNCTION("""COMPUTED_VALUE"""),0.5)</f>
        <v>0.5</v>
      </c>
    </row>
    <row r="6711">
      <c r="K6711" s="4" t="str">
        <f>IFERROR(__xludf.DUMMYFUNCTION("""COMPUTED_VALUE"""),"BRAZZATTO PIZZA")</f>
        <v>BRAZZATTO PIZZA</v>
      </c>
      <c r="L6711" s="32">
        <f>IFERROR(__xludf.DUMMYFUNCTION("""COMPUTED_VALUE"""),2.0)</f>
        <v>2</v>
      </c>
      <c r="M6711" s="4" t="str">
        <f>IFERROR(__xludf.DUMMYFUNCTION("""COMPUTED_VALUE"""),"Latech Informatica Ltda")</f>
        <v>Latech Informatica Ltda</v>
      </c>
      <c r="N6711" s="33">
        <f>IFERROR(__xludf.DUMMYFUNCTION("""COMPUTED_VALUE"""),1.0)</f>
        <v>1</v>
      </c>
      <c r="O6711" s="4" t="str">
        <f>IFERROR(__xludf.DUMMYFUNCTION("""COMPUTED_VALUE"""),"Latech Informatica Ltda")</f>
        <v>Latech Informatica Ltda</v>
      </c>
      <c r="P6711" s="33">
        <f>IFERROR(__xludf.DUMMYFUNCTION("""COMPUTED_VALUE"""),1.0)</f>
        <v>1</v>
      </c>
      <c r="Q6711" s="4" t="str">
        <f>IFERROR(__xludf.DUMMYFUNCTION("""COMPUTED_VALUE"""),"Latech Informatica Ltda")</f>
        <v>Latech Informatica Ltda</v>
      </c>
      <c r="R6711" s="33">
        <f>IFERROR(__xludf.DUMMYFUNCTION("""COMPUTED_VALUE"""),1.0)</f>
        <v>1</v>
      </c>
      <c r="S6711" s="4" t="str">
        <f>IFERROR(__xludf.DUMMYFUNCTION("""COMPUTED_VALUE"""),"Latech Informatica Ltda")</f>
        <v>Latech Informatica Ltda</v>
      </c>
      <c r="T6711" s="33">
        <f>IFERROR(__xludf.DUMMYFUNCTION("""COMPUTED_VALUE"""),1.0)</f>
        <v>1</v>
      </c>
      <c r="U6711" s="4" t="str">
        <f>IFERROR(__xludf.DUMMYFUNCTION("""COMPUTED_VALUE"""),"Latech Informatica Ltda")</f>
        <v>Latech Informatica Ltda</v>
      </c>
      <c r="V6711" s="33">
        <f>IFERROR(__xludf.DUMMYFUNCTION("""COMPUTED_VALUE"""),1.0)</f>
        <v>1</v>
      </c>
      <c r="W6711" s="4" t="str">
        <f>IFERROR(__xludf.DUMMYFUNCTION("""COMPUTED_VALUE"""),"Latech Informatica Ltda")</f>
        <v>Latech Informatica Ltda</v>
      </c>
      <c r="X6711" s="33">
        <f>IFERROR(__xludf.DUMMYFUNCTION("""COMPUTED_VALUE"""),1.0)</f>
        <v>1</v>
      </c>
    </row>
    <row r="6712">
      <c r="K6712" s="4" t="str">
        <f>IFERROR(__xludf.DUMMYFUNCTION("""COMPUTED_VALUE"""),"BRAZZATTO PIZZA DELIVERY")</f>
        <v>BRAZZATTO PIZZA DELIVERY</v>
      </c>
      <c r="L6712" s="32">
        <f>IFERROR(__xludf.DUMMYFUNCTION("""COMPUTED_VALUE"""),2.0)</f>
        <v>2</v>
      </c>
      <c r="M6712" s="4" t="str">
        <f>IFERROR(__xludf.DUMMYFUNCTION("""COMPUTED_VALUE"""),"Latech Informatica Ltda")</f>
        <v>Latech Informatica Ltda</v>
      </c>
      <c r="N6712" s="33">
        <f>IFERROR(__xludf.DUMMYFUNCTION("""COMPUTED_VALUE"""),1.0)</f>
        <v>1</v>
      </c>
      <c r="O6712" s="4" t="str">
        <f>IFERROR(__xludf.DUMMYFUNCTION("""COMPUTED_VALUE"""),"Latech Informatica Ltda")</f>
        <v>Latech Informatica Ltda</v>
      </c>
      <c r="P6712" s="33">
        <f>IFERROR(__xludf.DUMMYFUNCTION("""COMPUTED_VALUE"""),1.0)</f>
        <v>1</v>
      </c>
      <c r="Q6712" s="4" t="str">
        <f>IFERROR(__xludf.DUMMYFUNCTION("""COMPUTED_VALUE"""),"Latech Informatica Ltda")</f>
        <v>Latech Informatica Ltda</v>
      </c>
      <c r="R6712" s="33">
        <f>IFERROR(__xludf.DUMMYFUNCTION("""COMPUTED_VALUE"""),1.0)</f>
        <v>1</v>
      </c>
      <c r="S6712" s="4" t="str">
        <f>IFERROR(__xludf.DUMMYFUNCTION("""COMPUTED_VALUE"""),"Latech Informatica Ltda")</f>
        <v>Latech Informatica Ltda</v>
      </c>
      <c r="T6712" s="33">
        <f>IFERROR(__xludf.DUMMYFUNCTION("""COMPUTED_VALUE"""),1.0)</f>
        <v>1</v>
      </c>
      <c r="U6712" s="4" t="str">
        <f>IFERROR(__xludf.DUMMYFUNCTION("""COMPUTED_VALUE"""),"Latech Informatica Ltda")</f>
        <v>Latech Informatica Ltda</v>
      </c>
      <c r="V6712" s="33">
        <f>IFERROR(__xludf.DUMMYFUNCTION("""COMPUTED_VALUE"""),1.0)</f>
        <v>1</v>
      </c>
      <c r="W6712" s="4" t="str">
        <f>IFERROR(__xludf.DUMMYFUNCTION("""COMPUTED_VALUE"""),"Latech Informatica Ltda")</f>
        <v>Latech Informatica Ltda</v>
      </c>
      <c r="X6712" s="33">
        <f>IFERROR(__xludf.DUMMYFUNCTION("""COMPUTED_VALUE"""),1.0)</f>
        <v>1</v>
      </c>
    </row>
    <row r="6713">
      <c r="K6713" s="4" t="str">
        <f>IFERROR(__xludf.DUMMYFUNCTION("""COMPUTED_VALUE"""),"BREAD MEAT HAMBURGUER NA BRASA - CONTA PAI")</f>
        <v>BREAD MEAT HAMBURGUER NA BRASA - CONTA PAI</v>
      </c>
      <c r="L6713" s="32">
        <f>IFERROR(__xludf.DUMMYFUNCTION("""COMPUTED_VALUE"""),2.0)</f>
        <v>2</v>
      </c>
      <c r="M6713" s="4" t="str">
        <f>IFERROR(__xludf.DUMMYFUNCTION("""COMPUTED_VALUE"""),"Saipos Serviços De Software")</f>
        <v>Saipos Serviços De Software</v>
      </c>
      <c r="N6713" s="33">
        <f>IFERROR(__xludf.DUMMYFUNCTION("""COMPUTED_VALUE"""),1.0)</f>
        <v>1</v>
      </c>
      <c r="O6713" s="4" t="str">
        <f>IFERROR(__xludf.DUMMYFUNCTION("""COMPUTED_VALUE"""),"Saipos Serviços De Software")</f>
        <v>Saipos Serviços De Software</v>
      </c>
      <c r="P6713" s="33">
        <f>IFERROR(__xludf.DUMMYFUNCTION("""COMPUTED_VALUE"""),1.0)</f>
        <v>1</v>
      </c>
      <c r="Q6713" s="4" t="str">
        <f>IFERROR(__xludf.DUMMYFUNCTION("""COMPUTED_VALUE"""),"Saipos Serviços De Software")</f>
        <v>Saipos Serviços De Software</v>
      </c>
      <c r="R6713" s="33">
        <f>IFERROR(__xludf.DUMMYFUNCTION("""COMPUTED_VALUE"""),1.0)</f>
        <v>1</v>
      </c>
      <c r="S6713" s="4" t="str">
        <f>IFERROR(__xludf.DUMMYFUNCTION("""COMPUTED_VALUE"""),"Saipos Serviços De Software")</f>
        <v>Saipos Serviços De Software</v>
      </c>
      <c r="T6713" s="33">
        <f>IFERROR(__xludf.DUMMYFUNCTION("""COMPUTED_VALUE"""),0.5)</f>
        <v>0.5</v>
      </c>
      <c r="U6713" s="4" t="str">
        <f>IFERROR(__xludf.DUMMYFUNCTION("""COMPUTED_VALUE"""),"null")</f>
        <v>null</v>
      </c>
      <c r="V6713" s="33">
        <f>IFERROR(__xludf.DUMMYFUNCTION("""COMPUTED_VALUE"""),1.0)</f>
        <v>1</v>
      </c>
      <c r="W6713" s="4" t="str">
        <f>IFERROR(__xludf.DUMMYFUNCTION("""COMPUTED_VALUE"""),"Saipos Serviços De Software")</f>
        <v>Saipos Serviços De Software</v>
      </c>
      <c r="X6713" s="33">
        <f>IFERROR(__xludf.DUMMYFUNCTION("""COMPUTED_VALUE"""),1.0)</f>
        <v>1</v>
      </c>
    </row>
    <row r="6714">
      <c r="K6714" s="4" t="str">
        <f>IFERROR(__xludf.DUMMYFUNCTION("""COMPUTED_VALUE"""),"BRIGADERIA MADU")</f>
        <v>BRIGADERIA MADU</v>
      </c>
      <c r="L6714" s="32">
        <f>IFERROR(__xludf.DUMMYFUNCTION("""COMPUTED_VALUE"""),2.0)</f>
        <v>2</v>
      </c>
      <c r="M6714" s="4" t="str">
        <f>IFERROR(__xludf.DUMMYFUNCTION("""COMPUTED_VALUE"""),"Saipos Serviços De Software")</f>
        <v>Saipos Serviços De Software</v>
      </c>
      <c r="N6714" s="33">
        <f>IFERROR(__xludf.DUMMYFUNCTION("""COMPUTED_VALUE"""),1.0)</f>
        <v>1</v>
      </c>
      <c r="O6714" s="4" t="str">
        <f>IFERROR(__xludf.DUMMYFUNCTION("""COMPUTED_VALUE"""),"Saipos Serviços De Software")</f>
        <v>Saipos Serviços De Software</v>
      </c>
      <c r="P6714" s="33">
        <f>IFERROR(__xludf.DUMMYFUNCTION("""COMPUTED_VALUE"""),1.0)</f>
        <v>1</v>
      </c>
      <c r="Q6714" s="4" t="str">
        <f>IFERROR(__xludf.DUMMYFUNCTION("""COMPUTED_VALUE"""),"Saipos Serviços De Software")</f>
        <v>Saipos Serviços De Software</v>
      </c>
      <c r="R6714" s="33">
        <f>IFERROR(__xludf.DUMMYFUNCTION("""COMPUTED_VALUE"""),1.0)</f>
        <v>1</v>
      </c>
      <c r="S6714" s="4" t="str">
        <f>IFERROR(__xludf.DUMMYFUNCTION("""COMPUTED_VALUE"""),"Saipos Serviços De Software")</f>
        <v>Saipos Serviços De Software</v>
      </c>
      <c r="T6714" s="33">
        <f>IFERROR(__xludf.DUMMYFUNCTION("""COMPUTED_VALUE"""),1.0)</f>
        <v>1</v>
      </c>
      <c r="U6714" s="4" t="str">
        <f>IFERROR(__xludf.DUMMYFUNCTION("""COMPUTED_VALUE"""),"Saipos Serviços De Software")</f>
        <v>Saipos Serviços De Software</v>
      </c>
      <c r="V6714" s="33">
        <f>IFERROR(__xludf.DUMMYFUNCTION("""COMPUTED_VALUE"""),1.0)</f>
        <v>1</v>
      </c>
      <c r="W6714" s="4" t="str">
        <f>IFERROR(__xludf.DUMMYFUNCTION("""COMPUTED_VALUE"""),"Saipos Serviços De Software")</f>
        <v>Saipos Serviços De Software</v>
      </c>
      <c r="X6714" s="33">
        <f>IFERROR(__xludf.DUMMYFUNCTION("""COMPUTED_VALUE"""),1.0)</f>
        <v>1</v>
      </c>
    </row>
    <row r="6715">
      <c r="K6715" s="4" t="str">
        <f>IFERROR(__xludf.DUMMYFUNCTION("""COMPUTED_VALUE"""),"BROOKLIN HOMEMADE BURGUERS - CONTA PAI")</f>
        <v>BROOKLIN HOMEMADE BURGUERS - CONTA PAI</v>
      </c>
      <c r="L6715" s="32">
        <f>IFERROR(__xludf.DUMMYFUNCTION("""COMPUTED_VALUE"""),2.0)</f>
        <v>2</v>
      </c>
      <c r="M6715" s="4" t="str">
        <f>IFERROR(__xludf.DUMMYFUNCTION("""COMPUTED_VALUE"""),"Gula.menu Tecnologia Ltda.")</f>
        <v>Gula.menu Tecnologia Ltda.</v>
      </c>
      <c r="N6715" s="33">
        <f>IFERROR(__xludf.DUMMYFUNCTION("""COMPUTED_VALUE"""),1.0)</f>
        <v>1</v>
      </c>
      <c r="O6715" s="4" t="str">
        <f>IFERROR(__xludf.DUMMYFUNCTION("""COMPUTED_VALUE"""),"Gula.menu Tecnologia Ltda.")</f>
        <v>Gula.menu Tecnologia Ltda.</v>
      </c>
      <c r="P6715" s="33">
        <f>IFERROR(__xludf.DUMMYFUNCTION("""COMPUTED_VALUE"""),1.0)</f>
        <v>1</v>
      </c>
      <c r="Q6715" s="4" t="str">
        <f>IFERROR(__xludf.DUMMYFUNCTION("""COMPUTED_VALUE"""),"Gula.menu Tecnologia Ltda.")</f>
        <v>Gula.menu Tecnologia Ltda.</v>
      </c>
      <c r="R6715" s="33">
        <f>IFERROR(__xludf.DUMMYFUNCTION("""COMPUTED_VALUE"""),1.0)</f>
        <v>1</v>
      </c>
      <c r="S6715" s="4" t="str">
        <f>IFERROR(__xludf.DUMMYFUNCTION("""COMPUTED_VALUE"""),"Gula.menu Tecnologia Ltda.")</f>
        <v>Gula.menu Tecnologia Ltda.</v>
      </c>
      <c r="T6715" s="33">
        <f>IFERROR(__xludf.DUMMYFUNCTION("""COMPUTED_VALUE"""),1.0)</f>
        <v>1</v>
      </c>
      <c r="U6715" s="4" t="str">
        <f>IFERROR(__xludf.DUMMYFUNCTION("""COMPUTED_VALUE"""),"Gula.menu Tecnologia Ltda.")</f>
        <v>Gula.menu Tecnologia Ltda.</v>
      </c>
      <c r="V6715" s="33">
        <f>IFERROR(__xludf.DUMMYFUNCTION("""COMPUTED_VALUE"""),1.0)</f>
        <v>1</v>
      </c>
      <c r="W6715" s="4" t="str">
        <f>IFERROR(__xludf.DUMMYFUNCTION("""COMPUTED_VALUE"""),"Gula.menu Tecnologia Ltda.")</f>
        <v>Gula.menu Tecnologia Ltda.</v>
      </c>
      <c r="X6715" s="33">
        <f>IFERROR(__xludf.DUMMYFUNCTION("""COMPUTED_VALUE"""),1.0)</f>
        <v>1</v>
      </c>
    </row>
    <row r="6716">
      <c r="K6716" s="4" t="str">
        <f>IFERROR(__xludf.DUMMYFUNCTION("""COMPUTED_VALUE"""),"BROOKLIN PIZZARIA")</f>
        <v>BROOKLIN PIZZARIA</v>
      </c>
      <c r="L6716" s="32">
        <f>IFERROR(__xludf.DUMMYFUNCTION("""COMPUTED_VALUE"""),2.0)</f>
        <v>2</v>
      </c>
      <c r="M6716" s="4" t="str">
        <f>IFERROR(__xludf.DUMMYFUNCTION("""COMPUTED_VALUE"""),"Saipos Serviços De Software")</f>
        <v>Saipos Serviços De Software</v>
      </c>
      <c r="N6716" s="33">
        <f>IFERROR(__xludf.DUMMYFUNCTION("""COMPUTED_VALUE"""),1.0)</f>
        <v>1</v>
      </c>
      <c r="O6716" s="4" t="str">
        <f>IFERROR(__xludf.DUMMYFUNCTION("""COMPUTED_VALUE"""),"Saipos Serviços De Software")</f>
        <v>Saipos Serviços De Software</v>
      </c>
      <c r="P6716" s="33">
        <f>IFERROR(__xludf.DUMMYFUNCTION("""COMPUTED_VALUE"""),1.0)</f>
        <v>1</v>
      </c>
      <c r="Q6716" s="4" t="str">
        <f>IFERROR(__xludf.DUMMYFUNCTION("""COMPUTED_VALUE"""),"Saipos Serviços De Software")</f>
        <v>Saipos Serviços De Software</v>
      </c>
      <c r="R6716" s="33">
        <f>IFERROR(__xludf.DUMMYFUNCTION("""COMPUTED_VALUE"""),1.0)</f>
        <v>1</v>
      </c>
      <c r="S6716" s="4" t="str">
        <f>IFERROR(__xludf.DUMMYFUNCTION("""COMPUTED_VALUE"""),"null")</f>
        <v>null</v>
      </c>
      <c r="T6716" s="33">
        <f>IFERROR(__xludf.DUMMYFUNCTION("""COMPUTED_VALUE"""),1.0)</f>
        <v>1</v>
      </c>
      <c r="U6716" s="4" t="str">
        <f>IFERROR(__xludf.DUMMYFUNCTION("""COMPUTED_VALUE"""),"null")</f>
        <v>null</v>
      </c>
      <c r="V6716" s="33">
        <f>IFERROR(__xludf.DUMMYFUNCTION("""COMPUTED_VALUE"""),1.0)</f>
        <v>1</v>
      </c>
      <c r="W6716" s="4" t="str">
        <f>IFERROR(__xludf.DUMMYFUNCTION("""COMPUTED_VALUE"""),"null")</f>
        <v>null</v>
      </c>
      <c r="X6716" s="33">
        <f>IFERROR(__xludf.DUMMYFUNCTION("""COMPUTED_VALUE"""),1.0)</f>
        <v>1</v>
      </c>
    </row>
    <row r="6717">
      <c r="K6717" s="4" t="str">
        <f>IFERROR(__xludf.DUMMYFUNCTION("""COMPUTED_VALUE"""),"BROTHERS PIZZAS")</f>
        <v>BROTHERS PIZZAS</v>
      </c>
      <c r="L6717" s="32">
        <f>IFERROR(__xludf.DUMMYFUNCTION("""COMPUTED_VALUE"""),2.0)</f>
        <v>2</v>
      </c>
      <c r="M6717" s="4" t="str">
        <f>IFERROR(__xludf.DUMMYFUNCTION("""COMPUTED_VALUE"""),"Cardápio Web")</f>
        <v>Cardápio Web</v>
      </c>
      <c r="N6717" s="33">
        <f>IFERROR(__xludf.DUMMYFUNCTION("""COMPUTED_VALUE"""),0.5)</f>
        <v>0.5</v>
      </c>
      <c r="O6717" s="4" t="str">
        <f>IFERROR(__xludf.DUMMYFUNCTION("""COMPUTED_VALUE"""),"Cardápio Web")</f>
        <v>Cardápio Web</v>
      </c>
      <c r="P6717" s="33">
        <f>IFERROR(__xludf.DUMMYFUNCTION("""COMPUTED_VALUE"""),1.0)</f>
        <v>1</v>
      </c>
      <c r="Q6717" s="4" t="str">
        <f>IFERROR(__xludf.DUMMYFUNCTION("""COMPUTED_VALUE"""),"Cardápio Web")</f>
        <v>Cardápio Web</v>
      </c>
      <c r="R6717" s="33">
        <f>IFERROR(__xludf.DUMMYFUNCTION("""COMPUTED_VALUE"""),1.0)</f>
        <v>1</v>
      </c>
      <c r="S6717" s="4" t="str">
        <f>IFERROR(__xludf.DUMMYFUNCTION("""COMPUTED_VALUE"""),"Cardápio Web")</f>
        <v>Cardápio Web</v>
      </c>
      <c r="T6717" s="33">
        <f>IFERROR(__xludf.DUMMYFUNCTION("""COMPUTED_VALUE"""),1.0)</f>
        <v>1</v>
      </c>
      <c r="U6717" s="4" t="str">
        <f>IFERROR(__xludf.DUMMYFUNCTION("""COMPUTED_VALUE"""),"Cardápio Web")</f>
        <v>Cardápio Web</v>
      </c>
      <c r="V6717" s="33">
        <f>IFERROR(__xludf.DUMMYFUNCTION("""COMPUTED_VALUE"""),1.0)</f>
        <v>1</v>
      </c>
      <c r="W6717" s="4" t="str">
        <f>IFERROR(__xludf.DUMMYFUNCTION("""COMPUTED_VALUE"""),"Cardápio Web")</f>
        <v>Cardápio Web</v>
      </c>
      <c r="X6717" s="33">
        <f>IFERROR(__xludf.DUMMYFUNCTION("""COMPUTED_VALUE"""),1.0)</f>
        <v>1</v>
      </c>
    </row>
    <row r="6718">
      <c r="K6718" s="4" t="str">
        <f>IFERROR(__xludf.DUMMYFUNCTION("""COMPUTED_VALUE"""),"BROTO SAUDAVEL - MARCA")</f>
        <v>BROTO SAUDAVEL - MARCA</v>
      </c>
      <c r="L6718" s="32">
        <f>IFERROR(__xludf.DUMMYFUNCTION("""COMPUTED_VALUE"""),2.0)</f>
        <v>2</v>
      </c>
      <c r="M6718" s="4" t="str">
        <f>IFERROR(__xludf.DUMMYFUNCTION("""COMPUTED_VALUE"""),"null")</f>
        <v>null</v>
      </c>
      <c r="N6718" s="33">
        <f>IFERROR(__xludf.DUMMYFUNCTION("""COMPUTED_VALUE"""),0.5)</f>
        <v>0.5</v>
      </c>
      <c r="O6718" s="4" t="str">
        <f>IFERROR(__xludf.DUMMYFUNCTION("""COMPUTED_VALUE"""),"null")</f>
        <v>null</v>
      </c>
      <c r="P6718" s="33">
        <f>IFERROR(__xludf.DUMMYFUNCTION("""COMPUTED_VALUE"""),0.5)</f>
        <v>0.5</v>
      </c>
      <c r="Q6718" s="4" t="str">
        <f>IFERROR(__xludf.DUMMYFUNCTION("""COMPUTED_VALUE"""),"null")</f>
        <v>null</v>
      </c>
      <c r="R6718" s="33">
        <f>IFERROR(__xludf.DUMMYFUNCTION("""COMPUTED_VALUE"""),0.5)</f>
        <v>0.5</v>
      </c>
      <c r="S6718" s="4" t="str">
        <f>IFERROR(__xludf.DUMMYFUNCTION("""COMPUTED_VALUE"""),"null")</f>
        <v>null</v>
      </c>
      <c r="T6718" s="33">
        <f>IFERROR(__xludf.DUMMYFUNCTION("""COMPUTED_VALUE"""),1.0)</f>
        <v>1</v>
      </c>
      <c r="U6718" s="4" t="str">
        <f>IFERROR(__xludf.DUMMYFUNCTION("""COMPUTED_VALUE"""),"null")</f>
        <v>null</v>
      </c>
      <c r="V6718" s="33">
        <f>IFERROR(__xludf.DUMMYFUNCTION("""COMPUTED_VALUE"""),0.5)</f>
        <v>0.5</v>
      </c>
      <c r="W6718" s="4" t="str">
        <f>IFERROR(__xludf.DUMMYFUNCTION("""COMPUTED_VALUE"""),"Saipos Serviços De Software")</f>
        <v>Saipos Serviços De Software</v>
      </c>
      <c r="X6718" s="33">
        <f>IFERROR(__xludf.DUMMYFUNCTION("""COMPUTED_VALUE"""),1.0)</f>
        <v>1</v>
      </c>
    </row>
    <row r="6719">
      <c r="K6719" s="4" t="str">
        <f>IFERROR(__xludf.DUMMYFUNCTION("""COMPUTED_VALUE"""),"BROW SUSHI - CONTA MARCA")</f>
        <v>BROW SUSHI - CONTA MARCA</v>
      </c>
      <c r="L6719" s="32">
        <f>IFERROR(__xludf.DUMMYFUNCTION("""COMPUTED_VALUE"""),2.0)</f>
        <v>2</v>
      </c>
      <c r="M6719" s="4" t="str">
        <f>IFERROR(__xludf.DUMMYFUNCTION("""COMPUTED_VALUE"""),"null")</f>
        <v>null</v>
      </c>
      <c r="N6719" s="33">
        <f>IFERROR(__xludf.DUMMYFUNCTION("""COMPUTED_VALUE"""),0.5)</f>
        <v>0.5</v>
      </c>
      <c r="O6719" s="4" t="str">
        <f>IFERROR(__xludf.DUMMYFUNCTION("""COMPUTED_VALUE"""),"null")</f>
        <v>null</v>
      </c>
      <c r="P6719" s="33">
        <f>IFERROR(__xludf.DUMMYFUNCTION("""COMPUTED_VALUE"""),0.5)</f>
        <v>0.5</v>
      </c>
      <c r="Q6719" s="4" t="str">
        <f>IFERROR(__xludf.DUMMYFUNCTION("""COMPUTED_VALUE"""),"null")</f>
        <v>null</v>
      </c>
      <c r="R6719" s="33">
        <f>IFERROR(__xludf.DUMMYFUNCTION("""COMPUTED_VALUE"""),0.5)</f>
        <v>0.5</v>
      </c>
      <c r="S6719" s="4" t="str">
        <f>IFERROR(__xludf.DUMMYFUNCTION("""COMPUTED_VALUE"""),"null")</f>
        <v>null</v>
      </c>
      <c r="T6719" s="33">
        <f>IFERROR(__xludf.DUMMYFUNCTION("""COMPUTED_VALUE"""),0.5)</f>
        <v>0.5</v>
      </c>
      <c r="U6719" s="4" t="str">
        <f>IFERROR(__xludf.DUMMYFUNCTION("""COMPUTED_VALUE"""),"null")</f>
        <v>null</v>
      </c>
      <c r="V6719" s="33">
        <f>IFERROR(__xludf.DUMMYFUNCTION("""COMPUTED_VALUE"""),0.5)</f>
        <v>0.5</v>
      </c>
      <c r="W6719" s="4" t="str">
        <f>IFERROR(__xludf.DUMMYFUNCTION("""COMPUTED_VALUE"""),"Cardápio Web")</f>
        <v>Cardápio Web</v>
      </c>
      <c r="X6719" s="33">
        <f>IFERROR(__xludf.DUMMYFUNCTION("""COMPUTED_VALUE"""),0.5)</f>
        <v>0.5</v>
      </c>
    </row>
    <row r="6720">
      <c r="K6720" s="4" t="str">
        <f>IFERROR(__xludf.DUMMYFUNCTION("""COMPUTED_VALUE"""),"BROWNICE - DOCES E SOBREMESAS")</f>
        <v>BROWNICE - DOCES E SOBREMESAS</v>
      </c>
      <c r="L6720" s="32">
        <f>IFERROR(__xludf.DUMMYFUNCTION("""COMPUTED_VALUE"""),2.0)</f>
        <v>2</v>
      </c>
      <c r="M6720" s="4" t="str">
        <f>IFERROR(__xludf.DUMMYFUNCTION("""COMPUTED_VALUE"""),"Alloy Tecnologia")</f>
        <v>Alloy Tecnologia</v>
      </c>
      <c r="N6720" s="33">
        <f>IFERROR(__xludf.DUMMYFUNCTION("""COMPUTED_VALUE"""),0.5)</f>
        <v>0.5</v>
      </c>
      <c r="O6720" s="4" t="str">
        <f>IFERROR(__xludf.DUMMYFUNCTION("""COMPUTED_VALUE"""),"Alloy Tecnologia")</f>
        <v>Alloy Tecnologia</v>
      </c>
      <c r="P6720" s="33">
        <f>IFERROR(__xludf.DUMMYFUNCTION("""COMPUTED_VALUE"""),0.5)</f>
        <v>0.5</v>
      </c>
      <c r="Q6720" s="4" t="str">
        <f>IFERROR(__xludf.DUMMYFUNCTION("""COMPUTED_VALUE"""),"Alloy Tecnologia")</f>
        <v>Alloy Tecnologia</v>
      </c>
      <c r="R6720" s="33">
        <f>IFERROR(__xludf.DUMMYFUNCTION("""COMPUTED_VALUE"""),0.5)</f>
        <v>0.5</v>
      </c>
      <c r="S6720" s="4" t="str">
        <f>IFERROR(__xludf.DUMMYFUNCTION("""COMPUTED_VALUE"""),"Alloy Tecnologia")</f>
        <v>Alloy Tecnologia</v>
      </c>
      <c r="T6720" s="33">
        <f>IFERROR(__xludf.DUMMYFUNCTION("""COMPUTED_VALUE"""),0.5)</f>
        <v>0.5</v>
      </c>
      <c r="U6720" s="4" t="str">
        <f>IFERROR(__xludf.DUMMYFUNCTION("""COMPUTED_VALUE"""),"Alloy Tecnologia")</f>
        <v>Alloy Tecnologia</v>
      </c>
      <c r="V6720" s="33">
        <f>IFERROR(__xludf.DUMMYFUNCTION("""COMPUTED_VALUE"""),0.5)</f>
        <v>0.5</v>
      </c>
      <c r="W6720" s="4" t="str">
        <f>IFERROR(__xludf.DUMMYFUNCTION("""COMPUTED_VALUE"""),"Alloy Tecnologia")</f>
        <v>Alloy Tecnologia</v>
      </c>
      <c r="X6720" s="33">
        <f>IFERROR(__xludf.DUMMYFUNCTION("""COMPUTED_VALUE"""),0.5)</f>
        <v>0.5</v>
      </c>
    </row>
    <row r="6721">
      <c r="K6721" s="4" t="str">
        <f>IFERROR(__xludf.DUMMYFUNCTION("""COMPUTED_VALUE"""),"BRUPHARMA - CONTA PAI")</f>
        <v>BRUPHARMA - CONTA PAI</v>
      </c>
      <c r="L6721" s="32">
        <f>IFERROR(__xludf.DUMMYFUNCTION("""COMPUTED_VALUE"""),2.0)</f>
        <v>2</v>
      </c>
      <c r="M6721" s="4" t="str">
        <f>IFERROR(__xludf.DUMMYFUNCTION("""COMPUTED_VALUE"""),"N/A (Not found)")</f>
        <v>N/A (Not found)</v>
      </c>
      <c r="N6721" s="33">
        <f>IFERROR(__xludf.DUMMYFUNCTION("""COMPUTED_VALUE"""),1.0)</f>
        <v>1</v>
      </c>
      <c r="O6721" s="4" t="str">
        <f>IFERROR(__xludf.DUMMYFUNCTION("""COMPUTED_VALUE"""),"N/A (Not found)")</f>
        <v>N/A (Not found)</v>
      </c>
      <c r="P6721" s="33">
        <f>IFERROR(__xludf.DUMMYFUNCTION("""COMPUTED_VALUE"""),1.0)</f>
        <v>1</v>
      </c>
      <c r="Q6721" s="4" t="str">
        <f>IFERROR(__xludf.DUMMYFUNCTION("""COMPUTED_VALUE"""),"N/A (Not found)")</f>
        <v>N/A (Not found)</v>
      </c>
      <c r="R6721" s="33">
        <f>IFERROR(__xludf.DUMMYFUNCTION("""COMPUTED_VALUE"""),1.0)</f>
        <v>1</v>
      </c>
      <c r="S6721" s="4" t="str">
        <f>IFERROR(__xludf.DUMMYFUNCTION("""COMPUTED_VALUE"""),"N/A (Not found)")</f>
        <v>N/A (Not found)</v>
      </c>
      <c r="T6721" s="33">
        <f>IFERROR(__xludf.DUMMYFUNCTION("""COMPUTED_VALUE"""),1.0)</f>
        <v>1</v>
      </c>
      <c r="U6721" s="4" t="str">
        <f>IFERROR(__xludf.DUMMYFUNCTION("""COMPUTED_VALUE"""),"N/A (Not found)")</f>
        <v>N/A (Not found)</v>
      </c>
      <c r="V6721" s="33">
        <f>IFERROR(__xludf.DUMMYFUNCTION("""COMPUTED_VALUE"""),1.0)</f>
        <v>1</v>
      </c>
      <c r="W6721" s="4" t="str">
        <f>IFERROR(__xludf.DUMMYFUNCTION("""COMPUTED_VALUE"""),"N/A (Not found)")</f>
        <v>N/A (Not found)</v>
      </c>
      <c r="X6721" s="33">
        <f>IFERROR(__xludf.DUMMYFUNCTION("""COMPUTED_VALUE"""),1.0)</f>
        <v>1</v>
      </c>
    </row>
    <row r="6722">
      <c r="K6722" s="4" t="str">
        <f>IFERROR(__xludf.DUMMYFUNCTION("""COMPUTED_VALUE"""),"BRUTHUS")</f>
        <v>BRUTHUS</v>
      </c>
      <c r="L6722" s="32">
        <f>IFERROR(__xludf.DUMMYFUNCTION("""COMPUTED_VALUE"""),2.0)</f>
        <v>2</v>
      </c>
      <c r="M6722" s="4" t="str">
        <f>IFERROR(__xludf.DUMMYFUNCTION("""COMPUTED_VALUE"""),"Saipos Serviços De Software")</f>
        <v>Saipos Serviços De Software</v>
      </c>
      <c r="N6722" s="33">
        <f>IFERROR(__xludf.DUMMYFUNCTION("""COMPUTED_VALUE"""),1.0)</f>
        <v>1</v>
      </c>
      <c r="O6722" s="4" t="str">
        <f>IFERROR(__xludf.DUMMYFUNCTION("""COMPUTED_VALUE"""),"Saipos Serviços De Software")</f>
        <v>Saipos Serviços De Software</v>
      </c>
      <c r="P6722" s="33">
        <f>IFERROR(__xludf.DUMMYFUNCTION("""COMPUTED_VALUE"""),1.0)</f>
        <v>1</v>
      </c>
      <c r="Q6722" s="4" t="str">
        <f>IFERROR(__xludf.DUMMYFUNCTION("""COMPUTED_VALUE"""),"Saipos Serviços De Software")</f>
        <v>Saipos Serviços De Software</v>
      </c>
      <c r="R6722" s="33">
        <f>IFERROR(__xludf.DUMMYFUNCTION("""COMPUTED_VALUE"""),1.0)</f>
        <v>1</v>
      </c>
      <c r="S6722" s="4" t="str">
        <f>IFERROR(__xludf.DUMMYFUNCTION("""COMPUTED_VALUE"""),"Saipos Serviços De Software")</f>
        <v>Saipos Serviços De Software</v>
      </c>
      <c r="T6722" s="33">
        <f>IFERROR(__xludf.DUMMYFUNCTION("""COMPUTED_VALUE"""),1.0)</f>
        <v>1</v>
      </c>
      <c r="U6722" s="4" t="str">
        <f>IFERROR(__xludf.DUMMYFUNCTION("""COMPUTED_VALUE"""),"Saipos Serviços De Software")</f>
        <v>Saipos Serviços De Software</v>
      </c>
      <c r="V6722" s="33">
        <f>IFERROR(__xludf.DUMMYFUNCTION("""COMPUTED_VALUE"""),1.0)</f>
        <v>1</v>
      </c>
      <c r="W6722" s="4" t="str">
        <f>IFERROR(__xludf.DUMMYFUNCTION("""COMPUTED_VALUE"""),"Saipos Serviços De Software")</f>
        <v>Saipos Serviços De Software</v>
      </c>
      <c r="X6722" s="33">
        <f>IFERROR(__xludf.DUMMYFUNCTION("""COMPUTED_VALUE"""),1.0)</f>
        <v>1</v>
      </c>
    </row>
    <row r="6723">
      <c r="K6723" s="4" t="str">
        <f>IFERROR(__xludf.DUMMYFUNCTION("""COMPUTED_VALUE"""),"BSK PRIME ESPETINHOS")</f>
        <v>BSK PRIME ESPETINHOS</v>
      </c>
      <c r="L6723" s="32">
        <f>IFERROR(__xludf.DUMMYFUNCTION("""COMPUTED_VALUE"""),2.0)</f>
        <v>2</v>
      </c>
      <c r="M6723" s="4" t="str">
        <f>IFERROR(__xludf.DUMMYFUNCTION("""COMPUTED_VALUE"""),"null")</f>
        <v>null</v>
      </c>
      <c r="N6723" s="33">
        <f>IFERROR(__xludf.DUMMYFUNCTION("""COMPUTED_VALUE"""),0.5)</f>
        <v>0.5</v>
      </c>
      <c r="O6723" s="4" t="str">
        <f>IFERROR(__xludf.DUMMYFUNCTION("""COMPUTED_VALUE"""),"null")</f>
        <v>null</v>
      </c>
      <c r="P6723" s="33">
        <f>IFERROR(__xludf.DUMMYFUNCTION("""COMPUTED_VALUE"""),0.5)</f>
        <v>0.5</v>
      </c>
      <c r="Q6723" s="4" t="str">
        <f>IFERROR(__xludf.DUMMYFUNCTION("""COMPUTED_VALUE"""),"null")</f>
        <v>null</v>
      </c>
      <c r="R6723" s="33">
        <f>IFERROR(__xludf.DUMMYFUNCTION("""COMPUTED_VALUE"""),0.5)</f>
        <v>0.5</v>
      </c>
      <c r="S6723" s="4" t="str">
        <f>IFERROR(__xludf.DUMMYFUNCTION("""COMPUTED_VALUE"""),"null")</f>
        <v>null</v>
      </c>
      <c r="T6723" s="33">
        <f>IFERROR(__xludf.DUMMYFUNCTION("""COMPUTED_VALUE"""),0.5)</f>
        <v>0.5</v>
      </c>
      <c r="U6723" s="4" t="str">
        <f>IFERROR(__xludf.DUMMYFUNCTION("""COMPUTED_VALUE"""),"Consumer Soluções Em Tecnologia Ltda")</f>
        <v>Consumer Soluções Em Tecnologia Ltda</v>
      </c>
      <c r="V6723" s="33">
        <f>IFERROR(__xludf.DUMMYFUNCTION("""COMPUTED_VALUE"""),0.5)</f>
        <v>0.5</v>
      </c>
      <c r="W6723" s="4" t="str">
        <f>IFERROR(__xludf.DUMMYFUNCTION("""COMPUTED_VALUE"""),"Consumer Soluções Em Tecnologia Ltda")</f>
        <v>Consumer Soluções Em Tecnologia Ltda</v>
      </c>
      <c r="X6723" s="33">
        <f>IFERROR(__xludf.DUMMYFUNCTION("""COMPUTED_VALUE"""),0.5)</f>
        <v>0.5</v>
      </c>
    </row>
    <row r="6724">
      <c r="K6724" s="4" t="str">
        <f>IFERROR(__xludf.DUMMYFUNCTION("""COMPUTED_VALUE"""),"BTT BURGER RIBEIRAO")</f>
        <v>BTT BURGER RIBEIRAO</v>
      </c>
      <c r="L6724" s="32">
        <f>IFERROR(__xludf.DUMMYFUNCTION("""COMPUTED_VALUE"""),2.0)</f>
        <v>2</v>
      </c>
      <c r="M6724" s="4" t="str">
        <f>IFERROR(__xludf.DUMMYFUNCTION("""COMPUTED_VALUE"""),"Eclética Tecnologia")</f>
        <v>Eclética Tecnologia</v>
      </c>
      <c r="N6724" s="33">
        <f>IFERROR(__xludf.DUMMYFUNCTION("""COMPUTED_VALUE"""),1.0)</f>
        <v>1</v>
      </c>
      <c r="O6724" s="4" t="str">
        <f>IFERROR(__xludf.DUMMYFUNCTION("""COMPUTED_VALUE"""),"Eclética Tecnologia")</f>
        <v>Eclética Tecnologia</v>
      </c>
      <c r="P6724" s="33">
        <f>IFERROR(__xludf.DUMMYFUNCTION("""COMPUTED_VALUE"""),1.0)</f>
        <v>1</v>
      </c>
      <c r="Q6724" s="4" t="str">
        <f>IFERROR(__xludf.DUMMYFUNCTION("""COMPUTED_VALUE"""),"Eclética Tecnologia")</f>
        <v>Eclética Tecnologia</v>
      </c>
      <c r="R6724" s="33">
        <f>IFERROR(__xludf.DUMMYFUNCTION("""COMPUTED_VALUE"""),1.0)</f>
        <v>1</v>
      </c>
      <c r="S6724" s="4" t="str">
        <f>IFERROR(__xludf.DUMMYFUNCTION("""COMPUTED_VALUE"""),"Eclética Tecnologia")</f>
        <v>Eclética Tecnologia</v>
      </c>
      <c r="T6724" s="33">
        <f>IFERROR(__xludf.DUMMYFUNCTION("""COMPUTED_VALUE"""),1.0)</f>
        <v>1</v>
      </c>
      <c r="U6724" s="4" t="str">
        <f>IFERROR(__xludf.DUMMYFUNCTION("""COMPUTED_VALUE"""),"Eclética Tecnologia")</f>
        <v>Eclética Tecnologia</v>
      </c>
      <c r="V6724" s="33">
        <f>IFERROR(__xludf.DUMMYFUNCTION("""COMPUTED_VALUE"""),1.0)</f>
        <v>1</v>
      </c>
      <c r="W6724" s="4" t="str">
        <f>IFERROR(__xludf.DUMMYFUNCTION("""COMPUTED_VALUE"""),"Eclética Tecnologia")</f>
        <v>Eclética Tecnologia</v>
      </c>
      <c r="X6724" s="33">
        <f>IFERROR(__xludf.DUMMYFUNCTION("""COMPUTED_VALUE"""),1.0)</f>
        <v>1</v>
      </c>
    </row>
    <row r="6725">
      <c r="K6725" s="4" t="str">
        <f>IFERROR(__xludf.DUMMYFUNCTION("""COMPUTED_VALUE"""),"BUBBELEH - FALAFEL KEBAB SHAWARMA ARAIS")</f>
        <v>BUBBELEH - FALAFEL KEBAB SHAWARMA ARAIS</v>
      </c>
      <c r="L6725" s="32">
        <f>IFERROR(__xludf.DUMMYFUNCTION("""COMPUTED_VALUE"""),2.0)</f>
        <v>2</v>
      </c>
      <c r="M6725" s="4" t="str">
        <f>IFERROR(__xludf.DUMMYFUNCTION("""COMPUTED_VALUE"""),"Saipos Serviços De Software")</f>
        <v>Saipos Serviços De Software</v>
      </c>
      <c r="N6725" s="33">
        <f>IFERROR(__xludf.DUMMYFUNCTION("""COMPUTED_VALUE"""),1.0)</f>
        <v>1</v>
      </c>
      <c r="O6725" s="4" t="str">
        <f>IFERROR(__xludf.DUMMYFUNCTION("""COMPUTED_VALUE"""),"Saipos Serviços De Software")</f>
        <v>Saipos Serviços De Software</v>
      </c>
      <c r="P6725" s="33">
        <f>IFERROR(__xludf.DUMMYFUNCTION("""COMPUTED_VALUE"""),1.0)</f>
        <v>1</v>
      </c>
      <c r="Q6725" s="4" t="str">
        <f>IFERROR(__xludf.DUMMYFUNCTION("""COMPUTED_VALUE"""),"Saipos Serviços De Software")</f>
        <v>Saipos Serviços De Software</v>
      </c>
      <c r="R6725" s="33">
        <f>IFERROR(__xludf.DUMMYFUNCTION("""COMPUTED_VALUE"""),1.0)</f>
        <v>1</v>
      </c>
      <c r="S6725" s="4" t="str">
        <f>IFERROR(__xludf.DUMMYFUNCTION("""COMPUTED_VALUE"""),"Saipos Serviços De Software")</f>
        <v>Saipos Serviços De Software</v>
      </c>
      <c r="T6725" s="33">
        <f>IFERROR(__xludf.DUMMYFUNCTION("""COMPUTED_VALUE"""),1.0)</f>
        <v>1</v>
      </c>
      <c r="U6725" s="4" t="str">
        <f>IFERROR(__xludf.DUMMYFUNCTION("""COMPUTED_VALUE"""),"Saipos Serviços De Software")</f>
        <v>Saipos Serviços De Software</v>
      </c>
      <c r="V6725" s="33">
        <f>IFERROR(__xludf.DUMMYFUNCTION("""COMPUTED_VALUE"""),1.0)</f>
        <v>1</v>
      </c>
      <c r="W6725" s="4" t="str">
        <f>IFERROR(__xludf.DUMMYFUNCTION("""COMPUTED_VALUE"""),"Saipos Serviços De Software")</f>
        <v>Saipos Serviços De Software</v>
      </c>
      <c r="X6725" s="33">
        <f>IFERROR(__xludf.DUMMYFUNCTION("""COMPUTED_VALUE"""),1.0)</f>
        <v>1</v>
      </c>
    </row>
    <row r="6726">
      <c r="K6726" s="4" t="str">
        <f>IFERROR(__xludf.DUMMYFUNCTION("""COMPUTED_VALUE"""),"BULLDOGS DOGUERIA - CONTA MARCA")</f>
        <v>BULLDOGS DOGUERIA - CONTA MARCA</v>
      </c>
      <c r="L6726" s="32">
        <f>IFERROR(__xludf.DUMMYFUNCTION("""COMPUTED_VALUE"""),2.0)</f>
        <v>2</v>
      </c>
      <c r="M6726" s="4" t="str">
        <f>IFERROR(__xludf.DUMMYFUNCTION("""COMPUTED_VALUE"""),"Saipos Serviços De Software")</f>
        <v>Saipos Serviços De Software</v>
      </c>
      <c r="N6726" s="33">
        <f>IFERROR(__xludf.DUMMYFUNCTION("""COMPUTED_VALUE"""),1.0)</f>
        <v>1</v>
      </c>
      <c r="O6726" s="4" t="str">
        <f>IFERROR(__xludf.DUMMYFUNCTION("""COMPUTED_VALUE"""),"Saipos Serviços De Software")</f>
        <v>Saipos Serviços De Software</v>
      </c>
      <c r="P6726" s="33">
        <f>IFERROR(__xludf.DUMMYFUNCTION("""COMPUTED_VALUE"""),1.0)</f>
        <v>1</v>
      </c>
      <c r="Q6726" s="4" t="str">
        <f>IFERROR(__xludf.DUMMYFUNCTION("""COMPUTED_VALUE"""),"Saipos Serviços De Software")</f>
        <v>Saipos Serviços De Software</v>
      </c>
      <c r="R6726" s="33">
        <f>IFERROR(__xludf.DUMMYFUNCTION("""COMPUTED_VALUE"""),1.0)</f>
        <v>1</v>
      </c>
      <c r="S6726" s="4" t="str">
        <f>IFERROR(__xludf.DUMMYFUNCTION("""COMPUTED_VALUE"""),"Saipos Serviços De Software")</f>
        <v>Saipos Serviços De Software</v>
      </c>
      <c r="T6726" s="33">
        <f>IFERROR(__xludf.DUMMYFUNCTION("""COMPUTED_VALUE"""),1.0)</f>
        <v>1</v>
      </c>
      <c r="U6726" s="4" t="str">
        <f>IFERROR(__xludf.DUMMYFUNCTION("""COMPUTED_VALUE"""),"Saipos Serviços De Software")</f>
        <v>Saipos Serviços De Software</v>
      </c>
      <c r="V6726" s="33">
        <f>IFERROR(__xludf.DUMMYFUNCTION("""COMPUTED_VALUE"""),1.0)</f>
        <v>1</v>
      </c>
      <c r="W6726" s="4" t="str">
        <f>IFERROR(__xludf.DUMMYFUNCTION("""COMPUTED_VALUE"""),"Saipos Serviços De Software")</f>
        <v>Saipos Serviços De Software</v>
      </c>
      <c r="X6726" s="33">
        <f>IFERROR(__xludf.DUMMYFUNCTION("""COMPUTED_VALUE"""),1.0)</f>
        <v>1</v>
      </c>
    </row>
    <row r="6727">
      <c r="K6727" s="4" t="str">
        <f>IFERROR(__xludf.DUMMYFUNCTION("""COMPUTED_VALUE"""),"BULLTIQUE - CHURRASCO E HAMBURGUER")</f>
        <v>BULLTIQUE - CHURRASCO E HAMBURGUER</v>
      </c>
      <c r="L6727" s="32">
        <f>IFERROR(__xludf.DUMMYFUNCTION("""COMPUTED_VALUE"""),2.0)</f>
        <v>2</v>
      </c>
      <c r="M6727" s="4" t="str">
        <f>IFERROR(__xludf.DUMMYFUNCTION("""COMPUTED_VALUE"""),"Vekttor")</f>
        <v>Vekttor</v>
      </c>
      <c r="N6727" s="33">
        <f>IFERROR(__xludf.DUMMYFUNCTION("""COMPUTED_VALUE"""),1.0)</f>
        <v>1</v>
      </c>
      <c r="O6727" s="4" t="str">
        <f>IFERROR(__xludf.DUMMYFUNCTION("""COMPUTED_VALUE"""),"Vekttor")</f>
        <v>Vekttor</v>
      </c>
      <c r="P6727" s="33">
        <f>IFERROR(__xludf.DUMMYFUNCTION("""COMPUTED_VALUE"""),1.0)</f>
        <v>1</v>
      </c>
      <c r="Q6727" s="4" t="str">
        <f>IFERROR(__xludf.DUMMYFUNCTION("""COMPUTED_VALUE"""),"Vekttor")</f>
        <v>Vekttor</v>
      </c>
      <c r="R6727" s="33">
        <f>IFERROR(__xludf.DUMMYFUNCTION("""COMPUTED_VALUE"""),1.0)</f>
        <v>1</v>
      </c>
      <c r="S6727" s="4" t="str">
        <f>IFERROR(__xludf.DUMMYFUNCTION("""COMPUTED_VALUE"""),"Saipos Serviços De Software")</f>
        <v>Saipos Serviços De Software</v>
      </c>
      <c r="T6727" s="33">
        <f>IFERROR(__xludf.DUMMYFUNCTION("""COMPUTED_VALUE"""),1.0)</f>
        <v>1</v>
      </c>
      <c r="U6727" s="4" t="str">
        <f>IFERROR(__xludf.DUMMYFUNCTION("""COMPUTED_VALUE"""),"Vekttor")</f>
        <v>Vekttor</v>
      </c>
      <c r="V6727" s="33">
        <f>IFERROR(__xludf.DUMMYFUNCTION("""COMPUTED_VALUE"""),0.5)</f>
        <v>0.5</v>
      </c>
      <c r="W6727" s="4" t="str">
        <f>IFERROR(__xludf.DUMMYFUNCTION("""COMPUTED_VALUE"""),"Vekttor")</f>
        <v>Vekttor</v>
      </c>
      <c r="X6727" s="33">
        <f>IFERROR(__xludf.DUMMYFUNCTION("""COMPUTED_VALUE"""),0.5)</f>
        <v>0.5</v>
      </c>
    </row>
    <row r="6728">
      <c r="K6728" s="4" t="str">
        <f>IFERROR(__xludf.DUMMYFUNCTION("""COMPUTED_VALUE"""),"BUNKER HAMBURGUERIA")</f>
        <v>BUNKER HAMBURGUERIA</v>
      </c>
      <c r="L6728" s="32">
        <f>IFERROR(__xludf.DUMMYFUNCTION("""COMPUTED_VALUE"""),2.0)</f>
        <v>2</v>
      </c>
      <c r="M6728" s="4" t="str">
        <f>IFERROR(__xludf.DUMMYFUNCTION("""COMPUTED_VALUE"""),"Saipos Serviços De Software")</f>
        <v>Saipos Serviços De Software</v>
      </c>
      <c r="N6728" s="33">
        <f>IFERROR(__xludf.DUMMYFUNCTION("""COMPUTED_VALUE"""),1.0)</f>
        <v>1</v>
      </c>
      <c r="O6728" s="4" t="str">
        <f>IFERROR(__xludf.DUMMYFUNCTION("""COMPUTED_VALUE"""),"Saipos Serviços De Software")</f>
        <v>Saipos Serviços De Software</v>
      </c>
      <c r="P6728" s="33">
        <f>IFERROR(__xludf.DUMMYFUNCTION("""COMPUTED_VALUE"""),1.0)</f>
        <v>1</v>
      </c>
      <c r="Q6728" s="4" t="str">
        <f>IFERROR(__xludf.DUMMYFUNCTION("""COMPUTED_VALUE"""),"Saipos Serviços De Software")</f>
        <v>Saipos Serviços De Software</v>
      </c>
      <c r="R6728" s="33">
        <f>IFERROR(__xludf.DUMMYFUNCTION("""COMPUTED_VALUE"""),1.0)</f>
        <v>1</v>
      </c>
      <c r="S6728" s="4" t="str">
        <f>IFERROR(__xludf.DUMMYFUNCTION("""COMPUTED_VALUE"""),"Saipos Serviços De Software")</f>
        <v>Saipos Serviços De Software</v>
      </c>
      <c r="T6728" s="33">
        <f>IFERROR(__xludf.DUMMYFUNCTION("""COMPUTED_VALUE"""),1.0)</f>
        <v>1</v>
      </c>
      <c r="U6728" s="4" t="str">
        <f>IFERROR(__xludf.DUMMYFUNCTION("""COMPUTED_VALUE"""),"Saipos Serviços De Software")</f>
        <v>Saipos Serviços De Software</v>
      </c>
      <c r="V6728" s="33">
        <f>IFERROR(__xludf.DUMMYFUNCTION("""COMPUTED_VALUE"""),1.0)</f>
        <v>1</v>
      </c>
      <c r="W6728" s="4" t="str">
        <f>IFERROR(__xludf.DUMMYFUNCTION("""COMPUTED_VALUE"""),"Saipos Serviços De Software")</f>
        <v>Saipos Serviços De Software</v>
      </c>
      <c r="X6728" s="33">
        <f>IFERROR(__xludf.DUMMYFUNCTION("""COMPUTED_VALUE"""),1.0)</f>
        <v>1</v>
      </c>
    </row>
    <row r="6729">
      <c r="K6729" s="4" t="str">
        <f>IFERROR(__xludf.DUMMYFUNCTION("""COMPUTED_VALUE"""),"BUONA VIA PIZZA")</f>
        <v>BUONA VIA PIZZA</v>
      </c>
      <c r="L6729" s="32">
        <f>IFERROR(__xludf.DUMMYFUNCTION("""COMPUTED_VALUE"""),2.0)</f>
        <v>2</v>
      </c>
      <c r="M6729" s="4" t="str">
        <f>IFERROR(__xludf.DUMMYFUNCTION("""COMPUTED_VALUE"""),"Saipos Serviços De Software")</f>
        <v>Saipos Serviços De Software</v>
      </c>
      <c r="N6729" s="33">
        <f>IFERROR(__xludf.DUMMYFUNCTION("""COMPUTED_VALUE"""),0.5)</f>
        <v>0.5</v>
      </c>
      <c r="O6729" s="4" t="str">
        <f>IFERROR(__xludf.DUMMYFUNCTION("""COMPUTED_VALUE"""),"Saipos Serviços De Software")</f>
        <v>Saipos Serviços De Software</v>
      </c>
      <c r="P6729" s="33">
        <f>IFERROR(__xludf.DUMMYFUNCTION("""COMPUTED_VALUE"""),0.5)</f>
        <v>0.5</v>
      </c>
      <c r="Q6729" s="4" t="str">
        <f>IFERROR(__xludf.DUMMYFUNCTION("""COMPUTED_VALUE"""),"Saipos Serviços De Software")</f>
        <v>Saipos Serviços De Software</v>
      </c>
      <c r="R6729" s="33">
        <f>IFERROR(__xludf.DUMMYFUNCTION("""COMPUTED_VALUE"""),0.5)</f>
        <v>0.5</v>
      </c>
      <c r="S6729" s="4" t="str">
        <f>IFERROR(__xludf.DUMMYFUNCTION("""COMPUTED_VALUE"""),"Saipos Serviços De Software")</f>
        <v>Saipos Serviços De Software</v>
      </c>
      <c r="T6729" s="33">
        <f>IFERROR(__xludf.DUMMYFUNCTION("""COMPUTED_VALUE"""),1.0)</f>
        <v>1</v>
      </c>
      <c r="U6729" s="4" t="str">
        <f>IFERROR(__xludf.DUMMYFUNCTION("""COMPUTED_VALUE"""),"Saipos Serviços De Software")</f>
        <v>Saipos Serviços De Software</v>
      </c>
      <c r="V6729" s="33">
        <f>IFERROR(__xludf.DUMMYFUNCTION("""COMPUTED_VALUE"""),1.0)</f>
        <v>1</v>
      </c>
      <c r="W6729" s="4" t="str">
        <f>IFERROR(__xludf.DUMMYFUNCTION("""COMPUTED_VALUE"""),"Saipos Serviços De Software")</f>
        <v>Saipos Serviços De Software</v>
      </c>
      <c r="X6729" s="33">
        <f>IFERROR(__xludf.DUMMYFUNCTION("""COMPUTED_VALUE"""),1.0)</f>
        <v>1</v>
      </c>
    </row>
    <row r="6730">
      <c r="K6730" s="4" t="str">
        <f>IFERROR(__xludf.DUMMYFUNCTION("""COMPUTED_VALUE"""),"BURGER DIAS VILA ANDRADE")</f>
        <v>BURGER DIAS VILA ANDRADE</v>
      </c>
      <c r="L6730" s="32">
        <f>IFERROR(__xludf.DUMMYFUNCTION("""COMPUTED_VALUE"""),2.0)</f>
        <v>2</v>
      </c>
      <c r="M6730" s="4" t="str">
        <f>IFERROR(__xludf.DUMMYFUNCTION("""COMPUTED_VALUE"""),"Insert Code Informatica Ltda")</f>
        <v>Insert Code Informatica Ltda</v>
      </c>
      <c r="N6730" s="33">
        <f>IFERROR(__xludf.DUMMYFUNCTION("""COMPUTED_VALUE"""),1.0)</f>
        <v>1</v>
      </c>
      <c r="O6730" s="4" t="str">
        <f>IFERROR(__xludf.DUMMYFUNCTION("""COMPUTED_VALUE"""),"Insert Code Informatica Ltda")</f>
        <v>Insert Code Informatica Ltda</v>
      </c>
      <c r="P6730" s="33">
        <f>IFERROR(__xludf.DUMMYFUNCTION("""COMPUTED_VALUE"""),1.0)</f>
        <v>1</v>
      </c>
      <c r="Q6730" s="4" t="str">
        <f>IFERROR(__xludf.DUMMYFUNCTION("""COMPUTED_VALUE"""),"Insert Code Informatica Ltda")</f>
        <v>Insert Code Informatica Ltda</v>
      </c>
      <c r="R6730" s="33">
        <f>IFERROR(__xludf.DUMMYFUNCTION("""COMPUTED_VALUE"""),1.0)</f>
        <v>1</v>
      </c>
      <c r="S6730" s="4" t="str">
        <f>IFERROR(__xludf.DUMMYFUNCTION("""COMPUTED_VALUE"""),"Insert Code Informatica Ltda")</f>
        <v>Insert Code Informatica Ltda</v>
      </c>
      <c r="T6730" s="33">
        <f>IFERROR(__xludf.DUMMYFUNCTION("""COMPUTED_VALUE"""),1.0)</f>
        <v>1</v>
      </c>
      <c r="U6730" s="4" t="str">
        <f>IFERROR(__xludf.DUMMYFUNCTION("""COMPUTED_VALUE"""),"Insert Code Informatica Ltda")</f>
        <v>Insert Code Informatica Ltda</v>
      </c>
      <c r="V6730" s="33">
        <f>IFERROR(__xludf.DUMMYFUNCTION("""COMPUTED_VALUE"""),1.0)</f>
        <v>1</v>
      </c>
      <c r="W6730" s="4" t="str">
        <f>IFERROR(__xludf.DUMMYFUNCTION("""COMPUTED_VALUE"""),"Insert Code Informatica Ltda")</f>
        <v>Insert Code Informatica Ltda</v>
      </c>
      <c r="X6730" s="33">
        <f>IFERROR(__xludf.DUMMYFUNCTION("""COMPUTED_VALUE"""),1.0)</f>
        <v>1</v>
      </c>
    </row>
    <row r="6731">
      <c r="K6731" s="4" t="str">
        <f>IFERROR(__xludf.DUMMYFUNCTION("""COMPUTED_VALUE"""),"BURGER SHOP HAMBURGUERIA - MARCA")</f>
        <v>BURGER SHOP HAMBURGUERIA - MARCA</v>
      </c>
      <c r="L6731" s="32">
        <f>IFERROR(__xludf.DUMMYFUNCTION("""COMPUTED_VALUE"""),2.0)</f>
        <v>2</v>
      </c>
      <c r="M6731" s="4" t="str">
        <f>IFERROR(__xludf.DUMMYFUNCTION("""COMPUTED_VALUE"""),"null")</f>
        <v>null</v>
      </c>
      <c r="N6731" s="33">
        <f>IFERROR(__xludf.DUMMYFUNCTION("""COMPUTED_VALUE"""),0.5)</f>
        <v>0.5</v>
      </c>
      <c r="O6731" s="4" t="str">
        <f>IFERROR(__xludf.DUMMYFUNCTION("""COMPUTED_VALUE"""),"Consumer Soluções Em Tecnologia Ltda")</f>
        <v>Consumer Soluções Em Tecnologia Ltda</v>
      </c>
      <c r="P6731" s="33">
        <f>IFERROR(__xludf.DUMMYFUNCTION("""COMPUTED_VALUE"""),0.5)</f>
        <v>0.5</v>
      </c>
      <c r="Q6731" s="4" t="str">
        <f>IFERROR(__xludf.DUMMYFUNCTION("""COMPUTED_VALUE"""),"null")</f>
        <v>null</v>
      </c>
      <c r="R6731" s="33">
        <f>IFERROR(__xludf.DUMMYFUNCTION("""COMPUTED_VALUE"""),0.5)</f>
        <v>0.5</v>
      </c>
      <c r="S6731" s="4" t="str">
        <f>IFERROR(__xludf.DUMMYFUNCTION("""COMPUTED_VALUE"""),"null")</f>
        <v>null</v>
      </c>
      <c r="T6731" s="33">
        <f>IFERROR(__xludf.DUMMYFUNCTION("""COMPUTED_VALUE"""),1.0)</f>
        <v>1</v>
      </c>
      <c r="U6731" s="4" t="str">
        <f>IFERROR(__xludf.DUMMYFUNCTION("""COMPUTED_VALUE"""),"null")</f>
        <v>null</v>
      </c>
      <c r="V6731" s="33">
        <f>IFERROR(__xludf.DUMMYFUNCTION("""COMPUTED_VALUE"""),0.5)</f>
        <v>0.5</v>
      </c>
      <c r="W6731" s="4" t="str">
        <f>IFERROR(__xludf.DUMMYFUNCTION("""COMPUTED_VALUE"""),"Consumer Soluções Em Tecnologia Ltda")</f>
        <v>Consumer Soluções Em Tecnologia Ltda</v>
      </c>
      <c r="X6731" s="33">
        <f>IFERROR(__xludf.DUMMYFUNCTION("""COMPUTED_VALUE"""),1.0)</f>
        <v>1</v>
      </c>
    </row>
    <row r="6732">
      <c r="K6732" s="4" t="str">
        <f>IFERROR(__xludf.DUMMYFUNCTION("""COMPUTED_VALUE"""),"BURGERS BURGERS -MANAUS")</f>
        <v>BURGERS BURGERS -MANAUS</v>
      </c>
      <c r="L6732" s="32">
        <f>IFERROR(__xludf.DUMMYFUNCTION("""COMPUTED_VALUE"""),2.0)</f>
        <v>2</v>
      </c>
      <c r="M6732" s="4" t="str">
        <f>IFERROR(__xludf.DUMMYFUNCTION("""COMPUTED_VALUE"""),"Saipos Serviços De Software")</f>
        <v>Saipos Serviços De Software</v>
      </c>
      <c r="N6732" s="33">
        <f>IFERROR(__xludf.DUMMYFUNCTION("""COMPUTED_VALUE"""),0.5)</f>
        <v>0.5</v>
      </c>
      <c r="O6732" s="4" t="str">
        <f>IFERROR(__xludf.DUMMYFUNCTION("""COMPUTED_VALUE"""),"Saipos Serviços De Software")</f>
        <v>Saipos Serviços De Software</v>
      </c>
      <c r="P6732" s="33">
        <f>IFERROR(__xludf.DUMMYFUNCTION("""COMPUTED_VALUE"""),0.5)</f>
        <v>0.5</v>
      </c>
      <c r="Q6732" s="4" t="str">
        <f>IFERROR(__xludf.DUMMYFUNCTION("""COMPUTED_VALUE"""),"Saipos Serviços De Software")</f>
        <v>Saipos Serviços De Software</v>
      </c>
      <c r="R6732" s="33">
        <f>IFERROR(__xludf.DUMMYFUNCTION("""COMPUTED_VALUE"""),1.0)</f>
        <v>1</v>
      </c>
      <c r="S6732" s="4" t="str">
        <f>IFERROR(__xludf.DUMMYFUNCTION("""COMPUTED_VALUE"""),"Saipos Serviços De Software")</f>
        <v>Saipos Serviços De Software</v>
      </c>
      <c r="T6732" s="33">
        <f>IFERROR(__xludf.DUMMYFUNCTION("""COMPUTED_VALUE"""),1.0)</f>
        <v>1</v>
      </c>
      <c r="U6732" s="4" t="str">
        <f>IFERROR(__xludf.DUMMYFUNCTION("""COMPUTED_VALUE"""),"Saipos Serviços De Software")</f>
        <v>Saipos Serviços De Software</v>
      </c>
      <c r="V6732" s="33">
        <f>IFERROR(__xludf.DUMMYFUNCTION("""COMPUTED_VALUE"""),1.0)</f>
        <v>1</v>
      </c>
      <c r="W6732" s="4" t="str">
        <f>IFERROR(__xludf.DUMMYFUNCTION("""COMPUTED_VALUE"""),"Saipos Serviços De Software")</f>
        <v>Saipos Serviços De Software</v>
      </c>
      <c r="X6732" s="33">
        <f>IFERROR(__xludf.DUMMYFUNCTION("""COMPUTED_VALUE"""),1.0)</f>
        <v>1</v>
      </c>
    </row>
    <row r="6733">
      <c r="K6733" s="4" t="str">
        <f>IFERROR(__xludf.DUMMYFUNCTION("""COMPUTED_VALUE"""),"BURGUER K10 - SANTANA")</f>
        <v>BURGUER K10 - SANTANA</v>
      </c>
      <c r="L6733" s="32">
        <f>IFERROR(__xludf.DUMMYFUNCTION("""COMPUTED_VALUE"""),2.0)</f>
        <v>2</v>
      </c>
      <c r="M6733" s="4" t="str">
        <f>IFERROR(__xludf.DUMMYFUNCTION("""COMPUTED_VALUE"""),"Saipos Serviços De Software")</f>
        <v>Saipos Serviços De Software</v>
      </c>
      <c r="N6733" s="33">
        <f>IFERROR(__xludf.DUMMYFUNCTION("""COMPUTED_VALUE"""),1.0)</f>
        <v>1</v>
      </c>
      <c r="O6733" s="4" t="str">
        <f>IFERROR(__xludf.DUMMYFUNCTION("""COMPUTED_VALUE"""),"Saipos Serviços De Software")</f>
        <v>Saipos Serviços De Software</v>
      </c>
      <c r="P6733" s="33">
        <f>IFERROR(__xludf.DUMMYFUNCTION("""COMPUTED_VALUE"""),1.0)</f>
        <v>1</v>
      </c>
      <c r="Q6733" s="4" t="str">
        <f>IFERROR(__xludf.DUMMYFUNCTION("""COMPUTED_VALUE"""),"Saipos Serviços De Software")</f>
        <v>Saipos Serviços De Software</v>
      </c>
      <c r="R6733" s="33">
        <f>IFERROR(__xludf.DUMMYFUNCTION("""COMPUTED_VALUE"""),1.0)</f>
        <v>1</v>
      </c>
      <c r="S6733" s="4" t="str">
        <f>IFERROR(__xludf.DUMMYFUNCTION("""COMPUTED_VALUE"""),"Saipos Serviços De Software")</f>
        <v>Saipos Serviços De Software</v>
      </c>
      <c r="T6733" s="33">
        <f>IFERROR(__xludf.DUMMYFUNCTION("""COMPUTED_VALUE"""),1.0)</f>
        <v>1</v>
      </c>
      <c r="U6733" s="4" t="str">
        <f>IFERROR(__xludf.DUMMYFUNCTION("""COMPUTED_VALUE"""),"Saipos Serviços De Software")</f>
        <v>Saipos Serviços De Software</v>
      </c>
      <c r="V6733" s="33">
        <f>IFERROR(__xludf.DUMMYFUNCTION("""COMPUTED_VALUE"""),1.0)</f>
        <v>1</v>
      </c>
      <c r="W6733" s="4" t="str">
        <f>IFERROR(__xludf.DUMMYFUNCTION("""COMPUTED_VALUE"""),"null")</f>
        <v>null</v>
      </c>
      <c r="X6733" s="33">
        <f>IFERROR(__xludf.DUMMYFUNCTION("""COMPUTED_VALUE"""),1.0)</f>
        <v>1</v>
      </c>
    </row>
    <row r="6734">
      <c r="K6734" s="4" t="str">
        <f>IFERROR(__xludf.DUMMYFUNCTION("""COMPUTED_VALUE"""),"BURGUEZADA - CONTA PAI")</f>
        <v>BURGUEZADA - CONTA PAI</v>
      </c>
      <c r="L6734" s="32">
        <f>IFERROR(__xludf.DUMMYFUNCTION("""COMPUTED_VALUE"""),2.0)</f>
        <v>2</v>
      </c>
      <c r="M6734" s="4" t="str">
        <f>IFERROR(__xludf.DUMMYFUNCTION("""COMPUTED_VALUE"""),"Suitable Tecnologia E Gestao")</f>
        <v>Suitable Tecnologia E Gestao</v>
      </c>
      <c r="N6734" s="33">
        <f>IFERROR(__xludf.DUMMYFUNCTION("""COMPUTED_VALUE"""),0.5)</f>
        <v>0.5</v>
      </c>
      <c r="O6734" s="4" t="str">
        <f>IFERROR(__xludf.DUMMYFUNCTION("""COMPUTED_VALUE"""),"Suitable Tecnologia E Gestao")</f>
        <v>Suitable Tecnologia E Gestao</v>
      </c>
      <c r="P6734" s="33">
        <f>IFERROR(__xludf.DUMMYFUNCTION("""COMPUTED_VALUE"""),0.5)</f>
        <v>0.5</v>
      </c>
      <c r="Q6734" s="4" t="str">
        <f>IFERROR(__xludf.DUMMYFUNCTION("""COMPUTED_VALUE"""),"Suitable Tecnologia E Gestao")</f>
        <v>Suitable Tecnologia E Gestao</v>
      </c>
      <c r="R6734" s="33">
        <f>IFERROR(__xludf.DUMMYFUNCTION("""COMPUTED_VALUE"""),0.5)</f>
        <v>0.5</v>
      </c>
      <c r="S6734" s="4" t="str">
        <f>IFERROR(__xludf.DUMMYFUNCTION("""COMPUTED_VALUE"""),"Suitable Tecnologia E Gestao")</f>
        <v>Suitable Tecnologia E Gestao</v>
      </c>
      <c r="T6734" s="33">
        <f>IFERROR(__xludf.DUMMYFUNCTION("""COMPUTED_VALUE"""),0.5)</f>
        <v>0.5</v>
      </c>
      <c r="U6734" s="4" t="str">
        <f>IFERROR(__xludf.DUMMYFUNCTION("""COMPUTED_VALUE"""),"Suitable Tecnologia E Gestao")</f>
        <v>Suitable Tecnologia E Gestao</v>
      </c>
      <c r="V6734" s="33">
        <f>IFERROR(__xludf.DUMMYFUNCTION("""COMPUTED_VALUE"""),0.5)</f>
        <v>0.5</v>
      </c>
      <c r="W6734" s="4" t="str">
        <f>IFERROR(__xludf.DUMMYFUNCTION("""COMPUTED_VALUE"""),"Instadelivery")</f>
        <v>Instadelivery</v>
      </c>
      <c r="X6734" s="33">
        <f>IFERROR(__xludf.DUMMYFUNCTION("""COMPUTED_VALUE"""),1.0)</f>
        <v>1</v>
      </c>
    </row>
    <row r="6735">
      <c r="K6735" s="4" t="str">
        <f>IFERROR(__xludf.DUMMYFUNCTION("""COMPUTED_VALUE"""),"BURRITO EXPRESS TAUBATE")</f>
        <v>BURRITO EXPRESS TAUBATE</v>
      </c>
      <c r="L6735" s="32">
        <f>IFERROR(__xludf.DUMMYFUNCTION("""COMPUTED_VALUE"""),2.0)</f>
        <v>2</v>
      </c>
      <c r="M6735" s="4" t="str">
        <f>IFERROR(__xludf.DUMMYFUNCTION("""COMPUTED_VALUE"""),"Saipos Serviços De Software")</f>
        <v>Saipos Serviços De Software</v>
      </c>
      <c r="N6735" s="33">
        <f>IFERROR(__xludf.DUMMYFUNCTION("""COMPUTED_VALUE"""),1.0)</f>
        <v>1</v>
      </c>
      <c r="O6735" s="4" t="str">
        <f>IFERROR(__xludf.DUMMYFUNCTION("""COMPUTED_VALUE"""),"Saipos Serviços De Software")</f>
        <v>Saipos Serviços De Software</v>
      </c>
      <c r="P6735" s="33">
        <f>IFERROR(__xludf.DUMMYFUNCTION("""COMPUTED_VALUE"""),1.0)</f>
        <v>1</v>
      </c>
      <c r="Q6735" s="4" t="str">
        <f>IFERROR(__xludf.DUMMYFUNCTION("""COMPUTED_VALUE"""),"Saipos Serviços De Software")</f>
        <v>Saipos Serviços De Software</v>
      </c>
      <c r="R6735" s="33">
        <f>IFERROR(__xludf.DUMMYFUNCTION("""COMPUTED_VALUE"""),1.0)</f>
        <v>1</v>
      </c>
      <c r="S6735" s="4" t="str">
        <f>IFERROR(__xludf.DUMMYFUNCTION("""COMPUTED_VALUE"""),"Saipos Serviços De Software")</f>
        <v>Saipos Serviços De Software</v>
      </c>
      <c r="T6735" s="33">
        <f>IFERROR(__xludf.DUMMYFUNCTION("""COMPUTED_VALUE"""),1.0)</f>
        <v>1</v>
      </c>
      <c r="U6735" s="4" t="str">
        <f>IFERROR(__xludf.DUMMYFUNCTION("""COMPUTED_VALUE"""),"Saipos Serviços De Software")</f>
        <v>Saipos Serviços De Software</v>
      </c>
      <c r="V6735" s="33">
        <f>IFERROR(__xludf.DUMMYFUNCTION("""COMPUTED_VALUE"""),1.0)</f>
        <v>1</v>
      </c>
      <c r="W6735" s="4" t="str">
        <f>IFERROR(__xludf.DUMMYFUNCTION("""COMPUTED_VALUE"""),"Saipos Serviços De Software")</f>
        <v>Saipos Serviços De Software</v>
      </c>
      <c r="X6735" s="33">
        <f>IFERROR(__xludf.DUMMYFUNCTION("""COMPUTED_VALUE"""),1.0)</f>
        <v>1</v>
      </c>
    </row>
    <row r="6736">
      <c r="K6736" s="4" t="str">
        <f>IFERROR(__xludf.DUMMYFUNCTION("""COMPUTED_VALUE"""),"BUTECO DO FORTAO")</f>
        <v>BUTECO DO FORTAO</v>
      </c>
      <c r="L6736" s="32">
        <f>IFERROR(__xludf.DUMMYFUNCTION("""COMPUTED_VALUE"""),2.0)</f>
        <v>2</v>
      </c>
      <c r="M6736" s="4" t="str">
        <f>IFERROR(__xludf.DUMMYFUNCTION("""COMPUTED_VALUE"""),"null")</f>
        <v>null</v>
      </c>
      <c r="N6736" s="33">
        <f>IFERROR(__xludf.DUMMYFUNCTION("""COMPUTED_VALUE"""),1.0)</f>
        <v>1</v>
      </c>
      <c r="O6736" s="4" t="str">
        <f>IFERROR(__xludf.DUMMYFUNCTION("""COMPUTED_VALUE"""),"null")</f>
        <v>null</v>
      </c>
      <c r="P6736" s="33">
        <f>IFERROR(__xludf.DUMMYFUNCTION("""COMPUTED_VALUE"""),1.0)</f>
        <v>1</v>
      </c>
      <c r="Q6736" s="4" t="str">
        <f>IFERROR(__xludf.DUMMYFUNCTION("""COMPUTED_VALUE"""),"Ncr")</f>
        <v>Ncr</v>
      </c>
      <c r="R6736" s="33">
        <f>IFERROR(__xludf.DUMMYFUNCTION("""COMPUTED_VALUE"""),1.0)</f>
        <v>1</v>
      </c>
      <c r="S6736" s="4" t="str">
        <f>IFERROR(__xludf.DUMMYFUNCTION("""COMPUTED_VALUE"""),"null")</f>
        <v>null</v>
      </c>
      <c r="T6736" s="33">
        <f>IFERROR(__xludf.DUMMYFUNCTION("""COMPUTED_VALUE"""),0.5)</f>
        <v>0.5</v>
      </c>
      <c r="U6736" s="4" t="str">
        <f>IFERROR(__xludf.DUMMYFUNCTION("""COMPUTED_VALUE"""),"Ncr")</f>
        <v>Ncr</v>
      </c>
      <c r="V6736" s="33">
        <f>IFERROR(__xludf.DUMMYFUNCTION("""COMPUTED_VALUE"""),0.5)</f>
        <v>0.5</v>
      </c>
      <c r="W6736" s="4" t="str">
        <f>IFERROR(__xludf.DUMMYFUNCTION("""COMPUTED_VALUE"""),"null")</f>
        <v>null</v>
      </c>
      <c r="X6736" s="33">
        <f>IFERROR(__xludf.DUMMYFUNCTION("""COMPUTED_VALUE"""),1.0)</f>
        <v>1</v>
      </c>
    </row>
    <row r="6737">
      <c r="K6737" s="4" t="str">
        <f>IFERROR(__xludf.DUMMYFUNCTION("""COMPUTED_VALUE"""),"BUZINA BURGERS")</f>
        <v>BUZINA BURGERS</v>
      </c>
      <c r="L6737" s="32">
        <f>IFERROR(__xludf.DUMMYFUNCTION("""COMPUTED_VALUE"""),2.0)</f>
        <v>2</v>
      </c>
      <c r="M6737" s="4" t="str">
        <f>IFERROR(__xludf.DUMMYFUNCTION("""COMPUTED_VALUE"""),"Hubster")</f>
        <v>Hubster</v>
      </c>
      <c r="N6737" s="33">
        <f>IFERROR(__xludf.DUMMYFUNCTION("""COMPUTED_VALUE"""),1.0)</f>
        <v>1</v>
      </c>
      <c r="O6737" s="4" t="str">
        <f>IFERROR(__xludf.DUMMYFUNCTION("""COMPUTED_VALUE"""),"Hubster")</f>
        <v>Hubster</v>
      </c>
      <c r="P6737" s="33">
        <f>IFERROR(__xludf.DUMMYFUNCTION("""COMPUTED_VALUE"""),1.0)</f>
        <v>1</v>
      </c>
      <c r="Q6737" s="4" t="str">
        <f>IFERROR(__xludf.DUMMYFUNCTION("""COMPUTED_VALUE"""),"Hubster")</f>
        <v>Hubster</v>
      </c>
      <c r="R6737" s="33">
        <f>IFERROR(__xludf.DUMMYFUNCTION("""COMPUTED_VALUE"""),1.0)</f>
        <v>1</v>
      </c>
      <c r="S6737" s="4" t="str">
        <f>IFERROR(__xludf.DUMMYFUNCTION("""COMPUTED_VALUE"""),"Hubster")</f>
        <v>Hubster</v>
      </c>
      <c r="T6737" s="33">
        <f>IFERROR(__xludf.DUMMYFUNCTION("""COMPUTED_VALUE"""),1.0)</f>
        <v>1</v>
      </c>
      <c r="U6737" s="4" t="str">
        <f>IFERROR(__xludf.DUMMYFUNCTION("""COMPUTED_VALUE"""),"Hubster")</f>
        <v>Hubster</v>
      </c>
      <c r="V6737" s="33">
        <f>IFERROR(__xludf.DUMMYFUNCTION("""COMPUTED_VALUE"""),1.0)</f>
        <v>1</v>
      </c>
      <c r="W6737" s="4" t="str">
        <f>IFERROR(__xludf.DUMMYFUNCTION("""COMPUTED_VALUE"""),"Hubster")</f>
        <v>Hubster</v>
      </c>
      <c r="X6737" s="33">
        <f>IFERROR(__xludf.DUMMYFUNCTION("""COMPUTED_VALUE"""),1.0)</f>
        <v>1</v>
      </c>
    </row>
    <row r="6738">
      <c r="K6738" s="4" t="str">
        <f>IFERROR(__xludf.DUMMYFUNCTION("""COMPUTED_VALUE"""),"GRUPO BUZINA")</f>
        <v>GRUPO BUZINA</v>
      </c>
      <c r="L6738" s="32">
        <f>IFERROR(__xludf.DUMMYFUNCTION("""COMPUTED_VALUE"""),2.0)</f>
        <v>2</v>
      </c>
      <c r="M6738" s="4" t="str">
        <f>IFERROR(__xludf.DUMMYFUNCTION("""COMPUTED_VALUE"""),"Hubster")</f>
        <v>Hubster</v>
      </c>
      <c r="N6738" s="33">
        <f>IFERROR(__xludf.DUMMYFUNCTION("""COMPUTED_VALUE"""),1.0)</f>
        <v>1</v>
      </c>
      <c r="O6738" s="4" t="str">
        <f>IFERROR(__xludf.DUMMYFUNCTION("""COMPUTED_VALUE"""),"Hubster")</f>
        <v>Hubster</v>
      </c>
      <c r="P6738" s="33">
        <f>IFERROR(__xludf.DUMMYFUNCTION("""COMPUTED_VALUE"""),1.0)</f>
        <v>1</v>
      </c>
      <c r="Q6738" s="4" t="str">
        <f>IFERROR(__xludf.DUMMYFUNCTION("""COMPUTED_VALUE"""),"Hubster")</f>
        <v>Hubster</v>
      </c>
      <c r="R6738" s="33">
        <f>IFERROR(__xludf.DUMMYFUNCTION("""COMPUTED_VALUE"""),1.0)</f>
        <v>1</v>
      </c>
      <c r="S6738" s="4" t="str">
        <f>IFERROR(__xludf.DUMMYFUNCTION("""COMPUTED_VALUE"""),"Hubster")</f>
        <v>Hubster</v>
      </c>
      <c r="T6738" s="33">
        <f>IFERROR(__xludf.DUMMYFUNCTION("""COMPUTED_VALUE"""),1.0)</f>
        <v>1</v>
      </c>
      <c r="U6738" s="4" t="str">
        <f>IFERROR(__xludf.DUMMYFUNCTION("""COMPUTED_VALUE"""),"Hubster")</f>
        <v>Hubster</v>
      </c>
      <c r="V6738" s="33">
        <f>IFERROR(__xludf.DUMMYFUNCTION("""COMPUTED_VALUE"""),1.0)</f>
        <v>1</v>
      </c>
      <c r="W6738" s="4" t="str">
        <f>IFERROR(__xludf.DUMMYFUNCTION("""COMPUTED_VALUE"""),"Hubster")</f>
        <v>Hubster</v>
      </c>
      <c r="X6738" s="33">
        <f>IFERROR(__xludf.DUMMYFUNCTION("""COMPUTED_VALUE"""),1.0)</f>
        <v>1</v>
      </c>
    </row>
    <row r="6739">
      <c r="K6739" s="4" t="str">
        <f>IFERROR(__xludf.DUMMYFUNCTION("""COMPUTED_VALUE"""),"BUZZ BURGERS")</f>
        <v>BUZZ BURGERS</v>
      </c>
      <c r="L6739" s="32">
        <f>IFERROR(__xludf.DUMMYFUNCTION("""COMPUTED_VALUE"""),2.0)</f>
        <v>2</v>
      </c>
      <c r="M6739" s="4" t="str">
        <f>IFERROR(__xludf.DUMMYFUNCTION("""COMPUTED_VALUE"""),"Consumer Soluções Em Tecnologia Ltda")</f>
        <v>Consumer Soluções Em Tecnologia Ltda</v>
      </c>
      <c r="N6739" s="33">
        <f>IFERROR(__xludf.DUMMYFUNCTION("""COMPUTED_VALUE"""),1.0)</f>
        <v>1</v>
      </c>
      <c r="O6739" s="4" t="str">
        <f>IFERROR(__xludf.DUMMYFUNCTION("""COMPUTED_VALUE"""),"Consumer Soluções Em Tecnologia Ltda")</f>
        <v>Consumer Soluções Em Tecnologia Ltda</v>
      </c>
      <c r="P6739" s="33">
        <f>IFERROR(__xludf.DUMMYFUNCTION("""COMPUTED_VALUE"""),1.0)</f>
        <v>1</v>
      </c>
      <c r="Q6739" s="4" t="str">
        <f>IFERROR(__xludf.DUMMYFUNCTION("""COMPUTED_VALUE"""),"Consumer Soluções Em Tecnologia Ltda")</f>
        <v>Consumer Soluções Em Tecnologia Ltda</v>
      </c>
      <c r="R6739" s="33">
        <f>IFERROR(__xludf.DUMMYFUNCTION("""COMPUTED_VALUE"""),1.0)</f>
        <v>1</v>
      </c>
      <c r="S6739" s="4" t="str">
        <f>IFERROR(__xludf.DUMMYFUNCTION("""COMPUTED_VALUE"""),"Consumer Soluções Em Tecnologia Ltda")</f>
        <v>Consumer Soluções Em Tecnologia Ltda</v>
      </c>
      <c r="T6739" s="33">
        <f>IFERROR(__xludf.DUMMYFUNCTION("""COMPUTED_VALUE"""),1.0)</f>
        <v>1</v>
      </c>
      <c r="U6739" s="4" t="str">
        <f>IFERROR(__xludf.DUMMYFUNCTION("""COMPUTED_VALUE"""),"Consumer Soluções Em Tecnologia Ltda")</f>
        <v>Consumer Soluções Em Tecnologia Ltda</v>
      </c>
      <c r="V6739" s="33">
        <f>IFERROR(__xludf.DUMMYFUNCTION("""COMPUTED_VALUE"""),1.0)</f>
        <v>1</v>
      </c>
      <c r="W6739" s="4" t="str">
        <f>IFERROR(__xludf.DUMMYFUNCTION("""COMPUTED_VALUE"""),"Consumer Soluções Em Tecnologia Ltda")</f>
        <v>Consumer Soluções Em Tecnologia Ltda</v>
      </c>
      <c r="X6739" s="33">
        <f>IFERROR(__xludf.DUMMYFUNCTION("""COMPUTED_VALUE"""),1.0)</f>
        <v>1</v>
      </c>
    </row>
    <row r="6740">
      <c r="K6740" s="4" t="str">
        <f>IFERROR(__xludf.DUMMYFUNCTION("""COMPUTED_VALUE"""),"C3 BURGUER - CONTA PAI")</f>
        <v>C3 BURGUER - CONTA PAI</v>
      </c>
      <c r="L6740" s="32">
        <f>IFERROR(__xludf.DUMMYFUNCTION("""COMPUTED_VALUE"""),2.0)</f>
        <v>2</v>
      </c>
      <c r="M6740" s="4" t="str">
        <f>IFERROR(__xludf.DUMMYFUNCTION("""COMPUTED_VALUE"""),"Anota Ai Solucoes Digitais S/a")</f>
        <v>Anota Ai Solucoes Digitais S/a</v>
      </c>
      <c r="N6740" s="33">
        <f>IFERROR(__xludf.DUMMYFUNCTION("""COMPUTED_VALUE"""),1.0)</f>
        <v>1</v>
      </c>
      <c r="O6740" s="4" t="str">
        <f>IFERROR(__xludf.DUMMYFUNCTION("""COMPUTED_VALUE"""),"Anota Ai Solucoes Digitais S/a")</f>
        <v>Anota Ai Solucoes Digitais S/a</v>
      </c>
      <c r="P6740" s="33">
        <f>IFERROR(__xludf.DUMMYFUNCTION("""COMPUTED_VALUE"""),1.0)</f>
        <v>1</v>
      </c>
      <c r="Q6740" s="4" t="str">
        <f>IFERROR(__xludf.DUMMYFUNCTION("""COMPUTED_VALUE"""),"Anota Ai Solucoes Digitais S/a")</f>
        <v>Anota Ai Solucoes Digitais S/a</v>
      </c>
      <c r="R6740" s="33">
        <f>IFERROR(__xludf.DUMMYFUNCTION("""COMPUTED_VALUE"""),1.0)</f>
        <v>1</v>
      </c>
      <c r="S6740" s="4" t="str">
        <f>IFERROR(__xludf.DUMMYFUNCTION("""COMPUTED_VALUE"""),"Anota Ai Solucoes Digitais S/a")</f>
        <v>Anota Ai Solucoes Digitais S/a</v>
      </c>
      <c r="T6740" s="33">
        <f>IFERROR(__xludf.DUMMYFUNCTION("""COMPUTED_VALUE"""),1.0)</f>
        <v>1</v>
      </c>
      <c r="U6740" s="4" t="str">
        <f>IFERROR(__xludf.DUMMYFUNCTION("""COMPUTED_VALUE"""),"Anota Ai Solucoes Digitais S/a")</f>
        <v>Anota Ai Solucoes Digitais S/a</v>
      </c>
      <c r="V6740" s="33">
        <f>IFERROR(__xludf.DUMMYFUNCTION("""COMPUTED_VALUE"""),1.0)</f>
        <v>1</v>
      </c>
      <c r="W6740" s="4" t="str">
        <f>IFERROR(__xludf.DUMMYFUNCTION("""COMPUTED_VALUE"""),"Anota Ai Solucoes Digitais S/a")</f>
        <v>Anota Ai Solucoes Digitais S/a</v>
      </c>
      <c r="X6740" s="33">
        <f>IFERROR(__xludf.DUMMYFUNCTION("""COMPUTED_VALUE"""),1.0)</f>
        <v>1</v>
      </c>
    </row>
    <row r="6741">
      <c r="K6741" s="4" t="str">
        <f>IFERROR(__xludf.DUMMYFUNCTION("""COMPUTED_VALUE"""),"CABANA BAR E RESTAURANTE LTDA")</f>
        <v>CABANA BAR E RESTAURANTE LTDA</v>
      </c>
      <c r="L6741" s="32">
        <f>IFERROR(__xludf.DUMMYFUNCTION("""COMPUTED_VALUE"""),2.0)</f>
        <v>2</v>
      </c>
      <c r="M6741" s="4" t="str">
        <f>IFERROR(__xludf.DUMMYFUNCTION("""COMPUTED_VALUE"""),"Sistema Pallas")</f>
        <v>Sistema Pallas</v>
      </c>
      <c r="N6741" s="33">
        <f>IFERROR(__xludf.DUMMYFUNCTION("""COMPUTED_VALUE"""),0.5)</f>
        <v>0.5</v>
      </c>
      <c r="O6741" s="4" t="str">
        <f>IFERROR(__xludf.DUMMYFUNCTION("""COMPUTED_VALUE"""),"Sistema Pallas")</f>
        <v>Sistema Pallas</v>
      </c>
      <c r="P6741" s="33">
        <f>IFERROR(__xludf.DUMMYFUNCTION("""COMPUTED_VALUE"""),0.5)</f>
        <v>0.5</v>
      </c>
      <c r="Q6741" s="4" t="str">
        <f>IFERROR(__xludf.DUMMYFUNCTION("""COMPUTED_VALUE"""),"Sistema Pallas")</f>
        <v>Sistema Pallas</v>
      </c>
      <c r="R6741" s="33">
        <f>IFERROR(__xludf.DUMMYFUNCTION("""COMPUTED_VALUE"""),0.5)</f>
        <v>0.5</v>
      </c>
      <c r="S6741" s="4" t="str">
        <f>IFERROR(__xludf.DUMMYFUNCTION("""COMPUTED_VALUE"""),"Saipos Serviços De Software")</f>
        <v>Saipos Serviços De Software</v>
      </c>
      <c r="T6741" s="33">
        <f>IFERROR(__xludf.DUMMYFUNCTION("""COMPUTED_VALUE"""),1.0)</f>
        <v>1</v>
      </c>
      <c r="U6741" s="4" t="str">
        <f>IFERROR(__xludf.DUMMYFUNCTION("""COMPUTED_VALUE"""),"Saipos Serviços De Software")</f>
        <v>Saipos Serviços De Software</v>
      </c>
      <c r="V6741" s="33">
        <f>IFERROR(__xludf.DUMMYFUNCTION("""COMPUTED_VALUE"""),1.0)</f>
        <v>1</v>
      </c>
      <c r="W6741" s="4" t="str">
        <f>IFERROR(__xludf.DUMMYFUNCTION("""COMPUTED_VALUE"""),"Saipos Serviços De Software")</f>
        <v>Saipos Serviços De Software</v>
      </c>
      <c r="X6741" s="33">
        <f>IFERROR(__xludf.DUMMYFUNCTION("""COMPUTED_VALUE"""),1.0)</f>
        <v>1</v>
      </c>
    </row>
    <row r="6742">
      <c r="K6742" s="4" t="str">
        <f>IFERROR(__xludf.DUMMYFUNCTION("""COMPUTED_VALUE"""),"CABOCA PIZZA REGIONAL")</f>
        <v>CABOCA PIZZA REGIONAL</v>
      </c>
      <c r="L6742" s="32">
        <f>IFERROR(__xludf.DUMMYFUNCTION("""COMPUTED_VALUE"""),2.0)</f>
        <v>2</v>
      </c>
      <c r="M6742" s="4" t="str">
        <f>IFERROR(__xludf.DUMMYFUNCTION("""COMPUTED_VALUE"""),"Saipos Serviços De Software")</f>
        <v>Saipos Serviços De Software</v>
      </c>
      <c r="N6742" s="33">
        <f>IFERROR(__xludf.DUMMYFUNCTION("""COMPUTED_VALUE"""),1.0)</f>
        <v>1</v>
      </c>
      <c r="O6742" s="4" t="str">
        <f>IFERROR(__xludf.DUMMYFUNCTION("""COMPUTED_VALUE"""),"Saipos Serviços De Software")</f>
        <v>Saipos Serviços De Software</v>
      </c>
      <c r="P6742" s="33">
        <f>IFERROR(__xludf.DUMMYFUNCTION("""COMPUTED_VALUE"""),1.0)</f>
        <v>1</v>
      </c>
      <c r="Q6742" s="4" t="str">
        <f>IFERROR(__xludf.DUMMYFUNCTION("""COMPUTED_VALUE"""),"Saipos Serviços De Software")</f>
        <v>Saipos Serviços De Software</v>
      </c>
      <c r="R6742" s="33">
        <f>IFERROR(__xludf.DUMMYFUNCTION("""COMPUTED_VALUE"""),1.0)</f>
        <v>1</v>
      </c>
      <c r="S6742" s="4" t="str">
        <f>IFERROR(__xludf.DUMMYFUNCTION("""COMPUTED_VALUE"""),"null")</f>
        <v>null</v>
      </c>
      <c r="T6742" s="33">
        <f>IFERROR(__xludf.DUMMYFUNCTION("""COMPUTED_VALUE"""),1.0)</f>
        <v>1</v>
      </c>
      <c r="U6742" s="4" t="str">
        <f>IFERROR(__xludf.DUMMYFUNCTION("""COMPUTED_VALUE"""),"null")</f>
        <v>null</v>
      </c>
      <c r="V6742" s="33">
        <f>IFERROR(__xludf.DUMMYFUNCTION("""COMPUTED_VALUE"""),1.0)</f>
        <v>1</v>
      </c>
      <c r="W6742" s="4" t="str">
        <f>IFERROR(__xludf.DUMMYFUNCTION("""COMPUTED_VALUE"""),"null")</f>
        <v>null</v>
      </c>
      <c r="X6742" s="33">
        <f>IFERROR(__xludf.DUMMYFUNCTION("""COMPUTED_VALUE"""),1.0)</f>
        <v>1</v>
      </c>
    </row>
    <row r="6743">
      <c r="K6743" s="4" t="str">
        <f>IFERROR(__xludf.DUMMYFUNCTION("""COMPUTED_VALUE"""),"CACHORRO QUENTE DO ZE MANAIRA - CONTA PAI")</f>
        <v>CACHORRO QUENTE DO ZE MANAIRA - CONTA PAI</v>
      </c>
      <c r="L6743" s="32">
        <f>IFERROR(__xludf.DUMMYFUNCTION("""COMPUTED_VALUE"""),2.0)</f>
        <v>2</v>
      </c>
      <c r="M6743" s="4" t="str">
        <f>IFERROR(__xludf.DUMMYFUNCTION("""COMPUTED_VALUE"""),"Menew - Linx")</f>
        <v>Menew - Linx</v>
      </c>
      <c r="N6743" s="33">
        <f>IFERROR(__xludf.DUMMYFUNCTION("""COMPUTED_VALUE"""),0.5)</f>
        <v>0.5</v>
      </c>
      <c r="O6743" s="4" t="str">
        <f>IFERROR(__xludf.DUMMYFUNCTION("""COMPUTED_VALUE"""),"Menew - Linx")</f>
        <v>Menew - Linx</v>
      </c>
      <c r="P6743" s="33">
        <f>IFERROR(__xludf.DUMMYFUNCTION("""COMPUTED_VALUE"""),0.5)</f>
        <v>0.5</v>
      </c>
      <c r="Q6743" s="4" t="str">
        <f>IFERROR(__xludf.DUMMYFUNCTION("""COMPUTED_VALUE"""),"Menew - Linx")</f>
        <v>Menew - Linx</v>
      </c>
      <c r="R6743" s="33">
        <f>IFERROR(__xludf.DUMMYFUNCTION("""COMPUTED_VALUE"""),0.5)</f>
        <v>0.5</v>
      </c>
      <c r="S6743" s="4" t="str">
        <f>IFERROR(__xludf.DUMMYFUNCTION("""COMPUTED_VALUE"""),"null")</f>
        <v>null</v>
      </c>
      <c r="T6743" s="33">
        <f>IFERROR(__xludf.DUMMYFUNCTION("""COMPUTED_VALUE"""),0.5)</f>
        <v>0.5</v>
      </c>
      <c r="U6743" s="4" t="str">
        <f>IFERROR(__xludf.DUMMYFUNCTION("""COMPUTED_VALUE"""),"null")</f>
        <v>null</v>
      </c>
      <c r="V6743" s="33">
        <f>IFERROR(__xludf.DUMMYFUNCTION("""COMPUTED_VALUE"""),0.5)</f>
        <v>0.5</v>
      </c>
      <c r="W6743" s="4" t="str">
        <f>IFERROR(__xludf.DUMMYFUNCTION("""COMPUTED_VALUE"""),"Menew - Linx")</f>
        <v>Menew - Linx</v>
      </c>
      <c r="X6743" s="33">
        <f>IFERROR(__xludf.DUMMYFUNCTION("""COMPUTED_VALUE"""),0.5)</f>
        <v>0.5</v>
      </c>
    </row>
    <row r="6744">
      <c r="K6744" s="4" t="str">
        <f>IFERROR(__xludf.DUMMYFUNCTION("""COMPUTED_VALUE"""),"CAFE COM PIZZA - CONTA PAI")</f>
        <v>CAFE COM PIZZA - CONTA PAI</v>
      </c>
      <c r="L6744" s="32">
        <f>IFERROR(__xludf.DUMMYFUNCTION("""COMPUTED_VALUE"""),2.0)</f>
        <v>2</v>
      </c>
      <c r="M6744" s="4" t="str">
        <f>IFERROR(__xludf.DUMMYFUNCTION("""COMPUTED_VALUE"""),"null")</f>
        <v>null</v>
      </c>
      <c r="N6744" s="33">
        <f>IFERROR(__xludf.DUMMYFUNCTION("""COMPUTED_VALUE"""),0.5)</f>
        <v>0.5</v>
      </c>
      <c r="O6744" s="4" t="str">
        <f>IFERROR(__xludf.DUMMYFUNCTION("""COMPUTED_VALUE"""),"null")</f>
        <v>null</v>
      </c>
      <c r="P6744" s="33">
        <f>IFERROR(__xludf.DUMMYFUNCTION("""COMPUTED_VALUE"""),0.5)</f>
        <v>0.5</v>
      </c>
      <c r="Q6744" s="4" t="str">
        <f>IFERROR(__xludf.DUMMYFUNCTION("""COMPUTED_VALUE"""),"null")</f>
        <v>null</v>
      </c>
      <c r="R6744" s="33">
        <f>IFERROR(__xludf.DUMMYFUNCTION("""COMPUTED_VALUE"""),1.0)</f>
        <v>1</v>
      </c>
      <c r="S6744" s="4" t="str">
        <f>IFERROR(__xludf.DUMMYFUNCTION("""COMPUTED_VALUE"""),"null")</f>
        <v>null</v>
      </c>
      <c r="T6744" s="33">
        <f>IFERROR(__xludf.DUMMYFUNCTION("""COMPUTED_VALUE"""),0.5)</f>
        <v>0.5</v>
      </c>
      <c r="U6744" s="4" t="str">
        <f>IFERROR(__xludf.DUMMYFUNCTION("""COMPUTED_VALUE"""),"Cardápio Web")</f>
        <v>Cardápio Web</v>
      </c>
      <c r="V6744" s="33">
        <f>IFERROR(__xludf.DUMMYFUNCTION("""COMPUTED_VALUE"""),0.5)</f>
        <v>0.5</v>
      </c>
      <c r="W6744" s="4" t="str">
        <f>IFERROR(__xludf.DUMMYFUNCTION("""COMPUTED_VALUE"""),"Cardápio Web")</f>
        <v>Cardápio Web</v>
      </c>
      <c r="X6744" s="33">
        <f>IFERROR(__xludf.DUMMYFUNCTION("""COMPUTED_VALUE"""),0.5)</f>
        <v>0.5</v>
      </c>
    </row>
    <row r="6745">
      <c r="K6745" s="4" t="str">
        <f>IFERROR(__xludf.DUMMYFUNCTION("""COMPUTED_VALUE"""),"CAFE DOCE BRIGADEIRO")</f>
        <v>CAFE DOCE BRIGADEIRO</v>
      </c>
      <c r="L6745" s="32">
        <f>IFERROR(__xludf.DUMMYFUNCTION("""COMPUTED_VALUE"""),2.0)</f>
        <v>2</v>
      </c>
      <c r="M6745" s="4" t="str">
        <f>IFERROR(__xludf.DUMMYFUNCTION("""COMPUTED_VALUE"""),"Consumer Soluções Em Tecnologia Ltda")</f>
        <v>Consumer Soluções Em Tecnologia Ltda</v>
      </c>
      <c r="N6745" s="33">
        <f>IFERROR(__xludf.DUMMYFUNCTION("""COMPUTED_VALUE"""),1.0)</f>
        <v>1</v>
      </c>
      <c r="O6745" s="4" t="str">
        <f>IFERROR(__xludf.DUMMYFUNCTION("""COMPUTED_VALUE"""),"null")</f>
        <v>null</v>
      </c>
      <c r="P6745" s="33">
        <f>IFERROR(__xludf.DUMMYFUNCTION("""COMPUTED_VALUE"""),0.5)</f>
        <v>0.5</v>
      </c>
      <c r="Q6745" s="4" t="str">
        <f>IFERROR(__xludf.DUMMYFUNCTION("""COMPUTED_VALUE"""),"null")</f>
        <v>null</v>
      </c>
      <c r="R6745" s="33">
        <f>IFERROR(__xludf.DUMMYFUNCTION("""COMPUTED_VALUE"""),0.5)</f>
        <v>0.5</v>
      </c>
      <c r="S6745" s="4" t="str">
        <f>IFERROR(__xludf.DUMMYFUNCTION("""COMPUTED_VALUE"""),"null")</f>
        <v>null</v>
      </c>
      <c r="T6745" s="33">
        <f>IFERROR(__xludf.DUMMYFUNCTION("""COMPUTED_VALUE"""),0.5)</f>
        <v>0.5</v>
      </c>
      <c r="U6745" s="4" t="str">
        <f>IFERROR(__xludf.DUMMYFUNCTION("""COMPUTED_VALUE"""),"null")</f>
        <v>null</v>
      </c>
      <c r="V6745" s="33">
        <f>IFERROR(__xludf.DUMMYFUNCTION("""COMPUTED_VALUE"""),0.5)</f>
        <v>0.5</v>
      </c>
      <c r="W6745" s="4" t="str">
        <f>IFERROR(__xludf.DUMMYFUNCTION("""COMPUTED_VALUE"""),"null")</f>
        <v>null</v>
      </c>
      <c r="X6745" s="33">
        <f>IFERROR(__xludf.DUMMYFUNCTION("""COMPUTED_VALUE"""),0.5)</f>
        <v>0.5</v>
      </c>
    </row>
    <row r="6746">
      <c r="K6746" s="4" t="str">
        <f>IFERROR(__xludf.DUMMYFUNCTION("""COMPUTED_VALUE"""),"CAFE ODEBRECHT - MARCA")</f>
        <v>CAFE ODEBRECHT - MARCA</v>
      </c>
      <c r="L6746" s="32">
        <f>IFERROR(__xludf.DUMMYFUNCTION("""COMPUTED_VALUE"""),2.0)</f>
        <v>2</v>
      </c>
      <c r="M6746" s="4" t="str">
        <f>IFERROR(__xludf.DUMMYFUNCTION("""COMPUTED_VALUE"""),"Sagres Automação Comercial")</f>
        <v>Sagres Automação Comercial</v>
      </c>
      <c r="N6746" s="33">
        <f>IFERROR(__xludf.DUMMYFUNCTION("""COMPUTED_VALUE"""),1.0)</f>
        <v>1</v>
      </c>
      <c r="O6746" s="4" t="str">
        <f>IFERROR(__xludf.DUMMYFUNCTION("""COMPUTED_VALUE"""),"Sagres Automação Comercial")</f>
        <v>Sagres Automação Comercial</v>
      </c>
      <c r="P6746" s="33">
        <f>IFERROR(__xludf.DUMMYFUNCTION("""COMPUTED_VALUE"""),1.0)</f>
        <v>1</v>
      </c>
      <c r="Q6746" s="4" t="str">
        <f>IFERROR(__xludf.DUMMYFUNCTION("""COMPUTED_VALUE"""),"Sagres Automação Comercial")</f>
        <v>Sagres Automação Comercial</v>
      </c>
      <c r="R6746" s="33">
        <f>IFERROR(__xludf.DUMMYFUNCTION("""COMPUTED_VALUE"""),1.0)</f>
        <v>1</v>
      </c>
      <c r="S6746" s="4" t="str">
        <f>IFERROR(__xludf.DUMMYFUNCTION("""COMPUTED_VALUE"""),"Sagres Automação Comercial")</f>
        <v>Sagres Automação Comercial</v>
      </c>
      <c r="T6746" s="33">
        <f>IFERROR(__xludf.DUMMYFUNCTION("""COMPUTED_VALUE"""),1.0)</f>
        <v>1</v>
      </c>
      <c r="U6746" s="4" t="str">
        <f>IFERROR(__xludf.DUMMYFUNCTION("""COMPUTED_VALUE"""),"Sagres Automação Comercial")</f>
        <v>Sagres Automação Comercial</v>
      </c>
      <c r="V6746" s="33">
        <f>IFERROR(__xludf.DUMMYFUNCTION("""COMPUTED_VALUE"""),0.5)</f>
        <v>0.5</v>
      </c>
      <c r="W6746" s="4" t="str">
        <f>IFERROR(__xludf.DUMMYFUNCTION("""COMPUTED_VALUE"""),"Sagres Automação Comercial")</f>
        <v>Sagres Automação Comercial</v>
      </c>
      <c r="X6746" s="33">
        <f>IFERROR(__xludf.DUMMYFUNCTION("""COMPUTED_VALUE"""),0.5)</f>
        <v>0.5</v>
      </c>
    </row>
    <row r="6747">
      <c r="K6747" s="4" t="str">
        <f>IFERROR(__xludf.DUMMYFUNCTION("""COMPUTED_VALUE"""),"CAFE PARIS KOBRASOL")</f>
        <v>CAFE PARIS KOBRASOL</v>
      </c>
      <c r="L6747" s="32">
        <f>IFERROR(__xludf.DUMMYFUNCTION("""COMPUTED_VALUE"""),2.0)</f>
        <v>2</v>
      </c>
      <c r="M6747" s="4" t="str">
        <f>IFERROR(__xludf.DUMMYFUNCTION("""COMPUTED_VALUE"""),"null")</f>
        <v>null</v>
      </c>
      <c r="N6747" s="33">
        <f>IFERROR(__xludf.DUMMYFUNCTION("""COMPUTED_VALUE"""),0.5)</f>
        <v>0.5</v>
      </c>
      <c r="O6747" s="4" t="str">
        <f>IFERROR(__xludf.DUMMYFUNCTION("""COMPUTED_VALUE"""),"null")</f>
        <v>null</v>
      </c>
      <c r="P6747" s="33">
        <f>IFERROR(__xludf.DUMMYFUNCTION("""COMPUTED_VALUE"""),0.5)</f>
        <v>0.5</v>
      </c>
      <c r="Q6747" s="4" t="str">
        <f>IFERROR(__xludf.DUMMYFUNCTION("""COMPUTED_VALUE"""),"null")</f>
        <v>null</v>
      </c>
      <c r="R6747" s="33">
        <f>IFERROR(__xludf.DUMMYFUNCTION("""COMPUTED_VALUE"""),0.5)</f>
        <v>0.5</v>
      </c>
      <c r="S6747" s="4" t="str">
        <f>IFERROR(__xludf.DUMMYFUNCTION("""COMPUTED_VALUE"""),"null")</f>
        <v>null</v>
      </c>
      <c r="T6747" s="33">
        <f>IFERROR(__xludf.DUMMYFUNCTION("""COMPUTED_VALUE"""),0.5)</f>
        <v>0.5</v>
      </c>
      <c r="U6747" s="4" t="str">
        <f>IFERROR(__xludf.DUMMYFUNCTION("""COMPUTED_VALUE"""),"Bitbar")</f>
        <v>Bitbar</v>
      </c>
      <c r="V6747" s="33">
        <f>IFERROR(__xludf.DUMMYFUNCTION("""COMPUTED_VALUE"""),1.0)</f>
        <v>1</v>
      </c>
      <c r="W6747" s="4" t="str">
        <f>IFERROR(__xludf.DUMMYFUNCTION("""COMPUTED_VALUE"""),"Bitbar")</f>
        <v>Bitbar</v>
      </c>
      <c r="X6747" s="33">
        <f>IFERROR(__xludf.DUMMYFUNCTION("""COMPUTED_VALUE"""),1.0)</f>
        <v>1</v>
      </c>
    </row>
    <row r="6748">
      <c r="K6748" s="4" t="str">
        <f>IFERROR(__xludf.DUMMYFUNCTION("""COMPUTED_VALUE"""),"CAFE REGIONAL NAIZA MANAUS")</f>
        <v>CAFE REGIONAL NAIZA MANAUS</v>
      </c>
      <c r="L6748" s="32">
        <f>IFERROR(__xludf.DUMMYFUNCTION("""COMPUTED_VALUE"""),2.0)</f>
        <v>2</v>
      </c>
      <c r="M6748" s="4" t="str">
        <f>IFERROR(__xludf.DUMMYFUNCTION("""COMPUTED_VALUE"""),"Vekttor")</f>
        <v>Vekttor</v>
      </c>
      <c r="N6748" s="33">
        <f>IFERROR(__xludf.DUMMYFUNCTION("""COMPUTED_VALUE"""),1.0)</f>
        <v>1</v>
      </c>
      <c r="O6748" s="4" t="str">
        <f>IFERROR(__xludf.DUMMYFUNCTION("""COMPUTED_VALUE"""),"null")</f>
        <v>null</v>
      </c>
      <c r="P6748" s="33">
        <f>IFERROR(__xludf.DUMMYFUNCTION("""COMPUTED_VALUE"""),0.5)</f>
        <v>0.5</v>
      </c>
      <c r="Q6748" s="4" t="str">
        <f>IFERROR(__xludf.DUMMYFUNCTION("""COMPUTED_VALUE"""),"null")</f>
        <v>null</v>
      </c>
      <c r="R6748" s="33">
        <f>IFERROR(__xludf.DUMMYFUNCTION("""COMPUTED_VALUE"""),0.5)</f>
        <v>0.5</v>
      </c>
      <c r="S6748" s="4" t="str">
        <f>IFERROR(__xludf.DUMMYFUNCTION("""COMPUTED_VALUE"""),"Vekttor")</f>
        <v>Vekttor</v>
      </c>
      <c r="T6748" s="33">
        <f>IFERROR(__xludf.DUMMYFUNCTION("""COMPUTED_VALUE"""),1.0)</f>
        <v>1</v>
      </c>
      <c r="U6748" s="4" t="str">
        <f>IFERROR(__xludf.DUMMYFUNCTION("""COMPUTED_VALUE"""),"Vekttor")</f>
        <v>Vekttor</v>
      </c>
      <c r="V6748" s="33">
        <f>IFERROR(__xludf.DUMMYFUNCTION("""COMPUTED_VALUE"""),0.5)</f>
        <v>0.5</v>
      </c>
      <c r="W6748" s="4" t="str">
        <f>IFERROR(__xludf.DUMMYFUNCTION("""COMPUTED_VALUE"""),"null")</f>
        <v>null</v>
      </c>
      <c r="X6748" s="33">
        <f>IFERROR(__xludf.DUMMYFUNCTION("""COMPUTED_VALUE"""),0.5)</f>
        <v>0.5</v>
      </c>
    </row>
    <row r="6749">
      <c r="K6749" s="4" t="str">
        <f>IFERROR(__xludf.DUMMYFUNCTION("""COMPUTED_VALUE"""),"CALDO DA VO")</f>
        <v>CALDO DA VO</v>
      </c>
      <c r="L6749" s="32">
        <f>IFERROR(__xludf.DUMMYFUNCTION("""COMPUTED_VALUE"""),2.0)</f>
        <v>2</v>
      </c>
      <c r="M6749" s="4" t="str">
        <f>IFERROR(__xludf.DUMMYFUNCTION("""COMPUTED_VALUE"""),"Consumer Soluções Em Tecnologia Ltda")</f>
        <v>Consumer Soluções Em Tecnologia Ltda</v>
      </c>
      <c r="N6749" s="33">
        <f>IFERROR(__xludf.DUMMYFUNCTION("""COMPUTED_VALUE"""),1.0)</f>
        <v>1</v>
      </c>
      <c r="O6749" s="4" t="str">
        <f>IFERROR(__xludf.DUMMYFUNCTION("""COMPUTED_VALUE"""),"Consumer Soluções Em Tecnologia Ltda")</f>
        <v>Consumer Soluções Em Tecnologia Ltda</v>
      </c>
      <c r="P6749" s="33">
        <f>IFERROR(__xludf.DUMMYFUNCTION("""COMPUTED_VALUE"""),1.0)</f>
        <v>1</v>
      </c>
      <c r="Q6749" s="4" t="str">
        <f>IFERROR(__xludf.DUMMYFUNCTION("""COMPUTED_VALUE"""),"Consumer Soluções Em Tecnologia Ltda")</f>
        <v>Consumer Soluções Em Tecnologia Ltda</v>
      </c>
      <c r="R6749" s="33">
        <f>IFERROR(__xludf.DUMMYFUNCTION("""COMPUTED_VALUE"""),1.0)</f>
        <v>1</v>
      </c>
      <c r="S6749" s="4" t="str">
        <f>IFERROR(__xludf.DUMMYFUNCTION("""COMPUTED_VALUE"""),"Consumer Soluções Em Tecnologia Ltda")</f>
        <v>Consumer Soluções Em Tecnologia Ltda</v>
      </c>
      <c r="T6749" s="33">
        <f>IFERROR(__xludf.DUMMYFUNCTION("""COMPUTED_VALUE"""),1.0)</f>
        <v>1</v>
      </c>
      <c r="U6749" s="4" t="str">
        <f>IFERROR(__xludf.DUMMYFUNCTION("""COMPUTED_VALUE"""),"Consumer Soluções Em Tecnologia Ltda")</f>
        <v>Consumer Soluções Em Tecnologia Ltda</v>
      </c>
      <c r="V6749" s="33">
        <f>IFERROR(__xludf.DUMMYFUNCTION("""COMPUTED_VALUE"""),1.0)</f>
        <v>1</v>
      </c>
      <c r="W6749" s="4" t="str">
        <f>IFERROR(__xludf.DUMMYFUNCTION("""COMPUTED_VALUE"""),"Consumer Soluções Em Tecnologia Ltda")</f>
        <v>Consumer Soluções Em Tecnologia Ltda</v>
      </c>
      <c r="X6749" s="33">
        <f>IFERROR(__xludf.DUMMYFUNCTION("""COMPUTED_VALUE"""),1.0)</f>
        <v>1</v>
      </c>
    </row>
    <row r="6750">
      <c r="K6750" s="4" t="str">
        <f>IFERROR(__xludf.DUMMYFUNCTION("""COMPUTED_VALUE"""),"CALDOS CALDIN - BRILHANTE")</f>
        <v>CALDOS CALDIN - BRILHANTE</v>
      </c>
      <c r="L6750" s="32">
        <f>IFERROR(__xludf.DUMMYFUNCTION("""COMPUTED_VALUE"""),2.0)</f>
        <v>2</v>
      </c>
      <c r="M6750" s="4" t="str">
        <f>IFERROR(__xludf.DUMMYFUNCTION("""COMPUTED_VALUE"""),"Saipos Serviços De Software")</f>
        <v>Saipos Serviços De Software</v>
      </c>
      <c r="N6750" s="33">
        <f>IFERROR(__xludf.DUMMYFUNCTION("""COMPUTED_VALUE"""),1.0)</f>
        <v>1</v>
      </c>
      <c r="O6750" s="4" t="str">
        <f>IFERROR(__xludf.DUMMYFUNCTION("""COMPUTED_VALUE"""),"Saipos Serviços De Software")</f>
        <v>Saipos Serviços De Software</v>
      </c>
      <c r="P6750" s="33">
        <f>IFERROR(__xludf.DUMMYFUNCTION("""COMPUTED_VALUE"""),1.0)</f>
        <v>1</v>
      </c>
      <c r="Q6750" s="4" t="str">
        <f>IFERROR(__xludf.DUMMYFUNCTION("""COMPUTED_VALUE"""),"Saipos Serviços De Software")</f>
        <v>Saipos Serviços De Software</v>
      </c>
      <c r="R6750" s="33">
        <f>IFERROR(__xludf.DUMMYFUNCTION("""COMPUTED_VALUE"""),1.0)</f>
        <v>1</v>
      </c>
      <c r="S6750" s="4" t="str">
        <f>IFERROR(__xludf.DUMMYFUNCTION("""COMPUTED_VALUE"""),"Saipos Serviços De Software")</f>
        <v>Saipos Serviços De Software</v>
      </c>
      <c r="T6750" s="33">
        <f>IFERROR(__xludf.DUMMYFUNCTION("""COMPUTED_VALUE"""),1.0)</f>
        <v>1</v>
      </c>
      <c r="U6750" s="4" t="str">
        <f>IFERROR(__xludf.DUMMYFUNCTION("""COMPUTED_VALUE"""),"Anota Ai Solucoes Digitais S/a")</f>
        <v>Anota Ai Solucoes Digitais S/a</v>
      </c>
      <c r="V6750" s="33">
        <f>IFERROR(__xludf.DUMMYFUNCTION("""COMPUTED_VALUE"""),0.5)</f>
        <v>0.5</v>
      </c>
      <c r="W6750" s="4" t="str">
        <f>IFERROR(__xludf.DUMMYFUNCTION("""COMPUTED_VALUE"""),"Anota Ai Solucoes Digitais S/a")</f>
        <v>Anota Ai Solucoes Digitais S/a</v>
      </c>
      <c r="X6750" s="33">
        <f>IFERROR(__xludf.DUMMYFUNCTION("""COMPUTED_VALUE"""),0.5)</f>
        <v>0.5</v>
      </c>
    </row>
    <row r="6751">
      <c r="K6751" s="4" t="str">
        <f>IFERROR(__xludf.DUMMYFUNCTION("""COMPUTED_VALUE"""),"CALI SUSHI HOUSE")</f>
        <v>CALI SUSHI HOUSE</v>
      </c>
      <c r="L6751" s="32">
        <f>IFERROR(__xludf.DUMMYFUNCTION("""COMPUTED_VALUE"""),2.0)</f>
        <v>2</v>
      </c>
      <c r="M6751" s="4" t="str">
        <f>IFERROR(__xludf.DUMMYFUNCTION("""COMPUTED_VALUE"""),"Vekttor")</f>
        <v>Vekttor</v>
      </c>
      <c r="N6751" s="33">
        <f>IFERROR(__xludf.DUMMYFUNCTION("""COMPUTED_VALUE"""),1.0)</f>
        <v>1</v>
      </c>
      <c r="O6751" s="4" t="str">
        <f>IFERROR(__xludf.DUMMYFUNCTION("""COMPUTED_VALUE"""),"Vekttor")</f>
        <v>Vekttor</v>
      </c>
      <c r="P6751" s="33">
        <f>IFERROR(__xludf.DUMMYFUNCTION("""COMPUTED_VALUE"""),1.0)</f>
        <v>1</v>
      </c>
      <c r="Q6751" s="4" t="str">
        <f>IFERROR(__xludf.DUMMYFUNCTION("""COMPUTED_VALUE"""),"Vekttor")</f>
        <v>Vekttor</v>
      </c>
      <c r="R6751" s="33">
        <f>IFERROR(__xludf.DUMMYFUNCTION("""COMPUTED_VALUE"""),1.0)</f>
        <v>1</v>
      </c>
      <c r="S6751" s="4" t="str">
        <f>IFERROR(__xludf.DUMMYFUNCTION("""COMPUTED_VALUE"""),"Vekttor")</f>
        <v>Vekttor</v>
      </c>
      <c r="T6751" s="33">
        <f>IFERROR(__xludf.DUMMYFUNCTION("""COMPUTED_VALUE"""),1.0)</f>
        <v>1</v>
      </c>
      <c r="U6751" s="4" t="str">
        <f>IFERROR(__xludf.DUMMYFUNCTION("""COMPUTED_VALUE"""),"Vekttor")</f>
        <v>Vekttor</v>
      </c>
      <c r="V6751" s="33">
        <f>IFERROR(__xludf.DUMMYFUNCTION("""COMPUTED_VALUE"""),1.0)</f>
        <v>1</v>
      </c>
      <c r="W6751" s="4" t="str">
        <f>IFERROR(__xludf.DUMMYFUNCTION("""COMPUTED_VALUE"""),"Vekttor")</f>
        <v>Vekttor</v>
      </c>
      <c r="X6751" s="33">
        <f>IFERROR(__xludf.DUMMYFUNCTION("""COMPUTED_VALUE"""),1.0)</f>
        <v>1</v>
      </c>
    </row>
    <row r="6752">
      <c r="K6752" s="4" t="str">
        <f>IFERROR(__xludf.DUMMYFUNCTION("""COMPUTED_VALUE"""),"CAMILO SUPERMERCADOS - CONTA PAI")</f>
        <v>CAMILO SUPERMERCADOS - CONTA PAI</v>
      </c>
      <c r="L6752" s="32">
        <f>IFERROR(__xludf.DUMMYFUNCTION("""COMPUTED_VALUE"""),2.0)</f>
        <v>2</v>
      </c>
      <c r="M6752" s="4" t="str">
        <f>IFERROR(__xludf.DUMMYFUNCTION("""COMPUTED_VALUE"""),"N/A (Not found)")</f>
        <v>N/A (Not found)</v>
      </c>
      <c r="N6752" s="33">
        <f>IFERROR(__xludf.DUMMYFUNCTION("""COMPUTED_VALUE"""),1.0)</f>
        <v>1</v>
      </c>
      <c r="O6752" s="4" t="str">
        <f>IFERROR(__xludf.DUMMYFUNCTION("""COMPUTED_VALUE"""),"N/A (Not found)")</f>
        <v>N/A (Not found)</v>
      </c>
      <c r="P6752" s="33">
        <f>IFERROR(__xludf.DUMMYFUNCTION("""COMPUTED_VALUE"""),1.0)</f>
        <v>1</v>
      </c>
      <c r="Q6752" s="4" t="str">
        <f>IFERROR(__xludf.DUMMYFUNCTION("""COMPUTED_VALUE"""),"N/A (Not found)")</f>
        <v>N/A (Not found)</v>
      </c>
      <c r="R6752" s="33">
        <f>IFERROR(__xludf.DUMMYFUNCTION("""COMPUTED_VALUE"""),1.0)</f>
        <v>1</v>
      </c>
      <c r="S6752" s="4" t="str">
        <f>IFERROR(__xludf.DUMMYFUNCTION("""COMPUTED_VALUE"""),"N/A (Not found)")</f>
        <v>N/A (Not found)</v>
      </c>
      <c r="T6752" s="33">
        <f>IFERROR(__xludf.DUMMYFUNCTION("""COMPUTED_VALUE"""),1.0)</f>
        <v>1</v>
      </c>
      <c r="U6752" s="4" t="str">
        <f>IFERROR(__xludf.DUMMYFUNCTION("""COMPUTED_VALUE"""),"N/A (Not found)")</f>
        <v>N/A (Not found)</v>
      </c>
      <c r="V6752" s="33">
        <f>IFERROR(__xludf.DUMMYFUNCTION("""COMPUTED_VALUE"""),1.0)</f>
        <v>1</v>
      </c>
      <c r="W6752" s="4" t="str">
        <f>IFERROR(__xludf.DUMMYFUNCTION("""COMPUTED_VALUE"""),"N/A (Not found)")</f>
        <v>N/A (Not found)</v>
      </c>
      <c r="X6752" s="33">
        <f>IFERROR(__xludf.DUMMYFUNCTION("""COMPUTED_VALUE"""),1.0)</f>
        <v>1</v>
      </c>
    </row>
    <row r="6753">
      <c r="K6753" s="4" t="str">
        <f>IFERROR(__xludf.DUMMYFUNCTION("""COMPUTED_VALUE"""),"CAMINHO SAUDAVEL - THE")</f>
        <v>CAMINHO SAUDAVEL - THE</v>
      </c>
      <c r="L6753" s="32">
        <f>IFERROR(__xludf.DUMMYFUNCTION("""COMPUTED_VALUE"""),2.0)</f>
        <v>2</v>
      </c>
      <c r="M6753" s="4" t="str">
        <f>IFERROR(__xludf.DUMMYFUNCTION("""COMPUTED_VALUE"""),"Cardápio Web")</f>
        <v>Cardápio Web</v>
      </c>
      <c r="N6753" s="33">
        <f>IFERROR(__xludf.DUMMYFUNCTION("""COMPUTED_VALUE"""),1.0)</f>
        <v>1</v>
      </c>
      <c r="O6753" s="4" t="str">
        <f>IFERROR(__xludf.DUMMYFUNCTION("""COMPUTED_VALUE"""),"Cardápio Web")</f>
        <v>Cardápio Web</v>
      </c>
      <c r="P6753" s="33">
        <f>IFERROR(__xludf.DUMMYFUNCTION("""COMPUTED_VALUE"""),1.0)</f>
        <v>1</v>
      </c>
      <c r="Q6753" s="4" t="str">
        <f>IFERROR(__xludf.DUMMYFUNCTION("""COMPUTED_VALUE"""),"Cardápio Web")</f>
        <v>Cardápio Web</v>
      </c>
      <c r="R6753" s="33">
        <f>IFERROR(__xludf.DUMMYFUNCTION("""COMPUTED_VALUE"""),1.0)</f>
        <v>1</v>
      </c>
      <c r="S6753" s="4" t="str">
        <f>IFERROR(__xludf.DUMMYFUNCTION("""COMPUTED_VALUE"""),"Cardápio Web")</f>
        <v>Cardápio Web</v>
      </c>
      <c r="T6753" s="33">
        <f>IFERROR(__xludf.DUMMYFUNCTION("""COMPUTED_VALUE"""),1.0)</f>
        <v>1</v>
      </c>
      <c r="U6753" s="4" t="str">
        <f>IFERROR(__xludf.DUMMYFUNCTION("""COMPUTED_VALUE"""),"Cardápio Web")</f>
        <v>Cardápio Web</v>
      </c>
      <c r="V6753" s="33">
        <f>IFERROR(__xludf.DUMMYFUNCTION("""COMPUTED_VALUE"""),1.0)</f>
        <v>1</v>
      </c>
      <c r="W6753" s="4" t="str">
        <f>IFERROR(__xludf.DUMMYFUNCTION("""COMPUTED_VALUE"""),"Cardápio Web")</f>
        <v>Cardápio Web</v>
      </c>
      <c r="X6753" s="33">
        <f>IFERROR(__xludf.DUMMYFUNCTION("""COMPUTED_VALUE"""),1.0)</f>
        <v>1</v>
      </c>
    </row>
    <row r="6754">
      <c r="K6754" s="4" t="str">
        <f>IFERROR(__xludf.DUMMYFUNCTION("""COMPUTED_VALUE"""),"CAMPONESA O PARMEGIANA - CONTA PAI")</f>
        <v>CAMPONESA O PARMEGIANA - CONTA PAI</v>
      </c>
      <c r="L6754" s="32">
        <f>IFERROR(__xludf.DUMMYFUNCTION("""COMPUTED_VALUE"""),2.0)</f>
        <v>2</v>
      </c>
      <c r="M6754" s="4" t="str">
        <f>IFERROR(__xludf.DUMMYFUNCTION("""COMPUTED_VALUE"""),"Ld Consultoria Em Gestão Empresarial")</f>
        <v>Ld Consultoria Em Gestão Empresarial</v>
      </c>
      <c r="N6754" s="33">
        <f>IFERROR(__xludf.DUMMYFUNCTION("""COMPUTED_VALUE"""),1.0)</f>
        <v>1</v>
      </c>
      <c r="O6754" s="4" t="str">
        <f>IFERROR(__xludf.DUMMYFUNCTION("""COMPUTED_VALUE"""),"Ld Consultoria Em Gestão Empresarial")</f>
        <v>Ld Consultoria Em Gestão Empresarial</v>
      </c>
      <c r="P6754" s="33">
        <f>IFERROR(__xludf.DUMMYFUNCTION("""COMPUTED_VALUE"""),1.0)</f>
        <v>1</v>
      </c>
      <c r="Q6754" s="4" t="str">
        <f>IFERROR(__xludf.DUMMYFUNCTION("""COMPUTED_VALUE"""),"Ld Consultoria Em Gestão Empresarial")</f>
        <v>Ld Consultoria Em Gestão Empresarial</v>
      </c>
      <c r="R6754" s="33">
        <f>IFERROR(__xludf.DUMMYFUNCTION("""COMPUTED_VALUE"""),1.0)</f>
        <v>1</v>
      </c>
      <c r="S6754" s="4" t="str">
        <f>IFERROR(__xludf.DUMMYFUNCTION("""COMPUTED_VALUE"""),"Ld Consultoria Em Gestão Empresarial")</f>
        <v>Ld Consultoria Em Gestão Empresarial</v>
      </c>
      <c r="T6754" s="33">
        <f>IFERROR(__xludf.DUMMYFUNCTION("""COMPUTED_VALUE"""),1.0)</f>
        <v>1</v>
      </c>
      <c r="U6754" s="4" t="str">
        <f>IFERROR(__xludf.DUMMYFUNCTION("""COMPUTED_VALUE"""),"Ld Consultoria Em Gestão Empresarial")</f>
        <v>Ld Consultoria Em Gestão Empresarial</v>
      </c>
      <c r="V6754" s="33">
        <f>IFERROR(__xludf.DUMMYFUNCTION("""COMPUTED_VALUE"""),1.0)</f>
        <v>1</v>
      </c>
      <c r="W6754" s="4" t="str">
        <f>IFERROR(__xludf.DUMMYFUNCTION("""COMPUTED_VALUE"""),"Ld Consultoria Em Gestão Empresarial")</f>
        <v>Ld Consultoria Em Gestão Empresarial</v>
      </c>
      <c r="X6754" s="33">
        <f>IFERROR(__xludf.DUMMYFUNCTION("""COMPUTED_VALUE"""),1.0)</f>
        <v>1</v>
      </c>
    </row>
    <row r="6755">
      <c r="K6755" s="4" t="str">
        <f>IFERROR(__xludf.DUMMYFUNCTION("""COMPUTED_VALUE"""),"CANADA BURGUER FLORIANOPOLIS - CONTA MARCA")</f>
        <v>CANADA BURGUER FLORIANOPOLIS - CONTA MARCA</v>
      </c>
      <c r="L6755" s="32">
        <f>IFERROR(__xludf.DUMMYFUNCTION("""COMPUTED_VALUE"""),2.0)</f>
        <v>2</v>
      </c>
      <c r="M6755" s="4" t="str">
        <f>IFERROR(__xludf.DUMMYFUNCTION("""COMPUTED_VALUE"""),"Saipos Serviços De Software")</f>
        <v>Saipos Serviços De Software</v>
      </c>
      <c r="N6755" s="33">
        <f>IFERROR(__xludf.DUMMYFUNCTION("""COMPUTED_VALUE"""),1.0)</f>
        <v>1</v>
      </c>
      <c r="O6755" s="4" t="str">
        <f>IFERROR(__xludf.DUMMYFUNCTION("""COMPUTED_VALUE"""),"Saipos Serviços De Software")</f>
        <v>Saipos Serviços De Software</v>
      </c>
      <c r="P6755" s="33">
        <f>IFERROR(__xludf.DUMMYFUNCTION("""COMPUTED_VALUE"""),1.0)</f>
        <v>1</v>
      </c>
      <c r="Q6755" s="4" t="str">
        <f>IFERROR(__xludf.DUMMYFUNCTION("""COMPUTED_VALUE"""),"Saipos Serviços De Software")</f>
        <v>Saipos Serviços De Software</v>
      </c>
      <c r="R6755" s="33">
        <f>IFERROR(__xludf.DUMMYFUNCTION("""COMPUTED_VALUE"""),1.0)</f>
        <v>1</v>
      </c>
      <c r="S6755" s="4" t="str">
        <f>IFERROR(__xludf.DUMMYFUNCTION("""COMPUTED_VALUE"""),"Saipos Serviços De Software")</f>
        <v>Saipos Serviços De Software</v>
      </c>
      <c r="T6755" s="33">
        <f>IFERROR(__xludf.DUMMYFUNCTION("""COMPUTED_VALUE"""),0.5)</f>
        <v>0.5</v>
      </c>
      <c r="U6755" s="4" t="str">
        <f>IFERROR(__xludf.DUMMYFUNCTION("""COMPUTED_VALUE"""),"Saipos Serviços De Software")</f>
        <v>Saipos Serviços De Software</v>
      </c>
      <c r="V6755" s="33">
        <f>IFERROR(__xludf.DUMMYFUNCTION("""COMPUTED_VALUE"""),0.5)</f>
        <v>0.5</v>
      </c>
      <c r="W6755" s="4" t="str">
        <f>IFERROR(__xludf.DUMMYFUNCTION("""COMPUTED_VALUE"""),"null")</f>
        <v>null</v>
      </c>
      <c r="X6755" s="33">
        <f>IFERROR(__xludf.DUMMYFUNCTION("""COMPUTED_VALUE"""),1.0)</f>
        <v>1</v>
      </c>
    </row>
    <row r="6756">
      <c r="K6756" s="4" t="str">
        <f>IFERROR(__xludf.DUMMYFUNCTION("""COMPUTED_VALUE"""),"CANOA QUEBRADA - CONTA PAI")</f>
        <v>CANOA QUEBRADA - CONTA PAI</v>
      </c>
      <c r="L6756" s="32">
        <f>IFERROR(__xludf.DUMMYFUNCTION("""COMPUTED_VALUE"""),2.0)</f>
        <v>2</v>
      </c>
      <c r="M6756" s="4" t="str">
        <f>IFERROR(__xludf.DUMMYFUNCTION("""COMPUTED_VALUE"""),"Alpha Logo")</f>
        <v>Alpha Logo</v>
      </c>
      <c r="N6756" s="33">
        <f>IFERROR(__xludf.DUMMYFUNCTION("""COMPUTED_VALUE"""),0.5)</f>
        <v>0.5</v>
      </c>
      <c r="O6756" s="4" t="str">
        <f>IFERROR(__xludf.DUMMYFUNCTION("""COMPUTED_VALUE"""),"Alpha Logo")</f>
        <v>Alpha Logo</v>
      </c>
      <c r="P6756" s="33">
        <f>IFERROR(__xludf.DUMMYFUNCTION("""COMPUTED_VALUE"""),0.5)</f>
        <v>0.5</v>
      </c>
      <c r="Q6756" s="4" t="str">
        <f>IFERROR(__xludf.DUMMYFUNCTION("""COMPUTED_VALUE"""),"Alpha Logo")</f>
        <v>Alpha Logo</v>
      </c>
      <c r="R6756" s="33">
        <f>IFERROR(__xludf.DUMMYFUNCTION("""COMPUTED_VALUE"""),0.5)</f>
        <v>0.5</v>
      </c>
      <c r="S6756" s="4" t="str">
        <f>IFERROR(__xludf.DUMMYFUNCTION("""COMPUTED_VALUE"""),"Alpha Logo")</f>
        <v>Alpha Logo</v>
      </c>
      <c r="T6756" s="33">
        <f>IFERROR(__xludf.DUMMYFUNCTION("""COMPUTED_VALUE"""),0.5)</f>
        <v>0.5</v>
      </c>
      <c r="U6756" s="4" t="str">
        <f>IFERROR(__xludf.DUMMYFUNCTION("""COMPUTED_VALUE"""),"Alpha Logo")</f>
        <v>Alpha Logo</v>
      </c>
      <c r="V6756" s="33">
        <f>IFERROR(__xludf.DUMMYFUNCTION("""COMPUTED_VALUE"""),0.5)</f>
        <v>0.5</v>
      </c>
      <c r="W6756" s="4" t="str">
        <f>IFERROR(__xludf.DUMMYFUNCTION("""COMPUTED_VALUE"""),"Alpha Logo")</f>
        <v>Alpha Logo</v>
      </c>
      <c r="X6756" s="33">
        <f>IFERROR(__xludf.DUMMYFUNCTION("""COMPUTED_VALUE"""),0.5)</f>
        <v>0.5</v>
      </c>
    </row>
    <row r="6757">
      <c r="K6757" s="4" t="str">
        <f>IFERROR(__xludf.DUMMYFUNCTION("""COMPUTED_VALUE"""),"CANTINA GIGIO PINHEIROS")</f>
        <v>CANTINA GIGIO PINHEIROS</v>
      </c>
      <c r="L6757" s="32">
        <f>IFERROR(__xludf.DUMMYFUNCTION("""COMPUTED_VALUE"""),2.0)</f>
        <v>2</v>
      </c>
      <c r="M6757" s="4" t="str">
        <f>IFERROR(__xludf.DUMMYFUNCTION("""COMPUTED_VALUE"""),"Ncr")</f>
        <v>Ncr</v>
      </c>
      <c r="N6757" s="33">
        <f>IFERROR(__xludf.DUMMYFUNCTION("""COMPUTED_VALUE"""),1.0)</f>
        <v>1</v>
      </c>
      <c r="O6757" s="4" t="str">
        <f>IFERROR(__xludf.DUMMYFUNCTION("""COMPUTED_VALUE"""),"Ncr")</f>
        <v>Ncr</v>
      </c>
      <c r="P6757" s="33">
        <f>IFERROR(__xludf.DUMMYFUNCTION("""COMPUTED_VALUE"""),1.0)</f>
        <v>1</v>
      </c>
      <c r="Q6757" s="4" t="str">
        <f>IFERROR(__xludf.DUMMYFUNCTION("""COMPUTED_VALUE"""),"Ncr")</f>
        <v>Ncr</v>
      </c>
      <c r="R6757" s="33">
        <f>IFERROR(__xludf.DUMMYFUNCTION("""COMPUTED_VALUE"""),1.0)</f>
        <v>1</v>
      </c>
      <c r="S6757" s="4" t="str">
        <f>IFERROR(__xludf.DUMMYFUNCTION("""COMPUTED_VALUE"""),"Ncr")</f>
        <v>Ncr</v>
      </c>
      <c r="T6757" s="33">
        <f>IFERROR(__xludf.DUMMYFUNCTION("""COMPUTED_VALUE"""),1.0)</f>
        <v>1</v>
      </c>
      <c r="U6757" s="4" t="str">
        <f>IFERROR(__xludf.DUMMYFUNCTION("""COMPUTED_VALUE"""),"Ncr")</f>
        <v>Ncr</v>
      </c>
      <c r="V6757" s="33">
        <f>IFERROR(__xludf.DUMMYFUNCTION("""COMPUTED_VALUE"""),1.0)</f>
        <v>1</v>
      </c>
      <c r="W6757" s="4" t="str">
        <f>IFERROR(__xludf.DUMMYFUNCTION("""COMPUTED_VALUE"""),"Ncr")</f>
        <v>Ncr</v>
      </c>
      <c r="X6757" s="33">
        <f>IFERROR(__xludf.DUMMYFUNCTION("""COMPUTED_VALUE"""),1.0)</f>
        <v>1</v>
      </c>
    </row>
    <row r="6758">
      <c r="K6758" s="4" t="str">
        <f>IFERROR(__xludf.DUMMYFUNCTION("""COMPUTED_VALUE"""),"CANTINA MASSERIA")</f>
        <v>CANTINA MASSERIA</v>
      </c>
      <c r="L6758" s="32">
        <f>IFERROR(__xludf.DUMMYFUNCTION("""COMPUTED_VALUE"""),2.0)</f>
        <v>2</v>
      </c>
      <c r="M6758" s="4" t="str">
        <f>IFERROR(__xludf.DUMMYFUNCTION("""COMPUTED_VALUE"""),"Fs Soluções Em Tecnologia Ltda")</f>
        <v>Fs Soluções Em Tecnologia Ltda</v>
      </c>
      <c r="N6758" s="33">
        <f>IFERROR(__xludf.DUMMYFUNCTION("""COMPUTED_VALUE"""),1.0)</f>
        <v>1</v>
      </c>
      <c r="O6758" s="4" t="str">
        <f>IFERROR(__xludf.DUMMYFUNCTION("""COMPUTED_VALUE"""),"Fs Soluções Em Tecnologia Ltda")</f>
        <v>Fs Soluções Em Tecnologia Ltda</v>
      </c>
      <c r="P6758" s="33">
        <f>IFERROR(__xludf.DUMMYFUNCTION("""COMPUTED_VALUE"""),1.0)</f>
        <v>1</v>
      </c>
      <c r="Q6758" s="4" t="str">
        <f>IFERROR(__xludf.DUMMYFUNCTION("""COMPUTED_VALUE"""),"Fs Soluções Em Tecnologia Ltda")</f>
        <v>Fs Soluções Em Tecnologia Ltda</v>
      </c>
      <c r="R6758" s="33">
        <f>IFERROR(__xludf.DUMMYFUNCTION("""COMPUTED_VALUE"""),1.0)</f>
        <v>1</v>
      </c>
      <c r="S6758" s="4" t="str">
        <f>IFERROR(__xludf.DUMMYFUNCTION("""COMPUTED_VALUE"""),"Fs Soluções Em Tecnologia Ltda")</f>
        <v>Fs Soluções Em Tecnologia Ltda</v>
      </c>
      <c r="T6758" s="33">
        <f>IFERROR(__xludf.DUMMYFUNCTION("""COMPUTED_VALUE"""),1.0)</f>
        <v>1</v>
      </c>
      <c r="U6758" s="4" t="str">
        <f>IFERROR(__xludf.DUMMYFUNCTION("""COMPUTED_VALUE"""),"null")</f>
        <v>null</v>
      </c>
      <c r="V6758" s="33">
        <f>IFERROR(__xludf.DUMMYFUNCTION("""COMPUTED_VALUE"""),0.5)</f>
        <v>0.5</v>
      </c>
      <c r="W6758" s="4" t="str">
        <f>IFERROR(__xludf.DUMMYFUNCTION("""COMPUTED_VALUE"""),"Fs Soluções Em Tecnologia Ltda")</f>
        <v>Fs Soluções Em Tecnologia Ltda</v>
      </c>
      <c r="X6758" s="33">
        <f>IFERROR(__xludf.DUMMYFUNCTION("""COMPUTED_VALUE"""),1.0)</f>
        <v>1</v>
      </c>
    </row>
    <row r="6759">
      <c r="K6759" s="4" t="str">
        <f>IFERROR(__xludf.DUMMYFUNCTION("""COMPUTED_VALUE"""),"CANTINA VICENZA")</f>
        <v>CANTINA VICENZA</v>
      </c>
      <c r="L6759" s="32">
        <f>IFERROR(__xludf.DUMMYFUNCTION("""COMPUTED_VALUE"""),2.0)</f>
        <v>2</v>
      </c>
      <c r="M6759" s="4" t="str">
        <f>IFERROR(__xludf.DUMMYFUNCTION("""COMPUTED_VALUE"""),"Yooga")</f>
        <v>Yooga</v>
      </c>
      <c r="N6759" s="33">
        <f>IFERROR(__xludf.DUMMYFUNCTION("""COMPUTED_VALUE"""),0.5)</f>
        <v>0.5</v>
      </c>
      <c r="O6759" s="4" t="str">
        <f>IFERROR(__xludf.DUMMYFUNCTION("""COMPUTED_VALUE"""),"Yooga")</f>
        <v>Yooga</v>
      </c>
      <c r="P6759" s="33">
        <f>IFERROR(__xludf.DUMMYFUNCTION("""COMPUTED_VALUE"""),0.5)</f>
        <v>0.5</v>
      </c>
      <c r="Q6759" s="4" t="str">
        <f>IFERROR(__xludf.DUMMYFUNCTION("""COMPUTED_VALUE"""),"Yooga")</f>
        <v>Yooga</v>
      </c>
      <c r="R6759" s="33">
        <f>IFERROR(__xludf.DUMMYFUNCTION("""COMPUTED_VALUE"""),0.5)</f>
        <v>0.5</v>
      </c>
      <c r="S6759" s="4" t="str">
        <f>IFERROR(__xludf.DUMMYFUNCTION("""COMPUTED_VALUE"""),"Yooga")</f>
        <v>Yooga</v>
      </c>
      <c r="T6759" s="33">
        <f>IFERROR(__xludf.DUMMYFUNCTION("""COMPUTED_VALUE"""),0.5)</f>
        <v>0.5</v>
      </c>
      <c r="U6759" s="4" t="str">
        <f>IFERROR(__xludf.DUMMYFUNCTION("""COMPUTED_VALUE"""),"Yooga")</f>
        <v>Yooga</v>
      </c>
      <c r="V6759" s="33">
        <f>IFERROR(__xludf.DUMMYFUNCTION("""COMPUTED_VALUE"""),1.0)</f>
        <v>1</v>
      </c>
      <c r="W6759" s="4" t="str">
        <f>IFERROR(__xludf.DUMMYFUNCTION("""COMPUTED_VALUE"""),"Yooga")</f>
        <v>Yooga</v>
      </c>
      <c r="X6759" s="33">
        <f>IFERROR(__xludf.DUMMYFUNCTION("""COMPUTED_VALUE"""),1.0)</f>
        <v>1</v>
      </c>
    </row>
    <row r="6760">
      <c r="K6760" s="4" t="str">
        <f>IFERROR(__xludf.DUMMYFUNCTION("""COMPUTED_VALUE"""),"CANTINHO GOSPEL")</f>
        <v>CANTINHO GOSPEL</v>
      </c>
      <c r="L6760" s="32">
        <f>IFERROR(__xludf.DUMMYFUNCTION("""COMPUTED_VALUE"""),2.0)</f>
        <v>2</v>
      </c>
      <c r="M6760" s="4" t="str">
        <f>IFERROR(__xludf.DUMMYFUNCTION("""COMPUTED_VALUE"""),"null")</f>
        <v>null</v>
      </c>
      <c r="N6760" s="33">
        <f>IFERROR(__xludf.DUMMYFUNCTION("""COMPUTED_VALUE"""),1.0)</f>
        <v>1</v>
      </c>
      <c r="O6760" s="4" t="str">
        <f>IFERROR(__xludf.DUMMYFUNCTION("""COMPUTED_VALUE"""),"null")</f>
        <v>null</v>
      </c>
      <c r="P6760" s="33">
        <f>IFERROR(__xludf.DUMMYFUNCTION("""COMPUTED_VALUE"""),1.0)</f>
        <v>1</v>
      </c>
      <c r="Q6760" s="4" t="str">
        <f>IFERROR(__xludf.DUMMYFUNCTION("""COMPUTED_VALUE"""),"null")</f>
        <v>null</v>
      </c>
      <c r="R6760" s="33">
        <f>IFERROR(__xludf.DUMMYFUNCTION("""COMPUTED_VALUE"""),1.0)</f>
        <v>1</v>
      </c>
      <c r="S6760" s="4" t="str">
        <f>IFERROR(__xludf.DUMMYFUNCTION("""COMPUTED_VALUE"""),"null")</f>
        <v>null</v>
      </c>
      <c r="T6760" s="33">
        <f>IFERROR(__xludf.DUMMYFUNCTION("""COMPUTED_VALUE"""),1.0)</f>
        <v>1</v>
      </c>
      <c r="U6760" s="4" t="str">
        <f>IFERROR(__xludf.DUMMYFUNCTION("""COMPUTED_VALUE"""),"null")</f>
        <v>null</v>
      </c>
      <c r="V6760" s="33">
        <f>IFERROR(__xludf.DUMMYFUNCTION("""COMPUTED_VALUE"""),1.0)</f>
        <v>1</v>
      </c>
      <c r="W6760" s="4" t="str">
        <f>IFERROR(__xludf.DUMMYFUNCTION("""COMPUTED_VALUE"""),"Anota Ai Solucoes Digitais S/a")</f>
        <v>Anota Ai Solucoes Digitais S/a</v>
      </c>
      <c r="X6760" s="33">
        <f>IFERROR(__xludf.DUMMYFUNCTION("""COMPUTED_VALUE"""),1.0)</f>
        <v>1</v>
      </c>
    </row>
    <row r="6761">
      <c r="K6761" s="4" t="str">
        <f>IFERROR(__xludf.DUMMYFUNCTION("""COMPUTED_VALUE"""),"CANTO DO ACAI - MANAUS")</f>
        <v>CANTO DO ACAI - MANAUS</v>
      </c>
      <c r="L6761" s="32">
        <f>IFERROR(__xludf.DUMMYFUNCTION("""COMPUTED_VALUE"""),2.0)</f>
        <v>2</v>
      </c>
      <c r="M6761" s="4" t="str">
        <f>IFERROR(__xludf.DUMMYFUNCTION("""COMPUTED_VALUE"""),"Vekttor")</f>
        <v>Vekttor</v>
      </c>
      <c r="N6761" s="33">
        <f>IFERROR(__xludf.DUMMYFUNCTION("""COMPUTED_VALUE"""),0.5)</f>
        <v>0.5</v>
      </c>
      <c r="O6761" s="4" t="str">
        <f>IFERROR(__xludf.DUMMYFUNCTION("""COMPUTED_VALUE"""),"Vekttor")</f>
        <v>Vekttor</v>
      </c>
      <c r="P6761" s="33">
        <f>IFERROR(__xludf.DUMMYFUNCTION("""COMPUTED_VALUE"""),0.5)</f>
        <v>0.5</v>
      </c>
      <c r="Q6761" s="4" t="str">
        <f>IFERROR(__xludf.DUMMYFUNCTION("""COMPUTED_VALUE"""),"Vekttor")</f>
        <v>Vekttor</v>
      </c>
      <c r="R6761" s="33">
        <f>IFERROR(__xludf.DUMMYFUNCTION("""COMPUTED_VALUE"""),1.0)</f>
        <v>1</v>
      </c>
      <c r="S6761" s="4" t="str">
        <f>IFERROR(__xludf.DUMMYFUNCTION("""COMPUTED_VALUE"""),"Vekttor")</f>
        <v>Vekttor</v>
      </c>
      <c r="T6761" s="33">
        <f>IFERROR(__xludf.DUMMYFUNCTION("""COMPUTED_VALUE"""),1.0)</f>
        <v>1</v>
      </c>
      <c r="U6761" s="4" t="str">
        <f>IFERROR(__xludf.DUMMYFUNCTION("""COMPUTED_VALUE"""),"Vekttor")</f>
        <v>Vekttor</v>
      </c>
      <c r="V6761" s="33">
        <f>IFERROR(__xludf.DUMMYFUNCTION("""COMPUTED_VALUE"""),1.0)</f>
        <v>1</v>
      </c>
      <c r="W6761" s="4" t="str">
        <f>IFERROR(__xludf.DUMMYFUNCTION("""COMPUTED_VALUE"""),"Vekttor")</f>
        <v>Vekttor</v>
      </c>
      <c r="X6761" s="33">
        <f>IFERROR(__xludf.DUMMYFUNCTION("""COMPUTED_VALUE"""),1.0)</f>
        <v>1</v>
      </c>
    </row>
    <row r="6762">
      <c r="K6762" s="4" t="str">
        <f>IFERROR(__xludf.DUMMYFUNCTION("""COMPUTED_VALUE"""),"CANTO DO SABOR POA")</f>
        <v>CANTO DO SABOR POA</v>
      </c>
      <c r="L6762" s="32">
        <f>IFERROR(__xludf.DUMMYFUNCTION("""COMPUTED_VALUE"""),2.0)</f>
        <v>2</v>
      </c>
      <c r="M6762" s="4" t="str">
        <f>IFERROR(__xludf.DUMMYFUNCTION("""COMPUTED_VALUE"""),"Saipos Serviços De Software")</f>
        <v>Saipos Serviços De Software</v>
      </c>
      <c r="N6762" s="33">
        <f>IFERROR(__xludf.DUMMYFUNCTION("""COMPUTED_VALUE"""),1.0)</f>
        <v>1</v>
      </c>
      <c r="O6762" s="4" t="str">
        <f>IFERROR(__xludf.DUMMYFUNCTION("""COMPUTED_VALUE"""),"Saipos Serviços De Software")</f>
        <v>Saipos Serviços De Software</v>
      </c>
      <c r="P6762" s="33">
        <f>IFERROR(__xludf.DUMMYFUNCTION("""COMPUTED_VALUE"""),1.0)</f>
        <v>1</v>
      </c>
      <c r="Q6762" s="4" t="str">
        <f>IFERROR(__xludf.DUMMYFUNCTION("""COMPUTED_VALUE"""),"Saipos Serviços De Software")</f>
        <v>Saipos Serviços De Software</v>
      </c>
      <c r="R6762" s="33">
        <f>IFERROR(__xludf.DUMMYFUNCTION("""COMPUTED_VALUE"""),1.0)</f>
        <v>1</v>
      </c>
      <c r="S6762" s="4" t="str">
        <f>IFERROR(__xludf.DUMMYFUNCTION("""COMPUTED_VALUE"""),"Saipos Serviços De Software")</f>
        <v>Saipos Serviços De Software</v>
      </c>
      <c r="T6762" s="33">
        <f>IFERROR(__xludf.DUMMYFUNCTION("""COMPUTED_VALUE"""),1.0)</f>
        <v>1</v>
      </c>
      <c r="U6762" s="4" t="str">
        <f>IFERROR(__xludf.DUMMYFUNCTION("""COMPUTED_VALUE"""),"Saipos Serviços De Software")</f>
        <v>Saipos Serviços De Software</v>
      </c>
      <c r="V6762" s="33">
        <f>IFERROR(__xludf.DUMMYFUNCTION("""COMPUTED_VALUE"""),1.0)</f>
        <v>1</v>
      </c>
      <c r="W6762" s="4" t="str">
        <f>IFERROR(__xludf.DUMMYFUNCTION("""COMPUTED_VALUE"""),"Saipos Serviços De Software")</f>
        <v>Saipos Serviços De Software</v>
      </c>
      <c r="X6762" s="33">
        <f>IFERROR(__xludf.DUMMYFUNCTION("""COMPUTED_VALUE"""),1.0)</f>
        <v>1</v>
      </c>
    </row>
    <row r="6763">
      <c r="K6763" s="4" t="str">
        <f>IFERROR(__xludf.DUMMYFUNCTION("""COMPUTED_VALUE"""),"CAPADOCIA")</f>
        <v>CAPADOCIA</v>
      </c>
      <c r="L6763" s="32">
        <f>IFERROR(__xludf.DUMMYFUNCTION("""COMPUTED_VALUE"""),2.0)</f>
        <v>2</v>
      </c>
      <c r="M6763" s="4" t="str">
        <f>IFERROR(__xludf.DUMMYFUNCTION("""COMPUTED_VALUE"""),"null")</f>
        <v>null</v>
      </c>
      <c r="N6763" s="33">
        <f>IFERROR(__xludf.DUMMYFUNCTION("""COMPUTED_VALUE"""),0.5)</f>
        <v>0.5</v>
      </c>
      <c r="O6763" s="4" t="str">
        <f>IFERROR(__xludf.DUMMYFUNCTION("""COMPUTED_VALUE"""),"null")</f>
        <v>null</v>
      </c>
      <c r="P6763" s="33">
        <f>IFERROR(__xludf.DUMMYFUNCTION("""COMPUTED_VALUE"""),1.0)</f>
        <v>1</v>
      </c>
      <c r="Q6763" s="4" t="str">
        <f>IFERROR(__xludf.DUMMYFUNCTION("""COMPUTED_VALUE"""),"null")</f>
        <v>null</v>
      </c>
      <c r="R6763" s="33">
        <f>IFERROR(__xludf.DUMMYFUNCTION("""COMPUTED_VALUE"""),1.0)</f>
        <v>1</v>
      </c>
      <c r="S6763" s="4" t="str">
        <f>IFERROR(__xludf.DUMMYFUNCTION("""COMPUTED_VALUE"""),"null")</f>
        <v>null</v>
      </c>
      <c r="T6763" s="33">
        <f>IFERROR(__xludf.DUMMYFUNCTION("""COMPUTED_VALUE"""),1.0)</f>
        <v>1</v>
      </c>
      <c r="U6763" s="4" t="str">
        <f>IFERROR(__xludf.DUMMYFUNCTION("""COMPUTED_VALUE"""),"Saipos Serviços De Software")</f>
        <v>Saipos Serviços De Software</v>
      </c>
      <c r="V6763" s="33">
        <f>IFERROR(__xludf.DUMMYFUNCTION("""COMPUTED_VALUE"""),1.0)</f>
        <v>1</v>
      </c>
      <c r="W6763" s="4" t="str">
        <f>IFERROR(__xludf.DUMMYFUNCTION("""COMPUTED_VALUE"""),"Saipos Serviços De Software")</f>
        <v>Saipos Serviços De Software</v>
      </c>
      <c r="X6763" s="33">
        <f>IFERROR(__xludf.DUMMYFUNCTION("""COMPUTED_VALUE"""),1.0)</f>
        <v>1</v>
      </c>
    </row>
    <row r="6764">
      <c r="K6764" s="4" t="str">
        <f>IFERROR(__xludf.DUMMYFUNCTION("""COMPUTED_VALUE"""),"CAPITAO JOE PIZZA")</f>
        <v>CAPITAO JOE PIZZA</v>
      </c>
      <c r="L6764" s="32">
        <f>IFERROR(__xludf.DUMMYFUNCTION("""COMPUTED_VALUE"""),2.0)</f>
        <v>2</v>
      </c>
      <c r="M6764" s="4" t="str">
        <f>IFERROR(__xludf.DUMMYFUNCTION("""COMPUTED_VALUE"""),"Saipos Serviços De Software")</f>
        <v>Saipos Serviços De Software</v>
      </c>
      <c r="N6764" s="33">
        <f>IFERROR(__xludf.DUMMYFUNCTION("""COMPUTED_VALUE"""),1.0)</f>
        <v>1</v>
      </c>
      <c r="O6764" s="4" t="str">
        <f>IFERROR(__xludf.DUMMYFUNCTION("""COMPUTED_VALUE"""),"Saipos Serviços De Software")</f>
        <v>Saipos Serviços De Software</v>
      </c>
      <c r="P6764" s="33">
        <f>IFERROR(__xludf.DUMMYFUNCTION("""COMPUTED_VALUE"""),1.0)</f>
        <v>1</v>
      </c>
      <c r="Q6764" s="4" t="str">
        <f>IFERROR(__xludf.DUMMYFUNCTION("""COMPUTED_VALUE"""),"Saipos Serviços De Software")</f>
        <v>Saipos Serviços De Software</v>
      </c>
      <c r="R6764" s="33">
        <f>IFERROR(__xludf.DUMMYFUNCTION("""COMPUTED_VALUE"""),0.5)</f>
        <v>0.5</v>
      </c>
      <c r="S6764" s="4" t="str">
        <f>IFERROR(__xludf.DUMMYFUNCTION("""COMPUTED_VALUE"""),"Saipos Serviços De Software")</f>
        <v>Saipos Serviços De Software</v>
      </c>
      <c r="T6764" s="33">
        <f>IFERROR(__xludf.DUMMYFUNCTION("""COMPUTED_VALUE"""),1.0)</f>
        <v>1</v>
      </c>
      <c r="U6764" s="4" t="str">
        <f>IFERROR(__xludf.DUMMYFUNCTION("""COMPUTED_VALUE"""),"Saipos Serviços De Software")</f>
        <v>Saipos Serviços De Software</v>
      </c>
      <c r="V6764" s="33">
        <f>IFERROR(__xludf.DUMMYFUNCTION("""COMPUTED_VALUE"""),1.0)</f>
        <v>1</v>
      </c>
      <c r="W6764" s="4" t="str">
        <f>IFERROR(__xludf.DUMMYFUNCTION("""COMPUTED_VALUE"""),"Saipos Serviços De Software")</f>
        <v>Saipos Serviços De Software</v>
      </c>
      <c r="X6764" s="33">
        <f>IFERROR(__xludf.DUMMYFUNCTION("""COMPUTED_VALUE"""),1.0)</f>
        <v>1</v>
      </c>
    </row>
    <row r="6765">
      <c r="K6765" s="4" t="str">
        <f>IFERROR(__xludf.DUMMYFUNCTION("""COMPUTED_VALUE"""),"CARAMELADA BOLOS DA ROSE - CONTA MARCA")</f>
        <v>CARAMELADA BOLOS DA ROSE - CONTA MARCA</v>
      </c>
      <c r="L6765" s="32">
        <f>IFERROR(__xludf.DUMMYFUNCTION("""COMPUTED_VALUE"""),2.0)</f>
        <v>2</v>
      </c>
      <c r="M6765" s="4" t="str">
        <f>IFERROR(__xludf.DUMMYFUNCTION("""COMPUTED_VALUE"""),"Consumer Soluções Em Tecnologia Ltda")</f>
        <v>Consumer Soluções Em Tecnologia Ltda</v>
      </c>
      <c r="N6765" s="33">
        <f>IFERROR(__xludf.DUMMYFUNCTION("""COMPUTED_VALUE"""),1.0)</f>
        <v>1</v>
      </c>
      <c r="O6765" s="4" t="str">
        <f>IFERROR(__xludf.DUMMYFUNCTION("""COMPUTED_VALUE"""),"null")</f>
        <v>null</v>
      </c>
      <c r="P6765" s="33">
        <f>IFERROR(__xludf.DUMMYFUNCTION("""COMPUTED_VALUE"""),0.5)</f>
        <v>0.5</v>
      </c>
      <c r="Q6765" s="4" t="str">
        <f>IFERROR(__xludf.DUMMYFUNCTION("""COMPUTED_VALUE"""),"null")</f>
        <v>null</v>
      </c>
      <c r="R6765" s="33">
        <f>IFERROR(__xludf.DUMMYFUNCTION("""COMPUTED_VALUE"""),0.5)</f>
        <v>0.5</v>
      </c>
      <c r="S6765" s="4" t="str">
        <f>IFERROR(__xludf.DUMMYFUNCTION("""COMPUTED_VALUE"""),"Consumer Soluções Em Tecnologia Ltda")</f>
        <v>Consumer Soluções Em Tecnologia Ltda</v>
      </c>
      <c r="T6765" s="33">
        <f>IFERROR(__xludf.DUMMYFUNCTION("""COMPUTED_VALUE"""),1.0)</f>
        <v>1</v>
      </c>
      <c r="U6765" s="4" t="str">
        <f>IFERROR(__xludf.DUMMYFUNCTION("""COMPUTED_VALUE"""),"null")</f>
        <v>null</v>
      </c>
      <c r="V6765" s="33">
        <f>IFERROR(__xludf.DUMMYFUNCTION("""COMPUTED_VALUE"""),0.5)</f>
        <v>0.5</v>
      </c>
      <c r="W6765" s="4" t="str">
        <f>IFERROR(__xludf.DUMMYFUNCTION("""COMPUTED_VALUE"""),"null")</f>
        <v>null</v>
      </c>
      <c r="X6765" s="33">
        <f>IFERROR(__xludf.DUMMYFUNCTION("""COMPUTED_VALUE"""),0.5)</f>
        <v>0.5</v>
      </c>
    </row>
    <row r="6766">
      <c r="K6766" s="4" t="str">
        <f>IFERROR(__xludf.DUMMYFUNCTION("""COMPUTED_VALUE"""),"CARE NATURAL BEAUTY - CONTA PAI")</f>
        <v>CARE NATURAL BEAUTY - CONTA PAI</v>
      </c>
      <c r="L6766" s="32">
        <f>IFERROR(__xludf.DUMMYFUNCTION("""COMPUTED_VALUE"""),2.0)</f>
        <v>2</v>
      </c>
      <c r="M6766" s="4" t="str">
        <f>IFERROR(__xludf.DUMMYFUNCTION("""COMPUTED_VALUE"""),"null")</f>
        <v>null</v>
      </c>
      <c r="N6766" s="33">
        <f>IFERROR(__xludf.DUMMYFUNCTION("""COMPUTED_VALUE"""),1.0)</f>
        <v>1</v>
      </c>
      <c r="O6766" s="4" t="str">
        <f>IFERROR(__xludf.DUMMYFUNCTION("""COMPUTED_VALUE"""),"null")</f>
        <v>null</v>
      </c>
      <c r="P6766" s="33">
        <f>IFERROR(__xludf.DUMMYFUNCTION("""COMPUTED_VALUE"""),1.0)</f>
        <v>1</v>
      </c>
      <c r="Q6766" s="4" t="str">
        <f>IFERROR(__xludf.DUMMYFUNCTION("""COMPUTED_VALUE"""),"null")</f>
        <v>null</v>
      </c>
      <c r="R6766" s="33">
        <f>IFERROR(__xludf.DUMMYFUNCTION("""COMPUTED_VALUE"""),1.0)</f>
        <v>1</v>
      </c>
      <c r="S6766" s="4" t="str">
        <f>IFERROR(__xludf.DUMMYFUNCTION("""COMPUTED_VALUE"""),"null")</f>
        <v>null</v>
      </c>
      <c r="T6766" s="33">
        <f>IFERROR(__xludf.DUMMYFUNCTION("""COMPUTED_VALUE"""),1.0)</f>
        <v>1</v>
      </c>
      <c r="U6766" s="4" t="str">
        <f>IFERROR(__xludf.DUMMYFUNCTION("""COMPUTED_VALUE"""),"null")</f>
        <v>null</v>
      </c>
      <c r="V6766" s="33">
        <f>IFERROR(__xludf.DUMMYFUNCTION("""COMPUTED_VALUE"""),1.0)</f>
        <v>1</v>
      </c>
      <c r="W6766" s="4" t="str">
        <f>IFERROR(__xludf.DUMMYFUNCTION("""COMPUTED_VALUE"""),"N/A (Not found)")</f>
        <v>N/A (Not found)</v>
      </c>
      <c r="X6766" s="33">
        <f>IFERROR(__xludf.DUMMYFUNCTION("""COMPUTED_VALUE"""),1.0)</f>
        <v>1</v>
      </c>
    </row>
    <row r="6767">
      <c r="K6767" s="4" t="str">
        <f>IFERROR(__xludf.DUMMYFUNCTION("""COMPUTED_VALUE"""),"CARLOS PIZZA")</f>
        <v>CARLOS PIZZA</v>
      </c>
      <c r="L6767" s="32">
        <f>IFERROR(__xludf.DUMMYFUNCTION("""COMPUTED_VALUE"""),2.0)</f>
        <v>2</v>
      </c>
      <c r="M6767" s="4" t="str">
        <f>IFERROR(__xludf.DUMMYFUNCTION("""COMPUTED_VALUE"""),"Altec Sistemas")</f>
        <v>Altec Sistemas</v>
      </c>
      <c r="N6767" s="33">
        <f>IFERROR(__xludf.DUMMYFUNCTION("""COMPUTED_VALUE"""),1.0)</f>
        <v>1</v>
      </c>
      <c r="O6767" s="4" t="str">
        <f>IFERROR(__xludf.DUMMYFUNCTION("""COMPUTED_VALUE"""),"Altec Sistemas")</f>
        <v>Altec Sistemas</v>
      </c>
      <c r="P6767" s="33">
        <f>IFERROR(__xludf.DUMMYFUNCTION("""COMPUTED_VALUE"""),1.0)</f>
        <v>1</v>
      </c>
      <c r="Q6767" s="4" t="str">
        <f>IFERROR(__xludf.DUMMYFUNCTION("""COMPUTED_VALUE"""),"Altec Sistemas")</f>
        <v>Altec Sistemas</v>
      </c>
      <c r="R6767" s="33">
        <f>IFERROR(__xludf.DUMMYFUNCTION("""COMPUTED_VALUE"""),1.0)</f>
        <v>1</v>
      </c>
      <c r="S6767" s="4" t="str">
        <f>IFERROR(__xludf.DUMMYFUNCTION("""COMPUTED_VALUE"""),"Altec Sistemas")</f>
        <v>Altec Sistemas</v>
      </c>
      <c r="T6767" s="33">
        <f>IFERROR(__xludf.DUMMYFUNCTION("""COMPUTED_VALUE"""),1.0)</f>
        <v>1</v>
      </c>
      <c r="U6767" s="4" t="str">
        <f>IFERROR(__xludf.DUMMYFUNCTION("""COMPUTED_VALUE"""),"Altec Sistemas")</f>
        <v>Altec Sistemas</v>
      </c>
      <c r="V6767" s="33">
        <f>IFERROR(__xludf.DUMMYFUNCTION("""COMPUTED_VALUE"""),1.0)</f>
        <v>1</v>
      </c>
      <c r="W6767" s="4" t="str">
        <f>IFERROR(__xludf.DUMMYFUNCTION("""COMPUTED_VALUE"""),"Altec Sistemas")</f>
        <v>Altec Sistemas</v>
      </c>
      <c r="X6767" s="33">
        <f>IFERROR(__xludf.DUMMYFUNCTION("""COMPUTED_VALUE"""),1.0)</f>
        <v>1</v>
      </c>
    </row>
    <row r="6768">
      <c r="K6768" s="4" t="str">
        <f>IFERROR(__xludf.DUMMYFUNCTION("""COMPUTED_VALUE"""),"GRUPO CARLOS PIZZA")</f>
        <v>GRUPO CARLOS PIZZA</v>
      </c>
      <c r="L6768" s="32">
        <f>IFERROR(__xludf.DUMMYFUNCTION("""COMPUTED_VALUE"""),2.0)</f>
        <v>2</v>
      </c>
      <c r="M6768" s="4" t="str">
        <f>IFERROR(__xludf.DUMMYFUNCTION("""COMPUTED_VALUE"""),"Altec Sistemas")</f>
        <v>Altec Sistemas</v>
      </c>
      <c r="N6768" s="33">
        <f>IFERROR(__xludf.DUMMYFUNCTION("""COMPUTED_VALUE"""),1.0)</f>
        <v>1</v>
      </c>
      <c r="O6768" s="4" t="str">
        <f>IFERROR(__xludf.DUMMYFUNCTION("""COMPUTED_VALUE"""),"Altec Sistemas")</f>
        <v>Altec Sistemas</v>
      </c>
      <c r="P6768" s="33">
        <f>IFERROR(__xludf.DUMMYFUNCTION("""COMPUTED_VALUE"""),1.0)</f>
        <v>1</v>
      </c>
      <c r="Q6768" s="4" t="str">
        <f>IFERROR(__xludf.DUMMYFUNCTION("""COMPUTED_VALUE"""),"Altec Sistemas")</f>
        <v>Altec Sistemas</v>
      </c>
      <c r="R6768" s="33">
        <f>IFERROR(__xludf.DUMMYFUNCTION("""COMPUTED_VALUE"""),1.0)</f>
        <v>1</v>
      </c>
      <c r="S6768" s="4" t="str">
        <f>IFERROR(__xludf.DUMMYFUNCTION("""COMPUTED_VALUE"""),"Altec Sistemas")</f>
        <v>Altec Sistemas</v>
      </c>
      <c r="T6768" s="33">
        <f>IFERROR(__xludf.DUMMYFUNCTION("""COMPUTED_VALUE"""),1.0)</f>
        <v>1</v>
      </c>
      <c r="U6768" s="4" t="str">
        <f>IFERROR(__xludf.DUMMYFUNCTION("""COMPUTED_VALUE"""),"Altec Sistemas")</f>
        <v>Altec Sistemas</v>
      </c>
      <c r="V6768" s="33">
        <f>IFERROR(__xludf.DUMMYFUNCTION("""COMPUTED_VALUE"""),1.0)</f>
        <v>1</v>
      </c>
      <c r="W6768" s="4" t="str">
        <f>IFERROR(__xludf.DUMMYFUNCTION("""COMPUTED_VALUE"""),"Altec Sistemas")</f>
        <v>Altec Sistemas</v>
      </c>
      <c r="X6768" s="33">
        <f>IFERROR(__xludf.DUMMYFUNCTION("""COMPUTED_VALUE"""),1.0)</f>
        <v>1</v>
      </c>
    </row>
    <row r="6769">
      <c r="K6769" s="4" t="str">
        <f>IFERROR(__xludf.DUMMYFUNCTION("""COMPUTED_VALUE"""),"CARMELA EXPRESS CONTA MARCA")</f>
        <v>CARMELA EXPRESS CONTA MARCA</v>
      </c>
      <c r="L6769" s="32">
        <f>IFERROR(__xludf.DUMMYFUNCTION("""COMPUTED_VALUE"""),2.0)</f>
        <v>2</v>
      </c>
      <c r="M6769" s="4" t="str">
        <f>IFERROR(__xludf.DUMMYFUNCTION("""COMPUTED_VALUE"""),"Solução Sistemas")</f>
        <v>Solução Sistemas</v>
      </c>
      <c r="N6769" s="33">
        <f>IFERROR(__xludf.DUMMYFUNCTION("""COMPUTED_VALUE"""),1.0)</f>
        <v>1</v>
      </c>
      <c r="O6769" s="4" t="str">
        <f>IFERROR(__xludf.DUMMYFUNCTION("""COMPUTED_VALUE"""),"Solução Sistemas")</f>
        <v>Solução Sistemas</v>
      </c>
      <c r="P6769" s="33">
        <f>IFERROR(__xludf.DUMMYFUNCTION("""COMPUTED_VALUE"""),1.0)</f>
        <v>1</v>
      </c>
      <c r="Q6769" s="4" t="str">
        <f>IFERROR(__xludf.DUMMYFUNCTION("""COMPUTED_VALUE"""),"Solução Sistemas")</f>
        <v>Solução Sistemas</v>
      </c>
      <c r="R6769" s="33">
        <f>IFERROR(__xludf.DUMMYFUNCTION("""COMPUTED_VALUE"""),1.0)</f>
        <v>1</v>
      </c>
      <c r="S6769" s="4" t="str">
        <f>IFERROR(__xludf.DUMMYFUNCTION("""COMPUTED_VALUE"""),"null")</f>
        <v>null</v>
      </c>
      <c r="T6769" s="33">
        <f>IFERROR(__xludf.DUMMYFUNCTION("""COMPUTED_VALUE"""),0.5)</f>
        <v>0.5</v>
      </c>
      <c r="U6769" s="4" t="str">
        <f>IFERROR(__xludf.DUMMYFUNCTION("""COMPUTED_VALUE"""),"null")</f>
        <v>null</v>
      </c>
      <c r="V6769" s="33">
        <f>IFERROR(__xludf.DUMMYFUNCTION("""COMPUTED_VALUE"""),0.5)</f>
        <v>0.5</v>
      </c>
      <c r="W6769" s="4" t="str">
        <f>IFERROR(__xludf.DUMMYFUNCTION("""COMPUTED_VALUE"""),"null")</f>
        <v>null</v>
      </c>
      <c r="X6769" s="33">
        <f>IFERROR(__xludf.DUMMYFUNCTION("""COMPUTED_VALUE"""),0.5)</f>
        <v>0.5</v>
      </c>
    </row>
    <row r="6770">
      <c r="K6770" s="4" t="str">
        <f>IFERROR(__xludf.DUMMYFUNCTION("""COMPUTED_VALUE"""),"CAROL CALAZANS DOCERIA")</f>
        <v>CAROL CALAZANS DOCERIA</v>
      </c>
      <c r="L6770" s="32">
        <f>IFERROR(__xludf.DUMMYFUNCTION("""COMPUTED_VALUE"""),2.0)</f>
        <v>2</v>
      </c>
      <c r="M6770" s="4" t="str">
        <f>IFERROR(__xludf.DUMMYFUNCTION("""COMPUTED_VALUE"""),"T4l Tecnologia Ltda Me")</f>
        <v>T4l Tecnologia Ltda Me</v>
      </c>
      <c r="N6770" s="33">
        <f>IFERROR(__xludf.DUMMYFUNCTION("""COMPUTED_VALUE"""),1.0)</f>
        <v>1</v>
      </c>
      <c r="O6770" s="4" t="str">
        <f>IFERROR(__xludf.DUMMYFUNCTION("""COMPUTED_VALUE"""),"T4l Tecnologia Ltda Me")</f>
        <v>T4l Tecnologia Ltda Me</v>
      </c>
      <c r="P6770" s="33">
        <f>IFERROR(__xludf.DUMMYFUNCTION("""COMPUTED_VALUE"""),1.0)</f>
        <v>1</v>
      </c>
      <c r="Q6770" s="4" t="str">
        <f>IFERROR(__xludf.DUMMYFUNCTION("""COMPUTED_VALUE"""),"T4l Tecnologia Ltda Me")</f>
        <v>T4l Tecnologia Ltda Me</v>
      </c>
      <c r="R6770" s="33">
        <f>IFERROR(__xludf.DUMMYFUNCTION("""COMPUTED_VALUE"""),1.0)</f>
        <v>1</v>
      </c>
      <c r="S6770" s="4" t="str">
        <f>IFERROR(__xludf.DUMMYFUNCTION("""COMPUTED_VALUE"""),"T4l Tecnologia Ltda Me")</f>
        <v>T4l Tecnologia Ltda Me</v>
      </c>
      <c r="T6770" s="33">
        <f>IFERROR(__xludf.DUMMYFUNCTION("""COMPUTED_VALUE"""),1.0)</f>
        <v>1</v>
      </c>
      <c r="U6770" s="4" t="str">
        <f>IFERROR(__xludf.DUMMYFUNCTION("""COMPUTED_VALUE"""),"T4l Tecnologia Ltda Me")</f>
        <v>T4l Tecnologia Ltda Me</v>
      </c>
      <c r="V6770" s="33">
        <f>IFERROR(__xludf.DUMMYFUNCTION("""COMPUTED_VALUE"""),1.0)</f>
        <v>1</v>
      </c>
      <c r="W6770" s="4" t="str">
        <f>IFERROR(__xludf.DUMMYFUNCTION("""COMPUTED_VALUE"""),"T4l Tecnologia Ltda Me")</f>
        <v>T4l Tecnologia Ltda Me</v>
      </c>
      <c r="X6770" s="33">
        <f>IFERROR(__xludf.DUMMYFUNCTION("""COMPUTED_VALUE"""),1.0)</f>
        <v>1</v>
      </c>
    </row>
    <row r="6771">
      <c r="K6771" s="4" t="str">
        <f>IFERROR(__xludf.DUMMYFUNCTION("""COMPUTED_VALUE"""),"CARU CAFE PRA LEVAR")</f>
        <v>CARU CAFE PRA LEVAR</v>
      </c>
      <c r="L6771" s="32">
        <f>IFERROR(__xludf.DUMMYFUNCTION("""COMPUTED_VALUE"""),2.0)</f>
        <v>2</v>
      </c>
      <c r="M6771" s="4" t="str">
        <f>IFERROR(__xludf.DUMMYFUNCTION("""COMPUTED_VALUE"""),"Saipos Serviços De Software")</f>
        <v>Saipos Serviços De Software</v>
      </c>
      <c r="N6771" s="33">
        <f>IFERROR(__xludf.DUMMYFUNCTION("""COMPUTED_VALUE"""),1.0)</f>
        <v>1</v>
      </c>
      <c r="O6771" s="4" t="str">
        <f>IFERROR(__xludf.DUMMYFUNCTION("""COMPUTED_VALUE"""),"Saipos Serviços De Software")</f>
        <v>Saipos Serviços De Software</v>
      </c>
      <c r="P6771" s="33">
        <f>IFERROR(__xludf.DUMMYFUNCTION("""COMPUTED_VALUE"""),1.0)</f>
        <v>1</v>
      </c>
      <c r="Q6771" s="4" t="str">
        <f>IFERROR(__xludf.DUMMYFUNCTION("""COMPUTED_VALUE"""),"Saipos Serviços De Software")</f>
        <v>Saipos Serviços De Software</v>
      </c>
      <c r="R6771" s="33">
        <f>IFERROR(__xludf.DUMMYFUNCTION("""COMPUTED_VALUE"""),1.0)</f>
        <v>1</v>
      </c>
      <c r="S6771" s="4" t="str">
        <f>IFERROR(__xludf.DUMMYFUNCTION("""COMPUTED_VALUE"""),"null")</f>
        <v>null</v>
      </c>
      <c r="T6771" s="33">
        <f>IFERROR(__xludf.DUMMYFUNCTION("""COMPUTED_VALUE"""),0.5)</f>
        <v>0.5</v>
      </c>
      <c r="U6771" s="4" t="str">
        <f>IFERROR(__xludf.DUMMYFUNCTION("""COMPUTED_VALUE"""),"Saipos Serviços De Software")</f>
        <v>Saipos Serviços De Software</v>
      </c>
      <c r="V6771" s="33">
        <f>IFERROR(__xludf.DUMMYFUNCTION("""COMPUTED_VALUE"""),1.0)</f>
        <v>1</v>
      </c>
      <c r="W6771" s="4" t="str">
        <f>IFERROR(__xludf.DUMMYFUNCTION("""COMPUTED_VALUE"""),"Saipos Serviços De Software")</f>
        <v>Saipos Serviços De Software</v>
      </c>
      <c r="X6771" s="33">
        <f>IFERROR(__xludf.DUMMYFUNCTION("""COMPUTED_VALUE"""),1.0)</f>
        <v>1</v>
      </c>
    </row>
    <row r="6772">
      <c r="K6772" s="4" t="str">
        <f>IFERROR(__xludf.DUMMYFUNCTION("""COMPUTED_VALUE"""),"CASA ALEMA")</f>
        <v>CASA ALEMA</v>
      </c>
      <c r="L6772" s="32">
        <f>IFERROR(__xludf.DUMMYFUNCTION("""COMPUTED_VALUE"""),2.0)</f>
        <v>2</v>
      </c>
      <c r="M6772" s="4" t="str">
        <f>IFERROR(__xludf.DUMMYFUNCTION("""COMPUTED_VALUE"""),"Totvs Large Enterprise Tecnologia S.a.")</f>
        <v>Totvs Large Enterprise Tecnologia S.a.</v>
      </c>
      <c r="N6772" s="33">
        <f>IFERROR(__xludf.DUMMYFUNCTION("""COMPUTED_VALUE"""),1.0)</f>
        <v>1</v>
      </c>
      <c r="O6772" s="4" t="str">
        <f>IFERROR(__xludf.DUMMYFUNCTION("""COMPUTED_VALUE"""),"Totvs Large Enterprise Tecnologia S.a.")</f>
        <v>Totvs Large Enterprise Tecnologia S.a.</v>
      </c>
      <c r="P6772" s="33">
        <f>IFERROR(__xludf.DUMMYFUNCTION("""COMPUTED_VALUE"""),1.0)</f>
        <v>1</v>
      </c>
      <c r="Q6772" s="4" t="str">
        <f>IFERROR(__xludf.DUMMYFUNCTION("""COMPUTED_VALUE"""),"Totvs Large Enterprise Tecnologia S.a.")</f>
        <v>Totvs Large Enterprise Tecnologia S.a.</v>
      </c>
      <c r="R6772" s="33">
        <f>IFERROR(__xludf.DUMMYFUNCTION("""COMPUTED_VALUE"""),1.0)</f>
        <v>1</v>
      </c>
      <c r="S6772" s="4" t="str">
        <f>IFERROR(__xludf.DUMMYFUNCTION("""COMPUTED_VALUE"""),"Totvs Large Enterprise Tecnologia S.a.")</f>
        <v>Totvs Large Enterprise Tecnologia S.a.</v>
      </c>
      <c r="T6772" s="33">
        <f>IFERROR(__xludf.DUMMYFUNCTION("""COMPUTED_VALUE"""),1.0)</f>
        <v>1</v>
      </c>
      <c r="U6772" s="4" t="str">
        <f>IFERROR(__xludf.DUMMYFUNCTION("""COMPUTED_VALUE"""),"Totvs Large Enterprise Tecnologia S.a.")</f>
        <v>Totvs Large Enterprise Tecnologia S.a.</v>
      </c>
      <c r="V6772" s="33">
        <f>IFERROR(__xludf.DUMMYFUNCTION("""COMPUTED_VALUE"""),1.0)</f>
        <v>1</v>
      </c>
      <c r="W6772" s="4" t="str">
        <f>IFERROR(__xludf.DUMMYFUNCTION("""COMPUTED_VALUE"""),"null")</f>
        <v>null</v>
      </c>
      <c r="X6772" s="33">
        <f>IFERROR(__xludf.DUMMYFUNCTION("""COMPUTED_VALUE"""),0.5)</f>
        <v>0.5</v>
      </c>
    </row>
    <row r="6773">
      <c r="K6773" s="4" t="str">
        <f>IFERROR(__xludf.DUMMYFUNCTION("""COMPUTED_VALUE"""),"CASA DA BISA BOLOS CASEIROS")</f>
        <v>CASA DA BISA BOLOS CASEIROS</v>
      </c>
      <c r="L6773" s="32">
        <f>IFERROR(__xludf.DUMMYFUNCTION("""COMPUTED_VALUE"""),2.0)</f>
        <v>2</v>
      </c>
      <c r="M6773" s="4" t="str">
        <f>IFERROR(__xludf.DUMMYFUNCTION("""COMPUTED_VALUE"""),"Consumer Soluções Em Tecnologia Ltda")</f>
        <v>Consumer Soluções Em Tecnologia Ltda</v>
      </c>
      <c r="N6773" s="33">
        <f>IFERROR(__xludf.DUMMYFUNCTION("""COMPUTED_VALUE"""),1.0)</f>
        <v>1</v>
      </c>
      <c r="O6773" s="4" t="str">
        <f>IFERROR(__xludf.DUMMYFUNCTION("""COMPUTED_VALUE"""),"Consumer Soluções Em Tecnologia Ltda")</f>
        <v>Consumer Soluções Em Tecnologia Ltda</v>
      </c>
      <c r="P6773" s="33">
        <f>IFERROR(__xludf.DUMMYFUNCTION("""COMPUTED_VALUE"""),1.0)</f>
        <v>1</v>
      </c>
      <c r="Q6773" s="4" t="str">
        <f>IFERROR(__xludf.DUMMYFUNCTION("""COMPUTED_VALUE"""),"Consumer Soluções Em Tecnologia Ltda")</f>
        <v>Consumer Soluções Em Tecnologia Ltda</v>
      </c>
      <c r="R6773" s="33">
        <f>IFERROR(__xludf.DUMMYFUNCTION("""COMPUTED_VALUE"""),1.0)</f>
        <v>1</v>
      </c>
      <c r="S6773" s="4" t="str">
        <f>IFERROR(__xludf.DUMMYFUNCTION("""COMPUTED_VALUE"""),"Consumer Soluções Em Tecnologia Ltda")</f>
        <v>Consumer Soluções Em Tecnologia Ltda</v>
      </c>
      <c r="T6773" s="33">
        <f>IFERROR(__xludf.DUMMYFUNCTION("""COMPUTED_VALUE"""),1.0)</f>
        <v>1</v>
      </c>
      <c r="U6773" s="4" t="str">
        <f>IFERROR(__xludf.DUMMYFUNCTION("""COMPUTED_VALUE"""),"Consumer Soluções Em Tecnologia Ltda")</f>
        <v>Consumer Soluções Em Tecnologia Ltda</v>
      </c>
      <c r="V6773" s="33">
        <f>IFERROR(__xludf.DUMMYFUNCTION("""COMPUTED_VALUE"""),1.0)</f>
        <v>1</v>
      </c>
      <c r="W6773" s="4" t="str">
        <f>IFERROR(__xludf.DUMMYFUNCTION("""COMPUTED_VALUE"""),"Consumer Soluções Em Tecnologia Ltda")</f>
        <v>Consumer Soluções Em Tecnologia Ltda</v>
      </c>
      <c r="X6773" s="33">
        <f>IFERROR(__xludf.DUMMYFUNCTION("""COMPUTED_VALUE"""),1.0)</f>
        <v>1</v>
      </c>
    </row>
    <row r="6774">
      <c r="K6774" s="4" t="str">
        <f>IFERROR(__xludf.DUMMYFUNCTION("""COMPUTED_VALUE"""),"CASA DA ESFIHA - RUDGE RAMOS")</f>
        <v>CASA DA ESFIHA - RUDGE RAMOS</v>
      </c>
      <c r="L6774" s="32">
        <f>IFERROR(__xludf.DUMMYFUNCTION("""COMPUTED_VALUE"""),2.0)</f>
        <v>2</v>
      </c>
      <c r="M6774" s="4" t="str">
        <f>IFERROR(__xludf.DUMMYFUNCTION("""COMPUTED_VALUE"""),"Saipos Serviços De Software")</f>
        <v>Saipos Serviços De Software</v>
      </c>
      <c r="N6774" s="33">
        <f>IFERROR(__xludf.DUMMYFUNCTION("""COMPUTED_VALUE"""),1.0)</f>
        <v>1</v>
      </c>
      <c r="O6774" s="4" t="str">
        <f>IFERROR(__xludf.DUMMYFUNCTION("""COMPUTED_VALUE"""),"Saipos Serviços De Software")</f>
        <v>Saipos Serviços De Software</v>
      </c>
      <c r="P6774" s="33">
        <f>IFERROR(__xludf.DUMMYFUNCTION("""COMPUTED_VALUE"""),0.5)</f>
        <v>0.5</v>
      </c>
      <c r="Q6774" s="4" t="str">
        <f>IFERROR(__xludf.DUMMYFUNCTION("""COMPUTED_VALUE"""),"Saipos Serviços De Software")</f>
        <v>Saipos Serviços De Software</v>
      </c>
      <c r="R6774" s="33">
        <f>IFERROR(__xludf.DUMMYFUNCTION("""COMPUTED_VALUE"""),1.0)</f>
        <v>1</v>
      </c>
      <c r="S6774" s="4" t="str">
        <f>IFERROR(__xludf.DUMMYFUNCTION("""COMPUTED_VALUE"""),"Saipos Serviços De Software")</f>
        <v>Saipos Serviços De Software</v>
      </c>
      <c r="T6774" s="33">
        <f>IFERROR(__xludf.DUMMYFUNCTION("""COMPUTED_VALUE"""),1.0)</f>
        <v>1</v>
      </c>
      <c r="U6774" s="4" t="str">
        <f>IFERROR(__xludf.DUMMYFUNCTION("""COMPUTED_VALUE"""),"Saipos Serviços De Software")</f>
        <v>Saipos Serviços De Software</v>
      </c>
      <c r="V6774" s="33">
        <f>IFERROR(__xludf.DUMMYFUNCTION("""COMPUTED_VALUE"""),1.0)</f>
        <v>1</v>
      </c>
      <c r="W6774" s="4" t="str">
        <f>IFERROR(__xludf.DUMMYFUNCTION("""COMPUTED_VALUE"""),"Saipos Serviços De Software")</f>
        <v>Saipos Serviços De Software</v>
      </c>
      <c r="X6774" s="33">
        <f>IFERROR(__xludf.DUMMYFUNCTION("""COMPUTED_VALUE"""),0.5)</f>
        <v>0.5</v>
      </c>
    </row>
    <row r="6775">
      <c r="K6775" s="4" t="str">
        <f>IFERROR(__xludf.DUMMYFUNCTION("""COMPUTED_VALUE"""),"CASA DA FEIJOADA - CONTA PAI")</f>
        <v>CASA DA FEIJOADA - CONTA PAI</v>
      </c>
      <c r="L6775" s="32">
        <f>IFERROR(__xludf.DUMMYFUNCTION("""COMPUTED_VALUE"""),2.0)</f>
        <v>2</v>
      </c>
      <c r="M6775" s="4" t="str">
        <f>IFERROR(__xludf.DUMMYFUNCTION("""COMPUTED_VALUE"""),"Cardápio Web")</f>
        <v>Cardápio Web</v>
      </c>
      <c r="N6775" s="33">
        <f>IFERROR(__xludf.DUMMYFUNCTION("""COMPUTED_VALUE"""),1.0)</f>
        <v>1</v>
      </c>
      <c r="O6775" s="4" t="str">
        <f>IFERROR(__xludf.DUMMYFUNCTION("""COMPUTED_VALUE"""),"Cardápio Web")</f>
        <v>Cardápio Web</v>
      </c>
      <c r="P6775" s="33">
        <f>IFERROR(__xludf.DUMMYFUNCTION("""COMPUTED_VALUE"""),1.0)</f>
        <v>1</v>
      </c>
      <c r="Q6775" s="4" t="str">
        <f>IFERROR(__xludf.DUMMYFUNCTION("""COMPUTED_VALUE"""),"Cardápio Web")</f>
        <v>Cardápio Web</v>
      </c>
      <c r="R6775" s="33">
        <f>IFERROR(__xludf.DUMMYFUNCTION("""COMPUTED_VALUE"""),1.0)</f>
        <v>1</v>
      </c>
      <c r="S6775" s="4" t="str">
        <f>IFERROR(__xludf.DUMMYFUNCTION("""COMPUTED_VALUE"""),"Cardápio Web")</f>
        <v>Cardápio Web</v>
      </c>
      <c r="T6775" s="33">
        <f>IFERROR(__xludf.DUMMYFUNCTION("""COMPUTED_VALUE"""),1.0)</f>
        <v>1</v>
      </c>
      <c r="U6775" s="4" t="str">
        <f>IFERROR(__xludf.DUMMYFUNCTION("""COMPUTED_VALUE"""),"Cardápio Web")</f>
        <v>Cardápio Web</v>
      </c>
      <c r="V6775" s="33">
        <f>IFERROR(__xludf.DUMMYFUNCTION("""COMPUTED_VALUE"""),1.0)</f>
        <v>1</v>
      </c>
      <c r="W6775" s="4" t="str">
        <f>IFERROR(__xludf.DUMMYFUNCTION("""COMPUTED_VALUE"""),"Cardápio Web")</f>
        <v>Cardápio Web</v>
      </c>
      <c r="X6775" s="33">
        <f>IFERROR(__xludf.DUMMYFUNCTION("""COMPUTED_VALUE"""),1.0)</f>
        <v>1</v>
      </c>
    </row>
    <row r="6776">
      <c r="K6776" s="4" t="str">
        <f>IFERROR(__xludf.DUMMYFUNCTION("""COMPUTED_VALUE"""),"CASA DA VO - GRUPO")</f>
        <v>CASA DA VO - GRUPO</v>
      </c>
      <c r="L6776" s="32">
        <f>IFERROR(__xludf.DUMMYFUNCTION("""COMPUTED_VALUE"""),2.0)</f>
        <v>2</v>
      </c>
      <c r="M6776" s="4" t="str">
        <f>IFERROR(__xludf.DUMMYFUNCTION("""COMPUTED_VALUE"""),"Saipos Serviços De Software")</f>
        <v>Saipos Serviços De Software</v>
      </c>
      <c r="N6776" s="33">
        <f>IFERROR(__xludf.DUMMYFUNCTION("""COMPUTED_VALUE"""),1.0)</f>
        <v>1</v>
      </c>
      <c r="O6776" s="4" t="str">
        <f>IFERROR(__xludf.DUMMYFUNCTION("""COMPUTED_VALUE"""),"Saipos Serviços De Software")</f>
        <v>Saipos Serviços De Software</v>
      </c>
      <c r="P6776" s="33">
        <f>IFERROR(__xludf.DUMMYFUNCTION("""COMPUTED_VALUE"""),1.0)</f>
        <v>1</v>
      </c>
      <c r="Q6776" s="4" t="str">
        <f>IFERROR(__xludf.DUMMYFUNCTION("""COMPUTED_VALUE"""),"Saipos Serviços De Software")</f>
        <v>Saipos Serviços De Software</v>
      </c>
      <c r="R6776" s="33">
        <f>IFERROR(__xludf.DUMMYFUNCTION("""COMPUTED_VALUE"""),1.0)</f>
        <v>1</v>
      </c>
      <c r="S6776" s="4" t="str">
        <f>IFERROR(__xludf.DUMMYFUNCTION("""COMPUTED_VALUE"""),"Saipos Serviços De Software")</f>
        <v>Saipos Serviços De Software</v>
      </c>
      <c r="T6776" s="33">
        <f>IFERROR(__xludf.DUMMYFUNCTION("""COMPUTED_VALUE"""),1.0)</f>
        <v>1</v>
      </c>
      <c r="U6776" s="4" t="str">
        <f>IFERROR(__xludf.DUMMYFUNCTION("""COMPUTED_VALUE"""),"Saipos Serviços De Software")</f>
        <v>Saipos Serviços De Software</v>
      </c>
      <c r="V6776" s="33">
        <f>IFERROR(__xludf.DUMMYFUNCTION("""COMPUTED_VALUE"""),1.0)</f>
        <v>1</v>
      </c>
      <c r="W6776" s="4" t="str">
        <f>IFERROR(__xludf.DUMMYFUNCTION("""COMPUTED_VALUE"""),"Saipos Serviços De Software")</f>
        <v>Saipos Serviços De Software</v>
      </c>
      <c r="X6776" s="33">
        <f>IFERROR(__xludf.DUMMYFUNCTION("""COMPUTED_VALUE"""),1.0)</f>
        <v>1</v>
      </c>
    </row>
    <row r="6777">
      <c r="K6777" s="4" t="str">
        <f>IFERROR(__xludf.DUMMYFUNCTION("""COMPUTED_VALUE"""),"CASA DE PETITE SLZ")</f>
        <v>CASA DE PETITE SLZ</v>
      </c>
      <c r="L6777" s="32">
        <f>IFERROR(__xludf.DUMMYFUNCTION("""COMPUTED_VALUE"""),2.0)</f>
        <v>2</v>
      </c>
      <c r="M6777" s="4" t="str">
        <f>IFERROR(__xludf.DUMMYFUNCTION("""COMPUTED_VALUE"""),"Takeat Tecnologia")</f>
        <v>Takeat Tecnologia</v>
      </c>
      <c r="N6777" s="33">
        <f>IFERROR(__xludf.DUMMYFUNCTION("""COMPUTED_VALUE"""),1.0)</f>
        <v>1</v>
      </c>
      <c r="O6777" s="4" t="str">
        <f>IFERROR(__xludf.DUMMYFUNCTION("""COMPUTED_VALUE"""),"Takeat Tecnologia")</f>
        <v>Takeat Tecnologia</v>
      </c>
      <c r="P6777" s="33">
        <f>IFERROR(__xludf.DUMMYFUNCTION("""COMPUTED_VALUE"""),1.0)</f>
        <v>1</v>
      </c>
      <c r="Q6777" s="4" t="str">
        <f>IFERROR(__xludf.DUMMYFUNCTION("""COMPUTED_VALUE"""),"Takeat Tecnologia")</f>
        <v>Takeat Tecnologia</v>
      </c>
      <c r="R6777" s="33">
        <f>IFERROR(__xludf.DUMMYFUNCTION("""COMPUTED_VALUE"""),1.0)</f>
        <v>1</v>
      </c>
      <c r="S6777" s="4" t="str">
        <f>IFERROR(__xludf.DUMMYFUNCTION("""COMPUTED_VALUE"""),"Takeat Tecnologia")</f>
        <v>Takeat Tecnologia</v>
      </c>
      <c r="T6777" s="33">
        <f>IFERROR(__xludf.DUMMYFUNCTION("""COMPUTED_VALUE"""),1.0)</f>
        <v>1</v>
      </c>
      <c r="U6777" s="4" t="str">
        <f>IFERROR(__xludf.DUMMYFUNCTION("""COMPUTED_VALUE"""),"Takeat Tecnologia")</f>
        <v>Takeat Tecnologia</v>
      </c>
      <c r="V6777" s="33">
        <f>IFERROR(__xludf.DUMMYFUNCTION("""COMPUTED_VALUE"""),1.0)</f>
        <v>1</v>
      </c>
      <c r="W6777" s="4" t="str">
        <f>IFERROR(__xludf.DUMMYFUNCTION("""COMPUTED_VALUE"""),"Takeat Tecnologia")</f>
        <v>Takeat Tecnologia</v>
      </c>
      <c r="X6777" s="33">
        <f>IFERROR(__xludf.DUMMYFUNCTION("""COMPUTED_VALUE"""),1.0)</f>
        <v>1</v>
      </c>
    </row>
    <row r="6778">
      <c r="K6778" s="4" t="str">
        <f>IFERROR(__xludf.DUMMYFUNCTION("""COMPUTED_VALUE"""),"CASA DO ALEMAO")</f>
        <v>CASA DO ALEMAO</v>
      </c>
      <c r="L6778" s="32">
        <f>IFERROR(__xludf.DUMMYFUNCTION("""COMPUTED_VALUE"""),2.0)</f>
        <v>2</v>
      </c>
      <c r="M6778" s="4" t="str">
        <f>IFERROR(__xludf.DUMMYFUNCTION("""COMPUTED_VALUE"""),"Totvs Large Enterprise Tecnologia S.a.")</f>
        <v>Totvs Large Enterprise Tecnologia S.a.</v>
      </c>
      <c r="N6778" s="33">
        <f>IFERROR(__xludf.DUMMYFUNCTION("""COMPUTED_VALUE"""),1.0)</f>
        <v>1</v>
      </c>
      <c r="O6778" s="4" t="str">
        <f>IFERROR(__xludf.DUMMYFUNCTION("""COMPUTED_VALUE"""),"Totvs Large Enterprise Tecnologia S.a.")</f>
        <v>Totvs Large Enterprise Tecnologia S.a.</v>
      </c>
      <c r="P6778" s="33">
        <f>IFERROR(__xludf.DUMMYFUNCTION("""COMPUTED_VALUE"""),0.5)</f>
        <v>0.5</v>
      </c>
      <c r="Q6778" s="4" t="str">
        <f>IFERROR(__xludf.DUMMYFUNCTION("""COMPUTED_VALUE"""),"Totvs Large Enterprise Tecnologia S.a.")</f>
        <v>Totvs Large Enterprise Tecnologia S.a.</v>
      </c>
      <c r="R6778" s="33">
        <f>IFERROR(__xludf.DUMMYFUNCTION("""COMPUTED_VALUE"""),0.5)</f>
        <v>0.5</v>
      </c>
      <c r="S6778" s="4" t="str">
        <f>IFERROR(__xludf.DUMMYFUNCTION("""COMPUTED_VALUE"""),"Totvs Large Enterprise Tecnologia S.a.")</f>
        <v>Totvs Large Enterprise Tecnologia S.a.</v>
      </c>
      <c r="T6778" s="33">
        <f>IFERROR(__xludf.DUMMYFUNCTION("""COMPUTED_VALUE"""),0.5)</f>
        <v>0.5</v>
      </c>
      <c r="U6778" s="4" t="str">
        <f>IFERROR(__xludf.DUMMYFUNCTION("""COMPUTED_VALUE"""),"Totvs Large Enterprise Tecnologia S.a.")</f>
        <v>Totvs Large Enterprise Tecnologia S.a.</v>
      </c>
      <c r="V6778" s="33">
        <f>IFERROR(__xludf.DUMMYFUNCTION("""COMPUTED_VALUE"""),1.0)</f>
        <v>1</v>
      </c>
      <c r="W6778" s="4" t="str">
        <f>IFERROR(__xludf.DUMMYFUNCTION("""COMPUTED_VALUE"""),"Totvs Large Enterprise Tecnologia S.a.")</f>
        <v>Totvs Large Enterprise Tecnologia S.a.</v>
      </c>
      <c r="X6778" s="33">
        <f>IFERROR(__xludf.DUMMYFUNCTION("""COMPUTED_VALUE"""),1.0)</f>
        <v>1</v>
      </c>
    </row>
    <row r="6779">
      <c r="K6779" s="4" t="str">
        <f>IFERROR(__xludf.DUMMYFUNCTION("""COMPUTED_VALUE"""),"CASA DO PARA")</f>
        <v>CASA DO PARA</v>
      </c>
      <c r="L6779" s="32">
        <f>IFERROR(__xludf.DUMMYFUNCTION("""COMPUTED_VALUE"""),2.0)</f>
        <v>2</v>
      </c>
      <c r="M6779" s="4" t="str">
        <f>IFERROR(__xludf.DUMMYFUNCTION("""COMPUTED_VALUE"""),"Cardápio Web")</f>
        <v>Cardápio Web</v>
      </c>
      <c r="N6779" s="33">
        <f>IFERROR(__xludf.DUMMYFUNCTION("""COMPUTED_VALUE"""),0.5)</f>
        <v>0.5</v>
      </c>
      <c r="O6779" s="4" t="str">
        <f>IFERROR(__xludf.DUMMYFUNCTION("""COMPUTED_VALUE"""),"Cardápio Web")</f>
        <v>Cardápio Web</v>
      </c>
      <c r="P6779" s="33">
        <f>IFERROR(__xludf.DUMMYFUNCTION("""COMPUTED_VALUE"""),0.5)</f>
        <v>0.5</v>
      </c>
      <c r="Q6779" s="4" t="str">
        <f>IFERROR(__xludf.DUMMYFUNCTION("""COMPUTED_VALUE"""),"null")</f>
        <v>null</v>
      </c>
      <c r="R6779" s="33">
        <f>IFERROR(__xludf.DUMMYFUNCTION("""COMPUTED_VALUE"""),0.5)</f>
        <v>0.5</v>
      </c>
      <c r="S6779" s="4" t="str">
        <f>IFERROR(__xludf.DUMMYFUNCTION("""COMPUTED_VALUE"""),"null")</f>
        <v>null</v>
      </c>
      <c r="T6779" s="33">
        <f>IFERROR(__xludf.DUMMYFUNCTION("""COMPUTED_VALUE"""),0.5)</f>
        <v>0.5</v>
      </c>
      <c r="U6779" s="4" t="str">
        <f>IFERROR(__xludf.DUMMYFUNCTION("""COMPUTED_VALUE"""),"null")</f>
        <v>null</v>
      </c>
      <c r="V6779" s="33">
        <f>IFERROR(__xludf.DUMMYFUNCTION("""COMPUTED_VALUE"""),0.5)</f>
        <v>0.5</v>
      </c>
      <c r="W6779" s="4" t="str">
        <f>IFERROR(__xludf.DUMMYFUNCTION("""COMPUTED_VALUE"""),"null")</f>
        <v>null</v>
      </c>
      <c r="X6779" s="33">
        <f>IFERROR(__xludf.DUMMYFUNCTION("""COMPUTED_VALUE"""),0.5)</f>
        <v>0.5</v>
      </c>
    </row>
    <row r="6780">
      <c r="K6780" s="4" t="str">
        <f>IFERROR(__xludf.DUMMYFUNCTION("""COMPUTED_VALUE"""),"CASA MINEIRA DELIVERY - MARMITARIA E TROPEIRO ESPECIAL")</f>
        <v>CASA MINEIRA DELIVERY - MARMITARIA E TROPEIRO ESPECIAL</v>
      </c>
      <c r="L6780" s="32">
        <f>IFERROR(__xludf.DUMMYFUNCTION("""COMPUTED_VALUE"""),2.0)</f>
        <v>2</v>
      </c>
      <c r="M6780" s="4" t="str">
        <f>IFERROR(__xludf.DUMMYFUNCTION("""COMPUTED_VALUE"""),"Saipos Serviços De Software")</f>
        <v>Saipos Serviços De Software</v>
      </c>
      <c r="N6780" s="33">
        <f>IFERROR(__xludf.DUMMYFUNCTION("""COMPUTED_VALUE"""),1.0)</f>
        <v>1</v>
      </c>
      <c r="O6780" s="4" t="str">
        <f>IFERROR(__xludf.DUMMYFUNCTION("""COMPUTED_VALUE"""),"Saipos Serviços De Software")</f>
        <v>Saipos Serviços De Software</v>
      </c>
      <c r="P6780" s="33">
        <f>IFERROR(__xludf.DUMMYFUNCTION("""COMPUTED_VALUE"""),1.0)</f>
        <v>1</v>
      </c>
      <c r="Q6780" s="4" t="str">
        <f>IFERROR(__xludf.DUMMYFUNCTION("""COMPUTED_VALUE"""),"Saipos Serviços De Software")</f>
        <v>Saipos Serviços De Software</v>
      </c>
      <c r="R6780" s="33">
        <f>IFERROR(__xludf.DUMMYFUNCTION("""COMPUTED_VALUE"""),1.0)</f>
        <v>1</v>
      </c>
      <c r="S6780" s="4" t="str">
        <f>IFERROR(__xludf.DUMMYFUNCTION("""COMPUTED_VALUE"""),"Saipos Serviços De Software")</f>
        <v>Saipos Serviços De Software</v>
      </c>
      <c r="T6780" s="33">
        <f>IFERROR(__xludf.DUMMYFUNCTION("""COMPUTED_VALUE"""),1.0)</f>
        <v>1</v>
      </c>
      <c r="U6780" s="4" t="str">
        <f>IFERROR(__xludf.DUMMYFUNCTION("""COMPUTED_VALUE"""),"Saipos Serviços De Software")</f>
        <v>Saipos Serviços De Software</v>
      </c>
      <c r="V6780" s="33">
        <f>IFERROR(__xludf.DUMMYFUNCTION("""COMPUTED_VALUE"""),1.0)</f>
        <v>1</v>
      </c>
      <c r="W6780" s="4" t="str">
        <f>IFERROR(__xludf.DUMMYFUNCTION("""COMPUTED_VALUE"""),"Saipos Serviços De Software")</f>
        <v>Saipos Serviços De Software</v>
      </c>
      <c r="X6780" s="33">
        <f>IFERROR(__xludf.DUMMYFUNCTION("""COMPUTED_VALUE"""),1.0)</f>
        <v>1</v>
      </c>
    </row>
    <row r="6781">
      <c r="K6781" s="4" t="str">
        <f>IFERROR(__xludf.DUMMYFUNCTION("""COMPUTED_VALUE"""),"CASA MOSCOU GASTRONOMIA")</f>
        <v>CASA MOSCOU GASTRONOMIA</v>
      </c>
      <c r="L6781" s="32">
        <f>IFERROR(__xludf.DUMMYFUNCTION("""COMPUTED_VALUE"""),2.0)</f>
        <v>2</v>
      </c>
      <c r="M6781" s="4" t="str">
        <f>IFERROR(__xludf.DUMMYFUNCTION("""COMPUTED_VALUE"""),"Cardápio Web")</f>
        <v>Cardápio Web</v>
      </c>
      <c r="N6781" s="33">
        <f>IFERROR(__xludf.DUMMYFUNCTION("""COMPUTED_VALUE"""),1.0)</f>
        <v>1</v>
      </c>
      <c r="O6781" s="4" t="str">
        <f>IFERROR(__xludf.DUMMYFUNCTION("""COMPUTED_VALUE"""),"Cardápio Web")</f>
        <v>Cardápio Web</v>
      </c>
      <c r="P6781" s="33">
        <f>IFERROR(__xludf.DUMMYFUNCTION("""COMPUTED_VALUE"""),1.0)</f>
        <v>1</v>
      </c>
      <c r="Q6781" s="4" t="str">
        <f>IFERROR(__xludf.DUMMYFUNCTION("""COMPUTED_VALUE"""),"Cardápio Web")</f>
        <v>Cardápio Web</v>
      </c>
      <c r="R6781" s="33">
        <f>IFERROR(__xludf.DUMMYFUNCTION("""COMPUTED_VALUE"""),1.0)</f>
        <v>1</v>
      </c>
      <c r="S6781" s="4" t="str">
        <f>IFERROR(__xludf.DUMMYFUNCTION("""COMPUTED_VALUE"""),"Cardápio Web")</f>
        <v>Cardápio Web</v>
      </c>
      <c r="T6781" s="33">
        <f>IFERROR(__xludf.DUMMYFUNCTION("""COMPUTED_VALUE"""),1.0)</f>
        <v>1</v>
      </c>
      <c r="U6781" s="4" t="str">
        <f>IFERROR(__xludf.DUMMYFUNCTION("""COMPUTED_VALUE"""),"Netcontroll Xmenu")</f>
        <v>Netcontroll Xmenu</v>
      </c>
      <c r="V6781" s="33">
        <f>IFERROR(__xludf.DUMMYFUNCTION("""COMPUTED_VALUE"""),1.0)</f>
        <v>1</v>
      </c>
      <c r="W6781" s="4" t="str">
        <f>IFERROR(__xludf.DUMMYFUNCTION("""COMPUTED_VALUE"""),"Netcontroll Xmenu")</f>
        <v>Netcontroll Xmenu</v>
      </c>
      <c r="X6781" s="33">
        <f>IFERROR(__xludf.DUMMYFUNCTION("""COMPUTED_VALUE"""),1.0)</f>
        <v>1</v>
      </c>
    </row>
    <row r="6782">
      <c r="K6782" s="4" t="str">
        <f>IFERROR(__xludf.DUMMYFUNCTION("""COMPUTED_VALUE"""),"CASA NAPOLES NOVA YARA")</f>
        <v>CASA NAPOLES NOVA YARA</v>
      </c>
      <c r="L6782" s="32">
        <f>IFERROR(__xludf.DUMMYFUNCTION("""COMPUTED_VALUE"""),2.0)</f>
        <v>2</v>
      </c>
      <c r="M6782" s="4" t="str">
        <f>IFERROR(__xludf.DUMMYFUNCTION("""COMPUTED_VALUE"""),"null")</f>
        <v>null</v>
      </c>
      <c r="N6782" s="33">
        <f>IFERROR(__xludf.DUMMYFUNCTION("""COMPUTED_VALUE"""),0.5)</f>
        <v>0.5</v>
      </c>
      <c r="O6782" s="4" t="str">
        <f>IFERROR(__xludf.DUMMYFUNCTION("""COMPUTED_VALUE"""),"null")</f>
        <v>null</v>
      </c>
      <c r="P6782" s="33">
        <f>IFERROR(__xludf.DUMMYFUNCTION("""COMPUTED_VALUE"""),0.5)</f>
        <v>0.5</v>
      </c>
      <c r="Q6782" s="4" t="str">
        <f>IFERROR(__xludf.DUMMYFUNCTION("""COMPUTED_VALUE"""),"null")</f>
        <v>null</v>
      </c>
      <c r="R6782" s="33">
        <f>IFERROR(__xludf.DUMMYFUNCTION("""COMPUTED_VALUE"""),0.5)</f>
        <v>0.5</v>
      </c>
      <c r="S6782" s="4" t="str">
        <f>IFERROR(__xludf.DUMMYFUNCTION("""COMPUTED_VALUE"""),"null")</f>
        <v>null</v>
      </c>
      <c r="T6782" s="33">
        <f>IFERROR(__xludf.DUMMYFUNCTION("""COMPUTED_VALUE"""),0.5)</f>
        <v>0.5</v>
      </c>
      <c r="U6782" s="4" t="str">
        <f>IFERROR(__xludf.DUMMYFUNCTION("""COMPUTED_VALUE"""),"null")</f>
        <v>null</v>
      </c>
      <c r="V6782" s="33">
        <f>IFERROR(__xludf.DUMMYFUNCTION("""COMPUTED_VALUE"""),0.5)</f>
        <v>0.5</v>
      </c>
      <c r="W6782" s="4" t="str">
        <f>IFERROR(__xludf.DUMMYFUNCTION("""COMPUTED_VALUE"""),"Maxibyte")</f>
        <v>Maxibyte</v>
      </c>
      <c r="X6782" s="33">
        <f>IFERROR(__xludf.DUMMYFUNCTION("""COMPUTED_VALUE"""),1.0)</f>
        <v>1</v>
      </c>
    </row>
    <row r="6783">
      <c r="K6783" s="4" t="str">
        <f>IFERROR(__xludf.DUMMYFUNCTION("""COMPUTED_VALUE"""),"CASARAO DA XV")</f>
        <v>CASARAO DA XV</v>
      </c>
      <c r="L6783" s="32">
        <f>IFERROR(__xludf.DUMMYFUNCTION("""COMPUTED_VALUE"""),2.0)</f>
        <v>2</v>
      </c>
      <c r="M6783" s="4" t="str">
        <f>IFERROR(__xludf.DUMMYFUNCTION("""COMPUTED_VALUE"""),"Sagres Automação Comercial")</f>
        <v>Sagres Automação Comercial</v>
      </c>
      <c r="N6783" s="33">
        <f>IFERROR(__xludf.DUMMYFUNCTION("""COMPUTED_VALUE"""),1.0)</f>
        <v>1</v>
      </c>
      <c r="O6783" s="4" t="str">
        <f>IFERROR(__xludf.DUMMYFUNCTION("""COMPUTED_VALUE"""),"Sagres Automação Comercial")</f>
        <v>Sagres Automação Comercial</v>
      </c>
      <c r="P6783" s="33">
        <f>IFERROR(__xludf.DUMMYFUNCTION("""COMPUTED_VALUE"""),1.0)</f>
        <v>1</v>
      </c>
      <c r="Q6783" s="4" t="str">
        <f>IFERROR(__xludf.DUMMYFUNCTION("""COMPUTED_VALUE"""),"Sagres Automação Comercial")</f>
        <v>Sagres Automação Comercial</v>
      </c>
      <c r="R6783" s="33">
        <f>IFERROR(__xludf.DUMMYFUNCTION("""COMPUTED_VALUE"""),1.0)</f>
        <v>1</v>
      </c>
      <c r="S6783" s="4" t="str">
        <f>IFERROR(__xludf.DUMMYFUNCTION("""COMPUTED_VALUE"""),"Sagres Automação Comercial")</f>
        <v>Sagres Automação Comercial</v>
      </c>
      <c r="T6783" s="33">
        <f>IFERROR(__xludf.DUMMYFUNCTION("""COMPUTED_VALUE"""),1.0)</f>
        <v>1</v>
      </c>
      <c r="U6783" s="4" t="str">
        <f>IFERROR(__xludf.DUMMYFUNCTION("""COMPUTED_VALUE"""),"Sagres Automação Comercial")</f>
        <v>Sagres Automação Comercial</v>
      </c>
      <c r="V6783" s="33">
        <f>IFERROR(__xludf.DUMMYFUNCTION("""COMPUTED_VALUE"""),1.0)</f>
        <v>1</v>
      </c>
      <c r="W6783" s="4" t="str">
        <f>IFERROR(__xludf.DUMMYFUNCTION("""COMPUTED_VALUE"""),"Sagres Automação Comercial")</f>
        <v>Sagres Automação Comercial</v>
      </c>
      <c r="X6783" s="33">
        <f>IFERROR(__xludf.DUMMYFUNCTION("""COMPUTED_VALUE"""),1.0)</f>
        <v>1</v>
      </c>
    </row>
    <row r="6784">
      <c r="K6784" s="4" t="str">
        <f>IFERROR(__xludf.DUMMYFUNCTION("""COMPUTED_VALUE"""),"CATARINO DELIVERY - CONTA MARCA CONTA PAI")</f>
        <v>CATARINO DELIVERY - CONTA MARCA CONTA PAI</v>
      </c>
      <c r="L6784" s="32">
        <f>IFERROR(__xludf.DUMMYFUNCTION("""COMPUTED_VALUE"""),2.0)</f>
        <v>2</v>
      </c>
      <c r="M6784" s="4" t="str">
        <f>IFERROR(__xludf.DUMMYFUNCTION("""COMPUTED_VALUE"""),"Teknisa Service Ltda")</f>
        <v>Teknisa Service Ltda</v>
      </c>
      <c r="N6784" s="33">
        <f>IFERROR(__xludf.DUMMYFUNCTION("""COMPUTED_VALUE"""),0.5)</f>
        <v>0.5</v>
      </c>
      <c r="O6784" s="4" t="str">
        <f>IFERROR(__xludf.DUMMYFUNCTION("""COMPUTED_VALUE"""),"Teknisa Service Ltda")</f>
        <v>Teknisa Service Ltda</v>
      </c>
      <c r="P6784" s="33">
        <f>IFERROR(__xludf.DUMMYFUNCTION("""COMPUTED_VALUE"""),0.5)</f>
        <v>0.5</v>
      </c>
      <c r="Q6784" s="4" t="str">
        <f>IFERROR(__xludf.DUMMYFUNCTION("""COMPUTED_VALUE"""),"Teknisa Service Ltda")</f>
        <v>Teknisa Service Ltda</v>
      </c>
      <c r="R6784" s="33">
        <f>IFERROR(__xludf.DUMMYFUNCTION("""COMPUTED_VALUE"""),0.5)</f>
        <v>0.5</v>
      </c>
      <c r="S6784" s="4" t="str">
        <f>IFERROR(__xludf.DUMMYFUNCTION("""COMPUTED_VALUE"""),"Teknisa Service Ltda")</f>
        <v>Teknisa Service Ltda</v>
      </c>
      <c r="T6784" s="33">
        <f>IFERROR(__xludf.DUMMYFUNCTION("""COMPUTED_VALUE"""),0.5)</f>
        <v>0.5</v>
      </c>
      <c r="U6784" s="4" t="str">
        <f>IFERROR(__xludf.DUMMYFUNCTION("""COMPUTED_VALUE"""),"Teknisa Service Ltda")</f>
        <v>Teknisa Service Ltda</v>
      </c>
      <c r="V6784" s="33">
        <f>IFERROR(__xludf.DUMMYFUNCTION("""COMPUTED_VALUE"""),0.5)</f>
        <v>0.5</v>
      </c>
      <c r="W6784" s="4" t="str">
        <f>IFERROR(__xludf.DUMMYFUNCTION("""COMPUTED_VALUE"""),"Teknisa Service Ltda")</f>
        <v>Teknisa Service Ltda</v>
      </c>
      <c r="X6784" s="33">
        <f>IFERROR(__xludf.DUMMYFUNCTION("""COMPUTED_VALUE"""),0.5)</f>
        <v>0.5</v>
      </c>
    </row>
    <row r="6785">
      <c r="K6785" s="4" t="str">
        <f>IFERROR(__xludf.DUMMYFUNCTION("""COMPUTED_VALUE"""),"CATEDRAL DO CHOPP")</f>
        <v>CATEDRAL DO CHOPP</v>
      </c>
      <c r="L6785" s="32">
        <f>IFERROR(__xludf.DUMMYFUNCTION("""COMPUTED_VALUE"""),2.0)</f>
        <v>2</v>
      </c>
      <c r="M6785" s="4" t="str">
        <f>IFERROR(__xludf.DUMMYFUNCTION("""COMPUTED_VALUE"""),"Swfast Sistemas")</f>
        <v>Swfast Sistemas</v>
      </c>
      <c r="N6785" s="33">
        <f>IFERROR(__xludf.DUMMYFUNCTION("""COMPUTED_VALUE"""),1.0)</f>
        <v>1</v>
      </c>
      <c r="O6785" s="4" t="str">
        <f>IFERROR(__xludf.DUMMYFUNCTION("""COMPUTED_VALUE"""),"Swfast Sistemas")</f>
        <v>Swfast Sistemas</v>
      </c>
      <c r="P6785" s="33">
        <f>IFERROR(__xludf.DUMMYFUNCTION("""COMPUTED_VALUE"""),1.0)</f>
        <v>1</v>
      </c>
      <c r="Q6785" s="4" t="str">
        <f>IFERROR(__xludf.DUMMYFUNCTION("""COMPUTED_VALUE"""),"Swfast Sistemas")</f>
        <v>Swfast Sistemas</v>
      </c>
      <c r="R6785" s="33">
        <f>IFERROR(__xludf.DUMMYFUNCTION("""COMPUTED_VALUE"""),0.5)</f>
        <v>0.5</v>
      </c>
      <c r="S6785" s="4" t="str">
        <f>IFERROR(__xludf.DUMMYFUNCTION("""COMPUTED_VALUE"""),"Swfast Sistemas")</f>
        <v>Swfast Sistemas</v>
      </c>
      <c r="T6785" s="33">
        <f>IFERROR(__xludf.DUMMYFUNCTION("""COMPUTED_VALUE"""),1.0)</f>
        <v>1</v>
      </c>
      <c r="U6785" s="4" t="str">
        <f>IFERROR(__xludf.DUMMYFUNCTION("""COMPUTED_VALUE"""),"Swfast Sistemas")</f>
        <v>Swfast Sistemas</v>
      </c>
      <c r="V6785" s="33">
        <f>IFERROR(__xludf.DUMMYFUNCTION("""COMPUTED_VALUE"""),1.0)</f>
        <v>1</v>
      </c>
      <c r="W6785" s="4" t="str">
        <f>IFERROR(__xludf.DUMMYFUNCTION("""COMPUTED_VALUE"""),"Swfast Sistemas")</f>
        <v>Swfast Sistemas</v>
      </c>
      <c r="X6785" s="33">
        <f>IFERROR(__xludf.DUMMYFUNCTION("""COMPUTED_VALUE"""),1.0)</f>
        <v>1</v>
      </c>
    </row>
    <row r="6786">
      <c r="K6786" s="4" t="str">
        <f>IFERROR(__xludf.DUMMYFUNCTION("""COMPUTED_VALUE"""),"CATHEDRAL FABRICA BAR - CONTA MARCA")</f>
        <v>CATHEDRAL FABRICA BAR - CONTA MARCA</v>
      </c>
      <c r="L6786" s="32">
        <f>IFERROR(__xludf.DUMMYFUNCTION("""COMPUTED_VALUE"""),2.0)</f>
        <v>2</v>
      </c>
      <c r="M6786" s="4" t="str">
        <f>IFERROR(__xludf.DUMMYFUNCTION("""COMPUTED_VALUE"""),"Jaxtech")</f>
        <v>Jaxtech</v>
      </c>
      <c r="N6786" s="33">
        <f>IFERROR(__xludf.DUMMYFUNCTION("""COMPUTED_VALUE"""),1.0)</f>
        <v>1</v>
      </c>
      <c r="O6786" s="4" t="str">
        <f>IFERROR(__xludf.DUMMYFUNCTION("""COMPUTED_VALUE"""),"Jaxtech")</f>
        <v>Jaxtech</v>
      </c>
      <c r="P6786" s="33">
        <f>IFERROR(__xludf.DUMMYFUNCTION("""COMPUTED_VALUE"""),1.0)</f>
        <v>1</v>
      </c>
      <c r="Q6786" s="4" t="str">
        <f>IFERROR(__xludf.DUMMYFUNCTION("""COMPUTED_VALUE"""),"Jaxtech")</f>
        <v>Jaxtech</v>
      </c>
      <c r="R6786" s="33">
        <f>IFERROR(__xludf.DUMMYFUNCTION("""COMPUTED_VALUE"""),1.0)</f>
        <v>1</v>
      </c>
      <c r="S6786" s="4" t="str">
        <f>IFERROR(__xludf.DUMMYFUNCTION("""COMPUTED_VALUE"""),"Jaxtech")</f>
        <v>Jaxtech</v>
      </c>
      <c r="T6786" s="33">
        <f>IFERROR(__xludf.DUMMYFUNCTION("""COMPUTED_VALUE"""),1.0)</f>
        <v>1</v>
      </c>
      <c r="U6786" s="4" t="str">
        <f>IFERROR(__xludf.DUMMYFUNCTION("""COMPUTED_VALUE"""),"Jaxtech")</f>
        <v>Jaxtech</v>
      </c>
      <c r="V6786" s="33">
        <f>IFERROR(__xludf.DUMMYFUNCTION("""COMPUTED_VALUE"""),1.0)</f>
        <v>1</v>
      </c>
      <c r="W6786" s="4" t="str">
        <f>IFERROR(__xludf.DUMMYFUNCTION("""COMPUTED_VALUE"""),"Jaxtech")</f>
        <v>Jaxtech</v>
      </c>
      <c r="X6786" s="33">
        <f>IFERROR(__xludf.DUMMYFUNCTION("""COMPUTED_VALUE"""),1.0)</f>
        <v>1</v>
      </c>
    </row>
    <row r="6787">
      <c r="K6787" s="4" t="str">
        <f>IFERROR(__xludf.DUMMYFUNCTION("""COMPUTED_VALUE"""),"CATHEDRAL FABRICA BAR")</f>
        <v>CATHEDRAL FABRICA BAR</v>
      </c>
      <c r="L6787" s="32">
        <f>IFERROR(__xludf.DUMMYFUNCTION("""COMPUTED_VALUE"""),2.0)</f>
        <v>2</v>
      </c>
      <c r="M6787" s="4" t="str">
        <f>IFERROR(__xludf.DUMMYFUNCTION("""COMPUTED_VALUE"""),"Jaxtech")</f>
        <v>Jaxtech</v>
      </c>
      <c r="N6787" s="33">
        <f>IFERROR(__xludf.DUMMYFUNCTION("""COMPUTED_VALUE"""),1.0)</f>
        <v>1</v>
      </c>
      <c r="O6787" s="4" t="str">
        <f>IFERROR(__xludf.DUMMYFUNCTION("""COMPUTED_VALUE"""),"Jaxtech")</f>
        <v>Jaxtech</v>
      </c>
      <c r="P6787" s="33">
        <f>IFERROR(__xludf.DUMMYFUNCTION("""COMPUTED_VALUE"""),1.0)</f>
        <v>1</v>
      </c>
      <c r="Q6787" s="4" t="str">
        <f>IFERROR(__xludf.DUMMYFUNCTION("""COMPUTED_VALUE"""),"Jaxtech")</f>
        <v>Jaxtech</v>
      </c>
      <c r="R6787" s="33">
        <f>IFERROR(__xludf.DUMMYFUNCTION("""COMPUTED_VALUE"""),1.0)</f>
        <v>1</v>
      </c>
      <c r="S6787" s="4" t="str">
        <f>IFERROR(__xludf.DUMMYFUNCTION("""COMPUTED_VALUE"""),"Jaxtech")</f>
        <v>Jaxtech</v>
      </c>
      <c r="T6787" s="33">
        <f>IFERROR(__xludf.DUMMYFUNCTION("""COMPUTED_VALUE"""),1.0)</f>
        <v>1</v>
      </c>
      <c r="U6787" s="4" t="str">
        <f>IFERROR(__xludf.DUMMYFUNCTION("""COMPUTED_VALUE"""),"Jaxtech")</f>
        <v>Jaxtech</v>
      </c>
      <c r="V6787" s="33">
        <f>IFERROR(__xludf.DUMMYFUNCTION("""COMPUTED_VALUE"""),1.0)</f>
        <v>1</v>
      </c>
      <c r="W6787" s="4" t="str">
        <f>IFERROR(__xludf.DUMMYFUNCTION("""COMPUTED_VALUE"""),"Jaxtech")</f>
        <v>Jaxtech</v>
      </c>
      <c r="X6787" s="33">
        <f>IFERROR(__xludf.DUMMYFUNCTION("""COMPUTED_VALUE"""),1.0)</f>
        <v>1</v>
      </c>
    </row>
    <row r="6788">
      <c r="K6788" s="4" t="str">
        <f>IFERROR(__xludf.DUMMYFUNCTION("""COMPUTED_VALUE"""),"CATIORO - MARCA")</f>
        <v>CATIORO - MARCA</v>
      </c>
      <c r="L6788" s="32">
        <f>IFERROR(__xludf.DUMMYFUNCTION("""COMPUTED_VALUE"""),2.0)</f>
        <v>2</v>
      </c>
      <c r="M6788" s="4" t="str">
        <f>IFERROR(__xludf.DUMMYFUNCTION("""COMPUTED_VALUE"""),"Alloy Tecnologia")</f>
        <v>Alloy Tecnologia</v>
      </c>
      <c r="N6788" s="33">
        <f>IFERROR(__xludf.DUMMYFUNCTION("""COMPUTED_VALUE"""),1.0)</f>
        <v>1</v>
      </c>
      <c r="O6788" s="4" t="str">
        <f>IFERROR(__xludf.DUMMYFUNCTION("""COMPUTED_VALUE"""),"Alloy Tecnologia")</f>
        <v>Alloy Tecnologia</v>
      </c>
      <c r="P6788" s="33">
        <f>IFERROR(__xludf.DUMMYFUNCTION("""COMPUTED_VALUE"""),1.0)</f>
        <v>1</v>
      </c>
      <c r="Q6788" s="4" t="str">
        <f>IFERROR(__xludf.DUMMYFUNCTION("""COMPUTED_VALUE"""),"null")</f>
        <v>null</v>
      </c>
      <c r="R6788" s="33">
        <f>IFERROR(__xludf.DUMMYFUNCTION("""COMPUTED_VALUE"""),0.5)</f>
        <v>0.5</v>
      </c>
      <c r="S6788" s="4" t="str">
        <f>IFERROR(__xludf.DUMMYFUNCTION("""COMPUTED_VALUE"""),"null")</f>
        <v>null</v>
      </c>
      <c r="T6788" s="33">
        <f>IFERROR(__xludf.DUMMYFUNCTION("""COMPUTED_VALUE"""),0.5)</f>
        <v>0.5</v>
      </c>
      <c r="U6788" s="4" t="str">
        <f>IFERROR(__xludf.DUMMYFUNCTION("""COMPUTED_VALUE"""),"null")</f>
        <v>null</v>
      </c>
      <c r="V6788" s="33">
        <f>IFERROR(__xludf.DUMMYFUNCTION("""COMPUTED_VALUE"""),0.5)</f>
        <v>0.5</v>
      </c>
      <c r="W6788" s="4" t="str">
        <f>IFERROR(__xludf.DUMMYFUNCTION("""COMPUTED_VALUE"""),"Alloy Tecnologia")</f>
        <v>Alloy Tecnologia</v>
      </c>
      <c r="X6788" s="33">
        <f>IFERROR(__xludf.DUMMYFUNCTION("""COMPUTED_VALUE"""),1.0)</f>
        <v>1</v>
      </c>
    </row>
    <row r="6789">
      <c r="K6789" s="4" t="str">
        <f>IFERROR(__xludf.DUMMYFUNCTION("""COMPUTED_VALUE"""),"CAUCAKES")</f>
        <v>CAUCAKES</v>
      </c>
      <c r="L6789" s="32">
        <f>IFERROR(__xludf.DUMMYFUNCTION("""COMPUTED_VALUE"""),2.0)</f>
        <v>2</v>
      </c>
      <c r="M6789" s="4" t="str">
        <f>IFERROR(__xludf.DUMMYFUNCTION("""COMPUTED_VALUE"""),"Menew - Linx")</f>
        <v>Menew - Linx</v>
      </c>
      <c r="N6789" s="33">
        <f>IFERROR(__xludf.DUMMYFUNCTION("""COMPUTED_VALUE"""),1.0)</f>
        <v>1</v>
      </c>
      <c r="O6789" s="4" t="str">
        <f>IFERROR(__xludf.DUMMYFUNCTION("""COMPUTED_VALUE"""),"Menew - Linx")</f>
        <v>Menew - Linx</v>
      </c>
      <c r="P6789" s="33">
        <f>IFERROR(__xludf.DUMMYFUNCTION("""COMPUTED_VALUE"""),1.0)</f>
        <v>1</v>
      </c>
      <c r="Q6789" s="4" t="str">
        <f>IFERROR(__xludf.DUMMYFUNCTION("""COMPUTED_VALUE"""),"Menew - Linx")</f>
        <v>Menew - Linx</v>
      </c>
      <c r="R6789" s="33">
        <f>IFERROR(__xludf.DUMMYFUNCTION("""COMPUTED_VALUE"""),0.5)</f>
        <v>0.5</v>
      </c>
      <c r="S6789" s="4" t="str">
        <f>IFERROR(__xludf.DUMMYFUNCTION("""COMPUTED_VALUE"""),"Menew - Linx")</f>
        <v>Menew - Linx</v>
      </c>
      <c r="T6789" s="33">
        <f>IFERROR(__xludf.DUMMYFUNCTION("""COMPUTED_VALUE"""),0.5)</f>
        <v>0.5</v>
      </c>
      <c r="U6789" s="4" t="str">
        <f>IFERROR(__xludf.DUMMYFUNCTION("""COMPUTED_VALUE"""),"Menew - Linx")</f>
        <v>Menew - Linx</v>
      </c>
      <c r="V6789" s="33">
        <f>IFERROR(__xludf.DUMMYFUNCTION("""COMPUTED_VALUE"""),0.5)</f>
        <v>0.5</v>
      </c>
      <c r="W6789" s="4" t="str">
        <f>IFERROR(__xludf.DUMMYFUNCTION("""COMPUTED_VALUE"""),"Menew - Linx")</f>
        <v>Menew - Linx</v>
      </c>
      <c r="X6789" s="33">
        <f>IFERROR(__xludf.DUMMYFUNCTION("""COMPUTED_VALUE"""),0.5)</f>
        <v>0.5</v>
      </c>
    </row>
    <row r="6790">
      <c r="K6790" s="4" t="str">
        <f>IFERROR(__xludf.DUMMYFUNCTION("""COMPUTED_VALUE"""),"CAZOLLA")</f>
        <v>CAZOLLA</v>
      </c>
      <c r="L6790" s="32">
        <f>IFERROR(__xludf.DUMMYFUNCTION("""COMPUTED_VALUE"""),2.0)</f>
        <v>2</v>
      </c>
      <c r="M6790" s="4" t="str">
        <f>IFERROR(__xludf.DUMMYFUNCTION("""COMPUTED_VALUE"""),"L&amp;f Tecnologia Sistemas E Comercio Ltda")</f>
        <v>L&amp;f Tecnologia Sistemas E Comercio Ltda</v>
      </c>
      <c r="N6790" s="33">
        <f>IFERROR(__xludf.DUMMYFUNCTION("""COMPUTED_VALUE"""),1.0)</f>
        <v>1</v>
      </c>
      <c r="O6790" s="4" t="str">
        <f>IFERROR(__xludf.DUMMYFUNCTION("""COMPUTED_VALUE"""),"L&amp;f Tecnologia Sistemas E Comercio Ltda")</f>
        <v>L&amp;f Tecnologia Sistemas E Comercio Ltda</v>
      </c>
      <c r="P6790" s="33">
        <f>IFERROR(__xludf.DUMMYFUNCTION("""COMPUTED_VALUE"""),1.0)</f>
        <v>1</v>
      </c>
      <c r="Q6790" s="4" t="str">
        <f>IFERROR(__xludf.DUMMYFUNCTION("""COMPUTED_VALUE"""),"L&amp;f Tecnologia Sistemas E Comercio Ltda")</f>
        <v>L&amp;f Tecnologia Sistemas E Comercio Ltda</v>
      </c>
      <c r="R6790" s="33">
        <f>IFERROR(__xludf.DUMMYFUNCTION("""COMPUTED_VALUE"""),1.0)</f>
        <v>1</v>
      </c>
      <c r="S6790" s="4" t="str">
        <f>IFERROR(__xludf.DUMMYFUNCTION("""COMPUTED_VALUE"""),"L&amp;f Tecnologia Sistemas E Comercio Ltda")</f>
        <v>L&amp;f Tecnologia Sistemas E Comercio Ltda</v>
      </c>
      <c r="T6790" s="33">
        <f>IFERROR(__xludf.DUMMYFUNCTION("""COMPUTED_VALUE"""),0.5)</f>
        <v>0.5</v>
      </c>
      <c r="U6790" s="4" t="str">
        <f>IFERROR(__xludf.DUMMYFUNCTION("""COMPUTED_VALUE"""),"L&amp;f Tecnologia Sistemas E Comercio Ltda")</f>
        <v>L&amp;f Tecnologia Sistemas E Comercio Ltda</v>
      </c>
      <c r="V6790" s="33">
        <f>IFERROR(__xludf.DUMMYFUNCTION("""COMPUTED_VALUE"""),0.5)</f>
        <v>0.5</v>
      </c>
      <c r="W6790" s="4" t="str">
        <f>IFERROR(__xludf.DUMMYFUNCTION("""COMPUTED_VALUE"""),"null")</f>
        <v>null</v>
      </c>
      <c r="X6790" s="33">
        <f>IFERROR(__xludf.DUMMYFUNCTION("""COMPUTED_VALUE"""),1.0)</f>
        <v>1</v>
      </c>
    </row>
    <row r="6791">
      <c r="K6791" s="4" t="str">
        <f>IFERROR(__xludf.DUMMYFUNCTION("""COMPUTED_VALUE"""),"CENTER PAO -MERCADOS CONTA PAI")</f>
        <v>CENTER PAO -MERCADOS CONTA PAI</v>
      </c>
      <c r="L6791" s="32">
        <f>IFERROR(__xludf.DUMMYFUNCTION("""COMPUTED_VALUE"""),2.0)</f>
        <v>2</v>
      </c>
      <c r="M6791" s="4" t="str">
        <f>IFERROR(__xludf.DUMMYFUNCTION("""COMPUTED_VALUE"""),"N/A (Not found)")</f>
        <v>N/A (Not found)</v>
      </c>
      <c r="N6791" s="33">
        <f>IFERROR(__xludf.DUMMYFUNCTION("""COMPUTED_VALUE"""),1.0)</f>
        <v>1</v>
      </c>
      <c r="O6791" s="4" t="str">
        <f>IFERROR(__xludf.DUMMYFUNCTION("""COMPUTED_VALUE"""),"N/A (Not found)")</f>
        <v>N/A (Not found)</v>
      </c>
      <c r="P6791" s="33">
        <f>IFERROR(__xludf.DUMMYFUNCTION("""COMPUTED_VALUE"""),1.0)</f>
        <v>1</v>
      </c>
      <c r="Q6791" s="4" t="str">
        <f>IFERROR(__xludf.DUMMYFUNCTION("""COMPUTED_VALUE"""),"N/A (Not found)")</f>
        <v>N/A (Not found)</v>
      </c>
      <c r="R6791" s="33">
        <f>IFERROR(__xludf.DUMMYFUNCTION("""COMPUTED_VALUE"""),0.5)</f>
        <v>0.5</v>
      </c>
      <c r="S6791" s="4" t="str">
        <f>IFERROR(__xludf.DUMMYFUNCTION("""COMPUTED_VALUE"""),"N/A (Not found)")</f>
        <v>N/A (Not found)</v>
      </c>
      <c r="T6791" s="33">
        <f>IFERROR(__xludf.DUMMYFUNCTION("""COMPUTED_VALUE"""),0.5)</f>
        <v>0.5</v>
      </c>
      <c r="U6791" s="4" t="str">
        <f>IFERROR(__xludf.DUMMYFUNCTION("""COMPUTED_VALUE"""),"N/A (Not found)")</f>
        <v>N/A (Not found)</v>
      </c>
      <c r="V6791" s="33">
        <f>IFERROR(__xludf.DUMMYFUNCTION("""COMPUTED_VALUE"""),0.5)</f>
        <v>0.5</v>
      </c>
      <c r="W6791" s="4" t="str">
        <f>IFERROR(__xludf.DUMMYFUNCTION("""COMPUTED_VALUE"""),"N/A (Not found)")</f>
        <v>N/A (Not found)</v>
      </c>
      <c r="X6791" s="33">
        <f>IFERROR(__xludf.DUMMYFUNCTION("""COMPUTED_VALUE"""),0.5)</f>
        <v>0.5</v>
      </c>
    </row>
    <row r="6792">
      <c r="K6792" s="4" t="str">
        <f>IFERROR(__xludf.DUMMYFUNCTION("""COMPUTED_VALUE"""),"CEPAM")</f>
        <v>CEPAM</v>
      </c>
      <c r="L6792" s="32">
        <f>IFERROR(__xludf.DUMMYFUNCTION("""COMPUTED_VALUE"""),2.0)</f>
        <v>2</v>
      </c>
      <c r="M6792" s="4" t="str">
        <f>IFERROR(__xludf.DUMMYFUNCTION("""COMPUTED_VALUE"""),"Datamaxi Comercio E Representacoes Ltda")</f>
        <v>Datamaxi Comercio E Representacoes Ltda</v>
      </c>
      <c r="N6792" s="33">
        <f>IFERROR(__xludf.DUMMYFUNCTION("""COMPUTED_VALUE"""),1.0)</f>
        <v>1</v>
      </c>
      <c r="O6792" s="4" t="str">
        <f>IFERROR(__xludf.DUMMYFUNCTION("""COMPUTED_VALUE"""),"Datamaxi Comercio E Representacoes Ltda")</f>
        <v>Datamaxi Comercio E Representacoes Ltda</v>
      </c>
      <c r="P6792" s="33">
        <f>IFERROR(__xludf.DUMMYFUNCTION("""COMPUTED_VALUE"""),1.0)</f>
        <v>1</v>
      </c>
      <c r="Q6792" s="4" t="str">
        <f>IFERROR(__xludf.DUMMYFUNCTION("""COMPUTED_VALUE"""),"null")</f>
        <v>null</v>
      </c>
      <c r="R6792" s="33">
        <f>IFERROR(__xludf.DUMMYFUNCTION("""COMPUTED_VALUE"""),0.5)</f>
        <v>0.5</v>
      </c>
      <c r="S6792" s="4" t="str">
        <f>IFERROR(__xludf.DUMMYFUNCTION("""COMPUTED_VALUE"""),"null")</f>
        <v>null</v>
      </c>
      <c r="T6792" s="33">
        <f>IFERROR(__xludf.DUMMYFUNCTION("""COMPUTED_VALUE"""),0.5)</f>
        <v>0.5</v>
      </c>
      <c r="U6792" s="4" t="str">
        <f>IFERROR(__xludf.DUMMYFUNCTION("""COMPUTED_VALUE"""),"null")</f>
        <v>null</v>
      </c>
      <c r="V6792" s="33">
        <f>IFERROR(__xludf.DUMMYFUNCTION("""COMPUTED_VALUE"""),0.5)</f>
        <v>0.5</v>
      </c>
      <c r="W6792" s="4" t="str">
        <f>IFERROR(__xludf.DUMMYFUNCTION("""COMPUTED_VALUE"""),"null")</f>
        <v>null</v>
      </c>
      <c r="X6792" s="33">
        <f>IFERROR(__xludf.DUMMYFUNCTION("""COMPUTED_VALUE"""),0.5)</f>
        <v>0.5</v>
      </c>
    </row>
    <row r="6793">
      <c r="K6793" s="4" t="str">
        <f>IFERROR(__xludf.DUMMYFUNCTION("""COMPUTED_VALUE"""),"CHAPA HOUSE BURGUER")</f>
        <v>CHAPA HOUSE BURGUER</v>
      </c>
      <c r="L6793" s="32">
        <f>IFERROR(__xludf.DUMMYFUNCTION("""COMPUTED_VALUE"""),2.0)</f>
        <v>2</v>
      </c>
      <c r="M6793" s="4" t="str">
        <f>IFERROR(__xludf.DUMMYFUNCTION("""COMPUTED_VALUE"""),"Saipos Serviços De Software")</f>
        <v>Saipos Serviços De Software</v>
      </c>
      <c r="N6793" s="33">
        <f>IFERROR(__xludf.DUMMYFUNCTION("""COMPUTED_VALUE"""),1.0)</f>
        <v>1</v>
      </c>
      <c r="O6793" s="4" t="str">
        <f>IFERROR(__xludf.DUMMYFUNCTION("""COMPUTED_VALUE"""),"Saipos Serviços De Software")</f>
        <v>Saipos Serviços De Software</v>
      </c>
      <c r="P6793" s="33">
        <f>IFERROR(__xludf.DUMMYFUNCTION("""COMPUTED_VALUE"""),1.0)</f>
        <v>1</v>
      </c>
      <c r="Q6793" s="4" t="str">
        <f>IFERROR(__xludf.DUMMYFUNCTION("""COMPUTED_VALUE"""),"Saipos Serviços De Software")</f>
        <v>Saipos Serviços De Software</v>
      </c>
      <c r="R6793" s="33">
        <f>IFERROR(__xludf.DUMMYFUNCTION("""COMPUTED_VALUE"""),1.0)</f>
        <v>1</v>
      </c>
      <c r="S6793" s="4" t="str">
        <f>IFERROR(__xludf.DUMMYFUNCTION("""COMPUTED_VALUE"""),"Saipos Serviços De Software")</f>
        <v>Saipos Serviços De Software</v>
      </c>
      <c r="T6793" s="33">
        <f>IFERROR(__xludf.DUMMYFUNCTION("""COMPUTED_VALUE"""),1.0)</f>
        <v>1</v>
      </c>
      <c r="U6793" s="4" t="str">
        <f>IFERROR(__xludf.DUMMYFUNCTION("""COMPUTED_VALUE"""),"Saipos Serviços De Software")</f>
        <v>Saipos Serviços De Software</v>
      </c>
      <c r="V6793" s="33">
        <f>IFERROR(__xludf.DUMMYFUNCTION("""COMPUTED_VALUE"""),1.0)</f>
        <v>1</v>
      </c>
      <c r="W6793" s="4" t="str">
        <f>IFERROR(__xludf.DUMMYFUNCTION("""COMPUTED_VALUE"""),"Saipos Serviços De Software")</f>
        <v>Saipos Serviços De Software</v>
      </c>
      <c r="X6793" s="33">
        <f>IFERROR(__xludf.DUMMYFUNCTION("""COMPUTED_VALUE"""),1.0)</f>
        <v>1</v>
      </c>
    </row>
    <row r="6794">
      <c r="K6794" s="4" t="str">
        <f>IFERROR(__xludf.DUMMYFUNCTION("""COMPUTED_VALUE"""),"CHEF CASEIRO - MARMITA MARMITEX")</f>
        <v>CHEF CASEIRO - MARMITA MARMITEX</v>
      </c>
      <c r="L6794" s="32">
        <f>IFERROR(__xludf.DUMMYFUNCTION("""COMPUTED_VALUE"""),2.0)</f>
        <v>2</v>
      </c>
      <c r="M6794" s="4" t="str">
        <f>IFERROR(__xludf.DUMMYFUNCTION("""COMPUTED_VALUE"""),"null")</f>
        <v>null</v>
      </c>
      <c r="N6794" s="33">
        <f>IFERROR(__xludf.DUMMYFUNCTION("""COMPUTED_VALUE"""),0.5)</f>
        <v>0.5</v>
      </c>
      <c r="O6794" s="4" t="str">
        <f>IFERROR(__xludf.DUMMYFUNCTION("""COMPUTED_VALUE"""),"Saipos Serviços De Software")</f>
        <v>Saipos Serviços De Software</v>
      </c>
      <c r="P6794" s="33">
        <f>IFERROR(__xludf.DUMMYFUNCTION("""COMPUTED_VALUE"""),1.0)</f>
        <v>1</v>
      </c>
      <c r="Q6794" s="4" t="str">
        <f>IFERROR(__xludf.DUMMYFUNCTION("""COMPUTED_VALUE"""),"Saipos Serviços De Software")</f>
        <v>Saipos Serviços De Software</v>
      </c>
      <c r="R6794" s="33">
        <f>IFERROR(__xludf.DUMMYFUNCTION("""COMPUTED_VALUE"""),1.0)</f>
        <v>1</v>
      </c>
      <c r="S6794" s="4" t="str">
        <f>IFERROR(__xludf.DUMMYFUNCTION("""COMPUTED_VALUE"""),"Saipos Serviços De Software")</f>
        <v>Saipos Serviços De Software</v>
      </c>
      <c r="T6794" s="33">
        <f>IFERROR(__xludf.DUMMYFUNCTION("""COMPUTED_VALUE"""),1.0)</f>
        <v>1</v>
      </c>
      <c r="U6794" s="4" t="str">
        <f>IFERROR(__xludf.DUMMYFUNCTION("""COMPUTED_VALUE"""),"Saipos Serviços De Software")</f>
        <v>Saipos Serviços De Software</v>
      </c>
      <c r="V6794" s="33">
        <f>IFERROR(__xludf.DUMMYFUNCTION("""COMPUTED_VALUE"""),1.0)</f>
        <v>1</v>
      </c>
      <c r="W6794" s="4" t="str">
        <f>IFERROR(__xludf.DUMMYFUNCTION("""COMPUTED_VALUE"""),"Saipos Serviços De Software")</f>
        <v>Saipos Serviços De Software</v>
      </c>
      <c r="X6794" s="33">
        <f>IFERROR(__xludf.DUMMYFUNCTION("""COMPUTED_VALUE"""),1.0)</f>
        <v>1</v>
      </c>
    </row>
    <row r="6795">
      <c r="K6795" s="4" t="str">
        <f>IFERROR(__xludf.DUMMYFUNCTION("""COMPUTED_VALUE"""),"CHEF CASEIRO - MARMITA MARMITEX - CONTA MARCA")</f>
        <v>CHEF CASEIRO - MARMITA MARMITEX - CONTA MARCA</v>
      </c>
      <c r="L6795" s="32">
        <f>IFERROR(__xludf.DUMMYFUNCTION("""COMPUTED_VALUE"""),2.0)</f>
        <v>2</v>
      </c>
      <c r="M6795" s="4" t="str">
        <f>IFERROR(__xludf.DUMMYFUNCTION("""COMPUTED_VALUE"""),"null")</f>
        <v>null</v>
      </c>
      <c r="N6795" s="33">
        <f>IFERROR(__xludf.DUMMYFUNCTION("""COMPUTED_VALUE"""),0.5)</f>
        <v>0.5</v>
      </c>
      <c r="O6795" s="4" t="str">
        <f>IFERROR(__xludf.DUMMYFUNCTION("""COMPUTED_VALUE"""),"Saipos Serviços De Software")</f>
        <v>Saipos Serviços De Software</v>
      </c>
      <c r="P6795" s="33">
        <f>IFERROR(__xludf.DUMMYFUNCTION("""COMPUTED_VALUE"""),1.0)</f>
        <v>1</v>
      </c>
      <c r="Q6795" s="4" t="str">
        <f>IFERROR(__xludf.DUMMYFUNCTION("""COMPUTED_VALUE"""),"Saipos Serviços De Software")</f>
        <v>Saipos Serviços De Software</v>
      </c>
      <c r="R6795" s="33">
        <f>IFERROR(__xludf.DUMMYFUNCTION("""COMPUTED_VALUE"""),1.0)</f>
        <v>1</v>
      </c>
      <c r="S6795" s="4" t="str">
        <f>IFERROR(__xludf.DUMMYFUNCTION("""COMPUTED_VALUE"""),"Saipos Serviços De Software")</f>
        <v>Saipos Serviços De Software</v>
      </c>
      <c r="T6795" s="33">
        <f>IFERROR(__xludf.DUMMYFUNCTION("""COMPUTED_VALUE"""),1.0)</f>
        <v>1</v>
      </c>
      <c r="U6795" s="4" t="str">
        <f>IFERROR(__xludf.DUMMYFUNCTION("""COMPUTED_VALUE"""),"Saipos Serviços De Software")</f>
        <v>Saipos Serviços De Software</v>
      </c>
      <c r="V6795" s="33">
        <f>IFERROR(__xludf.DUMMYFUNCTION("""COMPUTED_VALUE"""),1.0)</f>
        <v>1</v>
      </c>
      <c r="W6795" s="4" t="str">
        <f>IFERROR(__xludf.DUMMYFUNCTION("""COMPUTED_VALUE"""),"Saipos Serviços De Software")</f>
        <v>Saipos Serviços De Software</v>
      </c>
      <c r="X6795" s="33">
        <f>IFERROR(__xludf.DUMMYFUNCTION("""COMPUTED_VALUE"""),1.0)</f>
        <v>1</v>
      </c>
    </row>
    <row r="6796">
      <c r="K6796" s="4" t="str">
        <f>IFERROR(__xludf.DUMMYFUNCTION("""COMPUTED_VALUE"""),"CHEF EXPRESS - CONTA MARCA")</f>
        <v>CHEF EXPRESS - CONTA MARCA</v>
      </c>
      <c r="L6796" s="32">
        <f>IFERROR(__xludf.DUMMYFUNCTION("""COMPUTED_VALUE"""),2.0)</f>
        <v>2</v>
      </c>
      <c r="M6796" s="4" t="str">
        <f>IFERROR(__xludf.DUMMYFUNCTION("""COMPUTED_VALUE"""),"Ksi Tecnologia")</f>
        <v>Ksi Tecnologia</v>
      </c>
      <c r="N6796" s="33">
        <f>IFERROR(__xludf.DUMMYFUNCTION("""COMPUTED_VALUE"""),1.0)</f>
        <v>1</v>
      </c>
      <c r="O6796" s="4" t="str">
        <f>IFERROR(__xludf.DUMMYFUNCTION("""COMPUTED_VALUE"""),"Ksi Tecnologia")</f>
        <v>Ksi Tecnologia</v>
      </c>
      <c r="P6796" s="33">
        <f>IFERROR(__xludf.DUMMYFUNCTION("""COMPUTED_VALUE"""),1.0)</f>
        <v>1</v>
      </c>
      <c r="Q6796" s="4" t="str">
        <f>IFERROR(__xludf.DUMMYFUNCTION("""COMPUTED_VALUE"""),"Ksi Tecnologia")</f>
        <v>Ksi Tecnologia</v>
      </c>
      <c r="R6796" s="33">
        <f>IFERROR(__xludf.DUMMYFUNCTION("""COMPUTED_VALUE"""),1.0)</f>
        <v>1</v>
      </c>
      <c r="S6796" s="4" t="str">
        <f>IFERROR(__xludf.DUMMYFUNCTION("""COMPUTED_VALUE"""),"Ksi Tecnologia")</f>
        <v>Ksi Tecnologia</v>
      </c>
      <c r="T6796" s="33">
        <f>IFERROR(__xludf.DUMMYFUNCTION("""COMPUTED_VALUE"""),1.0)</f>
        <v>1</v>
      </c>
      <c r="U6796" s="4" t="str">
        <f>IFERROR(__xludf.DUMMYFUNCTION("""COMPUTED_VALUE"""),"Ksi Tecnologia")</f>
        <v>Ksi Tecnologia</v>
      </c>
      <c r="V6796" s="33">
        <f>IFERROR(__xludf.DUMMYFUNCTION("""COMPUTED_VALUE"""),1.0)</f>
        <v>1</v>
      </c>
      <c r="W6796" s="4" t="str">
        <f>IFERROR(__xludf.DUMMYFUNCTION("""COMPUTED_VALUE"""),"Ksi Tecnologia")</f>
        <v>Ksi Tecnologia</v>
      </c>
      <c r="X6796" s="33">
        <f>IFERROR(__xludf.DUMMYFUNCTION("""COMPUTED_VALUE"""),1.0)</f>
        <v>1</v>
      </c>
    </row>
    <row r="6797">
      <c r="K6797" s="4" t="str">
        <f>IFERROR(__xludf.DUMMYFUNCTION("""COMPUTED_VALUE"""),"CHEIRO VERDE CONTA PAI")</f>
        <v>CHEIRO VERDE CONTA PAI</v>
      </c>
      <c r="L6797" s="32">
        <f>IFERROR(__xludf.DUMMYFUNCTION("""COMPUTED_VALUE"""),2.0)</f>
        <v>2</v>
      </c>
      <c r="M6797" s="4" t="str">
        <f>IFERROR(__xludf.DUMMYFUNCTION("""COMPUTED_VALUE"""),"Netcontroll Xmenu")</f>
        <v>Netcontroll Xmenu</v>
      </c>
      <c r="N6797" s="33">
        <f>IFERROR(__xludf.DUMMYFUNCTION("""COMPUTED_VALUE"""),1.0)</f>
        <v>1</v>
      </c>
      <c r="O6797" s="4" t="str">
        <f>IFERROR(__xludf.DUMMYFUNCTION("""COMPUTED_VALUE"""),"Netcontroll Xmenu")</f>
        <v>Netcontroll Xmenu</v>
      </c>
      <c r="P6797" s="33">
        <f>IFERROR(__xludf.DUMMYFUNCTION("""COMPUTED_VALUE"""),1.0)</f>
        <v>1</v>
      </c>
      <c r="Q6797" s="4" t="str">
        <f>IFERROR(__xludf.DUMMYFUNCTION("""COMPUTED_VALUE"""),"Netcontroll Xmenu")</f>
        <v>Netcontroll Xmenu</v>
      </c>
      <c r="R6797" s="33">
        <f>IFERROR(__xludf.DUMMYFUNCTION("""COMPUTED_VALUE"""),1.0)</f>
        <v>1</v>
      </c>
      <c r="S6797" s="4" t="str">
        <f>IFERROR(__xludf.DUMMYFUNCTION("""COMPUTED_VALUE"""),"Netcontroll Xmenu")</f>
        <v>Netcontroll Xmenu</v>
      </c>
      <c r="T6797" s="33">
        <f>IFERROR(__xludf.DUMMYFUNCTION("""COMPUTED_VALUE"""),1.0)</f>
        <v>1</v>
      </c>
      <c r="U6797" s="4" t="str">
        <f>IFERROR(__xludf.DUMMYFUNCTION("""COMPUTED_VALUE"""),"Netcontroll Xmenu")</f>
        <v>Netcontroll Xmenu</v>
      </c>
      <c r="V6797" s="33">
        <f>IFERROR(__xludf.DUMMYFUNCTION("""COMPUTED_VALUE"""),1.0)</f>
        <v>1</v>
      </c>
      <c r="W6797" s="4" t="str">
        <f>IFERROR(__xludf.DUMMYFUNCTION("""COMPUTED_VALUE"""),"Netcontroll Xmenu")</f>
        <v>Netcontroll Xmenu</v>
      </c>
      <c r="X6797" s="33">
        <f>IFERROR(__xludf.DUMMYFUNCTION("""COMPUTED_VALUE"""),1.0)</f>
        <v>1</v>
      </c>
    </row>
    <row r="6798">
      <c r="K6798" s="4" t="str">
        <f>IFERROR(__xludf.DUMMYFUNCTION("""COMPUTED_VALUE"""),"CHEZ CLAUDE - RJ")</f>
        <v>CHEZ CLAUDE - RJ</v>
      </c>
      <c r="L6798" s="32">
        <f>IFERROR(__xludf.DUMMYFUNCTION("""COMPUTED_VALUE"""),2.0)</f>
        <v>2</v>
      </c>
      <c r="M6798" s="4" t="str">
        <f>IFERROR(__xludf.DUMMYFUNCTION("""COMPUTED_VALUE"""),"Stone Co.")</f>
        <v>Stone Co.</v>
      </c>
      <c r="N6798" s="33">
        <f>IFERROR(__xludf.DUMMYFUNCTION("""COMPUTED_VALUE"""),1.0)</f>
        <v>1</v>
      </c>
      <c r="O6798" s="4" t="str">
        <f>IFERROR(__xludf.DUMMYFUNCTION("""COMPUTED_VALUE"""),"Stone Co.")</f>
        <v>Stone Co.</v>
      </c>
      <c r="P6798" s="33">
        <f>IFERROR(__xludf.DUMMYFUNCTION("""COMPUTED_VALUE"""),1.0)</f>
        <v>1</v>
      </c>
      <c r="Q6798" s="4" t="str">
        <f>IFERROR(__xludf.DUMMYFUNCTION("""COMPUTED_VALUE"""),"Stone Co.")</f>
        <v>Stone Co.</v>
      </c>
      <c r="R6798" s="33">
        <f>IFERROR(__xludf.DUMMYFUNCTION("""COMPUTED_VALUE"""),1.0)</f>
        <v>1</v>
      </c>
      <c r="S6798" s="4" t="str">
        <f>IFERROR(__xludf.DUMMYFUNCTION("""COMPUTED_VALUE"""),"Stone Co.")</f>
        <v>Stone Co.</v>
      </c>
      <c r="T6798" s="33">
        <f>IFERROR(__xludf.DUMMYFUNCTION("""COMPUTED_VALUE"""),1.0)</f>
        <v>1</v>
      </c>
      <c r="U6798" s="4" t="str">
        <f>IFERROR(__xludf.DUMMYFUNCTION("""COMPUTED_VALUE"""),"Stone Co.")</f>
        <v>Stone Co.</v>
      </c>
      <c r="V6798" s="33">
        <f>IFERROR(__xludf.DUMMYFUNCTION("""COMPUTED_VALUE"""),1.0)</f>
        <v>1</v>
      </c>
      <c r="W6798" s="4" t="str">
        <f>IFERROR(__xludf.DUMMYFUNCTION("""COMPUTED_VALUE"""),"Stone Co.")</f>
        <v>Stone Co.</v>
      </c>
      <c r="X6798" s="33">
        <f>IFERROR(__xludf.DUMMYFUNCTION("""COMPUTED_VALUE"""),1.0)</f>
        <v>1</v>
      </c>
    </row>
    <row r="6799">
      <c r="K6799" s="4" t="str">
        <f>IFERROR(__xludf.DUMMYFUNCTION("""COMPUTED_VALUE"""),"CHIC SUSHI")</f>
        <v>CHIC SUSHI</v>
      </c>
      <c r="L6799" s="32">
        <f>IFERROR(__xludf.DUMMYFUNCTION("""COMPUTED_VALUE"""),2.0)</f>
        <v>2</v>
      </c>
      <c r="M6799" s="4" t="str">
        <f>IFERROR(__xludf.DUMMYFUNCTION("""COMPUTED_VALUE"""),"Consumer Soluções Em Tecnologia Ltda")</f>
        <v>Consumer Soluções Em Tecnologia Ltda</v>
      </c>
      <c r="N6799" s="33">
        <f>IFERROR(__xludf.DUMMYFUNCTION("""COMPUTED_VALUE"""),1.0)</f>
        <v>1</v>
      </c>
      <c r="O6799" s="4" t="str">
        <f>IFERROR(__xludf.DUMMYFUNCTION("""COMPUTED_VALUE"""),"Consumer Soluções Em Tecnologia Ltda")</f>
        <v>Consumer Soluções Em Tecnologia Ltda</v>
      </c>
      <c r="P6799" s="33">
        <f>IFERROR(__xludf.DUMMYFUNCTION("""COMPUTED_VALUE"""),1.0)</f>
        <v>1</v>
      </c>
      <c r="Q6799" s="4" t="str">
        <f>IFERROR(__xludf.DUMMYFUNCTION("""COMPUTED_VALUE"""),"null")</f>
        <v>null</v>
      </c>
      <c r="R6799" s="33">
        <f>IFERROR(__xludf.DUMMYFUNCTION("""COMPUTED_VALUE"""),0.5)</f>
        <v>0.5</v>
      </c>
      <c r="S6799" s="4" t="str">
        <f>IFERROR(__xludf.DUMMYFUNCTION("""COMPUTED_VALUE"""),"Consumer Soluções Em Tecnologia Ltda")</f>
        <v>Consumer Soluções Em Tecnologia Ltda</v>
      </c>
      <c r="T6799" s="33">
        <f>IFERROR(__xludf.DUMMYFUNCTION("""COMPUTED_VALUE"""),1.0)</f>
        <v>1</v>
      </c>
      <c r="U6799" s="4" t="str">
        <f>IFERROR(__xludf.DUMMYFUNCTION("""COMPUTED_VALUE"""),"null")</f>
        <v>null</v>
      </c>
      <c r="V6799" s="33">
        <f>IFERROR(__xludf.DUMMYFUNCTION("""COMPUTED_VALUE"""),0.5)</f>
        <v>0.5</v>
      </c>
      <c r="W6799" s="4" t="str">
        <f>IFERROR(__xludf.DUMMYFUNCTION("""COMPUTED_VALUE"""),"Consumer Soluções Em Tecnologia Ltda")</f>
        <v>Consumer Soluções Em Tecnologia Ltda</v>
      </c>
      <c r="X6799" s="33">
        <f>IFERROR(__xludf.DUMMYFUNCTION("""COMPUTED_VALUE"""),1.0)</f>
        <v>1</v>
      </c>
    </row>
    <row r="6800">
      <c r="K6800" s="4" t="str">
        <f>IFERROR(__xludf.DUMMYFUNCTION("""COMPUTED_VALUE"""),"CHICKEN PACK - CONTA MARCA")</f>
        <v>CHICKEN PACK - CONTA MARCA</v>
      </c>
      <c r="L6800" s="32">
        <f>IFERROR(__xludf.DUMMYFUNCTION("""COMPUTED_VALUE"""),2.0)</f>
        <v>2</v>
      </c>
      <c r="M6800" s="4" t="str">
        <f>IFERROR(__xludf.DUMMYFUNCTION("""COMPUTED_VALUE"""),"Saipos Serviços De Software")</f>
        <v>Saipos Serviços De Software</v>
      </c>
      <c r="N6800" s="33">
        <f>IFERROR(__xludf.DUMMYFUNCTION("""COMPUTED_VALUE"""),1.0)</f>
        <v>1</v>
      </c>
      <c r="O6800" s="4" t="str">
        <f>IFERROR(__xludf.DUMMYFUNCTION("""COMPUTED_VALUE"""),"Saipos Serviços De Software")</f>
        <v>Saipos Serviços De Software</v>
      </c>
      <c r="P6800" s="33">
        <f>IFERROR(__xludf.DUMMYFUNCTION("""COMPUTED_VALUE"""),1.0)</f>
        <v>1</v>
      </c>
      <c r="Q6800" s="4" t="str">
        <f>IFERROR(__xludf.DUMMYFUNCTION("""COMPUTED_VALUE"""),"Saipos Serviços De Software")</f>
        <v>Saipos Serviços De Software</v>
      </c>
      <c r="R6800" s="33">
        <f>IFERROR(__xludf.DUMMYFUNCTION("""COMPUTED_VALUE"""),1.0)</f>
        <v>1</v>
      </c>
      <c r="S6800" s="4" t="str">
        <f>IFERROR(__xludf.DUMMYFUNCTION("""COMPUTED_VALUE"""),"Saipos Serviços De Software")</f>
        <v>Saipos Serviços De Software</v>
      </c>
      <c r="T6800" s="33">
        <f>IFERROR(__xludf.DUMMYFUNCTION("""COMPUTED_VALUE"""),1.0)</f>
        <v>1</v>
      </c>
      <c r="U6800" s="4" t="str">
        <f>IFERROR(__xludf.DUMMYFUNCTION("""COMPUTED_VALUE"""),"Saipos Serviços De Software")</f>
        <v>Saipos Serviços De Software</v>
      </c>
      <c r="V6800" s="33">
        <f>IFERROR(__xludf.DUMMYFUNCTION("""COMPUTED_VALUE"""),1.0)</f>
        <v>1</v>
      </c>
      <c r="W6800" s="4" t="str">
        <f>IFERROR(__xludf.DUMMYFUNCTION("""COMPUTED_VALUE"""),"Saipos Serviços De Software")</f>
        <v>Saipos Serviços De Software</v>
      </c>
      <c r="X6800" s="33">
        <f>IFERROR(__xludf.DUMMYFUNCTION("""COMPUTED_VALUE"""),1.0)</f>
        <v>1</v>
      </c>
    </row>
    <row r="6801">
      <c r="K6801" s="4" t="str">
        <f>IFERROR(__xludf.DUMMYFUNCTION("""COMPUTED_VALUE"""),"CHICKEN PIZZA")</f>
        <v>CHICKEN PIZZA</v>
      </c>
      <c r="L6801" s="32">
        <f>IFERROR(__xludf.DUMMYFUNCTION("""COMPUTED_VALUE"""),2.0)</f>
        <v>2</v>
      </c>
      <c r="M6801" s="4" t="str">
        <f>IFERROR(__xludf.DUMMYFUNCTION("""COMPUTED_VALUE"""),"Campos Grutzmacher E Cia Ltda")</f>
        <v>Campos Grutzmacher E Cia Ltda</v>
      </c>
      <c r="N6801" s="33">
        <f>IFERROR(__xludf.DUMMYFUNCTION("""COMPUTED_VALUE"""),0.5)</f>
        <v>0.5</v>
      </c>
      <c r="O6801" s="4" t="str">
        <f>IFERROR(__xludf.DUMMYFUNCTION("""COMPUTED_VALUE"""),"Campos Grutzmacher E Cia Ltda")</f>
        <v>Campos Grutzmacher E Cia Ltda</v>
      </c>
      <c r="P6801" s="33">
        <f>IFERROR(__xludf.DUMMYFUNCTION("""COMPUTED_VALUE"""),0.5)</f>
        <v>0.5</v>
      </c>
      <c r="Q6801" s="4" t="str">
        <f>IFERROR(__xludf.DUMMYFUNCTION("""COMPUTED_VALUE"""),"Campos Grutzmacher E Cia Ltda")</f>
        <v>Campos Grutzmacher E Cia Ltda</v>
      </c>
      <c r="R6801" s="33">
        <f>IFERROR(__xludf.DUMMYFUNCTION("""COMPUTED_VALUE"""),1.0)</f>
        <v>1</v>
      </c>
      <c r="S6801" s="4" t="str">
        <f>IFERROR(__xludf.DUMMYFUNCTION("""COMPUTED_VALUE"""),"Campos Grutzmacher E Cia Ltda")</f>
        <v>Campos Grutzmacher E Cia Ltda</v>
      </c>
      <c r="T6801" s="33">
        <f>IFERROR(__xludf.DUMMYFUNCTION("""COMPUTED_VALUE"""),0.5)</f>
        <v>0.5</v>
      </c>
      <c r="U6801" s="4" t="str">
        <f>IFERROR(__xludf.DUMMYFUNCTION("""COMPUTED_VALUE"""),"Campos Grutzmacher E Cia Ltda")</f>
        <v>Campos Grutzmacher E Cia Ltda</v>
      </c>
      <c r="V6801" s="33">
        <f>IFERROR(__xludf.DUMMYFUNCTION("""COMPUTED_VALUE"""),0.5)</f>
        <v>0.5</v>
      </c>
      <c r="W6801" s="4" t="str">
        <f>IFERROR(__xludf.DUMMYFUNCTION("""COMPUTED_VALUE"""),"Campos Grutzmacher E Cia Ltda")</f>
        <v>Campos Grutzmacher E Cia Ltda</v>
      </c>
      <c r="X6801" s="33">
        <f>IFERROR(__xludf.DUMMYFUNCTION("""COMPUTED_VALUE"""),0.5)</f>
        <v>0.5</v>
      </c>
    </row>
    <row r="6802">
      <c r="K6802" s="4" t="str">
        <f>IFERROR(__xludf.DUMMYFUNCTION("""COMPUTED_VALUE"""),"CHICKENRIA")</f>
        <v>CHICKENRIA</v>
      </c>
      <c r="L6802" s="32">
        <f>IFERROR(__xludf.DUMMYFUNCTION("""COMPUTED_VALUE"""),2.0)</f>
        <v>2</v>
      </c>
      <c r="M6802" s="4" t="str">
        <f>IFERROR(__xludf.DUMMYFUNCTION("""COMPUTED_VALUE"""),"Connectplug")</f>
        <v>Connectplug</v>
      </c>
      <c r="N6802" s="33">
        <f>IFERROR(__xludf.DUMMYFUNCTION("""COMPUTED_VALUE"""),1.0)</f>
        <v>1</v>
      </c>
      <c r="O6802" s="4" t="str">
        <f>IFERROR(__xludf.DUMMYFUNCTION("""COMPUTED_VALUE"""),"Connectplug")</f>
        <v>Connectplug</v>
      </c>
      <c r="P6802" s="33">
        <f>IFERROR(__xludf.DUMMYFUNCTION("""COMPUTED_VALUE"""),1.0)</f>
        <v>1</v>
      </c>
      <c r="Q6802" s="4" t="str">
        <f>IFERROR(__xludf.DUMMYFUNCTION("""COMPUTED_VALUE"""),"Connectplug")</f>
        <v>Connectplug</v>
      </c>
      <c r="R6802" s="33">
        <f>IFERROR(__xludf.DUMMYFUNCTION("""COMPUTED_VALUE"""),1.0)</f>
        <v>1</v>
      </c>
      <c r="S6802" s="4" t="str">
        <f>IFERROR(__xludf.DUMMYFUNCTION("""COMPUTED_VALUE"""),"Connectplug")</f>
        <v>Connectplug</v>
      </c>
      <c r="T6802" s="33">
        <f>IFERROR(__xludf.DUMMYFUNCTION("""COMPUTED_VALUE"""),0.5)</f>
        <v>0.5</v>
      </c>
      <c r="U6802" s="4" t="str">
        <f>IFERROR(__xludf.DUMMYFUNCTION("""COMPUTED_VALUE"""),"Connectplug")</f>
        <v>Connectplug</v>
      </c>
      <c r="V6802" s="33">
        <f>IFERROR(__xludf.DUMMYFUNCTION("""COMPUTED_VALUE"""),1.0)</f>
        <v>1</v>
      </c>
      <c r="W6802" s="4" t="str">
        <f>IFERROR(__xludf.DUMMYFUNCTION("""COMPUTED_VALUE"""),"Connectplug")</f>
        <v>Connectplug</v>
      </c>
      <c r="X6802" s="33">
        <f>IFERROR(__xludf.DUMMYFUNCTION("""COMPUTED_VALUE"""),1.0)</f>
        <v>1</v>
      </c>
    </row>
    <row r="6803">
      <c r="K6803" s="4" t="str">
        <f>IFERROR(__xludf.DUMMYFUNCTION("""COMPUTED_VALUE"""),"CHICO TOICINHO SC - CONTA GRUPO")</f>
        <v>CHICO TOICINHO SC - CONTA GRUPO</v>
      </c>
      <c r="L6803" s="32">
        <f>IFERROR(__xludf.DUMMYFUNCTION("""COMPUTED_VALUE"""),2.0)</f>
        <v>2</v>
      </c>
      <c r="M6803" s="4" t="str">
        <f>IFERROR(__xludf.DUMMYFUNCTION("""COMPUTED_VALUE"""),"Bitbar")</f>
        <v>Bitbar</v>
      </c>
      <c r="N6803" s="33">
        <f>IFERROR(__xludf.DUMMYFUNCTION("""COMPUTED_VALUE"""),1.0)</f>
        <v>1</v>
      </c>
      <c r="O6803" s="4" t="str">
        <f>IFERROR(__xludf.DUMMYFUNCTION("""COMPUTED_VALUE"""),"null")</f>
        <v>null</v>
      </c>
      <c r="P6803" s="33">
        <f>IFERROR(__xludf.DUMMYFUNCTION("""COMPUTED_VALUE"""),0.5)</f>
        <v>0.5</v>
      </c>
      <c r="Q6803" s="4" t="str">
        <f>IFERROR(__xludf.DUMMYFUNCTION("""COMPUTED_VALUE"""),"Bitbar")</f>
        <v>Bitbar</v>
      </c>
      <c r="R6803" s="33">
        <f>IFERROR(__xludf.DUMMYFUNCTION("""COMPUTED_VALUE"""),1.0)</f>
        <v>1</v>
      </c>
      <c r="S6803" s="4" t="str">
        <f>IFERROR(__xludf.DUMMYFUNCTION("""COMPUTED_VALUE"""),"null")</f>
        <v>null</v>
      </c>
      <c r="T6803" s="33">
        <f>IFERROR(__xludf.DUMMYFUNCTION("""COMPUTED_VALUE"""),0.5)</f>
        <v>0.5</v>
      </c>
      <c r="U6803" s="4" t="str">
        <f>IFERROR(__xludf.DUMMYFUNCTION("""COMPUTED_VALUE"""),"Bitbar")</f>
        <v>Bitbar</v>
      </c>
      <c r="V6803" s="33">
        <f>IFERROR(__xludf.DUMMYFUNCTION("""COMPUTED_VALUE"""),1.0)</f>
        <v>1</v>
      </c>
      <c r="W6803" s="4" t="str">
        <f>IFERROR(__xludf.DUMMYFUNCTION("""COMPUTED_VALUE"""),"Bitbar")</f>
        <v>Bitbar</v>
      </c>
      <c r="X6803" s="33">
        <f>IFERROR(__xludf.DUMMYFUNCTION("""COMPUTED_VALUE"""),1.0)</f>
        <v>1</v>
      </c>
    </row>
    <row r="6804">
      <c r="K6804" s="4" t="str">
        <f>IFERROR(__xludf.DUMMYFUNCTION("""COMPUTED_VALUE"""),"ENTRE CORTES SC - CONTA GRUPO")</f>
        <v>ENTRE CORTES SC - CONTA GRUPO</v>
      </c>
      <c r="L6804" s="32">
        <f>IFERROR(__xludf.DUMMYFUNCTION("""COMPUTED_VALUE"""),2.0)</f>
        <v>2</v>
      </c>
      <c r="M6804" s="4" t="str">
        <f>IFERROR(__xludf.DUMMYFUNCTION("""COMPUTED_VALUE"""),"Bitbar")</f>
        <v>Bitbar</v>
      </c>
      <c r="N6804" s="33">
        <f>IFERROR(__xludf.DUMMYFUNCTION("""COMPUTED_VALUE"""),1.0)</f>
        <v>1</v>
      </c>
      <c r="O6804" s="4" t="str">
        <f>IFERROR(__xludf.DUMMYFUNCTION("""COMPUTED_VALUE"""),"null")</f>
        <v>null</v>
      </c>
      <c r="P6804" s="33">
        <f>IFERROR(__xludf.DUMMYFUNCTION("""COMPUTED_VALUE"""),0.5)</f>
        <v>0.5</v>
      </c>
      <c r="Q6804" s="4" t="str">
        <f>IFERROR(__xludf.DUMMYFUNCTION("""COMPUTED_VALUE"""),"Bitbar")</f>
        <v>Bitbar</v>
      </c>
      <c r="R6804" s="33">
        <f>IFERROR(__xludf.DUMMYFUNCTION("""COMPUTED_VALUE"""),1.0)</f>
        <v>1</v>
      </c>
      <c r="S6804" s="4" t="str">
        <f>IFERROR(__xludf.DUMMYFUNCTION("""COMPUTED_VALUE"""),"null")</f>
        <v>null</v>
      </c>
      <c r="T6804" s="33">
        <f>IFERROR(__xludf.DUMMYFUNCTION("""COMPUTED_VALUE"""),0.5)</f>
        <v>0.5</v>
      </c>
      <c r="U6804" s="4" t="str">
        <f>IFERROR(__xludf.DUMMYFUNCTION("""COMPUTED_VALUE"""),"Bitbar")</f>
        <v>Bitbar</v>
      </c>
      <c r="V6804" s="33">
        <f>IFERROR(__xludf.DUMMYFUNCTION("""COMPUTED_VALUE"""),1.0)</f>
        <v>1</v>
      </c>
      <c r="W6804" s="4" t="str">
        <f>IFERROR(__xludf.DUMMYFUNCTION("""COMPUTED_VALUE"""),"Bitbar")</f>
        <v>Bitbar</v>
      </c>
      <c r="X6804" s="33">
        <f>IFERROR(__xludf.DUMMYFUNCTION("""COMPUTED_VALUE"""),1.0)</f>
        <v>1</v>
      </c>
    </row>
    <row r="6805">
      <c r="K6805" s="4" t="str">
        <f>IFERROR(__xludf.DUMMYFUNCTION("""COMPUTED_VALUE"""),"CHINA 48")</f>
        <v>CHINA 48</v>
      </c>
      <c r="L6805" s="32">
        <f>IFERROR(__xludf.DUMMYFUNCTION("""COMPUTED_VALUE"""),2.0)</f>
        <v>2</v>
      </c>
      <c r="M6805" s="4" t="str">
        <f>IFERROR(__xludf.DUMMYFUNCTION("""COMPUTED_VALUE"""),"null")</f>
        <v>null</v>
      </c>
      <c r="N6805" s="33">
        <f>IFERROR(__xludf.DUMMYFUNCTION("""COMPUTED_VALUE"""),0.5)</f>
        <v>0.5</v>
      </c>
      <c r="O6805" s="4" t="str">
        <f>IFERROR(__xludf.DUMMYFUNCTION("""COMPUTED_VALUE"""),"null")</f>
        <v>null</v>
      </c>
      <c r="P6805" s="33">
        <f>IFERROR(__xludf.DUMMYFUNCTION("""COMPUTED_VALUE"""),0.5)</f>
        <v>0.5</v>
      </c>
      <c r="Q6805" s="4" t="str">
        <f>IFERROR(__xludf.DUMMYFUNCTION("""COMPUTED_VALUE"""),"null")</f>
        <v>null</v>
      </c>
      <c r="R6805" s="33">
        <f>IFERROR(__xludf.DUMMYFUNCTION("""COMPUTED_VALUE"""),0.5)</f>
        <v>0.5</v>
      </c>
      <c r="S6805" s="4" t="str">
        <f>IFERROR(__xludf.DUMMYFUNCTION("""COMPUTED_VALUE"""),"null")</f>
        <v>null</v>
      </c>
      <c r="T6805" s="33">
        <f>IFERROR(__xludf.DUMMYFUNCTION("""COMPUTED_VALUE"""),1.0)</f>
        <v>1</v>
      </c>
      <c r="U6805" s="4" t="str">
        <f>IFERROR(__xludf.DUMMYFUNCTION("""COMPUTED_VALUE"""),"L&amp;f Tecnologia Sistemas E Comercio Ltda")</f>
        <v>L&amp;f Tecnologia Sistemas E Comercio Ltda</v>
      </c>
      <c r="V6805" s="33">
        <f>IFERROR(__xludf.DUMMYFUNCTION("""COMPUTED_VALUE"""),0.5)</f>
        <v>0.5</v>
      </c>
      <c r="W6805" s="4" t="str">
        <f>IFERROR(__xludf.DUMMYFUNCTION("""COMPUTED_VALUE"""),"null")</f>
        <v>null</v>
      </c>
      <c r="X6805" s="33">
        <f>IFERROR(__xludf.DUMMYFUNCTION("""COMPUTED_VALUE"""),0.5)</f>
        <v>0.5</v>
      </c>
    </row>
    <row r="6806">
      <c r="K6806" s="4" t="str">
        <f>IFERROR(__xludf.DUMMYFUNCTION("""COMPUTED_VALUE"""),"CHINA FELIZ - MARCA")</f>
        <v>CHINA FELIZ - MARCA</v>
      </c>
      <c r="L6806" s="32">
        <f>IFERROR(__xludf.DUMMYFUNCTION("""COMPUTED_VALUE"""),2.0)</f>
        <v>2</v>
      </c>
      <c r="M6806" s="4" t="str">
        <f>IFERROR(__xludf.DUMMYFUNCTION("""COMPUTED_VALUE"""),"Diggy")</f>
        <v>Diggy</v>
      </c>
      <c r="N6806" s="33">
        <f>IFERROR(__xludf.DUMMYFUNCTION("""COMPUTED_VALUE"""),0.5)</f>
        <v>0.5</v>
      </c>
      <c r="O6806" s="4" t="str">
        <f>IFERROR(__xludf.DUMMYFUNCTION("""COMPUTED_VALUE"""),"Diggy")</f>
        <v>Diggy</v>
      </c>
      <c r="P6806" s="33">
        <f>IFERROR(__xludf.DUMMYFUNCTION("""COMPUTED_VALUE"""),0.5)</f>
        <v>0.5</v>
      </c>
      <c r="Q6806" s="4" t="str">
        <f>IFERROR(__xludf.DUMMYFUNCTION("""COMPUTED_VALUE"""),"Diggy")</f>
        <v>Diggy</v>
      </c>
      <c r="R6806" s="33">
        <f>IFERROR(__xludf.DUMMYFUNCTION("""COMPUTED_VALUE"""),0.5)</f>
        <v>0.5</v>
      </c>
      <c r="S6806" s="4" t="str">
        <f>IFERROR(__xludf.DUMMYFUNCTION("""COMPUTED_VALUE"""),"Diggy")</f>
        <v>Diggy</v>
      </c>
      <c r="T6806" s="33">
        <f>IFERROR(__xludf.DUMMYFUNCTION("""COMPUTED_VALUE"""),0.5)</f>
        <v>0.5</v>
      </c>
      <c r="U6806" s="4" t="str">
        <f>IFERROR(__xludf.DUMMYFUNCTION("""COMPUTED_VALUE"""),"Saipos Serviços De Software")</f>
        <v>Saipos Serviços De Software</v>
      </c>
      <c r="V6806" s="33">
        <f>IFERROR(__xludf.DUMMYFUNCTION("""COMPUTED_VALUE"""),1.0)</f>
        <v>1</v>
      </c>
      <c r="W6806" s="4" t="str">
        <f>IFERROR(__xludf.DUMMYFUNCTION("""COMPUTED_VALUE"""),"Saipos Serviços De Software")</f>
        <v>Saipos Serviços De Software</v>
      </c>
      <c r="X6806" s="33">
        <f>IFERROR(__xludf.DUMMYFUNCTION("""COMPUTED_VALUE"""),1.0)</f>
        <v>1</v>
      </c>
    </row>
    <row r="6807">
      <c r="K6807" s="4" t="str">
        <f>IFERROR(__xludf.DUMMYFUNCTION("""COMPUTED_VALUE"""),"CHINA NOW EXPRESS - JP")</f>
        <v>CHINA NOW EXPRESS - JP</v>
      </c>
      <c r="L6807" s="32">
        <f>IFERROR(__xludf.DUMMYFUNCTION("""COMPUTED_VALUE"""),2.0)</f>
        <v>2</v>
      </c>
      <c r="M6807" s="4" t="str">
        <f>IFERROR(__xludf.DUMMYFUNCTION("""COMPUTED_VALUE"""),"Menew - Linx")</f>
        <v>Menew - Linx</v>
      </c>
      <c r="N6807" s="33">
        <f>IFERROR(__xludf.DUMMYFUNCTION("""COMPUTED_VALUE"""),0.5)</f>
        <v>0.5</v>
      </c>
      <c r="O6807" s="4" t="str">
        <f>IFERROR(__xludf.DUMMYFUNCTION("""COMPUTED_VALUE"""),"Menew - Linx")</f>
        <v>Menew - Linx</v>
      </c>
      <c r="P6807" s="33">
        <f>IFERROR(__xludf.DUMMYFUNCTION("""COMPUTED_VALUE"""),0.5)</f>
        <v>0.5</v>
      </c>
      <c r="Q6807" s="4" t="str">
        <f>IFERROR(__xludf.DUMMYFUNCTION("""COMPUTED_VALUE"""),"Menew - Linx")</f>
        <v>Menew - Linx</v>
      </c>
      <c r="R6807" s="33">
        <f>IFERROR(__xludf.DUMMYFUNCTION("""COMPUTED_VALUE"""),0.5)</f>
        <v>0.5</v>
      </c>
      <c r="S6807" s="4" t="str">
        <f>IFERROR(__xludf.DUMMYFUNCTION("""COMPUTED_VALUE"""),"Menew - Linx")</f>
        <v>Menew - Linx</v>
      </c>
      <c r="T6807" s="33">
        <f>IFERROR(__xludf.DUMMYFUNCTION("""COMPUTED_VALUE"""),0.5)</f>
        <v>0.5</v>
      </c>
      <c r="U6807" s="4" t="str">
        <f>IFERROR(__xludf.DUMMYFUNCTION("""COMPUTED_VALUE"""),"Menew - Linx")</f>
        <v>Menew - Linx</v>
      </c>
      <c r="V6807" s="33">
        <f>IFERROR(__xludf.DUMMYFUNCTION("""COMPUTED_VALUE"""),0.5)</f>
        <v>0.5</v>
      </c>
      <c r="W6807" s="4" t="str">
        <f>IFERROR(__xludf.DUMMYFUNCTION("""COMPUTED_VALUE"""),"Menew - Linx")</f>
        <v>Menew - Linx</v>
      </c>
      <c r="X6807" s="33">
        <f>IFERROR(__xludf.DUMMYFUNCTION("""COMPUTED_VALUE"""),0.5)</f>
        <v>0.5</v>
      </c>
    </row>
    <row r="6808">
      <c r="K6808" s="4" t="str">
        <f>IFERROR(__xludf.DUMMYFUNCTION("""COMPUTED_VALUE"""),"CHOCOLATES GRAZI GRAZI - CP")</f>
        <v>CHOCOLATES GRAZI GRAZI - CP</v>
      </c>
      <c r="L6808" s="32">
        <f>IFERROR(__xludf.DUMMYFUNCTION("""COMPUTED_VALUE"""),2.0)</f>
        <v>2</v>
      </c>
      <c r="M6808" s="4" t="str">
        <f>IFERROR(__xludf.DUMMYFUNCTION("""COMPUTED_VALUE"""),"Cloudfy")</f>
        <v>Cloudfy</v>
      </c>
      <c r="N6808" s="33">
        <f>IFERROR(__xludf.DUMMYFUNCTION("""COMPUTED_VALUE"""),1.0)</f>
        <v>1</v>
      </c>
      <c r="O6808" s="4" t="str">
        <f>IFERROR(__xludf.DUMMYFUNCTION("""COMPUTED_VALUE"""),"Cloudfy")</f>
        <v>Cloudfy</v>
      </c>
      <c r="P6808" s="33">
        <f>IFERROR(__xludf.DUMMYFUNCTION("""COMPUTED_VALUE"""),0.5)</f>
        <v>0.5</v>
      </c>
      <c r="Q6808" s="4" t="str">
        <f>IFERROR(__xludf.DUMMYFUNCTION("""COMPUTED_VALUE"""),"Cloudfy")</f>
        <v>Cloudfy</v>
      </c>
      <c r="R6808" s="33">
        <f>IFERROR(__xludf.DUMMYFUNCTION("""COMPUTED_VALUE"""),1.0)</f>
        <v>1</v>
      </c>
      <c r="S6808" s="4" t="str">
        <f>IFERROR(__xludf.DUMMYFUNCTION("""COMPUTED_VALUE"""),"Cloudfy")</f>
        <v>Cloudfy</v>
      </c>
      <c r="T6808" s="33">
        <f>IFERROR(__xludf.DUMMYFUNCTION("""COMPUTED_VALUE"""),1.0)</f>
        <v>1</v>
      </c>
      <c r="U6808" s="4" t="str">
        <f>IFERROR(__xludf.DUMMYFUNCTION("""COMPUTED_VALUE"""),"Cloudfy")</f>
        <v>Cloudfy</v>
      </c>
      <c r="V6808" s="33">
        <f>IFERROR(__xludf.DUMMYFUNCTION("""COMPUTED_VALUE"""),1.0)</f>
        <v>1</v>
      </c>
      <c r="W6808" s="4" t="str">
        <f>IFERROR(__xludf.DUMMYFUNCTION("""COMPUTED_VALUE"""),"Cloudfy")</f>
        <v>Cloudfy</v>
      </c>
      <c r="X6808" s="33">
        <f>IFERROR(__xludf.DUMMYFUNCTION("""COMPUTED_VALUE"""),1.0)</f>
        <v>1</v>
      </c>
    </row>
    <row r="6809">
      <c r="K6809" s="4" t="str">
        <f>IFERROR(__xludf.DUMMYFUNCTION("""COMPUTED_VALUE"""),"CHOPPANA")</f>
        <v>CHOPPANA</v>
      </c>
      <c r="L6809" s="32">
        <f>IFERROR(__xludf.DUMMYFUNCTION("""COMPUTED_VALUE"""),2.0)</f>
        <v>2</v>
      </c>
      <c r="M6809" s="4" t="str">
        <f>IFERROR(__xludf.DUMMYFUNCTION("""COMPUTED_VALUE"""),"Menew - Linx")</f>
        <v>Menew - Linx</v>
      </c>
      <c r="N6809" s="33">
        <f>IFERROR(__xludf.DUMMYFUNCTION("""COMPUTED_VALUE"""),0.5)</f>
        <v>0.5</v>
      </c>
      <c r="O6809" s="4" t="str">
        <f>IFERROR(__xludf.DUMMYFUNCTION("""COMPUTED_VALUE"""),"Menew - Linx")</f>
        <v>Menew - Linx</v>
      </c>
      <c r="P6809" s="33">
        <f>IFERROR(__xludf.DUMMYFUNCTION("""COMPUTED_VALUE"""),0.5)</f>
        <v>0.5</v>
      </c>
      <c r="Q6809" s="4" t="str">
        <f>IFERROR(__xludf.DUMMYFUNCTION("""COMPUTED_VALUE"""),"Menew - Linx")</f>
        <v>Menew - Linx</v>
      </c>
      <c r="R6809" s="33">
        <f>IFERROR(__xludf.DUMMYFUNCTION("""COMPUTED_VALUE"""),0.5)</f>
        <v>0.5</v>
      </c>
      <c r="S6809" s="4" t="str">
        <f>IFERROR(__xludf.DUMMYFUNCTION("""COMPUTED_VALUE"""),"Menew - Linx")</f>
        <v>Menew - Linx</v>
      </c>
      <c r="T6809" s="33">
        <f>IFERROR(__xludf.DUMMYFUNCTION("""COMPUTED_VALUE"""),0.5)</f>
        <v>0.5</v>
      </c>
      <c r="U6809" s="4" t="str">
        <f>IFERROR(__xludf.DUMMYFUNCTION("""COMPUTED_VALUE"""),"Menew - Linx")</f>
        <v>Menew - Linx</v>
      </c>
      <c r="V6809" s="33">
        <f>IFERROR(__xludf.DUMMYFUNCTION("""COMPUTED_VALUE"""),0.5)</f>
        <v>0.5</v>
      </c>
      <c r="W6809" s="4" t="str">
        <f>IFERROR(__xludf.DUMMYFUNCTION("""COMPUTED_VALUE"""),"Menew - Linx")</f>
        <v>Menew - Linx</v>
      </c>
      <c r="X6809" s="33">
        <f>IFERROR(__xludf.DUMMYFUNCTION("""COMPUTED_VALUE"""),0.5)</f>
        <v>0.5</v>
      </c>
    </row>
    <row r="6810">
      <c r="K6810" s="4" t="str">
        <f>IFERROR(__xludf.DUMMYFUNCTION("""COMPUTED_VALUE"""),"CHRIS BURGUER")</f>
        <v>CHRIS BURGUER</v>
      </c>
      <c r="L6810" s="32">
        <f>IFERROR(__xludf.DUMMYFUNCTION("""COMPUTED_VALUE"""),2.0)</f>
        <v>2</v>
      </c>
      <c r="M6810" s="4" t="str">
        <f>IFERROR(__xludf.DUMMYFUNCTION("""COMPUTED_VALUE"""),"Saipos Serviços De Software")</f>
        <v>Saipos Serviços De Software</v>
      </c>
      <c r="N6810" s="33">
        <f>IFERROR(__xludf.DUMMYFUNCTION("""COMPUTED_VALUE"""),1.0)</f>
        <v>1</v>
      </c>
      <c r="O6810" s="4" t="str">
        <f>IFERROR(__xludf.DUMMYFUNCTION("""COMPUTED_VALUE"""),"Saipos Serviços De Software")</f>
        <v>Saipos Serviços De Software</v>
      </c>
      <c r="P6810" s="33">
        <f>IFERROR(__xludf.DUMMYFUNCTION("""COMPUTED_VALUE"""),1.0)</f>
        <v>1</v>
      </c>
      <c r="Q6810" s="4" t="str">
        <f>IFERROR(__xludf.DUMMYFUNCTION("""COMPUTED_VALUE"""),"Ncr")</f>
        <v>Ncr</v>
      </c>
      <c r="R6810" s="33">
        <f>IFERROR(__xludf.DUMMYFUNCTION("""COMPUTED_VALUE"""),0.5)</f>
        <v>0.5</v>
      </c>
      <c r="S6810" s="4" t="str">
        <f>IFERROR(__xludf.DUMMYFUNCTION("""COMPUTED_VALUE"""),"Ncr")</f>
        <v>Ncr</v>
      </c>
      <c r="T6810" s="33">
        <f>IFERROR(__xludf.DUMMYFUNCTION("""COMPUTED_VALUE"""),1.0)</f>
        <v>1</v>
      </c>
      <c r="U6810" s="4" t="str">
        <f>IFERROR(__xludf.DUMMYFUNCTION("""COMPUTED_VALUE"""),"Ncr")</f>
        <v>Ncr</v>
      </c>
      <c r="V6810" s="33">
        <f>IFERROR(__xludf.DUMMYFUNCTION("""COMPUTED_VALUE"""),1.0)</f>
        <v>1</v>
      </c>
      <c r="W6810" s="4" t="str">
        <f>IFERROR(__xludf.DUMMYFUNCTION("""COMPUTED_VALUE"""),"Ncr")</f>
        <v>Ncr</v>
      </c>
      <c r="X6810" s="33">
        <f>IFERROR(__xludf.DUMMYFUNCTION("""COMPUTED_VALUE"""),1.0)</f>
        <v>1</v>
      </c>
    </row>
    <row r="6811">
      <c r="K6811" s="4" t="str">
        <f>IFERROR(__xludf.DUMMYFUNCTION("""COMPUTED_VALUE"""),"CHUNKY CONTA PAI")</f>
        <v>CHUNKY CONTA PAI</v>
      </c>
      <c r="L6811" s="32">
        <f>IFERROR(__xludf.DUMMYFUNCTION("""COMPUTED_VALUE"""),2.0)</f>
        <v>2</v>
      </c>
      <c r="M6811" s="4" t="str">
        <f>IFERROR(__xludf.DUMMYFUNCTION("""COMPUTED_VALUE"""),"null")</f>
        <v>null</v>
      </c>
      <c r="N6811" s="33">
        <f>IFERROR(__xludf.DUMMYFUNCTION("""COMPUTED_VALUE"""),0.5)</f>
        <v>0.5</v>
      </c>
      <c r="O6811" s="4" t="str">
        <f>IFERROR(__xludf.DUMMYFUNCTION("""COMPUTED_VALUE"""),"Connectplug")</f>
        <v>Connectplug</v>
      </c>
      <c r="P6811" s="33">
        <f>IFERROR(__xludf.DUMMYFUNCTION("""COMPUTED_VALUE"""),1.0)</f>
        <v>1</v>
      </c>
      <c r="Q6811" s="4" t="str">
        <f>IFERROR(__xludf.DUMMYFUNCTION("""COMPUTED_VALUE"""),"null")</f>
        <v>null</v>
      </c>
      <c r="R6811" s="33">
        <f>IFERROR(__xludf.DUMMYFUNCTION("""COMPUTED_VALUE"""),0.5)</f>
        <v>0.5</v>
      </c>
      <c r="S6811" s="4" t="str">
        <f>IFERROR(__xludf.DUMMYFUNCTION("""COMPUTED_VALUE"""),"null")</f>
        <v>null</v>
      </c>
      <c r="T6811" s="33">
        <f>IFERROR(__xludf.DUMMYFUNCTION("""COMPUTED_VALUE"""),0.5)</f>
        <v>0.5</v>
      </c>
      <c r="U6811" s="4" t="str">
        <f>IFERROR(__xludf.DUMMYFUNCTION("""COMPUTED_VALUE"""),"null")</f>
        <v>null</v>
      </c>
      <c r="V6811" s="33">
        <f>IFERROR(__xludf.DUMMYFUNCTION("""COMPUTED_VALUE"""),0.5)</f>
        <v>0.5</v>
      </c>
      <c r="W6811" s="4" t="str">
        <f>IFERROR(__xludf.DUMMYFUNCTION("""COMPUTED_VALUE"""),"null")</f>
        <v>null</v>
      </c>
      <c r="X6811" s="33">
        <f>IFERROR(__xludf.DUMMYFUNCTION("""COMPUTED_VALUE"""),0.5)</f>
        <v>0.5</v>
      </c>
    </row>
    <row r="6812">
      <c r="K6812" s="4" t="str">
        <f>IFERROR(__xludf.DUMMYFUNCTION("""COMPUTED_VALUE"""),"CHURRAS CASA - THE")</f>
        <v>CHURRAS CASA - THE</v>
      </c>
      <c r="L6812" s="32">
        <f>IFERROR(__xludf.DUMMYFUNCTION("""COMPUTED_VALUE"""),2.0)</f>
        <v>2</v>
      </c>
      <c r="M6812" s="4" t="str">
        <f>IFERROR(__xludf.DUMMYFUNCTION("""COMPUTED_VALUE"""),"Saipos Serviços De Software")</f>
        <v>Saipos Serviços De Software</v>
      </c>
      <c r="N6812" s="33">
        <f>IFERROR(__xludf.DUMMYFUNCTION("""COMPUTED_VALUE"""),0.5)</f>
        <v>0.5</v>
      </c>
      <c r="O6812" s="4" t="str">
        <f>IFERROR(__xludf.DUMMYFUNCTION("""COMPUTED_VALUE"""),"Saipos Serviços De Software")</f>
        <v>Saipos Serviços De Software</v>
      </c>
      <c r="P6812" s="33">
        <f>IFERROR(__xludf.DUMMYFUNCTION("""COMPUTED_VALUE"""),1.0)</f>
        <v>1</v>
      </c>
      <c r="Q6812" s="4" t="str">
        <f>IFERROR(__xludf.DUMMYFUNCTION("""COMPUTED_VALUE"""),"Saipos Serviços De Software")</f>
        <v>Saipos Serviços De Software</v>
      </c>
      <c r="R6812" s="33">
        <f>IFERROR(__xludf.DUMMYFUNCTION("""COMPUTED_VALUE"""),1.0)</f>
        <v>1</v>
      </c>
      <c r="S6812" s="4" t="str">
        <f>IFERROR(__xludf.DUMMYFUNCTION("""COMPUTED_VALUE"""),"Saipos Serviços De Software")</f>
        <v>Saipos Serviços De Software</v>
      </c>
      <c r="T6812" s="33">
        <f>IFERROR(__xludf.DUMMYFUNCTION("""COMPUTED_VALUE"""),1.0)</f>
        <v>1</v>
      </c>
      <c r="U6812" s="4" t="str">
        <f>IFERROR(__xludf.DUMMYFUNCTION("""COMPUTED_VALUE"""),"Saipos Serviços De Software")</f>
        <v>Saipos Serviços De Software</v>
      </c>
      <c r="V6812" s="33">
        <f>IFERROR(__xludf.DUMMYFUNCTION("""COMPUTED_VALUE"""),1.0)</f>
        <v>1</v>
      </c>
      <c r="W6812" s="4" t="str">
        <f>IFERROR(__xludf.DUMMYFUNCTION("""COMPUTED_VALUE"""),"Saipos Serviços De Software")</f>
        <v>Saipos Serviços De Software</v>
      </c>
      <c r="X6812" s="33">
        <f>IFERROR(__xludf.DUMMYFUNCTION("""COMPUTED_VALUE"""),1.0)</f>
        <v>1</v>
      </c>
    </row>
    <row r="6813">
      <c r="K6813" s="4" t="str">
        <f>IFERROR(__xludf.DUMMYFUNCTION("""COMPUTED_VALUE"""),"GRUPO CHURRASCARIA CANDEAL BONOCO")</f>
        <v>GRUPO CHURRASCARIA CANDEAL BONOCO</v>
      </c>
      <c r="L6813" s="32">
        <f>IFERROR(__xludf.DUMMYFUNCTION("""COMPUTED_VALUE"""),2.0)</f>
        <v>2</v>
      </c>
      <c r="M6813" s="4" t="str">
        <f>IFERROR(__xludf.DUMMYFUNCTION("""COMPUTED_VALUE"""),"Anota Ai Solucoes Digitais S/a")</f>
        <v>Anota Ai Solucoes Digitais S/a</v>
      </c>
      <c r="N6813" s="33">
        <f>IFERROR(__xludf.DUMMYFUNCTION("""COMPUTED_VALUE"""),1.0)</f>
        <v>1</v>
      </c>
      <c r="O6813" s="4" t="str">
        <f>IFERROR(__xludf.DUMMYFUNCTION("""COMPUTED_VALUE"""),"Anota Ai Solucoes Digitais S/a")</f>
        <v>Anota Ai Solucoes Digitais S/a</v>
      </c>
      <c r="P6813" s="33">
        <f>IFERROR(__xludf.DUMMYFUNCTION("""COMPUTED_VALUE"""),1.0)</f>
        <v>1</v>
      </c>
      <c r="Q6813" s="4" t="str">
        <f>IFERROR(__xludf.DUMMYFUNCTION("""COMPUTED_VALUE"""),"null")</f>
        <v>null</v>
      </c>
      <c r="R6813" s="33">
        <f>IFERROR(__xludf.DUMMYFUNCTION("""COMPUTED_VALUE"""),0.5)</f>
        <v>0.5</v>
      </c>
      <c r="S6813" s="4" t="str">
        <f>IFERROR(__xludf.DUMMYFUNCTION("""COMPUTED_VALUE"""),"null")</f>
        <v>null</v>
      </c>
      <c r="T6813" s="33">
        <f>IFERROR(__xludf.DUMMYFUNCTION("""COMPUTED_VALUE"""),0.5)</f>
        <v>0.5</v>
      </c>
      <c r="U6813" s="4" t="str">
        <f>IFERROR(__xludf.DUMMYFUNCTION("""COMPUTED_VALUE"""),"null")</f>
        <v>null</v>
      </c>
      <c r="V6813" s="33">
        <f>IFERROR(__xludf.DUMMYFUNCTION("""COMPUTED_VALUE"""),0.5)</f>
        <v>0.5</v>
      </c>
      <c r="W6813" s="4" t="str">
        <f>IFERROR(__xludf.DUMMYFUNCTION("""COMPUTED_VALUE"""),"null")</f>
        <v>null</v>
      </c>
      <c r="X6813" s="33">
        <f>IFERROR(__xludf.DUMMYFUNCTION("""COMPUTED_VALUE"""),0.5)</f>
        <v>0.5</v>
      </c>
    </row>
    <row r="6814">
      <c r="K6814" s="4" t="str">
        <f>IFERROR(__xludf.DUMMYFUNCTION("""COMPUTED_VALUE"""),"CHURRASCARIA PIZZARIA PICANHA DO IRAMI")</f>
        <v>CHURRASCARIA PIZZARIA PICANHA DO IRAMI</v>
      </c>
      <c r="L6814" s="32">
        <f>IFERROR(__xludf.DUMMYFUNCTION("""COMPUTED_VALUE"""),2.0)</f>
        <v>2</v>
      </c>
      <c r="M6814" s="4" t="str">
        <f>IFERROR(__xludf.DUMMYFUNCTION("""COMPUTED_VALUE"""),"Solução Sistemas")</f>
        <v>Solução Sistemas</v>
      </c>
      <c r="N6814" s="33">
        <f>IFERROR(__xludf.DUMMYFUNCTION("""COMPUTED_VALUE"""),1.0)</f>
        <v>1</v>
      </c>
      <c r="O6814" s="4" t="str">
        <f>IFERROR(__xludf.DUMMYFUNCTION("""COMPUTED_VALUE"""),"Solução Sistemas")</f>
        <v>Solução Sistemas</v>
      </c>
      <c r="P6814" s="33">
        <f>IFERROR(__xludf.DUMMYFUNCTION("""COMPUTED_VALUE"""),1.0)</f>
        <v>1</v>
      </c>
      <c r="Q6814" s="4" t="str">
        <f>IFERROR(__xludf.DUMMYFUNCTION("""COMPUTED_VALUE"""),"Solução Sistemas")</f>
        <v>Solução Sistemas</v>
      </c>
      <c r="R6814" s="33">
        <f>IFERROR(__xludf.DUMMYFUNCTION("""COMPUTED_VALUE"""),1.0)</f>
        <v>1</v>
      </c>
      <c r="S6814" s="4" t="str">
        <f>IFERROR(__xludf.DUMMYFUNCTION("""COMPUTED_VALUE"""),"Solução Sistemas")</f>
        <v>Solução Sistemas</v>
      </c>
      <c r="T6814" s="33">
        <f>IFERROR(__xludf.DUMMYFUNCTION("""COMPUTED_VALUE"""),1.0)</f>
        <v>1</v>
      </c>
      <c r="U6814" s="4" t="str">
        <f>IFERROR(__xludf.DUMMYFUNCTION("""COMPUTED_VALUE"""),"Solução Sistemas")</f>
        <v>Solução Sistemas</v>
      </c>
      <c r="V6814" s="33">
        <f>IFERROR(__xludf.DUMMYFUNCTION("""COMPUTED_VALUE"""),1.0)</f>
        <v>1</v>
      </c>
      <c r="W6814" s="4" t="str">
        <f>IFERROR(__xludf.DUMMYFUNCTION("""COMPUTED_VALUE"""),"Solução Sistemas")</f>
        <v>Solução Sistemas</v>
      </c>
      <c r="X6814" s="33">
        <f>IFERROR(__xludf.DUMMYFUNCTION("""COMPUTED_VALUE"""),1.0)</f>
        <v>1</v>
      </c>
    </row>
    <row r="6815">
      <c r="K6815" s="4" t="str">
        <f>IFERROR(__xludf.DUMMYFUNCTION("""COMPUTED_VALUE"""),"CHURRASCARIA TROPICANA")</f>
        <v>CHURRASCARIA TROPICANA</v>
      </c>
      <c r="L6815" s="32">
        <f>IFERROR(__xludf.DUMMYFUNCTION("""COMPUTED_VALUE"""),2.0)</f>
        <v>2</v>
      </c>
      <c r="M6815" s="4" t="str">
        <f>IFERROR(__xludf.DUMMYFUNCTION("""COMPUTED_VALUE"""),"null")</f>
        <v>null</v>
      </c>
      <c r="N6815" s="33">
        <f>IFERROR(__xludf.DUMMYFUNCTION("""COMPUTED_VALUE"""),0.5)</f>
        <v>0.5</v>
      </c>
      <c r="O6815" s="4" t="str">
        <f>IFERROR(__xludf.DUMMYFUNCTION("""COMPUTED_VALUE"""),"null")</f>
        <v>null</v>
      </c>
      <c r="P6815" s="33">
        <f>IFERROR(__xludf.DUMMYFUNCTION("""COMPUTED_VALUE"""),0.5)</f>
        <v>0.5</v>
      </c>
      <c r="Q6815" s="4" t="str">
        <f>IFERROR(__xludf.DUMMYFUNCTION("""COMPUTED_VALUE"""),"null")</f>
        <v>null</v>
      </c>
      <c r="R6815" s="33">
        <f>IFERROR(__xludf.DUMMYFUNCTION("""COMPUTED_VALUE"""),0.5)</f>
        <v>0.5</v>
      </c>
      <c r="S6815" s="4" t="str">
        <f>IFERROR(__xludf.DUMMYFUNCTION("""COMPUTED_VALUE"""),"Saipos Serviços De Software")</f>
        <v>Saipos Serviços De Software</v>
      </c>
      <c r="T6815" s="33">
        <f>IFERROR(__xludf.DUMMYFUNCTION("""COMPUTED_VALUE"""),1.0)</f>
        <v>1</v>
      </c>
      <c r="U6815" s="4" t="str">
        <f>IFERROR(__xludf.DUMMYFUNCTION("""COMPUTED_VALUE"""),"null")</f>
        <v>null</v>
      </c>
      <c r="V6815" s="33">
        <f>IFERROR(__xludf.DUMMYFUNCTION("""COMPUTED_VALUE"""),0.5)</f>
        <v>0.5</v>
      </c>
      <c r="W6815" s="4" t="str">
        <f>IFERROR(__xludf.DUMMYFUNCTION("""COMPUTED_VALUE"""),"null")</f>
        <v>null</v>
      </c>
      <c r="X6815" s="33">
        <f>IFERROR(__xludf.DUMMYFUNCTION("""COMPUTED_VALUE"""),0.5)</f>
        <v>0.5</v>
      </c>
    </row>
    <row r="6816">
      <c r="K6816" s="4" t="str">
        <f>IFERROR(__xludf.DUMMYFUNCTION("""COMPUTED_VALUE"""),"CHURRASCO DO FIO - CONTA MARCA")</f>
        <v>CHURRASCO DO FIO - CONTA MARCA</v>
      </c>
      <c r="L6816" s="32">
        <f>IFERROR(__xludf.DUMMYFUNCTION("""COMPUTED_VALUE"""),2.0)</f>
        <v>2</v>
      </c>
      <c r="M6816" s="4" t="str">
        <f>IFERROR(__xludf.DUMMYFUNCTION("""COMPUTED_VALUE"""),"Izzy Way Tecnologia")</f>
        <v>Izzy Way Tecnologia</v>
      </c>
      <c r="N6816" s="33">
        <f>IFERROR(__xludf.DUMMYFUNCTION("""COMPUTED_VALUE"""),1.0)</f>
        <v>1</v>
      </c>
      <c r="O6816" s="4" t="str">
        <f>IFERROR(__xludf.DUMMYFUNCTION("""COMPUTED_VALUE"""),"Izzy Way Tecnologia")</f>
        <v>Izzy Way Tecnologia</v>
      </c>
      <c r="P6816" s="33">
        <f>IFERROR(__xludf.DUMMYFUNCTION("""COMPUTED_VALUE"""),1.0)</f>
        <v>1</v>
      </c>
      <c r="Q6816" s="4" t="str">
        <f>IFERROR(__xludf.DUMMYFUNCTION("""COMPUTED_VALUE"""),"Izzy Way Tecnologia")</f>
        <v>Izzy Way Tecnologia</v>
      </c>
      <c r="R6816" s="33">
        <f>IFERROR(__xludf.DUMMYFUNCTION("""COMPUTED_VALUE"""),1.0)</f>
        <v>1</v>
      </c>
      <c r="S6816" s="4" t="str">
        <f>IFERROR(__xludf.DUMMYFUNCTION("""COMPUTED_VALUE"""),"Izzy Way Tecnologia")</f>
        <v>Izzy Way Tecnologia</v>
      </c>
      <c r="T6816" s="33">
        <f>IFERROR(__xludf.DUMMYFUNCTION("""COMPUTED_VALUE"""),1.0)</f>
        <v>1</v>
      </c>
      <c r="U6816" s="4" t="str">
        <f>IFERROR(__xludf.DUMMYFUNCTION("""COMPUTED_VALUE"""),"Izzy Way Tecnologia")</f>
        <v>Izzy Way Tecnologia</v>
      </c>
      <c r="V6816" s="33">
        <f>IFERROR(__xludf.DUMMYFUNCTION("""COMPUTED_VALUE"""),1.0)</f>
        <v>1</v>
      </c>
      <c r="W6816" s="4" t="str">
        <f>IFERROR(__xludf.DUMMYFUNCTION("""COMPUTED_VALUE"""),"Izzy Way Tecnologia")</f>
        <v>Izzy Way Tecnologia</v>
      </c>
      <c r="X6816" s="33">
        <f>IFERROR(__xludf.DUMMYFUNCTION("""COMPUTED_VALUE"""),1.0)</f>
        <v>1</v>
      </c>
    </row>
    <row r="6817">
      <c r="K6817" s="4" t="str">
        <f>IFERROR(__xludf.DUMMYFUNCTION("""COMPUTED_VALUE"""),"CHURRASKILO ELDORADO")</f>
        <v>CHURRASKILO ELDORADO</v>
      </c>
      <c r="L6817" s="32">
        <f>IFERROR(__xludf.DUMMYFUNCTION("""COMPUTED_VALUE"""),2.0)</f>
        <v>2</v>
      </c>
      <c r="M6817" s="4" t="str">
        <f>IFERROR(__xludf.DUMMYFUNCTION("""COMPUTED_VALUE"""),"null")</f>
        <v>null</v>
      </c>
      <c r="N6817" s="33">
        <f>IFERROR(__xludf.DUMMYFUNCTION("""COMPUTED_VALUE"""),0.5)</f>
        <v>0.5</v>
      </c>
      <c r="O6817" s="4" t="str">
        <f>IFERROR(__xludf.DUMMYFUNCTION("""COMPUTED_VALUE"""),"null")</f>
        <v>null</v>
      </c>
      <c r="P6817" s="33">
        <f>IFERROR(__xludf.DUMMYFUNCTION("""COMPUTED_VALUE"""),0.5)</f>
        <v>0.5</v>
      </c>
      <c r="Q6817" s="4" t="str">
        <f>IFERROR(__xludf.DUMMYFUNCTION("""COMPUTED_VALUE"""),"null")</f>
        <v>null</v>
      </c>
      <c r="R6817" s="33">
        <f>IFERROR(__xludf.DUMMYFUNCTION("""COMPUTED_VALUE"""),0.5)</f>
        <v>0.5</v>
      </c>
      <c r="S6817" s="4" t="str">
        <f>IFERROR(__xludf.DUMMYFUNCTION("""COMPUTED_VALUE"""),"null")</f>
        <v>null</v>
      </c>
      <c r="T6817" s="33">
        <f>IFERROR(__xludf.DUMMYFUNCTION("""COMPUTED_VALUE"""),0.5)</f>
        <v>0.5</v>
      </c>
      <c r="U6817" s="4" t="str">
        <f>IFERROR(__xludf.DUMMYFUNCTION("""COMPUTED_VALUE"""),"null")</f>
        <v>null</v>
      </c>
      <c r="V6817" s="33">
        <f>IFERROR(__xludf.DUMMYFUNCTION("""COMPUTED_VALUE"""),0.5)</f>
        <v>0.5</v>
      </c>
      <c r="W6817" s="4" t="str">
        <f>IFERROR(__xludf.DUMMYFUNCTION("""COMPUTED_VALUE"""),"Sistema Pallas")</f>
        <v>Sistema Pallas</v>
      </c>
      <c r="X6817" s="33">
        <f>IFERROR(__xludf.DUMMYFUNCTION("""COMPUTED_VALUE"""),1.0)</f>
        <v>1</v>
      </c>
    </row>
    <row r="6818">
      <c r="K6818" s="4" t="str">
        <f>IFERROR(__xludf.DUMMYFUNCTION("""COMPUTED_VALUE"""),"CIRCUITO DAS PIZZAS - MARCA")</f>
        <v>CIRCUITO DAS PIZZAS - MARCA</v>
      </c>
      <c r="L6818" s="32">
        <f>IFERROR(__xludf.DUMMYFUNCTION("""COMPUTED_VALUE"""),2.0)</f>
        <v>2</v>
      </c>
      <c r="M6818" s="4" t="str">
        <f>IFERROR(__xludf.DUMMYFUNCTION("""COMPUTED_VALUE"""),"Menu Integrado")</f>
        <v>Menu Integrado</v>
      </c>
      <c r="N6818" s="33">
        <f>IFERROR(__xludf.DUMMYFUNCTION("""COMPUTED_VALUE"""),1.0)</f>
        <v>1</v>
      </c>
      <c r="O6818" s="4" t="str">
        <f>IFERROR(__xludf.DUMMYFUNCTION("""COMPUTED_VALUE"""),"Menu Integrado")</f>
        <v>Menu Integrado</v>
      </c>
      <c r="P6818" s="33">
        <f>IFERROR(__xludf.DUMMYFUNCTION("""COMPUTED_VALUE"""),0.5)</f>
        <v>0.5</v>
      </c>
      <c r="Q6818" s="4" t="str">
        <f>IFERROR(__xludf.DUMMYFUNCTION("""COMPUTED_VALUE"""),"Menu Integrado")</f>
        <v>Menu Integrado</v>
      </c>
      <c r="R6818" s="33">
        <f>IFERROR(__xludf.DUMMYFUNCTION("""COMPUTED_VALUE"""),0.5)</f>
        <v>0.5</v>
      </c>
      <c r="S6818" s="4" t="str">
        <f>IFERROR(__xludf.DUMMYFUNCTION("""COMPUTED_VALUE"""),"Menu Integrado")</f>
        <v>Menu Integrado</v>
      </c>
      <c r="T6818" s="33">
        <f>IFERROR(__xludf.DUMMYFUNCTION("""COMPUTED_VALUE"""),1.0)</f>
        <v>1</v>
      </c>
      <c r="U6818" s="4" t="str">
        <f>IFERROR(__xludf.DUMMYFUNCTION("""COMPUTED_VALUE"""),"Menu Integrado")</f>
        <v>Menu Integrado</v>
      </c>
      <c r="V6818" s="33">
        <f>IFERROR(__xludf.DUMMYFUNCTION("""COMPUTED_VALUE"""),1.0)</f>
        <v>1</v>
      </c>
      <c r="W6818" s="4" t="str">
        <f>IFERROR(__xludf.DUMMYFUNCTION("""COMPUTED_VALUE"""),"Menu Integrado")</f>
        <v>Menu Integrado</v>
      </c>
      <c r="X6818" s="33">
        <f>IFERROR(__xludf.DUMMYFUNCTION("""COMPUTED_VALUE"""),1.0)</f>
        <v>1</v>
      </c>
    </row>
    <row r="6819">
      <c r="K6819" s="4" t="str">
        <f>IFERROR(__xludf.DUMMYFUNCTION("""COMPUTED_VALUE"""),"CJS BURGUERS, TREATS AND FRIES - CONTA PAI")</f>
        <v>CJS BURGUERS, TREATS AND FRIES - CONTA PAI</v>
      </c>
      <c r="L6819" s="32">
        <f>IFERROR(__xludf.DUMMYFUNCTION("""COMPUTED_VALUE"""),2.0)</f>
        <v>2</v>
      </c>
      <c r="M6819" s="4" t="str">
        <f>IFERROR(__xludf.DUMMYFUNCTION("""COMPUTED_VALUE"""),"Saipos Serviços De Software")</f>
        <v>Saipos Serviços De Software</v>
      </c>
      <c r="N6819" s="33">
        <f>IFERROR(__xludf.DUMMYFUNCTION("""COMPUTED_VALUE"""),1.0)</f>
        <v>1</v>
      </c>
      <c r="O6819" s="4" t="str">
        <f>IFERROR(__xludf.DUMMYFUNCTION("""COMPUTED_VALUE"""),"Saipos Serviços De Software")</f>
        <v>Saipos Serviços De Software</v>
      </c>
      <c r="P6819" s="33">
        <f>IFERROR(__xludf.DUMMYFUNCTION("""COMPUTED_VALUE"""),1.0)</f>
        <v>1</v>
      </c>
      <c r="Q6819" s="4" t="str">
        <f>IFERROR(__xludf.DUMMYFUNCTION("""COMPUTED_VALUE"""),"Saipos Serviços De Software")</f>
        <v>Saipos Serviços De Software</v>
      </c>
      <c r="R6819" s="33">
        <f>IFERROR(__xludf.DUMMYFUNCTION("""COMPUTED_VALUE"""),1.0)</f>
        <v>1</v>
      </c>
      <c r="S6819" s="4" t="str">
        <f>IFERROR(__xludf.DUMMYFUNCTION("""COMPUTED_VALUE"""),"null")</f>
        <v>null</v>
      </c>
      <c r="T6819" s="33">
        <f>IFERROR(__xludf.DUMMYFUNCTION("""COMPUTED_VALUE"""),1.0)</f>
        <v>1</v>
      </c>
      <c r="U6819" s="4" t="str">
        <f>IFERROR(__xludf.DUMMYFUNCTION("""COMPUTED_VALUE"""),"null")</f>
        <v>null</v>
      </c>
      <c r="V6819" s="33">
        <f>IFERROR(__xludf.DUMMYFUNCTION("""COMPUTED_VALUE"""),1.0)</f>
        <v>1</v>
      </c>
      <c r="W6819" s="4" t="str">
        <f>IFERROR(__xludf.DUMMYFUNCTION("""COMPUTED_VALUE"""),"null")</f>
        <v>null</v>
      </c>
      <c r="X6819" s="33">
        <f>IFERROR(__xludf.DUMMYFUNCTION("""COMPUTED_VALUE"""),1.0)</f>
        <v>1</v>
      </c>
    </row>
    <row r="6820">
      <c r="K6820" s="4" t="str">
        <f>IFERROR(__xludf.DUMMYFUNCTION("""COMPUTED_VALUE"""),"CL ANJOS DROGARIA - CONTA PAI")</f>
        <v>CL ANJOS DROGARIA - CONTA PAI</v>
      </c>
      <c r="L6820" s="32">
        <f>IFERROR(__xludf.DUMMYFUNCTION("""COMPUTED_VALUE"""),2.0)</f>
        <v>2</v>
      </c>
      <c r="M6820" s="4" t="str">
        <f>IFERROR(__xludf.DUMMYFUNCTION("""COMPUTED_VALUE"""),"N/A (Not found)")</f>
        <v>N/A (Not found)</v>
      </c>
      <c r="N6820" s="33">
        <f>IFERROR(__xludf.DUMMYFUNCTION("""COMPUTED_VALUE"""),1.0)</f>
        <v>1</v>
      </c>
      <c r="O6820" s="4" t="str">
        <f>IFERROR(__xludf.DUMMYFUNCTION("""COMPUTED_VALUE"""),"N/A (Not found)")</f>
        <v>N/A (Not found)</v>
      </c>
      <c r="P6820" s="33">
        <f>IFERROR(__xludf.DUMMYFUNCTION("""COMPUTED_VALUE"""),1.0)</f>
        <v>1</v>
      </c>
      <c r="Q6820" s="4" t="str">
        <f>IFERROR(__xludf.DUMMYFUNCTION("""COMPUTED_VALUE"""),"N/A (Not found)")</f>
        <v>N/A (Not found)</v>
      </c>
      <c r="R6820" s="33">
        <f>IFERROR(__xludf.DUMMYFUNCTION("""COMPUTED_VALUE"""),1.0)</f>
        <v>1</v>
      </c>
      <c r="S6820" s="4" t="str">
        <f>IFERROR(__xludf.DUMMYFUNCTION("""COMPUTED_VALUE"""),"N/A (Not found)")</f>
        <v>N/A (Not found)</v>
      </c>
      <c r="T6820" s="33">
        <f>IFERROR(__xludf.DUMMYFUNCTION("""COMPUTED_VALUE"""),1.0)</f>
        <v>1</v>
      </c>
      <c r="U6820" s="4" t="str">
        <f>IFERROR(__xludf.DUMMYFUNCTION("""COMPUTED_VALUE"""),"N/A (Not found)")</f>
        <v>N/A (Not found)</v>
      </c>
      <c r="V6820" s="33">
        <f>IFERROR(__xludf.DUMMYFUNCTION("""COMPUTED_VALUE"""),1.0)</f>
        <v>1</v>
      </c>
      <c r="W6820" s="4" t="str">
        <f>IFERROR(__xludf.DUMMYFUNCTION("""COMPUTED_VALUE"""),"N/A (Not found)")</f>
        <v>N/A (Not found)</v>
      </c>
      <c r="X6820" s="33">
        <f>IFERROR(__xludf.DUMMYFUNCTION("""COMPUTED_VALUE"""),1.0)</f>
        <v>1</v>
      </c>
    </row>
    <row r="6821">
      <c r="K6821" s="4" t="str">
        <f>IFERROR(__xludf.DUMMYFUNCTION("""COMPUTED_VALUE"""),"COFFEE LAB")</f>
        <v>COFFEE LAB</v>
      </c>
      <c r="L6821" s="32">
        <f>IFERROR(__xludf.DUMMYFUNCTION("""COMPUTED_VALUE"""),2.0)</f>
        <v>2</v>
      </c>
      <c r="M6821" s="4" t="str">
        <f>IFERROR(__xludf.DUMMYFUNCTION("""COMPUTED_VALUE"""),"Alpha Logo")</f>
        <v>Alpha Logo</v>
      </c>
      <c r="N6821" s="33">
        <f>IFERROR(__xludf.DUMMYFUNCTION("""COMPUTED_VALUE"""),1.0)</f>
        <v>1</v>
      </c>
      <c r="O6821" s="4" t="str">
        <f>IFERROR(__xludf.DUMMYFUNCTION("""COMPUTED_VALUE"""),"Alpha Logo")</f>
        <v>Alpha Logo</v>
      </c>
      <c r="P6821" s="33">
        <f>IFERROR(__xludf.DUMMYFUNCTION("""COMPUTED_VALUE"""),1.0)</f>
        <v>1</v>
      </c>
      <c r="Q6821" s="4" t="str">
        <f>IFERROR(__xludf.DUMMYFUNCTION("""COMPUTED_VALUE"""),"Alpha Logo")</f>
        <v>Alpha Logo</v>
      </c>
      <c r="R6821" s="33">
        <f>IFERROR(__xludf.DUMMYFUNCTION("""COMPUTED_VALUE"""),1.0)</f>
        <v>1</v>
      </c>
      <c r="S6821" s="4" t="str">
        <f>IFERROR(__xludf.DUMMYFUNCTION("""COMPUTED_VALUE"""),"Alpha Logo")</f>
        <v>Alpha Logo</v>
      </c>
      <c r="T6821" s="33">
        <f>IFERROR(__xludf.DUMMYFUNCTION("""COMPUTED_VALUE"""),1.0)</f>
        <v>1</v>
      </c>
      <c r="U6821" s="4" t="str">
        <f>IFERROR(__xludf.DUMMYFUNCTION("""COMPUTED_VALUE"""),"Alpha Logo")</f>
        <v>Alpha Logo</v>
      </c>
      <c r="V6821" s="33">
        <f>IFERROR(__xludf.DUMMYFUNCTION("""COMPUTED_VALUE"""),1.0)</f>
        <v>1</v>
      </c>
      <c r="W6821" s="4" t="str">
        <f>IFERROR(__xludf.DUMMYFUNCTION("""COMPUTED_VALUE"""),"Alpha Logo")</f>
        <v>Alpha Logo</v>
      </c>
      <c r="X6821" s="33">
        <f>IFERROR(__xludf.DUMMYFUNCTION("""COMPUTED_VALUE"""),1.0)</f>
        <v>1</v>
      </c>
    </row>
    <row r="6822">
      <c r="K6822" s="4" t="str">
        <f>IFERROR(__xludf.DUMMYFUNCTION("""COMPUTED_VALUE"""),"COLISEU DELIVERY")</f>
        <v>COLISEU DELIVERY</v>
      </c>
      <c r="L6822" s="32">
        <f>IFERROR(__xludf.DUMMYFUNCTION("""COMPUTED_VALUE"""),2.0)</f>
        <v>2</v>
      </c>
      <c r="M6822" s="4" t="str">
        <f>IFERROR(__xludf.DUMMYFUNCTION("""COMPUTED_VALUE"""),"Saipos Serviços De Software")</f>
        <v>Saipos Serviços De Software</v>
      </c>
      <c r="N6822" s="33">
        <f>IFERROR(__xludf.DUMMYFUNCTION("""COMPUTED_VALUE"""),1.0)</f>
        <v>1</v>
      </c>
      <c r="O6822" s="4" t="str">
        <f>IFERROR(__xludf.DUMMYFUNCTION("""COMPUTED_VALUE"""),"Saipos Serviços De Software")</f>
        <v>Saipos Serviços De Software</v>
      </c>
      <c r="P6822" s="33">
        <f>IFERROR(__xludf.DUMMYFUNCTION("""COMPUTED_VALUE"""),1.0)</f>
        <v>1</v>
      </c>
      <c r="Q6822" s="4" t="str">
        <f>IFERROR(__xludf.DUMMYFUNCTION("""COMPUTED_VALUE"""),"Saipos Serviços De Software")</f>
        <v>Saipos Serviços De Software</v>
      </c>
      <c r="R6822" s="33">
        <f>IFERROR(__xludf.DUMMYFUNCTION("""COMPUTED_VALUE"""),1.0)</f>
        <v>1</v>
      </c>
      <c r="S6822" s="4" t="str">
        <f>IFERROR(__xludf.DUMMYFUNCTION("""COMPUTED_VALUE"""),"Saipos Serviços De Software")</f>
        <v>Saipos Serviços De Software</v>
      </c>
      <c r="T6822" s="33">
        <f>IFERROR(__xludf.DUMMYFUNCTION("""COMPUTED_VALUE"""),1.0)</f>
        <v>1</v>
      </c>
      <c r="U6822" s="4" t="str">
        <f>IFERROR(__xludf.DUMMYFUNCTION("""COMPUTED_VALUE"""),"Saipos Serviços De Software")</f>
        <v>Saipos Serviços De Software</v>
      </c>
      <c r="V6822" s="33">
        <f>IFERROR(__xludf.DUMMYFUNCTION("""COMPUTED_VALUE"""),1.0)</f>
        <v>1</v>
      </c>
      <c r="W6822" s="4" t="str">
        <f>IFERROR(__xludf.DUMMYFUNCTION("""COMPUTED_VALUE"""),"Saipos Serviços De Software")</f>
        <v>Saipos Serviços De Software</v>
      </c>
      <c r="X6822" s="33">
        <f>IFERROR(__xludf.DUMMYFUNCTION("""COMPUTED_VALUE"""),1.0)</f>
        <v>1</v>
      </c>
    </row>
    <row r="6823">
      <c r="K6823" s="4" t="str">
        <f>IFERROR(__xludf.DUMMYFUNCTION("""COMPUTED_VALUE"""),"COMADRE MARIA - MATO GROSSO DO SUL")</f>
        <v>COMADRE MARIA - MATO GROSSO DO SUL</v>
      </c>
      <c r="L6823" s="32">
        <f>IFERROR(__xludf.DUMMYFUNCTION("""COMPUTED_VALUE"""),2.0)</f>
        <v>2</v>
      </c>
      <c r="M6823" s="4" t="str">
        <f>IFERROR(__xludf.DUMMYFUNCTION("""COMPUTED_VALUE"""),"Softsa Sistemas De Informação Ltda")</f>
        <v>Softsa Sistemas De Informação Ltda</v>
      </c>
      <c r="N6823" s="33">
        <f>IFERROR(__xludf.DUMMYFUNCTION("""COMPUTED_VALUE"""),1.0)</f>
        <v>1</v>
      </c>
      <c r="O6823" s="4" t="str">
        <f>IFERROR(__xludf.DUMMYFUNCTION("""COMPUTED_VALUE"""),"Softsa Sistemas De Informação Ltda")</f>
        <v>Softsa Sistemas De Informação Ltda</v>
      </c>
      <c r="P6823" s="33">
        <f>IFERROR(__xludf.DUMMYFUNCTION("""COMPUTED_VALUE"""),1.0)</f>
        <v>1</v>
      </c>
      <c r="Q6823" s="4" t="str">
        <f>IFERROR(__xludf.DUMMYFUNCTION("""COMPUTED_VALUE"""),"Softsa Sistemas De Informação Ltda")</f>
        <v>Softsa Sistemas De Informação Ltda</v>
      </c>
      <c r="R6823" s="33">
        <f>IFERROR(__xludf.DUMMYFUNCTION("""COMPUTED_VALUE"""),1.0)</f>
        <v>1</v>
      </c>
      <c r="S6823" s="4" t="str">
        <f>IFERROR(__xludf.DUMMYFUNCTION("""COMPUTED_VALUE"""),"null")</f>
        <v>null</v>
      </c>
      <c r="T6823" s="33">
        <f>IFERROR(__xludf.DUMMYFUNCTION("""COMPUTED_VALUE"""),0.5)</f>
        <v>0.5</v>
      </c>
      <c r="U6823" s="4" t="str">
        <f>IFERROR(__xludf.DUMMYFUNCTION("""COMPUTED_VALUE"""),"null")</f>
        <v>null</v>
      </c>
      <c r="V6823" s="33">
        <f>IFERROR(__xludf.DUMMYFUNCTION("""COMPUTED_VALUE"""),0.5)</f>
        <v>0.5</v>
      </c>
      <c r="W6823" s="4" t="str">
        <f>IFERROR(__xludf.DUMMYFUNCTION("""COMPUTED_VALUE"""),"Softsa Sistemas De Informação Ltda")</f>
        <v>Softsa Sistemas De Informação Ltda</v>
      </c>
      <c r="X6823" s="33">
        <f>IFERROR(__xludf.DUMMYFUNCTION("""COMPUTED_VALUE"""),1.0)</f>
        <v>1</v>
      </c>
    </row>
    <row r="6824">
      <c r="K6824" s="4" t="str">
        <f>IFERROR(__xludf.DUMMYFUNCTION("""COMPUTED_VALUE"""),"COMERCIAL LEAO - CONTA PAI")</f>
        <v>COMERCIAL LEAO - CONTA PAI</v>
      </c>
      <c r="L6824" s="32">
        <f>IFERROR(__xludf.DUMMYFUNCTION("""COMPUTED_VALUE"""),2.0)</f>
        <v>2</v>
      </c>
      <c r="M6824" s="4" t="str">
        <f>IFERROR(__xludf.DUMMYFUNCTION("""COMPUTED_VALUE"""),"N/A (Not found)")</f>
        <v>N/A (Not found)</v>
      </c>
      <c r="N6824" s="33">
        <f>IFERROR(__xludf.DUMMYFUNCTION("""COMPUTED_VALUE"""),1.0)</f>
        <v>1</v>
      </c>
      <c r="O6824" s="4" t="str">
        <f>IFERROR(__xludf.DUMMYFUNCTION("""COMPUTED_VALUE"""),"N/A (Not found)")</f>
        <v>N/A (Not found)</v>
      </c>
      <c r="P6824" s="33">
        <f>IFERROR(__xludf.DUMMYFUNCTION("""COMPUTED_VALUE"""),1.0)</f>
        <v>1</v>
      </c>
      <c r="Q6824" s="4" t="str">
        <f>IFERROR(__xludf.DUMMYFUNCTION("""COMPUTED_VALUE"""),"N/A (Not found)")</f>
        <v>N/A (Not found)</v>
      </c>
      <c r="R6824" s="33">
        <f>IFERROR(__xludf.DUMMYFUNCTION("""COMPUTED_VALUE"""),1.0)</f>
        <v>1</v>
      </c>
      <c r="S6824" s="4" t="str">
        <f>IFERROR(__xludf.DUMMYFUNCTION("""COMPUTED_VALUE"""),"N/A (Not found)")</f>
        <v>N/A (Not found)</v>
      </c>
      <c r="T6824" s="33">
        <f>IFERROR(__xludf.DUMMYFUNCTION("""COMPUTED_VALUE"""),1.0)</f>
        <v>1</v>
      </c>
      <c r="U6824" s="4" t="str">
        <f>IFERROR(__xludf.DUMMYFUNCTION("""COMPUTED_VALUE"""),"N/A (Not found)")</f>
        <v>N/A (Not found)</v>
      </c>
      <c r="V6824" s="33">
        <f>IFERROR(__xludf.DUMMYFUNCTION("""COMPUTED_VALUE"""),1.0)</f>
        <v>1</v>
      </c>
      <c r="W6824" s="4" t="str">
        <f>IFERROR(__xludf.DUMMYFUNCTION("""COMPUTED_VALUE"""),"N/A (Not found)")</f>
        <v>N/A (Not found)</v>
      </c>
      <c r="X6824" s="33">
        <f>IFERROR(__xludf.DUMMYFUNCTION("""COMPUTED_VALUE"""),1.0)</f>
        <v>1</v>
      </c>
    </row>
    <row r="6825">
      <c r="K6825" s="4" t="str">
        <f>IFERROR(__xludf.DUMMYFUNCTION("""COMPUTED_VALUE"""),"COMERCIO DE RACOES IRMAOS RAMALHO - CONTA MARCA")</f>
        <v>COMERCIO DE RACOES IRMAOS RAMALHO - CONTA MARCA</v>
      </c>
      <c r="L6825" s="32">
        <f>IFERROR(__xludf.DUMMYFUNCTION("""COMPUTED_VALUE"""),2.0)</f>
        <v>2</v>
      </c>
      <c r="M6825" s="4" t="str">
        <f>IFERROR(__xludf.DUMMYFUNCTION("""COMPUTED_VALUE"""),"N/A (Not found)")</f>
        <v>N/A (Not found)</v>
      </c>
      <c r="N6825" s="33">
        <f>IFERROR(__xludf.DUMMYFUNCTION("""COMPUTED_VALUE"""),1.0)</f>
        <v>1</v>
      </c>
      <c r="O6825" s="4" t="str">
        <f>IFERROR(__xludf.DUMMYFUNCTION("""COMPUTED_VALUE"""),"N/A (Not found)")</f>
        <v>N/A (Not found)</v>
      </c>
      <c r="P6825" s="33">
        <f>IFERROR(__xludf.DUMMYFUNCTION("""COMPUTED_VALUE"""),1.0)</f>
        <v>1</v>
      </c>
      <c r="Q6825" s="4" t="str">
        <f>IFERROR(__xludf.DUMMYFUNCTION("""COMPUTED_VALUE"""),"N/A (Not found)")</f>
        <v>N/A (Not found)</v>
      </c>
      <c r="R6825" s="33">
        <f>IFERROR(__xludf.DUMMYFUNCTION("""COMPUTED_VALUE"""),1.0)</f>
        <v>1</v>
      </c>
      <c r="S6825" s="4" t="str">
        <f>IFERROR(__xludf.DUMMYFUNCTION("""COMPUTED_VALUE"""),"N/A (Not found)")</f>
        <v>N/A (Not found)</v>
      </c>
      <c r="T6825" s="33">
        <f>IFERROR(__xludf.DUMMYFUNCTION("""COMPUTED_VALUE"""),1.0)</f>
        <v>1</v>
      </c>
      <c r="U6825" s="4" t="str">
        <f>IFERROR(__xludf.DUMMYFUNCTION("""COMPUTED_VALUE"""),"N/A (Not found)")</f>
        <v>N/A (Not found)</v>
      </c>
      <c r="V6825" s="33">
        <f>IFERROR(__xludf.DUMMYFUNCTION("""COMPUTED_VALUE"""),1.0)</f>
        <v>1</v>
      </c>
      <c r="W6825" s="4" t="str">
        <f>IFERROR(__xludf.DUMMYFUNCTION("""COMPUTED_VALUE"""),"N/A (Not found)")</f>
        <v>N/A (Not found)</v>
      </c>
      <c r="X6825" s="33">
        <f>IFERROR(__xludf.DUMMYFUNCTION("""COMPUTED_VALUE"""),1.0)</f>
        <v>1</v>
      </c>
    </row>
    <row r="6826">
      <c r="K6826" s="4" t="str">
        <f>IFERROR(__xludf.DUMMYFUNCTION("""COMPUTED_VALUE"""),"COMI COMI")</f>
        <v>COMI COMI</v>
      </c>
      <c r="L6826" s="32">
        <f>IFERROR(__xludf.DUMMYFUNCTION("""COMPUTED_VALUE"""),2.0)</f>
        <v>2</v>
      </c>
      <c r="M6826" s="4" t="str">
        <f>IFERROR(__xludf.DUMMYFUNCTION("""COMPUTED_VALUE"""),"Saipos Serviços De Software")</f>
        <v>Saipos Serviços De Software</v>
      </c>
      <c r="N6826" s="33">
        <f>IFERROR(__xludf.DUMMYFUNCTION("""COMPUTED_VALUE"""),0.5)</f>
        <v>0.5</v>
      </c>
      <c r="O6826" s="4" t="str">
        <f>IFERROR(__xludf.DUMMYFUNCTION("""COMPUTED_VALUE"""),"Saipos Serviços De Software")</f>
        <v>Saipos Serviços De Software</v>
      </c>
      <c r="P6826" s="33">
        <f>IFERROR(__xludf.DUMMYFUNCTION("""COMPUTED_VALUE"""),0.5)</f>
        <v>0.5</v>
      </c>
      <c r="Q6826" s="4" t="str">
        <f>IFERROR(__xludf.DUMMYFUNCTION("""COMPUTED_VALUE"""),"Saipos Serviços De Software")</f>
        <v>Saipos Serviços De Software</v>
      </c>
      <c r="R6826" s="33">
        <f>IFERROR(__xludf.DUMMYFUNCTION("""COMPUTED_VALUE"""),0.5)</f>
        <v>0.5</v>
      </c>
      <c r="S6826" s="4" t="str">
        <f>IFERROR(__xludf.DUMMYFUNCTION("""COMPUTED_VALUE"""),"Saipos Serviços De Software")</f>
        <v>Saipos Serviços De Software</v>
      </c>
      <c r="T6826" s="33">
        <f>IFERROR(__xludf.DUMMYFUNCTION("""COMPUTED_VALUE"""),0.5)</f>
        <v>0.5</v>
      </c>
      <c r="U6826" s="4" t="str">
        <f>IFERROR(__xludf.DUMMYFUNCTION("""COMPUTED_VALUE"""),"Saipos Serviços De Software")</f>
        <v>Saipos Serviços De Software</v>
      </c>
      <c r="V6826" s="33">
        <f>IFERROR(__xludf.DUMMYFUNCTION("""COMPUTED_VALUE"""),0.5)</f>
        <v>0.5</v>
      </c>
      <c r="W6826" s="4" t="str">
        <f>IFERROR(__xludf.DUMMYFUNCTION("""COMPUTED_VALUE"""),"Saipos Serviços De Software")</f>
        <v>Saipos Serviços De Software</v>
      </c>
      <c r="X6826" s="33">
        <f>IFERROR(__xludf.DUMMYFUNCTION("""COMPUTED_VALUE"""),0.5)</f>
        <v>0.5</v>
      </c>
    </row>
    <row r="6827">
      <c r="K6827" s="4" t="str">
        <f>IFERROR(__xludf.DUMMYFUNCTION("""COMPUTED_VALUE"""),"COMIDA CASEIRA - MATO GROSSO DO SUL")</f>
        <v>COMIDA CASEIRA - MATO GROSSO DO SUL</v>
      </c>
      <c r="L6827" s="32">
        <f>IFERROR(__xludf.DUMMYFUNCTION("""COMPUTED_VALUE"""),2.0)</f>
        <v>2</v>
      </c>
      <c r="M6827" s="4" t="str">
        <f>IFERROR(__xludf.DUMMYFUNCTION("""COMPUTED_VALUE"""),"Cardápio Web")</f>
        <v>Cardápio Web</v>
      </c>
      <c r="N6827" s="33">
        <f>IFERROR(__xludf.DUMMYFUNCTION("""COMPUTED_VALUE"""),1.0)</f>
        <v>1</v>
      </c>
      <c r="O6827" s="4" t="str">
        <f>IFERROR(__xludf.DUMMYFUNCTION("""COMPUTED_VALUE"""),"Cardápio Web")</f>
        <v>Cardápio Web</v>
      </c>
      <c r="P6827" s="33">
        <f>IFERROR(__xludf.DUMMYFUNCTION("""COMPUTED_VALUE"""),1.0)</f>
        <v>1</v>
      </c>
      <c r="Q6827" s="4" t="str">
        <f>IFERROR(__xludf.DUMMYFUNCTION("""COMPUTED_VALUE"""),"Cardápio Web")</f>
        <v>Cardápio Web</v>
      </c>
      <c r="R6827" s="33">
        <f>IFERROR(__xludf.DUMMYFUNCTION("""COMPUTED_VALUE"""),1.0)</f>
        <v>1</v>
      </c>
      <c r="S6827" s="4" t="str">
        <f>IFERROR(__xludf.DUMMYFUNCTION("""COMPUTED_VALUE"""),"Cardápio Web")</f>
        <v>Cardápio Web</v>
      </c>
      <c r="T6827" s="33">
        <f>IFERROR(__xludf.DUMMYFUNCTION("""COMPUTED_VALUE"""),1.0)</f>
        <v>1</v>
      </c>
      <c r="U6827" s="4" t="str">
        <f>IFERROR(__xludf.DUMMYFUNCTION("""COMPUTED_VALUE"""),"Cardápio Web")</f>
        <v>Cardápio Web</v>
      </c>
      <c r="V6827" s="33">
        <f>IFERROR(__xludf.DUMMYFUNCTION("""COMPUTED_VALUE"""),1.0)</f>
        <v>1</v>
      </c>
      <c r="W6827" s="4" t="str">
        <f>IFERROR(__xludf.DUMMYFUNCTION("""COMPUTED_VALUE"""),"Cardápio Web")</f>
        <v>Cardápio Web</v>
      </c>
      <c r="X6827" s="33">
        <f>IFERROR(__xludf.DUMMYFUNCTION("""COMPUTED_VALUE"""),1.0)</f>
        <v>1</v>
      </c>
    </row>
    <row r="6828">
      <c r="K6828" s="4" t="str">
        <f>IFERROR(__xludf.DUMMYFUNCTION("""COMPUTED_VALUE"""),"COMIDA DE SOGRA RJ")</f>
        <v>COMIDA DE SOGRA RJ</v>
      </c>
      <c r="L6828" s="32">
        <f>IFERROR(__xludf.DUMMYFUNCTION("""COMPUTED_VALUE"""),2.0)</f>
        <v>2</v>
      </c>
      <c r="M6828" s="4" t="str">
        <f>IFERROR(__xludf.DUMMYFUNCTION("""COMPUTED_VALUE"""),"Saipos Serviços De Software")</f>
        <v>Saipos Serviços De Software</v>
      </c>
      <c r="N6828" s="33">
        <f>IFERROR(__xludf.DUMMYFUNCTION("""COMPUTED_VALUE"""),1.0)</f>
        <v>1</v>
      </c>
      <c r="O6828" s="4" t="str">
        <f>IFERROR(__xludf.DUMMYFUNCTION("""COMPUTED_VALUE"""),"Saipos Serviços De Software")</f>
        <v>Saipos Serviços De Software</v>
      </c>
      <c r="P6828" s="33">
        <f>IFERROR(__xludf.DUMMYFUNCTION("""COMPUTED_VALUE"""),0.5)</f>
        <v>0.5</v>
      </c>
      <c r="Q6828" s="4" t="str">
        <f>IFERROR(__xludf.DUMMYFUNCTION("""COMPUTED_VALUE"""),"Saipos Serviços De Software")</f>
        <v>Saipos Serviços De Software</v>
      </c>
      <c r="R6828" s="33">
        <f>IFERROR(__xludf.DUMMYFUNCTION("""COMPUTED_VALUE"""),0.5)</f>
        <v>0.5</v>
      </c>
      <c r="S6828" s="4" t="str">
        <f>IFERROR(__xludf.DUMMYFUNCTION("""COMPUTED_VALUE"""),"Saipos Serviços De Software")</f>
        <v>Saipos Serviços De Software</v>
      </c>
      <c r="T6828" s="33">
        <f>IFERROR(__xludf.DUMMYFUNCTION("""COMPUTED_VALUE"""),0.5)</f>
        <v>0.5</v>
      </c>
      <c r="U6828" s="4" t="str">
        <f>IFERROR(__xludf.DUMMYFUNCTION("""COMPUTED_VALUE"""),"Saipos Serviços De Software")</f>
        <v>Saipos Serviços De Software</v>
      </c>
      <c r="V6828" s="33">
        <f>IFERROR(__xludf.DUMMYFUNCTION("""COMPUTED_VALUE"""),0.5)</f>
        <v>0.5</v>
      </c>
      <c r="W6828" s="4" t="str">
        <f>IFERROR(__xludf.DUMMYFUNCTION("""COMPUTED_VALUE"""),"Saipos Serviços De Software")</f>
        <v>Saipos Serviços De Software</v>
      </c>
      <c r="X6828" s="33">
        <f>IFERROR(__xludf.DUMMYFUNCTION("""COMPUTED_VALUE"""),0.5)</f>
        <v>0.5</v>
      </c>
    </row>
    <row r="6829">
      <c r="K6829" s="4" t="str">
        <f>IFERROR(__xludf.DUMMYFUNCTION("""COMPUTED_VALUE"""),"COMPAO")</f>
        <v>COMPAO</v>
      </c>
      <c r="L6829" s="32">
        <f>IFERROR(__xludf.DUMMYFUNCTION("""COMPUTED_VALUE"""),2.0)</f>
        <v>2</v>
      </c>
      <c r="M6829" s="4" t="str">
        <f>IFERROR(__xludf.DUMMYFUNCTION("""COMPUTED_VALUE"""),"Totvs Large Enterprise Tecnologia S.a.")</f>
        <v>Totvs Large Enterprise Tecnologia S.a.</v>
      </c>
      <c r="N6829" s="33">
        <f>IFERROR(__xludf.DUMMYFUNCTION("""COMPUTED_VALUE"""),1.0)</f>
        <v>1</v>
      </c>
      <c r="O6829" s="4" t="str">
        <f>IFERROR(__xludf.DUMMYFUNCTION("""COMPUTED_VALUE"""),"Totvs Large Enterprise Tecnologia S.a.")</f>
        <v>Totvs Large Enterprise Tecnologia S.a.</v>
      </c>
      <c r="P6829" s="33">
        <f>IFERROR(__xludf.DUMMYFUNCTION("""COMPUTED_VALUE"""),1.0)</f>
        <v>1</v>
      </c>
      <c r="Q6829" s="4" t="str">
        <f>IFERROR(__xludf.DUMMYFUNCTION("""COMPUTED_VALUE"""),"Totvs Large Enterprise Tecnologia S.a.")</f>
        <v>Totvs Large Enterprise Tecnologia S.a.</v>
      </c>
      <c r="R6829" s="33">
        <f>IFERROR(__xludf.DUMMYFUNCTION("""COMPUTED_VALUE"""),1.0)</f>
        <v>1</v>
      </c>
      <c r="S6829" s="4" t="str">
        <f>IFERROR(__xludf.DUMMYFUNCTION("""COMPUTED_VALUE"""),"Totvs Large Enterprise Tecnologia S.a.")</f>
        <v>Totvs Large Enterprise Tecnologia S.a.</v>
      </c>
      <c r="T6829" s="33">
        <f>IFERROR(__xludf.DUMMYFUNCTION("""COMPUTED_VALUE"""),0.5)</f>
        <v>0.5</v>
      </c>
      <c r="U6829" s="4" t="str">
        <f>IFERROR(__xludf.DUMMYFUNCTION("""COMPUTED_VALUE"""),"Totvs Large Enterprise Tecnologia S.a.")</f>
        <v>Totvs Large Enterprise Tecnologia S.a.</v>
      </c>
      <c r="V6829" s="33">
        <f>IFERROR(__xludf.DUMMYFUNCTION("""COMPUTED_VALUE"""),1.0)</f>
        <v>1</v>
      </c>
      <c r="W6829" s="4" t="str">
        <f>IFERROR(__xludf.DUMMYFUNCTION("""COMPUTED_VALUE"""),"Totvs Large Enterprise Tecnologia S.a.")</f>
        <v>Totvs Large Enterprise Tecnologia S.a.</v>
      </c>
      <c r="X6829" s="33">
        <f>IFERROR(__xludf.DUMMYFUNCTION("""COMPUTED_VALUE"""),1.0)</f>
        <v>1</v>
      </c>
    </row>
    <row r="6830">
      <c r="K6830" s="4" t="str">
        <f>IFERROR(__xludf.DUMMYFUNCTION("""COMPUTED_VALUE"""),"CONC DOCES -CONTA MARCA")</f>
        <v>CONC DOCES -CONTA MARCA</v>
      </c>
      <c r="L6830" s="32">
        <f>IFERROR(__xludf.DUMMYFUNCTION("""COMPUTED_VALUE"""),2.0)</f>
        <v>2</v>
      </c>
      <c r="M6830" s="4" t="str">
        <f>IFERROR(__xludf.DUMMYFUNCTION("""COMPUTED_VALUE"""),"null")</f>
        <v>null</v>
      </c>
      <c r="N6830" s="33">
        <f>IFERROR(__xludf.DUMMYFUNCTION("""COMPUTED_VALUE"""),1.0)</f>
        <v>1</v>
      </c>
      <c r="O6830" s="4" t="str">
        <f>IFERROR(__xludf.DUMMYFUNCTION("""COMPUTED_VALUE"""),"null")</f>
        <v>null</v>
      </c>
      <c r="P6830" s="33">
        <f>IFERROR(__xludf.DUMMYFUNCTION("""COMPUTED_VALUE"""),1.0)</f>
        <v>1</v>
      </c>
      <c r="Q6830" s="4" t="str">
        <f>IFERROR(__xludf.DUMMYFUNCTION("""COMPUTED_VALUE"""),"null")</f>
        <v>null</v>
      </c>
      <c r="R6830" s="33">
        <f>IFERROR(__xludf.DUMMYFUNCTION("""COMPUTED_VALUE"""),1.0)</f>
        <v>1</v>
      </c>
      <c r="S6830" s="4" t="str">
        <f>IFERROR(__xludf.DUMMYFUNCTION("""COMPUTED_VALUE"""),"null")</f>
        <v>null</v>
      </c>
      <c r="T6830" s="33">
        <f>IFERROR(__xludf.DUMMYFUNCTION("""COMPUTED_VALUE"""),1.0)</f>
        <v>1</v>
      </c>
      <c r="U6830" s="4" t="str">
        <f>IFERROR(__xludf.DUMMYFUNCTION("""COMPUTED_VALUE"""),"null")</f>
        <v>null</v>
      </c>
      <c r="V6830" s="33">
        <f>IFERROR(__xludf.DUMMYFUNCTION("""COMPUTED_VALUE"""),1.0)</f>
        <v>1</v>
      </c>
      <c r="W6830" s="4" t="str">
        <f>IFERROR(__xludf.DUMMYFUNCTION("""COMPUTED_VALUE"""),"Saipos Serviços De Software")</f>
        <v>Saipos Serviços De Software</v>
      </c>
      <c r="X6830" s="33">
        <f>IFERROR(__xludf.DUMMYFUNCTION("""COMPUTED_VALUE"""),1.0)</f>
        <v>1</v>
      </c>
    </row>
    <row r="6831">
      <c r="K6831" s="4" t="str">
        <f>IFERROR(__xludf.DUMMYFUNCTION("""COMPUTED_VALUE"""),"CONDIMENTO")</f>
        <v>CONDIMENTO</v>
      </c>
      <c r="L6831" s="32">
        <f>IFERROR(__xludf.DUMMYFUNCTION("""COMPUTED_VALUE"""),2.0)</f>
        <v>2</v>
      </c>
      <c r="M6831" s="4" t="str">
        <f>IFERROR(__xludf.DUMMYFUNCTION("""COMPUTED_VALUE"""),"Ncr")</f>
        <v>Ncr</v>
      </c>
      <c r="N6831" s="33">
        <f>IFERROR(__xludf.DUMMYFUNCTION("""COMPUTED_VALUE"""),1.0)</f>
        <v>1</v>
      </c>
      <c r="O6831" s="4" t="str">
        <f>IFERROR(__xludf.DUMMYFUNCTION("""COMPUTED_VALUE"""),"Ncr")</f>
        <v>Ncr</v>
      </c>
      <c r="P6831" s="33">
        <f>IFERROR(__xludf.DUMMYFUNCTION("""COMPUTED_VALUE"""),1.0)</f>
        <v>1</v>
      </c>
      <c r="Q6831" s="4" t="str">
        <f>IFERROR(__xludf.DUMMYFUNCTION("""COMPUTED_VALUE"""),"Ncr")</f>
        <v>Ncr</v>
      </c>
      <c r="R6831" s="33">
        <f>IFERROR(__xludf.DUMMYFUNCTION("""COMPUTED_VALUE"""),1.0)</f>
        <v>1</v>
      </c>
      <c r="S6831" s="4" t="str">
        <f>IFERROR(__xludf.DUMMYFUNCTION("""COMPUTED_VALUE"""),"null")</f>
        <v>null</v>
      </c>
      <c r="T6831" s="33">
        <f>IFERROR(__xludf.DUMMYFUNCTION("""COMPUTED_VALUE"""),0.5)</f>
        <v>0.5</v>
      </c>
      <c r="U6831" s="4" t="str">
        <f>IFERROR(__xludf.DUMMYFUNCTION("""COMPUTED_VALUE"""),"null")</f>
        <v>null</v>
      </c>
      <c r="V6831" s="33">
        <f>IFERROR(__xludf.DUMMYFUNCTION("""COMPUTED_VALUE"""),0.5)</f>
        <v>0.5</v>
      </c>
      <c r="W6831" s="4" t="str">
        <f>IFERROR(__xludf.DUMMYFUNCTION("""COMPUTED_VALUE"""),"null")</f>
        <v>null</v>
      </c>
      <c r="X6831" s="33">
        <f>IFERROR(__xludf.DUMMYFUNCTION("""COMPUTED_VALUE"""),0.5)</f>
        <v>0.5</v>
      </c>
    </row>
    <row r="6832">
      <c r="K6832" s="4" t="str">
        <f>IFERROR(__xludf.DUMMYFUNCTION("""COMPUTED_VALUE"""),"CONI MOVEL")</f>
        <v>CONI MOVEL</v>
      </c>
      <c r="L6832" s="32">
        <f>IFERROR(__xludf.DUMMYFUNCTION("""COMPUTED_VALUE"""),2.0)</f>
        <v>2</v>
      </c>
      <c r="M6832" s="4" t="str">
        <f>IFERROR(__xludf.DUMMYFUNCTION("""COMPUTED_VALUE"""),"Totvs Large Enterprise Tecnologia S.a.")</f>
        <v>Totvs Large Enterprise Tecnologia S.a.</v>
      </c>
      <c r="N6832" s="33">
        <f>IFERROR(__xludf.DUMMYFUNCTION("""COMPUTED_VALUE"""),1.0)</f>
        <v>1</v>
      </c>
      <c r="O6832" s="4" t="str">
        <f>IFERROR(__xludf.DUMMYFUNCTION("""COMPUTED_VALUE"""),"Totvs Large Enterprise Tecnologia S.a.")</f>
        <v>Totvs Large Enterprise Tecnologia S.a.</v>
      </c>
      <c r="P6832" s="33">
        <f>IFERROR(__xludf.DUMMYFUNCTION("""COMPUTED_VALUE"""),1.0)</f>
        <v>1</v>
      </c>
      <c r="Q6832" s="4" t="str">
        <f>IFERROR(__xludf.DUMMYFUNCTION("""COMPUTED_VALUE"""),"Totvs Large Enterprise Tecnologia S.a.")</f>
        <v>Totvs Large Enterprise Tecnologia S.a.</v>
      </c>
      <c r="R6832" s="33">
        <f>IFERROR(__xludf.DUMMYFUNCTION("""COMPUTED_VALUE"""),1.0)</f>
        <v>1</v>
      </c>
      <c r="S6832" s="4" t="str">
        <f>IFERROR(__xludf.DUMMYFUNCTION("""COMPUTED_VALUE"""),"Totvs Large Enterprise Tecnologia S.a.")</f>
        <v>Totvs Large Enterprise Tecnologia S.a.</v>
      </c>
      <c r="T6832" s="33">
        <f>IFERROR(__xludf.DUMMYFUNCTION("""COMPUTED_VALUE"""),1.0)</f>
        <v>1</v>
      </c>
      <c r="U6832" s="4" t="str">
        <f>IFERROR(__xludf.DUMMYFUNCTION("""COMPUTED_VALUE"""),"Totvs Large Enterprise Tecnologia S.a.")</f>
        <v>Totvs Large Enterprise Tecnologia S.a.</v>
      </c>
      <c r="V6832" s="33">
        <f>IFERROR(__xludf.DUMMYFUNCTION("""COMPUTED_VALUE"""),1.0)</f>
        <v>1</v>
      </c>
      <c r="W6832" s="4" t="str">
        <f>IFERROR(__xludf.DUMMYFUNCTION("""COMPUTED_VALUE"""),"Totvs Large Enterprise Tecnologia S.a.")</f>
        <v>Totvs Large Enterprise Tecnologia S.a.</v>
      </c>
      <c r="X6832" s="33">
        <f>IFERROR(__xludf.DUMMYFUNCTION("""COMPUTED_VALUE"""),1.0)</f>
        <v>1</v>
      </c>
    </row>
    <row r="6833">
      <c r="K6833" s="4" t="str">
        <f>IFERROR(__xludf.DUMMYFUNCTION("""COMPUTED_VALUE"""),"CONRADO BRIGADERIA")</f>
        <v>CONRADO BRIGADERIA</v>
      </c>
      <c r="L6833" s="32">
        <f>IFERROR(__xludf.DUMMYFUNCTION("""COMPUTED_VALUE"""),2.0)</f>
        <v>2</v>
      </c>
      <c r="M6833" s="4" t="str">
        <f>IFERROR(__xludf.DUMMYFUNCTION("""COMPUTED_VALUE"""),"Netcontroll Xmenu")</f>
        <v>Netcontroll Xmenu</v>
      </c>
      <c r="N6833" s="33">
        <f>IFERROR(__xludf.DUMMYFUNCTION("""COMPUTED_VALUE"""),0.5)</f>
        <v>0.5</v>
      </c>
      <c r="O6833" s="4" t="str">
        <f>IFERROR(__xludf.DUMMYFUNCTION("""COMPUTED_VALUE"""),"Netcontroll Xmenu")</f>
        <v>Netcontroll Xmenu</v>
      </c>
      <c r="P6833" s="33">
        <f>IFERROR(__xludf.DUMMYFUNCTION("""COMPUTED_VALUE"""),0.5)</f>
        <v>0.5</v>
      </c>
      <c r="Q6833" s="4" t="str">
        <f>IFERROR(__xludf.DUMMYFUNCTION("""COMPUTED_VALUE"""),"Netcontroll Xmenu")</f>
        <v>Netcontroll Xmenu</v>
      </c>
      <c r="R6833" s="33">
        <f>IFERROR(__xludf.DUMMYFUNCTION("""COMPUTED_VALUE"""),0.5)</f>
        <v>0.5</v>
      </c>
      <c r="S6833" s="4" t="str">
        <f>IFERROR(__xludf.DUMMYFUNCTION("""COMPUTED_VALUE"""),"Netcontroll Xmenu")</f>
        <v>Netcontroll Xmenu</v>
      </c>
      <c r="T6833" s="33">
        <f>IFERROR(__xludf.DUMMYFUNCTION("""COMPUTED_VALUE"""),0.5)</f>
        <v>0.5</v>
      </c>
      <c r="U6833" s="4" t="str">
        <f>IFERROR(__xludf.DUMMYFUNCTION("""COMPUTED_VALUE"""),"Netcontroll Xmenu")</f>
        <v>Netcontroll Xmenu</v>
      </c>
      <c r="V6833" s="33">
        <f>IFERROR(__xludf.DUMMYFUNCTION("""COMPUTED_VALUE"""),0.5)</f>
        <v>0.5</v>
      </c>
      <c r="W6833" s="4" t="str">
        <f>IFERROR(__xludf.DUMMYFUNCTION("""COMPUTED_VALUE"""),"Netcontroll Xmenu")</f>
        <v>Netcontroll Xmenu</v>
      </c>
      <c r="X6833" s="33">
        <f>IFERROR(__xludf.DUMMYFUNCTION("""COMPUTED_VALUE"""),1.0)</f>
        <v>1</v>
      </c>
    </row>
    <row r="6834">
      <c r="K6834" s="4" t="str">
        <f>IFERROR(__xludf.DUMMYFUNCTION("""COMPUTED_VALUE"""),"CONSAGRADO - CONTA GRUPO")</f>
        <v>CONSAGRADO - CONTA GRUPO</v>
      </c>
      <c r="L6834" s="32">
        <f>IFERROR(__xludf.DUMMYFUNCTION("""COMPUTED_VALUE"""),2.0)</f>
        <v>2</v>
      </c>
      <c r="M6834" s="4" t="str">
        <f>IFERROR(__xludf.DUMMYFUNCTION("""COMPUTED_VALUE"""),"Saipos Serviços De Software")</f>
        <v>Saipos Serviços De Software</v>
      </c>
      <c r="N6834" s="33">
        <f>IFERROR(__xludf.DUMMYFUNCTION("""COMPUTED_VALUE"""),0.5)</f>
        <v>0.5</v>
      </c>
      <c r="O6834" s="4" t="str">
        <f>IFERROR(__xludf.DUMMYFUNCTION("""COMPUTED_VALUE"""),"Saipos Serviços De Software")</f>
        <v>Saipos Serviços De Software</v>
      </c>
      <c r="P6834" s="33">
        <f>IFERROR(__xludf.DUMMYFUNCTION("""COMPUTED_VALUE"""),0.5)</f>
        <v>0.5</v>
      </c>
      <c r="Q6834" s="4" t="str">
        <f>IFERROR(__xludf.DUMMYFUNCTION("""COMPUTED_VALUE"""),"Saipos Serviços De Software")</f>
        <v>Saipos Serviços De Software</v>
      </c>
      <c r="R6834" s="33">
        <f>IFERROR(__xludf.DUMMYFUNCTION("""COMPUTED_VALUE"""),0.5)</f>
        <v>0.5</v>
      </c>
      <c r="S6834" s="4" t="str">
        <f>IFERROR(__xludf.DUMMYFUNCTION("""COMPUTED_VALUE"""),"Saipos Serviços De Software")</f>
        <v>Saipos Serviços De Software</v>
      </c>
      <c r="T6834" s="33">
        <f>IFERROR(__xludf.DUMMYFUNCTION("""COMPUTED_VALUE"""),0.5)</f>
        <v>0.5</v>
      </c>
      <c r="U6834" s="4" t="str">
        <f>IFERROR(__xludf.DUMMYFUNCTION("""COMPUTED_VALUE"""),"Saipos Serviços De Software")</f>
        <v>Saipos Serviços De Software</v>
      </c>
      <c r="V6834" s="33">
        <f>IFERROR(__xludf.DUMMYFUNCTION("""COMPUTED_VALUE"""),0.5)</f>
        <v>0.5</v>
      </c>
      <c r="W6834" s="4" t="str">
        <f>IFERROR(__xludf.DUMMYFUNCTION("""COMPUTED_VALUE"""),"Saipos Serviços De Software")</f>
        <v>Saipos Serviços De Software</v>
      </c>
      <c r="X6834" s="33">
        <f>IFERROR(__xludf.DUMMYFUNCTION("""COMPUTED_VALUE"""),0.5)</f>
        <v>0.5</v>
      </c>
    </row>
    <row r="6835">
      <c r="K6835" s="4" t="str">
        <f>IFERROR(__xludf.DUMMYFUNCTION("""COMPUTED_VALUE"""),"CONSULADO MINEIRO")</f>
        <v>CONSULADO MINEIRO</v>
      </c>
      <c r="L6835" s="32">
        <f>IFERROR(__xludf.DUMMYFUNCTION("""COMPUTED_VALUE"""),2.0)</f>
        <v>2</v>
      </c>
      <c r="M6835" s="4" t="str">
        <f>IFERROR(__xludf.DUMMYFUNCTION("""COMPUTED_VALUE"""),"Ncr")</f>
        <v>Ncr</v>
      </c>
      <c r="N6835" s="33">
        <f>IFERROR(__xludf.DUMMYFUNCTION("""COMPUTED_VALUE"""),1.0)</f>
        <v>1</v>
      </c>
      <c r="O6835" s="4" t="str">
        <f>IFERROR(__xludf.DUMMYFUNCTION("""COMPUTED_VALUE"""),"Ncr")</f>
        <v>Ncr</v>
      </c>
      <c r="P6835" s="33">
        <f>IFERROR(__xludf.DUMMYFUNCTION("""COMPUTED_VALUE"""),1.0)</f>
        <v>1</v>
      </c>
      <c r="Q6835" s="4" t="str">
        <f>IFERROR(__xludf.DUMMYFUNCTION("""COMPUTED_VALUE"""),"Ncr")</f>
        <v>Ncr</v>
      </c>
      <c r="R6835" s="33">
        <f>IFERROR(__xludf.DUMMYFUNCTION("""COMPUTED_VALUE"""),1.0)</f>
        <v>1</v>
      </c>
      <c r="S6835" s="4" t="str">
        <f>IFERROR(__xludf.DUMMYFUNCTION("""COMPUTED_VALUE"""),"Ncr")</f>
        <v>Ncr</v>
      </c>
      <c r="T6835" s="33">
        <f>IFERROR(__xludf.DUMMYFUNCTION("""COMPUTED_VALUE"""),1.0)</f>
        <v>1</v>
      </c>
      <c r="U6835" s="4" t="str">
        <f>IFERROR(__xludf.DUMMYFUNCTION("""COMPUTED_VALUE"""),"Ncr")</f>
        <v>Ncr</v>
      </c>
      <c r="V6835" s="33">
        <f>IFERROR(__xludf.DUMMYFUNCTION("""COMPUTED_VALUE"""),1.0)</f>
        <v>1</v>
      </c>
      <c r="W6835" s="4" t="str">
        <f>IFERROR(__xludf.DUMMYFUNCTION("""COMPUTED_VALUE"""),"Ncr")</f>
        <v>Ncr</v>
      </c>
      <c r="X6835" s="33">
        <f>IFERROR(__xludf.DUMMYFUNCTION("""COMPUTED_VALUE"""),1.0)</f>
        <v>1</v>
      </c>
    </row>
    <row r="6836">
      <c r="K6836" s="4" t="str">
        <f>IFERROR(__xludf.DUMMYFUNCTION("""COMPUTED_VALUE"""),"CONTA BADAIOKA")</f>
        <v>CONTA BADAIOKA</v>
      </c>
      <c r="L6836" s="32">
        <f>IFERROR(__xludf.DUMMYFUNCTION("""COMPUTED_VALUE"""),2.0)</f>
        <v>2</v>
      </c>
      <c r="M6836" s="4" t="str">
        <f>IFERROR(__xludf.DUMMYFUNCTION("""COMPUTED_VALUE"""),"Stone Co.")</f>
        <v>Stone Co.</v>
      </c>
      <c r="N6836" s="33">
        <f>IFERROR(__xludf.DUMMYFUNCTION("""COMPUTED_VALUE"""),1.0)</f>
        <v>1</v>
      </c>
      <c r="O6836" s="4" t="str">
        <f>IFERROR(__xludf.DUMMYFUNCTION("""COMPUTED_VALUE"""),"Stone Co.")</f>
        <v>Stone Co.</v>
      </c>
      <c r="P6836" s="33">
        <f>IFERROR(__xludf.DUMMYFUNCTION("""COMPUTED_VALUE"""),1.0)</f>
        <v>1</v>
      </c>
      <c r="Q6836" s="4" t="str">
        <f>IFERROR(__xludf.DUMMYFUNCTION("""COMPUTED_VALUE"""),"Stone Co.")</f>
        <v>Stone Co.</v>
      </c>
      <c r="R6836" s="33">
        <f>IFERROR(__xludf.DUMMYFUNCTION("""COMPUTED_VALUE"""),1.0)</f>
        <v>1</v>
      </c>
      <c r="S6836" s="4" t="str">
        <f>IFERROR(__xludf.DUMMYFUNCTION("""COMPUTED_VALUE"""),"Stone Co.")</f>
        <v>Stone Co.</v>
      </c>
      <c r="T6836" s="33">
        <f>IFERROR(__xludf.DUMMYFUNCTION("""COMPUTED_VALUE"""),1.0)</f>
        <v>1</v>
      </c>
      <c r="U6836" s="4" t="str">
        <f>IFERROR(__xludf.DUMMYFUNCTION("""COMPUTED_VALUE"""),"Stone Co.")</f>
        <v>Stone Co.</v>
      </c>
      <c r="V6836" s="33">
        <f>IFERROR(__xludf.DUMMYFUNCTION("""COMPUTED_VALUE"""),1.0)</f>
        <v>1</v>
      </c>
      <c r="W6836" s="4" t="str">
        <f>IFERROR(__xludf.DUMMYFUNCTION("""COMPUTED_VALUE"""),"Stone Co.")</f>
        <v>Stone Co.</v>
      </c>
      <c r="X6836" s="33">
        <f>IFERROR(__xludf.DUMMYFUNCTION("""COMPUTED_VALUE"""),1.0)</f>
        <v>1</v>
      </c>
    </row>
    <row r="6837">
      <c r="K6837" s="4" t="str">
        <f>IFERROR(__xludf.DUMMYFUNCTION("""COMPUTED_VALUE"""),"CONTA ENTORTANDO - TORTAS ARTESANAIS")</f>
        <v>CONTA ENTORTANDO - TORTAS ARTESANAIS</v>
      </c>
      <c r="L6837" s="32">
        <f>IFERROR(__xludf.DUMMYFUNCTION("""COMPUTED_VALUE"""),2.0)</f>
        <v>2</v>
      </c>
      <c r="M6837" s="4" t="str">
        <f>IFERROR(__xludf.DUMMYFUNCTION("""COMPUTED_VALUE"""),"Opdv")</f>
        <v>Opdv</v>
      </c>
      <c r="N6837" s="33">
        <f>IFERROR(__xludf.DUMMYFUNCTION("""COMPUTED_VALUE"""),1.0)</f>
        <v>1</v>
      </c>
      <c r="O6837" s="4" t="str">
        <f>IFERROR(__xludf.DUMMYFUNCTION("""COMPUTED_VALUE"""),"Opdv")</f>
        <v>Opdv</v>
      </c>
      <c r="P6837" s="33">
        <f>IFERROR(__xludf.DUMMYFUNCTION("""COMPUTED_VALUE"""),1.0)</f>
        <v>1</v>
      </c>
      <c r="Q6837" s="4" t="str">
        <f>IFERROR(__xludf.DUMMYFUNCTION("""COMPUTED_VALUE"""),"Opdv")</f>
        <v>Opdv</v>
      </c>
      <c r="R6837" s="33">
        <f>IFERROR(__xludf.DUMMYFUNCTION("""COMPUTED_VALUE"""),1.0)</f>
        <v>1</v>
      </c>
      <c r="S6837" s="4" t="str">
        <f>IFERROR(__xludf.DUMMYFUNCTION("""COMPUTED_VALUE"""),"Opdv")</f>
        <v>Opdv</v>
      </c>
      <c r="T6837" s="33">
        <f>IFERROR(__xludf.DUMMYFUNCTION("""COMPUTED_VALUE"""),1.0)</f>
        <v>1</v>
      </c>
      <c r="U6837" s="4" t="str">
        <f>IFERROR(__xludf.DUMMYFUNCTION("""COMPUTED_VALUE"""),"Opdv")</f>
        <v>Opdv</v>
      </c>
      <c r="V6837" s="33">
        <f>IFERROR(__xludf.DUMMYFUNCTION("""COMPUTED_VALUE"""),1.0)</f>
        <v>1</v>
      </c>
      <c r="W6837" s="4" t="str">
        <f>IFERROR(__xludf.DUMMYFUNCTION("""COMPUTED_VALUE"""),"Opdv")</f>
        <v>Opdv</v>
      </c>
      <c r="X6837" s="33">
        <f>IFERROR(__xludf.DUMMYFUNCTION("""COMPUTED_VALUE"""),1.0)</f>
        <v>1</v>
      </c>
    </row>
    <row r="6838">
      <c r="K6838" s="4" t="str">
        <f>IFERROR(__xludf.DUMMYFUNCTION("""COMPUTED_VALUE"""),"CONTA PAI - PARMA PIZZA FERRAZOPOLIS")</f>
        <v>CONTA PAI - PARMA PIZZA FERRAZOPOLIS</v>
      </c>
      <c r="L6838" s="32">
        <f>IFERROR(__xludf.DUMMYFUNCTION("""COMPUTED_VALUE"""),2.0)</f>
        <v>2</v>
      </c>
      <c r="M6838" s="4" t="str">
        <f>IFERROR(__xludf.DUMMYFUNCTION("""COMPUTED_VALUE"""),"Saipos Serviços De Software")</f>
        <v>Saipos Serviços De Software</v>
      </c>
      <c r="N6838" s="33">
        <f>IFERROR(__xludf.DUMMYFUNCTION("""COMPUTED_VALUE"""),1.0)</f>
        <v>1</v>
      </c>
      <c r="O6838" s="4" t="str">
        <f>IFERROR(__xludf.DUMMYFUNCTION("""COMPUTED_VALUE"""),"Saipos Serviços De Software")</f>
        <v>Saipos Serviços De Software</v>
      </c>
      <c r="P6838" s="33">
        <f>IFERROR(__xludf.DUMMYFUNCTION("""COMPUTED_VALUE"""),1.0)</f>
        <v>1</v>
      </c>
      <c r="Q6838" s="4" t="str">
        <f>IFERROR(__xludf.DUMMYFUNCTION("""COMPUTED_VALUE"""),"Saipos Serviços De Software")</f>
        <v>Saipos Serviços De Software</v>
      </c>
      <c r="R6838" s="33">
        <f>IFERROR(__xludf.DUMMYFUNCTION("""COMPUTED_VALUE"""),1.0)</f>
        <v>1</v>
      </c>
      <c r="S6838" s="4" t="str">
        <f>IFERROR(__xludf.DUMMYFUNCTION("""COMPUTED_VALUE"""),"Saipos Serviços De Software")</f>
        <v>Saipos Serviços De Software</v>
      </c>
      <c r="T6838" s="33">
        <f>IFERROR(__xludf.DUMMYFUNCTION("""COMPUTED_VALUE"""),1.0)</f>
        <v>1</v>
      </c>
      <c r="U6838" s="4" t="str">
        <f>IFERROR(__xludf.DUMMYFUNCTION("""COMPUTED_VALUE"""),"Saipos Serviços De Software")</f>
        <v>Saipos Serviços De Software</v>
      </c>
      <c r="V6838" s="33">
        <f>IFERROR(__xludf.DUMMYFUNCTION("""COMPUTED_VALUE"""),1.0)</f>
        <v>1</v>
      </c>
      <c r="W6838" s="4" t="str">
        <f>IFERROR(__xludf.DUMMYFUNCTION("""COMPUTED_VALUE"""),"Saipos Serviços De Software")</f>
        <v>Saipos Serviços De Software</v>
      </c>
      <c r="X6838" s="33">
        <f>IFERROR(__xludf.DUMMYFUNCTION("""COMPUTED_VALUE"""),1.0)</f>
        <v>1</v>
      </c>
    </row>
    <row r="6839">
      <c r="K6839" s="4" t="str">
        <f>IFERROR(__xludf.DUMMYFUNCTION("""COMPUTED_VALUE"""),"CONTA PAI VALKYRIE")</f>
        <v>CONTA PAI VALKYRIE</v>
      </c>
      <c r="L6839" s="32">
        <f>IFERROR(__xludf.DUMMYFUNCTION("""COMPUTED_VALUE"""),2.0)</f>
        <v>2</v>
      </c>
      <c r="M6839" s="4" t="str">
        <f>IFERROR(__xludf.DUMMYFUNCTION("""COMPUTED_VALUE"""),"Ncr")</f>
        <v>Ncr</v>
      </c>
      <c r="N6839" s="33">
        <f>IFERROR(__xludf.DUMMYFUNCTION("""COMPUTED_VALUE"""),1.0)</f>
        <v>1</v>
      </c>
      <c r="O6839" s="4" t="str">
        <f>IFERROR(__xludf.DUMMYFUNCTION("""COMPUTED_VALUE"""),"Ncr")</f>
        <v>Ncr</v>
      </c>
      <c r="P6839" s="33">
        <f>IFERROR(__xludf.DUMMYFUNCTION("""COMPUTED_VALUE"""),1.0)</f>
        <v>1</v>
      </c>
      <c r="Q6839" s="4" t="str">
        <f>IFERROR(__xludf.DUMMYFUNCTION("""COMPUTED_VALUE"""),"Ncr")</f>
        <v>Ncr</v>
      </c>
      <c r="R6839" s="33">
        <f>IFERROR(__xludf.DUMMYFUNCTION("""COMPUTED_VALUE"""),1.0)</f>
        <v>1</v>
      </c>
      <c r="S6839" s="4" t="str">
        <f>IFERROR(__xludf.DUMMYFUNCTION("""COMPUTED_VALUE"""),"Ncr")</f>
        <v>Ncr</v>
      </c>
      <c r="T6839" s="33">
        <f>IFERROR(__xludf.DUMMYFUNCTION("""COMPUTED_VALUE"""),1.0)</f>
        <v>1</v>
      </c>
      <c r="U6839" s="4" t="str">
        <f>IFERROR(__xludf.DUMMYFUNCTION("""COMPUTED_VALUE"""),"Ncr")</f>
        <v>Ncr</v>
      </c>
      <c r="V6839" s="33">
        <f>IFERROR(__xludf.DUMMYFUNCTION("""COMPUTED_VALUE"""),1.0)</f>
        <v>1</v>
      </c>
      <c r="W6839" s="4" t="str">
        <f>IFERROR(__xludf.DUMMYFUNCTION("""COMPUTED_VALUE"""),"Ncr")</f>
        <v>Ncr</v>
      </c>
      <c r="X6839" s="33">
        <f>IFERROR(__xludf.DUMMYFUNCTION("""COMPUTED_VALUE"""),1.0)</f>
        <v>1</v>
      </c>
    </row>
    <row r="6840">
      <c r="K6840" s="4" t="str">
        <f>IFERROR(__xludf.DUMMYFUNCTION("""COMPUTED_VALUE"""),"CONTAINER BURGER SC - CONTA MARCA")</f>
        <v>CONTAINER BURGER SC - CONTA MARCA</v>
      </c>
      <c r="L6840" s="32">
        <f>IFERROR(__xludf.DUMMYFUNCTION("""COMPUTED_VALUE"""),2.0)</f>
        <v>2</v>
      </c>
      <c r="M6840" s="4" t="str">
        <f>IFERROR(__xludf.DUMMYFUNCTION("""COMPUTED_VALUE"""),"Eclética Tecnologia")</f>
        <v>Eclética Tecnologia</v>
      </c>
      <c r="N6840" s="33">
        <f>IFERROR(__xludf.DUMMYFUNCTION("""COMPUTED_VALUE"""),1.0)</f>
        <v>1</v>
      </c>
      <c r="O6840" s="4" t="str">
        <f>IFERROR(__xludf.DUMMYFUNCTION("""COMPUTED_VALUE"""),"Eclética Tecnologia")</f>
        <v>Eclética Tecnologia</v>
      </c>
      <c r="P6840" s="33">
        <f>IFERROR(__xludf.DUMMYFUNCTION("""COMPUTED_VALUE"""),1.0)</f>
        <v>1</v>
      </c>
      <c r="Q6840" s="4" t="str">
        <f>IFERROR(__xludf.DUMMYFUNCTION("""COMPUTED_VALUE"""),"Eclética Tecnologia")</f>
        <v>Eclética Tecnologia</v>
      </c>
      <c r="R6840" s="33">
        <f>IFERROR(__xludf.DUMMYFUNCTION("""COMPUTED_VALUE"""),1.0)</f>
        <v>1</v>
      </c>
      <c r="S6840" s="4" t="str">
        <f>IFERROR(__xludf.DUMMYFUNCTION("""COMPUTED_VALUE"""),"Eclética Tecnologia")</f>
        <v>Eclética Tecnologia</v>
      </c>
      <c r="T6840" s="33">
        <f>IFERROR(__xludf.DUMMYFUNCTION("""COMPUTED_VALUE"""),1.0)</f>
        <v>1</v>
      </c>
      <c r="U6840" s="4" t="str">
        <f>IFERROR(__xludf.DUMMYFUNCTION("""COMPUTED_VALUE"""),"Eclética Tecnologia")</f>
        <v>Eclética Tecnologia</v>
      </c>
      <c r="V6840" s="33">
        <f>IFERROR(__xludf.DUMMYFUNCTION("""COMPUTED_VALUE"""),1.0)</f>
        <v>1</v>
      </c>
      <c r="W6840" s="4" t="str">
        <f>IFERROR(__xludf.DUMMYFUNCTION("""COMPUTED_VALUE"""),"Eclética Tecnologia")</f>
        <v>Eclética Tecnologia</v>
      </c>
      <c r="X6840" s="33">
        <f>IFERROR(__xludf.DUMMYFUNCTION("""COMPUTED_VALUE"""),1.0)</f>
        <v>1</v>
      </c>
    </row>
    <row r="6841">
      <c r="K6841" s="4" t="str">
        <f>IFERROR(__xludf.DUMMYFUNCTION("""COMPUTED_VALUE"""),"COQUEIRO VERDE - MANAUS")</f>
        <v>COQUEIRO VERDE - MANAUS</v>
      </c>
      <c r="L6841" s="32">
        <f>IFERROR(__xludf.DUMMYFUNCTION("""COMPUTED_VALUE"""),2.0)</f>
        <v>2</v>
      </c>
      <c r="M6841" s="4" t="str">
        <f>IFERROR(__xludf.DUMMYFUNCTION("""COMPUTED_VALUE"""),"Consumer Soluções Em Tecnologia Ltda")</f>
        <v>Consumer Soluções Em Tecnologia Ltda</v>
      </c>
      <c r="N6841" s="33">
        <f>IFERROR(__xludf.DUMMYFUNCTION("""COMPUTED_VALUE"""),1.0)</f>
        <v>1</v>
      </c>
      <c r="O6841" s="4" t="str">
        <f>IFERROR(__xludf.DUMMYFUNCTION("""COMPUTED_VALUE"""),"null")</f>
        <v>null</v>
      </c>
      <c r="P6841" s="33">
        <f>IFERROR(__xludf.DUMMYFUNCTION("""COMPUTED_VALUE"""),0.5)</f>
        <v>0.5</v>
      </c>
      <c r="Q6841" s="4" t="str">
        <f>IFERROR(__xludf.DUMMYFUNCTION("""COMPUTED_VALUE"""),"null")</f>
        <v>null</v>
      </c>
      <c r="R6841" s="33">
        <f>IFERROR(__xludf.DUMMYFUNCTION("""COMPUTED_VALUE"""),1.0)</f>
        <v>1</v>
      </c>
      <c r="S6841" s="4" t="str">
        <f>IFERROR(__xludf.DUMMYFUNCTION("""COMPUTED_VALUE"""),"Consumer Soluções Em Tecnologia Ltda")</f>
        <v>Consumer Soluções Em Tecnologia Ltda</v>
      </c>
      <c r="T6841" s="33">
        <f>IFERROR(__xludf.DUMMYFUNCTION("""COMPUTED_VALUE"""),1.0)</f>
        <v>1</v>
      </c>
      <c r="U6841" s="4" t="str">
        <f>IFERROR(__xludf.DUMMYFUNCTION("""COMPUTED_VALUE"""),"null")</f>
        <v>null</v>
      </c>
      <c r="V6841" s="33">
        <f>IFERROR(__xludf.DUMMYFUNCTION("""COMPUTED_VALUE"""),1.0)</f>
        <v>1</v>
      </c>
      <c r="W6841" s="4" t="str">
        <f>IFERROR(__xludf.DUMMYFUNCTION("""COMPUTED_VALUE"""),"null")</f>
        <v>null</v>
      </c>
      <c r="X6841" s="33">
        <f>IFERROR(__xludf.DUMMYFUNCTION("""COMPUTED_VALUE"""),1.0)</f>
        <v>1</v>
      </c>
    </row>
    <row r="6842">
      <c r="K6842" s="4" t="str">
        <f>IFERROR(__xludf.DUMMYFUNCTION("""COMPUTED_VALUE"""),"CORATINA PIZZARIA LTDA - CONTA MARCA")</f>
        <v>CORATINA PIZZARIA LTDA - CONTA MARCA</v>
      </c>
      <c r="L6842" s="32">
        <f>IFERROR(__xludf.DUMMYFUNCTION("""COMPUTED_VALUE"""),2.0)</f>
        <v>2</v>
      </c>
      <c r="M6842" s="4" t="str">
        <f>IFERROR(__xludf.DUMMYFUNCTION("""COMPUTED_VALUE"""),"Cloudfy")</f>
        <v>Cloudfy</v>
      </c>
      <c r="N6842" s="33">
        <f>IFERROR(__xludf.DUMMYFUNCTION("""COMPUTED_VALUE"""),1.0)</f>
        <v>1</v>
      </c>
      <c r="O6842" s="4" t="str">
        <f>IFERROR(__xludf.DUMMYFUNCTION("""COMPUTED_VALUE"""),"Cloudfy")</f>
        <v>Cloudfy</v>
      </c>
      <c r="P6842" s="33">
        <f>IFERROR(__xludf.DUMMYFUNCTION("""COMPUTED_VALUE"""),1.0)</f>
        <v>1</v>
      </c>
      <c r="Q6842" s="4" t="str">
        <f>IFERROR(__xludf.DUMMYFUNCTION("""COMPUTED_VALUE"""),"Cloudfy")</f>
        <v>Cloudfy</v>
      </c>
      <c r="R6842" s="33">
        <f>IFERROR(__xludf.DUMMYFUNCTION("""COMPUTED_VALUE"""),1.0)</f>
        <v>1</v>
      </c>
      <c r="S6842" s="4" t="str">
        <f>IFERROR(__xludf.DUMMYFUNCTION("""COMPUTED_VALUE"""),"Cloudfy")</f>
        <v>Cloudfy</v>
      </c>
      <c r="T6842" s="33">
        <f>IFERROR(__xludf.DUMMYFUNCTION("""COMPUTED_VALUE"""),1.0)</f>
        <v>1</v>
      </c>
      <c r="U6842" s="4" t="str">
        <f>IFERROR(__xludf.DUMMYFUNCTION("""COMPUTED_VALUE"""),"Cloudfy")</f>
        <v>Cloudfy</v>
      </c>
      <c r="V6842" s="33">
        <f>IFERROR(__xludf.DUMMYFUNCTION("""COMPUTED_VALUE"""),1.0)</f>
        <v>1</v>
      </c>
      <c r="W6842" s="4" t="str">
        <f>IFERROR(__xludf.DUMMYFUNCTION("""COMPUTED_VALUE"""),"Cloudfy")</f>
        <v>Cloudfy</v>
      </c>
      <c r="X6842" s="33">
        <f>IFERROR(__xludf.DUMMYFUNCTION("""COMPUTED_VALUE"""),1.0)</f>
        <v>1</v>
      </c>
    </row>
    <row r="6843">
      <c r="K6843" s="4" t="str">
        <f>IFERROR(__xludf.DUMMYFUNCTION("""COMPUTED_VALUE"""),"CORATINA PIZZARIA LTDA - CP")</f>
        <v>CORATINA PIZZARIA LTDA - CP</v>
      </c>
      <c r="L6843" s="32">
        <f>IFERROR(__xludf.DUMMYFUNCTION("""COMPUTED_VALUE"""),2.0)</f>
        <v>2</v>
      </c>
      <c r="M6843" s="4" t="str">
        <f>IFERROR(__xludf.DUMMYFUNCTION("""COMPUTED_VALUE"""),"Cloudfy")</f>
        <v>Cloudfy</v>
      </c>
      <c r="N6843" s="33">
        <f>IFERROR(__xludf.DUMMYFUNCTION("""COMPUTED_VALUE"""),1.0)</f>
        <v>1</v>
      </c>
      <c r="O6843" s="4" t="str">
        <f>IFERROR(__xludf.DUMMYFUNCTION("""COMPUTED_VALUE"""),"Cloudfy")</f>
        <v>Cloudfy</v>
      </c>
      <c r="P6843" s="33">
        <f>IFERROR(__xludf.DUMMYFUNCTION("""COMPUTED_VALUE"""),1.0)</f>
        <v>1</v>
      </c>
      <c r="Q6843" s="4" t="str">
        <f>IFERROR(__xludf.DUMMYFUNCTION("""COMPUTED_VALUE"""),"Cloudfy")</f>
        <v>Cloudfy</v>
      </c>
      <c r="R6843" s="33">
        <f>IFERROR(__xludf.DUMMYFUNCTION("""COMPUTED_VALUE"""),1.0)</f>
        <v>1</v>
      </c>
      <c r="S6843" s="4" t="str">
        <f>IFERROR(__xludf.DUMMYFUNCTION("""COMPUTED_VALUE"""),"Cloudfy")</f>
        <v>Cloudfy</v>
      </c>
      <c r="T6843" s="33">
        <f>IFERROR(__xludf.DUMMYFUNCTION("""COMPUTED_VALUE"""),1.0)</f>
        <v>1</v>
      </c>
      <c r="U6843" s="4" t="str">
        <f>IFERROR(__xludf.DUMMYFUNCTION("""COMPUTED_VALUE"""),"Cloudfy")</f>
        <v>Cloudfy</v>
      </c>
      <c r="V6843" s="33">
        <f>IFERROR(__xludf.DUMMYFUNCTION("""COMPUTED_VALUE"""),1.0)</f>
        <v>1</v>
      </c>
      <c r="W6843" s="4" t="str">
        <f>IFERROR(__xludf.DUMMYFUNCTION("""COMPUTED_VALUE"""),"Cloudfy")</f>
        <v>Cloudfy</v>
      </c>
      <c r="X6843" s="33">
        <f>IFERROR(__xludf.DUMMYFUNCTION("""COMPUTED_VALUE"""),1.0)</f>
        <v>1</v>
      </c>
    </row>
    <row r="6844">
      <c r="K6844" s="4" t="str">
        <f>IFERROR(__xludf.DUMMYFUNCTION("""COMPUTED_VALUE"""),"COSECHAS CONTA MARCA")</f>
        <v>COSECHAS CONTA MARCA</v>
      </c>
      <c r="L6844" s="32">
        <f>IFERROR(__xludf.DUMMYFUNCTION("""COMPUTED_VALUE"""),2.0)</f>
        <v>2</v>
      </c>
      <c r="M6844" s="4" t="str">
        <f>IFERROR(__xludf.DUMMYFUNCTION("""COMPUTED_VALUE"""),"Opdv")</f>
        <v>Opdv</v>
      </c>
      <c r="N6844" s="33">
        <f>IFERROR(__xludf.DUMMYFUNCTION("""COMPUTED_VALUE"""),1.0)</f>
        <v>1</v>
      </c>
      <c r="O6844" s="4" t="str">
        <f>IFERROR(__xludf.DUMMYFUNCTION("""COMPUTED_VALUE"""),"Opdv")</f>
        <v>Opdv</v>
      </c>
      <c r="P6844" s="33">
        <f>IFERROR(__xludf.DUMMYFUNCTION("""COMPUTED_VALUE"""),1.0)</f>
        <v>1</v>
      </c>
      <c r="Q6844" s="4" t="str">
        <f>IFERROR(__xludf.DUMMYFUNCTION("""COMPUTED_VALUE"""),"Opdv")</f>
        <v>Opdv</v>
      </c>
      <c r="R6844" s="33">
        <f>IFERROR(__xludf.DUMMYFUNCTION("""COMPUTED_VALUE"""),1.0)</f>
        <v>1</v>
      </c>
      <c r="S6844" s="4" t="str">
        <f>IFERROR(__xludf.DUMMYFUNCTION("""COMPUTED_VALUE"""),"Opdv")</f>
        <v>Opdv</v>
      </c>
      <c r="T6844" s="33">
        <f>IFERROR(__xludf.DUMMYFUNCTION("""COMPUTED_VALUE"""),1.0)</f>
        <v>1</v>
      </c>
      <c r="U6844" s="4" t="str">
        <f>IFERROR(__xludf.DUMMYFUNCTION("""COMPUTED_VALUE"""),"Opdv")</f>
        <v>Opdv</v>
      </c>
      <c r="V6844" s="33">
        <f>IFERROR(__xludf.DUMMYFUNCTION("""COMPUTED_VALUE"""),1.0)</f>
        <v>1</v>
      </c>
      <c r="W6844" s="4" t="str">
        <f>IFERROR(__xludf.DUMMYFUNCTION("""COMPUTED_VALUE"""),"Opdv")</f>
        <v>Opdv</v>
      </c>
      <c r="X6844" s="33">
        <f>IFERROR(__xludf.DUMMYFUNCTION("""COMPUTED_VALUE"""),1.0)</f>
        <v>1</v>
      </c>
    </row>
    <row r="6845">
      <c r="K6845" s="4" t="str">
        <f>IFERROR(__xludf.DUMMYFUNCTION("""COMPUTED_VALUE"""),"COSTELA CIA")</f>
        <v>COSTELA CIA</v>
      </c>
      <c r="L6845" s="32">
        <f>IFERROR(__xludf.DUMMYFUNCTION("""COMPUTED_VALUE"""),2.0)</f>
        <v>2</v>
      </c>
      <c r="M6845" s="4" t="str">
        <f>IFERROR(__xludf.DUMMYFUNCTION("""COMPUTED_VALUE"""),"Kcms")</f>
        <v>Kcms</v>
      </c>
      <c r="N6845" s="33">
        <f>IFERROR(__xludf.DUMMYFUNCTION("""COMPUTED_VALUE"""),1.0)</f>
        <v>1</v>
      </c>
      <c r="O6845" s="4" t="str">
        <f>IFERROR(__xludf.DUMMYFUNCTION("""COMPUTED_VALUE"""),"Kcms")</f>
        <v>Kcms</v>
      </c>
      <c r="P6845" s="33">
        <f>IFERROR(__xludf.DUMMYFUNCTION("""COMPUTED_VALUE"""),1.0)</f>
        <v>1</v>
      </c>
      <c r="Q6845" s="4" t="str">
        <f>IFERROR(__xludf.DUMMYFUNCTION("""COMPUTED_VALUE"""),"Kcms")</f>
        <v>Kcms</v>
      </c>
      <c r="R6845" s="33">
        <f>IFERROR(__xludf.DUMMYFUNCTION("""COMPUTED_VALUE"""),1.0)</f>
        <v>1</v>
      </c>
      <c r="S6845" s="4" t="str">
        <f>IFERROR(__xludf.DUMMYFUNCTION("""COMPUTED_VALUE"""),"Kcms")</f>
        <v>Kcms</v>
      </c>
      <c r="T6845" s="33">
        <f>IFERROR(__xludf.DUMMYFUNCTION("""COMPUTED_VALUE"""),1.0)</f>
        <v>1</v>
      </c>
      <c r="U6845" s="4" t="str">
        <f>IFERROR(__xludf.DUMMYFUNCTION("""COMPUTED_VALUE"""),"Kcms")</f>
        <v>Kcms</v>
      </c>
      <c r="V6845" s="33">
        <f>IFERROR(__xludf.DUMMYFUNCTION("""COMPUTED_VALUE"""),1.0)</f>
        <v>1</v>
      </c>
      <c r="W6845" s="4" t="str">
        <f>IFERROR(__xludf.DUMMYFUNCTION("""COMPUTED_VALUE"""),"Kcms")</f>
        <v>Kcms</v>
      </c>
      <c r="X6845" s="33">
        <f>IFERROR(__xludf.DUMMYFUNCTION("""COMPUTED_VALUE"""),1.0)</f>
        <v>1</v>
      </c>
    </row>
    <row r="6846">
      <c r="K6846" s="4" t="str">
        <f>IFERROR(__xludf.DUMMYFUNCTION("""COMPUTED_VALUE"""),"COTRE")</f>
        <v>COTRE</v>
      </c>
      <c r="L6846" s="32">
        <f>IFERROR(__xludf.DUMMYFUNCTION("""COMPUTED_VALUE"""),2.0)</f>
        <v>2</v>
      </c>
      <c r="M6846" s="4" t="str">
        <f>IFERROR(__xludf.DUMMYFUNCTION("""COMPUTED_VALUE"""),"Saipos Serviços De Software")</f>
        <v>Saipos Serviços De Software</v>
      </c>
      <c r="N6846" s="33">
        <f>IFERROR(__xludf.DUMMYFUNCTION("""COMPUTED_VALUE"""),1.0)</f>
        <v>1</v>
      </c>
      <c r="O6846" s="4" t="str">
        <f>IFERROR(__xludf.DUMMYFUNCTION("""COMPUTED_VALUE"""),"Saipos Serviços De Software")</f>
        <v>Saipos Serviços De Software</v>
      </c>
      <c r="P6846" s="33">
        <f>IFERROR(__xludf.DUMMYFUNCTION("""COMPUTED_VALUE"""),1.0)</f>
        <v>1</v>
      </c>
      <c r="Q6846" s="4" t="str">
        <f>IFERROR(__xludf.DUMMYFUNCTION("""COMPUTED_VALUE"""),"Saipos Serviços De Software")</f>
        <v>Saipos Serviços De Software</v>
      </c>
      <c r="R6846" s="33">
        <f>IFERROR(__xludf.DUMMYFUNCTION("""COMPUTED_VALUE"""),1.0)</f>
        <v>1</v>
      </c>
      <c r="S6846" s="4" t="str">
        <f>IFERROR(__xludf.DUMMYFUNCTION("""COMPUTED_VALUE"""),"Saipos Serviços De Software")</f>
        <v>Saipos Serviços De Software</v>
      </c>
      <c r="T6846" s="33">
        <f>IFERROR(__xludf.DUMMYFUNCTION("""COMPUTED_VALUE"""),1.0)</f>
        <v>1</v>
      </c>
      <c r="U6846" s="4" t="str">
        <f>IFERROR(__xludf.DUMMYFUNCTION("""COMPUTED_VALUE"""),"Saipos Serviços De Software")</f>
        <v>Saipos Serviços De Software</v>
      </c>
      <c r="V6846" s="33">
        <f>IFERROR(__xludf.DUMMYFUNCTION("""COMPUTED_VALUE"""),1.0)</f>
        <v>1</v>
      </c>
      <c r="W6846" s="4" t="str">
        <f>IFERROR(__xludf.DUMMYFUNCTION("""COMPUTED_VALUE"""),"null")</f>
        <v>null</v>
      </c>
      <c r="X6846" s="33">
        <f>IFERROR(__xludf.DUMMYFUNCTION("""COMPUTED_VALUE"""),0.5)</f>
        <v>0.5</v>
      </c>
    </row>
    <row r="6847">
      <c r="K6847" s="4" t="str">
        <f>IFERROR(__xludf.DUMMYFUNCTION("""COMPUTED_VALUE"""),"COXINHA EXPRESS - CONTA PAI")</f>
        <v>COXINHA EXPRESS - CONTA PAI</v>
      </c>
      <c r="L6847" s="32">
        <f>IFERROR(__xludf.DUMMYFUNCTION("""COMPUTED_VALUE"""),2.0)</f>
        <v>2</v>
      </c>
      <c r="M6847" s="4" t="str">
        <f>IFERROR(__xludf.DUMMYFUNCTION("""COMPUTED_VALUE"""),"Glow")</f>
        <v>Glow</v>
      </c>
      <c r="N6847" s="33">
        <f>IFERROR(__xludf.DUMMYFUNCTION("""COMPUTED_VALUE"""),1.0)</f>
        <v>1</v>
      </c>
      <c r="O6847" s="4" t="str">
        <f>IFERROR(__xludf.DUMMYFUNCTION("""COMPUTED_VALUE"""),"null")</f>
        <v>null</v>
      </c>
      <c r="P6847" s="33">
        <f>IFERROR(__xludf.DUMMYFUNCTION("""COMPUTED_VALUE"""),1.0)</f>
        <v>1</v>
      </c>
      <c r="Q6847" s="4" t="str">
        <f>IFERROR(__xludf.DUMMYFUNCTION("""COMPUTED_VALUE"""),"null")</f>
        <v>null</v>
      </c>
      <c r="R6847" s="33">
        <f>IFERROR(__xludf.DUMMYFUNCTION("""COMPUTED_VALUE"""),1.0)</f>
        <v>1</v>
      </c>
      <c r="S6847" s="4" t="str">
        <f>IFERROR(__xludf.DUMMYFUNCTION("""COMPUTED_VALUE"""),"null")</f>
        <v>null</v>
      </c>
      <c r="T6847" s="33">
        <f>IFERROR(__xludf.DUMMYFUNCTION("""COMPUTED_VALUE"""),1.0)</f>
        <v>1</v>
      </c>
      <c r="U6847" s="4" t="str">
        <f>IFERROR(__xludf.DUMMYFUNCTION("""COMPUTED_VALUE"""),"null")</f>
        <v>null</v>
      </c>
      <c r="V6847" s="33">
        <f>IFERROR(__xludf.DUMMYFUNCTION("""COMPUTED_VALUE"""),1.0)</f>
        <v>1</v>
      </c>
      <c r="W6847" s="4" t="str">
        <f>IFERROR(__xludf.DUMMYFUNCTION("""COMPUTED_VALUE"""),"null")</f>
        <v>null</v>
      </c>
      <c r="X6847" s="33">
        <f>IFERROR(__xludf.DUMMYFUNCTION("""COMPUTED_VALUE"""),1.0)</f>
        <v>1</v>
      </c>
    </row>
    <row r="6848">
      <c r="K6848" s="4" t="str">
        <f>IFERROR(__xludf.DUMMYFUNCTION("""COMPUTED_VALUE"""),"CR ESFIHAS")</f>
        <v>CR ESFIHAS</v>
      </c>
      <c r="L6848" s="32">
        <f>IFERROR(__xludf.DUMMYFUNCTION("""COMPUTED_VALUE"""),2.0)</f>
        <v>2</v>
      </c>
      <c r="M6848" s="4" t="str">
        <f>IFERROR(__xludf.DUMMYFUNCTION("""COMPUTED_VALUE"""),"Saipos Serviços De Software")</f>
        <v>Saipos Serviços De Software</v>
      </c>
      <c r="N6848" s="33">
        <f>IFERROR(__xludf.DUMMYFUNCTION("""COMPUTED_VALUE"""),1.0)</f>
        <v>1</v>
      </c>
      <c r="O6848" s="4" t="str">
        <f>IFERROR(__xludf.DUMMYFUNCTION("""COMPUTED_VALUE"""),"Saipos Serviços De Software")</f>
        <v>Saipos Serviços De Software</v>
      </c>
      <c r="P6848" s="33">
        <f>IFERROR(__xludf.DUMMYFUNCTION("""COMPUTED_VALUE"""),1.0)</f>
        <v>1</v>
      </c>
      <c r="Q6848" s="4" t="str">
        <f>IFERROR(__xludf.DUMMYFUNCTION("""COMPUTED_VALUE"""),"Saipos Serviços De Software")</f>
        <v>Saipos Serviços De Software</v>
      </c>
      <c r="R6848" s="33">
        <f>IFERROR(__xludf.DUMMYFUNCTION("""COMPUTED_VALUE"""),1.0)</f>
        <v>1</v>
      </c>
      <c r="S6848" s="4" t="str">
        <f>IFERROR(__xludf.DUMMYFUNCTION("""COMPUTED_VALUE"""),"Saipos Serviços De Software")</f>
        <v>Saipos Serviços De Software</v>
      </c>
      <c r="T6848" s="33">
        <f>IFERROR(__xludf.DUMMYFUNCTION("""COMPUTED_VALUE"""),1.0)</f>
        <v>1</v>
      </c>
      <c r="U6848" s="4" t="str">
        <f>IFERROR(__xludf.DUMMYFUNCTION("""COMPUTED_VALUE"""),"Saipos Serviços De Software")</f>
        <v>Saipos Serviços De Software</v>
      </c>
      <c r="V6848" s="33">
        <f>IFERROR(__xludf.DUMMYFUNCTION("""COMPUTED_VALUE"""),1.0)</f>
        <v>1</v>
      </c>
      <c r="W6848" s="4" t="str">
        <f>IFERROR(__xludf.DUMMYFUNCTION("""COMPUTED_VALUE"""),"Saipos Serviços De Software")</f>
        <v>Saipos Serviços De Software</v>
      </c>
      <c r="X6848" s="33">
        <f>IFERROR(__xludf.DUMMYFUNCTION("""COMPUTED_VALUE"""),1.0)</f>
        <v>1</v>
      </c>
    </row>
    <row r="6849">
      <c r="K6849" s="4" t="str">
        <f>IFERROR(__xludf.DUMMYFUNCTION("""COMPUTED_VALUE"""),"CREPERIA DA PRAIA")</f>
        <v>CREPERIA DA PRAIA</v>
      </c>
      <c r="L6849" s="32">
        <f>IFERROR(__xludf.DUMMYFUNCTION("""COMPUTED_VALUE"""),2.0)</f>
        <v>2</v>
      </c>
      <c r="M6849" s="4" t="str">
        <f>IFERROR(__xludf.DUMMYFUNCTION("""COMPUTED_VALUE"""),"Swfast Sistemas")</f>
        <v>Swfast Sistemas</v>
      </c>
      <c r="N6849" s="33">
        <f>IFERROR(__xludf.DUMMYFUNCTION("""COMPUTED_VALUE"""),1.0)</f>
        <v>1</v>
      </c>
      <c r="O6849" s="4" t="str">
        <f>IFERROR(__xludf.DUMMYFUNCTION("""COMPUTED_VALUE"""),"Swfast Sistemas")</f>
        <v>Swfast Sistemas</v>
      </c>
      <c r="P6849" s="33">
        <f>IFERROR(__xludf.DUMMYFUNCTION("""COMPUTED_VALUE"""),1.0)</f>
        <v>1</v>
      </c>
      <c r="Q6849" s="4" t="str">
        <f>IFERROR(__xludf.DUMMYFUNCTION("""COMPUTED_VALUE"""),"Swfast Sistemas")</f>
        <v>Swfast Sistemas</v>
      </c>
      <c r="R6849" s="33">
        <f>IFERROR(__xludf.DUMMYFUNCTION("""COMPUTED_VALUE"""),1.0)</f>
        <v>1</v>
      </c>
      <c r="S6849" s="4" t="str">
        <f>IFERROR(__xludf.DUMMYFUNCTION("""COMPUTED_VALUE"""),"Swfast Sistemas")</f>
        <v>Swfast Sistemas</v>
      </c>
      <c r="T6849" s="33">
        <f>IFERROR(__xludf.DUMMYFUNCTION("""COMPUTED_VALUE"""),1.0)</f>
        <v>1</v>
      </c>
      <c r="U6849" s="4" t="str">
        <f>IFERROR(__xludf.DUMMYFUNCTION("""COMPUTED_VALUE"""),"Swfast Sistemas")</f>
        <v>Swfast Sistemas</v>
      </c>
      <c r="V6849" s="33">
        <f>IFERROR(__xludf.DUMMYFUNCTION("""COMPUTED_VALUE"""),1.0)</f>
        <v>1</v>
      </c>
      <c r="W6849" s="4" t="str">
        <f>IFERROR(__xludf.DUMMYFUNCTION("""COMPUTED_VALUE"""),"Swfast Sistemas")</f>
        <v>Swfast Sistemas</v>
      </c>
      <c r="X6849" s="33">
        <f>IFERROR(__xludf.DUMMYFUNCTION("""COMPUTED_VALUE"""),1.0)</f>
        <v>1</v>
      </c>
    </row>
    <row r="6850">
      <c r="K6850" s="4" t="str">
        <f>IFERROR(__xludf.DUMMYFUNCTION("""COMPUTED_VALUE"""),"CROCO ESFIRRAS CONTA PAI PRINCIPAL")</f>
        <v>CROCO ESFIRRAS CONTA PAI PRINCIPAL</v>
      </c>
      <c r="L6850" s="32">
        <f>IFERROR(__xludf.DUMMYFUNCTION("""COMPUTED_VALUE"""),2.0)</f>
        <v>2</v>
      </c>
      <c r="M6850" s="4" t="str">
        <f>IFERROR(__xludf.DUMMYFUNCTION("""COMPUTED_VALUE"""),"Saipos Serviços De Software")</f>
        <v>Saipos Serviços De Software</v>
      </c>
      <c r="N6850" s="33">
        <f>IFERROR(__xludf.DUMMYFUNCTION("""COMPUTED_VALUE"""),1.0)</f>
        <v>1</v>
      </c>
      <c r="O6850" s="4" t="str">
        <f>IFERROR(__xludf.DUMMYFUNCTION("""COMPUTED_VALUE"""),"Saipos Serviços De Software")</f>
        <v>Saipos Serviços De Software</v>
      </c>
      <c r="P6850" s="33">
        <f>IFERROR(__xludf.DUMMYFUNCTION("""COMPUTED_VALUE"""),1.0)</f>
        <v>1</v>
      </c>
      <c r="Q6850" s="4" t="str">
        <f>IFERROR(__xludf.DUMMYFUNCTION("""COMPUTED_VALUE"""),"Saipos Serviços De Software")</f>
        <v>Saipos Serviços De Software</v>
      </c>
      <c r="R6850" s="33">
        <f>IFERROR(__xludf.DUMMYFUNCTION("""COMPUTED_VALUE"""),1.0)</f>
        <v>1</v>
      </c>
      <c r="S6850" s="4" t="str">
        <f>IFERROR(__xludf.DUMMYFUNCTION("""COMPUTED_VALUE"""),"Saipos Serviços De Software")</f>
        <v>Saipos Serviços De Software</v>
      </c>
      <c r="T6850" s="33">
        <f>IFERROR(__xludf.DUMMYFUNCTION("""COMPUTED_VALUE"""),1.0)</f>
        <v>1</v>
      </c>
      <c r="U6850" s="4" t="str">
        <f>IFERROR(__xludf.DUMMYFUNCTION("""COMPUTED_VALUE"""),"Saipos Serviços De Software")</f>
        <v>Saipos Serviços De Software</v>
      </c>
      <c r="V6850" s="33">
        <f>IFERROR(__xludf.DUMMYFUNCTION("""COMPUTED_VALUE"""),1.0)</f>
        <v>1</v>
      </c>
      <c r="W6850" s="4" t="str">
        <f>IFERROR(__xludf.DUMMYFUNCTION("""COMPUTED_VALUE"""),"Saipos Serviços De Software")</f>
        <v>Saipos Serviços De Software</v>
      </c>
      <c r="X6850" s="33">
        <f>IFERROR(__xludf.DUMMYFUNCTION("""COMPUTED_VALUE"""),1.0)</f>
        <v>1</v>
      </c>
    </row>
    <row r="6851">
      <c r="K6851" s="4" t="str">
        <f>IFERROR(__xludf.DUMMYFUNCTION("""COMPUTED_VALUE"""),"CRUNCHY PIZZA EXPRESS")</f>
        <v>CRUNCHY PIZZA EXPRESS</v>
      </c>
      <c r="L6851" s="32">
        <f>IFERROR(__xludf.DUMMYFUNCTION("""COMPUTED_VALUE"""),2.0)</f>
        <v>2</v>
      </c>
      <c r="M6851" s="4" t="str">
        <f>IFERROR(__xludf.DUMMYFUNCTION("""COMPUTED_VALUE"""),"Saipos Serviços De Software")</f>
        <v>Saipos Serviços De Software</v>
      </c>
      <c r="N6851" s="33">
        <f>IFERROR(__xludf.DUMMYFUNCTION("""COMPUTED_VALUE"""),1.0)</f>
        <v>1</v>
      </c>
      <c r="O6851" s="4" t="str">
        <f>IFERROR(__xludf.DUMMYFUNCTION("""COMPUTED_VALUE"""),"Saipos Serviços De Software")</f>
        <v>Saipos Serviços De Software</v>
      </c>
      <c r="P6851" s="33">
        <f>IFERROR(__xludf.DUMMYFUNCTION("""COMPUTED_VALUE"""),1.0)</f>
        <v>1</v>
      </c>
      <c r="Q6851" s="4" t="str">
        <f>IFERROR(__xludf.DUMMYFUNCTION("""COMPUTED_VALUE"""),"Saipos Serviços De Software")</f>
        <v>Saipos Serviços De Software</v>
      </c>
      <c r="R6851" s="33">
        <f>IFERROR(__xludf.DUMMYFUNCTION("""COMPUTED_VALUE"""),1.0)</f>
        <v>1</v>
      </c>
      <c r="S6851" s="4" t="str">
        <f>IFERROR(__xludf.DUMMYFUNCTION("""COMPUTED_VALUE"""),"null")</f>
        <v>null</v>
      </c>
      <c r="T6851" s="33">
        <f>IFERROR(__xludf.DUMMYFUNCTION("""COMPUTED_VALUE"""),1.0)</f>
        <v>1</v>
      </c>
      <c r="U6851" s="4" t="str">
        <f>IFERROR(__xludf.DUMMYFUNCTION("""COMPUTED_VALUE"""),"null")</f>
        <v>null</v>
      </c>
      <c r="V6851" s="33">
        <f>IFERROR(__xludf.DUMMYFUNCTION("""COMPUTED_VALUE"""),1.0)</f>
        <v>1</v>
      </c>
      <c r="W6851" s="4" t="str">
        <f>IFERROR(__xludf.DUMMYFUNCTION("""COMPUTED_VALUE"""),"null")</f>
        <v>null</v>
      </c>
      <c r="X6851" s="33">
        <f>IFERROR(__xludf.DUMMYFUNCTION("""COMPUTED_VALUE"""),1.0)</f>
        <v>1</v>
      </c>
    </row>
    <row r="6852">
      <c r="K6852" s="4" t="str">
        <f>IFERROR(__xludf.DUMMYFUNCTION("""COMPUTED_VALUE"""),"CUCINA DEL CAPO RESTAURANTE")</f>
        <v>CUCINA DEL CAPO RESTAURANTE</v>
      </c>
      <c r="L6852" s="32">
        <f>IFERROR(__xludf.DUMMYFUNCTION("""COMPUTED_VALUE"""),2.0)</f>
        <v>2</v>
      </c>
      <c r="M6852" s="4" t="str">
        <f>IFERROR(__xludf.DUMMYFUNCTION("""COMPUTED_VALUE"""),"null")</f>
        <v>null</v>
      </c>
      <c r="N6852" s="33">
        <f>IFERROR(__xludf.DUMMYFUNCTION("""COMPUTED_VALUE"""),0.5)</f>
        <v>0.5</v>
      </c>
      <c r="O6852" s="4" t="str">
        <f>IFERROR(__xludf.DUMMYFUNCTION("""COMPUTED_VALUE"""),"null")</f>
        <v>null</v>
      </c>
      <c r="P6852" s="33">
        <f>IFERROR(__xludf.DUMMYFUNCTION("""COMPUTED_VALUE"""),0.5)</f>
        <v>0.5</v>
      </c>
      <c r="Q6852" s="4" t="str">
        <f>IFERROR(__xludf.DUMMYFUNCTION("""COMPUTED_VALUE"""),"Saipos Serviços De Software")</f>
        <v>Saipos Serviços De Software</v>
      </c>
      <c r="R6852" s="33">
        <f>IFERROR(__xludf.DUMMYFUNCTION("""COMPUTED_VALUE"""),1.0)</f>
        <v>1</v>
      </c>
      <c r="S6852" s="4" t="str">
        <f>IFERROR(__xludf.DUMMYFUNCTION("""COMPUTED_VALUE"""),"Saipos Serviços De Software")</f>
        <v>Saipos Serviços De Software</v>
      </c>
      <c r="T6852" s="33">
        <f>IFERROR(__xludf.DUMMYFUNCTION("""COMPUTED_VALUE"""),1.0)</f>
        <v>1</v>
      </c>
      <c r="U6852" s="4" t="str">
        <f>IFERROR(__xludf.DUMMYFUNCTION("""COMPUTED_VALUE"""),"Saipos Serviços De Software")</f>
        <v>Saipos Serviços De Software</v>
      </c>
      <c r="V6852" s="33">
        <f>IFERROR(__xludf.DUMMYFUNCTION("""COMPUTED_VALUE"""),1.0)</f>
        <v>1</v>
      </c>
      <c r="W6852" s="4" t="str">
        <f>IFERROR(__xludf.DUMMYFUNCTION("""COMPUTED_VALUE"""),"Saipos Serviços De Software")</f>
        <v>Saipos Serviços De Software</v>
      </c>
      <c r="X6852" s="33">
        <f>IFERROR(__xludf.DUMMYFUNCTION("""COMPUTED_VALUE"""),1.0)</f>
        <v>1</v>
      </c>
    </row>
    <row r="6853">
      <c r="K6853" s="4" t="str">
        <f>IFERROR(__xludf.DUMMYFUNCTION("""COMPUTED_VALUE"""),"CUCINA TRATTORIA")</f>
        <v>CUCINA TRATTORIA</v>
      </c>
      <c r="L6853" s="32">
        <f>IFERROR(__xludf.DUMMYFUNCTION("""COMPUTED_VALUE"""),2.0)</f>
        <v>2</v>
      </c>
      <c r="M6853" s="4" t="str">
        <f>IFERROR(__xludf.DUMMYFUNCTION("""COMPUTED_VALUE"""),"Ncr")</f>
        <v>Ncr</v>
      </c>
      <c r="N6853" s="33">
        <f>IFERROR(__xludf.DUMMYFUNCTION("""COMPUTED_VALUE"""),1.0)</f>
        <v>1</v>
      </c>
      <c r="O6853" s="4" t="str">
        <f>IFERROR(__xludf.DUMMYFUNCTION("""COMPUTED_VALUE"""),"Ncr")</f>
        <v>Ncr</v>
      </c>
      <c r="P6853" s="33">
        <f>IFERROR(__xludf.DUMMYFUNCTION("""COMPUTED_VALUE"""),1.0)</f>
        <v>1</v>
      </c>
      <c r="Q6853" s="4" t="str">
        <f>IFERROR(__xludf.DUMMYFUNCTION("""COMPUTED_VALUE"""),"Ncr")</f>
        <v>Ncr</v>
      </c>
      <c r="R6853" s="33">
        <f>IFERROR(__xludf.DUMMYFUNCTION("""COMPUTED_VALUE"""),1.0)</f>
        <v>1</v>
      </c>
      <c r="S6853" s="4" t="str">
        <f>IFERROR(__xludf.DUMMYFUNCTION("""COMPUTED_VALUE"""),"Ncr")</f>
        <v>Ncr</v>
      </c>
      <c r="T6853" s="33">
        <f>IFERROR(__xludf.DUMMYFUNCTION("""COMPUTED_VALUE"""),1.0)</f>
        <v>1</v>
      </c>
      <c r="U6853" s="4" t="str">
        <f>IFERROR(__xludf.DUMMYFUNCTION("""COMPUTED_VALUE"""),"Ncr")</f>
        <v>Ncr</v>
      </c>
      <c r="V6853" s="33">
        <f>IFERROR(__xludf.DUMMYFUNCTION("""COMPUTED_VALUE"""),1.0)</f>
        <v>1</v>
      </c>
      <c r="W6853" s="4" t="str">
        <f>IFERROR(__xludf.DUMMYFUNCTION("""COMPUTED_VALUE"""),"Ncr")</f>
        <v>Ncr</v>
      </c>
      <c r="X6853" s="33">
        <f>IFERROR(__xludf.DUMMYFUNCTION("""COMPUTED_VALUE"""),1.0)</f>
        <v>1</v>
      </c>
    </row>
    <row r="6854">
      <c r="K6854" s="4" t="str">
        <f>IFERROR(__xludf.DUMMYFUNCTION("""COMPUTED_VALUE"""),"D ITALIA PIZZAS E ESFIHAS")</f>
        <v>D ITALIA PIZZAS E ESFIHAS</v>
      </c>
      <c r="L6854" s="32">
        <f>IFERROR(__xludf.DUMMYFUNCTION("""COMPUTED_VALUE"""),2.0)</f>
        <v>2</v>
      </c>
      <c r="M6854" s="4" t="str">
        <f>IFERROR(__xludf.DUMMYFUNCTION("""COMPUTED_VALUE"""),"Grk Soluções Informatica Eireli")</f>
        <v>Grk Soluções Informatica Eireli</v>
      </c>
      <c r="N6854" s="33">
        <f>IFERROR(__xludf.DUMMYFUNCTION("""COMPUTED_VALUE"""),1.0)</f>
        <v>1</v>
      </c>
      <c r="O6854" s="4" t="str">
        <f>IFERROR(__xludf.DUMMYFUNCTION("""COMPUTED_VALUE"""),"Grk Soluções Informatica Eireli")</f>
        <v>Grk Soluções Informatica Eireli</v>
      </c>
      <c r="P6854" s="33">
        <f>IFERROR(__xludf.DUMMYFUNCTION("""COMPUTED_VALUE"""),1.0)</f>
        <v>1</v>
      </c>
      <c r="Q6854" s="4" t="str">
        <f>IFERROR(__xludf.DUMMYFUNCTION("""COMPUTED_VALUE"""),"Grk Soluções Informatica Eireli")</f>
        <v>Grk Soluções Informatica Eireli</v>
      </c>
      <c r="R6854" s="33">
        <f>IFERROR(__xludf.DUMMYFUNCTION("""COMPUTED_VALUE"""),1.0)</f>
        <v>1</v>
      </c>
      <c r="S6854" s="4" t="str">
        <f>IFERROR(__xludf.DUMMYFUNCTION("""COMPUTED_VALUE"""),"Grk Soluções Informatica Eireli")</f>
        <v>Grk Soluções Informatica Eireli</v>
      </c>
      <c r="T6854" s="33">
        <f>IFERROR(__xludf.DUMMYFUNCTION("""COMPUTED_VALUE"""),1.0)</f>
        <v>1</v>
      </c>
      <c r="U6854" s="4" t="str">
        <f>IFERROR(__xludf.DUMMYFUNCTION("""COMPUTED_VALUE"""),"Grk Soluções Informatica Eireli")</f>
        <v>Grk Soluções Informatica Eireli</v>
      </c>
      <c r="V6854" s="33">
        <f>IFERROR(__xludf.DUMMYFUNCTION("""COMPUTED_VALUE"""),1.0)</f>
        <v>1</v>
      </c>
      <c r="W6854" s="4" t="str">
        <f>IFERROR(__xludf.DUMMYFUNCTION("""COMPUTED_VALUE"""),"Grk Soluções Informatica Eireli")</f>
        <v>Grk Soluções Informatica Eireli</v>
      </c>
      <c r="X6854" s="33">
        <f>IFERROR(__xludf.DUMMYFUNCTION("""COMPUTED_VALUE"""),1.0)</f>
        <v>1</v>
      </c>
    </row>
    <row r="6855">
      <c r="K6855" s="4" t="str">
        <f>IFERROR(__xludf.DUMMYFUNCTION("""COMPUTED_VALUE"""),"DA NONNA - MARMITA, PIZZA, LANCHE E ACAI")</f>
        <v>DA NONNA - MARMITA, PIZZA, LANCHE E ACAI</v>
      </c>
      <c r="L6855" s="32">
        <f>IFERROR(__xludf.DUMMYFUNCTION("""COMPUTED_VALUE"""),2.0)</f>
        <v>2</v>
      </c>
      <c r="M6855" s="4" t="str">
        <f>IFERROR(__xludf.DUMMYFUNCTION("""COMPUTED_VALUE"""),"Saipos Serviços De Software")</f>
        <v>Saipos Serviços De Software</v>
      </c>
      <c r="N6855" s="33">
        <f>IFERROR(__xludf.DUMMYFUNCTION("""COMPUTED_VALUE"""),0.5)</f>
        <v>0.5</v>
      </c>
      <c r="O6855" s="4" t="str">
        <f>IFERROR(__xludf.DUMMYFUNCTION("""COMPUTED_VALUE"""),"Saipos Serviços De Software")</f>
        <v>Saipos Serviços De Software</v>
      </c>
      <c r="P6855" s="33">
        <f>IFERROR(__xludf.DUMMYFUNCTION("""COMPUTED_VALUE"""),0.5)</f>
        <v>0.5</v>
      </c>
      <c r="Q6855" s="4" t="str">
        <f>IFERROR(__xludf.DUMMYFUNCTION("""COMPUTED_VALUE"""),"Saipos Serviços De Software")</f>
        <v>Saipos Serviços De Software</v>
      </c>
      <c r="R6855" s="33">
        <f>IFERROR(__xludf.DUMMYFUNCTION("""COMPUTED_VALUE"""),0.5)</f>
        <v>0.5</v>
      </c>
      <c r="S6855" s="4" t="str">
        <f>IFERROR(__xludf.DUMMYFUNCTION("""COMPUTED_VALUE"""),"Saipos Serviços De Software")</f>
        <v>Saipos Serviços De Software</v>
      </c>
      <c r="T6855" s="33">
        <f>IFERROR(__xludf.DUMMYFUNCTION("""COMPUTED_VALUE"""),0.5)</f>
        <v>0.5</v>
      </c>
      <c r="U6855" s="4" t="str">
        <f>IFERROR(__xludf.DUMMYFUNCTION("""COMPUTED_VALUE"""),"Saipos Serviços De Software")</f>
        <v>Saipos Serviços De Software</v>
      </c>
      <c r="V6855" s="33">
        <f>IFERROR(__xludf.DUMMYFUNCTION("""COMPUTED_VALUE"""),0.5)</f>
        <v>0.5</v>
      </c>
      <c r="W6855" s="4" t="str">
        <f>IFERROR(__xludf.DUMMYFUNCTION("""COMPUTED_VALUE"""),"Saipos Serviços De Software")</f>
        <v>Saipos Serviços De Software</v>
      </c>
      <c r="X6855" s="33">
        <f>IFERROR(__xludf.DUMMYFUNCTION("""COMPUTED_VALUE"""),0.5)</f>
        <v>0.5</v>
      </c>
    </row>
    <row r="6856">
      <c r="K6856" s="4" t="str">
        <f>IFERROR(__xludf.DUMMYFUNCTION("""COMPUTED_VALUE"""),"DAIKO")</f>
        <v>DAIKO</v>
      </c>
      <c r="L6856" s="32">
        <f>IFERROR(__xludf.DUMMYFUNCTION("""COMPUTED_VALUE"""),2.0)</f>
        <v>2</v>
      </c>
      <c r="M6856" s="4" t="str">
        <f>IFERROR(__xludf.DUMMYFUNCTION("""COMPUTED_VALUE"""),"Bitbar")</f>
        <v>Bitbar</v>
      </c>
      <c r="N6856" s="33">
        <f>IFERROR(__xludf.DUMMYFUNCTION("""COMPUTED_VALUE"""),1.0)</f>
        <v>1</v>
      </c>
      <c r="O6856" s="4" t="str">
        <f>IFERROR(__xludf.DUMMYFUNCTION("""COMPUTED_VALUE"""),"Bitbar")</f>
        <v>Bitbar</v>
      </c>
      <c r="P6856" s="33">
        <f>IFERROR(__xludf.DUMMYFUNCTION("""COMPUTED_VALUE"""),1.0)</f>
        <v>1</v>
      </c>
      <c r="Q6856" s="4" t="str">
        <f>IFERROR(__xludf.DUMMYFUNCTION("""COMPUTED_VALUE"""),"Bitbar")</f>
        <v>Bitbar</v>
      </c>
      <c r="R6856" s="33">
        <f>IFERROR(__xludf.DUMMYFUNCTION("""COMPUTED_VALUE"""),1.0)</f>
        <v>1</v>
      </c>
      <c r="S6856" s="4" t="str">
        <f>IFERROR(__xludf.DUMMYFUNCTION("""COMPUTED_VALUE"""),"Bitbar")</f>
        <v>Bitbar</v>
      </c>
      <c r="T6856" s="33">
        <f>IFERROR(__xludf.DUMMYFUNCTION("""COMPUTED_VALUE"""),1.0)</f>
        <v>1</v>
      </c>
      <c r="U6856" s="4" t="str">
        <f>IFERROR(__xludf.DUMMYFUNCTION("""COMPUTED_VALUE"""),"Bitbar")</f>
        <v>Bitbar</v>
      </c>
      <c r="V6856" s="33">
        <f>IFERROR(__xludf.DUMMYFUNCTION("""COMPUTED_VALUE"""),0.5)</f>
        <v>0.5</v>
      </c>
      <c r="W6856" s="4" t="str">
        <f>IFERROR(__xludf.DUMMYFUNCTION("""COMPUTED_VALUE"""),"Bitbar")</f>
        <v>Bitbar</v>
      </c>
      <c r="X6856" s="33">
        <f>IFERROR(__xludf.DUMMYFUNCTION("""COMPUTED_VALUE"""),1.0)</f>
        <v>1</v>
      </c>
    </row>
    <row r="6857">
      <c r="K6857" s="4" t="str">
        <f>IFERROR(__xludf.DUMMYFUNCTION("""COMPUTED_VALUE"""),"DAMAKI SUSHI - CONTA MARCA")</f>
        <v>DAMAKI SUSHI - CONTA MARCA</v>
      </c>
      <c r="L6857" s="32">
        <f>IFERROR(__xludf.DUMMYFUNCTION("""COMPUTED_VALUE"""),2.0)</f>
        <v>2</v>
      </c>
      <c r="M6857" s="4" t="str">
        <f>IFERROR(__xludf.DUMMYFUNCTION("""COMPUTED_VALUE"""),"Solução Sistemas")</f>
        <v>Solução Sistemas</v>
      </c>
      <c r="N6857" s="33">
        <f>IFERROR(__xludf.DUMMYFUNCTION("""COMPUTED_VALUE"""),1.0)</f>
        <v>1</v>
      </c>
      <c r="O6857" s="4" t="str">
        <f>IFERROR(__xludf.DUMMYFUNCTION("""COMPUTED_VALUE"""),"Solução Sistemas")</f>
        <v>Solução Sistemas</v>
      </c>
      <c r="P6857" s="33">
        <f>IFERROR(__xludf.DUMMYFUNCTION("""COMPUTED_VALUE"""),1.0)</f>
        <v>1</v>
      </c>
      <c r="Q6857" s="4" t="str">
        <f>IFERROR(__xludf.DUMMYFUNCTION("""COMPUTED_VALUE"""),"Solução Sistemas")</f>
        <v>Solução Sistemas</v>
      </c>
      <c r="R6857" s="33">
        <f>IFERROR(__xludf.DUMMYFUNCTION("""COMPUTED_VALUE"""),1.0)</f>
        <v>1</v>
      </c>
      <c r="S6857" s="4" t="str">
        <f>IFERROR(__xludf.DUMMYFUNCTION("""COMPUTED_VALUE"""),"Solução Sistemas")</f>
        <v>Solução Sistemas</v>
      </c>
      <c r="T6857" s="33">
        <f>IFERROR(__xludf.DUMMYFUNCTION("""COMPUTED_VALUE"""),1.0)</f>
        <v>1</v>
      </c>
      <c r="U6857" s="4" t="str">
        <f>IFERROR(__xludf.DUMMYFUNCTION("""COMPUTED_VALUE"""),"Solução Sistemas")</f>
        <v>Solução Sistemas</v>
      </c>
      <c r="V6857" s="33">
        <f>IFERROR(__xludf.DUMMYFUNCTION("""COMPUTED_VALUE"""),1.0)</f>
        <v>1</v>
      </c>
      <c r="W6857" s="4" t="str">
        <f>IFERROR(__xludf.DUMMYFUNCTION("""COMPUTED_VALUE"""),"Solução Sistemas")</f>
        <v>Solução Sistemas</v>
      </c>
      <c r="X6857" s="33">
        <f>IFERROR(__xludf.DUMMYFUNCTION("""COMPUTED_VALUE"""),1.0)</f>
        <v>1</v>
      </c>
    </row>
    <row r="6858">
      <c r="K6858" s="4" t="str">
        <f>IFERROR(__xludf.DUMMYFUNCTION("""COMPUTED_VALUE"""),"DANIFARMA - LOJAS MARCO - CONTA MARCA")</f>
        <v>DANIFARMA - LOJAS MARCO - CONTA MARCA</v>
      </c>
      <c r="L6858" s="32">
        <f>IFERROR(__xludf.DUMMYFUNCTION("""COMPUTED_VALUE"""),2.0)</f>
        <v>2</v>
      </c>
      <c r="M6858" s="4" t="str">
        <f>IFERROR(__xludf.DUMMYFUNCTION("""COMPUTED_VALUE"""),"N/A (Not found)")</f>
        <v>N/A (Not found)</v>
      </c>
      <c r="N6858" s="33">
        <f>IFERROR(__xludf.DUMMYFUNCTION("""COMPUTED_VALUE"""),1.0)</f>
        <v>1</v>
      </c>
      <c r="O6858" s="4" t="str">
        <f>IFERROR(__xludf.DUMMYFUNCTION("""COMPUTED_VALUE"""),"N/A (Not found)")</f>
        <v>N/A (Not found)</v>
      </c>
      <c r="P6858" s="33">
        <f>IFERROR(__xludf.DUMMYFUNCTION("""COMPUTED_VALUE"""),1.0)</f>
        <v>1</v>
      </c>
      <c r="Q6858" s="4" t="str">
        <f>IFERROR(__xludf.DUMMYFUNCTION("""COMPUTED_VALUE"""),"N/A (Not found)")</f>
        <v>N/A (Not found)</v>
      </c>
      <c r="R6858" s="33">
        <f>IFERROR(__xludf.DUMMYFUNCTION("""COMPUTED_VALUE"""),1.0)</f>
        <v>1</v>
      </c>
      <c r="S6858" s="4" t="str">
        <f>IFERROR(__xludf.DUMMYFUNCTION("""COMPUTED_VALUE"""),"N/A (Not found)")</f>
        <v>N/A (Not found)</v>
      </c>
      <c r="T6858" s="33">
        <f>IFERROR(__xludf.DUMMYFUNCTION("""COMPUTED_VALUE"""),1.0)</f>
        <v>1</v>
      </c>
      <c r="U6858" s="4" t="str">
        <f>IFERROR(__xludf.DUMMYFUNCTION("""COMPUTED_VALUE"""),"N/A (Not found)")</f>
        <v>N/A (Not found)</v>
      </c>
      <c r="V6858" s="33">
        <f>IFERROR(__xludf.DUMMYFUNCTION("""COMPUTED_VALUE"""),1.0)</f>
        <v>1</v>
      </c>
      <c r="W6858" s="4" t="str">
        <f>IFERROR(__xludf.DUMMYFUNCTION("""COMPUTED_VALUE"""),"N/A (Not found)")</f>
        <v>N/A (Not found)</v>
      </c>
      <c r="X6858" s="33">
        <f>IFERROR(__xludf.DUMMYFUNCTION("""COMPUTED_VALUE"""),1.0)</f>
        <v>1</v>
      </c>
    </row>
    <row r="6859">
      <c r="K6859" s="4" t="str">
        <f>IFERROR(__xludf.DUMMYFUNCTION("""COMPUTED_VALUE"""),"DANYS RESTAURANTE E CHURRASCARIA")</f>
        <v>DANYS RESTAURANTE E CHURRASCARIA</v>
      </c>
      <c r="L6859" s="32">
        <f>IFERROR(__xludf.DUMMYFUNCTION("""COMPUTED_VALUE"""),2.0)</f>
        <v>2</v>
      </c>
      <c r="M6859" s="4" t="str">
        <f>IFERROR(__xludf.DUMMYFUNCTION("""COMPUTED_VALUE"""),"Saipos Serviços De Software")</f>
        <v>Saipos Serviços De Software</v>
      </c>
      <c r="N6859" s="33">
        <f>IFERROR(__xludf.DUMMYFUNCTION("""COMPUTED_VALUE"""),1.0)</f>
        <v>1</v>
      </c>
      <c r="O6859" s="4" t="str">
        <f>IFERROR(__xludf.DUMMYFUNCTION("""COMPUTED_VALUE"""),"Saipos Serviços De Software")</f>
        <v>Saipos Serviços De Software</v>
      </c>
      <c r="P6859" s="33">
        <f>IFERROR(__xludf.DUMMYFUNCTION("""COMPUTED_VALUE"""),1.0)</f>
        <v>1</v>
      </c>
      <c r="Q6859" s="4" t="str">
        <f>IFERROR(__xludf.DUMMYFUNCTION("""COMPUTED_VALUE"""),"null")</f>
        <v>null</v>
      </c>
      <c r="R6859" s="33">
        <f>IFERROR(__xludf.DUMMYFUNCTION("""COMPUTED_VALUE"""),1.0)</f>
        <v>1</v>
      </c>
      <c r="S6859" s="4" t="str">
        <f>IFERROR(__xludf.DUMMYFUNCTION("""COMPUTED_VALUE"""),"null")</f>
        <v>null</v>
      </c>
      <c r="T6859" s="33">
        <f>IFERROR(__xludf.DUMMYFUNCTION("""COMPUTED_VALUE"""),1.0)</f>
        <v>1</v>
      </c>
      <c r="U6859" s="4" t="str">
        <f>IFERROR(__xludf.DUMMYFUNCTION("""COMPUTED_VALUE"""),"null")</f>
        <v>null</v>
      </c>
      <c r="V6859" s="33">
        <f>IFERROR(__xludf.DUMMYFUNCTION("""COMPUTED_VALUE"""),1.0)</f>
        <v>1</v>
      </c>
      <c r="W6859" s="4" t="str">
        <f>IFERROR(__xludf.DUMMYFUNCTION("""COMPUTED_VALUE"""),"null")</f>
        <v>null</v>
      </c>
      <c r="X6859" s="33">
        <f>IFERROR(__xludf.DUMMYFUNCTION("""COMPUTED_VALUE"""),1.0)</f>
        <v>1</v>
      </c>
    </row>
    <row r="6860">
      <c r="K6860" s="4" t="str">
        <f>IFERROR(__xludf.DUMMYFUNCTION("""COMPUTED_VALUE"""),"DAVIMED DROGARIA - CONTA PAI")</f>
        <v>DAVIMED DROGARIA - CONTA PAI</v>
      </c>
      <c r="L6860" s="32">
        <f>IFERROR(__xludf.DUMMYFUNCTION("""COMPUTED_VALUE"""),2.0)</f>
        <v>2</v>
      </c>
      <c r="M6860" s="4" t="str">
        <f>IFERROR(__xludf.DUMMYFUNCTION("""COMPUTED_VALUE"""),"N/A (Not found)")</f>
        <v>N/A (Not found)</v>
      </c>
      <c r="N6860" s="33">
        <f>IFERROR(__xludf.DUMMYFUNCTION("""COMPUTED_VALUE"""),1.0)</f>
        <v>1</v>
      </c>
      <c r="O6860" s="4" t="str">
        <f>IFERROR(__xludf.DUMMYFUNCTION("""COMPUTED_VALUE"""),"N/A (Not found)")</f>
        <v>N/A (Not found)</v>
      </c>
      <c r="P6860" s="33">
        <f>IFERROR(__xludf.DUMMYFUNCTION("""COMPUTED_VALUE"""),1.0)</f>
        <v>1</v>
      </c>
      <c r="Q6860" s="4" t="str">
        <f>IFERROR(__xludf.DUMMYFUNCTION("""COMPUTED_VALUE"""),"N/A (Not found)")</f>
        <v>N/A (Not found)</v>
      </c>
      <c r="R6860" s="33">
        <f>IFERROR(__xludf.DUMMYFUNCTION("""COMPUTED_VALUE"""),1.0)</f>
        <v>1</v>
      </c>
      <c r="S6860" s="4" t="str">
        <f>IFERROR(__xludf.DUMMYFUNCTION("""COMPUTED_VALUE"""),"N/A (Not found)")</f>
        <v>N/A (Not found)</v>
      </c>
      <c r="T6860" s="33">
        <f>IFERROR(__xludf.DUMMYFUNCTION("""COMPUTED_VALUE"""),1.0)</f>
        <v>1</v>
      </c>
      <c r="U6860" s="4" t="str">
        <f>IFERROR(__xludf.DUMMYFUNCTION("""COMPUTED_VALUE"""),"N/A (Not found)")</f>
        <v>N/A (Not found)</v>
      </c>
      <c r="V6860" s="33">
        <f>IFERROR(__xludf.DUMMYFUNCTION("""COMPUTED_VALUE"""),0.5)</f>
        <v>0.5</v>
      </c>
      <c r="W6860" s="4" t="str">
        <f>IFERROR(__xludf.DUMMYFUNCTION("""COMPUTED_VALUE"""),"N/A (Not found)")</f>
        <v>N/A (Not found)</v>
      </c>
      <c r="X6860" s="33">
        <f>IFERROR(__xludf.DUMMYFUNCTION("""COMPUTED_VALUE"""),0.5)</f>
        <v>0.5</v>
      </c>
    </row>
    <row r="6861">
      <c r="K6861" s="4" t="str">
        <f>IFERROR(__xludf.DUMMYFUNCTION("""COMPUTED_VALUE"""),"DBRONX BURGER SANDWICHES")</f>
        <v>DBRONX BURGER SANDWICHES</v>
      </c>
      <c r="L6861" s="32">
        <f>IFERROR(__xludf.DUMMYFUNCTION("""COMPUTED_VALUE"""),2.0)</f>
        <v>2</v>
      </c>
      <c r="M6861" s="4" t="str">
        <f>IFERROR(__xludf.DUMMYFUNCTION("""COMPUTED_VALUE"""),"Glow")</f>
        <v>Glow</v>
      </c>
      <c r="N6861" s="33">
        <f>IFERROR(__xludf.DUMMYFUNCTION("""COMPUTED_VALUE"""),0.5)</f>
        <v>0.5</v>
      </c>
      <c r="O6861" s="4" t="str">
        <f>IFERROR(__xludf.DUMMYFUNCTION("""COMPUTED_VALUE"""),"Glow")</f>
        <v>Glow</v>
      </c>
      <c r="P6861" s="33">
        <f>IFERROR(__xludf.DUMMYFUNCTION("""COMPUTED_VALUE"""),0.5)</f>
        <v>0.5</v>
      </c>
      <c r="Q6861" s="4" t="str">
        <f>IFERROR(__xludf.DUMMYFUNCTION("""COMPUTED_VALUE"""),"Glow")</f>
        <v>Glow</v>
      </c>
      <c r="R6861" s="33">
        <f>IFERROR(__xludf.DUMMYFUNCTION("""COMPUTED_VALUE"""),0.5)</f>
        <v>0.5</v>
      </c>
      <c r="S6861" s="4" t="str">
        <f>IFERROR(__xludf.DUMMYFUNCTION("""COMPUTED_VALUE"""),"null")</f>
        <v>null</v>
      </c>
      <c r="T6861" s="33">
        <f>IFERROR(__xludf.DUMMYFUNCTION("""COMPUTED_VALUE"""),0.5)</f>
        <v>0.5</v>
      </c>
      <c r="U6861" s="4" t="str">
        <f>IFERROR(__xludf.DUMMYFUNCTION("""COMPUTED_VALUE"""),"null")</f>
        <v>null</v>
      </c>
      <c r="V6861" s="33">
        <f>IFERROR(__xludf.DUMMYFUNCTION("""COMPUTED_VALUE"""),1.0)</f>
        <v>1</v>
      </c>
      <c r="W6861" s="4" t="str">
        <f>IFERROR(__xludf.DUMMYFUNCTION("""COMPUTED_VALUE"""),"Glow")</f>
        <v>Glow</v>
      </c>
      <c r="X6861" s="33">
        <f>IFERROR(__xludf.DUMMYFUNCTION("""COMPUTED_VALUE"""),0.5)</f>
        <v>0.5</v>
      </c>
    </row>
    <row r="6862">
      <c r="K6862" s="4" t="str">
        <f>IFERROR(__xludf.DUMMYFUNCTION("""COMPUTED_VALUE"""),"DE LAMBUJA MARCA")</f>
        <v>DE LAMBUJA MARCA</v>
      </c>
      <c r="L6862" s="32">
        <f>IFERROR(__xludf.DUMMYFUNCTION("""COMPUTED_VALUE"""),2.0)</f>
        <v>2</v>
      </c>
      <c r="M6862" s="4" t="str">
        <f>IFERROR(__xludf.DUMMYFUNCTION("""COMPUTED_VALUE"""),"Swfast Sistemas")</f>
        <v>Swfast Sistemas</v>
      </c>
      <c r="N6862" s="33">
        <f>IFERROR(__xludf.DUMMYFUNCTION("""COMPUTED_VALUE"""),0.5)</f>
        <v>0.5</v>
      </c>
      <c r="O6862" s="4" t="str">
        <f>IFERROR(__xludf.DUMMYFUNCTION("""COMPUTED_VALUE"""),"null")</f>
        <v>null</v>
      </c>
      <c r="P6862" s="33">
        <f>IFERROR(__xludf.DUMMYFUNCTION("""COMPUTED_VALUE"""),1.0)</f>
        <v>1</v>
      </c>
      <c r="Q6862" s="4" t="str">
        <f>IFERROR(__xludf.DUMMYFUNCTION("""COMPUTED_VALUE"""),"null")</f>
        <v>null</v>
      </c>
      <c r="R6862" s="33">
        <f>IFERROR(__xludf.DUMMYFUNCTION("""COMPUTED_VALUE"""),0.5)</f>
        <v>0.5</v>
      </c>
      <c r="S6862" s="4" t="str">
        <f>IFERROR(__xludf.DUMMYFUNCTION("""COMPUTED_VALUE"""),"null")</f>
        <v>null</v>
      </c>
      <c r="T6862" s="33">
        <f>IFERROR(__xludf.DUMMYFUNCTION("""COMPUTED_VALUE"""),1.0)</f>
        <v>1</v>
      </c>
      <c r="U6862" s="4" t="str">
        <f>IFERROR(__xludf.DUMMYFUNCTION("""COMPUTED_VALUE"""),"null")</f>
        <v>null</v>
      </c>
      <c r="V6862" s="33">
        <f>IFERROR(__xludf.DUMMYFUNCTION("""COMPUTED_VALUE"""),1.0)</f>
        <v>1</v>
      </c>
      <c r="W6862" s="4" t="str">
        <f>IFERROR(__xludf.DUMMYFUNCTION("""COMPUTED_VALUE"""),"Swfast Sistemas")</f>
        <v>Swfast Sistemas</v>
      </c>
      <c r="X6862" s="33">
        <f>IFERROR(__xludf.DUMMYFUNCTION("""COMPUTED_VALUE"""),0.5)</f>
        <v>0.5</v>
      </c>
    </row>
    <row r="6863">
      <c r="K6863" s="4" t="str">
        <f>IFERROR(__xludf.DUMMYFUNCTION("""COMPUTED_VALUE"""),"DEBURG DELIVERY")</f>
        <v>DEBURG DELIVERY</v>
      </c>
      <c r="L6863" s="32">
        <f>IFERROR(__xludf.DUMMYFUNCTION("""COMPUTED_VALUE"""),2.0)</f>
        <v>2</v>
      </c>
      <c r="M6863" s="4" t="str">
        <f>IFERROR(__xludf.DUMMYFUNCTION("""COMPUTED_VALUE"""),"Menu Integrado")</f>
        <v>Menu Integrado</v>
      </c>
      <c r="N6863" s="33">
        <f>IFERROR(__xludf.DUMMYFUNCTION("""COMPUTED_VALUE"""),1.0)</f>
        <v>1</v>
      </c>
      <c r="O6863" s="4" t="str">
        <f>IFERROR(__xludf.DUMMYFUNCTION("""COMPUTED_VALUE"""),"Menu Integrado")</f>
        <v>Menu Integrado</v>
      </c>
      <c r="P6863" s="33">
        <f>IFERROR(__xludf.DUMMYFUNCTION("""COMPUTED_VALUE"""),1.0)</f>
        <v>1</v>
      </c>
      <c r="Q6863" s="4" t="str">
        <f>IFERROR(__xludf.DUMMYFUNCTION("""COMPUTED_VALUE"""),"Menu Integrado")</f>
        <v>Menu Integrado</v>
      </c>
      <c r="R6863" s="33">
        <f>IFERROR(__xludf.DUMMYFUNCTION("""COMPUTED_VALUE"""),1.0)</f>
        <v>1</v>
      </c>
      <c r="S6863" s="4" t="str">
        <f>IFERROR(__xludf.DUMMYFUNCTION("""COMPUTED_VALUE"""),"Menu Integrado")</f>
        <v>Menu Integrado</v>
      </c>
      <c r="T6863" s="33">
        <f>IFERROR(__xludf.DUMMYFUNCTION("""COMPUTED_VALUE"""),1.0)</f>
        <v>1</v>
      </c>
      <c r="U6863" s="4" t="str">
        <f>IFERROR(__xludf.DUMMYFUNCTION("""COMPUTED_VALUE"""),"Menu Integrado")</f>
        <v>Menu Integrado</v>
      </c>
      <c r="V6863" s="33">
        <f>IFERROR(__xludf.DUMMYFUNCTION("""COMPUTED_VALUE"""),1.0)</f>
        <v>1</v>
      </c>
      <c r="W6863" s="4" t="str">
        <f>IFERROR(__xludf.DUMMYFUNCTION("""COMPUTED_VALUE"""),"Menu Integrado")</f>
        <v>Menu Integrado</v>
      </c>
      <c r="X6863" s="33">
        <f>IFERROR(__xludf.DUMMYFUNCTION("""COMPUTED_VALUE"""),1.0)</f>
        <v>1</v>
      </c>
    </row>
    <row r="6864">
      <c r="K6864" s="4" t="str">
        <f>IFERROR(__xludf.DUMMYFUNCTION("""COMPUTED_VALUE"""),"DECIMA PIZZAS - CONTA MARCA")</f>
        <v>DECIMA PIZZAS - CONTA MARCA</v>
      </c>
      <c r="L6864" s="32">
        <f>IFERROR(__xludf.DUMMYFUNCTION("""COMPUTED_VALUE"""),2.0)</f>
        <v>2</v>
      </c>
      <c r="M6864" s="4" t="str">
        <f>IFERROR(__xludf.DUMMYFUNCTION("""COMPUTED_VALUE"""),"Expresso Delivery")</f>
        <v>Expresso Delivery</v>
      </c>
      <c r="N6864" s="33">
        <f>IFERROR(__xludf.DUMMYFUNCTION("""COMPUTED_VALUE"""),1.0)</f>
        <v>1</v>
      </c>
      <c r="O6864" s="4" t="str">
        <f>IFERROR(__xludf.DUMMYFUNCTION("""COMPUTED_VALUE"""),"null")</f>
        <v>null</v>
      </c>
      <c r="P6864" s="33">
        <f>IFERROR(__xludf.DUMMYFUNCTION("""COMPUTED_VALUE"""),1.0)</f>
        <v>1</v>
      </c>
      <c r="Q6864" s="4" t="str">
        <f>IFERROR(__xludf.DUMMYFUNCTION("""COMPUTED_VALUE"""),"null")</f>
        <v>null</v>
      </c>
      <c r="R6864" s="33">
        <f>IFERROR(__xludf.DUMMYFUNCTION("""COMPUTED_VALUE"""),1.0)</f>
        <v>1</v>
      </c>
      <c r="S6864" s="4" t="str">
        <f>IFERROR(__xludf.DUMMYFUNCTION("""COMPUTED_VALUE"""),"Expresso Delivery")</f>
        <v>Expresso Delivery</v>
      </c>
      <c r="T6864" s="33">
        <f>IFERROR(__xludf.DUMMYFUNCTION("""COMPUTED_VALUE"""),1.0)</f>
        <v>1</v>
      </c>
      <c r="U6864" s="4" t="str">
        <f>IFERROR(__xludf.DUMMYFUNCTION("""COMPUTED_VALUE"""),"null")</f>
        <v>null</v>
      </c>
      <c r="V6864" s="33">
        <f>IFERROR(__xludf.DUMMYFUNCTION("""COMPUTED_VALUE"""),0.5)</f>
        <v>0.5</v>
      </c>
      <c r="W6864" s="4" t="str">
        <f>IFERROR(__xludf.DUMMYFUNCTION("""COMPUTED_VALUE"""),"Expresso Delivery")</f>
        <v>Expresso Delivery</v>
      </c>
      <c r="X6864" s="33">
        <f>IFERROR(__xludf.DUMMYFUNCTION("""COMPUTED_VALUE"""),1.0)</f>
        <v>1</v>
      </c>
    </row>
    <row r="6865">
      <c r="K6865" s="4" t="str">
        <f>IFERROR(__xludf.DUMMYFUNCTION("""COMPUTED_VALUE"""),"DECK AVENIDA")</f>
        <v>DECK AVENIDA</v>
      </c>
      <c r="L6865" s="32">
        <f>IFERROR(__xludf.DUMMYFUNCTION("""COMPUTED_VALUE"""),2.0)</f>
        <v>2</v>
      </c>
      <c r="M6865" s="4" t="str">
        <f>IFERROR(__xludf.DUMMYFUNCTION("""COMPUTED_VALUE"""),"Tacto Sistemas")</f>
        <v>Tacto Sistemas</v>
      </c>
      <c r="N6865" s="33">
        <f>IFERROR(__xludf.DUMMYFUNCTION("""COMPUTED_VALUE"""),0.5)</f>
        <v>0.5</v>
      </c>
      <c r="O6865" s="4" t="str">
        <f>IFERROR(__xludf.DUMMYFUNCTION("""COMPUTED_VALUE"""),"null")</f>
        <v>null</v>
      </c>
      <c r="P6865" s="33">
        <f>IFERROR(__xludf.DUMMYFUNCTION("""COMPUTED_VALUE"""),1.0)</f>
        <v>1</v>
      </c>
      <c r="Q6865" s="4" t="str">
        <f>IFERROR(__xludf.DUMMYFUNCTION("""COMPUTED_VALUE"""),"null")</f>
        <v>null</v>
      </c>
      <c r="R6865" s="33">
        <f>IFERROR(__xludf.DUMMYFUNCTION("""COMPUTED_VALUE"""),1.0)</f>
        <v>1</v>
      </c>
      <c r="S6865" s="4" t="str">
        <f>IFERROR(__xludf.DUMMYFUNCTION("""COMPUTED_VALUE"""),"Tacto Sistemas")</f>
        <v>Tacto Sistemas</v>
      </c>
      <c r="T6865" s="33">
        <f>IFERROR(__xludf.DUMMYFUNCTION("""COMPUTED_VALUE"""),0.5)</f>
        <v>0.5</v>
      </c>
      <c r="U6865" s="4" t="str">
        <f>IFERROR(__xludf.DUMMYFUNCTION("""COMPUTED_VALUE"""),"Tacto Sistemas")</f>
        <v>Tacto Sistemas</v>
      </c>
      <c r="V6865" s="33">
        <f>IFERROR(__xludf.DUMMYFUNCTION("""COMPUTED_VALUE"""),0.5)</f>
        <v>0.5</v>
      </c>
      <c r="W6865" s="4" t="str">
        <f>IFERROR(__xludf.DUMMYFUNCTION("""COMPUTED_VALUE"""),"Tacto Sistemas")</f>
        <v>Tacto Sistemas</v>
      </c>
      <c r="X6865" s="33">
        <f>IFERROR(__xludf.DUMMYFUNCTION("""COMPUTED_VALUE"""),1.0)</f>
        <v>1</v>
      </c>
    </row>
    <row r="6866">
      <c r="K6866" s="4" t="str">
        <f>IFERROR(__xludf.DUMMYFUNCTION("""COMPUTED_VALUE"""),"DECKS PARRILLA BAR")</f>
        <v>DECKS PARRILLA BAR</v>
      </c>
      <c r="L6866" s="32">
        <f>IFERROR(__xludf.DUMMYFUNCTION("""COMPUTED_VALUE"""),2.0)</f>
        <v>2</v>
      </c>
      <c r="M6866" s="4" t="str">
        <f>IFERROR(__xludf.DUMMYFUNCTION("""COMPUTED_VALUE"""),"null")</f>
        <v>null</v>
      </c>
      <c r="N6866" s="33">
        <f>IFERROR(__xludf.DUMMYFUNCTION("""COMPUTED_VALUE"""),0.5)</f>
        <v>0.5</v>
      </c>
      <c r="O6866" s="4" t="str">
        <f>IFERROR(__xludf.DUMMYFUNCTION("""COMPUTED_VALUE"""),"null")</f>
        <v>null</v>
      </c>
      <c r="P6866" s="33">
        <f>IFERROR(__xludf.DUMMYFUNCTION("""COMPUTED_VALUE"""),0.5)</f>
        <v>0.5</v>
      </c>
      <c r="Q6866" s="4" t="str">
        <f>IFERROR(__xludf.DUMMYFUNCTION("""COMPUTED_VALUE"""),"null")</f>
        <v>null</v>
      </c>
      <c r="R6866" s="33">
        <f>IFERROR(__xludf.DUMMYFUNCTION("""COMPUTED_VALUE"""),0.5)</f>
        <v>0.5</v>
      </c>
      <c r="S6866" s="4" t="str">
        <f>IFERROR(__xludf.DUMMYFUNCTION("""COMPUTED_VALUE"""),"null")</f>
        <v>null</v>
      </c>
      <c r="T6866" s="33">
        <f>IFERROR(__xludf.DUMMYFUNCTION("""COMPUTED_VALUE"""),0.5)</f>
        <v>0.5</v>
      </c>
      <c r="U6866" s="4" t="str">
        <f>IFERROR(__xludf.DUMMYFUNCTION("""COMPUTED_VALUE"""),"Saipos Serviços De Software")</f>
        <v>Saipos Serviços De Software</v>
      </c>
      <c r="V6866" s="33">
        <f>IFERROR(__xludf.DUMMYFUNCTION("""COMPUTED_VALUE"""),0.5)</f>
        <v>0.5</v>
      </c>
      <c r="W6866" s="4" t="str">
        <f>IFERROR(__xludf.DUMMYFUNCTION("""COMPUTED_VALUE"""),"Saipos Serviços De Software")</f>
        <v>Saipos Serviços De Software</v>
      </c>
      <c r="X6866" s="33">
        <f>IFERROR(__xludf.DUMMYFUNCTION("""COMPUTED_VALUE"""),0.5)</f>
        <v>0.5</v>
      </c>
    </row>
    <row r="6867">
      <c r="K6867" s="4" t="str">
        <f>IFERROR(__xludf.DUMMYFUNCTION("""COMPUTED_VALUE"""),"DELI BURGER - UBERLANDIA")</f>
        <v>DELI BURGER - UBERLANDIA</v>
      </c>
      <c r="L6867" s="32">
        <f>IFERROR(__xludf.DUMMYFUNCTION("""COMPUTED_VALUE"""),2.0)</f>
        <v>2</v>
      </c>
      <c r="M6867" s="4" t="str">
        <f>IFERROR(__xludf.DUMMYFUNCTION("""COMPUTED_VALUE"""),"Saipos Serviços De Software")</f>
        <v>Saipos Serviços De Software</v>
      </c>
      <c r="N6867" s="33">
        <f>IFERROR(__xludf.DUMMYFUNCTION("""COMPUTED_VALUE"""),1.0)</f>
        <v>1</v>
      </c>
      <c r="O6867" s="4" t="str">
        <f>IFERROR(__xludf.DUMMYFUNCTION("""COMPUTED_VALUE"""),"Saipos Serviços De Software")</f>
        <v>Saipos Serviços De Software</v>
      </c>
      <c r="P6867" s="33">
        <f>IFERROR(__xludf.DUMMYFUNCTION("""COMPUTED_VALUE"""),1.0)</f>
        <v>1</v>
      </c>
      <c r="Q6867" s="4" t="str">
        <f>IFERROR(__xludf.DUMMYFUNCTION("""COMPUTED_VALUE"""),"Saipos Serviços De Software")</f>
        <v>Saipos Serviços De Software</v>
      </c>
      <c r="R6867" s="33">
        <f>IFERROR(__xludf.DUMMYFUNCTION("""COMPUTED_VALUE"""),1.0)</f>
        <v>1</v>
      </c>
      <c r="S6867" s="4" t="str">
        <f>IFERROR(__xludf.DUMMYFUNCTION("""COMPUTED_VALUE"""),"Saipos Serviços De Software")</f>
        <v>Saipos Serviços De Software</v>
      </c>
      <c r="T6867" s="33">
        <f>IFERROR(__xludf.DUMMYFUNCTION("""COMPUTED_VALUE"""),1.0)</f>
        <v>1</v>
      </c>
      <c r="U6867" s="4" t="str">
        <f>IFERROR(__xludf.DUMMYFUNCTION("""COMPUTED_VALUE"""),"Saipos Serviços De Software")</f>
        <v>Saipos Serviços De Software</v>
      </c>
      <c r="V6867" s="33">
        <f>IFERROR(__xludf.DUMMYFUNCTION("""COMPUTED_VALUE"""),1.0)</f>
        <v>1</v>
      </c>
      <c r="W6867" s="4" t="str">
        <f>IFERROR(__xludf.DUMMYFUNCTION("""COMPUTED_VALUE"""),"Saipos Serviços De Software")</f>
        <v>Saipos Serviços De Software</v>
      </c>
      <c r="X6867" s="33">
        <f>IFERROR(__xludf.DUMMYFUNCTION("""COMPUTED_VALUE"""),1.0)</f>
        <v>1</v>
      </c>
    </row>
    <row r="6868">
      <c r="K6868" s="4" t="str">
        <f>IFERROR(__xludf.DUMMYFUNCTION("""COMPUTED_VALUE"""),"DELIBURGER -")</f>
        <v>DELIBURGER -</v>
      </c>
      <c r="L6868" s="32">
        <f>IFERROR(__xludf.DUMMYFUNCTION("""COMPUTED_VALUE"""),2.0)</f>
        <v>2</v>
      </c>
      <c r="M6868" s="4" t="str">
        <f>IFERROR(__xludf.DUMMYFUNCTION("""COMPUTED_VALUE"""),"Stone Co.")</f>
        <v>Stone Co.</v>
      </c>
      <c r="N6868" s="33">
        <f>IFERROR(__xludf.DUMMYFUNCTION("""COMPUTED_VALUE"""),0.5)</f>
        <v>0.5</v>
      </c>
      <c r="O6868" s="4" t="str">
        <f>IFERROR(__xludf.DUMMYFUNCTION("""COMPUTED_VALUE"""),"Stone Co.")</f>
        <v>Stone Co.</v>
      </c>
      <c r="P6868" s="33">
        <f>IFERROR(__xludf.DUMMYFUNCTION("""COMPUTED_VALUE"""),0.5)</f>
        <v>0.5</v>
      </c>
      <c r="Q6868" s="4" t="str">
        <f>IFERROR(__xludf.DUMMYFUNCTION("""COMPUTED_VALUE"""),"Stone Co.")</f>
        <v>Stone Co.</v>
      </c>
      <c r="R6868" s="33">
        <f>IFERROR(__xludf.DUMMYFUNCTION("""COMPUTED_VALUE"""),0.5)</f>
        <v>0.5</v>
      </c>
      <c r="S6868" s="4" t="str">
        <f>IFERROR(__xludf.DUMMYFUNCTION("""COMPUTED_VALUE"""),"Stone Co.")</f>
        <v>Stone Co.</v>
      </c>
      <c r="T6868" s="33">
        <f>IFERROR(__xludf.DUMMYFUNCTION("""COMPUTED_VALUE"""),0.5)</f>
        <v>0.5</v>
      </c>
      <c r="U6868" s="4" t="str">
        <f>IFERROR(__xludf.DUMMYFUNCTION("""COMPUTED_VALUE"""),"Stone Co.")</f>
        <v>Stone Co.</v>
      </c>
      <c r="V6868" s="33">
        <f>IFERROR(__xludf.DUMMYFUNCTION("""COMPUTED_VALUE"""),0.5)</f>
        <v>0.5</v>
      </c>
      <c r="W6868" s="4" t="str">
        <f>IFERROR(__xludf.DUMMYFUNCTION("""COMPUTED_VALUE"""),"Stone Co.")</f>
        <v>Stone Co.</v>
      </c>
      <c r="X6868" s="33">
        <f>IFERROR(__xludf.DUMMYFUNCTION("""COMPUTED_VALUE"""),0.5)</f>
        <v>0.5</v>
      </c>
    </row>
    <row r="6869">
      <c r="K6869" s="4" t="str">
        <f>IFERROR(__xludf.DUMMYFUNCTION("""COMPUTED_VALUE"""),"DELICIAS DA ANA - CONTA PAI")</f>
        <v>DELICIAS DA ANA - CONTA PAI</v>
      </c>
      <c r="L6869" s="32">
        <f>IFERROR(__xludf.DUMMYFUNCTION("""COMPUTED_VALUE"""),2.0)</f>
        <v>2</v>
      </c>
      <c r="M6869" s="4" t="str">
        <f>IFERROR(__xludf.DUMMYFUNCTION("""COMPUTED_VALUE"""),"Brendi")</f>
        <v>Brendi</v>
      </c>
      <c r="N6869" s="33">
        <f>IFERROR(__xludf.DUMMYFUNCTION("""COMPUTED_VALUE"""),1.0)</f>
        <v>1</v>
      </c>
      <c r="O6869" s="4" t="str">
        <f>IFERROR(__xludf.DUMMYFUNCTION("""COMPUTED_VALUE"""),"Brendi")</f>
        <v>Brendi</v>
      </c>
      <c r="P6869" s="33">
        <f>IFERROR(__xludf.DUMMYFUNCTION("""COMPUTED_VALUE"""),1.0)</f>
        <v>1</v>
      </c>
      <c r="Q6869" s="4" t="str">
        <f>IFERROR(__xludf.DUMMYFUNCTION("""COMPUTED_VALUE"""),"Brendi")</f>
        <v>Brendi</v>
      </c>
      <c r="R6869" s="33">
        <f>IFERROR(__xludf.DUMMYFUNCTION("""COMPUTED_VALUE"""),1.0)</f>
        <v>1</v>
      </c>
      <c r="S6869" s="4" t="str">
        <f>IFERROR(__xludf.DUMMYFUNCTION("""COMPUTED_VALUE"""),"Brendi")</f>
        <v>Brendi</v>
      </c>
      <c r="T6869" s="33">
        <f>IFERROR(__xludf.DUMMYFUNCTION("""COMPUTED_VALUE"""),1.0)</f>
        <v>1</v>
      </c>
      <c r="U6869" s="4" t="str">
        <f>IFERROR(__xludf.DUMMYFUNCTION("""COMPUTED_VALUE"""),"Brendi")</f>
        <v>Brendi</v>
      </c>
      <c r="V6869" s="33">
        <f>IFERROR(__xludf.DUMMYFUNCTION("""COMPUTED_VALUE"""),1.0)</f>
        <v>1</v>
      </c>
      <c r="W6869" s="4" t="str">
        <f>IFERROR(__xludf.DUMMYFUNCTION("""COMPUTED_VALUE"""),"Brendi")</f>
        <v>Brendi</v>
      </c>
      <c r="X6869" s="33">
        <f>IFERROR(__xludf.DUMMYFUNCTION("""COMPUTED_VALUE"""),1.0)</f>
        <v>1</v>
      </c>
    </row>
    <row r="6870">
      <c r="K6870" s="4" t="str">
        <f>IFERROR(__xludf.DUMMYFUNCTION("""COMPUTED_VALUE"""),"DELIRIO DA ESFIHA - CONTA PAI")</f>
        <v>DELIRIO DA ESFIHA - CONTA PAI</v>
      </c>
      <c r="L6870" s="32">
        <f>IFERROR(__xludf.DUMMYFUNCTION("""COMPUTED_VALUE"""),2.0)</f>
        <v>2</v>
      </c>
      <c r="M6870" s="4" t="str">
        <f>IFERROR(__xludf.DUMMYFUNCTION("""COMPUTED_VALUE"""),"Alpha Logo")</f>
        <v>Alpha Logo</v>
      </c>
      <c r="N6870" s="33">
        <f>IFERROR(__xludf.DUMMYFUNCTION("""COMPUTED_VALUE"""),1.0)</f>
        <v>1</v>
      </c>
      <c r="O6870" s="4" t="str">
        <f>IFERROR(__xludf.DUMMYFUNCTION("""COMPUTED_VALUE"""),"Alpha Logo")</f>
        <v>Alpha Logo</v>
      </c>
      <c r="P6870" s="33">
        <f>IFERROR(__xludf.DUMMYFUNCTION("""COMPUTED_VALUE"""),1.0)</f>
        <v>1</v>
      </c>
      <c r="Q6870" s="4" t="str">
        <f>IFERROR(__xludf.DUMMYFUNCTION("""COMPUTED_VALUE"""),"null")</f>
        <v>null</v>
      </c>
      <c r="R6870" s="33">
        <f>IFERROR(__xludf.DUMMYFUNCTION("""COMPUTED_VALUE"""),0.5)</f>
        <v>0.5</v>
      </c>
      <c r="S6870" s="4" t="str">
        <f>IFERROR(__xludf.DUMMYFUNCTION("""COMPUTED_VALUE"""),"null")</f>
        <v>null</v>
      </c>
      <c r="T6870" s="33">
        <f>IFERROR(__xludf.DUMMYFUNCTION("""COMPUTED_VALUE"""),0.5)</f>
        <v>0.5</v>
      </c>
      <c r="U6870" s="4" t="str">
        <f>IFERROR(__xludf.DUMMYFUNCTION("""COMPUTED_VALUE"""),"Alpha Logo")</f>
        <v>Alpha Logo</v>
      </c>
      <c r="V6870" s="33">
        <f>IFERROR(__xludf.DUMMYFUNCTION("""COMPUTED_VALUE"""),1.0)</f>
        <v>1</v>
      </c>
      <c r="W6870" s="4" t="str">
        <f>IFERROR(__xludf.DUMMYFUNCTION("""COMPUTED_VALUE"""),"Alpha Logo")</f>
        <v>Alpha Logo</v>
      </c>
      <c r="X6870" s="33">
        <f>IFERROR(__xludf.DUMMYFUNCTION("""COMPUTED_VALUE"""),1.0)</f>
        <v>1</v>
      </c>
    </row>
    <row r="6871">
      <c r="K6871" s="4" t="str">
        <f>IFERROR(__xludf.DUMMYFUNCTION("""COMPUTED_VALUE"""),"DETROIT PIZZARIA CP")</f>
        <v>DETROIT PIZZARIA CP</v>
      </c>
      <c r="L6871" s="32">
        <f>IFERROR(__xludf.DUMMYFUNCTION("""COMPUTED_VALUE"""),2.0)</f>
        <v>2</v>
      </c>
      <c r="M6871" s="4" t="str">
        <f>IFERROR(__xludf.DUMMYFUNCTION("""COMPUTED_VALUE"""),"Expresso Delivery")</f>
        <v>Expresso Delivery</v>
      </c>
      <c r="N6871" s="33">
        <f>IFERROR(__xludf.DUMMYFUNCTION("""COMPUTED_VALUE"""),1.0)</f>
        <v>1</v>
      </c>
      <c r="O6871" s="4" t="str">
        <f>IFERROR(__xludf.DUMMYFUNCTION("""COMPUTED_VALUE"""),"Expresso Delivery")</f>
        <v>Expresso Delivery</v>
      </c>
      <c r="P6871" s="33">
        <f>IFERROR(__xludf.DUMMYFUNCTION("""COMPUTED_VALUE"""),1.0)</f>
        <v>1</v>
      </c>
      <c r="Q6871" s="4" t="str">
        <f>IFERROR(__xludf.DUMMYFUNCTION("""COMPUTED_VALUE"""),"Expresso Delivery")</f>
        <v>Expresso Delivery</v>
      </c>
      <c r="R6871" s="33">
        <f>IFERROR(__xludf.DUMMYFUNCTION("""COMPUTED_VALUE"""),1.0)</f>
        <v>1</v>
      </c>
      <c r="S6871" s="4" t="str">
        <f>IFERROR(__xludf.DUMMYFUNCTION("""COMPUTED_VALUE"""),"Expresso Delivery")</f>
        <v>Expresso Delivery</v>
      </c>
      <c r="T6871" s="33">
        <f>IFERROR(__xludf.DUMMYFUNCTION("""COMPUTED_VALUE"""),1.0)</f>
        <v>1</v>
      </c>
      <c r="U6871" s="4" t="str">
        <f>IFERROR(__xludf.DUMMYFUNCTION("""COMPUTED_VALUE"""),"Expresso Delivery")</f>
        <v>Expresso Delivery</v>
      </c>
      <c r="V6871" s="33">
        <f>IFERROR(__xludf.DUMMYFUNCTION("""COMPUTED_VALUE"""),1.0)</f>
        <v>1</v>
      </c>
      <c r="W6871" s="4" t="str">
        <f>IFERROR(__xludf.DUMMYFUNCTION("""COMPUTED_VALUE"""),"Expresso Delivery")</f>
        <v>Expresso Delivery</v>
      </c>
      <c r="X6871" s="33">
        <f>IFERROR(__xludf.DUMMYFUNCTION("""COMPUTED_VALUE"""),1.0)</f>
        <v>1</v>
      </c>
    </row>
    <row r="6872">
      <c r="K6872" s="4" t="str">
        <f>IFERROR(__xludf.DUMMYFUNCTION("""COMPUTED_VALUE"""),"DEU MATCH HAMBURGUERIA ARTESANAL")</f>
        <v>DEU MATCH HAMBURGUERIA ARTESANAL</v>
      </c>
      <c r="L6872" s="32">
        <f>IFERROR(__xludf.DUMMYFUNCTION("""COMPUTED_VALUE"""),2.0)</f>
        <v>2</v>
      </c>
      <c r="M6872" s="4" t="str">
        <f>IFERROR(__xludf.DUMMYFUNCTION("""COMPUTED_VALUE"""),"Saipos Serviços De Software")</f>
        <v>Saipos Serviços De Software</v>
      </c>
      <c r="N6872" s="33">
        <f>IFERROR(__xludf.DUMMYFUNCTION("""COMPUTED_VALUE"""),1.0)</f>
        <v>1</v>
      </c>
      <c r="O6872" s="4" t="str">
        <f>IFERROR(__xludf.DUMMYFUNCTION("""COMPUTED_VALUE"""),"Saipos Serviços De Software")</f>
        <v>Saipos Serviços De Software</v>
      </c>
      <c r="P6872" s="33">
        <f>IFERROR(__xludf.DUMMYFUNCTION("""COMPUTED_VALUE"""),1.0)</f>
        <v>1</v>
      </c>
      <c r="Q6872" s="4" t="str">
        <f>IFERROR(__xludf.DUMMYFUNCTION("""COMPUTED_VALUE"""),"Saipos Serviços De Software")</f>
        <v>Saipos Serviços De Software</v>
      </c>
      <c r="R6872" s="33">
        <f>IFERROR(__xludf.DUMMYFUNCTION("""COMPUTED_VALUE"""),1.0)</f>
        <v>1</v>
      </c>
      <c r="S6872" s="4" t="str">
        <f>IFERROR(__xludf.DUMMYFUNCTION("""COMPUTED_VALUE"""),"Saipos Serviços De Software")</f>
        <v>Saipos Serviços De Software</v>
      </c>
      <c r="T6872" s="33">
        <f>IFERROR(__xludf.DUMMYFUNCTION("""COMPUTED_VALUE"""),1.0)</f>
        <v>1</v>
      </c>
      <c r="U6872" s="4" t="str">
        <f>IFERROR(__xludf.DUMMYFUNCTION("""COMPUTED_VALUE"""),"Saipos Serviços De Software")</f>
        <v>Saipos Serviços De Software</v>
      </c>
      <c r="V6872" s="33">
        <f>IFERROR(__xludf.DUMMYFUNCTION("""COMPUTED_VALUE"""),1.0)</f>
        <v>1</v>
      </c>
      <c r="W6872" s="4" t="str">
        <f>IFERROR(__xludf.DUMMYFUNCTION("""COMPUTED_VALUE"""),"Saipos Serviços De Software")</f>
        <v>Saipos Serviços De Software</v>
      </c>
      <c r="X6872" s="33">
        <f>IFERROR(__xludf.DUMMYFUNCTION("""COMPUTED_VALUE"""),1.0)</f>
        <v>1</v>
      </c>
    </row>
    <row r="6873">
      <c r="K6873" s="4" t="str">
        <f>IFERROR(__xludf.DUMMYFUNCTION("""COMPUTED_VALUE"""),"DI BARI I")</f>
        <v>DI BARI I</v>
      </c>
      <c r="L6873" s="32">
        <f>IFERROR(__xludf.DUMMYFUNCTION("""COMPUTED_VALUE"""),2.0)</f>
        <v>2</v>
      </c>
      <c r="M6873" s="4" t="str">
        <f>IFERROR(__xludf.DUMMYFUNCTION("""COMPUTED_VALUE"""),"Pdvseven Solucoes Em Ti Ltda")</f>
        <v>Pdvseven Solucoes Em Ti Ltda</v>
      </c>
      <c r="N6873" s="33">
        <f>IFERROR(__xludf.DUMMYFUNCTION("""COMPUTED_VALUE"""),1.0)</f>
        <v>1</v>
      </c>
      <c r="O6873" s="4" t="str">
        <f>IFERROR(__xludf.DUMMYFUNCTION("""COMPUTED_VALUE"""),"Pdvseven Solucoes Em Ti Ltda")</f>
        <v>Pdvseven Solucoes Em Ti Ltda</v>
      </c>
      <c r="P6873" s="33">
        <f>IFERROR(__xludf.DUMMYFUNCTION("""COMPUTED_VALUE"""),0.5)</f>
        <v>0.5</v>
      </c>
      <c r="Q6873" s="4" t="str">
        <f>IFERROR(__xludf.DUMMYFUNCTION("""COMPUTED_VALUE"""),"Pdvseven Solucoes Em Ti Ltda")</f>
        <v>Pdvseven Solucoes Em Ti Ltda</v>
      </c>
      <c r="R6873" s="33">
        <f>IFERROR(__xludf.DUMMYFUNCTION("""COMPUTED_VALUE"""),0.5)</f>
        <v>0.5</v>
      </c>
      <c r="S6873" s="4" t="str">
        <f>IFERROR(__xludf.DUMMYFUNCTION("""COMPUTED_VALUE"""),"Pdvseven Solucoes Em Ti Ltda")</f>
        <v>Pdvseven Solucoes Em Ti Ltda</v>
      </c>
      <c r="T6873" s="33">
        <f>IFERROR(__xludf.DUMMYFUNCTION("""COMPUTED_VALUE"""),0.5)</f>
        <v>0.5</v>
      </c>
      <c r="U6873" s="4" t="str">
        <f>IFERROR(__xludf.DUMMYFUNCTION("""COMPUTED_VALUE"""),"null")</f>
        <v>null</v>
      </c>
      <c r="V6873" s="33">
        <f>IFERROR(__xludf.DUMMYFUNCTION("""COMPUTED_VALUE"""),1.0)</f>
        <v>1</v>
      </c>
      <c r="W6873" s="4" t="str">
        <f>IFERROR(__xludf.DUMMYFUNCTION("""COMPUTED_VALUE"""),"Pdvseven Solucoes Em Ti Ltda")</f>
        <v>Pdvseven Solucoes Em Ti Ltda</v>
      </c>
      <c r="X6873" s="33">
        <f>IFERROR(__xludf.DUMMYFUNCTION("""COMPUTED_VALUE"""),0.5)</f>
        <v>0.5</v>
      </c>
    </row>
    <row r="6874">
      <c r="K6874" s="4" t="str">
        <f>IFERROR(__xludf.DUMMYFUNCTION("""COMPUTED_VALUE"""),"DI LIDIA")</f>
        <v>DI LIDIA</v>
      </c>
      <c r="L6874" s="32">
        <f>IFERROR(__xludf.DUMMYFUNCTION("""COMPUTED_VALUE"""),2.0)</f>
        <v>2</v>
      </c>
      <c r="M6874" s="4" t="str">
        <f>IFERROR(__xludf.DUMMYFUNCTION("""COMPUTED_VALUE"""),"Ncr")</f>
        <v>Ncr</v>
      </c>
      <c r="N6874" s="33">
        <f>IFERROR(__xludf.DUMMYFUNCTION("""COMPUTED_VALUE"""),1.0)</f>
        <v>1</v>
      </c>
      <c r="O6874" s="4" t="str">
        <f>IFERROR(__xludf.DUMMYFUNCTION("""COMPUTED_VALUE"""),"Ncr")</f>
        <v>Ncr</v>
      </c>
      <c r="P6874" s="33">
        <f>IFERROR(__xludf.DUMMYFUNCTION("""COMPUTED_VALUE"""),1.0)</f>
        <v>1</v>
      </c>
      <c r="Q6874" s="4" t="str">
        <f>IFERROR(__xludf.DUMMYFUNCTION("""COMPUTED_VALUE"""),"Ncr")</f>
        <v>Ncr</v>
      </c>
      <c r="R6874" s="33">
        <f>IFERROR(__xludf.DUMMYFUNCTION("""COMPUTED_VALUE"""),1.0)</f>
        <v>1</v>
      </c>
      <c r="S6874" s="4" t="str">
        <f>IFERROR(__xludf.DUMMYFUNCTION("""COMPUTED_VALUE"""),"Ncr")</f>
        <v>Ncr</v>
      </c>
      <c r="T6874" s="33">
        <f>IFERROR(__xludf.DUMMYFUNCTION("""COMPUTED_VALUE"""),1.0)</f>
        <v>1</v>
      </c>
      <c r="U6874" s="4" t="str">
        <f>IFERROR(__xludf.DUMMYFUNCTION("""COMPUTED_VALUE"""),"Ncr")</f>
        <v>Ncr</v>
      </c>
      <c r="V6874" s="33">
        <f>IFERROR(__xludf.DUMMYFUNCTION("""COMPUTED_VALUE"""),1.0)</f>
        <v>1</v>
      </c>
      <c r="W6874" s="4" t="str">
        <f>IFERROR(__xludf.DUMMYFUNCTION("""COMPUTED_VALUE"""),"Ncr")</f>
        <v>Ncr</v>
      </c>
      <c r="X6874" s="33">
        <f>IFERROR(__xludf.DUMMYFUNCTION("""COMPUTED_VALUE"""),1.0)</f>
        <v>1</v>
      </c>
    </row>
    <row r="6875">
      <c r="K6875" s="4" t="str">
        <f>IFERROR(__xludf.DUMMYFUNCTION("""COMPUTED_VALUE"""),"DI PARMA PIZZARIA - UBERLANDIA")</f>
        <v>DI PARMA PIZZARIA - UBERLANDIA</v>
      </c>
      <c r="L6875" s="32">
        <f>IFERROR(__xludf.DUMMYFUNCTION("""COMPUTED_VALUE"""),2.0)</f>
        <v>2</v>
      </c>
      <c r="M6875" s="4" t="str">
        <f>IFERROR(__xludf.DUMMYFUNCTION("""COMPUTED_VALUE"""),"Cardápio Web")</f>
        <v>Cardápio Web</v>
      </c>
      <c r="N6875" s="33">
        <f>IFERROR(__xludf.DUMMYFUNCTION("""COMPUTED_VALUE"""),1.0)</f>
        <v>1</v>
      </c>
      <c r="O6875" s="4" t="str">
        <f>IFERROR(__xludf.DUMMYFUNCTION("""COMPUTED_VALUE"""),"Cardápio Web")</f>
        <v>Cardápio Web</v>
      </c>
      <c r="P6875" s="33">
        <f>IFERROR(__xludf.DUMMYFUNCTION("""COMPUTED_VALUE"""),1.0)</f>
        <v>1</v>
      </c>
      <c r="Q6875" s="4" t="str">
        <f>IFERROR(__xludf.DUMMYFUNCTION("""COMPUTED_VALUE"""),"Cardápio Web")</f>
        <v>Cardápio Web</v>
      </c>
      <c r="R6875" s="33">
        <f>IFERROR(__xludf.DUMMYFUNCTION("""COMPUTED_VALUE"""),1.0)</f>
        <v>1</v>
      </c>
      <c r="S6875" s="4" t="str">
        <f>IFERROR(__xludf.DUMMYFUNCTION("""COMPUTED_VALUE"""),"Cardápio Web")</f>
        <v>Cardápio Web</v>
      </c>
      <c r="T6875" s="33">
        <f>IFERROR(__xludf.DUMMYFUNCTION("""COMPUTED_VALUE"""),1.0)</f>
        <v>1</v>
      </c>
      <c r="U6875" s="4" t="str">
        <f>IFERROR(__xludf.DUMMYFUNCTION("""COMPUTED_VALUE"""),"Cardápio Web")</f>
        <v>Cardápio Web</v>
      </c>
      <c r="V6875" s="33">
        <f>IFERROR(__xludf.DUMMYFUNCTION("""COMPUTED_VALUE"""),1.0)</f>
        <v>1</v>
      </c>
      <c r="W6875" s="4" t="str">
        <f>IFERROR(__xludf.DUMMYFUNCTION("""COMPUTED_VALUE"""),"Cardápio Web")</f>
        <v>Cardápio Web</v>
      </c>
      <c r="X6875" s="33">
        <f>IFERROR(__xludf.DUMMYFUNCTION("""COMPUTED_VALUE"""),1.0)</f>
        <v>1</v>
      </c>
    </row>
    <row r="6876">
      <c r="K6876" s="4" t="str">
        <f>IFERROR(__xludf.DUMMYFUNCTION("""COMPUTED_VALUE"""),"DI PIETRE PIZZA - CONTA MARCA")</f>
        <v>DI PIETRE PIZZA - CONTA MARCA</v>
      </c>
      <c r="L6876" s="32">
        <f>IFERROR(__xludf.DUMMYFUNCTION("""COMPUTED_VALUE"""),2.0)</f>
        <v>2</v>
      </c>
      <c r="M6876" s="4" t="str">
        <f>IFERROR(__xludf.DUMMYFUNCTION("""COMPUTED_VALUE"""),"Saipos Serviços De Software")</f>
        <v>Saipos Serviços De Software</v>
      </c>
      <c r="N6876" s="33">
        <f>IFERROR(__xludf.DUMMYFUNCTION("""COMPUTED_VALUE"""),0.5)</f>
        <v>0.5</v>
      </c>
      <c r="O6876" s="4" t="str">
        <f>IFERROR(__xludf.DUMMYFUNCTION("""COMPUTED_VALUE"""),"Saipos Serviços De Software")</f>
        <v>Saipos Serviços De Software</v>
      </c>
      <c r="P6876" s="33">
        <f>IFERROR(__xludf.DUMMYFUNCTION("""COMPUTED_VALUE"""),0.5)</f>
        <v>0.5</v>
      </c>
      <c r="Q6876" s="4" t="str">
        <f>IFERROR(__xludf.DUMMYFUNCTION("""COMPUTED_VALUE"""),"Saipos Serviços De Software")</f>
        <v>Saipos Serviços De Software</v>
      </c>
      <c r="R6876" s="33">
        <f>IFERROR(__xludf.DUMMYFUNCTION("""COMPUTED_VALUE"""),0.5)</f>
        <v>0.5</v>
      </c>
      <c r="S6876" s="4" t="str">
        <f>IFERROR(__xludf.DUMMYFUNCTION("""COMPUTED_VALUE"""),"Saipos Serviços De Software")</f>
        <v>Saipos Serviços De Software</v>
      </c>
      <c r="T6876" s="33">
        <f>IFERROR(__xludf.DUMMYFUNCTION("""COMPUTED_VALUE"""),0.5)</f>
        <v>0.5</v>
      </c>
      <c r="U6876" s="4" t="str">
        <f>IFERROR(__xludf.DUMMYFUNCTION("""COMPUTED_VALUE"""),"Saipos Serviços De Software")</f>
        <v>Saipos Serviços De Software</v>
      </c>
      <c r="V6876" s="33">
        <f>IFERROR(__xludf.DUMMYFUNCTION("""COMPUTED_VALUE"""),0.5)</f>
        <v>0.5</v>
      </c>
      <c r="W6876" s="4" t="str">
        <f>IFERROR(__xludf.DUMMYFUNCTION("""COMPUTED_VALUE"""),"Saipos Serviços De Software")</f>
        <v>Saipos Serviços De Software</v>
      </c>
      <c r="X6876" s="33">
        <f>IFERROR(__xludf.DUMMYFUNCTION("""COMPUTED_VALUE"""),0.5)</f>
        <v>0.5</v>
      </c>
    </row>
    <row r="6877">
      <c r="K6877" s="4" t="str">
        <f>IFERROR(__xludf.DUMMYFUNCTION("""COMPUTED_VALUE"""),"DIAVOLA")</f>
        <v>DIAVOLA</v>
      </c>
      <c r="L6877" s="32">
        <f>IFERROR(__xludf.DUMMYFUNCTION("""COMPUTED_VALUE"""),2.0)</f>
        <v>2</v>
      </c>
      <c r="M6877" s="4" t="str">
        <f>IFERROR(__xludf.DUMMYFUNCTION("""COMPUTED_VALUE"""),"Ncr")</f>
        <v>Ncr</v>
      </c>
      <c r="N6877" s="33">
        <f>IFERROR(__xludf.DUMMYFUNCTION("""COMPUTED_VALUE"""),1.0)</f>
        <v>1</v>
      </c>
      <c r="O6877" s="4" t="str">
        <f>IFERROR(__xludf.DUMMYFUNCTION("""COMPUTED_VALUE"""),"Ncr")</f>
        <v>Ncr</v>
      </c>
      <c r="P6877" s="33">
        <f>IFERROR(__xludf.DUMMYFUNCTION("""COMPUTED_VALUE"""),1.0)</f>
        <v>1</v>
      </c>
      <c r="Q6877" s="4" t="str">
        <f>IFERROR(__xludf.DUMMYFUNCTION("""COMPUTED_VALUE"""),"Ncr")</f>
        <v>Ncr</v>
      </c>
      <c r="R6877" s="33">
        <f>IFERROR(__xludf.DUMMYFUNCTION("""COMPUTED_VALUE"""),1.0)</f>
        <v>1</v>
      </c>
      <c r="S6877" s="4" t="str">
        <f>IFERROR(__xludf.DUMMYFUNCTION("""COMPUTED_VALUE"""),"Ncr")</f>
        <v>Ncr</v>
      </c>
      <c r="T6877" s="33">
        <f>IFERROR(__xludf.DUMMYFUNCTION("""COMPUTED_VALUE"""),1.0)</f>
        <v>1</v>
      </c>
      <c r="U6877" s="4" t="str">
        <f>IFERROR(__xludf.DUMMYFUNCTION("""COMPUTED_VALUE"""),"Ncr")</f>
        <v>Ncr</v>
      </c>
      <c r="V6877" s="33">
        <f>IFERROR(__xludf.DUMMYFUNCTION("""COMPUTED_VALUE"""),1.0)</f>
        <v>1</v>
      </c>
      <c r="W6877" s="4" t="str">
        <f>IFERROR(__xludf.DUMMYFUNCTION("""COMPUTED_VALUE"""),"Ncr")</f>
        <v>Ncr</v>
      </c>
      <c r="X6877" s="33">
        <f>IFERROR(__xludf.DUMMYFUNCTION("""COMPUTED_VALUE"""),1.0)</f>
        <v>1</v>
      </c>
    </row>
    <row r="6878">
      <c r="K6878" s="4" t="str">
        <f>IFERROR(__xludf.DUMMYFUNCTION("""COMPUTED_VALUE"""),"DIGITAL BURGER -")</f>
        <v>DIGITAL BURGER -</v>
      </c>
      <c r="L6878" s="32">
        <f>IFERROR(__xludf.DUMMYFUNCTION("""COMPUTED_VALUE"""),2.0)</f>
        <v>2</v>
      </c>
      <c r="M6878" s="4" t="str">
        <f>IFERROR(__xludf.DUMMYFUNCTION("""COMPUTED_VALUE"""),"Saipos Serviços De Software")</f>
        <v>Saipos Serviços De Software</v>
      </c>
      <c r="N6878" s="33">
        <f>IFERROR(__xludf.DUMMYFUNCTION("""COMPUTED_VALUE"""),1.0)</f>
        <v>1</v>
      </c>
      <c r="O6878" s="4" t="str">
        <f>IFERROR(__xludf.DUMMYFUNCTION("""COMPUTED_VALUE"""),"Saipos Serviços De Software")</f>
        <v>Saipos Serviços De Software</v>
      </c>
      <c r="P6878" s="33">
        <f>IFERROR(__xludf.DUMMYFUNCTION("""COMPUTED_VALUE"""),1.0)</f>
        <v>1</v>
      </c>
      <c r="Q6878" s="4" t="str">
        <f>IFERROR(__xludf.DUMMYFUNCTION("""COMPUTED_VALUE"""),"Saipos Serviços De Software")</f>
        <v>Saipos Serviços De Software</v>
      </c>
      <c r="R6878" s="33">
        <f>IFERROR(__xludf.DUMMYFUNCTION("""COMPUTED_VALUE"""),1.0)</f>
        <v>1</v>
      </c>
      <c r="S6878" s="4" t="str">
        <f>IFERROR(__xludf.DUMMYFUNCTION("""COMPUTED_VALUE"""),"Saipos Serviços De Software")</f>
        <v>Saipos Serviços De Software</v>
      </c>
      <c r="T6878" s="33">
        <f>IFERROR(__xludf.DUMMYFUNCTION("""COMPUTED_VALUE"""),1.0)</f>
        <v>1</v>
      </c>
      <c r="U6878" s="4" t="str">
        <f>IFERROR(__xludf.DUMMYFUNCTION("""COMPUTED_VALUE"""),"Saipos Serviços De Software")</f>
        <v>Saipos Serviços De Software</v>
      </c>
      <c r="V6878" s="33">
        <f>IFERROR(__xludf.DUMMYFUNCTION("""COMPUTED_VALUE"""),1.0)</f>
        <v>1</v>
      </c>
      <c r="W6878" s="4" t="str">
        <f>IFERROR(__xludf.DUMMYFUNCTION("""COMPUTED_VALUE"""),"Saipos Serviços De Software")</f>
        <v>Saipos Serviços De Software</v>
      </c>
      <c r="X6878" s="33">
        <f>IFERROR(__xludf.DUMMYFUNCTION("""COMPUTED_VALUE"""),1.0)</f>
        <v>1</v>
      </c>
    </row>
    <row r="6879">
      <c r="K6879" s="4" t="str">
        <f>IFERROR(__xludf.DUMMYFUNCTION("""COMPUTED_VALUE"""),"DIRETO DO CAMPO TB CONTA PAI-")</f>
        <v>DIRETO DO CAMPO TB CONTA PAI-</v>
      </c>
      <c r="L6879" s="32">
        <f>IFERROR(__xludf.DUMMYFUNCTION("""COMPUTED_VALUE"""),2.0)</f>
        <v>2</v>
      </c>
      <c r="M6879" s="4" t="str">
        <f>IFERROR(__xludf.DUMMYFUNCTION("""COMPUTED_VALUE"""),"N/A (Not found)")</f>
        <v>N/A (Not found)</v>
      </c>
      <c r="N6879" s="33">
        <f>IFERROR(__xludf.DUMMYFUNCTION("""COMPUTED_VALUE"""),1.0)</f>
        <v>1</v>
      </c>
      <c r="O6879" s="4" t="str">
        <f>IFERROR(__xludf.DUMMYFUNCTION("""COMPUTED_VALUE"""),"N/A (Not found)")</f>
        <v>N/A (Not found)</v>
      </c>
      <c r="P6879" s="33">
        <f>IFERROR(__xludf.DUMMYFUNCTION("""COMPUTED_VALUE"""),1.0)</f>
        <v>1</v>
      </c>
      <c r="Q6879" s="4" t="str">
        <f>IFERROR(__xludf.DUMMYFUNCTION("""COMPUTED_VALUE"""),"null")</f>
        <v>null</v>
      </c>
      <c r="R6879" s="33">
        <f>IFERROR(__xludf.DUMMYFUNCTION("""COMPUTED_VALUE"""),1.0)</f>
        <v>1</v>
      </c>
      <c r="S6879" s="4" t="str">
        <f>IFERROR(__xludf.DUMMYFUNCTION("""COMPUTED_VALUE"""),"null")</f>
        <v>null</v>
      </c>
      <c r="T6879" s="33">
        <f>IFERROR(__xludf.DUMMYFUNCTION("""COMPUTED_VALUE"""),1.0)</f>
        <v>1</v>
      </c>
      <c r="U6879" s="4" t="str">
        <f>IFERROR(__xludf.DUMMYFUNCTION("""COMPUTED_VALUE"""),"null")</f>
        <v>null</v>
      </c>
      <c r="V6879" s="33">
        <f>IFERROR(__xludf.DUMMYFUNCTION("""COMPUTED_VALUE"""),1.0)</f>
        <v>1</v>
      </c>
      <c r="W6879" s="4" t="str">
        <f>IFERROR(__xludf.DUMMYFUNCTION("""COMPUTED_VALUE"""),"null")</f>
        <v>null</v>
      </c>
      <c r="X6879" s="33">
        <f>IFERROR(__xludf.DUMMYFUNCTION("""COMPUTED_VALUE"""),1.0)</f>
        <v>1</v>
      </c>
    </row>
    <row r="6880">
      <c r="K6880" s="4" t="str">
        <f>IFERROR(__xludf.DUMMYFUNCTION("""COMPUTED_VALUE"""),"DIVINAS GULOSEIMAS")</f>
        <v>DIVINAS GULOSEIMAS</v>
      </c>
      <c r="L6880" s="32">
        <f>IFERROR(__xludf.DUMMYFUNCTION("""COMPUTED_VALUE"""),2.0)</f>
        <v>2</v>
      </c>
      <c r="M6880" s="4" t="str">
        <f>IFERROR(__xludf.DUMMYFUNCTION("""COMPUTED_VALUE"""),"Saipos Serviços De Software")</f>
        <v>Saipos Serviços De Software</v>
      </c>
      <c r="N6880" s="33">
        <f>IFERROR(__xludf.DUMMYFUNCTION("""COMPUTED_VALUE"""),0.5)</f>
        <v>0.5</v>
      </c>
      <c r="O6880" s="4" t="str">
        <f>IFERROR(__xludf.DUMMYFUNCTION("""COMPUTED_VALUE"""),"Saipos Serviços De Software")</f>
        <v>Saipos Serviços De Software</v>
      </c>
      <c r="P6880" s="33">
        <f>IFERROR(__xludf.DUMMYFUNCTION("""COMPUTED_VALUE"""),0.5)</f>
        <v>0.5</v>
      </c>
      <c r="Q6880" s="4" t="str">
        <f>IFERROR(__xludf.DUMMYFUNCTION("""COMPUTED_VALUE"""),"Saipos Serviços De Software")</f>
        <v>Saipos Serviços De Software</v>
      </c>
      <c r="R6880" s="33">
        <f>IFERROR(__xludf.DUMMYFUNCTION("""COMPUTED_VALUE"""),0.5)</f>
        <v>0.5</v>
      </c>
      <c r="S6880" s="4" t="str">
        <f>IFERROR(__xludf.DUMMYFUNCTION("""COMPUTED_VALUE"""),"Saipos Serviços De Software")</f>
        <v>Saipos Serviços De Software</v>
      </c>
      <c r="T6880" s="33">
        <f>IFERROR(__xludf.DUMMYFUNCTION("""COMPUTED_VALUE"""),0.5)</f>
        <v>0.5</v>
      </c>
      <c r="U6880" s="4" t="str">
        <f>IFERROR(__xludf.DUMMYFUNCTION("""COMPUTED_VALUE"""),"Saipos Serviços De Software")</f>
        <v>Saipos Serviços De Software</v>
      </c>
      <c r="V6880" s="33">
        <f>IFERROR(__xludf.DUMMYFUNCTION("""COMPUTED_VALUE"""),0.5)</f>
        <v>0.5</v>
      </c>
      <c r="W6880" s="4" t="str">
        <f>IFERROR(__xludf.DUMMYFUNCTION("""COMPUTED_VALUE"""),"Saipos Serviços De Software")</f>
        <v>Saipos Serviços De Software</v>
      </c>
      <c r="X6880" s="33">
        <f>IFERROR(__xludf.DUMMYFUNCTION("""COMPUTED_VALUE"""),1.0)</f>
        <v>1</v>
      </c>
    </row>
    <row r="6881">
      <c r="K6881" s="4" t="str">
        <f>IFERROR(__xludf.DUMMYFUNCTION("""COMPUTED_VALUE"""),"DIVINO BOTEQUIM - MARCA")</f>
        <v>DIVINO BOTEQUIM - MARCA</v>
      </c>
      <c r="L6881" s="32">
        <f>IFERROR(__xludf.DUMMYFUNCTION("""COMPUTED_VALUE"""),2.0)</f>
        <v>2</v>
      </c>
      <c r="M6881" s="4" t="str">
        <f>IFERROR(__xludf.DUMMYFUNCTION("""COMPUTED_VALUE"""),"Yooga")</f>
        <v>Yooga</v>
      </c>
      <c r="N6881" s="33">
        <f>IFERROR(__xludf.DUMMYFUNCTION("""COMPUTED_VALUE"""),0.5)</f>
        <v>0.5</v>
      </c>
      <c r="O6881" s="4" t="str">
        <f>IFERROR(__xludf.DUMMYFUNCTION("""COMPUTED_VALUE"""),"Yooga")</f>
        <v>Yooga</v>
      </c>
      <c r="P6881" s="33">
        <f>IFERROR(__xludf.DUMMYFUNCTION("""COMPUTED_VALUE"""),0.5)</f>
        <v>0.5</v>
      </c>
      <c r="Q6881" s="4" t="str">
        <f>IFERROR(__xludf.DUMMYFUNCTION("""COMPUTED_VALUE"""),"Yooga")</f>
        <v>Yooga</v>
      </c>
      <c r="R6881" s="33">
        <f>IFERROR(__xludf.DUMMYFUNCTION("""COMPUTED_VALUE"""),0.5)</f>
        <v>0.5</v>
      </c>
      <c r="S6881" s="4" t="str">
        <f>IFERROR(__xludf.DUMMYFUNCTION("""COMPUTED_VALUE"""),"Yooga")</f>
        <v>Yooga</v>
      </c>
      <c r="T6881" s="33">
        <f>IFERROR(__xludf.DUMMYFUNCTION("""COMPUTED_VALUE"""),0.5)</f>
        <v>0.5</v>
      </c>
      <c r="U6881" s="4" t="str">
        <f>IFERROR(__xludf.DUMMYFUNCTION("""COMPUTED_VALUE"""),"Yooga")</f>
        <v>Yooga</v>
      </c>
      <c r="V6881" s="33">
        <f>IFERROR(__xludf.DUMMYFUNCTION("""COMPUTED_VALUE"""),0.5)</f>
        <v>0.5</v>
      </c>
      <c r="W6881" s="4" t="str">
        <f>IFERROR(__xludf.DUMMYFUNCTION("""COMPUTED_VALUE"""),"Yooga")</f>
        <v>Yooga</v>
      </c>
      <c r="X6881" s="33">
        <f>IFERROR(__xludf.DUMMYFUNCTION("""COMPUTED_VALUE"""),0.5)</f>
        <v>0.5</v>
      </c>
    </row>
    <row r="6882">
      <c r="K6882" s="4" t="str">
        <f>IFERROR(__xludf.DUMMYFUNCTION("""COMPUTED_VALUE"""),"DJAPA")</f>
        <v>DJAPA</v>
      </c>
      <c r="L6882" s="32">
        <f>IFERROR(__xludf.DUMMYFUNCTION("""COMPUTED_VALUE"""),2.0)</f>
        <v>2</v>
      </c>
      <c r="M6882" s="4" t="str">
        <f>IFERROR(__xludf.DUMMYFUNCTION("""COMPUTED_VALUE"""),"null")</f>
        <v>null</v>
      </c>
      <c r="N6882" s="33">
        <f>IFERROR(__xludf.DUMMYFUNCTION("""COMPUTED_VALUE"""),1.0)</f>
        <v>1</v>
      </c>
      <c r="O6882" s="4" t="str">
        <f>IFERROR(__xludf.DUMMYFUNCTION("""COMPUTED_VALUE"""),"Biz System Tecnologia Ltda")</f>
        <v>Biz System Tecnologia Ltda</v>
      </c>
      <c r="P6882" s="33">
        <f>IFERROR(__xludf.DUMMYFUNCTION("""COMPUTED_VALUE"""),1.0)</f>
        <v>1</v>
      </c>
      <c r="Q6882" s="4" t="str">
        <f>IFERROR(__xludf.DUMMYFUNCTION("""COMPUTED_VALUE"""),"null")</f>
        <v>null</v>
      </c>
      <c r="R6882" s="33">
        <f>IFERROR(__xludf.DUMMYFUNCTION("""COMPUTED_VALUE"""),1.0)</f>
        <v>1</v>
      </c>
      <c r="S6882" s="4" t="str">
        <f>IFERROR(__xludf.DUMMYFUNCTION("""COMPUTED_VALUE"""),"null")</f>
        <v>null</v>
      </c>
      <c r="T6882" s="33">
        <f>IFERROR(__xludf.DUMMYFUNCTION("""COMPUTED_VALUE"""),1.0)</f>
        <v>1</v>
      </c>
      <c r="U6882" s="4" t="str">
        <f>IFERROR(__xludf.DUMMYFUNCTION("""COMPUTED_VALUE"""),"null")</f>
        <v>null</v>
      </c>
      <c r="V6882" s="33">
        <f>IFERROR(__xludf.DUMMYFUNCTION("""COMPUTED_VALUE"""),0.5)</f>
        <v>0.5</v>
      </c>
      <c r="W6882" s="4" t="str">
        <f>IFERROR(__xludf.DUMMYFUNCTION("""COMPUTED_VALUE"""),"Biz System Tecnologia Ltda")</f>
        <v>Biz System Tecnologia Ltda</v>
      </c>
      <c r="X6882" s="33">
        <f>IFERROR(__xludf.DUMMYFUNCTION("""COMPUTED_VALUE"""),1.0)</f>
        <v>1</v>
      </c>
    </row>
    <row r="6883">
      <c r="K6883" s="4" t="str">
        <f>IFERROR(__xludf.DUMMYFUNCTION("""COMPUTED_VALUE"""),"DLP FOODS")</f>
        <v>DLP FOODS</v>
      </c>
      <c r="L6883" s="32">
        <f>IFERROR(__xludf.DUMMYFUNCTION("""COMPUTED_VALUE"""),2.0)</f>
        <v>2</v>
      </c>
      <c r="M6883" s="4" t="str">
        <f>IFERROR(__xludf.DUMMYFUNCTION("""COMPUTED_VALUE"""),"Noah Sistemas Ltda")</f>
        <v>Noah Sistemas Ltda</v>
      </c>
      <c r="N6883" s="33">
        <f>IFERROR(__xludf.DUMMYFUNCTION("""COMPUTED_VALUE"""),0.5)</f>
        <v>0.5</v>
      </c>
      <c r="O6883" s="4" t="str">
        <f>IFERROR(__xludf.DUMMYFUNCTION("""COMPUTED_VALUE"""),"Ncr")</f>
        <v>Ncr</v>
      </c>
      <c r="P6883" s="33">
        <f>IFERROR(__xludf.DUMMYFUNCTION("""COMPUTED_VALUE"""),0.5)</f>
        <v>0.5</v>
      </c>
      <c r="Q6883" s="4" t="str">
        <f>IFERROR(__xludf.DUMMYFUNCTION("""COMPUTED_VALUE"""),"Ncr")</f>
        <v>Ncr</v>
      </c>
      <c r="R6883" s="33">
        <f>IFERROR(__xludf.DUMMYFUNCTION("""COMPUTED_VALUE"""),0.5)</f>
        <v>0.5</v>
      </c>
      <c r="S6883" s="4" t="str">
        <f>IFERROR(__xludf.DUMMYFUNCTION("""COMPUTED_VALUE"""),"Ncr")</f>
        <v>Ncr</v>
      </c>
      <c r="T6883" s="33">
        <f>IFERROR(__xludf.DUMMYFUNCTION("""COMPUTED_VALUE"""),0.5)</f>
        <v>0.5</v>
      </c>
      <c r="U6883" s="4" t="str">
        <f>IFERROR(__xludf.DUMMYFUNCTION("""COMPUTED_VALUE"""),"Saipos Serviços De Software")</f>
        <v>Saipos Serviços De Software</v>
      </c>
      <c r="V6883" s="33">
        <f>IFERROR(__xludf.DUMMYFUNCTION("""COMPUTED_VALUE"""),1.0)</f>
        <v>1</v>
      </c>
      <c r="W6883" s="4" t="str">
        <f>IFERROR(__xludf.DUMMYFUNCTION("""COMPUTED_VALUE"""),"Saipos Serviços De Software")</f>
        <v>Saipos Serviços De Software</v>
      </c>
      <c r="X6883" s="33">
        <f>IFERROR(__xludf.DUMMYFUNCTION("""COMPUTED_VALUE"""),1.0)</f>
        <v>1</v>
      </c>
    </row>
    <row r="6884">
      <c r="K6884" s="4" t="str">
        <f>IFERROR(__xludf.DUMMYFUNCTION("""COMPUTED_VALUE"""),"DOCE BOLARIA")</f>
        <v>DOCE BOLARIA</v>
      </c>
      <c r="L6884" s="32">
        <f>IFERROR(__xludf.DUMMYFUNCTION("""COMPUTED_VALUE"""),2.0)</f>
        <v>2</v>
      </c>
      <c r="M6884" s="4" t="str">
        <f>IFERROR(__xludf.DUMMYFUNCTION("""COMPUTED_VALUE"""),"Saipos Serviços De Software")</f>
        <v>Saipos Serviços De Software</v>
      </c>
      <c r="N6884" s="33">
        <f>IFERROR(__xludf.DUMMYFUNCTION("""COMPUTED_VALUE"""),1.0)</f>
        <v>1</v>
      </c>
      <c r="O6884" s="4" t="str">
        <f>IFERROR(__xludf.DUMMYFUNCTION("""COMPUTED_VALUE"""),"Saipos Serviços De Software")</f>
        <v>Saipos Serviços De Software</v>
      </c>
      <c r="P6884" s="33">
        <f>IFERROR(__xludf.DUMMYFUNCTION("""COMPUTED_VALUE"""),1.0)</f>
        <v>1</v>
      </c>
      <c r="Q6884" s="4" t="str">
        <f>IFERROR(__xludf.DUMMYFUNCTION("""COMPUTED_VALUE"""),"Saipos Serviços De Software")</f>
        <v>Saipos Serviços De Software</v>
      </c>
      <c r="R6884" s="33">
        <f>IFERROR(__xludf.DUMMYFUNCTION("""COMPUTED_VALUE"""),1.0)</f>
        <v>1</v>
      </c>
      <c r="S6884" s="4" t="str">
        <f>IFERROR(__xludf.DUMMYFUNCTION("""COMPUTED_VALUE"""),"Saipos Serviços De Software")</f>
        <v>Saipos Serviços De Software</v>
      </c>
      <c r="T6884" s="33">
        <f>IFERROR(__xludf.DUMMYFUNCTION("""COMPUTED_VALUE"""),1.0)</f>
        <v>1</v>
      </c>
      <c r="U6884" s="4" t="str">
        <f>IFERROR(__xludf.DUMMYFUNCTION("""COMPUTED_VALUE"""),"Saipos Serviços De Software")</f>
        <v>Saipos Serviços De Software</v>
      </c>
      <c r="V6884" s="33">
        <f>IFERROR(__xludf.DUMMYFUNCTION("""COMPUTED_VALUE"""),1.0)</f>
        <v>1</v>
      </c>
      <c r="W6884" s="4" t="str">
        <f>IFERROR(__xludf.DUMMYFUNCTION("""COMPUTED_VALUE"""),"Saipos Serviços De Software")</f>
        <v>Saipos Serviços De Software</v>
      </c>
      <c r="X6884" s="33">
        <f>IFERROR(__xludf.DUMMYFUNCTION("""COMPUTED_VALUE"""),1.0)</f>
        <v>1</v>
      </c>
    </row>
    <row r="6885">
      <c r="K6885" s="4" t="str">
        <f>IFERROR(__xludf.DUMMYFUNCTION("""COMPUTED_VALUE"""),"DOCE E ARTE BOLERIA E CAFE")</f>
        <v>DOCE E ARTE BOLERIA E CAFE</v>
      </c>
      <c r="L6885" s="32">
        <f>IFERROR(__xludf.DUMMYFUNCTION("""COMPUTED_VALUE"""),2.0)</f>
        <v>2</v>
      </c>
      <c r="M6885" s="4" t="str">
        <f>IFERROR(__xludf.DUMMYFUNCTION("""COMPUTED_VALUE"""),"Consumer Soluções Em Tecnologia Ltda")</f>
        <v>Consumer Soluções Em Tecnologia Ltda</v>
      </c>
      <c r="N6885" s="33">
        <f>IFERROR(__xludf.DUMMYFUNCTION("""COMPUTED_VALUE"""),1.0)</f>
        <v>1</v>
      </c>
      <c r="O6885" s="4" t="str">
        <f>IFERROR(__xludf.DUMMYFUNCTION("""COMPUTED_VALUE"""),"Consumer Soluções Em Tecnologia Ltda")</f>
        <v>Consumer Soluções Em Tecnologia Ltda</v>
      </c>
      <c r="P6885" s="33">
        <f>IFERROR(__xludf.DUMMYFUNCTION("""COMPUTED_VALUE"""),1.0)</f>
        <v>1</v>
      </c>
      <c r="Q6885" s="4" t="str">
        <f>IFERROR(__xludf.DUMMYFUNCTION("""COMPUTED_VALUE"""),"null")</f>
        <v>null</v>
      </c>
      <c r="R6885" s="33">
        <f>IFERROR(__xludf.DUMMYFUNCTION("""COMPUTED_VALUE"""),0.5)</f>
        <v>0.5</v>
      </c>
      <c r="S6885" s="4" t="str">
        <f>IFERROR(__xludf.DUMMYFUNCTION("""COMPUTED_VALUE"""),"Consumer Soluções Em Tecnologia Ltda")</f>
        <v>Consumer Soluções Em Tecnologia Ltda</v>
      </c>
      <c r="T6885" s="33">
        <f>IFERROR(__xludf.DUMMYFUNCTION("""COMPUTED_VALUE"""),0.5)</f>
        <v>0.5</v>
      </c>
      <c r="U6885" s="4" t="str">
        <f>IFERROR(__xludf.DUMMYFUNCTION("""COMPUTED_VALUE"""),"null")</f>
        <v>null</v>
      </c>
      <c r="V6885" s="33">
        <f>IFERROR(__xludf.DUMMYFUNCTION("""COMPUTED_VALUE"""),0.5)</f>
        <v>0.5</v>
      </c>
      <c r="W6885" s="4" t="str">
        <f>IFERROR(__xludf.DUMMYFUNCTION("""COMPUTED_VALUE"""),"Consumer Soluções Em Tecnologia Ltda")</f>
        <v>Consumer Soluções Em Tecnologia Ltda</v>
      </c>
      <c r="X6885" s="33">
        <f>IFERROR(__xludf.DUMMYFUNCTION("""COMPUTED_VALUE"""),0.5)</f>
        <v>0.5</v>
      </c>
    </row>
    <row r="6886">
      <c r="K6886" s="4" t="str">
        <f>IFERROR(__xludf.DUMMYFUNCTION("""COMPUTED_VALUE"""),"DOCERIA CHIQUE - MARCA")</f>
        <v>DOCERIA CHIQUE - MARCA</v>
      </c>
      <c r="L6886" s="32">
        <f>IFERROR(__xludf.DUMMYFUNCTION("""COMPUTED_VALUE"""),2.0)</f>
        <v>2</v>
      </c>
      <c r="M6886" s="4" t="str">
        <f>IFERROR(__xludf.DUMMYFUNCTION("""COMPUTED_VALUE"""),"Consumer Soluções Em Tecnologia Ltda")</f>
        <v>Consumer Soluções Em Tecnologia Ltda</v>
      </c>
      <c r="N6886" s="33">
        <f>IFERROR(__xludf.DUMMYFUNCTION("""COMPUTED_VALUE"""),1.0)</f>
        <v>1</v>
      </c>
      <c r="O6886" s="4" t="str">
        <f>IFERROR(__xludf.DUMMYFUNCTION("""COMPUTED_VALUE"""),"Consumer Soluções Em Tecnologia Ltda")</f>
        <v>Consumer Soluções Em Tecnologia Ltda</v>
      </c>
      <c r="P6886" s="33">
        <f>IFERROR(__xludf.DUMMYFUNCTION("""COMPUTED_VALUE"""),1.0)</f>
        <v>1</v>
      </c>
      <c r="Q6886" s="4" t="str">
        <f>IFERROR(__xludf.DUMMYFUNCTION("""COMPUTED_VALUE"""),"Consumer Soluções Em Tecnologia Ltda")</f>
        <v>Consumer Soluções Em Tecnologia Ltda</v>
      </c>
      <c r="R6886" s="33">
        <f>IFERROR(__xludf.DUMMYFUNCTION("""COMPUTED_VALUE"""),1.0)</f>
        <v>1</v>
      </c>
      <c r="S6886" s="4" t="str">
        <f>IFERROR(__xludf.DUMMYFUNCTION("""COMPUTED_VALUE"""),"Consumer Soluções Em Tecnologia Ltda")</f>
        <v>Consumer Soluções Em Tecnologia Ltda</v>
      </c>
      <c r="T6886" s="33">
        <f>IFERROR(__xludf.DUMMYFUNCTION("""COMPUTED_VALUE"""),1.0)</f>
        <v>1</v>
      </c>
      <c r="U6886" s="4" t="str">
        <f>IFERROR(__xludf.DUMMYFUNCTION("""COMPUTED_VALUE"""),"Consumer Soluções Em Tecnologia Ltda")</f>
        <v>Consumer Soluções Em Tecnologia Ltda</v>
      </c>
      <c r="V6886" s="33">
        <f>IFERROR(__xludf.DUMMYFUNCTION("""COMPUTED_VALUE"""),1.0)</f>
        <v>1</v>
      </c>
      <c r="W6886" s="4" t="str">
        <f>IFERROR(__xludf.DUMMYFUNCTION("""COMPUTED_VALUE"""),"Consumer Soluções Em Tecnologia Ltda")</f>
        <v>Consumer Soluções Em Tecnologia Ltda</v>
      </c>
      <c r="X6886" s="33">
        <f>IFERROR(__xludf.DUMMYFUNCTION("""COMPUTED_VALUE"""),1.0)</f>
        <v>1</v>
      </c>
    </row>
    <row r="6887">
      <c r="K6887" s="4" t="str">
        <f>IFERROR(__xludf.DUMMYFUNCTION("""COMPUTED_VALUE"""),"DOCERIA DELALE")</f>
        <v>DOCERIA DELALE</v>
      </c>
      <c r="L6887" s="32">
        <f>IFERROR(__xludf.DUMMYFUNCTION("""COMPUTED_VALUE"""),2.0)</f>
        <v>2</v>
      </c>
      <c r="M6887" s="35" t="str">
        <f>IFERROR(__xludf.DUMMYFUNCTION("""COMPUTED_VALUE"""),"Maisentregas.com")</f>
        <v>Maisentregas.com</v>
      </c>
      <c r="N6887" s="33">
        <f>IFERROR(__xludf.DUMMYFUNCTION("""COMPUTED_VALUE"""),1.0)</f>
        <v>1</v>
      </c>
      <c r="O6887" s="35" t="str">
        <f>IFERROR(__xludf.DUMMYFUNCTION("""COMPUTED_VALUE"""),"Maisentregas.com")</f>
        <v>Maisentregas.com</v>
      </c>
      <c r="P6887" s="33">
        <f>IFERROR(__xludf.DUMMYFUNCTION("""COMPUTED_VALUE"""),0.5)</f>
        <v>0.5</v>
      </c>
      <c r="Q6887" s="35" t="str">
        <f>IFERROR(__xludf.DUMMYFUNCTION("""COMPUTED_VALUE"""),"Maisentregas.com")</f>
        <v>Maisentregas.com</v>
      </c>
      <c r="R6887" s="33">
        <f>IFERROR(__xludf.DUMMYFUNCTION("""COMPUTED_VALUE"""),1.0)</f>
        <v>1</v>
      </c>
      <c r="S6887" s="35" t="str">
        <f>IFERROR(__xludf.DUMMYFUNCTION("""COMPUTED_VALUE"""),"Maisentregas.com")</f>
        <v>Maisentregas.com</v>
      </c>
      <c r="T6887" s="33">
        <f>IFERROR(__xludf.DUMMYFUNCTION("""COMPUTED_VALUE"""),1.0)</f>
        <v>1</v>
      </c>
      <c r="U6887" s="35" t="str">
        <f>IFERROR(__xludf.DUMMYFUNCTION("""COMPUTED_VALUE"""),"Maisentregas.com")</f>
        <v>Maisentregas.com</v>
      </c>
      <c r="V6887" s="33">
        <f>IFERROR(__xludf.DUMMYFUNCTION("""COMPUTED_VALUE"""),1.0)</f>
        <v>1</v>
      </c>
      <c r="W6887" s="35" t="str">
        <f>IFERROR(__xludf.DUMMYFUNCTION("""COMPUTED_VALUE"""),"Maisentregas.com")</f>
        <v>Maisentregas.com</v>
      </c>
      <c r="X6887" s="33">
        <f>IFERROR(__xludf.DUMMYFUNCTION("""COMPUTED_VALUE"""),0.5)</f>
        <v>0.5</v>
      </c>
    </row>
    <row r="6888">
      <c r="K6888" s="4" t="str">
        <f>IFERROR(__xludf.DUMMYFUNCTION("""COMPUTED_VALUE"""),"DOCESABORE -COHAB BOLOS ARTESANAIS")</f>
        <v>DOCESABORE -COHAB BOLOS ARTESANAIS</v>
      </c>
      <c r="L6888" s="32">
        <f>IFERROR(__xludf.DUMMYFUNCTION("""COMPUTED_VALUE"""),2.0)</f>
        <v>2</v>
      </c>
      <c r="M6888" s="4" t="str">
        <f>IFERROR(__xludf.DUMMYFUNCTION("""COMPUTED_VALUE"""),"Cardápio Web")</f>
        <v>Cardápio Web</v>
      </c>
      <c r="N6888" s="33">
        <f>IFERROR(__xludf.DUMMYFUNCTION("""COMPUTED_VALUE"""),0.5)</f>
        <v>0.5</v>
      </c>
      <c r="O6888" s="4" t="str">
        <f>IFERROR(__xludf.DUMMYFUNCTION("""COMPUTED_VALUE"""),"Cardápio Web")</f>
        <v>Cardápio Web</v>
      </c>
      <c r="P6888" s="33">
        <f>IFERROR(__xludf.DUMMYFUNCTION("""COMPUTED_VALUE"""),0.5)</f>
        <v>0.5</v>
      </c>
      <c r="Q6888" s="4" t="str">
        <f>IFERROR(__xludf.DUMMYFUNCTION("""COMPUTED_VALUE"""),"Cardápio Web")</f>
        <v>Cardápio Web</v>
      </c>
      <c r="R6888" s="33">
        <f>IFERROR(__xludf.DUMMYFUNCTION("""COMPUTED_VALUE"""),0.5)</f>
        <v>0.5</v>
      </c>
      <c r="S6888" s="4" t="str">
        <f>IFERROR(__xludf.DUMMYFUNCTION("""COMPUTED_VALUE"""),"Cardápio Web")</f>
        <v>Cardápio Web</v>
      </c>
      <c r="T6888" s="33">
        <f>IFERROR(__xludf.DUMMYFUNCTION("""COMPUTED_VALUE"""),0.5)</f>
        <v>0.5</v>
      </c>
      <c r="U6888" s="4" t="str">
        <f>IFERROR(__xludf.DUMMYFUNCTION("""COMPUTED_VALUE"""),"Cardápio Web")</f>
        <v>Cardápio Web</v>
      </c>
      <c r="V6888" s="33">
        <f>IFERROR(__xludf.DUMMYFUNCTION("""COMPUTED_VALUE"""),0.5)</f>
        <v>0.5</v>
      </c>
      <c r="W6888" s="4" t="str">
        <f>IFERROR(__xludf.DUMMYFUNCTION("""COMPUTED_VALUE"""),"Cardápio Web")</f>
        <v>Cardápio Web</v>
      </c>
      <c r="X6888" s="33">
        <f>IFERROR(__xludf.DUMMYFUNCTION("""COMPUTED_VALUE"""),1.0)</f>
        <v>1</v>
      </c>
    </row>
    <row r="6889">
      <c r="K6889" s="4" t="str">
        <f>IFERROR(__xludf.DUMMYFUNCTION("""COMPUTED_VALUE"""),"DOCINHOS DA MA")</f>
        <v>DOCINHOS DA MA</v>
      </c>
      <c r="L6889" s="32">
        <f>IFERROR(__xludf.DUMMYFUNCTION("""COMPUTED_VALUE"""),2.0)</f>
        <v>2</v>
      </c>
      <c r="M6889" s="4" t="str">
        <f>IFERROR(__xludf.DUMMYFUNCTION("""COMPUTED_VALUE"""),"null")</f>
        <v>null</v>
      </c>
      <c r="N6889" s="33">
        <f>IFERROR(__xludf.DUMMYFUNCTION("""COMPUTED_VALUE"""),0.5)</f>
        <v>0.5</v>
      </c>
      <c r="O6889" s="4" t="str">
        <f>IFERROR(__xludf.DUMMYFUNCTION("""COMPUTED_VALUE"""),"Takeat Tecnologia")</f>
        <v>Takeat Tecnologia</v>
      </c>
      <c r="P6889" s="33">
        <f>IFERROR(__xludf.DUMMYFUNCTION("""COMPUTED_VALUE"""),0.5)</f>
        <v>0.5</v>
      </c>
      <c r="Q6889" s="4" t="str">
        <f>IFERROR(__xludf.DUMMYFUNCTION("""COMPUTED_VALUE"""),"null")</f>
        <v>null</v>
      </c>
      <c r="R6889" s="33">
        <f>IFERROR(__xludf.DUMMYFUNCTION("""COMPUTED_VALUE"""),0.5)</f>
        <v>0.5</v>
      </c>
      <c r="S6889" s="4" t="str">
        <f>IFERROR(__xludf.DUMMYFUNCTION("""COMPUTED_VALUE"""),"null")</f>
        <v>null</v>
      </c>
      <c r="T6889" s="33">
        <f>IFERROR(__xludf.DUMMYFUNCTION("""COMPUTED_VALUE"""),1.0)</f>
        <v>1</v>
      </c>
      <c r="U6889" s="4" t="str">
        <f>IFERROR(__xludf.DUMMYFUNCTION("""COMPUTED_VALUE"""),"null")</f>
        <v>null</v>
      </c>
      <c r="V6889" s="33">
        <f>IFERROR(__xludf.DUMMYFUNCTION("""COMPUTED_VALUE"""),0.5)</f>
        <v>0.5</v>
      </c>
      <c r="W6889" s="4" t="str">
        <f>IFERROR(__xludf.DUMMYFUNCTION("""COMPUTED_VALUE"""),"null")</f>
        <v>null</v>
      </c>
      <c r="X6889" s="33">
        <f>IFERROR(__xludf.DUMMYFUNCTION("""COMPUTED_VALUE"""),0.5)</f>
        <v>0.5</v>
      </c>
    </row>
    <row r="6890">
      <c r="K6890" s="4" t="str">
        <f>IFERROR(__xludf.DUMMYFUNCTION("""COMPUTED_VALUE"""),"DOG DO BAO - CONTA PAI")</f>
        <v>DOG DO BAO - CONTA PAI</v>
      </c>
      <c r="L6890" s="32">
        <f>IFERROR(__xludf.DUMMYFUNCTION("""COMPUTED_VALUE"""),2.0)</f>
        <v>2</v>
      </c>
      <c r="M6890" s="4" t="str">
        <f>IFERROR(__xludf.DUMMYFUNCTION("""COMPUTED_VALUE"""),"Vuca Solution")</f>
        <v>Vuca Solution</v>
      </c>
      <c r="N6890" s="33">
        <f>IFERROR(__xludf.DUMMYFUNCTION("""COMPUTED_VALUE"""),1.0)</f>
        <v>1</v>
      </c>
      <c r="O6890" s="4" t="str">
        <f>IFERROR(__xludf.DUMMYFUNCTION("""COMPUTED_VALUE"""),"Vuca Solution")</f>
        <v>Vuca Solution</v>
      </c>
      <c r="P6890" s="33">
        <f>IFERROR(__xludf.DUMMYFUNCTION("""COMPUTED_VALUE"""),1.0)</f>
        <v>1</v>
      </c>
      <c r="Q6890" s="4" t="str">
        <f>IFERROR(__xludf.DUMMYFUNCTION("""COMPUTED_VALUE"""),"Vuca Solution")</f>
        <v>Vuca Solution</v>
      </c>
      <c r="R6890" s="33">
        <f>IFERROR(__xludf.DUMMYFUNCTION("""COMPUTED_VALUE"""),1.0)</f>
        <v>1</v>
      </c>
      <c r="S6890" s="4" t="str">
        <f>IFERROR(__xludf.DUMMYFUNCTION("""COMPUTED_VALUE"""),"Vuca Solution")</f>
        <v>Vuca Solution</v>
      </c>
      <c r="T6890" s="33">
        <f>IFERROR(__xludf.DUMMYFUNCTION("""COMPUTED_VALUE"""),1.0)</f>
        <v>1</v>
      </c>
      <c r="U6890" s="4" t="str">
        <f>IFERROR(__xludf.DUMMYFUNCTION("""COMPUTED_VALUE"""),"Vuca Solution")</f>
        <v>Vuca Solution</v>
      </c>
      <c r="V6890" s="33">
        <f>IFERROR(__xludf.DUMMYFUNCTION("""COMPUTED_VALUE"""),1.0)</f>
        <v>1</v>
      </c>
      <c r="W6890" s="4" t="str">
        <f>IFERROR(__xludf.DUMMYFUNCTION("""COMPUTED_VALUE"""),"Vuca Solution")</f>
        <v>Vuca Solution</v>
      </c>
      <c r="X6890" s="33">
        <f>IFERROR(__xludf.DUMMYFUNCTION("""COMPUTED_VALUE"""),1.0)</f>
        <v>1</v>
      </c>
    </row>
    <row r="6891">
      <c r="K6891" s="4" t="str">
        <f>IFERROR(__xludf.DUMMYFUNCTION("""COMPUTED_VALUE"""),"DOGAO")</f>
        <v>DOGAO</v>
      </c>
      <c r="L6891" s="32">
        <f>IFERROR(__xludf.DUMMYFUNCTION("""COMPUTED_VALUE"""),2.0)</f>
        <v>2</v>
      </c>
      <c r="M6891" s="4" t="str">
        <f>IFERROR(__xludf.DUMMYFUNCTION("""COMPUTED_VALUE"""),"Saipos Serviços De Software")</f>
        <v>Saipos Serviços De Software</v>
      </c>
      <c r="N6891" s="33">
        <f>IFERROR(__xludf.DUMMYFUNCTION("""COMPUTED_VALUE"""),1.0)</f>
        <v>1</v>
      </c>
      <c r="O6891" s="4" t="str">
        <f>IFERROR(__xludf.DUMMYFUNCTION("""COMPUTED_VALUE"""),"Saipos Serviços De Software")</f>
        <v>Saipos Serviços De Software</v>
      </c>
      <c r="P6891" s="33">
        <f>IFERROR(__xludf.DUMMYFUNCTION("""COMPUTED_VALUE"""),1.0)</f>
        <v>1</v>
      </c>
      <c r="Q6891" s="4" t="str">
        <f>IFERROR(__xludf.DUMMYFUNCTION("""COMPUTED_VALUE"""),"Saipos Serviços De Software")</f>
        <v>Saipos Serviços De Software</v>
      </c>
      <c r="R6891" s="33">
        <f>IFERROR(__xludf.DUMMYFUNCTION("""COMPUTED_VALUE"""),1.0)</f>
        <v>1</v>
      </c>
      <c r="S6891" s="4" t="str">
        <f>IFERROR(__xludf.DUMMYFUNCTION("""COMPUTED_VALUE"""),"Saipos Serviços De Software")</f>
        <v>Saipos Serviços De Software</v>
      </c>
      <c r="T6891" s="33">
        <f>IFERROR(__xludf.DUMMYFUNCTION("""COMPUTED_VALUE"""),1.0)</f>
        <v>1</v>
      </c>
      <c r="U6891" s="4" t="str">
        <f>IFERROR(__xludf.DUMMYFUNCTION("""COMPUTED_VALUE"""),"Saipos Serviços De Software")</f>
        <v>Saipos Serviços De Software</v>
      </c>
      <c r="V6891" s="33">
        <f>IFERROR(__xludf.DUMMYFUNCTION("""COMPUTED_VALUE"""),1.0)</f>
        <v>1</v>
      </c>
      <c r="W6891" s="4" t="str">
        <f>IFERROR(__xludf.DUMMYFUNCTION("""COMPUTED_VALUE"""),"Saipos Serviços De Software")</f>
        <v>Saipos Serviços De Software</v>
      </c>
      <c r="X6891" s="33">
        <f>IFERROR(__xludf.DUMMYFUNCTION("""COMPUTED_VALUE"""),1.0)</f>
        <v>1</v>
      </c>
    </row>
    <row r="6892">
      <c r="K6892" s="4" t="str">
        <f>IFERROR(__xludf.DUMMYFUNCTION("""COMPUTED_VALUE"""),"DOGAO 23 - CG")</f>
        <v>DOGAO 23 - CG</v>
      </c>
      <c r="L6892" s="32">
        <f>IFERROR(__xludf.DUMMYFUNCTION("""COMPUTED_VALUE"""),2.0)</f>
        <v>2</v>
      </c>
      <c r="M6892" s="4" t="str">
        <f>IFERROR(__xludf.DUMMYFUNCTION("""COMPUTED_VALUE"""),"Cardápio Web")</f>
        <v>Cardápio Web</v>
      </c>
      <c r="N6892" s="33">
        <f>IFERROR(__xludf.DUMMYFUNCTION("""COMPUTED_VALUE"""),0.5)</f>
        <v>0.5</v>
      </c>
      <c r="O6892" s="4" t="str">
        <f>IFERROR(__xludf.DUMMYFUNCTION("""COMPUTED_VALUE"""),"Cardápio Web")</f>
        <v>Cardápio Web</v>
      </c>
      <c r="P6892" s="33">
        <f>IFERROR(__xludf.DUMMYFUNCTION("""COMPUTED_VALUE"""),0.5)</f>
        <v>0.5</v>
      </c>
      <c r="Q6892" s="4" t="str">
        <f>IFERROR(__xludf.DUMMYFUNCTION("""COMPUTED_VALUE"""),"Cardápio Web")</f>
        <v>Cardápio Web</v>
      </c>
      <c r="R6892" s="33">
        <f>IFERROR(__xludf.DUMMYFUNCTION("""COMPUTED_VALUE"""),1.0)</f>
        <v>1</v>
      </c>
      <c r="S6892" s="4" t="str">
        <f>IFERROR(__xludf.DUMMYFUNCTION("""COMPUTED_VALUE"""),"Cardápio Web")</f>
        <v>Cardápio Web</v>
      </c>
      <c r="T6892" s="33">
        <f>IFERROR(__xludf.DUMMYFUNCTION("""COMPUTED_VALUE"""),1.0)</f>
        <v>1</v>
      </c>
      <c r="U6892" s="4" t="str">
        <f>IFERROR(__xludf.DUMMYFUNCTION("""COMPUTED_VALUE"""),"Cardápio Web")</f>
        <v>Cardápio Web</v>
      </c>
      <c r="V6892" s="33">
        <f>IFERROR(__xludf.DUMMYFUNCTION("""COMPUTED_VALUE"""),1.0)</f>
        <v>1</v>
      </c>
      <c r="W6892" s="4" t="str">
        <f>IFERROR(__xludf.DUMMYFUNCTION("""COMPUTED_VALUE"""),"Cardápio Web")</f>
        <v>Cardápio Web</v>
      </c>
      <c r="X6892" s="33">
        <f>IFERROR(__xludf.DUMMYFUNCTION("""COMPUTED_VALUE"""),1.0)</f>
        <v>1</v>
      </c>
    </row>
    <row r="6893">
      <c r="K6893" s="4" t="str">
        <f>IFERROR(__xludf.DUMMYFUNCTION("""COMPUTED_VALUE"""),"DOGAO DO RENZO")</f>
        <v>DOGAO DO RENZO</v>
      </c>
      <c r="L6893" s="32">
        <f>IFERROR(__xludf.DUMMYFUNCTION("""COMPUTED_VALUE"""),2.0)</f>
        <v>2</v>
      </c>
      <c r="M6893" s="4" t="str">
        <f>IFERROR(__xludf.DUMMYFUNCTION("""COMPUTED_VALUE"""),"Saipos Serviços De Software")</f>
        <v>Saipos Serviços De Software</v>
      </c>
      <c r="N6893" s="33">
        <f>IFERROR(__xludf.DUMMYFUNCTION("""COMPUTED_VALUE"""),1.0)</f>
        <v>1</v>
      </c>
      <c r="O6893" s="4" t="str">
        <f>IFERROR(__xludf.DUMMYFUNCTION("""COMPUTED_VALUE"""),"Saipos Serviços De Software")</f>
        <v>Saipos Serviços De Software</v>
      </c>
      <c r="P6893" s="33">
        <f>IFERROR(__xludf.DUMMYFUNCTION("""COMPUTED_VALUE"""),1.0)</f>
        <v>1</v>
      </c>
      <c r="Q6893" s="4" t="str">
        <f>IFERROR(__xludf.DUMMYFUNCTION("""COMPUTED_VALUE"""),"Saipos Serviços De Software")</f>
        <v>Saipos Serviços De Software</v>
      </c>
      <c r="R6893" s="33">
        <f>IFERROR(__xludf.DUMMYFUNCTION("""COMPUTED_VALUE"""),1.0)</f>
        <v>1</v>
      </c>
      <c r="S6893" s="4" t="str">
        <f>IFERROR(__xludf.DUMMYFUNCTION("""COMPUTED_VALUE"""),"Saipos Serviços De Software")</f>
        <v>Saipos Serviços De Software</v>
      </c>
      <c r="T6893" s="33">
        <f>IFERROR(__xludf.DUMMYFUNCTION("""COMPUTED_VALUE"""),1.0)</f>
        <v>1</v>
      </c>
      <c r="U6893" s="4" t="str">
        <f>IFERROR(__xludf.DUMMYFUNCTION("""COMPUTED_VALUE"""),"Saipos Serviços De Software")</f>
        <v>Saipos Serviços De Software</v>
      </c>
      <c r="V6893" s="33">
        <f>IFERROR(__xludf.DUMMYFUNCTION("""COMPUTED_VALUE"""),1.0)</f>
        <v>1</v>
      </c>
      <c r="W6893" s="4" t="str">
        <f>IFERROR(__xludf.DUMMYFUNCTION("""COMPUTED_VALUE"""),"Saipos Serviços De Software")</f>
        <v>Saipos Serviços De Software</v>
      </c>
      <c r="X6893" s="33">
        <f>IFERROR(__xludf.DUMMYFUNCTION("""COMPUTED_VALUE"""),1.0)</f>
        <v>1</v>
      </c>
    </row>
    <row r="6894">
      <c r="K6894" s="4" t="str">
        <f>IFERROR(__xludf.DUMMYFUNCTION("""COMPUTED_VALUE"""),"DOGATO PET SHOP - CONTA MARCA")</f>
        <v>DOGATO PET SHOP - CONTA MARCA</v>
      </c>
      <c r="L6894" s="32">
        <f>IFERROR(__xludf.DUMMYFUNCTION("""COMPUTED_VALUE"""),2.0)</f>
        <v>2</v>
      </c>
      <c r="M6894" s="4" t="str">
        <f>IFERROR(__xludf.DUMMYFUNCTION("""COMPUTED_VALUE"""),"N/A (Not found)")</f>
        <v>N/A (Not found)</v>
      </c>
      <c r="N6894" s="33">
        <f>IFERROR(__xludf.DUMMYFUNCTION("""COMPUTED_VALUE"""),1.0)</f>
        <v>1</v>
      </c>
      <c r="O6894" s="4" t="str">
        <f>IFERROR(__xludf.DUMMYFUNCTION("""COMPUTED_VALUE"""),"N/A (Not found)")</f>
        <v>N/A (Not found)</v>
      </c>
      <c r="P6894" s="33">
        <f>IFERROR(__xludf.DUMMYFUNCTION("""COMPUTED_VALUE"""),1.0)</f>
        <v>1</v>
      </c>
      <c r="Q6894" s="4" t="str">
        <f>IFERROR(__xludf.DUMMYFUNCTION("""COMPUTED_VALUE"""),"N/A (Not found)")</f>
        <v>N/A (Not found)</v>
      </c>
      <c r="R6894" s="33">
        <f>IFERROR(__xludf.DUMMYFUNCTION("""COMPUTED_VALUE"""),1.0)</f>
        <v>1</v>
      </c>
      <c r="S6894" s="4" t="str">
        <f>IFERROR(__xludf.DUMMYFUNCTION("""COMPUTED_VALUE"""),"N/A (Not found)")</f>
        <v>N/A (Not found)</v>
      </c>
      <c r="T6894" s="33">
        <f>IFERROR(__xludf.DUMMYFUNCTION("""COMPUTED_VALUE"""),1.0)</f>
        <v>1</v>
      </c>
      <c r="U6894" s="4" t="str">
        <f>IFERROR(__xludf.DUMMYFUNCTION("""COMPUTED_VALUE"""),"N/A (Not found)")</f>
        <v>N/A (Not found)</v>
      </c>
      <c r="V6894" s="33">
        <f>IFERROR(__xludf.DUMMYFUNCTION("""COMPUTED_VALUE"""),1.0)</f>
        <v>1</v>
      </c>
      <c r="W6894" s="4" t="str">
        <f>IFERROR(__xludf.DUMMYFUNCTION("""COMPUTED_VALUE"""),"N/A (Not found)")</f>
        <v>N/A (Not found)</v>
      </c>
      <c r="X6894" s="33">
        <f>IFERROR(__xludf.DUMMYFUNCTION("""COMPUTED_VALUE"""),1.0)</f>
        <v>1</v>
      </c>
    </row>
    <row r="6895">
      <c r="K6895" s="4" t="str">
        <f>IFERROR(__xludf.DUMMYFUNCTION("""COMPUTED_VALUE"""),"DOGGIES")</f>
        <v>DOGGIES</v>
      </c>
      <c r="L6895" s="32">
        <f>IFERROR(__xludf.DUMMYFUNCTION("""COMPUTED_VALUE"""),2.0)</f>
        <v>2</v>
      </c>
      <c r="M6895" s="4" t="str">
        <f>IFERROR(__xludf.DUMMYFUNCTION("""COMPUTED_VALUE"""),"Yooga")</f>
        <v>Yooga</v>
      </c>
      <c r="N6895" s="33">
        <f>IFERROR(__xludf.DUMMYFUNCTION("""COMPUTED_VALUE"""),1.0)</f>
        <v>1</v>
      </c>
      <c r="O6895" s="4" t="str">
        <f>IFERROR(__xludf.DUMMYFUNCTION("""COMPUTED_VALUE"""),"Yooga")</f>
        <v>Yooga</v>
      </c>
      <c r="P6895" s="33">
        <f>IFERROR(__xludf.DUMMYFUNCTION("""COMPUTED_VALUE"""),1.0)</f>
        <v>1</v>
      </c>
      <c r="Q6895" s="4" t="str">
        <f>IFERROR(__xludf.DUMMYFUNCTION("""COMPUTED_VALUE"""),"Yooga")</f>
        <v>Yooga</v>
      </c>
      <c r="R6895" s="33">
        <f>IFERROR(__xludf.DUMMYFUNCTION("""COMPUTED_VALUE"""),0.5)</f>
        <v>0.5</v>
      </c>
      <c r="S6895" s="4" t="str">
        <f>IFERROR(__xludf.DUMMYFUNCTION("""COMPUTED_VALUE"""),"Yooga")</f>
        <v>Yooga</v>
      </c>
      <c r="T6895" s="33">
        <f>IFERROR(__xludf.DUMMYFUNCTION("""COMPUTED_VALUE"""),1.0)</f>
        <v>1</v>
      </c>
      <c r="U6895" s="4" t="str">
        <f>IFERROR(__xludf.DUMMYFUNCTION("""COMPUTED_VALUE"""),"Yooga")</f>
        <v>Yooga</v>
      </c>
      <c r="V6895" s="33">
        <f>IFERROR(__xludf.DUMMYFUNCTION("""COMPUTED_VALUE"""),1.0)</f>
        <v>1</v>
      </c>
      <c r="W6895" s="4" t="str">
        <f>IFERROR(__xludf.DUMMYFUNCTION("""COMPUTED_VALUE"""),"Yooga")</f>
        <v>Yooga</v>
      </c>
      <c r="X6895" s="33">
        <f>IFERROR(__xludf.DUMMYFUNCTION("""COMPUTED_VALUE"""),0.5)</f>
        <v>0.5</v>
      </c>
    </row>
    <row r="6896">
      <c r="K6896" s="4" t="str">
        <f>IFERROR(__xludf.DUMMYFUNCTION("""COMPUTED_VALUE"""),"DOGUERIA BINHOS DOG - CONTA PAI")</f>
        <v>DOGUERIA BINHOS DOG - CONTA PAI</v>
      </c>
      <c r="L6896" s="32">
        <f>IFERROR(__xludf.DUMMYFUNCTION("""COMPUTED_VALUE"""),2.0)</f>
        <v>2</v>
      </c>
      <c r="M6896" s="4" t="str">
        <f>IFERROR(__xludf.DUMMYFUNCTION("""COMPUTED_VALUE"""),"Saipos Serviços De Software")</f>
        <v>Saipos Serviços De Software</v>
      </c>
      <c r="N6896" s="33">
        <f>IFERROR(__xludf.DUMMYFUNCTION("""COMPUTED_VALUE"""),1.0)</f>
        <v>1</v>
      </c>
      <c r="O6896" s="4" t="str">
        <f>IFERROR(__xludf.DUMMYFUNCTION("""COMPUTED_VALUE"""),"Saipos Serviços De Software")</f>
        <v>Saipos Serviços De Software</v>
      </c>
      <c r="P6896" s="33">
        <f>IFERROR(__xludf.DUMMYFUNCTION("""COMPUTED_VALUE"""),1.0)</f>
        <v>1</v>
      </c>
      <c r="Q6896" s="4" t="str">
        <f>IFERROR(__xludf.DUMMYFUNCTION("""COMPUTED_VALUE"""),"Saipos Serviços De Software")</f>
        <v>Saipos Serviços De Software</v>
      </c>
      <c r="R6896" s="33">
        <f>IFERROR(__xludf.DUMMYFUNCTION("""COMPUTED_VALUE"""),1.0)</f>
        <v>1</v>
      </c>
      <c r="S6896" s="4" t="str">
        <f>IFERROR(__xludf.DUMMYFUNCTION("""COMPUTED_VALUE"""),"Saipos Serviços De Software")</f>
        <v>Saipos Serviços De Software</v>
      </c>
      <c r="T6896" s="33">
        <f>IFERROR(__xludf.DUMMYFUNCTION("""COMPUTED_VALUE"""),1.0)</f>
        <v>1</v>
      </c>
      <c r="U6896" s="4" t="str">
        <f>IFERROR(__xludf.DUMMYFUNCTION("""COMPUTED_VALUE"""),"Saipos Serviços De Software")</f>
        <v>Saipos Serviços De Software</v>
      </c>
      <c r="V6896" s="33">
        <f>IFERROR(__xludf.DUMMYFUNCTION("""COMPUTED_VALUE"""),1.0)</f>
        <v>1</v>
      </c>
      <c r="W6896" s="4" t="str">
        <f>IFERROR(__xludf.DUMMYFUNCTION("""COMPUTED_VALUE"""),"Saipos Serviços De Software")</f>
        <v>Saipos Serviços De Software</v>
      </c>
      <c r="X6896" s="33">
        <f>IFERROR(__xludf.DUMMYFUNCTION("""COMPUTED_VALUE"""),1.0)</f>
        <v>1</v>
      </c>
    </row>
    <row r="6897">
      <c r="K6897" s="4" t="str">
        <f>IFERROR(__xludf.DUMMYFUNCTION("""COMPUTED_VALUE"""),"DOM CARMINO TRATTORIA PIZZARIA - CONTA MARCA")</f>
        <v>DOM CARMINO TRATTORIA PIZZARIA - CONTA MARCA</v>
      </c>
      <c r="L6897" s="32">
        <f>IFERROR(__xludf.DUMMYFUNCTION("""COMPUTED_VALUE"""),2.0)</f>
        <v>2</v>
      </c>
      <c r="M6897" s="4" t="str">
        <f>IFERROR(__xludf.DUMMYFUNCTION("""COMPUTED_VALUE"""),"Cloudfy")</f>
        <v>Cloudfy</v>
      </c>
      <c r="N6897" s="33">
        <f>IFERROR(__xludf.DUMMYFUNCTION("""COMPUTED_VALUE"""),0.5)</f>
        <v>0.5</v>
      </c>
      <c r="O6897" s="4" t="str">
        <f>IFERROR(__xludf.DUMMYFUNCTION("""COMPUTED_VALUE"""),"Cloudfy")</f>
        <v>Cloudfy</v>
      </c>
      <c r="P6897" s="33">
        <f>IFERROR(__xludf.DUMMYFUNCTION("""COMPUTED_VALUE"""),0.5)</f>
        <v>0.5</v>
      </c>
      <c r="Q6897" s="4" t="str">
        <f>IFERROR(__xludf.DUMMYFUNCTION("""COMPUTED_VALUE"""),"Cloudfy")</f>
        <v>Cloudfy</v>
      </c>
      <c r="R6897" s="33">
        <f>IFERROR(__xludf.DUMMYFUNCTION("""COMPUTED_VALUE"""),1.0)</f>
        <v>1</v>
      </c>
      <c r="S6897" s="4" t="str">
        <f>IFERROR(__xludf.DUMMYFUNCTION("""COMPUTED_VALUE"""),"Cloudfy")</f>
        <v>Cloudfy</v>
      </c>
      <c r="T6897" s="33">
        <f>IFERROR(__xludf.DUMMYFUNCTION("""COMPUTED_VALUE"""),0.5)</f>
        <v>0.5</v>
      </c>
      <c r="U6897" s="4" t="str">
        <f>IFERROR(__xludf.DUMMYFUNCTION("""COMPUTED_VALUE"""),"Cloudfy")</f>
        <v>Cloudfy</v>
      </c>
      <c r="V6897" s="33">
        <f>IFERROR(__xludf.DUMMYFUNCTION("""COMPUTED_VALUE"""),0.5)</f>
        <v>0.5</v>
      </c>
      <c r="W6897" s="4" t="str">
        <f>IFERROR(__xludf.DUMMYFUNCTION("""COMPUTED_VALUE"""),"Cloudfy")</f>
        <v>Cloudfy</v>
      </c>
      <c r="X6897" s="33">
        <f>IFERROR(__xludf.DUMMYFUNCTION("""COMPUTED_VALUE"""),0.5)</f>
        <v>0.5</v>
      </c>
    </row>
    <row r="6898">
      <c r="K6898" s="4" t="str">
        <f>IFERROR(__xludf.DUMMYFUNCTION("""COMPUTED_VALUE"""),"DOM GALLETO")</f>
        <v>DOM GALLETO</v>
      </c>
      <c r="L6898" s="32">
        <f>IFERROR(__xludf.DUMMYFUNCTION("""COMPUTED_VALUE"""),2.0)</f>
        <v>2</v>
      </c>
      <c r="M6898" s="4" t="str">
        <f>IFERROR(__xludf.DUMMYFUNCTION("""COMPUTED_VALUE"""),"null")</f>
        <v>null</v>
      </c>
      <c r="N6898" s="33">
        <f>IFERROR(__xludf.DUMMYFUNCTION("""COMPUTED_VALUE"""),1.0)</f>
        <v>1</v>
      </c>
      <c r="O6898" s="4" t="str">
        <f>IFERROR(__xludf.DUMMYFUNCTION("""COMPUTED_VALUE"""),"null")</f>
        <v>null</v>
      </c>
      <c r="P6898" s="33">
        <f>IFERROR(__xludf.DUMMYFUNCTION("""COMPUTED_VALUE"""),1.0)</f>
        <v>1</v>
      </c>
      <c r="Q6898" s="4" t="str">
        <f>IFERROR(__xludf.DUMMYFUNCTION("""COMPUTED_VALUE"""),"null")</f>
        <v>null</v>
      </c>
      <c r="R6898" s="33">
        <f>IFERROR(__xludf.DUMMYFUNCTION("""COMPUTED_VALUE"""),1.0)</f>
        <v>1</v>
      </c>
      <c r="S6898" s="4" t="str">
        <f>IFERROR(__xludf.DUMMYFUNCTION("""COMPUTED_VALUE"""),"Inffel Servicos Em Tecnologia Ltda")</f>
        <v>Inffel Servicos Em Tecnologia Ltda</v>
      </c>
      <c r="T6898" s="33">
        <f>IFERROR(__xludf.DUMMYFUNCTION("""COMPUTED_VALUE"""),1.0)</f>
        <v>1</v>
      </c>
      <c r="U6898" s="4" t="str">
        <f>IFERROR(__xludf.DUMMYFUNCTION("""COMPUTED_VALUE"""),"Inffel Servicos Em Tecnologia Ltda")</f>
        <v>Inffel Servicos Em Tecnologia Ltda</v>
      </c>
      <c r="V6898" s="33">
        <f>IFERROR(__xludf.DUMMYFUNCTION("""COMPUTED_VALUE"""),1.0)</f>
        <v>1</v>
      </c>
      <c r="W6898" s="4" t="str">
        <f>IFERROR(__xludf.DUMMYFUNCTION("""COMPUTED_VALUE"""),"Inffel Servicos Em Tecnologia Ltda")</f>
        <v>Inffel Servicos Em Tecnologia Ltda</v>
      </c>
      <c r="X6898" s="33">
        <f>IFERROR(__xludf.DUMMYFUNCTION("""COMPUTED_VALUE"""),1.0)</f>
        <v>1</v>
      </c>
    </row>
    <row r="6899">
      <c r="K6899" s="4" t="str">
        <f>IFERROR(__xludf.DUMMYFUNCTION("""COMPUTED_VALUE"""),"DOM GREGO - CONTA PAI")</f>
        <v>DOM GREGO - CONTA PAI</v>
      </c>
      <c r="L6899" s="32">
        <f>IFERROR(__xludf.DUMMYFUNCTION("""COMPUTED_VALUE"""),2.0)</f>
        <v>2</v>
      </c>
      <c r="M6899" s="4" t="str">
        <f>IFERROR(__xludf.DUMMYFUNCTION("""COMPUTED_VALUE"""),"Parseint Desenvolvimento De Sistemas Ltda")</f>
        <v>Parseint Desenvolvimento De Sistemas Ltda</v>
      </c>
      <c r="N6899" s="33">
        <f>IFERROR(__xludf.DUMMYFUNCTION("""COMPUTED_VALUE"""),0.5)</f>
        <v>0.5</v>
      </c>
      <c r="O6899" s="4" t="str">
        <f>IFERROR(__xludf.DUMMYFUNCTION("""COMPUTED_VALUE"""),"Parseint Desenvolvimento De Sistemas Ltda")</f>
        <v>Parseint Desenvolvimento De Sistemas Ltda</v>
      </c>
      <c r="P6899" s="33">
        <f>IFERROR(__xludf.DUMMYFUNCTION("""COMPUTED_VALUE"""),0.5)</f>
        <v>0.5</v>
      </c>
      <c r="Q6899" s="4" t="str">
        <f>IFERROR(__xludf.DUMMYFUNCTION("""COMPUTED_VALUE"""),"Parseint Desenvolvimento De Sistemas Ltda")</f>
        <v>Parseint Desenvolvimento De Sistemas Ltda</v>
      </c>
      <c r="R6899" s="33">
        <f>IFERROR(__xludf.DUMMYFUNCTION("""COMPUTED_VALUE"""),0.5)</f>
        <v>0.5</v>
      </c>
      <c r="S6899" s="4" t="str">
        <f>IFERROR(__xludf.DUMMYFUNCTION("""COMPUTED_VALUE"""),"Parseint Desenvolvimento De Sistemas Ltda")</f>
        <v>Parseint Desenvolvimento De Sistemas Ltda</v>
      </c>
      <c r="T6899" s="33">
        <f>IFERROR(__xludf.DUMMYFUNCTION("""COMPUTED_VALUE"""),0.5)</f>
        <v>0.5</v>
      </c>
      <c r="U6899" s="4" t="str">
        <f>IFERROR(__xludf.DUMMYFUNCTION("""COMPUTED_VALUE"""),"null")</f>
        <v>null</v>
      </c>
      <c r="V6899" s="33">
        <f>IFERROR(__xludf.DUMMYFUNCTION("""COMPUTED_VALUE"""),0.5)</f>
        <v>0.5</v>
      </c>
      <c r="W6899" s="4" t="str">
        <f>IFERROR(__xludf.DUMMYFUNCTION("""COMPUTED_VALUE"""),"Parseint Desenvolvimento De Sistemas Ltda")</f>
        <v>Parseint Desenvolvimento De Sistemas Ltda</v>
      </c>
      <c r="X6899" s="33">
        <f>IFERROR(__xludf.DUMMYFUNCTION("""COMPUTED_VALUE"""),0.5)</f>
        <v>0.5</v>
      </c>
    </row>
    <row r="6900">
      <c r="K6900" s="4" t="str">
        <f>IFERROR(__xludf.DUMMYFUNCTION("""COMPUTED_VALUE"""),"DOM JUAN PIZZARIA E ESFIHARIA")</f>
        <v>DOM JUAN PIZZARIA E ESFIHARIA</v>
      </c>
      <c r="L6900" s="32">
        <f>IFERROR(__xludf.DUMMYFUNCTION("""COMPUTED_VALUE"""),2.0)</f>
        <v>2</v>
      </c>
      <c r="M6900" s="4" t="str">
        <f>IFERROR(__xludf.DUMMYFUNCTION("""COMPUTED_VALUE"""),"Saipos Serviços De Software")</f>
        <v>Saipos Serviços De Software</v>
      </c>
      <c r="N6900" s="33">
        <f>IFERROR(__xludf.DUMMYFUNCTION("""COMPUTED_VALUE"""),1.0)</f>
        <v>1</v>
      </c>
      <c r="O6900" s="4" t="str">
        <f>IFERROR(__xludf.DUMMYFUNCTION("""COMPUTED_VALUE"""),"null")</f>
        <v>null</v>
      </c>
      <c r="P6900" s="33">
        <f>IFERROR(__xludf.DUMMYFUNCTION("""COMPUTED_VALUE"""),1.0)</f>
        <v>1</v>
      </c>
      <c r="Q6900" s="4" t="str">
        <f>IFERROR(__xludf.DUMMYFUNCTION("""COMPUTED_VALUE"""),"null")</f>
        <v>null</v>
      </c>
      <c r="R6900" s="33">
        <f>IFERROR(__xludf.DUMMYFUNCTION("""COMPUTED_VALUE"""),1.0)</f>
        <v>1</v>
      </c>
      <c r="S6900" s="4" t="str">
        <f>IFERROR(__xludf.DUMMYFUNCTION("""COMPUTED_VALUE"""),"null")</f>
        <v>null</v>
      </c>
      <c r="T6900" s="33">
        <f>IFERROR(__xludf.DUMMYFUNCTION("""COMPUTED_VALUE"""),1.0)</f>
        <v>1</v>
      </c>
      <c r="U6900" s="4" t="str">
        <f>IFERROR(__xludf.DUMMYFUNCTION("""COMPUTED_VALUE"""),"null")</f>
        <v>null</v>
      </c>
      <c r="V6900" s="33">
        <f>IFERROR(__xludf.DUMMYFUNCTION("""COMPUTED_VALUE"""),1.0)</f>
        <v>1</v>
      </c>
      <c r="W6900" s="4" t="str">
        <f>IFERROR(__xludf.DUMMYFUNCTION("""COMPUTED_VALUE"""),"null")</f>
        <v>null</v>
      </c>
      <c r="X6900" s="33">
        <f>IFERROR(__xludf.DUMMYFUNCTION("""COMPUTED_VALUE"""),1.0)</f>
        <v>1</v>
      </c>
    </row>
    <row r="6901">
      <c r="K6901" s="4" t="str">
        <f>IFERROR(__xludf.DUMMYFUNCTION("""COMPUTED_VALUE"""),"DOM PASTELLE MARCA")</f>
        <v>DOM PASTELLE MARCA</v>
      </c>
      <c r="L6901" s="32">
        <f>IFERROR(__xludf.DUMMYFUNCTION("""COMPUTED_VALUE"""),2.0)</f>
        <v>2</v>
      </c>
      <c r="M6901" s="4" t="str">
        <f>IFERROR(__xludf.DUMMYFUNCTION("""COMPUTED_VALUE"""),"Saipos Serviços De Software")</f>
        <v>Saipos Serviços De Software</v>
      </c>
      <c r="N6901" s="33">
        <f>IFERROR(__xludf.DUMMYFUNCTION("""COMPUTED_VALUE"""),1.0)</f>
        <v>1</v>
      </c>
      <c r="O6901" s="4" t="str">
        <f>IFERROR(__xludf.DUMMYFUNCTION("""COMPUTED_VALUE"""),"Saipos Serviços De Software")</f>
        <v>Saipos Serviços De Software</v>
      </c>
      <c r="P6901" s="33">
        <f>IFERROR(__xludf.DUMMYFUNCTION("""COMPUTED_VALUE"""),1.0)</f>
        <v>1</v>
      </c>
      <c r="Q6901" s="4" t="str">
        <f>IFERROR(__xludf.DUMMYFUNCTION("""COMPUTED_VALUE"""),"Saipos Serviços De Software")</f>
        <v>Saipos Serviços De Software</v>
      </c>
      <c r="R6901" s="33">
        <f>IFERROR(__xludf.DUMMYFUNCTION("""COMPUTED_VALUE"""),1.0)</f>
        <v>1</v>
      </c>
      <c r="S6901" s="4" t="str">
        <f>IFERROR(__xludf.DUMMYFUNCTION("""COMPUTED_VALUE"""),"Saipos Serviços De Software")</f>
        <v>Saipos Serviços De Software</v>
      </c>
      <c r="T6901" s="33">
        <f>IFERROR(__xludf.DUMMYFUNCTION("""COMPUTED_VALUE"""),1.0)</f>
        <v>1</v>
      </c>
      <c r="U6901" s="4" t="str">
        <f>IFERROR(__xludf.DUMMYFUNCTION("""COMPUTED_VALUE"""),"Saipos Serviços De Software")</f>
        <v>Saipos Serviços De Software</v>
      </c>
      <c r="V6901" s="33">
        <f>IFERROR(__xludf.DUMMYFUNCTION("""COMPUTED_VALUE"""),1.0)</f>
        <v>1</v>
      </c>
      <c r="W6901" s="4" t="str">
        <f>IFERROR(__xludf.DUMMYFUNCTION("""COMPUTED_VALUE"""),"Saipos Serviços De Software")</f>
        <v>Saipos Serviços De Software</v>
      </c>
      <c r="X6901" s="33">
        <f>IFERROR(__xludf.DUMMYFUNCTION("""COMPUTED_VALUE"""),1.0)</f>
        <v>1</v>
      </c>
    </row>
    <row r="6902">
      <c r="K6902" s="4" t="str">
        <f>IFERROR(__xludf.DUMMYFUNCTION("""COMPUTED_VALUE"""),"DOM RAPHA")</f>
        <v>DOM RAPHA</v>
      </c>
      <c r="L6902" s="32">
        <f>IFERROR(__xludf.DUMMYFUNCTION("""COMPUTED_VALUE"""),2.0)</f>
        <v>2</v>
      </c>
      <c r="M6902" s="4" t="str">
        <f>IFERROR(__xludf.DUMMYFUNCTION("""COMPUTED_VALUE"""),"Vuca Solution")</f>
        <v>Vuca Solution</v>
      </c>
      <c r="N6902" s="33">
        <f>IFERROR(__xludf.DUMMYFUNCTION("""COMPUTED_VALUE"""),1.0)</f>
        <v>1</v>
      </c>
      <c r="O6902" s="4" t="str">
        <f>IFERROR(__xludf.DUMMYFUNCTION("""COMPUTED_VALUE"""),"Vuca Solution")</f>
        <v>Vuca Solution</v>
      </c>
      <c r="P6902" s="33">
        <f>IFERROR(__xludf.DUMMYFUNCTION("""COMPUTED_VALUE"""),1.0)</f>
        <v>1</v>
      </c>
      <c r="Q6902" s="4" t="str">
        <f>IFERROR(__xludf.DUMMYFUNCTION("""COMPUTED_VALUE"""),"Vuca Solution")</f>
        <v>Vuca Solution</v>
      </c>
      <c r="R6902" s="33">
        <f>IFERROR(__xludf.DUMMYFUNCTION("""COMPUTED_VALUE"""),1.0)</f>
        <v>1</v>
      </c>
      <c r="S6902" s="4" t="str">
        <f>IFERROR(__xludf.DUMMYFUNCTION("""COMPUTED_VALUE"""),"Vuca Solution")</f>
        <v>Vuca Solution</v>
      </c>
      <c r="T6902" s="33">
        <f>IFERROR(__xludf.DUMMYFUNCTION("""COMPUTED_VALUE"""),1.0)</f>
        <v>1</v>
      </c>
      <c r="U6902" s="4" t="str">
        <f>IFERROR(__xludf.DUMMYFUNCTION("""COMPUTED_VALUE"""),"Vuca Solution")</f>
        <v>Vuca Solution</v>
      </c>
      <c r="V6902" s="33">
        <f>IFERROR(__xludf.DUMMYFUNCTION("""COMPUTED_VALUE"""),1.0)</f>
        <v>1</v>
      </c>
      <c r="W6902" s="4" t="str">
        <f>IFERROR(__xludf.DUMMYFUNCTION("""COMPUTED_VALUE"""),"Vuca Solution")</f>
        <v>Vuca Solution</v>
      </c>
      <c r="X6902" s="33">
        <f>IFERROR(__xludf.DUMMYFUNCTION("""COMPUTED_VALUE"""),1.0)</f>
        <v>1</v>
      </c>
    </row>
    <row r="6903">
      <c r="K6903" s="4" t="str">
        <f>IFERROR(__xludf.DUMMYFUNCTION("""COMPUTED_VALUE"""),"DOMANI DELIVERY MARMITAS")</f>
        <v>DOMANI DELIVERY MARMITAS</v>
      </c>
      <c r="L6903" s="32">
        <f>IFERROR(__xludf.DUMMYFUNCTION("""COMPUTED_VALUE"""),2.0)</f>
        <v>2</v>
      </c>
      <c r="M6903" s="4" t="str">
        <f>IFERROR(__xludf.DUMMYFUNCTION("""COMPUTED_VALUE"""),"Parseint Desenvolvimento De Sistemas Ltda")</f>
        <v>Parseint Desenvolvimento De Sistemas Ltda</v>
      </c>
      <c r="N6903" s="33">
        <f>IFERROR(__xludf.DUMMYFUNCTION("""COMPUTED_VALUE"""),1.0)</f>
        <v>1</v>
      </c>
      <c r="O6903" s="4" t="str">
        <f>IFERROR(__xludf.DUMMYFUNCTION("""COMPUTED_VALUE"""),"Parseint Desenvolvimento De Sistemas Ltda")</f>
        <v>Parseint Desenvolvimento De Sistemas Ltda</v>
      </c>
      <c r="P6903" s="33">
        <f>IFERROR(__xludf.DUMMYFUNCTION("""COMPUTED_VALUE"""),1.0)</f>
        <v>1</v>
      </c>
      <c r="Q6903" s="4" t="str">
        <f>IFERROR(__xludf.DUMMYFUNCTION("""COMPUTED_VALUE"""),"Parseint Desenvolvimento De Sistemas Ltda")</f>
        <v>Parseint Desenvolvimento De Sistemas Ltda</v>
      </c>
      <c r="R6903" s="33">
        <f>IFERROR(__xludf.DUMMYFUNCTION("""COMPUTED_VALUE"""),1.0)</f>
        <v>1</v>
      </c>
      <c r="S6903" s="4" t="str">
        <f>IFERROR(__xludf.DUMMYFUNCTION("""COMPUTED_VALUE"""),"Parseint Desenvolvimento De Sistemas Ltda")</f>
        <v>Parseint Desenvolvimento De Sistemas Ltda</v>
      </c>
      <c r="T6903" s="33">
        <f>IFERROR(__xludf.DUMMYFUNCTION("""COMPUTED_VALUE"""),1.0)</f>
        <v>1</v>
      </c>
      <c r="U6903" s="4" t="str">
        <f>IFERROR(__xludf.DUMMYFUNCTION("""COMPUTED_VALUE"""),"Parseint Desenvolvimento De Sistemas Ltda")</f>
        <v>Parseint Desenvolvimento De Sistemas Ltda</v>
      </c>
      <c r="V6903" s="33">
        <f>IFERROR(__xludf.DUMMYFUNCTION("""COMPUTED_VALUE"""),1.0)</f>
        <v>1</v>
      </c>
      <c r="W6903" s="4" t="str">
        <f>IFERROR(__xludf.DUMMYFUNCTION("""COMPUTED_VALUE"""),"Parseint Desenvolvimento De Sistemas Ltda")</f>
        <v>Parseint Desenvolvimento De Sistemas Ltda</v>
      </c>
      <c r="X6903" s="33">
        <f>IFERROR(__xludf.DUMMYFUNCTION("""COMPUTED_VALUE"""),1.0)</f>
        <v>1</v>
      </c>
    </row>
    <row r="6904">
      <c r="K6904" s="4" t="str">
        <f>IFERROR(__xludf.DUMMYFUNCTION("""COMPUTED_VALUE"""),"DON BURGONE")</f>
        <v>DON BURGONE</v>
      </c>
      <c r="L6904" s="32">
        <f>IFERROR(__xludf.DUMMYFUNCTION("""COMPUTED_VALUE"""),2.0)</f>
        <v>2</v>
      </c>
      <c r="M6904" s="4" t="str">
        <f>IFERROR(__xludf.DUMMYFUNCTION("""COMPUTED_VALUE"""),"Consumer Soluções Em Tecnologia Ltda")</f>
        <v>Consumer Soluções Em Tecnologia Ltda</v>
      </c>
      <c r="N6904" s="33">
        <f>IFERROR(__xludf.DUMMYFUNCTION("""COMPUTED_VALUE"""),1.0)</f>
        <v>1</v>
      </c>
      <c r="O6904" s="4" t="str">
        <f>IFERROR(__xludf.DUMMYFUNCTION("""COMPUTED_VALUE"""),"null")</f>
        <v>null</v>
      </c>
      <c r="P6904" s="33">
        <f>IFERROR(__xludf.DUMMYFUNCTION("""COMPUTED_VALUE"""),0.5)</f>
        <v>0.5</v>
      </c>
      <c r="Q6904" s="4" t="str">
        <f>IFERROR(__xludf.DUMMYFUNCTION("""COMPUTED_VALUE"""),"null")</f>
        <v>null</v>
      </c>
      <c r="R6904" s="33">
        <f>IFERROR(__xludf.DUMMYFUNCTION("""COMPUTED_VALUE"""),1.0)</f>
        <v>1</v>
      </c>
      <c r="S6904" s="4" t="str">
        <f>IFERROR(__xludf.DUMMYFUNCTION("""COMPUTED_VALUE"""),"null")</f>
        <v>null</v>
      </c>
      <c r="T6904" s="33">
        <f>IFERROR(__xludf.DUMMYFUNCTION("""COMPUTED_VALUE"""),1.0)</f>
        <v>1</v>
      </c>
      <c r="U6904" s="4" t="str">
        <f>IFERROR(__xludf.DUMMYFUNCTION("""COMPUTED_VALUE"""),"null")</f>
        <v>null</v>
      </c>
      <c r="V6904" s="33">
        <f>IFERROR(__xludf.DUMMYFUNCTION("""COMPUTED_VALUE"""),1.0)</f>
        <v>1</v>
      </c>
      <c r="W6904" s="4" t="str">
        <f>IFERROR(__xludf.DUMMYFUNCTION("""COMPUTED_VALUE"""),"Consumer Soluções Em Tecnologia Ltda")</f>
        <v>Consumer Soluções Em Tecnologia Ltda</v>
      </c>
      <c r="X6904" s="33">
        <f>IFERROR(__xludf.DUMMYFUNCTION("""COMPUTED_VALUE"""),1.0)</f>
        <v>1</v>
      </c>
    </row>
    <row r="6905">
      <c r="K6905" s="4" t="str">
        <f>IFERROR(__xludf.DUMMYFUNCTION("""COMPUTED_VALUE"""),"DON CAMALEONE CONTA MARCA")</f>
        <v>DON CAMALEONE CONTA MARCA</v>
      </c>
      <c r="L6905" s="32">
        <f>IFERROR(__xludf.DUMMYFUNCTION("""COMPUTED_VALUE"""),2.0)</f>
        <v>2</v>
      </c>
      <c r="M6905" s="4" t="str">
        <f>IFERROR(__xludf.DUMMYFUNCTION("""COMPUTED_VALUE"""),"Teknisa Service Ltda")</f>
        <v>Teknisa Service Ltda</v>
      </c>
      <c r="N6905" s="33">
        <f>IFERROR(__xludf.DUMMYFUNCTION("""COMPUTED_VALUE"""),1.0)</f>
        <v>1</v>
      </c>
      <c r="O6905" s="4" t="str">
        <f>IFERROR(__xludf.DUMMYFUNCTION("""COMPUTED_VALUE"""),"Teknisa Service Ltda")</f>
        <v>Teknisa Service Ltda</v>
      </c>
      <c r="P6905" s="33">
        <f>IFERROR(__xludf.DUMMYFUNCTION("""COMPUTED_VALUE"""),0.5)</f>
        <v>0.5</v>
      </c>
      <c r="Q6905" s="4" t="str">
        <f>IFERROR(__xludf.DUMMYFUNCTION("""COMPUTED_VALUE"""),"Teknisa Service Ltda")</f>
        <v>Teknisa Service Ltda</v>
      </c>
      <c r="R6905" s="33">
        <f>IFERROR(__xludf.DUMMYFUNCTION("""COMPUTED_VALUE"""),0.5)</f>
        <v>0.5</v>
      </c>
      <c r="S6905" s="4" t="str">
        <f>IFERROR(__xludf.DUMMYFUNCTION("""COMPUTED_VALUE"""),"Teknisa Service Ltda")</f>
        <v>Teknisa Service Ltda</v>
      </c>
      <c r="T6905" s="33">
        <f>IFERROR(__xludf.DUMMYFUNCTION("""COMPUTED_VALUE"""),1.0)</f>
        <v>1</v>
      </c>
      <c r="U6905" s="4" t="str">
        <f>IFERROR(__xludf.DUMMYFUNCTION("""COMPUTED_VALUE"""),"Teknisa Service Ltda")</f>
        <v>Teknisa Service Ltda</v>
      </c>
      <c r="V6905" s="33">
        <f>IFERROR(__xludf.DUMMYFUNCTION("""COMPUTED_VALUE"""),0.5)</f>
        <v>0.5</v>
      </c>
      <c r="W6905" s="4" t="str">
        <f>IFERROR(__xludf.DUMMYFUNCTION("""COMPUTED_VALUE"""),"Teknisa Service Ltda")</f>
        <v>Teknisa Service Ltda</v>
      </c>
      <c r="X6905" s="33">
        <f>IFERROR(__xludf.DUMMYFUNCTION("""COMPUTED_VALUE"""),1.0)</f>
        <v>1</v>
      </c>
    </row>
    <row r="6906">
      <c r="K6906" s="4" t="str">
        <f>IFERROR(__xludf.DUMMYFUNCTION("""COMPUTED_VALUE"""),"DON CARLINI")</f>
        <v>DON CARLINI</v>
      </c>
      <c r="L6906" s="32">
        <f>IFERROR(__xludf.DUMMYFUNCTION("""COMPUTED_VALUE"""),2.0)</f>
        <v>2</v>
      </c>
      <c r="M6906" s="4" t="str">
        <f>IFERROR(__xludf.DUMMYFUNCTION("""COMPUTED_VALUE"""),"Saipos Serviços De Software")</f>
        <v>Saipos Serviços De Software</v>
      </c>
      <c r="N6906" s="33">
        <f>IFERROR(__xludf.DUMMYFUNCTION("""COMPUTED_VALUE"""),0.5)</f>
        <v>0.5</v>
      </c>
      <c r="O6906" s="4" t="str">
        <f>IFERROR(__xludf.DUMMYFUNCTION("""COMPUTED_VALUE"""),"Saipos Serviços De Software")</f>
        <v>Saipos Serviços De Software</v>
      </c>
      <c r="P6906" s="33">
        <f>IFERROR(__xludf.DUMMYFUNCTION("""COMPUTED_VALUE"""),0.5)</f>
        <v>0.5</v>
      </c>
      <c r="Q6906" s="4" t="str">
        <f>IFERROR(__xludf.DUMMYFUNCTION("""COMPUTED_VALUE"""),"Saipos Serviços De Software")</f>
        <v>Saipos Serviços De Software</v>
      </c>
      <c r="R6906" s="33">
        <f>IFERROR(__xludf.DUMMYFUNCTION("""COMPUTED_VALUE"""),1.0)</f>
        <v>1</v>
      </c>
      <c r="S6906" s="4" t="str">
        <f>IFERROR(__xludf.DUMMYFUNCTION("""COMPUTED_VALUE"""),"Saipos Serviços De Software")</f>
        <v>Saipos Serviços De Software</v>
      </c>
      <c r="T6906" s="33">
        <f>IFERROR(__xludf.DUMMYFUNCTION("""COMPUTED_VALUE"""),1.0)</f>
        <v>1</v>
      </c>
      <c r="U6906" s="4" t="str">
        <f>IFERROR(__xludf.DUMMYFUNCTION("""COMPUTED_VALUE"""),"Saipos Serviços De Software")</f>
        <v>Saipos Serviços De Software</v>
      </c>
      <c r="V6906" s="33">
        <f>IFERROR(__xludf.DUMMYFUNCTION("""COMPUTED_VALUE"""),1.0)</f>
        <v>1</v>
      </c>
      <c r="W6906" s="4" t="str">
        <f>IFERROR(__xludf.DUMMYFUNCTION("""COMPUTED_VALUE"""),"Saipos Serviços De Software")</f>
        <v>Saipos Serviços De Software</v>
      </c>
      <c r="X6906" s="33">
        <f>IFERROR(__xludf.DUMMYFUNCTION("""COMPUTED_VALUE"""),1.0)</f>
        <v>1</v>
      </c>
    </row>
    <row r="6907">
      <c r="K6907" s="4" t="str">
        <f>IFERROR(__xludf.DUMMYFUNCTION("""COMPUTED_VALUE"""),"DON GUSTO")</f>
        <v>DON GUSTO</v>
      </c>
      <c r="L6907" s="32">
        <f>IFERROR(__xludf.DUMMYFUNCTION("""COMPUTED_VALUE"""),2.0)</f>
        <v>2</v>
      </c>
      <c r="M6907" s="4" t="str">
        <f>IFERROR(__xludf.DUMMYFUNCTION("""COMPUTED_VALUE"""),"Saipos Serviços De Software")</f>
        <v>Saipos Serviços De Software</v>
      </c>
      <c r="N6907" s="33">
        <f>IFERROR(__xludf.DUMMYFUNCTION("""COMPUTED_VALUE"""),1.0)</f>
        <v>1</v>
      </c>
      <c r="O6907" s="4" t="str">
        <f>IFERROR(__xludf.DUMMYFUNCTION("""COMPUTED_VALUE"""),"Saipos Serviços De Software")</f>
        <v>Saipos Serviços De Software</v>
      </c>
      <c r="P6907" s="33">
        <f>IFERROR(__xludf.DUMMYFUNCTION("""COMPUTED_VALUE"""),1.0)</f>
        <v>1</v>
      </c>
      <c r="Q6907" s="4" t="str">
        <f>IFERROR(__xludf.DUMMYFUNCTION("""COMPUTED_VALUE"""),"Saipos Serviços De Software")</f>
        <v>Saipos Serviços De Software</v>
      </c>
      <c r="R6907" s="33">
        <f>IFERROR(__xludf.DUMMYFUNCTION("""COMPUTED_VALUE"""),1.0)</f>
        <v>1</v>
      </c>
      <c r="S6907" s="4" t="str">
        <f>IFERROR(__xludf.DUMMYFUNCTION("""COMPUTED_VALUE"""),"Saipos Serviços De Software")</f>
        <v>Saipos Serviços De Software</v>
      </c>
      <c r="T6907" s="33">
        <f>IFERROR(__xludf.DUMMYFUNCTION("""COMPUTED_VALUE"""),1.0)</f>
        <v>1</v>
      </c>
      <c r="U6907" s="4" t="str">
        <f>IFERROR(__xludf.DUMMYFUNCTION("""COMPUTED_VALUE"""),"Saipos Serviços De Software")</f>
        <v>Saipos Serviços De Software</v>
      </c>
      <c r="V6907" s="33">
        <f>IFERROR(__xludf.DUMMYFUNCTION("""COMPUTED_VALUE"""),1.0)</f>
        <v>1</v>
      </c>
      <c r="W6907" s="4" t="str">
        <f>IFERROR(__xludf.DUMMYFUNCTION("""COMPUTED_VALUE"""),"Saipos Serviços De Software")</f>
        <v>Saipos Serviços De Software</v>
      </c>
      <c r="X6907" s="33">
        <f>IFERROR(__xludf.DUMMYFUNCTION("""COMPUTED_VALUE"""),0.5)</f>
        <v>0.5</v>
      </c>
    </row>
    <row r="6908">
      <c r="K6908" s="4" t="str">
        <f>IFERROR(__xludf.DUMMYFUNCTION("""COMPUTED_VALUE"""),"DONA DOCITOS DOCERIA CONFEITARI")</f>
        <v>DONA DOCITOS DOCERIA CONFEITARI</v>
      </c>
      <c r="L6908" s="32">
        <f>IFERROR(__xludf.DUMMYFUNCTION("""COMPUTED_VALUE"""),2.0)</f>
        <v>2</v>
      </c>
      <c r="M6908" s="4" t="str">
        <f>IFERROR(__xludf.DUMMYFUNCTION("""COMPUTED_VALUE"""),"Saipos Serviços De Software")</f>
        <v>Saipos Serviços De Software</v>
      </c>
      <c r="N6908" s="33">
        <f>IFERROR(__xludf.DUMMYFUNCTION("""COMPUTED_VALUE"""),0.5)</f>
        <v>0.5</v>
      </c>
      <c r="O6908" s="4" t="str">
        <f>IFERROR(__xludf.DUMMYFUNCTION("""COMPUTED_VALUE"""),"null")</f>
        <v>null</v>
      </c>
      <c r="P6908" s="33">
        <f>IFERROR(__xludf.DUMMYFUNCTION("""COMPUTED_VALUE"""),0.5)</f>
        <v>0.5</v>
      </c>
      <c r="Q6908" s="4" t="str">
        <f>IFERROR(__xludf.DUMMYFUNCTION("""COMPUTED_VALUE"""),"Cardápio Web")</f>
        <v>Cardápio Web</v>
      </c>
      <c r="R6908" s="33">
        <f>IFERROR(__xludf.DUMMYFUNCTION("""COMPUTED_VALUE"""),1.0)</f>
        <v>1</v>
      </c>
      <c r="S6908" s="4" t="str">
        <f>IFERROR(__xludf.DUMMYFUNCTION("""COMPUTED_VALUE"""),"Cardápio Web")</f>
        <v>Cardápio Web</v>
      </c>
      <c r="T6908" s="33">
        <f>IFERROR(__xludf.DUMMYFUNCTION("""COMPUTED_VALUE"""),1.0)</f>
        <v>1</v>
      </c>
      <c r="U6908" s="4" t="str">
        <f>IFERROR(__xludf.DUMMYFUNCTION("""COMPUTED_VALUE"""),"Cardápio Web")</f>
        <v>Cardápio Web</v>
      </c>
      <c r="V6908" s="33">
        <f>IFERROR(__xludf.DUMMYFUNCTION("""COMPUTED_VALUE"""),1.0)</f>
        <v>1</v>
      </c>
      <c r="W6908" s="4" t="str">
        <f>IFERROR(__xludf.DUMMYFUNCTION("""COMPUTED_VALUE"""),"Cardápio Web")</f>
        <v>Cardápio Web</v>
      </c>
      <c r="X6908" s="33">
        <f>IFERROR(__xludf.DUMMYFUNCTION("""COMPUTED_VALUE"""),1.0)</f>
        <v>1</v>
      </c>
    </row>
    <row r="6909">
      <c r="K6909" s="4" t="str">
        <f>IFERROR(__xludf.DUMMYFUNCTION("""COMPUTED_VALUE"""),"DONA MARIA MARCA")</f>
        <v>DONA MARIA MARCA</v>
      </c>
      <c r="L6909" s="32">
        <f>IFERROR(__xludf.DUMMYFUNCTION("""COMPUTED_VALUE"""),2.0)</f>
        <v>2</v>
      </c>
      <c r="M6909" s="4" t="str">
        <f>IFERROR(__xludf.DUMMYFUNCTION("""COMPUTED_VALUE"""),"null")</f>
        <v>null</v>
      </c>
      <c r="N6909" s="33">
        <f>IFERROR(__xludf.DUMMYFUNCTION("""COMPUTED_VALUE"""),1.0)</f>
        <v>1</v>
      </c>
      <c r="O6909" s="4" t="str">
        <f>IFERROR(__xludf.DUMMYFUNCTION("""COMPUTED_VALUE"""),"null")</f>
        <v>null</v>
      </c>
      <c r="P6909" s="33">
        <f>IFERROR(__xludf.DUMMYFUNCTION("""COMPUTED_VALUE"""),1.0)</f>
        <v>1</v>
      </c>
      <c r="Q6909" s="4" t="str">
        <f>IFERROR(__xludf.DUMMYFUNCTION("""COMPUTED_VALUE"""),"null")</f>
        <v>null</v>
      </c>
      <c r="R6909" s="33">
        <f>IFERROR(__xludf.DUMMYFUNCTION("""COMPUTED_VALUE"""),1.0)</f>
        <v>1</v>
      </c>
      <c r="S6909" s="4" t="str">
        <f>IFERROR(__xludf.DUMMYFUNCTION("""COMPUTED_VALUE"""),"null")</f>
        <v>null</v>
      </c>
      <c r="T6909" s="33">
        <f>IFERROR(__xludf.DUMMYFUNCTION("""COMPUTED_VALUE"""),1.0)</f>
        <v>1</v>
      </c>
      <c r="U6909" s="4" t="str">
        <f>IFERROR(__xludf.DUMMYFUNCTION("""COMPUTED_VALUE"""),"Saipos Serviços De Software")</f>
        <v>Saipos Serviços De Software</v>
      </c>
      <c r="V6909" s="33">
        <f>IFERROR(__xludf.DUMMYFUNCTION("""COMPUTED_VALUE"""),1.0)</f>
        <v>1</v>
      </c>
      <c r="W6909" s="4" t="str">
        <f>IFERROR(__xludf.DUMMYFUNCTION("""COMPUTED_VALUE"""),"Saipos Serviços De Software")</f>
        <v>Saipos Serviços De Software</v>
      </c>
      <c r="X6909" s="33">
        <f>IFERROR(__xludf.DUMMYFUNCTION("""COMPUTED_VALUE"""),1.0)</f>
        <v>1</v>
      </c>
    </row>
    <row r="6910">
      <c r="K6910" s="4" t="str">
        <f>IFERROR(__xludf.DUMMYFUNCTION("""COMPUTED_VALUE"""),"DONA QUENTINHA - CONTA PAI")</f>
        <v>DONA QUENTINHA - CONTA PAI</v>
      </c>
      <c r="L6910" s="32">
        <f>IFERROR(__xludf.DUMMYFUNCTION("""COMPUTED_VALUE"""),2.0)</f>
        <v>2</v>
      </c>
      <c r="M6910" s="4" t="str">
        <f>IFERROR(__xludf.DUMMYFUNCTION("""COMPUTED_VALUE"""),"null")</f>
        <v>null</v>
      </c>
      <c r="N6910" s="33">
        <f>IFERROR(__xludf.DUMMYFUNCTION("""COMPUTED_VALUE"""),1.0)</f>
        <v>1</v>
      </c>
      <c r="O6910" s="4" t="str">
        <f>IFERROR(__xludf.DUMMYFUNCTION("""COMPUTED_VALUE"""),"null")</f>
        <v>null</v>
      </c>
      <c r="P6910" s="33">
        <f>IFERROR(__xludf.DUMMYFUNCTION("""COMPUTED_VALUE"""),1.0)</f>
        <v>1</v>
      </c>
      <c r="Q6910" s="4" t="str">
        <f>IFERROR(__xludf.DUMMYFUNCTION("""COMPUTED_VALUE"""),"null")</f>
        <v>null</v>
      </c>
      <c r="R6910" s="33">
        <f>IFERROR(__xludf.DUMMYFUNCTION("""COMPUTED_VALUE"""),1.0)</f>
        <v>1</v>
      </c>
      <c r="S6910" s="4" t="str">
        <f>IFERROR(__xludf.DUMMYFUNCTION("""COMPUTED_VALUE"""),"Brendi")</f>
        <v>Brendi</v>
      </c>
      <c r="T6910" s="33">
        <f>IFERROR(__xludf.DUMMYFUNCTION("""COMPUTED_VALUE"""),1.0)</f>
        <v>1</v>
      </c>
      <c r="U6910" s="4" t="str">
        <f>IFERROR(__xludf.DUMMYFUNCTION("""COMPUTED_VALUE"""),"Saipos Serviços De Software")</f>
        <v>Saipos Serviços De Software</v>
      </c>
      <c r="V6910" s="33">
        <f>IFERROR(__xludf.DUMMYFUNCTION("""COMPUTED_VALUE"""),1.0)</f>
        <v>1</v>
      </c>
      <c r="W6910" s="4" t="str">
        <f>IFERROR(__xludf.DUMMYFUNCTION("""COMPUTED_VALUE"""),"Saipos Serviços De Software")</f>
        <v>Saipos Serviços De Software</v>
      </c>
      <c r="X6910" s="33">
        <f>IFERROR(__xludf.DUMMYFUNCTION("""COMPUTED_VALUE"""),1.0)</f>
        <v>1</v>
      </c>
    </row>
    <row r="6911">
      <c r="K6911" s="4" t="str">
        <f>IFERROR(__xludf.DUMMYFUNCTION("""COMPUTED_VALUE"""),"DONA XICA FOOD - CONTA PAI")</f>
        <v>DONA XICA FOOD - CONTA PAI</v>
      </c>
      <c r="L6911" s="32">
        <f>IFERROR(__xludf.DUMMYFUNCTION("""COMPUTED_VALUE"""),2.0)</f>
        <v>2</v>
      </c>
      <c r="M6911" s="4" t="str">
        <f>IFERROR(__xludf.DUMMYFUNCTION("""COMPUTED_VALUE"""),"null")</f>
        <v>null</v>
      </c>
      <c r="N6911" s="33">
        <f>IFERROR(__xludf.DUMMYFUNCTION("""COMPUTED_VALUE"""),1.0)</f>
        <v>1</v>
      </c>
      <c r="O6911" s="4" t="str">
        <f>IFERROR(__xludf.DUMMYFUNCTION("""COMPUTED_VALUE"""),"Saipos Serviços De Software")</f>
        <v>Saipos Serviços De Software</v>
      </c>
      <c r="P6911" s="33">
        <f>IFERROR(__xludf.DUMMYFUNCTION("""COMPUTED_VALUE"""),1.0)</f>
        <v>1</v>
      </c>
      <c r="Q6911" s="4" t="str">
        <f>IFERROR(__xludf.DUMMYFUNCTION("""COMPUTED_VALUE"""),"Saipos Serviços De Software")</f>
        <v>Saipos Serviços De Software</v>
      </c>
      <c r="R6911" s="33">
        <f>IFERROR(__xludf.DUMMYFUNCTION("""COMPUTED_VALUE"""),1.0)</f>
        <v>1</v>
      </c>
      <c r="S6911" s="4" t="str">
        <f>IFERROR(__xludf.DUMMYFUNCTION("""COMPUTED_VALUE"""),"Saipos Serviços De Software")</f>
        <v>Saipos Serviços De Software</v>
      </c>
      <c r="T6911" s="33">
        <f>IFERROR(__xludf.DUMMYFUNCTION("""COMPUTED_VALUE"""),1.0)</f>
        <v>1</v>
      </c>
      <c r="U6911" s="4" t="str">
        <f>IFERROR(__xludf.DUMMYFUNCTION("""COMPUTED_VALUE"""),"Saipos Serviços De Software")</f>
        <v>Saipos Serviços De Software</v>
      </c>
      <c r="V6911" s="33">
        <f>IFERROR(__xludf.DUMMYFUNCTION("""COMPUTED_VALUE"""),0.5)</f>
        <v>0.5</v>
      </c>
      <c r="W6911" s="4" t="str">
        <f>IFERROR(__xludf.DUMMYFUNCTION("""COMPUTED_VALUE"""),"Saipos Serviços De Software")</f>
        <v>Saipos Serviços De Software</v>
      </c>
      <c r="X6911" s="33">
        <f>IFERROR(__xludf.DUMMYFUNCTION("""COMPUTED_VALUE"""),0.5)</f>
        <v>0.5</v>
      </c>
    </row>
    <row r="6912">
      <c r="K6912" s="4" t="str">
        <f>IFERROR(__xludf.DUMMYFUNCTION("""COMPUTED_VALUE"""),"DONADEL")</f>
        <v>DONADEL</v>
      </c>
      <c r="L6912" s="32">
        <f>IFERROR(__xludf.DUMMYFUNCTION("""COMPUTED_VALUE"""),2.0)</f>
        <v>2</v>
      </c>
      <c r="M6912" s="4" t="str">
        <f>IFERROR(__xludf.DUMMYFUNCTION("""COMPUTED_VALUE"""),"Solução Sistemas")</f>
        <v>Solução Sistemas</v>
      </c>
      <c r="N6912" s="33">
        <f>IFERROR(__xludf.DUMMYFUNCTION("""COMPUTED_VALUE"""),1.0)</f>
        <v>1</v>
      </c>
      <c r="O6912" s="4" t="str">
        <f>IFERROR(__xludf.DUMMYFUNCTION("""COMPUTED_VALUE"""),"null")</f>
        <v>null</v>
      </c>
      <c r="P6912" s="33">
        <f>IFERROR(__xludf.DUMMYFUNCTION("""COMPUTED_VALUE"""),0.5)</f>
        <v>0.5</v>
      </c>
      <c r="Q6912" s="4" t="str">
        <f>IFERROR(__xludf.DUMMYFUNCTION("""COMPUTED_VALUE"""),"Solução Sistemas")</f>
        <v>Solução Sistemas</v>
      </c>
      <c r="R6912" s="33">
        <f>IFERROR(__xludf.DUMMYFUNCTION("""COMPUTED_VALUE"""),1.0)</f>
        <v>1</v>
      </c>
      <c r="S6912" s="4" t="str">
        <f>IFERROR(__xludf.DUMMYFUNCTION("""COMPUTED_VALUE"""),"null")</f>
        <v>null</v>
      </c>
      <c r="T6912" s="33">
        <f>IFERROR(__xludf.DUMMYFUNCTION("""COMPUTED_VALUE"""),0.5)</f>
        <v>0.5</v>
      </c>
      <c r="U6912" s="4" t="str">
        <f>IFERROR(__xludf.DUMMYFUNCTION("""COMPUTED_VALUE"""),"Izzy Way Tecnologia")</f>
        <v>Izzy Way Tecnologia</v>
      </c>
      <c r="V6912" s="33">
        <f>IFERROR(__xludf.DUMMYFUNCTION("""COMPUTED_VALUE"""),0.5)</f>
        <v>0.5</v>
      </c>
      <c r="W6912" s="4" t="str">
        <f>IFERROR(__xludf.DUMMYFUNCTION("""COMPUTED_VALUE"""),"Izzy Way Tecnologia")</f>
        <v>Izzy Way Tecnologia</v>
      </c>
      <c r="X6912" s="33">
        <f>IFERROR(__xludf.DUMMYFUNCTION("""COMPUTED_VALUE"""),0.5)</f>
        <v>0.5</v>
      </c>
    </row>
    <row r="6913">
      <c r="K6913" s="4" t="str">
        <f>IFERROR(__xludf.DUMMYFUNCTION("""COMPUTED_VALUE"""),"DONNA SALADA MOSSORO - CONTA PAI")</f>
        <v>DONNA SALADA MOSSORO - CONTA PAI</v>
      </c>
      <c r="L6913" s="32">
        <f>IFERROR(__xludf.DUMMYFUNCTION("""COMPUTED_VALUE"""),2.0)</f>
        <v>2</v>
      </c>
      <c r="M6913" s="4" t="str">
        <f>IFERROR(__xludf.DUMMYFUNCTION("""COMPUTED_VALUE"""),"null")</f>
        <v>null</v>
      </c>
      <c r="N6913" s="33">
        <f>IFERROR(__xludf.DUMMYFUNCTION("""COMPUTED_VALUE"""),0.5)</f>
        <v>0.5</v>
      </c>
      <c r="O6913" s="4" t="str">
        <f>IFERROR(__xludf.DUMMYFUNCTION("""COMPUTED_VALUE"""),"null")</f>
        <v>null</v>
      </c>
      <c r="P6913" s="33">
        <f>IFERROR(__xludf.DUMMYFUNCTION("""COMPUTED_VALUE"""),1.0)</f>
        <v>1</v>
      </c>
      <c r="Q6913" s="4" t="str">
        <f>IFERROR(__xludf.DUMMYFUNCTION("""COMPUTED_VALUE"""),"null")</f>
        <v>null</v>
      </c>
      <c r="R6913" s="33">
        <f>IFERROR(__xludf.DUMMYFUNCTION("""COMPUTED_VALUE"""),1.0)</f>
        <v>1</v>
      </c>
      <c r="S6913" s="4" t="str">
        <f>IFERROR(__xludf.DUMMYFUNCTION("""COMPUTED_VALUE"""),"Alloy Tecnologia")</f>
        <v>Alloy Tecnologia</v>
      </c>
      <c r="T6913" s="33">
        <f>IFERROR(__xludf.DUMMYFUNCTION("""COMPUTED_VALUE"""),0.5)</f>
        <v>0.5</v>
      </c>
      <c r="U6913" s="4" t="str">
        <f>IFERROR(__xludf.DUMMYFUNCTION("""COMPUTED_VALUE"""),"Alloy Tecnologia")</f>
        <v>Alloy Tecnologia</v>
      </c>
      <c r="V6913" s="33">
        <f>IFERROR(__xludf.DUMMYFUNCTION("""COMPUTED_VALUE"""),0.5)</f>
        <v>0.5</v>
      </c>
      <c r="W6913" s="4" t="str">
        <f>IFERROR(__xludf.DUMMYFUNCTION("""COMPUTED_VALUE"""),"Alloy Tecnologia")</f>
        <v>Alloy Tecnologia</v>
      </c>
      <c r="X6913" s="33">
        <f>IFERROR(__xludf.DUMMYFUNCTION("""COMPUTED_VALUE"""),0.5)</f>
        <v>0.5</v>
      </c>
    </row>
    <row r="6914">
      <c r="K6914" s="4" t="str">
        <f>IFERROR(__xludf.DUMMYFUNCTION("""COMPUTED_VALUE"""),"DONS SHAWARMA - JOINVILLE - CONTA MARCA")</f>
        <v>DONS SHAWARMA - JOINVILLE - CONTA MARCA</v>
      </c>
      <c r="L6914" s="32">
        <f>IFERROR(__xludf.DUMMYFUNCTION("""COMPUTED_VALUE"""),2.0)</f>
        <v>2</v>
      </c>
      <c r="M6914" s="4" t="str">
        <f>IFERROR(__xludf.DUMMYFUNCTION("""COMPUTED_VALUE"""),"Yooga")</f>
        <v>Yooga</v>
      </c>
      <c r="N6914" s="33">
        <f>IFERROR(__xludf.DUMMYFUNCTION("""COMPUTED_VALUE"""),1.0)</f>
        <v>1</v>
      </c>
      <c r="O6914" s="4" t="str">
        <f>IFERROR(__xludf.DUMMYFUNCTION("""COMPUTED_VALUE"""),"Yooga")</f>
        <v>Yooga</v>
      </c>
      <c r="P6914" s="33">
        <f>IFERROR(__xludf.DUMMYFUNCTION("""COMPUTED_VALUE"""),1.0)</f>
        <v>1</v>
      </c>
      <c r="Q6914" s="4" t="str">
        <f>IFERROR(__xludf.DUMMYFUNCTION("""COMPUTED_VALUE"""),"Yooga")</f>
        <v>Yooga</v>
      </c>
      <c r="R6914" s="33">
        <f>IFERROR(__xludf.DUMMYFUNCTION("""COMPUTED_VALUE"""),1.0)</f>
        <v>1</v>
      </c>
      <c r="S6914" s="4" t="str">
        <f>IFERROR(__xludf.DUMMYFUNCTION("""COMPUTED_VALUE"""),"Yooga")</f>
        <v>Yooga</v>
      </c>
      <c r="T6914" s="33">
        <f>IFERROR(__xludf.DUMMYFUNCTION("""COMPUTED_VALUE"""),1.0)</f>
        <v>1</v>
      </c>
      <c r="U6914" s="4" t="str">
        <f>IFERROR(__xludf.DUMMYFUNCTION("""COMPUTED_VALUE"""),"Yooga")</f>
        <v>Yooga</v>
      </c>
      <c r="V6914" s="33">
        <f>IFERROR(__xludf.DUMMYFUNCTION("""COMPUTED_VALUE"""),1.0)</f>
        <v>1</v>
      </c>
      <c r="W6914" s="4" t="str">
        <f>IFERROR(__xludf.DUMMYFUNCTION("""COMPUTED_VALUE"""),"Yooga")</f>
        <v>Yooga</v>
      </c>
      <c r="X6914" s="33">
        <f>IFERROR(__xludf.DUMMYFUNCTION("""COMPUTED_VALUE"""),1.0)</f>
        <v>1</v>
      </c>
    </row>
    <row r="6915">
      <c r="K6915" s="4" t="str">
        <f>IFERROR(__xludf.DUMMYFUNCTION("""COMPUTED_VALUE"""),"DONSABORE SALGADOS")</f>
        <v>DONSABORE SALGADOS</v>
      </c>
      <c r="L6915" s="32">
        <f>IFERROR(__xludf.DUMMYFUNCTION("""COMPUTED_VALUE"""),2.0)</f>
        <v>2</v>
      </c>
      <c r="M6915" s="4" t="str">
        <f>IFERROR(__xludf.DUMMYFUNCTION("""COMPUTED_VALUE"""),"Saipos Serviços De Software")</f>
        <v>Saipos Serviços De Software</v>
      </c>
      <c r="N6915" s="33">
        <f>IFERROR(__xludf.DUMMYFUNCTION("""COMPUTED_VALUE"""),1.0)</f>
        <v>1</v>
      </c>
      <c r="O6915" s="4" t="str">
        <f>IFERROR(__xludf.DUMMYFUNCTION("""COMPUTED_VALUE"""),"Saipos Serviços De Software")</f>
        <v>Saipos Serviços De Software</v>
      </c>
      <c r="P6915" s="33">
        <f>IFERROR(__xludf.DUMMYFUNCTION("""COMPUTED_VALUE"""),1.0)</f>
        <v>1</v>
      </c>
      <c r="Q6915" s="4" t="str">
        <f>IFERROR(__xludf.DUMMYFUNCTION("""COMPUTED_VALUE"""),"Saipos Serviços De Software")</f>
        <v>Saipos Serviços De Software</v>
      </c>
      <c r="R6915" s="33">
        <f>IFERROR(__xludf.DUMMYFUNCTION("""COMPUTED_VALUE"""),1.0)</f>
        <v>1</v>
      </c>
      <c r="S6915" s="4" t="str">
        <f>IFERROR(__xludf.DUMMYFUNCTION("""COMPUTED_VALUE"""),"Saipos Serviços De Software")</f>
        <v>Saipos Serviços De Software</v>
      </c>
      <c r="T6915" s="33">
        <f>IFERROR(__xludf.DUMMYFUNCTION("""COMPUTED_VALUE"""),1.0)</f>
        <v>1</v>
      </c>
      <c r="U6915" s="4" t="str">
        <f>IFERROR(__xludf.DUMMYFUNCTION("""COMPUTED_VALUE"""),"Saipos Serviços De Software")</f>
        <v>Saipos Serviços De Software</v>
      </c>
      <c r="V6915" s="33">
        <f>IFERROR(__xludf.DUMMYFUNCTION("""COMPUTED_VALUE"""),1.0)</f>
        <v>1</v>
      </c>
      <c r="W6915" s="4" t="str">
        <f>IFERROR(__xludf.DUMMYFUNCTION("""COMPUTED_VALUE"""),"Saipos Serviços De Software")</f>
        <v>Saipos Serviços De Software</v>
      </c>
      <c r="X6915" s="33">
        <f>IFERROR(__xludf.DUMMYFUNCTION("""COMPUTED_VALUE"""),1.0)</f>
        <v>1</v>
      </c>
    </row>
    <row r="6916">
      <c r="K6916" s="4" t="str">
        <f>IFERROR(__xludf.DUMMYFUNCTION("""COMPUTED_VALUE"""),"DONUTS A BESSA")</f>
        <v>DONUTS A BESSA</v>
      </c>
      <c r="L6916" s="32">
        <f>IFERROR(__xludf.DUMMYFUNCTION("""COMPUTED_VALUE"""),2.0)</f>
        <v>2</v>
      </c>
      <c r="M6916" s="4" t="str">
        <f>IFERROR(__xludf.DUMMYFUNCTION("""COMPUTED_VALUE"""),"Saipos Serviços De Software")</f>
        <v>Saipos Serviços De Software</v>
      </c>
      <c r="N6916" s="33">
        <f>IFERROR(__xludf.DUMMYFUNCTION("""COMPUTED_VALUE"""),1.0)</f>
        <v>1</v>
      </c>
      <c r="O6916" s="4" t="str">
        <f>IFERROR(__xludf.DUMMYFUNCTION("""COMPUTED_VALUE"""),"Saipos Serviços De Software")</f>
        <v>Saipos Serviços De Software</v>
      </c>
      <c r="P6916" s="33">
        <f>IFERROR(__xludf.DUMMYFUNCTION("""COMPUTED_VALUE"""),1.0)</f>
        <v>1</v>
      </c>
      <c r="Q6916" s="4" t="str">
        <f>IFERROR(__xludf.DUMMYFUNCTION("""COMPUTED_VALUE"""),"Saipos Serviços De Software")</f>
        <v>Saipos Serviços De Software</v>
      </c>
      <c r="R6916" s="33">
        <f>IFERROR(__xludf.DUMMYFUNCTION("""COMPUTED_VALUE"""),1.0)</f>
        <v>1</v>
      </c>
      <c r="S6916" s="4" t="str">
        <f>IFERROR(__xludf.DUMMYFUNCTION("""COMPUTED_VALUE"""),"Saipos Serviços De Software")</f>
        <v>Saipos Serviços De Software</v>
      </c>
      <c r="T6916" s="33">
        <f>IFERROR(__xludf.DUMMYFUNCTION("""COMPUTED_VALUE"""),1.0)</f>
        <v>1</v>
      </c>
      <c r="U6916" s="4" t="str">
        <f>IFERROR(__xludf.DUMMYFUNCTION("""COMPUTED_VALUE"""),"Saipos Serviços De Software")</f>
        <v>Saipos Serviços De Software</v>
      </c>
      <c r="V6916" s="33">
        <f>IFERROR(__xludf.DUMMYFUNCTION("""COMPUTED_VALUE"""),1.0)</f>
        <v>1</v>
      </c>
      <c r="W6916" s="4" t="str">
        <f>IFERROR(__xludf.DUMMYFUNCTION("""COMPUTED_VALUE"""),"null")</f>
        <v>null</v>
      </c>
      <c r="X6916" s="33">
        <f>IFERROR(__xludf.DUMMYFUNCTION("""COMPUTED_VALUE"""),0.5)</f>
        <v>0.5</v>
      </c>
    </row>
    <row r="6917">
      <c r="K6917" s="4" t="str">
        <f>IFERROR(__xludf.DUMMYFUNCTION("""COMPUTED_VALUE"""),"DORIVAL")</f>
        <v>DORIVAL</v>
      </c>
      <c r="L6917" s="32">
        <f>IFERROR(__xludf.DUMMYFUNCTION("""COMPUTED_VALUE"""),2.0)</f>
        <v>2</v>
      </c>
      <c r="M6917" s="4" t="str">
        <f>IFERROR(__xludf.DUMMYFUNCTION("""COMPUTED_VALUE"""),"Alpha Logo")</f>
        <v>Alpha Logo</v>
      </c>
      <c r="N6917" s="33">
        <f>IFERROR(__xludf.DUMMYFUNCTION("""COMPUTED_VALUE"""),1.0)</f>
        <v>1</v>
      </c>
      <c r="O6917" s="4" t="str">
        <f>IFERROR(__xludf.DUMMYFUNCTION("""COMPUTED_VALUE"""),"Alpha Logo")</f>
        <v>Alpha Logo</v>
      </c>
      <c r="P6917" s="33">
        <f>IFERROR(__xludf.DUMMYFUNCTION("""COMPUTED_VALUE"""),1.0)</f>
        <v>1</v>
      </c>
      <c r="Q6917" s="4" t="str">
        <f>IFERROR(__xludf.DUMMYFUNCTION("""COMPUTED_VALUE"""),"Alpha Logo")</f>
        <v>Alpha Logo</v>
      </c>
      <c r="R6917" s="33">
        <f>IFERROR(__xludf.DUMMYFUNCTION("""COMPUTED_VALUE"""),1.0)</f>
        <v>1</v>
      </c>
      <c r="S6917" s="4" t="str">
        <f>IFERROR(__xludf.DUMMYFUNCTION("""COMPUTED_VALUE"""),"Alpha Logo")</f>
        <v>Alpha Logo</v>
      </c>
      <c r="T6917" s="33">
        <f>IFERROR(__xludf.DUMMYFUNCTION("""COMPUTED_VALUE"""),1.0)</f>
        <v>1</v>
      </c>
      <c r="U6917" s="4" t="str">
        <f>IFERROR(__xludf.DUMMYFUNCTION("""COMPUTED_VALUE"""),"Alpha Logo")</f>
        <v>Alpha Logo</v>
      </c>
      <c r="V6917" s="33">
        <f>IFERROR(__xludf.DUMMYFUNCTION("""COMPUTED_VALUE"""),1.0)</f>
        <v>1</v>
      </c>
      <c r="W6917" s="4" t="str">
        <f>IFERROR(__xludf.DUMMYFUNCTION("""COMPUTED_VALUE"""),"Alpha Logo")</f>
        <v>Alpha Logo</v>
      </c>
      <c r="X6917" s="33">
        <f>IFERROR(__xludf.DUMMYFUNCTION("""COMPUTED_VALUE"""),1.0)</f>
        <v>1</v>
      </c>
    </row>
    <row r="6918">
      <c r="K6918" s="4" t="str">
        <f>IFERROR(__xludf.DUMMYFUNCTION("""COMPUTED_VALUE"""),"DOUBLE TROUBLE")</f>
        <v>DOUBLE TROUBLE</v>
      </c>
      <c r="L6918" s="32">
        <f>IFERROR(__xludf.DUMMYFUNCTION("""COMPUTED_VALUE"""),2.0)</f>
        <v>2</v>
      </c>
      <c r="M6918" s="4" t="str">
        <f>IFERROR(__xludf.DUMMYFUNCTION("""COMPUTED_VALUE"""),"Saipos Serviços De Software")</f>
        <v>Saipos Serviços De Software</v>
      </c>
      <c r="N6918" s="33">
        <f>IFERROR(__xludf.DUMMYFUNCTION("""COMPUTED_VALUE"""),1.0)</f>
        <v>1</v>
      </c>
      <c r="O6918" s="4" t="str">
        <f>IFERROR(__xludf.DUMMYFUNCTION("""COMPUTED_VALUE"""),"Saipos Serviços De Software")</f>
        <v>Saipos Serviços De Software</v>
      </c>
      <c r="P6918" s="33">
        <f>IFERROR(__xludf.DUMMYFUNCTION("""COMPUTED_VALUE"""),1.0)</f>
        <v>1</v>
      </c>
      <c r="Q6918" s="4" t="str">
        <f>IFERROR(__xludf.DUMMYFUNCTION("""COMPUTED_VALUE"""),"Saipos Serviços De Software")</f>
        <v>Saipos Serviços De Software</v>
      </c>
      <c r="R6918" s="33">
        <f>IFERROR(__xludf.DUMMYFUNCTION("""COMPUTED_VALUE"""),1.0)</f>
        <v>1</v>
      </c>
      <c r="S6918" s="4" t="str">
        <f>IFERROR(__xludf.DUMMYFUNCTION("""COMPUTED_VALUE"""),"Saipos Serviços De Software")</f>
        <v>Saipos Serviços De Software</v>
      </c>
      <c r="T6918" s="33">
        <f>IFERROR(__xludf.DUMMYFUNCTION("""COMPUTED_VALUE"""),1.0)</f>
        <v>1</v>
      </c>
      <c r="U6918" s="4" t="str">
        <f>IFERROR(__xludf.DUMMYFUNCTION("""COMPUTED_VALUE"""),"Saipos Serviços De Software")</f>
        <v>Saipos Serviços De Software</v>
      </c>
      <c r="V6918" s="33">
        <f>IFERROR(__xludf.DUMMYFUNCTION("""COMPUTED_VALUE"""),1.0)</f>
        <v>1</v>
      </c>
      <c r="W6918" s="4" t="str">
        <f>IFERROR(__xludf.DUMMYFUNCTION("""COMPUTED_VALUE"""),"Saipos Serviços De Software")</f>
        <v>Saipos Serviços De Software</v>
      </c>
      <c r="X6918" s="33">
        <f>IFERROR(__xludf.DUMMYFUNCTION("""COMPUTED_VALUE"""),1.0)</f>
        <v>1</v>
      </c>
    </row>
    <row r="6919">
      <c r="K6919" s="4" t="str">
        <f>IFERROR(__xludf.DUMMYFUNCTION("""COMPUTED_VALUE"""),"DR PIZZA - MARCA")</f>
        <v>DR PIZZA - MARCA</v>
      </c>
      <c r="L6919" s="32">
        <f>IFERROR(__xludf.DUMMYFUNCTION("""COMPUTED_VALUE"""),2.0)</f>
        <v>2</v>
      </c>
      <c r="M6919" s="4" t="str">
        <f>IFERROR(__xludf.DUMMYFUNCTION("""COMPUTED_VALUE"""),"Tronsoft Soluções Ltda.")</f>
        <v>Tronsoft Soluções Ltda.</v>
      </c>
      <c r="N6919" s="33">
        <f>IFERROR(__xludf.DUMMYFUNCTION("""COMPUTED_VALUE"""),1.0)</f>
        <v>1</v>
      </c>
      <c r="O6919" s="4" t="str">
        <f>IFERROR(__xludf.DUMMYFUNCTION("""COMPUTED_VALUE"""),"null")</f>
        <v>null</v>
      </c>
      <c r="P6919" s="33">
        <f>IFERROR(__xludf.DUMMYFUNCTION("""COMPUTED_VALUE"""),1.0)</f>
        <v>1</v>
      </c>
      <c r="Q6919" s="4" t="str">
        <f>IFERROR(__xludf.DUMMYFUNCTION("""COMPUTED_VALUE"""),"null")</f>
        <v>null</v>
      </c>
      <c r="R6919" s="33">
        <f>IFERROR(__xludf.DUMMYFUNCTION("""COMPUTED_VALUE"""),0.5)</f>
        <v>0.5</v>
      </c>
      <c r="S6919" s="4" t="str">
        <f>IFERROR(__xludf.DUMMYFUNCTION("""COMPUTED_VALUE"""),"null")</f>
        <v>null</v>
      </c>
      <c r="T6919" s="33">
        <f>IFERROR(__xludf.DUMMYFUNCTION("""COMPUTED_VALUE"""),1.0)</f>
        <v>1</v>
      </c>
      <c r="U6919" s="4" t="str">
        <f>IFERROR(__xludf.DUMMYFUNCTION("""COMPUTED_VALUE"""),"Tronsoft Soluções Ltda.")</f>
        <v>Tronsoft Soluções Ltda.</v>
      </c>
      <c r="V6919" s="33">
        <f>IFERROR(__xludf.DUMMYFUNCTION("""COMPUTED_VALUE"""),0.5)</f>
        <v>0.5</v>
      </c>
      <c r="W6919" s="4" t="str">
        <f>IFERROR(__xludf.DUMMYFUNCTION("""COMPUTED_VALUE"""),"null")</f>
        <v>null</v>
      </c>
      <c r="X6919" s="33">
        <f>IFERROR(__xludf.DUMMYFUNCTION("""COMPUTED_VALUE"""),0.5)</f>
        <v>0.5</v>
      </c>
    </row>
    <row r="6920">
      <c r="K6920" s="4" t="str">
        <f>IFERROR(__xludf.DUMMYFUNCTION("""COMPUTED_VALUE"""),"DROGA AUREA - JARDIM FELICIDADE - CONTA MARCA")</f>
        <v>DROGA AUREA - JARDIM FELICIDADE - CONTA MARCA</v>
      </c>
      <c r="L6920" s="32">
        <f>IFERROR(__xludf.DUMMYFUNCTION("""COMPUTED_VALUE"""),2.0)</f>
        <v>2</v>
      </c>
      <c r="M6920" s="4" t="str">
        <f>IFERROR(__xludf.DUMMYFUNCTION("""COMPUTED_VALUE"""),"N/A (Not found)")</f>
        <v>N/A (Not found)</v>
      </c>
      <c r="N6920" s="33">
        <f>IFERROR(__xludf.DUMMYFUNCTION("""COMPUTED_VALUE"""),1.0)</f>
        <v>1</v>
      </c>
      <c r="O6920" s="4" t="str">
        <f>IFERROR(__xludf.DUMMYFUNCTION("""COMPUTED_VALUE"""),"N/A (Not found)")</f>
        <v>N/A (Not found)</v>
      </c>
      <c r="P6920" s="33">
        <f>IFERROR(__xludf.DUMMYFUNCTION("""COMPUTED_VALUE"""),1.0)</f>
        <v>1</v>
      </c>
      <c r="Q6920" s="4" t="str">
        <f>IFERROR(__xludf.DUMMYFUNCTION("""COMPUTED_VALUE"""),"N/A (Not found)")</f>
        <v>N/A (Not found)</v>
      </c>
      <c r="R6920" s="33">
        <f>IFERROR(__xludf.DUMMYFUNCTION("""COMPUTED_VALUE"""),1.0)</f>
        <v>1</v>
      </c>
      <c r="S6920" s="4" t="str">
        <f>IFERROR(__xludf.DUMMYFUNCTION("""COMPUTED_VALUE"""),"N/A (Not found)")</f>
        <v>N/A (Not found)</v>
      </c>
      <c r="T6920" s="33">
        <f>IFERROR(__xludf.DUMMYFUNCTION("""COMPUTED_VALUE"""),1.0)</f>
        <v>1</v>
      </c>
      <c r="U6920" s="4" t="str">
        <f>IFERROR(__xludf.DUMMYFUNCTION("""COMPUTED_VALUE"""),"N/A (Not found)")</f>
        <v>N/A (Not found)</v>
      </c>
      <c r="V6920" s="33">
        <f>IFERROR(__xludf.DUMMYFUNCTION("""COMPUTED_VALUE"""),1.0)</f>
        <v>1</v>
      </c>
      <c r="W6920" s="4" t="str">
        <f>IFERROR(__xludf.DUMMYFUNCTION("""COMPUTED_VALUE"""),"N/A (Not found)")</f>
        <v>N/A (Not found)</v>
      </c>
      <c r="X6920" s="33">
        <f>IFERROR(__xludf.DUMMYFUNCTION("""COMPUTED_VALUE"""),1.0)</f>
        <v>1</v>
      </c>
    </row>
    <row r="6921">
      <c r="K6921" s="4" t="str">
        <f>IFERROR(__xludf.DUMMYFUNCTION("""COMPUTED_VALUE"""),"DROGA ZELO - CONTA PAI")</f>
        <v>DROGA ZELO - CONTA PAI</v>
      </c>
      <c r="L6921" s="32">
        <f>IFERROR(__xludf.DUMMYFUNCTION("""COMPUTED_VALUE"""),2.0)</f>
        <v>2</v>
      </c>
      <c r="M6921" s="4" t="str">
        <f>IFERROR(__xludf.DUMMYFUNCTION("""COMPUTED_VALUE"""),"N/A (Not found)")</f>
        <v>N/A (Not found)</v>
      </c>
      <c r="N6921" s="33">
        <f>IFERROR(__xludf.DUMMYFUNCTION("""COMPUTED_VALUE"""),1.0)</f>
        <v>1</v>
      </c>
      <c r="O6921" s="4" t="str">
        <f>IFERROR(__xludf.DUMMYFUNCTION("""COMPUTED_VALUE"""),"N/A (Not found)")</f>
        <v>N/A (Not found)</v>
      </c>
      <c r="P6921" s="33">
        <f>IFERROR(__xludf.DUMMYFUNCTION("""COMPUTED_VALUE"""),1.0)</f>
        <v>1</v>
      </c>
      <c r="Q6921" s="4" t="str">
        <f>IFERROR(__xludf.DUMMYFUNCTION("""COMPUTED_VALUE"""),"N/A (Not found)")</f>
        <v>N/A (Not found)</v>
      </c>
      <c r="R6921" s="33">
        <f>IFERROR(__xludf.DUMMYFUNCTION("""COMPUTED_VALUE"""),1.0)</f>
        <v>1</v>
      </c>
      <c r="S6921" s="4" t="str">
        <f>IFERROR(__xludf.DUMMYFUNCTION("""COMPUTED_VALUE"""),"N/A (Not found)")</f>
        <v>N/A (Not found)</v>
      </c>
      <c r="T6921" s="33">
        <f>IFERROR(__xludf.DUMMYFUNCTION("""COMPUTED_VALUE"""),1.0)</f>
        <v>1</v>
      </c>
      <c r="U6921" s="4" t="str">
        <f>IFERROR(__xludf.DUMMYFUNCTION("""COMPUTED_VALUE"""),"N/A (Not found)")</f>
        <v>N/A (Not found)</v>
      </c>
      <c r="V6921" s="33">
        <f>IFERROR(__xludf.DUMMYFUNCTION("""COMPUTED_VALUE"""),1.0)</f>
        <v>1</v>
      </c>
      <c r="W6921" s="4" t="str">
        <f>IFERROR(__xludf.DUMMYFUNCTION("""COMPUTED_VALUE"""),"N/A (Not found)")</f>
        <v>N/A (Not found)</v>
      </c>
      <c r="X6921" s="33">
        <f>IFERROR(__xludf.DUMMYFUNCTION("""COMPUTED_VALUE"""),1.0)</f>
        <v>1</v>
      </c>
    </row>
    <row r="6922">
      <c r="K6922" s="4" t="str">
        <f>IFERROR(__xludf.DUMMYFUNCTION("""COMPUTED_VALUE"""),"DROGANEWS VILA ISABEL - CONTA MARCA")</f>
        <v>DROGANEWS VILA ISABEL - CONTA MARCA</v>
      </c>
      <c r="L6922" s="32">
        <f>IFERROR(__xludf.DUMMYFUNCTION("""COMPUTED_VALUE"""),2.0)</f>
        <v>2</v>
      </c>
      <c r="M6922" s="4" t="str">
        <f>IFERROR(__xludf.DUMMYFUNCTION("""COMPUTED_VALUE"""),"N/A (Not found)")</f>
        <v>N/A (Not found)</v>
      </c>
      <c r="N6922" s="33">
        <f>IFERROR(__xludf.DUMMYFUNCTION("""COMPUTED_VALUE"""),1.0)</f>
        <v>1</v>
      </c>
      <c r="O6922" s="4" t="str">
        <f>IFERROR(__xludf.DUMMYFUNCTION("""COMPUTED_VALUE"""),"N/A (Not found)")</f>
        <v>N/A (Not found)</v>
      </c>
      <c r="P6922" s="33">
        <f>IFERROR(__xludf.DUMMYFUNCTION("""COMPUTED_VALUE"""),1.0)</f>
        <v>1</v>
      </c>
      <c r="Q6922" s="4" t="str">
        <f>IFERROR(__xludf.DUMMYFUNCTION("""COMPUTED_VALUE"""),"N/A (Not found)")</f>
        <v>N/A (Not found)</v>
      </c>
      <c r="R6922" s="33">
        <f>IFERROR(__xludf.DUMMYFUNCTION("""COMPUTED_VALUE"""),1.0)</f>
        <v>1</v>
      </c>
      <c r="S6922" s="4" t="str">
        <f>IFERROR(__xludf.DUMMYFUNCTION("""COMPUTED_VALUE"""),"N/A (Not found)")</f>
        <v>N/A (Not found)</v>
      </c>
      <c r="T6922" s="33">
        <f>IFERROR(__xludf.DUMMYFUNCTION("""COMPUTED_VALUE"""),1.0)</f>
        <v>1</v>
      </c>
      <c r="U6922" s="4" t="str">
        <f>IFERROR(__xludf.DUMMYFUNCTION("""COMPUTED_VALUE"""),"N/A (Not found)")</f>
        <v>N/A (Not found)</v>
      </c>
      <c r="V6922" s="33">
        <f>IFERROR(__xludf.DUMMYFUNCTION("""COMPUTED_VALUE"""),1.0)</f>
        <v>1</v>
      </c>
      <c r="W6922" s="4" t="str">
        <f>IFERROR(__xludf.DUMMYFUNCTION("""COMPUTED_VALUE"""),"N/A (Not found)")</f>
        <v>N/A (Not found)</v>
      </c>
      <c r="X6922" s="33">
        <f>IFERROR(__xludf.DUMMYFUNCTION("""COMPUTED_VALUE"""),1.0)</f>
        <v>1</v>
      </c>
    </row>
    <row r="6923">
      <c r="K6923" s="4" t="str">
        <f>IFERROR(__xludf.DUMMYFUNCTION("""COMPUTED_VALUE"""),"DROGANEWS VISTA ALEGRE - CONTA MARCA")</f>
        <v>DROGANEWS VISTA ALEGRE - CONTA MARCA</v>
      </c>
      <c r="L6923" s="32">
        <f>IFERROR(__xludf.DUMMYFUNCTION("""COMPUTED_VALUE"""),2.0)</f>
        <v>2</v>
      </c>
      <c r="M6923" s="4" t="str">
        <f>IFERROR(__xludf.DUMMYFUNCTION("""COMPUTED_VALUE"""),"N/A (Not found)")</f>
        <v>N/A (Not found)</v>
      </c>
      <c r="N6923" s="33">
        <f>IFERROR(__xludf.DUMMYFUNCTION("""COMPUTED_VALUE"""),1.0)</f>
        <v>1</v>
      </c>
      <c r="O6923" s="4" t="str">
        <f>IFERROR(__xludf.DUMMYFUNCTION("""COMPUTED_VALUE"""),"N/A (Not found)")</f>
        <v>N/A (Not found)</v>
      </c>
      <c r="P6923" s="33">
        <f>IFERROR(__xludf.DUMMYFUNCTION("""COMPUTED_VALUE"""),1.0)</f>
        <v>1</v>
      </c>
      <c r="Q6923" s="4" t="str">
        <f>IFERROR(__xludf.DUMMYFUNCTION("""COMPUTED_VALUE"""),"N/A (Not found)")</f>
        <v>N/A (Not found)</v>
      </c>
      <c r="R6923" s="33">
        <f>IFERROR(__xludf.DUMMYFUNCTION("""COMPUTED_VALUE"""),1.0)</f>
        <v>1</v>
      </c>
      <c r="S6923" s="4" t="str">
        <f>IFERROR(__xludf.DUMMYFUNCTION("""COMPUTED_VALUE"""),"N/A (Not found)")</f>
        <v>N/A (Not found)</v>
      </c>
      <c r="T6923" s="33">
        <f>IFERROR(__xludf.DUMMYFUNCTION("""COMPUTED_VALUE"""),1.0)</f>
        <v>1</v>
      </c>
      <c r="U6923" s="4" t="str">
        <f>IFERROR(__xludf.DUMMYFUNCTION("""COMPUTED_VALUE"""),"N/A (Not found)")</f>
        <v>N/A (Not found)</v>
      </c>
      <c r="V6923" s="33">
        <f>IFERROR(__xludf.DUMMYFUNCTION("""COMPUTED_VALUE"""),1.0)</f>
        <v>1</v>
      </c>
      <c r="W6923" s="4" t="str">
        <f>IFERROR(__xludf.DUMMYFUNCTION("""COMPUTED_VALUE"""),"N/A (Not found)")</f>
        <v>N/A (Not found)</v>
      </c>
      <c r="X6923" s="33">
        <f>IFERROR(__xludf.DUMMYFUNCTION("""COMPUTED_VALUE"""),1.0)</f>
        <v>1</v>
      </c>
    </row>
    <row r="6924">
      <c r="K6924" s="4" t="str">
        <f>IFERROR(__xludf.DUMMYFUNCTION("""COMPUTED_VALUE"""),"DROGARIA ATUAL FARMA IN - CONTA MARCA")</f>
        <v>DROGARIA ATUAL FARMA IN - CONTA MARCA</v>
      </c>
      <c r="L6924" s="32">
        <f>IFERROR(__xludf.DUMMYFUNCTION("""COMPUTED_VALUE"""),2.0)</f>
        <v>2</v>
      </c>
      <c r="M6924" s="4" t="str">
        <f>IFERROR(__xludf.DUMMYFUNCTION("""COMPUTED_VALUE"""),"N/A (Not found)")</f>
        <v>N/A (Not found)</v>
      </c>
      <c r="N6924" s="33">
        <f>IFERROR(__xludf.DUMMYFUNCTION("""COMPUTED_VALUE"""),1.0)</f>
        <v>1</v>
      </c>
      <c r="O6924" s="4" t="str">
        <f>IFERROR(__xludf.DUMMYFUNCTION("""COMPUTED_VALUE"""),"N/A (Not found)")</f>
        <v>N/A (Not found)</v>
      </c>
      <c r="P6924" s="33">
        <f>IFERROR(__xludf.DUMMYFUNCTION("""COMPUTED_VALUE"""),1.0)</f>
        <v>1</v>
      </c>
      <c r="Q6924" s="4" t="str">
        <f>IFERROR(__xludf.DUMMYFUNCTION("""COMPUTED_VALUE"""),"N/A (Not found)")</f>
        <v>N/A (Not found)</v>
      </c>
      <c r="R6924" s="33">
        <f>IFERROR(__xludf.DUMMYFUNCTION("""COMPUTED_VALUE"""),1.0)</f>
        <v>1</v>
      </c>
      <c r="S6924" s="4" t="str">
        <f>IFERROR(__xludf.DUMMYFUNCTION("""COMPUTED_VALUE"""),"N/A (Not found)")</f>
        <v>N/A (Not found)</v>
      </c>
      <c r="T6924" s="33">
        <f>IFERROR(__xludf.DUMMYFUNCTION("""COMPUTED_VALUE"""),1.0)</f>
        <v>1</v>
      </c>
      <c r="U6924" s="4" t="str">
        <f>IFERROR(__xludf.DUMMYFUNCTION("""COMPUTED_VALUE"""),"N/A (Not found)")</f>
        <v>N/A (Not found)</v>
      </c>
      <c r="V6924" s="33">
        <f>IFERROR(__xludf.DUMMYFUNCTION("""COMPUTED_VALUE"""),1.0)</f>
        <v>1</v>
      </c>
      <c r="W6924" s="4" t="str">
        <f>IFERROR(__xludf.DUMMYFUNCTION("""COMPUTED_VALUE"""),"N/A (Not found)")</f>
        <v>N/A (Not found)</v>
      </c>
      <c r="X6924" s="33">
        <f>IFERROR(__xludf.DUMMYFUNCTION("""COMPUTED_VALUE"""),1.0)</f>
        <v>1</v>
      </c>
    </row>
    <row r="6925">
      <c r="K6925" s="4" t="str">
        <f>IFERROR(__xludf.DUMMYFUNCTION("""COMPUTED_VALUE"""),"DROGARIA CENTRAL DO SOSSEGO - CONTA MARCA")</f>
        <v>DROGARIA CENTRAL DO SOSSEGO - CONTA MARCA</v>
      </c>
      <c r="L6925" s="32">
        <f>IFERROR(__xludf.DUMMYFUNCTION("""COMPUTED_VALUE"""),2.0)</f>
        <v>2</v>
      </c>
      <c r="M6925" s="4" t="str">
        <f>IFERROR(__xludf.DUMMYFUNCTION("""COMPUTED_VALUE"""),"null")</f>
        <v>null</v>
      </c>
      <c r="N6925" s="33">
        <f>IFERROR(__xludf.DUMMYFUNCTION("""COMPUTED_VALUE"""),1.0)</f>
        <v>1</v>
      </c>
      <c r="O6925" s="4" t="str">
        <f>IFERROR(__xludf.DUMMYFUNCTION("""COMPUTED_VALUE"""),"null")</f>
        <v>null</v>
      </c>
      <c r="P6925" s="33">
        <f>IFERROR(__xludf.DUMMYFUNCTION("""COMPUTED_VALUE"""),1.0)</f>
        <v>1</v>
      </c>
      <c r="Q6925" s="4" t="str">
        <f>IFERROR(__xludf.DUMMYFUNCTION("""COMPUTED_VALUE"""),"N/A (Not found)")</f>
        <v>N/A (Not found)</v>
      </c>
      <c r="R6925" s="33">
        <f>IFERROR(__xludf.DUMMYFUNCTION("""COMPUTED_VALUE"""),1.0)</f>
        <v>1</v>
      </c>
      <c r="S6925" s="4" t="str">
        <f>IFERROR(__xludf.DUMMYFUNCTION("""COMPUTED_VALUE"""),"N/A (Not found)")</f>
        <v>N/A (Not found)</v>
      </c>
      <c r="T6925" s="33">
        <f>IFERROR(__xludf.DUMMYFUNCTION("""COMPUTED_VALUE"""),1.0)</f>
        <v>1</v>
      </c>
      <c r="U6925" s="4" t="str">
        <f>IFERROR(__xludf.DUMMYFUNCTION("""COMPUTED_VALUE"""),"N/A (Not found)")</f>
        <v>N/A (Not found)</v>
      </c>
      <c r="V6925" s="33">
        <f>IFERROR(__xludf.DUMMYFUNCTION("""COMPUTED_VALUE"""),1.0)</f>
        <v>1</v>
      </c>
      <c r="W6925" s="4" t="str">
        <f>IFERROR(__xludf.DUMMYFUNCTION("""COMPUTED_VALUE"""),"N/A (Not found)")</f>
        <v>N/A (Not found)</v>
      </c>
      <c r="X6925" s="33">
        <f>IFERROR(__xludf.DUMMYFUNCTION("""COMPUTED_VALUE"""),1.0)</f>
        <v>1</v>
      </c>
    </row>
    <row r="6926">
      <c r="K6926" s="4" t="str">
        <f>IFERROR(__xludf.DUMMYFUNCTION("""COMPUTED_VALUE"""),"DROGARIA CUMANI - LOJAS FRANCA - CONTA MARCA")</f>
        <v>DROGARIA CUMANI - LOJAS FRANCA - CONTA MARCA</v>
      </c>
      <c r="L6926" s="32">
        <f>IFERROR(__xludf.DUMMYFUNCTION("""COMPUTED_VALUE"""),2.0)</f>
        <v>2</v>
      </c>
      <c r="M6926" s="4" t="str">
        <f>IFERROR(__xludf.DUMMYFUNCTION("""COMPUTED_VALUE"""),"N/A (Not found)")</f>
        <v>N/A (Not found)</v>
      </c>
      <c r="N6926" s="33">
        <f>IFERROR(__xludf.DUMMYFUNCTION("""COMPUTED_VALUE"""),1.0)</f>
        <v>1</v>
      </c>
      <c r="O6926" s="4" t="str">
        <f>IFERROR(__xludf.DUMMYFUNCTION("""COMPUTED_VALUE"""),"N/A (Not found)")</f>
        <v>N/A (Not found)</v>
      </c>
      <c r="P6926" s="33">
        <f>IFERROR(__xludf.DUMMYFUNCTION("""COMPUTED_VALUE"""),1.0)</f>
        <v>1</v>
      </c>
      <c r="Q6926" s="4" t="str">
        <f>IFERROR(__xludf.DUMMYFUNCTION("""COMPUTED_VALUE"""),"N/A (Not found)")</f>
        <v>N/A (Not found)</v>
      </c>
      <c r="R6926" s="33">
        <f>IFERROR(__xludf.DUMMYFUNCTION("""COMPUTED_VALUE"""),0.5)</f>
        <v>0.5</v>
      </c>
      <c r="S6926" s="4" t="str">
        <f>IFERROR(__xludf.DUMMYFUNCTION("""COMPUTED_VALUE"""),"N/A (Not found)")</f>
        <v>N/A (Not found)</v>
      </c>
      <c r="T6926" s="33">
        <f>IFERROR(__xludf.DUMMYFUNCTION("""COMPUTED_VALUE"""),0.5)</f>
        <v>0.5</v>
      </c>
      <c r="U6926" s="4" t="str">
        <f>IFERROR(__xludf.DUMMYFUNCTION("""COMPUTED_VALUE"""),"N/A (Not found)")</f>
        <v>N/A (Not found)</v>
      </c>
      <c r="V6926" s="33">
        <f>IFERROR(__xludf.DUMMYFUNCTION("""COMPUTED_VALUE"""),0.5)</f>
        <v>0.5</v>
      </c>
      <c r="W6926" s="4" t="str">
        <f>IFERROR(__xludf.DUMMYFUNCTION("""COMPUTED_VALUE"""),"N/A (Not found)")</f>
        <v>N/A (Not found)</v>
      </c>
      <c r="X6926" s="33">
        <f>IFERROR(__xludf.DUMMYFUNCTION("""COMPUTED_VALUE"""),0.5)</f>
        <v>0.5</v>
      </c>
    </row>
    <row r="6927">
      <c r="K6927" s="4" t="str">
        <f>IFERROR(__xludf.DUMMYFUNCTION("""COMPUTED_VALUE"""),"DROGARIA DONA FARMA - CONTA PAI")</f>
        <v>DROGARIA DONA FARMA - CONTA PAI</v>
      </c>
      <c r="L6927" s="32">
        <f>IFERROR(__xludf.DUMMYFUNCTION("""COMPUTED_VALUE"""),2.0)</f>
        <v>2</v>
      </c>
      <c r="M6927" s="4" t="str">
        <f>IFERROR(__xludf.DUMMYFUNCTION("""COMPUTED_VALUE"""),"N/A (Not found)")</f>
        <v>N/A (Not found)</v>
      </c>
      <c r="N6927" s="33">
        <f>IFERROR(__xludf.DUMMYFUNCTION("""COMPUTED_VALUE"""),1.0)</f>
        <v>1</v>
      </c>
      <c r="O6927" s="4" t="str">
        <f>IFERROR(__xludf.DUMMYFUNCTION("""COMPUTED_VALUE"""),"N/A (Not found)")</f>
        <v>N/A (Not found)</v>
      </c>
      <c r="P6927" s="33">
        <f>IFERROR(__xludf.DUMMYFUNCTION("""COMPUTED_VALUE"""),1.0)</f>
        <v>1</v>
      </c>
      <c r="Q6927" s="4" t="str">
        <f>IFERROR(__xludf.DUMMYFUNCTION("""COMPUTED_VALUE"""),"N/A (Not found)")</f>
        <v>N/A (Not found)</v>
      </c>
      <c r="R6927" s="33">
        <f>IFERROR(__xludf.DUMMYFUNCTION("""COMPUTED_VALUE"""),1.0)</f>
        <v>1</v>
      </c>
      <c r="S6927" s="4" t="str">
        <f>IFERROR(__xludf.DUMMYFUNCTION("""COMPUTED_VALUE"""),"N/A (Not found)")</f>
        <v>N/A (Not found)</v>
      </c>
      <c r="T6927" s="33">
        <f>IFERROR(__xludf.DUMMYFUNCTION("""COMPUTED_VALUE"""),1.0)</f>
        <v>1</v>
      </c>
      <c r="U6927" s="4" t="str">
        <f>IFERROR(__xludf.DUMMYFUNCTION("""COMPUTED_VALUE"""),"N/A (Not found)")</f>
        <v>N/A (Not found)</v>
      </c>
      <c r="V6927" s="33">
        <f>IFERROR(__xludf.DUMMYFUNCTION("""COMPUTED_VALUE"""),1.0)</f>
        <v>1</v>
      </c>
      <c r="W6927" s="4" t="str">
        <f>IFERROR(__xludf.DUMMYFUNCTION("""COMPUTED_VALUE"""),"N/A (Not found)")</f>
        <v>N/A (Not found)</v>
      </c>
      <c r="X6927" s="33">
        <f>IFERROR(__xludf.DUMMYFUNCTION("""COMPUTED_VALUE"""),1.0)</f>
        <v>1</v>
      </c>
    </row>
    <row r="6928">
      <c r="K6928" s="4" t="str">
        <f>IFERROR(__xludf.DUMMYFUNCTION("""COMPUTED_VALUE"""),"DROGARIA FARMA MIX MANAUS - CONTA MARCA")</f>
        <v>DROGARIA FARMA MIX MANAUS - CONTA MARCA</v>
      </c>
      <c r="L6928" s="32">
        <f>IFERROR(__xludf.DUMMYFUNCTION("""COMPUTED_VALUE"""),2.0)</f>
        <v>2</v>
      </c>
      <c r="M6928" s="4" t="str">
        <f>IFERROR(__xludf.DUMMYFUNCTION("""COMPUTED_VALUE"""),"N/A (Not found)")</f>
        <v>N/A (Not found)</v>
      </c>
      <c r="N6928" s="33">
        <f>IFERROR(__xludf.DUMMYFUNCTION("""COMPUTED_VALUE"""),1.0)</f>
        <v>1</v>
      </c>
      <c r="O6928" s="4" t="str">
        <f>IFERROR(__xludf.DUMMYFUNCTION("""COMPUTED_VALUE"""),"N/A (Not found)")</f>
        <v>N/A (Not found)</v>
      </c>
      <c r="P6928" s="33">
        <f>IFERROR(__xludf.DUMMYFUNCTION("""COMPUTED_VALUE"""),1.0)</f>
        <v>1</v>
      </c>
      <c r="Q6928" s="4" t="str">
        <f>IFERROR(__xludf.DUMMYFUNCTION("""COMPUTED_VALUE"""),"N/A (Not found)")</f>
        <v>N/A (Not found)</v>
      </c>
      <c r="R6928" s="33">
        <f>IFERROR(__xludf.DUMMYFUNCTION("""COMPUTED_VALUE"""),1.0)</f>
        <v>1</v>
      </c>
      <c r="S6928" s="4" t="str">
        <f>IFERROR(__xludf.DUMMYFUNCTION("""COMPUTED_VALUE"""),"N/A (Not found)")</f>
        <v>N/A (Not found)</v>
      </c>
      <c r="T6928" s="33">
        <f>IFERROR(__xludf.DUMMYFUNCTION("""COMPUTED_VALUE"""),1.0)</f>
        <v>1</v>
      </c>
      <c r="U6928" s="4" t="str">
        <f>IFERROR(__xludf.DUMMYFUNCTION("""COMPUTED_VALUE"""),"N/A (Not found)")</f>
        <v>N/A (Not found)</v>
      </c>
      <c r="V6928" s="33">
        <f>IFERROR(__xludf.DUMMYFUNCTION("""COMPUTED_VALUE"""),1.0)</f>
        <v>1</v>
      </c>
      <c r="W6928" s="4" t="str">
        <f>IFERROR(__xludf.DUMMYFUNCTION("""COMPUTED_VALUE"""),"N/A (Not found)")</f>
        <v>N/A (Not found)</v>
      </c>
      <c r="X6928" s="33">
        <f>IFERROR(__xludf.DUMMYFUNCTION("""COMPUTED_VALUE"""),1.0)</f>
        <v>1</v>
      </c>
    </row>
    <row r="6929">
      <c r="K6929" s="4" t="str">
        <f>IFERROR(__xludf.DUMMYFUNCTION("""COMPUTED_VALUE"""),"DROGARIA MAIS VOCE - CONTA PAI")</f>
        <v>DROGARIA MAIS VOCE - CONTA PAI</v>
      </c>
      <c r="L6929" s="32">
        <f>IFERROR(__xludf.DUMMYFUNCTION("""COMPUTED_VALUE"""),2.0)</f>
        <v>2</v>
      </c>
      <c r="M6929" s="4" t="str">
        <f>IFERROR(__xludf.DUMMYFUNCTION("""COMPUTED_VALUE"""),"N/A (Not found)")</f>
        <v>N/A (Not found)</v>
      </c>
      <c r="N6929" s="33">
        <f>IFERROR(__xludf.DUMMYFUNCTION("""COMPUTED_VALUE"""),1.0)</f>
        <v>1</v>
      </c>
      <c r="O6929" s="4" t="str">
        <f>IFERROR(__xludf.DUMMYFUNCTION("""COMPUTED_VALUE"""),"N/A (Not found)")</f>
        <v>N/A (Not found)</v>
      </c>
      <c r="P6929" s="33">
        <f>IFERROR(__xludf.DUMMYFUNCTION("""COMPUTED_VALUE"""),1.0)</f>
        <v>1</v>
      </c>
      <c r="Q6929" s="4" t="str">
        <f>IFERROR(__xludf.DUMMYFUNCTION("""COMPUTED_VALUE"""),"N/A (Not found)")</f>
        <v>N/A (Not found)</v>
      </c>
      <c r="R6929" s="33">
        <f>IFERROR(__xludf.DUMMYFUNCTION("""COMPUTED_VALUE"""),1.0)</f>
        <v>1</v>
      </c>
      <c r="S6929" s="4" t="str">
        <f>IFERROR(__xludf.DUMMYFUNCTION("""COMPUTED_VALUE"""),"N/A (Not found)")</f>
        <v>N/A (Not found)</v>
      </c>
      <c r="T6929" s="33">
        <f>IFERROR(__xludf.DUMMYFUNCTION("""COMPUTED_VALUE"""),1.0)</f>
        <v>1</v>
      </c>
      <c r="U6929" s="4" t="str">
        <f>IFERROR(__xludf.DUMMYFUNCTION("""COMPUTED_VALUE"""),"N/A (Not found)")</f>
        <v>N/A (Not found)</v>
      </c>
      <c r="V6929" s="33">
        <f>IFERROR(__xludf.DUMMYFUNCTION("""COMPUTED_VALUE"""),1.0)</f>
        <v>1</v>
      </c>
      <c r="W6929" s="4" t="str">
        <f>IFERROR(__xludf.DUMMYFUNCTION("""COMPUTED_VALUE"""),"N/A (Not found)")</f>
        <v>N/A (Not found)</v>
      </c>
      <c r="X6929" s="33">
        <f>IFERROR(__xludf.DUMMYFUNCTION("""COMPUTED_VALUE"""),1.0)</f>
        <v>1</v>
      </c>
    </row>
    <row r="6930">
      <c r="K6930" s="4" t="str">
        <f>IFERROR(__xludf.DUMMYFUNCTION("""COMPUTED_VALUE"""),"DROGARIA MAX BOACU - CONTA MARCA")</f>
        <v>DROGARIA MAX BOACU - CONTA MARCA</v>
      </c>
      <c r="L6930" s="32">
        <f>IFERROR(__xludf.DUMMYFUNCTION("""COMPUTED_VALUE"""),2.0)</f>
        <v>2</v>
      </c>
      <c r="M6930" s="4" t="str">
        <f>IFERROR(__xludf.DUMMYFUNCTION("""COMPUTED_VALUE"""),"null")</f>
        <v>null</v>
      </c>
      <c r="N6930" s="33">
        <f>IFERROR(__xludf.DUMMYFUNCTION("""COMPUTED_VALUE"""),0.5)</f>
        <v>0.5</v>
      </c>
      <c r="O6930" s="4" t="str">
        <f>IFERROR(__xludf.DUMMYFUNCTION("""COMPUTED_VALUE"""),"N/A (Not found)")</f>
        <v>N/A (Not found)</v>
      </c>
      <c r="P6930" s="33">
        <f>IFERROR(__xludf.DUMMYFUNCTION("""COMPUTED_VALUE"""),1.0)</f>
        <v>1</v>
      </c>
      <c r="Q6930" s="4" t="str">
        <f>IFERROR(__xludf.DUMMYFUNCTION("""COMPUTED_VALUE"""),"N/A (Not found)")</f>
        <v>N/A (Not found)</v>
      </c>
      <c r="R6930" s="33">
        <f>IFERROR(__xludf.DUMMYFUNCTION("""COMPUTED_VALUE"""),1.0)</f>
        <v>1</v>
      </c>
      <c r="S6930" s="4" t="str">
        <f>IFERROR(__xludf.DUMMYFUNCTION("""COMPUTED_VALUE"""),"N/A (Not found)")</f>
        <v>N/A (Not found)</v>
      </c>
      <c r="T6930" s="33">
        <f>IFERROR(__xludf.DUMMYFUNCTION("""COMPUTED_VALUE"""),1.0)</f>
        <v>1</v>
      </c>
      <c r="U6930" s="4" t="str">
        <f>IFERROR(__xludf.DUMMYFUNCTION("""COMPUTED_VALUE"""),"N/A (Not found)")</f>
        <v>N/A (Not found)</v>
      </c>
      <c r="V6930" s="33">
        <f>IFERROR(__xludf.DUMMYFUNCTION("""COMPUTED_VALUE"""),1.0)</f>
        <v>1</v>
      </c>
      <c r="W6930" s="4" t="str">
        <f>IFERROR(__xludf.DUMMYFUNCTION("""COMPUTED_VALUE"""),"N/A (Not found)")</f>
        <v>N/A (Not found)</v>
      </c>
      <c r="X6930" s="33">
        <f>IFERROR(__xludf.DUMMYFUNCTION("""COMPUTED_VALUE"""),1.0)</f>
        <v>1</v>
      </c>
    </row>
    <row r="6931">
      <c r="K6931" s="4" t="str">
        <f>IFERROR(__xludf.DUMMYFUNCTION("""COMPUTED_VALUE"""),"DROGARIA MEGAFARMA - CONTA MARCA")</f>
        <v>DROGARIA MEGAFARMA - CONTA MARCA</v>
      </c>
      <c r="L6931" s="32">
        <f>IFERROR(__xludf.DUMMYFUNCTION("""COMPUTED_VALUE"""),2.0)</f>
        <v>2</v>
      </c>
      <c r="M6931" s="4" t="str">
        <f>IFERROR(__xludf.DUMMYFUNCTION("""COMPUTED_VALUE"""),"N/A (Not found)")</f>
        <v>N/A (Not found)</v>
      </c>
      <c r="N6931" s="33">
        <f>IFERROR(__xludf.DUMMYFUNCTION("""COMPUTED_VALUE"""),1.0)</f>
        <v>1</v>
      </c>
      <c r="O6931" s="4" t="str">
        <f>IFERROR(__xludf.DUMMYFUNCTION("""COMPUTED_VALUE"""),"N/A (Not found)")</f>
        <v>N/A (Not found)</v>
      </c>
      <c r="P6931" s="33">
        <f>IFERROR(__xludf.DUMMYFUNCTION("""COMPUTED_VALUE"""),1.0)</f>
        <v>1</v>
      </c>
      <c r="Q6931" s="4" t="str">
        <f>IFERROR(__xludf.DUMMYFUNCTION("""COMPUTED_VALUE"""),"N/A (Not found)")</f>
        <v>N/A (Not found)</v>
      </c>
      <c r="R6931" s="33">
        <f>IFERROR(__xludf.DUMMYFUNCTION("""COMPUTED_VALUE"""),1.0)</f>
        <v>1</v>
      </c>
      <c r="S6931" s="4" t="str">
        <f>IFERROR(__xludf.DUMMYFUNCTION("""COMPUTED_VALUE"""),"N/A (Not found)")</f>
        <v>N/A (Not found)</v>
      </c>
      <c r="T6931" s="33">
        <f>IFERROR(__xludf.DUMMYFUNCTION("""COMPUTED_VALUE"""),1.0)</f>
        <v>1</v>
      </c>
      <c r="U6931" s="4" t="str">
        <f>IFERROR(__xludf.DUMMYFUNCTION("""COMPUTED_VALUE"""),"N/A (Not found)")</f>
        <v>N/A (Not found)</v>
      </c>
      <c r="V6931" s="33">
        <f>IFERROR(__xludf.DUMMYFUNCTION("""COMPUTED_VALUE"""),1.0)</f>
        <v>1</v>
      </c>
      <c r="W6931" s="4" t="str">
        <f>IFERROR(__xludf.DUMMYFUNCTION("""COMPUTED_VALUE"""),"N/A (Not found)")</f>
        <v>N/A (Not found)</v>
      </c>
      <c r="X6931" s="33">
        <f>IFERROR(__xludf.DUMMYFUNCTION("""COMPUTED_VALUE"""),1.0)</f>
        <v>1</v>
      </c>
    </row>
    <row r="6932">
      <c r="K6932" s="4" t="str">
        <f>IFERROR(__xludf.DUMMYFUNCTION("""COMPUTED_VALUE"""),"DROGARIA NOVA POPULAR CABO FRIO - CONTA MARCA")</f>
        <v>DROGARIA NOVA POPULAR CABO FRIO - CONTA MARCA</v>
      </c>
      <c r="L6932" s="32">
        <f>IFERROR(__xludf.DUMMYFUNCTION("""COMPUTED_VALUE"""),2.0)</f>
        <v>2</v>
      </c>
      <c r="M6932" s="4" t="str">
        <f>IFERROR(__xludf.DUMMYFUNCTION("""COMPUTED_VALUE"""),"N/A (Not found)")</f>
        <v>N/A (Not found)</v>
      </c>
      <c r="N6932" s="33">
        <f>IFERROR(__xludf.DUMMYFUNCTION("""COMPUTED_VALUE"""),1.0)</f>
        <v>1</v>
      </c>
      <c r="O6932" s="4" t="str">
        <f>IFERROR(__xludf.DUMMYFUNCTION("""COMPUTED_VALUE"""),"null")</f>
        <v>null</v>
      </c>
      <c r="P6932" s="33">
        <f>IFERROR(__xludf.DUMMYFUNCTION("""COMPUTED_VALUE"""),1.0)</f>
        <v>1</v>
      </c>
      <c r="Q6932" s="4" t="str">
        <f>IFERROR(__xludf.DUMMYFUNCTION("""COMPUTED_VALUE"""),"null")</f>
        <v>null</v>
      </c>
      <c r="R6932" s="33">
        <f>IFERROR(__xludf.DUMMYFUNCTION("""COMPUTED_VALUE"""),1.0)</f>
        <v>1</v>
      </c>
      <c r="S6932" s="4" t="str">
        <f>IFERROR(__xludf.DUMMYFUNCTION("""COMPUTED_VALUE"""),"null")</f>
        <v>null</v>
      </c>
      <c r="T6932" s="33">
        <f>IFERROR(__xludf.DUMMYFUNCTION("""COMPUTED_VALUE"""),1.0)</f>
        <v>1</v>
      </c>
      <c r="U6932" s="4" t="str">
        <f>IFERROR(__xludf.DUMMYFUNCTION("""COMPUTED_VALUE"""),"null")</f>
        <v>null</v>
      </c>
      <c r="V6932" s="33">
        <f>IFERROR(__xludf.DUMMYFUNCTION("""COMPUTED_VALUE"""),1.0)</f>
        <v>1</v>
      </c>
      <c r="W6932" s="4" t="str">
        <f>IFERROR(__xludf.DUMMYFUNCTION("""COMPUTED_VALUE"""),"null")</f>
        <v>null</v>
      </c>
      <c r="X6932" s="33">
        <f>IFERROR(__xludf.DUMMYFUNCTION("""COMPUTED_VALUE"""),1.0)</f>
        <v>1</v>
      </c>
    </row>
    <row r="6933">
      <c r="K6933" s="4" t="str">
        <f>IFERROR(__xludf.DUMMYFUNCTION("""COMPUTED_VALUE"""),"DROGARIA PARAISO - CONTA PAI")</f>
        <v>DROGARIA PARAISO - CONTA PAI</v>
      </c>
      <c r="L6933" s="32">
        <f>IFERROR(__xludf.DUMMYFUNCTION("""COMPUTED_VALUE"""),2.0)</f>
        <v>2</v>
      </c>
      <c r="M6933" s="4" t="str">
        <f>IFERROR(__xludf.DUMMYFUNCTION("""COMPUTED_VALUE"""),"N/A (Not found)")</f>
        <v>N/A (Not found)</v>
      </c>
      <c r="N6933" s="33">
        <f>IFERROR(__xludf.DUMMYFUNCTION("""COMPUTED_VALUE"""),1.0)</f>
        <v>1</v>
      </c>
      <c r="O6933" s="4" t="str">
        <f>IFERROR(__xludf.DUMMYFUNCTION("""COMPUTED_VALUE"""),"N/A (Not found)")</f>
        <v>N/A (Not found)</v>
      </c>
      <c r="P6933" s="33">
        <f>IFERROR(__xludf.DUMMYFUNCTION("""COMPUTED_VALUE"""),1.0)</f>
        <v>1</v>
      </c>
      <c r="Q6933" s="4" t="str">
        <f>IFERROR(__xludf.DUMMYFUNCTION("""COMPUTED_VALUE"""),"N/A (Not found)")</f>
        <v>N/A (Not found)</v>
      </c>
      <c r="R6933" s="33">
        <f>IFERROR(__xludf.DUMMYFUNCTION("""COMPUTED_VALUE"""),1.0)</f>
        <v>1</v>
      </c>
      <c r="S6933" s="4" t="str">
        <f>IFERROR(__xludf.DUMMYFUNCTION("""COMPUTED_VALUE"""),"N/A (Not found)")</f>
        <v>N/A (Not found)</v>
      </c>
      <c r="T6933" s="33">
        <f>IFERROR(__xludf.DUMMYFUNCTION("""COMPUTED_VALUE"""),1.0)</f>
        <v>1</v>
      </c>
      <c r="U6933" s="4" t="str">
        <f>IFERROR(__xludf.DUMMYFUNCTION("""COMPUTED_VALUE"""),"N/A (Not found)")</f>
        <v>N/A (Not found)</v>
      </c>
      <c r="V6933" s="33">
        <f>IFERROR(__xludf.DUMMYFUNCTION("""COMPUTED_VALUE"""),1.0)</f>
        <v>1</v>
      </c>
      <c r="W6933" s="4" t="str">
        <f>IFERROR(__xludf.DUMMYFUNCTION("""COMPUTED_VALUE"""),"N/A (Not found)")</f>
        <v>N/A (Not found)</v>
      </c>
      <c r="X6933" s="33">
        <f>IFERROR(__xludf.DUMMYFUNCTION("""COMPUTED_VALUE"""),1.0)</f>
        <v>1</v>
      </c>
    </row>
    <row r="6934">
      <c r="K6934" s="4" t="str">
        <f>IFERROR(__xludf.DUMMYFUNCTION("""COMPUTED_VALUE"""),"DROGARIA PLANETA - CONTA PAI")</f>
        <v>DROGARIA PLANETA - CONTA PAI</v>
      </c>
      <c r="L6934" s="32">
        <f>IFERROR(__xludf.DUMMYFUNCTION("""COMPUTED_VALUE"""),2.0)</f>
        <v>2</v>
      </c>
      <c r="M6934" s="4" t="str">
        <f>IFERROR(__xludf.DUMMYFUNCTION("""COMPUTED_VALUE"""),"N/A (Not found)")</f>
        <v>N/A (Not found)</v>
      </c>
      <c r="N6934" s="33">
        <f>IFERROR(__xludf.DUMMYFUNCTION("""COMPUTED_VALUE"""),1.0)</f>
        <v>1</v>
      </c>
      <c r="O6934" s="4" t="str">
        <f>IFERROR(__xludf.DUMMYFUNCTION("""COMPUTED_VALUE"""),"N/A (Not found)")</f>
        <v>N/A (Not found)</v>
      </c>
      <c r="P6934" s="33">
        <f>IFERROR(__xludf.DUMMYFUNCTION("""COMPUTED_VALUE"""),1.0)</f>
        <v>1</v>
      </c>
      <c r="Q6934" s="4" t="str">
        <f>IFERROR(__xludf.DUMMYFUNCTION("""COMPUTED_VALUE"""),"null")</f>
        <v>null</v>
      </c>
      <c r="R6934" s="33">
        <f>IFERROR(__xludf.DUMMYFUNCTION("""COMPUTED_VALUE"""),0.5)</f>
        <v>0.5</v>
      </c>
      <c r="S6934" s="4" t="str">
        <f>IFERROR(__xludf.DUMMYFUNCTION("""COMPUTED_VALUE"""),"null")</f>
        <v>null</v>
      </c>
      <c r="T6934" s="33">
        <f>IFERROR(__xludf.DUMMYFUNCTION("""COMPUTED_VALUE"""),0.5)</f>
        <v>0.5</v>
      </c>
      <c r="U6934" s="4" t="str">
        <f>IFERROR(__xludf.DUMMYFUNCTION("""COMPUTED_VALUE"""),"N/A (Not found)")</f>
        <v>N/A (Not found)</v>
      </c>
      <c r="V6934" s="33">
        <f>IFERROR(__xludf.DUMMYFUNCTION("""COMPUTED_VALUE"""),1.0)</f>
        <v>1</v>
      </c>
      <c r="W6934" s="4" t="str">
        <f>IFERROR(__xludf.DUMMYFUNCTION("""COMPUTED_VALUE"""),"null")</f>
        <v>null</v>
      </c>
      <c r="X6934" s="33">
        <f>IFERROR(__xludf.DUMMYFUNCTION("""COMPUTED_VALUE"""),1.0)</f>
        <v>1</v>
      </c>
    </row>
    <row r="6935">
      <c r="K6935" s="4" t="str">
        <f>IFERROR(__xludf.DUMMYFUNCTION("""COMPUTED_VALUE"""),"DROGARIA SAO CAMILO - CONTA PAI")</f>
        <v>DROGARIA SAO CAMILO - CONTA PAI</v>
      </c>
      <c r="L6935" s="32">
        <f>IFERROR(__xludf.DUMMYFUNCTION("""COMPUTED_VALUE"""),2.0)</f>
        <v>2</v>
      </c>
      <c r="M6935" s="4" t="str">
        <f>IFERROR(__xludf.DUMMYFUNCTION("""COMPUTED_VALUE"""),"N/A (Not found)")</f>
        <v>N/A (Not found)</v>
      </c>
      <c r="N6935" s="33">
        <f>IFERROR(__xludf.DUMMYFUNCTION("""COMPUTED_VALUE"""),1.0)</f>
        <v>1</v>
      </c>
      <c r="O6935" s="4" t="str">
        <f>IFERROR(__xludf.DUMMYFUNCTION("""COMPUTED_VALUE"""),"N/A (Not found)")</f>
        <v>N/A (Not found)</v>
      </c>
      <c r="P6935" s="33">
        <f>IFERROR(__xludf.DUMMYFUNCTION("""COMPUTED_VALUE"""),1.0)</f>
        <v>1</v>
      </c>
      <c r="Q6935" s="4" t="str">
        <f>IFERROR(__xludf.DUMMYFUNCTION("""COMPUTED_VALUE"""),"N/A (Not found)")</f>
        <v>N/A (Not found)</v>
      </c>
      <c r="R6935" s="33">
        <f>IFERROR(__xludf.DUMMYFUNCTION("""COMPUTED_VALUE"""),1.0)</f>
        <v>1</v>
      </c>
      <c r="S6935" s="4" t="str">
        <f>IFERROR(__xludf.DUMMYFUNCTION("""COMPUTED_VALUE"""),"N/A (Not found)")</f>
        <v>N/A (Not found)</v>
      </c>
      <c r="T6935" s="33">
        <f>IFERROR(__xludf.DUMMYFUNCTION("""COMPUTED_VALUE"""),1.0)</f>
        <v>1</v>
      </c>
      <c r="U6935" s="4" t="str">
        <f>IFERROR(__xludf.DUMMYFUNCTION("""COMPUTED_VALUE"""),"N/A (Not found)")</f>
        <v>N/A (Not found)</v>
      </c>
      <c r="V6935" s="33">
        <f>IFERROR(__xludf.DUMMYFUNCTION("""COMPUTED_VALUE"""),1.0)</f>
        <v>1</v>
      </c>
      <c r="W6935" s="4" t="str">
        <f>IFERROR(__xludf.DUMMYFUNCTION("""COMPUTED_VALUE"""),"N/A (Not found)")</f>
        <v>N/A (Not found)</v>
      </c>
      <c r="X6935" s="33">
        <f>IFERROR(__xludf.DUMMYFUNCTION("""COMPUTED_VALUE"""),1.0)</f>
        <v>1</v>
      </c>
    </row>
    <row r="6936">
      <c r="K6936" s="4" t="str">
        <f>IFERROR(__xludf.DUMMYFUNCTION("""COMPUTED_VALUE"""),"DROGARIA SOL - CONTA PAI")</f>
        <v>DROGARIA SOL - CONTA PAI</v>
      </c>
      <c r="L6936" s="32">
        <f>IFERROR(__xludf.DUMMYFUNCTION("""COMPUTED_VALUE"""),2.0)</f>
        <v>2</v>
      </c>
      <c r="M6936" s="4" t="str">
        <f>IFERROR(__xludf.DUMMYFUNCTION("""COMPUTED_VALUE"""),"N/A (Not found)")</f>
        <v>N/A (Not found)</v>
      </c>
      <c r="N6936" s="33">
        <f>IFERROR(__xludf.DUMMYFUNCTION("""COMPUTED_VALUE"""),1.0)</f>
        <v>1</v>
      </c>
      <c r="O6936" s="4" t="str">
        <f>IFERROR(__xludf.DUMMYFUNCTION("""COMPUTED_VALUE"""),"N/A (Not found)")</f>
        <v>N/A (Not found)</v>
      </c>
      <c r="P6936" s="33">
        <f>IFERROR(__xludf.DUMMYFUNCTION("""COMPUTED_VALUE"""),1.0)</f>
        <v>1</v>
      </c>
      <c r="Q6936" s="4" t="str">
        <f>IFERROR(__xludf.DUMMYFUNCTION("""COMPUTED_VALUE"""),"N/A (Not found)")</f>
        <v>N/A (Not found)</v>
      </c>
      <c r="R6936" s="33">
        <f>IFERROR(__xludf.DUMMYFUNCTION("""COMPUTED_VALUE"""),1.0)</f>
        <v>1</v>
      </c>
      <c r="S6936" s="4" t="str">
        <f>IFERROR(__xludf.DUMMYFUNCTION("""COMPUTED_VALUE"""),"N/A (Not found)")</f>
        <v>N/A (Not found)</v>
      </c>
      <c r="T6936" s="33">
        <f>IFERROR(__xludf.DUMMYFUNCTION("""COMPUTED_VALUE"""),1.0)</f>
        <v>1</v>
      </c>
      <c r="U6936" s="4" t="str">
        <f>IFERROR(__xludf.DUMMYFUNCTION("""COMPUTED_VALUE"""),"N/A (Not found)")</f>
        <v>N/A (Not found)</v>
      </c>
      <c r="V6936" s="33">
        <f>IFERROR(__xludf.DUMMYFUNCTION("""COMPUTED_VALUE"""),1.0)</f>
        <v>1</v>
      </c>
      <c r="W6936" s="4" t="str">
        <f>IFERROR(__xludf.DUMMYFUNCTION("""COMPUTED_VALUE"""),"N/A (Not found)")</f>
        <v>N/A (Not found)</v>
      </c>
      <c r="X6936" s="33">
        <f>IFERROR(__xludf.DUMMYFUNCTION("""COMPUTED_VALUE"""),1.0)</f>
        <v>1</v>
      </c>
    </row>
    <row r="6937">
      <c r="K6937" s="4" t="str">
        <f>IFERROR(__xludf.DUMMYFUNCTION("""COMPUTED_VALUE"""),"DROGARIA SUFARMA - CONTA MARCA")</f>
        <v>DROGARIA SUFARMA - CONTA MARCA</v>
      </c>
      <c r="L6937" s="32">
        <f>IFERROR(__xludf.DUMMYFUNCTION("""COMPUTED_VALUE"""),2.0)</f>
        <v>2</v>
      </c>
      <c r="M6937" s="4" t="str">
        <f>IFERROR(__xludf.DUMMYFUNCTION("""COMPUTED_VALUE"""),"N/A (Not found)")</f>
        <v>N/A (Not found)</v>
      </c>
      <c r="N6937" s="33">
        <f>IFERROR(__xludf.DUMMYFUNCTION("""COMPUTED_VALUE"""),1.0)</f>
        <v>1</v>
      </c>
      <c r="O6937" s="4" t="str">
        <f>IFERROR(__xludf.DUMMYFUNCTION("""COMPUTED_VALUE"""),"N/A (Not found)")</f>
        <v>N/A (Not found)</v>
      </c>
      <c r="P6937" s="33">
        <f>IFERROR(__xludf.DUMMYFUNCTION("""COMPUTED_VALUE"""),1.0)</f>
        <v>1</v>
      </c>
      <c r="Q6937" s="4" t="str">
        <f>IFERROR(__xludf.DUMMYFUNCTION("""COMPUTED_VALUE"""),"N/A (Not found)")</f>
        <v>N/A (Not found)</v>
      </c>
      <c r="R6937" s="33">
        <f>IFERROR(__xludf.DUMMYFUNCTION("""COMPUTED_VALUE"""),1.0)</f>
        <v>1</v>
      </c>
      <c r="S6937" s="4" t="str">
        <f>IFERROR(__xludf.DUMMYFUNCTION("""COMPUTED_VALUE"""),"N/A (Not found)")</f>
        <v>N/A (Not found)</v>
      </c>
      <c r="T6937" s="33">
        <f>IFERROR(__xludf.DUMMYFUNCTION("""COMPUTED_VALUE"""),1.0)</f>
        <v>1</v>
      </c>
      <c r="U6937" s="4" t="str">
        <f>IFERROR(__xludf.DUMMYFUNCTION("""COMPUTED_VALUE"""),"N/A (Not found)")</f>
        <v>N/A (Not found)</v>
      </c>
      <c r="V6937" s="33">
        <f>IFERROR(__xludf.DUMMYFUNCTION("""COMPUTED_VALUE"""),1.0)</f>
        <v>1</v>
      </c>
      <c r="W6937" s="4" t="str">
        <f>IFERROR(__xludf.DUMMYFUNCTION("""COMPUTED_VALUE"""),"N/A (Not found)")</f>
        <v>N/A (Not found)</v>
      </c>
      <c r="X6937" s="33">
        <f>IFERROR(__xludf.DUMMYFUNCTION("""COMPUTED_VALUE"""),1.0)</f>
        <v>1</v>
      </c>
    </row>
    <row r="6938">
      <c r="K6938" s="4" t="str">
        <f>IFERROR(__xludf.DUMMYFUNCTION("""COMPUTED_VALUE"""),"DROGARIA TOTAL UNIDADE RIO DO OURO - GRUPO")</f>
        <v>DROGARIA TOTAL UNIDADE RIO DO OURO - GRUPO</v>
      </c>
      <c r="L6938" s="32">
        <f>IFERROR(__xludf.DUMMYFUNCTION("""COMPUTED_VALUE"""),2.0)</f>
        <v>2</v>
      </c>
      <c r="M6938" s="4" t="str">
        <f>IFERROR(__xludf.DUMMYFUNCTION("""COMPUTED_VALUE"""),"N/A (Not found)")</f>
        <v>N/A (Not found)</v>
      </c>
      <c r="N6938" s="33">
        <f>IFERROR(__xludf.DUMMYFUNCTION("""COMPUTED_VALUE"""),1.0)</f>
        <v>1</v>
      </c>
      <c r="O6938" s="4" t="str">
        <f>IFERROR(__xludf.DUMMYFUNCTION("""COMPUTED_VALUE"""),"N/A (Not found)")</f>
        <v>N/A (Not found)</v>
      </c>
      <c r="P6938" s="33">
        <f>IFERROR(__xludf.DUMMYFUNCTION("""COMPUTED_VALUE"""),1.0)</f>
        <v>1</v>
      </c>
      <c r="Q6938" s="4" t="str">
        <f>IFERROR(__xludf.DUMMYFUNCTION("""COMPUTED_VALUE"""),"N/A (Not found)")</f>
        <v>N/A (Not found)</v>
      </c>
      <c r="R6938" s="33">
        <f>IFERROR(__xludf.DUMMYFUNCTION("""COMPUTED_VALUE"""),1.0)</f>
        <v>1</v>
      </c>
      <c r="S6938" s="4" t="str">
        <f>IFERROR(__xludf.DUMMYFUNCTION("""COMPUTED_VALUE"""),"N/A (Not found)")</f>
        <v>N/A (Not found)</v>
      </c>
      <c r="T6938" s="33">
        <f>IFERROR(__xludf.DUMMYFUNCTION("""COMPUTED_VALUE"""),1.0)</f>
        <v>1</v>
      </c>
      <c r="U6938" s="4" t="str">
        <f>IFERROR(__xludf.DUMMYFUNCTION("""COMPUTED_VALUE"""),"N/A (Not found)")</f>
        <v>N/A (Not found)</v>
      </c>
      <c r="V6938" s="33">
        <f>IFERROR(__xludf.DUMMYFUNCTION("""COMPUTED_VALUE"""),1.0)</f>
        <v>1</v>
      </c>
      <c r="W6938" s="4" t="str">
        <f>IFERROR(__xludf.DUMMYFUNCTION("""COMPUTED_VALUE"""),"N/A (Not found)")</f>
        <v>N/A (Not found)</v>
      </c>
      <c r="X6938" s="33">
        <f>IFERROR(__xludf.DUMMYFUNCTION("""COMPUTED_VALUE"""),1.0)</f>
        <v>1</v>
      </c>
    </row>
    <row r="6939">
      <c r="K6939" s="4" t="str">
        <f>IFERROR(__xludf.DUMMYFUNCTION("""COMPUTED_VALUE"""),"DROGARIAS BRASILEIRAS LUCIO MEIRA - CONTA MARCA")</f>
        <v>DROGARIAS BRASILEIRAS LUCIO MEIRA - CONTA MARCA</v>
      </c>
      <c r="L6939" s="32">
        <f>IFERROR(__xludf.DUMMYFUNCTION("""COMPUTED_VALUE"""),2.0)</f>
        <v>2</v>
      </c>
      <c r="M6939" s="4" t="str">
        <f>IFERROR(__xludf.DUMMYFUNCTION("""COMPUTED_VALUE"""),"N/A (Not found)")</f>
        <v>N/A (Not found)</v>
      </c>
      <c r="N6939" s="33">
        <f>IFERROR(__xludf.DUMMYFUNCTION("""COMPUTED_VALUE"""),0.5)</f>
        <v>0.5</v>
      </c>
      <c r="O6939" s="4" t="str">
        <f>IFERROR(__xludf.DUMMYFUNCTION("""COMPUTED_VALUE"""),"N/A (Not found)")</f>
        <v>N/A (Not found)</v>
      </c>
      <c r="P6939" s="33">
        <f>IFERROR(__xludf.DUMMYFUNCTION("""COMPUTED_VALUE"""),0.5)</f>
        <v>0.5</v>
      </c>
      <c r="Q6939" s="4" t="str">
        <f>IFERROR(__xludf.DUMMYFUNCTION("""COMPUTED_VALUE"""),"N/A (Not found)")</f>
        <v>N/A (Not found)</v>
      </c>
      <c r="R6939" s="33">
        <f>IFERROR(__xludf.DUMMYFUNCTION("""COMPUTED_VALUE"""),0.5)</f>
        <v>0.5</v>
      </c>
      <c r="S6939" s="4" t="str">
        <f>IFERROR(__xludf.DUMMYFUNCTION("""COMPUTED_VALUE"""),"N/A (Not found)")</f>
        <v>N/A (Not found)</v>
      </c>
      <c r="T6939" s="33">
        <f>IFERROR(__xludf.DUMMYFUNCTION("""COMPUTED_VALUE"""),0.5)</f>
        <v>0.5</v>
      </c>
      <c r="U6939" s="4" t="str">
        <f>IFERROR(__xludf.DUMMYFUNCTION("""COMPUTED_VALUE"""),"N/A (Not found)")</f>
        <v>N/A (Not found)</v>
      </c>
      <c r="V6939" s="33">
        <f>IFERROR(__xludf.DUMMYFUNCTION("""COMPUTED_VALUE"""),1.0)</f>
        <v>1</v>
      </c>
      <c r="W6939" s="4" t="str">
        <f>IFERROR(__xludf.DUMMYFUNCTION("""COMPUTED_VALUE"""),"N/A (Not found)")</f>
        <v>N/A (Not found)</v>
      </c>
      <c r="X6939" s="33">
        <f>IFERROR(__xludf.DUMMYFUNCTION("""COMPUTED_VALUE"""),1.0)</f>
        <v>1</v>
      </c>
    </row>
    <row r="6940">
      <c r="K6940" s="4" t="str">
        <f>IFERROR(__xludf.DUMMYFUNCTION("""COMPUTED_VALUE"""),"DROGARIAS CONCEITO - LOJA MELVYN")</f>
        <v>DROGARIAS CONCEITO - LOJA MELVYN</v>
      </c>
      <c r="L6940" s="32">
        <f>IFERROR(__xludf.DUMMYFUNCTION("""COMPUTED_VALUE"""),2.0)</f>
        <v>2</v>
      </c>
      <c r="M6940" s="4" t="str">
        <f>IFERROR(__xludf.DUMMYFUNCTION("""COMPUTED_VALUE"""),"N/A (Not found)")</f>
        <v>N/A (Not found)</v>
      </c>
      <c r="N6940" s="33">
        <f>IFERROR(__xludf.DUMMYFUNCTION("""COMPUTED_VALUE"""),0.5)</f>
        <v>0.5</v>
      </c>
      <c r="O6940" s="4" t="str">
        <f>IFERROR(__xludf.DUMMYFUNCTION("""COMPUTED_VALUE"""),"N/A (Not found)")</f>
        <v>N/A (Not found)</v>
      </c>
      <c r="P6940" s="33">
        <f>IFERROR(__xludf.DUMMYFUNCTION("""COMPUTED_VALUE"""),0.5)</f>
        <v>0.5</v>
      </c>
      <c r="Q6940" s="4" t="str">
        <f>IFERROR(__xludf.DUMMYFUNCTION("""COMPUTED_VALUE"""),"N/A (Not found)")</f>
        <v>N/A (Not found)</v>
      </c>
      <c r="R6940" s="33">
        <f>IFERROR(__xludf.DUMMYFUNCTION("""COMPUTED_VALUE"""),0.5)</f>
        <v>0.5</v>
      </c>
      <c r="S6940" s="4" t="str">
        <f>IFERROR(__xludf.DUMMYFUNCTION("""COMPUTED_VALUE"""),"N/A (Not found)")</f>
        <v>N/A (Not found)</v>
      </c>
      <c r="T6940" s="33">
        <f>IFERROR(__xludf.DUMMYFUNCTION("""COMPUTED_VALUE"""),0.5)</f>
        <v>0.5</v>
      </c>
      <c r="U6940" s="4" t="str">
        <f>IFERROR(__xludf.DUMMYFUNCTION("""COMPUTED_VALUE"""),"N/A (Not found)")</f>
        <v>N/A (Not found)</v>
      </c>
      <c r="V6940" s="33">
        <f>IFERROR(__xludf.DUMMYFUNCTION("""COMPUTED_VALUE"""),0.5)</f>
        <v>0.5</v>
      </c>
      <c r="W6940" s="4" t="str">
        <f>IFERROR(__xludf.DUMMYFUNCTION("""COMPUTED_VALUE"""),"N/A (Not found)")</f>
        <v>N/A (Not found)</v>
      </c>
      <c r="X6940" s="33">
        <f>IFERROR(__xludf.DUMMYFUNCTION("""COMPUTED_VALUE"""),1.0)</f>
        <v>1</v>
      </c>
    </row>
    <row r="6941">
      <c r="K6941" s="4" t="str">
        <f>IFERROR(__xludf.DUMMYFUNCTION("""COMPUTED_VALUE"""),"DROGARIAS FARMAXX - CONTA MARCA")</f>
        <v>DROGARIAS FARMAXX - CONTA MARCA</v>
      </c>
      <c r="L6941" s="32">
        <f>IFERROR(__xludf.DUMMYFUNCTION("""COMPUTED_VALUE"""),2.0)</f>
        <v>2</v>
      </c>
      <c r="M6941" s="4" t="str">
        <f>IFERROR(__xludf.DUMMYFUNCTION("""COMPUTED_VALUE"""),"N/A (Not found)")</f>
        <v>N/A (Not found)</v>
      </c>
      <c r="N6941" s="33">
        <f>IFERROR(__xludf.DUMMYFUNCTION("""COMPUTED_VALUE"""),1.0)</f>
        <v>1</v>
      </c>
      <c r="O6941" s="4" t="str">
        <f>IFERROR(__xludf.DUMMYFUNCTION("""COMPUTED_VALUE"""),"N/A (Not found)")</f>
        <v>N/A (Not found)</v>
      </c>
      <c r="P6941" s="33">
        <f>IFERROR(__xludf.DUMMYFUNCTION("""COMPUTED_VALUE"""),1.0)</f>
        <v>1</v>
      </c>
      <c r="Q6941" s="4" t="str">
        <f>IFERROR(__xludf.DUMMYFUNCTION("""COMPUTED_VALUE"""),"N/A (Not found)")</f>
        <v>N/A (Not found)</v>
      </c>
      <c r="R6941" s="33">
        <f>IFERROR(__xludf.DUMMYFUNCTION("""COMPUTED_VALUE"""),1.0)</f>
        <v>1</v>
      </c>
      <c r="S6941" s="4" t="str">
        <f>IFERROR(__xludf.DUMMYFUNCTION("""COMPUTED_VALUE"""),"N/A (Not found)")</f>
        <v>N/A (Not found)</v>
      </c>
      <c r="T6941" s="33">
        <f>IFERROR(__xludf.DUMMYFUNCTION("""COMPUTED_VALUE"""),1.0)</f>
        <v>1</v>
      </c>
      <c r="U6941" s="4" t="str">
        <f>IFERROR(__xludf.DUMMYFUNCTION("""COMPUTED_VALUE"""),"N/A (Not found)")</f>
        <v>N/A (Not found)</v>
      </c>
      <c r="V6941" s="33">
        <f>IFERROR(__xludf.DUMMYFUNCTION("""COMPUTED_VALUE"""),1.0)</f>
        <v>1</v>
      </c>
      <c r="W6941" s="4" t="str">
        <f>IFERROR(__xludf.DUMMYFUNCTION("""COMPUTED_VALUE"""),"N/A (Not found)")</f>
        <v>N/A (Not found)</v>
      </c>
      <c r="X6941" s="33">
        <f>IFERROR(__xludf.DUMMYFUNCTION("""COMPUTED_VALUE"""),1.0)</f>
        <v>1</v>
      </c>
    </row>
    <row r="6942">
      <c r="K6942" s="4" t="str">
        <f>IFERROR(__xludf.DUMMYFUNCTION("""COMPUTED_VALUE"""),"DROGARIAS MAX GR CLAUDIO FERNANDES - CONTA MARCA")</f>
        <v>DROGARIAS MAX GR CLAUDIO FERNANDES - CONTA MARCA</v>
      </c>
      <c r="L6942" s="32">
        <f>IFERROR(__xludf.DUMMYFUNCTION("""COMPUTED_VALUE"""),2.0)</f>
        <v>2</v>
      </c>
      <c r="M6942" s="4" t="str">
        <f>IFERROR(__xludf.DUMMYFUNCTION("""COMPUTED_VALUE"""),"null")</f>
        <v>null</v>
      </c>
      <c r="N6942" s="33">
        <f>IFERROR(__xludf.DUMMYFUNCTION("""COMPUTED_VALUE"""),1.0)</f>
        <v>1</v>
      </c>
      <c r="O6942" s="4" t="str">
        <f>IFERROR(__xludf.DUMMYFUNCTION("""COMPUTED_VALUE"""),"null")</f>
        <v>null</v>
      </c>
      <c r="P6942" s="33">
        <f>IFERROR(__xludf.DUMMYFUNCTION("""COMPUTED_VALUE"""),0.5)</f>
        <v>0.5</v>
      </c>
      <c r="Q6942" s="4" t="str">
        <f>IFERROR(__xludf.DUMMYFUNCTION("""COMPUTED_VALUE"""),"N/A (Not found)")</f>
        <v>N/A (Not found)</v>
      </c>
      <c r="R6942" s="33">
        <f>IFERROR(__xludf.DUMMYFUNCTION("""COMPUTED_VALUE"""),0.5)</f>
        <v>0.5</v>
      </c>
      <c r="S6942" s="4" t="str">
        <f>IFERROR(__xludf.DUMMYFUNCTION("""COMPUTED_VALUE"""),"N/A (Not found)")</f>
        <v>N/A (Not found)</v>
      </c>
      <c r="T6942" s="33">
        <f>IFERROR(__xludf.DUMMYFUNCTION("""COMPUTED_VALUE"""),1.0)</f>
        <v>1</v>
      </c>
      <c r="U6942" s="4" t="str">
        <f>IFERROR(__xludf.DUMMYFUNCTION("""COMPUTED_VALUE"""),"N/A (Not found)")</f>
        <v>N/A (Not found)</v>
      </c>
      <c r="V6942" s="33">
        <f>IFERROR(__xludf.DUMMYFUNCTION("""COMPUTED_VALUE"""),1.0)</f>
        <v>1</v>
      </c>
      <c r="W6942" s="4" t="str">
        <f>IFERROR(__xludf.DUMMYFUNCTION("""COMPUTED_VALUE"""),"N/A (Not found)")</f>
        <v>N/A (Not found)</v>
      </c>
      <c r="X6942" s="33">
        <f>IFERROR(__xludf.DUMMYFUNCTION("""COMPUTED_VALUE"""),1.0)</f>
        <v>1</v>
      </c>
    </row>
    <row r="6943">
      <c r="K6943" s="4" t="str">
        <f>IFERROR(__xludf.DUMMYFUNCTION("""COMPUTED_VALUE"""),"DROGARIAS OFERTAO MARE - CONTA MARCA")</f>
        <v>DROGARIAS OFERTAO MARE - CONTA MARCA</v>
      </c>
      <c r="L6943" s="32">
        <f>IFERROR(__xludf.DUMMYFUNCTION("""COMPUTED_VALUE"""),2.0)</f>
        <v>2</v>
      </c>
      <c r="M6943" s="4" t="str">
        <f>IFERROR(__xludf.DUMMYFUNCTION("""COMPUTED_VALUE"""),"N/A (Not found)")</f>
        <v>N/A (Not found)</v>
      </c>
      <c r="N6943" s="33">
        <f>IFERROR(__xludf.DUMMYFUNCTION("""COMPUTED_VALUE"""),1.0)</f>
        <v>1</v>
      </c>
      <c r="O6943" s="4" t="str">
        <f>IFERROR(__xludf.DUMMYFUNCTION("""COMPUTED_VALUE"""),"N/A (Not found)")</f>
        <v>N/A (Not found)</v>
      </c>
      <c r="P6943" s="33">
        <f>IFERROR(__xludf.DUMMYFUNCTION("""COMPUTED_VALUE"""),1.0)</f>
        <v>1</v>
      </c>
      <c r="Q6943" s="4" t="str">
        <f>IFERROR(__xludf.DUMMYFUNCTION("""COMPUTED_VALUE"""),"N/A (Not found)")</f>
        <v>N/A (Not found)</v>
      </c>
      <c r="R6943" s="33">
        <f>IFERROR(__xludf.DUMMYFUNCTION("""COMPUTED_VALUE"""),1.0)</f>
        <v>1</v>
      </c>
      <c r="S6943" s="4" t="str">
        <f>IFERROR(__xludf.DUMMYFUNCTION("""COMPUTED_VALUE"""),"N/A (Not found)")</f>
        <v>N/A (Not found)</v>
      </c>
      <c r="T6943" s="33">
        <f>IFERROR(__xludf.DUMMYFUNCTION("""COMPUTED_VALUE"""),0.5)</f>
        <v>0.5</v>
      </c>
      <c r="U6943" s="4" t="str">
        <f>IFERROR(__xludf.DUMMYFUNCTION("""COMPUTED_VALUE"""),"N/A (Not found)")</f>
        <v>N/A (Not found)</v>
      </c>
      <c r="V6943" s="33">
        <f>IFERROR(__xludf.DUMMYFUNCTION("""COMPUTED_VALUE"""),1.0)</f>
        <v>1</v>
      </c>
      <c r="W6943" s="4" t="str">
        <f>IFERROR(__xludf.DUMMYFUNCTION("""COMPUTED_VALUE"""),"N/A (Not found)")</f>
        <v>N/A (Not found)</v>
      </c>
      <c r="X6943" s="33">
        <f>IFERROR(__xludf.DUMMYFUNCTION("""COMPUTED_VALUE"""),0.5)</f>
        <v>0.5</v>
      </c>
    </row>
    <row r="6944">
      <c r="K6944" s="4" t="str">
        <f>IFERROR(__xludf.DUMMYFUNCTION("""COMPUTED_VALUE"""),"DROGARIAS ULTRA POPULAR - LOJAS WALACE")</f>
        <v>DROGARIAS ULTRA POPULAR - LOJAS WALACE</v>
      </c>
      <c r="L6944" s="32">
        <f>IFERROR(__xludf.DUMMYFUNCTION("""COMPUTED_VALUE"""),2.0)</f>
        <v>2</v>
      </c>
      <c r="M6944" s="4" t="str">
        <f>IFERROR(__xludf.DUMMYFUNCTION("""COMPUTED_VALUE"""),"null")</f>
        <v>null</v>
      </c>
      <c r="N6944" s="33">
        <f>IFERROR(__xludf.DUMMYFUNCTION("""COMPUTED_VALUE"""),1.0)</f>
        <v>1</v>
      </c>
      <c r="O6944" s="4" t="str">
        <f>IFERROR(__xludf.DUMMYFUNCTION("""COMPUTED_VALUE"""),"null")</f>
        <v>null</v>
      </c>
      <c r="P6944" s="33">
        <f>IFERROR(__xludf.DUMMYFUNCTION("""COMPUTED_VALUE"""),1.0)</f>
        <v>1</v>
      </c>
      <c r="Q6944" s="4" t="str">
        <f>IFERROR(__xludf.DUMMYFUNCTION("""COMPUTED_VALUE"""),"null")</f>
        <v>null</v>
      </c>
      <c r="R6944" s="33">
        <f>IFERROR(__xludf.DUMMYFUNCTION("""COMPUTED_VALUE"""),1.0)</f>
        <v>1</v>
      </c>
      <c r="S6944" s="4" t="str">
        <f>IFERROR(__xludf.DUMMYFUNCTION("""COMPUTED_VALUE"""),"null")</f>
        <v>null</v>
      </c>
      <c r="T6944" s="33">
        <f>IFERROR(__xludf.DUMMYFUNCTION("""COMPUTED_VALUE"""),1.0)</f>
        <v>1</v>
      </c>
      <c r="U6944" s="4" t="str">
        <f>IFERROR(__xludf.DUMMYFUNCTION("""COMPUTED_VALUE"""),"N/A (Not found)")</f>
        <v>N/A (Not found)</v>
      </c>
      <c r="V6944" s="33">
        <f>IFERROR(__xludf.DUMMYFUNCTION("""COMPUTED_VALUE"""),1.0)</f>
        <v>1</v>
      </c>
      <c r="W6944" s="4" t="str">
        <f>IFERROR(__xludf.DUMMYFUNCTION("""COMPUTED_VALUE"""),"N/A (Not found)")</f>
        <v>N/A (Not found)</v>
      </c>
      <c r="X6944" s="33">
        <f>IFERROR(__xludf.DUMMYFUNCTION("""COMPUTED_VALUE"""),1.0)</f>
        <v>1</v>
      </c>
    </row>
    <row r="6945">
      <c r="K6945" s="4" t="str">
        <f>IFERROR(__xludf.DUMMYFUNCTION("""COMPUTED_VALUE"""),"DROGASENNA GRUPO GJS - CONTA MARCA")</f>
        <v>DROGASENNA GRUPO GJS - CONTA MARCA</v>
      </c>
      <c r="L6945" s="32">
        <f>IFERROR(__xludf.DUMMYFUNCTION("""COMPUTED_VALUE"""),2.0)</f>
        <v>2</v>
      </c>
      <c r="M6945" s="4" t="str">
        <f>IFERROR(__xludf.DUMMYFUNCTION("""COMPUTED_VALUE"""),"null")</f>
        <v>null</v>
      </c>
      <c r="N6945" s="33">
        <f>IFERROR(__xludf.DUMMYFUNCTION("""COMPUTED_VALUE"""),1.0)</f>
        <v>1</v>
      </c>
      <c r="O6945" s="4" t="str">
        <f>IFERROR(__xludf.DUMMYFUNCTION("""COMPUTED_VALUE"""),"null")</f>
        <v>null</v>
      </c>
      <c r="P6945" s="33">
        <f>IFERROR(__xludf.DUMMYFUNCTION("""COMPUTED_VALUE"""),1.0)</f>
        <v>1</v>
      </c>
      <c r="Q6945" s="4" t="str">
        <f>IFERROR(__xludf.DUMMYFUNCTION("""COMPUTED_VALUE"""),"null")</f>
        <v>null</v>
      </c>
      <c r="R6945" s="33">
        <f>IFERROR(__xludf.DUMMYFUNCTION("""COMPUTED_VALUE"""),1.0)</f>
        <v>1</v>
      </c>
      <c r="S6945" s="4" t="str">
        <f>IFERROR(__xludf.DUMMYFUNCTION("""COMPUTED_VALUE"""),"N/A (Not found)")</f>
        <v>N/A (Not found)</v>
      </c>
      <c r="T6945" s="33">
        <f>IFERROR(__xludf.DUMMYFUNCTION("""COMPUTED_VALUE"""),1.0)</f>
        <v>1</v>
      </c>
      <c r="U6945" s="4" t="str">
        <f>IFERROR(__xludf.DUMMYFUNCTION("""COMPUTED_VALUE"""),"N/A (Not found)")</f>
        <v>N/A (Not found)</v>
      </c>
      <c r="V6945" s="33">
        <f>IFERROR(__xludf.DUMMYFUNCTION("""COMPUTED_VALUE"""),1.0)</f>
        <v>1</v>
      </c>
      <c r="W6945" s="4" t="str">
        <f>IFERROR(__xludf.DUMMYFUNCTION("""COMPUTED_VALUE"""),"N/A (Not found)")</f>
        <v>N/A (Not found)</v>
      </c>
      <c r="X6945" s="33">
        <f>IFERROR(__xludf.DUMMYFUNCTION("""COMPUTED_VALUE"""),1.0)</f>
        <v>1</v>
      </c>
    </row>
    <row r="6946">
      <c r="K6946" s="4" t="str">
        <f>IFERROR(__xludf.DUMMYFUNCTION("""COMPUTED_VALUE"""),"DU CAFE HAMBURGUERIA")</f>
        <v>DU CAFE HAMBURGUERIA</v>
      </c>
      <c r="L6946" s="32">
        <f>IFERROR(__xludf.DUMMYFUNCTION("""COMPUTED_VALUE"""),2.0)</f>
        <v>2</v>
      </c>
      <c r="M6946" s="4" t="str">
        <f>IFERROR(__xludf.DUMMYFUNCTION("""COMPUTED_VALUE"""),"Cardápio Web")</f>
        <v>Cardápio Web</v>
      </c>
      <c r="N6946" s="33">
        <f>IFERROR(__xludf.DUMMYFUNCTION("""COMPUTED_VALUE"""),1.0)</f>
        <v>1</v>
      </c>
      <c r="O6946" s="4" t="str">
        <f>IFERROR(__xludf.DUMMYFUNCTION("""COMPUTED_VALUE"""),"Cardápio Web")</f>
        <v>Cardápio Web</v>
      </c>
      <c r="P6946" s="33">
        <f>IFERROR(__xludf.DUMMYFUNCTION("""COMPUTED_VALUE"""),1.0)</f>
        <v>1</v>
      </c>
      <c r="Q6946" s="4" t="str">
        <f>IFERROR(__xludf.DUMMYFUNCTION("""COMPUTED_VALUE"""),"Cardápio Web")</f>
        <v>Cardápio Web</v>
      </c>
      <c r="R6946" s="33">
        <f>IFERROR(__xludf.DUMMYFUNCTION("""COMPUTED_VALUE"""),1.0)</f>
        <v>1</v>
      </c>
      <c r="S6946" s="4" t="str">
        <f>IFERROR(__xludf.DUMMYFUNCTION("""COMPUTED_VALUE"""),"Cardápio Web")</f>
        <v>Cardápio Web</v>
      </c>
      <c r="T6946" s="33">
        <f>IFERROR(__xludf.DUMMYFUNCTION("""COMPUTED_VALUE"""),1.0)</f>
        <v>1</v>
      </c>
      <c r="U6946" s="4" t="str">
        <f>IFERROR(__xludf.DUMMYFUNCTION("""COMPUTED_VALUE"""),"null")</f>
        <v>null</v>
      </c>
      <c r="V6946" s="33">
        <f>IFERROR(__xludf.DUMMYFUNCTION("""COMPUTED_VALUE"""),1.0)</f>
        <v>1</v>
      </c>
      <c r="W6946" s="4" t="str">
        <f>IFERROR(__xludf.DUMMYFUNCTION("""COMPUTED_VALUE"""),"null")</f>
        <v>null</v>
      </c>
      <c r="X6946" s="33">
        <f>IFERROR(__xludf.DUMMYFUNCTION("""COMPUTED_VALUE"""),1.0)</f>
        <v>1</v>
      </c>
    </row>
    <row r="6947">
      <c r="K6947" s="4" t="str">
        <f>IFERROR(__xludf.DUMMYFUNCTION("""COMPUTED_VALUE"""),"DUBZ BURGUER")</f>
        <v>DUBZ BURGUER</v>
      </c>
      <c r="L6947" s="32">
        <f>IFERROR(__xludf.DUMMYFUNCTION("""COMPUTED_VALUE"""),2.0)</f>
        <v>2</v>
      </c>
      <c r="M6947" s="4" t="str">
        <f>IFERROR(__xludf.DUMMYFUNCTION("""COMPUTED_VALUE"""),"Grandchef Desenvolvimento De Sistemas Ltda")</f>
        <v>Grandchef Desenvolvimento De Sistemas Ltda</v>
      </c>
      <c r="N6947" s="33">
        <f>IFERROR(__xludf.DUMMYFUNCTION("""COMPUTED_VALUE"""),1.0)</f>
        <v>1</v>
      </c>
      <c r="O6947" s="4" t="str">
        <f>IFERROR(__xludf.DUMMYFUNCTION("""COMPUTED_VALUE"""),"Grandchef Desenvolvimento De Sistemas Ltda")</f>
        <v>Grandchef Desenvolvimento De Sistemas Ltda</v>
      </c>
      <c r="P6947" s="33">
        <f>IFERROR(__xludf.DUMMYFUNCTION("""COMPUTED_VALUE"""),1.0)</f>
        <v>1</v>
      </c>
      <c r="Q6947" s="4" t="str">
        <f>IFERROR(__xludf.DUMMYFUNCTION("""COMPUTED_VALUE"""),"Grandchef Desenvolvimento De Sistemas Ltda")</f>
        <v>Grandchef Desenvolvimento De Sistemas Ltda</v>
      </c>
      <c r="R6947" s="33">
        <f>IFERROR(__xludf.DUMMYFUNCTION("""COMPUTED_VALUE"""),1.0)</f>
        <v>1</v>
      </c>
      <c r="S6947" s="4" t="str">
        <f>IFERROR(__xludf.DUMMYFUNCTION("""COMPUTED_VALUE"""),"Grandchef Desenvolvimento De Sistemas Ltda")</f>
        <v>Grandchef Desenvolvimento De Sistemas Ltda</v>
      </c>
      <c r="T6947" s="33">
        <f>IFERROR(__xludf.DUMMYFUNCTION("""COMPUTED_VALUE"""),1.0)</f>
        <v>1</v>
      </c>
      <c r="U6947" s="4" t="str">
        <f>IFERROR(__xludf.DUMMYFUNCTION("""COMPUTED_VALUE"""),"Grandchef Desenvolvimento De Sistemas Ltda")</f>
        <v>Grandchef Desenvolvimento De Sistemas Ltda</v>
      </c>
      <c r="V6947" s="33">
        <f>IFERROR(__xludf.DUMMYFUNCTION("""COMPUTED_VALUE"""),1.0)</f>
        <v>1</v>
      </c>
      <c r="W6947" s="4" t="str">
        <f>IFERROR(__xludf.DUMMYFUNCTION("""COMPUTED_VALUE"""),"Grandchef Desenvolvimento De Sistemas Ltda")</f>
        <v>Grandchef Desenvolvimento De Sistemas Ltda</v>
      </c>
      <c r="X6947" s="33">
        <f>IFERROR(__xludf.DUMMYFUNCTION("""COMPUTED_VALUE"""),1.0)</f>
        <v>1</v>
      </c>
    </row>
    <row r="6948">
      <c r="K6948" s="4" t="str">
        <f>IFERROR(__xludf.DUMMYFUNCTION("""COMPUTED_VALUE"""),"DUNNAS RESTAURANTE")</f>
        <v>DUNNAS RESTAURANTE</v>
      </c>
      <c r="L6948" s="32">
        <f>IFERROR(__xludf.DUMMYFUNCTION("""COMPUTED_VALUE"""),2.0)</f>
        <v>2</v>
      </c>
      <c r="M6948" s="4" t="str">
        <f>IFERROR(__xludf.DUMMYFUNCTION("""COMPUTED_VALUE"""),"Cloudfy")</f>
        <v>Cloudfy</v>
      </c>
      <c r="N6948" s="33">
        <f>IFERROR(__xludf.DUMMYFUNCTION("""COMPUTED_VALUE"""),1.0)</f>
        <v>1</v>
      </c>
      <c r="O6948" s="4" t="str">
        <f>IFERROR(__xludf.DUMMYFUNCTION("""COMPUTED_VALUE"""),"Cloudfy")</f>
        <v>Cloudfy</v>
      </c>
      <c r="P6948" s="33">
        <f>IFERROR(__xludf.DUMMYFUNCTION("""COMPUTED_VALUE"""),1.0)</f>
        <v>1</v>
      </c>
      <c r="Q6948" s="4" t="str">
        <f>IFERROR(__xludf.DUMMYFUNCTION("""COMPUTED_VALUE"""),"Cloudfy")</f>
        <v>Cloudfy</v>
      </c>
      <c r="R6948" s="33">
        <f>IFERROR(__xludf.DUMMYFUNCTION("""COMPUTED_VALUE"""),1.0)</f>
        <v>1</v>
      </c>
      <c r="S6948" s="4" t="str">
        <f>IFERROR(__xludf.DUMMYFUNCTION("""COMPUTED_VALUE"""),"Cloudfy")</f>
        <v>Cloudfy</v>
      </c>
      <c r="T6948" s="33">
        <f>IFERROR(__xludf.DUMMYFUNCTION("""COMPUTED_VALUE"""),1.0)</f>
        <v>1</v>
      </c>
      <c r="U6948" s="4" t="str">
        <f>IFERROR(__xludf.DUMMYFUNCTION("""COMPUTED_VALUE"""),"Cloudfy")</f>
        <v>Cloudfy</v>
      </c>
      <c r="V6948" s="33">
        <f>IFERROR(__xludf.DUMMYFUNCTION("""COMPUTED_VALUE"""),1.0)</f>
        <v>1</v>
      </c>
      <c r="W6948" s="4" t="str">
        <f>IFERROR(__xludf.DUMMYFUNCTION("""COMPUTED_VALUE"""),"Cloudfy")</f>
        <v>Cloudfy</v>
      </c>
      <c r="X6948" s="33">
        <f>IFERROR(__xludf.DUMMYFUNCTION("""COMPUTED_VALUE"""),1.0)</f>
        <v>1</v>
      </c>
    </row>
    <row r="6949">
      <c r="K6949" s="4" t="str">
        <f>IFERROR(__xludf.DUMMYFUNCTION("""COMPUTED_VALUE"""),"DUPERON PIZZARIA - UBERABA - MG")</f>
        <v>DUPERON PIZZARIA - UBERABA - MG</v>
      </c>
      <c r="L6949" s="32">
        <f>IFERROR(__xludf.DUMMYFUNCTION("""COMPUTED_VALUE"""),2.0)</f>
        <v>2</v>
      </c>
      <c r="M6949" s="4" t="str">
        <f>IFERROR(__xludf.DUMMYFUNCTION("""COMPUTED_VALUE"""),"null")</f>
        <v>null</v>
      </c>
      <c r="N6949" s="33">
        <f>IFERROR(__xludf.DUMMYFUNCTION("""COMPUTED_VALUE"""),0.5)</f>
        <v>0.5</v>
      </c>
      <c r="O6949" s="4" t="str">
        <f>IFERROR(__xludf.DUMMYFUNCTION("""COMPUTED_VALUE"""),"null")</f>
        <v>null</v>
      </c>
      <c r="P6949" s="33">
        <f>IFERROR(__xludf.DUMMYFUNCTION("""COMPUTED_VALUE"""),0.5)</f>
        <v>0.5</v>
      </c>
      <c r="Q6949" s="4" t="str">
        <f>IFERROR(__xludf.DUMMYFUNCTION("""COMPUTED_VALUE"""),"Saipos Serviços De Software")</f>
        <v>Saipos Serviços De Software</v>
      </c>
      <c r="R6949" s="33">
        <f>IFERROR(__xludf.DUMMYFUNCTION("""COMPUTED_VALUE"""),1.0)</f>
        <v>1</v>
      </c>
      <c r="S6949" s="4" t="str">
        <f>IFERROR(__xludf.DUMMYFUNCTION("""COMPUTED_VALUE"""),"Saipos Serviços De Software")</f>
        <v>Saipos Serviços De Software</v>
      </c>
      <c r="T6949" s="33">
        <f>IFERROR(__xludf.DUMMYFUNCTION("""COMPUTED_VALUE"""),1.0)</f>
        <v>1</v>
      </c>
      <c r="U6949" s="4" t="str">
        <f>IFERROR(__xludf.DUMMYFUNCTION("""COMPUTED_VALUE"""),"Saipos Serviços De Software")</f>
        <v>Saipos Serviços De Software</v>
      </c>
      <c r="V6949" s="33">
        <f>IFERROR(__xludf.DUMMYFUNCTION("""COMPUTED_VALUE"""),1.0)</f>
        <v>1</v>
      </c>
      <c r="W6949" s="4" t="str">
        <f>IFERROR(__xludf.DUMMYFUNCTION("""COMPUTED_VALUE"""),"Saipos Serviços De Software")</f>
        <v>Saipos Serviços De Software</v>
      </c>
      <c r="X6949" s="33">
        <f>IFERROR(__xludf.DUMMYFUNCTION("""COMPUTED_VALUE"""),1.0)</f>
        <v>1</v>
      </c>
    </row>
    <row r="6950">
      <c r="K6950" s="4" t="str">
        <f>IFERROR(__xludf.DUMMYFUNCTION("""COMPUTED_VALUE"""),"EDAMI SUSHI - FLORIPA")</f>
        <v>EDAMI SUSHI - FLORIPA</v>
      </c>
      <c r="L6950" s="32">
        <f>IFERROR(__xludf.DUMMYFUNCTION("""COMPUTED_VALUE"""),2.0)</f>
        <v>2</v>
      </c>
      <c r="M6950" s="4" t="str">
        <f>IFERROR(__xludf.DUMMYFUNCTION("""COMPUTED_VALUE"""),"Parseint Desenvolvimento De Sistemas Ltda")</f>
        <v>Parseint Desenvolvimento De Sistemas Ltda</v>
      </c>
      <c r="N6950" s="33">
        <f>IFERROR(__xludf.DUMMYFUNCTION("""COMPUTED_VALUE"""),1.0)</f>
        <v>1</v>
      </c>
      <c r="O6950" s="4" t="str">
        <f>IFERROR(__xludf.DUMMYFUNCTION("""COMPUTED_VALUE"""),"Parseint Desenvolvimento De Sistemas Ltda")</f>
        <v>Parseint Desenvolvimento De Sistemas Ltda</v>
      </c>
      <c r="P6950" s="33">
        <f>IFERROR(__xludf.DUMMYFUNCTION("""COMPUTED_VALUE"""),1.0)</f>
        <v>1</v>
      </c>
      <c r="Q6950" s="4" t="str">
        <f>IFERROR(__xludf.DUMMYFUNCTION("""COMPUTED_VALUE"""),"Parseint Desenvolvimento De Sistemas Ltda")</f>
        <v>Parseint Desenvolvimento De Sistemas Ltda</v>
      </c>
      <c r="R6950" s="33">
        <f>IFERROR(__xludf.DUMMYFUNCTION("""COMPUTED_VALUE"""),1.0)</f>
        <v>1</v>
      </c>
      <c r="S6950" s="4" t="str">
        <f>IFERROR(__xludf.DUMMYFUNCTION("""COMPUTED_VALUE"""),"Parseint Desenvolvimento De Sistemas Ltda")</f>
        <v>Parseint Desenvolvimento De Sistemas Ltda</v>
      </c>
      <c r="T6950" s="33">
        <f>IFERROR(__xludf.DUMMYFUNCTION("""COMPUTED_VALUE"""),1.0)</f>
        <v>1</v>
      </c>
      <c r="U6950" s="4" t="str">
        <f>IFERROR(__xludf.DUMMYFUNCTION("""COMPUTED_VALUE"""),"Parseint Desenvolvimento De Sistemas Ltda")</f>
        <v>Parseint Desenvolvimento De Sistemas Ltda</v>
      </c>
      <c r="V6950" s="33">
        <f>IFERROR(__xludf.DUMMYFUNCTION("""COMPUTED_VALUE"""),1.0)</f>
        <v>1</v>
      </c>
      <c r="W6950" s="4" t="str">
        <f>IFERROR(__xludf.DUMMYFUNCTION("""COMPUTED_VALUE"""),"Parseint Desenvolvimento De Sistemas Ltda")</f>
        <v>Parseint Desenvolvimento De Sistemas Ltda</v>
      </c>
      <c r="X6950" s="33">
        <f>IFERROR(__xludf.DUMMYFUNCTION("""COMPUTED_VALUE"""),1.0)</f>
        <v>1</v>
      </c>
    </row>
    <row r="6951">
      <c r="K6951" s="4" t="str">
        <f>IFERROR(__xludf.DUMMYFUNCTION("""COMPUTED_VALUE"""),"EDO - SUSHI BAR")</f>
        <v>EDO - SUSHI BAR</v>
      </c>
      <c r="L6951" s="32">
        <f>IFERROR(__xludf.DUMMYFUNCTION("""COMPUTED_VALUE"""),2.0)</f>
        <v>2</v>
      </c>
      <c r="M6951" s="4" t="str">
        <f>IFERROR(__xludf.DUMMYFUNCTION("""COMPUTED_VALUE"""),"Vuca Solution")</f>
        <v>Vuca Solution</v>
      </c>
      <c r="N6951" s="33">
        <f>IFERROR(__xludf.DUMMYFUNCTION("""COMPUTED_VALUE"""),1.0)</f>
        <v>1</v>
      </c>
      <c r="O6951" s="4" t="str">
        <f>IFERROR(__xludf.DUMMYFUNCTION("""COMPUTED_VALUE"""),"Vuca Solution")</f>
        <v>Vuca Solution</v>
      </c>
      <c r="P6951" s="33">
        <f>IFERROR(__xludf.DUMMYFUNCTION("""COMPUTED_VALUE"""),1.0)</f>
        <v>1</v>
      </c>
      <c r="Q6951" s="4" t="str">
        <f>IFERROR(__xludf.DUMMYFUNCTION("""COMPUTED_VALUE"""),"Vuca Solution")</f>
        <v>Vuca Solution</v>
      </c>
      <c r="R6951" s="33">
        <f>IFERROR(__xludf.DUMMYFUNCTION("""COMPUTED_VALUE"""),1.0)</f>
        <v>1</v>
      </c>
      <c r="S6951" s="4" t="str">
        <f>IFERROR(__xludf.DUMMYFUNCTION("""COMPUTED_VALUE"""),"Vuca Solution")</f>
        <v>Vuca Solution</v>
      </c>
      <c r="T6951" s="33">
        <f>IFERROR(__xludf.DUMMYFUNCTION("""COMPUTED_VALUE"""),1.0)</f>
        <v>1</v>
      </c>
      <c r="U6951" s="4" t="str">
        <f>IFERROR(__xludf.DUMMYFUNCTION("""COMPUTED_VALUE"""),"Vuca Solution")</f>
        <v>Vuca Solution</v>
      </c>
      <c r="V6951" s="33">
        <f>IFERROR(__xludf.DUMMYFUNCTION("""COMPUTED_VALUE"""),1.0)</f>
        <v>1</v>
      </c>
      <c r="W6951" s="4" t="str">
        <f>IFERROR(__xludf.DUMMYFUNCTION("""COMPUTED_VALUE"""),"Vuca Solution")</f>
        <v>Vuca Solution</v>
      </c>
      <c r="X6951" s="33">
        <f>IFERROR(__xludf.DUMMYFUNCTION("""COMPUTED_VALUE"""),1.0)</f>
        <v>1</v>
      </c>
    </row>
    <row r="6952">
      <c r="K6952" s="4" t="str">
        <f>IFERROR(__xludf.DUMMYFUNCTION("""COMPUTED_VALUE"""),"EL BIGODON - CONTA PAI")</f>
        <v>EL BIGODON - CONTA PAI</v>
      </c>
      <c r="L6952" s="32">
        <f>IFERROR(__xludf.DUMMYFUNCTION("""COMPUTED_VALUE"""),2.0)</f>
        <v>2</v>
      </c>
      <c r="M6952" s="4" t="str">
        <f>IFERROR(__xludf.DUMMYFUNCTION("""COMPUTED_VALUE"""),"Saipos Serviços De Software")</f>
        <v>Saipos Serviços De Software</v>
      </c>
      <c r="N6952" s="33">
        <f>IFERROR(__xludf.DUMMYFUNCTION("""COMPUTED_VALUE"""),1.0)</f>
        <v>1</v>
      </c>
      <c r="O6952" s="4" t="str">
        <f>IFERROR(__xludf.DUMMYFUNCTION("""COMPUTED_VALUE"""),"Saipos Serviços De Software")</f>
        <v>Saipos Serviços De Software</v>
      </c>
      <c r="P6952" s="33">
        <f>IFERROR(__xludf.DUMMYFUNCTION("""COMPUTED_VALUE"""),1.0)</f>
        <v>1</v>
      </c>
      <c r="Q6952" s="4" t="str">
        <f>IFERROR(__xludf.DUMMYFUNCTION("""COMPUTED_VALUE"""),"Saipos Serviços De Software")</f>
        <v>Saipos Serviços De Software</v>
      </c>
      <c r="R6952" s="33">
        <f>IFERROR(__xludf.DUMMYFUNCTION("""COMPUTED_VALUE"""),1.0)</f>
        <v>1</v>
      </c>
      <c r="S6952" s="4" t="str">
        <f>IFERROR(__xludf.DUMMYFUNCTION("""COMPUTED_VALUE"""),"Saipos Serviços De Software")</f>
        <v>Saipos Serviços De Software</v>
      </c>
      <c r="T6952" s="33">
        <f>IFERROR(__xludf.DUMMYFUNCTION("""COMPUTED_VALUE"""),1.0)</f>
        <v>1</v>
      </c>
      <c r="U6952" s="4" t="str">
        <f>IFERROR(__xludf.DUMMYFUNCTION("""COMPUTED_VALUE"""),"Saipos Serviços De Software")</f>
        <v>Saipos Serviços De Software</v>
      </c>
      <c r="V6952" s="33">
        <f>IFERROR(__xludf.DUMMYFUNCTION("""COMPUTED_VALUE"""),1.0)</f>
        <v>1</v>
      </c>
      <c r="W6952" s="4" t="str">
        <f>IFERROR(__xludf.DUMMYFUNCTION("""COMPUTED_VALUE"""),"Saipos Serviços De Software")</f>
        <v>Saipos Serviços De Software</v>
      </c>
      <c r="X6952" s="33">
        <f>IFERROR(__xludf.DUMMYFUNCTION("""COMPUTED_VALUE"""),1.0)</f>
        <v>1</v>
      </c>
    </row>
    <row r="6953">
      <c r="K6953" s="4" t="str">
        <f>IFERROR(__xludf.DUMMYFUNCTION("""COMPUTED_VALUE"""),"ELEGANZA PIZZARIA TIJUCA")</f>
        <v>ELEGANZA PIZZARIA TIJUCA</v>
      </c>
      <c r="L6953" s="32">
        <f>IFERROR(__xludf.DUMMYFUNCTION("""COMPUTED_VALUE"""),2.0)</f>
        <v>2</v>
      </c>
      <c r="M6953" s="4" t="str">
        <f>IFERROR(__xludf.DUMMYFUNCTION("""COMPUTED_VALUE"""),"Saipos Serviços De Software")</f>
        <v>Saipos Serviços De Software</v>
      </c>
      <c r="N6953" s="33">
        <f>IFERROR(__xludf.DUMMYFUNCTION("""COMPUTED_VALUE"""),1.0)</f>
        <v>1</v>
      </c>
      <c r="O6953" s="4" t="str">
        <f>IFERROR(__xludf.DUMMYFUNCTION("""COMPUTED_VALUE"""),"Saipos Serviços De Software")</f>
        <v>Saipos Serviços De Software</v>
      </c>
      <c r="P6953" s="33">
        <f>IFERROR(__xludf.DUMMYFUNCTION("""COMPUTED_VALUE"""),1.0)</f>
        <v>1</v>
      </c>
      <c r="Q6953" s="4" t="str">
        <f>IFERROR(__xludf.DUMMYFUNCTION("""COMPUTED_VALUE"""),"Saipos Serviços De Software")</f>
        <v>Saipos Serviços De Software</v>
      </c>
      <c r="R6953" s="33">
        <f>IFERROR(__xludf.DUMMYFUNCTION("""COMPUTED_VALUE"""),1.0)</f>
        <v>1</v>
      </c>
      <c r="S6953" s="4" t="str">
        <f>IFERROR(__xludf.DUMMYFUNCTION("""COMPUTED_VALUE"""),"Saipos Serviços De Software")</f>
        <v>Saipos Serviços De Software</v>
      </c>
      <c r="T6953" s="33">
        <f>IFERROR(__xludf.DUMMYFUNCTION("""COMPUTED_VALUE"""),1.0)</f>
        <v>1</v>
      </c>
      <c r="U6953" s="4" t="str">
        <f>IFERROR(__xludf.DUMMYFUNCTION("""COMPUTED_VALUE"""),"Saipos Serviços De Software")</f>
        <v>Saipos Serviços De Software</v>
      </c>
      <c r="V6953" s="33">
        <f>IFERROR(__xludf.DUMMYFUNCTION("""COMPUTED_VALUE"""),1.0)</f>
        <v>1</v>
      </c>
      <c r="W6953" s="4" t="str">
        <f>IFERROR(__xludf.DUMMYFUNCTION("""COMPUTED_VALUE"""),"Saipos Serviços De Software")</f>
        <v>Saipos Serviços De Software</v>
      </c>
      <c r="X6953" s="33">
        <f>IFERROR(__xludf.DUMMYFUNCTION("""COMPUTED_VALUE"""),1.0)</f>
        <v>1</v>
      </c>
    </row>
    <row r="6954">
      <c r="K6954" s="4" t="str">
        <f>IFERROR(__xludf.DUMMYFUNCTION("""COMPUTED_VALUE"""),"EMPOPRIO MULTIMIX - CONTA PAI")</f>
        <v>EMPOPRIO MULTIMIX - CONTA PAI</v>
      </c>
      <c r="L6954" s="32">
        <f>IFERROR(__xludf.DUMMYFUNCTION("""COMPUTED_VALUE"""),2.0)</f>
        <v>2</v>
      </c>
      <c r="M6954" s="4" t="str">
        <f>IFERROR(__xludf.DUMMYFUNCTION("""COMPUTED_VALUE"""),"N/A (Not found)")</f>
        <v>N/A (Not found)</v>
      </c>
      <c r="N6954" s="33">
        <f>IFERROR(__xludf.DUMMYFUNCTION("""COMPUTED_VALUE"""),1.0)</f>
        <v>1</v>
      </c>
      <c r="O6954" s="4" t="str">
        <f>IFERROR(__xludf.DUMMYFUNCTION("""COMPUTED_VALUE"""),"N/A (Not found)")</f>
        <v>N/A (Not found)</v>
      </c>
      <c r="P6954" s="33">
        <f>IFERROR(__xludf.DUMMYFUNCTION("""COMPUTED_VALUE"""),1.0)</f>
        <v>1</v>
      </c>
      <c r="Q6954" s="4" t="str">
        <f>IFERROR(__xludf.DUMMYFUNCTION("""COMPUTED_VALUE"""),"N/A (Not found)")</f>
        <v>N/A (Not found)</v>
      </c>
      <c r="R6954" s="33">
        <f>IFERROR(__xludf.DUMMYFUNCTION("""COMPUTED_VALUE"""),1.0)</f>
        <v>1</v>
      </c>
      <c r="S6954" s="4" t="str">
        <f>IFERROR(__xludf.DUMMYFUNCTION("""COMPUTED_VALUE"""),"N/A (Not found)")</f>
        <v>N/A (Not found)</v>
      </c>
      <c r="T6954" s="33">
        <f>IFERROR(__xludf.DUMMYFUNCTION("""COMPUTED_VALUE"""),1.0)</f>
        <v>1</v>
      </c>
      <c r="U6954" s="4" t="str">
        <f>IFERROR(__xludf.DUMMYFUNCTION("""COMPUTED_VALUE"""),"N/A (Not found)")</f>
        <v>N/A (Not found)</v>
      </c>
      <c r="V6954" s="33">
        <f>IFERROR(__xludf.DUMMYFUNCTION("""COMPUTED_VALUE"""),1.0)</f>
        <v>1</v>
      </c>
      <c r="W6954" s="4" t="str">
        <f>IFERROR(__xludf.DUMMYFUNCTION("""COMPUTED_VALUE"""),"N/A (Not found)")</f>
        <v>N/A (Not found)</v>
      </c>
      <c r="X6954" s="33">
        <f>IFERROR(__xludf.DUMMYFUNCTION("""COMPUTED_VALUE"""),1.0)</f>
        <v>1</v>
      </c>
    </row>
    <row r="6955">
      <c r="K6955" s="4" t="str">
        <f>IFERROR(__xludf.DUMMYFUNCTION("""COMPUTED_VALUE"""),"EMPORIO BELLA THE")</f>
        <v>EMPORIO BELLA THE</v>
      </c>
      <c r="L6955" s="32">
        <f>IFERROR(__xludf.DUMMYFUNCTION("""COMPUTED_VALUE"""),2.0)</f>
        <v>2</v>
      </c>
      <c r="M6955" s="4" t="str">
        <f>IFERROR(__xludf.DUMMYFUNCTION("""COMPUTED_VALUE"""),"Cardápio Web")</f>
        <v>Cardápio Web</v>
      </c>
      <c r="N6955" s="33">
        <f>IFERROR(__xludf.DUMMYFUNCTION("""COMPUTED_VALUE"""),1.0)</f>
        <v>1</v>
      </c>
      <c r="O6955" s="4" t="str">
        <f>IFERROR(__xludf.DUMMYFUNCTION("""COMPUTED_VALUE"""),"Cardápio Web")</f>
        <v>Cardápio Web</v>
      </c>
      <c r="P6955" s="33">
        <f>IFERROR(__xludf.DUMMYFUNCTION("""COMPUTED_VALUE"""),1.0)</f>
        <v>1</v>
      </c>
      <c r="Q6955" s="4" t="str">
        <f>IFERROR(__xludf.DUMMYFUNCTION("""COMPUTED_VALUE"""),"Cardápio Web")</f>
        <v>Cardápio Web</v>
      </c>
      <c r="R6955" s="33">
        <f>IFERROR(__xludf.DUMMYFUNCTION("""COMPUTED_VALUE"""),1.0)</f>
        <v>1</v>
      </c>
      <c r="S6955" s="4" t="str">
        <f>IFERROR(__xludf.DUMMYFUNCTION("""COMPUTED_VALUE"""),"null")</f>
        <v>null</v>
      </c>
      <c r="T6955" s="33">
        <f>IFERROR(__xludf.DUMMYFUNCTION("""COMPUTED_VALUE"""),0.5)</f>
        <v>0.5</v>
      </c>
      <c r="U6955" s="4" t="str">
        <f>IFERROR(__xludf.DUMMYFUNCTION("""COMPUTED_VALUE"""),"null")</f>
        <v>null</v>
      </c>
      <c r="V6955" s="33">
        <f>IFERROR(__xludf.DUMMYFUNCTION("""COMPUTED_VALUE"""),1.0)</f>
        <v>1</v>
      </c>
      <c r="W6955" s="4" t="str">
        <f>IFERROR(__xludf.DUMMYFUNCTION("""COMPUTED_VALUE"""),"null")</f>
        <v>null</v>
      </c>
      <c r="X6955" s="33">
        <f>IFERROR(__xludf.DUMMYFUNCTION("""COMPUTED_VALUE"""),1.0)</f>
        <v>1</v>
      </c>
    </row>
    <row r="6956">
      <c r="K6956" s="4" t="str">
        <f>IFERROR(__xludf.DUMMYFUNCTION("""COMPUTED_VALUE"""),"EMPORIO DA ESFIHA - MARCA")</f>
        <v>EMPORIO DA ESFIHA - MARCA</v>
      </c>
      <c r="L6956" s="32">
        <f>IFERROR(__xludf.DUMMYFUNCTION("""COMPUTED_VALUE"""),2.0)</f>
        <v>2</v>
      </c>
      <c r="M6956" s="4" t="str">
        <f>IFERROR(__xludf.DUMMYFUNCTION("""COMPUTED_VALUE"""),"Saipos Serviços De Software")</f>
        <v>Saipos Serviços De Software</v>
      </c>
      <c r="N6956" s="33">
        <f>IFERROR(__xludf.DUMMYFUNCTION("""COMPUTED_VALUE"""),1.0)</f>
        <v>1</v>
      </c>
      <c r="O6956" s="4" t="str">
        <f>IFERROR(__xludf.DUMMYFUNCTION("""COMPUTED_VALUE"""),"Saipos Serviços De Software")</f>
        <v>Saipos Serviços De Software</v>
      </c>
      <c r="P6956" s="33">
        <f>IFERROR(__xludf.DUMMYFUNCTION("""COMPUTED_VALUE"""),1.0)</f>
        <v>1</v>
      </c>
      <c r="Q6956" s="4" t="str">
        <f>IFERROR(__xludf.DUMMYFUNCTION("""COMPUTED_VALUE"""),"Saipos Serviços De Software")</f>
        <v>Saipos Serviços De Software</v>
      </c>
      <c r="R6956" s="33">
        <f>IFERROR(__xludf.DUMMYFUNCTION("""COMPUTED_VALUE"""),1.0)</f>
        <v>1</v>
      </c>
      <c r="S6956" s="4" t="str">
        <f>IFERROR(__xludf.DUMMYFUNCTION("""COMPUTED_VALUE"""),"Saipos Serviços De Software")</f>
        <v>Saipos Serviços De Software</v>
      </c>
      <c r="T6956" s="33">
        <f>IFERROR(__xludf.DUMMYFUNCTION("""COMPUTED_VALUE"""),1.0)</f>
        <v>1</v>
      </c>
      <c r="U6956" s="4" t="str">
        <f>IFERROR(__xludf.DUMMYFUNCTION("""COMPUTED_VALUE"""),"Saipos Serviços De Software")</f>
        <v>Saipos Serviços De Software</v>
      </c>
      <c r="V6956" s="33">
        <f>IFERROR(__xludf.DUMMYFUNCTION("""COMPUTED_VALUE"""),1.0)</f>
        <v>1</v>
      </c>
      <c r="W6956" s="4" t="str">
        <f>IFERROR(__xludf.DUMMYFUNCTION("""COMPUTED_VALUE"""),"Saipos Serviços De Software")</f>
        <v>Saipos Serviços De Software</v>
      </c>
      <c r="X6956" s="33">
        <f>IFERROR(__xludf.DUMMYFUNCTION("""COMPUTED_VALUE"""),1.0)</f>
        <v>1</v>
      </c>
    </row>
    <row r="6957">
      <c r="K6957" s="4" t="str">
        <f>IFERROR(__xludf.DUMMYFUNCTION("""COMPUTED_VALUE"""),"EMPORIO DA SOPA - SOPAS, CALDOS E CREMES")</f>
        <v>EMPORIO DA SOPA - SOPAS, CALDOS E CREMES</v>
      </c>
      <c r="L6957" s="32">
        <f>IFERROR(__xludf.DUMMYFUNCTION("""COMPUTED_VALUE"""),2.0)</f>
        <v>2</v>
      </c>
      <c r="M6957" s="4" t="str">
        <f>IFERROR(__xludf.DUMMYFUNCTION("""COMPUTED_VALUE"""),"Web Food")</f>
        <v>Web Food</v>
      </c>
      <c r="N6957" s="33">
        <f>IFERROR(__xludf.DUMMYFUNCTION("""COMPUTED_VALUE"""),1.0)</f>
        <v>1</v>
      </c>
      <c r="O6957" s="4" t="str">
        <f>IFERROR(__xludf.DUMMYFUNCTION("""COMPUTED_VALUE"""),"Web Food")</f>
        <v>Web Food</v>
      </c>
      <c r="P6957" s="33">
        <f>IFERROR(__xludf.DUMMYFUNCTION("""COMPUTED_VALUE"""),1.0)</f>
        <v>1</v>
      </c>
      <c r="Q6957" s="4" t="str">
        <f>IFERROR(__xludf.DUMMYFUNCTION("""COMPUTED_VALUE"""),"Web Food")</f>
        <v>Web Food</v>
      </c>
      <c r="R6957" s="33">
        <f>IFERROR(__xludf.DUMMYFUNCTION("""COMPUTED_VALUE"""),1.0)</f>
        <v>1</v>
      </c>
      <c r="S6957" s="4" t="str">
        <f>IFERROR(__xludf.DUMMYFUNCTION("""COMPUTED_VALUE"""),"Web Food")</f>
        <v>Web Food</v>
      </c>
      <c r="T6957" s="33">
        <f>IFERROR(__xludf.DUMMYFUNCTION("""COMPUTED_VALUE"""),1.0)</f>
        <v>1</v>
      </c>
      <c r="U6957" s="4" t="str">
        <f>IFERROR(__xludf.DUMMYFUNCTION("""COMPUTED_VALUE"""),"Web Food")</f>
        <v>Web Food</v>
      </c>
      <c r="V6957" s="33">
        <f>IFERROR(__xludf.DUMMYFUNCTION("""COMPUTED_VALUE"""),1.0)</f>
        <v>1</v>
      </c>
      <c r="W6957" s="4" t="str">
        <f>IFERROR(__xludf.DUMMYFUNCTION("""COMPUTED_VALUE"""),"Web Food")</f>
        <v>Web Food</v>
      </c>
      <c r="X6957" s="33">
        <f>IFERROR(__xludf.DUMMYFUNCTION("""COMPUTED_VALUE"""),1.0)</f>
        <v>1</v>
      </c>
    </row>
    <row r="6958">
      <c r="K6958" s="4" t="str">
        <f>IFERROR(__xludf.DUMMYFUNCTION("""COMPUTED_VALUE"""),"EMPORIO DO NONO")</f>
        <v>EMPORIO DO NONO</v>
      </c>
      <c r="L6958" s="32">
        <f>IFERROR(__xludf.DUMMYFUNCTION("""COMPUTED_VALUE"""),2.0)</f>
        <v>2</v>
      </c>
      <c r="M6958" s="4" t="str">
        <f>IFERROR(__xludf.DUMMYFUNCTION("""COMPUTED_VALUE"""),"Ncr")</f>
        <v>Ncr</v>
      </c>
      <c r="N6958" s="33">
        <f>IFERROR(__xludf.DUMMYFUNCTION("""COMPUTED_VALUE"""),1.0)</f>
        <v>1</v>
      </c>
      <c r="O6958" s="4" t="str">
        <f>IFERROR(__xludf.DUMMYFUNCTION("""COMPUTED_VALUE"""),"Ncr")</f>
        <v>Ncr</v>
      </c>
      <c r="P6958" s="33">
        <f>IFERROR(__xludf.DUMMYFUNCTION("""COMPUTED_VALUE"""),1.0)</f>
        <v>1</v>
      </c>
      <c r="Q6958" s="4" t="str">
        <f>IFERROR(__xludf.DUMMYFUNCTION("""COMPUTED_VALUE"""),"Ncr")</f>
        <v>Ncr</v>
      </c>
      <c r="R6958" s="33">
        <f>IFERROR(__xludf.DUMMYFUNCTION("""COMPUTED_VALUE"""),1.0)</f>
        <v>1</v>
      </c>
      <c r="S6958" s="4" t="str">
        <f>IFERROR(__xludf.DUMMYFUNCTION("""COMPUTED_VALUE"""),"Ncr")</f>
        <v>Ncr</v>
      </c>
      <c r="T6958" s="33">
        <f>IFERROR(__xludf.DUMMYFUNCTION("""COMPUTED_VALUE"""),1.0)</f>
        <v>1</v>
      </c>
      <c r="U6958" s="4" t="str">
        <f>IFERROR(__xludf.DUMMYFUNCTION("""COMPUTED_VALUE"""),"Ncr")</f>
        <v>Ncr</v>
      </c>
      <c r="V6958" s="33">
        <f>IFERROR(__xludf.DUMMYFUNCTION("""COMPUTED_VALUE"""),1.0)</f>
        <v>1</v>
      </c>
      <c r="W6958" s="4" t="str">
        <f>IFERROR(__xludf.DUMMYFUNCTION("""COMPUTED_VALUE"""),"Ncr")</f>
        <v>Ncr</v>
      </c>
      <c r="X6958" s="33">
        <f>IFERROR(__xludf.DUMMYFUNCTION("""COMPUTED_VALUE"""),1.0)</f>
        <v>1</v>
      </c>
    </row>
    <row r="6959">
      <c r="K6959" s="4" t="str">
        <f>IFERROR(__xludf.DUMMYFUNCTION("""COMPUTED_VALUE"""),"EMPORIO PRIME")</f>
        <v>EMPORIO PRIME</v>
      </c>
      <c r="L6959" s="32">
        <f>IFERROR(__xludf.DUMMYFUNCTION("""COMPUTED_VALUE"""),2.0)</f>
        <v>2</v>
      </c>
      <c r="M6959" s="4" t="str">
        <f>IFERROR(__xludf.DUMMYFUNCTION("""COMPUTED_VALUE"""),"Consumer Soluções Em Tecnologia Ltda")</f>
        <v>Consumer Soluções Em Tecnologia Ltda</v>
      </c>
      <c r="N6959" s="33">
        <f>IFERROR(__xludf.DUMMYFUNCTION("""COMPUTED_VALUE"""),0.5)</f>
        <v>0.5</v>
      </c>
      <c r="O6959" s="4" t="str">
        <f>IFERROR(__xludf.DUMMYFUNCTION("""COMPUTED_VALUE"""),"null")</f>
        <v>null</v>
      </c>
      <c r="P6959" s="33">
        <f>IFERROR(__xludf.DUMMYFUNCTION("""COMPUTED_VALUE"""),0.5)</f>
        <v>0.5</v>
      </c>
      <c r="Q6959" s="4" t="str">
        <f>IFERROR(__xludf.DUMMYFUNCTION("""COMPUTED_VALUE"""),"Menew - Linx")</f>
        <v>Menew - Linx</v>
      </c>
      <c r="R6959" s="33">
        <f>IFERROR(__xludf.DUMMYFUNCTION("""COMPUTED_VALUE"""),1.0)</f>
        <v>1</v>
      </c>
      <c r="S6959" s="4" t="str">
        <f>IFERROR(__xludf.DUMMYFUNCTION("""COMPUTED_VALUE"""),"null")</f>
        <v>null</v>
      </c>
      <c r="T6959" s="33">
        <f>IFERROR(__xludf.DUMMYFUNCTION("""COMPUTED_VALUE"""),0.5)</f>
        <v>0.5</v>
      </c>
      <c r="U6959" s="4" t="str">
        <f>IFERROR(__xludf.DUMMYFUNCTION("""COMPUTED_VALUE"""),"null")</f>
        <v>null</v>
      </c>
      <c r="V6959" s="33">
        <f>IFERROR(__xludf.DUMMYFUNCTION("""COMPUTED_VALUE"""),0.5)</f>
        <v>0.5</v>
      </c>
      <c r="W6959" s="4" t="str">
        <f>IFERROR(__xludf.DUMMYFUNCTION("""COMPUTED_VALUE"""),"null")</f>
        <v>null</v>
      </c>
      <c r="X6959" s="33">
        <f>IFERROR(__xludf.DUMMYFUNCTION("""COMPUTED_VALUE"""),0.5)</f>
        <v>0.5</v>
      </c>
    </row>
    <row r="6960">
      <c r="K6960" s="4" t="str">
        <f>IFERROR(__xludf.DUMMYFUNCTION("""COMPUTED_VALUE"""),"EMPORIO VECCINO RESTAURANTE")</f>
        <v>EMPORIO VECCINO RESTAURANTE</v>
      </c>
      <c r="L6960" s="32">
        <f>IFERROR(__xludf.DUMMYFUNCTION("""COMPUTED_VALUE"""),2.0)</f>
        <v>2</v>
      </c>
      <c r="M6960" s="4" t="str">
        <f>IFERROR(__xludf.DUMMYFUNCTION("""COMPUTED_VALUE"""),"Totvs Large Enterprise Tecnologia S.a.")</f>
        <v>Totvs Large Enterprise Tecnologia S.a.</v>
      </c>
      <c r="N6960" s="33">
        <f>IFERROR(__xludf.DUMMYFUNCTION("""COMPUTED_VALUE"""),0.5)</f>
        <v>0.5</v>
      </c>
      <c r="O6960" s="4" t="str">
        <f>IFERROR(__xludf.DUMMYFUNCTION("""COMPUTED_VALUE"""),"Totvs Large Enterprise Tecnologia S.a.")</f>
        <v>Totvs Large Enterprise Tecnologia S.a.</v>
      </c>
      <c r="P6960" s="33">
        <f>IFERROR(__xludf.DUMMYFUNCTION("""COMPUTED_VALUE"""),1.0)</f>
        <v>1</v>
      </c>
      <c r="Q6960" s="4" t="str">
        <f>IFERROR(__xludf.DUMMYFUNCTION("""COMPUTED_VALUE"""),"Totvs Large Enterprise Tecnologia S.a.")</f>
        <v>Totvs Large Enterprise Tecnologia S.a.</v>
      </c>
      <c r="R6960" s="33">
        <f>IFERROR(__xludf.DUMMYFUNCTION("""COMPUTED_VALUE"""),0.5)</f>
        <v>0.5</v>
      </c>
      <c r="S6960" s="4" t="str">
        <f>IFERROR(__xludf.DUMMYFUNCTION("""COMPUTED_VALUE"""),"Totvs Large Enterprise Tecnologia S.a.")</f>
        <v>Totvs Large Enterprise Tecnologia S.a.</v>
      </c>
      <c r="T6960" s="33">
        <f>IFERROR(__xludf.DUMMYFUNCTION("""COMPUTED_VALUE"""),0.5)</f>
        <v>0.5</v>
      </c>
      <c r="U6960" s="4" t="str">
        <f>IFERROR(__xludf.DUMMYFUNCTION("""COMPUTED_VALUE"""),"Totvs Large Enterprise Tecnologia S.a.")</f>
        <v>Totvs Large Enterprise Tecnologia S.a.</v>
      </c>
      <c r="V6960" s="33">
        <f>IFERROR(__xludf.DUMMYFUNCTION("""COMPUTED_VALUE"""),0.5)</f>
        <v>0.5</v>
      </c>
      <c r="W6960" s="4" t="str">
        <f>IFERROR(__xludf.DUMMYFUNCTION("""COMPUTED_VALUE"""),"Totvs Large Enterprise Tecnologia S.a.")</f>
        <v>Totvs Large Enterprise Tecnologia S.a.</v>
      </c>
      <c r="X6960" s="33">
        <f>IFERROR(__xludf.DUMMYFUNCTION("""COMPUTED_VALUE"""),1.0)</f>
        <v>1</v>
      </c>
    </row>
    <row r="6961">
      <c r="K6961" s="4" t="str">
        <f>IFERROR(__xludf.DUMMYFUNCTION("""COMPUTED_VALUE"""),"ENCARNADO")</f>
        <v>ENCARNADO</v>
      </c>
      <c r="L6961" s="32">
        <f>IFERROR(__xludf.DUMMYFUNCTION("""COMPUTED_VALUE"""),2.0)</f>
        <v>2</v>
      </c>
      <c r="M6961" s="4" t="str">
        <f>IFERROR(__xludf.DUMMYFUNCTION("""COMPUTED_VALUE"""),"Hubster")</f>
        <v>Hubster</v>
      </c>
      <c r="N6961" s="33">
        <f>IFERROR(__xludf.DUMMYFUNCTION("""COMPUTED_VALUE"""),1.0)</f>
        <v>1</v>
      </c>
      <c r="O6961" s="4" t="str">
        <f>IFERROR(__xludf.DUMMYFUNCTION("""COMPUTED_VALUE"""),"Hubster")</f>
        <v>Hubster</v>
      </c>
      <c r="P6961" s="33">
        <f>IFERROR(__xludf.DUMMYFUNCTION("""COMPUTED_VALUE"""),1.0)</f>
        <v>1</v>
      </c>
      <c r="Q6961" s="4" t="str">
        <f>IFERROR(__xludf.DUMMYFUNCTION("""COMPUTED_VALUE"""),"Hubster")</f>
        <v>Hubster</v>
      </c>
      <c r="R6961" s="33">
        <f>IFERROR(__xludf.DUMMYFUNCTION("""COMPUTED_VALUE"""),1.0)</f>
        <v>1</v>
      </c>
      <c r="S6961" s="4" t="str">
        <f>IFERROR(__xludf.DUMMYFUNCTION("""COMPUTED_VALUE"""),"Hubster")</f>
        <v>Hubster</v>
      </c>
      <c r="T6961" s="33">
        <f>IFERROR(__xludf.DUMMYFUNCTION("""COMPUTED_VALUE"""),1.0)</f>
        <v>1</v>
      </c>
      <c r="U6961" s="4" t="str">
        <f>IFERROR(__xludf.DUMMYFUNCTION("""COMPUTED_VALUE"""),"Hubster")</f>
        <v>Hubster</v>
      </c>
      <c r="V6961" s="33">
        <f>IFERROR(__xludf.DUMMYFUNCTION("""COMPUTED_VALUE"""),1.0)</f>
        <v>1</v>
      </c>
      <c r="W6961" s="4" t="str">
        <f>IFERROR(__xludf.DUMMYFUNCTION("""COMPUTED_VALUE"""),"Hubster")</f>
        <v>Hubster</v>
      </c>
      <c r="X6961" s="33">
        <f>IFERROR(__xludf.DUMMYFUNCTION("""COMPUTED_VALUE"""),1.0)</f>
        <v>1</v>
      </c>
    </row>
    <row r="6962">
      <c r="K6962" s="4" t="str">
        <f>IFERROR(__xludf.DUMMYFUNCTION("""COMPUTED_VALUE"""),"ENGENHO DO SABOR DELIVERY - CONTA PAI")</f>
        <v>ENGENHO DO SABOR DELIVERY - CONTA PAI</v>
      </c>
      <c r="L6962" s="32">
        <f>IFERROR(__xludf.DUMMYFUNCTION("""COMPUTED_VALUE"""),2.0)</f>
        <v>2</v>
      </c>
      <c r="M6962" s="4" t="str">
        <f>IFERROR(__xludf.DUMMYFUNCTION("""COMPUTED_VALUE"""),"Saipos Serviços De Software")</f>
        <v>Saipos Serviços De Software</v>
      </c>
      <c r="N6962" s="33">
        <f>IFERROR(__xludf.DUMMYFUNCTION("""COMPUTED_VALUE"""),1.0)</f>
        <v>1</v>
      </c>
      <c r="O6962" s="4" t="str">
        <f>IFERROR(__xludf.DUMMYFUNCTION("""COMPUTED_VALUE"""),"Saipos Serviços De Software")</f>
        <v>Saipos Serviços De Software</v>
      </c>
      <c r="P6962" s="33">
        <f>IFERROR(__xludf.DUMMYFUNCTION("""COMPUTED_VALUE"""),1.0)</f>
        <v>1</v>
      </c>
      <c r="Q6962" s="4" t="str">
        <f>IFERROR(__xludf.DUMMYFUNCTION("""COMPUTED_VALUE"""),"Saipos Serviços De Software")</f>
        <v>Saipos Serviços De Software</v>
      </c>
      <c r="R6962" s="33">
        <f>IFERROR(__xludf.DUMMYFUNCTION("""COMPUTED_VALUE"""),1.0)</f>
        <v>1</v>
      </c>
      <c r="S6962" s="4" t="str">
        <f>IFERROR(__xludf.DUMMYFUNCTION("""COMPUTED_VALUE"""),"Saipos Serviços De Software")</f>
        <v>Saipos Serviços De Software</v>
      </c>
      <c r="T6962" s="33">
        <f>IFERROR(__xludf.DUMMYFUNCTION("""COMPUTED_VALUE"""),1.0)</f>
        <v>1</v>
      </c>
      <c r="U6962" s="4" t="str">
        <f>IFERROR(__xludf.DUMMYFUNCTION("""COMPUTED_VALUE"""),"Saipos Serviços De Software")</f>
        <v>Saipos Serviços De Software</v>
      </c>
      <c r="V6962" s="33">
        <f>IFERROR(__xludf.DUMMYFUNCTION("""COMPUTED_VALUE"""),1.0)</f>
        <v>1</v>
      </c>
      <c r="W6962" s="4" t="str">
        <f>IFERROR(__xludf.DUMMYFUNCTION("""COMPUTED_VALUE"""),"Saipos Serviços De Software")</f>
        <v>Saipos Serviços De Software</v>
      </c>
      <c r="X6962" s="33">
        <f>IFERROR(__xludf.DUMMYFUNCTION("""COMPUTED_VALUE"""),1.0)</f>
        <v>1</v>
      </c>
    </row>
    <row r="6963">
      <c r="K6963" s="4" t="str">
        <f>IFERROR(__xludf.DUMMYFUNCTION("""COMPUTED_VALUE"""),"ENJOY SUSHI")</f>
        <v>ENJOY SUSHI</v>
      </c>
      <c r="L6963" s="32">
        <f>IFERROR(__xludf.DUMMYFUNCTION("""COMPUTED_VALUE"""),2.0)</f>
        <v>2</v>
      </c>
      <c r="M6963" s="4" t="str">
        <f>IFERROR(__xludf.DUMMYFUNCTION("""COMPUTED_VALUE"""),"Saipos Serviços De Software")</f>
        <v>Saipos Serviços De Software</v>
      </c>
      <c r="N6963" s="33">
        <f>IFERROR(__xludf.DUMMYFUNCTION("""COMPUTED_VALUE"""),0.5)</f>
        <v>0.5</v>
      </c>
      <c r="O6963" s="4" t="str">
        <f>IFERROR(__xludf.DUMMYFUNCTION("""COMPUTED_VALUE"""),"Saipos Serviços De Software")</f>
        <v>Saipos Serviços De Software</v>
      </c>
      <c r="P6963" s="33">
        <f>IFERROR(__xludf.DUMMYFUNCTION("""COMPUTED_VALUE"""),0.5)</f>
        <v>0.5</v>
      </c>
      <c r="Q6963" s="4" t="str">
        <f>IFERROR(__xludf.DUMMYFUNCTION("""COMPUTED_VALUE"""),"Saipos Serviços De Software")</f>
        <v>Saipos Serviços De Software</v>
      </c>
      <c r="R6963" s="33">
        <f>IFERROR(__xludf.DUMMYFUNCTION("""COMPUTED_VALUE"""),0.5)</f>
        <v>0.5</v>
      </c>
      <c r="S6963" s="4" t="str">
        <f>IFERROR(__xludf.DUMMYFUNCTION("""COMPUTED_VALUE"""),"Saipos Serviços De Software")</f>
        <v>Saipos Serviços De Software</v>
      </c>
      <c r="T6963" s="33">
        <f>IFERROR(__xludf.DUMMYFUNCTION("""COMPUTED_VALUE"""),0.5)</f>
        <v>0.5</v>
      </c>
      <c r="U6963" s="4" t="str">
        <f>IFERROR(__xludf.DUMMYFUNCTION("""COMPUTED_VALUE"""),"Saipos Serviços De Software")</f>
        <v>Saipos Serviços De Software</v>
      </c>
      <c r="V6963" s="33">
        <f>IFERROR(__xludf.DUMMYFUNCTION("""COMPUTED_VALUE"""),0.5)</f>
        <v>0.5</v>
      </c>
      <c r="W6963" s="4" t="str">
        <f>IFERROR(__xludf.DUMMYFUNCTION("""COMPUTED_VALUE"""),"Saipos Serviços De Software")</f>
        <v>Saipos Serviços De Software</v>
      </c>
      <c r="X6963" s="33">
        <f>IFERROR(__xludf.DUMMYFUNCTION("""COMPUTED_VALUE"""),0.5)</f>
        <v>0.5</v>
      </c>
    </row>
    <row r="6964">
      <c r="K6964" s="4" t="str">
        <f>IFERROR(__xludf.DUMMYFUNCTION("""COMPUTED_VALUE"""),"ENTRE MARES")</f>
        <v>ENTRE MARES</v>
      </c>
      <c r="L6964" s="32">
        <f>IFERROR(__xludf.DUMMYFUNCTION("""COMPUTED_VALUE"""),2.0)</f>
        <v>2</v>
      </c>
      <c r="M6964" s="4" t="str">
        <f>IFERROR(__xludf.DUMMYFUNCTION("""COMPUTED_VALUE"""),"Opdv")</f>
        <v>Opdv</v>
      </c>
      <c r="N6964" s="33">
        <f>IFERROR(__xludf.DUMMYFUNCTION("""COMPUTED_VALUE"""),1.0)</f>
        <v>1</v>
      </c>
      <c r="O6964" s="4" t="str">
        <f>IFERROR(__xludf.DUMMYFUNCTION("""COMPUTED_VALUE"""),"Opdv")</f>
        <v>Opdv</v>
      </c>
      <c r="P6964" s="33">
        <f>IFERROR(__xludf.DUMMYFUNCTION("""COMPUTED_VALUE"""),1.0)</f>
        <v>1</v>
      </c>
      <c r="Q6964" s="4" t="str">
        <f>IFERROR(__xludf.DUMMYFUNCTION("""COMPUTED_VALUE"""),"Opdv")</f>
        <v>Opdv</v>
      </c>
      <c r="R6964" s="33">
        <f>IFERROR(__xludf.DUMMYFUNCTION("""COMPUTED_VALUE"""),1.0)</f>
        <v>1</v>
      </c>
      <c r="S6964" s="4" t="str">
        <f>IFERROR(__xludf.DUMMYFUNCTION("""COMPUTED_VALUE"""),"Opdv")</f>
        <v>Opdv</v>
      </c>
      <c r="T6964" s="33">
        <f>IFERROR(__xludf.DUMMYFUNCTION("""COMPUTED_VALUE"""),1.0)</f>
        <v>1</v>
      </c>
      <c r="U6964" s="4" t="str">
        <f>IFERROR(__xludf.DUMMYFUNCTION("""COMPUTED_VALUE"""),"Saipos Serviços De Software")</f>
        <v>Saipos Serviços De Software</v>
      </c>
      <c r="V6964" s="33">
        <f>IFERROR(__xludf.DUMMYFUNCTION("""COMPUTED_VALUE"""),0.5)</f>
        <v>0.5</v>
      </c>
      <c r="W6964" s="4" t="str">
        <f>IFERROR(__xludf.DUMMYFUNCTION("""COMPUTED_VALUE"""),"Saipos Serviços De Software")</f>
        <v>Saipos Serviços De Software</v>
      </c>
      <c r="X6964" s="33">
        <f>IFERROR(__xludf.DUMMYFUNCTION("""COMPUTED_VALUE"""),0.5)</f>
        <v>0.5</v>
      </c>
    </row>
    <row r="6965">
      <c r="K6965" s="4" t="str">
        <f>IFERROR(__xludf.DUMMYFUNCTION("""COMPUTED_VALUE"""),"ERENITO")</f>
        <v>ERENITO</v>
      </c>
      <c r="L6965" s="32">
        <f>IFERROR(__xludf.DUMMYFUNCTION("""COMPUTED_VALUE"""),2.0)</f>
        <v>2</v>
      </c>
      <c r="M6965" s="4" t="str">
        <f>IFERROR(__xludf.DUMMYFUNCTION("""COMPUTED_VALUE"""),"null")</f>
        <v>null</v>
      </c>
      <c r="N6965" s="33">
        <f>IFERROR(__xludf.DUMMYFUNCTION("""COMPUTED_VALUE"""),1.0)</f>
        <v>1</v>
      </c>
      <c r="O6965" s="4" t="str">
        <f>IFERROR(__xludf.DUMMYFUNCTION("""COMPUTED_VALUE"""),"null")</f>
        <v>null</v>
      </c>
      <c r="P6965" s="33">
        <f>IFERROR(__xludf.DUMMYFUNCTION("""COMPUTED_VALUE"""),1.0)</f>
        <v>1</v>
      </c>
      <c r="Q6965" s="4" t="str">
        <f>IFERROR(__xludf.DUMMYFUNCTION("""COMPUTED_VALUE"""),"null")</f>
        <v>null</v>
      </c>
      <c r="R6965" s="33">
        <f>IFERROR(__xludf.DUMMYFUNCTION("""COMPUTED_VALUE"""),1.0)</f>
        <v>1</v>
      </c>
      <c r="S6965" s="4" t="str">
        <f>IFERROR(__xludf.DUMMYFUNCTION("""COMPUTED_VALUE"""),"null")</f>
        <v>null</v>
      </c>
      <c r="T6965" s="33">
        <f>IFERROR(__xludf.DUMMYFUNCTION("""COMPUTED_VALUE"""),1.0)</f>
        <v>1</v>
      </c>
      <c r="U6965" s="4" t="str">
        <f>IFERROR(__xludf.DUMMYFUNCTION("""COMPUTED_VALUE"""),"null")</f>
        <v>null</v>
      </c>
      <c r="V6965" s="33">
        <f>IFERROR(__xludf.DUMMYFUNCTION("""COMPUTED_VALUE"""),0.5)</f>
        <v>0.5</v>
      </c>
      <c r="W6965" s="4" t="str">
        <f>IFERROR(__xludf.DUMMYFUNCTION("""COMPUTED_VALUE"""),"Rs Solutions")</f>
        <v>Rs Solutions</v>
      </c>
      <c r="X6965" s="33">
        <f>IFERROR(__xludf.DUMMYFUNCTION("""COMPUTED_VALUE"""),1.0)</f>
        <v>1</v>
      </c>
    </row>
    <row r="6966">
      <c r="K6966" s="4" t="str">
        <f>IFERROR(__xludf.DUMMYFUNCTION("""COMPUTED_VALUE"""),"ERNESTO RISTORANTE - CONTA MARCA")</f>
        <v>ERNESTO RISTORANTE - CONTA MARCA</v>
      </c>
      <c r="L6966" s="32">
        <f>IFERROR(__xludf.DUMMYFUNCTION("""COMPUTED_VALUE"""),2.0)</f>
        <v>2</v>
      </c>
      <c r="M6966" s="4" t="str">
        <f>IFERROR(__xludf.DUMMYFUNCTION("""COMPUTED_VALUE"""),"Cloudfy")</f>
        <v>Cloudfy</v>
      </c>
      <c r="N6966" s="33">
        <f>IFERROR(__xludf.DUMMYFUNCTION("""COMPUTED_VALUE"""),0.5)</f>
        <v>0.5</v>
      </c>
      <c r="O6966" s="4" t="str">
        <f>IFERROR(__xludf.DUMMYFUNCTION("""COMPUTED_VALUE"""),"null")</f>
        <v>null</v>
      </c>
      <c r="P6966" s="33">
        <f>IFERROR(__xludf.DUMMYFUNCTION("""COMPUTED_VALUE"""),1.0)</f>
        <v>1</v>
      </c>
      <c r="Q6966" s="4" t="str">
        <f>IFERROR(__xludf.DUMMYFUNCTION("""COMPUTED_VALUE"""),"null")</f>
        <v>null</v>
      </c>
      <c r="R6966" s="33">
        <f>IFERROR(__xludf.DUMMYFUNCTION("""COMPUTED_VALUE"""),1.0)</f>
        <v>1</v>
      </c>
      <c r="S6966" s="4" t="str">
        <f>IFERROR(__xludf.DUMMYFUNCTION("""COMPUTED_VALUE"""),"null")</f>
        <v>null</v>
      </c>
      <c r="T6966" s="33">
        <f>IFERROR(__xludf.DUMMYFUNCTION("""COMPUTED_VALUE"""),1.0)</f>
        <v>1</v>
      </c>
      <c r="U6966" s="4" t="str">
        <f>IFERROR(__xludf.DUMMYFUNCTION("""COMPUTED_VALUE"""),"Cloudfy")</f>
        <v>Cloudfy</v>
      </c>
      <c r="V6966" s="33">
        <f>IFERROR(__xludf.DUMMYFUNCTION("""COMPUTED_VALUE"""),1.0)</f>
        <v>1</v>
      </c>
      <c r="W6966" s="4" t="str">
        <f>IFERROR(__xludf.DUMMYFUNCTION("""COMPUTED_VALUE"""),"null")</f>
        <v>null</v>
      </c>
      <c r="X6966" s="33">
        <f>IFERROR(__xludf.DUMMYFUNCTION("""COMPUTED_VALUE"""),1.0)</f>
        <v>1</v>
      </c>
    </row>
    <row r="6967">
      <c r="K6967" s="4" t="str">
        <f>IFERROR(__xludf.DUMMYFUNCTION("""COMPUTED_VALUE"""),"ESFIHA ABRAAO")</f>
        <v>ESFIHA ABRAAO</v>
      </c>
      <c r="L6967" s="32">
        <f>IFERROR(__xludf.DUMMYFUNCTION("""COMPUTED_VALUE"""),2.0)</f>
        <v>2</v>
      </c>
      <c r="M6967" s="4" t="str">
        <f>IFERROR(__xludf.DUMMYFUNCTION("""COMPUTED_VALUE"""),"Saipos Serviços De Software")</f>
        <v>Saipos Serviços De Software</v>
      </c>
      <c r="N6967" s="33">
        <f>IFERROR(__xludf.DUMMYFUNCTION("""COMPUTED_VALUE"""),0.5)</f>
        <v>0.5</v>
      </c>
      <c r="O6967" s="4" t="str">
        <f>IFERROR(__xludf.DUMMYFUNCTION("""COMPUTED_VALUE"""),"Saipos Serviços De Software")</f>
        <v>Saipos Serviços De Software</v>
      </c>
      <c r="P6967" s="33">
        <f>IFERROR(__xludf.DUMMYFUNCTION("""COMPUTED_VALUE"""),0.5)</f>
        <v>0.5</v>
      </c>
      <c r="Q6967" s="4" t="str">
        <f>IFERROR(__xludf.DUMMYFUNCTION("""COMPUTED_VALUE"""),"Saipos Serviços De Software")</f>
        <v>Saipos Serviços De Software</v>
      </c>
      <c r="R6967" s="33">
        <f>IFERROR(__xludf.DUMMYFUNCTION("""COMPUTED_VALUE"""),0.5)</f>
        <v>0.5</v>
      </c>
      <c r="S6967" s="4" t="str">
        <f>IFERROR(__xludf.DUMMYFUNCTION("""COMPUTED_VALUE"""),"Saipos Serviços De Software")</f>
        <v>Saipos Serviços De Software</v>
      </c>
      <c r="T6967" s="33">
        <f>IFERROR(__xludf.DUMMYFUNCTION("""COMPUTED_VALUE"""),0.5)</f>
        <v>0.5</v>
      </c>
      <c r="U6967" s="4" t="str">
        <f>IFERROR(__xludf.DUMMYFUNCTION("""COMPUTED_VALUE"""),"Saipos Serviços De Software")</f>
        <v>Saipos Serviços De Software</v>
      </c>
      <c r="V6967" s="33">
        <f>IFERROR(__xludf.DUMMYFUNCTION("""COMPUTED_VALUE"""),0.5)</f>
        <v>0.5</v>
      </c>
      <c r="W6967" s="4" t="str">
        <f>IFERROR(__xludf.DUMMYFUNCTION("""COMPUTED_VALUE"""),"Saipos Serviços De Software")</f>
        <v>Saipos Serviços De Software</v>
      </c>
      <c r="X6967" s="33">
        <f>IFERROR(__xludf.DUMMYFUNCTION("""COMPUTED_VALUE"""),0.5)</f>
        <v>0.5</v>
      </c>
    </row>
    <row r="6968">
      <c r="K6968" s="4" t="str">
        <f>IFERROR(__xludf.DUMMYFUNCTION("""COMPUTED_VALUE"""),"ESFIHA EXPRESS")</f>
        <v>ESFIHA EXPRESS</v>
      </c>
      <c r="L6968" s="32">
        <f>IFERROR(__xludf.DUMMYFUNCTION("""COMPUTED_VALUE"""),2.0)</f>
        <v>2</v>
      </c>
      <c r="M6968" s="4" t="str">
        <f>IFERROR(__xludf.DUMMYFUNCTION("""COMPUTED_VALUE"""),"Junsoft Tecnologia")</f>
        <v>Junsoft Tecnologia</v>
      </c>
      <c r="N6968" s="33">
        <f>IFERROR(__xludf.DUMMYFUNCTION("""COMPUTED_VALUE"""),1.0)</f>
        <v>1</v>
      </c>
      <c r="O6968" s="4" t="str">
        <f>IFERROR(__xludf.DUMMYFUNCTION("""COMPUTED_VALUE"""),"null")</f>
        <v>null</v>
      </c>
      <c r="P6968" s="33">
        <f>IFERROR(__xludf.DUMMYFUNCTION("""COMPUTED_VALUE"""),0.5)</f>
        <v>0.5</v>
      </c>
      <c r="Q6968" s="4" t="str">
        <f>IFERROR(__xludf.DUMMYFUNCTION("""COMPUTED_VALUE"""),"Junsoft Tecnologia")</f>
        <v>Junsoft Tecnologia</v>
      </c>
      <c r="R6968" s="33">
        <f>IFERROR(__xludf.DUMMYFUNCTION("""COMPUTED_VALUE"""),0.5)</f>
        <v>0.5</v>
      </c>
      <c r="S6968" s="4" t="str">
        <f>IFERROR(__xludf.DUMMYFUNCTION("""COMPUTED_VALUE"""),"null")</f>
        <v>null</v>
      </c>
      <c r="T6968" s="33">
        <f>IFERROR(__xludf.DUMMYFUNCTION("""COMPUTED_VALUE"""),0.5)</f>
        <v>0.5</v>
      </c>
      <c r="U6968" s="4" t="str">
        <f>IFERROR(__xludf.DUMMYFUNCTION("""COMPUTED_VALUE"""),"null")</f>
        <v>null</v>
      </c>
      <c r="V6968" s="33">
        <f>IFERROR(__xludf.DUMMYFUNCTION("""COMPUTED_VALUE"""),0.5)</f>
        <v>0.5</v>
      </c>
      <c r="W6968" s="4" t="str">
        <f>IFERROR(__xludf.DUMMYFUNCTION("""COMPUTED_VALUE"""),"Junsoft Tecnologia")</f>
        <v>Junsoft Tecnologia</v>
      </c>
      <c r="X6968" s="33">
        <f>IFERROR(__xludf.DUMMYFUNCTION("""COMPUTED_VALUE"""),1.0)</f>
        <v>1</v>
      </c>
    </row>
    <row r="6969">
      <c r="K6969" s="4" t="str">
        <f>IFERROR(__xludf.DUMMYFUNCTION("""COMPUTED_VALUE"""),"ESFIHARIA PETRONIO")</f>
        <v>ESFIHARIA PETRONIO</v>
      </c>
      <c r="L6969" s="32">
        <f>IFERROR(__xludf.DUMMYFUNCTION("""COMPUTED_VALUE"""),2.0)</f>
        <v>2</v>
      </c>
      <c r="M6969" s="4" t="str">
        <f>IFERROR(__xludf.DUMMYFUNCTION("""COMPUTED_VALUE"""),"Delivoro")</f>
        <v>Delivoro</v>
      </c>
      <c r="N6969" s="33">
        <f>IFERROR(__xludf.DUMMYFUNCTION("""COMPUTED_VALUE"""),1.0)</f>
        <v>1</v>
      </c>
      <c r="O6969" s="4" t="str">
        <f>IFERROR(__xludf.DUMMYFUNCTION("""COMPUTED_VALUE"""),"Delivoro")</f>
        <v>Delivoro</v>
      </c>
      <c r="P6969" s="33">
        <f>IFERROR(__xludf.DUMMYFUNCTION("""COMPUTED_VALUE"""),1.0)</f>
        <v>1</v>
      </c>
      <c r="Q6969" s="4" t="str">
        <f>IFERROR(__xludf.DUMMYFUNCTION("""COMPUTED_VALUE"""),"Delivoro")</f>
        <v>Delivoro</v>
      </c>
      <c r="R6969" s="33">
        <f>IFERROR(__xludf.DUMMYFUNCTION("""COMPUTED_VALUE"""),1.0)</f>
        <v>1</v>
      </c>
      <c r="S6969" s="4" t="str">
        <f>IFERROR(__xludf.DUMMYFUNCTION("""COMPUTED_VALUE"""),"Delivoro")</f>
        <v>Delivoro</v>
      </c>
      <c r="T6969" s="33">
        <f>IFERROR(__xludf.DUMMYFUNCTION("""COMPUTED_VALUE"""),1.0)</f>
        <v>1</v>
      </c>
      <c r="U6969" s="4" t="str">
        <f>IFERROR(__xludf.DUMMYFUNCTION("""COMPUTED_VALUE"""),"Delivoro")</f>
        <v>Delivoro</v>
      </c>
      <c r="V6969" s="33">
        <f>IFERROR(__xludf.DUMMYFUNCTION("""COMPUTED_VALUE"""),1.0)</f>
        <v>1</v>
      </c>
      <c r="W6969" s="4" t="str">
        <f>IFERROR(__xludf.DUMMYFUNCTION("""COMPUTED_VALUE"""),"Delivoro")</f>
        <v>Delivoro</v>
      </c>
      <c r="X6969" s="33">
        <f>IFERROR(__xludf.DUMMYFUNCTION("""COMPUTED_VALUE"""),1.0)</f>
        <v>1</v>
      </c>
    </row>
    <row r="6970">
      <c r="K6970" s="4" t="str">
        <f>IFERROR(__xludf.DUMMYFUNCTION("""COMPUTED_VALUE"""),"ESFIHARIA SANTISTA")</f>
        <v>ESFIHARIA SANTISTA</v>
      </c>
      <c r="L6970" s="32">
        <f>IFERROR(__xludf.DUMMYFUNCTION("""COMPUTED_VALUE"""),2.0)</f>
        <v>2</v>
      </c>
      <c r="M6970" s="4" t="str">
        <f>IFERROR(__xludf.DUMMYFUNCTION("""COMPUTED_VALUE"""),"Saipos Serviços De Software")</f>
        <v>Saipos Serviços De Software</v>
      </c>
      <c r="N6970" s="33">
        <f>IFERROR(__xludf.DUMMYFUNCTION("""COMPUTED_VALUE"""),1.0)</f>
        <v>1</v>
      </c>
      <c r="O6970" s="4" t="str">
        <f>IFERROR(__xludf.DUMMYFUNCTION("""COMPUTED_VALUE"""),"Saipos Serviços De Software")</f>
        <v>Saipos Serviços De Software</v>
      </c>
      <c r="P6970" s="33">
        <f>IFERROR(__xludf.DUMMYFUNCTION("""COMPUTED_VALUE"""),1.0)</f>
        <v>1</v>
      </c>
      <c r="Q6970" s="4" t="str">
        <f>IFERROR(__xludf.DUMMYFUNCTION("""COMPUTED_VALUE"""),"null")</f>
        <v>null</v>
      </c>
      <c r="R6970" s="33">
        <f>IFERROR(__xludf.DUMMYFUNCTION("""COMPUTED_VALUE"""),1.0)</f>
        <v>1</v>
      </c>
      <c r="S6970" s="4" t="str">
        <f>IFERROR(__xludf.DUMMYFUNCTION("""COMPUTED_VALUE"""),"null")</f>
        <v>null</v>
      </c>
      <c r="T6970" s="33">
        <f>IFERROR(__xludf.DUMMYFUNCTION("""COMPUTED_VALUE"""),1.0)</f>
        <v>1</v>
      </c>
      <c r="U6970" s="4" t="str">
        <f>IFERROR(__xludf.DUMMYFUNCTION("""COMPUTED_VALUE"""),"null")</f>
        <v>null</v>
      </c>
      <c r="V6970" s="33">
        <f>IFERROR(__xludf.DUMMYFUNCTION("""COMPUTED_VALUE"""),1.0)</f>
        <v>1</v>
      </c>
      <c r="W6970" s="4" t="str">
        <f>IFERROR(__xludf.DUMMYFUNCTION("""COMPUTED_VALUE"""),"null")</f>
        <v>null</v>
      </c>
      <c r="X6970" s="33">
        <f>IFERROR(__xludf.DUMMYFUNCTION("""COMPUTED_VALUE"""),1.0)</f>
        <v>1</v>
      </c>
    </row>
    <row r="6971">
      <c r="K6971" s="4" t="str">
        <f>IFERROR(__xludf.DUMMYFUNCTION("""COMPUTED_VALUE"""),"ESFOMEADO ESFIHARIA")</f>
        <v>ESFOMEADO ESFIHARIA</v>
      </c>
      <c r="L6971" s="32">
        <f>IFERROR(__xludf.DUMMYFUNCTION("""COMPUTED_VALUE"""),2.0)</f>
        <v>2</v>
      </c>
      <c r="M6971" s="4" t="str">
        <f>IFERROR(__xludf.DUMMYFUNCTION("""COMPUTED_VALUE"""),"Cardápio Web")</f>
        <v>Cardápio Web</v>
      </c>
      <c r="N6971" s="33">
        <f>IFERROR(__xludf.DUMMYFUNCTION("""COMPUTED_VALUE"""),1.0)</f>
        <v>1</v>
      </c>
      <c r="O6971" s="4" t="str">
        <f>IFERROR(__xludf.DUMMYFUNCTION("""COMPUTED_VALUE"""),"Cardápio Web")</f>
        <v>Cardápio Web</v>
      </c>
      <c r="P6971" s="33">
        <f>IFERROR(__xludf.DUMMYFUNCTION("""COMPUTED_VALUE"""),1.0)</f>
        <v>1</v>
      </c>
      <c r="Q6971" s="4" t="str">
        <f>IFERROR(__xludf.DUMMYFUNCTION("""COMPUTED_VALUE"""),"Cardápio Web")</f>
        <v>Cardápio Web</v>
      </c>
      <c r="R6971" s="33">
        <f>IFERROR(__xludf.DUMMYFUNCTION("""COMPUTED_VALUE"""),1.0)</f>
        <v>1</v>
      </c>
      <c r="S6971" s="4" t="str">
        <f>IFERROR(__xludf.DUMMYFUNCTION("""COMPUTED_VALUE"""),"Cardápio Web")</f>
        <v>Cardápio Web</v>
      </c>
      <c r="T6971" s="33">
        <f>IFERROR(__xludf.DUMMYFUNCTION("""COMPUTED_VALUE"""),1.0)</f>
        <v>1</v>
      </c>
      <c r="U6971" s="4" t="str">
        <f>IFERROR(__xludf.DUMMYFUNCTION("""COMPUTED_VALUE"""),"null")</f>
        <v>null</v>
      </c>
      <c r="V6971" s="33">
        <f>IFERROR(__xludf.DUMMYFUNCTION("""COMPUTED_VALUE"""),1.0)</f>
        <v>1</v>
      </c>
      <c r="W6971" s="4" t="str">
        <f>IFERROR(__xludf.DUMMYFUNCTION("""COMPUTED_VALUE"""),"null")</f>
        <v>null</v>
      </c>
      <c r="X6971" s="33">
        <f>IFERROR(__xludf.DUMMYFUNCTION("""COMPUTED_VALUE"""),1.0)</f>
        <v>1</v>
      </c>
    </row>
    <row r="6972">
      <c r="K6972" s="4" t="str">
        <f>IFERROR(__xludf.DUMMYFUNCTION("""COMPUTED_VALUE"""),"ESPETARIA NORTE SUL")</f>
        <v>ESPETARIA NORTE SUL</v>
      </c>
      <c r="L6972" s="32">
        <f>IFERROR(__xludf.DUMMYFUNCTION("""COMPUTED_VALUE"""),2.0)</f>
        <v>2</v>
      </c>
      <c r="M6972" s="4" t="str">
        <f>IFERROR(__xludf.DUMMYFUNCTION("""COMPUTED_VALUE"""),"Ncr")</f>
        <v>Ncr</v>
      </c>
      <c r="N6972" s="33">
        <f>IFERROR(__xludf.DUMMYFUNCTION("""COMPUTED_VALUE"""),1.0)</f>
        <v>1</v>
      </c>
      <c r="O6972" s="4" t="str">
        <f>IFERROR(__xludf.DUMMYFUNCTION("""COMPUTED_VALUE"""),"Ncr")</f>
        <v>Ncr</v>
      </c>
      <c r="P6972" s="33">
        <f>IFERROR(__xludf.DUMMYFUNCTION("""COMPUTED_VALUE"""),1.0)</f>
        <v>1</v>
      </c>
      <c r="Q6972" s="4" t="str">
        <f>IFERROR(__xludf.DUMMYFUNCTION("""COMPUTED_VALUE"""),"Ncr")</f>
        <v>Ncr</v>
      </c>
      <c r="R6972" s="33">
        <f>IFERROR(__xludf.DUMMYFUNCTION("""COMPUTED_VALUE"""),1.0)</f>
        <v>1</v>
      </c>
      <c r="S6972" s="4" t="str">
        <f>IFERROR(__xludf.DUMMYFUNCTION("""COMPUTED_VALUE"""),"Ncr")</f>
        <v>Ncr</v>
      </c>
      <c r="T6972" s="33">
        <f>IFERROR(__xludf.DUMMYFUNCTION("""COMPUTED_VALUE"""),1.0)</f>
        <v>1</v>
      </c>
      <c r="U6972" s="4" t="str">
        <f>IFERROR(__xludf.DUMMYFUNCTION("""COMPUTED_VALUE"""),"Ncr")</f>
        <v>Ncr</v>
      </c>
      <c r="V6972" s="33">
        <f>IFERROR(__xludf.DUMMYFUNCTION("""COMPUTED_VALUE"""),1.0)</f>
        <v>1</v>
      </c>
      <c r="W6972" s="4" t="str">
        <f>IFERROR(__xludf.DUMMYFUNCTION("""COMPUTED_VALUE"""),"Ncr")</f>
        <v>Ncr</v>
      </c>
      <c r="X6972" s="33">
        <f>IFERROR(__xludf.DUMMYFUNCTION("""COMPUTED_VALUE"""),1.0)</f>
        <v>1</v>
      </c>
    </row>
    <row r="6973">
      <c r="K6973" s="4" t="str">
        <f>IFERROR(__xludf.DUMMYFUNCTION("""COMPUTED_VALUE"""),"ESPETINHO DA MARIA")</f>
        <v>ESPETINHO DA MARIA</v>
      </c>
      <c r="L6973" s="32">
        <f>IFERROR(__xludf.DUMMYFUNCTION("""COMPUTED_VALUE"""),2.0)</f>
        <v>2</v>
      </c>
      <c r="M6973" s="4" t="str">
        <f>IFERROR(__xludf.DUMMYFUNCTION("""COMPUTED_VALUE"""),"Cardápio Web")</f>
        <v>Cardápio Web</v>
      </c>
      <c r="N6973" s="33">
        <f>IFERROR(__xludf.DUMMYFUNCTION("""COMPUTED_VALUE"""),1.0)</f>
        <v>1</v>
      </c>
      <c r="O6973" s="4" t="str">
        <f>IFERROR(__xludf.DUMMYFUNCTION("""COMPUTED_VALUE"""),"Cardápio Web")</f>
        <v>Cardápio Web</v>
      </c>
      <c r="P6973" s="33">
        <f>IFERROR(__xludf.DUMMYFUNCTION("""COMPUTED_VALUE"""),1.0)</f>
        <v>1</v>
      </c>
      <c r="Q6973" s="4" t="str">
        <f>IFERROR(__xludf.DUMMYFUNCTION("""COMPUTED_VALUE"""),"Cardápio Web")</f>
        <v>Cardápio Web</v>
      </c>
      <c r="R6973" s="33">
        <f>IFERROR(__xludf.DUMMYFUNCTION("""COMPUTED_VALUE"""),1.0)</f>
        <v>1</v>
      </c>
      <c r="S6973" s="4" t="str">
        <f>IFERROR(__xludf.DUMMYFUNCTION("""COMPUTED_VALUE"""),"Cardápio Web")</f>
        <v>Cardápio Web</v>
      </c>
      <c r="T6973" s="33">
        <f>IFERROR(__xludf.DUMMYFUNCTION("""COMPUTED_VALUE"""),1.0)</f>
        <v>1</v>
      </c>
      <c r="U6973" s="4" t="str">
        <f>IFERROR(__xludf.DUMMYFUNCTION("""COMPUTED_VALUE"""),"Cardápio Web")</f>
        <v>Cardápio Web</v>
      </c>
      <c r="V6973" s="33">
        <f>IFERROR(__xludf.DUMMYFUNCTION("""COMPUTED_VALUE"""),1.0)</f>
        <v>1</v>
      </c>
      <c r="W6973" s="4" t="str">
        <f>IFERROR(__xludf.DUMMYFUNCTION("""COMPUTED_VALUE"""),"Cardápio Web")</f>
        <v>Cardápio Web</v>
      </c>
      <c r="X6973" s="33">
        <f>IFERROR(__xludf.DUMMYFUNCTION("""COMPUTED_VALUE"""),1.0)</f>
        <v>1</v>
      </c>
    </row>
    <row r="6974">
      <c r="K6974" s="4" t="str">
        <f>IFERROR(__xludf.DUMMYFUNCTION("""COMPUTED_VALUE"""),"ESPETINHO DO SEU DANIEL")</f>
        <v>ESPETINHO DO SEU DANIEL</v>
      </c>
      <c r="L6974" s="32">
        <f>IFERROR(__xludf.DUMMYFUNCTION("""COMPUTED_VALUE"""),2.0)</f>
        <v>2</v>
      </c>
      <c r="M6974" s="4" t="str">
        <f>IFERROR(__xludf.DUMMYFUNCTION("""COMPUTED_VALUE"""),"null")</f>
        <v>null</v>
      </c>
      <c r="N6974" s="33">
        <f>IFERROR(__xludf.DUMMYFUNCTION("""COMPUTED_VALUE"""),0.5)</f>
        <v>0.5</v>
      </c>
      <c r="O6974" s="4" t="str">
        <f>IFERROR(__xludf.DUMMYFUNCTION("""COMPUTED_VALUE"""),"null")</f>
        <v>null</v>
      </c>
      <c r="P6974" s="33">
        <f>IFERROR(__xludf.DUMMYFUNCTION("""COMPUTED_VALUE"""),1.0)</f>
        <v>1</v>
      </c>
      <c r="Q6974" s="4" t="str">
        <f>IFERROR(__xludf.DUMMYFUNCTION("""COMPUTED_VALUE"""),"null")</f>
        <v>null</v>
      </c>
      <c r="R6974" s="33">
        <f>IFERROR(__xludf.DUMMYFUNCTION("""COMPUTED_VALUE"""),1.0)</f>
        <v>1</v>
      </c>
      <c r="S6974" s="4" t="str">
        <f>IFERROR(__xludf.DUMMYFUNCTION("""COMPUTED_VALUE"""),"null")</f>
        <v>null</v>
      </c>
      <c r="T6974" s="33">
        <f>IFERROR(__xludf.DUMMYFUNCTION("""COMPUTED_VALUE"""),0.5)</f>
        <v>0.5</v>
      </c>
      <c r="U6974" s="4" t="str">
        <f>IFERROR(__xludf.DUMMYFUNCTION("""COMPUTED_VALUE"""),"Saipos Serviços De Software")</f>
        <v>Saipos Serviços De Software</v>
      </c>
      <c r="V6974" s="33">
        <f>IFERROR(__xludf.DUMMYFUNCTION("""COMPUTED_VALUE"""),1.0)</f>
        <v>1</v>
      </c>
      <c r="W6974" s="4" t="str">
        <f>IFERROR(__xludf.DUMMYFUNCTION("""COMPUTED_VALUE"""),"Saipos Serviços De Software")</f>
        <v>Saipos Serviços De Software</v>
      </c>
      <c r="X6974" s="33">
        <f>IFERROR(__xludf.DUMMYFUNCTION("""COMPUTED_VALUE"""),1.0)</f>
        <v>1</v>
      </c>
    </row>
    <row r="6975">
      <c r="K6975" s="4" t="str">
        <f>IFERROR(__xludf.DUMMYFUNCTION("""COMPUTED_VALUE"""),"ESPETINHO DO SEU DANIEL M")</f>
        <v>ESPETINHO DO SEU DANIEL M</v>
      </c>
      <c r="L6975" s="32">
        <f>IFERROR(__xludf.DUMMYFUNCTION("""COMPUTED_VALUE"""),2.0)</f>
        <v>2</v>
      </c>
      <c r="M6975" s="4" t="str">
        <f>IFERROR(__xludf.DUMMYFUNCTION("""COMPUTED_VALUE"""),"null")</f>
        <v>null</v>
      </c>
      <c r="N6975" s="33">
        <f>IFERROR(__xludf.DUMMYFUNCTION("""COMPUTED_VALUE"""),0.5)</f>
        <v>0.5</v>
      </c>
      <c r="O6975" s="4" t="str">
        <f>IFERROR(__xludf.DUMMYFUNCTION("""COMPUTED_VALUE"""),"null")</f>
        <v>null</v>
      </c>
      <c r="P6975" s="33">
        <f>IFERROR(__xludf.DUMMYFUNCTION("""COMPUTED_VALUE"""),1.0)</f>
        <v>1</v>
      </c>
      <c r="Q6975" s="4" t="str">
        <f>IFERROR(__xludf.DUMMYFUNCTION("""COMPUTED_VALUE"""),"null")</f>
        <v>null</v>
      </c>
      <c r="R6975" s="33">
        <f>IFERROR(__xludf.DUMMYFUNCTION("""COMPUTED_VALUE"""),1.0)</f>
        <v>1</v>
      </c>
      <c r="S6975" s="4" t="str">
        <f>IFERROR(__xludf.DUMMYFUNCTION("""COMPUTED_VALUE"""),"null")</f>
        <v>null</v>
      </c>
      <c r="T6975" s="33">
        <f>IFERROR(__xludf.DUMMYFUNCTION("""COMPUTED_VALUE"""),0.5)</f>
        <v>0.5</v>
      </c>
      <c r="U6975" s="4" t="str">
        <f>IFERROR(__xludf.DUMMYFUNCTION("""COMPUTED_VALUE"""),"Saipos Serviços De Software")</f>
        <v>Saipos Serviços De Software</v>
      </c>
      <c r="V6975" s="33">
        <f>IFERROR(__xludf.DUMMYFUNCTION("""COMPUTED_VALUE"""),1.0)</f>
        <v>1</v>
      </c>
      <c r="W6975" s="4" t="str">
        <f>IFERROR(__xludf.DUMMYFUNCTION("""COMPUTED_VALUE"""),"Saipos Serviços De Software")</f>
        <v>Saipos Serviços De Software</v>
      </c>
      <c r="X6975" s="33">
        <f>IFERROR(__xludf.DUMMYFUNCTION("""COMPUTED_VALUE"""),1.0)</f>
        <v>1</v>
      </c>
    </row>
    <row r="6976">
      <c r="K6976" s="4" t="str">
        <f>IFERROR(__xludf.DUMMYFUNCTION("""COMPUTED_VALUE"""),"ESPETINHO VILA MARIANA")</f>
        <v>ESPETINHO VILA MARIANA</v>
      </c>
      <c r="L6976" s="32">
        <f>IFERROR(__xludf.DUMMYFUNCTION("""COMPUTED_VALUE"""),2.0)</f>
        <v>2</v>
      </c>
      <c r="M6976" s="4" t="str">
        <f>IFERROR(__xludf.DUMMYFUNCTION("""COMPUTED_VALUE"""),"null")</f>
        <v>null</v>
      </c>
      <c r="N6976" s="33">
        <f>IFERROR(__xludf.DUMMYFUNCTION("""COMPUTED_VALUE"""),1.0)</f>
        <v>1</v>
      </c>
      <c r="O6976" s="4" t="str">
        <f>IFERROR(__xludf.DUMMYFUNCTION("""COMPUTED_VALUE"""),"null")</f>
        <v>null</v>
      </c>
      <c r="P6976" s="33">
        <f>IFERROR(__xludf.DUMMYFUNCTION("""COMPUTED_VALUE"""),1.0)</f>
        <v>1</v>
      </c>
      <c r="Q6976" s="4" t="str">
        <f>IFERROR(__xludf.DUMMYFUNCTION("""COMPUTED_VALUE"""),"null")</f>
        <v>null</v>
      </c>
      <c r="R6976" s="33">
        <f>IFERROR(__xludf.DUMMYFUNCTION("""COMPUTED_VALUE"""),0.5)</f>
        <v>0.5</v>
      </c>
      <c r="S6976" s="4" t="str">
        <f>IFERROR(__xludf.DUMMYFUNCTION("""COMPUTED_VALUE"""),"null")</f>
        <v>null</v>
      </c>
      <c r="T6976" s="33">
        <f>IFERROR(__xludf.DUMMYFUNCTION("""COMPUTED_VALUE"""),0.5)</f>
        <v>0.5</v>
      </c>
      <c r="U6976" s="4" t="str">
        <f>IFERROR(__xludf.DUMMYFUNCTION("""COMPUTED_VALUE"""),"null")</f>
        <v>null</v>
      </c>
      <c r="V6976" s="33">
        <f>IFERROR(__xludf.DUMMYFUNCTION("""COMPUTED_VALUE"""),0.5)</f>
        <v>0.5</v>
      </c>
      <c r="W6976" s="4" t="str">
        <f>IFERROR(__xludf.DUMMYFUNCTION("""COMPUTED_VALUE"""),"Cloudfy")</f>
        <v>Cloudfy</v>
      </c>
      <c r="X6976" s="33">
        <f>IFERROR(__xludf.DUMMYFUNCTION("""COMPUTED_VALUE"""),1.0)</f>
        <v>1</v>
      </c>
    </row>
    <row r="6977">
      <c r="K6977" s="4" t="str">
        <f>IFERROR(__xludf.DUMMYFUNCTION("""COMPUTED_VALUE"""),"ESPETINHOS GRILL - CONTA MARCA")</f>
        <v>ESPETINHOS GRILL - CONTA MARCA</v>
      </c>
      <c r="L6977" s="32">
        <f>IFERROR(__xludf.DUMMYFUNCTION("""COMPUTED_VALUE"""),2.0)</f>
        <v>2</v>
      </c>
      <c r="M6977" s="4" t="str">
        <f>IFERROR(__xludf.DUMMYFUNCTION("""COMPUTED_VALUE"""),"Cloudfy")</f>
        <v>Cloudfy</v>
      </c>
      <c r="N6977" s="33">
        <f>IFERROR(__xludf.DUMMYFUNCTION("""COMPUTED_VALUE"""),1.0)</f>
        <v>1</v>
      </c>
      <c r="O6977" s="4" t="str">
        <f>IFERROR(__xludf.DUMMYFUNCTION("""COMPUTED_VALUE"""),"null")</f>
        <v>null</v>
      </c>
      <c r="P6977" s="33">
        <f>IFERROR(__xludf.DUMMYFUNCTION("""COMPUTED_VALUE"""),1.0)</f>
        <v>1</v>
      </c>
      <c r="Q6977" s="4" t="str">
        <f>IFERROR(__xludf.DUMMYFUNCTION("""COMPUTED_VALUE"""),"null")</f>
        <v>null</v>
      </c>
      <c r="R6977" s="33">
        <f>IFERROR(__xludf.DUMMYFUNCTION("""COMPUTED_VALUE"""),1.0)</f>
        <v>1</v>
      </c>
      <c r="S6977" s="4" t="str">
        <f>IFERROR(__xludf.DUMMYFUNCTION("""COMPUTED_VALUE"""),"null")</f>
        <v>null</v>
      </c>
      <c r="T6977" s="33">
        <f>IFERROR(__xludf.DUMMYFUNCTION("""COMPUTED_VALUE"""),1.0)</f>
        <v>1</v>
      </c>
      <c r="U6977" s="4" t="str">
        <f>IFERROR(__xludf.DUMMYFUNCTION("""COMPUTED_VALUE"""),"null")</f>
        <v>null</v>
      </c>
      <c r="V6977" s="33">
        <f>IFERROR(__xludf.DUMMYFUNCTION("""COMPUTED_VALUE"""),1.0)</f>
        <v>1</v>
      </c>
      <c r="W6977" s="4" t="str">
        <f>IFERROR(__xludf.DUMMYFUNCTION("""COMPUTED_VALUE"""),"null")</f>
        <v>null</v>
      </c>
      <c r="X6977" s="33">
        <f>IFERROR(__xludf.DUMMYFUNCTION("""COMPUTED_VALUE"""),1.0)</f>
        <v>1</v>
      </c>
    </row>
    <row r="6978">
      <c r="K6978" s="4" t="str">
        <f>IFERROR(__xludf.DUMMYFUNCTION("""COMPUTED_VALUE"""),"ESPETO O REINO DO CHURRASCO - CONTA PAI")</f>
        <v>ESPETO O REINO DO CHURRASCO - CONTA PAI</v>
      </c>
      <c r="L6978" s="32">
        <f>IFERROR(__xludf.DUMMYFUNCTION("""COMPUTED_VALUE"""),2.0)</f>
        <v>2</v>
      </c>
      <c r="M6978" s="4" t="str">
        <f>IFERROR(__xludf.DUMMYFUNCTION("""COMPUTED_VALUE"""),"Saipos Serviços De Software")</f>
        <v>Saipos Serviços De Software</v>
      </c>
      <c r="N6978" s="33">
        <f>IFERROR(__xludf.DUMMYFUNCTION("""COMPUTED_VALUE"""),1.0)</f>
        <v>1</v>
      </c>
      <c r="O6978" s="4" t="str">
        <f>IFERROR(__xludf.DUMMYFUNCTION("""COMPUTED_VALUE"""),"Saipos Serviços De Software")</f>
        <v>Saipos Serviços De Software</v>
      </c>
      <c r="P6978" s="33">
        <f>IFERROR(__xludf.DUMMYFUNCTION("""COMPUTED_VALUE"""),1.0)</f>
        <v>1</v>
      </c>
      <c r="Q6978" s="4" t="str">
        <f>IFERROR(__xludf.DUMMYFUNCTION("""COMPUTED_VALUE"""),"Saipos Serviços De Software")</f>
        <v>Saipos Serviços De Software</v>
      </c>
      <c r="R6978" s="33">
        <f>IFERROR(__xludf.DUMMYFUNCTION("""COMPUTED_VALUE"""),1.0)</f>
        <v>1</v>
      </c>
      <c r="S6978" s="4" t="str">
        <f>IFERROR(__xludf.DUMMYFUNCTION("""COMPUTED_VALUE"""),"Saipos Serviços De Software")</f>
        <v>Saipos Serviços De Software</v>
      </c>
      <c r="T6978" s="33">
        <f>IFERROR(__xludf.DUMMYFUNCTION("""COMPUTED_VALUE"""),1.0)</f>
        <v>1</v>
      </c>
      <c r="U6978" s="4" t="str">
        <f>IFERROR(__xludf.DUMMYFUNCTION("""COMPUTED_VALUE"""),"Saipos Serviços De Software")</f>
        <v>Saipos Serviços De Software</v>
      </c>
      <c r="V6978" s="33">
        <f>IFERROR(__xludf.DUMMYFUNCTION("""COMPUTED_VALUE"""),1.0)</f>
        <v>1</v>
      </c>
      <c r="W6978" s="4" t="str">
        <f>IFERROR(__xludf.DUMMYFUNCTION("""COMPUTED_VALUE"""),"Saipos Serviços De Software")</f>
        <v>Saipos Serviços De Software</v>
      </c>
      <c r="X6978" s="33">
        <f>IFERROR(__xludf.DUMMYFUNCTION("""COMPUTED_VALUE"""),1.0)</f>
        <v>1</v>
      </c>
    </row>
    <row r="6979">
      <c r="K6979" s="4" t="str">
        <f>IFERROR(__xludf.DUMMYFUNCTION("""COMPUTED_VALUE"""),"ESPETOS FERREIRA")</f>
        <v>ESPETOS FERREIRA</v>
      </c>
      <c r="L6979" s="32">
        <f>IFERROR(__xludf.DUMMYFUNCTION("""COMPUTED_VALUE"""),2.0)</f>
        <v>2</v>
      </c>
      <c r="M6979" s="4" t="str">
        <f>IFERROR(__xludf.DUMMYFUNCTION("""COMPUTED_VALUE"""),"Saipos Serviços De Software")</f>
        <v>Saipos Serviços De Software</v>
      </c>
      <c r="N6979" s="33">
        <f>IFERROR(__xludf.DUMMYFUNCTION("""COMPUTED_VALUE"""),1.0)</f>
        <v>1</v>
      </c>
      <c r="O6979" s="4" t="str">
        <f>IFERROR(__xludf.DUMMYFUNCTION("""COMPUTED_VALUE"""),"Saipos Serviços De Software")</f>
        <v>Saipos Serviços De Software</v>
      </c>
      <c r="P6979" s="33">
        <f>IFERROR(__xludf.DUMMYFUNCTION("""COMPUTED_VALUE"""),1.0)</f>
        <v>1</v>
      </c>
      <c r="Q6979" s="4" t="str">
        <f>IFERROR(__xludf.DUMMYFUNCTION("""COMPUTED_VALUE"""),"Saipos Serviços De Software")</f>
        <v>Saipos Serviços De Software</v>
      </c>
      <c r="R6979" s="33">
        <f>IFERROR(__xludf.DUMMYFUNCTION("""COMPUTED_VALUE"""),1.0)</f>
        <v>1</v>
      </c>
      <c r="S6979" s="4" t="str">
        <f>IFERROR(__xludf.DUMMYFUNCTION("""COMPUTED_VALUE"""),"Saipos Serviços De Software")</f>
        <v>Saipos Serviços De Software</v>
      </c>
      <c r="T6979" s="33">
        <f>IFERROR(__xludf.DUMMYFUNCTION("""COMPUTED_VALUE"""),1.0)</f>
        <v>1</v>
      </c>
      <c r="U6979" s="4" t="str">
        <f>IFERROR(__xludf.DUMMYFUNCTION("""COMPUTED_VALUE"""),"Saipos Serviços De Software")</f>
        <v>Saipos Serviços De Software</v>
      </c>
      <c r="V6979" s="33">
        <f>IFERROR(__xludf.DUMMYFUNCTION("""COMPUTED_VALUE"""),1.0)</f>
        <v>1</v>
      </c>
      <c r="W6979" s="4" t="str">
        <f>IFERROR(__xludf.DUMMYFUNCTION("""COMPUTED_VALUE"""),"Saipos Serviços De Software")</f>
        <v>Saipos Serviços De Software</v>
      </c>
      <c r="X6979" s="33">
        <f>IFERROR(__xludf.DUMMYFUNCTION("""COMPUTED_VALUE"""),1.0)</f>
        <v>1</v>
      </c>
    </row>
    <row r="6980">
      <c r="K6980" s="4" t="str">
        <f>IFERROR(__xludf.DUMMYFUNCTION("""COMPUTED_VALUE"""),"ESQUINA")</f>
        <v>ESQUINA</v>
      </c>
      <c r="L6980" s="32">
        <f>IFERROR(__xludf.DUMMYFUNCTION("""COMPUTED_VALUE"""),2.0)</f>
        <v>2</v>
      </c>
      <c r="M6980" s="4" t="str">
        <f>IFERROR(__xludf.DUMMYFUNCTION("""COMPUTED_VALUE"""),"Stone Co.")</f>
        <v>Stone Co.</v>
      </c>
      <c r="N6980" s="33">
        <f>IFERROR(__xludf.DUMMYFUNCTION("""COMPUTED_VALUE"""),0.5)</f>
        <v>0.5</v>
      </c>
      <c r="O6980" s="4" t="str">
        <f>IFERROR(__xludf.DUMMYFUNCTION("""COMPUTED_VALUE"""),"Stone Co.")</f>
        <v>Stone Co.</v>
      </c>
      <c r="P6980" s="33">
        <f>IFERROR(__xludf.DUMMYFUNCTION("""COMPUTED_VALUE"""),0.5)</f>
        <v>0.5</v>
      </c>
      <c r="Q6980" s="4" t="str">
        <f>IFERROR(__xludf.DUMMYFUNCTION("""COMPUTED_VALUE"""),"Stone Co.")</f>
        <v>Stone Co.</v>
      </c>
      <c r="R6980" s="33">
        <f>IFERROR(__xludf.DUMMYFUNCTION("""COMPUTED_VALUE"""),0.5)</f>
        <v>0.5</v>
      </c>
      <c r="S6980" s="4" t="str">
        <f>IFERROR(__xludf.DUMMYFUNCTION("""COMPUTED_VALUE"""),"Stone Co.")</f>
        <v>Stone Co.</v>
      </c>
      <c r="T6980" s="33">
        <f>IFERROR(__xludf.DUMMYFUNCTION("""COMPUTED_VALUE"""),0.5)</f>
        <v>0.5</v>
      </c>
      <c r="U6980" s="4" t="str">
        <f>IFERROR(__xludf.DUMMYFUNCTION("""COMPUTED_VALUE"""),"Stone Co.")</f>
        <v>Stone Co.</v>
      </c>
      <c r="V6980" s="33">
        <f>IFERROR(__xludf.DUMMYFUNCTION("""COMPUTED_VALUE"""),0.5)</f>
        <v>0.5</v>
      </c>
      <c r="W6980" s="4" t="str">
        <f>IFERROR(__xludf.DUMMYFUNCTION("""COMPUTED_VALUE"""),"Stone Co.")</f>
        <v>Stone Co.</v>
      </c>
      <c r="X6980" s="33">
        <f>IFERROR(__xludf.DUMMYFUNCTION("""COMPUTED_VALUE"""),0.5)</f>
        <v>0.5</v>
      </c>
    </row>
    <row r="6981">
      <c r="K6981" s="4" t="str">
        <f>IFERROR(__xludf.DUMMYFUNCTION("""COMPUTED_VALUE"""),"ESTACAO 7 LANCHES E JANTINHA")</f>
        <v>ESTACAO 7 LANCHES E JANTINHA</v>
      </c>
      <c r="L6981" s="32">
        <f>IFERROR(__xludf.DUMMYFUNCTION("""COMPUTED_VALUE"""),2.0)</f>
        <v>2</v>
      </c>
      <c r="M6981" s="4" t="str">
        <f>IFERROR(__xludf.DUMMYFUNCTION("""COMPUTED_VALUE"""),"Saipos Serviços De Software")</f>
        <v>Saipos Serviços De Software</v>
      </c>
      <c r="N6981" s="33">
        <f>IFERROR(__xludf.DUMMYFUNCTION("""COMPUTED_VALUE"""),1.0)</f>
        <v>1</v>
      </c>
      <c r="O6981" s="4" t="str">
        <f>IFERROR(__xludf.DUMMYFUNCTION("""COMPUTED_VALUE"""),"Saipos Serviços De Software")</f>
        <v>Saipos Serviços De Software</v>
      </c>
      <c r="P6981" s="33">
        <f>IFERROR(__xludf.DUMMYFUNCTION("""COMPUTED_VALUE"""),1.0)</f>
        <v>1</v>
      </c>
      <c r="Q6981" s="4" t="str">
        <f>IFERROR(__xludf.DUMMYFUNCTION("""COMPUTED_VALUE"""),"null")</f>
        <v>null</v>
      </c>
      <c r="R6981" s="33">
        <f>IFERROR(__xludf.DUMMYFUNCTION("""COMPUTED_VALUE"""),1.0)</f>
        <v>1</v>
      </c>
      <c r="S6981" s="4" t="str">
        <f>IFERROR(__xludf.DUMMYFUNCTION("""COMPUTED_VALUE"""),"null")</f>
        <v>null</v>
      </c>
      <c r="T6981" s="33">
        <f>IFERROR(__xludf.DUMMYFUNCTION("""COMPUTED_VALUE"""),1.0)</f>
        <v>1</v>
      </c>
      <c r="U6981" s="4" t="str">
        <f>IFERROR(__xludf.DUMMYFUNCTION("""COMPUTED_VALUE"""),"null")</f>
        <v>null</v>
      </c>
      <c r="V6981" s="33">
        <f>IFERROR(__xludf.DUMMYFUNCTION("""COMPUTED_VALUE"""),1.0)</f>
        <v>1</v>
      </c>
      <c r="W6981" s="4" t="str">
        <f>IFERROR(__xludf.DUMMYFUNCTION("""COMPUTED_VALUE"""),"null")</f>
        <v>null</v>
      </c>
      <c r="X6981" s="33">
        <f>IFERROR(__xludf.DUMMYFUNCTION("""COMPUTED_VALUE"""),1.0)</f>
        <v>1</v>
      </c>
    </row>
    <row r="6982">
      <c r="K6982" s="4" t="str">
        <f>IFERROR(__xludf.DUMMYFUNCTION("""COMPUTED_VALUE"""),"ESTACAO ACAI E BURGUER - UBERLANDIA")</f>
        <v>ESTACAO ACAI E BURGUER - UBERLANDIA</v>
      </c>
      <c r="L6982" s="32">
        <f>IFERROR(__xludf.DUMMYFUNCTION("""COMPUTED_VALUE"""),2.0)</f>
        <v>2</v>
      </c>
      <c r="M6982" s="4" t="str">
        <f>IFERROR(__xludf.DUMMYFUNCTION("""COMPUTED_VALUE"""),"Saipos Serviços De Software")</f>
        <v>Saipos Serviços De Software</v>
      </c>
      <c r="N6982" s="33">
        <f>IFERROR(__xludf.DUMMYFUNCTION("""COMPUTED_VALUE"""),1.0)</f>
        <v>1</v>
      </c>
      <c r="O6982" s="4" t="str">
        <f>IFERROR(__xludf.DUMMYFUNCTION("""COMPUTED_VALUE"""),"Saipos Serviços De Software")</f>
        <v>Saipos Serviços De Software</v>
      </c>
      <c r="P6982" s="33">
        <f>IFERROR(__xludf.DUMMYFUNCTION("""COMPUTED_VALUE"""),1.0)</f>
        <v>1</v>
      </c>
      <c r="Q6982" s="4" t="str">
        <f>IFERROR(__xludf.DUMMYFUNCTION("""COMPUTED_VALUE"""),"Saipos Serviços De Software")</f>
        <v>Saipos Serviços De Software</v>
      </c>
      <c r="R6982" s="33">
        <f>IFERROR(__xludf.DUMMYFUNCTION("""COMPUTED_VALUE"""),1.0)</f>
        <v>1</v>
      </c>
      <c r="S6982" s="4" t="str">
        <f>IFERROR(__xludf.DUMMYFUNCTION("""COMPUTED_VALUE"""),"Saipos Serviços De Software")</f>
        <v>Saipos Serviços De Software</v>
      </c>
      <c r="T6982" s="33">
        <f>IFERROR(__xludf.DUMMYFUNCTION("""COMPUTED_VALUE"""),1.0)</f>
        <v>1</v>
      </c>
      <c r="U6982" s="4" t="str">
        <f>IFERROR(__xludf.DUMMYFUNCTION("""COMPUTED_VALUE"""),"Saipos Serviços De Software")</f>
        <v>Saipos Serviços De Software</v>
      </c>
      <c r="V6982" s="33">
        <f>IFERROR(__xludf.DUMMYFUNCTION("""COMPUTED_VALUE"""),1.0)</f>
        <v>1</v>
      </c>
      <c r="W6982" s="4" t="str">
        <f>IFERROR(__xludf.DUMMYFUNCTION("""COMPUTED_VALUE"""),"Saipos Serviços De Software")</f>
        <v>Saipos Serviços De Software</v>
      </c>
      <c r="X6982" s="33">
        <f>IFERROR(__xludf.DUMMYFUNCTION("""COMPUTED_VALUE"""),1.0)</f>
        <v>1</v>
      </c>
    </row>
    <row r="6983">
      <c r="K6983" s="4" t="str">
        <f>IFERROR(__xludf.DUMMYFUNCTION("""COMPUTED_VALUE"""),"EXPEDITO MASSAS")</f>
        <v>EXPEDITO MASSAS</v>
      </c>
      <c r="L6983" s="32">
        <f>IFERROR(__xludf.DUMMYFUNCTION("""COMPUTED_VALUE"""),2.0)</f>
        <v>2</v>
      </c>
      <c r="M6983" s="4" t="str">
        <f>IFERROR(__xludf.DUMMYFUNCTION("""COMPUTED_VALUE"""),"Consumer Soluções Em Tecnologia Ltda")</f>
        <v>Consumer Soluções Em Tecnologia Ltda</v>
      </c>
      <c r="N6983" s="33">
        <f>IFERROR(__xludf.DUMMYFUNCTION("""COMPUTED_VALUE"""),1.0)</f>
        <v>1</v>
      </c>
      <c r="O6983" s="4" t="str">
        <f>IFERROR(__xludf.DUMMYFUNCTION("""COMPUTED_VALUE"""),"null")</f>
        <v>null</v>
      </c>
      <c r="P6983" s="33">
        <f>IFERROR(__xludf.DUMMYFUNCTION("""COMPUTED_VALUE"""),1.0)</f>
        <v>1</v>
      </c>
      <c r="Q6983" s="4" t="str">
        <f>IFERROR(__xludf.DUMMYFUNCTION("""COMPUTED_VALUE"""),"null")</f>
        <v>null</v>
      </c>
      <c r="R6983" s="33">
        <f>IFERROR(__xludf.DUMMYFUNCTION("""COMPUTED_VALUE"""),1.0)</f>
        <v>1</v>
      </c>
      <c r="S6983" s="4" t="str">
        <f>IFERROR(__xludf.DUMMYFUNCTION("""COMPUTED_VALUE"""),"null")</f>
        <v>null</v>
      </c>
      <c r="T6983" s="33">
        <f>IFERROR(__xludf.DUMMYFUNCTION("""COMPUTED_VALUE"""),1.0)</f>
        <v>1</v>
      </c>
      <c r="U6983" s="4" t="str">
        <f>IFERROR(__xludf.DUMMYFUNCTION("""COMPUTED_VALUE"""),"null")</f>
        <v>null</v>
      </c>
      <c r="V6983" s="33">
        <f>IFERROR(__xludf.DUMMYFUNCTION("""COMPUTED_VALUE"""),1.0)</f>
        <v>1</v>
      </c>
      <c r="W6983" s="4" t="str">
        <f>IFERROR(__xludf.DUMMYFUNCTION("""COMPUTED_VALUE"""),"null")</f>
        <v>null</v>
      </c>
      <c r="X6983" s="33">
        <f>IFERROR(__xludf.DUMMYFUNCTION("""COMPUTED_VALUE"""),1.0)</f>
        <v>1</v>
      </c>
    </row>
    <row r="6984">
      <c r="K6984" s="4" t="str">
        <f>IFERROR(__xludf.DUMMYFUNCTION("""COMPUTED_VALUE"""),"FAISCA PIZZA")</f>
        <v>FAISCA PIZZA</v>
      </c>
      <c r="L6984" s="32">
        <f>IFERROR(__xludf.DUMMYFUNCTION("""COMPUTED_VALUE"""),2.0)</f>
        <v>2</v>
      </c>
      <c r="M6984" s="4" t="str">
        <f>IFERROR(__xludf.DUMMYFUNCTION("""COMPUTED_VALUE"""),"null")</f>
        <v>null</v>
      </c>
      <c r="N6984" s="33">
        <f>IFERROR(__xludf.DUMMYFUNCTION("""COMPUTED_VALUE"""),0.5)</f>
        <v>0.5</v>
      </c>
      <c r="O6984" s="4" t="str">
        <f>IFERROR(__xludf.DUMMYFUNCTION("""COMPUTED_VALUE"""),"Cardápio Web")</f>
        <v>Cardápio Web</v>
      </c>
      <c r="P6984" s="33">
        <f>IFERROR(__xludf.DUMMYFUNCTION("""COMPUTED_VALUE"""),1.0)</f>
        <v>1</v>
      </c>
      <c r="Q6984" s="4" t="str">
        <f>IFERROR(__xludf.DUMMYFUNCTION("""COMPUTED_VALUE"""),"Cardápio Web")</f>
        <v>Cardápio Web</v>
      </c>
      <c r="R6984" s="33">
        <f>IFERROR(__xludf.DUMMYFUNCTION("""COMPUTED_VALUE"""),1.0)</f>
        <v>1</v>
      </c>
      <c r="S6984" s="4" t="str">
        <f>IFERROR(__xludf.DUMMYFUNCTION("""COMPUTED_VALUE"""),"null")</f>
        <v>null</v>
      </c>
      <c r="T6984" s="33">
        <f>IFERROR(__xludf.DUMMYFUNCTION("""COMPUTED_VALUE"""),0.5)</f>
        <v>0.5</v>
      </c>
      <c r="U6984" s="4" t="str">
        <f>IFERROR(__xludf.DUMMYFUNCTION("""COMPUTED_VALUE"""),"Cardápio Web")</f>
        <v>Cardápio Web</v>
      </c>
      <c r="V6984" s="33">
        <f>IFERROR(__xludf.DUMMYFUNCTION("""COMPUTED_VALUE"""),1.0)</f>
        <v>1</v>
      </c>
      <c r="W6984" s="4" t="str">
        <f>IFERROR(__xludf.DUMMYFUNCTION("""COMPUTED_VALUE"""),"Cardápio Web")</f>
        <v>Cardápio Web</v>
      </c>
      <c r="X6984" s="33">
        <f>IFERROR(__xludf.DUMMYFUNCTION("""COMPUTED_VALUE"""),1.0)</f>
        <v>1</v>
      </c>
    </row>
    <row r="6985">
      <c r="K6985" s="4" t="str">
        <f>IFERROR(__xludf.DUMMYFUNCTION("""COMPUTED_VALUE"""),"FAMIGLIA CROSARA CONTA MARCA")</f>
        <v>FAMIGLIA CROSARA CONTA MARCA</v>
      </c>
      <c r="L6985" s="32">
        <f>IFERROR(__xludf.DUMMYFUNCTION("""COMPUTED_VALUE"""),2.0)</f>
        <v>2</v>
      </c>
      <c r="M6985" s="4" t="str">
        <f>IFERROR(__xludf.DUMMYFUNCTION("""COMPUTED_VALUE"""),"Winfood")</f>
        <v>Winfood</v>
      </c>
      <c r="N6985" s="33">
        <f>IFERROR(__xludf.DUMMYFUNCTION("""COMPUTED_VALUE"""),1.0)</f>
        <v>1</v>
      </c>
      <c r="O6985" s="4" t="str">
        <f>IFERROR(__xludf.DUMMYFUNCTION("""COMPUTED_VALUE"""),"Winfood")</f>
        <v>Winfood</v>
      </c>
      <c r="P6985" s="33">
        <f>IFERROR(__xludf.DUMMYFUNCTION("""COMPUTED_VALUE"""),1.0)</f>
        <v>1</v>
      </c>
      <c r="Q6985" s="4" t="str">
        <f>IFERROR(__xludf.DUMMYFUNCTION("""COMPUTED_VALUE"""),"Winfood")</f>
        <v>Winfood</v>
      </c>
      <c r="R6985" s="33">
        <f>IFERROR(__xludf.DUMMYFUNCTION("""COMPUTED_VALUE"""),1.0)</f>
        <v>1</v>
      </c>
      <c r="S6985" s="4" t="str">
        <f>IFERROR(__xludf.DUMMYFUNCTION("""COMPUTED_VALUE"""),"Winfood")</f>
        <v>Winfood</v>
      </c>
      <c r="T6985" s="33">
        <f>IFERROR(__xludf.DUMMYFUNCTION("""COMPUTED_VALUE"""),1.0)</f>
        <v>1</v>
      </c>
      <c r="U6985" s="4" t="str">
        <f>IFERROR(__xludf.DUMMYFUNCTION("""COMPUTED_VALUE"""),"Winfood")</f>
        <v>Winfood</v>
      </c>
      <c r="V6985" s="33">
        <f>IFERROR(__xludf.DUMMYFUNCTION("""COMPUTED_VALUE"""),1.0)</f>
        <v>1</v>
      </c>
      <c r="W6985" s="4" t="str">
        <f>IFERROR(__xludf.DUMMYFUNCTION("""COMPUTED_VALUE"""),"Winfood")</f>
        <v>Winfood</v>
      </c>
      <c r="X6985" s="33">
        <f>IFERROR(__xludf.DUMMYFUNCTION("""COMPUTED_VALUE"""),1.0)</f>
        <v>1</v>
      </c>
    </row>
    <row r="6986">
      <c r="K6986" s="4" t="str">
        <f>IFERROR(__xludf.DUMMYFUNCTION("""COMPUTED_VALUE"""),"FAMIGLIA LUCCO")</f>
        <v>FAMIGLIA LUCCO</v>
      </c>
      <c r="L6986" s="32">
        <f>IFERROR(__xludf.DUMMYFUNCTION("""COMPUTED_VALUE"""),2.0)</f>
        <v>2</v>
      </c>
      <c r="M6986" s="4" t="str">
        <f>IFERROR(__xludf.DUMMYFUNCTION("""COMPUTED_VALUE"""),"Ative Desenvolvimento De Softwares Ltda")</f>
        <v>Ative Desenvolvimento De Softwares Ltda</v>
      </c>
      <c r="N6986" s="33">
        <f>IFERROR(__xludf.DUMMYFUNCTION("""COMPUTED_VALUE"""),1.0)</f>
        <v>1</v>
      </c>
      <c r="O6986" s="4" t="str">
        <f>IFERROR(__xludf.DUMMYFUNCTION("""COMPUTED_VALUE"""),"null")</f>
        <v>null</v>
      </c>
      <c r="P6986" s="33">
        <f>IFERROR(__xludf.DUMMYFUNCTION("""COMPUTED_VALUE"""),0.5)</f>
        <v>0.5</v>
      </c>
      <c r="Q6986" s="4" t="str">
        <f>IFERROR(__xludf.DUMMYFUNCTION("""COMPUTED_VALUE"""),"null")</f>
        <v>null</v>
      </c>
      <c r="R6986" s="33">
        <f>IFERROR(__xludf.DUMMYFUNCTION("""COMPUTED_VALUE"""),0.5)</f>
        <v>0.5</v>
      </c>
      <c r="S6986" s="4" t="str">
        <f>IFERROR(__xludf.DUMMYFUNCTION("""COMPUTED_VALUE"""),"null")</f>
        <v>null</v>
      </c>
      <c r="T6986" s="33">
        <f>IFERROR(__xludf.DUMMYFUNCTION("""COMPUTED_VALUE"""),0.5)</f>
        <v>0.5</v>
      </c>
      <c r="U6986" s="4" t="str">
        <f>IFERROR(__xludf.DUMMYFUNCTION("""COMPUTED_VALUE"""),"null")</f>
        <v>null</v>
      </c>
      <c r="V6986" s="33">
        <f>IFERROR(__xludf.DUMMYFUNCTION("""COMPUTED_VALUE"""),0.5)</f>
        <v>0.5</v>
      </c>
      <c r="W6986" s="4" t="str">
        <f>IFERROR(__xludf.DUMMYFUNCTION("""COMPUTED_VALUE"""),"null")</f>
        <v>null</v>
      </c>
      <c r="X6986" s="33">
        <f>IFERROR(__xludf.DUMMYFUNCTION("""COMPUTED_VALUE"""),0.5)</f>
        <v>0.5</v>
      </c>
    </row>
    <row r="6987">
      <c r="K6987" s="4" t="str">
        <f>IFERROR(__xludf.DUMMYFUNCTION("""COMPUTED_VALUE"""),"FAMILE GOURMET")</f>
        <v>FAMILE GOURMET</v>
      </c>
      <c r="L6987" s="32">
        <f>IFERROR(__xludf.DUMMYFUNCTION("""COMPUTED_VALUE"""),2.0)</f>
        <v>2</v>
      </c>
      <c r="M6987" s="4" t="str">
        <f>IFERROR(__xludf.DUMMYFUNCTION("""COMPUTED_VALUE"""),"Saipos Serviços De Software")</f>
        <v>Saipos Serviços De Software</v>
      </c>
      <c r="N6987" s="33">
        <f>IFERROR(__xludf.DUMMYFUNCTION("""COMPUTED_VALUE"""),1.0)</f>
        <v>1</v>
      </c>
      <c r="O6987" s="4" t="str">
        <f>IFERROR(__xludf.DUMMYFUNCTION("""COMPUTED_VALUE"""),"Saipos Serviços De Software")</f>
        <v>Saipos Serviços De Software</v>
      </c>
      <c r="P6987" s="33">
        <f>IFERROR(__xludf.DUMMYFUNCTION("""COMPUTED_VALUE"""),1.0)</f>
        <v>1</v>
      </c>
      <c r="Q6987" s="4" t="str">
        <f>IFERROR(__xludf.DUMMYFUNCTION("""COMPUTED_VALUE"""),"Saipos Serviços De Software")</f>
        <v>Saipos Serviços De Software</v>
      </c>
      <c r="R6987" s="33">
        <f>IFERROR(__xludf.DUMMYFUNCTION("""COMPUTED_VALUE"""),1.0)</f>
        <v>1</v>
      </c>
      <c r="S6987" s="4" t="str">
        <f>IFERROR(__xludf.DUMMYFUNCTION("""COMPUTED_VALUE"""),"Saipos Serviços De Software")</f>
        <v>Saipos Serviços De Software</v>
      </c>
      <c r="T6987" s="33">
        <f>IFERROR(__xludf.DUMMYFUNCTION("""COMPUTED_VALUE"""),1.0)</f>
        <v>1</v>
      </c>
      <c r="U6987" s="4" t="str">
        <f>IFERROR(__xludf.DUMMYFUNCTION("""COMPUTED_VALUE"""),"Saipos Serviços De Software")</f>
        <v>Saipos Serviços De Software</v>
      </c>
      <c r="V6987" s="33">
        <f>IFERROR(__xludf.DUMMYFUNCTION("""COMPUTED_VALUE"""),1.0)</f>
        <v>1</v>
      </c>
      <c r="W6987" s="4" t="str">
        <f>IFERROR(__xludf.DUMMYFUNCTION("""COMPUTED_VALUE"""),"Saipos Serviços De Software")</f>
        <v>Saipos Serviços De Software</v>
      </c>
      <c r="X6987" s="33">
        <f>IFERROR(__xludf.DUMMYFUNCTION("""COMPUTED_VALUE"""),1.0)</f>
        <v>1</v>
      </c>
    </row>
    <row r="6988">
      <c r="K6988" s="4" t="str">
        <f>IFERROR(__xludf.DUMMYFUNCTION("""COMPUTED_VALUE"""),"FAMILIA IN BOX FEIJOADA COZINHA")</f>
        <v>FAMILIA IN BOX FEIJOADA COZINHA</v>
      </c>
      <c r="L6988" s="32">
        <f>IFERROR(__xludf.DUMMYFUNCTION("""COMPUTED_VALUE"""),2.0)</f>
        <v>2</v>
      </c>
      <c r="M6988" s="4" t="str">
        <f>IFERROR(__xludf.DUMMYFUNCTION("""COMPUTED_VALUE"""),"Vuca Solution")</f>
        <v>Vuca Solution</v>
      </c>
      <c r="N6988" s="33">
        <f>IFERROR(__xludf.DUMMYFUNCTION("""COMPUTED_VALUE"""),1.0)</f>
        <v>1</v>
      </c>
      <c r="O6988" s="4" t="str">
        <f>IFERROR(__xludf.DUMMYFUNCTION("""COMPUTED_VALUE"""),"Vuca Solution")</f>
        <v>Vuca Solution</v>
      </c>
      <c r="P6988" s="33">
        <f>IFERROR(__xludf.DUMMYFUNCTION("""COMPUTED_VALUE"""),0.5)</f>
        <v>0.5</v>
      </c>
      <c r="Q6988" s="4" t="str">
        <f>IFERROR(__xludf.DUMMYFUNCTION("""COMPUTED_VALUE"""),"Vuca Solution")</f>
        <v>Vuca Solution</v>
      </c>
      <c r="R6988" s="33">
        <f>IFERROR(__xludf.DUMMYFUNCTION("""COMPUTED_VALUE"""),0.5)</f>
        <v>0.5</v>
      </c>
      <c r="S6988" s="4" t="str">
        <f>IFERROR(__xludf.DUMMYFUNCTION("""COMPUTED_VALUE"""),"Vuca Solution")</f>
        <v>Vuca Solution</v>
      </c>
      <c r="T6988" s="33">
        <f>IFERROR(__xludf.DUMMYFUNCTION("""COMPUTED_VALUE"""),0.5)</f>
        <v>0.5</v>
      </c>
      <c r="U6988" s="4" t="str">
        <f>IFERROR(__xludf.DUMMYFUNCTION("""COMPUTED_VALUE"""),"Vuca Solution")</f>
        <v>Vuca Solution</v>
      </c>
      <c r="V6988" s="33">
        <f>IFERROR(__xludf.DUMMYFUNCTION("""COMPUTED_VALUE"""),0.5)</f>
        <v>0.5</v>
      </c>
      <c r="W6988" s="4" t="str">
        <f>IFERROR(__xludf.DUMMYFUNCTION("""COMPUTED_VALUE"""),"Vuca Solution")</f>
        <v>Vuca Solution</v>
      </c>
      <c r="X6988" s="33">
        <f>IFERROR(__xludf.DUMMYFUNCTION("""COMPUTED_VALUE"""),0.5)</f>
        <v>0.5</v>
      </c>
    </row>
    <row r="6989">
      <c r="K6989" s="4" t="str">
        <f>IFERROR(__xludf.DUMMYFUNCTION("""COMPUTED_VALUE"""),"FARID PEREIRA")</f>
        <v>FARID PEREIRA</v>
      </c>
      <c r="L6989" s="32">
        <f>IFERROR(__xludf.DUMMYFUNCTION("""COMPUTED_VALUE"""),2.0)</f>
        <v>2</v>
      </c>
      <c r="M6989" s="4" t="str">
        <f>IFERROR(__xludf.DUMMYFUNCTION("""COMPUTED_VALUE"""),"null")</f>
        <v>null</v>
      </c>
      <c r="N6989" s="33">
        <f>IFERROR(__xludf.DUMMYFUNCTION("""COMPUTED_VALUE"""),0.5)</f>
        <v>0.5</v>
      </c>
      <c r="O6989" s="4" t="str">
        <f>IFERROR(__xludf.DUMMYFUNCTION("""COMPUTED_VALUE"""),"L&amp;f Tecnologia Sistemas E Comercio Ltda")</f>
        <v>L&amp;f Tecnologia Sistemas E Comercio Ltda</v>
      </c>
      <c r="P6989" s="33">
        <f>IFERROR(__xludf.DUMMYFUNCTION("""COMPUTED_VALUE"""),0.5)</f>
        <v>0.5</v>
      </c>
      <c r="Q6989" s="4" t="str">
        <f>IFERROR(__xludf.DUMMYFUNCTION("""COMPUTED_VALUE"""),"L&amp;f Tecnologia Sistemas E Comercio Ltda")</f>
        <v>L&amp;f Tecnologia Sistemas E Comercio Ltda</v>
      </c>
      <c r="R6989" s="33">
        <f>IFERROR(__xludf.DUMMYFUNCTION("""COMPUTED_VALUE"""),0.5)</f>
        <v>0.5</v>
      </c>
      <c r="S6989" s="4" t="str">
        <f>IFERROR(__xludf.DUMMYFUNCTION("""COMPUTED_VALUE"""),"Ncr")</f>
        <v>Ncr</v>
      </c>
      <c r="T6989" s="33">
        <f>IFERROR(__xludf.DUMMYFUNCTION("""COMPUTED_VALUE"""),1.0)</f>
        <v>1</v>
      </c>
      <c r="U6989" s="4" t="str">
        <f>IFERROR(__xludf.DUMMYFUNCTION("""COMPUTED_VALUE"""),"Ncr")</f>
        <v>Ncr</v>
      </c>
      <c r="V6989" s="33">
        <f>IFERROR(__xludf.DUMMYFUNCTION("""COMPUTED_VALUE"""),1.0)</f>
        <v>1</v>
      </c>
      <c r="W6989" s="4" t="str">
        <f>IFERROR(__xludf.DUMMYFUNCTION("""COMPUTED_VALUE"""),"Ncr")</f>
        <v>Ncr</v>
      </c>
      <c r="X6989" s="33">
        <f>IFERROR(__xludf.DUMMYFUNCTION("""COMPUTED_VALUE"""),1.0)</f>
        <v>1</v>
      </c>
    </row>
    <row r="6990">
      <c r="K6990" s="4" t="str">
        <f>IFERROR(__xludf.DUMMYFUNCTION("""COMPUTED_VALUE"""),"FARMA 22 - CONTA MARCA")</f>
        <v>FARMA 22 - CONTA MARCA</v>
      </c>
      <c r="L6990" s="32">
        <f>IFERROR(__xludf.DUMMYFUNCTION("""COMPUTED_VALUE"""),2.0)</f>
        <v>2</v>
      </c>
      <c r="M6990" s="4" t="str">
        <f>IFERROR(__xludf.DUMMYFUNCTION("""COMPUTED_VALUE"""),"N/A (Not found)")</f>
        <v>N/A (Not found)</v>
      </c>
      <c r="N6990" s="33">
        <f>IFERROR(__xludf.DUMMYFUNCTION("""COMPUTED_VALUE"""),1.0)</f>
        <v>1</v>
      </c>
      <c r="O6990" s="4" t="str">
        <f>IFERROR(__xludf.DUMMYFUNCTION("""COMPUTED_VALUE"""),"N/A (Not found)")</f>
        <v>N/A (Not found)</v>
      </c>
      <c r="P6990" s="33">
        <f>IFERROR(__xludf.DUMMYFUNCTION("""COMPUTED_VALUE"""),1.0)</f>
        <v>1</v>
      </c>
      <c r="Q6990" s="4" t="str">
        <f>IFERROR(__xludf.DUMMYFUNCTION("""COMPUTED_VALUE"""),"null")</f>
        <v>null</v>
      </c>
      <c r="R6990" s="33">
        <f>IFERROR(__xludf.DUMMYFUNCTION("""COMPUTED_VALUE"""),1.0)</f>
        <v>1</v>
      </c>
      <c r="S6990" s="4" t="str">
        <f>IFERROR(__xludf.DUMMYFUNCTION("""COMPUTED_VALUE"""),"null")</f>
        <v>null</v>
      </c>
      <c r="T6990" s="33">
        <f>IFERROR(__xludf.DUMMYFUNCTION("""COMPUTED_VALUE"""),1.0)</f>
        <v>1</v>
      </c>
      <c r="U6990" s="4" t="str">
        <f>IFERROR(__xludf.DUMMYFUNCTION("""COMPUTED_VALUE"""),"null")</f>
        <v>null</v>
      </c>
      <c r="V6990" s="33">
        <f>IFERROR(__xludf.DUMMYFUNCTION("""COMPUTED_VALUE"""),1.0)</f>
        <v>1</v>
      </c>
      <c r="W6990" s="4" t="str">
        <f>IFERROR(__xludf.DUMMYFUNCTION("""COMPUTED_VALUE"""),"null")</f>
        <v>null</v>
      </c>
      <c r="X6990" s="33">
        <f>IFERROR(__xludf.DUMMYFUNCTION("""COMPUTED_VALUE"""),1.0)</f>
        <v>1</v>
      </c>
    </row>
    <row r="6991">
      <c r="K6991" s="4" t="str">
        <f>IFERROR(__xludf.DUMMYFUNCTION("""COMPUTED_VALUE"""),"FARMA D MARCA")</f>
        <v>FARMA D MARCA</v>
      </c>
      <c r="L6991" s="32">
        <f>IFERROR(__xludf.DUMMYFUNCTION("""COMPUTED_VALUE"""),2.0)</f>
        <v>2</v>
      </c>
      <c r="M6991" s="4" t="str">
        <f>IFERROR(__xludf.DUMMYFUNCTION("""COMPUTED_VALUE"""),"N/A (Not found)")</f>
        <v>N/A (Not found)</v>
      </c>
      <c r="N6991" s="33">
        <f>IFERROR(__xludf.DUMMYFUNCTION("""COMPUTED_VALUE"""),1.0)</f>
        <v>1</v>
      </c>
      <c r="O6991" s="4" t="str">
        <f>IFERROR(__xludf.DUMMYFUNCTION("""COMPUTED_VALUE"""),"N/A (Not found)")</f>
        <v>N/A (Not found)</v>
      </c>
      <c r="P6991" s="33">
        <f>IFERROR(__xludf.DUMMYFUNCTION("""COMPUTED_VALUE"""),0.5)</f>
        <v>0.5</v>
      </c>
      <c r="Q6991" s="4" t="str">
        <f>IFERROR(__xludf.DUMMYFUNCTION("""COMPUTED_VALUE"""),"N/A (Not found)")</f>
        <v>N/A (Not found)</v>
      </c>
      <c r="R6991" s="33">
        <f>IFERROR(__xludf.DUMMYFUNCTION("""COMPUTED_VALUE"""),0.5)</f>
        <v>0.5</v>
      </c>
      <c r="S6991" s="4" t="str">
        <f>IFERROR(__xludf.DUMMYFUNCTION("""COMPUTED_VALUE"""),"N/A (Not found)")</f>
        <v>N/A (Not found)</v>
      </c>
      <c r="T6991" s="33">
        <f>IFERROR(__xludf.DUMMYFUNCTION("""COMPUTED_VALUE"""),0.5)</f>
        <v>0.5</v>
      </c>
      <c r="U6991" s="4" t="str">
        <f>IFERROR(__xludf.DUMMYFUNCTION("""COMPUTED_VALUE"""),"N/A (Not found)")</f>
        <v>N/A (Not found)</v>
      </c>
      <c r="V6991" s="33">
        <f>IFERROR(__xludf.DUMMYFUNCTION("""COMPUTED_VALUE"""),1.0)</f>
        <v>1</v>
      </c>
      <c r="W6991" s="4" t="str">
        <f>IFERROR(__xludf.DUMMYFUNCTION("""COMPUTED_VALUE"""),"N/A (Not found)")</f>
        <v>N/A (Not found)</v>
      </c>
      <c r="X6991" s="33">
        <f>IFERROR(__xludf.DUMMYFUNCTION("""COMPUTED_VALUE"""),1.0)</f>
        <v>1</v>
      </c>
    </row>
    <row r="6992">
      <c r="K6992" s="4" t="str">
        <f>IFERROR(__xludf.DUMMYFUNCTION("""COMPUTED_VALUE"""),"FARMACIA BEM ESTAR - CONTA MARCA")</f>
        <v>FARMACIA BEM ESTAR - CONTA MARCA</v>
      </c>
      <c r="L6992" s="32">
        <f>IFERROR(__xludf.DUMMYFUNCTION("""COMPUTED_VALUE"""),2.0)</f>
        <v>2</v>
      </c>
      <c r="M6992" s="4" t="str">
        <f>IFERROR(__xludf.DUMMYFUNCTION("""COMPUTED_VALUE"""),"null")</f>
        <v>null</v>
      </c>
      <c r="N6992" s="33">
        <f>IFERROR(__xludf.DUMMYFUNCTION("""COMPUTED_VALUE"""),1.0)</f>
        <v>1</v>
      </c>
      <c r="O6992" s="4" t="str">
        <f>IFERROR(__xludf.DUMMYFUNCTION("""COMPUTED_VALUE"""),"N/A (Not found)")</f>
        <v>N/A (Not found)</v>
      </c>
      <c r="P6992" s="33">
        <f>IFERROR(__xludf.DUMMYFUNCTION("""COMPUTED_VALUE"""),0.5)</f>
        <v>0.5</v>
      </c>
      <c r="Q6992" s="4" t="str">
        <f>IFERROR(__xludf.DUMMYFUNCTION("""COMPUTED_VALUE"""),"N/A (Not found)")</f>
        <v>N/A (Not found)</v>
      </c>
      <c r="R6992" s="33">
        <f>IFERROR(__xludf.DUMMYFUNCTION("""COMPUTED_VALUE"""),0.5)</f>
        <v>0.5</v>
      </c>
      <c r="S6992" s="4" t="str">
        <f>IFERROR(__xludf.DUMMYFUNCTION("""COMPUTED_VALUE"""),"N/A (Not found)")</f>
        <v>N/A (Not found)</v>
      </c>
      <c r="T6992" s="33">
        <f>IFERROR(__xludf.DUMMYFUNCTION("""COMPUTED_VALUE"""),1.0)</f>
        <v>1</v>
      </c>
      <c r="U6992" s="4" t="str">
        <f>IFERROR(__xludf.DUMMYFUNCTION("""COMPUTED_VALUE"""),"N/A (Not found)")</f>
        <v>N/A (Not found)</v>
      </c>
      <c r="V6992" s="33">
        <f>IFERROR(__xludf.DUMMYFUNCTION("""COMPUTED_VALUE"""),1.0)</f>
        <v>1</v>
      </c>
      <c r="W6992" s="4" t="str">
        <f>IFERROR(__xludf.DUMMYFUNCTION("""COMPUTED_VALUE"""),"N/A (Not found)")</f>
        <v>N/A (Not found)</v>
      </c>
      <c r="X6992" s="33">
        <f>IFERROR(__xludf.DUMMYFUNCTION("""COMPUTED_VALUE"""),0.5)</f>
        <v>0.5</v>
      </c>
    </row>
    <row r="6993">
      <c r="K6993" s="4" t="str">
        <f>IFERROR(__xludf.DUMMYFUNCTION("""COMPUTED_VALUE"""),"FARMACIA DO TRABALHADOR IRMAOS PEREIRA CONTA MARCA")</f>
        <v>FARMACIA DO TRABALHADOR IRMAOS PEREIRA CONTA MARCA</v>
      </c>
      <c r="L6993" s="32">
        <f>IFERROR(__xludf.DUMMYFUNCTION("""COMPUTED_VALUE"""),2.0)</f>
        <v>2</v>
      </c>
      <c r="M6993" s="4" t="str">
        <f>IFERROR(__xludf.DUMMYFUNCTION("""COMPUTED_VALUE"""),"N/A (Not found)")</f>
        <v>N/A (Not found)</v>
      </c>
      <c r="N6993" s="33">
        <f>IFERROR(__xludf.DUMMYFUNCTION("""COMPUTED_VALUE"""),1.0)</f>
        <v>1</v>
      </c>
      <c r="O6993" s="4" t="str">
        <f>IFERROR(__xludf.DUMMYFUNCTION("""COMPUTED_VALUE"""),"N/A (Not found)")</f>
        <v>N/A (Not found)</v>
      </c>
      <c r="P6993" s="33">
        <f>IFERROR(__xludf.DUMMYFUNCTION("""COMPUTED_VALUE"""),1.0)</f>
        <v>1</v>
      </c>
      <c r="Q6993" s="4" t="str">
        <f>IFERROR(__xludf.DUMMYFUNCTION("""COMPUTED_VALUE"""),"N/A (Not found)")</f>
        <v>N/A (Not found)</v>
      </c>
      <c r="R6993" s="33">
        <f>IFERROR(__xludf.DUMMYFUNCTION("""COMPUTED_VALUE"""),1.0)</f>
        <v>1</v>
      </c>
      <c r="S6993" s="4" t="str">
        <f>IFERROR(__xludf.DUMMYFUNCTION("""COMPUTED_VALUE"""),"N/A (Not found)")</f>
        <v>N/A (Not found)</v>
      </c>
      <c r="T6993" s="33">
        <f>IFERROR(__xludf.DUMMYFUNCTION("""COMPUTED_VALUE"""),1.0)</f>
        <v>1</v>
      </c>
      <c r="U6993" s="4" t="str">
        <f>IFERROR(__xludf.DUMMYFUNCTION("""COMPUTED_VALUE"""),"N/A (Not found)")</f>
        <v>N/A (Not found)</v>
      </c>
      <c r="V6993" s="33">
        <f>IFERROR(__xludf.DUMMYFUNCTION("""COMPUTED_VALUE"""),1.0)</f>
        <v>1</v>
      </c>
      <c r="W6993" s="4" t="str">
        <f>IFERROR(__xludf.DUMMYFUNCTION("""COMPUTED_VALUE"""),"N/A (Not found)")</f>
        <v>N/A (Not found)</v>
      </c>
      <c r="X6993" s="33">
        <f>IFERROR(__xludf.DUMMYFUNCTION("""COMPUTED_VALUE"""),1.0)</f>
        <v>1</v>
      </c>
    </row>
    <row r="6994">
      <c r="K6994" s="4" t="str">
        <f>IFERROR(__xludf.DUMMYFUNCTION("""COMPUTED_VALUE"""),"FARMACIA PREMIUM - CONTA PAI")</f>
        <v>FARMACIA PREMIUM - CONTA PAI</v>
      </c>
      <c r="L6994" s="32">
        <f>IFERROR(__xludf.DUMMYFUNCTION("""COMPUTED_VALUE"""),2.0)</f>
        <v>2</v>
      </c>
      <c r="M6994" s="4" t="str">
        <f>IFERROR(__xludf.DUMMYFUNCTION("""COMPUTED_VALUE"""),"N/A (Not found)")</f>
        <v>N/A (Not found)</v>
      </c>
      <c r="N6994" s="33">
        <f>IFERROR(__xludf.DUMMYFUNCTION("""COMPUTED_VALUE"""),1.0)</f>
        <v>1</v>
      </c>
      <c r="O6994" s="4" t="str">
        <f>IFERROR(__xludf.DUMMYFUNCTION("""COMPUTED_VALUE"""),"N/A (Not found)")</f>
        <v>N/A (Not found)</v>
      </c>
      <c r="P6994" s="33">
        <f>IFERROR(__xludf.DUMMYFUNCTION("""COMPUTED_VALUE"""),1.0)</f>
        <v>1</v>
      </c>
      <c r="Q6994" s="4" t="str">
        <f>IFERROR(__xludf.DUMMYFUNCTION("""COMPUTED_VALUE"""),"N/A (Not found)")</f>
        <v>N/A (Not found)</v>
      </c>
      <c r="R6994" s="33">
        <f>IFERROR(__xludf.DUMMYFUNCTION("""COMPUTED_VALUE"""),1.0)</f>
        <v>1</v>
      </c>
      <c r="S6994" s="4" t="str">
        <f>IFERROR(__xludf.DUMMYFUNCTION("""COMPUTED_VALUE"""),"N/A (Not found)")</f>
        <v>N/A (Not found)</v>
      </c>
      <c r="T6994" s="33">
        <f>IFERROR(__xludf.DUMMYFUNCTION("""COMPUTED_VALUE"""),1.0)</f>
        <v>1</v>
      </c>
      <c r="U6994" s="4" t="str">
        <f>IFERROR(__xludf.DUMMYFUNCTION("""COMPUTED_VALUE"""),"N/A (Not found)")</f>
        <v>N/A (Not found)</v>
      </c>
      <c r="V6994" s="33">
        <f>IFERROR(__xludf.DUMMYFUNCTION("""COMPUTED_VALUE"""),1.0)</f>
        <v>1</v>
      </c>
      <c r="W6994" s="4" t="str">
        <f>IFERROR(__xludf.DUMMYFUNCTION("""COMPUTED_VALUE"""),"N/A (Not found)")</f>
        <v>N/A (Not found)</v>
      </c>
      <c r="X6994" s="33">
        <f>IFERROR(__xludf.DUMMYFUNCTION("""COMPUTED_VALUE"""),1.0)</f>
        <v>1</v>
      </c>
    </row>
    <row r="6995">
      <c r="K6995" s="4" t="str">
        <f>IFERROR(__xludf.DUMMYFUNCTION("""COMPUTED_VALUE"""),"FARMACIA ROSSA - CONTA MARCA")</f>
        <v>FARMACIA ROSSA - CONTA MARCA</v>
      </c>
      <c r="L6995" s="32">
        <f>IFERROR(__xludf.DUMMYFUNCTION("""COMPUTED_VALUE"""),2.0)</f>
        <v>2</v>
      </c>
      <c r="M6995" s="4" t="str">
        <f>IFERROR(__xludf.DUMMYFUNCTION("""COMPUTED_VALUE"""),"null")</f>
        <v>null</v>
      </c>
      <c r="N6995" s="33">
        <f>IFERROR(__xludf.DUMMYFUNCTION("""COMPUTED_VALUE"""),1.0)</f>
        <v>1</v>
      </c>
      <c r="O6995" s="4" t="str">
        <f>IFERROR(__xludf.DUMMYFUNCTION("""COMPUTED_VALUE"""),"null")</f>
        <v>null</v>
      </c>
      <c r="P6995" s="33">
        <f>IFERROR(__xludf.DUMMYFUNCTION("""COMPUTED_VALUE"""),1.0)</f>
        <v>1</v>
      </c>
      <c r="Q6995" s="4" t="str">
        <f>IFERROR(__xludf.DUMMYFUNCTION("""COMPUTED_VALUE"""),"null")</f>
        <v>null</v>
      </c>
      <c r="R6995" s="33">
        <f>IFERROR(__xludf.DUMMYFUNCTION("""COMPUTED_VALUE"""),1.0)</f>
        <v>1</v>
      </c>
      <c r="S6995" s="4" t="str">
        <f>IFERROR(__xludf.DUMMYFUNCTION("""COMPUTED_VALUE"""),"null")</f>
        <v>null</v>
      </c>
      <c r="T6995" s="33">
        <f>IFERROR(__xludf.DUMMYFUNCTION("""COMPUTED_VALUE"""),0.5)</f>
        <v>0.5</v>
      </c>
      <c r="U6995" s="4" t="str">
        <f>IFERROR(__xludf.DUMMYFUNCTION("""COMPUTED_VALUE"""),"null")</f>
        <v>null</v>
      </c>
      <c r="V6995" s="33">
        <f>IFERROR(__xludf.DUMMYFUNCTION("""COMPUTED_VALUE"""),1.0)</f>
        <v>1</v>
      </c>
      <c r="W6995" s="4" t="str">
        <f>IFERROR(__xludf.DUMMYFUNCTION("""COMPUTED_VALUE"""),"N/A (Not found)")</f>
        <v>N/A (Not found)</v>
      </c>
      <c r="X6995" s="33">
        <f>IFERROR(__xludf.DUMMYFUNCTION("""COMPUTED_VALUE"""),0.5)</f>
        <v>0.5</v>
      </c>
    </row>
    <row r="6996">
      <c r="K6996" s="4" t="str">
        <f>IFERROR(__xludf.DUMMYFUNCTION("""COMPUTED_VALUE"""),"FARMACIA SANTA TEREZINHA - REDE MELHOR COMPRA - CONTA MARCA")</f>
        <v>FARMACIA SANTA TEREZINHA - REDE MELHOR COMPRA - CONTA MARCA</v>
      </c>
      <c r="L6996" s="32">
        <f>IFERROR(__xludf.DUMMYFUNCTION("""COMPUTED_VALUE"""),2.0)</f>
        <v>2</v>
      </c>
      <c r="M6996" s="4" t="str">
        <f>IFERROR(__xludf.DUMMYFUNCTION("""COMPUTED_VALUE"""),"null")</f>
        <v>null</v>
      </c>
      <c r="N6996" s="33">
        <f>IFERROR(__xludf.DUMMYFUNCTION("""COMPUTED_VALUE"""),0.5)</f>
        <v>0.5</v>
      </c>
      <c r="O6996" s="4" t="str">
        <f>IFERROR(__xludf.DUMMYFUNCTION("""COMPUTED_VALUE"""),"null")</f>
        <v>null</v>
      </c>
      <c r="P6996" s="33">
        <f>IFERROR(__xludf.DUMMYFUNCTION("""COMPUTED_VALUE"""),0.5)</f>
        <v>0.5</v>
      </c>
      <c r="Q6996" s="4" t="str">
        <f>IFERROR(__xludf.DUMMYFUNCTION("""COMPUTED_VALUE"""),"N/A (Not found)")</f>
        <v>N/A (Not found)</v>
      </c>
      <c r="R6996" s="33">
        <f>IFERROR(__xludf.DUMMYFUNCTION("""COMPUTED_VALUE"""),1.0)</f>
        <v>1</v>
      </c>
      <c r="S6996" s="4" t="str">
        <f>IFERROR(__xludf.DUMMYFUNCTION("""COMPUTED_VALUE"""),"N/A (Not found)")</f>
        <v>N/A (Not found)</v>
      </c>
      <c r="T6996" s="33">
        <f>IFERROR(__xludf.DUMMYFUNCTION("""COMPUTED_VALUE"""),1.0)</f>
        <v>1</v>
      </c>
      <c r="U6996" s="4" t="str">
        <f>IFERROR(__xludf.DUMMYFUNCTION("""COMPUTED_VALUE"""),"N/A (Not found)")</f>
        <v>N/A (Not found)</v>
      </c>
      <c r="V6996" s="33">
        <f>IFERROR(__xludf.DUMMYFUNCTION("""COMPUTED_VALUE"""),1.0)</f>
        <v>1</v>
      </c>
      <c r="W6996" s="4" t="str">
        <f>IFERROR(__xludf.DUMMYFUNCTION("""COMPUTED_VALUE"""),"N/A (Not found)")</f>
        <v>N/A (Not found)</v>
      </c>
      <c r="X6996" s="33">
        <f>IFERROR(__xludf.DUMMYFUNCTION("""COMPUTED_VALUE"""),1.0)</f>
        <v>1</v>
      </c>
    </row>
    <row r="6997">
      <c r="K6997" s="4" t="str">
        <f>IFERROR(__xludf.DUMMYFUNCTION("""COMPUTED_VALUE"""),"FARMACIA SAUDE E BELEZA - CONTA MARCA")</f>
        <v>FARMACIA SAUDE E BELEZA - CONTA MARCA</v>
      </c>
      <c r="L6997" s="32">
        <f>IFERROR(__xludf.DUMMYFUNCTION("""COMPUTED_VALUE"""),2.0)</f>
        <v>2</v>
      </c>
      <c r="M6997" s="4" t="str">
        <f>IFERROR(__xludf.DUMMYFUNCTION("""COMPUTED_VALUE"""),"N/A (Not found)")</f>
        <v>N/A (Not found)</v>
      </c>
      <c r="N6997" s="33">
        <f>IFERROR(__xludf.DUMMYFUNCTION("""COMPUTED_VALUE"""),1.0)</f>
        <v>1</v>
      </c>
      <c r="O6997" s="4" t="str">
        <f>IFERROR(__xludf.DUMMYFUNCTION("""COMPUTED_VALUE"""),"N/A (Not found)")</f>
        <v>N/A (Not found)</v>
      </c>
      <c r="P6997" s="33">
        <f>IFERROR(__xludf.DUMMYFUNCTION("""COMPUTED_VALUE"""),1.0)</f>
        <v>1</v>
      </c>
      <c r="Q6997" s="4" t="str">
        <f>IFERROR(__xludf.DUMMYFUNCTION("""COMPUTED_VALUE"""),"N/A (Not found)")</f>
        <v>N/A (Not found)</v>
      </c>
      <c r="R6997" s="33">
        <f>IFERROR(__xludf.DUMMYFUNCTION("""COMPUTED_VALUE"""),1.0)</f>
        <v>1</v>
      </c>
      <c r="S6997" s="4" t="str">
        <f>IFERROR(__xludf.DUMMYFUNCTION("""COMPUTED_VALUE"""),"N/A (Not found)")</f>
        <v>N/A (Not found)</v>
      </c>
      <c r="T6997" s="33">
        <f>IFERROR(__xludf.DUMMYFUNCTION("""COMPUTED_VALUE"""),1.0)</f>
        <v>1</v>
      </c>
      <c r="U6997" s="4" t="str">
        <f>IFERROR(__xludf.DUMMYFUNCTION("""COMPUTED_VALUE"""),"N/A (Not found)")</f>
        <v>N/A (Not found)</v>
      </c>
      <c r="V6997" s="33">
        <f>IFERROR(__xludf.DUMMYFUNCTION("""COMPUTED_VALUE"""),1.0)</f>
        <v>1</v>
      </c>
      <c r="W6997" s="4" t="str">
        <f>IFERROR(__xludf.DUMMYFUNCTION("""COMPUTED_VALUE"""),"N/A (Not found)")</f>
        <v>N/A (Not found)</v>
      </c>
      <c r="X6997" s="33">
        <f>IFERROR(__xludf.DUMMYFUNCTION("""COMPUTED_VALUE"""),1.0)</f>
        <v>1</v>
      </c>
    </row>
    <row r="6998">
      <c r="K6998" s="4" t="str">
        <f>IFERROR(__xludf.DUMMYFUNCTION("""COMPUTED_VALUE"""),"FARMACIAS MARCFARMA - CONTA MARCA")</f>
        <v>FARMACIAS MARCFARMA - CONTA MARCA</v>
      </c>
      <c r="L6998" s="32">
        <f>IFERROR(__xludf.DUMMYFUNCTION("""COMPUTED_VALUE"""),2.0)</f>
        <v>2</v>
      </c>
      <c r="M6998" s="4" t="str">
        <f>IFERROR(__xludf.DUMMYFUNCTION("""COMPUTED_VALUE"""),"N/A (Not found)")</f>
        <v>N/A (Not found)</v>
      </c>
      <c r="N6998" s="33">
        <f>IFERROR(__xludf.DUMMYFUNCTION("""COMPUTED_VALUE"""),0.5)</f>
        <v>0.5</v>
      </c>
      <c r="O6998" s="4" t="str">
        <f>IFERROR(__xludf.DUMMYFUNCTION("""COMPUTED_VALUE"""),"N/A (Not found)")</f>
        <v>N/A (Not found)</v>
      </c>
      <c r="P6998" s="33">
        <f>IFERROR(__xludf.DUMMYFUNCTION("""COMPUTED_VALUE"""),1.0)</f>
        <v>1</v>
      </c>
      <c r="Q6998" s="4" t="str">
        <f>IFERROR(__xludf.DUMMYFUNCTION("""COMPUTED_VALUE"""),"N/A (Not found)")</f>
        <v>N/A (Not found)</v>
      </c>
      <c r="R6998" s="33">
        <f>IFERROR(__xludf.DUMMYFUNCTION("""COMPUTED_VALUE"""),1.0)</f>
        <v>1</v>
      </c>
      <c r="S6998" s="4" t="str">
        <f>IFERROR(__xludf.DUMMYFUNCTION("""COMPUTED_VALUE"""),"N/A (Not found)")</f>
        <v>N/A (Not found)</v>
      </c>
      <c r="T6998" s="33">
        <f>IFERROR(__xludf.DUMMYFUNCTION("""COMPUTED_VALUE"""),1.0)</f>
        <v>1</v>
      </c>
      <c r="U6998" s="4" t="str">
        <f>IFERROR(__xludf.DUMMYFUNCTION("""COMPUTED_VALUE"""),"N/A (Not found)")</f>
        <v>N/A (Not found)</v>
      </c>
      <c r="V6998" s="33">
        <f>IFERROR(__xludf.DUMMYFUNCTION("""COMPUTED_VALUE"""),1.0)</f>
        <v>1</v>
      </c>
      <c r="W6998" s="4" t="str">
        <f>IFERROR(__xludf.DUMMYFUNCTION("""COMPUTED_VALUE"""),"N/A (Not found)")</f>
        <v>N/A (Not found)</v>
      </c>
      <c r="X6998" s="33">
        <f>IFERROR(__xludf.DUMMYFUNCTION("""COMPUTED_VALUE"""),1.0)</f>
        <v>1</v>
      </c>
    </row>
    <row r="6999">
      <c r="K6999" s="4" t="str">
        <f>IFERROR(__xludf.DUMMYFUNCTION("""COMPUTED_VALUE"""),"FARMAMED - CONTA PAI")</f>
        <v>FARMAMED - CONTA PAI</v>
      </c>
      <c r="L6999" s="32">
        <f>IFERROR(__xludf.DUMMYFUNCTION("""COMPUTED_VALUE"""),2.0)</f>
        <v>2</v>
      </c>
      <c r="M6999" s="4" t="str">
        <f>IFERROR(__xludf.DUMMYFUNCTION("""COMPUTED_VALUE"""),"N/A (Not found)")</f>
        <v>N/A (Not found)</v>
      </c>
      <c r="N6999" s="33">
        <f>IFERROR(__xludf.DUMMYFUNCTION("""COMPUTED_VALUE"""),1.0)</f>
        <v>1</v>
      </c>
      <c r="O6999" s="4" t="str">
        <f>IFERROR(__xludf.DUMMYFUNCTION("""COMPUTED_VALUE"""),"N/A (Not found)")</f>
        <v>N/A (Not found)</v>
      </c>
      <c r="P6999" s="33">
        <f>IFERROR(__xludf.DUMMYFUNCTION("""COMPUTED_VALUE"""),1.0)</f>
        <v>1</v>
      </c>
      <c r="Q6999" s="4" t="str">
        <f>IFERROR(__xludf.DUMMYFUNCTION("""COMPUTED_VALUE"""),"N/A (Not found)")</f>
        <v>N/A (Not found)</v>
      </c>
      <c r="R6999" s="33">
        <f>IFERROR(__xludf.DUMMYFUNCTION("""COMPUTED_VALUE"""),1.0)</f>
        <v>1</v>
      </c>
      <c r="S6999" s="4" t="str">
        <f>IFERROR(__xludf.DUMMYFUNCTION("""COMPUTED_VALUE"""),"N/A (Not found)")</f>
        <v>N/A (Not found)</v>
      </c>
      <c r="T6999" s="33">
        <f>IFERROR(__xludf.DUMMYFUNCTION("""COMPUTED_VALUE"""),1.0)</f>
        <v>1</v>
      </c>
      <c r="U6999" s="4" t="str">
        <f>IFERROR(__xludf.DUMMYFUNCTION("""COMPUTED_VALUE"""),"N/A (Not found)")</f>
        <v>N/A (Not found)</v>
      </c>
      <c r="V6999" s="33">
        <f>IFERROR(__xludf.DUMMYFUNCTION("""COMPUTED_VALUE"""),1.0)</f>
        <v>1</v>
      </c>
      <c r="W6999" s="4" t="str">
        <f>IFERROR(__xludf.DUMMYFUNCTION("""COMPUTED_VALUE"""),"N/A (Not found)")</f>
        <v>N/A (Not found)</v>
      </c>
      <c r="X6999" s="33">
        <f>IFERROR(__xludf.DUMMYFUNCTION("""COMPUTED_VALUE"""),1.0)</f>
        <v>1</v>
      </c>
    </row>
    <row r="7000">
      <c r="K7000" s="4" t="str">
        <f>IFERROR(__xludf.DUMMYFUNCTION("""COMPUTED_VALUE"""),"FARMAZEM - CONTA MARCA")</f>
        <v>FARMAZEM - CONTA MARCA</v>
      </c>
      <c r="L7000" s="32">
        <f>IFERROR(__xludf.DUMMYFUNCTION("""COMPUTED_VALUE"""),2.0)</f>
        <v>2</v>
      </c>
      <c r="M7000" s="4" t="str">
        <f>IFERROR(__xludf.DUMMYFUNCTION("""COMPUTED_VALUE"""),"null")</f>
        <v>null</v>
      </c>
      <c r="N7000" s="33">
        <f>IFERROR(__xludf.DUMMYFUNCTION("""COMPUTED_VALUE"""),1.0)</f>
        <v>1</v>
      </c>
      <c r="O7000" s="4" t="str">
        <f>IFERROR(__xludf.DUMMYFUNCTION("""COMPUTED_VALUE"""),"null")</f>
        <v>null</v>
      </c>
      <c r="P7000" s="33">
        <f>IFERROR(__xludf.DUMMYFUNCTION("""COMPUTED_VALUE"""),1.0)</f>
        <v>1</v>
      </c>
      <c r="Q7000" s="4" t="str">
        <f>IFERROR(__xludf.DUMMYFUNCTION("""COMPUTED_VALUE"""),"null")</f>
        <v>null</v>
      </c>
      <c r="R7000" s="33">
        <f>IFERROR(__xludf.DUMMYFUNCTION("""COMPUTED_VALUE"""),1.0)</f>
        <v>1</v>
      </c>
      <c r="S7000" s="4" t="str">
        <f>IFERROR(__xludf.DUMMYFUNCTION("""COMPUTED_VALUE"""),"N/A (Not found)")</f>
        <v>N/A (Not found)</v>
      </c>
      <c r="T7000" s="33">
        <f>IFERROR(__xludf.DUMMYFUNCTION("""COMPUTED_VALUE"""),0.5)</f>
        <v>0.5</v>
      </c>
      <c r="U7000" s="4" t="str">
        <f>IFERROR(__xludf.DUMMYFUNCTION("""COMPUTED_VALUE"""),"N/A (Not found)")</f>
        <v>N/A (Not found)</v>
      </c>
      <c r="V7000" s="33">
        <f>IFERROR(__xludf.DUMMYFUNCTION("""COMPUTED_VALUE"""),1.0)</f>
        <v>1</v>
      </c>
      <c r="W7000" s="4" t="str">
        <f>IFERROR(__xludf.DUMMYFUNCTION("""COMPUTED_VALUE"""),"N/A (Not found)")</f>
        <v>N/A (Not found)</v>
      </c>
      <c r="X7000" s="33">
        <f>IFERROR(__xludf.DUMMYFUNCTION("""COMPUTED_VALUE"""),1.0)</f>
        <v>1</v>
      </c>
    </row>
    <row r="7001">
      <c r="K7001" s="4" t="str">
        <f>IFERROR(__xludf.DUMMYFUNCTION("""COMPUTED_VALUE"""),"FARMELHOR - CACHOEIRINHA - CONTA MARCA")</f>
        <v>FARMELHOR - CACHOEIRINHA - CONTA MARCA</v>
      </c>
      <c r="L7001" s="32">
        <f>IFERROR(__xludf.DUMMYFUNCTION("""COMPUTED_VALUE"""),2.0)</f>
        <v>2</v>
      </c>
      <c r="M7001" s="4" t="str">
        <f>IFERROR(__xludf.DUMMYFUNCTION("""COMPUTED_VALUE"""),"N/A (Not found)")</f>
        <v>N/A (Not found)</v>
      </c>
      <c r="N7001" s="33">
        <f>IFERROR(__xludf.DUMMYFUNCTION("""COMPUTED_VALUE"""),1.0)</f>
        <v>1</v>
      </c>
      <c r="O7001" s="4" t="str">
        <f>IFERROR(__xludf.DUMMYFUNCTION("""COMPUTED_VALUE"""),"N/A (Not found)")</f>
        <v>N/A (Not found)</v>
      </c>
      <c r="P7001" s="33">
        <f>IFERROR(__xludf.DUMMYFUNCTION("""COMPUTED_VALUE"""),1.0)</f>
        <v>1</v>
      </c>
      <c r="Q7001" s="4" t="str">
        <f>IFERROR(__xludf.DUMMYFUNCTION("""COMPUTED_VALUE"""),"null")</f>
        <v>null</v>
      </c>
      <c r="R7001" s="33">
        <f>IFERROR(__xludf.DUMMYFUNCTION("""COMPUTED_VALUE"""),0.5)</f>
        <v>0.5</v>
      </c>
      <c r="S7001" s="4" t="str">
        <f>IFERROR(__xludf.DUMMYFUNCTION("""COMPUTED_VALUE"""),"null")</f>
        <v>null</v>
      </c>
      <c r="T7001" s="33">
        <f>IFERROR(__xludf.DUMMYFUNCTION("""COMPUTED_VALUE"""),0.5)</f>
        <v>0.5</v>
      </c>
      <c r="U7001" s="4" t="str">
        <f>IFERROR(__xludf.DUMMYFUNCTION("""COMPUTED_VALUE"""),"null")</f>
        <v>null</v>
      </c>
      <c r="V7001" s="33">
        <f>IFERROR(__xludf.DUMMYFUNCTION("""COMPUTED_VALUE"""),0.5)</f>
        <v>0.5</v>
      </c>
      <c r="W7001" s="4" t="str">
        <f>IFERROR(__xludf.DUMMYFUNCTION("""COMPUTED_VALUE"""),"null")</f>
        <v>null</v>
      </c>
      <c r="X7001" s="33">
        <f>IFERROR(__xludf.DUMMYFUNCTION("""COMPUTED_VALUE"""),0.5)</f>
        <v>0.5</v>
      </c>
    </row>
    <row r="7002">
      <c r="K7002" s="4" t="str">
        <f>IFERROR(__xludf.DUMMYFUNCTION("""COMPUTED_VALUE"""),"FARMELHOR - ITANHAEM - LOJAS DOBOS - CONTA MARCA")</f>
        <v>FARMELHOR - ITANHAEM - LOJAS DOBOS - CONTA MARCA</v>
      </c>
      <c r="L7002" s="32">
        <f>IFERROR(__xludf.DUMMYFUNCTION("""COMPUTED_VALUE"""),2.0)</f>
        <v>2</v>
      </c>
      <c r="M7002" s="4" t="str">
        <f>IFERROR(__xludf.DUMMYFUNCTION("""COMPUTED_VALUE"""),"N/A (Not found)")</f>
        <v>N/A (Not found)</v>
      </c>
      <c r="N7002" s="33">
        <f>IFERROR(__xludf.DUMMYFUNCTION("""COMPUTED_VALUE"""),1.0)</f>
        <v>1</v>
      </c>
      <c r="O7002" s="4" t="str">
        <f>IFERROR(__xludf.DUMMYFUNCTION("""COMPUTED_VALUE"""),"N/A (Not found)")</f>
        <v>N/A (Not found)</v>
      </c>
      <c r="P7002" s="33">
        <f>IFERROR(__xludf.DUMMYFUNCTION("""COMPUTED_VALUE"""),1.0)</f>
        <v>1</v>
      </c>
      <c r="Q7002" s="4" t="str">
        <f>IFERROR(__xludf.DUMMYFUNCTION("""COMPUTED_VALUE"""),"N/A (Not found)")</f>
        <v>N/A (Not found)</v>
      </c>
      <c r="R7002" s="33">
        <f>IFERROR(__xludf.DUMMYFUNCTION("""COMPUTED_VALUE"""),1.0)</f>
        <v>1</v>
      </c>
      <c r="S7002" s="4" t="str">
        <f>IFERROR(__xludf.DUMMYFUNCTION("""COMPUTED_VALUE"""),"N/A (Not found)")</f>
        <v>N/A (Not found)</v>
      </c>
      <c r="T7002" s="33">
        <f>IFERROR(__xludf.DUMMYFUNCTION("""COMPUTED_VALUE"""),1.0)</f>
        <v>1</v>
      </c>
      <c r="U7002" s="4" t="str">
        <f>IFERROR(__xludf.DUMMYFUNCTION("""COMPUTED_VALUE"""),"N/A (Not found)")</f>
        <v>N/A (Not found)</v>
      </c>
      <c r="V7002" s="33">
        <f>IFERROR(__xludf.DUMMYFUNCTION("""COMPUTED_VALUE"""),1.0)</f>
        <v>1</v>
      </c>
      <c r="W7002" s="4" t="str">
        <f>IFERROR(__xludf.DUMMYFUNCTION("""COMPUTED_VALUE"""),"N/A (Not found)")</f>
        <v>N/A (Not found)</v>
      </c>
      <c r="X7002" s="33">
        <f>IFERROR(__xludf.DUMMYFUNCTION("""COMPUTED_VALUE"""),1.0)</f>
        <v>1</v>
      </c>
    </row>
    <row r="7003">
      <c r="K7003" s="4" t="str">
        <f>IFERROR(__xludf.DUMMYFUNCTION("""COMPUTED_VALUE"""),"GRUPO FATZ - CONTA GRUPO")</f>
        <v>GRUPO FATZ - CONTA GRUPO</v>
      </c>
      <c r="L7003" s="32">
        <f>IFERROR(__xludf.DUMMYFUNCTION("""COMPUTED_VALUE"""),2.0)</f>
        <v>2</v>
      </c>
      <c r="M7003" s="4" t="str">
        <f>IFERROR(__xludf.DUMMYFUNCTION("""COMPUTED_VALUE"""),"null")</f>
        <v>null</v>
      </c>
      <c r="N7003" s="33">
        <f>IFERROR(__xludf.DUMMYFUNCTION("""COMPUTED_VALUE"""),1.0)</f>
        <v>1</v>
      </c>
      <c r="O7003" s="4" t="str">
        <f>IFERROR(__xludf.DUMMYFUNCTION("""COMPUTED_VALUE"""),"null")</f>
        <v>null</v>
      </c>
      <c r="P7003" s="33">
        <f>IFERROR(__xludf.DUMMYFUNCTION("""COMPUTED_VALUE"""),1.0)</f>
        <v>1</v>
      </c>
      <c r="Q7003" s="4" t="str">
        <f>IFERROR(__xludf.DUMMYFUNCTION("""COMPUTED_VALUE"""),"null")</f>
        <v>null</v>
      </c>
      <c r="R7003" s="33">
        <f>IFERROR(__xludf.DUMMYFUNCTION("""COMPUTED_VALUE"""),1.0)</f>
        <v>1</v>
      </c>
      <c r="S7003" s="4" t="str">
        <f>IFERROR(__xludf.DUMMYFUNCTION("""COMPUTED_VALUE"""),"null")</f>
        <v>null</v>
      </c>
      <c r="T7003" s="33">
        <f>IFERROR(__xludf.DUMMYFUNCTION("""COMPUTED_VALUE"""),1.0)</f>
        <v>1</v>
      </c>
      <c r="U7003" s="4" t="str">
        <f>IFERROR(__xludf.DUMMYFUNCTION("""COMPUTED_VALUE"""),"null")</f>
        <v>null</v>
      </c>
      <c r="V7003" s="33">
        <f>IFERROR(__xludf.DUMMYFUNCTION("""COMPUTED_VALUE"""),0.5)</f>
        <v>0.5</v>
      </c>
      <c r="W7003" s="4" t="str">
        <f>IFERROR(__xludf.DUMMYFUNCTION("""COMPUTED_VALUE"""),"Ncr")</f>
        <v>Ncr</v>
      </c>
      <c r="X7003" s="33">
        <f>IFERROR(__xludf.DUMMYFUNCTION("""COMPUTED_VALUE"""),1.0)</f>
        <v>1</v>
      </c>
    </row>
    <row r="7004">
      <c r="K7004" s="4" t="str">
        <f>IFERROR(__xludf.DUMMYFUNCTION("""COMPUTED_VALUE"""),"FAUSTO E MANOEL")</f>
        <v>FAUSTO E MANOEL</v>
      </c>
      <c r="L7004" s="32">
        <f>IFERROR(__xludf.DUMMYFUNCTION("""COMPUTED_VALUE"""),2.0)</f>
        <v>2</v>
      </c>
      <c r="M7004" s="4" t="str">
        <f>IFERROR(__xludf.DUMMYFUNCTION("""COMPUTED_VALUE"""),"Ncr")</f>
        <v>Ncr</v>
      </c>
      <c r="N7004" s="33">
        <f>IFERROR(__xludf.DUMMYFUNCTION("""COMPUTED_VALUE"""),1.0)</f>
        <v>1</v>
      </c>
      <c r="O7004" s="4" t="str">
        <f>IFERROR(__xludf.DUMMYFUNCTION("""COMPUTED_VALUE"""),"Ncr")</f>
        <v>Ncr</v>
      </c>
      <c r="P7004" s="33">
        <f>IFERROR(__xludf.DUMMYFUNCTION("""COMPUTED_VALUE"""),1.0)</f>
        <v>1</v>
      </c>
      <c r="Q7004" s="4" t="str">
        <f>IFERROR(__xludf.DUMMYFUNCTION("""COMPUTED_VALUE"""),"Ncr")</f>
        <v>Ncr</v>
      </c>
      <c r="R7004" s="33">
        <f>IFERROR(__xludf.DUMMYFUNCTION("""COMPUTED_VALUE"""),1.0)</f>
        <v>1</v>
      </c>
      <c r="S7004" s="4" t="str">
        <f>IFERROR(__xludf.DUMMYFUNCTION("""COMPUTED_VALUE"""),"Ncr")</f>
        <v>Ncr</v>
      </c>
      <c r="T7004" s="33">
        <f>IFERROR(__xludf.DUMMYFUNCTION("""COMPUTED_VALUE"""),1.0)</f>
        <v>1</v>
      </c>
      <c r="U7004" s="4" t="str">
        <f>IFERROR(__xludf.DUMMYFUNCTION("""COMPUTED_VALUE"""),"Ncr")</f>
        <v>Ncr</v>
      </c>
      <c r="V7004" s="33">
        <f>IFERROR(__xludf.DUMMYFUNCTION("""COMPUTED_VALUE"""),1.0)</f>
        <v>1</v>
      </c>
      <c r="W7004" s="4" t="str">
        <f>IFERROR(__xludf.DUMMYFUNCTION("""COMPUTED_VALUE"""),"Ncr")</f>
        <v>Ncr</v>
      </c>
      <c r="X7004" s="33">
        <f>IFERROR(__xludf.DUMMYFUNCTION("""COMPUTED_VALUE"""),1.0)</f>
        <v>1</v>
      </c>
    </row>
    <row r="7005">
      <c r="K7005" s="4" t="str">
        <f>IFERROR(__xludf.DUMMYFUNCTION("""COMPUTED_VALUE"""),"FAVERI CARNES CIA")</f>
        <v>FAVERI CARNES CIA</v>
      </c>
      <c r="L7005" s="32">
        <f>IFERROR(__xludf.DUMMYFUNCTION("""COMPUTED_VALUE"""),2.0)</f>
        <v>2</v>
      </c>
      <c r="M7005" s="4" t="str">
        <f>IFERROR(__xludf.DUMMYFUNCTION("""COMPUTED_VALUE"""),"Saipos Serviços De Software")</f>
        <v>Saipos Serviços De Software</v>
      </c>
      <c r="N7005" s="33">
        <f>IFERROR(__xludf.DUMMYFUNCTION("""COMPUTED_VALUE"""),1.0)</f>
        <v>1</v>
      </c>
      <c r="O7005" s="4" t="str">
        <f>IFERROR(__xludf.DUMMYFUNCTION("""COMPUTED_VALUE"""),"Saipos Serviços De Software")</f>
        <v>Saipos Serviços De Software</v>
      </c>
      <c r="P7005" s="33">
        <f>IFERROR(__xludf.DUMMYFUNCTION("""COMPUTED_VALUE"""),1.0)</f>
        <v>1</v>
      </c>
      <c r="Q7005" s="4" t="str">
        <f>IFERROR(__xludf.DUMMYFUNCTION("""COMPUTED_VALUE"""),"Saipos Serviços De Software")</f>
        <v>Saipos Serviços De Software</v>
      </c>
      <c r="R7005" s="33">
        <f>IFERROR(__xludf.DUMMYFUNCTION("""COMPUTED_VALUE"""),1.0)</f>
        <v>1</v>
      </c>
      <c r="S7005" s="4" t="str">
        <f>IFERROR(__xludf.DUMMYFUNCTION("""COMPUTED_VALUE"""),"Saipos Serviços De Software")</f>
        <v>Saipos Serviços De Software</v>
      </c>
      <c r="T7005" s="33">
        <f>IFERROR(__xludf.DUMMYFUNCTION("""COMPUTED_VALUE"""),1.0)</f>
        <v>1</v>
      </c>
      <c r="U7005" s="4" t="str">
        <f>IFERROR(__xludf.DUMMYFUNCTION("""COMPUTED_VALUE"""),"Saipos Serviços De Software")</f>
        <v>Saipos Serviços De Software</v>
      </c>
      <c r="V7005" s="33">
        <f>IFERROR(__xludf.DUMMYFUNCTION("""COMPUTED_VALUE"""),1.0)</f>
        <v>1</v>
      </c>
      <c r="W7005" s="4" t="str">
        <f>IFERROR(__xludf.DUMMYFUNCTION("""COMPUTED_VALUE"""),"Saipos Serviços De Software")</f>
        <v>Saipos Serviços De Software</v>
      </c>
      <c r="X7005" s="33">
        <f>IFERROR(__xludf.DUMMYFUNCTION("""COMPUTED_VALUE"""),1.0)</f>
        <v>1</v>
      </c>
    </row>
    <row r="7006">
      <c r="K7006" s="4" t="str">
        <f>IFERROR(__xludf.DUMMYFUNCTION("""COMPUTED_VALUE"""),"FAVO DE MEL - CONTA MARCA")</f>
        <v>FAVO DE MEL - CONTA MARCA</v>
      </c>
      <c r="L7006" s="32">
        <f>IFERROR(__xludf.DUMMYFUNCTION("""COMPUTED_VALUE"""),2.0)</f>
        <v>2</v>
      </c>
      <c r="M7006" s="4" t="str">
        <f>IFERROR(__xludf.DUMMYFUNCTION("""COMPUTED_VALUE"""),"Jaxtech")</f>
        <v>Jaxtech</v>
      </c>
      <c r="N7006" s="33">
        <f>IFERROR(__xludf.DUMMYFUNCTION("""COMPUTED_VALUE"""),1.0)</f>
        <v>1</v>
      </c>
      <c r="O7006" s="4" t="str">
        <f>IFERROR(__xludf.DUMMYFUNCTION("""COMPUTED_VALUE"""),"Jaxtech")</f>
        <v>Jaxtech</v>
      </c>
      <c r="P7006" s="33">
        <f>IFERROR(__xludf.DUMMYFUNCTION("""COMPUTED_VALUE"""),0.5)</f>
        <v>0.5</v>
      </c>
      <c r="Q7006" s="4" t="str">
        <f>IFERROR(__xludf.DUMMYFUNCTION("""COMPUTED_VALUE"""),"Jaxtech")</f>
        <v>Jaxtech</v>
      </c>
      <c r="R7006" s="33">
        <f>IFERROR(__xludf.DUMMYFUNCTION("""COMPUTED_VALUE"""),0.5)</f>
        <v>0.5</v>
      </c>
      <c r="S7006" s="4" t="str">
        <f>IFERROR(__xludf.DUMMYFUNCTION("""COMPUTED_VALUE"""),"Jaxtech")</f>
        <v>Jaxtech</v>
      </c>
      <c r="T7006" s="33">
        <f>IFERROR(__xludf.DUMMYFUNCTION("""COMPUTED_VALUE"""),0.5)</f>
        <v>0.5</v>
      </c>
      <c r="U7006" s="4" t="str">
        <f>IFERROR(__xludf.DUMMYFUNCTION("""COMPUTED_VALUE"""),"Jaxtech")</f>
        <v>Jaxtech</v>
      </c>
      <c r="V7006" s="33">
        <f>IFERROR(__xludf.DUMMYFUNCTION("""COMPUTED_VALUE"""),1.0)</f>
        <v>1</v>
      </c>
      <c r="W7006" s="4" t="str">
        <f>IFERROR(__xludf.DUMMYFUNCTION("""COMPUTED_VALUE"""),"Jaxtech")</f>
        <v>Jaxtech</v>
      </c>
      <c r="X7006" s="33">
        <f>IFERROR(__xludf.DUMMYFUNCTION("""COMPUTED_VALUE"""),1.0)</f>
        <v>1</v>
      </c>
    </row>
    <row r="7007">
      <c r="K7007" s="4" t="str">
        <f>IFERROR(__xludf.DUMMYFUNCTION("""COMPUTED_VALUE"""),"FAVORITO")</f>
        <v>FAVORITO</v>
      </c>
      <c r="L7007" s="32">
        <f>IFERROR(__xludf.DUMMYFUNCTION("""COMPUTED_VALUE"""),2.0)</f>
        <v>2</v>
      </c>
      <c r="M7007" s="4" t="str">
        <f>IFERROR(__xludf.DUMMYFUNCTION("""COMPUTED_VALUE"""),"Cooknet Automacao Comercial")</f>
        <v>Cooknet Automacao Comercial</v>
      </c>
      <c r="N7007" s="33">
        <f>IFERROR(__xludf.DUMMYFUNCTION("""COMPUTED_VALUE"""),1.0)</f>
        <v>1</v>
      </c>
      <c r="O7007" s="4" t="str">
        <f>IFERROR(__xludf.DUMMYFUNCTION("""COMPUTED_VALUE"""),"Cooknet Automacao Comercial")</f>
        <v>Cooknet Automacao Comercial</v>
      </c>
      <c r="P7007" s="33">
        <f>IFERROR(__xludf.DUMMYFUNCTION("""COMPUTED_VALUE"""),1.0)</f>
        <v>1</v>
      </c>
      <c r="Q7007" s="4" t="str">
        <f>IFERROR(__xludf.DUMMYFUNCTION("""COMPUTED_VALUE"""),"Cooknet Automacao Comercial")</f>
        <v>Cooknet Automacao Comercial</v>
      </c>
      <c r="R7007" s="33">
        <f>IFERROR(__xludf.DUMMYFUNCTION("""COMPUTED_VALUE"""),1.0)</f>
        <v>1</v>
      </c>
      <c r="S7007" s="4" t="str">
        <f>IFERROR(__xludf.DUMMYFUNCTION("""COMPUTED_VALUE"""),"Cooknet Automacao Comercial")</f>
        <v>Cooknet Automacao Comercial</v>
      </c>
      <c r="T7007" s="33">
        <f>IFERROR(__xludf.DUMMYFUNCTION("""COMPUTED_VALUE"""),1.0)</f>
        <v>1</v>
      </c>
      <c r="U7007" s="4" t="str">
        <f>IFERROR(__xludf.DUMMYFUNCTION("""COMPUTED_VALUE"""),"Cooknet Automacao Comercial")</f>
        <v>Cooknet Automacao Comercial</v>
      </c>
      <c r="V7007" s="33">
        <f>IFERROR(__xludf.DUMMYFUNCTION("""COMPUTED_VALUE"""),1.0)</f>
        <v>1</v>
      </c>
      <c r="W7007" s="4" t="str">
        <f>IFERROR(__xludf.DUMMYFUNCTION("""COMPUTED_VALUE"""),"Cooknet Automacao Comercial")</f>
        <v>Cooknet Automacao Comercial</v>
      </c>
      <c r="X7007" s="33">
        <f>IFERROR(__xludf.DUMMYFUNCTION("""COMPUTED_VALUE"""),1.0)</f>
        <v>1</v>
      </c>
    </row>
    <row r="7008">
      <c r="K7008" s="4" t="str">
        <f>IFERROR(__xludf.DUMMYFUNCTION("""COMPUTED_VALUE"""),"FAZATTO PIZZERIA")</f>
        <v>FAZATTO PIZZERIA</v>
      </c>
      <c r="L7008" s="32">
        <f>IFERROR(__xludf.DUMMYFUNCTION("""COMPUTED_VALUE"""),2.0)</f>
        <v>2</v>
      </c>
      <c r="M7008" s="4" t="str">
        <f>IFERROR(__xludf.DUMMYFUNCTION("""COMPUTED_VALUE"""),"Saipos Serviços De Software")</f>
        <v>Saipos Serviços De Software</v>
      </c>
      <c r="N7008" s="33">
        <f>IFERROR(__xludf.DUMMYFUNCTION("""COMPUTED_VALUE"""),1.0)</f>
        <v>1</v>
      </c>
      <c r="O7008" s="4" t="str">
        <f>IFERROR(__xludf.DUMMYFUNCTION("""COMPUTED_VALUE"""),"Saipos Serviços De Software")</f>
        <v>Saipos Serviços De Software</v>
      </c>
      <c r="P7008" s="33">
        <f>IFERROR(__xludf.DUMMYFUNCTION("""COMPUTED_VALUE"""),1.0)</f>
        <v>1</v>
      </c>
      <c r="Q7008" s="4" t="str">
        <f>IFERROR(__xludf.DUMMYFUNCTION("""COMPUTED_VALUE"""),"Saipos Serviços De Software")</f>
        <v>Saipos Serviços De Software</v>
      </c>
      <c r="R7008" s="33">
        <f>IFERROR(__xludf.DUMMYFUNCTION("""COMPUTED_VALUE"""),1.0)</f>
        <v>1</v>
      </c>
      <c r="S7008" s="4" t="str">
        <f>IFERROR(__xludf.DUMMYFUNCTION("""COMPUTED_VALUE"""),"Saipos Serviços De Software")</f>
        <v>Saipos Serviços De Software</v>
      </c>
      <c r="T7008" s="33">
        <f>IFERROR(__xludf.DUMMYFUNCTION("""COMPUTED_VALUE"""),1.0)</f>
        <v>1</v>
      </c>
      <c r="U7008" s="4" t="str">
        <f>IFERROR(__xludf.DUMMYFUNCTION("""COMPUTED_VALUE"""),"Saipos Serviços De Software")</f>
        <v>Saipos Serviços De Software</v>
      </c>
      <c r="V7008" s="33">
        <f>IFERROR(__xludf.DUMMYFUNCTION("""COMPUTED_VALUE"""),1.0)</f>
        <v>1</v>
      </c>
      <c r="W7008" s="4" t="str">
        <f>IFERROR(__xludf.DUMMYFUNCTION("""COMPUTED_VALUE"""),"Saipos Serviços De Software")</f>
        <v>Saipos Serviços De Software</v>
      </c>
      <c r="X7008" s="33">
        <f>IFERROR(__xludf.DUMMYFUNCTION("""COMPUTED_VALUE"""),1.0)</f>
        <v>1</v>
      </c>
    </row>
    <row r="7009">
      <c r="K7009" s="4" t="str">
        <f>IFERROR(__xludf.DUMMYFUNCTION("""COMPUTED_VALUE"""),"FEIJAO DE CORDA GRUPO")</f>
        <v>FEIJAO DE CORDA GRUPO</v>
      </c>
      <c r="L7009" s="32">
        <f>IFERROR(__xludf.DUMMYFUNCTION("""COMPUTED_VALUE"""),2.0)</f>
        <v>2</v>
      </c>
      <c r="M7009" s="4" t="str">
        <f>IFERROR(__xludf.DUMMYFUNCTION("""COMPUTED_VALUE"""),"Consumer Soluções Em Tecnologia Ltda")</f>
        <v>Consumer Soluções Em Tecnologia Ltda</v>
      </c>
      <c r="N7009" s="33">
        <f>IFERROR(__xludf.DUMMYFUNCTION("""COMPUTED_VALUE"""),1.0)</f>
        <v>1</v>
      </c>
      <c r="O7009" s="4" t="str">
        <f>IFERROR(__xludf.DUMMYFUNCTION("""COMPUTED_VALUE"""),"null")</f>
        <v>null</v>
      </c>
      <c r="P7009" s="33">
        <f>IFERROR(__xludf.DUMMYFUNCTION("""COMPUTED_VALUE"""),1.0)</f>
        <v>1</v>
      </c>
      <c r="Q7009" s="4" t="str">
        <f>IFERROR(__xludf.DUMMYFUNCTION("""COMPUTED_VALUE"""),"Consumer Soluções Em Tecnologia Ltda")</f>
        <v>Consumer Soluções Em Tecnologia Ltda</v>
      </c>
      <c r="R7009" s="33">
        <f>IFERROR(__xludf.DUMMYFUNCTION("""COMPUTED_VALUE"""),1.0)</f>
        <v>1</v>
      </c>
      <c r="S7009" s="4" t="str">
        <f>IFERROR(__xludf.DUMMYFUNCTION("""COMPUTED_VALUE"""),"Consumer Soluções Em Tecnologia Ltda")</f>
        <v>Consumer Soluções Em Tecnologia Ltda</v>
      </c>
      <c r="T7009" s="33">
        <f>IFERROR(__xludf.DUMMYFUNCTION("""COMPUTED_VALUE"""),0.5)</f>
        <v>0.5</v>
      </c>
      <c r="U7009" s="4" t="str">
        <f>IFERROR(__xludf.DUMMYFUNCTION("""COMPUTED_VALUE"""),"null")</f>
        <v>null</v>
      </c>
      <c r="V7009" s="33">
        <f>IFERROR(__xludf.DUMMYFUNCTION("""COMPUTED_VALUE"""),0.5)</f>
        <v>0.5</v>
      </c>
      <c r="W7009" s="4" t="str">
        <f>IFERROR(__xludf.DUMMYFUNCTION("""COMPUTED_VALUE"""),"Consumer Soluções Em Tecnologia Ltda")</f>
        <v>Consumer Soluções Em Tecnologia Ltda</v>
      </c>
      <c r="X7009" s="33">
        <f>IFERROR(__xludf.DUMMYFUNCTION("""COMPUTED_VALUE"""),1.0)</f>
        <v>1</v>
      </c>
    </row>
    <row r="7010">
      <c r="K7010" s="4" t="str">
        <f>IFERROR(__xludf.DUMMYFUNCTION("""COMPUTED_VALUE"""),"FEIJOADA PREMIUM GOURMET")</f>
        <v>FEIJOADA PREMIUM GOURMET</v>
      </c>
      <c r="L7010" s="32">
        <f>IFERROR(__xludf.DUMMYFUNCTION("""COMPUTED_VALUE"""),2.0)</f>
        <v>2</v>
      </c>
      <c r="M7010" s="4" t="str">
        <f>IFERROR(__xludf.DUMMYFUNCTION("""COMPUTED_VALUE"""),"Saipos Serviços De Software")</f>
        <v>Saipos Serviços De Software</v>
      </c>
      <c r="N7010" s="33">
        <f>IFERROR(__xludf.DUMMYFUNCTION("""COMPUTED_VALUE"""),1.0)</f>
        <v>1</v>
      </c>
      <c r="O7010" s="4" t="str">
        <f>IFERROR(__xludf.DUMMYFUNCTION("""COMPUTED_VALUE"""),"Saipos Serviços De Software")</f>
        <v>Saipos Serviços De Software</v>
      </c>
      <c r="P7010" s="33">
        <f>IFERROR(__xludf.DUMMYFUNCTION("""COMPUTED_VALUE"""),1.0)</f>
        <v>1</v>
      </c>
      <c r="Q7010" s="4" t="str">
        <f>IFERROR(__xludf.DUMMYFUNCTION("""COMPUTED_VALUE"""),"Saipos Serviços De Software")</f>
        <v>Saipos Serviços De Software</v>
      </c>
      <c r="R7010" s="33">
        <f>IFERROR(__xludf.DUMMYFUNCTION("""COMPUTED_VALUE"""),1.0)</f>
        <v>1</v>
      </c>
      <c r="S7010" s="4" t="str">
        <f>IFERROR(__xludf.DUMMYFUNCTION("""COMPUTED_VALUE"""),"Saipos Serviços De Software")</f>
        <v>Saipos Serviços De Software</v>
      </c>
      <c r="T7010" s="33">
        <f>IFERROR(__xludf.DUMMYFUNCTION("""COMPUTED_VALUE"""),1.0)</f>
        <v>1</v>
      </c>
      <c r="U7010" s="4" t="str">
        <f>IFERROR(__xludf.DUMMYFUNCTION("""COMPUTED_VALUE"""),"Saipos Serviços De Software")</f>
        <v>Saipos Serviços De Software</v>
      </c>
      <c r="V7010" s="33">
        <f>IFERROR(__xludf.DUMMYFUNCTION("""COMPUTED_VALUE"""),1.0)</f>
        <v>1</v>
      </c>
      <c r="W7010" s="4" t="str">
        <f>IFERROR(__xludf.DUMMYFUNCTION("""COMPUTED_VALUE"""),"Saipos Serviços De Software")</f>
        <v>Saipos Serviços De Software</v>
      </c>
      <c r="X7010" s="33">
        <f>IFERROR(__xludf.DUMMYFUNCTION("""COMPUTED_VALUE"""),1.0)</f>
        <v>1</v>
      </c>
    </row>
    <row r="7011">
      <c r="K7011" s="4" t="str">
        <f>IFERROR(__xludf.DUMMYFUNCTION("""COMPUTED_VALUE"""),"FELIFARMA HIPER POPULAR - CONTA PAI")</f>
        <v>FELIFARMA HIPER POPULAR - CONTA PAI</v>
      </c>
      <c r="L7011" s="32">
        <f>IFERROR(__xludf.DUMMYFUNCTION("""COMPUTED_VALUE"""),2.0)</f>
        <v>2</v>
      </c>
      <c r="M7011" s="4" t="str">
        <f>IFERROR(__xludf.DUMMYFUNCTION("""COMPUTED_VALUE"""),"N/A (Not found)")</f>
        <v>N/A (Not found)</v>
      </c>
      <c r="N7011" s="33">
        <f>IFERROR(__xludf.DUMMYFUNCTION("""COMPUTED_VALUE"""),1.0)</f>
        <v>1</v>
      </c>
      <c r="O7011" s="4" t="str">
        <f>IFERROR(__xludf.DUMMYFUNCTION("""COMPUTED_VALUE"""),"N/A (Not found)")</f>
        <v>N/A (Not found)</v>
      </c>
      <c r="P7011" s="33">
        <f>IFERROR(__xludf.DUMMYFUNCTION("""COMPUTED_VALUE"""),1.0)</f>
        <v>1</v>
      </c>
      <c r="Q7011" s="4" t="str">
        <f>IFERROR(__xludf.DUMMYFUNCTION("""COMPUTED_VALUE"""),"N/A (Not found)")</f>
        <v>N/A (Not found)</v>
      </c>
      <c r="R7011" s="33">
        <f>IFERROR(__xludf.DUMMYFUNCTION("""COMPUTED_VALUE"""),1.0)</f>
        <v>1</v>
      </c>
      <c r="S7011" s="4" t="str">
        <f>IFERROR(__xludf.DUMMYFUNCTION("""COMPUTED_VALUE"""),"N/A (Not found)")</f>
        <v>N/A (Not found)</v>
      </c>
      <c r="T7011" s="33">
        <f>IFERROR(__xludf.DUMMYFUNCTION("""COMPUTED_VALUE"""),1.0)</f>
        <v>1</v>
      </c>
      <c r="U7011" s="4" t="str">
        <f>IFERROR(__xludf.DUMMYFUNCTION("""COMPUTED_VALUE"""),"N/A (Not found)")</f>
        <v>N/A (Not found)</v>
      </c>
      <c r="V7011" s="33">
        <f>IFERROR(__xludf.DUMMYFUNCTION("""COMPUTED_VALUE"""),1.0)</f>
        <v>1</v>
      </c>
      <c r="W7011" s="4" t="str">
        <f>IFERROR(__xludf.DUMMYFUNCTION("""COMPUTED_VALUE"""),"N/A (Not found)")</f>
        <v>N/A (Not found)</v>
      </c>
      <c r="X7011" s="33">
        <f>IFERROR(__xludf.DUMMYFUNCTION("""COMPUTED_VALUE"""),1.0)</f>
        <v>1</v>
      </c>
    </row>
    <row r="7012">
      <c r="K7012" s="4" t="str">
        <f>IFERROR(__xludf.DUMMYFUNCTION("""COMPUTED_VALUE"""),"FERRIS BURGER - CONTA PAI")</f>
        <v>FERRIS BURGER - CONTA PAI</v>
      </c>
      <c r="L7012" s="32">
        <f>IFERROR(__xludf.DUMMYFUNCTION("""COMPUTED_VALUE"""),2.0)</f>
        <v>2</v>
      </c>
      <c r="M7012" s="4" t="str">
        <f>IFERROR(__xludf.DUMMYFUNCTION("""COMPUTED_VALUE"""),"null")</f>
        <v>null</v>
      </c>
      <c r="N7012" s="33">
        <f>IFERROR(__xludf.DUMMYFUNCTION("""COMPUTED_VALUE"""),0.5)</f>
        <v>0.5</v>
      </c>
      <c r="O7012" s="4" t="str">
        <f>IFERROR(__xludf.DUMMYFUNCTION("""COMPUTED_VALUE"""),"null")</f>
        <v>null</v>
      </c>
      <c r="P7012" s="33">
        <f>IFERROR(__xludf.DUMMYFUNCTION("""COMPUTED_VALUE"""),1.0)</f>
        <v>1</v>
      </c>
      <c r="Q7012" s="4" t="str">
        <f>IFERROR(__xludf.DUMMYFUNCTION("""COMPUTED_VALUE"""),"null")</f>
        <v>null</v>
      </c>
      <c r="R7012" s="33">
        <f>IFERROR(__xludf.DUMMYFUNCTION("""COMPUTED_VALUE"""),0.5)</f>
        <v>0.5</v>
      </c>
      <c r="S7012" s="4" t="str">
        <f>IFERROR(__xludf.DUMMYFUNCTION("""COMPUTED_VALUE"""),"Beefood - Sistema Para Restaurantes")</f>
        <v>Beefood - Sistema Para Restaurantes</v>
      </c>
      <c r="T7012" s="33">
        <f>IFERROR(__xludf.DUMMYFUNCTION("""COMPUTED_VALUE"""),0.5)</f>
        <v>0.5</v>
      </c>
      <c r="U7012" s="4" t="str">
        <f>IFERROR(__xludf.DUMMYFUNCTION("""COMPUTED_VALUE"""),"Beefood - Sistema Para Restaurantes")</f>
        <v>Beefood - Sistema Para Restaurantes</v>
      </c>
      <c r="V7012" s="33">
        <f>IFERROR(__xludf.DUMMYFUNCTION("""COMPUTED_VALUE"""),0.5)</f>
        <v>0.5</v>
      </c>
      <c r="W7012" s="4" t="str">
        <f>IFERROR(__xludf.DUMMYFUNCTION("""COMPUTED_VALUE"""),"null")</f>
        <v>null</v>
      </c>
      <c r="X7012" s="33">
        <f>IFERROR(__xludf.DUMMYFUNCTION("""COMPUTED_VALUE"""),1.0)</f>
        <v>1</v>
      </c>
    </row>
    <row r="7013">
      <c r="K7013" s="4" t="str">
        <f>IFERROR(__xludf.DUMMYFUNCTION("""COMPUTED_VALUE"""),"FETTUCCINE MASSA ITALIANA")</f>
        <v>FETTUCCINE MASSA ITALIANA</v>
      </c>
      <c r="L7013" s="32">
        <f>IFERROR(__xludf.DUMMYFUNCTION("""COMPUTED_VALUE"""),2.0)</f>
        <v>2</v>
      </c>
      <c r="M7013" s="4">
        <f>IFERROR(__xludf.DUMMYFUNCTION("""COMPUTED_VALUE"""),88.0)</f>
        <v>88</v>
      </c>
      <c r="N7013" s="33">
        <f>IFERROR(__xludf.DUMMYFUNCTION("""COMPUTED_VALUE"""),1.0)</f>
        <v>1</v>
      </c>
      <c r="O7013" s="4" t="str">
        <f>IFERROR(__xludf.DUMMYFUNCTION("""COMPUTED_VALUE"""),"null")</f>
        <v>null</v>
      </c>
      <c r="P7013" s="33">
        <f>IFERROR(__xludf.DUMMYFUNCTION("""COMPUTED_VALUE"""),1.0)</f>
        <v>1</v>
      </c>
      <c r="Q7013" s="4" t="str">
        <f>IFERROR(__xludf.DUMMYFUNCTION("""COMPUTED_VALUE"""),"null")</f>
        <v>null</v>
      </c>
      <c r="R7013" s="33">
        <f>IFERROR(__xludf.DUMMYFUNCTION("""COMPUTED_VALUE"""),1.0)</f>
        <v>1</v>
      </c>
      <c r="S7013" s="4" t="str">
        <f>IFERROR(__xludf.DUMMYFUNCTION("""COMPUTED_VALUE"""),"null")</f>
        <v>null</v>
      </c>
      <c r="T7013" s="33">
        <f>IFERROR(__xludf.DUMMYFUNCTION("""COMPUTED_VALUE"""),1.0)</f>
        <v>1</v>
      </c>
      <c r="U7013" s="4" t="str">
        <f>IFERROR(__xludf.DUMMYFUNCTION("""COMPUTED_VALUE"""),"null")</f>
        <v>null</v>
      </c>
      <c r="V7013" s="33">
        <f>IFERROR(__xludf.DUMMYFUNCTION("""COMPUTED_VALUE"""),1.0)</f>
        <v>1</v>
      </c>
      <c r="W7013" s="4">
        <f>IFERROR(__xludf.DUMMYFUNCTION("""COMPUTED_VALUE"""),88.0)</f>
        <v>88</v>
      </c>
      <c r="X7013" s="33">
        <f>IFERROR(__xludf.DUMMYFUNCTION("""COMPUTED_VALUE"""),1.0)</f>
        <v>1</v>
      </c>
    </row>
    <row r="7014">
      <c r="K7014" s="4" t="str">
        <f>IFERROR(__xludf.DUMMYFUNCTION("""COMPUTED_VALUE"""),"FIKA MASSA FRITO - POCOS")</f>
        <v>FIKA MASSA FRITO - POCOS</v>
      </c>
      <c r="L7014" s="32">
        <f>IFERROR(__xludf.DUMMYFUNCTION("""COMPUTED_VALUE"""),2.0)</f>
        <v>2</v>
      </c>
      <c r="M7014" s="4" t="str">
        <f>IFERROR(__xludf.DUMMYFUNCTION("""COMPUTED_VALUE"""),"Saipos Serviços De Software")</f>
        <v>Saipos Serviços De Software</v>
      </c>
      <c r="N7014" s="33">
        <f>IFERROR(__xludf.DUMMYFUNCTION("""COMPUTED_VALUE"""),1.0)</f>
        <v>1</v>
      </c>
      <c r="O7014" s="4" t="str">
        <f>IFERROR(__xludf.DUMMYFUNCTION("""COMPUTED_VALUE"""),"Saipos Serviços De Software")</f>
        <v>Saipos Serviços De Software</v>
      </c>
      <c r="P7014" s="33">
        <f>IFERROR(__xludf.DUMMYFUNCTION("""COMPUTED_VALUE"""),1.0)</f>
        <v>1</v>
      </c>
      <c r="Q7014" s="4" t="str">
        <f>IFERROR(__xludf.DUMMYFUNCTION("""COMPUTED_VALUE"""),"Saipos Serviços De Software")</f>
        <v>Saipos Serviços De Software</v>
      </c>
      <c r="R7014" s="33">
        <f>IFERROR(__xludf.DUMMYFUNCTION("""COMPUTED_VALUE"""),1.0)</f>
        <v>1</v>
      </c>
      <c r="S7014" s="4" t="str">
        <f>IFERROR(__xludf.DUMMYFUNCTION("""COMPUTED_VALUE"""),"null")</f>
        <v>null</v>
      </c>
      <c r="T7014" s="33">
        <f>IFERROR(__xludf.DUMMYFUNCTION("""COMPUTED_VALUE"""),0.5)</f>
        <v>0.5</v>
      </c>
      <c r="U7014" s="4" t="str">
        <f>IFERROR(__xludf.DUMMYFUNCTION("""COMPUTED_VALUE"""),"null")</f>
        <v>null</v>
      </c>
      <c r="V7014" s="33">
        <f>IFERROR(__xludf.DUMMYFUNCTION("""COMPUTED_VALUE"""),0.5)</f>
        <v>0.5</v>
      </c>
      <c r="W7014" s="4" t="str">
        <f>IFERROR(__xludf.DUMMYFUNCTION("""COMPUTED_VALUE"""),"null")</f>
        <v>null</v>
      </c>
      <c r="X7014" s="33">
        <f>IFERROR(__xludf.DUMMYFUNCTION("""COMPUTED_VALUE"""),0.5)</f>
        <v>0.5</v>
      </c>
    </row>
    <row r="7015">
      <c r="K7015" s="4" t="str">
        <f>IFERROR(__xludf.DUMMYFUNCTION("""COMPUTED_VALUE"""),"FILET DO CHEF - MANSUR SEFFAIR")</f>
        <v>FILET DO CHEF - MANSUR SEFFAIR</v>
      </c>
      <c r="L7015" s="32">
        <f>IFERROR(__xludf.DUMMYFUNCTION("""COMPUTED_VALUE"""),2.0)</f>
        <v>2</v>
      </c>
      <c r="M7015" s="4" t="str">
        <f>IFERROR(__xludf.DUMMYFUNCTION("""COMPUTED_VALUE"""),"Vekttor")</f>
        <v>Vekttor</v>
      </c>
      <c r="N7015" s="33">
        <f>IFERROR(__xludf.DUMMYFUNCTION("""COMPUTED_VALUE"""),1.0)</f>
        <v>1</v>
      </c>
      <c r="O7015" s="4" t="str">
        <f>IFERROR(__xludf.DUMMYFUNCTION("""COMPUTED_VALUE"""),"Vekttor")</f>
        <v>Vekttor</v>
      </c>
      <c r="P7015" s="33">
        <f>IFERROR(__xludf.DUMMYFUNCTION("""COMPUTED_VALUE"""),1.0)</f>
        <v>1</v>
      </c>
      <c r="Q7015" s="4" t="str">
        <f>IFERROR(__xludf.DUMMYFUNCTION("""COMPUTED_VALUE"""),"Vekttor")</f>
        <v>Vekttor</v>
      </c>
      <c r="R7015" s="33">
        <f>IFERROR(__xludf.DUMMYFUNCTION("""COMPUTED_VALUE"""),0.5)</f>
        <v>0.5</v>
      </c>
      <c r="S7015" s="4" t="str">
        <f>IFERROR(__xludf.DUMMYFUNCTION("""COMPUTED_VALUE"""),"Vekttor")</f>
        <v>Vekttor</v>
      </c>
      <c r="T7015" s="33">
        <f>IFERROR(__xludf.DUMMYFUNCTION("""COMPUTED_VALUE"""),0.5)</f>
        <v>0.5</v>
      </c>
      <c r="U7015" s="4" t="str">
        <f>IFERROR(__xludf.DUMMYFUNCTION("""COMPUTED_VALUE"""),"Vekttor")</f>
        <v>Vekttor</v>
      </c>
      <c r="V7015" s="33">
        <f>IFERROR(__xludf.DUMMYFUNCTION("""COMPUTED_VALUE"""),0.5)</f>
        <v>0.5</v>
      </c>
      <c r="W7015" s="4" t="str">
        <f>IFERROR(__xludf.DUMMYFUNCTION("""COMPUTED_VALUE"""),"Vekttor")</f>
        <v>Vekttor</v>
      </c>
      <c r="X7015" s="33">
        <f>IFERROR(__xludf.DUMMYFUNCTION("""COMPUTED_VALUE"""),0.5)</f>
        <v>0.5</v>
      </c>
    </row>
    <row r="7016">
      <c r="K7016" s="4" t="str">
        <f>IFERROR(__xludf.DUMMYFUNCTION("""COMPUTED_VALUE"""),"FILLMORE - CONTA PAI")</f>
        <v>FILLMORE - CONTA PAI</v>
      </c>
      <c r="L7016" s="32">
        <f>IFERROR(__xludf.DUMMYFUNCTION("""COMPUTED_VALUE"""),2.0)</f>
        <v>2</v>
      </c>
      <c r="M7016" s="4" t="str">
        <f>IFERROR(__xludf.DUMMYFUNCTION("""COMPUTED_VALUE"""),"Netcontroll Xmenu")</f>
        <v>Netcontroll Xmenu</v>
      </c>
      <c r="N7016" s="33">
        <f>IFERROR(__xludf.DUMMYFUNCTION("""COMPUTED_VALUE"""),1.0)</f>
        <v>1</v>
      </c>
      <c r="O7016" s="4" t="str">
        <f>IFERROR(__xludf.DUMMYFUNCTION("""COMPUTED_VALUE"""),"Netcontroll Xmenu")</f>
        <v>Netcontroll Xmenu</v>
      </c>
      <c r="P7016" s="33">
        <f>IFERROR(__xludf.DUMMYFUNCTION("""COMPUTED_VALUE"""),1.0)</f>
        <v>1</v>
      </c>
      <c r="Q7016" s="4" t="str">
        <f>IFERROR(__xludf.DUMMYFUNCTION("""COMPUTED_VALUE"""),"Netcontroll Xmenu")</f>
        <v>Netcontroll Xmenu</v>
      </c>
      <c r="R7016" s="33">
        <f>IFERROR(__xludf.DUMMYFUNCTION("""COMPUTED_VALUE"""),1.0)</f>
        <v>1</v>
      </c>
      <c r="S7016" s="4" t="str">
        <f>IFERROR(__xludf.DUMMYFUNCTION("""COMPUTED_VALUE"""),"Netcontroll Xmenu")</f>
        <v>Netcontroll Xmenu</v>
      </c>
      <c r="T7016" s="33">
        <f>IFERROR(__xludf.DUMMYFUNCTION("""COMPUTED_VALUE"""),1.0)</f>
        <v>1</v>
      </c>
      <c r="U7016" s="4" t="str">
        <f>IFERROR(__xludf.DUMMYFUNCTION("""COMPUTED_VALUE"""),"Netcontroll Xmenu")</f>
        <v>Netcontroll Xmenu</v>
      </c>
      <c r="V7016" s="33">
        <f>IFERROR(__xludf.DUMMYFUNCTION("""COMPUTED_VALUE"""),1.0)</f>
        <v>1</v>
      </c>
      <c r="W7016" s="4" t="str">
        <f>IFERROR(__xludf.DUMMYFUNCTION("""COMPUTED_VALUE"""),"Netcontroll Xmenu")</f>
        <v>Netcontroll Xmenu</v>
      </c>
      <c r="X7016" s="33">
        <f>IFERROR(__xludf.DUMMYFUNCTION("""COMPUTED_VALUE"""),1.0)</f>
        <v>1</v>
      </c>
    </row>
    <row r="7017">
      <c r="K7017" s="4" t="str">
        <f>IFERROR(__xludf.DUMMYFUNCTION("""COMPUTED_VALUE"""),"FILO PIZZA ROMANA ARTESANAL")</f>
        <v>FILO PIZZA ROMANA ARTESANAL</v>
      </c>
      <c r="L7017" s="32">
        <f>IFERROR(__xludf.DUMMYFUNCTION("""COMPUTED_VALUE"""),2.0)</f>
        <v>2</v>
      </c>
      <c r="M7017" s="4" t="str">
        <f>IFERROR(__xludf.DUMMYFUNCTION("""COMPUTED_VALUE"""),"Saipos Serviços De Software")</f>
        <v>Saipos Serviços De Software</v>
      </c>
      <c r="N7017" s="33">
        <f>IFERROR(__xludf.DUMMYFUNCTION("""COMPUTED_VALUE"""),1.0)</f>
        <v>1</v>
      </c>
      <c r="O7017" s="4" t="str">
        <f>IFERROR(__xludf.DUMMYFUNCTION("""COMPUTED_VALUE"""),"Saipos Serviços De Software")</f>
        <v>Saipos Serviços De Software</v>
      </c>
      <c r="P7017" s="33">
        <f>IFERROR(__xludf.DUMMYFUNCTION("""COMPUTED_VALUE"""),1.0)</f>
        <v>1</v>
      </c>
      <c r="Q7017" s="4" t="str">
        <f>IFERROR(__xludf.DUMMYFUNCTION("""COMPUTED_VALUE"""),"Saipos Serviços De Software")</f>
        <v>Saipos Serviços De Software</v>
      </c>
      <c r="R7017" s="33">
        <f>IFERROR(__xludf.DUMMYFUNCTION("""COMPUTED_VALUE"""),1.0)</f>
        <v>1</v>
      </c>
      <c r="S7017" s="4" t="str">
        <f>IFERROR(__xludf.DUMMYFUNCTION("""COMPUTED_VALUE"""),"Saipos Serviços De Software")</f>
        <v>Saipos Serviços De Software</v>
      </c>
      <c r="T7017" s="33">
        <f>IFERROR(__xludf.DUMMYFUNCTION("""COMPUTED_VALUE"""),1.0)</f>
        <v>1</v>
      </c>
      <c r="U7017" s="4" t="str">
        <f>IFERROR(__xludf.DUMMYFUNCTION("""COMPUTED_VALUE"""),"Saipos Serviços De Software")</f>
        <v>Saipos Serviços De Software</v>
      </c>
      <c r="V7017" s="33">
        <f>IFERROR(__xludf.DUMMYFUNCTION("""COMPUTED_VALUE"""),1.0)</f>
        <v>1</v>
      </c>
      <c r="W7017" s="4" t="str">
        <f>IFERROR(__xludf.DUMMYFUNCTION("""COMPUTED_VALUE"""),"Saipos Serviços De Software")</f>
        <v>Saipos Serviços De Software</v>
      </c>
      <c r="X7017" s="33">
        <f>IFERROR(__xludf.DUMMYFUNCTION("""COMPUTED_VALUE"""),1.0)</f>
        <v>1</v>
      </c>
    </row>
    <row r="7018">
      <c r="K7018" s="4" t="str">
        <f>IFERROR(__xludf.DUMMYFUNCTION("""COMPUTED_VALUE"""),"FIRENZI PIZZARIA")</f>
        <v>FIRENZI PIZZARIA</v>
      </c>
      <c r="L7018" s="32">
        <f>IFERROR(__xludf.DUMMYFUNCTION("""COMPUTED_VALUE"""),2.0)</f>
        <v>2</v>
      </c>
      <c r="M7018" s="4" t="str">
        <f>IFERROR(__xludf.DUMMYFUNCTION("""COMPUTED_VALUE"""),"null")</f>
        <v>null</v>
      </c>
      <c r="N7018" s="33">
        <f>IFERROR(__xludf.DUMMYFUNCTION("""COMPUTED_VALUE"""),0.5)</f>
        <v>0.5</v>
      </c>
      <c r="O7018" s="4" t="str">
        <f>IFERROR(__xludf.DUMMYFUNCTION("""COMPUTED_VALUE"""),"Saipos Serviços De Software")</f>
        <v>Saipos Serviços De Software</v>
      </c>
      <c r="P7018" s="33">
        <f>IFERROR(__xludf.DUMMYFUNCTION("""COMPUTED_VALUE"""),1.0)</f>
        <v>1</v>
      </c>
      <c r="Q7018" s="4" t="str">
        <f>IFERROR(__xludf.DUMMYFUNCTION("""COMPUTED_VALUE"""),"Saipos Serviços De Software")</f>
        <v>Saipos Serviços De Software</v>
      </c>
      <c r="R7018" s="33">
        <f>IFERROR(__xludf.DUMMYFUNCTION("""COMPUTED_VALUE"""),1.0)</f>
        <v>1</v>
      </c>
      <c r="S7018" s="4" t="str">
        <f>IFERROR(__xludf.DUMMYFUNCTION("""COMPUTED_VALUE"""),"Saipos Serviços De Software")</f>
        <v>Saipos Serviços De Software</v>
      </c>
      <c r="T7018" s="33">
        <f>IFERROR(__xludf.DUMMYFUNCTION("""COMPUTED_VALUE"""),1.0)</f>
        <v>1</v>
      </c>
      <c r="U7018" s="4" t="str">
        <f>IFERROR(__xludf.DUMMYFUNCTION("""COMPUTED_VALUE"""),"Saipos Serviços De Software")</f>
        <v>Saipos Serviços De Software</v>
      </c>
      <c r="V7018" s="33">
        <f>IFERROR(__xludf.DUMMYFUNCTION("""COMPUTED_VALUE"""),1.0)</f>
        <v>1</v>
      </c>
      <c r="W7018" s="4" t="str">
        <f>IFERROR(__xludf.DUMMYFUNCTION("""COMPUTED_VALUE"""),"Saipos Serviços De Software")</f>
        <v>Saipos Serviços De Software</v>
      </c>
      <c r="X7018" s="33">
        <f>IFERROR(__xludf.DUMMYFUNCTION("""COMPUTED_VALUE"""),1.0)</f>
        <v>1</v>
      </c>
    </row>
    <row r="7019">
      <c r="K7019" s="4" t="str">
        <f>IFERROR(__xludf.DUMMYFUNCTION("""COMPUTED_VALUE"""),"FIVE POINTS")</f>
        <v>FIVE POINTS</v>
      </c>
      <c r="L7019" s="32">
        <f>IFERROR(__xludf.DUMMYFUNCTION("""COMPUTED_VALUE"""),2.0)</f>
        <v>2</v>
      </c>
      <c r="M7019" s="4" t="str">
        <f>IFERROR(__xludf.DUMMYFUNCTION("""COMPUTED_VALUE"""),"Takeat Tecnologia")</f>
        <v>Takeat Tecnologia</v>
      </c>
      <c r="N7019" s="33">
        <f>IFERROR(__xludf.DUMMYFUNCTION("""COMPUTED_VALUE"""),1.0)</f>
        <v>1</v>
      </c>
      <c r="O7019" s="4" t="str">
        <f>IFERROR(__xludf.DUMMYFUNCTION("""COMPUTED_VALUE"""),"Takeat Tecnologia")</f>
        <v>Takeat Tecnologia</v>
      </c>
      <c r="P7019" s="33">
        <f>IFERROR(__xludf.DUMMYFUNCTION("""COMPUTED_VALUE"""),1.0)</f>
        <v>1</v>
      </c>
      <c r="Q7019" s="4" t="str">
        <f>IFERROR(__xludf.DUMMYFUNCTION("""COMPUTED_VALUE"""),"Takeat Tecnologia")</f>
        <v>Takeat Tecnologia</v>
      </c>
      <c r="R7019" s="33">
        <f>IFERROR(__xludf.DUMMYFUNCTION("""COMPUTED_VALUE"""),1.0)</f>
        <v>1</v>
      </c>
      <c r="S7019" s="4" t="str">
        <f>IFERROR(__xludf.DUMMYFUNCTION("""COMPUTED_VALUE"""),"Takeat Tecnologia")</f>
        <v>Takeat Tecnologia</v>
      </c>
      <c r="T7019" s="33">
        <f>IFERROR(__xludf.DUMMYFUNCTION("""COMPUTED_VALUE"""),1.0)</f>
        <v>1</v>
      </c>
      <c r="U7019" s="4" t="str">
        <f>IFERROR(__xludf.DUMMYFUNCTION("""COMPUTED_VALUE"""),"Takeat Tecnologia")</f>
        <v>Takeat Tecnologia</v>
      </c>
      <c r="V7019" s="33">
        <f>IFERROR(__xludf.DUMMYFUNCTION("""COMPUTED_VALUE"""),1.0)</f>
        <v>1</v>
      </c>
      <c r="W7019" s="4" t="str">
        <f>IFERROR(__xludf.DUMMYFUNCTION("""COMPUTED_VALUE"""),"Takeat Tecnologia")</f>
        <v>Takeat Tecnologia</v>
      </c>
      <c r="X7019" s="33">
        <f>IFERROR(__xludf.DUMMYFUNCTION("""COMPUTED_VALUE"""),1.0)</f>
        <v>1</v>
      </c>
    </row>
    <row r="7020">
      <c r="K7020" s="4" t="str">
        <f>IFERROR(__xludf.DUMMYFUNCTION("""COMPUTED_VALUE"""),"FLOR DO VALQUEIRE")</f>
        <v>FLOR DO VALQUEIRE</v>
      </c>
      <c r="L7020" s="32">
        <f>IFERROR(__xludf.DUMMYFUNCTION("""COMPUTED_VALUE"""),2.0)</f>
        <v>2</v>
      </c>
      <c r="M7020" s="4" t="str">
        <f>IFERROR(__xludf.DUMMYFUNCTION("""COMPUTED_VALUE"""),"Proabakus Desenvolvimento De Sistemas Ltda")</f>
        <v>Proabakus Desenvolvimento De Sistemas Ltda</v>
      </c>
      <c r="N7020" s="33">
        <f>IFERROR(__xludf.DUMMYFUNCTION("""COMPUTED_VALUE"""),1.0)</f>
        <v>1</v>
      </c>
      <c r="O7020" s="4" t="str">
        <f>IFERROR(__xludf.DUMMYFUNCTION("""COMPUTED_VALUE"""),"null")</f>
        <v>null</v>
      </c>
      <c r="P7020" s="33">
        <f>IFERROR(__xludf.DUMMYFUNCTION("""COMPUTED_VALUE"""),1.0)</f>
        <v>1</v>
      </c>
      <c r="Q7020" s="4" t="str">
        <f>IFERROR(__xludf.DUMMYFUNCTION("""COMPUTED_VALUE"""),"null")</f>
        <v>null</v>
      </c>
      <c r="R7020" s="33">
        <f>IFERROR(__xludf.DUMMYFUNCTION("""COMPUTED_VALUE"""),1.0)</f>
        <v>1</v>
      </c>
      <c r="S7020" s="4" t="str">
        <f>IFERROR(__xludf.DUMMYFUNCTION("""COMPUTED_VALUE"""),"Proabakus Desenvolvimento De Sistemas Ltda")</f>
        <v>Proabakus Desenvolvimento De Sistemas Ltda</v>
      </c>
      <c r="T7020" s="33">
        <f>IFERROR(__xludf.DUMMYFUNCTION("""COMPUTED_VALUE"""),0.5)</f>
        <v>0.5</v>
      </c>
      <c r="U7020" s="4" t="str">
        <f>IFERROR(__xludf.DUMMYFUNCTION("""COMPUTED_VALUE"""),"Proabakus Desenvolvimento De Sistemas Ltda")</f>
        <v>Proabakus Desenvolvimento De Sistemas Ltda</v>
      </c>
      <c r="V7020" s="33">
        <f>IFERROR(__xludf.DUMMYFUNCTION("""COMPUTED_VALUE"""),0.5)</f>
        <v>0.5</v>
      </c>
      <c r="W7020" s="4" t="str">
        <f>IFERROR(__xludf.DUMMYFUNCTION("""COMPUTED_VALUE"""),"Proabakus Desenvolvimento De Sistemas Ltda")</f>
        <v>Proabakus Desenvolvimento De Sistemas Ltda</v>
      </c>
      <c r="X7020" s="33">
        <f>IFERROR(__xludf.DUMMYFUNCTION("""COMPUTED_VALUE"""),1.0)</f>
        <v>1</v>
      </c>
    </row>
    <row r="7021">
      <c r="K7021" s="4" t="str">
        <f>IFERROR(__xludf.DUMMYFUNCTION("""COMPUTED_VALUE"""),"FLORESTA SUPERMERCADOS - CONTA PAI")</f>
        <v>FLORESTA SUPERMERCADOS - CONTA PAI</v>
      </c>
      <c r="L7021" s="32">
        <f>IFERROR(__xludf.DUMMYFUNCTION("""COMPUTED_VALUE"""),2.0)</f>
        <v>2</v>
      </c>
      <c r="M7021" s="4" t="str">
        <f>IFERROR(__xludf.DUMMYFUNCTION("""COMPUTED_VALUE"""),"N/A (Not found)")</f>
        <v>N/A (Not found)</v>
      </c>
      <c r="N7021" s="33">
        <f>IFERROR(__xludf.DUMMYFUNCTION("""COMPUTED_VALUE"""),1.0)</f>
        <v>1</v>
      </c>
      <c r="O7021" s="4" t="str">
        <f>IFERROR(__xludf.DUMMYFUNCTION("""COMPUTED_VALUE"""),"N/A (Not found)")</f>
        <v>N/A (Not found)</v>
      </c>
      <c r="P7021" s="33">
        <f>IFERROR(__xludf.DUMMYFUNCTION("""COMPUTED_VALUE"""),1.0)</f>
        <v>1</v>
      </c>
      <c r="Q7021" s="4" t="str">
        <f>IFERROR(__xludf.DUMMYFUNCTION("""COMPUTED_VALUE"""),"N/A (Not found)")</f>
        <v>N/A (Not found)</v>
      </c>
      <c r="R7021" s="33">
        <f>IFERROR(__xludf.DUMMYFUNCTION("""COMPUTED_VALUE"""),1.0)</f>
        <v>1</v>
      </c>
      <c r="S7021" s="4" t="str">
        <f>IFERROR(__xludf.DUMMYFUNCTION("""COMPUTED_VALUE"""),"N/A (Not found)")</f>
        <v>N/A (Not found)</v>
      </c>
      <c r="T7021" s="33">
        <f>IFERROR(__xludf.DUMMYFUNCTION("""COMPUTED_VALUE"""),1.0)</f>
        <v>1</v>
      </c>
      <c r="U7021" s="4" t="str">
        <f>IFERROR(__xludf.DUMMYFUNCTION("""COMPUTED_VALUE"""),"null")</f>
        <v>null</v>
      </c>
      <c r="V7021" s="33">
        <f>IFERROR(__xludf.DUMMYFUNCTION("""COMPUTED_VALUE"""),1.0)</f>
        <v>1</v>
      </c>
      <c r="W7021" s="4" t="str">
        <f>IFERROR(__xludf.DUMMYFUNCTION("""COMPUTED_VALUE"""),"null")</f>
        <v>null</v>
      </c>
      <c r="X7021" s="33">
        <f>IFERROR(__xludf.DUMMYFUNCTION("""COMPUTED_VALUE"""),1.0)</f>
        <v>1</v>
      </c>
    </row>
    <row r="7022">
      <c r="K7022" s="4" t="str">
        <f>IFERROR(__xludf.DUMMYFUNCTION("""COMPUTED_VALUE"""),"FLORIPIZZA - SC")</f>
        <v>FLORIPIZZA - SC</v>
      </c>
      <c r="L7022" s="32">
        <f>IFERROR(__xludf.DUMMYFUNCTION("""COMPUTED_VALUE"""),2.0)</f>
        <v>2</v>
      </c>
      <c r="M7022" s="4" t="str">
        <f>IFERROR(__xludf.DUMMYFUNCTION("""COMPUTED_VALUE"""),"Cityfoods Ltda")</f>
        <v>Cityfoods Ltda</v>
      </c>
      <c r="N7022" s="33">
        <f>IFERROR(__xludf.DUMMYFUNCTION("""COMPUTED_VALUE"""),0.5)</f>
        <v>0.5</v>
      </c>
      <c r="O7022" s="4" t="str">
        <f>IFERROR(__xludf.DUMMYFUNCTION("""COMPUTED_VALUE"""),"Cityfoods Ltda")</f>
        <v>Cityfoods Ltda</v>
      </c>
      <c r="P7022" s="33">
        <f>IFERROR(__xludf.DUMMYFUNCTION("""COMPUTED_VALUE"""),1.0)</f>
        <v>1</v>
      </c>
      <c r="Q7022" s="4" t="str">
        <f>IFERROR(__xludf.DUMMYFUNCTION("""COMPUTED_VALUE"""),"Cityfoods Ltda")</f>
        <v>Cityfoods Ltda</v>
      </c>
      <c r="R7022" s="33">
        <f>IFERROR(__xludf.DUMMYFUNCTION("""COMPUTED_VALUE"""),1.0)</f>
        <v>1</v>
      </c>
      <c r="S7022" s="4" t="str">
        <f>IFERROR(__xludf.DUMMYFUNCTION("""COMPUTED_VALUE"""),"Cardápio Web")</f>
        <v>Cardápio Web</v>
      </c>
      <c r="T7022" s="33">
        <f>IFERROR(__xludf.DUMMYFUNCTION("""COMPUTED_VALUE"""),0.5)</f>
        <v>0.5</v>
      </c>
      <c r="U7022" s="4" t="str">
        <f>IFERROR(__xludf.DUMMYFUNCTION("""COMPUTED_VALUE"""),"Cardápio Web")</f>
        <v>Cardápio Web</v>
      </c>
      <c r="V7022" s="33">
        <f>IFERROR(__xludf.DUMMYFUNCTION("""COMPUTED_VALUE"""),0.5)</f>
        <v>0.5</v>
      </c>
      <c r="W7022" s="4" t="str">
        <f>IFERROR(__xludf.DUMMYFUNCTION("""COMPUTED_VALUE"""),"Cardápio Web")</f>
        <v>Cardápio Web</v>
      </c>
      <c r="X7022" s="33">
        <f>IFERROR(__xludf.DUMMYFUNCTION("""COMPUTED_VALUE"""),1.0)</f>
        <v>1</v>
      </c>
    </row>
    <row r="7023">
      <c r="K7023" s="4" t="str">
        <f>IFERROR(__xludf.DUMMYFUNCTION("""COMPUTED_VALUE"""),"FLORIPIZZA SC - CONTA MARCA")</f>
        <v>FLORIPIZZA SC - CONTA MARCA</v>
      </c>
      <c r="L7023" s="32">
        <f>IFERROR(__xludf.DUMMYFUNCTION("""COMPUTED_VALUE"""),2.0)</f>
        <v>2</v>
      </c>
      <c r="M7023" s="4" t="str">
        <f>IFERROR(__xludf.DUMMYFUNCTION("""COMPUTED_VALUE"""),"Cityfoods Ltda")</f>
        <v>Cityfoods Ltda</v>
      </c>
      <c r="N7023" s="33">
        <f>IFERROR(__xludf.DUMMYFUNCTION("""COMPUTED_VALUE"""),0.5)</f>
        <v>0.5</v>
      </c>
      <c r="O7023" s="4" t="str">
        <f>IFERROR(__xludf.DUMMYFUNCTION("""COMPUTED_VALUE"""),"Cityfoods Ltda")</f>
        <v>Cityfoods Ltda</v>
      </c>
      <c r="P7023" s="33">
        <f>IFERROR(__xludf.DUMMYFUNCTION("""COMPUTED_VALUE"""),1.0)</f>
        <v>1</v>
      </c>
      <c r="Q7023" s="4" t="str">
        <f>IFERROR(__xludf.DUMMYFUNCTION("""COMPUTED_VALUE"""),"Cityfoods Ltda")</f>
        <v>Cityfoods Ltda</v>
      </c>
      <c r="R7023" s="33">
        <f>IFERROR(__xludf.DUMMYFUNCTION("""COMPUTED_VALUE"""),1.0)</f>
        <v>1</v>
      </c>
      <c r="S7023" s="4" t="str">
        <f>IFERROR(__xludf.DUMMYFUNCTION("""COMPUTED_VALUE"""),"Cardápio Web")</f>
        <v>Cardápio Web</v>
      </c>
      <c r="T7023" s="33">
        <f>IFERROR(__xludf.DUMMYFUNCTION("""COMPUTED_VALUE"""),0.5)</f>
        <v>0.5</v>
      </c>
      <c r="U7023" s="4" t="str">
        <f>IFERROR(__xludf.DUMMYFUNCTION("""COMPUTED_VALUE"""),"Cardápio Web")</f>
        <v>Cardápio Web</v>
      </c>
      <c r="V7023" s="33">
        <f>IFERROR(__xludf.DUMMYFUNCTION("""COMPUTED_VALUE"""),0.5)</f>
        <v>0.5</v>
      </c>
      <c r="W7023" s="4" t="str">
        <f>IFERROR(__xludf.DUMMYFUNCTION("""COMPUTED_VALUE"""),"Cardápio Web")</f>
        <v>Cardápio Web</v>
      </c>
      <c r="X7023" s="33">
        <f>IFERROR(__xludf.DUMMYFUNCTION("""COMPUTED_VALUE"""),1.0)</f>
        <v>1</v>
      </c>
    </row>
    <row r="7024">
      <c r="K7024" s="4" t="str">
        <f>IFERROR(__xludf.DUMMYFUNCTION("""COMPUTED_VALUE"""),"FLOW - AMERICAN BURGER")</f>
        <v>FLOW - AMERICAN BURGER</v>
      </c>
      <c r="L7024" s="32">
        <f>IFERROR(__xludf.DUMMYFUNCTION("""COMPUTED_VALUE"""),2.0)</f>
        <v>2</v>
      </c>
      <c r="M7024" s="4" t="str">
        <f>IFERROR(__xludf.DUMMYFUNCTION("""COMPUTED_VALUE"""),"Saipos Serviços De Software")</f>
        <v>Saipos Serviços De Software</v>
      </c>
      <c r="N7024" s="33">
        <f>IFERROR(__xludf.DUMMYFUNCTION("""COMPUTED_VALUE"""),0.5)</f>
        <v>0.5</v>
      </c>
      <c r="O7024" s="4" t="str">
        <f>IFERROR(__xludf.DUMMYFUNCTION("""COMPUTED_VALUE"""),"Saipos Serviços De Software")</f>
        <v>Saipos Serviços De Software</v>
      </c>
      <c r="P7024" s="33">
        <f>IFERROR(__xludf.DUMMYFUNCTION("""COMPUTED_VALUE"""),0.5)</f>
        <v>0.5</v>
      </c>
      <c r="Q7024" s="4" t="str">
        <f>IFERROR(__xludf.DUMMYFUNCTION("""COMPUTED_VALUE"""),"Saipos Serviços De Software")</f>
        <v>Saipos Serviços De Software</v>
      </c>
      <c r="R7024" s="33">
        <f>IFERROR(__xludf.DUMMYFUNCTION("""COMPUTED_VALUE"""),1.0)</f>
        <v>1</v>
      </c>
      <c r="S7024" s="4" t="str">
        <f>IFERROR(__xludf.DUMMYFUNCTION("""COMPUTED_VALUE"""),"Saipos Serviços De Software")</f>
        <v>Saipos Serviços De Software</v>
      </c>
      <c r="T7024" s="33">
        <f>IFERROR(__xludf.DUMMYFUNCTION("""COMPUTED_VALUE"""),1.0)</f>
        <v>1</v>
      </c>
      <c r="U7024" s="4" t="str">
        <f>IFERROR(__xludf.DUMMYFUNCTION("""COMPUTED_VALUE"""),"Saipos Serviços De Software")</f>
        <v>Saipos Serviços De Software</v>
      </c>
      <c r="V7024" s="33">
        <f>IFERROR(__xludf.DUMMYFUNCTION("""COMPUTED_VALUE"""),1.0)</f>
        <v>1</v>
      </c>
      <c r="W7024" s="4" t="str">
        <f>IFERROR(__xludf.DUMMYFUNCTION("""COMPUTED_VALUE"""),"Saipos Serviços De Software")</f>
        <v>Saipos Serviços De Software</v>
      </c>
      <c r="X7024" s="33">
        <f>IFERROR(__xludf.DUMMYFUNCTION("""COMPUTED_VALUE"""),1.0)</f>
        <v>1</v>
      </c>
    </row>
    <row r="7025">
      <c r="K7025" s="4" t="str">
        <f>IFERROR(__xludf.DUMMYFUNCTION("""COMPUTED_VALUE"""),"FOGACAS PIZZARIA E HAMBURGUERIA")</f>
        <v>FOGACAS PIZZARIA E HAMBURGUERIA</v>
      </c>
      <c r="L7025" s="32">
        <f>IFERROR(__xludf.DUMMYFUNCTION("""COMPUTED_VALUE"""),2.0)</f>
        <v>2</v>
      </c>
      <c r="M7025" s="4" t="str">
        <f>IFERROR(__xludf.DUMMYFUNCTION("""COMPUTED_VALUE"""),"Eclética Tecnologia")</f>
        <v>Eclética Tecnologia</v>
      </c>
      <c r="N7025" s="33">
        <f>IFERROR(__xludf.DUMMYFUNCTION("""COMPUTED_VALUE"""),1.0)</f>
        <v>1</v>
      </c>
      <c r="O7025" s="4" t="str">
        <f>IFERROR(__xludf.DUMMYFUNCTION("""COMPUTED_VALUE"""),"Eclética Tecnologia")</f>
        <v>Eclética Tecnologia</v>
      </c>
      <c r="P7025" s="33">
        <f>IFERROR(__xludf.DUMMYFUNCTION("""COMPUTED_VALUE"""),1.0)</f>
        <v>1</v>
      </c>
      <c r="Q7025" s="4" t="str">
        <f>IFERROR(__xludf.DUMMYFUNCTION("""COMPUTED_VALUE"""),"Eclética Tecnologia")</f>
        <v>Eclética Tecnologia</v>
      </c>
      <c r="R7025" s="33">
        <f>IFERROR(__xludf.DUMMYFUNCTION("""COMPUTED_VALUE"""),1.0)</f>
        <v>1</v>
      </c>
      <c r="S7025" s="4" t="str">
        <f>IFERROR(__xludf.DUMMYFUNCTION("""COMPUTED_VALUE"""),"Eclética Tecnologia")</f>
        <v>Eclética Tecnologia</v>
      </c>
      <c r="T7025" s="33">
        <f>IFERROR(__xludf.DUMMYFUNCTION("""COMPUTED_VALUE"""),1.0)</f>
        <v>1</v>
      </c>
      <c r="U7025" s="4" t="str">
        <f>IFERROR(__xludf.DUMMYFUNCTION("""COMPUTED_VALUE"""),"Eclética Tecnologia")</f>
        <v>Eclética Tecnologia</v>
      </c>
      <c r="V7025" s="33">
        <f>IFERROR(__xludf.DUMMYFUNCTION("""COMPUTED_VALUE"""),1.0)</f>
        <v>1</v>
      </c>
      <c r="W7025" s="4" t="str">
        <f>IFERROR(__xludf.DUMMYFUNCTION("""COMPUTED_VALUE"""),"Eclética Tecnologia")</f>
        <v>Eclética Tecnologia</v>
      </c>
      <c r="X7025" s="33">
        <f>IFERROR(__xludf.DUMMYFUNCTION("""COMPUTED_VALUE"""),1.0)</f>
        <v>1</v>
      </c>
    </row>
    <row r="7026">
      <c r="K7026" s="4" t="str">
        <f>IFERROR(__xludf.DUMMYFUNCTION("""COMPUTED_VALUE"""),"FOGAZZA - SOROCABA")</f>
        <v>FOGAZZA - SOROCABA</v>
      </c>
      <c r="L7026" s="32">
        <f>IFERROR(__xludf.DUMMYFUNCTION("""COMPUTED_VALUE"""),2.0)</f>
        <v>2</v>
      </c>
      <c r="M7026" s="4" t="str">
        <f>IFERROR(__xludf.DUMMYFUNCTION("""COMPUTED_VALUE"""),"Cardápio Web")</f>
        <v>Cardápio Web</v>
      </c>
      <c r="N7026" s="33">
        <f>IFERROR(__xludf.DUMMYFUNCTION("""COMPUTED_VALUE"""),1.0)</f>
        <v>1</v>
      </c>
      <c r="O7026" s="4" t="str">
        <f>IFERROR(__xludf.DUMMYFUNCTION("""COMPUTED_VALUE"""),"Cardápio Web")</f>
        <v>Cardápio Web</v>
      </c>
      <c r="P7026" s="33">
        <f>IFERROR(__xludf.DUMMYFUNCTION("""COMPUTED_VALUE"""),1.0)</f>
        <v>1</v>
      </c>
      <c r="Q7026" s="4" t="str">
        <f>IFERROR(__xludf.DUMMYFUNCTION("""COMPUTED_VALUE"""),"Cardápio Web")</f>
        <v>Cardápio Web</v>
      </c>
      <c r="R7026" s="33">
        <f>IFERROR(__xludf.DUMMYFUNCTION("""COMPUTED_VALUE"""),1.0)</f>
        <v>1</v>
      </c>
      <c r="S7026" s="4" t="str">
        <f>IFERROR(__xludf.DUMMYFUNCTION("""COMPUTED_VALUE"""),"Cardápio Web")</f>
        <v>Cardápio Web</v>
      </c>
      <c r="T7026" s="33">
        <f>IFERROR(__xludf.DUMMYFUNCTION("""COMPUTED_VALUE"""),1.0)</f>
        <v>1</v>
      </c>
      <c r="U7026" s="4" t="str">
        <f>IFERROR(__xludf.DUMMYFUNCTION("""COMPUTED_VALUE"""),"Cardápio Web")</f>
        <v>Cardápio Web</v>
      </c>
      <c r="V7026" s="33">
        <f>IFERROR(__xludf.DUMMYFUNCTION("""COMPUTED_VALUE"""),1.0)</f>
        <v>1</v>
      </c>
      <c r="W7026" s="4" t="str">
        <f>IFERROR(__xludf.DUMMYFUNCTION("""COMPUTED_VALUE"""),"Cardápio Web")</f>
        <v>Cardápio Web</v>
      </c>
      <c r="X7026" s="33">
        <f>IFERROR(__xludf.DUMMYFUNCTION("""COMPUTED_VALUE"""),1.0)</f>
        <v>1</v>
      </c>
    </row>
    <row r="7027">
      <c r="K7027" s="4" t="str">
        <f>IFERROR(__xludf.DUMMYFUNCTION("""COMPUTED_VALUE"""),"FOGO E CHAMA - CONTA PAI")</f>
        <v>FOGO E CHAMA - CONTA PAI</v>
      </c>
      <c r="L7027" s="32">
        <f>IFERROR(__xludf.DUMMYFUNCTION("""COMPUTED_VALUE"""),2.0)</f>
        <v>2</v>
      </c>
      <c r="M7027" s="4" t="str">
        <f>IFERROR(__xludf.DUMMYFUNCTION("""COMPUTED_VALUE"""),"Ctsi")</f>
        <v>Ctsi</v>
      </c>
      <c r="N7027" s="33">
        <f>IFERROR(__xludf.DUMMYFUNCTION("""COMPUTED_VALUE"""),0.5)</f>
        <v>0.5</v>
      </c>
      <c r="O7027" s="4" t="str">
        <f>IFERROR(__xludf.DUMMYFUNCTION("""COMPUTED_VALUE"""),"Ctsi")</f>
        <v>Ctsi</v>
      </c>
      <c r="P7027" s="33">
        <f>IFERROR(__xludf.DUMMYFUNCTION("""COMPUTED_VALUE"""),0.5)</f>
        <v>0.5</v>
      </c>
      <c r="Q7027" s="4" t="str">
        <f>IFERROR(__xludf.DUMMYFUNCTION("""COMPUTED_VALUE"""),"Ctsi")</f>
        <v>Ctsi</v>
      </c>
      <c r="R7027" s="33">
        <f>IFERROR(__xludf.DUMMYFUNCTION("""COMPUTED_VALUE"""),0.5)</f>
        <v>0.5</v>
      </c>
      <c r="S7027" s="4" t="str">
        <f>IFERROR(__xludf.DUMMYFUNCTION("""COMPUTED_VALUE"""),"Ctsi")</f>
        <v>Ctsi</v>
      </c>
      <c r="T7027" s="33">
        <f>IFERROR(__xludf.DUMMYFUNCTION("""COMPUTED_VALUE"""),0.5)</f>
        <v>0.5</v>
      </c>
      <c r="U7027" s="4" t="str">
        <f>IFERROR(__xludf.DUMMYFUNCTION("""COMPUTED_VALUE"""),"Ctsi")</f>
        <v>Ctsi</v>
      </c>
      <c r="V7027" s="33">
        <f>IFERROR(__xludf.DUMMYFUNCTION("""COMPUTED_VALUE"""),0.5)</f>
        <v>0.5</v>
      </c>
      <c r="W7027" s="4" t="str">
        <f>IFERROR(__xludf.DUMMYFUNCTION("""COMPUTED_VALUE"""),"Ctsi")</f>
        <v>Ctsi</v>
      </c>
      <c r="X7027" s="33">
        <f>IFERROR(__xludf.DUMMYFUNCTION("""COMPUTED_VALUE"""),0.5)</f>
        <v>0.5</v>
      </c>
    </row>
    <row r="7028">
      <c r="K7028" s="4" t="str">
        <f>IFERROR(__xludf.DUMMYFUNCTION("""COMPUTED_VALUE"""),"FOLKZ PIZZAS SALADAS")</f>
        <v>FOLKZ PIZZAS SALADAS</v>
      </c>
      <c r="L7028" s="32">
        <f>IFERROR(__xludf.DUMMYFUNCTION("""COMPUTED_VALUE"""),2.0)</f>
        <v>2</v>
      </c>
      <c r="M7028" s="4" t="str">
        <f>IFERROR(__xludf.DUMMYFUNCTION("""COMPUTED_VALUE"""),"Stone Co.")</f>
        <v>Stone Co.</v>
      </c>
      <c r="N7028" s="33">
        <f>IFERROR(__xludf.DUMMYFUNCTION("""COMPUTED_VALUE"""),1.0)</f>
        <v>1</v>
      </c>
      <c r="O7028" s="4" t="str">
        <f>IFERROR(__xludf.DUMMYFUNCTION("""COMPUTED_VALUE"""),"Stone Co.")</f>
        <v>Stone Co.</v>
      </c>
      <c r="P7028" s="33">
        <f>IFERROR(__xludf.DUMMYFUNCTION("""COMPUTED_VALUE"""),1.0)</f>
        <v>1</v>
      </c>
      <c r="Q7028" s="4" t="str">
        <f>IFERROR(__xludf.DUMMYFUNCTION("""COMPUTED_VALUE"""),"Stone Co.")</f>
        <v>Stone Co.</v>
      </c>
      <c r="R7028" s="33">
        <f>IFERROR(__xludf.DUMMYFUNCTION("""COMPUTED_VALUE"""),1.0)</f>
        <v>1</v>
      </c>
      <c r="S7028" s="4" t="str">
        <f>IFERROR(__xludf.DUMMYFUNCTION("""COMPUTED_VALUE"""),"Stone Co.")</f>
        <v>Stone Co.</v>
      </c>
      <c r="T7028" s="33">
        <f>IFERROR(__xludf.DUMMYFUNCTION("""COMPUTED_VALUE"""),1.0)</f>
        <v>1</v>
      </c>
      <c r="U7028" s="4" t="str">
        <f>IFERROR(__xludf.DUMMYFUNCTION("""COMPUTED_VALUE"""),"Stone Co.")</f>
        <v>Stone Co.</v>
      </c>
      <c r="V7028" s="33">
        <f>IFERROR(__xludf.DUMMYFUNCTION("""COMPUTED_VALUE"""),1.0)</f>
        <v>1</v>
      </c>
      <c r="W7028" s="4" t="str">
        <f>IFERROR(__xludf.DUMMYFUNCTION("""COMPUTED_VALUE"""),"Stone Co.")</f>
        <v>Stone Co.</v>
      </c>
      <c r="X7028" s="33">
        <f>IFERROR(__xludf.DUMMYFUNCTION("""COMPUTED_VALUE"""),1.0)</f>
        <v>1</v>
      </c>
    </row>
    <row r="7029">
      <c r="K7029" s="4" t="str">
        <f>IFERROR(__xludf.DUMMYFUNCTION("""COMPUTED_VALUE"""),"FOODIES BURGER")</f>
        <v>FOODIES BURGER</v>
      </c>
      <c r="L7029" s="32">
        <f>IFERROR(__xludf.DUMMYFUNCTION("""COMPUTED_VALUE"""),2.0)</f>
        <v>2</v>
      </c>
      <c r="M7029" s="4" t="str">
        <f>IFERROR(__xludf.DUMMYFUNCTION("""COMPUTED_VALUE"""),"Takeat Tecnologia")</f>
        <v>Takeat Tecnologia</v>
      </c>
      <c r="N7029" s="33">
        <f>IFERROR(__xludf.DUMMYFUNCTION("""COMPUTED_VALUE"""),1.0)</f>
        <v>1</v>
      </c>
      <c r="O7029" s="4" t="str">
        <f>IFERROR(__xludf.DUMMYFUNCTION("""COMPUTED_VALUE"""),"Takeat Tecnologia")</f>
        <v>Takeat Tecnologia</v>
      </c>
      <c r="P7029" s="33">
        <f>IFERROR(__xludf.DUMMYFUNCTION("""COMPUTED_VALUE"""),1.0)</f>
        <v>1</v>
      </c>
      <c r="Q7029" s="4" t="str">
        <f>IFERROR(__xludf.DUMMYFUNCTION("""COMPUTED_VALUE"""),"Takeat Tecnologia")</f>
        <v>Takeat Tecnologia</v>
      </c>
      <c r="R7029" s="33">
        <f>IFERROR(__xludf.DUMMYFUNCTION("""COMPUTED_VALUE"""),0.5)</f>
        <v>0.5</v>
      </c>
      <c r="S7029" s="4" t="str">
        <f>IFERROR(__xludf.DUMMYFUNCTION("""COMPUTED_VALUE"""),"Takeat Tecnologia")</f>
        <v>Takeat Tecnologia</v>
      </c>
      <c r="T7029" s="33">
        <f>IFERROR(__xludf.DUMMYFUNCTION("""COMPUTED_VALUE"""),1.0)</f>
        <v>1</v>
      </c>
      <c r="U7029" s="4" t="str">
        <f>IFERROR(__xludf.DUMMYFUNCTION("""COMPUTED_VALUE"""),"Takeat Tecnologia")</f>
        <v>Takeat Tecnologia</v>
      </c>
      <c r="V7029" s="33">
        <f>IFERROR(__xludf.DUMMYFUNCTION("""COMPUTED_VALUE"""),0.5)</f>
        <v>0.5</v>
      </c>
      <c r="W7029" s="4" t="str">
        <f>IFERROR(__xludf.DUMMYFUNCTION("""COMPUTED_VALUE"""),"Takeat Tecnologia")</f>
        <v>Takeat Tecnologia</v>
      </c>
      <c r="X7029" s="33">
        <f>IFERROR(__xludf.DUMMYFUNCTION("""COMPUTED_VALUE"""),1.0)</f>
        <v>1</v>
      </c>
    </row>
    <row r="7030">
      <c r="K7030" s="4" t="str">
        <f>IFERROR(__xludf.DUMMYFUNCTION("""COMPUTED_VALUE"""),"FOREST - JOINVILLE - CONTA MARCA")</f>
        <v>FOREST - JOINVILLE - CONTA MARCA</v>
      </c>
      <c r="L7030" s="32">
        <f>IFERROR(__xludf.DUMMYFUNCTION("""COMPUTED_VALUE"""),2.0)</f>
        <v>2</v>
      </c>
      <c r="M7030" s="4" t="str">
        <f>IFERROR(__xludf.DUMMYFUNCTION("""COMPUTED_VALUE"""),"Fs Soluções Em Tecnologia Ltda")</f>
        <v>Fs Soluções Em Tecnologia Ltda</v>
      </c>
      <c r="N7030" s="33">
        <f>IFERROR(__xludf.DUMMYFUNCTION("""COMPUTED_VALUE"""),1.0)</f>
        <v>1</v>
      </c>
      <c r="O7030" s="4" t="str">
        <f>IFERROR(__xludf.DUMMYFUNCTION("""COMPUTED_VALUE"""),"Mp Multipedidos")</f>
        <v>Mp Multipedidos</v>
      </c>
      <c r="P7030" s="33">
        <f>IFERROR(__xludf.DUMMYFUNCTION("""COMPUTED_VALUE"""),1.0)</f>
        <v>1</v>
      </c>
      <c r="Q7030" s="4" t="str">
        <f>IFERROR(__xludf.DUMMYFUNCTION("""COMPUTED_VALUE"""),"Mp Multipedidos")</f>
        <v>Mp Multipedidos</v>
      </c>
      <c r="R7030" s="33">
        <f>IFERROR(__xludf.DUMMYFUNCTION("""COMPUTED_VALUE"""),1.0)</f>
        <v>1</v>
      </c>
      <c r="S7030" s="4" t="str">
        <f>IFERROR(__xludf.DUMMYFUNCTION("""COMPUTED_VALUE"""),"Mp Multipedidos")</f>
        <v>Mp Multipedidos</v>
      </c>
      <c r="T7030" s="33">
        <f>IFERROR(__xludf.DUMMYFUNCTION("""COMPUTED_VALUE"""),1.0)</f>
        <v>1</v>
      </c>
      <c r="U7030" s="4" t="str">
        <f>IFERROR(__xludf.DUMMYFUNCTION("""COMPUTED_VALUE"""),"null")</f>
        <v>null</v>
      </c>
      <c r="V7030" s="33">
        <f>IFERROR(__xludf.DUMMYFUNCTION("""COMPUTED_VALUE"""),1.0)</f>
        <v>1</v>
      </c>
      <c r="W7030" s="4" t="str">
        <f>IFERROR(__xludf.DUMMYFUNCTION("""COMPUTED_VALUE"""),"Fs Soluções Em Tecnologia Ltda")</f>
        <v>Fs Soluções Em Tecnologia Ltda</v>
      </c>
      <c r="X7030" s="33">
        <f>IFERROR(__xludf.DUMMYFUNCTION("""COMPUTED_VALUE"""),1.0)</f>
        <v>1</v>
      </c>
    </row>
    <row r="7031">
      <c r="K7031" s="4" t="str">
        <f>IFERROR(__xludf.DUMMYFUNCTION("""COMPUTED_VALUE"""),"FORNALHA")</f>
        <v>FORNALHA</v>
      </c>
      <c r="L7031" s="32">
        <f>IFERROR(__xludf.DUMMYFUNCTION("""COMPUTED_VALUE"""),2.0)</f>
        <v>2</v>
      </c>
      <c r="M7031" s="4" t="str">
        <f>IFERROR(__xludf.DUMMYFUNCTION("""COMPUTED_VALUE"""),"null")</f>
        <v>null</v>
      </c>
      <c r="N7031" s="33">
        <f>IFERROR(__xludf.DUMMYFUNCTION("""COMPUTED_VALUE"""),1.0)</f>
        <v>1</v>
      </c>
      <c r="O7031" s="4" t="str">
        <f>IFERROR(__xludf.DUMMYFUNCTION("""COMPUTED_VALUE"""),"Fudo Soluciones Sas")</f>
        <v>Fudo Soluciones Sas</v>
      </c>
      <c r="P7031" s="33">
        <f>IFERROR(__xludf.DUMMYFUNCTION("""COMPUTED_VALUE"""),1.0)</f>
        <v>1</v>
      </c>
      <c r="Q7031" s="4" t="str">
        <f>IFERROR(__xludf.DUMMYFUNCTION("""COMPUTED_VALUE"""),"null")</f>
        <v>null</v>
      </c>
      <c r="R7031" s="33">
        <f>IFERROR(__xludf.DUMMYFUNCTION("""COMPUTED_VALUE"""),1.0)</f>
        <v>1</v>
      </c>
      <c r="S7031" s="4" t="str">
        <f>IFERROR(__xludf.DUMMYFUNCTION("""COMPUTED_VALUE"""),"Fudo Soluciones Sas")</f>
        <v>Fudo Soluciones Sas</v>
      </c>
      <c r="T7031" s="33">
        <f>IFERROR(__xludf.DUMMYFUNCTION("""COMPUTED_VALUE"""),0.5)</f>
        <v>0.5</v>
      </c>
      <c r="U7031" s="4" t="str">
        <f>IFERROR(__xludf.DUMMYFUNCTION("""COMPUTED_VALUE"""),"Fudo Soluciones Sas")</f>
        <v>Fudo Soluciones Sas</v>
      </c>
      <c r="V7031" s="33">
        <f>IFERROR(__xludf.DUMMYFUNCTION("""COMPUTED_VALUE"""),0.5)</f>
        <v>0.5</v>
      </c>
      <c r="W7031" s="4" t="str">
        <f>IFERROR(__xludf.DUMMYFUNCTION("""COMPUTED_VALUE"""),"Fudo Soluciones Sas")</f>
        <v>Fudo Soluciones Sas</v>
      </c>
      <c r="X7031" s="33">
        <f>IFERROR(__xludf.DUMMYFUNCTION("""COMPUTED_VALUE"""),1.0)</f>
        <v>1</v>
      </c>
    </row>
    <row r="7032">
      <c r="K7032" s="4" t="str">
        <f>IFERROR(__xludf.DUMMYFUNCTION("""COMPUTED_VALUE"""),"LA PASTA DA ILHA SC - CONTA MARCA")</f>
        <v>LA PASTA DA ILHA SC - CONTA MARCA</v>
      </c>
      <c r="L7032" s="32">
        <f>IFERROR(__xludf.DUMMYFUNCTION("""COMPUTED_VALUE"""),2.0)</f>
        <v>2</v>
      </c>
      <c r="M7032" s="4" t="str">
        <f>IFERROR(__xludf.DUMMYFUNCTION("""COMPUTED_VALUE"""),"null")</f>
        <v>null</v>
      </c>
      <c r="N7032" s="33">
        <f>IFERROR(__xludf.DUMMYFUNCTION("""COMPUTED_VALUE"""),1.0)</f>
        <v>1</v>
      </c>
      <c r="O7032" s="4" t="str">
        <f>IFERROR(__xludf.DUMMYFUNCTION("""COMPUTED_VALUE"""),"null")</f>
        <v>null</v>
      </c>
      <c r="P7032" s="33">
        <f>IFERROR(__xludf.DUMMYFUNCTION("""COMPUTED_VALUE"""),1.0)</f>
        <v>1</v>
      </c>
      <c r="Q7032" s="4" t="str">
        <f>IFERROR(__xludf.DUMMYFUNCTION("""COMPUTED_VALUE"""),"Saipos Serviços De Software")</f>
        <v>Saipos Serviços De Software</v>
      </c>
      <c r="R7032" s="33">
        <f>IFERROR(__xludf.DUMMYFUNCTION("""COMPUTED_VALUE"""),1.0)</f>
        <v>1</v>
      </c>
      <c r="S7032" s="4" t="str">
        <f>IFERROR(__xludf.DUMMYFUNCTION("""COMPUTED_VALUE"""),"Saipos Serviços De Software")</f>
        <v>Saipos Serviços De Software</v>
      </c>
      <c r="T7032" s="33">
        <f>IFERROR(__xludf.DUMMYFUNCTION("""COMPUTED_VALUE"""),1.0)</f>
        <v>1</v>
      </c>
      <c r="U7032" s="4" t="str">
        <f>IFERROR(__xludf.DUMMYFUNCTION("""COMPUTED_VALUE"""),"Saipos Serviços De Software")</f>
        <v>Saipos Serviços De Software</v>
      </c>
      <c r="V7032" s="33">
        <f>IFERROR(__xludf.DUMMYFUNCTION("""COMPUTED_VALUE"""),1.0)</f>
        <v>1</v>
      </c>
      <c r="W7032" s="4" t="str">
        <f>IFERROR(__xludf.DUMMYFUNCTION("""COMPUTED_VALUE"""),"Saipos Serviços De Software")</f>
        <v>Saipos Serviços De Software</v>
      </c>
      <c r="X7032" s="33">
        <f>IFERROR(__xludf.DUMMYFUNCTION("""COMPUTED_VALUE"""),1.0)</f>
        <v>1</v>
      </c>
    </row>
    <row r="7033">
      <c r="K7033" s="4" t="str">
        <f>IFERROR(__xludf.DUMMYFUNCTION("""COMPUTED_VALUE"""),"GRUPO LA PASTA DA ILHA - SC")</f>
        <v>GRUPO LA PASTA DA ILHA - SC</v>
      </c>
      <c r="L7033" s="32">
        <f>IFERROR(__xludf.DUMMYFUNCTION("""COMPUTED_VALUE"""),2.0)</f>
        <v>2</v>
      </c>
      <c r="M7033" s="4" t="str">
        <f>IFERROR(__xludf.DUMMYFUNCTION("""COMPUTED_VALUE"""),"null")</f>
        <v>null</v>
      </c>
      <c r="N7033" s="33">
        <f>IFERROR(__xludf.DUMMYFUNCTION("""COMPUTED_VALUE"""),1.0)</f>
        <v>1</v>
      </c>
      <c r="O7033" s="4" t="str">
        <f>IFERROR(__xludf.DUMMYFUNCTION("""COMPUTED_VALUE"""),"null")</f>
        <v>null</v>
      </c>
      <c r="P7033" s="33">
        <f>IFERROR(__xludf.DUMMYFUNCTION("""COMPUTED_VALUE"""),1.0)</f>
        <v>1</v>
      </c>
      <c r="Q7033" s="4" t="str">
        <f>IFERROR(__xludf.DUMMYFUNCTION("""COMPUTED_VALUE"""),"Saipos Serviços De Software")</f>
        <v>Saipos Serviços De Software</v>
      </c>
      <c r="R7033" s="33">
        <f>IFERROR(__xludf.DUMMYFUNCTION("""COMPUTED_VALUE"""),1.0)</f>
        <v>1</v>
      </c>
      <c r="S7033" s="4" t="str">
        <f>IFERROR(__xludf.DUMMYFUNCTION("""COMPUTED_VALUE"""),"Saipos Serviços De Software")</f>
        <v>Saipos Serviços De Software</v>
      </c>
      <c r="T7033" s="33">
        <f>IFERROR(__xludf.DUMMYFUNCTION("""COMPUTED_VALUE"""),1.0)</f>
        <v>1</v>
      </c>
      <c r="U7033" s="4" t="str">
        <f>IFERROR(__xludf.DUMMYFUNCTION("""COMPUTED_VALUE"""),"Saipos Serviços De Software")</f>
        <v>Saipos Serviços De Software</v>
      </c>
      <c r="V7033" s="33">
        <f>IFERROR(__xludf.DUMMYFUNCTION("""COMPUTED_VALUE"""),1.0)</f>
        <v>1</v>
      </c>
      <c r="W7033" s="4" t="str">
        <f>IFERROR(__xludf.DUMMYFUNCTION("""COMPUTED_VALUE"""),"Saipos Serviços De Software")</f>
        <v>Saipos Serviços De Software</v>
      </c>
      <c r="X7033" s="33">
        <f>IFERROR(__xludf.DUMMYFUNCTION("""COMPUTED_VALUE"""),1.0)</f>
        <v>1</v>
      </c>
    </row>
    <row r="7034">
      <c r="K7034" s="4" t="str">
        <f>IFERROR(__xludf.DUMMYFUNCTION("""COMPUTED_VALUE"""),"FORNERIA BERTOZZI")</f>
        <v>FORNERIA BERTOZZI</v>
      </c>
      <c r="L7034" s="32">
        <f>IFERROR(__xludf.DUMMYFUNCTION("""COMPUTED_VALUE"""),2.0)</f>
        <v>2</v>
      </c>
      <c r="M7034" s="4" t="str">
        <f>IFERROR(__xludf.DUMMYFUNCTION("""COMPUTED_VALUE"""),"Saipos Serviços De Software")</f>
        <v>Saipos Serviços De Software</v>
      </c>
      <c r="N7034" s="33">
        <f>IFERROR(__xludf.DUMMYFUNCTION("""COMPUTED_VALUE"""),1.0)</f>
        <v>1</v>
      </c>
      <c r="O7034" s="4" t="str">
        <f>IFERROR(__xludf.DUMMYFUNCTION("""COMPUTED_VALUE"""),"Saipos Serviços De Software")</f>
        <v>Saipos Serviços De Software</v>
      </c>
      <c r="P7034" s="33">
        <f>IFERROR(__xludf.DUMMYFUNCTION("""COMPUTED_VALUE"""),1.0)</f>
        <v>1</v>
      </c>
      <c r="Q7034" s="4" t="str">
        <f>IFERROR(__xludf.DUMMYFUNCTION("""COMPUTED_VALUE"""),"null")</f>
        <v>null</v>
      </c>
      <c r="R7034" s="33">
        <f>IFERROR(__xludf.DUMMYFUNCTION("""COMPUTED_VALUE"""),0.5)</f>
        <v>0.5</v>
      </c>
      <c r="S7034" s="4" t="str">
        <f>IFERROR(__xludf.DUMMYFUNCTION("""COMPUTED_VALUE"""),"Saipos Serviços De Software")</f>
        <v>Saipos Serviços De Software</v>
      </c>
      <c r="T7034" s="33">
        <f>IFERROR(__xludf.DUMMYFUNCTION("""COMPUTED_VALUE"""),1.0)</f>
        <v>1</v>
      </c>
      <c r="U7034" s="4" t="str">
        <f>IFERROR(__xludf.DUMMYFUNCTION("""COMPUTED_VALUE"""),"null")</f>
        <v>null</v>
      </c>
      <c r="V7034" s="33">
        <f>IFERROR(__xludf.DUMMYFUNCTION("""COMPUTED_VALUE"""),0.5)</f>
        <v>0.5</v>
      </c>
      <c r="W7034" s="4" t="str">
        <f>IFERROR(__xludf.DUMMYFUNCTION("""COMPUTED_VALUE"""),"null")</f>
        <v>null</v>
      </c>
      <c r="X7034" s="33">
        <f>IFERROR(__xludf.DUMMYFUNCTION("""COMPUTED_VALUE"""),0.5)</f>
        <v>0.5</v>
      </c>
    </row>
    <row r="7035">
      <c r="K7035" s="4" t="str">
        <f>IFERROR(__xludf.DUMMYFUNCTION("""COMPUTED_VALUE"""),"FORNO ORIGINAL - CONTA GRUPO")</f>
        <v>FORNO ORIGINAL - CONTA GRUPO</v>
      </c>
      <c r="L7035" s="32">
        <f>IFERROR(__xludf.DUMMYFUNCTION("""COMPUTED_VALUE"""),2.0)</f>
        <v>2</v>
      </c>
      <c r="M7035" s="4" t="str">
        <f>IFERROR(__xludf.DUMMYFUNCTION("""COMPUTED_VALUE"""),"null")</f>
        <v>null</v>
      </c>
      <c r="N7035" s="33">
        <f>IFERROR(__xludf.DUMMYFUNCTION("""COMPUTED_VALUE"""),1.0)</f>
        <v>1</v>
      </c>
      <c r="O7035" s="4" t="str">
        <f>IFERROR(__xludf.DUMMYFUNCTION("""COMPUTED_VALUE"""),"null")</f>
        <v>null</v>
      </c>
      <c r="P7035" s="33">
        <f>IFERROR(__xludf.DUMMYFUNCTION("""COMPUTED_VALUE"""),1.0)</f>
        <v>1</v>
      </c>
      <c r="Q7035" s="4" t="str">
        <f>IFERROR(__xludf.DUMMYFUNCTION("""COMPUTED_VALUE"""),"null")</f>
        <v>null</v>
      </c>
      <c r="R7035" s="33">
        <f>IFERROR(__xludf.DUMMYFUNCTION("""COMPUTED_VALUE"""),1.0)</f>
        <v>1</v>
      </c>
      <c r="S7035" s="4" t="str">
        <f>IFERROR(__xludf.DUMMYFUNCTION("""COMPUTED_VALUE"""),"null")</f>
        <v>null</v>
      </c>
      <c r="T7035" s="33">
        <f>IFERROR(__xludf.DUMMYFUNCTION("""COMPUTED_VALUE"""),1.0)</f>
        <v>1</v>
      </c>
      <c r="U7035" s="4" t="str">
        <f>IFERROR(__xludf.DUMMYFUNCTION("""COMPUTED_VALUE"""),"Saipos Serviços De Software")</f>
        <v>Saipos Serviços De Software</v>
      </c>
      <c r="V7035" s="33">
        <f>IFERROR(__xludf.DUMMYFUNCTION("""COMPUTED_VALUE"""),1.0)</f>
        <v>1</v>
      </c>
      <c r="W7035" s="4" t="str">
        <f>IFERROR(__xludf.DUMMYFUNCTION("""COMPUTED_VALUE"""),"Saipos Serviços De Software")</f>
        <v>Saipos Serviços De Software</v>
      </c>
      <c r="X7035" s="33">
        <f>IFERROR(__xludf.DUMMYFUNCTION("""COMPUTED_VALUE"""),1.0)</f>
        <v>1</v>
      </c>
    </row>
    <row r="7036">
      <c r="K7036" s="4" t="str">
        <f>IFERROR(__xludf.DUMMYFUNCTION("""COMPUTED_VALUE"""),"FORTALEZA LANCHES - SOROCABA")</f>
        <v>FORTALEZA LANCHES - SOROCABA</v>
      </c>
      <c r="L7036" s="32">
        <f>IFERROR(__xludf.DUMMYFUNCTION("""COMPUTED_VALUE"""),2.0)</f>
        <v>2</v>
      </c>
      <c r="M7036" s="4" t="str">
        <f>IFERROR(__xludf.DUMMYFUNCTION("""COMPUTED_VALUE"""),"Beefood - Sistema Para Restaurantes")</f>
        <v>Beefood - Sistema Para Restaurantes</v>
      </c>
      <c r="N7036" s="33">
        <f>IFERROR(__xludf.DUMMYFUNCTION("""COMPUTED_VALUE"""),0.5)</f>
        <v>0.5</v>
      </c>
      <c r="O7036" s="4" t="str">
        <f>IFERROR(__xludf.DUMMYFUNCTION("""COMPUTED_VALUE"""),"Beefood - Sistema Para Restaurantes")</f>
        <v>Beefood - Sistema Para Restaurantes</v>
      </c>
      <c r="P7036" s="33">
        <f>IFERROR(__xludf.DUMMYFUNCTION("""COMPUTED_VALUE"""),0.5)</f>
        <v>0.5</v>
      </c>
      <c r="Q7036" s="4" t="str">
        <f>IFERROR(__xludf.DUMMYFUNCTION("""COMPUTED_VALUE"""),"Beefood - Sistema Para Restaurantes")</f>
        <v>Beefood - Sistema Para Restaurantes</v>
      </c>
      <c r="R7036" s="33">
        <f>IFERROR(__xludf.DUMMYFUNCTION("""COMPUTED_VALUE"""),0.5)</f>
        <v>0.5</v>
      </c>
      <c r="S7036" s="4" t="str">
        <f>IFERROR(__xludf.DUMMYFUNCTION("""COMPUTED_VALUE"""),"Beefood - Sistema Para Restaurantes")</f>
        <v>Beefood - Sistema Para Restaurantes</v>
      </c>
      <c r="T7036" s="33">
        <f>IFERROR(__xludf.DUMMYFUNCTION("""COMPUTED_VALUE"""),0.5)</f>
        <v>0.5</v>
      </c>
      <c r="U7036" s="4" t="str">
        <f>IFERROR(__xludf.DUMMYFUNCTION("""COMPUTED_VALUE"""),"Beefood - Sistema Para Restaurantes")</f>
        <v>Beefood - Sistema Para Restaurantes</v>
      </c>
      <c r="V7036" s="33">
        <f>IFERROR(__xludf.DUMMYFUNCTION("""COMPUTED_VALUE"""),0.5)</f>
        <v>0.5</v>
      </c>
      <c r="W7036" s="4" t="str">
        <f>IFERROR(__xludf.DUMMYFUNCTION("""COMPUTED_VALUE"""),"Beefood - Sistema Para Restaurantes")</f>
        <v>Beefood - Sistema Para Restaurantes</v>
      </c>
      <c r="X7036" s="33">
        <f>IFERROR(__xludf.DUMMYFUNCTION("""COMPUTED_VALUE"""),1.0)</f>
        <v>1</v>
      </c>
    </row>
    <row r="7037">
      <c r="K7037" s="4" t="str">
        <f>IFERROR(__xludf.DUMMYFUNCTION("""COMPUTED_VALUE"""),"FORTE APACHE LANCHES - CONTA PAI")</f>
        <v>FORTE APACHE LANCHES - CONTA PAI</v>
      </c>
      <c r="L7037" s="32">
        <f>IFERROR(__xludf.DUMMYFUNCTION("""COMPUTED_VALUE"""),2.0)</f>
        <v>2</v>
      </c>
      <c r="M7037" s="4" t="str">
        <f>IFERROR(__xludf.DUMMYFUNCTION("""COMPUTED_VALUE"""),"Saipos Serviços De Software")</f>
        <v>Saipos Serviços De Software</v>
      </c>
      <c r="N7037" s="33">
        <f>IFERROR(__xludf.DUMMYFUNCTION("""COMPUTED_VALUE"""),1.0)</f>
        <v>1</v>
      </c>
      <c r="O7037" s="4" t="str">
        <f>IFERROR(__xludf.DUMMYFUNCTION("""COMPUTED_VALUE"""),"Saipos Serviços De Software")</f>
        <v>Saipos Serviços De Software</v>
      </c>
      <c r="P7037" s="33">
        <f>IFERROR(__xludf.DUMMYFUNCTION("""COMPUTED_VALUE"""),1.0)</f>
        <v>1</v>
      </c>
      <c r="Q7037" s="4" t="str">
        <f>IFERROR(__xludf.DUMMYFUNCTION("""COMPUTED_VALUE"""),"Saipos Serviços De Software")</f>
        <v>Saipos Serviços De Software</v>
      </c>
      <c r="R7037" s="33">
        <f>IFERROR(__xludf.DUMMYFUNCTION("""COMPUTED_VALUE"""),1.0)</f>
        <v>1</v>
      </c>
      <c r="S7037" s="4" t="str">
        <f>IFERROR(__xludf.DUMMYFUNCTION("""COMPUTED_VALUE"""),"Saipos Serviços De Software")</f>
        <v>Saipos Serviços De Software</v>
      </c>
      <c r="T7037" s="33">
        <f>IFERROR(__xludf.DUMMYFUNCTION("""COMPUTED_VALUE"""),1.0)</f>
        <v>1</v>
      </c>
      <c r="U7037" s="4" t="str">
        <f>IFERROR(__xludf.DUMMYFUNCTION("""COMPUTED_VALUE"""),"Saipos Serviços De Software")</f>
        <v>Saipos Serviços De Software</v>
      </c>
      <c r="V7037" s="33">
        <f>IFERROR(__xludf.DUMMYFUNCTION("""COMPUTED_VALUE"""),1.0)</f>
        <v>1</v>
      </c>
      <c r="W7037" s="4" t="str">
        <f>IFERROR(__xludf.DUMMYFUNCTION("""COMPUTED_VALUE"""),"Saipos Serviços De Software")</f>
        <v>Saipos Serviços De Software</v>
      </c>
      <c r="X7037" s="33">
        <f>IFERROR(__xludf.DUMMYFUNCTION("""COMPUTED_VALUE"""),1.0)</f>
        <v>1</v>
      </c>
    </row>
    <row r="7038">
      <c r="K7038" s="4" t="str">
        <f>IFERROR(__xludf.DUMMYFUNCTION("""COMPUTED_VALUE"""),"FRANGO FRITO EXPRESS")</f>
        <v>FRANGO FRITO EXPRESS</v>
      </c>
      <c r="L7038" s="32">
        <f>IFERROR(__xludf.DUMMYFUNCTION("""COMPUTED_VALUE"""),2.0)</f>
        <v>2</v>
      </c>
      <c r="M7038" s="4" t="str">
        <f>IFERROR(__xludf.DUMMYFUNCTION("""COMPUTED_VALUE"""),"Beefood - Sistema Para Restaurantes")</f>
        <v>Beefood - Sistema Para Restaurantes</v>
      </c>
      <c r="N7038" s="33">
        <f>IFERROR(__xludf.DUMMYFUNCTION("""COMPUTED_VALUE"""),0.5)</f>
        <v>0.5</v>
      </c>
      <c r="O7038" s="4" t="str">
        <f>IFERROR(__xludf.DUMMYFUNCTION("""COMPUTED_VALUE"""),"Beefood - Sistema Para Restaurantes")</f>
        <v>Beefood - Sistema Para Restaurantes</v>
      </c>
      <c r="P7038" s="33">
        <f>IFERROR(__xludf.DUMMYFUNCTION("""COMPUTED_VALUE"""),0.5)</f>
        <v>0.5</v>
      </c>
      <c r="Q7038" s="4" t="str">
        <f>IFERROR(__xludf.DUMMYFUNCTION("""COMPUTED_VALUE"""),"Beefood - Sistema Para Restaurantes")</f>
        <v>Beefood - Sistema Para Restaurantes</v>
      </c>
      <c r="R7038" s="33">
        <f>IFERROR(__xludf.DUMMYFUNCTION("""COMPUTED_VALUE"""),0.5)</f>
        <v>0.5</v>
      </c>
      <c r="S7038" s="4" t="str">
        <f>IFERROR(__xludf.DUMMYFUNCTION("""COMPUTED_VALUE"""),"Beefood - Sistema Para Restaurantes")</f>
        <v>Beefood - Sistema Para Restaurantes</v>
      </c>
      <c r="T7038" s="33">
        <f>IFERROR(__xludf.DUMMYFUNCTION("""COMPUTED_VALUE"""),0.5)</f>
        <v>0.5</v>
      </c>
      <c r="U7038" s="4" t="str">
        <f>IFERROR(__xludf.DUMMYFUNCTION("""COMPUTED_VALUE"""),"Beefood - Sistema Para Restaurantes")</f>
        <v>Beefood - Sistema Para Restaurantes</v>
      </c>
      <c r="V7038" s="33">
        <f>IFERROR(__xludf.DUMMYFUNCTION("""COMPUTED_VALUE"""),0.5)</f>
        <v>0.5</v>
      </c>
      <c r="W7038" s="4" t="str">
        <f>IFERROR(__xludf.DUMMYFUNCTION("""COMPUTED_VALUE"""),"Beefood - Sistema Para Restaurantes")</f>
        <v>Beefood - Sistema Para Restaurantes</v>
      </c>
      <c r="X7038" s="33">
        <f>IFERROR(__xludf.DUMMYFUNCTION("""COMPUTED_VALUE"""),0.5)</f>
        <v>0.5</v>
      </c>
    </row>
    <row r="7039">
      <c r="K7039" s="4" t="str">
        <f>IFERROR(__xludf.DUMMYFUNCTION("""COMPUTED_VALUE"""),"FRANGUINHO DO MIX")</f>
        <v>FRANGUINHO DO MIX</v>
      </c>
      <c r="L7039" s="32">
        <f>IFERROR(__xludf.DUMMYFUNCTION("""COMPUTED_VALUE"""),2.0)</f>
        <v>2</v>
      </c>
      <c r="M7039" s="4" t="str">
        <f>IFERROR(__xludf.DUMMYFUNCTION("""COMPUTED_VALUE"""),"Yooga")</f>
        <v>Yooga</v>
      </c>
      <c r="N7039" s="33">
        <f>IFERROR(__xludf.DUMMYFUNCTION("""COMPUTED_VALUE"""),1.0)</f>
        <v>1</v>
      </c>
      <c r="O7039" s="4" t="str">
        <f>IFERROR(__xludf.DUMMYFUNCTION("""COMPUTED_VALUE"""),"Yooga")</f>
        <v>Yooga</v>
      </c>
      <c r="P7039" s="33">
        <f>IFERROR(__xludf.DUMMYFUNCTION("""COMPUTED_VALUE"""),1.0)</f>
        <v>1</v>
      </c>
      <c r="Q7039" s="4" t="str">
        <f>IFERROR(__xludf.DUMMYFUNCTION("""COMPUTED_VALUE"""),"Yooga")</f>
        <v>Yooga</v>
      </c>
      <c r="R7039" s="33">
        <f>IFERROR(__xludf.DUMMYFUNCTION("""COMPUTED_VALUE"""),1.0)</f>
        <v>1</v>
      </c>
      <c r="S7039" s="4" t="str">
        <f>IFERROR(__xludf.DUMMYFUNCTION("""COMPUTED_VALUE"""),"Yooga")</f>
        <v>Yooga</v>
      </c>
      <c r="T7039" s="33">
        <f>IFERROR(__xludf.DUMMYFUNCTION("""COMPUTED_VALUE"""),1.0)</f>
        <v>1</v>
      </c>
      <c r="U7039" s="4" t="str">
        <f>IFERROR(__xludf.DUMMYFUNCTION("""COMPUTED_VALUE"""),"Yooga")</f>
        <v>Yooga</v>
      </c>
      <c r="V7039" s="33">
        <f>IFERROR(__xludf.DUMMYFUNCTION("""COMPUTED_VALUE"""),1.0)</f>
        <v>1</v>
      </c>
      <c r="W7039" s="4" t="str">
        <f>IFERROR(__xludf.DUMMYFUNCTION("""COMPUTED_VALUE"""),"Yooga")</f>
        <v>Yooga</v>
      </c>
      <c r="X7039" s="33">
        <f>IFERROR(__xludf.DUMMYFUNCTION("""COMPUTED_VALUE"""),1.0)</f>
        <v>1</v>
      </c>
    </row>
    <row r="7040">
      <c r="K7040" s="4" t="str">
        <f>IFERROR(__xludf.DUMMYFUNCTION("""COMPUTED_VALUE"""),"FRANGUINHO GRU")</f>
        <v>FRANGUINHO GRU</v>
      </c>
      <c r="L7040" s="32">
        <f>IFERROR(__xludf.DUMMYFUNCTION("""COMPUTED_VALUE"""),2.0)</f>
        <v>2</v>
      </c>
      <c r="M7040" s="4" t="str">
        <f>IFERROR(__xludf.DUMMYFUNCTION("""COMPUTED_VALUE"""),"Anota Ai Solucoes Digitais S/a")</f>
        <v>Anota Ai Solucoes Digitais S/a</v>
      </c>
      <c r="N7040" s="33">
        <f>IFERROR(__xludf.DUMMYFUNCTION("""COMPUTED_VALUE"""),1.0)</f>
        <v>1</v>
      </c>
      <c r="O7040" s="4" t="str">
        <f>IFERROR(__xludf.DUMMYFUNCTION("""COMPUTED_VALUE"""),"Anota Ai Solucoes Digitais S/a")</f>
        <v>Anota Ai Solucoes Digitais S/a</v>
      </c>
      <c r="P7040" s="33">
        <f>IFERROR(__xludf.DUMMYFUNCTION("""COMPUTED_VALUE"""),1.0)</f>
        <v>1</v>
      </c>
      <c r="Q7040" s="4" t="str">
        <f>IFERROR(__xludf.DUMMYFUNCTION("""COMPUTED_VALUE"""),"null")</f>
        <v>null</v>
      </c>
      <c r="R7040" s="33">
        <f>IFERROR(__xludf.DUMMYFUNCTION("""COMPUTED_VALUE"""),0.5)</f>
        <v>0.5</v>
      </c>
      <c r="S7040" s="4" t="str">
        <f>IFERROR(__xludf.DUMMYFUNCTION("""COMPUTED_VALUE"""),"null")</f>
        <v>null</v>
      </c>
      <c r="T7040" s="33">
        <f>IFERROR(__xludf.DUMMYFUNCTION("""COMPUTED_VALUE"""),0.5)</f>
        <v>0.5</v>
      </c>
      <c r="U7040" s="4" t="str">
        <f>IFERROR(__xludf.DUMMYFUNCTION("""COMPUTED_VALUE"""),"null")</f>
        <v>null</v>
      </c>
      <c r="V7040" s="33">
        <f>IFERROR(__xludf.DUMMYFUNCTION("""COMPUTED_VALUE"""),0.5)</f>
        <v>0.5</v>
      </c>
      <c r="W7040" s="4" t="str">
        <f>IFERROR(__xludf.DUMMYFUNCTION("""COMPUTED_VALUE"""),"null")</f>
        <v>null</v>
      </c>
      <c r="X7040" s="33">
        <f>IFERROR(__xludf.DUMMYFUNCTION("""COMPUTED_VALUE"""),1.0)</f>
        <v>1</v>
      </c>
    </row>
    <row r="7041">
      <c r="K7041" s="4" t="str">
        <f>IFERROR(__xludf.DUMMYFUNCTION("""COMPUTED_VALUE"""),"FRIDAYS")</f>
        <v>FRIDAYS</v>
      </c>
      <c r="L7041" s="32">
        <f>IFERROR(__xludf.DUMMYFUNCTION("""COMPUTED_VALUE"""),2.0)</f>
        <v>2</v>
      </c>
      <c r="M7041" s="4" t="str">
        <f>IFERROR(__xludf.DUMMYFUNCTION("""COMPUTED_VALUE"""),"Tinc Technology")</f>
        <v>Tinc Technology</v>
      </c>
      <c r="N7041" s="33">
        <f>IFERROR(__xludf.DUMMYFUNCTION("""COMPUTED_VALUE"""),1.0)</f>
        <v>1</v>
      </c>
      <c r="O7041" s="4" t="str">
        <f>IFERROR(__xludf.DUMMYFUNCTION("""COMPUTED_VALUE"""),"Tinc Technology")</f>
        <v>Tinc Technology</v>
      </c>
      <c r="P7041" s="33">
        <f>IFERROR(__xludf.DUMMYFUNCTION("""COMPUTED_VALUE"""),1.0)</f>
        <v>1</v>
      </c>
      <c r="Q7041" s="4" t="str">
        <f>IFERROR(__xludf.DUMMYFUNCTION("""COMPUTED_VALUE"""),"Tinc Technology")</f>
        <v>Tinc Technology</v>
      </c>
      <c r="R7041" s="33">
        <f>IFERROR(__xludf.DUMMYFUNCTION("""COMPUTED_VALUE"""),1.0)</f>
        <v>1</v>
      </c>
      <c r="S7041" s="4" t="str">
        <f>IFERROR(__xludf.DUMMYFUNCTION("""COMPUTED_VALUE"""),"Tinc Technology")</f>
        <v>Tinc Technology</v>
      </c>
      <c r="T7041" s="33">
        <f>IFERROR(__xludf.DUMMYFUNCTION("""COMPUTED_VALUE"""),1.0)</f>
        <v>1</v>
      </c>
      <c r="U7041" s="4" t="str">
        <f>IFERROR(__xludf.DUMMYFUNCTION("""COMPUTED_VALUE"""),"Tinc Technology")</f>
        <v>Tinc Technology</v>
      </c>
      <c r="V7041" s="33">
        <f>IFERROR(__xludf.DUMMYFUNCTION("""COMPUTED_VALUE"""),1.0)</f>
        <v>1</v>
      </c>
      <c r="W7041" s="4" t="str">
        <f>IFERROR(__xludf.DUMMYFUNCTION("""COMPUTED_VALUE"""),"Tinc Technology")</f>
        <v>Tinc Technology</v>
      </c>
      <c r="X7041" s="33">
        <f>IFERROR(__xludf.DUMMYFUNCTION("""COMPUTED_VALUE"""),1.0)</f>
        <v>1</v>
      </c>
    </row>
    <row r="7042">
      <c r="K7042" s="4" t="str">
        <f>IFERROR(__xludf.DUMMYFUNCTION("""COMPUTED_VALUE"""),"FRIGOAIS - CONTA PAI")</f>
        <v>FRIGOAIS - CONTA PAI</v>
      </c>
      <c r="L7042" s="32">
        <f>IFERROR(__xludf.DUMMYFUNCTION("""COMPUTED_VALUE"""),2.0)</f>
        <v>2</v>
      </c>
      <c r="M7042" s="4" t="str">
        <f>IFERROR(__xludf.DUMMYFUNCTION("""COMPUTED_VALUE"""),"N/A (Not found)")</f>
        <v>N/A (Not found)</v>
      </c>
      <c r="N7042" s="33">
        <f>IFERROR(__xludf.DUMMYFUNCTION("""COMPUTED_VALUE"""),1.0)</f>
        <v>1</v>
      </c>
      <c r="O7042" s="4" t="str">
        <f>IFERROR(__xludf.DUMMYFUNCTION("""COMPUTED_VALUE"""),"N/A (Not found)")</f>
        <v>N/A (Not found)</v>
      </c>
      <c r="P7042" s="33">
        <f>IFERROR(__xludf.DUMMYFUNCTION("""COMPUTED_VALUE"""),1.0)</f>
        <v>1</v>
      </c>
      <c r="Q7042" s="4" t="str">
        <f>IFERROR(__xludf.DUMMYFUNCTION("""COMPUTED_VALUE"""),"N/A (Not found)")</f>
        <v>N/A (Not found)</v>
      </c>
      <c r="R7042" s="33">
        <f>IFERROR(__xludf.DUMMYFUNCTION("""COMPUTED_VALUE"""),1.0)</f>
        <v>1</v>
      </c>
      <c r="S7042" s="4" t="str">
        <f>IFERROR(__xludf.DUMMYFUNCTION("""COMPUTED_VALUE"""),"N/A (Not found)")</f>
        <v>N/A (Not found)</v>
      </c>
      <c r="T7042" s="33">
        <f>IFERROR(__xludf.DUMMYFUNCTION("""COMPUTED_VALUE"""),1.0)</f>
        <v>1</v>
      </c>
      <c r="U7042" s="4" t="str">
        <f>IFERROR(__xludf.DUMMYFUNCTION("""COMPUTED_VALUE"""),"N/A (Not found)")</f>
        <v>N/A (Not found)</v>
      </c>
      <c r="V7042" s="33">
        <f>IFERROR(__xludf.DUMMYFUNCTION("""COMPUTED_VALUE"""),1.0)</f>
        <v>1</v>
      </c>
      <c r="W7042" s="4" t="str">
        <f>IFERROR(__xludf.DUMMYFUNCTION("""COMPUTED_VALUE"""),"N/A (Not found)")</f>
        <v>N/A (Not found)</v>
      </c>
      <c r="X7042" s="33">
        <f>IFERROR(__xludf.DUMMYFUNCTION("""COMPUTED_VALUE"""),1.0)</f>
        <v>1</v>
      </c>
    </row>
    <row r="7043">
      <c r="K7043" s="4" t="str">
        <f>IFERROR(__xludf.DUMMYFUNCTION("""COMPUTED_VALUE"""),"FRIGOIAS I")</f>
        <v>FRIGOIAS I</v>
      </c>
      <c r="L7043" s="32">
        <f>IFERROR(__xludf.DUMMYFUNCTION("""COMPUTED_VALUE"""),2.0)</f>
        <v>2</v>
      </c>
      <c r="M7043" s="4" t="str">
        <f>IFERROR(__xludf.DUMMYFUNCTION("""COMPUTED_VALUE"""),"N/A (Not found)")</f>
        <v>N/A (Not found)</v>
      </c>
      <c r="N7043" s="33">
        <f>IFERROR(__xludf.DUMMYFUNCTION("""COMPUTED_VALUE"""),1.0)</f>
        <v>1</v>
      </c>
      <c r="O7043" s="4" t="str">
        <f>IFERROR(__xludf.DUMMYFUNCTION("""COMPUTED_VALUE"""),"N/A (Not found)")</f>
        <v>N/A (Not found)</v>
      </c>
      <c r="P7043" s="33">
        <f>IFERROR(__xludf.DUMMYFUNCTION("""COMPUTED_VALUE"""),1.0)</f>
        <v>1</v>
      </c>
      <c r="Q7043" s="4" t="str">
        <f>IFERROR(__xludf.DUMMYFUNCTION("""COMPUTED_VALUE"""),"N/A (Not found)")</f>
        <v>N/A (Not found)</v>
      </c>
      <c r="R7043" s="33">
        <f>IFERROR(__xludf.DUMMYFUNCTION("""COMPUTED_VALUE"""),1.0)</f>
        <v>1</v>
      </c>
      <c r="S7043" s="4" t="str">
        <f>IFERROR(__xludf.DUMMYFUNCTION("""COMPUTED_VALUE"""),"N/A (Not found)")</f>
        <v>N/A (Not found)</v>
      </c>
      <c r="T7043" s="33">
        <f>IFERROR(__xludf.DUMMYFUNCTION("""COMPUTED_VALUE"""),1.0)</f>
        <v>1</v>
      </c>
      <c r="U7043" s="4" t="str">
        <f>IFERROR(__xludf.DUMMYFUNCTION("""COMPUTED_VALUE"""),"N/A (Not found)")</f>
        <v>N/A (Not found)</v>
      </c>
      <c r="V7043" s="33">
        <f>IFERROR(__xludf.DUMMYFUNCTION("""COMPUTED_VALUE"""),1.0)</f>
        <v>1</v>
      </c>
      <c r="W7043" s="4" t="str">
        <f>IFERROR(__xludf.DUMMYFUNCTION("""COMPUTED_VALUE"""),"N/A (Not found)")</f>
        <v>N/A (Not found)</v>
      </c>
      <c r="X7043" s="33">
        <f>IFERROR(__xludf.DUMMYFUNCTION("""COMPUTED_VALUE"""),1.0)</f>
        <v>1</v>
      </c>
    </row>
    <row r="7044">
      <c r="K7044" s="4" t="str">
        <f>IFERROR(__xludf.DUMMYFUNCTION("""COMPUTED_VALUE"""),"FRUIT POWER ACAI DELIVERY")</f>
        <v>FRUIT POWER ACAI DELIVERY</v>
      </c>
      <c r="L7044" s="32">
        <f>IFERROR(__xludf.DUMMYFUNCTION("""COMPUTED_VALUE"""),2.0)</f>
        <v>2</v>
      </c>
      <c r="M7044" s="4" t="str">
        <f>IFERROR(__xludf.DUMMYFUNCTION("""COMPUTED_VALUE"""),"Opdv")</f>
        <v>Opdv</v>
      </c>
      <c r="N7044" s="33">
        <f>IFERROR(__xludf.DUMMYFUNCTION("""COMPUTED_VALUE"""),1.0)</f>
        <v>1</v>
      </c>
      <c r="O7044" s="4" t="str">
        <f>IFERROR(__xludf.DUMMYFUNCTION("""COMPUTED_VALUE"""),"Opdv")</f>
        <v>Opdv</v>
      </c>
      <c r="P7044" s="33">
        <f>IFERROR(__xludf.DUMMYFUNCTION("""COMPUTED_VALUE"""),1.0)</f>
        <v>1</v>
      </c>
      <c r="Q7044" s="4" t="str">
        <f>IFERROR(__xludf.DUMMYFUNCTION("""COMPUTED_VALUE"""),"Opdv")</f>
        <v>Opdv</v>
      </c>
      <c r="R7044" s="33">
        <f>IFERROR(__xludf.DUMMYFUNCTION("""COMPUTED_VALUE"""),1.0)</f>
        <v>1</v>
      </c>
      <c r="S7044" s="4" t="str">
        <f>IFERROR(__xludf.DUMMYFUNCTION("""COMPUTED_VALUE"""),"Opdv")</f>
        <v>Opdv</v>
      </c>
      <c r="T7044" s="33">
        <f>IFERROR(__xludf.DUMMYFUNCTION("""COMPUTED_VALUE"""),1.0)</f>
        <v>1</v>
      </c>
      <c r="U7044" s="4" t="str">
        <f>IFERROR(__xludf.DUMMYFUNCTION("""COMPUTED_VALUE"""),"Saipos Serviços De Software")</f>
        <v>Saipos Serviços De Software</v>
      </c>
      <c r="V7044" s="33">
        <f>IFERROR(__xludf.DUMMYFUNCTION("""COMPUTED_VALUE"""),1.0)</f>
        <v>1</v>
      </c>
      <c r="W7044" s="4" t="str">
        <f>IFERROR(__xludf.DUMMYFUNCTION("""COMPUTED_VALUE"""),"Saipos Serviços De Software")</f>
        <v>Saipos Serviços De Software</v>
      </c>
      <c r="X7044" s="33">
        <f>IFERROR(__xludf.DUMMYFUNCTION("""COMPUTED_VALUE"""),1.0)</f>
        <v>1</v>
      </c>
    </row>
    <row r="7045">
      <c r="K7045" s="4" t="str">
        <f>IFERROR(__xludf.DUMMYFUNCTION("""COMPUTED_VALUE"""),"FTR")</f>
        <v>FTR</v>
      </c>
      <c r="L7045" s="32">
        <f>IFERROR(__xludf.DUMMYFUNCTION("""COMPUTED_VALUE"""),2.0)</f>
        <v>2</v>
      </c>
      <c r="M7045" s="4" t="str">
        <f>IFERROR(__xludf.DUMMYFUNCTION("""COMPUTED_VALUE"""),"Ncr")</f>
        <v>Ncr</v>
      </c>
      <c r="N7045" s="33">
        <f>IFERROR(__xludf.DUMMYFUNCTION("""COMPUTED_VALUE"""),1.0)</f>
        <v>1</v>
      </c>
      <c r="O7045" s="4" t="str">
        <f>IFERROR(__xludf.DUMMYFUNCTION("""COMPUTED_VALUE"""),"Ncr")</f>
        <v>Ncr</v>
      </c>
      <c r="P7045" s="33">
        <f>IFERROR(__xludf.DUMMYFUNCTION("""COMPUTED_VALUE"""),1.0)</f>
        <v>1</v>
      </c>
      <c r="Q7045" s="4" t="str">
        <f>IFERROR(__xludf.DUMMYFUNCTION("""COMPUTED_VALUE"""),"Ncr")</f>
        <v>Ncr</v>
      </c>
      <c r="R7045" s="33">
        <f>IFERROR(__xludf.DUMMYFUNCTION("""COMPUTED_VALUE"""),1.0)</f>
        <v>1</v>
      </c>
      <c r="S7045" s="4" t="str">
        <f>IFERROR(__xludf.DUMMYFUNCTION("""COMPUTED_VALUE"""),"null")</f>
        <v>null</v>
      </c>
      <c r="T7045" s="33">
        <f>IFERROR(__xludf.DUMMYFUNCTION("""COMPUTED_VALUE"""),0.5)</f>
        <v>0.5</v>
      </c>
      <c r="U7045" s="4" t="str">
        <f>IFERROR(__xludf.DUMMYFUNCTION("""COMPUTED_VALUE"""),"null")</f>
        <v>null</v>
      </c>
      <c r="V7045" s="33">
        <f>IFERROR(__xludf.DUMMYFUNCTION("""COMPUTED_VALUE"""),0.5)</f>
        <v>0.5</v>
      </c>
      <c r="W7045" s="4" t="str">
        <f>IFERROR(__xludf.DUMMYFUNCTION("""COMPUTED_VALUE"""),"Ncr")</f>
        <v>Ncr</v>
      </c>
      <c r="X7045" s="33">
        <f>IFERROR(__xludf.DUMMYFUNCTION("""COMPUTED_VALUE"""),1.0)</f>
        <v>1</v>
      </c>
    </row>
    <row r="7046">
      <c r="K7046" s="4" t="str">
        <f>IFERROR(__xludf.DUMMYFUNCTION("""COMPUTED_VALUE"""),"FUBEKAS- MARCA")</f>
        <v>FUBEKAS- MARCA</v>
      </c>
      <c r="L7046" s="32">
        <f>IFERROR(__xludf.DUMMYFUNCTION("""COMPUTED_VALUE"""),2.0)</f>
        <v>2</v>
      </c>
      <c r="M7046" s="4" t="str">
        <f>IFERROR(__xludf.DUMMYFUNCTION("""COMPUTED_VALUE"""),"Softsa Sistemas De Informação Ltda")</f>
        <v>Softsa Sistemas De Informação Ltda</v>
      </c>
      <c r="N7046" s="33">
        <f>IFERROR(__xludf.DUMMYFUNCTION("""COMPUTED_VALUE"""),0.5)</f>
        <v>0.5</v>
      </c>
      <c r="O7046" s="4" t="str">
        <f>IFERROR(__xludf.DUMMYFUNCTION("""COMPUTED_VALUE"""),"Softsa Sistemas De Informação Ltda")</f>
        <v>Softsa Sistemas De Informação Ltda</v>
      </c>
      <c r="P7046" s="33">
        <f>IFERROR(__xludf.DUMMYFUNCTION("""COMPUTED_VALUE"""),0.5)</f>
        <v>0.5</v>
      </c>
      <c r="Q7046" s="4" t="str">
        <f>IFERROR(__xludf.DUMMYFUNCTION("""COMPUTED_VALUE"""),"Softsa Sistemas De Informação Ltda")</f>
        <v>Softsa Sistemas De Informação Ltda</v>
      </c>
      <c r="R7046" s="33">
        <f>IFERROR(__xludf.DUMMYFUNCTION("""COMPUTED_VALUE"""),0.5)</f>
        <v>0.5</v>
      </c>
      <c r="S7046" s="4" t="str">
        <f>IFERROR(__xludf.DUMMYFUNCTION("""COMPUTED_VALUE"""),"null")</f>
        <v>null</v>
      </c>
      <c r="T7046" s="33">
        <f>IFERROR(__xludf.DUMMYFUNCTION("""COMPUTED_VALUE"""),1.0)</f>
        <v>1</v>
      </c>
      <c r="U7046" s="4" t="str">
        <f>IFERROR(__xludf.DUMMYFUNCTION("""COMPUTED_VALUE"""),"Softsa Sistemas De Informação Ltda")</f>
        <v>Softsa Sistemas De Informação Ltda</v>
      </c>
      <c r="V7046" s="33">
        <f>IFERROR(__xludf.DUMMYFUNCTION("""COMPUTED_VALUE"""),0.5)</f>
        <v>0.5</v>
      </c>
      <c r="W7046" s="4" t="str">
        <f>IFERROR(__xludf.DUMMYFUNCTION("""COMPUTED_VALUE"""),"null")</f>
        <v>null</v>
      </c>
      <c r="X7046" s="33">
        <f>IFERROR(__xludf.DUMMYFUNCTION("""COMPUTED_VALUE"""),0.5)</f>
        <v>0.5</v>
      </c>
    </row>
    <row r="7047">
      <c r="K7047" s="4" t="str">
        <f>IFERROR(__xludf.DUMMYFUNCTION("""COMPUTED_VALUE"""),"FUCKING BURGER")</f>
        <v>FUCKING BURGER</v>
      </c>
      <c r="L7047" s="32">
        <f>IFERROR(__xludf.DUMMYFUNCTION("""COMPUTED_VALUE"""),2.0)</f>
        <v>2</v>
      </c>
      <c r="M7047" s="4" t="str">
        <f>IFERROR(__xludf.DUMMYFUNCTION("""COMPUTED_VALUE"""),"Anota Ai Solucoes Digitais S/a")</f>
        <v>Anota Ai Solucoes Digitais S/a</v>
      </c>
      <c r="N7047" s="33">
        <f>IFERROR(__xludf.DUMMYFUNCTION("""COMPUTED_VALUE"""),0.5)</f>
        <v>0.5</v>
      </c>
      <c r="O7047" s="4" t="str">
        <f>IFERROR(__xludf.DUMMYFUNCTION("""COMPUTED_VALUE"""),"Anota Ai Solucoes Digitais S/a")</f>
        <v>Anota Ai Solucoes Digitais S/a</v>
      </c>
      <c r="P7047" s="33">
        <f>IFERROR(__xludf.DUMMYFUNCTION("""COMPUTED_VALUE"""),0.5)</f>
        <v>0.5</v>
      </c>
      <c r="Q7047" s="4" t="str">
        <f>IFERROR(__xludf.DUMMYFUNCTION("""COMPUTED_VALUE"""),"Anota Ai Solucoes Digitais S/a")</f>
        <v>Anota Ai Solucoes Digitais S/a</v>
      </c>
      <c r="R7047" s="33">
        <f>IFERROR(__xludf.DUMMYFUNCTION("""COMPUTED_VALUE"""),0.5)</f>
        <v>0.5</v>
      </c>
      <c r="S7047" s="4" t="str">
        <f>IFERROR(__xludf.DUMMYFUNCTION("""COMPUTED_VALUE"""),"Anota Ai Solucoes Digitais S/a")</f>
        <v>Anota Ai Solucoes Digitais S/a</v>
      </c>
      <c r="T7047" s="33">
        <f>IFERROR(__xludf.DUMMYFUNCTION("""COMPUTED_VALUE"""),0.5)</f>
        <v>0.5</v>
      </c>
      <c r="U7047" s="4" t="str">
        <f>IFERROR(__xludf.DUMMYFUNCTION("""COMPUTED_VALUE"""),"Anota Ai Solucoes Digitais S/a")</f>
        <v>Anota Ai Solucoes Digitais S/a</v>
      </c>
      <c r="V7047" s="33">
        <f>IFERROR(__xludf.DUMMYFUNCTION("""COMPUTED_VALUE"""),0.5)</f>
        <v>0.5</v>
      </c>
      <c r="W7047" s="4" t="str">
        <f>IFERROR(__xludf.DUMMYFUNCTION("""COMPUTED_VALUE"""),"Anota Ai Solucoes Digitais S/a")</f>
        <v>Anota Ai Solucoes Digitais S/a</v>
      </c>
      <c r="X7047" s="33">
        <f>IFERROR(__xludf.DUMMYFUNCTION("""COMPUTED_VALUE"""),0.5)</f>
        <v>0.5</v>
      </c>
    </row>
    <row r="7048">
      <c r="K7048" s="4" t="str">
        <f>IFERROR(__xludf.DUMMYFUNCTION("""COMPUTED_VALUE"""),"FUTURO REFEITORIO")</f>
        <v>FUTURO REFEITORIO</v>
      </c>
      <c r="L7048" s="32">
        <f>IFERROR(__xludf.DUMMYFUNCTION("""COMPUTED_VALUE"""),2.0)</f>
        <v>2</v>
      </c>
      <c r="M7048" s="4" t="str">
        <f>IFERROR(__xludf.DUMMYFUNCTION("""COMPUTED_VALUE"""),"Ncr")</f>
        <v>Ncr</v>
      </c>
      <c r="N7048" s="33">
        <f>IFERROR(__xludf.DUMMYFUNCTION("""COMPUTED_VALUE"""),1.0)</f>
        <v>1</v>
      </c>
      <c r="O7048" s="4" t="str">
        <f>IFERROR(__xludf.DUMMYFUNCTION("""COMPUTED_VALUE"""),"Ncr")</f>
        <v>Ncr</v>
      </c>
      <c r="P7048" s="33">
        <f>IFERROR(__xludf.DUMMYFUNCTION("""COMPUTED_VALUE"""),1.0)</f>
        <v>1</v>
      </c>
      <c r="Q7048" s="4" t="str">
        <f>IFERROR(__xludf.DUMMYFUNCTION("""COMPUTED_VALUE"""),"Ncr")</f>
        <v>Ncr</v>
      </c>
      <c r="R7048" s="33">
        <f>IFERROR(__xludf.DUMMYFUNCTION("""COMPUTED_VALUE"""),1.0)</f>
        <v>1</v>
      </c>
      <c r="S7048" s="4" t="str">
        <f>IFERROR(__xludf.DUMMYFUNCTION("""COMPUTED_VALUE"""),"Ncr")</f>
        <v>Ncr</v>
      </c>
      <c r="T7048" s="33">
        <f>IFERROR(__xludf.DUMMYFUNCTION("""COMPUTED_VALUE"""),1.0)</f>
        <v>1</v>
      </c>
      <c r="U7048" s="4" t="str">
        <f>IFERROR(__xludf.DUMMYFUNCTION("""COMPUTED_VALUE"""),"Ncr")</f>
        <v>Ncr</v>
      </c>
      <c r="V7048" s="33">
        <f>IFERROR(__xludf.DUMMYFUNCTION("""COMPUTED_VALUE"""),1.0)</f>
        <v>1</v>
      </c>
      <c r="W7048" s="4" t="str">
        <f>IFERROR(__xludf.DUMMYFUNCTION("""COMPUTED_VALUE"""),"Ncr")</f>
        <v>Ncr</v>
      </c>
      <c r="X7048" s="33">
        <f>IFERROR(__xludf.DUMMYFUNCTION("""COMPUTED_VALUE"""),1.0)</f>
        <v>1</v>
      </c>
    </row>
    <row r="7049">
      <c r="K7049" s="4" t="str">
        <f>IFERROR(__xludf.DUMMYFUNCTION("""COMPUTED_VALUE"""),"GABI SANTOS - CONTA MARCA")</f>
        <v>GABI SANTOS - CONTA MARCA</v>
      </c>
      <c r="L7049" s="32">
        <f>IFERROR(__xludf.DUMMYFUNCTION("""COMPUTED_VALUE"""),2.0)</f>
        <v>2</v>
      </c>
      <c r="M7049" s="4" t="str">
        <f>IFERROR(__xludf.DUMMYFUNCTION("""COMPUTED_VALUE"""),"Instadelivery")</f>
        <v>Instadelivery</v>
      </c>
      <c r="N7049" s="33">
        <f>IFERROR(__xludf.DUMMYFUNCTION("""COMPUTED_VALUE"""),1.0)</f>
        <v>1</v>
      </c>
      <c r="O7049" s="4" t="str">
        <f>IFERROR(__xludf.DUMMYFUNCTION("""COMPUTED_VALUE"""),"Instadelivery")</f>
        <v>Instadelivery</v>
      </c>
      <c r="P7049" s="33">
        <f>IFERROR(__xludf.DUMMYFUNCTION("""COMPUTED_VALUE"""),1.0)</f>
        <v>1</v>
      </c>
      <c r="Q7049" s="4" t="str">
        <f>IFERROR(__xludf.DUMMYFUNCTION("""COMPUTED_VALUE"""),"Instadelivery")</f>
        <v>Instadelivery</v>
      </c>
      <c r="R7049" s="33">
        <f>IFERROR(__xludf.DUMMYFUNCTION("""COMPUTED_VALUE"""),1.0)</f>
        <v>1</v>
      </c>
      <c r="S7049" s="4" t="str">
        <f>IFERROR(__xludf.DUMMYFUNCTION("""COMPUTED_VALUE"""),"Instadelivery")</f>
        <v>Instadelivery</v>
      </c>
      <c r="T7049" s="33">
        <f>IFERROR(__xludf.DUMMYFUNCTION("""COMPUTED_VALUE"""),0.5)</f>
        <v>0.5</v>
      </c>
      <c r="U7049" s="4" t="str">
        <f>IFERROR(__xludf.DUMMYFUNCTION("""COMPUTED_VALUE"""),"Prefiro Delivery")</f>
        <v>Prefiro Delivery</v>
      </c>
      <c r="V7049" s="33">
        <f>IFERROR(__xludf.DUMMYFUNCTION("""COMPUTED_VALUE"""),1.0)</f>
        <v>1</v>
      </c>
      <c r="W7049" s="4" t="str">
        <f>IFERROR(__xludf.DUMMYFUNCTION("""COMPUTED_VALUE"""),"Instadelivery")</f>
        <v>Instadelivery</v>
      </c>
      <c r="X7049" s="33">
        <f>IFERROR(__xludf.DUMMYFUNCTION("""COMPUTED_VALUE"""),0.5)</f>
        <v>0.5</v>
      </c>
    </row>
    <row r="7050">
      <c r="K7050" s="4" t="str">
        <f>IFERROR(__xludf.DUMMYFUNCTION("""COMPUTED_VALUE"""),"GABIS")</f>
        <v>GABIS</v>
      </c>
      <c r="L7050" s="32">
        <f>IFERROR(__xludf.DUMMYFUNCTION("""COMPUTED_VALUE"""),2.0)</f>
        <v>2</v>
      </c>
      <c r="M7050" s="4" t="str">
        <f>IFERROR(__xludf.DUMMYFUNCTION("""COMPUTED_VALUE"""),"Grsoft")</f>
        <v>Grsoft</v>
      </c>
      <c r="N7050" s="33">
        <f>IFERROR(__xludf.DUMMYFUNCTION("""COMPUTED_VALUE"""),1.0)</f>
        <v>1</v>
      </c>
      <c r="O7050" s="4" t="str">
        <f>IFERROR(__xludf.DUMMYFUNCTION("""COMPUTED_VALUE"""),"Grsoft")</f>
        <v>Grsoft</v>
      </c>
      <c r="P7050" s="33">
        <f>IFERROR(__xludf.DUMMYFUNCTION("""COMPUTED_VALUE"""),1.0)</f>
        <v>1</v>
      </c>
      <c r="Q7050" s="4" t="str">
        <f>IFERROR(__xludf.DUMMYFUNCTION("""COMPUTED_VALUE"""),"Grsoft")</f>
        <v>Grsoft</v>
      </c>
      <c r="R7050" s="33">
        <f>IFERROR(__xludf.DUMMYFUNCTION("""COMPUTED_VALUE"""),1.0)</f>
        <v>1</v>
      </c>
      <c r="S7050" s="4" t="str">
        <f>IFERROR(__xludf.DUMMYFUNCTION("""COMPUTED_VALUE"""),"Grsoft")</f>
        <v>Grsoft</v>
      </c>
      <c r="T7050" s="33">
        <f>IFERROR(__xludf.DUMMYFUNCTION("""COMPUTED_VALUE"""),1.0)</f>
        <v>1</v>
      </c>
      <c r="U7050" s="4" t="str">
        <f>IFERROR(__xludf.DUMMYFUNCTION("""COMPUTED_VALUE"""),"Grsoft")</f>
        <v>Grsoft</v>
      </c>
      <c r="V7050" s="33">
        <f>IFERROR(__xludf.DUMMYFUNCTION("""COMPUTED_VALUE"""),1.0)</f>
        <v>1</v>
      </c>
      <c r="W7050" s="4" t="str">
        <f>IFERROR(__xludf.DUMMYFUNCTION("""COMPUTED_VALUE"""),"Grsoft")</f>
        <v>Grsoft</v>
      </c>
      <c r="X7050" s="33">
        <f>IFERROR(__xludf.DUMMYFUNCTION("""COMPUTED_VALUE"""),1.0)</f>
        <v>1</v>
      </c>
    </row>
    <row r="7051">
      <c r="K7051" s="4" t="str">
        <f>IFERROR(__xludf.DUMMYFUNCTION("""COMPUTED_VALUE"""),"GABUL LANCHES - CONTA PAI")</f>
        <v>GABUL LANCHES - CONTA PAI</v>
      </c>
      <c r="L7051" s="32">
        <f>IFERROR(__xludf.DUMMYFUNCTION("""COMPUTED_VALUE"""),2.0)</f>
        <v>2</v>
      </c>
      <c r="M7051" s="4" t="str">
        <f>IFERROR(__xludf.DUMMYFUNCTION("""COMPUTED_VALUE"""),"Grapepag")</f>
        <v>Grapepag</v>
      </c>
      <c r="N7051" s="33">
        <f>IFERROR(__xludf.DUMMYFUNCTION("""COMPUTED_VALUE"""),1.0)</f>
        <v>1</v>
      </c>
      <c r="O7051" s="4" t="str">
        <f>IFERROR(__xludf.DUMMYFUNCTION("""COMPUTED_VALUE"""),"Grapepag")</f>
        <v>Grapepag</v>
      </c>
      <c r="P7051" s="33">
        <f>IFERROR(__xludf.DUMMYFUNCTION("""COMPUTED_VALUE"""),1.0)</f>
        <v>1</v>
      </c>
      <c r="Q7051" s="4" t="str">
        <f>IFERROR(__xludf.DUMMYFUNCTION("""COMPUTED_VALUE"""),"Grapepag")</f>
        <v>Grapepag</v>
      </c>
      <c r="R7051" s="33">
        <f>IFERROR(__xludf.DUMMYFUNCTION("""COMPUTED_VALUE"""),1.0)</f>
        <v>1</v>
      </c>
      <c r="S7051" s="4" t="str">
        <f>IFERROR(__xludf.DUMMYFUNCTION("""COMPUTED_VALUE"""),"Grapepag")</f>
        <v>Grapepag</v>
      </c>
      <c r="T7051" s="33">
        <f>IFERROR(__xludf.DUMMYFUNCTION("""COMPUTED_VALUE"""),0.5)</f>
        <v>0.5</v>
      </c>
      <c r="U7051" s="4" t="str">
        <f>IFERROR(__xludf.DUMMYFUNCTION("""COMPUTED_VALUE"""),"null")</f>
        <v>null</v>
      </c>
      <c r="V7051" s="33">
        <f>IFERROR(__xludf.DUMMYFUNCTION("""COMPUTED_VALUE"""),1.0)</f>
        <v>1</v>
      </c>
      <c r="W7051" s="4" t="str">
        <f>IFERROR(__xludf.DUMMYFUNCTION("""COMPUTED_VALUE"""),"null")</f>
        <v>null</v>
      </c>
      <c r="X7051" s="33">
        <f>IFERROR(__xludf.DUMMYFUNCTION("""COMPUTED_VALUE"""),1.0)</f>
        <v>1</v>
      </c>
    </row>
    <row r="7052">
      <c r="K7052" s="4" t="str">
        <f>IFERROR(__xludf.DUMMYFUNCTION("""COMPUTED_VALUE"""),"GALETO ROSA RESTAURANTE PIZZARIA")</f>
        <v>GALETO ROSA RESTAURANTE PIZZARIA</v>
      </c>
      <c r="L7052" s="32">
        <f>IFERROR(__xludf.DUMMYFUNCTION("""COMPUTED_VALUE"""),2.0)</f>
        <v>2</v>
      </c>
      <c r="M7052" s="4" t="str">
        <f>IFERROR(__xludf.DUMMYFUNCTION("""COMPUTED_VALUE"""),"null")</f>
        <v>null</v>
      </c>
      <c r="N7052" s="33">
        <f>IFERROR(__xludf.DUMMYFUNCTION("""COMPUTED_VALUE"""),0.5)</f>
        <v>0.5</v>
      </c>
      <c r="O7052" s="4" t="str">
        <f>IFERROR(__xludf.DUMMYFUNCTION("""COMPUTED_VALUE"""),"null")</f>
        <v>null</v>
      </c>
      <c r="P7052" s="33">
        <f>IFERROR(__xludf.DUMMYFUNCTION("""COMPUTED_VALUE"""),0.5)</f>
        <v>0.5</v>
      </c>
      <c r="Q7052" s="4" t="str">
        <f>IFERROR(__xludf.DUMMYFUNCTION("""COMPUTED_VALUE"""),"Saipos Serviços De Software")</f>
        <v>Saipos Serviços De Software</v>
      </c>
      <c r="R7052" s="33">
        <f>IFERROR(__xludf.DUMMYFUNCTION("""COMPUTED_VALUE"""),1.0)</f>
        <v>1</v>
      </c>
      <c r="S7052" s="4" t="str">
        <f>IFERROR(__xludf.DUMMYFUNCTION("""COMPUTED_VALUE"""),"Saipos Serviços De Software")</f>
        <v>Saipos Serviços De Software</v>
      </c>
      <c r="T7052" s="33">
        <f>IFERROR(__xludf.DUMMYFUNCTION("""COMPUTED_VALUE"""),1.0)</f>
        <v>1</v>
      </c>
      <c r="U7052" s="4" t="str">
        <f>IFERROR(__xludf.DUMMYFUNCTION("""COMPUTED_VALUE"""),"Saipos Serviços De Software")</f>
        <v>Saipos Serviços De Software</v>
      </c>
      <c r="V7052" s="33">
        <f>IFERROR(__xludf.DUMMYFUNCTION("""COMPUTED_VALUE"""),1.0)</f>
        <v>1</v>
      </c>
      <c r="W7052" s="4" t="str">
        <f>IFERROR(__xludf.DUMMYFUNCTION("""COMPUTED_VALUE"""),"Saipos Serviços De Software")</f>
        <v>Saipos Serviços De Software</v>
      </c>
      <c r="X7052" s="33">
        <f>IFERROR(__xludf.DUMMYFUNCTION("""COMPUTED_VALUE"""),1.0)</f>
        <v>1</v>
      </c>
    </row>
    <row r="7053">
      <c r="K7053" s="4" t="str">
        <f>IFERROR(__xludf.DUMMYFUNCTION("""COMPUTED_VALUE"""),"GALETO VIA MORANO")</f>
        <v>GALETO VIA MORANO</v>
      </c>
      <c r="L7053" s="32">
        <f>IFERROR(__xludf.DUMMYFUNCTION("""COMPUTED_VALUE"""),2.0)</f>
        <v>2</v>
      </c>
      <c r="M7053" s="4" t="str">
        <f>IFERROR(__xludf.DUMMYFUNCTION("""COMPUTED_VALUE"""),"Saipos Serviços De Software")</f>
        <v>Saipos Serviços De Software</v>
      </c>
      <c r="N7053" s="33">
        <f>IFERROR(__xludf.DUMMYFUNCTION("""COMPUTED_VALUE"""),1.0)</f>
        <v>1</v>
      </c>
      <c r="O7053" s="4" t="str">
        <f>IFERROR(__xludf.DUMMYFUNCTION("""COMPUTED_VALUE"""),"Saipos Serviços De Software")</f>
        <v>Saipos Serviços De Software</v>
      </c>
      <c r="P7053" s="33">
        <f>IFERROR(__xludf.DUMMYFUNCTION("""COMPUTED_VALUE"""),1.0)</f>
        <v>1</v>
      </c>
      <c r="Q7053" s="4" t="str">
        <f>IFERROR(__xludf.DUMMYFUNCTION("""COMPUTED_VALUE"""),"Saipos Serviços De Software")</f>
        <v>Saipos Serviços De Software</v>
      </c>
      <c r="R7053" s="33">
        <f>IFERROR(__xludf.DUMMYFUNCTION("""COMPUTED_VALUE"""),1.0)</f>
        <v>1</v>
      </c>
      <c r="S7053" s="4" t="str">
        <f>IFERROR(__xludf.DUMMYFUNCTION("""COMPUTED_VALUE"""),"Saipos Serviços De Software")</f>
        <v>Saipos Serviços De Software</v>
      </c>
      <c r="T7053" s="33">
        <f>IFERROR(__xludf.DUMMYFUNCTION("""COMPUTED_VALUE"""),1.0)</f>
        <v>1</v>
      </c>
      <c r="U7053" s="4" t="str">
        <f>IFERROR(__xludf.DUMMYFUNCTION("""COMPUTED_VALUE"""),"Saipos Serviços De Software")</f>
        <v>Saipos Serviços De Software</v>
      </c>
      <c r="V7053" s="33">
        <f>IFERROR(__xludf.DUMMYFUNCTION("""COMPUTED_VALUE"""),1.0)</f>
        <v>1</v>
      </c>
      <c r="W7053" s="4" t="str">
        <f>IFERROR(__xludf.DUMMYFUNCTION("""COMPUTED_VALUE"""),"Saipos Serviços De Software")</f>
        <v>Saipos Serviços De Software</v>
      </c>
      <c r="X7053" s="33">
        <f>IFERROR(__xludf.DUMMYFUNCTION("""COMPUTED_VALUE"""),1.0)</f>
        <v>1</v>
      </c>
    </row>
    <row r="7054">
      <c r="K7054" s="4" t="str">
        <f>IFERROR(__xludf.DUMMYFUNCTION("""COMPUTED_VALUE"""),"GALINHADA IMPERIAL")</f>
        <v>GALINHADA IMPERIAL</v>
      </c>
      <c r="L7054" s="32">
        <f>IFERROR(__xludf.DUMMYFUNCTION("""COMPUTED_VALUE"""),2.0)</f>
        <v>2</v>
      </c>
      <c r="M7054" s="4" t="str">
        <f>IFERROR(__xludf.DUMMYFUNCTION("""COMPUTED_VALUE"""),"null")</f>
        <v>null</v>
      </c>
      <c r="N7054" s="33">
        <f>IFERROR(__xludf.DUMMYFUNCTION("""COMPUTED_VALUE"""),0.5)</f>
        <v>0.5</v>
      </c>
      <c r="O7054" s="4" t="str">
        <f>IFERROR(__xludf.DUMMYFUNCTION("""COMPUTED_VALUE"""),"null")</f>
        <v>null</v>
      </c>
      <c r="P7054" s="33">
        <f>IFERROR(__xludf.DUMMYFUNCTION("""COMPUTED_VALUE"""),0.5)</f>
        <v>0.5</v>
      </c>
      <c r="Q7054" s="4" t="str">
        <f>IFERROR(__xludf.DUMMYFUNCTION("""COMPUTED_VALUE"""),"null")</f>
        <v>null</v>
      </c>
      <c r="R7054" s="33">
        <f>IFERROR(__xludf.DUMMYFUNCTION("""COMPUTED_VALUE"""),0.5)</f>
        <v>0.5</v>
      </c>
      <c r="S7054" s="4" t="str">
        <f>IFERROR(__xludf.DUMMYFUNCTION("""COMPUTED_VALUE"""),"null")</f>
        <v>null</v>
      </c>
      <c r="T7054" s="33">
        <f>IFERROR(__xludf.DUMMYFUNCTION("""COMPUTED_VALUE"""),0.5)</f>
        <v>0.5</v>
      </c>
      <c r="U7054" s="4" t="str">
        <f>IFERROR(__xludf.DUMMYFUNCTION("""COMPUTED_VALUE"""),"Saipos Serviços De Software")</f>
        <v>Saipos Serviços De Software</v>
      </c>
      <c r="V7054" s="33">
        <f>IFERROR(__xludf.DUMMYFUNCTION("""COMPUTED_VALUE"""),1.0)</f>
        <v>1</v>
      </c>
      <c r="W7054" s="4" t="str">
        <f>IFERROR(__xludf.DUMMYFUNCTION("""COMPUTED_VALUE"""),"Saipos Serviços De Software")</f>
        <v>Saipos Serviços De Software</v>
      </c>
      <c r="X7054" s="33">
        <f>IFERROR(__xludf.DUMMYFUNCTION("""COMPUTED_VALUE"""),1.0)</f>
        <v>1</v>
      </c>
    </row>
    <row r="7055">
      <c r="K7055" s="4" t="str">
        <f>IFERROR(__xludf.DUMMYFUNCTION("""COMPUTED_VALUE"""),"GARAGE BURGER - CONTA MARCA")</f>
        <v>GARAGE BURGER - CONTA MARCA</v>
      </c>
      <c r="L7055" s="32">
        <f>IFERROR(__xludf.DUMMYFUNCTION("""COMPUTED_VALUE"""),2.0)</f>
        <v>2</v>
      </c>
      <c r="M7055" s="4" t="str">
        <f>IFERROR(__xludf.DUMMYFUNCTION("""COMPUTED_VALUE"""),"Consumer Soluções Em Tecnologia Ltda")</f>
        <v>Consumer Soluções Em Tecnologia Ltda</v>
      </c>
      <c r="N7055" s="33">
        <f>IFERROR(__xludf.DUMMYFUNCTION("""COMPUTED_VALUE"""),1.0)</f>
        <v>1</v>
      </c>
      <c r="O7055" s="4" t="str">
        <f>IFERROR(__xludf.DUMMYFUNCTION("""COMPUTED_VALUE"""),"Consumer Soluções Em Tecnologia Ltda")</f>
        <v>Consumer Soluções Em Tecnologia Ltda</v>
      </c>
      <c r="P7055" s="33">
        <f>IFERROR(__xludf.DUMMYFUNCTION("""COMPUTED_VALUE"""),1.0)</f>
        <v>1</v>
      </c>
      <c r="Q7055" s="4" t="str">
        <f>IFERROR(__xludf.DUMMYFUNCTION("""COMPUTED_VALUE"""),"null")</f>
        <v>null</v>
      </c>
      <c r="R7055" s="33">
        <f>IFERROR(__xludf.DUMMYFUNCTION("""COMPUTED_VALUE"""),0.5)</f>
        <v>0.5</v>
      </c>
      <c r="S7055" s="4" t="str">
        <f>IFERROR(__xludf.DUMMYFUNCTION("""COMPUTED_VALUE"""),"Consumer Soluções Em Tecnologia Ltda")</f>
        <v>Consumer Soluções Em Tecnologia Ltda</v>
      </c>
      <c r="T7055" s="33">
        <f>IFERROR(__xludf.DUMMYFUNCTION("""COMPUTED_VALUE"""),1.0)</f>
        <v>1</v>
      </c>
      <c r="U7055" s="4" t="str">
        <f>IFERROR(__xludf.DUMMYFUNCTION("""COMPUTED_VALUE"""),"Saipos Serviços De Software")</f>
        <v>Saipos Serviços De Software</v>
      </c>
      <c r="V7055" s="33">
        <f>IFERROR(__xludf.DUMMYFUNCTION("""COMPUTED_VALUE"""),1.0)</f>
        <v>1</v>
      </c>
      <c r="W7055" s="4" t="str">
        <f>IFERROR(__xludf.DUMMYFUNCTION("""COMPUTED_VALUE"""),"Saipos Serviços De Software")</f>
        <v>Saipos Serviços De Software</v>
      </c>
      <c r="X7055" s="33">
        <f>IFERROR(__xludf.DUMMYFUNCTION("""COMPUTED_VALUE"""),1.0)</f>
        <v>1</v>
      </c>
    </row>
    <row r="7056">
      <c r="K7056" s="4" t="str">
        <f>IFERROR(__xludf.DUMMYFUNCTION("""COMPUTED_VALUE"""),"GARIBALDI PIZZARIA DELIVERY")</f>
        <v>GARIBALDI PIZZARIA DELIVERY</v>
      </c>
      <c r="L7056" s="32">
        <f>IFERROR(__xludf.DUMMYFUNCTION("""COMPUTED_VALUE"""),2.0)</f>
        <v>2</v>
      </c>
      <c r="M7056" s="4" t="str">
        <f>IFERROR(__xludf.DUMMYFUNCTION("""COMPUTED_VALUE"""),"Consumer Soluções Em Tecnologia Ltda")</f>
        <v>Consumer Soluções Em Tecnologia Ltda</v>
      </c>
      <c r="N7056" s="33">
        <f>IFERROR(__xludf.DUMMYFUNCTION("""COMPUTED_VALUE"""),1.0)</f>
        <v>1</v>
      </c>
      <c r="O7056" s="4" t="str">
        <f>IFERROR(__xludf.DUMMYFUNCTION("""COMPUTED_VALUE"""),"Consumer Soluções Em Tecnologia Ltda")</f>
        <v>Consumer Soluções Em Tecnologia Ltda</v>
      </c>
      <c r="P7056" s="33">
        <f>IFERROR(__xludf.DUMMYFUNCTION("""COMPUTED_VALUE"""),1.0)</f>
        <v>1</v>
      </c>
      <c r="Q7056" s="4" t="str">
        <f>IFERROR(__xludf.DUMMYFUNCTION("""COMPUTED_VALUE"""),"Consumer Soluções Em Tecnologia Ltda")</f>
        <v>Consumer Soluções Em Tecnologia Ltda</v>
      </c>
      <c r="R7056" s="33">
        <f>IFERROR(__xludf.DUMMYFUNCTION("""COMPUTED_VALUE"""),1.0)</f>
        <v>1</v>
      </c>
      <c r="S7056" s="4" t="str">
        <f>IFERROR(__xludf.DUMMYFUNCTION("""COMPUTED_VALUE"""),"Consumer Soluções Em Tecnologia Ltda")</f>
        <v>Consumer Soluções Em Tecnologia Ltda</v>
      </c>
      <c r="T7056" s="33">
        <f>IFERROR(__xludf.DUMMYFUNCTION("""COMPUTED_VALUE"""),1.0)</f>
        <v>1</v>
      </c>
      <c r="U7056" s="4" t="str">
        <f>IFERROR(__xludf.DUMMYFUNCTION("""COMPUTED_VALUE"""),"Consumer Soluções Em Tecnologia Ltda")</f>
        <v>Consumer Soluções Em Tecnologia Ltda</v>
      </c>
      <c r="V7056" s="33">
        <f>IFERROR(__xludf.DUMMYFUNCTION("""COMPUTED_VALUE"""),1.0)</f>
        <v>1</v>
      </c>
      <c r="W7056" s="4" t="str">
        <f>IFERROR(__xludf.DUMMYFUNCTION("""COMPUTED_VALUE"""),"Consumer Soluções Em Tecnologia Ltda")</f>
        <v>Consumer Soluções Em Tecnologia Ltda</v>
      </c>
      <c r="X7056" s="33">
        <f>IFERROR(__xludf.DUMMYFUNCTION("""COMPUTED_VALUE"""),1.0)</f>
        <v>1</v>
      </c>
    </row>
    <row r="7057">
      <c r="K7057" s="4" t="str">
        <f>IFERROR(__xludf.DUMMYFUNCTION("""COMPUTED_VALUE"""),"GAROUPA")</f>
        <v>GAROUPA</v>
      </c>
      <c r="L7057" s="32">
        <f>IFERROR(__xludf.DUMMYFUNCTION("""COMPUTED_VALUE"""),2.0)</f>
        <v>2</v>
      </c>
      <c r="M7057" s="4" t="str">
        <f>IFERROR(__xludf.DUMMYFUNCTION("""COMPUTED_VALUE"""),"Ncr")</f>
        <v>Ncr</v>
      </c>
      <c r="N7057" s="33">
        <f>IFERROR(__xludf.DUMMYFUNCTION("""COMPUTED_VALUE"""),1.0)</f>
        <v>1</v>
      </c>
      <c r="O7057" s="4" t="str">
        <f>IFERROR(__xludf.DUMMYFUNCTION("""COMPUTED_VALUE"""),"Ncr")</f>
        <v>Ncr</v>
      </c>
      <c r="P7057" s="33">
        <f>IFERROR(__xludf.DUMMYFUNCTION("""COMPUTED_VALUE"""),1.0)</f>
        <v>1</v>
      </c>
      <c r="Q7057" s="4" t="str">
        <f>IFERROR(__xludf.DUMMYFUNCTION("""COMPUTED_VALUE"""),"Ncr")</f>
        <v>Ncr</v>
      </c>
      <c r="R7057" s="33">
        <f>IFERROR(__xludf.DUMMYFUNCTION("""COMPUTED_VALUE"""),1.0)</f>
        <v>1</v>
      </c>
      <c r="S7057" s="4" t="str">
        <f>IFERROR(__xludf.DUMMYFUNCTION("""COMPUTED_VALUE"""),"Ncr")</f>
        <v>Ncr</v>
      </c>
      <c r="T7057" s="33">
        <f>IFERROR(__xludf.DUMMYFUNCTION("""COMPUTED_VALUE"""),1.0)</f>
        <v>1</v>
      </c>
      <c r="U7057" s="4" t="str">
        <f>IFERROR(__xludf.DUMMYFUNCTION("""COMPUTED_VALUE"""),"Saipos Serviços De Software")</f>
        <v>Saipos Serviços De Software</v>
      </c>
      <c r="V7057" s="33">
        <f>IFERROR(__xludf.DUMMYFUNCTION("""COMPUTED_VALUE"""),1.0)</f>
        <v>1</v>
      </c>
      <c r="W7057" s="4" t="str">
        <f>IFERROR(__xludf.DUMMYFUNCTION("""COMPUTED_VALUE"""),"Saipos Serviços De Software")</f>
        <v>Saipos Serviços De Software</v>
      </c>
      <c r="X7057" s="33">
        <f>IFERROR(__xludf.DUMMYFUNCTION("""COMPUTED_VALUE"""),1.0)</f>
        <v>1</v>
      </c>
    </row>
    <row r="7058">
      <c r="K7058" s="4" t="str">
        <f>IFERROR(__xludf.DUMMYFUNCTION("""COMPUTED_VALUE"""),"GASTAO IN CASA")</f>
        <v>GASTAO IN CASA</v>
      </c>
      <c r="L7058" s="32">
        <f>IFERROR(__xludf.DUMMYFUNCTION("""COMPUTED_VALUE"""),2.0)</f>
        <v>2</v>
      </c>
      <c r="M7058" s="4" t="str">
        <f>IFERROR(__xludf.DUMMYFUNCTION("""COMPUTED_VALUE"""),"Controller Softwares")</f>
        <v>Controller Softwares</v>
      </c>
      <c r="N7058" s="33">
        <f>IFERROR(__xludf.DUMMYFUNCTION("""COMPUTED_VALUE"""),1.0)</f>
        <v>1</v>
      </c>
      <c r="O7058" s="4" t="str">
        <f>IFERROR(__xludf.DUMMYFUNCTION("""COMPUTED_VALUE"""),"null")</f>
        <v>null</v>
      </c>
      <c r="P7058" s="33">
        <f>IFERROR(__xludf.DUMMYFUNCTION("""COMPUTED_VALUE"""),1.0)</f>
        <v>1</v>
      </c>
      <c r="Q7058" s="4" t="str">
        <f>IFERROR(__xludf.DUMMYFUNCTION("""COMPUTED_VALUE"""),"null")</f>
        <v>null</v>
      </c>
      <c r="R7058" s="33">
        <f>IFERROR(__xludf.DUMMYFUNCTION("""COMPUTED_VALUE"""),1.0)</f>
        <v>1</v>
      </c>
      <c r="S7058" s="4" t="str">
        <f>IFERROR(__xludf.DUMMYFUNCTION("""COMPUTED_VALUE"""),"null")</f>
        <v>null</v>
      </c>
      <c r="T7058" s="33">
        <f>IFERROR(__xludf.DUMMYFUNCTION("""COMPUTED_VALUE"""),1.0)</f>
        <v>1</v>
      </c>
      <c r="U7058" s="4" t="str">
        <f>IFERROR(__xludf.DUMMYFUNCTION("""COMPUTED_VALUE"""),"null")</f>
        <v>null</v>
      </c>
      <c r="V7058" s="33">
        <f>IFERROR(__xludf.DUMMYFUNCTION("""COMPUTED_VALUE"""),1.0)</f>
        <v>1</v>
      </c>
      <c r="W7058" s="4" t="str">
        <f>IFERROR(__xludf.DUMMYFUNCTION("""COMPUTED_VALUE"""),"null")</f>
        <v>null</v>
      </c>
      <c r="X7058" s="33">
        <f>IFERROR(__xludf.DUMMYFUNCTION("""COMPUTED_VALUE"""),0.5)</f>
        <v>0.5</v>
      </c>
    </row>
    <row r="7059">
      <c r="K7059" s="4" t="str">
        <f>IFERROR(__xludf.DUMMYFUNCTION("""COMPUTED_VALUE"""),"GASTROBEEF - CONTA MARCA")</f>
        <v>GASTROBEEF - CONTA MARCA</v>
      </c>
      <c r="L7059" s="32">
        <f>IFERROR(__xludf.DUMMYFUNCTION("""COMPUTED_VALUE"""),2.0)</f>
        <v>2</v>
      </c>
      <c r="M7059" s="4" t="str">
        <f>IFERROR(__xludf.DUMMYFUNCTION("""COMPUTED_VALUE"""),"Bitbar")</f>
        <v>Bitbar</v>
      </c>
      <c r="N7059" s="33">
        <f>IFERROR(__xludf.DUMMYFUNCTION("""COMPUTED_VALUE"""),1.0)</f>
        <v>1</v>
      </c>
      <c r="O7059" s="4" t="str">
        <f>IFERROR(__xludf.DUMMYFUNCTION("""COMPUTED_VALUE"""),"Bitbar")</f>
        <v>Bitbar</v>
      </c>
      <c r="P7059" s="33">
        <f>IFERROR(__xludf.DUMMYFUNCTION("""COMPUTED_VALUE"""),0.5)</f>
        <v>0.5</v>
      </c>
      <c r="Q7059" s="4" t="str">
        <f>IFERROR(__xludf.DUMMYFUNCTION("""COMPUTED_VALUE"""),"Bitbar")</f>
        <v>Bitbar</v>
      </c>
      <c r="R7059" s="33">
        <f>IFERROR(__xludf.DUMMYFUNCTION("""COMPUTED_VALUE"""),1.0)</f>
        <v>1</v>
      </c>
      <c r="S7059" s="4" t="str">
        <f>IFERROR(__xludf.DUMMYFUNCTION("""COMPUTED_VALUE"""),"Bitbar")</f>
        <v>Bitbar</v>
      </c>
      <c r="T7059" s="33">
        <f>IFERROR(__xludf.DUMMYFUNCTION("""COMPUTED_VALUE"""),1.0)</f>
        <v>1</v>
      </c>
      <c r="U7059" s="4" t="str">
        <f>IFERROR(__xludf.DUMMYFUNCTION("""COMPUTED_VALUE"""),"Bitbar")</f>
        <v>Bitbar</v>
      </c>
      <c r="V7059" s="33">
        <f>IFERROR(__xludf.DUMMYFUNCTION("""COMPUTED_VALUE"""),1.0)</f>
        <v>1</v>
      </c>
      <c r="W7059" s="4" t="str">
        <f>IFERROR(__xludf.DUMMYFUNCTION("""COMPUTED_VALUE"""),"Bitbar")</f>
        <v>Bitbar</v>
      </c>
      <c r="X7059" s="33">
        <f>IFERROR(__xludf.DUMMYFUNCTION("""COMPUTED_VALUE"""),1.0)</f>
        <v>1</v>
      </c>
    </row>
    <row r="7060">
      <c r="K7060" s="4" t="str">
        <f>IFERROR(__xludf.DUMMYFUNCTION("""COMPUTED_VALUE"""),"GATO NA BRASA")</f>
        <v>GATO NA BRASA</v>
      </c>
      <c r="L7060" s="32">
        <f>IFERROR(__xludf.DUMMYFUNCTION("""COMPUTED_VALUE"""),2.0)</f>
        <v>2</v>
      </c>
      <c r="M7060" s="4" t="str">
        <f>IFERROR(__xludf.DUMMYFUNCTION("""COMPUTED_VALUE"""),"Saipos Serviços De Software")</f>
        <v>Saipos Serviços De Software</v>
      </c>
      <c r="N7060" s="33">
        <f>IFERROR(__xludf.DUMMYFUNCTION("""COMPUTED_VALUE"""),1.0)</f>
        <v>1</v>
      </c>
      <c r="O7060" s="4" t="str">
        <f>IFERROR(__xludf.DUMMYFUNCTION("""COMPUTED_VALUE"""),"Saipos Serviços De Software")</f>
        <v>Saipos Serviços De Software</v>
      </c>
      <c r="P7060" s="33">
        <f>IFERROR(__xludf.DUMMYFUNCTION("""COMPUTED_VALUE"""),1.0)</f>
        <v>1</v>
      </c>
      <c r="Q7060" s="4" t="str">
        <f>IFERROR(__xludf.DUMMYFUNCTION("""COMPUTED_VALUE"""),"Saipos Serviços De Software")</f>
        <v>Saipos Serviços De Software</v>
      </c>
      <c r="R7060" s="33">
        <f>IFERROR(__xludf.DUMMYFUNCTION("""COMPUTED_VALUE"""),1.0)</f>
        <v>1</v>
      </c>
      <c r="S7060" s="4" t="str">
        <f>IFERROR(__xludf.DUMMYFUNCTION("""COMPUTED_VALUE"""),"Saipos Serviços De Software")</f>
        <v>Saipos Serviços De Software</v>
      </c>
      <c r="T7060" s="33">
        <f>IFERROR(__xludf.DUMMYFUNCTION("""COMPUTED_VALUE"""),1.0)</f>
        <v>1</v>
      </c>
      <c r="U7060" s="4" t="str">
        <f>IFERROR(__xludf.DUMMYFUNCTION("""COMPUTED_VALUE"""),"Saipos Serviços De Software")</f>
        <v>Saipos Serviços De Software</v>
      </c>
      <c r="V7060" s="33">
        <f>IFERROR(__xludf.DUMMYFUNCTION("""COMPUTED_VALUE"""),1.0)</f>
        <v>1</v>
      </c>
      <c r="W7060" s="4" t="str">
        <f>IFERROR(__xludf.DUMMYFUNCTION("""COMPUTED_VALUE"""),"Saipos Serviços De Software")</f>
        <v>Saipos Serviços De Software</v>
      </c>
      <c r="X7060" s="33">
        <f>IFERROR(__xludf.DUMMYFUNCTION("""COMPUTED_VALUE"""),1.0)</f>
        <v>1</v>
      </c>
    </row>
    <row r="7061">
      <c r="K7061" s="4" t="str">
        <f>IFERROR(__xludf.DUMMYFUNCTION("""COMPUTED_VALUE"""),"GAUCHA AGROPECUARIA")</f>
        <v>GAUCHA AGROPECUARIA</v>
      </c>
      <c r="L7061" s="32">
        <f>IFERROR(__xludf.DUMMYFUNCTION("""COMPUTED_VALUE"""),2.0)</f>
        <v>2</v>
      </c>
      <c r="M7061" s="4" t="str">
        <f>IFERROR(__xludf.DUMMYFUNCTION("""COMPUTED_VALUE"""),"N/A (Not found)")</f>
        <v>N/A (Not found)</v>
      </c>
      <c r="N7061" s="33">
        <f>IFERROR(__xludf.DUMMYFUNCTION("""COMPUTED_VALUE"""),1.0)</f>
        <v>1</v>
      </c>
      <c r="O7061" s="4" t="str">
        <f>IFERROR(__xludf.DUMMYFUNCTION("""COMPUTED_VALUE"""),"N/A (Not found)")</f>
        <v>N/A (Not found)</v>
      </c>
      <c r="P7061" s="33">
        <f>IFERROR(__xludf.DUMMYFUNCTION("""COMPUTED_VALUE"""),1.0)</f>
        <v>1</v>
      </c>
      <c r="Q7061" s="4" t="str">
        <f>IFERROR(__xludf.DUMMYFUNCTION("""COMPUTED_VALUE"""),"N/A (Not found)")</f>
        <v>N/A (Not found)</v>
      </c>
      <c r="R7061" s="33">
        <f>IFERROR(__xludf.DUMMYFUNCTION("""COMPUTED_VALUE"""),1.0)</f>
        <v>1</v>
      </c>
      <c r="S7061" s="4" t="str">
        <f>IFERROR(__xludf.DUMMYFUNCTION("""COMPUTED_VALUE"""),"N/A (Not found)")</f>
        <v>N/A (Not found)</v>
      </c>
      <c r="T7061" s="33">
        <f>IFERROR(__xludf.DUMMYFUNCTION("""COMPUTED_VALUE"""),1.0)</f>
        <v>1</v>
      </c>
      <c r="U7061" s="4" t="str">
        <f>IFERROR(__xludf.DUMMYFUNCTION("""COMPUTED_VALUE"""),"N/A (Not found)")</f>
        <v>N/A (Not found)</v>
      </c>
      <c r="V7061" s="33">
        <f>IFERROR(__xludf.DUMMYFUNCTION("""COMPUTED_VALUE"""),1.0)</f>
        <v>1</v>
      </c>
      <c r="W7061" s="4" t="str">
        <f>IFERROR(__xludf.DUMMYFUNCTION("""COMPUTED_VALUE"""),"null")</f>
        <v>null</v>
      </c>
      <c r="X7061" s="33">
        <f>IFERROR(__xludf.DUMMYFUNCTION("""COMPUTED_VALUE"""),1.0)</f>
        <v>1</v>
      </c>
    </row>
    <row r="7062">
      <c r="K7062" s="4" t="str">
        <f>IFERROR(__xludf.DUMMYFUNCTION("""COMPUTED_VALUE"""),"GECEPEL - CONTA PAI")</f>
        <v>GECEPEL - CONTA PAI</v>
      </c>
      <c r="L7062" s="32">
        <f>IFERROR(__xludf.DUMMYFUNCTION("""COMPUTED_VALUE"""),2.0)</f>
        <v>2</v>
      </c>
      <c r="M7062" s="4" t="str">
        <f>IFERROR(__xludf.DUMMYFUNCTION("""COMPUTED_VALUE"""),"N/A (Not found)")</f>
        <v>N/A (Not found)</v>
      </c>
      <c r="N7062" s="33">
        <f>IFERROR(__xludf.DUMMYFUNCTION("""COMPUTED_VALUE"""),1.0)</f>
        <v>1</v>
      </c>
      <c r="O7062" s="4" t="str">
        <f>IFERROR(__xludf.DUMMYFUNCTION("""COMPUTED_VALUE"""),"N/A (Not found)")</f>
        <v>N/A (Not found)</v>
      </c>
      <c r="P7062" s="33">
        <f>IFERROR(__xludf.DUMMYFUNCTION("""COMPUTED_VALUE"""),1.0)</f>
        <v>1</v>
      </c>
      <c r="Q7062" s="4" t="str">
        <f>IFERROR(__xludf.DUMMYFUNCTION("""COMPUTED_VALUE"""),"N/A (Not found)")</f>
        <v>N/A (Not found)</v>
      </c>
      <c r="R7062" s="33">
        <f>IFERROR(__xludf.DUMMYFUNCTION("""COMPUTED_VALUE"""),1.0)</f>
        <v>1</v>
      </c>
      <c r="S7062" s="4" t="str">
        <f>IFERROR(__xludf.DUMMYFUNCTION("""COMPUTED_VALUE"""),"N/A (Not found)")</f>
        <v>N/A (Not found)</v>
      </c>
      <c r="T7062" s="33">
        <f>IFERROR(__xludf.DUMMYFUNCTION("""COMPUTED_VALUE"""),1.0)</f>
        <v>1</v>
      </c>
      <c r="U7062" s="4" t="str">
        <f>IFERROR(__xludf.DUMMYFUNCTION("""COMPUTED_VALUE"""),"N/A (Not found)")</f>
        <v>N/A (Not found)</v>
      </c>
      <c r="V7062" s="33">
        <f>IFERROR(__xludf.DUMMYFUNCTION("""COMPUTED_VALUE"""),1.0)</f>
        <v>1</v>
      </c>
      <c r="W7062" s="4" t="str">
        <f>IFERROR(__xludf.DUMMYFUNCTION("""COMPUTED_VALUE"""),"N/A (Not found)")</f>
        <v>N/A (Not found)</v>
      </c>
      <c r="X7062" s="33">
        <f>IFERROR(__xludf.DUMMYFUNCTION("""COMPUTED_VALUE"""),1.0)</f>
        <v>1</v>
      </c>
    </row>
    <row r="7063">
      <c r="K7063" s="4" t="str">
        <f>IFERROR(__xludf.DUMMYFUNCTION("""COMPUTED_VALUE"""),"GENERAL HOUSE BURGER")</f>
        <v>GENERAL HOUSE BURGER</v>
      </c>
      <c r="L7063" s="32">
        <f>IFERROR(__xludf.DUMMYFUNCTION("""COMPUTED_VALUE"""),2.0)</f>
        <v>2</v>
      </c>
      <c r="M7063" s="4" t="str">
        <f>IFERROR(__xludf.DUMMYFUNCTION("""COMPUTED_VALUE"""),"Aurora Sistemas")</f>
        <v>Aurora Sistemas</v>
      </c>
      <c r="N7063" s="33">
        <f>IFERROR(__xludf.DUMMYFUNCTION("""COMPUTED_VALUE"""),1.0)</f>
        <v>1</v>
      </c>
      <c r="O7063" s="4" t="str">
        <f>IFERROR(__xludf.DUMMYFUNCTION("""COMPUTED_VALUE"""),"Aurora Sistemas")</f>
        <v>Aurora Sistemas</v>
      </c>
      <c r="P7063" s="33">
        <f>IFERROR(__xludf.DUMMYFUNCTION("""COMPUTED_VALUE"""),1.0)</f>
        <v>1</v>
      </c>
      <c r="Q7063" s="4" t="str">
        <f>IFERROR(__xludf.DUMMYFUNCTION("""COMPUTED_VALUE"""),"null")</f>
        <v>null</v>
      </c>
      <c r="R7063" s="33">
        <f>IFERROR(__xludf.DUMMYFUNCTION("""COMPUTED_VALUE"""),0.5)</f>
        <v>0.5</v>
      </c>
      <c r="S7063" s="4" t="str">
        <f>IFERROR(__xludf.DUMMYFUNCTION("""COMPUTED_VALUE"""),"Aurora Sistemas")</f>
        <v>Aurora Sistemas</v>
      </c>
      <c r="T7063" s="33">
        <f>IFERROR(__xludf.DUMMYFUNCTION("""COMPUTED_VALUE"""),0.5)</f>
        <v>0.5</v>
      </c>
      <c r="U7063" s="4" t="str">
        <f>IFERROR(__xludf.DUMMYFUNCTION("""COMPUTED_VALUE"""),"Aurora Sistemas")</f>
        <v>Aurora Sistemas</v>
      </c>
      <c r="V7063" s="33">
        <f>IFERROR(__xludf.DUMMYFUNCTION("""COMPUTED_VALUE"""),0.5)</f>
        <v>0.5</v>
      </c>
      <c r="W7063" s="4" t="str">
        <f>IFERROR(__xludf.DUMMYFUNCTION("""COMPUTED_VALUE"""),"Aurora Sistemas")</f>
        <v>Aurora Sistemas</v>
      </c>
      <c r="X7063" s="33">
        <f>IFERROR(__xludf.DUMMYFUNCTION("""COMPUTED_VALUE"""),0.5)</f>
        <v>0.5</v>
      </c>
    </row>
    <row r="7064">
      <c r="K7064" s="4" t="str">
        <f>IFERROR(__xludf.DUMMYFUNCTION("""COMPUTED_VALUE"""),"GENEVITTA")</f>
        <v>GENEVITTA</v>
      </c>
      <c r="L7064" s="32">
        <f>IFERROR(__xludf.DUMMYFUNCTION("""COMPUTED_VALUE"""),2.0)</f>
        <v>2</v>
      </c>
      <c r="M7064" s="4" t="str">
        <f>IFERROR(__xludf.DUMMYFUNCTION("""COMPUTED_VALUE"""),"Rjk Sistemas Ltda Me")</f>
        <v>Rjk Sistemas Ltda Me</v>
      </c>
      <c r="N7064" s="33">
        <f>IFERROR(__xludf.DUMMYFUNCTION("""COMPUTED_VALUE"""),1.0)</f>
        <v>1</v>
      </c>
      <c r="O7064" s="4" t="str">
        <f>IFERROR(__xludf.DUMMYFUNCTION("""COMPUTED_VALUE"""),"null")</f>
        <v>null</v>
      </c>
      <c r="P7064" s="33">
        <f>IFERROR(__xludf.DUMMYFUNCTION("""COMPUTED_VALUE"""),0.5)</f>
        <v>0.5</v>
      </c>
      <c r="Q7064" s="4" t="str">
        <f>IFERROR(__xludf.DUMMYFUNCTION("""COMPUTED_VALUE"""),"null")</f>
        <v>null</v>
      </c>
      <c r="R7064" s="33">
        <f>IFERROR(__xludf.DUMMYFUNCTION("""COMPUTED_VALUE"""),0.5)</f>
        <v>0.5</v>
      </c>
      <c r="S7064" s="4" t="str">
        <f>IFERROR(__xludf.DUMMYFUNCTION("""COMPUTED_VALUE"""),"null")</f>
        <v>null</v>
      </c>
      <c r="T7064" s="33">
        <f>IFERROR(__xludf.DUMMYFUNCTION("""COMPUTED_VALUE"""),0.5)</f>
        <v>0.5</v>
      </c>
      <c r="U7064" s="4" t="str">
        <f>IFERROR(__xludf.DUMMYFUNCTION("""COMPUTED_VALUE"""),"null")</f>
        <v>null</v>
      </c>
      <c r="V7064" s="33">
        <f>IFERROR(__xludf.DUMMYFUNCTION("""COMPUTED_VALUE"""),0.5)</f>
        <v>0.5</v>
      </c>
      <c r="W7064" s="4" t="str">
        <f>IFERROR(__xludf.DUMMYFUNCTION("""COMPUTED_VALUE"""),"null")</f>
        <v>null</v>
      </c>
      <c r="X7064" s="33">
        <f>IFERROR(__xludf.DUMMYFUNCTION("""COMPUTED_VALUE"""),0.5)</f>
        <v>0.5</v>
      </c>
    </row>
    <row r="7065">
      <c r="K7065" s="4" t="str">
        <f>IFERROR(__xludf.DUMMYFUNCTION("""COMPUTED_VALUE"""),"GEPPOS")</f>
        <v>GEPPOS</v>
      </c>
      <c r="L7065" s="32">
        <f>IFERROR(__xludf.DUMMYFUNCTION("""COMPUTED_VALUE"""),2.0)</f>
        <v>2</v>
      </c>
      <c r="M7065" s="4" t="str">
        <f>IFERROR(__xludf.DUMMYFUNCTION("""COMPUTED_VALUE"""),"Solução Sistemas")</f>
        <v>Solução Sistemas</v>
      </c>
      <c r="N7065" s="33">
        <f>IFERROR(__xludf.DUMMYFUNCTION("""COMPUTED_VALUE"""),1.0)</f>
        <v>1</v>
      </c>
      <c r="O7065" s="4" t="str">
        <f>IFERROR(__xludf.DUMMYFUNCTION("""COMPUTED_VALUE"""),"null")</f>
        <v>null</v>
      </c>
      <c r="P7065" s="33">
        <f>IFERROR(__xludf.DUMMYFUNCTION("""COMPUTED_VALUE"""),1.0)</f>
        <v>1</v>
      </c>
      <c r="Q7065" s="4" t="str">
        <f>IFERROR(__xludf.DUMMYFUNCTION("""COMPUTED_VALUE"""),"Solução Sistemas")</f>
        <v>Solução Sistemas</v>
      </c>
      <c r="R7065" s="33">
        <f>IFERROR(__xludf.DUMMYFUNCTION("""COMPUTED_VALUE"""),0.5)</f>
        <v>0.5</v>
      </c>
      <c r="S7065" s="4" t="str">
        <f>IFERROR(__xludf.DUMMYFUNCTION("""COMPUTED_VALUE"""),"Solução Sistemas")</f>
        <v>Solução Sistemas</v>
      </c>
      <c r="T7065" s="33">
        <f>IFERROR(__xludf.DUMMYFUNCTION("""COMPUTED_VALUE"""),0.5)</f>
        <v>0.5</v>
      </c>
      <c r="U7065" s="4" t="str">
        <f>IFERROR(__xludf.DUMMYFUNCTION("""COMPUTED_VALUE"""),"null")</f>
        <v>null</v>
      </c>
      <c r="V7065" s="33">
        <f>IFERROR(__xludf.DUMMYFUNCTION("""COMPUTED_VALUE"""),1.0)</f>
        <v>1</v>
      </c>
      <c r="W7065" s="4" t="str">
        <f>IFERROR(__xludf.DUMMYFUNCTION("""COMPUTED_VALUE"""),"Solução Sistemas")</f>
        <v>Solução Sistemas</v>
      </c>
      <c r="X7065" s="33">
        <f>IFERROR(__xludf.DUMMYFUNCTION("""COMPUTED_VALUE"""),1.0)</f>
        <v>1</v>
      </c>
    </row>
    <row r="7066">
      <c r="K7066" s="4" t="str">
        <f>IFERROR(__xludf.DUMMYFUNCTION("""COMPUTED_VALUE"""),"GERIBA")</f>
        <v>GERIBA</v>
      </c>
      <c r="L7066" s="32">
        <f>IFERROR(__xludf.DUMMYFUNCTION("""COMPUTED_VALUE"""),2.0)</f>
        <v>2</v>
      </c>
      <c r="M7066" s="4" t="str">
        <f>IFERROR(__xludf.DUMMYFUNCTION("""COMPUTED_VALUE"""),"Garcom Web")</f>
        <v>Garcom Web</v>
      </c>
      <c r="N7066" s="33">
        <f>IFERROR(__xludf.DUMMYFUNCTION("""COMPUTED_VALUE"""),1.0)</f>
        <v>1</v>
      </c>
      <c r="O7066" s="4" t="str">
        <f>IFERROR(__xludf.DUMMYFUNCTION("""COMPUTED_VALUE"""),"Garcom Web")</f>
        <v>Garcom Web</v>
      </c>
      <c r="P7066" s="33">
        <f>IFERROR(__xludf.DUMMYFUNCTION("""COMPUTED_VALUE"""),1.0)</f>
        <v>1</v>
      </c>
      <c r="Q7066" s="4" t="str">
        <f>IFERROR(__xludf.DUMMYFUNCTION("""COMPUTED_VALUE"""),"Garcom Web")</f>
        <v>Garcom Web</v>
      </c>
      <c r="R7066" s="33">
        <f>IFERROR(__xludf.DUMMYFUNCTION("""COMPUTED_VALUE"""),1.0)</f>
        <v>1</v>
      </c>
      <c r="S7066" s="4" t="str">
        <f>IFERROR(__xludf.DUMMYFUNCTION("""COMPUTED_VALUE"""),"Garcom Web")</f>
        <v>Garcom Web</v>
      </c>
      <c r="T7066" s="33">
        <f>IFERROR(__xludf.DUMMYFUNCTION("""COMPUTED_VALUE"""),1.0)</f>
        <v>1</v>
      </c>
      <c r="U7066" s="4" t="str">
        <f>IFERROR(__xludf.DUMMYFUNCTION("""COMPUTED_VALUE"""),"Garcom Web")</f>
        <v>Garcom Web</v>
      </c>
      <c r="V7066" s="33">
        <f>IFERROR(__xludf.DUMMYFUNCTION("""COMPUTED_VALUE"""),1.0)</f>
        <v>1</v>
      </c>
      <c r="W7066" s="4" t="str">
        <f>IFERROR(__xludf.DUMMYFUNCTION("""COMPUTED_VALUE"""),"Garcom Web")</f>
        <v>Garcom Web</v>
      </c>
      <c r="X7066" s="33">
        <f>IFERROR(__xludf.DUMMYFUNCTION("""COMPUTED_VALUE"""),1.0)</f>
        <v>1</v>
      </c>
    </row>
    <row r="7067">
      <c r="K7067" s="4" t="str">
        <f>IFERROR(__xludf.DUMMYFUNCTION("""COMPUTED_VALUE"""),"GHADA CONTA PAI")</f>
        <v>GHADA CONTA PAI</v>
      </c>
      <c r="L7067" s="32">
        <f>IFERROR(__xludf.DUMMYFUNCTION("""COMPUTED_VALUE"""),2.0)</f>
        <v>2</v>
      </c>
      <c r="M7067" s="4" t="str">
        <f>IFERROR(__xludf.DUMMYFUNCTION("""COMPUTED_VALUE"""),"Sagres Automação Comercial")</f>
        <v>Sagres Automação Comercial</v>
      </c>
      <c r="N7067" s="33">
        <f>IFERROR(__xludf.DUMMYFUNCTION("""COMPUTED_VALUE"""),1.0)</f>
        <v>1</v>
      </c>
      <c r="O7067" s="4" t="str">
        <f>IFERROR(__xludf.DUMMYFUNCTION("""COMPUTED_VALUE"""),"null")</f>
        <v>null</v>
      </c>
      <c r="P7067" s="33">
        <f>IFERROR(__xludf.DUMMYFUNCTION("""COMPUTED_VALUE"""),0.5)</f>
        <v>0.5</v>
      </c>
      <c r="Q7067" s="4" t="str">
        <f>IFERROR(__xludf.DUMMYFUNCTION("""COMPUTED_VALUE"""),"Sagres Automação Comercial")</f>
        <v>Sagres Automação Comercial</v>
      </c>
      <c r="R7067" s="33">
        <f>IFERROR(__xludf.DUMMYFUNCTION("""COMPUTED_VALUE"""),1.0)</f>
        <v>1</v>
      </c>
      <c r="S7067" s="4" t="str">
        <f>IFERROR(__xludf.DUMMYFUNCTION("""COMPUTED_VALUE"""),"Sagres Automação Comercial")</f>
        <v>Sagres Automação Comercial</v>
      </c>
      <c r="T7067" s="33">
        <f>IFERROR(__xludf.DUMMYFUNCTION("""COMPUTED_VALUE"""),1.0)</f>
        <v>1</v>
      </c>
      <c r="U7067" s="4" t="str">
        <f>IFERROR(__xludf.DUMMYFUNCTION("""COMPUTED_VALUE"""),"Sagres Automação Comercial")</f>
        <v>Sagres Automação Comercial</v>
      </c>
      <c r="V7067" s="33">
        <f>IFERROR(__xludf.DUMMYFUNCTION("""COMPUTED_VALUE"""),1.0)</f>
        <v>1</v>
      </c>
      <c r="W7067" s="4" t="str">
        <f>IFERROR(__xludf.DUMMYFUNCTION("""COMPUTED_VALUE"""),"Sagres Automação Comercial")</f>
        <v>Sagres Automação Comercial</v>
      </c>
      <c r="X7067" s="33">
        <f>IFERROR(__xludf.DUMMYFUNCTION("""COMPUTED_VALUE"""),1.0)</f>
        <v>1</v>
      </c>
    </row>
    <row r="7068">
      <c r="K7068" s="4" t="str">
        <f>IFERROR(__xludf.DUMMYFUNCTION("""COMPUTED_VALUE"""),"GI CARVALHO DOCERIA")</f>
        <v>GI CARVALHO DOCERIA</v>
      </c>
      <c r="L7068" s="32">
        <f>IFERROR(__xludf.DUMMYFUNCTION("""COMPUTED_VALUE"""),2.0)</f>
        <v>2</v>
      </c>
      <c r="M7068" s="4" t="str">
        <f>IFERROR(__xludf.DUMMYFUNCTION("""COMPUTED_VALUE"""),"Saipos Serviços De Software")</f>
        <v>Saipos Serviços De Software</v>
      </c>
      <c r="N7068" s="33">
        <f>IFERROR(__xludf.DUMMYFUNCTION("""COMPUTED_VALUE"""),1.0)</f>
        <v>1</v>
      </c>
      <c r="O7068" s="4" t="str">
        <f>IFERROR(__xludf.DUMMYFUNCTION("""COMPUTED_VALUE"""),"Saipos Serviços De Software")</f>
        <v>Saipos Serviços De Software</v>
      </c>
      <c r="P7068" s="33">
        <f>IFERROR(__xludf.DUMMYFUNCTION("""COMPUTED_VALUE"""),1.0)</f>
        <v>1</v>
      </c>
      <c r="Q7068" s="4" t="str">
        <f>IFERROR(__xludf.DUMMYFUNCTION("""COMPUTED_VALUE"""),"Saipos Serviços De Software")</f>
        <v>Saipos Serviços De Software</v>
      </c>
      <c r="R7068" s="33">
        <f>IFERROR(__xludf.DUMMYFUNCTION("""COMPUTED_VALUE"""),1.0)</f>
        <v>1</v>
      </c>
      <c r="S7068" s="4" t="str">
        <f>IFERROR(__xludf.DUMMYFUNCTION("""COMPUTED_VALUE"""),"null")</f>
        <v>null</v>
      </c>
      <c r="T7068" s="33">
        <f>IFERROR(__xludf.DUMMYFUNCTION("""COMPUTED_VALUE"""),1.0)</f>
        <v>1</v>
      </c>
      <c r="U7068" s="4" t="str">
        <f>IFERROR(__xludf.DUMMYFUNCTION("""COMPUTED_VALUE"""),"null")</f>
        <v>null</v>
      </c>
      <c r="V7068" s="33">
        <f>IFERROR(__xludf.DUMMYFUNCTION("""COMPUTED_VALUE"""),1.0)</f>
        <v>1</v>
      </c>
      <c r="W7068" s="4" t="str">
        <f>IFERROR(__xludf.DUMMYFUNCTION("""COMPUTED_VALUE"""),"null")</f>
        <v>null</v>
      </c>
      <c r="X7068" s="33">
        <f>IFERROR(__xludf.DUMMYFUNCTION("""COMPUTED_VALUE"""),1.0)</f>
        <v>1</v>
      </c>
    </row>
    <row r="7069">
      <c r="K7069" s="4" t="str">
        <f>IFERROR(__xludf.DUMMYFUNCTION("""COMPUTED_VALUE"""),"GIANFRANCO")</f>
        <v>GIANFRANCO</v>
      </c>
      <c r="L7069" s="32">
        <f>IFERROR(__xludf.DUMMYFUNCTION("""COMPUTED_VALUE"""),2.0)</f>
        <v>2</v>
      </c>
      <c r="M7069" s="4" t="str">
        <f>IFERROR(__xludf.DUMMYFUNCTION("""COMPUTED_VALUE"""),"Saipos Serviços De Software")</f>
        <v>Saipos Serviços De Software</v>
      </c>
      <c r="N7069" s="33">
        <f>IFERROR(__xludf.DUMMYFUNCTION("""COMPUTED_VALUE"""),1.0)</f>
        <v>1</v>
      </c>
      <c r="O7069" s="4" t="str">
        <f>IFERROR(__xludf.DUMMYFUNCTION("""COMPUTED_VALUE"""),"Saipos Serviços De Software")</f>
        <v>Saipos Serviços De Software</v>
      </c>
      <c r="P7069" s="33">
        <f>IFERROR(__xludf.DUMMYFUNCTION("""COMPUTED_VALUE"""),1.0)</f>
        <v>1</v>
      </c>
      <c r="Q7069" s="4" t="str">
        <f>IFERROR(__xludf.DUMMYFUNCTION("""COMPUTED_VALUE"""),"Saipos Serviços De Software")</f>
        <v>Saipos Serviços De Software</v>
      </c>
      <c r="R7069" s="33">
        <f>IFERROR(__xludf.DUMMYFUNCTION("""COMPUTED_VALUE"""),1.0)</f>
        <v>1</v>
      </c>
      <c r="S7069" s="4" t="str">
        <f>IFERROR(__xludf.DUMMYFUNCTION("""COMPUTED_VALUE"""),"Saipos Serviços De Software")</f>
        <v>Saipos Serviços De Software</v>
      </c>
      <c r="T7069" s="33">
        <f>IFERROR(__xludf.DUMMYFUNCTION("""COMPUTED_VALUE"""),1.0)</f>
        <v>1</v>
      </c>
      <c r="U7069" s="4" t="str">
        <f>IFERROR(__xludf.DUMMYFUNCTION("""COMPUTED_VALUE"""),"Saipos Serviços De Software")</f>
        <v>Saipos Serviços De Software</v>
      </c>
      <c r="V7069" s="33">
        <f>IFERROR(__xludf.DUMMYFUNCTION("""COMPUTED_VALUE"""),1.0)</f>
        <v>1</v>
      </c>
      <c r="W7069" s="4" t="str">
        <f>IFERROR(__xludf.DUMMYFUNCTION("""COMPUTED_VALUE"""),"Saipos Serviços De Software")</f>
        <v>Saipos Serviços De Software</v>
      </c>
      <c r="X7069" s="33">
        <f>IFERROR(__xludf.DUMMYFUNCTION("""COMPUTED_VALUE"""),0.5)</f>
        <v>0.5</v>
      </c>
    </row>
    <row r="7070">
      <c r="K7070" s="4" t="str">
        <f>IFERROR(__xludf.DUMMYFUNCTION("""COMPUTED_VALUE"""),"GIENO PIZZERIA")</f>
        <v>GIENO PIZZERIA</v>
      </c>
      <c r="L7070" s="32">
        <f>IFERROR(__xludf.DUMMYFUNCTION("""COMPUTED_VALUE"""),2.0)</f>
        <v>2</v>
      </c>
      <c r="M7070" s="4" t="str">
        <f>IFERROR(__xludf.DUMMYFUNCTION("""COMPUTED_VALUE"""),"Bitbar")</f>
        <v>Bitbar</v>
      </c>
      <c r="N7070" s="33">
        <f>IFERROR(__xludf.DUMMYFUNCTION("""COMPUTED_VALUE"""),1.0)</f>
        <v>1</v>
      </c>
      <c r="O7070" s="4" t="str">
        <f>IFERROR(__xludf.DUMMYFUNCTION("""COMPUTED_VALUE"""),"Bitbar")</f>
        <v>Bitbar</v>
      </c>
      <c r="P7070" s="33">
        <f>IFERROR(__xludf.DUMMYFUNCTION("""COMPUTED_VALUE"""),1.0)</f>
        <v>1</v>
      </c>
      <c r="Q7070" s="4" t="str">
        <f>IFERROR(__xludf.DUMMYFUNCTION("""COMPUTED_VALUE"""),"null")</f>
        <v>null</v>
      </c>
      <c r="R7070" s="33">
        <f>IFERROR(__xludf.DUMMYFUNCTION("""COMPUTED_VALUE"""),1.0)</f>
        <v>1</v>
      </c>
      <c r="S7070" s="4" t="str">
        <f>IFERROR(__xludf.DUMMYFUNCTION("""COMPUTED_VALUE"""),"null")</f>
        <v>null</v>
      </c>
      <c r="T7070" s="33">
        <f>IFERROR(__xludf.DUMMYFUNCTION("""COMPUTED_VALUE"""),0.5)</f>
        <v>0.5</v>
      </c>
      <c r="U7070" s="4" t="str">
        <f>IFERROR(__xludf.DUMMYFUNCTION("""COMPUTED_VALUE"""),"null")</f>
        <v>null</v>
      </c>
      <c r="V7070" s="33">
        <f>IFERROR(__xludf.DUMMYFUNCTION("""COMPUTED_VALUE"""),1.0)</f>
        <v>1</v>
      </c>
      <c r="W7070" s="4" t="str">
        <f>IFERROR(__xludf.DUMMYFUNCTION("""COMPUTED_VALUE"""),"Bitbar")</f>
        <v>Bitbar</v>
      </c>
      <c r="X7070" s="33">
        <f>IFERROR(__xludf.DUMMYFUNCTION("""COMPUTED_VALUE"""),1.0)</f>
        <v>1</v>
      </c>
    </row>
    <row r="7071">
      <c r="K7071" s="4" t="str">
        <f>IFERROR(__xludf.DUMMYFUNCTION("""COMPUTED_VALUE"""),"GIGA PIZZA")</f>
        <v>GIGA PIZZA</v>
      </c>
      <c r="L7071" s="32">
        <f>IFERROR(__xludf.DUMMYFUNCTION("""COMPUTED_VALUE"""),2.0)</f>
        <v>2</v>
      </c>
      <c r="M7071" s="4" t="str">
        <f>IFERROR(__xludf.DUMMYFUNCTION("""COMPUTED_VALUE"""),"null")</f>
        <v>null</v>
      </c>
      <c r="N7071" s="33">
        <f>IFERROR(__xludf.DUMMYFUNCTION("""COMPUTED_VALUE"""),0.5)</f>
        <v>0.5</v>
      </c>
      <c r="O7071" s="4" t="str">
        <f>IFERROR(__xludf.DUMMYFUNCTION("""COMPUTED_VALUE"""),"null")</f>
        <v>null</v>
      </c>
      <c r="P7071" s="33">
        <f>IFERROR(__xludf.DUMMYFUNCTION("""COMPUTED_VALUE"""),0.5)</f>
        <v>0.5</v>
      </c>
      <c r="Q7071" s="4" t="str">
        <f>IFERROR(__xludf.DUMMYFUNCTION("""COMPUTED_VALUE"""),"null")</f>
        <v>null</v>
      </c>
      <c r="R7071" s="33">
        <f>IFERROR(__xludf.DUMMYFUNCTION("""COMPUTED_VALUE"""),0.5)</f>
        <v>0.5</v>
      </c>
      <c r="S7071" s="4" t="str">
        <f>IFERROR(__xludf.DUMMYFUNCTION("""COMPUTED_VALUE"""),"null")</f>
        <v>null</v>
      </c>
      <c r="T7071" s="33">
        <f>IFERROR(__xludf.DUMMYFUNCTION("""COMPUTED_VALUE"""),0.5)</f>
        <v>0.5</v>
      </c>
      <c r="U7071" s="4" t="str">
        <f>IFERROR(__xludf.DUMMYFUNCTION("""COMPUTED_VALUE"""),"null")</f>
        <v>null</v>
      </c>
      <c r="V7071" s="33">
        <f>IFERROR(__xludf.DUMMYFUNCTION("""COMPUTED_VALUE"""),0.5)</f>
        <v>0.5</v>
      </c>
      <c r="W7071" s="4" t="str">
        <f>IFERROR(__xludf.DUMMYFUNCTION("""COMPUTED_VALUE"""),"Consumer Soluções Em Tecnologia Ltda")</f>
        <v>Consumer Soluções Em Tecnologia Ltda</v>
      </c>
      <c r="X7071" s="33">
        <f>IFERROR(__xludf.DUMMYFUNCTION("""COMPUTED_VALUE"""),1.0)</f>
        <v>1</v>
      </c>
    </row>
    <row r="7072">
      <c r="K7072" s="4" t="str">
        <f>IFERROR(__xludf.DUMMYFUNCTION("""COMPUTED_VALUE"""),"GIGAFARMA - CONTA PAI")</f>
        <v>GIGAFARMA - CONTA PAI</v>
      </c>
      <c r="L7072" s="32">
        <f>IFERROR(__xludf.DUMMYFUNCTION("""COMPUTED_VALUE"""),2.0)</f>
        <v>2</v>
      </c>
      <c r="M7072" s="4" t="str">
        <f>IFERROR(__xludf.DUMMYFUNCTION("""COMPUTED_VALUE"""),"N/A (Not found)")</f>
        <v>N/A (Not found)</v>
      </c>
      <c r="N7072" s="33">
        <f>IFERROR(__xludf.DUMMYFUNCTION("""COMPUTED_VALUE"""),1.0)</f>
        <v>1</v>
      </c>
      <c r="O7072" s="4" t="str">
        <f>IFERROR(__xludf.DUMMYFUNCTION("""COMPUTED_VALUE"""),"N/A (Not found)")</f>
        <v>N/A (Not found)</v>
      </c>
      <c r="P7072" s="33">
        <f>IFERROR(__xludf.DUMMYFUNCTION("""COMPUTED_VALUE"""),1.0)</f>
        <v>1</v>
      </c>
      <c r="Q7072" s="4" t="str">
        <f>IFERROR(__xludf.DUMMYFUNCTION("""COMPUTED_VALUE"""),"N/A (Not found)")</f>
        <v>N/A (Not found)</v>
      </c>
      <c r="R7072" s="33">
        <f>IFERROR(__xludf.DUMMYFUNCTION("""COMPUTED_VALUE"""),1.0)</f>
        <v>1</v>
      </c>
      <c r="S7072" s="4" t="str">
        <f>IFERROR(__xludf.DUMMYFUNCTION("""COMPUTED_VALUE"""),"N/A (Not found)")</f>
        <v>N/A (Not found)</v>
      </c>
      <c r="T7072" s="33">
        <f>IFERROR(__xludf.DUMMYFUNCTION("""COMPUTED_VALUE"""),1.0)</f>
        <v>1</v>
      </c>
      <c r="U7072" s="4" t="str">
        <f>IFERROR(__xludf.DUMMYFUNCTION("""COMPUTED_VALUE"""),"N/A (Not found)")</f>
        <v>N/A (Not found)</v>
      </c>
      <c r="V7072" s="33">
        <f>IFERROR(__xludf.DUMMYFUNCTION("""COMPUTED_VALUE"""),1.0)</f>
        <v>1</v>
      </c>
      <c r="W7072" s="4" t="str">
        <f>IFERROR(__xludf.DUMMYFUNCTION("""COMPUTED_VALUE"""),"N/A (Not found)")</f>
        <v>N/A (Not found)</v>
      </c>
      <c r="X7072" s="33">
        <f>IFERROR(__xludf.DUMMYFUNCTION("""COMPUTED_VALUE"""),1.0)</f>
        <v>1</v>
      </c>
    </row>
    <row r="7073">
      <c r="K7073" s="4" t="str">
        <f>IFERROR(__xludf.DUMMYFUNCTION("""COMPUTED_VALUE"""),"GIGANTESCA CONTA PAI")</f>
        <v>GIGANTESCA CONTA PAI</v>
      </c>
      <c r="L7073" s="32">
        <f>IFERROR(__xludf.DUMMYFUNCTION("""COMPUTED_VALUE"""),2.0)</f>
        <v>2</v>
      </c>
      <c r="M7073" s="4" t="str">
        <f>IFERROR(__xludf.DUMMYFUNCTION("""COMPUTED_VALUE"""),"Saipos Serviços De Software")</f>
        <v>Saipos Serviços De Software</v>
      </c>
      <c r="N7073" s="33">
        <f>IFERROR(__xludf.DUMMYFUNCTION("""COMPUTED_VALUE"""),1.0)</f>
        <v>1</v>
      </c>
      <c r="O7073" s="4" t="str">
        <f>IFERROR(__xludf.DUMMYFUNCTION("""COMPUTED_VALUE"""),"Saipos Serviços De Software")</f>
        <v>Saipos Serviços De Software</v>
      </c>
      <c r="P7073" s="33">
        <f>IFERROR(__xludf.DUMMYFUNCTION("""COMPUTED_VALUE"""),1.0)</f>
        <v>1</v>
      </c>
      <c r="Q7073" s="4" t="str">
        <f>IFERROR(__xludf.DUMMYFUNCTION("""COMPUTED_VALUE"""),"Saipos Serviços De Software")</f>
        <v>Saipos Serviços De Software</v>
      </c>
      <c r="R7073" s="33">
        <f>IFERROR(__xludf.DUMMYFUNCTION("""COMPUTED_VALUE"""),1.0)</f>
        <v>1</v>
      </c>
      <c r="S7073" s="4" t="str">
        <f>IFERROR(__xludf.DUMMYFUNCTION("""COMPUTED_VALUE"""),"Saipos Serviços De Software")</f>
        <v>Saipos Serviços De Software</v>
      </c>
      <c r="T7073" s="33">
        <f>IFERROR(__xludf.DUMMYFUNCTION("""COMPUTED_VALUE"""),1.0)</f>
        <v>1</v>
      </c>
      <c r="U7073" s="4" t="str">
        <f>IFERROR(__xludf.DUMMYFUNCTION("""COMPUTED_VALUE"""),"Saipos Serviços De Software")</f>
        <v>Saipos Serviços De Software</v>
      </c>
      <c r="V7073" s="33">
        <f>IFERROR(__xludf.DUMMYFUNCTION("""COMPUTED_VALUE"""),1.0)</f>
        <v>1</v>
      </c>
      <c r="W7073" s="4" t="str">
        <f>IFERROR(__xludf.DUMMYFUNCTION("""COMPUTED_VALUE"""),"Saipos Serviços De Software")</f>
        <v>Saipos Serviços De Software</v>
      </c>
      <c r="X7073" s="33">
        <f>IFERROR(__xludf.DUMMYFUNCTION("""COMPUTED_VALUE"""),1.0)</f>
        <v>1</v>
      </c>
    </row>
    <row r="7074">
      <c r="K7074" s="4" t="str">
        <f>IFERROR(__xludf.DUMMYFUNCTION("""COMPUTED_VALUE"""),"PIZZARIA GIGANTESCA")</f>
        <v>PIZZARIA GIGANTESCA</v>
      </c>
      <c r="L7074" s="32">
        <f>IFERROR(__xludf.DUMMYFUNCTION("""COMPUTED_VALUE"""),2.0)</f>
        <v>2</v>
      </c>
      <c r="M7074" s="4" t="str">
        <f>IFERROR(__xludf.DUMMYFUNCTION("""COMPUTED_VALUE"""),"Saipos Serviços De Software")</f>
        <v>Saipos Serviços De Software</v>
      </c>
      <c r="N7074" s="33">
        <f>IFERROR(__xludf.DUMMYFUNCTION("""COMPUTED_VALUE"""),1.0)</f>
        <v>1</v>
      </c>
      <c r="O7074" s="4" t="str">
        <f>IFERROR(__xludf.DUMMYFUNCTION("""COMPUTED_VALUE"""),"Saipos Serviços De Software")</f>
        <v>Saipos Serviços De Software</v>
      </c>
      <c r="P7074" s="33">
        <f>IFERROR(__xludf.DUMMYFUNCTION("""COMPUTED_VALUE"""),1.0)</f>
        <v>1</v>
      </c>
      <c r="Q7074" s="4" t="str">
        <f>IFERROR(__xludf.DUMMYFUNCTION("""COMPUTED_VALUE"""),"Saipos Serviços De Software")</f>
        <v>Saipos Serviços De Software</v>
      </c>
      <c r="R7074" s="33">
        <f>IFERROR(__xludf.DUMMYFUNCTION("""COMPUTED_VALUE"""),1.0)</f>
        <v>1</v>
      </c>
      <c r="S7074" s="4" t="str">
        <f>IFERROR(__xludf.DUMMYFUNCTION("""COMPUTED_VALUE"""),"Saipos Serviços De Software")</f>
        <v>Saipos Serviços De Software</v>
      </c>
      <c r="T7074" s="33">
        <f>IFERROR(__xludf.DUMMYFUNCTION("""COMPUTED_VALUE"""),1.0)</f>
        <v>1</v>
      </c>
      <c r="U7074" s="4" t="str">
        <f>IFERROR(__xludf.DUMMYFUNCTION("""COMPUTED_VALUE"""),"Saipos Serviços De Software")</f>
        <v>Saipos Serviços De Software</v>
      </c>
      <c r="V7074" s="33">
        <f>IFERROR(__xludf.DUMMYFUNCTION("""COMPUTED_VALUE"""),1.0)</f>
        <v>1</v>
      </c>
      <c r="W7074" s="4" t="str">
        <f>IFERROR(__xludf.DUMMYFUNCTION("""COMPUTED_VALUE"""),"Saipos Serviços De Software")</f>
        <v>Saipos Serviços De Software</v>
      </c>
      <c r="X7074" s="33">
        <f>IFERROR(__xludf.DUMMYFUNCTION("""COMPUTED_VALUE"""),1.0)</f>
        <v>1</v>
      </c>
    </row>
    <row r="7075">
      <c r="K7075" s="4" t="str">
        <f>IFERROR(__xludf.DUMMYFUNCTION("""COMPUTED_VALUE"""),"GIOBURGUER - CONTA PAI")</f>
        <v>GIOBURGUER - CONTA PAI</v>
      </c>
      <c r="L7075" s="32">
        <f>IFERROR(__xludf.DUMMYFUNCTION("""COMPUTED_VALUE"""),2.0)</f>
        <v>2</v>
      </c>
      <c r="M7075" s="4" t="str">
        <f>IFERROR(__xludf.DUMMYFUNCTION("""COMPUTED_VALUE"""),"Vuca Solution")</f>
        <v>Vuca Solution</v>
      </c>
      <c r="N7075" s="33">
        <f>IFERROR(__xludf.DUMMYFUNCTION("""COMPUTED_VALUE"""),1.0)</f>
        <v>1</v>
      </c>
      <c r="O7075" s="4" t="str">
        <f>IFERROR(__xludf.DUMMYFUNCTION("""COMPUTED_VALUE"""),"Vuca Solution")</f>
        <v>Vuca Solution</v>
      </c>
      <c r="P7075" s="33">
        <f>IFERROR(__xludf.DUMMYFUNCTION("""COMPUTED_VALUE"""),1.0)</f>
        <v>1</v>
      </c>
      <c r="Q7075" s="4" t="str">
        <f>IFERROR(__xludf.DUMMYFUNCTION("""COMPUTED_VALUE"""),"Vuca Solution")</f>
        <v>Vuca Solution</v>
      </c>
      <c r="R7075" s="33">
        <f>IFERROR(__xludf.DUMMYFUNCTION("""COMPUTED_VALUE"""),1.0)</f>
        <v>1</v>
      </c>
      <c r="S7075" s="4" t="str">
        <f>IFERROR(__xludf.DUMMYFUNCTION("""COMPUTED_VALUE"""),"Vuca Solution")</f>
        <v>Vuca Solution</v>
      </c>
      <c r="T7075" s="33">
        <f>IFERROR(__xludf.DUMMYFUNCTION("""COMPUTED_VALUE"""),1.0)</f>
        <v>1</v>
      </c>
      <c r="U7075" s="4" t="str">
        <f>IFERROR(__xludf.DUMMYFUNCTION("""COMPUTED_VALUE"""),"Vuca Solution")</f>
        <v>Vuca Solution</v>
      </c>
      <c r="V7075" s="33">
        <f>IFERROR(__xludf.DUMMYFUNCTION("""COMPUTED_VALUE"""),1.0)</f>
        <v>1</v>
      </c>
      <c r="W7075" s="4" t="str">
        <f>IFERROR(__xludf.DUMMYFUNCTION("""COMPUTED_VALUE"""),"Vuca Solution")</f>
        <v>Vuca Solution</v>
      </c>
      <c r="X7075" s="33">
        <f>IFERROR(__xludf.DUMMYFUNCTION("""COMPUTED_VALUE"""),1.0)</f>
        <v>1</v>
      </c>
    </row>
    <row r="7076">
      <c r="K7076" s="4" t="str">
        <f>IFERROR(__xludf.DUMMYFUNCTION("""COMPUTED_VALUE"""),"GRUPO GIOVANNETTI")</f>
        <v>GRUPO GIOVANNETTI</v>
      </c>
      <c r="L7076" s="32">
        <f>IFERROR(__xludf.DUMMYFUNCTION("""COMPUTED_VALUE"""),2.0)</f>
        <v>2</v>
      </c>
      <c r="M7076" s="4" t="str">
        <f>IFERROR(__xludf.DUMMYFUNCTION("""COMPUTED_VALUE"""),"Saraiva Informatica Ltda")</f>
        <v>Saraiva Informatica Ltda</v>
      </c>
      <c r="N7076" s="33">
        <f>IFERROR(__xludf.DUMMYFUNCTION("""COMPUTED_VALUE"""),1.0)</f>
        <v>1</v>
      </c>
      <c r="O7076" s="4" t="str">
        <f>IFERROR(__xludf.DUMMYFUNCTION("""COMPUTED_VALUE"""),"null")</f>
        <v>null</v>
      </c>
      <c r="P7076" s="33">
        <f>IFERROR(__xludf.DUMMYFUNCTION("""COMPUTED_VALUE"""),1.0)</f>
        <v>1</v>
      </c>
      <c r="Q7076" s="4" t="str">
        <f>IFERROR(__xludf.DUMMYFUNCTION("""COMPUTED_VALUE"""),"Saraiva Informatica Ltda")</f>
        <v>Saraiva Informatica Ltda</v>
      </c>
      <c r="R7076" s="33">
        <f>IFERROR(__xludf.DUMMYFUNCTION("""COMPUTED_VALUE"""),0.5)</f>
        <v>0.5</v>
      </c>
      <c r="S7076" s="4" t="str">
        <f>IFERROR(__xludf.DUMMYFUNCTION("""COMPUTED_VALUE"""),"null")</f>
        <v>null</v>
      </c>
      <c r="T7076" s="33">
        <f>IFERROR(__xludf.DUMMYFUNCTION("""COMPUTED_VALUE"""),1.0)</f>
        <v>1</v>
      </c>
      <c r="U7076" s="4" t="str">
        <f>IFERROR(__xludf.DUMMYFUNCTION("""COMPUTED_VALUE"""),"null")</f>
        <v>null</v>
      </c>
      <c r="V7076" s="33">
        <f>IFERROR(__xludf.DUMMYFUNCTION("""COMPUTED_VALUE"""),1.0)</f>
        <v>1</v>
      </c>
      <c r="W7076" s="4" t="str">
        <f>IFERROR(__xludf.DUMMYFUNCTION("""COMPUTED_VALUE"""),"Saraiva Informatica Ltda")</f>
        <v>Saraiva Informatica Ltda</v>
      </c>
      <c r="X7076" s="33">
        <f>IFERROR(__xludf.DUMMYFUNCTION("""COMPUTED_VALUE"""),1.0)</f>
        <v>1</v>
      </c>
    </row>
    <row r="7077">
      <c r="K7077" s="4" t="str">
        <f>IFERROR(__xludf.DUMMYFUNCTION("""COMPUTED_VALUE"""),"GO ESFIHA MARCA")</f>
        <v>GO ESFIHA MARCA</v>
      </c>
      <c r="L7077" s="32">
        <f>IFERROR(__xludf.DUMMYFUNCTION("""COMPUTED_VALUE"""),2.0)</f>
        <v>2</v>
      </c>
      <c r="M7077" s="4" t="str">
        <f>IFERROR(__xludf.DUMMYFUNCTION("""COMPUTED_VALUE"""),"Saipos Serviços De Software")</f>
        <v>Saipos Serviços De Software</v>
      </c>
      <c r="N7077" s="33">
        <f>IFERROR(__xludf.DUMMYFUNCTION("""COMPUTED_VALUE"""),0.5)</f>
        <v>0.5</v>
      </c>
      <c r="O7077" s="4" t="str">
        <f>IFERROR(__xludf.DUMMYFUNCTION("""COMPUTED_VALUE"""),"Saipos Serviços De Software")</f>
        <v>Saipos Serviços De Software</v>
      </c>
      <c r="P7077" s="33">
        <f>IFERROR(__xludf.DUMMYFUNCTION("""COMPUTED_VALUE"""),0.5)</f>
        <v>0.5</v>
      </c>
      <c r="Q7077" s="4" t="str">
        <f>IFERROR(__xludf.DUMMYFUNCTION("""COMPUTED_VALUE"""),"Saipos Serviços De Software")</f>
        <v>Saipos Serviços De Software</v>
      </c>
      <c r="R7077" s="33">
        <f>IFERROR(__xludf.DUMMYFUNCTION("""COMPUTED_VALUE"""),0.5)</f>
        <v>0.5</v>
      </c>
      <c r="S7077" s="4" t="str">
        <f>IFERROR(__xludf.DUMMYFUNCTION("""COMPUTED_VALUE"""),"Saipos Serviços De Software")</f>
        <v>Saipos Serviços De Software</v>
      </c>
      <c r="T7077" s="33">
        <f>IFERROR(__xludf.DUMMYFUNCTION("""COMPUTED_VALUE"""),1.0)</f>
        <v>1</v>
      </c>
      <c r="U7077" s="4" t="str">
        <f>IFERROR(__xludf.DUMMYFUNCTION("""COMPUTED_VALUE"""),"Saipos Serviços De Software")</f>
        <v>Saipos Serviços De Software</v>
      </c>
      <c r="V7077" s="33">
        <f>IFERROR(__xludf.DUMMYFUNCTION("""COMPUTED_VALUE"""),1.0)</f>
        <v>1</v>
      </c>
      <c r="W7077" s="4" t="str">
        <f>IFERROR(__xludf.DUMMYFUNCTION("""COMPUTED_VALUE"""),"Saipos Serviços De Software")</f>
        <v>Saipos Serviços De Software</v>
      </c>
      <c r="X7077" s="33">
        <f>IFERROR(__xludf.DUMMYFUNCTION("""COMPUTED_VALUE"""),1.0)</f>
        <v>1</v>
      </c>
    </row>
    <row r="7078">
      <c r="K7078" s="4" t="str">
        <f>IFERROR(__xludf.DUMMYFUNCTION("""COMPUTED_VALUE"""),"GOOD STUFF BURGUER")</f>
        <v>GOOD STUFF BURGUER</v>
      </c>
      <c r="L7078" s="32">
        <f>IFERROR(__xludf.DUMMYFUNCTION("""COMPUTED_VALUE"""),2.0)</f>
        <v>2</v>
      </c>
      <c r="M7078" s="4" t="str">
        <f>IFERROR(__xludf.DUMMYFUNCTION("""COMPUTED_VALUE"""),"Saipos Serviços De Software")</f>
        <v>Saipos Serviços De Software</v>
      </c>
      <c r="N7078" s="33">
        <f>IFERROR(__xludf.DUMMYFUNCTION("""COMPUTED_VALUE"""),1.0)</f>
        <v>1</v>
      </c>
      <c r="O7078" s="4" t="str">
        <f>IFERROR(__xludf.DUMMYFUNCTION("""COMPUTED_VALUE"""),"Saipos Serviços De Software")</f>
        <v>Saipos Serviços De Software</v>
      </c>
      <c r="P7078" s="33">
        <f>IFERROR(__xludf.DUMMYFUNCTION("""COMPUTED_VALUE"""),1.0)</f>
        <v>1</v>
      </c>
      <c r="Q7078" s="4" t="str">
        <f>IFERROR(__xludf.DUMMYFUNCTION("""COMPUTED_VALUE"""),"Saipos Serviços De Software")</f>
        <v>Saipos Serviços De Software</v>
      </c>
      <c r="R7078" s="33">
        <f>IFERROR(__xludf.DUMMYFUNCTION("""COMPUTED_VALUE"""),1.0)</f>
        <v>1</v>
      </c>
      <c r="S7078" s="4" t="str">
        <f>IFERROR(__xludf.DUMMYFUNCTION("""COMPUTED_VALUE"""),"Saipos Serviços De Software")</f>
        <v>Saipos Serviços De Software</v>
      </c>
      <c r="T7078" s="33">
        <f>IFERROR(__xludf.DUMMYFUNCTION("""COMPUTED_VALUE"""),1.0)</f>
        <v>1</v>
      </c>
      <c r="U7078" s="4" t="str">
        <f>IFERROR(__xludf.DUMMYFUNCTION("""COMPUTED_VALUE"""),"Saipos Serviços De Software")</f>
        <v>Saipos Serviços De Software</v>
      </c>
      <c r="V7078" s="33">
        <f>IFERROR(__xludf.DUMMYFUNCTION("""COMPUTED_VALUE"""),1.0)</f>
        <v>1</v>
      </c>
      <c r="W7078" s="4" t="str">
        <f>IFERROR(__xludf.DUMMYFUNCTION("""COMPUTED_VALUE"""),"Saipos Serviços De Software")</f>
        <v>Saipos Serviços De Software</v>
      </c>
      <c r="X7078" s="33">
        <f>IFERROR(__xludf.DUMMYFUNCTION("""COMPUTED_VALUE"""),1.0)</f>
        <v>1</v>
      </c>
    </row>
    <row r="7079">
      <c r="K7079" s="4" t="str">
        <f>IFERROR(__xludf.DUMMYFUNCTION("""COMPUTED_VALUE"""),"GORILLAS BURGUER - CONTA PAI")</f>
        <v>GORILLAS BURGUER - CONTA PAI</v>
      </c>
      <c r="L7079" s="32">
        <f>IFERROR(__xludf.DUMMYFUNCTION("""COMPUTED_VALUE"""),2.0)</f>
        <v>2</v>
      </c>
      <c r="M7079" s="4" t="str">
        <f>IFERROR(__xludf.DUMMYFUNCTION("""COMPUTED_VALUE"""),"Saipos Serviços De Software")</f>
        <v>Saipos Serviços De Software</v>
      </c>
      <c r="N7079" s="33">
        <f>IFERROR(__xludf.DUMMYFUNCTION("""COMPUTED_VALUE"""),1.0)</f>
        <v>1</v>
      </c>
      <c r="O7079" s="4" t="str">
        <f>IFERROR(__xludf.DUMMYFUNCTION("""COMPUTED_VALUE"""),"Saipos Serviços De Software")</f>
        <v>Saipos Serviços De Software</v>
      </c>
      <c r="P7079" s="33">
        <f>IFERROR(__xludf.DUMMYFUNCTION("""COMPUTED_VALUE"""),1.0)</f>
        <v>1</v>
      </c>
      <c r="Q7079" s="4" t="str">
        <f>IFERROR(__xludf.DUMMYFUNCTION("""COMPUTED_VALUE"""),"Saipos Serviços De Software")</f>
        <v>Saipos Serviços De Software</v>
      </c>
      <c r="R7079" s="33">
        <f>IFERROR(__xludf.DUMMYFUNCTION("""COMPUTED_VALUE"""),1.0)</f>
        <v>1</v>
      </c>
      <c r="S7079" s="4" t="str">
        <f>IFERROR(__xludf.DUMMYFUNCTION("""COMPUTED_VALUE"""),"Saipos Serviços De Software")</f>
        <v>Saipos Serviços De Software</v>
      </c>
      <c r="T7079" s="33">
        <f>IFERROR(__xludf.DUMMYFUNCTION("""COMPUTED_VALUE"""),1.0)</f>
        <v>1</v>
      </c>
      <c r="U7079" s="4" t="str">
        <f>IFERROR(__xludf.DUMMYFUNCTION("""COMPUTED_VALUE"""),"Saipos Serviços De Software")</f>
        <v>Saipos Serviços De Software</v>
      </c>
      <c r="V7079" s="33">
        <f>IFERROR(__xludf.DUMMYFUNCTION("""COMPUTED_VALUE"""),1.0)</f>
        <v>1</v>
      </c>
      <c r="W7079" s="4" t="str">
        <f>IFERROR(__xludf.DUMMYFUNCTION("""COMPUTED_VALUE"""),"Saipos Serviços De Software")</f>
        <v>Saipos Serviços De Software</v>
      </c>
      <c r="X7079" s="33">
        <f>IFERROR(__xludf.DUMMYFUNCTION("""COMPUTED_VALUE"""),0.5)</f>
        <v>0.5</v>
      </c>
    </row>
    <row r="7080">
      <c r="K7080" s="4" t="str">
        <f>IFERROR(__xludf.DUMMYFUNCTION("""COMPUTED_VALUE"""),"GRACIAS EMPANADAS - CONTA MARCA")</f>
        <v>GRACIAS EMPANADAS - CONTA MARCA</v>
      </c>
      <c r="L7080" s="32">
        <f>IFERROR(__xludf.DUMMYFUNCTION("""COMPUTED_VALUE"""),2.0)</f>
        <v>2</v>
      </c>
      <c r="M7080" s="4" t="str">
        <f>IFERROR(__xludf.DUMMYFUNCTION("""COMPUTED_VALUE"""),"Hubster")</f>
        <v>Hubster</v>
      </c>
      <c r="N7080" s="33">
        <f>IFERROR(__xludf.DUMMYFUNCTION("""COMPUTED_VALUE"""),1.0)</f>
        <v>1</v>
      </c>
      <c r="O7080" s="4" t="str">
        <f>IFERROR(__xludf.DUMMYFUNCTION("""COMPUTED_VALUE"""),"Hubster")</f>
        <v>Hubster</v>
      </c>
      <c r="P7080" s="33">
        <f>IFERROR(__xludf.DUMMYFUNCTION("""COMPUTED_VALUE"""),1.0)</f>
        <v>1</v>
      </c>
      <c r="Q7080" s="4" t="str">
        <f>IFERROR(__xludf.DUMMYFUNCTION("""COMPUTED_VALUE"""),"Hubster")</f>
        <v>Hubster</v>
      </c>
      <c r="R7080" s="33">
        <f>IFERROR(__xludf.DUMMYFUNCTION("""COMPUTED_VALUE"""),1.0)</f>
        <v>1</v>
      </c>
      <c r="S7080" s="4" t="str">
        <f>IFERROR(__xludf.DUMMYFUNCTION("""COMPUTED_VALUE"""),"Hubster")</f>
        <v>Hubster</v>
      </c>
      <c r="T7080" s="33">
        <f>IFERROR(__xludf.DUMMYFUNCTION("""COMPUTED_VALUE"""),1.0)</f>
        <v>1</v>
      </c>
      <c r="U7080" s="4" t="str">
        <f>IFERROR(__xludf.DUMMYFUNCTION("""COMPUTED_VALUE"""),"Hubster")</f>
        <v>Hubster</v>
      </c>
      <c r="V7080" s="33">
        <f>IFERROR(__xludf.DUMMYFUNCTION("""COMPUTED_VALUE"""),1.0)</f>
        <v>1</v>
      </c>
      <c r="W7080" s="4" t="str">
        <f>IFERROR(__xludf.DUMMYFUNCTION("""COMPUTED_VALUE"""),"Hubster")</f>
        <v>Hubster</v>
      </c>
      <c r="X7080" s="33">
        <f>IFERROR(__xludf.DUMMYFUNCTION("""COMPUTED_VALUE"""),1.0)</f>
        <v>1</v>
      </c>
    </row>
    <row r="7081">
      <c r="K7081" s="4" t="str">
        <f>IFERROR(__xludf.DUMMYFUNCTION("""COMPUTED_VALUE"""),"GRAND GASTRO")</f>
        <v>GRAND GASTRO</v>
      </c>
      <c r="L7081" s="32">
        <f>IFERROR(__xludf.DUMMYFUNCTION("""COMPUTED_VALUE"""),2.0)</f>
        <v>2</v>
      </c>
      <c r="M7081" s="4" t="str">
        <f>IFERROR(__xludf.DUMMYFUNCTION("""COMPUTED_VALUE"""),"Inforservice Soluções Em Sistemas Ltda")</f>
        <v>Inforservice Soluções Em Sistemas Ltda</v>
      </c>
      <c r="N7081" s="33">
        <f>IFERROR(__xludf.DUMMYFUNCTION("""COMPUTED_VALUE"""),1.0)</f>
        <v>1</v>
      </c>
      <c r="O7081" s="4" t="str">
        <f>IFERROR(__xludf.DUMMYFUNCTION("""COMPUTED_VALUE"""),"null")</f>
        <v>null</v>
      </c>
      <c r="P7081" s="33">
        <f>IFERROR(__xludf.DUMMYFUNCTION("""COMPUTED_VALUE"""),0.5)</f>
        <v>0.5</v>
      </c>
      <c r="Q7081" s="4" t="str">
        <f>IFERROR(__xludf.DUMMYFUNCTION("""COMPUTED_VALUE"""),"Inforservice Soluções Em Sistemas Ltda")</f>
        <v>Inforservice Soluções Em Sistemas Ltda</v>
      </c>
      <c r="R7081" s="33">
        <f>IFERROR(__xludf.DUMMYFUNCTION("""COMPUTED_VALUE"""),0.5)</f>
        <v>0.5</v>
      </c>
      <c r="S7081" s="4" t="str">
        <f>IFERROR(__xludf.DUMMYFUNCTION("""COMPUTED_VALUE"""),"null")</f>
        <v>null</v>
      </c>
      <c r="T7081" s="33">
        <f>IFERROR(__xludf.DUMMYFUNCTION("""COMPUTED_VALUE"""),0.5)</f>
        <v>0.5</v>
      </c>
      <c r="U7081" s="4" t="str">
        <f>IFERROR(__xludf.DUMMYFUNCTION("""COMPUTED_VALUE"""),"Inforservice Soluções Em Sistemas Ltda")</f>
        <v>Inforservice Soluções Em Sistemas Ltda</v>
      </c>
      <c r="V7081" s="33">
        <f>IFERROR(__xludf.DUMMYFUNCTION("""COMPUTED_VALUE"""),1.0)</f>
        <v>1</v>
      </c>
      <c r="W7081" s="4" t="str">
        <f>IFERROR(__xludf.DUMMYFUNCTION("""COMPUTED_VALUE"""),"null")</f>
        <v>null</v>
      </c>
      <c r="X7081" s="33">
        <f>IFERROR(__xludf.DUMMYFUNCTION("""COMPUTED_VALUE"""),0.5)</f>
        <v>0.5</v>
      </c>
    </row>
    <row r="7082">
      <c r="K7082" s="4" t="str">
        <f>IFERROR(__xludf.DUMMYFUNCTION("""COMPUTED_VALUE"""),"GRAO - CULINARIA SAUDAVEL")</f>
        <v>GRAO - CULINARIA SAUDAVEL</v>
      </c>
      <c r="L7082" s="32">
        <f>IFERROR(__xludf.DUMMYFUNCTION("""COMPUTED_VALUE"""),2.0)</f>
        <v>2</v>
      </c>
      <c r="M7082" s="4" t="str">
        <f>IFERROR(__xludf.DUMMYFUNCTION("""COMPUTED_VALUE"""),"Gfr Tec")</f>
        <v>Gfr Tec</v>
      </c>
      <c r="N7082" s="33">
        <f>IFERROR(__xludf.DUMMYFUNCTION("""COMPUTED_VALUE"""),0.5)</f>
        <v>0.5</v>
      </c>
      <c r="O7082" s="4" t="str">
        <f>IFERROR(__xludf.DUMMYFUNCTION("""COMPUTED_VALUE"""),"Gfr Tec")</f>
        <v>Gfr Tec</v>
      </c>
      <c r="P7082" s="33">
        <f>IFERROR(__xludf.DUMMYFUNCTION("""COMPUTED_VALUE"""),0.5)</f>
        <v>0.5</v>
      </c>
      <c r="Q7082" s="4" t="str">
        <f>IFERROR(__xludf.DUMMYFUNCTION("""COMPUTED_VALUE"""),"null")</f>
        <v>null</v>
      </c>
      <c r="R7082" s="33">
        <f>IFERROR(__xludf.DUMMYFUNCTION("""COMPUTED_VALUE"""),0.5)</f>
        <v>0.5</v>
      </c>
      <c r="S7082" s="4" t="str">
        <f>IFERROR(__xludf.DUMMYFUNCTION("""COMPUTED_VALUE"""),"null")</f>
        <v>null</v>
      </c>
      <c r="T7082" s="33">
        <f>IFERROR(__xludf.DUMMYFUNCTION("""COMPUTED_VALUE"""),0.5)</f>
        <v>0.5</v>
      </c>
      <c r="U7082" s="35" t="str">
        <f>IFERROR(__xludf.DUMMYFUNCTION("""COMPUTED_VALUE"""),"Maisentregas.com")</f>
        <v>Maisentregas.com</v>
      </c>
      <c r="V7082" s="33">
        <f>IFERROR(__xludf.DUMMYFUNCTION("""COMPUTED_VALUE"""),0.5)</f>
        <v>0.5</v>
      </c>
      <c r="W7082" s="4" t="str">
        <f>IFERROR(__xludf.DUMMYFUNCTION("""COMPUTED_VALUE"""),"Gfr Tec")</f>
        <v>Gfr Tec</v>
      </c>
      <c r="X7082" s="33">
        <f>IFERROR(__xludf.DUMMYFUNCTION("""COMPUTED_VALUE"""),0.5)</f>
        <v>0.5</v>
      </c>
    </row>
    <row r="7083">
      <c r="K7083" s="4" t="str">
        <f>IFERROR(__xludf.DUMMYFUNCTION("""COMPUTED_VALUE"""),"GRATINATTA MASSAS - ITAJAI - MARCA")</f>
        <v>GRATINATTA MASSAS - ITAJAI - MARCA</v>
      </c>
      <c r="L7083" s="32">
        <f>IFERROR(__xludf.DUMMYFUNCTION("""COMPUTED_VALUE"""),2.0)</f>
        <v>2</v>
      </c>
      <c r="M7083" s="4" t="str">
        <f>IFERROR(__xludf.DUMMYFUNCTION("""COMPUTED_VALUE"""),"null")</f>
        <v>null</v>
      </c>
      <c r="N7083" s="33">
        <f>IFERROR(__xludf.DUMMYFUNCTION("""COMPUTED_VALUE"""),0.5)</f>
        <v>0.5</v>
      </c>
      <c r="O7083" s="4" t="str">
        <f>IFERROR(__xludf.DUMMYFUNCTION("""COMPUTED_VALUE"""),"Saipos Serviços De Software")</f>
        <v>Saipos Serviços De Software</v>
      </c>
      <c r="P7083" s="33">
        <f>IFERROR(__xludf.DUMMYFUNCTION("""COMPUTED_VALUE"""),0.5)</f>
        <v>0.5</v>
      </c>
      <c r="Q7083" s="4" t="str">
        <f>IFERROR(__xludf.DUMMYFUNCTION("""COMPUTED_VALUE"""),"null")</f>
        <v>null</v>
      </c>
      <c r="R7083" s="33">
        <f>IFERROR(__xludf.DUMMYFUNCTION("""COMPUTED_VALUE"""),1.0)</f>
        <v>1</v>
      </c>
      <c r="S7083" s="4" t="str">
        <f>IFERROR(__xludf.DUMMYFUNCTION("""COMPUTED_VALUE"""),"null")</f>
        <v>null</v>
      </c>
      <c r="T7083" s="33">
        <f>IFERROR(__xludf.DUMMYFUNCTION("""COMPUTED_VALUE"""),1.0)</f>
        <v>1</v>
      </c>
      <c r="U7083" s="4" t="str">
        <f>IFERROR(__xludf.DUMMYFUNCTION("""COMPUTED_VALUE"""),"null")</f>
        <v>null</v>
      </c>
      <c r="V7083" s="33">
        <f>IFERROR(__xludf.DUMMYFUNCTION("""COMPUTED_VALUE"""),1.0)</f>
        <v>1</v>
      </c>
      <c r="W7083" s="4" t="str">
        <f>IFERROR(__xludf.DUMMYFUNCTION("""COMPUTED_VALUE"""),"null")</f>
        <v>null</v>
      </c>
      <c r="X7083" s="33">
        <f>IFERROR(__xludf.DUMMYFUNCTION("""COMPUTED_VALUE"""),1.0)</f>
        <v>1</v>
      </c>
    </row>
    <row r="7084">
      <c r="K7084" s="4" t="str">
        <f>IFERROR(__xludf.DUMMYFUNCTION("""COMPUTED_VALUE"""),"GRATUS PIZZA BELEM")</f>
        <v>GRATUS PIZZA BELEM</v>
      </c>
      <c r="L7084" s="32">
        <f>IFERROR(__xludf.DUMMYFUNCTION("""COMPUTED_VALUE"""),2.0)</f>
        <v>2</v>
      </c>
      <c r="M7084" s="4" t="str">
        <f>IFERROR(__xludf.DUMMYFUNCTION("""COMPUTED_VALUE"""),"Saipos Serviços De Software")</f>
        <v>Saipos Serviços De Software</v>
      </c>
      <c r="N7084" s="33">
        <f>IFERROR(__xludf.DUMMYFUNCTION("""COMPUTED_VALUE"""),0.5)</f>
        <v>0.5</v>
      </c>
      <c r="O7084" s="4" t="str">
        <f>IFERROR(__xludf.DUMMYFUNCTION("""COMPUTED_VALUE"""),"Saipos Serviços De Software")</f>
        <v>Saipos Serviços De Software</v>
      </c>
      <c r="P7084" s="33">
        <f>IFERROR(__xludf.DUMMYFUNCTION("""COMPUTED_VALUE"""),0.5)</f>
        <v>0.5</v>
      </c>
      <c r="Q7084" s="4" t="str">
        <f>IFERROR(__xludf.DUMMYFUNCTION("""COMPUTED_VALUE"""),"Saipos Serviços De Software")</f>
        <v>Saipos Serviços De Software</v>
      </c>
      <c r="R7084" s="33">
        <f>IFERROR(__xludf.DUMMYFUNCTION("""COMPUTED_VALUE"""),0.5)</f>
        <v>0.5</v>
      </c>
      <c r="S7084" s="4" t="str">
        <f>IFERROR(__xludf.DUMMYFUNCTION("""COMPUTED_VALUE"""),"Saipos Serviços De Software")</f>
        <v>Saipos Serviços De Software</v>
      </c>
      <c r="T7084" s="33">
        <f>IFERROR(__xludf.DUMMYFUNCTION("""COMPUTED_VALUE"""),0.5)</f>
        <v>0.5</v>
      </c>
      <c r="U7084" s="4" t="str">
        <f>IFERROR(__xludf.DUMMYFUNCTION("""COMPUTED_VALUE"""),"Saipos Serviços De Software")</f>
        <v>Saipos Serviços De Software</v>
      </c>
      <c r="V7084" s="33">
        <f>IFERROR(__xludf.DUMMYFUNCTION("""COMPUTED_VALUE"""),0.5)</f>
        <v>0.5</v>
      </c>
      <c r="W7084" s="4" t="str">
        <f>IFERROR(__xludf.DUMMYFUNCTION("""COMPUTED_VALUE"""),"Saipos Serviços De Software")</f>
        <v>Saipos Serviços De Software</v>
      </c>
      <c r="X7084" s="33">
        <f>IFERROR(__xludf.DUMMYFUNCTION("""COMPUTED_VALUE"""),0.5)</f>
        <v>0.5</v>
      </c>
    </row>
    <row r="7085">
      <c r="K7085" s="4" t="str">
        <f>IFERROR(__xludf.DUMMYFUNCTION("""COMPUTED_VALUE"""),"GREEN ACAI")</f>
        <v>GREEN ACAI</v>
      </c>
      <c r="L7085" s="32">
        <f>IFERROR(__xludf.DUMMYFUNCTION("""COMPUTED_VALUE"""),2.0)</f>
        <v>2</v>
      </c>
      <c r="M7085" s="4" t="str">
        <f>IFERROR(__xludf.DUMMYFUNCTION("""COMPUTED_VALUE"""),"null")</f>
        <v>null</v>
      </c>
      <c r="N7085" s="33">
        <f>IFERROR(__xludf.DUMMYFUNCTION("""COMPUTED_VALUE"""),0.5)</f>
        <v>0.5</v>
      </c>
      <c r="O7085" s="4" t="str">
        <f>IFERROR(__xludf.DUMMYFUNCTION("""COMPUTED_VALUE"""),"Netcontroll Xmenu")</f>
        <v>Netcontroll Xmenu</v>
      </c>
      <c r="P7085" s="33">
        <f>IFERROR(__xludf.DUMMYFUNCTION("""COMPUTED_VALUE"""),1.0)</f>
        <v>1</v>
      </c>
      <c r="Q7085" s="4" t="str">
        <f>IFERROR(__xludf.DUMMYFUNCTION("""COMPUTED_VALUE"""),"Netcontroll Xmenu")</f>
        <v>Netcontroll Xmenu</v>
      </c>
      <c r="R7085" s="33">
        <f>IFERROR(__xludf.DUMMYFUNCTION("""COMPUTED_VALUE"""),1.0)</f>
        <v>1</v>
      </c>
      <c r="S7085" s="4" t="str">
        <f>IFERROR(__xludf.DUMMYFUNCTION("""COMPUTED_VALUE"""),"null")</f>
        <v>null</v>
      </c>
      <c r="T7085" s="33">
        <f>IFERROR(__xludf.DUMMYFUNCTION("""COMPUTED_VALUE"""),0.5)</f>
        <v>0.5</v>
      </c>
      <c r="U7085" s="4" t="str">
        <f>IFERROR(__xludf.DUMMYFUNCTION("""COMPUTED_VALUE"""),"Netcontroll Xmenu")</f>
        <v>Netcontroll Xmenu</v>
      </c>
      <c r="V7085" s="33">
        <f>IFERROR(__xludf.DUMMYFUNCTION("""COMPUTED_VALUE"""),1.0)</f>
        <v>1</v>
      </c>
      <c r="W7085" s="4" t="str">
        <f>IFERROR(__xludf.DUMMYFUNCTION("""COMPUTED_VALUE"""),"null")</f>
        <v>null</v>
      </c>
      <c r="X7085" s="33">
        <f>IFERROR(__xludf.DUMMYFUNCTION("""COMPUTED_VALUE"""),0.5)</f>
        <v>0.5</v>
      </c>
    </row>
    <row r="7086">
      <c r="K7086" s="4" t="str">
        <f>IFERROR(__xludf.DUMMYFUNCTION("""COMPUTED_VALUE"""),"GRILL BURGUER - JP")</f>
        <v>GRILL BURGUER - JP</v>
      </c>
      <c r="L7086" s="32">
        <f>IFERROR(__xludf.DUMMYFUNCTION("""COMPUTED_VALUE"""),2.0)</f>
        <v>2</v>
      </c>
      <c r="M7086" s="4" t="str">
        <f>IFERROR(__xludf.DUMMYFUNCTION("""COMPUTED_VALUE"""),"Saipos Serviços De Software")</f>
        <v>Saipos Serviços De Software</v>
      </c>
      <c r="N7086" s="33">
        <f>IFERROR(__xludf.DUMMYFUNCTION("""COMPUTED_VALUE"""),1.0)</f>
        <v>1</v>
      </c>
      <c r="O7086" s="4" t="str">
        <f>IFERROR(__xludf.DUMMYFUNCTION("""COMPUTED_VALUE"""),"Saipos Serviços De Software")</f>
        <v>Saipos Serviços De Software</v>
      </c>
      <c r="P7086" s="33">
        <f>IFERROR(__xludf.DUMMYFUNCTION("""COMPUTED_VALUE"""),1.0)</f>
        <v>1</v>
      </c>
      <c r="Q7086" s="4" t="str">
        <f>IFERROR(__xludf.DUMMYFUNCTION("""COMPUTED_VALUE"""),"Saipos Serviços De Software")</f>
        <v>Saipos Serviços De Software</v>
      </c>
      <c r="R7086" s="33">
        <f>IFERROR(__xludf.DUMMYFUNCTION("""COMPUTED_VALUE"""),1.0)</f>
        <v>1</v>
      </c>
      <c r="S7086" s="4" t="str">
        <f>IFERROR(__xludf.DUMMYFUNCTION("""COMPUTED_VALUE"""),"Saipos Serviços De Software")</f>
        <v>Saipos Serviços De Software</v>
      </c>
      <c r="T7086" s="33">
        <f>IFERROR(__xludf.DUMMYFUNCTION("""COMPUTED_VALUE"""),1.0)</f>
        <v>1</v>
      </c>
      <c r="U7086" s="4" t="str">
        <f>IFERROR(__xludf.DUMMYFUNCTION("""COMPUTED_VALUE"""),"Saipos Serviços De Software")</f>
        <v>Saipos Serviços De Software</v>
      </c>
      <c r="V7086" s="33">
        <f>IFERROR(__xludf.DUMMYFUNCTION("""COMPUTED_VALUE"""),1.0)</f>
        <v>1</v>
      </c>
      <c r="W7086" s="4" t="str">
        <f>IFERROR(__xludf.DUMMYFUNCTION("""COMPUTED_VALUE"""),"Saipos Serviços De Software")</f>
        <v>Saipos Serviços De Software</v>
      </c>
      <c r="X7086" s="33">
        <f>IFERROR(__xludf.DUMMYFUNCTION("""COMPUTED_VALUE"""),1.0)</f>
        <v>1</v>
      </c>
    </row>
    <row r="7087">
      <c r="K7087" s="4" t="str">
        <f>IFERROR(__xludf.DUMMYFUNCTION("""COMPUTED_VALUE"""),"GRUPO - A LA VONTE PIZZARIA")</f>
        <v>GRUPO - A LA VONTE PIZZARIA</v>
      </c>
      <c r="L7087" s="32">
        <f>IFERROR(__xludf.DUMMYFUNCTION("""COMPUTED_VALUE"""),2.0)</f>
        <v>2</v>
      </c>
      <c r="M7087" s="4" t="str">
        <f>IFERROR(__xludf.DUMMYFUNCTION("""COMPUTED_VALUE"""),"null")</f>
        <v>null</v>
      </c>
      <c r="N7087" s="33">
        <f>IFERROR(__xludf.DUMMYFUNCTION("""COMPUTED_VALUE"""),0.5)</f>
        <v>0.5</v>
      </c>
      <c r="O7087" s="4" t="str">
        <f>IFERROR(__xludf.DUMMYFUNCTION("""COMPUTED_VALUE"""),"Anota Ai Solucoes Digitais S/a")</f>
        <v>Anota Ai Solucoes Digitais S/a</v>
      </c>
      <c r="P7087" s="33">
        <f>IFERROR(__xludf.DUMMYFUNCTION("""COMPUTED_VALUE"""),1.0)</f>
        <v>1</v>
      </c>
      <c r="Q7087" s="4" t="str">
        <f>IFERROR(__xludf.DUMMYFUNCTION("""COMPUTED_VALUE"""),"null")</f>
        <v>null</v>
      </c>
      <c r="R7087" s="33">
        <f>IFERROR(__xludf.DUMMYFUNCTION("""COMPUTED_VALUE"""),1.0)</f>
        <v>1</v>
      </c>
      <c r="S7087" s="4" t="str">
        <f>IFERROR(__xludf.DUMMYFUNCTION("""COMPUTED_VALUE"""),"null")</f>
        <v>null</v>
      </c>
      <c r="T7087" s="33">
        <f>IFERROR(__xludf.DUMMYFUNCTION("""COMPUTED_VALUE"""),1.0)</f>
        <v>1</v>
      </c>
      <c r="U7087" s="4" t="str">
        <f>IFERROR(__xludf.DUMMYFUNCTION("""COMPUTED_VALUE"""),"null")</f>
        <v>null</v>
      </c>
      <c r="V7087" s="33">
        <f>IFERROR(__xludf.DUMMYFUNCTION("""COMPUTED_VALUE"""),1.0)</f>
        <v>1</v>
      </c>
      <c r="W7087" s="4" t="str">
        <f>IFERROR(__xludf.DUMMYFUNCTION("""COMPUTED_VALUE"""),"null")</f>
        <v>null</v>
      </c>
      <c r="X7087" s="33">
        <f>IFERROR(__xludf.DUMMYFUNCTION("""COMPUTED_VALUE"""),1.0)</f>
        <v>1</v>
      </c>
    </row>
    <row r="7088">
      <c r="K7088" s="4" t="str">
        <f>IFERROR(__xludf.DUMMYFUNCTION("""COMPUTED_VALUE"""),"GRUPO - BEIRUTE")</f>
        <v>GRUPO - BEIRUTE</v>
      </c>
      <c r="L7088" s="32">
        <f>IFERROR(__xludf.DUMMYFUNCTION("""COMPUTED_VALUE"""),2.0)</f>
        <v>2</v>
      </c>
      <c r="M7088" s="4" t="str">
        <f>IFERROR(__xludf.DUMMYFUNCTION("""COMPUTED_VALUE"""),"Stone Co.")</f>
        <v>Stone Co.</v>
      </c>
      <c r="N7088" s="33">
        <f>IFERROR(__xludf.DUMMYFUNCTION("""COMPUTED_VALUE"""),1.0)</f>
        <v>1</v>
      </c>
      <c r="O7088" s="4" t="str">
        <f>IFERROR(__xludf.DUMMYFUNCTION("""COMPUTED_VALUE"""),"Stone Co.")</f>
        <v>Stone Co.</v>
      </c>
      <c r="P7088" s="33">
        <f>IFERROR(__xludf.DUMMYFUNCTION("""COMPUTED_VALUE"""),1.0)</f>
        <v>1</v>
      </c>
      <c r="Q7088" s="4" t="str">
        <f>IFERROR(__xludf.DUMMYFUNCTION("""COMPUTED_VALUE"""),"Stone Co.")</f>
        <v>Stone Co.</v>
      </c>
      <c r="R7088" s="33">
        <f>IFERROR(__xludf.DUMMYFUNCTION("""COMPUTED_VALUE"""),1.0)</f>
        <v>1</v>
      </c>
      <c r="S7088" s="4" t="str">
        <f>IFERROR(__xludf.DUMMYFUNCTION("""COMPUTED_VALUE"""),"Stone Co.")</f>
        <v>Stone Co.</v>
      </c>
      <c r="T7088" s="33">
        <f>IFERROR(__xludf.DUMMYFUNCTION("""COMPUTED_VALUE"""),1.0)</f>
        <v>1</v>
      </c>
      <c r="U7088" s="4" t="str">
        <f>IFERROR(__xludf.DUMMYFUNCTION("""COMPUTED_VALUE"""),"Stone Co.")</f>
        <v>Stone Co.</v>
      </c>
      <c r="V7088" s="33">
        <f>IFERROR(__xludf.DUMMYFUNCTION("""COMPUTED_VALUE"""),1.0)</f>
        <v>1</v>
      </c>
      <c r="W7088" s="4" t="str">
        <f>IFERROR(__xludf.DUMMYFUNCTION("""COMPUTED_VALUE"""),"Stone Co.")</f>
        <v>Stone Co.</v>
      </c>
      <c r="X7088" s="33">
        <f>IFERROR(__xludf.DUMMYFUNCTION("""COMPUTED_VALUE"""),1.0)</f>
        <v>1</v>
      </c>
    </row>
    <row r="7089">
      <c r="K7089" s="4" t="str">
        <f>IFERROR(__xludf.DUMMYFUNCTION("""COMPUTED_VALUE"""),"GRUPO - BRAVO HAMBURGUERIA")</f>
        <v>GRUPO - BRAVO HAMBURGUERIA</v>
      </c>
      <c r="L7089" s="32">
        <f>IFERROR(__xludf.DUMMYFUNCTION("""COMPUTED_VALUE"""),2.0)</f>
        <v>2</v>
      </c>
      <c r="M7089" s="4" t="str">
        <f>IFERROR(__xludf.DUMMYFUNCTION("""COMPUTED_VALUE"""),"Saipos Serviços De Software")</f>
        <v>Saipos Serviços De Software</v>
      </c>
      <c r="N7089" s="33">
        <f>IFERROR(__xludf.DUMMYFUNCTION("""COMPUTED_VALUE"""),1.0)</f>
        <v>1</v>
      </c>
      <c r="O7089" s="4" t="str">
        <f>IFERROR(__xludf.DUMMYFUNCTION("""COMPUTED_VALUE"""),"Saipos Serviços De Software")</f>
        <v>Saipos Serviços De Software</v>
      </c>
      <c r="P7089" s="33">
        <f>IFERROR(__xludf.DUMMYFUNCTION("""COMPUTED_VALUE"""),1.0)</f>
        <v>1</v>
      </c>
      <c r="Q7089" s="4" t="str">
        <f>IFERROR(__xludf.DUMMYFUNCTION("""COMPUTED_VALUE"""),"Saipos Serviços De Software")</f>
        <v>Saipos Serviços De Software</v>
      </c>
      <c r="R7089" s="33">
        <f>IFERROR(__xludf.DUMMYFUNCTION("""COMPUTED_VALUE"""),1.0)</f>
        <v>1</v>
      </c>
      <c r="S7089" s="4" t="str">
        <f>IFERROR(__xludf.DUMMYFUNCTION("""COMPUTED_VALUE"""),"Saipos Serviços De Software")</f>
        <v>Saipos Serviços De Software</v>
      </c>
      <c r="T7089" s="33">
        <f>IFERROR(__xludf.DUMMYFUNCTION("""COMPUTED_VALUE"""),1.0)</f>
        <v>1</v>
      </c>
      <c r="U7089" s="4" t="str">
        <f>IFERROR(__xludf.DUMMYFUNCTION("""COMPUTED_VALUE"""),"Saipos Serviços De Software")</f>
        <v>Saipos Serviços De Software</v>
      </c>
      <c r="V7089" s="33">
        <f>IFERROR(__xludf.DUMMYFUNCTION("""COMPUTED_VALUE"""),1.0)</f>
        <v>1</v>
      </c>
      <c r="W7089" s="4" t="str">
        <f>IFERROR(__xludf.DUMMYFUNCTION("""COMPUTED_VALUE"""),"Saipos Serviços De Software")</f>
        <v>Saipos Serviços De Software</v>
      </c>
      <c r="X7089" s="33">
        <f>IFERROR(__xludf.DUMMYFUNCTION("""COMPUTED_VALUE"""),1.0)</f>
        <v>1</v>
      </c>
    </row>
    <row r="7090">
      <c r="K7090" s="4" t="str">
        <f>IFERROR(__xludf.DUMMYFUNCTION("""COMPUTED_VALUE"""),"GRUPO - CHICAGO PRIME")</f>
        <v>GRUPO - CHICAGO PRIME</v>
      </c>
      <c r="L7090" s="32">
        <f>IFERROR(__xludf.DUMMYFUNCTION("""COMPUTED_VALUE"""),2.0)</f>
        <v>2</v>
      </c>
      <c r="M7090" s="4" t="str">
        <f>IFERROR(__xludf.DUMMYFUNCTION("""COMPUTED_VALUE"""),"null")</f>
        <v>null</v>
      </c>
      <c r="N7090" s="33">
        <f>IFERROR(__xludf.DUMMYFUNCTION("""COMPUTED_VALUE"""),0.5)</f>
        <v>0.5</v>
      </c>
      <c r="O7090" s="4" t="str">
        <f>IFERROR(__xludf.DUMMYFUNCTION("""COMPUTED_VALUE"""),"null")</f>
        <v>null</v>
      </c>
      <c r="P7090" s="33">
        <f>IFERROR(__xludf.DUMMYFUNCTION("""COMPUTED_VALUE"""),1.0)</f>
        <v>1</v>
      </c>
      <c r="Q7090" s="4" t="str">
        <f>IFERROR(__xludf.DUMMYFUNCTION("""COMPUTED_VALUE"""),"null")</f>
        <v>null</v>
      </c>
      <c r="R7090" s="33">
        <f>IFERROR(__xludf.DUMMYFUNCTION("""COMPUTED_VALUE"""),0.5)</f>
        <v>0.5</v>
      </c>
      <c r="S7090" s="4" t="str">
        <f>IFERROR(__xludf.DUMMYFUNCTION("""COMPUTED_VALUE"""),"null")</f>
        <v>null</v>
      </c>
      <c r="T7090" s="33">
        <f>IFERROR(__xludf.DUMMYFUNCTION("""COMPUTED_VALUE"""),0.5)</f>
        <v>0.5</v>
      </c>
      <c r="U7090" s="4" t="str">
        <f>IFERROR(__xludf.DUMMYFUNCTION("""COMPUTED_VALUE"""),"null")</f>
        <v>null</v>
      </c>
      <c r="V7090" s="33">
        <f>IFERROR(__xludf.DUMMYFUNCTION("""COMPUTED_VALUE"""),1.0)</f>
        <v>1</v>
      </c>
      <c r="W7090" s="4" t="str">
        <f>IFERROR(__xludf.DUMMYFUNCTION("""COMPUTED_VALUE"""),"Teknisa Service Ltda")</f>
        <v>Teknisa Service Ltda</v>
      </c>
      <c r="X7090" s="33">
        <f>IFERROR(__xludf.DUMMYFUNCTION("""COMPUTED_VALUE"""),0.5)</f>
        <v>0.5</v>
      </c>
    </row>
    <row r="7091">
      <c r="K7091" s="4" t="str">
        <f>IFERROR(__xludf.DUMMYFUNCTION("""COMPUTED_VALUE"""),"GRUPO - FEIJUCA NO BALDE")</f>
        <v>GRUPO - FEIJUCA NO BALDE</v>
      </c>
      <c r="L7091" s="32">
        <f>IFERROR(__xludf.DUMMYFUNCTION("""COMPUTED_VALUE"""),2.0)</f>
        <v>2</v>
      </c>
      <c r="M7091" s="4" t="str">
        <f>IFERROR(__xludf.DUMMYFUNCTION("""COMPUTED_VALUE"""),"null")</f>
        <v>null</v>
      </c>
      <c r="N7091" s="33">
        <f>IFERROR(__xludf.DUMMYFUNCTION("""COMPUTED_VALUE"""),1.0)</f>
        <v>1</v>
      </c>
      <c r="O7091" s="4" t="str">
        <f>IFERROR(__xludf.DUMMYFUNCTION("""COMPUTED_VALUE"""),"null")</f>
        <v>null</v>
      </c>
      <c r="P7091" s="33">
        <f>IFERROR(__xludf.DUMMYFUNCTION("""COMPUTED_VALUE"""),1.0)</f>
        <v>1</v>
      </c>
      <c r="Q7091" s="4" t="str">
        <f>IFERROR(__xludf.DUMMYFUNCTION("""COMPUTED_VALUE"""),"null")</f>
        <v>null</v>
      </c>
      <c r="R7091" s="33">
        <f>IFERROR(__xludf.DUMMYFUNCTION("""COMPUTED_VALUE"""),1.0)</f>
        <v>1</v>
      </c>
      <c r="S7091" s="4" t="str">
        <f>IFERROR(__xludf.DUMMYFUNCTION("""COMPUTED_VALUE"""),"Cardápio Web")</f>
        <v>Cardápio Web</v>
      </c>
      <c r="T7091" s="33">
        <f>IFERROR(__xludf.DUMMYFUNCTION("""COMPUTED_VALUE"""),1.0)</f>
        <v>1</v>
      </c>
      <c r="U7091" s="4" t="str">
        <f>IFERROR(__xludf.DUMMYFUNCTION("""COMPUTED_VALUE"""),"Cardápio Web")</f>
        <v>Cardápio Web</v>
      </c>
      <c r="V7091" s="33">
        <f>IFERROR(__xludf.DUMMYFUNCTION("""COMPUTED_VALUE"""),1.0)</f>
        <v>1</v>
      </c>
      <c r="W7091" s="4" t="str">
        <f>IFERROR(__xludf.DUMMYFUNCTION("""COMPUTED_VALUE"""),"Cardápio Web")</f>
        <v>Cardápio Web</v>
      </c>
      <c r="X7091" s="33">
        <f>IFERROR(__xludf.DUMMYFUNCTION("""COMPUTED_VALUE"""),1.0)</f>
        <v>1</v>
      </c>
    </row>
    <row r="7092">
      <c r="K7092" s="4" t="str">
        <f>IFERROR(__xludf.DUMMYFUNCTION("""COMPUTED_VALUE"""),"GRUPO - GIBAO CARNE DE SOL")</f>
        <v>GRUPO - GIBAO CARNE DE SOL</v>
      </c>
      <c r="L7092" s="32">
        <f>IFERROR(__xludf.DUMMYFUNCTION("""COMPUTED_VALUE"""),2.0)</f>
        <v>2</v>
      </c>
      <c r="M7092" s="4" t="str">
        <f>IFERROR(__xludf.DUMMYFUNCTION("""COMPUTED_VALUE"""),"Ncr")</f>
        <v>Ncr</v>
      </c>
      <c r="N7092" s="33">
        <f>IFERROR(__xludf.DUMMYFUNCTION("""COMPUTED_VALUE"""),1.0)</f>
        <v>1</v>
      </c>
      <c r="O7092" s="4" t="str">
        <f>IFERROR(__xludf.DUMMYFUNCTION("""COMPUTED_VALUE"""),"Ncr")</f>
        <v>Ncr</v>
      </c>
      <c r="P7092" s="33">
        <f>IFERROR(__xludf.DUMMYFUNCTION("""COMPUTED_VALUE"""),1.0)</f>
        <v>1</v>
      </c>
      <c r="Q7092" s="4" t="str">
        <f>IFERROR(__xludf.DUMMYFUNCTION("""COMPUTED_VALUE"""),"Ncr")</f>
        <v>Ncr</v>
      </c>
      <c r="R7092" s="33">
        <f>IFERROR(__xludf.DUMMYFUNCTION("""COMPUTED_VALUE"""),1.0)</f>
        <v>1</v>
      </c>
      <c r="S7092" s="4" t="str">
        <f>IFERROR(__xludf.DUMMYFUNCTION("""COMPUTED_VALUE"""),"Ncr")</f>
        <v>Ncr</v>
      </c>
      <c r="T7092" s="33">
        <f>IFERROR(__xludf.DUMMYFUNCTION("""COMPUTED_VALUE"""),1.0)</f>
        <v>1</v>
      </c>
      <c r="U7092" s="4" t="str">
        <f>IFERROR(__xludf.DUMMYFUNCTION("""COMPUTED_VALUE"""),"Ncr")</f>
        <v>Ncr</v>
      </c>
      <c r="V7092" s="33">
        <f>IFERROR(__xludf.DUMMYFUNCTION("""COMPUTED_VALUE"""),1.0)</f>
        <v>1</v>
      </c>
      <c r="W7092" s="4" t="str">
        <f>IFERROR(__xludf.DUMMYFUNCTION("""COMPUTED_VALUE"""),"Ncr")</f>
        <v>Ncr</v>
      </c>
      <c r="X7092" s="33">
        <f>IFERROR(__xludf.DUMMYFUNCTION("""COMPUTED_VALUE"""),1.0)</f>
        <v>1</v>
      </c>
    </row>
    <row r="7093">
      <c r="K7093" s="4" t="str">
        <f>IFERROR(__xludf.DUMMYFUNCTION("""COMPUTED_VALUE"""),"GRUPO - NOSTRA ITALIA")</f>
        <v>GRUPO - NOSTRA ITALIA</v>
      </c>
      <c r="L7093" s="32">
        <f>IFERROR(__xludf.DUMMYFUNCTION("""COMPUTED_VALUE"""),2.0)</f>
        <v>2</v>
      </c>
      <c r="M7093" s="4" t="str">
        <f>IFERROR(__xludf.DUMMYFUNCTION("""COMPUTED_VALUE"""),"null")</f>
        <v>null</v>
      </c>
      <c r="N7093" s="33">
        <f>IFERROR(__xludf.DUMMYFUNCTION("""COMPUTED_VALUE"""),1.0)</f>
        <v>1</v>
      </c>
      <c r="O7093" s="4" t="str">
        <f>IFERROR(__xludf.DUMMYFUNCTION("""COMPUTED_VALUE"""),"null")</f>
        <v>null</v>
      </c>
      <c r="P7093" s="33">
        <f>IFERROR(__xludf.DUMMYFUNCTION("""COMPUTED_VALUE"""),0.5)</f>
        <v>0.5</v>
      </c>
      <c r="Q7093" s="4" t="str">
        <f>IFERROR(__xludf.DUMMYFUNCTION("""COMPUTED_VALUE"""),"Ncr")</f>
        <v>Ncr</v>
      </c>
      <c r="R7093" s="33">
        <f>IFERROR(__xludf.DUMMYFUNCTION("""COMPUTED_VALUE"""),0.5)</f>
        <v>0.5</v>
      </c>
      <c r="S7093" s="4" t="str">
        <f>IFERROR(__xludf.DUMMYFUNCTION("""COMPUTED_VALUE"""),"null")</f>
        <v>null</v>
      </c>
      <c r="T7093" s="33">
        <f>IFERROR(__xludf.DUMMYFUNCTION("""COMPUTED_VALUE"""),1.0)</f>
        <v>1</v>
      </c>
      <c r="U7093" s="4" t="str">
        <f>IFERROR(__xludf.DUMMYFUNCTION("""COMPUTED_VALUE"""),"null")</f>
        <v>null</v>
      </c>
      <c r="V7093" s="33">
        <f>IFERROR(__xludf.DUMMYFUNCTION("""COMPUTED_VALUE"""),1.0)</f>
        <v>1</v>
      </c>
      <c r="W7093" s="4" t="str">
        <f>IFERROR(__xludf.DUMMYFUNCTION("""COMPUTED_VALUE"""),"null")</f>
        <v>null</v>
      </c>
      <c r="X7093" s="33">
        <f>IFERROR(__xludf.DUMMYFUNCTION("""COMPUTED_VALUE"""),0.5)</f>
        <v>0.5</v>
      </c>
    </row>
    <row r="7094">
      <c r="K7094" s="4" t="str">
        <f>IFERROR(__xludf.DUMMYFUNCTION("""COMPUTED_VALUE"""),"GRUPO - PARAIBA CARNE DE SOL")</f>
        <v>GRUPO - PARAIBA CARNE DE SOL</v>
      </c>
      <c r="L7094" s="32">
        <f>IFERROR(__xludf.DUMMYFUNCTION("""COMPUTED_VALUE"""),2.0)</f>
        <v>2</v>
      </c>
      <c r="M7094" s="4" t="str">
        <f>IFERROR(__xludf.DUMMYFUNCTION("""COMPUTED_VALUE"""),"Fscloud Desenvolvimento De Sistemas")</f>
        <v>Fscloud Desenvolvimento De Sistemas</v>
      </c>
      <c r="N7094" s="33">
        <f>IFERROR(__xludf.DUMMYFUNCTION("""COMPUTED_VALUE"""),1.0)</f>
        <v>1</v>
      </c>
      <c r="O7094" s="4" t="str">
        <f>IFERROR(__xludf.DUMMYFUNCTION("""COMPUTED_VALUE"""),"Fscloud Desenvolvimento De Sistemas")</f>
        <v>Fscloud Desenvolvimento De Sistemas</v>
      </c>
      <c r="P7094" s="33">
        <f>IFERROR(__xludf.DUMMYFUNCTION("""COMPUTED_VALUE"""),1.0)</f>
        <v>1</v>
      </c>
      <c r="Q7094" s="4" t="str">
        <f>IFERROR(__xludf.DUMMYFUNCTION("""COMPUTED_VALUE"""),"Fscloud Desenvolvimento De Sistemas")</f>
        <v>Fscloud Desenvolvimento De Sistemas</v>
      </c>
      <c r="R7094" s="33">
        <f>IFERROR(__xludf.DUMMYFUNCTION("""COMPUTED_VALUE"""),1.0)</f>
        <v>1</v>
      </c>
      <c r="S7094" s="4" t="str">
        <f>IFERROR(__xludf.DUMMYFUNCTION("""COMPUTED_VALUE"""),"Fscloud Desenvolvimento De Sistemas")</f>
        <v>Fscloud Desenvolvimento De Sistemas</v>
      </c>
      <c r="T7094" s="33">
        <f>IFERROR(__xludf.DUMMYFUNCTION("""COMPUTED_VALUE"""),1.0)</f>
        <v>1</v>
      </c>
      <c r="U7094" s="4" t="str">
        <f>IFERROR(__xludf.DUMMYFUNCTION("""COMPUTED_VALUE"""),"Fscloud Desenvolvimento De Sistemas")</f>
        <v>Fscloud Desenvolvimento De Sistemas</v>
      </c>
      <c r="V7094" s="33">
        <f>IFERROR(__xludf.DUMMYFUNCTION("""COMPUTED_VALUE"""),1.0)</f>
        <v>1</v>
      </c>
      <c r="W7094" s="4" t="str">
        <f>IFERROR(__xludf.DUMMYFUNCTION("""COMPUTED_VALUE"""),"Fscloud Desenvolvimento De Sistemas")</f>
        <v>Fscloud Desenvolvimento De Sistemas</v>
      </c>
      <c r="X7094" s="33">
        <f>IFERROR(__xludf.DUMMYFUNCTION("""COMPUTED_VALUE"""),1.0)</f>
        <v>1</v>
      </c>
    </row>
    <row r="7095">
      <c r="K7095" s="4" t="str">
        <f>IFERROR(__xludf.DUMMYFUNCTION("""COMPUTED_VALUE"""),"GRUPO 77")</f>
        <v>GRUPO 77</v>
      </c>
      <c r="L7095" s="32">
        <f>IFERROR(__xludf.DUMMYFUNCTION("""COMPUTED_VALUE"""),2.0)</f>
        <v>2</v>
      </c>
      <c r="M7095" s="4" t="str">
        <f>IFERROR(__xludf.DUMMYFUNCTION("""COMPUTED_VALUE"""),"Saipos Serviços De Software")</f>
        <v>Saipos Serviços De Software</v>
      </c>
      <c r="N7095" s="33">
        <f>IFERROR(__xludf.DUMMYFUNCTION("""COMPUTED_VALUE"""),0.5)</f>
        <v>0.5</v>
      </c>
      <c r="O7095" s="4" t="str">
        <f>IFERROR(__xludf.DUMMYFUNCTION("""COMPUTED_VALUE"""),"Saipos Serviços De Software")</f>
        <v>Saipos Serviços De Software</v>
      </c>
      <c r="P7095" s="33">
        <f>IFERROR(__xludf.DUMMYFUNCTION("""COMPUTED_VALUE"""),0.5)</f>
        <v>0.5</v>
      </c>
      <c r="Q7095" s="4" t="str">
        <f>IFERROR(__xludf.DUMMYFUNCTION("""COMPUTED_VALUE"""),"Saipos Serviços De Software")</f>
        <v>Saipos Serviços De Software</v>
      </c>
      <c r="R7095" s="33">
        <f>IFERROR(__xludf.DUMMYFUNCTION("""COMPUTED_VALUE"""),0.5)</f>
        <v>0.5</v>
      </c>
      <c r="S7095" s="4" t="str">
        <f>IFERROR(__xludf.DUMMYFUNCTION("""COMPUTED_VALUE"""),"Saipos Serviços De Software")</f>
        <v>Saipos Serviços De Software</v>
      </c>
      <c r="T7095" s="33">
        <f>IFERROR(__xludf.DUMMYFUNCTION("""COMPUTED_VALUE"""),0.5)</f>
        <v>0.5</v>
      </c>
      <c r="U7095" s="4" t="str">
        <f>IFERROR(__xludf.DUMMYFUNCTION("""COMPUTED_VALUE"""),"Saipos Serviços De Software")</f>
        <v>Saipos Serviços De Software</v>
      </c>
      <c r="V7095" s="33">
        <f>IFERROR(__xludf.DUMMYFUNCTION("""COMPUTED_VALUE"""),0.5)</f>
        <v>0.5</v>
      </c>
      <c r="W7095" s="4" t="str">
        <f>IFERROR(__xludf.DUMMYFUNCTION("""COMPUTED_VALUE"""),"Saipos Serviços De Software")</f>
        <v>Saipos Serviços De Software</v>
      </c>
      <c r="X7095" s="33">
        <f>IFERROR(__xludf.DUMMYFUNCTION("""COMPUTED_VALUE"""),0.5)</f>
        <v>0.5</v>
      </c>
    </row>
    <row r="7096">
      <c r="K7096" s="4" t="str">
        <f>IFERROR(__xludf.DUMMYFUNCTION("""COMPUTED_VALUE"""),"GRUPO A QUINTA DO MARQUES")</f>
        <v>GRUPO A QUINTA DO MARQUES</v>
      </c>
      <c r="L7096" s="32">
        <f>IFERROR(__xludf.DUMMYFUNCTION("""COMPUTED_VALUE"""),2.0)</f>
        <v>2</v>
      </c>
      <c r="M7096" s="4" t="str">
        <f>IFERROR(__xludf.DUMMYFUNCTION("""COMPUTED_VALUE"""),"Consumer Soluções Em Tecnologia Ltda")</f>
        <v>Consumer Soluções Em Tecnologia Ltda</v>
      </c>
      <c r="N7096" s="33">
        <f>IFERROR(__xludf.DUMMYFUNCTION("""COMPUTED_VALUE"""),1.0)</f>
        <v>1</v>
      </c>
      <c r="O7096" s="4" t="str">
        <f>IFERROR(__xludf.DUMMYFUNCTION("""COMPUTED_VALUE"""),"Consumer Soluções Em Tecnologia Ltda")</f>
        <v>Consumer Soluções Em Tecnologia Ltda</v>
      </c>
      <c r="P7096" s="33">
        <f>IFERROR(__xludf.DUMMYFUNCTION("""COMPUTED_VALUE"""),1.0)</f>
        <v>1</v>
      </c>
      <c r="Q7096" s="4" t="str">
        <f>IFERROR(__xludf.DUMMYFUNCTION("""COMPUTED_VALUE"""),"Consumer Soluções Em Tecnologia Ltda")</f>
        <v>Consumer Soluções Em Tecnologia Ltda</v>
      </c>
      <c r="R7096" s="33">
        <f>IFERROR(__xludf.DUMMYFUNCTION("""COMPUTED_VALUE"""),1.0)</f>
        <v>1</v>
      </c>
      <c r="S7096" s="4" t="str">
        <f>IFERROR(__xludf.DUMMYFUNCTION("""COMPUTED_VALUE"""),"null")</f>
        <v>null</v>
      </c>
      <c r="T7096" s="33">
        <f>IFERROR(__xludf.DUMMYFUNCTION("""COMPUTED_VALUE"""),1.0)</f>
        <v>1</v>
      </c>
      <c r="U7096" s="4" t="str">
        <f>IFERROR(__xludf.DUMMYFUNCTION("""COMPUTED_VALUE"""),"null")</f>
        <v>null</v>
      </c>
      <c r="V7096" s="33">
        <f>IFERROR(__xludf.DUMMYFUNCTION("""COMPUTED_VALUE"""),1.0)</f>
        <v>1</v>
      </c>
      <c r="W7096" s="4" t="str">
        <f>IFERROR(__xludf.DUMMYFUNCTION("""COMPUTED_VALUE"""),"null")</f>
        <v>null</v>
      </c>
      <c r="X7096" s="33">
        <f>IFERROR(__xludf.DUMMYFUNCTION("""COMPUTED_VALUE"""),1.0)</f>
        <v>1</v>
      </c>
    </row>
    <row r="7097">
      <c r="K7097" s="4" t="str">
        <f>IFERROR(__xludf.DUMMYFUNCTION("""COMPUTED_VALUE"""),"GRUPO ACAI DO XEFE")</f>
        <v>GRUPO ACAI DO XEFE</v>
      </c>
      <c r="L7097" s="32">
        <f>IFERROR(__xludf.DUMMYFUNCTION("""COMPUTED_VALUE"""),2.0)</f>
        <v>2</v>
      </c>
      <c r="M7097" s="4" t="str">
        <f>IFERROR(__xludf.DUMMYFUNCTION("""COMPUTED_VALUE"""),"Cardápio Web")</f>
        <v>Cardápio Web</v>
      </c>
      <c r="N7097" s="33">
        <f>IFERROR(__xludf.DUMMYFUNCTION("""COMPUTED_VALUE"""),1.0)</f>
        <v>1</v>
      </c>
      <c r="O7097" s="4" t="str">
        <f>IFERROR(__xludf.DUMMYFUNCTION("""COMPUTED_VALUE"""),"Cardápio Web")</f>
        <v>Cardápio Web</v>
      </c>
      <c r="P7097" s="33">
        <f>IFERROR(__xludf.DUMMYFUNCTION("""COMPUTED_VALUE"""),1.0)</f>
        <v>1</v>
      </c>
      <c r="Q7097" s="4" t="str">
        <f>IFERROR(__xludf.DUMMYFUNCTION("""COMPUTED_VALUE"""),"Cardápio Web")</f>
        <v>Cardápio Web</v>
      </c>
      <c r="R7097" s="33">
        <f>IFERROR(__xludf.DUMMYFUNCTION("""COMPUTED_VALUE"""),1.0)</f>
        <v>1</v>
      </c>
      <c r="S7097" s="4" t="str">
        <f>IFERROR(__xludf.DUMMYFUNCTION("""COMPUTED_VALUE"""),"Cardápio Web")</f>
        <v>Cardápio Web</v>
      </c>
      <c r="T7097" s="33">
        <f>IFERROR(__xludf.DUMMYFUNCTION("""COMPUTED_VALUE"""),1.0)</f>
        <v>1</v>
      </c>
      <c r="U7097" s="4" t="str">
        <f>IFERROR(__xludf.DUMMYFUNCTION("""COMPUTED_VALUE"""),"Cardápio Web")</f>
        <v>Cardápio Web</v>
      </c>
      <c r="V7097" s="33">
        <f>IFERROR(__xludf.DUMMYFUNCTION("""COMPUTED_VALUE"""),1.0)</f>
        <v>1</v>
      </c>
      <c r="W7097" s="4" t="str">
        <f>IFERROR(__xludf.DUMMYFUNCTION("""COMPUTED_VALUE"""),"Cardápio Web")</f>
        <v>Cardápio Web</v>
      </c>
      <c r="X7097" s="33">
        <f>IFERROR(__xludf.DUMMYFUNCTION("""COMPUTED_VALUE"""),1.0)</f>
        <v>1</v>
      </c>
    </row>
    <row r="7098">
      <c r="K7098" s="4" t="str">
        <f>IFERROR(__xludf.DUMMYFUNCTION("""COMPUTED_VALUE"""),"GRUPO ACAIDEIRA")</f>
        <v>GRUPO ACAIDEIRA</v>
      </c>
      <c r="L7098" s="32">
        <f>IFERROR(__xludf.DUMMYFUNCTION("""COMPUTED_VALUE"""),2.0)</f>
        <v>2</v>
      </c>
      <c r="M7098" s="4" t="str">
        <f>IFERROR(__xludf.DUMMYFUNCTION("""COMPUTED_VALUE"""),"null")</f>
        <v>null</v>
      </c>
      <c r="N7098" s="33">
        <f>IFERROR(__xludf.DUMMYFUNCTION("""COMPUTED_VALUE"""),1.0)</f>
        <v>1</v>
      </c>
      <c r="O7098" s="4" t="str">
        <f>IFERROR(__xludf.DUMMYFUNCTION("""COMPUTED_VALUE"""),"null")</f>
        <v>null</v>
      </c>
      <c r="P7098" s="33">
        <f>IFERROR(__xludf.DUMMYFUNCTION("""COMPUTED_VALUE"""),1.0)</f>
        <v>1</v>
      </c>
      <c r="Q7098" s="4" t="str">
        <f>IFERROR(__xludf.DUMMYFUNCTION("""COMPUTED_VALUE"""),"null")</f>
        <v>null</v>
      </c>
      <c r="R7098" s="33">
        <f>IFERROR(__xludf.DUMMYFUNCTION("""COMPUTED_VALUE"""),1.0)</f>
        <v>1</v>
      </c>
      <c r="S7098" s="4" t="str">
        <f>IFERROR(__xludf.DUMMYFUNCTION("""COMPUTED_VALUE"""),"null")</f>
        <v>null</v>
      </c>
      <c r="T7098" s="33">
        <f>IFERROR(__xludf.DUMMYFUNCTION("""COMPUTED_VALUE"""),1.0)</f>
        <v>1</v>
      </c>
      <c r="U7098" s="4" t="str">
        <f>IFERROR(__xludf.DUMMYFUNCTION("""COMPUTED_VALUE"""),"null")</f>
        <v>null</v>
      </c>
      <c r="V7098" s="33">
        <f>IFERROR(__xludf.DUMMYFUNCTION("""COMPUTED_VALUE"""),0.5)</f>
        <v>0.5</v>
      </c>
      <c r="W7098" s="4" t="str">
        <f>IFERROR(__xludf.DUMMYFUNCTION("""COMPUTED_VALUE"""),"Cardápio Web")</f>
        <v>Cardápio Web</v>
      </c>
      <c r="X7098" s="33">
        <f>IFERROR(__xludf.DUMMYFUNCTION("""COMPUTED_VALUE"""),1.0)</f>
        <v>1</v>
      </c>
    </row>
    <row r="7099">
      <c r="K7099" s="4" t="str">
        <f>IFERROR(__xludf.DUMMYFUNCTION("""COMPUTED_VALUE"""),"GRUPO ADAM PIZZARIA MANAUS")</f>
        <v>GRUPO ADAM PIZZARIA MANAUS</v>
      </c>
      <c r="L7099" s="32">
        <f>IFERROR(__xludf.DUMMYFUNCTION("""COMPUTED_VALUE"""),2.0)</f>
        <v>2</v>
      </c>
      <c r="M7099" s="4" t="str">
        <f>IFERROR(__xludf.DUMMYFUNCTION("""COMPUTED_VALUE"""),"null")</f>
        <v>null</v>
      </c>
      <c r="N7099" s="33">
        <f>IFERROR(__xludf.DUMMYFUNCTION("""COMPUTED_VALUE"""),1.0)</f>
        <v>1</v>
      </c>
      <c r="O7099" s="4" t="str">
        <f>IFERROR(__xludf.DUMMYFUNCTION("""COMPUTED_VALUE"""),"null")</f>
        <v>null</v>
      </c>
      <c r="P7099" s="33">
        <f>IFERROR(__xludf.DUMMYFUNCTION("""COMPUTED_VALUE"""),1.0)</f>
        <v>1</v>
      </c>
      <c r="Q7099" s="4" t="str">
        <f>IFERROR(__xludf.DUMMYFUNCTION("""COMPUTED_VALUE"""),"null")</f>
        <v>null</v>
      </c>
      <c r="R7099" s="33">
        <f>IFERROR(__xludf.DUMMYFUNCTION("""COMPUTED_VALUE"""),1.0)</f>
        <v>1</v>
      </c>
      <c r="S7099" s="4" t="str">
        <f>IFERROR(__xludf.DUMMYFUNCTION("""COMPUTED_VALUE"""),"null")</f>
        <v>null</v>
      </c>
      <c r="T7099" s="33">
        <f>IFERROR(__xludf.DUMMYFUNCTION("""COMPUTED_VALUE"""),1.0)</f>
        <v>1</v>
      </c>
      <c r="U7099" s="4" t="str">
        <f>IFERROR(__xludf.DUMMYFUNCTION("""COMPUTED_VALUE"""),"null")</f>
        <v>null</v>
      </c>
      <c r="V7099" s="33">
        <f>IFERROR(__xludf.DUMMYFUNCTION("""COMPUTED_VALUE"""),1.0)</f>
        <v>1</v>
      </c>
      <c r="W7099" s="4" t="str">
        <f>IFERROR(__xludf.DUMMYFUNCTION("""COMPUTED_VALUE"""),"Saipos Serviços De Software")</f>
        <v>Saipos Serviços De Software</v>
      </c>
      <c r="X7099" s="33">
        <f>IFERROR(__xludf.DUMMYFUNCTION("""COMPUTED_VALUE"""),1.0)</f>
        <v>1</v>
      </c>
    </row>
    <row r="7100">
      <c r="K7100" s="4" t="str">
        <f>IFERROR(__xludf.DUMMYFUNCTION("""COMPUTED_VALUE"""),"GRUPO ATTIMO")</f>
        <v>GRUPO ATTIMO</v>
      </c>
      <c r="L7100" s="32">
        <f>IFERROR(__xludf.DUMMYFUNCTION("""COMPUTED_VALUE"""),2.0)</f>
        <v>2</v>
      </c>
      <c r="M7100" s="4" t="str">
        <f>IFERROR(__xludf.DUMMYFUNCTION("""COMPUTED_VALUE"""),"Totvs Large Enterprise Tecnologia S.a.")</f>
        <v>Totvs Large Enterprise Tecnologia S.a.</v>
      </c>
      <c r="N7100" s="33">
        <f>IFERROR(__xludf.DUMMYFUNCTION("""COMPUTED_VALUE"""),1.0)</f>
        <v>1</v>
      </c>
      <c r="O7100" s="4" t="str">
        <f>IFERROR(__xludf.DUMMYFUNCTION("""COMPUTED_VALUE"""),"null")</f>
        <v>null</v>
      </c>
      <c r="P7100" s="33">
        <f>IFERROR(__xludf.DUMMYFUNCTION("""COMPUTED_VALUE"""),0.5)</f>
        <v>0.5</v>
      </c>
      <c r="Q7100" s="4" t="str">
        <f>IFERROR(__xludf.DUMMYFUNCTION("""COMPUTED_VALUE"""),"null")</f>
        <v>null</v>
      </c>
      <c r="R7100" s="33">
        <f>IFERROR(__xludf.DUMMYFUNCTION("""COMPUTED_VALUE"""),0.5)</f>
        <v>0.5</v>
      </c>
      <c r="S7100" s="4" t="str">
        <f>IFERROR(__xludf.DUMMYFUNCTION("""COMPUTED_VALUE"""),"null")</f>
        <v>null</v>
      </c>
      <c r="T7100" s="33">
        <f>IFERROR(__xludf.DUMMYFUNCTION("""COMPUTED_VALUE"""),0.5)</f>
        <v>0.5</v>
      </c>
      <c r="U7100" s="4" t="str">
        <f>IFERROR(__xludf.DUMMYFUNCTION("""COMPUTED_VALUE"""),"null")</f>
        <v>null</v>
      </c>
      <c r="V7100" s="33">
        <f>IFERROR(__xludf.DUMMYFUNCTION("""COMPUTED_VALUE"""),0.5)</f>
        <v>0.5</v>
      </c>
      <c r="W7100" s="4" t="str">
        <f>IFERROR(__xludf.DUMMYFUNCTION("""COMPUTED_VALUE"""),"null")</f>
        <v>null</v>
      </c>
      <c r="X7100" s="33">
        <f>IFERROR(__xludf.DUMMYFUNCTION("""COMPUTED_VALUE"""),0.5)</f>
        <v>0.5</v>
      </c>
    </row>
    <row r="7101">
      <c r="K7101" s="4" t="str">
        <f>IFERROR(__xludf.DUMMYFUNCTION("""COMPUTED_VALUE"""),"GRUPO AYUMI DOCES DO BEM")</f>
        <v>GRUPO AYUMI DOCES DO BEM</v>
      </c>
      <c r="L7101" s="32">
        <f>IFERROR(__xludf.DUMMYFUNCTION("""COMPUTED_VALUE"""),2.0)</f>
        <v>2</v>
      </c>
      <c r="M7101" s="4" t="str">
        <f>IFERROR(__xludf.DUMMYFUNCTION("""COMPUTED_VALUE"""),"Takeat Tecnologia")</f>
        <v>Takeat Tecnologia</v>
      </c>
      <c r="N7101" s="33">
        <f>IFERROR(__xludf.DUMMYFUNCTION("""COMPUTED_VALUE"""),1.0)</f>
        <v>1</v>
      </c>
      <c r="O7101" s="4" t="str">
        <f>IFERROR(__xludf.DUMMYFUNCTION("""COMPUTED_VALUE"""),"Takeat Tecnologia")</f>
        <v>Takeat Tecnologia</v>
      </c>
      <c r="P7101" s="33">
        <f>IFERROR(__xludf.DUMMYFUNCTION("""COMPUTED_VALUE"""),0.5)</f>
        <v>0.5</v>
      </c>
      <c r="Q7101" s="4" t="str">
        <f>IFERROR(__xludf.DUMMYFUNCTION("""COMPUTED_VALUE"""),"Takeat Tecnologia")</f>
        <v>Takeat Tecnologia</v>
      </c>
      <c r="R7101" s="33">
        <f>IFERROR(__xludf.DUMMYFUNCTION("""COMPUTED_VALUE"""),0.5)</f>
        <v>0.5</v>
      </c>
      <c r="S7101" s="4" t="str">
        <f>IFERROR(__xludf.DUMMYFUNCTION("""COMPUTED_VALUE"""),"Takeat Tecnologia")</f>
        <v>Takeat Tecnologia</v>
      </c>
      <c r="T7101" s="33">
        <f>IFERROR(__xludf.DUMMYFUNCTION("""COMPUTED_VALUE"""),0.5)</f>
        <v>0.5</v>
      </c>
      <c r="U7101" s="4" t="str">
        <f>IFERROR(__xludf.DUMMYFUNCTION("""COMPUTED_VALUE"""),"Takeat Tecnologia")</f>
        <v>Takeat Tecnologia</v>
      </c>
      <c r="V7101" s="33">
        <f>IFERROR(__xludf.DUMMYFUNCTION("""COMPUTED_VALUE"""),0.5)</f>
        <v>0.5</v>
      </c>
      <c r="W7101" s="4" t="str">
        <f>IFERROR(__xludf.DUMMYFUNCTION("""COMPUTED_VALUE"""),"Takeat Tecnologia")</f>
        <v>Takeat Tecnologia</v>
      </c>
      <c r="X7101" s="33">
        <f>IFERROR(__xludf.DUMMYFUNCTION("""COMPUTED_VALUE"""),0.5)</f>
        <v>0.5</v>
      </c>
    </row>
    <row r="7102">
      <c r="K7102" s="4" t="str">
        <f>IFERROR(__xludf.DUMMYFUNCTION("""COMPUTED_VALUE"""),"GRUPO AZORES")</f>
        <v>GRUPO AZORES</v>
      </c>
      <c r="L7102" s="32">
        <f>IFERROR(__xludf.DUMMYFUNCTION("""COMPUTED_VALUE"""),2.0)</f>
        <v>2</v>
      </c>
      <c r="M7102" s="4" t="str">
        <f>IFERROR(__xludf.DUMMYFUNCTION("""COMPUTED_VALUE"""),"Totvs Large Enterprise Tecnologia S.a.")</f>
        <v>Totvs Large Enterprise Tecnologia S.a.</v>
      </c>
      <c r="N7102" s="33">
        <f>IFERROR(__xludf.DUMMYFUNCTION("""COMPUTED_VALUE"""),1.0)</f>
        <v>1</v>
      </c>
      <c r="O7102" s="4" t="str">
        <f>IFERROR(__xludf.DUMMYFUNCTION("""COMPUTED_VALUE"""),"Totvs Large Enterprise Tecnologia S.a.")</f>
        <v>Totvs Large Enterprise Tecnologia S.a.</v>
      </c>
      <c r="P7102" s="33">
        <f>IFERROR(__xludf.DUMMYFUNCTION("""COMPUTED_VALUE"""),1.0)</f>
        <v>1</v>
      </c>
      <c r="Q7102" s="4" t="str">
        <f>IFERROR(__xludf.DUMMYFUNCTION("""COMPUTED_VALUE"""),"null")</f>
        <v>null</v>
      </c>
      <c r="R7102" s="33">
        <f>IFERROR(__xludf.DUMMYFUNCTION("""COMPUTED_VALUE"""),0.5)</f>
        <v>0.5</v>
      </c>
      <c r="S7102" s="4" t="str">
        <f>IFERROR(__xludf.DUMMYFUNCTION("""COMPUTED_VALUE"""),"null")</f>
        <v>null</v>
      </c>
      <c r="T7102" s="33">
        <f>IFERROR(__xludf.DUMMYFUNCTION("""COMPUTED_VALUE"""),0.5)</f>
        <v>0.5</v>
      </c>
      <c r="U7102" s="4" t="str">
        <f>IFERROR(__xludf.DUMMYFUNCTION("""COMPUTED_VALUE"""),"null")</f>
        <v>null</v>
      </c>
      <c r="V7102" s="33">
        <f>IFERROR(__xludf.DUMMYFUNCTION("""COMPUTED_VALUE"""),0.5)</f>
        <v>0.5</v>
      </c>
      <c r="W7102" s="4" t="str">
        <f>IFERROR(__xludf.DUMMYFUNCTION("""COMPUTED_VALUE"""),"null")</f>
        <v>null</v>
      </c>
      <c r="X7102" s="33">
        <f>IFERROR(__xludf.DUMMYFUNCTION("""COMPUTED_VALUE"""),0.5)</f>
        <v>0.5</v>
      </c>
    </row>
    <row r="7103">
      <c r="K7103" s="4" t="str">
        <f>IFERROR(__xludf.DUMMYFUNCTION("""COMPUTED_VALUE"""),"GRUPO BANZAI")</f>
        <v>GRUPO BANZAI</v>
      </c>
      <c r="L7103" s="32">
        <f>IFERROR(__xludf.DUMMYFUNCTION("""COMPUTED_VALUE"""),2.0)</f>
        <v>2</v>
      </c>
      <c r="M7103" s="4" t="str">
        <f>IFERROR(__xludf.DUMMYFUNCTION("""COMPUTED_VALUE"""),"Soma Comercio E Licenciamento De Software Ltda")</f>
        <v>Soma Comercio E Licenciamento De Software Ltda</v>
      </c>
      <c r="N7103" s="33">
        <f>IFERROR(__xludf.DUMMYFUNCTION("""COMPUTED_VALUE"""),1.0)</f>
        <v>1</v>
      </c>
      <c r="O7103" s="4" t="str">
        <f>IFERROR(__xludf.DUMMYFUNCTION("""COMPUTED_VALUE"""),"Soma Comercio E Licenciamento De Software Ltda")</f>
        <v>Soma Comercio E Licenciamento De Software Ltda</v>
      </c>
      <c r="P7103" s="33">
        <f>IFERROR(__xludf.DUMMYFUNCTION("""COMPUTED_VALUE"""),1.0)</f>
        <v>1</v>
      </c>
      <c r="Q7103" s="4" t="str">
        <f>IFERROR(__xludf.DUMMYFUNCTION("""COMPUTED_VALUE"""),"Soma Comercio E Licenciamento De Software Ltda")</f>
        <v>Soma Comercio E Licenciamento De Software Ltda</v>
      </c>
      <c r="R7103" s="33">
        <f>IFERROR(__xludf.DUMMYFUNCTION("""COMPUTED_VALUE"""),1.0)</f>
        <v>1</v>
      </c>
      <c r="S7103" s="4" t="str">
        <f>IFERROR(__xludf.DUMMYFUNCTION("""COMPUTED_VALUE"""),"Soma Comercio E Licenciamento De Software Ltda")</f>
        <v>Soma Comercio E Licenciamento De Software Ltda</v>
      </c>
      <c r="T7103" s="33">
        <f>IFERROR(__xludf.DUMMYFUNCTION("""COMPUTED_VALUE"""),1.0)</f>
        <v>1</v>
      </c>
      <c r="U7103" s="4" t="str">
        <f>IFERROR(__xludf.DUMMYFUNCTION("""COMPUTED_VALUE"""),"Soma Comercio E Licenciamento De Software Ltda")</f>
        <v>Soma Comercio E Licenciamento De Software Ltda</v>
      </c>
      <c r="V7103" s="33">
        <f>IFERROR(__xludf.DUMMYFUNCTION("""COMPUTED_VALUE"""),1.0)</f>
        <v>1</v>
      </c>
      <c r="W7103" s="4" t="str">
        <f>IFERROR(__xludf.DUMMYFUNCTION("""COMPUTED_VALUE"""),"Soma Comercio E Licenciamento De Software Ltda")</f>
        <v>Soma Comercio E Licenciamento De Software Ltda</v>
      </c>
      <c r="X7103" s="33">
        <f>IFERROR(__xludf.DUMMYFUNCTION("""COMPUTED_VALUE"""),1.0)</f>
        <v>1</v>
      </c>
    </row>
    <row r="7104">
      <c r="K7104" s="4" t="str">
        <f>IFERROR(__xludf.DUMMYFUNCTION("""COMPUTED_VALUE"""),"GRUPO BENTO")</f>
        <v>GRUPO BENTO</v>
      </c>
      <c r="L7104" s="32">
        <f>IFERROR(__xludf.DUMMYFUNCTION("""COMPUTED_VALUE"""),2.0)</f>
        <v>2</v>
      </c>
      <c r="M7104" s="4" t="str">
        <f>IFERROR(__xludf.DUMMYFUNCTION("""COMPUTED_VALUE"""),"Saipos Serviços De Software")</f>
        <v>Saipos Serviços De Software</v>
      </c>
      <c r="N7104" s="33">
        <f>IFERROR(__xludf.DUMMYFUNCTION("""COMPUTED_VALUE"""),1.0)</f>
        <v>1</v>
      </c>
      <c r="O7104" s="4" t="str">
        <f>IFERROR(__xludf.DUMMYFUNCTION("""COMPUTED_VALUE"""),"Saipos Serviços De Software")</f>
        <v>Saipos Serviços De Software</v>
      </c>
      <c r="P7104" s="33">
        <f>IFERROR(__xludf.DUMMYFUNCTION("""COMPUTED_VALUE"""),1.0)</f>
        <v>1</v>
      </c>
      <c r="Q7104" s="4" t="str">
        <f>IFERROR(__xludf.DUMMYFUNCTION("""COMPUTED_VALUE"""),"Saipos Serviços De Software")</f>
        <v>Saipos Serviços De Software</v>
      </c>
      <c r="R7104" s="33">
        <f>IFERROR(__xludf.DUMMYFUNCTION("""COMPUTED_VALUE"""),1.0)</f>
        <v>1</v>
      </c>
      <c r="S7104" s="4" t="str">
        <f>IFERROR(__xludf.DUMMYFUNCTION("""COMPUTED_VALUE"""),"Saipos Serviços De Software")</f>
        <v>Saipos Serviços De Software</v>
      </c>
      <c r="T7104" s="33">
        <f>IFERROR(__xludf.DUMMYFUNCTION("""COMPUTED_VALUE"""),1.0)</f>
        <v>1</v>
      </c>
      <c r="U7104" s="4" t="str">
        <f>IFERROR(__xludf.DUMMYFUNCTION("""COMPUTED_VALUE"""),"Saipos Serviços De Software")</f>
        <v>Saipos Serviços De Software</v>
      </c>
      <c r="V7104" s="33">
        <f>IFERROR(__xludf.DUMMYFUNCTION("""COMPUTED_VALUE"""),1.0)</f>
        <v>1</v>
      </c>
      <c r="W7104" s="4" t="str">
        <f>IFERROR(__xludf.DUMMYFUNCTION("""COMPUTED_VALUE"""),"Saipos Serviços De Software")</f>
        <v>Saipos Serviços De Software</v>
      </c>
      <c r="X7104" s="33">
        <f>IFERROR(__xludf.DUMMYFUNCTION("""COMPUTED_VALUE"""),1.0)</f>
        <v>1</v>
      </c>
    </row>
    <row r="7105">
      <c r="K7105" s="4" t="str">
        <f>IFERROR(__xludf.DUMMYFUNCTION("""COMPUTED_VALUE"""),"GRUPO BLACK SHEEP")</f>
        <v>GRUPO BLACK SHEEP</v>
      </c>
      <c r="L7105" s="32">
        <f>IFERROR(__xludf.DUMMYFUNCTION("""COMPUTED_VALUE"""),2.0)</f>
        <v>2</v>
      </c>
      <c r="M7105" s="4" t="str">
        <f>IFERROR(__xludf.DUMMYFUNCTION("""COMPUTED_VALUE"""),"Anove Tecnologia")</f>
        <v>Anove Tecnologia</v>
      </c>
      <c r="N7105" s="33">
        <f>IFERROR(__xludf.DUMMYFUNCTION("""COMPUTED_VALUE"""),1.0)</f>
        <v>1</v>
      </c>
      <c r="O7105" s="4" t="str">
        <f>IFERROR(__xludf.DUMMYFUNCTION("""COMPUTED_VALUE"""),"Anove Tecnologia")</f>
        <v>Anove Tecnologia</v>
      </c>
      <c r="P7105" s="33">
        <f>IFERROR(__xludf.DUMMYFUNCTION("""COMPUTED_VALUE"""),1.0)</f>
        <v>1</v>
      </c>
      <c r="Q7105" s="4" t="str">
        <f>IFERROR(__xludf.DUMMYFUNCTION("""COMPUTED_VALUE"""),"Anove Tecnologia")</f>
        <v>Anove Tecnologia</v>
      </c>
      <c r="R7105" s="33">
        <f>IFERROR(__xludf.DUMMYFUNCTION("""COMPUTED_VALUE"""),1.0)</f>
        <v>1</v>
      </c>
      <c r="S7105" s="4" t="str">
        <f>IFERROR(__xludf.DUMMYFUNCTION("""COMPUTED_VALUE"""),"Anove Tecnologia")</f>
        <v>Anove Tecnologia</v>
      </c>
      <c r="T7105" s="33">
        <f>IFERROR(__xludf.DUMMYFUNCTION("""COMPUTED_VALUE"""),1.0)</f>
        <v>1</v>
      </c>
      <c r="U7105" s="4" t="str">
        <f>IFERROR(__xludf.DUMMYFUNCTION("""COMPUTED_VALUE"""),"Anove Tecnologia")</f>
        <v>Anove Tecnologia</v>
      </c>
      <c r="V7105" s="33">
        <f>IFERROR(__xludf.DUMMYFUNCTION("""COMPUTED_VALUE"""),1.0)</f>
        <v>1</v>
      </c>
      <c r="W7105" s="4" t="str">
        <f>IFERROR(__xludf.DUMMYFUNCTION("""COMPUTED_VALUE"""),"Anove Tecnologia")</f>
        <v>Anove Tecnologia</v>
      </c>
      <c r="X7105" s="33">
        <f>IFERROR(__xludf.DUMMYFUNCTION("""COMPUTED_VALUE"""),1.0)</f>
        <v>1</v>
      </c>
    </row>
    <row r="7106">
      <c r="K7106" s="4" t="str">
        <f>IFERROR(__xludf.DUMMYFUNCTION("""COMPUTED_VALUE"""),"GRUPO BRAVO - CONTA MARCA")</f>
        <v>GRUPO BRAVO - CONTA MARCA</v>
      </c>
      <c r="L7106" s="32">
        <f>IFERROR(__xludf.DUMMYFUNCTION("""COMPUTED_VALUE"""),2.0)</f>
        <v>2</v>
      </c>
      <c r="M7106" s="4" t="str">
        <f>IFERROR(__xludf.DUMMYFUNCTION("""COMPUTED_VALUE"""),"Jaxtech")</f>
        <v>Jaxtech</v>
      </c>
      <c r="N7106" s="33">
        <f>IFERROR(__xludf.DUMMYFUNCTION("""COMPUTED_VALUE"""),0.5)</f>
        <v>0.5</v>
      </c>
      <c r="O7106" s="4" t="str">
        <f>IFERROR(__xludf.DUMMYFUNCTION("""COMPUTED_VALUE"""),"null")</f>
        <v>null</v>
      </c>
      <c r="P7106" s="33">
        <f>IFERROR(__xludf.DUMMYFUNCTION("""COMPUTED_VALUE"""),0.5)</f>
        <v>0.5</v>
      </c>
      <c r="Q7106" s="4" t="str">
        <f>IFERROR(__xludf.DUMMYFUNCTION("""COMPUTED_VALUE"""),"Jaxtech")</f>
        <v>Jaxtech</v>
      </c>
      <c r="R7106" s="33">
        <f>IFERROR(__xludf.DUMMYFUNCTION("""COMPUTED_VALUE"""),0.5)</f>
        <v>0.5</v>
      </c>
      <c r="S7106" s="4" t="str">
        <f>IFERROR(__xludf.DUMMYFUNCTION("""COMPUTED_VALUE"""),"Jaxtech")</f>
        <v>Jaxtech</v>
      </c>
      <c r="T7106" s="33">
        <f>IFERROR(__xludf.DUMMYFUNCTION("""COMPUTED_VALUE"""),1.0)</f>
        <v>1</v>
      </c>
      <c r="U7106" s="4" t="str">
        <f>IFERROR(__xludf.DUMMYFUNCTION("""COMPUTED_VALUE"""),"Jaxtech")</f>
        <v>Jaxtech</v>
      </c>
      <c r="V7106" s="33">
        <f>IFERROR(__xludf.DUMMYFUNCTION("""COMPUTED_VALUE"""),0.5)</f>
        <v>0.5</v>
      </c>
      <c r="W7106" s="4" t="str">
        <f>IFERROR(__xludf.DUMMYFUNCTION("""COMPUTED_VALUE"""),"Jaxtech")</f>
        <v>Jaxtech</v>
      </c>
      <c r="X7106" s="33">
        <f>IFERROR(__xludf.DUMMYFUNCTION("""COMPUTED_VALUE"""),0.5)</f>
        <v>0.5</v>
      </c>
    </row>
    <row r="7107">
      <c r="K7107" s="4" t="str">
        <f>IFERROR(__xludf.DUMMYFUNCTION("""COMPUTED_VALUE"""),"GRUPO BRUTAL BURGER")</f>
        <v>GRUPO BRUTAL BURGER</v>
      </c>
      <c r="L7107" s="32">
        <f>IFERROR(__xludf.DUMMYFUNCTION("""COMPUTED_VALUE"""),2.0)</f>
        <v>2</v>
      </c>
      <c r="M7107" s="4" t="str">
        <f>IFERROR(__xludf.DUMMYFUNCTION("""COMPUTED_VALUE"""),"Beefood - Sistema Para Restaurantes")</f>
        <v>Beefood - Sistema Para Restaurantes</v>
      </c>
      <c r="N7107" s="33">
        <f>IFERROR(__xludf.DUMMYFUNCTION("""COMPUTED_VALUE"""),0.5)</f>
        <v>0.5</v>
      </c>
      <c r="O7107" s="4" t="str">
        <f>IFERROR(__xludf.DUMMYFUNCTION("""COMPUTED_VALUE"""),"null")</f>
        <v>null</v>
      </c>
      <c r="P7107" s="33">
        <f>IFERROR(__xludf.DUMMYFUNCTION("""COMPUTED_VALUE"""),0.5)</f>
        <v>0.5</v>
      </c>
      <c r="Q7107" s="4" t="str">
        <f>IFERROR(__xludf.DUMMYFUNCTION("""COMPUTED_VALUE"""),"null")</f>
        <v>null</v>
      </c>
      <c r="R7107" s="33">
        <f>IFERROR(__xludf.DUMMYFUNCTION("""COMPUTED_VALUE"""),0.5)</f>
        <v>0.5</v>
      </c>
      <c r="S7107" s="4" t="str">
        <f>IFERROR(__xludf.DUMMYFUNCTION("""COMPUTED_VALUE"""),"Beefood - Sistema Para Restaurantes")</f>
        <v>Beefood - Sistema Para Restaurantes</v>
      </c>
      <c r="T7107" s="33">
        <f>IFERROR(__xludf.DUMMYFUNCTION("""COMPUTED_VALUE"""),0.5)</f>
        <v>0.5</v>
      </c>
      <c r="U7107" s="4" t="str">
        <f>IFERROR(__xludf.DUMMYFUNCTION("""COMPUTED_VALUE"""),"null")</f>
        <v>null</v>
      </c>
      <c r="V7107" s="33">
        <f>IFERROR(__xludf.DUMMYFUNCTION("""COMPUTED_VALUE"""),0.5)</f>
        <v>0.5</v>
      </c>
      <c r="W7107" s="4" t="str">
        <f>IFERROR(__xludf.DUMMYFUNCTION("""COMPUTED_VALUE"""),"Beefood - Sistema Para Restaurantes")</f>
        <v>Beefood - Sistema Para Restaurantes</v>
      </c>
      <c r="X7107" s="33">
        <f>IFERROR(__xludf.DUMMYFUNCTION("""COMPUTED_VALUE"""),0.5)</f>
        <v>0.5</v>
      </c>
    </row>
    <row r="7108">
      <c r="K7108" s="4" t="str">
        <f>IFERROR(__xludf.DUMMYFUNCTION("""COMPUTED_VALUE"""),"GRUPO BSB GRILL")</f>
        <v>GRUPO BSB GRILL</v>
      </c>
      <c r="L7108" s="32">
        <f>IFERROR(__xludf.DUMMYFUNCTION("""COMPUTED_VALUE"""),2.0)</f>
        <v>2</v>
      </c>
      <c r="M7108" s="4" t="str">
        <f>IFERROR(__xludf.DUMMYFUNCTION("""COMPUTED_VALUE"""),"Ncr")</f>
        <v>Ncr</v>
      </c>
      <c r="N7108" s="33">
        <f>IFERROR(__xludf.DUMMYFUNCTION("""COMPUTED_VALUE"""),1.0)</f>
        <v>1</v>
      </c>
      <c r="O7108" s="4" t="str">
        <f>IFERROR(__xludf.DUMMYFUNCTION("""COMPUTED_VALUE"""),"Ncr")</f>
        <v>Ncr</v>
      </c>
      <c r="P7108" s="33">
        <f>IFERROR(__xludf.DUMMYFUNCTION("""COMPUTED_VALUE"""),1.0)</f>
        <v>1</v>
      </c>
      <c r="Q7108" s="4" t="str">
        <f>IFERROR(__xludf.DUMMYFUNCTION("""COMPUTED_VALUE"""),"Ncr")</f>
        <v>Ncr</v>
      </c>
      <c r="R7108" s="33">
        <f>IFERROR(__xludf.DUMMYFUNCTION("""COMPUTED_VALUE"""),1.0)</f>
        <v>1</v>
      </c>
      <c r="S7108" s="4" t="str">
        <f>IFERROR(__xludf.DUMMYFUNCTION("""COMPUTED_VALUE"""),"Ncr")</f>
        <v>Ncr</v>
      </c>
      <c r="T7108" s="33">
        <f>IFERROR(__xludf.DUMMYFUNCTION("""COMPUTED_VALUE"""),1.0)</f>
        <v>1</v>
      </c>
      <c r="U7108" s="4" t="str">
        <f>IFERROR(__xludf.DUMMYFUNCTION("""COMPUTED_VALUE"""),"Ncr")</f>
        <v>Ncr</v>
      </c>
      <c r="V7108" s="33">
        <f>IFERROR(__xludf.DUMMYFUNCTION("""COMPUTED_VALUE"""),1.0)</f>
        <v>1</v>
      </c>
      <c r="W7108" s="4" t="str">
        <f>IFERROR(__xludf.DUMMYFUNCTION("""COMPUTED_VALUE"""),"Ncr")</f>
        <v>Ncr</v>
      </c>
      <c r="X7108" s="33">
        <f>IFERROR(__xludf.DUMMYFUNCTION("""COMPUTED_VALUE"""),1.0)</f>
        <v>1</v>
      </c>
    </row>
    <row r="7109">
      <c r="K7109" s="4" t="str">
        <f>IFERROR(__xludf.DUMMYFUNCTION("""COMPUTED_VALUE"""),"GRUPO BUENOS")</f>
        <v>GRUPO BUENOS</v>
      </c>
      <c r="L7109" s="32">
        <f>IFERROR(__xludf.DUMMYFUNCTION("""COMPUTED_VALUE"""),2.0)</f>
        <v>2</v>
      </c>
      <c r="M7109" s="4" t="str">
        <f>IFERROR(__xludf.DUMMYFUNCTION("""COMPUTED_VALUE"""),"null")</f>
        <v>null</v>
      </c>
      <c r="N7109" s="33">
        <f>IFERROR(__xludf.DUMMYFUNCTION("""COMPUTED_VALUE"""),1.0)</f>
        <v>1</v>
      </c>
      <c r="O7109" s="4" t="str">
        <f>IFERROR(__xludf.DUMMYFUNCTION("""COMPUTED_VALUE"""),"Saipos Serviços De Software")</f>
        <v>Saipos Serviços De Software</v>
      </c>
      <c r="P7109" s="33">
        <f>IFERROR(__xludf.DUMMYFUNCTION("""COMPUTED_VALUE"""),1.0)</f>
        <v>1</v>
      </c>
      <c r="Q7109" s="4" t="str">
        <f>IFERROR(__xludf.DUMMYFUNCTION("""COMPUTED_VALUE"""),"Saipos Serviços De Software")</f>
        <v>Saipos Serviços De Software</v>
      </c>
      <c r="R7109" s="33">
        <f>IFERROR(__xludf.DUMMYFUNCTION("""COMPUTED_VALUE"""),1.0)</f>
        <v>1</v>
      </c>
      <c r="S7109" s="4" t="str">
        <f>IFERROR(__xludf.DUMMYFUNCTION("""COMPUTED_VALUE"""),"Saipos Serviços De Software")</f>
        <v>Saipos Serviços De Software</v>
      </c>
      <c r="T7109" s="33">
        <f>IFERROR(__xludf.DUMMYFUNCTION("""COMPUTED_VALUE"""),1.0)</f>
        <v>1</v>
      </c>
      <c r="U7109" s="4" t="str">
        <f>IFERROR(__xludf.DUMMYFUNCTION("""COMPUTED_VALUE"""),"Saipos Serviços De Software")</f>
        <v>Saipos Serviços De Software</v>
      </c>
      <c r="V7109" s="33">
        <f>IFERROR(__xludf.DUMMYFUNCTION("""COMPUTED_VALUE"""),1.0)</f>
        <v>1</v>
      </c>
      <c r="W7109" s="4" t="str">
        <f>IFERROR(__xludf.DUMMYFUNCTION("""COMPUTED_VALUE"""),"Saipos Serviços De Software")</f>
        <v>Saipos Serviços De Software</v>
      </c>
      <c r="X7109" s="33">
        <f>IFERROR(__xludf.DUMMYFUNCTION("""COMPUTED_VALUE"""),1.0)</f>
        <v>1</v>
      </c>
    </row>
    <row r="7110">
      <c r="K7110" s="4" t="str">
        <f>IFERROR(__xludf.DUMMYFUNCTION("""COMPUTED_VALUE"""),"GRUPO BUONA")</f>
        <v>GRUPO BUONA</v>
      </c>
      <c r="L7110" s="32">
        <f>IFERROR(__xludf.DUMMYFUNCTION("""COMPUTED_VALUE"""),2.0)</f>
        <v>2</v>
      </c>
      <c r="M7110" s="4" t="str">
        <f>IFERROR(__xludf.DUMMYFUNCTION("""COMPUTED_VALUE"""),"null")</f>
        <v>null</v>
      </c>
      <c r="N7110" s="33">
        <f>IFERROR(__xludf.DUMMYFUNCTION("""COMPUTED_VALUE"""),0.5)</f>
        <v>0.5</v>
      </c>
      <c r="O7110" s="4" t="str">
        <f>IFERROR(__xludf.DUMMYFUNCTION("""COMPUTED_VALUE"""),"null")</f>
        <v>null</v>
      </c>
      <c r="P7110" s="33">
        <f>IFERROR(__xludf.DUMMYFUNCTION("""COMPUTED_VALUE"""),0.5)</f>
        <v>0.5</v>
      </c>
      <c r="Q7110" s="4" t="str">
        <f>IFERROR(__xludf.DUMMYFUNCTION("""COMPUTED_VALUE"""),"null")</f>
        <v>null</v>
      </c>
      <c r="R7110" s="33">
        <f>IFERROR(__xludf.DUMMYFUNCTION("""COMPUTED_VALUE"""),0.5)</f>
        <v>0.5</v>
      </c>
      <c r="S7110" s="4" t="str">
        <f>IFERROR(__xludf.DUMMYFUNCTION("""COMPUTED_VALUE"""),"Saipos Serviços De Software")</f>
        <v>Saipos Serviços De Software</v>
      </c>
      <c r="T7110" s="33">
        <f>IFERROR(__xludf.DUMMYFUNCTION("""COMPUTED_VALUE"""),1.0)</f>
        <v>1</v>
      </c>
      <c r="U7110" s="4" t="str">
        <f>IFERROR(__xludf.DUMMYFUNCTION("""COMPUTED_VALUE"""),"Saipos Serviços De Software")</f>
        <v>Saipos Serviços De Software</v>
      </c>
      <c r="V7110" s="33">
        <f>IFERROR(__xludf.DUMMYFUNCTION("""COMPUTED_VALUE"""),1.0)</f>
        <v>1</v>
      </c>
      <c r="W7110" s="4" t="str">
        <f>IFERROR(__xludf.DUMMYFUNCTION("""COMPUTED_VALUE"""),"Saipos Serviços De Software")</f>
        <v>Saipos Serviços De Software</v>
      </c>
      <c r="X7110" s="33">
        <f>IFERROR(__xludf.DUMMYFUNCTION("""COMPUTED_VALUE"""),1.0)</f>
        <v>1</v>
      </c>
    </row>
    <row r="7111">
      <c r="K7111" s="4" t="str">
        <f>IFERROR(__xludf.DUMMYFUNCTION("""COMPUTED_VALUE"""),"GRUPO BURGER 21")</f>
        <v>GRUPO BURGER 21</v>
      </c>
      <c r="L7111" s="32">
        <f>IFERROR(__xludf.DUMMYFUNCTION("""COMPUTED_VALUE"""),2.0)</f>
        <v>2</v>
      </c>
      <c r="M7111" s="4" t="str">
        <f>IFERROR(__xludf.DUMMYFUNCTION("""COMPUTED_VALUE"""),"G A De Cavalcanti Junior &amp; Cia Ltda Me")</f>
        <v>G A De Cavalcanti Junior &amp; Cia Ltda Me</v>
      </c>
      <c r="N7111" s="33">
        <f>IFERROR(__xludf.DUMMYFUNCTION("""COMPUTED_VALUE"""),1.0)</f>
        <v>1</v>
      </c>
      <c r="O7111" s="4" t="str">
        <f>IFERROR(__xludf.DUMMYFUNCTION("""COMPUTED_VALUE"""),"G A De Cavalcanti Junior &amp; Cia Ltda Me")</f>
        <v>G A De Cavalcanti Junior &amp; Cia Ltda Me</v>
      </c>
      <c r="P7111" s="33">
        <f>IFERROR(__xludf.DUMMYFUNCTION("""COMPUTED_VALUE"""),1.0)</f>
        <v>1</v>
      </c>
      <c r="Q7111" s="4" t="str">
        <f>IFERROR(__xludf.DUMMYFUNCTION("""COMPUTED_VALUE"""),"G A De Cavalcanti Junior &amp; Cia Ltda Me")</f>
        <v>G A De Cavalcanti Junior &amp; Cia Ltda Me</v>
      </c>
      <c r="R7111" s="33">
        <f>IFERROR(__xludf.DUMMYFUNCTION("""COMPUTED_VALUE"""),1.0)</f>
        <v>1</v>
      </c>
      <c r="S7111" s="4" t="str">
        <f>IFERROR(__xludf.DUMMYFUNCTION("""COMPUTED_VALUE"""),"G A De Cavalcanti Junior &amp; Cia Ltda Me")</f>
        <v>G A De Cavalcanti Junior &amp; Cia Ltda Me</v>
      </c>
      <c r="T7111" s="33">
        <f>IFERROR(__xludf.DUMMYFUNCTION("""COMPUTED_VALUE"""),1.0)</f>
        <v>1</v>
      </c>
      <c r="U7111" s="4" t="str">
        <f>IFERROR(__xludf.DUMMYFUNCTION("""COMPUTED_VALUE"""),"G A De Cavalcanti Junior &amp; Cia Ltda Me")</f>
        <v>G A De Cavalcanti Junior &amp; Cia Ltda Me</v>
      </c>
      <c r="V7111" s="33">
        <f>IFERROR(__xludf.DUMMYFUNCTION("""COMPUTED_VALUE"""),1.0)</f>
        <v>1</v>
      </c>
      <c r="W7111" s="4" t="str">
        <f>IFERROR(__xludf.DUMMYFUNCTION("""COMPUTED_VALUE"""),"G A De Cavalcanti Junior &amp; Cia Ltda Me")</f>
        <v>G A De Cavalcanti Junior &amp; Cia Ltda Me</v>
      </c>
      <c r="X7111" s="33">
        <f>IFERROR(__xludf.DUMMYFUNCTION("""COMPUTED_VALUE"""),1.0)</f>
        <v>1</v>
      </c>
    </row>
    <row r="7112">
      <c r="K7112" s="4" t="str">
        <f>IFERROR(__xludf.DUMMYFUNCTION("""COMPUTED_VALUE"""),"GRUPO BURGER GARAGE NA PARRILLA")</f>
        <v>GRUPO BURGER GARAGE NA PARRILLA</v>
      </c>
      <c r="L7112" s="32">
        <f>IFERROR(__xludf.DUMMYFUNCTION("""COMPUTED_VALUE"""),2.0)</f>
        <v>2</v>
      </c>
      <c r="M7112" s="4" t="str">
        <f>IFERROR(__xludf.DUMMYFUNCTION("""COMPUTED_VALUE"""),"Saipos Serviços De Software")</f>
        <v>Saipos Serviços De Software</v>
      </c>
      <c r="N7112" s="33">
        <f>IFERROR(__xludf.DUMMYFUNCTION("""COMPUTED_VALUE"""),1.0)</f>
        <v>1</v>
      </c>
      <c r="O7112" s="4" t="str">
        <f>IFERROR(__xludf.DUMMYFUNCTION("""COMPUTED_VALUE"""),"Saipos Serviços De Software")</f>
        <v>Saipos Serviços De Software</v>
      </c>
      <c r="P7112" s="33">
        <f>IFERROR(__xludf.DUMMYFUNCTION("""COMPUTED_VALUE"""),1.0)</f>
        <v>1</v>
      </c>
      <c r="Q7112" s="4" t="str">
        <f>IFERROR(__xludf.DUMMYFUNCTION("""COMPUTED_VALUE"""),"Saipos Serviços De Software")</f>
        <v>Saipos Serviços De Software</v>
      </c>
      <c r="R7112" s="33">
        <f>IFERROR(__xludf.DUMMYFUNCTION("""COMPUTED_VALUE"""),1.0)</f>
        <v>1</v>
      </c>
      <c r="S7112" s="4" t="str">
        <f>IFERROR(__xludf.DUMMYFUNCTION("""COMPUTED_VALUE"""),"Saipos Serviços De Software")</f>
        <v>Saipos Serviços De Software</v>
      </c>
      <c r="T7112" s="33">
        <f>IFERROR(__xludf.DUMMYFUNCTION("""COMPUTED_VALUE"""),1.0)</f>
        <v>1</v>
      </c>
      <c r="U7112" s="4" t="str">
        <f>IFERROR(__xludf.DUMMYFUNCTION("""COMPUTED_VALUE"""),"Saipos Serviços De Software")</f>
        <v>Saipos Serviços De Software</v>
      </c>
      <c r="V7112" s="33">
        <f>IFERROR(__xludf.DUMMYFUNCTION("""COMPUTED_VALUE"""),1.0)</f>
        <v>1</v>
      </c>
      <c r="W7112" s="4" t="str">
        <f>IFERROR(__xludf.DUMMYFUNCTION("""COMPUTED_VALUE"""),"Saipos Serviços De Software")</f>
        <v>Saipos Serviços De Software</v>
      </c>
      <c r="X7112" s="33">
        <f>IFERROR(__xludf.DUMMYFUNCTION("""COMPUTED_VALUE"""),1.0)</f>
        <v>1</v>
      </c>
    </row>
    <row r="7113">
      <c r="K7113" s="4" t="str">
        <f>IFERROR(__xludf.DUMMYFUNCTION("""COMPUTED_VALUE"""),"GRUPO BURGER ZONE")</f>
        <v>GRUPO BURGER ZONE</v>
      </c>
      <c r="L7113" s="32">
        <f>IFERROR(__xludf.DUMMYFUNCTION("""COMPUTED_VALUE"""),2.0)</f>
        <v>2</v>
      </c>
      <c r="M7113" s="4" t="str">
        <f>IFERROR(__xludf.DUMMYFUNCTION("""COMPUTED_VALUE"""),"Anota Ai Solucoes Digitais S/a")</f>
        <v>Anota Ai Solucoes Digitais S/a</v>
      </c>
      <c r="N7113" s="33">
        <f>IFERROR(__xludf.DUMMYFUNCTION("""COMPUTED_VALUE"""),1.0)</f>
        <v>1</v>
      </c>
      <c r="O7113" s="4" t="str">
        <f>IFERROR(__xludf.DUMMYFUNCTION("""COMPUTED_VALUE"""),"null")</f>
        <v>null</v>
      </c>
      <c r="P7113" s="33">
        <f>IFERROR(__xludf.DUMMYFUNCTION("""COMPUTED_VALUE"""),0.5)</f>
        <v>0.5</v>
      </c>
      <c r="Q7113" s="4" t="str">
        <f>IFERROR(__xludf.DUMMYFUNCTION("""COMPUTED_VALUE"""),"null")</f>
        <v>null</v>
      </c>
      <c r="R7113" s="33">
        <f>IFERROR(__xludf.DUMMYFUNCTION("""COMPUTED_VALUE"""),0.5)</f>
        <v>0.5</v>
      </c>
      <c r="S7113" s="4" t="str">
        <f>IFERROR(__xludf.DUMMYFUNCTION("""COMPUTED_VALUE"""),"null")</f>
        <v>null</v>
      </c>
      <c r="T7113" s="33">
        <f>IFERROR(__xludf.DUMMYFUNCTION("""COMPUTED_VALUE"""),0.5)</f>
        <v>0.5</v>
      </c>
      <c r="U7113" s="4" t="str">
        <f>IFERROR(__xludf.DUMMYFUNCTION("""COMPUTED_VALUE"""),"null")</f>
        <v>null</v>
      </c>
      <c r="V7113" s="33">
        <f>IFERROR(__xludf.DUMMYFUNCTION("""COMPUTED_VALUE"""),0.5)</f>
        <v>0.5</v>
      </c>
      <c r="W7113" s="4" t="str">
        <f>IFERROR(__xludf.DUMMYFUNCTION("""COMPUTED_VALUE"""),"null")</f>
        <v>null</v>
      </c>
      <c r="X7113" s="33">
        <f>IFERROR(__xludf.DUMMYFUNCTION("""COMPUTED_VALUE"""),0.5)</f>
        <v>0.5</v>
      </c>
    </row>
    <row r="7114">
      <c r="K7114" s="4" t="str">
        <f>IFERROR(__xludf.DUMMYFUNCTION("""COMPUTED_VALUE"""),"GRUPO CAFE E UM CHERO")</f>
        <v>GRUPO CAFE E UM CHERO</v>
      </c>
      <c r="L7114" s="32">
        <f>IFERROR(__xludf.DUMMYFUNCTION("""COMPUTED_VALUE"""),2.0)</f>
        <v>2</v>
      </c>
      <c r="M7114" s="4" t="str">
        <f>IFERROR(__xludf.DUMMYFUNCTION("""COMPUTED_VALUE"""),"Stone Co.")</f>
        <v>Stone Co.</v>
      </c>
      <c r="N7114" s="33">
        <f>IFERROR(__xludf.DUMMYFUNCTION("""COMPUTED_VALUE"""),1.0)</f>
        <v>1</v>
      </c>
      <c r="O7114" s="4" t="str">
        <f>IFERROR(__xludf.DUMMYFUNCTION("""COMPUTED_VALUE"""),"Stone Co.")</f>
        <v>Stone Co.</v>
      </c>
      <c r="P7114" s="33">
        <f>IFERROR(__xludf.DUMMYFUNCTION("""COMPUTED_VALUE"""),1.0)</f>
        <v>1</v>
      </c>
      <c r="Q7114" s="4" t="str">
        <f>IFERROR(__xludf.DUMMYFUNCTION("""COMPUTED_VALUE"""),"Stone Co.")</f>
        <v>Stone Co.</v>
      </c>
      <c r="R7114" s="33">
        <f>IFERROR(__xludf.DUMMYFUNCTION("""COMPUTED_VALUE"""),1.0)</f>
        <v>1</v>
      </c>
      <c r="S7114" s="4" t="str">
        <f>IFERROR(__xludf.DUMMYFUNCTION("""COMPUTED_VALUE"""),"Stone Co.")</f>
        <v>Stone Co.</v>
      </c>
      <c r="T7114" s="33">
        <f>IFERROR(__xludf.DUMMYFUNCTION("""COMPUTED_VALUE"""),1.0)</f>
        <v>1</v>
      </c>
      <c r="U7114" s="4" t="str">
        <f>IFERROR(__xludf.DUMMYFUNCTION("""COMPUTED_VALUE"""),"Stone Co.")</f>
        <v>Stone Co.</v>
      </c>
      <c r="V7114" s="33">
        <f>IFERROR(__xludf.DUMMYFUNCTION("""COMPUTED_VALUE"""),1.0)</f>
        <v>1</v>
      </c>
      <c r="W7114" s="4" t="str">
        <f>IFERROR(__xludf.DUMMYFUNCTION("""COMPUTED_VALUE"""),"Stone Co.")</f>
        <v>Stone Co.</v>
      </c>
      <c r="X7114" s="33">
        <f>IFERROR(__xludf.DUMMYFUNCTION("""COMPUTED_VALUE"""),1.0)</f>
        <v>1</v>
      </c>
    </row>
    <row r="7115">
      <c r="K7115" s="4" t="str">
        <f>IFERROR(__xludf.DUMMYFUNCTION("""COMPUTED_VALUE"""),"GRUPO CAPARRIZZ")</f>
        <v>GRUPO CAPARRIZZ</v>
      </c>
      <c r="L7115" s="32">
        <f>IFERROR(__xludf.DUMMYFUNCTION("""COMPUTED_VALUE"""),2.0)</f>
        <v>2</v>
      </c>
      <c r="M7115" s="4" t="str">
        <f>IFERROR(__xludf.DUMMYFUNCTION("""COMPUTED_VALUE"""),"Saipos Serviços De Software")</f>
        <v>Saipos Serviços De Software</v>
      </c>
      <c r="N7115" s="33">
        <f>IFERROR(__xludf.DUMMYFUNCTION("""COMPUTED_VALUE"""),1.0)</f>
        <v>1</v>
      </c>
      <c r="O7115" s="4" t="str">
        <f>IFERROR(__xludf.DUMMYFUNCTION("""COMPUTED_VALUE"""),"Saipos Serviços De Software")</f>
        <v>Saipos Serviços De Software</v>
      </c>
      <c r="P7115" s="33">
        <f>IFERROR(__xludf.DUMMYFUNCTION("""COMPUTED_VALUE"""),1.0)</f>
        <v>1</v>
      </c>
      <c r="Q7115" s="4" t="str">
        <f>IFERROR(__xludf.DUMMYFUNCTION("""COMPUTED_VALUE"""),"Saipos Serviços De Software")</f>
        <v>Saipos Serviços De Software</v>
      </c>
      <c r="R7115" s="33">
        <f>IFERROR(__xludf.DUMMYFUNCTION("""COMPUTED_VALUE"""),1.0)</f>
        <v>1</v>
      </c>
      <c r="S7115" s="4" t="str">
        <f>IFERROR(__xludf.DUMMYFUNCTION("""COMPUTED_VALUE"""),"Saipos Serviços De Software")</f>
        <v>Saipos Serviços De Software</v>
      </c>
      <c r="T7115" s="33">
        <f>IFERROR(__xludf.DUMMYFUNCTION("""COMPUTED_VALUE"""),1.0)</f>
        <v>1</v>
      </c>
      <c r="U7115" s="4" t="str">
        <f>IFERROR(__xludf.DUMMYFUNCTION("""COMPUTED_VALUE"""),"Saipos Serviços De Software")</f>
        <v>Saipos Serviços De Software</v>
      </c>
      <c r="V7115" s="33">
        <f>IFERROR(__xludf.DUMMYFUNCTION("""COMPUTED_VALUE"""),1.0)</f>
        <v>1</v>
      </c>
      <c r="W7115" s="4" t="str">
        <f>IFERROR(__xludf.DUMMYFUNCTION("""COMPUTED_VALUE"""),"Saipos Serviços De Software")</f>
        <v>Saipos Serviços De Software</v>
      </c>
      <c r="X7115" s="33">
        <f>IFERROR(__xludf.DUMMYFUNCTION("""COMPUTED_VALUE"""),1.0)</f>
        <v>1</v>
      </c>
    </row>
    <row r="7116">
      <c r="K7116" s="4" t="str">
        <f>IFERROR(__xludf.DUMMYFUNCTION("""COMPUTED_VALUE"""),"GRUPO CAZA")</f>
        <v>GRUPO CAZA</v>
      </c>
      <c r="L7116" s="32">
        <f>IFERROR(__xludf.DUMMYFUNCTION("""COMPUTED_VALUE"""),2.0)</f>
        <v>2</v>
      </c>
      <c r="M7116" s="4" t="str">
        <f>IFERROR(__xludf.DUMMYFUNCTION("""COMPUTED_VALUE"""),"Saipos Serviços De Software")</f>
        <v>Saipos Serviços De Software</v>
      </c>
      <c r="N7116" s="33">
        <f>IFERROR(__xludf.DUMMYFUNCTION("""COMPUTED_VALUE"""),1.0)</f>
        <v>1</v>
      </c>
      <c r="O7116" s="4" t="str">
        <f>IFERROR(__xludf.DUMMYFUNCTION("""COMPUTED_VALUE"""),"Saipos Serviços De Software")</f>
        <v>Saipos Serviços De Software</v>
      </c>
      <c r="P7116" s="33">
        <f>IFERROR(__xludf.DUMMYFUNCTION("""COMPUTED_VALUE"""),1.0)</f>
        <v>1</v>
      </c>
      <c r="Q7116" s="4" t="str">
        <f>IFERROR(__xludf.DUMMYFUNCTION("""COMPUTED_VALUE"""),"Saipos Serviços De Software")</f>
        <v>Saipos Serviços De Software</v>
      </c>
      <c r="R7116" s="33">
        <f>IFERROR(__xludf.DUMMYFUNCTION("""COMPUTED_VALUE"""),1.0)</f>
        <v>1</v>
      </c>
      <c r="S7116" s="4" t="str">
        <f>IFERROR(__xludf.DUMMYFUNCTION("""COMPUTED_VALUE"""),"Saipos Serviços De Software")</f>
        <v>Saipos Serviços De Software</v>
      </c>
      <c r="T7116" s="33">
        <f>IFERROR(__xludf.DUMMYFUNCTION("""COMPUTED_VALUE"""),1.0)</f>
        <v>1</v>
      </c>
      <c r="U7116" s="4" t="str">
        <f>IFERROR(__xludf.DUMMYFUNCTION("""COMPUTED_VALUE"""),"Saipos Serviços De Software")</f>
        <v>Saipos Serviços De Software</v>
      </c>
      <c r="V7116" s="33">
        <f>IFERROR(__xludf.DUMMYFUNCTION("""COMPUTED_VALUE"""),1.0)</f>
        <v>1</v>
      </c>
      <c r="W7116" s="4" t="str">
        <f>IFERROR(__xludf.DUMMYFUNCTION("""COMPUTED_VALUE"""),"Saipos Serviços De Software")</f>
        <v>Saipos Serviços De Software</v>
      </c>
      <c r="X7116" s="33">
        <f>IFERROR(__xludf.DUMMYFUNCTION("""COMPUTED_VALUE"""),1.0)</f>
        <v>1</v>
      </c>
    </row>
    <row r="7117">
      <c r="K7117" s="4" t="str">
        <f>IFERROR(__xludf.DUMMYFUNCTION("""COMPUTED_VALUE"""),"GRUPO CHAPAS BURGUER")</f>
        <v>GRUPO CHAPAS BURGUER</v>
      </c>
      <c r="L7117" s="32">
        <f>IFERROR(__xludf.DUMMYFUNCTION("""COMPUTED_VALUE"""),2.0)</f>
        <v>2</v>
      </c>
      <c r="M7117" s="4" t="str">
        <f>IFERROR(__xludf.DUMMYFUNCTION("""COMPUTED_VALUE"""),"Vekttor")</f>
        <v>Vekttor</v>
      </c>
      <c r="N7117" s="33">
        <f>IFERROR(__xludf.DUMMYFUNCTION("""COMPUTED_VALUE"""),1.0)</f>
        <v>1</v>
      </c>
      <c r="O7117" s="4" t="str">
        <f>IFERROR(__xludf.DUMMYFUNCTION("""COMPUTED_VALUE"""),"Vekttor")</f>
        <v>Vekttor</v>
      </c>
      <c r="P7117" s="33">
        <f>IFERROR(__xludf.DUMMYFUNCTION("""COMPUTED_VALUE"""),1.0)</f>
        <v>1</v>
      </c>
      <c r="Q7117" s="4" t="str">
        <f>IFERROR(__xludf.DUMMYFUNCTION("""COMPUTED_VALUE"""),"Vekttor")</f>
        <v>Vekttor</v>
      </c>
      <c r="R7117" s="33">
        <f>IFERROR(__xludf.DUMMYFUNCTION("""COMPUTED_VALUE"""),1.0)</f>
        <v>1</v>
      </c>
      <c r="S7117" s="4" t="str">
        <f>IFERROR(__xludf.DUMMYFUNCTION("""COMPUTED_VALUE"""),"Vekttor")</f>
        <v>Vekttor</v>
      </c>
      <c r="T7117" s="33">
        <f>IFERROR(__xludf.DUMMYFUNCTION("""COMPUTED_VALUE"""),1.0)</f>
        <v>1</v>
      </c>
      <c r="U7117" s="4" t="str">
        <f>IFERROR(__xludf.DUMMYFUNCTION("""COMPUTED_VALUE"""),"Vekttor")</f>
        <v>Vekttor</v>
      </c>
      <c r="V7117" s="33">
        <f>IFERROR(__xludf.DUMMYFUNCTION("""COMPUTED_VALUE"""),1.0)</f>
        <v>1</v>
      </c>
      <c r="W7117" s="4" t="str">
        <f>IFERROR(__xludf.DUMMYFUNCTION("""COMPUTED_VALUE"""),"Vekttor")</f>
        <v>Vekttor</v>
      </c>
      <c r="X7117" s="33">
        <f>IFERROR(__xludf.DUMMYFUNCTION("""COMPUTED_VALUE"""),1.0)</f>
        <v>1</v>
      </c>
    </row>
    <row r="7118">
      <c r="K7118" s="4" t="str">
        <f>IFERROR(__xludf.DUMMYFUNCTION("""COMPUTED_VALUE"""),"GRUPO CHINA DIFANG")</f>
        <v>GRUPO CHINA DIFANG</v>
      </c>
      <c r="L7118" s="32">
        <f>IFERROR(__xludf.DUMMYFUNCTION("""COMPUTED_VALUE"""),2.0)</f>
        <v>2</v>
      </c>
      <c r="M7118" s="4" t="str">
        <f>IFERROR(__xludf.DUMMYFUNCTION("""COMPUTED_VALUE"""),"Eclética Tecnologia")</f>
        <v>Eclética Tecnologia</v>
      </c>
      <c r="N7118" s="33">
        <f>IFERROR(__xludf.DUMMYFUNCTION("""COMPUTED_VALUE"""),1.0)</f>
        <v>1</v>
      </c>
      <c r="O7118" s="4" t="str">
        <f>IFERROR(__xludf.DUMMYFUNCTION("""COMPUTED_VALUE"""),"Eclética Tecnologia")</f>
        <v>Eclética Tecnologia</v>
      </c>
      <c r="P7118" s="33">
        <f>IFERROR(__xludf.DUMMYFUNCTION("""COMPUTED_VALUE"""),1.0)</f>
        <v>1</v>
      </c>
      <c r="Q7118" s="4" t="str">
        <f>IFERROR(__xludf.DUMMYFUNCTION("""COMPUTED_VALUE"""),"Eclética Tecnologia")</f>
        <v>Eclética Tecnologia</v>
      </c>
      <c r="R7118" s="33">
        <f>IFERROR(__xludf.DUMMYFUNCTION("""COMPUTED_VALUE"""),1.0)</f>
        <v>1</v>
      </c>
      <c r="S7118" s="4" t="str">
        <f>IFERROR(__xludf.DUMMYFUNCTION("""COMPUTED_VALUE"""),"Eclética Tecnologia")</f>
        <v>Eclética Tecnologia</v>
      </c>
      <c r="T7118" s="33">
        <f>IFERROR(__xludf.DUMMYFUNCTION("""COMPUTED_VALUE"""),1.0)</f>
        <v>1</v>
      </c>
      <c r="U7118" s="4" t="str">
        <f>IFERROR(__xludf.DUMMYFUNCTION("""COMPUTED_VALUE"""),"Eclética Tecnologia")</f>
        <v>Eclética Tecnologia</v>
      </c>
      <c r="V7118" s="33">
        <f>IFERROR(__xludf.DUMMYFUNCTION("""COMPUTED_VALUE"""),1.0)</f>
        <v>1</v>
      </c>
      <c r="W7118" s="4" t="str">
        <f>IFERROR(__xludf.DUMMYFUNCTION("""COMPUTED_VALUE"""),"Eclética Tecnologia")</f>
        <v>Eclética Tecnologia</v>
      </c>
      <c r="X7118" s="33">
        <f>IFERROR(__xludf.DUMMYFUNCTION("""COMPUTED_VALUE"""),1.0)</f>
        <v>1</v>
      </c>
    </row>
    <row r="7119">
      <c r="K7119" s="4" t="str">
        <f>IFERROR(__xludf.DUMMYFUNCTION("""COMPUTED_VALUE"""),"GRUPO CHINA STATION")</f>
        <v>GRUPO CHINA STATION</v>
      </c>
      <c r="L7119" s="32">
        <f>IFERROR(__xludf.DUMMYFUNCTION("""COMPUTED_VALUE"""),2.0)</f>
        <v>2</v>
      </c>
      <c r="M7119" s="4" t="str">
        <f>IFERROR(__xludf.DUMMYFUNCTION("""COMPUTED_VALUE"""),"null")</f>
        <v>null</v>
      </c>
      <c r="N7119" s="33">
        <f>IFERROR(__xludf.DUMMYFUNCTION("""COMPUTED_VALUE"""),0.5)</f>
        <v>0.5</v>
      </c>
      <c r="O7119" s="4" t="str">
        <f>IFERROR(__xludf.DUMMYFUNCTION("""COMPUTED_VALUE"""),"Anota Ai Solucoes Digitais S/a")</f>
        <v>Anota Ai Solucoes Digitais S/a</v>
      </c>
      <c r="P7119" s="33">
        <f>IFERROR(__xludf.DUMMYFUNCTION("""COMPUTED_VALUE"""),1.0)</f>
        <v>1</v>
      </c>
      <c r="Q7119" s="4" t="str">
        <f>IFERROR(__xludf.DUMMYFUNCTION("""COMPUTED_VALUE"""),"null")</f>
        <v>null</v>
      </c>
      <c r="R7119" s="33">
        <f>IFERROR(__xludf.DUMMYFUNCTION("""COMPUTED_VALUE"""),1.0)</f>
        <v>1</v>
      </c>
      <c r="S7119" s="4" t="str">
        <f>IFERROR(__xludf.DUMMYFUNCTION("""COMPUTED_VALUE"""),"null")</f>
        <v>null</v>
      </c>
      <c r="T7119" s="33">
        <f>IFERROR(__xludf.DUMMYFUNCTION("""COMPUTED_VALUE"""),1.0)</f>
        <v>1</v>
      </c>
      <c r="U7119" s="4" t="str">
        <f>IFERROR(__xludf.DUMMYFUNCTION("""COMPUTED_VALUE"""),"null")</f>
        <v>null</v>
      </c>
      <c r="V7119" s="33">
        <f>IFERROR(__xludf.DUMMYFUNCTION("""COMPUTED_VALUE"""),1.0)</f>
        <v>1</v>
      </c>
      <c r="W7119" s="4" t="str">
        <f>IFERROR(__xludf.DUMMYFUNCTION("""COMPUTED_VALUE"""),"null")</f>
        <v>null</v>
      </c>
      <c r="X7119" s="33">
        <f>IFERROR(__xludf.DUMMYFUNCTION("""COMPUTED_VALUE"""),1.0)</f>
        <v>1</v>
      </c>
    </row>
    <row r="7120">
      <c r="K7120" s="4" t="str">
        <f>IFERROR(__xludf.DUMMYFUNCTION("""COMPUTED_VALUE"""),"GRUPO CHURRASQUINHO DAS TORRES")</f>
        <v>GRUPO CHURRASQUINHO DAS TORRES</v>
      </c>
      <c r="L7120" s="32">
        <f>IFERROR(__xludf.DUMMYFUNCTION("""COMPUTED_VALUE"""),2.0)</f>
        <v>2</v>
      </c>
      <c r="M7120" s="4" t="str">
        <f>IFERROR(__xludf.DUMMYFUNCTION("""COMPUTED_VALUE"""),"Saipos Serviços De Software")</f>
        <v>Saipos Serviços De Software</v>
      </c>
      <c r="N7120" s="33">
        <f>IFERROR(__xludf.DUMMYFUNCTION("""COMPUTED_VALUE"""),0.5)</f>
        <v>0.5</v>
      </c>
      <c r="O7120" s="4" t="str">
        <f>IFERROR(__xludf.DUMMYFUNCTION("""COMPUTED_VALUE"""),"Cardápio Web")</f>
        <v>Cardápio Web</v>
      </c>
      <c r="P7120" s="33">
        <f>IFERROR(__xludf.DUMMYFUNCTION("""COMPUTED_VALUE"""),1.0)</f>
        <v>1</v>
      </c>
      <c r="Q7120" s="4" t="str">
        <f>IFERROR(__xludf.DUMMYFUNCTION("""COMPUTED_VALUE"""),"Cardápio Web")</f>
        <v>Cardápio Web</v>
      </c>
      <c r="R7120" s="33">
        <f>IFERROR(__xludf.DUMMYFUNCTION("""COMPUTED_VALUE"""),0.5)</f>
        <v>0.5</v>
      </c>
      <c r="S7120" s="4" t="str">
        <f>IFERROR(__xludf.DUMMYFUNCTION("""COMPUTED_VALUE"""),"Cardápio Web")</f>
        <v>Cardápio Web</v>
      </c>
      <c r="T7120" s="33">
        <f>IFERROR(__xludf.DUMMYFUNCTION("""COMPUTED_VALUE"""),1.0)</f>
        <v>1</v>
      </c>
      <c r="U7120" s="4" t="str">
        <f>IFERROR(__xludf.DUMMYFUNCTION("""COMPUTED_VALUE"""),"Cardápio Web")</f>
        <v>Cardápio Web</v>
      </c>
      <c r="V7120" s="33">
        <f>IFERROR(__xludf.DUMMYFUNCTION("""COMPUTED_VALUE"""),1.0)</f>
        <v>1</v>
      </c>
      <c r="W7120" s="4" t="str">
        <f>IFERROR(__xludf.DUMMYFUNCTION("""COMPUTED_VALUE"""),"Cardápio Web")</f>
        <v>Cardápio Web</v>
      </c>
      <c r="X7120" s="33">
        <f>IFERROR(__xludf.DUMMYFUNCTION("""COMPUTED_VALUE"""),1.0)</f>
        <v>1</v>
      </c>
    </row>
    <row r="7121">
      <c r="K7121" s="4" t="str">
        <f>IFERROR(__xludf.DUMMYFUNCTION("""COMPUTED_VALUE"""),"GRUPO CONTATO SOCIAL - CONTA MARCA")</f>
        <v>GRUPO CONTATO SOCIAL - CONTA MARCA</v>
      </c>
      <c r="L7121" s="32">
        <f>IFERROR(__xludf.DUMMYFUNCTION("""COMPUTED_VALUE"""),2.0)</f>
        <v>2</v>
      </c>
      <c r="M7121" s="4" t="str">
        <f>IFERROR(__xludf.DUMMYFUNCTION("""COMPUTED_VALUE"""),"Teknisa Service Ltda")</f>
        <v>Teknisa Service Ltda</v>
      </c>
      <c r="N7121" s="33">
        <f>IFERROR(__xludf.DUMMYFUNCTION("""COMPUTED_VALUE"""),1.0)</f>
        <v>1</v>
      </c>
      <c r="O7121" s="4" t="str">
        <f>IFERROR(__xludf.DUMMYFUNCTION("""COMPUTED_VALUE"""),"Teknisa Service Ltda")</f>
        <v>Teknisa Service Ltda</v>
      </c>
      <c r="P7121" s="33">
        <f>IFERROR(__xludf.DUMMYFUNCTION("""COMPUTED_VALUE"""),1.0)</f>
        <v>1</v>
      </c>
      <c r="Q7121" s="4" t="str">
        <f>IFERROR(__xludf.DUMMYFUNCTION("""COMPUTED_VALUE"""),"Teknisa Service Ltda")</f>
        <v>Teknisa Service Ltda</v>
      </c>
      <c r="R7121" s="33">
        <f>IFERROR(__xludf.DUMMYFUNCTION("""COMPUTED_VALUE"""),1.0)</f>
        <v>1</v>
      </c>
      <c r="S7121" s="4" t="str">
        <f>IFERROR(__xludf.DUMMYFUNCTION("""COMPUTED_VALUE"""),"Teknisa Service Ltda")</f>
        <v>Teknisa Service Ltda</v>
      </c>
      <c r="T7121" s="33">
        <f>IFERROR(__xludf.DUMMYFUNCTION("""COMPUTED_VALUE"""),1.0)</f>
        <v>1</v>
      </c>
      <c r="U7121" s="4" t="str">
        <f>IFERROR(__xludf.DUMMYFUNCTION("""COMPUTED_VALUE"""),"Teknisa Service Ltda")</f>
        <v>Teknisa Service Ltda</v>
      </c>
      <c r="V7121" s="33">
        <f>IFERROR(__xludf.DUMMYFUNCTION("""COMPUTED_VALUE"""),0.5)</f>
        <v>0.5</v>
      </c>
      <c r="W7121" s="4" t="str">
        <f>IFERROR(__xludf.DUMMYFUNCTION("""COMPUTED_VALUE"""),"Teknisa Service Ltda")</f>
        <v>Teknisa Service Ltda</v>
      </c>
      <c r="X7121" s="33">
        <f>IFERROR(__xludf.DUMMYFUNCTION("""COMPUTED_VALUE"""),0.5)</f>
        <v>0.5</v>
      </c>
    </row>
    <row r="7122">
      <c r="K7122" s="4" t="str">
        <f>IFERROR(__xludf.DUMMYFUNCTION("""COMPUTED_VALUE"""),"GRUPO D BURGER")</f>
        <v>GRUPO D BURGER</v>
      </c>
      <c r="L7122" s="32">
        <f>IFERROR(__xludf.DUMMYFUNCTION("""COMPUTED_VALUE"""),2.0)</f>
        <v>2</v>
      </c>
      <c r="M7122" s="4" t="str">
        <f>IFERROR(__xludf.DUMMYFUNCTION("""COMPUTED_VALUE"""),"Saipos Serviços De Software")</f>
        <v>Saipos Serviços De Software</v>
      </c>
      <c r="N7122" s="33">
        <f>IFERROR(__xludf.DUMMYFUNCTION("""COMPUTED_VALUE"""),1.0)</f>
        <v>1</v>
      </c>
      <c r="O7122" s="4" t="str">
        <f>IFERROR(__xludf.DUMMYFUNCTION("""COMPUTED_VALUE"""),"Saipos Serviços De Software")</f>
        <v>Saipos Serviços De Software</v>
      </c>
      <c r="P7122" s="33">
        <f>IFERROR(__xludf.DUMMYFUNCTION("""COMPUTED_VALUE"""),1.0)</f>
        <v>1</v>
      </c>
      <c r="Q7122" s="4" t="str">
        <f>IFERROR(__xludf.DUMMYFUNCTION("""COMPUTED_VALUE"""),"Saipos Serviços De Software")</f>
        <v>Saipos Serviços De Software</v>
      </c>
      <c r="R7122" s="33">
        <f>IFERROR(__xludf.DUMMYFUNCTION("""COMPUTED_VALUE"""),1.0)</f>
        <v>1</v>
      </c>
      <c r="S7122" s="4" t="str">
        <f>IFERROR(__xludf.DUMMYFUNCTION("""COMPUTED_VALUE"""),"Saipos Serviços De Software")</f>
        <v>Saipos Serviços De Software</v>
      </c>
      <c r="T7122" s="33">
        <f>IFERROR(__xludf.DUMMYFUNCTION("""COMPUTED_VALUE"""),1.0)</f>
        <v>1</v>
      </c>
      <c r="U7122" s="4" t="str">
        <f>IFERROR(__xludf.DUMMYFUNCTION("""COMPUTED_VALUE"""),"Saipos Serviços De Software")</f>
        <v>Saipos Serviços De Software</v>
      </c>
      <c r="V7122" s="33">
        <f>IFERROR(__xludf.DUMMYFUNCTION("""COMPUTED_VALUE"""),1.0)</f>
        <v>1</v>
      </c>
      <c r="W7122" s="4" t="str">
        <f>IFERROR(__xludf.DUMMYFUNCTION("""COMPUTED_VALUE"""),"Saipos Serviços De Software")</f>
        <v>Saipos Serviços De Software</v>
      </c>
      <c r="X7122" s="33">
        <f>IFERROR(__xludf.DUMMYFUNCTION("""COMPUTED_VALUE"""),1.0)</f>
        <v>1</v>
      </c>
    </row>
    <row r="7123">
      <c r="K7123" s="4" t="str">
        <f>IFERROR(__xludf.DUMMYFUNCTION("""COMPUTED_VALUE"""),"GRUPO DA RO MARMITAS")</f>
        <v>GRUPO DA RO MARMITAS</v>
      </c>
      <c r="L7123" s="32">
        <f>IFERROR(__xludf.DUMMYFUNCTION("""COMPUTED_VALUE"""),2.0)</f>
        <v>2</v>
      </c>
      <c r="M7123" s="4" t="str">
        <f>IFERROR(__xludf.DUMMYFUNCTION("""COMPUTED_VALUE"""),"Tdp Sistemas De Informação")</f>
        <v>Tdp Sistemas De Informação</v>
      </c>
      <c r="N7123" s="33">
        <f>IFERROR(__xludf.DUMMYFUNCTION("""COMPUTED_VALUE"""),0.5)</f>
        <v>0.5</v>
      </c>
      <c r="O7123" s="4" t="str">
        <f>IFERROR(__xludf.DUMMYFUNCTION("""COMPUTED_VALUE"""),"Saipos Serviços De Software")</f>
        <v>Saipos Serviços De Software</v>
      </c>
      <c r="P7123" s="33">
        <f>IFERROR(__xludf.DUMMYFUNCTION("""COMPUTED_VALUE"""),1.0)</f>
        <v>1</v>
      </c>
      <c r="Q7123" s="4" t="str">
        <f>IFERROR(__xludf.DUMMYFUNCTION("""COMPUTED_VALUE"""),"Saipos Serviços De Software")</f>
        <v>Saipos Serviços De Software</v>
      </c>
      <c r="R7123" s="33">
        <f>IFERROR(__xludf.DUMMYFUNCTION("""COMPUTED_VALUE"""),1.0)</f>
        <v>1</v>
      </c>
      <c r="S7123" s="4" t="str">
        <f>IFERROR(__xludf.DUMMYFUNCTION("""COMPUTED_VALUE"""),"Saipos Serviços De Software")</f>
        <v>Saipos Serviços De Software</v>
      </c>
      <c r="T7123" s="33">
        <f>IFERROR(__xludf.DUMMYFUNCTION("""COMPUTED_VALUE"""),1.0)</f>
        <v>1</v>
      </c>
      <c r="U7123" s="4" t="str">
        <f>IFERROR(__xludf.DUMMYFUNCTION("""COMPUTED_VALUE"""),"Saipos Serviços De Software")</f>
        <v>Saipos Serviços De Software</v>
      </c>
      <c r="V7123" s="33">
        <f>IFERROR(__xludf.DUMMYFUNCTION("""COMPUTED_VALUE"""),1.0)</f>
        <v>1</v>
      </c>
      <c r="W7123" s="4" t="str">
        <f>IFERROR(__xludf.DUMMYFUNCTION("""COMPUTED_VALUE"""),"Saipos Serviços De Software")</f>
        <v>Saipos Serviços De Software</v>
      </c>
      <c r="X7123" s="33">
        <f>IFERROR(__xludf.DUMMYFUNCTION("""COMPUTED_VALUE"""),0.5)</f>
        <v>0.5</v>
      </c>
    </row>
    <row r="7124">
      <c r="K7124" s="4" t="str">
        <f>IFERROR(__xludf.DUMMYFUNCTION("""COMPUTED_VALUE"""),"GRUPO DI FORNI")</f>
        <v>GRUPO DI FORNI</v>
      </c>
      <c r="L7124" s="32">
        <f>IFERROR(__xludf.DUMMYFUNCTION("""COMPUTED_VALUE"""),2.0)</f>
        <v>2</v>
      </c>
      <c r="M7124" s="4" t="str">
        <f>IFERROR(__xludf.DUMMYFUNCTION("""COMPUTED_VALUE"""),"Saipos Serviços De Software")</f>
        <v>Saipos Serviços De Software</v>
      </c>
      <c r="N7124" s="33">
        <f>IFERROR(__xludf.DUMMYFUNCTION("""COMPUTED_VALUE"""),0.5)</f>
        <v>0.5</v>
      </c>
      <c r="O7124" s="4" t="str">
        <f>IFERROR(__xludf.DUMMYFUNCTION("""COMPUTED_VALUE"""),"Saipos Serviços De Software")</f>
        <v>Saipos Serviços De Software</v>
      </c>
      <c r="P7124" s="33">
        <f>IFERROR(__xludf.DUMMYFUNCTION("""COMPUTED_VALUE"""),1.0)</f>
        <v>1</v>
      </c>
      <c r="Q7124" s="4" t="str">
        <f>IFERROR(__xludf.DUMMYFUNCTION("""COMPUTED_VALUE"""),"Saipos Serviços De Software")</f>
        <v>Saipos Serviços De Software</v>
      </c>
      <c r="R7124" s="33">
        <f>IFERROR(__xludf.DUMMYFUNCTION("""COMPUTED_VALUE"""),1.0)</f>
        <v>1</v>
      </c>
      <c r="S7124" s="4" t="str">
        <f>IFERROR(__xludf.DUMMYFUNCTION("""COMPUTED_VALUE"""),"Saipos Serviços De Software")</f>
        <v>Saipos Serviços De Software</v>
      </c>
      <c r="T7124" s="33">
        <f>IFERROR(__xludf.DUMMYFUNCTION("""COMPUTED_VALUE"""),1.0)</f>
        <v>1</v>
      </c>
      <c r="U7124" s="4" t="str">
        <f>IFERROR(__xludf.DUMMYFUNCTION("""COMPUTED_VALUE"""),"Saipos Serviços De Software")</f>
        <v>Saipos Serviços De Software</v>
      </c>
      <c r="V7124" s="33">
        <f>IFERROR(__xludf.DUMMYFUNCTION("""COMPUTED_VALUE"""),1.0)</f>
        <v>1</v>
      </c>
      <c r="W7124" s="4" t="str">
        <f>IFERROR(__xludf.DUMMYFUNCTION("""COMPUTED_VALUE"""),"null")</f>
        <v>null</v>
      </c>
      <c r="X7124" s="33">
        <f>IFERROR(__xludf.DUMMYFUNCTION("""COMPUTED_VALUE"""),0.5)</f>
        <v>0.5</v>
      </c>
    </row>
    <row r="7125">
      <c r="K7125" s="4" t="str">
        <f>IFERROR(__xludf.DUMMYFUNCTION("""COMPUTED_VALUE"""),"GRUPO DOCE DEGUSTE")</f>
        <v>GRUPO DOCE DEGUSTE</v>
      </c>
      <c r="L7125" s="32">
        <f>IFERROR(__xludf.DUMMYFUNCTION("""COMPUTED_VALUE"""),2.0)</f>
        <v>2</v>
      </c>
      <c r="M7125" s="4" t="str">
        <f>IFERROR(__xludf.DUMMYFUNCTION("""COMPUTED_VALUE"""),"Saipos Serviços De Software")</f>
        <v>Saipos Serviços De Software</v>
      </c>
      <c r="N7125" s="33">
        <f>IFERROR(__xludf.DUMMYFUNCTION("""COMPUTED_VALUE"""),1.0)</f>
        <v>1</v>
      </c>
      <c r="O7125" s="4" t="str">
        <f>IFERROR(__xludf.DUMMYFUNCTION("""COMPUTED_VALUE"""),"Saipos Serviços De Software")</f>
        <v>Saipos Serviços De Software</v>
      </c>
      <c r="P7125" s="33">
        <f>IFERROR(__xludf.DUMMYFUNCTION("""COMPUTED_VALUE"""),1.0)</f>
        <v>1</v>
      </c>
      <c r="Q7125" s="4" t="str">
        <f>IFERROR(__xludf.DUMMYFUNCTION("""COMPUTED_VALUE"""),"Saipos Serviços De Software")</f>
        <v>Saipos Serviços De Software</v>
      </c>
      <c r="R7125" s="33">
        <f>IFERROR(__xludf.DUMMYFUNCTION("""COMPUTED_VALUE"""),1.0)</f>
        <v>1</v>
      </c>
      <c r="S7125" s="4" t="str">
        <f>IFERROR(__xludf.DUMMYFUNCTION("""COMPUTED_VALUE"""),"Saipos Serviços De Software")</f>
        <v>Saipos Serviços De Software</v>
      </c>
      <c r="T7125" s="33">
        <f>IFERROR(__xludf.DUMMYFUNCTION("""COMPUTED_VALUE"""),1.0)</f>
        <v>1</v>
      </c>
      <c r="U7125" s="4" t="str">
        <f>IFERROR(__xludf.DUMMYFUNCTION("""COMPUTED_VALUE"""),"Saipos Serviços De Software")</f>
        <v>Saipos Serviços De Software</v>
      </c>
      <c r="V7125" s="33">
        <f>IFERROR(__xludf.DUMMYFUNCTION("""COMPUTED_VALUE"""),1.0)</f>
        <v>1</v>
      </c>
      <c r="W7125" s="4" t="str">
        <f>IFERROR(__xludf.DUMMYFUNCTION("""COMPUTED_VALUE"""),"Saipos Serviços De Software")</f>
        <v>Saipos Serviços De Software</v>
      </c>
      <c r="X7125" s="33">
        <f>IFERROR(__xludf.DUMMYFUNCTION("""COMPUTED_VALUE"""),1.0)</f>
        <v>1</v>
      </c>
    </row>
    <row r="7126">
      <c r="K7126" s="4" t="str">
        <f>IFERROR(__xludf.DUMMYFUNCTION("""COMPUTED_VALUE"""),"GRUPO DOM FRANCISCO")</f>
        <v>GRUPO DOM FRANCISCO</v>
      </c>
      <c r="L7126" s="32">
        <f>IFERROR(__xludf.DUMMYFUNCTION("""COMPUTED_VALUE"""),2.0)</f>
        <v>2</v>
      </c>
      <c r="M7126" s="4" t="str">
        <f>IFERROR(__xludf.DUMMYFUNCTION("""COMPUTED_VALUE"""),"Totvs Large Enterprise Tecnologia S.a.")</f>
        <v>Totvs Large Enterprise Tecnologia S.a.</v>
      </c>
      <c r="N7126" s="33">
        <f>IFERROR(__xludf.DUMMYFUNCTION("""COMPUTED_VALUE"""),1.0)</f>
        <v>1</v>
      </c>
      <c r="O7126" s="4" t="str">
        <f>IFERROR(__xludf.DUMMYFUNCTION("""COMPUTED_VALUE"""),"Totvs Large Enterprise Tecnologia S.a.")</f>
        <v>Totvs Large Enterprise Tecnologia S.a.</v>
      </c>
      <c r="P7126" s="33">
        <f>IFERROR(__xludf.DUMMYFUNCTION("""COMPUTED_VALUE"""),0.5)</f>
        <v>0.5</v>
      </c>
      <c r="Q7126" s="4" t="str">
        <f>IFERROR(__xludf.DUMMYFUNCTION("""COMPUTED_VALUE"""),"null")</f>
        <v>null</v>
      </c>
      <c r="R7126" s="33">
        <f>IFERROR(__xludf.DUMMYFUNCTION("""COMPUTED_VALUE"""),0.5)</f>
        <v>0.5</v>
      </c>
      <c r="S7126" s="4" t="str">
        <f>IFERROR(__xludf.DUMMYFUNCTION("""COMPUTED_VALUE"""),"Totvs Large Enterprise Tecnologia S.a.")</f>
        <v>Totvs Large Enterprise Tecnologia S.a.</v>
      </c>
      <c r="T7126" s="33">
        <f>IFERROR(__xludf.DUMMYFUNCTION("""COMPUTED_VALUE"""),1.0)</f>
        <v>1</v>
      </c>
      <c r="U7126" s="4" t="str">
        <f>IFERROR(__xludf.DUMMYFUNCTION("""COMPUTED_VALUE"""),"Totvs Large Enterprise Tecnologia S.a.")</f>
        <v>Totvs Large Enterprise Tecnologia S.a.</v>
      </c>
      <c r="V7126" s="33">
        <f>IFERROR(__xludf.DUMMYFUNCTION("""COMPUTED_VALUE"""),1.0)</f>
        <v>1</v>
      </c>
      <c r="W7126" s="4" t="str">
        <f>IFERROR(__xludf.DUMMYFUNCTION("""COMPUTED_VALUE"""),"Totvs Large Enterprise Tecnologia S.a.")</f>
        <v>Totvs Large Enterprise Tecnologia S.a.</v>
      </c>
      <c r="X7126" s="33">
        <f>IFERROR(__xludf.DUMMYFUNCTION("""COMPUTED_VALUE"""),1.0)</f>
        <v>1</v>
      </c>
    </row>
    <row r="7127">
      <c r="K7127" s="4" t="str">
        <f>IFERROR(__xludf.DUMMYFUNCTION("""COMPUTED_VALUE"""),"GRUPO DOM SEBASTIAO")</f>
        <v>GRUPO DOM SEBASTIAO</v>
      </c>
      <c r="L7127" s="32">
        <f>IFERROR(__xludf.DUMMYFUNCTION("""COMPUTED_VALUE"""),2.0)</f>
        <v>2</v>
      </c>
      <c r="M7127" s="4" t="str">
        <f>IFERROR(__xludf.DUMMYFUNCTION("""COMPUTED_VALUE"""),"Tacto Sistemas")</f>
        <v>Tacto Sistemas</v>
      </c>
      <c r="N7127" s="33">
        <f>IFERROR(__xludf.DUMMYFUNCTION("""COMPUTED_VALUE"""),1.0)</f>
        <v>1</v>
      </c>
      <c r="O7127" s="4" t="str">
        <f>IFERROR(__xludf.DUMMYFUNCTION("""COMPUTED_VALUE"""),"Tacto Sistemas")</f>
        <v>Tacto Sistemas</v>
      </c>
      <c r="P7127" s="33">
        <f>IFERROR(__xludf.DUMMYFUNCTION("""COMPUTED_VALUE"""),0.5)</f>
        <v>0.5</v>
      </c>
      <c r="Q7127" s="4" t="str">
        <f>IFERROR(__xludf.DUMMYFUNCTION("""COMPUTED_VALUE"""),"null")</f>
        <v>null</v>
      </c>
      <c r="R7127" s="33">
        <f>IFERROR(__xludf.DUMMYFUNCTION("""COMPUTED_VALUE"""),1.0)</f>
        <v>1</v>
      </c>
      <c r="S7127" s="4" t="str">
        <f>IFERROR(__xludf.DUMMYFUNCTION("""COMPUTED_VALUE"""),"Tacto Sistemas")</f>
        <v>Tacto Sistemas</v>
      </c>
      <c r="T7127" s="33">
        <f>IFERROR(__xludf.DUMMYFUNCTION("""COMPUTED_VALUE"""),1.0)</f>
        <v>1</v>
      </c>
      <c r="U7127" s="4" t="str">
        <f>IFERROR(__xludf.DUMMYFUNCTION("""COMPUTED_VALUE"""),"null")</f>
        <v>null</v>
      </c>
      <c r="V7127" s="33">
        <f>IFERROR(__xludf.DUMMYFUNCTION("""COMPUTED_VALUE"""),1.0)</f>
        <v>1</v>
      </c>
      <c r="W7127" s="4" t="str">
        <f>IFERROR(__xludf.DUMMYFUNCTION("""COMPUTED_VALUE"""),"null")</f>
        <v>null</v>
      </c>
      <c r="X7127" s="33">
        <f>IFERROR(__xludf.DUMMYFUNCTION("""COMPUTED_VALUE"""),1.0)</f>
        <v>1</v>
      </c>
    </row>
    <row r="7128">
      <c r="K7128" s="4" t="str">
        <f>IFERROR(__xludf.DUMMYFUNCTION("""COMPUTED_VALUE"""),"GRUPO DON GIOVANI")</f>
        <v>GRUPO DON GIOVANI</v>
      </c>
      <c r="L7128" s="32">
        <f>IFERROR(__xludf.DUMMYFUNCTION("""COMPUTED_VALUE"""),2.0)</f>
        <v>2</v>
      </c>
      <c r="M7128" s="4" t="str">
        <f>IFERROR(__xludf.DUMMYFUNCTION("""COMPUTED_VALUE"""),"Consumer Soluções Em Tecnologia Ltda")</f>
        <v>Consumer Soluções Em Tecnologia Ltda</v>
      </c>
      <c r="N7128" s="33">
        <f>IFERROR(__xludf.DUMMYFUNCTION("""COMPUTED_VALUE"""),1.0)</f>
        <v>1</v>
      </c>
      <c r="O7128" s="4" t="str">
        <f>IFERROR(__xludf.DUMMYFUNCTION("""COMPUTED_VALUE"""),"null")</f>
        <v>null</v>
      </c>
      <c r="P7128" s="33">
        <f>IFERROR(__xludf.DUMMYFUNCTION("""COMPUTED_VALUE"""),1.0)</f>
        <v>1</v>
      </c>
      <c r="Q7128" s="4" t="str">
        <f>IFERROR(__xludf.DUMMYFUNCTION("""COMPUTED_VALUE"""),"null")</f>
        <v>null</v>
      </c>
      <c r="R7128" s="33">
        <f>IFERROR(__xludf.DUMMYFUNCTION("""COMPUTED_VALUE"""),0.5)</f>
        <v>0.5</v>
      </c>
      <c r="S7128" s="4" t="str">
        <f>IFERROR(__xludf.DUMMYFUNCTION("""COMPUTED_VALUE"""),"null")</f>
        <v>null</v>
      </c>
      <c r="T7128" s="33">
        <f>IFERROR(__xludf.DUMMYFUNCTION("""COMPUTED_VALUE"""),1.0)</f>
        <v>1</v>
      </c>
      <c r="U7128" s="4" t="str">
        <f>IFERROR(__xludf.DUMMYFUNCTION("""COMPUTED_VALUE"""),"null")</f>
        <v>null</v>
      </c>
      <c r="V7128" s="33">
        <f>IFERROR(__xludf.DUMMYFUNCTION("""COMPUTED_VALUE"""),1.0)</f>
        <v>1</v>
      </c>
      <c r="W7128" s="4" t="str">
        <f>IFERROR(__xludf.DUMMYFUNCTION("""COMPUTED_VALUE"""),"Consumer Soluções Em Tecnologia Ltda")</f>
        <v>Consumer Soluções Em Tecnologia Ltda</v>
      </c>
      <c r="X7128" s="33">
        <f>IFERROR(__xludf.DUMMYFUNCTION("""COMPUTED_VALUE"""),0.5)</f>
        <v>0.5</v>
      </c>
    </row>
    <row r="7129">
      <c r="K7129" s="4" t="str">
        <f>IFERROR(__xludf.DUMMYFUNCTION("""COMPUTED_VALUE"""),"DONATELLA PIZZARIA")</f>
        <v>DONATELLA PIZZARIA</v>
      </c>
      <c r="L7129" s="32">
        <f>IFERROR(__xludf.DUMMYFUNCTION("""COMPUTED_VALUE"""),2.0)</f>
        <v>2</v>
      </c>
      <c r="M7129" s="4" t="str">
        <f>IFERROR(__xludf.DUMMYFUNCTION("""COMPUTED_VALUE"""),"Cardápio Web")</f>
        <v>Cardápio Web</v>
      </c>
      <c r="N7129" s="33">
        <f>IFERROR(__xludf.DUMMYFUNCTION("""COMPUTED_VALUE"""),1.0)</f>
        <v>1</v>
      </c>
      <c r="O7129" s="4" t="str">
        <f>IFERROR(__xludf.DUMMYFUNCTION("""COMPUTED_VALUE"""),"Cardápio Web")</f>
        <v>Cardápio Web</v>
      </c>
      <c r="P7129" s="33">
        <f>IFERROR(__xludf.DUMMYFUNCTION("""COMPUTED_VALUE"""),1.0)</f>
        <v>1</v>
      </c>
      <c r="Q7129" s="4" t="str">
        <f>IFERROR(__xludf.DUMMYFUNCTION("""COMPUTED_VALUE"""),"Cardápio Web")</f>
        <v>Cardápio Web</v>
      </c>
      <c r="R7129" s="33">
        <f>IFERROR(__xludf.DUMMYFUNCTION("""COMPUTED_VALUE"""),1.0)</f>
        <v>1</v>
      </c>
      <c r="S7129" s="4" t="str">
        <f>IFERROR(__xludf.DUMMYFUNCTION("""COMPUTED_VALUE"""),"Cardápio Web")</f>
        <v>Cardápio Web</v>
      </c>
      <c r="T7129" s="33">
        <f>IFERROR(__xludf.DUMMYFUNCTION("""COMPUTED_VALUE"""),1.0)</f>
        <v>1</v>
      </c>
      <c r="U7129" s="4" t="str">
        <f>IFERROR(__xludf.DUMMYFUNCTION("""COMPUTED_VALUE"""),"Cardápio Web")</f>
        <v>Cardápio Web</v>
      </c>
      <c r="V7129" s="33">
        <f>IFERROR(__xludf.DUMMYFUNCTION("""COMPUTED_VALUE"""),1.0)</f>
        <v>1</v>
      </c>
      <c r="W7129" s="4" t="str">
        <f>IFERROR(__xludf.DUMMYFUNCTION("""COMPUTED_VALUE"""),"Cardápio Web")</f>
        <v>Cardápio Web</v>
      </c>
      <c r="X7129" s="33">
        <f>IFERROR(__xludf.DUMMYFUNCTION("""COMPUTED_VALUE"""),1.0)</f>
        <v>1</v>
      </c>
    </row>
    <row r="7130">
      <c r="K7130" s="4" t="str">
        <f>IFERROR(__xludf.DUMMYFUNCTION("""COMPUTED_VALUE"""),"GRUPO DONDOGS")</f>
        <v>GRUPO DONDOGS</v>
      </c>
      <c r="L7130" s="32">
        <f>IFERROR(__xludf.DUMMYFUNCTION("""COMPUTED_VALUE"""),2.0)</f>
        <v>2</v>
      </c>
      <c r="M7130" s="4" t="str">
        <f>IFERROR(__xludf.DUMMYFUNCTION("""COMPUTED_VALUE"""),"null")</f>
        <v>null</v>
      </c>
      <c r="N7130" s="33">
        <f>IFERROR(__xludf.DUMMYFUNCTION("""COMPUTED_VALUE"""),0.5)</f>
        <v>0.5</v>
      </c>
      <c r="O7130" s="4" t="str">
        <f>IFERROR(__xludf.DUMMYFUNCTION("""COMPUTED_VALUE"""),"null")</f>
        <v>null</v>
      </c>
      <c r="P7130" s="33">
        <f>IFERROR(__xludf.DUMMYFUNCTION("""COMPUTED_VALUE"""),0.5)</f>
        <v>0.5</v>
      </c>
      <c r="Q7130" s="4" t="str">
        <f>IFERROR(__xludf.DUMMYFUNCTION("""COMPUTED_VALUE"""),"null")</f>
        <v>null</v>
      </c>
      <c r="R7130" s="33">
        <f>IFERROR(__xludf.DUMMYFUNCTION("""COMPUTED_VALUE"""),0.5)</f>
        <v>0.5</v>
      </c>
      <c r="S7130" s="4" t="str">
        <f>IFERROR(__xludf.DUMMYFUNCTION("""COMPUTED_VALUE"""),"null")</f>
        <v>null</v>
      </c>
      <c r="T7130" s="33">
        <f>IFERROR(__xludf.DUMMYFUNCTION("""COMPUTED_VALUE"""),0.5)</f>
        <v>0.5</v>
      </c>
      <c r="U7130" s="4" t="str">
        <f>IFERROR(__xludf.DUMMYFUNCTION("""COMPUTED_VALUE"""),"Anota Ai Solucoes Digitais S/a")</f>
        <v>Anota Ai Solucoes Digitais S/a</v>
      </c>
      <c r="V7130" s="33">
        <f>IFERROR(__xludf.DUMMYFUNCTION("""COMPUTED_VALUE"""),1.0)</f>
        <v>1</v>
      </c>
      <c r="W7130" s="4" t="str">
        <f>IFERROR(__xludf.DUMMYFUNCTION("""COMPUTED_VALUE"""),"Anota Ai Solucoes Digitais S/a")</f>
        <v>Anota Ai Solucoes Digitais S/a</v>
      </c>
      <c r="X7130" s="33">
        <f>IFERROR(__xludf.DUMMYFUNCTION("""COMPUTED_VALUE"""),1.0)</f>
        <v>1</v>
      </c>
    </row>
    <row r="7131">
      <c r="K7131" s="4" t="str">
        <f>IFERROR(__xludf.DUMMYFUNCTION("""COMPUTED_VALUE"""),"GRUPO ERNESTO CAFES")</f>
        <v>GRUPO ERNESTO CAFES</v>
      </c>
      <c r="L7131" s="32">
        <f>IFERROR(__xludf.DUMMYFUNCTION("""COMPUTED_VALUE"""),2.0)</f>
        <v>2</v>
      </c>
      <c r="M7131" s="4" t="str">
        <f>IFERROR(__xludf.DUMMYFUNCTION("""COMPUTED_VALUE"""),"Vuca Solution")</f>
        <v>Vuca Solution</v>
      </c>
      <c r="N7131" s="33">
        <f>IFERROR(__xludf.DUMMYFUNCTION("""COMPUTED_VALUE"""),1.0)</f>
        <v>1</v>
      </c>
      <c r="O7131" s="4" t="str">
        <f>IFERROR(__xludf.DUMMYFUNCTION("""COMPUTED_VALUE"""),"Vuca Solution")</f>
        <v>Vuca Solution</v>
      </c>
      <c r="P7131" s="33">
        <f>IFERROR(__xludf.DUMMYFUNCTION("""COMPUTED_VALUE"""),1.0)</f>
        <v>1</v>
      </c>
      <c r="Q7131" s="4" t="str">
        <f>IFERROR(__xludf.DUMMYFUNCTION("""COMPUTED_VALUE"""),"Vuca Solution")</f>
        <v>Vuca Solution</v>
      </c>
      <c r="R7131" s="33">
        <f>IFERROR(__xludf.DUMMYFUNCTION("""COMPUTED_VALUE"""),1.0)</f>
        <v>1</v>
      </c>
      <c r="S7131" s="4" t="str">
        <f>IFERROR(__xludf.DUMMYFUNCTION("""COMPUTED_VALUE"""),"Vuca Solution")</f>
        <v>Vuca Solution</v>
      </c>
      <c r="T7131" s="33">
        <f>IFERROR(__xludf.DUMMYFUNCTION("""COMPUTED_VALUE"""),1.0)</f>
        <v>1</v>
      </c>
      <c r="U7131" s="4" t="str">
        <f>IFERROR(__xludf.DUMMYFUNCTION("""COMPUTED_VALUE"""),"Vuca Solution")</f>
        <v>Vuca Solution</v>
      </c>
      <c r="V7131" s="33">
        <f>IFERROR(__xludf.DUMMYFUNCTION("""COMPUTED_VALUE"""),1.0)</f>
        <v>1</v>
      </c>
      <c r="W7131" s="4" t="str">
        <f>IFERROR(__xludf.DUMMYFUNCTION("""COMPUTED_VALUE"""),"Vuca Solution")</f>
        <v>Vuca Solution</v>
      </c>
      <c r="X7131" s="33">
        <f>IFERROR(__xludf.DUMMYFUNCTION("""COMPUTED_VALUE"""),1.0)</f>
        <v>1</v>
      </c>
    </row>
    <row r="7132">
      <c r="K7132" s="4" t="str">
        <f>IFERROR(__xludf.DUMMYFUNCTION("""COMPUTED_VALUE"""),"GRUPO ESTANCIA")</f>
        <v>GRUPO ESTANCIA</v>
      </c>
      <c r="L7132" s="32">
        <f>IFERROR(__xludf.DUMMYFUNCTION("""COMPUTED_VALUE"""),2.0)</f>
        <v>2</v>
      </c>
      <c r="M7132" s="4" t="str">
        <f>IFERROR(__xludf.DUMMYFUNCTION("""COMPUTED_VALUE"""),"Garcom Web")</f>
        <v>Garcom Web</v>
      </c>
      <c r="N7132" s="33">
        <f>IFERROR(__xludf.DUMMYFUNCTION("""COMPUTED_VALUE"""),1.0)</f>
        <v>1</v>
      </c>
      <c r="O7132" s="4" t="str">
        <f>IFERROR(__xludf.DUMMYFUNCTION("""COMPUTED_VALUE"""),"Garcom Web")</f>
        <v>Garcom Web</v>
      </c>
      <c r="P7132" s="33">
        <f>IFERROR(__xludf.DUMMYFUNCTION("""COMPUTED_VALUE"""),1.0)</f>
        <v>1</v>
      </c>
      <c r="Q7132" s="4" t="str">
        <f>IFERROR(__xludf.DUMMYFUNCTION("""COMPUTED_VALUE"""),"null")</f>
        <v>null</v>
      </c>
      <c r="R7132" s="33">
        <f>IFERROR(__xludf.DUMMYFUNCTION("""COMPUTED_VALUE"""),1.0)</f>
        <v>1</v>
      </c>
      <c r="S7132" s="4" t="str">
        <f>IFERROR(__xludf.DUMMYFUNCTION("""COMPUTED_VALUE"""),"null")</f>
        <v>null</v>
      </c>
      <c r="T7132" s="33">
        <f>IFERROR(__xludf.DUMMYFUNCTION("""COMPUTED_VALUE"""),1.0)</f>
        <v>1</v>
      </c>
      <c r="U7132" s="4" t="str">
        <f>IFERROR(__xludf.DUMMYFUNCTION("""COMPUTED_VALUE"""),"null")</f>
        <v>null</v>
      </c>
      <c r="V7132" s="33">
        <f>IFERROR(__xludf.DUMMYFUNCTION("""COMPUTED_VALUE"""),1.0)</f>
        <v>1</v>
      </c>
      <c r="W7132" s="4" t="str">
        <f>IFERROR(__xludf.DUMMYFUNCTION("""COMPUTED_VALUE"""),"null")</f>
        <v>null</v>
      </c>
      <c r="X7132" s="33">
        <f>IFERROR(__xludf.DUMMYFUNCTION("""COMPUTED_VALUE"""),1.0)</f>
        <v>1</v>
      </c>
    </row>
    <row r="7133">
      <c r="K7133" s="4" t="str">
        <f>IFERROR(__xludf.DUMMYFUNCTION("""COMPUTED_VALUE"""),"GRUPO FAMOSA PIZZA")</f>
        <v>GRUPO FAMOSA PIZZA</v>
      </c>
      <c r="L7133" s="32">
        <f>IFERROR(__xludf.DUMMYFUNCTION("""COMPUTED_VALUE"""),2.0)</f>
        <v>2</v>
      </c>
      <c r="M7133" s="4" t="str">
        <f>IFERROR(__xludf.DUMMYFUNCTION("""COMPUTED_VALUE"""),"Ncr")</f>
        <v>Ncr</v>
      </c>
      <c r="N7133" s="33">
        <f>IFERROR(__xludf.DUMMYFUNCTION("""COMPUTED_VALUE"""),0.5)</f>
        <v>0.5</v>
      </c>
      <c r="O7133" s="4" t="str">
        <f>IFERROR(__xludf.DUMMYFUNCTION("""COMPUTED_VALUE"""),"Ncr")</f>
        <v>Ncr</v>
      </c>
      <c r="P7133" s="33">
        <f>IFERROR(__xludf.DUMMYFUNCTION("""COMPUTED_VALUE"""),0.5)</f>
        <v>0.5</v>
      </c>
      <c r="Q7133" s="4" t="str">
        <f>IFERROR(__xludf.DUMMYFUNCTION("""COMPUTED_VALUE"""),"Ncr")</f>
        <v>Ncr</v>
      </c>
      <c r="R7133" s="33">
        <f>IFERROR(__xludf.DUMMYFUNCTION("""COMPUTED_VALUE"""),1.0)</f>
        <v>1</v>
      </c>
      <c r="S7133" s="4" t="str">
        <f>IFERROR(__xludf.DUMMYFUNCTION("""COMPUTED_VALUE"""),"Ncr")</f>
        <v>Ncr</v>
      </c>
      <c r="T7133" s="33">
        <f>IFERROR(__xludf.DUMMYFUNCTION("""COMPUTED_VALUE"""),1.0)</f>
        <v>1</v>
      </c>
      <c r="U7133" s="4" t="str">
        <f>IFERROR(__xludf.DUMMYFUNCTION("""COMPUTED_VALUE"""),"Ncr")</f>
        <v>Ncr</v>
      </c>
      <c r="V7133" s="33">
        <f>IFERROR(__xludf.DUMMYFUNCTION("""COMPUTED_VALUE"""),1.0)</f>
        <v>1</v>
      </c>
      <c r="W7133" s="4" t="str">
        <f>IFERROR(__xludf.DUMMYFUNCTION("""COMPUTED_VALUE"""),"Ncr")</f>
        <v>Ncr</v>
      </c>
      <c r="X7133" s="33">
        <f>IFERROR(__xludf.DUMMYFUNCTION("""COMPUTED_VALUE"""),1.0)</f>
        <v>1</v>
      </c>
    </row>
    <row r="7134">
      <c r="K7134" s="4" t="str">
        <f>IFERROR(__xludf.DUMMYFUNCTION("""COMPUTED_VALUE"""),"GRUPO FEIJOADA")</f>
        <v>GRUPO FEIJOADA</v>
      </c>
      <c r="L7134" s="32">
        <f>IFERROR(__xludf.DUMMYFUNCTION("""COMPUTED_VALUE"""),2.0)</f>
        <v>2</v>
      </c>
      <c r="M7134" s="4" t="str">
        <f>IFERROR(__xludf.DUMMYFUNCTION("""COMPUTED_VALUE"""),"Saipos Serviços De Software")</f>
        <v>Saipos Serviços De Software</v>
      </c>
      <c r="N7134" s="33">
        <f>IFERROR(__xludf.DUMMYFUNCTION("""COMPUTED_VALUE"""),1.0)</f>
        <v>1</v>
      </c>
      <c r="O7134" s="4" t="str">
        <f>IFERROR(__xludf.DUMMYFUNCTION("""COMPUTED_VALUE"""),"Saipos Serviços De Software")</f>
        <v>Saipos Serviços De Software</v>
      </c>
      <c r="P7134" s="33">
        <f>IFERROR(__xludf.DUMMYFUNCTION("""COMPUTED_VALUE"""),1.0)</f>
        <v>1</v>
      </c>
      <c r="Q7134" s="4" t="str">
        <f>IFERROR(__xludf.DUMMYFUNCTION("""COMPUTED_VALUE"""),"Saipos Serviços De Software")</f>
        <v>Saipos Serviços De Software</v>
      </c>
      <c r="R7134" s="33">
        <f>IFERROR(__xludf.DUMMYFUNCTION("""COMPUTED_VALUE"""),1.0)</f>
        <v>1</v>
      </c>
      <c r="S7134" s="4" t="str">
        <f>IFERROR(__xludf.DUMMYFUNCTION("""COMPUTED_VALUE"""),"Saipos Serviços De Software")</f>
        <v>Saipos Serviços De Software</v>
      </c>
      <c r="T7134" s="33">
        <f>IFERROR(__xludf.DUMMYFUNCTION("""COMPUTED_VALUE"""),1.0)</f>
        <v>1</v>
      </c>
      <c r="U7134" s="4" t="str">
        <f>IFERROR(__xludf.DUMMYFUNCTION("""COMPUTED_VALUE"""),"Saipos Serviços De Software")</f>
        <v>Saipos Serviços De Software</v>
      </c>
      <c r="V7134" s="33">
        <f>IFERROR(__xludf.DUMMYFUNCTION("""COMPUTED_VALUE"""),1.0)</f>
        <v>1</v>
      </c>
      <c r="W7134" s="4" t="str">
        <f>IFERROR(__xludf.DUMMYFUNCTION("""COMPUTED_VALUE"""),"null")</f>
        <v>null</v>
      </c>
      <c r="X7134" s="33">
        <f>IFERROR(__xludf.DUMMYFUNCTION("""COMPUTED_VALUE"""),1.0)</f>
        <v>1</v>
      </c>
    </row>
    <row r="7135">
      <c r="K7135" s="4" t="str">
        <f>IFERROR(__xludf.DUMMYFUNCTION("""COMPUTED_VALUE"""),"GRUPO FELICITA COZINHA ITALIANA")</f>
        <v>GRUPO FELICITA COZINHA ITALIANA</v>
      </c>
      <c r="L7135" s="32">
        <f>IFERROR(__xludf.DUMMYFUNCTION("""COMPUTED_VALUE"""),2.0)</f>
        <v>2</v>
      </c>
      <c r="M7135" s="4" t="str">
        <f>IFERROR(__xludf.DUMMYFUNCTION("""COMPUTED_VALUE"""),"Ncr")</f>
        <v>Ncr</v>
      </c>
      <c r="N7135" s="33">
        <f>IFERROR(__xludf.DUMMYFUNCTION("""COMPUTED_VALUE"""),1.0)</f>
        <v>1</v>
      </c>
      <c r="O7135" s="4" t="str">
        <f>IFERROR(__xludf.DUMMYFUNCTION("""COMPUTED_VALUE"""),"Ncr")</f>
        <v>Ncr</v>
      </c>
      <c r="P7135" s="33">
        <f>IFERROR(__xludf.DUMMYFUNCTION("""COMPUTED_VALUE"""),1.0)</f>
        <v>1</v>
      </c>
      <c r="Q7135" s="4" t="str">
        <f>IFERROR(__xludf.DUMMYFUNCTION("""COMPUTED_VALUE"""),"Ncr")</f>
        <v>Ncr</v>
      </c>
      <c r="R7135" s="33">
        <f>IFERROR(__xludf.DUMMYFUNCTION("""COMPUTED_VALUE"""),1.0)</f>
        <v>1</v>
      </c>
      <c r="S7135" s="4" t="str">
        <f>IFERROR(__xludf.DUMMYFUNCTION("""COMPUTED_VALUE"""),"null")</f>
        <v>null</v>
      </c>
      <c r="T7135" s="33">
        <f>IFERROR(__xludf.DUMMYFUNCTION("""COMPUTED_VALUE"""),0.5)</f>
        <v>0.5</v>
      </c>
      <c r="U7135" s="4" t="str">
        <f>IFERROR(__xludf.DUMMYFUNCTION("""COMPUTED_VALUE"""),"null")</f>
        <v>null</v>
      </c>
      <c r="V7135" s="33">
        <f>IFERROR(__xludf.DUMMYFUNCTION("""COMPUTED_VALUE"""),0.5)</f>
        <v>0.5</v>
      </c>
      <c r="W7135" s="4" t="str">
        <f>IFERROR(__xludf.DUMMYFUNCTION("""COMPUTED_VALUE"""),"null")</f>
        <v>null</v>
      </c>
      <c r="X7135" s="33">
        <f>IFERROR(__xludf.DUMMYFUNCTION("""COMPUTED_VALUE"""),0.5)</f>
        <v>0.5</v>
      </c>
    </row>
    <row r="7136">
      <c r="K7136" s="4" t="str">
        <f>IFERROR(__xludf.DUMMYFUNCTION("""COMPUTED_VALUE"""),"GRUPO FEUDAL BURGUER")</f>
        <v>GRUPO FEUDAL BURGUER</v>
      </c>
      <c r="L7136" s="32">
        <f>IFERROR(__xludf.DUMMYFUNCTION("""COMPUTED_VALUE"""),2.0)</f>
        <v>2</v>
      </c>
      <c r="M7136" s="4" t="str">
        <f>IFERROR(__xludf.DUMMYFUNCTION("""COMPUTED_VALUE"""),"Saipos Serviços De Software")</f>
        <v>Saipos Serviços De Software</v>
      </c>
      <c r="N7136" s="33">
        <f>IFERROR(__xludf.DUMMYFUNCTION("""COMPUTED_VALUE"""),0.5)</f>
        <v>0.5</v>
      </c>
      <c r="O7136" s="4" t="str">
        <f>IFERROR(__xludf.DUMMYFUNCTION("""COMPUTED_VALUE"""),"Saipos Serviços De Software")</f>
        <v>Saipos Serviços De Software</v>
      </c>
      <c r="P7136" s="33">
        <f>IFERROR(__xludf.DUMMYFUNCTION("""COMPUTED_VALUE"""),0.5)</f>
        <v>0.5</v>
      </c>
      <c r="Q7136" s="4" t="str">
        <f>IFERROR(__xludf.DUMMYFUNCTION("""COMPUTED_VALUE"""),"Saipos Serviços De Software")</f>
        <v>Saipos Serviços De Software</v>
      </c>
      <c r="R7136" s="33">
        <f>IFERROR(__xludf.DUMMYFUNCTION("""COMPUTED_VALUE"""),0.5)</f>
        <v>0.5</v>
      </c>
      <c r="S7136" s="4" t="str">
        <f>IFERROR(__xludf.DUMMYFUNCTION("""COMPUTED_VALUE"""),"Saipos Serviços De Software")</f>
        <v>Saipos Serviços De Software</v>
      </c>
      <c r="T7136" s="33">
        <f>IFERROR(__xludf.DUMMYFUNCTION("""COMPUTED_VALUE"""),1.0)</f>
        <v>1</v>
      </c>
      <c r="U7136" s="4" t="str">
        <f>IFERROR(__xludf.DUMMYFUNCTION("""COMPUTED_VALUE"""),"Saipos Serviços De Software")</f>
        <v>Saipos Serviços De Software</v>
      </c>
      <c r="V7136" s="33">
        <f>IFERROR(__xludf.DUMMYFUNCTION("""COMPUTED_VALUE"""),1.0)</f>
        <v>1</v>
      </c>
      <c r="W7136" s="4" t="str">
        <f>IFERROR(__xludf.DUMMYFUNCTION("""COMPUTED_VALUE"""),"Saipos Serviços De Software")</f>
        <v>Saipos Serviços De Software</v>
      </c>
      <c r="X7136" s="33">
        <f>IFERROR(__xludf.DUMMYFUNCTION("""COMPUTED_VALUE"""),1.0)</f>
        <v>1</v>
      </c>
    </row>
    <row r="7137">
      <c r="K7137" s="4" t="str">
        <f>IFERROR(__xludf.DUMMYFUNCTION("""COMPUTED_VALUE"""),"GRUPO FIGUEIREDO")</f>
        <v>GRUPO FIGUEIREDO</v>
      </c>
      <c r="L7137" s="32">
        <f>IFERROR(__xludf.DUMMYFUNCTION("""COMPUTED_VALUE"""),2.0)</f>
        <v>2</v>
      </c>
      <c r="M7137" s="4" t="str">
        <f>IFERROR(__xludf.DUMMYFUNCTION("""COMPUTED_VALUE"""),"Solução Sistemas")</f>
        <v>Solução Sistemas</v>
      </c>
      <c r="N7137" s="33">
        <f>IFERROR(__xludf.DUMMYFUNCTION("""COMPUTED_VALUE"""),1.0)</f>
        <v>1</v>
      </c>
      <c r="O7137" s="4" t="str">
        <f>IFERROR(__xludf.DUMMYFUNCTION("""COMPUTED_VALUE"""),"Solução Sistemas")</f>
        <v>Solução Sistemas</v>
      </c>
      <c r="P7137" s="33">
        <f>IFERROR(__xludf.DUMMYFUNCTION("""COMPUTED_VALUE"""),1.0)</f>
        <v>1</v>
      </c>
      <c r="Q7137" s="4" t="str">
        <f>IFERROR(__xludf.DUMMYFUNCTION("""COMPUTED_VALUE"""),"Solução Sistemas")</f>
        <v>Solução Sistemas</v>
      </c>
      <c r="R7137" s="33">
        <f>IFERROR(__xludf.DUMMYFUNCTION("""COMPUTED_VALUE"""),1.0)</f>
        <v>1</v>
      </c>
      <c r="S7137" s="4" t="str">
        <f>IFERROR(__xludf.DUMMYFUNCTION("""COMPUTED_VALUE"""),"Solução Sistemas")</f>
        <v>Solução Sistemas</v>
      </c>
      <c r="T7137" s="33">
        <f>IFERROR(__xludf.DUMMYFUNCTION("""COMPUTED_VALUE"""),1.0)</f>
        <v>1</v>
      </c>
      <c r="U7137" s="4" t="str">
        <f>IFERROR(__xludf.DUMMYFUNCTION("""COMPUTED_VALUE"""),"Solução Sistemas")</f>
        <v>Solução Sistemas</v>
      </c>
      <c r="V7137" s="33">
        <f>IFERROR(__xludf.DUMMYFUNCTION("""COMPUTED_VALUE"""),1.0)</f>
        <v>1</v>
      </c>
      <c r="W7137" s="4" t="str">
        <f>IFERROR(__xludf.DUMMYFUNCTION("""COMPUTED_VALUE"""),"Solução Sistemas")</f>
        <v>Solução Sistemas</v>
      </c>
      <c r="X7137" s="33">
        <f>IFERROR(__xludf.DUMMYFUNCTION("""COMPUTED_VALUE"""),1.0)</f>
        <v>1</v>
      </c>
    </row>
    <row r="7138">
      <c r="K7138" s="4" t="str">
        <f>IFERROR(__xludf.DUMMYFUNCTION("""COMPUTED_VALUE"""),"GRUPO FIORELLA")</f>
        <v>GRUPO FIORELLA</v>
      </c>
      <c r="L7138" s="32">
        <f>IFERROR(__xludf.DUMMYFUNCTION("""COMPUTED_VALUE"""),2.0)</f>
        <v>2</v>
      </c>
      <c r="M7138" s="4" t="str">
        <f>IFERROR(__xludf.DUMMYFUNCTION("""COMPUTED_VALUE"""),"Beefood - Sistema Para Restaurantes")</f>
        <v>Beefood - Sistema Para Restaurantes</v>
      </c>
      <c r="N7138" s="33">
        <f>IFERROR(__xludf.DUMMYFUNCTION("""COMPUTED_VALUE"""),1.0)</f>
        <v>1</v>
      </c>
      <c r="O7138" s="4" t="str">
        <f>IFERROR(__xludf.DUMMYFUNCTION("""COMPUTED_VALUE"""),"null")</f>
        <v>null</v>
      </c>
      <c r="P7138" s="33">
        <f>IFERROR(__xludf.DUMMYFUNCTION("""COMPUTED_VALUE"""),0.5)</f>
        <v>0.5</v>
      </c>
      <c r="Q7138" s="4" t="str">
        <f>IFERROR(__xludf.DUMMYFUNCTION("""COMPUTED_VALUE"""),"Beefood - Sistema Para Restaurantes")</f>
        <v>Beefood - Sistema Para Restaurantes</v>
      </c>
      <c r="R7138" s="33">
        <f>IFERROR(__xludf.DUMMYFUNCTION("""COMPUTED_VALUE"""),1.0)</f>
        <v>1</v>
      </c>
      <c r="S7138" s="4" t="str">
        <f>IFERROR(__xludf.DUMMYFUNCTION("""COMPUTED_VALUE"""),"Beefood - Sistema Para Restaurantes")</f>
        <v>Beefood - Sistema Para Restaurantes</v>
      </c>
      <c r="T7138" s="33">
        <f>IFERROR(__xludf.DUMMYFUNCTION("""COMPUTED_VALUE"""),1.0)</f>
        <v>1</v>
      </c>
      <c r="U7138" s="4" t="str">
        <f>IFERROR(__xludf.DUMMYFUNCTION("""COMPUTED_VALUE"""),"Beefood - Sistema Para Restaurantes")</f>
        <v>Beefood - Sistema Para Restaurantes</v>
      </c>
      <c r="V7138" s="33">
        <f>IFERROR(__xludf.DUMMYFUNCTION("""COMPUTED_VALUE"""),1.0)</f>
        <v>1</v>
      </c>
      <c r="W7138" s="4" t="str">
        <f>IFERROR(__xludf.DUMMYFUNCTION("""COMPUTED_VALUE"""),"Beefood - Sistema Para Restaurantes")</f>
        <v>Beefood - Sistema Para Restaurantes</v>
      </c>
      <c r="X7138" s="33">
        <f>IFERROR(__xludf.DUMMYFUNCTION("""COMPUTED_VALUE"""),1.0)</f>
        <v>1</v>
      </c>
    </row>
    <row r="7139">
      <c r="K7139" s="4" t="str">
        <f>IFERROR(__xludf.DUMMYFUNCTION("""COMPUTED_VALUE"""),"GRUPO FRUTTIE ACAI")</f>
        <v>GRUPO FRUTTIE ACAI</v>
      </c>
      <c r="L7139" s="32">
        <f>IFERROR(__xludf.DUMMYFUNCTION("""COMPUTED_VALUE"""),2.0)</f>
        <v>2</v>
      </c>
      <c r="M7139" s="4" t="str">
        <f>IFERROR(__xludf.DUMMYFUNCTION("""COMPUTED_VALUE"""),"null")</f>
        <v>null</v>
      </c>
      <c r="N7139" s="33">
        <f>IFERROR(__xludf.DUMMYFUNCTION("""COMPUTED_VALUE"""),1.0)</f>
        <v>1</v>
      </c>
      <c r="O7139" s="4" t="str">
        <f>IFERROR(__xludf.DUMMYFUNCTION("""COMPUTED_VALUE"""),"Consumer Soluções Em Tecnologia Ltda")</f>
        <v>Consumer Soluções Em Tecnologia Ltda</v>
      </c>
      <c r="P7139" s="33">
        <f>IFERROR(__xludf.DUMMYFUNCTION("""COMPUTED_VALUE"""),0.5)</f>
        <v>0.5</v>
      </c>
      <c r="Q7139" s="4" t="str">
        <f>IFERROR(__xludf.DUMMYFUNCTION("""COMPUTED_VALUE"""),"null")</f>
        <v>null</v>
      </c>
      <c r="R7139" s="33">
        <f>IFERROR(__xludf.DUMMYFUNCTION("""COMPUTED_VALUE"""),0.5)</f>
        <v>0.5</v>
      </c>
      <c r="S7139" s="4" t="str">
        <f>IFERROR(__xludf.DUMMYFUNCTION("""COMPUTED_VALUE"""),"null")</f>
        <v>null</v>
      </c>
      <c r="T7139" s="33">
        <f>IFERROR(__xludf.DUMMYFUNCTION("""COMPUTED_VALUE"""),0.5)</f>
        <v>0.5</v>
      </c>
      <c r="U7139" s="4" t="str">
        <f>IFERROR(__xludf.DUMMYFUNCTION("""COMPUTED_VALUE"""),"Anota Ai Solucoes Digitais S/a")</f>
        <v>Anota Ai Solucoes Digitais S/a</v>
      </c>
      <c r="V7139" s="33">
        <f>IFERROR(__xludf.DUMMYFUNCTION("""COMPUTED_VALUE"""),1.0)</f>
        <v>1</v>
      </c>
      <c r="W7139" s="4" t="str">
        <f>IFERROR(__xludf.DUMMYFUNCTION("""COMPUTED_VALUE"""),"Anota Ai Solucoes Digitais S/a")</f>
        <v>Anota Ai Solucoes Digitais S/a</v>
      </c>
      <c r="X7139" s="33">
        <f>IFERROR(__xludf.DUMMYFUNCTION("""COMPUTED_VALUE"""),1.0)</f>
        <v>1</v>
      </c>
    </row>
    <row r="7140">
      <c r="K7140" s="4" t="str">
        <f>IFERROR(__xludf.DUMMYFUNCTION("""COMPUTED_VALUE"""),"GRUPO GENUINA")</f>
        <v>GRUPO GENUINA</v>
      </c>
      <c r="L7140" s="32">
        <f>IFERROR(__xludf.DUMMYFUNCTION("""COMPUTED_VALUE"""),2.0)</f>
        <v>2</v>
      </c>
      <c r="M7140" s="4" t="str">
        <f>IFERROR(__xludf.DUMMYFUNCTION("""COMPUTED_VALUE"""),"Solução Sistemas")</f>
        <v>Solução Sistemas</v>
      </c>
      <c r="N7140" s="33">
        <f>IFERROR(__xludf.DUMMYFUNCTION("""COMPUTED_VALUE"""),1.0)</f>
        <v>1</v>
      </c>
      <c r="O7140" s="4" t="str">
        <f>IFERROR(__xludf.DUMMYFUNCTION("""COMPUTED_VALUE"""),"Solução Sistemas")</f>
        <v>Solução Sistemas</v>
      </c>
      <c r="P7140" s="33">
        <f>IFERROR(__xludf.DUMMYFUNCTION("""COMPUTED_VALUE"""),0.5)</f>
        <v>0.5</v>
      </c>
      <c r="Q7140" s="4" t="str">
        <f>IFERROR(__xludf.DUMMYFUNCTION("""COMPUTED_VALUE"""),"null")</f>
        <v>null</v>
      </c>
      <c r="R7140" s="33">
        <f>IFERROR(__xludf.DUMMYFUNCTION("""COMPUTED_VALUE"""),1.0)</f>
        <v>1</v>
      </c>
      <c r="S7140" s="4" t="str">
        <f>IFERROR(__xludf.DUMMYFUNCTION("""COMPUTED_VALUE"""),"null")</f>
        <v>null</v>
      </c>
      <c r="T7140" s="33">
        <f>IFERROR(__xludf.DUMMYFUNCTION("""COMPUTED_VALUE"""),1.0)</f>
        <v>1</v>
      </c>
      <c r="U7140" s="4" t="str">
        <f>IFERROR(__xludf.DUMMYFUNCTION("""COMPUTED_VALUE"""),"Solução Sistemas")</f>
        <v>Solução Sistemas</v>
      </c>
      <c r="V7140" s="33">
        <f>IFERROR(__xludf.DUMMYFUNCTION("""COMPUTED_VALUE"""),1.0)</f>
        <v>1</v>
      </c>
      <c r="W7140" s="4" t="str">
        <f>IFERROR(__xludf.DUMMYFUNCTION("""COMPUTED_VALUE"""),"Solução Sistemas")</f>
        <v>Solução Sistemas</v>
      </c>
      <c r="X7140" s="33">
        <f>IFERROR(__xludf.DUMMYFUNCTION("""COMPUTED_VALUE"""),1.0)</f>
        <v>1</v>
      </c>
    </row>
    <row r="7141">
      <c r="K7141" s="4" t="str">
        <f>IFERROR(__xludf.DUMMYFUNCTION("""COMPUTED_VALUE"""),"GRUPO GLORIA")</f>
        <v>GRUPO GLORIA</v>
      </c>
      <c r="L7141" s="32">
        <f>IFERROR(__xludf.DUMMYFUNCTION("""COMPUTED_VALUE"""),2.0)</f>
        <v>2</v>
      </c>
      <c r="M7141" s="4" t="str">
        <f>IFERROR(__xludf.DUMMYFUNCTION("""COMPUTED_VALUE"""),"Teknisa Service Ltda")</f>
        <v>Teknisa Service Ltda</v>
      </c>
      <c r="N7141" s="33">
        <f>IFERROR(__xludf.DUMMYFUNCTION("""COMPUTED_VALUE"""),0.5)</f>
        <v>0.5</v>
      </c>
      <c r="O7141" s="4" t="str">
        <f>IFERROR(__xludf.DUMMYFUNCTION("""COMPUTED_VALUE"""),"Teknisa Service Ltda")</f>
        <v>Teknisa Service Ltda</v>
      </c>
      <c r="P7141" s="33">
        <f>IFERROR(__xludf.DUMMYFUNCTION("""COMPUTED_VALUE"""),0.5)</f>
        <v>0.5</v>
      </c>
      <c r="Q7141" s="4" t="str">
        <f>IFERROR(__xludf.DUMMYFUNCTION("""COMPUTED_VALUE"""),"Teknisa Service Ltda")</f>
        <v>Teknisa Service Ltda</v>
      </c>
      <c r="R7141" s="33">
        <f>IFERROR(__xludf.DUMMYFUNCTION("""COMPUTED_VALUE"""),0.5)</f>
        <v>0.5</v>
      </c>
      <c r="S7141" s="4" t="str">
        <f>IFERROR(__xludf.DUMMYFUNCTION("""COMPUTED_VALUE"""),"Teknisa Service Ltda")</f>
        <v>Teknisa Service Ltda</v>
      </c>
      <c r="T7141" s="33">
        <f>IFERROR(__xludf.DUMMYFUNCTION("""COMPUTED_VALUE"""),1.0)</f>
        <v>1</v>
      </c>
      <c r="U7141" s="4" t="str">
        <f>IFERROR(__xludf.DUMMYFUNCTION("""COMPUTED_VALUE"""),"null")</f>
        <v>null</v>
      </c>
      <c r="V7141" s="33">
        <f>IFERROR(__xludf.DUMMYFUNCTION("""COMPUTED_VALUE"""),1.0)</f>
        <v>1</v>
      </c>
      <c r="W7141" s="4" t="str">
        <f>IFERROR(__xludf.DUMMYFUNCTION("""COMPUTED_VALUE"""),"Teknisa Service Ltda")</f>
        <v>Teknisa Service Ltda</v>
      </c>
      <c r="X7141" s="33">
        <f>IFERROR(__xludf.DUMMYFUNCTION("""COMPUTED_VALUE"""),0.5)</f>
        <v>0.5</v>
      </c>
    </row>
    <row r="7142">
      <c r="K7142" s="4" t="str">
        <f>IFERROR(__xludf.DUMMYFUNCTION("""COMPUTED_VALUE"""),"GRUPO GR GRILL")</f>
        <v>GRUPO GR GRILL</v>
      </c>
      <c r="L7142" s="32">
        <f>IFERROR(__xludf.DUMMYFUNCTION("""COMPUTED_VALUE"""),2.0)</f>
        <v>2</v>
      </c>
      <c r="M7142" s="4" t="str">
        <f>IFERROR(__xludf.DUMMYFUNCTION("""COMPUTED_VALUE"""),"Cardápio Web")</f>
        <v>Cardápio Web</v>
      </c>
      <c r="N7142" s="33">
        <f>IFERROR(__xludf.DUMMYFUNCTION("""COMPUTED_VALUE"""),1.0)</f>
        <v>1</v>
      </c>
      <c r="O7142" s="4" t="str">
        <f>IFERROR(__xludf.DUMMYFUNCTION("""COMPUTED_VALUE"""),"Cardápio Web")</f>
        <v>Cardápio Web</v>
      </c>
      <c r="P7142" s="33">
        <f>IFERROR(__xludf.DUMMYFUNCTION("""COMPUTED_VALUE"""),1.0)</f>
        <v>1</v>
      </c>
      <c r="Q7142" s="4" t="str">
        <f>IFERROR(__xludf.DUMMYFUNCTION("""COMPUTED_VALUE"""),"Cardápio Web")</f>
        <v>Cardápio Web</v>
      </c>
      <c r="R7142" s="33">
        <f>IFERROR(__xludf.DUMMYFUNCTION("""COMPUTED_VALUE"""),1.0)</f>
        <v>1</v>
      </c>
      <c r="S7142" s="4" t="str">
        <f>IFERROR(__xludf.DUMMYFUNCTION("""COMPUTED_VALUE"""),"Cardápio Web")</f>
        <v>Cardápio Web</v>
      </c>
      <c r="T7142" s="33">
        <f>IFERROR(__xludf.DUMMYFUNCTION("""COMPUTED_VALUE"""),0.5)</f>
        <v>0.5</v>
      </c>
      <c r="U7142" s="4" t="str">
        <f>IFERROR(__xludf.DUMMYFUNCTION("""COMPUTED_VALUE"""),"Cardápio Web")</f>
        <v>Cardápio Web</v>
      </c>
      <c r="V7142" s="33">
        <f>IFERROR(__xludf.DUMMYFUNCTION("""COMPUTED_VALUE"""),0.5)</f>
        <v>0.5</v>
      </c>
      <c r="W7142" s="4" t="str">
        <f>IFERROR(__xludf.DUMMYFUNCTION("""COMPUTED_VALUE"""),"Cardápio Web")</f>
        <v>Cardápio Web</v>
      </c>
      <c r="X7142" s="33">
        <f>IFERROR(__xludf.DUMMYFUNCTION("""COMPUTED_VALUE"""),0.5)</f>
        <v>0.5</v>
      </c>
    </row>
    <row r="7143">
      <c r="K7143" s="4" t="str">
        <f>IFERROR(__xludf.DUMMYFUNCTION("""COMPUTED_VALUE"""),"GRUPO GREGO BAIANO")</f>
        <v>GRUPO GREGO BAIANO</v>
      </c>
      <c r="L7143" s="32">
        <f>IFERROR(__xludf.DUMMYFUNCTION("""COMPUTED_VALUE"""),2.0)</f>
        <v>2</v>
      </c>
      <c r="M7143" s="4" t="str">
        <f>IFERROR(__xludf.DUMMYFUNCTION("""COMPUTED_VALUE"""),"Mp Multipedidos")</f>
        <v>Mp Multipedidos</v>
      </c>
      <c r="N7143" s="33">
        <f>IFERROR(__xludf.DUMMYFUNCTION("""COMPUTED_VALUE"""),1.0)</f>
        <v>1</v>
      </c>
      <c r="O7143" s="4" t="str">
        <f>IFERROR(__xludf.DUMMYFUNCTION("""COMPUTED_VALUE"""),"Mp Multipedidos")</f>
        <v>Mp Multipedidos</v>
      </c>
      <c r="P7143" s="33">
        <f>IFERROR(__xludf.DUMMYFUNCTION("""COMPUTED_VALUE"""),1.0)</f>
        <v>1</v>
      </c>
      <c r="Q7143" s="4" t="str">
        <f>IFERROR(__xludf.DUMMYFUNCTION("""COMPUTED_VALUE"""),"Mp Multipedidos")</f>
        <v>Mp Multipedidos</v>
      </c>
      <c r="R7143" s="33">
        <f>IFERROR(__xludf.DUMMYFUNCTION("""COMPUTED_VALUE"""),1.0)</f>
        <v>1</v>
      </c>
      <c r="S7143" s="4" t="str">
        <f>IFERROR(__xludf.DUMMYFUNCTION("""COMPUTED_VALUE"""),"Mp Multipedidos")</f>
        <v>Mp Multipedidos</v>
      </c>
      <c r="T7143" s="33">
        <f>IFERROR(__xludf.DUMMYFUNCTION("""COMPUTED_VALUE"""),1.0)</f>
        <v>1</v>
      </c>
      <c r="U7143" s="4" t="str">
        <f>IFERROR(__xludf.DUMMYFUNCTION("""COMPUTED_VALUE"""),"Mp Multipedidos")</f>
        <v>Mp Multipedidos</v>
      </c>
      <c r="V7143" s="33">
        <f>IFERROR(__xludf.DUMMYFUNCTION("""COMPUTED_VALUE"""),1.0)</f>
        <v>1</v>
      </c>
      <c r="W7143" s="4" t="str">
        <f>IFERROR(__xludf.DUMMYFUNCTION("""COMPUTED_VALUE"""),"Mp Multipedidos")</f>
        <v>Mp Multipedidos</v>
      </c>
      <c r="X7143" s="33">
        <f>IFERROR(__xludf.DUMMYFUNCTION("""COMPUTED_VALUE"""),1.0)</f>
        <v>1</v>
      </c>
    </row>
    <row r="7144">
      <c r="K7144" s="4" t="str">
        <f>IFERROR(__xludf.DUMMYFUNCTION("""COMPUTED_VALUE"""),"PECCATO DI SAPORE")</f>
        <v>PECCATO DI SAPORE</v>
      </c>
      <c r="L7144" s="32">
        <f>IFERROR(__xludf.DUMMYFUNCTION("""COMPUTED_VALUE"""),2.0)</f>
        <v>2</v>
      </c>
      <c r="M7144" s="4" t="str">
        <f>IFERROR(__xludf.DUMMYFUNCTION("""COMPUTED_VALUE"""),"Cardápio Web")</f>
        <v>Cardápio Web</v>
      </c>
      <c r="N7144" s="33">
        <f>IFERROR(__xludf.DUMMYFUNCTION("""COMPUTED_VALUE"""),0.5)</f>
        <v>0.5</v>
      </c>
      <c r="O7144" s="4" t="str">
        <f>IFERROR(__xludf.DUMMYFUNCTION("""COMPUTED_VALUE"""),"Cardápio Web")</f>
        <v>Cardápio Web</v>
      </c>
      <c r="P7144" s="33">
        <f>IFERROR(__xludf.DUMMYFUNCTION("""COMPUTED_VALUE"""),1.0)</f>
        <v>1</v>
      </c>
      <c r="Q7144" s="4" t="str">
        <f>IFERROR(__xludf.DUMMYFUNCTION("""COMPUTED_VALUE"""),"Cardápio Web")</f>
        <v>Cardápio Web</v>
      </c>
      <c r="R7144" s="33">
        <f>IFERROR(__xludf.DUMMYFUNCTION("""COMPUTED_VALUE"""),1.0)</f>
        <v>1</v>
      </c>
      <c r="S7144" s="4" t="str">
        <f>IFERROR(__xludf.DUMMYFUNCTION("""COMPUTED_VALUE"""),"Cardápio Web")</f>
        <v>Cardápio Web</v>
      </c>
      <c r="T7144" s="33">
        <f>IFERROR(__xludf.DUMMYFUNCTION("""COMPUTED_VALUE"""),1.0)</f>
        <v>1</v>
      </c>
      <c r="U7144" s="4" t="str">
        <f>IFERROR(__xludf.DUMMYFUNCTION("""COMPUTED_VALUE"""),"Cardápio Web")</f>
        <v>Cardápio Web</v>
      </c>
      <c r="V7144" s="33">
        <f>IFERROR(__xludf.DUMMYFUNCTION("""COMPUTED_VALUE"""),1.0)</f>
        <v>1</v>
      </c>
      <c r="W7144" s="4" t="str">
        <f>IFERROR(__xludf.DUMMYFUNCTION("""COMPUTED_VALUE"""),"Cardápio Web")</f>
        <v>Cardápio Web</v>
      </c>
      <c r="X7144" s="33">
        <f>IFERROR(__xludf.DUMMYFUNCTION("""COMPUTED_VALUE"""),1.0)</f>
        <v>1</v>
      </c>
    </row>
    <row r="7145">
      <c r="K7145" s="4" t="str">
        <f>IFERROR(__xludf.DUMMYFUNCTION("""COMPUTED_VALUE"""),"GRUPO HOLANDESA")</f>
        <v>GRUPO HOLANDESA</v>
      </c>
      <c r="L7145" s="32">
        <f>IFERROR(__xludf.DUMMYFUNCTION("""COMPUTED_VALUE"""),2.0)</f>
        <v>2</v>
      </c>
      <c r="M7145" s="4" t="str">
        <f>IFERROR(__xludf.DUMMYFUNCTION("""COMPUTED_VALUE"""),"null")</f>
        <v>null</v>
      </c>
      <c r="N7145" s="33">
        <f>IFERROR(__xludf.DUMMYFUNCTION("""COMPUTED_VALUE"""),0.5)</f>
        <v>0.5</v>
      </c>
      <c r="O7145" s="4" t="str">
        <f>IFERROR(__xludf.DUMMYFUNCTION("""COMPUTED_VALUE"""),"null")</f>
        <v>null</v>
      </c>
      <c r="P7145" s="33">
        <f>IFERROR(__xludf.DUMMYFUNCTION("""COMPUTED_VALUE"""),0.5)</f>
        <v>0.5</v>
      </c>
      <c r="Q7145" s="4" t="str">
        <f>IFERROR(__xludf.DUMMYFUNCTION("""COMPUTED_VALUE"""),"null")</f>
        <v>null</v>
      </c>
      <c r="R7145" s="33">
        <f>IFERROR(__xludf.DUMMYFUNCTION("""COMPUTED_VALUE"""),0.5)</f>
        <v>0.5</v>
      </c>
      <c r="S7145" s="4" t="str">
        <f>IFERROR(__xludf.DUMMYFUNCTION("""COMPUTED_VALUE"""),"null")</f>
        <v>null</v>
      </c>
      <c r="T7145" s="33">
        <f>IFERROR(__xludf.DUMMYFUNCTION("""COMPUTED_VALUE"""),0.5)</f>
        <v>0.5</v>
      </c>
      <c r="U7145" s="4" t="str">
        <f>IFERROR(__xludf.DUMMYFUNCTION("""COMPUTED_VALUE"""),"Sagres Automação Comercial")</f>
        <v>Sagres Automação Comercial</v>
      </c>
      <c r="V7145" s="33">
        <f>IFERROR(__xludf.DUMMYFUNCTION("""COMPUTED_VALUE"""),1.0)</f>
        <v>1</v>
      </c>
      <c r="W7145" s="4" t="str">
        <f>IFERROR(__xludf.DUMMYFUNCTION("""COMPUTED_VALUE"""),"null")</f>
        <v>null</v>
      </c>
      <c r="X7145" s="33">
        <f>IFERROR(__xludf.DUMMYFUNCTION("""COMPUTED_VALUE"""),0.5)</f>
        <v>0.5</v>
      </c>
    </row>
    <row r="7146">
      <c r="K7146" s="4" t="str">
        <f>IFERROR(__xludf.DUMMYFUNCTION("""COMPUTED_VALUE"""),"GRUPO HYPE")</f>
        <v>GRUPO HYPE</v>
      </c>
      <c r="L7146" s="32">
        <f>IFERROR(__xludf.DUMMYFUNCTION("""COMPUTED_VALUE"""),2.0)</f>
        <v>2</v>
      </c>
      <c r="M7146" s="4" t="str">
        <f>IFERROR(__xludf.DUMMYFUNCTION("""COMPUTED_VALUE"""),"Cardápio Web")</f>
        <v>Cardápio Web</v>
      </c>
      <c r="N7146" s="33">
        <f>IFERROR(__xludf.DUMMYFUNCTION("""COMPUTED_VALUE"""),0.5)</f>
        <v>0.5</v>
      </c>
      <c r="O7146" s="4" t="str">
        <f>IFERROR(__xludf.DUMMYFUNCTION("""COMPUTED_VALUE"""),"Cardápio Web")</f>
        <v>Cardápio Web</v>
      </c>
      <c r="P7146" s="33">
        <f>IFERROR(__xludf.DUMMYFUNCTION("""COMPUTED_VALUE"""),0.5)</f>
        <v>0.5</v>
      </c>
      <c r="Q7146" s="4" t="str">
        <f>IFERROR(__xludf.DUMMYFUNCTION("""COMPUTED_VALUE"""),"Cardápio Web")</f>
        <v>Cardápio Web</v>
      </c>
      <c r="R7146" s="33">
        <f>IFERROR(__xludf.DUMMYFUNCTION("""COMPUTED_VALUE"""),0.5)</f>
        <v>0.5</v>
      </c>
      <c r="S7146" s="4" t="str">
        <f>IFERROR(__xludf.DUMMYFUNCTION("""COMPUTED_VALUE"""),"Cardápio Web")</f>
        <v>Cardápio Web</v>
      </c>
      <c r="T7146" s="33">
        <f>IFERROR(__xludf.DUMMYFUNCTION("""COMPUTED_VALUE"""),0.5)</f>
        <v>0.5</v>
      </c>
      <c r="U7146" s="4" t="str">
        <f>IFERROR(__xludf.DUMMYFUNCTION("""COMPUTED_VALUE"""),"Cardápio Web")</f>
        <v>Cardápio Web</v>
      </c>
      <c r="V7146" s="33">
        <f>IFERROR(__xludf.DUMMYFUNCTION("""COMPUTED_VALUE"""),0.5)</f>
        <v>0.5</v>
      </c>
      <c r="W7146" s="4" t="str">
        <f>IFERROR(__xludf.DUMMYFUNCTION("""COMPUTED_VALUE"""),"Cardápio Web")</f>
        <v>Cardápio Web</v>
      </c>
      <c r="X7146" s="33">
        <f>IFERROR(__xludf.DUMMYFUNCTION("""COMPUTED_VALUE"""),0.5)</f>
        <v>0.5</v>
      </c>
    </row>
    <row r="7147">
      <c r="K7147" s="4" t="str">
        <f>IFERROR(__xludf.DUMMYFUNCTION("""COMPUTED_VALUE"""),"GRUPO ICHIBAN")</f>
        <v>GRUPO ICHIBAN</v>
      </c>
      <c r="L7147" s="32">
        <f>IFERROR(__xludf.DUMMYFUNCTION("""COMPUTED_VALUE"""),2.0)</f>
        <v>2</v>
      </c>
      <c r="M7147" s="4" t="str">
        <f>IFERROR(__xludf.DUMMYFUNCTION("""COMPUTED_VALUE"""),"Consumer Soluções Em Tecnologia Ltda")</f>
        <v>Consumer Soluções Em Tecnologia Ltda</v>
      </c>
      <c r="N7147" s="33">
        <f>IFERROR(__xludf.DUMMYFUNCTION("""COMPUTED_VALUE"""),1.0)</f>
        <v>1</v>
      </c>
      <c r="O7147" s="4" t="str">
        <f>IFERROR(__xludf.DUMMYFUNCTION("""COMPUTED_VALUE"""),"Consumer Soluções Em Tecnologia Ltda")</f>
        <v>Consumer Soluções Em Tecnologia Ltda</v>
      </c>
      <c r="P7147" s="33">
        <f>IFERROR(__xludf.DUMMYFUNCTION("""COMPUTED_VALUE"""),1.0)</f>
        <v>1</v>
      </c>
      <c r="Q7147" s="4" t="str">
        <f>IFERROR(__xludf.DUMMYFUNCTION("""COMPUTED_VALUE"""),"Consumer Soluções Em Tecnologia Ltda")</f>
        <v>Consumer Soluções Em Tecnologia Ltda</v>
      </c>
      <c r="R7147" s="33">
        <f>IFERROR(__xludf.DUMMYFUNCTION("""COMPUTED_VALUE"""),1.0)</f>
        <v>1</v>
      </c>
      <c r="S7147" s="4" t="str">
        <f>IFERROR(__xludf.DUMMYFUNCTION("""COMPUTED_VALUE"""),"Consumer Soluções Em Tecnologia Ltda")</f>
        <v>Consumer Soluções Em Tecnologia Ltda</v>
      </c>
      <c r="T7147" s="33">
        <f>IFERROR(__xludf.DUMMYFUNCTION("""COMPUTED_VALUE"""),1.0)</f>
        <v>1</v>
      </c>
      <c r="U7147" s="4" t="str">
        <f>IFERROR(__xludf.DUMMYFUNCTION("""COMPUTED_VALUE"""),"Consumer Soluções Em Tecnologia Ltda")</f>
        <v>Consumer Soluções Em Tecnologia Ltda</v>
      </c>
      <c r="V7147" s="33">
        <f>IFERROR(__xludf.DUMMYFUNCTION("""COMPUTED_VALUE"""),1.0)</f>
        <v>1</v>
      </c>
      <c r="W7147" s="4" t="str">
        <f>IFERROR(__xludf.DUMMYFUNCTION("""COMPUTED_VALUE"""),"Consumer Soluções Em Tecnologia Ltda")</f>
        <v>Consumer Soluções Em Tecnologia Ltda</v>
      </c>
      <c r="X7147" s="33">
        <f>IFERROR(__xludf.DUMMYFUNCTION("""COMPUTED_VALUE"""),1.0)</f>
        <v>1</v>
      </c>
    </row>
    <row r="7148">
      <c r="K7148" s="4" t="str">
        <f>IFERROR(__xludf.DUMMYFUNCTION("""COMPUTED_VALUE"""),"GRUPO IN BRASA BURGUER")</f>
        <v>GRUPO IN BRASA BURGUER</v>
      </c>
      <c r="L7148" s="32">
        <f>IFERROR(__xludf.DUMMYFUNCTION("""COMPUTED_VALUE"""),2.0)</f>
        <v>2</v>
      </c>
      <c r="M7148" s="4" t="str">
        <f>IFERROR(__xludf.DUMMYFUNCTION("""COMPUTED_VALUE"""),"Cardápio Web")</f>
        <v>Cardápio Web</v>
      </c>
      <c r="N7148" s="33">
        <f>IFERROR(__xludf.DUMMYFUNCTION("""COMPUTED_VALUE"""),1.0)</f>
        <v>1</v>
      </c>
      <c r="O7148" s="4" t="str">
        <f>IFERROR(__xludf.DUMMYFUNCTION("""COMPUTED_VALUE"""),"Cardápio Web")</f>
        <v>Cardápio Web</v>
      </c>
      <c r="P7148" s="33">
        <f>IFERROR(__xludf.DUMMYFUNCTION("""COMPUTED_VALUE"""),1.0)</f>
        <v>1</v>
      </c>
      <c r="Q7148" s="4" t="str">
        <f>IFERROR(__xludf.DUMMYFUNCTION("""COMPUTED_VALUE"""),"Cardápio Web")</f>
        <v>Cardápio Web</v>
      </c>
      <c r="R7148" s="33">
        <f>IFERROR(__xludf.DUMMYFUNCTION("""COMPUTED_VALUE"""),1.0)</f>
        <v>1</v>
      </c>
      <c r="S7148" s="4" t="str">
        <f>IFERROR(__xludf.DUMMYFUNCTION("""COMPUTED_VALUE"""),"Cardápio Web")</f>
        <v>Cardápio Web</v>
      </c>
      <c r="T7148" s="33">
        <f>IFERROR(__xludf.DUMMYFUNCTION("""COMPUTED_VALUE"""),1.0)</f>
        <v>1</v>
      </c>
      <c r="U7148" s="4" t="str">
        <f>IFERROR(__xludf.DUMMYFUNCTION("""COMPUTED_VALUE"""),"Cardápio Web")</f>
        <v>Cardápio Web</v>
      </c>
      <c r="V7148" s="33">
        <f>IFERROR(__xludf.DUMMYFUNCTION("""COMPUTED_VALUE"""),1.0)</f>
        <v>1</v>
      </c>
      <c r="W7148" s="4" t="str">
        <f>IFERROR(__xludf.DUMMYFUNCTION("""COMPUTED_VALUE"""),"Cardápio Web")</f>
        <v>Cardápio Web</v>
      </c>
      <c r="X7148" s="33">
        <f>IFERROR(__xludf.DUMMYFUNCTION("""COMPUTED_VALUE"""),1.0)</f>
        <v>1</v>
      </c>
    </row>
    <row r="7149">
      <c r="K7149" s="4" t="str">
        <f>IFERROR(__xludf.DUMMYFUNCTION("""COMPUTED_VALUE"""),"GRUPO ITS FRANGO")</f>
        <v>GRUPO ITS FRANGO</v>
      </c>
      <c r="L7149" s="32">
        <f>IFERROR(__xludf.DUMMYFUNCTION("""COMPUTED_VALUE"""),2.0)</f>
        <v>2</v>
      </c>
      <c r="M7149" s="4" t="str">
        <f>IFERROR(__xludf.DUMMYFUNCTION("""COMPUTED_VALUE"""),"Saipos Serviços De Software")</f>
        <v>Saipos Serviços De Software</v>
      </c>
      <c r="N7149" s="33">
        <f>IFERROR(__xludf.DUMMYFUNCTION("""COMPUTED_VALUE"""),1.0)</f>
        <v>1</v>
      </c>
      <c r="O7149" s="4" t="str">
        <f>IFERROR(__xludf.DUMMYFUNCTION("""COMPUTED_VALUE"""),"Saipos Serviços De Software")</f>
        <v>Saipos Serviços De Software</v>
      </c>
      <c r="P7149" s="33">
        <f>IFERROR(__xludf.DUMMYFUNCTION("""COMPUTED_VALUE"""),1.0)</f>
        <v>1</v>
      </c>
      <c r="Q7149" s="4" t="str">
        <f>IFERROR(__xludf.DUMMYFUNCTION("""COMPUTED_VALUE"""),"Saipos Serviços De Software")</f>
        <v>Saipos Serviços De Software</v>
      </c>
      <c r="R7149" s="33">
        <f>IFERROR(__xludf.DUMMYFUNCTION("""COMPUTED_VALUE"""),1.0)</f>
        <v>1</v>
      </c>
      <c r="S7149" s="4" t="str">
        <f>IFERROR(__xludf.DUMMYFUNCTION("""COMPUTED_VALUE"""),"Saipos Serviços De Software")</f>
        <v>Saipos Serviços De Software</v>
      </c>
      <c r="T7149" s="33">
        <f>IFERROR(__xludf.DUMMYFUNCTION("""COMPUTED_VALUE"""),1.0)</f>
        <v>1</v>
      </c>
      <c r="U7149" s="4" t="str">
        <f>IFERROR(__xludf.DUMMYFUNCTION("""COMPUTED_VALUE"""),"Saipos Serviços De Software")</f>
        <v>Saipos Serviços De Software</v>
      </c>
      <c r="V7149" s="33">
        <f>IFERROR(__xludf.DUMMYFUNCTION("""COMPUTED_VALUE"""),1.0)</f>
        <v>1</v>
      </c>
      <c r="W7149" s="4" t="str">
        <f>IFERROR(__xludf.DUMMYFUNCTION("""COMPUTED_VALUE"""),"Saipos Serviços De Software")</f>
        <v>Saipos Serviços De Software</v>
      </c>
      <c r="X7149" s="33">
        <f>IFERROR(__xludf.DUMMYFUNCTION("""COMPUTED_VALUE"""),1.0)</f>
        <v>1</v>
      </c>
    </row>
    <row r="7150">
      <c r="K7150" s="4" t="str">
        <f>IFERROR(__xludf.DUMMYFUNCTION("""COMPUTED_VALUE"""),"GRUPO JANAINA")</f>
        <v>GRUPO JANAINA</v>
      </c>
      <c r="L7150" s="32">
        <f>IFERROR(__xludf.DUMMYFUNCTION("""COMPUTED_VALUE"""),2.0)</f>
        <v>2</v>
      </c>
      <c r="M7150" s="4" t="str">
        <f>IFERROR(__xludf.DUMMYFUNCTION("""COMPUTED_VALUE"""),"Teknisa Service Ltda")</f>
        <v>Teknisa Service Ltda</v>
      </c>
      <c r="N7150" s="33">
        <f>IFERROR(__xludf.DUMMYFUNCTION("""COMPUTED_VALUE"""),1.0)</f>
        <v>1</v>
      </c>
      <c r="O7150" s="4" t="str">
        <f>IFERROR(__xludf.DUMMYFUNCTION("""COMPUTED_VALUE"""),"Teknisa Service Ltda")</f>
        <v>Teknisa Service Ltda</v>
      </c>
      <c r="P7150" s="33">
        <f>IFERROR(__xludf.DUMMYFUNCTION("""COMPUTED_VALUE"""),1.0)</f>
        <v>1</v>
      </c>
      <c r="Q7150" s="4" t="str">
        <f>IFERROR(__xludf.DUMMYFUNCTION("""COMPUTED_VALUE"""),"Teknisa Service Ltda")</f>
        <v>Teknisa Service Ltda</v>
      </c>
      <c r="R7150" s="33">
        <f>IFERROR(__xludf.DUMMYFUNCTION("""COMPUTED_VALUE"""),1.0)</f>
        <v>1</v>
      </c>
      <c r="S7150" s="4" t="str">
        <f>IFERROR(__xludf.DUMMYFUNCTION("""COMPUTED_VALUE"""),"null")</f>
        <v>null</v>
      </c>
      <c r="T7150" s="33">
        <f>IFERROR(__xludf.DUMMYFUNCTION("""COMPUTED_VALUE"""),0.5)</f>
        <v>0.5</v>
      </c>
      <c r="U7150" s="4" t="str">
        <f>IFERROR(__xludf.DUMMYFUNCTION("""COMPUTED_VALUE"""),"Teknisa Service Ltda")</f>
        <v>Teknisa Service Ltda</v>
      </c>
      <c r="V7150" s="33">
        <f>IFERROR(__xludf.DUMMYFUNCTION("""COMPUTED_VALUE"""),1.0)</f>
        <v>1</v>
      </c>
      <c r="W7150" s="4" t="str">
        <f>IFERROR(__xludf.DUMMYFUNCTION("""COMPUTED_VALUE"""),"Teknisa Service Ltda")</f>
        <v>Teknisa Service Ltda</v>
      </c>
      <c r="X7150" s="33">
        <f>IFERROR(__xludf.DUMMYFUNCTION("""COMPUTED_VALUE"""),1.0)</f>
        <v>1</v>
      </c>
    </row>
    <row r="7151">
      <c r="K7151" s="4" t="str">
        <f>IFERROR(__xludf.DUMMYFUNCTION("""COMPUTED_VALUE"""),"GRUPO KANPAI")</f>
        <v>GRUPO KANPAI</v>
      </c>
      <c r="L7151" s="32">
        <f>IFERROR(__xludf.DUMMYFUNCTION("""COMPUTED_VALUE"""),2.0)</f>
        <v>2</v>
      </c>
      <c r="M7151" s="4" t="str">
        <f>IFERROR(__xludf.DUMMYFUNCTION("""COMPUTED_VALUE"""),"Vuca Solution")</f>
        <v>Vuca Solution</v>
      </c>
      <c r="N7151" s="33">
        <f>IFERROR(__xludf.DUMMYFUNCTION("""COMPUTED_VALUE"""),1.0)</f>
        <v>1</v>
      </c>
      <c r="O7151" s="4" t="str">
        <f>IFERROR(__xludf.DUMMYFUNCTION("""COMPUTED_VALUE"""),"Vuca Solution")</f>
        <v>Vuca Solution</v>
      </c>
      <c r="P7151" s="33">
        <f>IFERROR(__xludf.DUMMYFUNCTION("""COMPUTED_VALUE"""),1.0)</f>
        <v>1</v>
      </c>
      <c r="Q7151" s="4" t="str">
        <f>IFERROR(__xludf.DUMMYFUNCTION("""COMPUTED_VALUE"""),"Vuca Solution")</f>
        <v>Vuca Solution</v>
      </c>
      <c r="R7151" s="33">
        <f>IFERROR(__xludf.DUMMYFUNCTION("""COMPUTED_VALUE"""),1.0)</f>
        <v>1</v>
      </c>
      <c r="S7151" s="4" t="str">
        <f>IFERROR(__xludf.DUMMYFUNCTION("""COMPUTED_VALUE"""),"Vuca Solution")</f>
        <v>Vuca Solution</v>
      </c>
      <c r="T7151" s="33">
        <f>IFERROR(__xludf.DUMMYFUNCTION("""COMPUTED_VALUE"""),1.0)</f>
        <v>1</v>
      </c>
      <c r="U7151" s="4" t="str">
        <f>IFERROR(__xludf.DUMMYFUNCTION("""COMPUTED_VALUE"""),"Vuca Solution")</f>
        <v>Vuca Solution</v>
      </c>
      <c r="V7151" s="33">
        <f>IFERROR(__xludf.DUMMYFUNCTION("""COMPUTED_VALUE"""),1.0)</f>
        <v>1</v>
      </c>
      <c r="W7151" s="4" t="str">
        <f>IFERROR(__xludf.DUMMYFUNCTION("""COMPUTED_VALUE"""),"Vuca Solution")</f>
        <v>Vuca Solution</v>
      </c>
      <c r="X7151" s="33">
        <f>IFERROR(__xludf.DUMMYFUNCTION("""COMPUTED_VALUE"""),1.0)</f>
        <v>1</v>
      </c>
    </row>
    <row r="7152">
      <c r="K7152" s="4" t="str">
        <f>IFERROR(__xludf.DUMMYFUNCTION("""COMPUTED_VALUE"""),"GRUPO KAUAI")</f>
        <v>GRUPO KAUAI</v>
      </c>
      <c r="L7152" s="32">
        <f>IFERROR(__xludf.DUMMYFUNCTION("""COMPUTED_VALUE"""),2.0)</f>
        <v>2</v>
      </c>
      <c r="M7152" s="4" t="str">
        <f>IFERROR(__xludf.DUMMYFUNCTION("""COMPUTED_VALUE"""),"Anota Ai Solucoes Digitais S/a")</f>
        <v>Anota Ai Solucoes Digitais S/a</v>
      </c>
      <c r="N7152" s="33">
        <f>IFERROR(__xludf.DUMMYFUNCTION("""COMPUTED_VALUE"""),0.5)</f>
        <v>0.5</v>
      </c>
      <c r="O7152" s="4" t="str">
        <f>IFERROR(__xludf.DUMMYFUNCTION("""COMPUTED_VALUE"""),"Anota Ai Solucoes Digitais S/a")</f>
        <v>Anota Ai Solucoes Digitais S/a</v>
      </c>
      <c r="P7152" s="33">
        <f>IFERROR(__xludf.DUMMYFUNCTION("""COMPUTED_VALUE"""),0.5)</f>
        <v>0.5</v>
      </c>
      <c r="Q7152" s="4" t="str">
        <f>IFERROR(__xludf.DUMMYFUNCTION("""COMPUTED_VALUE"""),"Anota Ai Solucoes Digitais S/a")</f>
        <v>Anota Ai Solucoes Digitais S/a</v>
      </c>
      <c r="R7152" s="33">
        <f>IFERROR(__xludf.DUMMYFUNCTION("""COMPUTED_VALUE"""),0.5)</f>
        <v>0.5</v>
      </c>
      <c r="S7152" s="4" t="str">
        <f>IFERROR(__xludf.DUMMYFUNCTION("""COMPUTED_VALUE"""),"Anota Ai Solucoes Digitais S/a")</f>
        <v>Anota Ai Solucoes Digitais S/a</v>
      </c>
      <c r="T7152" s="33">
        <f>IFERROR(__xludf.DUMMYFUNCTION("""COMPUTED_VALUE"""),0.5)</f>
        <v>0.5</v>
      </c>
      <c r="U7152" s="4" t="str">
        <f>IFERROR(__xludf.DUMMYFUNCTION("""COMPUTED_VALUE"""),"Anota Ai Solucoes Digitais S/a")</f>
        <v>Anota Ai Solucoes Digitais S/a</v>
      </c>
      <c r="V7152" s="33">
        <f>IFERROR(__xludf.DUMMYFUNCTION("""COMPUTED_VALUE"""),0.5)</f>
        <v>0.5</v>
      </c>
      <c r="W7152" s="4" t="str">
        <f>IFERROR(__xludf.DUMMYFUNCTION("""COMPUTED_VALUE"""),"Anota Ai Solucoes Digitais S/a")</f>
        <v>Anota Ai Solucoes Digitais S/a</v>
      </c>
      <c r="X7152" s="33">
        <f>IFERROR(__xludf.DUMMYFUNCTION("""COMPUTED_VALUE"""),0.5)</f>
        <v>0.5</v>
      </c>
    </row>
    <row r="7153">
      <c r="K7153" s="4" t="str">
        <f>IFERROR(__xludf.DUMMYFUNCTION("""COMPUTED_VALUE"""),"GRUPO KEKEL MACEIO")</f>
        <v>GRUPO KEKEL MACEIO</v>
      </c>
      <c r="L7153" s="32">
        <f>IFERROR(__xludf.DUMMYFUNCTION("""COMPUTED_VALUE"""),2.0)</f>
        <v>2</v>
      </c>
      <c r="M7153" s="4" t="str">
        <f>IFERROR(__xludf.DUMMYFUNCTION("""COMPUTED_VALUE"""),"Saipos Serviços De Software")</f>
        <v>Saipos Serviços De Software</v>
      </c>
      <c r="N7153" s="33">
        <f>IFERROR(__xludf.DUMMYFUNCTION("""COMPUTED_VALUE"""),0.5)</f>
        <v>0.5</v>
      </c>
      <c r="O7153" s="4" t="str">
        <f>IFERROR(__xludf.DUMMYFUNCTION("""COMPUTED_VALUE"""),"Saipos Serviços De Software")</f>
        <v>Saipos Serviços De Software</v>
      </c>
      <c r="P7153" s="33">
        <f>IFERROR(__xludf.DUMMYFUNCTION("""COMPUTED_VALUE"""),0.5)</f>
        <v>0.5</v>
      </c>
      <c r="Q7153" s="4" t="str">
        <f>IFERROR(__xludf.DUMMYFUNCTION("""COMPUTED_VALUE"""),"Saipos Serviços De Software")</f>
        <v>Saipos Serviços De Software</v>
      </c>
      <c r="R7153" s="33">
        <f>IFERROR(__xludf.DUMMYFUNCTION("""COMPUTED_VALUE"""),1.0)</f>
        <v>1</v>
      </c>
      <c r="S7153" s="4" t="str">
        <f>IFERROR(__xludf.DUMMYFUNCTION("""COMPUTED_VALUE"""),"Saipos Serviços De Software")</f>
        <v>Saipos Serviços De Software</v>
      </c>
      <c r="T7153" s="33">
        <f>IFERROR(__xludf.DUMMYFUNCTION("""COMPUTED_VALUE"""),1.0)</f>
        <v>1</v>
      </c>
      <c r="U7153" s="4" t="str">
        <f>IFERROR(__xludf.DUMMYFUNCTION("""COMPUTED_VALUE"""),"Saipos Serviços De Software")</f>
        <v>Saipos Serviços De Software</v>
      </c>
      <c r="V7153" s="33">
        <f>IFERROR(__xludf.DUMMYFUNCTION("""COMPUTED_VALUE"""),1.0)</f>
        <v>1</v>
      </c>
      <c r="W7153" s="4" t="str">
        <f>IFERROR(__xludf.DUMMYFUNCTION("""COMPUTED_VALUE"""),"Saipos Serviços De Software")</f>
        <v>Saipos Serviços De Software</v>
      </c>
      <c r="X7153" s="33">
        <f>IFERROR(__xludf.DUMMYFUNCTION("""COMPUTED_VALUE"""),1.0)</f>
        <v>1</v>
      </c>
    </row>
    <row r="7154">
      <c r="K7154" s="4" t="str">
        <f>IFERROR(__xludf.DUMMYFUNCTION("""COMPUTED_VALUE"""),"GRUPO KING ACAI")</f>
        <v>GRUPO KING ACAI</v>
      </c>
      <c r="L7154" s="32">
        <f>IFERROR(__xludf.DUMMYFUNCTION("""COMPUTED_VALUE"""),2.0)</f>
        <v>2</v>
      </c>
      <c r="M7154" s="4" t="str">
        <f>IFERROR(__xludf.DUMMYFUNCTION("""COMPUTED_VALUE"""),"Cliente Fiel")</f>
        <v>Cliente Fiel</v>
      </c>
      <c r="N7154" s="33">
        <f>IFERROR(__xludf.DUMMYFUNCTION("""COMPUTED_VALUE"""),1.0)</f>
        <v>1</v>
      </c>
      <c r="O7154" s="4" t="str">
        <f>IFERROR(__xludf.DUMMYFUNCTION("""COMPUTED_VALUE"""),"null")</f>
        <v>null</v>
      </c>
      <c r="P7154" s="33">
        <f>IFERROR(__xludf.DUMMYFUNCTION("""COMPUTED_VALUE"""),1.0)</f>
        <v>1</v>
      </c>
      <c r="Q7154" s="4" t="str">
        <f>IFERROR(__xludf.DUMMYFUNCTION("""COMPUTED_VALUE"""),"null")</f>
        <v>null</v>
      </c>
      <c r="R7154" s="33">
        <f>IFERROR(__xludf.DUMMYFUNCTION("""COMPUTED_VALUE"""),1.0)</f>
        <v>1</v>
      </c>
      <c r="S7154" s="4" t="str">
        <f>IFERROR(__xludf.DUMMYFUNCTION("""COMPUTED_VALUE"""),"null")</f>
        <v>null</v>
      </c>
      <c r="T7154" s="33">
        <f>IFERROR(__xludf.DUMMYFUNCTION("""COMPUTED_VALUE"""),0.5)</f>
        <v>0.5</v>
      </c>
      <c r="U7154" s="4" t="str">
        <f>IFERROR(__xludf.DUMMYFUNCTION("""COMPUTED_VALUE"""),"Cliente Fiel")</f>
        <v>Cliente Fiel</v>
      </c>
      <c r="V7154" s="33">
        <f>IFERROR(__xludf.DUMMYFUNCTION("""COMPUTED_VALUE"""),0.5)</f>
        <v>0.5</v>
      </c>
      <c r="W7154" s="4" t="str">
        <f>IFERROR(__xludf.DUMMYFUNCTION("""COMPUTED_VALUE"""),"null")</f>
        <v>null</v>
      </c>
      <c r="X7154" s="33">
        <f>IFERROR(__xludf.DUMMYFUNCTION("""COMPUTED_VALUE"""),1.0)</f>
        <v>1</v>
      </c>
    </row>
    <row r="7155">
      <c r="K7155" s="4" t="str">
        <f>IFERROR(__xludf.DUMMYFUNCTION("""COMPUTED_VALUE"""),"GRUPO KOA POKE")</f>
        <v>GRUPO KOA POKE</v>
      </c>
      <c r="L7155" s="32">
        <f>IFERROR(__xludf.DUMMYFUNCTION("""COMPUTED_VALUE"""),2.0)</f>
        <v>2</v>
      </c>
      <c r="M7155" s="4" t="str">
        <f>IFERROR(__xludf.DUMMYFUNCTION("""COMPUTED_VALUE"""),"null")</f>
        <v>null</v>
      </c>
      <c r="N7155" s="33">
        <f>IFERROR(__xludf.DUMMYFUNCTION("""COMPUTED_VALUE"""),1.0)</f>
        <v>1</v>
      </c>
      <c r="O7155" s="4" t="str">
        <f>IFERROR(__xludf.DUMMYFUNCTION("""COMPUTED_VALUE"""),"Cardápio Web")</f>
        <v>Cardápio Web</v>
      </c>
      <c r="P7155" s="33">
        <f>IFERROR(__xludf.DUMMYFUNCTION("""COMPUTED_VALUE"""),0.5)</f>
        <v>0.5</v>
      </c>
      <c r="Q7155" s="4" t="str">
        <f>IFERROR(__xludf.DUMMYFUNCTION("""COMPUTED_VALUE"""),"Cardápio Web")</f>
        <v>Cardápio Web</v>
      </c>
      <c r="R7155" s="33">
        <f>IFERROR(__xludf.DUMMYFUNCTION("""COMPUTED_VALUE"""),0.5)</f>
        <v>0.5</v>
      </c>
      <c r="S7155" s="4" t="str">
        <f>IFERROR(__xludf.DUMMYFUNCTION("""COMPUTED_VALUE"""),"Cardápio Web")</f>
        <v>Cardápio Web</v>
      </c>
      <c r="T7155" s="33">
        <f>IFERROR(__xludf.DUMMYFUNCTION("""COMPUTED_VALUE"""),0.5)</f>
        <v>0.5</v>
      </c>
      <c r="U7155" s="4" t="str">
        <f>IFERROR(__xludf.DUMMYFUNCTION("""COMPUTED_VALUE"""),"Cardápio Web")</f>
        <v>Cardápio Web</v>
      </c>
      <c r="V7155" s="33">
        <f>IFERROR(__xludf.DUMMYFUNCTION("""COMPUTED_VALUE"""),0.5)</f>
        <v>0.5</v>
      </c>
      <c r="W7155" s="4" t="str">
        <f>IFERROR(__xludf.DUMMYFUNCTION("""COMPUTED_VALUE"""),"Cardápio Web")</f>
        <v>Cardápio Web</v>
      </c>
      <c r="X7155" s="33">
        <f>IFERROR(__xludf.DUMMYFUNCTION("""COMPUTED_VALUE"""),0.5)</f>
        <v>0.5</v>
      </c>
    </row>
    <row r="7156">
      <c r="K7156" s="4" t="str">
        <f>IFERROR(__xludf.DUMMYFUNCTION("""COMPUTED_VALUE"""),"GRUPO KR LANCHES")</f>
        <v>GRUPO KR LANCHES</v>
      </c>
      <c r="L7156" s="32">
        <f>IFERROR(__xludf.DUMMYFUNCTION("""COMPUTED_VALUE"""),2.0)</f>
        <v>2</v>
      </c>
      <c r="M7156" s="4" t="str">
        <f>IFERROR(__xludf.DUMMYFUNCTION("""COMPUTED_VALUE"""),"Brendi")</f>
        <v>Brendi</v>
      </c>
      <c r="N7156" s="33">
        <f>IFERROR(__xludf.DUMMYFUNCTION("""COMPUTED_VALUE"""),1.0)</f>
        <v>1</v>
      </c>
      <c r="O7156" s="4" t="str">
        <f>IFERROR(__xludf.DUMMYFUNCTION("""COMPUTED_VALUE"""),"Brendi")</f>
        <v>Brendi</v>
      </c>
      <c r="P7156" s="33">
        <f>IFERROR(__xludf.DUMMYFUNCTION("""COMPUTED_VALUE"""),1.0)</f>
        <v>1</v>
      </c>
      <c r="Q7156" s="4" t="str">
        <f>IFERROR(__xludf.DUMMYFUNCTION("""COMPUTED_VALUE"""),"Brendi")</f>
        <v>Brendi</v>
      </c>
      <c r="R7156" s="33">
        <f>IFERROR(__xludf.DUMMYFUNCTION("""COMPUTED_VALUE"""),1.0)</f>
        <v>1</v>
      </c>
      <c r="S7156" s="4" t="str">
        <f>IFERROR(__xludf.DUMMYFUNCTION("""COMPUTED_VALUE"""),"Brendi")</f>
        <v>Brendi</v>
      </c>
      <c r="T7156" s="33">
        <f>IFERROR(__xludf.DUMMYFUNCTION("""COMPUTED_VALUE"""),1.0)</f>
        <v>1</v>
      </c>
      <c r="U7156" s="4" t="str">
        <f>IFERROR(__xludf.DUMMYFUNCTION("""COMPUTED_VALUE"""),"Brendi")</f>
        <v>Brendi</v>
      </c>
      <c r="V7156" s="33">
        <f>IFERROR(__xludf.DUMMYFUNCTION("""COMPUTED_VALUE"""),1.0)</f>
        <v>1</v>
      </c>
      <c r="W7156" s="4" t="str">
        <f>IFERROR(__xludf.DUMMYFUNCTION("""COMPUTED_VALUE"""),"Brendi")</f>
        <v>Brendi</v>
      </c>
      <c r="X7156" s="33">
        <f>IFERROR(__xludf.DUMMYFUNCTION("""COMPUTED_VALUE"""),1.0)</f>
        <v>1</v>
      </c>
    </row>
    <row r="7157">
      <c r="K7157" s="4" t="str">
        <f>IFERROR(__xludf.DUMMYFUNCTION("""COMPUTED_VALUE"""),"GRUPO LAGOA BURGERS")</f>
        <v>GRUPO LAGOA BURGERS</v>
      </c>
      <c r="L7157" s="32">
        <f>IFERROR(__xludf.DUMMYFUNCTION("""COMPUTED_VALUE"""),2.0)</f>
        <v>2</v>
      </c>
      <c r="M7157" s="4" t="str">
        <f>IFERROR(__xludf.DUMMYFUNCTION("""COMPUTED_VALUE"""),"Suitable Tecnologia E Gestao")</f>
        <v>Suitable Tecnologia E Gestao</v>
      </c>
      <c r="N7157" s="33">
        <f>IFERROR(__xludf.DUMMYFUNCTION("""COMPUTED_VALUE"""),1.0)</f>
        <v>1</v>
      </c>
      <c r="O7157" s="4" t="str">
        <f>IFERROR(__xludf.DUMMYFUNCTION("""COMPUTED_VALUE"""),"Suitable Tecnologia E Gestao")</f>
        <v>Suitable Tecnologia E Gestao</v>
      </c>
      <c r="P7157" s="33">
        <f>IFERROR(__xludf.DUMMYFUNCTION("""COMPUTED_VALUE"""),1.0)</f>
        <v>1</v>
      </c>
      <c r="Q7157" s="4" t="str">
        <f>IFERROR(__xludf.DUMMYFUNCTION("""COMPUTED_VALUE"""),"Suitable Tecnologia E Gestao")</f>
        <v>Suitable Tecnologia E Gestao</v>
      </c>
      <c r="R7157" s="33">
        <f>IFERROR(__xludf.DUMMYFUNCTION("""COMPUTED_VALUE"""),1.0)</f>
        <v>1</v>
      </c>
      <c r="S7157" s="4" t="str">
        <f>IFERROR(__xludf.DUMMYFUNCTION("""COMPUTED_VALUE"""),"Suitable Tecnologia E Gestao")</f>
        <v>Suitable Tecnologia E Gestao</v>
      </c>
      <c r="T7157" s="33">
        <f>IFERROR(__xludf.DUMMYFUNCTION("""COMPUTED_VALUE"""),1.0)</f>
        <v>1</v>
      </c>
      <c r="U7157" s="4" t="str">
        <f>IFERROR(__xludf.DUMMYFUNCTION("""COMPUTED_VALUE"""),"Suitable Tecnologia E Gestao")</f>
        <v>Suitable Tecnologia E Gestao</v>
      </c>
      <c r="V7157" s="33">
        <f>IFERROR(__xludf.DUMMYFUNCTION("""COMPUTED_VALUE"""),1.0)</f>
        <v>1</v>
      </c>
      <c r="W7157" s="4" t="str">
        <f>IFERROR(__xludf.DUMMYFUNCTION("""COMPUTED_VALUE"""),"Suitable Tecnologia E Gestao")</f>
        <v>Suitable Tecnologia E Gestao</v>
      </c>
      <c r="X7157" s="33">
        <f>IFERROR(__xludf.DUMMYFUNCTION("""COMPUTED_VALUE"""),1.0)</f>
        <v>1</v>
      </c>
    </row>
    <row r="7158">
      <c r="K7158" s="4" t="str">
        <f>IFERROR(__xludf.DUMMYFUNCTION("""COMPUTED_VALUE"""),"GRUPO LEGADO BURGER SERGIPE")</f>
        <v>GRUPO LEGADO BURGER SERGIPE</v>
      </c>
      <c r="L7158" s="32">
        <f>IFERROR(__xludf.DUMMYFUNCTION("""COMPUTED_VALUE"""),2.0)</f>
        <v>2</v>
      </c>
      <c r="M7158" s="4" t="str">
        <f>IFERROR(__xludf.DUMMYFUNCTION("""COMPUTED_VALUE"""),"Saipos Serviços De Software")</f>
        <v>Saipos Serviços De Software</v>
      </c>
      <c r="N7158" s="33">
        <f>IFERROR(__xludf.DUMMYFUNCTION("""COMPUTED_VALUE"""),0.5)</f>
        <v>0.5</v>
      </c>
      <c r="O7158" s="4" t="str">
        <f>IFERROR(__xludf.DUMMYFUNCTION("""COMPUTED_VALUE"""),"Saipos Serviços De Software")</f>
        <v>Saipos Serviços De Software</v>
      </c>
      <c r="P7158" s="33">
        <f>IFERROR(__xludf.DUMMYFUNCTION("""COMPUTED_VALUE"""),0.5)</f>
        <v>0.5</v>
      </c>
      <c r="Q7158" s="4" t="str">
        <f>IFERROR(__xludf.DUMMYFUNCTION("""COMPUTED_VALUE"""),"Saipos Serviços De Software")</f>
        <v>Saipos Serviços De Software</v>
      </c>
      <c r="R7158" s="33">
        <f>IFERROR(__xludf.DUMMYFUNCTION("""COMPUTED_VALUE"""),0.5)</f>
        <v>0.5</v>
      </c>
      <c r="S7158" s="4" t="str">
        <f>IFERROR(__xludf.DUMMYFUNCTION("""COMPUTED_VALUE"""),"Saipos Serviços De Software")</f>
        <v>Saipos Serviços De Software</v>
      </c>
      <c r="T7158" s="33">
        <f>IFERROR(__xludf.DUMMYFUNCTION("""COMPUTED_VALUE"""),1.0)</f>
        <v>1</v>
      </c>
      <c r="U7158" s="4" t="str">
        <f>IFERROR(__xludf.DUMMYFUNCTION("""COMPUTED_VALUE"""),"Saipos Serviços De Software")</f>
        <v>Saipos Serviços De Software</v>
      </c>
      <c r="V7158" s="33">
        <f>IFERROR(__xludf.DUMMYFUNCTION("""COMPUTED_VALUE"""),1.0)</f>
        <v>1</v>
      </c>
      <c r="W7158" s="4" t="str">
        <f>IFERROR(__xludf.DUMMYFUNCTION("""COMPUTED_VALUE"""),"Saipos Serviços De Software")</f>
        <v>Saipos Serviços De Software</v>
      </c>
      <c r="X7158" s="33">
        <f>IFERROR(__xludf.DUMMYFUNCTION("""COMPUTED_VALUE"""),1.0)</f>
        <v>1</v>
      </c>
    </row>
    <row r="7159">
      <c r="K7159" s="4" t="str">
        <f>IFERROR(__xludf.DUMMYFUNCTION("""COMPUTED_VALUE"""),"GRUPO LEGITIMO BURGER - CONTA PAI")</f>
        <v>GRUPO LEGITIMO BURGER - CONTA PAI</v>
      </c>
      <c r="L7159" s="32">
        <f>IFERROR(__xludf.DUMMYFUNCTION("""COMPUTED_VALUE"""),2.0)</f>
        <v>2</v>
      </c>
      <c r="M7159" s="4" t="str">
        <f>IFERROR(__xludf.DUMMYFUNCTION("""COMPUTED_VALUE"""),"Parseint Desenvolvimento De Sistemas Ltda")</f>
        <v>Parseint Desenvolvimento De Sistemas Ltda</v>
      </c>
      <c r="N7159" s="33">
        <f>IFERROR(__xludf.DUMMYFUNCTION("""COMPUTED_VALUE"""),0.5)</f>
        <v>0.5</v>
      </c>
      <c r="O7159" s="4" t="str">
        <f>IFERROR(__xludf.DUMMYFUNCTION("""COMPUTED_VALUE"""),"Parseint Desenvolvimento De Sistemas Ltda")</f>
        <v>Parseint Desenvolvimento De Sistemas Ltda</v>
      </c>
      <c r="P7159" s="33">
        <f>IFERROR(__xludf.DUMMYFUNCTION("""COMPUTED_VALUE"""),0.5)</f>
        <v>0.5</v>
      </c>
      <c r="Q7159" s="4" t="str">
        <f>IFERROR(__xludf.DUMMYFUNCTION("""COMPUTED_VALUE"""),"Parseint Desenvolvimento De Sistemas Ltda")</f>
        <v>Parseint Desenvolvimento De Sistemas Ltda</v>
      </c>
      <c r="R7159" s="33">
        <f>IFERROR(__xludf.DUMMYFUNCTION("""COMPUTED_VALUE"""),1.0)</f>
        <v>1</v>
      </c>
      <c r="S7159" s="4" t="str">
        <f>IFERROR(__xludf.DUMMYFUNCTION("""COMPUTED_VALUE"""),"Parseint Desenvolvimento De Sistemas Ltda")</f>
        <v>Parseint Desenvolvimento De Sistemas Ltda</v>
      </c>
      <c r="T7159" s="33">
        <f>IFERROR(__xludf.DUMMYFUNCTION("""COMPUTED_VALUE"""),1.0)</f>
        <v>1</v>
      </c>
      <c r="U7159" s="4" t="str">
        <f>IFERROR(__xludf.DUMMYFUNCTION("""COMPUTED_VALUE"""),"Parseint Desenvolvimento De Sistemas Ltda")</f>
        <v>Parseint Desenvolvimento De Sistemas Ltda</v>
      </c>
      <c r="V7159" s="33">
        <f>IFERROR(__xludf.DUMMYFUNCTION("""COMPUTED_VALUE"""),1.0)</f>
        <v>1</v>
      </c>
      <c r="W7159" s="4" t="str">
        <f>IFERROR(__xludf.DUMMYFUNCTION("""COMPUTED_VALUE"""),"Parseint Desenvolvimento De Sistemas Ltda")</f>
        <v>Parseint Desenvolvimento De Sistemas Ltda</v>
      </c>
      <c r="X7159" s="33">
        <f>IFERROR(__xludf.DUMMYFUNCTION("""COMPUTED_VALUE"""),1.0)</f>
        <v>1</v>
      </c>
    </row>
    <row r="7160">
      <c r="K7160" s="4" t="str">
        <f>IFERROR(__xludf.DUMMYFUNCTION("""COMPUTED_VALUE"""),"GRUPO LIBANUS")</f>
        <v>GRUPO LIBANUS</v>
      </c>
      <c r="L7160" s="32">
        <f>IFERROR(__xludf.DUMMYFUNCTION("""COMPUTED_VALUE"""),2.0)</f>
        <v>2</v>
      </c>
      <c r="M7160" s="4" t="str">
        <f>IFERROR(__xludf.DUMMYFUNCTION("""COMPUTED_VALUE"""),"Stone Co.")</f>
        <v>Stone Co.</v>
      </c>
      <c r="N7160" s="33">
        <f>IFERROR(__xludf.DUMMYFUNCTION("""COMPUTED_VALUE"""),1.0)</f>
        <v>1</v>
      </c>
      <c r="O7160" s="4" t="str">
        <f>IFERROR(__xludf.DUMMYFUNCTION("""COMPUTED_VALUE"""),"Stone Co.")</f>
        <v>Stone Co.</v>
      </c>
      <c r="P7160" s="33">
        <f>IFERROR(__xludf.DUMMYFUNCTION("""COMPUTED_VALUE"""),1.0)</f>
        <v>1</v>
      </c>
      <c r="Q7160" s="4" t="str">
        <f>IFERROR(__xludf.DUMMYFUNCTION("""COMPUTED_VALUE"""),"Stone Co.")</f>
        <v>Stone Co.</v>
      </c>
      <c r="R7160" s="33">
        <f>IFERROR(__xludf.DUMMYFUNCTION("""COMPUTED_VALUE"""),1.0)</f>
        <v>1</v>
      </c>
      <c r="S7160" s="4" t="str">
        <f>IFERROR(__xludf.DUMMYFUNCTION("""COMPUTED_VALUE"""),"Stone Co.")</f>
        <v>Stone Co.</v>
      </c>
      <c r="T7160" s="33">
        <f>IFERROR(__xludf.DUMMYFUNCTION("""COMPUTED_VALUE"""),1.0)</f>
        <v>1</v>
      </c>
      <c r="U7160" s="4" t="str">
        <f>IFERROR(__xludf.DUMMYFUNCTION("""COMPUTED_VALUE"""),"Stone Co.")</f>
        <v>Stone Co.</v>
      </c>
      <c r="V7160" s="33">
        <f>IFERROR(__xludf.DUMMYFUNCTION("""COMPUTED_VALUE"""),1.0)</f>
        <v>1</v>
      </c>
      <c r="W7160" s="4" t="str">
        <f>IFERROR(__xludf.DUMMYFUNCTION("""COMPUTED_VALUE"""),"Stone Co.")</f>
        <v>Stone Co.</v>
      </c>
      <c r="X7160" s="33">
        <f>IFERROR(__xludf.DUMMYFUNCTION("""COMPUTED_VALUE"""),1.0)</f>
        <v>1</v>
      </c>
    </row>
    <row r="7161">
      <c r="K7161" s="4" t="str">
        <f>IFERROR(__xludf.DUMMYFUNCTION("""COMPUTED_VALUE"""),"GRUPO LIGUE PIZZA")</f>
        <v>GRUPO LIGUE PIZZA</v>
      </c>
      <c r="L7161" s="32">
        <f>IFERROR(__xludf.DUMMYFUNCTION("""COMPUTED_VALUE"""),2.0)</f>
        <v>2</v>
      </c>
      <c r="M7161" s="4" t="str">
        <f>IFERROR(__xludf.DUMMYFUNCTION("""COMPUTED_VALUE"""),"Saipos Serviços De Software")</f>
        <v>Saipos Serviços De Software</v>
      </c>
      <c r="N7161" s="33">
        <f>IFERROR(__xludf.DUMMYFUNCTION("""COMPUTED_VALUE"""),1.0)</f>
        <v>1</v>
      </c>
      <c r="O7161" s="4" t="str">
        <f>IFERROR(__xludf.DUMMYFUNCTION("""COMPUTED_VALUE"""),"Saipos Serviços De Software")</f>
        <v>Saipos Serviços De Software</v>
      </c>
      <c r="P7161" s="33">
        <f>IFERROR(__xludf.DUMMYFUNCTION("""COMPUTED_VALUE"""),1.0)</f>
        <v>1</v>
      </c>
      <c r="Q7161" s="4" t="str">
        <f>IFERROR(__xludf.DUMMYFUNCTION("""COMPUTED_VALUE"""),"Saipos Serviços De Software")</f>
        <v>Saipos Serviços De Software</v>
      </c>
      <c r="R7161" s="33">
        <f>IFERROR(__xludf.DUMMYFUNCTION("""COMPUTED_VALUE"""),1.0)</f>
        <v>1</v>
      </c>
      <c r="S7161" s="4" t="str">
        <f>IFERROR(__xludf.DUMMYFUNCTION("""COMPUTED_VALUE"""),"Saipos Serviços De Software")</f>
        <v>Saipos Serviços De Software</v>
      </c>
      <c r="T7161" s="33">
        <f>IFERROR(__xludf.DUMMYFUNCTION("""COMPUTED_VALUE"""),1.0)</f>
        <v>1</v>
      </c>
      <c r="U7161" s="4" t="str">
        <f>IFERROR(__xludf.DUMMYFUNCTION("""COMPUTED_VALUE"""),"Saipos Serviços De Software")</f>
        <v>Saipos Serviços De Software</v>
      </c>
      <c r="V7161" s="33">
        <f>IFERROR(__xludf.DUMMYFUNCTION("""COMPUTED_VALUE"""),1.0)</f>
        <v>1</v>
      </c>
      <c r="W7161" s="4" t="str">
        <f>IFERROR(__xludf.DUMMYFUNCTION("""COMPUTED_VALUE"""),"Saipos Serviços De Software")</f>
        <v>Saipos Serviços De Software</v>
      </c>
      <c r="X7161" s="33">
        <f>IFERROR(__xludf.DUMMYFUNCTION("""COMPUTED_VALUE"""),1.0)</f>
        <v>1</v>
      </c>
    </row>
    <row r="7162">
      <c r="K7162" s="4" t="str">
        <f>IFERROR(__xludf.DUMMYFUNCTION("""COMPUTED_VALUE"""),"GRUPO LIV GARDEN")</f>
        <v>GRUPO LIV GARDEN</v>
      </c>
      <c r="L7162" s="32">
        <f>IFERROR(__xludf.DUMMYFUNCTION("""COMPUTED_VALUE"""),2.0)</f>
        <v>2</v>
      </c>
      <c r="M7162" s="4" t="str">
        <f>IFERROR(__xludf.DUMMYFUNCTION("""COMPUTED_VALUE"""),"Eclética Tecnologia")</f>
        <v>Eclética Tecnologia</v>
      </c>
      <c r="N7162" s="33">
        <f>IFERROR(__xludf.DUMMYFUNCTION("""COMPUTED_VALUE"""),1.0)</f>
        <v>1</v>
      </c>
      <c r="O7162" s="4" t="str">
        <f>IFERROR(__xludf.DUMMYFUNCTION("""COMPUTED_VALUE"""),"Eclética Tecnologia")</f>
        <v>Eclética Tecnologia</v>
      </c>
      <c r="P7162" s="33">
        <f>IFERROR(__xludf.DUMMYFUNCTION("""COMPUTED_VALUE"""),1.0)</f>
        <v>1</v>
      </c>
      <c r="Q7162" s="4" t="str">
        <f>IFERROR(__xludf.DUMMYFUNCTION("""COMPUTED_VALUE"""),"Eclética Tecnologia")</f>
        <v>Eclética Tecnologia</v>
      </c>
      <c r="R7162" s="33">
        <f>IFERROR(__xludf.DUMMYFUNCTION("""COMPUTED_VALUE"""),0.5)</f>
        <v>0.5</v>
      </c>
      <c r="S7162" s="4" t="str">
        <f>IFERROR(__xludf.DUMMYFUNCTION("""COMPUTED_VALUE"""),"Eclética Tecnologia")</f>
        <v>Eclética Tecnologia</v>
      </c>
      <c r="T7162" s="33">
        <f>IFERROR(__xludf.DUMMYFUNCTION("""COMPUTED_VALUE"""),0.5)</f>
        <v>0.5</v>
      </c>
      <c r="U7162" s="4" t="str">
        <f>IFERROR(__xludf.DUMMYFUNCTION("""COMPUTED_VALUE"""),"null")</f>
        <v>null</v>
      </c>
      <c r="V7162" s="33">
        <f>IFERROR(__xludf.DUMMYFUNCTION("""COMPUTED_VALUE"""),1.0)</f>
        <v>1</v>
      </c>
      <c r="W7162" s="4" t="str">
        <f>IFERROR(__xludf.DUMMYFUNCTION("""COMPUTED_VALUE"""),"null")</f>
        <v>null</v>
      </c>
      <c r="X7162" s="33">
        <f>IFERROR(__xludf.DUMMYFUNCTION("""COMPUTED_VALUE"""),1.0)</f>
        <v>1</v>
      </c>
    </row>
    <row r="7163">
      <c r="K7163" s="4" t="str">
        <f>IFERROR(__xludf.DUMMYFUNCTION("""COMPUTED_VALUE"""),"GRUPO LORD BURGER")</f>
        <v>GRUPO LORD BURGER</v>
      </c>
      <c r="L7163" s="32">
        <f>IFERROR(__xludf.DUMMYFUNCTION("""COMPUTED_VALUE"""),2.0)</f>
        <v>2</v>
      </c>
      <c r="M7163" s="4" t="str">
        <f>IFERROR(__xludf.DUMMYFUNCTION("""COMPUTED_VALUE"""),"Saipos Serviços De Software")</f>
        <v>Saipos Serviços De Software</v>
      </c>
      <c r="N7163" s="33">
        <f>IFERROR(__xludf.DUMMYFUNCTION("""COMPUTED_VALUE"""),1.0)</f>
        <v>1</v>
      </c>
      <c r="O7163" s="4" t="str">
        <f>IFERROR(__xludf.DUMMYFUNCTION("""COMPUTED_VALUE"""),"Saipos Serviços De Software")</f>
        <v>Saipos Serviços De Software</v>
      </c>
      <c r="P7163" s="33">
        <f>IFERROR(__xludf.DUMMYFUNCTION("""COMPUTED_VALUE"""),1.0)</f>
        <v>1</v>
      </c>
      <c r="Q7163" s="4" t="str">
        <f>IFERROR(__xludf.DUMMYFUNCTION("""COMPUTED_VALUE"""),"Saipos Serviços De Software")</f>
        <v>Saipos Serviços De Software</v>
      </c>
      <c r="R7163" s="33">
        <f>IFERROR(__xludf.DUMMYFUNCTION("""COMPUTED_VALUE"""),1.0)</f>
        <v>1</v>
      </c>
      <c r="S7163" s="4" t="str">
        <f>IFERROR(__xludf.DUMMYFUNCTION("""COMPUTED_VALUE"""),"Saipos Serviços De Software")</f>
        <v>Saipos Serviços De Software</v>
      </c>
      <c r="T7163" s="33">
        <f>IFERROR(__xludf.DUMMYFUNCTION("""COMPUTED_VALUE"""),1.0)</f>
        <v>1</v>
      </c>
      <c r="U7163" s="4" t="str">
        <f>IFERROR(__xludf.DUMMYFUNCTION("""COMPUTED_VALUE"""),"Saipos Serviços De Software")</f>
        <v>Saipos Serviços De Software</v>
      </c>
      <c r="V7163" s="33">
        <f>IFERROR(__xludf.DUMMYFUNCTION("""COMPUTED_VALUE"""),1.0)</f>
        <v>1</v>
      </c>
      <c r="W7163" s="4" t="str">
        <f>IFERROR(__xludf.DUMMYFUNCTION("""COMPUTED_VALUE"""),"Saipos Serviços De Software")</f>
        <v>Saipos Serviços De Software</v>
      </c>
      <c r="X7163" s="33">
        <f>IFERROR(__xludf.DUMMYFUNCTION("""COMPUTED_VALUE"""),1.0)</f>
        <v>1</v>
      </c>
    </row>
    <row r="7164">
      <c r="K7164" s="4" t="str">
        <f>IFERROR(__xludf.DUMMYFUNCTION("""COMPUTED_VALUE"""),"GRUPO LOUCOS POR BURGER")</f>
        <v>GRUPO LOUCOS POR BURGER</v>
      </c>
      <c r="L7164" s="32">
        <f>IFERROR(__xludf.DUMMYFUNCTION("""COMPUTED_VALUE"""),2.0)</f>
        <v>2</v>
      </c>
      <c r="M7164" s="4" t="str">
        <f>IFERROR(__xludf.DUMMYFUNCTION("""COMPUTED_VALUE"""),"Saipos Serviços De Software")</f>
        <v>Saipos Serviços De Software</v>
      </c>
      <c r="N7164" s="33">
        <f>IFERROR(__xludf.DUMMYFUNCTION("""COMPUTED_VALUE"""),0.5)</f>
        <v>0.5</v>
      </c>
      <c r="O7164" s="4" t="str">
        <f>IFERROR(__xludf.DUMMYFUNCTION("""COMPUTED_VALUE"""),"Saipos Serviços De Software")</f>
        <v>Saipos Serviços De Software</v>
      </c>
      <c r="P7164" s="33">
        <f>IFERROR(__xludf.DUMMYFUNCTION("""COMPUTED_VALUE"""),0.5)</f>
        <v>0.5</v>
      </c>
      <c r="Q7164" s="4" t="str">
        <f>IFERROR(__xludf.DUMMYFUNCTION("""COMPUTED_VALUE"""),"Glow")</f>
        <v>Glow</v>
      </c>
      <c r="R7164" s="33">
        <f>IFERROR(__xludf.DUMMYFUNCTION("""COMPUTED_VALUE"""),1.0)</f>
        <v>1</v>
      </c>
      <c r="S7164" s="4" t="str">
        <f>IFERROR(__xludf.DUMMYFUNCTION("""COMPUTED_VALUE"""),"Glow")</f>
        <v>Glow</v>
      </c>
      <c r="T7164" s="33">
        <f>IFERROR(__xludf.DUMMYFUNCTION("""COMPUTED_VALUE"""),1.0)</f>
        <v>1</v>
      </c>
      <c r="U7164" s="4" t="str">
        <f>IFERROR(__xludf.DUMMYFUNCTION("""COMPUTED_VALUE"""),"Glow")</f>
        <v>Glow</v>
      </c>
      <c r="V7164" s="33">
        <f>IFERROR(__xludf.DUMMYFUNCTION("""COMPUTED_VALUE"""),1.0)</f>
        <v>1</v>
      </c>
      <c r="W7164" s="4" t="str">
        <f>IFERROR(__xludf.DUMMYFUNCTION("""COMPUTED_VALUE"""),"Glow")</f>
        <v>Glow</v>
      </c>
      <c r="X7164" s="33">
        <f>IFERROR(__xludf.DUMMYFUNCTION("""COMPUTED_VALUE"""),1.0)</f>
        <v>1</v>
      </c>
    </row>
    <row r="7165">
      <c r="K7165" s="4" t="str">
        <f>IFERROR(__xludf.DUMMYFUNCTION("""COMPUTED_VALUE"""),"GRUPO MAD LANCHES")</f>
        <v>GRUPO MAD LANCHES</v>
      </c>
      <c r="L7165" s="32">
        <f>IFERROR(__xludf.DUMMYFUNCTION("""COMPUTED_VALUE"""),2.0)</f>
        <v>2</v>
      </c>
      <c r="M7165" s="4" t="str">
        <f>IFERROR(__xludf.DUMMYFUNCTION("""COMPUTED_VALUE"""),"Totvs Large Enterprise Tecnologia S.a.")</f>
        <v>Totvs Large Enterprise Tecnologia S.a.</v>
      </c>
      <c r="N7165" s="33">
        <f>IFERROR(__xludf.DUMMYFUNCTION("""COMPUTED_VALUE"""),1.0)</f>
        <v>1</v>
      </c>
      <c r="O7165" s="4" t="str">
        <f>IFERROR(__xludf.DUMMYFUNCTION("""COMPUTED_VALUE"""),"Totvs Large Enterprise Tecnologia S.a.")</f>
        <v>Totvs Large Enterprise Tecnologia S.a.</v>
      </c>
      <c r="P7165" s="33">
        <f>IFERROR(__xludf.DUMMYFUNCTION("""COMPUTED_VALUE"""),1.0)</f>
        <v>1</v>
      </c>
      <c r="Q7165" s="4" t="str">
        <f>IFERROR(__xludf.DUMMYFUNCTION("""COMPUTED_VALUE"""),"Totvs Large Enterprise Tecnologia S.a.")</f>
        <v>Totvs Large Enterprise Tecnologia S.a.</v>
      </c>
      <c r="R7165" s="33">
        <f>IFERROR(__xludf.DUMMYFUNCTION("""COMPUTED_VALUE"""),1.0)</f>
        <v>1</v>
      </c>
      <c r="S7165" s="4" t="str">
        <f>IFERROR(__xludf.DUMMYFUNCTION("""COMPUTED_VALUE"""),"Totvs Large Enterprise Tecnologia S.a.")</f>
        <v>Totvs Large Enterprise Tecnologia S.a.</v>
      </c>
      <c r="T7165" s="33">
        <f>IFERROR(__xludf.DUMMYFUNCTION("""COMPUTED_VALUE"""),1.0)</f>
        <v>1</v>
      </c>
      <c r="U7165" s="4" t="str">
        <f>IFERROR(__xludf.DUMMYFUNCTION("""COMPUTED_VALUE"""),"Totvs Large Enterprise Tecnologia S.a.")</f>
        <v>Totvs Large Enterprise Tecnologia S.a.</v>
      </c>
      <c r="V7165" s="33">
        <f>IFERROR(__xludf.DUMMYFUNCTION("""COMPUTED_VALUE"""),1.0)</f>
        <v>1</v>
      </c>
      <c r="W7165" s="4" t="str">
        <f>IFERROR(__xludf.DUMMYFUNCTION("""COMPUTED_VALUE"""),"Totvs Large Enterprise Tecnologia S.a.")</f>
        <v>Totvs Large Enterprise Tecnologia S.a.</v>
      </c>
      <c r="X7165" s="33">
        <f>IFERROR(__xludf.DUMMYFUNCTION("""COMPUTED_VALUE"""),1.0)</f>
        <v>1</v>
      </c>
    </row>
    <row r="7166">
      <c r="K7166" s="4" t="str">
        <f>IFERROR(__xludf.DUMMYFUNCTION("""COMPUTED_VALUE"""),"GRUPO MADE IN JAPAN")</f>
        <v>GRUPO MADE IN JAPAN</v>
      </c>
      <c r="L7166" s="32">
        <f>IFERROR(__xludf.DUMMYFUNCTION("""COMPUTED_VALUE"""),2.0)</f>
        <v>2</v>
      </c>
      <c r="M7166" s="4" t="str">
        <f>IFERROR(__xludf.DUMMYFUNCTION("""COMPUTED_VALUE"""),"Hubster")</f>
        <v>Hubster</v>
      </c>
      <c r="N7166" s="33">
        <f>IFERROR(__xludf.DUMMYFUNCTION("""COMPUTED_VALUE"""),1.0)</f>
        <v>1</v>
      </c>
      <c r="O7166" s="4" t="str">
        <f>IFERROR(__xludf.DUMMYFUNCTION("""COMPUTED_VALUE"""),"Hubster")</f>
        <v>Hubster</v>
      </c>
      <c r="P7166" s="33">
        <f>IFERROR(__xludf.DUMMYFUNCTION("""COMPUTED_VALUE"""),1.0)</f>
        <v>1</v>
      </c>
      <c r="Q7166" s="4" t="str">
        <f>IFERROR(__xludf.DUMMYFUNCTION("""COMPUTED_VALUE"""),"Hubster")</f>
        <v>Hubster</v>
      </c>
      <c r="R7166" s="33">
        <f>IFERROR(__xludf.DUMMYFUNCTION("""COMPUTED_VALUE"""),1.0)</f>
        <v>1</v>
      </c>
      <c r="S7166" s="4" t="str">
        <f>IFERROR(__xludf.DUMMYFUNCTION("""COMPUTED_VALUE"""),"Hubster")</f>
        <v>Hubster</v>
      </c>
      <c r="T7166" s="33">
        <f>IFERROR(__xludf.DUMMYFUNCTION("""COMPUTED_VALUE"""),1.0)</f>
        <v>1</v>
      </c>
      <c r="U7166" s="4" t="str">
        <f>IFERROR(__xludf.DUMMYFUNCTION("""COMPUTED_VALUE"""),"Hubster")</f>
        <v>Hubster</v>
      </c>
      <c r="V7166" s="33">
        <f>IFERROR(__xludf.DUMMYFUNCTION("""COMPUTED_VALUE"""),1.0)</f>
        <v>1</v>
      </c>
      <c r="W7166" s="4" t="str">
        <f>IFERROR(__xludf.DUMMYFUNCTION("""COMPUTED_VALUE"""),"Hubster")</f>
        <v>Hubster</v>
      </c>
      <c r="X7166" s="33">
        <f>IFERROR(__xludf.DUMMYFUNCTION("""COMPUTED_VALUE"""),1.0)</f>
        <v>1</v>
      </c>
    </row>
    <row r="7167">
      <c r="K7167" s="4" t="str">
        <f>IFERROR(__xludf.DUMMYFUNCTION("""COMPUTED_VALUE"""),"GRUPO MADRE TERESA DELI")</f>
        <v>GRUPO MADRE TERESA DELI</v>
      </c>
      <c r="L7167" s="32">
        <f>IFERROR(__xludf.DUMMYFUNCTION("""COMPUTED_VALUE"""),2.0)</f>
        <v>2</v>
      </c>
      <c r="M7167" s="4" t="str">
        <f>IFERROR(__xludf.DUMMYFUNCTION("""COMPUTED_VALUE"""),"Saipos Serviços De Software")</f>
        <v>Saipos Serviços De Software</v>
      </c>
      <c r="N7167" s="33">
        <f>IFERROR(__xludf.DUMMYFUNCTION("""COMPUTED_VALUE"""),0.5)</f>
        <v>0.5</v>
      </c>
      <c r="O7167" s="4" t="str">
        <f>IFERROR(__xludf.DUMMYFUNCTION("""COMPUTED_VALUE"""),"Saipos Serviços De Software")</f>
        <v>Saipos Serviços De Software</v>
      </c>
      <c r="P7167" s="33">
        <f>IFERROR(__xludf.DUMMYFUNCTION("""COMPUTED_VALUE"""),0.5)</f>
        <v>0.5</v>
      </c>
      <c r="Q7167" s="4" t="str">
        <f>IFERROR(__xludf.DUMMYFUNCTION("""COMPUTED_VALUE"""),"Saipos Serviços De Software")</f>
        <v>Saipos Serviços De Software</v>
      </c>
      <c r="R7167" s="33">
        <f>IFERROR(__xludf.DUMMYFUNCTION("""COMPUTED_VALUE"""),0.5)</f>
        <v>0.5</v>
      </c>
      <c r="S7167" s="4" t="str">
        <f>IFERROR(__xludf.DUMMYFUNCTION("""COMPUTED_VALUE"""),"Saipos Serviços De Software")</f>
        <v>Saipos Serviços De Software</v>
      </c>
      <c r="T7167" s="33">
        <f>IFERROR(__xludf.DUMMYFUNCTION("""COMPUTED_VALUE"""),0.5)</f>
        <v>0.5</v>
      </c>
      <c r="U7167" s="4" t="str">
        <f>IFERROR(__xludf.DUMMYFUNCTION("""COMPUTED_VALUE"""),"Saipos Serviços De Software")</f>
        <v>Saipos Serviços De Software</v>
      </c>
      <c r="V7167" s="33">
        <f>IFERROR(__xludf.DUMMYFUNCTION("""COMPUTED_VALUE"""),1.0)</f>
        <v>1</v>
      </c>
      <c r="W7167" s="4" t="str">
        <f>IFERROR(__xludf.DUMMYFUNCTION("""COMPUTED_VALUE"""),"Saipos Serviços De Software")</f>
        <v>Saipos Serviços De Software</v>
      </c>
      <c r="X7167" s="33">
        <f>IFERROR(__xludf.DUMMYFUNCTION("""COMPUTED_VALUE"""),1.0)</f>
        <v>1</v>
      </c>
    </row>
    <row r="7168">
      <c r="K7168" s="4" t="str">
        <f>IFERROR(__xludf.DUMMYFUNCTION("""COMPUTED_VALUE"""),"GRUPO MARCELOS BAURU")</f>
        <v>GRUPO MARCELOS BAURU</v>
      </c>
      <c r="L7168" s="32">
        <f>IFERROR(__xludf.DUMMYFUNCTION("""COMPUTED_VALUE"""),2.0)</f>
        <v>2</v>
      </c>
      <c r="M7168" s="4" t="str">
        <f>IFERROR(__xludf.DUMMYFUNCTION("""COMPUTED_VALUE"""),"Beefood - Sistema Para Restaurantes")</f>
        <v>Beefood - Sistema Para Restaurantes</v>
      </c>
      <c r="N7168" s="33">
        <f>IFERROR(__xludf.DUMMYFUNCTION("""COMPUTED_VALUE"""),1.0)</f>
        <v>1</v>
      </c>
      <c r="O7168" s="4" t="str">
        <f>IFERROR(__xludf.DUMMYFUNCTION("""COMPUTED_VALUE"""),"Beefood - Sistema Para Restaurantes")</f>
        <v>Beefood - Sistema Para Restaurantes</v>
      </c>
      <c r="P7168" s="33">
        <f>IFERROR(__xludf.DUMMYFUNCTION("""COMPUTED_VALUE"""),1.0)</f>
        <v>1</v>
      </c>
      <c r="Q7168" s="4" t="str">
        <f>IFERROR(__xludf.DUMMYFUNCTION("""COMPUTED_VALUE"""),"Beefood - Sistema Para Restaurantes")</f>
        <v>Beefood - Sistema Para Restaurantes</v>
      </c>
      <c r="R7168" s="33">
        <f>IFERROR(__xludf.DUMMYFUNCTION("""COMPUTED_VALUE"""),0.5)</f>
        <v>0.5</v>
      </c>
      <c r="S7168" s="4" t="str">
        <f>IFERROR(__xludf.DUMMYFUNCTION("""COMPUTED_VALUE"""),"Beefood - Sistema Para Restaurantes")</f>
        <v>Beefood - Sistema Para Restaurantes</v>
      </c>
      <c r="T7168" s="33">
        <f>IFERROR(__xludf.DUMMYFUNCTION("""COMPUTED_VALUE"""),1.0)</f>
        <v>1</v>
      </c>
      <c r="U7168" s="4" t="str">
        <f>IFERROR(__xludf.DUMMYFUNCTION("""COMPUTED_VALUE"""),"Jaime Eugenio Informatica")</f>
        <v>Jaime Eugenio Informatica</v>
      </c>
      <c r="V7168" s="33">
        <f>IFERROR(__xludf.DUMMYFUNCTION("""COMPUTED_VALUE"""),0.5)</f>
        <v>0.5</v>
      </c>
      <c r="W7168" s="4" t="str">
        <f>IFERROR(__xludf.DUMMYFUNCTION("""COMPUTED_VALUE"""),"Jaime Eugenio Informatica")</f>
        <v>Jaime Eugenio Informatica</v>
      </c>
      <c r="X7168" s="33">
        <f>IFERROR(__xludf.DUMMYFUNCTION("""COMPUTED_VALUE"""),0.5)</f>
        <v>0.5</v>
      </c>
    </row>
    <row r="7169">
      <c r="K7169" s="4" t="str">
        <f>IFERROR(__xludf.DUMMYFUNCTION("""COMPUTED_VALUE"""),"GRUPO MAXFOODS MARKET")</f>
        <v>GRUPO MAXFOODS MARKET</v>
      </c>
      <c r="L7169" s="32">
        <f>IFERROR(__xludf.DUMMYFUNCTION("""COMPUTED_VALUE"""),2.0)</f>
        <v>2</v>
      </c>
      <c r="M7169" s="4" t="str">
        <f>IFERROR(__xludf.DUMMYFUNCTION("""COMPUTED_VALUE"""),"Teknisa Service Ltda")</f>
        <v>Teknisa Service Ltda</v>
      </c>
      <c r="N7169" s="33">
        <f>IFERROR(__xludf.DUMMYFUNCTION("""COMPUTED_VALUE"""),0.5)</f>
        <v>0.5</v>
      </c>
      <c r="O7169" s="4" t="str">
        <f>IFERROR(__xludf.DUMMYFUNCTION("""COMPUTED_VALUE"""),"Teknisa Service Ltda")</f>
        <v>Teknisa Service Ltda</v>
      </c>
      <c r="P7169" s="33">
        <f>IFERROR(__xludf.DUMMYFUNCTION("""COMPUTED_VALUE"""),0.5)</f>
        <v>0.5</v>
      </c>
      <c r="Q7169" s="4" t="str">
        <f>IFERROR(__xludf.DUMMYFUNCTION("""COMPUTED_VALUE"""),"Teknisa Service Ltda")</f>
        <v>Teknisa Service Ltda</v>
      </c>
      <c r="R7169" s="33">
        <f>IFERROR(__xludf.DUMMYFUNCTION("""COMPUTED_VALUE"""),0.5)</f>
        <v>0.5</v>
      </c>
      <c r="S7169" s="4" t="str">
        <f>IFERROR(__xludf.DUMMYFUNCTION("""COMPUTED_VALUE"""),"Teknisa Service Ltda")</f>
        <v>Teknisa Service Ltda</v>
      </c>
      <c r="T7169" s="33">
        <f>IFERROR(__xludf.DUMMYFUNCTION("""COMPUTED_VALUE"""),0.5)</f>
        <v>0.5</v>
      </c>
      <c r="U7169" s="4" t="str">
        <f>IFERROR(__xludf.DUMMYFUNCTION("""COMPUTED_VALUE"""),"Teknisa Service Ltda")</f>
        <v>Teknisa Service Ltda</v>
      </c>
      <c r="V7169" s="33">
        <f>IFERROR(__xludf.DUMMYFUNCTION("""COMPUTED_VALUE"""),0.5)</f>
        <v>0.5</v>
      </c>
      <c r="W7169" s="4" t="str">
        <f>IFERROR(__xludf.DUMMYFUNCTION("""COMPUTED_VALUE"""),"Teknisa Service Ltda")</f>
        <v>Teknisa Service Ltda</v>
      </c>
      <c r="X7169" s="33">
        <f>IFERROR(__xludf.DUMMYFUNCTION("""COMPUTED_VALUE"""),0.5)</f>
        <v>0.5</v>
      </c>
    </row>
    <row r="7170">
      <c r="K7170" s="4" t="str">
        <f>IFERROR(__xludf.DUMMYFUNCTION("""COMPUTED_VALUE"""),"GRUPO MELDS")</f>
        <v>GRUPO MELDS</v>
      </c>
      <c r="L7170" s="32">
        <f>IFERROR(__xludf.DUMMYFUNCTION("""COMPUTED_VALUE"""),2.0)</f>
        <v>2</v>
      </c>
      <c r="M7170" s="4" t="str">
        <f>IFERROR(__xludf.DUMMYFUNCTION("""COMPUTED_VALUE"""),"null")</f>
        <v>null</v>
      </c>
      <c r="N7170" s="33">
        <f>IFERROR(__xludf.DUMMYFUNCTION("""COMPUTED_VALUE"""),1.0)</f>
        <v>1</v>
      </c>
      <c r="O7170" s="4" t="str">
        <f>IFERROR(__xludf.DUMMYFUNCTION("""COMPUTED_VALUE"""),"null")</f>
        <v>null</v>
      </c>
      <c r="P7170" s="33">
        <f>IFERROR(__xludf.DUMMYFUNCTION("""COMPUTED_VALUE"""),1.0)</f>
        <v>1</v>
      </c>
      <c r="Q7170" s="4" t="str">
        <f>IFERROR(__xludf.DUMMYFUNCTION("""COMPUTED_VALUE"""),"null")</f>
        <v>null</v>
      </c>
      <c r="R7170" s="33">
        <f>IFERROR(__xludf.DUMMYFUNCTION("""COMPUTED_VALUE"""),1.0)</f>
        <v>1</v>
      </c>
      <c r="S7170" s="4" t="str">
        <f>IFERROR(__xludf.DUMMYFUNCTION("""COMPUTED_VALUE"""),"null")</f>
        <v>null</v>
      </c>
      <c r="T7170" s="33">
        <f>IFERROR(__xludf.DUMMYFUNCTION("""COMPUTED_VALUE"""),1.0)</f>
        <v>1</v>
      </c>
      <c r="U7170" s="4" t="str">
        <f>IFERROR(__xludf.DUMMYFUNCTION("""COMPUTED_VALUE"""),"Saipos Serviços De Software")</f>
        <v>Saipos Serviços De Software</v>
      </c>
      <c r="V7170" s="33">
        <f>IFERROR(__xludf.DUMMYFUNCTION("""COMPUTED_VALUE"""),1.0)</f>
        <v>1</v>
      </c>
      <c r="W7170" s="4" t="str">
        <f>IFERROR(__xludf.DUMMYFUNCTION("""COMPUTED_VALUE"""),"null")</f>
        <v>null</v>
      </c>
      <c r="X7170" s="33">
        <f>IFERROR(__xludf.DUMMYFUNCTION("""COMPUTED_VALUE"""),1.0)</f>
        <v>1</v>
      </c>
    </row>
    <row r="7171">
      <c r="K7171" s="4" t="str">
        <f>IFERROR(__xludf.DUMMYFUNCTION("""COMPUTED_VALUE"""),"GRUPO MEMORAVEL BURGER")</f>
        <v>GRUPO MEMORAVEL BURGER</v>
      </c>
      <c r="L7171" s="32">
        <f>IFERROR(__xludf.DUMMYFUNCTION("""COMPUTED_VALUE"""),2.0)</f>
        <v>2</v>
      </c>
      <c r="M7171" s="4" t="str">
        <f>IFERROR(__xludf.DUMMYFUNCTION("""COMPUTED_VALUE"""),"Saipos Serviços De Software")</f>
        <v>Saipos Serviços De Software</v>
      </c>
      <c r="N7171" s="33">
        <f>IFERROR(__xludf.DUMMYFUNCTION("""COMPUTED_VALUE"""),1.0)</f>
        <v>1</v>
      </c>
      <c r="O7171" s="4" t="str">
        <f>IFERROR(__xludf.DUMMYFUNCTION("""COMPUTED_VALUE"""),"Saipos Serviços De Software")</f>
        <v>Saipos Serviços De Software</v>
      </c>
      <c r="P7171" s="33">
        <f>IFERROR(__xludf.DUMMYFUNCTION("""COMPUTED_VALUE"""),1.0)</f>
        <v>1</v>
      </c>
      <c r="Q7171" s="4" t="str">
        <f>IFERROR(__xludf.DUMMYFUNCTION("""COMPUTED_VALUE"""),"Saipos Serviços De Software")</f>
        <v>Saipos Serviços De Software</v>
      </c>
      <c r="R7171" s="33">
        <f>IFERROR(__xludf.DUMMYFUNCTION("""COMPUTED_VALUE"""),1.0)</f>
        <v>1</v>
      </c>
      <c r="S7171" s="4" t="str">
        <f>IFERROR(__xludf.DUMMYFUNCTION("""COMPUTED_VALUE"""),"Saipos Serviços De Software")</f>
        <v>Saipos Serviços De Software</v>
      </c>
      <c r="T7171" s="33">
        <f>IFERROR(__xludf.DUMMYFUNCTION("""COMPUTED_VALUE"""),1.0)</f>
        <v>1</v>
      </c>
      <c r="U7171" s="4" t="str">
        <f>IFERROR(__xludf.DUMMYFUNCTION("""COMPUTED_VALUE"""),"Saipos Serviços De Software")</f>
        <v>Saipos Serviços De Software</v>
      </c>
      <c r="V7171" s="33">
        <f>IFERROR(__xludf.DUMMYFUNCTION("""COMPUTED_VALUE"""),1.0)</f>
        <v>1</v>
      </c>
      <c r="W7171" s="4" t="str">
        <f>IFERROR(__xludf.DUMMYFUNCTION("""COMPUTED_VALUE"""),"Saipos Serviços De Software")</f>
        <v>Saipos Serviços De Software</v>
      </c>
      <c r="X7171" s="33">
        <f>IFERROR(__xludf.DUMMYFUNCTION("""COMPUTED_VALUE"""),1.0)</f>
        <v>1</v>
      </c>
    </row>
    <row r="7172">
      <c r="K7172" s="4" t="str">
        <f>IFERROR(__xludf.DUMMYFUNCTION("""COMPUTED_VALUE"""),"GRUPO MITICO")</f>
        <v>GRUPO MITICO</v>
      </c>
      <c r="L7172" s="32">
        <f>IFERROR(__xludf.DUMMYFUNCTION("""COMPUTED_VALUE"""),2.0)</f>
        <v>2</v>
      </c>
      <c r="M7172" s="4" t="str">
        <f>IFERROR(__xludf.DUMMYFUNCTION("""COMPUTED_VALUE"""),"Zip Software")</f>
        <v>Zip Software</v>
      </c>
      <c r="N7172" s="33">
        <f>IFERROR(__xludf.DUMMYFUNCTION("""COMPUTED_VALUE"""),1.0)</f>
        <v>1</v>
      </c>
      <c r="O7172" s="4" t="str">
        <f>IFERROR(__xludf.DUMMYFUNCTION("""COMPUTED_VALUE"""),"Zip Software")</f>
        <v>Zip Software</v>
      </c>
      <c r="P7172" s="33">
        <f>IFERROR(__xludf.DUMMYFUNCTION("""COMPUTED_VALUE"""),1.0)</f>
        <v>1</v>
      </c>
      <c r="Q7172" s="4" t="str">
        <f>IFERROR(__xludf.DUMMYFUNCTION("""COMPUTED_VALUE"""),"Zip Software")</f>
        <v>Zip Software</v>
      </c>
      <c r="R7172" s="33">
        <f>IFERROR(__xludf.DUMMYFUNCTION("""COMPUTED_VALUE"""),1.0)</f>
        <v>1</v>
      </c>
      <c r="S7172" s="4" t="str">
        <f>IFERROR(__xludf.DUMMYFUNCTION("""COMPUTED_VALUE"""),"Zip Software")</f>
        <v>Zip Software</v>
      </c>
      <c r="T7172" s="33">
        <f>IFERROR(__xludf.DUMMYFUNCTION("""COMPUTED_VALUE"""),1.0)</f>
        <v>1</v>
      </c>
      <c r="U7172" s="4" t="str">
        <f>IFERROR(__xludf.DUMMYFUNCTION("""COMPUTED_VALUE"""),"Zip Software")</f>
        <v>Zip Software</v>
      </c>
      <c r="V7172" s="33">
        <f>IFERROR(__xludf.DUMMYFUNCTION("""COMPUTED_VALUE"""),1.0)</f>
        <v>1</v>
      </c>
      <c r="W7172" s="4" t="str">
        <f>IFERROR(__xludf.DUMMYFUNCTION("""COMPUTED_VALUE"""),"Zip Software")</f>
        <v>Zip Software</v>
      </c>
      <c r="X7172" s="33">
        <f>IFERROR(__xludf.DUMMYFUNCTION("""COMPUTED_VALUE"""),1.0)</f>
        <v>1</v>
      </c>
    </row>
    <row r="7173">
      <c r="K7173" s="4" t="str">
        <f>IFERROR(__xludf.DUMMYFUNCTION("""COMPUTED_VALUE"""),"GRUPO MOMMA DOCES E GELATOS SAUDAVEIS")</f>
        <v>GRUPO MOMMA DOCES E GELATOS SAUDAVEIS</v>
      </c>
      <c r="L7173" s="32">
        <f>IFERROR(__xludf.DUMMYFUNCTION("""COMPUTED_VALUE"""),2.0)</f>
        <v>2</v>
      </c>
      <c r="M7173" s="4" t="str">
        <f>IFERROR(__xludf.DUMMYFUNCTION("""COMPUTED_VALUE"""),"Menew - Linx")</f>
        <v>Menew - Linx</v>
      </c>
      <c r="N7173" s="33">
        <f>IFERROR(__xludf.DUMMYFUNCTION("""COMPUTED_VALUE"""),1.0)</f>
        <v>1</v>
      </c>
      <c r="O7173" s="4" t="str">
        <f>IFERROR(__xludf.DUMMYFUNCTION("""COMPUTED_VALUE"""),"Menew - Linx")</f>
        <v>Menew - Linx</v>
      </c>
      <c r="P7173" s="33">
        <f>IFERROR(__xludf.DUMMYFUNCTION("""COMPUTED_VALUE"""),1.0)</f>
        <v>1</v>
      </c>
      <c r="Q7173" s="4" t="str">
        <f>IFERROR(__xludf.DUMMYFUNCTION("""COMPUTED_VALUE"""),"Menew - Linx")</f>
        <v>Menew - Linx</v>
      </c>
      <c r="R7173" s="33">
        <f>IFERROR(__xludf.DUMMYFUNCTION("""COMPUTED_VALUE"""),1.0)</f>
        <v>1</v>
      </c>
      <c r="S7173" s="4" t="str">
        <f>IFERROR(__xludf.DUMMYFUNCTION("""COMPUTED_VALUE"""),"Menew - Linx")</f>
        <v>Menew - Linx</v>
      </c>
      <c r="T7173" s="33">
        <f>IFERROR(__xludf.DUMMYFUNCTION("""COMPUTED_VALUE"""),1.0)</f>
        <v>1</v>
      </c>
      <c r="U7173" s="4" t="str">
        <f>IFERROR(__xludf.DUMMYFUNCTION("""COMPUTED_VALUE"""),"Menew - Linx")</f>
        <v>Menew - Linx</v>
      </c>
      <c r="V7173" s="33">
        <f>IFERROR(__xludf.DUMMYFUNCTION("""COMPUTED_VALUE"""),1.0)</f>
        <v>1</v>
      </c>
      <c r="W7173" s="4" t="str">
        <f>IFERROR(__xludf.DUMMYFUNCTION("""COMPUTED_VALUE"""),"Menew - Linx")</f>
        <v>Menew - Linx</v>
      </c>
      <c r="X7173" s="33">
        <f>IFERROR(__xludf.DUMMYFUNCTION("""COMPUTED_VALUE"""),1.0)</f>
        <v>1</v>
      </c>
    </row>
    <row r="7174">
      <c r="K7174" s="4" t="str">
        <f>IFERROR(__xludf.DUMMYFUNCTION("""COMPUTED_VALUE"""),"GRUPO MUNDIAL MIX - CONTA PAI")</f>
        <v>GRUPO MUNDIAL MIX - CONTA PAI</v>
      </c>
      <c r="L7174" s="32">
        <f>IFERROR(__xludf.DUMMYFUNCTION("""COMPUTED_VALUE"""),2.0)</f>
        <v>2</v>
      </c>
      <c r="M7174" s="4" t="str">
        <f>IFERROR(__xludf.DUMMYFUNCTION("""COMPUTED_VALUE"""),"N/A (Not found)")</f>
        <v>N/A (Not found)</v>
      </c>
      <c r="N7174" s="33">
        <f>IFERROR(__xludf.DUMMYFUNCTION("""COMPUTED_VALUE"""),1.0)</f>
        <v>1</v>
      </c>
      <c r="O7174" s="4" t="str">
        <f>IFERROR(__xludf.DUMMYFUNCTION("""COMPUTED_VALUE"""),"N/A (Not found)")</f>
        <v>N/A (Not found)</v>
      </c>
      <c r="P7174" s="33">
        <f>IFERROR(__xludf.DUMMYFUNCTION("""COMPUTED_VALUE"""),1.0)</f>
        <v>1</v>
      </c>
      <c r="Q7174" s="4" t="str">
        <f>IFERROR(__xludf.DUMMYFUNCTION("""COMPUTED_VALUE"""),"N/A (Not found)")</f>
        <v>N/A (Not found)</v>
      </c>
      <c r="R7174" s="33">
        <f>IFERROR(__xludf.DUMMYFUNCTION("""COMPUTED_VALUE"""),1.0)</f>
        <v>1</v>
      </c>
      <c r="S7174" s="4" t="str">
        <f>IFERROR(__xludf.DUMMYFUNCTION("""COMPUTED_VALUE"""),"N/A (Not found)")</f>
        <v>N/A (Not found)</v>
      </c>
      <c r="T7174" s="33">
        <f>IFERROR(__xludf.DUMMYFUNCTION("""COMPUTED_VALUE"""),1.0)</f>
        <v>1</v>
      </c>
      <c r="U7174" s="4" t="str">
        <f>IFERROR(__xludf.DUMMYFUNCTION("""COMPUTED_VALUE"""),"N/A (Not found)")</f>
        <v>N/A (Not found)</v>
      </c>
      <c r="V7174" s="33">
        <f>IFERROR(__xludf.DUMMYFUNCTION("""COMPUTED_VALUE"""),1.0)</f>
        <v>1</v>
      </c>
      <c r="W7174" s="4" t="str">
        <f>IFERROR(__xludf.DUMMYFUNCTION("""COMPUTED_VALUE"""),"N/A (Not found)")</f>
        <v>N/A (Not found)</v>
      </c>
      <c r="X7174" s="33">
        <f>IFERROR(__xludf.DUMMYFUNCTION("""COMPUTED_VALUE"""),1.0)</f>
        <v>1</v>
      </c>
    </row>
    <row r="7175">
      <c r="K7175" s="4" t="str">
        <f>IFERROR(__xludf.DUMMYFUNCTION("""COMPUTED_VALUE"""),"GRUPO NA GRELHA")</f>
        <v>GRUPO NA GRELHA</v>
      </c>
      <c r="L7175" s="32">
        <f>IFERROR(__xludf.DUMMYFUNCTION("""COMPUTED_VALUE"""),2.0)</f>
        <v>2</v>
      </c>
      <c r="M7175" s="4" t="str">
        <f>IFERROR(__xludf.DUMMYFUNCTION("""COMPUTED_VALUE"""),"Saipos Serviços De Software")</f>
        <v>Saipos Serviços De Software</v>
      </c>
      <c r="N7175" s="33">
        <f>IFERROR(__xludf.DUMMYFUNCTION("""COMPUTED_VALUE"""),0.5)</f>
        <v>0.5</v>
      </c>
      <c r="O7175" s="4" t="str">
        <f>IFERROR(__xludf.DUMMYFUNCTION("""COMPUTED_VALUE"""),"Saipos Serviços De Software")</f>
        <v>Saipos Serviços De Software</v>
      </c>
      <c r="P7175" s="33">
        <f>IFERROR(__xludf.DUMMYFUNCTION("""COMPUTED_VALUE"""),0.5)</f>
        <v>0.5</v>
      </c>
      <c r="Q7175" s="4" t="str">
        <f>IFERROR(__xludf.DUMMYFUNCTION("""COMPUTED_VALUE"""),"Saipos Serviços De Software")</f>
        <v>Saipos Serviços De Software</v>
      </c>
      <c r="R7175" s="33">
        <f>IFERROR(__xludf.DUMMYFUNCTION("""COMPUTED_VALUE"""),1.0)</f>
        <v>1</v>
      </c>
      <c r="S7175" s="4" t="str">
        <f>IFERROR(__xludf.DUMMYFUNCTION("""COMPUTED_VALUE"""),"Saipos Serviços De Software")</f>
        <v>Saipos Serviços De Software</v>
      </c>
      <c r="T7175" s="33">
        <f>IFERROR(__xludf.DUMMYFUNCTION("""COMPUTED_VALUE"""),1.0)</f>
        <v>1</v>
      </c>
      <c r="U7175" s="4" t="str">
        <f>IFERROR(__xludf.DUMMYFUNCTION("""COMPUTED_VALUE"""),"Saipos Serviços De Software")</f>
        <v>Saipos Serviços De Software</v>
      </c>
      <c r="V7175" s="33">
        <f>IFERROR(__xludf.DUMMYFUNCTION("""COMPUTED_VALUE"""),1.0)</f>
        <v>1</v>
      </c>
      <c r="W7175" s="4" t="str">
        <f>IFERROR(__xludf.DUMMYFUNCTION("""COMPUTED_VALUE"""),"Saipos Serviços De Software")</f>
        <v>Saipos Serviços De Software</v>
      </c>
      <c r="X7175" s="33">
        <f>IFERROR(__xludf.DUMMYFUNCTION("""COMPUTED_VALUE"""),1.0)</f>
        <v>1</v>
      </c>
    </row>
    <row r="7176">
      <c r="K7176" s="4" t="str">
        <f>IFERROR(__xludf.DUMMYFUNCTION("""COMPUTED_VALUE"""),"GRUPO NIPPON GOURMET")</f>
        <v>GRUPO NIPPON GOURMET</v>
      </c>
      <c r="L7176" s="32">
        <f>IFERROR(__xludf.DUMMYFUNCTION("""COMPUTED_VALUE"""),2.0)</f>
        <v>2</v>
      </c>
      <c r="M7176" s="4" t="str">
        <f>IFERROR(__xludf.DUMMYFUNCTION("""COMPUTED_VALUE"""),"Stone Co.")</f>
        <v>Stone Co.</v>
      </c>
      <c r="N7176" s="33">
        <f>IFERROR(__xludf.DUMMYFUNCTION("""COMPUTED_VALUE"""),1.0)</f>
        <v>1</v>
      </c>
      <c r="O7176" s="4" t="str">
        <f>IFERROR(__xludf.DUMMYFUNCTION("""COMPUTED_VALUE"""),"Stone Co.")</f>
        <v>Stone Co.</v>
      </c>
      <c r="P7176" s="33">
        <f>IFERROR(__xludf.DUMMYFUNCTION("""COMPUTED_VALUE"""),1.0)</f>
        <v>1</v>
      </c>
      <c r="Q7176" s="4" t="str">
        <f>IFERROR(__xludf.DUMMYFUNCTION("""COMPUTED_VALUE"""),"Stone Co.")</f>
        <v>Stone Co.</v>
      </c>
      <c r="R7176" s="33">
        <f>IFERROR(__xludf.DUMMYFUNCTION("""COMPUTED_VALUE"""),1.0)</f>
        <v>1</v>
      </c>
      <c r="S7176" s="4" t="str">
        <f>IFERROR(__xludf.DUMMYFUNCTION("""COMPUTED_VALUE"""),"Stone Co.")</f>
        <v>Stone Co.</v>
      </c>
      <c r="T7176" s="33">
        <f>IFERROR(__xludf.DUMMYFUNCTION("""COMPUTED_VALUE"""),1.0)</f>
        <v>1</v>
      </c>
      <c r="U7176" s="4" t="str">
        <f>IFERROR(__xludf.DUMMYFUNCTION("""COMPUTED_VALUE"""),"Stone Co.")</f>
        <v>Stone Co.</v>
      </c>
      <c r="V7176" s="33">
        <f>IFERROR(__xludf.DUMMYFUNCTION("""COMPUTED_VALUE"""),1.0)</f>
        <v>1</v>
      </c>
      <c r="W7176" s="4" t="str">
        <f>IFERROR(__xludf.DUMMYFUNCTION("""COMPUTED_VALUE"""),"Stone Co.")</f>
        <v>Stone Co.</v>
      </c>
      <c r="X7176" s="33">
        <f>IFERROR(__xludf.DUMMYFUNCTION("""COMPUTED_VALUE"""),1.0)</f>
        <v>1</v>
      </c>
    </row>
    <row r="7177">
      <c r="K7177" s="4" t="str">
        <f>IFERROR(__xludf.DUMMYFUNCTION("""COMPUTED_VALUE"""),"NONNA - CT PAI")</f>
        <v>NONNA - CT PAI</v>
      </c>
      <c r="L7177" s="32">
        <f>IFERROR(__xludf.DUMMYFUNCTION("""COMPUTED_VALUE"""),2.0)</f>
        <v>2</v>
      </c>
      <c r="M7177" s="4" t="str">
        <f>IFERROR(__xludf.DUMMYFUNCTION("""COMPUTED_VALUE"""),"null")</f>
        <v>null</v>
      </c>
      <c r="N7177" s="33">
        <f>IFERROR(__xludf.DUMMYFUNCTION("""COMPUTED_VALUE"""),0.5)</f>
        <v>0.5</v>
      </c>
      <c r="O7177" s="4" t="str">
        <f>IFERROR(__xludf.DUMMYFUNCTION("""COMPUTED_VALUE"""),"Saipos Serviços De Software")</f>
        <v>Saipos Serviços De Software</v>
      </c>
      <c r="P7177" s="33">
        <f>IFERROR(__xludf.DUMMYFUNCTION("""COMPUTED_VALUE"""),0.5)</f>
        <v>0.5</v>
      </c>
      <c r="Q7177" s="4" t="str">
        <f>IFERROR(__xludf.DUMMYFUNCTION("""COMPUTED_VALUE"""),"Saipos Serviços De Software")</f>
        <v>Saipos Serviços De Software</v>
      </c>
      <c r="R7177" s="33">
        <f>IFERROR(__xludf.DUMMYFUNCTION("""COMPUTED_VALUE"""),0.5)</f>
        <v>0.5</v>
      </c>
      <c r="S7177" s="4" t="str">
        <f>IFERROR(__xludf.DUMMYFUNCTION("""COMPUTED_VALUE"""),"Saipos Serviços De Software")</f>
        <v>Saipos Serviços De Software</v>
      </c>
      <c r="T7177" s="33">
        <f>IFERROR(__xludf.DUMMYFUNCTION("""COMPUTED_VALUE"""),0.5)</f>
        <v>0.5</v>
      </c>
      <c r="U7177" s="4" t="str">
        <f>IFERROR(__xludf.DUMMYFUNCTION("""COMPUTED_VALUE"""),"Saipos Serviços De Software")</f>
        <v>Saipos Serviços De Software</v>
      </c>
      <c r="V7177" s="33">
        <f>IFERROR(__xludf.DUMMYFUNCTION("""COMPUTED_VALUE"""),0.5)</f>
        <v>0.5</v>
      </c>
      <c r="W7177" s="4" t="str">
        <f>IFERROR(__xludf.DUMMYFUNCTION("""COMPUTED_VALUE"""),"Saipos Serviços De Software")</f>
        <v>Saipos Serviços De Software</v>
      </c>
      <c r="X7177" s="33">
        <f>IFERROR(__xludf.DUMMYFUNCTION("""COMPUTED_VALUE"""),0.5)</f>
        <v>0.5</v>
      </c>
    </row>
    <row r="7178">
      <c r="K7178" s="4" t="str">
        <f>IFERROR(__xludf.DUMMYFUNCTION("""COMPUTED_VALUE"""),"GRUPO NONNA PIZZARIA")</f>
        <v>GRUPO NONNA PIZZARIA</v>
      </c>
      <c r="L7178" s="32">
        <f>IFERROR(__xludf.DUMMYFUNCTION("""COMPUTED_VALUE"""),2.0)</f>
        <v>2</v>
      </c>
      <c r="M7178" s="4" t="str">
        <f>IFERROR(__xludf.DUMMYFUNCTION("""COMPUTED_VALUE"""),"null")</f>
        <v>null</v>
      </c>
      <c r="N7178" s="33">
        <f>IFERROR(__xludf.DUMMYFUNCTION("""COMPUTED_VALUE"""),0.5)</f>
        <v>0.5</v>
      </c>
      <c r="O7178" s="4" t="str">
        <f>IFERROR(__xludf.DUMMYFUNCTION("""COMPUTED_VALUE"""),"Saipos Serviços De Software")</f>
        <v>Saipos Serviços De Software</v>
      </c>
      <c r="P7178" s="33">
        <f>IFERROR(__xludf.DUMMYFUNCTION("""COMPUTED_VALUE"""),0.5)</f>
        <v>0.5</v>
      </c>
      <c r="Q7178" s="4" t="str">
        <f>IFERROR(__xludf.DUMMYFUNCTION("""COMPUTED_VALUE"""),"Saipos Serviços De Software")</f>
        <v>Saipos Serviços De Software</v>
      </c>
      <c r="R7178" s="33">
        <f>IFERROR(__xludf.DUMMYFUNCTION("""COMPUTED_VALUE"""),0.5)</f>
        <v>0.5</v>
      </c>
      <c r="S7178" s="4" t="str">
        <f>IFERROR(__xludf.DUMMYFUNCTION("""COMPUTED_VALUE"""),"Saipos Serviços De Software")</f>
        <v>Saipos Serviços De Software</v>
      </c>
      <c r="T7178" s="33">
        <f>IFERROR(__xludf.DUMMYFUNCTION("""COMPUTED_VALUE"""),0.5)</f>
        <v>0.5</v>
      </c>
      <c r="U7178" s="4" t="str">
        <f>IFERROR(__xludf.DUMMYFUNCTION("""COMPUTED_VALUE"""),"Saipos Serviços De Software")</f>
        <v>Saipos Serviços De Software</v>
      </c>
      <c r="V7178" s="33">
        <f>IFERROR(__xludf.DUMMYFUNCTION("""COMPUTED_VALUE"""),0.5)</f>
        <v>0.5</v>
      </c>
      <c r="W7178" s="4" t="str">
        <f>IFERROR(__xludf.DUMMYFUNCTION("""COMPUTED_VALUE"""),"Saipos Serviços De Software")</f>
        <v>Saipos Serviços De Software</v>
      </c>
      <c r="X7178" s="33">
        <f>IFERROR(__xludf.DUMMYFUNCTION("""COMPUTED_VALUE"""),0.5)</f>
        <v>0.5</v>
      </c>
    </row>
    <row r="7179">
      <c r="K7179" s="4" t="str">
        <f>IFERROR(__xludf.DUMMYFUNCTION("""COMPUTED_VALUE"""),"GRUPO NORIMAKI")</f>
        <v>GRUPO NORIMAKI</v>
      </c>
      <c r="L7179" s="32">
        <f>IFERROR(__xludf.DUMMYFUNCTION("""COMPUTED_VALUE"""),2.0)</f>
        <v>2</v>
      </c>
      <c r="M7179" s="4" t="str">
        <f>IFERROR(__xludf.DUMMYFUNCTION("""COMPUTED_VALUE"""),"Saipos Serviços De Software")</f>
        <v>Saipos Serviços De Software</v>
      </c>
      <c r="N7179" s="33">
        <f>IFERROR(__xludf.DUMMYFUNCTION("""COMPUTED_VALUE"""),1.0)</f>
        <v>1</v>
      </c>
      <c r="O7179" s="4" t="str">
        <f>IFERROR(__xludf.DUMMYFUNCTION("""COMPUTED_VALUE"""),"Saipos Serviços De Software")</f>
        <v>Saipos Serviços De Software</v>
      </c>
      <c r="P7179" s="33">
        <f>IFERROR(__xludf.DUMMYFUNCTION("""COMPUTED_VALUE"""),1.0)</f>
        <v>1</v>
      </c>
      <c r="Q7179" s="4" t="str">
        <f>IFERROR(__xludf.DUMMYFUNCTION("""COMPUTED_VALUE"""),"Saipos Serviços De Software")</f>
        <v>Saipos Serviços De Software</v>
      </c>
      <c r="R7179" s="33">
        <f>IFERROR(__xludf.DUMMYFUNCTION("""COMPUTED_VALUE"""),1.0)</f>
        <v>1</v>
      </c>
      <c r="S7179" s="4" t="str">
        <f>IFERROR(__xludf.DUMMYFUNCTION("""COMPUTED_VALUE"""),"Saipos Serviços De Software")</f>
        <v>Saipos Serviços De Software</v>
      </c>
      <c r="T7179" s="33">
        <f>IFERROR(__xludf.DUMMYFUNCTION("""COMPUTED_VALUE"""),1.0)</f>
        <v>1</v>
      </c>
      <c r="U7179" s="4" t="str">
        <f>IFERROR(__xludf.DUMMYFUNCTION("""COMPUTED_VALUE"""),"Saipos Serviços De Software")</f>
        <v>Saipos Serviços De Software</v>
      </c>
      <c r="V7179" s="33">
        <f>IFERROR(__xludf.DUMMYFUNCTION("""COMPUTED_VALUE"""),1.0)</f>
        <v>1</v>
      </c>
      <c r="W7179" s="4" t="str">
        <f>IFERROR(__xludf.DUMMYFUNCTION("""COMPUTED_VALUE"""),"Saipos Serviços De Software")</f>
        <v>Saipos Serviços De Software</v>
      </c>
      <c r="X7179" s="33">
        <f>IFERROR(__xludf.DUMMYFUNCTION("""COMPUTED_VALUE"""),1.0)</f>
        <v>1</v>
      </c>
    </row>
    <row r="7180">
      <c r="K7180" s="4" t="str">
        <f>IFERROR(__xludf.DUMMYFUNCTION("""COMPUTED_VALUE"""),"GRUPO NOSSO BURGER")</f>
        <v>GRUPO NOSSO BURGER</v>
      </c>
      <c r="L7180" s="32">
        <f>IFERROR(__xludf.DUMMYFUNCTION("""COMPUTED_VALUE"""),2.0)</f>
        <v>2</v>
      </c>
      <c r="M7180" s="4" t="str">
        <f>IFERROR(__xludf.DUMMYFUNCTION("""COMPUTED_VALUE"""),"Zip Software")</f>
        <v>Zip Software</v>
      </c>
      <c r="N7180" s="33">
        <f>IFERROR(__xludf.DUMMYFUNCTION("""COMPUTED_VALUE"""),1.0)</f>
        <v>1</v>
      </c>
      <c r="O7180" s="4" t="str">
        <f>IFERROR(__xludf.DUMMYFUNCTION("""COMPUTED_VALUE"""),"Zip Software")</f>
        <v>Zip Software</v>
      </c>
      <c r="P7180" s="33">
        <f>IFERROR(__xludf.DUMMYFUNCTION("""COMPUTED_VALUE"""),1.0)</f>
        <v>1</v>
      </c>
      <c r="Q7180" s="4" t="str">
        <f>IFERROR(__xludf.DUMMYFUNCTION("""COMPUTED_VALUE"""),"Zip Software")</f>
        <v>Zip Software</v>
      </c>
      <c r="R7180" s="33">
        <f>IFERROR(__xludf.DUMMYFUNCTION("""COMPUTED_VALUE"""),1.0)</f>
        <v>1</v>
      </c>
      <c r="S7180" s="4" t="str">
        <f>IFERROR(__xludf.DUMMYFUNCTION("""COMPUTED_VALUE"""),"Zip Software")</f>
        <v>Zip Software</v>
      </c>
      <c r="T7180" s="33">
        <f>IFERROR(__xludf.DUMMYFUNCTION("""COMPUTED_VALUE"""),1.0)</f>
        <v>1</v>
      </c>
      <c r="U7180" s="4" t="str">
        <f>IFERROR(__xludf.DUMMYFUNCTION("""COMPUTED_VALUE"""),"Zip Software")</f>
        <v>Zip Software</v>
      </c>
      <c r="V7180" s="33">
        <f>IFERROR(__xludf.DUMMYFUNCTION("""COMPUTED_VALUE"""),1.0)</f>
        <v>1</v>
      </c>
      <c r="W7180" s="4" t="str">
        <f>IFERROR(__xludf.DUMMYFUNCTION("""COMPUTED_VALUE"""),"Zip Software")</f>
        <v>Zip Software</v>
      </c>
      <c r="X7180" s="33">
        <f>IFERROR(__xludf.DUMMYFUNCTION("""COMPUTED_VALUE"""),1.0)</f>
        <v>1</v>
      </c>
    </row>
    <row r="7181">
      <c r="K7181" s="4" t="str">
        <f>IFERROR(__xludf.DUMMYFUNCTION("""COMPUTED_VALUE"""),"NOSSO GRANEL")</f>
        <v>NOSSO GRANEL</v>
      </c>
      <c r="L7181" s="32">
        <f>IFERROR(__xludf.DUMMYFUNCTION("""COMPUTED_VALUE"""),2.0)</f>
        <v>2</v>
      </c>
      <c r="M7181" s="4" t="str">
        <f>IFERROR(__xludf.DUMMYFUNCTION("""COMPUTED_VALUE"""),"Syclus")</f>
        <v>Syclus</v>
      </c>
      <c r="N7181" s="33">
        <f>IFERROR(__xludf.DUMMYFUNCTION("""COMPUTED_VALUE"""),1.0)</f>
        <v>1</v>
      </c>
      <c r="O7181" s="4" t="str">
        <f>IFERROR(__xludf.DUMMYFUNCTION("""COMPUTED_VALUE"""),"Syclus")</f>
        <v>Syclus</v>
      </c>
      <c r="P7181" s="33">
        <f>IFERROR(__xludf.DUMMYFUNCTION("""COMPUTED_VALUE"""),1.0)</f>
        <v>1</v>
      </c>
      <c r="Q7181" s="4" t="str">
        <f>IFERROR(__xludf.DUMMYFUNCTION("""COMPUTED_VALUE"""),"Syclus")</f>
        <v>Syclus</v>
      </c>
      <c r="R7181" s="33">
        <f>IFERROR(__xludf.DUMMYFUNCTION("""COMPUTED_VALUE"""),1.0)</f>
        <v>1</v>
      </c>
      <c r="S7181" s="4" t="str">
        <f>IFERROR(__xludf.DUMMYFUNCTION("""COMPUTED_VALUE"""),"Syclus")</f>
        <v>Syclus</v>
      </c>
      <c r="T7181" s="33">
        <f>IFERROR(__xludf.DUMMYFUNCTION("""COMPUTED_VALUE"""),1.0)</f>
        <v>1</v>
      </c>
      <c r="U7181" s="4" t="str">
        <f>IFERROR(__xludf.DUMMYFUNCTION("""COMPUTED_VALUE"""),"Syclus")</f>
        <v>Syclus</v>
      </c>
      <c r="V7181" s="33">
        <f>IFERROR(__xludf.DUMMYFUNCTION("""COMPUTED_VALUE"""),1.0)</f>
        <v>1</v>
      </c>
      <c r="W7181" s="4" t="str">
        <f>IFERROR(__xludf.DUMMYFUNCTION("""COMPUTED_VALUE"""),"Syclus")</f>
        <v>Syclus</v>
      </c>
      <c r="X7181" s="33">
        <f>IFERROR(__xludf.DUMMYFUNCTION("""COMPUTED_VALUE"""),1.0)</f>
        <v>1</v>
      </c>
    </row>
    <row r="7182">
      <c r="K7182" s="4" t="str">
        <f>IFERROR(__xludf.DUMMYFUNCTION("""COMPUTED_VALUE"""),"GRUPO NUGRILL")</f>
        <v>GRUPO NUGRILL</v>
      </c>
      <c r="L7182" s="32">
        <f>IFERROR(__xludf.DUMMYFUNCTION("""COMPUTED_VALUE"""),2.0)</f>
        <v>2</v>
      </c>
      <c r="M7182" s="4" t="str">
        <f>IFERROR(__xludf.DUMMYFUNCTION("""COMPUTED_VALUE"""),"Saipos Serviços De Software")</f>
        <v>Saipos Serviços De Software</v>
      </c>
      <c r="N7182" s="33">
        <f>IFERROR(__xludf.DUMMYFUNCTION("""COMPUTED_VALUE"""),0.5)</f>
        <v>0.5</v>
      </c>
      <c r="O7182" s="4" t="str">
        <f>IFERROR(__xludf.DUMMYFUNCTION("""COMPUTED_VALUE"""),"Saipos Serviços De Software")</f>
        <v>Saipos Serviços De Software</v>
      </c>
      <c r="P7182" s="33">
        <f>IFERROR(__xludf.DUMMYFUNCTION("""COMPUTED_VALUE"""),0.5)</f>
        <v>0.5</v>
      </c>
      <c r="Q7182" s="4" t="str">
        <f>IFERROR(__xludf.DUMMYFUNCTION("""COMPUTED_VALUE"""),"Saipos Serviços De Software")</f>
        <v>Saipos Serviços De Software</v>
      </c>
      <c r="R7182" s="33">
        <f>IFERROR(__xludf.DUMMYFUNCTION("""COMPUTED_VALUE"""),0.5)</f>
        <v>0.5</v>
      </c>
      <c r="S7182" s="4" t="str">
        <f>IFERROR(__xludf.DUMMYFUNCTION("""COMPUTED_VALUE"""),"Saipos Serviços De Software")</f>
        <v>Saipos Serviços De Software</v>
      </c>
      <c r="T7182" s="33">
        <f>IFERROR(__xludf.DUMMYFUNCTION("""COMPUTED_VALUE"""),1.0)</f>
        <v>1</v>
      </c>
      <c r="U7182" s="4" t="str">
        <f>IFERROR(__xludf.DUMMYFUNCTION("""COMPUTED_VALUE"""),"Saipos Serviços De Software")</f>
        <v>Saipos Serviços De Software</v>
      </c>
      <c r="V7182" s="33">
        <f>IFERROR(__xludf.DUMMYFUNCTION("""COMPUTED_VALUE"""),1.0)</f>
        <v>1</v>
      </c>
      <c r="W7182" s="4" t="str">
        <f>IFERROR(__xludf.DUMMYFUNCTION("""COMPUTED_VALUE"""),"Saipos Serviços De Software")</f>
        <v>Saipos Serviços De Software</v>
      </c>
      <c r="X7182" s="33">
        <f>IFERROR(__xludf.DUMMYFUNCTION("""COMPUTED_VALUE"""),1.0)</f>
        <v>1</v>
      </c>
    </row>
    <row r="7183">
      <c r="K7183" s="4" t="str">
        <f>IFERROR(__xludf.DUMMYFUNCTION("""COMPUTED_VALUE"""),"GRUPO O REI DA PIZZA")</f>
        <v>GRUPO O REI DA PIZZA</v>
      </c>
      <c r="L7183" s="32">
        <f>IFERROR(__xludf.DUMMYFUNCTION("""COMPUTED_VALUE"""),2.0)</f>
        <v>2</v>
      </c>
      <c r="M7183" s="4" t="str">
        <f>IFERROR(__xludf.DUMMYFUNCTION("""COMPUTED_VALUE"""),"Anota Ai Solucoes Digitais S/a")</f>
        <v>Anota Ai Solucoes Digitais S/a</v>
      </c>
      <c r="N7183" s="33">
        <f>IFERROR(__xludf.DUMMYFUNCTION("""COMPUTED_VALUE"""),0.5)</f>
        <v>0.5</v>
      </c>
      <c r="O7183" s="4" t="str">
        <f>IFERROR(__xludf.DUMMYFUNCTION("""COMPUTED_VALUE"""),"Anota Ai Solucoes Digitais S/a")</f>
        <v>Anota Ai Solucoes Digitais S/a</v>
      </c>
      <c r="P7183" s="33">
        <f>IFERROR(__xludf.DUMMYFUNCTION("""COMPUTED_VALUE"""),0.5)</f>
        <v>0.5</v>
      </c>
      <c r="Q7183" s="4" t="str">
        <f>IFERROR(__xludf.DUMMYFUNCTION("""COMPUTED_VALUE"""),"Anota Ai Solucoes Digitais S/a")</f>
        <v>Anota Ai Solucoes Digitais S/a</v>
      </c>
      <c r="R7183" s="33">
        <f>IFERROR(__xludf.DUMMYFUNCTION("""COMPUTED_VALUE"""),1.0)</f>
        <v>1</v>
      </c>
      <c r="S7183" s="4" t="str">
        <f>IFERROR(__xludf.DUMMYFUNCTION("""COMPUTED_VALUE"""),"Anota Ai Solucoes Digitais S/a")</f>
        <v>Anota Ai Solucoes Digitais S/a</v>
      </c>
      <c r="T7183" s="33">
        <f>IFERROR(__xludf.DUMMYFUNCTION("""COMPUTED_VALUE"""),1.0)</f>
        <v>1</v>
      </c>
      <c r="U7183" s="4" t="str">
        <f>IFERROR(__xludf.DUMMYFUNCTION("""COMPUTED_VALUE"""),"Anota Ai Solucoes Digitais S/a")</f>
        <v>Anota Ai Solucoes Digitais S/a</v>
      </c>
      <c r="V7183" s="33">
        <f>IFERROR(__xludf.DUMMYFUNCTION("""COMPUTED_VALUE"""),1.0)</f>
        <v>1</v>
      </c>
      <c r="W7183" s="4" t="str">
        <f>IFERROR(__xludf.DUMMYFUNCTION("""COMPUTED_VALUE"""),"Anota Ai Solucoes Digitais S/a")</f>
        <v>Anota Ai Solucoes Digitais S/a</v>
      </c>
      <c r="X7183" s="33">
        <f>IFERROR(__xludf.DUMMYFUNCTION("""COMPUTED_VALUE"""),1.0)</f>
        <v>1</v>
      </c>
    </row>
    <row r="7184">
      <c r="K7184" s="4" t="str">
        <f>IFERROR(__xludf.DUMMYFUNCTION("""COMPUTED_VALUE"""),"GRUPO OBECO")</f>
        <v>GRUPO OBECO</v>
      </c>
      <c r="L7184" s="32">
        <f>IFERROR(__xludf.DUMMYFUNCTION("""COMPUTED_VALUE"""),2.0)</f>
        <v>2</v>
      </c>
      <c r="M7184" s="4" t="str">
        <f>IFERROR(__xludf.DUMMYFUNCTION("""COMPUTED_VALUE"""),"Cardápio Web")</f>
        <v>Cardápio Web</v>
      </c>
      <c r="N7184" s="33">
        <f>IFERROR(__xludf.DUMMYFUNCTION("""COMPUTED_VALUE"""),1.0)</f>
        <v>1</v>
      </c>
      <c r="O7184" s="4" t="str">
        <f>IFERROR(__xludf.DUMMYFUNCTION("""COMPUTED_VALUE"""),"Cardápio Web")</f>
        <v>Cardápio Web</v>
      </c>
      <c r="P7184" s="33">
        <f>IFERROR(__xludf.DUMMYFUNCTION("""COMPUTED_VALUE"""),1.0)</f>
        <v>1</v>
      </c>
      <c r="Q7184" s="4" t="str">
        <f>IFERROR(__xludf.DUMMYFUNCTION("""COMPUTED_VALUE"""),"Cardápio Web")</f>
        <v>Cardápio Web</v>
      </c>
      <c r="R7184" s="33">
        <f>IFERROR(__xludf.DUMMYFUNCTION("""COMPUTED_VALUE"""),1.0)</f>
        <v>1</v>
      </c>
      <c r="S7184" s="4" t="str">
        <f>IFERROR(__xludf.DUMMYFUNCTION("""COMPUTED_VALUE"""),"Cardápio Web")</f>
        <v>Cardápio Web</v>
      </c>
      <c r="T7184" s="33">
        <f>IFERROR(__xludf.DUMMYFUNCTION("""COMPUTED_VALUE"""),0.5)</f>
        <v>0.5</v>
      </c>
      <c r="U7184" s="4" t="str">
        <f>IFERROR(__xludf.DUMMYFUNCTION("""COMPUTED_VALUE"""),"null")</f>
        <v>null</v>
      </c>
      <c r="V7184" s="33">
        <f>IFERROR(__xludf.DUMMYFUNCTION("""COMPUTED_VALUE"""),1.0)</f>
        <v>1</v>
      </c>
      <c r="W7184" s="4" t="str">
        <f>IFERROR(__xludf.DUMMYFUNCTION("""COMPUTED_VALUE"""),"Cardápio Web")</f>
        <v>Cardápio Web</v>
      </c>
      <c r="X7184" s="33">
        <f>IFERROR(__xludf.DUMMYFUNCTION("""COMPUTED_VALUE"""),0.5)</f>
        <v>0.5</v>
      </c>
    </row>
    <row r="7185">
      <c r="K7185" s="4" t="str">
        <f>IFERROR(__xludf.DUMMYFUNCTION("""COMPUTED_VALUE"""),"GRUPO OUTBECO MACAE")</f>
        <v>GRUPO OUTBECO MACAE</v>
      </c>
      <c r="L7185" s="32">
        <f>IFERROR(__xludf.DUMMYFUNCTION("""COMPUTED_VALUE"""),2.0)</f>
        <v>2</v>
      </c>
      <c r="M7185" s="4" t="str">
        <f>IFERROR(__xludf.DUMMYFUNCTION("""COMPUTED_VALUE"""),"Cardápio Web")</f>
        <v>Cardápio Web</v>
      </c>
      <c r="N7185" s="33">
        <f>IFERROR(__xludf.DUMMYFUNCTION("""COMPUTED_VALUE"""),1.0)</f>
        <v>1</v>
      </c>
      <c r="O7185" s="4" t="str">
        <f>IFERROR(__xludf.DUMMYFUNCTION("""COMPUTED_VALUE"""),"Cardápio Web")</f>
        <v>Cardápio Web</v>
      </c>
      <c r="P7185" s="33">
        <f>IFERROR(__xludf.DUMMYFUNCTION("""COMPUTED_VALUE"""),1.0)</f>
        <v>1</v>
      </c>
      <c r="Q7185" s="4" t="str">
        <f>IFERROR(__xludf.DUMMYFUNCTION("""COMPUTED_VALUE"""),"Cardápio Web")</f>
        <v>Cardápio Web</v>
      </c>
      <c r="R7185" s="33">
        <f>IFERROR(__xludf.DUMMYFUNCTION("""COMPUTED_VALUE"""),1.0)</f>
        <v>1</v>
      </c>
      <c r="S7185" s="4" t="str">
        <f>IFERROR(__xludf.DUMMYFUNCTION("""COMPUTED_VALUE"""),"Cardápio Web")</f>
        <v>Cardápio Web</v>
      </c>
      <c r="T7185" s="33">
        <f>IFERROR(__xludf.DUMMYFUNCTION("""COMPUTED_VALUE"""),1.0)</f>
        <v>1</v>
      </c>
      <c r="U7185" s="4" t="str">
        <f>IFERROR(__xludf.DUMMYFUNCTION("""COMPUTED_VALUE"""),"Cardápio Web")</f>
        <v>Cardápio Web</v>
      </c>
      <c r="V7185" s="33">
        <f>IFERROR(__xludf.DUMMYFUNCTION("""COMPUTED_VALUE"""),1.0)</f>
        <v>1</v>
      </c>
      <c r="W7185" s="4" t="str">
        <f>IFERROR(__xludf.DUMMYFUNCTION("""COMPUTED_VALUE"""),"Cardápio Web")</f>
        <v>Cardápio Web</v>
      </c>
      <c r="X7185" s="33">
        <f>IFERROR(__xludf.DUMMYFUNCTION("""COMPUTED_VALUE"""),1.0)</f>
        <v>1</v>
      </c>
    </row>
    <row r="7186">
      <c r="K7186" s="4" t="str">
        <f>IFERROR(__xludf.DUMMYFUNCTION("""COMPUTED_VALUE"""),"GRUPO PAIS E FILHOS")</f>
        <v>GRUPO PAIS E FILHOS</v>
      </c>
      <c r="L7186" s="32">
        <f>IFERROR(__xludf.DUMMYFUNCTION("""COMPUTED_VALUE"""),2.0)</f>
        <v>2</v>
      </c>
      <c r="M7186" s="4" t="str">
        <f>IFERROR(__xludf.DUMMYFUNCTION("""COMPUTED_VALUE"""),"Saipos Serviços De Software")</f>
        <v>Saipos Serviços De Software</v>
      </c>
      <c r="N7186" s="33">
        <f>IFERROR(__xludf.DUMMYFUNCTION("""COMPUTED_VALUE"""),1.0)</f>
        <v>1</v>
      </c>
      <c r="O7186" s="4" t="str">
        <f>IFERROR(__xludf.DUMMYFUNCTION("""COMPUTED_VALUE"""),"Saipos Serviços De Software")</f>
        <v>Saipos Serviços De Software</v>
      </c>
      <c r="P7186" s="33">
        <f>IFERROR(__xludf.DUMMYFUNCTION("""COMPUTED_VALUE"""),1.0)</f>
        <v>1</v>
      </c>
      <c r="Q7186" s="4" t="str">
        <f>IFERROR(__xludf.DUMMYFUNCTION("""COMPUTED_VALUE"""),"Saipos Serviços De Software")</f>
        <v>Saipos Serviços De Software</v>
      </c>
      <c r="R7186" s="33">
        <f>IFERROR(__xludf.DUMMYFUNCTION("""COMPUTED_VALUE"""),1.0)</f>
        <v>1</v>
      </c>
      <c r="S7186" s="4" t="str">
        <f>IFERROR(__xludf.DUMMYFUNCTION("""COMPUTED_VALUE"""),"Saipos Serviços De Software")</f>
        <v>Saipos Serviços De Software</v>
      </c>
      <c r="T7186" s="33">
        <f>IFERROR(__xludf.DUMMYFUNCTION("""COMPUTED_VALUE"""),1.0)</f>
        <v>1</v>
      </c>
      <c r="U7186" s="4" t="str">
        <f>IFERROR(__xludf.DUMMYFUNCTION("""COMPUTED_VALUE"""),"Saipos Serviços De Software")</f>
        <v>Saipos Serviços De Software</v>
      </c>
      <c r="V7186" s="33">
        <f>IFERROR(__xludf.DUMMYFUNCTION("""COMPUTED_VALUE"""),1.0)</f>
        <v>1</v>
      </c>
      <c r="W7186" s="4" t="str">
        <f>IFERROR(__xludf.DUMMYFUNCTION("""COMPUTED_VALUE"""),"Saipos Serviços De Software")</f>
        <v>Saipos Serviços De Software</v>
      </c>
      <c r="X7186" s="33">
        <f>IFERROR(__xludf.DUMMYFUNCTION("""COMPUTED_VALUE"""),1.0)</f>
        <v>1</v>
      </c>
    </row>
    <row r="7187">
      <c r="K7187" s="4" t="str">
        <f>IFERROR(__xludf.DUMMYFUNCTION("""COMPUTED_VALUE"""),"GRUPO PAO DOURADO")</f>
        <v>GRUPO PAO DOURADO</v>
      </c>
      <c r="L7187" s="32">
        <f>IFERROR(__xludf.DUMMYFUNCTION("""COMPUTED_VALUE"""),2.0)</f>
        <v>2</v>
      </c>
      <c r="M7187" s="4" t="str">
        <f>IFERROR(__xludf.DUMMYFUNCTION("""COMPUTED_VALUE"""),"null")</f>
        <v>null</v>
      </c>
      <c r="N7187" s="33">
        <f>IFERROR(__xludf.DUMMYFUNCTION("""COMPUTED_VALUE"""),1.0)</f>
        <v>1</v>
      </c>
      <c r="O7187" s="4" t="str">
        <f>IFERROR(__xludf.DUMMYFUNCTION("""COMPUTED_VALUE"""),"null")</f>
        <v>null</v>
      </c>
      <c r="P7187" s="33">
        <f>IFERROR(__xludf.DUMMYFUNCTION("""COMPUTED_VALUE"""),1.0)</f>
        <v>1</v>
      </c>
      <c r="Q7187" s="4" t="str">
        <f>IFERROR(__xludf.DUMMYFUNCTION("""COMPUTED_VALUE"""),"Lumi Software Ltda")</f>
        <v>Lumi Software Ltda</v>
      </c>
      <c r="R7187" s="33">
        <f>IFERROR(__xludf.DUMMYFUNCTION("""COMPUTED_VALUE"""),0.5)</f>
        <v>0.5</v>
      </c>
      <c r="S7187" s="4" t="str">
        <f>IFERROR(__xludf.DUMMYFUNCTION("""COMPUTED_VALUE"""),"null")</f>
        <v>null</v>
      </c>
      <c r="T7187" s="33">
        <f>IFERROR(__xludf.DUMMYFUNCTION("""COMPUTED_VALUE"""),0.5)</f>
        <v>0.5</v>
      </c>
      <c r="U7187" s="4" t="str">
        <f>IFERROR(__xludf.DUMMYFUNCTION("""COMPUTED_VALUE"""),"null")</f>
        <v>null</v>
      </c>
      <c r="V7187" s="33">
        <f>IFERROR(__xludf.DUMMYFUNCTION("""COMPUTED_VALUE"""),1.0)</f>
        <v>1</v>
      </c>
      <c r="W7187" s="4" t="str">
        <f>IFERROR(__xludf.DUMMYFUNCTION("""COMPUTED_VALUE"""),"null")</f>
        <v>null</v>
      </c>
      <c r="X7187" s="33">
        <f>IFERROR(__xludf.DUMMYFUNCTION("""COMPUTED_VALUE"""),1.0)</f>
        <v>1</v>
      </c>
    </row>
    <row r="7188">
      <c r="K7188" s="4" t="str">
        <f>IFERROR(__xludf.DUMMYFUNCTION("""COMPUTED_VALUE"""),"GRUPO PASTTINI MASSAS")</f>
        <v>GRUPO PASTTINI MASSAS</v>
      </c>
      <c r="L7188" s="32">
        <f>IFERROR(__xludf.DUMMYFUNCTION("""COMPUTED_VALUE"""),2.0)</f>
        <v>2</v>
      </c>
      <c r="M7188" s="4" t="str">
        <f>IFERROR(__xludf.DUMMYFUNCTION("""COMPUTED_VALUE"""),"null")</f>
        <v>null</v>
      </c>
      <c r="N7188" s="33">
        <f>IFERROR(__xludf.DUMMYFUNCTION("""COMPUTED_VALUE"""),0.5)</f>
        <v>0.5</v>
      </c>
      <c r="O7188" s="4" t="str">
        <f>IFERROR(__xludf.DUMMYFUNCTION("""COMPUTED_VALUE"""),"Winfood")</f>
        <v>Winfood</v>
      </c>
      <c r="P7188" s="33">
        <f>IFERROR(__xludf.DUMMYFUNCTION("""COMPUTED_VALUE"""),0.5)</f>
        <v>0.5</v>
      </c>
      <c r="Q7188" s="4" t="str">
        <f>IFERROR(__xludf.DUMMYFUNCTION("""COMPUTED_VALUE"""),"null")</f>
        <v>null</v>
      </c>
      <c r="R7188" s="33">
        <f>IFERROR(__xludf.DUMMYFUNCTION("""COMPUTED_VALUE"""),1.0)</f>
        <v>1</v>
      </c>
      <c r="S7188" s="4" t="str">
        <f>IFERROR(__xludf.DUMMYFUNCTION("""COMPUTED_VALUE"""),"Winfood")</f>
        <v>Winfood</v>
      </c>
      <c r="T7188" s="33">
        <f>IFERROR(__xludf.DUMMYFUNCTION("""COMPUTED_VALUE"""),0.5)</f>
        <v>0.5</v>
      </c>
      <c r="U7188" s="4" t="str">
        <f>IFERROR(__xludf.DUMMYFUNCTION("""COMPUTED_VALUE"""),"Winfood")</f>
        <v>Winfood</v>
      </c>
      <c r="V7188" s="33">
        <f>IFERROR(__xludf.DUMMYFUNCTION("""COMPUTED_VALUE"""),0.5)</f>
        <v>0.5</v>
      </c>
      <c r="W7188" s="4" t="str">
        <f>IFERROR(__xludf.DUMMYFUNCTION("""COMPUTED_VALUE"""),"Winfood")</f>
        <v>Winfood</v>
      </c>
      <c r="X7188" s="33">
        <f>IFERROR(__xludf.DUMMYFUNCTION("""COMPUTED_VALUE"""),0.5)</f>
        <v>0.5</v>
      </c>
    </row>
    <row r="7189">
      <c r="K7189" s="4" t="str">
        <f>IFERROR(__xludf.DUMMYFUNCTION("""COMPUTED_VALUE"""),"GRUPO PAULISTANO LANCHES")</f>
        <v>GRUPO PAULISTANO LANCHES</v>
      </c>
      <c r="L7189" s="32">
        <f>IFERROR(__xludf.DUMMYFUNCTION("""COMPUTED_VALUE"""),2.0)</f>
        <v>2</v>
      </c>
      <c r="M7189" s="4" t="str">
        <f>IFERROR(__xludf.DUMMYFUNCTION("""COMPUTED_VALUE"""),"null")</f>
        <v>null</v>
      </c>
      <c r="N7189" s="33">
        <f>IFERROR(__xludf.DUMMYFUNCTION("""COMPUTED_VALUE"""),1.0)</f>
        <v>1</v>
      </c>
      <c r="O7189" s="4" t="str">
        <f>IFERROR(__xludf.DUMMYFUNCTION("""COMPUTED_VALUE"""),"Saipos Serviços De Software")</f>
        <v>Saipos Serviços De Software</v>
      </c>
      <c r="P7189" s="33">
        <f>IFERROR(__xludf.DUMMYFUNCTION("""COMPUTED_VALUE"""),1.0)</f>
        <v>1</v>
      </c>
      <c r="Q7189" s="4" t="str">
        <f>IFERROR(__xludf.DUMMYFUNCTION("""COMPUTED_VALUE"""),"Saipos Serviços De Software")</f>
        <v>Saipos Serviços De Software</v>
      </c>
      <c r="R7189" s="33">
        <f>IFERROR(__xludf.DUMMYFUNCTION("""COMPUTED_VALUE"""),1.0)</f>
        <v>1</v>
      </c>
      <c r="S7189" s="4" t="str">
        <f>IFERROR(__xludf.DUMMYFUNCTION("""COMPUTED_VALUE"""),"Saipos Serviços De Software")</f>
        <v>Saipos Serviços De Software</v>
      </c>
      <c r="T7189" s="33">
        <f>IFERROR(__xludf.DUMMYFUNCTION("""COMPUTED_VALUE"""),1.0)</f>
        <v>1</v>
      </c>
      <c r="U7189" s="4" t="str">
        <f>IFERROR(__xludf.DUMMYFUNCTION("""COMPUTED_VALUE"""),"null")</f>
        <v>null</v>
      </c>
      <c r="V7189" s="33">
        <f>IFERROR(__xludf.DUMMYFUNCTION("""COMPUTED_VALUE"""),1.0)</f>
        <v>1</v>
      </c>
      <c r="W7189" s="4" t="str">
        <f>IFERROR(__xludf.DUMMYFUNCTION("""COMPUTED_VALUE"""),"null")</f>
        <v>null</v>
      </c>
      <c r="X7189" s="33">
        <f>IFERROR(__xludf.DUMMYFUNCTION("""COMPUTED_VALUE"""),1.0)</f>
        <v>1</v>
      </c>
    </row>
    <row r="7190">
      <c r="K7190" s="4" t="str">
        <f>IFERROR(__xludf.DUMMYFUNCTION("""COMPUTED_VALUE"""),"GRUPO PE DE FEIJOADA")</f>
        <v>GRUPO PE DE FEIJOADA</v>
      </c>
      <c r="L7190" s="32">
        <f>IFERROR(__xludf.DUMMYFUNCTION("""COMPUTED_VALUE"""),2.0)</f>
        <v>2</v>
      </c>
      <c r="M7190" s="4" t="str">
        <f>IFERROR(__xludf.DUMMYFUNCTION("""COMPUTED_VALUE"""),"null")</f>
        <v>null</v>
      </c>
      <c r="N7190" s="33">
        <f>IFERROR(__xludf.DUMMYFUNCTION("""COMPUTED_VALUE"""),1.0)</f>
        <v>1</v>
      </c>
      <c r="O7190" s="4" t="str">
        <f>IFERROR(__xludf.DUMMYFUNCTION("""COMPUTED_VALUE"""),"Saipos Serviços De Software")</f>
        <v>Saipos Serviços De Software</v>
      </c>
      <c r="P7190" s="33">
        <f>IFERROR(__xludf.DUMMYFUNCTION("""COMPUTED_VALUE"""),1.0)</f>
        <v>1</v>
      </c>
      <c r="Q7190" s="4" t="str">
        <f>IFERROR(__xludf.DUMMYFUNCTION("""COMPUTED_VALUE"""),"Saipos Serviços De Software")</f>
        <v>Saipos Serviços De Software</v>
      </c>
      <c r="R7190" s="33">
        <f>IFERROR(__xludf.DUMMYFUNCTION("""COMPUTED_VALUE"""),1.0)</f>
        <v>1</v>
      </c>
      <c r="S7190" s="4" t="str">
        <f>IFERROR(__xludf.DUMMYFUNCTION("""COMPUTED_VALUE"""),"Saipos Serviços De Software")</f>
        <v>Saipos Serviços De Software</v>
      </c>
      <c r="T7190" s="33">
        <f>IFERROR(__xludf.DUMMYFUNCTION("""COMPUTED_VALUE"""),1.0)</f>
        <v>1</v>
      </c>
      <c r="U7190" s="4" t="str">
        <f>IFERROR(__xludf.DUMMYFUNCTION("""COMPUTED_VALUE"""),"Saipos Serviços De Software")</f>
        <v>Saipos Serviços De Software</v>
      </c>
      <c r="V7190" s="33">
        <f>IFERROR(__xludf.DUMMYFUNCTION("""COMPUTED_VALUE"""),1.0)</f>
        <v>1</v>
      </c>
      <c r="W7190" s="4" t="str">
        <f>IFERROR(__xludf.DUMMYFUNCTION("""COMPUTED_VALUE"""),"Saipos Serviços De Software")</f>
        <v>Saipos Serviços De Software</v>
      </c>
      <c r="X7190" s="33">
        <f>IFERROR(__xludf.DUMMYFUNCTION("""COMPUTED_VALUE"""),1.0)</f>
        <v>1</v>
      </c>
    </row>
    <row r="7191">
      <c r="K7191" s="4" t="str">
        <f>IFERROR(__xludf.DUMMYFUNCTION("""COMPUTED_VALUE"""),"GRUPO PETRONIO")</f>
        <v>GRUPO PETRONIO</v>
      </c>
      <c r="L7191" s="32">
        <f>IFERROR(__xludf.DUMMYFUNCTION("""COMPUTED_VALUE"""),2.0)</f>
        <v>2</v>
      </c>
      <c r="M7191" s="4" t="str">
        <f>IFERROR(__xludf.DUMMYFUNCTION("""COMPUTED_VALUE"""),"Delivoro")</f>
        <v>Delivoro</v>
      </c>
      <c r="N7191" s="33">
        <f>IFERROR(__xludf.DUMMYFUNCTION("""COMPUTED_VALUE"""),1.0)</f>
        <v>1</v>
      </c>
      <c r="O7191" s="4" t="str">
        <f>IFERROR(__xludf.DUMMYFUNCTION("""COMPUTED_VALUE"""),"Delivoro")</f>
        <v>Delivoro</v>
      </c>
      <c r="P7191" s="33">
        <f>IFERROR(__xludf.DUMMYFUNCTION("""COMPUTED_VALUE"""),1.0)</f>
        <v>1</v>
      </c>
      <c r="Q7191" s="4" t="str">
        <f>IFERROR(__xludf.DUMMYFUNCTION("""COMPUTED_VALUE"""),"Delivoro")</f>
        <v>Delivoro</v>
      </c>
      <c r="R7191" s="33">
        <f>IFERROR(__xludf.DUMMYFUNCTION("""COMPUTED_VALUE"""),1.0)</f>
        <v>1</v>
      </c>
      <c r="S7191" s="4" t="str">
        <f>IFERROR(__xludf.DUMMYFUNCTION("""COMPUTED_VALUE"""),"Delivoro")</f>
        <v>Delivoro</v>
      </c>
      <c r="T7191" s="33">
        <f>IFERROR(__xludf.DUMMYFUNCTION("""COMPUTED_VALUE"""),1.0)</f>
        <v>1</v>
      </c>
      <c r="U7191" s="4" t="str">
        <f>IFERROR(__xludf.DUMMYFUNCTION("""COMPUTED_VALUE"""),"Delivoro")</f>
        <v>Delivoro</v>
      </c>
      <c r="V7191" s="33">
        <f>IFERROR(__xludf.DUMMYFUNCTION("""COMPUTED_VALUE"""),1.0)</f>
        <v>1</v>
      </c>
      <c r="W7191" s="4" t="str">
        <f>IFERROR(__xludf.DUMMYFUNCTION("""COMPUTED_VALUE"""),"Delivoro")</f>
        <v>Delivoro</v>
      </c>
      <c r="X7191" s="33">
        <f>IFERROR(__xludf.DUMMYFUNCTION("""COMPUTED_VALUE"""),1.0)</f>
        <v>1</v>
      </c>
    </row>
    <row r="7192">
      <c r="K7192" s="4" t="str">
        <f>IFERROR(__xludf.DUMMYFUNCTION("""COMPUTED_VALUE"""),"GRUPO PIZZA HOUSE")</f>
        <v>GRUPO PIZZA HOUSE</v>
      </c>
      <c r="L7192" s="32">
        <f>IFERROR(__xludf.DUMMYFUNCTION("""COMPUTED_VALUE"""),2.0)</f>
        <v>2</v>
      </c>
      <c r="M7192" s="4" t="str">
        <f>IFERROR(__xludf.DUMMYFUNCTION("""COMPUTED_VALUE"""),"Gama Tecnologias Ltda")</f>
        <v>Gama Tecnologias Ltda</v>
      </c>
      <c r="N7192" s="33">
        <f>IFERROR(__xludf.DUMMYFUNCTION("""COMPUTED_VALUE"""),0.5)</f>
        <v>0.5</v>
      </c>
      <c r="O7192" s="4" t="str">
        <f>IFERROR(__xludf.DUMMYFUNCTION("""COMPUTED_VALUE"""),"Gama Tecnologias Ltda")</f>
        <v>Gama Tecnologias Ltda</v>
      </c>
      <c r="P7192" s="33">
        <f>IFERROR(__xludf.DUMMYFUNCTION("""COMPUTED_VALUE"""),0.5)</f>
        <v>0.5</v>
      </c>
      <c r="Q7192" s="4" t="str">
        <f>IFERROR(__xludf.DUMMYFUNCTION("""COMPUTED_VALUE"""),"Gama Tecnologias Ltda")</f>
        <v>Gama Tecnologias Ltda</v>
      </c>
      <c r="R7192" s="33">
        <f>IFERROR(__xludf.DUMMYFUNCTION("""COMPUTED_VALUE"""),0.5)</f>
        <v>0.5</v>
      </c>
      <c r="S7192" s="4" t="str">
        <f>IFERROR(__xludf.DUMMYFUNCTION("""COMPUTED_VALUE"""),"Gama Tecnologias Ltda")</f>
        <v>Gama Tecnologias Ltda</v>
      </c>
      <c r="T7192" s="33">
        <f>IFERROR(__xludf.DUMMYFUNCTION("""COMPUTED_VALUE"""),0.5)</f>
        <v>0.5</v>
      </c>
      <c r="U7192" s="4" t="str">
        <f>IFERROR(__xludf.DUMMYFUNCTION("""COMPUTED_VALUE"""),"Gama Tecnologias Ltda")</f>
        <v>Gama Tecnologias Ltda</v>
      </c>
      <c r="V7192" s="33">
        <f>IFERROR(__xludf.DUMMYFUNCTION("""COMPUTED_VALUE"""),0.5)</f>
        <v>0.5</v>
      </c>
      <c r="W7192" s="4" t="str">
        <f>IFERROR(__xludf.DUMMYFUNCTION("""COMPUTED_VALUE"""),"Gama Tecnologias Ltda")</f>
        <v>Gama Tecnologias Ltda</v>
      </c>
      <c r="X7192" s="33">
        <f>IFERROR(__xludf.DUMMYFUNCTION("""COMPUTED_VALUE"""),0.5)</f>
        <v>0.5</v>
      </c>
    </row>
    <row r="7193">
      <c r="K7193" s="4" t="str">
        <f>IFERROR(__xludf.DUMMYFUNCTION("""COMPUTED_VALUE"""),"GRUPO PIZZARELLA")</f>
        <v>GRUPO PIZZARELLA</v>
      </c>
      <c r="L7193" s="32">
        <f>IFERROR(__xludf.DUMMYFUNCTION("""COMPUTED_VALUE"""),2.0)</f>
        <v>2</v>
      </c>
      <c r="M7193" s="4" t="str">
        <f>IFERROR(__xludf.DUMMYFUNCTION("""COMPUTED_VALUE"""),"Vekttor")</f>
        <v>Vekttor</v>
      </c>
      <c r="N7193" s="33">
        <f>IFERROR(__xludf.DUMMYFUNCTION("""COMPUTED_VALUE"""),0.5)</f>
        <v>0.5</v>
      </c>
      <c r="O7193" s="4" t="str">
        <f>IFERROR(__xludf.DUMMYFUNCTION("""COMPUTED_VALUE"""),"Vekttor")</f>
        <v>Vekttor</v>
      </c>
      <c r="P7193" s="33">
        <f>IFERROR(__xludf.DUMMYFUNCTION("""COMPUTED_VALUE"""),0.5)</f>
        <v>0.5</v>
      </c>
      <c r="Q7193" s="4" t="str">
        <f>IFERROR(__xludf.DUMMYFUNCTION("""COMPUTED_VALUE"""),"Vekttor")</f>
        <v>Vekttor</v>
      </c>
      <c r="R7193" s="33">
        <f>IFERROR(__xludf.DUMMYFUNCTION("""COMPUTED_VALUE"""),0.5)</f>
        <v>0.5</v>
      </c>
      <c r="S7193" s="4" t="str">
        <f>IFERROR(__xludf.DUMMYFUNCTION("""COMPUTED_VALUE"""),"Vekttor")</f>
        <v>Vekttor</v>
      </c>
      <c r="T7193" s="33">
        <f>IFERROR(__xludf.DUMMYFUNCTION("""COMPUTED_VALUE"""),0.5)</f>
        <v>0.5</v>
      </c>
      <c r="U7193" s="4" t="str">
        <f>IFERROR(__xludf.DUMMYFUNCTION("""COMPUTED_VALUE"""),"Vekttor")</f>
        <v>Vekttor</v>
      </c>
      <c r="V7193" s="33">
        <f>IFERROR(__xludf.DUMMYFUNCTION("""COMPUTED_VALUE"""),0.5)</f>
        <v>0.5</v>
      </c>
      <c r="W7193" s="4" t="str">
        <f>IFERROR(__xludf.DUMMYFUNCTION("""COMPUTED_VALUE"""),"Vekttor")</f>
        <v>Vekttor</v>
      </c>
      <c r="X7193" s="33">
        <f>IFERROR(__xludf.DUMMYFUNCTION("""COMPUTED_VALUE"""),0.5)</f>
        <v>0.5</v>
      </c>
    </row>
    <row r="7194">
      <c r="K7194" s="4" t="str">
        <f>IFERROR(__xludf.DUMMYFUNCTION("""COMPUTED_VALUE"""),"GRUPO PIZZARIA MARGHERITTA")</f>
        <v>GRUPO PIZZARIA MARGHERITTA</v>
      </c>
      <c r="L7194" s="32">
        <f>IFERROR(__xludf.DUMMYFUNCTION("""COMPUTED_VALUE"""),2.0)</f>
        <v>2</v>
      </c>
      <c r="M7194" s="4" t="str">
        <f>IFERROR(__xludf.DUMMYFUNCTION("""COMPUTED_VALUE"""),"Cardápio Web")</f>
        <v>Cardápio Web</v>
      </c>
      <c r="N7194" s="33">
        <f>IFERROR(__xludf.DUMMYFUNCTION("""COMPUTED_VALUE"""),1.0)</f>
        <v>1</v>
      </c>
      <c r="O7194" s="4" t="str">
        <f>IFERROR(__xludf.DUMMYFUNCTION("""COMPUTED_VALUE"""),"Cardápio Web")</f>
        <v>Cardápio Web</v>
      </c>
      <c r="P7194" s="33">
        <f>IFERROR(__xludf.DUMMYFUNCTION("""COMPUTED_VALUE"""),1.0)</f>
        <v>1</v>
      </c>
      <c r="Q7194" s="4" t="str">
        <f>IFERROR(__xludf.DUMMYFUNCTION("""COMPUTED_VALUE"""),"Cardápio Web")</f>
        <v>Cardápio Web</v>
      </c>
      <c r="R7194" s="33">
        <f>IFERROR(__xludf.DUMMYFUNCTION("""COMPUTED_VALUE"""),1.0)</f>
        <v>1</v>
      </c>
      <c r="S7194" s="4" t="str">
        <f>IFERROR(__xludf.DUMMYFUNCTION("""COMPUTED_VALUE"""),"Cardápio Web")</f>
        <v>Cardápio Web</v>
      </c>
      <c r="T7194" s="33">
        <f>IFERROR(__xludf.DUMMYFUNCTION("""COMPUTED_VALUE"""),1.0)</f>
        <v>1</v>
      </c>
      <c r="U7194" s="4" t="str">
        <f>IFERROR(__xludf.DUMMYFUNCTION("""COMPUTED_VALUE"""),"Cardápio Web")</f>
        <v>Cardápio Web</v>
      </c>
      <c r="V7194" s="33">
        <f>IFERROR(__xludf.DUMMYFUNCTION("""COMPUTED_VALUE"""),1.0)</f>
        <v>1</v>
      </c>
      <c r="W7194" s="4" t="str">
        <f>IFERROR(__xludf.DUMMYFUNCTION("""COMPUTED_VALUE"""),"Cardápio Web")</f>
        <v>Cardápio Web</v>
      </c>
      <c r="X7194" s="33">
        <f>IFERROR(__xludf.DUMMYFUNCTION("""COMPUTED_VALUE"""),1.0)</f>
        <v>1</v>
      </c>
    </row>
    <row r="7195">
      <c r="K7195" s="4" t="str">
        <f>IFERROR(__xludf.DUMMYFUNCTION("""COMPUTED_VALUE"""),"GRUPO PIZZARIA NONA PINNA")</f>
        <v>GRUPO PIZZARIA NONA PINNA</v>
      </c>
      <c r="L7195" s="32">
        <f>IFERROR(__xludf.DUMMYFUNCTION("""COMPUTED_VALUE"""),2.0)</f>
        <v>2</v>
      </c>
      <c r="M7195" s="4" t="str">
        <f>IFERROR(__xludf.DUMMYFUNCTION("""COMPUTED_VALUE"""),"Expresso Delivery")</f>
        <v>Expresso Delivery</v>
      </c>
      <c r="N7195" s="33">
        <f>IFERROR(__xludf.DUMMYFUNCTION("""COMPUTED_VALUE"""),0.5)</f>
        <v>0.5</v>
      </c>
      <c r="O7195" s="4" t="str">
        <f>IFERROR(__xludf.DUMMYFUNCTION("""COMPUTED_VALUE"""),"Expresso Delivery")</f>
        <v>Expresso Delivery</v>
      </c>
      <c r="P7195" s="33">
        <f>IFERROR(__xludf.DUMMYFUNCTION("""COMPUTED_VALUE"""),0.5)</f>
        <v>0.5</v>
      </c>
      <c r="Q7195" s="4" t="str">
        <f>IFERROR(__xludf.DUMMYFUNCTION("""COMPUTED_VALUE"""),"Expresso Delivery")</f>
        <v>Expresso Delivery</v>
      </c>
      <c r="R7195" s="33">
        <f>IFERROR(__xludf.DUMMYFUNCTION("""COMPUTED_VALUE"""),0.5)</f>
        <v>0.5</v>
      </c>
      <c r="S7195" s="4" t="str">
        <f>IFERROR(__xludf.DUMMYFUNCTION("""COMPUTED_VALUE"""),"Expresso Delivery")</f>
        <v>Expresso Delivery</v>
      </c>
      <c r="T7195" s="33">
        <f>IFERROR(__xludf.DUMMYFUNCTION("""COMPUTED_VALUE"""),0.5)</f>
        <v>0.5</v>
      </c>
      <c r="U7195" s="4" t="str">
        <f>IFERROR(__xludf.DUMMYFUNCTION("""COMPUTED_VALUE"""),"Expresso Delivery")</f>
        <v>Expresso Delivery</v>
      </c>
      <c r="V7195" s="33">
        <f>IFERROR(__xludf.DUMMYFUNCTION("""COMPUTED_VALUE"""),0.5)</f>
        <v>0.5</v>
      </c>
      <c r="W7195" s="4" t="str">
        <f>IFERROR(__xludf.DUMMYFUNCTION("""COMPUTED_VALUE"""),"Expresso Delivery")</f>
        <v>Expresso Delivery</v>
      </c>
      <c r="X7195" s="33">
        <f>IFERROR(__xludf.DUMMYFUNCTION("""COMPUTED_VALUE"""),0.5)</f>
        <v>0.5</v>
      </c>
    </row>
    <row r="7196">
      <c r="K7196" s="4" t="str">
        <f>IFERROR(__xludf.DUMMYFUNCTION("""COMPUTED_VALUE"""),"GRUPO PRAZI - MARCA")</f>
        <v>GRUPO PRAZI - MARCA</v>
      </c>
      <c r="L7196" s="32">
        <f>IFERROR(__xludf.DUMMYFUNCTION("""COMPUTED_VALUE"""),2.0)</f>
        <v>2</v>
      </c>
      <c r="M7196" s="4" t="str">
        <f>IFERROR(__xludf.DUMMYFUNCTION("""COMPUTED_VALUE"""),"Saipos Serviços De Software")</f>
        <v>Saipos Serviços De Software</v>
      </c>
      <c r="N7196" s="33">
        <f>IFERROR(__xludf.DUMMYFUNCTION("""COMPUTED_VALUE"""),1.0)</f>
        <v>1</v>
      </c>
      <c r="O7196" s="4" t="str">
        <f>IFERROR(__xludf.DUMMYFUNCTION("""COMPUTED_VALUE"""),"Saipos Serviços De Software")</f>
        <v>Saipos Serviços De Software</v>
      </c>
      <c r="P7196" s="33">
        <f>IFERROR(__xludf.DUMMYFUNCTION("""COMPUTED_VALUE"""),1.0)</f>
        <v>1</v>
      </c>
      <c r="Q7196" s="4" t="str">
        <f>IFERROR(__xludf.DUMMYFUNCTION("""COMPUTED_VALUE"""),"Saipos Serviços De Software")</f>
        <v>Saipos Serviços De Software</v>
      </c>
      <c r="R7196" s="33">
        <f>IFERROR(__xludf.DUMMYFUNCTION("""COMPUTED_VALUE"""),1.0)</f>
        <v>1</v>
      </c>
      <c r="S7196" s="4" t="str">
        <f>IFERROR(__xludf.DUMMYFUNCTION("""COMPUTED_VALUE"""),"Saipos Serviços De Software")</f>
        <v>Saipos Serviços De Software</v>
      </c>
      <c r="T7196" s="33">
        <f>IFERROR(__xludf.DUMMYFUNCTION("""COMPUTED_VALUE"""),1.0)</f>
        <v>1</v>
      </c>
      <c r="U7196" s="4" t="str">
        <f>IFERROR(__xludf.DUMMYFUNCTION("""COMPUTED_VALUE"""),"Saipos Serviços De Software")</f>
        <v>Saipos Serviços De Software</v>
      </c>
      <c r="V7196" s="33">
        <f>IFERROR(__xludf.DUMMYFUNCTION("""COMPUTED_VALUE"""),1.0)</f>
        <v>1</v>
      </c>
      <c r="W7196" s="4" t="str">
        <f>IFERROR(__xludf.DUMMYFUNCTION("""COMPUTED_VALUE"""),"Saipos Serviços De Software")</f>
        <v>Saipos Serviços De Software</v>
      </c>
      <c r="X7196" s="33">
        <f>IFERROR(__xludf.DUMMYFUNCTION("""COMPUTED_VALUE"""),1.0)</f>
        <v>1</v>
      </c>
    </row>
    <row r="7197">
      <c r="K7197" s="4" t="str">
        <f>IFERROR(__xludf.DUMMYFUNCTION("""COMPUTED_VALUE"""),"GRUPO RECANTO DA PARAIBA")</f>
        <v>GRUPO RECANTO DA PARAIBA</v>
      </c>
      <c r="L7197" s="32">
        <f>IFERROR(__xludf.DUMMYFUNCTION("""COMPUTED_VALUE"""),2.0)</f>
        <v>2</v>
      </c>
      <c r="M7197" s="4" t="str">
        <f>IFERROR(__xludf.DUMMYFUNCTION("""COMPUTED_VALUE"""),"Saipos Serviços De Software")</f>
        <v>Saipos Serviços De Software</v>
      </c>
      <c r="N7197" s="33">
        <f>IFERROR(__xludf.DUMMYFUNCTION("""COMPUTED_VALUE"""),0.5)</f>
        <v>0.5</v>
      </c>
      <c r="O7197" s="4" t="str">
        <f>IFERROR(__xludf.DUMMYFUNCTION("""COMPUTED_VALUE"""),"Saipos Serviços De Software")</f>
        <v>Saipos Serviços De Software</v>
      </c>
      <c r="P7197" s="33">
        <f>IFERROR(__xludf.DUMMYFUNCTION("""COMPUTED_VALUE"""),0.5)</f>
        <v>0.5</v>
      </c>
      <c r="Q7197" s="4" t="str">
        <f>IFERROR(__xludf.DUMMYFUNCTION("""COMPUTED_VALUE"""),"Saipos Serviços De Software")</f>
        <v>Saipos Serviços De Software</v>
      </c>
      <c r="R7197" s="33">
        <f>IFERROR(__xludf.DUMMYFUNCTION("""COMPUTED_VALUE"""),0.5)</f>
        <v>0.5</v>
      </c>
      <c r="S7197" s="4" t="str">
        <f>IFERROR(__xludf.DUMMYFUNCTION("""COMPUTED_VALUE"""),"Saipos Serviços De Software")</f>
        <v>Saipos Serviços De Software</v>
      </c>
      <c r="T7197" s="33">
        <f>IFERROR(__xludf.DUMMYFUNCTION("""COMPUTED_VALUE"""),0.5)</f>
        <v>0.5</v>
      </c>
      <c r="U7197" s="4" t="str">
        <f>IFERROR(__xludf.DUMMYFUNCTION("""COMPUTED_VALUE"""),"Saipos Serviços De Software")</f>
        <v>Saipos Serviços De Software</v>
      </c>
      <c r="V7197" s="33">
        <f>IFERROR(__xludf.DUMMYFUNCTION("""COMPUTED_VALUE"""),0.5)</f>
        <v>0.5</v>
      </c>
      <c r="W7197" s="4" t="str">
        <f>IFERROR(__xludf.DUMMYFUNCTION("""COMPUTED_VALUE"""),"Saipos Serviços De Software")</f>
        <v>Saipos Serviços De Software</v>
      </c>
      <c r="X7197" s="33">
        <f>IFERROR(__xludf.DUMMYFUNCTION("""COMPUTED_VALUE"""),1.0)</f>
        <v>1</v>
      </c>
    </row>
    <row r="7198">
      <c r="K7198" s="4" t="str">
        <f>IFERROR(__xludf.DUMMYFUNCTION("""COMPUTED_VALUE"""),"GRUPO REI DO GALETO SERGIPE")</f>
        <v>GRUPO REI DO GALETO SERGIPE</v>
      </c>
      <c r="L7198" s="32">
        <f>IFERROR(__xludf.DUMMYFUNCTION("""COMPUTED_VALUE"""),2.0)</f>
        <v>2</v>
      </c>
      <c r="M7198" s="4" t="str">
        <f>IFERROR(__xludf.DUMMYFUNCTION("""COMPUTED_VALUE"""),"Menew - Linx")</f>
        <v>Menew - Linx</v>
      </c>
      <c r="N7198" s="33">
        <f>IFERROR(__xludf.DUMMYFUNCTION("""COMPUTED_VALUE"""),1.0)</f>
        <v>1</v>
      </c>
      <c r="O7198" s="4" t="str">
        <f>IFERROR(__xludf.DUMMYFUNCTION("""COMPUTED_VALUE"""),"Menew - Linx")</f>
        <v>Menew - Linx</v>
      </c>
      <c r="P7198" s="33">
        <f>IFERROR(__xludf.DUMMYFUNCTION("""COMPUTED_VALUE"""),1.0)</f>
        <v>1</v>
      </c>
      <c r="Q7198" s="4" t="str">
        <f>IFERROR(__xludf.DUMMYFUNCTION("""COMPUTED_VALUE"""),"Menew - Linx")</f>
        <v>Menew - Linx</v>
      </c>
      <c r="R7198" s="33">
        <f>IFERROR(__xludf.DUMMYFUNCTION("""COMPUTED_VALUE"""),1.0)</f>
        <v>1</v>
      </c>
      <c r="S7198" s="4" t="str">
        <f>IFERROR(__xludf.DUMMYFUNCTION("""COMPUTED_VALUE"""),"Saipos Serviços De Software")</f>
        <v>Saipos Serviços De Software</v>
      </c>
      <c r="T7198" s="33">
        <f>IFERROR(__xludf.DUMMYFUNCTION("""COMPUTED_VALUE"""),1.0)</f>
        <v>1</v>
      </c>
      <c r="U7198" s="4" t="str">
        <f>IFERROR(__xludf.DUMMYFUNCTION("""COMPUTED_VALUE"""),"Saipos Serviços De Software")</f>
        <v>Saipos Serviços De Software</v>
      </c>
      <c r="V7198" s="33">
        <f>IFERROR(__xludf.DUMMYFUNCTION("""COMPUTED_VALUE"""),1.0)</f>
        <v>1</v>
      </c>
      <c r="W7198" s="4" t="str">
        <f>IFERROR(__xludf.DUMMYFUNCTION("""COMPUTED_VALUE"""),"Saipos Serviços De Software")</f>
        <v>Saipos Serviços De Software</v>
      </c>
      <c r="X7198" s="33">
        <f>IFERROR(__xludf.DUMMYFUNCTION("""COMPUTED_VALUE"""),1.0)</f>
        <v>1</v>
      </c>
    </row>
    <row r="7199">
      <c r="K7199" s="4" t="str">
        <f>IFERROR(__xludf.DUMMYFUNCTION("""COMPUTED_VALUE"""),"GRUPO RICK BURGER")</f>
        <v>GRUPO RICK BURGER</v>
      </c>
      <c r="L7199" s="32">
        <f>IFERROR(__xludf.DUMMYFUNCTION("""COMPUTED_VALUE"""),2.0)</f>
        <v>2</v>
      </c>
      <c r="M7199" s="4" t="str">
        <f>IFERROR(__xludf.DUMMYFUNCTION("""COMPUTED_VALUE"""),"Saipos Serviços De Software")</f>
        <v>Saipos Serviços De Software</v>
      </c>
      <c r="N7199" s="33">
        <f>IFERROR(__xludf.DUMMYFUNCTION("""COMPUTED_VALUE"""),1.0)</f>
        <v>1</v>
      </c>
      <c r="O7199" s="4" t="str">
        <f>IFERROR(__xludf.DUMMYFUNCTION("""COMPUTED_VALUE"""),"Saipos Serviços De Software")</f>
        <v>Saipos Serviços De Software</v>
      </c>
      <c r="P7199" s="33">
        <f>IFERROR(__xludf.DUMMYFUNCTION("""COMPUTED_VALUE"""),1.0)</f>
        <v>1</v>
      </c>
      <c r="Q7199" s="4" t="str">
        <f>IFERROR(__xludf.DUMMYFUNCTION("""COMPUTED_VALUE"""),"null")</f>
        <v>null</v>
      </c>
      <c r="R7199" s="33">
        <f>IFERROR(__xludf.DUMMYFUNCTION("""COMPUTED_VALUE"""),0.5)</f>
        <v>0.5</v>
      </c>
      <c r="S7199" s="4" t="str">
        <f>IFERROR(__xludf.DUMMYFUNCTION("""COMPUTED_VALUE"""),"null")</f>
        <v>null</v>
      </c>
      <c r="T7199" s="33">
        <f>IFERROR(__xludf.DUMMYFUNCTION("""COMPUTED_VALUE"""),0.5)</f>
        <v>0.5</v>
      </c>
      <c r="U7199" s="4" t="str">
        <f>IFERROR(__xludf.DUMMYFUNCTION("""COMPUTED_VALUE"""),"Saipos Serviços De Software")</f>
        <v>Saipos Serviços De Software</v>
      </c>
      <c r="V7199" s="33">
        <f>IFERROR(__xludf.DUMMYFUNCTION("""COMPUTED_VALUE"""),1.0)</f>
        <v>1</v>
      </c>
      <c r="W7199" s="4" t="str">
        <f>IFERROR(__xludf.DUMMYFUNCTION("""COMPUTED_VALUE"""),"Saipos Serviços De Software")</f>
        <v>Saipos Serviços De Software</v>
      </c>
      <c r="X7199" s="33">
        <f>IFERROR(__xludf.DUMMYFUNCTION("""COMPUTED_VALUE"""),1.0)</f>
        <v>1</v>
      </c>
    </row>
    <row r="7200">
      <c r="K7200" s="4" t="str">
        <f>IFERROR(__xludf.DUMMYFUNCTION("""COMPUTED_VALUE"""),"GRUPO RISO DELIVERY")</f>
        <v>GRUPO RISO DELIVERY</v>
      </c>
      <c r="L7200" s="32">
        <f>IFERROR(__xludf.DUMMYFUNCTION("""COMPUTED_VALUE"""),2.0)</f>
        <v>2</v>
      </c>
      <c r="M7200" s="4" t="str">
        <f>IFERROR(__xludf.DUMMYFUNCTION("""COMPUTED_VALUE"""),"Totvs Large Enterprise Tecnologia S.a.")</f>
        <v>Totvs Large Enterprise Tecnologia S.a.</v>
      </c>
      <c r="N7200" s="33">
        <f>IFERROR(__xludf.DUMMYFUNCTION("""COMPUTED_VALUE"""),1.0)</f>
        <v>1</v>
      </c>
      <c r="O7200" s="4" t="str">
        <f>IFERROR(__xludf.DUMMYFUNCTION("""COMPUTED_VALUE"""),"Totvs Large Enterprise Tecnologia S.a.")</f>
        <v>Totvs Large Enterprise Tecnologia S.a.</v>
      </c>
      <c r="P7200" s="33">
        <f>IFERROR(__xludf.DUMMYFUNCTION("""COMPUTED_VALUE"""),1.0)</f>
        <v>1</v>
      </c>
      <c r="Q7200" s="4" t="str">
        <f>IFERROR(__xludf.DUMMYFUNCTION("""COMPUTED_VALUE"""),"Totvs Large Enterprise Tecnologia S.a.")</f>
        <v>Totvs Large Enterprise Tecnologia S.a.</v>
      </c>
      <c r="R7200" s="33">
        <f>IFERROR(__xludf.DUMMYFUNCTION("""COMPUTED_VALUE"""),1.0)</f>
        <v>1</v>
      </c>
      <c r="S7200" s="4" t="str">
        <f>IFERROR(__xludf.DUMMYFUNCTION("""COMPUTED_VALUE"""),"Totvs Large Enterprise Tecnologia S.a.")</f>
        <v>Totvs Large Enterprise Tecnologia S.a.</v>
      </c>
      <c r="T7200" s="33">
        <f>IFERROR(__xludf.DUMMYFUNCTION("""COMPUTED_VALUE"""),1.0)</f>
        <v>1</v>
      </c>
      <c r="U7200" s="4" t="str">
        <f>IFERROR(__xludf.DUMMYFUNCTION("""COMPUTED_VALUE"""),"Totvs Large Enterprise Tecnologia S.a.")</f>
        <v>Totvs Large Enterprise Tecnologia S.a.</v>
      </c>
      <c r="V7200" s="33">
        <f>IFERROR(__xludf.DUMMYFUNCTION("""COMPUTED_VALUE"""),1.0)</f>
        <v>1</v>
      </c>
      <c r="W7200" s="4" t="str">
        <f>IFERROR(__xludf.DUMMYFUNCTION("""COMPUTED_VALUE"""),"Totvs Large Enterprise Tecnologia S.a.")</f>
        <v>Totvs Large Enterprise Tecnologia S.a.</v>
      </c>
      <c r="X7200" s="33">
        <f>IFERROR(__xludf.DUMMYFUNCTION("""COMPUTED_VALUE"""),1.0)</f>
        <v>1</v>
      </c>
    </row>
    <row r="7201">
      <c r="K7201" s="4" t="str">
        <f>IFERROR(__xludf.DUMMYFUNCTION("""COMPUTED_VALUE"""),"GRUPO ROMANINI")</f>
        <v>GRUPO ROMANINI</v>
      </c>
      <c r="L7201" s="32">
        <f>IFERROR(__xludf.DUMMYFUNCTION("""COMPUTED_VALUE"""),2.0)</f>
        <v>2</v>
      </c>
      <c r="M7201" s="4" t="str">
        <f>IFERROR(__xludf.DUMMYFUNCTION("""COMPUTED_VALUE"""),"null")</f>
        <v>null</v>
      </c>
      <c r="N7201" s="33">
        <f>IFERROR(__xludf.DUMMYFUNCTION("""COMPUTED_VALUE"""),1.0)</f>
        <v>1</v>
      </c>
      <c r="O7201" s="4" t="str">
        <f>IFERROR(__xludf.DUMMYFUNCTION("""COMPUTED_VALUE"""),"Saipos Serviços De Software")</f>
        <v>Saipos Serviços De Software</v>
      </c>
      <c r="P7201" s="33">
        <f>IFERROR(__xludf.DUMMYFUNCTION("""COMPUTED_VALUE"""),1.0)</f>
        <v>1</v>
      </c>
      <c r="Q7201" s="4" t="str">
        <f>IFERROR(__xludf.DUMMYFUNCTION("""COMPUTED_VALUE"""),"Saipos Serviços De Software")</f>
        <v>Saipos Serviços De Software</v>
      </c>
      <c r="R7201" s="33">
        <f>IFERROR(__xludf.DUMMYFUNCTION("""COMPUTED_VALUE"""),1.0)</f>
        <v>1</v>
      </c>
      <c r="S7201" s="4" t="str">
        <f>IFERROR(__xludf.DUMMYFUNCTION("""COMPUTED_VALUE"""),"Saipos Serviços De Software")</f>
        <v>Saipos Serviços De Software</v>
      </c>
      <c r="T7201" s="33">
        <f>IFERROR(__xludf.DUMMYFUNCTION("""COMPUTED_VALUE"""),1.0)</f>
        <v>1</v>
      </c>
      <c r="U7201" s="4" t="str">
        <f>IFERROR(__xludf.DUMMYFUNCTION("""COMPUTED_VALUE"""),"Saipos Serviços De Software")</f>
        <v>Saipos Serviços De Software</v>
      </c>
      <c r="V7201" s="33">
        <f>IFERROR(__xludf.DUMMYFUNCTION("""COMPUTED_VALUE"""),1.0)</f>
        <v>1</v>
      </c>
      <c r="W7201" s="4" t="str">
        <f>IFERROR(__xludf.DUMMYFUNCTION("""COMPUTED_VALUE"""),"Saipos Serviços De Software")</f>
        <v>Saipos Serviços De Software</v>
      </c>
      <c r="X7201" s="33">
        <f>IFERROR(__xludf.DUMMYFUNCTION("""COMPUTED_VALUE"""),1.0)</f>
        <v>1</v>
      </c>
    </row>
    <row r="7202">
      <c r="K7202" s="4" t="str">
        <f>IFERROR(__xludf.DUMMYFUNCTION("""COMPUTED_VALUE"""),"GRUPO RUEDA")</f>
        <v>GRUPO RUEDA</v>
      </c>
      <c r="L7202" s="32">
        <f>IFERROR(__xludf.DUMMYFUNCTION("""COMPUTED_VALUE"""),2.0)</f>
        <v>2</v>
      </c>
      <c r="M7202" s="4" t="str">
        <f>IFERROR(__xludf.DUMMYFUNCTION("""COMPUTED_VALUE"""),"Teknisa Service Ltda")</f>
        <v>Teknisa Service Ltda</v>
      </c>
      <c r="N7202" s="33">
        <f>IFERROR(__xludf.DUMMYFUNCTION("""COMPUTED_VALUE"""),1.0)</f>
        <v>1</v>
      </c>
      <c r="O7202" s="4" t="str">
        <f>IFERROR(__xludf.DUMMYFUNCTION("""COMPUTED_VALUE"""),"Teknisa Service Ltda")</f>
        <v>Teknisa Service Ltda</v>
      </c>
      <c r="P7202" s="33">
        <f>IFERROR(__xludf.DUMMYFUNCTION("""COMPUTED_VALUE"""),1.0)</f>
        <v>1</v>
      </c>
      <c r="Q7202" s="4" t="str">
        <f>IFERROR(__xludf.DUMMYFUNCTION("""COMPUTED_VALUE"""),"Teknisa Service Ltda")</f>
        <v>Teknisa Service Ltda</v>
      </c>
      <c r="R7202" s="33">
        <f>IFERROR(__xludf.DUMMYFUNCTION("""COMPUTED_VALUE"""),1.0)</f>
        <v>1</v>
      </c>
      <c r="S7202" s="4" t="str">
        <f>IFERROR(__xludf.DUMMYFUNCTION("""COMPUTED_VALUE"""),"Teknisa Service Ltda")</f>
        <v>Teknisa Service Ltda</v>
      </c>
      <c r="T7202" s="33">
        <f>IFERROR(__xludf.DUMMYFUNCTION("""COMPUTED_VALUE"""),1.0)</f>
        <v>1</v>
      </c>
      <c r="U7202" s="4" t="str">
        <f>IFERROR(__xludf.DUMMYFUNCTION("""COMPUTED_VALUE"""),"Teknisa Service Ltda")</f>
        <v>Teknisa Service Ltda</v>
      </c>
      <c r="V7202" s="33">
        <f>IFERROR(__xludf.DUMMYFUNCTION("""COMPUTED_VALUE"""),1.0)</f>
        <v>1</v>
      </c>
      <c r="W7202" s="4" t="str">
        <f>IFERROR(__xludf.DUMMYFUNCTION("""COMPUTED_VALUE"""),"Teknisa Service Ltda")</f>
        <v>Teknisa Service Ltda</v>
      </c>
      <c r="X7202" s="33">
        <f>IFERROR(__xludf.DUMMYFUNCTION("""COMPUTED_VALUE"""),1.0)</f>
        <v>1</v>
      </c>
    </row>
    <row r="7203">
      <c r="K7203" s="4" t="str">
        <f>IFERROR(__xludf.DUMMYFUNCTION("""COMPUTED_VALUE"""),"GRUPO SANDYS SANDWICH SHOP LTDA")</f>
        <v>GRUPO SANDYS SANDWICH SHOP LTDA</v>
      </c>
      <c r="L7203" s="32">
        <f>IFERROR(__xludf.DUMMYFUNCTION("""COMPUTED_VALUE"""),2.0)</f>
        <v>2</v>
      </c>
      <c r="M7203" s="4" t="str">
        <f>IFERROR(__xludf.DUMMYFUNCTION("""COMPUTED_VALUE"""),"Saipos Serviços De Software")</f>
        <v>Saipos Serviços De Software</v>
      </c>
      <c r="N7203" s="33">
        <f>IFERROR(__xludf.DUMMYFUNCTION("""COMPUTED_VALUE"""),1.0)</f>
        <v>1</v>
      </c>
      <c r="O7203" s="4" t="str">
        <f>IFERROR(__xludf.DUMMYFUNCTION("""COMPUTED_VALUE"""),"Saipos Serviços De Software")</f>
        <v>Saipos Serviços De Software</v>
      </c>
      <c r="P7203" s="33">
        <f>IFERROR(__xludf.DUMMYFUNCTION("""COMPUTED_VALUE"""),1.0)</f>
        <v>1</v>
      </c>
      <c r="Q7203" s="4" t="str">
        <f>IFERROR(__xludf.DUMMYFUNCTION("""COMPUTED_VALUE"""),"Saipos Serviços De Software")</f>
        <v>Saipos Serviços De Software</v>
      </c>
      <c r="R7203" s="33">
        <f>IFERROR(__xludf.DUMMYFUNCTION("""COMPUTED_VALUE"""),1.0)</f>
        <v>1</v>
      </c>
      <c r="S7203" s="4" t="str">
        <f>IFERROR(__xludf.DUMMYFUNCTION("""COMPUTED_VALUE"""),"Saipos Serviços De Software")</f>
        <v>Saipos Serviços De Software</v>
      </c>
      <c r="T7203" s="33">
        <f>IFERROR(__xludf.DUMMYFUNCTION("""COMPUTED_VALUE"""),1.0)</f>
        <v>1</v>
      </c>
      <c r="U7203" s="4" t="str">
        <f>IFERROR(__xludf.DUMMYFUNCTION("""COMPUTED_VALUE"""),"Saipos Serviços De Software")</f>
        <v>Saipos Serviços De Software</v>
      </c>
      <c r="V7203" s="33">
        <f>IFERROR(__xludf.DUMMYFUNCTION("""COMPUTED_VALUE"""),1.0)</f>
        <v>1</v>
      </c>
      <c r="W7203" s="4" t="str">
        <f>IFERROR(__xludf.DUMMYFUNCTION("""COMPUTED_VALUE"""),"Saipos Serviços De Software")</f>
        <v>Saipos Serviços De Software</v>
      </c>
      <c r="X7203" s="33">
        <f>IFERROR(__xludf.DUMMYFUNCTION("""COMPUTED_VALUE"""),1.0)</f>
        <v>1</v>
      </c>
    </row>
    <row r="7204">
      <c r="K7204" s="4" t="str">
        <f>IFERROR(__xludf.DUMMYFUNCTION("""COMPUTED_VALUE"""),"MARMITA PRA 2")</f>
        <v>MARMITA PRA 2</v>
      </c>
      <c r="L7204" s="32">
        <f>IFERROR(__xludf.DUMMYFUNCTION("""COMPUTED_VALUE"""),2.0)</f>
        <v>2</v>
      </c>
      <c r="M7204" s="4" t="str">
        <f>IFERROR(__xludf.DUMMYFUNCTION("""COMPUTED_VALUE"""),"Rrd Restaurantes Digitais Ltda")</f>
        <v>Rrd Restaurantes Digitais Ltda</v>
      </c>
      <c r="N7204" s="33">
        <f>IFERROR(__xludf.DUMMYFUNCTION("""COMPUTED_VALUE"""),1.0)</f>
        <v>1</v>
      </c>
      <c r="O7204" s="4" t="str">
        <f>IFERROR(__xludf.DUMMYFUNCTION("""COMPUTED_VALUE"""),"Rrd Restaurantes Digitais Ltda")</f>
        <v>Rrd Restaurantes Digitais Ltda</v>
      </c>
      <c r="P7204" s="33">
        <f>IFERROR(__xludf.DUMMYFUNCTION("""COMPUTED_VALUE"""),1.0)</f>
        <v>1</v>
      </c>
      <c r="Q7204" s="4" t="str">
        <f>IFERROR(__xludf.DUMMYFUNCTION("""COMPUTED_VALUE"""),"Rrd Restaurantes Digitais Ltda")</f>
        <v>Rrd Restaurantes Digitais Ltda</v>
      </c>
      <c r="R7204" s="33">
        <f>IFERROR(__xludf.DUMMYFUNCTION("""COMPUTED_VALUE"""),1.0)</f>
        <v>1</v>
      </c>
      <c r="S7204" s="4" t="str">
        <f>IFERROR(__xludf.DUMMYFUNCTION("""COMPUTED_VALUE"""),"Rrd Restaurantes Digitais Ltda")</f>
        <v>Rrd Restaurantes Digitais Ltda</v>
      </c>
      <c r="T7204" s="33">
        <f>IFERROR(__xludf.DUMMYFUNCTION("""COMPUTED_VALUE"""),1.0)</f>
        <v>1</v>
      </c>
      <c r="U7204" s="4" t="str">
        <f>IFERROR(__xludf.DUMMYFUNCTION("""COMPUTED_VALUE"""),"Rrd Restaurantes Digitais Ltda")</f>
        <v>Rrd Restaurantes Digitais Ltda</v>
      </c>
      <c r="V7204" s="33">
        <f>IFERROR(__xludf.DUMMYFUNCTION("""COMPUTED_VALUE"""),1.0)</f>
        <v>1</v>
      </c>
      <c r="W7204" s="4" t="str">
        <f>IFERROR(__xludf.DUMMYFUNCTION("""COMPUTED_VALUE"""),"Rrd Restaurantes Digitais Ltda")</f>
        <v>Rrd Restaurantes Digitais Ltda</v>
      </c>
      <c r="X7204" s="33">
        <f>IFERROR(__xludf.DUMMYFUNCTION("""COMPUTED_VALUE"""),1.0)</f>
        <v>1</v>
      </c>
    </row>
    <row r="7205">
      <c r="K7205" s="4" t="str">
        <f>IFERROR(__xludf.DUMMYFUNCTION("""COMPUTED_VALUE"""),"SANTA FELICIDADE")</f>
        <v>SANTA FELICIDADE</v>
      </c>
      <c r="L7205" s="32">
        <f>IFERROR(__xludf.DUMMYFUNCTION("""COMPUTED_VALUE"""),2.0)</f>
        <v>2</v>
      </c>
      <c r="M7205" s="4" t="str">
        <f>IFERROR(__xludf.DUMMYFUNCTION("""COMPUTED_VALUE"""),"Rrd Restaurantes Digitais Ltda")</f>
        <v>Rrd Restaurantes Digitais Ltda</v>
      </c>
      <c r="N7205" s="33">
        <f>IFERROR(__xludf.DUMMYFUNCTION("""COMPUTED_VALUE"""),1.0)</f>
        <v>1</v>
      </c>
      <c r="O7205" s="4" t="str">
        <f>IFERROR(__xludf.DUMMYFUNCTION("""COMPUTED_VALUE"""),"Rrd Restaurantes Digitais Ltda")</f>
        <v>Rrd Restaurantes Digitais Ltda</v>
      </c>
      <c r="P7205" s="33">
        <f>IFERROR(__xludf.DUMMYFUNCTION("""COMPUTED_VALUE"""),1.0)</f>
        <v>1</v>
      </c>
      <c r="Q7205" s="4" t="str">
        <f>IFERROR(__xludf.DUMMYFUNCTION("""COMPUTED_VALUE"""),"Rrd Restaurantes Digitais Ltda")</f>
        <v>Rrd Restaurantes Digitais Ltda</v>
      </c>
      <c r="R7205" s="33">
        <f>IFERROR(__xludf.DUMMYFUNCTION("""COMPUTED_VALUE"""),1.0)</f>
        <v>1</v>
      </c>
      <c r="S7205" s="4" t="str">
        <f>IFERROR(__xludf.DUMMYFUNCTION("""COMPUTED_VALUE"""),"Rrd Restaurantes Digitais Ltda")</f>
        <v>Rrd Restaurantes Digitais Ltda</v>
      </c>
      <c r="T7205" s="33">
        <f>IFERROR(__xludf.DUMMYFUNCTION("""COMPUTED_VALUE"""),1.0)</f>
        <v>1</v>
      </c>
      <c r="U7205" s="4" t="str">
        <f>IFERROR(__xludf.DUMMYFUNCTION("""COMPUTED_VALUE"""),"Rrd Restaurantes Digitais Ltda")</f>
        <v>Rrd Restaurantes Digitais Ltda</v>
      </c>
      <c r="V7205" s="33">
        <f>IFERROR(__xludf.DUMMYFUNCTION("""COMPUTED_VALUE"""),1.0)</f>
        <v>1</v>
      </c>
      <c r="W7205" s="4" t="str">
        <f>IFERROR(__xludf.DUMMYFUNCTION("""COMPUTED_VALUE"""),"Rrd Restaurantes Digitais Ltda")</f>
        <v>Rrd Restaurantes Digitais Ltda</v>
      </c>
      <c r="X7205" s="33">
        <f>IFERROR(__xludf.DUMMYFUNCTION("""COMPUTED_VALUE"""),1.0)</f>
        <v>1</v>
      </c>
    </row>
    <row r="7206">
      <c r="K7206" s="4" t="str">
        <f>IFERROR(__xludf.DUMMYFUNCTION("""COMPUTED_VALUE"""),"GRUPO SEU COXINHA")</f>
        <v>GRUPO SEU COXINHA</v>
      </c>
      <c r="L7206" s="32">
        <f>IFERROR(__xludf.DUMMYFUNCTION("""COMPUTED_VALUE"""),2.0)</f>
        <v>2</v>
      </c>
      <c r="M7206" s="4" t="str">
        <f>IFERROR(__xludf.DUMMYFUNCTION("""COMPUTED_VALUE"""),"Menu Integrado")</f>
        <v>Menu Integrado</v>
      </c>
      <c r="N7206" s="33">
        <f>IFERROR(__xludf.DUMMYFUNCTION("""COMPUTED_VALUE"""),1.0)</f>
        <v>1</v>
      </c>
      <c r="O7206" s="4" t="str">
        <f>IFERROR(__xludf.DUMMYFUNCTION("""COMPUTED_VALUE"""),"Menu Integrado")</f>
        <v>Menu Integrado</v>
      </c>
      <c r="P7206" s="33">
        <f>IFERROR(__xludf.DUMMYFUNCTION("""COMPUTED_VALUE"""),1.0)</f>
        <v>1</v>
      </c>
      <c r="Q7206" s="4" t="str">
        <f>IFERROR(__xludf.DUMMYFUNCTION("""COMPUTED_VALUE"""),"Menu Integrado")</f>
        <v>Menu Integrado</v>
      </c>
      <c r="R7206" s="33">
        <f>IFERROR(__xludf.DUMMYFUNCTION("""COMPUTED_VALUE"""),1.0)</f>
        <v>1</v>
      </c>
      <c r="S7206" s="4" t="str">
        <f>IFERROR(__xludf.DUMMYFUNCTION("""COMPUTED_VALUE"""),"Menu Integrado")</f>
        <v>Menu Integrado</v>
      </c>
      <c r="T7206" s="33">
        <f>IFERROR(__xludf.DUMMYFUNCTION("""COMPUTED_VALUE"""),1.0)</f>
        <v>1</v>
      </c>
      <c r="U7206" s="4" t="str">
        <f>IFERROR(__xludf.DUMMYFUNCTION("""COMPUTED_VALUE"""),"Menu Integrado")</f>
        <v>Menu Integrado</v>
      </c>
      <c r="V7206" s="33">
        <f>IFERROR(__xludf.DUMMYFUNCTION("""COMPUTED_VALUE"""),1.0)</f>
        <v>1</v>
      </c>
      <c r="W7206" s="4" t="str">
        <f>IFERROR(__xludf.DUMMYFUNCTION("""COMPUTED_VALUE"""),"Menu Integrado")</f>
        <v>Menu Integrado</v>
      </c>
      <c r="X7206" s="33">
        <f>IFERROR(__xludf.DUMMYFUNCTION("""COMPUTED_VALUE"""),1.0)</f>
        <v>1</v>
      </c>
    </row>
    <row r="7207">
      <c r="K7207" s="4" t="str">
        <f>IFERROR(__xludf.DUMMYFUNCTION("""COMPUTED_VALUE"""),"GRUPO SHARK BURGUER")</f>
        <v>GRUPO SHARK BURGUER</v>
      </c>
      <c r="L7207" s="32">
        <f>IFERROR(__xludf.DUMMYFUNCTION("""COMPUTED_VALUE"""),2.0)</f>
        <v>2</v>
      </c>
      <c r="M7207" s="4" t="str">
        <f>IFERROR(__xludf.DUMMYFUNCTION("""COMPUTED_VALUE"""),"Ncr")</f>
        <v>Ncr</v>
      </c>
      <c r="N7207" s="33">
        <f>IFERROR(__xludf.DUMMYFUNCTION("""COMPUTED_VALUE"""),1.0)</f>
        <v>1</v>
      </c>
      <c r="O7207" s="4" t="str">
        <f>IFERROR(__xludf.DUMMYFUNCTION("""COMPUTED_VALUE"""),"Ncr")</f>
        <v>Ncr</v>
      </c>
      <c r="P7207" s="33">
        <f>IFERROR(__xludf.DUMMYFUNCTION("""COMPUTED_VALUE"""),1.0)</f>
        <v>1</v>
      </c>
      <c r="Q7207" s="4" t="str">
        <f>IFERROR(__xludf.DUMMYFUNCTION("""COMPUTED_VALUE"""),"Ncr")</f>
        <v>Ncr</v>
      </c>
      <c r="R7207" s="33">
        <f>IFERROR(__xludf.DUMMYFUNCTION("""COMPUTED_VALUE"""),1.0)</f>
        <v>1</v>
      </c>
      <c r="S7207" s="4" t="str">
        <f>IFERROR(__xludf.DUMMYFUNCTION("""COMPUTED_VALUE"""),"Saipos Serviços De Software")</f>
        <v>Saipos Serviços De Software</v>
      </c>
      <c r="T7207" s="33">
        <f>IFERROR(__xludf.DUMMYFUNCTION("""COMPUTED_VALUE"""),0.5)</f>
        <v>0.5</v>
      </c>
      <c r="U7207" s="4" t="str">
        <f>IFERROR(__xludf.DUMMYFUNCTION("""COMPUTED_VALUE"""),"Saipos Serviços De Software")</f>
        <v>Saipos Serviços De Software</v>
      </c>
      <c r="V7207" s="33">
        <f>IFERROR(__xludf.DUMMYFUNCTION("""COMPUTED_VALUE"""),1.0)</f>
        <v>1</v>
      </c>
      <c r="W7207" s="4" t="str">
        <f>IFERROR(__xludf.DUMMYFUNCTION("""COMPUTED_VALUE"""),"Saipos Serviços De Software")</f>
        <v>Saipos Serviços De Software</v>
      </c>
      <c r="X7207" s="33">
        <f>IFERROR(__xludf.DUMMYFUNCTION("""COMPUTED_VALUE"""),1.0)</f>
        <v>1</v>
      </c>
    </row>
    <row r="7208">
      <c r="K7208" s="4" t="str">
        <f>IFERROR(__xludf.DUMMYFUNCTION("""COMPUTED_VALUE"""),"GRUPO SKINAO")</f>
        <v>GRUPO SKINAO</v>
      </c>
      <c r="L7208" s="32">
        <f>IFERROR(__xludf.DUMMYFUNCTION("""COMPUTED_VALUE"""),2.0)</f>
        <v>2</v>
      </c>
      <c r="M7208" s="4" t="str">
        <f>IFERROR(__xludf.DUMMYFUNCTION("""COMPUTED_VALUE"""),"Ncr")</f>
        <v>Ncr</v>
      </c>
      <c r="N7208" s="33">
        <f>IFERROR(__xludf.DUMMYFUNCTION("""COMPUTED_VALUE"""),1.0)</f>
        <v>1</v>
      </c>
      <c r="O7208" s="4" t="str">
        <f>IFERROR(__xludf.DUMMYFUNCTION("""COMPUTED_VALUE"""),"Ncr")</f>
        <v>Ncr</v>
      </c>
      <c r="P7208" s="33">
        <f>IFERROR(__xludf.DUMMYFUNCTION("""COMPUTED_VALUE"""),1.0)</f>
        <v>1</v>
      </c>
      <c r="Q7208" s="4" t="str">
        <f>IFERROR(__xludf.DUMMYFUNCTION("""COMPUTED_VALUE"""),"Ncr")</f>
        <v>Ncr</v>
      </c>
      <c r="R7208" s="33">
        <f>IFERROR(__xludf.DUMMYFUNCTION("""COMPUTED_VALUE"""),1.0)</f>
        <v>1</v>
      </c>
      <c r="S7208" s="4" t="str">
        <f>IFERROR(__xludf.DUMMYFUNCTION("""COMPUTED_VALUE"""),"Ncr")</f>
        <v>Ncr</v>
      </c>
      <c r="T7208" s="33">
        <f>IFERROR(__xludf.DUMMYFUNCTION("""COMPUTED_VALUE"""),1.0)</f>
        <v>1</v>
      </c>
      <c r="U7208" s="4" t="str">
        <f>IFERROR(__xludf.DUMMYFUNCTION("""COMPUTED_VALUE"""),"Ncr")</f>
        <v>Ncr</v>
      </c>
      <c r="V7208" s="33">
        <f>IFERROR(__xludf.DUMMYFUNCTION("""COMPUTED_VALUE"""),1.0)</f>
        <v>1</v>
      </c>
      <c r="W7208" s="4" t="str">
        <f>IFERROR(__xludf.DUMMYFUNCTION("""COMPUTED_VALUE"""),"Ncr")</f>
        <v>Ncr</v>
      </c>
      <c r="X7208" s="33">
        <f>IFERROR(__xludf.DUMMYFUNCTION("""COMPUTED_VALUE"""),1.0)</f>
        <v>1</v>
      </c>
    </row>
    <row r="7209">
      <c r="K7209" s="4" t="str">
        <f>IFERROR(__xludf.DUMMYFUNCTION("""COMPUTED_VALUE"""),"GRUPO SKINAO BAURU")</f>
        <v>GRUPO SKINAO BAURU</v>
      </c>
      <c r="L7209" s="32">
        <f>IFERROR(__xludf.DUMMYFUNCTION("""COMPUTED_VALUE"""),2.0)</f>
        <v>2</v>
      </c>
      <c r="M7209" s="4" t="str">
        <f>IFERROR(__xludf.DUMMYFUNCTION("""COMPUTED_VALUE"""),"null")</f>
        <v>null</v>
      </c>
      <c r="N7209" s="33">
        <f>IFERROR(__xludf.DUMMYFUNCTION("""COMPUTED_VALUE"""),0.5)</f>
        <v>0.5</v>
      </c>
      <c r="O7209" s="4" t="str">
        <f>IFERROR(__xludf.DUMMYFUNCTION("""COMPUTED_VALUE"""),"null")</f>
        <v>null</v>
      </c>
      <c r="P7209" s="33">
        <f>IFERROR(__xludf.DUMMYFUNCTION("""COMPUTED_VALUE"""),0.5)</f>
        <v>0.5</v>
      </c>
      <c r="Q7209" s="4" t="str">
        <f>IFERROR(__xludf.DUMMYFUNCTION("""COMPUTED_VALUE"""),"Winfood")</f>
        <v>Winfood</v>
      </c>
      <c r="R7209" s="33">
        <f>IFERROR(__xludf.DUMMYFUNCTION("""COMPUTED_VALUE"""),1.0)</f>
        <v>1</v>
      </c>
      <c r="S7209" s="4" t="str">
        <f>IFERROR(__xludf.DUMMYFUNCTION("""COMPUTED_VALUE"""),"Winfood")</f>
        <v>Winfood</v>
      </c>
      <c r="T7209" s="33">
        <f>IFERROR(__xludf.DUMMYFUNCTION("""COMPUTED_VALUE"""),1.0)</f>
        <v>1</v>
      </c>
      <c r="U7209" s="4" t="str">
        <f>IFERROR(__xludf.DUMMYFUNCTION("""COMPUTED_VALUE"""),"Winfood")</f>
        <v>Winfood</v>
      </c>
      <c r="V7209" s="33">
        <f>IFERROR(__xludf.DUMMYFUNCTION("""COMPUTED_VALUE"""),1.0)</f>
        <v>1</v>
      </c>
      <c r="W7209" s="4" t="str">
        <f>IFERROR(__xludf.DUMMYFUNCTION("""COMPUTED_VALUE"""),"Winfood")</f>
        <v>Winfood</v>
      </c>
      <c r="X7209" s="33">
        <f>IFERROR(__xludf.DUMMYFUNCTION("""COMPUTED_VALUE"""),1.0)</f>
        <v>1</v>
      </c>
    </row>
    <row r="7210">
      <c r="K7210" s="4" t="str">
        <f>IFERROR(__xludf.DUMMYFUNCTION("""COMPUTED_VALUE"""),"GRUPO SNEK - CONTA MARCA")</f>
        <v>GRUPO SNEK - CONTA MARCA</v>
      </c>
      <c r="L7210" s="32">
        <f>IFERROR(__xludf.DUMMYFUNCTION("""COMPUTED_VALUE"""),2.0)</f>
        <v>2</v>
      </c>
      <c r="M7210" s="4" t="str">
        <f>IFERROR(__xludf.DUMMYFUNCTION("""COMPUTED_VALUE"""),"null")</f>
        <v>null</v>
      </c>
      <c r="N7210" s="33">
        <f>IFERROR(__xludf.DUMMYFUNCTION("""COMPUTED_VALUE"""),0.5)</f>
        <v>0.5</v>
      </c>
      <c r="O7210" s="4" t="str">
        <f>IFERROR(__xludf.DUMMYFUNCTION("""COMPUTED_VALUE"""),"null")</f>
        <v>null</v>
      </c>
      <c r="P7210" s="33">
        <f>IFERROR(__xludf.DUMMYFUNCTION("""COMPUTED_VALUE"""),0.5)</f>
        <v>0.5</v>
      </c>
      <c r="Q7210" s="4" t="str">
        <f>IFERROR(__xludf.DUMMYFUNCTION("""COMPUTED_VALUE"""),"null")</f>
        <v>null</v>
      </c>
      <c r="R7210" s="33">
        <f>IFERROR(__xludf.DUMMYFUNCTION("""COMPUTED_VALUE"""),0.5)</f>
        <v>0.5</v>
      </c>
      <c r="S7210" s="4" t="str">
        <f>IFERROR(__xludf.DUMMYFUNCTION("""COMPUTED_VALUE"""),"Saipos Serviços De Software")</f>
        <v>Saipos Serviços De Software</v>
      </c>
      <c r="T7210" s="33">
        <f>IFERROR(__xludf.DUMMYFUNCTION("""COMPUTED_VALUE"""),1.0)</f>
        <v>1</v>
      </c>
      <c r="U7210" s="4" t="str">
        <f>IFERROR(__xludf.DUMMYFUNCTION("""COMPUTED_VALUE"""),"Saipos Serviços De Software")</f>
        <v>Saipos Serviços De Software</v>
      </c>
      <c r="V7210" s="33">
        <f>IFERROR(__xludf.DUMMYFUNCTION("""COMPUTED_VALUE"""),1.0)</f>
        <v>1</v>
      </c>
      <c r="W7210" s="4" t="str">
        <f>IFERROR(__xludf.DUMMYFUNCTION("""COMPUTED_VALUE"""),"Saipos Serviços De Software")</f>
        <v>Saipos Serviços De Software</v>
      </c>
      <c r="X7210" s="33">
        <f>IFERROR(__xludf.DUMMYFUNCTION("""COMPUTED_VALUE"""),1.0)</f>
        <v>1</v>
      </c>
    </row>
    <row r="7211">
      <c r="K7211" s="4" t="str">
        <f>IFERROR(__xludf.DUMMYFUNCTION("""COMPUTED_VALUE"""),"SNOOPY DOGS DOGUERIA - LANCHES")</f>
        <v>SNOOPY DOGS DOGUERIA - LANCHES</v>
      </c>
      <c r="L7211" s="32">
        <f>IFERROR(__xludf.DUMMYFUNCTION("""COMPUTED_VALUE"""),2.0)</f>
        <v>2</v>
      </c>
      <c r="M7211" s="4" t="str">
        <f>IFERROR(__xludf.DUMMYFUNCTION("""COMPUTED_VALUE"""),"Saipos Serviços De Software")</f>
        <v>Saipos Serviços De Software</v>
      </c>
      <c r="N7211" s="33">
        <f>IFERROR(__xludf.DUMMYFUNCTION("""COMPUTED_VALUE"""),0.5)</f>
        <v>0.5</v>
      </c>
      <c r="O7211" s="4" t="str">
        <f>IFERROR(__xludf.DUMMYFUNCTION("""COMPUTED_VALUE"""),"Saipos Serviços De Software")</f>
        <v>Saipos Serviços De Software</v>
      </c>
      <c r="P7211" s="33">
        <f>IFERROR(__xludf.DUMMYFUNCTION("""COMPUTED_VALUE"""),0.5)</f>
        <v>0.5</v>
      </c>
      <c r="Q7211" s="4" t="str">
        <f>IFERROR(__xludf.DUMMYFUNCTION("""COMPUTED_VALUE"""),"Saipos Serviços De Software")</f>
        <v>Saipos Serviços De Software</v>
      </c>
      <c r="R7211" s="33">
        <f>IFERROR(__xludf.DUMMYFUNCTION("""COMPUTED_VALUE"""),0.5)</f>
        <v>0.5</v>
      </c>
      <c r="S7211" s="4" t="str">
        <f>IFERROR(__xludf.DUMMYFUNCTION("""COMPUTED_VALUE"""),"Saipos Serviços De Software")</f>
        <v>Saipos Serviços De Software</v>
      </c>
      <c r="T7211" s="33">
        <f>IFERROR(__xludf.DUMMYFUNCTION("""COMPUTED_VALUE"""),0.5)</f>
        <v>0.5</v>
      </c>
      <c r="U7211" s="4" t="str">
        <f>IFERROR(__xludf.DUMMYFUNCTION("""COMPUTED_VALUE"""),"Saipos Serviços De Software")</f>
        <v>Saipos Serviços De Software</v>
      </c>
      <c r="V7211" s="33">
        <f>IFERROR(__xludf.DUMMYFUNCTION("""COMPUTED_VALUE"""),0.5)</f>
        <v>0.5</v>
      </c>
      <c r="W7211" s="4" t="str">
        <f>IFERROR(__xludf.DUMMYFUNCTION("""COMPUTED_VALUE"""),"Saipos Serviços De Software")</f>
        <v>Saipos Serviços De Software</v>
      </c>
      <c r="X7211" s="33">
        <f>IFERROR(__xludf.DUMMYFUNCTION("""COMPUTED_VALUE"""),0.5)</f>
        <v>0.5</v>
      </c>
    </row>
    <row r="7212">
      <c r="K7212" s="4" t="str">
        <f>IFERROR(__xludf.DUMMYFUNCTION("""COMPUTED_VALUE"""),"GRUPO SNOOPY DOGS")</f>
        <v>GRUPO SNOOPY DOGS</v>
      </c>
      <c r="L7212" s="32">
        <f>IFERROR(__xludf.DUMMYFUNCTION("""COMPUTED_VALUE"""),2.0)</f>
        <v>2</v>
      </c>
      <c r="M7212" s="4" t="str">
        <f>IFERROR(__xludf.DUMMYFUNCTION("""COMPUTED_VALUE"""),"Saipos Serviços De Software")</f>
        <v>Saipos Serviços De Software</v>
      </c>
      <c r="N7212" s="33">
        <f>IFERROR(__xludf.DUMMYFUNCTION("""COMPUTED_VALUE"""),0.5)</f>
        <v>0.5</v>
      </c>
      <c r="O7212" s="4" t="str">
        <f>IFERROR(__xludf.DUMMYFUNCTION("""COMPUTED_VALUE"""),"Saipos Serviços De Software")</f>
        <v>Saipos Serviços De Software</v>
      </c>
      <c r="P7212" s="33">
        <f>IFERROR(__xludf.DUMMYFUNCTION("""COMPUTED_VALUE"""),0.5)</f>
        <v>0.5</v>
      </c>
      <c r="Q7212" s="4" t="str">
        <f>IFERROR(__xludf.DUMMYFUNCTION("""COMPUTED_VALUE"""),"Saipos Serviços De Software")</f>
        <v>Saipos Serviços De Software</v>
      </c>
      <c r="R7212" s="33">
        <f>IFERROR(__xludf.DUMMYFUNCTION("""COMPUTED_VALUE"""),0.5)</f>
        <v>0.5</v>
      </c>
      <c r="S7212" s="4" t="str">
        <f>IFERROR(__xludf.DUMMYFUNCTION("""COMPUTED_VALUE"""),"Saipos Serviços De Software")</f>
        <v>Saipos Serviços De Software</v>
      </c>
      <c r="T7212" s="33">
        <f>IFERROR(__xludf.DUMMYFUNCTION("""COMPUTED_VALUE"""),0.5)</f>
        <v>0.5</v>
      </c>
      <c r="U7212" s="4" t="str">
        <f>IFERROR(__xludf.DUMMYFUNCTION("""COMPUTED_VALUE"""),"Saipos Serviços De Software")</f>
        <v>Saipos Serviços De Software</v>
      </c>
      <c r="V7212" s="33">
        <f>IFERROR(__xludf.DUMMYFUNCTION("""COMPUTED_VALUE"""),0.5)</f>
        <v>0.5</v>
      </c>
      <c r="W7212" s="4" t="str">
        <f>IFERROR(__xludf.DUMMYFUNCTION("""COMPUTED_VALUE"""),"Saipos Serviços De Software")</f>
        <v>Saipos Serviços De Software</v>
      </c>
      <c r="X7212" s="33">
        <f>IFERROR(__xludf.DUMMYFUNCTION("""COMPUTED_VALUE"""),0.5)</f>
        <v>0.5</v>
      </c>
    </row>
    <row r="7213">
      <c r="K7213" s="4" t="str">
        <f>IFERROR(__xludf.DUMMYFUNCTION("""COMPUTED_VALUE"""),"GRUPO SO SABOR")</f>
        <v>GRUPO SO SABOR</v>
      </c>
      <c r="L7213" s="32">
        <f>IFERROR(__xludf.DUMMYFUNCTION("""COMPUTED_VALUE"""),2.0)</f>
        <v>2</v>
      </c>
      <c r="M7213" s="4" t="str">
        <f>IFERROR(__xludf.DUMMYFUNCTION("""COMPUTED_VALUE"""),"null")</f>
        <v>null</v>
      </c>
      <c r="N7213" s="33">
        <f>IFERROR(__xludf.DUMMYFUNCTION("""COMPUTED_VALUE"""),1.0)</f>
        <v>1</v>
      </c>
      <c r="O7213" s="4" t="str">
        <f>IFERROR(__xludf.DUMMYFUNCTION("""COMPUTED_VALUE"""),"null")</f>
        <v>null</v>
      </c>
      <c r="P7213" s="33">
        <f>IFERROR(__xludf.DUMMYFUNCTION("""COMPUTED_VALUE"""),1.0)</f>
        <v>1</v>
      </c>
      <c r="Q7213" s="4" t="str">
        <f>IFERROR(__xludf.DUMMYFUNCTION("""COMPUTED_VALUE"""),"null")</f>
        <v>null</v>
      </c>
      <c r="R7213" s="33">
        <f>IFERROR(__xludf.DUMMYFUNCTION("""COMPUTED_VALUE"""),1.0)</f>
        <v>1</v>
      </c>
      <c r="S7213" s="4" t="str">
        <f>IFERROR(__xludf.DUMMYFUNCTION("""COMPUTED_VALUE"""),"null")</f>
        <v>null</v>
      </c>
      <c r="T7213" s="33">
        <f>IFERROR(__xludf.DUMMYFUNCTION("""COMPUTED_VALUE"""),1.0)</f>
        <v>1</v>
      </c>
      <c r="U7213" s="4" t="str">
        <f>IFERROR(__xludf.DUMMYFUNCTION("""COMPUTED_VALUE"""),"Saipos Serviços De Software")</f>
        <v>Saipos Serviços De Software</v>
      </c>
      <c r="V7213" s="33">
        <f>IFERROR(__xludf.DUMMYFUNCTION("""COMPUTED_VALUE"""),1.0)</f>
        <v>1</v>
      </c>
      <c r="W7213" s="4" t="str">
        <f>IFERROR(__xludf.DUMMYFUNCTION("""COMPUTED_VALUE"""),"Saipos Serviços De Software")</f>
        <v>Saipos Serviços De Software</v>
      </c>
      <c r="X7213" s="33">
        <f>IFERROR(__xludf.DUMMYFUNCTION("""COMPUTED_VALUE"""),1.0)</f>
        <v>1</v>
      </c>
    </row>
    <row r="7214">
      <c r="K7214" s="4" t="str">
        <f>IFERROR(__xludf.DUMMYFUNCTION("""COMPUTED_VALUE"""),"GRUPO SPICY TUNA HAWAIIAN FOOD - POKE")</f>
        <v>GRUPO SPICY TUNA HAWAIIAN FOOD - POKE</v>
      </c>
      <c r="L7214" s="32">
        <f>IFERROR(__xludf.DUMMYFUNCTION("""COMPUTED_VALUE"""),2.0)</f>
        <v>2</v>
      </c>
      <c r="M7214" s="4" t="str">
        <f>IFERROR(__xludf.DUMMYFUNCTION("""COMPUTED_VALUE"""),"Anota Ai Solucoes Digitais S/a")</f>
        <v>Anota Ai Solucoes Digitais S/a</v>
      </c>
      <c r="N7214" s="33">
        <f>IFERROR(__xludf.DUMMYFUNCTION("""COMPUTED_VALUE"""),0.5)</f>
        <v>0.5</v>
      </c>
      <c r="O7214" s="4" t="str">
        <f>IFERROR(__xludf.DUMMYFUNCTION("""COMPUTED_VALUE"""),"Anota Ai Solucoes Digitais S/a")</f>
        <v>Anota Ai Solucoes Digitais S/a</v>
      </c>
      <c r="P7214" s="33">
        <f>IFERROR(__xludf.DUMMYFUNCTION("""COMPUTED_VALUE"""),0.5)</f>
        <v>0.5</v>
      </c>
      <c r="Q7214" s="4" t="str">
        <f>IFERROR(__xludf.DUMMYFUNCTION("""COMPUTED_VALUE"""),"Anota Ai Solucoes Digitais S/a")</f>
        <v>Anota Ai Solucoes Digitais S/a</v>
      </c>
      <c r="R7214" s="33">
        <f>IFERROR(__xludf.DUMMYFUNCTION("""COMPUTED_VALUE"""),0.5)</f>
        <v>0.5</v>
      </c>
      <c r="S7214" s="4" t="str">
        <f>IFERROR(__xludf.DUMMYFUNCTION("""COMPUTED_VALUE"""),"null")</f>
        <v>null</v>
      </c>
      <c r="T7214" s="33">
        <f>IFERROR(__xludf.DUMMYFUNCTION("""COMPUTED_VALUE"""),0.5)</f>
        <v>0.5</v>
      </c>
      <c r="U7214" s="4" t="str">
        <f>IFERROR(__xludf.DUMMYFUNCTION("""COMPUTED_VALUE"""),"null")</f>
        <v>null</v>
      </c>
      <c r="V7214" s="33">
        <f>IFERROR(__xludf.DUMMYFUNCTION("""COMPUTED_VALUE"""),0.5)</f>
        <v>0.5</v>
      </c>
      <c r="W7214" s="4" t="str">
        <f>IFERROR(__xludf.DUMMYFUNCTION("""COMPUTED_VALUE"""),"null")</f>
        <v>null</v>
      </c>
      <c r="X7214" s="33">
        <f>IFERROR(__xludf.DUMMYFUNCTION("""COMPUTED_VALUE"""),0.5)</f>
        <v>0.5</v>
      </c>
    </row>
    <row r="7215">
      <c r="K7215" s="4" t="str">
        <f>IFERROR(__xludf.DUMMYFUNCTION("""COMPUTED_VALUE"""),"GRUPO SR FILET")</f>
        <v>GRUPO SR FILET</v>
      </c>
      <c r="L7215" s="32">
        <f>IFERROR(__xludf.DUMMYFUNCTION("""COMPUTED_VALUE"""),2.0)</f>
        <v>2</v>
      </c>
      <c r="M7215" s="4" t="str">
        <f>IFERROR(__xludf.DUMMYFUNCTION("""COMPUTED_VALUE"""),"Waybe Soluções Em Tecnologia Da Informação Ltda")</f>
        <v>Waybe Soluções Em Tecnologia Da Informação Ltda</v>
      </c>
      <c r="N7215" s="33">
        <f>IFERROR(__xludf.DUMMYFUNCTION("""COMPUTED_VALUE"""),1.0)</f>
        <v>1</v>
      </c>
      <c r="O7215" s="4" t="str">
        <f>IFERROR(__xludf.DUMMYFUNCTION("""COMPUTED_VALUE"""),"Waybe Soluções Em Tecnologia Da Informação Ltda")</f>
        <v>Waybe Soluções Em Tecnologia Da Informação Ltda</v>
      </c>
      <c r="P7215" s="33">
        <f>IFERROR(__xludf.DUMMYFUNCTION("""COMPUTED_VALUE"""),0.5)</f>
        <v>0.5</v>
      </c>
      <c r="Q7215" s="4" t="str">
        <f>IFERROR(__xludf.DUMMYFUNCTION("""COMPUTED_VALUE"""),"Waybe Soluções Em Tecnologia Da Informação Ltda")</f>
        <v>Waybe Soluções Em Tecnologia Da Informação Ltda</v>
      </c>
      <c r="R7215" s="33">
        <f>IFERROR(__xludf.DUMMYFUNCTION("""COMPUTED_VALUE"""),1.0)</f>
        <v>1</v>
      </c>
      <c r="S7215" s="4" t="str">
        <f>IFERROR(__xludf.DUMMYFUNCTION("""COMPUTED_VALUE"""),"Waybe Soluções Em Tecnologia Da Informação Ltda")</f>
        <v>Waybe Soluções Em Tecnologia Da Informação Ltda</v>
      </c>
      <c r="T7215" s="33">
        <f>IFERROR(__xludf.DUMMYFUNCTION("""COMPUTED_VALUE"""),0.5)</f>
        <v>0.5</v>
      </c>
      <c r="U7215" s="4" t="str">
        <f>IFERROR(__xludf.DUMMYFUNCTION("""COMPUTED_VALUE"""),"Waybe Soluções Em Tecnologia Da Informação Ltda")</f>
        <v>Waybe Soluções Em Tecnologia Da Informação Ltda</v>
      </c>
      <c r="V7215" s="33">
        <f>IFERROR(__xludf.DUMMYFUNCTION("""COMPUTED_VALUE"""),0.5)</f>
        <v>0.5</v>
      </c>
      <c r="W7215" s="4" t="str">
        <f>IFERROR(__xludf.DUMMYFUNCTION("""COMPUTED_VALUE"""),"Waybe Soluções Em Tecnologia Da Informação Ltda")</f>
        <v>Waybe Soluções Em Tecnologia Da Informação Ltda</v>
      </c>
      <c r="X7215" s="33">
        <f>IFERROR(__xludf.DUMMYFUNCTION("""COMPUTED_VALUE"""),1.0)</f>
        <v>1</v>
      </c>
    </row>
    <row r="7216">
      <c r="K7216" s="4" t="str">
        <f>IFERROR(__xludf.DUMMYFUNCTION("""COMPUTED_VALUE"""),"GRUPO SUSHI ATIBAIA")</f>
        <v>GRUPO SUSHI ATIBAIA</v>
      </c>
      <c r="L7216" s="32">
        <f>IFERROR(__xludf.DUMMYFUNCTION("""COMPUTED_VALUE"""),2.0)</f>
        <v>2</v>
      </c>
      <c r="M7216" s="4" t="str">
        <f>IFERROR(__xludf.DUMMYFUNCTION("""COMPUTED_VALUE"""),"Saipos Serviços De Software")</f>
        <v>Saipos Serviços De Software</v>
      </c>
      <c r="N7216" s="33">
        <f>IFERROR(__xludf.DUMMYFUNCTION("""COMPUTED_VALUE"""),1.0)</f>
        <v>1</v>
      </c>
      <c r="O7216" s="4" t="str">
        <f>IFERROR(__xludf.DUMMYFUNCTION("""COMPUTED_VALUE"""),"Saipos Serviços De Software")</f>
        <v>Saipos Serviços De Software</v>
      </c>
      <c r="P7216" s="33">
        <f>IFERROR(__xludf.DUMMYFUNCTION("""COMPUTED_VALUE"""),1.0)</f>
        <v>1</v>
      </c>
      <c r="Q7216" s="4" t="str">
        <f>IFERROR(__xludf.DUMMYFUNCTION("""COMPUTED_VALUE"""),"null")</f>
        <v>null</v>
      </c>
      <c r="R7216" s="33">
        <f>IFERROR(__xludf.DUMMYFUNCTION("""COMPUTED_VALUE"""),1.0)</f>
        <v>1</v>
      </c>
      <c r="S7216" s="4" t="str">
        <f>IFERROR(__xludf.DUMMYFUNCTION("""COMPUTED_VALUE"""),"null")</f>
        <v>null</v>
      </c>
      <c r="T7216" s="33">
        <f>IFERROR(__xludf.DUMMYFUNCTION("""COMPUTED_VALUE"""),1.0)</f>
        <v>1</v>
      </c>
      <c r="U7216" s="4" t="str">
        <f>IFERROR(__xludf.DUMMYFUNCTION("""COMPUTED_VALUE"""),"null")</f>
        <v>null</v>
      </c>
      <c r="V7216" s="33">
        <f>IFERROR(__xludf.DUMMYFUNCTION("""COMPUTED_VALUE"""),1.0)</f>
        <v>1</v>
      </c>
      <c r="W7216" s="4" t="str">
        <f>IFERROR(__xludf.DUMMYFUNCTION("""COMPUTED_VALUE"""),"null")</f>
        <v>null</v>
      </c>
      <c r="X7216" s="33">
        <f>IFERROR(__xludf.DUMMYFUNCTION("""COMPUTED_VALUE"""),1.0)</f>
        <v>1</v>
      </c>
    </row>
    <row r="7217">
      <c r="K7217" s="4" t="str">
        <f>IFERROR(__xludf.DUMMYFUNCTION("""COMPUTED_VALUE"""),"GRUPO TA REBOCADO")</f>
        <v>GRUPO TA REBOCADO</v>
      </c>
      <c r="L7217" s="32">
        <f>IFERROR(__xludf.DUMMYFUNCTION("""COMPUTED_VALUE"""),2.0)</f>
        <v>2</v>
      </c>
      <c r="M7217" s="4" t="str">
        <f>IFERROR(__xludf.DUMMYFUNCTION("""COMPUTED_VALUE"""),"Menew - Linx")</f>
        <v>Menew - Linx</v>
      </c>
      <c r="N7217" s="33">
        <f>IFERROR(__xludf.DUMMYFUNCTION("""COMPUTED_VALUE"""),1.0)</f>
        <v>1</v>
      </c>
      <c r="O7217" s="4" t="str">
        <f>IFERROR(__xludf.DUMMYFUNCTION("""COMPUTED_VALUE"""),"Menew - Linx")</f>
        <v>Menew - Linx</v>
      </c>
      <c r="P7217" s="33">
        <f>IFERROR(__xludf.DUMMYFUNCTION("""COMPUTED_VALUE"""),1.0)</f>
        <v>1</v>
      </c>
      <c r="Q7217" s="4" t="str">
        <f>IFERROR(__xludf.DUMMYFUNCTION("""COMPUTED_VALUE"""),"Menew - Linx")</f>
        <v>Menew - Linx</v>
      </c>
      <c r="R7217" s="33">
        <f>IFERROR(__xludf.DUMMYFUNCTION("""COMPUTED_VALUE"""),1.0)</f>
        <v>1</v>
      </c>
      <c r="S7217" s="4" t="str">
        <f>IFERROR(__xludf.DUMMYFUNCTION("""COMPUTED_VALUE"""),"Menew - Linx")</f>
        <v>Menew - Linx</v>
      </c>
      <c r="T7217" s="33">
        <f>IFERROR(__xludf.DUMMYFUNCTION("""COMPUTED_VALUE"""),1.0)</f>
        <v>1</v>
      </c>
      <c r="U7217" s="4" t="str">
        <f>IFERROR(__xludf.DUMMYFUNCTION("""COMPUTED_VALUE"""),"Menew - Linx")</f>
        <v>Menew - Linx</v>
      </c>
      <c r="V7217" s="33">
        <f>IFERROR(__xludf.DUMMYFUNCTION("""COMPUTED_VALUE"""),1.0)</f>
        <v>1</v>
      </c>
      <c r="W7217" s="4" t="str">
        <f>IFERROR(__xludf.DUMMYFUNCTION("""COMPUTED_VALUE"""),"Menew - Linx")</f>
        <v>Menew - Linx</v>
      </c>
      <c r="X7217" s="33">
        <f>IFERROR(__xludf.DUMMYFUNCTION("""COMPUTED_VALUE"""),1.0)</f>
        <v>1</v>
      </c>
    </row>
    <row r="7218">
      <c r="K7218" s="4" t="str">
        <f>IFERROR(__xludf.DUMMYFUNCTION("""COMPUTED_VALUE"""),"GRUPO TABOSA HAMBURGUERIA")</f>
        <v>GRUPO TABOSA HAMBURGUERIA</v>
      </c>
      <c r="L7218" s="32">
        <f>IFERROR(__xludf.DUMMYFUNCTION("""COMPUTED_VALUE"""),2.0)</f>
        <v>2</v>
      </c>
      <c r="M7218" s="4" t="str">
        <f>IFERROR(__xludf.DUMMYFUNCTION("""COMPUTED_VALUE"""),"Consumer Soluções Em Tecnologia Ltda")</f>
        <v>Consumer Soluções Em Tecnologia Ltda</v>
      </c>
      <c r="N7218" s="33">
        <f>IFERROR(__xludf.DUMMYFUNCTION("""COMPUTED_VALUE"""),0.5)</f>
        <v>0.5</v>
      </c>
      <c r="O7218" s="4" t="str">
        <f>IFERROR(__xludf.DUMMYFUNCTION("""COMPUTED_VALUE"""),"null")</f>
        <v>null</v>
      </c>
      <c r="P7218" s="33">
        <f>IFERROR(__xludf.DUMMYFUNCTION("""COMPUTED_VALUE"""),1.0)</f>
        <v>1</v>
      </c>
      <c r="Q7218" s="4" t="str">
        <f>IFERROR(__xludf.DUMMYFUNCTION("""COMPUTED_VALUE"""),"Consumer Soluções Em Tecnologia Ltda")</f>
        <v>Consumer Soluções Em Tecnologia Ltda</v>
      </c>
      <c r="R7218" s="33">
        <f>IFERROR(__xludf.DUMMYFUNCTION("""COMPUTED_VALUE"""),0.5)</f>
        <v>0.5</v>
      </c>
      <c r="S7218" s="4" t="str">
        <f>IFERROR(__xludf.DUMMYFUNCTION("""COMPUTED_VALUE"""),"null")</f>
        <v>null</v>
      </c>
      <c r="T7218" s="33">
        <f>IFERROR(__xludf.DUMMYFUNCTION("""COMPUTED_VALUE"""),1.0)</f>
        <v>1</v>
      </c>
      <c r="U7218" s="4" t="str">
        <f>IFERROR(__xludf.DUMMYFUNCTION("""COMPUTED_VALUE"""),"Consumer Soluções Em Tecnologia Ltda")</f>
        <v>Consumer Soluções Em Tecnologia Ltda</v>
      </c>
      <c r="V7218" s="33">
        <f>IFERROR(__xludf.DUMMYFUNCTION("""COMPUTED_VALUE"""),0.5)</f>
        <v>0.5</v>
      </c>
      <c r="W7218" s="4" t="str">
        <f>IFERROR(__xludf.DUMMYFUNCTION("""COMPUTED_VALUE"""),"Consumer Soluções Em Tecnologia Ltda")</f>
        <v>Consumer Soluções Em Tecnologia Ltda</v>
      </c>
      <c r="X7218" s="33">
        <f>IFERROR(__xludf.DUMMYFUNCTION("""COMPUTED_VALUE"""),0.5)</f>
        <v>0.5</v>
      </c>
    </row>
    <row r="7219">
      <c r="K7219" s="4" t="str">
        <f>IFERROR(__xludf.DUMMYFUNCTION("""COMPUTED_VALUE"""),"GRUPO TARUMA COZINHA E BAR")</f>
        <v>GRUPO TARUMA COZINHA E BAR</v>
      </c>
      <c r="L7219" s="32">
        <f>IFERROR(__xludf.DUMMYFUNCTION("""COMPUTED_VALUE"""),2.0)</f>
        <v>2</v>
      </c>
      <c r="M7219" s="4" t="str">
        <f>IFERROR(__xludf.DUMMYFUNCTION("""COMPUTED_VALUE"""),"Ncr")</f>
        <v>Ncr</v>
      </c>
      <c r="N7219" s="33">
        <f>IFERROR(__xludf.DUMMYFUNCTION("""COMPUTED_VALUE"""),1.0)</f>
        <v>1</v>
      </c>
      <c r="O7219" s="4" t="str">
        <f>IFERROR(__xludf.DUMMYFUNCTION("""COMPUTED_VALUE"""),"Ncr")</f>
        <v>Ncr</v>
      </c>
      <c r="P7219" s="33">
        <f>IFERROR(__xludf.DUMMYFUNCTION("""COMPUTED_VALUE"""),1.0)</f>
        <v>1</v>
      </c>
      <c r="Q7219" s="4" t="str">
        <f>IFERROR(__xludf.DUMMYFUNCTION("""COMPUTED_VALUE"""),"Ncr")</f>
        <v>Ncr</v>
      </c>
      <c r="R7219" s="33">
        <f>IFERROR(__xludf.DUMMYFUNCTION("""COMPUTED_VALUE"""),1.0)</f>
        <v>1</v>
      </c>
      <c r="S7219" s="4" t="str">
        <f>IFERROR(__xludf.DUMMYFUNCTION("""COMPUTED_VALUE"""),"Ncr")</f>
        <v>Ncr</v>
      </c>
      <c r="T7219" s="33">
        <f>IFERROR(__xludf.DUMMYFUNCTION("""COMPUTED_VALUE"""),1.0)</f>
        <v>1</v>
      </c>
      <c r="U7219" s="4" t="str">
        <f>IFERROR(__xludf.DUMMYFUNCTION("""COMPUTED_VALUE"""),"Ncr")</f>
        <v>Ncr</v>
      </c>
      <c r="V7219" s="33">
        <f>IFERROR(__xludf.DUMMYFUNCTION("""COMPUTED_VALUE"""),1.0)</f>
        <v>1</v>
      </c>
      <c r="W7219" s="4" t="str">
        <f>IFERROR(__xludf.DUMMYFUNCTION("""COMPUTED_VALUE"""),"Ncr")</f>
        <v>Ncr</v>
      </c>
      <c r="X7219" s="33">
        <f>IFERROR(__xludf.DUMMYFUNCTION("""COMPUTED_VALUE"""),1.0)</f>
        <v>1</v>
      </c>
    </row>
    <row r="7220">
      <c r="K7220" s="4" t="str">
        <f>IFERROR(__xludf.DUMMYFUNCTION("""COMPUTED_VALUE"""),"GRUPO TEXAS BURGUER")</f>
        <v>GRUPO TEXAS BURGUER</v>
      </c>
      <c r="L7220" s="32">
        <f>IFERROR(__xludf.DUMMYFUNCTION("""COMPUTED_VALUE"""),2.0)</f>
        <v>2</v>
      </c>
      <c r="M7220" s="4" t="str">
        <f>IFERROR(__xludf.DUMMYFUNCTION("""COMPUTED_VALUE"""),"Cardápio Web")</f>
        <v>Cardápio Web</v>
      </c>
      <c r="N7220" s="33">
        <f>IFERROR(__xludf.DUMMYFUNCTION("""COMPUTED_VALUE"""),1.0)</f>
        <v>1</v>
      </c>
      <c r="O7220" s="4" t="str">
        <f>IFERROR(__xludf.DUMMYFUNCTION("""COMPUTED_VALUE"""),"Cardápio Web")</f>
        <v>Cardápio Web</v>
      </c>
      <c r="P7220" s="33">
        <f>IFERROR(__xludf.DUMMYFUNCTION("""COMPUTED_VALUE"""),1.0)</f>
        <v>1</v>
      </c>
      <c r="Q7220" s="4" t="str">
        <f>IFERROR(__xludf.DUMMYFUNCTION("""COMPUTED_VALUE"""),"Cardápio Web")</f>
        <v>Cardápio Web</v>
      </c>
      <c r="R7220" s="33">
        <f>IFERROR(__xludf.DUMMYFUNCTION("""COMPUTED_VALUE"""),1.0)</f>
        <v>1</v>
      </c>
      <c r="S7220" s="4" t="str">
        <f>IFERROR(__xludf.DUMMYFUNCTION("""COMPUTED_VALUE"""),"Cardápio Web")</f>
        <v>Cardápio Web</v>
      </c>
      <c r="T7220" s="33">
        <f>IFERROR(__xludf.DUMMYFUNCTION("""COMPUTED_VALUE"""),1.0)</f>
        <v>1</v>
      </c>
      <c r="U7220" s="4" t="str">
        <f>IFERROR(__xludf.DUMMYFUNCTION("""COMPUTED_VALUE"""),"Cardápio Web")</f>
        <v>Cardápio Web</v>
      </c>
      <c r="V7220" s="33">
        <f>IFERROR(__xludf.DUMMYFUNCTION("""COMPUTED_VALUE"""),1.0)</f>
        <v>1</v>
      </c>
      <c r="W7220" s="4" t="str">
        <f>IFERROR(__xludf.DUMMYFUNCTION("""COMPUTED_VALUE"""),"Cardápio Web")</f>
        <v>Cardápio Web</v>
      </c>
      <c r="X7220" s="33">
        <f>IFERROR(__xludf.DUMMYFUNCTION("""COMPUTED_VALUE"""),1.0)</f>
        <v>1</v>
      </c>
    </row>
    <row r="7221">
      <c r="K7221" s="4" t="str">
        <f>IFERROR(__xludf.DUMMYFUNCTION("""COMPUTED_VALUE"""),"GRUPO TIO GU CREPERIA")</f>
        <v>GRUPO TIO GU CREPERIA</v>
      </c>
      <c r="L7221" s="32">
        <f>IFERROR(__xludf.DUMMYFUNCTION("""COMPUTED_VALUE"""),2.0)</f>
        <v>2</v>
      </c>
      <c r="M7221" s="4" t="str">
        <f>IFERROR(__xludf.DUMMYFUNCTION("""COMPUTED_VALUE"""),"Saipos Serviços De Software")</f>
        <v>Saipos Serviços De Software</v>
      </c>
      <c r="N7221" s="33">
        <f>IFERROR(__xludf.DUMMYFUNCTION("""COMPUTED_VALUE"""),1.0)</f>
        <v>1</v>
      </c>
      <c r="O7221" s="4" t="str">
        <f>IFERROR(__xludf.DUMMYFUNCTION("""COMPUTED_VALUE"""),"Saipos Serviços De Software")</f>
        <v>Saipos Serviços De Software</v>
      </c>
      <c r="P7221" s="33">
        <f>IFERROR(__xludf.DUMMYFUNCTION("""COMPUTED_VALUE"""),1.0)</f>
        <v>1</v>
      </c>
      <c r="Q7221" s="4" t="str">
        <f>IFERROR(__xludf.DUMMYFUNCTION("""COMPUTED_VALUE"""),"Saipos Serviços De Software")</f>
        <v>Saipos Serviços De Software</v>
      </c>
      <c r="R7221" s="33">
        <f>IFERROR(__xludf.DUMMYFUNCTION("""COMPUTED_VALUE"""),1.0)</f>
        <v>1</v>
      </c>
      <c r="S7221" s="4" t="str">
        <f>IFERROR(__xludf.DUMMYFUNCTION("""COMPUTED_VALUE"""),"Saipos Serviços De Software")</f>
        <v>Saipos Serviços De Software</v>
      </c>
      <c r="T7221" s="33">
        <f>IFERROR(__xludf.DUMMYFUNCTION("""COMPUTED_VALUE"""),1.0)</f>
        <v>1</v>
      </c>
      <c r="U7221" s="4" t="str">
        <f>IFERROR(__xludf.DUMMYFUNCTION("""COMPUTED_VALUE"""),"Saipos Serviços De Software")</f>
        <v>Saipos Serviços De Software</v>
      </c>
      <c r="V7221" s="33">
        <f>IFERROR(__xludf.DUMMYFUNCTION("""COMPUTED_VALUE"""),1.0)</f>
        <v>1</v>
      </c>
      <c r="W7221" s="4" t="str">
        <f>IFERROR(__xludf.DUMMYFUNCTION("""COMPUTED_VALUE"""),"Saipos Serviços De Software")</f>
        <v>Saipos Serviços De Software</v>
      </c>
      <c r="X7221" s="33">
        <f>IFERROR(__xludf.DUMMYFUNCTION("""COMPUTED_VALUE"""),1.0)</f>
        <v>1</v>
      </c>
    </row>
    <row r="7222">
      <c r="K7222" s="4" t="str">
        <f>IFERROR(__xludf.DUMMYFUNCTION("""COMPUTED_VALUE"""),"GRUPO TOKAI GOURMET")</f>
        <v>GRUPO TOKAI GOURMET</v>
      </c>
      <c r="L7222" s="32">
        <f>IFERROR(__xludf.DUMMYFUNCTION("""COMPUTED_VALUE"""),2.0)</f>
        <v>2</v>
      </c>
      <c r="M7222" s="4" t="str">
        <f>IFERROR(__xludf.DUMMYFUNCTION("""COMPUTED_VALUE"""),"L&amp;f Tecnologia Sistemas E Comercio Ltda")</f>
        <v>L&amp;f Tecnologia Sistemas E Comercio Ltda</v>
      </c>
      <c r="N7222" s="33">
        <f>IFERROR(__xludf.DUMMYFUNCTION("""COMPUTED_VALUE"""),0.5)</f>
        <v>0.5</v>
      </c>
      <c r="O7222" s="4" t="str">
        <f>IFERROR(__xludf.DUMMYFUNCTION("""COMPUTED_VALUE"""),"null")</f>
        <v>null</v>
      </c>
      <c r="P7222" s="33">
        <f>IFERROR(__xludf.DUMMYFUNCTION("""COMPUTED_VALUE"""),0.5)</f>
        <v>0.5</v>
      </c>
      <c r="Q7222" s="4" t="str">
        <f>IFERROR(__xludf.DUMMYFUNCTION("""COMPUTED_VALUE"""),"null")</f>
        <v>null</v>
      </c>
      <c r="R7222" s="33">
        <f>IFERROR(__xludf.DUMMYFUNCTION("""COMPUTED_VALUE"""),1.0)</f>
        <v>1</v>
      </c>
      <c r="S7222" s="4" t="str">
        <f>IFERROR(__xludf.DUMMYFUNCTION("""COMPUTED_VALUE"""),"L&amp;f Tecnologia Sistemas E Comercio Ltda")</f>
        <v>L&amp;f Tecnologia Sistemas E Comercio Ltda</v>
      </c>
      <c r="T7222" s="33">
        <f>IFERROR(__xludf.DUMMYFUNCTION("""COMPUTED_VALUE"""),0.5)</f>
        <v>0.5</v>
      </c>
      <c r="U7222" s="4" t="str">
        <f>IFERROR(__xludf.DUMMYFUNCTION("""COMPUTED_VALUE"""),"null")</f>
        <v>null</v>
      </c>
      <c r="V7222" s="33">
        <f>IFERROR(__xludf.DUMMYFUNCTION("""COMPUTED_VALUE"""),1.0)</f>
        <v>1</v>
      </c>
      <c r="W7222" s="4" t="str">
        <f>IFERROR(__xludf.DUMMYFUNCTION("""COMPUTED_VALUE"""),"L&amp;f Tecnologia Sistemas E Comercio Ltda")</f>
        <v>L&amp;f Tecnologia Sistemas E Comercio Ltda</v>
      </c>
      <c r="X7222" s="33">
        <f>IFERROR(__xludf.DUMMYFUNCTION("""COMPUTED_VALUE"""),1.0)</f>
        <v>1</v>
      </c>
    </row>
    <row r="7223">
      <c r="K7223" s="4" t="str">
        <f>IFERROR(__xludf.DUMMYFUNCTION("""COMPUTED_VALUE"""),"GRUPO VAI BEM")</f>
        <v>GRUPO VAI BEM</v>
      </c>
      <c r="L7223" s="32">
        <f>IFERROR(__xludf.DUMMYFUNCTION("""COMPUTED_VALUE"""),2.0)</f>
        <v>2</v>
      </c>
      <c r="M7223" s="4" t="str">
        <f>IFERROR(__xludf.DUMMYFUNCTION("""COMPUTED_VALUE"""),"Saipos Serviços De Software")</f>
        <v>Saipos Serviços De Software</v>
      </c>
      <c r="N7223" s="33">
        <f>IFERROR(__xludf.DUMMYFUNCTION("""COMPUTED_VALUE"""),1.0)</f>
        <v>1</v>
      </c>
      <c r="O7223" s="4" t="str">
        <f>IFERROR(__xludf.DUMMYFUNCTION("""COMPUTED_VALUE"""),"Saipos Serviços De Software")</f>
        <v>Saipos Serviços De Software</v>
      </c>
      <c r="P7223" s="33">
        <f>IFERROR(__xludf.DUMMYFUNCTION("""COMPUTED_VALUE"""),1.0)</f>
        <v>1</v>
      </c>
      <c r="Q7223" s="4" t="str">
        <f>IFERROR(__xludf.DUMMYFUNCTION("""COMPUTED_VALUE"""),"Saipos Serviços De Software")</f>
        <v>Saipos Serviços De Software</v>
      </c>
      <c r="R7223" s="33">
        <f>IFERROR(__xludf.DUMMYFUNCTION("""COMPUTED_VALUE"""),1.0)</f>
        <v>1</v>
      </c>
      <c r="S7223" s="4" t="str">
        <f>IFERROR(__xludf.DUMMYFUNCTION("""COMPUTED_VALUE"""),"Saipos Serviços De Software")</f>
        <v>Saipos Serviços De Software</v>
      </c>
      <c r="T7223" s="33">
        <f>IFERROR(__xludf.DUMMYFUNCTION("""COMPUTED_VALUE"""),1.0)</f>
        <v>1</v>
      </c>
      <c r="U7223" s="4" t="str">
        <f>IFERROR(__xludf.DUMMYFUNCTION("""COMPUTED_VALUE"""),"Saipos Serviços De Software")</f>
        <v>Saipos Serviços De Software</v>
      </c>
      <c r="V7223" s="33">
        <f>IFERROR(__xludf.DUMMYFUNCTION("""COMPUTED_VALUE"""),1.0)</f>
        <v>1</v>
      </c>
      <c r="W7223" s="4" t="str">
        <f>IFERROR(__xludf.DUMMYFUNCTION("""COMPUTED_VALUE"""),"Saipos Serviços De Software")</f>
        <v>Saipos Serviços De Software</v>
      </c>
      <c r="X7223" s="33">
        <f>IFERROR(__xludf.DUMMYFUNCTION("""COMPUTED_VALUE"""),1.0)</f>
        <v>1</v>
      </c>
    </row>
    <row r="7224">
      <c r="K7224" s="4" t="str">
        <f>IFERROR(__xludf.DUMMYFUNCTION("""COMPUTED_VALUE"""),"GRUPO VALENTINO PIZZARIA")</f>
        <v>GRUPO VALENTINO PIZZARIA</v>
      </c>
      <c r="L7224" s="32">
        <f>IFERROR(__xludf.DUMMYFUNCTION("""COMPUTED_VALUE"""),2.0)</f>
        <v>2</v>
      </c>
      <c r="M7224" s="4" t="str">
        <f>IFERROR(__xludf.DUMMYFUNCTION("""COMPUTED_VALUE"""),"Grk Soluções Informatica Eireli")</f>
        <v>Grk Soluções Informatica Eireli</v>
      </c>
      <c r="N7224" s="33">
        <f>IFERROR(__xludf.DUMMYFUNCTION("""COMPUTED_VALUE"""),1.0)</f>
        <v>1</v>
      </c>
      <c r="O7224" s="4" t="str">
        <f>IFERROR(__xludf.DUMMYFUNCTION("""COMPUTED_VALUE"""),"Grk Soluções Informatica Eireli")</f>
        <v>Grk Soluções Informatica Eireli</v>
      </c>
      <c r="P7224" s="33">
        <f>IFERROR(__xludf.DUMMYFUNCTION("""COMPUTED_VALUE"""),1.0)</f>
        <v>1</v>
      </c>
      <c r="Q7224" s="4" t="str">
        <f>IFERROR(__xludf.DUMMYFUNCTION("""COMPUTED_VALUE"""),"Grk Soluções Informatica Eireli")</f>
        <v>Grk Soluções Informatica Eireli</v>
      </c>
      <c r="R7224" s="33">
        <f>IFERROR(__xludf.DUMMYFUNCTION("""COMPUTED_VALUE"""),1.0)</f>
        <v>1</v>
      </c>
      <c r="S7224" s="4" t="str">
        <f>IFERROR(__xludf.DUMMYFUNCTION("""COMPUTED_VALUE"""),"Grk Soluções Informatica Eireli")</f>
        <v>Grk Soluções Informatica Eireli</v>
      </c>
      <c r="T7224" s="33">
        <f>IFERROR(__xludf.DUMMYFUNCTION("""COMPUTED_VALUE"""),1.0)</f>
        <v>1</v>
      </c>
      <c r="U7224" s="4" t="str">
        <f>IFERROR(__xludf.DUMMYFUNCTION("""COMPUTED_VALUE"""),"Grk Soluções Informatica Eireli")</f>
        <v>Grk Soluções Informatica Eireli</v>
      </c>
      <c r="V7224" s="33">
        <f>IFERROR(__xludf.DUMMYFUNCTION("""COMPUTED_VALUE"""),1.0)</f>
        <v>1</v>
      </c>
      <c r="W7224" s="4" t="str">
        <f>IFERROR(__xludf.DUMMYFUNCTION("""COMPUTED_VALUE"""),"Grk Soluções Informatica Eireli")</f>
        <v>Grk Soluções Informatica Eireli</v>
      </c>
      <c r="X7224" s="33">
        <f>IFERROR(__xludf.DUMMYFUNCTION("""COMPUTED_VALUE"""),1.0)</f>
        <v>1</v>
      </c>
    </row>
    <row r="7225">
      <c r="K7225" s="4" t="str">
        <f>IFERROR(__xludf.DUMMYFUNCTION("""COMPUTED_VALUE"""),"GRUPO VALIATI")</f>
        <v>GRUPO VALIATI</v>
      </c>
      <c r="L7225" s="32">
        <f>IFERROR(__xludf.DUMMYFUNCTION("""COMPUTED_VALUE"""),2.0)</f>
        <v>2</v>
      </c>
      <c r="M7225" s="4" t="str">
        <f>IFERROR(__xludf.DUMMYFUNCTION("""COMPUTED_VALUE"""),"Saipos Serviços De Software")</f>
        <v>Saipos Serviços De Software</v>
      </c>
      <c r="N7225" s="33">
        <f>IFERROR(__xludf.DUMMYFUNCTION("""COMPUTED_VALUE"""),1.0)</f>
        <v>1</v>
      </c>
      <c r="O7225" s="4" t="str">
        <f>IFERROR(__xludf.DUMMYFUNCTION("""COMPUTED_VALUE"""),"Saipos Serviços De Software")</f>
        <v>Saipos Serviços De Software</v>
      </c>
      <c r="P7225" s="33">
        <f>IFERROR(__xludf.DUMMYFUNCTION("""COMPUTED_VALUE"""),1.0)</f>
        <v>1</v>
      </c>
      <c r="Q7225" s="4" t="str">
        <f>IFERROR(__xludf.DUMMYFUNCTION("""COMPUTED_VALUE"""),"Saipos Serviços De Software")</f>
        <v>Saipos Serviços De Software</v>
      </c>
      <c r="R7225" s="33">
        <f>IFERROR(__xludf.DUMMYFUNCTION("""COMPUTED_VALUE"""),1.0)</f>
        <v>1</v>
      </c>
      <c r="S7225" s="4" t="str">
        <f>IFERROR(__xludf.DUMMYFUNCTION("""COMPUTED_VALUE"""),"null")</f>
        <v>null</v>
      </c>
      <c r="T7225" s="33">
        <f>IFERROR(__xludf.DUMMYFUNCTION("""COMPUTED_VALUE"""),0.5)</f>
        <v>0.5</v>
      </c>
      <c r="U7225" s="4" t="str">
        <f>IFERROR(__xludf.DUMMYFUNCTION("""COMPUTED_VALUE"""),"null")</f>
        <v>null</v>
      </c>
      <c r="V7225" s="33">
        <f>IFERROR(__xludf.DUMMYFUNCTION("""COMPUTED_VALUE"""),1.0)</f>
        <v>1</v>
      </c>
      <c r="W7225" s="4" t="str">
        <f>IFERROR(__xludf.DUMMYFUNCTION("""COMPUTED_VALUE"""),"Takeat Tecnologia")</f>
        <v>Takeat Tecnologia</v>
      </c>
      <c r="X7225" s="33">
        <f>IFERROR(__xludf.DUMMYFUNCTION("""COMPUTED_VALUE"""),1.0)</f>
        <v>1</v>
      </c>
    </row>
    <row r="7226">
      <c r="K7226" s="4" t="str">
        <f>IFERROR(__xludf.DUMMYFUNCTION("""COMPUTED_VALUE"""),"GRUPO VIANNEY")</f>
        <v>GRUPO VIANNEY</v>
      </c>
      <c r="L7226" s="32">
        <f>IFERROR(__xludf.DUMMYFUNCTION("""COMPUTED_VALUE"""),2.0)</f>
        <v>2</v>
      </c>
      <c r="M7226" s="4" t="str">
        <f>IFERROR(__xludf.DUMMYFUNCTION("""COMPUTED_VALUE"""),"null")</f>
        <v>null</v>
      </c>
      <c r="N7226" s="33">
        <f>IFERROR(__xludf.DUMMYFUNCTION("""COMPUTED_VALUE"""),1.0)</f>
        <v>1</v>
      </c>
      <c r="O7226" s="4" t="str">
        <f>IFERROR(__xludf.DUMMYFUNCTION("""COMPUTED_VALUE"""),"null")</f>
        <v>null</v>
      </c>
      <c r="P7226" s="33">
        <f>IFERROR(__xludf.DUMMYFUNCTION("""COMPUTED_VALUE"""),1.0)</f>
        <v>1</v>
      </c>
      <c r="Q7226" s="4" t="str">
        <f>IFERROR(__xludf.DUMMYFUNCTION("""COMPUTED_VALUE"""),"null")</f>
        <v>null</v>
      </c>
      <c r="R7226" s="33">
        <f>IFERROR(__xludf.DUMMYFUNCTION("""COMPUTED_VALUE"""),1.0)</f>
        <v>1</v>
      </c>
      <c r="S7226" s="4" t="str">
        <f>IFERROR(__xludf.DUMMYFUNCTION("""COMPUTED_VALUE"""),"null")</f>
        <v>null</v>
      </c>
      <c r="T7226" s="33">
        <f>IFERROR(__xludf.DUMMYFUNCTION("""COMPUTED_VALUE"""),1.0)</f>
        <v>1</v>
      </c>
      <c r="U7226" s="4" t="str">
        <f>IFERROR(__xludf.DUMMYFUNCTION("""COMPUTED_VALUE"""),"Gfr Tec")</f>
        <v>Gfr Tec</v>
      </c>
      <c r="V7226" s="33">
        <f>IFERROR(__xludf.DUMMYFUNCTION("""COMPUTED_VALUE"""),1.0)</f>
        <v>1</v>
      </c>
      <c r="W7226" s="4" t="str">
        <f>IFERROR(__xludf.DUMMYFUNCTION("""COMPUTED_VALUE"""),"Gfr Tec")</f>
        <v>Gfr Tec</v>
      </c>
      <c r="X7226" s="33">
        <f>IFERROR(__xludf.DUMMYFUNCTION("""COMPUTED_VALUE"""),1.0)</f>
        <v>1</v>
      </c>
    </row>
    <row r="7227">
      <c r="K7227" s="4" t="str">
        <f>IFERROR(__xludf.DUMMYFUNCTION("""COMPUTED_VALUE"""),"GRUPO VK STEAK")</f>
        <v>GRUPO VK STEAK</v>
      </c>
      <c r="L7227" s="32">
        <f>IFERROR(__xludf.DUMMYFUNCTION("""COMPUTED_VALUE"""),2.0)</f>
        <v>2</v>
      </c>
      <c r="M7227" s="4" t="str">
        <f>IFERROR(__xludf.DUMMYFUNCTION("""COMPUTED_VALUE"""),"null")</f>
        <v>null</v>
      </c>
      <c r="N7227" s="33">
        <f>IFERROR(__xludf.DUMMYFUNCTION("""COMPUTED_VALUE"""),0.5)</f>
        <v>0.5</v>
      </c>
      <c r="O7227" s="4" t="str">
        <f>IFERROR(__xludf.DUMMYFUNCTION("""COMPUTED_VALUE"""),"null")</f>
        <v>null</v>
      </c>
      <c r="P7227" s="33">
        <f>IFERROR(__xludf.DUMMYFUNCTION("""COMPUTED_VALUE"""),0.5)</f>
        <v>0.5</v>
      </c>
      <c r="Q7227" s="4" t="str">
        <f>IFERROR(__xludf.DUMMYFUNCTION("""COMPUTED_VALUE"""),"null")</f>
        <v>null</v>
      </c>
      <c r="R7227" s="33">
        <f>IFERROR(__xludf.DUMMYFUNCTION("""COMPUTED_VALUE"""),0.5)</f>
        <v>0.5</v>
      </c>
      <c r="S7227" s="4" t="str">
        <f>IFERROR(__xludf.DUMMYFUNCTION("""COMPUTED_VALUE"""),"null")</f>
        <v>null</v>
      </c>
      <c r="T7227" s="33">
        <f>IFERROR(__xludf.DUMMYFUNCTION("""COMPUTED_VALUE"""),0.5)</f>
        <v>0.5</v>
      </c>
      <c r="U7227" s="4" t="str">
        <f>IFERROR(__xludf.DUMMYFUNCTION("""COMPUTED_VALUE"""),"Saipos Serviços De Software")</f>
        <v>Saipos Serviços De Software</v>
      </c>
      <c r="V7227" s="33">
        <f>IFERROR(__xludf.DUMMYFUNCTION("""COMPUTED_VALUE"""),1.0)</f>
        <v>1</v>
      </c>
      <c r="W7227" s="4" t="str">
        <f>IFERROR(__xludf.DUMMYFUNCTION("""COMPUTED_VALUE"""),"Saipos Serviços De Software")</f>
        <v>Saipos Serviços De Software</v>
      </c>
      <c r="X7227" s="33">
        <f>IFERROR(__xludf.DUMMYFUNCTION("""COMPUTED_VALUE"""),1.0)</f>
        <v>1</v>
      </c>
    </row>
    <row r="7228">
      <c r="K7228" s="4" t="str">
        <f>IFERROR(__xludf.DUMMYFUNCTION("""COMPUTED_VALUE"""),"GRUPO YATAI")</f>
        <v>GRUPO YATAI</v>
      </c>
      <c r="L7228" s="32">
        <f>IFERROR(__xludf.DUMMYFUNCTION("""COMPUTED_VALUE"""),2.0)</f>
        <v>2</v>
      </c>
      <c r="M7228" s="4" t="str">
        <f>IFERROR(__xludf.DUMMYFUNCTION("""COMPUTED_VALUE"""),"null")</f>
        <v>null</v>
      </c>
      <c r="N7228" s="33">
        <f>IFERROR(__xludf.DUMMYFUNCTION("""COMPUTED_VALUE"""),0.5)</f>
        <v>0.5</v>
      </c>
      <c r="O7228" s="4" t="str">
        <f>IFERROR(__xludf.DUMMYFUNCTION("""COMPUTED_VALUE"""),"null")</f>
        <v>null</v>
      </c>
      <c r="P7228" s="33">
        <f>IFERROR(__xludf.DUMMYFUNCTION("""COMPUTED_VALUE"""),0.5)</f>
        <v>0.5</v>
      </c>
      <c r="Q7228" s="4" t="str">
        <f>IFERROR(__xludf.DUMMYFUNCTION("""COMPUTED_VALUE"""),"Consumer Soluções Em Tecnologia Ltda")</f>
        <v>Consumer Soluções Em Tecnologia Ltda</v>
      </c>
      <c r="R7228" s="33">
        <f>IFERROR(__xludf.DUMMYFUNCTION("""COMPUTED_VALUE"""),1.0)</f>
        <v>1</v>
      </c>
      <c r="S7228" s="4" t="str">
        <f>IFERROR(__xludf.DUMMYFUNCTION("""COMPUTED_VALUE"""),"Consumer Soluções Em Tecnologia Ltda")</f>
        <v>Consumer Soluções Em Tecnologia Ltda</v>
      </c>
      <c r="T7228" s="33">
        <f>IFERROR(__xludf.DUMMYFUNCTION("""COMPUTED_VALUE"""),1.0)</f>
        <v>1</v>
      </c>
      <c r="U7228" s="4" t="str">
        <f>IFERROR(__xludf.DUMMYFUNCTION("""COMPUTED_VALUE"""),"Consumer Soluções Em Tecnologia Ltda")</f>
        <v>Consumer Soluções Em Tecnologia Ltda</v>
      </c>
      <c r="V7228" s="33">
        <f>IFERROR(__xludf.DUMMYFUNCTION("""COMPUTED_VALUE"""),1.0)</f>
        <v>1</v>
      </c>
      <c r="W7228" s="4" t="str">
        <f>IFERROR(__xludf.DUMMYFUNCTION("""COMPUTED_VALUE"""),"Consumer Soluções Em Tecnologia Ltda")</f>
        <v>Consumer Soluções Em Tecnologia Ltda</v>
      </c>
      <c r="X7228" s="33">
        <f>IFERROR(__xludf.DUMMYFUNCTION("""COMPUTED_VALUE"""),1.0)</f>
        <v>1</v>
      </c>
    </row>
    <row r="7229">
      <c r="K7229" s="4" t="str">
        <f>IFERROR(__xludf.DUMMYFUNCTION("""COMPUTED_VALUE"""),"GRUPO ZEBU")</f>
        <v>GRUPO ZEBU</v>
      </c>
      <c r="L7229" s="32">
        <f>IFERROR(__xludf.DUMMYFUNCTION("""COMPUTED_VALUE"""),2.0)</f>
        <v>2</v>
      </c>
      <c r="M7229" s="4" t="str">
        <f>IFERROR(__xludf.DUMMYFUNCTION("""COMPUTED_VALUE"""),"Saipos Serviços De Software")</f>
        <v>Saipos Serviços De Software</v>
      </c>
      <c r="N7229" s="33">
        <f>IFERROR(__xludf.DUMMYFUNCTION("""COMPUTED_VALUE"""),1.0)</f>
        <v>1</v>
      </c>
      <c r="O7229" s="4" t="str">
        <f>IFERROR(__xludf.DUMMYFUNCTION("""COMPUTED_VALUE"""),"Saipos Serviços De Software")</f>
        <v>Saipos Serviços De Software</v>
      </c>
      <c r="P7229" s="33">
        <f>IFERROR(__xludf.DUMMYFUNCTION("""COMPUTED_VALUE"""),1.0)</f>
        <v>1</v>
      </c>
      <c r="Q7229" s="4" t="str">
        <f>IFERROR(__xludf.DUMMYFUNCTION("""COMPUTED_VALUE"""),"Saipos Serviços De Software")</f>
        <v>Saipos Serviços De Software</v>
      </c>
      <c r="R7229" s="33">
        <f>IFERROR(__xludf.DUMMYFUNCTION("""COMPUTED_VALUE"""),1.0)</f>
        <v>1</v>
      </c>
      <c r="S7229" s="4" t="str">
        <f>IFERROR(__xludf.DUMMYFUNCTION("""COMPUTED_VALUE"""),"Saipos Serviços De Software")</f>
        <v>Saipos Serviços De Software</v>
      </c>
      <c r="T7229" s="33">
        <f>IFERROR(__xludf.DUMMYFUNCTION("""COMPUTED_VALUE"""),1.0)</f>
        <v>1</v>
      </c>
      <c r="U7229" s="4" t="str">
        <f>IFERROR(__xludf.DUMMYFUNCTION("""COMPUTED_VALUE"""),"Saipos Serviços De Software")</f>
        <v>Saipos Serviços De Software</v>
      </c>
      <c r="V7229" s="33">
        <f>IFERROR(__xludf.DUMMYFUNCTION("""COMPUTED_VALUE"""),1.0)</f>
        <v>1</v>
      </c>
      <c r="W7229" s="4" t="str">
        <f>IFERROR(__xludf.DUMMYFUNCTION("""COMPUTED_VALUE"""),"Saipos Serviços De Software")</f>
        <v>Saipos Serviços De Software</v>
      </c>
      <c r="X7229" s="33">
        <f>IFERROR(__xludf.DUMMYFUNCTION("""COMPUTED_VALUE"""),1.0)</f>
        <v>1</v>
      </c>
    </row>
    <row r="7230">
      <c r="K7230" s="4" t="str">
        <f>IFERROR(__xludf.DUMMYFUNCTION("""COMPUTED_VALUE"""),"GRUPO ZERO11")</f>
        <v>GRUPO ZERO11</v>
      </c>
      <c r="L7230" s="32">
        <f>IFERROR(__xludf.DUMMYFUNCTION("""COMPUTED_VALUE"""),2.0)</f>
        <v>2</v>
      </c>
      <c r="M7230" s="4" t="str">
        <f>IFERROR(__xludf.DUMMYFUNCTION("""COMPUTED_VALUE"""),"Cardápio Web")</f>
        <v>Cardápio Web</v>
      </c>
      <c r="N7230" s="33">
        <f>IFERROR(__xludf.DUMMYFUNCTION("""COMPUTED_VALUE"""),1.0)</f>
        <v>1</v>
      </c>
      <c r="O7230" s="4" t="str">
        <f>IFERROR(__xludf.DUMMYFUNCTION("""COMPUTED_VALUE"""),"Cardápio Web")</f>
        <v>Cardápio Web</v>
      </c>
      <c r="P7230" s="33">
        <f>IFERROR(__xludf.DUMMYFUNCTION("""COMPUTED_VALUE"""),1.0)</f>
        <v>1</v>
      </c>
      <c r="Q7230" s="4" t="str">
        <f>IFERROR(__xludf.DUMMYFUNCTION("""COMPUTED_VALUE"""),"Cardápio Web")</f>
        <v>Cardápio Web</v>
      </c>
      <c r="R7230" s="33">
        <f>IFERROR(__xludf.DUMMYFUNCTION("""COMPUTED_VALUE"""),1.0)</f>
        <v>1</v>
      </c>
      <c r="S7230" s="4" t="str">
        <f>IFERROR(__xludf.DUMMYFUNCTION("""COMPUTED_VALUE"""),"Cardápio Web")</f>
        <v>Cardápio Web</v>
      </c>
      <c r="T7230" s="33">
        <f>IFERROR(__xludf.DUMMYFUNCTION("""COMPUTED_VALUE"""),1.0)</f>
        <v>1</v>
      </c>
      <c r="U7230" s="4" t="str">
        <f>IFERROR(__xludf.DUMMYFUNCTION("""COMPUTED_VALUE"""),"Cardápio Web")</f>
        <v>Cardápio Web</v>
      </c>
      <c r="V7230" s="33">
        <f>IFERROR(__xludf.DUMMYFUNCTION("""COMPUTED_VALUE"""),1.0)</f>
        <v>1</v>
      </c>
      <c r="W7230" s="4" t="str">
        <f>IFERROR(__xludf.DUMMYFUNCTION("""COMPUTED_VALUE"""),"Cardápio Web")</f>
        <v>Cardápio Web</v>
      </c>
      <c r="X7230" s="33">
        <f>IFERROR(__xludf.DUMMYFUNCTION("""COMPUTED_VALUE"""),1.0)</f>
        <v>1</v>
      </c>
    </row>
    <row r="7231">
      <c r="K7231" s="4" t="str">
        <f>IFERROR(__xludf.DUMMYFUNCTION("""COMPUTED_VALUE"""),"GRUPO ZOOM")</f>
        <v>GRUPO ZOOM</v>
      </c>
      <c r="L7231" s="32">
        <f>IFERROR(__xludf.DUMMYFUNCTION("""COMPUTED_VALUE"""),2.0)</f>
        <v>2</v>
      </c>
      <c r="M7231" s="4" t="str">
        <f>IFERROR(__xludf.DUMMYFUNCTION("""COMPUTED_VALUE"""),"null")</f>
        <v>null</v>
      </c>
      <c r="N7231" s="33">
        <f>IFERROR(__xludf.DUMMYFUNCTION("""COMPUTED_VALUE"""),1.0)</f>
        <v>1</v>
      </c>
      <c r="O7231" s="4" t="str">
        <f>IFERROR(__xludf.DUMMYFUNCTION("""COMPUTED_VALUE"""),"null")</f>
        <v>null</v>
      </c>
      <c r="P7231" s="33">
        <f>IFERROR(__xludf.DUMMYFUNCTION("""COMPUTED_VALUE"""),1.0)</f>
        <v>1</v>
      </c>
      <c r="Q7231" s="4" t="str">
        <f>IFERROR(__xludf.DUMMYFUNCTION("""COMPUTED_VALUE"""),"null")</f>
        <v>null</v>
      </c>
      <c r="R7231" s="33">
        <f>IFERROR(__xludf.DUMMYFUNCTION("""COMPUTED_VALUE"""),1.0)</f>
        <v>1</v>
      </c>
      <c r="S7231" s="4" t="str">
        <f>IFERROR(__xludf.DUMMYFUNCTION("""COMPUTED_VALUE"""),"Saipos Serviços De Software")</f>
        <v>Saipos Serviços De Software</v>
      </c>
      <c r="T7231" s="33">
        <f>IFERROR(__xludf.DUMMYFUNCTION("""COMPUTED_VALUE"""),1.0)</f>
        <v>1</v>
      </c>
      <c r="U7231" s="4" t="str">
        <f>IFERROR(__xludf.DUMMYFUNCTION("""COMPUTED_VALUE"""),"Saipos Serviços De Software")</f>
        <v>Saipos Serviços De Software</v>
      </c>
      <c r="V7231" s="33">
        <f>IFERROR(__xludf.DUMMYFUNCTION("""COMPUTED_VALUE"""),1.0)</f>
        <v>1</v>
      </c>
      <c r="W7231" s="4" t="str">
        <f>IFERROR(__xludf.DUMMYFUNCTION("""COMPUTED_VALUE"""),"Saipos Serviços De Software")</f>
        <v>Saipos Serviços De Software</v>
      </c>
      <c r="X7231" s="33">
        <f>IFERROR(__xludf.DUMMYFUNCTION("""COMPUTED_VALUE"""),1.0)</f>
        <v>1</v>
      </c>
    </row>
    <row r="7232">
      <c r="K7232" s="4" t="str">
        <f>IFERROR(__xludf.DUMMYFUNCTION("""COMPUTED_VALUE"""),"GRUPOS FAUSTO MANOEL NORTE")</f>
        <v>GRUPOS FAUSTO MANOEL NORTE</v>
      </c>
      <c r="L7232" s="32">
        <f>IFERROR(__xludf.DUMMYFUNCTION("""COMPUTED_VALUE"""),2.0)</f>
        <v>2</v>
      </c>
      <c r="M7232" s="4" t="str">
        <f>IFERROR(__xludf.DUMMYFUNCTION("""COMPUTED_VALUE"""),"Ncr")</f>
        <v>Ncr</v>
      </c>
      <c r="N7232" s="33">
        <f>IFERROR(__xludf.DUMMYFUNCTION("""COMPUTED_VALUE"""),0.5)</f>
        <v>0.5</v>
      </c>
      <c r="O7232" s="4" t="str">
        <f>IFERROR(__xludf.DUMMYFUNCTION("""COMPUTED_VALUE"""),"Ncr")</f>
        <v>Ncr</v>
      </c>
      <c r="P7232" s="33">
        <f>IFERROR(__xludf.DUMMYFUNCTION("""COMPUTED_VALUE"""),0.5)</f>
        <v>0.5</v>
      </c>
      <c r="Q7232" s="4" t="str">
        <f>IFERROR(__xludf.DUMMYFUNCTION("""COMPUTED_VALUE"""),"Ncr")</f>
        <v>Ncr</v>
      </c>
      <c r="R7232" s="33">
        <f>IFERROR(__xludf.DUMMYFUNCTION("""COMPUTED_VALUE"""),0.5)</f>
        <v>0.5</v>
      </c>
      <c r="S7232" s="4" t="str">
        <f>IFERROR(__xludf.DUMMYFUNCTION("""COMPUTED_VALUE"""),"Ncr")</f>
        <v>Ncr</v>
      </c>
      <c r="T7232" s="33">
        <f>IFERROR(__xludf.DUMMYFUNCTION("""COMPUTED_VALUE"""),0.5)</f>
        <v>0.5</v>
      </c>
      <c r="U7232" s="4" t="str">
        <f>IFERROR(__xludf.DUMMYFUNCTION("""COMPUTED_VALUE"""),"Ncr")</f>
        <v>Ncr</v>
      </c>
      <c r="V7232" s="33">
        <f>IFERROR(__xludf.DUMMYFUNCTION("""COMPUTED_VALUE"""),1.0)</f>
        <v>1</v>
      </c>
      <c r="W7232" s="4" t="str">
        <f>IFERROR(__xludf.DUMMYFUNCTION("""COMPUTED_VALUE"""),"Ncr")</f>
        <v>Ncr</v>
      </c>
      <c r="X7232" s="33">
        <f>IFERROR(__xludf.DUMMYFUNCTION("""COMPUTED_VALUE"""),1.0)</f>
        <v>1</v>
      </c>
    </row>
    <row r="7233">
      <c r="K7233" s="4" t="str">
        <f>IFERROR(__xludf.DUMMYFUNCTION("""COMPUTED_VALUE"""),"GUARANA DA PRAIA")</f>
        <v>GUARANA DA PRAIA</v>
      </c>
      <c r="L7233" s="32">
        <f>IFERROR(__xludf.DUMMYFUNCTION("""COMPUTED_VALUE"""),2.0)</f>
        <v>2</v>
      </c>
      <c r="M7233" s="4" t="str">
        <f>IFERROR(__xludf.DUMMYFUNCTION("""COMPUTED_VALUE"""),"null")</f>
        <v>null</v>
      </c>
      <c r="N7233" s="33">
        <f>IFERROR(__xludf.DUMMYFUNCTION("""COMPUTED_VALUE"""),1.0)</f>
        <v>1</v>
      </c>
      <c r="O7233" s="4" t="str">
        <f>IFERROR(__xludf.DUMMYFUNCTION("""COMPUTED_VALUE"""),"null")</f>
        <v>null</v>
      </c>
      <c r="P7233" s="33">
        <f>IFERROR(__xludf.DUMMYFUNCTION("""COMPUTED_VALUE"""),1.0)</f>
        <v>1</v>
      </c>
      <c r="Q7233" s="4" t="str">
        <f>IFERROR(__xludf.DUMMYFUNCTION("""COMPUTED_VALUE"""),"null")</f>
        <v>null</v>
      </c>
      <c r="R7233" s="33">
        <f>IFERROR(__xludf.DUMMYFUNCTION("""COMPUTED_VALUE"""),1.0)</f>
        <v>1</v>
      </c>
      <c r="S7233" s="4" t="str">
        <f>IFERROR(__xludf.DUMMYFUNCTION("""COMPUTED_VALUE"""),"null")</f>
        <v>null</v>
      </c>
      <c r="T7233" s="33">
        <f>IFERROR(__xludf.DUMMYFUNCTION("""COMPUTED_VALUE"""),1.0)</f>
        <v>1</v>
      </c>
      <c r="U7233" s="4" t="str">
        <f>IFERROR(__xludf.DUMMYFUNCTION("""COMPUTED_VALUE"""),"Saipos Serviços De Software")</f>
        <v>Saipos Serviços De Software</v>
      </c>
      <c r="V7233" s="33">
        <f>IFERROR(__xludf.DUMMYFUNCTION("""COMPUTED_VALUE"""),1.0)</f>
        <v>1</v>
      </c>
      <c r="W7233" s="4" t="str">
        <f>IFERROR(__xludf.DUMMYFUNCTION("""COMPUTED_VALUE"""),"Saipos Serviços De Software")</f>
        <v>Saipos Serviços De Software</v>
      </c>
      <c r="X7233" s="33">
        <f>IFERROR(__xludf.DUMMYFUNCTION("""COMPUTED_VALUE"""),1.0)</f>
        <v>1</v>
      </c>
    </row>
    <row r="7234">
      <c r="K7234" s="4" t="str">
        <f>IFERROR(__xludf.DUMMYFUNCTION("""COMPUTED_VALUE"""),"GULLIVER MAR RESTAURANTE")</f>
        <v>GULLIVER MAR RESTAURANTE</v>
      </c>
      <c r="L7234" s="32">
        <f>IFERROR(__xludf.DUMMYFUNCTION("""COMPUTED_VALUE"""),2.0)</f>
        <v>2</v>
      </c>
      <c r="M7234" s="4" t="str">
        <f>IFERROR(__xludf.DUMMYFUNCTION("""COMPUTED_VALUE"""),"Menew - Linx")</f>
        <v>Menew - Linx</v>
      </c>
      <c r="N7234" s="33">
        <f>IFERROR(__xludf.DUMMYFUNCTION("""COMPUTED_VALUE"""),1.0)</f>
        <v>1</v>
      </c>
      <c r="O7234" s="4" t="str">
        <f>IFERROR(__xludf.DUMMYFUNCTION("""COMPUTED_VALUE"""),"Menew - Linx")</f>
        <v>Menew - Linx</v>
      </c>
      <c r="P7234" s="33">
        <f>IFERROR(__xludf.DUMMYFUNCTION("""COMPUTED_VALUE"""),1.0)</f>
        <v>1</v>
      </c>
      <c r="Q7234" s="4" t="str">
        <f>IFERROR(__xludf.DUMMYFUNCTION("""COMPUTED_VALUE"""),"Menew - Linx")</f>
        <v>Menew - Linx</v>
      </c>
      <c r="R7234" s="33">
        <f>IFERROR(__xludf.DUMMYFUNCTION("""COMPUTED_VALUE"""),0.5)</f>
        <v>0.5</v>
      </c>
      <c r="S7234" s="4" t="str">
        <f>IFERROR(__xludf.DUMMYFUNCTION("""COMPUTED_VALUE"""),"Menew - Linx")</f>
        <v>Menew - Linx</v>
      </c>
      <c r="T7234" s="33">
        <f>IFERROR(__xludf.DUMMYFUNCTION("""COMPUTED_VALUE"""),0.5)</f>
        <v>0.5</v>
      </c>
      <c r="U7234" s="4" t="str">
        <f>IFERROR(__xludf.DUMMYFUNCTION("""COMPUTED_VALUE"""),"Menew - Linx")</f>
        <v>Menew - Linx</v>
      </c>
      <c r="V7234" s="33">
        <f>IFERROR(__xludf.DUMMYFUNCTION("""COMPUTED_VALUE"""),1.0)</f>
        <v>1</v>
      </c>
      <c r="W7234" s="4" t="str">
        <f>IFERROR(__xludf.DUMMYFUNCTION("""COMPUTED_VALUE"""),"Menew - Linx")</f>
        <v>Menew - Linx</v>
      </c>
      <c r="X7234" s="33">
        <f>IFERROR(__xludf.DUMMYFUNCTION("""COMPUTED_VALUE"""),1.0)</f>
        <v>1</v>
      </c>
    </row>
    <row r="7235">
      <c r="K7235" s="4" t="str">
        <f>IFERROR(__xludf.DUMMYFUNCTION("""COMPUTED_VALUE"""),"GUSTO DI PARMA")</f>
        <v>GUSTO DI PARMA</v>
      </c>
      <c r="L7235" s="32">
        <f>IFERROR(__xludf.DUMMYFUNCTION("""COMPUTED_VALUE"""),2.0)</f>
        <v>2</v>
      </c>
      <c r="M7235" s="4" t="str">
        <f>IFERROR(__xludf.DUMMYFUNCTION("""COMPUTED_VALUE"""),"null")</f>
        <v>null</v>
      </c>
      <c r="N7235" s="33">
        <f>IFERROR(__xludf.DUMMYFUNCTION("""COMPUTED_VALUE"""),1.0)</f>
        <v>1</v>
      </c>
      <c r="O7235" s="4" t="str">
        <f>IFERROR(__xludf.DUMMYFUNCTION("""COMPUTED_VALUE"""),"null")</f>
        <v>null</v>
      </c>
      <c r="P7235" s="33">
        <f>IFERROR(__xludf.DUMMYFUNCTION("""COMPUTED_VALUE"""),1.0)</f>
        <v>1</v>
      </c>
      <c r="Q7235" s="4" t="str">
        <f>IFERROR(__xludf.DUMMYFUNCTION("""COMPUTED_VALUE"""),"null")</f>
        <v>null</v>
      </c>
      <c r="R7235" s="33">
        <f>IFERROR(__xludf.DUMMYFUNCTION("""COMPUTED_VALUE"""),1.0)</f>
        <v>1</v>
      </c>
      <c r="S7235" s="4" t="str">
        <f>IFERROR(__xludf.DUMMYFUNCTION("""COMPUTED_VALUE"""),"null")</f>
        <v>null</v>
      </c>
      <c r="T7235" s="33">
        <f>IFERROR(__xludf.DUMMYFUNCTION("""COMPUTED_VALUE"""),1.0)</f>
        <v>1</v>
      </c>
      <c r="U7235" s="4" t="str">
        <f>IFERROR(__xludf.DUMMYFUNCTION("""COMPUTED_VALUE"""),"null")</f>
        <v>null</v>
      </c>
      <c r="V7235" s="33">
        <f>IFERROR(__xludf.DUMMYFUNCTION("""COMPUTED_VALUE"""),1.0)</f>
        <v>1</v>
      </c>
      <c r="W7235" s="4" t="str">
        <f>IFERROR(__xludf.DUMMYFUNCTION("""COMPUTED_VALUE"""),"Saipos Serviços De Software")</f>
        <v>Saipos Serviços De Software</v>
      </c>
      <c r="X7235" s="33">
        <f>IFERROR(__xludf.DUMMYFUNCTION("""COMPUTED_VALUE"""),1.0)</f>
        <v>1</v>
      </c>
    </row>
    <row r="7236">
      <c r="K7236" s="4" t="str">
        <f>IFERROR(__xludf.DUMMYFUNCTION("""COMPUTED_VALUE"""),"H2 CHOPP")</f>
        <v>H2 CHOPP</v>
      </c>
      <c r="L7236" s="32">
        <f>IFERROR(__xludf.DUMMYFUNCTION("""COMPUTED_VALUE"""),2.0)</f>
        <v>2</v>
      </c>
      <c r="M7236" s="4" t="str">
        <f>IFERROR(__xludf.DUMMYFUNCTION("""COMPUTED_VALUE"""),"Sagres Automação Comercial")</f>
        <v>Sagres Automação Comercial</v>
      </c>
      <c r="N7236" s="33">
        <f>IFERROR(__xludf.DUMMYFUNCTION("""COMPUTED_VALUE"""),1.0)</f>
        <v>1</v>
      </c>
      <c r="O7236" s="4" t="str">
        <f>IFERROR(__xludf.DUMMYFUNCTION("""COMPUTED_VALUE"""),"Sagres Automação Comercial")</f>
        <v>Sagres Automação Comercial</v>
      </c>
      <c r="P7236" s="33">
        <f>IFERROR(__xludf.DUMMYFUNCTION("""COMPUTED_VALUE"""),1.0)</f>
        <v>1</v>
      </c>
      <c r="Q7236" s="4" t="str">
        <f>IFERROR(__xludf.DUMMYFUNCTION("""COMPUTED_VALUE"""),"Sagres Automação Comercial")</f>
        <v>Sagres Automação Comercial</v>
      </c>
      <c r="R7236" s="33">
        <f>IFERROR(__xludf.DUMMYFUNCTION("""COMPUTED_VALUE"""),1.0)</f>
        <v>1</v>
      </c>
      <c r="S7236" s="4" t="str">
        <f>IFERROR(__xludf.DUMMYFUNCTION("""COMPUTED_VALUE"""),"Sagres Automação Comercial")</f>
        <v>Sagres Automação Comercial</v>
      </c>
      <c r="T7236" s="33">
        <f>IFERROR(__xludf.DUMMYFUNCTION("""COMPUTED_VALUE"""),1.0)</f>
        <v>1</v>
      </c>
      <c r="U7236" s="4" t="str">
        <f>IFERROR(__xludf.DUMMYFUNCTION("""COMPUTED_VALUE"""),"Sagres Automação Comercial")</f>
        <v>Sagres Automação Comercial</v>
      </c>
      <c r="V7236" s="33">
        <f>IFERROR(__xludf.DUMMYFUNCTION("""COMPUTED_VALUE"""),1.0)</f>
        <v>1</v>
      </c>
      <c r="W7236" s="4" t="str">
        <f>IFERROR(__xludf.DUMMYFUNCTION("""COMPUTED_VALUE"""),"Sagres Automação Comercial")</f>
        <v>Sagres Automação Comercial</v>
      </c>
      <c r="X7236" s="33">
        <f>IFERROR(__xludf.DUMMYFUNCTION("""COMPUTED_VALUE"""),1.0)</f>
        <v>1</v>
      </c>
    </row>
    <row r="7237">
      <c r="K7237" s="4" t="str">
        <f>IFERROR(__xludf.DUMMYFUNCTION("""COMPUTED_VALUE"""),"HAIAK SUSHI E TEMAKERIA")</f>
        <v>HAIAK SUSHI E TEMAKERIA</v>
      </c>
      <c r="L7237" s="32">
        <f>IFERROR(__xludf.DUMMYFUNCTION("""COMPUTED_VALUE"""),2.0)</f>
        <v>2</v>
      </c>
      <c r="M7237" s="4" t="str">
        <f>IFERROR(__xludf.DUMMYFUNCTION("""COMPUTED_VALUE"""),"Js Informatica E Equipamentos Ltda")</f>
        <v>Js Informatica E Equipamentos Ltda</v>
      </c>
      <c r="N7237" s="33">
        <f>IFERROR(__xludf.DUMMYFUNCTION("""COMPUTED_VALUE"""),1.0)</f>
        <v>1</v>
      </c>
      <c r="O7237" s="4" t="str">
        <f>IFERROR(__xludf.DUMMYFUNCTION("""COMPUTED_VALUE"""),"null")</f>
        <v>null</v>
      </c>
      <c r="P7237" s="33">
        <f>IFERROR(__xludf.DUMMYFUNCTION("""COMPUTED_VALUE"""),0.5)</f>
        <v>0.5</v>
      </c>
      <c r="Q7237" s="4" t="str">
        <f>IFERROR(__xludf.DUMMYFUNCTION("""COMPUTED_VALUE"""),"Js Informatica E Equipamentos Ltda")</f>
        <v>Js Informatica E Equipamentos Ltda</v>
      </c>
      <c r="R7237" s="33">
        <f>IFERROR(__xludf.DUMMYFUNCTION("""COMPUTED_VALUE"""),1.0)</f>
        <v>1</v>
      </c>
      <c r="S7237" s="4" t="str">
        <f>IFERROR(__xludf.DUMMYFUNCTION("""COMPUTED_VALUE"""),"Js Informatica E Equipamentos Ltda")</f>
        <v>Js Informatica E Equipamentos Ltda</v>
      </c>
      <c r="T7237" s="33">
        <f>IFERROR(__xludf.DUMMYFUNCTION("""COMPUTED_VALUE"""),1.0)</f>
        <v>1</v>
      </c>
      <c r="U7237" s="4" t="str">
        <f>IFERROR(__xludf.DUMMYFUNCTION("""COMPUTED_VALUE"""),"Js Informatica E Equipamentos Ltda")</f>
        <v>Js Informatica E Equipamentos Ltda</v>
      </c>
      <c r="V7237" s="33">
        <f>IFERROR(__xludf.DUMMYFUNCTION("""COMPUTED_VALUE"""),1.0)</f>
        <v>1</v>
      </c>
      <c r="W7237" s="4" t="str">
        <f>IFERROR(__xludf.DUMMYFUNCTION("""COMPUTED_VALUE"""),"Js Informatica E Equipamentos Ltda")</f>
        <v>Js Informatica E Equipamentos Ltda</v>
      </c>
      <c r="X7237" s="33">
        <f>IFERROR(__xludf.DUMMYFUNCTION("""COMPUTED_VALUE"""),1.0)</f>
        <v>1</v>
      </c>
    </row>
    <row r="7238">
      <c r="K7238" s="4" t="str">
        <f>IFERROR(__xludf.DUMMYFUNCTION("""COMPUTED_VALUE"""),"HAITATSU")</f>
        <v>HAITATSU</v>
      </c>
      <c r="L7238" s="32">
        <f>IFERROR(__xludf.DUMMYFUNCTION("""COMPUTED_VALUE"""),2.0)</f>
        <v>2</v>
      </c>
      <c r="M7238" s="4" t="str">
        <f>IFERROR(__xludf.DUMMYFUNCTION("""COMPUTED_VALUE"""),"Grsoft")</f>
        <v>Grsoft</v>
      </c>
      <c r="N7238" s="33">
        <f>IFERROR(__xludf.DUMMYFUNCTION("""COMPUTED_VALUE"""),0.5)</f>
        <v>0.5</v>
      </c>
      <c r="O7238" s="4" t="str">
        <f>IFERROR(__xludf.DUMMYFUNCTION("""COMPUTED_VALUE"""),"Grsoft")</f>
        <v>Grsoft</v>
      </c>
      <c r="P7238" s="33">
        <f>IFERROR(__xludf.DUMMYFUNCTION("""COMPUTED_VALUE"""),0.5)</f>
        <v>0.5</v>
      </c>
      <c r="Q7238" s="4" t="str">
        <f>IFERROR(__xludf.DUMMYFUNCTION("""COMPUTED_VALUE"""),"Grsoft")</f>
        <v>Grsoft</v>
      </c>
      <c r="R7238" s="33">
        <f>IFERROR(__xludf.DUMMYFUNCTION("""COMPUTED_VALUE"""),0.5)</f>
        <v>0.5</v>
      </c>
      <c r="S7238" s="4" t="str">
        <f>IFERROR(__xludf.DUMMYFUNCTION("""COMPUTED_VALUE"""),"Grsoft")</f>
        <v>Grsoft</v>
      </c>
      <c r="T7238" s="33">
        <f>IFERROR(__xludf.DUMMYFUNCTION("""COMPUTED_VALUE"""),0.5)</f>
        <v>0.5</v>
      </c>
      <c r="U7238" s="4" t="str">
        <f>IFERROR(__xludf.DUMMYFUNCTION("""COMPUTED_VALUE"""),"Grsoft")</f>
        <v>Grsoft</v>
      </c>
      <c r="V7238" s="33">
        <f>IFERROR(__xludf.DUMMYFUNCTION("""COMPUTED_VALUE"""),0.5)</f>
        <v>0.5</v>
      </c>
      <c r="W7238" s="4" t="str">
        <f>IFERROR(__xludf.DUMMYFUNCTION("""COMPUTED_VALUE"""),"Grsoft")</f>
        <v>Grsoft</v>
      </c>
      <c r="X7238" s="33">
        <f>IFERROR(__xludf.DUMMYFUNCTION("""COMPUTED_VALUE"""),0.5)</f>
        <v>0.5</v>
      </c>
    </row>
    <row r="7239">
      <c r="K7239" s="4" t="str">
        <f>IFERROR(__xludf.DUMMYFUNCTION("""COMPUTED_VALUE"""),"HAMADAYA - CONTA MARCA")</f>
        <v>HAMADAYA - CONTA MARCA</v>
      </c>
      <c r="L7239" s="32">
        <f>IFERROR(__xludf.DUMMYFUNCTION("""COMPUTED_VALUE"""),2.0)</f>
        <v>2</v>
      </c>
      <c r="M7239" s="4" t="str">
        <f>IFERROR(__xludf.DUMMYFUNCTION("""COMPUTED_VALUE"""),"Glow")</f>
        <v>Glow</v>
      </c>
      <c r="N7239" s="33">
        <f>IFERROR(__xludf.DUMMYFUNCTION("""COMPUTED_VALUE"""),1.0)</f>
        <v>1</v>
      </c>
      <c r="O7239" s="4" t="str">
        <f>IFERROR(__xludf.DUMMYFUNCTION("""COMPUTED_VALUE"""),"Glow")</f>
        <v>Glow</v>
      </c>
      <c r="P7239" s="33">
        <f>IFERROR(__xludf.DUMMYFUNCTION("""COMPUTED_VALUE"""),1.0)</f>
        <v>1</v>
      </c>
      <c r="Q7239" s="4" t="str">
        <f>IFERROR(__xludf.DUMMYFUNCTION("""COMPUTED_VALUE"""),"Glow")</f>
        <v>Glow</v>
      </c>
      <c r="R7239" s="33">
        <f>IFERROR(__xludf.DUMMYFUNCTION("""COMPUTED_VALUE"""),0.5)</f>
        <v>0.5</v>
      </c>
      <c r="S7239" s="4" t="str">
        <f>IFERROR(__xludf.DUMMYFUNCTION("""COMPUTED_VALUE"""),"Glow")</f>
        <v>Glow</v>
      </c>
      <c r="T7239" s="33">
        <f>IFERROR(__xludf.DUMMYFUNCTION("""COMPUTED_VALUE"""),1.0)</f>
        <v>1</v>
      </c>
      <c r="U7239" s="4" t="str">
        <f>IFERROR(__xludf.DUMMYFUNCTION("""COMPUTED_VALUE"""),"Glow")</f>
        <v>Glow</v>
      </c>
      <c r="V7239" s="33">
        <f>IFERROR(__xludf.DUMMYFUNCTION("""COMPUTED_VALUE"""),1.0)</f>
        <v>1</v>
      </c>
      <c r="W7239" s="4" t="str">
        <f>IFERROR(__xludf.DUMMYFUNCTION("""COMPUTED_VALUE"""),"Glow")</f>
        <v>Glow</v>
      </c>
      <c r="X7239" s="33">
        <f>IFERROR(__xludf.DUMMYFUNCTION("""COMPUTED_VALUE"""),1.0)</f>
        <v>1</v>
      </c>
    </row>
    <row r="7240">
      <c r="K7240" s="4" t="str">
        <f>IFERROR(__xludf.DUMMYFUNCTION("""COMPUTED_VALUE"""),"HAMBURGUERIA 13")</f>
        <v>HAMBURGUERIA 13</v>
      </c>
      <c r="L7240" s="32">
        <f>IFERROR(__xludf.DUMMYFUNCTION("""COMPUTED_VALUE"""),2.0)</f>
        <v>2</v>
      </c>
      <c r="M7240" s="4" t="str">
        <f>IFERROR(__xludf.DUMMYFUNCTION("""COMPUTED_VALUE"""),"Stone Co.")</f>
        <v>Stone Co.</v>
      </c>
      <c r="N7240" s="33">
        <f>IFERROR(__xludf.DUMMYFUNCTION("""COMPUTED_VALUE"""),0.5)</f>
        <v>0.5</v>
      </c>
      <c r="O7240" s="4" t="str">
        <f>IFERROR(__xludf.DUMMYFUNCTION("""COMPUTED_VALUE"""),"Stone Co.")</f>
        <v>Stone Co.</v>
      </c>
      <c r="P7240" s="33">
        <f>IFERROR(__xludf.DUMMYFUNCTION("""COMPUTED_VALUE"""),0.5)</f>
        <v>0.5</v>
      </c>
      <c r="Q7240" s="4" t="str">
        <f>IFERROR(__xludf.DUMMYFUNCTION("""COMPUTED_VALUE"""),"Stone Co.")</f>
        <v>Stone Co.</v>
      </c>
      <c r="R7240" s="33">
        <f>IFERROR(__xludf.DUMMYFUNCTION("""COMPUTED_VALUE"""),0.5)</f>
        <v>0.5</v>
      </c>
      <c r="S7240" s="4" t="str">
        <f>IFERROR(__xludf.DUMMYFUNCTION("""COMPUTED_VALUE"""),"Stone Co.")</f>
        <v>Stone Co.</v>
      </c>
      <c r="T7240" s="33">
        <f>IFERROR(__xludf.DUMMYFUNCTION("""COMPUTED_VALUE"""),0.5)</f>
        <v>0.5</v>
      </c>
      <c r="U7240" s="4" t="str">
        <f>IFERROR(__xludf.DUMMYFUNCTION("""COMPUTED_VALUE"""),"Stone Co.")</f>
        <v>Stone Co.</v>
      </c>
      <c r="V7240" s="33">
        <f>IFERROR(__xludf.DUMMYFUNCTION("""COMPUTED_VALUE"""),0.5)</f>
        <v>0.5</v>
      </c>
      <c r="W7240" s="4" t="str">
        <f>IFERROR(__xludf.DUMMYFUNCTION("""COMPUTED_VALUE"""),"Stone Co.")</f>
        <v>Stone Co.</v>
      </c>
      <c r="X7240" s="33">
        <f>IFERROR(__xludf.DUMMYFUNCTION("""COMPUTED_VALUE"""),0.5)</f>
        <v>0.5</v>
      </c>
    </row>
    <row r="7241">
      <c r="K7241" s="4" t="str">
        <f>IFERROR(__xludf.DUMMYFUNCTION("""COMPUTED_VALUE"""),"HAMBURGUERIA BIG BURGUER 17")</f>
        <v>HAMBURGUERIA BIG BURGUER 17</v>
      </c>
      <c r="L7241" s="32">
        <f>IFERROR(__xludf.DUMMYFUNCTION("""COMPUTED_VALUE"""),2.0)</f>
        <v>2</v>
      </c>
      <c r="M7241" s="4" t="str">
        <f>IFERROR(__xludf.DUMMYFUNCTION("""COMPUTED_VALUE"""),"Consumer Soluções Em Tecnologia Ltda")</f>
        <v>Consumer Soluções Em Tecnologia Ltda</v>
      </c>
      <c r="N7241" s="33">
        <f>IFERROR(__xludf.DUMMYFUNCTION("""COMPUTED_VALUE"""),1.0)</f>
        <v>1</v>
      </c>
      <c r="O7241" s="4" t="str">
        <f>IFERROR(__xludf.DUMMYFUNCTION("""COMPUTED_VALUE"""),"Consumer Soluções Em Tecnologia Ltda")</f>
        <v>Consumer Soluções Em Tecnologia Ltda</v>
      </c>
      <c r="P7241" s="33">
        <f>IFERROR(__xludf.DUMMYFUNCTION("""COMPUTED_VALUE"""),1.0)</f>
        <v>1</v>
      </c>
      <c r="Q7241" s="4" t="str">
        <f>IFERROR(__xludf.DUMMYFUNCTION("""COMPUTED_VALUE"""),"Consumer Soluções Em Tecnologia Ltda")</f>
        <v>Consumer Soluções Em Tecnologia Ltda</v>
      </c>
      <c r="R7241" s="33">
        <f>IFERROR(__xludf.DUMMYFUNCTION("""COMPUTED_VALUE"""),1.0)</f>
        <v>1</v>
      </c>
      <c r="S7241" s="4" t="str">
        <f>IFERROR(__xludf.DUMMYFUNCTION("""COMPUTED_VALUE"""),"Consumer Soluções Em Tecnologia Ltda")</f>
        <v>Consumer Soluções Em Tecnologia Ltda</v>
      </c>
      <c r="T7241" s="33">
        <f>IFERROR(__xludf.DUMMYFUNCTION("""COMPUTED_VALUE"""),1.0)</f>
        <v>1</v>
      </c>
      <c r="U7241" s="4" t="str">
        <f>IFERROR(__xludf.DUMMYFUNCTION("""COMPUTED_VALUE"""),"Consumer Soluções Em Tecnologia Ltda")</f>
        <v>Consumer Soluções Em Tecnologia Ltda</v>
      </c>
      <c r="V7241" s="33">
        <f>IFERROR(__xludf.DUMMYFUNCTION("""COMPUTED_VALUE"""),1.0)</f>
        <v>1</v>
      </c>
      <c r="W7241" s="4" t="str">
        <f>IFERROR(__xludf.DUMMYFUNCTION("""COMPUTED_VALUE"""),"Consumer Soluções Em Tecnologia Ltda")</f>
        <v>Consumer Soluções Em Tecnologia Ltda</v>
      </c>
      <c r="X7241" s="33">
        <f>IFERROR(__xludf.DUMMYFUNCTION("""COMPUTED_VALUE"""),1.0)</f>
        <v>1</v>
      </c>
    </row>
    <row r="7242">
      <c r="K7242" s="4" t="str">
        <f>IFERROR(__xludf.DUMMYFUNCTION("""COMPUTED_VALUE"""),"HAMBURGUERIA CASTELO BRANCO")</f>
        <v>HAMBURGUERIA CASTELO BRANCO</v>
      </c>
      <c r="L7242" s="32">
        <f>IFERROR(__xludf.DUMMYFUNCTION("""COMPUTED_VALUE"""),2.0)</f>
        <v>2</v>
      </c>
      <c r="M7242" s="4" t="str">
        <f>IFERROR(__xludf.DUMMYFUNCTION("""COMPUTED_VALUE"""),"Atecsystem")</f>
        <v>Atecsystem</v>
      </c>
      <c r="N7242" s="33">
        <f>IFERROR(__xludf.DUMMYFUNCTION("""COMPUTED_VALUE"""),1.0)</f>
        <v>1</v>
      </c>
      <c r="O7242" s="4" t="str">
        <f>IFERROR(__xludf.DUMMYFUNCTION("""COMPUTED_VALUE"""),"Atecsystem")</f>
        <v>Atecsystem</v>
      </c>
      <c r="P7242" s="33">
        <f>IFERROR(__xludf.DUMMYFUNCTION("""COMPUTED_VALUE"""),1.0)</f>
        <v>1</v>
      </c>
      <c r="Q7242" s="4" t="str">
        <f>IFERROR(__xludf.DUMMYFUNCTION("""COMPUTED_VALUE"""),"Atecsystem")</f>
        <v>Atecsystem</v>
      </c>
      <c r="R7242" s="33">
        <f>IFERROR(__xludf.DUMMYFUNCTION("""COMPUTED_VALUE"""),1.0)</f>
        <v>1</v>
      </c>
      <c r="S7242" s="4" t="str">
        <f>IFERROR(__xludf.DUMMYFUNCTION("""COMPUTED_VALUE"""),"Atecsystem")</f>
        <v>Atecsystem</v>
      </c>
      <c r="T7242" s="33">
        <f>IFERROR(__xludf.DUMMYFUNCTION("""COMPUTED_VALUE"""),1.0)</f>
        <v>1</v>
      </c>
      <c r="U7242" s="4" t="str">
        <f>IFERROR(__xludf.DUMMYFUNCTION("""COMPUTED_VALUE"""),"Atecsystem")</f>
        <v>Atecsystem</v>
      </c>
      <c r="V7242" s="33">
        <f>IFERROR(__xludf.DUMMYFUNCTION("""COMPUTED_VALUE"""),1.0)</f>
        <v>1</v>
      </c>
      <c r="W7242" s="4" t="str">
        <f>IFERROR(__xludf.DUMMYFUNCTION("""COMPUTED_VALUE"""),"Atecsystem")</f>
        <v>Atecsystem</v>
      </c>
      <c r="X7242" s="33">
        <f>IFERROR(__xludf.DUMMYFUNCTION("""COMPUTED_VALUE"""),1.0)</f>
        <v>1</v>
      </c>
    </row>
    <row r="7243">
      <c r="K7243" s="4" t="str">
        <f>IFERROR(__xludf.DUMMYFUNCTION("""COMPUTED_VALUE"""),"HAMBURGUERIA INVOCADO BURGER SLZ")</f>
        <v>HAMBURGUERIA INVOCADO BURGER SLZ</v>
      </c>
      <c r="L7243" s="32">
        <f>IFERROR(__xludf.DUMMYFUNCTION("""COMPUTED_VALUE"""),2.0)</f>
        <v>2</v>
      </c>
      <c r="M7243" s="4" t="str">
        <f>IFERROR(__xludf.DUMMYFUNCTION("""COMPUTED_VALUE"""),"Saipos Serviços De Software")</f>
        <v>Saipos Serviços De Software</v>
      </c>
      <c r="N7243" s="33">
        <f>IFERROR(__xludf.DUMMYFUNCTION("""COMPUTED_VALUE"""),1.0)</f>
        <v>1</v>
      </c>
      <c r="O7243" s="4" t="str">
        <f>IFERROR(__xludf.DUMMYFUNCTION("""COMPUTED_VALUE"""),"Saipos Serviços De Software")</f>
        <v>Saipos Serviços De Software</v>
      </c>
      <c r="P7243" s="33">
        <f>IFERROR(__xludf.DUMMYFUNCTION("""COMPUTED_VALUE"""),1.0)</f>
        <v>1</v>
      </c>
      <c r="Q7243" s="4" t="str">
        <f>IFERROR(__xludf.DUMMYFUNCTION("""COMPUTED_VALUE"""),"Saipos Serviços De Software")</f>
        <v>Saipos Serviços De Software</v>
      </c>
      <c r="R7243" s="33">
        <f>IFERROR(__xludf.DUMMYFUNCTION("""COMPUTED_VALUE"""),1.0)</f>
        <v>1</v>
      </c>
      <c r="S7243" s="4" t="str">
        <f>IFERROR(__xludf.DUMMYFUNCTION("""COMPUTED_VALUE"""),"Saipos Serviços De Software")</f>
        <v>Saipos Serviços De Software</v>
      </c>
      <c r="T7243" s="33">
        <f>IFERROR(__xludf.DUMMYFUNCTION("""COMPUTED_VALUE"""),1.0)</f>
        <v>1</v>
      </c>
      <c r="U7243" s="4" t="str">
        <f>IFERROR(__xludf.DUMMYFUNCTION("""COMPUTED_VALUE"""),"Saipos Serviços De Software")</f>
        <v>Saipos Serviços De Software</v>
      </c>
      <c r="V7243" s="33">
        <f>IFERROR(__xludf.DUMMYFUNCTION("""COMPUTED_VALUE"""),1.0)</f>
        <v>1</v>
      </c>
      <c r="W7243" s="4" t="str">
        <f>IFERROR(__xludf.DUMMYFUNCTION("""COMPUTED_VALUE"""),"Saipos Serviços De Software")</f>
        <v>Saipos Serviços De Software</v>
      </c>
      <c r="X7243" s="33">
        <f>IFERROR(__xludf.DUMMYFUNCTION("""COMPUTED_VALUE"""),1.0)</f>
        <v>1</v>
      </c>
    </row>
    <row r="7244">
      <c r="K7244" s="4" t="str">
        <f>IFERROR(__xludf.DUMMYFUNCTION("""COMPUTED_VALUE"""),"HAMBURGUERIA MADEIROS - ARTESANAL")</f>
        <v>HAMBURGUERIA MADEIROS - ARTESANAL</v>
      </c>
      <c r="L7244" s="32">
        <f>IFERROR(__xludf.DUMMYFUNCTION("""COMPUTED_VALUE"""),2.0)</f>
        <v>2</v>
      </c>
      <c r="M7244" s="4" t="str">
        <f>IFERROR(__xludf.DUMMYFUNCTION("""COMPUTED_VALUE"""),"null")</f>
        <v>null</v>
      </c>
      <c r="N7244" s="33">
        <f>IFERROR(__xludf.DUMMYFUNCTION("""COMPUTED_VALUE"""),1.0)</f>
        <v>1</v>
      </c>
      <c r="O7244" s="4" t="str">
        <f>IFERROR(__xludf.DUMMYFUNCTION("""COMPUTED_VALUE"""),"Saipos Serviços De Software")</f>
        <v>Saipos Serviços De Software</v>
      </c>
      <c r="P7244" s="33">
        <f>IFERROR(__xludf.DUMMYFUNCTION("""COMPUTED_VALUE"""),1.0)</f>
        <v>1</v>
      </c>
      <c r="Q7244" s="4" t="str">
        <f>IFERROR(__xludf.DUMMYFUNCTION("""COMPUTED_VALUE"""),"Saipos Serviços De Software")</f>
        <v>Saipos Serviços De Software</v>
      </c>
      <c r="R7244" s="33">
        <f>IFERROR(__xludf.DUMMYFUNCTION("""COMPUTED_VALUE"""),1.0)</f>
        <v>1</v>
      </c>
      <c r="S7244" s="4" t="str">
        <f>IFERROR(__xludf.DUMMYFUNCTION("""COMPUTED_VALUE"""),"Saipos Serviços De Software")</f>
        <v>Saipos Serviços De Software</v>
      </c>
      <c r="T7244" s="33">
        <f>IFERROR(__xludf.DUMMYFUNCTION("""COMPUTED_VALUE"""),1.0)</f>
        <v>1</v>
      </c>
      <c r="U7244" s="4" t="str">
        <f>IFERROR(__xludf.DUMMYFUNCTION("""COMPUTED_VALUE"""),"Saipos Serviços De Software")</f>
        <v>Saipos Serviços De Software</v>
      </c>
      <c r="V7244" s="33">
        <f>IFERROR(__xludf.DUMMYFUNCTION("""COMPUTED_VALUE"""),1.0)</f>
        <v>1</v>
      </c>
      <c r="W7244" s="4" t="str">
        <f>IFERROR(__xludf.DUMMYFUNCTION("""COMPUTED_VALUE"""),"Saipos Serviços De Software")</f>
        <v>Saipos Serviços De Software</v>
      </c>
      <c r="X7244" s="33">
        <f>IFERROR(__xludf.DUMMYFUNCTION("""COMPUTED_VALUE"""),1.0)</f>
        <v>1</v>
      </c>
    </row>
    <row r="7245">
      <c r="K7245" s="4" t="str">
        <f>IFERROR(__xludf.DUMMYFUNCTION("""COMPUTED_VALUE"""),"HAMBURGUERIA PIRATA EXPRESS - CONTA PAI")</f>
        <v>HAMBURGUERIA PIRATA EXPRESS - CONTA PAI</v>
      </c>
      <c r="L7245" s="32">
        <f>IFERROR(__xludf.DUMMYFUNCTION("""COMPUTED_VALUE"""),2.0)</f>
        <v>2</v>
      </c>
      <c r="M7245" s="4" t="str">
        <f>IFERROR(__xludf.DUMMYFUNCTION("""COMPUTED_VALUE"""),"Saipos Serviços De Software")</f>
        <v>Saipos Serviços De Software</v>
      </c>
      <c r="N7245" s="33">
        <f>IFERROR(__xludf.DUMMYFUNCTION("""COMPUTED_VALUE"""),1.0)</f>
        <v>1</v>
      </c>
      <c r="O7245" s="4" t="str">
        <f>IFERROR(__xludf.DUMMYFUNCTION("""COMPUTED_VALUE"""),"Saipos Serviços De Software")</f>
        <v>Saipos Serviços De Software</v>
      </c>
      <c r="P7245" s="33">
        <f>IFERROR(__xludf.DUMMYFUNCTION("""COMPUTED_VALUE"""),1.0)</f>
        <v>1</v>
      </c>
      <c r="Q7245" s="4" t="str">
        <f>IFERROR(__xludf.DUMMYFUNCTION("""COMPUTED_VALUE"""),"Saipos Serviços De Software")</f>
        <v>Saipos Serviços De Software</v>
      </c>
      <c r="R7245" s="33">
        <f>IFERROR(__xludf.DUMMYFUNCTION("""COMPUTED_VALUE"""),1.0)</f>
        <v>1</v>
      </c>
      <c r="S7245" s="4" t="str">
        <f>IFERROR(__xludf.DUMMYFUNCTION("""COMPUTED_VALUE"""),"Saipos Serviços De Software")</f>
        <v>Saipos Serviços De Software</v>
      </c>
      <c r="T7245" s="33">
        <f>IFERROR(__xludf.DUMMYFUNCTION("""COMPUTED_VALUE"""),1.0)</f>
        <v>1</v>
      </c>
      <c r="U7245" s="4" t="str">
        <f>IFERROR(__xludf.DUMMYFUNCTION("""COMPUTED_VALUE"""),"Saipos Serviços De Software")</f>
        <v>Saipos Serviços De Software</v>
      </c>
      <c r="V7245" s="33">
        <f>IFERROR(__xludf.DUMMYFUNCTION("""COMPUTED_VALUE"""),1.0)</f>
        <v>1</v>
      </c>
      <c r="W7245" s="4" t="str">
        <f>IFERROR(__xludf.DUMMYFUNCTION("""COMPUTED_VALUE"""),"Saipos Serviços De Software")</f>
        <v>Saipos Serviços De Software</v>
      </c>
      <c r="X7245" s="33">
        <f>IFERROR(__xludf.DUMMYFUNCTION("""COMPUTED_VALUE"""),1.0)</f>
        <v>1</v>
      </c>
    </row>
    <row r="7246">
      <c r="K7246" s="4" t="str">
        <f>IFERROR(__xludf.DUMMYFUNCTION("""COMPUTED_VALUE"""),"HAMBURGUES - CONTA MARCA")</f>
        <v>HAMBURGUES - CONTA MARCA</v>
      </c>
      <c r="L7246" s="32">
        <f>IFERROR(__xludf.DUMMYFUNCTION("""COMPUTED_VALUE"""),2.0)</f>
        <v>2</v>
      </c>
      <c r="M7246" s="4" t="str">
        <f>IFERROR(__xludf.DUMMYFUNCTION("""COMPUTED_VALUE"""),"Berp Sistemas")</f>
        <v>Berp Sistemas</v>
      </c>
      <c r="N7246" s="33">
        <f>IFERROR(__xludf.DUMMYFUNCTION("""COMPUTED_VALUE"""),1.0)</f>
        <v>1</v>
      </c>
      <c r="O7246" s="4" t="str">
        <f>IFERROR(__xludf.DUMMYFUNCTION("""COMPUTED_VALUE"""),"Berp Sistemas")</f>
        <v>Berp Sistemas</v>
      </c>
      <c r="P7246" s="33">
        <f>IFERROR(__xludf.DUMMYFUNCTION("""COMPUTED_VALUE"""),1.0)</f>
        <v>1</v>
      </c>
      <c r="Q7246" s="4" t="str">
        <f>IFERROR(__xludf.DUMMYFUNCTION("""COMPUTED_VALUE"""),"Berp Sistemas")</f>
        <v>Berp Sistemas</v>
      </c>
      <c r="R7246" s="33">
        <f>IFERROR(__xludf.DUMMYFUNCTION("""COMPUTED_VALUE"""),1.0)</f>
        <v>1</v>
      </c>
      <c r="S7246" s="4" t="str">
        <f>IFERROR(__xludf.DUMMYFUNCTION("""COMPUTED_VALUE"""),"Berp Sistemas")</f>
        <v>Berp Sistemas</v>
      </c>
      <c r="T7246" s="33">
        <f>IFERROR(__xludf.DUMMYFUNCTION("""COMPUTED_VALUE"""),1.0)</f>
        <v>1</v>
      </c>
      <c r="U7246" s="4" t="str">
        <f>IFERROR(__xludf.DUMMYFUNCTION("""COMPUTED_VALUE"""),"Berp Sistemas")</f>
        <v>Berp Sistemas</v>
      </c>
      <c r="V7246" s="33">
        <f>IFERROR(__xludf.DUMMYFUNCTION("""COMPUTED_VALUE"""),1.0)</f>
        <v>1</v>
      </c>
      <c r="W7246" s="4" t="str">
        <f>IFERROR(__xludf.DUMMYFUNCTION("""COMPUTED_VALUE"""),"null")</f>
        <v>null</v>
      </c>
      <c r="X7246" s="33">
        <f>IFERROR(__xludf.DUMMYFUNCTION("""COMPUTED_VALUE"""),1.0)</f>
        <v>1</v>
      </c>
    </row>
    <row r="7247">
      <c r="K7247" s="4" t="str">
        <f>IFERROR(__xludf.DUMMYFUNCTION("""COMPUTED_VALUE"""),"HAMBURGUINHO")</f>
        <v>HAMBURGUINHO</v>
      </c>
      <c r="L7247" s="32">
        <f>IFERROR(__xludf.DUMMYFUNCTION("""COMPUTED_VALUE"""),2.0)</f>
        <v>2</v>
      </c>
      <c r="M7247" s="4" t="str">
        <f>IFERROR(__xludf.DUMMYFUNCTION("""COMPUTED_VALUE"""),"Atena Tecnologia Da Informacao Ltda")</f>
        <v>Atena Tecnologia Da Informacao Ltda</v>
      </c>
      <c r="N7247" s="33">
        <f>IFERROR(__xludf.DUMMYFUNCTION("""COMPUTED_VALUE"""),1.0)</f>
        <v>1</v>
      </c>
      <c r="O7247" s="4" t="str">
        <f>IFERROR(__xludf.DUMMYFUNCTION("""COMPUTED_VALUE"""),"Saipos Serviços De Software")</f>
        <v>Saipos Serviços De Software</v>
      </c>
      <c r="P7247" s="33">
        <f>IFERROR(__xludf.DUMMYFUNCTION("""COMPUTED_VALUE"""),0.5)</f>
        <v>0.5</v>
      </c>
      <c r="Q7247" s="4" t="str">
        <f>IFERROR(__xludf.DUMMYFUNCTION("""COMPUTED_VALUE"""),"Saipos Serviços De Software")</f>
        <v>Saipos Serviços De Software</v>
      </c>
      <c r="R7247" s="33">
        <f>IFERROR(__xludf.DUMMYFUNCTION("""COMPUTED_VALUE"""),0.5)</f>
        <v>0.5</v>
      </c>
      <c r="S7247" s="4" t="str">
        <f>IFERROR(__xludf.DUMMYFUNCTION("""COMPUTED_VALUE"""),"Saipos Serviços De Software")</f>
        <v>Saipos Serviços De Software</v>
      </c>
      <c r="T7247" s="33">
        <f>IFERROR(__xludf.DUMMYFUNCTION("""COMPUTED_VALUE"""),0.5)</f>
        <v>0.5</v>
      </c>
      <c r="U7247" s="4" t="str">
        <f>IFERROR(__xludf.DUMMYFUNCTION("""COMPUTED_VALUE"""),"Eclética Tecnologia")</f>
        <v>Eclética Tecnologia</v>
      </c>
      <c r="V7247" s="33">
        <f>IFERROR(__xludf.DUMMYFUNCTION("""COMPUTED_VALUE"""),0.5)</f>
        <v>0.5</v>
      </c>
      <c r="W7247" s="4" t="str">
        <f>IFERROR(__xludf.DUMMYFUNCTION("""COMPUTED_VALUE"""),"Eclética Tecnologia")</f>
        <v>Eclética Tecnologia</v>
      </c>
      <c r="X7247" s="33">
        <f>IFERROR(__xludf.DUMMYFUNCTION("""COMPUTED_VALUE"""),0.5)</f>
        <v>0.5</v>
      </c>
    </row>
    <row r="7248">
      <c r="K7248" s="4" t="str">
        <f>IFERROR(__xludf.DUMMYFUNCTION("""COMPUTED_VALUE"""),"HAMBURGUINO")</f>
        <v>HAMBURGUINO</v>
      </c>
      <c r="L7248" s="32">
        <f>IFERROR(__xludf.DUMMYFUNCTION("""COMPUTED_VALUE"""),2.0)</f>
        <v>2</v>
      </c>
      <c r="M7248" s="4" t="str">
        <f>IFERROR(__xludf.DUMMYFUNCTION("""COMPUTED_VALUE"""),"Saipos Serviços De Software")</f>
        <v>Saipos Serviços De Software</v>
      </c>
      <c r="N7248" s="33">
        <f>IFERROR(__xludf.DUMMYFUNCTION("""COMPUTED_VALUE"""),1.0)</f>
        <v>1</v>
      </c>
      <c r="O7248" s="4" t="str">
        <f>IFERROR(__xludf.DUMMYFUNCTION("""COMPUTED_VALUE"""),"Saipos Serviços De Software")</f>
        <v>Saipos Serviços De Software</v>
      </c>
      <c r="P7248" s="33">
        <f>IFERROR(__xludf.DUMMYFUNCTION("""COMPUTED_VALUE"""),1.0)</f>
        <v>1</v>
      </c>
      <c r="Q7248" s="4" t="str">
        <f>IFERROR(__xludf.DUMMYFUNCTION("""COMPUTED_VALUE"""),"null")</f>
        <v>null</v>
      </c>
      <c r="R7248" s="33">
        <f>IFERROR(__xludf.DUMMYFUNCTION("""COMPUTED_VALUE"""),0.5)</f>
        <v>0.5</v>
      </c>
      <c r="S7248" s="4" t="str">
        <f>IFERROR(__xludf.DUMMYFUNCTION("""COMPUTED_VALUE"""),"null")</f>
        <v>null</v>
      </c>
      <c r="T7248" s="33">
        <f>IFERROR(__xludf.DUMMYFUNCTION("""COMPUTED_VALUE"""),0.5)</f>
        <v>0.5</v>
      </c>
      <c r="U7248" s="4" t="str">
        <f>IFERROR(__xludf.DUMMYFUNCTION("""COMPUTED_VALUE"""),"null")</f>
        <v>null</v>
      </c>
      <c r="V7248" s="33">
        <f>IFERROR(__xludf.DUMMYFUNCTION("""COMPUTED_VALUE"""),1.0)</f>
        <v>1</v>
      </c>
      <c r="W7248" s="4" t="str">
        <f>IFERROR(__xludf.DUMMYFUNCTION("""COMPUTED_VALUE"""),"null")</f>
        <v>null</v>
      </c>
      <c r="X7248" s="33">
        <f>IFERROR(__xludf.DUMMYFUNCTION("""COMPUTED_VALUE"""),1.0)</f>
        <v>1</v>
      </c>
    </row>
    <row r="7249">
      <c r="K7249" s="4" t="str">
        <f>IFERROR(__xludf.DUMMYFUNCTION("""COMPUTED_VALUE"""),"HAMONI FUSION - CONTA PAI")</f>
        <v>HAMONI FUSION - CONTA PAI</v>
      </c>
      <c r="L7249" s="32">
        <f>IFERROR(__xludf.DUMMYFUNCTION("""COMPUTED_VALUE"""),2.0)</f>
        <v>2</v>
      </c>
      <c r="M7249" s="4" t="str">
        <f>IFERROR(__xludf.DUMMYFUNCTION("""COMPUTED_VALUE"""),"null")</f>
        <v>null</v>
      </c>
      <c r="N7249" s="33">
        <f>IFERROR(__xludf.DUMMYFUNCTION("""COMPUTED_VALUE"""),1.0)</f>
        <v>1</v>
      </c>
      <c r="O7249" s="4" t="str">
        <f>IFERROR(__xludf.DUMMYFUNCTION("""COMPUTED_VALUE"""),"null")</f>
        <v>null</v>
      </c>
      <c r="P7249" s="33">
        <f>IFERROR(__xludf.DUMMYFUNCTION("""COMPUTED_VALUE"""),1.0)</f>
        <v>1</v>
      </c>
      <c r="Q7249" s="4" t="str">
        <f>IFERROR(__xludf.DUMMYFUNCTION("""COMPUTED_VALUE"""),"null")</f>
        <v>null</v>
      </c>
      <c r="R7249" s="33">
        <f>IFERROR(__xludf.DUMMYFUNCTION("""COMPUTED_VALUE"""),1.0)</f>
        <v>1</v>
      </c>
      <c r="S7249" s="4" t="str">
        <f>IFERROR(__xludf.DUMMYFUNCTION("""COMPUTED_VALUE"""),"Ncr")</f>
        <v>Ncr</v>
      </c>
      <c r="T7249" s="33">
        <f>IFERROR(__xludf.DUMMYFUNCTION("""COMPUTED_VALUE"""),0.5)</f>
        <v>0.5</v>
      </c>
      <c r="U7249" s="4" t="str">
        <f>IFERROR(__xludf.DUMMYFUNCTION("""COMPUTED_VALUE"""),"Saipos Serviços De Software")</f>
        <v>Saipos Serviços De Software</v>
      </c>
      <c r="V7249" s="33">
        <f>IFERROR(__xludf.DUMMYFUNCTION("""COMPUTED_VALUE"""),0.5)</f>
        <v>0.5</v>
      </c>
      <c r="W7249" s="4" t="str">
        <f>IFERROR(__xludf.DUMMYFUNCTION("""COMPUTED_VALUE"""),"Saipos Serviços De Software")</f>
        <v>Saipos Serviços De Software</v>
      </c>
      <c r="X7249" s="33">
        <f>IFERROR(__xludf.DUMMYFUNCTION("""COMPUTED_VALUE"""),0.5)</f>
        <v>0.5</v>
      </c>
    </row>
    <row r="7250">
      <c r="K7250" s="4" t="str">
        <f>IFERROR(__xludf.DUMMYFUNCTION("""COMPUTED_VALUE"""),"HANAMI SUSHI POKE - UBERLANDIA")</f>
        <v>HANAMI SUSHI POKE - UBERLANDIA</v>
      </c>
      <c r="L7250" s="32">
        <f>IFERROR(__xludf.DUMMYFUNCTION("""COMPUTED_VALUE"""),2.0)</f>
        <v>2</v>
      </c>
      <c r="M7250" s="4" t="str">
        <f>IFERROR(__xludf.DUMMYFUNCTION("""COMPUTED_VALUE"""),"null")</f>
        <v>null</v>
      </c>
      <c r="N7250" s="33">
        <f>IFERROR(__xludf.DUMMYFUNCTION("""COMPUTED_VALUE"""),1.0)</f>
        <v>1</v>
      </c>
      <c r="O7250" s="4" t="str">
        <f>IFERROR(__xludf.DUMMYFUNCTION("""COMPUTED_VALUE"""),"null")</f>
        <v>null</v>
      </c>
      <c r="P7250" s="33">
        <f>IFERROR(__xludf.DUMMYFUNCTION("""COMPUTED_VALUE"""),1.0)</f>
        <v>1</v>
      </c>
      <c r="Q7250" s="4" t="str">
        <f>IFERROR(__xludf.DUMMYFUNCTION("""COMPUTED_VALUE"""),"Limber Software E Consultoria Ltda")</f>
        <v>Limber Software E Consultoria Ltda</v>
      </c>
      <c r="R7250" s="33">
        <f>IFERROR(__xludf.DUMMYFUNCTION("""COMPUTED_VALUE"""),1.0)</f>
        <v>1</v>
      </c>
      <c r="S7250" s="4" t="str">
        <f>IFERROR(__xludf.DUMMYFUNCTION("""COMPUTED_VALUE"""),"Limber Software E Consultoria Ltda")</f>
        <v>Limber Software E Consultoria Ltda</v>
      </c>
      <c r="T7250" s="33">
        <f>IFERROR(__xludf.DUMMYFUNCTION("""COMPUTED_VALUE"""),1.0)</f>
        <v>1</v>
      </c>
      <c r="U7250" s="4" t="str">
        <f>IFERROR(__xludf.DUMMYFUNCTION("""COMPUTED_VALUE"""),"Limber Software E Consultoria Ltda")</f>
        <v>Limber Software E Consultoria Ltda</v>
      </c>
      <c r="V7250" s="33">
        <f>IFERROR(__xludf.DUMMYFUNCTION("""COMPUTED_VALUE"""),1.0)</f>
        <v>1</v>
      </c>
      <c r="W7250" s="4" t="str">
        <f>IFERROR(__xludf.DUMMYFUNCTION("""COMPUTED_VALUE"""),"Limber Software E Consultoria Ltda")</f>
        <v>Limber Software E Consultoria Ltda</v>
      </c>
      <c r="X7250" s="33">
        <f>IFERROR(__xludf.DUMMYFUNCTION("""COMPUTED_VALUE"""),1.0)</f>
        <v>1</v>
      </c>
    </row>
    <row r="7251">
      <c r="K7251" s="4" t="str">
        <f>IFERROR(__xludf.DUMMYFUNCTION("""COMPUTED_VALUE"""),"HANDMADE 44 - MARCA")</f>
        <v>HANDMADE 44 - MARCA</v>
      </c>
      <c r="L7251" s="32">
        <f>IFERROR(__xludf.DUMMYFUNCTION("""COMPUTED_VALUE"""),2.0)</f>
        <v>2</v>
      </c>
      <c r="M7251" s="4" t="str">
        <f>IFERROR(__xludf.DUMMYFUNCTION("""COMPUTED_VALUE"""),"Saipos Serviços De Software")</f>
        <v>Saipos Serviços De Software</v>
      </c>
      <c r="N7251" s="33">
        <f>IFERROR(__xludf.DUMMYFUNCTION("""COMPUTED_VALUE"""),1.0)</f>
        <v>1</v>
      </c>
      <c r="O7251" s="4" t="str">
        <f>IFERROR(__xludf.DUMMYFUNCTION("""COMPUTED_VALUE"""),"Saipos Serviços De Software")</f>
        <v>Saipos Serviços De Software</v>
      </c>
      <c r="P7251" s="33">
        <f>IFERROR(__xludf.DUMMYFUNCTION("""COMPUTED_VALUE"""),1.0)</f>
        <v>1</v>
      </c>
      <c r="Q7251" s="4" t="str">
        <f>IFERROR(__xludf.DUMMYFUNCTION("""COMPUTED_VALUE"""),"Saipos Serviços De Software")</f>
        <v>Saipos Serviços De Software</v>
      </c>
      <c r="R7251" s="33">
        <f>IFERROR(__xludf.DUMMYFUNCTION("""COMPUTED_VALUE"""),1.0)</f>
        <v>1</v>
      </c>
      <c r="S7251" s="4" t="str">
        <f>IFERROR(__xludf.DUMMYFUNCTION("""COMPUTED_VALUE"""),"Saipos Serviços De Software")</f>
        <v>Saipos Serviços De Software</v>
      </c>
      <c r="T7251" s="33">
        <f>IFERROR(__xludf.DUMMYFUNCTION("""COMPUTED_VALUE"""),1.0)</f>
        <v>1</v>
      </c>
      <c r="U7251" s="4" t="str">
        <f>IFERROR(__xludf.DUMMYFUNCTION("""COMPUTED_VALUE"""),"Saipos Serviços De Software")</f>
        <v>Saipos Serviços De Software</v>
      </c>
      <c r="V7251" s="33">
        <f>IFERROR(__xludf.DUMMYFUNCTION("""COMPUTED_VALUE"""),1.0)</f>
        <v>1</v>
      </c>
      <c r="W7251" s="4" t="str">
        <f>IFERROR(__xludf.DUMMYFUNCTION("""COMPUTED_VALUE"""),"Saipos Serviços De Software")</f>
        <v>Saipos Serviços De Software</v>
      </c>
      <c r="X7251" s="33">
        <f>IFERROR(__xludf.DUMMYFUNCTION("""COMPUTED_VALUE"""),1.0)</f>
        <v>1</v>
      </c>
    </row>
    <row r="7252">
      <c r="K7252" s="4" t="str">
        <f>IFERROR(__xludf.DUMMYFUNCTION("""COMPUTED_VALUE"""),"GRUPO IGUARIA - THE BOX E HANDZ")</f>
        <v>GRUPO IGUARIA - THE BOX E HANDZ</v>
      </c>
      <c r="L7252" s="32">
        <f>IFERROR(__xludf.DUMMYFUNCTION("""COMPUTED_VALUE"""),2.0)</f>
        <v>2</v>
      </c>
      <c r="M7252" s="4" t="str">
        <f>IFERROR(__xludf.DUMMYFUNCTION("""COMPUTED_VALUE"""),"Totvs Large Enterprise Tecnologia S.a.")</f>
        <v>Totvs Large Enterprise Tecnologia S.a.</v>
      </c>
      <c r="N7252" s="33">
        <f>IFERROR(__xludf.DUMMYFUNCTION("""COMPUTED_VALUE"""),1.0)</f>
        <v>1</v>
      </c>
      <c r="O7252" s="4" t="str">
        <f>IFERROR(__xludf.DUMMYFUNCTION("""COMPUTED_VALUE"""),"Totvs Large Enterprise Tecnologia S.a.")</f>
        <v>Totvs Large Enterprise Tecnologia S.a.</v>
      </c>
      <c r="P7252" s="33">
        <f>IFERROR(__xludf.DUMMYFUNCTION("""COMPUTED_VALUE"""),1.0)</f>
        <v>1</v>
      </c>
      <c r="Q7252" s="4" t="str">
        <f>IFERROR(__xludf.DUMMYFUNCTION("""COMPUTED_VALUE"""),"Totvs Large Enterprise Tecnologia S.a.")</f>
        <v>Totvs Large Enterprise Tecnologia S.a.</v>
      </c>
      <c r="R7252" s="33">
        <f>IFERROR(__xludf.DUMMYFUNCTION("""COMPUTED_VALUE"""),1.0)</f>
        <v>1</v>
      </c>
      <c r="S7252" s="4" t="str">
        <f>IFERROR(__xludf.DUMMYFUNCTION("""COMPUTED_VALUE"""),"null")</f>
        <v>null</v>
      </c>
      <c r="T7252" s="33">
        <f>IFERROR(__xludf.DUMMYFUNCTION("""COMPUTED_VALUE"""),0.5)</f>
        <v>0.5</v>
      </c>
      <c r="U7252" s="4" t="str">
        <f>IFERROR(__xludf.DUMMYFUNCTION("""COMPUTED_VALUE"""),"null")</f>
        <v>null</v>
      </c>
      <c r="V7252" s="33">
        <f>IFERROR(__xludf.DUMMYFUNCTION("""COMPUTED_VALUE"""),0.5)</f>
        <v>0.5</v>
      </c>
      <c r="W7252" s="4" t="str">
        <f>IFERROR(__xludf.DUMMYFUNCTION("""COMPUTED_VALUE"""),"null")</f>
        <v>null</v>
      </c>
      <c r="X7252" s="33">
        <f>IFERROR(__xludf.DUMMYFUNCTION("""COMPUTED_VALUE"""),0.5)</f>
        <v>0.5</v>
      </c>
    </row>
    <row r="7253">
      <c r="K7253" s="4" t="str">
        <f>IFERROR(__xludf.DUMMYFUNCTION("""COMPUTED_VALUE"""),"HANGOVER TERESINA")</f>
        <v>HANGOVER TERESINA</v>
      </c>
      <c r="L7253" s="32">
        <f>IFERROR(__xludf.DUMMYFUNCTION("""COMPUTED_VALUE"""),2.0)</f>
        <v>2</v>
      </c>
      <c r="M7253" s="4" t="str">
        <f>IFERROR(__xludf.DUMMYFUNCTION("""COMPUTED_VALUE"""),"Cardápio Web")</f>
        <v>Cardápio Web</v>
      </c>
      <c r="N7253" s="33">
        <f>IFERROR(__xludf.DUMMYFUNCTION("""COMPUTED_VALUE"""),1.0)</f>
        <v>1</v>
      </c>
      <c r="O7253" s="4" t="str">
        <f>IFERROR(__xludf.DUMMYFUNCTION("""COMPUTED_VALUE"""),"Cardápio Web")</f>
        <v>Cardápio Web</v>
      </c>
      <c r="P7253" s="33">
        <f>IFERROR(__xludf.DUMMYFUNCTION("""COMPUTED_VALUE"""),1.0)</f>
        <v>1</v>
      </c>
      <c r="Q7253" s="4" t="str">
        <f>IFERROR(__xludf.DUMMYFUNCTION("""COMPUTED_VALUE"""),"Cardápio Web")</f>
        <v>Cardápio Web</v>
      </c>
      <c r="R7253" s="33">
        <f>IFERROR(__xludf.DUMMYFUNCTION("""COMPUTED_VALUE"""),1.0)</f>
        <v>1</v>
      </c>
      <c r="S7253" s="4" t="str">
        <f>IFERROR(__xludf.DUMMYFUNCTION("""COMPUTED_VALUE"""),"Cardápio Web")</f>
        <v>Cardápio Web</v>
      </c>
      <c r="T7253" s="33">
        <f>IFERROR(__xludf.DUMMYFUNCTION("""COMPUTED_VALUE"""),1.0)</f>
        <v>1</v>
      </c>
      <c r="U7253" s="4" t="str">
        <f>IFERROR(__xludf.DUMMYFUNCTION("""COMPUTED_VALUE"""),"Cardápio Web")</f>
        <v>Cardápio Web</v>
      </c>
      <c r="V7253" s="33">
        <f>IFERROR(__xludf.DUMMYFUNCTION("""COMPUTED_VALUE"""),1.0)</f>
        <v>1</v>
      </c>
      <c r="W7253" s="4" t="str">
        <f>IFERROR(__xludf.DUMMYFUNCTION("""COMPUTED_VALUE"""),"Cardápio Web")</f>
        <v>Cardápio Web</v>
      </c>
      <c r="X7253" s="33">
        <f>IFERROR(__xludf.DUMMYFUNCTION("""COMPUTED_VALUE"""),1.0)</f>
        <v>1</v>
      </c>
    </row>
    <row r="7254">
      <c r="K7254" s="4" t="str">
        <f>IFERROR(__xludf.DUMMYFUNCTION("""COMPUTED_VALUE"""),"HANKS ORIGINAL BURGUER")</f>
        <v>HANKS ORIGINAL BURGUER</v>
      </c>
      <c r="L7254" s="32">
        <f>IFERROR(__xludf.DUMMYFUNCTION("""COMPUTED_VALUE"""),2.0)</f>
        <v>2</v>
      </c>
      <c r="M7254" s="4" t="str">
        <f>IFERROR(__xludf.DUMMYFUNCTION("""COMPUTED_VALUE"""),"Parseint Desenvolvimento De Sistemas Ltda")</f>
        <v>Parseint Desenvolvimento De Sistemas Ltda</v>
      </c>
      <c r="N7254" s="33">
        <f>IFERROR(__xludf.DUMMYFUNCTION("""COMPUTED_VALUE"""),0.5)</f>
        <v>0.5</v>
      </c>
      <c r="O7254" s="4" t="str">
        <f>IFERROR(__xludf.DUMMYFUNCTION("""COMPUTED_VALUE"""),"Parseint Desenvolvimento De Sistemas Ltda")</f>
        <v>Parseint Desenvolvimento De Sistemas Ltda</v>
      </c>
      <c r="P7254" s="33">
        <f>IFERROR(__xludf.DUMMYFUNCTION("""COMPUTED_VALUE"""),0.5)</f>
        <v>0.5</v>
      </c>
      <c r="Q7254" s="4" t="str">
        <f>IFERROR(__xludf.DUMMYFUNCTION("""COMPUTED_VALUE"""),"Parseint Desenvolvimento De Sistemas Ltda")</f>
        <v>Parseint Desenvolvimento De Sistemas Ltda</v>
      </c>
      <c r="R7254" s="33">
        <f>IFERROR(__xludf.DUMMYFUNCTION("""COMPUTED_VALUE"""),0.5)</f>
        <v>0.5</v>
      </c>
      <c r="S7254" s="4" t="str">
        <f>IFERROR(__xludf.DUMMYFUNCTION("""COMPUTED_VALUE"""),"Parseint Desenvolvimento De Sistemas Ltda")</f>
        <v>Parseint Desenvolvimento De Sistemas Ltda</v>
      </c>
      <c r="T7254" s="33">
        <f>IFERROR(__xludf.DUMMYFUNCTION("""COMPUTED_VALUE"""),0.5)</f>
        <v>0.5</v>
      </c>
      <c r="U7254" s="4" t="str">
        <f>IFERROR(__xludf.DUMMYFUNCTION("""COMPUTED_VALUE"""),"Parseint Desenvolvimento De Sistemas Ltda")</f>
        <v>Parseint Desenvolvimento De Sistemas Ltda</v>
      </c>
      <c r="V7254" s="33">
        <f>IFERROR(__xludf.DUMMYFUNCTION("""COMPUTED_VALUE"""),0.5)</f>
        <v>0.5</v>
      </c>
      <c r="W7254" s="4" t="str">
        <f>IFERROR(__xludf.DUMMYFUNCTION("""COMPUTED_VALUE"""),"Parseint Desenvolvimento De Sistemas Ltda")</f>
        <v>Parseint Desenvolvimento De Sistemas Ltda</v>
      </c>
      <c r="X7254" s="33">
        <f>IFERROR(__xludf.DUMMYFUNCTION("""COMPUTED_VALUE"""),0.5)</f>
        <v>0.5</v>
      </c>
    </row>
    <row r="7255">
      <c r="K7255" s="4" t="str">
        <f>IFERROR(__xludf.DUMMYFUNCTION("""COMPUTED_VALUE"""),"HARLEM HAMBURGUERIA")</f>
        <v>HARLEM HAMBURGUERIA</v>
      </c>
      <c r="L7255" s="32">
        <f>IFERROR(__xludf.DUMMYFUNCTION("""COMPUTED_VALUE"""),2.0)</f>
        <v>2</v>
      </c>
      <c r="M7255" s="4" t="str">
        <f>IFERROR(__xludf.DUMMYFUNCTION("""COMPUTED_VALUE"""),"Expresso Delivery")</f>
        <v>Expresso Delivery</v>
      </c>
      <c r="N7255" s="33">
        <f>IFERROR(__xludf.DUMMYFUNCTION("""COMPUTED_VALUE"""),0.5)</f>
        <v>0.5</v>
      </c>
      <c r="O7255" s="4" t="str">
        <f>IFERROR(__xludf.DUMMYFUNCTION("""COMPUTED_VALUE"""),"Expresso Delivery")</f>
        <v>Expresso Delivery</v>
      </c>
      <c r="P7255" s="33">
        <f>IFERROR(__xludf.DUMMYFUNCTION("""COMPUTED_VALUE"""),0.5)</f>
        <v>0.5</v>
      </c>
      <c r="Q7255" s="4" t="str">
        <f>IFERROR(__xludf.DUMMYFUNCTION("""COMPUTED_VALUE"""),"Expresso Delivery")</f>
        <v>Expresso Delivery</v>
      </c>
      <c r="R7255" s="33">
        <f>IFERROR(__xludf.DUMMYFUNCTION("""COMPUTED_VALUE"""),1.0)</f>
        <v>1</v>
      </c>
      <c r="S7255" s="4" t="str">
        <f>IFERROR(__xludf.DUMMYFUNCTION("""COMPUTED_VALUE"""),"Expresso Delivery")</f>
        <v>Expresso Delivery</v>
      </c>
      <c r="T7255" s="33">
        <f>IFERROR(__xludf.DUMMYFUNCTION("""COMPUTED_VALUE"""),1.0)</f>
        <v>1</v>
      </c>
      <c r="U7255" s="4" t="str">
        <f>IFERROR(__xludf.DUMMYFUNCTION("""COMPUTED_VALUE"""),"Expresso Delivery")</f>
        <v>Expresso Delivery</v>
      </c>
      <c r="V7255" s="33">
        <f>IFERROR(__xludf.DUMMYFUNCTION("""COMPUTED_VALUE"""),1.0)</f>
        <v>1</v>
      </c>
      <c r="W7255" s="4" t="str">
        <f>IFERROR(__xludf.DUMMYFUNCTION("""COMPUTED_VALUE"""),"Expresso Delivery")</f>
        <v>Expresso Delivery</v>
      </c>
      <c r="X7255" s="33">
        <f>IFERROR(__xludf.DUMMYFUNCTION("""COMPUTED_VALUE"""),1.0)</f>
        <v>1</v>
      </c>
    </row>
    <row r="7256">
      <c r="K7256" s="4" t="str">
        <f>IFERROR(__xludf.DUMMYFUNCTION("""COMPUTED_VALUE"""),"HASHI PORTO VELHO")</f>
        <v>HASHI PORTO VELHO</v>
      </c>
      <c r="L7256" s="32">
        <f>IFERROR(__xludf.DUMMYFUNCTION("""COMPUTED_VALUE"""),2.0)</f>
        <v>2</v>
      </c>
      <c r="M7256" s="4" t="str">
        <f>IFERROR(__xludf.DUMMYFUNCTION("""COMPUTED_VALUE"""),"Work Soft Comercio De Informatica E Serviços Eireli - Me")</f>
        <v>Work Soft Comercio De Informatica E Serviços Eireli - Me</v>
      </c>
      <c r="N7256" s="33">
        <f>IFERROR(__xludf.DUMMYFUNCTION("""COMPUTED_VALUE"""),1.0)</f>
        <v>1</v>
      </c>
      <c r="O7256" s="4" t="str">
        <f>IFERROR(__xludf.DUMMYFUNCTION("""COMPUTED_VALUE"""),"Work Soft Comercio De Informatica E Serviços Eireli - Me")</f>
        <v>Work Soft Comercio De Informatica E Serviços Eireli - Me</v>
      </c>
      <c r="P7256" s="33">
        <f>IFERROR(__xludf.DUMMYFUNCTION("""COMPUTED_VALUE"""),1.0)</f>
        <v>1</v>
      </c>
      <c r="Q7256" s="4" t="str">
        <f>IFERROR(__xludf.DUMMYFUNCTION("""COMPUTED_VALUE"""),"Work Soft Comercio De Informatica E Serviços Eireli - Me")</f>
        <v>Work Soft Comercio De Informatica E Serviços Eireli - Me</v>
      </c>
      <c r="R7256" s="33">
        <f>IFERROR(__xludf.DUMMYFUNCTION("""COMPUTED_VALUE"""),1.0)</f>
        <v>1</v>
      </c>
      <c r="S7256" s="4" t="str">
        <f>IFERROR(__xludf.DUMMYFUNCTION("""COMPUTED_VALUE"""),"Work Soft Comercio De Informatica E Serviços Eireli - Me")</f>
        <v>Work Soft Comercio De Informatica E Serviços Eireli - Me</v>
      </c>
      <c r="T7256" s="33">
        <f>IFERROR(__xludf.DUMMYFUNCTION("""COMPUTED_VALUE"""),1.0)</f>
        <v>1</v>
      </c>
      <c r="U7256" s="4" t="str">
        <f>IFERROR(__xludf.DUMMYFUNCTION("""COMPUTED_VALUE"""),"Work Soft Comercio De Informatica E Serviços Eireli - Me")</f>
        <v>Work Soft Comercio De Informatica E Serviços Eireli - Me</v>
      </c>
      <c r="V7256" s="33">
        <f>IFERROR(__xludf.DUMMYFUNCTION("""COMPUTED_VALUE"""),1.0)</f>
        <v>1</v>
      </c>
      <c r="W7256" s="4" t="str">
        <f>IFERROR(__xludf.DUMMYFUNCTION("""COMPUTED_VALUE"""),"Work Soft Comercio De Informatica E Serviços Eireli - Me")</f>
        <v>Work Soft Comercio De Informatica E Serviços Eireli - Me</v>
      </c>
      <c r="X7256" s="33">
        <f>IFERROR(__xludf.DUMMYFUNCTION("""COMPUTED_VALUE"""),1.0)</f>
        <v>1</v>
      </c>
    </row>
    <row r="7257">
      <c r="K7257" s="4" t="str">
        <f>IFERROR(__xludf.DUMMYFUNCTION("""COMPUTED_VALUE"""),"HASHI SUSHI N BEER")</f>
        <v>HASHI SUSHI N BEER</v>
      </c>
      <c r="L7257" s="32">
        <f>IFERROR(__xludf.DUMMYFUNCTION("""COMPUTED_VALUE"""),2.0)</f>
        <v>2</v>
      </c>
      <c r="M7257" s="4" t="str">
        <f>IFERROR(__xludf.DUMMYFUNCTION("""COMPUTED_VALUE"""),"Cloudfy")</f>
        <v>Cloudfy</v>
      </c>
      <c r="N7257" s="33">
        <f>IFERROR(__xludf.DUMMYFUNCTION("""COMPUTED_VALUE"""),1.0)</f>
        <v>1</v>
      </c>
      <c r="O7257" s="4" t="str">
        <f>IFERROR(__xludf.DUMMYFUNCTION("""COMPUTED_VALUE"""),"Cloudfy")</f>
        <v>Cloudfy</v>
      </c>
      <c r="P7257" s="33">
        <f>IFERROR(__xludf.DUMMYFUNCTION("""COMPUTED_VALUE"""),1.0)</f>
        <v>1</v>
      </c>
      <c r="Q7257" s="4" t="str">
        <f>IFERROR(__xludf.DUMMYFUNCTION("""COMPUTED_VALUE"""),"Cloudfy")</f>
        <v>Cloudfy</v>
      </c>
      <c r="R7257" s="33">
        <f>IFERROR(__xludf.DUMMYFUNCTION("""COMPUTED_VALUE"""),1.0)</f>
        <v>1</v>
      </c>
      <c r="S7257" s="4" t="str">
        <f>IFERROR(__xludf.DUMMYFUNCTION("""COMPUTED_VALUE"""),"Cloudfy")</f>
        <v>Cloudfy</v>
      </c>
      <c r="T7257" s="33">
        <f>IFERROR(__xludf.DUMMYFUNCTION("""COMPUTED_VALUE"""),1.0)</f>
        <v>1</v>
      </c>
      <c r="U7257" s="4" t="str">
        <f>IFERROR(__xludf.DUMMYFUNCTION("""COMPUTED_VALUE"""),"Cloudfy")</f>
        <v>Cloudfy</v>
      </c>
      <c r="V7257" s="33">
        <f>IFERROR(__xludf.DUMMYFUNCTION("""COMPUTED_VALUE"""),1.0)</f>
        <v>1</v>
      </c>
      <c r="W7257" s="4" t="str">
        <f>IFERROR(__xludf.DUMMYFUNCTION("""COMPUTED_VALUE"""),"Cloudfy")</f>
        <v>Cloudfy</v>
      </c>
      <c r="X7257" s="33">
        <f>IFERROR(__xludf.DUMMYFUNCTION("""COMPUTED_VALUE"""),1.0)</f>
        <v>1</v>
      </c>
    </row>
    <row r="7258">
      <c r="K7258" s="4" t="str">
        <f>IFERROR(__xludf.DUMMYFUNCTION("""COMPUTED_VALUE"""),"HB - HAMBURGUERIA E CIA")</f>
        <v>HB - HAMBURGUERIA E CIA</v>
      </c>
      <c r="L7258" s="32">
        <f>IFERROR(__xludf.DUMMYFUNCTION("""COMPUTED_VALUE"""),2.0)</f>
        <v>2</v>
      </c>
      <c r="M7258" s="4" t="str">
        <f>IFERROR(__xludf.DUMMYFUNCTION("""COMPUTED_VALUE"""),"null")</f>
        <v>null</v>
      </c>
      <c r="N7258" s="33">
        <f>IFERROR(__xludf.DUMMYFUNCTION("""COMPUTED_VALUE"""),1.0)</f>
        <v>1</v>
      </c>
      <c r="O7258" s="4" t="str">
        <f>IFERROR(__xludf.DUMMYFUNCTION("""COMPUTED_VALUE"""),"null")</f>
        <v>null</v>
      </c>
      <c r="P7258" s="33">
        <f>IFERROR(__xludf.DUMMYFUNCTION("""COMPUTED_VALUE"""),1.0)</f>
        <v>1</v>
      </c>
      <c r="Q7258" s="4" t="str">
        <f>IFERROR(__xludf.DUMMYFUNCTION("""COMPUTED_VALUE"""),"null")</f>
        <v>null</v>
      </c>
      <c r="R7258" s="33">
        <f>IFERROR(__xludf.DUMMYFUNCTION("""COMPUTED_VALUE"""),1.0)</f>
        <v>1</v>
      </c>
      <c r="S7258" s="4" t="str">
        <f>IFERROR(__xludf.DUMMYFUNCTION("""COMPUTED_VALUE"""),"null")</f>
        <v>null</v>
      </c>
      <c r="T7258" s="33">
        <f>IFERROR(__xludf.DUMMYFUNCTION("""COMPUTED_VALUE"""),0.5)</f>
        <v>0.5</v>
      </c>
      <c r="U7258" s="4" t="str">
        <f>IFERROR(__xludf.DUMMYFUNCTION("""COMPUTED_VALUE"""),"Nextage Sistemas De Informatica Ltda")</f>
        <v>Nextage Sistemas De Informatica Ltda</v>
      </c>
      <c r="V7258" s="33">
        <f>IFERROR(__xludf.DUMMYFUNCTION("""COMPUTED_VALUE"""),1.0)</f>
        <v>1</v>
      </c>
      <c r="W7258" s="4" t="str">
        <f>IFERROR(__xludf.DUMMYFUNCTION("""COMPUTED_VALUE"""),"null")</f>
        <v>null</v>
      </c>
      <c r="X7258" s="33">
        <f>IFERROR(__xludf.DUMMYFUNCTION("""COMPUTED_VALUE"""),1.0)</f>
        <v>1</v>
      </c>
    </row>
    <row r="7259">
      <c r="K7259" s="4" t="str">
        <f>IFERROR(__xludf.DUMMYFUNCTION("""COMPUTED_VALUE"""),"HELLO DONUTS - CONTA MARCA")</f>
        <v>HELLO DONUTS - CONTA MARCA</v>
      </c>
      <c r="L7259" s="32">
        <f>IFERROR(__xludf.DUMMYFUNCTION("""COMPUTED_VALUE"""),2.0)</f>
        <v>2</v>
      </c>
      <c r="M7259" s="4" t="str">
        <f>IFERROR(__xludf.DUMMYFUNCTION("""COMPUTED_VALUE"""),"Yooga")</f>
        <v>Yooga</v>
      </c>
      <c r="N7259" s="33">
        <f>IFERROR(__xludf.DUMMYFUNCTION("""COMPUTED_VALUE"""),0.5)</f>
        <v>0.5</v>
      </c>
      <c r="O7259" s="4" t="str">
        <f>IFERROR(__xludf.DUMMYFUNCTION("""COMPUTED_VALUE"""),"Yooga")</f>
        <v>Yooga</v>
      </c>
      <c r="P7259" s="33">
        <f>IFERROR(__xludf.DUMMYFUNCTION("""COMPUTED_VALUE"""),0.5)</f>
        <v>0.5</v>
      </c>
      <c r="Q7259" s="4" t="str">
        <f>IFERROR(__xludf.DUMMYFUNCTION("""COMPUTED_VALUE"""),"null")</f>
        <v>null</v>
      </c>
      <c r="R7259" s="33">
        <f>IFERROR(__xludf.DUMMYFUNCTION("""COMPUTED_VALUE"""),0.5)</f>
        <v>0.5</v>
      </c>
      <c r="S7259" s="4" t="str">
        <f>IFERROR(__xludf.DUMMYFUNCTION("""COMPUTED_VALUE"""),"null")</f>
        <v>null</v>
      </c>
      <c r="T7259" s="33">
        <f>IFERROR(__xludf.DUMMYFUNCTION("""COMPUTED_VALUE"""),1.0)</f>
        <v>1</v>
      </c>
      <c r="U7259" s="4" t="str">
        <f>IFERROR(__xludf.DUMMYFUNCTION("""COMPUTED_VALUE"""),"null")</f>
        <v>null</v>
      </c>
      <c r="V7259" s="33">
        <f>IFERROR(__xludf.DUMMYFUNCTION("""COMPUTED_VALUE"""),1.0)</f>
        <v>1</v>
      </c>
      <c r="W7259" s="4" t="str">
        <f>IFERROR(__xludf.DUMMYFUNCTION("""COMPUTED_VALUE"""),"null")</f>
        <v>null</v>
      </c>
      <c r="X7259" s="33">
        <f>IFERROR(__xludf.DUMMYFUNCTION("""COMPUTED_VALUE"""),1.0)</f>
        <v>1</v>
      </c>
    </row>
    <row r="7260">
      <c r="K7260" s="4" t="str">
        <f>IFERROR(__xludf.DUMMYFUNCTION("""COMPUTED_VALUE"""),"HELLS BURGUER")</f>
        <v>HELLS BURGUER</v>
      </c>
      <c r="L7260" s="32">
        <f>IFERROR(__xludf.DUMMYFUNCTION("""COMPUTED_VALUE"""),2.0)</f>
        <v>2</v>
      </c>
      <c r="M7260" s="4" t="str">
        <f>IFERROR(__xludf.DUMMYFUNCTION("""COMPUTED_VALUE"""),"Teknisa Service Ltda")</f>
        <v>Teknisa Service Ltda</v>
      </c>
      <c r="N7260" s="33">
        <f>IFERROR(__xludf.DUMMYFUNCTION("""COMPUTED_VALUE"""),0.5)</f>
        <v>0.5</v>
      </c>
      <c r="O7260" s="4" t="str">
        <f>IFERROR(__xludf.DUMMYFUNCTION("""COMPUTED_VALUE"""),"Teknisa Service Ltda")</f>
        <v>Teknisa Service Ltda</v>
      </c>
      <c r="P7260" s="33">
        <f>IFERROR(__xludf.DUMMYFUNCTION("""COMPUTED_VALUE"""),0.5)</f>
        <v>0.5</v>
      </c>
      <c r="Q7260" s="4" t="str">
        <f>IFERROR(__xludf.DUMMYFUNCTION("""COMPUTED_VALUE"""),"null")</f>
        <v>null</v>
      </c>
      <c r="R7260" s="33">
        <f>IFERROR(__xludf.DUMMYFUNCTION("""COMPUTED_VALUE"""),1.0)</f>
        <v>1</v>
      </c>
      <c r="S7260" s="4" t="str">
        <f>IFERROR(__xludf.DUMMYFUNCTION("""COMPUTED_VALUE"""),"Teknisa Service Ltda")</f>
        <v>Teknisa Service Ltda</v>
      </c>
      <c r="T7260" s="33">
        <f>IFERROR(__xludf.DUMMYFUNCTION("""COMPUTED_VALUE"""),0.5)</f>
        <v>0.5</v>
      </c>
      <c r="U7260" s="4" t="str">
        <f>IFERROR(__xludf.DUMMYFUNCTION("""COMPUTED_VALUE"""),"null")</f>
        <v>null</v>
      </c>
      <c r="V7260" s="33">
        <f>IFERROR(__xludf.DUMMYFUNCTION("""COMPUTED_VALUE"""),1.0)</f>
        <v>1</v>
      </c>
      <c r="W7260" s="4" t="str">
        <f>IFERROR(__xludf.DUMMYFUNCTION("""COMPUTED_VALUE"""),"null")</f>
        <v>null</v>
      </c>
      <c r="X7260" s="33">
        <f>IFERROR(__xludf.DUMMYFUNCTION("""COMPUTED_VALUE"""),0.5)</f>
        <v>0.5</v>
      </c>
    </row>
    <row r="7261">
      <c r="K7261" s="4" t="str">
        <f>IFERROR(__xludf.DUMMYFUNCTION("""COMPUTED_VALUE"""),"HEROES HAMBURGUERIA - LANCHES")</f>
        <v>HEROES HAMBURGUERIA - LANCHES</v>
      </c>
      <c r="L7261" s="32">
        <f>IFERROR(__xludf.DUMMYFUNCTION("""COMPUTED_VALUE"""),2.0)</f>
        <v>2</v>
      </c>
      <c r="M7261" s="4" t="str">
        <f>IFERROR(__xludf.DUMMYFUNCTION("""COMPUTED_VALUE"""),"Beefood - Sistema Para Restaurantes")</f>
        <v>Beefood - Sistema Para Restaurantes</v>
      </c>
      <c r="N7261" s="33">
        <f>IFERROR(__xludf.DUMMYFUNCTION("""COMPUTED_VALUE"""),1.0)</f>
        <v>1</v>
      </c>
      <c r="O7261" s="4" t="str">
        <f>IFERROR(__xludf.DUMMYFUNCTION("""COMPUTED_VALUE"""),"Beefood - Sistema Para Restaurantes")</f>
        <v>Beefood - Sistema Para Restaurantes</v>
      </c>
      <c r="P7261" s="33">
        <f>IFERROR(__xludf.DUMMYFUNCTION("""COMPUTED_VALUE"""),1.0)</f>
        <v>1</v>
      </c>
      <c r="Q7261" s="4" t="str">
        <f>IFERROR(__xludf.DUMMYFUNCTION("""COMPUTED_VALUE"""),"Beefood - Sistema Para Restaurantes")</f>
        <v>Beefood - Sistema Para Restaurantes</v>
      </c>
      <c r="R7261" s="33">
        <f>IFERROR(__xludf.DUMMYFUNCTION("""COMPUTED_VALUE"""),1.0)</f>
        <v>1</v>
      </c>
      <c r="S7261" s="4" t="str">
        <f>IFERROR(__xludf.DUMMYFUNCTION("""COMPUTED_VALUE"""),"Beefood - Sistema Para Restaurantes")</f>
        <v>Beefood - Sistema Para Restaurantes</v>
      </c>
      <c r="T7261" s="33">
        <f>IFERROR(__xludf.DUMMYFUNCTION("""COMPUTED_VALUE"""),1.0)</f>
        <v>1</v>
      </c>
      <c r="U7261" s="4" t="str">
        <f>IFERROR(__xludf.DUMMYFUNCTION("""COMPUTED_VALUE"""),"Beefood - Sistema Para Restaurantes")</f>
        <v>Beefood - Sistema Para Restaurantes</v>
      </c>
      <c r="V7261" s="33">
        <f>IFERROR(__xludf.DUMMYFUNCTION("""COMPUTED_VALUE"""),1.0)</f>
        <v>1</v>
      </c>
      <c r="W7261" s="4" t="str">
        <f>IFERROR(__xludf.DUMMYFUNCTION("""COMPUTED_VALUE"""),"Beefood - Sistema Para Restaurantes")</f>
        <v>Beefood - Sistema Para Restaurantes</v>
      </c>
      <c r="X7261" s="33">
        <f>IFERROR(__xludf.DUMMYFUNCTION("""COMPUTED_VALUE"""),1.0)</f>
        <v>1</v>
      </c>
    </row>
    <row r="7262">
      <c r="K7262" s="4" t="str">
        <f>IFERROR(__xludf.DUMMYFUNCTION("""COMPUTED_VALUE"""),"HIPERFARMA - TUTUQUARA - CONTA MARCA")</f>
        <v>HIPERFARMA - TUTUQUARA - CONTA MARCA</v>
      </c>
      <c r="L7262" s="32">
        <f>IFERROR(__xludf.DUMMYFUNCTION("""COMPUTED_VALUE"""),2.0)</f>
        <v>2</v>
      </c>
      <c r="M7262" s="4" t="str">
        <f>IFERROR(__xludf.DUMMYFUNCTION("""COMPUTED_VALUE"""),"N/A (Not found)")</f>
        <v>N/A (Not found)</v>
      </c>
      <c r="N7262" s="33">
        <f>IFERROR(__xludf.DUMMYFUNCTION("""COMPUTED_VALUE"""),1.0)</f>
        <v>1</v>
      </c>
      <c r="O7262" s="4" t="str">
        <f>IFERROR(__xludf.DUMMYFUNCTION("""COMPUTED_VALUE"""),"N/A (Not found)")</f>
        <v>N/A (Not found)</v>
      </c>
      <c r="P7262" s="33">
        <f>IFERROR(__xludf.DUMMYFUNCTION("""COMPUTED_VALUE"""),1.0)</f>
        <v>1</v>
      </c>
      <c r="Q7262" s="4" t="str">
        <f>IFERROR(__xludf.DUMMYFUNCTION("""COMPUTED_VALUE"""),"N/A (Not found)")</f>
        <v>N/A (Not found)</v>
      </c>
      <c r="R7262" s="33">
        <f>IFERROR(__xludf.DUMMYFUNCTION("""COMPUTED_VALUE"""),1.0)</f>
        <v>1</v>
      </c>
      <c r="S7262" s="4" t="str">
        <f>IFERROR(__xludf.DUMMYFUNCTION("""COMPUTED_VALUE"""),"N/A (Not found)")</f>
        <v>N/A (Not found)</v>
      </c>
      <c r="T7262" s="33">
        <f>IFERROR(__xludf.DUMMYFUNCTION("""COMPUTED_VALUE"""),1.0)</f>
        <v>1</v>
      </c>
      <c r="U7262" s="4" t="str">
        <f>IFERROR(__xludf.DUMMYFUNCTION("""COMPUTED_VALUE"""),"N/A (Not found)")</f>
        <v>N/A (Not found)</v>
      </c>
      <c r="V7262" s="33">
        <f>IFERROR(__xludf.DUMMYFUNCTION("""COMPUTED_VALUE"""),1.0)</f>
        <v>1</v>
      </c>
      <c r="W7262" s="4" t="str">
        <f>IFERROR(__xludf.DUMMYFUNCTION("""COMPUTED_VALUE"""),"N/A (Not found)")</f>
        <v>N/A (Not found)</v>
      </c>
      <c r="X7262" s="33">
        <f>IFERROR(__xludf.DUMMYFUNCTION("""COMPUTED_VALUE"""),1.0)</f>
        <v>1</v>
      </c>
    </row>
    <row r="7263">
      <c r="K7263" s="4" t="str">
        <f>IFERROR(__xludf.DUMMYFUNCTION("""COMPUTED_VALUE"""),"HIROKI ORIENTAL - PVH")</f>
        <v>HIROKI ORIENTAL - PVH</v>
      </c>
      <c r="L7263" s="32">
        <f>IFERROR(__xludf.DUMMYFUNCTION("""COMPUTED_VALUE"""),2.0)</f>
        <v>2</v>
      </c>
      <c r="M7263" s="4" t="str">
        <f>IFERROR(__xludf.DUMMYFUNCTION("""COMPUTED_VALUE"""),"Anota Ai Solucoes Digitais S/a")</f>
        <v>Anota Ai Solucoes Digitais S/a</v>
      </c>
      <c r="N7263" s="33">
        <f>IFERROR(__xludf.DUMMYFUNCTION("""COMPUTED_VALUE"""),0.5)</f>
        <v>0.5</v>
      </c>
      <c r="O7263" s="4" t="str">
        <f>IFERROR(__xludf.DUMMYFUNCTION("""COMPUTED_VALUE"""),"Anota Ai Solucoes Digitais S/a")</f>
        <v>Anota Ai Solucoes Digitais S/a</v>
      </c>
      <c r="P7263" s="33">
        <f>IFERROR(__xludf.DUMMYFUNCTION("""COMPUTED_VALUE"""),0.5)</f>
        <v>0.5</v>
      </c>
      <c r="Q7263" s="4" t="str">
        <f>IFERROR(__xludf.DUMMYFUNCTION("""COMPUTED_VALUE"""),"Anota Ai Solucoes Digitais S/a")</f>
        <v>Anota Ai Solucoes Digitais S/a</v>
      </c>
      <c r="R7263" s="33">
        <f>IFERROR(__xludf.DUMMYFUNCTION("""COMPUTED_VALUE"""),0.5)</f>
        <v>0.5</v>
      </c>
      <c r="S7263" s="4" t="str">
        <f>IFERROR(__xludf.DUMMYFUNCTION("""COMPUTED_VALUE"""),"Anota Ai Solucoes Digitais S/a")</f>
        <v>Anota Ai Solucoes Digitais S/a</v>
      </c>
      <c r="T7263" s="33">
        <f>IFERROR(__xludf.DUMMYFUNCTION("""COMPUTED_VALUE"""),0.5)</f>
        <v>0.5</v>
      </c>
      <c r="U7263" s="4" t="str">
        <f>IFERROR(__xludf.DUMMYFUNCTION("""COMPUTED_VALUE"""),"Anota Ai Solucoes Digitais S/a")</f>
        <v>Anota Ai Solucoes Digitais S/a</v>
      </c>
      <c r="V7263" s="33">
        <f>IFERROR(__xludf.DUMMYFUNCTION("""COMPUTED_VALUE"""),1.0)</f>
        <v>1</v>
      </c>
      <c r="W7263" s="4" t="str">
        <f>IFERROR(__xludf.DUMMYFUNCTION("""COMPUTED_VALUE"""),"Anota Ai Solucoes Digitais S/a")</f>
        <v>Anota Ai Solucoes Digitais S/a</v>
      </c>
      <c r="X7263" s="33">
        <f>IFERROR(__xludf.DUMMYFUNCTION("""COMPUTED_VALUE"""),1.0)</f>
        <v>1</v>
      </c>
    </row>
    <row r="7264">
      <c r="K7264" s="4" t="str">
        <f>IFERROR(__xludf.DUMMYFUNCTION("""COMPUTED_VALUE"""),"HOB HAMBURGUERIA")</f>
        <v>HOB HAMBURGUERIA</v>
      </c>
      <c r="L7264" s="32">
        <f>IFERROR(__xludf.DUMMYFUNCTION("""COMPUTED_VALUE"""),2.0)</f>
        <v>2</v>
      </c>
      <c r="M7264" s="4" t="str">
        <f>IFERROR(__xludf.DUMMYFUNCTION("""COMPUTED_VALUE"""),"null")</f>
        <v>null</v>
      </c>
      <c r="N7264" s="33">
        <f>IFERROR(__xludf.DUMMYFUNCTION("""COMPUTED_VALUE"""),0.5)</f>
        <v>0.5</v>
      </c>
      <c r="O7264" s="4" t="str">
        <f>IFERROR(__xludf.DUMMYFUNCTION("""COMPUTED_VALUE"""),"null")</f>
        <v>null</v>
      </c>
      <c r="P7264" s="33">
        <f>IFERROR(__xludf.DUMMYFUNCTION("""COMPUTED_VALUE"""),1.0)</f>
        <v>1</v>
      </c>
      <c r="Q7264" s="4" t="str">
        <f>IFERROR(__xludf.DUMMYFUNCTION("""COMPUTED_VALUE"""),"null")</f>
        <v>null</v>
      </c>
      <c r="R7264" s="33">
        <f>IFERROR(__xludf.DUMMYFUNCTION("""COMPUTED_VALUE"""),1.0)</f>
        <v>1</v>
      </c>
      <c r="S7264" s="4" t="str">
        <f>IFERROR(__xludf.DUMMYFUNCTION("""COMPUTED_VALUE"""),"null")</f>
        <v>null</v>
      </c>
      <c r="T7264" s="33">
        <f>IFERROR(__xludf.DUMMYFUNCTION("""COMPUTED_VALUE"""),1.0)</f>
        <v>1</v>
      </c>
      <c r="U7264" s="4" t="str">
        <f>IFERROR(__xludf.DUMMYFUNCTION("""COMPUTED_VALUE"""),"null")</f>
        <v>null</v>
      </c>
      <c r="V7264" s="33">
        <f>IFERROR(__xludf.DUMMYFUNCTION("""COMPUTED_VALUE"""),0.5)</f>
        <v>0.5</v>
      </c>
      <c r="W7264" s="4" t="str">
        <f>IFERROR(__xludf.DUMMYFUNCTION("""COMPUTED_VALUE"""),"Saipos Serviços De Software")</f>
        <v>Saipos Serviços De Software</v>
      </c>
      <c r="X7264" s="33">
        <f>IFERROR(__xludf.DUMMYFUNCTION("""COMPUTED_VALUE"""),1.0)</f>
        <v>1</v>
      </c>
    </row>
    <row r="7265">
      <c r="K7265" s="4" t="str">
        <f>IFERROR(__xludf.DUMMYFUNCTION("""COMPUTED_VALUE"""),"HOBBY BICHOS BESSA - MARCA")</f>
        <v>HOBBY BICHOS BESSA - MARCA</v>
      </c>
      <c r="L7265" s="32">
        <f>IFERROR(__xludf.DUMMYFUNCTION("""COMPUTED_VALUE"""),2.0)</f>
        <v>2</v>
      </c>
      <c r="M7265" s="4" t="str">
        <f>IFERROR(__xludf.DUMMYFUNCTION("""COMPUTED_VALUE"""),"N/A (Not found)")</f>
        <v>N/A (Not found)</v>
      </c>
      <c r="N7265" s="33">
        <f>IFERROR(__xludf.DUMMYFUNCTION("""COMPUTED_VALUE"""),1.0)</f>
        <v>1</v>
      </c>
      <c r="O7265" s="4" t="str">
        <f>IFERROR(__xludf.DUMMYFUNCTION("""COMPUTED_VALUE"""),"N/A (Not found)")</f>
        <v>N/A (Not found)</v>
      </c>
      <c r="P7265" s="33">
        <f>IFERROR(__xludf.DUMMYFUNCTION("""COMPUTED_VALUE"""),1.0)</f>
        <v>1</v>
      </c>
      <c r="Q7265" s="4" t="str">
        <f>IFERROR(__xludf.DUMMYFUNCTION("""COMPUTED_VALUE"""),"N/A (Not found)")</f>
        <v>N/A (Not found)</v>
      </c>
      <c r="R7265" s="33">
        <f>IFERROR(__xludf.DUMMYFUNCTION("""COMPUTED_VALUE"""),1.0)</f>
        <v>1</v>
      </c>
      <c r="S7265" s="4" t="str">
        <f>IFERROR(__xludf.DUMMYFUNCTION("""COMPUTED_VALUE"""),"N/A (Not found)")</f>
        <v>N/A (Not found)</v>
      </c>
      <c r="T7265" s="33">
        <f>IFERROR(__xludf.DUMMYFUNCTION("""COMPUTED_VALUE"""),1.0)</f>
        <v>1</v>
      </c>
      <c r="U7265" s="4" t="str">
        <f>IFERROR(__xludf.DUMMYFUNCTION("""COMPUTED_VALUE"""),"N/A (Not found)")</f>
        <v>N/A (Not found)</v>
      </c>
      <c r="V7265" s="33">
        <f>IFERROR(__xludf.DUMMYFUNCTION("""COMPUTED_VALUE"""),1.0)</f>
        <v>1</v>
      </c>
      <c r="W7265" s="4" t="str">
        <f>IFERROR(__xludf.DUMMYFUNCTION("""COMPUTED_VALUE"""),"N/A (Not found)")</f>
        <v>N/A (Not found)</v>
      </c>
      <c r="X7265" s="33">
        <f>IFERROR(__xludf.DUMMYFUNCTION("""COMPUTED_VALUE"""),1.0)</f>
        <v>1</v>
      </c>
    </row>
    <row r="7266">
      <c r="K7266" s="4" t="str">
        <f>IFERROR(__xludf.DUMMYFUNCTION("""COMPUTED_VALUE"""),"HOJE TEM - CONTA PAI")</f>
        <v>HOJE TEM - CONTA PAI</v>
      </c>
      <c r="L7266" s="32">
        <f>IFERROR(__xludf.DUMMYFUNCTION("""COMPUTED_VALUE"""),2.0)</f>
        <v>2</v>
      </c>
      <c r="M7266" s="4" t="str">
        <f>IFERROR(__xludf.DUMMYFUNCTION("""COMPUTED_VALUE"""),"Takeat Tecnologia")</f>
        <v>Takeat Tecnologia</v>
      </c>
      <c r="N7266" s="33">
        <f>IFERROR(__xludf.DUMMYFUNCTION("""COMPUTED_VALUE"""),1.0)</f>
        <v>1</v>
      </c>
      <c r="O7266" s="4" t="str">
        <f>IFERROR(__xludf.DUMMYFUNCTION("""COMPUTED_VALUE"""),"Takeat Tecnologia")</f>
        <v>Takeat Tecnologia</v>
      </c>
      <c r="P7266" s="33">
        <f>IFERROR(__xludf.DUMMYFUNCTION("""COMPUTED_VALUE"""),1.0)</f>
        <v>1</v>
      </c>
      <c r="Q7266" s="4" t="str">
        <f>IFERROR(__xludf.DUMMYFUNCTION("""COMPUTED_VALUE"""),"Takeat Tecnologia")</f>
        <v>Takeat Tecnologia</v>
      </c>
      <c r="R7266" s="33">
        <f>IFERROR(__xludf.DUMMYFUNCTION("""COMPUTED_VALUE"""),1.0)</f>
        <v>1</v>
      </c>
      <c r="S7266" s="4" t="str">
        <f>IFERROR(__xludf.DUMMYFUNCTION("""COMPUTED_VALUE"""),"Takeat Tecnologia")</f>
        <v>Takeat Tecnologia</v>
      </c>
      <c r="T7266" s="33">
        <f>IFERROR(__xludf.DUMMYFUNCTION("""COMPUTED_VALUE"""),1.0)</f>
        <v>1</v>
      </c>
      <c r="U7266" s="4" t="str">
        <f>IFERROR(__xludf.DUMMYFUNCTION("""COMPUTED_VALUE"""),"Takeat Tecnologia")</f>
        <v>Takeat Tecnologia</v>
      </c>
      <c r="V7266" s="33">
        <f>IFERROR(__xludf.DUMMYFUNCTION("""COMPUTED_VALUE"""),1.0)</f>
        <v>1</v>
      </c>
      <c r="W7266" s="4" t="str">
        <f>IFERROR(__xludf.DUMMYFUNCTION("""COMPUTED_VALUE"""),"Takeat Tecnologia")</f>
        <v>Takeat Tecnologia</v>
      </c>
      <c r="X7266" s="33">
        <f>IFERROR(__xludf.DUMMYFUNCTION("""COMPUTED_VALUE"""),1.0)</f>
        <v>1</v>
      </c>
    </row>
    <row r="7267">
      <c r="K7267" s="4" t="str">
        <f>IFERROR(__xludf.DUMMYFUNCTION("""COMPUTED_VALUE"""),"HOKKAIDO COFFEE MATCHA")</f>
        <v>HOKKAIDO COFFEE MATCHA</v>
      </c>
      <c r="L7267" s="32">
        <f>IFERROR(__xludf.DUMMYFUNCTION("""COMPUTED_VALUE"""),2.0)</f>
        <v>2</v>
      </c>
      <c r="M7267" s="4" t="str">
        <f>IFERROR(__xludf.DUMMYFUNCTION("""COMPUTED_VALUE"""),"Proabakus Desenvolvimento De Sistemas Ltda")</f>
        <v>Proabakus Desenvolvimento De Sistemas Ltda</v>
      </c>
      <c r="N7267" s="33">
        <f>IFERROR(__xludf.DUMMYFUNCTION("""COMPUTED_VALUE"""),0.5)</f>
        <v>0.5</v>
      </c>
      <c r="O7267" s="4" t="str">
        <f>IFERROR(__xludf.DUMMYFUNCTION("""COMPUTED_VALUE"""),"Proabakus Desenvolvimento De Sistemas Ltda")</f>
        <v>Proabakus Desenvolvimento De Sistemas Ltda</v>
      </c>
      <c r="P7267" s="33">
        <f>IFERROR(__xludf.DUMMYFUNCTION("""COMPUTED_VALUE"""),0.5)</f>
        <v>0.5</v>
      </c>
      <c r="Q7267" s="4" t="str">
        <f>IFERROR(__xludf.DUMMYFUNCTION("""COMPUTED_VALUE"""),"Proabakus Desenvolvimento De Sistemas Ltda")</f>
        <v>Proabakus Desenvolvimento De Sistemas Ltda</v>
      </c>
      <c r="R7267" s="33">
        <f>IFERROR(__xludf.DUMMYFUNCTION("""COMPUTED_VALUE"""),1.0)</f>
        <v>1</v>
      </c>
      <c r="S7267" s="4" t="str">
        <f>IFERROR(__xludf.DUMMYFUNCTION("""COMPUTED_VALUE"""),"Proabakus Desenvolvimento De Sistemas Ltda")</f>
        <v>Proabakus Desenvolvimento De Sistemas Ltda</v>
      </c>
      <c r="T7267" s="33">
        <f>IFERROR(__xludf.DUMMYFUNCTION("""COMPUTED_VALUE"""),1.0)</f>
        <v>1</v>
      </c>
      <c r="U7267" s="4" t="str">
        <f>IFERROR(__xludf.DUMMYFUNCTION("""COMPUTED_VALUE"""),"Proabakus Desenvolvimento De Sistemas Ltda")</f>
        <v>Proabakus Desenvolvimento De Sistemas Ltda</v>
      </c>
      <c r="V7267" s="33">
        <f>IFERROR(__xludf.DUMMYFUNCTION("""COMPUTED_VALUE"""),1.0)</f>
        <v>1</v>
      </c>
      <c r="W7267" s="4" t="str">
        <f>IFERROR(__xludf.DUMMYFUNCTION("""COMPUTED_VALUE"""),"Proabakus Desenvolvimento De Sistemas Ltda")</f>
        <v>Proabakus Desenvolvimento De Sistemas Ltda</v>
      </c>
      <c r="X7267" s="33">
        <f>IFERROR(__xludf.DUMMYFUNCTION("""COMPUTED_VALUE"""),1.0)</f>
        <v>1</v>
      </c>
    </row>
    <row r="7268">
      <c r="K7268" s="4" t="str">
        <f>IFERROR(__xludf.DUMMYFUNCTION("""COMPUTED_VALUE"""),"HOLY CREPE")</f>
        <v>HOLY CREPE</v>
      </c>
      <c r="L7268" s="32">
        <f>IFERROR(__xludf.DUMMYFUNCTION("""COMPUTED_VALUE"""),2.0)</f>
        <v>2</v>
      </c>
      <c r="M7268" s="4" t="str">
        <f>IFERROR(__xludf.DUMMYFUNCTION("""COMPUTED_VALUE"""),"Eclética Tecnologia")</f>
        <v>Eclética Tecnologia</v>
      </c>
      <c r="N7268" s="33">
        <f>IFERROR(__xludf.DUMMYFUNCTION("""COMPUTED_VALUE"""),1.0)</f>
        <v>1</v>
      </c>
      <c r="O7268" s="4" t="str">
        <f>IFERROR(__xludf.DUMMYFUNCTION("""COMPUTED_VALUE"""),"Eclética Tecnologia")</f>
        <v>Eclética Tecnologia</v>
      </c>
      <c r="P7268" s="33">
        <f>IFERROR(__xludf.DUMMYFUNCTION("""COMPUTED_VALUE"""),1.0)</f>
        <v>1</v>
      </c>
      <c r="Q7268" s="4" t="str">
        <f>IFERROR(__xludf.DUMMYFUNCTION("""COMPUTED_VALUE"""),"Eclética Tecnologia")</f>
        <v>Eclética Tecnologia</v>
      </c>
      <c r="R7268" s="33">
        <f>IFERROR(__xludf.DUMMYFUNCTION("""COMPUTED_VALUE"""),1.0)</f>
        <v>1</v>
      </c>
      <c r="S7268" s="4" t="str">
        <f>IFERROR(__xludf.DUMMYFUNCTION("""COMPUTED_VALUE"""),"Eclética Tecnologia")</f>
        <v>Eclética Tecnologia</v>
      </c>
      <c r="T7268" s="33">
        <f>IFERROR(__xludf.DUMMYFUNCTION("""COMPUTED_VALUE"""),1.0)</f>
        <v>1</v>
      </c>
      <c r="U7268" s="4" t="str">
        <f>IFERROR(__xludf.DUMMYFUNCTION("""COMPUTED_VALUE"""),"Eclética Tecnologia")</f>
        <v>Eclética Tecnologia</v>
      </c>
      <c r="V7268" s="33">
        <f>IFERROR(__xludf.DUMMYFUNCTION("""COMPUTED_VALUE"""),1.0)</f>
        <v>1</v>
      </c>
      <c r="W7268" s="4" t="str">
        <f>IFERROR(__xludf.DUMMYFUNCTION("""COMPUTED_VALUE"""),"Eclética Tecnologia")</f>
        <v>Eclética Tecnologia</v>
      </c>
      <c r="X7268" s="33">
        <f>IFERROR(__xludf.DUMMYFUNCTION("""COMPUTED_VALUE"""),1.0)</f>
        <v>1</v>
      </c>
    </row>
    <row r="7269">
      <c r="K7269" s="4" t="str">
        <f>IFERROR(__xludf.DUMMYFUNCTION("""COMPUTED_VALUE"""),"HOME BURGER - CONTA MARCA")</f>
        <v>HOME BURGER - CONTA MARCA</v>
      </c>
      <c r="L7269" s="32">
        <f>IFERROR(__xludf.DUMMYFUNCTION("""COMPUTED_VALUE"""),2.0)</f>
        <v>2</v>
      </c>
      <c r="M7269" s="4" t="str">
        <f>IFERROR(__xludf.DUMMYFUNCTION("""COMPUTED_VALUE"""),"Saipos Serviços De Software")</f>
        <v>Saipos Serviços De Software</v>
      </c>
      <c r="N7269" s="33">
        <f>IFERROR(__xludf.DUMMYFUNCTION("""COMPUTED_VALUE"""),0.5)</f>
        <v>0.5</v>
      </c>
      <c r="O7269" s="4" t="str">
        <f>IFERROR(__xludf.DUMMYFUNCTION("""COMPUTED_VALUE"""),"Saipos Serviços De Software")</f>
        <v>Saipos Serviços De Software</v>
      </c>
      <c r="P7269" s="33">
        <f>IFERROR(__xludf.DUMMYFUNCTION("""COMPUTED_VALUE"""),1.0)</f>
        <v>1</v>
      </c>
      <c r="Q7269" s="4" t="str">
        <f>IFERROR(__xludf.DUMMYFUNCTION("""COMPUTED_VALUE"""),"Saipos Serviços De Software")</f>
        <v>Saipos Serviços De Software</v>
      </c>
      <c r="R7269" s="33">
        <f>IFERROR(__xludf.DUMMYFUNCTION("""COMPUTED_VALUE"""),1.0)</f>
        <v>1</v>
      </c>
      <c r="S7269" s="4" t="str">
        <f>IFERROR(__xludf.DUMMYFUNCTION("""COMPUTED_VALUE"""),"Saipos Serviços De Software")</f>
        <v>Saipos Serviços De Software</v>
      </c>
      <c r="T7269" s="33">
        <f>IFERROR(__xludf.DUMMYFUNCTION("""COMPUTED_VALUE"""),1.0)</f>
        <v>1</v>
      </c>
      <c r="U7269" s="4" t="str">
        <f>IFERROR(__xludf.DUMMYFUNCTION("""COMPUTED_VALUE"""),"Saipos Serviços De Software")</f>
        <v>Saipos Serviços De Software</v>
      </c>
      <c r="V7269" s="33">
        <f>IFERROR(__xludf.DUMMYFUNCTION("""COMPUTED_VALUE"""),1.0)</f>
        <v>1</v>
      </c>
      <c r="W7269" s="4" t="str">
        <f>IFERROR(__xludf.DUMMYFUNCTION("""COMPUTED_VALUE"""),"Saipos Serviços De Software")</f>
        <v>Saipos Serviços De Software</v>
      </c>
      <c r="X7269" s="33">
        <f>IFERROR(__xludf.DUMMYFUNCTION("""COMPUTED_VALUE"""),1.0)</f>
        <v>1</v>
      </c>
    </row>
    <row r="7270">
      <c r="K7270" s="4" t="str">
        <f>IFERROR(__xludf.DUMMYFUNCTION("""COMPUTED_VALUE"""),"HOPE GASTRONOMIA")</f>
        <v>HOPE GASTRONOMIA</v>
      </c>
      <c r="L7270" s="32">
        <f>IFERROR(__xludf.DUMMYFUNCTION("""COMPUTED_VALUE"""),2.0)</f>
        <v>2</v>
      </c>
      <c r="M7270" s="4" t="str">
        <f>IFERROR(__xludf.DUMMYFUNCTION("""COMPUTED_VALUE"""),"Suitable Tecnologia E Gestao")</f>
        <v>Suitable Tecnologia E Gestao</v>
      </c>
      <c r="N7270" s="33">
        <f>IFERROR(__xludf.DUMMYFUNCTION("""COMPUTED_VALUE"""),1.0)</f>
        <v>1</v>
      </c>
      <c r="O7270" s="4" t="str">
        <f>IFERROR(__xludf.DUMMYFUNCTION("""COMPUTED_VALUE"""),"Suitable Tecnologia E Gestao")</f>
        <v>Suitable Tecnologia E Gestao</v>
      </c>
      <c r="P7270" s="33">
        <f>IFERROR(__xludf.DUMMYFUNCTION("""COMPUTED_VALUE"""),1.0)</f>
        <v>1</v>
      </c>
      <c r="Q7270" s="4" t="str">
        <f>IFERROR(__xludf.DUMMYFUNCTION("""COMPUTED_VALUE"""),"Suitable Tecnologia E Gestao")</f>
        <v>Suitable Tecnologia E Gestao</v>
      </c>
      <c r="R7270" s="33">
        <f>IFERROR(__xludf.DUMMYFUNCTION("""COMPUTED_VALUE"""),1.0)</f>
        <v>1</v>
      </c>
      <c r="S7270" s="4" t="str">
        <f>IFERROR(__xludf.DUMMYFUNCTION("""COMPUTED_VALUE"""),"Suitable Tecnologia E Gestao")</f>
        <v>Suitable Tecnologia E Gestao</v>
      </c>
      <c r="T7270" s="33">
        <f>IFERROR(__xludf.DUMMYFUNCTION("""COMPUTED_VALUE"""),1.0)</f>
        <v>1</v>
      </c>
      <c r="U7270" s="4" t="str">
        <f>IFERROR(__xludf.DUMMYFUNCTION("""COMPUTED_VALUE"""),"Suitable Tecnologia E Gestao")</f>
        <v>Suitable Tecnologia E Gestao</v>
      </c>
      <c r="V7270" s="33">
        <f>IFERROR(__xludf.DUMMYFUNCTION("""COMPUTED_VALUE"""),1.0)</f>
        <v>1</v>
      </c>
      <c r="W7270" s="4" t="str">
        <f>IFERROR(__xludf.DUMMYFUNCTION("""COMPUTED_VALUE"""),"Suitable Tecnologia E Gestao")</f>
        <v>Suitable Tecnologia E Gestao</v>
      </c>
      <c r="X7270" s="33">
        <f>IFERROR(__xludf.DUMMYFUNCTION("""COMPUTED_VALUE"""),1.0)</f>
        <v>1</v>
      </c>
    </row>
    <row r="7271">
      <c r="K7271" s="4" t="str">
        <f>IFERROR(__xludf.DUMMYFUNCTION("""COMPUTED_VALUE"""),"HORA DO LANCHE NOVA IGUACU")</f>
        <v>HORA DO LANCHE NOVA IGUACU</v>
      </c>
      <c r="L7271" s="32">
        <f>IFERROR(__xludf.DUMMYFUNCTION("""COMPUTED_VALUE"""),2.0)</f>
        <v>2</v>
      </c>
      <c r="M7271" s="4" t="str">
        <f>IFERROR(__xludf.DUMMYFUNCTION("""COMPUTED_VALUE"""),"Anove Tecnologia")</f>
        <v>Anove Tecnologia</v>
      </c>
      <c r="N7271" s="33">
        <f>IFERROR(__xludf.DUMMYFUNCTION("""COMPUTED_VALUE"""),1.0)</f>
        <v>1</v>
      </c>
      <c r="O7271" s="4" t="str">
        <f>IFERROR(__xludf.DUMMYFUNCTION("""COMPUTED_VALUE"""),"Anove Tecnologia")</f>
        <v>Anove Tecnologia</v>
      </c>
      <c r="P7271" s="33">
        <f>IFERROR(__xludf.DUMMYFUNCTION("""COMPUTED_VALUE"""),1.0)</f>
        <v>1</v>
      </c>
      <c r="Q7271" s="4" t="str">
        <f>IFERROR(__xludf.DUMMYFUNCTION("""COMPUTED_VALUE"""),"null")</f>
        <v>null</v>
      </c>
      <c r="R7271" s="33">
        <f>IFERROR(__xludf.DUMMYFUNCTION("""COMPUTED_VALUE"""),0.5)</f>
        <v>0.5</v>
      </c>
      <c r="S7271" s="4" t="str">
        <f>IFERROR(__xludf.DUMMYFUNCTION("""COMPUTED_VALUE"""),"null")</f>
        <v>null</v>
      </c>
      <c r="T7271" s="33">
        <f>IFERROR(__xludf.DUMMYFUNCTION("""COMPUTED_VALUE"""),1.0)</f>
        <v>1</v>
      </c>
      <c r="U7271" s="4" t="str">
        <f>IFERROR(__xludf.DUMMYFUNCTION("""COMPUTED_VALUE"""),"null")</f>
        <v>null</v>
      </c>
      <c r="V7271" s="33">
        <f>IFERROR(__xludf.DUMMYFUNCTION("""COMPUTED_VALUE"""),1.0)</f>
        <v>1</v>
      </c>
      <c r="W7271" s="4" t="str">
        <f>IFERROR(__xludf.DUMMYFUNCTION("""COMPUTED_VALUE"""),"null")</f>
        <v>null</v>
      </c>
      <c r="X7271" s="33">
        <f>IFERROR(__xludf.DUMMYFUNCTION("""COMPUTED_VALUE"""),1.0)</f>
        <v>1</v>
      </c>
    </row>
    <row r="7272">
      <c r="K7272" s="4" t="str">
        <f>IFERROR(__xludf.DUMMYFUNCTION("""COMPUTED_VALUE"""),"HORTIFUTI FREGUESIA MERCADO - CONTA PAI")</f>
        <v>HORTIFUTI FREGUESIA MERCADO - CONTA PAI</v>
      </c>
      <c r="L7272" s="32">
        <f>IFERROR(__xludf.DUMMYFUNCTION("""COMPUTED_VALUE"""),2.0)</f>
        <v>2</v>
      </c>
      <c r="M7272" s="4" t="str">
        <f>IFERROR(__xludf.DUMMYFUNCTION("""COMPUTED_VALUE"""),"N/A (Not found)")</f>
        <v>N/A (Not found)</v>
      </c>
      <c r="N7272" s="33">
        <f>IFERROR(__xludf.DUMMYFUNCTION("""COMPUTED_VALUE"""),1.0)</f>
        <v>1</v>
      </c>
      <c r="O7272" s="4" t="str">
        <f>IFERROR(__xludf.DUMMYFUNCTION("""COMPUTED_VALUE"""),"N/A (Not found)")</f>
        <v>N/A (Not found)</v>
      </c>
      <c r="P7272" s="33">
        <f>IFERROR(__xludf.DUMMYFUNCTION("""COMPUTED_VALUE"""),1.0)</f>
        <v>1</v>
      </c>
      <c r="Q7272" s="4" t="str">
        <f>IFERROR(__xludf.DUMMYFUNCTION("""COMPUTED_VALUE"""),"N/A (Not found)")</f>
        <v>N/A (Not found)</v>
      </c>
      <c r="R7272" s="33">
        <f>IFERROR(__xludf.DUMMYFUNCTION("""COMPUTED_VALUE"""),1.0)</f>
        <v>1</v>
      </c>
      <c r="S7272" s="4" t="str">
        <f>IFERROR(__xludf.DUMMYFUNCTION("""COMPUTED_VALUE"""),"N/A (Not found)")</f>
        <v>N/A (Not found)</v>
      </c>
      <c r="T7272" s="33">
        <f>IFERROR(__xludf.DUMMYFUNCTION("""COMPUTED_VALUE"""),1.0)</f>
        <v>1</v>
      </c>
      <c r="U7272" s="4" t="str">
        <f>IFERROR(__xludf.DUMMYFUNCTION("""COMPUTED_VALUE"""),"N/A (Not found)")</f>
        <v>N/A (Not found)</v>
      </c>
      <c r="V7272" s="33">
        <f>IFERROR(__xludf.DUMMYFUNCTION("""COMPUTED_VALUE"""),1.0)</f>
        <v>1</v>
      </c>
      <c r="W7272" s="4" t="str">
        <f>IFERROR(__xludf.DUMMYFUNCTION("""COMPUTED_VALUE"""),"N/A (Not found)")</f>
        <v>N/A (Not found)</v>
      </c>
      <c r="X7272" s="33">
        <f>IFERROR(__xludf.DUMMYFUNCTION("""COMPUTED_VALUE"""),1.0)</f>
        <v>1</v>
      </c>
    </row>
    <row r="7273">
      <c r="K7273" s="4" t="str">
        <f>IFERROR(__xludf.DUMMYFUNCTION("""COMPUTED_VALUE"""),"HUG BEER BURGER - CONTA MARCA")</f>
        <v>HUG BEER BURGER - CONTA MARCA</v>
      </c>
      <c r="L7273" s="32">
        <f>IFERROR(__xludf.DUMMYFUNCTION("""COMPUTED_VALUE"""),2.0)</f>
        <v>2</v>
      </c>
      <c r="M7273" s="4" t="str">
        <f>IFERROR(__xludf.DUMMYFUNCTION("""COMPUTED_VALUE"""),"Cardápio Web")</f>
        <v>Cardápio Web</v>
      </c>
      <c r="N7273" s="33">
        <f>IFERROR(__xludf.DUMMYFUNCTION("""COMPUTED_VALUE"""),1.0)</f>
        <v>1</v>
      </c>
      <c r="O7273" s="4" t="str">
        <f>IFERROR(__xludf.DUMMYFUNCTION("""COMPUTED_VALUE"""),"Cardápio Web")</f>
        <v>Cardápio Web</v>
      </c>
      <c r="P7273" s="33">
        <f>IFERROR(__xludf.DUMMYFUNCTION("""COMPUTED_VALUE"""),1.0)</f>
        <v>1</v>
      </c>
      <c r="Q7273" s="4" t="str">
        <f>IFERROR(__xludf.DUMMYFUNCTION("""COMPUTED_VALUE"""),"Cardápio Web")</f>
        <v>Cardápio Web</v>
      </c>
      <c r="R7273" s="33">
        <f>IFERROR(__xludf.DUMMYFUNCTION("""COMPUTED_VALUE"""),1.0)</f>
        <v>1</v>
      </c>
      <c r="S7273" s="4" t="str">
        <f>IFERROR(__xludf.DUMMYFUNCTION("""COMPUTED_VALUE"""),"Cardápio Web")</f>
        <v>Cardápio Web</v>
      </c>
      <c r="T7273" s="33">
        <f>IFERROR(__xludf.DUMMYFUNCTION("""COMPUTED_VALUE"""),1.0)</f>
        <v>1</v>
      </c>
      <c r="U7273" s="4" t="str">
        <f>IFERROR(__xludf.DUMMYFUNCTION("""COMPUTED_VALUE"""),"Cardápio Web")</f>
        <v>Cardápio Web</v>
      </c>
      <c r="V7273" s="33">
        <f>IFERROR(__xludf.DUMMYFUNCTION("""COMPUTED_VALUE"""),1.0)</f>
        <v>1</v>
      </c>
      <c r="W7273" s="4" t="str">
        <f>IFERROR(__xludf.DUMMYFUNCTION("""COMPUTED_VALUE"""),"Cardápio Web")</f>
        <v>Cardápio Web</v>
      </c>
      <c r="X7273" s="33">
        <f>IFERROR(__xludf.DUMMYFUNCTION("""COMPUTED_VALUE"""),1.0)</f>
        <v>1</v>
      </c>
    </row>
    <row r="7274">
      <c r="K7274" s="4" t="str">
        <f>IFERROR(__xludf.DUMMYFUNCTION("""COMPUTED_VALUE"""),"HUMMM SALGADINHOS - CONTA PAI")</f>
        <v>HUMMM SALGADINHOS - CONTA PAI</v>
      </c>
      <c r="L7274" s="32">
        <f>IFERROR(__xludf.DUMMYFUNCTION("""COMPUTED_VALUE"""),2.0)</f>
        <v>2</v>
      </c>
      <c r="M7274" s="4" t="str">
        <f>IFERROR(__xludf.DUMMYFUNCTION("""COMPUTED_VALUE"""),"Cardápio Web")</f>
        <v>Cardápio Web</v>
      </c>
      <c r="N7274" s="33">
        <f>IFERROR(__xludf.DUMMYFUNCTION("""COMPUTED_VALUE"""),1.0)</f>
        <v>1</v>
      </c>
      <c r="O7274" s="4" t="str">
        <f>IFERROR(__xludf.DUMMYFUNCTION("""COMPUTED_VALUE"""),"Cardápio Web")</f>
        <v>Cardápio Web</v>
      </c>
      <c r="P7274" s="33">
        <f>IFERROR(__xludf.DUMMYFUNCTION("""COMPUTED_VALUE"""),1.0)</f>
        <v>1</v>
      </c>
      <c r="Q7274" s="4" t="str">
        <f>IFERROR(__xludf.DUMMYFUNCTION("""COMPUTED_VALUE"""),"Cardápio Web")</f>
        <v>Cardápio Web</v>
      </c>
      <c r="R7274" s="33">
        <f>IFERROR(__xludf.DUMMYFUNCTION("""COMPUTED_VALUE"""),0.5)</f>
        <v>0.5</v>
      </c>
      <c r="S7274" s="4" t="str">
        <f>IFERROR(__xludf.DUMMYFUNCTION("""COMPUTED_VALUE"""),"Cardápio Web")</f>
        <v>Cardápio Web</v>
      </c>
      <c r="T7274" s="33">
        <f>IFERROR(__xludf.DUMMYFUNCTION("""COMPUTED_VALUE"""),1.0)</f>
        <v>1</v>
      </c>
      <c r="U7274" s="4" t="str">
        <f>IFERROR(__xludf.DUMMYFUNCTION("""COMPUTED_VALUE"""),"Cardápio Web")</f>
        <v>Cardápio Web</v>
      </c>
      <c r="V7274" s="33">
        <f>IFERROR(__xludf.DUMMYFUNCTION("""COMPUTED_VALUE"""),1.0)</f>
        <v>1</v>
      </c>
      <c r="W7274" s="4" t="str">
        <f>IFERROR(__xludf.DUMMYFUNCTION("""COMPUTED_VALUE"""),"Cardápio Web")</f>
        <v>Cardápio Web</v>
      </c>
      <c r="X7274" s="33">
        <f>IFERROR(__xludf.DUMMYFUNCTION("""COMPUTED_VALUE"""),1.0)</f>
        <v>1</v>
      </c>
    </row>
    <row r="7275">
      <c r="K7275" s="4" t="str">
        <f>IFERROR(__xludf.DUMMYFUNCTION("""COMPUTED_VALUE"""),"I LOVE PIZZA RJ")</f>
        <v>I LOVE PIZZA RJ</v>
      </c>
      <c r="L7275" s="32">
        <f>IFERROR(__xludf.DUMMYFUNCTION("""COMPUTED_VALUE"""),2.0)</f>
        <v>2</v>
      </c>
      <c r="M7275" s="4" t="str">
        <f>IFERROR(__xludf.DUMMYFUNCTION("""COMPUTED_VALUE"""),"Saipos Serviços De Software")</f>
        <v>Saipos Serviços De Software</v>
      </c>
      <c r="N7275" s="33">
        <f>IFERROR(__xludf.DUMMYFUNCTION("""COMPUTED_VALUE"""),1.0)</f>
        <v>1</v>
      </c>
      <c r="O7275" s="4" t="str">
        <f>IFERROR(__xludf.DUMMYFUNCTION("""COMPUTED_VALUE"""),"Saipos Serviços De Software")</f>
        <v>Saipos Serviços De Software</v>
      </c>
      <c r="P7275" s="33">
        <f>IFERROR(__xludf.DUMMYFUNCTION("""COMPUTED_VALUE"""),1.0)</f>
        <v>1</v>
      </c>
      <c r="Q7275" s="4" t="str">
        <f>IFERROR(__xludf.DUMMYFUNCTION("""COMPUTED_VALUE"""),"Saipos Serviços De Software")</f>
        <v>Saipos Serviços De Software</v>
      </c>
      <c r="R7275" s="33">
        <f>IFERROR(__xludf.DUMMYFUNCTION("""COMPUTED_VALUE"""),1.0)</f>
        <v>1</v>
      </c>
      <c r="S7275" s="4" t="str">
        <f>IFERROR(__xludf.DUMMYFUNCTION("""COMPUTED_VALUE"""),"Saipos Serviços De Software")</f>
        <v>Saipos Serviços De Software</v>
      </c>
      <c r="T7275" s="33">
        <f>IFERROR(__xludf.DUMMYFUNCTION("""COMPUTED_VALUE"""),1.0)</f>
        <v>1</v>
      </c>
      <c r="U7275" s="4" t="str">
        <f>IFERROR(__xludf.DUMMYFUNCTION("""COMPUTED_VALUE"""),"Saipos Serviços De Software")</f>
        <v>Saipos Serviços De Software</v>
      </c>
      <c r="V7275" s="33">
        <f>IFERROR(__xludf.DUMMYFUNCTION("""COMPUTED_VALUE"""),1.0)</f>
        <v>1</v>
      </c>
      <c r="W7275" s="4" t="str">
        <f>IFERROR(__xludf.DUMMYFUNCTION("""COMPUTED_VALUE"""),"Saipos Serviços De Software")</f>
        <v>Saipos Serviços De Software</v>
      </c>
      <c r="X7275" s="33">
        <f>IFERROR(__xludf.DUMMYFUNCTION("""COMPUTED_VALUE"""),1.0)</f>
        <v>1</v>
      </c>
    </row>
    <row r="7276">
      <c r="K7276" s="4" t="str">
        <f>IFERROR(__xludf.DUMMYFUNCTION("""COMPUTED_VALUE"""),"IAN")</f>
        <v>IAN</v>
      </c>
      <c r="L7276" s="32">
        <f>IFERROR(__xludf.DUMMYFUNCTION("""COMPUTED_VALUE"""),2.0)</f>
        <v>2</v>
      </c>
      <c r="M7276" s="4" t="str">
        <f>IFERROR(__xludf.DUMMYFUNCTION("""COMPUTED_VALUE"""),"Mimic")</f>
        <v>Mimic</v>
      </c>
      <c r="N7276" s="33">
        <f>IFERROR(__xludf.DUMMYFUNCTION("""COMPUTED_VALUE"""),1.0)</f>
        <v>1</v>
      </c>
      <c r="O7276" s="4" t="str">
        <f>IFERROR(__xludf.DUMMYFUNCTION("""COMPUTED_VALUE"""),"Dcs Automação Eireli")</f>
        <v>Dcs Automação Eireli</v>
      </c>
      <c r="P7276" s="33">
        <f>IFERROR(__xludf.DUMMYFUNCTION("""COMPUTED_VALUE"""),0.5)</f>
        <v>0.5</v>
      </c>
      <c r="Q7276" s="4" t="str">
        <f>IFERROR(__xludf.DUMMYFUNCTION("""COMPUTED_VALUE"""),"Dcs Automação Eireli")</f>
        <v>Dcs Automação Eireli</v>
      </c>
      <c r="R7276" s="33">
        <f>IFERROR(__xludf.DUMMYFUNCTION("""COMPUTED_VALUE"""),0.5)</f>
        <v>0.5</v>
      </c>
      <c r="S7276" s="4" t="str">
        <f>IFERROR(__xludf.DUMMYFUNCTION("""COMPUTED_VALUE"""),"Dcs Automação Eireli")</f>
        <v>Dcs Automação Eireli</v>
      </c>
      <c r="T7276" s="33">
        <f>IFERROR(__xludf.DUMMYFUNCTION("""COMPUTED_VALUE"""),0.5)</f>
        <v>0.5</v>
      </c>
      <c r="U7276" s="4" t="str">
        <f>IFERROR(__xludf.DUMMYFUNCTION("""COMPUTED_VALUE"""),"Dcs Automação Eireli")</f>
        <v>Dcs Automação Eireli</v>
      </c>
      <c r="V7276" s="33">
        <f>IFERROR(__xludf.DUMMYFUNCTION("""COMPUTED_VALUE"""),0.5)</f>
        <v>0.5</v>
      </c>
      <c r="W7276" s="4" t="str">
        <f>IFERROR(__xludf.DUMMYFUNCTION("""COMPUTED_VALUE"""),"Dcs Automação Eireli")</f>
        <v>Dcs Automação Eireli</v>
      </c>
      <c r="X7276" s="33">
        <f>IFERROR(__xludf.DUMMYFUNCTION("""COMPUTED_VALUE"""),1.0)</f>
        <v>1</v>
      </c>
    </row>
    <row r="7277">
      <c r="K7277" s="4" t="str">
        <f>IFERROR(__xludf.DUMMYFUNCTION("""COMPUTED_VALUE"""),"IDOG CAMARAGIBE")</f>
        <v>IDOG CAMARAGIBE</v>
      </c>
      <c r="L7277" s="32">
        <f>IFERROR(__xludf.DUMMYFUNCTION("""COMPUTED_VALUE"""),2.0)</f>
        <v>2</v>
      </c>
      <c r="M7277" s="4" t="str">
        <f>IFERROR(__xludf.DUMMYFUNCTION("""COMPUTED_VALUE"""),"Cardápio Web")</f>
        <v>Cardápio Web</v>
      </c>
      <c r="N7277" s="33">
        <f>IFERROR(__xludf.DUMMYFUNCTION("""COMPUTED_VALUE"""),1.0)</f>
        <v>1</v>
      </c>
      <c r="O7277" s="4" t="str">
        <f>IFERROR(__xludf.DUMMYFUNCTION("""COMPUTED_VALUE"""),"Cardápio Web")</f>
        <v>Cardápio Web</v>
      </c>
      <c r="P7277" s="33">
        <f>IFERROR(__xludf.DUMMYFUNCTION("""COMPUTED_VALUE"""),1.0)</f>
        <v>1</v>
      </c>
      <c r="Q7277" s="4" t="str">
        <f>IFERROR(__xludf.DUMMYFUNCTION("""COMPUTED_VALUE"""),"null")</f>
        <v>null</v>
      </c>
      <c r="R7277" s="33">
        <f>IFERROR(__xludf.DUMMYFUNCTION("""COMPUTED_VALUE"""),0.5)</f>
        <v>0.5</v>
      </c>
      <c r="S7277" s="4" t="str">
        <f>IFERROR(__xludf.DUMMYFUNCTION("""COMPUTED_VALUE"""),"Cardápio Web")</f>
        <v>Cardápio Web</v>
      </c>
      <c r="T7277" s="33">
        <f>IFERROR(__xludf.DUMMYFUNCTION("""COMPUTED_VALUE"""),1.0)</f>
        <v>1</v>
      </c>
      <c r="U7277" s="4" t="str">
        <f>IFERROR(__xludf.DUMMYFUNCTION("""COMPUTED_VALUE"""),"Cardápio Web")</f>
        <v>Cardápio Web</v>
      </c>
      <c r="V7277" s="33">
        <f>IFERROR(__xludf.DUMMYFUNCTION("""COMPUTED_VALUE"""),1.0)</f>
        <v>1</v>
      </c>
      <c r="W7277" s="4" t="str">
        <f>IFERROR(__xludf.DUMMYFUNCTION("""COMPUTED_VALUE"""),"Cardápio Web")</f>
        <v>Cardápio Web</v>
      </c>
      <c r="X7277" s="33">
        <f>IFERROR(__xludf.DUMMYFUNCTION("""COMPUTED_VALUE"""),1.0)</f>
        <v>1</v>
      </c>
    </row>
    <row r="7278">
      <c r="K7278" s="4" t="str">
        <f>IFERROR(__xludf.DUMMYFUNCTION("""COMPUTED_VALUE"""),"ILHA DOS ACORES SC - CONTA MARCA")</f>
        <v>ILHA DOS ACORES SC - CONTA MARCA</v>
      </c>
      <c r="L7278" s="32">
        <f>IFERROR(__xludf.DUMMYFUNCTION("""COMPUTED_VALUE"""),2.0)</f>
        <v>2</v>
      </c>
      <c r="M7278" s="4" t="str">
        <f>IFERROR(__xludf.DUMMYFUNCTION("""COMPUTED_VALUE"""),"Saipos Serviços De Software")</f>
        <v>Saipos Serviços De Software</v>
      </c>
      <c r="N7278" s="33">
        <f>IFERROR(__xludf.DUMMYFUNCTION("""COMPUTED_VALUE"""),0.5)</f>
        <v>0.5</v>
      </c>
      <c r="O7278" s="4" t="str">
        <f>IFERROR(__xludf.DUMMYFUNCTION("""COMPUTED_VALUE"""),"Saipos Serviços De Software")</f>
        <v>Saipos Serviços De Software</v>
      </c>
      <c r="P7278" s="33">
        <f>IFERROR(__xludf.DUMMYFUNCTION("""COMPUTED_VALUE"""),0.5)</f>
        <v>0.5</v>
      </c>
      <c r="Q7278" s="4" t="str">
        <f>IFERROR(__xludf.DUMMYFUNCTION("""COMPUTED_VALUE"""),"Saipos Serviços De Software")</f>
        <v>Saipos Serviços De Software</v>
      </c>
      <c r="R7278" s="33">
        <f>IFERROR(__xludf.DUMMYFUNCTION("""COMPUTED_VALUE"""),0.5)</f>
        <v>0.5</v>
      </c>
      <c r="S7278" s="4" t="str">
        <f>IFERROR(__xludf.DUMMYFUNCTION("""COMPUTED_VALUE"""),"null")</f>
        <v>null</v>
      </c>
      <c r="T7278" s="33">
        <f>IFERROR(__xludf.DUMMYFUNCTION("""COMPUTED_VALUE"""),1.0)</f>
        <v>1</v>
      </c>
      <c r="U7278" s="4" t="str">
        <f>IFERROR(__xludf.DUMMYFUNCTION("""COMPUTED_VALUE"""),"null")</f>
        <v>null</v>
      </c>
      <c r="V7278" s="33">
        <f>IFERROR(__xludf.DUMMYFUNCTION("""COMPUTED_VALUE"""),1.0)</f>
        <v>1</v>
      </c>
      <c r="W7278" s="4" t="str">
        <f>IFERROR(__xludf.DUMMYFUNCTION("""COMPUTED_VALUE"""),"null")</f>
        <v>null</v>
      </c>
      <c r="X7278" s="33">
        <f>IFERROR(__xludf.DUMMYFUNCTION("""COMPUTED_VALUE"""),0.5)</f>
        <v>0.5</v>
      </c>
    </row>
    <row r="7279">
      <c r="K7279" s="4" t="str">
        <f>IFERROR(__xludf.DUMMYFUNCTION("""COMPUTED_VALUE"""),"IMPERIUS - MARCA")</f>
        <v>IMPERIUS - MARCA</v>
      </c>
      <c r="L7279" s="32">
        <f>IFERROR(__xludf.DUMMYFUNCTION("""COMPUTED_VALUE"""),2.0)</f>
        <v>2</v>
      </c>
      <c r="M7279" s="4" t="str">
        <f>IFERROR(__xludf.DUMMYFUNCTION("""COMPUTED_VALUE"""),"Cardápio Web")</f>
        <v>Cardápio Web</v>
      </c>
      <c r="N7279" s="33">
        <f>IFERROR(__xludf.DUMMYFUNCTION("""COMPUTED_VALUE"""),0.5)</f>
        <v>0.5</v>
      </c>
      <c r="O7279" s="4" t="str">
        <f>IFERROR(__xludf.DUMMYFUNCTION("""COMPUTED_VALUE"""),"Cardápio Web")</f>
        <v>Cardápio Web</v>
      </c>
      <c r="P7279" s="33">
        <f>IFERROR(__xludf.DUMMYFUNCTION("""COMPUTED_VALUE"""),0.5)</f>
        <v>0.5</v>
      </c>
      <c r="Q7279" s="4" t="str">
        <f>IFERROR(__xludf.DUMMYFUNCTION("""COMPUTED_VALUE"""),"Cardápio Web")</f>
        <v>Cardápio Web</v>
      </c>
      <c r="R7279" s="33">
        <f>IFERROR(__xludf.DUMMYFUNCTION("""COMPUTED_VALUE"""),0.5)</f>
        <v>0.5</v>
      </c>
      <c r="S7279" s="4" t="str">
        <f>IFERROR(__xludf.DUMMYFUNCTION("""COMPUTED_VALUE"""),"Cardápio Web")</f>
        <v>Cardápio Web</v>
      </c>
      <c r="T7279" s="33">
        <f>IFERROR(__xludf.DUMMYFUNCTION("""COMPUTED_VALUE"""),0.5)</f>
        <v>0.5</v>
      </c>
      <c r="U7279" s="4" t="str">
        <f>IFERROR(__xludf.DUMMYFUNCTION("""COMPUTED_VALUE"""),"Cardápio Web")</f>
        <v>Cardápio Web</v>
      </c>
      <c r="V7279" s="33">
        <f>IFERROR(__xludf.DUMMYFUNCTION("""COMPUTED_VALUE"""),0.5)</f>
        <v>0.5</v>
      </c>
      <c r="W7279" s="4" t="str">
        <f>IFERROR(__xludf.DUMMYFUNCTION("""COMPUTED_VALUE"""),"Cardápio Web")</f>
        <v>Cardápio Web</v>
      </c>
      <c r="X7279" s="33">
        <f>IFERROR(__xludf.DUMMYFUNCTION("""COMPUTED_VALUE"""),1.0)</f>
        <v>1</v>
      </c>
    </row>
    <row r="7280">
      <c r="K7280" s="4" t="str">
        <f>IFERROR(__xludf.DUMMYFUNCTION("""COMPUTED_VALUE"""),"INFORNARE")</f>
        <v>INFORNARE</v>
      </c>
      <c r="L7280" s="32">
        <f>IFERROR(__xludf.DUMMYFUNCTION("""COMPUTED_VALUE"""),2.0)</f>
        <v>2</v>
      </c>
      <c r="M7280" s="4" t="str">
        <f>IFERROR(__xludf.DUMMYFUNCTION("""COMPUTED_VALUE"""),"Saipos Serviços De Software")</f>
        <v>Saipos Serviços De Software</v>
      </c>
      <c r="N7280" s="33">
        <f>IFERROR(__xludf.DUMMYFUNCTION("""COMPUTED_VALUE"""),1.0)</f>
        <v>1</v>
      </c>
      <c r="O7280" s="4" t="str">
        <f>IFERROR(__xludf.DUMMYFUNCTION("""COMPUTED_VALUE"""),"Saipos Serviços De Software")</f>
        <v>Saipos Serviços De Software</v>
      </c>
      <c r="P7280" s="33">
        <f>IFERROR(__xludf.DUMMYFUNCTION("""COMPUTED_VALUE"""),1.0)</f>
        <v>1</v>
      </c>
      <c r="Q7280" s="4" t="str">
        <f>IFERROR(__xludf.DUMMYFUNCTION("""COMPUTED_VALUE"""),"Saipos Serviços De Software")</f>
        <v>Saipos Serviços De Software</v>
      </c>
      <c r="R7280" s="33">
        <f>IFERROR(__xludf.DUMMYFUNCTION("""COMPUTED_VALUE"""),1.0)</f>
        <v>1</v>
      </c>
      <c r="S7280" s="4" t="str">
        <f>IFERROR(__xludf.DUMMYFUNCTION("""COMPUTED_VALUE"""),"Saipos Serviços De Software")</f>
        <v>Saipos Serviços De Software</v>
      </c>
      <c r="T7280" s="33">
        <f>IFERROR(__xludf.DUMMYFUNCTION("""COMPUTED_VALUE"""),1.0)</f>
        <v>1</v>
      </c>
      <c r="U7280" s="4" t="str">
        <f>IFERROR(__xludf.DUMMYFUNCTION("""COMPUTED_VALUE"""),"Saipos Serviços De Software")</f>
        <v>Saipos Serviços De Software</v>
      </c>
      <c r="V7280" s="33">
        <f>IFERROR(__xludf.DUMMYFUNCTION("""COMPUTED_VALUE"""),1.0)</f>
        <v>1</v>
      </c>
      <c r="W7280" s="4" t="str">
        <f>IFERROR(__xludf.DUMMYFUNCTION("""COMPUTED_VALUE"""),"Saipos Serviços De Software")</f>
        <v>Saipos Serviços De Software</v>
      </c>
      <c r="X7280" s="33">
        <f>IFERROR(__xludf.DUMMYFUNCTION("""COMPUTED_VALUE"""),1.0)</f>
        <v>1</v>
      </c>
    </row>
    <row r="7281">
      <c r="K7281" s="4" t="str">
        <f>IFERROR(__xludf.DUMMYFUNCTION("""COMPUTED_VALUE"""),"INSALATA")</f>
        <v>INSALATA</v>
      </c>
      <c r="L7281" s="32">
        <f>IFERROR(__xludf.DUMMYFUNCTION("""COMPUTED_VALUE"""),2.0)</f>
        <v>2</v>
      </c>
      <c r="M7281" s="4" t="str">
        <f>IFERROR(__xludf.DUMMYFUNCTION("""COMPUTED_VALUE"""),"Eclética Tecnologia")</f>
        <v>Eclética Tecnologia</v>
      </c>
      <c r="N7281" s="33">
        <f>IFERROR(__xludf.DUMMYFUNCTION("""COMPUTED_VALUE"""),0.5)</f>
        <v>0.5</v>
      </c>
      <c r="O7281" s="4" t="str">
        <f>IFERROR(__xludf.DUMMYFUNCTION("""COMPUTED_VALUE"""),"Eclética Tecnologia")</f>
        <v>Eclética Tecnologia</v>
      </c>
      <c r="P7281" s="33">
        <f>IFERROR(__xludf.DUMMYFUNCTION("""COMPUTED_VALUE"""),0.5)</f>
        <v>0.5</v>
      </c>
      <c r="Q7281" s="4" t="str">
        <f>IFERROR(__xludf.DUMMYFUNCTION("""COMPUTED_VALUE"""),"Eclética Tecnologia")</f>
        <v>Eclética Tecnologia</v>
      </c>
      <c r="R7281" s="33">
        <f>IFERROR(__xludf.DUMMYFUNCTION("""COMPUTED_VALUE"""),0.5)</f>
        <v>0.5</v>
      </c>
      <c r="S7281" s="4" t="str">
        <f>IFERROR(__xludf.DUMMYFUNCTION("""COMPUTED_VALUE"""),"Eclética Tecnologia")</f>
        <v>Eclética Tecnologia</v>
      </c>
      <c r="T7281" s="33">
        <f>IFERROR(__xludf.DUMMYFUNCTION("""COMPUTED_VALUE"""),0.5)</f>
        <v>0.5</v>
      </c>
      <c r="U7281" s="4" t="str">
        <f>IFERROR(__xludf.DUMMYFUNCTION("""COMPUTED_VALUE"""),"Eclética Tecnologia")</f>
        <v>Eclética Tecnologia</v>
      </c>
      <c r="V7281" s="33">
        <f>IFERROR(__xludf.DUMMYFUNCTION("""COMPUTED_VALUE"""),0.5)</f>
        <v>0.5</v>
      </c>
      <c r="W7281" s="4" t="str">
        <f>IFERROR(__xludf.DUMMYFUNCTION("""COMPUTED_VALUE"""),"Eclética Tecnologia")</f>
        <v>Eclética Tecnologia</v>
      </c>
      <c r="X7281" s="33">
        <f>IFERROR(__xludf.DUMMYFUNCTION("""COMPUTED_VALUE"""),0.5)</f>
        <v>0.5</v>
      </c>
    </row>
    <row r="7282">
      <c r="K7282" s="4" t="str">
        <f>IFERROR(__xludf.DUMMYFUNCTION("""COMPUTED_VALUE"""),"INSANO BURGER HAMBURGUERIA - MARCA")</f>
        <v>INSANO BURGER HAMBURGUERIA - MARCA</v>
      </c>
      <c r="L7282" s="32">
        <f>IFERROR(__xludf.DUMMYFUNCTION("""COMPUTED_VALUE"""),2.0)</f>
        <v>2</v>
      </c>
      <c r="M7282" s="4" t="str">
        <f>IFERROR(__xludf.DUMMYFUNCTION("""COMPUTED_VALUE"""),"Saipos Serviços De Software")</f>
        <v>Saipos Serviços De Software</v>
      </c>
      <c r="N7282" s="33">
        <f>IFERROR(__xludf.DUMMYFUNCTION("""COMPUTED_VALUE"""),1.0)</f>
        <v>1</v>
      </c>
      <c r="O7282" s="4" t="str">
        <f>IFERROR(__xludf.DUMMYFUNCTION("""COMPUTED_VALUE"""),"Saipos Serviços De Software")</f>
        <v>Saipos Serviços De Software</v>
      </c>
      <c r="P7282" s="33">
        <f>IFERROR(__xludf.DUMMYFUNCTION("""COMPUTED_VALUE"""),1.0)</f>
        <v>1</v>
      </c>
      <c r="Q7282" s="4" t="str">
        <f>IFERROR(__xludf.DUMMYFUNCTION("""COMPUTED_VALUE"""),"Saipos Serviços De Software")</f>
        <v>Saipos Serviços De Software</v>
      </c>
      <c r="R7282" s="33">
        <f>IFERROR(__xludf.DUMMYFUNCTION("""COMPUTED_VALUE"""),1.0)</f>
        <v>1</v>
      </c>
      <c r="S7282" s="4" t="str">
        <f>IFERROR(__xludf.DUMMYFUNCTION("""COMPUTED_VALUE"""),"Saipos Serviços De Software")</f>
        <v>Saipos Serviços De Software</v>
      </c>
      <c r="T7282" s="33">
        <f>IFERROR(__xludf.DUMMYFUNCTION("""COMPUTED_VALUE"""),1.0)</f>
        <v>1</v>
      </c>
      <c r="U7282" s="4" t="str">
        <f>IFERROR(__xludf.DUMMYFUNCTION("""COMPUTED_VALUE"""),"Saipos Serviços De Software")</f>
        <v>Saipos Serviços De Software</v>
      </c>
      <c r="V7282" s="33">
        <f>IFERROR(__xludf.DUMMYFUNCTION("""COMPUTED_VALUE"""),1.0)</f>
        <v>1</v>
      </c>
      <c r="W7282" s="4" t="str">
        <f>IFERROR(__xludf.DUMMYFUNCTION("""COMPUTED_VALUE"""),"Saipos Serviços De Software")</f>
        <v>Saipos Serviços De Software</v>
      </c>
      <c r="X7282" s="33">
        <f>IFERROR(__xludf.DUMMYFUNCTION("""COMPUTED_VALUE"""),1.0)</f>
        <v>1</v>
      </c>
    </row>
    <row r="7283">
      <c r="K7283" s="4" t="str">
        <f>IFERROR(__xludf.DUMMYFUNCTION("""COMPUTED_VALUE"""),"IOA SUSHI")</f>
        <v>IOA SUSHI</v>
      </c>
      <c r="L7283" s="32">
        <f>IFERROR(__xludf.DUMMYFUNCTION("""COMPUTED_VALUE"""),2.0)</f>
        <v>2</v>
      </c>
      <c r="M7283" s="4" t="str">
        <f>IFERROR(__xludf.DUMMYFUNCTION("""COMPUTED_VALUE"""),"Consumer Soluções Em Tecnologia Ltda")</f>
        <v>Consumer Soluções Em Tecnologia Ltda</v>
      </c>
      <c r="N7283" s="33">
        <f>IFERROR(__xludf.DUMMYFUNCTION("""COMPUTED_VALUE"""),1.0)</f>
        <v>1</v>
      </c>
      <c r="O7283" s="4" t="str">
        <f>IFERROR(__xludf.DUMMYFUNCTION("""COMPUTED_VALUE"""),"Consumer Soluções Em Tecnologia Ltda")</f>
        <v>Consumer Soluções Em Tecnologia Ltda</v>
      </c>
      <c r="P7283" s="33">
        <f>IFERROR(__xludf.DUMMYFUNCTION("""COMPUTED_VALUE"""),1.0)</f>
        <v>1</v>
      </c>
      <c r="Q7283" s="4" t="str">
        <f>IFERROR(__xludf.DUMMYFUNCTION("""COMPUTED_VALUE"""),"Consumer Soluções Em Tecnologia Ltda")</f>
        <v>Consumer Soluções Em Tecnologia Ltda</v>
      </c>
      <c r="R7283" s="33">
        <f>IFERROR(__xludf.DUMMYFUNCTION("""COMPUTED_VALUE"""),1.0)</f>
        <v>1</v>
      </c>
      <c r="S7283" s="4" t="str">
        <f>IFERROR(__xludf.DUMMYFUNCTION("""COMPUTED_VALUE"""),"Consumer Soluções Em Tecnologia Ltda")</f>
        <v>Consumer Soluções Em Tecnologia Ltda</v>
      </c>
      <c r="T7283" s="33">
        <f>IFERROR(__xludf.DUMMYFUNCTION("""COMPUTED_VALUE"""),1.0)</f>
        <v>1</v>
      </c>
      <c r="U7283" s="4" t="str">
        <f>IFERROR(__xludf.DUMMYFUNCTION("""COMPUTED_VALUE"""),"Consumer Soluções Em Tecnologia Ltda")</f>
        <v>Consumer Soluções Em Tecnologia Ltda</v>
      </c>
      <c r="V7283" s="33">
        <f>IFERROR(__xludf.DUMMYFUNCTION("""COMPUTED_VALUE"""),0.5)</f>
        <v>0.5</v>
      </c>
      <c r="W7283" s="4" t="str">
        <f>IFERROR(__xludf.DUMMYFUNCTION("""COMPUTED_VALUE"""),"Consumer Soluções Em Tecnologia Ltda")</f>
        <v>Consumer Soluções Em Tecnologia Ltda</v>
      </c>
      <c r="X7283" s="33">
        <f>IFERROR(__xludf.DUMMYFUNCTION("""COMPUTED_VALUE"""),1.0)</f>
        <v>1</v>
      </c>
    </row>
    <row r="7284">
      <c r="K7284" s="4" t="str">
        <f>IFERROR(__xludf.DUMMYFUNCTION("""COMPUTED_VALUE"""),"IPIRANGA MARMITA - SC")</f>
        <v>IPIRANGA MARMITA - SC</v>
      </c>
      <c r="L7284" s="32">
        <f>IFERROR(__xludf.DUMMYFUNCTION("""COMPUTED_VALUE"""),2.0)</f>
        <v>2</v>
      </c>
      <c r="M7284" s="4" t="str">
        <f>IFERROR(__xludf.DUMMYFUNCTION("""COMPUTED_VALUE"""),"null")</f>
        <v>null</v>
      </c>
      <c r="N7284" s="33">
        <f>IFERROR(__xludf.DUMMYFUNCTION("""COMPUTED_VALUE"""),0.5)</f>
        <v>0.5</v>
      </c>
      <c r="O7284" s="4" t="str">
        <f>IFERROR(__xludf.DUMMYFUNCTION("""COMPUTED_VALUE"""),"null")</f>
        <v>null</v>
      </c>
      <c r="P7284" s="33">
        <f>IFERROR(__xludf.DUMMYFUNCTION("""COMPUTED_VALUE"""),0.5)</f>
        <v>0.5</v>
      </c>
      <c r="Q7284" s="4" t="str">
        <f>IFERROR(__xludf.DUMMYFUNCTION("""COMPUTED_VALUE"""),"null")</f>
        <v>null</v>
      </c>
      <c r="R7284" s="33">
        <f>IFERROR(__xludf.DUMMYFUNCTION("""COMPUTED_VALUE"""),0.5)</f>
        <v>0.5</v>
      </c>
      <c r="S7284" s="4" t="str">
        <f>IFERROR(__xludf.DUMMYFUNCTION("""COMPUTED_VALUE"""),"null")</f>
        <v>null</v>
      </c>
      <c r="T7284" s="33">
        <f>IFERROR(__xludf.DUMMYFUNCTION("""COMPUTED_VALUE"""),0.5)</f>
        <v>0.5</v>
      </c>
      <c r="U7284" s="4" t="str">
        <f>IFERROR(__xludf.DUMMYFUNCTION("""COMPUTED_VALUE"""),"Genuine Sistemas Ltda")</f>
        <v>Genuine Sistemas Ltda</v>
      </c>
      <c r="V7284" s="33">
        <f>IFERROR(__xludf.DUMMYFUNCTION("""COMPUTED_VALUE"""),1.0)</f>
        <v>1</v>
      </c>
      <c r="W7284" s="4" t="str">
        <f>IFERROR(__xludf.DUMMYFUNCTION("""COMPUTED_VALUE"""),"Genuine Sistemas Ltda")</f>
        <v>Genuine Sistemas Ltda</v>
      </c>
      <c r="X7284" s="33">
        <f>IFERROR(__xludf.DUMMYFUNCTION("""COMPUTED_VALUE"""),1.0)</f>
        <v>1</v>
      </c>
    </row>
    <row r="7285">
      <c r="K7285" s="4" t="str">
        <f>IFERROR(__xludf.DUMMYFUNCTION("""COMPUTED_VALUE"""),"ITA CUCINA")</f>
        <v>ITA CUCINA</v>
      </c>
      <c r="L7285" s="32">
        <f>IFERROR(__xludf.DUMMYFUNCTION("""COMPUTED_VALUE"""),2.0)</f>
        <v>2</v>
      </c>
      <c r="M7285" s="4" t="str">
        <f>IFERROR(__xludf.DUMMYFUNCTION("""COMPUTED_VALUE"""),"Solução Sistemas")</f>
        <v>Solução Sistemas</v>
      </c>
      <c r="N7285" s="33">
        <f>IFERROR(__xludf.DUMMYFUNCTION("""COMPUTED_VALUE"""),0.5)</f>
        <v>0.5</v>
      </c>
      <c r="O7285" s="4" t="str">
        <f>IFERROR(__xludf.DUMMYFUNCTION("""COMPUTED_VALUE"""),"Solução Sistemas")</f>
        <v>Solução Sistemas</v>
      </c>
      <c r="P7285" s="33">
        <f>IFERROR(__xludf.DUMMYFUNCTION("""COMPUTED_VALUE"""),0.5)</f>
        <v>0.5</v>
      </c>
      <c r="Q7285" s="4" t="str">
        <f>IFERROR(__xludf.DUMMYFUNCTION("""COMPUTED_VALUE"""),"Agilizup Solucoes Ltda")</f>
        <v>Agilizup Solucoes Ltda</v>
      </c>
      <c r="R7285" s="33">
        <f>IFERROR(__xludf.DUMMYFUNCTION("""COMPUTED_VALUE"""),1.0)</f>
        <v>1</v>
      </c>
      <c r="S7285" s="4" t="str">
        <f>IFERROR(__xludf.DUMMYFUNCTION("""COMPUTED_VALUE"""),"Agilizup Solucoes Ltda")</f>
        <v>Agilizup Solucoes Ltda</v>
      </c>
      <c r="T7285" s="33">
        <f>IFERROR(__xludf.DUMMYFUNCTION("""COMPUTED_VALUE"""),1.0)</f>
        <v>1</v>
      </c>
      <c r="U7285" s="4" t="str">
        <f>IFERROR(__xludf.DUMMYFUNCTION("""COMPUTED_VALUE"""),"Agilizup Solucoes Ltda")</f>
        <v>Agilizup Solucoes Ltda</v>
      </c>
      <c r="V7285" s="33">
        <f>IFERROR(__xludf.DUMMYFUNCTION("""COMPUTED_VALUE"""),1.0)</f>
        <v>1</v>
      </c>
      <c r="W7285" s="4" t="str">
        <f>IFERROR(__xludf.DUMMYFUNCTION("""COMPUTED_VALUE"""),"Agilizup Solucoes Ltda")</f>
        <v>Agilizup Solucoes Ltda</v>
      </c>
      <c r="X7285" s="33">
        <f>IFERROR(__xludf.DUMMYFUNCTION("""COMPUTED_VALUE"""),0.5)</f>
        <v>0.5</v>
      </c>
    </row>
    <row r="7286">
      <c r="K7286" s="4" t="str">
        <f>IFERROR(__xludf.DUMMYFUNCTION("""COMPUTED_VALUE"""),"IZAKAYA - CONTA MARCA")</f>
        <v>IZAKAYA - CONTA MARCA</v>
      </c>
      <c r="L7286" s="32">
        <f>IFERROR(__xludf.DUMMYFUNCTION("""COMPUTED_VALUE"""),2.0)</f>
        <v>2</v>
      </c>
      <c r="M7286" s="4" t="str">
        <f>IFERROR(__xludf.DUMMYFUNCTION("""COMPUTED_VALUE"""),"Beefood - Sistema Para Restaurantes")</f>
        <v>Beefood - Sistema Para Restaurantes</v>
      </c>
      <c r="N7286" s="33">
        <f>IFERROR(__xludf.DUMMYFUNCTION("""COMPUTED_VALUE"""),1.0)</f>
        <v>1</v>
      </c>
      <c r="O7286" s="4" t="str">
        <f>IFERROR(__xludf.DUMMYFUNCTION("""COMPUTED_VALUE"""),"Beefood - Sistema Para Restaurantes")</f>
        <v>Beefood - Sistema Para Restaurantes</v>
      </c>
      <c r="P7286" s="33">
        <f>IFERROR(__xludf.DUMMYFUNCTION("""COMPUTED_VALUE"""),1.0)</f>
        <v>1</v>
      </c>
      <c r="Q7286" s="4" t="str">
        <f>IFERROR(__xludf.DUMMYFUNCTION("""COMPUTED_VALUE"""),"Beefood - Sistema Para Restaurantes")</f>
        <v>Beefood - Sistema Para Restaurantes</v>
      </c>
      <c r="R7286" s="33">
        <f>IFERROR(__xludf.DUMMYFUNCTION("""COMPUTED_VALUE"""),1.0)</f>
        <v>1</v>
      </c>
      <c r="S7286" s="4" t="str">
        <f>IFERROR(__xludf.DUMMYFUNCTION("""COMPUTED_VALUE"""),"Beefood - Sistema Para Restaurantes")</f>
        <v>Beefood - Sistema Para Restaurantes</v>
      </c>
      <c r="T7286" s="33">
        <f>IFERROR(__xludf.DUMMYFUNCTION("""COMPUTED_VALUE"""),1.0)</f>
        <v>1</v>
      </c>
      <c r="U7286" s="4" t="str">
        <f>IFERROR(__xludf.DUMMYFUNCTION("""COMPUTED_VALUE"""),"Beefood - Sistema Para Restaurantes")</f>
        <v>Beefood - Sistema Para Restaurantes</v>
      </c>
      <c r="V7286" s="33">
        <f>IFERROR(__xludf.DUMMYFUNCTION("""COMPUTED_VALUE"""),1.0)</f>
        <v>1</v>
      </c>
      <c r="W7286" s="4" t="str">
        <f>IFERROR(__xludf.DUMMYFUNCTION("""COMPUTED_VALUE"""),"Beefood - Sistema Para Restaurantes")</f>
        <v>Beefood - Sistema Para Restaurantes</v>
      </c>
      <c r="X7286" s="33">
        <f>IFERROR(__xludf.DUMMYFUNCTION("""COMPUTED_VALUE"""),1.0)</f>
        <v>1</v>
      </c>
    </row>
    <row r="7287">
      <c r="K7287" s="4" t="str">
        <f>IFERROR(__xludf.DUMMYFUNCTION("""COMPUTED_VALUE"""),"J SUSHI DELIVERY - CONTA MARCA")</f>
        <v>J SUSHI DELIVERY - CONTA MARCA</v>
      </c>
      <c r="L7287" s="32">
        <f>IFERROR(__xludf.DUMMYFUNCTION("""COMPUTED_VALUE"""),2.0)</f>
        <v>2</v>
      </c>
      <c r="M7287" s="4" t="str">
        <f>IFERROR(__xludf.DUMMYFUNCTION("""COMPUTED_VALUE"""),"null")</f>
        <v>null</v>
      </c>
      <c r="N7287" s="33">
        <f>IFERROR(__xludf.DUMMYFUNCTION("""COMPUTED_VALUE"""),0.5)</f>
        <v>0.5</v>
      </c>
      <c r="O7287" s="4" t="str">
        <f>IFERROR(__xludf.DUMMYFUNCTION("""COMPUTED_VALUE"""),"null")</f>
        <v>null</v>
      </c>
      <c r="P7287" s="33">
        <f>IFERROR(__xludf.DUMMYFUNCTION("""COMPUTED_VALUE"""),0.5)</f>
        <v>0.5</v>
      </c>
      <c r="Q7287" s="4" t="str">
        <f>IFERROR(__xludf.DUMMYFUNCTION("""COMPUTED_VALUE"""),"null")</f>
        <v>null</v>
      </c>
      <c r="R7287" s="33">
        <f>IFERROR(__xludf.DUMMYFUNCTION("""COMPUTED_VALUE"""),0.5)</f>
        <v>0.5</v>
      </c>
      <c r="S7287" s="4" t="str">
        <f>IFERROR(__xludf.DUMMYFUNCTION("""COMPUTED_VALUE"""),"null")</f>
        <v>null</v>
      </c>
      <c r="T7287" s="33">
        <f>IFERROR(__xludf.DUMMYFUNCTION("""COMPUTED_VALUE"""),0.5)</f>
        <v>0.5</v>
      </c>
      <c r="U7287" s="4" t="str">
        <f>IFERROR(__xludf.DUMMYFUNCTION("""COMPUTED_VALUE"""),"Hubzy")</f>
        <v>Hubzy</v>
      </c>
      <c r="V7287" s="33">
        <f>IFERROR(__xludf.DUMMYFUNCTION("""COMPUTED_VALUE"""),1.0)</f>
        <v>1</v>
      </c>
      <c r="W7287" s="4" t="str">
        <f>IFERROR(__xludf.DUMMYFUNCTION("""COMPUTED_VALUE"""),"Hubzy")</f>
        <v>Hubzy</v>
      </c>
      <c r="X7287" s="33">
        <f>IFERROR(__xludf.DUMMYFUNCTION("""COMPUTED_VALUE"""),1.0)</f>
        <v>1</v>
      </c>
    </row>
    <row r="7288">
      <c r="K7288" s="4" t="str">
        <f>IFERROR(__xludf.DUMMYFUNCTION("""COMPUTED_VALUE"""),"JABA DO LAU - CONTA PAI")</f>
        <v>JABA DO LAU - CONTA PAI</v>
      </c>
      <c r="L7288" s="32">
        <f>IFERROR(__xludf.DUMMYFUNCTION("""COMPUTED_VALUE"""),2.0)</f>
        <v>2</v>
      </c>
      <c r="M7288" s="4" t="str">
        <f>IFERROR(__xludf.DUMMYFUNCTION("""COMPUTED_VALUE"""),"null")</f>
        <v>null</v>
      </c>
      <c r="N7288" s="33">
        <f>IFERROR(__xludf.DUMMYFUNCTION("""COMPUTED_VALUE"""),0.5)</f>
        <v>0.5</v>
      </c>
      <c r="O7288" s="4" t="str">
        <f>IFERROR(__xludf.DUMMYFUNCTION("""COMPUTED_VALUE"""),"null")</f>
        <v>null</v>
      </c>
      <c r="P7288" s="33">
        <f>IFERROR(__xludf.DUMMYFUNCTION("""COMPUTED_VALUE"""),0.5)</f>
        <v>0.5</v>
      </c>
      <c r="Q7288" s="4" t="str">
        <f>IFERROR(__xludf.DUMMYFUNCTION("""COMPUTED_VALUE"""),"Saipos Serviços De Software")</f>
        <v>Saipos Serviços De Software</v>
      </c>
      <c r="R7288" s="33">
        <f>IFERROR(__xludf.DUMMYFUNCTION("""COMPUTED_VALUE"""),1.0)</f>
        <v>1</v>
      </c>
      <c r="S7288" s="4" t="str">
        <f>IFERROR(__xludf.DUMMYFUNCTION("""COMPUTED_VALUE"""),"Saipos Serviços De Software")</f>
        <v>Saipos Serviços De Software</v>
      </c>
      <c r="T7288" s="33">
        <f>IFERROR(__xludf.DUMMYFUNCTION("""COMPUTED_VALUE"""),1.0)</f>
        <v>1</v>
      </c>
      <c r="U7288" s="4" t="str">
        <f>IFERROR(__xludf.DUMMYFUNCTION("""COMPUTED_VALUE"""),"Saipos Serviços De Software")</f>
        <v>Saipos Serviços De Software</v>
      </c>
      <c r="V7288" s="33">
        <f>IFERROR(__xludf.DUMMYFUNCTION("""COMPUTED_VALUE"""),1.0)</f>
        <v>1</v>
      </c>
      <c r="W7288" s="4" t="str">
        <f>IFERROR(__xludf.DUMMYFUNCTION("""COMPUTED_VALUE"""),"Saipos Serviços De Software")</f>
        <v>Saipos Serviços De Software</v>
      </c>
      <c r="X7288" s="33">
        <f>IFERROR(__xludf.DUMMYFUNCTION("""COMPUTED_VALUE"""),1.0)</f>
        <v>1</v>
      </c>
    </row>
    <row r="7289">
      <c r="K7289" s="4" t="str">
        <f>IFERROR(__xludf.DUMMYFUNCTION("""COMPUTED_VALUE"""),"JABER")</f>
        <v>JABER</v>
      </c>
      <c r="L7289" s="32">
        <f>IFERROR(__xludf.DUMMYFUNCTION("""COMPUTED_VALUE"""),2.0)</f>
        <v>2</v>
      </c>
      <c r="M7289" s="4" t="str">
        <f>IFERROR(__xludf.DUMMYFUNCTION("""COMPUTED_VALUE"""),"Garcom Web")</f>
        <v>Garcom Web</v>
      </c>
      <c r="N7289" s="33">
        <f>IFERROR(__xludf.DUMMYFUNCTION("""COMPUTED_VALUE"""),1.0)</f>
        <v>1</v>
      </c>
      <c r="O7289" s="4" t="str">
        <f>IFERROR(__xludf.DUMMYFUNCTION("""COMPUTED_VALUE"""),"Garcom Web")</f>
        <v>Garcom Web</v>
      </c>
      <c r="P7289" s="33">
        <f>IFERROR(__xludf.DUMMYFUNCTION("""COMPUTED_VALUE"""),1.0)</f>
        <v>1</v>
      </c>
      <c r="Q7289" s="4" t="str">
        <f>IFERROR(__xludf.DUMMYFUNCTION("""COMPUTED_VALUE"""),"Garcom Web")</f>
        <v>Garcom Web</v>
      </c>
      <c r="R7289" s="33">
        <f>IFERROR(__xludf.DUMMYFUNCTION("""COMPUTED_VALUE"""),0.5)</f>
        <v>0.5</v>
      </c>
      <c r="S7289" s="4" t="str">
        <f>IFERROR(__xludf.DUMMYFUNCTION("""COMPUTED_VALUE"""),"Garcom Web")</f>
        <v>Garcom Web</v>
      </c>
      <c r="T7289" s="33">
        <f>IFERROR(__xludf.DUMMYFUNCTION("""COMPUTED_VALUE"""),1.0)</f>
        <v>1</v>
      </c>
      <c r="U7289" s="4" t="str">
        <f>IFERROR(__xludf.DUMMYFUNCTION("""COMPUTED_VALUE"""),"Garcom Web")</f>
        <v>Garcom Web</v>
      </c>
      <c r="V7289" s="33">
        <f>IFERROR(__xludf.DUMMYFUNCTION("""COMPUTED_VALUE"""),1.0)</f>
        <v>1</v>
      </c>
      <c r="W7289" s="4" t="str">
        <f>IFERROR(__xludf.DUMMYFUNCTION("""COMPUTED_VALUE"""),"Garcom Web")</f>
        <v>Garcom Web</v>
      </c>
      <c r="X7289" s="33">
        <f>IFERROR(__xludf.DUMMYFUNCTION("""COMPUTED_VALUE"""),1.0)</f>
        <v>1</v>
      </c>
    </row>
    <row r="7290">
      <c r="K7290" s="4" t="str">
        <f>IFERROR(__xludf.DUMMYFUNCTION("""COMPUTED_VALUE"""),"JAKA BURGER")</f>
        <v>JAKA BURGER</v>
      </c>
      <c r="L7290" s="32">
        <f>IFERROR(__xludf.DUMMYFUNCTION("""COMPUTED_VALUE"""),2.0)</f>
        <v>2</v>
      </c>
      <c r="M7290" s="4" t="str">
        <f>IFERROR(__xludf.DUMMYFUNCTION("""COMPUTED_VALUE"""),"null")</f>
        <v>null</v>
      </c>
      <c r="N7290" s="33">
        <f>IFERROR(__xludf.DUMMYFUNCTION("""COMPUTED_VALUE"""),0.5)</f>
        <v>0.5</v>
      </c>
      <c r="O7290" s="4" t="str">
        <f>IFERROR(__xludf.DUMMYFUNCTION("""COMPUTED_VALUE"""),"null")</f>
        <v>null</v>
      </c>
      <c r="P7290" s="33">
        <f>IFERROR(__xludf.DUMMYFUNCTION("""COMPUTED_VALUE"""),0.5)</f>
        <v>0.5</v>
      </c>
      <c r="Q7290" s="4" t="str">
        <f>IFERROR(__xludf.DUMMYFUNCTION("""COMPUTED_VALUE"""),"null")</f>
        <v>null</v>
      </c>
      <c r="R7290" s="33">
        <f>IFERROR(__xludf.DUMMYFUNCTION("""COMPUTED_VALUE"""),0.5)</f>
        <v>0.5</v>
      </c>
      <c r="S7290" s="4" t="str">
        <f>IFERROR(__xludf.DUMMYFUNCTION("""COMPUTED_VALUE"""),"null")</f>
        <v>null</v>
      </c>
      <c r="T7290" s="33">
        <f>IFERROR(__xludf.DUMMYFUNCTION("""COMPUTED_VALUE"""),0.5)</f>
        <v>0.5</v>
      </c>
      <c r="U7290" s="4" t="str">
        <f>IFERROR(__xludf.DUMMYFUNCTION("""COMPUTED_VALUE"""),"Netcontroll Xmenu")</f>
        <v>Netcontroll Xmenu</v>
      </c>
      <c r="V7290" s="33">
        <f>IFERROR(__xludf.DUMMYFUNCTION("""COMPUTED_VALUE"""),1.0)</f>
        <v>1</v>
      </c>
      <c r="W7290" s="4" t="str">
        <f>IFERROR(__xludf.DUMMYFUNCTION("""COMPUTED_VALUE"""),"Netcontroll Xmenu")</f>
        <v>Netcontroll Xmenu</v>
      </c>
      <c r="X7290" s="33">
        <f>IFERROR(__xludf.DUMMYFUNCTION("""COMPUTED_VALUE"""),1.0)</f>
        <v>1</v>
      </c>
    </row>
    <row r="7291">
      <c r="K7291" s="4" t="str">
        <f>IFERROR(__xludf.DUMMYFUNCTION("""COMPUTED_VALUE"""),"JAMIES ITALIAN")</f>
        <v>JAMIES ITALIAN</v>
      </c>
      <c r="L7291" s="32">
        <f>IFERROR(__xludf.DUMMYFUNCTION("""COMPUTED_VALUE"""),2.0)</f>
        <v>2</v>
      </c>
      <c r="M7291" s="4" t="str">
        <f>IFERROR(__xludf.DUMMYFUNCTION("""COMPUTED_VALUE"""),"Ncr")</f>
        <v>Ncr</v>
      </c>
      <c r="N7291" s="33">
        <f>IFERROR(__xludf.DUMMYFUNCTION("""COMPUTED_VALUE"""),0.5)</f>
        <v>0.5</v>
      </c>
      <c r="O7291" s="4" t="str">
        <f>IFERROR(__xludf.DUMMYFUNCTION("""COMPUTED_VALUE"""),"Ncr")</f>
        <v>Ncr</v>
      </c>
      <c r="P7291" s="33">
        <f>IFERROR(__xludf.DUMMYFUNCTION("""COMPUTED_VALUE"""),0.5)</f>
        <v>0.5</v>
      </c>
      <c r="Q7291" s="4" t="str">
        <f>IFERROR(__xludf.DUMMYFUNCTION("""COMPUTED_VALUE"""),"Ncr")</f>
        <v>Ncr</v>
      </c>
      <c r="R7291" s="33">
        <f>IFERROR(__xludf.DUMMYFUNCTION("""COMPUTED_VALUE"""),0.5)</f>
        <v>0.5</v>
      </c>
      <c r="S7291" s="4" t="str">
        <f>IFERROR(__xludf.DUMMYFUNCTION("""COMPUTED_VALUE"""),"Ncr")</f>
        <v>Ncr</v>
      </c>
      <c r="T7291" s="33">
        <f>IFERROR(__xludf.DUMMYFUNCTION("""COMPUTED_VALUE"""),0.5)</f>
        <v>0.5</v>
      </c>
      <c r="U7291" s="4" t="str">
        <f>IFERROR(__xludf.DUMMYFUNCTION("""COMPUTED_VALUE"""),"Ncr")</f>
        <v>Ncr</v>
      </c>
      <c r="V7291" s="33">
        <f>IFERROR(__xludf.DUMMYFUNCTION("""COMPUTED_VALUE"""),0.5)</f>
        <v>0.5</v>
      </c>
      <c r="W7291" s="4" t="str">
        <f>IFERROR(__xludf.DUMMYFUNCTION("""COMPUTED_VALUE"""),"Ncr")</f>
        <v>Ncr</v>
      </c>
      <c r="X7291" s="33">
        <f>IFERROR(__xludf.DUMMYFUNCTION("""COMPUTED_VALUE"""),0.5)</f>
        <v>0.5</v>
      </c>
    </row>
    <row r="7292">
      <c r="K7292" s="4" t="str">
        <f>IFERROR(__xludf.DUMMYFUNCTION("""COMPUTED_VALUE"""),"JAPA EXPRESSO")</f>
        <v>JAPA EXPRESSO</v>
      </c>
      <c r="L7292" s="32">
        <f>IFERROR(__xludf.DUMMYFUNCTION("""COMPUTED_VALUE"""),2.0)</f>
        <v>2</v>
      </c>
      <c r="M7292" s="4" t="str">
        <f>IFERROR(__xludf.DUMMYFUNCTION("""COMPUTED_VALUE"""),"Anota Ai Solucoes Digitais S/a")</f>
        <v>Anota Ai Solucoes Digitais S/a</v>
      </c>
      <c r="N7292" s="33">
        <f>IFERROR(__xludf.DUMMYFUNCTION("""COMPUTED_VALUE"""),1.0)</f>
        <v>1</v>
      </c>
      <c r="O7292" s="4" t="str">
        <f>IFERROR(__xludf.DUMMYFUNCTION("""COMPUTED_VALUE"""),"Anota Ai Solucoes Digitais S/a")</f>
        <v>Anota Ai Solucoes Digitais S/a</v>
      </c>
      <c r="P7292" s="33">
        <f>IFERROR(__xludf.DUMMYFUNCTION("""COMPUTED_VALUE"""),1.0)</f>
        <v>1</v>
      </c>
      <c r="Q7292" s="4" t="str">
        <f>IFERROR(__xludf.DUMMYFUNCTION("""COMPUTED_VALUE"""),"Anota Ai Solucoes Digitais S/a")</f>
        <v>Anota Ai Solucoes Digitais S/a</v>
      </c>
      <c r="R7292" s="33">
        <f>IFERROR(__xludf.DUMMYFUNCTION("""COMPUTED_VALUE"""),1.0)</f>
        <v>1</v>
      </c>
      <c r="S7292" s="4" t="str">
        <f>IFERROR(__xludf.DUMMYFUNCTION("""COMPUTED_VALUE"""),"Anota Ai Solucoes Digitais S/a")</f>
        <v>Anota Ai Solucoes Digitais S/a</v>
      </c>
      <c r="T7292" s="33">
        <f>IFERROR(__xludf.DUMMYFUNCTION("""COMPUTED_VALUE"""),1.0)</f>
        <v>1</v>
      </c>
      <c r="U7292" s="4" t="str">
        <f>IFERROR(__xludf.DUMMYFUNCTION("""COMPUTED_VALUE"""),"null")</f>
        <v>null</v>
      </c>
      <c r="V7292" s="33">
        <f>IFERROR(__xludf.DUMMYFUNCTION("""COMPUTED_VALUE"""),0.5)</f>
        <v>0.5</v>
      </c>
      <c r="W7292" s="4" t="str">
        <f>IFERROR(__xludf.DUMMYFUNCTION("""COMPUTED_VALUE"""),"null")</f>
        <v>null</v>
      </c>
      <c r="X7292" s="33">
        <f>IFERROR(__xludf.DUMMYFUNCTION("""COMPUTED_VALUE"""),0.5)</f>
        <v>0.5</v>
      </c>
    </row>
    <row r="7293">
      <c r="K7293" s="4" t="str">
        <f>IFERROR(__xludf.DUMMYFUNCTION("""COMPUTED_VALUE"""),"JAPAKITOS - CONTA PAI")</f>
        <v>JAPAKITOS - CONTA PAI</v>
      </c>
      <c r="L7293" s="32">
        <f>IFERROR(__xludf.DUMMYFUNCTION("""COMPUTED_VALUE"""),2.0)</f>
        <v>2</v>
      </c>
      <c r="M7293" s="4" t="str">
        <f>IFERROR(__xludf.DUMMYFUNCTION("""COMPUTED_VALUE"""),"Saipos Serviços De Software")</f>
        <v>Saipos Serviços De Software</v>
      </c>
      <c r="N7293" s="33">
        <f>IFERROR(__xludf.DUMMYFUNCTION("""COMPUTED_VALUE"""),1.0)</f>
        <v>1</v>
      </c>
      <c r="O7293" s="4" t="str">
        <f>IFERROR(__xludf.DUMMYFUNCTION("""COMPUTED_VALUE"""),"Saipos Serviços De Software")</f>
        <v>Saipos Serviços De Software</v>
      </c>
      <c r="P7293" s="33">
        <f>IFERROR(__xludf.DUMMYFUNCTION("""COMPUTED_VALUE"""),1.0)</f>
        <v>1</v>
      </c>
      <c r="Q7293" s="4" t="str">
        <f>IFERROR(__xludf.DUMMYFUNCTION("""COMPUTED_VALUE"""),"Saipos Serviços De Software")</f>
        <v>Saipos Serviços De Software</v>
      </c>
      <c r="R7293" s="33">
        <f>IFERROR(__xludf.DUMMYFUNCTION("""COMPUTED_VALUE"""),1.0)</f>
        <v>1</v>
      </c>
      <c r="S7293" s="4" t="str">
        <f>IFERROR(__xludf.DUMMYFUNCTION("""COMPUTED_VALUE"""),"Saipos Serviços De Software")</f>
        <v>Saipos Serviços De Software</v>
      </c>
      <c r="T7293" s="33">
        <f>IFERROR(__xludf.DUMMYFUNCTION("""COMPUTED_VALUE"""),1.0)</f>
        <v>1</v>
      </c>
      <c r="U7293" s="4" t="str">
        <f>IFERROR(__xludf.DUMMYFUNCTION("""COMPUTED_VALUE"""),"Saipos Serviços De Software")</f>
        <v>Saipos Serviços De Software</v>
      </c>
      <c r="V7293" s="33">
        <f>IFERROR(__xludf.DUMMYFUNCTION("""COMPUTED_VALUE"""),1.0)</f>
        <v>1</v>
      </c>
      <c r="W7293" s="4" t="str">
        <f>IFERROR(__xludf.DUMMYFUNCTION("""COMPUTED_VALUE"""),"Saipos Serviços De Software")</f>
        <v>Saipos Serviços De Software</v>
      </c>
      <c r="X7293" s="33">
        <f>IFERROR(__xludf.DUMMYFUNCTION("""COMPUTED_VALUE"""),1.0)</f>
        <v>1</v>
      </c>
    </row>
    <row r="7294">
      <c r="K7294" s="4" t="str">
        <f>IFERROR(__xludf.DUMMYFUNCTION("""COMPUTED_VALUE"""),"JAPAMOC")</f>
        <v>JAPAMOC</v>
      </c>
      <c r="L7294" s="32">
        <f>IFERROR(__xludf.DUMMYFUNCTION("""COMPUTED_VALUE"""),2.0)</f>
        <v>2</v>
      </c>
      <c r="M7294" s="4" t="str">
        <f>IFERROR(__xludf.DUMMYFUNCTION("""COMPUTED_VALUE"""),"Consumer Soluções Em Tecnologia Ltda")</f>
        <v>Consumer Soluções Em Tecnologia Ltda</v>
      </c>
      <c r="N7294" s="33">
        <f>IFERROR(__xludf.DUMMYFUNCTION("""COMPUTED_VALUE"""),1.0)</f>
        <v>1</v>
      </c>
      <c r="O7294" s="4" t="str">
        <f>IFERROR(__xludf.DUMMYFUNCTION("""COMPUTED_VALUE"""),"Consumer Soluções Em Tecnologia Ltda")</f>
        <v>Consumer Soluções Em Tecnologia Ltda</v>
      </c>
      <c r="P7294" s="33">
        <f>IFERROR(__xludf.DUMMYFUNCTION("""COMPUTED_VALUE"""),1.0)</f>
        <v>1</v>
      </c>
      <c r="Q7294" s="4" t="str">
        <f>IFERROR(__xludf.DUMMYFUNCTION("""COMPUTED_VALUE"""),"Consumer Soluções Em Tecnologia Ltda")</f>
        <v>Consumer Soluções Em Tecnologia Ltda</v>
      </c>
      <c r="R7294" s="33">
        <f>IFERROR(__xludf.DUMMYFUNCTION("""COMPUTED_VALUE"""),1.0)</f>
        <v>1</v>
      </c>
      <c r="S7294" s="4" t="str">
        <f>IFERROR(__xludf.DUMMYFUNCTION("""COMPUTED_VALUE"""),"Consumer Soluções Em Tecnologia Ltda")</f>
        <v>Consumer Soluções Em Tecnologia Ltda</v>
      </c>
      <c r="T7294" s="33">
        <f>IFERROR(__xludf.DUMMYFUNCTION("""COMPUTED_VALUE"""),0.5)</f>
        <v>0.5</v>
      </c>
      <c r="U7294" s="4" t="str">
        <f>IFERROR(__xludf.DUMMYFUNCTION("""COMPUTED_VALUE"""),"Consumer Soluções Em Tecnologia Ltda")</f>
        <v>Consumer Soluções Em Tecnologia Ltda</v>
      </c>
      <c r="V7294" s="33">
        <f>IFERROR(__xludf.DUMMYFUNCTION("""COMPUTED_VALUE"""),1.0)</f>
        <v>1</v>
      </c>
      <c r="W7294" s="4" t="str">
        <f>IFERROR(__xludf.DUMMYFUNCTION("""COMPUTED_VALUE"""),"Consumer Soluções Em Tecnologia Ltda")</f>
        <v>Consumer Soluções Em Tecnologia Ltda</v>
      </c>
      <c r="X7294" s="33">
        <f>IFERROR(__xludf.DUMMYFUNCTION("""COMPUTED_VALUE"""),1.0)</f>
        <v>1</v>
      </c>
    </row>
    <row r="7295">
      <c r="K7295" s="4" t="str">
        <f>IFERROR(__xludf.DUMMYFUNCTION("""COMPUTED_VALUE"""),"JAPPA BOY - CONTA MARCA")</f>
        <v>JAPPA BOY - CONTA MARCA</v>
      </c>
      <c r="L7295" s="32">
        <f>IFERROR(__xludf.DUMMYFUNCTION("""COMPUTED_VALUE"""),2.0)</f>
        <v>2</v>
      </c>
      <c r="M7295" s="4" t="str">
        <f>IFERROR(__xludf.DUMMYFUNCTION("""COMPUTED_VALUE"""),"Bitbar")</f>
        <v>Bitbar</v>
      </c>
      <c r="N7295" s="33">
        <f>IFERROR(__xludf.DUMMYFUNCTION("""COMPUTED_VALUE"""),1.0)</f>
        <v>1</v>
      </c>
      <c r="O7295" s="4" t="str">
        <f>IFERROR(__xludf.DUMMYFUNCTION("""COMPUTED_VALUE"""),"null")</f>
        <v>null</v>
      </c>
      <c r="P7295" s="33">
        <f>IFERROR(__xludf.DUMMYFUNCTION("""COMPUTED_VALUE"""),0.5)</f>
        <v>0.5</v>
      </c>
      <c r="Q7295" s="4" t="str">
        <f>IFERROR(__xludf.DUMMYFUNCTION("""COMPUTED_VALUE"""),"Bitbar")</f>
        <v>Bitbar</v>
      </c>
      <c r="R7295" s="33">
        <f>IFERROR(__xludf.DUMMYFUNCTION("""COMPUTED_VALUE"""),1.0)</f>
        <v>1</v>
      </c>
      <c r="S7295" s="4" t="str">
        <f>IFERROR(__xludf.DUMMYFUNCTION("""COMPUTED_VALUE"""),"Bitbar")</f>
        <v>Bitbar</v>
      </c>
      <c r="T7295" s="33">
        <f>IFERROR(__xludf.DUMMYFUNCTION("""COMPUTED_VALUE"""),1.0)</f>
        <v>1</v>
      </c>
      <c r="U7295" s="4" t="str">
        <f>IFERROR(__xludf.DUMMYFUNCTION("""COMPUTED_VALUE"""),"Bitbar")</f>
        <v>Bitbar</v>
      </c>
      <c r="V7295" s="33">
        <f>IFERROR(__xludf.DUMMYFUNCTION("""COMPUTED_VALUE"""),1.0)</f>
        <v>1</v>
      </c>
      <c r="W7295" s="4" t="str">
        <f>IFERROR(__xludf.DUMMYFUNCTION("""COMPUTED_VALUE"""),"Bitbar")</f>
        <v>Bitbar</v>
      </c>
      <c r="X7295" s="33">
        <f>IFERROR(__xludf.DUMMYFUNCTION("""COMPUTED_VALUE"""),1.0)</f>
        <v>1</v>
      </c>
    </row>
    <row r="7296">
      <c r="K7296" s="4" t="str">
        <f>IFERROR(__xludf.DUMMYFUNCTION("""COMPUTED_VALUE"""),"JARDIM DE NAPOLI")</f>
        <v>JARDIM DE NAPOLI</v>
      </c>
      <c r="L7296" s="32">
        <f>IFERROR(__xludf.DUMMYFUNCTION("""COMPUTED_VALUE"""),2.0)</f>
        <v>2</v>
      </c>
      <c r="M7296" s="4" t="str">
        <f>IFERROR(__xludf.DUMMYFUNCTION("""COMPUTED_VALUE"""),"Cheff Solutions Tecnologia Brasil")</f>
        <v>Cheff Solutions Tecnologia Brasil</v>
      </c>
      <c r="N7296" s="33">
        <f>IFERROR(__xludf.DUMMYFUNCTION("""COMPUTED_VALUE"""),1.0)</f>
        <v>1</v>
      </c>
      <c r="O7296" s="4" t="str">
        <f>IFERROR(__xludf.DUMMYFUNCTION("""COMPUTED_VALUE"""),"Cheff Solutions Tecnologia Brasil")</f>
        <v>Cheff Solutions Tecnologia Brasil</v>
      </c>
      <c r="P7296" s="33">
        <f>IFERROR(__xludf.DUMMYFUNCTION("""COMPUTED_VALUE"""),1.0)</f>
        <v>1</v>
      </c>
      <c r="Q7296" s="4" t="str">
        <f>IFERROR(__xludf.DUMMYFUNCTION("""COMPUTED_VALUE"""),"Cheff Solutions Tecnologia Brasil")</f>
        <v>Cheff Solutions Tecnologia Brasil</v>
      </c>
      <c r="R7296" s="33">
        <f>IFERROR(__xludf.DUMMYFUNCTION("""COMPUTED_VALUE"""),1.0)</f>
        <v>1</v>
      </c>
      <c r="S7296" s="4" t="str">
        <f>IFERROR(__xludf.DUMMYFUNCTION("""COMPUTED_VALUE"""),"Cheff Solutions Tecnologia Brasil")</f>
        <v>Cheff Solutions Tecnologia Brasil</v>
      </c>
      <c r="T7296" s="33">
        <f>IFERROR(__xludf.DUMMYFUNCTION("""COMPUTED_VALUE"""),1.0)</f>
        <v>1</v>
      </c>
      <c r="U7296" s="4" t="str">
        <f>IFERROR(__xludf.DUMMYFUNCTION("""COMPUTED_VALUE"""),"Cheff Solutions Tecnologia Brasil")</f>
        <v>Cheff Solutions Tecnologia Brasil</v>
      </c>
      <c r="V7296" s="33">
        <f>IFERROR(__xludf.DUMMYFUNCTION("""COMPUTED_VALUE"""),1.0)</f>
        <v>1</v>
      </c>
      <c r="W7296" s="4" t="str">
        <f>IFERROR(__xludf.DUMMYFUNCTION("""COMPUTED_VALUE"""),"Cheff Solutions Tecnologia Brasil")</f>
        <v>Cheff Solutions Tecnologia Brasil</v>
      </c>
      <c r="X7296" s="33">
        <f>IFERROR(__xludf.DUMMYFUNCTION("""COMPUTED_VALUE"""),1.0)</f>
        <v>1</v>
      </c>
    </row>
    <row r="7297">
      <c r="K7297" s="4" t="str">
        <f>IFERROR(__xludf.DUMMYFUNCTION("""COMPUTED_VALUE"""),"JC KIDS - MARCA")</f>
        <v>JC KIDS - MARCA</v>
      </c>
      <c r="L7297" s="32">
        <f>IFERROR(__xludf.DUMMYFUNCTION("""COMPUTED_VALUE"""),2.0)</f>
        <v>2</v>
      </c>
      <c r="M7297" s="4" t="str">
        <f>IFERROR(__xludf.DUMMYFUNCTION("""COMPUTED_VALUE"""),"N/A (Not found)")</f>
        <v>N/A (Not found)</v>
      </c>
      <c r="N7297" s="33">
        <f>IFERROR(__xludf.DUMMYFUNCTION("""COMPUTED_VALUE"""),1.0)</f>
        <v>1</v>
      </c>
      <c r="O7297" s="4" t="str">
        <f>IFERROR(__xludf.DUMMYFUNCTION("""COMPUTED_VALUE"""),"N/A (Not found)")</f>
        <v>N/A (Not found)</v>
      </c>
      <c r="P7297" s="33">
        <f>IFERROR(__xludf.DUMMYFUNCTION("""COMPUTED_VALUE"""),1.0)</f>
        <v>1</v>
      </c>
      <c r="Q7297" s="4" t="str">
        <f>IFERROR(__xludf.DUMMYFUNCTION("""COMPUTED_VALUE"""),"N/A (Not found)")</f>
        <v>N/A (Not found)</v>
      </c>
      <c r="R7297" s="33">
        <f>IFERROR(__xludf.DUMMYFUNCTION("""COMPUTED_VALUE"""),1.0)</f>
        <v>1</v>
      </c>
      <c r="S7297" s="4" t="str">
        <f>IFERROR(__xludf.DUMMYFUNCTION("""COMPUTED_VALUE"""),"N/A (Not found)")</f>
        <v>N/A (Not found)</v>
      </c>
      <c r="T7297" s="33">
        <f>IFERROR(__xludf.DUMMYFUNCTION("""COMPUTED_VALUE"""),1.0)</f>
        <v>1</v>
      </c>
      <c r="U7297" s="4" t="str">
        <f>IFERROR(__xludf.DUMMYFUNCTION("""COMPUTED_VALUE"""),"N/A (Not found)")</f>
        <v>N/A (Not found)</v>
      </c>
      <c r="V7297" s="33">
        <f>IFERROR(__xludf.DUMMYFUNCTION("""COMPUTED_VALUE"""),1.0)</f>
        <v>1</v>
      </c>
      <c r="W7297" s="4" t="str">
        <f>IFERROR(__xludf.DUMMYFUNCTION("""COMPUTED_VALUE"""),"N/A (Not found)")</f>
        <v>N/A (Not found)</v>
      </c>
      <c r="X7297" s="33">
        <f>IFERROR(__xludf.DUMMYFUNCTION("""COMPUTED_VALUE"""),1.0)</f>
        <v>1</v>
      </c>
    </row>
    <row r="7298">
      <c r="K7298" s="4" t="str">
        <f>IFERROR(__xludf.DUMMYFUNCTION("""COMPUTED_VALUE"""),"JHONNY ACAI")</f>
        <v>JHONNY ACAI</v>
      </c>
      <c r="L7298" s="32">
        <f>IFERROR(__xludf.DUMMYFUNCTION("""COMPUTED_VALUE"""),2.0)</f>
        <v>2</v>
      </c>
      <c r="M7298" s="4" t="str">
        <f>IFERROR(__xludf.DUMMYFUNCTION("""COMPUTED_VALUE"""),"null")</f>
        <v>null</v>
      </c>
      <c r="N7298" s="33">
        <f>IFERROR(__xludf.DUMMYFUNCTION("""COMPUTED_VALUE"""),0.5)</f>
        <v>0.5</v>
      </c>
      <c r="O7298" s="4" t="str">
        <f>IFERROR(__xludf.DUMMYFUNCTION("""COMPUTED_VALUE"""),"null")</f>
        <v>null</v>
      </c>
      <c r="P7298" s="33">
        <f>IFERROR(__xludf.DUMMYFUNCTION("""COMPUTED_VALUE"""),0.5)</f>
        <v>0.5</v>
      </c>
      <c r="Q7298" s="4" t="str">
        <f>IFERROR(__xludf.DUMMYFUNCTION("""COMPUTED_VALUE"""),"Cardápio Web")</f>
        <v>Cardápio Web</v>
      </c>
      <c r="R7298" s="33">
        <f>IFERROR(__xludf.DUMMYFUNCTION("""COMPUTED_VALUE"""),1.0)</f>
        <v>1</v>
      </c>
      <c r="S7298" s="4" t="str">
        <f>IFERROR(__xludf.DUMMYFUNCTION("""COMPUTED_VALUE"""),"Cardápio Web")</f>
        <v>Cardápio Web</v>
      </c>
      <c r="T7298" s="33">
        <f>IFERROR(__xludf.DUMMYFUNCTION("""COMPUTED_VALUE"""),1.0)</f>
        <v>1</v>
      </c>
      <c r="U7298" s="4" t="str">
        <f>IFERROR(__xludf.DUMMYFUNCTION("""COMPUTED_VALUE"""),"Cardápio Web")</f>
        <v>Cardápio Web</v>
      </c>
      <c r="V7298" s="33">
        <f>IFERROR(__xludf.DUMMYFUNCTION("""COMPUTED_VALUE"""),1.0)</f>
        <v>1</v>
      </c>
      <c r="W7298" s="4" t="str">
        <f>IFERROR(__xludf.DUMMYFUNCTION("""COMPUTED_VALUE"""),"null")</f>
        <v>null</v>
      </c>
      <c r="X7298" s="33">
        <f>IFERROR(__xludf.DUMMYFUNCTION("""COMPUTED_VALUE"""),0.5)</f>
        <v>0.5</v>
      </c>
    </row>
    <row r="7299">
      <c r="K7299" s="4" t="str">
        <f>IFERROR(__xludf.DUMMYFUNCTION("""COMPUTED_VALUE"""),"JILO NA MANTEIGA")</f>
        <v>JILO NA MANTEIGA</v>
      </c>
      <c r="L7299" s="32">
        <f>IFERROR(__xludf.DUMMYFUNCTION("""COMPUTED_VALUE"""),2.0)</f>
        <v>2</v>
      </c>
      <c r="M7299" s="4" t="str">
        <f>IFERROR(__xludf.DUMMYFUNCTION("""COMPUTED_VALUE"""),"Jaxtech")</f>
        <v>Jaxtech</v>
      </c>
      <c r="N7299" s="33">
        <f>IFERROR(__xludf.DUMMYFUNCTION("""COMPUTED_VALUE"""),1.0)</f>
        <v>1</v>
      </c>
      <c r="O7299" s="4" t="str">
        <f>IFERROR(__xludf.DUMMYFUNCTION("""COMPUTED_VALUE"""),"Jaxtech")</f>
        <v>Jaxtech</v>
      </c>
      <c r="P7299" s="33">
        <f>IFERROR(__xludf.DUMMYFUNCTION("""COMPUTED_VALUE"""),1.0)</f>
        <v>1</v>
      </c>
      <c r="Q7299" s="4" t="str">
        <f>IFERROR(__xludf.DUMMYFUNCTION("""COMPUTED_VALUE"""),"Jaxtech")</f>
        <v>Jaxtech</v>
      </c>
      <c r="R7299" s="33">
        <f>IFERROR(__xludf.DUMMYFUNCTION("""COMPUTED_VALUE"""),1.0)</f>
        <v>1</v>
      </c>
      <c r="S7299" s="4" t="str">
        <f>IFERROR(__xludf.DUMMYFUNCTION("""COMPUTED_VALUE"""),"Jaxtech")</f>
        <v>Jaxtech</v>
      </c>
      <c r="T7299" s="33">
        <f>IFERROR(__xludf.DUMMYFUNCTION("""COMPUTED_VALUE"""),1.0)</f>
        <v>1</v>
      </c>
      <c r="U7299" s="4" t="str">
        <f>IFERROR(__xludf.DUMMYFUNCTION("""COMPUTED_VALUE"""),"Jaxtech")</f>
        <v>Jaxtech</v>
      </c>
      <c r="V7299" s="33">
        <f>IFERROR(__xludf.DUMMYFUNCTION("""COMPUTED_VALUE"""),1.0)</f>
        <v>1</v>
      </c>
      <c r="W7299" s="4" t="str">
        <f>IFERROR(__xludf.DUMMYFUNCTION("""COMPUTED_VALUE"""),"Jaxtech")</f>
        <v>Jaxtech</v>
      </c>
      <c r="X7299" s="33">
        <f>IFERROR(__xludf.DUMMYFUNCTION("""COMPUTED_VALUE"""),1.0)</f>
        <v>1</v>
      </c>
    </row>
    <row r="7300">
      <c r="K7300" s="4" t="str">
        <f>IFERROR(__xludf.DUMMYFUNCTION("""COMPUTED_VALUE"""),"JIMMY PETS - CONTA PAI")</f>
        <v>JIMMY PETS - CONTA PAI</v>
      </c>
      <c r="L7300" s="32">
        <f>IFERROR(__xludf.DUMMYFUNCTION("""COMPUTED_VALUE"""),2.0)</f>
        <v>2</v>
      </c>
      <c r="M7300" s="4" t="str">
        <f>IFERROR(__xludf.DUMMYFUNCTION("""COMPUTED_VALUE"""),"N/A (Not found)")</f>
        <v>N/A (Not found)</v>
      </c>
      <c r="N7300" s="33">
        <f>IFERROR(__xludf.DUMMYFUNCTION("""COMPUTED_VALUE"""),1.0)</f>
        <v>1</v>
      </c>
      <c r="O7300" s="4" t="str">
        <f>IFERROR(__xludf.DUMMYFUNCTION("""COMPUTED_VALUE"""),"N/A (Not found)")</f>
        <v>N/A (Not found)</v>
      </c>
      <c r="P7300" s="33">
        <f>IFERROR(__xludf.DUMMYFUNCTION("""COMPUTED_VALUE"""),1.0)</f>
        <v>1</v>
      </c>
      <c r="Q7300" s="4" t="str">
        <f>IFERROR(__xludf.DUMMYFUNCTION("""COMPUTED_VALUE"""),"N/A (Not found)")</f>
        <v>N/A (Not found)</v>
      </c>
      <c r="R7300" s="33">
        <f>IFERROR(__xludf.DUMMYFUNCTION("""COMPUTED_VALUE"""),1.0)</f>
        <v>1</v>
      </c>
      <c r="S7300" s="4" t="str">
        <f>IFERROR(__xludf.DUMMYFUNCTION("""COMPUTED_VALUE"""),"N/A (Not found)")</f>
        <v>N/A (Not found)</v>
      </c>
      <c r="T7300" s="33">
        <f>IFERROR(__xludf.DUMMYFUNCTION("""COMPUTED_VALUE"""),1.0)</f>
        <v>1</v>
      </c>
      <c r="U7300" s="4" t="str">
        <f>IFERROR(__xludf.DUMMYFUNCTION("""COMPUTED_VALUE"""),"N/A (Not found)")</f>
        <v>N/A (Not found)</v>
      </c>
      <c r="V7300" s="33">
        <f>IFERROR(__xludf.DUMMYFUNCTION("""COMPUTED_VALUE"""),1.0)</f>
        <v>1</v>
      </c>
      <c r="W7300" s="4" t="str">
        <f>IFERROR(__xludf.DUMMYFUNCTION("""COMPUTED_VALUE"""),"N/A (Not found)")</f>
        <v>N/A (Not found)</v>
      </c>
      <c r="X7300" s="33">
        <f>IFERROR(__xludf.DUMMYFUNCTION("""COMPUTED_VALUE"""),1.0)</f>
        <v>1</v>
      </c>
    </row>
    <row r="7301">
      <c r="K7301" s="4" t="str">
        <f>IFERROR(__xludf.DUMMYFUNCTION("""COMPUTED_VALUE"""),"JO-KEN POKE")</f>
        <v>JO-KEN POKE</v>
      </c>
      <c r="L7301" s="32">
        <f>IFERROR(__xludf.DUMMYFUNCTION("""COMPUTED_VALUE"""),2.0)</f>
        <v>2</v>
      </c>
      <c r="M7301" s="4" t="str">
        <f>IFERROR(__xludf.DUMMYFUNCTION("""COMPUTED_VALUE"""),"Saipos Serviços De Software")</f>
        <v>Saipos Serviços De Software</v>
      </c>
      <c r="N7301" s="33">
        <f>IFERROR(__xludf.DUMMYFUNCTION("""COMPUTED_VALUE"""),1.0)</f>
        <v>1</v>
      </c>
      <c r="O7301" s="4" t="str">
        <f>IFERROR(__xludf.DUMMYFUNCTION("""COMPUTED_VALUE"""),"Saipos Serviços De Software")</f>
        <v>Saipos Serviços De Software</v>
      </c>
      <c r="P7301" s="33">
        <f>IFERROR(__xludf.DUMMYFUNCTION("""COMPUTED_VALUE"""),0.5)</f>
        <v>0.5</v>
      </c>
      <c r="Q7301" s="4" t="str">
        <f>IFERROR(__xludf.DUMMYFUNCTION("""COMPUTED_VALUE"""),"Saipos Serviços De Software")</f>
        <v>Saipos Serviços De Software</v>
      </c>
      <c r="R7301" s="33">
        <f>IFERROR(__xludf.DUMMYFUNCTION("""COMPUTED_VALUE"""),0.5)</f>
        <v>0.5</v>
      </c>
      <c r="S7301" s="4" t="str">
        <f>IFERROR(__xludf.DUMMYFUNCTION("""COMPUTED_VALUE"""),"Saipos Serviços De Software")</f>
        <v>Saipos Serviços De Software</v>
      </c>
      <c r="T7301" s="33">
        <f>IFERROR(__xludf.DUMMYFUNCTION("""COMPUTED_VALUE"""),0.5)</f>
        <v>0.5</v>
      </c>
      <c r="U7301" s="4" t="str">
        <f>IFERROR(__xludf.DUMMYFUNCTION("""COMPUTED_VALUE"""),"Saipos Serviços De Software")</f>
        <v>Saipos Serviços De Software</v>
      </c>
      <c r="V7301" s="33">
        <f>IFERROR(__xludf.DUMMYFUNCTION("""COMPUTED_VALUE"""),1.0)</f>
        <v>1</v>
      </c>
      <c r="W7301" s="4" t="str">
        <f>IFERROR(__xludf.DUMMYFUNCTION("""COMPUTED_VALUE"""),"Saipos Serviços De Software")</f>
        <v>Saipos Serviços De Software</v>
      </c>
      <c r="X7301" s="33">
        <f>IFERROR(__xludf.DUMMYFUNCTION("""COMPUTED_VALUE"""),1.0)</f>
        <v>1</v>
      </c>
    </row>
    <row r="7302">
      <c r="K7302" s="4" t="str">
        <f>IFERROR(__xludf.DUMMYFUNCTION("""COMPUTED_VALUE"""),"JOA RISTOBAR - CONTA MARCA")</f>
        <v>JOA RISTOBAR - CONTA MARCA</v>
      </c>
      <c r="L7302" s="32">
        <f>IFERROR(__xludf.DUMMYFUNCTION("""COMPUTED_VALUE"""),2.0)</f>
        <v>2</v>
      </c>
      <c r="M7302" s="4" t="str">
        <f>IFERROR(__xludf.DUMMYFUNCTION("""COMPUTED_VALUE"""),"Agilizup Solucoes Ltda")</f>
        <v>Agilizup Solucoes Ltda</v>
      </c>
      <c r="N7302" s="33">
        <f>IFERROR(__xludf.DUMMYFUNCTION("""COMPUTED_VALUE"""),1.0)</f>
        <v>1</v>
      </c>
      <c r="O7302" s="4" t="str">
        <f>IFERROR(__xludf.DUMMYFUNCTION("""COMPUTED_VALUE"""),"Agilizup Solucoes Ltda")</f>
        <v>Agilizup Solucoes Ltda</v>
      </c>
      <c r="P7302" s="33">
        <f>IFERROR(__xludf.DUMMYFUNCTION("""COMPUTED_VALUE"""),1.0)</f>
        <v>1</v>
      </c>
      <c r="Q7302" s="4" t="str">
        <f>IFERROR(__xludf.DUMMYFUNCTION("""COMPUTED_VALUE"""),"Agilizup Solucoes Ltda")</f>
        <v>Agilizup Solucoes Ltda</v>
      </c>
      <c r="R7302" s="33">
        <f>IFERROR(__xludf.DUMMYFUNCTION("""COMPUTED_VALUE"""),1.0)</f>
        <v>1</v>
      </c>
      <c r="S7302" s="4" t="str">
        <f>IFERROR(__xludf.DUMMYFUNCTION("""COMPUTED_VALUE"""),"Agilizup Solucoes Ltda")</f>
        <v>Agilizup Solucoes Ltda</v>
      </c>
      <c r="T7302" s="33">
        <f>IFERROR(__xludf.DUMMYFUNCTION("""COMPUTED_VALUE"""),1.0)</f>
        <v>1</v>
      </c>
      <c r="U7302" s="4" t="str">
        <f>IFERROR(__xludf.DUMMYFUNCTION("""COMPUTED_VALUE"""),"Agilizup Solucoes Ltda")</f>
        <v>Agilizup Solucoes Ltda</v>
      </c>
      <c r="V7302" s="33">
        <f>IFERROR(__xludf.DUMMYFUNCTION("""COMPUTED_VALUE"""),1.0)</f>
        <v>1</v>
      </c>
      <c r="W7302" s="4" t="str">
        <f>IFERROR(__xludf.DUMMYFUNCTION("""COMPUTED_VALUE"""),"Agilizup Solucoes Ltda")</f>
        <v>Agilizup Solucoes Ltda</v>
      </c>
      <c r="X7302" s="33">
        <f>IFERROR(__xludf.DUMMYFUNCTION("""COMPUTED_VALUE"""),1.0)</f>
        <v>1</v>
      </c>
    </row>
    <row r="7303">
      <c r="K7303" s="4" t="str">
        <f>IFERROR(__xludf.DUMMYFUNCTION("""COMPUTED_VALUE"""),"JOBS BURGER LANCHES ACAI")</f>
        <v>JOBS BURGER LANCHES ACAI</v>
      </c>
      <c r="L7303" s="32">
        <f>IFERROR(__xludf.DUMMYFUNCTION("""COMPUTED_VALUE"""),2.0)</f>
        <v>2</v>
      </c>
      <c r="M7303" s="4" t="str">
        <f>IFERROR(__xludf.DUMMYFUNCTION("""COMPUTED_VALUE"""),"Cardápio Web")</f>
        <v>Cardápio Web</v>
      </c>
      <c r="N7303" s="33">
        <f>IFERROR(__xludf.DUMMYFUNCTION("""COMPUTED_VALUE"""),0.5)</f>
        <v>0.5</v>
      </c>
      <c r="O7303" s="4" t="str">
        <f>IFERROR(__xludf.DUMMYFUNCTION("""COMPUTED_VALUE"""),"Cardápio Web")</f>
        <v>Cardápio Web</v>
      </c>
      <c r="P7303" s="33">
        <f>IFERROR(__xludf.DUMMYFUNCTION("""COMPUTED_VALUE"""),1.0)</f>
        <v>1</v>
      </c>
      <c r="Q7303" s="4" t="str">
        <f>IFERROR(__xludf.DUMMYFUNCTION("""COMPUTED_VALUE"""),"Cardápio Web")</f>
        <v>Cardápio Web</v>
      </c>
      <c r="R7303" s="33">
        <f>IFERROR(__xludf.DUMMYFUNCTION("""COMPUTED_VALUE"""),1.0)</f>
        <v>1</v>
      </c>
      <c r="S7303" s="4" t="str">
        <f>IFERROR(__xludf.DUMMYFUNCTION("""COMPUTED_VALUE"""),"Cardápio Web")</f>
        <v>Cardápio Web</v>
      </c>
      <c r="T7303" s="33">
        <f>IFERROR(__xludf.DUMMYFUNCTION("""COMPUTED_VALUE"""),1.0)</f>
        <v>1</v>
      </c>
      <c r="U7303" s="4" t="str">
        <f>IFERROR(__xludf.DUMMYFUNCTION("""COMPUTED_VALUE"""),"Cardápio Web")</f>
        <v>Cardápio Web</v>
      </c>
      <c r="V7303" s="33">
        <f>IFERROR(__xludf.DUMMYFUNCTION("""COMPUTED_VALUE"""),1.0)</f>
        <v>1</v>
      </c>
      <c r="W7303" s="4" t="str">
        <f>IFERROR(__xludf.DUMMYFUNCTION("""COMPUTED_VALUE"""),"Cardápio Web")</f>
        <v>Cardápio Web</v>
      </c>
      <c r="X7303" s="33">
        <f>IFERROR(__xludf.DUMMYFUNCTION("""COMPUTED_VALUE"""),1.0)</f>
        <v>1</v>
      </c>
    </row>
    <row r="7304">
      <c r="K7304" s="4" t="str">
        <f>IFERROR(__xludf.DUMMYFUNCTION("""COMPUTED_VALUE"""),"JOE HAMBURGUERIA ARTESANAL RS")</f>
        <v>JOE HAMBURGUERIA ARTESANAL RS</v>
      </c>
      <c r="L7304" s="32">
        <f>IFERROR(__xludf.DUMMYFUNCTION("""COMPUTED_VALUE"""),2.0)</f>
        <v>2</v>
      </c>
      <c r="M7304" s="4" t="str">
        <f>IFERROR(__xludf.DUMMYFUNCTION("""COMPUTED_VALUE"""),"Saipos Serviços De Software")</f>
        <v>Saipos Serviços De Software</v>
      </c>
      <c r="N7304" s="33">
        <f>IFERROR(__xludf.DUMMYFUNCTION("""COMPUTED_VALUE"""),1.0)</f>
        <v>1</v>
      </c>
      <c r="O7304" s="4" t="str">
        <f>IFERROR(__xludf.DUMMYFUNCTION("""COMPUTED_VALUE"""),"Saipos Serviços De Software")</f>
        <v>Saipos Serviços De Software</v>
      </c>
      <c r="P7304" s="33">
        <f>IFERROR(__xludf.DUMMYFUNCTION("""COMPUTED_VALUE"""),1.0)</f>
        <v>1</v>
      </c>
      <c r="Q7304" s="4" t="str">
        <f>IFERROR(__xludf.DUMMYFUNCTION("""COMPUTED_VALUE"""),"Saipos Serviços De Software")</f>
        <v>Saipos Serviços De Software</v>
      </c>
      <c r="R7304" s="33">
        <f>IFERROR(__xludf.DUMMYFUNCTION("""COMPUTED_VALUE"""),1.0)</f>
        <v>1</v>
      </c>
      <c r="S7304" s="4" t="str">
        <f>IFERROR(__xludf.DUMMYFUNCTION("""COMPUTED_VALUE"""),"Saipos Serviços De Software")</f>
        <v>Saipos Serviços De Software</v>
      </c>
      <c r="T7304" s="33">
        <f>IFERROR(__xludf.DUMMYFUNCTION("""COMPUTED_VALUE"""),1.0)</f>
        <v>1</v>
      </c>
      <c r="U7304" s="4" t="str">
        <f>IFERROR(__xludf.DUMMYFUNCTION("""COMPUTED_VALUE"""),"Saipos Serviços De Software")</f>
        <v>Saipos Serviços De Software</v>
      </c>
      <c r="V7304" s="33">
        <f>IFERROR(__xludf.DUMMYFUNCTION("""COMPUTED_VALUE"""),1.0)</f>
        <v>1</v>
      </c>
      <c r="W7304" s="4" t="str">
        <f>IFERROR(__xludf.DUMMYFUNCTION("""COMPUTED_VALUE"""),"Saipos Serviços De Software")</f>
        <v>Saipos Serviços De Software</v>
      </c>
      <c r="X7304" s="33">
        <f>IFERROR(__xludf.DUMMYFUNCTION("""COMPUTED_VALUE"""),1.0)</f>
        <v>1</v>
      </c>
    </row>
    <row r="7305">
      <c r="K7305" s="4" t="str">
        <f>IFERROR(__xludf.DUMMYFUNCTION("""COMPUTED_VALUE"""),"JOHN BURGER - CONTA MARCA")</f>
        <v>JOHN BURGER - CONTA MARCA</v>
      </c>
      <c r="L7305" s="32">
        <f>IFERROR(__xludf.DUMMYFUNCTION("""COMPUTED_VALUE"""),2.0)</f>
        <v>2</v>
      </c>
      <c r="M7305" s="4" t="str">
        <f>IFERROR(__xludf.DUMMYFUNCTION("""COMPUTED_VALUE"""),"Ncr")</f>
        <v>Ncr</v>
      </c>
      <c r="N7305" s="33">
        <f>IFERROR(__xludf.DUMMYFUNCTION("""COMPUTED_VALUE"""),1.0)</f>
        <v>1</v>
      </c>
      <c r="O7305" s="4" t="str">
        <f>IFERROR(__xludf.DUMMYFUNCTION("""COMPUTED_VALUE"""),"Ncr")</f>
        <v>Ncr</v>
      </c>
      <c r="P7305" s="33">
        <f>IFERROR(__xludf.DUMMYFUNCTION("""COMPUTED_VALUE"""),0.5)</f>
        <v>0.5</v>
      </c>
      <c r="Q7305" s="4" t="str">
        <f>IFERROR(__xludf.DUMMYFUNCTION("""COMPUTED_VALUE"""),"null")</f>
        <v>null</v>
      </c>
      <c r="R7305" s="33">
        <f>IFERROR(__xludf.DUMMYFUNCTION("""COMPUTED_VALUE"""),1.0)</f>
        <v>1</v>
      </c>
      <c r="S7305" s="4" t="str">
        <f>IFERROR(__xludf.DUMMYFUNCTION("""COMPUTED_VALUE"""),"Ncr")</f>
        <v>Ncr</v>
      </c>
      <c r="T7305" s="33">
        <f>IFERROR(__xludf.DUMMYFUNCTION("""COMPUTED_VALUE"""),0.5)</f>
        <v>0.5</v>
      </c>
      <c r="U7305" s="4" t="str">
        <f>IFERROR(__xludf.DUMMYFUNCTION("""COMPUTED_VALUE"""),"Ncr")</f>
        <v>Ncr</v>
      </c>
      <c r="V7305" s="33">
        <f>IFERROR(__xludf.DUMMYFUNCTION("""COMPUTED_VALUE"""),0.5)</f>
        <v>0.5</v>
      </c>
      <c r="W7305" s="4" t="str">
        <f>IFERROR(__xludf.DUMMYFUNCTION("""COMPUTED_VALUE"""),"null")</f>
        <v>null</v>
      </c>
      <c r="X7305" s="33">
        <f>IFERROR(__xludf.DUMMYFUNCTION("""COMPUTED_VALUE"""),1.0)</f>
        <v>1</v>
      </c>
    </row>
    <row r="7306">
      <c r="K7306" s="4" t="str">
        <f>IFERROR(__xludf.DUMMYFUNCTION("""COMPUTED_VALUE"""),"JOHNS")</f>
        <v>JOHNS</v>
      </c>
      <c r="L7306" s="32">
        <f>IFERROR(__xludf.DUMMYFUNCTION("""COMPUTED_VALUE"""),2.0)</f>
        <v>2</v>
      </c>
      <c r="M7306" s="4" t="str">
        <f>IFERROR(__xludf.DUMMYFUNCTION("""COMPUTED_VALUE"""),"Saipos Serviços De Software")</f>
        <v>Saipos Serviços De Software</v>
      </c>
      <c r="N7306" s="33">
        <f>IFERROR(__xludf.DUMMYFUNCTION("""COMPUTED_VALUE"""),1.0)</f>
        <v>1</v>
      </c>
      <c r="O7306" s="4" t="str">
        <f>IFERROR(__xludf.DUMMYFUNCTION("""COMPUTED_VALUE"""),"Saipos Serviços De Software")</f>
        <v>Saipos Serviços De Software</v>
      </c>
      <c r="P7306" s="33">
        <f>IFERROR(__xludf.DUMMYFUNCTION("""COMPUTED_VALUE"""),1.0)</f>
        <v>1</v>
      </c>
      <c r="Q7306" s="4" t="str">
        <f>IFERROR(__xludf.DUMMYFUNCTION("""COMPUTED_VALUE"""),"Saipos Serviços De Software")</f>
        <v>Saipos Serviços De Software</v>
      </c>
      <c r="R7306" s="33">
        <f>IFERROR(__xludf.DUMMYFUNCTION("""COMPUTED_VALUE"""),1.0)</f>
        <v>1</v>
      </c>
      <c r="S7306" s="4" t="str">
        <f>IFERROR(__xludf.DUMMYFUNCTION("""COMPUTED_VALUE"""),"Saipos Serviços De Software")</f>
        <v>Saipos Serviços De Software</v>
      </c>
      <c r="T7306" s="33">
        <f>IFERROR(__xludf.DUMMYFUNCTION("""COMPUTED_VALUE"""),1.0)</f>
        <v>1</v>
      </c>
      <c r="U7306" s="4" t="str">
        <f>IFERROR(__xludf.DUMMYFUNCTION("""COMPUTED_VALUE"""),"Saipos Serviços De Software")</f>
        <v>Saipos Serviços De Software</v>
      </c>
      <c r="V7306" s="33">
        <f>IFERROR(__xludf.DUMMYFUNCTION("""COMPUTED_VALUE"""),1.0)</f>
        <v>1</v>
      </c>
      <c r="W7306" s="4" t="str">
        <f>IFERROR(__xludf.DUMMYFUNCTION("""COMPUTED_VALUE"""),"Saipos Serviços De Software")</f>
        <v>Saipos Serviços De Software</v>
      </c>
      <c r="X7306" s="33">
        <f>IFERROR(__xludf.DUMMYFUNCTION("""COMPUTED_VALUE"""),1.0)</f>
        <v>1</v>
      </c>
    </row>
    <row r="7307">
      <c r="K7307" s="4" t="str">
        <f>IFERROR(__xludf.DUMMYFUNCTION("""COMPUTED_VALUE"""),"JOLU SUSHI")</f>
        <v>JOLU SUSHI</v>
      </c>
      <c r="L7307" s="32">
        <f>IFERROR(__xludf.DUMMYFUNCTION("""COMPUTED_VALUE"""),2.0)</f>
        <v>2</v>
      </c>
      <c r="M7307" s="4" t="str">
        <f>IFERROR(__xludf.DUMMYFUNCTION("""COMPUTED_VALUE"""),"Stone Co.")</f>
        <v>Stone Co.</v>
      </c>
      <c r="N7307" s="33">
        <f>IFERROR(__xludf.DUMMYFUNCTION("""COMPUTED_VALUE"""),1.0)</f>
        <v>1</v>
      </c>
      <c r="O7307" s="4" t="str">
        <f>IFERROR(__xludf.DUMMYFUNCTION("""COMPUTED_VALUE"""),"Stone Co.")</f>
        <v>Stone Co.</v>
      </c>
      <c r="P7307" s="33">
        <f>IFERROR(__xludf.DUMMYFUNCTION("""COMPUTED_VALUE"""),1.0)</f>
        <v>1</v>
      </c>
      <c r="Q7307" s="4" t="str">
        <f>IFERROR(__xludf.DUMMYFUNCTION("""COMPUTED_VALUE"""),"Stone Co.")</f>
        <v>Stone Co.</v>
      </c>
      <c r="R7307" s="33">
        <f>IFERROR(__xludf.DUMMYFUNCTION("""COMPUTED_VALUE"""),1.0)</f>
        <v>1</v>
      </c>
      <c r="S7307" s="4" t="str">
        <f>IFERROR(__xludf.DUMMYFUNCTION("""COMPUTED_VALUE"""),"Stone Co.")</f>
        <v>Stone Co.</v>
      </c>
      <c r="T7307" s="33">
        <f>IFERROR(__xludf.DUMMYFUNCTION("""COMPUTED_VALUE"""),1.0)</f>
        <v>1</v>
      </c>
      <c r="U7307" s="4" t="str">
        <f>IFERROR(__xludf.DUMMYFUNCTION("""COMPUTED_VALUE"""),"Stone Co.")</f>
        <v>Stone Co.</v>
      </c>
      <c r="V7307" s="33">
        <f>IFERROR(__xludf.DUMMYFUNCTION("""COMPUTED_VALUE"""),1.0)</f>
        <v>1</v>
      </c>
      <c r="W7307" s="4" t="str">
        <f>IFERROR(__xludf.DUMMYFUNCTION("""COMPUTED_VALUE"""),"Stone Co.")</f>
        <v>Stone Co.</v>
      </c>
      <c r="X7307" s="33">
        <f>IFERROR(__xludf.DUMMYFUNCTION("""COMPUTED_VALUE"""),1.0)</f>
        <v>1</v>
      </c>
    </row>
    <row r="7308">
      <c r="K7308" s="4" t="str">
        <f>IFERROR(__xludf.DUMMYFUNCTION("""COMPUTED_VALUE"""),"JOLU SUSHI PE")</f>
        <v>JOLU SUSHI PE</v>
      </c>
      <c r="L7308" s="32">
        <f>IFERROR(__xludf.DUMMYFUNCTION("""COMPUTED_VALUE"""),2.0)</f>
        <v>2</v>
      </c>
      <c r="M7308" s="4" t="str">
        <f>IFERROR(__xludf.DUMMYFUNCTION("""COMPUTED_VALUE"""),"Stone Co.")</f>
        <v>Stone Co.</v>
      </c>
      <c r="N7308" s="33">
        <f>IFERROR(__xludf.DUMMYFUNCTION("""COMPUTED_VALUE"""),1.0)</f>
        <v>1</v>
      </c>
      <c r="O7308" s="4" t="str">
        <f>IFERROR(__xludf.DUMMYFUNCTION("""COMPUTED_VALUE"""),"Stone Co.")</f>
        <v>Stone Co.</v>
      </c>
      <c r="P7308" s="33">
        <f>IFERROR(__xludf.DUMMYFUNCTION("""COMPUTED_VALUE"""),1.0)</f>
        <v>1</v>
      </c>
      <c r="Q7308" s="4" t="str">
        <f>IFERROR(__xludf.DUMMYFUNCTION("""COMPUTED_VALUE"""),"Stone Co.")</f>
        <v>Stone Co.</v>
      </c>
      <c r="R7308" s="33">
        <f>IFERROR(__xludf.DUMMYFUNCTION("""COMPUTED_VALUE"""),1.0)</f>
        <v>1</v>
      </c>
      <c r="S7308" s="4" t="str">
        <f>IFERROR(__xludf.DUMMYFUNCTION("""COMPUTED_VALUE"""),"Stone Co.")</f>
        <v>Stone Co.</v>
      </c>
      <c r="T7308" s="33">
        <f>IFERROR(__xludf.DUMMYFUNCTION("""COMPUTED_VALUE"""),1.0)</f>
        <v>1</v>
      </c>
      <c r="U7308" s="4" t="str">
        <f>IFERROR(__xludf.DUMMYFUNCTION("""COMPUTED_VALUE"""),"Stone Co.")</f>
        <v>Stone Co.</v>
      </c>
      <c r="V7308" s="33">
        <f>IFERROR(__xludf.DUMMYFUNCTION("""COMPUTED_VALUE"""),1.0)</f>
        <v>1</v>
      </c>
      <c r="W7308" s="4" t="str">
        <f>IFERROR(__xludf.DUMMYFUNCTION("""COMPUTED_VALUE"""),"Stone Co.")</f>
        <v>Stone Co.</v>
      </c>
      <c r="X7308" s="33">
        <f>IFERROR(__xludf.DUMMYFUNCTION("""COMPUTED_VALUE"""),1.0)</f>
        <v>1</v>
      </c>
    </row>
    <row r="7309">
      <c r="K7309" s="4" t="str">
        <f>IFERROR(__xludf.DUMMYFUNCTION("""COMPUTED_VALUE"""),"JONS PIZZA - MANAUS")</f>
        <v>JONS PIZZA - MANAUS</v>
      </c>
      <c r="L7309" s="32">
        <f>IFERROR(__xludf.DUMMYFUNCTION("""COMPUTED_VALUE"""),2.0)</f>
        <v>2</v>
      </c>
      <c r="M7309" s="4" t="str">
        <f>IFERROR(__xludf.DUMMYFUNCTION("""COMPUTED_VALUE"""),"Cityfoods Ltda")</f>
        <v>Cityfoods Ltda</v>
      </c>
      <c r="N7309" s="33">
        <f>IFERROR(__xludf.DUMMYFUNCTION("""COMPUTED_VALUE"""),1.0)</f>
        <v>1</v>
      </c>
      <c r="O7309" s="4" t="str">
        <f>IFERROR(__xludf.DUMMYFUNCTION("""COMPUTED_VALUE"""),"Cityfoods Ltda")</f>
        <v>Cityfoods Ltda</v>
      </c>
      <c r="P7309" s="33">
        <f>IFERROR(__xludf.DUMMYFUNCTION("""COMPUTED_VALUE"""),1.0)</f>
        <v>1</v>
      </c>
      <c r="Q7309" s="4" t="str">
        <f>IFERROR(__xludf.DUMMYFUNCTION("""COMPUTED_VALUE"""),"Cityfoods Ltda")</f>
        <v>Cityfoods Ltda</v>
      </c>
      <c r="R7309" s="33">
        <f>IFERROR(__xludf.DUMMYFUNCTION("""COMPUTED_VALUE"""),1.0)</f>
        <v>1</v>
      </c>
      <c r="S7309" s="4" t="str">
        <f>IFERROR(__xludf.DUMMYFUNCTION("""COMPUTED_VALUE"""),"null")</f>
        <v>null</v>
      </c>
      <c r="T7309" s="33">
        <f>IFERROR(__xludf.DUMMYFUNCTION("""COMPUTED_VALUE"""),0.5)</f>
        <v>0.5</v>
      </c>
      <c r="U7309" s="4" t="str">
        <f>IFERROR(__xludf.DUMMYFUNCTION("""COMPUTED_VALUE"""),"Cityfoods Ltda")</f>
        <v>Cityfoods Ltda</v>
      </c>
      <c r="V7309" s="33">
        <f>IFERROR(__xludf.DUMMYFUNCTION("""COMPUTED_VALUE"""),1.0)</f>
        <v>1</v>
      </c>
      <c r="W7309" s="4" t="str">
        <f>IFERROR(__xludf.DUMMYFUNCTION("""COMPUTED_VALUE"""),"Cityfoods Ltda")</f>
        <v>Cityfoods Ltda</v>
      </c>
      <c r="X7309" s="33">
        <f>IFERROR(__xludf.DUMMYFUNCTION("""COMPUTED_VALUE"""),1.0)</f>
        <v>1</v>
      </c>
    </row>
    <row r="7310">
      <c r="K7310" s="4" t="str">
        <f>IFERROR(__xludf.DUMMYFUNCTION("""COMPUTED_VALUE"""),"JOTAS BURGERS MANAUS")</f>
        <v>JOTAS BURGERS MANAUS</v>
      </c>
      <c r="L7310" s="32">
        <f>IFERROR(__xludf.DUMMYFUNCTION("""COMPUTED_VALUE"""),2.0)</f>
        <v>2</v>
      </c>
      <c r="M7310" s="4" t="str">
        <f>IFERROR(__xludf.DUMMYFUNCTION("""COMPUTED_VALUE"""),"Vekttor")</f>
        <v>Vekttor</v>
      </c>
      <c r="N7310" s="33">
        <f>IFERROR(__xludf.DUMMYFUNCTION("""COMPUTED_VALUE"""),1.0)</f>
        <v>1</v>
      </c>
      <c r="O7310" s="4" t="str">
        <f>IFERROR(__xludf.DUMMYFUNCTION("""COMPUTED_VALUE"""),"Vekttor")</f>
        <v>Vekttor</v>
      </c>
      <c r="P7310" s="33">
        <f>IFERROR(__xludf.DUMMYFUNCTION("""COMPUTED_VALUE"""),1.0)</f>
        <v>1</v>
      </c>
      <c r="Q7310" s="4" t="str">
        <f>IFERROR(__xludf.DUMMYFUNCTION("""COMPUTED_VALUE"""),"Vekttor")</f>
        <v>Vekttor</v>
      </c>
      <c r="R7310" s="33">
        <f>IFERROR(__xludf.DUMMYFUNCTION("""COMPUTED_VALUE"""),1.0)</f>
        <v>1</v>
      </c>
      <c r="S7310" s="4" t="str">
        <f>IFERROR(__xludf.DUMMYFUNCTION("""COMPUTED_VALUE"""),"Vekttor")</f>
        <v>Vekttor</v>
      </c>
      <c r="T7310" s="33">
        <f>IFERROR(__xludf.DUMMYFUNCTION("""COMPUTED_VALUE"""),1.0)</f>
        <v>1</v>
      </c>
      <c r="U7310" s="4" t="str">
        <f>IFERROR(__xludf.DUMMYFUNCTION("""COMPUTED_VALUE"""),"Vekttor")</f>
        <v>Vekttor</v>
      </c>
      <c r="V7310" s="33">
        <f>IFERROR(__xludf.DUMMYFUNCTION("""COMPUTED_VALUE"""),1.0)</f>
        <v>1</v>
      </c>
      <c r="W7310" s="4" t="str">
        <f>IFERROR(__xludf.DUMMYFUNCTION("""COMPUTED_VALUE"""),"Vekttor")</f>
        <v>Vekttor</v>
      </c>
      <c r="X7310" s="33">
        <f>IFERROR(__xludf.DUMMYFUNCTION("""COMPUTED_VALUE"""),1.0)</f>
        <v>1</v>
      </c>
    </row>
    <row r="7311">
      <c r="K7311" s="4" t="str">
        <f>IFERROR(__xludf.DUMMYFUNCTION("""COMPUTED_VALUE"""),"JOY JOY - CREATIVE SUSHI")</f>
        <v>JOY JOY - CREATIVE SUSHI</v>
      </c>
      <c r="L7311" s="32">
        <f>IFERROR(__xludf.DUMMYFUNCTION("""COMPUTED_VALUE"""),2.0)</f>
        <v>2</v>
      </c>
      <c r="M7311" s="4" t="str">
        <f>IFERROR(__xludf.DUMMYFUNCTION("""COMPUTED_VALUE"""),"Saipos Serviços De Software")</f>
        <v>Saipos Serviços De Software</v>
      </c>
      <c r="N7311" s="33">
        <f>IFERROR(__xludf.DUMMYFUNCTION("""COMPUTED_VALUE"""),1.0)</f>
        <v>1</v>
      </c>
      <c r="O7311" s="4" t="str">
        <f>IFERROR(__xludf.DUMMYFUNCTION("""COMPUTED_VALUE"""),"Saipos Serviços De Software")</f>
        <v>Saipos Serviços De Software</v>
      </c>
      <c r="P7311" s="33">
        <f>IFERROR(__xludf.DUMMYFUNCTION("""COMPUTED_VALUE"""),1.0)</f>
        <v>1</v>
      </c>
      <c r="Q7311" s="4" t="str">
        <f>IFERROR(__xludf.DUMMYFUNCTION("""COMPUTED_VALUE"""),"Saipos Serviços De Software")</f>
        <v>Saipos Serviços De Software</v>
      </c>
      <c r="R7311" s="33">
        <f>IFERROR(__xludf.DUMMYFUNCTION("""COMPUTED_VALUE"""),1.0)</f>
        <v>1</v>
      </c>
      <c r="S7311" s="4" t="str">
        <f>IFERROR(__xludf.DUMMYFUNCTION("""COMPUTED_VALUE"""),"Saipos Serviços De Software")</f>
        <v>Saipos Serviços De Software</v>
      </c>
      <c r="T7311" s="33">
        <f>IFERROR(__xludf.DUMMYFUNCTION("""COMPUTED_VALUE"""),1.0)</f>
        <v>1</v>
      </c>
      <c r="U7311" s="4" t="str">
        <f>IFERROR(__xludf.DUMMYFUNCTION("""COMPUTED_VALUE"""),"Saipos Serviços De Software")</f>
        <v>Saipos Serviços De Software</v>
      </c>
      <c r="V7311" s="33">
        <f>IFERROR(__xludf.DUMMYFUNCTION("""COMPUTED_VALUE"""),1.0)</f>
        <v>1</v>
      </c>
      <c r="W7311" s="4" t="str">
        <f>IFERROR(__xludf.DUMMYFUNCTION("""COMPUTED_VALUE"""),"Saipos Serviços De Software")</f>
        <v>Saipos Serviços De Software</v>
      </c>
      <c r="X7311" s="33">
        <f>IFERROR(__xludf.DUMMYFUNCTION("""COMPUTED_VALUE"""),1.0)</f>
        <v>1</v>
      </c>
    </row>
    <row r="7312">
      <c r="K7312" s="4" t="str">
        <f>IFERROR(__xludf.DUMMYFUNCTION("""COMPUTED_VALUE"""),"JUAH NATAL")</f>
        <v>JUAH NATAL</v>
      </c>
      <c r="L7312" s="32">
        <f>IFERROR(__xludf.DUMMYFUNCTION("""COMPUTED_VALUE"""),2.0)</f>
        <v>2</v>
      </c>
      <c r="M7312" s="4" t="str">
        <f>IFERROR(__xludf.DUMMYFUNCTION("""COMPUTED_VALUE"""),"Menew - Linx")</f>
        <v>Menew - Linx</v>
      </c>
      <c r="N7312" s="33">
        <f>IFERROR(__xludf.DUMMYFUNCTION("""COMPUTED_VALUE"""),1.0)</f>
        <v>1</v>
      </c>
      <c r="O7312" s="4" t="str">
        <f>IFERROR(__xludf.DUMMYFUNCTION("""COMPUTED_VALUE"""),"Menew - Linx")</f>
        <v>Menew - Linx</v>
      </c>
      <c r="P7312" s="33">
        <f>IFERROR(__xludf.DUMMYFUNCTION("""COMPUTED_VALUE"""),1.0)</f>
        <v>1</v>
      </c>
      <c r="Q7312" s="4" t="str">
        <f>IFERROR(__xludf.DUMMYFUNCTION("""COMPUTED_VALUE"""),"Menew - Linx")</f>
        <v>Menew - Linx</v>
      </c>
      <c r="R7312" s="33">
        <f>IFERROR(__xludf.DUMMYFUNCTION("""COMPUTED_VALUE"""),1.0)</f>
        <v>1</v>
      </c>
      <c r="S7312" s="4" t="str">
        <f>IFERROR(__xludf.DUMMYFUNCTION("""COMPUTED_VALUE"""),"Menew - Linx")</f>
        <v>Menew - Linx</v>
      </c>
      <c r="T7312" s="33">
        <f>IFERROR(__xludf.DUMMYFUNCTION("""COMPUTED_VALUE"""),1.0)</f>
        <v>1</v>
      </c>
      <c r="U7312" s="4" t="str">
        <f>IFERROR(__xludf.DUMMYFUNCTION("""COMPUTED_VALUE"""),"Menew - Linx")</f>
        <v>Menew - Linx</v>
      </c>
      <c r="V7312" s="33">
        <f>IFERROR(__xludf.DUMMYFUNCTION("""COMPUTED_VALUE"""),1.0)</f>
        <v>1</v>
      </c>
      <c r="W7312" s="4" t="str">
        <f>IFERROR(__xludf.DUMMYFUNCTION("""COMPUTED_VALUE"""),"Menew - Linx")</f>
        <v>Menew - Linx</v>
      </c>
      <c r="X7312" s="33">
        <f>IFERROR(__xludf.DUMMYFUNCTION("""COMPUTED_VALUE"""),1.0)</f>
        <v>1</v>
      </c>
    </row>
    <row r="7313">
      <c r="K7313" s="4" t="str">
        <f>IFERROR(__xludf.DUMMYFUNCTION("""COMPUTED_VALUE"""),"JUCA PATO PIZZARIA - CONTA MARCA")</f>
        <v>JUCA PATO PIZZARIA - CONTA MARCA</v>
      </c>
      <c r="L7313" s="32">
        <f>IFERROR(__xludf.DUMMYFUNCTION("""COMPUTED_VALUE"""),2.0)</f>
        <v>2</v>
      </c>
      <c r="M7313" s="4" t="str">
        <f>IFERROR(__xludf.DUMMYFUNCTION("""COMPUTED_VALUE"""),"Bitbar")</f>
        <v>Bitbar</v>
      </c>
      <c r="N7313" s="33">
        <f>IFERROR(__xludf.DUMMYFUNCTION("""COMPUTED_VALUE"""),1.0)</f>
        <v>1</v>
      </c>
      <c r="O7313" s="4" t="str">
        <f>IFERROR(__xludf.DUMMYFUNCTION("""COMPUTED_VALUE"""),"Bitbar")</f>
        <v>Bitbar</v>
      </c>
      <c r="P7313" s="33">
        <f>IFERROR(__xludf.DUMMYFUNCTION("""COMPUTED_VALUE"""),1.0)</f>
        <v>1</v>
      </c>
      <c r="Q7313" s="4" t="str">
        <f>IFERROR(__xludf.DUMMYFUNCTION("""COMPUTED_VALUE"""),"Bitbar")</f>
        <v>Bitbar</v>
      </c>
      <c r="R7313" s="33">
        <f>IFERROR(__xludf.DUMMYFUNCTION("""COMPUTED_VALUE"""),1.0)</f>
        <v>1</v>
      </c>
      <c r="S7313" s="4" t="str">
        <f>IFERROR(__xludf.DUMMYFUNCTION("""COMPUTED_VALUE"""),"Bitbar")</f>
        <v>Bitbar</v>
      </c>
      <c r="T7313" s="33">
        <f>IFERROR(__xludf.DUMMYFUNCTION("""COMPUTED_VALUE"""),1.0)</f>
        <v>1</v>
      </c>
      <c r="U7313" s="4" t="str">
        <f>IFERROR(__xludf.DUMMYFUNCTION("""COMPUTED_VALUE"""),"Bitbar")</f>
        <v>Bitbar</v>
      </c>
      <c r="V7313" s="33">
        <f>IFERROR(__xludf.DUMMYFUNCTION("""COMPUTED_VALUE"""),0.5)</f>
        <v>0.5</v>
      </c>
      <c r="W7313" s="4" t="str">
        <f>IFERROR(__xludf.DUMMYFUNCTION("""COMPUTED_VALUE"""),"Bitbar")</f>
        <v>Bitbar</v>
      </c>
      <c r="X7313" s="33">
        <f>IFERROR(__xludf.DUMMYFUNCTION("""COMPUTED_VALUE"""),1.0)</f>
        <v>1</v>
      </c>
    </row>
    <row r="7314">
      <c r="K7314" s="4" t="str">
        <f>IFERROR(__xludf.DUMMYFUNCTION("""COMPUTED_VALUE"""),"JUCA PATO PIZZARIA - SC")</f>
        <v>JUCA PATO PIZZARIA - SC</v>
      </c>
      <c r="L7314" s="32">
        <f>IFERROR(__xludf.DUMMYFUNCTION("""COMPUTED_VALUE"""),2.0)</f>
        <v>2</v>
      </c>
      <c r="M7314" s="4" t="str">
        <f>IFERROR(__xludf.DUMMYFUNCTION("""COMPUTED_VALUE"""),"Bitbar")</f>
        <v>Bitbar</v>
      </c>
      <c r="N7314" s="33">
        <f>IFERROR(__xludf.DUMMYFUNCTION("""COMPUTED_VALUE"""),1.0)</f>
        <v>1</v>
      </c>
      <c r="O7314" s="4" t="str">
        <f>IFERROR(__xludf.DUMMYFUNCTION("""COMPUTED_VALUE"""),"Bitbar")</f>
        <v>Bitbar</v>
      </c>
      <c r="P7314" s="33">
        <f>IFERROR(__xludf.DUMMYFUNCTION("""COMPUTED_VALUE"""),1.0)</f>
        <v>1</v>
      </c>
      <c r="Q7314" s="4" t="str">
        <f>IFERROR(__xludf.DUMMYFUNCTION("""COMPUTED_VALUE"""),"Bitbar")</f>
        <v>Bitbar</v>
      </c>
      <c r="R7314" s="33">
        <f>IFERROR(__xludf.DUMMYFUNCTION("""COMPUTED_VALUE"""),1.0)</f>
        <v>1</v>
      </c>
      <c r="S7314" s="4" t="str">
        <f>IFERROR(__xludf.DUMMYFUNCTION("""COMPUTED_VALUE"""),"Bitbar")</f>
        <v>Bitbar</v>
      </c>
      <c r="T7314" s="33">
        <f>IFERROR(__xludf.DUMMYFUNCTION("""COMPUTED_VALUE"""),1.0)</f>
        <v>1</v>
      </c>
      <c r="U7314" s="4" t="str">
        <f>IFERROR(__xludf.DUMMYFUNCTION("""COMPUTED_VALUE"""),"Bitbar")</f>
        <v>Bitbar</v>
      </c>
      <c r="V7314" s="33">
        <f>IFERROR(__xludf.DUMMYFUNCTION("""COMPUTED_VALUE"""),0.5)</f>
        <v>0.5</v>
      </c>
      <c r="W7314" s="4" t="str">
        <f>IFERROR(__xludf.DUMMYFUNCTION("""COMPUTED_VALUE"""),"Bitbar")</f>
        <v>Bitbar</v>
      </c>
      <c r="X7314" s="33">
        <f>IFERROR(__xludf.DUMMYFUNCTION("""COMPUTED_VALUE"""),1.0)</f>
        <v>1</v>
      </c>
    </row>
    <row r="7315">
      <c r="K7315" s="4" t="str">
        <f>IFERROR(__xludf.DUMMYFUNCTION("""COMPUTED_VALUE"""),"JULLIUS SALGADOS")</f>
        <v>JULLIUS SALGADOS</v>
      </c>
      <c r="L7315" s="32">
        <f>IFERROR(__xludf.DUMMYFUNCTION("""COMPUTED_VALUE"""),2.0)</f>
        <v>2</v>
      </c>
      <c r="M7315" s="4" t="str">
        <f>IFERROR(__xludf.DUMMYFUNCTION("""COMPUTED_VALUE"""),"Cardápio Web")</f>
        <v>Cardápio Web</v>
      </c>
      <c r="N7315" s="33">
        <f>IFERROR(__xludf.DUMMYFUNCTION("""COMPUTED_VALUE"""),0.5)</f>
        <v>0.5</v>
      </c>
      <c r="O7315" s="4" t="str">
        <f>IFERROR(__xludf.DUMMYFUNCTION("""COMPUTED_VALUE"""),"Cardápio Web")</f>
        <v>Cardápio Web</v>
      </c>
      <c r="P7315" s="33">
        <f>IFERROR(__xludf.DUMMYFUNCTION("""COMPUTED_VALUE"""),0.5)</f>
        <v>0.5</v>
      </c>
      <c r="Q7315" s="4" t="str">
        <f>IFERROR(__xludf.DUMMYFUNCTION("""COMPUTED_VALUE"""),"Cardápio Web")</f>
        <v>Cardápio Web</v>
      </c>
      <c r="R7315" s="33">
        <f>IFERROR(__xludf.DUMMYFUNCTION("""COMPUTED_VALUE"""),0.5)</f>
        <v>0.5</v>
      </c>
      <c r="S7315" s="4" t="str">
        <f>IFERROR(__xludf.DUMMYFUNCTION("""COMPUTED_VALUE"""),"Cardápio Web")</f>
        <v>Cardápio Web</v>
      </c>
      <c r="T7315" s="33">
        <f>IFERROR(__xludf.DUMMYFUNCTION("""COMPUTED_VALUE"""),0.5)</f>
        <v>0.5</v>
      </c>
      <c r="U7315" s="4" t="str">
        <f>IFERROR(__xludf.DUMMYFUNCTION("""COMPUTED_VALUE"""),"Cardápio Web")</f>
        <v>Cardápio Web</v>
      </c>
      <c r="V7315" s="33">
        <f>IFERROR(__xludf.DUMMYFUNCTION("""COMPUTED_VALUE"""),0.5)</f>
        <v>0.5</v>
      </c>
      <c r="W7315" s="4" t="str">
        <f>IFERROR(__xludf.DUMMYFUNCTION("""COMPUTED_VALUE"""),"Cardápio Web")</f>
        <v>Cardápio Web</v>
      </c>
      <c r="X7315" s="33">
        <f>IFERROR(__xludf.DUMMYFUNCTION("""COMPUTED_VALUE"""),0.5)</f>
        <v>0.5</v>
      </c>
    </row>
    <row r="7316">
      <c r="K7316" s="4" t="str">
        <f>IFERROR(__xludf.DUMMYFUNCTION("""COMPUTED_VALUE"""),"JUNIORS CHICKENS")</f>
        <v>JUNIORS CHICKENS</v>
      </c>
      <c r="L7316" s="32">
        <f>IFERROR(__xludf.DUMMYFUNCTION("""COMPUTED_VALUE"""),2.0)</f>
        <v>2</v>
      </c>
      <c r="M7316" s="4" t="str">
        <f>IFERROR(__xludf.DUMMYFUNCTION("""COMPUTED_VALUE"""),"Yooga")</f>
        <v>Yooga</v>
      </c>
      <c r="N7316" s="33">
        <f>IFERROR(__xludf.DUMMYFUNCTION("""COMPUTED_VALUE"""),1.0)</f>
        <v>1</v>
      </c>
      <c r="O7316" s="4" t="str">
        <f>IFERROR(__xludf.DUMMYFUNCTION("""COMPUTED_VALUE"""),"Yooga")</f>
        <v>Yooga</v>
      </c>
      <c r="P7316" s="33">
        <f>IFERROR(__xludf.DUMMYFUNCTION("""COMPUTED_VALUE"""),1.0)</f>
        <v>1</v>
      </c>
      <c r="Q7316" s="4" t="str">
        <f>IFERROR(__xludf.DUMMYFUNCTION("""COMPUTED_VALUE"""),"Yooga")</f>
        <v>Yooga</v>
      </c>
      <c r="R7316" s="33">
        <f>IFERROR(__xludf.DUMMYFUNCTION("""COMPUTED_VALUE"""),1.0)</f>
        <v>1</v>
      </c>
      <c r="S7316" s="4" t="str">
        <f>IFERROR(__xludf.DUMMYFUNCTION("""COMPUTED_VALUE"""),"Yooga")</f>
        <v>Yooga</v>
      </c>
      <c r="T7316" s="33">
        <f>IFERROR(__xludf.DUMMYFUNCTION("""COMPUTED_VALUE"""),1.0)</f>
        <v>1</v>
      </c>
      <c r="U7316" s="4" t="str">
        <f>IFERROR(__xludf.DUMMYFUNCTION("""COMPUTED_VALUE"""),"Yooga")</f>
        <v>Yooga</v>
      </c>
      <c r="V7316" s="33">
        <f>IFERROR(__xludf.DUMMYFUNCTION("""COMPUTED_VALUE"""),1.0)</f>
        <v>1</v>
      </c>
      <c r="W7316" s="4" t="str">
        <f>IFERROR(__xludf.DUMMYFUNCTION("""COMPUTED_VALUE"""),"Yooga")</f>
        <v>Yooga</v>
      </c>
      <c r="X7316" s="33">
        <f>IFERROR(__xludf.DUMMYFUNCTION("""COMPUTED_VALUE"""),0.5)</f>
        <v>0.5</v>
      </c>
    </row>
    <row r="7317">
      <c r="K7317" s="4" t="str">
        <f>IFERROR(__xludf.DUMMYFUNCTION("""COMPUTED_VALUE"""),"JYMMY BURGUER")</f>
        <v>JYMMY BURGUER</v>
      </c>
      <c r="L7317" s="32">
        <f>IFERROR(__xludf.DUMMYFUNCTION("""COMPUTED_VALUE"""),2.0)</f>
        <v>2</v>
      </c>
      <c r="M7317" s="4" t="str">
        <f>IFERROR(__xludf.DUMMYFUNCTION("""COMPUTED_VALUE"""),"Consumer Soluções Em Tecnologia Ltda")</f>
        <v>Consumer Soluções Em Tecnologia Ltda</v>
      </c>
      <c r="N7317" s="33">
        <f>IFERROR(__xludf.DUMMYFUNCTION("""COMPUTED_VALUE"""),1.0)</f>
        <v>1</v>
      </c>
      <c r="O7317" s="4" t="str">
        <f>IFERROR(__xludf.DUMMYFUNCTION("""COMPUTED_VALUE"""),"null")</f>
        <v>null</v>
      </c>
      <c r="P7317" s="33">
        <f>IFERROR(__xludf.DUMMYFUNCTION("""COMPUTED_VALUE"""),1.0)</f>
        <v>1</v>
      </c>
      <c r="Q7317" s="4" t="str">
        <f>IFERROR(__xludf.DUMMYFUNCTION("""COMPUTED_VALUE"""),"null")</f>
        <v>null</v>
      </c>
      <c r="R7317" s="33">
        <f>IFERROR(__xludf.DUMMYFUNCTION("""COMPUTED_VALUE"""),1.0)</f>
        <v>1</v>
      </c>
      <c r="S7317" s="4" t="str">
        <f>IFERROR(__xludf.DUMMYFUNCTION("""COMPUTED_VALUE"""),"null")</f>
        <v>null</v>
      </c>
      <c r="T7317" s="33">
        <f>IFERROR(__xludf.DUMMYFUNCTION("""COMPUTED_VALUE"""),1.0)</f>
        <v>1</v>
      </c>
      <c r="U7317" s="4" t="str">
        <f>IFERROR(__xludf.DUMMYFUNCTION("""COMPUTED_VALUE"""),"null")</f>
        <v>null</v>
      </c>
      <c r="V7317" s="33">
        <f>IFERROR(__xludf.DUMMYFUNCTION("""COMPUTED_VALUE"""),1.0)</f>
        <v>1</v>
      </c>
      <c r="W7317" s="4" t="str">
        <f>IFERROR(__xludf.DUMMYFUNCTION("""COMPUTED_VALUE"""),"null")</f>
        <v>null</v>
      </c>
      <c r="X7317" s="33">
        <f>IFERROR(__xludf.DUMMYFUNCTION("""COMPUTED_VALUE"""),1.0)</f>
        <v>1</v>
      </c>
    </row>
    <row r="7318">
      <c r="K7318" s="4" t="str">
        <f>IFERROR(__xludf.DUMMYFUNCTION("""COMPUTED_VALUE"""),"KALAZ RESTAURANTE - CONTA PAI")</f>
        <v>KALAZ RESTAURANTE - CONTA PAI</v>
      </c>
      <c r="L7318" s="32">
        <f>IFERROR(__xludf.DUMMYFUNCTION("""COMPUTED_VALUE"""),2.0)</f>
        <v>2</v>
      </c>
      <c r="M7318" s="4" t="str">
        <f>IFERROR(__xludf.DUMMYFUNCTION("""COMPUTED_VALUE"""),"Cloudfy")</f>
        <v>Cloudfy</v>
      </c>
      <c r="N7318" s="33">
        <f>IFERROR(__xludf.DUMMYFUNCTION("""COMPUTED_VALUE"""),1.0)</f>
        <v>1</v>
      </c>
      <c r="O7318" s="4" t="str">
        <f>IFERROR(__xludf.DUMMYFUNCTION("""COMPUTED_VALUE"""),"Cloudfy")</f>
        <v>Cloudfy</v>
      </c>
      <c r="P7318" s="33">
        <f>IFERROR(__xludf.DUMMYFUNCTION("""COMPUTED_VALUE"""),1.0)</f>
        <v>1</v>
      </c>
      <c r="Q7318" s="4" t="str">
        <f>IFERROR(__xludf.DUMMYFUNCTION("""COMPUTED_VALUE"""),"Cloudfy")</f>
        <v>Cloudfy</v>
      </c>
      <c r="R7318" s="33">
        <f>IFERROR(__xludf.DUMMYFUNCTION("""COMPUTED_VALUE"""),1.0)</f>
        <v>1</v>
      </c>
      <c r="S7318" s="4" t="str">
        <f>IFERROR(__xludf.DUMMYFUNCTION("""COMPUTED_VALUE"""),"Cloudfy")</f>
        <v>Cloudfy</v>
      </c>
      <c r="T7318" s="33">
        <f>IFERROR(__xludf.DUMMYFUNCTION("""COMPUTED_VALUE"""),1.0)</f>
        <v>1</v>
      </c>
      <c r="U7318" s="4" t="str">
        <f>IFERROR(__xludf.DUMMYFUNCTION("""COMPUTED_VALUE"""),"Cloudfy")</f>
        <v>Cloudfy</v>
      </c>
      <c r="V7318" s="33">
        <f>IFERROR(__xludf.DUMMYFUNCTION("""COMPUTED_VALUE"""),1.0)</f>
        <v>1</v>
      </c>
      <c r="W7318" s="4" t="str">
        <f>IFERROR(__xludf.DUMMYFUNCTION("""COMPUTED_VALUE"""),"Cloudfy")</f>
        <v>Cloudfy</v>
      </c>
      <c r="X7318" s="33">
        <f>IFERROR(__xludf.DUMMYFUNCTION("""COMPUTED_VALUE"""),1.0)</f>
        <v>1</v>
      </c>
    </row>
    <row r="7319">
      <c r="K7319" s="4" t="str">
        <f>IFERROR(__xludf.DUMMYFUNCTION("""COMPUTED_VALUE"""),"KALIFAS - CULINARIA ARABE E ESFIHAS BRP")</f>
        <v>KALIFAS - CULINARIA ARABE E ESFIHAS BRP</v>
      </c>
      <c r="L7319" s="32">
        <f>IFERROR(__xludf.DUMMYFUNCTION("""COMPUTED_VALUE"""),2.0)</f>
        <v>2</v>
      </c>
      <c r="M7319" s="4" t="str">
        <f>IFERROR(__xludf.DUMMYFUNCTION("""COMPUTED_VALUE"""),"Ncr")</f>
        <v>Ncr</v>
      </c>
      <c r="N7319" s="33">
        <f>IFERROR(__xludf.DUMMYFUNCTION("""COMPUTED_VALUE"""),0.5)</f>
        <v>0.5</v>
      </c>
      <c r="O7319" s="4" t="str">
        <f>IFERROR(__xludf.DUMMYFUNCTION("""COMPUTED_VALUE"""),"Ncr")</f>
        <v>Ncr</v>
      </c>
      <c r="P7319" s="33">
        <f>IFERROR(__xludf.DUMMYFUNCTION("""COMPUTED_VALUE"""),0.5)</f>
        <v>0.5</v>
      </c>
      <c r="Q7319" s="4" t="str">
        <f>IFERROR(__xludf.DUMMYFUNCTION("""COMPUTED_VALUE"""),"Ncr")</f>
        <v>Ncr</v>
      </c>
      <c r="R7319" s="33">
        <f>IFERROR(__xludf.DUMMYFUNCTION("""COMPUTED_VALUE"""),0.5)</f>
        <v>0.5</v>
      </c>
      <c r="S7319" s="4" t="str">
        <f>IFERROR(__xludf.DUMMYFUNCTION("""COMPUTED_VALUE"""),"Ncr")</f>
        <v>Ncr</v>
      </c>
      <c r="T7319" s="33">
        <f>IFERROR(__xludf.DUMMYFUNCTION("""COMPUTED_VALUE"""),0.5)</f>
        <v>0.5</v>
      </c>
      <c r="U7319" s="4" t="str">
        <f>IFERROR(__xludf.DUMMYFUNCTION("""COMPUTED_VALUE"""),"Ncr")</f>
        <v>Ncr</v>
      </c>
      <c r="V7319" s="33">
        <f>IFERROR(__xludf.DUMMYFUNCTION("""COMPUTED_VALUE"""),1.0)</f>
        <v>1</v>
      </c>
      <c r="W7319" s="4" t="str">
        <f>IFERROR(__xludf.DUMMYFUNCTION("""COMPUTED_VALUE"""),"Ncr")</f>
        <v>Ncr</v>
      </c>
      <c r="X7319" s="33">
        <f>IFERROR(__xludf.DUMMYFUNCTION("""COMPUTED_VALUE"""),1.0)</f>
        <v>1</v>
      </c>
    </row>
    <row r="7320">
      <c r="K7320" s="4" t="str">
        <f>IFERROR(__xludf.DUMMYFUNCTION("""COMPUTED_VALUE"""),"KAMIBAA")</f>
        <v>KAMIBAA</v>
      </c>
      <c r="L7320" s="32">
        <f>IFERROR(__xludf.DUMMYFUNCTION("""COMPUTED_VALUE"""),2.0)</f>
        <v>2</v>
      </c>
      <c r="M7320" s="4" t="str">
        <f>IFERROR(__xludf.DUMMYFUNCTION("""COMPUTED_VALUE"""),"Solução Sistemas")</f>
        <v>Solução Sistemas</v>
      </c>
      <c r="N7320" s="33">
        <f>IFERROR(__xludf.DUMMYFUNCTION("""COMPUTED_VALUE"""),1.0)</f>
        <v>1</v>
      </c>
      <c r="O7320" s="4" t="str">
        <f>IFERROR(__xludf.DUMMYFUNCTION("""COMPUTED_VALUE"""),"Solução Sistemas")</f>
        <v>Solução Sistemas</v>
      </c>
      <c r="P7320" s="33">
        <f>IFERROR(__xludf.DUMMYFUNCTION("""COMPUTED_VALUE"""),0.5)</f>
        <v>0.5</v>
      </c>
      <c r="Q7320" s="4" t="str">
        <f>IFERROR(__xludf.DUMMYFUNCTION("""COMPUTED_VALUE"""),"Agilizup Solucoes Ltda")</f>
        <v>Agilizup Solucoes Ltda</v>
      </c>
      <c r="R7320" s="33">
        <f>IFERROR(__xludf.DUMMYFUNCTION("""COMPUTED_VALUE"""),1.0)</f>
        <v>1</v>
      </c>
      <c r="S7320" s="4" t="str">
        <f>IFERROR(__xludf.DUMMYFUNCTION("""COMPUTED_VALUE"""),"Agilizup Solucoes Ltda")</f>
        <v>Agilizup Solucoes Ltda</v>
      </c>
      <c r="T7320" s="33">
        <f>IFERROR(__xludf.DUMMYFUNCTION("""COMPUTED_VALUE"""),0.5)</f>
        <v>0.5</v>
      </c>
      <c r="U7320" s="4" t="str">
        <f>IFERROR(__xludf.DUMMYFUNCTION("""COMPUTED_VALUE"""),"Solução Sistemas")</f>
        <v>Solução Sistemas</v>
      </c>
      <c r="V7320" s="33">
        <f>IFERROR(__xludf.DUMMYFUNCTION("""COMPUTED_VALUE"""),0.5)</f>
        <v>0.5</v>
      </c>
      <c r="W7320" s="4" t="str">
        <f>IFERROR(__xludf.DUMMYFUNCTION("""COMPUTED_VALUE"""),"Solução Sistemas")</f>
        <v>Solução Sistemas</v>
      </c>
      <c r="X7320" s="33">
        <f>IFERROR(__xludf.DUMMYFUNCTION("""COMPUTED_VALUE"""),1.0)</f>
        <v>1</v>
      </c>
    </row>
    <row r="7321">
      <c r="K7321" s="4" t="str">
        <f>IFERROR(__xludf.DUMMYFUNCTION("""COMPUTED_VALUE"""),"KAMMOROS - FRANGUINHO E CAMARAO")</f>
        <v>KAMMOROS - FRANGUINHO E CAMARAO</v>
      </c>
      <c r="L7321" s="32">
        <f>IFERROR(__xludf.DUMMYFUNCTION("""COMPUTED_VALUE"""),2.0)</f>
        <v>2</v>
      </c>
      <c r="M7321" s="4" t="str">
        <f>IFERROR(__xludf.DUMMYFUNCTION("""COMPUTED_VALUE"""),"Yooga")</f>
        <v>Yooga</v>
      </c>
      <c r="N7321" s="33">
        <f>IFERROR(__xludf.DUMMYFUNCTION("""COMPUTED_VALUE"""),1.0)</f>
        <v>1</v>
      </c>
      <c r="O7321" s="4" t="str">
        <f>IFERROR(__xludf.DUMMYFUNCTION("""COMPUTED_VALUE"""),"Yooga")</f>
        <v>Yooga</v>
      </c>
      <c r="P7321" s="33">
        <f>IFERROR(__xludf.DUMMYFUNCTION("""COMPUTED_VALUE"""),1.0)</f>
        <v>1</v>
      </c>
      <c r="Q7321" s="4" t="str">
        <f>IFERROR(__xludf.DUMMYFUNCTION("""COMPUTED_VALUE"""),"Yooga")</f>
        <v>Yooga</v>
      </c>
      <c r="R7321" s="33">
        <f>IFERROR(__xludf.DUMMYFUNCTION("""COMPUTED_VALUE"""),1.0)</f>
        <v>1</v>
      </c>
      <c r="S7321" s="4" t="str">
        <f>IFERROR(__xludf.DUMMYFUNCTION("""COMPUTED_VALUE"""),"Yooga")</f>
        <v>Yooga</v>
      </c>
      <c r="T7321" s="33">
        <f>IFERROR(__xludf.DUMMYFUNCTION("""COMPUTED_VALUE"""),1.0)</f>
        <v>1</v>
      </c>
      <c r="U7321" s="4" t="str">
        <f>IFERROR(__xludf.DUMMYFUNCTION("""COMPUTED_VALUE"""),"Yooga")</f>
        <v>Yooga</v>
      </c>
      <c r="V7321" s="33">
        <f>IFERROR(__xludf.DUMMYFUNCTION("""COMPUTED_VALUE"""),1.0)</f>
        <v>1</v>
      </c>
      <c r="W7321" s="4" t="str">
        <f>IFERROR(__xludf.DUMMYFUNCTION("""COMPUTED_VALUE"""),"Yooga")</f>
        <v>Yooga</v>
      </c>
      <c r="X7321" s="33">
        <f>IFERROR(__xludf.DUMMYFUNCTION("""COMPUTED_VALUE"""),1.0)</f>
        <v>1</v>
      </c>
    </row>
    <row r="7322">
      <c r="K7322" s="4" t="str">
        <f>IFERROR(__xludf.DUMMYFUNCTION("""COMPUTED_VALUE"""),"KAMPEKI - CONTA PAI")</f>
        <v>KAMPEKI - CONTA PAI</v>
      </c>
      <c r="L7322" s="32">
        <f>IFERROR(__xludf.DUMMYFUNCTION("""COMPUTED_VALUE"""),2.0)</f>
        <v>2</v>
      </c>
      <c r="M7322" s="4" t="str">
        <f>IFERROR(__xludf.DUMMYFUNCTION("""COMPUTED_VALUE"""),"Saipos Serviços De Software")</f>
        <v>Saipos Serviços De Software</v>
      </c>
      <c r="N7322" s="33">
        <f>IFERROR(__xludf.DUMMYFUNCTION("""COMPUTED_VALUE"""),1.0)</f>
        <v>1</v>
      </c>
      <c r="O7322" s="4" t="str">
        <f>IFERROR(__xludf.DUMMYFUNCTION("""COMPUTED_VALUE"""),"Saipos Serviços De Software")</f>
        <v>Saipos Serviços De Software</v>
      </c>
      <c r="P7322" s="33">
        <f>IFERROR(__xludf.DUMMYFUNCTION("""COMPUTED_VALUE"""),1.0)</f>
        <v>1</v>
      </c>
      <c r="Q7322" s="4" t="str">
        <f>IFERROR(__xludf.DUMMYFUNCTION("""COMPUTED_VALUE"""),"Saipos Serviços De Software")</f>
        <v>Saipos Serviços De Software</v>
      </c>
      <c r="R7322" s="33">
        <f>IFERROR(__xludf.DUMMYFUNCTION("""COMPUTED_VALUE"""),1.0)</f>
        <v>1</v>
      </c>
      <c r="S7322" s="4" t="str">
        <f>IFERROR(__xludf.DUMMYFUNCTION("""COMPUTED_VALUE"""),"Saipos Serviços De Software")</f>
        <v>Saipos Serviços De Software</v>
      </c>
      <c r="T7322" s="33">
        <f>IFERROR(__xludf.DUMMYFUNCTION("""COMPUTED_VALUE"""),1.0)</f>
        <v>1</v>
      </c>
      <c r="U7322" s="4" t="str">
        <f>IFERROR(__xludf.DUMMYFUNCTION("""COMPUTED_VALUE"""),"Saipos Serviços De Software")</f>
        <v>Saipos Serviços De Software</v>
      </c>
      <c r="V7322" s="33">
        <f>IFERROR(__xludf.DUMMYFUNCTION("""COMPUTED_VALUE"""),1.0)</f>
        <v>1</v>
      </c>
      <c r="W7322" s="4" t="str">
        <f>IFERROR(__xludf.DUMMYFUNCTION("""COMPUTED_VALUE"""),"Saipos Serviços De Software")</f>
        <v>Saipos Serviços De Software</v>
      </c>
      <c r="X7322" s="33">
        <f>IFERROR(__xludf.DUMMYFUNCTION("""COMPUTED_VALUE"""),1.0)</f>
        <v>1</v>
      </c>
    </row>
    <row r="7323">
      <c r="K7323" s="4" t="str">
        <f>IFERROR(__xludf.DUMMYFUNCTION("""COMPUTED_VALUE"""),"KANPAI")</f>
        <v>KANPAI</v>
      </c>
      <c r="L7323" s="32">
        <f>IFERROR(__xludf.DUMMYFUNCTION("""COMPUTED_VALUE"""),2.0)</f>
        <v>2</v>
      </c>
      <c r="M7323" s="4" t="str">
        <f>IFERROR(__xludf.DUMMYFUNCTION("""COMPUTED_VALUE"""),"Ncr")</f>
        <v>Ncr</v>
      </c>
      <c r="N7323" s="33">
        <f>IFERROR(__xludf.DUMMYFUNCTION("""COMPUTED_VALUE"""),1.0)</f>
        <v>1</v>
      </c>
      <c r="O7323" s="4" t="str">
        <f>IFERROR(__xludf.DUMMYFUNCTION("""COMPUTED_VALUE"""),"Ncr")</f>
        <v>Ncr</v>
      </c>
      <c r="P7323" s="33">
        <f>IFERROR(__xludf.DUMMYFUNCTION("""COMPUTED_VALUE"""),1.0)</f>
        <v>1</v>
      </c>
      <c r="Q7323" s="4" t="str">
        <f>IFERROR(__xludf.DUMMYFUNCTION("""COMPUTED_VALUE"""),"Ncr")</f>
        <v>Ncr</v>
      </c>
      <c r="R7323" s="33">
        <f>IFERROR(__xludf.DUMMYFUNCTION("""COMPUTED_VALUE"""),1.0)</f>
        <v>1</v>
      </c>
      <c r="S7323" s="4" t="str">
        <f>IFERROR(__xludf.DUMMYFUNCTION("""COMPUTED_VALUE"""),"Ncr")</f>
        <v>Ncr</v>
      </c>
      <c r="T7323" s="33">
        <f>IFERROR(__xludf.DUMMYFUNCTION("""COMPUTED_VALUE"""),1.0)</f>
        <v>1</v>
      </c>
      <c r="U7323" s="4" t="str">
        <f>IFERROR(__xludf.DUMMYFUNCTION("""COMPUTED_VALUE"""),"Ncr")</f>
        <v>Ncr</v>
      </c>
      <c r="V7323" s="33">
        <f>IFERROR(__xludf.DUMMYFUNCTION("""COMPUTED_VALUE"""),1.0)</f>
        <v>1</v>
      </c>
      <c r="W7323" s="4" t="str">
        <f>IFERROR(__xludf.DUMMYFUNCTION("""COMPUTED_VALUE"""),"Ncr")</f>
        <v>Ncr</v>
      </c>
      <c r="X7323" s="33">
        <f>IFERROR(__xludf.DUMMYFUNCTION("""COMPUTED_VALUE"""),1.0)</f>
        <v>1</v>
      </c>
    </row>
    <row r="7324">
      <c r="K7324" s="4" t="str">
        <f>IFERROR(__xludf.DUMMYFUNCTION("""COMPUTED_VALUE"""),"KANZEN PET CENTER - CONTA MARCA")</f>
        <v>KANZEN PET CENTER - CONTA MARCA</v>
      </c>
      <c r="L7324" s="32">
        <f>IFERROR(__xludf.DUMMYFUNCTION("""COMPUTED_VALUE"""),2.0)</f>
        <v>2</v>
      </c>
      <c r="M7324" s="4" t="str">
        <f>IFERROR(__xludf.DUMMYFUNCTION("""COMPUTED_VALUE"""),"N/A (Not found)")</f>
        <v>N/A (Not found)</v>
      </c>
      <c r="N7324" s="33">
        <f>IFERROR(__xludf.DUMMYFUNCTION("""COMPUTED_VALUE"""),1.0)</f>
        <v>1</v>
      </c>
      <c r="O7324" s="4" t="str">
        <f>IFERROR(__xludf.DUMMYFUNCTION("""COMPUTED_VALUE"""),"N/A (Not found)")</f>
        <v>N/A (Not found)</v>
      </c>
      <c r="P7324" s="33">
        <f>IFERROR(__xludf.DUMMYFUNCTION("""COMPUTED_VALUE"""),1.0)</f>
        <v>1</v>
      </c>
      <c r="Q7324" s="4" t="str">
        <f>IFERROR(__xludf.DUMMYFUNCTION("""COMPUTED_VALUE"""),"N/A (Not found)")</f>
        <v>N/A (Not found)</v>
      </c>
      <c r="R7324" s="33">
        <f>IFERROR(__xludf.DUMMYFUNCTION("""COMPUTED_VALUE"""),1.0)</f>
        <v>1</v>
      </c>
      <c r="S7324" s="4" t="str">
        <f>IFERROR(__xludf.DUMMYFUNCTION("""COMPUTED_VALUE"""),"N/A (Not found)")</f>
        <v>N/A (Not found)</v>
      </c>
      <c r="T7324" s="33">
        <f>IFERROR(__xludf.DUMMYFUNCTION("""COMPUTED_VALUE"""),1.0)</f>
        <v>1</v>
      </c>
      <c r="U7324" s="4" t="str">
        <f>IFERROR(__xludf.DUMMYFUNCTION("""COMPUTED_VALUE"""),"N/A (Not found)")</f>
        <v>N/A (Not found)</v>
      </c>
      <c r="V7324" s="33">
        <f>IFERROR(__xludf.DUMMYFUNCTION("""COMPUTED_VALUE"""),1.0)</f>
        <v>1</v>
      </c>
      <c r="W7324" s="4" t="str">
        <f>IFERROR(__xludf.DUMMYFUNCTION("""COMPUTED_VALUE"""),"N/A (Not found)")</f>
        <v>N/A (Not found)</v>
      </c>
      <c r="X7324" s="33">
        <f>IFERROR(__xludf.DUMMYFUNCTION("""COMPUTED_VALUE"""),1.0)</f>
        <v>1</v>
      </c>
    </row>
    <row r="7325">
      <c r="K7325" s="4" t="str">
        <f>IFERROR(__xludf.DUMMYFUNCTION("""COMPUTED_VALUE"""),"KAO BY K SUSHI -")</f>
        <v>KAO BY K SUSHI -</v>
      </c>
      <c r="L7325" s="32">
        <f>IFERROR(__xludf.DUMMYFUNCTION("""COMPUTED_VALUE"""),2.0)</f>
        <v>2</v>
      </c>
      <c r="M7325" s="4" t="str">
        <f>IFERROR(__xludf.DUMMYFUNCTION("""COMPUTED_VALUE"""),"Ncr")</f>
        <v>Ncr</v>
      </c>
      <c r="N7325" s="33">
        <f>IFERROR(__xludf.DUMMYFUNCTION("""COMPUTED_VALUE"""),1.0)</f>
        <v>1</v>
      </c>
      <c r="O7325" s="4" t="str">
        <f>IFERROR(__xludf.DUMMYFUNCTION("""COMPUTED_VALUE"""),"Ncr")</f>
        <v>Ncr</v>
      </c>
      <c r="P7325" s="33">
        <f>IFERROR(__xludf.DUMMYFUNCTION("""COMPUTED_VALUE"""),1.0)</f>
        <v>1</v>
      </c>
      <c r="Q7325" s="4" t="str">
        <f>IFERROR(__xludf.DUMMYFUNCTION("""COMPUTED_VALUE"""),"Ncr")</f>
        <v>Ncr</v>
      </c>
      <c r="R7325" s="33">
        <f>IFERROR(__xludf.DUMMYFUNCTION("""COMPUTED_VALUE"""),1.0)</f>
        <v>1</v>
      </c>
      <c r="S7325" s="4" t="str">
        <f>IFERROR(__xludf.DUMMYFUNCTION("""COMPUTED_VALUE"""),"Ncr")</f>
        <v>Ncr</v>
      </c>
      <c r="T7325" s="33">
        <f>IFERROR(__xludf.DUMMYFUNCTION("""COMPUTED_VALUE"""),1.0)</f>
        <v>1</v>
      </c>
      <c r="U7325" s="4" t="str">
        <f>IFERROR(__xludf.DUMMYFUNCTION("""COMPUTED_VALUE"""),"Ncr")</f>
        <v>Ncr</v>
      </c>
      <c r="V7325" s="33">
        <f>IFERROR(__xludf.DUMMYFUNCTION("""COMPUTED_VALUE"""),1.0)</f>
        <v>1</v>
      </c>
      <c r="W7325" s="4" t="str">
        <f>IFERROR(__xludf.DUMMYFUNCTION("""COMPUTED_VALUE"""),"Ncr")</f>
        <v>Ncr</v>
      </c>
      <c r="X7325" s="33">
        <f>IFERROR(__xludf.DUMMYFUNCTION("""COMPUTED_VALUE"""),1.0)</f>
        <v>1</v>
      </c>
    </row>
    <row r="7326">
      <c r="K7326" s="4" t="str">
        <f>IFERROR(__xludf.DUMMYFUNCTION("""COMPUTED_VALUE"""),"KAROLICIAS")</f>
        <v>KAROLICIAS</v>
      </c>
      <c r="L7326" s="32">
        <f>IFERROR(__xludf.DUMMYFUNCTION("""COMPUTED_VALUE"""),2.0)</f>
        <v>2</v>
      </c>
      <c r="M7326" s="4" t="str">
        <f>IFERROR(__xludf.DUMMYFUNCTION("""COMPUTED_VALUE"""),"G A De Cavalcanti Junior &amp; Cia Ltda Me")</f>
        <v>G A De Cavalcanti Junior &amp; Cia Ltda Me</v>
      </c>
      <c r="N7326" s="33">
        <f>IFERROR(__xludf.DUMMYFUNCTION("""COMPUTED_VALUE"""),1.0)</f>
        <v>1</v>
      </c>
      <c r="O7326" s="4" t="str">
        <f>IFERROR(__xludf.DUMMYFUNCTION("""COMPUTED_VALUE"""),"G A De Cavalcanti Junior &amp; Cia Ltda Me")</f>
        <v>G A De Cavalcanti Junior &amp; Cia Ltda Me</v>
      </c>
      <c r="P7326" s="33">
        <f>IFERROR(__xludf.DUMMYFUNCTION("""COMPUTED_VALUE"""),1.0)</f>
        <v>1</v>
      </c>
      <c r="Q7326" s="4" t="str">
        <f>IFERROR(__xludf.DUMMYFUNCTION("""COMPUTED_VALUE"""),"G A De Cavalcanti Junior &amp; Cia Ltda Me")</f>
        <v>G A De Cavalcanti Junior &amp; Cia Ltda Me</v>
      </c>
      <c r="R7326" s="33">
        <f>IFERROR(__xludf.DUMMYFUNCTION("""COMPUTED_VALUE"""),1.0)</f>
        <v>1</v>
      </c>
      <c r="S7326" s="4" t="str">
        <f>IFERROR(__xludf.DUMMYFUNCTION("""COMPUTED_VALUE"""),"G A De Cavalcanti Junior &amp; Cia Ltda Me")</f>
        <v>G A De Cavalcanti Junior &amp; Cia Ltda Me</v>
      </c>
      <c r="T7326" s="33">
        <f>IFERROR(__xludf.DUMMYFUNCTION("""COMPUTED_VALUE"""),1.0)</f>
        <v>1</v>
      </c>
      <c r="U7326" s="4" t="str">
        <f>IFERROR(__xludf.DUMMYFUNCTION("""COMPUTED_VALUE"""),"G A De Cavalcanti Junior &amp; Cia Ltda Me")</f>
        <v>G A De Cavalcanti Junior &amp; Cia Ltda Me</v>
      </c>
      <c r="V7326" s="33">
        <f>IFERROR(__xludf.DUMMYFUNCTION("""COMPUTED_VALUE"""),1.0)</f>
        <v>1</v>
      </c>
      <c r="W7326" s="4" t="str">
        <f>IFERROR(__xludf.DUMMYFUNCTION("""COMPUTED_VALUE"""),"G A De Cavalcanti Junior &amp; Cia Ltda Me")</f>
        <v>G A De Cavalcanti Junior &amp; Cia Ltda Me</v>
      </c>
      <c r="X7326" s="33">
        <f>IFERROR(__xludf.DUMMYFUNCTION("""COMPUTED_VALUE"""),1.0)</f>
        <v>1</v>
      </c>
    </row>
    <row r="7327">
      <c r="K7327" s="4" t="str">
        <f>IFERROR(__xludf.DUMMYFUNCTION("""COMPUTED_VALUE"""),"KASATHO - CONTA MARCA")</f>
        <v>KASATHO - CONTA MARCA</v>
      </c>
      <c r="L7327" s="32">
        <f>IFERROR(__xludf.DUMMYFUNCTION("""COMPUTED_VALUE"""),2.0)</f>
        <v>2</v>
      </c>
      <c r="M7327" s="4" t="str">
        <f>IFERROR(__xludf.DUMMYFUNCTION("""COMPUTED_VALUE"""),"Saipos Serviços De Software")</f>
        <v>Saipos Serviços De Software</v>
      </c>
      <c r="N7327" s="33">
        <f>IFERROR(__xludf.DUMMYFUNCTION("""COMPUTED_VALUE"""),0.5)</f>
        <v>0.5</v>
      </c>
      <c r="O7327" s="4" t="str">
        <f>IFERROR(__xludf.DUMMYFUNCTION("""COMPUTED_VALUE"""),"Saipos Serviços De Software")</f>
        <v>Saipos Serviços De Software</v>
      </c>
      <c r="P7327" s="33">
        <f>IFERROR(__xludf.DUMMYFUNCTION("""COMPUTED_VALUE"""),0.5)</f>
        <v>0.5</v>
      </c>
      <c r="Q7327" s="4" t="str">
        <f>IFERROR(__xludf.DUMMYFUNCTION("""COMPUTED_VALUE"""),"Saipos Serviços De Software")</f>
        <v>Saipos Serviços De Software</v>
      </c>
      <c r="R7327" s="33">
        <f>IFERROR(__xludf.DUMMYFUNCTION("""COMPUTED_VALUE"""),0.5)</f>
        <v>0.5</v>
      </c>
      <c r="S7327" s="4" t="str">
        <f>IFERROR(__xludf.DUMMYFUNCTION("""COMPUTED_VALUE"""),"Saipos Serviços De Software")</f>
        <v>Saipos Serviços De Software</v>
      </c>
      <c r="T7327" s="33">
        <f>IFERROR(__xludf.DUMMYFUNCTION("""COMPUTED_VALUE"""),0.5)</f>
        <v>0.5</v>
      </c>
      <c r="U7327" s="4" t="str">
        <f>IFERROR(__xludf.DUMMYFUNCTION("""COMPUTED_VALUE"""),"Saipos Serviços De Software")</f>
        <v>Saipos Serviços De Software</v>
      </c>
      <c r="V7327" s="33">
        <f>IFERROR(__xludf.DUMMYFUNCTION("""COMPUTED_VALUE"""),0.5)</f>
        <v>0.5</v>
      </c>
      <c r="W7327" s="4" t="str">
        <f>IFERROR(__xludf.DUMMYFUNCTION("""COMPUTED_VALUE"""),"Saipos Serviços De Software")</f>
        <v>Saipos Serviços De Software</v>
      </c>
      <c r="X7327" s="33">
        <f>IFERROR(__xludf.DUMMYFUNCTION("""COMPUTED_VALUE"""),1.0)</f>
        <v>1</v>
      </c>
    </row>
    <row r="7328">
      <c r="K7328" s="4" t="str">
        <f>IFERROR(__xludf.DUMMYFUNCTION("""COMPUTED_VALUE"""),"KASATHO - CP")</f>
        <v>KASATHO - CP</v>
      </c>
      <c r="L7328" s="32">
        <f>IFERROR(__xludf.DUMMYFUNCTION("""COMPUTED_VALUE"""),2.0)</f>
        <v>2</v>
      </c>
      <c r="M7328" s="4" t="str">
        <f>IFERROR(__xludf.DUMMYFUNCTION("""COMPUTED_VALUE"""),"Saipos Serviços De Software")</f>
        <v>Saipos Serviços De Software</v>
      </c>
      <c r="N7328" s="33">
        <f>IFERROR(__xludf.DUMMYFUNCTION("""COMPUTED_VALUE"""),0.5)</f>
        <v>0.5</v>
      </c>
      <c r="O7328" s="4" t="str">
        <f>IFERROR(__xludf.DUMMYFUNCTION("""COMPUTED_VALUE"""),"Saipos Serviços De Software")</f>
        <v>Saipos Serviços De Software</v>
      </c>
      <c r="P7328" s="33">
        <f>IFERROR(__xludf.DUMMYFUNCTION("""COMPUTED_VALUE"""),0.5)</f>
        <v>0.5</v>
      </c>
      <c r="Q7328" s="4" t="str">
        <f>IFERROR(__xludf.DUMMYFUNCTION("""COMPUTED_VALUE"""),"Saipos Serviços De Software")</f>
        <v>Saipos Serviços De Software</v>
      </c>
      <c r="R7328" s="33">
        <f>IFERROR(__xludf.DUMMYFUNCTION("""COMPUTED_VALUE"""),0.5)</f>
        <v>0.5</v>
      </c>
      <c r="S7328" s="4" t="str">
        <f>IFERROR(__xludf.DUMMYFUNCTION("""COMPUTED_VALUE"""),"Saipos Serviços De Software")</f>
        <v>Saipos Serviços De Software</v>
      </c>
      <c r="T7328" s="33">
        <f>IFERROR(__xludf.DUMMYFUNCTION("""COMPUTED_VALUE"""),0.5)</f>
        <v>0.5</v>
      </c>
      <c r="U7328" s="4" t="str">
        <f>IFERROR(__xludf.DUMMYFUNCTION("""COMPUTED_VALUE"""),"Saipos Serviços De Software")</f>
        <v>Saipos Serviços De Software</v>
      </c>
      <c r="V7328" s="33">
        <f>IFERROR(__xludf.DUMMYFUNCTION("""COMPUTED_VALUE"""),0.5)</f>
        <v>0.5</v>
      </c>
      <c r="W7328" s="4" t="str">
        <f>IFERROR(__xludf.DUMMYFUNCTION("""COMPUTED_VALUE"""),"Saipos Serviços De Software")</f>
        <v>Saipos Serviços De Software</v>
      </c>
      <c r="X7328" s="33">
        <f>IFERROR(__xludf.DUMMYFUNCTION("""COMPUTED_VALUE"""),1.0)</f>
        <v>1</v>
      </c>
    </row>
    <row r="7329">
      <c r="K7329" s="4" t="str">
        <f>IFERROR(__xludf.DUMMYFUNCTION("""COMPUTED_VALUE"""),"KASATO")</f>
        <v>KASATO</v>
      </c>
      <c r="L7329" s="32">
        <f>IFERROR(__xludf.DUMMYFUNCTION("""COMPUTED_VALUE"""),2.0)</f>
        <v>2</v>
      </c>
      <c r="M7329" s="4" t="str">
        <f>IFERROR(__xludf.DUMMYFUNCTION("""COMPUTED_VALUE"""),"Netcontroll Xmenu")</f>
        <v>Netcontroll Xmenu</v>
      </c>
      <c r="N7329" s="33">
        <f>IFERROR(__xludf.DUMMYFUNCTION("""COMPUTED_VALUE"""),1.0)</f>
        <v>1</v>
      </c>
      <c r="O7329" s="4" t="str">
        <f>IFERROR(__xludf.DUMMYFUNCTION("""COMPUTED_VALUE"""),"Netcontroll Xmenu")</f>
        <v>Netcontroll Xmenu</v>
      </c>
      <c r="P7329" s="33">
        <f>IFERROR(__xludf.DUMMYFUNCTION("""COMPUTED_VALUE"""),1.0)</f>
        <v>1</v>
      </c>
      <c r="Q7329" s="4" t="str">
        <f>IFERROR(__xludf.DUMMYFUNCTION("""COMPUTED_VALUE"""),"Netcontroll Xmenu")</f>
        <v>Netcontroll Xmenu</v>
      </c>
      <c r="R7329" s="33">
        <f>IFERROR(__xludf.DUMMYFUNCTION("""COMPUTED_VALUE"""),1.0)</f>
        <v>1</v>
      </c>
      <c r="S7329" s="4" t="str">
        <f>IFERROR(__xludf.DUMMYFUNCTION("""COMPUTED_VALUE"""),"Netcontroll Xmenu")</f>
        <v>Netcontroll Xmenu</v>
      </c>
      <c r="T7329" s="33">
        <f>IFERROR(__xludf.DUMMYFUNCTION("""COMPUTED_VALUE"""),1.0)</f>
        <v>1</v>
      </c>
      <c r="U7329" s="4" t="str">
        <f>IFERROR(__xludf.DUMMYFUNCTION("""COMPUTED_VALUE"""),"Netcontroll Xmenu")</f>
        <v>Netcontroll Xmenu</v>
      </c>
      <c r="V7329" s="33">
        <f>IFERROR(__xludf.DUMMYFUNCTION("""COMPUTED_VALUE"""),1.0)</f>
        <v>1</v>
      </c>
      <c r="W7329" s="4" t="str">
        <f>IFERROR(__xludf.DUMMYFUNCTION("""COMPUTED_VALUE"""),"Netcontroll Xmenu")</f>
        <v>Netcontroll Xmenu</v>
      </c>
      <c r="X7329" s="33">
        <f>IFERROR(__xludf.DUMMYFUNCTION("""COMPUTED_VALUE"""),1.0)</f>
        <v>1</v>
      </c>
    </row>
    <row r="7330">
      <c r="K7330" s="4" t="str">
        <f>IFERROR(__xludf.DUMMYFUNCTION("""COMPUTED_VALUE"""),"KEBAB PARIS - CONTA PAI 2024")</f>
        <v>KEBAB PARIS - CONTA PAI 2024</v>
      </c>
      <c r="L7330" s="32">
        <f>IFERROR(__xludf.DUMMYFUNCTION("""COMPUTED_VALUE"""),2.0)</f>
        <v>2</v>
      </c>
      <c r="M7330" s="4" t="str">
        <f>IFERROR(__xludf.DUMMYFUNCTION("""COMPUTED_VALUE"""),"Saipos Serviços De Software")</f>
        <v>Saipos Serviços De Software</v>
      </c>
      <c r="N7330" s="33">
        <f>IFERROR(__xludf.DUMMYFUNCTION("""COMPUTED_VALUE"""),1.0)</f>
        <v>1</v>
      </c>
      <c r="O7330" s="4" t="str">
        <f>IFERROR(__xludf.DUMMYFUNCTION("""COMPUTED_VALUE"""),"Saipos Serviços De Software")</f>
        <v>Saipos Serviços De Software</v>
      </c>
      <c r="P7330" s="33">
        <f>IFERROR(__xludf.DUMMYFUNCTION("""COMPUTED_VALUE"""),1.0)</f>
        <v>1</v>
      </c>
      <c r="Q7330" s="4" t="str">
        <f>IFERROR(__xludf.DUMMYFUNCTION("""COMPUTED_VALUE"""),"Saipos Serviços De Software")</f>
        <v>Saipos Serviços De Software</v>
      </c>
      <c r="R7330" s="33">
        <f>IFERROR(__xludf.DUMMYFUNCTION("""COMPUTED_VALUE"""),1.0)</f>
        <v>1</v>
      </c>
      <c r="S7330" s="4" t="str">
        <f>IFERROR(__xludf.DUMMYFUNCTION("""COMPUTED_VALUE"""),"Saipos Serviços De Software")</f>
        <v>Saipos Serviços De Software</v>
      </c>
      <c r="T7330" s="33">
        <f>IFERROR(__xludf.DUMMYFUNCTION("""COMPUTED_VALUE"""),1.0)</f>
        <v>1</v>
      </c>
      <c r="U7330" s="4" t="str">
        <f>IFERROR(__xludf.DUMMYFUNCTION("""COMPUTED_VALUE"""),"Saipos Serviços De Software")</f>
        <v>Saipos Serviços De Software</v>
      </c>
      <c r="V7330" s="33">
        <f>IFERROR(__xludf.DUMMYFUNCTION("""COMPUTED_VALUE"""),1.0)</f>
        <v>1</v>
      </c>
      <c r="W7330" s="4" t="str">
        <f>IFERROR(__xludf.DUMMYFUNCTION("""COMPUTED_VALUE"""),"Saipos Serviços De Software")</f>
        <v>Saipos Serviços De Software</v>
      </c>
      <c r="X7330" s="33">
        <f>IFERROR(__xludf.DUMMYFUNCTION("""COMPUTED_VALUE"""),1.0)</f>
        <v>1</v>
      </c>
    </row>
    <row r="7331">
      <c r="K7331" s="4" t="str">
        <f>IFERROR(__xludf.DUMMYFUNCTION("""COMPUTED_VALUE"""),"KEI CONTA JAPONESA - CONTA PAI")</f>
        <v>KEI CONTA JAPONESA - CONTA PAI</v>
      </c>
      <c r="L7331" s="32">
        <f>IFERROR(__xludf.DUMMYFUNCTION("""COMPUTED_VALUE"""),2.0)</f>
        <v>2</v>
      </c>
      <c r="M7331" s="4" t="str">
        <f>IFERROR(__xludf.DUMMYFUNCTION("""COMPUTED_VALUE"""),"Ncr")</f>
        <v>Ncr</v>
      </c>
      <c r="N7331" s="33">
        <f>IFERROR(__xludf.DUMMYFUNCTION("""COMPUTED_VALUE"""),1.0)</f>
        <v>1</v>
      </c>
      <c r="O7331" s="4" t="str">
        <f>IFERROR(__xludf.DUMMYFUNCTION("""COMPUTED_VALUE"""),"Ncr")</f>
        <v>Ncr</v>
      </c>
      <c r="P7331" s="33">
        <f>IFERROR(__xludf.DUMMYFUNCTION("""COMPUTED_VALUE"""),1.0)</f>
        <v>1</v>
      </c>
      <c r="Q7331" s="4" t="str">
        <f>IFERROR(__xludf.DUMMYFUNCTION("""COMPUTED_VALUE"""),"null")</f>
        <v>null</v>
      </c>
      <c r="R7331" s="33">
        <f>IFERROR(__xludf.DUMMYFUNCTION("""COMPUTED_VALUE"""),0.5)</f>
        <v>0.5</v>
      </c>
      <c r="S7331" s="4" t="str">
        <f>IFERROR(__xludf.DUMMYFUNCTION("""COMPUTED_VALUE"""),"Ncr")</f>
        <v>Ncr</v>
      </c>
      <c r="T7331" s="33">
        <f>IFERROR(__xludf.DUMMYFUNCTION("""COMPUTED_VALUE"""),1.0)</f>
        <v>1</v>
      </c>
      <c r="U7331" s="4" t="str">
        <f>IFERROR(__xludf.DUMMYFUNCTION("""COMPUTED_VALUE"""),"Ncr")</f>
        <v>Ncr</v>
      </c>
      <c r="V7331" s="33">
        <f>IFERROR(__xludf.DUMMYFUNCTION("""COMPUTED_VALUE"""),1.0)</f>
        <v>1</v>
      </c>
      <c r="W7331" s="4" t="str">
        <f>IFERROR(__xludf.DUMMYFUNCTION("""COMPUTED_VALUE"""),"Ncr")</f>
        <v>Ncr</v>
      </c>
      <c r="X7331" s="33">
        <f>IFERROR(__xludf.DUMMYFUNCTION("""COMPUTED_VALUE"""),1.0)</f>
        <v>1</v>
      </c>
    </row>
    <row r="7332">
      <c r="K7332" s="4" t="str">
        <f>IFERROR(__xludf.DUMMYFUNCTION("""COMPUTED_VALUE"""),"KENKYO CONTA GRUPO")</f>
        <v>KENKYO CONTA GRUPO</v>
      </c>
      <c r="L7332" s="32">
        <f>IFERROR(__xludf.DUMMYFUNCTION("""COMPUTED_VALUE"""),2.0)</f>
        <v>2</v>
      </c>
      <c r="M7332" s="4" t="str">
        <f>IFERROR(__xludf.DUMMYFUNCTION("""COMPUTED_VALUE"""),"Menew - Linx")</f>
        <v>Menew - Linx</v>
      </c>
      <c r="N7332" s="33">
        <f>IFERROR(__xludf.DUMMYFUNCTION("""COMPUTED_VALUE"""),1.0)</f>
        <v>1</v>
      </c>
      <c r="O7332" s="4" t="str">
        <f>IFERROR(__xludf.DUMMYFUNCTION("""COMPUTED_VALUE"""),"Menew - Linx")</f>
        <v>Menew - Linx</v>
      </c>
      <c r="P7332" s="33">
        <f>IFERROR(__xludf.DUMMYFUNCTION("""COMPUTED_VALUE"""),1.0)</f>
        <v>1</v>
      </c>
      <c r="Q7332" s="4" t="str">
        <f>IFERROR(__xludf.DUMMYFUNCTION("""COMPUTED_VALUE"""),"Menew - Linx")</f>
        <v>Menew - Linx</v>
      </c>
      <c r="R7332" s="33">
        <f>IFERROR(__xludf.DUMMYFUNCTION("""COMPUTED_VALUE"""),1.0)</f>
        <v>1</v>
      </c>
      <c r="S7332" s="4" t="str">
        <f>IFERROR(__xludf.DUMMYFUNCTION("""COMPUTED_VALUE"""),"Menew - Linx")</f>
        <v>Menew - Linx</v>
      </c>
      <c r="T7332" s="33">
        <f>IFERROR(__xludf.DUMMYFUNCTION("""COMPUTED_VALUE"""),1.0)</f>
        <v>1</v>
      </c>
      <c r="U7332" s="4" t="str">
        <f>IFERROR(__xludf.DUMMYFUNCTION("""COMPUTED_VALUE"""),"Saipos Serviços De Software")</f>
        <v>Saipos Serviços De Software</v>
      </c>
      <c r="V7332" s="33">
        <f>IFERROR(__xludf.DUMMYFUNCTION("""COMPUTED_VALUE"""),1.0)</f>
        <v>1</v>
      </c>
      <c r="W7332" s="4" t="str">
        <f>IFERROR(__xludf.DUMMYFUNCTION("""COMPUTED_VALUE"""),"Saipos Serviços De Software")</f>
        <v>Saipos Serviços De Software</v>
      </c>
      <c r="X7332" s="33">
        <f>IFERROR(__xludf.DUMMYFUNCTION("""COMPUTED_VALUE"""),1.0)</f>
        <v>1</v>
      </c>
    </row>
    <row r="7333">
      <c r="K7333" s="4" t="str">
        <f>IFERROR(__xludf.DUMMYFUNCTION("""COMPUTED_VALUE"""),"KENSEI DELIVERY")</f>
        <v>KENSEI DELIVERY</v>
      </c>
      <c r="L7333" s="32">
        <f>IFERROR(__xludf.DUMMYFUNCTION("""COMPUTED_VALUE"""),2.0)</f>
        <v>2</v>
      </c>
      <c r="M7333" s="4" t="str">
        <f>IFERROR(__xludf.DUMMYFUNCTION("""COMPUTED_VALUE"""),"Yooga")</f>
        <v>Yooga</v>
      </c>
      <c r="N7333" s="33">
        <f>IFERROR(__xludf.DUMMYFUNCTION("""COMPUTED_VALUE"""),1.0)</f>
        <v>1</v>
      </c>
      <c r="O7333" s="4" t="str">
        <f>IFERROR(__xludf.DUMMYFUNCTION("""COMPUTED_VALUE"""),"Yooga")</f>
        <v>Yooga</v>
      </c>
      <c r="P7333" s="33">
        <f>IFERROR(__xludf.DUMMYFUNCTION("""COMPUTED_VALUE"""),1.0)</f>
        <v>1</v>
      </c>
      <c r="Q7333" s="4" t="str">
        <f>IFERROR(__xludf.DUMMYFUNCTION("""COMPUTED_VALUE"""),"Yooga")</f>
        <v>Yooga</v>
      </c>
      <c r="R7333" s="33">
        <f>IFERROR(__xludf.DUMMYFUNCTION("""COMPUTED_VALUE"""),1.0)</f>
        <v>1</v>
      </c>
      <c r="S7333" s="4" t="str">
        <f>IFERROR(__xludf.DUMMYFUNCTION("""COMPUTED_VALUE"""),"Yooga")</f>
        <v>Yooga</v>
      </c>
      <c r="T7333" s="33">
        <f>IFERROR(__xludf.DUMMYFUNCTION("""COMPUTED_VALUE"""),1.0)</f>
        <v>1</v>
      </c>
      <c r="U7333" s="4" t="str">
        <f>IFERROR(__xludf.DUMMYFUNCTION("""COMPUTED_VALUE"""),"Yooga")</f>
        <v>Yooga</v>
      </c>
      <c r="V7333" s="33">
        <f>IFERROR(__xludf.DUMMYFUNCTION("""COMPUTED_VALUE"""),1.0)</f>
        <v>1</v>
      </c>
      <c r="W7333" s="4" t="str">
        <f>IFERROR(__xludf.DUMMYFUNCTION("""COMPUTED_VALUE"""),"Yooga")</f>
        <v>Yooga</v>
      </c>
      <c r="X7333" s="33">
        <f>IFERROR(__xludf.DUMMYFUNCTION("""COMPUTED_VALUE"""),1.0)</f>
        <v>1</v>
      </c>
    </row>
    <row r="7334">
      <c r="K7334" s="4" t="str">
        <f>IFERROR(__xludf.DUMMYFUNCTION("""COMPUTED_VALUE"""),"KENYA HELLOU BOLOS DOCES E PRESENTES")</f>
        <v>KENYA HELLOU BOLOS DOCES E PRESENTES</v>
      </c>
      <c r="L7334" s="32">
        <f>IFERROR(__xludf.DUMMYFUNCTION("""COMPUTED_VALUE"""),2.0)</f>
        <v>2</v>
      </c>
      <c r="M7334" s="4" t="str">
        <f>IFERROR(__xludf.DUMMYFUNCTION("""COMPUTED_VALUE"""),"Cardápio Web")</f>
        <v>Cardápio Web</v>
      </c>
      <c r="N7334" s="33">
        <f>IFERROR(__xludf.DUMMYFUNCTION("""COMPUTED_VALUE"""),1.0)</f>
        <v>1</v>
      </c>
      <c r="O7334" s="4" t="str">
        <f>IFERROR(__xludf.DUMMYFUNCTION("""COMPUTED_VALUE"""),"Cardápio Web")</f>
        <v>Cardápio Web</v>
      </c>
      <c r="P7334" s="33">
        <f>IFERROR(__xludf.DUMMYFUNCTION("""COMPUTED_VALUE"""),1.0)</f>
        <v>1</v>
      </c>
      <c r="Q7334" s="4" t="str">
        <f>IFERROR(__xludf.DUMMYFUNCTION("""COMPUTED_VALUE"""),"Cardápio Web")</f>
        <v>Cardápio Web</v>
      </c>
      <c r="R7334" s="33">
        <f>IFERROR(__xludf.DUMMYFUNCTION("""COMPUTED_VALUE"""),1.0)</f>
        <v>1</v>
      </c>
      <c r="S7334" s="4" t="str">
        <f>IFERROR(__xludf.DUMMYFUNCTION("""COMPUTED_VALUE"""),"Cardápio Web")</f>
        <v>Cardápio Web</v>
      </c>
      <c r="T7334" s="33">
        <f>IFERROR(__xludf.DUMMYFUNCTION("""COMPUTED_VALUE"""),1.0)</f>
        <v>1</v>
      </c>
      <c r="U7334" s="4" t="str">
        <f>IFERROR(__xludf.DUMMYFUNCTION("""COMPUTED_VALUE"""),"Cardápio Web")</f>
        <v>Cardápio Web</v>
      </c>
      <c r="V7334" s="33">
        <f>IFERROR(__xludf.DUMMYFUNCTION("""COMPUTED_VALUE"""),1.0)</f>
        <v>1</v>
      </c>
      <c r="W7334" s="4" t="str">
        <f>IFERROR(__xludf.DUMMYFUNCTION("""COMPUTED_VALUE"""),"Cardápio Web")</f>
        <v>Cardápio Web</v>
      </c>
      <c r="X7334" s="33">
        <f>IFERROR(__xludf.DUMMYFUNCTION("""COMPUTED_VALUE"""),1.0)</f>
        <v>1</v>
      </c>
    </row>
    <row r="7335">
      <c r="K7335" s="4" t="str">
        <f>IFERROR(__xludf.DUMMYFUNCTION("""COMPUTED_VALUE"""),"KERO KE RY")</f>
        <v>KERO KE RY</v>
      </c>
      <c r="L7335" s="32">
        <f>IFERROR(__xludf.DUMMYFUNCTION("""COMPUTED_VALUE"""),2.0)</f>
        <v>2</v>
      </c>
      <c r="M7335" s="4" t="str">
        <f>IFERROR(__xludf.DUMMYFUNCTION("""COMPUTED_VALUE"""),"Sagres Automação Comercial")</f>
        <v>Sagres Automação Comercial</v>
      </c>
      <c r="N7335" s="33">
        <f>IFERROR(__xludf.DUMMYFUNCTION("""COMPUTED_VALUE"""),1.0)</f>
        <v>1</v>
      </c>
      <c r="O7335" s="4" t="str">
        <f>IFERROR(__xludf.DUMMYFUNCTION("""COMPUTED_VALUE"""),"null")</f>
        <v>null</v>
      </c>
      <c r="P7335" s="33">
        <f>IFERROR(__xludf.DUMMYFUNCTION("""COMPUTED_VALUE"""),0.5)</f>
        <v>0.5</v>
      </c>
      <c r="Q7335" s="4" t="str">
        <f>IFERROR(__xludf.DUMMYFUNCTION("""COMPUTED_VALUE"""),"null")</f>
        <v>null</v>
      </c>
      <c r="R7335" s="33">
        <f>IFERROR(__xludf.DUMMYFUNCTION("""COMPUTED_VALUE"""),0.5)</f>
        <v>0.5</v>
      </c>
      <c r="S7335" s="4" t="str">
        <f>IFERROR(__xludf.DUMMYFUNCTION("""COMPUTED_VALUE"""),"null")</f>
        <v>null</v>
      </c>
      <c r="T7335" s="33">
        <f>IFERROR(__xludf.DUMMYFUNCTION("""COMPUTED_VALUE"""),0.5)</f>
        <v>0.5</v>
      </c>
      <c r="U7335" s="4" t="str">
        <f>IFERROR(__xludf.DUMMYFUNCTION("""COMPUTED_VALUE"""),"null")</f>
        <v>null</v>
      </c>
      <c r="V7335" s="33">
        <f>IFERROR(__xludf.DUMMYFUNCTION("""COMPUTED_VALUE"""),0.5)</f>
        <v>0.5</v>
      </c>
      <c r="W7335" s="4" t="str">
        <f>IFERROR(__xludf.DUMMYFUNCTION("""COMPUTED_VALUE"""),"Sagres Automação Comercial")</f>
        <v>Sagres Automação Comercial</v>
      </c>
      <c r="X7335" s="33">
        <f>IFERROR(__xludf.DUMMYFUNCTION("""COMPUTED_VALUE"""),1.0)</f>
        <v>1</v>
      </c>
    </row>
    <row r="7336">
      <c r="K7336" s="4" t="str">
        <f>IFERROR(__xludf.DUMMYFUNCTION("""COMPUTED_VALUE"""),"KI BATATA RECHEADA")</f>
        <v>KI BATATA RECHEADA</v>
      </c>
      <c r="L7336" s="32">
        <f>IFERROR(__xludf.DUMMYFUNCTION("""COMPUTED_VALUE"""),2.0)</f>
        <v>2</v>
      </c>
      <c r="M7336" s="4" t="str">
        <f>IFERROR(__xludf.DUMMYFUNCTION("""COMPUTED_VALUE"""),"null")</f>
        <v>null</v>
      </c>
      <c r="N7336" s="33">
        <f>IFERROR(__xludf.DUMMYFUNCTION("""COMPUTED_VALUE"""),1.0)</f>
        <v>1</v>
      </c>
      <c r="O7336" s="4" t="str">
        <f>IFERROR(__xludf.DUMMYFUNCTION("""COMPUTED_VALUE"""),"null")</f>
        <v>null</v>
      </c>
      <c r="P7336" s="33">
        <f>IFERROR(__xludf.DUMMYFUNCTION("""COMPUTED_VALUE"""),1.0)</f>
        <v>1</v>
      </c>
      <c r="Q7336" s="4" t="str">
        <f>IFERROR(__xludf.DUMMYFUNCTION("""COMPUTED_VALUE"""),"null")</f>
        <v>null</v>
      </c>
      <c r="R7336" s="33">
        <f>IFERROR(__xludf.DUMMYFUNCTION("""COMPUTED_VALUE"""),1.0)</f>
        <v>1</v>
      </c>
      <c r="S7336" s="4" t="str">
        <f>IFERROR(__xludf.DUMMYFUNCTION("""COMPUTED_VALUE"""),"Datamais Sistemas Ltda")</f>
        <v>Datamais Sistemas Ltda</v>
      </c>
      <c r="T7336" s="33">
        <f>IFERROR(__xludf.DUMMYFUNCTION("""COMPUTED_VALUE"""),0.5)</f>
        <v>0.5</v>
      </c>
      <c r="U7336" s="4" t="str">
        <f>IFERROR(__xludf.DUMMYFUNCTION("""COMPUTED_VALUE"""),"null")</f>
        <v>null</v>
      </c>
      <c r="V7336" s="33">
        <f>IFERROR(__xludf.DUMMYFUNCTION("""COMPUTED_VALUE"""),1.0)</f>
        <v>1</v>
      </c>
      <c r="W7336" s="4" t="str">
        <f>IFERROR(__xludf.DUMMYFUNCTION("""COMPUTED_VALUE"""),"Insert Code Informatica Ltda")</f>
        <v>Insert Code Informatica Ltda</v>
      </c>
      <c r="X7336" s="33">
        <f>IFERROR(__xludf.DUMMYFUNCTION("""COMPUTED_VALUE"""),1.0)</f>
        <v>1</v>
      </c>
    </row>
    <row r="7337">
      <c r="K7337" s="4" t="str">
        <f>IFERROR(__xludf.DUMMYFUNCTION("""COMPUTED_VALUE"""),"KIFFA LANCHES - CONTA MARCA")</f>
        <v>KIFFA LANCHES - CONTA MARCA</v>
      </c>
      <c r="L7337" s="32">
        <f>IFERROR(__xludf.DUMMYFUNCTION("""COMPUTED_VALUE"""),2.0)</f>
        <v>2</v>
      </c>
      <c r="M7337" s="4" t="str">
        <f>IFERROR(__xludf.DUMMYFUNCTION("""COMPUTED_VALUE"""),"Eclética Tecnologia")</f>
        <v>Eclética Tecnologia</v>
      </c>
      <c r="N7337" s="33">
        <f>IFERROR(__xludf.DUMMYFUNCTION("""COMPUTED_VALUE"""),1.0)</f>
        <v>1</v>
      </c>
      <c r="O7337" s="4" t="str">
        <f>IFERROR(__xludf.DUMMYFUNCTION("""COMPUTED_VALUE"""),"Eclética Tecnologia")</f>
        <v>Eclética Tecnologia</v>
      </c>
      <c r="P7337" s="33">
        <f>IFERROR(__xludf.DUMMYFUNCTION("""COMPUTED_VALUE"""),1.0)</f>
        <v>1</v>
      </c>
      <c r="Q7337" s="4" t="str">
        <f>IFERROR(__xludf.DUMMYFUNCTION("""COMPUTED_VALUE"""),"Eclética Tecnologia")</f>
        <v>Eclética Tecnologia</v>
      </c>
      <c r="R7337" s="33">
        <f>IFERROR(__xludf.DUMMYFUNCTION("""COMPUTED_VALUE"""),1.0)</f>
        <v>1</v>
      </c>
      <c r="S7337" s="4" t="str">
        <f>IFERROR(__xludf.DUMMYFUNCTION("""COMPUTED_VALUE"""),"Eclética Tecnologia")</f>
        <v>Eclética Tecnologia</v>
      </c>
      <c r="T7337" s="33">
        <f>IFERROR(__xludf.DUMMYFUNCTION("""COMPUTED_VALUE"""),1.0)</f>
        <v>1</v>
      </c>
      <c r="U7337" s="4" t="str">
        <f>IFERROR(__xludf.DUMMYFUNCTION("""COMPUTED_VALUE"""),"Eclética Tecnologia")</f>
        <v>Eclética Tecnologia</v>
      </c>
      <c r="V7337" s="33">
        <f>IFERROR(__xludf.DUMMYFUNCTION("""COMPUTED_VALUE"""),1.0)</f>
        <v>1</v>
      </c>
      <c r="W7337" s="4" t="str">
        <f>IFERROR(__xludf.DUMMYFUNCTION("""COMPUTED_VALUE"""),"Eclética Tecnologia")</f>
        <v>Eclética Tecnologia</v>
      </c>
      <c r="X7337" s="33">
        <f>IFERROR(__xludf.DUMMYFUNCTION("""COMPUTED_VALUE"""),1.0)</f>
        <v>1</v>
      </c>
    </row>
    <row r="7338">
      <c r="K7338" s="4" t="str">
        <f>IFERROR(__xludf.DUMMYFUNCTION("""COMPUTED_VALUE"""),"KIKAO LANCHES - CONTA PAI")</f>
        <v>KIKAO LANCHES - CONTA PAI</v>
      </c>
      <c r="L7338" s="32">
        <f>IFERROR(__xludf.DUMMYFUNCTION("""COMPUTED_VALUE"""),2.0)</f>
        <v>2</v>
      </c>
      <c r="M7338" s="4" t="str">
        <f>IFERROR(__xludf.DUMMYFUNCTION("""COMPUTED_VALUE"""),"null")</f>
        <v>null</v>
      </c>
      <c r="N7338" s="33">
        <f>IFERROR(__xludf.DUMMYFUNCTION("""COMPUTED_VALUE"""),0.5)</f>
        <v>0.5</v>
      </c>
      <c r="O7338" s="4" t="str">
        <f>IFERROR(__xludf.DUMMYFUNCTION("""COMPUTED_VALUE"""),"null")</f>
        <v>null</v>
      </c>
      <c r="P7338" s="33">
        <f>IFERROR(__xludf.DUMMYFUNCTION("""COMPUTED_VALUE"""),1.0)</f>
        <v>1</v>
      </c>
      <c r="Q7338" s="4" t="str">
        <f>IFERROR(__xludf.DUMMYFUNCTION("""COMPUTED_VALUE"""),"null")</f>
        <v>null</v>
      </c>
      <c r="R7338" s="33">
        <f>IFERROR(__xludf.DUMMYFUNCTION("""COMPUTED_VALUE"""),1.0)</f>
        <v>1</v>
      </c>
      <c r="S7338" s="4" t="str">
        <f>IFERROR(__xludf.DUMMYFUNCTION("""COMPUTED_VALUE"""),"null")</f>
        <v>null</v>
      </c>
      <c r="T7338" s="33">
        <f>IFERROR(__xludf.DUMMYFUNCTION("""COMPUTED_VALUE"""),1.0)</f>
        <v>1</v>
      </c>
      <c r="U7338" s="4" t="str">
        <f>IFERROR(__xludf.DUMMYFUNCTION("""COMPUTED_VALUE"""),"Sagres Automação Comercial")</f>
        <v>Sagres Automação Comercial</v>
      </c>
      <c r="V7338" s="33">
        <f>IFERROR(__xludf.DUMMYFUNCTION("""COMPUTED_VALUE"""),0.5)</f>
        <v>0.5</v>
      </c>
      <c r="W7338" s="4" t="str">
        <f>IFERROR(__xludf.DUMMYFUNCTION("""COMPUTED_VALUE"""),"Sagres Automação Comercial")</f>
        <v>Sagres Automação Comercial</v>
      </c>
      <c r="X7338" s="33">
        <f>IFERROR(__xludf.DUMMYFUNCTION("""COMPUTED_VALUE"""),0.5)</f>
        <v>0.5</v>
      </c>
    </row>
    <row r="7339">
      <c r="K7339" s="4" t="str">
        <f>IFERROR(__xludf.DUMMYFUNCTION("""COMPUTED_VALUE"""),"KING DUBAI")</f>
        <v>KING DUBAI</v>
      </c>
      <c r="L7339" s="32">
        <f>IFERROR(__xludf.DUMMYFUNCTION("""COMPUTED_VALUE"""),2.0)</f>
        <v>2</v>
      </c>
      <c r="M7339" s="4" t="str">
        <f>IFERROR(__xludf.DUMMYFUNCTION("""COMPUTED_VALUE"""),"Saipos Serviços De Software")</f>
        <v>Saipos Serviços De Software</v>
      </c>
      <c r="N7339" s="33">
        <f>IFERROR(__xludf.DUMMYFUNCTION("""COMPUTED_VALUE"""),1.0)</f>
        <v>1</v>
      </c>
      <c r="O7339" s="4" t="str">
        <f>IFERROR(__xludf.DUMMYFUNCTION("""COMPUTED_VALUE"""),"Saipos Serviços De Software")</f>
        <v>Saipos Serviços De Software</v>
      </c>
      <c r="P7339" s="33">
        <f>IFERROR(__xludf.DUMMYFUNCTION("""COMPUTED_VALUE"""),1.0)</f>
        <v>1</v>
      </c>
      <c r="Q7339" s="4" t="str">
        <f>IFERROR(__xludf.DUMMYFUNCTION("""COMPUTED_VALUE"""),"Saipos Serviços De Software")</f>
        <v>Saipos Serviços De Software</v>
      </c>
      <c r="R7339" s="33">
        <f>IFERROR(__xludf.DUMMYFUNCTION("""COMPUTED_VALUE"""),1.0)</f>
        <v>1</v>
      </c>
      <c r="S7339" s="4" t="str">
        <f>IFERROR(__xludf.DUMMYFUNCTION("""COMPUTED_VALUE"""),"Saipos Serviços De Software")</f>
        <v>Saipos Serviços De Software</v>
      </c>
      <c r="T7339" s="33">
        <f>IFERROR(__xludf.DUMMYFUNCTION("""COMPUTED_VALUE"""),1.0)</f>
        <v>1</v>
      </c>
      <c r="U7339" s="4" t="str">
        <f>IFERROR(__xludf.DUMMYFUNCTION("""COMPUTED_VALUE"""),"Saipos Serviços De Software")</f>
        <v>Saipos Serviços De Software</v>
      </c>
      <c r="V7339" s="33">
        <f>IFERROR(__xludf.DUMMYFUNCTION("""COMPUTED_VALUE"""),1.0)</f>
        <v>1</v>
      </c>
      <c r="W7339" s="4" t="str">
        <f>IFERROR(__xludf.DUMMYFUNCTION("""COMPUTED_VALUE"""),"Saipos Serviços De Software")</f>
        <v>Saipos Serviços De Software</v>
      </c>
      <c r="X7339" s="33">
        <f>IFERROR(__xludf.DUMMYFUNCTION("""COMPUTED_VALUE"""),1.0)</f>
        <v>1</v>
      </c>
    </row>
    <row r="7340">
      <c r="K7340" s="4" t="str">
        <f>IFERROR(__xludf.DUMMYFUNCTION("""COMPUTED_VALUE"""),"KING SUSHI HOUSE E DELIVERY")</f>
        <v>KING SUSHI HOUSE E DELIVERY</v>
      </c>
      <c r="L7340" s="32">
        <f>IFERROR(__xludf.DUMMYFUNCTION("""COMPUTED_VALUE"""),2.0)</f>
        <v>2</v>
      </c>
      <c r="M7340" s="4" t="str">
        <f>IFERROR(__xludf.DUMMYFUNCTION("""COMPUTED_VALUE"""),"Rp Sistemas")</f>
        <v>Rp Sistemas</v>
      </c>
      <c r="N7340" s="33">
        <f>IFERROR(__xludf.DUMMYFUNCTION("""COMPUTED_VALUE"""),1.0)</f>
        <v>1</v>
      </c>
      <c r="O7340" s="4" t="str">
        <f>IFERROR(__xludf.DUMMYFUNCTION("""COMPUTED_VALUE"""),"Rp Sistemas")</f>
        <v>Rp Sistemas</v>
      </c>
      <c r="P7340" s="33">
        <f>IFERROR(__xludf.DUMMYFUNCTION("""COMPUTED_VALUE"""),1.0)</f>
        <v>1</v>
      </c>
      <c r="Q7340" s="4" t="str">
        <f>IFERROR(__xludf.DUMMYFUNCTION("""COMPUTED_VALUE"""),"null")</f>
        <v>null</v>
      </c>
      <c r="R7340" s="33">
        <f>IFERROR(__xludf.DUMMYFUNCTION("""COMPUTED_VALUE"""),0.5)</f>
        <v>0.5</v>
      </c>
      <c r="S7340" s="4" t="str">
        <f>IFERROR(__xludf.DUMMYFUNCTION("""COMPUTED_VALUE"""),"Rp Sistemas")</f>
        <v>Rp Sistemas</v>
      </c>
      <c r="T7340" s="33">
        <f>IFERROR(__xludf.DUMMYFUNCTION("""COMPUTED_VALUE"""),0.5)</f>
        <v>0.5</v>
      </c>
      <c r="U7340" s="4" t="str">
        <f>IFERROR(__xludf.DUMMYFUNCTION("""COMPUTED_VALUE"""),"Rp Sistemas")</f>
        <v>Rp Sistemas</v>
      </c>
      <c r="V7340" s="33">
        <f>IFERROR(__xludf.DUMMYFUNCTION("""COMPUTED_VALUE"""),1.0)</f>
        <v>1</v>
      </c>
      <c r="W7340" s="4" t="str">
        <f>IFERROR(__xludf.DUMMYFUNCTION("""COMPUTED_VALUE"""),"Rp Sistemas")</f>
        <v>Rp Sistemas</v>
      </c>
      <c r="X7340" s="33">
        <f>IFERROR(__xludf.DUMMYFUNCTION("""COMPUTED_VALUE"""),1.0)</f>
        <v>1</v>
      </c>
    </row>
    <row r="7341">
      <c r="K7341" s="4" t="str">
        <f>IFERROR(__xludf.DUMMYFUNCTION("""COMPUTED_VALUE"""),"KINGS KAO")</f>
        <v>KINGS KAO</v>
      </c>
      <c r="L7341" s="32">
        <f>IFERROR(__xludf.DUMMYFUNCTION("""COMPUTED_VALUE"""),2.0)</f>
        <v>2</v>
      </c>
      <c r="M7341" s="4" t="str">
        <f>IFERROR(__xludf.DUMMYFUNCTION("""COMPUTED_VALUE"""),"Grsoft")</f>
        <v>Grsoft</v>
      </c>
      <c r="N7341" s="33">
        <f>IFERROR(__xludf.DUMMYFUNCTION("""COMPUTED_VALUE"""),1.0)</f>
        <v>1</v>
      </c>
      <c r="O7341" s="4" t="str">
        <f>IFERROR(__xludf.DUMMYFUNCTION("""COMPUTED_VALUE"""),"Grsoft")</f>
        <v>Grsoft</v>
      </c>
      <c r="P7341" s="33">
        <f>IFERROR(__xludf.DUMMYFUNCTION("""COMPUTED_VALUE"""),1.0)</f>
        <v>1</v>
      </c>
      <c r="Q7341" s="4" t="str">
        <f>IFERROR(__xludf.DUMMYFUNCTION("""COMPUTED_VALUE"""),"Grsoft")</f>
        <v>Grsoft</v>
      </c>
      <c r="R7341" s="33">
        <f>IFERROR(__xludf.DUMMYFUNCTION("""COMPUTED_VALUE"""),1.0)</f>
        <v>1</v>
      </c>
      <c r="S7341" s="4" t="str">
        <f>IFERROR(__xludf.DUMMYFUNCTION("""COMPUTED_VALUE"""),"Grsoft")</f>
        <v>Grsoft</v>
      </c>
      <c r="T7341" s="33">
        <f>IFERROR(__xludf.DUMMYFUNCTION("""COMPUTED_VALUE"""),1.0)</f>
        <v>1</v>
      </c>
      <c r="U7341" s="4" t="str">
        <f>IFERROR(__xludf.DUMMYFUNCTION("""COMPUTED_VALUE"""),"Grsoft")</f>
        <v>Grsoft</v>
      </c>
      <c r="V7341" s="33">
        <f>IFERROR(__xludf.DUMMYFUNCTION("""COMPUTED_VALUE"""),1.0)</f>
        <v>1</v>
      </c>
      <c r="W7341" s="4" t="str">
        <f>IFERROR(__xludf.DUMMYFUNCTION("""COMPUTED_VALUE"""),"Grsoft")</f>
        <v>Grsoft</v>
      </c>
      <c r="X7341" s="33">
        <f>IFERROR(__xludf.DUMMYFUNCTION("""COMPUTED_VALUE"""),1.0)</f>
        <v>1</v>
      </c>
    </row>
    <row r="7342">
      <c r="K7342" s="4" t="str">
        <f>IFERROR(__xludf.DUMMYFUNCTION("""COMPUTED_VALUE"""),"KIOSKI CHOPERIA - PASTELARIA E CALDOS")</f>
        <v>KIOSKI CHOPERIA - PASTELARIA E CALDOS</v>
      </c>
      <c r="L7342" s="32">
        <f>IFERROR(__xludf.DUMMYFUNCTION("""COMPUTED_VALUE"""),2.0)</f>
        <v>2</v>
      </c>
      <c r="M7342" s="4" t="str">
        <f>IFERROR(__xludf.DUMMYFUNCTION("""COMPUTED_VALUE"""),"Gerence Sistemas")</f>
        <v>Gerence Sistemas</v>
      </c>
      <c r="N7342" s="33">
        <f>IFERROR(__xludf.DUMMYFUNCTION("""COMPUTED_VALUE"""),1.0)</f>
        <v>1</v>
      </c>
      <c r="O7342" s="4" t="str">
        <f>IFERROR(__xludf.DUMMYFUNCTION("""COMPUTED_VALUE"""),"Gerence Sistemas")</f>
        <v>Gerence Sistemas</v>
      </c>
      <c r="P7342" s="33">
        <f>IFERROR(__xludf.DUMMYFUNCTION("""COMPUTED_VALUE"""),1.0)</f>
        <v>1</v>
      </c>
      <c r="Q7342" s="4" t="str">
        <f>IFERROR(__xludf.DUMMYFUNCTION("""COMPUTED_VALUE"""),"Gerence Sistemas")</f>
        <v>Gerence Sistemas</v>
      </c>
      <c r="R7342" s="33">
        <f>IFERROR(__xludf.DUMMYFUNCTION("""COMPUTED_VALUE"""),1.0)</f>
        <v>1</v>
      </c>
      <c r="S7342" s="4" t="str">
        <f>IFERROR(__xludf.DUMMYFUNCTION("""COMPUTED_VALUE"""),"Gerence Sistemas")</f>
        <v>Gerence Sistemas</v>
      </c>
      <c r="T7342" s="33">
        <f>IFERROR(__xludf.DUMMYFUNCTION("""COMPUTED_VALUE"""),1.0)</f>
        <v>1</v>
      </c>
      <c r="U7342" s="4" t="str">
        <f>IFERROR(__xludf.DUMMYFUNCTION("""COMPUTED_VALUE"""),"Gerence Sistemas")</f>
        <v>Gerence Sistemas</v>
      </c>
      <c r="V7342" s="33">
        <f>IFERROR(__xludf.DUMMYFUNCTION("""COMPUTED_VALUE"""),1.0)</f>
        <v>1</v>
      </c>
      <c r="W7342" s="4" t="str">
        <f>IFERROR(__xludf.DUMMYFUNCTION("""COMPUTED_VALUE"""),"Gerence Sistemas")</f>
        <v>Gerence Sistemas</v>
      </c>
      <c r="X7342" s="33">
        <f>IFERROR(__xludf.DUMMYFUNCTION("""COMPUTED_VALUE"""),1.0)</f>
        <v>1</v>
      </c>
    </row>
    <row r="7343">
      <c r="K7343" s="4" t="str">
        <f>IFERROR(__xludf.DUMMYFUNCTION("""COMPUTED_VALUE"""),"KOALA SUSHI YA")</f>
        <v>KOALA SUSHI YA</v>
      </c>
      <c r="L7343" s="32">
        <f>IFERROR(__xludf.DUMMYFUNCTION("""COMPUTED_VALUE"""),2.0)</f>
        <v>2</v>
      </c>
      <c r="M7343" s="4" t="str">
        <f>IFERROR(__xludf.DUMMYFUNCTION("""COMPUTED_VALUE"""),"Sagres Automação Comercial")</f>
        <v>Sagres Automação Comercial</v>
      </c>
      <c r="N7343" s="33">
        <f>IFERROR(__xludf.DUMMYFUNCTION("""COMPUTED_VALUE"""),1.0)</f>
        <v>1</v>
      </c>
      <c r="O7343" s="4" t="str">
        <f>IFERROR(__xludf.DUMMYFUNCTION("""COMPUTED_VALUE"""),"Sagres Automação Comercial")</f>
        <v>Sagres Automação Comercial</v>
      </c>
      <c r="P7343" s="33">
        <f>IFERROR(__xludf.DUMMYFUNCTION("""COMPUTED_VALUE"""),1.0)</f>
        <v>1</v>
      </c>
      <c r="Q7343" s="4" t="str">
        <f>IFERROR(__xludf.DUMMYFUNCTION("""COMPUTED_VALUE"""),"Sagres Automação Comercial")</f>
        <v>Sagres Automação Comercial</v>
      </c>
      <c r="R7343" s="33">
        <f>IFERROR(__xludf.DUMMYFUNCTION("""COMPUTED_VALUE"""),1.0)</f>
        <v>1</v>
      </c>
      <c r="S7343" s="4" t="str">
        <f>IFERROR(__xludf.DUMMYFUNCTION("""COMPUTED_VALUE"""),"Sagres Automação Comercial")</f>
        <v>Sagres Automação Comercial</v>
      </c>
      <c r="T7343" s="33">
        <f>IFERROR(__xludf.DUMMYFUNCTION("""COMPUTED_VALUE"""),1.0)</f>
        <v>1</v>
      </c>
      <c r="U7343" s="4" t="str">
        <f>IFERROR(__xludf.DUMMYFUNCTION("""COMPUTED_VALUE"""),"null")</f>
        <v>null</v>
      </c>
      <c r="V7343" s="33">
        <f>IFERROR(__xludf.DUMMYFUNCTION("""COMPUTED_VALUE"""),1.0)</f>
        <v>1</v>
      </c>
      <c r="W7343" s="4" t="str">
        <f>IFERROR(__xludf.DUMMYFUNCTION("""COMPUTED_VALUE"""),"Sagres Automação Comercial")</f>
        <v>Sagres Automação Comercial</v>
      </c>
      <c r="X7343" s="33">
        <f>IFERROR(__xludf.DUMMYFUNCTION("""COMPUTED_VALUE"""),1.0)</f>
        <v>1</v>
      </c>
    </row>
    <row r="7344">
      <c r="K7344" s="4" t="str">
        <f>IFERROR(__xludf.DUMMYFUNCTION("""COMPUTED_VALUE"""),"KOBA SUSHI - CONTA PAI")</f>
        <v>KOBA SUSHI - CONTA PAI</v>
      </c>
      <c r="L7344" s="32">
        <f>IFERROR(__xludf.DUMMYFUNCTION("""COMPUTED_VALUE"""),2.0)</f>
        <v>2</v>
      </c>
      <c r="M7344" s="4" t="str">
        <f>IFERROR(__xludf.DUMMYFUNCTION("""COMPUTED_VALUE"""),"Sagres Automação Comercial")</f>
        <v>Sagres Automação Comercial</v>
      </c>
      <c r="N7344" s="33">
        <f>IFERROR(__xludf.DUMMYFUNCTION("""COMPUTED_VALUE"""),1.0)</f>
        <v>1</v>
      </c>
      <c r="O7344" s="4" t="str">
        <f>IFERROR(__xludf.DUMMYFUNCTION("""COMPUTED_VALUE"""),"Sagres Automação Comercial")</f>
        <v>Sagres Automação Comercial</v>
      </c>
      <c r="P7344" s="33">
        <f>IFERROR(__xludf.DUMMYFUNCTION("""COMPUTED_VALUE"""),0.5)</f>
        <v>0.5</v>
      </c>
      <c r="Q7344" s="4" t="str">
        <f>IFERROR(__xludf.DUMMYFUNCTION("""COMPUTED_VALUE"""),"Sagres Automação Comercial")</f>
        <v>Sagres Automação Comercial</v>
      </c>
      <c r="R7344" s="33">
        <f>IFERROR(__xludf.DUMMYFUNCTION("""COMPUTED_VALUE"""),1.0)</f>
        <v>1</v>
      </c>
      <c r="S7344" s="4" t="str">
        <f>IFERROR(__xludf.DUMMYFUNCTION("""COMPUTED_VALUE"""),"null")</f>
        <v>null</v>
      </c>
      <c r="T7344" s="33">
        <f>IFERROR(__xludf.DUMMYFUNCTION("""COMPUTED_VALUE"""),1.0)</f>
        <v>1</v>
      </c>
      <c r="U7344" s="4" t="str">
        <f>IFERROR(__xludf.DUMMYFUNCTION("""COMPUTED_VALUE"""),"null")</f>
        <v>null</v>
      </c>
      <c r="V7344" s="33">
        <f>IFERROR(__xludf.DUMMYFUNCTION("""COMPUTED_VALUE"""),0.5)</f>
        <v>0.5</v>
      </c>
      <c r="W7344" s="4" t="str">
        <f>IFERROR(__xludf.DUMMYFUNCTION("""COMPUTED_VALUE"""),"Sagres Automação Comercial")</f>
        <v>Sagres Automação Comercial</v>
      </c>
      <c r="X7344" s="33">
        <f>IFERROR(__xludf.DUMMYFUNCTION("""COMPUTED_VALUE"""),1.0)</f>
        <v>1</v>
      </c>
    </row>
    <row r="7345">
      <c r="K7345" s="4" t="str">
        <f>IFERROR(__xludf.DUMMYFUNCTION("""COMPUTED_VALUE"""),"KOBE BURGUER SC - CONTA MARCA")</f>
        <v>KOBE BURGUER SC - CONTA MARCA</v>
      </c>
      <c r="L7345" s="32">
        <f>IFERROR(__xludf.DUMMYFUNCTION("""COMPUTED_VALUE"""),2.0)</f>
        <v>2</v>
      </c>
      <c r="M7345" s="4" t="str">
        <f>IFERROR(__xludf.DUMMYFUNCTION("""COMPUTED_VALUE"""),"Saipos Serviços De Software")</f>
        <v>Saipos Serviços De Software</v>
      </c>
      <c r="N7345" s="33">
        <f>IFERROR(__xludf.DUMMYFUNCTION("""COMPUTED_VALUE"""),1.0)</f>
        <v>1</v>
      </c>
      <c r="O7345" s="4" t="str">
        <f>IFERROR(__xludf.DUMMYFUNCTION("""COMPUTED_VALUE"""),"Saipos Serviços De Software")</f>
        <v>Saipos Serviços De Software</v>
      </c>
      <c r="P7345" s="33">
        <f>IFERROR(__xludf.DUMMYFUNCTION("""COMPUTED_VALUE"""),1.0)</f>
        <v>1</v>
      </c>
      <c r="Q7345" s="4" t="str">
        <f>IFERROR(__xludf.DUMMYFUNCTION("""COMPUTED_VALUE"""),"Saipos Serviços De Software")</f>
        <v>Saipos Serviços De Software</v>
      </c>
      <c r="R7345" s="33">
        <f>IFERROR(__xludf.DUMMYFUNCTION("""COMPUTED_VALUE"""),1.0)</f>
        <v>1</v>
      </c>
      <c r="S7345" s="4" t="str">
        <f>IFERROR(__xludf.DUMMYFUNCTION("""COMPUTED_VALUE"""),"Saipos Serviços De Software")</f>
        <v>Saipos Serviços De Software</v>
      </c>
      <c r="T7345" s="33">
        <f>IFERROR(__xludf.DUMMYFUNCTION("""COMPUTED_VALUE"""),1.0)</f>
        <v>1</v>
      </c>
      <c r="U7345" s="4" t="str">
        <f>IFERROR(__xludf.DUMMYFUNCTION("""COMPUTED_VALUE"""),"Saipos Serviços De Software")</f>
        <v>Saipos Serviços De Software</v>
      </c>
      <c r="V7345" s="33">
        <f>IFERROR(__xludf.DUMMYFUNCTION("""COMPUTED_VALUE"""),1.0)</f>
        <v>1</v>
      </c>
      <c r="W7345" s="4" t="str">
        <f>IFERROR(__xludf.DUMMYFUNCTION("""COMPUTED_VALUE"""),"Saipos Serviços De Software")</f>
        <v>Saipos Serviços De Software</v>
      </c>
      <c r="X7345" s="33">
        <f>IFERROR(__xludf.DUMMYFUNCTION("""COMPUTED_VALUE"""),1.0)</f>
        <v>1</v>
      </c>
    </row>
    <row r="7346">
      <c r="K7346" s="4" t="str">
        <f>IFERROR(__xludf.DUMMYFUNCTION("""COMPUTED_VALUE"""),"KOH PEE PEE - CONTA MARCA")</f>
        <v>KOH PEE PEE - CONTA MARCA</v>
      </c>
      <c r="L7346" s="32">
        <f>IFERROR(__xludf.DUMMYFUNCTION("""COMPUTED_VALUE"""),2.0)</f>
        <v>2</v>
      </c>
      <c r="M7346" s="4" t="str">
        <f>IFERROR(__xludf.DUMMYFUNCTION("""COMPUTED_VALUE"""),"Teknisa Service Ltda")</f>
        <v>Teknisa Service Ltda</v>
      </c>
      <c r="N7346" s="33">
        <f>IFERROR(__xludf.DUMMYFUNCTION("""COMPUTED_VALUE"""),0.5)</f>
        <v>0.5</v>
      </c>
      <c r="O7346" s="4" t="str">
        <f>IFERROR(__xludf.DUMMYFUNCTION("""COMPUTED_VALUE"""),"Teknisa Service Ltda")</f>
        <v>Teknisa Service Ltda</v>
      </c>
      <c r="P7346" s="33">
        <f>IFERROR(__xludf.DUMMYFUNCTION("""COMPUTED_VALUE"""),0.5)</f>
        <v>0.5</v>
      </c>
      <c r="Q7346" s="4" t="str">
        <f>IFERROR(__xludf.DUMMYFUNCTION("""COMPUTED_VALUE"""),"Bitbar")</f>
        <v>Bitbar</v>
      </c>
      <c r="R7346" s="33">
        <f>IFERROR(__xludf.DUMMYFUNCTION("""COMPUTED_VALUE"""),1.0)</f>
        <v>1</v>
      </c>
      <c r="S7346" s="4" t="str">
        <f>IFERROR(__xludf.DUMMYFUNCTION("""COMPUTED_VALUE"""),"Bitbar")</f>
        <v>Bitbar</v>
      </c>
      <c r="T7346" s="33">
        <f>IFERROR(__xludf.DUMMYFUNCTION("""COMPUTED_VALUE"""),0.5)</f>
        <v>0.5</v>
      </c>
      <c r="U7346" s="4" t="str">
        <f>IFERROR(__xludf.DUMMYFUNCTION("""COMPUTED_VALUE"""),"Bitbar")</f>
        <v>Bitbar</v>
      </c>
      <c r="V7346" s="33">
        <f>IFERROR(__xludf.DUMMYFUNCTION("""COMPUTED_VALUE"""),1.0)</f>
        <v>1</v>
      </c>
      <c r="W7346" s="4" t="str">
        <f>IFERROR(__xludf.DUMMYFUNCTION("""COMPUTED_VALUE"""),"Bitbar")</f>
        <v>Bitbar</v>
      </c>
      <c r="X7346" s="33">
        <f>IFERROR(__xludf.DUMMYFUNCTION("""COMPUTED_VALUE"""),1.0)</f>
        <v>1</v>
      </c>
    </row>
    <row r="7347">
      <c r="K7347" s="4" t="str">
        <f>IFERROR(__xludf.DUMMYFUNCTION("""COMPUTED_VALUE"""),"KOIUMI SUSHI BAR")</f>
        <v>KOIUMI SUSHI BAR</v>
      </c>
      <c r="L7347" s="32">
        <f>IFERROR(__xludf.DUMMYFUNCTION("""COMPUTED_VALUE"""),2.0)</f>
        <v>2</v>
      </c>
      <c r="M7347" s="4" t="str">
        <f>IFERROR(__xludf.DUMMYFUNCTION("""COMPUTED_VALUE"""),"Consumer Soluções Em Tecnologia Ltda")</f>
        <v>Consumer Soluções Em Tecnologia Ltda</v>
      </c>
      <c r="N7347" s="33">
        <f>IFERROR(__xludf.DUMMYFUNCTION("""COMPUTED_VALUE"""),1.0)</f>
        <v>1</v>
      </c>
      <c r="O7347" s="4" t="str">
        <f>IFERROR(__xludf.DUMMYFUNCTION("""COMPUTED_VALUE"""),"Consumer Soluções Em Tecnologia Ltda")</f>
        <v>Consumer Soluções Em Tecnologia Ltda</v>
      </c>
      <c r="P7347" s="33">
        <f>IFERROR(__xludf.DUMMYFUNCTION("""COMPUTED_VALUE"""),1.0)</f>
        <v>1</v>
      </c>
      <c r="Q7347" s="4" t="str">
        <f>IFERROR(__xludf.DUMMYFUNCTION("""COMPUTED_VALUE"""),"Consumer Soluções Em Tecnologia Ltda")</f>
        <v>Consumer Soluções Em Tecnologia Ltda</v>
      </c>
      <c r="R7347" s="33">
        <f>IFERROR(__xludf.DUMMYFUNCTION("""COMPUTED_VALUE"""),1.0)</f>
        <v>1</v>
      </c>
      <c r="S7347" s="4" t="str">
        <f>IFERROR(__xludf.DUMMYFUNCTION("""COMPUTED_VALUE"""),"Consumer Soluções Em Tecnologia Ltda")</f>
        <v>Consumer Soluções Em Tecnologia Ltda</v>
      </c>
      <c r="T7347" s="33">
        <f>IFERROR(__xludf.DUMMYFUNCTION("""COMPUTED_VALUE"""),1.0)</f>
        <v>1</v>
      </c>
      <c r="U7347" s="4" t="str">
        <f>IFERROR(__xludf.DUMMYFUNCTION("""COMPUTED_VALUE"""),"Consumer Soluções Em Tecnologia Ltda")</f>
        <v>Consumer Soluções Em Tecnologia Ltda</v>
      </c>
      <c r="V7347" s="33">
        <f>IFERROR(__xludf.DUMMYFUNCTION("""COMPUTED_VALUE"""),1.0)</f>
        <v>1</v>
      </c>
      <c r="W7347" s="4" t="str">
        <f>IFERROR(__xludf.DUMMYFUNCTION("""COMPUTED_VALUE"""),"Consumer Soluções Em Tecnologia Ltda")</f>
        <v>Consumer Soluções Em Tecnologia Ltda</v>
      </c>
      <c r="X7347" s="33">
        <f>IFERROR(__xludf.DUMMYFUNCTION("""COMPUTED_VALUE"""),1.0)</f>
        <v>1</v>
      </c>
    </row>
    <row r="7348">
      <c r="K7348" s="4" t="str">
        <f>IFERROR(__xludf.DUMMYFUNCTION("""COMPUTED_VALUE"""),"KOMIKETO - CONTA MARCA")</f>
        <v>KOMIKETO - CONTA MARCA</v>
      </c>
      <c r="L7348" s="32">
        <f>IFERROR(__xludf.DUMMYFUNCTION("""COMPUTED_VALUE"""),2.0)</f>
        <v>2</v>
      </c>
      <c r="M7348" s="4" t="str">
        <f>IFERROR(__xludf.DUMMYFUNCTION("""COMPUTED_VALUE"""),"Stone Co.")</f>
        <v>Stone Co.</v>
      </c>
      <c r="N7348" s="33">
        <f>IFERROR(__xludf.DUMMYFUNCTION("""COMPUTED_VALUE"""),1.0)</f>
        <v>1</v>
      </c>
      <c r="O7348" s="4" t="str">
        <f>IFERROR(__xludf.DUMMYFUNCTION("""COMPUTED_VALUE"""),"Stone Co.")</f>
        <v>Stone Co.</v>
      </c>
      <c r="P7348" s="33">
        <f>IFERROR(__xludf.DUMMYFUNCTION("""COMPUTED_VALUE"""),1.0)</f>
        <v>1</v>
      </c>
      <c r="Q7348" s="4" t="str">
        <f>IFERROR(__xludf.DUMMYFUNCTION("""COMPUTED_VALUE"""),"Stone Co.")</f>
        <v>Stone Co.</v>
      </c>
      <c r="R7348" s="33">
        <f>IFERROR(__xludf.DUMMYFUNCTION("""COMPUTED_VALUE"""),1.0)</f>
        <v>1</v>
      </c>
      <c r="S7348" s="4" t="str">
        <f>IFERROR(__xludf.DUMMYFUNCTION("""COMPUTED_VALUE"""),"Stone Co.")</f>
        <v>Stone Co.</v>
      </c>
      <c r="T7348" s="33">
        <f>IFERROR(__xludf.DUMMYFUNCTION("""COMPUTED_VALUE"""),1.0)</f>
        <v>1</v>
      </c>
      <c r="U7348" s="4" t="str">
        <f>IFERROR(__xludf.DUMMYFUNCTION("""COMPUTED_VALUE"""),"Stone Co.")</f>
        <v>Stone Co.</v>
      </c>
      <c r="V7348" s="33">
        <f>IFERROR(__xludf.DUMMYFUNCTION("""COMPUTED_VALUE"""),1.0)</f>
        <v>1</v>
      </c>
      <c r="W7348" s="4" t="str">
        <f>IFERROR(__xludf.DUMMYFUNCTION("""COMPUTED_VALUE"""),"Stone Co.")</f>
        <v>Stone Co.</v>
      </c>
      <c r="X7348" s="33">
        <f>IFERROR(__xludf.DUMMYFUNCTION("""COMPUTED_VALUE"""),1.0)</f>
        <v>1</v>
      </c>
    </row>
    <row r="7349">
      <c r="K7349" s="4" t="str">
        <f>IFERROR(__xludf.DUMMYFUNCTION("""COMPUTED_VALUE"""),"KORUJAS LANCHONETE LTDA CONTA MARCA")</f>
        <v>KORUJAS LANCHONETE LTDA CONTA MARCA</v>
      </c>
      <c r="L7349" s="32">
        <f>IFERROR(__xludf.DUMMYFUNCTION("""COMPUTED_VALUE"""),2.0)</f>
        <v>2</v>
      </c>
      <c r="M7349" s="4" t="str">
        <f>IFERROR(__xludf.DUMMYFUNCTION("""COMPUTED_VALUE"""),"Nextage Sistemas De Informatica Ltda")</f>
        <v>Nextage Sistemas De Informatica Ltda</v>
      </c>
      <c r="N7349" s="33">
        <f>IFERROR(__xludf.DUMMYFUNCTION("""COMPUTED_VALUE"""),1.0)</f>
        <v>1</v>
      </c>
      <c r="O7349" s="4" t="str">
        <f>IFERROR(__xludf.DUMMYFUNCTION("""COMPUTED_VALUE"""),"Nextage Sistemas De Informatica Ltda")</f>
        <v>Nextage Sistemas De Informatica Ltda</v>
      </c>
      <c r="P7349" s="33">
        <f>IFERROR(__xludf.DUMMYFUNCTION("""COMPUTED_VALUE"""),1.0)</f>
        <v>1</v>
      </c>
      <c r="Q7349" s="4" t="str">
        <f>IFERROR(__xludf.DUMMYFUNCTION("""COMPUTED_VALUE"""),"Nextage Sistemas De Informatica Ltda")</f>
        <v>Nextage Sistemas De Informatica Ltda</v>
      </c>
      <c r="R7349" s="33">
        <f>IFERROR(__xludf.DUMMYFUNCTION("""COMPUTED_VALUE"""),1.0)</f>
        <v>1</v>
      </c>
      <c r="S7349" s="4" t="str">
        <f>IFERROR(__xludf.DUMMYFUNCTION("""COMPUTED_VALUE"""),"Nextage Sistemas De Informatica Ltda")</f>
        <v>Nextage Sistemas De Informatica Ltda</v>
      </c>
      <c r="T7349" s="33">
        <f>IFERROR(__xludf.DUMMYFUNCTION("""COMPUTED_VALUE"""),1.0)</f>
        <v>1</v>
      </c>
      <c r="U7349" s="4" t="str">
        <f>IFERROR(__xludf.DUMMYFUNCTION("""COMPUTED_VALUE"""),"Nextage Sistemas De Informatica Ltda")</f>
        <v>Nextage Sistemas De Informatica Ltda</v>
      </c>
      <c r="V7349" s="33">
        <f>IFERROR(__xludf.DUMMYFUNCTION("""COMPUTED_VALUE"""),1.0)</f>
        <v>1</v>
      </c>
      <c r="W7349" s="4" t="str">
        <f>IFERROR(__xludf.DUMMYFUNCTION("""COMPUTED_VALUE"""),"Nextage Sistemas De Informatica Ltda")</f>
        <v>Nextage Sistemas De Informatica Ltda</v>
      </c>
      <c r="X7349" s="33">
        <f>IFERROR(__xludf.DUMMYFUNCTION("""COMPUTED_VALUE"""),1.0)</f>
        <v>1</v>
      </c>
    </row>
    <row r="7350">
      <c r="K7350" s="4" t="str">
        <f>IFERROR(__xludf.DUMMYFUNCTION("""COMPUTED_VALUE"""),"KOTO BY MAKOTO")</f>
        <v>KOTO BY MAKOTO</v>
      </c>
      <c r="L7350" s="32">
        <f>IFERROR(__xludf.DUMMYFUNCTION("""COMPUTED_VALUE"""),2.0)</f>
        <v>2</v>
      </c>
      <c r="M7350" s="4" t="str">
        <f>IFERROR(__xludf.DUMMYFUNCTION("""COMPUTED_VALUE"""),"null")</f>
        <v>null</v>
      </c>
      <c r="N7350" s="33">
        <f>IFERROR(__xludf.DUMMYFUNCTION("""COMPUTED_VALUE"""),1.0)</f>
        <v>1</v>
      </c>
      <c r="O7350" s="4" t="str">
        <f>IFERROR(__xludf.DUMMYFUNCTION("""COMPUTED_VALUE"""),"null")</f>
        <v>null</v>
      </c>
      <c r="P7350" s="33">
        <f>IFERROR(__xludf.DUMMYFUNCTION("""COMPUTED_VALUE"""),1.0)</f>
        <v>1</v>
      </c>
      <c r="Q7350" s="4" t="str">
        <f>IFERROR(__xludf.DUMMYFUNCTION("""COMPUTED_VALUE"""),"Altec Sistemas")</f>
        <v>Altec Sistemas</v>
      </c>
      <c r="R7350" s="33">
        <f>IFERROR(__xludf.DUMMYFUNCTION("""COMPUTED_VALUE"""),0.5)</f>
        <v>0.5</v>
      </c>
      <c r="S7350" s="4" t="str">
        <f>IFERROR(__xludf.DUMMYFUNCTION("""COMPUTED_VALUE"""),"Altec Sistemas")</f>
        <v>Altec Sistemas</v>
      </c>
      <c r="T7350" s="33">
        <f>IFERROR(__xludf.DUMMYFUNCTION("""COMPUTED_VALUE"""),0.5)</f>
        <v>0.5</v>
      </c>
      <c r="U7350" s="4" t="str">
        <f>IFERROR(__xludf.DUMMYFUNCTION("""COMPUTED_VALUE"""),"Altec Sistemas")</f>
        <v>Altec Sistemas</v>
      </c>
      <c r="V7350" s="33">
        <f>IFERROR(__xludf.DUMMYFUNCTION("""COMPUTED_VALUE"""),1.0)</f>
        <v>1</v>
      </c>
      <c r="W7350" s="4" t="str">
        <f>IFERROR(__xludf.DUMMYFUNCTION("""COMPUTED_VALUE"""),"Altec Sistemas")</f>
        <v>Altec Sistemas</v>
      </c>
      <c r="X7350" s="33">
        <f>IFERROR(__xludf.DUMMYFUNCTION("""COMPUTED_VALUE"""),1.0)</f>
        <v>1</v>
      </c>
    </row>
    <row r="7351">
      <c r="K7351" s="4" t="str">
        <f>IFERROR(__xludf.DUMMYFUNCTION("""COMPUTED_VALUE"""),"KOUZINA RESTAURANTE - CONTA MARCA")</f>
        <v>KOUZINA RESTAURANTE - CONTA MARCA</v>
      </c>
      <c r="L7351" s="32">
        <f>IFERROR(__xludf.DUMMYFUNCTION("""COMPUTED_VALUE"""),2.0)</f>
        <v>2</v>
      </c>
      <c r="M7351" s="4" t="str">
        <f>IFERROR(__xludf.DUMMYFUNCTION("""COMPUTED_VALUE"""),"Saipos Serviços De Software")</f>
        <v>Saipos Serviços De Software</v>
      </c>
      <c r="N7351" s="33">
        <f>IFERROR(__xludf.DUMMYFUNCTION("""COMPUTED_VALUE"""),1.0)</f>
        <v>1</v>
      </c>
      <c r="O7351" s="4" t="str">
        <f>IFERROR(__xludf.DUMMYFUNCTION("""COMPUTED_VALUE"""),"Saipos Serviços De Software")</f>
        <v>Saipos Serviços De Software</v>
      </c>
      <c r="P7351" s="33">
        <f>IFERROR(__xludf.DUMMYFUNCTION("""COMPUTED_VALUE"""),1.0)</f>
        <v>1</v>
      </c>
      <c r="Q7351" s="4" t="str">
        <f>IFERROR(__xludf.DUMMYFUNCTION("""COMPUTED_VALUE"""),"Saipos Serviços De Software")</f>
        <v>Saipos Serviços De Software</v>
      </c>
      <c r="R7351" s="33">
        <f>IFERROR(__xludf.DUMMYFUNCTION("""COMPUTED_VALUE"""),1.0)</f>
        <v>1</v>
      </c>
      <c r="S7351" s="4" t="str">
        <f>IFERROR(__xludf.DUMMYFUNCTION("""COMPUTED_VALUE"""),"Saipos Serviços De Software")</f>
        <v>Saipos Serviços De Software</v>
      </c>
      <c r="T7351" s="33">
        <f>IFERROR(__xludf.DUMMYFUNCTION("""COMPUTED_VALUE"""),1.0)</f>
        <v>1</v>
      </c>
      <c r="U7351" s="4" t="str">
        <f>IFERROR(__xludf.DUMMYFUNCTION("""COMPUTED_VALUE"""),"Saipos Serviços De Software")</f>
        <v>Saipos Serviços De Software</v>
      </c>
      <c r="V7351" s="33">
        <f>IFERROR(__xludf.DUMMYFUNCTION("""COMPUTED_VALUE"""),1.0)</f>
        <v>1</v>
      </c>
      <c r="W7351" s="4" t="str">
        <f>IFERROR(__xludf.DUMMYFUNCTION("""COMPUTED_VALUE"""),"Saipos Serviços De Software")</f>
        <v>Saipos Serviços De Software</v>
      </c>
      <c r="X7351" s="33">
        <f>IFERROR(__xludf.DUMMYFUNCTION("""COMPUTED_VALUE"""),1.0)</f>
        <v>1</v>
      </c>
    </row>
    <row r="7352">
      <c r="K7352" s="4" t="str">
        <f>IFERROR(__xludf.DUMMYFUNCTION("""COMPUTED_VALUE"""),"KOYO JAPA - COMBINADO E SUSHI")</f>
        <v>KOYO JAPA - COMBINADO E SUSHI</v>
      </c>
      <c r="L7352" s="32">
        <f>IFERROR(__xludf.DUMMYFUNCTION("""COMPUTED_VALUE"""),2.0)</f>
        <v>2</v>
      </c>
      <c r="M7352" s="4" t="str">
        <f>IFERROR(__xludf.DUMMYFUNCTION("""COMPUTED_VALUE"""),"Beefood - Sistema Para Restaurantes")</f>
        <v>Beefood - Sistema Para Restaurantes</v>
      </c>
      <c r="N7352" s="33">
        <f>IFERROR(__xludf.DUMMYFUNCTION("""COMPUTED_VALUE"""),1.0)</f>
        <v>1</v>
      </c>
      <c r="O7352" s="4" t="str">
        <f>IFERROR(__xludf.DUMMYFUNCTION("""COMPUTED_VALUE"""),"Beefood - Sistema Para Restaurantes")</f>
        <v>Beefood - Sistema Para Restaurantes</v>
      </c>
      <c r="P7352" s="33">
        <f>IFERROR(__xludf.DUMMYFUNCTION("""COMPUTED_VALUE"""),1.0)</f>
        <v>1</v>
      </c>
      <c r="Q7352" s="4" t="str">
        <f>IFERROR(__xludf.DUMMYFUNCTION("""COMPUTED_VALUE"""),"Beefood - Sistema Para Restaurantes")</f>
        <v>Beefood - Sistema Para Restaurantes</v>
      </c>
      <c r="R7352" s="33">
        <f>IFERROR(__xludf.DUMMYFUNCTION("""COMPUTED_VALUE"""),0.5)</f>
        <v>0.5</v>
      </c>
      <c r="S7352" s="4" t="str">
        <f>IFERROR(__xludf.DUMMYFUNCTION("""COMPUTED_VALUE"""),"Beefood - Sistema Para Restaurantes")</f>
        <v>Beefood - Sistema Para Restaurantes</v>
      </c>
      <c r="T7352" s="33">
        <f>IFERROR(__xludf.DUMMYFUNCTION("""COMPUTED_VALUE"""),0.5)</f>
        <v>0.5</v>
      </c>
      <c r="U7352" s="4" t="str">
        <f>IFERROR(__xludf.DUMMYFUNCTION("""COMPUTED_VALUE"""),"Beefood - Sistema Para Restaurantes")</f>
        <v>Beefood - Sistema Para Restaurantes</v>
      </c>
      <c r="V7352" s="33">
        <f>IFERROR(__xludf.DUMMYFUNCTION("""COMPUTED_VALUE"""),0.5)</f>
        <v>0.5</v>
      </c>
      <c r="W7352" s="4" t="str">
        <f>IFERROR(__xludf.DUMMYFUNCTION("""COMPUTED_VALUE"""),"Beefood - Sistema Para Restaurantes")</f>
        <v>Beefood - Sistema Para Restaurantes</v>
      </c>
      <c r="X7352" s="33">
        <f>IFERROR(__xludf.DUMMYFUNCTION("""COMPUTED_VALUE"""),1.0)</f>
        <v>1</v>
      </c>
    </row>
    <row r="7353">
      <c r="K7353" s="4" t="str">
        <f>IFERROR(__xludf.DUMMYFUNCTION("""COMPUTED_VALUE"""),"KREP")</f>
        <v>KREP</v>
      </c>
      <c r="L7353" s="32">
        <f>IFERROR(__xludf.DUMMYFUNCTION("""COMPUTED_VALUE"""),2.0)</f>
        <v>2</v>
      </c>
      <c r="M7353" s="4" t="str">
        <f>IFERROR(__xludf.DUMMYFUNCTION("""COMPUTED_VALUE"""),"Anota Ai Solucoes Digitais S/a")</f>
        <v>Anota Ai Solucoes Digitais S/a</v>
      </c>
      <c r="N7353" s="33">
        <f>IFERROR(__xludf.DUMMYFUNCTION("""COMPUTED_VALUE"""),1.0)</f>
        <v>1</v>
      </c>
      <c r="O7353" s="4" t="str">
        <f>IFERROR(__xludf.DUMMYFUNCTION("""COMPUTED_VALUE"""),"Anota Ai Solucoes Digitais S/a")</f>
        <v>Anota Ai Solucoes Digitais S/a</v>
      </c>
      <c r="P7353" s="33">
        <f>IFERROR(__xludf.DUMMYFUNCTION("""COMPUTED_VALUE"""),1.0)</f>
        <v>1</v>
      </c>
      <c r="Q7353" s="4" t="str">
        <f>IFERROR(__xludf.DUMMYFUNCTION("""COMPUTED_VALUE"""),"Anota Ai Solucoes Digitais S/a")</f>
        <v>Anota Ai Solucoes Digitais S/a</v>
      </c>
      <c r="R7353" s="33">
        <f>IFERROR(__xludf.DUMMYFUNCTION("""COMPUTED_VALUE"""),0.5)</f>
        <v>0.5</v>
      </c>
      <c r="S7353" s="4" t="str">
        <f>IFERROR(__xludf.DUMMYFUNCTION("""COMPUTED_VALUE"""),"Anota Ai Solucoes Digitais S/a")</f>
        <v>Anota Ai Solucoes Digitais S/a</v>
      </c>
      <c r="T7353" s="33">
        <f>IFERROR(__xludf.DUMMYFUNCTION("""COMPUTED_VALUE"""),0.5)</f>
        <v>0.5</v>
      </c>
      <c r="U7353" s="4" t="str">
        <f>IFERROR(__xludf.DUMMYFUNCTION("""COMPUTED_VALUE"""),"Anota Ai Solucoes Digitais S/a")</f>
        <v>Anota Ai Solucoes Digitais S/a</v>
      </c>
      <c r="V7353" s="33">
        <f>IFERROR(__xludf.DUMMYFUNCTION("""COMPUTED_VALUE"""),1.0)</f>
        <v>1</v>
      </c>
      <c r="W7353" s="4" t="str">
        <f>IFERROR(__xludf.DUMMYFUNCTION("""COMPUTED_VALUE"""),"Anota Ai Solucoes Digitais S/a")</f>
        <v>Anota Ai Solucoes Digitais S/a</v>
      </c>
      <c r="X7353" s="33">
        <f>IFERROR(__xludf.DUMMYFUNCTION("""COMPUTED_VALUE"""),1.0)</f>
        <v>1</v>
      </c>
    </row>
    <row r="7354">
      <c r="K7354" s="4" t="str">
        <f>IFERROR(__xludf.DUMMYFUNCTION("""COMPUTED_VALUE"""),"KROKODILO BURGER - CP")</f>
        <v>KROKODILO BURGER - CP</v>
      </c>
      <c r="L7354" s="32">
        <f>IFERROR(__xludf.DUMMYFUNCTION("""COMPUTED_VALUE"""),2.0)</f>
        <v>2</v>
      </c>
      <c r="M7354" s="4" t="str">
        <f>IFERROR(__xludf.DUMMYFUNCTION("""COMPUTED_VALUE"""),"Yooga")</f>
        <v>Yooga</v>
      </c>
      <c r="N7354" s="33">
        <f>IFERROR(__xludf.DUMMYFUNCTION("""COMPUTED_VALUE"""),0.5)</f>
        <v>0.5</v>
      </c>
      <c r="O7354" s="4" t="str">
        <f>IFERROR(__xludf.DUMMYFUNCTION("""COMPUTED_VALUE"""),"Yooga")</f>
        <v>Yooga</v>
      </c>
      <c r="P7354" s="33">
        <f>IFERROR(__xludf.DUMMYFUNCTION("""COMPUTED_VALUE"""),0.5)</f>
        <v>0.5</v>
      </c>
      <c r="Q7354" s="4" t="str">
        <f>IFERROR(__xludf.DUMMYFUNCTION("""COMPUTED_VALUE"""),"null")</f>
        <v>null</v>
      </c>
      <c r="R7354" s="33">
        <f>IFERROR(__xludf.DUMMYFUNCTION("""COMPUTED_VALUE"""),0.5)</f>
        <v>0.5</v>
      </c>
      <c r="S7354" s="4" t="str">
        <f>IFERROR(__xludf.DUMMYFUNCTION("""COMPUTED_VALUE"""),"null")</f>
        <v>null</v>
      </c>
      <c r="T7354" s="33">
        <f>IFERROR(__xludf.DUMMYFUNCTION("""COMPUTED_VALUE"""),0.5)</f>
        <v>0.5</v>
      </c>
      <c r="U7354" s="4" t="str">
        <f>IFERROR(__xludf.DUMMYFUNCTION("""COMPUTED_VALUE"""),"null")</f>
        <v>null</v>
      </c>
      <c r="V7354" s="33">
        <f>IFERROR(__xludf.DUMMYFUNCTION("""COMPUTED_VALUE"""),0.5)</f>
        <v>0.5</v>
      </c>
      <c r="W7354" s="4" t="str">
        <f>IFERROR(__xludf.DUMMYFUNCTION("""COMPUTED_VALUE"""),"null")</f>
        <v>null</v>
      </c>
      <c r="X7354" s="33">
        <f>IFERROR(__xludf.DUMMYFUNCTION("""COMPUTED_VALUE"""),0.5)</f>
        <v>0.5</v>
      </c>
    </row>
    <row r="7355">
      <c r="K7355" s="4" t="str">
        <f>IFERROR(__xludf.DUMMYFUNCTION("""COMPUTED_VALUE"""),"KUKA FRESKA PET CENTER CICA - MARCA")</f>
        <v>KUKA FRESKA PET CENTER CICA - MARCA</v>
      </c>
      <c r="L7355" s="32">
        <f>IFERROR(__xludf.DUMMYFUNCTION("""COMPUTED_VALUE"""),2.0)</f>
        <v>2</v>
      </c>
      <c r="M7355" s="4" t="str">
        <f>IFERROR(__xludf.DUMMYFUNCTION("""COMPUTED_VALUE"""),"N/A (Not found)")</f>
        <v>N/A (Not found)</v>
      </c>
      <c r="N7355" s="33">
        <f>IFERROR(__xludf.DUMMYFUNCTION("""COMPUTED_VALUE"""),1.0)</f>
        <v>1</v>
      </c>
      <c r="O7355" s="4" t="str">
        <f>IFERROR(__xludf.DUMMYFUNCTION("""COMPUTED_VALUE"""),"N/A (Not found)")</f>
        <v>N/A (Not found)</v>
      </c>
      <c r="P7355" s="33">
        <f>IFERROR(__xludf.DUMMYFUNCTION("""COMPUTED_VALUE"""),1.0)</f>
        <v>1</v>
      </c>
      <c r="Q7355" s="4" t="str">
        <f>IFERROR(__xludf.DUMMYFUNCTION("""COMPUTED_VALUE"""),"N/A (Not found)")</f>
        <v>N/A (Not found)</v>
      </c>
      <c r="R7355" s="33">
        <f>IFERROR(__xludf.DUMMYFUNCTION("""COMPUTED_VALUE"""),1.0)</f>
        <v>1</v>
      </c>
      <c r="S7355" s="4" t="str">
        <f>IFERROR(__xludf.DUMMYFUNCTION("""COMPUTED_VALUE"""),"N/A (Not found)")</f>
        <v>N/A (Not found)</v>
      </c>
      <c r="T7355" s="33">
        <f>IFERROR(__xludf.DUMMYFUNCTION("""COMPUTED_VALUE"""),1.0)</f>
        <v>1</v>
      </c>
      <c r="U7355" s="4" t="str">
        <f>IFERROR(__xludf.DUMMYFUNCTION("""COMPUTED_VALUE"""),"N/A (Not found)")</f>
        <v>N/A (Not found)</v>
      </c>
      <c r="V7355" s="33">
        <f>IFERROR(__xludf.DUMMYFUNCTION("""COMPUTED_VALUE"""),1.0)</f>
        <v>1</v>
      </c>
      <c r="W7355" s="4" t="str">
        <f>IFERROR(__xludf.DUMMYFUNCTION("""COMPUTED_VALUE"""),"N/A (Not found)")</f>
        <v>N/A (Not found)</v>
      </c>
      <c r="X7355" s="33">
        <f>IFERROR(__xludf.DUMMYFUNCTION("""COMPUTED_VALUE"""),1.0)</f>
        <v>1</v>
      </c>
    </row>
    <row r="7356">
      <c r="K7356" s="4" t="str">
        <f>IFERROR(__xludf.DUMMYFUNCTION("""COMPUTED_VALUE"""),"KYOWA E NAKASHIMA ATIBAIA")</f>
        <v>KYOWA E NAKASHIMA ATIBAIA</v>
      </c>
      <c r="L7356" s="32">
        <f>IFERROR(__xludf.DUMMYFUNCTION("""COMPUTED_VALUE"""),2.0)</f>
        <v>2</v>
      </c>
      <c r="M7356" s="4" t="str">
        <f>IFERROR(__xludf.DUMMYFUNCTION("""COMPUTED_VALUE"""),"Infoluck Sistemas")</f>
        <v>Infoluck Sistemas</v>
      </c>
      <c r="N7356" s="33">
        <f>IFERROR(__xludf.DUMMYFUNCTION("""COMPUTED_VALUE"""),1.0)</f>
        <v>1</v>
      </c>
      <c r="O7356" s="4" t="str">
        <f>IFERROR(__xludf.DUMMYFUNCTION("""COMPUTED_VALUE"""),"Infoluck Sistemas")</f>
        <v>Infoluck Sistemas</v>
      </c>
      <c r="P7356" s="33">
        <f>IFERROR(__xludf.DUMMYFUNCTION("""COMPUTED_VALUE"""),1.0)</f>
        <v>1</v>
      </c>
      <c r="Q7356" s="4" t="str">
        <f>IFERROR(__xludf.DUMMYFUNCTION("""COMPUTED_VALUE"""),"Infoluck Sistemas")</f>
        <v>Infoluck Sistemas</v>
      </c>
      <c r="R7356" s="33">
        <f>IFERROR(__xludf.DUMMYFUNCTION("""COMPUTED_VALUE"""),1.0)</f>
        <v>1</v>
      </c>
      <c r="S7356" s="4" t="str">
        <f>IFERROR(__xludf.DUMMYFUNCTION("""COMPUTED_VALUE"""),"Infoluck Sistemas")</f>
        <v>Infoluck Sistemas</v>
      </c>
      <c r="T7356" s="33">
        <f>IFERROR(__xludf.DUMMYFUNCTION("""COMPUTED_VALUE"""),1.0)</f>
        <v>1</v>
      </c>
      <c r="U7356" s="4" t="str">
        <f>IFERROR(__xludf.DUMMYFUNCTION("""COMPUTED_VALUE"""),"Infoluck Sistemas")</f>
        <v>Infoluck Sistemas</v>
      </c>
      <c r="V7356" s="33">
        <f>IFERROR(__xludf.DUMMYFUNCTION("""COMPUTED_VALUE"""),1.0)</f>
        <v>1</v>
      </c>
      <c r="W7356" s="4" t="str">
        <f>IFERROR(__xludf.DUMMYFUNCTION("""COMPUTED_VALUE"""),"Infoluck Sistemas")</f>
        <v>Infoluck Sistemas</v>
      </c>
      <c r="X7356" s="33">
        <f>IFERROR(__xludf.DUMMYFUNCTION("""COMPUTED_VALUE"""),1.0)</f>
        <v>1</v>
      </c>
    </row>
    <row r="7357">
      <c r="K7357" s="4" t="str">
        <f>IFERROR(__xludf.DUMMYFUNCTION("""COMPUTED_VALUE"""),"L L BURGER")</f>
        <v>L L BURGER</v>
      </c>
      <c r="L7357" s="32">
        <f>IFERROR(__xludf.DUMMYFUNCTION("""COMPUTED_VALUE"""),2.0)</f>
        <v>2</v>
      </c>
      <c r="M7357" s="4" t="str">
        <f>IFERROR(__xludf.DUMMYFUNCTION("""COMPUTED_VALUE"""),"Cardápio Web")</f>
        <v>Cardápio Web</v>
      </c>
      <c r="N7357" s="33">
        <f>IFERROR(__xludf.DUMMYFUNCTION("""COMPUTED_VALUE"""),1.0)</f>
        <v>1</v>
      </c>
      <c r="O7357" s="4" t="str">
        <f>IFERROR(__xludf.DUMMYFUNCTION("""COMPUTED_VALUE"""),"Cardápio Web")</f>
        <v>Cardápio Web</v>
      </c>
      <c r="P7357" s="33">
        <f>IFERROR(__xludf.DUMMYFUNCTION("""COMPUTED_VALUE"""),1.0)</f>
        <v>1</v>
      </c>
      <c r="Q7357" s="4" t="str">
        <f>IFERROR(__xludf.DUMMYFUNCTION("""COMPUTED_VALUE"""),"Cardápio Web")</f>
        <v>Cardápio Web</v>
      </c>
      <c r="R7357" s="33">
        <f>IFERROR(__xludf.DUMMYFUNCTION("""COMPUTED_VALUE"""),1.0)</f>
        <v>1</v>
      </c>
      <c r="S7357" s="4" t="str">
        <f>IFERROR(__xludf.DUMMYFUNCTION("""COMPUTED_VALUE"""),"Cardápio Web")</f>
        <v>Cardápio Web</v>
      </c>
      <c r="T7357" s="33">
        <f>IFERROR(__xludf.DUMMYFUNCTION("""COMPUTED_VALUE"""),1.0)</f>
        <v>1</v>
      </c>
      <c r="U7357" s="4" t="str">
        <f>IFERROR(__xludf.DUMMYFUNCTION("""COMPUTED_VALUE"""),"Cardápio Web")</f>
        <v>Cardápio Web</v>
      </c>
      <c r="V7357" s="33">
        <f>IFERROR(__xludf.DUMMYFUNCTION("""COMPUTED_VALUE"""),1.0)</f>
        <v>1</v>
      </c>
      <c r="W7357" s="4" t="str">
        <f>IFERROR(__xludf.DUMMYFUNCTION("""COMPUTED_VALUE"""),"Cardápio Web")</f>
        <v>Cardápio Web</v>
      </c>
      <c r="X7357" s="33">
        <f>IFERROR(__xludf.DUMMYFUNCTION("""COMPUTED_VALUE"""),1.0)</f>
        <v>1</v>
      </c>
    </row>
    <row r="7358">
      <c r="K7358" s="4" t="str">
        <f>IFERROR(__xludf.DUMMYFUNCTION("""COMPUTED_VALUE"""),"LA BELLA ITALIA")</f>
        <v>LA BELLA ITALIA</v>
      </c>
      <c r="L7358" s="32">
        <f>IFERROR(__xludf.DUMMYFUNCTION("""COMPUTED_VALUE"""),2.0)</f>
        <v>2</v>
      </c>
      <c r="M7358" s="4" t="str">
        <f>IFERROR(__xludf.DUMMYFUNCTION("""COMPUTED_VALUE"""),"null")</f>
        <v>null</v>
      </c>
      <c r="N7358" s="33">
        <f>IFERROR(__xludf.DUMMYFUNCTION("""COMPUTED_VALUE"""),0.5)</f>
        <v>0.5</v>
      </c>
      <c r="O7358" s="4" t="str">
        <f>IFERROR(__xludf.DUMMYFUNCTION("""COMPUTED_VALUE"""),"Solução Sistemas")</f>
        <v>Solução Sistemas</v>
      </c>
      <c r="P7358" s="33">
        <f>IFERROR(__xludf.DUMMYFUNCTION("""COMPUTED_VALUE"""),1.0)</f>
        <v>1</v>
      </c>
      <c r="Q7358" s="4" t="str">
        <f>IFERROR(__xludf.DUMMYFUNCTION("""COMPUTED_VALUE"""),"Solução Sistemas")</f>
        <v>Solução Sistemas</v>
      </c>
      <c r="R7358" s="33">
        <f>IFERROR(__xludf.DUMMYFUNCTION("""COMPUTED_VALUE"""),1.0)</f>
        <v>1</v>
      </c>
      <c r="S7358" s="4" t="str">
        <f>IFERROR(__xludf.DUMMYFUNCTION("""COMPUTED_VALUE"""),"Solução Sistemas")</f>
        <v>Solução Sistemas</v>
      </c>
      <c r="T7358" s="33">
        <f>IFERROR(__xludf.DUMMYFUNCTION("""COMPUTED_VALUE"""),1.0)</f>
        <v>1</v>
      </c>
      <c r="U7358" s="4" t="str">
        <f>IFERROR(__xludf.DUMMYFUNCTION("""COMPUTED_VALUE"""),"Solução Sistemas")</f>
        <v>Solução Sistemas</v>
      </c>
      <c r="V7358" s="33">
        <f>IFERROR(__xludf.DUMMYFUNCTION("""COMPUTED_VALUE"""),1.0)</f>
        <v>1</v>
      </c>
      <c r="W7358" s="4" t="str">
        <f>IFERROR(__xludf.DUMMYFUNCTION("""COMPUTED_VALUE"""),"Solução Sistemas")</f>
        <v>Solução Sistemas</v>
      </c>
      <c r="X7358" s="33">
        <f>IFERROR(__xludf.DUMMYFUNCTION("""COMPUTED_VALUE"""),1.0)</f>
        <v>1</v>
      </c>
    </row>
    <row r="7359">
      <c r="K7359" s="4" t="str">
        <f>IFERROR(__xludf.DUMMYFUNCTION("""COMPUTED_VALUE"""),"LA BORRATXERIA")</f>
        <v>LA BORRATXERIA</v>
      </c>
      <c r="L7359" s="32">
        <f>IFERROR(__xludf.DUMMYFUNCTION("""COMPUTED_VALUE"""),2.0)</f>
        <v>2</v>
      </c>
      <c r="M7359" s="4" t="str">
        <f>IFERROR(__xludf.DUMMYFUNCTION("""COMPUTED_VALUE"""),"Altec Sistemas")</f>
        <v>Altec Sistemas</v>
      </c>
      <c r="N7359" s="33">
        <f>IFERROR(__xludf.DUMMYFUNCTION("""COMPUTED_VALUE"""),1.0)</f>
        <v>1</v>
      </c>
      <c r="O7359" s="4" t="str">
        <f>IFERROR(__xludf.DUMMYFUNCTION("""COMPUTED_VALUE"""),"Altec Sistemas")</f>
        <v>Altec Sistemas</v>
      </c>
      <c r="P7359" s="33">
        <f>IFERROR(__xludf.DUMMYFUNCTION("""COMPUTED_VALUE"""),1.0)</f>
        <v>1</v>
      </c>
      <c r="Q7359" s="4" t="str">
        <f>IFERROR(__xludf.DUMMYFUNCTION("""COMPUTED_VALUE"""),"Altec Sistemas")</f>
        <v>Altec Sistemas</v>
      </c>
      <c r="R7359" s="33">
        <f>IFERROR(__xludf.DUMMYFUNCTION("""COMPUTED_VALUE"""),1.0)</f>
        <v>1</v>
      </c>
      <c r="S7359" s="4" t="str">
        <f>IFERROR(__xludf.DUMMYFUNCTION("""COMPUTED_VALUE"""),"Altec Sistemas")</f>
        <v>Altec Sistemas</v>
      </c>
      <c r="T7359" s="33">
        <f>IFERROR(__xludf.DUMMYFUNCTION("""COMPUTED_VALUE"""),1.0)</f>
        <v>1</v>
      </c>
      <c r="U7359" s="4" t="str">
        <f>IFERROR(__xludf.DUMMYFUNCTION("""COMPUTED_VALUE"""),"Altec Sistemas")</f>
        <v>Altec Sistemas</v>
      </c>
      <c r="V7359" s="33">
        <f>IFERROR(__xludf.DUMMYFUNCTION("""COMPUTED_VALUE"""),1.0)</f>
        <v>1</v>
      </c>
      <c r="W7359" s="4" t="str">
        <f>IFERROR(__xludf.DUMMYFUNCTION("""COMPUTED_VALUE"""),"Altec Sistemas")</f>
        <v>Altec Sistemas</v>
      </c>
      <c r="X7359" s="33">
        <f>IFERROR(__xludf.DUMMYFUNCTION("""COMPUTED_VALUE"""),1.0)</f>
        <v>1</v>
      </c>
    </row>
    <row r="7360">
      <c r="K7360" s="4" t="str">
        <f>IFERROR(__xludf.DUMMYFUNCTION("""COMPUTED_VALUE"""),"LA BUENA ONDA")</f>
        <v>LA BUENA ONDA</v>
      </c>
      <c r="L7360" s="32">
        <f>IFERROR(__xludf.DUMMYFUNCTION("""COMPUTED_VALUE"""),2.0)</f>
        <v>2</v>
      </c>
      <c r="M7360" s="4" t="str">
        <f>IFERROR(__xludf.DUMMYFUNCTION("""COMPUTED_VALUE"""),"Saipos Serviços De Software")</f>
        <v>Saipos Serviços De Software</v>
      </c>
      <c r="N7360" s="33">
        <f>IFERROR(__xludf.DUMMYFUNCTION("""COMPUTED_VALUE"""),0.5)</f>
        <v>0.5</v>
      </c>
      <c r="O7360" s="4" t="str">
        <f>IFERROR(__xludf.DUMMYFUNCTION("""COMPUTED_VALUE"""),"Saipos Serviços De Software")</f>
        <v>Saipos Serviços De Software</v>
      </c>
      <c r="P7360" s="33">
        <f>IFERROR(__xludf.DUMMYFUNCTION("""COMPUTED_VALUE"""),0.5)</f>
        <v>0.5</v>
      </c>
      <c r="Q7360" s="4" t="str">
        <f>IFERROR(__xludf.DUMMYFUNCTION("""COMPUTED_VALUE"""),"Saipos Serviços De Software")</f>
        <v>Saipos Serviços De Software</v>
      </c>
      <c r="R7360" s="33">
        <f>IFERROR(__xludf.DUMMYFUNCTION("""COMPUTED_VALUE"""),0.5)</f>
        <v>0.5</v>
      </c>
      <c r="S7360" s="4" t="str">
        <f>IFERROR(__xludf.DUMMYFUNCTION("""COMPUTED_VALUE"""),"Saipos Serviços De Software")</f>
        <v>Saipos Serviços De Software</v>
      </c>
      <c r="T7360" s="33">
        <f>IFERROR(__xludf.DUMMYFUNCTION("""COMPUTED_VALUE"""),0.5)</f>
        <v>0.5</v>
      </c>
      <c r="U7360" s="4" t="str">
        <f>IFERROR(__xludf.DUMMYFUNCTION("""COMPUTED_VALUE"""),"Saipos Serviços De Software")</f>
        <v>Saipos Serviços De Software</v>
      </c>
      <c r="V7360" s="33">
        <f>IFERROR(__xludf.DUMMYFUNCTION("""COMPUTED_VALUE"""),0.5)</f>
        <v>0.5</v>
      </c>
      <c r="W7360" s="4" t="str">
        <f>IFERROR(__xludf.DUMMYFUNCTION("""COMPUTED_VALUE"""),"Saipos Serviços De Software")</f>
        <v>Saipos Serviços De Software</v>
      </c>
      <c r="X7360" s="33">
        <f>IFERROR(__xludf.DUMMYFUNCTION("""COMPUTED_VALUE"""),0.5)</f>
        <v>0.5</v>
      </c>
    </row>
    <row r="7361">
      <c r="K7361" s="4" t="str">
        <f>IFERROR(__xludf.DUMMYFUNCTION("""COMPUTED_VALUE"""),"LA CHAPA THE")</f>
        <v>LA CHAPA THE</v>
      </c>
      <c r="L7361" s="32">
        <f>IFERROR(__xludf.DUMMYFUNCTION("""COMPUTED_VALUE"""),2.0)</f>
        <v>2</v>
      </c>
      <c r="M7361" s="4" t="str">
        <f>IFERROR(__xludf.DUMMYFUNCTION("""COMPUTED_VALUE"""),"Consumer Soluções Em Tecnologia Ltda")</f>
        <v>Consumer Soluções Em Tecnologia Ltda</v>
      </c>
      <c r="N7361" s="33">
        <f>IFERROR(__xludf.DUMMYFUNCTION("""COMPUTED_VALUE"""),1.0)</f>
        <v>1</v>
      </c>
      <c r="O7361" s="4" t="str">
        <f>IFERROR(__xludf.DUMMYFUNCTION("""COMPUTED_VALUE"""),"Consumer Soluções Em Tecnologia Ltda")</f>
        <v>Consumer Soluções Em Tecnologia Ltda</v>
      </c>
      <c r="P7361" s="33">
        <f>IFERROR(__xludf.DUMMYFUNCTION("""COMPUTED_VALUE"""),1.0)</f>
        <v>1</v>
      </c>
      <c r="Q7361" s="4" t="str">
        <f>IFERROR(__xludf.DUMMYFUNCTION("""COMPUTED_VALUE"""),"Consumer Soluções Em Tecnologia Ltda")</f>
        <v>Consumer Soluções Em Tecnologia Ltda</v>
      </c>
      <c r="R7361" s="33">
        <f>IFERROR(__xludf.DUMMYFUNCTION("""COMPUTED_VALUE"""),1.0)</f>
        <v>1</v>
      </c>
      <c r="S7361" s="4" t="str">
        <f>IFERROR(__xludf.DUMMYFUNCTION("""COMPUTED_VALUE"""),"Consumer Soluções Em Tecnologia Ltda")</f>
        <v>Consumer Soluções Em Tecnologia Ltda</v>
      </c>
      <c r="T7361" s="33">
        <f>IFERROR(__xludf.DUMMYFUNCTION("""COMPUTED_VALUE"""),1.0)</f>
        <v>1</v>
      </c>
      <c r="U7361" s="4" t="str">
        <f>IFERROR(__xludf.DUMMYFUNCTION("""COMPUTED_VALUE"""),"Consumer Soluções Em Tecnologia Ltda")</f>
        <v>Consumer Soluções Em Tecnologia Ltda</v>
      </c>
      <c r="V7361" s="33">
        <f>IFERROR(__xludf.DUMMYFUNCTION("""COMPUTED_VALUE"""),1.0)</f>
        <v>1</v>
      </c>
      <c r="W7361" s="4" t="str">
        <f>IFERROR(__xludf.DUMMYFUNCTION("""COMPUTED_VALUE"""),"Cardápio Web")</f>
        <v>Cardápio Web</v>
      </c>
      <c r="X7361" s="33">
        <f>IFERROR(__xludf.DUMMYFUNCTION("""COMPUTED_VALUE"""),1.0)</f>
        <v>1</v>
      </c>
    </row>
    <row r="7362">
      <c r="K7362" s="4" t="str">
        <f>IFERROR(__xludf.DUMMYFUNCTION("""COMPUTED_VALUE"""),"LA CHOCOLE DOCERIA")</f>
        <v>LA CHOCOLE DOCERIA</v>
      </c>
      <c r="L7362" s="32">
        <f>IFERROR(__xludf.DUMMYFUNCTION("""COMPUTED_VALUE"""),2.0)</f>
        <v>2</v>
      </c>
      <c r="M7362" s="4">
        <f>IFERROR(__xludf.DUMMYFUNCTION("""COMPUTED_VALUE"""),88.0)</f>
        <v>88</v>
      </c>
      <c r="N7362" s="33">
        <f>IFERROR(__xludf.DUMMYFUNCTION("""COMPUTED_VALUE"""),1.0)</f>
        <v>1</v>
      </c>
      <c r="O7362" s="4" t="str">
        <f>IFERROR(__xludf.DUMMYFUNCTION("""COMPUTED_VALUE"""),"null")</f>
        <v>null</v>
      </c>
      <c r="P7362" s="33">
        <f>IFERROR(__xludf.DUMMYFUNCTION("""COMPUTED_VALUE"""),1.0)</f>
        <v>1</v>
      </c>
      <c r="Q7362" s="4" t="str">
        <f>IFERROR(__xludf.DUMMYFUNCTION("""COMPUTED_VALUE"""),"null")</f>
        <v>null</v>
      </c>
      <c r="R7362" s="33">
        <f>IFERROR(__xludf.DUMMYFUNCTION("""COMPUTED_VALUE"""),1.0)</f>
        <v>1</v>
      </c>
      <c r="S7362" s="4" t="str">
        <f>IFERROR(__xludf.DUMMYFUNCTION("""COMPUTED_VALUE"""),"null")</f>
        <v>null</v>
      </c>
      <c r="T7362" s="33">
        <f>IFERROR(__xludf.DUMMYFUNCTION("""COMPUTED_VALUE"""),1.0)</f>
        <v>1</v>
      </c>
      <c r="U7362" s="4" t="str">
        <f>IFERROR(__xludf.DUMMYFUNCTION("""COMPUTED_VALUE"""),"null")</f>
        <v>null</v>
      </c>
      <c r="V7362" s="33">
        <f>IFERROR(__xludf.DUMMYFUNCTION("""COMPUTED_VALUE"""),1.0)</f>
        <v>1</v>
      </c>
      <c r="W7362" s="4" t="str">
        <f>IFERROR(__xludf.DUMMYFUNCTION("""COMPUTED_VALUE"""),"null")</f>
        <v>null</v>
      </c>
      <c r="X7362" s="33">
        <f>IFERROR(__xludf.DUMMYFUNCTION("""COMPUTED_VALUE"""),1.0)</f>
        <v>1</v>
      </c>
    </row>
    <row r="7363">
      <c r="K7363" s="4" t="str">
        <f>IFERROR(__xludf.DUMMYFUNCTION("""COMPUTED_VALUE"""),"LA FRANCESE - RIBEIRAO PRETO")</f>
        <v>LA FRANCESE - RIBEIRAO PRETO</v>
      </c>
      <c r="L7363" s="32">
        <f>IFERROR(__xludf.DUMMYFUNCTION("""COMPUTED_VALUE"""),2.0)</f>
        <v>2</v>
      </c>
      <c r="M7363" s="4" t="str">
        <f>IFERROR(__xludf.DUMMYFUNCTION("""COMPUTED_VALUE"""),"null")</f>
        <v>null</v>
      </c>
      <c r="N7363" s="33">
        <f>IFERROR(__xludf.DUMMYFUNCTION("""COMPUTED_VALUE"""),1.0)</f>
        <v>1</v>
      </c>
      <c r="O7363" s="4" t="str">
        <f>IFERROR(__xludf.DUMMYFUNCTION("""COMPUTED_VALUE"""),"null")</f>
        <v>null</v>
      </c>
      <c r="P7363" s="33">
        <f>IFERROR(__xludf.DUMMYFUNCTION("""COMPUTED_VALUE"""),1.0)</f>
        <v>1</v>
      </c>
      <c r="Q7363" s="4" t="str">
        <f>IFERROR(__xludf.DUMMYFUNCTION("""COMPUTED_VALUE"""),"Saipos Serviços De Software")</f>
        <v>Saipos Serviços De Software</v>
      </c>
      <c r="R7363" s="33">
        <f>IFERROR(__xludf.DUMMYFUNCTION("""COMPUTED_VALUE"""),0.5)</f>
        <v>0.5</v>
      </c>
      <c r="S7363" s="4" t="str">
        <f>IFERROR(__xludf.DUMMYFUNCTION("""COMPUTED_VALUE"""),"Saipos Serviços De Software")</f>
        <v>Saipos Serviços De Software</v>
      </c>
      <c r="T7363" s="33">
        <f>IFERROR(__xludf.DUMMYFUNCTION("""COMPUTED_VALUE"""),1.0)</f>
        <v>1</v>
      </c>
      <c r="U7363" s="4" t="str">
        <f>IFERROR(__xludf.DUMMYFUNCTION("""COMPUTED_VALUE"""),"null")</f>
        <v>null</v>
      </c>
      <c r="V7363" s="33">
        <f>IFERROR(__xludf.DUMMYFUNCTION("""COMPUTED_VALUE"""),0.5)</f>
        <v>0.5</v>
      </c>
      <c r="W7363" s="4" t="str">
        <f>IFERROR(__xludf.DUMMYFUNCTION("""COMPUTED_VALUE"""),"null")</f>
        <v>null</v>
      </c>
      <c r="X7363" s="33">
        <f>IFERROR(__xludf.DUMMYFUNCTION("""COMPUTED_VALUE"""),0.5)</f>
        <v>0.5</v>
      </c>
    </row>
    <row r="7364">
      <c r="K7364" s="4" t="str">
        <f>IFERROR(__xludf.DUMMYFUNCTION("""COMPUTED_VALUE"""),"LA GONDOLA LONDRINA")</f>
        <v>LA GONDOLA LONDRINA</v>
      </c>
      <c r="L7364" s="32">
        <f>IFERROR(__xludf.DUMMYFUNCTION("""COMPUTED_VALUE"""),2.0)</f>
        <v>2</v>
      </c>
      <c r="M7364" s="4" t="str">
        <f>IFERROR(__xludf.DUMMYFUNCTION("""COMPUTED_VALUE"""),"Sagres Automação Comercial")</f>
        <v>Sagres Automação Comercial</v>
      </c>
      <c r="N7364" s="33">
        <f>IFERROR(__xludf.DUMMYFUNCTION("""COMPUTED_VALUE"""),1.0)</f>
        <v>1</v>
      </c>
      <c r="O7364" s="4" t="str">
        <f>IFERROR(__xludf.DUMMYFUNCTION("""COMPUTED_VALUE"""),"Sagres Automação Comercial")</f>
        <v>Sagres Automação Comercial</v>
      </c>
      <c r="P7364" s="33">
        <f>IFERROR(__xludf.DUMMYFUNCTION("""COMPUTED_VALUE"""),1.0)</f>
        <v>1</v>
      </c>
      <c r="Q7364" s="4" t="str">
        <f>IFERROR(__xludf.DUMMYFUNCTION("""COMPUTED_VALUE"""),"Sagres Automação Comercial")</f>
        <v>Sagres Automação Comercial</v>
      </c>
      <c r="R7364" s="33">
        <f>IFERROR(__xludf.DUMMYFUNCTION("""COMPUTED_VALUE"""),1.0)</f>
        <v>1</v>
      </c>
      <c r="S7364" s="4" t="str">
        <f>IFERROR(__xludf.DUMMYFUNCTION("""COMPUTED_VALUE"""),"Sagres Automação Comercial")</f>
        <v>Sagres Automação Comercial</v>
      </c>
      <c r="T7364" s="33">
        <f>IFERROR(__xludf.DUMMYFUNCTION("""COMPUTED_VALUE"""),1.0)</f>
        <v>1</v>
      </c>
      <c r="U7364" s="4" t="str">
        <f>IFERROR(__xludf.DUMMYFUNCTION("""COMPUTED_VALUE"""),"Sagres Automação Comercial")</f>
        <v>Sagres Automação Comercial</v>
      </c>
      <c r="V7364" s="33">
        <f>IFERROR(__xludf.DUMMYFUNCTION("""COMPUTED_VALUE"""),1.0)</f>
        <v>1</v>
      </c>
      <c r="W7364" s="4" t="str">
        <f>IFERROR(__xludf.DUMMYFUNCTION("""COMPUTED_VALUE"""),"Sagres Automação Comercial")</f>
        <v>Sagres Automação Comercial</v>
      </c>
      <c r="X7364" s="33">
        <f>IFERROR(__xludf.DUMMYFUNCTION("""COMPUTED_VALUE"""),1.0)</f>
        <v>1</v>
      </c>
    </row>
    <row r="7365">
      <c r="K7365" s="4" t="str">
        <f>IFERROR(__xludf.DUMMYFUNCTION("""COMPUTED_VALUE"""),"LA NONNA DI LUCCA")</f>
        <v>LA NONNA DI LUCCA</v>
      </c>
      <c r="L7365" s="32">
        <f>IFERROR(__xludf.DUMMYFUNCTION("""COMPUTED_VALUE"""),2.0)</f>
        <v>2</v>
      </c>
      <c r="M7365" s="4" t="str">
        <f>IFERROR(__xludf.DUMMYFUNCTION("""COMPUTED_VALUE"""),"Ncr")</f>
        <v>Ncr</v>
      </c>
      <c r="N7365" s="33">
        <f>IFERROR(__xludf.DUMMYFUNCTION("""COMPUTED_VALUE"""),0.5)</f>
        <v>0.5</v>
      </c>
      <c r="O7365" s="4" t="str">
        <f>IFERROR(__xludf.DUMMYFUNCTION("""COMPUTED_VALUE"""),"Gula.menu Tecnologia Ltda.")</f>
        <v>Gula.menu Tecnologia Ltda.</v>
      </c>
      <c r="P7365" s="33">
        <f>IFERROR(__xludf.DUMMYFUNCTION("""COMPUTED_VALUE"""),1.0)</f>
        <v>1</v>
      </c>
      <c r="Q7365" s="4" t="str">
        <f>IFERROR(__xludf.DUMMYFUNCTION("""COMPUTED_VALUE"""),"Gula.menu Tecnologia Ltda.")</f>
        <v>Gula.menu Tecnologia Ltda.</v>
      </c>
      <c r="R7365" s="33">
        <f>IFERROR(__xludf.DUMMYFUNCTION("""COMPUTED_VALUE"""),1.0)</f>
        <v>1</v>
      </c>
      <c r="S7365" s="4" t="str">
        <f>IFERROR(__xludf.DUMMYFUNCTION("""COMPUTED_VALUE"""),"Gula.menu Tecnologia Ltda.")</f>
        <v>Gula.menu Tecnologia Ltda.</v>
      </c>
      <c r="T7365" s="33">
        <f>IFERROR(__xludf.DUMMYFUNCTION("""COMPUTED_VALUE"""),1.0)</f>
        <v>1</v>
      </c>
      <c r="U7365" s="4" t="str">
        <f>IFERROR(__xludf.DUMMYFUNCTION("""COMPUTED_VALUE"""),"Gula.menu Tecnologia Ltda.")</f>
        <v>Gula.menu Tecnologia Ltda.</v>
      </c>
      <c r="V7365" s="33">
        <f>IFERROR(__xludf.DUMMYFUNCTION("""COMPUTED_VALUE"""),1.0)</f>
        <v>1</v>
      </c>
      <c r="W7365" s="4" t="str">
        <f>IFERROR(__xludf.DUMMYFUNCTION("""COMPUTED_VALUE"""),"Gula.menu Tecnologia Ltda.")</f>
        <v>Gula.menu Tecnologia Ltda.</v>
      </c>
      <c r="X7365" s="33">
        <f>IFERROR(__xludf.DUMMYFUNCTION("""COMPUTED_VALUE"""),1.0)</f>
        <v>1</v>
      </c>
    </row>
    <row r="7366">
      <c r="K7366" s="4" t="str">
        <f>IFERROR(__xludf.DUMMYFUNCTION("""COMPUTED_VALUE"""),"LA PAZ PARMEGIANA - CONTA MARCA")</f>
        <v>LA PAZ PARMEGIANA - CONTA MARCA</v>
      </c>
      <c r="L7366" s="32">
        <f>IFERROR(__xludf.DUMMYFUNCTION("""COMPUTED_VALUE"""),2.0)</f>
        <v>2</v>
      </c>
      <c r="M7366" s="4" t="str">
        <f>IFERROR(__xludf.DUMMYFUNCTION("""COMPUTED_VALUE"""),"Cardápio Web")</f>
        <v>Cardápio Web</v>
      </c>
      <c r="N7366" s="33">
        <f>IFERROR(__xludf.DUMMYFUNCTION("""COMPUTED_VALUE"""),1.0)</f>
        <v>1</v>
      </c>
      <c r="O7366" s="4" t="str">
        <f>IFERROR(__xludf.DUMMYFUNCTION("""COMPUTED_VALUE"""),"null")</f>
        <v>null</v>
      </c>
      <c r="P7366" s="33">
        <f>IFERROR(__xludf.DUMMYFUNCTION("""COMPUTED_VALUE"""),1.0)</f>
        <v>1</v>
      </c>
      <c r="Q7366" s="4" t="str">
        <f>IFERROR(__xludf.DUMMYFUNCTION("""COMPUTED_VALUE"""),"null")</f>
        <v>null</v>
      </c>
      <c r="R7366" s="33">
        <f>IFERROR(__xludf.DUMMYFUNCTION("""COMPUTED_VALUE"""),1.0)</f>
        <v>1</v>
      </c>
      <c r="S7366" s="4" t="str">
        <f>IFERROR(__xludf.DUMMYFUNCTION("""COMPUTED_VALUE"""),"null")</f>
        <v>null</v>
      </c>
      <c r="T7366" s="33">
        <f>IFERROR(__xludf.DUMMYFUNCTION("""COMPUTED_VALUE"""),1.0)</f>
        <v>1</v>
      </c>
      <c r="U7366" s="4" t="str">
        <f>IFERROR(__xludf.DUMMYFUNCTION("""COMPUTED_VALUE"""),"null")</f>
        <v>null</v>
      </c>
      <c r="V7366" s="33">
        <f>IFERROR(__xludf.DUMMYFUNCTION("""COMPUTED_VALUE"""),1.0)</f>
        <v>1</v>
      </c>
      <c r="W7366" s="4" t="str">
        <f>IFERROR(__xludf.DUMMYFUNCTION("""COMPUTED_VALUE"""),"null")</f>
        <v>null</v>
      </c>
      <c r="X7366" s="33">
        <f>IFERROR(__xludf.DUMMYFUNCTION("""COMPUTED_VALUE"""),1.0)</f>
        <v>1</v>
      </c>
    </row>
    <row r="7367">
      <c r="K7367" s="4" t="str">
        <f>IFERROR(__xludf.DUMMYFUNCTION("""COMPUTED_VALUE"""),"LA PIZZA - CONTA MARCA")</f>
        <v>LA PIZZA - CONTA MARCA</v>
      </c>
      <c r="L7367" s="32">
        <f>IFERROR(__xludf.DUMMYFUNCTION("""COMPUTED_VALUE"""),2.0)</f>
        <v>2</v>
      </c>
      <c r="M7367" s="4" t="str">
        <f>IFERROR(__xludf.DUMMYFUNCTION("""COMPUTED_VALUE"""),"Agilizup Solucoes Ltda")</f>
        <v>Agilizup Solucoes Ltda</v>
      </c>
      <c r="N7367" s="33">
        <f>IFERROR(__xludf.DUMMYFUNCTION("""COMPUTED_VALUE"""),1.0)</f>
        <v>1</v>
      </c>
      <c r="O7367" s="4" t="str">
        <f>IFERROR(__xludf.DUMMYFUNCTION("""COMPUTED_VALUE"""),"Agilizup Solucoes Ltda")</f>
        <v>Agilizup Solucoes Ltda</v>
      </c>
      <c r="P7367" s="33">
        <f>IFERROR(__xludf.DUMMYFUNCTION("""COMPUTED_VALUE"""),1.0)</f>
        <v>1</v>
      </c>
      <c r="Q7367" s="4" t="str">
        <f>IFERROR(__xludf.DUMMYFUNCTION("""COMPUTED_VALUE"""),"Agilizup Solucoes Ltda")</f>
        <v>Agilizup Solucoes Ltda</v>
      </c>
      <c r="R7367" s="33">
        <f>IFERROR(__xludf.DUMMYFUNCTION("""COMPUTED_VALUE"""),1.0)</f>
        <v>1</v>
      </c>
      <c r="S7367" s="4" t="str">
        <f>IFERROR(__xludf.DUMMYFUNCTION("""COMPUTED_VALUE"""),"Agilizup Solucoes Ltda")</f>
        <v>Agilizup Solucoes Ltda</v>
      </c>
      <c r="T7367" s="33">
        <f>IFERROR(__xludf.DUMMYFUNCTION("""COMPUTED_VALUE"""),1.0)</f>
        <v>1</v>
      </c>
      <c r="U7367" s="4" t="str">
        <f>IFERROR(__xludf.DUMMYFUNCTION("""COMPUTED_VALUE"""),"Agilizup Solucoes Ltda")</f>
        <v>Agilizup Solucoes Ltda</v>
      </c>
      <c r="V7367" s="33">
        <f>IFERROR(__xludf.DUMMYFUNCTION("""COMPUTED_VALUE"""),1.0)</f>
        <v>1</v>
      </c>
      <c r="W7367" s="4" t="str">
        <f>IFERROR(__xludf.DUMMYFUNCTION("""COMPUTED_VALUE"""),"Agilizup Solucoes Ltda")</f>
        <v>Agilizup Solucoes Ltda</v>
      </c>
      <c r="X7367" s="33">
        <f>IFERROR(__xludf.DUMMYFUNCTION("""COMPUTED_VALUE"""),1.0)</f>
        <v>1</v>
      </c>
    </row>
    <row r="7368">
      <c r="K7368" s="4" t="str">
        <f>IFERROR(__xludf.DUMMYFUNCTION("""COMPUTED_VALUE"""),"LA TOKA")</f>
        <v>LA TOKA</v>
      </c>
      <c r="L7368" s="32">
        <f>IFERROR(__xludf.DUMMYFUNCTION("""COMPUTED_VALUE"""),2.0)</f>
        <v>2</v>
      </c>
      <c r="M7368" s="4" t="str">
        <f>IFERROR(__xludf.DUMMYFUNCTION("""COMPUTED_VALUE"""),"Saipos Serviços De Software")</f>
        <v>Saipos Serviços De Software</v>
      </c>
      <c r="N7368" s="33">
        <f>IFERROR(__xludf.DUMMYFUNCTION("""COMPUTED_VALUE"""),1.0)</f>
        <v>1</v>
      </c>
      <c r="O7368" s="4" t="str">
        <f>IFERROR(__xludf.DUMMYFUNCTION("""COMPUTED_VALUE"""),"Saipos Serviços De Software")</f>
        <v>Saipos Serviços De Software</v>
      </c>
      <c r="P7368" s="33">
        <f>IFERROR(__xludf.DUMMYFUNCTION("""COMPUTED_VALUE"""),1.0)</f>
        <v>1</v>
      </c>
      <c r="Q7368" s="4" t="str">
        <f>IFERROR(__xludf.DUMMYFUNCTION("""COMPUTED_VALUE"""),"Saipos Serviços De Software")</f>
        <v>Saipos Serviços De Software</v>
      </c>
      <c r="R7368" s="33">
        <f>IFERROR(__xludf.DUMMYFUNCTION("""COMPUTED_VALUE"""),1.0)</f>
        <v>1</v>
      </c>
      <c r="S7368" s="4" t="str">
        <f>IFERROR(__xludf.DUMMYFUNCTION("""COMPUTED_VALUE"""),"Saipos Serviços De Software")</f>
        <v>Saipos Serviços De Software</v>
      </c>
      <c r="T7368" s="33">
        <f>IFERROR(__xludf.DUMMYFUNCTION("""COMPUTED_VALUE"""),1.0)</f>
        <v>1</v>
      </c>
      <c r="U7368" s="4" t="str">
        <f>IFERROR(__xludf.DUMMYFUNCTION("""COMPUTED_VALUE"""),"Saipos Serviços De Software")</f>
        <v>Saipos Serviços De Software</v>
      </c>
      <c r="V7368" s="33">
        <f>IFERROR(__xludf.DUMMYFUNCTION("""COMPUTED_VALUE"""),1.0)</f>
        <v>1</v>
      </c>
      <c r="W7368" s="4" t="str">
        <f>IFERROR(__xludf.DUMMYFUNCTION("""COMPUTED_VALUE"""),"Saipos Serviços De Software")</f>
        <v>Saipos Serviços De Software</v>
      </c>
      <c r="X7368" s="33">
        <f>IFERROR(__xludf.DUMMYFUNCTION("""COMPUTED_VALUE"""),1.0)</f>
        <v>1</v>
      </c>
    </row>
    <row r="7369">
      <c r="K7369" s="4" t="str">
        <f>IFERROR(__xludf.DUMMYFUNCTION("""COMPUTED_VALUE"""),"LA TRAVIATA PIZZARIA E ESFIHARIA")</f>
        <v>LA TRAVIATA PIZZARIA E ESFIHARIA</v>
      </c>
      <c r="L7369" s="32">
        <f>IFERROR(__xludf.DUMMYFUNCTION("""COMPUTED_VALUE"""),2.0)</f>
        <v>2</v>
      </c>
      <c r="M7369" s="4" t="str">
        <f>IFERROR(__xludf.DUMMYFUNCTION("""COMPUTED_VALUE"""),"Consumer Soluções Em Tecnologia Ltda")</f>
        <v>Consumer Soluções Em Tecnologia Ltda</v>
      </c>
      <c r="N7369" s="33">
        <f>IFERROR(__xludf.DUMMYFUNCTION("""COMPUTED_VALUE"""),1.0)</f>
        <v>1</v>
      </c>
      <c r="O7369" s="4" t="str">
        <f>IFERROR(__xludf.DUMMYFUNCTION("""COMPUTED_VALUE"""),"Consumer Soluções Em Tecnologia Ltda")</f>
        <v>Consumer Soluções Em Tecnologia Ltda</v>
      </c>
      <c r="P7369" s="33">
        <f>IFERROR(__xludf.DUMMYFUNCTION("""COMPUTED_VALUE"""),0.5)</f>
        <v>0.5</v>
      </c>
      <c r="Q7369" s="4" t="str">
        <f>IFERROR(__xludf.DUMMYFUNCTION("""COMPUTED_VALUE"""),"null")</f>
        <v>null</v>
      </c>
      <c r="R7369" s="33">
        <f>IFERROR(__xludf.DUMMYFUNCTION("""COMPUTED_VALUE"""),1.0)</f>
        <v>1</v>
      </c>
      <c r="S7369" s="4" t="str">
        <f>IFERROR(__xludf.DUMMYFUNCTION("""COMPUTED_VALUE"""),"null")</f>
        <v>null</v>
      </c>
      <c r="T7369" s="33">
        <f>IFERROR(__xludf.DUMMYFUNCTION("""COMPUTED_VALUE"""),1.0)</f>
        <v>1</v>
      </c>
      <c r="U7369" s="4" t="str">
        <f>IFERROR(__xludf.DUMMYFUNCTION("""COMPUTED_VALUE"""),"null")</f>
        <v>null</v>
      </c>
      <c r="V7369" s="33">
        <f>IFERROR(__xludf.DUMMYFUNCTION("""COMPUTED_VALUE"""),1.0)</f>
        <v>1</v>
      </c>
      <c r="W7369" s="4" t="str">
        <f>IFERROR(__xludf.DUMMYFUNCTION("""COMPUTED_VALUE"""),"null")</f>
        <v>null</v>
      </c>
      <c r="X7369" s="33">
        <f>IFERROR(__xludf.DUMMYFUNCTION("""COMPUTED_VALUE"""),1.0)</f>
        <v>1</v>
      </c>
    </row>
    <row r="7370">
      <c r="K7370" s="4" t="str">
        <f>IFERROR(__xludf.DUMMYFUNCTION("""COMPUTED_VALUE"""),"LAGGIO MASSAS")</f>
        <v>LAGGIO MASSAS</v>
      </c>
      <c r="L7370" s="32">
        <f>IFERROR(__xludf.DUMMYFUNCTION("""COMPUTED_VALUE"""),2.0)</f>
        <v>2</v>
      </c>
      <c r="M7370" s="4" t="str">
        <f>IFERROR(__xludf.DUMMYFUNCTION("""COMPUTED_VALUE"""),"Cardápio Web")</f>
        <v>Cardápio Web</v>
      </c>
      <c r="N7370" s="33">
        <f>IFERROR(__xludf.DUMMYFUNCTION("""COMPUTED_VALUE"""),0.5)</f>
        <v>0.5</v>
      </c>
      <c r="O7370" s="4" t="str">
        <f>IFERROR(__xludf.DUMMYFUNCTION("""COMPUTED_VALUE"""),"Cardápio Web")</f>
        <v>Cardápio Web</v>
      </c>
      <c r="P7370" s="33">
        <f>IFERROR(__xludf.DUMMYFUNCTION("""COMPUTED_VALUE"""),1.0)</f>
        <v>1</v>
      </c>
      <c r="Q7370" s="4" t="str">
        <f>IFERROR(__xludf.DUMMYFUNCTION("""COMPUTED_VALUE"""),"Cardápio Web")</f>
        <v>Cardápio Web</v>
      </c>
      <c r="R7370" s="33">
        <f>IFERROR(__xludf.DUMMYFUNCTION("""COMPUTED_VALUE"""),1.0)</f>
        <v>1</v>
      </c>
      <c r="S7370" s="4" t="str">
        <f>IFERROR(__xludf.DUMMYFUNCTION("""COMPUTED_VALUE"""),"Cardápio Web")</f>
        <v>Cardápio Web</v>
      </c>
      <c r="T7370" s="33">
        <f>IFERROR(__xludf.DUMMYFUNCTION("""COMPUTED_VALUE"""),1.0)</f>
        <v>1</v>
      </c>
      <c r="U7370" s="4" t="str">
        <f>IFERROR(__xludf.DUMMYFUNCTION("""COMPUTED_VALUE"""),"Cardápio Web")</f>
        <v>Cardápio Web</v>
      </c>
      <c r="V7370" s="33">
        <f>IFERROR(__xludf.DUMMYFUNCTION("""COMPUTED_VALUE"""),1.0)</f>
        <v>1</v>
      </c>
      <c r="W7370" s="4" t="str">
        <f>IFERROR(__xludf.DUMMYFUNCTION("""COMPUTED_VALUE"""),"Cardápio Web")</f>
        <v>Cardápio Web</v>
      </c>
      <c r="X7370" s="33">
        <f>IFERROR(__xludf.DUMMYFUNCTION("""COMPUTED_VALUE"""),1.0)</f>
        <v>1</v>
      </c>
    </row>
    <row r="7371">
      <c r="K7371" s="4" t="str">
        <f>IFERROR(__xludf.DUMMYFUNCTION("""COMPUTED_VALUE"""),"LAMEN KAZU")</f>
        <v>LAMEN KAZU</v>
      </c>
      <c r="L7371" s="32">
        <f>IFERROR(__xludf.DUMMYFUNCTION("""COMPUTED_VALUE"""),2.0)</f>
        <v>2</v>
      </c>
      <c r="M7371" s="4" t="str">
        <f>IFERROR(__xludf.DUMMYFUNCTION("""COMPUTED_VALUE"""),"Dcs Automação Eireli")</f>
        <v>Dcs Automação Eireli</v>
      </c>
      <c r="N7371" s="33">
        <f>IFERROR(__xludf.DUMMYFUNCTION("""COMPUTED_VALUE"""),1.0)</f>
        <v>1</v>
      </c>
      <c r="O7371" s="4" t="str">
        <f>IFERROR(__xludf.DUMMYFUNCTION("""COMPUTED_VALUE"""),"Dcs Automação Eireli")</f>
        <v>Dcs Automação Eireli</v>
      </c>
      <c r="P7371" s="33">
        <f>IFERROR(__xludf.DUMMYFUNCTION("""COMPUTED_VALUE"""),1.0)</f>
        <v>1</v>
      </c>
      <c r="Q7371" s="4" t="str">
        <f>IFERROR(__xludf.DUMMYFUNCTION("""COMPUTED_VALUE"""),"Dcs Automação Eireli")</f>
        <v>Dcs Automação Eireli</v>
      </c>
      <c r="R7371" s="33">
        <f>IFERROR(__xludf.DUMMYFUNCTION("""COMPUTED_VALUE"""),1.0)</f>
        <v>1</v>
      </c>
      <c r="S7371" s="4" t="str">
        <f>IFERROR(__xludf.DUMMYFUNCTION("""COMPUTED_VALUE"""),"Dcs Automação Eireli")</f>
        <v>Dcs Automação Eireli</v>
      </c>
      <c r="T7371" s="33">
        <f>IFERROR(__xludf.DUMMYFUNCTION("""COMPUTED_VALUE"""),1.0)</f>
        <v>1</v>
      </c>
      <c r="U7371" s="4" t="str">
        <f>IFERROR(__xludf.DUMMYFUNCTION("""COMPUTED_VALUE"""),"Dcs Automação Eireli")</f>
        <v>Dcs Automação Eireli</v>
      </c>
      <c r="V7371" s="33">
        <f>IFERROR(__xludf.DUMMYFUNCTION("""COMPUTED_VALUE"""),1.0)</f>
        <v>1</v>
      </c>
      <c r="W7371" s="4" t="str">
        <f>IFERROR(__xludf.DUMMYFUNCTION("""COMPUTED_VALUE"""),"Dcs Automação Eireli")</f>
        <v>Dcs Automação Eireli</v>
      </c>
      <c r="X7371" s="33">
        <f>IFERROR(__xludf.DUMMYFUNCTION("""COMPUTED_VALUE"""),1.0)</f>
        <v>1</v>
      </c>
    </row>
    <row r="7372">
      <c r="K7372" s="4" t="str">
        <f>IFERROR(__xludf.DUMMYFUNCTION("""COMPUTED_VALUE"""),"LANCHE DO SIRIO BELEM")</f>
        <v>LANCHE DO SIRIO BELEM</v>
      </c>
      <c r="L7372" s="32">
        <f>IFERROR(__xludf.DUMMYFUNCTION("""COMPUTED_VALUE"""),2.0)</f>
        <v>2</v>
      </c>
      <c r="M7372" s="4" t="str">
        <f>IFERROR(__xludf.DUMMYFUNCTION("""COMPUTED_VALUE"""),"Saipos Serviços De Software")</f>
        <v>Saipos Serviços De Software</v>
      </c>
      <c r="N7372" s="33">
        <f>IFERROR(__xludf.DUMMYFUNCTION("""COMPUTED_VALUE"""),1.0)</f>
        <v>1</v>
      </c>
      <c r="O7372" s="4" t="str">
        <f>IFERROR(__xludf.DUMMYFUNCTION("""COMPUTED_VALUE"""),"Saipos Serviços De Software")</f>
        <v>Saipos Serviços De Software</v>
      </c>
      <c r="P7372" s="33">
        <f>IFERROR(__xludf.DUMMYFUNCTION("""COMPUTED_VALUE"""),1.0)</f>
        <v>1</v>
      </c>
      <c r="Q7372" s="4" t="str">
        <f>IFERROR(__xludf.DUMMYFUNCTION("""COMPUTED_VALUE"""),"Saipos Serviços De Software")</f>
        <v>Saipos Serviços De Software</v>
      </c>
      <c r="R7372" s="33">
        <f>IFERROR(__xludf.DUMMYFUNCTION("""COMPUTED_VALUE"""),1.0)</f>
        <v>1</v>
      </c>
      <c r="S7372" s="4" t="str">
        <f>IFERROR(__xludf.DUMMYFUNCTION("""COMPUTED_VALUE"""),"Saipos Serviços De Software")</f>
        <v>Saipos Serviços De Software</v>
      </c>
      <c r="T7372" s="33">
        <f>IFERROR(__xludf.DUMMYFUNCTION("""COMPUTED_VALUE"""),1.0)</f>
        <v>1</v>
      </c>
      <c r="U7372" s="4" t="str">
        <f>IFERROR(__xludf.DUMMYFUNCTION("""COMPUTED_VALUE"""),"Saipos Serviços De Software")</f>
        <v>Saipos Serviços De Software</v>
      </c>
      <c r="V7372" s="33">
        <f>IFERROR(__xludf.DUMMYFUNCTION("""COMPUTED_VALUE"""),1.0)</f>
        <v>1</v>
      </c>
      <c r="W7372" s="4" t="str">
        <f>IFERROR(__xludf.DUMMYFUNCTION("""COMPUTED_VALUE"""),"Saipos Serviços De Software")</f>
        <v>Saipos Serviços De Software</v>
      </c>
      <c r="X7372" s="33">
        <f>IFERROR(__xludf.DUMMYFUNCTION("""COMPUTED_VALUE"""),1.0)</f>
        <v>1</v>
      </c>
    </row>
    <row r="7373">
      <c r="K7373" s="4" t="str">
        <f>IFERROR(__xludf.DUMMYFUNCTION("""COMPUTED_VALUE"""),"LANCHES - MV BURGERS")</f>
        <v>LANCHES - MV BURGERS</v>
      </c>
      <c r="L7373" s="32">
        <f>IFERROR(__xludf.DUMMYFUNCTION("""COMPUTED_VALUE"""),2.0)</f>
        <v>2</v>
      </c>
      <c r="M7373" s="4" t="str">
        <f>IFERROR(__xludf.DUMMYFUNCTION("""COMPUTED_VALUE"""),"Yooga")</f>
        <v>Yooga</v>
      </c>
      <c r="N7373" s="33">
        <f>IFERROR(__xludf.DUMMYFUNCTION("""COMPUTED_VALUE"""),1.0)</f>
        <v>1</v>
      </c>
      <c r="O7373" s="4" t="str">
        <f>IFERROR(__xludf.DUMMYFUNCTION("""COMPUTED_VALUE"""),"Yooga")</f>
        <v>Yooga</v>
      </c>
      <c r="P7373" s="33">
        <f>IFERROR(__xludf.DUMMYFUNCTION("""COMPUTED_VALUE"""),1.0)</f>
        <v>1</v>
      </c>
      <c r="Q7373" s="4" t="str">
        <f>IFERROR(__xludf.DUMMYFUNCTION("""COMPUTED_VALUE"""),"Yooga")</f>
        <v>Yooga</v>
      </c>
      <c r="R7373" s="33">
        <f>IFERROR(__xludf.DUMMYFUNCTION("""COMPUTED_VALUE"""),1.0)</f>
        <v>1</v>
      </c>
      <c r="S7373" s="4" t="str">
        <f>IFERROR(__xludf.DUMMYFUNCTION("""COMPUTED_VALUE"""),"Yooga")</f>
        <v>Yooga</v>
      </c>
      <c r="T7373" s="33">
        <f>IFERROR(__xludf.DUMMYFUNCTION("""COMPUTED_VALUE"""),1.0)</f>
        <v>1</v>
      </c>
      <c r="U7373" s="4" t="str">
        <f>IFERROR(__xludf.DUMMYFUNCTION("""COMPUTED_VALUE"""),"Yooga")</f>
        <v>Yooga</v>
      </c>
      <c r="V7373" s="33">
        <f>IFERROR(__xludf.DUMMYFUNCTION("""COMPUTED_VALUE"""),1.0)</f>
        <v>1</v>
      </c>
      <c r="W7373" s="4" t="str">
        <f>IFERROR(__xludf.DUMMYFUNCTION("""COMPUTED_VALUE"""),"Yooga")</f>
        <v>Yooga</v>
      </c>
      <c r="X7373" s="33">
        <f>IFERROR(__xludf.DUMMYFUNCTION("""COMPUTED_VALUE"""),1.0)</f>
        <v>1</v>
      </c>
    </row>
    <row r="7374">
      <c r="K7374" s="4" t="str">
        <f>IFERROR(__xludf.DUMMYFUNCTION("""COMPUTED_VALUE"""),"LAPADA BURGER")</f>
        <v>LAPADA BURGER</v>
      </c>
      <c r="L7374" s="32">
        <f>IFERROR(__xludf.DUMMYFUNCTION("""COMPUTED_VALUE"""),2.0)</f>
        <v>2</v>
      </c>
      <c r="M7374" s="4" t="str">
        <f>IFERROR(__xludf.DUMMYFUNCTION("""COMPUTED_VALUE"""),"Saipos Serviços De Software")</f>
        <v>Saipos Serviços De Software</v>
      </c>
      <c r="N7374" s="33">
        <f>IFERROR(__xludf.DUMMYFUNCTION("""COMPUTED_VALUE"""),1.0)</f>
        <v>1</v>
      </c>
      <c r="O7374" s="4" t="str">
        <f>IFERROR(__xludf.DUMMYFUNCTION("""COMPUTED_VALUE"""),"Saipos Serviços De Software")</f>
        <v>Saipos Serviços De Software</v>
      </c>
      <c r="P7374" s="33">
        <f>IFERROR(__xludf.DUMMYFUNCTION("""COMPUTED_VALUE"""),1.0)</f>
        <v>1</v>
      </c>
      <c r="Q7374" s="4" t="str">
        <f>IFERROR(__xludf.DUMMYFUNCTION("""COMPUTED_VALUE"""),"Saipos Serviços De Software")</f>
        <v>Saipos Serviços De Software</v>
      </c>
      <c r="R7374" s="33">
        <f>IFERROR(__xludf.DUMMYFUNCTION("""COMPUTED_VALUE"""),1.0)</f>
        <v>1</v>
      </c>
      <c r="S7374" s="4" t="str">
        <f>IFERROR(__xludf.DUMMYFUNCTION("""COMPUTED_VALUE"""),"Saipos Serviços De Software")</f>
        <v>Saipos Serviços De Software</v>
      </c>
      <c r="T7374" s="33">
        <f>IFERROR(__xludf.DUMMYFUNCTION("""COMPUTED_VALUE"""),1.0)</f>
        <v>1</v>
      </c>
      <c r="U7374" s="4" t="str">
        <f>IFERROR(__xludf.DUMMYFUNCTION("""COMPUTED_VALUE"""),"Saipos Serviços De Software")</f>
        <v>Saipos Serviços De Software</v>
      </c>
      <c r="V7374" s="33">
        <f>IFERROR(__xludf.DUMMYFUNCTION("""COMPUTED_VALUE"""),1.0)</f>
        <v>1</v>
      </c>
      <c r="W7374" s="4" t="str">
        <f>IFERROR(__xludf.DUMMYFUNCTION("""COMPUTED_VALUE"""),"Saipos Serviços De Software")</f>
        <v>Saipos Serviços De Software</v>
      </c>
      <c r="X7374" s="33">
        <f>IFERROR(__xludf.DUMMYFUNCTION("""COMPUTED_VALUE"""),1.0)</f>
        <v>1</v>
      </c>
    </row>
    <row r="7375">
      <c r="K7375" s="4" t="str">
        <f>IFERROR(__xludf.DUMMYFUNCTION("""COMPUTED_VALUE"""),"LARICA")</f>
        <v>LARICA</v>
      </c>
      <c r="L7375" s="32">
        <f>IFERROR(__xludf.DUMMYFUNCTION("""COMPUTED_VALUE"""),2.0)</f>
        <v>2</v>
      </c>
      <c r="M7375" s="4" t="str">
        <f>IFERROR(__xludf.DUMMYFUNCTION("""COMPUTED_VALUE"""),"null")</f>
        <v>null</v>
      </c>
      <c r="N7375" s="33">
        <f>IFERROR(__xludf.DUMMYFUNCTION("""COMPUTED_VALUE"""),1.0)</f>
        <v>1</v>
      </c>
      <c r="O7375" s="4" t="str">
        <f>IFERROR(__xludf.DUMMYFUNCTION("""COMPUTED_VALUE"""),"null")</f>
        <v>null</v>
      </c>
      <c r="P7375" s="33">
        <f>IFERROR(__xludf.DUMMYFUNCTION("""COMPUTED_VALUE"""),1.0)</f>
        <v>1</v>
      </c>
      <c r="Q7375" s="4" t="str">
        <f>IFERROR(__xludf.DUMMYFUNCTION("""COMPUTED_VALUE"""),"null")</f>
        <v>null</v>
      </c>
      <c r="R7375" s="33">
        <f>IFERROR(__xludf.DUMMYFUNCTION("""COMPUTED_VALUE"""),1.0)</f>
        <v>1</v>
      </c>
      <c r="S7375" s="4" t="str">
        <f>IFERROR(__xludf.DUMMYFUNCTION("""COMPUTED_VALUE"""),"Consumer Soluções Em Tecnologia Ltda")</f>
        <v>Consumer Soluções Em Tecnologia Ltda</v>
      </c>
      <c r="T7375" s="33">
        <f>IFERROR(__xludf.DUMMYFUNCTION("""COMPUTED_VALUE"""),1.0)</f>
        <v>1</v>
      </c>
      <c r="U7375" s="4" t="str">
        <f>IFERROR(__xludf.DUMMYFUNCTION("""COMPUTED_VALUE"""),"null")</f>
        <v>null</v>
      </c>
      <c r="V7375" s="33">
        <f>IFERROR(__xludf.DUMMYFUNCTION("""COMPUTED_VALUE"""),1.0)</f>
        <v>1</v>
      </c>
      <c r="W7375" s="4" t="str">
        <f>IFERROR(__xludf.DUMMYFUNCTION("""COMPUTED_VALUE"""),"null")</f>
        <v>null</v>
      </c>
      <c r="X7375" s="33">
        <f>IFERROR(__xludf.DUMMYFUNCTION("""COMPUTED_VALUE"""),1.0)</f>
        <v>1</v>
      </c>
    </row>
    <row r="7376">
      <c r="K7376" s="4" t="str">
        <f>IFERROR(__xludf.DUMMYFUNCTION("""COMPUTED_VALUE"""),"LAS NONNAS - CONTA MARCA")</f>
        <v>LAS NONNAS - CONTA MARCA</v>
      </c>
      <c r="L7376" s="32">
        <f>IFERROR(__xludf.DUMMYFUNCTION("""COMPUTED_VALUE"""),2.0)</f>
        <v>2</v>
      </c>
      <c r="M7376" s="4" t="str">
        <f>IFERROR(__xludf.DUMMYFUNCTION("""COMPUTED_VALUE"""),"Stone Co.")</f>
        <v>Stone Co.</v>
      </c>
      <c r="N7376" s="33">
        <f>IFERROR(__xludf.DUMMYFUNCTION("""COMPUTED_VALUE"""),1.0)</f>
        <v>1</v>
      </c>
      <c r="O7376" s="4" t="str">
        <f>IFERROR(__xludf.DUMMYFUNCTION("""COMPUTED_VALUE"""),"Stone Co.")</f>
        <v>Stone Co.</v>
      </c>
      <c r="P7376" s="33">
        <f>IFERROR(__xludf.DUMMYFUNCTION("""COMPUTED_VALUE"""),1.0)</f>
        <v>1</v>
      </c>
      <c r="Q7376" s="4" t="str">
        <f>IFERROR(__xludf.DUMMYFUNCTION("""COMPUTED_VALUE"""),"Stone Co.")</f>
        <v>Stone Co.</v>
      </c>
      <c r="R7376" s="33">
        <f>IFERROR(__xludf.DUMMYFUNCTION("""COMPUTED_VALUE"""),1.0)</f>
        <v>1</v>
      </c>
      <c r="S7376" s="4" t="str">
        <f>IFERROR(__xludf.DUMMYFUNCTION("""COMPUTED_VALUE"""),"Stone Co.")</f>
        <v>Stone Co.</v>
      </c>
      <c r="T7376" s="33">
        <f>IFERROR(__xludf.DUMMYFUNCTION("""COMPUTED_VALUE"""),1.0)</f>
        <v>1</v>
      </c>
      <c r="U7376" s="4" t="str">
        <f>IFERROR(__xludf.DUMMYFUNCTION("""COMPUTED_VALUE"""),"Stone Co.")</f>
        <v>Stone Co.</v>
      </c>
      <c r="V7376" s="33">
        <f>IFERROR(__xludf.DUMMYFUNCTION("""COMPUTED_VALUE"""),1.0)</f>
        <v>1</v>
      </c>
      <c r="W7376" s="4" t="str">
        <f>IFERROR(__xludf.DUMMYFUNCTION("""COMPUTED_VALUE"""),"Stone Co.")</f>
        <v>Stone Co.</v>
      </c>
      <c r="X7376" s="33">
        <f>IFERROR(__xludf.DUMMYFUNCTION("""COMPUTED_VALUE"""),1.0)</f>
        <v>1</v>
      </c>
    </row>
    <row r="7377">
      <c r="K7377" s="4" t="str">
        <f>IFERROR(__xludf.DUMMYFUNCTION("""COMPUTED_VALUE"""),"LAVAREDO PIZZA")</f>
        <v>LAVAREDO PIZZA</v>
      </c>
      <c r="L7377" s="32">
        <f>IFERROR(__xludf.DUMMYFUNCTION("""COMPUTED_VALUE"""),2.0)</f>
        <v>2</v>
      </c>
      <c r="M7377" s="4" t="str">
        <f>IFERROR(__xludf.DUMMYFUNCTION("""COMPUTED_VALUE"""),"Cardápio Web")</f>
        <v>Cardápio Web</v>
      </c>
      <c r="N7377" s="33">
        <f>IFERROR(__xludf.DUMMYFUNCTION("""COMPUTED_VALUE"""),1.0)</f>
        <v>1</v>
      </c>
      <c r="O7377" s="4" t="str">
        <f>IFERROR(__xludf.DUMMYFUNCTION("""COMPUTED_VALUE"""),"Cardápio Web")</f>
        <v>Cardápio Web</v>
      </c>
      <c r="P7377" s="33">
        <f>IFERROR(__xludf.DUMMYFUNCTION("""COMPUTED_VALUE"""),1.0)</f>
        <v>1</v>
      </c>
      <c r="Q7377" s="4" t="str">
        <f>IFERROR(__xludf.DUMMYFUNCTION("""COMPUTED_VALUE"""),"Cardápio Web")</f>
        <v>Cardápio Web</v>
      </c>
      <c r="R7377" s="33">
        <f>IFERROR(__xludf.DUMMYFUNCTION("""COMPUTED_VALUE"""),1.0)</f>
        <v>1</v>
      </c>
      <c r="S7377" s="4" t="str">
        <f>IFERROR(__xludf.DUMMYFUNCTION("""COMPUTED_VALUE"""),"Cardápio Web")</f>
        <v>Cardápio Web</v>
      </c>
      <c r="T7377" s="33">
        <f>IFERROR(__xludf.DUMMYFUNCTION("""COMPUTED_VALUE"""),1.0)</f>
        <v>1</v>
      </c>
      <c r="U7377" s="4" t="str">
        <f>IFERROR(__xludf.DUMMYFUNCTION("""COMPUTED_VALUE"""),"Cardápio Web")</f>
        <v>Cardápio Web</v>
      </c>
      <c r="V7377" s="33">
        <f>IFERROR(__xludf.DUMMYFUNCTION("""COMPUTED_VALUE"""),1.0)</f>
        <v>1</v>
      </c>
      <c r="W7377" s="4" t="str">
        <f>IFERROR(__xludf.DUMMYFUNCTION("""COMPUTED_VALUE"""),"Cardápio Web")</f>
        <v>Cardápio Web</v>
      </c>
      <c r="X7377" s="33">
        <f>IFERROR(__xludf.DUMMYFUNCTION("""COMPUTED_VALUE"""),1.0)</f>
        <v>1</v>
      </c>
    </row>
    <row r="7378">
      <c r="K7378" s="4" t="str">
        <f>IFERROR(__xludf.DUMMYFUNCTION("""COMPUTED_VALUE"""),"LAZINHO BAR E RESTAURANTE")</f>
        <v>LAZINHO BAR E RESTAURANTE</v>
      </c>
      <c r="L7378" s="32">
        <f>IFERROR(__xludf.DUMMYFUNCTION("""COMPUTED_VALUE"""),2.0)</f>
        <v>2</v>
      </c>
      <c r="M7378" s="4" t="str">
        <f>IFERROR(__xludf.DUMMYFUNCTION("""COMPUTED_VALUE"""),"null")</f>
        <v>null</v>
      </c>
      <c r="N7378" s="33">
        <f>IFERROR(__xludf.DUMMYFUNCTION("""COMPUTED_VALUE"""),1.0)</f>
        <v>1</v>
      </c>
      <c r="O7378" s="4" t="str">
        <f>IFERROR(__xludf.DUMMYFUNCTION("""COMPUTED_VALUE"""),"Saipos Serviços De Software")</f>
        <v>Saipos Serviços De Software</v>
      </c>
      <c r="P7378" s="33">
        <f>IFERROR(__xludf.DUMMYFUNCTION("""COMPUTED_VALUE"""),0.5)</f>
        <v>0.5</v>
      </c>
      <c r="Q7378" s="4" t="str">
        <f>IFERROR(__xludf.DUMMYFUNCTION("""COMPUTED_VALUE"""),"Saipos Serviços De Software")</f>
        <v>Saipos Serviços De Software</v>
      </c>
      <c r="R7378" s="33">
        <f>IFERROR(__xludf.DUMMYFUNCTION("""COMPUTED_VALUE"""),1.0)</f>
        <v>1</v>
      </c>
      <c r="S7378" s="4" t="str">
        <f>IFERROR(__xludf.DUMMYFUNCTION("""COMPUTED_VALUE"""),"Saipos Serviços De Software")</f>
        <v>Saipos Serviços De Software</v>
      </c>
      <c r="T7378" s="33">
        <f>IFERROR(__xludf.DUMMYFUNCTION("""COMPUTED_VALUE"""),0.5)</f>
        <v>0.5</v>
      </c>
      <c r="U7378" s="4" t="str">
        <f>IFERROR(__xludf.DUMMYFUNCTION("""COMPUTED_VALUE"""),"null")</f>
        <v>null</v>
      </c>
      <c r="V7378" s="33">
        <f>IFERROR(__xludf.DUMMYFUNCTION("""COMPUTED_VALUE"""),1.0)</f>
        <v>1</v>
      </c>
      <c r="W7378" s="4" t="str">
        <f>IFERROR(__xludf.DUMMYFUNCTION("""COMPUTED_VALUE"""),"null")</f>
        <v>null</v>
      </c>
      <c r="X7378" s="33">
        <f>IFERROR(__xludf.DUMMYFUNCTION("""COMPUTED_VALUE"""),1.0)</f>
        <v>1</v>
      </c>
    </row>
    <row r="7379">
      <c r="K7379" s="4" t="str">
        <f>IFERROR(__xludf.DUMMYFUNCTION("""COMPUTED_VALUE"""),"LE GRAND BURGER")</f>
        <v>LE GRAND BURGER</v>
      </c>
      <c r="L7379" s="32">
        <f>IFERROR(__xludf.DUMMYFUNCTION("""COMPUTED_VALUE"""),2.0)</f>
        <v>2</v>
      </c>
      <c r="M7379" s="4" t="str">
        <f>IFERROR(__xludf.DUMMYFUNCTION("""COMPUTED_VALUE"""),"Opdv")</f>
        <v>Opdv</v>
      </c>
      <c r="N7379" s="33">
        <f>IFERROR(__xludf.DUMMYFUNCTION("""COMPUTED_VALUE"""),1.0)</f>
        <v>1</v>
      </c>
      <c r="O7379" s="4" t="str">
        <f>IFERROR(__xludf.DUMMYFUNCTION("""COMPUTED_VALUE"""),"Opdv")</f>
        <v>Opdv</v>
      </c>
      <c r="P7379" s="33">
        <f>IFERROR(__xludf.DUMMYFUNCTION("""COMPUTED_VALUE"""),1.0)</f>
        <v>1</v>
      </c>
      <c r="Q7379" s="4" t="str">
        <f>IFERROR(__xludf.DUMMYFUNCTION("""COMPUTED_VALUE"""),"Opdv")</f>
        <v>Opdv</v>
      </c>
      <c r="R7379" s="33">
        <f>IFERROR(__xludf.DUMMYFUNCTION("""COMPUTED_VALUE"""),1.0)</f>
        <v>1</v>
      </c>
      <c r="S7379" s="4" t="str">
        <f>IFERROR(__xludf.DUMMYFUNCTION("""COMPUTED_VALUE"""),"null")</f>
        <v>null</v>
      </c>
      <c r="T7379" s="33">
        <f>IFERROR(__xludf.DUMMYFUNCTION("""COMPUTED_VALUE"""),0.5)</f>
        <v>0.5</v>
      </c>
      <c r="U7379" s="4" t="str">
        <f>IFERROR(__xludf.DUMMYFUNCTION("""COMPUTED_VALUE"""),"null")</f>
        <v>null</v>
      </c>
      <c r="V7379" s="33">
        <f>IFERROR(__xludf.DUMMYFUNCTION("""COMPUTED_VALUE"""),0.5)</f>
        <v>0.5</v>
      </c>
      <c r="W7379" s="4" t="str">
        <f>IFERROR(__xludf.DUMMYFUNCTION("""COMPUTED_VALUE"""),"null")</f>
        <v>null</v>
      </c>
      <c r="X7379" s="33">
        <f>IFERROR(__xludf.DUMMYFUNCTION("""COMPUTED_VALUE"""),0.5)</f>
        <v>0.5</v>
      </c>
    </row>
    <row r="7380">
      <c r="K7380" s="4" t="str">
        <f>IFERROR(__xludf.DUMMYFUNCTION("""COMPUTED_VALUE"""),"LE TREE FARINE - CONTA PAI")</f>
        <v>LE TREE FARINE - CONTA PAI</v>
      </c>
      <c r="L7380" s="32">
        <f>IFERROR(__xludf.DUMMYFUNCTION("""COMPUTED_VALUE"""),2.0)</f>
        <v>2</v>
      </c>
      <c r="M7380" s="4" t="str">
        <f>IFERROR(__xludf.DUMMYFUNCTION("""COMPUTED_VALUE"""),"null")</f>
        <v>null</v>
      </c>
      <c r="N7380" s="33">
        <f>IFERROR(__xludf.DUMMYFUNCTION("""COMPUTED_VALUE"""),1.0)</f>
        <v>1</v>
      </c>
      <c r="O7380" s="4" t="str">
        <f>IFERROR(__xludf.DUMMYFUNCTION("""COMPUTED_VALUE"""),"null")</f>
        <v>null</v>
      </c>
      <c r="P7380" s="33">
        <f>IFERROR(__xludf.DUMMYFUNCTION("""COMPUTED_VALUE"""),1.0)</f>
        <v>1</v>
      </c>
      <c r="Q7380" s="4" t="str">
        <f>IFERROR(__xludf.DUMMYFUNCTION("""COMPUTED_VALUE"""),"null")</f>
        <v>null</v>
      </c>
      <c r="R7380" s="33">
        <f>IFERROR(__xludf.DUMMYFUNCTION("""COMPUTED_VALUE"""),1.0)</f>
        <v>1</v>
      </c>
      <c r="S7380" s="4" t="str">
        <f>IFERROR(__xludf.DUMMYFUNCTION("""COMPUTED_VALUE"""),"null")</f>
        <v>null</v>
      </c>
      <c r="T7380" s="33">
        <f>IFERROR(__xludf.DUMMYFUNCTION("""COMPUTED_VALUE"""),1.0)</f>
        <v>1</v>
      </c>
      <c r="U7380" s="4" t="str">
        <f>IFERROR(__xludf.DUMMYFUNCTION("""COMPUTED_VALUE"""),"null")</f>
        <v>null</v>
      </c>
      <c r="V7380" s="33">
        <f>IFERROR(__xludf.DUMMYFUNCTION("""COMPUTED_VALUE"""),1.0)</f>
        <v>1</v>
      </c>
      <c r="W7380" s="4" t="str">
        <f>IFERROR(__xludf.DUMMYFUNCTION("""COMPUTED_VALUE"""),"Saipos Serviços De Software")</f>
        <v>Saipos Serviços De Software</v>
      </c>
      <c r="X7380" s="33">
        <f>IFERROR(__xludf.DUMMYFUNCTION("""COMPUTED_VALUE"""),1.0)</f>
        <v>1</v>
      </c>
    </row>
    <row r="7381">
      <c r="K7381" s="4" t="str">
        <f>IFERROR(__xludf.DUMMYFUNCTION("""COMPUTED_VALUE"""),"LEAVES RESTAURANTE")</f>
        <v>LEAVES RESTAURANTE</v>
      </c>
      <c r="L7381" s="32">
        <f>IFERROR(__xludf.DUMMYFUNCTION("""COMPUTED_VALUE"""),2.0)</f>
        <v>2</v>
      </c>
      <c r="M7381" s="4" t="str">
        <f>IFERROR(__xludf.DUMMYFUNCTION("""COMPUTED_VALUE"""),"Cloudfy")</f>
        <v>Cloudfy</v>
      </c>
      <c r="N7381" s="33">
        <f>IFERROR(__xludf.DUMMYFUNCTION("""COMPUTED_VALUE"""),1.0)</f>
        <v>1</v>
      </c>
      <c r="O7381" s="4" t="str">
        <f>IFERROR(__xludf.DUMMYFUNCTION("""COMPUTED_VALUE"""),"Cloudfy")</f>
        <v>Cloudfy</v>
      </c>
      <c r="P7381" s="33">
        <f>IFERROR(__xludf.DUMMYFUNCTION("""COMPUTED_VALUE"""),1.0)</f>
        <v>1</v>
      </c>
      <c r="Q7381" s="4" t="str">
        <f>IFERROR(__xludf.DUMMYFUNCTION("""COMPUTED_VALUE"""),"Cloudfy")</f>
        <v>Cloudfy</v>
      </c>
      <c r="R7381" s="33">
        <f>IFERROR(__xludf.DUMMYFUNCTION("""COMPUTED_VALUE"""),1.0)</f>
        <v>1</v>
      </c>
      <c r="S7381" s="4" t="str">
        <f>IFERROR(__xludf.DUMMYFUNCTION("""COMPUTED_VALUE"""),"Cloudfy")</f>
        <v>Cloudfy</v>
      </c>
      <c r="T7381" s="33">
        <f>IFERROR(__xludf.DUMMYFUNCTION("""COMPUTED_VALUE"""),1.0)</f>
        <v>1</v>
      </c>
      <c r="U7381" s="4" t="str">
        <f>IFERROR(__xludf.DUMMYFUNCTION("""COMPUTED_VALUE"""),"Cloudfy")</f>
        <v>Cloudfy</v>
      </c>
      <c r="V7381" s="33">
        <f>IFERROR(__xludf.DUMMYFUNCTION("""COMPUTED_VALUE"""),1.0)</f>
        <v>1</v>
      </c>
      <c r="W7381" s="4" t="str">
        <f>IFERROR(__xludf.DUMMYFUNCTION("""COMPUTED_VALUE"""),"Cloudfy")</f>
        <v>Cloudfy</v>
      </c>
      <c r="X7381" s="33">
        <f>IFERROR(__xludf.DUMMYFUNCTION("""COMPUTED_VALUE"""),1.0)</f>
        <v>1</v>
      </c>
    </row>
    <row r="7382">
      <c r="K7382" s="4" t="str">
        <f>IFERROR(__xludf.DUMMYFUNCTION("""COMPUTED_VALUE"""),"LEGGERA PIZZA NAPOLETANA")</f>
        <v>LEGGERA PIZZA NAPOLETANA</v>
      </c>
      <c r="L7382" s="32">
        <f>IFERROR(__xludf.DUMMYFUNCTION("""COMPUTED_VALUE"""),2.0)</f>
        <v>2</v>
      </c>
      <c r="M7382" s="4" t="str">
        <f>IFERROR(__xludf.DUMMYFUNCTION("""COMPUTED_VALUE"""),"Linked Gourmet Solucoes Para Restaurantes S.a")</f>
        <v>Linked Gourmet Solucoes Para Restaurantes S.a</v>
      </c>
      <c r="N7382" s="33">
        <f>IFERROR(__xludf.DUMMYFUNCTION("""COMPUTED_VALUE"""),1.0)</f>
        <v>1</v>
      </c>
      <c r="O7382" s="4" t="str">
        <f>IFERROR(__xludf.DUMMYFUNCTION("""COMPUTED_VALUE"""),"Linked Gourmet Solucoes Para Restaurantes S.a")</f>
        <v>Linked Gourmet Solucoes Para Restaurantes S.a</v>
      </c>
      <c r="P7382" s="33">
        <f>IFERROR(__xludf.DUMMYFUNCTION("""COMPUTED_VALUE"""),1.0)</f>
        <v>1</v>
      </c>
      <c r="Q7382" s="4" t="str">
        <f>IFERROR(__xludf.DUMMYFUNCTION("""COMPUTED_VALUE"""),"Linked Gourmet Solucoes Para Restaurantes S.a")</f>
        <v>Linked Gourmet Solucoes Para Restaurantes S.a</v>
      </c>
      <c r="R7382" s="33">
        <f>IFERROR(__xludf.DUMMYFUNCTION("""COMPUTED_VALUE"""),1.0)</f>
        <v>1</v>
      </c>
      <c r="S7382" s="4" t="str">
        <f>IFERROR(__xludf.DUMMYFUNCTION("""COMPUTED_VALUE"""),"null")</f>
        <v>null</v>
      </c>
      <c r="T7382" s="33">
        <f>IFERROR(__xludf.DUMMYFUNCTION("""COMPUTED_VALUE"""),0.5)</f>
        <v>0.5</v>
      </c>
      <c r="U7382" s="4" t="str">
        <f>IFERROR(__xludf.DUMMYFUNCTION("""COMPUTED_VALUE"""),"Linked Gourmet Solucoes Para Restaurantes S.a")</f>
        <v>Linked Gourmet Solucoes Para Restaurantes S.a</v>
      </c>
      <c r="V7382" s="33">
        <f>IFERROR(__xludf.DUMMYFUNCTION("""COMPUTED_VALUE"""),1.0)</f>
        <v>1</v>
      </c>
      <c r="W7382" s="4" t="str">
        <f>IFERROR(__xludf.DUMMYFUNCTION("""COMPUTED_VALUE"""),"Linked Gourmet Solucoes Para Restaurantes S.a")</f>
        <v>Linked Gourmet Solucoes Para Restaurantes S.a</v>
      </c>
      <c r="X7382" s="33">
        <f>IFERROR(__xludf.DUMMYFUNCTION("""COMPUTED_VALUE"""),1.0)</f>
        <v>1</v>
      </c>
    </row>
    <row r="7383">
      <c r="K7383" s="4" t="str">
        <f>IFERROR(__xludf.DUMMYFUNCTION("""COMPUTED_VALUE"""),"LEMANIA ACAI CONTA MARCA")</f>
        <v>LEMANIA ACAI CONTA MARCA</v>
      </c>
      <c r="L7383" s="32">
        <f>IFERROR(__xludf.DUMMYFUNCTION("""COMPUTED_VALUE"""),2.0)</f>
        <v>2</v>
      </c>
      <c r="M7383" s="4" t="str">
        <f>IFERROR(__xludf.DUMMYFUNCTION("""COMPUTED_VALUE"""),"Cardápio Web")</f>
        <v>Cardápio Web</v>
      </c>
      <c r="N7383" s="33">
        <f>IFERROR(__xludf.DUMMYFUNCTION("""COMPUTED_VALUE"""),1.0)</f>
        <v>1</v>
      </c>
      <c r="O7383" s="4" t="str">
        <f>IFERROR(__xludf.DUMMYFUNCTION("""COMPUTED_VALUE"""),"Cardápio Web")</f>
        <v>Cardápio Web</v>
      </c>
      <c r="P7383" s="33">
        <f>IFERROR(__xludf.DUMMYFUNCTION("""COMPUTED_VALUE"""),1.0)</f>
        <v>1</v>
      </c>
      <c r="Q7383" s="4" t="str">
        <f>IFERROR(__xludf.DUMMYFUNCTION("""COMPUTED_VALUE"""),"Cardápio Web")</f>
        <v>Cardápio Web</v>
      </c>
      <c r="R7383" s="33">
        <f>IFERROR(__xludf.DUMMYFUNCTION("""COMPUTED_VALUE"""),1.0)</f>
        <v>1</v>
      </c>
      <c r="S7383" s="4" t="str">
        <f>IFERROR(__xludf.DUMMYFUNCTION("""COMPUTED_VALUE"""),"Cardápio Web")</f>
        <v>Cardápio Web</v>
      </c>
      <c r="T7383" s="33">
        <f>IFERROR(__xludf.DUMMYFUNCTION("""COMPUTED_VALUE"""),1.0)</f>
        <v>1</v>
      </c>
      <c r="U7383" s="4" t="str">
        <f>IFERROR(__xludf.DUMMYFUNCTION("""COMPUTED_VALUE"""),"Cardápio Web")</f>
        <v>Cardápio Web</v>
      </c>
      <c r="V7383" s="33">
        <f>IFERROR(__xludf.DUMMYFUNCTION("""COMPUTED_VALUE"""),1.0)</f>
        <v>1</v>
      </c>
      <c r="W7383" s="4" t="str">
        <f>IFERROR(__xludf.DUMMYFUNCTION("""COMPUTED_VALUE"""),"Cardápio Web")</f>
        <v>Cardápio Web</v>
      </c>
      <c r="X7383" s="33">
        <f>IFERROR(__xludf.DUMMYFUNCTION("""COMPUTED_VALUE"""),1.0)</f>
        <v>1</v>
      </c>
    </row>
    <row r="7384">
      <c r="K7384" s="4" t="str">
        <f>IFERROR(__xludf.DUMMYFUNCTION("""COMPUTED_VALUE"""),"LEV RESTAURANTE")</f>
        <v>LEV RESTAURANTE</v>
      </c>
      <c r="L7384" s="32">
        <f>IFERROR(__xludf.DUMMYFUNCTION("""COMPUTED_VALUE"""),2.0)</f>
        <v>2</v>
      </c>
      <c r="M7384" s="4" t="str">
        <f>IFERROR(__xludf.DUMMYFUNCTION("""COMPUTED_VALUE"""),"Takeat Tecnologia")</f>
        <v>Takeat Tecnologia</v>
      </c>
      <c r="N7384" s="33">
        <f>IFERROR(__xludf.DUMMYFUNCTION("""COMPUTED_VALUE"""),1.0)</f>
        <v>1</v>
      </c>
      <c r="O7384" s="4" t="str">
        <f>IFERROR(__xludf.DUMMYFUNCTION("""COMPUTED_VALUE"""),"Takeat Tecnologia")</f>
        <v>Takeat Tecnologia</v>
      </c>
      <c r="P7384" s="33">
        <f>IFERROR(__xludf.DUMMYFUNCTION("""COMPUTED_VALUE"""),1.0)</f>
        <v>1</v>
      </c>
      <c r="Q7384" s="4" t="str">
        <f>IFERROR(__xludf.DUMMYFUNCTION("""COMPUTED_VALUE"""),"Takeat Tecnologia")</f>
        <v>Takeat Tecnologia</v>
      </c>
      <c r="R7384" s="33">
        <f>IFERROR(__xludf.DUMMYFUNCTION("""COMPUTED_VALUE"""),1.0)</f>
        <v>1</v>
      </c>
      <c r="S7384" s="4" t="str">
        <f>IFERROR(__xludf.DUMMYFUNCTION("""COMPUTED_VALUE"""),"Takeat Tecnologia")</f>
        <v>Takeat Tecnologia</v>
      </c>
      <c r="T7384" s="33">
        <f>IFERROR(__xludf.DUMMYFUNCTION("""COMPUTED_VALUE"""),1.0)</f>
        <v>1</v>
      </c>
      <c r="U7384" s="4" t="str">
        <f>IFERROR(__xludf.DUMMYFUNCTION("""COMPUTED_VALUE"""),"Takeat Tecnologia")</f>
        <v>Takeat Tecnologia</v>
      </c>
      <c r="V7384" s="33">
        <f>IFERROR(__xludf.DUMMYFUNCTION("""COMPUTED_VALUE"""),1.0)</f>
        <v>1</v>
      </c>
      <c r="W7384" s="4" t="str">
        <f>IFERROR(__xludf.DUMMYFUNCTION("""COMPUTED_VALUE"""),"Takeat Tecnologia")</f>
        <v>Takeat Tecnologia</v>
      </c>
      <c r="X7384" s="33">
        <f>IFERROR(__xludf.DUMMYFUNCTION("""COMPUTED_VALUE"""),1.0)</f>
        <v>1</v>
      </c>
    </row>
    <row r="7385">
      <c r="K7385" s="4" t="str">
        <f>IFERROR(__xludf.DUMMYFUNCTION("""COMPUTED_VALUE"""),"LEX LULU MEDICAMENTOS PET - CONTA MARCA")</f>
        <v>LEX LULU MEDICAMENTOS PET - CONTA MARCA</v>
      </c>
      <c r="L7385" s="32">
        <f>IFERROR(__xludf.DUMMYFUNCTION("""COMPUTED_VALUE"""),2.0)</f>
        <v>2</v>
      </c>
      <c r="M7385" s="4" t="str">
        <f>IFERROR(__xludf.DUMMYFUNCTION("""COMPUTED_VALUE"""),"N/A (Not found)")</f>
        <v>N/A (Not found)</v>
      </c>
      <c r="N7385" s="33">
        <f>IFERROR(__xludf.DUMMYFUNCTION("""COMPUTED_VALUE"""),1.0)</f>
        <v>1</v>
      </c>
      <c r="O7385" s="4" t="str">
        <f>IFERROR(__xludf.DUMMYFUNCTION("""COMPUTED_VALUE"""),"N/A (Not found)")</f>
        <v>N/A (Not found)</v>
      </c>
      <c r="P7385" s="33">
        <f>IFERROR(__xludf.DUMMYFUNCTION("""COMPUTED_VALUE"""),1.0)</f>
        <v>1</v>
      </c>
      <c r="Q7385" s="4" t="str">
        <f>IFERROR(__xludf.DUMMYFUNCTION("""COMPUTED_VALUE"""),"N/A (Not found)")</f>
        <v>N/A (Not found)</v>
      </c>
      <c r="R7385" s="33">
        <f>IFERROR(__xludf.DUMMYFUNCTION("""COMPUTED_VALUE"""),0.5)</f>
        <v>0.5</v>
      </c>
      <c r="S7385" s="4" t="str">
        <f>IFERROR(__xludf.DUMMYFUNCTION("""COMPUTED_VALUE"""),"N/A (Not found)")</f>
        <v>N/A (Not found)</v>
      </c>
      <c r="T7385" s="33">
        <f>IFERROR(__xludf.DUMMYFUNCTION("""COMPUTED_VALUE"""),0.5)</f>
        <v>0.5</v>
      </c>
      <c r="U7385" s="4" t="str">
        <f>IFERROR(__xludf.DUMMYFUNCTION("""COMPUTED_VALUE"""),"N/A (Not found)")</f>
        <v>N/A (Not found)</v>
      </c>
      <c r="V7385" s="33">
        <f>IFERROR(__xludf.DUMMYFUNCTION("""COMPUTED_VALUE"""),1.0)</f>
        <v>1</v>
      </c>
      <c r="W7385" s="4" t="str">
        <f>IFERROR(__xludf.DUMMYFUNCTION("""COMPUTED_VALUE"""),"N/A (Not found)")</f>
        <v>N/A (Not found)</v>
      </c>
      <c r="X7385" s="33">
        <f>IFERROR(__xludf.DUMMYFUNCTION("""COMPUTED_VALUE"""),1.0)</f>
        <v>1</v>
      </c>
    </row>
    <row r="7386">
      <c r="K7386" s="4" t="str">
        <f>IFERROR(__xludf.DUMMYFUNCTION("""COMPUTED_VALUE"""),"LGR BURGER")</f>
        <v>LGR BURGER</v>
      </c>
      <c r="L7386" s="32">
        <f>IFERROR(__xludf.DUMMYFUNCTION("""COMPUTED_VALUE"""),2.0)</f>
        <v>2</v>
      </c>
      <c r="M7386" s="4" t="str">
        <f>IFERROR(__xludf.DUMMYFUNCTION("""COMPUTED_VALUE"""),"T4l Tecnologia Ltda Me")</f>
        <v>T4l Tecnologia Ltda Me</v>
      </c>
      <c r="N7386" s="33">
        <f>IFERROR(__xludf.DUMMYFUNCTION("""COMPUTED_VALUE"""),1.0)</f>
        <v>1</v>
      </c>
      <c r="O7386" s="4" t="str">
        <f>IFERROR(__xludf.DUMMYFUNCTION("""COMPUTED_VALUE"""),"T4l Tecnologia Ltda Me")</f>
        <v>T4l Tecnologia Ltda Me</v>
      </c>
      <c r="P7386" s="33">
        <f>IFERROR(__xludf.DUMMYFUNCTION("""COMPUTED_VALUE"""),0.5)</f>
        <v>0.5</v>
      </c>
      <c r="Q7386" s="4" t="str">
        <f>IFERROR(__xludf.DUMMYFUNCTION("""COMPUTED_VALUE"""),"Saipos Serviços De Software")</f>
        <v>Saipos Serviços De Software</v>
      </c>
      <c r="R7386" s="33">
        <f>IFERROR(__xludf.DUMMYFUNCTION("""COMPUTED_VALUE"""),1.0)</f>
        <v>1</v>
      </c>
      <c r="S7386" s="4" t="str">
        <f>IFERROR(__xludf.DUMMYFUNCTION("""COMPUTED_VALUE"""),"Saipos Serviços De Software")</f>
        <v>Saipos Serviços De Software</v>
      </c>
      <c r="T7386" s="33">
        <f>IFERROR(__xludf.DUMMYFUNCTION("""COMPUTED_VALUE"""),1.0)</f>
        <v>1</v>
      </c>
      <c r="U7386" s="4" t="str">
        <f>IFERROR(__xludf.DUMMYFUNCTION("""COMPUTED_VALUE"""),"Saipos Serviços De Software")</f>
        <v>Saipos Serviços De Software</v>
      </c>
      <c r="V7386" s="33">
        <f>IFERROR(__xludf.DUMMYFUNCTION("""COMPUTED_VALUE"""),1.0)</f>
        <v>1</v>
      </c>
      <c r="W7386" s="4" t="str">
        <f>IFERROR(__xludf.DUMMYFUNCTION("""COMPUTED_VALUE"""),"Saipos Serviços De Software")</f>
        <v>Saipos Serviços De Software</v>
      </c>
      <c r="X7386" s="33">
        <f>IFERROR(__xludf.DUMMYFUNCTION("""COMPUTED_VALUE"""),1.0)</f>
        <v>1</v>
      </c>
    </row>
    <row r="7387">
      <c r="K7387" s="4" t="str">
        <f>IFERROR(__xludf.DUMMYFUNCTION("""COMPUTED_VALUE"""),"LIDER")</f>
        <v>LIDER</v>
      </c>
      <c r="L7387" s="32">
        <f>IFERROR(__xludf.DUMMYFUNCTION("""COMPUTED_VALUE"""),2.0)</f>
        <v>2</v>
      </c>
      <c r="M7387" s="4" t="str">
        <f>IFERROR(__xludf.DUMMYFUNCTION("""COMPUTED_VALUE"""),"Cardápio Web")</f>
        <v>Cardápio Web</v>
      </c>
      <c r="N7387" s="33">
        <f>IFERROR(__xludf.DUMMYFUNCTION("""COMPUTED_VALUE"""),1.0)</f>
        <v>1</v>
      </c>
      <c r="O7387" s="4" t="str">
        <f>IFERROR(__xludf.DUMMYFUNCTION("""COMPUTED_VALUE"""),"Cardápio Web")</f>
        <v>Cardápio Web</v>
      </c>
      <c r="P7387" s="33">
        <f>IFERROR(__xludf.DUMMYFUNCTION("""COMPUTED_VALUE"""),1.0)</f>
        <v>1</v>
      </c>
      <c r="Q7387" s="4" t="str">
        <f>IFERROR(__xludf.DUMMYFUNCTION("""COMPUTED_VALUE"""),"Cardápio Web")</f>
        <v>Cardápio Web</v>
      </c>
      <c r="R7387" s="33">
        <f>IFERROR(__xludf.DUMMYFUNCTION("""COMPUTED_VALUE"""),1.0)</f>
        <v>1</v>
      </c>
      <c r="S7387" s="4" t="str">
        <f>IFERROR(__xludf.DUMMYFUNCTION("""COMPUTED_VALUE"""),"Cardápio Web")</f>
        <v>Cardápio Web</v>
      </c>
      <c r="T7387" s="33">
        <f>IFERROR(__xludf.DUMMYFUNCTION("""COMPUTED_VALUE"""),1.0)</f>
        <v>1</v>
      </c>
      <c r="U7387" s="4" t="str">
        <f>IFERROR(__xludf.DUMMYFUNCTION("""COMPUTED_VALUE"""),"Cardápio Web")</f>
        <v>Cardápio Web</v>
      </c>
      <c r="V7387" s="33">
        <f>IFERROR(__xludf.DUMMYFUNCTION("""COMPUTED_VALUE"""),1.0)</f>
        <v>1</v>
      </c>
      <c r="W7387" s="4" t="str">
        <f>IFERROR(__xludf.DUMMYFUNCTION("""COMPUTED_VALUE"""),"Cardápio Web")</f>
        <v>Cardápio Web</v>
      </c>
      <c r="X7387" s="33">
        <f>IFERROR(__xludf.DUMMYFUNCTION("""COMPUTED_VALUE"""),1.0)</f>
        <v>1</v>
      </c>
    </row>
    <row r="7388">
      <c r="K7388" s="4" t="str">
        <f>IFERROR(__xludf.DUMMYFUNCTION("""COMPUTED_VALUE"""),"LIG FOOD PREMIUM - VILA MARIA")</f>
        <v>LIG FOOD PREMIUM - VILA MARIA</v>
      </c>
      <c r="L7388" s="32">
        <f>IFERROR(__xludf.DUMMYFUNCTION("""COMPUTED_VALUE"""),2.0)</f>
        <v>2</v>
      </c>
      <c r="M7388" s="4" t="str">
        <f>IFERROR(__xludf.DUMMYFUNCTION("""COMPUTED_VALUE"""),"Saipos Serviços De Software")</f>
        <v>Saipos Serviços De Software</v>
      </c>
      <c r="N7388" s="33">
        <f>IFERROR(__xludf.DUMMYFUNCTION("""COMPUTED_VALUE"""),1.0)</f>
        <v>1</v>
      </c>
      <c r="O7388" s="4" t="str">
        <f>IFERROR(__xludf.DUMMYFUNCTION("""COMPUTED_VALUE"""),"Saipos Serviços De Software")</f>
        <v>Saipos Serviços De Software</v>
      </c>
      <c r="P7388" s="33">
        <f>IFERROR(__xludf.DUMMYFUNCTION("""COMPUTED_VALUE"""),1.0)</f>
        <v>1</v>
      </c>
      <c r="Q7388" s="4" t="str">
        <f>IFERROR(__xludf.DUMMYFUNCTION("""COMPUTED_VALUE"""),"Saipos Serviços De Software")</f>
        <v>Saipos Serviços De Software</v>
      </c>
      <c r="R7388" s="33">
        <f>IFERROR(__xludf.DUMMYFUNCTION("""COMPUTED_VALUE"""),1.0)</f>
        <v>1</v>
      </c>
      <c r="S7388" s="4" t="str">
        <f>IFERROR(__xludf.DUMMYFUNCTION("""COMPUTED_VALUE"""),"Saipos Serviços De Software")</f>
        <v>Saipos Serviços De Software</v>
      </c>
      <c r="T7388" s="33">
        <f>IFERROR(__xludf.DUMMYFUNCTION("""COMPUTED_VALUE"""),1.0)</f>
        <v>1</v>
      </c>
      <c r="U7388" s="4" t="str">
        <f>IFERROR(__xludf.DUMMYFUNCTION("""COMPUTED_VALUE"""),"Saipos Serviços De Software")</f>
        <v>Saipos Serviços De Software</v>
      </c>
      <c r="V7388" s="33">
        <f>IFERROR(__xludf.DUMMYFUNCTION("""COMPUTED_VALUE"""),1.0)</f>
        <v>1</v>
      </c>
      <c r="W7388" s="4" t="str">
        <f>IFERROR(__xludf.DUMMYFUNCTION("""COMPUTED_VALUE"""),"Saipos Serviços De Software")</f>
        <v>Saipos Serviços De Software</v>
      </c>
      <c r="X7388" s="33">
        <f>IFERROR(__xludf.DUMMYFUNCTION("""COMPUTED_VALUE"""),1.0)</f>
        <v>1</v>
      </c>
    </row>
    <row r="7389">
      <c r="K7389" s="4" t="str">
        <f>IFERROR(__xludf.DUMMYFUNCTION("""COMPUTED_VALUE"""),"LINDI PETISCARIA JAPONESA")</f>
        <v>LINDI PETISCARIA JAPONESA</v>
      </c>
      <c r="L7389" s="32">
        <f>IFERROR(__xludf.DUMMYFUNCTION("""COMPUTED_VALUE"""),2.0)</f>
        <v>2</v>
      </c>
      <c r="M7389" s="4" t="str">
        <f>IFERROR(__xludf.DUMMYFUNCTION("""COMPUTED_VALUE"""),"Cardápio Web")</f>
        <v>Cardápio Web</v>
      </c>
      <c r="N7389" s="33">
        <f>IFERROR(__xludf.DUMMYFUNCTION("""COMPUTED_VALUE"""),1.0)</f>
        <v>1</v>
      </c>
      <c r="O7389" s="4" t="str">
        <f>IFERROR(__xludf.DUMMYFUNCTION("""COMPUTED_VALUE"""),"Cardápio Web")</f>
        <v>Cardápio Web</v>
      </c>
      <c r="P7389" s="33">
        <f>IFERROR(__xludf.DUMMYFUNCTION("""COMPUTED_VALUE"""),1.0)</f>
        <v>1</v>
      </c>
      <c r="Q7389" s="4" t="str">
        <f>IFERROR(__xludf.DUMMYFUNCTION("""COMPUTED_VALUE"""),"null")</f>
        <v>null</v>
      </c>
      <c r="R7389" s="33">
        <f>IFERROR(__xludf.DUMMYFUNCTION("""COMPUTED_VALUE"""),1.0)</f>
        <v>1</v>
      </c>
      <c r="S7389" s="4" t="str">
        <f>IFERROR(__xludf.DUMMYFUNCTION("""COMPUTED_VALUE"""),"null")</f>
        <v>null</v>
      </c>
      <c r="T7389" s="33">
        <f>IFERROR(__xludf.DUMMYFUNCTION("""COMPUTED_VALUE"""),1.0)</f>
        <v>1</v>
      </c>
      <c r="U7389" s="4" t="str">
        <f>IFERROR(__xludf.DUMMYFUNCTION("""COMPUTED_VALUE"""),"Cardápio Web")</f>
        <v>Cardápio Web</v>
      </c>
      <c r="V7389" s="33">
        <f>IFERROR(__xludf.DUMMYFUNCTION("""COMPUTED_VALUE"""),0.5)</f>
        <v>0.5</v>
      </c>
      <c r="W7389" s="4" t="str">
        <f>IFERROR(__xludf.DUMMYFUNCTION("""COMPUTED_VALUE"""),"null")</f>
        <v>null</v>
      </c>
      <c r="X7389" s="33">
        <f>IFERROR(__xludf.DUMMYFUNCTION("""COMPUTED_VALUE"""),1.0)</f>
        <v>1</v>
      </c>
    </row>
    <row r="7390">
      <c r="K7390" s="4" t="str">
        <f>IFERROR(__xludf.DUMMYFUNCTION("""COMPUTED_VALUE"""),"LINOS PIZZA")</f>
        <v>LINOS PIZZA</v>
      </c>
      <c r="L7390" s="32">
        <f>IFERROR(__xludf.DUMMYFUNCTION("""COMPUTED_VALUE"""),2.0)</f>
        <v>2</v>
      </c>
      <c r="M7390" s="4" t="str">
        <f>IFERROR(__xludf.DUMMYFUNCTION("""COMPUTED_VALUE"""),"null")</f>
        <v>null</v>
      </c>
      <c r="N7390" s="33">
        <f>IFERROR(__xludf.DUMMYFUNCTION("""COMPUTED_VALUE"""),1.0)</f>
        <v>1</v>
      </c>
      <c r="O7390" s="4" t="str">
        <f>IFERROR(__xludf.DUMMYFUNCTION("""COMPUTED_VALUE"""),"Saipos Serviços De Software")</f>
        <v>Saipos Serviços De Software</v>
      </c>
      <c r="P7390" s="33">
        <f>IFERROR(__xludf.DUMMYFUNCTION("""COMPUTED_VALUE"""),1.0)</f>
        <v>1</v>
      </c>
      <c r="Q7390" s="4" t="str">
        <f>IFERROR(__xludf.DUMMYFUNCTION("""COMPUTED_VALUE"""),"Saipos Serviços De Software")</f>
        <v>Saipos Serviços De Software</v>
      </c>
      <c r="R7390" s="33">
        <f>IFERROR(__xludf.DUMMYFUNCTION("""COMPUTED_VALUE"""),1.0)</f>
        <v>1</v>
      </c>
      <c r="S7390" s="4" t="str">
        <f>IFERROR(__xludf.DUMMYFUNCTION("""COMPUTED_VALUE"""),"Saipos Serviços De Software")</f>
        <v>Saipos Serviços De Software</v>
      </c>
      <c r="T7390" s="33">
        <f>IFERROR(__xludf.DUMMYFUNCTION("""COMPUTED_VALUE"""),1.0)</f>
        <v>1</v>
      </c>
      <c r="U7390" s="4" t="str">
        <f>IFERROR(__xludf.DUMMYFUNCTION("""COMPUTED_VALUE"""),"Saipos Serviços De Software")</f>
        <v>Saipos Serviços De Software</v>
      </c>
      <c r="V7390" s="33">
        <f>IFERROR(__xludf.DUMMYFUNCTION("""COMPUTED_VALUE"""),1.0)</f>
        <v>1</v>
      </c>
      <c r="W7390" s="4" t="str">
        <f>IFERROR(__xludf.DUMMYFUNCTION("""COMPUTED_VALUE"""),"null")</f>
        <v>null</v>
      </c>
      <c r="X7390" s="33">
        <f>IFERROR(__xludf.DUMMYFUNCTION("""COMPUTED_VALUE"""),1.0)</f>
        <v>1</v>
      </c>
    </row>
    <row r="7391">
      <c r="K7391" s="4" t="str">
        <f>IFERROR(__xludf.DUMMYFUNCTION("""COMPUTED_VALUE"""),"LITTLE KUPPERS")</f>
        <v>LITTLE KUPPERS</v>
      </c>
      <c r="L7391" s="32">
        <f>IFERROR(__xludf.DUMMYFUNCTION("""COMPUTED_VALUE"""),2.0)</f>
        <v>2</v>
      </c>
      <c r="M7391" s="4" t="str">
        <f>IFERROR(__xludf.DUMMYFUNCTION("""COMPUTED_VALUE"""),"Beefood - Sistema Para Restaurantes")</f>
        <v>Beefood - Sistema Para Restaurantes</v>
      </c>
      <c r="N7391" s="33">
        <f>IFERROR(__xludf.DUMMYFUNCTION("""COMPUTED_VALUE"""),1.0)</f>
        <v>1</v>
      </c>
      <c r="O7391" s="4" t="str">
        <f>IFERROR(__xludf.DUMMYFUNCTION("""COMPUTED_VALUE"""),"null")</f>
        <v>null</v>
      </c>
      <c r="P7391" s="33">
        <f>IFERROR(__xludf.DUMMYFUNCTION("""COMPUTED_VALUE"""),1.0)</f>
        <v>1</v>
      </c>
      <c r="Q7391" s="4" t="str">
        <f>IFERROR(__xludf.DUMMYFUNCTION("""COMPUTED_VALUE"""),"null")</f>
        <v>null</v>
      </c>
      <c r="R7391" s="33">
        <f>IFERROR(__xludf.DUMMYFUNCTION("""COMPUTED_VALUE"""),0.5)</f>
        <v>0.5</v>
      </c>
      <c r="S7391" s="4" t="str">
        <f>IFERROR(__xludf.DUMMYFUNCTION("""COMPUTED_VALUE"""),"null")</f>
        <v>null</v>
      </c>
      <c r="T7391" s="33">
        <f>IFERROR(__xludf.DUMMYFUNCTION("""COMPUTED_VALUE"""),0.5)</f>
        <v>0.5</v>
      </c>
      <c r="U7391" s="4" t="str">
        <f>IFERROR(__xludf.DUMMYFUNCTION("""COMPUTED_VALUE"""),"null")</f>
        <v>null</v>
      </c>
      <c r="V7391" s="33">
        <f>IFERROR(__xludf.DUMMYFUNCTION("""COMPUTED_VALUE"""),0.5)</f>
        <v>0.5</v>
      </c>
      <c r="W7391" s="4" t="str">
        <f>IFERROR(__xludf.DUMMYFUNCTION("""COMPUTED_VALUE"""),"null")</f>
        <v>null</v>
      </c>
      <c r="X7391" s="33">
        <f>IFERROR(__xludf.DUMMYFUNCTION("""COMPUTED_VALUE"""),0.5)</f>
        <v>0.5</v>
      </c>
    </row>
    <row r="7392">
      <c r="K7392" s="4" t="str">
        <f>IFERROR(__xludf.DUMMYFUNCTION("""COMPUTED_VALUE"""),"LO ROSTI - BATATA SUICA MASSAS")</f>
        <v>LO ROSTI - BATATA SUICA MASSAS</v>
      </c>
      <c r="L7392" s="32">
        <f>IFERROR(__xludf.DUMMYFUNCTION("""COMPUTED_VALUE"""),2.0)</f>
        <v>2</v>
      </c>
      <c r="M7392" s="4" t="str">
        <f>IFERROR(__xludf.DUMMYFUNCTION("""COMPUTED_VALUE"""),"Saipos Serviços De Software")</f>
        <v>Saipos Serviços De Software</v>
      </c>
      <c r="N7392" s="33">
        <f>IFERROR(__xludf.DUMMYFUNCTION("""COMPUTED_VALUE"""),1.0)</f>
        <v>1</v>
      </c>
      <c r="O7392" s="4" t="str">
        <f>IFERROR(__xludf.DUMMYFUNCTION("""COMPUTED_VALUE"""),"Saipos Serviços De Software")</f>
        <v>Saipos Serviços De Software</v>
      </c>
      <c r="P7392" s="33">
        <f>IFERROR(__xludf.DUMMYFUNCTION("""COMPUTED_VALUE"""),1.0)</f>
        <v>1</v>
      </c>
      <c r="Q7392" s="4" t="str">
        <f>IFERROR(__xludf.DUMMYFUNCTION("""COMPUTED_VALUE"""),"Saipos Serviços De Software")</f>
        <v>Saipos Serviços De Software</v>
      </c>
      <c r="R7392" s="33">
        <f>IFERROR(__xludf.DUMMYFUNCTION("""COMPUTED_VALUE"""),1.0)</f>
        <v>1</v>
      </c>
      <c r="S7392" s="4" t="str">
        <f>IFERROR(__xludf.DUMMYFUNCTION("""COMPUTED_VALUE"""),"Saipos Serviços De Software")</f>
        <v>Saipos Serviços De Software</v>
      </c>
      <c r="T7392" s="33">
        <f>IFERROR(__xludf.DUMMYFUNCTION("""COMPUTED_VALUE"""),1.0)</f>
        <v>1</v>
      </c>
      <c r="U7392" s="4" t="str">
        <f>IFERROR(__xludf.DUMMYFUNCTION("""COMPUTED_VALUE"""),"Saipos Serviços De Software")</f>
        <v>Saipos Serviços De Software</v>
      </c>
      <c r="V7392" s="33">
        <f>IFERROR(__xludf.DUMMYFUNCTION("""COMPUTED_VALUE"""),1.0)</f>
        <v>1</v>
      </c>
      <c r="W7392" s="4" t="str">
        <f>IFERROR(__xludf.DUMMYFUNCTION("""COMPUTED_VALUE"""),"Saipos Serviços De Software")</f>
        <v>Saipos Serviços De Software</v>
      </c>
      <c r="X7392" s="33">
        <f>IFERROR(__xludf.DUMMYFUNCTION("""COMPUTED_VALUE"""),1.0)</f>
        <v>1</v>
      </c>
    </row>
    <row r="7393">
      <c r="K7393" s="4" t="str">
        <f>IFERROR(__xludf.DUMMYFUNCTION("""COMPUTED_VALUE"""),"LOHA POKE - CONTA PAI")</f>
        <v>LOHA POKE - CONTA PAI</v>
      </c>
      <c r="L7393" s="32">
        <f>IFERROR(__xludf.DUMMYFUNCTION("""COMPUTED_VALUE"""),2.0)</f>
        <v>2</v>
      </c>
      <c r="M7393" s="4" t="str">
        <f>IFERROR(__xludf.DUMMYFUNCTION("""COMPUTED_VALUE"""),"Anota Ai Solucoes Digitais S/a")</f>
        <v>Anota Ai Solucoes Digitais S/a</v>
      </c>
      <c r="N7393" s="33">
        <f>IFERROR(__xludf.DUMMYFUNCTION("""COMPUTED_VALUE"""),0.5)</f>
        <v>0.5</v>
      </c>
      <c r="O7393" s="4" t="str">
        <f>IFERROR(__xludf.DUMMYFUNCTION("""COMPUTED_VALUE"""),"Anota Ai Solucoes Digitais S/a")</f>
        <v>Anota Ai Solucoes Digitais S/a</v>
      </c>
      <c r="P7393" s="33">
        <f>IFERROR(__xludf.DUMMYFUNCTION("""COMPUTED_VALUE"""),0.5)</f>
        <v>0.5</v>
      </c>
      <c r="Q7393" s="4" t="str">
        <f>IFERROR(__xludf.DUMMYFUNCTION("""COMPUTED_VALUE"""),"Anota Ai Solucoes Digitais S/a")</f>
        <v>Anota Ai Solucoes Digitais S/a</v>
      </c>
      <c r="R7393" s="33">
        <f>IFERROR(__xludf.DUMMYFUNCTION("""COMPUTED_VALUE"""),0.5)</f>
        <v>0.5</v>
      </c>
      <c r="S7393" s="4" t="str">
        <f>IFERROR(__xludf.DUMMYFUNCTION("""COMPUTED_VALUE"""),"Anota Ai Solucoes Digitais S/a")</f>
        <v>Anota Ai Solucoes Digitais S/a</v>
      </c>
      <c r="T7393" s="33">
        <f>IFERROR(__xludf.DUMMYFUNCTION("""COMPUTED_VALUE"""),0.5)</f>
        <v>0.5</v>
      </c>
      <c r="U7393" s="4" t="str">
        <f>IFERROR(__xludf.DUMMYFUNCTION("""COMPUTED_VALUE"""),"Anota Ai Solucoes Digitais S/a")</f>
        <v>Anota Ai Solucoes Digitais S/a</v>
      </c>
      <c r="V7393" s="33">
        <f>IFERROR(__xludf.DUMMYFUNCTION("""COMPUTED_VALUE"""),0.5)</f>
        <v>0.5</v>
      </c>
      <c r="W7393" s="4" t="str">
        <f>IFERROR(__xludf.DUMMYFUNCTION("""COMPUTED_VALUE"""),"Anota Ai Solucoes Digitais S/a")</f>
        <v>Anota Ai Solucoes Digitais S/a</v>
      </c>
      <c r="X7393" s="33">
        <f>IFERROR(__xludf.DUMMYFUNCTION("""COMPUTED_VALUE"""),0.5)</f>
        <v>0.5</v>
      </c>
    </row>
    <row r="7394">
      <c r="K7394" s="4" t="str">
        <f>IFERROR(__xludf.DUMMYFUNCTION("""COMPUTED_VALUE"""),"LOUCOS POR FEIJOADA")</f>
        <v>LOUCOS POR FEIJOADA</v>
      </c>
      <c r="L7394" s="32">
        <f>IFERROR(__xludf.DUMMYFUNCTION("""COMPUTED_VALUE"""),2.0)</f>
        <v>2</v>
      </c>
      <c r="M7394" s="4" t="str">
        <f>IFERROR(__xludf.DUMMYFUNCTION("""COMPUTED_VALUE"""),"Consumer Soluções Em Tecnologia Ltda")</f>
        <v>Consumer Soluções Em Tecnologia Ltda</v>
      </c>
      <c r="N7394" s="33">
        <f>IFERROR(__xludf.DUMMYFUNCTION("""COMPUTED_VALUE"""),1.0)</f>
        <v>1</v>
      </c>
      <c r="O7394" s="4" t="str">
        <f>IFERROR(__xludf.DUMMYFUNCTION("""COMPUTED_VALUE"""),"Consumer Soluções Em Tecnologia Ltda")</f>
        <v>Consumer Soluções Em Tecnologia Ltda</v>
      </c>
      <c r="P7394" s="33">
        <f>IFERROR(__xludf.DUMMYFUNCTION("""COMPUTED_VALUE"""),1.0)</f>
        <v>1</v>
      </c>
      <c r="Q7394" s="4" t="str">
        <f>IFERROR(__xludf.DUMMYFUNCTION("""COMPUTED_VALUE"""),"Consumer Soluções Em Tecnologia Ltda")</f>
        <v>Consumer Soluções Em Tecnologia Ltda</v>
      </c>
      <c r="R7394" s="33">
        <f>IFERROR(__xludf.DUMMYFUNCTION("""COMPUTED_VALUE"""),1.0)</f>
        <v>1</v>
      </c>
      <c r="S7394" s="4" t="str">
        <f>IFERROR(__xludf.DUMMYFUNCTION("""COMPUTED_VALUE"""),"Consumer Soluções Em Tecnologia Ltda")</f>
        <v>Consumer Soluções Em Tecnologia Ltda</v>
      </c>
      <c r="T7394" s="33">
        <f>IFERROR(__xludf.DUMMYFUNCTION("""COMPUTED_VALUE"""),1.0)</f>
        <v>1</v>
      </c>
      <c r="U7394" s="4" t="str">
        <f>IFERROR(__xludf.DUMMYFUNCTION("""COMPUTED_VALUE"""),"Consumer Soluções Em Tecnologia Ltda")</f>
        <v>Consumer Soluções Em Tecnologia Ltda</v>
      </c>
      <c r="V7394" s="33">
        <f>IFERROR(__xludf.DUMMYFUNCTION("""COMPUTED_VALUE"""),1.0)</f>
        <v>1</v>
      </c>
      <c r="W7394" s="4" t="str">
        <f>IFERROR(__xludf.DUMMYFUNCTION("""COMPUTED_VALUE"""),"Consumer Soluções Em Tecnologia Ltda")</f>
        <v>Consumer Soluções Em Tecnologia Ltda</v>
      </c>
      <c r="X7394" s="33">
        <f>IFERROR(__xludf.DUMMYFUNCTION("""COMPUTED_VALUE"""),1.0)</f>
        <v>1</v>
      </c>
    </row>
    <row r="7395">
      <c r="K7395" s="4" t="str">
        <f>IFERROR(__xludf.DUMMYFUNCTION("""COMPUTED_VALUE"""),"LOUIN COOKIE PE")</f>
        <v>LOUIN COOKIE PE</v>
      </c>
      <c r="L7395" s="32">
        <f>IFERROR(__xludf.DUMMYFUNCTION("""COMPUTED_VALUE"""),2.0)</f>
        <v>2</v>
      </c>
      <c r="M7395" s="4" t="str">
        <f>IFERROR(__xludf.DUMMYFUNCTION("""COMPUTED_VALUE"""),"Saipos Serviços De Software")</f>
        <v>Saipos Serviços De Software</v>
      </c>
      <c r="N7395" s="33">
        <f>IFERROR(__xludf.DUMMYFUNCTION("""COMPUTED_VALUE"""),1.0)</f>
        <v>1</v>
      </c>
      <c r="O7395" s="4" t="str">
        <f>IFERROR(__xludf.DUMMYFUNCTION("""COMPUTED_VALUE"""),"Saipos Serviços De Software")</f>
        <v>Saipos Serviços De Software</v>
      </c>
      <c r="P7395" s="33">
        <f>IFERROR(__xludf.DUMMYFUNCTION("""COMPUTED_VALUE"""),1.0)</f>
        <v>1</v>
      </c>
      <c r="Q7395" s="4" t="str">
        <f>IFERROR(__xludf.DUMMYFUNCTION("""COMPUTED_VALUE"""),"Saipos Serviços De Software")</f>
        <v>Saipos Serviços De Software</v>
      </c>
      <c r="R7395" s="33">
        <f>IFERROR(__xludf.DUMMYFUNCTION("""COMPUTED_VALUE"""),1.0)</f>
        <v>1</v>
      </c>
      <c r="S7395" s="4" t="str">
        <f>IFERROR(__xludf.DUMMYFUNCTION("""COMPUTED_VALUE"""),"Saipos Serviços De Software")</f>
        <v>Saipos Serviços De Software</v>
      </c>
      <c r="T7395" s="33">
        <f>IFERROR(__xludf.DUMMYFUNCTION("""COMPUTED_VALUE"""),1.0)</f>
        <v>1</v>
      </c>
      <c r="U7395" s="4" t="str">
        <f>IFERROR(__xludf.DUMMYFUNCTION("""COMPUTED_VALUE"""),"Saipos Serviços De Software")</f>
        <v>Saipos Serviços De Software</v>
      </c>
      <c r="V7395" s="33">
        <f>IFERROR(__xludf.DUMMYFUNCTION("""COMPUTED_VALUE"""),1.0)</f>
        <v>1</v>
      </c>
      <c r="W7395" s="4" t="str">
        <f>IFERROR(__xludf.DUMMYFUNCTION("""COMPUTED_VALUE"""),"Saipos Serviços De Software")</f>
        <v>Saipos Serviços De Software</v>
      </c>
      <c r="X7395" s="33">
        <f>IFERROR(__xludf.DUMMYFUNCTION("""COMPUTED_VALUE"""),1.0)</f>
        <v>1</v>
      </c>
    </row>
    <row r="7396">
      <c r="K7396" s="4" t="str">
        <f>IFERROR(__xludf.DUMMYFUNCTION("""COMPUTED_VALUE"""),"LU PIZZA")</f>
        <v>LU PIZZA</v>
      </c>
      <c r="L7396" s="32">
        <f>IFERROR(__xludf.DUMMYFUNCTION("""COMPUTED_VALUE"""),2.0)</f>
        <v>2</v>
      </c>
      <c r="M7396" s="4" t="str">
        <f>IFERROR(__xludf.DUMMYFUNCTION("""COMPUTED_VALUE"""),"Saipos Serviços De Software")</f>
        <v>Saipos Serviços De Software</v>
      </c>
      <c r="N7396" s="33">
        <f>IFERROR(__xludf.DUMMYFUNCTION("""COMPUTED_VALUE"""),1.0)</f>
        <v>1</v>
      </c>
      <c r="O7396" s="4" t="str">
        <f>IFERROR(__xludf.DUMMYFUNCTION("""COMPUTED_VALUE"""),"Saipos Serviços De Software")</f>
        <v>Saipos Serviços De Software</v>
      </c>
      <c r="P7396" s="33">
        <f>IFERROR(__xludf.DUMMYFUNCTION("""COMPUTED_VALUE"""),1.0)</f>
        <v>1</v>
      </c>
      <c r="Q7396" s="4" t="str">
        <f>IFERROR(__xludf.DUMMYFUNCTION("""COMPUTED_VALUE"""),"Saipos Serviços De Software")</f>
        <v>Saipos Serviços De Software</v>
      </c>
      <c r="R7396" s="33">
        <f>IFERROR(__xludf.DUMMYFUNCTION("""COMPUTED_VALUE"""),1.0)</f>
        <v>1</v>
      </c>
      <c r="S7396" s="4" t="str">
        <f>IFERROR(__xludf.DUMMYFUNCTION("""COMPUTED_VALUE"""),"Saipos Serviços De Software")</f>
        <v>Saipos Serviços De Software</v>
      </c>
      <c r="T7396" s="33">
        <f>IFERROR(__xludf.DUMMYFUNCTION("""COMPUTED_VALUE"""),1.0)</f>
        <v>1</v>
      </c>
      <c r="U7396" s="4" t="str">
        <f>IFERROR(__xludf.DUMMYFUNCTION("""COMPUTED_VALUE"""),"Saipos Serviços De Software")</f>
        <v>Saipos Serviços De Software</v>
      </c>
      <c r="V7396" s="33">
        <f>IFERROR(__xludf.DUMMYFUNCTION("""COMPUTED_VALUE"""),1.0)</f>
        <v>1</v>
      </c>
      <c r="W7396" s="4" t="str">
        <f>IFERROR(__xludf.DUMMYFUNCTION("""COMPUTED_VALUE"""),"Saipos Serviços De Software")</f>
        <v>Saipos Serviços De Software</v>
      </c>
      <c r="X7396" s="33">
        <f>IFERROR(__xludf.DUMMYFUNCTION("""COMPUTED_VALUE"""),1.0)</f>
        <v>1</v>
      </c>
    </row>
    <row r="7397">
      <c r="K7397" s="4" t="str">
        <f>IFERROR(__xludf.DUMMYFUNCTION("""COMPUTED_VALUE"""),"LUAU - ZONA SUL CONTA PAI")</f>
        <v>LUAU - ZONA SUL CONTA PAI</v>
      </c>
      <c r="L7397" s="32">
        <f>IFERROR(__xludf.DUMMYFUNCTION("""COMPUTED_VALUE"""),2.0)</f>
        <v>2</v>
      </c>
      <c r="M7397" s="4" t="str">
        <f>IFERROR(__xludf.DUMMYFUNCTION("""COMPUTED_VALUE"""),"Mp Multipedidos")</f>
        <v>Mp Multipedidos</v>
      </c>
      <c r="N7397" s="33">
        <f>IFERROR(__xludf.DUMMYFUNCTION("""COMPUTED_VALUE"""),1.0)</f>
        <v>1</v>
      </c>
      <c r="O7397" s="4" t="str">
        <f>IFERROR(__xludf.DUMMYFUNCTION("""COMPUTED_VALUE"""),"Mp Multipedidos")</f>
        <v>Mp Multipedidos</v>
      </c>
      <c r="P7397" s="33">
        <f>IFERROR(__xludf.DUMMYFUNCTION("""COMPUTED_VALUE"""),1.0)</f>
        <v>1</v>
      </c>
      <c r="Q7397" s="4" t="str">
        <f>IFERROR(__xludf.DUMMYFUNCTION("""COMPUTED_VALUE"""),"Mp Multipedidos")</f>
        <v>Mp Multipedidos</v>
      </c>
      <c r="R7397" s="33">
        <f>IFERROR(__xludf.DUMMYFUNCTION("""COMPUTED_VALUE"""),1.0)</f>
        <v>1</v>
      </c>
      <c r="S7397" s="4" t="str">
        <f>IFERROR(__xludf.DUMMYFUNCTION("""COMPUTED_VALUE"""),"Mp Multipedidos")</f>
        <v>Mp Multipedidos</v>
      </c>
      <c r="T7397" s="33">
        <f>IFERROR(__xludf.DUMMYFUNCTION("""COMPUTED_VALUE"""),1.0)</f>
        <v>1</v>
      </c>
      <c r="U7397" s="4" t="str">
        <f>IFERROR(__xludf.DUMMYFUNCTION("""COMPUTED_VALUE"""),"Mp Multipedidos")</f>
        <v>Mp Multipedidos</v>
      </c>
      <c r="V7397" s="33">
        <f>IFERROR(__xludf.DUMMYFUNCTION("""COMPUTED_VALUE"""),1.0)</f>
        <v>1</v>
      </c>
      <c r="W7397" s="4" t="str">
        <f>IFERROR(__xludf.DUMMYFUNCTION("""COMPUTED_VALUE"""),"Mp Multipedidos")</f>
        <v>Mp Multipedidos</v>
      </c>
      <c r="X7397" s="33">
        <f>IFERROR(__xludf.DUMMYFUNCTION("""COMPUTED_VALUE"""),1.0)</f>
        <v>1</v>
      </c>
    </row>
    <row r="7398">
      <c r="K7398" s="4" t="str">
        <f>IFERROR(__xludf.DUMMYFUNCTION("""COMPUTED_VALUE"""),"LUCHO BURGER - CONTA MARCA")</f>
        <v>LUCHO BURGER - CONTA MARCA</v>
      </c>
      <c r="L7398" s="32">
        <f>IFERROR(__xludf.DUMMYFUNCTION("""COMPUTED_VALUE"""),2.0)</f>
        <v>2</v>
      </c>
      <c r="M7398" s="4" t="str">
        <f>IFERROR(__xludf.DUMMYFUNCTION("""COMPUTED_VALUE"""),"null")</f>
        <v>null</v>
      </c>
      <c r="N7398" s="33">
        <f>IFERROR(__xludf.DUMMYFUNCTION("""COMPUTED_VALUE"""),0.5)</f>
        <v>0.5</v>
      </c>
      <c r="O7398" s="4" t="str">
        <f>IFERROR(__xludf.DUMMYFUNCTION("""COMPUTED_VALUE"""),"Totvs Large Enterprise Tecnologia S.a.")</f>
        <v>Totvs Large Enterprise Tecnologia S.a.</v>
      </c>
      <c r="P7398" s="33">
        <f>IFERROR(__xludf.DUMMYFUNCTION("""COMPUTED_VALUE"""),0.5)</f>
        <v>0.5</v>
      </c>
      <c r="Q7398" s="4" t="str">
        <f>IFERROR(__xludf.DUMMYFUNCTION("""COMPUTED_VALUE"""),"Totvs Large Enterprise Tecnologia S.a.")</f>
        <v>Totvs Large Enterprise Tecnologia S.a.</v>
      </c>
      <c r="R7398" s="33">
        <f>IFERROR(__xludf.DUMMYFUNCTION("""COMPUTED_VALUE"""),0.5)</f>
        <v>0.5</v>
      </c>
      <c r="S7398" s="4" t="str">
        <f>IFERROR(__xludf.DUMMYFUNCTION("""COMPUTED_VALUE"""),"null")</f>
        <v>null</v>
      </c>
      <c r="T7398" s="33">
        <f>IFERROR(__xludf.DUMMYFUNCTION("""COMPUTED_VALUE"""),0.5)</f>
        <v>0.5</v>
      </c>
      <c r="U7398" s="4" t="str">
        <f>IFERROR(__xludf.DUMMYFUNCTION("""COMPUTED_VALUE"""),"Totvs Large Enterprise Tecnologia S.a.")</f>
        <v>Totvs Large Enterprise Tecnologia S.a.</v>
      </c>
      <c r="V7398" s="33">
        <f>IFERROR(__xludf.DUMMYFUNCTION("""COMPUTED_VALUE"""),0.5)</f>
        <v>0.5</v>
      </c>
      <c r="W7398" s="4" t="str">
        <f>IFERROR(__xludf.DUMMYFUNCTION("""COMPUTED_VALUE"""),"Totvs Large Enterprise Tecnologia S.a.")</f>
        <v>Totvs Large Enterprise Tecnologia S.a.</v>
      </c>
      <c r="X7398" s="33">
        <f>IFERROR(__xludf.DUMMYFUNCTION("""COMPUTED_VALUE"""),0.5)</f>
        <v>0.5</v>
      </c>
    </row>
    <row r="7399">
      <c r="K7399" s="4" t="str">
        <f>IFERROR(__xludf.DUMMYFUNCTION("""COMPUTED_VALUE"""),"LUPE PIZZAS")</f>
        <v>LUPE PIZZAS</v>
      </c>
      <c r="L7399" s="32">
        <f>IFERROR(__xludf.DUMMYFUNCTION("""COMPUTED_VALUE"""),2.0)</f>
        <v>2</v>
      </c>
      <c r="M7399" s="4" t="str">
        <f>IFERROR(__xludf.DUMMYFUNCTION("""COMPUTED_VALUE"""),"null")</f>
        <v>null</v>
      </c>
      <c r="N7399" s="33">
        <f>IFERROR(__xludf.DUMMYFUNCTION("""COMPUTED_VALUE"""),0.5)</f>
        <v>0.5</v>
      </c>
      <c r="O7399" s="4" t="str">
        <f>IFERROR(__xludf.DUMMYFUNCTION("""COMPUTED_VALUE"""),"null")</f>
        <v>null</v>
      </c>
      <c r="P7399" s="33">
        <f>IFERROR(__xludf.DUMMYFUNCTION("""COMPUTED_VALUE"""),0.5)</f>
        <v>0.5</v>
      </c>
      <c r="Q7399" s="4" t="str">
        <f>IFERROR(__xludf.DUMMYFUNCTION("""COMPUTED_VALUE"""),"Vuca Solution")</f>
        <v>Vuca Solution</v>
      </c>
      <c r="R7399" s="33">
        <f>IFERROR(__xludf.DUMMYFUNCTION("""COMPUTED_VALUE"""),1.0)</f>
        <v>1</v>
      </c>
      <c r="S7399" s="4" t="str">
        <f>IFERROR(__xludf.DUMMYFUNCTION("""COMPUTED_VALUE"""),"Vuca Solution")</f>
        <v>Vuca Solution</v>
      </c>
      <c r="T7399" s="33">
        <f>IFERROR(__xludf.DUMMYFUNCTION("""COMPUTED_VALUE"""),1.0)</f>
        <v>1</v>
      </c>
      <c r="U7399" s="4" t="str">
        <f>IFERROR(__xludf.DUMMYFUNCTION("""COMPUTED_VALUE"""),"null")</f>
        <v>null</v>
      </c>
      <c r="V7399" s="33">
        <f>IFERROR(__xludf.DUMMYFUNCTION("""COMPUTED_VALUE"""),0.5)</f>
        <v>0.5</v>
      </c>
      <c r="W7399" s="4" t="str">
        <f>IFERROR(__xludf.DUMMYFUNCTION("""COMPUTED_VALUE"""),"Vuca Solution")</f>
        <v>Vuca Solution</v>
      </c>
      <c r="X7399" s="33">
        <f>IFERROR(__xludf.DUMMYFUNCTION("""COMPUTED_VALUE"""),1.0)</f>
        <v>1</v>
      </c>
    </row>
    <row r="7400">
      <c r="K7400" s="4" t="str">
        <f>IFERROR(__xludf.DUMMYFUNCTION("""COMPUTED_VALUE"""),"LUPI PIZZERIA")</f>
        <v>LUPI PIZZERIA</v>
      </c>
      <c r="L7400" s="32">
        <f>IFERROR(__xludf.DUMMYFUNCTION("""COMPUTED_VALUE"""),2.0)</f>
        <v>2</v>
      </c>
      <c r="M7400" s="4" t="str">
        <f>IFERROR(__xludf.DUMMYFUNCTION("""COMPUTED_VALUE"""),"L&amp;f Tecnologia Sistemas E Comercio Ltda")</f>
        <v>L&amp;f Tecnologia Sistemas E Comercio Ltda</v>
      </c>
      <c r="N7400" s="33">
        <f>IFERROR(__xludf.DUMMYFUNCTION("""COMPUTED_VALUE"""),0.5)</f>
        <v>0.5</v>
      </c>
      <c r="O7400" s="4" t="str">
        <f>IFERROR(__xludf.DUMMYFUNCTION("""COMPUTED_VALUE"""),"L&amp;f Tecnologia Sistemas E Comercio Ltda")</f>
        <v>L&amp;f Tecnologia Sistemas E Comercio Ltda</v>
      </c>
      <c r="P7400" s="33">
        <f>IFERROR(__xludf.DUMMYFUNCTION("""COMPUTED_VALUE"""),1.0)</f>
        <v>1</v>
      </c>
      <c r="Q7400" s="4" t="str">
        <f>IFERROR(__xludf.DUMMYFUNCTION("""COMPUTED_VALUE"""),"L&amp;f Tecnologia Sistemas E Comercio Ltda")</f>
        <v>L&amp;f Tecnologia Sistemas E Comercio Ltda</v>
      </c>
      <c r="R7400" s="33">
        <f>IFERROR(__xludf.DUMMYFUNCTION("""COMPUTED_VALUE"""),1.0)</f>
        <v>1</v>
      </c>
      <c r="S7400" s="4" t="str">
        <f>IFERROR(__xludf.DUMMYFUNCTION("""COMPUTED_VALUE"""),"L&amp;f Tecnologia Sistemas E Comercio Ltda")</f>
        <v>L&amp;f Tecnologia Sistemas E Comercio Ltda</v>
      </c>
      <c r="T7400" s="33">
        <f>IFERROR(__xludf.DUMMYFUNCTION("""COMPUTED_VALUE"""),1.0)</f>
        <v>1</v>
      </c>
      <c r="U7400" s="4" t="str">
        <f>IFERROR(__xludf.DUMMYFUNCTION("""COMPUTED_VALUE"""),"L&amp;f Tecnologia Sistemas E Comercio Ltda")</f>
        <v>L&amp;f Tecnologia Sistemas E Comercio Ltda</v>
      </c>
      <c r="V7400" s="33">
        <f>IFERROR(__xludf.DUMMYFUNCTION("""COMPUTED_VALUE"""),1.0)</f>
        <v>1</v>
      </c>
      <c r="W7400" s="4" t="str">
        <f>IFERROR(__xludf.DUMMYFUNCTION("""COMPUTED_VALUE"""),"L&amp;f Tecnologia Sistemas E Comercio Ltda")</f>
        <v>L&amp;f Tecnologia Sistemas E Comercio Ltda</v>
      </c>
      <c r="X7400" s="33">
        <f>IFERROR(__xludf.DUMMYFUNCTION("""COMPUTED_VALUE"""),1.0)</f>
        <v>1</v>
      </c>
    </row>
    <row r="7401">
      <c r="K7401" s="4" t="str">
        <f>IFERROR(__xludf.DUMMYFUNCTION("""COMPUTED_VALUE"""),"LUPI PIZZERIA L")</f>
        <v>LUPI PIZZERIA L</v>
      </c>
      <c r="L7401" s="32">
        <f>IFERROR(__xludf.DUMMYFUNCTION("""COMPUTED_VALUE"""),2.0)</f>
        <v>2</v>
      </c>
      <c r="M7401" s="4" t="str">
        <f>IFERROR(__xludf.DUMMYFUNCTION("""COMPUTED_VALUE"""),"L&amp;f Tecnologia Sistemas E Comercio Ltda")</f>
        <v>L&amp;f Tecnologia Sistemas E Comercio Ltda</v>
      </c>
      <c r="N7401" s="33">
        <f>IFERROR(__xludf.DUMMYFUNCTION("""COMPUTED_VALUE"""),0.5)</f>
        <v>0.5</v>
      </c>
      <c r="O7401" s="4" t="str">
        <f>IFERROR(__xludf.DUMMYFUNCTION("""COMPUTED_VALUE"""),"L&amp;f Tecnologia Sistemas E Comercio Ltda")</f>
        <v>L&amp;f Tecnologia Sistemas E Comercio Ltda</v>
      </c>
      <c r="P7401" s="33">
        <f>IFERROR(__xludf.DUMMYFUNCTION("""COMPUTED_VALUE"""),1.0)</f>
        <v>1</v>
      </c>
      <c r="Q7401" s="4" t="str">
        <f>IFERROR(__xludf.DUMMYFUNCTION("""COMPUTED_VALUE"""),"L&amp;f Tecnologia Sistemas E Comercio Ltda")</f>
        <v>L&amp;f Tecnologia Sistemas E Comercio Ltda</v>
      </c>
      <c r="R7401" s="33">
        <f>IFERROR(__xludf.DUMMYFUNCTION("""COMPUTED_VALUE"""),1.0)</f>
        <v>1</v>
      </c>
      <c r="S7401" s="4" t="str">
        <f>IFERROR(__xludf.DUMMYFUNCTION("""COMPUTED_VALUE"""),"L&amp;f Tecnologia Sistemas E Comercio Ltda")</f>
        <v>L&amp;f Tecnologia Sistemas E Comercio Ltda</v>
      </c>
      <c r="T7401" s="33">
        <f>IFERROR(__xludf.DUMMYFUNCTION("""COMPUTED_VALUE"""),1.0)</f>
        <v>1</v>
      </c>
      <c r="U7401" s="4" t="str">
        <f>IFERROR(__xludf.DUMMYFUNCTION("""COMPUTED_VALUE"""),"L&amp;f Tecnologia Sistemas E Comercio Ltda")</f>
        <v>L&amp;f Tecnologia Sistemas E Comercio Ltda</v>
      </c>
      <c r="V7401" s="33">
        <f>IFERROR(__xludf.DUMMYFUNCTION("""COMPUTED_VALUE"""),1.0)</f>
        <v>1</v>
      </c>
      <c r="W7401" s="4" t="str">
        <f>IFERROR(__xludf.DUMMYFUNCTION("""COMPUTED_VALUE"""),"L&amp;f Tecnologia Sistemas E Comercio Ltda")</f>
        <v>L&amp;f Tecnologia Sistemas E Comercio Ltda</v>
      </c>
      <c r="X7401" s="33">
        <f>IFERROR(__xludf.DUMMYFUNCTION("""COMPUTED_VALUE"""),1.0)</f>
        <v>1</v>
      </c>
    </row>
    <row r="7402">
      <c r="K7402" s="4" t="str">
        <f>IFERROR(__xludf.DUMMYFUNCTION("""COMPUTED_VALUE"""),"LUPONERO RESTAURANTE - CP")</f>
        <v>LUPONERO RESTAURANTE - CP</v>
      </c>
      <c r="L7402" s="32">
        <f>IFERROR(__xludf.DUMMYFUNCTION("""COMPUTED_VALUE"""),2.0)</f>
        <v>2</v>
      </c>
      <c r="M7402" s="4" t="str">
        <f>IFERROR(__xludf.DUMMYFUNCTION("""COMPUTED_VALUE"""),"Cloudfy")</f>
        <v>Cloudfy</v>
      </c>
      <c r="N7402" s="33">
        <f>IFERROR(__xludf.DUMMYFUNCTION("""COMPUTED_VALUE"""),0.5)</f>
        <v>0.5</v>
      </c>
      <c r="O7402" s="4" t="str">
        <f>IFERROR(__xludf.DUMMYFUNCTION("""COMPUTED_VALUE"""),"Cloudfy")</f>
        <v>Cloudfy</v>
      </c>
      <c r="P7402" s="33">
        <f>IFERROR(__xludf.DUMMYFUNCTION("""COMPUTED_VALUE"""),0.5)</f>
        <v>0.5</v>
      </c>
      <c r="Q7402" s="4" t="str">
        <f>IFERROR(__xludf.DUMMYFUNCTION("""COMPUTED_VALUE"""),"Cloudfy")</f>
        <v>Cloudfy</v>
      </c>
      <c r="R7402" s="33">
        <f>IFERROR(__xludf.DUMMYFUNCTION("""COMPUTED_VALUE"""),1.0)</f>
        <v>1</v>
      </c>
      <c r="S7402" s="4" t="str">
        <f>IFERROR(__xludf.DUMMYFUNCTION("""COMPUTED_VALUE"""),"Cloudfy")</f>
        <v>Cloudfy</v>
      </c>
      <c r="T7402" s="33">
        <f>IFERROR(__xludf.DUMMYFUNCTION("""COMPUTED_VALUE"""),1.0)</f>
        <v>1</v>
      </c>
      <c r="U7402" s="4" t="str">
        <f>IFERROR(__xludf.DUMMYFUNCTION("""COMPUTED_VALUE"""),"Cloudfy")</f>
        <v>Cloudfy</v>
      </c>
      <c r="V7402" s="33">
        <f>IFERROR(__xludf.DUMMYFUNCTION("""COMPUTED_VALUE"""),1.0)</f>
        <v>1</v>
      </c>
      <c r="W7402" s="4" t="str">
        <f>IFERROR(__xludf.DUMMYFUNCTION("""COMPUTED_VALUE"""),"Cloudfy")</f>
        <v>Cloudfy</v>
      </c>
      <c r="X7402" s="33">
        <f>IFERROR(__xludf.DUMMYFUNCTION("""COMPUTED_VALUE"""),1.0)</f>
        <v>1</v>
      </c>
    </row>
    <row r="7403">
      <c r="K7403" s="4" t="str">
        <f>IFERROR(__xludf.DUMMYFUNCTION("""COMPUTED_VALUE"""),"MABLACK - MARCA")</f>
        <v>MABLACK - MARCA</v>
      </c>
      <c r="L7403" s="32">
        <f>IFERROR(__xludf.DUMMYFUNCTION("""COMPUTED_VALUE"""),2.0)</f>
        <v>2</v>
      </c>
      <c r="M7403" s="4" t="str">
        <f>IFERROR(__xludf.DUMMYFUNCTION("""COMPUTED_VALUE"""),"Saipos Serviços De Software")</f>
        <v>Saipos Serviços De Software</v>
      </c>
      <c r="N7403" s="33">
        <f>IFERROR(__xludf.DUMMYFUNCTION("""COMPUTED_VALUE"""),1.0)</f>
        <v>1</v>
      </c>
      <c r="O7403" s="4" t="str">
        <f>IFERROR(__xludf.DUMMYFUNCTION("""COMPUTED_VALUE"""),"Saipos Serviços De Software")</f>
        <v>Saipos Serviços De Software</v>
      </c>
      <c r="P7403" s="33">
        <f>IFERROR(__xludf.DUMMYFUNCTION("""COMPUTED_VALUE"""),1.0)</f>
        <v>1</v>
      </c>
      <c r="Q7403" s="4" t="str">
        <f>IFERROR(__xludf.DUMMYFUNCTION("""COMPUTED_VALUE"""),"Saipos Serviços De Software")</f>
        <v>Saipos Serviços De Software</v>
      </c>
      <c r="R7403" s="33">
        <f>IFERROR(__xludf.DUMMYFUNCTION("""COMPUTED_VALUE"""),1.0)</f>
        <v>1</v>
      </c>
      <c r="S7403" s="4" t="str">
        <f>IFERROR(__xludf.DUMMYFUNCTION("""COMPUTED_VALUE"""),"Saipos Serviços De Software")</f>
        <v>Saipos Serviços De Software</v>
      </c>
      <c r="T7403" s="33">
        <f>IFERROR(__xludf.DUMMYFUNCTION("""COMPUTED_VALUE"""),1.0)</f>
        <v>1</v>
      </c>
      <c r="U7403" s="4" t="str">
        <f>IFERROR(__xludf.DUMMYFUNCTION("""COMPUTED_VALUE"""),"Saipos Serviços De Software")</f>
        <v>Saipos Serviços De Software</v>
      </c>
      <c r="V7403" s="33">
        <f>IFERROR(__xludf.DUMMYFUNCTION("""COMPUTED_VALUE"""),1.0)</f>
        <v>1</v>
      </c>
      <c r="W7403" s="4" t="str">
        <f>IFERROR(__xludf.DUMMYFUNCTION("""COMPUTED_VALUE"""),"Saipos Serviços De Software")</f>
        <v>Saipos Serviços De Software</v>
      </c>
      <c r="X7403" s="33">
        <f>IFERROR(__xludf.DUMMYFUNCTION("""COMPUTED_VALUE"""),1.0)</f>
        <v>1</v>
      </c>
    </row>
    <row r="7404">
      <c r="K7404" s="4" t="str">
        <f>IFERROR(__xludf.DUMMYFUNCTION("""COMPUTED_VALUE"""),"MACAHE BURGUER")</f>
        <v>MACAHE BURGUER</v>
      </c>
      <c r="L7404" s="32">
        <f>IFERROR(__xludf.DUMMYFUNCTION("""COMPUTED_VALUE"""),2.0)</f>
        <v>2</v>
      </c>
      <c r="M7404" s="4" t="str">
        <f>IFERROR(__xludf.DUMMYFUNCTION("""COMPUTED_VALUE"""),"Saipos Serviços De Software")</f>
        <v>Saipos Serviços De Software</v>
      </c>
      <c r="N7404" s="33">
        <f>IFERROR(__xludf.DUMMYFUNCTION("""COMPUTED_VALUE"""),1.0)</f>
        <v>1</v>
      </c>
      <c r="O7404" s="4" t="str">
        <f>IFERROR(__xludf.DUMMYFUNCTION("""COMPUTED_VALUE"""),"Saipos Serviços De Software")</f>
        <v>Saipos Serviços De Software</v>
      </c>
      <c r="P7404" s="33">
        <f>IFERROR(__xludf.DUMMYFUNCTION("""COMPUTED_VALUE"""),1.0)</f>
        <v>1</v>
      </c>
      <c r="Q7404" s="4" t="str">
        <f>IFERROR(__xludf.DUMMYFUNCTION("""COMPUTED_VALUE"""),"Saipos Serviços De Software")</f>
        <v>Saipos Serviços De Software</v>
      </c>
      <c r="R7404" s="33">
        <f>IFERROR(__xludf.DUMMYFUNCTION("""COMPUTED_VALUE"""),1.0)</f>
        <v>1</v>
      </c>
      <c r="S7404" s="4" t="str">
        <f>IFERROR(__xludf.DUMMYFUNCTION("""COMPUTED_VALUE"""),"Saipos Serviços De Software")</f>
        <v>Saipos Serviços De Software</v>
      </c>
      <c r="T7404" s="33">
        <f>IFERROR(__xludf.DUMMYFUNCTION("""COMPUTED_VALUE"""),1.0)</f>
        <v>1</v>
      </c>
      <c r="U7404" s="4" t="str">
        <f>IFERROR(__xludf.DUMMYFUNCTION("""COMPUTED_VALUE"""),"Saipos Serviços De Software")</f>
        <v>Saipos Serviços De Software</v>
      </c>
      <c r="V7404" s="33">
        <f>IFERROR(__xludf.DUMMYFUNCTION("""COMPUTED_VALUE"""),1.0)</f>
        <v>1</v>
      </c>
      <c r="W7404" s="4" t="str">
        <f>IFERROR(__xludf.DUMMYFUNCTION("""COMPUTED_VALUE"""),"Saipos Serviços De Software")</f>
        <v>Saipos Serviços De Software</v>
      </c>
      <c r="X7404" s="33">
        <f>IFERROR(__xludf.DUMMYFUNCTION("""COMPUTED_VALUE"""),1.0)</f>
        <v>1</v>
      </c>
    </row>
    <row r="7405">
      <c r="K7405" s="4" t="str">
        <f>IFERROR(__xludf.DUMMYFUNCTION("""COMPUTED_VALUE"""),"MACARRAO E CIA")</f>
        <v>MACARRAO E CIA</v>
      </c>
      <c r="L7405" s="32">
        <f>IFERROR(__xludf.DUMMYFUNCTION("""COMPUTED_VALUE"""),2.0)</f>
        <v>2</v>
      </c>
      <c r="M7405" s="4" t="str">
        <f>IFERROR(__xludf.DUMMYFUNCTION("""COMPUTED_VALUE"""),"Totvs Large Enterprise Tecnologia S.a.")</f>
        <v>Totvs Large Enterprise Tecnologia S.a.</v>
      </c>
      <c r="N7405" s="33">
        <f>IFERROR(__xludf.DUMMYFUNCTION("""COMPUTED_VALUE"""),1.0)</f>
        <v>1</v>
      </c>
      <c r="O7405" s="4" t="str">
        <f>IFERROR(__xludf.DUMMYFUNCTION("""COMPUTED_VALUE"""),"Totvs Large Enterprise Tecnologia S.a.")</f>
        <v>Totvs Large Enterprise Tecnologia S.a.</v>
      </c>
      <c r="P7405" s="33">
        <f>IFERROR(__xludf.DUMMYFUNCTION("""COMPUTED_VALUE"""),1.0)</f>
        <v>1</v>
      </c>
      <c r="Q7405" s="4" t="str">
        <f>IFERROR(__xludf.DUMMYFUNCTION("""COMPUTED_VALUE"""),"Totvs Large Enterprise Tecnologia S.a.")</f>
        <v>Totvs Large Enterprise Tecnologia S.a.</v>
      </c>
      <c r="R7405" s="33">
        <f>IFERROR(__xludf.DUMMYFUNCTION("""COMPUTED_VALUE"""),1.0)</f>
        <v>1</v>
      </c>
      <c r="S7405" s="4" t="str">
        <f>IFERROR(__xludf.DUMMYFUNCTION("""COMPUTED_VALUE"""),"Totvs Large Enterprise Tecnologia S.a.")</f>
        <v>Totvs Large Enterprise Tecnologia S.a.</v>
      </c>
      <c r="T7405" s="33">
        <f>IFERROR(__xludf.DUMMYFUNCTION("""COMPUTED_VALUE"""),1.0)</f>
        <v>1</v>
      </c>
      <c r="U7405" s="4" t="str">
        <f>IFERROR(__xludf.DUMMYFUNCTION("""COMPUTED_VALUE"""),"Totvs Large Enterprise Tecnologia S.a.")</f>
        <v>Totvs Large Enterprise Tecnologia S.a.</v>
      </c>
      <c r="V7405" s="33">
        <f>IFERROR(__xludf.DUMMYFUNCTION("""COMPUTED_VALUE"""),1.0)</f>
        <v>1</v>
      </c>
      <c r="W7405" s="4" t="str">
        <f>IFERROR(__xludf.DUMMYFUNCTION("""COMPUTED_VALUE"""),"Totvs Large Enterprise Tecnologia S.a.")</f>
        <v>Totvs Large Enterprise Tecnologia S.a.</v>
      </c>
      <c r="X7405" s="33">
        <f>IFERROR(__xludf.DUMMYFUNCTION("""COMPUTED_VALUE"""),1.0)</f>
        <v>1</v>
      </c>
    </row>
    <row r="7406">
      <c r="K7406" s="4" t="str">
        <f>IFERROR(__xludf.DUMMYFUNCTION("""COMPUTED_VALUE"""),"MACARRONADA FLORIPA - CONTA MARCA")</f>
        <v>MACARRONADA FLORIPA - CONTA MARCA</v>
      </c>
      <c r="L7406" s="32">
        <f>IFERROR(__xludf.DUMMYFUNCTION("""COMPUTED_VALUE"""),2.0)</f>
        <v>2</v>
      </c>
      <c r="M7406" s="4" t="str">
        <f>IFERROR(__xludf.DUMMYFUNCTION("""COMPUTED_VALUE"""),"Ncr")</f>
        <v>Ncr</v>
      </c>
      <c r="N7406" s="33">
        <f>IFERROR(__xludf.DUMMYFUNCTION("""COMPUTED_VALUE"""),1.0)</f>
        <v>1</v>
      </c>
      <c r="O7406" s="4" t="str">
        <f>IFERROR(__xludf.DUMMYFUNCTION("""COMPUTED_VALUE"""),"Ncr")</f>
        <v>Ncr</v>
      </c>
      <c r="P7406" s="33">
        <f>IFERROR(__xludf.DUMMYFUNCTION("""COMPUTED_VALUE"""),1.0)</f>
        <v>1</v>
      </c>
      <c r="Q7406" s="4" t="str">
        <f>IFERROR(__xludf.DUMMYFUNCTION("""COMPUTED_VALUE"""),"Ncr")</f>
        <v>Ncr</v>
      </c>
      <c r="R7406" s="33">
        <f>IFERROR(__xludf.DUMMYFUNCTION("""COMPUTED_VALUE"""),1.0)</f>
        <v>1</v>
      </c>
      <c r="S7406" s="4" t="str">
        <f>IFERROR(__xludf.DUMMYFUNCTION("""COMPUTED_VALUE"""),"Ncr")</f>
        <v>Ncr</v>
      </c>
      <c r="T7406" s="33">
        <f>IFERROR(__xludf.DUMMYFUNCTION("""COMPUTED_VALUE"""),0.5)</f>
        <v>0.5</v>
      </c>
      <c r="U7406" s="4" t="str">
        <f>IFERROR(__xludf.DUMMYFUNCTION("""COMPUTED_VALUE"""),"Ncr")</f>
        <v>Ncr</v>
      </c>
      <c r="V7406" s="33">
        <f>IFERROR(__xludf.DUMMYFUNCTION("""COMPUTED_VALUE"""),0.5)</f>
        <v>0.5</v>
      </c>
      <c r="W7406" s="4" t="str">
        <f>IFERROR(__xludf.DUMMYFUNCTION("""COMPUTED_VALUE"""),"Ncr")</f>
        <v>Ncr</v>
      </c>
      <c r="X7406" s="33">
        <f>IFERROR(__xludf.DUMMYFUNCTION("""COMPUTED_VALUE"""),1.0)</f>
        <v>1</v>
      </c>
    </row>
    <row r="7407">
      <c r="K7407" s="4" t="str">
        <f>IFERROR(__xludf.DUMMYFUNCTION("""COMPUTED_VALUE"""),"MACUNAIMA - GRACAS")</f>
        <v>MACUNAIMA - GRACAS</v>
      </c>
      <c r="L7407" s="32">
        <f>IFERROR(__xludf.DUMMYFUNCTION("""COMPUTED_VALUE"""),2.0)</f>
        <v>2</v>
      </c>
      <c r="M7407" s="4" t="str">
        <f>IFERROR(__xludf.DUMMYFUNCTION("""COMPUTED_VALUE"""),"Swfast Sistemas")</f>
        <v>Swfast Sistemas</v>
      </c>
      <c r="N7407" s="33">
        <f>IFERROR(__xludf.DUMMYFUNCTION("""COMPUTED_VALUE"""),1.0)</f>
        <v>1</v>
      </c>
      <c r="O7407" s="4" t="str">
        <f>IFERROR(__xludf.DUMMYFUNCTION("""COMPUTED_VALUE"""),"Swfast Sistemas")</f>
        <v>Swfast Sistemas</v>
      </c>
      <c r="P7407" s="33">
        <f>IFERROR(__xludf.DUMMYFUNCTION("""COMPUTED_VALUE"""),1.0)</f>
        <v>1</v>
      </c>
      <c r="Q7407" s="4" t="str">
        <f>IFERROR(__xludf.DUMMYFUNCTION("""COMPUTED_VALUE"""),"Swfast Sistemas")</f>
        <v>Swfast Sistemas</v>
      </c>
      <c r="R7407" s="33">
        <f>IFERROR(__xludf.DUMMYFUNCTION("""COMPUTED_VALUE"""),1.0)</f>
        <v>1</v>
      </c>
      <c r="S7407" s="4" t="str">
        <f>IFERROR(__xludf.DUMMYFUNCTION("""COMPUTED_VALUE"""),"Swfast Sistemas")</f>
        <v>Swfast Sistemas</v>
      </c>
      <c r="T7407" s="33">
        <f>IFERROR(__xludf.DUMMYFUNCTION("""COMPUTED_VALUE"""),1.0)</f>
        <v>1</v>
      </c>
      <c r="U7407" s="4" t="str">
        <f>IFERROR(__xludf.DUMMYFUNCTION("""COMPUTED_VALUE"""),"Swfast Sistemas")</f>
        <v>Swfast Sistemas</v>
      </c>
      <c r="V7407" s="33">
        <f>IFERROR(__xludf.DUMMYFUNCTION("""COMPUTED_VALUE"""),1.0)</f>
        <v>1</v>
      </c>
      <c r="W7407" s="4" t="str">
        <f>IFERROR(__xludf.DUMMYFUNCTION("""COMPUTED_VALUE"""),"Swfast Sistemas")</f>
        <v>Swfast Sistemas</v>
      </c>
      <c r="X7407" s="33">
        <f>IFERROR(__xludf.DUMMYFUNCTION("""COMPUTED_VALUE"""),1.0)</f>
        <v>1</v>
      </c>
    </row>
    <row r="7408">
      <c r="K7408" s="4" t="str">
        <f>IFERROR(__xludf.DUMMYFUNCTION("""COMPUTED_VALUE"""),"MAD BURGUER CO")</f>
        <v>MAD BURGUER CO</v>
      </c>
      <c r="L7408" s="32">
        <f>IFERROR(__xludf.DUMMYFUNCTION("""COMPUTED_VALUE"""),2.0)</f>
        <v>2</v>
      </c>
      <c r="M7408" s="4" t="str">
        <f>IFERROR(__xludf.DUMMYFUNCTION("""COMPUTED_VALUE"""),"null")</f>
        <v>null</v>
      </c>
      <c r="N7408" s="33">
        <f>IFERROR(__xludf.DUMMYFUNCTION("""COMPUTED_VALUE"""),0.5)</f>
        <v>0.5</v>
      </c>
      <c r="O7408" s="4" t="str">
        <f>IFERROR(__xludf.DUMMYFUNCTION("""COMPUTED_VALUE"""),"null")</f>
        <v>null</v>
      </c>
      <c r="P7408" s="33">
        <f>IFERROR(__xludf.DUMMYFUNCTION("""COMPUTED_VALUE"""),0.5)</f>
        <v>0.5</v>
      </c>
      <c r="Q7408" s="4" t="str">
        <f>IFERROR(__xludf.DUMMYFUNCTION("""COMPUTED_VALUE"""),"null")</f>
        <v>null</v>
      </c>
      <c r="R7408" s="33">
        <f>IFERROR(__xludf.DUMMYFUNCTION("""COMPUTED_VALUE"""),0.5)</f>
        <v>0.5</v>
      </c>
      <c r="S7408" s="4" t="str">
        <f>IFERROR(__xludf.DUMMYFUNCTION("""COMPUTED_VALUE"""),"null")</f>
        <v>null</v>
      </c>
      <c r="T7408" s="33">
        <f>IFERROR(__xludf.DUMMYFUNCTION("""COMPUTED_VALUE"""),0.5)</f>
        <v>0.5</v>
      </c>
      <c r="U7408" s="4" t="str">
        <f>IFERROR(__xludf.DUMMYFUNCTION("""COMPUTED_VALUE"""),"Cardápio Web")</f>
        <v>Cardápio Web</v>
      </c>
      <c r="V7408" s="33">
        <f>IFERROR(__xludf.DUMMYFUNCTION("""COMPUTED_VALUE"""),1.0)</f>
        <v>1</v>
      </c>
      <c r="W7408" s="4" t="str">
        <f>IFERROR(__xludf.DUMMYFUNCTION("""COMPUTED_VALUE"""),"null")</f>
        <v>null</v>
      </c>
      <c r="X7408" s="33">
        <f>IFERROR(__xludf.DUMMYFUNCTION("""COMPUTED_VALUE"""),0.5)</f>
        <v>0.5</v>
      </c>
    </row>
    <row r="7409">
      <c r="K7409" s="4" t="str">
        <f>IFERROR(__xludf.DUMMYFUNCTION("""COMPUTED_VALUE"""),"MADALENA BRIGADEIROS")</f>
        <v>MADALENA BRIGADEIROS</v>
      </c>
      <c r="L7409" s="32">
        <f>IFERROR(__xludf.DUMMYFUNCTION("""COMPUTED_VALUE"""),2.0)</f>
        <v>2</v>
      </c>
      <c r="M7409" s="4" t="str">
        <f>IFERROR(__xludf.DUMMYFUNCTION("""COMPUTED_VALUE"""),"null")</f>
        <v>null</v>
      </c>
      <c r="N7409" s="33">
        <f>IFERROR(__xludf.DUMMYFUNCTION("""COMPUTED_VALUE"""),0.5)</f>
        <v>0.5</v>
      </c>
      <c r="O7409" s="4" t="str">
        <f>IFERROR(__xludf.DUMMYFUNCTION("""COMPUTED_VALUE"""),"null")</f>
        <v>null</v>
      </c>
      <c r="P7409" s="33">
        <f>IFERROR(__xludf.DUMMYFUNCTION("""COMPUTED_VALUE"""),0.5)</f>
        <v>0.5</v>
      </c>
      <c r="Q7409" s="4" t="str">
        <f>IFERROR(__xludf.DUMMYFUNCTION("""COMPUTED_VALUE"""),"null")</f>
        <v>null</v>
      </c>
      <c r="R7409" s="33">
        <f>IFERROR(__xludf.DUMMYFUNCTION("""COMPUTED_VALUE"""),0.5)</f>
        <v>0.5</v>
      </c>
      <c r="S7409" s="4" t="str">
        <f>IFERROR(__xludf.DUMMYFUNCTION("""COMPUTED_VALUE"""),"Saipos Serviços De Software")</f>
        <v>Saipos Serviços De Software</v>
      </c>
      <c r="T7409" s="33">
        <f>IFERROR(__xludf.DUMMYFUNCTION("""COMPUTED_VALUE"""),1.0)</f>
        <v>1</v>
      </c>
      <c r="U7409" s="4" t="str">
        <f>IFERROR(__xludf.DUMMYFUNCTION("""COMPUTED_VALUE"""),"Saipos Serviços De Software")</f>
        <v>Saipos Serviços De Software</v>
      </c>
      <c r="V7409" s="33">
        <f>IFERROR(__xludf.DUMMYFUNCTION("""COMPUTED_VALUE"""),1.0)</f>
        <v>1</v>
      </c>
      <c r="W7409" s="4" t="str">
        <f>IFERROR(__xludf.DUMMYFUNCTION("""COMPUTED_VALUE"""),"Saipos Serviços De Software")</f>
        <v>Saipos Serviços De Software</v>
      </c>
      <c r="X7409" s="33">
        <f>IFERROR(__xludf.DUMMYFUNCTION("""COMPUTED_VALUE"""),1.0)</f>
        <v>1</v>
      </c>
    </row>
    <row r="7410">
      <c r="K7410" s="4" t="str">
        <f>IFERROR(__xludf.DUMMYFUNCTION("""COMPUTED_VALUE"""),"MADAME CACAO - CONTA PAI")</f>
        <v>MADAME CACAO - CONTA PAI</v>
      </c>
      <c r="L7410" s="32">
        <f>IFERROR(__xludf.DUMMYFUNCTION("""COMPUTED_VALUE"""),2.0)</f>
        <v>2</v>
      </c>
      <c r="M7410" s="4" t="str">
        <f>IFERROR(__xludf.DUMMYFUNCTION("""COMPUTED_VALUE"""),"Metre Sistemas")</f>
        <v>Metre Sistemas</v>
      </c>
      <c r="N7410" s="33">
        <f>IFERROR(__xludf.DUMMYFUNCTION("""COMPUTED_VALUE"""),1.0)</f>
        <v>1</v>
      </c>
      <c r="O7410" s="4" t="str">
        <f>IFERROR(__xludf.DUMMYFUNCTION("""COMPUTED_VALUE"""),"Metre Sistemas")</f>
        <v>Metre Sistemas</v>
      </c>
      <c r="P7410" s="33">
        <f>IFERROR(__xludf.DUMMYFUNCTION("""COMPUTED_VALUE"""),1.0)</f>
        <v>1</v>
      </c>
      <c r="Q7410" s="4" t="str">
        <f>IFERROR(__xludf.DUMMYFUNCTION("""COMPUTED_VALUE"""),"Metre Sistemas")</f>
        <v>Metre Sistemas</v>
      </c>
      <c r="R7410" s="33">
        <f>IFERROR(__xludf.DUMMYFUNCTION("""COMPUTED_VALUE"""),1.0)</f>
        <v>1</v>
      </c>
      <c r="S7410" s="4" t="str">
        <f>IFERROR(__xludf.DUMMYFUNCTION("""COMPUTED_VALUE"""),"Metre Sistemas")</f>
        <v>Metre Sistemas</v>
      </c>
      <c r="T7410" s="33">
        <f>IFERROR(__xludf.DUMMYFUNCTION("""COMPUTED_VALUE"""),1.0)</f>
        <v>1</v>
      </c>
      <c r="U7410" s="4" t="str">
        <f>IFERROR(__xludf.DUMMYFUNCTION("""COMPUTED_VALUE"""),"Metre Sistemas")</f>
        <v>Metre Sistemas</v>
      </c>
      <c r="V7410" s="33">
        <f>IFERROR(__xludf.DUMMYFUNCTION("""COMPUTED_VALUE"""),1.0)</f>
        <v>1</v>
      </c>
      <c r="W7410" s="4" t="str">
        <f>IFERROR(__xludf.DUMMYFUNCTION("""COMPUTED_VALUE"""),"Metre Sistemas")</f>
        <v>Metre Sistemas</v>
      </c>
      <c r="X7410" s="33">
        <f>IFERROR(__xludf.DUMMYFUNCTION("""COMPUTED_VALUE"""),1.0)</f>
        <v>1</v>
      </c>
    </row>
    <row r="7411">
      <c r="K7411" s="4" t="str">
        <f>IFERROR(__xludf.DUMMYFUNCTION("""COMPUTED_VALUE"""),"MADRI PAES - CONTA MARCA")</f>
        <v>MADRI PAES - CONTA MARCA</v>
      </c>
      <c r="L7411" s="32">
        <f>IFERROR(__xludf.DUMMYFUNCTION("""COMPUTED_VALUE"""),2.0)</f>
        <v>2</v>
      </c>
      <c r="M7411" s="4" t="str">
        <f>IFERROR(__xludf.DUMMYFUNCTION("""COMPUTED_VALUE"""),"Intelidata Informática Ltda")</f>
        <v>Intelidata Informática Ltda</v>
      </c>
      <c r="N7411" s="33">
        <f>IFERROR(__xludf.DUMMYFUNCTION("""COMPUTED_VALUE"""),1.0)</f>
        <v>1</v>
      </c>
      <c r="O7411" s="4" t="str">
        <f>IFERROR(__xludf.DUMMYFUNCTION("""COMPUTED_VALUE"""),"Intelidata Informática Ltda")</f>
        <v>Intelidata Informática Ltda</v>
      </c>
      <c r="P7411" s="33">
        <f>IFERROR(__xludf.DUMMYFUNCTION("""COMPUTED_VALUE"""),1.0)</f>
        <v>1</v>
      </c>
      <c r="Q7411" s="4" t="str">
        <f>IFERROR(__xludf.DUMMYFUNCTION("""COMPUTED_VALUE"""),"Intelidata Informática Ltda")</f>
        <v>Intelidata Informática Ltda</v>
      </c>
      <c r="R7411" s="33">
        <f>IFERROR(__xludf.DUMMYFUNCTION("""COMPUTED_VALUE"""),0.5)</f>
        <v>0.5</v>
      </c>
      <c r="S7411" s="4" t="str">
        <f>IFERROR(__xludf.DUMMYFUNCTION("""COMPUTED_VALUE"""),"Intelidata Informática Ltda")</f>
        <v>Intelidata Informática Ltda</v>
      </c>
      <c r="T7411" s="33">
        <f>IFERROR(__xludf.DUMMYFUNCTION("""COMPUTED_VALUE"""),0.5)</f>
        <v>0.5</v>
      </c>
      <c r="U7411" s="4" t="str">
        <f>IFERROR(__xludf.DUMMYFUNCTION("""COMPUTED_VALUE"""),"Intelidata Informática Ltda")</f>
        <v>Intelidata Informática Ltda</v>
      </c>
      <c r="V7411" s="33">
        <f>IFERROR(__xludf.DUMMYFUNCTION("""COMPUTED_VALUE"""),0.5)</f>
        <v>0.5</v>
      </c>
      <c r="W7411" s="4" t="str">
        <f>IFERROR(__xludf.DUMMYFUNCTION("""COMPUTED_VALUE"""),"Intelidata Informática Ltda")</f>
        <v>Intelidata Informática Ltda</v>
      </c>
      <c r="X7411" s="33">
        <f>IFERROR(__xludf.DUMMYFUNCTION("""COMPUTED_VALUE"""),0.5)</f>
        <v>0.5</v>
      </c>
    </row>
    <row r="7412">
      <c r="K7412" s="4" t="str">
        <f>IFERROR(__xludf.DUMMYFUNCTION("""COMPUTED_VALUE"""),"MAGNATA - MANAUS")</f>
        <v>MAGNATA - MANAUS</v>
      </c>
      <c r="L7412" s="32">
        <f>IFERROR(__xludf.DUMMYFUNCTION("""COMPUTED_VALUE"""),2.0)</f>
        <v>2</v>
      </c>
      <c r="M7412" s="4" t="str">
        <f>IFERROR(__xludf.DUMMYFUNCTION("""COMPUTED_VALUE"""),"Anota Ai Solucoes Digitais S/a")</f>
        <v>Anota Ai Solucoes Digitais S/a</v>
      </c>
      <c r="N7412" s="33">
        <f>IFERROR(__xludf.DUMMYFUNCTION("""COMPUTED_VALUE"""),1.0)</f>
        <v>1</v>
      </c>
      <c r="O7412" s="4" t="str">
        <f>IFERROR(__xludf.DUMMYFUNCTION("""COMPUTED_VALUE"""),"Anota Ai Solucoes Digitais S/a")</f>
        <v>Anota Ai Solucoes Digitais S/a</v>
      </c>
      <c r="P7412" s="33">
        <f>IFERROR(__xludf.DUMMYFUNCTION("""COMPUTED_VALUE"""),1.0)</f>
        <v>1</v>
      </c>
      <c r="Q7412" s="4" t="str">
        <f>IFERROR(__xludf.DUMMYFUNCTION("""COMPUTED_VALUE"""),"Anota Ai Solucoes Digitais S/a")</f>
        <v>Anota Ai Solucoes Digitais S/a</v>
      </c>
      <c r="R7412" s="33">
        <f>IFERROR(__xludf.DUMMYFUNCTION("""COMPUTED_VALUE"""),1.0)</f>
        <v>1</v>
      </c>
      <c r="S7412" s="4" t="str">
        <f>IFERROR(__xludf.DUMMYFUNCTION("""COMPUTED_VALUE"""),"Saipos Serviços De Software")</f>
        <v>Saipos Serviços De Software</v>
      </c>
      <c r="T7412" s="33">
        <f>IFERROR(__xludf.DUMMYFUNCTION("""COMPUTED_VALUE"""),1.0)</f>
        <v>1</v>
      </c>
      <c r="U7412" s="4" t="str">
        <f>IFERROR(__xludf.DUMMYFUNCTION("""COMPUTED_VALUE"""),"Saipos Serviços De Software")</f>
        <v>Saipos Serviços De Software</v>
      </c>
      <c r="V7412" s="33">
        <f>IFERROR(__xludf.DUMMYFUNCTION("""COMPUTED_VALUE"""),0.5)</f>
        <v>0.5</v>
      </c>
      <c r="W7412" s="4" t="str">
        <f>IFERROR(__xludf.DUMMYFUNCTION("""COMPUTED_VALUE"""),"Saipos Serviços De Software")</f>
        <v>Saipos Serviços De Software</v>
      </c>
      <c r="X7412" s="33">
        <f>IFERROR(__xludf.DUMMYFUNCTION("""COMPUTED_VALUE"""),0.5)</f>
        <v>0.5</v>
      </c>
    </row>
    <row r="7413">
      <c r="K7413" s="4" t="str">
        <f>IFERROR(__xludf.DUMMYFUNCTION("""COMPUTED_VALUE"""),"MAIS ACAI EMPORIO")</f>
        <v>MAIS ACAI EMPORIO</v>
      </c>
      <c r="L7413" s="32">
        <f>IFERROR(__xludf.DUMMYFUNCTION("""COMPUTED_VALUE"""),2.0)</f>
        <v>2</v>
      </c>
      <c r="M7413" s="4" t="str">
        <f>IFERROR(__xludf.DUMMYFUNCTION("""COMPUTED_VALUE"""),"Yooga")</f>
        <v>Yooga</v>
      </c>
      <c r="N7413" s="33">
        <f>IFERROR(__xludf.DUMMYFUNCTION("""COMPUTED_VALUE"""),1.0)</f>
        <v>1</v>
      </c>
      <c r="O7413" s="4" t="str">
        <f>IFERROR(__xludf.DUMMYFUNCTION("""COMPUTED_VALUE"""),"Yooga")</f>
        <v>Yooga</v>
      </c>
      <c r="P7413" s="33">
        <f>IFERROR(__xludf.DUMMYFUNCTION("""COMPUTED_VALUE"""),1.0)</f>
        <v>1</v>
      </c>
      <c r="Q7413" s="4" t="str">
        <f>IFERROR(__xludf.DUMMYFUNCTION("""COMPUTED_VALUE"""),"Yooga")</f>
        <v>Yooga</v>
      </c>
      <c r="R7413" s="33">
        <f>IFERROR(__xludf.DUMMYFUNCTION("""COMPUTED_VALUE"""),1.0)</f>
        <v>1</v>
      </c>
      <c r="S7413" s="4" t="str">
        <f>IFERROR(__xludf.DUMMYFUNCTION("""COMPUTED_VALUE"""),"Yooga")</f>
        <v>Yooga</v>
      </c>
      <c r="T7413" s="33">
        <f>IFERROR(__xludf.DUMMYFUNCTION("""COMPUTED_VALUE"""),1.0)</f>
        <v>1</v>
      </c>
      <c r="U7413" s="4" t="str">
        <f>IFERROR(__xludf.DUMMYFUNCTION("""COMPUTED_VALUE"""),"Yooga")</f>
        <v>Yooga</v>
      </c>
      <c r="V7413" s="33">
        <f>IFERROR(__xludf.DUMMYFUNCTION("""COMPUTED_VALUE"""),1.0)</f>
        <v>1</v>
      </c>
      <c r="W7413" s="4" t="str">
        <f>IFERROR(__xludf.DUMMYFUNCTION("""COMPUTED_VALUE"""),"Yooga")</f>
        <v>Yooga</v>
      </c>
      <c r="X7413" s="33">
        <f>IFERROR(__xludf.DUMMYFUNCTION("""COMPUTED_VALUE"""),1.0)</f>
        <v>1</v>
      </c>
    </row>
    <row r="7414">
      <c r="K7414" s="4" t="str">
        <f>IFERROR(__xludf.DUMMYFUNCTION("""COMPUTED_VALUE"""),"MAIS PASTEL - PASTELARIA E RESTAURANTE")</f>
        <v>MAIS PASTEL - PASTELARIA E RESTAURANTE</v>
      </c>
      <c r="L7414" s="32">
        <f>IFERROR(__xludf.DUMMYFUNCTION("""COMPUTED_VALUE"""),2.0)</f>
        <v>2</v>
      </c>
      <c r="M7414" s="4" t="str">
        <f>IFERROR(__xludf.DUMMYFUNCTION("""COMPUTED_VALUE"""),"Bitbar")</f>
        <v>Bitbar</v>
      </c>
      <c r="N7414" s="33">
        <f>IFERROR(__xludf.DUMMYFUNCTION("""COMPUTED_VALUE"""),1.0)</f>
        <v>1</v>
      </c>
      <c r="O7414" s="4" t="str">
        <f>IFERROR(__xludf.DUMMYFUNCTION("""COMPUTED_VALUE"""),"Bitbar")</f>
        <v>Bitbar</v>
      </c>
      <c r="P7414" s="33">
        <f>IFERROR(__xludf.DUMMYFUNCTION("""COMPUTED_VALUE"""),1.0)</f>
        <v>1</v>
      </c>
      <c r="Q7414" s="4" t="str">
        <f>IFERROR(__xludf.DUMMYFUNCTION("""COMPUTED_VALUE"""),"Bitbar")</f>
        <v>Bitbar</v>
      </c>
      <c r="R7414" s="33">
        <f>IFERROR(__xludf.DUMMYFUNCTION("""COMPUTED_VALUE"""),1.0)</f>
        <v>1</v>
      </c>
      <c r="S7414" s="4" t="str">
        <f>IFERROR(__xludf.DUMMYFUNCTION("""COMPUTED_VALUE"""),"Bitbar")</f>
        <v>Bitbar</v>
      </c>
      <c r="T7414" s="33">
        <f>IFERROR(__xludf.DUMMYFUNCTION("""COMPUTED_VALUE"""),1.0)</f>
        <v>1</v>
      </c>
      <c r="U7414" s="4" t="str">
        <f>IFERROR(__xludf.DUMMYFUNCTION("""COMPUTED_VALUE"""),"Bitbar")</f>
        <v>Bitbar</v>
      </c>
      <c r="V7414" s="33">
        <f>IFERROR(__xludf.DUMMYFUNCTION("""COMPUTED_VALUE"""),1.0)</f>
        <v>1</v>
      </c>
      <c r="W7414" s="4" t="str">
        <f>IFERROR(__xludf.DUMMYFUNCTION("""COMPUTED_VALUE"""),"Bitbar")</f>
        <v>Bitbar</v>
      </c>
      <c r="X7414" s="33">
        <f>IFERROR(__xludf.DUMMYFUNCTION("""COMPUTED_VALUE"""),1.0)</f>
        <v>1</v>
      </c>
    </row>
    <row r="7415">
      <c r="K7415" s="4" t="str">
        <f>IFERROR(__xludf.DUMMYFUNCTION("""COMPUTED_VALUE"""),"MAIS SABOR FLORIANOPOLIS - CONTA MARCA")</f>
        <v>MAIS SABOR FLORIANOPOLIS - CONTA MARCA</v>
      </c>
      <c r="L7415" s="32">
        <f>IFERROR(__xludf.DUMMYFUNCTION("""COMPUTED_VALUE"""),2.0)</f>
        <v>2</v>
      </c>
      <c r="M7415" s="4" t="str">
        <f>IFERROR(__xludf.DUMMYFUNCTION("""COMPUTED_VALUE"""),"Consumer Soluções Em Tecnologia Ltda")</f>
        <v>Consumer Soluções Em Tecnologia Ltda</v>
      </c>
      <c r="N7415" s="33">
        <f>IFERROR(__xludf.DUMMYFUNCTION("""COMPUTED_VALUE"""),0.5)</f>
        <v>0.5</v>
      </c>
      <c r="O7415" s="4" t="str">
        <f>IFERROR(__xludf.DUMMYFUNCTION("""COMPUTED_VALUE"""),"null")</f>
        <v>null</v>
      </c>
      <c r="P7415" s="33">
        <f>IFERROR(__xludf.DUMMYFUNCTION("""COMPUTED_VALUE"""),1.0)</f>
        <v>1</v>
      </c>
      <c r="Q7415" s="4" t="str">
        <f>IFERROR(__xludf.DUMMYFUNCTION("""COMPUTED_VALUE"""),"null")</f>
        <v>null</v>
      </c>
      <c r="R7415" s="33">
        <f>IFERROR(__xludf.DUMMYFUNCTION("""COMPUTED_VALUE"""),0.5)</f>
        <v>0.5</v>
      </c>
      <c r="S7415" s="4" t="str">
        <f>IFERROR(__xludf.DUMMYFUNCTION("""COMPUTED_VALUE"""),"null")</f>
        <v>null</v>
      </c>
      <c r="T7415" s="33">
        <f>IFERROR(__xludf.DUMMYFUNCTION("""COMPUTED_VALUE"""),0.5)</f>
        <v>0.5</v>
      </c>
      <c r="U7415" s="4" t="str">
        <f>IFERROR(__xludf.DUMMYFUNCTION("""COMPUTED_VALUE"""),"null")</f>
        <v>null</v>
      </c>
      <c r="V7415" s="33">
        <f>IFERROR(__xludf.DUMMYFUNCTION("""COMPUTED_VALUE"""),1.0)</f>
        <v>1</v>
      </c>
      <c r="W7415" s="4" t="str">
        <f>IFERROR(__xludf.DUMMYFUNCTION("""COMPUTED_VALUE"""),"null")</f>
        <v>null</v>
      </c>
      <c r="X7415" s="33">
        <f>IFERROR(__xludf.DUMMYFUNCTION("""COMPUTED_VALUE"""),1.0)</f>
        <v>1</v>
      </c>
    </row>
    <row r="7416">
      <c r="K7416" s="4" t="str">
        <f>IFERROR(__xludf.DUMMYFUNCTION("""COMPUTED_VALUE"""),"MAKADESH ESFIHARIA")</f>
        <v>MAKADESH ESFIHARIA</v>
      </c>
      <c r="L7416" s="32">
        <f>IFERROR(__xludf.DUMMYFUNCTION("""COMPUTED_VALUE"""),2.0)</f>
        <v>2</v>
      </c>
      <c r="M7416" s="4" t="str">
        <f>IFERROR(__xludf.DUMMYFUNCTION("""COMPUTED_VALUE"""),"Saipos Serviços De Software")</f>
        <v>Saipos Serviços De Software</v>
      </c>
      <c r="N7416" s="33">
        <f>IFERROR(__xludf.DUMMYFUNCTION("""COMPUTED_VALUE"""),1.0)</f>
        <v>1</v>
      </c>
      <c r="O7416" s="4" t="str">
        <f>IFERROR(__xludf.DUMMYFUNCTION("""COMPUTED_VALUE"""),"Saipos Serviços De Software")</f>
        <v>Saipos Serviços De Software</v>
      </c>
      <c r="P7416" s="33">
        <f>IFERROR(__xludf.DUMMYFUNCTION("""COMPUTED_VALUE"""),1.0)</f>
        <v>1</v>
      </c>
      <c r="Q7416" s="4" t="str">
        <f>IFERROR(__xludf.DUMMYFUNCTION("""COMPUTED_VALUE"""),"Saipos Serviços De Software")</f>
        <v>Saipos Serviços De Software</v>
      </c>
      <c r="R7416" s="33">
        <f>IFERROR(__xludf.DUMMYFUNCTION("""COMPUTED_VALUE"""),1.0)</f>
        <v>1</v>
      </c>
      <c r="S7416" s="4" t="str">
        <f>IFERROR(__xludf.DUMMYFUNCTION("""COMPUTED_VALUE"""),"null")</f>
        <v>null</v>
      </c>
      <c r="T7416" s="33">
        <f>IFERROR(__xludf.DUMMYFUNCTION("""COMPUTED_VALUE"""),0.5)</f>
        <v>0.5</v>
      </c>
      <c r="U7416" s="4" t="str">
        <f>IFERROR(__xludf.DUMMYFUNCTION("""COMPUTED_VALUE"""),"Saipos Serviços De Software")</f>
        <v>Saipos Serviços De Software</v>
      </c>
      <c r="V7416" s="33">
        <f>IFERROR(__xludf.DUMMYFUNCTION("""COMPUTED_VALUE"""),1.0)</f>
        <v>1</v>
      </c>
      <c r="W7416" s="4" t="str">
        <f>IFERROR(__xludf.DUMMYFUNCTION("""COMPUTED_VALUE"""),"null")</f>
        <v>null</v>
      </c>
      <c r="X7416" s="33">
        <f>IFERROR(__xludf.DUMMYFUNCTION("""COMPUTED_VALUE"""),0.5)</f>
        <v>0.5</v>
      </c>
    </row>
    <row r="7417">
      <c r="K7417" s="4" t="str">
        <f>IFERROR(__xludf.DUMMYFUNCTION("""COMPUTED_VALUE"""),"MAKI BURGER - CONTA PAI")</f>
        <v>MAKI BURGER - CONTA PAI</v>
      </c>
      <c r="L7417" s="32">
        <f>IFERROR(__xludf.DUMMYFUNCTION("""COMPUTED_VALUE"""),2.0)</f>
        <v>2</v>
      </c>
      <c r="M7417" s="4" t="str">
        <f>IFERROR(__xludf.DUMMYFUNCTION("""COMPUTED_VALUE"""),"Ncr")</f>
        <v>Ncr</v>
      </c>
      <c r="N7417" s="33">
        <f>IFERROR(__xludf.DUMMYFUNCTION("""COMPUTED_VALUE"""),0.5)</f>
        <v>0.5</v>
      </c>
      <c r="O7417" s="4" t="str">
        <f>IFERROR(__xludf.DUMMYFUNCTION("""COMPUTED_VALUE"""),"Ncr")</f>
        <v>Ncr</v>
      </c>
      <c r="P7417" s="33">
        <f>IFERROR(__xludf.DUMMYFUNCTION("""COMPUTED_VALUE"""),0.5)</f>
        <v>0.5</v>
      </c>
      <c r="Q7417" s="4" t="str">
        <f>IFERROR(__xludf.DUMMYFUNCTION("""COMPUTED_VALUE"""),"Ncr")</f>
        <v>Ncr</v>
      </c>
      <c r="R7417" s="33">
        <f>IFERROR(__xludf.DUMMYFUNCTION("""COMPUTED_VALUE"""),0.5)</f>
        <v>0.5</v>
      </c>
      <c r="S7417" s="4" t="str">
        <f>IFERROR(__xludf.DUMMYFUNCTION("""COMPUTED_VALUE"""),"Saipos Serviços De Software")</f>
        <v>Saipos Serviços De Software</v>
      </c>
      <c r="T7417" s="33">
        <f>IFERROR(__xludf.DUMMYFUNCTION("""COMPUTED_VALUE"""),0.5)</f>
        <v>0.5</v>
      </c>
      <c r="U7417" s="4" t="str">
        <f>IFERROR(__xludf.DUMMYFUNCTION("""COMPUTED_VALUE"""),"Saipos Serviços De Software")</f>
        <v>Saipos Serviços De Software</v>
      </c>
      <c r="V7417" s="33">
        <f>IFERROR(__xludf.DUMMYFUNCTION("""COMPUTED_VALUE"""),1.0)</f>
        <v>1</v>
      </c>
      <c r="W7417" s="4" t="str">
        <f>IFERROR(__xludf.DUMMYFUNCTION("""COMPUTED_VALUE"""),"Saipos Serviços De Software")</f>
        <v>Saipos Serviços De Software</v>
      </c>
      <c r="X7417" s="33">
        <f>IFERROR(__xludf.DUMMYFUNCTION("""COMPUTED_VALUE"""),1.0)</f>
        <v>1</v>
      </c>
    </row>
    <row r="7418">
      <c r="K7418" s="4" t="str">
        <f>IFERROR(__xludf.DUMMYFUNCTION("""COMPUTED_VALUE"""),"MALEDITA PIZZERIA MARCA")</f>
        <v>MALEDITA PIZZERIA MARCA</v>
      </c>
      <c r="L7418" s="32">
        <f>IFERROR(__xludf.DUMMYFUNCTION("""COMPUTED_VALUE"""),2.0)</f>
        <v>2</v>
      </c>
      <c r="M7418" s="4" t="str">
        <f>IFERROR(__xludf.DUMMYFUNCTION("""COMPUTED_VALUE"""),"Saipos Serviços De Software")</f>
        <v>Saipos Serviços De Software</v>
      </c>
      <c r="N7418" s="33">
        <f>IFERROR(__xludf.DUMMYFUNCTION("""COMPUTED_VALUE"""),1.0)</f>
        <v>1</v>
      </c>
      <c r="O7418" s="4" t="str">
        <f>IFERROR(__xludf.DUMMYFUNCTION("""COMPUTED_VALUE"""),"Saipos Serviços De Software")</f>
        <v>Saipos Serviços De Software</v>
      </c>
      <c r="P7418" s="33">
        <f>IFERROR(__xludf.DUMMYFUNCTION("""COMPUTED_VALUE"""),1.0)</f>
        <v>1</v>
      </c>
      <c r="Q7418" s="4" t="str">
        <f>IFERROR(__xludf.DUMMYFUNCTION("""COMPUTED_VALUE"""),"Saipos Serviços De Software")</f>
        <v>Saipos Serviços De Software</v>
      </c>
      <c r="R7418" s="33">
        <f>IFERROR(__xludf.DUMMYFUNCTION("""COMPUTED_VALUE"""),1.0)</f>
        <v>1</v>
      </c>
      <c r="S7418" s="4" t="str">
        <f>IFERROR(__xludf.DUMMYFUNCTION("""COMPUTED_VALUE"""),"Saipos Serviços De Software")</f>
        <v>Saipos Serviços De Software</v>
      </c>
      <c r="T7418" s="33">
        <f>IFERROR(__xludf.DUMMYFUNCTION("""COMPUTED_VALUE"""),1.0)</f>
        <v>1</v>
      </c>
      <c r="U7418" s="4" t="str">
        <f>IFERROR(__xludf.DUMMYFUNCTION("""COMPUTED_VALUE"""),"Saipos Serviços De Software")</f>
        <v>Saipos Serviços De Software</v>
      </c>
      <c r="V7418" s="33">
        <f>IFERROR(__xludf.DUMMYFUNCTION("""COMPUTED_VALUE"""),1.0)</f>
        <v>1</v>
      </c>
      <c r="W7418" s="4" t="str">
        <f>IFERROR(__xludf.DUMMYFUNCTION("""COMPUTED_VALUE"""),"Saipos Serviços De Software")</f>
        <v>Saipos Serviços De Software</v>
      </c>
      <c r="X7418" s="33">
        <f>IFERROR(__xludf.DUMMYFUNCTION("""COMPUTED_VALUE"""),1.0)</f>
        <v>1</v>
      </c>
    </row>
    <row r="7419">
      <c r="K7419" s="4" t="str">
        <f>IFERROR(__xludf.DUMMYFUNCTION("""COMPUTED_VALUE"""),"MALIMARI")</f>
        <v>MALIMARI</v>
      </c>
      <c r="L7419" s="32">
        <f>IFERROR(__xludf.DUMMYFUNCTION("""COMPUTED_VALUE"""),2.0)</f>
        <v>2</v>
      </c>
      <c r="M7419" s="4" t="str">
        <f>IFERROR(__xludf.DUMMYFUNCTION("""COMPUTED_VALUE"""),"M-du Tecnologia")</f>
        <v>M-du Tecnologia</v>
      </c>
      <c r="N7419" s="33">
        <f>IFERROR(__xludf.DUMMYFUNCTION("""COMPUTED_VALUE"""),1.0)</f>
        <v>1</v>
      </c>
      <c r="O7419" s="4" t="str">
        <f>IFERROR(__xludf.DUMMYFUNCTION("""COMPUTED_VALUE"""),"M-du Tecnologia")</f>
        <v>M-du Tecnologia</v>
      </c>
      <c r="P7419" s="33">
        <f>IFERROR(__xludf.DUMMYFUNCTION("""COMPUTED_VALUE"""),0.5)</f>
        <v>0.5</v>
      </c>
      <c r="Q7419" s="4" t="str">
        <f>IFERROR(__xludf.DUMMYFUNCTION("""COMPUTED_VALUE"""),"M-du Tecnologia")</f>
        <v>M-du Tecnologia</v>
      </c>
      <c r="R7419" s="33">
        <f>IFERROR(__xludf.DUMMYFUNCTION("""COMPUTED_VALUE"""),0.5)</f>
        <v>0.5</v>
      </c>
      <c r="S7419" s="4" t="str">
        <f>IFERROR(__xludf.DUMMYFUNCTION("""COMPUTED_VALUE"""),"M-du Tecnologia")</f>
        <v>M-du Tecnologia</v>
      </c>
      <c r="T7419" s="33">
        <f>IFERROR(__xludf.DUMMYFUNCTION("""COMPUTED_VALUE"""),0.5)</f>
        <v>0.5</v>
      </c>
      <c r="U7419" s="4" t="str">
        <f>IFERROR(__xludf.DUMMYFUNCTION("""COMPUTED_VALUE"""),"M-du Tecnologia")</f>
        <v>M-du Tecnologia</v>
      </c>
      <c r="V7419" s="33">
        <f>IFERROR(__xludf.DUMMYFUNCTION("""COMPUTED_VALUE"""),0.5)</f>
        <v>0.5</v>
      </c>
      <c r="W7419" s="4" t="str">
        <f>IFERROR(__xludf.DUMMYFUNCTION("""COMPUTED_VALUE"""),"M-du Tecnologia")</f>
        <v>M-du Tecnologia</v>
      </c>
      <c r="X7419" s="33">
        <f>IFERROR(__xludf.DUMMYFUNCTION("""COMPUTED_VALUE"""),0.5)</f>
        <v>0.5</v>
      </c>
    </row>
    <row r="7420">
      <c r="K7420" s="4" t="str">
        <f>IFERROR(__xludf.DUMMYFUNCTION("""COMPUTED_VALUE"""),"MAMADI BOLOS, TORTAS E SOBREMESAS")</f>
        <v>MAMADI BOLOS, TORTAS E SOBREMESAS</v>
      </c>
      <c r="L7420" s="32">
        <f>IFERROR(__xludf.DUMMYFUNCTION("""COMPUTED_VALUE"""),2.0)</f>
        <v>2</v>
      </c>
      <c r="M7420" s="4" t="str">
        <f>IFERROR(__xludf.DUMMYFUNCTION("""COMPUTED_VALUE"""),"T4l Tecnologia Ltda Me")</f>
        <v>T4l Tecnologia Ltda Me</v>
      </c>
      <c r="N7420" s="33">
        <f>IFERROR(__xludf.DUMMYFUNCTION("""COMPUTED_VALUE"""),1.0)</f>
        <v>1</v>
      </c>
      <c r="O7420" s="4" t="str">
        <f>IFERROR(__xludf.DUMMYFUNCTION("""COMPUTED_VALUE"""),"T4l Tecnologia Ltda Me")</f>
        <v>T4l Tecnologia Ltda Me</v>
      </c>
      <c r="P7420" s="33">
        <f>IFERROR(__xludf.DUMMYFUNCTION("""COMPUTED_VALUE"""),1.0)</f>
        <v>1</v>
      </c>
      <c r="Q7420" s="4" t="str">
        <f>IFERROR(__xludf.DUMMYFUNCTION("""COMPUTED_VALUE"""),"T4l Tecnologia Ltda Me")</f>
        <v>T4l Tecnologia Ltda Me</v>
      </c>
      <c r="R7420" s="33">
        <f>IFERROR(__xludf.DUMMYFUNCTION("""COMPUTED_VALUE"""),1.0)</f>
        <v>1</v>
      </c>
      <c r="S7420" s="4" t="str">
        <f>IFERROR(__xludf.DUMMYFUNCTION("""COMPUTED_VALUE"""),"T4l Tecnologia Ltda Me")</f>
        <v>T4l Tecnologia Ltda Me</v>
      </c>
      <c r="T7420" s="33">
        <f>IFERROR(__xludf.DUMMYFUNCTION("""COMPUTED_VALUE"""),1.0)</f>
        <v>1</v>
      </c>
      <c r="U7420" s="4" t="str">
        <f>IFERROR(__xludf.DUMMYFUNCTION("""COMPUTED_VALUE"""),"T4l Tecnologia Ltda Me")</f>
        <v>T4l Tecnologia Ltda Me</v>
      </c>
      <c r="V7420" s="33">
        <f>IFERROR(__xludf.DUMMYFUNCTION("""COMPUTED_VALUE"""),1.0)</f>
        <v>1</v>
      </c>
      <c r="W7420" s="4" t="str">
        <f>IFERROR(__xludf.DUMMYFUNCTION("""COMPUTED_VALUE"""),"T4l Tecnologia Ltda Me")</f>
        <v>T4l Tecnologia Ltda Me</v>
      </c>
      <c r="X7420" s="33">
        <f>IFERROR(__xludf.DUMMYFUNCTION("""COMPUTED_VALUE"""),1.0)</f>
        <v>1</v>
      </c>
    </row>
    <row r="7421">
      <c r="K7421" s="4" t="str">
        <f>IFERROR(__xludf.DUMMYFUNCTION("""COMPUTED_VALUE"""),"MAMMA FOOD - CONTA MARCA")</f>
        <v>MAMMA FOOD - CONTA MARCA</v>
      </c>
      <c r="L7421" s="32">
        <f>IFERROR(__xludf.DUMMYFUNCTION("""COMPUTED_VALUE"""),2.0)</f>
        <v>2</v>
      </c>
      <c r="M7421" s="4" t="str">
        <f>IFERROR(__xludf.DUMMYFUNCTION("""COMPUTED_VALUE"""),"Saipos Serviços De Software")</f>
        <v>Saipos Serviços De Software</v>
      </c>
      <c r="N7421" s="33">
        <f>IFERROR(__xludf.DUMMYFUNCTION("""COMPUTED_VALUE"""),0.5)</f>
        <v>0.5</v>
      </c>
      <c r="O7421" s="4" t="str">
        <f>IFERROR(__xludf.DUMMYFUNCTION("""COMPUTED_VALUE"""),"Saipos Serviços De Software")</f>
        <v>Saipos Serviços De Software</v>
      </c>
      <c r="P7421" s="33">
        <f>IFERROR(__xludf.DUMMYFUNCTION("""COMPUTED_VALUE"""),0.5)</f>
        <v>0.5</v>
      </c>
      <c r="Q7421" s="4" t="str">
        <f>IFERROR(__xludf.DUMMYFUNCTION("""COMPUTED_VALUE"""),"Consumer Soluções Em Tecnologia Ltda")</f>
        <v>Consumer Soluções Em Tecnologia Ltda</v>
      </c>
      <c r="R7421" s="33">
        <f>IFERROR(__xludf.DUMMYFUNCTION("""COMPUTED_VALUE"""),0.5)</f>
        <v>0.5</v>
      </c>
      <c r="S7421" s="4" t="str">
        <f>IFERROR(__xludf.DUMMYFUNCTION("""COMPUTED_VALUE"""),"Consumer Soluções Em Tecnologia Ltda")</f>
        <v>Consumer Soluções Em Tecnologia Ltda</v>
      </c>
      <c r="T7421" s="33">
        <f>IFERROR(__xludf.DUMMYFUNCTION("""COMPUTED_VALUE"""),0.5)</f>
        <v>0.5</v>
      </c>
      <c r="U7421" s="4" t="str">
        <f>IFERROR(__xludf.DUMMYFUNCTION("""COMPUTED_VALUE"""),"Consumer Soluções Em Tecnologia Ltda")</f>
        <v>Consumer Soluções Em Tecnologia Ltda</v>
      </c>
      <c r="V7421" s="33">
        <f>IFERROR(__xludf.DUMMYFUNCTION("""COMPUTED_VALUE"""),1.0)</f>
        <v>1</v>
      </c>
      <c r="W7421" s="4" t="str">
        <f>IFERROR(__xludf.DUMMYFUNCTION("""COMPUTED_VALUE"""),"Consumer Soluções Em Tecnologia Ltda")</f>
        <v>Consumer Soluções Em Tecnologia Ltda</v>
      </c>
      <c r="X7421" s="33">
        <f>IFERROR(__xludf.DUMMYFUNCTION("""COMPUTED_VALUE"""),1.0)</f>
        <v>1</v>
      </c>
    </row>
    <row r="7422">
      <c r="K7422" s="4" t="str">
        <f>IFERROR(__xludf.DUMMYFUNCTION("""COMPUTED_VALUE"""),"MAMMA MIA QUE NOVIDADES")</f>
        <v>MAMMA MIA QUE NOVIDADES</v>
      </c>
      <c r="L7422" s="32">
        <f>IFERROR(__xludf.DUMMYFUNCTION("""COMPUTED_VALUE"""),2.0)</f>
        <v>2</v>
      </c>
      <c r="M7422" s="4" t="str">
        <f>IFERROR(__xludf.DUMMYFUNCTION("""COMPUTED_VALUE"""),"Pentalab Brasil")</f>
        <v>Pentalab Brasil</v>
      </c>
      <c r="N7422" s="33">
        <f>IFERROR(__xludf.DUMMYFUNCTION("""COMPUTED_VALUE"""),1.0)</f>
        <v>1</v>
      </c>
      <c r="O7422" s="4" t="str">
        <f>IFERROR(__xludf.DUMMYFUNCTION("""COMPUTED_VALUE"""),"Pentalab Brasil")</f>
        <v>Pentalab Brasil</v>
      </c>
      <c r="P7422" s="33">
        <f>IFERROR(__xludf.DUMMYFUNCTION("""COMPUTED_VALUE"""),1.0)</f>
        <v>1</v>
      </c>
      <c r="Q7422" s="4" t="str">
        <f>IFERROR(__xludf.DUMMYFUNCTION("""COMPUTED_VALUE"""),"Pentalab Brasil")</f>
        <v>Pentalab Brasil</v>
      </c>
      <c r="R7422" s="33">
        <f>IFERROR(__xludf.DUMMYFUNCTION("""COMPUTED_VALUE"""),1.0)</f>
        <v>1</v>
      </c>
      <c r="S7422" s="4" t="str">
        <f>IFERROR(__xludf.DUMMYFUNCTION("""COMPUTED_VALUE"""),"Pentalab Brasil")</f>
        <v>Pentalab Brasil</v>
      </c>
      <c r="T7422" s="33">
        <f>IFERROR(__xludf.DUMMYFUNCTION("""COMPUTED_VALUE"""),1.0)</f>
        <v>1</v>
      </c>
      <c r="U7422" s="4" t="str">
        <f>IFERROR(__xludf.DUMMYFUNCTION("""COMPUTED_VALUE"""),"Pentalab Brasil")</f>
        <v>Pentalab Brasil</v>
      </c>
      <c r="V7422" s="33">
        <f>IFERROR(__xludf.DUMMYFUNCTION("""COMPUTED_VALUE"""),1.0)</f>
        <v>1</v>
      </c>
      <c r="W7422" s="4" t="str">
        <f>IFERROR(__xludf.DUMMYFUNCTION("""COMPUTED_VALUE"""),"null")</f>
        <v>null</v>
      </c>
      <c r="X7422" s="33">
        <f>IFERROR(__xludf.DUMMYFUNCTION("""COMPUTED_VALUE"""),0.5)</f>
        <v>0.5</v>
      </c>
    </row>
    <row r="7423">
      <c r="K7423" s="4" t="str">
        <f>IFERROR(__xludf.DUMMYFUNCTION("""COMPUTED_VALUE"""),"MANACAI CABO BRANCO")</f>
        <v>MANACAI CABO BRANCO</v>
      </c>
      <c r="L7423" s="32">
        <f>IFERROR(__xludf.DUMMYFUNCTION("""COMPUTED_VALUE"""),2.0)</f>
        <v>2</v>
      </c>
      <c r="M7423" s="4" t="str">
        <f>IFERROR(__xludf.DUMMYFUNCTION("""COMPUTED_VALUE"""),"Menew - Linx")</f>
        <v>Menew - Linx</v>
      </c>
      <c r="N7423" s="33">
        <f>IFERROR(__xludf.DUMMYFUNCTION("""COMPUTED_VALUE"""),0.5)</f>
        <v>0.5</v>
      </c>
      <c r="O7423" s="4" t="str">
        <f>IFERROR(__xludf.DUMMYFUNCTION("""COMPUTED_VALUE"""),"Menew - Linx")</f>
        <v>Menew - Linx</v>
      </c>
      <c r="P7423" s="33">
        <f>IFERROR(__xludf.DUMMYFUNCTION("""COMPUTED_VALUE"""),0.5)</f>
        <v>0.5</v>
      </c>
      <c r="Q7423" s="4" t="str">
        <f>IFERROR(__xludf.DUMMYFUNCTION("""COMPUTED_VALUE"""),"Menew - Linx")</f>
        <v>Menew - Linx</v>
      </c>
      <c r="R7423" s="33">
        <f>IFERROR(__xludf.DUMMYFUNCTION("""COMPUTED_VALUE"""),1.0)</f>
        <v>1</v>
      </c>
      <c r="S7423" s="4" t="str">
        <f>IFERROR(__xludf.DUMMYFUNCTION("""COMPUTED_VALUE"""),"Menew - Linx")</f>
        <v>Menew - Linx</v>
      </c>
      <c r="T7423" s="33">
        <f>IFERROR(__xludf.DUMMYFUNCTION("""COMPUTED_VALUE"""),1.0)</f>
        <v>1</v>
      </c>
      <c r="U7423" s="4" t="str">
        <f>IFERROR(__xludf.DUMMYFUNCTION("""COMPUTED_VALUE"""),"Menew - Linx")</f>
        <v>Menew - Linx</v>
      </c>
      <c r="V7423" s="33">
        <f>IFERROR(__xludf.DUMMYFUNCTION("""COMPUTED_VALUE"""),1.0)</f>
        <v>1</v>
      </c>
      <c r="W7423" s="4" t="str">
        <f>IFERROR(__xludf.DUMMYFUNCTION("""COMPUTED_VALUE"""),"Menew - Linx")</f>
        <v>Menew - Linx</v>
      </c>
      <c r="X7423" s="33">
        <f>IFERROR(__xludf.DUMMYFUNCTION("""COMPUTED_VALUE"""),1.0)</f>
        <v>1</v>
      </c>
    </row>
    <row r="7424">
      <c r="K7424" s="4" t="str">
        <f>IFERROR(__xludf.DUMMYFUNCTION("""COMPUTED_VALUE"""),"MANDACARU RESTAURANTE E CACHACARIA")</f>
        <v>MANDACARU RESTAURANTE E CACHACARIA</v>
      </c>
      <c r="L7424" s="32">
        <f>IFERROR(__xludf.DUMMYFUNCTION("""COMPUTED_VALUE"""),2.0)</f>
        <v>2</v>
      </c>
      <c r="M7424" s="4" t="str">
        <f>IFERROR(__xludf.DUMMYFUNCTION("""COMPUTED_VALUE"""),"Saipos Serviços De Software")</f>
        <v>Saipos Serviços De Software</v>
      </c>
      <c r="N7424" s="33">
        <f>IFERROR(__xludf.DUMMYFUNCTION("""COMPUTED_VALUE"""),0.5)</f>
        <v>0.5</v>
      </c>
      <c r="O7424" s="4" t="str">
        <f>IFERROR(__xludf.DUMMYFUNCTION("""COMPUTED_VALUE"""),"Saipos Serviços De Software")</f>
        <v>Saipos Serviços De Software</v>
      </c>
      <c r="P7424" s="33">
        <f>IFERROR(__xludf.DUMMYFUNCTION("""COMPUTED_VALUE"""),1.0)</f>
        <v>1</v>
      </c>
      <c r="Q7424" s="4" t="str">
        <f>IFERROR(__xludf.DUMMYFUNCTION("""COMPUTED_VALUE"""),"Saipos Serviços De Software")</f>
        <v>Saipos Serviços De Software</v>
      </c>
      <c r="R7424" s="33">
        <f>IFERROR(__xludf.DUMMYFUNCTION("""COMPUTED_VALUE"""),0.5)</f>
        <v>0.5</v>
      </c>
      <c r="S7424" s="4" t="str">
        <f>IFERROR(__xludf.DUMMYFUNCTION("""COMPUTED_VALUE"""),"Saipos Serviços De Software")</f>
        <v>Saipos Serviços De Software</v>
      </c>
      <c r="T7424" s="33">
        <f>IFERROR(__xludf.DUMMYFUNCTION("""COMPUTED_VALUE"""),0.5)</f>
        <v>0.5</v>
      </c>
      <c r="U7424" s="4" t="str">
        <f>IFERROR(__xludf.DUMMYFUNCTION("""COMPUTED_VALUE"""),"Saipos Serviços De Software")</f>
        <v>Saipos Serviços De Software</v>
      </c>
      <c r="V7424" s="33">
        <f>IFERROR(__xludf.DUMMYFUNCTION("""COMPUTED_VALUE"""),0.5)</f>
        <v>0.5</v>
      </c>
      <c r="W7424" s="4" t="str">
        <f>IFERROR(__xludf.DUMMYFUNCTION("""COMPUTED_VALUE"""),"Saipos Serviços De Software")</f>
        <v>Saipos Serviços De Software</v>
      </c>
      <c r="X7424" s="33">
        <f>IFERROR(__xludf.DUMMYFUNCTION("""COMPUTED_VALUE"""),0.5)</f>
        <v>0.5</v>
      </c>
    </row>
    <row r="7425">
      <c r="K7425" s="4" t="str">
        <f>IFERROR(__xludf.DUMMYFUNCTION("""COMPUTED_VALUE"""),"MANDESFIHA")</f>
        <v>MANDESFIHA</v>
      </c>
      <c r="L7425" s="32">
        <f>IFERROR(__xludf.DUMMYFUNCTION("""COMPUTED_VALUE"""),2.0)</f>
        <v>2</v>
      </c>
      <c r="M7425" s="4" t="str">
        <f>IFERROR(__xludf.DUMMYFUNCTION("""COMPUTED_VALUE"""),"Saipos Serviços De Software")</f>
        <v>Saipos Serviços De Software</v>
      </c>
      <c r="N7425" s="33">
        <f>IFERROR(__xludf.DUMMYFUNCTION("""COMPUTED_VALUE"""),1.0)</f>
        <v>1</v>
      </c>
      <c r="O7425" s="4" t="str">
        <f>IFERROR(__xludf.DUMMYFUNCTION("""COMPUTED_VALUE"""),"Saipos Serviços De Software")</f>
        <v>Saipos Serviços De Software</v>
      </c>
      <c r="P7425" s="33">
        <f>IFERROR(__xludf.DUMMYFUNCTION("""COMPUTED_VALUE"""),1.0)</f>
        <v>1</v>
      </c>
      <c r="Q7425" s="4" t="str">
        <f>IFERROR(__xludf.DUMMYFUNCTION("""COMPUTED_VALUE"""),"Saipos Serviços De Software")</f>
        <v>Saipos Serviços De Software</v>
      </c>
      <c r="R7425" s="33">
        <f>IFERROR(__xludf.DUMMYFUNCTION("""COMPUTED_VALUE"""),1.0)</f>
        <v>1</v>
      </c>
      <c r="S7425" s="4" t="str">
        <f>IFERROR(__xludf.DUMMYFUNCTION("""COMPUTED_VALUE"""),"Saipos Serviços De Software")</f>
        <v>Saipos Serviços De Software</v>
      </c>
      <c r="T7425" s="33">
        <f>IFERROR(__xludf.DUMMYFUNCTION("""COMPUTED_VALUE"""),1.0)</f>
        <v>1</v>
      </c>
      <c r="U7425" s="4" t="str">
        <f>IFERROR(__xludf.DUMMYFUNCTION("""COMPUTED_VALUE"""),"Saipos Serviços De Software")</f>
        <v>Saipos Serviços De Software</v>
      </c>
      <c r="V7425" s="33">
        <f>IFERROR(__xludf.DUMMYFUNCTION("""COMPUTED_VALUE"""),1.0)</f>
        <v>1</v>
      </c>
      <c r="W7425" s="4" t="str">
        <f>IFERROR(__xludf.DUMMYFUNCTION("""COMPUTED_VALUE"""),"Saipos Serviços De Software")</f>
        <v>Saipos Serviços De Software</v>
      </c>
      <c r="X7425" s="33">
        <f>IFERROR(__xludf.DUMMYFUNCTION("""COMPUTED_VALUE"""),1.0)</f>
        <v>1</v>
      </c>
    </row>
    <row r="7426">
      <c r="K7426" s="4" t="str">
        <f>IFERROR(__xludf.DUMMYFUNCTION("""COMPUTED_VALUE"""),"MANGA JAMBU BELEM")</f>
        <v>MANGA JAMBU BELEM</v>
      </c>
      <c r="L7426" s="32">
        <f>IFERROR(__xludf.DUMMYFUNCTION("""COMPUTED_VALUE"""),2.0)</f>
        <v>2</v>
      </c>
      <c r="M7426" s="4" t="str">
        <f>IFERROR(__xludf.DUMMYFUNCTION("""COMPUTED_VALUE"""),"Anota Ai Solucoes Digitais S/a")</f>
        <v>Anota Ai Solucoes Digitais S/a</v>
      </c>
      <c r="N7426" s="33">
        <f>IFERROR(__xludf.DUMMYFUNCTION("""COMPUTED_VALUE"""),0.5)</f>
        <v>0.5</v>
      </c>
      <c r="O7426" s="4" t="str">
        <f>IFERROR(__xludf.DUMMYFUNCTION("""COMPUTED_VALUE"""),"Anota Ai Solucoes Digitais S/a")</f>
        <v>Anota Ai Solucoes Digitais S/a</v>
      </c>
      <c r="P7426" s="33">
        <f>IFERROR(__xludf.DUMMYFUNCTION("""COMPUTED_VALUE"""),0.5)</f>
        <v>0.5</v>
      </c>
      <c r="Q7426" s="4" t="str">
        <f>IFERROR(__xludf.DUMMYFUNCTION("""COMPUTED_VALUE"""),"Saipos Serviços De Software")</f>
        <v>Saipos Serviços De Software</v>
      </c>
      <c r="R7426" s="33">
        <f>IFERROR(__xludf.DUMMYFUNCTION("""COMPUTED_VALUE"""),1.0)</f>
        <v>1</v>
      </c>
      <c r="S7426" s="4" t="str">
        <f>IFERROR(__xludf.DUMMYFUNCTION("""COMPUTED_VALUE"""),"Saipos Serviços De Software")</f>
        <v>Saipos Serviços De Software</v>
      </c>
      <c r="T7426" s="33">
        <f>IFERROR(__xludf.DUMMYFUNCTION("""COMPUTED_VALUE"""),1.0)</f>
        <v>1</v>
      </c>
      <c r="U7426" s="4" t="str">
        <f>IFERROR(__xludf.DUMMYFUNCTION("""COMPUTED_VALUE"""),"Saipos Serviços De Software")</f>
        <v>Saipos Serviços De Software</v>
      </c>
      <c r="V7426" s="33">
        <f>IFERROR(__xludf.DUMMYFUNCTION("""COMPUTED_VALUE"""),1.0)</f>
        <v>1</v>
      </c>
      <c r="W7426" s="4" t="str">
        <f>IFERROR(__xludf.DUMMYFUNCTION("""COMPUTED_VALUE"""),"Saipos Serviços De Software")</f>
        <v>Saipos Serviços De Software</v>
      </c>
      <c r="X7426" s="33">
        <f>IFERROR(__xludf.DUMMYFUNCTION("""COMPUTED_VALUE"""),1.0)</f>
        <v>1</v>
      </c>
    </row>
    <row r="7427">
      <c r="K7427" s="4" t="str">
        <f>IFERROR(__xludf.DUMMYFUNCTION("""COMPUTED_VALUE"""),"MANGIARE FELICE - CONTA MARCA")</f>
        <v>MANGIARE FELICE - CONTA MARCA</v>
      </c>
      <c r="L7427" s="32">
        <f>IFERROR(__xludf.DUMMYFUNCTION("""COMPUTED_VALUE"""),2.0)</f>
        <v>2</v>
      </c>
      <c r="M7427" s="4" t="str">
        <f>IFERROR(__xludf.DUMMYFUNCTION("""COMPUTED_VALUE"""),"Anota Ai Solucoes Digitais S/a")</f>
        <v>Anota Ai Solucoes Digitais S/a</v>
      </c>
      <c r="N7427" s="33">
        <f>IFERROR(__xludf.DUMMYFUNCTION("""COMPUTED_VALUE"""),0.5)</f>
        <v>0.5</v>
      </c>
      <c r="O7427" s="4" t="str">
        <f>IFERROR(__xludf.DUMMYFUNCTION("""COMPUTED_VALUE"""),"null")</f>
        <v>null</v>
      </c>
      <c r="P7427" s="33">
        <f>IFERROR(__xludf.DUMMYFUNCTION("""COMPUTED_VALUE"""),0.5)</f>
        <v>0.5</v>
      </c>
      <c r="Q7427" s="4" t="str">
        <f>IFERROR(__xludf.DUMMYFUNCTION("""COMPUTED_VALUE"""),"null")</f>
        <v>null</v>
      </c>
      <c r="R7427" s="33">
        <f>IFERROR(__xludf.DUMMYFUNCTION("""COMPUTED_VALUE"""),0.5)</f>
        <v>0.5</v>
      </c>
      <c r="S7427" s="4" t="str">
        <f>IFERROR(__xludf.DUMMYFUNCTION("""COMPUTED_VALUE"""),"null")</f>
        <v>null</v>
      </c>
      <c r="T7427" s="33">
        <f>IFERROR(__xludf.DUMMYFUNCTION("""COMPUTED_VALUE"""),0.5)</f>
        <v>0.5</v>
      </c>
      <c r="U7427" s="4" t="str">
        <f>IFERROR(__xludf.DUMMYFUNCTION("""COMPUTED_VALUE"""),"null")</f>
        <v>null</v>
      </c>
      <c r="V7427" s="33">
        <f>IFERROR(__xludf.DUMMYFUNCTION("""COMPUTED_VALUE"""),0.5)</f>
        <v>0.5</v>
      </c>
      <c r="W7427" s="4" t="str">
        <f>IFERROR(__xludf.DUMMYFUNCTION("""COMPUTED_VALUE"""),"null")</f>
        <v>null</v>
      </c>
      <c r="X7427" s="33">
        <f>IFERROR(__xludf.DUMMYFUNCTION("""COMPUTED_VALUE"""),0.5)</f>
        <v>0.5</v>
      </c>
    </row>
    <row r="7428">
      <c r="K7428" s="4" t="str">
        <f>IFERROR(__xludf.DUMMYFUNCTION("""COMPUTED_VALUE"""),"MANGIARE FELICE - CONTA PAI")</f>
        <v>MANGIARE FELICE - CONTA PAI</v>
      </c>
      <c r="L7428" s="32">
        <f>IFERROR(__xludf.DUMMYFUNCTION("""COMPUTED_VALUE"""),2.0)</f>
        <v>2</v>
      </c>
      <c r="M7428" s="4" t="str">
        <f>IFERROR(__xludf.DUMMYFUNCTION("""COMPUTED_VALUE"""),"Anota Ai Solucoes Digitais S/a")</f>
        <v>Anota Ai Solucoes Digitais S/a</v>
      </c>
      <c r="N7428" s="33">
        <f>IFERROR(__xludf.DUMMYFUNCTION("""COMPUTED_VALUE"""),0.5)</f>
        <v>0.5</v>
      </c>
      <c r="O7428" s="4" t="str">
        <f>IFERROR(__xludf.DUMMYFUNCTION("""COMPUTED_VALUE"""),"null")</f>
        <v>null</v>
      </c>
      <c r="P7428" s="33">
        <f>IFERROR(__xludf.DUMMYFUNCTION("""COMPUTED_VALUE"""),0.5)</f>
        <v>0.5</v>
      </c>
      <c r="Q7428" s="4" t="str">
        <f>IFERROR(__xludf.DUMMYFUNCTION("""COMPUTED_VALUE"""),"null")</f>
        <v>null</v>
      </c>
      <c r="R7428" s="33">
        <f>IFERROR(__xludf.DUMMYFUNCTION("""COMPUTED_VALUE"""),0.5)</f>
        <v>0.5</v>
      </c>
      <c r="S7428" s="4" t="str">
        <f>IFERROR(__xludf.DUMMYFUNCTION("""COMPUTED_VALUE"""),"null")</f>
        <v>null</v>
      </c>
      <c r="T7428" s="33">
        <f>IFERROR(__xludf.DUMMYFUNCTION("""COMPUTED_VALUE"""),0.5)</f>
        <v>0.5</v>
      </c>
      <c r="U7428" s="4" t="str">
        <f>IFERROR(__xludf.DUMMYFUNCTION("""COMPUTED_VALUE"""),"null")</f>
        <v>null</v>
      </c>
      <c r="V7428" s="33">
        <f>IFERROR(__xludf.DUMMYFUNCTION("""COMPUTED_VALUE"""),0.5)</f>
        <v>0.5</v>
      </c>
      <c r="W7428" s="4" t="str">
        <f>IFERROR(__xludf.DUMMYFUNCTION("""COMPUTED_VALUE"""),"null")</f>
        <v>null</v>
      </c>
      <c r="X7428" s="33">
        <f>IFERROR(__xludf.DUMMYFUNCTION("""COMPUTED_VALUE"""),0.5)</f>
        <v>0.5</v>
      </c>
    </row>
    <row r="7429">
      <c r="K7429" s="4" t="str">
        <f>IFERROR(__xludf.DUMMYFUNCTION("""COMPUTED_VALUE"""),"MANTEIGARIA LISBOA")</f>
        <v>MANTEIGARIA LISBOA</v>
      </c>
      <c r="L7429" s="32">
        <f>IFERROR(__xludf.DUMMYFUNCTION("""COMPUTED_VALUE"""),2.0)</f>
        <v>2</v>
      </c>
      <c r="M7429" s="4" t="str">
        <f>IFERROR(__xludf.DUMMYFUNCTION("""COMPUTED_VALUE"""),"Stone Co.")</f>
        <v>Stone Co.</v>
      </c>
      <c r="N7429" s="33">
        <f>IFERROR(__xludf.DUMMYFUNCTION("""COMPUTED_VALUE"""),1.0)</f>
        <v>1</v>
      </c>
      <c r="O7429" s="4" t="str">
        <f>IFERROR(__xludf.DUMMYFUNCTION("""COMPUTED_VALUE"""),"Totvs Large Enterprise Tecnologia S.a.")</f>
        <v>Totvs Large Enterprise Tecnologia S.a.</v>
      </c>
      <c r="P7429" s="33">
        <f>IFERROR(__xludf.DUMMYFUNCTION("""COMPUTED_VALUE"""),0.5)</f>
        <v>0.5</v>
      </c>
      <c r="Q7429" s="4" t="str">
        <f>IFERROR(__xludf.DUMMYFUNCTION("""COMPUTED_VALUE"""),"Totvs Large Enterprise Tecnologia S.a.")</f>
        <v>Totvs Large Enterprise Tecnologia S.a.</v>
      </c>
      <c r="R7429" s="33">
        <f>IFERROR(__xludf.DUMMYFUNCTION("""COMPUTED_VALUE"""),0.5)</f>
        <v>0.5</v>
      </c>
      <c r="S7429" s="4" t="str">
        <f>IFERROR(__xludf.DUMMYFUNCTION("""COMPUTED_VALUE"""),"Totvs Large Enterprise Tecnologia S.a.")</f>
        <v>Totvs Large Enterprise Tecnologia S.a.</v>
      </c>
      <c r="T7429" s="33">
        <f>IFERROR(__xludf.DUMMYFUNCTION("""COMPUTED_VALUE"""),0.5)</f>
        <v>0.5</v>
      </c>
      <c r="U7429" s="4" t="str">
        <f>IFERROR(__xludf.DUMMYFUNCTION("""COMPUTED_VALUE"""),"Stone Co.")</f>
        <v>Stone Co.</v>
      </c>
      <c r="V7429" s="33">
        <f>IFERROR(__xludf.DUMMYFUNCTION("""COMPUTED_VALUE"""),1.0)</f>
        <v>1</v>
      </c>
      <c r="W7429" s="4" t="str">
        <f>IFERROR(__xludf.DUMMYFUNCTION("""COMPUTED_VALUE"""),"Stone Co.")</f>
        <v>Stone Co.</v>
      </c>
      <c r="X7429" s="33">
        <f>IFERROR(__xludf.DUMMYFUNCTION("""COMPUTED_VALUE"""),1.0)</f>
        <v>1</v>
      </c>
    </row>
    <row r="7430">
      <c r="K7430" s="4" t="str">
        <f>IFERROR(__xludf.DUMMYFUNCTION("""COMPUTED_VALUE"""),"MANU PAES ARTESANAIS")</f>
        <v>MANU PAES ARTESANAIS</v>
      </c>
      <c r="L7430" s="32">
        <f>IFERROR(__xludf.DUMMYFUNCTION("""COMPUTED_VALUE"""),2.0)</f>
        <v>2</v>
      </c>
      <c r="M7430" s="4" t="str">
        <f>IFERROR(__xludf.DUMMYFUNCTION("""COMPUTED_VALUE"""),"Izzy Way Tecnologia")</f>
        <v>Izzy Way Tecnologia</v>
      </c>
      <c r="N7430" s="33">
        <f>IFERROR(__xludf.DUMMYFUNCTION("""COMPUTED_VALUE"""),1.0)</f>
        <v>1</v>
      </c>
      <c r="O7430" s="4" t="str">
        <f>IFERROR(__xludf.DUMMYFUNCTION("""COMPUTED_VALUE"""),"Izzy Way Tecnologia")</f>
        <v>Izzy Way Tecnologia</v>
      </c>
      <c r="P7430" s="33">
        <f>IFERROR(__xludf.DUMMYFUNCTION("""COMPUTED_VALUE"""),1.0)</f>
        <v>1</v>
      </c>
      <c r="Q7430" s="4" t="str">
        <f>IFERROR(__xludf.DUMMYFUNCTION("""COMPUTED_VALUE"""),"Izzy Way Tecnologia")</f>
        <v>Izzy Way Tecnologia</v>
      </c>
      <c r="R7430" s="33">
        <f>IFERROR(__xludf.DUMMYFUNCTION("""COMPUTED_VALUE"""),1.0)</f>
        <v>1</v>
      </c>
      <c r="S7430" s="4" t="str">
        <f>IFERROR(__xludf.DUMMYFUNCTION("""COMPUTED_VALUE"""),"Izzy Way Tecnologia")</f>
        <v>Izzy Way Tecnologia</v>
      </c>
      <c r="T7430" s="33">
        <f>IFERROR(__xludf.DUMMYFUNCTION("""COMPUTED_VALUE"""),1.0)</f>
        <v>1</v>
      </c>
      <c r="U7430" s="4" t="str">
        <f>IFERROR(__xludf.DUMMYFUNCTION("""COMPUTED_VALUE"""),"Izzy Way Tecnologia")</f>
        <v>Izzy Way Tecnologia</v>
      </c>
      <c r="V7430" s="33">
        <f>IFERROR(__xludf.DUMMYFUNCTION("""COMPUTED_VALUE"""),1.0)</f>
        <v>1</v>
      </c>
      <c r="W7430" s="4" t="str">
        <f>IFERROR(__xludf.DUMMYFUNCTION("""COMPUTED_VALUE"""),"Izzy Way Tecnologia")</f>
        <v>Izzy Way Tecnologia</v>
      </c>
      <c r="X7430" s="33">
        <f>IFERROR(__xludf.DUMMYFUNCTION("""COMPUTED_VALUE"""),1.0)</f>
        <v>1</v>
      </c>
    </row>
    <row r="7431">
      <c r="K7431" s="4" t="str">
        <f>IFERROR(__xludf.DUMMYFUNCTION("""COMPUTED_VALUE"""),"MAO DE VACA BURGER HAMBURGUER P")</f>
        <v>MAO DE VACA BURGER HAMBURGUER P</v>
      </c>
      <c r="L7431" s="32">
        <f>IFERROR(__xludf.DUMMYFUNCTION("""COMPUTED_VALUE"""),2.0)</f>
        <v>2</v>
      </c>
      <c r="M7431" s="4" t="str">
        <f>IFERROR(__xludf.DUMMYFUNCTION("""COMPUTED_VALUE"""),"Vuca Solution")</f>
        <v>Vuca Solution</v>
      </c>
      <c r="N7431" s="33">
        <f>IFERROR(__xludf.DUMMYFUNCTION("""COMPUTED_VALUE"""),1.0)</f>
        <v>1</v>
      </c>
      <c r="O7431" s="4" t="str">
        <f>IFERROR(__xludf.DUMMYFUNCTION("""COMPUTED_VALUE"""),"Vuca Solution")</f>
        <v>Vuca Solution</v>
      </c>
      <c r="P7431" s="33">
        <f>IFERROR(__xludf.DUMMYFUNCTION("""COMPUTED_VALUE"""),1.0)</f>
        <v>1</v>
      </c>
      <c r="Q7431" s="4" t="str">
        <f>IFERROR(__xludf.DUMMYFUNCTION("""COMPUTED_VALUE"""),"Vuca Solution")</f>
        <v>Vuca Solution</v>
      </c>
      <c r="R7431" s="33">
        <f>IFERROR(__xludf.DUMMYFUNCTION("""COMPUTED_VALUE"""),1.0)</f>
        <v>1</v>
      </c>
      <c r="S7431" s="4" t="str">
        <f>IFERROR(__xludf.DUMMYFUNCTION("""COMPUTED_VALUE"""),"Vuca Solution")</f>
        <v>Vuca Solution</v>
      </c>
      <c r="T7431" s="33">
        <f>IFERROR(__xludf.DUMMYFUNCTION("""COMPUTED_VALUE"""),1.0)</f>
        <v>1</v>
      </c>
      <c r="U7431" s="4" t="str">
        <f>IFERROR(__xludf.DUMMYFUNCTION("""COMPUTED_VALUE"""),"Vuca Solution")</f>
        <v>Vuca Solution</v>
      </c>
      <c r="V7431" s="33">
        <f>IFERROR(__xludf.DUMMYFUNCTION("""COMPUTED_VALUE"""),1.0)</f>
        <v>1</v>
      </c>
      <c r="W7431" s="4" t="str">
        <f>IFERROR(__xludf.DUMMYFUNCTION("""COMPUTED_VALUE"""),"Vuca Solution")</f>
        <v>Vuca Solution</v>
      </c>
      <c r="X7431" s="33">
        <f>IFERROR(__xludf.DUMMYFUNCTION("""COMPUTED_VALUE"""),1.0)</f>
        <v>1</v>
      </c>
    </row>
    <row r="7432">
      <c r="K7432" s="4" t="str">
        <f>IFERROR(__xludf.DUMMYFUNCTION("""COMPUTED_VALUE"""),"MARCA DIRETORIA GASTRONOMIA")</f>
        <v>MARCA DIRETORIA GASTRONOMIA</v>
      </c>
      <c r="L7432" s="32">
        <f>IFERROR(__xludf.DUMMYFUNCTION("""COMPUTED_VALUE"""),2.0)</f>
        <v>2</v>
      </c>
      <c r="M7432" s="4" t="str">
        <f>IFERROR(__xludf.DUMMYFUNCTION("""COMPUTED_VALUE"""),"null")</f>
        <v>null</v>
      </c>
      <c r="N7432" s="33">
        <f>IFERROR(__xludf.DUMMYFUNCTION("""COMPUTED_VALUE"""),0.5)</f>
        <v>0.5</v>
      </c>
      <c r="O7432" s="4" t="str">
        <f>IFERROR(__xludf.DUMMYFUNCTION("""COMPUTED_VALUE"""),"null")</f>
        <v>null</v>
      </c>
      <c r="P7432" s="33">
        <f>IFERROR(__xludf.DUMMYFUNCTION("""COMPUTED_VALUE"""),0.5)</f>
        <v>0.5</v>
      </c>
      <c r="Q7432" s="4" t="str">
        <f>IFERROR(__xludf.DUMMYFUNCTION("""COMPUTED_VALUE"""),"null")</f>
        <v>null</v>
      </c>
      <c r="R7432" s="33">
        <f>IFERROR(__xludf.DUMMYFUNCTION("""COMPUTED_VALUE"""),0.5)</f>
        <v>0.5</v>
      </c>
      <c r="S7432" s="4" t="str">
        <f>IFERROR(__xludf.DUMMYFUNCTION("""COMPUTED_VALUE"""),"Anota Ai Solucoes Digitais S/a")</f>
        <v>Anota Ai Solucoes Digitais S/a</v>
      </c>
      <c r="T7432" s="33">
        <f>IFERROR(__xludf.DUMMYFUNCTION("""COMPUTED_VALUE"""),1.0)</f>
        <v>1</v>
      </c>
      <c r="U7432" s="4" t="str">
        <f>IFERROR(__xludf.DUMMYFUNCTION("""COMPUTED_VALUE"""),"Anota Ai Solucoes Digitais S/a")</f>
        <v>Anota Ai Solucoes Digitais S/a</v>
      </c>
      <c r="V7432" s="33">
        <f>IFERROR(__xludf.DUMMYFUNCTION("""COMPUTED_VALUE"""),1.0)</f>
        <v>1</v>
      </c>
      <c r="W7432" s="4" t="str">
        <f>IFERROR(__xludf.DUMMYFUNCTION("""COMPUTED_VALUE"""),"Anota Ai Solucoes Digitais S/a")</f>
        <v>Anota Ai Solucoes Digitais S/a</v>
      </c>
      <c r="X7432" s="33">
        <f>IFERROR(__xludf.DUMMYFUNCTION("""COMPUTED_VALUE"""),1.0)</f>
        <v>1</v>
      </c>
    </row>
    <row r="7433">
      <c r="K7433" s="4" t="str">
        <f>IFERROR(__xludf.DUMMYFUNCTION("""COMPUTED_VALUE"""),"MARCA LAZETAS")</f>
        <v>MARCA LAZETAS</v>
      </c>
      <c r="L7433" s="32">
        <f>IFERROR(__xludf.DUMMYFUNCTION("""COMPUTED_VALUE"""),2.0)</f>
        <v>2</v>
      </c>
      <c r="M7433" s="4" t="str">
        <f>IFERROR(__xludf.DUMMYFUNCTION("""COMPUTED_VALUE"""),"Hubster")</f>
        <v>Hubster</v>
      </c>
      <c r="N7433" s="33">
        <f>IFERROR(__xludf.DUMMYFUNCTION("""COMPUTED_VALUE"""),1.0)</f>
        <v>1</v>
      </c>
      <c r="O7433" s="4" t="str">
        <f>IFERROR(__xludf.DUMMYFUNCTION("""COMPUTED_VALUE"""),"Hubster")</f>
        <v>Hubster</v>
      </c>
      <c r="P7433" s="33">
        <f>IFERROR(__xludf.DUMMYFUNCTION("""COMPUTED_VALUE"""),1.0)</f>
        <v>1</v>
      </c>
      <c r="Q7433" s="4" t="str">
        <f>IFERROR(__xludf.DUMMYFUNCTION("""COMPUTED_VALUE"""),"Hubster")</f>
        <v>Hubster</v>
      </c>
      <c r="R7433" s="33">
        <f>IFERROR(__xludf.DUMMYFUNCTION("""COMPUTED_VALUE"""),1.0)</f>
        <v>1</v>
      </c>
      <c r="S7433" s="4" t="str">
        <f>IFERROR(__xludf.DUMMYFUNCTION("""COMPUTED_VALUE"""),"Hubster")</f>
        <v>Hubster</v>
      </c>
      <c r="T7433" s="33">
        <f>IFERROR(__xludf.DUMMYFUNCTION("""COMPUTED_VALUE"""),1.0)</f>
        <v>1</v>
      </c>
      <c r="U7433" s="4" t="str">
        <f>IFERROR(__xludf.DUMMYFUNCTION("""COMPUTED_VALUE"""),"Hubster")</f>
        <v>Hubster</v>
      </c>
      <c r="V7433" s="33">
        <f>IFERROR(__xludf.DUMMYFUNCTION("""COMPUTED_VALUE"""),1.0)</f>
        <v>1</v>
      </c>
      <c r="W7433" s="4" t="str">
        <f>IFERROR(__xludf.DUMMYFUNCTION("""COMPUTED_VALUE"""),"Hubster")</f>
        <v>Hubster</v>
      </c>
      <c r="X7433" s="33">
        <f>IFERROR(__xludf.DUMMYFUNCTION("""COMPUTED_VALUE"""),0.5)</f>
        <v>0.5</v>
      </c>
    </row>
    <row r="7434">
      <c r="K7434" s="4" t="str">
        <f>IFERROR(__xludf.DUMMYFUNCTION("""COMPUTED_VALUE"""),"MARCIA LANCHES JR")</f>
        <v>MARCIA LANCHES JR</v>
      </c>
      <c r="L7434" s="32">
        <f>IFERROR(__xludf.DUMMYFUNCTION("""COMPUTED_VALUE"""),2.0)</f>
        <v>2</v>
      </c>
      <c r="M7434" s="4" t="str">
        <f>IFERROR(__xludf.DUMMYFUNCTION("""COMPUTED_VALUE"""),"Waybe Soluções Em Tecnologia Da Informação Ltda")</f>
        <v>Waybe Soluções Em Tecnologia Da Informação Ltda</v>
      </c>
      <c r="N7434" s="33">
        <f>IFERROR(__xludf.DUMMYFUNCTION("""COMPUTED_VALUE"""),1.0)</f>
        <v>1</v>
      </c>
      <c r="O7434" s="4" t="str">
        <f>IFERROR(__xludf.DUMMYFUNCTION("""COMPUTED_VALUE"""),"Waybe Soluções Em Tecnologia Da Informação Ltda")</f>
        <v>Waybe Soluções Em Tecnologia Da Informação Ltda</v>
      </c>
      <c r="P7434" s="33">
        <f>IFERROR(__xludf.DUMMYFUNCTION("""COMPUTED_VALUE"""),0.5)</f>
        <v>0.5</v>
      </c>
      <c r="Q7434" s="4" t="str">
        <f>IFERROR(__xludf.DUMMYFUNCTION("""COMPUTED_VALUE"""),"Waybe Soluções Em Tecnologia Da Informação Ltda")</f>
        <v>Waybe Soluções Em Tecnologia Da Informação Ltda</v>
      </c>
      <c r="R7434" s="33">
        <f>IFERROR(__xludf.DUMMYFUNCTION("""COMPUTED_VALUE"""),0.5)</f>
        <v>0.5</v>
      </c>
      <c r="S7434" s="4" t="str">
        <f>IFERROR(__xludf.DUMMYFUNCTION("""COMPUTED_VALUE"""),"Waybe Soluções Em Tecnologia Da Informação Ltda")</f>
        <v>Waybe Soluções Em Tecnologia Da Informação Ltda</v>
      </c>
      <c r="T7434" s="33">
        <f>IFERROR(__xludf.DUMMYFUNCTION("""COMPUTED_VALUE"""),0.5)</f>
        <v>0.5</v>
      </c>
      <c r="U7434" s="4" t="str">
        <f>IFERROR(__xludf.DUMMYFUNCTION("""COMPUTED_VALUE"""),"Waybe Soluções Em Tecnologia Da Informação Ltda")</f>
        <v>Waybe Soluções Em Tecnologia Da Informação Ltda</v>
      </c>
      <c r="V7434" s="33">
        <f>IFERROR(__xludf.DUMMYFUNCTION("""COMPUTED_VALUE"""),0.5)</f>
        <v>0.5</v>
      </c>
      <c r="W7434" s="4" t="str">
        <f>IFERROR(__xludf.DUMMYFUNCTION("""COMPUTED_VALUE"""),"Waybe Soluções Em Tecnologia Da Informação Ltda")</f>
        <v>Waybe Soluções Em Tecnologia Da Informação Ltda</v>
      </c>
      <c r="X7434" s="33">
        <f>IFERROR(__xludf.DUMMYFUNCTION("""COMPUTED_VALUE"""),0.5)</f>
        <v>0.5</v>
      </c>
    </row>
    <row r="7435">
      <c r="K7435" s="4" t="str">
        <f>IFERROR(__xludf.DUMMYFUNCTION("""COMPUTED_VALUE"""),"MARGUTTA")</f>
        <v>MARGUTTA</v>
      </c>
      <c r="L7435" s="32">
        <f>IFERROR(__xludf.DUMMYFUNCTION("""COMPUTED_VALUE"""),2.0)</f>
        <v>2</v>
      </c>
      <c r="M7435" s="4" t="str">
        <f>IFERROR(__xludf.DUMMYFUNCTION("""COMPUTED_VALUE"""),"Saipos Serviços De Software")</f>
        <v>Saipos Serviços De Software</v>
      </c>
      <c r="N7435" s="33">
        <f>IFERROR(__xludf.DUMMYFUNCTION("""COMPUTED_VALUE"""),1.0)</f>
        <v>1</v>
      </c>
      <c r="O7435" s="4" t="str">
        <f>IFERROR(__xludf.DUMMYFUNCTION("""COMPUTED_VALUE"""),"Saipos Serviços De Software")</f>
        <v>Saipos Serviços De Software</v>
      </c>
      <c r="P7435" s="33">
        <f>IFERROR(__xludf.DUMMYFUNCTION("""COMPUTED_VALUE"""),1.0)</f>
        <v>1</v>
      </c>
      <c r="Q7435" s="4" t="str">
        <f>IFERROR(__xludf.DUMMYFUNCTION("""COMPUTED_VALUE"""),"Saipos Serviços De Software")</f>
        <v>Saipos Serviços De Software</v>
      </c>
      <c r="R7435" s="33">
        <f>IFERROR(__xludf.DUMMYFUNCTION("""COMPUTED_VALUE"""),1.0)</f>
        <v>1</v>
      </c>
      <c r="S7435" s="4" t="str">
        <f>IFERROR(__xludf.DUMMYFUNCTION("""COMPUTED_VALUE"""),"Saipos Serviços De Software")</f>
        <v>Saipos Serviços De Software</v>
      </c>
      <c r="T7435" s="33">
        <f>IFERROR(__xludf.DUMMYFUNCTION("""COMPUTED_VALUE"""),1.0)</f>
        <v>1</v>
      </c>
      <c r="U7435" s="4" t="str">
        <f>IFERROR(__xludf.DUMMYFUNCTION("""COMPUTED_VALUE"""),"Saipos Serviços De Software")</f>
        <v>Saipos Serviços De Software</v>
      </c>
      <c r="V7435" s="33">
        <f>IFERROR(__xludf.DUMMYFUNCTION("""COMPUTED_VALUE"""),1.0)</f>
        <v>1</v>
      </c>
      <c r="W7435" s="4" t="str">
        <f>IFERROR(__xludf.DUMMYFUNCTION("""COMPUTED_VALUE"""),"Saipos Serviços De Software")</f>
        <v>Saipos Serviços De Software</v>
      </c>
      <c r="X7435" s="33">
        <f>IFERROR(__xludf.DUMMYFUNCTION("""COMPUTED_VALUE"""),1.0)</f>
        <v>1</v>
      </c>
    </row>
    <row r="7436">
      <c r="K7436" s="4" t="str">
        <f>IFERROR(__xludf.DUMMYFUNCTION("""COMPUTED_VALUE"""),"MARIA MARIA - CONTA MARCA")</f>
        <v>MARIA MARIA - CONTA MARCA</v>
      </c>
      <c r="L7436" s="32">
        <f>IFERROR(__xludf.DUMMYFUNCTION("""COMPUTED_VALUE"""),2.0)</f>
        <v>2</v>
      </c>
      <c r="M7436" s="4" t="str">
        <f>IFERROR(__xludf.DUMMYFUNCTION("""COMPUTED_VALUE"""),"Consumer Soluções Em Tecnologia Ltda")</f>
        <v>Consumer Soluções Em Tecnologia Ltda</v>
      </c>
      <c r="N7436" s="33">
        <f>IFERROR(__xludf.DUMMYFUNCTION("""COMPUTED_VALUE"""),1.0)</f>
        <v>1</v>
      </c>
      <c r="O7436" s="4" t="str">
        <f>IFERROR(__xludf.DUMMYFUNCTION("""COMPUTED_VALUE"""),"Consumer Soluções Em Tecnologia Ltda")</f>
        <v>Consumer Soluções Em Tecnologia Ltda</v>
      </c>
      <c r="P7436" s="33">
        <f>IFERROR(__xludf.DUMMYFUNCTION("""COMPUTED_VALUE"""),0.5)</f>
        <v>0.5</v>
      </c>
      <c r="Q7436" s="4" t="str">
        <f>IFERROR(__xludf.DUMMYFUNCTION("""COMPUTED_VALUE"""),"null")</f>
        <v>null</v>
      </c>
      <c r="R7436" s="33">
        <f>IFERROR(__xludf.DUMMYFUNCTION("""COMPUTED_VALUE"""),1.0)</f>
        <v>1</v>
      </c>
      <c r="S7436" s="4" t="str">
        <f>IFERROR(__xludf.DUMMYFUNCTION("""COMPUTED_VALUE"""),"Consumer Soluções Em Tecnologia Ltda")</f>
        <v>Consumer Soluções Em Tecnologia Ltda</v>
      </c>
      <c r="T7436" s="33">
        <f>IFERROR(__xludf.DUMMYFUNCTION("""COMPUTED_VALUE"""),1.0)</f>
        <v>1</v>
      </c>
      <c r="U7436" s="4" t="str">
        <f>IFERROR(__xludf.DUMMYFUNCTION("""COMPUTED_VALUE"""),"null")</f>
        <v>null</v>
      </c>
      <c r="V7436" s="33">
        <f>IFERROR(__xludf.DUMMYFUNCTION("""COMPUTED_VALUE"""),1.0)</f>
        <v>1</v>
      </c>
      <c r="W7436" s="4" t="str">
        <f>IFERROR(__xludf.DUMMYFUNCTION("""COMPUTED_VALUE"""),"Consumer Soluções Em Tecnologia Ltda")</f>
        <v>Consumer Soluções Em Tecnologia Ltda</v>
      </c>
      <c r="X7436" s="33">
        <f>IFERROR(__xludf.DUMMYFUNCTION("""COMPUTED_VALUE"""),0.5)</f>
        <v>0.5</v>
      </c>
    </row>
    <row r="7437">
      <c r="K7437" s="4" t="str">
        <f>IFERROR(__xludf.DUMMYFUNCTION("""COMPUTED_VALUE"""),"MARMITA AMELIA - CONTA MARCA")</f>
        <v>MARMITA AMELIA - CONTA MARCA</v>
      </c>
      <c r="L7437" s="32">
        <f>IFERROR(__xludf.DUMMYFUNCTION("""COMPUTED_VALUE"""),2.0)</f>
        <v>2</v>
      </c>
      <c r="M7437" s="4" t="str">
        <f>IFERROR(__xludf.DUMMYFUNCTION("""COMPUTED_VALUE"""),"Saipos Serviços De Software")</f>
        <v>Saipos Serviços De Software</v>
      </c>
      <c r="N7437" s="33">
        <f>IFERROR(__xludf.DUMMYFUNCTION("""COMPUTED_VALUE"""),0.5)</f>
        <v>0.5</v>
      </c>
      <c r="O7437" s="4" t="str">
        <f>IFERROR(__xludf.DUMMYFUNCTION("""COMPUTED_VALUE"""),"Saipos Serviços De Software")</f>
        <v>Saipos Serviços De Software</v>
      </c>
      <c r="P7437" s="33">
        <f>IFERROR(__xludf.DUMMYFUNCTION("""COMPUTED_VALUE"""),0.5)</f>
        <v>0.5</v>
      </c>
      <c r="Q7437" s="4" t="str">
        <f>IFERROR(__xludf.DUMMYFUNCTION("""COMPUTED_VALUE"""),"Saipos Serviços De Software")</f>
        <v>Saipos Serviços De Software</v>
      </c>
      <c r="R7437" s="33">
        <f>IFERROR(__xludf.DUMMYFUNCTION("""COMPUTED_VALUE"""),0.5)</f>
        <v>0.5</v>
      </c>
      <c r="S7437" s="4" t="str">
        <f>IFERROR(__xludf.DUMMYFUNCTION("""COMPUTED_VALUE"""),"Saipos Serviços De Software")</f>
        <v>Saipos Serviços De Software</v>
      </c>
      <c r="T7437" s="33">
        <f>IFERROR(__xludf.DUMMYFUNCTION("""COMPUTED_VALUE"""),0.5)</f>
        <v>0.5</v>
      </c>
      <c r="U7437" s="4" t="str">
        <f>IFERROR(__xludf.DUMMYFUNCTION("""COMPUTED_VALUE"""),"Cityfoods Ltda")</f>
        <v>Cityfoods Ltda</v>
      </c>
      <c r="V7437" s="33">
        <f>IFERROR(__xludf.DUMMYFUNCTION("""COMPUTED_VALUE"""),1.0)</f>
        <v>1</v>
      </c>
      <c r="W7437" s="4" t="str">
        <f>IFERROR(__xludf.DUMMYFUNCTION("""COMPUTED_VALUE"""),"Cityfoods Ltda")</f>
        <v>Cityfoods Ltda</v>
      </c>
      <c r="X7437" s="33">
        <f>IFERROR(__xludf.DUMMYFUNCTION("""COMPUTED_VALUE"""),1.0)</f>
        <v>1</v>
      </c>
    </row>
    <row r="7438">
      <c r="K7438" s="4" t="str">
        <f>IFERROR(__xludf.DUMMYFUNCTION("""COMPUTED_VALUE"""),"MARMITA E RESTAURANTE - PAPRICA DOCE")</f>
        <v>MARMITA E RESTAURANTE - PAPRICA DOCE</v>
      </c>
      <c r="L7438" s="32">
        <f>IFERROR(__xludf.DUMMYFUNCTION("""COMPUTED_VALUE"""),2.0)</f>
        <v>2</v>
      </c>
      <c r="M7438" s="4" t="str">
        <f>IFERROR(__xludf.DUMMYFUNCTION("""COMPUTED_VALUE"""),"null")</f>
        <v>null</v>
      </c>
      <c r="N7438" s="33">
        <f>IFERROR(__xludf.DUMMYFUNCTION("""COMPUTED_VALUE"""),1.0)</f>
        <v>1</v>
      </c>
      <c r="O7438" s="4" t="str">
        <f>IFERROR(__xludf.DUMMYFUNCTION("""COMPUTED_VALUE"""),"null")</f>
        <v>null</v>
      </c>
      <c r="P7438" s="33">
        <f>IFERROR(__xludf.DUMMYFUNCTION("""COMPUTED_VALUE"""),1.0)</f>
        <v>1</v>
      </c>
      <c r="Q7438" s="4" t="str">
        <f>IFERROR(__xludf.DUMMYFUNCTION("""COMPUTED_VALUE"""),"null")</f>
        <v>null</v>
      </c>
      <c r="R7438" s="33">
        <f>IFERROR(__xludf.DUMMYFUNCTION("""COMPUTED_VALUE"""),1.0)</f>
        <v>1</v>
      </c>
      <c r="S7438" s="4" t="str">
        <f>IFERROR(__xludf.DUMMYFUNCTION("""COMPUTED_VALUE"""),"Tacto Sistemas")</f>
        <v>Tacto Sistemas</v>
      </c>
      <c r="T7438" s="33">
        <f>IFERROR(__xludf.DUMMYFUNCTION("""COMPUTED_VALUE"""),1.0)</f>
        <v>1</v>
      </c>
      <c r="U7438" s="4" t="str">
        <f>IFERROR(__xludf.DUMMYFUNCTION("""COMPUTED_VALUE"""),"null")</f>
        <v>null</v>
      </c>
      <c r="V7438" s="33">
        <f>IFERROR(__xludf.DUMMYFUNCTION("""COMPUTED_VALUE"""),0.5)</f>
        <v>0.5</v>
      </c>
      <c r="W7438" s="4" t="str">
        <f>IFERROR(__xludf.DUMMYFUNCTION("""COMPUTED_VALUE"""),"Tacto Sistemas")</f>
        <v>Tacto Sistemas</v>
      </c>
      <c r="X7438" s="33">
        <f>IFERROR(__xludf.DUMMYFUNCTION("""COMPUTED_VALUE"""),1.0)</f>
        <v>1</v>
      </c>
    </row>
    <row r="7439">
      <c r="K7439" s="4" t="str">
        <f>IFERROR(__xludf.DUMMYFUNCTION("""COMPUTED_VALUE"""),"MARMITA NOSSA CASA")</f>
        <v>MARMITA NOSSA CASA</v>
      </c>
      <c r="L7439" s="32">
        <f>IFERROR(__xludf.DUMMYFUNCTION("""COMPUTED_VALUE"""),2.0)</f>
        <v>2</v>
      </c>
      <c r="M7439" s="4" t="str">
        <f>IFERROR(__xludf.DUMMYFUNCTION("""COMPUTED_VALUE"""),"Saipos Serviços De Software")</f>
        <v>Saipos Serviços De Software</v>
      </c>
      <c r="N7439" s="33">
        <f>IFERROR(__xludf.DUMMYFUNCTION("""COMPUTED_VALUE"""),1.0)</f>
        <v>1</v>
      </c>
      <c r="O7439" s="4" t="str">
        <f>IFERROR(__xludf.DUMMYFUNCTION("""COMPUTED_VALUE"""),"Saipos Serviços De Software")</f>
        <v>Saipos Serviços De Software</v>
      </c>
      <c r="P7439" s="33">
        <f>IFERROR(__xludf.DUMMYFUNCTION("""COMPUTED_VALUE"""),1.0)</f>
        <v>1</v>
      </c>
      <c r="Q7439" s="4" t="str">
        <f>IFERROR(__xludf.DUMMYFUNCTION("""COMPUTED_VALUE"""),"Saipos Serviços De Software")</f>
        <v>Saipos Serviços De Software</v>
      </c>
      <c r="R7439" s="33">
        <f>IFERROR(__xludf.DUMMYFUNCTION("""COMPUTED_VALUE"""),1.0)</f>
        <v>1</v>
      </c>
      <c r="S7439" s="4" t="str">
        <f>IFERROR(__xludf.DUMMYFUNCTION("""COMPUTED_VALUE"""),"Saipos Serviços De Software")</f>
        <v>Saipos Serviços De Software</v>
      </c>
      <c r="T7439" s="33">
        <f>IFERROR(__xludf.DUMMYFUNCTION("""COMPUTED_VALUE"""),1.0)</f>
        <v>1</v>
      </c>
      <c r="U7439" s="4" t="str">
        <f>IFERROR(__xludf.DUMMYFUNCTION("""COMPUTED_VALUE"""),"Saipos Serviços De Software")</f>
        <v>Saipos Serviços De Software</v>
      </c>
      <c r="V7439" s="33">
        <f>IFERROR(__xludf.DUMMYFUNCTION("""COMPUTED_VALUE"""),1.0)</f>
        <v>1</v>
      </c>
      <c r="W7439" s="4" t="str">
        <f>IFERROR(__xludf.DUMMYFUNCTION("""COMPUTED_VALUE"""),"Saipos Serviços De Software")</f>
        <v>Saipos Serviços De Software</v>
      </c>
      <c r="X7439" s="33">
        <f>IFERROR(__xludf.DUMMYFUNCTION("""COMPUTED_VALUE"""),1.0)</f>
        <v>1</v>
      </c>
    </row>
    <row r="7440">
      <c r="K7440" s="4" t="str">
        <f>IFERROR(__xludf.DUMMYFUNCTION("""COMPUTED_VALUE"""),"MARMITARIA FAMILIA FRANCISCO")</f>
        <v>MARMITARIA FAMILIA FRANCISCO</v>
      </c>
      <c r="L7440" s="32">
        <f>IFERROR(__xludf.DUMMYFUNCTION("""COMPUTED_VALUE"""),2.0)</f>
        <v>2</v>
      </c>
      <c r="M7440" s="4" t="str">
        <f>IFERROR(__xludf.DUMMYFUNCTION("""COMPUTED_VALUE"""),"Saipos Serviços De Software")</f>
        <v>Saipos Serviços De Software</v>
      </c>
      <c r="N7440" s="33">
        <f>IFERROR(__xludf.DUMMYFUNCTION("""COMPUTED_VALUE"""),1.0)</f>
        <v>1</v>
      </c>
      <c r="O7440" s="4" t="str">
        <f>IFERROR(__xludf.DUMMYFUNCTION("""COMPUTED_VALUE"""),"Saipos Serviços De Software")</f>
        <v>Saipos Serviços De Software</v>
      </c>
      <c r="P7440" s="33">
        <f>IFERROR(__xludf.DUMMYFUNCTION("""COMPUTED_VALUE"""),1.0)</f>
        <v>1</v>
      </c>
      <c r="Q7440" s="4" t="str">
        <f>IFERROR(__xludf.DUMMYFUNCTION("""COMPUTED_VALUE"""),"null")</f>
        <v>null</v>
      </c>
      <c r="R7440" s="33">
        <f>IFERROR(__xludf.DUMMYFUNCTION("""COMPUTED_VALUE"""),1.0)</f>
        <v>1</v>
      </c>
      <c r="S7440" s="4" t="str">
        <f>IFERROR(__xludf.DUMMYFUNCTION("""COMPUTED_VALUE"""),"null")</f>
        <v>null</v>
      </c>
      <c r="T7440" s="33">
        <f>IFERROR(__xludf.DUMMYFUNCTION("""COMPUTED_VALUE"""),1.0)</f>
        <v>1</v>
      </c>
      <c r="U7440" s="4" t="str">
        <f>IFERROR(__xludf.DUMMYFUNCTION("""COMPUTED_VALUE"""),"null")</f>
        <v>null</v>
      </c>
      <c r="V7440" s="33">
        <f>IFERROR(__xludf.DUMMYFUNCTION("""COMPUTED_VALUE"""),1.0)</f>
        <v>1</v>
      </c>
      <c r="W7440" s="4" t="str">
        <f>IFERROR(__xludf.DUMMYFUNCTION("""COMPUTED_VALUE"""),"null")</f>
        <v>null</v>
      </c>
      <c r="X7440" s="33">
        <f>IFERROR(__xludf.DUMMYFUNCTION("""COMPUTED_VALUE"""),1.0)</f>
        <v>1</v>
      </c>
    </row>
    <row r="7441">
      <c r="K7441" s="4" t="str">
        <f>IFERROR(__xludf.DUMMYFUNCTION("""COMPUTED_VALUE"""),"MARMITARIA GARFO DE MADEIRA CP")</f>
        <v>MARMITARIA GARFO DE MADEIRA CP</v>
      </c>
      <c r="L7441" s="32">
        <f>IFERROR(__xludf.DUMMYFUNCTION("""COMPUTED_VALUE"""),2.0)</f>
        <v>2</v>
      </c>
      <c r="M7441" s="4" t="str">
        <f>IFERROR(__xludf.DUMMYFUNCTION("""COMPUTED_VALUE"""),"Cardápio Web")</f>
        <v>Cardápio Web</v>
      </c>
      <c r="N7441" s="33">
        <f>IFERROR(__xludf.DUMMYFUNCTION("""COMPUTED_VALUE"""),1.0)</f>
        <v>1</v>
      </c>
      <c r="O7441" s="4" t="str">
        <f>IFERROR(__xludf.DUMMYFUNCTION("""COMPUTED_VALUE"""),"Cardápio Web")</f>
        <v>Cardápio Web</v>
      </c>
      <c r="P7441" s="33">
        <f>IFERROR(__xludf.DUMMYFUNCTION("""COMPUTED_VALUE"""),1.0)</f>
        <v>1</v>
      </c>
      <c r="Q7441" s="4" t="str">
        <f>IFERROR(__xludf.DUMMYFUNCTION("""COMPUTED_VALUE"""),"Cardápio Web")</f>
        <v>Cardápio Web</v>
      </c>
      <c r="R7441" s="33">
        <f>IFERROR(__xludf.DUMMYFUNCTION("""COMPUTED_VALUE"""),1.0)</f>
        <v>1</v>
      </c>
      <c r="S7441" s="4" t="str">
        <f>IFERROR(__xludf.DUMMYFUNCTION("""COMPUTED_VALUE"""),"Cardápio Web")</f>
        <v>Cardápio Web</v>
      </c>
      <c r="T7441" s="33">
        <f>IFERROR(__xludf.DUMMYFUNCTION("""COMPUTED_VALUE"""),1.0)</f>
        <v>1</v>
      </c>
      <c r="U7441" s="4" t="str">
        <f>IFERROR(__xludf.DUMMYFUNCTION("""COMPUTED_VALUE"""),"Cardápio Web")</f>
        <v>Cardápio Web</v>
      </c>
      <c r="V7441" s="33">
        <f>IFERROR(__xludf.DUMMYFUNCTION("""COMPUTED_VALUE"""),1.0)</f>
        <v>1</v>
      </c>
      <c r="W7441" s="4" t="str">
        <f>IFERROR(__xludf.DUMMYFUNCTION("""COMPUTED_VALUE"""),"Cardápio Web")</f>
        <v>Cardápio Web</v>
      </c>
      <c r="X7441" s="33">
        <f>IFERROR(__xludf.DUMMYFUNCTION("""COMPUTED_VALUE"""),1.0)</f>
        <v>1</v>
      </c>
    </row>
    <row r="7442">
      <c r="K7442" s="4" t="str">
        <f>IFERROR(__xludf.DUMMYFUNCTION("""COMPUTED_VALUE"""),"MARMITAS CUMBUCA -CONTA MARCA")</f>
        <v>MARMITAS CUMBUCA -CONTA MARCA</v>
      </c>
      <c r="L7442" s="32">
        <f>IFERROR(__xludf.DUMMYFUNCTION("""COMPUTED_VALUE"""),2.0)</f>
        <v>2</v>
      </c>
      <c r="M7442" s="4" t="str">
        <f>IFERROR(__xludf.DUMMYFUNCTION("""COMPUTED_VALUE"""),"Hubster")</f>
        <v>Hubster</v>
      </c>
      <c r="N7442" s="33">
        <f>IFERROR(__xludf.DUMMYFUNCTION("""COMPUTED_VALUE"""),1.0)</f>
        <v>1</v>
      </c>
      <c r="O7442" s="4" t="str">
        <f>IFERROR(__xludf.DUMMYFUNCTION("""COMPUTED_VALUE"""),"Hubster")</f>
        <v>Hubster</v>
      </c>
      <c r="P7442" s="33">
        <f>IFERROR(__xludf.DUMMYFUNCTION("""COMPUTED_VALUE"""),1.0)</f>
        <v>1</v>
      </c>
      <c r="Q7442" s="4" t="str">
        <f>IFERROR(__xludf.DUMMYFUNCTION("""COMPUTED_VALUE"""),"Hubster")</f>
        <v>Hubster</v>
      </c>
      <c r="R7442" s="33">
        <f>IFERROR(__xludf.DUMMYFUNCTION("""COMPUTED_VALUE"""),1.0)</f>
        <v>1</v>
      </c>
      <c r="S7442" s="4" t="str">
        <f>IFERROR(__xludf.DUMMYFUNCTION("""COMPUTED_VALUE"""),"Hubster")</f>
        <v>Hubster</v>
      </c>
      <c r="T7442" s="33">
        <f>IFERROR(__xludf.DUMMYFUNCTION("""COMPUTED_VALUE"""),1.0)</f>
        <v>1</v>
      </c>
      <c r="U7442" s="4" t="str">
        <f>IFERROR(__xludf.DUMMYFUNCTION("""COMPUTED_VALUE"""),"Hubster")</f>
        <v>Hubster</v>
      </c>
      <c r="V7442" s="33">
        <f>IFERROR(__xludf.DUMMYFUNCTION("""COMPUTED_VALUE"""),1.0)</f>
        <v>1</v>
      </c>
      <c r="W7442" s="4" t="str">
        <f>IFERROR(__xludf.DUMMYFUNCTION("""COMPUTED_VALUE"""),"Hubster")</f>
        <v>Hubster</v>
      </c>
      <c r="X7442" s="33">
        <f>IFERROR(__xludf.DUMMYFUNCTION("""COMPUTED_VALUE"""),1.0)</f>
        <v>1</v>
      </c>
    </row>
    <row r="7443">
      <c r="K7443" s="4" t="str">
        <f>IFERROR(__xludf.DUMMYFUNCTION("""COMPUTED_VALUE"""),"MARMITAS DO BEM - CP")</f>
        <v>MARMITAS DO BEM - CP</v>
      </c>
      <c r="L7443" s="32">
        <f>IFERROR(__xludf.DUMMYFUNCTION("""COMPUTED_VALUE"""),2.0)</f>
        <v>2</v>
      </c>
      <c r="M7443" s="4" t="str">
        <f>IFERROR(__xludf.DUMMYFUNCTION("""COMPUTED_VALUE"""),"Consumer Soluções Em Tecnologia Ltda")</f>
        <v>Consumer Soluções Em Tecnologia Ltda</v>
      </c>
      <c r="N7443" s="33">
        <f>IFERROR(__xludf.DUMMYFUNCTION("""COMPUTED_VALUE"""),1.0)</f>
        <v>1</v>
      </c>
      <c r="O7443" s="4" t="str">
        <f>IFERROR(__xludf.DUMMYFUNCTION("""COMPUTED_VALUE"""),"Consumer Soluções Em Tecnologia Ltda")</f>
        <v>Consumer Soluções Em Tecnologia Ltda</v>
      </c>
      <c r="P7443" s="33">
        <f>IFERROR(__xludf.DUMMYFUNCTION("""COMPUTED_VALUE"""),1.0)</f>
        <v>1</v>
      </c>
      <c r="Q7443" s="4" t="str">
        <f>IFERROR(__xludf.DUMMYFUNCTION("""COMPUTED_VALUE"""),"Consumer Soluções Em Tecnologia Ltda")</f>
        <v>Consumer Soluções Em Tecnologia Ltda</v>
      </c>
      <c r="R7443" s="33">
        <f>IFERROR(__xludf.DUMMYFUNCTION("""COMPUTED_VALUE"""),1.0)</f>
        <v>1</v>
      </c>
      <c r="S7443" s="4" t="str">
        <f>IFERROR(__xludf.DUMMYFUNCTION("""COMPUTED_VALUE"""),"Consumer Soluções Em Tecnologia Ltda")</f>
        <v>Consumer Soluções Em Tecnologia Ltda</v>
      </c>
      <c r="T7443" s="33">
        <f>IFERROR(__xludf.DUMMYFUNCTION("""COMPUTED_VALUE"""),1.0)</f>
        <v>1</v>
      </c>
      <c r="U7443" s="4" t="str">
        <f>IFERROR(__xludf.DUMMYFUNCTION("""COMPUTED_VALUE"""),"Consumer Soluções Em Tecnologia Ltda")</f>
        <v>Consumer Soluções Em Tecnologia Ltda</v>
      </c>
      <c r="V7443" s="33">
        <f>IFERROR(__xludf.DUMMYFUNCTION("""COMPUTED_VALUE"""),1.0)</f>
        <v>1</v>
      </c>
      <c r="W7443" s="4" t="str">
        <f>IFERROR(__xludf.DUMMYFUNCTION("""COMPUTED_VALUE"""),"Consumer Soluções Em Tecnologia Ltda")</f>
        <v>Consumer Soluções Em Tecnologia Ltda</v>
      </c>
      <c r="X7443" s="33">
        <f>IFERROR(__xludf.DUMMYFUNCTION("""COMPUTED_VALUE"""),1.0)</f>
        <v>1</v>
      </c>
    </row>
    <row r="7444">
      <c r="K7444" s="4" t="str">
        <f>IFERROR(__xludf.DUMMYFUNCTION("""COMPUTED_VALUE"""),"MARMITEX - SAPOPEMBA")</f>
        <v>MARMITEX - SAPOPEMBA</v>
      </c>
      <c r="L7444" s="32">
        <f>IFERROR(__xludf.DUMMYFUNCTION("""COMPUTED_VALUE"""),2.0)</f>
        <v>2</v>
      </c>
      <c r="M7444" s="4" t="str">
        <f>IFERROR(__xludf.DUMMYFUNCTION("""COMPUTED_VALUE"""),"Saipos Serviços De Software")</f>
        <v>Saipos Serviços De Software</v>
      </c>
      <c r="N7444" s="33">
        <f>IFERROR(__xludf.DUMMYFUNCTION("""COMPUTED_VALUE"""),0.5)</f>
        <v>0.5</v>
      </c>
      <c r="O7444" s="4" t="str">
        <f>IFERROR(__xludf.DUMMYFUNCTION("""COMPUTED_VALUE"""),"Saipos Serviços De Software")</f>
        <v>Saipos Serviços De Software</v>
      </c>
      <c r="P7444" s="33">
        <f>IFERROR(__xludf.DUMMYFUNCTION("""COMPUTED_VALUE"""),0.5)</f>
        <v>0.5</v>
      </c>
      <c r="Q7444" s="4" t="str">
        <f>IFERROR(__xludf.DUMMYFUNCTION("""COMPUTED_VALUE"""),"Saipos Serviços De Software")</f>
        <v>Saipos Serviços De Software</v>
      </c>
      <c r="R7444" s="33">
        <f>IFERROR(__xludf.DUMMYFUNCTION("""COMPUTED_VALUE"""),1.0)</f>
        <v>1</v>
      </c>
      <c r="S7444" s="4" t="str">
        <f>IFERROR(__xludf.DUMMYFUNCTION("""COMPUTED_VALUE"""),"Saipos Serviços De Software")</f>
        <v>Saipos Serviços De Software</v>
      </c>
      <c r="T7444" s="33">
        <f>IFERROR(__xludf.DUMMYFUNCTION("""COMPUTED_VALUE"""),0.5)</f>
        <v>0.5</v>
      </c>
      <c r="U7444" s="4" t="str">
        <f>IFERROR(__xludf.DUMMYFUNCTION("""COMPUTED_VALUE"""),"Saipos Serviços De Software")</f>
        <v>Saipos Serviços De Software</v>
      </c>
      <c r="V7444" s="33">
        <f>IFERROR(__xludf.DUMMYFUNCTION("""COMPUTED_VALUE"""),0.5)</f>
        <v>0.5</v>
      </c>
      <c r="W7444" s="4" t="str">
        <f>IFERROR(__xludf.DUMMYFUNCTION("""COMPUTED_VALUE"""),"Saipos Serviços De Software")</f>
        <v>Saipos Serviços De Software</v>
      </c>
      <c r="X7444" s="33">
        <f>IFERROR(__xludf.DUMMYFUNCTION("""COMPUTED_VALUE"""),0.5)</f>
        <v>0.5</v>
      </c>
    </row>
    <row r="7445">
      <c r="K7445" s="4" t="str">
        <f>IFERROR(__xludf.DUMMYFUNCTION("""COMPUTED_VALUE"""),"MARMITEX - SAPOPEMBA -")</f>
        <v>MARMITEX - SAPOPEMBA -</v>
      </c>
      <c r="L7445" s="32">
        <f>IFERROR(__xludf.DUMMYFUNCTION("""COMPUTED_VALUE"""),2.0)</f>
        <v>2</v>
      </c>
      <c r="M7445" s="4" t="str">
        <f>IFERROR(__xludf.DUMMYFUNCTION("""COMPUTED_VALUE"""),"Saipos Serviços De Software")</f>
        <v>Saipos Serviços De Software</v>
      </c>
      <c r="N7445" s="33">
        <f>IFERROR(__xludf.DUMMYFUNCTION("""COMPUTED_VALUE"""),0.5)</f>
        <v>0.5</v>
      </c>
      <c r="O7445" s="4" t="str">
        <f>IFERROR(__xludf.DUMMYFUNCTION("""COMPUTED_VALUE"""),"Saipos Serviços De Software")</f>
        <v>Saipos Serviços De Software</v>
      </c>
      <c r="P7445" s="33">
        <f>IFERROR(__xludf.DUMMYFUNCTION("""COMPUTED_VALUE"""),0.5)</f>
        <v>0.5</v>
      </c>
      <c r="Q7445" s="4" t="str">
        <f>IFERROR(__xludf.DUMMYFUNCTION("""COMPUTED_VALUE"""),"Saipos Serviços De Software")</f>
        <v>Saipos Serviços De Software</v>
      </c>
      <c r="R7445" s="33">
        <f>IFERROR(__xludf.DUMMYFUNCTION("""COMPUTED_VALUE"""),1.0)</f>
        <v>1</v>
      </c>
      <c r="S7445" s="4" t="str">
        <f>IFERROR(__xludf.DUMMYFUNCTION("""COMPUTED_VALUE"""),"Saipos Serviços De Software")</f>
        <v>Saipos Serviços De Software</v>
      </c>
      <c r="T7445" s="33">
        <f>IFERROR(__xludf.DUMMYFUNCTION("""COMPUTED_VALUE"""),0.5)</f>
        <v>0.5</v>
      </c>
      <c r="U7445" s="4" t="str">
        <f>IFERROR(__xludf.DUMMYFUNCTION("""COMPUTED_VALUE"""),"Saipos Serviços De Software")</f>
        <v>Saipos Serviços De Software</v>
      </c>
      <c r="V7445" s="33">
        <f>IFERROR(__xludf.DUMMYFUNCTION("""COMPUTED_VALUE"""),0.5)</f>
        <v>0.5</v>
      </c>
      <c r="W7445" s="4" t="str">
        <f>IFERROR(__xludf.DUMMYFUNCTION("""COMPUTED_VALUE"""),"Saipos Serviços De Software")</f>
        <v>Saipos Serviços De Software</v>
      </c>
      <c r="X7445" s="33">
        <f>IFERROR(__xludf.DUMMYFUNCTION("""COMPUTED_VALUE"""),0.5)</f>
        <v>0.5</v>
      </c>
    </row>
    <row r="7446">
      <c r="K7446" s="4" t="str">
        <f>IFERROR(__xludf.DUMMYFUNCTION("""COMPUTED_VALUE"""),"MAROLLO MARCA")</f>
        <v>MAROLLO MARCA</v>
      </c>
      <c r="L7446" s="32">
        <f>IFERROR(__xludf.DUMMYFUNCTION("""COMPUTED_VALUE"""),2.0)</f>
        <v>2</v>
      </c>
      <c r="M7446" s="4" t="str">
        <f>IFERROR(__xludf.DUMMYFUNCTION("""COMPUTED_VALUE"""),"Saipos Serviços De Software")</f>
        <v>Saipos Serviços De Software</v>
      </c>
      <c r="N7446" s="33">
        <f>IFERROR(__xludf.DUMMYFUNCTION("""COMPUTED_VALUE"""),1.0)</f>
        <v>1</v>
      </c>
      <c r="O7446" s="4" t="str">
        <f>IFERROR(__xludf.DUMMYFUNCTION("""COMPUTED_VALUE"""),"Saipos Serviços De Software")</f>
        <v>Saipos Serviços De Software</v>
      </c>
      <c r="P7446" s="33">
        <f>IFERROR(__xludf.DUMMYFUNCTION("""COMPUTED_VALUE"""),1.0)</f>
        <v>1</v>
      </c>
      <c r="Q7446" s="4" t="str">
        <f>IFERROR(__xludf.DUMMYFUNCTION("""COMPUTED_VALUE"""),"Saipos Serviços De Software")</f>
        <v>Saipos Serviços De Software</v>
      </c>
      <c r="R7446" s="33">
        <f>IFERROR(__xludf.DUMMYFUNCTION("""COMPUTED_VALUE"""),1.0)</f>
        <v>1</v>
      </c>
      <c r="S7446" s="4" t="str">
        <f>IFERROR(__xludf.DUMMYFUNCTION("""COMPUTED_VALUE"""),"Saipos Serviços De Software")</f>
        <v>Saipos Serviços De Software</v>
      </c>
      <c r="T7446" s="33">
        <f>IFERROR(__xludf.DUMMYFUNCTION("""COMPUTED_VALUE"""),1.0)</f>
        <v>1</v>
      </c>
      <c r="U7446" s="4" t="str">
        <f>IFERROR(__xludf.DUMMYFUNCTION("""COMPUTED_VALUE"""),"Saipos Serviços De Software")</f>
        <v>Saipos Serviços De Software</v>
      </c>
      <c r="V7446" s="33">
        <f>IFERROR(__xludf.DUMMYFUNCTION("""COMPUTED_VALUE"""),1.0)</f>
        <v>1</v>
      </c>
      <c r="W7446" s="4" t="str">
        <f>IFERROR(__xludf.DUMMYFUNCTION("""COMPUTED_VALUE"""),"Saipos Serviços De Software")</f>
        <v>Saipos Serviços De Software</v>
      </c>
      <c r="X7446" s="33">
        <f>IFERROR(__xludf.DUMMYFUNCTION("""COMPUTED_VALUE"""),1.0)</f>
        <v>1</v>
      </c>
    </row>
    <row r="7447">
      <c r="K7447" s="4" t="str">
        <f>IFERROR(__xludf.DUMMYFUNCTION("""COMPUTED_VALUE"""),"MARRETA SMASH BURGER")</f>
        <v>MARRETA SMASH BURGER</v>
      </c>
      <c r="L7447" s="32">
        <f>IFERROR(__xludf.DUMMYFUNCTION("""COMPUTED_VALUE"""),2.0)</f>
        <v>2</v>
      </c>
      <c r="M7447" s="4" t="str">
        <f>IFERROR(__xludf.DUMMYFUNCTION("""COMPUTED_VALUE"""),"Consumer Soluções Em Tecnologia Ltda")</f>
        <v>Consumer Soluções Em Tecnologia Ltda</v>
      </c>
      <c r="N7447" s="33">
        <f>IFERROR(__xludf.DUMMYFUNCTION("""COMPUTED_VALUE"""),1.0)</f>
        <v>1</v>
      </c>
      <c r="O7447" s="4" t="str">
        <f>IFERROR(__xludf.DUMMYFUNCTION("""COMPUTED_VALUE"""),"Consumer Soluções Em Tecnologia Ltda")</f>
        <v>Consumer Soluções Em Tecnologia Ltda</v>
      </c>
      <c r="P7447" s="33">
        <f>IFERROR(__xludf.DUMMYFUNCTION("""COMPUTED_VALUE"""),1.0)</f>
        <v>1</v>
      </c>
      <c r="Q7447" s="4" t="str">
        <f>IFERROR(__xludf.DUMMYFUNCTION("""COMPUTED_VALUE"""),"Consumer Soluções Em Tecnologia Ltda")</f>
        <v>Consumer Soluções Em Tecnologia Ltda</v>
      </c>
      <c r="R7447" s="33">
        <f>IFERROR(__xludf.DUMMYFUNCTION("""COMPUTED_VALUE"""),1.0)</f>
        <v>1</v>
      </c>
      <c r="S7447" s="4" t="str">
        <f>IFERROR(__xludf.DUMMYFUNCTION("""COMPUTED_VALUE"""),"Consumer Soluções Em Tecnologia Ltda")</f>
        <v>Consumer Soluções Em Tecnologia Ltda</v>
      </c>
      <c r="T7447" s="33">
        <f>IFERROR(__xludf.DUMMYFUNCTION("""COMPUTED_VALUE"""),1.0)</f>
        <v>1</v>
      </c>
      <c r="U7447" s="4" t="str">
        <f>IFERROR(__xludf.DUMMYFUNCTION("""COMPUTED_VALUE"""),"Consumer Soluções Em Tecnologia Ltda")</f>
        <v>Consumer Soluções Em Tecnologia Ltda</v>
      </c>
      <c r="V7447" s="33">
        <f>IFERROR(__xludf.DUMMYFUNCTION("""COMPUTED_VALUE"""),1.0)</f>
        <v>1</v>
      </c>
      <c r="W7447" s="4" t="str">
        <f>IFERROR(__xludf.DUMMYFUNCTION("""COMPUTED_VALUE"""),"Consumer Soluções Em Tecnologia Ltda")</f>
        <v>Consumer Soluções Em Tecnologia Ltda</v>
      </c>
      <c r="X7447" s="33">
        <f>IFERROR(__xludf.DUMMYFUNCTION("""COMPUTED_VALUE"""),1.0)</f>
        <v>1</v>
      </c>
    </row>
    <row r="7448">
      <c r="K7448" s="4" t="str">
        <f>IFERROR(__xludf.DUMMYFUNCTION("""COMPUTED_VALUE"""),"MARTINIANO PIZZAS E MASSAS - CONTA PAI")</f>
        <v>MARTINIANO PIZZAS E MASSAS - CONTA PAI</v>
      </c>
      <c r="L7448" s="32">
        <f>IFERROR(__xludf.DUMMYFUNCTION("""COMPUTED_VALUE"""),2.0)</f>
        <v>2</v>
      </c>
      <c r="M7448" s="4" t="str">
        <f>IFERROR(__xludf.DUMMYFUNCTION("""COMPUTED_VALUE"""),"Netcontroll Xmenu")</f>
        <v>Netcontroll Xmenu</v>
      </c>
      <c r="N7448" s="33">
        <f>IFERROR(__xludf.DUMMYFUNCTION("""COMPUTED_VALUE"""),1.0)</f>
        <v>1</v>
      </c>
      <c r="O7448" s="4" t="str">
        <f>IFERROR(__xludf.DUMMYFUNCTION("""COMPUTED_VALUE"""),"Netcontroll Xmenu")</f>
        <v>Netcontroll Xmenu</v>
      </c>
      <c r="P7448" s="33">
        <f>IFERROR(__xludf.DUMMYFUNCTION("""COMPUTED_VALUE"""),1.0)</f>
        <v>1</v>
      </c>
      <c r="Q7448" s="4" t="str">
        <f>IFERROR(__xludf.DUMMYFUNCTION("""COMPUTED_VALUE"""),"Netcontroll Xmenu")</f>
        <v>Netcontroll Xmenu</v>
      </c>
      <c r="R7448" s="33">
        <f>IFERROR(__xludf.DUMMYFUNCTION("""COMPUTED_VALUE"""),0.5)</f>
        <v>0.5</v>
      </c>
      <c r="S7448" s="4" t="str">
        <f>IFERROR(__xludf.DUMMYFUNCTION("""COMPUTED_VALUE"""),"Cardápio Web")</f>
        <v>Cardápio Web</v>
      </c>
      <c r="T7448" s="33">
        <f>IFERROR(__xludf.DUMMYFUNCTION("""COMPUTED_VALUE"""),1.0)</f>
        <v>1</v>
      </c>
      <c r="U7448" s="4" t="str">
        <f>IFERROR(__xludf.DUMMYFUNCTION("""COMPUTED_VALUE"""),"Cardápio Web")</f>
        <v>Cardápio Web</v>
      </c>
      <c r="V7448" s="33">
        <f>IFERROR(__xludf.DUMMYFUNCTION("""COMPUTED_VALUE"""),1.0)</f>
        <v>1</v>
      </c>
      <c r="W7448" s="4" t="str">
        <f>IFERROR(__xludf.DUMMYFUNCTION("""COMPUTED_VALUE"""),"Cardápio Web")</f>
        <v>Cardápio Web</v>
      </c>
      <c r="X7448" s="33">
        <f>IFERROR(__xludf.DUMMYFUNCTION("""COMPUTED_VALUE"""),1.0)</f>
        <v>1</v>
      </c>
    </row>
    <row r="7449">
      <c r="K7449" s="4" t="str">
        <f>IFERROR(__xludf.DUMMYFUNCTION("""COMPUTED_VALUE"""),"MASSA VIVA")</f>
        <v>MASSA VIVA</v>
      </c>
      <c r="L7449" s="32">
        <f>IFERROR(__xludf.DUMMYFUNCTION("""COMPUTED_VALUE"""),2.0)</f>
        <v>2</v>
      </c>
      <c r="M7449" s="4" t="str">
        <f>IFERROR(__xludf.DUMMYFUNCTION("""COMPUTED_VALUE"""),"Swfast Sistemas")</f>
        <v>Swfast Sistemas</v>
      </c>
      <c r="N7449" s="33">
        <f>IFERROR(__xludf.DUMMYFUNCTION("""COMPUTED_VALUE"""),1.0)</f>
        <v>1</v>
      </c>
      <c r="O7449" s="4" t="str">
        <f>IFERROR(__xludf.DUMMYFUNCTION("""COMPUTED_VALUE"""),"Swfast Sistemas")</f>
        <v>Swfast Sistemas</v>
      </c>
      <c r="P7449" s="33">
        <f>IFERROR(__xludf.DUMMYFUNCTION("""COMPUTED_VALUE"""),1.0)</f>
        <v>1</v>
      </c>
      <c r="Q7449" s="4" t="str">
        <f>IFERROR(__xludf.DUMMYFUNCTION("""COMPUTED_VALUE"""),"Swfast Sistemas")</f>
        <v>Swfast Sistemas</v>
      </c>
      <c r="R7449" s="33">
        <f>IFERROR(__xludf.DUMMYFUNCTION("""COMPUTED_VALUE"""),0.5)</f>
        <v>0.5</v>
      </c>
      <c r="S7449" s="4" t="str">
        <f>IFERROR(__xludf.DUMMYFUNCTION("""COMPUTED_VALUE"""),"Swfast Sistemas")</f>
        <v>Swfast Sistemas</v>
      </c>
      <c r="T7449" s="33">
        <f>IFERROR(__xludf.DUMMYFUNCTION("""COMPUTED_VALUE"""),0.5)</f>
        <v>0.5</v>
      </c>
      <c r="U7449" s="4" t="str">
        <f>IFERROR(__xludf.DUMMYFUNCTION("""COMPUTED_VALUE"""),"Swfast Sistemas")</f>
        <v>Swfast Sistemas</v>
      </c>
      <c r="V7449" s="33">
        <f>IFERROR(__xludf.DUMMYFUNCTION("""COMPUTED_VALUE"""),0.5)</f>
        <v>0.5</v>
      </c>
      <c r="W7449" s="4" t="str">
        <f>IFERROR(__xludf.DUMMYFUNCTION("""COMPUTED_VALUE"""),"Swfast Sistemas")</f>
        <v>Swfast Sistemas</v>
      </c>
      <c r="X7449" s="33">
        <f>IFERROR(__xludf.DUMMYFUNCTION("""COMPUTED_VALUE"""),0.5)</f>
        <v>0.5</v>
      </c>
    </row>
    <row r="7450">
      <c r="K7450" s="4" t="str">
        <f>IFERROR(__xludf.DUMMYFUNCTION("""COMPUTED_VALUE"""),"MASSAS E BURGERS TRATTORIA LANCHES - MARCA")</f>
        <v>MASSAS E BURGERS TRATTORIA LANCHES - MARCA</v>
      </c>
      <c r="L7450" s="32">
        <f>IFERROR(__xludf.DUMMYFUNCTION("""COMPUTED_VALUE"""),2.0)</f>
        <v>2</v>
      </c>
      <c r="M7450" s="4" t="str">
        <f>IFERROR(__xludf.DUMMYFUNCTION("""COMPUTED_VALUE"""),"null")</f>
        <v>null</v>
      </c>
      <c r="N7450" s="33">
        <f>IFERROR(__xludf.DUMMYFUNCTION("""COMPUTED_VALUE"""),1.0)</f>
        <v>1</v>
      </c>
      <c r="O7450" s="4" t="str">
        <f>IFERROR(__xludf.DUMMYFUNCTION("""COMPUTED_VALUE"""),"null")</f>
        <v>null</v>
      </c>
      <c r="P7450" s="33">
        <f>IFERROR(__xludf.DUMMYFUNCTION("""COMPUTED_VALUE"""),1.0)</f>
        <v>1</v>
      </c>
      <c r="Q7450" s="4" t="str">
        <f>IFERROR(__xludf.DUMMYFUNCTION("""COMPUTED_VALUE"""),"null")</f>
        <v>null</v>
      </c>
      <c r="R7450" s="33">
        <f>IFERROR(__xludf.DUMMYFUNCTION("""COMPUTED_VALUE"""),1.0)</f>
        <v>1</v>
      </c>
      <c r="S7450" s="4" t="str">
        <f>IFERROR(__xludf.DUMMYFUNCTION("""COMPUTED_VALUE"""),"Saipos Serviços De Software")</f>
        <v>Saipos Serviços De Software</v>
      </c>
      <c r="T7450" s="33">
        <f>IFERROR(__xludf.DUMMYFUNCTION("""COMPUTED_VALUE"""),1.0)</f>
        <v>1</v>
      </c>
      <c r="U7450" s="4" t="str">
        <f>IFERROR(__xludf.DUMMYFUNCTION("""COMPUTED_VALUE"""),"null")</f>
        <v>null</v>
      </c>
      <c r="V7450" s="33">
        <f>IFERROR(__xludf.DUMMYFUNCTION("""COMPUTED_VALUE"""),1.0)</f>
        <v>1</v>
      </c>
      <c r="W7450" s="4" t="str">
        <f>IFERROR(__xludf.DUMMYFUNCTION("""COMPUTED_VALUE"""),"null")</f>
        <v>null</v>
      </c>
      <c r="X7450" s="33">
        <f>IFERROR(__xludf.DUMMYFUNCTION("""COMPUTED_VALUE"""),1.0)</f>
        <v>1</v>
      </c>
    </row>
    <row r="7451">
      <c r="K7451" s="4" t="str">
        <f>IFERROR(__xludf.DUMMYFUNCTION("""COMPUTED_VALUE"""),"MATSURI MANAUS")</f>
        <v>MATSURI MANAUS</v>
      </c>
      <c r="L7451" s="32">
        <f>IFERROR(__xludf.DUMMYFUNCTION("""COMPUTED_VALUE"""),2.0)</f>
        <v>2</v>
      </c>
      <c r="M7451" s="4" t="str">
        <f>IFERROR(__xludf.DUMMYFUNCTION("""COMPUTED_VALUE"""),"Vekttor")</f>
        <v>Vekttor</v>
      </c>
      <c r="N7451" s="33">
        <f>IFERROR(__xludf.DUMMYFUNCTION("""COMPUTED_VALUE"""),1.0)</f>
        <v>1</v>
      </c>
      <c r="O7451" s="4" t="str">
        <f>IFERROR(__xludf.DUMMYFUNCTION("""COMPUTED_VALUE"""),"Vekttor")</f>
        <v>Vekttor</v>
      </c>
      <c r="P7451" s="33">
        <f>IFERROR(__xludf.DUMMYFUNCTION("""COMPUTED_VALUE"""),1.0)</f>
        <v>1</v>
      </c>
      <c r="Q7451" s="4" t="str">
        <f>IFERROR(__xludf.DUMMYFUNCTION("""COMPUTED_VALUE"""),"Vekttor")</f>
        <v>Vekttor</v>
      </c>
      <c r="R7451" s="33">
        <f>IFERROR(__xludf.DUMMYFUNCTION("""COMPUTED_VALUE"""),1.0)</f>
        <v>1</v>
      </c>
      <c r="S7451" s="4" t="str">
        <f>IFERROR(__xludf.DUMMYFUNCTION("""COMPUTED_VALUE"""),"null")</f>
        <v>null</v>
      </c>
      <c r="T7451" s="33">
        <f>IFERROR(__xludf.DUMMYFUNCTION("""COMPUTED_VALUE"""),0.5)</f>
        <v>0.5</v>
      </c>
      <c r="U7451" s="4" t="str">
        <f>IFERROR(__xludf.DUMMYFUNCTION("""COMPUTED_VALUE"""),"null")</f>
        <v>null</v>
      </c>
      <c r="V7451" s="33">
        <f>IFERROR(__xludf.DUMMYFUNCTION("""COMPUTED_VALUE"""),0.5)</f>
        <v>0.5</v>
      </c>
      <c r="W7451" s="4" t="str">
        <f>IFERROR(__xludf.DUMMYFUNCTION("""COMPUTED_VALUE"""),"Vekttor")</f>
        <v>Vekttor</v>
      </c>
      <c r="X7451" s="33">
        <f>IFERROR(__xludf.DUMMYFUNCTION("""COMPUTED_VALUE"""),1.0)</f>
        <v>1</v>
      </c>
    </row>
    <row r="7452">
      <c r="K7452" s="4" t="str">
        <f>IFERROR(__xludf.DUMMYFUNCTION("""COMPUTED_VALUE"""),"MATTEO PIZZARIA E ESFIHARIA")</f>
        <v>MATTEO PIZZARIA E ESFIHARIA</v>
      </c>
      <c r="L7452" s="32">
        <f>IFERROR(__xludf.DUMMYFUNCTION("""COMPUTED_VALUE"""),2.0)</f>
        <v>2</v>
      </c>
      <c r="M7452" s="4" t="str">
        <f>IFERROR(__xludf.DUMMYFUNCTION("""COMPUTED_VALUE"""),"Latech Informatica Ltda")</f>
        <v>Latech Informatica Ltda</v>
      </c>
      <c r="N7452" s="33">
        <f>IFERROR(__xludf.DUMMYFUNCTION("""COMPUTED_VALUE"""),1.0)</f>
        <v>1</v>
      </c>
      <c r="O7452" s="4" t="str">
        <f>IFERROR(__xludf.DUMMYFUNCTION("""COMPUTED_VALUE"""),"Latech Informatica Ltda")</f>
        <v>Latech Informatica Ltda</v>
      </c>
      <c r="P7452" s="33">
        <f>IFERROR(__xludf.DUMMYFUNCTION("""COMPUTED_VALUE"""),1.0)</f>
        <v>1</v>
      </c>
      <c r="Q7452" s="4" t="str">
        <f>IFERROR(__xludf.DUMMYFUNCTION("""COMPUTED_VALUE"""),"Latech Informatica Ltda")</f>
        <v>Latech Informatica Ltda</v>
      </c>
      <c r="R7452" s="33">
        <f>IFERROR(__xludf.DUMMYFUNCTION("""COMPUTED_VALUE"""),1.0)</f>
        <v>1</v>
      </c>
      <c r="S7452" s="4" t="str">
        <f>IFERROR(__xludf.DUMMYFUNCTION("""COMPUTED_VALUE"""),"Latech Informatica Ltda")</f>
        <v>Latech Informatica Ltda</v>
      </c>
      <c r="T7452" s="33">
        <f>IFERROR(__xludf.DUMMYFUNCTION("""COMPUTED_VALUE"""),1.0)</f>
        <v>1</v>
      </c>
      <c r="U7452" s="4" t="str">
        <f>IFERROR(__xludf.DUMMYFUNCTION("""COMPUTED_VALUE"""),"Latech Informatica Ltda")</f>
        <v>Latech Informatica Ltda</v>
      </c>
      <c r="V7452" s="33">
        <f>IFERROR(__xludf.DUMMYFUNCTION("""COMPUTED_VALUE"""),1.0)</f>
        <v>1</v>
      </c>
      <c r="W7452" s="4" t="str">
        <f>IFERROR(__xludf.DUMMYFUNCTION("""COMPUTED_VALUE"""),"Latech Informatica Ltda")</f>
        <v>Latech Informatica Ltda</v>
      </c>
      <c r="X7452" s="33">
        <f>IFERROR(__xludf.DUMMYFUNCTION("""COMPUTED_VALUE"""),1.0)</f>
        <v>1</v>
      </c>
    </row>
    <row r="7453">
      <c r="K7453" s="4" t="str">
        <f>IFERROR(__xludf.DUMMYFUNCTION("""COMPUTED_VALUE"""),"MAUI SLZ")</f>
        <v>MAUI SLZ</v>
      </c>
      <c r="L7453" s="32">
        <f>IFERROR(__xludf.DUMMYFUNCTION("""COMPUTED_VALUE"""),2.0)</f>
        <v>2</v>
      </c>
      <c r="M7453" s="4" t="str">
        <f>IFERROR(__xludf.DUMMYFUNCTION("""COMPUTED_VALUE"""),"null")</f>
        <v>null</v>
      </c>
      <c r="N7453" s="33">
        <f>IFERROR(__xludf.DUMMYFUNCTION("""COMPUTED_VALUE"""),1.0)</f>
        <v>1</v>
      </c>
      <c r="O7453" s="4" t="str">
        <f>IFERROR(__xludf.DUMMYFUNCTION("""COMPUTED_VALUE"""),"null")</f>
        <v>null</v>
      </c>
      <c r="P7453" s="33">
        <f>IFERROR(__xludf.DUMMYFUNCTION("""COMPUTED_VALUE"""),1.0)</f>
        <v>1</v>
      </c>
      <c r="Q7453" s="4" t="str">
        <f>IFERROR(__xludf.DUMMYFUNCTION("""COMPUTED_VALUE"""),"null")</f>
        <v>null</v>
      </c>
      <c r="R7453" s="33">
        <f>IFERROR(__xludf.DUMMYFUNCTION("""COMPUTED_VALUE"""),1.0)</f>
        <v>1</v>
      </c>
      <c r="S7453" s="4" t="str">
        <f>IFERROR(__xludf.DUMMYFUNCTION("""COMPUTED_VALUE"""),"null")</f>
        <v>null</v>
      </c>
      <c r="T7453" s="33">
        <f>IFERROR(__xludf.DUMMYFUNCTION("""COMPUTED_VALUE"""),1.0)</f>
        <v>1</v>
      </c>
      <c r="U7453" s="4" t="str">
        <f>IFERROR(__xludf.DUMMYFUNCTION("""COMPUTED_VALUE"""),"Saipos Serviços De Software")</f>
        <v>Saipos Serviços De Software</v>
      </c>
      <c r="V7453" s="33">
        <f>IFERROR(__xludf.DUMMYFUNCTION("""COMPUTED_VALUE"""),1.0)</f>
        <v>1</v>
      </c>
      <c r="W7453" s="4" t="str">
        <f>IFERROR(__xludf.DUMMYFUNCTION("""COMPUTED_VALUE"""),"Saipos Serviços De Software")</f>
        <v>Saipos Serviços De Software</v>
      </c>
      <c r="X7453" s="33">
        <f>IFERROR(__xludf.DUMMYFUNCTION("""COMPUTED_VALUE"""),1.0)</f>
        <v>1</v>
      </c>
    </row>
    <row r="7454">
      <c r="K7454" s="4" t="str">
        <f>IFERROR(__xludf.DUMMYFUNCTION("""COMPUTED_VALUE"""),"MAXS BURGER")</f>
        <v>MAXS BURGER</v>
      </c>
      <c r="L7454" s="32">
        <f>IFERROR(__xludf.DUMMYFUNCTION("""COMPUTED_VALUE"""),2.0)</f>
        <v>2</v>
      </c>
      <c r="M7454" s="4" t="str">
        <f>IFERROR(__xludf.DUMMYFUNCTION("""COMPUTED_VALUE"""),"Cardápio Web")</f>
        <v>Cardápio Web</v>
      </c>
      <c r="N7454" s="33">
        <f>IFERROR(__xludf.DUMMYFUNCTION("""COMPUTED_VALUE"""),1.0)</f>
        <v>1</v>
      </c>
      <c r="O7454" s="4" t="str">
        <f>IFERROR(__xludf.DUMMYFUNCTION("""COMPUTED_VALUE"""),"Cardápio Web")</f>
        <v>Cardápio Web</v>
      </c>
      <c r="P7454" s="33">
        <f>IFERROR(__xludf.DUMMYFUNCTION("""COMPUTED_VALUE"""),1.0)</f>
        <v>1</v>
      </c>
      <c r="Q7454" s="4" t="str">
        <f>IFERROR(__xludf.DUMMYFUNCTION("""COMPUTED_VALUE"""),"null")</f>
        <v>null</v>
      </c>
      <c r="R7454" s="33">
        <f>IFERROR(__xludf.DUMMYFUNCTION("""COMPUTED_VALUE"""),0.5)</f>
        <v>0.5</v>
      </c>
      <c r="S7454" s="4" t="str">
        <f>IFERROR(__xludf.DUMMYFUNCTION("""COMPUTED_VALUE"""),"null")</f>
        <v>null</v>
      </c>
      <c r="T7454" s="33">
        <f>IFERROR(__xludf.DUMMYFUNCTION("""COMPUTED_VALUE"""),0.5)</f>
        <v>0.5</v>
      </c>
      <c r="U7454" s="4" t="str">
        <f>IFERROR(__xludf.DUMMYFUNCTION("""COMPUTED_VALUE"""),"null")</f>
        <v>null</v>
      </c>
      <c r="V7454" s="33">
        <f>IFERROR(__xludf.DUMMYFUNCTION("""COMPUTED_VALUE"""),0.5)</f>
        <v>0.5</v>
      </c>
      <c r="W7454" s="4" t="str">
        <f>IFERROR(__xludf.DUMMYFUNCTION("""COMPUTED_VALUE"""),"null")</f>
        <v>null</v>
      </c>
      <c r="X7454" s="33">
        <f>IFERROR(__xludf.DUMMYFUNCTION("""COMPUTED_VALUE"""),0.5)</f>
        <v>0.5</v>
      </c>
    </row>
    <row r="7455">
      <c r="K7455" s="4" t="str">
        <f>IFERROR(__xludf.DUMMYFUNCTION("""COMPUTED_VALUE"""),"MAXX DOGUERIA E HAMBURGUERIA")</f>
        <v>MAXX DOGUERIA E HAMBURGUERIA</v>
      </c>
      <c r="L7455" s="32">
        <f>IFERROR(__xludf.DUMMYFUNCTION("""COMPUTED_VALUE"""),2.0)</f>
        <v>2</v>
      </c>
      <c r="M7455" s="4" t="str">
        <f>IFERROR(__xludf.DUMMYFUNCTION("""COMPUTED_VALUE"""),"Ncr")</f>
        <v>Ncr</v>
      </c>
      <c r="N7455" s="33">
        <f>IFERROR(__xludf.DUMMYFUNCTION("""COMPUTED_VALUE"""),1.0)</f>
        <v>1</v>
      </c>
      <c r="O7455" s="4" t="str">
        <f>IFERROR(__xludf.DUMMYFUNCTION("""COMPUTED_VALUE"""),"Ncr")</f>
        <v>Ncr</v>
      </c>
      <c r="P7455" s="33">
        <f>IFERROR(__xludf.DUMMYFUNCTION("""COMPUTED_VALUE"""),1.0)</f>
        <v>1</v>
      </c>
      <c r="Q7455" s="4" t="str">
        <f>IFERROR(__xludf.DUMMYFUNCTION("""COMPUTED_VALUE"""),"Ncr")</f>
        <v>Ncr</v>
      </c>
      <c r="R7455" s="33">
        <f>IFERROR(__xludf.DUMMYFUNCTION("""COMPUTED_VALUE"""),0.5)</f>
        <v>0.5</v>
      </c>
      <c r="S7455" s="4" t="str">
        <f>IFERROR(__xludf.DUMMYFUNCTION("""COMPUTED_VALUE"""),"Ncr")</f>
        <v>Ncr</v>
      </c>
      <c r="T7455" s="33">
        <f>IFERROR(__xludf.DUMMYFUNCTION("""COMPUTED_VALUE"""),0.5)</f>
        <v>0.5</v>
      </c>
      <c r="U7455" s="4" t="str">
        <f>IFERROR(__xludf.DUMMYFUNCTION("""COMPUTED_VALUE"""),"Ncr")</f>
        <v>Ncr</v>
      </c>
      <c r="V7455" s="33">
        <f>IFERROR(__xludf.DUMMYFUNCTION("""COMPUTED_VALUE"""),1.0)</f>
        <v>1</v>
      </c>
      <c r="W7455" s="4" t="str">
        <f>IFERROR(__xludf.DUMMYFUNCTION("""COMPUTED_VALUE"""),"Saipos Serviços De Software")</f>
        <v>Saipos Serviços De Software</v>
      </c>
      <c r="X7455" s="33">
        <f>IFERROR(__xludf.DUMMYFUNCTION("""COMPUTED_VALUE"""),1.0)</f>
        <v>1</v>
      </c>
    </row>
    <row r="7456">
      <c r="K7456" s="4" t="str">
        <f>IFERROR(__xludf.DUMMYFUNCTION("""COMPUTED_VALUE"""),"MAYA SUSHI LTDA - JOINVILLE - CONTA MARCA")</f>
        <v>MAYA SUSHI LTDA - JOINVILLE - CONTA MARCA</v>
      </c>
      <c r="L7456" s="32">
        <f>IFERROR(__xludf.DUMMYFUNCTION("""COMPUTED_VALUE"""),2.0)</f>
        <v>2</v>
      </c>
      <c r="M7456" s="4" t="str">
        <f>IFERROR(__xludf.DUMMYFUNCTION("""COMPUTED_VALUE"""),"Fs Soluções Em Tecnologia Ltda")</f>
        <v>Fs Soluções Em Tecnologia Ltda</v>
      </c>
      <c r="N7456" s="33">
        <f>IFERROR(__xludf.DUMMYFUNCTION("""COMPUTED_VALUE"""),1.0)</f>
        <v>1</v>
      </c>
      <c r="O7456" s="4" t="str">
        <f>IFERROR(__xludf.DUMMYFUNCTION("""COMPUTED_VALUE"""),"Fs Soluções Em Tecnologia Ltda")</f>
        <v>Fs Soluções Em Tecnologia Ltda</v>
      </c>
      <c r="P7456" s="33">
        <f>IFERROR(__xludf.DUMMYFUNCTION("""COMPUTED_VALUE"""),1.0)</f>
        <v>1</v>
      </c>
      <c r="Q7456" s="4" t="str">
        <f>IFERROR(__xludf.DUMMYFUNCTION("""COMPUTED_VALUE"""),"null")</f>
        <v>null</v>
      </c>
      <c r="R7456" s="33">
        <f>IFERROR(__xludf.DUMMYFUNCTION("""COMPUTED_VALUE"""),0.5)</f>
        <v>0.5</v>
      </c>
      <c r="S7456" s="4" t="str">
        <f>IFERROR(__xludf.DUMMYFUNCTION("""COMPUTED_VALUE"""),"null")</f>
        <v>null</v>
      </c>
      <c r="T7456" s="33">
        <f>IFERROR(__xludf.DUMMYFUNCTION("""COMPUTED_VALUE"""),0.5)</f>
        <v>0.5</v>
      </c>
      <c r="U7456" s="4" t="str">
        <f>IFERROR(__xludf.DUMMYFUNCTION("""COMPUTED_VALUE"""),"Fs Soluções Em Tecnologia Ltda")</f>
        <v>Fs Soluções Em Tecnologia Ltda</v>
      </c>
      <c r="V7456" s="33">
        <f>IFERROR(__xludf.DUMMYFUNCTION("""COMPUTED_VALUE"""),0.5)</f>
        <v>0.5</v>
      </c>
      <c r="W7456" s="4" t="str">
        <f>IFERROR(__xludf.DUMMYFUNCTION("""COMPUTED_VALUE"""),"null")</f>
        <v>null</v>
      </c>
      <c r="X7456" s="33">
        <f>IFERROR(__xludf.DUMMYFUNCTION("""COMPUTED_VALUE"""),0.5)</f>
        <v>0.5</v>
      </c>
    </row>
    <row r="7457">
      <c r="K7457" s="4" t="str">
        <f>IFERROR(__xludf.DUMMYFUNCTION("""COMPUTED_VALUE"""),"MAYS SABOR - HAMBURGUER E PIZZAS - MANAUS")</f>
        <v>MAYS SABOR - HAMBURGUER E PIZZAS - MANAUS</v>
      </c>
      <c r="L7457" s="32">
        <f>IFERROR(__xludf.DUMMYFUNCTION("""COMPUTED_VALUE"""),2.0)</f>
        <v>2</v>
      </c>
      <c r="M7457" s="4" t="str">
        <f>IFERROR(__xludf.DUMMYFUNCTION("""COMPUTED_VALUE"""),"Vekttor")</f>
        <v>Vekttor</v>
      </c>
      <c r="N7457" s="33">
        <f>IFERROR(__xludf.DUMMYFUNCTION("""COMPUTED_VALUE"""),1.0)</f>
        <v>1</v>
      </c>
      <c r="O7457" s="4" t="str">
        <f>IFERROR(__xludf.DUMMYFUNCTION("""COMPUTED_VALUE"""),"Vekttor")</f>
        <v>Vekttor</v>
      </c>
      <c r="P7457" s="33">
        <f>IFERROR(__xludf.DUMMYFUNCTION("""COMPUTED_VALUE"""),1.0)</f>
        <v>1</v>
      </c>
      <c r="Q7457" s="4" t="str">
        <f>IFERROR(__xludf.DUMMYFUNCTION("""COMPUTED_VALUE"""),"null")</f>
        <v>null</v>
      </c>
      <c r="R7457" s="33">
        <f>IFERROR(__xludf.DUMMYFUNCTION("""COMPUTED_VALUE"""),0.5)</f>
        <v>0.5</v>
      </c>
      <c r="S7457" s="4" t="str">
        <f>IFERROR(__xludf.DUMMYFUNCTION("""COMPUTED_VALUE"""),"null")</f>
        <v>null</v>
      </c>
      <c r="T7457" s="33">
        <f>IFERROR(__xludf.DUMMYFUNCTION("""COMPUTED_VALUE"""),0.5)</f>
        <v>0.5</v>
      </c>
      <c r="U7457" s="4" t="str">
        <f>IFERROR(__xludf.DUMMYFUNCTION("""COMPUTED_VALUE"""),"null")</f>
        <v>null</v>
      </c>
      <c r="V7457" s="33">
        <f>IFERROR(__xludf.DUMMYFUNCTION("""COMPUTED_VALUE"""),0.5)</f>
        <v>0.5</v>
      </c>
      <c r="W7457" s="4" t="str">
        <f>IFERROR(__xludf.DUMMYFUNCTION("""COMPUTED_VALUE"""),"Vekttor")</f>
        <v>Vekttor</v>
      </c>
      <c r="X7457" s="33">
        <f>IFERROR(__xludf.DUMMYFUNCTION("""COMPUTED_VALUE"""),1.0)</f>
        <v>1</v>
      </c>
    </row>
    <row r="7458">
      <c r="K7458" s="4" t="str">
        <f>IFERROR(__xludf.DUMMYFUNCTION("""COMPUTED_VALUE"""),"MAZA JAPONESE CUISINE")</f>
        <v>MAZA JAPONESE CUISINE</v>
      </c>
      <c r="L7458" s="32">
        <f>IFERROR(__xludf.DUMMYFUNCTION("""COMPUTED_VALUE"""),2.0)</f>
        <v>2</v>
      </c>
      <c r="M7458" s="4" t="str">
        <f>IFERROR(__xludf.DUMMYFUNCTION("""COMPUTED_VALUE"""),"null")</f>
        <v>null</v>
      </c>
      <c r="N7458" s="33">
        <f>IFERROR(__xludf.DUMMYFUNCTION("""COMPUTED_VALUE"""),1.0)</f>
        <v>1</v>
      </c>
      <c r="O7458" s="4" t="str">
        <f>IFERROR(__xludf.DUMMYFUNCTION("""COMPUTED_VALUE"""),"null")</f>
        <v>null</v>
      </c>
      <c r="P7458" s="33">
        <f>IFERROR(__xludf.DUMMYFUNCTION("""COMPUTED_VALUE"""),1.0)</f>
        <v>1</v>
      </c>
      <c r="Q7458" s="4" t="str">
        <f>IFERROR(__xludf.DUMMYFUNCTION("""COMPUTED_VALUE"""),"null")</f>
        <v>null</v>
      </c>
      <c r="R7458" s="33">
        <f>IFERROR(__xludf.DUMMYFUNCTION("""COMPUTED_VALUE"""),0.5)</f>
        <v>0.5</v>
      </c>
      <c r="S7458" s="4" t="str">
        <f>IFERROR(__xludf.DUMMYFUNCTION("""COMPUTED_VALUE"""),"null")</f>
        <v>null</v>
      </c>
      <c r="T7458" s="33">
        <f>IFERROR(__xludf.DUMMYFUNCTION("""COMPUTED_VALUE"""),0.5)</f>
        <v>0.5</v>
      </c>
      <c r="U7458" s="4" t="str">
        <f>IFERROR(__xludf.DUMMYFUNCTION("""COMPUTED_VALUE"""),"E-deploy Retail")</f>
        <v>E-deploy Retail</v>
      </c>
      <c r="V7458" s="33">
        <f>IFERROR(__xludf.DUMMYFUNCTION("""COMPUTED_VALUE"""),1.0)</f>
        <v>1</v>
      </c>
      <c r="W7458" s="4" t="str">
        <f>IFERROR(__xludf.DUMMYFUNCTION("""COMPUTED_VALUE"""),"E-deploy Retail")</f>
        <v>E-deploy Retail</v>
      </c>
      <c r="X7458" s="33">
        <f>IFERROR(__xludf.DUMMYFUNCTION("""COMPUTED_VALUE"""),1.0)</f>
        <v>1</v>
      </c>
    </row>
    <row r="7459">
      <c r="K7459" s="4" t="str">
        <f>IFERROR(__xludf.DUMMYFUNCTION("""COMPUTED_VALUE"""),"MEDALHAO BURGUER TERESINA")</f>
        <v>MEDALHAO BURGUER TERESINA</v>
      </c>
      <c r="L7459" s="32">
        <f>IFERROR(__xludf.DUMMYFUNCTION("""COMPUTED_VALUE"""),2.0)</f>
        <v>2</v>
      </c>
      <c r="M7459" s="4" t="str">
        <f>IFERROR(__xludf.DUMMYFUNCTION("""COMPUTED_VALUE"""),"null")</f>
        <v>null</v>
      </c>
      <c r="N7459" s="33">
        <f>IFERROR(__xludf.DUMMYFUNCTION("""COMPUTED_VALUE"""),1.0)</f>
        <v>1</v>
      </c>
      <c r="O7459" s="4" t="str">
        <f>IFERROR(__xludf.DUMMYFUNCTION("""COMPUTED_VALUE"""),"null")</f>
        <v>null</v>
      </c>
      <c r="P7459" s="33">
        <f>IFERROR(__xludf.DUMMYFUNCTION("""COMPUTED_VALUE"""),1.0)</f>
        <v>1</v>
      </c>
      <c r="Q7459" s="4" t="str">
        <f>IFERROR(__xludf.DUMMYFUNCTION("""COMPUTED_VALUE"""),"null")</f>
        <v>null</v>
      </c>
      <c r="R7459" s="33">
        <f>IFERROR(__xludf.DUMMYFUNCTION("""COMPUTED_VALUE"""),1.0)</f>
        <v>1</v>
      </c>
      <c r="S7459" s="4" t="str">
        <f>IFERROR(__xludf.DUMMYFUNCTION("""COMPUTED_VALUE"""),"Agilizup Solucoes Ltda")</f>
        <v>Agilizup Solucoes Ltda</v>
      </c>
      <c r="T7459" s="33">
        <f>IFERROR(__xludf.DUMMYFUNCTION("""COMPUTED_VALUE"""),1.0)</f>
        <v>1</v>
      </c>
      <c r="U7459" s="4" t="str">
        <f>IFERROR(__xludf.DUMMYFUNCTION("""COMPUTED_VALUE"""),"Agilizup Solucoes Ltda")</f>
        <v>Agilizup Solucoes Ltda</v>
      </c>
      <c r="V7459" s="33">
        <f>IFERROR(__xludf.DUMMYFUNCTION("""COMPUTED_VALUE"""),1.0)</f>
        <v>1</v>
      </c>
      <c r="W7459" s="4" t="str">
        <f>IFERROR(__xludf.DUMMYFUNCTION("""COMPUTED_VALUE"""),"Agilizup Solucoes Ltda")</f>
        <v>Agilizup Solucoes Ltda</v>
      </c>
      <c r="X7459" s="33">
        <f>IFERROR(__xludf.DUMMYFUNCTION("""COMPUTED_VALUE"""),1.0)</f>
        <v>1</v>
      </c>
    </row>
    <row r="7460">
      <c r="K7460" s="4" t="str">
        <f>IFERROR(__xludf.DUMMYFUNCTION("""COMPUTED_VALUE"""),"MEGA LANCHES MARCA")</f>
        <v>MEGA LANCHES MARCA</v>
      </c>
      <c r="L7460" s="32">
        <f>IFERROR(__xludf.DUMMYFUNCTION("""COMPUTED_VALUE"""),2.0)</f>
        <v>2</v>
      </c>
      <c r="M7460" s="4" t="str">
        <f>IFERROR(__xludf.DUMMYFUNCTION("""COMPUTED_VALUE"""),"Saipos Serviços De Software")</f>
        <v>Saipos Serviços De Software</v>
      </c>
      <c r="N7460" s="33">
        <f>IFERROR(__xludf.DUMMYFUNCTION("""COMPUTED_VALUE"""),1.0)</f>
        <v>1</v>
      </c>
      <c r="O7460" s="4" t="str">
        <f>IFERROR(__xludf.DUMMYFUNCTION("""COMPUTED_VALUE"""),"Saipos Serviços De Software")</f>
        <v>Saipos Serviços De Software</v>
      </c>
      <c r="P7460" s="33">
        <f>IFERROR(__xludf.DUMMYFUNCTION("""COMPUTED_VALUE"""),1.0)</f>
        <v>1</v>
      </c>
      <c r="Q7460" s="4" t="str">
        <f>IFERROR(__xludf.DUMMYFUNCTION("""COMPUTED_VALUE"""),"Saipos Serviços De Software")</f>
        <v>Saipos Serviços De Software</v>
      </c>
      <c r="R7460" s="33">
        <f>IFERROR(__xludf.DUMMYFUNCTION("""COMPUTED_VALUE"""),1.0)</f>
        <v>1</v>
      </c>
      <c r="S7460" s="4" t="str">
        <f>IFERROR(__xludf.DUMMYFUNCTION("""COMPUTED_VALUE"""),"Saipos Serviços De Software")</f>
        <v>Saipos Serviços De Software</v>
      </c>
      <c r="T7460" s="33">
        <f>IFERROR(__xludf.DUMMYFUNCTION("""COMPUTED_VALUE"""),1.0)</f>
        <v>1</v>
      </c>
      <c r="U7460" s="4" t="str">
        <f>IFERROR(__xludf.DUMMYFUNCTION("""COMPUTED_VALUE"""),"Saipos Serviços De Software")</f>
        <v>Saipos Serviços De Software</v>
      </c>
      <c r="V7460" s="33">
        <f>IFERROR(__xludf.DUMMYFUNCTION("""COMPUTED_VALUE"""),1.0)</f>
        <v>1</v>
      </c>
      <c r="W7460" s="4" t="str">
        <f>IFERROR(__xludf.DUMMYFUNCTION("""COMPUTED_VALUE"""),"Saipos Serviços De Software")</f>
        <v>Saipos Serviços De Software</v>
      </c>
      <c r="X7460" s="33">
        <f>IFERROR(__xludf.DUMMYFUNCTION("""COMPUTED_VALUE"""),1.0)</f>
        <v>1</v>
      </c>
    </row>
    <row r="7461">
      <c r="K7461" s="4" t="str">
        <f>IFERROR(__xludf.DUMMYFUNCTION("""COMPUTED_VALUE"""),"MENU LANCHES")</f>
        <v>MENU LANCHES</v>
      </c>
      <c r="L7461" s="32">
        <f>IFERROR(__xludf.DUMMYFUNCTION("""COMPUTED_VALUE"""),2.0)</f>
        <v>2</v>
      </c>
      <c r="M7461" s="4" t="str">
        <f>IFERROR(__xludf.DUMMYFUNCTION("""COMPUTED_VALUE"""),"Consumer Soluções Em Tecnologia Ltda")</f>
        <v>Consumer Soluções Em Tecnologia Ltda</v>
      </c>
      <c r="N7461" s="33">
        <f>IFERROR(__xludf.DUMMYFUNCTION("""COMPUTED_VALUE"""),1.0)</f>
        <v>1</v>
      </c>
      <c r="O7461" s="4" t="str">
        <f>IFERROR(__xludf.DUMMYFUNCTION("""COMPUTED_VALUE"""),"Consumer Soluções Em Tecnologia Ltda")</f>
        <v>Consumer Soluções Em Tecnologia Ltda</v>
      </c>
      <c r="P7461" s="33">
        <f>IFERROR(__xludf.DUMMYFUNCTION("""COMPUTED_VALUE"""),1.0)</f>
        <v>1</v>
      </c>
      <c r="Q7461" s="4" t="str">
        <f>IFERROR(__xludf.DUMMYFUNCTION("""COMPUTED_VALUE"""),"Consumer Soluções Em Tecnologia Ltda")</f>
        <v>Consumer Soluções Em Tecnologia Ltda</v>
      </c>
      <c r="R7461" s="33">
        <f>IFERROR(__xludf.DUMMYFUNCTION("""COMPUTED_VALUE"""),1.0)</f>
        <v>1</v>
      </c>
      <c r="S7461" s="4" t="str">
        <f>IFERROR(__xludf.DUMMYFUNCTION("""COMPUTED_VALUE"""),"Consumer Soluções Em Tecnologia Ltda")</f>
        <v>Consumer Soluções Em Tecnologia Ltda</v>
      </c>
      <c r="T7461" s="33">
        <f>IFERROR(__xludf.DUMMYFUNCTION("""COMPUTED_VALUE"""),1.0)</f>
        <v>1</v>
      </c>
      <c r="U7461" s="4" t="str">
        <f>IFERROR(__xludf.DUMMYFUNCTION("""COMPUTED_VALUE"""),"null")</f>
        <v>null</v>
      </c>
      <c r="V7461" s="33">
        <f>IFERROR(__xludf.DUMMYFUNCTION("""COMPUTED_VALUE"""),1.0)</f>
        <v>1</v>
      </c>
      <c r="W7461" s="4" t="str">
        <f>IFERROR(__xludf.DUMMYFUNCTION("""COMPUTED_VALUE"""),"null")</f>
        <v>null</v>
      </c>
      <c r="X7461" s="33">
        <f>IFERROR(__xludf.DUMMYFUNCTION("""COMPUTED_VALUE"""),0.5)</f>
        <v>0.5</v>
      </c>
    </row>
    <row r="7462">
      <c r="K7462" s="4" t="str">
        <f>IFERROR(__xludf.DUMMYFUNCTION("""COMPUTED_VALUE"""),"MERCADAO PET - GRUPO")</f>
        <v>MERCADAO PET - GRUPO</v>
      </c>
      <c r="L7462" s="32">
        <f>IFERROR(__xludf.DUMMYFUNCTION("""COMPUTED_VALUE"""),2.0)</f>
        <v>2</v>
      </c>
      <c r="M7462" s="4" t="str">
        <f>IFERROR(__xludf.DUMMYFUNCTION("""COMPUTED_VALUE"""),"N/A (Not found)")</f>
        <v>N/A (Not found)</v>
      </c>
      <c r="N7462" s="33">
        <f>IFERROR(__xludf.DUMMYFUNCTION("""COMPUTED_VALUE"""),1.0)</f>
        <v>1</v>
      </c>
      <c r="O7462" s="4" t="str">
        <f>IFERROR(__xludf.DUMMYFUNCTION("""COMPUTED_VALUE"""),"N/A (Not found)")</f>
        <v>N/A (Not found)</v>
      </c>
      <c r="P7462" s="33">
        <f>IFERROR(__xludf.DUMMYFUNCTION("""COMPUTED_VALUE"""),1.0)</f>
        <v>1</v>
      </c>
      <c r="Q7462" s="4" t="str">
        <f>IFERROR(__xludf.DUMMYFUNCTION("""COMPUTED_VALUE"""),"N/A (Not found)")</f>
        <v>N/A (Not found)</v>
      </c>
      <c r="R7462" s="33">
        <f>IFERROR(__xludf.DUMMYFUNCTION("""COMPUTED_VALUE"""),1.0)</f>
        <v>1</v>
      </c>
      <c r="S7462" s="4" t="str">
        <f>IFERROR(__xludf.DUMMYFUNCTION("""COMPUTED_VALUE"""),"N/A (Not found)")</f>
        <v>N/A (Not found)</v>
      </c>
      <c r="T7462" s="33">
        <f>IFERROR(__xludf.DUMMYFUNCTION("""COMPUTED_VALUE"""),1.0)</f>
        <v>1</v>
      </c>
      <c r="U7462" s="4" t="str">
        <f>IFERROR(__xludf.DUMMYFUNCTION("""COMPUTED_VALUE"""),"N/A (Not found)")</f>
        <v>N/A (Not found)</v>
      </c>
      <c r="V7462" s="33">
        <f>IFERROR(__xludf.DUMMYFUNCTION("""COMPUTED_VALUE"""),1.0)</f>
        <v>1</v>
      </c>
      <c r="W7462" s="4" t="str">
        <f>IFERROR(__xludf.DUMMYFUNCTION("""COMPUTED_VALUE"""),"N/A (Not found)")</f>
        <v>N/A (Not found)</v>
      </c>
      <c r="X7462" s="33">
        <f>IFERROR(__xludf.DUMMYFUNCTION("""COMPUTED_VALUE"""),1.0)</f>
        <v>1</v>
      </c>
    </row>
    <row r="7463">
      <c r="K7463" s="4" t="str">
        <f>IFERROR(__xludf.DUMMYFUNCTION("""COMPUTED_VALUE"""),"MERCADO BRASCO - CONTA PAI")</f>
        <v>MERCADO BRASCO - CONTA PAI</v>
      </c>
      <c r="L7463" s="32">
        <f>IFERROR(__xludf.DUMMYFUNCTION("""COMPUTED_VALUE"""),2.0)</f>
        <v>2</v>
      </c>
      <c r="M7463" s="4" t="str">
        <f>IFERROR(__xludf.DUMMYFUNCTION("""COMPUTED_VALUE"""),"N/A (Not found)")</f>
        <v>N/A (Not found)</v>
      </c>
      <c r="N7463" s="33">
        <f>IFERROR(__xludf.DUMMYFUNCTION("""COMPUTED_VALUE"""),1.0)</f>
        <v>1</v>
      </c>
      <c r="O7463" s="4" t="str">
        <f>IFERROR(__xludf.DUMMYFUNCTION("""COMPUTED_VALUE"""),"N/A (Not found)")</f>
        <v>N/A (Not found)</v>
      </c>
      <c r="P7463" s="33">
        <f>IFERROR(__xludf.DUMMYFUNCTION("""COMPUTED_VALUE"""),1.0)</f>
        <v>1</v>
      </c>
      <c r="Q7463" s="4" t="str">
        <f>IFERROR(__xludf.DUMMYFUNCTION("""COMPUTED_VALUE"""),"N/A (Not found)")</f>
        <v>N/A (Not found)</v>
      </c>
      <c r="R7463" s="33">
        <f>IFERROR(__xludf.DUMMYFUNCTION("""COMPUTED_VALUE"""),1.0)</f>
        <v>1</v>
      </c>
      <c r="S7463" s="4" t="str">
        <f>IFERROR(__xludf.DUMMYFUNCTION("""COMPUTED_VALUE"""),"N/A (Not found)")</f>
        <v>N/A (Not found)</v>
      </c>
      <c r="T7463" s="33">
        <f>IFERROR(__xludf.DUMMYFUNCTION("""COMPUTED_VALUE"""),1.0)</f>
        <v>1</v>
      </c>
      <c r="U7463" s="4" t="str">
        <f>IFERROR(__xludf.DUMMYFUNCTION("""COMPUTED_VALUE"""),"N/A (Not found)")</f>
        <v>N/A (Not found)</v>
      </c>
      <c r="V7463" s="33">
        <f>IFERROR(__xludf.DUMMYFUNCTION("""COMPUTED_VALUE"""),1.0)</f>
        <v>1</v>
      </c>
      <c r="W7463" s="4" t="str">
        <f>IFERROR(__xludf.DUMMYFUNCTION("""COMPUTED_VALUE"""),"N/A (Not found)")</f>
        <v>N/A (Not found)</v>
      </c>
      <c r="X7463" s="33">
        <f>IFERROR(__xludf.DUMMYFUNCTION("""COMPUTED_VALUE"""),1.0)</f>
        <v>1</v>
      </c>
    </row>
    <row r="7464">
      <c r="K7464" s="4" t="str">
        <f>IFERROR(__xludf.DUMMYFUNCTION("""COMPUTED_VALUE"""),"MERIDIANO 47 BISTRO")</f>
        <v>MERIDIANO 47 BISTRO</v>
      </c>
      <c r="L7464" s="32">
        <f>IFERROR(__xludf.DUMMYFUNCTION("""COMPUTED_VALUE"""),2.0)</f>
        <v>2</v>
      </c>
      <c r="M7464" s="4" t="str">
        <f>IFERROR(__xludf.DUMMYFUNCTION("""COMPUTED_VALUE"""),"Consumer Soluções Em Tecnologia Ltda")</f>
        <v>Consumer Soluções Em Tecnologia Ltda</v>
      </c>
      <c r="N7464" s="33">
        <f>IFERROR(__xludf.DUMMYFUNCTION("""COMPUTED_VALUE"""),1.0)</f>
        <v>1</v>
      </c>
      <c r="O7464" s="4" t="str">
        <f>IFERROR(__xludf.DUMMYFUNCTION("""COMPUTED_VALUE"""),"null")</f>
        <v>null</v>
      </c>
      <c r="P7464" s="33">
        <f>IFERROR(__xludf.DUMMYFUNCTION("""COMPUTED_VALUE"""),1.0)</f>
        <v>1</v>
      </c>
      <c r="Q7464" s="4" t="str">
        <f>IFERROR(__xludf.DUMMYFUNCTION("""COMPUTED_VALUE"""),"null")</f>
        <v>null</v>
      </c>
      <c r="R7464" s="33">
        <f>IFERROR(__xludf.DUMMYFUNCTION("""COMPUTED_VALUE"""),1.0)</f>
        <v>1</v>
      </c>
      <c r="S7464" s="4" t="str">
        <f>IFERROR(__xludf.DUMMYFUNCTION("""COMPUTED_VALUE"""),"null")</f>
        <v>null</v>
      </c>
      <c r="T7464" s="33">
        <f>IFERROR(__xludf.DUMMYFUNCTION("""COMPUTED_VALUE"""),1.0)</f>
        <v>1</v>
      </c>
      <c r="U7464" s="4" t="str">
        <f>IFERROR(__xludf.DUMMYFUNCTION("""COMPUTED_VALUE"""),"null")</f>
        <v>null</v>
      </c>
      <c r="V7464" s="33">
        <f>IFERROR(__xludf.DUMMYFUNCTION("""COMPUTED_VALUE"""),1.0)</f>
        <v>1</v>
      </c>
      <c r="W7464" s="4" t="str">
        <f>IFERROR(__xludf.DUMMYFUNCTION("""COMPUTED_VALUE"""),"null")</f>
        <v>null</v>
      </c>
      <c r="X7464" s="33">
        <f>IFERROR(__xludf.DUMMYFUNCTION("""COMPUTED_VALUE"""),1.0)</f>
        <v>1</v>
      </c>
    </row>
    <row r="7465">
      <c r="K7465" s="4" t="str">
        <f>IFERROR(__xludf.DUMMYFUNCTION("""COMPUTED_VALUE"""),"MESTICO")</f>
        <v>MESTICO</v>
      </c>
      <c r="L7465" s="32">
        <f>IFERROR(__xludf.DUMMYFUNCTION("""COMPUTED_VALUE"""),2.0)</f>
        <v>2</v>
      </c>
      <c r="M7465" s="4" t="str">
        <f>IFERROR(__xludf.DUMMYFUNCTION("""COMPUTED_VALUE"""),"Totvs Large Enterprise Tecnologia S.a.")</f>
        <v>Totvs Large Enterprise Tecnologia S.a.</v>
      </c>
      <c r="N7465" s="33">
        <f>IFERROR(__xludf.DUMMYFUNCTION("""COMPUTED_VALUE"""),1.0)</f>
        <v>1</v>
      </c>
      <c r="O7465" s="4" t="str">
        <f>IFERROR(__xludf.DUMMYFUNCTION("""COMPUTED_VALUE"""),"Totvs Large Enterprise Tecnologia S.a.")</f>
        <v>Totvs Large Enterprise Tecnologia S.a.</v>
      </c>
      <c r="P7465" s="33">
        <f>IFERROR(__xludf.DUMMYFUNCTION("""COMPUTED_VALUE"""),1.0)</f>
        <v>1</v>
      </c>
      <c r="Q7465" s="4" t="str">
        <f>IFERROR(__xludf.DUMMYFUNCTION("""COMPUTED_VALUE"""),"Totvs Large Enterprise Tecnologia S.a.")</f>
        <v>Totvs Large Enterprise Tecnologia S.a.</v>
      </c>
      <c r="R7465" s="33">
        <f>IFERROR(__xludf.DUMMYFUNCTION("""COMPUTED_VALUE"""),1.0)</f>
        <v>1</v>
      </c>
      <c r="S7465" s="4" t="str">
        <f>IFERROR(__xludf.DUMMYFUNCTION("""COMPUTED_VALUE"""),"Totvs Large Enterprise Tecnologia S.a.")</f>
        <v>Totvs Large Enterprise Tecnologia S.a.</v>
      </c>
      <c r="T7465" s="33">
        <f>IFERROR(__xludf.DUMMYFUNCTION("""COMPUTED_VALUE"""),1.0)</f>
        <v>1</v>
      </c>
      <c r="U7465" s="4" t="str">
        <f>IFERROR(__xludf.DUMMYFUNCTION("""COMPUTED_VALUE"""),"Totvs Large Enterprise Tecnologia S.a.")</f>
        <v>Totvs Large Enterprise Tecnologia S.a.</v>
      </c>
      <c r="V7465" s="33">
        <f>IFERROR(__xludf.DUMMYFUNCTION("""COMPUTED_VALUE"""),1.0)</f>
        <v>1</v>
      </c>
      <c r="W7465" s="4" t="str">
        <f>IFERROR(__xludf.DUMMYFUNCTION("""COMPUTED_VALUE"""),"Totvs Large Enterprise Tecnologia S.a.")</f>
        <v>Totvs Large Enterprise Tecnologia S.a.</v>
      </c>
      <c r="X7465" s="33">
        <f>IFERROR(__xludf.DUMMYFUNCTION("""COMPUTED_VALUE"""),1.0)</f>
        <v>1</v>
      </c>
    </row>
    <row r="7466">
      <c r="K7466" s="4" t="str">
        <f>IFERROR(__xludf.DUMMYFUNCTION("""COMPUTED_VALUE"""),"MESTRE DOS BRIGADEIROS")</f>
        <v>MESTRE DOS BRIGADEIROS</v>
      </c>
      <c r="L7466" s="32">
        <f>IFERROR(__xludf.DUMMYFUNCTION("""COMPUTED_VALUE"""),2.0)</f>
        <v>2</v>
      </c>
      <c r="M7466" s="4" t="str">
        <f>IFERROR(__xludf.DUMMYFUNCTION("""COMPUTED_VALUE"""),"null")</f>
        <v>null</v>
      </c>
      <c r="N7466" s="33">
        <f>IFERROR(__xludf.DUMMYFUNCTION("""COMPUTED_VALUE"""),1.0)</f>
        <v>1</v>
      </c>
      <c r="O7466" s="4" t="str">
        <f>IFERROR(__xludf.DUMMYFUNCTION("""COMPUTED_VALUE"""),"Saipos Serviços De Software")</f>
        <v>Saipos Serviços De Software</v>
      </c>
      <c r="P7466" s="33">
        <f>IFERROR(__xludf.DUMMYFUNCTION("""COMPUTED_VALUE"""),1.0)</f>
        <v>1</v>
      </c>
      <c r="Q7466" s="4" t="str">
        <f>IFERROR(__xludf.DUMMYFUNCTION("""COMPUTED_VALUE"""),"Saipos Serviços De Software")</f>
        <v>Saipos Serviços De Software</v>
      </c>
      <c r="R7466" s="33">
        <f>IFERROR(__xludf.DUMMYFUNCTION("""COMPUTED_VALUE"""),1.0)</f>
        <v>1</v>
      </c>
      <c r="S7466" s="4" t="str">
        <f>IFERROR(__xludf.DUMMYFUNCTION("""COMPUTED_VALUE"""),"Saipos Serviços De Software")</f>
        <v>Saipos Serviços De Software</v>
      </c>
      <c r="T7466" s="33">
        <f>IFERROR(__xludf.DUMMYFUNCTION("""COMPUTED_VALUE"""),1.0)</f>
        <v>1</v>
      </c>
      <c r="U7466" s="4" t="str">
        <f>IFERROR(__xludf.DUMMYFUNCTION("""COMPUTED_VALUE"""),"Saipos Serviços De Software")</f>
        <v>Saipos Serviços De Software</v>
      </c>
      <c r="V7466" s="33">
        <f>IFERROR(__xludf.DUMMYFUNCTION("""COMPUTED_VALUE"""),1.0)</f>
        <v>1</v>
      </c>
      <c r="W7466" s="4" t="str">
        <f>IFERROR(__xludf.DUMMYFUNCTION("""COMPUTED_VALUE"""),"Saipos Serviços De Software")</f>
        <v>Saipos Serviços De Software</v>
      </c>
      <c r="X7466" s="33">
        <f>IFERROR(__xludf.DUMMYFUNCTION("""COMPUTED_VALUE"""),1.0)</f>
        <v>1</v>
      </c>
    </row>
    <row r="7467">
      <c r="K7467" s="4" t="str">
        <f>IFERROR(__xludf.DUMMYFUNCTION("""COMPUTED_VALUE"""),"MESTRE FISH - CONTA MARCA")</f>
        <v>MESTRE FISH - CONTA MARCA</v>
      </c>
      <c r="L7467" s="32">
        <f>IFERROR(__xludf.DUMMYFUNCTION("""COMPUTED_VALUE"""),2.0)</f>
        <v>2</v>
      </c>
      <c r="M7467" s="4" t="str">
        <f>IFERROR(__xludf.DUMMYFUNCTION("""COMPUTED_VALUE"""),"Sagres Automação Comercial")</f>
        <v>Sagres Automação Comercial</v>
      </c>
      <c r="N7467" s="33">
        <f>IFERROR(__xludf.DUMMYFUNCTION("""COMPUTED_VALUE"""),1.0)</f>
        <v>1</v>
      </c>
      <c r="O7467" s="4" t="str">
        <f>IFERROR(__xludf.DUMMYFUNCTION("""COMPUTED_VALUE"""),"Sagres Automação Comercial")</f>
        <v>Sagres Automação Comercial</v>
      </c>
      <c r="P7467" s="33">
        <f>IFERROR(__xludf.DUMMYFUNCTION("""COMPUTED_VALUE"""),0.5)</f>
        <v>0.5</v>
      </c>
      <c r="Q7467" s="4" t="str">
        <f>IFERROR(__xludf.DUMMYFUNCTION("""COMPUTED_VALUE"""),"null")</f>
        <v>null</v>
      </c>
      <c r="R7467" s="33">
        <f>IFERROR(__xludf.DUMMYFUNCTION("""COMPUTED_VALUE"""),1.0)</f>
        <v>1</v>
      </c>
      <c r="S7467" s="4" t="str">
        <f>IFERROR(__xludf.DUMMYFUNCTION("""COMPUTED_VALUE"""),"null")</f>
        <v>null</v>
      </c>
      <c r="T7467" s="33">
        <f>IFERROR(__xludf.DUMMYFUNCTION("""COMPUTED_VALUE"""),0.5)</f>
        <v>0.5</v>
      </c>
      <c r="U7467" s="4" t="str">
        <f>IFERROR(__xludf.DUMMYFUNCTION("""COMPUTED_VALUE"""),"Sagres Automação Comercial")</f>
        <v>Sagres Automação Comercial</v>
      </c>
      <c r="V7467" s="33">
        <f>IFERROR(__xludf.DUMMYFUNCTION("""COMPUTED_VALUE"""),1.0)</f>
        <v>1</v>
      </c>
      <c r="W7467" s="4" t="str">
        <f>IFERROR(__xludf.DUMMYFUNCTION("""COMPUTED_VALUE"""),"Sagres Automação Comercial")</f>
        <v>Sagres Automação Comercial</v>
      </c>
      <c r="X7467" s="33">
        <f>IFERROR(__xludf.DUMMYFUNCTION("""COMPUTED_VALUE"""),1.0)</f>
        <v>1</v>
      </c>
    </row>
    <row r="7468">
      <c r="K7468" s="4" t="str">
        <f>IFERROR(__xludf.DUMMYFUNCTION("""COMPUTED_VALUE"""),"MEU CANTINHO CHURRASCARIA - CONTA MARCA")</f>
        <v>MEU CANTINHO CHURRASCARIA - CONTA MARCA</v>
      </c>
      <c r="L7468" s="32">
        <f>IFERROR(__xludf.DUMMYFUNCTION("""COMPUTED_VALUE"""),2.0)</f>
        <v>2</v>
      </c>
      <c r="M7468" s="4" t="str">
        <f>IFERROR(__xludf.DUMMYFUNCTION("""COMPUTED_VALUE"""),"Bitbar")</f>
        <v>Bitbar</v>
      </c>
      <c r="N7468" s="33">
        <f>IFERROR(__xludf.DUMMYFUNCTION("""COMPUTED_VALUE"""),1.0)</f>
        <v>1</v>
      </c>
      <c r="O7468" s="4" t="str">
        <f>IFERROR(__xludf.DUMMYFUNCTION("""COMPUTED_VALUE"""),"null")</f>
        <v>null</v>
      </c>
      <c r="P7468" s="33">
        <f>IFERROR(__xludf.DUMMYFUNCTION("""COMPUTED_VALUE"""),0.5)</f>
        <v>0.5</v>
      </c>
      <c r="Q7468" s="4" t="str">
        <f>IFERROR(__xludf.DUMMYFUNCTION("""COMPUTED_VALUE"""),"null")</f>
        <v>null</v>
      </c>
      <c r="R7468" s="33">
        <f>IFERROR(__xludf.DUMMYFUNCTION("""COMPUTED_VALUE"""),0.5)</f>
        <v>0.5</v>
      </c>
      <c r="S7468" s="4" t="str">
        <f>IFERROR(__xludf.DUMMYFUNCTION("""COMPUTED_VALUE"""),"Bitbar")</f>
        <v>Bitbar</v>
      </c>
      <c r="T7468" s="33">
        <f>IFERROR(__xludf.DUMMYFUNCTION("""COMPUTED_VALUE"""),1.0)</f>
        <v>1</v>
      </c>
      <c r="U7468" s="4" t="str">
        <f>IFERROR(__xludf.DUMMYFUNCTION("""COMPUTED_VALUE"""),"null")</f>
        <v>null</v>
      </c>
      <c r="V7468" s="33">
        <f>IFERROR(__xludf.DUMMYFUNCTION("""COMPUTED_VALUE"""),0.5)</f>
        <v>0.5</v>
      </c>
      <c r="W7468" s="4" t="str">
        <f>IFERROR(__xludf.DUMMYFUNCTION("""COMPUTED_VALUE"""),"Bitbar")</f>
        <v>Bitbar</v>
      </c>
      <c r="X7468" s="33">
        <f>IFERROR(__xludf.DUMMYFUNCTION("""COMPUTED_VALUE"""),0.5)</f>
        <v>0.5</v>
      </c>
    </row>
    <row r="7469">
      <c r="K7469" s="4" t="str">
        <f>IFERROR(__xludf.DUMMYFUNCTION("""COMPUTED_VALUE"""),"MEU JAPA ORIGINAL")</f>
        <v>MEU JAPA ORIGINAL</v>
      </c>
      <c r="L7469" s="32">
        <f>IFERROR(__xludf.DUMMYFUNCTION("""COMPUTED_VALUE"""),2.0)</f>
        <v>2</v>
      </c>
      <c r="M7469" s="4" t="str">
        <f>IFERROR(__xludf.DUMMYFUNCTION("""COMPUTED_VALUE"""),"Inovar Informatica Ltda")</f>
        <v>Inovar Informatica Ltda</v>
      </c>
      <c r="N7469" s="33">
        <f>IFERROR(__xludf.DUMMYFUNCTION("""COMPUTED_VALUE"""),1.0)</f>
        <v>1</v>
      </c>
      <c r="O7469" s="4" t="str">
        <f>IFERROR(__xludf.DUMMYFUNCTION("""COMPUTED_VALUE"""),"Inovar Informatica Ltda")</f>
        <v>Inovar Informatica Ltda</v>
      </c>
      <c r="P7469" s="33">
        <f>IFERROR(__xludf.DUMMYFUNCTION("""COMPUTED_VALUE"""),1.0)</f>
        <v>1</v>
      </c>
      <c r="Q7469" s="4" t="str">
        <f>IFERROR(__xludf.DUMMYFUNCTION("""COMPUTED_VALUE"""),"Inovar Informatica Ltda")</f>
        <v>Inovar Informatica Ltda</v>
      </c>
      <c r="R7469" s="33">
        <f>IFERROR(__xludf.DUMMYFUNCTION("""COMPUTED_VALUE"""),1.0)</f>
        <v>1</v>
      </c>
      <c r="S7469" s="4" t="str">
        <f>IFERROR(__xludf.DUMMYFUNCTION("""COMPUTED_VALUE"""),"Inovar Informatica Ltda")</f>
        <v>Inovar Informatica Ltda</v>
      </c>
      <c r="T7469" s="33">
        <f>IFERROR(__xludf.DUMMYFUNCTION("""COMPUTED_VALUE"""),1.0)</f>
        <v>1</v>
      </c>
      <c r="U7469" s="4" t="str">
        <f>IFERROR(__xludf.DUMMYFUNCTION("""COMPUTED_VALUE"""),"Saipos Serviços De Software")</f>
        <v>Saipos Serviços De Software</v>
      </c>
      <c r="V7469" s="33">
        <f>IFERROR(__xludf.DUMMYFUNCTION("""COMPUTED_VALUE"""),0.5)</f>
        <v>0.5</v>
      </c>
      <c r="W7469" s="4" t="str">
        <f>IFERROR(__xludf.DUMMYFUNCTION("""COMPUTED_VALUE"""),"Inovarsistemas")</f>
        <v>Inovarsistemas</v>
      </c>
      <c r="X7469" s="33">
        <f>IFERROR(__xludf.DUMMYFUNCTION("""COMPUTED_VALUE"""),1.0)</f>
        <v>1</v>
      </c>
    </row>
    <row r="7470">
      <c r="K7470" s="4" t="str">
        <f>IFERROR(__xludf.DUMMYFUNCTION("""COMPUTED_VALUE"""),"MEVO FARMA - CONTA GRUPO")</f>
        <v>MEVO FARMA - CONTA GRUPO</v>
      </c>
      <c r="L7470" s="32">
        <f>IFERROR(__xludf.DUMMYFUNCTION("""COMPUTED_VALUE"""),2.0)</f>
        <v>2</v>
      </c>
      <c r="M7470" s="4" t="str">
        <f>IFERROR(__xludf.DUMMYFUNCTION("""COMPUTED_VALUE"""),"N/A (Not found)")</f>
        <v>N/A (Not found)</v>
      </c>
      <c r="N7470" s="33">
        <f>IFERROR(__xludf.DUMMYFUNCTION("""COMPUTED_VALUE"""),1.0)</f>
        <v>1</v>
      </c>
      <c r="O7470" s="4" t="str">
        <f>IFERROR(__xludf.DUMMYFUNCTION("""COMPUTED_VALUE"""),"N/A (Not found)")</f>
        <v>N/A (Not found)</v>
      </c>
      <c r="P7470" s="33">
        <f>IFERROR(__xludf.DUMMYFUNCTION("""COMPUTED_VALUE"""),1.0)</f>
        <v>1</v>
      </c>
      <c r="Q7470" s="4" t="str">
        <f>IFERROR(__xludf.DUMMYFUNCTION("""COMPUTED_VALUE"""),"N/A (Not found)")</f>
        <v>N/A (Not found)</v>
      </c>
      <c r="R7470" s="33">
        <f>IFERROR(__xludf.DUMMYFUNCTION("""COMPUTED_VALUE"""),1.0)</f>
        <v>1</v>
      </c>
      <c r="S7470" s="4" t="str">
        <f>IFERROR(__xludf.DUMMYFUNCTION("""COMPUTED_VALUE"""),"N/A (Not found)")</f>
        <v>N/A (Not found)</v>
      </c>
      <c r="T7470" s="33">
        <f>IFERROR(__xludf.DUMMYFUNCTION("""COMPUTED_VALUE"""),1.0)</f>
        <v>1</v>
      </c>
      <c r="U7470" s="4" t="str">
        <f>IFERROR(__xludf.DUMMYFUNCTION("""COMPUTED_VALUE"""),"N/A (Not found)")</f>
        <v>N/A (Not found)</v>
      </c>
      <c r="V7470" s="33">
        <f>IFERROR(__xludf.DUMMYFUNCTION("""COMPUTED_VALUE"""),1.0)</f>
        <v>1</v>
      </c>
      <c r="W7470" s="4" t="str">
        <f>IFERROR(__xludf.DUMMYFUNCTION("""COMPUTED_VALUE"""),"N/A (Not found)")</f>
        <v>N/A (Not found)</v>
      </c>
      <c r="X7470" s="33">
        <f>IFERROR(__xludf.DUMMYFUNCTION("""COMPUTED_VALUE"""),1.0)</f>
        <v>1</v>
      </c>
    </row>
    <row r="7471">
      <c r="K7471" s="4" t="str">
        <f>IFERROR(__xludf.DUMMYFUNCTION("""COMPUTED_VALUE"""),"MEXICANOS BURGUER - PAI")</f>
        <v>MEXICANOS BURGUER - PAI</v>
      </c>
      <c r="L7471" s="32">
        <f>IFERROR(__xludf.DUMMYFUNCTION("""COMPUTED_VALUE"""),2.0)</f>
        <v>2</v>
      </c>
      <c r="M7471" s="4" t="str">
        <f>IFERROR(__xludf.DUMMYFUNCTION("""COMPUTED_VALUE"""),"null")</f>
        <v>null</v>
      </c>
      <c r="N7471" s="33">
        <f>IFERROR(__xludf.DUMMYFUNCTION("""COMPUTED_VALUE"""),0.5)</f>
        <v>0.5</v>
      </c>
      <c r="O7471" s="4" t="str">
        <f>IFERROR(__xludf.DUMMYFUNCTION("""COMPUTED_VALUE"""),"null")</f>
        <v>null</v>
      </c>
      <c r="P7471" s="33">
        <f>IFERROR(__xludf.DUMMYFUNCTION("""COMPUTED_VALUE"""),0.5)</f>
        <v>0.5</v>
      </c>
      <c r="Q7471" s="4" t="str">
        <f>IFERROR(__xludf.DUMMYFUNCTION("""COMPUTED_VALUE"""),"null")</f>
        <v>null</v>
      </c>
      <c r="R7471" s="33">
        <f>IFERROR(__xludf.DUMMYFUNCTION("""COMPUTED_VALUE"""),0.5)</f>
        <v>0.5</v>
      </c>
      <c r="S7471" s="4" t="str">
        <f>IFERROR(__xludf.DUMMYFUNCTION("""COMPUTED_VALUE"""),"Cardápio Web")</f>
        <v>Cardápio Web</v>
      </c>
      <c r="T7471" s="33">
        <f>IFERROR(__xludf.DUMMYFUNCTION("""COMPUTED_VALUE"""),1.0)</f>
        <v>1</v>
      </c>
      <c r="U7471" s="4" t="str">
        <f>IFERROR(__xludf.DUMMYFUNCTION("""COMPUTED_VALUE"""),"Cardápio Web")</f>
        <v>Cardápio Web</v>
      </c>
      <c r="V7471" s="33">
        <f>IFERROR(__xludf.DUMMYFUNCTION("""COMPUTED_VALUE"""),1.0)</f>
        <v>1</v>
      </c>
      <c r="W7471" s="4" t="str">
        <f>IFERROR(__xludf.DUMMYFUNCTION("""COMPUTED_VALUE"""),"Cardápio Web")</f>
        <v>Cardápio Web</v>
      </c>
      <c r="X7471" s="33">
        <f>IFERROR(__xludf.DUMMYFUNCTION("""COMPUTED_VALUE"""),1.0)</f>
        <v>1</v>
      </c>
    </row>
    <row r="7472">
      <c r="K7472" s="4" t="str">
        <f>IFERROR(__xludf.DUMMYFUNCTION("""COMPUTED_VALUE"""),"MEXICANTO")</f>
        <v>MEXICANTO</v>
      </c>
      <c r="L7472" s="32">
        <f>IFERROR(__xludf.DUMMYFUNCTION("""COMPUTED_VALUE"""),2.0)</f>
        <v>2</v>
      </c>
      <c r="M7472" s="4" t="str">
        <f>IFERROR(__xludf.DUMMYFUNCTION("""COMPUTED_VALUE"""),"Saipos Serviços De Software")</f>
        <v>Saipos Serviços De Software</v>
      </c>
      <c r="N7472" s="33">
        <f>IFERROR(__xludf.DUMMYFUNCTION("""COMPUTED_VALUE"""),0.5)</f>
        <v>0.5</v>
      </c>
      <c r="O7472" s="4" t="str">
        <f>IFERROR(__xludf.DUMMYFUNCTION("""COMPUTED_VALUE"""),"Saipos Serviços De Software")</f>
        <v>Saipos Serviços De Software</v>
      </c>
      <c r="P7472" s="33">
        <f>IFERROR(__xludf.DUMMYFUNCTION("""COMPUTED_VALUE"""),0.5)</f>
        <v>0.5</v>
      </c>
      <c r="Q7472" s="4" t="str">
        <f>IFERROR(__xludf.DUMMYFUNCTION("""COMPUTED_VALUE"""),"Saipos Serviços De Software")</f>
        <v>Saipos Serviços De Software</v>
      </c>
      <c r="R7472" s="33">
        <f>IFERROR(__xludf.DUMMYFUNCTION("""COMPUTED_VALUE"""),0.5)</f>
        <v>0.5</v>
      </c>
      <c r="S7472" s="4" t="str">
        <f>IFERROR(__xludf.DUMMYFUNCTION("""COMPUTED_VALUE"""),"Saipos Serviços De Software")</f>
        <v>Saipos Serviços De Software</v>
      </c>
      <c r="T7472" s="33">
        <f>IFERROR(__xludf.DUMMYFUNCTION("""COMPUTED_VALUE"""),0.5)</f>
        <v>0.5</v>
      </c>
      <c r="U7472" s="4" t="str">
        <f>IFERROR(__xludf.DUMMYFUNCTION("""COMPUTED_VALUE"""),"Saipos Serviços De Software")</f>
        <v>Saipos Serviços De Software</v>
      </c>
      <c r="V7472" s="33">
        <f>IFERROR(__xludf.DUMMYFUNCTION("""COMPUTED_VALUE"""),0.5)</f>
        <v>0.5</v>
      </c>
      <c r="W7472" s="4" t="str">
        <f>IFERROR(__xludf.DUMMYFUNCTION("""COMPUTED_VALUE"""),"Saipos Serviços De Software")</f>
        <v>Saipos Serviços De Software</v>
      </c>
      <c r="X7472" s="33">
        <f>IFERROR(__xludf.DUMMYFUNCTION("""COMPUTED_VALUE"""),0.5)</f>
        <v>0.5</v>
      </c>
    </row>
    <row r="7473">
      <c r="K7473" s="4" t="str">
        <f>IFERROR(__xludf.DUMMYFUNCTION("""COMPUTED_VALUE"""),"MEZI DROGARIAS - CONTA PAI")</f>
        <v>MEZI DROGARIAS - CONTA PAI</v>
      </c>
      <c r="L7473" s="32">
        <f>IFERROR(__xludf.DUMMYFUNCTION("""COMPUTED_VALUE"""),2.0)</f>
        <v>2</v>
      </c>
      <c r="M7473" s="4" t="str">
        <f>IFERROR(__xludf.DUMMYFUNCTION("""COMPUTED_VALUE"""),"N/A (Not found)")</f>
        <v>N/A (Not found)</v>
      </c>
      <c r="N7473" s="33">
        <f>IFERROR(__xludf.DUMMYFUNCTION("""COMPUTED_VALUE"""),0.5)</f>
        <v>0.5</v>
      </c>
      <c r="O7473" s="4" t="str">
        <f>IFERROR(__xludf.DUMMYFUNCTION("""COMPUTED_VALUE"""),"N/A (Not found)")</f>
        <v>N/A (Not found)</v>
      </c>
      <c r="P7473" s="33">
        <f>IFERROR(__xludf.DUMMYFUNCTION("""COMPUTED_VALUE"""),0.5)</f>
        <v>0.5</v>
      </c>
      <c r="Q7473" s="4" t="str">
        <f>IFERROR(__xludf.DUMMYFUNCTION("""COMPUTED_VALUE"""),"N/A (Not found)")</f>
        <v>N/A (Not found)</v>
      </c>
      <c r="R7473" s="33">
        <f>IFERROR(__xludf.DUMMYFUNCTION("""COMPUTED_VALUE"""),0.5)</f>
        <v>0.5</v>
      </c>
      <c r="S7473" s="4" t="str">
        <f>IFERROR(__xludf.DUMMYFUNCTION("""COMPUTED_VALUE"""),"N/A (Not found)")</f>
        <v>N/A (Not found)</v>
      </c>
      <c r="T7473" s="33">
        <f>IFERROR(__xludf.DUMMYFUNCTION("""COMPUTED_VALUE"""),1.0)</f>
        <v>1</v>
      </c>
      <c r="U7473" s="4" t="str">
        <f>IFERROR(__xludf.DUMMYFUNCTION("""COMPUTED_VALUE"""),"N/A (Not found)")</f>
        <v>N/A (Not found)</v>
      </c>
      <c r="V7473" s="33">
        <f>IFERROR(__xludf.DUMMYFUNCTION("""COMPUTED_VALUE"""),1.0)</f>
        <v>1</v>
      </c>
      <c r="W7473" s="4" t="str">
        <f>IFERROR(__xludf.DUMMYFUNCTION("""COMPUTED_VALUE"""),"N/A (Not found)")</f>
        <v>N/A (Not found)</v>
      </c>
      <c r="X7473" s="33">
        <f>IFERROR(__xludf.DUMMYFUNCTION("""COMPUTED_VALUE"""),1.0)</f>
        <v>1</v>
      </c>
    </row>
    <row r="7474">
      <c r="K7474" s="4" t="str">
        <f>IFERROR(__xludf.DUMMYFUNCTION("""COMPUTED_VALUE"""),"MI POKE HAWAIIAN FOOD")</f>
        <v>MI POKE HAWAIIAN FOOD</v>
      </c>
      <c r="L7474" s="32">
        <f>IFERROR(__xludf.DUMMYFUNCTION("""COMPUTED_VALUE"""),2.0)</f>
        <v>2</v>
      </c>
      <c r="M7474" s="4" t="str">
        <f>IFERROR(__xludf.DUMMYFUNCTION("""COMPUTED_VALUE"""),"Saipos Serviços De Software")</f>
        <v>Saipos Serviços De Software</v>
      </c>
      <c r="N7474" s="33">
        <f>IFERROR(__xludf.DUMMYFUNCTION("""COMPUTED_VALUE"""),0.5)</f>
        <v>0.5</v>
      </c>
      <c r="O7474" s="4" t="str">
        <f>IFERROR(__xludf.DUMMYFUNCTION("""COMPUTED_VALUE"""),"Yooga")</f>
        <v>Yooga</v>
      </c>
      <c r="P7474" s="33">
        <f>IFERROR(__xludf.DUMMYFUNCTION("""COMPUTED_VALUE"""),0.5)</f>
        <v>0.5</v>
      </c>
      <c r="Q7474" s="4" t="str">
        <f>IFERROR(__xludf.DUMMYFUNCTION("""COMPUTED_VALUE"""),"Yooga")</f>
        <v>Yooga</v>
      </c>
      <c r="R7474" s="33">
        <f>IFERROR(__xludf.DUMMYFUNCTION("""COMPUTED_VALUE"""),0.5)</f>
        <v>0.5</v>
      </c>
      <c r="S7474" s="4" t="str">
        <f>IFERROR(__xludf.DUMMYFUNCTION("""COMPUTED_VALUE"""),"Yooga")</f>
        <v>Yooga</v>
      </c>
      <c r="T7474" s="33">
        <f>IFERROR(__xludf.DUMMYFUNCTION("""COMPUTED_VALUE"""),0.5)</f>
        <v>0.5</v>
      </c>
      <c r="U7474" s="4" t="str">
        <f>IFERROR(__xludf.DUMMYFUNCTION("""COMPUTED_VALUE"""),"null")</f>
        <v>null</v>
      </c>
      <c r="V7474" s="33">
        <f>IFERROR(__xludf.DUMMYFUNCTION("""COMPUTED_VALUE"""),0.5)</f>
        <v>0.5</v>
      </c>
      <c r="W7474" s="4" t="str">
        <f>IFERROR(__xludf.DUMMYFUNCTION("""COMPUTED_VALUE"""),"null")</f>
        <v>null</v>
      </c>
      <c r="X7474" s="33">
        <f>IFERROR(__xludf.DUMMYFUNCTION("""COMPUTED_VALUE"""),0.5)</f>
        <v>0.5</v>
      </c>
    </row>
    <row r="7475">
      <c r="K7475" s="4" t="str">
        <f>IFERROR(__xludf.DUMMYFUNCTION("""COMPUTED_VALUE"""),"MILK MELLOW - CONTA MARCA")</f>
        <v>MILK MELLOW - CONTA MARCA</v>
      </c>
      <c r="L7475" s="32">
        <f>IFERROR(__xludf.DUMMYFUNCTION("""COMPUTED_VALUE"""),2.0)</f>
        <v>2</v>
      </c>
      <c r="M7475" s="4" t="str">
        <f>IFERROR(__xludf.DUMMYFUNCTION("""COMPUTED_VALUE"""),"Ncr")</f>
        <v>Ncr</v>
      </c>
      <c r="N7475" s="33">
        <f>IFERROR(__xludf.DUMMYFUNCTION("""COMPUTED_VALUE"""),1.0)</f>
        <v>1</v>
      </c>
      <c r="O7475" s="4" t="str">
        <f>IFERROR(__xludf.DUMMYFUNCTION("""COMPUTED_VALUE"""),"Ncr")</f>
        <v>Ncr</v>
      </c>
      <c r="P7475" s="33">
        <f>IFERROR(__xludf.DUMMYFUNCTION("""COMPUTED_VALUE"""),1.0)</f>
        <v>1</v>
      </c>
      <c r="Q7475" s="4" t="str">
        <f>IFERROR(__xludf.DUMMYFUNCTION("""COMPUTED_VALUE"""),"Ncr")</f>
        <v>Ncr</v>
      </c>
      <c r="R7475" s="33">
        <f>IFERROR(__xludf.DUMMYFUNCTION("""COMPUTED_VALUE"""),1.0)</f>
        <v>1</v>
      </c>
      <c r="S7475" s="4" t="str">
        <f>IFERROR(__xludf.DUMMYFUNCTION("""COMPUTED_VALUE"""),"Ncr")</f>
        <v>Ncr</v>
      </c>
      <c r="T7475" s="33">
        <f>IFERROR(__xludf.DUMMYFUNCTION("""COMPUTED_VALUE"""),1.0)</f>
        <v>1</v>
      </c>
      <c r="U7475" s="4" t="str">
        <f>IFERROR(__xludf.DUMMYFUNCTION("""COMPUTED_VALUE"""),"Ncr")</f>
        <v>Ncr</v>
      </c>
      <c r="V7475" s="33">
        <f>IFERROR(__xludf.DUMMYFUNCTION("""COMPUTED_VALUE"""),1.0)</f>
        <v>1</v>
      </c>
      <c r="W7475" s="4" t="str">
        <f>IFERROR(__xludf.DUMMYFUNCTION("""COMPUTED_VALUE"""),"Ncr")</f>
        <v>Ncr</v>
      </c>
      <c r="X7475" s="33">
        <f>IFERROR(__xludf.DUMMYFUNCTION("""COMPUTED_VALUE"""),1.0)</f>
        <v>1</v>
      </c>
    </row>
    <row r="7476">
      <c r="K7476" s="4" t="str">
        <f>IFERROR(__xludf.DUMMYFUNCTION("""COMPUTED_VALUE"""),"MIMALU SC - CONTA MARCA")</f>
        <v>MIMALU SC - CONTA MARCA</v>
      </c>
      <c r="L7476" s="32">
        <f>IFERROR(__xludf.DUMMYFUNCTION("""COMPUTED_VALUE"""),2.0)</f>
        <v>2</v>
      </c>
      <c r="M7476" s="4" t="str">
        <f>IFERROR(__xludf.DUMMYFUNCTION("""COMPUTED_VALUE"""),"Saipos Serviços De Software")</f>
        <v>Saipos Serviços De Software</v>
      </c>
      <c r="N7476" s="33">
        <f>IFERROR(__xludf.DUMMYFUNCTION("""COMPUTED_VALUE"""),1.0)</f>
        <v>1</v>
      </c>
      <c r="O7476" s="4" t="str">
        <f>IFERROR(__xludf.DUMMYFUNCTION("""COMPUTED_VALUE"""),"Saipos Serviços De Software")</f>
        <v>Saipos Serviços De Software</v>
      </c>
      <c r="P7476" s="33">
        <f>IFERROR(__xludf.DUMMYFUNCTION("""COMPUTED_VALUE"""),1.0)</f>
        <v>1</v>
      </c>
      <c r="Q7476" s="4" t="str">
        <f>IFERROR(__xludf.DUMMYFUNCTION("""COMPUTED_VALUE"""),"Saipos Serviços De Software")</f>
        <v>Saipos Serviços De Software</v>
      </c>
      <c r="R7476" s="33">
        <f>IFERROR(__xludf.DUMMYFUNCTION("""COMPUTED_VALUE"""),1.0)</f>
        <v>1</v>
      </c>
      <c r="S7476" s="4" t="str">
        <f>IFERROR(__xludf.DUMMYFUNCTION("""COMPUTED_VALUE"""),"Saipos Serviços De Software")</f>
        <v>Saipos Serviços De Software</v>
      </c>
      <c r="T7476" s="33">
        <f>IFERROR(__xludf.DUMMYFUNCTION("""COMPUTED_VALUE"""),1.0)</f>
        <v>1</v>
      </c>
      <c r="U7476" s="4" t="str">
        <f>IFERROR(__xludf.DUMMYFUNCTION("""COMPUTED_VALUE"""),"Saipos Serviços De Software")</f>
        <v>Saipos Serviços De Software</v>
      </c>
      <c r="V7476" s="33">
        <f>IFERROR(__xludf.DUMMYFUNCTION("""COMPUTED_VALUE"""),1.0)</f>
        <v>1</v>
      </c>
      <c r="W7476" s="4" t="str">
        <f>IFERROR(__xludf.DUMMYFUNCTION("""COMPUTED_VALUE"""),"Saipos Serviços De Software")</f>
        <v>Saipos Serviços De Software</v>
      </c>
      <c r="X7476" s="33">
        <f>IFERROR(__xludf.DUMMYFUNCTION("""COMPUTED_VALUE"""),1.0)</f>
        <v>1</v>
      </c>
    </row>
    <row r="7477">
      <c r="K7477" s="4" t="str">
        <f>IFERROR(__xludf.DUMMYFUNCTION("""COMPUTED_VALUE"""),"MINI COXINHAS CASCAVEL")</f>
        <v>MINI COXINHAS CASCAVEL</v>
      </c>
      <c r="L7477" s="32">
        <f>IFERROR(__xludf.DUMMYFUNCTION("""COMPUTED_VALUE"""),2.0)</f>
        <v>2</v>
      </c>
      <c r="M7477" s="4" t="str">
        <f>IFERROR(__xludf.DUMMYFUNCTION("""COMPUTED_VALUE"""),"null")</f>
        <v>null</v>
      </c>
      <c r="N7477" s="33">
        <f>IFERROR(__xludf.DUMMYFUNCTION("""COMPUTED_VALUE"""),0.5)</f>
        <v>0.5</v>
      </c>
      <c r="O7477" s="4" t="str">
        <f>IFERROR(__xludf.DUMMYFUNCTION("""COMPUTED_VALUE"""),"Grandchef Desenvolvimento De Sistemas Ltda")</f>
        <v>Grandchef Desenvolvimento De Sistemas Ltda</v>
      </c>
      <c r="P7477" s="33">
        <f>IFERROR(__xludf.DUMMYFUNCTION("""COMPUTED_VALUE"""),1.0)</f>
        <v>1</v>
      </c>
      <c r="Q7477" s="4" t="str">
        <f>IFERROR(__xludf.DUMMYFUNCTION("""COMPUTED_VALUE"""),"Grandchef Desenvolvimento De Sistemas Ltda")</f>
        <v>Grandchef Desenvolvimento De Sistemas Ltda</v>
      </c>
      <c r="R7477" s="33">
        <f>IFERROR(__xludf.DUMMYFUNCTION("""COMPUTED_VALUE"""),1.0)</f>
        <v>1</v>
      </c>
      <c r="S7477" s="4" t="str">
        <f>IFERROR(__xludf.DUMMYFUNCTION("""COMPUTED_VALUE"""),"Grandchef Desenvolvimento De Sistemas Ltda")</f>
        <v>Grandchef Desenvolvimento De Sistemas Ltda</v>
      </c>
      <c r="T7477" s="33">
        <f>IFERROR(__xludf.DUMMYFUNCTION("""COMPUTED_VALUE"""),1.0)</f>
        <v>1</v>
      </c>
      <c r="U7477" s="4" t="str">
        <f>IFERROR(__xludf.DUMMYFUNCTION("""COMPUTED_VALUE"""),"null")</f>
        <v>null</v>
      </c>
      <c r="V7477" s="33">
        <f>IFERROR(__xludf.DUMMYFUNCTION("""COMPUTED_VALUE"""),1.0)</f>
        <v>1</v>
      </c>
      <c r="W7477" s="4" t="str">
        <f>IFERROR(__xludf.DUMMYFUNCTION("""COMPUTED_VALUE"""),"Grandchef Desenvolvimento De Sistemas Ltda")</f>
        <v>Grandchef Desenvolvimento De Sistemas Ltda</v>
      </c>
      <c r="X7477" s="33">
        <f>IFERROR(__xludf.DUMMYFUNCTION("""COMPUTED_VALUE"""),1.0)</f>
        <v>1</v>
      </c>
    </row>
    <row r="7478">
      <c r="K7478" s="4" t="str">
        <f>IFERROR(__xludf.DUMMYFUNCTION("""COMPUTED_VALUE"""),"MINISTRO BURGUER - JOINVILLE - CONTA MARCA")</f>
        <v>MINISTRO BURGUER - JOINVILLE - CONTA MARCA</v>
      </c>
      <c r="L7478" s="32">
        <f>IFERROR(__xludf.DUMMYFUNCTION("""COMPUTED_VALUE"""),2.0)</f>
        <v>2</v>
      </c>
      <c r="M7478" s="4" t="str">
        <f>IFERROR(__xludf.DUMMYFUNCTION("""COMPUTED_VALUE"""),"Mp Multipedidos")</f>
        <v>Mp Multipedidos</v>
      </c>
      <c r="N7478" s="33">
        <f>IFERROR(__xludf.DUMMYFUNCTION("""COMPUTED_VALUE"""),0.5)</f>
        <v>0.5</v>
      </c>
      <c r="O7478" s="4" t="str">
        <f>IFERROR(__xludf.DUMMYFUNCTION("""COMPUTED_VALUE"""),"Mp Multipedidos")</f>
        <v>Mp Multipedidos</v>
      </c>
      <c r="P7478" s="33">
        <f>IFERROR(__xludf.DUMMYFUNCTION("""COMPUTED_VALUE"""),0.5)</f>
        <v>0.5</v>
      </c>
      <c r="Q7478" s="4" t="str">
        <f>IFERROR(__xludf.DUMMYFUNCTION("""COMPUTED_VALUE"""),"Mp Multipedidos")</f>
        <v>Mp Multipedidos</v>
      </c>
      <c r="R7478" s="33">
        <f>IFERROR(__xludf.DUMMYFUNCTION("""COMPUTED_VALUE"""),0.5)</f>
        <v>0.5</v>
      </c>
      <c r="S7478" s="4" t="str">
        <f>IFERROR(__xludf.DUMMYFUNCTION("""COMPUTED_VALUE"""),"Mp Multipedidos")</f>
        <v>Mp Multipedidos</v>
      </c>
      <c r="T7478" s="33">
        <f>IFERROR(__xludf.DUMMYFUNCTION("""COMPUTED_VALUE"""),0.5)</f>
        <v>0.5</v>
      </c>
      <c r="U7478" s="4" t="str">
        <f>IFERROR(__xludf.DUMMYFUNCTION("""COMPUTED_VALUE"""),"Mp Multipedidos")</f>
        <v>Mp Multipedidos</v>
      </c>
      <c r="V7478" s="33">
        <f>IFERROR(__xludf.DUMMYFUNCTION("""COMPUTED_VALUE"""),1.0)</f>
        <v>1</v>
      </c>
      <c r="W7478" s="4" t="str">
        <f>IFERROR(__xludf.DUMMYFUNCTION("""COMPUTED_VALUE"""),"Mp Multipedidos")</f>
        <v>Mp Multipedidos</v>
      </c>
      <c r="X7478" s="33">
        <f>IFERROR(__xludf.DUMMYFUNCTION("""COMPUTED_VALUE"""),0.5)</f>
        <v>0.5</v>
      </c>
    </row>
    <row r="7479">
      <c r="K7479" s="4" t="str">
        <f>IFERROR(__xludf.DUMMYFUNCTION("""COMPUTED_VALUE"""),"MIO BELLO PIZZARIA")</f>
        <v>MIO BELLO PIZZARIA</v>
      </c>
      <c r="L7479" s="32">
        <f>IFERROR(__xludf.DUMMYFUNCTION("""COMPUTED_VALUE"""),2.0)</f>
        <v>2</v>
      </c>
      <c r="M7479" s="4" t="str">
        <f>IFERROR(__xludf.DUMMYFUNCTION("""COMPUTED_VALUE"""),"Expresso Delivery")</f>
        <v>Expresso Delivery</v>
      </c>
      <c r="N7479" s="33">
        <f>IFERROR(__xludf.DUMMYFUNCTION("""COMPUTED_VALUE"""),1.0)</f>
        <v>1</v>
      </c>
      <c r="O7479" s="4" t="str">
        <f>IFERROR(__xludf.DUMMYFUNCTION("""COMPUTED_VALUE"""),"Expresso Delivery")</f>
        <v>Expresso Delivery</v>
      </c>
      <c r="P7479" s="33">
        <f>IFERROR(__xludf.DUMMYFUNCTION("""COMPUTED_VALUE"""),1.0)</f>
        <v>1</v>
      </c>
      <c r="Q7479" s="4" t="str">
        <f>IFERROR(__xludf.DUMMYFUNCTION("""COMPUTED_VALUE"""),"Expresso Delivery")</f>
        <v>Expresso Delivery</v>
      </c>
      <c r="R7479" s="33">
        <f>IFERROR(__xludf.DUMMYFUNCTION("""COMPUTED_VALUE"""),1.0)</f>
        <v>1</v>
      </c>
      <c r="S7479" s="4" t="str">
        <f>IFERROR(__xludf.DUMMYFUNCTION("""COMPUTED_VALUE"""),"Expresso Delivery")</f>
        <v>Expresso Delivery</v>
      </c>
      <c r="T7479" s="33">
        <f>IFERROR(__xludf.DUMMYFUNCTION("""COMPUTED_VALUE"""),0.5)</f>
        <v>0.5</v>
      </c>
      <c r="U7479" s="4" t="str">
        <f>IFERROR(__xludf.DUMMYFUNCTION("""COMPUTED_VALUE"""),"null")</f>
        <v>null</v>
      </c>
      <c r="V7479" s="33">
        <f>IFERROR(__xludf.DUMMYFUNCTION("""COMPUTED_VALUE"""),0.5)</f>
        <v>0.5</v>
      </c>
      <c r="W7479" s="4" t="str">
        <f>IFERROR(__xludf.DUMMYFUNCTION("""COMPUTED_VALUE"""),"Expresso Delivery")</f>
        <v>Expresso Delivery</v>
      </c>
      <c r="X7479" s="33">
        <f>IFERROR(__xludf.DUMMYFUNCTION("""COMPUTED_VALUE"""),1.0)</f>
        <v>1</v>
      </c>
    </row>
    <row r="7480">
      <c r="K7480" s="4" t="str">
        <f>IFERROR(__xludf.DUMMYFUNCTION("""COMPUTED_VALUE"""),"MIRAI YAKISSOBATERIA DELIVERY")</f>
        <v>MIRAI YAKISSOBATERIA DELIVERY</v>
      </c>
      <c r="L7480" s="32">
        <f>IFERROR(__xludf.DUMMYFUNCTION("""COMPUTED_VALUE"""),2.0)</f>
        <v>2</v>
      </c>
      <c r="M7480" s="4" t="str">
        <f>IFERROR(__xludf.DUMMYFUNCTION("""COMPUTED_VALUE"""),"Expresso Delivery")</f>
        <v>Expresso Delivery</v>
      </c>
      <c r="N7480" s="33">
        <f>IFERROR(__xludf.DUMMYFUNCTION("""COMPUTED_VALUE"""),0.5)</f>
        <v>0.5</v>
      </c>
      <c r="O7480" s="4" t="str">
        <f>IFERROR(__xludf.DUMMYFUNCTION("""COMPUTED_VALUE"""),"Expresso Delivery")</f>
        <v>Expresso Delivery</v>
      </c>
      <c r="P7480" s="33">
        <f>IFERROR(__xludf.DUMMYFUNCTION("""COMPUTED_VALUE"""),0.5)</f>
        <v>0.5</v>
      </c>
      <c r="Q7480" s="4" t="str">
        <f>IFERROR(__xludf.DUMMYFUNCTION("""COMPUTED_VALUE"""),"Expresso Delivery")</f>
        <v>Expresso Delivery</v>
      </c>
      <c r="R7480" s="33">
        <f>IFERROR(__xludf.DUMMYFUNCTION("""COMPUTED_VALUE"""),0.5)</f>
        <v>0.5</v>
      </c>
      <c r="S7480" s="4" t="str">
        <f>IFERROR(__xludf.DUMMYFUNCTION("""COMPUTED_VALUE"""),"Expresso Delivery")</f>
        <v>Expresso Delivery</v>
      </c>
      <c r="T7480" s="33">
        <f>IFERROR(__xludf.DUMMYFUNCTION("""COMPUTED_VALUE"""),0.5)</f>
        <v>0.5</v>
      </c>
      <c r="U7480" s="4" t="str">
        <f>IFERROR(__xludf.DUMMYFUNCTION("""COMPUTED_VALUE"""),"Expresso Delivery")</f>
        <v>Expresso Delivery</v>
      </c>
      <c r="V7480" s="33">
        <f>IFERROR(__xludf.DUMMYFUNCTION("""COMPUTED_VALUE"""),0.5)</f>
        <v>0.5</v>
      </c>
      <c r="W7480" s="4" t="str">
        <f>IFERROR(__xludf.DUMMYFUNCTION("""COMPUTED_VALUE"""),"Expresso Delivery")</f>
        <v>Expresso Delivery</v>
      </c>
      <c r="X7480" s="33">
        <f>IFERROR(__xludf.DUMMYFUNCTION("""COMPUTED_VALUE"""),0.5)</f>
        <v>0.5</v>
      </c>
    </row>
    <row r="7481">
      <c r="K7481" s="4" t="str">
        <f>IFERROR(__xludf.DUMMYFUNCTION("""COMPUTED_VALUE"""),"MIRAS PIZZARIA - CP")</f>
        <v>MIRAS PIZZARIA - CP</v>
      </c>
      <c r="L7481" s="32">
        <f>IFERROR(__xludf.DUMMYFUNCTION("""COMPUTED_VALUE"""),2.0)</f>
        <v>2</v>
      </c>
      <c r="M7481" s="4" t="str">
        <f>IFERROR(__xludf.DUMMYFUNCTION("""COMPUTED_VALUE"""),"Expresso Delivery")</f>
        <v>Expresso Delivery</v>
      </c>
      <c r="N7481" s="33">
        <f>IFERROR(__xludf.DUMMYFUNCTION("""COMPUTED_VALUE"""),1.0)</f>
        <v>1</v>
      </c>
      <c r="O7481" s="4" t="str">
        <f>IFERROR(__xludf.DUMMYFUNCTION("""COMPUTED_VALUE"""),"Expresso Delivery")</f>
        <v>Expresso Delivery</v>
      </c>
      <c r="P7481" s="33">
        <f>IFERROR(__xludf.DUMMYFUNCTION("""COMPUTED_VALUE"""),1.0)</f>
        <v>1</v>
      </c>
      <c r="Q7481" s="4" t="str">
        <f>IFERROR(__xludf.DUMMYFUNCTION("""COMPUTED_VALUE"""),"Expresso Delivery")</f>
        <v>Expresso Delivery</v>
      </c>
      <c r="R7481" s="33">
        <f>IFERROR(__xludf.DUMMYFUNCTION("""COMPUTED_VALUE"""),1.0)</f>
        <v>1</v>
      </c>
      <c r="S7481" s="4" t="str">
        <f>IFERROR(__xludf.DUMMYFUNCTION("""COMPUTED_VALUE"""),"Expresso Delivery")</f>
        <v>Expresso Delivery</v>
      </c>
      <c r="T7481" s="33">
        <f>IFERROR(__xludf.DUMMYFUNCTION("""COMPUTED_VALUE"""),1.0)</f>
        <v>1</v>
      </c>
      <c r="U7481" s="4" t="str">
        <f>IFERROR(__xludf.DUMMYFUNCTION("""COMPUTED_VALUE"""),"Expresso Delivery")</f>
        <v>Expresso Delivery</v>
      </c>
      <c r="V7481" s="33">
        <f>IFERROR(__xludf.DUMMYFUNCTION("""COMPUTED_VALUE"""),1.0)</f>
        <v>1</v>
      </c>
      <c r="W7481" s="4" t="str">
        <f>IFERROR(__xludf.DUMMYFUNCTION("""COMPUTED_VALUE"""),"Expresso Delivery")</f>
        <v>Expresso Delivery</v>
      </c>
      <c r="X7481" s="33">
        <f>IFERROR(__xludf.DUMMYFUNCTION("""COMPUTED_VALUE"""),1.0)</f>
        <v>1</v>
      </c>
    </row>
    <row r="7482">
      <c r="K7482" s="4" t="str">
        <f>IFERROR(__xludf.DUMMYFUNCTION("""COMPUTED_VALUE"""),"MISO SUSHI BAR")</f>
        <v>MISO SUSHI BAR</v>
      </c>
      <c r="L7482" s="32">
        <f>IFERROR(__xludf.DUMMYFUNCTION("""COMPUTED_VALUE"""),2.0)</f>
        <v>2</v>
      </c>
      <c r="M7482" s="4" t="str">
        <f>IFERROR(__xludf.DUMMYFUNCTION("""COMPUTED_VALUE"""),"Bitbar")</f>
        <v>Bitbar</v>
      </c>
      <c r="N7482" s="33">
        <f>IFERROR(__xludf.DUMMYFUNCTION("""COMPUTED_VALUE"""),1.0)</f>
        <v>1</v>
      </c>
      <c r="O7482" s="4" t="str">
        <f>IFERROR(__xludf.DUMMYFUNCTION("""COMPUTED_VALUE"""),"Bitbar")</f>
        <v>Bitbar</v>
      </c>
      <c r="P7482" s="33">
        <f>IFERROR(__xludf.DUMMYFUNCTION("""COMPUTED_VALUE"""),1.0)</f>
        <v>1</v>
      </c>
      <c r="Q7482" s="4" t="str">
        <f>IFERROR(__xludf.DUMMYFUNCTION("""COMPUTED_VALUE"""),"Bitbar")</f>
        <v>Bitbar</v>
      </c>
      <c r="R7482" s="33">
        <f>IFERROR(__xludf.DUMMYFUNCTION("""COMPUTED_VALUE"""),1.0)</f>
        <v>1</v>
      </c>
      <c r="S7482" s="4" t="str">
        <f>IFERROR(__xludf.DUMMYFUNCTION("""COMPUTED_VALUE"""),"Bitbar")</f>
        <v>Bitbar</v>
      </c>
      <c r="T7482" s="33">
        <f>IFERROR(__xludf.DUMMYFUNCTION("""COMPUTED_VALUE"""),1.0)</f>
        <v>1</v>
      </c>
      <c r="U7482" s="4" t="str">
        <f>IFERROR(__xludf.DUMMYFUNCTION("""COMPUTED_VALUE"""),"Bitbar")</f>
        <v>Bitbar</v>
      </c>
      <c r="V7482" s="33">
        <f>IFERROR(__xludf.DUMMYFUNCTION("""COMPUTED_VALUE"""),1.0)</f>
        <v>1</v>
      </c>
      <c r="W7482" s="4" t="str">
        <f>IFERROR(__xludf.DUMMYFUNCTION("""COMPUTED_VALUE"""),"Bitbar")</f>
        <v>Bitbar</v>
      </c>
      <c r="X7482" s="33">
        <f>IFERROR(__xludf.DUMMYFUNCTION("""COMPUTED_VALUE"""),1.0)</f>
        <v>1</v>
      </c>
    </row>
    <row r="7483">
      <c r="K7483" s="4" t="str">
        <f>IFERROR(__xludf.DUMMYFUNCTION("""COMPUTED_VALUE"""),"MISTER FRANGO")</f>
        <v>MISTER FRANGO</v>
      </c>
      <c r="L7483" s="32">
        <f>IFERROR(__xludf.DUMMYFUNCTION("""COMPUTED_VALUE"""),2.0)</f>
        <v>2</v>
      </c>
      <c r="M7483" s="4" t="str">
        <f>IFERROR(__xludf.DUMMYFUNCTION("""COMPUTED_VALUE"""),"null")</f>
        <v>null</v>
      </c>
      <c r="N7483" s="33">
        <f>IFERROR(__xludf.DUMMYFUNCTION("""COMPUTED_VALUE"""),0.5)</f>
        <v>0.5</v>
      </c>
      <c r="O7483" s="4" t="str">
        <f>IFERROR(__xludf.DUMMYFUNCTION("""COMPUTED_VALUE"""),"Cardápio Web")</f>
        <v>Cardápio Web</v>
      </c>
      <c r="P7483" s="33">
        <f>IFERROR(__xludf.DUMMYFUNCTION("""COMPUTED_VALUE"""),1.0)</f>
        <v>1</v>
      </c>
      <c r="Q7483" s="4" t="str">
        <f>IFERROR(__xludf.DUMMYFUNCTION("""COMPUTED_VALUE"""),"Cardápio Web")</f>
        <v>Cardápio Web</v>
      </c>
      <c r="R7483" s="33">
        <f>IFERROR(__xludf.DUMMYFUNCTION("""COMPUTED_VALUE"""),1.0)</f>
        <v>1</v>
      </c>
      <c r="S7483" s="4" t="str">
        <f>IFERROR(__xludf.DUMMYFUNCTION("""COMPUTED_VALUE"""),"Cardápio Web")</f>
        <v>Cardápio Web</v>
      </c>
      <c r="T7483" s="33">
        <f>IFERROR(__xludf.DUMMYFUNCTION("""COMPUTED_VALUE"""),1.0)</f>
        <v>1</v>
      </c>
      <c r="U7483" s="4" t="str">
        <f>IFERROR(__xludf.DUMMYFUNCTION("""COMPUTED_VALUE"""),"Cardápio Web")</f>
        <v>Cardápio Web</v>
      </c>
      <c r="V7483" s="33">
        <f>IFERROR(__xludf.DUMMYFUNCTION("""COMPUTED_VALUE"""),1.0)</f>
        <v>1</v>
      </c>
      <c r="W7483" s="4" t="str">
        <f>IFERROR(__xludf.DUMMYFUNCTION("""COMPUTED_VALUE"""),"Cardápio Web")</f>
        <v>Cardápio Web</v>
      </c>
      <c r="X7483" s="33">
        <f>IFERROR(__xludf.DUMMYFUNCTION("""COMPUTED_VALUE"""),1.0)</f>
        <v>1</v>
      </c>
    </row>
    <row r="7484">
      <c r="K7484" s="4" t="str">
        <f>IFERROR(__xludf.DUMMYFUNCTION("""COMPUTED_VALUE"""),"MISTER PIU - CONTA MARCA")</f>
        <v>MISTER PIU - CONTA MARCA</v>
      </c>
      <c r="L7484" s="32">
        <f>IFERROR(__xludf.DUMMYFUNCTION("""COMPUTED_VALUE"""),2.0)</f>
        <v>2</v>
      </c>
      <c r="M7484" s="4" t="str">
        <f>IFERROR(__xludf.DUMMYFUNCTION("""COMPUTED_VALUE"""),"Ncr")</f>
        <v>Ncr</v>
      </c>
      <c r="N7484" s="33">
        <f>IFERROR(__xludf.DUMMYFUNCTION("""COMPUTED_VALUE"""),1.0)</f>
        <v>1</v>
      </c>
      <c r="O7484" s="4" t="str">
        <f>IFERROR(__xludf.DUMMYFUNCTION("""COMPUTED_VALUE"""),"Ncr")</f>
        <v>Ncr</v>
      </c>
      <c r="P7484" s="33">
        <f>IFERROR(__xludf.DUMMYFUNCTION("""COMPUTED_VALUE"""),1.0)</f>
        <v>1</v>
      </c>
      <c r="Q7484" s="4" t="str">
        <f>IFERROR(__xludf.DUMMYFUNCTION("""COMPUTED_VALUE"""),"Ncr")</f>
        <v>Ncr</v>
      </c>
      <c r="R7484" s="33">
        <f>IFERROR(__xludf.DUMMYFUNCTION("""COMPUTED_VALUE"""),1.0)</f>
        <v>1</v>
      </c>
      <c r="S7484" s="4" t="str">
        <f>IFERROR(__xludf.DUMMYFUNCTION("""COMPUTED_VALUE"""),"Ncr")</f>
        <v>Ncr</v>
      </c>
      <c r="T7484" s="33">
        <f>IFERROR(__xludf.DUMMYFUNCTION("""COMPUTED_VALUE"""),1.0)</f>
        <v>1</v>
      </c>
      <c r="U7484" s="4" t="str">
        <f>IFERROR(__xludf.DUMMYFUNCTION("""COMPUTED_VALUE"""),"Ncr")</f>
        <v>Ncr</v>
      </c>
      <c r="V7484" s="33">
        <f>IFERROR(__xludf.DUMMYFUNCTION("""COMPUTED_VALUE"""),1.0)</f>
        <v>1</v>
      </c>
      <c r="W7484" s="4" t="str">
        <f>IFERROR(__xludf.DUMMYFUNCTION("""COMPUTED_VALUE"""),"Ncr")</f>
        <v>Ncr</v>
      </c>
      <c r="X7484" s="33">
        <f>IFERROR(__xludf.DUMMYFUNCTION("""COMPUTED_VALUE"""),1.0)</f>
        <v>1</v>
      </c>
    </row>
    <row r="7485">
      <c r="K7485" s="4" t="str">
        <f>IFERROR(__xludf.DUMMYFUNCTION("""COMPUTED_VALUE"""),"MISTER X")</f>
        <v>MISTER X</v>
      </c>
      <c r="L7485" s="32">
        <f>IFERROR(__xludf.DUMMYFUNCTION("""COMPUTED_VALUE"""),2.0)</f>
        <v>2</v>
      </c>
      <c r="M7485" s="4" t="str">
        <f>IFERROR(__xludf.DUMMYFUNCTION("""COMPUTED_VALUE"""),"Bitbar")</f>
        <v>Bitbar</v>
      </c>
      <c r="N7485" s="33">
        <f>IFERROR(__xludf.DUMMYFUNCTION("""COMPUTED_VALUE"""),0.5)</f>
        <v>0.5</v>
      </c>
      <c r="O7485" s="4" t="str">
        <f>IFERROR(__xludf.DUMMYFUNCTION("""COMPUTED_VALUE"""),"Bitbar")</f>
        <v>Bitbar</v>
      </c>
      <c r="P7485" s="33">
        <f>IFERROR(__xludf.DUMMYFUNCTION("""COMPUTED_VALUE"""),0.5)</f>
        <v>0.5</v>
      </c>
      <c r="Q7485" s="4" t="str">
        <f>IFERROR(__xludf.DUMMYFUNCTION("""COMPUTED_VALUE"""),"Bitbar")</f>
        <v>Bitbar</v>
      </c>
      <c r="R7485" s="33">
        <f>IFERROR(__xludf.DUMMYFUNCTION("""COMPUTED_VALUE"""),0.5)</f>
        <v>0.5</v>
      </c>
      <c r="S7485" s="4" t="str">
        <f>IFERROR(__xludf.DUMMYFUNCTION("""COMPUTED_VALUE"""),"Bitbar")</f>
        <v>Bitbar</v>
      </c>
      <c r="T7485" s="33">
        <f>IFERROR(__xludf.DUMMYFUNCTION("""COMPUTED_VALUE"""),0.5)</f>
        <v>0.5</v>
      </c>
      <c r="U7485" s="4" t="str">
        <f>IFERROR(__xludf.DUMMYFUNCTION("""COMPUTED_VALUE"""),"Bitbar")</f>
        <v>Bitbar</v>
      </c>
      <c r="V7485" s="33">
        <f>IFERROR(__xludf.DUMMYFUNCTION("""COMPUTED_VALUE"""),0.5)</f>
        <v>0.5</v>
      </c>
      <c r="W7485" s="4" t="str">
        <f>IFERROR(__xludf.DUMMYFUNCTION("""COMPUTED_VALUE"""),"Bitbar")</f>
        <v>Bitbar</v>
      </c>
      <c r="X7485" s="33">
        <f>IFERROR(__xludf.DUMMYFUNCTION("""COMPUTED_VALUE"""),0.5)</f>
        <v>0.5</v>
      </c>
    </row>
    <row r="7486">
      <c r="K7486" s="4" t="str">
        <f>IFERROR(__xludf.DUMMYFUNCTION("""COMPUTED_VALUE"""),"MIT RESTAURANTE BBQ")</f>
        <v>MIT RESTAURANTE BBQ</v>
      </c>
      <c r="L7486" s="32">
        <f>IFERROR(__xludf.DUMMYFUNCTION("""COMPUTED_VALUE"""),2.0)</f>
        <v>2</v>
      </c>
      <c r="M7486" s="4" t="str">
        <f>IFERROR(__xludf.DUMMYFUNCTION("""COMPUTED_VALUE"""),"Ncr")</f>
        <v>Ncr</v>
      </c>
      <c r="N7486" s="33">
        <f>IFERROR(__xludf.DUMMYFUNCTION("""COMPUTED_VALUE"""),1.0)</f>
        <v>1</v>
      </c>
      <c r="O7486" s="4" t="str">
        <f>IFERROR(__xludf.DUMMYFUNCTION("""COMPUTED_VALUE"""),"null")</f>
        <v>null</v>
      </c>
      <c r="P7486" s="33">
        <f>IFERROR(__xludf.DUMMYFUNCTION("""COMPUTED_VALUE"""),0.5)</f>
        <v>0.5</v>
      </c>
      <c r="Q7486" s="4" t="str">
        <f>IFERROR(__xludf.DUMMYFUNCTION("""COMPUTED_VALUE"""),"null")</f>
        <v>null</v>
      </c>
      <c r="R7486" s="33">
        <f>IFERROR(__xludf.DUMMYFUNCTION("""COMPUTED_VALUE"""),0.5)</f>
        <v>0.5</v>
      </c>
      <c r="S7486" s="4" t="str">
        <f>IFERROR(__xludf.DUMMYFUNCTION("""COMPUTED_VALUE"""),"null")</f>
        <v>null</v>
      </c>
      <c r="T7486" s="33">
        <f>IFERROR(__xludf.DUMMYFUNCTION("""COMPUTED_VALUE"""),0.5)</f>
        <v>0.5</v>
      </c>
      <c r="U7486" s="4" t="str">
        <f>IFERROR(__xludf.DUMMYFUNCTION("""COMPUTED_VALUE"""),"Saipos Serviços De Software")</f>
        <v>Saipos Serviços De Software</v>
      </c>
      <c r="V7486" s="33">
        <f>IFERROR(__xludf.DUMMYFUNCTION("""COMPUTED_VALUE"""),1.0)</f>
        <v>1</v>
      </c>
      <c r="W7486" s="4" t="str">
        <f>IFERROR(__xludf.DUMMYFUNCTION("""COMPUTED_VALUE"""),"null")</f>
        <v>null</v>
      </c>
      <c r="X7486" s="33">
        <f>IFERROR(__xludf.DUMMYFUNCTION("""COMPUTED_VALUE"""),0.5)</f>
        <v>0.5</v>
      </c>
    </row>
    <row r="7487">
      <c r="K7487" s="4" t="str">
        <f>IFERROR(__xludf.DUMMYFUNCTION("""COMPUTED_VALUE"""),"MITY SUSHI - CONTA PAI")</f>
        <v>MITY SUSHI - CONTA PAI</v>
      </c>
      <c r="L7487" s="32">
        <f>IFERROR(__xludf.DUMMYFUNCTION("""COMPUTED_VALUE"""),2.0)</f>
        <v>2</v>
      </c>
      <c r="M7487" s="4" t="str">
        <f>IFERROR(__xludf.DUMMYFUNCTION("""COMPUTED_VALUE"""),"Totvs Large Enterprise Tecnologia S.a.")</f>
        <v>Totvs Large Enterprise Tecnologia S.a.</v>
      </c>
      <c r="N7487" s="33">
        <f>IFERROR(__xludf.DUMMYFUNCTION("""COMPUTED_VALUE"""),1.0)</f>
        <v>1</v>
      </c>
      <c r="O7487" s="4" t="str">
        <f>IFERROR(__xludf.DUMMYFUNCTION("""COMPUTED_VALUE"""),"Totvs Large Enterprise Tecnologia S.a.")</f>
        <v>Totvs Large Enterprise Tecnologia S.a.</v>
      </c>
      <c r="P7487" s="33">
        <f>IFERROR(__xludf.DUMMYFUNCTION("""COMPUTED_VALUE"""),1.0)</f>
        <v>1</v>
      </c>
      <c r="Q7487" s="4" t="str">
        <f>IFERROR(__xludf.DUMMYFUNCTION("""COMPUTED_VALUE"""),"Totvs Large Enterprise Tecnologia S.a.")</f>
        <v>Totvs Large Enterprise Tecnologia S.a.</v>
      </c>
      <c r="R7487" s="33">
        <f>IFERROR(__xludf.DUMMYFUNCTION("""COMPUTED_VALUE"""),1.0)</f>
        <v>1</v>
      </c>
      <c r="S7487" s="4" t="str">
        <f>IFERROR(__xludf.DUMMYFUNCTION("""COMPUTED_VALUE"""),"Totvs Large Enterprise Tecnologia S.a.")</f>
        <v>Totvs Large Enterprise Tecnologia S.a.</v>
      </c>
      <c r="T7487" s="33">
        <f>IFERROR(__xludf.DUMMYFUNCTION("""COMPUTED_VALUE"""),1.0)</f>
        <v>1</v>
      </c>
      <c r="U7487" s="4" t="str">
        <f>IFERROR(__xludf.DUMMYFUNCTION("""COMPUTED_VALUE"""),"Totvs Large Enterprise Tecnologia S.a.")</f>
        <v>Totvs Large Enterprise Tecnologia S.a.</v>
      </c>
      <c r="V7487" s="33">
        <f>IFERROR(__xludf.DUMMYFUNCTION("""COMPUTED_VALUE"""),1.0)</f>
        <v>1</v>
      </c>
      <c r="W7487" s="4" t="str">
        <f>IFERROR(__xludf.DUMMYFUNCTION("""COMPUTED_VALUE"""),"Totvs Large Enterprise Tecnologia S.a.")</f>
        <v>Totvs Large Enterprise Tecnologia S.a.</v>
      </c>
      <c r="X7487" s="33">
        <f>IFERROR(__xludf.DUMMYFUNCTION("""COMPUTED_VALUE"""),1.0)</f>
        <v>1</v>
      </c>
    </row>
    <row r="7488">
      <c r="K7488" s="4" t="str">
        <f>IFERROR(__xludf.DUMMYFUNCTION("""COMPUTED_VALUE"""),"MO QUIRIDO - CONTA MARCA")</f>
        <v>MO QUIRIDO - CONTA MARCA</v>
      </c>
      <c r="L7488" s="32">
        <f>IFERROR(__xludf.DUMMYFUNCTION("""COMPUTED_VALUE"""),2.0)</f>
        <v>2</v>
      </c>
      <c r="M7488" s="4" t="str">
        <f>IFERROR(__xludf.DUMMYFUNCTION("""COMPUTED_VALUE"""),"Consumer Soluções Em Tecnologia Ltda")</f>
        <v>Consumer Soluções Em Tecnologia Ltda</v>
      </c>
      <c r="N7488" s="33">
        <f>IFERROR(__xludf.DUMMYFUNCTION("""COMPUTED_VALUE"""),1.0)</f>
        <v>1</v>
      </c>
      <c r="O7488" s="4" t="str">
        <f>IFERROR(__xludf.DUMMYFUNCTION("""COMPUTED_VALUE"""),"Consumer Soluções Em Tecnologia Ltda")</f>
        <v>Consumer Soluções Em Tecnologia Ltda</v>
      </c>
      <c r="P7488" s="33">
        <f>IFERROR(__xludf.DUMMYFUNCTION("""COMPUTED_VALUE"""),1.0)</f>
        <v>1</v>
      </c>
      <c r="Q7488" s="4" t="str">
        <f>IFERROR(__xludf.DUMMYFUNCTION("""COMPUTED_VALUE"""),"Consumer Soluções Em Tecnologia Ltda")</f>
        <v>Consumer Soluções Em Tecnologia Ltda</v>
      </c>
      <c r="R7488" s="33">
        <f>IFERROR(__xludf.DUMMYFUNCTION("""COMPUTED_VALUE"""),1.0)</f>
        <v>1</v>
      </c>
      <c r="S7488" s="4" t="str">
        <f>IFERROR(__xludf.DUMMYFUNCTION("""COMPUTED_VALUE"""),"Consumer Soluções Em Tecnologia Ltda")</f>
        <v>Consumer Soluções Em Tecnologia Ltda</v>
      </c>
      <c r="T7488" s="33">
        <f>IFERROR(__xludf.DUMMYFUNCTION("""COMPUTED_VALUE"""),1.0)</f>
        <v>1</v>
      </c>
      <c r="U7488" s="4" t="str">
        <f>IFERROR(__xludf.DUMMYFUNCTION("""COMPUTED_VALUE"""),"Consumer Soluções Em Tecnologia Ltda")</f>
        <v>Consumer Soluções Em Tecnologia Ltda</v>
      </c>
      <c r="V7488" s="33">
        <f>IFERROR(__xludf.DUMMYFUNCTION("""COMPUTED_VALUE"""),1.0)</f>
        <v>1</v>
      </c>
      <c r="W7488" s="4" t="str">
        <f>IFERROR(__xludf.DUMMYFUNCTION("""COMPUTED_VALUE"""),"Consumer Soluções Em Tecnologia Ltda")</f>
        <v>Consumer Soluções Em Tecnologia Ltda</v>
      </c>
      <c r="X7488" s="33">
        <f>IFERROR(__xludf.DUMMYFUNCTION("""COMPUTED_VALUE"""),1.0)</f>
        <v>1</v>
      </c>
    </row>
    <row r="7489">
      <c r="K7489" s="4" t="str">
        <f>IFERROR(__xludf.DUMMYFUNCTION("""COMPUTED_VALUE"""),"MONJA MARCA")</f>
        <v>MONJA MARCA</v>
      </c>
      <c r="L7489" s="32">
        <f>IFERROR(__xludf.DUMMYFUNCTION("""COMPUTED_VALUE"""),2.0)</f>
        <v>2</v>
      </c>
      <c r="M7489" s="4" t="str">
        <f>IFERROR(__xludf.DUMMYFUNCTION("""COMPUTED_VALUE"""),"Takeat Tecnologia")</f>
        <v>Takeat Tecnologia</v>
      </c>
      <c r="N7489" s="33">
        <f>IFERROR(__xludf.DUMMYFUNCTION("""COMPUTED_VALUE"""),1.0)</f>
        <v>1</v>
      </c>
      <c r="O7489" s="4" t="str">
        <f>IFERROR(__xludf.DUMMYFUNCTION("""COMPUTED_VALUE"""),"Takeat Tecnologia")</f>
        <v>Takeat Tecnologia</v>
      </c>
      <c r="P7489" s="33">
        <f>IFERROR(__xludf.DUMMYFUNCTION("""COMPUTED_VALUE"""),1.0)</f>
        <v>1</v>
      </c>
      <c r="Q7489" s="4" t="str">
        <f>IFERROR(__xludf.DUMMYFUNCTION("""COMPUTED_VALUE"""),"Takeat Tecnologia")</f>
        <v>Takeat Tecnologia</v>
      </c>
      <c r="R7489" s="33">
        <f>IFERROR(__xludf.DUMMYFUNCTION("""COMPUTED_VALUE"""),1.0)</f>
        <v>1</v>
      </c>
      <c r="S7489" s="4" t="str">
        <f>IFERROR(__xludf.DUMMYFUNCTION("""COMPUTED_VALUE"""),"Takeat Tecnologia")</f>
        <v>Takeat Tecnologia</v>
      </c>
      <c r="T7489" s="33">
        <f>IFERROR(__xludf.DUMMYFUNCTION("""COMPUTED_VALUE"""),1.0)</f>
        <v>1</v>
      </c>
      <c r="U7489" s="4" t="str">
        <f>IFERROR(__xludf.DUMMYFUNCTION("""COMPUTED_VALUE"""),"Takeat Tecnologia")</f>
        <v>Takeat Tecnologia</v>
      </c>
      <c r="V7489" s="33">
        <f>IFERROR(__xludf.DUMMYFUNCTION("""COMPUTED_VALUE"""),1.0)</f>
        <v>1</v>
      </c>
      <c r="W7489" s="4" t="str">
        <f>IFERROR(__xludf.DUMMYFUNCTION("""COMPUTED_VALUE"""),"Takeat Tecnologia")</f>
        <v>Takeat Tecnologia</v>
      </c>
      <c r="X7489" s="33">
        <f>IFERROR(__xludf.DUMMYFUNCTION("""COMPUTED_VALUE"""),1.0)</f>
        <v>1</v>
      </c>
    </row>
    <row r="7490">
      <c r="K7490" s="4" t="str">
        <f>IFERROR(__xludf.DUMMYFUNCTION("""COMPUTED_VALUE"""),"MONT ARARAT")</f>
        <v>MONT ARARAT</v>
      </c>
      <c r="L7490" s="32">
        <f>IFERROR(__xludf.DUMMYFUNCTION("""COMPUTED_VALUE"""),2.0)</f>
        <v>2</v>
      </c>
      <c r="M7490" s="4" t="str">
        <f>IFERROR(__xludf.DUMMYFUNCTION("""COMPUTED_VALUE"""),"Eclética Tecnologia")</f>
        <v>Eclética Tecnologia</v>
      </c>
      <c r="N7490" s="33">
        <f>IFERROR(__xludf.DUMMYFUNCTION("""COMPUTED_VALUE"""),1.0)</f>
        <v>1</v>
      </c>
      <c r="O7490" s="4" t="str">
        <f>IFERROR(__xludf.DUMMYFUNCTION("""COMPUTED_VALUE"""),"Eclética Tecnologia")</f>
        <v>Eclética Tecnologia</v>
      </c>
      <c r="P7490" s="33">
        <f>IFERROR(__xludf.DUMMYFUNCTION("""COMPUTED_VALUE"""),1.0)</f>
        <v>1</v>
      </c>
      <c r="Q7490" s="4" t="str">
        <f>IFERROR(__xludf.DUMMYFUNCTION("""COMPUTED_VALUE"""),"Eclética Tecnologia")</f>
        <v>Eclética Tecnologia</v>
      </c>
      <c r="R7490" s="33">
        <f>IFERROR(__xludf.DUMMYFUNCTION("""COMPUTED_VALUE"""),1.0)</f>
        <v>1</v>
      </c>
      <c r="S7490" s="4" t="str">
        <f>IFERROR(__xludf.DUMMYFUNCTION("""COMPUTED_VALUE"""),"Eclética Tecnologia")</f>
        <v>Eclética Tecnologia</v>
      </c>
      <c r="T7490" s="33">
        <f>IFERROR(__xludf.DUMMYFUNCTION("""COMPUTED_VALUE"""),1.0)</f>
        <v>1</v>
      </c>
      <c r="U7490" s="4" t="str">
        <f>IFERROR(__xludf.DUMMYFUNCTION("""COMPUTED_VALUE"""),"Eclética Tecnologia")</f>
        <v>Eclética Tecnologia</v>
      </c>
      <c r="V7490" s="33">
        <f>IFERROR(__xludf.DUMMYFUNCTION("""COMPUTED_VALUE"""),1.0)</f>
        <v>1</v>
      </c>
      <c r="W7490" s="4" t="str">
        <f>IFERROR(__xludf.DUMMYFUNCTION("""COMPUTED_VALUE"""),"Eclética Tecnologia")</f>
        <v>Eclética Tecnologia</v>
      </c>
      <c r="X7490" s="33">
        <f>IFERROR(__xludf.DUMMYFUNCTION("""COMPUTED_VALUE"""),1.0)</f>
        <v>1</v>
      </c>
    </row>
    <row r="7491">
      <c r="K7491" s="4" t="str">
        <f>IFERROR(__xludf.DUMMYFUNCTION("""COMPUTED_VALUE"""),"MONTANHA FOODS")</f>
        <v>MONTANHA FOODS</v>
      </c>
      <c r="L7491" s="32">
        <f>IFERROR(__xludf.DUMMYFUNCTION("""COMPUTED_VALUE"""),2.0)</f>
        <v>2</v>
      </c>
      <c r="M7491" s="4" t="str">
        <f>IFERROR(__xludf.DUMMYFUNCTION("""COMPUTED_VALUE"""),"null")</f>
        <v>null</v>
      </c>
      <c r="N7491" s="33">
        <f>IFERROR(__xludf.DUMMYFUNCTION("""COMPUTED_VALUE"""),1.0)</f>
        <v>1</v>
      </c>
      <c r="O7491" s="4" t="str">
        <f>IFERROR(__xludf.DUMMYFUNCTION("""COMPUTED_VALUE"""),"null")</f>
        <v>null</v>
      </c>
      <c r="P7491" s="33">
        <f>IFERROR(__xludf.DUMMYFUNCTION("""COMPUTED_VALUE"""),1.0)</f>
        <v>1</v>
      </c>
      <c r="Q7491" s="4" t="str">
        <f>IFERROR(__xludf.DUMMYFUNCTION("""COMPUTED_VALUE"""),"null")</f>
        <v>null</v>
      </c>
      <c r="R7491" s="33">
        <f>IFERROR(__xludf.DUMMYFUNCTION("""COMPUTED_VALUE"""),1.0)</f>
        <v>1</v>
      </c>
      <c r="S7491" s="4" t="str">
        <f>IFERROR(__xludf.DUMMYFUNCTION("""COMPUTED_VALUE"""),"null")</f>
        <v>null</v>
      </c>
      <c r="T7491" s="33">
        <f>IFERROR(__xludf.DUMMYFUNCTION("""COMPUTED_VALUE"""),1.0)</f>
        <v>1</v>
      </c>
      <c r="U7491" s="4" t="str">
        <f>IFERROR(__xludf.DUMMYFUNCTION("""COMPUTED_VALUE"""),"null")</f>
        <v>null</v>
      </c>
      <c r="V7491" s="33">
        <f>IFERROR(__xludf.DUMMYFUNCTION("""COMPUTED_VALUE"""),1.0)</f>
        <v>1</v>
      </c>
      <c r="W7491" s="4" t="str">
        <f>IFERROR(__xludf.DUMMYFUNCTION("""COMPUTED_VALUE"""),"Anota Ai Solucoes Digitais S/a")</f>
        <v>Anota Ai Solucoes Digitais S/a</v>
      </c>
      <c r="X7491" s="33">
        <f>IFERROR(__xludf.DUMMYFUNCTION("""COMPUTED_VALUE"""),1.0)</f>
        <v>1</v>
      </c>
    </row>
    <row r="7492">
      <c r="K7492" s="4" t="str">
        <f>IFERROR(__xludf.DUMMYFUNCTION("""COMPUTED_VALUE"""),"MONTE BELLO - CONTA MARCA")</f>
        <v>MONTE BELLO - CONTA MARCA</v>
      </c>
      <c r="L7492" s="32">
        <f>IFERROR(__xludf.DUMMYFUNCTION("""COMPUTED_VALUE"""),2.0)</f>
        <v>2</v>
      </c>
      <c r="M7492" s="4" t="str">
        <f>IFERROR(__xludf.DUMMYFUNCTION("""COMPUTED_VALUE"""),"Netcontroll Xmenu")</f>
        <v>Netcontroll Xmenu</v>
      </c>
      <c r="N7492" s="33">
        <f>IFERROR(__xludf.DUMMYFUNCTION("""COMPUTED_VALUE"""),1.0)</f>
        <v>1</v>
      </c>
      <c r="O7492" s="4" t="str">
        <f>IFERROR(__xludf.DUMMYFUNCTION("""COMPUTED_VALUE"""),"Netcontroll Xmenu")</f>
        <v>Netcontroll Xmenu</v>
      </c>
      <c r="P7492" s="33">
        <f>IFERROR(__xludf.DUMMYFUNCTION("""COMPUTED_VALUE"""),1.0)</f>
        <v>1</v>
      </c>
      <c r="Q7492" s="4" t="str">
        <f>IFERROR(__xludf.DUMMYFUNCTION("""COMPUTED_VALUE"""),"Netcontroll Xmenu")</f>
        <v>Netcontroll Xmenu</v>
      </c>
      <c r="R7492" s="33">
        <f>IFERROR(__xludf.DUMMYFUNCTION("""COMPUTED_VALUE"""),1.0)</f>
        <v>1</v>
      </c>
      <c r="S7492" s="4" t="str">
        <f>IFERROR(__xludf.DUMMYFUNCTION("""COMPUTED_VALUE"""),"Netcontroll Xmenu")</f>
        <v>Netcontroll Xmenu</v>
      </c>
      <c r="T7492" s="33">
        <f>IFERROR(__xludf.DUMMYFUNCTION("""COMPUTED_VALUE"""),1.0)</f>
        <v>1</v>
      </c>
      <c r="U7492" s="4" t="str">
        <f>IFERROR(__xludf.DUMMYFUNCTION("""COMPUTED_VALUE"""),"Netcontroll Xmenu")</f>
        <v>Netcontroll Xmenu</v>
      </c>
      <c r="V7492" s="33">
        <f>IFERROR(__xludf.DUMMYFUNCTION("""COMPUTED_VALUE"""),1.0)</f>
        <v>1</v>
      </c>
      <c r="W7492" s="4" t="str">
        <f>IFERROR(__xludf.DUMMYFUNCTION("""COMPUTED_VALUE"""),"Netcontroll Xmenu")</f>
        <v>Netcontroll Xmenu</v>
      </c>
      <c r="X7492" s="33">
        <f>IFERROR(__xludf.DUMMYFUNCTION("""COMPUTED_VALUE"""),1.0)</f>
        <v>1</v>
      </c>
    </row>
    <row r="7493">
      <c r="K7493" s="4" t="str">
        <f>IFERROR(__xludf.DUMMYFUNCTION("""COMPUTED_VALUE"""),"MONTE BELLOS PIZZARIA RESTAURANTE MARCA")</f>
        <v>MONTE BELLOS PIZZARIA RESTAURANTE MARCA</v>
      </c>
      <c r="L7493" s="32">
        <f>IFERROR(__xludf.DUMMYFUNCTION("""COMPUTED_VALUE"""),2.0)</f>
        <v>2</v>
      </c>
      <c r="M7493" s="4" t="str">
        <f>IFERROR(__xludf.DUMMYFUNCTION("""COMPUTED_VALUE"""),"null")</f>
        <v>null</v>
      </c>
      <c r="N7493" s="33">
        <f>IFERROR(__xludf.DUMMYFUNCTION("""COMPUTED_VALUE"""),0.5)</f>
        <v>0.5</v>
      </c>
      <c r="O7493" s="4" t="str">
        <f>IFERROR(__xludf.DUMMYFUNCTION("""COMPUTED_VALUE"""),"null")</f>
        <v>null</v>
      </c>
      <c r="P7493" s="33">
        <f>IFERROR(__xludf.DUMMYFUNCTION("""COMPUTED_VALUE"""),0.5)</f>
        <v>0.5</v>
      </c>
      <c r="Q7493" s="4" t="str">
        <f>IFERROR(__xludf.DUMMYFUNCTION("""COMPUTED_VALUE"""),"null")</f>
        <v>null</v>
      </c>
      <c r="R7493" s="33">
        <f>IFERROR(__xludf.DUMMYFUNCTION("""COMPUTED_VALUE"""),0.5)</f>
        <v>0.5</v>
      </c>
      <c r="S7493" s="4" t="str">
        <f>IFERROR(__xludf.DUMMYFUNCTION("""COMPUTED_VALUE"""),"null")</f>
        <v>null</v>
      </c>
      <c r="T7493" s="33">
        <f>IFERROR(__xludf.DUMMYFUNCTION("""COMPUTED_VALUE"""),0.5)</f>
        <v>0.5</v>
      </c>
      <c r="U7493" s="4" t="str">
        <f>IFERROR(__xludf.DUMMYFUNCTION("""COMPUTED_VALUE"""),"null")</f>
        <v>null</v>
      </c>
      <c r="V7493" s="33">
        <f>IFERROR(__xludf.DUMMYFUNCTION("""COMPUTED_VALUE"""),0.5)</f>
        <v>0.5</v>
      </c>
      <c r="W7493" s="4" t="str">
        <f>IFERROR(__xludf.DUMMYFUNCTION("""COMPUTED_VALUE"""),"Cardápio Web")</f>
        <v>Cardápio Web</v>
      </c>
      <c r="X7493" s="33">
        <f>IFERROR(__xludf.DUMMYFUNCTION("""COMPUTED_VALUE"""),1.0)</f>
        <v>1</v>
      </c>
    </row>
    <row r="7494">
      <c r="K7494" s="4" t="str">
        <f>IFERROR(__xludf.DUMMYFUNCTION("""COMPUTED_VALUE"""),"MOOCHACHO - CONTA MARCA")</f>
        <v>MOOCHACHO - CONTA MARCA</v>
      </c>
      <c r="L7494" s="32">
        <f>IFERROR(__xludf.DUMMYFUNCTION("""COMPUTED_VALUE"""),2.0)</f>
        <v>2</v>
      </c>
      <c r="M7494" s="4" t="str">
        <f>IFERROR(__xludf.DUMMYFUNCTION("""COMPUTED_VALUE"""),"Hubzy")</f>
        <v>Hubzy</v>
      </c>
      <c r="N7494" s="33">
        <f>IFERROR(__xludf.DUMMYFUNCTION("""COMPUTED_VALUE"""),0.5)</f>
        <v>0.5</v>
      </c>
      <c r="O7494" s="4" t="str">
        <f>IFERROR(__xludf.DUMMYFUNCTION("""COMPUTED_VALUE"""),"Ncr")</f>
        <v>Ncr</v>
      </c>
      <c r="P7494" s="33">
        <f>IFERROR(__xludf.DUMMYFUNCTION("""COMPUTED_VALUE"""),1.0)</f>
        <v>1</v>
      </c>
      <c r="Q7494" s="4" t="str">
        <f>IFERROR(__xludf.DUMMYFUNCTION("""COMPUTED_VALUE"""),"Ncr")</f>
        <v>Ncr</v>
      </c>
      <c r="R7494" s="33">
        <f>IFERROR(__xludf.DUMMYFUNCTION("""COMPUTED_VALUE"""),1.0)</f>
        <v>1</v>
      </c>
      <c r="S7494" s="4" t="str">
        <f>IFERROR(__xludf.DUMMYFUNCTION("""COMPUTED_VALUE"""),"Ncr")</f>
        <v>Ncr</v>
      </c>
      <c r="T7494" s="33">
        <f>IFERROR(__xludf.DUMMYFUNCTION("""COMPUTED_VALUE"""),1.0)</f>
        <v>1</v>
      </c>
      <c r="U7494" s="4" t="str">
        <f>IFERROR(__xludf.DUMMYFUNCTION("""COMPUTED_VALUE"""),"Ncr")</f>
        <v>Ncr</v>
      </c>
      <c r="V7494" s="33">
        <f>IFERROR(__xludf.DUMMYFUNCTION("""COMPUTED_VALUE"""),1.0)</f>
        <v>1</v>
      </c>
      <c r="W7494" s="4" t="str">
        <f>IFERROR(__xludf.DUMMYFUNCTION("""COMPUTED_VALUE"""),"Ncr")</f>
        <v>Ncr</v>
      </c>
      <c r="X7494" s="33">
        <f>IFERROR(__xludf.DUMMYFUNCTION("""COMPUTED_VALUE"""),1.0)</f>
        <v>1</v>
      </c>
    </row>
    <row r="7495">
      <c r="K7495" s="4" t="str">
        <f>IFERROR(__xludf.DUMMYFUNCTION("""COMPUTED_VALUE"""),"MOQUECA")</f>
        <v>MOQUECA</v>
      </c>
      <c r="L7495" s="32">
        <f>IFERROR(__xludf.DUMMYFUNCTION("""COMPUTED_VALUE"""),2.0)</f>
        <v>2</v>
      </c>
      <c r="M7495" s="4" t="str">
        <f>IFERROR(__xludf.DUMMYFUNCTION("""COMPUTED_VALUE"""),"Ncr")</f>
        <v>Ncr</v>
      </c>
      <c r="N7495" s="33">
        <f>IFERROR(__xludf.DUMMYFUNCTION("""COMPUTED_VALUE"""),1.0)</f>
        <v>1</v>
      </c>
      <c r="O7495" s="4" t="str">
        <f>IFERROR(__xludf.DUMMYFUNCTION("""COMPUTED_VALUE"""),"Ncr")</f>
        <v>Ncr</v>
      </c>
      <c r="P7495" s="33">
        <f>IFERROR(__xludf.DUMMYFUNCTION("""COMPUTED_VALUE"""),1.0)</f>
        <v>1</v>
      </c>
      <c r="Q7495" s="4" t="str">
        <f>IFERROR(__xludf.DUMMYFUNCTION("""COMPUTED_VALUE"""),"Ncr")</f>
        <v>Ncr</v>
      </c>
      <c r="R7495" s="33">
        <f>IFERROR(__xludf.DUMMYFUNCTION("""COMPUTED_VALUE"""),1.0)</f>
        <v>1</v>
      </c>
      <c r="S7495" s="4" t="str">
        <f>IFERROR(__xludf.DUMMYFUNCTION("""COMPUTED_VALUE"""),"Ncr")</f>
        <v>Ncr</v>
      </c>
      <c r="T7495" s="33">
        <f>IFERROR(__xludf.DUMMYFUNCTION("""COMPUTED_VALUE"""),1.0)</f>
        <v>1</v>
      </c>
      <c r="U7495" s="4" t="str">
        <f>IFERROR(__xludf.DUMMYFUNCTION("""COMPUTED_VALUE"""),"Ncr")</f>
        <v>Ncr</v>
      </c>
      <c r="V7495" s="33">
        <f>IFERROR(__xludf.DUMMYFUNCTION("""COMPUTED_VALUE"""),1.0)</f>
        <v>1</v>
      </c>
      <c r="W7495" s="4" t="str">
        <f>IFERROR(__xludf.DUMMYFUNCTION("""COMPUTED_VALUE"""),"Ncr")</f>
        <v>Ncr</v>
      </c>
      <c r="X7495" s="33">
        <f>IFERROR(__xludf.DUMMYFUNCTION("""COMPUTED_VALUE"""),1.0)</f>
        <v>1</v>
      </c>
    </row>
    <row r="7496">
      <c r="K7496" s="4" t="str">
        <f>IFERROR(__xludf.DUMMYFUNCTION("""COMPUTED_VALUE"""),"MORA BURGER")</f>
        <v>MORA BURGER</v>
      </c>
      <c r="L7496" s="32">
        <f>IFERROR(__xludf.DUMMYFUNCTION("""COMPUTED_VALUE"""),2.0)</f>
        <v>2</v>
      </c>
      <c r="M7496" s="4" t="str">
        <f>IFERROR(__xludf.DUMMYFUNCTION("""COMPUTED_VALUE"""),"Saipos Serviços De Software")</f>
        <v>Saipos Serviços De Software</v>
      </c>
      <c r="N7496" s="33">
        <f>IFERROR(__xludf.DUMMYFUNCTION("""COMPUTED_VALUE"""),1.0)</f>
        <v>1</v>
      </c>
      <c r="O7496" s="4" t="str">
        <f>IFERROR(__xludf.DUMMYFUNCTION("""COMPUTED_VALUE"""),"Saipos Serviços De Software")</f>
        <v>Saipos Serviços De Software</v>
      </c>
      <c r="P7496" s="33">
        <f>IFERROR(__xludf.DUMMYFUNCTION("""COMPUTED_VALUE"""),1.0)</f>
        <v>1</v>
      </c>
      <c r="Q7496" s="4" t="str">
        <f>IFERROR(__xludf.DUMMYFUNCTION("""COMPUTED_VALUE"""),"Saipos Serviços De Software")</f>
        <v>Saipos Serviços De Software</v>
      </c>
      <c r="R7496" s="33">
        <f>IFERROR(__xludf.DUMMYFUNCTION("""COMPUTED_VALUE"""),1.0)</f>
        <v>1</v>
      </c>
      <c r="S7496" s="4" t="str">
        <f>IFERROR(__xludf.DUMMYFUNCTION("""COMPUTED_VALUE"""),"Saipos Serviços De Software")</f>
        <v>Saipos Serviços De Software</v>
      </c>
      <c r="T7496" s="33">
        <f>IFERROR(__xludf.DUMMYFUNCTION("""COMPUTED_VALUE"""),1.0)</f>
        <v>1</v>
      </c>
      <c r="U7496" s="4" t="str">
        <f>IFERROR(__xludf.DUMMYFUNCTION("""COMPUTED_VALUE"""),"null")</f>
        <v>null</v>
      </c>
      <c r="V7496" s="33">
        <f>IFERROR(__xludf.DUMMYFUNCTION("""COMPUTED_VALUE"""),0.5)</f>
        <v>0.5</v>
      </c>
      <c r="W7496" s="4" t="str">
        <f>IFERROR(__xludf.DUMMYFUNCTION("""COMPUTED_VALUE"""),"null")</f>
        <v>null</v>
      </c>
      <c r="X7496" s="33">
        <f>IFERROR(__xludf.DUMMYFUNCTION("""COMPUTED_VALUE"""),0.5)</f>
        <v>0.5</v>
      </c>
    </row>
    <row r="7497">
      <c r="K7497" s="4" t="str">
        <f>IFERROR(__xludf.DUMMYFUNCTION("""COMPUTED_VALUE"""),"MORELLI FARMA - HIPERFARMA - CONTA MARCA")</f>
        <v>MORELLI FARMA - HIPERFARMA - CONTA MARCA</v>
      </c>
      <c r="L7497" s="32">
        <f>IFERROR(__xludf.DUMMYFUNCTION("""COMPUTED_VALUE"""),2.0)</f>
        <v>2</v>
      </c>
      <c r="M7497" s="4" t="str">
        <f>IFERROR(__xludf.DUMMYFUNCTION("""COMPUTED_VALUE"""),"N/A (Not found)")</f>
        <v>N/A (Not found)</v>
      </c>
      <c r="N7497" s="33">
        <f>IFERROR(__xludf.DUMMYFUNCTION("""COMPUTED_VALUE"""),0.5)</f>
        <v>0.5</v>
      </c>
      <c r="O7497" s="4" t="str">
        <f>IFERROR(__xludf.DUMMYFUNCTION("""COMPUTED_VALUE"""),"N/A (Not found)")</f>
        <v>N/A (Not found)</v>
      </c>
      <c r="P7497" s="33">
        <f>IFERROR(__xludf.DUMMYFUNCTION("""COMPUTED_VALUE"""),0.5)</f>
        <v>0.5</v>
      </c>
      <c r="Q7497" s="4" t="str">
        <f>IFERROR(__xludf.DUMMYFUNCTION("""COMPUTED_VALUE"""),"N/A (Not found)")</f>
        <v>N/A (Not found)</v>
      </c>
      <c r="R7497" s="33">
        <f>IFERROR(__xludf.DUMMYFUNCTION("""COMPUTED_VALUE"""),0.5)</f>
        <v>0.5</v>
      </c>
      <c r="S7497" s="4" t="str">
        <f>IFERROR(__xludf.DUMMYFUNCTION("""COMPUTED_VALUE"""),"N/A (Not found)")</f>
        <v>N/A (Not found)</v>
      </c>
      <c r="T7497" s="33">
        <f>IFERROR(__xludf.DUMMYFUNCTION("""COMPUTED_VALUE"""),1.0)</f>
        <v>1</v>
      </c>
      <c r="U7497" s="4" t="str">
        <f>IFERROR(__xludf.DUMMYFUNCTION("""COMPUTED_VALUE"""),"N/A (Not found)")</f>
        <v>N/A (Not found)</v>
      </c>
      <c r="V7497" s="33">
        <f>IFERROR(__xludf.DUMMYFUNCTION("""COMPUTED_VALUE"""),1.0)</f>
        <v>1</v>
      </c>
      <c r="W7497" s="4" t="str">
        <f>IFERROR(__xludf.DUMMYFUNCTION("""COMPUTED_VALUE"""),"N/A (Not found)")</f>
        <v>N/A (Not found)</v>
      </c>
      <c r="X7497" s="33">
        <f>IFERROR(__xludf.DUMMYFUNCTION("""COMPUTED_VALUE"""),1.0)</f>
        <v>1</v>
      </c>
    </row>
    <row r="7498">
      <c r="K7498" s="4" t="str">
        <f>IFERROR(__xludf.DUMMYFUNCTION("""COMPUTED_VALUE"""),"MORENA ATACADISTA - CONTA GRUPO")</f>
        <v>MORENA ATACADISTA - CONTA GRUPO</v>
      </c>
      <c r="L7498" s="32">
        <f>IFERROR(__xludf.DUMMYFUNCTION("""COMPUTED_VALUE"""),2.0)</f>
        <v>2</v>
      </c>
      <c r="M7498" s="4" t="str">
        <f>IFERROR(__xludf.DUMMYFUNCTION("""COMPUTED_VALUE"""),"N/A (Not found)")</f>
        <v>N/A (Not found)</v>
      </c>
      <c r="N7498" s="33">
        <f>IFERROR(__xludf.DUMMYFUNCTION("""COMPUTED_VALUE"""),1.0)</f>
        <v>1</v>
      </c>
      <c r="O7498" s="4" t="str">
        <f>IFERROR(__xludf.DUMMYFUNCTION("""COMPUTED_VALUE"""),"N/A (Not found)")</f>
        <v>N/A (Not found)</v>
      </c>
      <c r="P7498" s="33">
        <f>IFERROR(__xludf.DUMMYFUNCTION("""COMPUTED_VALUE"""),1.0)</f>
        <v>1</v>
      </c>
      <c r="Q7498" s="4" t="str">
        <f>IFERROR(__xludf.DUMMYFUNCTION("""COMPUTED_VALUE"""),"N/A (Not found)")</f>
        <v>N/A (Not found)</v>
      </c>
      <c r="R7498" s="33">
        <f>IFERROR(__xludf.DUMMYFUNCTION("""COMPUTED_VALUE"""),1.0)</f>
        <v>1</v>
      </c>
      <c r="S7498" s="4" t="str">
        <f>IFERROR(__xludf.DUMMYFUNCTION("""COMPUTED_VALUE"""),"N/A (Not found)")</f>
        <v>N/A (Not found)</v>
      </c>
      <c r="T7498" s="33">
        <f>IFERROR(__xludf.DUMMYFUNCTION("""COMPUTED_VALUE"""),1.0)</f>
        <v>1</v>
      </c>
      <c r="U7498" s="4" t="str">
        <f>IFERROR(__xludf.DUMMYFUNCTION("""COMPUTED_VALUE"""),"N/A (Not found)")</f>
        <v>N/A (Not found)</v>
      </c>
      <c r="V7498" s="33">
        <f>IFERROR(__xludf.DUMMYFUNCTION("""COMPUTED_VALUE"""),1.0)</f>
        <v>1</v>
      </c>
      <c r="W7498" s="4" t="str">
        <f>IFERROR(__xludf.DUMMYFUNCTION("""COMPUTED_VALUE"""),"N/A (Not found)")</f>
        <v>N/A (Not found)</v>
      </c>
      <c r="X7498" s="33">
        <f>IFERROR(__xludf.DUMMYFUNCTION("""COMPUTED_VALUE"""),1.0)</f>
        <v>1</v>
      </c>
    </row>
    <row r="7499">
      <c r="K7499" s="4" t="str">
        <f>IFERROR(__xludf.DUMMYFUNCTION("""COMPUTED_VALUE"""),"MORENA GRILL - MS")</f>
        <v>MORENA GRILL - MS</v>
      </c>
      <c r="L7499" s="32">
        <f>IFERROR(__xludf.DUMMYFUNCTION("""COMPUTED_VALUE"""),2.0)</f>
        <v>2</v>
      </c>
      <c r="M7499" s="4" t="str">
        <f>IFERROR(__xludf.DUMMYFUNCTION("""COMPUTED_VALUE"""),"null")</f>
        <v>null</v>
      </c>
      <c r="N7499" s="33">
        <f>IFERROR(__xludf.DUMMYFUNCTION("""COMPUTED_VALUE"""),1.0)</f>
        <v>1</v>
      </c>
      <c r="O7499" s="4" t="str">
        <f>IFERROR(__xludf.DUMMYFUNCTION("""COMPUTED_VALUE"""),"null")</f>
        <v>null</v>
      </c>
      <c r="P7499" s="33">
        <f>IFERROR(__xludf.DUMMYFUNCTION("""COMPUTED_VALUE"""),1.0)</f>
        <v>1</v>
      </c>
      <c r="Q7499" s="4" t="str">
        <f>IFERROR(__xludf.DUMMYFUNCTION("""COMPUTED_VALUE"""),"null")</f>
        <v>null</v>
      </c>
      <c r="R7499" s="33">
        <f>IFERROR(__xludf.DUMMYFUNCTION("""COMPUTED_VALUE"""),1.0)</f>
        <v>1</v>
      </c>
      <c r="S7499" s="4" t="str">
        <f>IFERROR(__xludf.DUMMYFUNCTION("""COMPUTED_VALUE"""),"null")</f>
        <v>null</v>
      </c>
      <c r="T7499" s="33">
        <f>IFERROR(__xludf.DUMMYFUNCTION("""COMPUTED_VALUE"""),1.0)</f>
        <v>1</v>
      </c>
      <c r="U7499" s="4" t="str">
        <f>IFERROR(__xludf.DUMMYFUNCTION("""COMPUTED_VALUE"""),"null")</f>
        <v>null</v>
      </c>
      <c r="V7499" s="33">
        <f>IFERROR(__xludf.DUMMYFUNCTION("""COMPUTED_VALUE"""),1.0)</f>
        <v>1</v>
      </c>
      <c r="W7499" s="4" t="str">
        <f>IFERROR(__xludf.DUMMYFUNCTION("""COMPUTED_VALUE"""),"Saipos Serviços De Software")</f>
        <v>Saipos Serviços De Software</v>
      </c>
      <c r="X7499" s="33">
        <f>IFERROR(__xludf.DUMMYFUNCTION("""COMPUTED_VALUE"""),1.0)</f>
        <v>1</v>
      </c>
    </row>
    <row r="7500">
      <c r="K7500" s="4" t="str">
        <f>IFERROR(__xludf.DUMMYFUNCTION("""COMPUTED_VALUE"""),"MORI MORI - CONTA PAI")</f>
        <v>MORI MORI - CONTA PAI</v>
      </c>
      <c r="L7500" s="32">
        <f>IFERROR(__xludf.DUMMYFUNCTION("""COMPUTED_VALUE"""),2.0)</f>
        <v>2</v>
      </c>
      <c r="M7500" s="4" t="str">
        <f>IFERROR(__xludf.DUMMYFUNCTION("""COMPUTED_VALUE"""),"Cloudfy")</f>
        <v>Cloudfy</v>
      </c>
      <c r="N7500" s="33">
        <f>IFERROR(__xludf.DUMMYFUNCTION("""COMPUTED_VALUE"""),1.0)</f>
        <v>1</v>
      </c>
      <c r="O7500" s="4" t="str">
        <f>IFERROR(__xludf.DUMMYFUNCTION("""COMPUTED_VALUE"""),"Cloudfy")</f>
        <v>Cloudfy</v>
      </c>
      <c r="P7500" s="33">
        <f>IFERROR(__xludf.DUMMYFUNCTION("""COMPUTED_VALUE"""),1.0)</f>
        <v>1</v>
      </c>
      <c r="Q7500" s="4" t="str">
        <f>IFERROR(__xludf.DUMMYFUNCTION("""COMPUTED_VALUE"""),"Cloudfy")</f>
        <v>Cloudfy</v>
      </c>
      <c r="R7500" s="33">
        <f>IFERROR(__xludf.DUMMYFUNCTION("""COMPUTED_VALUE"""),1.0)</f>
        <v>1</v>
      </c>
      <c r="S7500" s="4" t="str">
        <f>IFERROR(__xludf.DUMMYFUNCTION("""COMPUTED_VALUE"""),"Cloudfy")</f>
        <v>Cloudfy</v>
      </c>
      <c r="T7500" s="33">
        <f>IFERROR(__xludf.DUMMYFUNCTION("""COMPUTED_VALUE"""),1.0)</f>
        <v>1</v>
      </c>
      <c r="U7500" s="4" t="str">
        <f>IFERROR(__xludf.DUMMYFUNCTION("""COMPUTED_VALUE"""),"Cloudfy")</f>
        <v>Cloudfy</v>
      </c>
      <c r="V7500" s="33">
        <f>IFERROR(__xludf.DUMMYFUNCTION("""COMPUTED_VALUE"""),1.0)</f>
        <v>1</v>
      </c>
      <c r="W7500" s="4" t="str">
        <f>IFERROR(__xludf.DUMMYFUNCTION("""COMPUTED_VALUE"""),"Cloudfy")</f>
        <v>Cloudfy</v>
      </c>
      <c r="X7500" s="33">
        <f>IFERROR(__xludf.DUMMYFUNCTION("""COMPUTED_VALUE"""),1.0)</f>
        <v>1</v>
      </c>
    </row>
    <row r="7501">
      <c r="K7501" s="4" t="str">
        <f>IFERROR(__xludf.DUMMYFUNCTION("""COMPUTED_VALUE"""),"MOTO CLUBE ACAI JOINVILLE CONTA MARCA")</f>
        <v>MOTO CLUBE ACAI JOINVILLE CONTA MARCA</v>
      </c>
      <c r="L7501" s="32">
        <f>IFERROR(__xludf.DUMMYFUNCTION("""COMPUTED_VALUE"""),2.0)</f>
        <v>2</v>
      </c>
      <c r="M7501" s="4" t="str">
        <f>IFERROR(__xludf.DUMMYFUNCTION("""COMPUTED_VALUE"""),"null")</f>
        <v>null</v>
      </c>
      <c r="N7501" s="33">
        <f>IFERROR(__xludf.DUMMYFUNCTION("""COMPUTED_VALUE"""),1.0)</f>
        <v>1</v>
      </c>
      <c r="O7501" s="4" t="str">
        <f>IFERROR(__xludf.DUMMYFUNCTION("""COMPUTED_VALUE"""),"null")</f>
        <v>null</v>
      </c>
      <c r="P7501" s="33">
        <f>IFERROR(__xludf.DUMMYFUNCTION("""COMPUTED_VALUE"""),1.0)</f>
        <v>1</v>
      </c>
      <c r="Q7501" s="4" t="str">
        <f>IFERROR(__xludf.DUMMYFUNCTION("""COMPUTED_VALUE"""),"null")</f>
        <v>null</v>
      </c>
      <c r="R7501" s="33">
        <f>IFERROR(__xludf.DUMMYFUNCTION("""COMPUTED_VALUE"""),0.5)</f>
        <v>0.5</v>
      </c>
      <c r="S7501" s="4" t="str">
        <f>IFERROR(__xludf.DUMMYFUNCTION("""COMPUTED_VALUE"""),"Anota Ai Solucoes Digitais S/a")</f>
        <v>Anota Ai Solucoes Digitais S/a</v>
      </c>
      <c r="T7501" s="33">
        <f>IFERROR(__xludf.DUMMYFUNCTION("""COMPUTED_VALUE"""),0.5)</f>
        <v>0.5</v>
      </c>
      <c r="U7501" s="4" t="str">
        <f>IFERROR(__xludf.DUMMYFUNCTION("""COMPUTED_VALUE"""),"null")</f>
        <v>null</v>
      </c>
      <c r="V7501" s="33">
        <f>IFERROR(__xludf.DUMMYFUNCTION("""COMPUTED_VALUE"""),1.0)</f>
        <v>1</v>
      </c>
      <c r="W7501" s="4" t="str">
        <f>IFERROR(__xludf.DUMMYFUNCTION("""COMPUTED_VALUE"""),"null")</f>
        <v>null</v>
      </c>
      <c r="X7501" s="33">
        <f>IFERROR(__xludf.DUMMYFUNCTION("""COMPUTED_VALUE"""),1.0)</f>
        <v>1</v>
      </c>
    </row>
    <row r="7502">
      <c r="K7502" s="4" t="str">
        <f>IFERROR(__xludf.DUMMYFUNCTION("""COMPUTED_VALUE"""),"MOTTAS BURGUER - CONTA MARCA")</f>
        <v>MOTTAS BURGUER - CONTA MARCA</v>
      </c>
      <c r="L7502" s="32">
        <f>IFERROR(__xludf.DUMMYFUNCTION("""COMPUTED_VALUE"""),2.0)</f>
        <v>2</v>
      </c>
      <c r="M7502" s="4" t="str">
        <f>IFERROR(__xludf.DUMMYFUNCTION("""COMPUTED_VALUE"""),"Saipos Serviços De Software")</f>
        <v>Saipos Serviços De Software</v>
      </c>
      <c r="N7502" s="33">
        <f>IFERROR(__xludf.DUMMYFUNCTION("""COMPUTED_VALUE"""),1.0)</f>
        <v>1</v>
      </c>
      <c r="O7502" s="4" t="str">
        <f>IFERROR(__xludf.DUMMYFUNCTION("""COMPUTED_VALUE"""),"Saipos Serviços De Software")</f>
        <v>Saipos Serviços De Software</v>
      </c>
      <c r="P7502" s="33">
        <f>IFERROR(__xludf.DUMMYFUNCTION("""COMPUTED_VALUE"""),1.0)</f>
        <v>1</v>
      </c>
      <c r="Q7502" s="4" t="str">
        <f>IFERROR(__xludf.DUMMYFUNCTION("""COMPUTED_VALUE"""),"Saipos Serviços De Software")</f>
        <v>Saipos Serviços De Software</v>
      </c>
      <c r="R7502" s="33">
        <f>IFERROR(__xludf.DUMMYFUNCTION("""COMPUTED_VALUE"""),1.0)</f>
        <v>1</v>
      </c>
      <c r="S7502" s="4" t="str">
        <f>IFERROR(__xludf.DUMMYFUNCTION("""COMPUTED_VALUE"""),"Saipos Serviços De Software")</f>
        <v>Saipos Serviços De Software</v>
      </c>
      <c r="T7502" s="33">
        <f>IFERROR(__xludf.DUMMYFUNCTION("""COMPUTED_VALUE"""),1.0)</f>
        <v>1</v>
      </c>
      <c r="U7502" s="4" t="str">
        <f>IFERROR(__xludf.DUMMYFUNCTION("""COMPUTED_VALUE"""),"Saipos Serviços De Software")</f>
        <v>Saipos Serviços De Software</v>
      </c>
      <c r="V7502" s="33">
        <f>IFERROR(__xludf.DUMMYFUNCTION("""COMPUTED_VALUE"""),1.0)</f>
        <v>1</v>
      </c>
      <c r="W7502" s="4" t="str">
        <f>IFERROR(__xludf.DUMMYFUNCTION("""COMPUTED_VALUE"""),"Saipos Serviços De Software")</f>
        <v>Saipos Serviços De Software</v>
      </c>
      <c r="X7502" s="33">
        <f>IFERROR(__xludf.DUMMYFUNCTION("""COMPUTED_VALUE"""),1.0)</f>
        <v>1</v>
      </c>
    </row>
    <row r="7503">
      <c r="K7503" s="4" t="str">
        <f>IFERROR(__xludf.DUMMYFUNCTION("""COMPUTED_VALUE"""),"MOUNT PIZZA")</f>
        <v>MOUNT PIZZA</v>
      </c>
      <c r="L7503" s="32">
        <f>IFERROR(__xludf.DUMMYFUNCTION("""COMPUTED_VALUE"""),2.0)</f>
        <v>2</v>
      </c>
      <c r="M7503" s="4" t="str">
        <f>IFERROR(__xludf.DUMMYFUNCTION("""COMPUTED_VALUE"""),"Saipos Serviços De Software")</f>
        <v>Saipos Serviços De Software</v>
      </c>
      <c r="N7503" s="33">
        <f>IFERROR(__xludf.DUMMYFUNCTION("""COMPUTED_VALUE"""),1.0)</f>
        <v>1</v>
      </c>
      <c r="O7503" s="4" t="str">
        <f>IFERROR(__xludf.DUMMYFUNCTION("""COMPUTED_VALUE"""),"Saipos Serviços De Software")</f>
        <v>Saipos Serviços De Software</v>
      </c>
      <c r="P7503" s="33">
        <f>IFERROR(__xludf.DUMMYFUNCTION("""COMPUTED_VALUE"""),1.0)</f>
        <v>1</v>
      </c>
      <c r="Q7503" s="4" t="str">
        <f>IFERROR(__xludf.DUMMYFUNCTION("""COMPUTED_VALUE"""),"Saipos Serviços De Software")</f>
        <v>Saipos Serviços De Software</v>
      </c>
      <c r="R7503" s="33">
        <f>IFERROR(__xludf.DUMMYFUNCTION("""COMPUTED_VALUE"""),1.0)</f>
        <v>1</v>
      </c>
      <c r="S7503" s="4" t="str">
        <f>IFERROR(__xludf.DUMMYFUNCTION("""COMPUTED_VALUE"""),"Saipos Serviços De Software")</f>
        <v>Saipos Serviços De Software</v>
      </c>
      <c r="T7503" s="33">
        <f>IFERROR(__xludf.DUMMYFUNCTION("""COMPUTED_VALUE"""),1.0)</f>
        <v>1</v>
      </c>
      <c r="U7503" s="4" t="str">
        <f>IFERROR(__xludf.DUMMYFUNCTION("""COMPUTED_VALUE"""),"Saipos Serviços De Software")</f>
        <v>Saipos Serviços De Software</v>
      </c>
      <c r="V7503" s="33">
        <f>IFERROR(__xludf.DUMMYFUNCTION("""COMPUTED_VALUE"""),1.0)</f>
        <v>1</v>
      </c>
      <c r="W7503" s="4" t="str">
        <f>IFERROR(__xludf.DUMMYFUNCTION("""COMPUTED_VALUE"""),"Saipos Serviços De Software")</f>
        <v>Saipos Serviços De Software</v>
      </c>
      <c r="X7503" s="33">
        <f>IFERROR(__xludf.DUMMYFUNCTION("""COMPUTED_VALUE"""),1.0)</f>
        <v>1</v>
      </c>
    </row>
    <row r="7504">
      <c r="K7504" s="4" t="str">
        <f>IFERROR(__xludf.DUMMYFUNCTION("""COMPUTED_VALUE"""),"MOUNT PIZZARIA")</f>
        <v>MOUNT PIZZARIA</v>
      </c>
      <c r="L7504" s="32">
        <f>IFERROR(__xludf.DUMMYFUNCTION("""COMPUTED_VALUE"""),2.0)</f>
        <v>2</v>
      </c>
      <c r="M7504" s="4" t="str">
        <f>IFERROR(__xludf.DUMMYFUNCTION("""COMPUTED_VALUE"""),"Saipos Serviços De Software")</f>
        <v>Saipos Serviços De Software</v>
      </c>
      <c r="N7504" s="33">
        <f>IFERROR(__xludf.DUMMYFUNCTION("""COMPUTED_VALUE"""),1.0)</f>
        <v>1</v>
      </c>
      <c r="O7504" s="4" t="str">
        <f>IFERROR(__xludf.DUMMYFUNCTION("""COMPUTED_VALUE"""),"Saipos Serviços De Software")</f>
        <v>Saipos Serviços De Software</v>
      </c>
      <c r="P7504" s="33">
        <f>IFERROR(__xludf.DUMMYFUNCTION("""COMPUTED_VALUE"""),1.0)</f>
        <v>1</v>
      </c>
      <c r="Q7504" s="4" t="str">
        <f>IFERROR(__xludf.DUMMYFUNCTION("""COMPUTED_VALUE"""),"Saipos Serviços De Software")</f>
        <v>Saipos Serviços De Software</v>
      </c>
      <c r="R7504" s="33">
        <f>IFERROR(__xludf.DUMMYFUNCTION("""COMPUTED_VALUE"""),1.0)</f>
        <v>1</v>
      </c>
      <c r="S7504" s="4" t="str">
        <f>IFERROR(__xludf.DUMMYFUNCTION("""COMPUTED_VALUE"""),"Saipos Serviços De Software")</f>
        <v>Saipos Serviços De Software</v>
      </c>
      <c r="T7504" s="33">
        <f>IFERROR(__xludf.DUMMYFUNCTION("""COMPUTED_VALUE"""),1.0)</f>
        <v>1</v>
      </c>
      <c r="U7504" s="4" t="str">
        <f>IFERROR(__xludf.DUMMYFUNCTION("""COMPUTED_VALUE"""),"Saipos Serviços De Software")</f>
        <v>Saipos Serviços De Software</v>
      </c>
      <c r="V7504" s="33">
        <f>IFERROR(__xludf.DUMMYFUNCTION("""COMPUTED_VALUE"""),1.0)</f>
        <v>1</v>
      </c>
      <c r="W7504" s="4" t="str">
        <f>IFERROR(__xludf.DUMMYFUNCTION("""COMPUTED_VALUE"""),"Saipos Serviços De Software")</f>
        <v>Saipos Serviços De Software</v>
      </c>
      <c r="X7504" s="33">
        <f>IFERROR(__xludf.DUMMYFUNCTION("""COMPUTED_VALUE"""),1.0)</f>
        <v>1</v>
      </c>
    </row>
    <row r="7505">
      <c r="K7505" s="4" t="str">
        <f>IFERROR(__xludf.DUMMYFUNCTION("""COMPUTED_VALUE"""),"MR CHEFF")</f>
        <v>MR CHEFF</v>
      </c>
      <c r="L7505" s="32">
        <f>IFERROR(__xludf.DUMMYFUNCTION("""COMPUTED_VALUE"""),2.0)</f>
        <v>2</v>
      </c>
      <c r="M7505" s="4" t="str">
        <f>IFERROR(__xludf.DUMMYFUNCTION("""COMPUTED_VALUE"""),"Parseint Desenvolvimento De Sistemas Ltda")</f>
        <v>Parseint Desenvolvimento De Sistemas Ltda</v>
      </c>
      <c r="N7505" s="33">
        <f>IFERROR(__xludf.DUMMYFUNCTION("""COMPUTED_VALUE"""),1.0)</f>
        <v>1</v>
      </c>
      <c r="O7505" s="4" t="str">
        <f>IFERROR(__xludf.DUMMYFUNCTION("""COMPUTED_VALUE"""),"Parseint Desenvolvimento De Sistemas Ltda")</f>
        <v>Parseint Desenvolvimento De Sistemas Ltda</v>
      </c>
      <c r="P7505" s="33">
        <f>IFERROR(__xludf.DUMMYFUNCTION("""COMPUTED_VALUE"""),0.5)</f>
        <v>0.5</v>
      </c>
      <c r="Q7505" s="4" t="str">
        <f>IFERROR(__xludf.DUMMYFUNCTION("""COMPUTED_VALUE"""),"null")</f>
        <v>null</v>
      </c>
      <c r="R7505" s="33">
        <f>IFERROR(__xludf.DUMMYFUNCTION("""COMPUTED_VALUE"""),1.0)</f>
        <v>1</v>
      </c>
      <c r="S7505" s="4" t="str">
        <f>IFERROR(__xludf.DUMMYFUNCTION("""COMPUTED_VALUE"""),"null")</f>
        <v>null</v>
      </c>
      <c r="T7505" s="33">
        <f>IFERROR(__xludf.DUMMYFUNCTION("""COMPUTED_VALUE"""),0.5)</f>
        <v>0.5</v>
      </c>
      <c r="U7505" s="4" t="str">
        <f>IFERROR(__xludf.DUMMYFUNCTION("""COMPUTED_VALUE"""),"Parseint Desenvolvimento De Sistemas Ltda")</f>
        <v>Parseint Desenvolvimento De Sistemas Ltda</v>
      </c>
      <c r="V7505" s="33">
        <f>IFERROR(__xludf.DUMMYFUNCTION("""COMPUTED_VALUE"""),0.5)</f>
        <v>0.5</v>
      </c>
      <c r="W7505" s="4" t="str">
        <f>IFERROR(__xludf.DUMMYFUNCTION("""COMPUTED_VALUE"""),"Parseint Desenvolvimento De Sistemas Ltda")</f>
        <v>Parseint Desenvolvimento De Sistemas Ltda</v>
      </c>
      <c r="X7505" s="33">
        <f>IFERROR(__xludf.DUMMYFUNCTION("""COMPUTED_VALUE"""),1.0)</f>
        <v>1</v>
      </c>
    </row>
    <row r="7506">
      <c r="K7506" s="4" t="str">
        <f>IFERROR(__xludf.DUMMYFUNCTION("""COMPUTED_VALUE"""),"MR HOPPY ABC")</f>
        <v>MR HOPPY ABC</v>
      </c>
      <c r="L7506" s="32">
        <f>IFERROR(__xludf.DUMMYFUNCTION("""COMPUTED_VALUE"""),2.0)</f>
        <v>2</v>
      </c>
      <c r="M7506" s="4" t="str">
        <f>IFERROR(__xludf.DUMMYFUNCTION("""COMPUTED_VALUE"""),"Opdv")</f>
        <v>Opdv</v>
      </c>
      <c r="N7506" s="33">
        <f>IFERROR(__xludf.DUMMYFUNCTION("""COMPUTED_VALUE"""),1.0)</f>
        <v>1</v>
      </c>
      <c r="O7506" s="4" t="str">
        <f>IFERROR(__xludf.DUMMYFUNCTION("""COMPUTED_VALUE"""),"Opdv")</f>
        <v>Opdv</v>
      </c>
      <c r="P7506" s="33">
        <f>IFERROR(__xludf.DUMMYFUNCTION("""COMPUTED_VALUE"""),1.0)</f>
        <v>1</v>
      </c>
      <c r="Q7506" s="4" t="str">
        <f>IFERROR(__xludf.DUMMYFUNCTION("""COMPUTED_VALUE"""),"Opdv")</f>
        <v>Opdv</v>
      </c>
      <c r="R7506" s="33">
        <f>IFERROR(__xludf.DUMMYFUNCTION("""COMPUTED_VALUE"""),1.0)</f>
        <v>1</v>
      </c>
      <c r="S7506" s="4" t="str">
        <f>IFERROR(__xludf.DUMMYFUNCTION("""COMPUTED_VALUE"""),"Opdv")</f>
        <v>Opdv</v>
      </c>
      <c r="T7506" s="33">
        <f>IFERROR(__xludf.DUMMYFUNCTION("""COMPUTED_VALUE"""),1.0)</f>
        <v>1</v>
      </c>
      <c r="U7506" s="4" t="str">
        <f>IFERROR(__xludf.DUMMYFUNCTION("""COMPUTED_VALUE"""),"Opdv")</f>
        <v>Opdv</v>
      </c>
      <c r="V7506" s="33">
        <f>IFERROR(__xludf.DUMMYFUNCTION("""COMPUTED_VALUE"""),1.0)</f>
        <v>1</v>
      </c>
      <c r="W7506" s="4" t="str">
        <f>IFERROR(__xludf.DUMMYFUNCTION("""COMPUTED_VALUE"""),"Opdv")</f>
        <v>Opdv</v>
      </c>
      <c r="X7506" s="33">
        <f>IFERROR(__xludf.DUMMYFUNCTION("""COMPUTED_VALUE"""),1.0)</f>
        <v>1</v>
      </c>
    </row>
    <row r="7507">
      <c r="K7507" s="4" t="str">
        <f>IFERROR(__xludf.DUMMYFUNCTION("""COMPUTED_VALUE"""),"MR PIGGY MARMITARIA CP")</f>
        <v>MR PIGGY MARMITARIA CP</v>
      </c>
      <c r="L7507" s="32">
        <f>IFERROR(__xludf.DUMMYFUNCTION("""COMPUTED_VALUE"""),2.0)</f>
        <v>2</v>
      </c>
      <c r="M7507" s="4" t="str">
        <f>IFERROR(__xludf.DUMMYFUNCTION("""COMPUTED_VALUE"""),"Saipos Serviços De Software")</f>
        <v>Saipos Serviços De Software</v>
      </c>
      <c r="N7507" s="33">
        <f>IFERROR(__xludf.DUMMYFUNCTION("""COMPUTED_VALUE"""),1.0)</f>
        <v>1</v>
      </c>
      <c r="O7507" s="4" t="str">
        <f>IFERROR(__xludf.DUMMYFUNCTION("""COMPUTED_VALUE"""),"Saipos Serviços De Software")</f>
        <v>Saipos Serviços De Software</v>
      </c>
      <c r="P7507" s="33">
        <f>IFERROR(__xludf.DUMMYFUNCTION("""COMPUTED_VALUE"""),1.0)</f>
        <v>1</v>
      </c>
      <c r="Q7507" s="4" t="str">
        <f>IFERROR(__xludf.DUMMYFUNCTION("""COMPUTED_VALUE"""),"Saipos Serviços De Software")</f>
        <v>Saipos Serviços De Software</v>
      </c>
      <c r="R7507" s="33">
        <f>IFERROR(__xludf.DUMMYFUNCTION("""COMPUTED_VALUE"""),1.0)</f>
        <v>1</v>
      </c>
      <c r="S7507" s="4" t="str">
        <f>IFERROR(__xludf.DUMMYFUNCTION("""COMPUTED_VALUE"""),"Saipos Serviços De Software")</f>
        <v>Saipos Serviços De Software</v>
      </c>
      <c r="T7507" s="33">
        <f>IFERROR(__xludf.DUMMYFUNCTION("""COMPUTED_VALUE"""),1.0)</f>
        <v>1</v>
      </c>
      <c r="U7507" s="4" t="str">
        <f>IFERROR(__xludf.DUMMYFUNCTION("""COMPUTED_VALUE"""),"Saipos Serviços De Software")</f>
        <v>Saipos Serviços De Software</v>
      </c>
      <c r="V7507" s="33">
        <f>IFERROR(__xludf.DUMMYFUNCTION("""COMPUTED_VALUE"""),1.0)</f>
        <v>1</v>
      </c>
      <c r="W7507" s="4" t="str">
        <f>IFERROR(__xludf.DUMMYFUNCTION("""COMPUTED_VALUE"""),"Saipos Serviços De Software")</f>
        <v>Saipos Serviços De Software</v>
      </c>
      <c r="X7507" s="33">
        <f>IFERROR(__xludf.DUMMYFUNCTION("""COMPUTED_VALUE"""),1.0)</f>
        <v>1</v>
      </c>
    </row>
    <row r="7508">
      <c r="K7508" s="4" t="str">
        <f>IFERROR(__xludf.DUMMYFUNCTION("""COMPUTED_VALUE"""),"MR TEMAKI")</f>
        <v>MR TEMAKI</v>
      </c>
      <c r="L7508" s="32">
        <f>IFERROR(__xludf.DUMMYFUNCTION("""COMPUTED_VALUE"""),2.0)</f>
        <v>2</v>
      </c>
      <c r="M7508" s="4" t="str">
        <f>IFERROR(__xludf.DUMMYFUNCTION("""COMPUTED_VALUE"""),"Saipos Serviços De Software")</f>
        <v>Saipos Serviços De Software</v>
      </c>
      <c r="N7508" s="33">
        <f>IFERROR(__xludf.DUMMYFUNCTION("""COMPUTED_VALUE"""),1.0)</f>
        <v>1</v>
      </c>
      <c r="O7508" s="4" t="str">
        <f>IFERROR(__xludf.DUMMYFUNCTION("""COMPUTED_VALUE"""),"Saipos Serviços De Software")</f>
        <v>Saipos Serviços De Software</v>
      </c>
      <c r="P7508" s="33">
        <f>IFERROR(__xludf.DUMMYFUNCTION("""COMPUTED_VALUE"""),1.0)</f>
        <v>1</v>
      </c>
      <c r="Q7508" s="4" t="str">
        <f>IFERROR(__xludf.DUMMYFUNCTION("""COMPUTED_VALUE"""),"Saipos Serviços De Software")</f>
        <v>Saipos Serviços De Software</v>
      </c>
      <c r="R7508" s="33">
        <f>IFERROR(__xludf.DUMMYFUNCTION("""COMPUTED_VALUE"""),0.5)</f>
        <v>0.5</v>
      </c>
      <c r="S7508" s="4" t="str">
        <f>IFERROR(__xludf.DUMMYFUNCTION("""COMPUTED_VALUE"""),"null")</f>
        <v>null</v>
      </c>
      <c r="T7508" s="33">
        <f>IFERROR(__xludf.DUMMYFUNCTION("""COMPUTED_VALUE"""),1.0)</f>
        <v>1</v>
      </c>
      <c r="U7508" s="4" t="str">
        <f>IFERROR(__xludf.DUMMYFUNCTION("""COMPUTED_VALUE"""),"Saipos Serviços De Software")</f>
        <v>Saipos Serviços De Software</v>
      </c>
      <c r="V7508" s="33">
        <f>IFERROR(__xludf.DUMMYFUNCTION("""COMPUTED_VALUE"""),0.5)</f>
        <v>0.5</v>
      </c>
      <c r="W7508" s="4" t="str">
        <f>IFERROR(__xludf.DUMMYFUNCTION("""COMPUTED_VALUE"""),"Saipos Serviços De Software")</f>
        <v>Saipos Serviços De Software</v>
      </c>
      <c r="X7508" s="33">
        <f>IFERROR(__xludf.DUMMYFUNCTION("""COMPUTED_VALUE"""),0.5)</f>
        <v>0.5</v>
      </c>
    </row>
    <row r="7509">
      <c r="K7509" s="4" t="str">
        <f>IFERROR(__xludf.DUMMYFUNCTION("""COMPUTED_VALUE"""),"MR TOURO HAMBURGUERIA ARTESANAL")</f>
        <v>MR TOURO HAMBURGUERIA ARTESANAL</v>
      </c>
      <c r="L7509" s="32">
        <f>IFERROR(__xludf.DUMMYFUNCTION("""COMPUTED_VALUE"""),2.0)</f>
        <v>2</v>
      </c>
      <c r="M7509" s="4" t="str">
        <f>IFERROR(__xludf.DUMMYFUNCTION("""COMPUTED_VALUE"""),"Proabakus Desenvolvimento De Sistemas Ltda")</f>
        <v>Proabakus Desenvolvimento De Sistemas Ltda</v>
      </c>
      <c r="N7509" s="33">
        <f>IFERROR(__xludf.DUMMYFUNCTION("""COMPUTED_VALUE"""),1.0)</f>
        <v>1</v>
      </c>
      <c r="O7509" s="4" t="str">
        <f>IFERROR(__xludf.DUMMYFUNCTION("""COMPUTED_VALUE"""),"null")</f>
        <v>null</v>
      </c>
      <c r="P7509" s="33">
        <f>IFERROR(__xludf.DUMMYFUNCTION("""COMPUTED_VALUE"""),0.5)</f>
        <v>0.5</v>
      </c>
      <c r="Q7509" s="4" t="str">
        <f>IFERROR(__xludf.DUMMYFUNCTION("""COMPUTED_VALUE"""),"null")</f>
        <v>null</v>
      </c>
      <c r="R7509" s="33">
        <f>IFERROR(__xludf.DUMMYFUNCTION("""COMPUTED_VALUE"""),0.5)</f>
        <v>0.5</v>
      </c>
      <c r="S7509" s="4" t="str">
        <f>IFERROR(__xludf.DUMMYFUNCTION("""COMPUTED_VALUE"""),"Proabakus Desenvolvimento De Sistemas Ltda")</f>
        <v>Proabakus Desenvolvimento De Sistemas Ltda</v>
      </c>
      <c r="T7509" s="33">
        <f>IFERROR(__xludf.DUMMYFUNCTION("""COMPUTED_VALUE"""),1.0)</f>
        <v>1</v>
      </c>
      <c r="U7509" s="4" t="str">
        <f>IFERROR(__xludf.DUMMYFUNCTION("""COMPUTED_VALUE"""),"null")</f>
        <v>null</v>
      </c>
      <c r="V7509" s="33">
        <f>IFERROR(__xludf.DUMMYFUNCTION("""COMPUTED_VALUE"""),0.5)</f>
        <v>0.5</v>
      </c>
      <c r="W7509" s="4" t="str">
        <f>IFERROR(__xludf.DUMMYFUNCTION("""COMPUTED_VALUE"""),"null")</f>
        <v>null</v>
      </c>
      <c r="X7509" s="33">
        <f>IFERROR(__xludf.DUMMYFUNCTION("""COMPUTED_VALUE"""),0.5)</f>
        <v>0.5</v>
      </c>
    </row>
    <row r="7510">
      <c r="K7510" s="4" t="str">
        <f>IFERROR(__xludf.DUMMYFUNCTION("""COMPUTED_VALUE"""),"MS BOLOS E CIA - CONTA PAI")</f>
        <v>MS BOLOS E CIA - CONTA PAI</v>
      </c>
      <c r="L7510" s="32">
        <f>IFERROR(__xludf.DUMMYFUNCTION("""COMPUTED_VALUE"""),2.0)</f>
        <v>2</v>
      </c>
      <c r="M7510" s="4" t="str">
        <f>IFERROR(__xludf.DUMMYFUNCTION("""COMPUTED_VALUE"""),"Saipos Serviços De Software")</f>
        <v>Saipos Serviços De Software</v>
      </c>
      <c r="N7510" s="33">
        <f>IFERROR(__xludf.DUMMYFUNCTION("""COMPUTED_VALUE"""),1.0)</f>
        <v>1</v>
      </c>
      <c r="O7510" s="4" t="str">
        <f>IFERROR(__xludf.DUMMYFUNCTION("""COMPUTED_VALUE"""),"Saipos Serviços De Software")</f>
        <v>Saipos Serviços De Software</v>
      </c>
      <c r="P7510" s="33">
        <f>IFERROR(__xludf.DUMMYFUNCTION("""COMPUTED_VALUE"""),1.0)</f>
        <v>1</v>
      </c>
      <c r="Q7510" s="4" t="str">
        <f>IFERROR(__xludf.DUMMYFUNCTION("""COMPUTED_VALUE"""),"Saipos Serviços De Software")</f>
        <v>Saipos Serviços De Software</v>
      </c>
      <c r="R7510" s="33">
        <f>IFERROR(__xludf.DUMMYFUNCTION("""COMPUTED_VALUE"""),1.0)</f>
        <v>1</v>
      </c>
      <c r="S7510" s="4" t="str">
        <f>IFERROR(__xludf.DUMMYFUNCTION("""COMPUTED_VALUE"""),"Saipos Serviços De Software")</f>
        <v>Saipos Serviços De Software</v>
      </c>
      <c r="T7510" s="33">
        <f>IFERROR(__xludf.DUMMYFUNCTION("""COMPUTED_VALUE"""),1.0)</f>
        <v>1</v>
      </c>
      <c r="U7510" s="4" t="str">
        <f>IFERROR(__xludf.DUMMYFUNCTION("""COMPUTED_VALUE"""),"Saipos Serviços De Software")</f>
        <v>Saipos Serviços De Software</v>
      </c>
      <c r="V7510" s="33">
        <f>IFERROR(__xludf.DUMMYFUNCTION("""COMPUTED_VALUE"""),1.0)</f>
        <v>1</v>
      </c>
      <c r="W7510" s="4" t="str">
        <f>IFERROR(__xludf.DUMMYFUNCTION("""COMPUTED_VALUE"""),"Saipos Serviços De Software")</f>
        <v>Saipos Serviços De Software</v>
      </c>
      <c r="X7510" s="33">
        <f>IFERROR(__xludf.DUMMYFUNCTION("""COMPUTED_VALUE"""),1.0)</f>
        <v>1</v>
      </c>
    </row>
    <row r="7511">
      <c r="K7511" s="4" t="str">
        <f>IFERROR(__xludf.DUMMYFUNCTION("""COMPUTED_VALUE"""),"MULTI GOURMET OFICIAL")</f>
        <v>MULTI GOURMET OFICIAL</v>
      </c>
      <c r="L7511" s="32">
        <f>IFERROR(__xludf.DUMMYFUNCTION("""COMPUTED_VALUE"""),2.0)</f>
        <v>2</v>
      </c>
      <c r="M7511" s="4" t="str">
        <f>IFERROR(__xludf.DUMMYFUNCTION("""COMPUTED_VALUE"""),"Saipos Serviços De Software")</f>
        <v>Saipos Serviços De Software</v>
      </c>
      <c r="N7511" s="33">
        <f>IFERROR(__xludf.DUMMYFUNCTION("""COMPUTED_VALUE"""),1.0)</f>
        <v>1</v>
      </c>
      <c r="O7511" s="4" t="str">
        <f>IFERROR(__xludf.DUMMYFUNCTION("""COMPUTED_VALUE"""),"Saipos Serviços De Software")</f>
        <v>Saipos Serviços De Software</v>
      </c>
      <c r="P7511" s="33">
        <f>IFERROR(__xludf.DUMMYFUNCTION("""COMPUTED_VALUE"""),1.0)</f>
        <v>1</v>
      </c>
      <c r="Q7511" s="4" t="str">
        <f>IFERROR(__xludf.DUMMYFUNCTION("""COMPUTED_VALUE"""),"Saipos Serviços De Software")</f>
        <v>Saipos Serviços De Software</v>
      </c>
      <c r="R7511" s="33">
        <f>IFERROR(__xludf.DUMMYFUNCTION("""COMPUTED_VALUE"""),1.0)</f>
        <v>1</v>
      </c>
      <c r="S7511" s="4" t="str">
        <f>IFERROR(__xludf.DUMMYFUNCTION("""COMPUTED_VALUE"""),"Saipos Serviços De Software")</f>
        <v>Saipos Serviços De Software</v>
      </c>
      <c r="T7511" s="33">
        <f>IFERROR(__xludf.DUMMYFUNCTION("""COMPUTED_VALUE"""),1.0)</f>
        <v>1</v>
      </c>
      <c r="U7511" s="4" t="str">
        <f>IFERROR(__xludf.DUMMYFUNCTION("""COMPUTED_VALUE"""),"Saipos Serviços De Software")</f>
        <v>Saipos Serviços De Software</v>
      </c>
      <c r="V7511" s="33">
        <f>IFERROR(__xludf.DUMMYFUNCTION("""COMPUTED_VALUE"""),1.0)</f>
        <v>1</v>
      </c>
      <c r="W7511" s="4" t="str">
        <f>IFERROR(__xludf.DUMMYFUNCTION("""COMPUTED_VALUE"""),"Saipos Serviços De Software")</f>
        <v>Saipos Serviços De Software</v>
      </c>
      <c r="X7511" s="33">
        <f>IFERROR(__xludf.DUMMYFUNCTION("""COMPUTED_VALUE"""),1.0)</f>
        <v>1</v>
      </c>
    </row>
    <row r="7512">
      <c r="K7512" s="4" t="str">
        <f>IFERROR(__xludf.DUMMYFUNCTION("""COMPUTED_VALUE"""),"MULTTT FARMA - CONTA PAI")</f>
        <v>MULTTT FARMA - CONTA PAI</v>
      </c>
      <c r="L7512" s="32">
        <f>IFERROR(__xludf.DUMMYFUNCTION("""COMPUTED_VALUE"""),2.0)</f>
        <v>2</v>
      </c>
      <c r="M7512" s="4" t="str">
        <f>IFERROR(__xludf.DUMMYFUNCTION("""COMPUTED_VALUE"""),"N/A (Not found)")</f>
        <v>N/A (Not found)</v>
      </c>
      <c r="N7512" s="33">
        <f>IFERROR(__xludf.DUMMYFUNCTION("""COMPUTED_VALUE"""),1.0)</f>
        <v>1</v>
      </c>
      <c r="O7512" s="4" t="str">
        <f>IFERROR(__xludf.DUMMYFUNCTION("""COMPUTED_VALUE"""),"N/A (Not found)")</f>
        <v>N/A (Not found)</v>
      </c>
      <c r="P7512" s="33">
        <f>IFERROR(__xludf.DUMMYFUNCTION("""COMPUTED_VALUE"""),1.0)</f>
        <v>1</v>
      </c>
      <c r="Q7512" s="4" t="str">
        <f>IFERROR(__xludf.DUMMYFUNCTION("""COMPUTED_VALUE"""),"N/A (Not found)")</f>
        <v>N/A (Not found)</v>
      </c>
      <c r="R7512" s="33">
        <f>IFERROR(__xludf.DUMMYFUNCTION("""COMPUTED_VALUE"""),1.0)</f>
        <v>1</v>
      </c>
      <c r="S7512" s="4" t="str">
        <f>IFERROR(__xludf.DUMMYFUNCTION("""COMPUTED_VALUE"""),"N/A (Not found)")</f>
        <v>N/A (Not found)</v>
      </c>
      <c r="T7512" s="33">
        <f>IFERROR(__xludf.DUMMYFUNCTION("""COMPUTED_VALUE"""),1.0)</f>
        <v>1</v>
      </c>
      <c r="U7512" s="4" t="str">
        <f>IFERROR(__xludf.DUMMYFUNCTION("""COMPUTED_VALUE"""),"N/A (Not found)")</f>
        <v>N/A (Not found)</v>
      </c>
      <c r="V7512" s="33">
        <f>IFERROR(__xludf.DUMMYFUNCTION("""COMPUTED_VALUE"""),1.0)</f>
        <v>1</v>
      </c>
      <c r="W7512" s="4" t="str">
        <f>IFERROR(__xludf.DUMMYFUNCTION("""COMPUTED_VALUE"""),"N/A (Not found)")</f>
        <v>N/A (Not found)</v>
      </c>
      <c r="X7512" s="33">
        <f>IFERROR(__xludf.DUMMYFUNCTION("""COMPUTED_VALUE"""),1.0)</f>
        <v>1</v>
      </c>
    </row>
    <row r="7513">
      <c r="K7513" s="4" t="str">
        <f>IFERROR(__xludf.DUMMYFUNCTION("""COMPUTED_VALUE"""),"MUMI SUSHI")</f>
        <v>MUMI SUSHI</v>
      </c>
      <c r="L7513" s="32">
        <f>IFERROR(__xludf.DUMMYFUNCTION("""COMPUTED_VALUE"""),2.0)</f>
        <v>2</v>
      </c>
      <c r="M7513" s="4" t="str">
        <f>IFERROR(__xludf.DUMMYFUNCTION("""COMPUTED_VALUE"""),"Saipos Serviços De Software")</f>
        <v>Saipos Serviços De Software</v>
      </c>
      <c r="N7513" s="33">
        <f>IFERROR(__xludf.DUMMYFUNCTION("""COMPUTED_VALUE"""),1.0)</f>
        <v>1</v>
      </c>
      <c r="O7513" s="4" t="str">
        <f>IFERROR(__xludf.DUMMYFUNCTION("""COMPUTED_VALUE"""),"Saipos Serviços De Software")</f>
        <v>Saipos Serviços De Software</v>
      </c>
      <c r="P7513" s="33">
        <f>IFERROR(__xludf.DUMMYFUNCTION("""COMPUTED_VALUE"""),1.0)</f>
        <v>1</v>
      </c>
      <c r="Q7513" s="4" t="str">
        <f>IFERROR(__xludf.DUMMYFUNCTION("""COMPUTED_VALUE"""),"Saipos Serviços De Software")</f>
        <v>Saipos Serviços De Software</v>
      </c>
      <c r="R7513" s="33">
        <f>IFERROR(__xludf.DUMMYFUNCTION("""COMPUTED_VALUE"""),1.0)</f>
        <v>1</v>
      </c>
      <c r="S7513" s="4" t="str">
        <f>IFERROR(__xludf.DUMMYFUNCTION("""COMPUTED_VALUE"""),"Saipos Serviços De Software")</f>
        <v>Saipos Serviços De Software</v>
      </c>
      <c r="T7513" s="33">
        <f>IFERROR(__xludf.DUMMYFUNCTION("""COMPUTED_VALUE"""),1.0)</f>
        <v>1</v>
      </c>
      <c r="U7513" s="4" t="str">
        <f>IFERROR(__xludf.DUMMYFUNCTION("""COMPUTED_VALUE"""),"Saipos Serviços De Software")</f>
        <v>Saipos Serviços De Software</v>
      </c>
      <c r="V7513" s="33">
        <f>IFERROR(__xludf.DUMMYFUNCTION("""COMPUTED_VALUE"""),1.0)</f>
        <v>1</v>
      </c>
      <c r="W7513" s="4" t="str">
        <f>IFERROR(__xludf.DUMMYFUNCTION("""COMPUTED_VALUE"""),"Saipos Serviços De Software")</f>
        <v>Saipos Serviços De Software</v>
      </c>
      <c r="X7513" s="33">
        <f>IFERROR(__xludf.DUMMYFUNCTION("""COMPUTED_VALUE"""),1.0)</f>
        <v>1</v>
      </c>
    </row>
    <row r="7514">
      <c r="K7514" s="4" t="str">
        <f>IFERROR(__xludf.DUMMYFUNCTION("""COMPUTED_VALUE"""),"MUNDIAL LANCHES")</f>
        <v>MUNDIAL LANCHES</v>
      </c>
      <c r="L7514" s="32">
        <f>IFERROR(__xludf.DUMMYFUNCTION("""COMPUTED_VALUE"""),2.0)</f>
        <v>2</v>
      </c>
      <c r="M7514" s="4" t="str">
        <f>IFERROR(__xludf.DUMMYFUNCTION("""COMPUTED_VALUE"""),"Menew - Linx")</f>
        <v>Menew - Linx</v>
      </c>
      <c r="N7514" s="33">
        <f>IFERROR(__xludf.DUMMYFUNCTION("""COMPUTED_VALUE"""),1.0)</f>
        <v>1</v>
      </c>
      <c r="O7514" s="4" t="str">
        <f>IFERROR(__xludf.DUMMYFUNCTION("""COMPUTED_VALUE"""),"Menew - Linx")</f>
        <v>Menew - Linx</v>
      </c>
      <c r="P7514" s="33">
        <f>IFERROR(__xludf.DUMMYFUNCTION("""COMPUTED_VALUE"""),1.0)</f>
        <v>1</v>
      </c>
      <c r="Q7514" s="4" t="str">
        <f>IFERROR(__xludf.DUMMYFUNCTION("""COMPUTED_VALUE"""),"Menew - Linx")</f>
        <v>Menew - Linx</v>
      </c>
      <c r="R7514" s="33">
        <f>IFERROR(__xludf.DUMMYFUNCTION("""COMPUTED_VALUE"""),1.0)</f>
        <v>1</v>
      </c>
      <c r="S7514" s="4" t="str">
        <f>IFERROR(__xludf.DUMMYFUNCTION("""COMPUTED_VALUE"""),"Menew - Linx")</f>
        <v>Menew - Linx</v>
      </c>
      <c r="T7514" s="33">
        <f>IFERROR(__xludf.DUMMYFUNCTION("""COMPUTED_VALUE"""),1.0)</f>
        <v>1</v>
      </c>
      <c r="U7514" s="4" t="str">
        <f>IFERROR(__xludf.DUMMYFUNCTION("""COMPUTED_VALUE"""),"Menew - Linx")</f>
        <v>Menew - Linx</v>
      </c>
      <c r="V7514" s="33">
        <f>IFERROR(__xludf.DUMMYFUNCTION("""COMPUTED_VALUE"""),1.0)</f>
        <v>1</v>
      </c>
      <c r="W7514" s="4" t="str">
        <f>IFERROR(__xludf.DUMMYFUNCTION("""COMPUTED_VALUE"""),"Menew - Linx")</f>
        <v>Menew - Linx</v>
      </c>
      <c r="X7514" s="33">
        <f>IFERROR(__xludf.DUMMYFUNCTION("""COMPUTED_VALUE"""),1.0)</f>
        <v>1</v>
      </c>
    </row>
    <row r="7515">
      <c r="K7515" s="4" t="str">
        <f>IFERROR(__xludf.DUMMYFUNCTION("""COMPUTED_VALUE"""),"MUSTACHE PIZZA")</f>
        <v>MUSTACHE PIZZA</v>
      </c>
      <c r="L7515" s="32">
        <f>IFERROR(__xludf.DUMMYFUNCTION("""COMPUTED_VALUE"""),2.0)</f>
        <v>2</v>
      </c>
      <c r="M7515" s="4" t="str">
        <f>IFERROR(__xludf.DUMMYFUNCTION("""COMPUTED_VALUE"""),"Saipos Serviços De Software")</f>
        <v>Saipos Serviços De Software</v>
      </c>
      <c r="N7515" s="33">
        <f>IFERROR(__xludf.DUMMYFUNCTION("""COMPUTED_VALUE"""),1.0)</f>
        <v>1</v>
      </c>
      <c r="O7515" s="4" t="str">
        <f>IFERROR(__xludf.DUMMYFUNCTION("""COMPUTED_VALUE"""),"Saipos Serviços De Software")</f>
        <v>Saipos Serviços De Software</v>
      </c>
      <c r="P7515" s="33">
        <f>IFERROR(__xludf.DUMMYFUNCTION("""COMPUTED_VALUE"""),1.0)</f>
        <v>1</v>
      </c>
      <c r="Q7515" s="4" t="str">
        <f>IFERROR(__xludf.DUMMYFUNCTION("""COMPUTED_VALUE"""),"Saipos Serviços De Software")</f>
        <v>Saipos Serviços De Software</v>
      </c>
      <c r="R7515" s="33">
        <f>IFERROR(__xludf.DUMMYFUNCTION("""COMPUTED_VALUE"""),1.0)</f>
        <v>1</v>
      </c>
      <c r="S7515" s="4" t="str">
        <f>IFERROR(__xludf.DUMMYFUNCTION("""COMPUTED_VALUE"""),"Saipos Serviços De Software")</f>
        <v>Saipos Serviços De Software</v>
      </c>
      <c r="T7515" s="33">
        <f>IFERROR(__xludf.DUMMYFUNCTION("""COMPUTED_VALUE"""),1.0)</f>
        <v>1</v>
      </c>
      <c r="U7515" s="4" t="str">
        <f>IFERROR(__xludf.DUMMYFUNCTION("""COMPUTED_VALUE"""),"Saipos Serviços De Software")</f>
        <v>Saipos Serviços De Software</v>
      </c>
      <c r="V7515" s="33">
        <f>IFERROR(__xludf.DUMMYFUNCTION("""COMPUTED_VALUE"""),1.0)</f>
        <v>1</v>
      </c>
      <c r="W7515" s="4" t="str">
        <f>IFERROR(__xludf.DUMMYFUNCTION("""COMPUTED_VALUE"""),"Saipos Serviços De Software")</f>
        <v>Saipos Serviços De Software</v>
      </c>
      <c r="X7515" s="33">
        <f>IFERROR(__xludf.DUMMYFUNCTION("""COMPUTED_VALUE"""),1.0)</f>
        <v>1</v>
      </c>
    </row>
    <row r="7516">
      <c r="K7516" s="4" t="str">
        <f>IFERROR(__xludf.DUMMYFUNCTION("""COMPUTED_VALUE"""),"MY DELLI PIZZA")</f>
        <v>MY DELLI PIZZA</v>
      </c>
      <c r="L7516" s="32">
        <f>IFERROR(__xludf.DUMMYFUNCTION("""COMPUTED_VALUE"""),2.0)</f>
        <v>2</v>
      </c>
      <c r="M7516" s="4" t="str">
        <f>IFERROR(__xludf.DUMMYFUNCTION("""COMPUTED_VALUE"""),"Saipos Serviços De Software")</f>
        <v>Saipos Serviços De Software</v>
      </c>
      <c r="N7516" s="33">
        <f>IFERROR(__xludf.DUMMYFUNCTION("""COMPUTED_VALUE"""),1.0)</f>
        <v>1</v>
      </c>
      <c r="O7516" s="4" t="str">
        <f>IFERROR(__xludf.DUMMYFUNCTION("""COMPUTED_VALUE"""),"Saipos Serviços De Software")</f>
        <v>Saipos Serviços De Software</v>
      </c>
      <c r="P7516" s="33">
        <f>IFERROR(__xludf.DUMMYFUNCTION("""COMPUTED_VALUE"""),1.0)</f>
        <v>1</v>
      </c>
      <c r="Q7516" s="4" t="str">
        <f>IFERROR(__xludf.DUMMYFUNCTION("""COMPUTED_VALUE"""),"Saipos Serviços De Software")</f>
        <v>Saipos Serviços De Software</v>
      </c>
      <c r="R7516" s="33">
        <f>IFERROR(__xludf.DUMMYFUNCTION("""COMPUTED_VALUE"""),1.0)</f>
        <v>1</v>
      </c>
      <c r="S7516" s="4" t="str">
        <f>IFERROR(__xludf.DUMMYFUNCTION("""COMPUTED_VALUE"""),"Saipos Serviços De Software")</f>
        <v>Saipos Serviços De Software</v>
      </c>
      <c r="T7516" s="33">
        <f>IFERROR(__xludf.DUMMYFUNCTION("""COMPUTED_VALUE"""),0.5)</f>
        <v>0.5</v>
      </c>
      <c r="U7516" s="4" t="str">
        <f>IFERROR(__xludf.DUMMYFUNCTION("""COMPUTED_VALUE"""),"Saipos Serviços De Software")</f>
        <v>Saipos Serviços De Software</v>
      </c>
      <c r="V7516" s="33">
        <f>IFERROR(__xludf.DUMMYFUNCTION("""COMPUTED_VALUE"""),0.5)</f>
        <v>0.5</v>
      </c>
      <c r="W7516" s="4" t="str">
        <f>IFERROR(__xludf.DUMMYFUNCTION("""COMPUTED_VALUE"""),"Saipos Serviços De Software")</f>
        <v>Saipos Serviços De Software</v>
      </c>
      <c r="X7516" s="33">
        <f>IFERROR(__xludf.DUMMYFUNCTION("""COMPUTED_VALUE"""),1.0)</f>
        <v>1</v>
      </c>
    </row>
    <row r="7517">
      <c r="K7517" s="4" t="str">
        <f>IFERROR(__xludf.DUMMYFUNCTION("""COMPUTED_VALUE"""),"NACAO VERDE - CONTA MARCA")</f>
        <v>NACAO VERDE - CONTA MARCA</v>
      </c>
      <c r="L7517" s="32">
        <f>IFERROR(__xludf.DUMMYFUNCTION("""COMPUTED_VALUE"""),2.0)</f>
        <v>2</v>
      </c>
      <c r="M7517" s="4" t="str">
        <f>IFERROR(__xludf.DUMMYFUNCTION("""COMPUTED_VALUE"""),"N/A (Not found)")</f>
        <v>N/A (Not found)</v>
      </c>
      <c r="N7517" s="33">
        <f>IFERROR(__xludf.DUMMYFUNCTION("""COMPUTED_VALUE"""),0.5)</f>
        <v>0.5</v>
      </c>
      <c r="O7517" s="4" t="str">
        <f>IFERROR(__xludf.DUMMYFUNCTION("""COMPUTED_VALUE"""),"N/A (Not found)")</f>
        <v>N/A (Not found)</v>
      </c>
      <c r="P7517" s="33">
        <f>IFERROR(__xludf.DUMMYFUNCTION("""COMPUTED_VALUE"""),0.5)</f>
        <v>0.5</v>
      </c>
      <c r="Q7517" s="4" t="str">
        <f>IFERROR(__xludf.DUMMYFUNCTION("""COMPUTED_VALUE"""),"N/A (Not found)")</f>
        <v>N/A (Not found)</v>
      </c>
      <c r="R7517" s="33">
        <f>IFERROR(__xludf.DUMMYFUNCTION("""COMPUTED_VALUE"""),0.5)</f>
        <v>0.5</v>
      </c>
      <c r="S7517" s="4" t="str">
        <f>IFERROR(__xludf.DUMMYFUNCTION("""COMPUTED_VALUE"""),"N/A (Not found)")</f>
        <v>N/A (Not found)</v>
      </c>
      <c r="T7517" s="33">
        <f>IFERROR(__xludf.DUMMYFUNCTION("""COMPUTED_VALUE"""),1.0)</f>
        <v>1</v>
      </c>
      <c r="U7517" s="4" t="str">
        <f>IFERROR(__xludf.DUMMYFUNCTION("""COMPUTED_VALUE"""),"N/A (Not found)")</f>
        <v>N/A (Not found)</v>
      </c>
      <c r="V7517" s="33">
        <f>IFERROR(__xludf.DUMMYFUNCTION("""COMPUTED_VALUE"""),1.0)</f>
        <v>1</v>
      </c>
      <c r="W7517" s="4" t="str">
        <f>IFERROR(__xludf.DUMMYFUNCTION("""COMPUTED_VALUE"""),"N/A (Not found)")</f>
        <v>N/A (Not found)</v>
      </c>
      <c r="X7517" s="33">
        <f>IFERROR(__xludf.DUMMYFUNCTION("""COMPUTED_VALUE"""),0.5)</f>
        <v>0.5</v>
      </c>
    </row>
    <row r="7518">
      <c r="K7518" s="4" t="str">
        <f>IFERROR(__xludf.DUMMYFUNCTION("""COMPUTED_VALUE"""),"NACIONAL LANCHES - MARCA")</f>
        <v>NACIONAL LANCHES - MARCA</v>
      </c>
      <c r="L7518" s="32">
        <f>IFERROR(__xludf.DUMMYFUNCTION("""COMPUTED_VALUE"""),2.0)</f>
        <v>2</v>
      </c>
      <c r="M7518" s="4" t="str">
        <f>IFERROR(__xludf.DUMMYFUNCTION("""COMPUTED_VALUE"""),"Sagres Automação Comercial")</f>
        <v>Sagres Automação Comercial</v>
      </c>
      <c r="N7518" s="33">
        <f>IFERROR(__xludf.DUMMYFUNCTION("""COMPUTED_VALUE"""),0.5)</f>
        <v>0.5</v>
      </c>
      <c r="O7518" s="4" t="str">
        <f>IFERROR(__xludf.DUMMYFUNCTION("""COMPUTED_VALUE"""),"Sagres Automação Comercial")</f>
        <v>Sagres Automação Comercial</v>
      </c>
      <c r="P7518" s="33">
        <f>IFERROR(__xludf.DUMMYFUNCTION("""COMPUTED_VALUE"""),0.5)</f>
        <v>0.5</v>
      </c>
      <c r="Q7518" s="4" t="str">
        <f>IFERROR(__xludf.DUMMYFUNCTION("""COMPUTED_VALUE"""),"Sagres Automação Comercial")</f>
        <v>Sagres Automação Comercial</v>
      </c>
      <c r="R7518" s="33">
        <f>IFERROR(__xludf.DUMMYFUNCTION("""COMPUTED_VALUE"""),0.5)</f>
        <v>0.5</v>
      </c>
      <c r="S7518" s="4" t="str">
        <f>IFERROR(__xludf.DUMMYFUNCTION("""COMPUTED_VALUE"""),"Sagres Automação Comercial")</f>
        <v>Sagres Automação Comercial</v>
      </c>
      <c r="T7518" s="33">
        <f>IFERROR(__xludf.DUMMYFUNCTION("""COMPUTED_VALUE"""),0.5)</f>
        <v>0.5</v>
      </c>
      <c r="U7518" s="4" t="str">
        <f>IFERROR(__xludf.DUMMYFUNCTION("""COMPUTED_VALUE"""),"Sagres Automação Comercial")</f>
        <v>Sagres Automação Comercial</v>
      </c>
      <c r="V7518" s="33">
        <f>IFERROR(__xludf.DUMMYFUNCTION("""COMPUTED_VALUE"""),0.5)</f>
        <v>0.5</v>
      </c>
      <c r="W7518" s="4" t="str">
        <f>IFERROR(__xludf.DUMMYFUNCTION("""COMPUTED_VALUE"""),"Sagres Automação Comercial")</f>
        <v>Sagres Automação Comercial</v>
      </c>
      <c r="X7518" s="33">
        <f>IFERROR(__xludf.DUMMYFUNCTION("""COMPUTED_VALUE"""),1.0)</f>
        <v>1</v>
      </c>
    </row>
    <row r="7519">
      <c r="K7519" s="4" t="str">
        <f>IFERROR(__xludf.DUMMYFUNCTION("""COMPUTED_VALUE"""),"NAMORAL SUSHI POKES")</f>
        <v>NAMORAL SUSHI POKES</v>
      </c>
      <c r="L7519" s="32">
        <f>IFERROR(__xludf.DUMMYFUNCTION("""COMPUTED_VALUE"""),2.0)</f>
        <v>2</v>
      </c>
      <c r="M7519" s="4" t="str">
        <f>IFERROR(__xludf.DUMMYFUNCTION("""COMPUTED_VALUE"""),"null")</f>
        <v>null</v>
      </c>
      <c r="N7519" s="33">
        <f>IFERROR(__xludf.DUMMYFUNCTION("""COMPUTED_VALUE"""),0.5)</f>
        <v>0.5</v>
      </c>
      <c r="O7519" s="4" t="str">
        <f>IFERROR(__xludf.DUMMYFUNCTION("""COMPUTED_VALUE"""),"Saipos Serviços De Software")</f>
        <v>Saipos Serviços De Software</v>
      </c>
      <c r="P7519" s="33">
        <f>IFERROR(__xludf.DUMMYFUNCTION("""COMPUTED_VALUE"""),1.0)</f>
        <v>1</v>
      </c>
      <c r="Q7519" s="4" t="str">
        <f>IFERROR(__xludf.DUMMYFUNCTION("""COMPUTED_VALUE"""),"Saipos Serviços De Software")</f>
        <v>Saipos Serviços De Software</v>
      </c>
      <c r="R7519" s="33">
        <f>IFERROR(__xludf.DUMMYFUNCTION("""COMPUTED_VALUE"""),1.0)</f>
        <v>1</v>
      </c>
      <c r="S7519" s="4" t="str">
        <f>IFERROR(__xludf.DUMMYFUNCTION("""COMPUTED_VALUE"""),"Saipos Serviços De Software")</f>
        <v>Saipos Serviços De Software</v>
      </c>
      <c r="T7519" s="33">
        <f>IFERROR(__xludf.DUMMYFUNCTION("""COMPUTED_VALUE"""),1.0)</f>
        <v>1</v>
      </c>
      <c r="U7519" s="4" t="str">
        <f>IFERROR(__xludf.DUMMYFUNCTION("""COMPUTED_VALUE"""),"Saipos Serviços De Software")</f>
        <v>Saipos Serviços De Software</v>
      </c>
      <c r="V7519" s="33">
        <f>IFERROR(__xludf.DUMMYFUNCTION("""COMPUTED_VALUE"""),1.0)</f>
        <v>1</v>
      </c>
      <c r="W7519" s="4" t="str">
        <f>IFERROR(__xludf.DUMMYFUNCTION("""COMPUTED_VALUE"""),"Saipos Serviços De Software")</f>
        <v>Saipos Serviços De Software</v>
      </c>
      <c r="X7519" s="33">
        <f>IFERROR(__xludf.DUMMYFUNCTION("""COMPUTED_VALUE"""),1.0)</f>
        <v>1</v>
      </c>
    </row>
    <row r="7520">
      <c r="K7520" s="4" t="str">
        <f>IFERROR(__xludf.DUMMYFUNCTION("""COMPUTED_VALUE"""),"NAORTA - CONTA PAI")</f>
        <v>NAORTA - CONTA PAI</v>
      </c>
      <c r="L7520" s="32">
        <f>IFERROR(__xludf.DUMMYFUNCTION("""COMPUTED_VALUE"""),2.0)</f>
        <v>2</v>
      </c>
      <c r="M7520" s="4" t="str">
        <f>IFERROR(__xludf.DUMMYFUNCTION("""COMPUTED_VALUE"""),"Ncr")</f>
        <v>Ncr</v>
      </c>
      <c r="N7520" s="33">
        <f>IFERROR(__xludf.DUMMYFUNCTION("""COMPUTED_VALUE"""),1.0)</f>
        <v>1</v>
      </c>
      <c r="O7520" s="4" t="str">
        <f>IFERROR(__xludf.DUMMYFUNCTION("""COMPUTED_VALUE"""),"Ncr")</f>
        <v>Ncr</v>
      </c>
      <c r="P7520" s="33">
        <f>IFERROR(__xludf.DUMMYFUNCTION("""COMPUTED_VALUE"""),1.0)</f>
        <v>1</v>
      </c>
      <c r="Q7520" s="4" t="str">
        <f>IFERROR(__xludf.DUMMYFUNCTION("""COMPUTED_VALUE"""),"Ncr")</f>
        <v>Ncr</v>
      </c>
      <c r="R7520" s="33">
        <f>IFERROR(__xludf.DUMMYFUNCTION("""COMPUTED_VALUE"""),1.0)</f>
        <v>1</v>
      </c>
      <c r="S7520" s="4" t="str">
        <f>IFERROR(__xludf.DUMMYFUNCTION("""COMPUTED_VALUE"""),"Ncr")</f>
        <v>Ncr</v>
      </c>
      <c r="T7520" s="33">
        <f>IFERROR(__xludf.DUMMYFUNCTION("""COMPUTED_VALUE"""),1.0)</f>
        <v>1</v>
      </c>
      <c r="U7520" s="4" t="str">
        <f>IFERROR(__xludf.DUMMYFUNCTION("""COMPUTED_VALUE"""),"Ncr")</f>
        <v>Ncr</v>
      </c>
      <c r="V7520" s="33">
        <f>IFERROR(__xludf.DUMMYFUNCTION("""COMPUTED_VALUE"""),1.0)</f>
        <v>1</v>
      </c>
      <c r="W7520" s="4" t="str">
        <f>IFERROR(__xludf.DUMMYFUNCTION("""COMPUTED_VALUE"""),"Ncr")</f>
        <v>Ncr</v>
      </c>
      <c r="X7520" s="33">
        <f>IFERROR(__xludf.DUMMYFUNCTION("""COMPUTED_VALUE"""),1.0)</f>
        <v>1</v>
      </c>
    </row>
    <row r="7521">
      <c r="K7521" s="4" t="str">
        <f>IFERROR(__xludf.DUMMYFUNCTION("""COMPUTED_VALUE"""),"NAPO PIZZARIA MARCA")</f>
        <v>NAPO PIZZARIA MARCA</v>
      </c>
      <c r="L7521" s="32">
        <f>IFERROR(__xludf.DUMMYFUNCTION("""COMPUTED_VALUE"""),2.0)</f>
        <v>2</v>
      </c>
      <c r="M7521" s="4" t="str">
        <f>IFERROR(__xludf.DUMMYFUNCTION("""COMPUTED_VALUE"""),"Saipos Serviços De Software")</f>
        <v>Saipos Serviços De Software</v>
      </c>
      <c r="N7521" s="33">
        <f>IFERROR(__xludf.DUMMYFUNCTION("""COMPUTED_VALUE"""),1.0)</f>
        <v>1</v>
      </c>
      <c r="O7521" s="4" t="str">
        <f>IFERROR(__xludf.DUMMYFUNCTION("""COMPUTED_VALUE"""),"Saipos Serviços De Software")</f>
        <v>Saipos Serviços De Software</v>
      </c>
      <c r="P7521" s="33">
        <f>IFERROR(__xludf.DUMMYFUNCTION("""COMPUTED_VALUE"""),1.0)</f>
        <v>1</v>
      </c>
      <c r="Q7521" s="4" t="str">
        <f>IFERROR(__xludf.DUMMYFUNCTION("""COMPUTED_VALUE"""),"Saipos Serviços De Software")</f>
        <v>Saipos Serviços De Software</v>
      </c>
      <c r="R7521" s="33">
        <f>IFERROR(__xludf.DUMMYFUNCTION("""COMPUTED_VALUE"""),1.0)</f>
        <v>1</v>
      </c>
      <c r="S7521" s="4" t="str">
        <f>IFERROR(__xludf.DUMMYFUNCTION("""COMPUTED_VALUE"""),"Saipos Serviços De Software")</f>
        <v>Saipos Serviços De Software</v>
      </c>
      <c r="T7521" s="33">
        <f>IFERROR(__xludf.DUMMYFUNCTION("""COMPUTED_VALUE"""),1.0)</f>
        <v>1</v>
      </c>
      <c r="U7521" s="4" t="str">
        <f>IFERROR(__xludf.DUMMYFUNCTION("""COMPUTED_VALUE"""),"Saipos Serviços De Software")</f>
        <v>Saipos Serviços De Software</v>
      </c>
      <c r="V7521" s="33">
        <f>IFERROR(__xludf.DUMMYFUNCTION("""COMPUTED_VALUE"""),1.0)</f>
        <v>1</v>
      </c>
      <c r="W7521" s="4" t="str">
        <f>IFERROR(__xludf.DUMMYFUNCTION("""COMPUTED_VALUE"""),"Saipos Serviços De Software")</f>
        <v>Saipos Serviços De Software</v>
      </c>
      <c r="X7521" s="33">
        <f>IFERROR(__xludf.DUMMYFUNCTION("""COMPUTED_VALUE"""),1.0)</f>
        <v>1</v>
      </c>
    </row>
    <row r="7522">
      <c r="K7522" s="4" t="str">
        <f>IFERROR(__xludf.DUMMYFUNCTION("""COMPUTED_VALUE"""),"NATA BURGUER")</f>
        <v>NATA BURGUER</v>
      </c>
      <c r="L7522" s="32">
        <f>IFERROR(__xludf.DUMMYFUNCTION("""COMPUTED_VALUE"""),2.0)</f>
        <v>2</v>
      </c>
      <c r="M7522" s="4" t="str">
        <f>IFERROR(__xludf.DUMMYFUNCTION("""COMPUTED_VALUE"""),"Cardápio Web")</f>
        <v>Cardápio Web</v>
      </c>
      <c r="N7522" s="33">
        <f>IFERROR(__xludf.DUMMYFUNCTION("""COMPUTED_VALUE"""),1.0)</f>
        <v>1</v>
      </c>
      <c r="O7522" s="4" t="str">
        <f>IFERROR(__xludf.DUMMYFUNCTION("""COMPUTED_VALUE"""),"Cardápio Web")</f>
        <v>Cardápio Web</v>
      </c>
      <c r="P7522" s="33">
        <f>IFERROR(__xludf.DUMMYFUNCTION("""COMPUTED_VALUE"""),1.0)</f>
        <v>1</v>
      </c>
      <c r="Q7522" s="4" t="str">
        <f>IFERROR(__xludf.DUMMYFUNCTION("""COMPUTED_VALUE"""),"Cardápio Web")</f>
        <v>Cardápio Web</v>
      </c>
      <c r="R7522" s="33">
        <f>IFERROR(__xludf.DUMMYFUNCTION("""COMPUTED_VALUE"""),1.0)</f>
        <v>1</v>
      </c>
      <c r="S7522" s="4" t="str">
        <f>IFERROR(__xludf.DUMMYFUNCTION("""COMPUTED_VALUE"""),"Cardápio Web")</f>
        <v>Cardápio Web</v>
      </c>
      <c r="T7522" s="33">
        <f>IFERROR(__xludf.DUMMYFUNCTION("""COMPUTED_VALUE"""),1.0)</f>
        <v>1</v>
      </c>
      <c r="U7522" s="4" t="str">
        <f>IFERROR(__xludf.DUMMYFUNCTION("""COMPUTED_VALUE"""),"Cardápio Web")</f>
        <v>Cardápio Web</v>
      </c>
      <c r="V7522" s="33">
        <f>IFERROR(__xludf.DUMMYFUNCTION("""COMPUTED_VALUE"""),1.0)</f>
        <v>1</v>
      </c>
      <c r="W7522" s="4" t="str">
        <f>IFERROR(__xludf.DUMMYFUNCTION("""COMPUTED_VALUE"""),"Cardápio Web")</f>
        <v>Cardápio Web</v>
      </c>
      <c r="X7522" s="33">
        <f>IFERROR(__xludf.DUMMYFUNCTION("""COMPUTED_VALUE"""),1.0)</f>
        <v>1</v>
      </c>
    </row>
    <row r="7523">
      <c r="K7523" s="4" t="str">
        <f>IFERROR(__xludf.DUMMYFUNCTION("""COMPUTED_VALUE"""),"NAVE MARCA")</f>
        <v>NAVE MARCA</v>
      </c>
      <c r="L7523" s="32">
        <f>IFERROR(__xludf.DUMMYFUNCTION("""COMPUTED_VALUE"""),2.0)</f>
        <v>2</v>
      </c>
      <c r="M7523" s="4" t="str">
        <f>IFERROR(__xludf.DUMMYFUNCTION("""COMPUTED_VALUE"""),"Connectplug")</f>
        <v>Connectplug</v>
      </c>
      <c r="N7523" s="33">
        <f>IFERROR(__xludf.DUMMYFUNCTION("""COMPUTED_VALUE"""),1.0)</f>
        <v>1</v>
      </c>
      <c r="O7523" s="4" t="str">
        <f>IFERROR(__xludf.DUMMYFUNCTION("""COMPUTED_VALUE"""),"Connectplug")</f>
        <v>Connectplug</v>
      </c>
      <c r="P7523" s="33">
        <f>IFERROR(__xludf.DUMMYFUNCTION("""COMPUTED_VALUE"""),1.0)</f>
        <v>1</v>
      </c>
      <c r="Q7523" s="4" t="str">
        <f>IFERROR(__xludf.DUMMYFUNCTION("""COMPUTED_VALUE"""),"Connectplug")</f>
        <v>Connectplug</v>
      </c>
      <c r="R7523" s="33">
        <f>IFERROR(__xludf.DUMMYFUNCTION("""COMPUTED_VALUE"""),1.0)</f>
        <v>1</v>
      </c>
      <c r="S7523" s="4" t="str">
        <f>IFERROR(__xludf.DUMMYFUNCTION("""COMPUTED_VALUE"""),"Connectplug")</f>
        <v>Connectplug</v>
      </c>
      <c r="T7523" s="33">
        <f>IFERROR(__xludf.DUMMYFUNCTION("""COMPUTED_VALUE"""),1.0)</f>
        <v>1</v>
      </c>
      <c r="U7523" s="4" t="str">
        <f>IFERROR(__xludf.DUMMYFUNCTION("""COMPUTED_VALUE"""),"Connectplug")</f>
        <v>Connectplug</v>
      </c>
      <c r="V7523" s="33">
        <f>IFERROR(__xludf.DUMMYFUNCTION("""COMPUTED_VALUE"""),1.0)</f>
        <v>1</v>
      </c>
      <c r="W7523" s="4" t="str">
        <f>IFERROR(__xludf.DUMMYFUNCTION("""COMPUTED_VALUE"""),"Connectplug")</f>
        <v>Connectplug</v>
      </c>
      <c r="X7523" s="33">
        <f>IFERROR(__xludf.DUMMYFUNCTION("""COMPUTED_VALUE"""),1.0)</f>
        <v>1</v>
      </c>
    </row>
    <row r="7524">
      <c r="K7524" s="4" t="str">
        <f>IFERROR(__xludf.DUMMYFUNCTION("""COMPUTED_VALUE"""),"NEVES BURGERS")</f>
        <v>NEVES BURGERS</v>
      </c>
      <c r="L7524" s="32">
        <f>IFERROR(__xludf.DUMMYFUNCTION("""COMPUTED_VALUE"""),2.0)</f>
        <v>2</v>
      </c>
      <c r="M7524" s="4" t="str">
        <f>IFERROR(__xludf.DUMMYFUNCTION("""COMPUTED_VALUE"""),"Takeat Tecnologia")</f>
        <v>Takeat Tecnologia</v>
      </c>
      <c r="N7524" s="33">
        <f>IFERROR(__xludf.DUMMYFUNCTION("""COMPUTED_VALUE"""),0.5)</f>
        <v>0.5</v>
      </c>
      <c r="O7524" s="4" t="str">
        <f>IFERROR(__xludf.DUMMYFUNCTION("""COMPUTED_VALUE"""),"Yooga")</f>
        <v>Yooga</v>
      </c>
      <c r="P7524" s="33">
        <f>IFERROR(__xludf.DUMMYFUNCTION("""COMPUTED_VALUE"""),1.0)</f>
        <v>1</v>
      </c>
      <c r="Q7524" s="4" t="str">
        <f>IFERROR(__xludf.DUMMYFUNCTION("""COMPUTED_VALUE"""),"Yooga")</f>
        <v>Yooga</v>
      </c>
      <c r="R7524" s="33">
        <f>IFERROR(__xludf.DUMMYFUNCTION("""COMPUTED_VALUE"""),1.0)</f>
        <v>1</v>
      </c>
      <c r="S7524" s="4" t="str">
        <f>IFERROR(__xludf.DUMMYFUNCTION("""COMPUTED_VALUE"""),"null")</f>
        <v>null</v>
      </c>
      <c r="T7524" s="33">
        <f>IFERROR(__xludf.DUMMYFUNCTION("""COMPUTED_VALUE"""),0.5)</f>
        <v>0.5</v>
      </c>
      <c r="U7524" s="4" t="str">
        <f>IFERROR(__xludf.DUMMYFUNCTION("""COMPUTED_VALUE"""),"null")</f>
        <v>null</v>
      </c>
      <c r="V7524" s="33">
        <f>IFERROR(__xludf.DUMMYFUNCTION("""COMPUTED_VALUE"""),0.5)</f>
        <v>0.5</v>
      </c>
      <c r="W7524" s="4" t="str">
        <f>IFERROR(__xludf.DUMMYFUNCTION("""COMPUTED_VALUE"""),"null")</f>
        <v>null</v>
      </c>
      <c r="X7524" s="33">
        <f>IFERROR(__xludf.DUMMYFUNCTION("""COMPUTED_VALUE"""),0.5)</f>
        <v>0.5</v>
      </c>
    </row>
    <row r="7525">
      <c r="K7525" s="4" t="str">
        <f>IFERROR(__xludf.DUMMYFUNCTION("""COMPUTED_VALUE"""),"NI HACHI DELIVERY - MANAUS")</f>
        <v>NI HACHI DELIVERY - MANAUS</v>
      </c>
      <c r="L7525" s="32">
        <f>IFERROR(__xludf.DUMMYFUNCTION("""COMPUTED_VALUE"""),2.0)</f>
        <v>2</v>
      </c>
      <c r="M7525" s="4" t="str">
        <f>IFERROR(__xludf.DUMMYFUNCTION("""COMPUTED_VALUE"""),"Vekttor")</f>
        <v>Vekttor</v>
      </c>
      <c r="N7525" s="33">
        <f>IFERROR(__xludf.DUMMYFUNCTION("""COMPUTED_VALUE"""),1.0)</f>
        <v>1</v>
      </c>
      <c r="O7525" s="4" t="str">
        <f>IFERROR(__xludf.DUMMYFUNCTION("""COMPUTED_VALUE"""),"Vekttor")</f>
        <v>Vekttor</v>
      </c>
      <c r="P7525" s="33">
        <f>IFERROR(__xludf.DUMMYFUNCTION("""COMPUTED_VALUE"""),1.0)</f>
        <v>1</v>
      </c>
      <c r="Q7525" s="4" t="str">
        <f>IFERROR(__xludf.DUMMYFUNCTION("""COMPUTED_VALUE"""),"Vekttor")</f>
        <v>Vekttor</v>
      </c>
      <c r="R7525" s="33">
        <f>IFERROR(__xludf.DUMMYFUNCTION("""COMPUTED_VALUE"""),1.0)</f>
        <v>1</v>
      </c>
      <c r="S7525" s="4" t="str">
        <f>IFERROR(__xludf.DUMMYFUNCTION("""COMPUTED_VALUE"""),"Vekttor")</f>
        <v>Vekttor</v>
      </c>
      <c r="T7525" s="33">
        <f>IFERROR(__xludf.DUMMYFUNCTION("""COMPUTED_VALUE"""),1.0)</f>
        <v>1</v>
      </c>
      <c r="U7525" s="4" t="str">
        <f>IFERROR(__xludf.DUMMYFUNCTION("""COMPUTED_VALUE"""),"Vekttor")</f>
        <v>Vekttor</v>
      </c>
      <c r="V7525" s="33">
        <f>IFERROR(__xludf.DUMMYFUNCTION("""COMPUTED_VALUE"""),1.0)</f>
        <v>1</v>
      </c>
      <c r="W7525" s="4" t="str">
        <f>IFERROR(__xludf.DUMMYFUNCTION("""COMPUTED_VALUE"""),"Vekttor")</f>
        <v>Vekttor</v>
      </c>
      <c r="X7525" s="33">
        <f>IFERROR(__xludf.DUMMYFUNCTION("""COMPUTED_VALUE"""),1.0)</f>
        <v>1</v>
      </c>
    </row>
    <row r="7526">
      <c r="K7526" s="4" t="str">
        <f>IFERROR(__xludf.DUMMYFUNCTION("""COMPUTED_VALUE"""),"NICO")</f>
        <v>NICO</v>
      </c>
      <c r="L7526" s="32">
        <f>IFERROR(__xludf.DUMMYFUNCTION("""COMPUTED_VALUE"""),2.0)</f>
        <v>2</v>
      </c>
      <c r="M7526" s="4" t="str">
        <f>IFERROR(__xludf.DUMMYFUNCTION("""COMPUTED_VALUE"""),"Saipos Serviços De Software")</f>
        <v>Saipos Serviços De Software</v>
      </c>
      <c r="N7526" s="33">
        <f>IFERROR(__xludf.DUMMYFUNCTION("""COMPUTED_VALUE"""),1.0)</f>
        <v>1</v>
      </c>
      <c r="O7526" s="4" t="str">
        <f>IFERROR(__xludf.DUMMYFUNCTION("""COMPUTED_VALUE"""),"Saipos Serviços De Software")</f>
        <v>Saipos Serviços De Software</v>
      </c>
      <c r="P7526" s="33">
        <f>IFERROR(__xludf.DUMMYFUNCTION("""COMPUTED_VALUE"""),1.0)</f>
        <v>1</v>
      </c>
      <c r="Q7526" s="4" t="str">
        <f>IFERROR(__xludf.DUMMYFUNCTION("""COMPUTED_VALUE"""),"Saipos Serviços De Software")</f>
        <v>Saipos Serviços De Software</v>
      </c>
      <c r="R7526" s="33">
        <f>IFERROR(__xludf.DUMMYFUNCTION("""COMPUTED_VALUE"""),0.5)</f>
        <v>0.5</v>
      </c>
      <c r="S7526" s="4" t="str">
        <f>IFERROR(__xludf.DUMMYFUNCTION("""COMPUTED_VALUE"""),"Saipos Serviços De Software")</f>
        <v>Saipos Serviços De Software</v>
      </c>
      <c r="T7526" s="33">
        <f>IFERROR(__xludf.DUMMYFUNCTION("""COMPUTED_VALUE"""),0.5)</f>
        <v>0.5</v>
      </c>
      <c r="U7526" s="4" t="str">
        <f>IFERROR(__xludf.DUMMYFUNCTION("""COMPUTED_VALUE"""),"Saipos Serviços De Software")</f>
        <v>Saipos Serviços De Software</v>
      </c>
      <c r="V7526" s="33">
        <f>IFERROR(__xludf.DUMMYFUNCTION("""COMPUTED_VALUE"""),0.5)</f>
        <v>0.5</v>
      </c>
      <c r="W7526" s="4" t="str">
        <f>IFERROR(__xludf.DUMMYFUNCTION("""COMPUTED_VALUE"""),"Saipos Serviços De Software")</f>
        <v>Saipos Serviços De Software</v>
      </c>
      <c r="X7526" s="33">
        <f>IFERROR(__xludf.DUMMYFUNCTION("""COMPUTED_VALUE"""),0.5)</f>
        <v>0.5</v>
      </c>
    </row>
    <row r="7527">
      <c r="K7527" s="4" t="str">
        <f>IFERROR(__xludf.DUMMYFUNCTION("""COMPUTED_VALUE"""),"NILO ESFIHA CONTA MARCA")</f>
        <v>NILO ESFIHA CONTA MARCA</v>
      </c>
      <c r="L7527" s="32">
        <f>IFERROR(__xludf.DUMMYFUNCTION("""COMPUTED_VALUE"""),2.0)</f>
        <v>2</v>
      </c>
      <c r="M7527" s="4" t="str">
        <f>IFERROR(__xludf.DUMMYFUNCTION("""COMPUTED_VALUE"""),"Cardápio Web")</f>
        <v>Cardápio Web</v>
      </c>
      <c r="N7527" s="33">
        <f>IFERROR(__xludf.DUMMYFUNCTION("""COMPUTED_VALUE"""),1.0)</f>
        <v>1</v>
      </c>
      <c r="O7527" s="4" t="str">
        <f>IFERROR(__xludf.DUMMYFUNCTION("""COMPUTED_VALUE"""),"Cardápio Web")</f>
        <v>Cardápio Web</v>
      </c>
      <c r="P7527" s="33">
        <f>IFERROR(__xludf.DUMMYFUNCTION("""COMPUTED_VALUE"""),1.0)</f>
        <v>1</v>
      </c>
      <c r="Q7527" s="4" t="str">
        <f>IFERROR(__xludf.DUMMYFUNCTION("""COMPUTED_VALUE"""),"Cardápio Web")</f>
        <v>Cardápio Web</v>
      </c>
      <c r="R7527" s="33">
        <f>IFERROR(__xludf.DUMMYFUNCTION("""COMPUTED_VALUE"""),1.0)</f>
        <v>1</v>
      </c>
      <c r="S7527" s="4" t="str">
        <f>IFERROR(__xludf.DUMMYFUNCTION("""COMPUTED_VALUE"""),"Cardápio Web")</f>
        <v>Cardápio Web</v>
      </c>
      <c r="T7527" s="33">
        <f>IFERROR(__xludf.DUMMYFUNCTION("""COMPUTED_VALUE"""),1.0)</f>
        <v>1</v>
      </c>
      <c r="U7527" s="4" t="str">
        <f>IFERROR(__xludf.DUMMYFUNCTION("""COMPUTED_VALUE"""),"Cardápio Web")</f>
        <v>Cardápio Web</v>
      </c>
      <c r="V7527" s="33">
        <f>IFERROR(__xludf.DUMMYFUNCTION("""COMPUTED_VALUE"""),1.0)</f>
        <v>1</v>
      </c>
      <c r="W7527" s="4" t="str">
        <f>IFERROR(__xludf.DUMMYFUNCTION("""COMPUTED_VALUE"""),"Cardápio Web")</f>
        <v>Cardápio Web</v>
      </c>
      <c r="X7527" s="33">
        <f>IFERROR(__xludf.DUMMYFUNCTION("""COMPUTED_VALUE"""),1.0)</f>
        <v>1</v>
      </c>
    </row>
    <row r="7528">
      <c r="K7528" s="4" t="str">
        <f>IFERROR(__xludf.DUMMYFUNCTION("""COMPUTED_VALUE"""),"NINO ESPETINHOS LANCHES E PORCOES")</f>
        <v>NINO ESPETINHOS LANCHES E PORCOES</v>
      </c>
      <c r="L7528" s="32">
        <f>IFERROR(__xludf.DUMMYFUNCTION("""COMPUTED_VALUE"""),2.0)</f>
        <v>2</v>
      </c>
      <c r="M7528" s="4" t="str">
        <f>IFERROR(__xludf.DUMMYFUNCTION("""COMPUTED_VALUE"""),"Camila Carolina Medeiros")</f>
        <v>Camila Carolina Medeiros</v>
      </c>
      <c r="N7528" s="33">
        <f>IFERROR(__xludf.DUMMYFUNCTION("""COMPUTED_VALUE"""),1.0)</f>
        <v>1</v>
      </c>
      <c r="O7528" s="4" t="str">
        <f>IFERROR(__xludf.DUMMYFUNCTION("""COMPUTED_VALUE"""),"Camila Carolina Medeiros")</f>
        <v>Camila Carolina Medeiros</v>
      </c>
      <c r="P7528" s="33">
        <f>IFERROR(__xludf.DUMMYFUNCTION("""COMPUTED_VALUE"""),1.0)</f>
        <v>1</v>
      </c>
      <c r="Q7528" s="4" t="str">
        <f>IFERROR(__xludf.DUMMYFUNCTION("""COMPUTED_VALUE"""),"Camila Carolina Medeiros")</f>
        <v>Camila Carolina Medeiros</v>
      </c>
      <c r="R7528" s="33">
        <f>IFERROR(__xludf.DUMMYFUNCTION("""COMPUTED_VALUE"""),1.0)</f>
        <v>1</v>
      </c>
      <c r="S7528" s="4" t="str">
        <f>IFERROR(__xludf.DUMMYFUNCTION("""COMPUTED_VALUE"""),"Camila Carolina Medeiros")</f>
        <v>Camila Carolina Medeiros</v>
      </c>
      <c r="T7528" s="33">
        <f>IFERROR(__xludf.DUMMYFUNCTION("""COMPUTED_VALUE"""),1.0)</f>
        <v>1</v>
      </c>
      <c r="U7528" s="4" t="str">
        <f>IFERROR(__xludf.DUMMYFUNCTION("""COMPUTED_VALUE"""),"Camila Carolina Medeiros")</f>
        <v>Camila Carolina Medeiros</v>
      </c>
      <c r="V7528" s="33">
        <f>IFERROR(__xludf.DUMMYFUNCTION("""COMPUTED_VALUE"""),0.5)</f>
        <v>0.5</v>
      </c>
      <c r="W7528" s="4" t="str">
        <f>IFERROR(__xludf.DUMMYFUNCTION("""COMPUTED_VALUE"""),"null")</f>
        <v>null</v>
      </c>
      <c r="X7528" s="33">
        <f>IFERROR(__xludf.DUMMYFUNCTION("""COMPUTED_VALUE"""),1.0)</f>
        <v>1</v>
      </c>
    </row>
    <row r="7529">
      <c r="K7529" s="4" t="str">
        <f>IFERROR(__xludf.DUMMYFUNCTION("""COMPUTED_VALUE"""),"NIPPON")</f>
        <v>NIPPON</v>
      </c>
      <c r="L7529" s="32">
        <f>IFERROR(__xludf.DUMMYFUNCTION("""COMPUTED_VALUE"""),2.0)</f>
        <v>2</v>
      </c>
      <c r="M7529" s="4" t="str">
        <f>IFERROR(__xludf.DUMMYFUNCTION("""COMPUTED_VALUE"""),"Saipos Serviços De Software")</f>
        <v>Saipos Serviços De Software</v>
      </c>
      <c r="N7529" s="33">
        <f>IFERROR(__xludf.DUMMYFUNCTION("""COMPUTED_VALUE"""),1.0)</f>
        <v>1</v>
      </c>
      <c r="O7529" s="4" t="str">
        <f>IFERROR(__xludf.DUMMYFUNCTION("""COMPUTED_VALUE"""),"Saipos Serviços De Software")</f>
        <v>Saipos Serviços De Software</v>
      </c>
      <c r="P7529" s="33">
        <f>IFERROR(__xludf.DUMMYFUNCTION("""COMPUTED_VALUE"""),1.0)</f>
        <v>1</v>
      </c>
      <c r="Q7529" s="4" t="str">
        <f>IFERROR(__xludf.DUMMYFUNCTION("""COMPUTED_VALUE"""),"Saipos Serviços De Software")</f>
        <v>Saipos Serviços De Software</v>
      </c>
      <c r="R7529" s="33">
        <f>IFERROR(__xludf.DUMMYFUNCTION("""COMPUTED_VALUE"""),1.0)</f>
        <v>1</v>
      </c>
      <c r="S7529" s="4" t="str">
        <f>IFERROR(__xludf.DUMMYFUNCTION("""COMPUTED_VALUE"""),"Saipos Serviços De Software")</f>
        <v>Saipos Serviços De Software</v>
      </c>
      <c r="T7529" s="33">
        <f>IFERROR(__xludf.DUMMYFUNCTION("""COMPUTED_VALUE"""),1.0)</f>
        <v>1</v>
      </c>
      <c r="U7529" s="4" t="str">
        <f>IFERROR(__xludf.DUMMYFUNCTION("""COMPUTED_VALUE"""),"Saipos Serviços De Software")</f>
        <v>Saipos Serviços De Software</v>
      </c>
      <c r="V7529" s="33">
        <f>IFERROR(__xludf.DUMMYFUNCTION("""COMPUTED_VALUE"""),1.0)</f>
        <v>1</v>
      </c>
      <c r="W7529" s="4" t="str">
        <f>IFERROR(__xludf.DUMMYFUNCTION("""COMPUTED_VALUE"""),"Gcom - Gestao Em Tecnologia De Informacao Eireli")</f>
        <v>Gcom - Gestao Em Tecnologia De Informacao Eireli</v>
      </c>
      <c r="X7529" s="33">
        <f>IFERROR(__xludf.DUMMYFUNCTION("""COMPUTED_VALUE"""),1.0)</f>
        <v>1</v>
      </c>
    </row>
    <row r="7530">
      <c r="K7530" s="4" t="str">
        <f>IFERROR(__xludf.DUMMYFUNCTION("""COMPUTED_VALUE"""),"NIPPON M")</f>
        <v>NIPPON M</v>
      </c>
      <c r="L7530" s="32">
        <f>IFERROR(__xludf.DUMMYFUNCTION("""COMPUTED_VALUE"""),2.0)</f>
        <v>2</v>
      </c>
      <c r="M7530" s="4" t="str">
        <f>IFERROR(__xludf.DUMMYFUNCTION("""COMPUTED_VALUE"""),"Saipos Serviços De Software")</f>
        <v>Saipos Serviços De Software</v>
      </c>
      <c r="N7530" s="33">
        <f>IFERROR(__xludf.DUMMYFUNCTION("""COMPUTED_VALUE"""),1.0)</f>
        <v>1</v>
      </c>
      <c r="O7530" s="4" t="str">
        <f>IFERROR(__xludf.DUMMYFUNCTION("""COMPUTED_VALUE"""),"Saipos Serviços De Software")</f>
        <v>Saipos Serviços De Software</v>
      </c>
      <c r="P7530" s="33">
        <f>IFERROR(__xludf.DUMMYFUNCTION("""COMPUTED_VALUE"""),1.0)</f>
        <v>1</v>
      </c>
      <c r="Q7530" s="4" t="str">
        <f>IFERROR(__xludf.DUMMYFUNCTION("""COMPUTED_VALUE"""),"Saipos Serviços De Software")</f>
        <v>Saipos Serviços De Software</v>
      </c>
      <c r="R7530" s="33">
        <f>IFERROR(__xludf.DUMMYFUNCTION("""COMPUTED_VALUE"""),1.0)</f>
        <v>1</v>
      </c>
      <c r="S7530" s="4" t="str">
        <f>IFERROR(__xludf.DUMMYFUNCTION("""COMPUTED_VALUE"""),"Saipos Serviços De Software")</f>
        <v>Saipos Serviços De Software</v>
      </c>
      <c r="T7530" s="33">
        <f>IFERROR(__xludf.DUMMYFUNCTION("""COMPUTED_VALUE"""),1.0)</f>
        <v>1</v>
      </c>
      <c r="U7530" s="4" t="str">
        <f>IFERROR(__xludf.DUMMYFUNCTION("""COMPUTED_VALUE"""),"Saipos Serviços De Software")</f>
        <v>Saipos Serviços De Software</v>
      </c>
      <c r="V7530" s="33">
        <f>IFERROR(__xludf.DUMMYFUNCTION("""COMPUTED_VALUE"""),1.0)</f>
        <v>1</v>
      </c>
      <c r="W7530" s="4" t="str">
        <f>IFERROR(__xludf.DUMMYFUNCTION("""COMPUTED_VALUE"""),"Gcom - Gestao Em Tecnologia De Informacao Eireli")</f>
        <v>Gcom - Gestao Em Tecnologia De Informacao Eireli</v>
      </c>
      <c r="X7530" s="33">
        <f>IFERROR(__xludf.DUMMYFUNCTION("""COMPUTED_VALUE"""),1.0)</f>
        <v>1</v>
      </c>
    </row>
    <row r="7531">
      <c r="K7531" s="4" t="str">
        <f>IFERROR(__xludf.DUMMYFUNCTION("""COMPUTED_VALUE"""),"NO BARKO - CULINARIA ORIENTAL")</f>
        <v>NO BARKO - CULINARIA ORIENTAL</v>
      </c>
      <c r="L7531" s="32">
        <f>IFERROR(__xludf.DUMMYFUNCTION("""COMPUTED_VALUE"""),2.0)</f>
        <v>2</v>
      </c>
      <c r="M7531" s="4" t="str">
        <f>IFERROR(__xludf.DUMMYFUNCTION("""COMPUTED_VALUE"""),"Saipos Serviços De Software")</f>
        <v>Saipos Serviços De Software</v>
      </c>
      <c r="N7531" s="33">
        <f>IFERROR(__xludf.DUMMYFUNCTION("""COMPUTED_VALUE"""),1.0)</f>
        <v>1</v>
      </c>
      <c r="O7531" s="4" t="str">
        <f>IFERROR(__xludf.DUMMYFUNCTION("""COMPUTED_VALUE"""),"Saipos Serviços De Software")</f>
        <v>Saipos Serviços De Software</v>
      </c>
      <c r="P7531" s="33">
        <f>IFERROR(__xludf.DUMMYFUNCTION("""COMPUTED_VALUE"""),1.0)</f>
        <v>1</v>
      </c>
      <c r="Q7531" s="4" t="str">
        <f>IFERROR(__xludf.DUMMYFUNCTION("""COMPUTED_VALUE"""),"null")</f>
        <v>null</v>
      </c>
      <c r="R7531" s="33">
        <f>IFERROR(__xludf.DUMMYFUNCTION("""COMPUTED_VALUE"""),1.0)</f>
        <v>1</v>
      </c>
      <c r="S7531" s="4" t="str">
        <f>IFERROR(__xludf.DUMMYFUNCTION("""COMPUTED_VALUE"""),"null")</f>
        <v>null</v>
      </c>
      <c r="T7531" s="33">
        <f>IFERROR(__xludf.DUMMYFUNCTION("""COMPUTED_VALUE"""),1.0)</f>
        <v>1</v>
      </c>
      <c r="U7531" s="4" t="str">
        <f>IFERROR(__xludf.DUMMYFUNCTION("""COMPUTED_VALUE"""),"null")</f>
        <v>null</v>
      </c>
      <c r="V7531" s="33">
        <f>IFERROR(__xludf.DUMMYFUNCTION("""COMPUTED_VALUE"""),1.0)</f>
        <v>1</v>
      </c>
      <c r="W7531" s="4" t="str">
        <f>IFERROR(__xludf.DUMMYFUNCTION("""COMPUTED_VALUE"""),"Saipos Serviços De Software")</f>
        <v>Saipos Serviços De Software</v>
      </c>
      <c r="X7531" s="33">
        <f>IFERROR(__xludf.DUMMYFUNCTION("""COMPUTED_VALUE"""),1.0)</f>
        <v>1</v>
      </c>
    </row>
    <row r="7532">
      <c r="K7532" s="4" t="str">
        <f>IFERROR(__xludf.DUMMYFUNCTION("""COMPUTED_VALUE"""),"NOBRE SUPERMERCADOS CONTA PAI")</f>
        <v>NOBRE SUPERMERCADOS CONTA PAI</v>
      </c>
      <c r="L7532" s="32">
        <f>IFERROR(__xludf.DUMMYFUNCTION("""COMPUTED_VALUE"""),2.0)</f>
        <v>2</v>
      </c>
      <c r="M7532" s="4" t="str">
        <f>IFERROR(__xludf.DUMMYFUNCTION("""COMPUTED_VALUE"""),"N/A (Not found)")</f>
        <v>N/A (Not found)</v>
      </c>
      <c r="N7532" s="33">
        <f>IFERROR(__xludf.DUMMYFUNCTION("""COMPUTED_VALUE"""),1.0)</f>
        <v>1</v>
      </c>
      <c r="O7532" s="4" t="str">
        <f>IFERROR(__xludf.DUMMYFUNCTION("""COMPUTED_VALUE"""),"N/A (Not found)")</f>
        <v>N/A (Not found)</v>
      </c>
      <c r="P7532" s="33">
        <f>IFERROR(__xludf.DUMMYFUNCTION("""COMPUTED_VALUE"""),1.0)</f>
        <v>1</v>
      </c>
      <c r="Q7532" s="4" t="str">
        <f>IFERROR(__xludf.DUMMYFUNCTION("""COMPUTED_VALUE"""),"N/A (Not found)")</f>
        <v>N/A (Not found)</v>
      </c>
      <c r="R7532" s="33">
        <f>IFERROR(__xludf.DUMMYFUNCTION("""COMPUTED_VALUE"""),1.0)</f>
        <v>1</v>
      </c>
      <c r="S7532" s="4" t="str">
        <f>IFERROR(__xludf.DUMMYFUNCTION("""COMPUTED_VALUE"""),"N/A (Not found)")</f>
        <v>N/A (Not found)</v>
      </c>
      <c r="T7532" s="33">
        <f>IFERROR(__xludf.DUMMYFUNCTION("""COMPUTED_VALUE"""),1.0)</f>
        <v>1</v>
      </c>
      <c r="U7532" s="4" t="str">
        <f>IFERROR(__xludf.DUMMYFUNCTION("""COMPUTED_VALUE"""),"N/A (Not found)")</f>
        <v>N/A (Not found)</v>
      </c>
      <c r="V7532" s="33">
        <f>IFERROR(__xludf.DUMMYFUNCTION("""COMPUTED_VALUE"""),1.0)</f>
        <v>1</v>
      </c>
      <c r="W7532" s="4" t="str">
        <f>IFERROR(__xludf.DUMMYFUNCTION("""COMPUTED_VALUE"""),"N/A (Not found)")</f>
        <v>N/A (Not found)</v>
      </c>
      <c r="X7532" s="33">
        <f>IFERROR(__xludf.DUMMYFUNCTION("""COMPUTED_VALUE"""),1.0)</f>
        <v>1</v>
      </c>
    </row>
    <row r="7533">
      <c r="K7533" s="4" t="str">
        <f>IFERROR(__xludf.DUMMYFUNCTION("""COMPUTED_VALUE"""),"NOBRE_PASTELEIROMG")</f>
        <v>NOBRE_PASTELEIROMG</v>
      </c>
      <c r="L7533" s="32">
        <f>IFERROR(__xludf.DUMMYFUNCTION("""COMPUTED_VALUE"""),2.0)</f>
        <v>2</v>
      </c>
      <c r="M7533" s="4" t="str">
        <f>IFERROR(__xludf.DUMMYFUNCTION("""COMPUTED_VALUE"""),"Consumer Soluções Em Tecnologia Ltda")</f>
        <v>Consumer Soluções Em Tecnologia Ltda</v>
      </c>
      <c r="N7533" s="33">
        <f>IFERROR(__xludf.DUMMYFUNCTION("""COMPUTED_VALUE"""),1.0)</f>
        <v>1</v>
      </c>
      <c r="O7533" s="4" t="str">
        <f>IFERROR(__xludf.DUMMYFUNCTION("""COMPUTED_VALUE"""),"Consumer Soluções Em Tecnologia Ltda")</f>
        <v>Consumer Soluções Em Tecnologia Ltda</v>
      </c>
      <c r="P7533" s="33">
        <f>IFERROR(__xludf.DUMMYFUNCTION("""COMPUTED_VALUE"""),1.0)</f>
        <v>1</v>
      </c>
      <c r="Q7533" s="4" t="str">
        <f>IFERROR(__xludf.DUMMYFUNCTION("""COMPUTED_VALUE"""),"Consumer Soluções Em Tecnologia Ltda")</f>
        <v>Consumer Soluções Em Tecnologia Ltda</v>
      </c>
      <c r="R7533" s="33">
        <f>IFERROR(__xludf.DUMMYFUNCTION("""COMPUTED_VALUE"""),1.0)</f>
        <v>1</v>
      </c>
      <c r="S7533" s="4" t="str">
        <f>IFERROR(__xludf.DUMMYFUNCTION("""COMPUTED_VALUE"""),"null")</f>
        <v>null</v>
      </c>
      <c r="T7533" s="33">
        <f>IFERROR(__xludf.DUMMYFUNCTION("""COMPUTED_VALUE"""),0.5)</f>
        <v>0.5</v>
      </c>
      <c r="U7533" s="4" t="str">
        <f>IFERROR(__xludf.DUMMYFUNCTION("""COMPUTED_VALUE"""),"null")</f>
        <v>null</v>
      </c>
      <c r="V7533" s="33">
        <f>IFERROR(__xludf.DUMMYFUNCTION("""COMPUTED_VALUE"""),0.5)</f>
        <v>0.5</v>
      </c>
      <c r="W7533" s="4" t="str">
        <f>IFERROR(__xludf.DUMMYFUNCTION("""COMPUTED_VALUE"""),"Consumer Soluções Em Tecnologia Ltda")</f>
        <v>Consumer Soluções Em Tecnologia Ltda</v>
      </c>
      <c r="X7533" s="33">
        <f>IFERROR(__xludf.DUMMYFUNCTION("""COMPUTED_VALUE"""),1.0)</f>
        <v>1</v>
      </c>
    </row>
    <row r="7534">
      <c r="K7534" s="4" t="str">
        <f>IFERROR(__xludf.DUMMYFUNCTION("""COMPUTED_VALUE"""),"NOF")</f>
        <v>NOF</v>
      </c>
      <c r="L7534" s="32">
        <f>IFERROR(__xludf.DUMMYFUNCTION("""COMPUTED_VALUE"""),2.0)</f>
        <v>2</v>
      </c>
      <c r="M7534" s="4" t="str">
        <f>IFERROR(__xludf.DUMMYFUNCTION("""COMPUTED_VALUE"""),"Stone Co.")</f>
        <v>Stone Co.</v>
      </c>
      <c r="N7534" s="33">
        <f>IFERROR(__xludf.DUMMYFUNCTION("""COMPUTED_VALUE"""),1.0)</f>
        <v>1</v>
      </c>
      <c r="O7534" s="4" t="str">
        <f>IFERROR(__xludf.DUMMYFUNCTION("""COMPUTED_VALUE"""),"Stone Co.")</f>
        <v>Stone Co.</v>
      </c>
      <c r="P7534" s="33">
        <f>IFERROR(__xludf.DUMMYFUNCTION("""COMPUTED_VALUE"""),1.0)</f>
        <v>1</v>
      </c>
      <c r="Q7534" s="4" t="str">
        <f>IFERROR(__xludf.DUMMYFUNCTION("""COMPUTED_VALUE"""),"Stone Co.")</f>
        <v>Stone Co.</v>
      </c>
      <c r="R7534" s="33">
        <f>IFERROR(__xludf.DUMMYFUNCTION("""COMPUTED_VALUE"""),1.0)</f>
        <v>1</v>
      </c>
      <c r="S7534" s="4" t="str">
        <f>IFERROR(__xludf.DUMMYFUNCTION("""COMPUTED_VALUE"""),"Stone Co.")</f>
        <v>Stone Co.</v>
      </c>
      <c r="T7534" s="33">
        <f>IFERROR(__xludf.DUMMYFUNCTION("""COMPUTED_VALUE"""),1.0)</f>
        <v>1</v>
      </c>
      <c r="U7534" s="4" t="str">
        <f>IFERROR(__xludf.DUMMYFUNCTION("""COMPUTED_VALUE"""),"Stone Co.")</f>
        <v>Stone Co.</v>
      </c>
      <c r="V7534" s="33">
        <f>IFERROR(__xludf.DUMMYFUNCTION("""COMPUTED_VALUE"""),1.0)</f>
        <v>1</v>
      </c>
      <c r="W7534" s="4" t="str">
        <f>IFERROR(__xludf.DUMMYFUNCTION("""COMPUTED_VALUE"""),"Stone Co.")</f>
        <v>Stone Co.</v>
      </c>
      <c r="X7534" s="33">
        <f>IFERROR(__xludf.DUMMYFUNCTION("""COMPUTED_VALUE"""),1.0)</f>
        <v>1</v>
      </c>
    </row>
    <row r="7535">
      <c r="K7535" s="4" t="str">
        <f>IFERROR(__xludf.DUMMYFUNCTION("""COMPUTED_VALUE"""),"NONNA PAI")</f>
        <v>NONNA PAI</v>
      </c>
      <c r="L7535" s="32">
        <f>IFERROR(__xludf.DUMMYFUNCTION("""COMPUTED_VALUE"""),2.0)</f>
        <v>2</v>
      </c>
      <c r="M7535" s="4" t="str">
        <f>IFERROR(__xludf.DUMMYFUNCTION("""COMPUTED_VALUE"""),"Saipos Serviços De Software")</f>
        <v>Saipos Serviços De Software</v>
      </c>
      <c r="N7535" s="33">
        <f>IFERROR(__xludf.DUMMYFUNCTION("""COMPUTED_VALUE"""),1.0)</f>
        <v>1</v>
      </c>
      <c r="O7535" s="4" t="str">
        <f>IFERROR(__xludf.DUMMYFUNCTION("""COMPUTED_VALUE"""),"Saipos Serviços De Software")</f>
        <v>Saipos Serviços De Software</v>
      </c>
      <c r="P7535" s="33">
        <f>IFERROR(__xludf.DUMMYFUNCTION("""COMPUTED_VALUE"""),1.0)</f>
        <v>1</v>
      </c>
      <c r="Q7535" s="4" t="str">
        <f>IFERROR(__xludf.DUMMYFUNCTION("""COMPUTED_VALUE"""),"Saipos Serviços De Software")</f>
        <v>Saipos Serviços De Software</v>
      </c>
      <c r="R7535" s="33">
        <f>IFERROR(__xludf.DUMMYFUNCTION("""COMPUTED_VALUE"""),1.0)</f>
        <v>1</v>
      </c>
      <c r="S7535" s="4" t="str">
        <f>IFERROR(__xludf.DUMMYFUNCTION("""COMPUTED_VALUE"""),"Saipos Serviços De Software")</f>
        <v>Saipos Serviços De Software</v>
      </c>
      <c r="T7535" s="33">
        <f>IFERROR(__xludf.DUMMYFUNCTION("""COMPUTED_VALUE"""),1.0)</f>
        <v>1</v>
      </c>
      <c r="U7535" s="4" t="str">
        <f>IFERROR(__xludf.DUMMYFUNCTION("""COMPUTED_VALUE"""),"Saipos Serviços De Software")</f>
        <v>Saipos Serviços De Software</v>
      </c>
      <c r="V7535" s="33">
        <f>IFERROR(__xludf.DUMMYFUNCTION("""COMPUTED_VALUE"""),1.0)</f>
        <v>1</v>
      </c>
      <c r="W7535" s="4" t="str">
        <f>IFERROR(__xludf.DUMMYFUNCTION("""COMPUTED_VALUE"""),"Saipos Serviços De Software")</f>
        <v>Saipos Serviços De Software</v>
      </c>
      <c r="X7535" s="33">
        <f>IFERROR(__xludf.DUMMYFUNCTION("""COMPUTED_VALUE"""),1.0)</f>
        <v>1</v>
      </c>
    </row>
    <row r="7536">
      <c r="K7536" s="4" t="str">
        <f>IFERROR(__xludf.DUMMYFUNCTION("""COMPUTED_VALUE"""),"NONNO BEPPE PIZZARIA")</f>
        <v>NONNO BEPPE PIZZARIA</v>
      </c>
      <c r="L7536" s="32">
        <f>IFERROR(__xludf.DUMMYFUNCTION("""COMPUTED_VALUE"""),2.0)</f>
        <v>2</v>
      </c>
      <c r="M7536" s="4" t="str">
        <f>IFERROR(__xludf.DUMMYFUNCTION("""COMPUTED_VALUE"""),"Saipos Serviços De Software")</f>
        <v>Saipos Serviços De Software</v>
      </c>
      <c r="N7536" s="33">
        <f>IFERROR(__xludf.DUMMYFUNCTION("""COMPUTED_VALUE"""),1.0)</f>
        <v>1</v>
      </c>
      <c r="O7536" s="4" t="str">
        <f>IFERROR(__xludf.DUMMYFUNCTION("""COMPUTED_VALUE"""),"Saipos Serviços De Software")</f>
        <v>Saipos Serviços De Software</v>
      </c>
      <c r="P7536" s="33">
        <f>IFERROR(__xludf.DUMMYFUNCTION("""COMPUTED_VALUE"""),1.0)</f>
        <v>1</v>
      </c>
      <c r="Q7536" s="4" t="str">
        <f>IFERROR(__xludf.DUMMYFUNCTION("""COMPUTED_VALUE"""),"Saipos Serviços De Software")</f>
        <v>Saipos Serviços De Software</v>
      </c>
      <c r="R7536" s="33">
        <f>IFERROR(__xludf.DUMMYFUNCTION("""COMPUTED_VALUE"""),1.0)</f>
        <v>1</v>
      </c>
      <c r="S7536" s="4" t="str">
        <f>IFERROR(__xludf.DUMMYFUNCTION("""COMPUTED_VALUE"""),"Saipos Serviços De Software")</f>
        <v>Saipos Serviços De Software</v>
      </c>
      <c r="T7536" s="33">
        <f>IFERROR(__xludf.DUMMYFUNCTION("""COMPUTED_VALUE"""),1.0)</f>
        <v>1</v>
      </c>
      <c r="U7536" s="4" t="str">
        <f>IFERROR(__xludf.DUMMYFUNCTION("""COMPUTED_VALUE"""),"Saipos Serviços De Software")</f>
        <v>Saipos Serviços De Software</v>
      </c>
      <c r="V7536" s="33">
        <f>IFERROR(__xludf.DUMMYFUNCTION("""COMPUTED_VALUE"""),1.0)</f>
        <v>1</v>
      </c>
      <c r="W7536" s="4" t="str">
        <f>IFERROR(__xludf.DUMMYFUNCTION("""COMPUTED_VALUE"""),"Saipos Serviços De Software")</f>
        <v>Saipos Serviços De Software</v>
      </c>
      <c r="X7536" s="33">
        <f>IFERROR(__xludf.DUMMYFUNCTION("""COMPUTED_VALUE"""),1.0)</f>
        <v>1</v>
      </c>
    </row>
    <row r="7537">
      <c r="K7537" s="4" t="str">
        <f>IFERROR(__xludf.DUMMYFUNCTION("""COMPUTED_VALUE"""),"NOSTRA PIZZARIA")</f>
        <v>NOSTRA PIZZARIA</v>
      </c>
      <c r="L7537" s="32">
        <f>IFERROR(__xludf.DUMMYFUNCTION("""COMPUTED_VALUE"""),2.0)</f>
        <v>2</v>
      </c>
      <c r="M7537" s="4" t="str">
        <f>IFERROR(__xludf.DUMMYFUNCTION("""COMPUTED_VALUE"""),"Saipos Serviços De Software")</f>
        <v>Saipos Serviços De Software</v>
      </c>
      <c r="N7537" s="33">
        <f>IFERROR(__xludf.DUMMYFUNCTION("""COMPUTED_VALUE"""),1.0)</f>
        <v>1</v>
      </c>
      <c r="O7537" s="4" t="str">
        <f>IFERROR(__xludf.DUMMYFUNCTION("""COMPUTED_VALUE"""),"Saipos Serviços De Software")</f>
        <v>Saipos Serviços De Software</v>
      </c>
      <c r="P7537" s="33">
        <f>IFERROR(__xludf.DUMMYFUNCTION("""COMPUTED_VALUE"""),1.0)</f>
        <v>1</v>
      </c>
      <c r="Q7537" s="4" t="str">
        <f>IFERROR(__xludf.DUMMYFUNCTION("""COMPUTED_VALUE"""),"Saipos Serviços De Software")</f>
        <v>Saipos Serviços De Software</v>
      </c>
      <c r="R7537" s="33">
        <f>IFERROR(__xludf.DUMMYFUNCTION("""COMPUTED_VALUE"""),1.0)</f>
        <v>1</v>
      </c>
      <c r="S7537" s="4" t="str">
        <f>IFERROR(__xludf.DUMMYFUNCTION("""COMPUTED_VALUE"""),"Saipos Serviços De Software")</f>
        <v>Saipos Serviços De Software</v>
      </c>
      <c r="T7537" s="33">
        <f>IFERROR(__xludf.DUMMYFUNCTION("""COMPUTED_VALUE"""),1.0)</f>
        <v>1</v>
      </c>
      <c r="U7537" s="4" t="str">
        <f>IFERROR(__xludf.DUMMYFUNCTION("""COMPUTED_VALUE"""),"null")</f>
        <v>null</v>
      </c>
      <c r="V7537" s="33">
        <f>IFERROR(__xludf.DUMMYFUNCTION("""COMPUTED_VALUE"""),0.5)</f>
        <v>0.5</v>
      </c>
      <c r="W7537" s="4" t="str">
        <f>IFERROR(__xludf.DUMMYFUNCTION("""COMPUTED_VALUE"""),"null")</f>
        <v>null</v>
      </c>
      <c r="X7537" s="33">
        <f>IFERROR(__xludf.DUMMYFUNCTION("""COMPUTED_VALUE"""),0.5)</f>
        <v>0.5</v>
      </c>
    </row>
    <row r="7538">
      <c r="K7538" s="4" t="str">
        <f>IFERROR(__xludf.DUMMYFUNCTION("""COMPUTED_VALUE"""),"NOTARO RESTAURANTE")</f>
        <v>NOTARO RESTAURANTE</v>
      </c>
      <c r="L7538" s="32">
        <f>IFERROR(__xludf.DUMMYFUNCTION("""COMPUTED_VALUE"""),2.0)</f>
        <v>2</v>
      </c>
      <c r="M7538" s="4" t="str">
        <f>IFERROR(__xludf.DUMMYFUNCTION("""COMPUTED_VALUE"""),"Menew - Linx")</f>
        <v>Menew - Linx</v>
      </c>
      <c r="N7538" s="33">
        <f>IFERROR(__xludf.DUMMYFUNCTION("""COMPUTED_VALUE"""),1.0)</f>
        <v>1</v>
      </c>
      <c r="O7538" s="4" t="str">
        <f>IFERROR(__xludf.DUMMYFUNCTION("""COMPUTED_VALUE"""),"Menew - Linx")</f>
        <v>Menew - Linx</v>
      </c>
      <c r="P7538" s="33">
        <f>IFERROR(__xludf.DUMMYFUNCTION("""COMPUTED_VALUE"""),1.0)</f>
        <v>1</v>
      </c>
      <c r="Q7538" s="4" t="str">
        <f>IFERROR(__xludf.DUMMYFUNCTION("""COMPUTED_VALUE"""),"Menew - Linx")</f>
        <v>Menew - Linx</v>
      </c>
      <c r="R7538" s="33">
        <f>IFERROR(__xludf.DUMMYFUNCTION("""COMPUTED_VALUE"""),1.0)</f>
        <v>1</v>
      </c>
      <c r="S7538" s="4" t="str">
        <f>IFERROR(__xludf.DUMMYFUNCTION("""COMPUTED_VALUE"""),"Menew - Linx")</f>
        <v>Menew - Linx</v>
      </c>
      <c r="T7538" s="33">
        <f>IFERROR(__xludf.DUMMYFUNCTION("""COMPUTED_VALUE"""),1.0)</f>
        <v>1</v>
      </c>
      <c r="U7538" s="4" t="str">
        <f>IFERROR(__xludf.DUMMYFUNCTION("""COMPUTED_VALUE"""),"Menew - Linx")</f>
        <v>Menew - Linx</v>
      </c>
      <c r="V7538" s="33">
        <f>IFERROR(__xludf.DUMMYFUNCTION("""COMPUTED_VALUE"""),1.0)</f>
        <v>1</v>
      </c>
      <c r="W7538" s="4" t="str">
        <f>IFERROR(__xludf.DUMMYFUNCTION("""COMPUTED_VALUE"""),"Menew - Linx")</f>
        <v>Menew - Linx</v>
      </c>
      <c r="X7538" s="33">
        <f>IFERROR(__xludf.DUMMYFUNCTION("""COMPUTED_VALUE"""),1.0)</f>
        <v>1</v>
      </c>
    </row>
    <row r="7539">
      <c r="K7539" s="4" t="str">
        <f>IFERROR(__xludf.DUMMYFUNCTION("""COMPUTED_VALUE"""),"NOVA ERA COSMETICOS - CONTA MARCA")</f>
        <v>NOVA ERA COSMETICOS - CONTA MARCA</v>
      </c>
      <c r="L7539" s="32">
        <f>IFERROR(__xludf.DUMMYFUNCTION("""COMPUTED_VALUE"""),2.0)</f>
        <v>2</v>
      </c>
      <c r="M7539" s="4" t="str">
        <f>IFERROR(__xludf.DUMMYFUNCTION("""COMPUTED_VALUE"""),"null")</f>
        <v>null</v>
      </c>
      <c r="N7539" s="33">
        <f>IFERROR(__xludf.DUMMYFUNCTION("""COMPUTED_VALUE"""),0.5)</f>
        <v>0.5</v>
      </c>
      <c r="O7539" s="4" t="str">
        <f>IFERROR(__xludf.DUMMYFUNCTION("""COMPUTED_VALUE"""),"null")</f>
        <v>null</v>
      </c>
      <c r="P7539" s="33">
        <f>IFERROR(__xludf.DUMMYFUNCTION("""COMPUTED_VALUE"""),0.5)</f>
        <v>0.5</v>
      </c>
      <c r="Q7539" s="4" t="str">
        <f>IFERROR(__xludf.DUMMYFUNCTION("""COMPUTED_VALUE"""),"null")</f>
        <v>null</v>
      </c>
      <c r="R7539" s="33">
        <f>IFERROR(__xludf.DUMMYFUNCTION("""COMPUTED_VALUE"""),0.5)</f>
        <v>0.5</v>
      </c>
      <c r="S7539" s="4" t="str">
        <f>IFERROR(__xludf.DUMMYFUNCTION("""COMPUTED_VALUE"""),"null")</f>
        <v>null</v>
      </c>
      <c r="T7539" s="33">
        <f>IFERROR(__xludf.DUMMYFUNCTION("""COMPUTED_VALUE"""),0.5)</f>
        <v>0.5</v>
      </c>
      <c r="U7539" s="4" t="str">
        <f>IFERROR(__xludf.DUMMYFUNCTION("""COMPUTED_VALUE"""),"null")</f>
        <v>null</v>
      </c>
      <c r="V7539" s="33">
        <f>IFERROR(__xludf.DUMMYFUNCTION("""COMPUTED_VALUE"""),0.5)</f>
        <v>0.5</v>
      </c>
      <c r="W7539" s="4" t="str">
        <f>IFERROR(__xludf.DUMMYFUNCTION("""COMPUTED_VALUE"""),"N/A (Not found)")</f>
        <v>N/A (Not found)</v>
      </c>
      <c r="X7539" s="33">
        <f>IFERROR(__xludf.DUMMYFUNCTION("""COMPUTED_VALUE"""),1.0)</f>
        <v>1</v>
      </c>
    </row>
    <row r="7540">
      <c r="K7540" s="4" t="str">
        <f>IFERROR(__xludf.DUMMYFUNCTION("""COMPUTED_VALUE"""),"NOVA PASSAREDO - CONTA MARCA")</f>
        <v>NOVA PASSAREDO - CONTA MARCA</v>
      </c>
      <c r="L7540" s="32">
        <f>IFERROR(__xludf.DUMMYFUNCTION("""COMPUTED_VALUE"""),2.0)</f>
        <v>2</v>
      </c>
      <c r="M7540" s="4" t="str">
        <f>IFERROR(__xludf.DUMMYFUNCTION("""COMPUTED_VALUE"""),"N/A (Not found)")</f>
        <v>N/A (Not found)</v>
      </c>
      <c r="N7540" s="33">
        <f>IFERROR(__xludf.DUMMYFUNCTION("""COMPUTED_VALUE"""),1.0)</f>
        <v>1</v>
      </c>
      <c r="O7540" s="4" t="str">
        <f>IFERROR(__xludf.DUMMYFUNCTION("""COMPUTED_VALUE"""),"N/A (Not found)")</f>
        <v>N/A (Not found)</v>
      </c>
      <c r="P7540" s="33">
        <f>IFERROR(__xludf.DUMMYFUNCTION("""COMPUTED_VALUE"""),1.0)</f>
        <v>1</v>
      </c>
      <c r="Q7540" s="4" t="str">
        <f>IFERROR(__xludf.DUMMYFUNCTION("""COMPUTED_VALUE"""),"N/A (Not found)")</f>
        <v>N/A (Not found)</v>
      </c>
      <c r="R7540" s="33">
        <f>IFERROR(__xludf.DUMMYFUNCTION("""COMPUTED_VALUE"""),1.0)</f>
        <v>1</v>
      </c>
      <c r="S7540" s="4" t="str">
        <f>IFERROR(__xludf.DUMMYFUNCTION("""COMPUTED_VALUE"""),"N/A (Not found)")</f>
        <v>N/A (Not found)</v>
      </c>
      <c r="T7540" s="33">
        <f>IFERROR(__xludf.DUMMYFUNCTION("""COMPUTED_VALUE"""),1.0)</f>
        <v>1</v>
      </c>
      <c r="U7540" s="4" t="str">
        <f>IFERROR(__xludf.DUMMYFUNCTION("""COMPUTED_VALUE"""),"N/A (Not found)")</f>
        <v>N/A (Not found)</v>
      </c>
      <c r="V7540" s="33">
        <f>IFERROR(__xludf.DUMMYFUNCTION("""COMPUTED_VALUE"""),1.0)</f>
        <v>1</v>
      </c>
      <c r="W7540" s="4" t="str">
        <f>IFERROR(__xludf.DUMMYFUNCTION("""COMPUTED_VALUE"""),"N/A (Not found)")</f>
        <v>N/A (Not found)</v>
      </c>
      <c r="X7540" s="33">
        <f>IFERROR(__xludf.DUMMYFUNCTION("""COMPUTED_VALUE"""),1.0)</f>
        <v>1</v>
      </c>
    </row>
    <row r="7541">
      <c r="K7541" s="4" t="str">
        <f>IFERROR(__xludf.DUMMYFUNCTION("""COMPUTED_VALUE"""),"NU SUSHI DELIVERY")</f>
        <v>NU SUSHI DELIVERY</v>
      </c>
      <c r="L7541" s="32">
        <f>IFERROR(__xludf.DUMMYFUNCTION("""COMPUTED_VALUE"""),2.0)</f>
        <v>2</v>
      </c>
      <c r="M7541" s="4" t="str">
        <f>IFERROR(__xludf.DUMMYFUNCTION("""COMPUTED_VALUE"""),"Garcom Web")</f>
        <v>Garcom Web</v>
      </c>
      <c r="N7541" s="33">
        <f>IFERROR(__xludf.DUMMYFUNCTION("""COMPUTED_VALUE"""),0.5)</f>
        <v>0.5</v>
      </c>
      <c r="O7541" s="4" t="str">
        <f>IFERROR(__xludf.DUMMYFUNCTION("""COMPUTED_VALUE"""),"Garcom Web")</f>
        <v>Garcom Web</v>
      </c>
      <c r="P7541" s="33">
        <f>IFERROR(__xludf.DUMMYFUNCTION("""COMPUTED_VALUE"""),0.5)</f>
        <v>0.5</v>
      </c>
      <c r="Q7541" s="4" t="str">
        <f>IFERROR(__xludf.DUMMYFUNCTION("""COMPUTED_VALUE"""),"null")</f>
        <v>null</v>
      </c>
      <c r="R7541" s="33">
        <f>IFERROR(__xludf.DUMMYFUNCTION("""COMPUTED_VALUE"""),0.5)</f>
        <v>0.5</v>
      </c>
      <c r="S7541" s="4" t="str">
        <f>IFERROR(__xludf.DUMMYFUNCTION("""COMPUTED_VALUE"""),"null")</f>
        <v>null</v>
      </c>
      <c r="T7541" s="33">
        <f>IFERROR(__xludf.DUMMYFUNCTION("""COMPUTED_VALUE"""),0.5)</f>
        <v>0.5</v>
      </c>
      <c r="U7541" s="4" t="str">
        <f>IFERROR(__xludf.DUMMYFUNCTION("""COMPUTED_VALUE"""),"null")</f>
        <v>null</v>
      </c>
      <c r="V7541" s="33">
        <f>IFERROR(__xludf.DUMMYFUNCTION("""COMPUTED_VALUE"""),0.5)</f>
        <v>0.5</v>
      </c>
      <c r="W7541" s="4" t="str">
        <f>IFERROR(__xludf.DUMMYFUNCTION("""COMPUTED_VALUE"""),"Garcom Web")</f>
        <v>Garcom Web</v>
      </c>
      <c r="X7541" s="33">
        <f>IFERROR(__xludf.DUMMYFUNCTION("""COMPUTED_VALUE"""),0.5)</f>
        <v>0.5</v>
      </c>
    </row>
    <row r="7542">
      <c r="K7542" s="4" t="str">
        <f>IFERROR(__xludf.DUMMYFUNCTION("""COMPUTED_VALUE"""),"NUPPE PIZZARIA")</f>
        <v>NUPPE PIZZARIA</v>
      </c>
      <c r="L7542" s="32">
        <f>IFERROR(__xludf.DUMMYFUNCTION("""COMPUTED_VALUE"""),2.0)</f>
        <v>2</v>
      </c>
      <c r="M7542" s="4" t="str">
        <f>IFERROR(__xludf.DUMMYFUNCTION("""COMPUTED_VALUE"""),"Saipos Serviços De Software")</f>
        <v>Saipos Serviços De Software</v>
      </c>
      <c r="N7542" s="33">
        <f>IFERROR(__xludf.DUMMYFUNCTION("""COMPUTED_VALUE"""),1.0)</f>
        <v>1</v>
      </c>
      <c r="O7542" s="4" t="str">
        <f>IFERROR(__xludf.DUMMYFUNCTION("""COMPUTED_VALUE"""),"Saipos Serviços De Software")</f>
        <v>Saipos Serviços De Software</v>
      </c>
      <c r="P7542" s="33">
        <f>IFERROR(__xludf.DUMMYFUNCTION("""COMPUTED_VALUE"""),1.0)</f>
        <v>1</v>
      </c>
      <c r="Q7542" s="4" t="str">
        <f>IFERROR(__xludf.DUMMYFUNCTION("""COMPUTED_VALUE"""),"Saipos Serviços De Software")</f>
        <v>Saipos Serviços De Software</v>
      </c>
      <c r="R7542" s="33">
        <f>IFERROR(__xludf.DUMMYFUNCTION("""COMPUTED_VALUE"""),1.0)</f>
        <v>1</v>
      </c>
      <c r="S7542" s="4" t="str">
        <f>IFERROR(__xludf.DUMMYFUNCTION("""COMPUTED_VALUE"""),"Cardápio Web")</f>
        <v>Cardápio Web</v>
      </c>
      <c r="T7542" s="33">
        <f>IFERROR(__xludf.DUMMYFUNCTION("""COMPUTED_VALUE"""),1.0)</f>
        <v>1</v>
      </c>
      <c r="U7542" s="4" t="str">
        <f>IFERROR(__xludf.DUMMYFUNCTION("""COMPUTED_VALUE"""),"Cardápio Web")</f>
        <v>Cardápio Web</v>
      </c>
      <c r="V7542" s="33">
        <f>IFERROR(__xludf.DUMMYFUNCTION("""COMPUTED_VALUE"""),1.0)</f>
        <v>1</v>
      </c>
      <c r="W7542" s="4" t="str">
        <f>IFERROR(__xludf.DUMMYFUNCTION("""COMPUTED_VALUE"""),"Cardápio Web")</f>
        <v>Cardápio Web</v>
      </c>
      <c r="X7542" s="33">
        <f>IFERROR(__xludf.DUMMYFUNCTION("""COMPUTED_VALUE"""),1.0)</f>
        <v>1</v>
      </c>
    </row>
    <row r="7543">
      <c r="K7543" s="4" t="str">
        <f>IFERROR(__xludf.DUMMYFUNCTION("""COMPUTED_VALUE"""),"O BURGER DO JOAO")</f>
        <v>O BURGER DO JOAO</v>
      </c>
      <c r="L7543" s="32">
        <f>IFERROR(__xludf.DUMMYFUNCTION("""COMPUTED_VALUE"""),2.0)</f>
        <v>2</v>
      </c>
      <c r="M7543" s="4" t="str">
        <f>IFERROR(__xludf.DUMMYFUNCTION("""COMPUTED_VALUE"""),"null")</f>
        <v>null</v>
      </c>
      <c r="N7543" s="33">
        <f>IFERROR(__xludf.DUMMYFUNCTION("""COMPUTED_VALUE"""),0.5)</f>
        <v>0.5</v>
      </c>
      <c r="O7543" s="4" t="str">
        <f>IFERROR(__xludf.DUMMYFUNCTION("""COMPUTED_VALUE"""),"null")</f>
        <v>null</v>
      </c>
      <c r="P7543" s="33">
        <f>IFERROR(__xludf.DUMMYFUNCTION("""COMPUTED_VALUE"""),0.5)</f>
        <v>0.5</v>
      </c>
      <c r="Q7543" s="4" t="str">
        <f>IFERROR(__xludf.DUMMYFUNCTION("""COMPUTED_VALUE"""),"null")</f>
        <v>null</v>
      </c>
      <c r="R7543" s="33">
        <f>IFERROR(__xludf.DUMMYFUNCTION("""COMPUTED_VALUE"""),0.5)</f>
        <v>0.5</v>
      </c>
      <c r="S7543" s="4" t="str">
        <f>IFERROR(__xludf.DUMMYFUNCTION("""COMPUTED_VALUE"""),"Anota Ai Solucoes Digitais S/a")</f>
        <v>Anota Ai Solucoes Digitais S/a</v>
      </c>
      <c r="T7543" s="33">
        <f>IFERROR(__xludf.DUMMYFUNCTION("""COMPUTED_VALUE"""),1.0)</f>
        <v>1</v>
      </c>
      <c r="U7543" s="4" t="str">
        <f>IFERROR(__xludf.DUMMYFUNCTION("""COMPUTED_VALUE"""),"Anota Ai Solucoes Digitais S/a")</f>
        <v>Anota Ai Solucoes Digitais S/a</v>
      </c>
      <c r="V7543" s="33">
        <f>IFERROR(__xludf.DUMMYFUNCTION("""COMPUTED_VALUE"""),1.0)</f>
        <v>1</v>
      </c>
      <c r="W7543" s="4" t="str">
        <f>IFERROR(__xludf.DUMMYFUNCTION("""COMPUTED_VALUE"""),"Anota Ai Solucoes Digitais S/a")</f>
        <v>Anota Ai Solucoes Digitais S/a</v>
      </c>
      <c r="X7543" s="33">
        <f>IFERROR(__xludf.DUMMYFUNCTION("""COMPUTED_VALUE"""),1.0)</f>
        <v>1</v>
      </c>
    </row>
    <row r="7544">
      <c r="K7544" s="4" t="str">
        <f>IFERROR(__xludf.DUMMYFUNCTION("""COMPUTED_VALUE"""),"O CARIOQUES ACAI - SOROCABA")</f>
        <v>O CARIOQUES ACAI - SOROCABA</v>
      </c>
      <c r="L7544" s="32">
        <f>IFERROR(__xludf.DUMMYFUNCTION("""COMPUTED_VALUE"""),2.0)</f>
        <v>2</v>
      </c>
      <c r="M7544" s="4" t="str">
        <f>IFERROR(__xludf.DUMMYFUNCTION("""COMPUTED_VALUE"""),"Beefood - Sistema Para Restaurantes")</f>
        <v>Beefood - Sistema Para Restaurantes</v>
      </c>
      <c r="N7544" s="33">
        <f>IFERROR(__xludf.DUMMYFUNCTION("""COMPUTED_VALUE"""),1.0)</f>
        <v>1</v>
      </c>
      <c r="O7544" s="4" t="str">
        <f>IFERROR(__xludf.DUMMYFUNCTION("""COMPUTED_VALUE"""),"Beefood - Sistema Para Restaurantes")</f>
        <v>Beefood - Sistema Para Restaurantes</v>
      </c>
      <c r="P7544" s="33">
        <f>IFERROR(__xludf.DUMMYFUNCTION("""COMPUTED_VALUE"""),1.0)</f>
        <v>1</v>
      </c>
      <c r="Q7544" s="4" t="str">
        <f>IFERROR(__xludf.DUMMYFUNCTION("""COMPUTED_VALUE"""),"Beefood - Sistema Para Restaurantes")</f>
        <v>Beefood - Sistema Para Restaurantes</v>
      </c>
      <c r="R7544" s="33">
        <f>IFERROR(__xludf.DUMMYFUNCTION("""COMPUTED_VALUE"""),1.0)</f>
        <v>1</v>
      </c>
      <c r="S7544" s="4" t="str">
        <f>IFERROR(__xludf.DUMMYFUNCTION("""COMPUTED_VALUE"""),"Beefood - Sistema Para Restaurantes")</f>
        <v>Beefood - Sistema Para Restaurantes</v>
      </c>
      <c r="T7544" s="33">
        <f>IFERROR(__xludf.DUMMYFUNCTION("""COMPUTED_VALUE"""),1.0)</f>
        <v>1</v>
      </c>
      <c r="U7544" s="4" t="str">
        <f>IFERROR(__xludf.DUMMYFUNCTION("""COMPUTED_VALUE"""),"Beefood - Sistema Para Restaurantes")</f>
        <v>Beefood - Sistema Para Restaurantes</v>
      </c>
      <c r="V7544" s="33">
        <f>IFERROR(__xludf.DUMMYFUNCTION("""COMPUTED_VALUE"""),1.0)</f>
        <v>1</v>
      </c>
      <c r="W7544" s="4" t="str">
        <f>IFERROR(__xludf.DUMMYFUNCTION("""COMPUTED_VALUE"""),"Beefood - Sistema Para Restaurantes")</f>
        <v>Beefood - Sistema Para Restaurantes</v>
      </c>
      <c r="X7544" s="33">
        <f>IFERROR(__xludf.DUMMYFUNCTION("""COMPUTED_VALUE"""),1.0)</f>
        <v>1</v>
      </c>
    </row>
    <row r="7545">
      <c r="K7545" s="4" t="str">
        <f>IFERROR(__xludf.DUMMYFUNCTION("""COMPUTED_VALUE"""),"O FORNAO JOINVILLE")</f>
        <v>O FORNAO JOINVILLE</v>
      </c>
      <c r="L7545" s="32">
        <f>IFERROR(__xludf.DUMMYFUNCTION("""COMPUTED_VALUE"""),2.0)</f>
        <v>2</v>
      </c>
      <c r="M7545" s="4" t="str">
        <f>IFERROR(__xludf.DUMMYFUNCTION("""COMPUTED_VALUE"""),"Fs Soluções Em Tecnologia Ltda")</f>
        <v>Fs Soluções Em Tecnologia Ltda</v>
      </c>
      <c r="N7545" s="33">
        <f>IFERROR(__xludf.DUMMYFUNCTION("""COMPUTED_VALUE"""),1.0)</f>
        <v>1</v>
      </c>
      <c r="O7545" s="4" t="str">
        <f>IFERROR(__xludf.DUMMYFUNCTION("""COMPUTED_VALUE"""),"Fs Soluções Em Tecnologia Ltda")</f>
        <v>Fs Soluções Em Tecnologia Ltda</v>
      </c>
      <c r="P7545" s="33">
        <f>IFERROR(__xludf.DUMMYFUNCTION("""COMPUTED_VALUE"""),1.0)</f>
        <v>1</v>
      </c>
      <c r="Q7545" s="4" t="str">
        <f>IFERROR(__xludf.DUMMYFUNCTION("""COMPUTED_VALUE"""),"Fs Soluções Em Tecnologia Ltda")</f>
        <v>Fs Soluções Em Tecnologia Ltda</v>
      </c>
      <c r="R7545" s="33">
        <f>IFERROR(__xludf.DUMMYFUNCTION("""COMPUTED_VALUE"""),1.0)</f>
        <v>1</v>
      </c>
      <c r="S7545" s="4" t="str">
        <f>IFERROR(__xludf.DUMMYFUNCTION("""COMPUTED_VALUE"""),"Fs Soluções Em Tecnologia Ltda")</f>
        <v>Fs Soluções Em Tecnologia Ltda</v>
      </c>
      <c r="T7545" s="33">
        <f>IFERROR(__xludf.DUMMYFUNCTION("""COMPUTED_VALUE"""),1.0)</f>
        <v>1</v>
      </c>
      <c r="U7545" s="4" t="str">
        <f>IFERROR(__xludf.DUMMYFUNCTION("""COMPUTED_VALUE"""),"null")</f>
        <v>null</v>
      </c>
      <c r="V7545" s="33">
        <f>IFERROR(__xludf.DUMMYFUNCTION("""COMPUTED_VALUE"""),1.0)</f>
        <v>1</v>
      </c>
      <c r="W7545" s="4" t="str">
        <f>IFERROR(__xludf.DUMMYFUNCTION("""COMPUTED_VALUE"""),"Fs Soluções Em Tecnologia Ltda")</f>
        <v>Fs Soluções Em Tecnologia Ltda</v>
      </c>
      <c r="X7545" s="33">
        <f>IFERROR(__xludf.DUMMYFUNCTION("""COMPUTED_VALUE"""),1.0)</f>
        <v>1</v>
      </c>
    </row>
    <row r="7546">
      <c r="K7546" s="4" t="str">
        <f>IFERROR(__xludf.DUMMYFUNCTION("""COMPUTED_VALUE"""),"O GARFO - CONTA PAI")</f>
        <v>O GARFO - CONTA PAI</v>
      </c>
      <c r="L7546" s="32">
        <f>IFERROR(__xludf.DUMMYFUNCTION("""COMPUTED_VALUE"""),2.0)</f>
        <v>2</v>
      </c>
      <c r="M7546" s="4" t="str">
        <f>IFERROR(__xludf.DUMMYFUNCTION("""COMPUTED_VALUE"""),"Cloudfy")</f>
        <v>Cloudfy</v>
      </c>
      <c r="N7546" s="33">
        <f>IFERROR(__xludf.DUMMYFUNCTION("""COMPUTED_VALUE"""),1.0)</f>
        <v>1</v>
      </c>
      <c r="O7546" s="4" t="str">
        <f>IFERROR(__xludf.DUMMYFUNCTION("""COMPUTED_VALUE"""),"Cloudfy")</f>
        <v>Cloudfy</v>
      </c>
      <c r="P7546" s="33">
        <f>IFERROR(__xludf.DUMMYFUNCTION("""COMPUTED_VALUE"""),1.0)</f>
        <v>1</v>
      </c>
      <c r="Q7546" s="4" t="str">
        <f>IFERROR(__xludf.DUMMYFUNCTION("""COMPUTED_VALUE"""),"Cloudfy")</f>
        <v>Cloudfy</v>
      </c>
      <c r="R7546" s="33">
        <f>IFERROR(__xludf.DUMMYFUNCTION("""COMPUTED_VALUE"""),1.0)</f>
        <v>1</v>
      </c>
      <c r="S7546" s="4" t="str">
        <f>IFERROR(__xludf.DUMMYFUNCTION("""COMPUTED_VALUE"""),"Cloudfy")</f>
        <v>Cloudfy</v>
      </c>
      <c r="T7546" s="33">
        <f>IFERROR(__xludf.DUMMYFUNCTION("""COMPUTED_VALUE"""),1.0)</f>
        <v>1</v>
      </c>
      <c r="U7546" s="4" t="str">
        <f>IFERROR(__xludf.DUMMYFUNCTION("""COMPUTED_VALUE"""),"Cloudfy")</f>
        <v>Cloudfy</v>
      </c>
      <c r="V7546" s="33">
        <f>IFERROR(__xludf.DUMMYFUNCTION("""COMPUTED_VALUE"""),1.0)</f>
        <v>1</v>
      </c>
      <c r="W7546" s="4" t="str">
        <f>IFERROR(__xludf.DUMMYFUNCTION("""COMPUTED_VALUE"""),"Cloudfy")</f>
        <v>Cloudfy</v>
      </c>
      <c r="X7546" s="33">
        <f>IFERROR(__xludf.DUMMYFUNCTION("""COMPUTED_VALUE"""),1.0)</f>
        <v>1</v>
      </c>
    </row>
    <row r="7547">
      <c r="K7547" s="4" t="str">
        <f>IFERROR(__xludf.DUMMYFUNCTION("""COMPUTED_VALUE"""),"O PICUI")</f>
        <v>O PICUI</v>
      </c>
      <c r="L7547" s="32">
        <f>IFERROR(__xludf.DUMMYFUNCTION("""COMPUTED_VALUE"""),2.0)</f>
        <v>2</v>
      </c>
      <c r="M7547" s="4" t="str">
        <f>IFERROR(__xludf.DUMMYFUNCTION("""COMPUTED_VALUE"""),"Saipos Serviços De Software")</f>
        <v>Saipos Serviços De Software</v>
      </c>
      <c r="N7547" s="33">
        <f>IFERROR(__xludf.DUMMYFUNCTION("""COMPUTED_VALUE"""),0.5)</f>
        <v>0.5</v>
      </c>
      <c r="O7547" s="4" t="str">
        <f>IFERROR(__xludf.DUMMYFUNCTION("""COMPUTED_VALUE"""),"Saipos Serviços De Software")</f>
        <v>Saipos Serviços De Software</v>
      </c>
      <c r="P7547" s="33">
        <f>IFERROR(__xludf.DUMMYFUNCTION("""COMPUTED_VALUE"""),0.5)</f>
        <v>0.5</v>
      </c>
      <c r="Q7547" s="4" t="str">
        <f>IFERROR(__xludf.DUMMYFUNCTION("""COMPUTED_VALUE"""),"Saipos Serviços De Software")</f>
        <v>Saipos Serviços De Software</v>
      </c>
      <c r="R7547" s="33">
        <f>IFERROR(__xludf.DUMMYFUNCTION("""COMPUTED_VALUE"""),0.5)</f>
        <v>0.5</v>
      </c>
      <c r="S7547" s="4" t="str">
        <f>IFERROR(__xludf.DUMMYFUNCTION("""COMPUTED_VALUE"""),"Saipos Serviços De Software")</f>
        <v>Saipos Serviços De Software</v>
      </c>
      <c r="T7547" s="33">
        <f>IFERROR(__xludf.DUMMYFUNCTION("""COMPUTED_VALUE"""),0.5)</f>
        <v>0.5</v>
      </c>
      <c r="U7547" s="4" t="str">
        <f>IFERROR(__xludf.DUMMYFUNCTION("""COMPUTED_VALUE"""),"Saipos Serviços De Software")</f>
        <v>Saipos Serviços De Software</v>
      </c>
      <c r="V7547" s="33">
        <f>IFERROR(__xludf.DUMMYFUNCTION("""COMPUTED_VALUE"""),0.5)</f>
        <v>0.5</v>
      </c>
      <c r="W7547" s="4" t="str">
        <f>IFERROR(__xludf.DUMMYFUNCTION("""COMPUTED_VALUE"""),"Saipos Serviços De Software")</f>
        <v>Saipos Serviços De Software</v>
      </c>
      <c r="X7547" s="33">
        <f>IFERROR(__xludf.DUMMYFUNCTION("""COMPUTED_VALUE"""),0.5)</f>
        <v>0.5</v>
      </c>
    </row>
    <row r="7548">
      <c r="K7548" s="4" t="str">
        <f>IFERROR(__xludf.DUMMYFUNCTION("""COMPUTED_VALUE"""),"O REI DAS COXINHAS")</f>
        <v>O REI DAS COXINHAS</v>
      </c>
      <c r="L7548" s="32">
        <f>IFERROR(__xludf.DUMMYFUNCTION("""COMPUTED_VALUE"""),2.0)</f>
        <v>2</v>
      </c>
      <c r="M7548" s="4" t="str">
        <f>IFERROR(__xludf.DUMMYFUNCTION("""COMPUTED_VALUE"""),"Totvs Large Enterprise Tecnologia S.a.")</f>
        <v>Totvs Large Enterprise Tecnologia S.a.</v>
      </c>
      <c r="N7548" s="33">
        <f>IFERROR(__xludf.DUMMYFUNCTION("""COMPUTED_VALUE"""),1.0)</f>
        <v>1</v>
      </c>
      <c r="O7548" s="4" t="str">
        <f>IFERROR(__xludf.DUMMYFUNCTION("""COMPUTED_VALUE"""),"null")</f>
        <v>null</v>
      </c>
      <c r="P7548" s="33">
        <f>IFERROR(__xludf.DUMMYFUNCTION("""COMPUTED_VALUE"""),0.5)</f>
        <v>0.5</v>
      </c>
      <c r="Q7548" s="4" t="str">
        <f>IFERROR(__xludf.DUMMYFUNCTION("""COMPUTED_VALUE"""),"null")</f>
        <v>null</v>
      </c>
      <c r="R7548" s="33">
        <f>IFERROR(__xludf.DUMMYFUNCTION("""COMPUTED_VALUE"""),1.0)</f>
        <v>1</v>
      </c>
      <c r="S7548" s="4" t="str">
        <f>IFERROR(__xludf.DUMMYFUNCTION("""COMPUTED_VALUE"""),"null")</f>
        <v>null</v>
      </c>
      <c r="T7548" s="33">
        <f>IFERROR(__xludf.DUMMYFUNCTION("""COMPUTED_VALUE"""),0.5)</f>
        <v>0.5</v>
      </c>
      <c r="U7548" s="4" t="str">
        <f>IFERROR(__xludf.DUMMYFUNCTION("""COMPUTED_VALUE"""),"null")</f>
        <v>null</v>
      </c>
      <c r="V7548" s="33">
        <f>IFERROR(__xludf.DUMMYFUNCTION("""COMPUTED_VALUE"""),0.5)</f>
        <v>0.5</v>
      </c>
      <c r="W7548" s="4" t="str">
        <f>IFERROR(__xludf.DUMMYFUNCTION("""COMPUTED_VALUE"""),"null")</f>
        <v>null</v>
      </c>
      <c r="X7548" s="33">
        <f>IFERROR(__xludf.DUMMYFUNCTION("""COMPUTED_VALUE"""),0.5)</f>
        <v>0.5</v>
      </c>
    </row>
    <row r="7549">
      <c r="K7549" s="4" t="str">
        <f>IFERROR(__xludf.DUMMYFUNCTION("""COMPUTED_VALUE"""),"O TAL DO HAMBURGUER")</f>
        <v>O TAL DO HAMBURGUER</v>
      </c>
      <c r="L7549" s="32">
        <f>IFERROR(__xludf.DUMMYFUNCTION("""COMPUTED_VALUE"""),2.0)</f>
        <v>2</v>
      </c>
      <c r="M7549" s="4" t="str">
        <f>IFERROR(__xludf.DUMMYFUNCTION("""COMPUTED_VALUE"""),"Saipos Serviços De Software")</f>
        <v>Saipos Serviços De Software</v>
      </c>
      <c r="N7549" s="33">
        <f>IFERROR(__xludf.DUMMYFUNCTION("""COMPUTED_VALUE"""),1.0)</f>
        <v>1</v>
      </c>
      <c r="O7549" s="4" t="str">
        <f>IFERROR(__xludf.DUMMYFUNCTION("""COMPUTED_VALUE"""),"null")</f>
        <v>null</v>
      </c>
      <c r="P7549" s="33">
        <f>IFERROR(__xludf.DUMMYFUNCTION("""COMPUTED_VALUE"""),0.5)</f>
        <v>0.5</v>
      </c>
      <c r="Q7549" s="4" t="str">
        <f>IFERROR(__xludf.DUMMYFUNCTION("""COMPUTED_VALUE"""),"null")</f>
        <v>null</v>
      </c>
      <c r="R7549" s="33">
        <f>IFERROR(__xludf.DUMMYFUNCTION("""COMPUTED_VALUE"""),0.5)</f>
        <v>0.5</v>
      </c>
      <c r="S7549" s="4" t="str">
        <f>IFERROR(__xludf.DUMMYFUNCTION("""COMPUTED_VALUE"""),"null")</f>
        <v>null</v>
      </c>
      <c r="T7549" s="33">
        <f>IFERROR(__xludf.DUMMYFUNCTION("""COMPUTED_VALUE"""),0.5)</f>
        <v>0.5</v>
      </c>
      <c r="U7549" s="4" t="str">
        <f>IFERROR(__xludf.DUMMYFUNCTION("""COMPUTED_VALUE"""),"null")</f>
        <v>null</v>
      </c>
      <c r="V7549" s="33">
        <f>IFERROR(__xludf.DUMMYFUNCTION("""COMPUTED_VALUE"""),1.0)</f>
        <v>1</v>
      </c>
      <c r="W7549" s="4" t="str">
        <f>IFERROR(__xludf.DUMMYFUNCTION("""COMPUTED_VALUE"""),"null")</f>
        <v>null</v>
      </c>
      <c r="X7549" s="33">
        <f>IFERROR(__xludf.DUMMYFUNCTION("""COMPUTED_VALUE"""),1.0)</f>
        <v>1</v>
      </c>
    </row>
    <row r="7550">
      <c r="K7550" s="4" t="str">
        <f>IFERROR(__xludf.DUMMYFUNCTION("""COMPUTED_VALUE"""),"O TEMPERINHO")</f>
        <v>O TEMPERINHO</v>
      </c>
      <c r="L7550" s="32">
        <f>IFERROR(__xludf.DUMMYFUNCTION("""COMPUTED_VALUE"""),2.0)</f>
        <v>2</v>
      </c>
      <c r="M7550" s="4" t="str">
        <f>IFERROR(__xludf.DUMMYFUNCTION("""COMPUTED_VALUE"""),"Saipos Serviços De Software")</f>
        <v>Saipos Serviços De Software</v>
      </c>
      <c r="N7550" s="33">
        <f>IFERROR(__xludf.DUMMYFUNCTION("""COMPUTED_VALUE"""),1.0)</f>
        <v>1</v>
      </c>
      <c r="O7550" s="4" t="str">
        <f>IFERROR(__xludf.DUMMYFUNCTION("""COMPUTED_VALUE"""),"Saipos Serviços De Software")</f>
        <v>Saipos Serviços De Software</v>
      </c>
      <c r="P7550" s="33">
        <f>IFERROR(__xludf.DUMMYFUNCTION("""COMPUTED_VALUE"""),1.0)</f>
        <v>1</v>
      </c>
      <c r="Q7550" s="4" t="str">
        <f>IFERROR(__xludf.DUMMYFUNCTION("""COMPUTED_VALUE"""),"Saipos Serviços De Software")</f>
        <v>Saipos Serviços De Software</v>
      </c>
      <c r="R7550" s="33">
        <f>IFERROR(__xludf.DUMMYFUNCTION("""COMPUTED_VALUE"""),1.0)</f>
        <v>1</v>
      </c>
      <c r="S7550" s="4" t="str">
        <f>IFERROR(__xludf.DUMMYFUNCTION("""COMPUTED_VALUE"""),"Saipos Serviços De Software")</f>
        <v>Saipos Serviços De Software</v>
      </c>
      <c r="T7550" s="33">
        <f>IFERROR(__xludf.DUMMYFUNCTION("""COMPUTED_VALUE"""),1.0)</f>
        <v>1</v>
      </c>
      <c r="U7550" s="4" t="str">
        <f>IFERROR(__xludf.DUMMYFUNCTION("""COMPUTED_VALUE"""),"Saipos Serviços De Software")</f>
        <v>Saipos Serviços De Software</v>
      </c>
      <c r="V7550" s="33">
        <f>IFERROR(__xludf.DUMMYFUNCTION("""COMPUTED_VALUE"""),1.0)</f>
        <v>1</v>
      </c>
      <c r="W7550" s="4" t="str">
        <f>IFERROR(__xludf.DUMMYFUNCTION("""COMPUTED_VALUE"""),"Saipos Serviços De Software")</f>
        <v>Saipos Serviços De Software</v>
      </c>
      <c r="X7550" s="33">
        <f>IFERROR(__xludf.DUMMYFUNCTION("""COMPUTED_VALUE"""),1.0)</f>
        <v>1</v>
      </c>
    </row>
    <row r="7551">
      <c r="K7551" s="4" t="str">
        <f>IFERROR(__xludf.DUMMYFUNCTION("""COMPUTED_VALUE"""),"OASIS PASTELARIA SORVETERIA")</f>
        <v>OASIS PASTELARIA SORVETERIA</v>
      </c>
      <c r="L7551" s="32">
        <f>IFERROR(__xludf.DUMMYFUNCTION("""COMPUTED_VALUE"""),2.0)</f>
        <v>2</v>
      </c>
      <c r="M7551" s="4" t="str">
        <f>IFERROR(__xludf.DUMMYFUNCTION("""COMPUTED_VALUE"""),"Saipos Serviços De Software")</f>
        <v>Saipos Serviços De Software</v>
      </c>
      <c r="N7551" s="33">
        <f>IFERROR(__xludf.DUMMYFUNCTION("""COMPUTED_VALUE"""),1.0)</f>
        <v>1</v>
      </c>
      <c r="O7551" s="4" t="str">
        <f>IFERROR(__xludf.DUMMYFUNCTION("""COMPUTED_VALUE"""),"Saipos Serviços De Software")</f>
        <v>Saipos Serviços De Software</v>
      </c>
      <c r="P7551" s="33">
        <f>IFERROR(__xludf.DUMMYFUNCTION("""COMPUTED_VALUE"""),1.0)</f>
        <v>1</v>
      </c>
      <c r="Q7551" s="4" t="str">
        <f>IFERROR(__xludf.DUMMYFUNCTION("""COMPUTED_VALUE"""),"Saipos Serviços De Software")</f>
        <v>Saipos Serviços De Software</v>
      </c>
      <c r="R7551" s="33">
        <f>IFERROR(__xludf.DUMMYFUNCTION("""COMPUTED_VALUE"""),1.0)</f>
        <v>1</v>
      </c>
      <c r="S7551" s="4" t="str">
        <f>IFERROR(__xludf.DUMMYFUNCTION("""COMPUTED_VALUE"""),"Saipos Serviços De Software")</f>
        <v>Saipos Serviços De Software</v>
      </c>
      <c r="T7551" s="33">
        <f>IFERROR(__xludf.DUMMYFUNCTION("""COMPUTED_VALUE"""),1.0)</f>
        <v>1</v>
      </c>
      <c r="U7551" s="4" t="str">
        <f>IFERROR(__xludf.DUMMYFUNCTION("""COMPUTED_VALUE"""),"Saipos Serviços De Software")</f>
        <v>Saipos Serviços De Software</v>
      </c>
      <c r="V7551" s="33">
        <f>IFERROR(__xludf.DUMMYFUNCTION("""COMPUTED_VALUE"""),0.5)</f>
        <v>0.5</v>
      </c>
      <c r="W7551" s="4" t="str">
        <f>IFERROR(__xludf.DUMMYFUNCTION("""COMPUTED_VALUE"""),"Saipos Serviços De Software")</f>
        <v>Saipos Serviços De Software</v>
      </c>
      <c r="X7551" s="33">
        <f>IFERROR(__xludf.DUMMYFUNCTION("""COMPUTED_VALUE"""),1.0)</f>
        <v>1</v>
      </c>
    </row>
    <row r="7552">
      <c r="K7552" s="4" t="str">
        <f>IFERROR(__xludf.DUMMYFUNCTION("""COMPUTED_VALUE"""),"OBA SUSHI BELEM")</f>
        <v>OBA SUSHI BELEM</v>
      </c>
      <c r="L7552" s="32">
        <f>IFERROR(__xludf.DUMMYFUNCTION("""COMPUTED_VALUE"""),2.0)</f>
        <v>2</v>
      </c>
      <c r="M7552" s="4" t="str">
        <f>IFERROR(__xludf.DUMMYFUNCTION("""COMPUTED_VALUE"""),"Saipos Serviços De Software")</f>
        <v>Saipos Serviços De Software</v>
      </c>
      <c r="N7552" s="33">
        <f>IFERROR(__xludf.DUMMYFUNCTION("""COMPUTED_VALUE"""),1.0)</f>
        <v>1</v>
      </c>
      <c r="O7552" s="4" t="str">
        <f>IFERROR(__xludf.DUMMYFUNCTION("""COMPUTED_VALUE"""),"Saipos Serviços De Software")</f>
        <v>Saipos Serviços De Software</v>
      </c>
      <c r="P7552" s="33">
        <f>IFERROR(__xludf.DUMMYFUNCTION("""COMPUTED_VALUE"""),1.0)</f>
        <v>1</v>
      </c>
      <c r="Q7552" s="4" t="str">
        <f>IFERROR(__xludf.DUMMYFUNCTION("""COMPUTED_VALUE"""),"Saipos Serviços De Software")</f>
        <v>Saipos Serviços De Software</v>
      </c>
      <c r="R7552" s="33">
        <f>IFERROR(__xludf.DUMMYFUNCTION("""COMPUTED_VALUE"""),1.0)</f>
        <v>1</v>
      </c>
      <c r="S7552" s="4" t="str">
        <f>IFERROR(__xludf.DUMMYFUNCTION("""COMPUTED_VALUE"""),"Saipos Serviços De Software")</f>
        <v>Saipos Serviços De Software</v>
      </c>
      <c r="T7552" s="33">
        <f>IFERROR(__xludf.DUMMYFUNCTION("""COMPUTED_VALUE"""),1.0)</f>
        <v>1</v>
      </c>
      <c r="U7552" s="4" t="str">
        <f>IFERROR(__xludf.DUMMYFUNCTION("""COMPUTED_VALUE"""),"Saipos Serviços De Software")</f>
        <v>Saipos Serviços De Software</v>
      </c>
      <c r="V7552" s="33">
        <f>IFERROR(__xludf.DUMMYFUNCTION("""COMPUTED_VALUE"""),1.0)</f>
        <v>1</v>
      </c>
      <c r="W7552" s="4" t="str">
        <f>IFERROR(__xludf.DUMMYFUNCTION("""COMPUTED_VALUE"""),"Saipos Serviços De Software")</f>
        <v>Saipos Serviços De Software</v>
      </c>
      <c r="X7552" s="33">
        <f>IFERROR(__xludf.DUMMYFUNCTION("""COMPUTED_VALUE"""),1.0)</f>
        <v>1</v>
      </c>
    </row>
    <row r="7553">
      <c r="K7553" s="4" t="str">
        <f>IFERROR(__xludf.DUMMYFUNCTION("""COMPUTED_VALUE"""),"OBAIANEIRO - UBERLANDIA")</f>
        <v>OBAIANEIRO - UBERLANDIA</v>
      </c>
      <c r="L7553" s="32">
        <f>IFERROR(__xludf.DUMMYFUNCTION("""COMPUTED_VALUE"""),2.0)</f>
        <v>2</v>
      </c>
      <c r="M7553" s="4" t="str">
        <f>IFERROR(__xludf.DUMMYFUNCTION("""COMPUTED_VALUE"""),"Saipos Serviços De Software")</f>
        <v>Saipos Serviços De Software</v>
      </c>
      <c r="N7553" s="33">
        <f>IFERROR(__xludf.DUMMYFUNCTION("""COMPUTED_VALUE"""),1.0)</f>
        <v>1</v>
      </c>
      <c r="O7553" s="4" t="str">
        <f>IFERROR(__xludf.DUMMYFUNCTION("""COMPUTED_VALUE"""),"Saipos Serviços De Software")</f>
        <v>Saipos Serviços De Software</v>
      </c>
      <c r="P7553" s="33">
        <f>IFERROR(__xludf.DUMMYFUNCTION("""COMPUTED_VALUE"""),1.0)</f>
        <v>1</v>
      </c>
      <c r="Q7553" s="4" t="str">
        <f>IFERROR(__xludf.DUMMYFUNCTION("""COMPUTED_VALUE"""),"Saipos Serviços De Software")</f>
        <v>Saipos Serviços De Software</v>
      </c>
      <c r="R7553" s="33">
        <f>IFERROR(__xludf.DUMMYFUNCTION("""COMPUTED_VALUE"""),1.0)</f>
        <v>1</v>
      </c>
      <c r="S7553" s="4" t="str">
        <f>IFERROR(__xludf.DUMMYFUNCTION("""COMPUTED_VALUE"""),"Saipos Serviços De Software")</f>
        <v>Saipos Serviços De Software</v>
      </c>
      <c r="T7553" s="33">
        <f>IFERROR(__xludf.DUMMYFUNCTION("""COMPUTED_VALUE"""),1.0)</f>
        <v>1</v>
      </c>
      <c r="U7553" s="4" t="str">
        <f>IFERROR(__xludf.DUMMYFUNCTION("""COMPUTED_VALUE"""),"Saipos Serviços De Software")</f>
        <v>Saipos Serviços De Software</v>
      </c>
      <c r="V7553" s="33">
        <f>IFERROR(__xludf.DUMMYFUNCTION("""COMPUTED_VALUE"""),1.0)</f>
        <v>1</v>
      </c>
      <c r="W7553" s="4" t="str">
        <f>IFERROR(__xludf.DUMMYFUNCTION("""COMPUTED_VALUE"""),"Saipos Serviços De Software")</f>
        <v>Saipos Serviços De Software</v>
      </c>
      <c r="X7553" s="33">
        <f>IFERROR(__xludf.DUMMYFUNCTION("""COMPUTED_VALUE"""),1.0)</f>
        <v>1</v>
      </c>
    </row>
    <row r="7554">
      <c r="K7554" s="4" t="str">
        <f>IFERROR(__xludf.DUMMYFUNCTION("""COMPUTED_VALUE"""),"OBENTO DO JAPA")</f>
        <v>OBENTO DO JAPA</v>
      </c>
      <c r="L7554" s="32">
        <f>IFERROR(__xludf.DUMMYFUNCTION("""COMPUTED_VALUE"""),2.0)</f>
        <v>2</v>
      </c>
      <c r="M7554" s="4" t="str">
        <f>IFERROR(__xludf.DUMMYFUNCTION("""COMPUTED_VALUE"""),"Swfast Sistemas")</f>
        <v>Swfast Sistemas</v>
      </c>
      <c r="N7554" s="33">
        <f>IFERROR(__xludf.DUMMYFUNCTION("""COMPUTED_VALUE"""),1.0)</f>
        <v>1</v>
      </c>
      <c r="O7554" s="4" t="str">
        <f>IFERROR(__xludf.DUMMYFUNCTION("""COMPUTED_VALUE"""),"Swfast Sistemas")</f>
        <v>Swfast Sistemas</v>
      </c>
      <c r="P7554" s="33">
        <f>IFERROR(__xludf.DUMMYFUNCTION("""COMPUTED_VALUE"""),1.0)</f>
        <v>1</v>
      </c>
      <c r="Q7554" s="4" t="str">
        <f>IFERROR(__xludf.DUMMYFUNCTION("""COMPUTED_VALUE"""),"Swfast Sistemas")</f>
        <v>Swfast Sistemas</v>
      </c>
      <c r="R7554" s="33">
        <f>IFERROR(__xludf.DUMMYFUNCTION("""COMPUTED_VALUE"""),1.0)</f>
        <v>1</v>
      </c>
      <c r="S7554" s="4" t="str">
        <f>IFERROR(__xludf.DUMMYFUNCTION("""COMPUTED_VALUE"""),"Swfast Sistemas")</f>
        <v>Swfast Sistemas</v>
      </c>
      <c r="T7554" s="33">
        <f>IFERROR(__xludf.DUMMYFUNCTION("""COMPUTED_VALUE"""),1.0)</f>
        <v>1</v>
      </c>
      <c r="U7554" s="4" t="str">
        <f>IFERROR(__xludf.DUMMYFUNCTION("""COMPUTED_VALUE"""),"Swfast Sistemas")</f>
        <v>Swfast Sistemas</v>
      </c>
      <c r="V7554" s="33">
        <f>IFERROR(__xludf.DUMMYFUNCTION("""COMPUTED_VALUE"""),1.0)</f>
        <v>1</v>
      </c>
      <c r="W7554" s="4" t="str">
        <f>IFERROR(__xludf.DUMMYFUNCTION("""COMPUTED_VALUE"""),"Swfast Sistemas")</f>
        <v>Swfast Sistemas</v>
      </c>
      <c r="X7554" s="33">
        <f>IFERROR(__xludf.DUMMYFUNCTION("""COMPUTED_VALUE"""),1.0)</f>
        <v>1</v>
      </c>
    </row>
    <row r="7555">
      <c r="K7555" s="4" t="str">
        <f>IFERROR(__xludf.DUMMYFUNCTION("""COMPUTED_VALUE"""),"OH CASEIRINHO CONFEITARIA - CONTA MARCA")</f>
        <v>OH CASEIRINHO CONFEITARIA - CONTA MARCA</v>
      </c>
      <c r="L7555" s="32">
        <f>IFERROR(__xludf.DUMMYFUNCTION("""COMPUTED_VALUE"""),2.0)</f>
        <v>2</v>
      </c>
      <c r="M7555" s="4" t="str">
        <f>IFERROR(__xludf.DUMMYFUNCTION("""COMPUTED_VALUE"""),"Takeat Tecnologia")</f>
        <v>Takeat Tecnologia</v>
      </c>
      <c r="N7555" s="33">
        <f>IFERROR(__xludf.DUMMYFUNCTION("""COMPUTED_VALUE"""),1.0)</f>
        <v>1</v>
      </c>
      <c r="O7555" s="4" t="str">
        <f>IFERROR(__xludf.DUMMYFUNCTION("""COMPUTED_VALUE"""),"Takeat Tecnologia")</f>
        <v>Takeat Tecnologia</v>
      </c>
      <c r="P7555" s="33">
        <f>IFERROR(__xludf.DUMMYFUNCTION("""COMPUTED_VALUE"""),1.0)</f>
        <v>1</v>
      </c>
      <c r="Q7555" s="4" t="str">
        <f>IFERROR(__xludf.DUMMYFUNCTION("""COMPUTED_VALUE"""),"Takeat Tecnologia")</f>
        <v>Takeat Tecnologia</v>
      </c>
      <c r="R7555" s="33">
        <f>IFERROR(__xludf.DUMMYFUNCTION("""COMPUTED_VALUE"""),1.0)</f>
        <v>1</v>
      </c>
      <c r="S7555" s="4" t="str">
        <f>IFERROR(__xludf.DUMMYFUNCTION("""COMPUTED_VALUE"""),"Takeat Tecnologia")</f>
        <v>Takeat Tecnologia</v>
      </c>
      <c r="T7555" s="33">
        <f>IFERROR(__xludf.DUMMYFUNCTION("""COMPUTED_VALUE"""),1.0)</f>
        <v>1</v>
      </c>
      <c r="U7555" s="4" t="str">
        <f>IFERROR(__xludf.DUMMYFUNCTION("""COMPUTED_VALUE"""),"null")</f>
        <v>null</v>
      </c>
      <c r="V7555" s="33">
        <f>IFERROR(__xludf.DUMMYFUNCTION("""COMPUTED_VALUE"""),0.5)</f>
        <v>0.5</v>
      </c>
      <c r="W7555" s="4" t="str">
        <f>IFERROR(__xludf.DUMMYFUNCTION("""COMPUTED_VALUE"""),"null")</f>
        <v>null</v>
      </c>
      <c r="X7555" s="33">
        <f>IFERROR(__xludf.DUMMYFUNCTION("""COMPUTED_VALUE"""),0.5)</f>
        <v>0.5</v>
      </c>
    </row>
    <row r="7556">
      <c r="K7556" s="4" t="str">
        <f>IFERROR(__xludf.DUMMYFUNCTION("""COMPUTED_VALUE"""),"OHANA LASANHAS - CONTA PAI")</f>
        <v>OHANA LASANHAS - CONTA PAI</v>
      </c>
      <c r="L7556" s="32">
        <f>IFERROR(__xludf.DUMMYFUNCTION("""COMPUTED_VALUE"""),2.0)</f>
        <v>2</v>
      </c>
      <c r="M7556" s="4" t="str">
        <f>IFERROR(__xludf.DUMMYFUNCTION("""COMPUTED_VALUE"""),"Cardápio Web")</f>
        <v>Cardápio Web</v>
      </c>
      <c r="N7556" s="33">
        <f>IFERROR(__xludf.DUMMYFUNCTION("""COMPUTED_VALUE"""),1.0)</f>
        <v>1</v>
      </c>
      <c r="O7556" s="4" t="str">
        <f>IFERROR(__xludf.DUMMYFUNCTION("""COMPUTED_VALUE"""),"Cardápio Web")</f>
        <v>Cardápio Web</v>
      </c>
      <c r="P7556" s="33">
        <f>IFERROR(__xludf.DUMMYFUNCTION("""COMPUTED_VALUE"""),1.0)</f>
        <v>1</v>
      </c>
      <c r="Q7556" s="4" t="str">
        <f>IFERROR(__xludf.DUMMYFUNCTION("""COMPUTED_VALUE"""),"Cardápio Web")</f>
        <v>Cardápio Web</v>
      </c>
      <c r="R7556" s="33">
        <f>IFERROR(__xludf.DUMMYFUNCTION("""COMPUTED_VALUE"""),1.0)</f>
        <v>1</v>
      </c>
      <c r="S7556" s="4" t="str">
        <f>IFERROR(__xludf.DUMMYFUNCTION("""COMPUTED_VALUE"""),"Cardápio Web")</f>
        <v>Cardápio Web</v>
      </c>
      <c r="T7556" s="33">
        <f>IFERROR(__xludf.DUMMYFUNCTION("""COMPUTED_VALUE"""),1.0)</f>
        <v>1</v>
      </c>
      <c r="U7556" s="4" t="str">
        <f>IFERROR(__xludf.DUMMYFUNCTION("""COMPUTED_VALUE"""),"Suitable Tecnologia E Gestao")</f>
        <v>Suitable Tecnologia E Gestao</v>
      </c>
      <c r="V7556" s="33">
        <f>IFERROR(__xludf.DUMMYFUNCTION("""COMPUTED_VALUE"""),1.0)</f>
        <v>1</v>
      </c>
      <c r="W7556" s="4" t="str">
        <f>IFERROR(__xludf.DUMMYFUNCTION("""COMPUTED_VALUE"""),"Cardápio Web")</f>
        <v>Cardápio Web</v>
      </c>
      <c r="X7556" s="33">
        <f>IFERROR(__xludf.DUMMYFUNCTION("""COMPUTED_VALUE"""),1.0)</f>
        <v>1</v>
      </c>
    </row>
    <row r="7557">
      <c r="K7557" s="4" t="str">
        <f>IFERROR(__xludf.DUMMYFUNCTION("""COMPUTED_VALUE"""),"OK BURGER NITEROI")</f>
        <v>OK BURGER NITEROI</v>
      </c>
      <c r="L7557" s="32">
        <f>IFERROR(__xludf.DUMMYFUNCTION("""COMPUTED_VALUE"""),2.0)</f>
        <v>2</v>
      </c>
      <c r="M7557" s="4" t="str">
        <f>IFERROR(__xludf.DUMMYFUNCTION("""COMPUTED_VALUE"""),"Saipos Serviços De Software")</f>
        <v>Saipos Serviços De Software</v>
      </c>
      <c r="N7557" s="33">
        <f>IFERROR(__xludf.DUMMYFUNCTION("""COMPUTED_VALUE"""),1.0)</f>
        <v>1</v>
      </c>
      <c r="O7557" s="4" t="str">
        <f>IFERROR(__xludf.DUMMYFUNCTION("""COMPUTED_VALUE"""),"Saipos Serviços De Software")</f>
        <v>Saipos Serviços De Software</v>
      </c>
      <c r="P7557" s="33">
        <f>IFERROR(__xludf.DUMMYFUNCTION("""COMPUTED_VALUE"""),1.0)</f>
        <v>1</v>
      </c>
      <c r="Q7557" s="4" t="str">
        <f>IFERROR(__xludf.DUMMYFUNCTION("""COMPUTED_VALUE"""),"Saipos Serviços De Software")</f>
        <v>Saipos Serviços De Software</v>
      </c>
      <c r="R7557" s="33">
        <f>IFERROR(__xludf.DUMMYFUNCTION("""COMPUTED_VALUE"""),1.0)</f>
        <v>1</v>
      </c>
      <c r="S7557" s="4" t="str">
        <f>IFERROR(__xludf.DUMMYFUNCTION("""COMPUTED_VALUE"""),"Saipos Serviços De Software")</f>
        <v>Saipos Serviços De Software</v>
      </c>
      <c r="T7557" s="33">
        <f>IFERROR(__xludf.DUMMYFUNCTION("""COMPUTED_VALUE"""),1.0)</f>
        <v>1</v>
      </c>
      <c r="U7557" s="4" t="str">
        <f>IFERROR(__xludf.DUMMYFUNCTION("""COMPUTED_VALUE"""),"Saipos Serviços De Software")</f>
        <v>Saipos Serviços De Software</v>
      </c>
      <c r="V7557" s="33">
        <f>IFERROR(__xludf.DUMMYFUNCTION("""COMPUTED_VALUE"""),1.0)</f>
        <v>1</v>
      </c>
      <c r="W7557" s="4" t="str">
        <f>IFERROR(__xludf.DUMMYFUNCTION("""COMPUTED_VALUE"""),"Saipos Serviços De Software")</f>
        <v>Saipos Serviços De Software</v>
      </c>
      <c r="X7557" s="33">
        <f>IFERROR(__xludf.DUMMYFUNCTION("""COMPUTED_VALUE"""),1.0)</f>
        <v>1</v>
      </c>
    </row>
    <row r="7558">
      <c r="K7558" s="4" t="str">
        <f>IFERROR(__xludf.DUMMYFUNCTION("""COMPUTED_VALUE"""),"OMORI")</f>
        <v>OMORI</v>
      </c>
      <c r="L7558" s="32">
        <f>IFERROR(__xludf.DUMMYFUNCTION("""COMPUTED_VALUE"""),2.0)</f>
        <v>2</v>
      </c>
      <c r="M7558" s="4" t="str">
        <f>IFERROR(__xludf.DUMMYFUNCTION("""COMPUTED_VALUE"""),"Saipos Serviços De Software")</f>
        <v>Saipos Serviços De Software</v>
      </c>
      <c r="N7558" s="33">
        <f>IFERROR(__xludf.DUMMYFUNCTION("""COMPUTED_VALUE"""),1.0)</f>
        <v>1</v>
      </c>
      <c r="O7558" s="4" t="str">
        <f>IFERROR(__xludf.DUMMYFUNCTION("""COMPUTED_VALUE"""),"Saipos Serviços De Software")</f>
        <v>Saipos Serviços De Software</v>
      </c>
      <c r="P7558" s="33">
        <f>IFERROR(__xludf.DUMMYFUNCTION("""COMPUTED_VALUE"""),1.0)</f>
        <v>1</v>
      </c>
      <c r="Q7558" s="4" t="str">
        <f>IFERROR(__xludf.DUMMYFUNCTION("""COMPUTED_VALUE"""),"Saipos Serviços De Software")</f>
        <v>Saipos Serviços De Software</v>
      </c>
      <c r="R7558" s="33">
        <f>IFERROR(__xludf.DUMMYFUNCTION("""COMPUTED_VALUE"""),1.0)</f>
        <v>1</v>
      </c>
      <c r="S7558" s="4" t="str">
        <f>IFERROR(__xludf.DUMMYFUNCTION("""COMPUTED_VALUE"""),"null")</f>
        <v>null</v>
      </c>
      <c r="T7558" s="33">
        <f>IFERROR(__xludf.DUMMYFUNCTION("""COMPUTED_VALUE"""),1.0)</f>
        <v>1</v>
      </c>
      <c r="U7558" s="4" t="str">
        <f>IFERROR(__xludf.DUMMYFUNCTION("""COMPUTED_VALUE"""),"null")</f>
        <v>null</v>
      </c>
      <c r="V7558" s="33">
        <f>IFERROR(__xludf.DUMMYFUNCTION("""COMPUTED_VALUE"""),1.0)</f>
        <v>1</v>
      </c>
      <c r="W7558" s="4" t="str">
        <f>IFERROR(__xludf.DUMMYFUNCTION("""COMPUTED_VALUE"""),"null")</f>
        <v>null</v>
      </c>
      <c r="X7558" s="33">
        <f>IFERROR(__xludf.DUMMYFUNCTION("""COMPUTED_VALUE"""),1.0)</f>
        <v>1</v>
      </c>
    </row>
    <row r="7559">
      <c r="K7559" s="4" t="str">
        <f>IFERROR(__xludf.DUMMYFUNCTION("""COMPUTED_VALUE"""),"ONE BURGER SBC")</f>
        <v>ONE BURGER SBC</v>
      </c>
      <c r="L7559" s="32">
        <f>IFERROR(__xludf.DUMMYFUNCTION("""COMPUTED_VALUE"""),2.0)</f>
        <v>2</v>
      </c>
      <c r="M7559" s="4" t="str">
        <f>IFERROR(__xludf.DUMMYFUNCTION("""COMPUTED_VALUE"""),"Saipos Serviços De Software")</f>
        <v>Saipos Serviços De Software</v>
      </c>
      <c r="N7559" s="33">
        <f>IFERROR(__xludf.DUMMYFUNCTION("""COMPUTED_VALUE"""),1.0)</f>
        <v>1</v>
      </c>
      <c r="O7559" s="4" t="str">
        <f>IFERROR(__xludf.DUMMYFUNCTION("""COMPUTED_VALUE"""),"Saipos Serviços De Software")</f>
        <v>Saipos Serviços De Software</v>
      </c>
      <c r="P7559" s="33">
        <f>IFERROR(__xludf.DUMMYFUNCTION("""COMPUTED_VALUE"""),1.0)</f>
        <v>1</v>
      </c>
      <c r="Q7559" s="4" t="str">
        <f>IFERROR(__xludf.DUMMYFUNCTION("""COMPUTED_VALUE"""),"null")</f>
        <v>null</v>
      </c>
      <c r="R7559" s="33">
        <f>IFERROR(__xludf.DUMMYFUNCTION("""COMPUTED_VALUE"""),0.5)</f>
        <v>0.5</v>
      </c>
      <c r="S7559" s="4" t="str">
        <f>IFERROR(__xludf.DUMMYFUNCTION("""COMPUTED_VALUE"""),"null")</f>
        <v>null</v>
      </c>
      <c r="T7559" s="33">
        <f>IFERROR(__xludf.DUMMYFUNCTION("""COMPUTED_VALUE"""),0.5)</f>
        <v>0.5</v>
      </c>
      <c r="U7559" s="4" t="str">
        <f>IFERROR(__xludf.DUMMYFUNCTION("""COMPUTED_VALUE"""),"null")</f>
        <v>null</v>
      </c>
      <c r="V7559" s="33">
        <f>IFERROR(__xludf.DUMMYFUNCTION("""COMPUTED_VALUE"""),0.5)</f>
        <v>0.5</v>
      </c>
      <c r="W7559" s="4" t="str">
        <f>IFERROR(__xludf.DUMMYFUNCTION("""COMPUTED_VALUE"""),"null")</f>
        <v>null</v>
      </c>
      <c r="X7559" s="33">
        <f>IFERROR(__xludf.DUMMYFUNCTION("""COMPUTED_VALUE"""),0.5)</f>
        <v>0.5</v>
      </c>
    </row>
    <row r="7560">
      <c r="K7560" s="4" t="str">
        <f>IFERROR(__xludf.DUMMYFUNCTION("""COMPUTED_VALUE"""),"ONIX BURGUER ARTESANAL")</f>
        <v>ONIX BURGUER ARTESANAL</v>
      </c>
      <c r="L7560" s="32">
        <f>IFERROR(__xludf.DUMMYFUNCTION("""COMPUTED_VALUE"""),2.0)</f>
        <v>2</v>
      </c>
      <c r="M7560" s="4" t="str">
        <f>IFERROR(__xludf.DUMMYFUNCTION("""COMPUTED_VALUE"""),"Consumer Soluções Em Tecnologia Ltda")</f>
        <v>Consumer Soluções Em Tecnologia Ltda</v>
      </c>
      <c r="N7560" s="33">
        <f>IFERROR(__xludf.DUMMYFUNCTION("""COMPUTED_VALUE"""),1.0)</f>
        <v>1</v>
      </c>
      <c r="O7560" s="4" t="str">
        <f>IFERROR(__xludf.DUMMYFUNCTION("""COMPUTED_VALUE"""),"Consumer Soluções Em Tecnologia Ltda")</f>
        <v>Consumer Soluções Em Tecnologia Ltda</v>
      </c>
      <c r="P7560" s="33">
        <f>IFERROR(__xludf.DUMMYFUNCTION("""COMPUTED_VALUE"""),1.0)</f>
        <v>1</v>
      </c>
      <c r="Q7560" s="4" t="str">
        <f>IFERROR(__xludf.DUMMYFUNCTION("""COMPUTED_VALUE"""),"Consumer Soluções Em Tecnologia Ltda")</f>
        <v>Consumer Soluções Em Tecnologia Ltda</v>
      </c>
      <c r="R7560" s="33">
        <f>IFERROR(__xludf.DUMMYFUNCTION("""COMPUTED_VALUE"""),1.0)</f>
        <v>1</v>
      </c>
      <c r="S7560" s="4" t="str">
        <f>IFERROR(__xludf.DUMMYFUNCTION("""COMPUTED_VALUE"""),"Consumer Soluções Em Tecnologia Ltda")</f>
        <v>Consumer Soluções Em Tecnologia Ltda</v>
      </c>
      <c r="T7560" s="33">
        <f>IFERROR(__xludf.DUMMYFUNCTION("""COMPUTED_VALUE"""),1.0)</f>
        <v>1</v>
      </c>
      <c r="U7560" s="4" t="str">
        <f>IFERROR(__xludf.DUMMYFUNCTION("""COMPUTED_VALUE"""),"Consumer Soluções Em Tecnologia Ltda")</f>
        <v>Consumer Soluções Em Tecnologia Ltda</v>
      </c>
      <c r="V7560" s="33">
        <f>IFERROR(__xludf.DUMMYFUNCTION("""COMPUTED_VALUE"""),1.0)</f>
        <v>1</v>
      </c>
      <c r="W7560" s="4" t="str">
        <f>IFERROR(__xludf.DUMMYFUNCTION("""COMPUTED_VALUE"""),"Consumer Soluções Em Tecnologia Ltda")</f>
        <v>Consumer Soluções Em Tecnologia Ltda</v>
      </c>
      <c r="X7560" s="33">
        <f>IFERROR(__xludf.DUMMYFUNCTION("""COMPUTED_VALUE"""),1.0)</f>
        <v>1</v>
      </c>
    </row>
    <row r="7561">
      <c r="K7561" s="4" t="str">
        <f>IFERROR(__xludf.DUMMYFUNCTION("""COMPUTED_VALUE"""),"OS TRAVESSOS - CONTA PAI")</f>
        <v>OS TRAVESSOS - CONTA PAI</v>
      </c>
      <c r="L7561" s="32">
        <f>IFERROR(__xludf.DUMMYFUNCTION("""COMPUTED_VALUE"""),2.0)</f>
        <v>2</v>
      </c>
      <c r="M7561" s="4" t="str">
        <f>IFERROR(__xludf.DUMMYFUNCTION("""COMPUTED_VALUE"""),"Saipos Serviços De Software")</f>
        <v>Saipos Serviços De Software</v>
      </c>
      <c r="N7561" s="33">
        <f>IFERROR(__xludf.DUMMYFUNCTION("""COMPUTED_VALUE"""),1.0)</f>
        <v>1</v>
      </c>
      <c r="O7561" s="4" t="str">
        <f>IFERROR(__xludf.DUMMYFUNCTION("""COMPUTED_VALUE"""),"Saipos Serviços De Software")</f>
        <v>Saipos Serviços De Software</v>
      </c>
      <c r="P7561" s="33">
        <f>IFERROR(__xludf.DUMMYFUNCTION("""COMPUTED_VALUE"""),1.0)</f>
        <v>1</v>
      </c>
      <c r="Q7561" s="4" t="str">
        <f>IFERROR(__xludf.DUMMYFUNCTION("""COMPUTED_VALUE"""),"Saipos Serviços De Software")</f>
        <v>Saipos Serviços De Software</v>
      </c>
      <c r="R7561" s="33">
        <f>IFERROR(__xludf.DUMMYFUNCTION("""COMPUTED_VALUE"""),1.0)</f>
        <v>1</v>
      </c>
      <c r="S7561" s="4" t="str">
        <f>IFERROR(__xludf.DUMMYFUNCTION("""COMPUTED_VALUE"""),"Saipos Serviços De Software")</f>
        <v>Saipos Serviços De Software</v>
      </c>
      <c r="T7561" s="33">
        <f>IFERROR(__xludf.DUMMYFUNCTION("""COMPUTED_VALUE"""),1.0)</f>
        <v>1</v>
      </c>
      <c r="U7561" s="4" t="str">
        <f>IFERROR(__xludf.DUMMYFUNCTION("""COMPUTED_VALUE"""),"Saipos Serviços De Software")</f>
        <v>Saipos Serviços De Software</v>
      </c>
      <c r="V7561" s="33">
        <f>IFERROR(__xludf.DUMMYFUNCTION("""COMPUTED_VALUE"""),1.0)</f>
        <v>1</v>
      </c>
      <c r="W7561" s="4" t="str">
        <f>IFERROR(__xludf.DUMMYFUNCTION("""COMPUTED_VALUE"""),"Saipos Serviços De Software")</f>
        <v>Saipos Serviços De Software</v>
      </c>
      <c r="X7561" s="33">
        <f>IFERROR(__xludf.DUMMYFUNCTION("""COMPUTED_VALUE"""),1.0)</f>
        <v>1</v>
      </c>
    </row>
    <row r="7562">
      <c r="K7562" s="4" t="str">
        <f>IFERROR(__xludf.DUMMYFUNCTION("""COMPUTED_VALUE"""),"OY SUSHI")</f>
        <v>OY SUSHI</v>
      </c>
      <c r="L7562" s="32">
        <f>IFERROR(__xludf.DUMMYFUNCTION("""COMPUTED_VALUE"""),2.0)</f>
        <v>2</v>
      </c>
      <c r="M7562" s="4" t="str">
        <f>IFERROR(__xludf.DUMMYFUNCTION("""COMPUTED_VALUE"""),"Consumer Soluções Em Tecnologia Ltda")</f>
        <v>Consumer Soluções Em Tecnologia Ltda</v>
      </c>
      <c r="N7562" s="33">
        <f>IFERROR(__xludf.DUMMYFUNCTION("""COMPUTED_VALUE"""),1.0)</f>
        <v>1</v>
      </c>
      <c r="O7562" s="4" t="str">
        <f>IFERROR(__xludf.DUMMYFUNCTION("""COMPUTED_VALUE"""),"Consumer Soluções Em Tecnologia Ltda")</f>
        <v>Consumer Soluções Em Tecnologia Ltda</v>
      </c>
      <c r="P7562" s="33">
        <f>IFERROR(__xludf.DUMMYFUNCTION("""COMPUTED_VALUE"""),1.0)</f>
        <v>1</v>
      </c>
      <c r="Q7562" s="4" t="str">
        <f>IFERROR(__xludf.DUMMYFUNCTION("""COMPUTED_VALUE"""),"Consumer Soluções Em Tecnologia Ltda")</f>
        <v>Consumer Soluções Em Tecnologia Ltda</v>
      </c>
      <c r="R7562" s="33">
        <f>IFERROR(__xludf.DUMMYFUNCTION("""COMPUTED_VALUE"""),1.0)</f>
        <v>1</v>
      </c>
      <c r="S7562" s="4" t="str">
        <f>IFERROR(__xludf.DUMMYFUNCTION("""COMPUTED_VALUE"""),"Consumer Soluções Em Tecnologia Ltda")</f>
        <v>Consumer Soluções Em Tecnologia Ltda</v>
      </c>
      <c r="T7562" s="33">
        <f>IFERROR(__xludf.DUMMYFUNCTION("""COMPUTED_VALUE"""),1.0)</f>
        <v>1</v>
      </c>
      <c r="U7562" s="4" t="str">
        <f>IFERROR(__xludf.DUMMYFUNCTION("""COMPUTED_VALUE"""),"Consumer Soluções Em Tecnologia Ltda")</f>
        <v>Consumer Soluções Em Tecnologia Ltda</v>
      </c>
      <c r="V7562" s="33">
        <f>IFERROR(__xludf.DUMMYFUNCTION("""COMPUTED_VALUE"""),1.0)</f>
        <v>1</v>
      </c>
      <c r="W7562" s="4" t="str">
        <f>IFERROR(__xludf.DUMMYFUNCTION("""COMPUTED_VALUE"""),"Consumer Soluções Em Tecnologia Ltda")</f>
        <v>Consumer Soluções Em Tecnologia Ltda</v>
      </c>
      <c r="X7562" s="33">
        <f>IFERROR(__xludf.DUMMYFUNCTION("""COMPUTED_VALUE"""),1.0)</f>
        <v>1</v>
      </c>
    </row>
    <row r="7563">
      <c r="K7563" s="4" t="str">
        <f>IFERROR(__xludf.DUMMYFUNCTION("""COMPUTED_VALUE"""),"P DI PIZZA")</f>
        <v>P DI PIZZA</v>
      </c>
      <c r="L7563" s="32">
        <f>IFERROR(__xludf.DUMMYFUNCTION("""COMPUTED_VALUE"""),2.0)</f>
        <v>2</v>
      </c>
      <c r="M7563" s="4" t="str">
        <f>IFERROR(__xludf.DUMMYFUNCTION("""COMPUTED_VALUE"""),"Yooga")</f>
        <v>Yooga</v>
      </c>
      <c r="N7563" s="33">
        <f>IFERROR(__xludf.DUMMYFUNCTION("""COMPUTED_VALUE"""),1.0)</f>
        <v>1</v>
      </c>
      <c r="O7563" s="4" t="str">
        <f>IFERROR(__xludf.DUMMYFUNCTION("""COMPUTED_VALUE"""),"Yooga")</f>
        <v>Yooga</v>
      </c>
      <c r="P7563" s="33">
        <f>IFERROR(__xludf.DUMMYFUNCTION("""COMPUTED_VALUE"""),1.0)</f>
        <v>1</v>
      </c>
      <c r="Q7563" s="4" t="str">
        <f>IFERROR(__xludf.DUMMYFUNCTION("""COMPUTED_VALUE"""),"Yooga")</f>
        <v>Yooga</v>
      </c>
      <c r="R7563" s="33">
        <f>IFERROR(__xludf.DUMMYFUNCTION("""COMPUTED_VALUE"""),1.0)</f>
        <v>1</v>
      </c>
      <c r="S7563" s="4" t="str">
        <f>IFERROR(__xludf.DUMMYFUNCTION("""COMPUTED_VALUE"""),"Yooga")</f>
        <v>Yooga</v>
      </c>
      <c r="T7563" s="33">
        <f>IFERROR(__xludf.DUMMYFUNCTION("""COMPUTED_VALUE"""),1.0)</f>
        <v>1</v>
      </c>
      <c r="U7563" s="4" t="str">
        <f>IFERROR(__xludf.DUMMYFUNCTION("""COMPUTED_VALUE"""),"Yooga")</f>
        <v>Yooga</v>
      </c>
      <c r="V7563" s="33">
        <f>IFERROR(__xludf.DUMMYFUNCTION("""COMPUTED_VALUE"""),1.0)</f>
        <v>1</v>
      </c>
      <c r="W7563" s="4" t="str">
        <f>IFERROR(__xludf.DUMMYFUNCTION("""COMPUTED_VALUE"""),"Yooga")</f>
        <v>Yooga</v>
      </c>
      <c r="X7563" s="33">
        <f>IFERROR(__xludf.DUMMYFUNCTION("""COMPUTED_VALUE"""),1.0)</f>
        <v>1</v>
      </c>
    </row>
    <row r="7564">
      <c r="K7564" s="4" t="str">
        <f>IFERROR(__xludf.DUMMYFUNCTION("""COMPUTED_VALUE"""),"PADANNO PIZZARIA - PITUBA")</f>
        <v>PADANNO PIZZARIA - PITUBA</v>
      </c>
      <c r="L7564" s="32">
        <f>IFERROR(__xludf.DUMMYFUNCTION("""COMPUTED_VALUE"""),2.0)</f>
        <v>2</v>
      </c>
      <c r="M7564" s="4" t="str">
        <f>IFERROR(__xludf.DUMMYFUNCTION("""COMPUTED_VALUE"""),"null")</f>
        <v>null</v>
      </c>
      <c r="N7564" s="33">
        <f>IFERROR(__xludf.DUMMYFUNCTION("""COMPUTED_VALUE"""),0.5)</f>
        <v>0.5</v>
      </c>
      <c r="O7564" s="4" t="str">
        <f>IFERROR(__xludf.DUMMYFUNCTION("""COMPUTED_VALUE"""),"Cardápio Web")</f>
        <v>Cardápio Web</v>
      </c>
      <c r="P7564" s="33">
        <f>IFERROR(__xludf.DUMMYFUNCTION("""COMPUTED_VALUE"""),1.0)</f>
        <v>1</v>
      </c>
      <c r="Q7564" s="4" t="str">
        <f>IFERROR(__xludf.DUMMYFUNCTION("""COMPUTED_VALUE"""),"null")</f>
        <v>null</v>
      </c>
      <c r="R7564" s="33">
        <f>IFERROR(__xludf.DUMMYFUNCTION("""COMPUTED_VALUE"""),0.5)</f>
        <v>0.5</v>
      </c>
      <c r="S7564" s="4" t="str">
        <f>IFERROR(__xludf.DUMMYFUNCTION("""COMPUTED_VALUE"""),"null")</f>
        <v>null</v>
      </c>
      <c r="T7564" s="33">
        <f>IFERROR(__xludf.DUMMYFUNCTION("""COMPUTED_VALUE"""),0.5)</f>
        <v>0.5</v>
      </c>
      <c r="U7564" s="4" t="str">
        <f>IFERROR(__xludf.DUMMYFUNCTION("""COMPUTED_VALUE"""),"null")</f>
        <v>null</v>
      </c>
      <c r="V7564" s="33">
        <f>IFERROR(__xludf.DUMMYFUNCTION("""COMPUTED_VALUE"""),1.0)</f>
        <v>1</v>
      </c>
      <c r="W7564" s="4" t="str">
        <f>IFERROR(__xludf.DUMMYFUNCTION("""COMPUTED_VALUE"""),"null")</f>
        <v>null</v>
      </c>
      <c r="X7564" s="33">
        <f>IFERROR(__xludf.DUMMYFUNCTION("""COMPUTED_VALUE"""),1.0)</f>
        <v>1</v>
      </c>
    </row>
    <row r="7565">
      <c r="K7565" s="4" t="str">
        <f>IFERROR(__xludf.DUMMYFUNCTION("""COMPUTED_VALUE"""),"PADARIA ARIZONA PAES")</f>
        <v>PADARIA ARIZONA PAES</v>
      </c>
      <c r="L7565" s="32">
        <f>IFERROR(__xludf.DUMMYFUNCTION("""COMPUTED_VALUE"""),2.0)</f>
        <v>2</v>
      </c>
      <c r="M7565" s="4" t="str">
        <f>IFERROR(__xludf.DUMMYFUNCTION("""COMPUTED_VALUE"""),"Datamaxi Comercio E Representacoes Ltda")</f>
        <v>Datamaxi Comercio E Representacoes Ltda</v>
      </c>
      <c r="N7565" s="33">
        <f>IFERROR(__xludf.DUMMYFUNCTION("""COMPUTED_VALUE"""),1.0)</f>
        <v>1</v>
      </c>
      <c r="O7565" s="4" t="str">
        <f>IFERROR(__xludf.DUMMYFUNCTION("""COMPUTED_VALUE"""),"Datamaxi Comercio E Representacoes Ltda")</f>
        <v>Datamaxi Comercio E Representacoes Ltda</v>
      </c>
      <c r="P7565" s="33">
        <f>IFERROR(__xludf.DUMMYFUNCTION("""COMPUTED_VALUE"""),1.0)</f>
        <v>1</v>
      </c>
      <c r="Q7565" s="4" t="str">
        <f>IFERROR(__xludf.DUMMYFUNCTION("""COMPUTED_VALUE"""),"Datamaxi Comercio E Representacoes Ltda")</f>
        <v>Datamaxi Comercio E Representacoes Ltda</v>
      </c>
      <c r="R7565" s="33">
        <f>IFERROR(__xludf.DUMMYFUNCTION("""COMPUTED_VALUE"""),1.0)</f>
        <v>1</v>
      </c>
      <c r="S7565" s="4" t="str">
        <f>IFERROR(__xludf.DUMMYFUNCTION("""COMPUTED_VALUE"""),"Datamaxi Comercio E Representacoes Ltda")</f>
        <v>Datamaxi Comercio E Representacoes Ltda</v>
      </c>
      <c r="T7565" s="33">
        <f>IFERROR(__xludf.DUMMYFUNCTION("""COMPUTED_VALUE"""),1.0)</f>
        <v>1</v>
      </c>
      <c r="U7565" s="4" t="str">
        <f>IFERROR(__xludf.DUMMYFUNCTION("""COMPUTED_VALUE"""),"Datamaxi Comercio E Representacoes Ltda")</f>
        <v>Datamaxi Comercio E Representacoes Ltda</v>
      </c>
      <c r="V7565" s="33">
        <f>IFERROR(__xludf.DUMMYFUNCTION("""COMPUTED_VALUE"""),1.0)</f>
        <v>1</v>
      </c>
      <c r="W7565" s="4" t="str">
        <f>IFERROR(__xludf.DUMMYFUNCTION("""COMPUTED_VALUE"""),"Datamaxi Comercio E Representacoes Ltda")</f>
        <v>Datamaxi Comercio E Representacoes Ltda</v>
      </c>
      <c r="X7565" s="33">
        <f>IFERROR(__xludf.DUMMYFUNCTION("""COMPUTED_VALUE"""),1.0)</f>
        <v>1</v>
      </c>
    </row>
    <row r="7566">
      <c r="K7566" s="4" t="str">
        <f>IFERROR(__xludf.DUMMYFUNCTION("""COMPUTED_VALUE"""),"PADARIA CASABLANCA")</f>
        <v>PADARIA CASABLANCA</v>
      </c>
      <c r="L7566" s="32">
        <f>IFERROR(__xludf.DUMMYFUNCTION("""COMPUTED_VALUE"""),2.0)</f>
        <v>2</v>
      </c>
      <c r="M7566" s="4" t="str">
        <f>IFERROR(__xludf.DUMMYFUNCTION("""COMPUTED_VALUE"""),"null")</f>
        <v>null</v>
      </c>
      <c r="N7566" s="33">
        <f>IFERROR(__xludf.DUMMYFUNCTION("""COMPUTED_VALUE"""),0.5)</f>
        <v>0.5</v>
      </c>
      <c r="O7566" s="4" t="str">
        <f>IFERROR(__xludf.DUMMYFUNCTION("""COMPUTED_VALUE"""),"null")</f>
        <v>null</v>
      </c>
      <c r="P7566" s="33">
        <f>IFERROR(__xludf.DUMMYFUNCTION("""COMPUTED_VALUE"""),0.5)</f>
        <v>0.5</v>
      </c>
      <c r="Q7566" s="4" t="str">
        <f>IFERROR(__xludf.DUMMYFUNCTION("""COMPUTED_VALUE"""),"null")</f>
        <v>null</v>
      </c>
      <c r="R7566" s="33">
        <f>IFERROR(__xludf.DUMMYFUNCTION("""COMPUTED_VALUE"""),0.5)</f>
        <v>0.5</v>
      </c>
      <c r="S7566" s="4" t="str">
        <f>IFERROR(__xludf.DUMMYFUNCTION("""COMPUTED_VALUE"""),"null")</f>
        <v>null</v>
      </c>
      <c r="T7566" s="33">
        <f>IFERROR(__xludf.DUMMYFUNCTION("""COMPUTED_VALUE"""),0.5)</f>
        <v>0.5</v>
      </c>
      <c r="U7566" s="4" t="str">
        <f>IFERROR(__xludf.DUMMYFUNCTION("""COMPUTED_VALUE"""),"Fernando Oliveira Nascimento Me")</f>
        <v>Fernando Oliveira Nascimento Me</v>
      </c>
      <c r="V7566" s="33">
        <f>IFERROR(__xludf.DUMMYFUNCTION("""COMPUTED_VALUE"""),1.0)</f>
        <v>1</v>
      </c>
      <c r="W7566" s="4" t="str">
        <f>IFERROR(__xludf.DUMMYFUNCTION("""COMPUTED_VALUE"""),"Fernando Oliveira Nascimento Me")</f>
        <v>Fernando Oliveira Nascimento Me</v>
      </c>
      <c r="X7566" s="33">
        <f>IFERROR(__xludf.DUMMYFUNCTION("""COMPUTED_VALUE"""),1.0)</f>
        <v>1</v>
      </c>
    </row>
    <row r="7567">
      <c r="K7567" s="4" t="str">
        <f>IFERROR(__xludf.DUMMYFUNCTION("""COMPUTED_VALUE"""),"PADARIA COIMBRA")</f>
        <v>PADARIA COIMBRA</v>
      </c>
      <c r="L7567" s="32">
        <f>IFERROR(__xludf.DUMMYFUNCTION("""COMPUTED_VALUE"""),2.0)</f>
        <v>2</v>
      </c>
      <c r="M7567" s="4" t="str">
        <f>IFERROR(__xludf.DUMMYFUNCTION("""COMPUTED_VALUE"""),"Datamaxi Comercio E Representacoes Ltda")</f>
        <v>Datamaxi Comercio E Representacoes Ltda</v>
      </c>
      <c r="N7567" s="33">
        <f>IFERROR(__xludf.DUMMYFUNCTION("""COMPUTED_VALUE"""),1.0)</f>
        <v>1</v>
      </c>
      <c r="O7567" s="4" t="str">
        <f>IFERROR(__xludf.DUMMYFUNCTION("""COMPUTED_VALUE"""),"Datamaxi Comercio E Representacoes Ltda")</f>
        <v>Datamaxi Comercio E Representacoes Ltda</v>
      </c>
      <c r="P7567" s="33">
        <f>IFERROR(__xludf.DUMMYFUNCTION("""COMPUTED_VALUE"""),1.0)</f>
        <v>1</v>
      </c>
      <c r="Q7567" s="4" t="str">
        <f>IFERROR(__xludf.DUMMYFUNCTION("""COMPUTED_VALUE"""),"Datamaxi Comercio E Representacoes Ltda")</f>
        <v>Datamaxi Comercio E Representacoes Ltda</v>
      </c>
      <c r="R7567" s="33">
        <f>IFERROR(__xludf.DUMMYFUNCTION("""COMPUTED_VALUE"""),1.0)</f>
        <v>1</v>
      </c>
      <c r="S7567" s="4" t="str">
        <f>IFERROR(__xludf.DUMMYFUNCTION("""COMPUTED_VALUE"""),"Datamaxi Comercio E Representacoes Ltda")</f>
        <v>Datamaxi Comercio E Representacoes Ltda</v>
      </c>
      <c r="T7567" s="33">
        <f>IFERROR(__xludf.DUMMYFUNCTION("""COMPUTED_VALUE"""),1.0)</f>
        <v>1</v>
      </c>
      <c r="U7567" s="4" t="str">
        <f>IFERROR(__xludf.DUMMYFUNCTION("""COMPUTED_VALUE"""),"Datamaxi Comercio E Representacoes Ltda")</f>
        <v>Datamaxi Comercio E Representacoes Ltda</v>
      </c>
      <c r="V7567" s="33">
        <f>IFERROR(__xludf.DUMMYFUNCTION("""COMPUTED_VALUE"""),1.0)</f>
        <v>1</v>
      </c>
      <c r="W7567" s="4" t="str">
        <f>IFERROR(__xludf.DUMMYFUNCTION("""COMPUTED_VALUE"""),"Datamaxi Comercio E Representacoes Ltda")</f>
        <v>Datamaxi Comercio E Representacoes Ltda</v>
      </c>
      <c r="X7567" s="33">
        <f>IFERROR(__xludf.DUMMYFUNCTION("""COMPUTED_VALUE"""),1.0)</f>
        <v>1</v>
      </c>
    </row>
    <row r="7568">
      <c r="K7568" s="4" t="str">
        <f>IFERROR(__xludf.DUMMYFUNCTION("""COMPUTED_VALUE"""),"PADARIA ELDORADO")</f>
        <v>PADARIA ELDORADO</v>
      </c>
      <c r="L7568" s="32">
        <f>IFERROR(__xludf.DUMMYFUNCTION("""COMPUTED_VALUE"""),2.0)</f>
        <v>2</v>
      </c>
      <c r="M7568" s="4" t="str">
        <f>IFERROR(__xludf.DUMMYFUNCTION("""COMPUTED_VALUE"""),"Saipos Serviços De Software")</f>
        <v>Saipos Serviços De Software</v>
      </c>
      <c r="N7568" s="33">
        <f>IFERROR(__xludf.DUMMYFUNCTION("""COMPUTED_VALUE"""),0.5)</f>
        <v>0.5</v>
      </c>
      <c r="O7568" s="4" t="str">
        <f>IFERROR(__xludf.DUMMYFUNCTION("""COMPUTED_VALUE"""),"Saipos Serviços De Software")</f>
        <v>Saipos Serviços De Software</v>
      </c>
      <c r="P7568" s="33">
        <f>IFERROR(__xludf.DUMMYFUNCTION("""COMPUTED_VALUE"""),0.5)</f>
        <v>0.5</v>
      </c>
      <c r="Q7568" s="4" t="str">
        <f>IFERROR(__xludf.DUMMYFUNCTION("""COMPUTED_VALUE"""),"Saipos Serviços De Software")</f>
        <v>Saipos Serviços De Software</v>
      </c>
      <c r="R7568" s="33">
        <f>IFERROR(__xludf.DUMMYFUNCTION("""COMPUTED_VALUE"""),0.5)</f>
        <v>0.5</v>
      </c>
      <c r="S7568" s="4" t="str">
        <f>IFERROR(__xludf.DUMMYFUNCTION("""COMPUTED_VALUE"""),"Saipos Serviços De Software")</f>
        <v>Saipos Serviços De Software</v>
      </c>
      <c r="T7568" s="33">
        <f>IFERROR(__xludf.DUMMYFUNCTION("""COMPUTED_VALUE"""),0.5)</f>
        <v>0.5</v>
      </c>
      <c r="U7568" s="4" t="str">
        <f>IFERROR(__xludf.DUMMYFUNCTION("""COMPUTED_VALUE"""),"Saipos Serviços De Software")</f>
        <v>Saipos Serviços De Software</v>
      </c>
      <c r="V7568" s="33">
        <f>IFERROR(__xludf.DUMMYFUNCTION("""COMPUTED_VALUE"""),0.5)</f>
        <v>0.5</v>
      </c>
      <c r="W7568" s="4" t="str">
        <f>IFERROR(__xludf.DUMMYFUNCTION("""COMPUTED_VALUE"""),"Saipos Serviços De Software")</f>
        <v>Saipos Serviços De Software</v>
      </c>
      <c r="X7568" s="33">
        <f>IFERROR(__xludf.DUMMYFUNCTION("""COMPUTED_VALUE"""),0.5)</f>
        <v>0.5</v>
      </c>
    </row>
    <row r="7569">
      <c r="K7569" s="4" t="str">
        <f>IFERROR(__xludf.DUMMYFUNCTION("""COMPUTED_VALUE"""),"PADARIA EMPORIO BETHAVILLE")</f>
        <v>PADARIA EMPORIO BETHAVILLE</v>
      </c>
      <c r="L7569" s="32">
        <f>IFERROR(__xludf.DUMMYFUNCTION("""COMPUTED_VALUE"""),2.0)</f>
        <v>2</v>
      </c>
      <c r="M7569" s="4" t="str">
        <f>IFERROR(__xludf.DUMMYFUNCTION("""COMPUTED_VALUE"""),"Consumer Soluções Em Tecnologia Ltda")</f>
        <v>Consumer Soluções Em Tecnologia Ltda</v>
      </c>
      <c r="N7569" s="33">
        <f>IFERROR(__xludf.DUMMYFUNCTION("""COMPUTED_VALUE"""),1.0)</f>
        <v>1</v>
      </c>
      <c r="O7569" s="4" t="str">
        <f>IFERROR(__xludf.DUMMYFUNCTION("""COMPUTED_VALUE"""),"Consumer Soluções Em Tecnologia Ltda")</f>
        <v>Consumer Soluções Em Tecnologia Ltda</v>
      </c>
      <c r="P7569" s="33">
        <f>IFERROR(__xludf.DUMMYFUNCTION("""COMPUTED_VALUE"""),1.0)</f>
        <v>1</v>
      </c>
      <c r="Q7569" s="4" t="str">
        <f>IFERROR(__xludf.DUMMYFUNCTION("""COMPUTED_VALUE"""),"Consumer Soluções Em Tecnologia Ltda")</f>
        <v>Consumer Soluções Em Tecnologia Ltda</v>
      </c>
      <c r="R7569" s="33">
        <f>IFERROR(__xludf.DUMMYFUNCTION("""COMPUTED_VALUE"""),1.0)</f>
        <v>1</v>
      </c>
      <c r="S7569" s="4" t="str">
        <f>IFERROR(__xludf.DUMMYFUNCTION("""COMPUTED_VALUE"""),"Consumer Soluções Em Tecnologia Ltda")</f>
        <v>Consumer Soluções Em Tecnologia Ltda</v>
      </c>
      <c r="T7569" s="33">
        <f>IFERROR(__xludf.DUMMYFUNCTION("""COMPUTED_VALUE"""),1.0)</f>
        <v>1</v>
      </c>
      <c r="U7569" s="4" t="str">
        <f>IFERROR(__xludf.DUMMYFUNCTION("""COMPUTED_VALUE"""),"Consumer Soluções Em Tecnologia Ltda")</f>
        <v>Consumer Soluções Em Tecnologia Ltda</v>
      </c>
      <c r="V7569" s="33">
        <f>IFERROR(__xludf.DUMMYFUNCTION("""COMPUTED_VALUE"""),1.0)</f>
        <v>1</v>
      </c>
      <c r="W7569" s="4" t="str">
        <f>IFERROR(__xludf.DUMMYFUNCTION("""COMPUTED_VALUE"""),"Consumer Soluções Em Tecnologia Ltda")</f>
        <v>Consumer Soluções Em Tecnologia Ltda</v>
      </c>
      <c r="X7569" s="33">
        <f>IFERROR(__xludf.DUMMYFUNCTION("""COMPUTED_VALUE"""),1.0)</f>
        <v>1</v>
      </c>
    </row>
    <row r="7570">
      <c r="K7570" s="4" t="str">
        <f>IFERROR(__xludf.DUMMYFUNCTION("""COMPUTED_VALUE"""),"PADARIA LAMEGO RJ")</f>
        <v>PADARIA LAMEGO RJ</v>
      </c>
      <c r="L7570" s="32">
        <f>IFERROR(__xludf.DUMMYFUNCTION("""COMPUTED_VALUE"""),2.0)</f>
        <v>2</v>
      </c>
      <c r="M7570" s="4" t="str">
        <f>IFERROR(__xludf.DUMMYFUNCTION("""COMPUTED_VALUE"""),"null")</f>
        <v>null</v>
      </c>
      <c r="N7570" s="33">
        <f>IFERROR(__xludf.DUMMYFUNCTION("""COMPUTED_VALUE"""),0.5)</f>
        <v>0.5</v>
      </c>
      <c r="O7570" s="4" t="str">
        <f>IFERROR(__xludf.DUMMYFUNCTION("""COMPUTED_VALUE"""),"Proabakus Desenvolvimento De Sistemas Ltda")</f>
        <v>Proabakus Desenvolvimento De Sistemas Ltda</v>
      </c>
      <c r="P7570" s="33">
        <f>IFERROR(__xludf.DUMMYFUNCTION("""COMPUTED_VALUE"""),1.0)</f>
        <v>1</v>
      </c>
      <c r="Q7570" s="4" t="str">
        <f>IFERROR(__xludf.DUMMYFUNCTION("""COMPUTED_VALUE"""),"Proabakus Desenvolvimento De Sistemas Ltda")</f>
        <v>Proabakus Desenvolvimento De Sistemas Ltda</v>
      </c>
      <c r="R7570" s="33">
        <f>IFERROR(__xludf.DUMMYFUNCTION("""COMPUTED_VALUE"""),1.0)</f>
        <v>1</v>
      </c>
      <c r="S7570" s="4" t="str">
        <f>IFERROR(__xludf.DUMMYFUNCTION("""COMPUTED_VALUE"""),"Proabakus Desenvolvimento De Sistemas Ltda")</f>
        <v>Proabakus Desenvolvimento De Sistemas Ltda</v>
      </c>
      <c r="T7570" s="33">
        <f>IFERROR(__xludf.DUMMYFUNCTION("""COMPUTED_VALUE"""),1.0)</f>
        <v>1</v>
      </c>
      <c r="U7570" s="4" t="str">
        <f>IFERROR(__xludf.DUMMYFUNCTION("""COMPUTED_VALUE"""),"Proabakus Desenvolvimento De Sistemas Ltda")</f>
        <v>Proabakus Desenvolvimento De Sistemas Ltda</v>
      </c>
      <c r="V7570" s="33">
        <f>IFERROR(__xludf.DUMMYFUNCTION("""COMPUTED_VALUE"""),1.0)</f>
        <v>1</v>
      </c>
      <c r="W7570" s="4" t="str">
        <f>IFERROR(__xludf.DUMMYFUNCTION("""COMPUTED_VALUE"""),"Proabakus Desenvolvimento De Sistemas Ltda")</f>
        <v>Proabakus Desenvolvimento De Sistemas Ltda</v>
      </c>
      <c r="X7570" s="33">
        <f>IFERROR(__xludf.DUMMYFUNCTION("""COMPUTED_VALUE"""),1.0)</f>
        <v>1</v>
      </c>
    </row>
    <row r="7571">
      <c r="K7571" s="4" t="str">
        <f>IFERROR(__xludf.DUMMYFUNCTION("""COMPUTED_VALUE"""),"PADARIA MONTE LIBANO")</f>
        <v>PADARIA MONTE LIBANO</v>
      </c>
      <c r="L7571" s="32">
        <f>IFERROR(__xludf.DUMMYFUNCTION("""COMPUTED_VALUE"""),2.0)</f>
        <v>2</v>
      </c>
      <c r="M7571" s="4" t="str">
        <f>IFERROR(__xludf.DUMMYFUNCTION("""COMPUTED_VALUE"""),"Linear Sistemas Ltda")</f>
        <v>Linear Sistemas Ltda</v>
      </c>
      <c r="N7571" s="33">
        <f>IFERROR(__xludf.DUMMYFUNCTION("""COMPUTED_VALUE"""),1.0)</f>
        <v>1</v>
      </c>
      <c r="O7571" s="4" t="str">
        <f>IFERROR(__xludf.DUMMYFUNCTION("""COMPUTED_VALUE"""),"Linear Sistemas Ltda")</f>
        <v>Linear Sistemas Ltda</v>
      </c>
      <c r="P7571" s="33">
        <f>IFERROR(__xludf.DUMMYFUNCTION("""COMPUTED_VALUE"""),1.0)</f>
        <v>1</v>
      </c>
      <c r="Q7571" s="4" t="str">
        <f>IFERROR(__xludf.DUMMYFUNCTION("""COMPUTED_VALUE"""),"Linear Sistemas Ltda")</f>
        <v>Linear Sistemas Ltda</v>
      </c>
      <c r="R7571" s="33">
        <f>IFERROR(__xludf.DUMMYFUNCTION("""COMPUTED_VALUE"""),1.0)</f>
        <v>1</v>
      </c>
      <c r="S7571" s="4" t="str">
        <f>IFERROR(__xludf.DUMMYFUNCTION("""COMPUTED_VALUE"""),"Linear Sistemas Ltda")</f>
        <v>Linear Sistemas Ltda</v>
      </c>
      <c r="T7571" s="33">
        <f>IFERROR(__xludf.DUMMYFUNCTION("""COMPUTED_VALUE"""),1.0)</f>
        <v>1</v>
      </c>
      <c r="U7571" s="4" t="str">
        <f>IFERROR(__xludf.DUMMYFUNCTION("""COMPUTED_VALUE"""),"Linear Sistemas Ltda")</f>
        <v>Linear Sistemas Ltda</v>
      </c>
      <c r="V7571" s="33">
        <f>IFERROR(__xludf.DUMMYFUNCTION("""COMPUTED_VALUE"""),1.0)</f>
        <v>1</v>
      </c>
      <c r="W7571" s="4" t="str">
        <f>IFERROR(__xludf.DUMMYFUNCTION("""COMPUTED_VALUE"""),"Linear Sistemas Ltda")</f>
        <v>Linear Sistemas Ltda</v>
      </c>
      <c r="X7571" s="33">
        <f>IFERROR(__xludf.DUMMYFUNCTION("""COMPUTED_VALUE"""),1.0)</f>
        <v>1</v>
      </c>
    </row>
    <row r="7572">
      <c r="K7572" s="4" t="str">
        <f>IFERROR(__xludf.DUMMYFUNCTION("""COMPUTED_VALUE"""),"PADARIA PERNAMBUCANA - CONTA PAI")</f>
        <v>PADARIA PERNAMBUCANA - CONTA PAI</v>
      </c>
      <c r="L7572" s="32">
        <f>IFERROR(__xludf.DUMMYFUNCTION("""COMPUTED_VALUE"""),2.0)</f>
        <v>2</v>
      </c>
      <c r="M7572" s="4" t="str">
        <f>IFERROR(__xludf.DUMMYFUNCTION("""COMPUTED_VALUE"""),"null")</f>
        <v>null</v>
      </c>
      <c r="N7572" s="33">
        <f>IFERROR(__xludf.DUMMYFUNCTION("""COMPUTED_VALUE"""),0.5)</f>
        <v>0.5</v>
      </c>
      <c r="O7572" s="4" t="str">
        <f>IFERROR(__xludf.DUMMYFUNCTION("""COMPUTED_VALUE"""),"null")</f>
        <v>null</v>
      </c>
      <c r="P7572" s="33">
        <f>IFERROR(__xludf.DUMMYFUNCTION("""COMPUTED_VALUE"""),0.5)</f>
        <v>0.5</v>
      </c>
      <c r="Q7572" s="4" t="str">
        <f>IFERROR(__xludf.DUMMYFUNCTION("""COMPUTED_VALUE"""),"null")</f>
        <v>null</v>
      </c>
      <c r="R7572" s="33">
        <f>IFERROR(__xludf.DUMMYFUNCTION("""COMPUTED_VALUE"""),0.5)</f>
        <v>0.5</v>
      </c>
      <c r="S7572" s="4" t="str">
        <f>IFERROR(__xludf.DUMMYFUNCTION("""COMPUTED_VALUE"""),"Codigo Up! Sistemas Ltda")</f>
        <v>Codigo Up! Sistemas Ltda</v>
      </c>
      <c r="T7572" s="33">
        <f>IFERROR(__xludf.DUMMYFUNCTION("""COMPUTED_VALUE"""),1.0)</f>
        <v>1</v>
      </c>
      <c r="U7572" s="4" t="str">
        <f>IFERROR(__xludf.DUMMYFUNCTION("""COMPUTED_VALUE"""),"Codigo Up! Sistemas Ltda")</f>
        <v>Codigo Up! Sistemas Ltda</v>
      </c>
      <c r="V7572" s="33">
        <f>IFERROR(__xludf.DUMMYFUNCTION("""COMPUTED_VALUE"""),1.0)</f>
        <v>1</v>
      </c>
      <c r="W7572" s="4" t="str">
        <f>IFERROR(__xludf.DUMMYFUNCTION("""COMPUTED_VALUE"""),"Codigo Up! Sistemas Ltda")</f>
        <v>Codigo Up! Sistemas Ltda</v>
      </c>
      <c r="X7572" s="33">
        <f>IFERROR(__xludf.DUMMYFUNCTION("""COMPUTED_VALUE"""),1.0)</f>
        <v>1</v>
      </c>
    </row>
    <row r="7573">
      <c r="K7573" s="4" t="str">
        <f>IFERROR(__xludf.DUMMYFUNCTION("""COMPUTED_VALUE"""),"PADARIA PORTUGALIA")</f>
        <v>PADARIA PORTUGALIA</v>
      </c>
      <c r="L7573" s="32">
        <f>IFERROR(__xludf.DUMMYFUNCTION("""COMPUTED_VALUE"""),2.0)</f>
        <v>2</v>
      </c>
      <c r="M7573" s="4" t="str">
        <f>IFERROR(__xludf.DUMMYFUNCTION("""COMPUTED_VALUE"""),"Maxibyte")</f>
        <v>Maxibyte</v>
      </c>
      <c r="N7573" s="33">
        <f>IFERROR(__xludf.DUMMYFUNCTION("""COMPUTED_VALUE"""),0.5)</f>
        <v>0.5</v>
      </c>
      <c r="O7573" s="4" t="str">
        <f>IFERROR(__xludf.DUMMYFUNCTION("""COMPUTED_VALUE"""),"Maxibyte")</f>
        <v>Maxibyte</v>
      </c>
      <c r="P7573" s="33">
        <f>IFERROR(__xludf.DUMMYFUNCTION("""COMPUTED_VALUE"""),0.5)</f>
        <v>0.5</v>
      </c>
      <c r="Q7573" s="4" t="str">
        <f>IFERROR(__xludf.DUMMYFUNCTION("""COMPUTED_VALUE"""),"Maxibyte")</f>
        <v>Maxibyte</v>
      </c>
      <c r="R7573" s="33">
        <f>IFERROR(__xludf.DUMMYFUNCTION("""COMPUTED_VALUE"""),0.5)</f>
        <v>0.5</v>
      </c>
      <c r="S7573" s="4" t="str">
        <f>IFERROR(__xludf.DUMMYFUNCTION("""COMPUTED_VALUE"""),"Maxibyte")</f>
        <v>Maxibyte</v>
      </c>
      <c r="T7573" s="33">
        <f>IFERROR(__xludf.DUMMYFUNCTION("""COMPUTED_VALUE"""),1.0)</f>
        <v>1</v>
      </c>
      <c r="U7573" s="4" t="str">
        <f>IFERROR(__xludf.DUMMYFUNCTION("""COMPUTED_VALUE"""),"Maxibyte")</f>
        <v>Maxibyte</v>
      </c>
      <c r="V7573" s="33">
        <f>IFERROR(__xludf.DUMMYFUNCTION("""COMPUTED_VALUE"""),1.0)</f>
        <v>1</v>
      </c>
      <c r="W7573" s="4" t="str">
        <f>IFERROR(__xludf.DUMMYFUNCTION("""COMPUTED_VALUE"""),"Maxibyte")</f>
        <v>Maxibyte</v>
      </c>
      <c r="X7573" s="33">
        <f>IFERROR(__xludf.DUMMYFUNCTION("""COMPUTED_VALUE"""),1.0)</f>
        <v>1</v>
      </c>
    </row>
    <row r="7574">
      <c r="K7574" s="4" t="str">
        <f>IFERROR(__xludf.DUMMYFUNCTION("""COMPUTED_VALUE"""),"PADARIA REQUINTE - CP")</f>
        <v>PADARIA REQUINTE - CP</v>
      </c>
      <c r="L7574" s="32">
        <f>IFERROR(__xludf.DUMMYFUNCTION("""COMPUTED_VALUE"""),2.0)</f>
        <v>2</v>
      </c>
      <c r="M7574" s="4" t="str">
        <f>IFERROR(__xludf.DUMMYFUNCTION("""COMPUTED_VALUE"""),"Cloudfy")</f>
        <v>Cloudfy</v>
      </c>
      <c r="N7574" s="33">
        <f>IFERROR(__xludf.DUMMYFUNCTION("""COMPUTED_VALUE"""),1.0)</f>
        <v>1</v>
      </c>
      <c r="O7574" s="4" t="str">
        <f>IFERROR(__xludf.DUMMYFUNCTION("""COMPUTED_VALUE"""),"Cloudfy")</f>
        <v>Cloudfy</v>
      </c>
      <c r="P7574" s="33">
        <f>IFERROR(__xludf.DUMMYFUNCTION("""COMPUTED_VALUE"""),1.0)</f>
        <v>1</v>
      </c>
      <c r="Q7574" s="4" t="str">
        <f>IFERROR(__xludf.DUMMYFUNCTION("""COMPUTED_VALUE"""),"Cloudfy")</f>
        <v>Cloudfy</v>
      </c>
      <c r="R7574" s="33">
        <f>IFERROR(__xludf.DUMMYFUNCTION("""COMPUTED_VALUE"""),1.0)</f>
        <v>1</v>
      </c>
      <c r="S7574" s="4" t="str">
        <f>IFERROR(__xludf.DUMMYFUNCTION("""COMPUTED_VALUE"""),"Cloudfy")</f>
        <v>Cloudfy</v>
      </c>
      <c r="T7574" s="33">
        <f>IFERROR(__xludf.DUMMYFUNCTION("""COMPUTED_VALUE"""),1.0)</f>
        <v>1</v>
      </c>
      <c r="U7574" s="4" t="str">
        <f>IFERROR(__xludf.DUMMYFUNCTION("""COMPUTED_VALUE"""),"Cloudfy")</f>
        <v>Cloudfy</v>
      </c>
      <c r="V7574" s="33">
        <f>IFERROR(__xludf.DUMMYFUNCTION("""COMPUTED_VALUE"""),1.0)</f>
        <v>1</v>
      </c>
      <c r="W7574" s="4" t="str">
        <f>IFERROR(__xludf.DUMMYFUNCTION("""COMPUTED_VALUE"""),"Cloudfy")</f>
        <v>Cloudfy</v>
      </c>
      <c r="X7574" s="33">
        <f>IFERROR(__xludf.DUMMYFUNCTION("""COMPUTED_VALUE"""),1.0)</f>
        <v>1</v>
      </c>
    </row>
    <row r="7575">
      <c r="K7575" s="4" t="str">
        <f>IFERROR(__xludf.DUMMYFUNCTION("""COMPUTED_VALUE"""),"PAELLAS PEPE")</f>
        <v>PAELLAS PEPE</v>
      </c>
      <c r="L7575" s="32">
        <f>IFERROR(__xludf.DUMMYFUNCTION("""COMPUTED_VALUE"""),2.0)</f>
        <v>2</v>
      </c>
      <c r="M7575" s="4" t="str">
        <f>IFERROR(__xludf.DUMMYFUNCTION("""COMPUTED_VALUE"""),"Eclética Tecnologia")</f>
        <v>Eclética Tecnologia</v>
      </c>
      <c r="N7575" s="33">
        <f>IFERROR(__xludf.DUMMYFUNCTION("""COMPUTED_VALUE"""),1.0)</f>
        <v>1</v>
      </c>
      <c r="O7575" s="4" t="str">
        <f>IFERROR(__xludf.DUMMYFUNCTION("""COMPUTED_VALUE"""),"Eclética Tecnologia")</f>
        <v>Eclética Tecnologia</v>
      </c>
      <c r="P7575" s="33">
        <f>IFERROR(__xludf.DUMMYFUNCTION("""COMPUTED_VALUE"""),1.0)</f>
        <v>1</v>
      </c>
      <c r="Q7575" s="4" t="str">
        <f>IFERROR(__xludf.DUMMYFUNCTION("""COMPUTED_VALUE"""),"Eclética Tecnologia")</f>
        <v>Eclética Tecnologia</v>
      </c>
      <c r="R7575" s="33">
        <f>IFERROR(__xludf.DUMMYFUNCTION("""COMPUTED_VALUE"""),1.0)</f>
        <v>1</v>
      </c>
      <c r="S7575" s="4" t="str">
        <f>IFERROR(__xludf.DUMMYFUNCTION("""COMPUTED_VALUE"""),"Eclética Tecnologia")</f>
        <v>Eclética Tecnologia</v>
      </c>
      <c r="T7575" s="33">
        <f>IFERROR(__xludf.DUMMYFUNCTION("""COMPUTED_VALUE"""),1.0)</f>
        <v>1</v>
      </c>
      <c r="U7575" s="4" t="str">
        <f>IFERROR(__xludf.DUMMYFUNCTION("""COMPUTED_VALUE"""),"Eclética Tecnologia")</f>
        <v>Eclética Tecnologia</v>
      </c>
      <c r="V7575" s="33">
        <f>IFERROR(__xludf.DUMMYFUNCTION("""COMPUTED_VALUE"""),1.0)</f>
        <v>1</v>
      </c>
      <c r="W7575" s="4" t="str">
        <f>IFERROR(__xludf.DUMMYFUNCTION("""COMPUTED_VALUE"""),"Eclética Tecnologia")</f>
        <v>Eclética Tecnologia</v>
      </c>
      <c r="X7575" s="33">
        <f>IFERROR(__xludf.DUMMYFUNCTION("""COMPUTED_VALUE"""),1.0)</f>
        <v>1</v>
      </c>
    </row>
    <row r="7576">
      <c r="K7576" s="4" t="str">
        <f>IFERROR(__xludf.DUMMYFUNCTION("""COMPUTED_VALUE"""),"PAINE PANIFICACAO ARTESANAL")</f>
        <v>PAINE PANIFICACAO ARTESANAL</v>
      </c>
      <c r="L7576" s="32">
        <f>IFERROR(__xludf.DUMMYFUNCTION("""COMPUTED_VALUE"""),2.0)</f>
        <v>2</v>
      </c>
      <c r="M7576" s="4" t="str">
        <f>IFERROR(__xludf.DUMMYFUNCTION("""COMPUTED_VALUE"""),"Izzy Way Tecnologia")</f>
        <v>Izzy Way Tecnologia</v>
      </c>
      <c r="N7576" s="33">
        <f>IFERROR(__xludf.DUMMYFUNCTION("""COMPUTED_VALUE"""),0.5)</f>
        <v>0.5</v>
      </c>
      <c r="O7576" s="4" t="str">
        <f>IFERROR(__xludf.DUMMYFUNCTION("""COMPUTED_VALUE"""),"Izzy Way Tecnologia")</f>
        <v>Izzy Way Tecnologia</v>
      </c>
      <c r="P7576" s="33">
        <f>IFERROR(__xludf.DUMMYFUNCTION("""COMPUTED_VALUE"""),0.5)</f>
        <v>0.5</v>
      </c>
      <c r="Q7576" s="4" t="str">
        <f>IFERROR(__xludf.DUMMYFUNCTION("""COMPUTED_VALUE"""),"Izzy Way Tecnologia")</f>
        <v>Izzy Way Tecnologia</v>
      </c>
      <c r="R7576" s="33">
        <f>IFERROR(__xludf.DUMMYFUNCTION("""COMPUTED_VALUE"""),1.0)</f>
        <v>1</v>
      </c>
      <c r="S7576" s="4" t="str">
        <f>IFERROR(__xludf.DUMMYFUNCTION("""COMPUTED_VALUE"""),"Izzy Way Tecnologia")</f>
        <v>Izzy Way Tecnologia</v>
      </c>
      <c r="T7576" s="33">
        <f>IFERROR(__xludf.DUMMYFUNCTION("""COMPUTED_VALUE"""),1.0)</f>
        <v>1</v>
      </c>
      <c r="U7576" s="4" t="str">
        <f>IFERROR(__xludf.DUMMYFUNCTION("""COMPUTED_VALUE"""),"Izzy Way Tecnologia")</f>
        <v>Izzy Way Tecnologia</v>
      </c>
      <c r="V7576" s="33">
        <f>IFERROR(__xludf.DUMMYFUNCTION("""COMPUTED_VALUE"""),1.0)</f>
        <v>1</v>
      </c>
      <c r="W7576" s="4" t="str">
        <f>IFERROR(__xludf.DUMMYFUNCTION("""COMPUTED_VALUE"""),"Izzy Way Tecnologia")</f>
        <v>Izzy Way Tecnologia</v>
      </c>
      <c r="X7576" s="33">
        <f>IFERROR(__xludf.DUMMYFUNCTION("""COMPUTED_VALUE"""),1.0)</f>
        <v>1</v>
      </c>
    </row>
    <row r="7577">
      <c r="K7577" s="4" t="str">
        <f>IFERROR(__xludf.DUMMYFUNCTION("""COMPUTED_VALUE"""),"PAINHO")</f>
        <v>PAINHO</v>
      </c>
      <c r="L7577" s="32">
        <f>IFERROR(__xludf.DUMMYFUNCTION("""COMPUTED_VALUE"""),2.0)</f>
        <v>2</v>
      </c>
      <c r="M7577" s="4" t="str">
        <f>IFERROR(__xludf.DUMMYFUNCTION("""COMPUTED_VALUE"""),"Sagres Automação Comercial")</f>
        <v>Sagres Automação Comercial</v>
      </c>
      <c r="N7577" s="33">
        <f>IFERROR(__xludf.DUMMYFUNCTION("""COMPUTED_VALUE"""),1.0)</f>
        <v>1</v>
      </c>
      <c r="O7577" s="4" t="str">
        <f>IFERROR(__xludf.DUMMYFUNCTION("""COMPUTED_VALUE"""),"Sagres Automação Comercial")</f>
        <v>Sagres Automação Comercial</v>
      </c>
      <c r="P7577" s="33">
        <f>IFERROR(__xludf.DUMMYFUNCTION("""COMPUTED_VALUE"""),1.0)</f>
        <v>1</v>
      </c>
      <c r="Q7577" s="4" t="str">
        <f>IFERROR(__xludf.DUMMYFUNCTION("""COMPUTED_VALUE"""),"Sagres Automação Comercial")</f>
        <v>Sagres Automação Comercial</v>
      </c>
      <c r="R7577" s="33">
        <f>IFERROR(__xludf.DUMMYFUNCTION("""COMPUTED_VALUE"""),1.0)</f>
        <v>1</v>
      </c>
      <c r="S7577" s="4" t="str">
        <f>IFERROR(__xludf.DUMMYFUNCTION("""COMPUTED_VALUE"""),"Sagres Automação Comercial")</f>
        <v>Sagres Automação Comercial</v>
      </c>
      <c r="T7577" s="33">
        <f>IFERROR(__xludf.DUMMYFUNCTION("""COMPUTED_VALUE"""),1.0)</f>
        <v>1</v>
      </c>
      <c r="U7577" s="4" t="str">
        <f>IFERROR(__xludf.DUMMYFUNCTION("""COMPUTED_VALUE"""),"Sagres Automação Comercial")</f>
        <v>Sagres Automação Comercial</v>
      </c>
      <c r="V7577" s="33">
        <f>IFERROR(__xludf.DUMMYFUNCTION("""COMPUTED_VALUE"""),1.0)</f>
        <v>1</v>
      </c>
      <c r="W7577" s="4" t="str">
        <f>IFERROR(__xludf.DUMMYFUNCTION("""COMPUTED_VALUE"""),"Sagres Automação Comercial")</f>
        <v>Sagres Automação Comercial</v>
      </c>
      <c r="X7577" s="33">
        <f>IFERROR(__xludf.DUMMYFUNCTION("""COMPUTED_VALUE"""),1.0)</f>
        <v>1</v>
      </c>
    </row>
    <row r="7578">
      <c r="K7578" s="4" t="str">
        <f>IFERROR(__xludf.DUMMYFUNCTION("""COMPUTED_VALUE"""),"PAIOL ESPETOS BEER - CUIABA")</f>
        <v>PAIOL ESPETOS BEER - CUIABA</v>
      </c>
      <c r="L7578" s="32">
        <f>IFERROR(__xludf.DUMMYFUNCTION("""COMPUTED_VALUE"""),2.0)</f>
        <v>2</v>
      </c>
      <c r="M7578" s="4" t="str">
        <f>IFERROR(__xludf.DUMMYFUNCTION("""COMPUTED_VALUE"""),"null")</f>
        <v>null</v>
      </c>
      <c r="N7578" s="33">
        <f>IFERROR(__xludf.DUMMYFUNCTION("""COMPUTED_VALUE"""),1.0)</f>
        <v>1</v>
      </c>
      <c r="O7578" s="4" t="str">
        <f>IFERROR(__xludf.DUMMYFUNCTION("""COMPUTED_VALUE"""),"Solução Sistemas")</f>
        <v>Solução Sistemas</v>
      </c>
      <c r="P7578" s="33">
        <f>IFERROR(__xludf.DUMMYFUNCTION("""COMPUTED_VALUE"""),0.5)</f>
        <v>0.5</v>
      </c>
      <c r="Q7578" s="4" t="str">
        <f>IFERROR(__xludf.DUMMYFUNCTION("""COMPUTED_VALUE"""),"null")</f>
        <v>null</v>
      </c>
      <c r="R7578" s="33">
        <f>IFERROR(__xludf.DUMMYFUNCTION("""COMPUTED_VALUE"""),1.0)</f>
        <v>1</v>
      </c>
      <c r="S7578" s="4" t="str">
        <f>IFERROR(__xludf.DUMMYFUNCTION("""COMPUTED_VALUE"""),"Solução Sistemas")</f>
        <v>Solução Sistemas</v>
      </c>
      <c r="T7578" s="33">
        <f>IFERROR(__xludf.DUMMYFUNCTION("""COMPUTED_VALUE"""),0.5)</f>
        <v>0.5</v>
      </c>
      <c r="U7578" s="4" t="str">
        <f>IFERROR(__xludf.DUMMYFUNCTION("""COMPUTED_VALUE"""),"Saipos Serviços De Software")</f>
        <v>Saipos Serviços De Software</v>
      </c>
      <c r="V7578" s="33">
        <f>IFERROR(__xludf.DUMMYFUNCTION("""COMPUTED_VALUE"""),1.0)</f>
        <v>1</v>
      </c>
      <c r="W7578" s="4" t="str">
        <f>IFERROR(__xludf.DUMMYFUNCTION("""COMPUTED_VALUE"""),"Saipos Serviços De Software")</f>
        <v>Saipos Serviços De Software</v>
      </c>
      <c r="X7578" s="33">
        <f>IFERROR(__xludf.DUMMYFUNCTION("""COMPUTED_VALUE"""),1.0)</f>
        <v>1</v>
      </c>
    </row>
    <row r="7579">
      <c r="K7579" s="4" t="str">
        <f>IFERROR(__xludf.DUMMYFUNCTION("""COMPUTED_VALUE"""),"PAJU PASTEIS")</f>
        <v>PAJU PASTEIS</v>
      </c>
      <c r="L7579" s="32">
        <f>IFERROR(__xludf.DUMMYFUNCTION("""COMPUTED_VALUE"""),2.0)</f>
        <v>2</v>
      </c>
      <c r="M7579" s="4" t="str">
        <f>IFERROR(__xludf.DUMMYFUNCTION("""COMPUTED_VALUE"""),"Stone Co.")</f>
        <v>Stone Co.</v>
      </c>
      <c r="N7579" s="33">
        <f>IFERROR(__xludf.DUMMYFUNCTION("""COMPUTED_VALUE"""),0.5)</f>
        <v>0.5</v>
      </c>
      <c r="O7579" s="4" t="str">
        <f>IFERROR(__xludf.DUMMYFUNCTION("""COMPUTED_VALUE"""),"Stone Co.")</f>
        <v>Stone Co.</v>
      </c>
      <c r="P7579" s="33">
        <f>IFERROR(__xludf.DUMMYFUNCTION("""COMPUTED_VALUE"""),0.5)</f>
        <v>0.5</v>
      </c>
      <c r="Q7579" s="4" t="str">
        <f>IFERROR(__xludf.DUMMYFUNCTION("""COMPUTED_VALUE"""),"Stone Co.")</f>
        <v>Stone Co.</v>
      </c>
      <c r="R7579" s="33">
        <f>IFERROR(__xludf.DUMMYFUNCTION("""COMPUTED_VALUE"""),0.5)</f>
        <v>0.5</v>
      </c>
      <c r="S7579" s="4" t="str">
        <f>IFERROR(__xludf.DUMMYFUNCTION("""COMPUTED_VALUE"""),"Stone Co.")</f>
        <v>Stone Co.</v>
      </c>
      <c r="T7579" s="33">
        <f>IFERROR(__xludf.DUMMYFUNCTION("""COMPUTED_VALUE"""),0.5)</f>
        <v>0.5</v>
      </c>
      <c r="U7579" s="4" t="str">
        <f>IFERROR(__xludf.DUMMYFUNCTION("""COMPUTED_VALUE"""),"Stone Co.")</f>
        <v>Stone Co.</v>
      </c>
      <c r="V7579" s="33">
        <f>IFERROR(__xludf.DUMMYFUNCTION("""COMPUTED_VALUE"""),0.5)</f>
        <v>0.5</v>
      </c>
      <c r="W7579" s="4" t="str">
        <f>IFERROR(__xludf.DUMMYFUNCTION("""COMPUTED_VALUE"""),"Stone Co.")</f>
        <v>Stone Co.</v>
      </c>
      <c r="X7579" s="33">
        <f>IFERROR(__xludf.DUMMYFUNCTION("""COMPUTED_VALUE"""),0.5)</f>
        <v>0.5</v>
      </c>
    </row>
    <row r="7580">
      <c r="K7580" s="4" t="str">
        <f>IFERROR(__xludf.DUMMYFUNCTION("""COMPUTED_VALUE"""),"PAMONHARIA DO RONALDO DA FEIRA")</f>
        <v>PAMONHARIA DO RONALDO DA FEIRA</v>
      </c>
      <c r="L7580" s="32">
        <f>IFERROR(__xludf.DUMMYFUNCTION("""COMPUTED_VALUE"""),2.0)</f>
        <v>2</v>
      </c>
      <c r="M7580" s="4" t="str">
        <f>IFERROR(__xludf.DUMMYFUNCTION("""COMPUTED_VALUE"""),"Cardápio Web")</f>
        <v>Cardápio Web</v>
      </c>
      <c r="N7580" s="33">
        <f>IFERROR(__xludf.DUMMYFUNCTION("""COMPUTED_VALUE"""),1.0)</f>
        <v>1</v>
      </c>
      <c r="O7580" s="4" t="str">
        <f>IFERROR(__xludf.DUMMYFUNCTION("""COMPUTED_VALUE"""),"Cardápio Web")</f>
        <v>Cardápio Web</v>
      </c>
      <c r="P7580" s="33">
        <f>IFERROR(__xludf.DUMMYFUNCTION("""COMPUTED_VALUE"""),1.0)</f>
        <v>1</v>
      </c>
      <c r="Q7580" s="4" t="str">
        <f>IFERROR(__xludf.DUMMYFUNCTION("""COMPUTED_VALUE"""),"Cardápio Web")</f>
        <v>Cardápio Web</v>
      </c>
      <c r="R7580" s="33">
        <f>IFERROR(__xludf.DUMMYFUNCTION("""COMPUTED_VALUE"""),1.0)</f>
        <v>1</v>
      </c>
      <c r="S7580" s="4" t="str">
        <f>IFERROR(__xludf.DUMMYFUNCTION("""COMPUTED_VALUE"""),"Cardápio Web")</f>
        <v>Cardápio Web</v>
      </c>
      <c r="T7580" s="33">
        <f>IFERROR(__xludf.DUMMYFUNCTION("""COMPUTED_VALUE"""),1.0)</f>
        <v>1</v>
      </c>
      <c r="U7580" s="4" t="str">
        <f>IFERROR(__xludf.DUMMYFUNCTION("""COMPUTED_VALUE"""),"null")</f>
        <v>null</v>
      </c>
      <c r="V7580" s="33">
        <f>IFERROR(__xludf.DUMMYFUNCTION("""COMPUTED_VALUE"""),1.0)</f>
        <v>1</v>
      </c>
      <c r="W7580" s="4" t="str">
        <f>IFERROR(__xludf.DUMMYFUNCTION("""COMPUTED_VALUE"""),"null")</f>
        <v>null</v>
      </c>
      <c r="X7580" s="33">
        <f>IFERROR(__xludf.DUMMYFUNCTION("""COMPUTED_VALUE"""),1.0)</f>
        <v>1</v>
      </c>
    </row>
    <row r="7581">
      <c r="K7581" s="4" t="str">
        <f>IFERROR(__xludf.DUMMYFUNCTION("""COMPUTED_VALUE"""),"PANDA BURGUER - CONTA PAI")</f>
        <v>PANDA BURGUER - CONTA PAI</v>
      </c>
      <c r="L7581" s="32">
        <f>IFERROR(__xludf.DUMMYFUNCTION("""COMPUTED_VALUE"""),2.0)</f>
        <v>2</v>
      </c>
      <c r="M7581" s="4" t="str">
        <f>IFERROR(__xludf.DUMMYFUNCTION("""COMPUTED_VALUE"""),"Consumer Soluções Em Tecnologia Ltda")</f>
        <v>Consumer Soluções Em Tecnologia Ltda</v>
      </c>
      <c r="N7581" s="33">
        <f>IFERROR(__xludf.DUMMYFUNCTION("""COMPUTED_VALUE"""),1.0)</f>
        <v>1</v>
      </c>
      <c r="O7581" s="4" t="str">
        <f>IFERROR(__xludf.DUMMYFUNCTION("""COMPUTED_VALUE"""),"Consumer Soluções Em Tecnologia Ltda")</f>
        <v>Consumer Soluções Em Tecnologia Ltda</v>
      </c>
      <c r="P7581" s="33">
        <f>IFERROR(__xludf.DUMMYFUNCTION("""COMPUTED_VALUE"""),1.0)</f>
        <v>1</v>
      </c>
      <c r="Q7581" s="4" t="str">
        <f>IFERROR(__xludf.DUMMYFUNCTION("""COMPUTED_VALUE"""),"Consumer Soluções Em Tecnologia Ltda")</f>
        <v>Consumer Soluções Em Tecnologia Ltda</v>
      </c>
      <c r="R7581" s="33">
        <f>IFERROR(__xludf.DUMMYFUNCTION("""COMPUTED_VALUE"""),1.0)</f>
        <v>1</v>
      </c>
      <c r="S7581" s="4" t="str">
        <f>IFERROR(__xludf.DUMMYFUNCTION("""COMPUTED_VALUE"""),"Consumer Soluções Em Tecnologia Ltda")</f>
        <v>Consumer Soluções Em Tecnologia Ltda</v>
      </c>
      <c r="T7581" s="33">
        <f>IFERROR(__xludf.DUMMYFUNCTION("""COMPUTED_VALUE"""),1.0)</f>
        <v>1</v>
      </c>
      <c r="U7581" s="4" t="str">
        <f>IFERROR(__xludf.DUMMYFUNCTION("""COMPUTED_VALUE"""),"Consumer Soluções Em Tecnologia Ltda")</f>
        <v>Consumer Soluções Em Tecnologia Ltda</v>
      </c>
      <c r="V7581" s="33">
        <f>IFERROR(__xludf.DUMMYFUNCTION("""COMPUTED_VALUE"""),1.0)</f>
        <v>1</v>
      </c>
      <c r="W7581" s="4" t="str">
        <f>IFERROR(__xludf.DUMMYFUNCTION("""COMPUTED_VALUE"""),"Consumer Soluções Em Tecnologia Ltda")</f>
        <v>Consumer Soluções Em Tecnologia Ltda</v>
      </c>
      <c r="X7581" s="33">
        <f>IFERROR(__xludf.DUMMYFUNCTION("""COMPUTED_VALUE"""),1.0)</f>
        <v>1</v>
      </c>
    </row>
    <row r="7582">
      <c r="K7582" s="4" t="str">
        <f>IFERROR(__xludf.DUMMYFUNCTION("""COMPUTED_VALUE"""),"PANELINHAS MONTEIRO - JARDIM AMERICA - CONTA MARCA")</f>
        <v>PANELINHAS MONTEIRO - JARDIM AMERICA - CONTA MARCA</v>
      </c>
      <c r="L7582" s="32">
        <f>IFERROR(__xludf.DUMMYFUNCTION("""COMPUTED_VALUE"""),2.0)</f>
        <v>2</v>
      </c>
      <c r="M7582" s="4" t="str">
        <f>IFERROR(__xludf.DUMMYFUNCTION("""COMPUTED_VALUE"""),"Anota Ai Solucoes Digitais S/a")</f>
        <v>Anota Ai Solucoes Digitais S/a</v>
      </c>
      <c r="N7582" s="33">
        <f>IFERROR(__xludf.DUMMYFUNCTION("""COMPUTED_VALUE"""),1.0)</f>
        <v>1</v>
      </c>
      <c r="O7582" s="4" t="str">
        <f>IFERROR(__xludf.DUMMYFUNCTION("""COMPUTED_VALUE"""),"Anota Ai Solucoes Digitais S/a")</f>
        <v>Anota Ai Solucoes Digitais S/a</v>
      </c>
      <c r="P7582" s="33">
        <f>IFERROR(__xludf.DUMMYFUNCTION("""COMPUTED_VALUE"""),1.0)</f>
        <v>1</v>
      </c>
      <c r="Q7582" s="4" t="str">
        <f>IFERROR(__xludf.DUMMYFUNCTION("""COMPUTED_VALUE"""),"Anota Ai Solucoes Digitais S/a")</f>
        <v>Anota Ai Solucoes Digitais S/a</v>
      </c>
      <c r="R7582" s="33">
        <f>IFERROR(__xludf.DUMMYFUNCTION("""COMPUTED_VALUE"""),1.0)</f>
        <v>1</v>
      </c>
      <c r="S7582" s="4" t="str">
        <f>IFERROR(__xludf.DUMMYFUNCTION("""COMPUTED_VALUE"""),"Anota Ai Solucoes Digitais S/a")</f>
        <v>Anota Ai Solucoes Digitais S/a</v>
      </c>
      <c r="T7582" s="33">
        <f>IFERROR(__xludf.DUMMYFUNCTION("""COMPUTED_VALUE"""),1.0)</f>
        <v>1</v>
      </c>
      <c r="U7582" s="4" t="str">
        <f>IFERROR(__xludf.DUMMYFUNCTION("""COMPUTED_VALUE"""),"Anota Ai Solucoes Digitais S/a")</f>
        <v>Anota Ai Solucoes Digitais S/a</v>
      </c>
      <c r="V7582" s="33">
        <f>IFERROR(__xludf.DUMMYFUNCTION("""COMPUTED_VALUE"""),1.0)</f>
        <v>1</v>
      </c>
      <c r="W7582" s="4" t="str">
        <f>IFERROR(__xludf.DUMMYFUNCTION("""COMPUTED_VALUE"""),"Anota Ai Solucoes Digitais S/a")</f>
        <v>Anota Ai Solucoes Digitais S/a</v>
      </c>
      <c r="X7582" s="33">
        <f>IFERROR(__xludf.DUMMYFUNCTION("""COMPUTED_VALUE"""),1.0)</f>
        <v>1</v>
      </c>
    </row>
    <row r="7583">
      <c r="K7583" s="4" t="str">
        <f>IFERROR(__xludf.DUMMYFUNCTION("""COMPUTED_VALUE"""),"PANFRIGO")</f>
        <v>PANFRIGO</v>
      </c>
      <c r="L7583" s="32">
        <f>IFERROR(__xludf.DUMMYFUNCTION("""COMPUTED_VALUE"""),2.0)</f>
        <v>2</v>
      </c>
      <c r="M7583" s="4" t="str">
        <f>IFERROR(__xludf.DUMMYFUNCTION("""COMPUTED_VALUE"""),"Saipos Serviços De Software")</f>
        <v>Saipos Serviços De Software</v>
      </c>
      <c r="N7583" s="33">
        <f>IFERROR(__xludf.DUMMYFUNCTION("""COMPUTED_VALUE"""),0.5)</f>
        <v>0.5</v>
      </c>
      <c r="O7583" s="4" t="str">
        <f>IFERROR(__xludf.DUMMYFUNCTION("""COMPUTED_VALUE"""),"null")</f>
        <v>null</v>
      </c>
      <c r="P7583" s="33">
        <f>IFERROR(__xludf.DUMMYFUNCTION("""COMPUTED_VALUE"""),1.0)</f>
        <v>1</v>
      </c>
      <c r="Q7583" s="4" t="str">
        <f>IFERROR(__xludf.DUMMYFUNCTION("""COMPUTED_VALUE"""),"null")</f>
        <v>null</v>
      </c>
      <c r="R7583" s="33">
        <f>IFERROR(__xludf.DUMMYFUNCTION("""COMPUTED_VALUE"""),0.5)</f>
        <v>0.5</v>
      </c>
      <c r="S7583" s="4" t="str">
        <f>IFERROR(__xludf.DUMMYFUNCTION("""COMPUTED_VALUE"""),"null")</f>
        <v>null</v>
      </c>
      <c r="T7583" s="33">
        <f>IFERROR(__xludf.DUMMYFUNCTION("""COMPUTED_VALUE"""),0.5)</f>
        <v>0.5</v>
      </c>
      <c r="U7583" s="4" t="str">
        <f>IFERROR(__xludf.DUMMYFUNCTION("""COMPUTED_VALUE"""),"null")</f>
        <v>null</v>
      </c>
      <c r="V7583" s="33">
        <f>IFERROR(__xludf.DUMMYFUNCTION("""COMPUTED_VALUE"""),0.5)</f>
        <v>0.5</v>
      </c>
      <c r="W7583" s="4" t="str">
        <f>IFERROR(__xludf.DUMMYFUNCTION("""COMPUTED_VALUE"""),"null")</f>
        <v>null</v>
      </c>
      <c r="X7583" s="33">
        <f>IFERROR(__xludf.DUMMYFUNCTION("""COMPUTED_VALUE"""),0.5)</f>
        <v>0.5</v>
      </c>
    </row>
    <row r="7584">
      <c r="K7584" s="4" t="str">
        <f>IFERROR(__xludf.DUMMYFUNCTION("""COMPUTED_VALUE"""),"PANIFICADORA PANICENTER")</f>
        <v>PANIFICADORA PANICENTER</v>
      </c>
      <c r="L7584" s="32">
        <f>IFERROR(__xludf.DUMMYFUNCTION("""COMPUTED_VALUE"""),2.0)</f>
        <v>2</v>
      </c>
      <c r="M7584" s="4" t="str">
        <f>IFERROR(__xludf.DUMMYFUNCTION("""COMPUTED_VALUE"""),"Sqgtec Sistemas E Suporte Em Tecnologia Da Informacao Ltda")</f>
        <v>Sqgtec Sistemas E Suporte Em Tecnologia Da Informacao Ltda</v>
      </c>
      <c r="N7584" s="33">
        <f>IFERROR(__xludf.DUMMYFUNCTION("""COMPUTED_VALUE"""),1.0)</f>
        <v>1</v>
      </c>
      <c r="O7584" s="4" t="str">
        <f>IFERROR(__xludf.DUMMYFUNCTION("""COMPUTED_VALUE"""),"Sqgtec Sistemas E Suporte Em Tecnologia Da Informacao Ltda")</f>
        <v>Sqgtec Sistemas E Suporte Em Tecnologia Da Informacao Ltda</v>
      </c>
      <c r="P7584" s="33">
        <f>IFERROR(__xludf.DUMMYFUNCTION("""COMPUTED_VALUE"""),1.0)</f>
        <v>1</v>
      </c>
      <c r="Q7584" s="4" t="str">
        <f>IFERROR(__xludf.DUMMYFUNCTION("""COMPUTED_VALUE"""),"Sqgtec Sistemas E Suporte Em Tecnologia Da Informacao Ltda")</f>
        <v>Sqgtec Sistemas E Suporte Em Tecnologia Da Informacao Ltda</v>
      </c>
      <c r="R7584" s="33">
        <f>IFERROR(__xludf.DUMMYFUNCTION("""COMPUTED_VALUE"""),1.0)</f>
        <v>1</v>
      </c>
      <c r="S7584" s="4" t="str">
        <f>IFERROR(__xludf.DUMMYFUNCTION("""COMPUTED_VALUE"""),"Sqgtec Sistemas E Suporte Em Tecnologia Da Informacao Ltda")</f>
        <v>Sqgtec Sistemas E Suporte Em Tecnologia Da Informacao Ltda</v>
      </c>
      <c r="T7584" s="33">
        <f>IFERROR(__xludf.DUMMYFUNCTION("""COMPUTED_VALUE"""),0.5)</f>
        <v>0.5</v>
      </c>
      <c r="U7584" s="4" t="str">
        <f>IFERROR(__xludf.DUMMYFUNCTION("""COMPUTED_VALUE"""),"Sqgtec Sistemas E Suporte Em Tecnologia Da Informacao Ltda")</f>
        <v>Sqgtec Sistemas E Suporte Em Tecnologia Da Informacao Ltda</v>
      </c>
      <c r="V7584" s="33">
        <f>IFERROR(__xludf.DUMMYFUNCTION("""COMPUTED_VALUE"""),1.0)</f>
        <v>1</v>
      </c>
      <c r="W7584" s="4" t="str">
        <f>IFERROR(__xludf.DUMMYFUNCTION("""COMPUTED_VALUE"""),"Sqgtec Sistemas E Suporte Em Tecnologia Da Informacao Ltda")</f>
        <v>Sqgtec Sistemas E Suporte Em Tecnologia Da Informacao Ltda</v>
      </c>
      <c r="X7584" s="33">
        <f>IFERROR(__xludf.DUMMYFUNCTION("""COMPUTED_VALUE"""),0.5)</f>
        <v>0.5</v>
      </c>
    </row>
    <row r="7585">
      <c r="K7585" s="4" t="str">
        <f>IFERROR(__xludf.DUMMYFUNCTION("""COMPUTED_VALUE"""),"PANINI PIZZAS")</f>
        <v>PANINI PIZZAS</v>
      </c>
      <c r="L7585" s="32">
        <f>IFERROR(__xludf.DUMMYFUNCTION("""COMPUTED_VALUE"""),2.0)</f>
        <v>2</v>
      </c>
      <c r="M7585" s="4" t="str">
        <f>IFERROR(__xludf.DUMMYFUNCTION("""COMPUTED_VALUE"""),"Saipos Serviços De Software")</f>
        <v>Saipos Serviços De Software</v>
      </c>
      <c r="N7585" s="33">
        <f>IFERROR(__xludf.DUMMYFUNCTION("""COMPUTED_VALUE"""),1.0)</f>
        <v>1</v>
      </c>
      <c r="O7585" s="4" t="str">
        <f>IFERROR(__xludf.DUMMYFUNCTION("""COMPUTED_VALUE"""),"Saipos Serviços De Software")</f>
        <v>Saipos Serviços De Software</v>
      </c>
      <c r="P7585" s="33">
        <f>IFERROR(__xludf.DUMMYFUNCTION("""COMPUTED_VALUE"""),1.0)</f>
        <v>1</v>
      </c>
      <c r="Q7585" s="4" t="str">
        <f>IFERROR(__xludf.DUMMYFUNCTION("""COMPUTED_VALUE"""),"Saipos Serviços De Software")</f>
        <v>Saipos Serviços De Software</v>
      </c>
      <c r="R7585" s="33">
        <f>IFERROR(__xludf.DUMMYFUNCTION("""COMPUTED_VALUE"""),1.0)</f>
        <v>1</v>
      </c>
      <c r="S7585" s="4" t="str">
        <f>IFERROR(__xludf.DUMMYFUNCTION("""COMPUTED_VALUE"""),"Saipos Serviços De Software")</f>
        <v>Saipos Serviços De Software</v>
      </c>
      <c r="T7585" s="33">
        <f>IFERROR(__xludf.DUMMYFUNCTION("""COMPUTED_VALUE"""),1.0)</f>
        <v>1</v>
      </c>
      <c r="U7585" s="4" t="str">
        <f>IFERROR(__xludf.DUMMYFUNCTION("""COMPUTED_VALUE"""),"Saipos Serviços De Software")</f>
        <v>Saipos Serviços De Software</v>
      </c>
      <c r="V7585" s="33">
        <f>IFERROR(__xludf.DUMMYFUNCTION("""COMPUTED_VALUE"""),1.0)</f>
        <v>1</v>
      </c>
      <c r="W7585" s="4" t="str">
        <f>IFERROR(__xludf.DUMMYFUNCTION("""COMPUTED_VALUE"""),"Saipos Serviços De Software")</f>
        <v>Saipos Serviços De Software</v>
      </c>
      <c r="X7585" s="33">
        <f>IFERROR(__xludf.DUMMYFUNCTION("""COMPUTED_VALUE"""),1.0)</f>
        <v>1</v>
      </c>
    </row>
    <row r="7586">
      <c r="K7586" s="4" t="str">
        <f>IFERROR(__xludf.DUMMYFUNCTION("""COMPUTED_VALUE"""),"PAO COM CARNE - CONTA MARCA")</f>
        <v>PAO COM CARNE - CONTA MARCA</v>
      </c>
      <c r="L7586" s="32">
        <f>IFERROR(__xludf.DUMMYFUNCTION("""COMPUTED_VALUE"""),2.0)</f>
        <v>2</v>
      </c>
      <c r="M7586" s="4" t="str">
        <f>IFERROR(__xludf.DUMMYFUNCTION("""COMPUTED_VALUE"""),"Eclética Tecnologia")</f>
        <v>Eclética Tecnologia</v>
      </c>
      <c r="N7586" s="33">
        <f>IFERROR(__xludf.DUMMYFUNCTION("""COMPUTED_VALUE"""),0.5)</f>
        <v>0.5</v>
      </c>
      <c r="O7586" s="4" t="str">
        <f>IFERROR(__xludf.DUMMYFUNCTION("""COMPUTED_VALUE"""),"Eclética Tecnologia")</f>
        <v>Eclética Tecnologia</v>
      </c>
      <c r="P7586" s="33">
        <f>IFERROR(__xludf.DUMMYFUNCTION("""COMPUTED_VALUE"""),0.5)</f>
        <v>0.5</v>
      </c>
      <c r="Q7586" s="4" t="str">
        <f>IFERROR(__xludf.DUMMYFUNCTION("""COMPUTED_VALUE"""),"Eclética Tecnologia")</f>
        <v>Eclética Tecnologia</v>
      </c>
      <c r="R7586" s="33">
        <f>IFERROR(__xludf.DUMMYFUNCTION("""COMPUTED_VALUE"""),0.5)</f>
        <v>0.5</v>
      </c>
      <c r="S7586" s="4" t="str">
        <f>IFERROR(__xludf.DUMMYFUNCTION("""COMPUTED_VALUE"""),"Eclética Tecnologia")</f>
        <v>Eclética Tecnologia</v>
      </c>
      <c r="T7586" s="33">
        <f>IFERROR(__xludf.DUMMYFUNCTION("""COMPUTED_VALUE"""),0.5)</f>
        <v>0.5</v>
      </c>
      <c r="U7586" s="4" t="str">
        <f>IFERROR(__xludf.DUMMYFUNCTION("""COMPUTED_VALUE"""),"Eclética Tecnologia")</f>
        <v>Eclética Tecnologia</v>
      </c>
      <c r="V7586" s="33">
        <f>IFERROR(__xludf.DUMMYFUNCTION("""COMPUTED_VALUE"""),0.5)</f>
        <v>0.5</v>
      </c>
      <c r="W7586" s="4" t="str">
        <f>IFERROR(__xludf.DUMMYFUNCTION("""COMPUTED_VALUE"""),"Eclética Tecnologia")</f>
        <v>Eclética Tecnologia</v>
      </c>
      <c r="X7586" s="33">
        <f>IFERROR(__xludf.DUMMYFUNCTION("""COMPUTED_VALUE"""),0.5)</f>
        <v>0.5</v>
      </c>
    </row>
    <row r="7587">
      <c r="K7587" s="4" t="str">
        <f>IFERROR(__xludf.DUMMYFUNCTION("""COMPUTED_VALUE"""),"PAO DO DIA - TERESOPOLIS")</f>
        <v>PAO DO DIA - TERESOPOLIS</v>
      </c>
      <c r="L7587" s="32">
        <f>IFERROR(__xludf.DUMMYFUNCTION("""COMPUTED_VALUE"""),2.0)</f>
        <v>2</v>
      </c>
      <c r="M7587" s="4" t="str">
        <f>IFERROR(__xludf.DUMMYFUNCTION("""COMPUTED_VALUE"""),"Totvs Large Enterprise Tecnologia S.a.")</f>
        <v>Totvs Large Enterprise Tecnologia S.a.</v>
      </c>
      <c r="N7587" s="33">
        <f>IFERROR(__xludf.DUMMYFUNCTION("""COMPUTED_VALUE"""),1.0)</f>
        <v>1</v>
      </c>
      <c r="O7587" s="4" t="str">
        <f>IFERROR(__xludf.DUMMYFUNCTION("""COMPUTED_VALUE"""),"Totvs Large Enterprise Tecnologia S.a.")</f>
        <v>Totvs Large Enterprise Tecnologia S.a.</v>
      </c>
      <c r="P7587" s="33">
        <f>IFERROR(__xludf.DUMMYFUNCTION("""COMPUTED_VALUE"""),1.0)</f>
        <v>1</v>
      </c>
      <c r="Q7587" s="4" t="str">
        <f>IFERROR(__xludf.DUMMYFUNCTION("""COMPUTED_VALUE"""),"Totvs Large Enterprise Tecnologia S.a.")</f>
        <v>Totvs Large Enterprise Tecnologia S.a.</v>
      </c>
      <c r="R7587" s="33">
        <f>IFERROR(__xludf.DUMMYFUNCTION("""COMPUTED_VALUE"""),1.0)</f>
        <v>1</v>
      </c>
      <c r="S7587" s="4" t="str">
        <f>IFERROR(__xludf.DUMMYFUNCTION("""COMPUTED_VALUE"""),"Totvs Large Enterprise Tecnologia S.a.")</f>
        <v>Totvs Large Enterprise Tecnologia S.a.</v>
      </c>
      <c r="T7587" s="33">
        <f>IFERROR(__xludf.DUMMYFUNCTION("""COMPUTED_VALUE"""),1.0)</f>
        <v>1</v>
      </c>
      <c r="U7587" s="4" t="str">
        <f>IFERROR(__xludf.DUMMYFUNCTION("""COMPUTED_VALUE"""),"Totvs Large Enterprise Tecnologia S.a.")</f>
        <v>Totvs Large Enterprise Tecnologia S.a.</v>
      </c>
      <c r="V7587" s="33">
        <f>IFERROR(__xludf.DUMMYFUNCTION("""COMPUTED_VALUE"""),1.0)</f>
        <v>1</v>
      </c>
      <c r="W7587" s="4" t="str">
        <f>IFERROR(__xludf.DUMMYFUNCTION("""COMPUTED_VALUE"""),"Totvs Large Enterprise Tecnologia S.a.")</f>
        <v>Totvs Large Enterprise Tecnologia S.a.</v>
      </c>
      <c r="X7587" s="33">
        <f>IFERROR(__xludf.DUMMYFUNCTION("""COMPUTED_VALUE"""),1.0)</f>
        <v>1</v>
      </c>
    </row>
    <row r="7588">
      <c r="K7588" s="4" t="str">
        <f>IFERROR(__xludf.DUMMYFUNCTION("""COMPUTED_VALUE"""),"PAPAS GOURMET")</f>
        <v>PAPAS GOURMET</v>
      </c>
      <c r="L7588" s="32">
        <f>IFERROR(__xludf.DUMMYFUNCTION("""COMPUTED_VALUE"""),2.0)</f>
        <v>2</v>
      </c>
      <c r="M7588" s="4" t="str">
        <f>IFERROR(__xludf.DUMMYFUNCTION("""COMPUTED_VALUE"""),"Consumer Soluções Em Tecnologia Ltda")</f>
        <v>Consumer Soluções Em Tecnologia Ltda</v>
      </c>
      <c r="N7588" s="33">
        <f>IFERROR(__xludf.DUMMYFUNCTION("""COMPUTED_VALUE"""),0.5)</f>
        <v>0.5</v>
      </c>
      <c r="O7588" s="4" t="str">
        <f>IFERROR(__xludf.DUMMYFUNCTION("""COMPUTED_VALUE"""),"Consumer Soluções Em Tecnologia Ltda")</f>
        <v>Consumer Soluções Em Tecnologia Ltda</v>
      </c>
      <c r="P7588" s="33">
        <f>IFERROR(__xludf.DUMMYFUNCTION("""COMPUTED_VALUE"""),0.5)</f>
        <v>0.5</v>
      </c>
      <c r="Q7588" s="4" t="str">
        <f>IFERROR(__xludf.DUMMYFUNCTION("""COMPUTED_VALUE"""),"Consumer Soluções Em Tecnologia Ltda")</f>
        <v>Consumer Soluções Em Tecnologia Ltda</v>
      </c>
      <c r="R7588" s="33">
        <f>IFERROR(__xludf.DUMMYFUNCTION("""COMPUTED_VALUE"""),1.0)</f>
        <v>1</v>
      </c>
      <c r="S7588" s="4" t="str">
        <f>IFERROR(__xludf.DUMMYFUNCTION("""COMPUTED_VALUE"""),"Consumer Soluções Em Tecnologia Ltda")</f>
        <v>Consumer Soluções Em Tecnologia Ltda</v>
      </c>
      <c r="T7588" s="33">
        <f>IFERROR(__xludf.DUMMYFUNCTION("""COMPUTED_VALUE"""),1.0)</f>
        <v>1</v>
      </c>
      <c r="U7588" s="4" t="str">
        <f>IFERROR(__xludf.DUMMYFUNCTION("""COMPUTED_VALUE"""),"Consumer Soluções Em Tecnologia Ltda")</f>
        <v>Consumer Soluções Em Tecnologia Ltda</v>
      </c>
      <c r="V7588" s="33">
        <f>IFERROR(__xludf.DUMMYFUNCTION("""COMPUTED_VALUE"""),1.0)</f>
        <v>1</v>
      </c>
      <c r="W7588" s="4" t="str">
        <f>IFERROR(__xludf.DUMMYFUNCTION("""COMPUTED_VALUE"""),"Consumer Soluções Em Tecnologia Ltda")</f>
        <v>Consumer Soluções Em Tecnologia Ltda</v>
      </c>
      <c r="X7588" s="33">
        <f>IFERROR(__xludf.DUMMYFUNCTION("""COMPUTED_VALUE"""),1.0)</f>
        <v>1</v>
      </c>
    </row>
    <row r="7589">
      <c r="K7589" s="4" t="str">
        <f>IFERROR(__xludf.DUMMYFUNCTION("""COMPUTED_VALUE"""),"PAPRICA DOCE CUIABA")</f>
        <v>PAPRICA DOCE CUIABA</v>
      </c>
      <c r="L7589" s="32">
        <f>IFERROR(__xludf.DUMMYFUNCTION("""COMPUTED_VALUE"""),2.0)</f>
        <v>2</v>
      </c>
      <c r="M7589" s="4" t="str">
        <f>IFERROR(__xludf.DUMMYFUNCTION("""COMPUTED_VALUE"""),"null")</f>
        <v>null</v>
      </c>
      <c r="N7589" s="33">
        <f>IFERROR(__xludf.DUMMYFUNCTION("""COMPUTED_VALUE"""),1.0)</f>
        <v>1</v>
      </c>
      <c r="O7589" s="4" t="str">
        <f>IFERROR(__xludf.DUMMYFUNCTION("""COMPUTED_VALUE"""),"null")</f>
        <v>null</v>
      </c>
      <c r="P7589" s="33">
        <f>IFERROR(__xludf.DUMMYFUNCTION("""COMPUTED_VALUE"""),1.0)</f>
        <v>1</v>
      </c>
      <c r="Q7589" s="4" t="str">
        <f>IFERROR(__xludf.DUMMYFUNCTION("""COMPUTED_VALUE"""),"null")</f>
        <v>null</v>
      </c>
      <c r="R7589" s="33">
        <f>IFERROR(__xludf.DUMMYFUNCTION("""COMPUTED_VALUE"""),1.0)</f>
        <v>1</v>
      </c>
      <c r="S7589" s="4" t="str">
        <f>IFERROR(__xludf.DUMMYFUNCTION("""COMPUTED_VALUE"""),"Tacto Sistemas")</f>
        <v>Tacto Sistemas</v>
      </c>
      <c r="T7589" s="33">
        <f>IFERROR(__xludf.DUMMYFUNCTION("""COMPUTED_VALUE"""),1.0)</f>
        <v>1</v>
      </c>
      <c r="U7589" s="4" t="str">
        <f>IFERROR(__xludf.DUMMYFUNCTION("""COMPUTED_VALUE"""),"null")</f>
        <v>null</v>
      </c>
      <c r="V7589" s="33">
        <f>IFERROR(__xludf.DUMMYFUNCTION("""COMPUTED_VALUE"""),0.5)</f>
        <v>0.5</v>
      </c>
      <c r="W7589" s="4" t="str">
        <f>IFERROR(__xludf.DUMMYFUNCTION("""COMPUTED_VALUE"""),"Tacto Sistemas")</f>
        <v>Tacto Sistemas</v>
      </c>
      <c r="X7589" s="33">
        <f>IFERROR(__xludf.DUMMYFUNCTION("""COMPUTED_VALUE"""),1.0)</f>
        <v>1</v>
      </c>
    </row>
    <row r="7590">
      <c r="K7590" s="4" t="str">
        <f>IFERROR(__xludf.DUMMYFUNCTION("""COMPUTED_VALUE"""),"PARMA PIZZARIA - PALHOCA - CONTA GRUPO")</f>
        <v>PARMA PIZZARIA - PALHOCA - CONTA GRUPO</v>
      </c>
      <c r="L7590" s="32">
        <f>IFERROR(__xludf.DUMMYFUNCTION("""COMPUTED_VALUE"""),2.0)</f>
        <v>2</v>
      </c>
      <c r="M7590" s="4" t="str">
        <f>IFERROR(__xludf.DUMMYFUNCTION("""COMPUTED_VALUE"""),"Bitbar")</f>
        <v>Bitbar</v>
      </c>
      <c r="N7590" s="33">
        <f>IFERROR(__xludf.DUMMYFUNCTION("""COMPUTED_VALUE"""),1.0)</f>
        <v>1</v>
      </c>
      <c r="O7590" s="4" t="str">
        <f>IFERROR(__xludf.DUMMYFUNCTION("""COMPUTED_VALUE"""),"Bitbar")</f>
        <v>Bitbar</v>
      </c>
      <c r="P7590" s="33">
        <f>IFERROR(__xludf.DUMMYFUNCTION("""COMPUTED_VALUE"""),1.0)</f>
        <v>1</v>
      </c>
      <c r="Q7590" s="4" t="str">
        <f>IFERROR(__xludf.DUMMYFUNCTION("""COMPUTED_VALUE"""),"Bitbar")</f>
        <v>Bitbar</v>
      </c>
      <c r="R7590" s="33">
        <f>IFERROR(__xludf.DUMMYFUNCTION("""COMPUTED_VALUE"""),1.0)</f>
        <v>1</v>
      </c>
      <c r="S7590" s="4" t="str">
        <f>IFERROR(__xludf.DUMMYFUNCTION("""COMPUTED_VALUE"""),"Bitbar")</f>
        <v>Bitbar</v>
      </c>
      <c r="T7590" s="33">
        <f>IFERROR(__xludf.DUMMYFUNCTION("""COMPUTED_VALUE"""),1.0)</f>
        <v>1</v>
      </c>
      <c r="U7590" s="4" t="str">
        <f>IFERROR(__xludf.DUMMYFUNCTION("""COMPUTED_VALUE"""),"Bitbar")</f>
        <v>Bitbar</v>
      </c>
      <c r="V7590" s="33">
        <f>IFERROR(__xludf.DUMMYFUNCTION("""COMPUTED_VALUE"""),1.0)</f>
        <v>1</v>
      </c>
      <c r="W7590" s="4" t="str">
        <f>IFERROR(__xludf.DUMMYFUNCTION("""COMPUTED_VALUE"""),"Bitbar")</f>
        <v>Bitbar</v>
      </c>
      <c r="X7590" s="33">
        <f>IFERROR(__xludf.DUMMYFUNCTION("""COMPUTED_VALUE"""),1.0)</f>
        <v>1</v>
      </c>
    </row>
    <row r="7591">
      <c r="K7591" s="4" t="str">
        <f>IFERROR(__xludf.DUMMYFUNCTION("""COMPUTED_VALUE"""),"PARMEGIANA DELIVERY- CONTA PAI")</f>
        <v>PARMEGIANA DELIVERY- CONTA PAI</v>
      </c>
      <c r="L7591" s="32">
        <f>IFERROR(__xludf.DUMMYFUNCTION("""COMPUTED_VALUE"""),2.0)</f>
        <v>2</v>
      </c>
      <c r="M7591" s="4" t="str">
        <f>IFERROR(__xludf.DUMMYFUNCTION("""COMPUTED_VALUE"""),"Consumer Soluções Em Tecnologia Ltda")</f>
        <v>Consumer Soluções Em Tecnologia Ltda</v>
      </c>
      <c r="N7591" s="33">
        <f>IFERROR(__xludf.DUMMYFUNCTION("""COMPUTED_VALUE"""),0.5)</f>
        <v>0.5</v>
      </c>
      <c r="O7591" s="4" t="str">
        <f>IFERROR(__xludf.DUMMYFUNCTION("""COMPUTED_VALUE"""),"null")</f>
        <v>null</v>
      </c>
      <c r="P7591" s="33">
        <f>IFERROR(__xludf.DUMMYFUNCTION("""COMPUTED_VALUE"""),0.5)</f>
        <v>0.5</v>
      </c>
      <c r="Q7591" s="4" t="str">
        <f>IFERROR(__xludf.DUMMYFUNCTION("""COMPUTED_VALUE"""),"null")</f>
        <v>null</v>
      </c>
      <c r="R7591" s="33">
        <f>IFERROR(__xludf.DUMMYFUNCTION("""COMPUTED_VALUE"""),0.5)</f>
        <v>0.5</v>
      </c>
      <c r="S7591" s="4" t="str">
        <f>IFERROR(__xludf.DUMMYFUNCTION("""COMPUTED_VALUE"""),"null")</f>
        <v>null</v>
      </c>
      <c r="T7591" s="33">
        <f>IFERROR(__xludf.DUMMYFUNCTION("""COMPUTED_VALUE"""),0.5)</f>
        <v>0.5</v>
      </c>
      <c r="U7591" s="4" t="str">
        <f>IFERROR(__xludf.DUMMYFUNCTION("""COMPUTED_VALUE"""),"null")</f>
        <v>null</v>
      </c>
      <c r="V7591" s="33">
        <f>IFERROR(__xludf.DUMMYFUNCTION("""COMPUTED_VALUE"""),0.5)</f>
        <v>0.5</v>
      </c>
      <c r="W7591" s="4" t="str">
        <f>IFERROR(__xludf.DUMMYFUNCTION("""COMPUTED_VALUE"""),"null")</f>
        <v>null</v>
      </c>
      <c r="X7591" s="33">
        <f>IFERROR(__xludf.DUMMYFUNCTION("""COMPUTED_VALUE"""),0.5)</f>
        <v>0.5</v>
      </c>
    </row>
    <row r="7592">
      <c r="K7592" s="4" t="str">
        <f>IFERROR(__xludf.DUMMYFUNCTION("""COMPUTED_VALUE"""),"PARMEJAO DELIVERY")</f>
        <v>PARMEJAO DELIVERY</v>
      </c>
      <c r="L7592" s="32">
        <f>IFERROR(__xludf.DUMMYFUNCTION("""COMPUTED_VALUE"""),2.0)</f>
        <v>2</v>
      </c>
      <c r="M7592" s="4" t="str">
        <f>IFERROR(__xludf.DUMMYFUNCTION("""COMPUTED_VALUE"""),"null")</f>
        <v>null</v>
      </c>
      <c r="N7592" s="33">
        <f>IFERROR(__xludf.DUMMYFUNCTION("""COMPUTED_VALUE"""),0.5)</f>
        <v>0.5</v>
      </c>
      <c r="O7592" s="4" t="str">
        <f>IFERROR(__xludf.DUMMYFUNCTION("""COMPUTED_VALUE"""),"null")</f>
        <v>null</v>
      </c>
      <c r="P7592" s="33">
        <f>IFERROR(__xludf.DUMMYFUNCTION("""COMPUTED_VALUE"""),0.5)</f>
        <v>0.5</v>
      </c>
      <c r="Q7592" s="4" t="str">
        <f>IFERROR(__xludf.DUMMYFUNCTION("""COMPUTED_VALUE"""),"null")</f>
        <v>null</v>
      </c>
      <c r="R7592" s="33">
        <f>IFERROR(__xludf.DUMMYFUNCTION("""COMPUTED_VALUE"""),0.5)</f>
        <v>0.5</v>
      </c>
      <c r="S7592" s="4" t="str">
        <f>IFERROR(__xludf.DUMMYFUNCTION("""COMPUTED_VALUE"""),"null")</f>
        <v>null</v>
      </c>
      <c r="T7592" s="33">
        <f>IFERROR(__xludf.DUMMYFUNCTION("""COMPUTED_VALUE"""),0.5)</f>
        <v>0.5</v>
      </c>
      <c r="U7592" s="4" t="str">
        <f>IFERROR(__xludf.DUMMYFUNCTION("""COMPUTED_VALUE"""),"Saipos Serviços De Software")</f>
        <v>Saipos Serviços De Software</v>
      </c>
      <c r="V7592" s="33">
        <f>IFERROR(__xludf.DUMMYFUNCTION("""COMPUTED_VALUE"""),1.0)</f>
        <v>1</v>
      </c>
      <c r="W7592" s="4" t="str">
        <f>IFERROR(__xludf.DUMMYFUNCTION("""COMPUTED_VALUE"""),"Saipos Serviços De Software")</f>
        <v>Saipos Serviços De Software</v>
      </c>
      <c r="X7592" s="33">
        <f>IFERROR(__xludf.DUMMYFUNCTION("""COMPUTED_VALUE"""),1.0)</f>
        <v>1</v>
      </c>
    </row>
    <row r="7593">
      <c r="K7593" s="4" t="str">
        <f>IFERROR(__xludf.DUMMYFUNCTION("""COMPUTED_VALUE"""),"PARRILLARIA SANTA CRUZ")</f>
        <v>PARRILLARIA SANTA CRUZ</v>
      </c>
      <c r="L7593" s="32">
        <f>IFERROR(__xludf.DUMMYFUNCTION("""COMPUTED_VALUE"""),2.0)</f>
        <v>2</v>
      </c>
      <c r="M7593" s="4" t="str">
        <f>IFERROR(__xludf.DUMMYFUNCTION("""COMPUTED_VALUE"""),"Saipos Serviços De Software")</f>
        <v>Saipos Serviços De Software</v>
      </c>
      <c r="N7593" s="33">
        <f>IFERROR(__xludf.DUMMYFUNCTION("""COMPUTED_VALUE"""),1.0)</f>
        <v>1</v>
      </c>
      <c r="O7593" s="4" t="str">
        <f>IFERROR(__xludf.DUMMYFUNCTION("""COMPUTED_VALUE"""),"Saipos Serviços De Software")</f>
        <v>Saipos Serviços De Software</v>
      </c>
      <c r="P7593" s="33">
        <f>IFERROR(__xludf.DUMMYFUNCTION("""COMPUTED_VALUE"""),0.5)</f>
        <v>0.5</v>
      </c>
      <c r="Q7593" s="4" t="str">
        <f>IFERROR(__xludf.DUMMYFUNCTION("""COMPUTED_VALUE"""),"Saipos Serviços De Software")</f>
        <v>Saipos Serviços De Software</v>
      </c>
      <c r="R7593" s="33">
        <f>IFERROR(__xludf.DUMMYFUNCTION("""COMPUTED_VALUE"""),0.5)</f>
        <v>0.5</v>
      </c>
      <c r="S7593" s="4" t="str">
        <f>IFERROR(__xludf.DUMMYFUNCTION("""COMPUTED_VALUE"""),"Saipos Serviços De Software")</f>
        <v>Saipos Serviços De Software</v>
      </c>
      <c r="T7593" s="33">
        <f>IFERROR(__xludf.DUMMYFUNCTION("""COMPUTED_VALUE"""),0.5)</f>
        <v>0.5</v>
      </c>
      <c r="U7593" s="4" t="str">
        <f>IFERROR(__xludf.DUMMYFUNCTION("""COMPUTED_VALUE"""),"Saipos Serviços De Software")</f>
        <v>Saipos Serviços De Software</v>
      </c>
      <c r="V7593" s="33">
        <f>IFERROR(__xludf.DUMMYFUNCTION("""COMPUTED_VALUE"""),0.5)</f>
        <v>0.5</v>
      </c>
      <c r="W7593" s="4" t="str">
        <f>IFERROR(__xludf.DUMMYFUNCTION("""COMPUTED_VALUE"""),"Saipos Serviços De Software")</f>
        <v>Saipos Serviços De Software</v>
      </c>
      <c r="X7593" s="33">
        <f>IFERROR(__xludf.DUMMYFUNCTION("""COMPUTED_VALUE"""),0.5)</f>
        <v>0.5</v>
      </c>
    </row>
    <row r="7594">
      <c r="K7594" s="4" t="str">
        <f>IFERROR(__xludf.DUMMYFUNCTION("""COMPUTED_VALUE"""),"PASMANIA")</f>
        <v>PASMANIA</v>
      </c>
      <c r="L7594" s="32">
        <f>IFERROR(__xludf.DUMMYFUNCTION("""COMPUTED_VALUE"""),2.0)</f>
        <v>2</v>
      </c>
      <c r="M7594" s="4" t="str">
        <f>IFERROR(__xludf.DUMMYFUNCTION("""COMPUTED_VALUE"""),"Bitbar")</f>
        <v>Bitbar</v>
      </c>
      <c r="N7594" s="33">
        <f>IFERROR(__xludf.DUMMYFUNCTION("""COMPUTED_VALUE"""),1.0)</f>
        <v>1</v>
      </c>
      <c r="O7594" s="4" t="str">
        <f>IFERROR(__xludf.DUMMYFUNCTION("""COMPUTED_VALUE"""),"Bitbar")</f>
        <v>Bitbar</v>
      </c>
      <c r="P7594" s="33">
        <f>IFERROR(__xludf.DUMMYFUNCTION("""COMPUTED_VALUE"""),1.0)</f>
        <v>1</v>
      </c>
      <c r="Q7594" s="4" t="str">
        <f>IFERROR(__xludf.DUMMYFUNCTION("""COMPUTED_VALUE"""),"Bitbar")</f>
        <v>Bitbar</v>
      </c>
      <c r="R7594" s="33">
        <f>IFERROR(__xludf.DUMMYFUNCTION("""COMPUTED_VALUE"""),1.0)</f>
        <v>1</v>
      </c>
      <c r="S7594" s="4" t="str">
        <f>IFERROR(__xludf.DUMMYFUNCTION("""COMPUTED_VALUE"""),"Bitbar")</f>
        <v>Bitbar</v>
      </c>
      <c r="T7594" s="33">
        <f>IFERROR(__xludf.DUMMYFUNCTION("""COMPUTED_VALUE"""),1.0)</f>
        <v>1</v>
      </c>
      <c r="U7594" s="4" t="str">
        <f>IFERROR(__xludf.DUMMYFUNCTION("""COMPUTED_VALUE"""),"Bitbar")</f>
        <v>Bitbar</v>
      </c>
      <c r="V7594" s="33">
        <f>IFERROR(__xludf.DUMMYFUNCTION("""COMPUTED_VALUE"""),1.0)</f>
        <v>1</v>
      </c>
      <c r="W7594" s="4" t="str">
        <f>IFERROR(__xludf.DUMMYFUNCTION("""COMPUTED_VALUE"""),"Bitbar")</f>
        <v>Bitbar</v>
      </c>
      <c r="X7594" s="33">
        <f>IFERROR(__xludf.DUMMYFUNCTION("""COMPUTED_VALUE"""),1.0)</f>
        <v>1</v>
      </c>
    </row>
    <row r="7595">
      <c r="K7595" s="4" t="str">
        <f>IFERROR(__xludf.DUMMYFUNCTION("""COMPUTED_VALUE"""),"PASSAPORTE DO GORDO")</f>
        <v>PASSAPORTE DO GORDO</v>
      </c>
      <c r="L7595" s="32">
        <f>IFERROR(__xludf.DUMMYFUNCTION("""COMPUTED_VALUE"""),2.0)</f>
        <v>2</v>
      </c>
      <c r="M7595" s="4" t="str">
        <f>IFERROR(__xludf.DUMMYFUNCTION("""COMPUTED_VALUE"""),"Cardápio Web")</f>
        <v>Cardápio Web</v>
      </c>
      <c r="N7595" s="33">
        <f>IFERROR(__xludf.DUMMYFUNCTION("""COMPUTED_VALUE"""),1.0)</f>
        <v>1</v>
      </c>
      <c r="O7595" s="4" t="str">
        <f>IFERROR(__xludf.DUMMYFUNCTION("""COMPUTED_VALUE"""),"Cardápio Web")</f>
        <v>Cardápio Web</v>
      </c>
      <c r="P7595" s="33">
        <f>IFERROR(__xludf.DUMMYFUNCTION("""COMPUTED_VALUE"""),1.0)</f>
        <v>1</v>
      </c>
      <c r="Q7595" s="4" t="str">
        <f>IFERROR(__xludf.DUMMYFUNCTION("""COMPUTED_VALUE"""),"Cardápio Web")</f>
        <v>Cardápio Web</v>
      </c>
      <c r="R7595" s="33">
        <f>IFERROR(__xludf.DUMMYFUNCTION("""COMPUTED_VALUE"""),1.0)</f>
        <v>1</v>
      </c>
      <c r="S7595" s="4" t="str">
        <f>IFERROR(__xludf.DUMMYFUNCTION("""COMPUTED_VALUE"""),"Cardápio Web")</f>
        <v>Cardápio Web</v>
      </c>
      <c r="T7595" s="33">
        <f>IFERROR(__xludf.DUMMYFUNCTION("""COMPUTED_VALUE"""),1.0)</f>
        <v>1</v>
      </c>
      <c r="U7595" s="4" t="str">
        <f>IFERROR(__xludf.DUMMYFUNCTION("""COMPUTED_VALUE"""),"Cardápio Web")</f>
        <v>Cardápio Web</v>
      </c>
      <c r="V7595" s="33">
        <f>IFERROR(__xludf.DUMMYFUNCTION("""COMPUTED_VALUE"""),1.0)</f>
        <v>1</v>
      </c>
      <c r="W7595" s="4" t="str">
        <f>IFERROR(__xludf.DUMMYFUNCTION("""COMPUTED_VALUE"""),"Cardápio Web")</f>
        <v>Cardápio Web</v>
      </c>
      <c r="X7595" s="33">
        <f>IFERROR(__xludf.DUMMYFUNCTION("""COMPUTED_VALUE"""),1.0)</f>
        <v>1</v>
      </c>
    </row>
    <row r="7596">
      <c r="K7596" s="4" t="str">
        <f>IFERROR(__xludf.DUMMYFUNCTION("""COMPUTED_VALUE"""),"PASSAPORTE GAUCHO CONTA PAI")</f>
        <v>PASSAPORTE GAUCHO CONTA PAI</v>
      </c>
      <c r="L7596" s="32">
        <f>IFERROR(__xludf.DUMMYFUNCTION("""COMPUTED_VALUE"""),2.0)</f>
        <v>2</v>
      </c>
      <c r="M7596" s="4" t="str">
        <f>IFERROR(__xludf.DUMMYFUNCTION("""COMPUTED_VALUE"""),"3a Solution")</f>
        <v>3a Solution</v>
      </c>
      <c r="N7596" s="33">
        <f>IFERROR(__xludf.DUMMYFUNCTION("""COMPUTED_VALUE"""),1.0)</f>
        <v>1</v>
      </c>
      <c r="O7596" s="4" t="str">
        <f>IFERROR(__xludf.DUMMYFUNCTION("""COMPUTED_VALUE"""),"3a Solution")</f>
        <v>3a Solution</v>
      </c>
      <c r="P7596" s="33">
        <f>IFERROR(__xludf.DUMMYFUNCTION("""COMPUTED_VALUE"""),1.0)</f>
        <v>1</v>
      </c>
      <c r="Q7596" s="4" t="str">
        <f>IFERROR(__xludf.DUMMYFUNCTION("""COMPUTED_VALUE"""),"3a Solution")</f>
        <v>3a Solution</v>
      </c>
      <c r="R7596" s="33">
        <f>IFERROR(__xludf.DUMMYFUNCTION("""COMPUTED_VALUE"""),1.0)</f>
        <v>1</v>
      </c>
      <c r="S7596" s="4" t="str">
        <f>IFERROR(__xludf.DUMMYFUNCTION("""COMPUTED_VALUE"""),"3a Solution")</f>
        <v>3a Solution</v>
      </c>
      <c r="T7596" s="33">
        <f>IFERROR(__xludf.DUMMYFUNCTION("""COMPUTED_VALUE"""),1.0)</f>
        <v>1</v>
      </c>
      <c r="U7596" s="4" t="str">
        <f>IFERROR(__xludf.DUMMYFUNCTION("""COMPUTED_VALUE"""),"3a Solution")</f>
        <v>3a Solution</v>
      </c>
      <c r="V7596" s="33">
        <f>IFERROR(__xludf.DUMMYFUNCTION("""COMPUTED_VALUE"""),1.0)</f>
        <v>1</v>
      </c>
      <c r="W7596" s="4" t="str">
        <f>IFERROR(__xludf.DUMMYFUNCTION("""COMPUTED_VALUE"""),"3a Solution")</f>
        <v>3a Solution</v>
      </c>
      <c r="X7596" s="33">
        <f>IFERROR(__xludf.DUMMYFUNCTION("""COMPUTED_VALUE"""),1.0)</f>
        <v>1</v>
      </c>
    </row>
    <row r="7597">
      <c r="K7597" s="4" t="str">
        <f>IFERROR(__xludf.DUMMYFUNCTION("""COMPUTED_VALUE"""),"PASSINIS DELIVERY")</f>
        <v>PASSINIS DELIVERY</v>
      </c>
      <c r="L7597" s="32">
        <f>IFERROR(__xludf.DUMMYFUNCTION("""COMPUTED_VALUE"""),2.0)</f>
        <v>2</v>
      </c>
      <c r="M7597" s="4" t="str">
        <f>IFERROR(__xludf.DUMMYFUNCTION("""COMPUTED_VALUE"""),"null")</f>
        <v>null</v>
      </c>
      <c r="N7597" s="33">
        <f>IFERROR(__xludf.DUMMYFUNCTION("""COMPUTED_VALUE"""),1.0)</f>
        <v>1</v>
      </c>
      <c r="O7597" s="4" t="str">
        <f>IFERROR(__xludf.DUMMYFUNCTION("""COMPUTED_VALUE"""),"null")</f>
        <v>null</v>
      </c>
      <c r="P7597" s="33">
        <f>IFERROR(__xludf.DUMMYFUNCTION("""COMPUTED_VALUE"""),1.0)</f>
        <v>1</v>
      </c>
      <c r="Q7597" s="4" t="str">
        <f>IFERROR(__xludf.DUMMYFUNCTION("""COMPUTED_VALUE"""),"null")</f>
        <v>null</v>
      </c>
      <c r="R7597" s="33">
        <f>IFERROR(__xludf.DUMMYFUNCTION("""COMPUTED_VALUE"""),1.0)</f>
        <v>1</v>
      </c>
      <c r="S7597" s="4" t="str">
        <f>IFERROR(__xludf.DUMMYFUNCTION("""COMPUTED_VALUE"""),"null")</f>
        <v>null</v>
      </c>
      <c r="T7597" s="33">
        <f>IFERROR(__xludf.DUMMYFUNCTION("""COMPUTED_VALUE"""),1.0)</f>
        <v>1</v>
      </c>
      <c r="U7597" s="4" t="str">
        <f>IFERROR(__xludf.DUMMYFUNCTION("""COMPUTED_VALUE"""),"null")</f>
        <v>null</v>
      </c>
      <c r="V7597" s="33">
        <f>IFERROR(__xludf.DUMMYFUNCTION("""COMPUTED_VALUE"""),1.0)</f>
        <v>1</v>
      </c>
      <c r="W7597" s="4" t="str">
        <f>IFERROR(__xludf.DUMMYFUNCTION("""COMPUTED_VALUE"""),"Saipos Serviços De Software")</f>
        <v>Saipos Serviços De Software</v>
      </c>
      <c r="X7597" s="33">
        <f>IFERROR(__xludf.DUMMYFUNCTION("""COMPUTED_VALUE"""),1.0)</f>
        <v>1</v>
      </c>
    </row>
    <row r="7598">
      <c r="K7598" s="4" t="str">
        <f>IFERROR(__xludf.DUMMYFUNCTION("""COMPUTED_VALUE"""),"PASSINIS DELIVERY - CONTA PAI")</f>
        <v>PASSINIS DELIVERY - CONTA PAI</v>
      </c>
      <c r="L7598" s="32">
        <f>IFERROR(__xludf.DUMMYFUNCTION("""COMPUTED_VALUE"""),2.0)</f>
        <v>2</v>
      </c>
      <c r="M7598" s="4" t="str">
        <f>IFERROR(__xludf.DUMMYFUNCTION("""COMPUTED_VALUE"""),"null")</f>
        <v>null</v>
      </c>
      <c r="N7598" s="33">
        <f>IFERROR(__xludf.DUMMYFUNCTION("""COMPUTED_VALUE"""),1.0)</f>
        <v>1</v>
      </c>
      <c r="O7598" s="4" t="str">
        <f>IFERROR(__xludf.DUMMYFUNCTION("""COMPUTED_VALUE"""),"null")</f>
        <v>null</v>
      </c>
      <c r="P7598" s="33">
        <f>IFERROR(__xludf.DUMMYFUNCTION("""COMPUTED_VALUE"""),1.0)</f>
        <v>1</v>
      </c>
      <c r="Q7598" s="4" t="str">
        <f>IFERROR(__xludf.DUMMYFUNCTION("""COMPUTED_VALUE"""),"null")</f>
        <v>null</v>
      </c>
      <c r="R7598" s="33">
        <f>IFERROR(__xludf.DUMMYFUNCTION("""COMPUTED_VALUE"""),1.0)</f>
        <v>1</v>
      </c>
      <c r="S7598" s="4" t="str">
        <f>IFERROR(__xludf.DUMMYFUNCTION("""COMPUTED_VALUE"""),"null")</f>
        <v>null</v>
      </c>
      <c r="T7598" s="33">
        <f>IFERROR(__xludf.DUMMYFUNCTION("""COMPUTED_VALUE"""),1.0)</f>
        <v>1</v>
      </c>
      <c r="U7598" s="4" t="str">
        <f>IFERROR(__xludf.DUMMYFUNCTION("""COMPUTED_VALUE"""),"null")</f>
        <v>null</v>
      </c>
      <c r="V7598" s="33">
        <f>IFERROR(__xludf.DUMMYFUNCTION("""COMPUTED_VALUE"""),1.0)</f>
        <v>1</v>
      </c>
      <c r="W7598" s="4" t="str">
        <f>IFERROR(__xludf.DUMMYFUNCTION("""COMPUTED_VALUE"""),"Saipos Serviços De Software")</f>
        <v>Saipos Serviços De Software</v>
      </c>
      <c r="X7598" s="33">
        <f>IFERROR(__xludf.DUMMYFUNCTION("""COMPUTED_VALUE"""),1.0)</f>
        <v>1</v>
      </c>
    </row>
    <row r="7599">
      <c r="K7599" s="4" t="str">
        <f>IFERROR(__xludf.DUMMYFUNCTION("""COMPUTED_VALUE"""),"PASTEIS TAKEDA - PASTEL DE FEIRA")</f>
        <v>PASTEIS TAKEDA - PASTEL DE FEIRA</v>
      </c>
      <c r="L7599" s="32">
        <f>IFERROR(__xludf.DUMMYFUNCTION("""COMPUTED_VALUE"""),2.0)</f>
        <v>2</v>
      </c>
      <c r="M7599" s="4" t="str">
        <f>IFERROR(__xludf.DUMMYFUNCTION("""COMPUTED_VALUE"""),"Menu Integrado")</f>
        <v>Menu Integrado</v>
      </c>
      <c r="N7599" s="33">
        <f>IFERROR(__xludf.DUMMYFUNCTION("""COMPUTED_VALUE"""),1.0)</f>
        <v>1</v>
      </c>
      <c r="O7599" s="4" t="str">
        <f>IFERROR(__xludf.DUMMYFUNCTION("""COMPUTED_VALUE"""),"Menu Integrado")</f>
        <v>Menu Integrado</v>
      </c>
      <c r="P7599" s="33">
        <f>IFERROR(__xludf.DUMMYFUNCTION("""COMPUTED_VALUE"""),0.5)</f>
        <v>0.5</v>
      </c>
      <c r="Q7599" s="4" t="str">
        <f>IFERROR(__xludf.DUMMYFUNCTION("""COMPUTED_VALUE"""),"Menu Integrado")</f>
        <v>Menu Integrado</v>
      </c>
      <c r="R7599" s="33">
        <f>IFERROR(__xludf.DUMMYFUNCTION("""COMPUTED_VALUE"""),0.5)</f>
        <v>0.5</v>
      </c>
      <c r="S7599" s="4" t="str">
        <f>IFERROR(__xludf.DUMMYFUNCTION("""COMPUTED_VALUE"""),"Menu Integrado")</f>
        <v>Menu Integrado</v>
      </c>
      <c r="T7599" s="33">
        <f>IFERROR(__xludf.DUMMYFUNCTION("""COMPUTED_VALUE"""),0.5)</f>
        <v>0.5</v>
      </c>
      <c r="U7599" s="4" t="str">
        <f>IFERROR(__xludf.DUMMYFUNCTION("""COMPUTED_VALUE"""),"Menu Integrado")</f>
        <v>Menu Integrado</v>
      </c>
      <c r="V7599" s="33">
        <f>IFERROR(__xludf.DUMMYFUNCTION("""COMPUTED_VALUE"""),0.5)</f>
        <v>0.5</v>
      </c>
      <c r="W7599" s="4" t="str">
        <f>IFERROR(__xludf.DUMMYFUNCTION("""COMPUTED_VALUE"""),"Menu Integrado")</f>
        <v>Menu Integrado</v>
      </c>
      <c r="X7599" s="33">
        <f>IFERROR(__xludf.DUMMYFUNCTION("""COMPUTED_VALUE"""),0.5)</f>
        <v>0.5</v>
      </c>
    </row>
    <row r="7600">
      <c r="K7600" s="4" t="str">
        <f>IFERROR(__xludf.DUMMYFUNCTION("""COMPUTED_VALUE"""),"PASTEL CIA SPA")</f>
        <v>PASTEL CIA SPA</v>
      </c>
      <c r="L7600" s="32">
        <f>IFERROR(__xludf.DUMMYFUNCTION("""COMPUTED_VALUE"""),2.0)</f>
        <v>2</v>
      </c>
      <c r="M7600" s="4" t="str">
        <f>IFERROR(__xludf.DUMMYFUNCTION("""COMPUTED_VALUE"""),"Totvs Large Enterprise Tecnologia S.a.")</f>
        <v>Totvs Large Enterprise Tecnologia S.a.</v>
      </c>
      <c r="N7600" s="33">
        <f>IFERROR(__xludf.DUMMYFUNCTION("""COMPUTED_VALUE"""),1.0)</f>
        <v>1</v>
      </c>
      <c r="O7600" s="4" t="str">
        <f>IFERROR(__xludf.DUMMYFUNCTION("""COMPUTED_VALUE"""),"Mapp Sistemas")</f>
        <v>Mapp Sistemas</v>
      </c>
      <c r="P7600" s="33">
        <f>IFERROR(__xludf.DUMMYFUNCTION("""COMPUTED_VALUE"""),1.0)</f>
        <v>1</v>
      </c>
      <c r="Q7600" s="4" t="str">
        <f>IFERROR(__xludf.DUMMYFUNCTION("""COMPUTED_VALUE"""),"Mapp Sistemas")</f>
        <v>Mapp Sistemas</v>
      </c>
      <c r="R7600" s="33">
        <f>IFERROR(__xludf.DUMMYFUNCTION("""COMPUTED_VALUE"""),1.0)</f>
        <v>1</v>
      </c>
      <c r="S7600" s="4" t="str">
        <f>IFERROR(__xludf.DUMMYFUNCTION("""COMPUTED_VALUE"""),"Totvs Large Enterprise Tecnologia S.a.")</f>
        <v>Totvs Large Enterprise Tecnologia S.a.</v>
      </c>
      <c r="T7600" s="33">
        <f>IFERROR(__xludf.DUMMYFUNCTION("""COMPUTED_VALUE"""),0.5)</f>
        <v>0.5</v>
      </c>
      <c r="U7600" s="4" t="str">
        <f>IFERROR(__xludf.DUMMYFUNCTION("""COMPUTED_VALUE"""),"Totvs Large Enterprise Tecnologia S.a.")</f>
        <v>Totvs Large Enterprise Tecnologia S.a.</v>
      </c>
      <c r="V7600" s="33">
        <f>IFERROR(__xludf.DUMMYFUNCTION("""COMPUTED_VALUE"""),0.5)</f>
        <v>0.5</v>
      </c>
      <c r="W7600" s="4" t="str">
        <f>IFERROR(__xludf.DUMMYFUNCTION("""COMPUTED_VALUE"""),"Mapp Sistemas")</f>
        <v>Mapp Sistemas</v>
      </c>
      <c r="X7600" s="33">
        <f>IFERROR(__xludf.DUMMYFUNCTION("""COMPUTED_VALUE"""),1.0)</f>
        <v>1</v>
      </c>
    </row>
    <row r="7601">
      <c r="K7601" s="4" t="str">
        <f>IFERROR(__xludf.DUMMYFUNCTION("""COMPUTED_VALUE"""),"PASTEL DO ALEMAO")</f>
        <v>PASTEL DO ALEMAO</v>
      </c>
      <c r="L7601" s="32">
        <f>IFERROR(__xludf.DUMMYFUNCTION("""COMPUTED_VALUE"""),2.0)</f>
        <v>2</v>
      </c>
      <c r="M7601" s="4" t="str">
        <f>IFERROR(__xludf.DUMMYFUNCTION("""COMPUTED_VALUE"""),"Saipos Serviços De Software")</f>
        <v>Saipos Serviços De Software</v>
      </c>
      <c r="N7601" s="33">
        <f>IFERROR(__xludf.DUMMYFUNCTION("""COMPUTED_VALUE"""),1.0)</f>
        <v>1</v>
      </c>
      <c r="O7601" s="4" t="str">
        <f>IFERROR(__xludf.DUMMYFUNCTION("""COMPUTED_VALUE"""),"Saipos Serviços De Software")</f>
        <v>Saipos Serviços De Software</v>
      </c>
      <c r="P7601" s="33">
        <f>IFERROR(__xludf.DUMMYFUNCTION("""COMPUTED_VALUE"""),1.0)</f>
        <v>1</v>
      </c>
      <c r="Q7601" s="4" t="str">
        <f>IFERROR(__xludf.DUMMYFUNCTION("""COMPUTED_VALUE"""),"Saipos Serviços De Software")</f>
        <v>Saipos Serviços De Software</v>
      </c>
      <c r="R7601" s="33">
        <f>IFERROR(__xludf.DUMMYFUNCTION("""COMPUTED_VALUE"""),1.0)</f>
        <v>1</v>
      </c>
      <c r="S7601" s="4" t="str">
        <f>IFERROR(__xludf.DUMMYFUNCTION("""COMPUTED_VALUE"""),"Saipos Serviços De Software")</f>
        <v>Saipos Serviços De Software</v>
      </c>
      <c r="T7601" s="33">
        <f>IFERROR(__xludf.DUMMYFUNCTION("""COMPUTED_VALUE"""),1.0)</f>
        <v>1</v>
      </c>
      <c r="U7601" s="4" t="str">
        <f>IFERROR(__xludf.DUMMYFUNCTION("""COMPUTED_VALUE"""),"Saipos Serviços De Software")</f>
        <v>Saipos Serviços De Software</v>
      </c>
      <c r="V7601" s="33">
        <f>IFERROR(__xludf.DUMMYFUNCTION("""COMPUTED_VALUE"""),1.0)</f>
        <v>1</v>
      </c>
      <c r="W7601" s="4" t="str">
        <f>IFERROR(__xludf.DUMMYFUNCTION("""COMPUTED_VALUE"""),"Saipos Serviços De Software")</f>
        <v>Saipos Serviços De Software</v>
      </c>
      <c r="X7601" s="33">
        <f>IFERROR(__xludf.DUMMYFUNCTION("""COMPUTED_VALUE"""),1.0)</f>
        <v>1</v>
      </c>
    </row>
    <row r="7602">
      <c r="K7602" s="4" t="str">
        <f>IFERROR(__xludf.DUMMYFUNCTION("""COMPUTED_VALUE"""),"PASTEL DO JAPA")</f>
        <v>PASTEL DO JAPA</v>
      </c>
      <c r="L7602" s="32">
        <f>IFERROR(__xludf.DUMMYFUNCTION("""COMPUTED_VALUE"""),2.0)</f>
        <v>2</v>
      </c>
      <c r="M7602" s="4" t="str">
        <f>IFERROR(__xludf.DUMMYFUNCTION("""COMPUTED_VALUE"""),"null")</f>
        <v>null</v>
      </c>
      <c r="N7602" s="33">
        <f>IFERROR(__xludf.DUMMYFUNCTION("""COMPUTED_VALUE"""),1.0)</f>
        <v>1</v>
      </c>
      <c r="O7602" s="4" t="str">
        <f>IFERROR(__xludf.DUMMYFUNCTION("""COMPUTED_VALUE"""),"null")</f>
        <v>null</v>
      </c>
      <c r="P7602" s="33">
        <f>IFERROR(__xludf.DUMMYFUNCTION("""COMPUTED_VALUE"""),1.0)</f>
        <v>1</v>
      </c>
      <c r="Q7602" s="4" t="str">
        <f>IFERROR(__xludf.DUMMYFUNCTION("""COMPUTED_VALUE"""),"null")</f>
        <v>null</v>
      </c>
      <c r="R7602" s="33">
        <f>IFERROR(__xludf.DUMMYFUNCTION("""COMPUTED_VALUE"""),1.0)</f>
        <v>1</v>
      </c>
      <c r="S7602" s="4" t="str">
        <f>IFERROR(__xludf.DUMMYFUNCTION("""COMPUTED_VALUE"""),"null")</f>
        <v>null</v>
      </c>
      <c r="T7602" s="33">
        <f>IFERROR(__xludf.DUMMYFUNCTION("""COMPUTED_VALUE"""),1.0)</f>
        <v>1</v>
      </c>
      <c r="U7602" s="4" t="str">
        <f>IFERROR(__xludf.DUMMYFUNCTION("""COMPUTED_VALUE"""),"null")</f>
        <v>null</v>
      </c>
      <c r="V7602" s="33">
        <f>IFERROR(__xludf.DUMMYFUNCTION("""COMPUTED_VALUE"""),1.0)</f>
        <v>1</v>
      </c>
      <c r="W7602" s="4" t="str">
        <f>IFERROR(__xludf.DUMMYFUNCTION("""COMPUTED_VALUE"""),"Saipos Serviços De Software")</f>
        <v>Saipos Serviços De Software</v>
      </c>
      <c r="X7602" s="33">
        <f>IFERROR(__xludf.DUMMYFUNCTION("""COMPUTED_VALUE"""),1.0)</f>
        <v>1</v>
      </c>
    </row>
    <row r="7603">
      <c r="K7603" s="4" t="str">
        <f>IFERROR(__xludf.DUMMYFUNCTION("""COMPUTED_VALUE"""),"PASTEL DO JAPA CONTA PAI")</f>
        <v>PASTEL DO JAPA CONTA PAI</v>
      </c>
      <c r="L7603" s="32">
        <f>IFERROR(__xludf.DUMMYFUNCTION("""COMPUTED_VALUE"""),2.0)</f>
        <v>2</v>
      </c>
      <c r="M7603" s="4" t="str">
        <f>IFERROR(__xludf.DUMMYFUNCTION("""COMPUTED_VALUE"""),"null")</f>
        <v>null</v>
      </c>
      <c r="N7603" s="33">
        <f>IFERROR(__xludf.DUMMYFUNCTION("""COMPUTED_VALUE"""),1.0)</f>
        <v>1</v>
      </c>
      <c r="O7603" s="4" t="str">
        <f>IFERROR(__xludf.DUMMYFUNCTION("""COMPUTED_VALUE"""),"null")</f>
        <v>null</v>
      </c>
      <c r="P7603" s="33">
        <f>IFERROR(__xludf.DUMMYFUNCTION("""COMPUTED_VALUE"""),1.0)</f>
        <v>1</v>
      </c>
      <c r="Q7603" s="4" t="str">
        <f>IFERROR(__xludf.DUMMYFUNCTION("""COMPUTED_VALUE"""),"null")</f>
        <v>null</v>
      </c>
      <c r="R7603" s="33">
        <f>IFERROR(__xludf.DUMMYFUNCTION("""COMPUTED_VALUE"""),1.0)</f>
        <v>1</v>
      </c>
      <c r="S7603" s="4" t="str">
        <f>IFERROR(__xludf.DUMMYFUNCTION("""COMPUTED_VALUE"""),"null")</f>
        <v>null</v>
      </c>
      <c r="T7603" s="33">
        <f>IFERROR(__xludf.DUMMYFUNCTION("""COMPUTED_VALUE"""),1.0)</f>
        <v>1</v>
      </c>
      <c r="U7603" s="4" t="str">
        <f>IFERROR(__xludf.DUMMYFUNCTION("""COMPUTED_VALUE"""),"null")</f>
        <v>null</v>
      </c>
      <c r="V7603" s="33">
        <f>IFERROR(__xludf.DUMMYFUNCTION("""COMPUTED_VALUE"""),1.0)</f>
        <v>1</v>
      </c>
      <c r="W7603" s="4" t="str">
        <f>IFERROR(__xludf.DUMMYFUNCTION("""COMPUTED_VALUE"""),"Saipos Serviços De Software")</f>
        <v>Saipos Serviços De Software</v>
      </c>
      <c r="X7603" s="33">
        <f>IFERROR(__xludf.DUMMYFUNCTION("""COMPUTED_VALUE"""),1.0)</f>
        <v>1</v>
      </c>
    </row>
    <row r="7604">
      <c r="K7604" s="4" t="str">
        <f>IFERROR(__xludf.DUMMYFUNCTION("""COMPUTED_VALUE"""),"PASTEL MEL")</f>
        <v>PASTEL MEL</v>
      </c>
      <c r="L7604" s="32">
        <f>IFERROR(__xludf.DUMMYFUNCTION("""COMPUTED_VALUE"""),2.0)</f>
        <v>2</v>
      </c>
      <c r="M7604" s="4" t="str">
        <f>IFERROR(__xludf.DUMMYFUNCTION("""COMPUTED_VALUE"""),"Sagres Automação Comercial")</f>
        <v>Sagres Automação Comercial</v>
      </c>
      <c r="N7604" s="33">
        <f>IFERROR(__xludf.DUMMYFUNCTION("""COMPUTED_VALUE"""),1.0)</f>
        <v>1</v>
      </c>
      <c r="O7604" s="4" t="str">
        <f>IFERROR(__xludf.DUMMYFUNCTION("""COMPUTED_VALUE"""),"Sagres Automação Comercial")</f>
        <v>Sagres Automação Comercial</v>
      </c>
      <c r="P7604" s="33">
        <f>IFERROR(__xludf.DUMMYFUNCTION("""COMPUTED_VALUE"""),1.0)</f>
        <v>1</v>
      </c>
      <c r="Q7604" s="4" t="str">
        <f>IFERROR(__xludf.DUMMYFUNCTION("""COMPUTED_VALUE"""),"Sagres Automação Comercial")</f>
        <v>Sagres Automação Comercial</v>
      </c>
      <c r="R7604" s="33">
        <f>IFERROR(__xludf.DUMMYFUNCTION("""COMPUTED_VALUE"""),1.0)</f>
        <v>1</v>
      </c>
      <c r="S7604" s="4" t="str">
        <f>IFERROR(__xludf.DUMMYFUNCTION("""COMPUTED_VALUE"""),"Sagres Automação Comercial")</f>
        <v>Sagres Automação Comercial</v>
      </c>
      <c r="T7604" s="33">
        <f>IFERROR(__xludf.DUMMYFUNCTION("""COMPUTED_VALUE"""),1.0)</f>
        <v>1</v>
      </c>
      <c r="U7604" s="4" t="str">
        <f>IFERROR(__xludf.DUMMYFUNCTION("""COMPUTED_VALUE"""),"Sagres Automação Comercial")</f>
        <v>Sagres Automação Comercial</v>
      </c>
      <c r="V7604" s="33">
        <f>IFERROR(__xludf.DUMMYFUNCTION("""COMPUTED_VALUE"""),1.0)</f>
        <v>1</v>
      </c>
      <c r="W7604" s="4" t="str">
        <f>IFERROR(__xludf.DUMMYFUNCTION("""COMPUTED_VALUE"""),"Sagres Automação Comercial")</f>
        <v>Sagres Automação Comercial</v>
      </c>
      <c r="X7604" s="33">
        <f>IFERROR(__xludf.DUMMYFUNCTION("""COMPUTED_VALUE"""),0.5)</f>
        <v>0.5</v>
      </c>
    </row>
    <row r="7605">
      <c r="K7605" s="4" t="str">
        <f>IFERROR(__xludf.DUMMYFUNCTION("""COMPUTED_VALUE"""),"PASTELARIA AVENIDA")</f>
        <v>PASTELARIA AVENIDA</v>
      </c>
      <c r="L7605" s="32">
        <f>IFERROR(__xludf.DUMMYFUNCTION("""COMPUTED_VALUE"""),2.0)</f>
        <v>2</v>
      </c>
      <c r="M7605" s="4" t="str">
        <f>IFERROR(__xludf.DUMMYFUNCTION("""COMPUTED_VALUE"""),"null")</f>
        <v>null</v>
      </c>
      <c r="N7605" s="33">
        <f>IFERROR(__xludf.DUMMYFUNCTION("""COMPUTED_VALUE"""),1.0)</f>
        <v>1</v>
      </c>
      <c r="O7605" s="4" t="str">
        <f>IFERROR(__xludf.DUMMYFUNCTION("""COMPUTED_VALUE"""),"null")</f>
        <v>null</v>
      </c>
      <c r="P7605" s="33">
        <f>IFERROR(__xludf.DUMMYFUNCTION("""COMPUTED_VALUE"""),1.0)</f>
        <v>1</v>
      </c>
      <c r="Q7605" s="4" t="str">
        <f>IFERROR(__xludf.DUMMYFUNCTION("""COMPUTED_VALUE"""),"null")</f>
        <v>null</v>
      </c>
      <c r="R7605" s="33">
        <f>IFERROR(__xludf.DUMMYFUNCTION("""COMPUTED_VALUE"""),1.0)</f>
        <v>1</v>
      </c>
      <c r="S7605" s="4" t="str">
        <f>IFERROR(__xludf.DUMMYFUNCTION("""COMPUTED_VALUE"""),"null")</f>
        <v>null</v>
      </c>
      <c r="T7605" s="33">
        <f>IFERROR(__xludf.DUMMYFUNCTION("""COMPUTED_VALUE"""),1.0)</f>
        <v>1</v>
      </c>
      <c r="U7605" s="4" t="str">
        <f>IFERROR(__xludf.DUMMYFUNCTION("""COMPUTED_VALUE"""),"null")</f>
        <v>null</v>
      </c>
      <c r="V7605" s="33">
        <f>IFERROR(__xludf.DUMMYFUNCTION("""COMPUTED_VALUE"""),1.0)</f>
        <v>1</v>
      </c>
      <c r="W7605" s="4" t="str">
        <f>IFERROR(__xludf.DUMMYFUNCTION("""COMPUTED_VALUE"""),"Saipos Serviços De Software")</f>
        <v>Saipos Serviços De Software</v>
      </c>
      <c r="X7605" s="33">
        <f>IFERROR(__xludf.DUMMYFUNCTION("""COMPUTED_VALUE"""),1.0)</f>
        <v>1</v>
      </c>
    </row>
    <row r="7606">
      <c r="K7606" s="4" t="str">
        <f>IFERROR(__xludf.DUMMYFUNCTION("""COMPUTED_VALUE"""),"PASTELARIA DO RAFFA - SOROCABA")</f>
        <v>PASTELARIA DO RAFFA - SOROCABA</v>
      </c>
      <c r="L7606" s="32">
        <f>IFERROR(__xludf.DUMMYFUNCTION("""COMPUTED_VALUE"""),2.0)</f>
        <v>2</v>
      </c>
      <c r="M7606" s="4" t="str">
        <f>IFERROR(__xludf.DUMMYFUNCTION("""COMPUTED_VALUE"""),"Beefood - Sistema Para Restaurantes")</f>
        <v>Beefood - Sistema Para Restaurantes</v>
      </c>
      <c r="N7606" s="33">
        <f>IFERROR(__xludf.DUMMYFUNCTION("""COMPUTED_VALUE"""),1.0)</f>
        <v>1</v>
      </c>
      <c r="O7606" s="4" t="str">
        <f>IFERROR(__xludf.DUMMYFUNCTION("""COMPUTED_VALUE"""),"Beefood - Sistema Para Restaurantes")</f>
        <v>Beefood - Sistema Para Restaurantes</v>
      </c>
      <c r="P7606" s="33">
        <f>IFERROR(__xludf.DUMMYFUNCTION("""COMPUTED_VALUE"""),1.0)</f>
        <v>1</v>
      </c>
      <c r="Q7606" s="4" t="str">
        <f>IFERROR(__xludf.DUMMYFUNCTION("""COMPUTED_VALUE"""),"Beefood - Sistema Para Restaurantes")</f>
        <v>Beefood - Sistema Para Restaurantes</v>
      </c>
      <c r="R7606" s="33">
        <f>IFERROR(__xludf.DUMMYFUNCTION("""COMPUTED_VALUE"""),1.0)</f>
        <v>1</v>
      </c>
      <c r="S7606" s="4" t="str">
        <f>IFERROR(__xludf.DUMMYFUNCTION("""COMPUTED_VALUE"""),"Beefood - Sistema Para Restaurantes")</f>
        <v>Beefood - Sistema Para Restaurantes</v>
      </c>
      <c r="T7606" s="33">
        <f>IFERROR(__xludf.DUMMYFUNCTION("""COMPUTED_VALUE"""),1.0)</f>
        <v>1</v>
      </c>
      <c r="U7606" s="4" t="str">
        <f>IFERROR(__xludf.DUMMYFUNCTION("""COMPUTED_VALUE"""),"Beefood - Sistema Para Restaurantes")</f>
        <v>Beefood - Sistema Para Restaurantes</v>
      </c>
      <c r="V7606" s="33">
        <f>IFERROR(__xludf.DUMMYFUNCTION("""COMPUTED_VALUE"""),1.0)</f>
        <v>1</v>
      </c>
      <c r="W7606" s="4" t="str">
        <f>IFERROR(__xludf.DUMMYFUNCTION("""COMPUTED_VALUE"""),"Beefood - Sistema Para Restaurantes")</f>
        <v>Beefood - Sistema Para Restaurantes</v>
      </c>
      <c r="X7606" s="33">
        <f>IFERROR(__xludf.DUMMYFUNCTION("""COMPUTED_VALUE"""),1.0)</f>
        <v>1</v>
      </c>
    </row>
    <row r="7607">
      <c r="K7607" s="4" t="str">
        <f>IFERROR(__xludf.DUMMYFUNCTION("""COMPUTED_VALUE"""),"PASTELARIA E REFEICOES DO CHEF JUDY")</f>
        <v>PASTELARIA E REFEICOES DO CHEF JUDY</v>
      </c>
      <c r="L7607" s="32">
        <f>IFERROR(__xludf.DUMMYFUNCTION("""COMPUTED_VALUE"""),2.0)</f>
        <v>2</v>
      </c>
      <c r="M7607" s="4" t="str">
        <f>IFERROR(__xludf.DUMMYFUNCTION("""COMPUTED_VALUE"""),"Yooga")</f>
        <v>Yooga</v>
      </c>
      <c r="N7607" s="33">
        <f>IFERROR(__xludf.DUMMYFUNCTION("""COMPUTED_VALUE"""),1.0)</f>
        <v>1</v>
      </c>
      <c r="O7607" s="4" t="str">
        <f>IFERROR(__xludf.DUMMYFUNCTION("""COMPUTED_VALUE"""),"Yooga")</f>
        <v>Yooga</v>
      </c>
      <c r="P7607" s="33">
        <f>IFERROR(__xludf.DUMMYFUNCTION("""COMPUTED_VALUE"""),1.0)</f>
        <v>1</v>
      </c>
      <c r="Q7607" s="4" t="str">
        <f>IFERROR(__xludf.DUMMYFUNCTION("""COMPUTED_VALUE"""),"Yooga")</f>
        <v>Yooga</v>
      </c>
      <c r="R7607" s="33">
        <f>IFERROR(__xludf.DUMMYFUNCTION("""COMPUTED_VALUE"""),1.0)</f>
        <v>1</v>
      </c>
      <c r="S7607" s="4" t="str">
        <f>IFERROR(__xludf.DUMMYFUNCTION("""COMPUTED_VALUE"""),"Yooga")</f>
        <v>Yooga</v>
      </c>
      <c r="T7607" s="33">
        <f>IFERROR(__xludf.DUMMYFUNCTION("""COMPUTED_VALUE"""),1.0)</f>
        <v>1</v>
      </c>
      <c r="U7607" s="4" t="str">
        <f>IFERROR(__xludf.DUMMYFUNCTION("""COMPUTED_VALUE"""),"Yooga")</f>
        <v>Yooga</v>
      </c>
      <c r="V7607" s="33">
        <f>IFERROR(__xludf.DUMMYFUNCTION("""COMPUTED_VALUE"""),1.0)</f>
        <v>1</v>
      </c>
      <c r="W7607" s="4" t="str">
        <f>IFERROR(__xludf.DUMMYFUNCTION("""COMPUTED_VALUE"""),"Yooga")</f>
        <v>Yooga</v>
      </c>
      <c r="X7607" s="33">
        <f>IFERROR(__xludf.DUMMYFUNCTION("""COMPUTED_VALUE"""),1.0)</f>
        <v>1</v>
      </c>
    </row>
    <row r="7608">
      <c r="K7608" s="4" t="str">
        <f>IFERROR(__xludf.DUMMYFUNCTION("""COMPUTED_VALUE"""),"PASTELARIA VISCONDE")</f>
        <v>PASTELARIA VISCONDE</v>
      </c>
      <c r="L7608" s="32">
        <f>IFERROR(__xludf.DUMMYFUNCTION("""COMPUTED_VALUE"""),2.0)</f>
        <v>2</v>
      </c>
      <c r="M7608" s="4">
        <f>IFERROR(__xludf.DUMMYFUNCTION("""COMPUTED_VALUE"""),88.0)</f>
        <v>88</v>
      </c>
      <c r="N7608" s="33">
        <f>IFERROR(__xludf.DUMMYFUNCTION("""COMPUTED_VALUE"""),0.5)</f>
        <v>0.5</v>
      </c>
      <c r="O7608" s="4" t="str">
        <f>IFERROR(__xludf.DUMMYFUNCTION("""COMPUTED_VALUE"""),"Olaclick")</f>
        <v>Olaclick</v>
      </c>
      <c r="P7608" s="33">
        <f>IFERROR(__xludf.DUMMYFUNCTION("""COMPUTED_VALUE"""),0.5)</f>
        <v>0.5</v>
      </c>
      <c r="Q7608" s="4" t="str">
        <f>IFERROR(__xludf.DUMMYFUNCTION("""COMPUTED_VALUE"""),"Olaclick")</f>
        <v>Olaclick</v>
      </c>
      <c r="R7608" s="33">
        <f>IFERROR(__xludf.DUMMYFUNCTION("""COMPUTED_VALUE"""),0.5)</f>
        <v>0.5</v>
      </c>
      <c r="S7608" s="4" t="str">
        <f>IFERROR(__xludf.DUMMYFUNCTION("""COMPUTED_VALUE"""),"Olaclick")</f>
        <v>Olaclick</v>
      </c>
      <c r="T7608" s="33">
        <f>IFERROR(__xludf.DUMMYFUNCTION("""COMPUTED_VALUE"""),0.5)</f>
        <v>0.5</v>
      </c>
      <c r="U7608" s="4" t="str">
        <f>IFERROR(__xludf.DUMMYFUNCTION("""COMPUTED_VALUE"""),"Saipos Serviços De Software")</f>
        <v>Saipos Serviços De Software</v>
      </c>
      <c r="V7608" s="33">
        <f>IFERROR(__xludf.DUMMYFUNCTION("""COMPUTED_VALUE"""),1.0)</f>
        <v>1</v>
      </c>
      <c r="W7608" s="4" t="str">
        <f>IFERROR(__xludf.DUMMYFUNCTION("""COMPUTED_VALUE"""),"null")</f>
        <v>null</v>
      </c>
      <c r="X7608" s="33">
        <f>IFERROR(__xludf.DUMMYFUNCTION("""COMPUTED_VALUE"""),1.0)</f>
        <v>1</v>
      </c>
    </row>
    <row r="7609">
      <c r="K7609" s="4" t="str">
        <f>IFERROR(__xludf.DUMMYFUNCTION("""COMPUTED_VALUE"""),"PASTELARIA YAMADA")</f>
        <v>PASTELARIA YAMADA</v>
      </c>
      <c r="L7609" s="32">
        <f>IFERROR(__xludf.DUMMYFUNCTION("""COMPUTED_VALUE"""),2.0)</f>
        <v>2</v>
      </c>
      <c r="M7609" s="4" t="str">
        <f>IFERROR(__xludf.DUMMYFUNCTION("""COMPUTED_VALUE"""),"Yashar Software")</f>
        <v>Yashar Software</v>
      </c>
      <c r="N7609" s="33">
        <f>IFERROR(__xludf.DUMMYFUNCTION("""COMPUTED_VALUE"""),0.5)</f>
        <v>0.5</v>
      </c>
      <c r="O7609" s="4" t="str">
        <f>IFERROR(__xludf.DUMMYFUNCTION("""COMPUTED_VALUE"""),"Yashar Software")</f>
        <v>Yashar Software</v>
      </c>
      <c r="P7609" s="33">
        <f>IFERROR(__xludf.DUMMYFUNCTION("""COMPUTED_VALUE"""),0.5)</f>
        <v>0.5</v>
      </c>
      <c r="Q7609" s="4" t="str">
        <f>IFERROR(__xludf.DUMMYFUNCTION("""COMPUTED_VALUE"""),"Yashar Software")</f>
        <v>Yashar Software</v>
      </c>
      <c r="R7609" s="33">
        <f>IFERROR(__xludf.DUMMYFUNCTION("""COMPUTED_VALUE"""),0.5)</f>
        <v>0.5</v>
      </c>
      <c r="S7609" s="4" t="str">
        <f>IFERROR(__xludf.DUMMYFUNCTION("""COMPUTED_VALUE"""),"Yashar Software")</f>
        <v>Yashar Software</v>
      </c>
      <c r="T7609" s="33">
        <f>IFERROR(__xludf.DUMMYFUNCTION("""COMPUTED_VALUE"""),0.5)</f>
        <v>0.5</v>
      </c>
      <c r="U7609" s="4" t="str">
        <f>IFERROR(__xludf.DUMMYFUNCTION("""COMPUTED_VALUE"""),"Yashar Software")</f>
        <v>Yashar Software</v>
      </c>
      <c r="V7609" s="33">
        <f>IFERROR(__xludf.DUMMYFUNCTION("""COMPUTED_VALUE"""),0.5)</f>
        <v>0.5</v>
      </c>
      <c r="W7609" s="4" t="str">
        <f>IFERROR(__xludf.DUMMYFUNCTION("""COMPUTED_VALUE"""),"Yashar Software")</f>
        <v>Yashar Software</v>
      </c>
      <c r="X7609" s="33">
        <f>IFERROR(__xludf.DUMMYFUNCTION("""COMPUTED_VALUE"""),0.5)</f>
        <v>0.5</v>
      </c>
    </row>
    <row r="7610">
      <c r="K7610" s="4" t="str">
        <f>IFERROR(__xludf.DUMMYFUNCTION("""COMPUTED_VALUE"""),"PASTELCOM - CONTA MARCA")</f>
        <v>PASTELCOM - CONTA MARCA</v>
      </c>
      <c r="L7610" s="32">
        <f>IFERROR(__xludf.DUMMYFUNCTION("""COMPUTED_VALUE"""),2.0)</f>
        <v>2</v>
      </c>
      <c r="M7610" s="4" t="str">
        <f>IFERROR(__xludf.DUMMYFUNCTION("""COMPUTED_VALUE"""),"Saipos Serviços De Software")</f>
        <v>Saipos Serviços De Software</v>
      </c>
      <c r="N7610" s="33">
        <f>IFERROR(__xludf.DUMMYFUNCTION("""COMPUTED_VALUE"""),0.5)</f>
        <v>0.5</v>
      </c>
      <c r="O7610" s="4" t="str">
        <f>IFERROR(__xludf.DUMMYFUNCTION("""COMPUTED_VALUE"""),"Saipos Serviços De Software")</f>
        <v>Saipos Serviços De Software</v>
      </c>
      <c r="P7610" s="33">
        <f>IFERROR(__xludf.DUMMYFUNCTION("""COMPUTED_VALUE"""),0.5)</f>
        <v>0.5</v>
      </c>
      <c r="Q7610" s="4" t="str">
        <f>IFERROR(__xludf.DUMMYFUNCTION("""COMPUTED_VALUE"""),"Saipos Serviços De Software")</f>
        <v>Saipos Serviços De Software</v>
      </c>
      <c r="R7610" s="33">
        <f>IFERROR(__xludf.DUMMYFUNCTION("""COMPUTED_VALUE"""),0.5)</f>
        <v>0.5</v>
      </c>
      <c r="S7610" s="4" t="str">
        <f>IFERROR(__xludf.DUMMYFUNCTION("""COMPUTED_VALUE"""),"Saipos Serviços De Software")</f>
        <v>Saipos Serviços De Software</v>
      </c>
      <c r="T7610" s="33">
        <f>IFERROR(__xludf.DUMMYFUNCTION("""COMPUTED_VALUE"""),1.0)</f>
        <v>1</v>
      </c>
      <c r="U7610" s="4" t="str">
        <f>IFERROR(__xludf.DUMMYFUNCTION("""COMPUTED_VALUE"""),"null")</f>
        <v>null</v>
      </c>
      <c r="V7610" s="33">
        <f>IFERROR(__xludf.DUMMYFUNCTION("""COMPUTED_VALUE"""),0.5)</f>
        <v>0.5</v>
      </c>
      <c r="W7610" s="4" t="str">
        <f>IFERROR(__xludf.DUMMYFUNCTION("""COMPUTED_VALUE"""),"null")</f>
        <v>null</v>
      </c>
      <c r="X7610" s="33">
        <f>IFERROR(__xludf.DUMMYFUNCTION("""COMPUTED_VALUE"""),0.5)</f>
        <v>0.5</v>
      </c>
    </row>
    <row r="7611">
      <c r="K7611" s="4" t="str">
        <f>IFERROR(__xludf.DUMMYFUNCTION("""COMPUTED_VALUE"""),"PASTELOKO- MARCA")</f>
        <v>PASTELOKO- MARCA</v>
      </c>
      <c r="L7611" s="32">
        <f>IFERROR(__xludf.DUMMYFUNCTION("""COMPUTED_VALUE"""),2.0)</f>
        <v>2</v>
      </c>
      <c r="M7611" s="4" t="str">
        <f>IFERROR(__xludf.DUMMYFUNCTION("""COMPUTED_VALUE"""),"M A S Guimaraes Software Eireli")</f>
        <v>M A S Guimaraes Software Eireli</v>
      </c>
      <c r="N7611" s="33">
        <f>IFERROR(__xludf.DUMMYFUNCTION("""COMPUTED_VALUE"""),1.0)</f>
        <v>1</v>
      </c>
      <c r="O7611" s="4" t="str">
        <f>IFERROR(__xludf.DUMMYFUNCTION("""COMPUTED_VALUE"""),"M A S Guimaraes Software Eireli")</f>
        <v>M A S Guimaraes Software Eireli</v>
      </c>
      <c r="P7611" s="33">
        <f>IFERROR(__xludf.DUMMYFUNCTION("""COMPUTED_VALUE"""),1.0)</f>
        <v>1</v>
      </c>
      <c r="Q7611" s="4" t="str">
        <f>IFERROR(__xludf.DUMMYFUNCTION("""COMPUTED_VALUE"""),"M A S Guimaraes Software Eireli")</f>
        <v>M A S Guimaraes Software Eireli</v>
      </c>
      <c r="R7611" s="33">
        <f>IFERROR(__xludf.DUMMYFUNCTION("""COMPUTED_VALUE"""),1.0)</f>
        <v>1</v>
      </c>
      <c r="S7611" s="4" t="str">
        <f>IFERROR(__xludf.DUMMYFUNCTION("""COMPUTED_VALUE"""),"M A S Guimaraes Software Eireli")</f>
        <v>M A S Guimaraes Software Eireli</v>
      </c>
      <c r="T7611" s="33">
        <f>IFERROR(__xludf.DUMMYFUNCTION("""COMPUTED_VALUE"""),1.0)</f>
        <v>1</v>
      </c>
      <c r="U7611" s="4" t="str">
        <f>IFERROR(__xludf.DUMMYFUNCTION("""COMPUTED_VALUE"""),"M A S Guimaraes Software Eireli")</f>
        <v>M A S Guimaraes Software Eireli</v>
      </c>
      <c r="V7611" s="33">
        <f>IFERROR(__xludf.DUMMYFUNCTION("""COMPUTED_VALUE"""),1.0)</f>
        <v>1</v>
      </c>
      <c r="W7611" s="4" t="str">
        <f>IFERROR(__xludf.DUMMYFUNCTION("""COMPUTED_VALUE"""),"M A S Guimaraes Software Eireli")</f>
        <v>M A S Guimaraes Software Eireli</v>
      </c>
      <c r="X7611" s="33">
        <f>IFERROR(__xludf.DUMMYFUNCTION("""COMPUTED_VALUE"""),1.0)</f>
        <v>1</v>
      </c>
    </row>
    <row r="7612">
      <c r="K7612" s="4" t="str">
        <f>IFERROR(__xludf.DUMMYFUNCTION("""COMPUTED_VALUE"""),"PASTIANNES - CONTA PAI")</f>
        <v>PASTIANNES - CONTA PAI</v>
      </c>
      <c r="L7612" s="32">
        <f>IFERROR(__xludf.DUMMYFUNCTION("""COMPUTED_VALUE"""),2.0)</f>
        <v>2</v>
      </c>
      <c r="M7612" s="4" t="str">
        <f>IFERROR(__xludf.DUMMYFUNCTION("""COMPUTED_VALUE"""),"Cardápio Web")</f>
        <v>Cardápio Web</v>
      </c>
      <c r="N7612" s="33">
        <f>IFERROR(__xludf.DUMMYFUNCTION("""COMPUTED_VALUE"""),1.0)</f>
        <v>1</v>
      </c>
      <c r="O7612" s="4" t="str">
        <f>IFERROR(__xludf.DUMMYFUNCTION("""COMPUTED_VALUE"""),"Cardápio Web")</f>
        <v>Cardápio Web</v>
      </c>
      <c r="P7612" s="33">
        <f>IFERROR(__xludf.DUMMYFUNCTION("""COMPUTED_VALUE"""),1.0)</f>
        <v>1</v>
      </c>
      <c r="Q7612" s="4" t="str">
        <f>IFERROR(__xludf.DUMMYFUNCTION("""COMPUTED_VALUE"""),"Cardápio Web")</f>
        <v>Cardápio Web</v>
      </c>
      <c r="R7612" s="33">
        <f>IFERROR(__xludf.DUMMYFUNCTION("""COMPUTED_VALUE"""),1.0)</f>
        <v>1</v>
      </c>
      <c r="S7612" s="4" t="str">
        <f>IFERROR(__xludf.DUMMYFUNCTION("""COMPUTED_VALUE"""),"Cardápio Web")</f>
        <v>Cardápio Web</v>
      </c>
      <c r="T7612" s="33">
        <f>IFERROR(__xludf.DUMMYFUNCTION("""COMPUTED_VALUE"""),1.0)</f>
        <v>1</v>
      </c>
      <c r="U7612" s="4" t="str">
        <f>IFERROR(__xludf.DUMMYFUNCTION("""COMPUTED_VALUE"""),"Cardápio Web")</f>
        <v>Cardápio Web</v>
      </c>
      <c r="V7612" s="33">
        <f>IFERROR(__xludf.DUMMYFUNCTION("""COMPUTED_VALUE"""),1.0)</f>
        <v>1</v>
      </c>
      <c r="W7612" s="4" t="str">
        <f>IFERROR(__xludf.DUMMYFUNCTION("""COMPUTED_VALUE"""),"Cardápio Web")</f>
        <v>Cardápio Web</v>
      </c>
      <c r="X7612" s="33">
        <f>IFERROR(__xludf.DUMMYFUNCTION("""COMPUTED_VALUE"""),1.0)</f>
        <v>1</v>
      </c>
    </row>
    <row r="7613">
      <c r="K7613" s="4" t="str">
        <f>IFERROR(__xludf.DUMMYFUNCTION("""COMPUTED_VALUE"""),"PATAS MANHAS")</f>
        <v>PATAS MANHAS</v>
      </c>
      <c r="L7613" s="32">
        <f>IFERROR(__xludf.DUMMYFUNCTION("""COMPUTED_VALUE"""),2.0)</f>
        <v>2</v>
      </c>
      <c r="M7613" s="4" t="str">
        <f>IFERROR(__xludf.DUMMYFUNCTION("""COMPUTED_VALUE"""),"N/A (Not found)")</f>
        <v>N/A (Not found)</v>
      </c>
      <c r="N7613" s="33">
        <f>IFERROR(__xludf.DUMMYFUNCTION("""COMPUTED_VALUE"""),1.0)</f>
        <v>1</v>
      </c>
      <c r="O7613" s="4" t="str">
        <f>IFERROR(__xludf.DUMMYFUNCTION("""COMPUTED_VALUE"""),"N/A (Not found)")</f>
        <v>N/A (Not found)</v>
      </c>
      <c r="P7613" s="33">
        <f>IFERROR(__xludf.DUMMYFUNCTION("""COMPUTED_VALUE"""),1.0)</f>
        <v>1</v>
      </c>
      <c r="Q7613" s="4" t="str">
        <f>IFERROR(__xludf.DUMMYFUNCTION("""COMPUTED_VALUE"""),"N/A (Not found)")</f>
        <v>N/A (Not found)</v>
      </c>
      <c r="R7613" s="33">
        <f>IFERROR(__xludf.DUMMYFUNCTION("""COMPUTED_VALUE"""),1.0)</f>
        <v>1</v>
      </c>
      <c r="S7613" s="4" t="str">
        <f>IFERROR(__xludf.DUMMYFUNCTION("""COMPUTED_VALUE"""),"N/A (Not found)")</f>
        <v>N/A (Not found)</v>
      </c>
      <c r="T7613" s="33">
        <f>IFERROR(__xludf.DUMMYFUNCTION("""COMPUTED_VALUE"""),1.0)</f>
        <v>1</v>
      </c>
      <c r="U7613" s="4" t="str">
        <f>IFERROR(__xludf.DUMMYFUNCTION("""COMPUTED_VALUE"""),"N/A (Not found)")</f>
        <v>N/A (Not found)</v>
      </c>
      <c r="V7613" s="33">
        <f>IFERROR(__xludf.DUMMYFUNCTION("""COMPUTED_VALUE"""),1.0)</f>
        <v>1</v>
      </c>
      <c r="W7613" s="4" t="str">
        <f>IFERROR(__xludf.DUMMYFUNCTION("""COMPUTED_VALUE"""),"N/A (Not found)")</f>
        <v>N/A (Not found)</v>
      </c>
      <c r="X7613" s="33">
        <f>IFERROR(__xludf.DUMMYFUNCTION("""COMPUTED_VALUE"""),1.0)</f>
        <v>1</v>
      </c>
    </row>
    <row r="7614">
      <c r="K7614" s="4" t="str">
        <f>IFERROR(__xludf.DUMMYFUNCTION("""COMPUTED_VALUE"""),"PATROPI AUTO LANCHES - CONTA-PAI")</f>
        <v>PATROPI AUTO LANCHES - CONTA-PAI</v>
      </c>
      <c r="L7614" s="32">
        <f>IFERROR(__xludf.DUMMYFUNCTION("""COMPUTED_VALUE"""),2.0)</f>
        <v>2</v>
      </c>
      <c r="M7614" s="4" t="str">
        <f>IFERROR(__xludf.DUMMYFUNCTION("""COMPUTED_VALUE"""),"Teknisa Service Ltda")</f>
        <v>Teknisa Service Ltda</v>
      </c>
      <c r="N7614" s="33">
        <f>IFERROR(__xludf.DUMMYFUNCTION("""COMPUTED_VALUE"""),0.5)</f>
        <v>0.5</v>
      </c>
      <c r="O7614" s="4" t="str">
        <f>IFERROR(__xludf.DUMMYFUNCTION("""COMPUTED_VALUE"""),"Teknisa Service Ltda")</f>
        <v>Teknisa Service Ltda</v>
      </c>
      <c r="P7614" s="33">
        <f>IFERROR(__xludf.DUMMYFUNCTION("""COMPUTED_VALUE"""),0.5)</f>
        <v>0.5</v>
      </c>
      <c r="Q7614" s="4" t="str">
        <f>IFERROR(__xludf.DUMMYFUNCTION("""COMPUTED_VALUE"""),"null")</f>
        <v>null</v>
      </c>
      <c r="R7614" s="33">
        <f>IFERROR(__xludf.DUMMYFUNCTION("""COMPUTED_VALUE"""),0.5)</f>
        <v>0.5</v>
      </c>
      <c r="S7614" s="4" t="str">
        <f>IFERROR(__xludf.DUMMYFUNCTION("""COMPUTED_VALUE"""),"null")</f>
        <v>null</v>
      </c>
      <c r="T7614" s="33">
        <f>IFERROR(__xludf.DUMMYFUNCTION("""COMPUTED_VALUE"""),0.5)</f>
        <v>0.5</v>
      </c>
      <c r="U7614" s="4" t="str">
        <f>IFERROR(__xludf.DUMMYFUNCTION("""COMPUTED_VALUE"""),"null")</f>
        <v>null</v>
      </c>
      <c r="V7614" s="33">
        <f>IFERROR(__xludf.DUMMYFUNCTION("""COMPUTED_VALUE"""),0.5)</f>
        <v>0.5</v>
      </c>
      <c r="W7614" s="4" t="str">
        <f>IFERROR(__xludf.DUMMYFUNCTION("""COMPUTED_VALUE"""),"null")</f>
        <v>null</v>
      </c>
      <c r="X7614" s="33">
        <f>IFERROR(__xludf.DUMMYFUNCTION("""COMPUTED_VALUE"""),0.5)</f>
        <v>0.5</v>
      </c>
    </row>
    <row r="7615">
      <c r="K7615" s="4" t="str">
        <f>IFERROR(__xludf.DUMMYFUNCTION("""COMPUTED_VALUE"""),"PATY ALBUQUERQUE CONFEITARIA")</f>
        <v>PATY ALBUQUERQUE CONFEITARIA</v>
      </c>
      <c r="L7615" s="32">
        <f>IFERROR(__xludf.DUMMYFUNCTION("""COMPUTED_VALUE"""),2.0)</f>
        <v>2</v>
      </c>
      <c r="M7615" s="4" t="str">
        <f>IFERROR(__xludf.DUMMYFUNCTION("""COMPUTED_VALUE"""),"Saipos Serviços De Software")</f>
        <v>Saipos Serviços De Software</v>
      </c>
      <c r="N7615" s="33">
        <f>IFERROR(__xludf.DUMMYFUNCTION("""COMPUTED_VALUE"""),1.0)</f>
        <v>1</v>
      </c>
      <c r="O7615" s="4" t="str">
        <f>IFERROR(__xludf.DUMMYFUNCTION("""COMPUTED_VALUE"""),"Saipos Serviços De Software")</f>
        <v>Saipos Serviços De Software</v>
      </c>
      <c r="P7615" s="33">
        <f>IFERROR(__xludf.DUMMYFUNCTION("""COMPUTED_VALUE"""),1.0)</f>
        <v>1</v>
      </c>
      <c r="Q7615" s="4" t="str">
        <f>IFERROR(__xludf.DUMMYFUNCTION("""COMPUTED_VALUE"""),"Saipos Serviços De Software")</f>
        <v>Saipos Serviços De Software</v>
      </c>
      <c r="R7615" s="33">
        <f>IFERROR(__xludf.DUMMYFUNCTION("""COMPUTED_VALUE"""),1.0)</f>
        <v>1</v>
      </c>
      <c r="S7615" s="4" t="str">
        <f>IFERROR(__xludf.DUMMYFUNCTION("""COMPUTED_VALUE"""),"Saipos Serviços De Software")</f>
        <v>Saipos Serviços De Software</v>
      </c>
      <c r="T7615" s="33">
        <f>IFERROR(__xludf.DUMMYFUNCTION("""COMPUTED_VALUE"""),1.0)</f>
        <v>1</v>
      </c>
      <c r="U7615" s="4" t="str">
        <f>IFERROR(__xludf.DUMMYFUNCTION("""COMPUTED_VALUE"""),"Saipos Serviços De Software")</f>
        <v>Saipos Serviços De Software</v>
      </c>
      <c r="V7615" s="33">
        <f>IFERROR(__xludf.DUMMYFUNCTION("""COMPUTED_VALUE"""),1.0)</f>
        <v>1</v>
      </c>
      <c r="W7615" s="4" t="str">
        <f>IFERROR(__xludf.DUMMYFUNCTION("""COMPUTED_VALUE"""),"Saipos Serviços De Software")</f>
        <v>Saipos Serviços De Software</v>
      </c>
      <c r="X7615" s="33">
        <f>IFERROR(__xludf.DUMMYFUNCTION("""COMPUTED_VALUE"""),1.0)</f>
        <v>1</v>
      </c>
    </row>
    <row r="7616">
      <c r="K7616" s="4" t="str">
        <f>IFERROR(__xludf.DUMMYFUNCTION("""COMPUTED_VALUE"""),"PAULISTA HOT DOG - CONTA MARCA")</f>
        <v>PAULISTA HOT DOG - CONTA MARCA</v>
      </c>
      <c r="L7616" s="32">
        <f>IFERROR(__xludf.DUMMYFUNCTION("""COMPUTED_VALUE"""),2.0)</f>
        <v>2</v>
      </c>
      <c r="M7616" s="4" t="str">
        <f>IFERROR(__xludf.DUMMYFUNCTION("""COMPUTED_VALUE"""),"Saipos Serviços De Software")</f>
        <v>Saipos Serviços De Software</v>
      </c>
      <c r="N7616" s="33">
        <f>IFERROR(__xludf.DUMMYFUNCTION("""COMPUTED_VALUE"""),1.0)</f>
        <v>1</v>
      </c>
      <c r="O7616" s="4" t="str">
        <f>IFERROR(__xludf.DUMMYFUNCTION("""COMPUTED_VALUE"""),"null")</f>
        <v>null</v>
      </c>
      <c r="P7616" s="33">
        <f>IFERROR(__xludf.DUMMYFUNCTION("""COMPUTED_VALUE"""),0.5)</f>
        <v>0.5</v>
      </c>
      <c r="Q7616" s="4" t="str">
        <f>IFERROR(__xludf.DUMMYFUNCTION("""COMPUTED_VALUE"""),"null")</f>
        <v>null</v>
      </c>
      <c r="R7616" s="33">
        <f>IFERROR(__xludf.DUMMYFUNCTION("""COMPUTED_VALUE"""),1.0)</f>
        <v>1</v>
      </c>
      <c r="S7616" s="4" t="str">
        <f>IFERROR(__xludf.DUMMYFUNCTION("""COMPUTED_VALUE"""),"null")</f>
        <v>null</v>
      </c>
      <c r="T7616" s="33">
        <f>IFERROR(__xludf.DUMMYFUNCTION("""COMPUTED_VALUE"""),1.0)</f>
        <v>1</v>
      </c>
      <c r="U7616" s="4" t="str">
        <f>IFERROR(__xludf.DUMMYFUNCTION("""COMPUTED_VALUE"""),"null")</f>
        <v>null</v>
      </c>
      <c r="V7616" s="33">
        <f>IFERROR(__xludf.DUMMYFUNCTION("""COMPUTED_VALUE"""),1.0)</f>
        <v>1</v>
      </c>
      <c r="W7616" s="4" t="str">
        <f>IFERROR(__xludf.DUMMYFUNCTION("""COMPUTED_VALUE"""),"null")</f>
        <v>null</v>
      </c>
      <c r="X7616" s="33">
        <f>IFERROR(__xludf.DUMMYFUNCTION("""COMPUTED_VALUE"""),1.0)</f>
        <v>1</v>
      </c>
    </row>
    <row r="7617">
      <c r="K7617" s="4" t="str">
        <f>IFERROR(__xludf.DUMMYFUNCTION("""COMPUTED_VALUE"""),"PAULISTANOS PIZZARIA - SC")</f>
        <v>PAULISTANOS PIZZARIA - SC</v>
      </c>
      <c r="L7617" s="32">
        <f>IFERROR(__xludf.DUMMYFUNCTION("""COMPUTED_VALUE"""),2.0)</f>
        <v>2</v>
      </c>
      <c r="M7617" s="4" t="str">
        <f>IFERROR(__xludf.DUMMYFUNCTION("""COMPUTED_VALUE"""),"Cardápio Web")</f>
        <v>Cardápio Web</v>
      </c>
      <c r="N7617" s="33">
        <f>IFERROR(__xludf.DUMMYFUNCTION("""COMPUTED_VALUE"""),1.0)</f>
        <v>1</v>
      </c>
      <c r="O7617" s="4" t="str">
        <f>IFERROR(__xludf.DUMMYFUNCTION("""COMPUTED_VALUE"""),"Cardápio Web")</f>
        <v>Cardápio Web</v>
      </c>
      <c r="P7617" s="33">
        <f>IFERROR(__xludf.DUMMYFUNCTION("""COMPUTED_VALUE"""),1.0)</f>
        <v>1</v>
      </c>
      <c r="Q7617" s="4" t="str">
        <f>IFERROR(__xludf.DUMMYFUNCTION("""COMPUTED_VALUE"""),"Cardápio Web")</f>
        <v>Cardápio Web</v>
      </c>
      <c r="R7617" s="33">
        <f>IFERROR(__xludf.DUMMYFUNCTION("""COMPUTED_VALUE"""),1.0)</f>
        <v>1</v>
      </c>
      <c r="S7617" s="4" t="str">
        <f>IFERROR(__xludf.DUMMYFUNCTION("""COMPUTED_VALUE"""),"Cardápio Web")</f>
        <v>Cardápio Web</v>
      </c>
      <c r="T7617" s="33">
        <f>IFERROR(__xludf.DUMMYFUNCTION("""COMPUTED_VALUE"""),1.0)</f>
        <v>1</v>
      </c>
      <c r="U7617" s="4" t="str">
        <f>IFERROR(__xludf.DUMMYFUNCTION("""COMPUTED_VALUE"""),"Cardápio Web")</f>
        <v>Cardápio Web</v>
      </c>
      <c r="V7617" s="33">
        <f>IFERROR(__xludf.DUMMYFUNCTION("""COMPUTED_VALUE"""),1.0)</f>
        <v>1</v>
      </c>
      <c r="W7617" s="4" t="str">
        <f>IFERROR(__xludf.DUMMYFUNCTION("""COMPUTED_VALUE"""),"Cardápio Web")</f>
        <v>Cardápio Web</v>
      </c>
      <c r="X7617" s="33">
        <f>IFERROR(__xludf.DUMMYFUNCTION("""COMPUTED_VALUE"""),1.0)</f>
        <v>1</v>
      </c>
    </row>
    <row r="7618">
      <c r="K7618" s="4" t="str">
        <f>IFERROR(__xludf.DUMMYFUNCTION("""COMPUTED_VALUE"""),"PE DE VITAMINA JARDIM DOS ESTADOS - CAMPO GRANDE MS")</f>
        <v>PE DE VITAMINA JARDIM DOS ESTADOS - CAMPO GRANDE MS</v>
      </c>
      <c r="L7618" s="32">
        <f>IFERROR(__xludf.DUMMYFUNCTION("""COMPUTED_VALUE"""),2.0)</f>
        <v>2</v>
      </c>
      <c r="M7618" s="4" t="str">
        <f>IFERROR(__xludf.DUMMYFUNCTION("""COMPUTED_VALUE"""),"Saipos Serviços De Software")</f>
        <v>Saipos Serviços De Software</v>
      </c>
      <c r="N7618" s="33">
        <f>IFERROR(__xludf.DUMMYFUNCTION("""COMPUTED_VALUE"""),0.5)</f>
        <v>0.5</v>
      </c>
      <c r="O7618" s="4" t="str">
        <f>IFERROR(__xludf.DUMMYFUNCTION("""COMPUTED_VALUE"""),"Saipos Serviços De Software")</f>
        <v>Saipos Serviços De Software</v>
      </c>
      <c r="P7618" s="33">
        <f>IFERROR(__xludf.DUMMYFUNCTION("""COMPUTED_VALUE"""),0.5)</f>
        <v>0.5</v>
      </c>
      <c r="Q7618" s="4" t="str">
        <f>IFERROR(__xludf.DUMMYFUNCTION("""COMPUTED_VALUE"""),"Saipos Serviços De Software")</f>
        <v>Saipos Serviços De Software</v>
      </c>
      <c r="R7618" s="33">
        <f>IFERROR(__xludf.DUMMYFUNCTION("""COMPUTED_VALUE"""),0.5)</f>
        <v>0.5</v>
      </c>
      <c r="S7618" s="4" t="str">
        <f>IFERROR(__xludf.DUMMYFUNCTION("""COMPUTED_VALUE"""),"Saipos Serviços De Software")</f>
        <v>Saipos Serviços De Software</v>
      </c>
      <c r="T7618" s="33">
        <f>IFERROR(__xludf.DUMMYFUNCTION("""COMPUTED_VALUE"""),0.5)</f>
        <v>0.5</v>
      </c>
      <c r="U7618" s="4" t="str">
        <f>IFERROR(__xludf.DUMMYFUNCTION("""COMPUTED_VALUE"""),"Saipos Serviços De Software")</f>
        <v>Saipos Serviços De Software</v>
      </c>
      <c r="V7618" s="33">
        <f>IFERROR(__xludf.DUMMYFUNCTION("""COMPUTED_VALUE"""),0.5)</f>
        <v>0.5</v>
      </c>
      <c r="W7618" s="4" t="str">
        <f>IFERROR(__xludf.DUMMYFUNCTION("""COMPUTED_VALUE"""),"Saipos Serviços De Software")</f>
        <v>Saipos Serviços De Software</v>
      </c>
      <c r="X7618" s="33">
        <f>IFERROR(__xludf.DUMMYFUNCTION("""COMPUTED_VALUE"""),0.5)</f>
        <v>0.5</v>
      </c>
    </row>
    <row r="7619">
      <c r="K7619" s="4" t="str">
        <f>IFERROR(__xludf.DUMMYFUNCTION("""COMPUTED_VALUE"""),"PELAS PANELAS JARDIM")</f>
        <v>PELAS PANELAS JARDIM</v>
      </c>
      <c r="L7619" s="32">
        <f>IFERROR(__xludf.DUMMYFUNCTION("""COMPUTED_VALUE"""),2.0)</f>
        <v>2</v>
      </c>
      <c r="M7619" s="4" t="str">
        <f>IFERROR(__xludf.DUMMYFUNCTION("""COMPUTED_VALUE"""),"Saipos Serviços De Software")</f>
        <v>Saipos Serviços De Software</v>
      </c>
      <c r="N7619" s="33">
        <f>IFERROR(__xludf.DUMMYFUNCTION("""COMPUTED_VALUE"""),1.0)</f>
        <v>1</v>
      </c>
      <c r="O7619" s="4" t="str">
        <f>IFERROR(__xludf.DUMMYFUNCTION("""COMPUTED_VALUE"""),"Saipos Serviços De Software")</f>
        <v>Saipos Serviços De Software</v>
      </c>
      <c r="P7619" s="33">
        <f>IFERROR(__xludf.DUMMYFUNCTION("""COMPUTED_VALUE"""),1.0)</f>
        <v>1</v>
      </c>
      <c r="Q7619" s="4" t="str">
        <f>IFERROR(__xludf.DUMMYFUNCTION("""COMPUTED_VALUE"""),"Saipos Serviços De Software")</f>
        <v>Saipos Serviços De Software</v>
      </c>
      <c r="R7619" s="33">
        <f>IFERROR(__xludf.DUMMYFUNCTION("""COMPUTED_VALUE"""),1.0)</f>
        <v>1</v>
      </c>
      <c r="S7619" s="4" t="str">
        <f>IFERROR(__xludf.DUMMYFUNCTION("""COMPUTED_VALUE"""),"Saipos Serviços De Software")</f>
        <v>Saipos Serviços De Software</v>
      </c>
      <c r="T7619" s="33">
        <f>IFERROR(__xludf.DUMMYFUNCTION("""COMPUTED_VALUE"""),1.0)</f>
        <v>1</v>
      </c>
      <c r="U7619" s="4" t="str">
        <f>IFERROR(__xludf.DUMMYFUNCTION("""COMPUTED_VALUE"""),"Saipos Serviços De Software")</f>
        <v>Saipos Serviços De Software</v>
      </c>
      <c r="V7619" s="33">
        <f>IFERROR(__xludf.DUMMYFUNCTION("""COMPUTED_VALUE"""),1.0)</f>
        <v>1</v>
      </c>
      <c r="W7619" s="4" t="str">
        <f>IFERROR(__xludf.DUMMYFUNCTION("""COMPUTED_VALUE"""),"Saipos Serviços De Software")</f>
        <v>Saipos Serviços De Software</v>
      </c>
      <c r="X7619" s="33">
        <f>IFERROR(__xludf.DUMMYFUNCTION("""COMPUTED_VALUE"""),1.0)</f>
        <v>1</v>
      </c>
    </row>
    <row r="7620">
      <c r="K7620" s="4" t="str">
        <f>IFERROR(__xludf.DUMMYFUNCTION("""COMPUTED_VALUE"""),"PEREQUE ACAI - A SUA PRAIA - SOROCABA")</f>
        <v>PEREQUE ACAI - A SUA PRAIA - SOROCABA</v>
      </c>
      <c r="L7620" s="32">
        <f>IFERROR(__xludf.DUMMYFUNCTION("""COMPUTED_VALUE"""),2.0)</f>
        <v>2</v>
      </c>
      <c r="M7620" s="4" t="str">
        <f>IFERROR(__xludf.DUMMYFUNCTION("""COMPUTED_VALUE"""),"Beefood - Sistema Para Restaurantes")</f>
        <v>Beefood - Sistema Para Restaurantes</v>
      </c>
      <c r="N7620" s="33">
        <f>IFERROR(__xludf.DUMMYFUNCTION("""COMPUTED_VALUE"""),1.0)</f>
        <v>1</v>
      </c>
      <c r="O7620" s="4" t="str">
        <f>IFERROR(__xludf.DUMMYFUNCTION("""COMPUTED_VALUE"""),"Beefood - Sistema Para Restaurantes")</f>
        <v>Beefood - Sistema Para Restaurantes</v>
      </c>
      <c r="P7620" s="33">
        <f>IFERROR(__xludf.DUMMYFUNCTION("""COMPUTED_VALUE"""),1.0)</f>
        <v>1</v>
      </c>
      <c r="Q7620" s="4" t="str">
        <f>IFERROR(__xludf.DUMMYFUNCTION("""COMPUTED_VALUE"""),"Beefood - Sistema Para Restaurantes")</f>
        <v>Beefood - Sistema Para Restaurantes</v>
      </c>
      <c r="R7620" s="33">
        <f>IFERROR(__xludf.DUMMYFUNCTION("""COMPUTED_VALUE"""),1.0)</f>
        <v>1</v>
      </c>
      <c r="S7620" s="4" t="str">
        <f>IFERROR(__xludf.DUMMYFUNCTION("""COMPUTED_VALUE"""),"Beefood - Sistema Para Restaurantes")</f>
        <v>Beefood - Sistema Para Restaurantes</v>
      </c>
      <c r="T7620" s="33">
        <f>IFERROR(__xludf.DUMMYFUNCTION("""COMPUTED_VALUE"""),1.0)</f>
        <v>1</v>
      </c>
      <c r="U7620" s="4" t="str">
        <f>IFERROR(__xludf.DUMMYFUNCTION("""COMPUTED_VALUE"""),"Beefood - Sistema Para Restaurantes")</f>
        <v>Beefood - Sistema Para Restaurantes</v>
      </c>
      <c r="V7620" s="33">
        <f>IFERROR(__xludf.DUMMYFUNCTION("""COMPUTED_VALUE"""),1.0)</f>
        <v>1</v>
      </c>
      <c r="W7620" s="4" t="str">
        <f>IFERROR(__xludf.DUMMYFUNCTION("""COMPUTED_VALUE"""),"Beefood - Sistema Para Restaurantes")</f>
        <v>Beefood - Sistema Para Restaurantes</v>
      </c>
      <c r="X7620" s="33">
        <f>IFERROR(__xludf.DUMMYFUNCTION("""COMPUTED_VALUE"""),0.5)</f>
        <v>0.5</v>
      </c>
    </row>
    <row r="7621">
      <c r="K7621" s="4" t="str">
        <f>IFERROR(__xludf.DUMMYFUNCTION("""COMPUTED_VALUE"""),"PEREZ FOOD HOUSE - CP")</f>
        <v>PEREZ FOOD HOUSE - CP</v>
      </c>
      <c r="L7621" s="32">
        <f>IFERROR(__xludf.DUMMYFUNCTION("""COMPUTED_VALUE"""),2.0)</f>
        <v>2</v>
      </c>
      <c r="M7621" s="4" t="str">
        <f>IFERROR(__xludf.DUMMYFUNCTION("""COMPUTED_VALUE"""),"Anota Ai Solucoes Digitais S/a")</f>
        <v>Anota Ai Solucoes Digitais S/a</v>
      </c>
      <c r="N7621" s="33">
        <f>IFERROR(__xludf.DUMMYFUNCTION("""COMPUTED_VALUE"""),1.0)</f>
        <v>1</v>
      </c>
      <c r="O7621" s="4" t="str">
        <f>IFERROR(__xludf.DUMMYFUNCTION("""COMPUTED_VALUE"""),"Anota Ai Solucoes Digitais S/a")</f>
        <v>Anota Ai Solucoes Digitais S/a</v>
      </c>
      <c r="P7621" s="33">
        <f>IFERROR(__xludf.DUMMYFUNCTION("""COMPUTED_VALUE"""),1.0)</f>
        <v>1</v>
      </c>
      <c r="Q7621" s="4" t="str">
        <f>IFERROR(__xludf.DUMMYFUNCTION("""COMPUTED_VALUE"""),"Anota Ai Solucoes Digitais S/a")</f>
        <v>Anota Ai Solucoes Digitais S/a</v>
      </c>
      <c r="R7621" s="33">
        <f>IFERROR(__xludf.DUMMYFUNCTION("""COMPUTED_VALUE"""),1.0)</f>
        <v>1</v>
      </c>
      <c r="S7621" s="4" t="str">
        <f>IFERROR(__xludf.DUMMYFUNCTION("""COMPUTED_VALUE"""),"Anota Ai Solucoes Digitais S/a")</f>
        <v>Anota Ai Solucoes Digitais S/a</v>
      </c>
      <c r="T7621" s="33">
        <f>IFERROR(__xludf.DUMMYFUNCTION("""COMPUTED_VALUE"""),1.0)</f>
        <v>1</v>
      </c>
      <c r="U7621" s="4" t="str">
        <f>IFERROR(__xludf.DUMMYFUNCTION("""COMPUTED_VALUE"""),"Anota Ai Solucoes Digitais S/a")</f>
        <v>Anota Ai Solucoes Digitais S/a</v>
      </c>
      <c r="V7621" s="33">
        <f>IFERROR(__xludf.DUMMYFUNCTION("""COMPUTED_VALUE"""),1.0)</f>
        <v>1</v>
      </c>
      <c r="W7621" s="4" t="str">
        <f>IFERROR(__xludf.DUMMYFUNCTION("""COMPUTED_VALUE"""),"Anota Ai Solucoes Digitais S/a")</f>
        <v>Anota Ai Solucoes Digitais S/a</v>
      </c>
      <c r="X7621" s="33">
        <f>IFERROR(__xludf.DUMMYFUNCTION("""COMPUTED_VALUE"""),1.0)</f>
        <v>1</v>
      </c>
    </row>
    <row r="7622">
      <c r="K7622" s="4" t="str">
        <f>IFERROR(__xludf.DUMMYFUNCTION("""COMPUTED_VALUE"""),"PERUZZO SUPERMERCADOS - CONTA PAI")</f>
        <v>PERUZZO SUPERMERCADOS - CONTA PAI</v>
      </c>
      <c r="L7622" s="32">
        <f>IFERROR(__xludf.DUMMYFUNCTION("""COMPUTED_VALUE"""),2.0)</f>
        <v>2</v>
      </c>
      <c r="M7622" s="4" t="str">
        <f>IFERROR(__xludf.DUMMYFUNCTION("""COMPUTED_VALUE"""),"N/A (Not found)")</f>
        <v>N/A (Not found)</v>
      </c>
      <c r="N7622" s="33">
        <f>IFERROR(__xludf.DUMMYFUNCTION("""COMPUTED_VALUE"""),1.0)</f>
        <v>1</v>
      </c>
      <c r="O7622" s="4" t="str">
        <f>IFERROR(__xludf.DUMMYFUNCTION("""COMPUTED_VALUE"""),"N/A (Not found)")</f>
        <v>N/A (Not found)</v>
      </c>
      <c r="P7622" s="33">
        <f>IFERROR(__xludf.DUMMYFUNCTION("""COMPUTED_VALUE"""),1.0)</f>
        <v>1</v>
      </c>
      <c r="Q7622" s="4" t="str">
        <f>IFERROR(__xludf.DUMMYFUNCTION("""COMPUTED_VALUE"""),"N/A (Not found)")</f>
        <v>N/A (Not found)</v>
      </c>
      <c r="R7622" s="33">
        <f>IFERROR(__xludf.DUMMYFUNCTION("""COMPUTED_VALUE"""),1.0)</f>
        <v>1</v>
      </c>
      <c r="S7622" s="4" t="str">
        <f>IFERROR(__xludf.DUMMYFUNCTION("""COMPUTED_VALUE"""),"N/A (Not found)")</f>
        <v>N/A (Not found)</v>
      </c>
      <c r="T7622" s="33">
        <f>IFERROR(__xludf.DUMMYFUNCTION("""COMPUTED_VALUE"""),1.0)</f>
        <v>1</v>
      </c>
      <c r="U7622" s="4" t="str">
        <f>IFERROR(__xludf.DUMMYFUNCTION("""COMPUTED_VALUE"""),"N/A (Not found)")</f>
        <v>N/A (Not found)</v>
      </c>
      <c r="V7622" s="33">
        <f>IFERROR(__xludf.DUMMYFUNCTION("""COMPUTED_VALUE"""),1.0)</f>
        <v>1</v>
      </c>
      <c r="W7622" s="4" t="str">
        <f>IFERROR(__xludf.DUMMYFUNCTION("""COMPUTED_VALUE"""),"N/A (Not found)")</f>
        <v>N/A (Not found)</v>
      </c>
      <c r="X7622" s="33">
        <f>IFERROR(__xludf.DUMMYFUNCTION("""COMPUTED_VALUE"""),1.0)</f>
        <v>1</v>
      </c>
    </row>
    <row r="7623">
      <c r="K7623" s="4" t="str">
        <f>IFERROR(__xludf.DUMMYFUNCTION("""COMPUTED_VALUE"""),"PET ESPACO - CONTA PAI - LOJAS PROPRIAS")</f>
        <v>PET ESPACO - CONTA PAI - LOJAS PROPRIAS</v>
      </c>
      <c r="L7623" s="32">
        <f>IFERROR(__xludf.DUMMYFUNCTION("""COMPUTED_VALUE"""),2.0)</f>
        <v>2</v>
      </c>
      <c r="M7623" s="4" t="str">
        <f>IFERROR(__xludf.DUMMYFUNCTION("""COMPUTED_VALUE"""),"N/A (Not found)")</f>
        <v>N/A (Not found)</v>
      </c>
      <c r="N7623" s="33">
        <f>IFERROR(__xludf.DUMMYFUNCTION("""COMPUTED_VALUE"""),1.0)</f>
        <v>1</v>
      </c>
      <c r="O7623" s="4" t="str">
        <f>IFERROR(__xludf.DUMMYFUNCTION("""COMPUTED_VALUE"""),"N/A (Not found)")</f>
        <v>N/A (Not found)</v>
      </c>
      <c r="P7623" s="33">
        <f>IFERROR(__xludf.DUMMYFUNCTION("""COMPUTED_VALUE"""),1.0)</f>
        <v>1</v>
      </c>
      <c r="Q7623" s="4" t="str">
        <f>IFERROR(__xludf.DUMMYFUNCTION("""COMPUTED_VALUE"""),"N/A (Not found)")</f>
        <v>N/A (Not found)</v>
      </c>
      <c r="R7623" s="33">
        <f>IFERROR(__xludf.DUMMYFUNCTION("""COMPUTED_VALUE"""),1.0)</f>
        <v>1</v>
      </c>
      <c r="S7623" s="4" t="str">
        <f>IFERROR(__xludf.DUMMYFUNCTION("""COMPUTED_VALUE"""),"N/A (Not found)")</f>
        <v>N/A (Not found)</v>
      </c>
      <c r="T7623" s="33">
        <f>IFERROR(__xludf.DUMMYFUNCTION("""COMPUTED_VALUE"""),1.0)</f>
        <v>1</v>
      </c>
      <c r="U7623" s="4" t="str">
        <f>IFERROR(__xludf.DUMMYFUNCTION("""COMPUTED_VALUE"""),"N/A (Not found)")</f>
        <v>N/A (Not found)</v>
      </c>
      <c r="V7623" s="33">
        <f>IFERROR(__xludf.DUMMYFUNCTION("""COMPUTED_VALUE"""),1.0)</f>
        <v>1</v>
      </c>
      <c r="W7623" s="4" t="str">
        <f>IFERROR(__xludf.DUMMYFUNCTION("""COMPUTED_VALUE"""),"N/A (Not found)")</f>
        <v>N/A (Not found)</v>
      </c>
      <c r="X7623" s="33">
        <f>IFERROR(__xludf.DUMMYFUNCTION("""COMPUTED_VALUE"""),1.0)</f>
        <v>1</v>
      </c>
    </row>
    <row r="7624">
      <c r="K7624" s="4" t="str">
        <f>IFERROR(__xludf.DUMMYFUNCTION("""COMPUTED_VALUE"""),"PET NATURAL - MARCA")</f>
        <v>PET NATURAL - MARCA</v>
      </c>
      <c r="L7624" s="32">
        <f>IFERROR(__xludf.DUMMYFUNCTION("""COMPUTED_VALUE"""),2.0)</f>
        <v>2</v>
      </c>
      <c r="M7624" s="4" t="str">
        <f>IFERROR(__xludf.DUMMYFUNCTION("""COMPUTED_VALUE"""),"null")</f>
        <v>null</v>
      </c>
      <c r="N7624" s="33">
        <f>IFERROR(__xludf.DUMMYFUNCTION("""COMPUTED_VALUE"""),1.0)</f>
        <v>1</v>
      </c>
      <c r="O7624" s="4" t="str">
        <f>IFERROR(__xludf.DUMMYFUNCTION("""COMPUTED_VALUE"""),"N/A (Not found)")</f>
        <v>N/A (Not found)</v>
      </c>
      <c r="P7624" s="33">
        <f>IFERROR(__xludf.DUMMYFUNCTION("""COMPUTED_VALUE"""),0.5)</f>
        <v>0.5</v>
      </c>
      <c r="Q7624" s="4" t="str">
        <f>IFERROR(__xludf.DUMMYFUNCTION("""COMPUTED_VALUE"""),"null")</f>
        <v>null</v>
      </c>
      <c r="R7624" s="33">
        <f>IFERROR(__xludf.DUMMYFUNCTION("""COMPUTED_VALUE"""),0.5)</f>
        <v>0.5</v>
      </c>
      <c r="S7624" s="4" t="str">
        <f>IFERROR(__xludf.DUMMYFUNCTION("""COMPUTED_VALUE"""),"N/A (Not found)")</f>
        <v>N/A (Not found)</v>
      </c>
      <c r="T7624" s="33">
        <f>IFERROR(__xludf.DUMMYFUNCTION("""COMPUTED_VALUE"""),0.5)</f>
        <v>0.5</v>
      </c>
      <c r="U7624" s="4" t="str">
        <f>IFERROR(__xludf.DUMMYFUNCTION("""COMPUTED_VALUE"""),"N/A (Not found)")</f>
        <v>N/A (Not found)</v>
      </c>
      <c r="V7624" s="33">
        <f>IFERROR(__xludf.DUMMYFUNCTION("""COMPUTED_VALUE"""),0.5)</f>
        <v>0.5</v>
      </c>
      <c r="W7624" s="4" t="str">
        <f>IFERROR(__xludf.DUMMYFUNCTION("""COMPUTED_VALUE"""),"N/A (Not found)")</f>
        <v>N/A (Not found)</v>
      </c>
      <c r="X7624" s="33">
        <f>IFERROR(__xludf.DUMMYFUNCTION("""COMPUTED_VALUE"""),0.5)</f>
        <v>0.5</v>
      </c>
    </row>
    <row r="7625">
      <c r="K7625" s="4" t="str">
        <f>IFERROR(__xludf.DUMMYFUNCTION("""COMPUTED_VALUE"""),"PET RAMOS - MARCA")</f>
        <v>PET RAMOS - MARCA</v>
      </c>
      <c r="L7625" s="32">
        <f>IFERROR(__xludf.DUMMYFUNCTION("""COMPUTED_VALUE"""),2.0)</f>
        <v>2</v>
      </c>
      <c r="M7625" s="4" t="str">
        <f>IFERROR(__xludf.DUMMYFUNCTION("""COMPUTED_VALUE"""),"N/A (Not found)")</f>
        <v>N/A (Not found)</v>
      </c>
      <c r="N7625" s="33">
        <f>IFERROR(__xludf.DUMMYFUNCTION("""COMPUTED_VALUE"""),1.0)</f>
        <v>1</v>
      </c>
      <c r="O7625" s="4" t="str">
        <f>IFERROR(__xludf.DUMMYFUNCTION("""COMPUTED_VALUE"""),"N/A (Not found)")</f>
        <v>N/A (Not found)</v>
      </c>
      <c r="P7625" s="33">
        <f>IFERROR(__xludf.DUMMYFUNCTION("""COMPUTED_VALUE"""),1.0)</f>
        <v>1</v>
      </c>
      <c r="Q7625" s="4" t="str">
        <f>IFERROR(__xludf.DUMMYFUNCTION("""COMPUTED_VALUE"""),"N/A (Not found)")</f>
        <v>N/A (Not found)</v>
      </c>
      <c r="R7625" s="33">
        <f>IFERROR(__xludf.DUMMYFUNCTION("""COMPUTED_VALUE"""),1.0)</f>
        <v>1</v>
      </c>
      <c r="S7625" s="4" t="str">
        <f>IFERROR(__xludf.DUMMYFUNCTION("""COMPUTED_VALUE"""),"N/A (Not found)")</f>
        <v>N/A (Not found)</v>
      </c>
      <c r="T7625" s="33">
        <f>IFERROR(__xludf.DUMMYFUNCTION("""COMPUTED_VALUE"""),1.0)</f>
        <v>1</v>
      </c>
      <c r="U7625" s="4" t="str">
        <f>IFERROR(__xludf.DUMMYFUNCTION("""COMPUTED_VALUE"""),"N/A (Not found)")</f>
        <v>N/A (Not found)</v>
      </c>
      <c r="V7625" s="33">
        <f>IFERROR(__xludf.DUMMYFUNCTION("""COMPUTED_VALUE"""),1.0)</f>
        <v>1</v>
      </c>
      <c r="W7625" s="4" t="str">
        <f>IFERROR(__xludf.DUMMYFUNCTION("""COMPUTED_VALUE"""),"N/A (Not found)")</f>
        <v>N/A (Not found)</v>
      </c>
      <c r="X7625" s="33">
        <f>IFERROR(__xludf.DUMMYFUNCTION("""COMPUTED_VALUE"""),1.0)</f>
        <v>1</v>
      </c>
    </row>
    <row r="7626">
      <c r="K7626" s="4" t="str">
        <f>IFERROR(__xludf.DUMMYFUNCTION("""COMPUTED_VALUE"""),"PET UNIAO - MARCA")</f>
        <v>PET UNIAO - MARCA</v>
      </c>
      <c r="L7626" s="32">
        <f>IFERROR(__xludf.DUMMYFUNCTION("""COMPUTED_VALUE"""),2.0)</f>
        <v>2</v>
      </c>
      <c r="M7626" s="4" t="str">
        <f>IFERROR(__xludf.DUMMYFUNCTION("""COMPUTED_VALUE"""),"N/A (Not found)")</f>
        <v>N/A (Not found)</v>
      </c>
      <c r="N7626" s="33">
        <f>IFERROR(__xludf.DUMMYFUNCTION("""COMPUTED_VALUE"""),1.0)</f>
        <v>1</v>
      </c>
      <c r="O7626" s="4" t="str">
        <f>IFERROR(__xludf.DUMMYFUNCTION("""COMPUTED_VALUE"""),"N/A (Not found)")</f>
        <v>N/A (Not found)</v>
      </c>
      <c r="P7626" s="33">
        <f>IFERROR(__xludf.DUMMYFUNCTION("""COMPUTED_VALUE"""),1.0)</f>
        <v>1</v>
      </c>
      <c r="Q7626" s="4" t="str">
        <f>IFERROR(__xludf.DUMMYFUNCTION("""COMPUTED_VALUE"""),"N/A (Not found)")</f>
        <v>N/A (Not found)</v>
      </c>
      <c r="R7626" s="33">
        <f>IFERROR(__xludf.DUMMYFUNCTION("""COMPUTED_VALUE"""),1.0)</f>
        <v>1</v>
      </c>
      <c r="S7626" s="4" t="str">
        <f>IFERROR(__xludf.DUMMYFUNCTION("""COMPUTED_VALUE"""),"N/A (Not found)")</f>
        <v>N/A (Not found)</v>
      </c>
      <c r="T7626" s="33">
        <f>IFERROR(__xludf.DUMMYFUNCTION("""COMPUTED_VALUE"""),1.0)</f>
        <v>1</v>
      </c>
      <c r="U7626" s="4" t="str">
        <f>IFERROR(__xludf.DUMMYFUNCTION("""COMPUTED_VALUE"""),"N/A (Not found)")</f>
        <v>N/A (Not found)</v>
      </c>
      <c r="V7626" s="33">
        <f>IFERROR(__xludf.DUMMYFUNCTION("""COMPUTED_VALUE"""),1.0)</f>
        <v>1</v>
      </c>
      <c r="W7626" s="4" t="str">
        <f>IFERROR(__xludf.DUMMYFUNCTION("""COMPUTED_VALUE"""),"N/A (Not found)")</f>
        <v>N/A (Not found)</v>
      </c>
      <c r="X7626" s="33">
        <f>IFERROR(__xludf.DUMMYFUNCTION("""COMPUTED_VALUE"""),1.0)</f>
        <v>1</v>
      </c>
    </row>
    <row r="7627">
      <c r="K7627" s="4" t="str">
        <f>IFERROR(__xludf.DUMMYFUNCTION("""COMPUTED_VALUE"""),"PETMAIS - MARCA")</f>
        <v>PETMAIS - MARCA</v>
      </c>
      <c r="L7627" s="32">
        <f>IFERROR(__xludf.DUMMYFUNCTION("""COMPUTED_VALUE"""),2.0)</f>
        <v>2</v>
      </c>
      <c r="M7627" s="4" t="str">
        <f>IFERROR(__xludf.DUMMYFUNCTION("""COMPUTED_VALUE"""),"null")</f>
        <v>null</v>
      </c>
      <c r="N7627" s="33">
        <f>IFERROR(__xludf.DUMMYFUNCTION("""COMPUTED_VALUE"""),0.5)</f>
        <v>0.5</v>
      </c>
      <c r="O7627" s="4" t="str">
        <f>IFERROR(__xludf.DUMMYFUNCTION("""COMPUTED_VALUE"""),"N/A (Not found)")</f>
        <v>N/A (Not found)</v>
      </c>
      <c r="P7627" s="33">
        <f>IFERROR(__xludf.DUMMYFUNCTION("""COMPUTED_VALUE"""),1.0)</f>
        <v>1</v>
      </c>
      <c r="Q7627" s="4" t="str">
        <f>IFERROR(__xludf.DUMMYFUNCTION("""COMPUTED_VALUE"""),"N/A (Not found)")</f>
        <v>N/A (Not found)</v>
      </c>
      <c r="R7627" s="33">
        <f>IFERROR(__xludf.DUMMYFUNCTION("""COMPUTED_VALUE"""),1.0)</f>
        <v>1</v>
      </c>
      <c r="S7627" s="4" t="str">
        <f>IFERROR(__xludf.DUMMYFUNCTION("""COMPUTED_VALUE"""),"N/A (Not found)")</f>
        <v>N/A (Not found)</v>
      </c>
      <c r="T7627" s="33">
        <f>IFERROR(__xludf.DUMMYFUNCTION("""COMPUTED_VALUE"""),1.0)</f>
        <v>1</v>
      </c>
      <c r="U7627" s="4" t="str">
        <f>IFERROR(__xludf.DUMMYFUNCTION("""COMPUTED_VALUE"""),"N/A (Not found)")</f>
        <v>N/A (Not found)</v>
      </c>
      <c r="V7627" s="33">
        <f>IFERROR(__xludf.DUMMYFUNCTION("""COMPUTED_VALUE"""),1.0)</f>
        <v>1</v>
      </c>
      <c r="W7627" s="4" t="str">
        <f>IFERROR(__xludf.DUMMYFUNCTION("""COMPUTED_VALUE"""),"N/A (Not found)")</f>
        <v>N/A (Not found)</v>
      </c>
      <c r="X7627" s="33">
        <f>IFERROR(__xludf.DUMMYFUNCTION("""COMPUTED_VALUE"""),1.0)</f>
        <v>1</v>
      </c>
    </row>
    <row r="7628">
      <c r="K7628" s="4" t="str">
        <f>IFERROR(__xludf.DUMMYFUNCTION("""COMPUTED_VALUE"""),"PHOENIX FARMACIA - CONTA MARCA")</f>
        <v>PHOENIX FARMACIA - CONTA MARCA</v>
      </c>
      <c r="L7628" s="32">
        <f>IFERROR(__xludf.DUMMYFUNCTION("""COMPUTED_VALUE"""),2.0)</f>
        <v>2</v>
      </c>
      <c r="M7628" s="4" t="str">
        <f>IFERROR(__xludf.DUMMYFUNCTION("""COMPUTED_VALUE"""),"N/A (Not found)")</f>
        <v>N/A (Not found)</v>
      </c>
      <c r="N7628" s="33">
        <f>IFERROR(__xludf.DUMMYFUNCTION("""COMPUTED_VALUE"""),1.0)</f>
        <v>1</v>
      </c>
      <c r="O7628" s="4" t="str">
        <f>IFERROR(__xludf.DUMMYFUNCTION("""COMPUTED_VALUE"""),"null")</f>
        <v>null</v>
      </c>
      <c r="P7628" s="33">
        <f>IFERROR(__xludf.DUMMYFUNCTION("""COMPUTED_VALUE"""),1.0)</f>
        <v>1</v>
      </c>
      <c r="Q7628" s="4" t="str">
        <f>IFERROR(__xludf.DUMMYFUNCTION("""COMPUTED_VALUE"""),"null")</f>
        <v>null</v>
      </c>
      <c r="R7628" s="33">
        <f>IFERROR(__xludf.DUMMYFUNCTION("""COMPUTED_VALUE"""),1.0)</f>
        <v>1</v>
      </c>
      <c r="S7628" s="4" t="str">
        <f>IFERROR(__xludf.DUMMYFUNCTION("""COMPUTED_VALUE"""),"null")</f>
        <v>null</v>
      </c>
      <c r="T7628" s="33">
        <f>IFERROR(__xludf.DUMMYFUNCTION("""COMPUTED_VALUE"""),1.0)</f>
        <v>1</v>
      </c>
      <c r="U7628" s="4" t="str">
        <f>IFERROR(__xludf.DUMMYFUNCTION("""COMPUTED_VALUE"""),"null")</f>
        <v>null</v>
      </c>
      <c r="V7628" s="33">
        <f>IFERROR(__xludf.DUMMYFUNCTION("""COMPUTED_VALUE"""),1.0)</f>
        <v>1</v>
      </c>
      <c r="W7628" s="4" t="str">
        <f>IFERROR(__xludf.DUMMYFUNCTION("""COMPUTED_VALUE"""),"null")</f>
        <v>null</v>
      </c>
      <c r="X7628" s="33">
        <f>IFERROR(__xludf.DUMMYFUNCTION("""COMPUTED_VALUE"""),1.0)</f>
        <v>1</v>
      </c>
    </row>
    <row r="7629">
      <c r="K7629" s="4" t="str">
        <f>IFERROR(__xludf.DUMMYFUNCTION("""COMPUTED_VALUE"""),"PIADINA TREE")</f>
        <v>PIADINA TREE</v>
      </c>
      <c r="L7629" s="32">
        <f>IFERROR(__xludf.DUMMYFUNCTION("""COMPUTED_VALUE"""),2.0)</f>
        <v>2</v>
      </c>
      <c r="M7629" s="4" t="str">
        <f>IFERROR(__xludf.DUMMYFUNCTION("""COMPUTED_VALUE"""),"Ncr")</f>
        <v>Ncr</v>
      </c>
      <c r="N7629" s="33">
        <f>IFERROR(__xludf.DUMMYFUNCTION("""COMPUTED_VALUE"""),1.0)</f>
        <v>1</v>
      </c>
      <c r="O7629" s="4" t="str">
        <f>IFERROR(__xludf.DUMMYFUNCTION("""COMPUTED_VALUE"""),"Ncr")</f>
        <v>Ncr</v>
      </c>
      <c r="P7629" s="33">
        <f>IFERROR(__xludf.DUMMYFUNCTION("""COMPUTED_VALUE"""),1.0)</f>
        <v>1</v>
      </c>
      <c r="Q7629" s="4" t="str">
        <f>IFERROR(__xludf.DUMMYFUNCTION("""COMPUTED_VALUE"""),"Ncr")</f>
        <v>Ncr</v>
      </c>
      <c r="R7629" s="33">
        <f>IFERROR(__xludf.DUMMYFUNCTION("""COMPUTED_VALUE"""),1.0)</f>
        <v>1</v>
      </c>
      <c r="S7629" s="4" t="str">
        <f>IFERROR(__xludf.DUMMYFUNCTION("""COMPUTED_VALUE"""),"Ncr")</f>
        <v>Ncr</v>
      </c>
      <c r="T7629" s="33">
        <f>IFERROR(__xludf.DUMMYFUNCTION("""COMPUTED_VALUE"""),1.0)</f>
        <v>1</v>
      </c>
      <c r="U7629" s="4" t="str">
        <f>IFERROR(__xludf.DUMMYFUNCTION("""COMPUTED_VALUE"""),"Ncr")</f>
        <v>Ncr</v>
      </c>
      <c r="V7629" s="33">
        <f>IFERROR(__xludf.DUMMYFUNCTION("""COMPUTED_VALUE"""),1.0)</f>
        <v>1</v>
      </c>
      <c r="W7629" s="4" t="str">
        <f>IFERROR(__xludf.DUMMYFUNCTION("""COMPUTED_VALUE"""),"Ncr")</f>
        <v>Ncr</v>
      </c>
      <c r="X7629" s="33">
        <f>IFERROR(__xludf.DUMMYFUNCTION("""COMPUTED_VALUE"""),1.0)</f>
        <v>1</v>
      </c>
    </row>
    <row r="7630">
      <c r="K7630" s="4" t="str">
        <f>IFERROR(__xludf.DUMMYFUNCTION("""COMPUTED_VALUE"""),"PIADINA TREE - CONTA MARCA")</f>
        <v>PIADINA TREE - CONTA MARCA</v>
      </c>
      <c r="L7630" s="32">
        <f>IFERROR(__xludf.DUMMYFUNCTION("""COMPUTED_VALUE"""),2.0)</f>
        <v>2</v>
      </c>
      <c r="M7630" s="4" t="str">
        <f>IFERROR(__xludf.DUMMYFUNCTION("""COMPUTED_VALUE"""),"Ncr")</f>
        <v>Ncr</v>
      </c>
      <c r="N7630" s="33">
        <f>IFERROR(__xludf.DUMMYFUNCTION("""COMPUTED_VALUE"""),1.0)</f>
        <v>1</v>
      </c>
      <c r="O7630" s="4" t="str">
        <f>IFERROR(__xludf.DUMMYFUNCTION("""COMPUTED_VALUE"""),"Ncr")</f>
        <v>Ncr</v>
      </c>
      <c r="P7630" s="33">
        <f>IFERROR(__xludf.DUMMYFUNCTION("""COMPUTED_VALUE"""),1.0)</f>
        <v>1</v>
      </c>
      <c r="Q7630" s="4" t="str">
        <f>IFERROR(__xludf.DUMMYFUNCTION("""COMPUTED_VALUE"""),"Ncr")</f>
        <v>Ncr</v>
      </c>
      <c r="R7630" s="33">
        <f>IFERROR(__xludf.DUMMYFUNCTION("""COMPUTED_VALUE"""),1.0)</f>
        <v>1</v>
      </c>
      <c r="S7630" s="4" t="str">
        <f>IFERROR(__xludf.DUMMYFUNCTION("""COMPUTED_VALUE"""),"Ncr")</f>
        <v>Ncr</v>
      </c>
      <c r="T7630" s="33">
        <f>IFERROR(__xludf.DUMMYFUNCTION("""COMPUTED_VALUE"""),1.0)</f>
        <v>1</v>
      </c>
      <c r="U7630" s="4" t="str">
        <f>IFERROR(__xludf.DUMMYFUNCTION("""COMPUTED_VALUE"""),"Ncr")</f>
        <v>Ncr</v>
      </c>
      <c r="V7630" s="33">
        <f>IFERROR(__xludf.DUMMYFUNCTION("""COMPUTED_VALUE"""),1.0)</f>
        <v>1</v>
      </c>
      <c r="W7630" s="4" t="str">
        <f>IFERROR(__xludf.DUMMYFUNCTION("""COMPUTED_VALUE"""),"Ncr")</f>
        <v>Ncr</v>
      </c>
      <c r="X7630" s="33">
        <f>IFERROR(__xludf.DUMMYFUNCTION("""COMPUTED_VALUE"""),1.0)</f>
        <v>1</v>
      </c>
    </row>
    <row r="7631">
      <c r="K7631" s="4" t="str">
        <f>IFERROR(__xludf.DUMMYFUNCTION("""COMPUTED_VALUE"""),"PICADINHO CEARA- CONTA PAI")</f>
        <v>PICADINHO CEARA- CONTA PAI</v>
      </c>
      <c r="L7631" s="32">
        <f>IFERROR(__xludf.DUMMYFUNCTION("""COMPUTED_VALUE"""),2.0)</f>
        <v>2</v>
      </c>
      <c r="M7631" s="4" t="str">
        <f>IFERROR(__xludf.DUMMYFUNCTION("""COMPUTED_VALUE"""),"Eclética Tecnologia")</f>
        <v>Eclética Tecnologia</v>
      </c>
      <c r="N7631" s="33">
        <f>IFERROR(__xludf.DUMMYFUNCTION("""COMPUTED_VALUE"""),1.0)</f>
        <v>1</v>
      </c>
      <c r="O7631" s="4" t="str">
        <f>IFERROR(__xludf.DUMMYFUNCTION("""COMPUTED_VALUE"""),"Eclética Tecnologia")</f>
        <v>Eclética Tecnologia</v>
      </c>
      <c r="P7631" s="33">
        <f>IFERROR(__xludf.DUMMYFUNCTION("""COMPUTED_VALUE"""),1.0)</f>
        <v>1</v>
      </c>
      <c r="Q7631" s="4" t="str">
        <f>IFERROR(__xludf.DUMMYFUNCTION("""COMPUTED_VALUE"""),"Eclética Tecnologia")</f>
        <v>Eclética Tecnologia</v>
      </c>
      <c r="R7631" s="33">
        <f>IFERROR(__xludf.DUMMYFUNCTION("""COMPUTED_VALUE"""),1.0)</f>
        <v>1</v>
      </c>
      <c r="S7631" s="4" t="str">
        <f>IFERROR(__xludf.DUMMYFUNCTION("""COMPUTED_VALUE"""),"Eclética Tecnologia")</f>
        <v>Eclética Tecnologia</v>
      </c>
      <c r="T7631" s="33">
        <f>IFERROR(__xludf.DUMMYFUNCTION("""COMPUTED_VALUE"""),1.0)</f>
        <v>1</v>
      </c>
      <c r="U7631" s="4" t="str">
        <f>IFERROR(__xludf.DUMMYFUNCTION("""COMPUTED_VALUE"""),"Eclética Tecnologia")</f>
        <v>Eclética Tecnologia</v>
      </c>
      <c r="V7631" s="33">
        <f>IFERROR(__xludf.DUMMYFUNCTION("""COMPUTED_VALUE"""),1.0)</f>
        <v>1</v>
      </c>
      <c r="W7631" s="4" t="str">
        <f>IFERROR(__xludf.DUMMYFUNCTION("""COMPUTED_VALUE"""),"Eclética Tecnologia")</f>
        <v>Eclética Tecnologia</v>
      </c>
      <c r="X7631" s="33">
        <f>IFERROR(__xludf.DUMMYFUNCTION("""COMPUTED_VALUE"""),1.0)</f>
        <v>1</v>
      </c>
    </row>
    <row r="7632">
      <c r="K7632" s="4" t="str">
        <f>IFERROR(__xludf.DUMMYFUNCTION("""COMPUTED_VALUE"""),"PICANHA DO BASTOS")</f>
        <v>PICANHA DO BASTOS</v>
      </c>
      <c r="L7632" s="32">
        <f>IFERROR(__xludf.DUMMYFUNCTION("""COMPUTED_VALUE"""),2.0)</f>
        <v>2</v>
      </c>
      <c r="M7632" s="4" t="str">
        <f>IFERROR(__xludf.DUMMYFUNCTION("""COMPUTED_VALUE"""),"Jaxtech")</f>
        <v>Jaxtech</v>
      </c>
      <c r="N7632" s="33">
        <f>IFERROR(__xludf.DUMMYFUNCTION("""COMPUTED_VALUE"""),1.0)</f>
        <v>1</v>
      </c>
      <c r="O7632" s="4" t="str">
        <f>IFERROR(__xludf.DUMMYFUNCTION("""COMPUTED_VALUE"""),"Jaxtech")</f>
        <v>Jaxtech</v>
      </c>
      <c r="P7632" s="33">
        <f>IFERROR(__xludf.DUMMYFUNCTION("""COMPUTED_VALUE"""),1.0)</f>
        <v>1</v>
      </c>
      <c r="Q7632" s="4" t="str">
        <f>IFERROR(__xludf.DUMMYFUNCTION("""COMPUTED_VALUE"""),"Jaxtech")</f>
        <v>Jaxtech</v>
      </c>
      <c r="R7632" s="33">
        <f>IFERROR(__xludf.DUMMYFUNCTION("""COMPUTED_VALUE"""),1.0)</f>
        <v>1</v>
      </c>
      <c r="S7632" s="4" t="str">
        <f>IFERROR(__xludf.DUMMYFUNCTION("""COMPUTED_VALUE"""),"Jaxtech")</f>
        <v>Jaxtech</v>
      </c>
      <c r="T7632" s="33">
        <f>IFERROR(__xludf.DUMMYFUNCTION("""COMPUTED_VALUE"""),1.0)</f>
        <v>1</v>
      </c>
      <c r="U7632" s="4" t="str">
        <f>IFERROR(__xludf.DUMMYFUNCTION("""COMPUTED_VALUE"""),"Jaxtech")</f>
        <v>Jaxtech</v>
      </c>
      <c r="V7632" s="33">
        <f>IFERROR(__xludf.DUMMYFUNCTION("""COMPUTED_VALUE"""),1.0)</f>
        <v>1</v>
      </c>
      <c r="W7632" s="4" t="str">
        <f>IFERROR(__xludf.DUMMYFUNCTION("""COMPUTED_VALUE"""),"Jaxtech")</f>
        <v>Jaxtech</v>
      </c>
      <c r="X7632" s="33">
        <f>IFERROR(__xludf.DUMMYFUNCTION("""COMPUTED_VALUE"""),1.0)</f>
        <v>1</v>
      </c>
    </row>
    <row r="7633">
      <c r="K7633" s="4" t="str">
        <f>IFERROR(__xludf.DUMMYFUNCTION("""COMPUTED_VALUE"""),"PICANHA EXPRESS")</f>
        <v>PICANHA EXPRESS</v>
      </c>
      <c r="L7633" s="32">
        <f>IFERROR(__xludf.DUMMYFUNCTION("""COMPUTED_VALUE"""),2.0)</f>
        <v>2</v>
      </c>
      <c r="M7633" s="4" t="str">
        <f>IFERROR(__xludf.DUMMYFUNCTION("""COMPUTED_VALUE"""),"Saipos Serviços De Software")</f>
        <v>Saipos Serviços De Software</v>
      </c>
      <c r="N7633" s="33">
        <f>IFERROR(__xludf.DUMMYFUNCTION("""COMPUTED_VALUE"""),1.0)</f>
        <v>1</v>
      </c>
      <c r="O7633" s="4" t="str">
        <f>IFERROR(__xludf.DUMMYFUNCTION("""COMPUTED_VALUE"""),"null")</f>
        <v>null</v>
      </c>
      <c r="P7633" s="33">
        <f>IFERROR(__xludf.DUMMYFUNCTION("""COMPUTED_VALUE"""),1.0)</f>
        <v>1</v>
      </c>
      <c r="Q7633" s="4" t="str">
        <f>IFERROR(__xludf.DUMMYFUNCTION("""COMPUTED_VALUE"""),"null")</f>
        <v>null</v>
      </c>
      <c r="R7633" s="33">
        <f>IFERROR(__xludf.DUMMYFUNCTION("""COMPUTED_VALUE"""),1.0)</f>
        <v>1</v>
      </c>
      <c r="S7633" s="4" t="str">
        <f>IFERROR(__xludf.DUMMYFUNCTION("""COMPUTED_VALUE"""),"null")</f>
        <v>null</v>
      </c>
      <c r="T7633" s="33">
        <f>IFERROR(__xludf.DUMMYFUNCTION("""COMPUTED_VALUE"""),1.0)</f>
        <v>1</v>
      </c>
      <c r="U7633" s="4" t="str">
        <f>IFERROR(__xludf.DUMMYFUNCTION("""COMPUTED_VALUE"""),"null")</f>
        <v>null</v>
      </c>
      <c r="V7633" s="33">
        <f>IFERROR(__xludf.DUMMYFUNCTION("""COMPUTED_VALUE"""),1.0)</f>
        <v>1</v>
      </c>
      <c r="W7633" s="4" t="str">
        <f>IFERROR(__xludf.DUMMYFUNCTION("""COMPUTED_VALUE"""),"null")</f>
        <v>null</v>
      </c>
      <c r="X7633" s="33">
        <f>IFERROR(__xludf.DUMMYFUNCTION("""COMPUTED_VALUE"""),1.0)</f>
        <v>1</v>
      </c>
    </row>
    <row r="7634">
      <c r="K7634" s="4" t="str">
        <f>IFERROR(__xludf.DUMMYFUNCTION("""COMPUTED_VALUE"""),"PICOLOCOS CONTA PAI")</f>
        <v>PICOLOCOS CONTA PAI</v>
      </c>
      <c r="L7634" s="32">
        <f>IFERROR(__xludf.DUMMYFUNCTION("""COMPUTED_VALUE"""),2.0)</f>
        <v>2</v>
      </c>
      <c r="M7634" s="4" t="str">
        <f>IFERROR(__xludf.DUMMYFUNCTION("""COMPUTED_VALUE"""),"null")</f>
        <v>null</v>
      </c>
      <c r="N7634" s="33">
        <f>IFERROR(__xludf.DUMMYFUNCTION("""COMPUTED_VALUE"""),0.5)</f>
        <v>0.5</v>
      </c>
      <c r="O7634" s="4" t="str">
        <f>IFERROR(__xludf.DUMMYFUNCTION("""COMPUTED_VALUE"""),"null")</f>
        <v>null</v>
      </c>
      <c r="P7634" s="33">
        <f>IFERROR(__xludf.DUMMYFUNCTION("""COMPUTED_VALUE"""),0.5)</f>
        <v>0.5</v>
      </c>
      <c r="Q7634" s="4" t="str">
        <f>IFERROR(__xludf.DUMMYFUNCTION("""COMPUTED_VALUE"""),"null")</f>
        <v>null</v>
      </c>
      <c r="R7634" s="33">
        <f>IFERROR(__xludf.DUMMYFUNCTION("""COMPUTED_VALUE"""),0.5)</f>
        <v>0.5</v>
      </c>
      <c r="S7634" s="4" t="str">
        <f>IFERROR(__xludf.DUMMYFUNCTION("""COMPUTED_VALUE"""),"null")</f>
        <v>null</v>
      </c>
      <c r="T7634" s="33">
        <f>IFERROR(__xludf.DUMMYFUNCTION("""COMPUTED_VALUE"""),0.5)</f>
        <v>0.5</v>
      </c>
      <c r="U7634" s="4" t="str">
        <f>IFERROR(__xludf.DUMMYFUNCTION("""COMPUTED_VALUE"""),"null")</f>
        <v>null</v>
      </c>
      <c r="V7634" s="33">
        <f>IFERROR(__xludf.DUMMYFUNCTION("""COMPUTED_VALUE"""),0.5)</f>
        <v>0.5</v>
      </c>
      <c r="W7634" s="4" t="str">
        <f>IFERROR(__xludf.DUMMYFUNCTION("""COMPUTED_VALUE"""),"Anota Ai Solucoes Digitais S/a")</f>
        <v>Anota Ai Solucoes Digitais S/a</v>
      </c>
      <c r="X7634" s="33">
        <f>IFERROR(__xludf.DUMMYFUNCTION("""COMPUTED_VALUE"""),1.0)</f>
        <v>1</v>
      </c>
    </row>
    <row r="7635">
      <c r="K7635" s="4" t="str">
        <f>IFERROR(__xludf.DUMMYFUNCTION("""COMPUTED_VALUE"""),"PILGRIM BURGERS - CONTA MARCA")</f>
        <v>PILGRIM BURGERS - CONTA MARCA</v>
      </c>
      <c r="L7635" s="32">
        <f>IFERROR(__xludf.DUMMYFUNCTION("""COMPUTED_VALUE"""),2.0)</f>
        <v>2</v>
      </c>
      <c r="M7635" s="4" t="str">
        <f>IFERROR(__xludf.DUMMYFUNCTION("""COMPUTED_VALUE"""),"Cardápio Web")</f>
        <v>Cardápio Web</v>
      </c>
      <c r="N7635" s="33">
        <f>IFERROR(__xludf.DUMMYFUNCTION("""COMPUTED_VALUE"""),1.0)</f>
        <v>1</v>
      </c>
      <c r="O7635" s="4" t="str">
        <f>IFERROR(__xludf.DUMMYFUNCTION("""COMPUTED_VALUE"""),"Cardápio Web")</f>
        <v>Cardápio Web</v>
      </c>
      <c r="P7635" s="33">
        <f>IFERROR(__xludf.DUMMYFUNCTION("""COMPUTED_VALUE"""),1.0)</f>
        <v>1</v>
      </c>
      <c r="Q7635" s="4" t="str">
        <f>IFERROR(__xludf.DUMMYFUNCTION("""COMPUTED_VALUE"""),"Cardápio Web")</f>
        <v>Cardápio Web</v>
      </c>
      <c r="R7635" s="33">
        <f>IFERROR(__xludf.DUMMYFUNCTION("""COMPUTED_VALUE"""),1.0)</f>
        <v>1</v>
      </c>
      <c r="S7635" s="4" t="str">
        <f>IFERROR(__xludf.DUMMYFUNCTION("""COMPUTED_VALUE"""),"Cardápio Web")</f>
        <v>Cardápio Web</v>
      </c>
      <c r="T7635" s="33">
        <f>IFERROR(__xludf.DUMMYFUNCTION("""COMPUTED_VALUE"""),1.0)</f>
        <v>1</v>
      </c>
      <c r="U7635" s="4" t="str">
        <f>IFERROR(__xludf.DUMMYFUNCTION("""COMPUTED_VALUE"""),"Cardápio Web")</f>
        <v>Cardápio Web</v>
      </c>
      <c r="V7635" s="33">
        <f>IFERROR(__xludf.DUMMYFUNCTION("""COMPUTED_VALUE"""),1.0)</f>
        <v>1</v>
      </c>
      <c r="W7635" s="4" t="str">
        <f>IFERROR(__xludf.DUMMYFUNCTION("""COMPUTED_VALUE"""),"Cardápio Web")</f>
        <v>Cardápio Web</v>
      </c>
      <c r="X7635" s="33">
        <f>IFERROR(__xludf.DUMMYFUNCTION("""COMPUTED_VALUE"""),1.0)</f>
        <v>1</v>
      </c>
    </row>
    <row r="7636">
      <c r="K7636" s="4" t="str">
        <f>IFERROR(__xludf.DUMMYFUNCTION("""COMPUTED_VALUE"""),"PILHADAO ACAI")</f>
        <v>PILHADAO ACAI</v>
      </c>
      <c r="L7636" s="32">
        <f>IFERROR(__xludf.DUMMYFUNCTION("""COMPUTED_VALUE"""),2.0)</f>
        <v>2</v>
      </c>
      <c r="M7636" s="4" t="str">
        <f>IFERROR(__xludf.DUMMYFUNCTION("""COMPUTED_VALUE"""),"Insert Code Informatica Ltda")</f>
        <v>Insert Code Informatica Ltda</v>
      </c>
      <c r="N7636" s="33">
        <f>IFERROR(__xludf.DUMMYFUNCTION("""COMPUTED_VALUE"""),1.0)</f>
        <v>1</v>
      </c>
      <c r="O7636" s="4" t="str">
        <f>IFERROR(__xludf.DUMMYFUNCTION("""COMPUTED_VALUE"""),"Insert Code Informatica Ltda")</f>
        <v>Insert Code Informatica Ltda</v>
      </c>
      <c r="P7636" s="33">
        <f>IFERROR(__xludf.DUMMYFUNCTION("""COMPUTED_VALUE"""),1.0)</f>
        <v>1</v>
      </c>
      <c r="Q7636" s="4" t="str">
        <f>IFERROR(__xludf.DUMMYFUNCTION("""COMPUTED_VALUE"""),"null")</f>
        <v>null</v>
      </c>
      <c r="R7636" s="33">
        <f>IFERROR(__xludf.DUMMYFUNCTION("""COMPUTED_VALUE"""),0.5)</f>
        <v>0.5</v>
      </c>
      <c r="S7636" s="4" t="str">
        <f>IFERROR(__xludf.DUMMYFUNCTION("""COMPUTED_VALUE"""),"null")</f>
        <v>null</v>
      </c>
      <c r="T7636" s="33">
        <f>IFERROR(__xludf.DUMMYFUNCTION("""COMPUTED_VALUE"""),0.5)</f>
        <v>0.5</v>
      </c>
      <c r="U7636" s="4" t="str">
        <f>IFERROR(__xludf.DUMMYFUNCTION("""COMPUTED_VALUE"""),"null")</f>
        <v>null</v>
      </c>
      <c r="V7636" s="33">
        <f>IFERROR(__xludf.DUMMYFUNCTION("""COMPUTED_VALUE"""),0.5)</f>
        <v>0.5</v>
      </c>
      <c r="W7636" s="4" t="str">
        <f>IFERROR(__xludf.DUMMYFUNCTION("""COMPUTED_VALUE"""),"null")</f>
        <v>null</v>
      </c>
      <c r="X7636" s="33">
        <f>IFERROR(__xludf.DUMMYFUNCTION("""COMPUTED_VALUE"""),0.5)</f>
        <v>0.5</v>
      </c>
    </row>
    <row r="7637">
      <c r="K7637" s="4" t="str">
        <f>IFERROR(__xludf.DUMMYFUNCTION("""COMPUTED_VALUE"""),"PIMENTA NATIVA FORNERIA GOUMERT")</f>
        <v>PIMENTA NATIVA FORNERIA GOUMERT</v>
      </c>
      <c r="L7637" s="32">
        <f>IFERROR(__xludf.DUMMYFUNCTION("""COMPUTED_VALUE"""),2.0)</f>
        <v>2</v>
      </c>
      <c r="M7637" s="4" t="str">
        <f>IFERROR(__xludf.DUMMYFUNCTION("""COMPUTED_VALUE"""),"Menew - Linx")</f>
        <v>Menew - Linx</v>
      </c>
      <c r="N7637" s="33">
        <f>IFERROR(__xludf.DUMMYFUNCTION("""COMPUTED_VALUE"""),1.0)</f>
        <v>1</v>
      </c>
      <c r="O7637" s="4" t="str">
        <f>IFERROR(__xludf.DUMMYFUNCTION("""COMPUTED_VALUE"""),"Menew - Linx")</f>
        <v>Menew - Linx</v>
      </c>
      <c r="P7637" s="33">
        <f>IFERROR(__xludf.DUMMYFUNCTION("""COMPUTED_VALUE"""),1.0)</f>
        <v>1</v>
      </c>
      <c r="Q7637" s="4" t="str">
        <f>IFERROR(__xludf.DUMMYFUNCTION("""COMPUTED_VALUE"""),"Menew - Linx")</f>
        <v>Menew - Linx</v>
      </c>
      <c r="R7637" s="33">
        <f>IFERROR(__xludf.DUMMYFUNCTION("""COMPUTED_VALUE"""),1.0)</f>
        <v>1</v>
      </c>
      <c r="S7637" s="4" t="str">
        <f>IFERROR(__xludf.DUMMYFUNCTION("""COMPUTED_VALUE"""),"Menew - Linx")</f>
        <v>Menew - Linx</v>
      </c>
      <c r="T7637" s="33">
        <f>IFERROR(__xludf.DUMMYFUNCTION("""COMPUTED_VALUE"""),1.0)</f>
        <v>1</v>
      </c>
      <c r="U7637" s="4" t="str">
        <f>IFERROR(__xludf.DUMMYFUNCTION("""COMPUTED_VALUE"""),"Saipos Serviços De Software")</f>
        <v>Saipos Serviços De Software</v>
      </c>
      <c r="V7637" s="33">
        <f>IFERROR(__xludf.DUMMYFUNCTION("""COMPUTED_VALUE"""),0.5)</f>
        <v>0.5</v>
      </c>
      <c r="W7637" s="4" t="str">
        <f>IFERROR(__xludf.DUMMYFUNCTION("""COMPUTED_VALUE"""),"Saipos Serviços De Software")</f>
        <v>Saipos Serviços De Software</v>
      </c>
      <c r="X7637" s="33">
        <f>IFERROR(__xludf.DUMMYFUNCTION("""COMPUTED_VALUE"""),0.5)</f>
        <v>0.5</v>
      </c>
    </row>
    <row r="7638">
      <c r="K7638" s="4" t="str">
        <f>IFERROR(__xludf.DUMMYFUNCTION("""COMPUTED_VALUE"""),"PINWEI CHINESA")</f>
        <v>PINWEI CHINESA</v>
      </c>
      <c r="L7638" s="32">
        <f>IFERROR(__xludf.DUMMYFUNCTION("""COMPUTED_VALUE"""),2.0)</f>
        <v>2</v>
      </c>
      <c r="M7638" s="4" t="str">
        <f>IFERROR(__xludf.DUMMYFUNCTION("""COMPUTED_VALUE"""),"Menew - Linx")</f>
        <v>Menew - Linx</v>
      </c>
      <c r="N7638" s="33">
        <f>IFERROR(__xludf.DUMMYFUNCTION("""COMPUTED_VALUE"""),1.0)</f>
        <v>1</v>
      </c>
      <c r="O7638" s="4" t="str">
        <f>IFERROR(__xludf.DUMMYFUNCTION("""COMPUTED_VALUE"""),"Menew - Linx")</f>
        <v>Menew - Linx</v>
      </c>
      <c r="P7638" s="33">
        <f>IFERROR(__xludf.DUMMYFUNCTION("""COMPUTED_VALUE"""),1.0)</f>
        <v>1</v>
      </c>
      <c r="Q7638" s="4" t="str">
        <f>IFERROR(__xludf.DUMMYFUNCTION("""COMPUTED_VALUE"""),"Menew - Linx")</f>
        <v>Menew - Linx</v>
      </c>
      <c r="R7638" s="33">
        <f>IFERROR(__xludf.DUMMYFUNCTION("""COMPUTED_VALUE"""),1.0)</f>
        <v>1</v>
      </c>
      <c r="S7638" s="4" t="str">
        <f>IFERROR(__xludf.DUMMYFUNCTION("""COMPUTED_VALUE"""),"Menew - Linx")</f>
        <v>Menew - Linx</v>
      </c>
      <c r="T7638" s="33">
        <f>IFERROR(__xludf.DUMMYFUNCTION("""COMPUTED_VALUE"""),1.0)</f>
        <v>1</v>
      </c>
      <c r="U7638" s="4" t="str">
        <f>IFERROR(__xludf.DUMMYFUNCTION("""COMPUTED_VALUE"""),"Menew - Linx")</f>
        <v>Menew - Linx</v>
      </c>
      <c r="V7638" s="33">
        <f>IFERROR(__xludf.DUMMYFUNCTION("""COMPUTED_VALUE"""),1.0)</f>
        <v>1</v>
      </c>
      <c r="W7638" s="4" t="str">
        <f>IFERROR(__xludf.DUMMYFUNCTION("""COMPUTED_VALUE"""),"Menew - Linx")</f>
        <v>Menew - Linx</v>
      </c>
      <c r="X7638" s="33">
        <f>IFERROR(__xludf.DUMMYFUNCTION("""COMPUTED_VALUE"""),1.0)</f>
        <v>1</v>
      </c>
    </row>
    <row r="7639">
      <c r="K7639" s="4" t="str">
        <f>IFERROR(__xludf.DUMMYFUNCTION("""COMPUTED_VALUE"""),"PIRATAS DOG")</f>
        <v>PIRATAS DOG</v>
      </c>
      <c r="L7639" s="32">
        <f>IFERROR(__xludf.DUMMYFUNCTION("""COMPUTED_VALUE"""),2.0)</f>
        <v>2</v>
      </c>
      <c r="M7639" s="4" t="str">
        <f>IFERROR(__xludf.DUMMYFUNCTION("""COMPUTED_VALUE"""),"Consumer Soluções Em Tecnologia Ltda")</f>
        <v>Consumer Soluções Em Tecnologia Ltda</v>
      </c>
      <c r="N7639" s="33">
        <f>IFERROR(__xludf.DUMMYFUNCTION("""COMPUTED_VALUE"""),1.0)</f>
        <v>1</v>
      </c>
      <c r="O7639" s="4" t="str">
        <f>IFERROR(__xludf.DUMMYFUNCTION("""COMPUTED_VALUE"""),"null")</f>
        <v>null</v>
      </c>
      <c r="P7639" s="33">
        <f>IFERROR(__xludf.DUMMYFUNCTION("""COMPUTED_VALUE"""),1.0)</f>
        <v>1</v>
      </c>
      <c r="Q7639" s="4" t="str">
        <f>IFERROR(__xludf.DUMMYFUNCTION("""COMPUTED_VALUE"""),"null")</f>
        <v>null</v>
      </c>
      <c r="R7639" s="33">
        <f>IFERROR(__xludf.DUMMYFUNCTION("""COMPUTED_VALUE"""),1.0)</f>
        <v>1</v>
      </c>
      <c r="S7639" s="4" t="str">
        <f>IFERROR(__xludf.DUMMYFUNCTION("""COMPUTED_VALUE"""),"null")</f>
        <v>null</v>
      </c>
      <c r="T7639" s="33">
        <f>IFERROR(__xludf.DUMMYFUNCTION("""COMPUTED_VALUE"""),1.0)</f>
        <v>1</v>
      </c>
      <c r="U7639" s="4" t="str">
        <f>IFERROR(__xludf.DUMMYFUNCTION("""COMPUTED_VALUE"""),"null")</f>
        <v>null</v>
      </c>
      <c r="V7639" s="33">
        <f>IFERROR(__xludf.DUMMYFUNCTION("""COMPUTED_VALUE"""),1.0)</f>
        <v>1</v>
      </c>
      <c r="W7639" s="4" t="str">
        <f>IFERROR(__xludf.DUMMYFUNCTION("""COMPUTED_VALUE"""),"Yooga")</f>
        <v>Yooga</v>
      </c>
      <c r="X7639" s="33">
        <f>IFERROR(__xludf.DUMMYFUNCTION("""COMPUTED_VALUE"""),0.5)</f>
        <v>0.5</v>
      </c>
    </row>
    <row r="7640">
      <c r="K7640" s="4" t="str">
        <f>IFERROR(__xludf.DUMMYFUNCTION("""COMPUTED_VALUE"""),"PIT STOP - CONTA MARCA")</f>
        <v>PIT STOP - CONTA MARCA</v>
      </c>
      <c r="L7640" s="32">
        <f>IFERROR(__xludf.DUMMYFUNCTION("""COMPUTED_VALUE"""),2.0)</f>
        <v>2</v>
      </c>
      <c r="M7640" s="4" t="str">
        <f>IFERROR(__xludf.DUMMYFUNCTION("""COMPUTED_VALUE"""),"Diggy")</f>
        <v>Diggy</v>
      </c>
      <c r="N7640" s="33">
        <f>IFERROR(__xludf.DUMMYFUNCTION("""COMPUTED_VALUE"""),0.5)</f>
        <v>0.5</v>
      </c>
      <c r="O7640" s="4" t="str">
        <f>IFERROR(__xludf.DUMMYFUNCTION("""COMPUTED_VALUE"""),"Diggy")</f>
        <v>Diggy</v>
      </c>
      <c r="P7640" s="33">
        <f>IFERROR(__xludf.DUMMYFUNCTION("""COMPUTED_VALUE"""),0.5)</f>
        <v>0.5</v>
      </c>
      <c r="Q7640" s="4" t="str">
        <f>IFERROR(__xludf.DUMMYFUNCTION("""COMPUTED_VALUE"""),"Diggy")</f>
        <v>Diggy</v>
      </c>
      <c r="R7640" s="33">
        <f>IFERROR(__xludf.DUMMYFUNCTION("""COMPUTED_VALUE"""),0.5)</f>
        <v>0.5</v>
      </c>
      <c r="S7640" s="4" t="str">
        <f>IFERROR(__xludf.DUMMYFUNCTION("""COMPUTED_VALUE"""),"Diggy")</f>
        <v>Diggy</v>
      </c>
      <c r="T7640" s="33">
        <f>IFERROR(__xludf.DUMMYFUNCTION("""COMPUTED_VALUE"""),0.5)</f>
        <v>0.5</v>
      </c>
      <c r="U7640" s="4" t="str">
        <f>IFERROR(__xludf.DUMMYFUNCTION("""COMPUTED_VALUE"""),"Diggy")</f>
        <v>Diggy</v>
      </c>
      <c r="V7640" s="33">
        <f>IFERROR(__xludf.DUMMYFUNCTION("""COMPUTED_VALUE"""),0.5)</f>
        <v>0.5</v>
      </c>
      <c r="W7640" s="4" t="str">
        <f>IFERROR(__xludf.DUMMYFUNCTION("""COMPUTED_VALUE"""),"Diggy")</f>
        <v>Diggy</v>
      </c>
      <c r="X7640" s="33">
        <f>IFERROR(__xludf.DUMMYFUNCTION("""COMPUTED_VALUE"""),0.5)</f>
        <v>0.5</v>
      </c>
    </row>
    <row r="7641">
      <c r="K7641" s="4" t="str">
        <f>IFERROR(__xludf.DUMMYFUNCTION("""COMPUTED_VALUE"""),"PITADA - BOWLS, SALADAS, POKES E WRAPS")</f>
        <v>PITADA - BOWLS, SALADAS, POKES E WRAPS</v>
      </c>
      <c r="L7641" s="32">
        <f>IFERROR(__xludf.DUMMYFUNCTION("""COMPUTED_VALUE"""),2.0)</f>
        <v>2</v>
      </c>
      <c r="M7641" s="4" t="str">
        <f>IFERROR(__xludf.DUMMYFUNCTION("""COMPUTED_VALUE"""),"Anota Ai Solucoes Digitais S/a")</f>
        <v>Anota Ai Solucoes Digitais S/a</v>
      </c>
      <c r="N7641" s="33">
        <f>IFERROR(__xludf.DUMMYFUNCTION("""COMPUTED_VALUE"""),0.5)</f>
        <v>0.5</v>
      </c>
      <c r="O7641" s="4" t="str">
        <f>IFERROR(__xludf.DUMMYFUNCTION("""COMPUTED_VALUE"""),"Anota Ai Solucoes Digitais S/a")</f>
        <v>Anota Ai Solucoes Digitais S/a</v>
      </c>
      <c r="P7641" s="33">
        <f>IFERROR(__xludf.DUMMYFUNCTION("""COMPUTED_VALUE"""),0.5)</f>
        <v>0.5</v>
      </c>
      <c r="Q7641" s="4" t="str">
        <f>IFERROR(__xludf.DUMMYFUNCTION("""COMPUTED_VALUE"""),"Noah Sistemas Ltda")</f>
        <v>Noah Sistemas Ltda</v>
      </c>
      <c r="R7641" s="33">
        <f>IFERROR(__xludf.DUMMYFUNCTION("""COMPUTED_VALUE"""),0.5)</f>
        <v>0.5</v>
      </c>
      <c r="S7641" s="4" t="str">
        <f>IFERROR(__xludf.DUMMYFUNCTION("""COMPUTED_VALUE"""),"Anota Ai Solucoes Digitais S/a")</f>
        <v>Anota Ai Solucoes Digitais S/a</v>
      </c>
      <c r="T7641" s="33">
        <f>IFERROR(__xludf.DUMMYFUNCTION("""COMPUTED_VALUE"""),0.5)</f>
        <v>0.5</v>
      </c>
      <c r="U7641" s="4" t="str">
        <f>IFERROR(__xludf.DUMMYFUNCTION("""COMPUTED_VALUE"""),"Anota Ai Solucoes Digitais S/a")</f>
        <v>Anota Ai Solucoes Digitais S/a</v>
      </c>
      <c r="V7641" s="33">
        <f>IFERROR(__xludf.DUMMYFUNCTION("""COMPUTED_VALUE"""),0.5)</f>
        <v>0.5</v>
      </c>
      <c r="W7641" s="4" t="str">
        <f>IFERROR(__xludf.DUMMYFUNCTION("""COMPUTED_VALUE"""),"Noah Sistemas Ltda")</f>
        <v>Noah Sistemas Ltda</v>
      </c>
      <c r="X7641" s="33">
        <f>IFERROR(__xludf.DUMMYFUNCTION("""COMPUTED_VALUE"""),0.5)</f>
        <v>0.5</v>
      </c>
    </row>
    <row r="7642">
      <c r="K7642" s="4" t="str">
        <f>IFERROR(__xludf.DUMMYFUNCTION("""COMPUTED_VALUE"""),"PITICO")</f>
        <v>PITICO</v>
      </c>
      <c r="L7642" s="32">
        <f>IFERROR(__xludf.DUMMYFUNCTION("""COMPUTED_VALUE"""),2.0)</f>
        <v>2</v>
      </c>
      <c r="M7642" s="4" t="str">
        <f>IFERROR(__xludf.DUMMYFUNCTION("""COMPUTED_VALUE"""),"Gula.menu Tecnologia Ltda.")</f>
        <v>Gula.menu Tecnologia Ltda.</v>
      </c>
      <c r="N7642" s="33">
        <f>IFERROR(__xludf.DUMMYFUNCTION("""COMPUTED_VALUE"""),1.0)</f>
        <v>1</v>
      </c>
      <c r="O7642" s="4" t="str">
        <f>IFERROR(__xludf.DUMMYFUNCTION("""COMPUTED_VALUE"""),"Gula.menu Tecnologia Ltda.")</f>
        <v>Gula.menu Tecnologia Ltda.</v>
      </c>
      <c r="P7642" s="33">
        <f>IFERROR(__xludf.DUMMYFUNCTION("""COMPUTED_VALUE"""),1.0)</f>
        <v>1</v>
      </c>
      <c r="Q7642" s="4" t="str">
        <f>IFERROR(__xludf.DUMMYFUNCTION("""COMPUTED_VALUE"""),"Gula.menu Tecnologia Ltda.")</f>
        <v>Gula.menu Tecnologia Ltda.</v>
      </c>
      <c r="R7642" s="33">
        <f>IFERROR(__xludf.DUMMYFUNCTION("""COMPUTED_VALUE"""),1.0)</f>
        <v>1</v>
      </c>
      <c r="S7642" s="4" t="str">
        <f>IFERROR(__xludf.DUMMYFUNCTION("""COMPUTED_VALUE"""),"Gula.menu Tecnologia Ltda.")</f>
        <v>Gula.menu Tecnologia Ltda.</v>
      </c>
      <c r="T7642" s="33">
        <f>IFERROR(__xludf.DUMMYFUNCTION("""COMPUTED_VALUE"""),1.0)</f>
        <v>1</v>
      </c>
      <c r="U7642" s="4" t="str">
        <f>IFERROR(__xludf.DUMMYFUNCTION("""COMPUTED_VALUE"""),"Gula.menu Tecnologia Ltda.")</f>
        <v>Gula.menu Tecnologia Ltda.</v>
      </c>
      <c r="V7642" s="33">
        <f>IFERROR(__xludf.DUMMYFUNCTION("""COMPUTED_VALUE"""),1.0)</f>
        <v>1</v>
      </c>
      <c r="W7642" s="4" t="str">
        <f>IFERROR(__xludf.DUMMYFUNCTION("""COMPUTED_VALUE"""),"Gula.menu Tecnologia Ltda.")</f>
        <v>Gula.menu Tecnologia Ltda.</v>
      </c>
      <c r="X7642" s="33">
        <f>IFERROR(__xludf.DUMMYFUNCTION("""COMPUTED_VALUE"""),1.0)</f>
        <v>1</v>
      </c>
    </row>
    <row r="7643">
      <c r="K7643" s="4" t="str">
        <f>IFERROR(__xludf.DUMMYFUNCTION("""COMPUTED_VALUE"""),"PITORESCA PIZZA EXPRESS")</f>
        <v>PITORESCA PIZZA EXPRESS</v>
      </c>
      <c r="L7643" s="32">
        <f>IFERROR(__xludf.DUMMYFUNCTION("""COMPUTED_VALUE"""),2.0)</f>
        <v>2</v>
      </c>
      <c r="M7643" s="4" t="str">
        <f>IFERROR(__xludf.DUMMYFUNCTION("""COMPUTED_VALUE"""),"null")</f>
        <v>null</v>
      </c>
      <c r="N7643" s="33">
        <f>IFERROR(__xludf.DUMMYFUNCTION("""COMPUTED_VALUE"""),0.5)</f>
        <v>0.5</v>
      </c>
      <c r="O7643" s="4" t="str">
        <f>IFERROR(__xludf.DUMMYFUNCTION("""COMPUTED_VALUE"""),"null")</f>
        <v>null</v>
      </c>
      <c r="P7643" s="33">
        <f>IFERROR(__xludf.DUMMYFUNCTION("""COMPUTED_VALUE"""),0.5)</f>
        <v>0.5</v>
      </c>
      <c r="Q7643" s="4" t="str">
        <f>IFERROR(__xludf.DUMMYFUNCTION("""COMPUTED_VALUE"""),"null")</f>
        <v>null</v>
      </c>
      <c r="R7643" s="33">
        <f>IFERROR(__xludf.DUMMYFUNCTION("""COMPUTED_VALUE"""),0.5)</f>
        <v>0.5</v>
      </c>
      <c r="S7643" s="4" t="str">
        <f>IFERROR(__xludf.DUMMYFUNCTION("""COMPUTED_VALUE"""),"null")</f>
        <v>null</v>
      </c>
      <c r="T7643" s="33">
        <f>IFERROR(__xludf.DUMMYFUNCTION("""COMPUTED_VALUE"""),0.5)</f>
        <v>0.5</v>
      </c>
      <c r="U7643" s="4" t="str">
        <f>IFERROR(__xludf.DUMMYFUNCTION("""COMPUTED_VALUE"""),"Saipos Serviços De Software")</f>
        <v>Saipos Serviços De Software</v>
      </c>
      <c r="V7643" s="33">
        <f>IFERROR(__xludf.DUMMYFUNCTION("""COMPUTED_VALUE"""),1.0)</f>
        <v>1</v>
      </c>
      <c r="W7643" s="4" t="str">
        <f>IFERROR(__xludf.DUMMYFUNCTION("""COMPUTED_VALUE"""),"Saipos Serviços De Software")</f>
        <v>Saipos Serviços De Software</v>
      </c>
      <c r="X7643" s="33">
        <f>IFERROR(__xludf.DUMMYFUNCTION("""COMPUTED_VALUE"""),1.0)</f>
        <v>1</v>
      </c>
    </row>
    <row r="7644">
      <c r="K7644" s="4" t="str">
        <f>IFERROR(__xludf.DUMMYFUNCTION("""COMPUTED_VALUE"""),"PIU RESTAURANTE")</f>
        <v>PIU RESTAURANTE</v>
      </c>
      <c r="L7644" s="32">
        <f>IFERROR(__xludf.DUMMYFUNCTION("""COMPUTED_VALUE"""),2.0)</f>
        <v>2</v>
      </c>
      <c r="M7644" s="4" t="str">
        <f>IFERROR(__xludf.DUMMYFUNCTION("""COMPUTED_VALUE"""),"Menew - Linx")</f>
        <v>Menew - Linx</v>
      </c>
      <c r="N7644" s="33">
        <f>IFERROR(__xludf.DUMMYFUNCTION("""COMPUTED_VALUE"""),1.0)</f>
        <v>1</v>
      </c>
      <c r="O7644" s="4" t="str">
        <f>IFERROR(__xludf.DUMMYFUNCTION("""COMPUTED_VALUE"""),"Menew - Linx")</f>
        <v>Menew - Linx</v>
      </c>
      <c r="P7644" s="33">
        <f>IFERROR(__xludf.DUMMYFUNCTION("""COMPUTED_VALUE"""),1.0)</f>
        <v>1</v>
      </c>
      <c r="Q7644" s="4" t="str">
        <f>IFERROR(__xludf.DUMMYFUNCTION("""COMPUTED_VALUE"""),"Menew - Linx")</f>
        <v>Menew - Linx</v>
      </c>
      <c r="R7644" s="33">
        <f>IFERROR(__xludf.DUMMYFUNCTION("""COMPUTED_VALUE"""),1.0)</f>
        <v>1</v>
      </c>
      <c r="S7644" s="4" t="str">
        <f>IFERROR(__xludf.DUMMYFUNCTION("""COMPUTED_VALUE"""),"Menew - Linx")</f>
        <v>Menew - Linx</v>
      </c>
      <c r="T7644" s="33">
        <f>IFERROR(__xludf.DUMMYFUNCTION("""COMPUTED_VALUE"""),1.0)</f>
        <v>1</v>
      </c>
      <c r="U7644" s="4" t="str">
        <f>IFERROR(__xludf.DUMMYFUNCTION("""COMPUTED_VALUE"""),"Menew - Linx")</f>
        <v>Menew - Linx</v>
      </c>
      <c r="V7644" s="33">
        <f>IFERROR(__xludf.DUMMYFUNCTION("""COMPUTED_VALUE"""),1.0)</f>
        <v>1</v>
      </c>
      <c r="W7644" s="4" t="str">
        <f>IFERROR(__xludf.DUMMYFUNCTION("""COMPUTED_VALUE"""),"null")</f>
        <v>null</v>
      </c>
      <c r="X7644" s="33">
        <f>IFERROR(__xludf.DUMMYFUNCTION("""COMPUTED_VALUE"""),0.5)</f>
        <v>0.5</v>
      </c>
    </row>
    <row r="7645">
      <c r="K7645" s="4" t="str">
        <f>IFERROR(__xludf.DUMMYFUNCTION("""COMPUTED_VALUE"""),"PIZZA 10DMAIS - CONTA MARCA")</f>
        <v>PIZZA 10DMAIS - CONTA MARCA</v>
      </c>
      <c r="L7645" s="32">
        <f>IFERROR(__xludf.DUMMYFUNCTION("""COMPUTED_VALUE"""),2.0)</f>
        <v>2</v>
      </c>
      <c r="M7645" s="4" t="str">
        <f>IFERROR(__xludf.DUMMYFUNCTION("""COMPUTED_VALUE"""),"null")</f>
        <v>null</v>
      </c>
      <c r="N7645" s="33">
        <f>IFERROR(__xludf.DUMMYFUNCTION("""COMPUTED_VALUE"""),0.5)</f>
        <v>0.5</v>
      </c>
      <c r="O7645" s="4" t="str">
        <f>IFERROR(__xludf.DUMMYFUNCTION("""COMPUTED_VALUE"""),"null")</f>
        <v>null</v>
      </c>
      <c r="P7645" s="33">
        <f>IFERROR(__xludf.DUMMYFUNCTION("""COMPUTED_VALUE"""),0.5)</f>
        <v>0.5</v>
      </c>
      <c r="Q7645" s="4" t="str">
        <f>IFERROR(__xludf.DUMMYFUNCTION("""COMPUTED_VALUE"""),"null")</f>
        <v>null</v>
      </c>
      <c r="R7645" s="33">
        <f>IFERROR(__xludf.DUMMYFUNCTION("""COMPUTED_VALUE"""),0.5)</f>
        <v>0.5</v>
      </c>
      <c r="S7645" s="4" t="str">
        <f>IFERROR(__xludf.DUMMYFUNCTION("""COMPUTED_VALUE"""),"null")</f>
        <v>null</v>
      </c>
      <c r="T7645" s="33">
        <f>IFERROR(__xludf.DUMMYFUNCTION("""COMPUTED_VALUE"""),0.5)</f>
        <v>0.5</v>
      </c>
      <c r="U7645" s="4" t="str">
        <f>IFERROR(__xludf.DUMMYFUNCTION("""COMPUTED_VALUE"""),"Brendi")</f>
        <v>Brendi</v>
      </c>
      <c r="V7645" s="33">
        <f>IFERROR(__xludf.DUMMYFUNCTION("""COMPUTED_VALUE"""),0.5)</f>
        <v>0.5</v>
      </c>
      <c r="W7645" s="4" t="str">
        <f>IFERROR(__xludf.DUMMYFUNCTION("""COMPUTED_VALUE"""),"Brendi")</f>
        <v>Brendi</v>
      </c>
      <c r="X7645" s="33">
        <f>IFERROR(__xludf.DUMMYFUNCTION("""COMPUTED_VALUE"""),0.5)</f>
        <v>0.5</v>
      </c>
    </row>
    <row r="7646">
      <c r="K7646" s="4" t="str">
        <f>IFERROR(__xludf.DUMMYFUNCTION("""COMPUTED_VALUE"""),"PIZZA BUS")</f>
        <v>PIZZA BUS</v>
      </c>
      <c r="L7646" s="32">
        <f>IFERROR(__xludf.DUMMYFUNCTION("""COMPUTED_VALUE"""),2.0)</f>
        <v>2</v>
      </c>
      <c r="M7646" s="4" t="str">
        <f>IFERROR(__xludf.DUMMYFUNCTION("""COMPUTED_VALUE"""),"Swfast Sistemas")</f>
        <v>Swfast Sistemas</v>
      </c>
      <c r="N7646" s="33">
        <f>IFERROR(__xludf.DUMMYFUNCTION("""COMPUTED_VALUE"""),0.5)</f>
        <v>0.5</v>
      </c>
      <c r="O7646" s="4" t="str">
        <f>IFERROR(__xludf.DUMMYFUNCTION("""COMPUTED_VALUE"""),"Swfast Sistemas")</f>
        <v>Swfast Sistemas</v>
      </c>
      <c r="P7646" s="33">
        <f>IFERROR(__xludf.DUMMYFUNCTION("""COMPUTED_VALUE"""),1.0)</f>
        <v>1</v>
      </c>
      <c r="Q7646" s="4" t="str">
        <f>IFERROR(__xludf.DUMMYFUNCTION("""COMPUTED_VALUE"""),"Swfast Sistemas")</f>
        <v>Swfast Sistemas</v>
      </c>
      <c r="R7646" s="33">
        <f>IFERROR(__xludf.DUMMYFUNCTION("""COMPUTED_VALUE"""),1.0)</f>
        <v>1</v>
      </c>
      <c r="S7646" s="4" t="str">
        <f>IFERROR(__xludf.DUMMYFUNCTION("""COMPUTED_VALUE"""),"Swfast Sistemas")</f>
        <v>Swfast Sistemas</v>
      </c>
      <c r="T7646" s="33">
        <f>IFERROR(__xludf.DUMMYFUNCTION("""COMPUTED_VALUE"""),1.0)</f>
        <v>1</v>
      </c>
      <c r="U7646" s="4" t="str">
        <f>IFERROR(__xludf.DUMMYFUNCTION("""COMPUTED_VALUE"""),"Swfast Sistemas")</f>
        <v>Swfast Sistemas</v>
      </c>
      <c r="V7646" s="33">
        <f>IFERROR(__xludf.DUMMYFUNCTION("""COMPUTED_VALUE"""),1.0)</f>
        <v>1</v>
      </c>
      <c r="W7646" s="4" t="str">
        <f>IFERROR(__xludf.DUMMYFUNCTION("""COMPUTED_VALUE"""),"Takeat Tecnologia")</f>
        <v>Takeat Tecnologia</v>
      </c>
      <c r="X7646" s="33">
        <f>IFERROR(__xludf.DUMMYFUNCTION("""COMPUTED_VALUE"""),0.5)</f>
        <v>0.5</v>
      </c>
    </row>
    <row r="7647">
      <c r="K7647" s="4" t="str">
        <f>IFERROR(__xludf.DUMMYFUNCTION("""COMPUTED_VALUE"""),"PIZZA DO ART")</f>
        <v>PIZZA DO ART</v>
      </c>
      <c r="L7647" s="32">
        <f>IFERROR(__xludf.DUMMYFUNCTION("""COMPUTED_VALUE"""),2.0)</f>
        <v>2</v>
      </c>
      <c r="M7647" s="4" t="str">
        <f>IFERROR(__xludf.DUMMYFUNCTION("""COMPUTED_VALUE"""),"Mp Multipedidos")</f>
        <v>Mp Multipedidos</v>
      </c>
      <c r="N7647" s="33">
        <f>IFERROR(__xludf.DUMMYFUNCTION("""COMPUTED_VALUE"""),1.0)</f>
        <v>1</v>
      </c>
      <c r="O7647" s="4" t="str">
        <f>IFERROR(__xludf.DUMMYFUNCTION("""COMPUTED_VALUE"""),"Mp Multipedidos")</f>
        <v>Mp Multipedidos</v>
      </c>
      <c r="P7647" s="33">
        <f>IFERROR(__xludf.DUMMYFUNCTION("""COMPUTED_VALUE"""),1.0)</f>
        <v>1</v>
      </c>
      <c r="Q7647" s="4" t="str">
        <f>IFERROR(__xludf.DUMMYFUNCTION("""COMPUTED_VALUE"""),"Mp Multipedidos")</f>
        <v>Mp Multipedidos</v>
      </c>
      <c r="R7647" s="33">
        <f>IFERROR(__xludf.DUMMYFUNCTION("""COMPUTED_VALUE"""),1.0)</f>
        <v>1</v>
      </c>
      <c r="S7647" s="4" t="str">
        <f>IFERROR(__xludf.DUMMYFUNCTION("""COMPUTED_VALUE"""),"Mp Multipedidos")</f>
        <v>Mp Multipedidos</v>
      </c>
      <c r="T7647" s="33">
        <f>IFERROR(__xludf.DUMMYFUNCTION("""COMPUTED_VALUE"""),1.0)</f>
        <v>1</v>
      </c>
      <c r="U7647" s="4" t="str">
        <f>IFERROR(__xludf.DUMMYFUNCTION("""COMPUTED_VALUE"""),"Mp Multipedidos")</f>
        <v>Mp Multipedidos</v>
      </c>
      <c r="V7647" s="33">
        <f>IFERROR(__xludf.DUMMYFUNCTION("""COMPUTED_VALUE"""),1.0)</f>
        <v>1</v>
      </c>
      <c r="W7647" s="4" t="str">
        <f>IFERROR(__xludf.DUMMYFUNCTION("""COMPUTED_VALUE"""),"Mp Multipedidos")</f>
        <v>Mp Multipedidos</v>
      </c>
      <c r="X7647" s="33">
        <f>IFERROR(__xludf.DUMMYFUNCTION("""COMPUTED_VALUE"""),1.0)</f>
        <v>1</v>
      </c>
    </row>
    <row r="7648">
      <c r="K7648" s="4" t="str">
        <f>IFERROR(__xludf.DUMMYFUNCTION("""COMPUTED_VALUE"""),"PIZZA DO BIGODE")</f>
        <v>PIZZA DO BIGODE</v>
      </c>
      <c r="L7648" s="32">
        <f>IFERROR(__xludf.DUMMYFUNCTION("""COMPUTED_VALUE"""),2.0)</f>
        <v>2</v>
      </c>
      <c r="M7648" s="4" t="str">
        <f>IFERROR(__xludf.DUMMYFUNCTION("""COMPUTED_VALUE"""),"Cardápio Web")</f>
        <v>Cardápio Web</v>
      </c>
      <c r="N7648" s="33">
        <f>IFERROR(__xludf.DUMMYFUNCTION("""COMPUTED_VALUE"""),1.0)</f>
        <v>1</v>
      </c>
      <c r="O7648" s="4" t="str">
        <f>IFERROR(__xludf.DUMMYFUNCTION("""COMPUTED_VALUE"""),"Cardápio Web")</f>
        <v>Cardápio Web</v>
      </c>
      <c r="P7648" s="33">
        <f>IFERROR(__xludf.DUMMYFUNCTION("""COMPUTED_VALUE"""),1.0)</f>
        <v>1</v>
      </c>
      <c r="Q7648" s="4" t="str">
        <f>IFERROR(__xludf.DUMMYFUNCTION("""COMPUTED_VALUE"""),"Cardápio Web")</f>
        <v>Cardápio Web</v>
      </c>
      <c r="R7648" s="33">
        <f>IFERROR(__xludf.DUMMYFUNCTION("""COMPUTED_VALUE"""),1.0)</f>
        <v>1</v>
      </c>
      <c r="S7648" s="4" t="str">
        <f>IFERROR(__xludf.DUMMYFUNCTION("""COMPUTED_VALUE"""),"Cardápio Web")</f>
        <v>Cardápio Web</v>
      </c>
      <c r="T7648" s="33">
        <f>IFERROR(__xludf.DUMMYFUNCTION("""COMPUTED_VALUE"""),1.0)</f>
        <v>1</v>
      </c>
      <c r="U7648" s="4" t="str">
        <f>IFERROR(__xludf.DUMMYFUNCTION("""COMPUTED_VALUE"""),"Cardápio Web")</f>
        <v>Cardápio Web</v>
      </c>
      <c r="V7648" s="33">
        <f>IFERROR(__xludf.DUMMYFUNCTION("""COMPUTED_VALUE"""),1.0)</f>
        <v>1</v>
      </c>
      <c r="W7648" s="4" t="str">
        <f>IFERROR(__xludf.DUMMYFUNCTION("""COMPUTED_VALUE"""),"Cardápio Web")</f>
        <v>Cardápio Web</v>
      </c>
      <c r="X7648" s="33">
        <f>IFERROR(__xludf.DUMMYFUNCTION("""COMPUTED_VALUE"""),1.0)</f>
        <v>1</v>
      </c>
    </row>
    <row r="7649">
      <c r="K7649" s="4" t="str">
        <f>IFERROR(__xludf.DUMMYFUNCTION("""COMPUTED_VALUE"""),"PIZZA DO FAUSTAO - CONTA PAI")</f>
        <v>PIZZA DO FAUSTAO - CONTA PAI</v>
      </c>
      <c r="L7649" s="32">
        <f>IFERROR(__xludf.DUMMYFUNCTION("""COMPUTED_VALUE"""),2.0)</f>
        <v>2</v>
      </c>
      <c r="M7649" s="4" t="str">
        <f>IFERROR(__xludf.DUMMYFUNCTION("""COMPUTED_VALUE"""),"Connectplug")</f>
        <v>Connectplug</v>
      </c>
      <c r="N7649" s="33">
        <f>IFERROR(__xludf.DUMMYFUNCTION("""COMPUTED_VALUE"""),1.0)</f>
        <v>1</v>
      </c>
      <c r="O7649" s="4" t="str">
        <f>IFERROR(__xludf.DUMMYFUNCTION("""COMPUTED_VALUE"""),"Connectplug")</f>
        <v>Connectplug</v>
      </c>
      <c r="P7649" s="33">
        <f>IFERROR(__xludf.DUMMYFUNCTION("""COMPUTED_VALUE"""),0.5)</f>
        <v>0.5</v>
      </c>
      <c r="Q7649" s="4" t="str">
        <f>IFERROR(__xludf.DUMMYFUNCTION("""COMPUTED_VALUE"""),"null")</f>
        <v>null</v>
      </c>
      <c r="R7649" s="33">
        <f>IFERROR(__xludf.DUMMYFUNCTION("""COMPUTED_VALUE"""),1.0)</f>
        <v>1</v>
      </c>
      <c r="S7649" s="4" t="str">
        <f>IFERROR(__xludf.DUMMYFUNCTION("""COMPUTED_VALUE"""),"null")</f>
        <v>null</v>
      </c>
      <c r="T7649" s="33">
        <f>IFERROR(__xludf.DUMMYFUNCTION("""COMPUTED_VALUE"""),1.0)</f>
        <v>1</v>
      </c>
      <c r="U7649" s="4" t="str">
        <f>IFERROR(__xludf.DUMMYFUNCTION("""COMPUTED_VALUE"""),"null")</f>
        <v>null</v>
      </c>
      <c r="V7649" s="33">
        <f>IFERROR(__xludf.DUMMYFUNCTION("""COMPUTED_VALUE"""),1.0)</f>
        <v>1</v>
      </c>
      <c r="W7649" s="4" t="str">
        <f>IFERROR(__xludf.DUMMYFUNCTION("""COMPUTED_VALUE"""),"null")</f>
        <v>null</v>
      </c>
      <c r="X7649" s="33">
        <f>IFERROR(__xludf.DUMMYFUNCTION("""COMPUTED_VALUE"""),1.0)</f>
        <v>1</v>
      </c>
    </row>
    <row r="7650">
      <c r="K7650" s="4" t="str">
        <f>IFERROR(__xludf.DUMMYFUNCTION("""COMPUTED_VALUE"""),"PIZZA DO VALENTE")</f>
        <v>PIZZA DO VALENTE</v>
      </c>
      <c r="L7650" s="32">
        <f>IFERROR(__xludf.DUMMYFUNCTION("""COMPUTED_VALUE"""),2.0)</f>
        <v>2</v>
      </c>
      <c r="M7650" s="4" t="str">
        <f>IFERROR(__xludf.DUMMYFUNCTION("""COMPUTED_VALUE"""),"null")</f>
        <v>null</v>
      </c>
      <c r="N7650" s="33">
        <f>IFERROR(__xludf.DUMMYFUNCTION("""COMPUTED_VALUE"""),0.5)</f>
        <v>0.5</v>
      </c>
      <c r="O7650" s="4" t="str">
        <f>IFERROR(__xludf.DUMMYFUNCTION("""COMPUTED_VALUE"""),"null")</f>
        <v>null</v>
      </c>
      <c r="P7650" s="33">
        <f>IFERROR(__xludf.DUMMYFUNCTION("""COMPUTED_VALUE"""),0.5)</f>
        <v>0.5</v>
      </c>
      <c r="Q7650" s="4" t="str">
        <f>IFERROR(__xludf.DUMMYFUNCTION("""COMPUTED_VALUE"""),"Cardápio Web")</f>
        <v>Cardápio Web</v>
      </c>
      <c r="R7650" s="33">
        <f>IFERROR(__xludf.DUMMYFUNCTION("""COMPUTED_VALUE"""),0.5)</f>
        <v>0.5</v>
      </c>
      <c r="S7650" s="4" t="str">
        <f>IFERROR(__xludf.DUMMYFUNCTION("""COMPUTED_VALUE"""),"Cardápio Web")</f>
        <v>Cardápio Web</v>
      </c>
      <c r="T7650" s="33">
        <f>IFERROR(__xludf.DUMMYFUNCTION("""COMPUTED_VALUE"""),1.0)</f>
        <v>1</v>
      </c>
      <c r="U7650" s="4" t="str">
        <f>IFERROR(__xludf.DUMMYFUNCTION("""COMPUTED_VALUE"""),"Cardápio Web")</f>
        <v>Cardápio Web</v>
      </c>
      <c r="V7650" s="33">
        <f>IFERROR(__xludf.DUMMYFUNCTION("""COMPUTED_VALUE"""),1.0)</f>
        <v>1</v>
      </c>
      <c r="W7650" s="4" t="str">
        <f>IFERROR(__xludf.DUMMYFUNCTION("""COMPUTED_VALUE"""),"Cardápio Web")</f>
        <v>Cardápio Web</v>
      </c>
      <c r="X7650" s="33">
        <f>IFERROR(__xludf.DUMMYFUNCTION("""COMPUTED_VALUE"""),1.0)</f>
        <v>1</v>
      </c>
    </row>
    <row r="7651">
      <c r="K7651" s="4" t="str">
        <f>IFERROR(__xludf.DUMMYFUNCTION("""COMPUTED_VALUE"""),"OSAKA NIKKEI")</f>
        <v>OSAKA NIKKEI</v>
      </c>
      <c r="L7651" s="32">
        <f>IFERROR(__xludf.DUMMYFUNCTION("""COMPUTED_VALUE"""),2.0)</f>
        <v>2</v>
      </c>
      <c r="M7651" s="4" t="str">
        <f>IFERROR(__xludf.DUMMYFUNCTION("""COMPUTED_VALUE"""),"Mimic")</f>
        <v>Mimic</v>
      </c>
      <c r="N7651" s="33">
        <f>IFERROR(__xludf.DUMMYFUNCTION("""COMPUTED_VALUE"""),1.0)</f>
        <v>1</v>
      </c>
      <c r="O7651" s="4" t="str">
        <f>IFERROR(__xludf.DUMMYFUNCTION("""COMPUTED_VALUE"""),"E-deploy Retail")</f>
        <v>E-deploy Retail</v>
      </c>
      <c r="P7651" s="33">
        <f>IFERROR(__xludf.DUMMYFUNCTION("""COMPUTED_VALUE"""),1.0)</f>
        <v>1</v>
      </c>
      <c r="Q7651" s="4" t="str">
        <f>IFERROR(__xludf.DUMMYFUNCTION("""COMPUTED_VALUE"""),"E-deploy Retail")</f>
        <v>E-deploy Retail</v>
      </c>
      <c r="R7651" s="33">
        <f>IFERROR(__xludf.DUMMYFUNCTION("""COMPUTED_VALUE"""),1.0)</f>
        <v>1</v>
      </c>
      <c r="S7651" s="4" t="str">
        <f>IFERROR(__xludf.DUMMYFUNCTION("""COMPUTED_VALUE"""),"E-deploy Retail")</f>
        <v>E-deploy Retail</v>
      </c>
      <c r="T7651" s="33">
        <f>IFERROR(__xludf.DUMMYFUNCTION("""COMPUTED_VALUE"""),1.0)</f>
        <v>1</v>
      </c>
      <c r="U7651" s="4" t="str">
        <f>IFERROR(__xludf.DUMMYFUNCTION("""COMPUTED_VALUE"""),"E-deploy Retail")</f>
        <v>E-deploy Retail</v>
      </c>
      <c r="V7651" s="33">
        <f>IFERROR(__xludf.DUMMYFUNCTION("""COMPUTED_VALUE"""),1.0)</f>
        <v>1</v>
      </c>
      <c r="W7651" s="4" t="str">
        <f>IFERROR(__xludf.DUMMYFUNCTION("""COMPUTED_VALUE"""),"E-deploy Retail")</f>
        <v>E-deploy Retail</v>
      </c>
      <c r="X7651" s="33">
        <f>IFERROR(__xludf.DUMMYFUNCTION("""COMPUTED_VALUE"""),1.0)</f>
        <v>1</v>
      </c>
    </row>
    <row r="7652">
      <c r="K7652" s="4" t="str">
        <f>IFERROR(__xludf.DUMMYFUNCTION("""COMPUTED_VALUE"""),"PIZZA MAIS TAUBATE")</f>
        <v>PIZZA MAIS TAUBATE</v>
      </c>
      <c r="L7652" s="32">
        <f>IFERROR(__xludf.DUMMYFUNCTION("""COMPUTED_VALUE"""),2.0)</f>
        <v>2</v>
      </c>
      <c r="M7652" s="4" t="str">
        <f>IFERROR(__xludf.DUMMYFUNCTION("""COMPUTED_VALUE"""),"Premio Sistemas Ltda")</f>
        <v>Premio Sistemas Ltda</v>
      </c>
      <c r="N7652" s="33">
        <f>IFERROR(__xludf.DUMMYFUNCTION("""COMPUTED_VALUE"""),1.0)</f>
        <v>1</v>
      </c>
      <c r="O7652" s="4" t="str">
        <f>IFERROR(__xludf.DUMMYFUNCTION("""COMPUTED_VALUE"""),"Premio Sistemas Ltda")</f>
        <v>Premio Sistemas Ltda</v>
      </c>
      <c r="P7652" s="33">
        <f>IFERROR(__xludf.DUMMYFUNCTION("""COMPUTED_VALUE"""),1.0)</f>
        <v>1</v>
      </c>
      <c r="Q7652" s="4" t="str">
        <f>IFERROR(__xludf.DUMMYFUNCTION("""COMPUTED_VALUE"""),"Premio Sistemas Ltda")</f>
        <v>Premio Sistemas Ltda</v>
      </c>
      <c r="R7652" s="33">
        <f>IFERROR(__xludf.DUMMYFUNCTION("""COMPUTED_VALUE"""),1.0)</f>
        <v>1</v>
      </c>
      <c r="S7652" s="4" t="str">
        <f>IFERROR(__xludf.DUMMYFUNCTION("""COMPUTED_VALUE"""),"Premio Sistemas Ltda")</f>
        <v>Premio Sistemas Ltda</v>
      </c>
      <c r="T7652" s="33">
        <f>IFERROR(__xludf.DUMMYFUNCTION("""COMPUTED_VALUE"""),1.0)</f>
        <v>1</v>
      </c>
      <c r="U7652" s="4" t="str">
        <f>IFERROR(__xludf.DUMMYFUNCTION("""COMPUTED_VALUE"""),"Premio Sistemas Ltda")</f>
        <v>Premio Sistemas Ltda</v>
      </c>
      <c r="V7652" s="33">
        <f>IFERROR(__xludf.DUMMYFUNCTION("""COMPUTED_VALUE"""),1.0)</f>
        <v>1</v>
      </c>
      <c r="W7652" s="4" t="str">
        <f>IFERROR(__xludf.DUMMYFUNCTION("""COMPUTED_VALUE"""),"Premio Sistemas Ltda")</f>
        <v>Premio Sistemas Ltda</v>
      </c>
      <c r="X7652" s="33">
        <f>IFERROR(__xludf.DUMMYFUNCTION("""COMPUTED_VALUE"""),1.0)</f>
        <v>1</v>
      </c>
    </row>
    <row r="7653">
      <c r="K7653" s="4" t="str">
        <f>IFERROR(__xludf.DUMMYFUNCTION("""COMPUTED_VALUE"""),"PIZZA MOVIE _ LONDRINA - CONTA PAI")</f>
        <v>PIZZA MOVIE _ LONDRINA - CONTA PAI</v>
      </c>
      <c r="L7653" s="32">
        <f>IFERROR(__xludf.DUMMYFUNCTION("""COMPUTED_VALUE"""),2.0)</f>
        <v>2</v>
      </c>
      <c r="M7653" s="4" t="str">
        <f>IFERROR(__xludf.DUMMYFUNCTION("""COMPUTED_VALUE"""),"Sagres Automação Comercial")</f>
        <v>Sagres Automação Comercial</v>
      </c>
      <c r="N7653" s="33">
        <f>IFERROR(__xludf.DUMMYFUNCTION("""COMPUTED_VALUE"""),1.0)</f>
        <v>1</v>
      </c>
      <c r="O7653" s="4" t="str">
        <f>IFERROR(__xludf.DUMMYFUNCTION("""COMPUTED_VALUE"""),"Sagres Automação Comercial")</f>
        <v>Sagres Automação Comercial</v>
      </c>
      <c r="P7653" s="33">
        <f>IFERROR(__xludf.DUMMYFUNCTION("""COMPUTED_VALUE"""),1.0)</f>
        <v>1</v>
      </c>
      <c r="Q7653" s="4" t="str">
        <f>IFERROR(__xludf.DUMMYFUNCTION("""COMPUTED_VALUE"""),"Sagres Automação Comercial")</f>
        <v>Sagres Automação Comercial</v>
      </c>
      <c r="R7653" s="33">
        <f>IFERROR(__xludf.DUMMYFUNCTION("""COMPUTED_VALUE"""),1.0)</f>
        <v>1</v>
      </c>
      <c r="S7653" s="4" t="str">
        <f>IFERROR(__xludf.DUMMYFUNCTION("""COMPUTED_VALUE"""),"Sagres Automação Comercial")</f>
        <v>Sagres Automação Comercial</v>
      </c>
      <c r="T7653" s="33">
        <f>IFERROR(__xludf.DUMMYFUNCTION("""COMPUTED_VALUE"""),1.0)</f>
        <v>1</v>
      </c>
      <c r="U7653" s="4" t="str">
        <f>IFERROR(__xludf.DUMMYFUNCTION("""COMPUTED_VALUE"""),"Sagres Automação Comercial")</f>
        <v>Sagres Automação Comercial</v>
      </c>
      <c r="V7653" s="33">
        <f>IFERROR(__xludf.DUMMYFUNCTION("""COMPUTED_VALUE"""),1.0)</f>
        <v>1</v>
      </c>
      <c r="W7653" s="4" t="str">
        <f>IFERROR(__xludf.DUMMYFUNCTION("""COMPUTED_VALUE"""),"Sagres Automação Comercial")</f>
        <v>Sagres Automação Comercial</v>
      </c>
      <c r="X7653" s="33">
        <f>IFERROR(__xludf.DUMMYFUNCTION("""COMPUTED_VALUE"""),1.0)</f>
        <v>1</v>
      </c>
    </row>
    <row r="7654">
      <c r="K7654" s="4" t="str">
        <f>IFERROR(__xludf.DUMMYFUNCTION("""COMPUTED_VALUE"""),"PIZZA PAN")</f>
        <v>PIZZA PAN</v>
      </c>
      <c r="L7654" s="32">
        <f>IFERROR(__xludf.DUMMYFUNCTION("""COMPUTED_VALUE"""),2.0)</f>
        <v>2</v>
      </c>
      <c r="M7654" s="4" t="str">
        <f>IFERROR(__xludf.DUMMYFUNCTION("""COMPUTED_VALUE"""),"Saipos Serviços De Software")</f>
        <v>Saipos Serviços De Software</v>
      </c>
      <c r="N7654" s="33">
        <f>IFERROR(__xludf.DUMMYFUNCTION("""COMPUTED_VALUE"""),1.0)</f>
        <v>1</v>
      </c>
      <c r="O7654" s="4" t="str">
        <f>IFERROR(__xludf.DUMMYFUNCTION("""COMPUTED_VALUE"""),"Saipos Serviços De Software")</f>
        <v>Saipos Serviços De Software</v>
      </c>
      <c r="P7654" s="33">
        <f>IFERROR(__xludf.DUMMYFUNCTION("""COMPUTED_VALUE"""),1.0)</f>
        <v>1</v>
      </c>
      <c r="Q7654" s="4" t="str">
        <f>IFERROR(__xludf.DUMMYFUNCTION("""COMPUTED_VALUE"""),"Saipos Serviços De Software")</f>
        <v>Saipos Serviços De Software</v>
      </c>
      <c r="R7654" s="33">
        <f>IFERROR(__xludf.DUMMYFUNCTION("""COMPUTED_VALUE"""),1.0)</f>
        <v>1</v>
      </c>
      <c r="S7654" s="4" t="str">
        <f>IFERROR(__xludf.DUMMYFUNCTION("""COMPUTED_VALUE"""),"Saipos Serviços De Software")</f>
        <v>Saipos Serviços De Software</v>
      </c>
      <c r="T7654" s="33">
        <f>IFERROR(__xludf.DUMMYFUNCTION("""COMPUTED_VALUE"""),1.0)</f>
        <v>1</v>
      </c>
      <c r="U7654" s="4" t="str">
        <f>IFERROR(__xludf.DUMMYFUNCTION("""COMPUTED_VALUE"""),"Saipos Serviços De Software")</f>
        <v>Saipos Serviços De Software</v>
      </c>
      <c r="V7654" s="33">
        <f>IFERROR(__xludf.DUMMYFUNCTION("""COMPUTED_VALUE"""),1.0)</f>
        <v>1</v>
      </c>
      <c r="W7654" s="4" t="str">
        <f>IFERROR(__xludf.DUMMYFUNCTION("""COMPUTED_VALUE"""),"Saipos Serviços De Software")</f>
        <v>Saipos Serviços De Software</v>
      </c>
      <c r="X7654" s="33">
        <f>IFERROR(__xludf.DUMMYFUNCTION("""COMPUTED_VALUE"""),1.0)</f>
        <v>1</v>
      </c>
    </row>
    <row r="7655">
      <c r="K7655" s="4" t="str">
        <f>IFERROR(__xludf.DUMMYFUNCTION("""COMPUTED_VALUE"""),"PIZZA STUPENDA")</f>
        <v>PIZZA STUPENDA</v>
      </c>
      <c r="L7655" s="32">
        <f>IFERROR(__xludf.DUMMYFUNCTION("""COMPUTED_VALUE"""),2.0)</f>
        <v>2</v>
      </c>
      <c r="M7655" s="4" t="str">
        <f>IFERROR(__xludf.DUMMYFUNCTION("""COMPUTED_VALUE"""),"Ative Desenvolvimento De Softwares Ltda")</f>
        <v>Ative Desenvolvimento De Softwares Ltda</v>
      </c>
      <c r="N7655" s="33">
        <f>IFERROR(__xludf.DUMMYFUNCTION("""COMPUTED_VALUE"""),1.0)</f>
        <v>1</v>
      </c>
      <c r="O7655" s="4" t="str">
        <f>IFERROR(__xludf.DUMMYFUNCTION("""COMPUTED_VALUE"""),"Ative Desenvolvimento De Softwares Ltda")</f>
        <v>Ative Desenvolvimento De Softwares Ltda</v>
      </c>
      <c r="P7655" s="33">
        <f>IFERROR(__xludf.DUMMYFUNCTION("""COMPUTED_VALUE"""),1.0)</f>
        <v>1</v>
      </c>
      <c r="Q7655" s="4" t="str">
        <f>IFERROR(__xludf.DUMMYFUNCTION("""COMPUTED_VALUE"""),"Ative Desenvolvimento De Softwares Ltda")</f>
        <v>Ative Desenvolvimento De Softwares Ltda</v>
      </c>
      <c r="R7655" s="33">
        <f>IFERROR(__xludf.DUMMYFUNCTION("""COMPUTED_VALUE"""),1.0)</f>
        <v>1</v>
      </c>
      <c r="S7655" s="4" t="str">
        <f>IFERROR(__xludf.DUMMYFUNCTION("""COMPUTED_VALUE"""),"Ative Desenvolvimento De Softwares Ltda")</f>
        <v>Ative Desenvolvimento De Softwares Ltda</v>
      </c>
      <c r="T7655" s="33">
        <f>IFERROR(__xludf.DUMMYFUNCTION("""COMPUTED_VALUE"""),1.0)</f>
        <v>1</v>
      </c>
      <c r="U7655" s="4" t="str">
        <f>IFERROR(__xludf.DUMMYFUNCTION("""COMPUTED_VALUE"""),"Ative Desenvolvimento De Softwares Ltda")</f>
        <v>Ative Desenvolvimento De Softwares Ltda</v>
      </c>
      <c r="V7655" s="33">
        <f>IFERROR(__xludf.DUMMYFUNCTION("""COMPUTED_VALUE"""),1.0)</f>
        <v>1</v>
      </c>
      <c r="W7655" s="4" t="str">
        <f>IFERROR(__xludf.DUMMYFUNCTION("""COMPUTED_VALUE"""),"Saipos Serviços De Software")</f>
        <v>Saipos Serviços De Software</v>
      </c>
      <c r="X7655" s="33">
        <f>IFERROR(__xludf.DUMMYFUNCTION("""COMPUTED_VALUE"""),1.0)</f>
        <v>1</v>
      </c>
    </row>
    <row r="7656">
      <c r="K7656" s="4" t="str">
        <f>IFERROR(__xludf.DUMMYFUNCTION("""COMPUTED_VALUE"""),"PIZZA STUPENDA - PE")</f>
        <v>PIZZA STUPENDA - PE</v>
      </c>
      <c r="L7656" s="32">
        <f>IFERROR(__xludf.DUMMYFUNCTION("""COMPUTED_VALUE"""),2.0)</f>
        <v>2</v>
      </c>
      <c r="M7656" s="4" t="str">
        <f>IFERROR(__xludf.DUMMYFUNCTION("""COMPUTED_VALUE"""),"Ative Desenvolvimento De Softwares Ltda")</f>
        <v>Ative Desenvolvimento De Softwares Ltda</v>
      </c>
      <c r="N7656" s="33">
        <f>IFERROR(__xludf.DUMMYFUNCTION("""COMPUTED_VALUE"""),1.0)</f>
        <v>1</v>
      </c>
      <c r="O7656" s="4" t="str">
        <f>IFERROR(__xludf.DUMMYFUNCTION("""COMPUTED_VALUE"""),"Ative Desenvolvimento De Softwares Ltda")</f>
        <v>Ative Desenvolvimento De Softwares Ltda</v>
      </c>
      <c r="P7656" s="33">
        <f>IFERROR(__xludf.DUMMYFUNCTION("""COMPUTED_VALUE"""),1.0)</f>
        <v>1</v>
      </c>
      <c r="Q7656" s="4" t="str">
        <f>IFERROR(__xludf.DUMMYFUNCTION("""COMPUTED_VALUE"""),"Ative Desenvolvimento De Softwares Ltda")</f>
        <v>Ative Desenvolvimento De Softwares Ltda</v>
      </c>
      <c r="R7656" s="33">
        <f>IFERROR(__xludf.DUMMYFUNCTION("""COMPUTED_VALUE"""),1.0)</f>
        <v>1</v>
      </c>
      <c r="S7656" s="4" t="str">
        <f>IFERROR(__xludf.DUMMYFUNCTION("""COMPUTED_VALUE"""),"Ative Desenvolvimento De Softwares Ltda")</f>
        <v>Ative Desenvolvimento De Softwares Ltda</v>
      </c>
      <c r="T7656" s="33">
        <f>IFERROR(__xludf.DUMMYFUNCTION("""COMPUTED_VALUE"""),1.0)</f>
        <v>1</v>
      </c>
      <c r="U7656" s="4" t="str">
        <f>IFERROR(__xludf.DUMMYFUNCTION("""COMPUTED_VALUE"""),"Ative Desenvolvimento De Softwares Ltda")</f>
        <v>Ative Desenvolvimento De Softwares Ltda</v>
      </c>
      <c r="V7656" s="33">
        <f>IFERROR(__xludf.DUMMYFUNCTION("""COMPUTED_VALUE"""),1.0)</f>
        <v>1</v>
      </c>
      <c r="W7656" s="4" t="str">
        <f>IFERROR(__xludf.DUMMYFUNCTION("""COMPUTED_VALUE"""),"Saipos Serviços De Software")</f>
        <v>Saipos Serviços De Software</v>
      </c>
      <c r="X7656" s="33">
        <f>IFERROR(__xludf.DUMMYFUNCTION("""COMPUTED_VALUE"""),1.0)</f>
        <v>1</v>
      </c>
    </row>
    <row r="7657">
      <c r="K7657" s="4" t="str">
        <f>IFERROR(__xludf.DUMMYFUNCTION("""COMPUTED_VALUE"""),"PIZZA TRIP")</f>
        <v>PIZZA TRIP</v>
      </c>
      <c r="L7657" s="32">
        <f>IFERROR(__xludf.DUMMYFUNCTION("""COMPUTED_VALUE"""),2.0)</f>
        <v>2</v>
      </c>
      <c r="M7657" s="4" t="str">
        <f>IFERROR(__xludf.DUMMYFUNCTION("""COMPUTED_VALUE"""),"Cardápio Web")</f>
        <v>Cardápio Web</v>
      </c>
      <c r="N7657" s="33">
        <f>IFERROR(__xludf.DUMMYFUNCTION("""COMPUTED_VALUE"""),1.0)</f>
        <v>1</v>
      </c>
      <c r="O7657" s="4" t="str">
        <f>IFERROR(__xludf.DUMMYFUNCTION("""COMPUTED_VALUE"""),"Cardápio Web")</f>
        <v>Cardápio Web</v>
      </c>
      <c r="P7657" s="33">
        <f>IFERROR(__xludf.DUMMYFUNCTION("""COMPUTED_VALUE"""),1.0)</f>
        <v>1</v>
      </c>
      <c r="Q7657" s="4" t="str">
        <f>IFERROR(__xludf.DUMMYFUNCTION("""COMPUTED_VALUE"""),"Cardápio Web")</f>
        <v>Cardápio Web</v>
      </c>
      <c r="R7657" s="33">
        <f>IFERROR(__xludf.DUMMYFUNCTION("""COMPUTED_VALUE"""),1.0)</f>
        <v>1</v>
      </c>
      <c r="S7657" s="4" t="str">
        <f>IFERROR(__xludf.DUMMYFUNCTION("""COMPUTED_VALUE"""),"Cardápio Web")</f>
        <v>Cardápio Web</v>
      </c>
      <c r="T7657" s="33">
        <f>IFERROR(__xludf.DUMMYFUNCTION("""COMPUTED_VALUE"""),1.0)</f>
        <v>1</v>
      </c>
      <c r="U7657" s="4" t="str">
        <f>IFERROR(__xludf.DUMMYFUNCTION("""COMPUTED_VALUE"""),"Cardápio Web")</f>
        <v>Cardápio Web</v>
      </c>
      <c r="V7657" s="33">
        <f>IFERROR(__xludf.DUMMYFUNCTION("""COMPUTED_VALUE"""),1.0)</f>
        <v>1</v>
      </c>
      <c r="W7657" s="4" t="str">
        <f>IFERROR(__xludf.DUMMYFUNCTION("""COMPUTED_VALUE"""),"Cardápio Web")</f>
        <v>Cardápio Web</v>
      </c>
      <c r="X7657" s="33">
        <f>IFERROR(__xludf.DUMMYFUNCTION("""COMPUTED_VALUE"""),1.0)</f>
        <v>1</v>
      </c>
    </row>
    <row r="7658">
      <c r="K7658" s="4" t="str">
        <f>IFERROR(__xludf.DUMMYFUNCTION("""COMPUTED_VALUE"""),"PIZZA ZIM- MARCA")</f>
        <v>PIZZA ZIM- MARCA</v>
      </c>
      <c r="L7658" s="32">
        <f>IFERROR(__xludf.DUMMYFUNCTION("""COMPUTED_VALUE"""),2.0)</f>
        <v>2</v>
      </c>
      <c r="M7658" s="4" t="str">
        <f>IFERROR(__xludf.DUMMYFUNCTION("""COMPUTED_VALUE"""),"Saipos Serviços De Software")</f>
        <v>Saipos Serviços De Software</v>
      </c>
      <c r="N7658" s="33">
        <f>IFERROR(__xludf.DUMMYFUNCTION("""COMPUTED_VALUE"""),1.0)</f>
        <v>1</v>
      </c>
      <c r="O7658" s="4" t="str">
        <f>IFERROR(__xludf.DUMMYFUNCTION("""COMPUTED_VALUE"""),"Saipos Serviços De Software")</f>
        <v>Saipos Serviços De Software</v>
      </c>
      <c r="P7658" s="33">
        <f>IFERROR(__xludf.DUMMYFUNCTION("""COMPUTED_VALUE"""),1.0)</f>
        <v>1</v>
      </c>
      <c r="Q7658" s="4" t="str">
        <f>IFERROR(__xludf.DUMMYFUNCTION("""COMPUTED_VALUE"""),"Saipos Serviços De Software")</f>
        <v>Saipos Serviços De Software</v>
      </c>
      <c r="R7658" s="33">
        <f>IFERROR(__xludf.DUMMYFUNCTION("""COMPUTED_VALUE"""),1.0)</f>
        <v>1</v>
      </c>
      <c r="S7658" s="4" t="str">
        <f>IFERROR(__xludf.DUMMYFUNCTION("""COMPUTED_VALUE"""),"Saipos Serviços De Software")</f>
        <v>Saipos Serviços De Software</v>
      </c>
      <c r="T7658" s="33">
        <f>IFERROR(__xludf.DUMMYFUNCTION("""COMPUTED_VALUE"""),1.0)</f>
        <v>1</v>
      </c>
      <c r="U7658" s="4" t="str">
        <f>IFERROR(__xludf.DUMMYFUNCTION("""COMPUTED_VALUE"""),"Saipos Serviços De Software")</f>
        <v>Saipos Serviços De Software</v>
      </c>
      <c r="V7658" s="33">
        <f>IFERROR(__xludf.DUMMYFUNCTION("""COMPUTED_VALUE"""),1.0)</f>
        <v>1</v>
      </c>
      <c r="W7658" s="4" t="str">
        <f>IFERROR(__xludf.DUMMYFUNCTION("""COMPUTED_VALUE"""),"Saipos Serviços De Software")</f>
        <v>Saipos Serviços De Software</v>
      </c>
      <c r="X7658" s="33">
        <f>IFERROR(__xludf.DUMMYFUNCTION("""COMPUTED_VALUE"""),1.0)</f>
        <v>1</v>
      </c>
    </row>
    <row r="7659">
      <c r="K7659" s="4" t="str">
        <f>IFERROR(__xludf.DUMMYFUNCTION("""COMPUTED_VALUE"""),"PIZZADINO")</f>
        <v>PIZZADINO</v>
      </c>
      <c r="L7659" s="32">
        <f>IFERROR(__xludf.DUMMYFUNCTION("""COMPUTED_VALUE"""),2.0)</f>
        <v>2</v>
      </c>
      <c r="M7659" s="4" t="str">
        <f>IFERROR(__xludf.DUMMYFUNCTION("""COMPUTED_VALUE"""),"Instadelivery")</f>
        <v>Instadelivery</v>
      </c>
      <c r="N7659" s="33">
        <f>IFERROR(__xludf.DUMMYFUNCTION("""COMPUTED_VALUE"""),1.0)</f>
        <v>1</v>
      </c>
      <c r="O7659" s="4" t="str">
        <f>IFERROR(__xludf.DUMMYFUNCTION("""COMPUTED_VALUE"""),"Instadelivery")</f>
        <v>Instadelivery</v>
      </c>
      <c r="P7659" s="33">
        <f>IFERROR(__xludf.DUMMYFUNCTION("""COMPUTED_VALUE"""),1.0)</f>
        <v>1</v>
      </c>
      <c r="Q7659" s="4" t="str">
        <f>IFERROR(__xludf.DUMMYFUNCTION("""COMPUTED_VALUE"""),"Instadelivery")</f>
        <v>Instadelivery</v>
      </c>
      <c r="R7659" s="33">
        <f>IFERROR(__xludf.DUMMYFUNCTION("""COMPUTED_VALUE"""),1.0)</f>
        <v>1</v>
      </c>
      <c r="S7659" s="4" t="str">
        <f>IFERROR(__xludf.DUMMYFUNCTION("""COMPUTED_VALUE"""),"Instadelivery")</f>
        <v>Instadelivery</v>
      </c>
      <c r="T7659" s="33">
        <f>IFERROR(__xludf.DUMMYFUNCTION("""COMPUTED_VALUE"""),1.0)</f>
        <v>1</v>
      </c>
      <c r="U7659" s="4" t="str">
        <f>IFERROR(__xludf.DUMMYFUNCTION("""COMPUTED_VALUE"""),"Instadelivery")</f>
        <v>Instadelivery</v>
      </c>
      <c r="V7659" s="33">
        <f>IFERROR(__xludf.DUMMYFUNCTION("""COMPUTED_VALUE"""),1.0)</f>
        <v>1</v>
      </c>
      <c r="W7659" s="4" t="str">
        <f>IFERROR(__xludf.DUMMYFUNCTION("""COMPUTED_VALUE"""),"null")</f>
        <v>null</v>
      </c>
      <c r="X7659" s="33">
        <f>IFERROR(__xludf.DUMMYFUNCTION("""COMPUTED_VALUE"""),0.5)</f>
        <v>0.5</v>
      </c>
    </row>
    <row r="7660">
      <c r="K7660" s="4" t="str">
        <f>IFERROR(__xludf.DUMMYFUNCTION("""COMPUTED_VALUE"""),"PIZZALOCA")</f>
        <v>PIZZALOCA</v>
      </c>
      <c r="L7660" s="32">
        <f>IFERROR(__xludf.DUMMYFUNCTION("""COMPUTED_VALUE"""),2.0)</f>
        <v>2</v>
      </c>
      <c r="M7660" s="4" t="str">
        <f>IFERROR(__xludf.DUMMYFUNCTION("""COMPUTED_VALUE"""),"Ncr")</f>
        <v>Ncr</v>
      </c>
      <c r="N7660" s="33">
        <f>IFERROR(__xludf.DUMMYFUNCTION("""COMPUTED_VALUE"""),1.0)</f>
        <v>1</v>
      </c>
      <c r="O7660" s="4" t="str">
        <f>IFERROR(__xludf.DUMMYFUNCTION("""COMPUTED_VALUE"""),"Ncr")</f>
        <v>Ncr</v>
      </c>
      <c r="P7660" s="33">
        <f>IFERROR(__xludf.DUMMYFUNCTION("""COMPUTED_VALUE"""),1.0)</f>
        <v>1</v>
      </c>
      <c r="Q7660" s="4" t="str">
        <f>IFERROR(__xludf.DUMMYFUNCTION("""COMPUTED_VALUE"""),"Ncr")</f>
        <v>Ncr</v>
      </c>
      <c r="R7660" s="33">
        <f>IFERROR(__xludf.DUMMYFUNCTION("""COMPUTED_VALUE"""),1.0)</f>
        <v>1</v>
      </c>
      <c r="S7660" s="4" t="str">
        <f>IFERROR(__xludf.DUMMYFUNCTION("""COMPUTED_VALUE"""),"Saipos Serviços De Software")</f>
        <v>Saipos Serviços De Software</v>
      </c>
      <c r="T7660" s="33">
        <f>IFERROR(__xludf.DUMMYFUNCTION("""COMPUTED_VALUE"""),0.5)</f>
        <v>0.5</v>
      </c>
      <c r="U7660" s="4" t="str">
        <f>IFERROR(__xludf.DUMMYFUNCTION("""COMPUTED_VALUE"""),"Saipos Serviços De Software")</f>
        <v>Saipos Serviços De Software</v>
      </c>
      <c r="V7660" s="33">
        <f>IFERROR(__xludf.DUMMYFUNCTION("""COMPUTED_VALUE"""),1.0)</f>
        <v>1</v>
      </c>
      <c r="W7660" s="4" t="str">
        <f>IFERROR(__xludf.DUMMYFUNCTION("""COMPUTED_VALUE"""),"Saipos Serviços De Software")</f>
        <v>Saipos Serviços De Software</v>
      </c>
      <c r="X7660" s="33">
        <f>IFERROR(__xludf.DUMMYFUNCTION("""COMPUTED_VALUE"""),1.0)</f>
        <v>1</v>
      </c>
    </row>
    <row r="7661">
      <c r="K7661" s="4" t="str">
        <f>IFERROR(__xludf.DUMMYFUNCTION("""COMPUTED_VALUE"""),"PIZZANO PIZZARIA CONTA PAI")</f>
        <v>PIZZANO PIZZARIA CONTA PAI</v>
      </c>
      <c r="L7661" s="32">
        <f>IFERROR(__xludf.DUMMYFUNCTION("""COMPUTED_VALUE"""),2.0)</f>
        <v>2</v>
      </c>
      <c r="M7661" s="4" t="str">
        <f>IFERROR(__xludf.DUMMYFUNCTION("""COMPUTED_VALUE"""),"Mp Multipedidos")</f>
        <v>Mp Multipedidos</v>
      </c>
      <c r="N7661" s="33">
        <f>IFERROR(__xludf.DUMMYFUNCTION("""COMPUTED_VALUE"""),1.0)</f>
        <v>1</v>
      </c>
      <c r="O7661" s="4" t="str">
        <f>IFERROR(__xludf.DUMMYFUNCTION("""COMPUTED_VALUE"""),"Mp Multipedidos")</f>
        <v>Mp Multipedidos</v>
      </c>
      <c r="P7661" s="33">
        <f>IFERROR(__xludf.DUMMYFUNCTION("""COMPUTED_VALUE"""),1.0)</f>
        <v>1</v>
      </c>
      <c r="Q7661" s="4" t="str">
        <f>IFERROR(__xludf.DUMMYFUNCTION("""COMPUTED_VALUE"""),"Mp Multipedidos")</f>
        <v>Mp Multipedidos</v>
      </c>
      <c r="R7661" s="33">
        <f>IFERROR(__xludf.DUMMYFUNCTION("""COMPUTED_VALUE"""),1.0)</f>
        <v>1</v>
      </c>
      <c r="S7661" s="4" t="str">
        <f>IFERROR(__xludf.DUMMYFUNCTION("""COMPUTED_VALUE"""),"Mp Multipedidos")</f>
        <v>Mp Multipedidos</v>
      </c>
      <c r="T7661" s="33">
        <f>IFERROR(__xludf.DUMMYFUNCTION("""COMPUTED_VALUE"""),1.0)</f>
        <v>1</v>
      </c>
      <c r="U7661" s="4" t="str">
        <f>IFERROR(__xludf.DUMMYFUNCTION("""COMPUTED_VALUE"""),"Mp Multipedidos")</f>
        <v>Mp Multipedidos</v>
      </c>
      <c r="V7661" s="33">
        <f>IFERROR(__xludf.DUMMYFUNCTION("""COMPUTED_VALUE"""),1.0)</f>
        <v>1</v>
      </c>
      <c r="W7661" s="4" t="str">
        <f>IFERROR(__xludf.DUMMYFUNCTION("""COMPUTED_VALUE"""),"Mp Multipedidos")</f>
        <v>Mp Multipedidos</v>
      </c>
      <c r="X7661" s="33">
        <f>IFERROR(__xludf.DUMMYFUNCTION("""COMPUTED_VALUE"""),1.0)</f>
        <v>1</v>
      </c>
    </row>
    <row r="7662">
      <c r="K7662" s="4" t="str">
        <f>IFERROR(__xludf.DUMMYFUNCTION("""COMPUTED_VALUE"""),"PIZZARIA AGUA VERDE E RESTAURANTE - CONTA PAI")</f>
        <v>PIZZARIA AGUA VERDE E RESTAURANTE - CONTA PAI</v>
      </c>
      <c r="L7662" s="32">
        <f>IFERROR(__xludf.DUMMYFUNCTION("""COMPUTED_VALUE"""),2.0)</f>
        <v>2</v>
      </c>
      <c r="M7662" s="4" t="str">
        <f>IFERROR(__xludf.DUMMYFUNCTION("""COMPUTED_VALUE"""),"Saipos Serviços De Software")</f>
        <v>Saipos Serviços De Software</v>
      </c>
      <c r="N7662" s="33">
        <f>IFERROR(__xludf.DUMMYFUNCTION("""COMPUTED_VALUE"""),0.5)</f>
        <v>0.5</v>
      </c>
      <c r="O7662" s="4" t="str">
        <f>IFERROR(__xludf.DUMMYFUNCTION("""COMPUTED_VALUE"""),"Saipos Serviços De Software")</f>
        <v>Saipos Serviços De Software</v>
      </c>
      <c r="P7662" s="33">
        <f>IFERROR(__xludf.DUMMYFUNCTION("""COMPUTED_VALUE"""),0.5)</f>
        <v>0.5</v>
      </c>
      <c r="Q7662" s="4" t="str">
        <f>IFERROR(__xludf.DUMMYFUNCTION("""COMPUTED_VALUE"""),"Saipos Serviços De Software")</f>
        <v>Saipos Serviços De Software</v>
      </c>
      <c r="R7662" s="33">
        <f>IFERROR(__xludf.DUMMYFUNCTION("""COMPUTED_VALUE"""),1.0)</f>
        <v>1</v>
      </c>
      <c r="S7662" s="4" t="str">
        <f>IFERROR(__xludf.DUMMYFUNCTION("""COMPUTED_VALUE"""),"Saipos Serviços De Software")</f>
        <v>Saipos Serviços De Software</v>
      </c>
      <c r="T7662" s="33">
        <f>IFERROR(__xludf.DUMMYFUNCTION("""COMPUTED_VALUE"""),0.5)</f>
        <v>0.5</v>
      </c>
      <c r="U7662" s="4" t="str">
        <f>IFERROR(__xludf.DUMMYFUNCTION("""COMPUTED_VALUE"""),"Saipos Serviços De Software")</f>
        <v>Saipos Serviços De Software</v>
      </c>
      <c r="V7662" s="33">
        <f>IFERROR(__xludf.DUMMYFUNCTION("""COMPUTED_VALUE"""),0.5)</f>
        <v>0.5</v>
      </c>
      <c r="W7662" s="4" t="str">
        <f>IFERROR(__xludf.DUMMYFUNCTION("""COMPUTED_VALUE"""),"Saipos Serviços De Software")</f>
        <v>Saipos Serviços De Software</v>
      </c>
      <c r="X7662" s="33">
        <f>IFERROR(__xludf.DUMMYFUNCTION("""COMPUTED_VALUE"""),0.5)</f>
        <v>0.5</v>
      </c>
    </row>
    <row r="7663">
      <c r="K7663" s="4" t="str">
        <f>IFERROR(__xludf.DUMMYFUNCTION("""COMPUTED_VALUE"""),"PIZZARIA BONANZA - CONTA PAI")</f>
        <v>PIZZARIA BONANZA - CONTA PAI</v>
      </c>
      <c r="L7663" s="32">
        <f>IFERROR(__xludf.DUMMYFUNCTION("""COMPUTED_VALUE"""),2.0)</f>
        <v>2</v>
      </c>
      <c r="M7663" s="4" t="str">
        <f>IFERROR(__xludf.DUMMYFUNCTION("""COMPUTED_VALUE"""),"Latech Informatica Ltda")</f>
        <v>Latech Informatica Ltda</v>
      </c>
      <c r="N7663" s="33">
        <f>IFERROR(__xludf.DUMMYFUNCTION("""COMPUTED_VALUE"""),0.5)</f>
        <v>0.5</v>
      </c>
      <c r="O7663" s="4" t="str">
        <f>IFERROR(__xludf.DUMMYFUNCTION("""COMPUTED_VALUE"""),"Latech Informatica Ltda")</f>
        <v>Latech Informatica Ltda</v>
      </c>
      <c r="P7663" s="33">
        <f>IFERROR(__xludf.DUMMYFUNCTION("""COMPUTED_VALUE"""),0.5)</f>
        <v>0.5</v>
      </c>
      <c r="Q7663" s="4" t="str">
        <f>IFERROR(__xludf.DUMMYFUNCTION("""COMPUTED_VALUE"""),"Latech Informatica Ltda")</f>
        <v>Latech Informatica Ltda</v>
      </c>
      <c r="R7663" s="33">
        <f>IFERROR(__xludf.DUMMYFUNCTION("""COMPUTED_VALUE"""),0.5)</f>
        <v>0.5</v>
      </c>
      <c r="S7663" s="4" t="str">
        <f>IFERROR(__xludf.DUMMYFUNCTION("""COMPUTED_VALUE"""),"Latech Informatica Ltda")</f>
        <v>Latech Informatica Ltda</v>
      </c>
      <c r="T7663" s="33">
        <f>IFERROR(__xludf.DUMMYFUNCTION("""COMPUTED_VALUE"""),0.5)</f>
        <v>0.5</v>
      </c>
      <c r="U7663" s="4" t="str">
        <f>IFERROR(__xludf.DUMMYFUNCTION("""COMPUTED_VALUE"""),"Takeat Tecnologia")</f>
        <v>Takeat Tecnologia</v>
      </c>
      <c r="V7663" s="33">
        <f>IFERROR(__xludf.DUMMYFUNCTION("""COMPUTED_VALUE"""),0.5)</f>
        <v>0.5</v>
      </c>
      <c r="W7663" s="4" t="str">
        <f>IFERROR(__xludf.DUMMYFUNCTION("""COMPUTED_VALUE"""),"Takeat Tecnologia")</f>
        <v>Takeat Tecnologia</v>
      </c>
      <c r="X7663" s="33">
        <f>IFERROR(__xludf.DUMMYFUNCTION("""COMPUTED_VALUE"""),1.0)</f>
        <v>1</v>
      </c>
    </row>
    <row r="7664">
      <c r="K7664" s="4" t="str">
        <f>IFERROR(__xludf.DUMMYFUNCTION("""COMPUTED_VALUE"""),"PIZZARIA BONNA MASSA CONTA PAI")</f>
        <v>PIZZARIA BONNA MASSA CONTA PAI</v>
      </c>
      <c r="L7664" s="32">
        <f>IFERROR(__xludf.DUMMYFUNCTION("""COMPUTED_VALUE"""),2.0)</f>
        <v>2</v>
      </c>
      <c r="M7664" s="4" t="str">
        <f>IFERROR(__xludf.DUMMYFUNCTION("""COMPUTED_VALUE"""),"Cardápio Web")</f>
        <v>Cardápio Web</v>
      </c>
      <c r="N7664" s="33">
        <f>IFERROR(__xludf.DUMMYFUNCTION("""COMPUTED_VALUE"""),1.0)</f>
        <v>1</v>
      </c>
      <c r="O7664" s="4" t="str">
        <f>IFERROR(__xludf.DUMMYFUNCTION("""COMPUTED_VALUE"""),"Cardápio Web")</f>
        <v>Cardápio Web</v>
      </c>
      <c r="P7664" s="33">
        <f>IFERROR(__xludf.DUMMYFUNCTION("""COMPUTED_VALUE"""),1.0)</f>
        <v>1</v>
      </c>
      <c r="Q7664" s="4" t="str">
        <f>IFERROR(__xludf.DUMMYFUNCTION("""COMPUTED_VALUE"""),"Cardápio Web")</f>
        <v>Cardápio Web</v>
      </c>
      <c r="R7664" s="33">
        <f>IFERROR(__xludf.DUMMYFUNCTION("""COMPUTED_VALUE"""),1.0)</f>
        <v>1</v>
      </c>
      <c r="S7664" s="4" t="str">
        <f>IFERROR(__xludf.DUMMYFUNCTION("""COMPUTED_VALUE"""),"Cardápio Web")</f>
        <v>Cardápio Web</v>
      </c>
      <c r="T7664" s="33">
        <f>IFERROR(__xludf.DUMMYFUNCTION("""COMPUTED_VALUE"""),0.5)</f>
        <v>0.5</v>
      </c>
      <c r="U7664" s="4" t="str">
        <f>IFERROR(__xludf.DUMMYFUNCTION("""COMPUTED_VALUE"""),"Cardápio Web")</f>
        <v>Cardápio Web</v>
      </c>
      <c r="V7664" s="33">
        <f>IFERROR(__xludf.DUMMYFUNCTION("""COMPUTED_VALUE"""),0.5)</f>
        <v>0.5</v>
      </c>
      <c r="W7664" s="4" t="str">
        <f>IFERROR(__xludf.DUMMYFUNCTION("""COMPUTED_VALUE"""),"Cardápio Web")</f>
        <v>Cardápio Web</v>
      </c>
      <c r="X7664" s="33">
        <f>IFERROR(__xludf.DUMMYFUNCTION("""COMPUTED_VALUE"""),0.5)</f>
        <v>0.5</v>
      </c>
    </row>
    <row r="7665">
      <c r="K7665" s="4" t="str">
        <f>IFERROR(__xludf.DUMMYFUNCTION("""COMPUTED_VALUE"""),"PIZZARIA DOM RAFA - CONTA MARCA")</f>
        <v>PIZZARIA DOM RAFA - CONTA MARCA</v>
      </c>
      <c r="L7665" s="32">
        <f>IFERROR(__xludf.DUMMYFUNCTION("""COMPUTED_VALUE"""),2.0)</f>
        <v>2</v>
      </c>
      <c r="M7665" s="4" t="str">
        <f>IFERROR(__xludf.DUMMYFUNCTION("""COMPUTED_VALUE"""),"null")</f>
        <v>null</v>
      </c>
      <c r="N7665" s="33">
        <f>IFERROR(__xludf.DUMMYFUNCTION("""COMPUTED_VALUE"""),1.0)</f>
        <v>1</v>
      </c>
      <c r="O7665" s="4" t="str">
        <f>IFERROR(__xludf.DUMMYFUNCTION("""COMPUTED_VALUE"""),"null")</f>
        <v>null</v>
      </c>
      <c r="P7665" s="33">
        <f>IFERROR(__xludf.DUMMYFUNCTION("""COMPUTED_VALUE"""),0.5)</f>
        <v>0.5</v>
      </c>
      <c r="Q7665" s="4" t="str">
        <f>IFERROR(__xludf.DUMMYFUNCTION("""COMPUTED_VALUE"""),"Anota Ai Solucoes Digitais S/a")</f>
        <v>Anota Ai Solucoes Digitais S/a</v>
      </c>
      <c r="R7665" s="33">
        <f>IFERROR(__xludf.DUMMYFUNCTION("""COMPUTED_VALUE"""),0.5)</f>
        <v>0.5</v>
      </c>
      <c r="S7665" s="4" t="str">
        <f>IFERROR(__xludf.DUMMYFUNCTION("""COMPUTED_VALUE"""),"null")</f>
        <v>null</v>
      </c>
      <c r="T7665" s="33">
        <f>IFERROR(__xludf.DUMMYFUNCTION("""COMPUTED_VALUE"""),1.0)</f>
        <v>1</v>
      </c>
      <c r="U7665" s="4" t="str">
        <f>IFERROR(__xludf.DUMMYFUNCTION("""COMPUTED_VALUE"""),"Anota Ai Solucoes Digitais S/a")</f>
        <v>Anota Ai Solucoes Digitais S/a</v>
      </c>
      <c r="V7665" s="33">
        <f>IFERROR(__xludf.DUMMYFUNCTION("""COMPUTED_VALUE"""),0.5)</f>
        <v>0.5</v>
      </c>
      <c r="W7665" s="4" t="str">
        <f>IFERROR(__xludf.DUMMYFUNCTION("""COMPUTED_VALUE"""),"null")</f>
        <v>null</v>
      </c>
      <c r="X7665" s="33">
        <f>IFERROR(__xludf.DUMMYFUNCTION("""COMPUTED_VALUE"""),1.0)</f>
        <v>1</v>
      </c>
    </row>
    <row r="7666">
      <c r="K7666" s="4" t="str">
        <f>IFERROR(__xludf.DUMMYFUNCTION("""COMPUTED_VALUE"""),"PIZZARIA DOMENICA")</f>
        <v>PIZZARIA DOMENICA</v>
      </c>
      <c r="L7666" s="32">
        <f>IFERROR(__xludf.DUMMYFUNCTION("""COMPUTED_VALUE"""),2.0)</f>
        <v>2</v>
      </c>
      <c r="M7666" s="4" t="str">
        <f>IFERROR(__xludf.DUMMYFUNCTION("""COMPUTED_VALUE"""),"Gcom - Gestao Em Tecnologia De Informacao Eireli")</f>
        <v>Gcom - Gestao Em Tecnologia De Informacao Eireli</v>
      </c>
      <c r="N7666" s="33">
        <f>IFERROR(__xludf.DUMMYFUNCTION("""COMPUTED_VALUE"""),1.0)</f>
        <v>1</v>
      </c>
      <c r="O7666" s="4" t="str">
        <f>IFERROR(__xludf.DUMMYFUNCTION("""COMPUTED_VALUE"""),"null")</f>
        <v>null</v>
      </c>
      <c r="P7666" s="33">
        <f>IFERROR(__xludf.DUMMYFUNCTION("""COMPUTED_VALUE"""),0.5)</f>
        <v>0.5</v>
      </c>
      <c r="Q7666" s="4" t="str">
        <f>IFERROR(__xludf.DUMMYFUNCTION("""COMPUTED_VALUE"""),"null")</f>
        <v>null</v>
      </c>
      <c r="R7666" s="33">
        <f>IFERROR(__xludf.DUMMYFUNCTION("""COMPUTED_VALUE"""),0.5)</f>
        <v>0.5</v>
      </c>
      <c r="S7666" s="4" t="str">
        <f>IFERROR(__xludf.DUMMYFUNCTION("""COMPUTED_VALUE"""),"null")</f>
        <v>null</v>
      </c>
      <c r="T7666" s="33">
        <f>IFERROR(__xludf.DUMMYFUNCTION("""COMPUTED_VALUE"""),0.5)</f>
        <v>0.5</v>
      </c>
      <c r="U7666" s="4" t="str">
        <f>IFERROR(__xludf.DUMMYFUNCTION("""COMPUTED_VALUE"""),"Gcom - Gestao Em Tecnologia De Informacao Eireli")</f>
        <v>Gcom - Gestao Em Tecnologia De Informacao Eireli</v>
      </c>
      <c r="V7666" s="33">
        <f>IFERROR(__xludf.DUMMYFUNCTION("""COMPUTED_VALUE"""),1.0)</f>
        <v>1</v>
      </c>
      <c r="W7666" s="4" t="str">
        <f>IFERROR(__xludf.DUMMYFUNCTION("""COMPUTED_VALUE"""),"Gcom - Gestao Em Tecnologia De Informacao Eireli")</f>
        <v>Gcom - Gestao Em Tecnologia De Informacao Eireli</v>
      </c>
      <c r="X7666" s="33">
        <f>IFERROR(__xludf.DUMMYFUNCTION("""COMPUTED_VALUE"""),1.0)</f>
        <v>1</v>
      </c>
    </row>
    <row r="7667">
      <c r="K7667" s="4" t="str">
        <f>IFERROR(__xludf.DUMMYFUNCTION("""COMPUTED_VALUE"""),"PIZZARIA ESTRELA - UBERLANDIA")</f>
        <v>PIZZARIA ESTRELA - UBERLANDIA</v>
      </c>
      <c r="L7667" s="32">
        <f>IFERROR(__xludf.DUMMYFUNCTION("""COMPUTED_VALUE"""),2.0)</f>
        <v>2</v>
      </c>
      <c r="M7667" s="4" t="str">
        <f>IFERROR(__xludf.DUMMYFUNCTION("""COMPUTED_VALUE"""),"Saipos Serviços De Software")</f>
        <v>Saipos Serviços De Software</v>
      </c>
      <c r="N7667" s="33">
        <f>IFERROR(__xludf.DUMMYFUNCTION("""COMPUTED_VALUE"""),1.0)</f>
        <v>1</v>
      </c>
      <c r="O7667" s="4" t="str">
        <f>IFERROR(__xludf.DUMMYFUNCTION("""COMPUTED_VALUE"""),"Saipos Serviços De Software")</f>
        <v>Saipos Serviços De Software</v>
      </c>
      <c r="P7667" s="33">
        <f>IFERROR(__xludf.DUMMYFUNCTION("""COMPUTED_VALUE"""),1.0)</f>
        <v>1</v>
      </c>
      <c r="Q7667" s="4" t="str">
        <f>IFERROR(__xludf.DUMMYFUNCTION("""COMPUTED_VALUE"""),"Saipos Serviços De Software")</f>
        <v>Saipos Serviços De Software</v>
      </c>
      <c r="R7667" s="33">
        <f>IFERROR(__xludf.DUMMYFUNCTION("""COMPUTED_VALUE"""),1.0)</f>
        <v>1</v>
      </c>
      <c r="S7667" s="4" t="str">
        <f>IFERROR(__xludf.DUMMYFUNCTION("""COMPUTED_VALUE"""),"Saipos Serviços De Software")</f>
        <v>Saipos Serviços De Software</v>
      </c>
      <c r="T7667" s="33">
        <f>IFERROR(__xludf.DUMMYFUNCTION("""COMPUTED_VALUE"""),1.0)</f>
        <v>1</v>
      </c>
      <c r="U7667" s="4" t="str">
        <f>IFERROR(__xludf.DUMMYFUNCTION("""COMPUTED_VALUE"""),"Saipos Serviços De Software")</f>
        <v>Saipos Serviços De Software</v>
      </c>
      <c r="V7667" s="33">
        <f>IFERROR(__xludf.DUMMYFUNCTION("""COMPUTED_VALUE"""),1.0)</f>
        <v>1</v>
      </c>
      <c r="W7667" s="4" t="str">
        <f>IFERROR(__xludf.DUMMYFUNCTION("""COMPUTED_VALUE"""),"Saipos Serviços De Software")</f>
        <v>Saipos Serviços De Software</v>
      </c>
      <c r="X7667" s="33">
        <f>IFERROR(__xludf.DUMMYFUNCTION("""COMPUTED_VALUE"""),1.0)</f>
        <v>1</v>
      </c>
    </row>
    <row r="7668">
      <c r="K7668" s="4" t="str">
        <f>IFERROR(__xludf.DUMMYFUNCTION("""COMPUTED_VALUE"""),"PIZZARIA ESTRELA DA ILHA - CONTA GRUPO")</f>
        <v>PIZZARIA ESTRELA DA ILHA - CONTA GRUPO</v>
      </c>
      <c r="L7668" s="32">
        <f>IFERROR(__xludf.DUMMYFUNCTION("""COMPUTED_VALUE"""),2.0)</f>
        <v>2</v>
      </c>
      <c r="M7668" s="4" t="str">
        <f>IFERROR(__xludf.DUMMYFUNCTION("""COMPUTED_VALUE"""),"Saipos Serviços De Software")</f>
        <v>Saipos Serviços De Software</v>
      </c>
      <c r="N7668" s="33">
        <f>IFERROR(__xludf.DUMMYFUNCTION("""COMPUTED_VALUE"""),1.0)</f>
        <v>1</v>
      </c>
      <c r="O7668" s="4" t="str">
        <f>IFERROR(__xludf.DUMMYFUNCTION("""COMPUTED_VALUE"""),"Saipos Serviços De Software")</f>
        <v>Saipos Serviços De Software</v>
      </c>
      <c r="P7668" s="33">
        <f>IFERROR(__xludf.DUMMYFUNCTION("""COMPUTED_VALUE"""),1.0)</f>
        <v>1</v>
      </c>
      <c r="Q7668" s="4" t="str">
        <f>IFERROR(__xludf.DUMMYFUNCTION("""COMPUTED_VALUE"""),"Saipos Serviços De Software")</f>
        <v>Saipos Serviços De Software</v>
      </c>
      <c r="R7668" s="33">
        <f>IFERROR(__xludf.DUMMYFUNCTION("""COMPUTED_VALUE"""),1.0)</f>
        <v>1</v>
      </c>
      <c r="S7668" s="4" t="str">
        <f>IFERROR(__xludf.DUMMYFUNCTION("""COMPUTED_VALUE"""),"Saipos Serviços De Software")</f>
        <v>Saipos Serviços De Software</v>
      </c>
      <c r="T7668" s="33">
        <f>IFERROR(__xludf.DUMMYFUNCTION("""COMPUTED_VALUE"""),1.0)</f>
        <v>1</v>
      </c>
      <c r="U7668" s="4" t="str">
        <f>IFERROR(__xludf.DUMMYFUNCTION("""COMPUTED_VALUE"""),"Saipos Serviços De Software")</f>
        <v>Saipos Serviços De Software</v>
      </c>
      <c r="V7668" s="33">
        <f>IFERROR(__xludf.DUMMYFUNCTION("""COMPUTED_VALUE"""),1.0)</f>
        <v>1</v>
      </c>
      <c r="W7668" s="4" t="str">
        <f>IFERROR(__xludf.DUMMYFUNCTION("""COMPUTED_VALUE"""),"Saipos Serviços De Software")</f>
        <v>Saipos Serviços De Software</v>
      </c>
      <c r="X7668" s="33">
        <f>IFERROR(__xludf.DUMMYFUNCTION("""COMPUTED_VALUE"""),1.0)</f>
        <v>1</v>
      </c>
    </row>
    <row r="7669">
      <c r="K7669" s="4" t="str">
        <f>IFERROR(__xludf.DUMMYFUNCTION("""COMPUTED_VALUE"""),"PIZZARIA FAMIGLIA ARNONI")</f>
        <v>PIZZARIA FAMIGLIA ARNONI</v>
      </c>
      <c r="L7669" s="32">
        <f>IFERROR(__xludf.DUMMYFUNCTION("""COMPUTED_VALUE"""),2.0)</f>
        <v>2</v>
      </c>
      <c r="M7669" s="4" t="str">
        <f>IFERROR(__xludf.DUMMYFUNCTION("""COMPUTED_VALUE"""),"Ncr")</f>
        <v>Ncr</v>
      </c>
      <c r="N7669" s="33">
        <f>IFERROR(__xludf.DUMMYFUNCTION("""COMPUTED_VALUE"""),1.0)</f>
        <v>1</v>
      </c>
      <c r="O7669" s="4" t="str">
        <f>IFERROR(__xludf.DUMMYFUNCTION("""COMPUTED_VALUE"""),"Ncr")</f>
        <v>Ncr</v>
      </c>
      <c r="P7669" s="33">
        <f>IFERROR(__xludf.DUMMYFUNCTION("""COMPUTED_VALUE"""),1.0)</f>
        <v>1</v>
      </c>
      <c r="Q7669" s="4" t="str">
        <f>IFERROR(__xludf.DUMMYFUNCTION("""COMPUTED_VALUE"""),"Ncr")</f>
        <v>Ncr</v>
      </c>
      <c r="R7669" s="33">
        <f>IFERROR(__xludf.DUMMYFUNCTION("""COMPUTED_VALUE"""),1.0)</f>
        <v>1</v>
      </c>
      <c r="S7669" s="4" t="str">
        <f>IFERROR(__xludf.DUMMYFUNCTION("""COMPUTED_VALUE"""),"Ncr")</f>
        <v>Ncr</v>
      </c>
      <c r="T7669" s="33">
        <f>IFERROR(__xludf.DUMMYFUNCTION("""COMPUTED_VALUE"""),1.0)</f>
        <v>1</v>
      </c>
      <c r="U7669" s="4" t="str">
        <f>IFERROR(__xludf.DUMMYFUNCTION("""COMPUTED_VALUE"""),"Ncr")</f>
        <v>Ncr</v>
      </c>
      <c r="V7669" s="33">
        <f>IFERROR(__xludf.DUMMYFUNCTION("""COMPUTED_VALUE"""),1.0)</f>
        <v>1</v>
      </c>
      <c r="W7669" s="4" t="str">
        <f>IFERROR(__xludf.DUMMYFUNCTION("""COMPUTED_VALUE"""),"Ncr")</f>
        <v>Ncr</v>
      </c>
      <c r="X7669" s="33">
        <f>IFERROR(__xludf.DUMMYFUNCTION("""COMPUTED_VALUE"""),1.0)</f>
        <v>1</v>
      </c>
    </row>
    <row r="7670">
      <c r="K7670" s="4" t="str">
        <f>IFERROR(__xludf.DUMMYFUNCTION("""COMPUTED_VALUE"""),"PIZZARIA FORNACE")</f>
        <v>PIZZARIA FORNACE</v>
      </c>
      <c r="L7670" s="32">
        <f>IFERROR(__xludf.DUMMYFUNCTION("""COMPUTED_VALUE"""),2.0)</f>
        <v>2</v>
      </c>
      <c r="M7670" s="4" t="str">
        <f>IFERROR(__xludf.DUMMYFUNCTION("""COMPUTED_VALUE"""),"Inforservice Soluções Em Sistemas Ltda")</f>
        <v>Inforservice Soluções Em Sistemas Ltda</v>
      </c>
      <c r="N7670" s="33">
        <f>IFERROR(__xludf.DUMMYFUNCTION("""COMPUTED_VALUE"""),1.0)</f>
        <v>1</v>
      </c>
      <c r="O7670" s="4" t="str">
        <f>IFERROR(__xludf.DUMMYFUNCTION("""COMPUTED_VALUE"""),"Inforservice Soluções Em Sistemas Ltda")</f>
        <v>Inforservice Soluções Em Sistemas Ltda</v>
      </c>
      <c r="P7670" s="33">
        <f>IFERROR(__xludf.DUMMYFUNCTION("""COMPUTED_VALUE"""),1.0)</f>
        <v>1</v>
      </c>
      <c r="Q7670" s="4" t="str">
        <f>IFERROR(__xludf.DUMMYFUNCTION("""COMPUTED_VALUE"""),"Inforservice Soluções Em Sistemas Ltda")</f>
        <v>Inforservice Soluções Em Sistemas Ltda</v>
      </c>
      <c r="R7670" s="33">
        <f>IFERROR(__xludf.DUMMYFUNCTION("""COMPUTED_VALUE"""),1.0)</f>
        <v>1</v>
      </c>
      <c r="S7670" s="4" t="str">
        <f>IFERROR(__xludf.DUMMYFUNCTION("""COMPUTED_VALUE"""),"Inforservice Soluções Em Sistemas Ltda")</f>
        <v>Inforservice Soluções Em Sistemas Ltda</v>
      </c>
      <c r="T7670" s="33">
        <f>IFERROR(__xludf.DUMMYFUNCTION("""COMPUTED_VALUE"""),0.5)</f>
        <v>0.5</v>
      </c>
      <c r="U7670" s="4" t="str">
        <f>IFERROR(__xludf.DUMMYFUNCTION("""COMPUTED_VALUE"""),"Inforservice Soluções Em Sistemas Ltda")</f>
        <v>Inforservice Soluções Em Sistemas Ltda</v>
      </c>
      <c r="V7670" s="33">
        <f>IFERROR(__xludf.DUMMYFUNCTION("""COMPUTED_VALUE"""),0.5)</f>
        <v>0.5</v>
      </c>
      <c r="W7670" s="4" t="str">
        <f>IFERROR(__xludf.DUMMYFUNCTION("""COMPUTED_VALUE"""),"Inforservice Soluções Em Sistemas Ltda")</f>
        <v>Inforservice Soluções Em Sistemas Ltda</v>
      </c>
      <c r="X7670" s="33">
        <f>IFERROR(__xludf.DUMMYFUNCTION("""COMPUTED_VALUE"""),1.0)</f>
        <v>1</v>
      </c>
    </row>
    <row r="7671">
      <c r="K7671" s="4" t="str">
        <f>IFERROR(__xludf.DUMMYFUNCTION("""COMPUTED_VALUE"""),"PIZZARIA FORNADA")</f>
        <v>PIZZARIA FORNADA</v>
      </c>
      <c r="L7671" s="32">
        <f>IFERROR(__xludf.DUMMYFUNCTION("""COMPUTED_VALUE"""),2.0)</f>
        <v>2</v>
      </c>
      <c r="M7671" s="4" t="str">
        <f>IFERROR(__xludf.DUMMYFUNCTION("""COMPUTED_VALUE"""),"Saipos Serviços De Software")</f>
        <v>Saipos Serviços De Software</v>
      </c>
      <c r="N7671" s="33">
        <f>IFERROR(__xludf.DUMMYFUNCTION("""COMPUTED_VALUE"""),1.0)</f>
        <v>1</v>
      </c>
      <c r="O7671" s="4" t="str">
        <f>IFERROR(__xludf.DUMMYFUNCTION("""COMPUTED_VALUE"""),"Saipos Serviços De Software")</f>
        <v>Saipos Serviços De Software</v>
      </c>
      <c r="P7671" s="33">
        <f>IFERROR(__xludf.DUMMYFUNCTION("""COMPUTED_VALUE"""),1.0)</f>
        <v>1</v>
      </c>
      <c r="Q7671" s="4" t="str">
        <f>IFERROR(__xludf.DUMMYFUNCTION("""COMPUTED_VALUE"""),"Saipos Serviços De Software")</f>
        <v>Saipos Serviços De Software</v>
      </c>
      <c r="R7671" s="33">
        <f>IFERROR(__xludf.DUMMYFUNCTION("""COMPUTED_VALUE"""),1.0)</f>
        <v>1</v>
      </c>
      <c r="S7671" s="4" t="str">
        <f>IFERROR(__xludf.DUMMYFUNCTION("""COMPUTED_VALUE"""),"Saipos Serviços De Software")</f>
        <v>Saipos Serviços De Software</v>
      </c>
      <c r="T7671" s="33">
        <f>IFERROR(__xludf.DUMMYFUNCTION("""COMPUTED_VALUE"""),1.0)</f>
        <v>1</v>
      </c>
      <c r="U7671" s="4" t="str">
        <f>IFERROR(__xludf.DUMMYFUNCTION("""COMPUTED_VALUE"""),"Saipos Serviços De Software")</f>
        <v>Saipos Serviços De Software</v>
      </c>
      <c r="V7671" s="33">
        <f>IFERROR(__xludf.DUMMYFUNCTION("""COMPUTED_VALUE"""),1.0)</f>
        <v>1</v>
      </c>
      <c r="W7671" s="4" t="str">
        <f>IFERROR(__xludf.DUMMYFUNCTION("""COMPUTED_VALUE"""),"Saipos Serviços De Software")</f>
        <v>Saipos Serviços De Software</v>
      </c>
      <c r="X7671" s="33">
        <f>IFERROR(__xludf.DUMMYFUNCTION("""COMPUTED_VALUE"""),1.0)</f>
        <v>1</v>
      </c>
    </row>
    <row r="7672">
      <c r="K7672" s="4" t="str">
        <f>IFERROR(__xludf.DUMMYFUNCTION("""COMPUTED_VALUE"""),"PIZZARIA FORNO DA PIZZA")</f>
        <v>PIZZARIA FORNO DA PIZZA</v>
      </c>
      <c r="L7672" s="32">
        <f>IFERROR(__xludf.DUMMYFUNCTION("""COMPUTED_VALUE"""),2.0)</f>
        <v>2</v>
      </c>
      <c r="M7672" s="4" t="str">
        <f>IFERROR(__xludf.DUMMYFUNCTION("""COMPUTED_VALUE"""),"Saipos Serviços De Software")</f>
        <v>Saipos Serviços De Software</v>
      </c>
      <c r="N7672" s="33">
        <f>IFERROR(__xludf.DUMMYFUNCTION("""COMPUTED_VALUE"""),1.0)</f>
        <v>1</v>
      </c>
      <c r="O7672" s="4" t="str">
        <f>IFERROR(__xludf.DUMMYFUNCTION("""COMPUTED_VALUE"""),"Saipos Serviços De Software")</f>
        <v>Saipos Serviços De Software</v>
      </c>
      <c r="P7672" s="33">
        <f>IFERROR(__xludf.DUMMYFUNCTION("""COMPUTED_VALUE"""),1.0)</f>
        <v>1</v>
      </c>
      <c r="Q7672" s="4" t="str">
        <f>IFERROR(__xludf.DUMMYFUNCTION("""COMPUTED_VALUE"""),"Saipos Serviços De Software")</f>
        <v>Saipos Serviços De Software</v>
      </c>
      <c r="R7672" s="33">
        <f>IFERROR(__xludf.DUMMYFUNCTION("""COMPUTED_VALUE"""),1.0)</f>
        <v>1</v>
      </c>
      <c r="S7672" s="4" t="str">
        <f>IFERROR(__xludf.DUMMYFUNCTION("""COMPUTED_VALUE"""),"Saipos Serviços De Software")</f>
        <v>Saipos Serviços De Software</v>
      </c>
      <c r="T7672" s="33">
        <f>IFERROR(__xludf.DUMMYFUNCTION("""COMPUTED_VALUE"""),1.0)</f>
        <v>1</v>
      </c>
      <c r="U7672" s="4" t="str">
        <f>IFERROR(__xludf.DUMMYFUNCTION("""COMPUTED_VALUE"""),"Saipos Serviços De Software")</f>
        <v>Saipos Serviços De Software</v>
      </c>
      <c r="V7672" s="33">
        <f>IFERROR(__xludf.DUMMYFUNCTION("""COMPUTED_VALUE"""),1.0)</f>
        <v>1</v>
      </c>
      <c r="W7672" s="4" t="str">
        <f>IFERROR(__xludf.DUMMYFUNCTION("""COMPUTED_VALUE"""),"Saipos Serviços De Software")</f>
        <v>Saipos Serviços De Software</v>
      </c>
      <c r="X7672" s="33">
        <f>IFERROR(__xludf.DUMMYFUNCTION("""COMPUTED_VALUE"""),1.0)</f>
        <v>1</v>
      </c>
    </row>
    <row r="7673">
      <c r="K7673" s="4" t="str">
        <f>IFERROR(__xludf.DUMMYFUNCTION("""COMPUTED_VALUE"""),"PIZZARIA FRATELLI")</f>
        <v>PIZZARIA FRATELLI</v>
      </c>
      <c r="L7673" s="32">
        <f>IFERROR(__xludf.DUMMYFUNCTION("""COMPUTED_VALUE"""),2.0)</f>
        <v>2</v>
      </c>
      <c r="M7673" s="4" t="str">
        <f>IFERROR(__xludf.DUMMYFUNCTION("""COMPUTED_VALUE"""),"null")</f>
        <v>null</v>
      </c>
      <c r="N7673" s="33">
        <f>IFERROR(__xludf.DUMMYFUNCTION("""COMPUTED_VALUE"""),0.5)</f>
        <v>0.5</v>
      </c>
      <c r="O7673" s="4" t="str">
        <f>IFERROR(__xludf.DUMMYFUNCTION("""COMPUTED_VALUE"""),"null")</f>
        <v>null</v>
      </c>
      <c r="P7673" s="33">
        <f>IFERROR(__xludf.DUMMYFUNCTION("""COMPUTED_VALUE"""),1.0)</f>
        <v>1</v>
      </c>
      <c r="Q7673" s="4" t="str">
        <f>IFERROR(__xludf.DUMMYFUNCTION("""COMPUTED_VALUE"""),"null")</f>
        <v>null</v>
      </c>
      <c r="R7673" s="33">
        <f>IFERROR(__xludf.DUMMYFUNCTION("""COMPUTED_VALUE"""),1.0)</f>
        <v>1</v>
      </c>
      <c r="S7673" s="4" t="str">
        <f>IFERROR(__xludf.DUMMYFUNCTION("""COMPUTED_VALUE"""),"Stone Co.")</f>
        <v>Stone Co.</v>
      </c>
      <c r="T7673" s="33">
        <f>IFERROR(__xludf.DUMMYFUNCTION("""COMPUTED_VALUE"""),0.5)</f>
        <v>0.5</v>
      </c>
      <c r="U7673" s="4" t="str">
        <f>IFERROR(__xludf.DUMMYFUNCTION("""COMPUTED_VALUE"""),"null")</f>
        <v>null</v>
      </c>
      <c r="V7673" s="33">
        <f>IFERROR(__xludf.DUMMYFUNCTION("""COMPUTED_VALUE"""),1.0)</f>
        <v>1</v>
      </c>
      <c r="W7673" s="4" t="str">
        <f>IFERROR(__xludf.DUMMYFUNCTION("""COMPUTED_VALUE"""),"null")</f>
        <v>null</v>
      </c>
      <c r="X7673" s="33">
        <f>IFERROR(__xludf.DUMMYFUNCTION("""COMPUTED_VALUE"""),1.0)</f>
        <v>1</v>
      </c>
    </row>
    <row r="7674">
      <c r="K7674" s="4" t="str">
        <f>IFERROR(__xludf.DUMMYFUNCTION("""COMPUTED_VALUE"""),"PIZZARIA GARAGE 70")</f>
        <v>PIZZARIA GARAGE 70</v>
      </c>
      <c r="L7674" s="32">
        <f>IFERROR(__xludf.DUMMYFUNCTION("""COMPUTED_VALUE"""),2.0)</f>
        <v>2</v>
      </c>
      <c r="M7674" s="4" t="str">
        <f>IFERROR(__xludf.DUMMYFUNCTION("""COMPUTED_VALUE"""),"null")</f>
        <v>null</v>
      </c>
      <c r="N7674" s="33">
        <f>IFERROR(__xludf.DUMMYFUNCTION("""COMPUTED_VALUE"""),0.5)</f>
        <v>0.5</v>
      </c>
      <c r="O7674" s="4" t="str">
        <f>IFERROR(__xludf.DUMMYFUNCTION("""COMPUTED_VALUE"""),"null")</f>
        <v>null</v>
      </c>
      <c r="P7674" s="33">
        <f>IFERROR(__xludf.DUMMYFUNCTION("""COMPUTED_VALUE"""),0.5)</f>
        <v>0.5</v>
      </c>
      <c r="Q7674" s="4" t="str">
        <f>IFERROR(__xludf.DUMMYFUNCTION("""COMPUTED_VALUE"""),"Saipos Serviços De Software")</f>
        <v>Saipos Serviços De Software</v>
      </c>
      <c r="R7674" s="33">
        <f>IFERROR(__xludf.DUMMYFUNCTION("""COMPUTED_VALUE"""),1.0)</f>
        <v>1</v>
      </c>
      <c r="S7674" s="4" t="str">
        <f>IFERROR(__xludf.DUMMYFUNCTION("""COMPUTED_VALUE"""),"Saipos Serviços De Software")</f>
        <v>Saipos Serviços De Software</v>
      </c>
      <c r="T7674" s="33">
        <f>IFERROR(__xludf.DUMMYFUNCTION("""COMPUTED_VALUE"""),1.0)</f>
        <v>1</v>
      </c>
      <c r="U7674" s="4" t="str">
        <f>IFERROR(__xludf.DUMMYFUNCTION("""COMPUTED_VALUE"""),"Saipos Serviços De Software")</f>
        <v>Saipos Serviços De Software</v>
      </c>
      <c r="V7674" s="33">
        <f>IFERROR(__xludf.DUMMYFUNCTION("""COMPUTED_VALUE"""),1.0)</f>
        <v>1</v>
      </c>
      <c r="W7674" s="4" t="str">
        <f>IFERROR(__xludf.DUMMYFUNCTION("""COMPUTED_VALUE"""),"Saipos Serviços De Software")</f>
        <v>Saipos Serviços De Software</v>
      </c>
      <c r="X7674" s="33">
        <f>IFERROR(__xludf.DUMMYFUNCTION("""COMPUTED_VALUE"""),1.0)</f>
        <v>1</v>
      </c>
    </row>
    <row r="7675">
      <c r="K7675" s="4" t="str">
        <f>IFERROR(__xludf.DUMMYFUNCTION("""COMPUTED_VALUE"""),"PIZZARIA GIOVANNA")</f>
        <v>PIZZARIA GIOVANNA</v>
      </c>
      <c r="L7675" s="32">
        <f>IFERROR(__xludf.DUMMYFUNCTION("""COMPUTED_VALUE"""),2.0)</f>
        <v>2</v>
      </c>
      <c r="M7675" s="4" t="str">
        <f>IFERROR(__xludf.DUMMYFUNCTION("""COMPUTED_VALUE"""),"Sti3 Soluções Em Ti")</f>
        <v>Sti3 Soluções Em Ti</v>
      </c>
      <c r="N7675" s="33">
        <f>IFERROR(__xludf.DUMMYFUNCTION("""COMPUTED_VALUE"""),1.0)</f>
        <v>1</v>
      </c>
      <c r="O7675" s="4" t="str">
        <f>IFERROR(__xludf.DUMMYFUNCTION("""COMPUTED_VALUE"""),"Sti3 Soluções Em Ti")</f>
        <v>Sti3 Soluções Em Ti</v>
      </c>
      <c r="P7675" s="33">
        <f>IFERROR(__xludf.DUMMYFUNCTION("""COMPUTED_VALUE"""),0.5)</f>
        <v>0.5</v>
      </c>
      <c r="Q7675" s="4" t="str">
        <f>IFERROR(__xludf.DUMMYFUNCTION("""COMPUTED_VALUE"""),"Sti3 Soluções Em Ti")</f>
        <v>Sti3 Soluções Em Ti</v>
      </c>
      <c r="R7675" s="33">
        <f>IFERROR(__xludf.DUMMYFUNCTION("""COMPUTED_VALUE"""),1.0)</f>
        <v>1</v>
      </c>
      <c r="S7675" s="4" t="str">
        <f>IFERROR(__xludf.DUMMYFUNCTION("""COMPUTED_VALUE"""),"Sti3 Soluções Em Ti")</f>
        <v>Sti3 Soluções Em Ti</v>
      </c>
      <c r="T7675" s="33">
        <f>IFERROR(__xludf.DUMMYFUNCTION("""COMPUTED_VALUE"""),1.0)</f>
        <v>1</v>
      </c>
      <c r="U7675" s="4" t="str">
        <f>IFERROR(__xludf.DUMMYFUNCTION("""COMPUTED_VALUE"""),"Sti3 Soluções Em Ti")</f>
        <v>Sti3 Soluções Em Ti</v>
      </c>
      <c r="V7675" s="33">
        <f>IFERROR(__xludf.DUMMYFUNCTION("""COMPUTED_VALUE"""),1.0)</f>
        <v>1</v>
      </c>
      <c r="W7675" s="4" t="str">
        <f>IFERROR(__xludf.DUMMYFUNCTION("""COMPUTED_VALUE"""),"Sti3 Soluções Em Ti")</f>
        <v>Sti3 Soluções Em Ti</v>
      </c>
      <c r="X7675" s="33">
        <f>IFERROR(__xludf.DUMMYFUNCTION("""COMPUTED_VALUE"""),1.0)</f>
        <v>1</v>
      </c>
    </row>
    <row r="7676">
      <c r="K7676" s="4" t="str">
        <f>IFERROR(__xludf.DUMMYFUNCTION("""COMPUTED_VALUE"""),"PIZZARIA GRAZIE NAPOLI - CONTA MARCA")</f>
        <v>PIZZARIA GRAZIE NAPOLI - CONTA MARCA</v>
      </c>
      <c r="L7676" s="32">
        <f>IFERROR(__xludf.DUMMYFUNCTION("""COMPUTED_VALUE"""),2.0)</f>
        <v>2</v>
      </c>
      <c r="M7676" s="4" t="str">
        <f>IFERROR(__xludf.DUMMYFUNCTION("""COMPUTED_VALUE"""),"null")</f>
        <v>null</v>
      </c>
      <c r="N7676" s="33">
        <f>IFERROR(__xludf.DUMMYFUNCTION("""COMPUTED_VALUE"""),0.5)</f>
        <v>0.5</v>
      </c>
      <c r="O7676" s="4" t="str">
        <f>IFERROR(__xludf.DUMMYFUNCTION("""COMPUTED_VALUE"""),"null")</f>
        <v>null</v>
      </c>
      <c r="P7676" s="33">
        <f>IFERROR(__xludf.DUMMYFUNCTION("""COMPUTED_VALUE"""),0.5)</f>
        <v>0.5</v>
      </c>
      <c r="Q7676" s="4" t="str">
        <f>IFERROR(__xludf.DUMMYFUNCTION("""COMPUTED_VALUE"""),"null")</f>
        <v>null</v>
      </c>
      <c r="R7676" s="33">
        <f>IFERROR(__xludf.DUMMYFUNCTION("""COMPUTED_VALUE"""),0.5)</f>
        <v>0.5</v>
      </c>
      <c r="S7676" s="4" t="str">
        <f>IFERROR(__xludf.DUMMYFUNCTION("""COMPUTED_VALUE"""),"Ncr")</f>
        <v>Ncr</v>
      </c>
      <c r="T7676" s="33">
        <f>IFERROR(__xludf.DUMMYFUNCTION("""COMPUTED_VALUE"""),1.0)</f>
        <v>1</v>
      </c>
      <c r="U7676" s="4" t="str">
        <f>IFERROR(__xludf.DUMMYFUNCTION("""COMPUTED_VALUE"""),"Ncr")</f>
        <v>Ncr</v>
      </c>
      <c r="V7676" s="33">
        <f>IFERROR(__xludf.DUMMYFUNCTION("""COMPUTED_VALUE"""),1.0)</f>
        <v>1</v>
      </c>
      <c r="W7676" s="4" t="str">
        <f>IFERROR(__xludf.DUMMYFUNCTION("""COMPUTED_VALUE"""),"Ncr")</f>
        <v>Ncr</v>
      </c>
      <c r="X7676" s="33">
        <f>IFERROR(__xludf.DUMMYFUNCTION("""COMPUTED_VALUE"""),1.0)</f>
        <v>1</v>
      </c>
    </row>
    <row r="7677">
      <c r="K7677" s="4" t="str">
        <f>IFERROR(__xludf.DUMMYFUNCTION("""COMPUTED_VALUE"""),"PIZZARIA HANTS")</f>
        <v>PIZZARIA HANTS</v>
      </c>
      <c r="L7677" s="32">
        <f>IFERROR(__xludf.DUMMYFUNCTION("""COMPUTED_VALUE"""),2.0)</f>
        <v>2</v>
      </c>
      <c r="M7677" s="4" t="str">
        <f>IFERROR(__xludf.DUMMYFUNCTION("""COMPUTED_VALUE"""),"Saipos Serviços De Software")</f>
        <v>Saipos Serviços De Software</v>
      </c>
      <c r="N7677" s="33">
        <f>IFERROR(__xludf.DUMMYFUNCTION("""COMPUTED_VALUE"""),1.0)</f>
        <v>1</v>
      </c>
      <c r="O7677" s="4" t="str">
        <f>IFERROR(__xludf.DUMMYFUNCTION("""COMPUTED_VALUE"""),"Saipos Serviços De Software")</f>
        <v>Saipos Serviços De Software</v>
      </c>
      <c r="P7677" s="33">
        <f>IFERROR(__xludf.DUMMYFUNCTION("""COMPUTED_VALUE"""),1.0)</f>
        <v>1</v>
      </c>
      <c r="Q7677" s="4" t="str">
        <f>IFERROR(__xludf.DUMMYFUNCTION("""COMPUTED_VALUE"""),"Cardápio Web")</f>
        <v>Cardápio Web</v>
      </c>
      <c r="R7677" s="33">
        <f>IFERROR(__xludf.DUMMYFUNCTION("""COMPUTED_VALUE"""),1.0)</f>
        <v>1</v>
      </c>
      <c r="S7677" s="4" t="str">
        <f>IFERROR(__xludf.DUMMYFUNCTION("""COMPUTED_VALUE"""),"Cardápio Web")</f>
        <v>Cardápio Web</v>
      </c>
      <c r="T7677" s="33">
        <f>IFERROR(__xludf.DUMMYFUNCTION("""COMPUTED_VALUE"""),1.0)</f>
        <v>1</v>
      </c>
      <c r="U7677" s="4" t="str">
        <f>IFERROR(__xludf.DUMMYFUNCTION("""COMPUTED_VALUE"""),"Cardápio Web")</f>
        <v>Cardápio Web</v>
      </c>
      <c r="V7677" s="33">
        <f>IFERROR(__xludf.DUMMYFUNCTION("""COMPUTED_VALUE"""),1.0)</f>
        <v>1</v>
      </c>
      <c r="W7677" s="4" t="str">
        <f>IFERROR(__xludf.DUMMYFUNCTION("""COMPUTED_VALUE"""),"Cardápio Web")</f>
        <v>Cardápio Web</v>
      </c>
      <c r="X7677" s="33">
        <f>IFERROR(__xludf.DUMMYFUNCTION("""COMPUTED_VALUE"""),1.0)</f>
        <v>1</v>
      </c>
    </row>
    <row r="7678">
      <c r="K7678" s="4" t="str">
        <f>IFERROR(__xludf.DUMMYFUNCTION("""COMPUTED_VALUE"""),"PIZZARIA INCRIVEIS")</f>
        <v>PIZZARIA INCRIVEIS</v>
      </c>
      <c r="L7678" s="32">
        <f>IFERROR(__xludf.DUMMYFUNCTION("""COMPUTED_VALUE"""),2.0)</f>
        <v>2</v>
      </c>
      <c r="M7678" s="4" t="str">
        <f>IFERROR(__xludf.DUMMYFUNCTION("""COMPUTED_VALUE"""),"null")</f>
        <v>null</v>
      </c>
      <c r="N7678" s="33">
        <f>IFERROR(__xludf.DUMMYFUNCTION("""COMPUTED_VALUE"""),0.5)</f>
        <v>0.5</v>
      </c>
      <c r="O7678" s="4" t="str">
        <f>IFERROR(__xludf.DUMMYFUNCTION("""COMPUTED_VALUE"""),"null")</f>
        <v>null</v>
      </c>
      <c r="P7678" s="33">
        <f>IFERROR(__xludf.DUMMYFUNCTION("""COMPUTED_VALUE"""),0.5)</f>
        <v>0.5</v>
      </c>
      <c r="Q7678" s="4" t="str">
        <f>IFERROR(__xludf.DUMMYFUNCTION("""COMPUTED_VALUE"""),"null")</f>
        <v>null</v>
      </c>
      <c r="R7678" s="33">
        <f>IFERROR(__xludf.DUMMYFUNCTION("""COMPUTED_VALUE"""),0.5)</f>
        <v>0.5</v>
      </c>
      <c r="S7678" s="4" t="str">
        <f>IFERROR(__xludf.DUMMYFUNCTION("""COMPUTED_VALUE"""),"null")</f>
        <v>null</v>
      </c>
      <c r="T7678" s="33">
        <f>IFERROR(__xludf.DUMMYFUNCTION("""COMPUTED_VALUE"""),0.5)</f>
        <v>0.5</v>
      </c>
      <c r="U7678" s="4" t="str">
        <f>IFERROR(__xludf.DUMMYFUNCTION("""COMPUTED_VALUE"""),"null")</f>
        <v>null</v>
      </c>
      <c r="V7678" s="33">
        <f>IFERROR(__xludf.DUMMYFUNCTION("""COMPUTED_VALUE"""),0.5)</f>
        <v>0.5</v>
      </c>
      <c r="W7678" s="4" t="str">
        <f>IFERROR(__xludf.DUMMYFUNCTION("""COMPUTED_VALUE"""),"Cardápio Web")</f>
        <v>Cardápio Web</v>
      </c>
      <c r="X7678" s="33">
        <f>IFERROR(__xludf.DUMMYFUNCTION("""COMPUTED_VALUE"""),0.5)</f>
        <v>0.5</v>
      </c>
    </row>
    <row r="7679">
      <c r="K7679" s="4" t="str">
        <f>IFERROR(__xludf.DUMMYFUNCTION("""COMPUTED_VALUE"""),"PIZZARIA ITALIAN - CONTA-PAI")</f>
        <v>PIZZARIA ITALIAN - CONTA-PAI</v>
      </c>
      <c r="L7679" s="32">
        <f>IFERROR(__xludf.DUMMYFUNCTION("""COMPUTED_VALUE"""),2.0)</f>
        <v>2</v>
      </c>
      <c r="M7679" s="4" t="str">
        <f>IFERROR(__xludf.DUMMYFUNCTION("""COMPUTED_VALUE"""),"null")</f>
        <v>null</v>
      </c>
      <c r="N7679" s="33">
        <f>IFERROR(__xludf.DUMMYFUNCTION("""COMPUTED_VALUE"""),0.5)</f>
        <v>0.5</v>
      </c>
      <c r="O7679" s="4" t="str">
        <f>IFERROR(__xludf.DUMMYFUNCTION("""COMPUTED_VALUE"""),"null")</f>
        <v>null</v>
      </c>
      <c r="P7679" s="33">
        <f>IFERROR(__xludf.DUMMYFUNCTION("""COMPUTED_VALUE"""),1.0)</f>
        <v>1</v>
      </c>
      <c r="Q7679" s="4" t="str">
        <f>IFERROR(__xludf.DUMMYFUNCTION("""COMPUTED_VALUE"""),"Eclética Tecnologia")</f>
        <v>Eclética Tecnologia</v>
      </c>
      <c r="R7679" s="33">
        <f>IFERROR(__xludf.DUMMYFUNCTION("""COMPUTED_VALUE"""),1.0)</f>
        <v>1</v>
      </c>
      <c r="S7679" s="4" t="str">
        <f>IFERROR(__xludf.DUMMYFUNCTION("""COMPUTED_VALUE"""),"Eclética Tecnologia")</f>
        <v>Eclética Tecnologia</v>
      </c>
      <c r="T7679" s="33">
        <f>IFERROR(__xludf.DUMMYFUNCTION("""COMPUTED_VALUE"""),1.0)</f>
        <v>1</v>
      </c>
      <c r="U7679" s="4" t="str">
        <f>IFERROR(__xludf.DUMMYFUNCTION("""COMPUTED_VALUE"""),"Eclética Tecnologia")</f>
        <v>Eclética Tecnologia</v>
      </c>
      <c r="V7679" s="33">
        <f>IFERROR(__xludf.DUMMYFUNCTION("""COMPUTED_VALUE"""),1.0)</f>
        <v>1</v>
      </c>
      <c r="W7679" s="4" t="str">
        <f>IFERROR(__xludf.DUMMYFUNCTION("""COMPUTED_VALUE"""),"Eclética Tecnologia")</f>
        <v>Eclética Tecnologia</v>
      </c>
      <c r="X7679" s="33">
        <f>IFERROR(__xludf.DUMMYFUNCTION("""COMPUTED_VALUE"""),1.0)</f>
        <v>1</v>
      </c>
    </row>
    <row r="7680">
      <c r="K7680" s="4" t="str">
        <f>IFERROR(__xludf.DUMMYFUNCTION("""COMPUTED_VALUE"""),"PIZZARIA LA DOLCE VITA")</f>
        <v>PIZZARIA LA DOLCE VITA</v>
      </c>
      <c r="L7680" s="32">
        <f>IFERROR(__xludf.DUMMYFUNCTION("""COMPUTED_VALUE"""),2.0)</f>
        <v>2</v>
      </c>
      <c r="M7680" s="4" t="str">
        <f>IFERROR(__xludf.DUMMYFUNCTION("""COMPUTED_VALUE"""),"Consumer Soluções Em Tecnologia Ltda")</f>
        <v>Consumer Soluções Em Tecnologia Ltda</v>
      </c>
      <c r="N7680" s="33">
        <f>IFERROR(__xludf.DUMMYFUNCTION("""COMPUTED_VALUE"""),1.0)</f>
        <v>1</v>
      </c>
      <c r="O7680" s="4" t="str">
        <f>IFERROR(__xludf.DUMMYFUNCTION("""COMPUTED_VALUE"""),"Consumer Soluções Em Tecnologia Ltda")</f>
        <v>Consumer Soluções Em Tecnologia Ltda</v>
      </c>
      <c r="P7680" s="33">
        <f>IFERROR(__xludf.DUMMYFUNCTION("""COMPUTED_VALUE"""),0.5)</f>
        <v>0.5</v>
      </c>
      <c r="Q7680" s="4" t="str">
        <f>IFERROR(__xludf.DUMMYFUNCTION("""COMPUTED_VALUE"""),"Consumer Soluções Em Tecnologia Ltda")</f>
        <v>Consumer Soluções Em Tecnologia Ltda</v>
      </c>
      <c r="R7680" s="33">
        <f>IFERROR(__xludf.DUMMYFUNCTION("""COMPUTED_VALUE"""),1.0)</f>
        <v>1</v>
      </c>
      <c r="S7680" s="4" t="str">
        <f>IFERROR(__xludf.DUMMYFUNCTION("""COMPUTED_VALUE"""),"Consumer Soluções Em Tecnologia Ltda")</f>
        <v>Consumer Soluções Em Tecnologia Ltda</v>
      </c>
      <c r="T7680" s="33">
        <f>IFERROR(__xludf.DUMMYFUNCTION("""COMPUTED_VALUE"""),0.5)</f>
        <v>0.5</v>
      </c>
      <c r="U7680" s="4" t="str">
        <f>IFERROR(__xludf.DUMMYFUNCTION("""COMPUTED_VALUE"""),"null")</f>
        <v>null</v>
      </c>
      <c r="V7680" s="33">
        <f>IFERROR(__xludf.DUMMYFUNCTION("""COMPUTED_VALUE"""),1.0)</f>
        <v>1</v>
      </c>
      <c r="W7680" s="4" t="str">
        <f>IFERROR(__xludf.DUMMYFUNCTION("""COMPUTED_VALUE"""),"Consumer Soluções Em Tecnologia Ltda")</f>
        <v>Consumer Soluções Em Tecnologia Ltda</v>
      </c>
      <c r="X7680" s="33">
        <f>IFERROR(__xludf.DUMMYFUNCTION("""COMPUTED_VALUE"""),0.5)</f>
        <v>0.5</v>
      </c>
    </row>
    <row r="7681">
      <c r="K7681" s="4" t="str">
        <f>IFERROR(__xludf.DUMMYFUNCTION("""COMPUTED_VALUE"""),"PIZZARIA MAGGIORASCA")</f>
        <v>PIZZARIA MAGGIORASCA</v>
      </c>
      <c r="L7681" s="32">
        <f>IFERROR(__xludf.DUMMYFUNCTION("""COMPUTED_VALUE"""),2.0)</f>
        <v>2</v>
      </c>
      <c r="M7681" s="4" t="str">
        <f>IFERROR(__xludf.DUMMYFUNCTION("""COMPUTED_VALUE"""),"Sisgercom")</f>
        <v>Sisgercom</v>
      </c>
      <c r="N7681" s="33">
        <f>IFERROR(__xludf.DUMMYFUNCTION("""COMPUTED_VALUE"""),0.5)</f>
        <v>0.5</v>
      </c>
      <c r="O7681" s="4" t="str">
        <f>IFERROR(__xludf.DUMMYFUNCTION("""COMPUTED_VALUE"""),"Sisgercom")</f>
        <v>Sisgercom</v>
      </c>
      <c r="P7681" s="33">
        <f>IFERROR(__xludf.DUMMYFUNCTION("""COMPUTED_VALUE"""),0.5)</f>
        <v>0.5</v>
      </c>
      <c r="Q7681" s="4" t="str">
        <f>IFERROR(__xludf.DUMMYFUNCTION("""COMPUTED_VALUE"""),"Sisgercom")</f>
        <v>Sisgercom</v>
      </c>
      <c r="R7681" s="33">
        <f>IFERROR(__xludf.DUMMYFUNCTION("""COMPUTED_VALUE"""),0.5)</f>
        <v>0.5</v>
      </c>
      <c r="S7681" s="4" t="str">
        <f>IFERROR(__xludf.DUMMYFUNCTION("""COMPUTED_VALUE"""),"Sisgercom")</f>
        <v>Sisgercom</v>
      </c>
      <c r="T7681" s="33">
        <f>IFERROR(__xludf.DUMMYFUNCTION("""COMPUTED_VALUE"""),0.5)</f>
        <v>0.5</v>
      </c>
      <c r="U7681" s="4" t="str">
        <f>IFERROR(__xludf.DUMMYFUNCTION("""COMPUTED_VALUE"""),"Sisgercom")</f>
        <v>Sisgercom</v>
      </c>
      <c r="V7681" s="33">
        <f>IFERROR(__xludf.DUMMYFUNCTION("""COMPUTED_VALUE"""),0.5)</f>
        <v>0.5</v>
      </c>
      <c r="W7681" s="4" t="str">
        <f>IFERROR(__xludf.DUMMYFUNCTION("""COMPUTED_VALUE"""),"Sisgercom")</f>
        <v>Sisgercom</v>
      </c>
      <c r="X7681" s="33">
        <f>IFERROR(__xludf.DUMMYFUNCTION("""COMPUTED_VALUE"""),0.5)</f>
        <v>0.5</v>
      </c>
    </row>
    <row r="7682">
      <c r="K7682" s="4" t="str">
        <f>IFERROR(__xludf.DUMMYFUNCTION("""COMPUTED_VALUE"""),"PIZZARIA MARTE")</f>
        <v>PIZZARIA MARTE</v>
      </c>
      <c r="L7682" s="32">
        <f>IFERROR(__xludf.DUMMYFUNCTION("""COMPUTED_VALUE"""),2.0)</f>
        <v>2</v>
      </c>
      <c r="M7682" s="4" t="str">
        <f>IFERROR(__xludf.DUMMYFUNCTION("""COMPUTED_VALUE"""),"Mp Multipedidos")</f>
        <v>Mp Multipedidos</v>
      </c>
      <c r="N7682" s="33">
        <f>IFERROR(__xludf.DUMMYFUNCTION("""COMPUTED_VALUE"""),1.0)</f>
        <v>1</v>
      </c>
      <c r="O7682" s="4" t="str">
        <f>IFERROR(__xludf.DUMMYFUNCTION("""COMPUTED_VALUE"""),"Mp Multipedidos")</f>
        <v>Mp Multipedidos</v>
      </c>
      <c r="P7682" s="33">
        <f>IFERROR(__xludf.DUMMYFUNCTION("""COMPUTED_VALUE"""),1.0)</f>
        <v>1</v>
      </c>
      <c r="Q7682" s="4" t="str">
        <f>IFERROR(__xludf.DUMMYFUNCTION("""COMPUTED_VALUE"""),"Mp Multipedidos")</f>
        <v>Mp Multipedidos</v>
      </c>
      <c r="R7682" s="33">
        <f>IFERROR(__xludf.DUMMYFUNCTION("""COMPUTED_VALUE"""),1.0)</f>
        <v>1</v>
      </c>
      <c r="S7682" s="4" t="str">
        <f>IFERROR(__xludf.DUMMYFUNCTION("""COMPUTED_VALUE"""),"Mp Multipedidos")</f>
        <v>Mp Multipedidos</v>
      </c>
      <c r="T7682" s="33">
        <f>IFERROR(__xludf.DUMMYFUNCTION("""COMPUTED_VALUE"""),1.0)</f>
        <v>1</v>
      </c>
      <c r="U7682" s="4" t="str">
        <f>IFERROR(__xludf.DUMMYFUNCTION("""COMPUTED_VALUE"""),"Mp Multipedidos")</f>
        <v>Mp Multipedidos</v>
      </c>
      <c r="V7682" s="33">
        <f>IFERROR(__xludf.DUMMYFUNCTION("""COMPUTED_VALUE"""),1.0)</f>
        <v>1</v>
      </c>
      <c r="W7682" s="4" t="str">
        <f>IFERROR(__xludf.DUMMYFUNCTION("""COMPUTED_VALUE"""),"Mp Multipedidos")</f>
        <v>Mp Multipedidos</v>
      </c>
      <c r="X7682" s="33">
        <f>IFERROR(__xludf.DUMMYFUNCTION("""COMPUTED_VALUE"""),1.0)</f>
        <v>1</v>
      </c>
    </row>
    <row r="7683">
      <c r="K7683" s="4" t="str">
        <f>IFERROR(__xludf.DUMMYFUNCTION("""COMPUTED_VALUE"""),"PIZZARIA MUMOSA")</f>
        <v>PIZZARIA MUMOSA</v>
      </c>
      <c r="L7683" s="32">
        <f>IFERROR(__xludf.DUMMYFUNCTION("""COMPUTED_VALUE"""),2.0)</f>
        <v>2</v>
      </c>
      <c r="M7683" s="4" t="str">
        <f>IFERROR(__xludf.DUMMYFUNCTION("""COMPUTED_VALUE"""),"Anota Ai Solucoes Digitais S/a")</f>
        <v>Anota Ai Solucoes Digitais S/a</v>
      </c>
      <c r="N7683" s="33">
        <f>IFERROR(__xludf.DUMMYFUNCTION("""COMPUTED_VALUE"""),1.0)</f>
        <v>1</v>
      </c>
      <c r="O7683" s="4" t="str">
        <f>IFERROR(__xludf.DUMMYFUNCTION("""COMPUTED_VALUE"""),"Anota Ai Solucoes Digitais S/a")</f>
        <v>Anota Ai Solucoes Digitais S/a</v>
      </c>
      <c r="P7683" s="33">
        <f>IFERROR(__xludf.DUMMYFUNCTION("""COMPUTED_VALUE"""),1.0)</f>
        <v>1</v>
      </c>
      <c r="Q7683" s="4" t="str">
        <f>IFERROR(__xludf.DUMMYFUNCTION("""COMPUTED_VALUE"""),"Anota Ai Solucoes Digitais S/a")</f>
        <v>Anota Ai Solucoes Digitais S/a</v>
      </c>
      <c r="R7683" s="33">
        <f>IFERROR(__xludf.DUMMYFUNCTION("""COMPUTED_VALUE"""),1.0)</f>
        <v>1</v>
      </c>
      <c r="S7683" s="4" t="str">
        <f>IFERROR(__xludf.DUMMYFUNCTION("""COMPUTED_VALUE"""),"Anota Ai Solucoes Digitais S/a")</f>
        <v>Anota Ai Solucoes Digitais S/a</v>
      </c>
      <c r="T7683" s="33">
        <f>IFERROR(__xludf.DUMMYFUNCTION("""COMPUTED_VALUE"""),1.0)</f>
        <v>1</v>
      </c>
      <c r="U7683" s="4" t="str">
        <f>IFERROR(__xludf.DUMMYFUNCTION("""COMPUTED_VALUE"""),"Anota Ai Solucoes Digitais S/a")</f>
        <v>Anota Ai Solucoes Digitais S/a</v>
      </c>
      <c r="V7683" s="33">
        <f>IFERROR(__xludf.DUMMYFUNCTION("""COMPUTED_VALUE"""),0.5)</f>
        <v>0.5</v>
      </c>
      <c r="W7683" s="4" t="str">
        <f>IFERROR(__xludf.DUMMYFUNCTION("""COMPUTED_VALUE"""),"null")</f>
        <v>null</v>
      </c>
      <c r="X7683" s="33">
        <f>IFERROR(__xludf.DUMMYFUNCTION("""COMPUTED_VALUE"""),1.0)</f>
        <v>1</v>
      </c>
    </row>
    <row r="7684">
      <c r="K7684" s="4" t="str">
        <f>IFERROR(__xludf.DUMMYFUNCTION("""COMPUTED_VALUE"""),"PIZZARIA OFICINA DA PIZZA - MARCA")</f>
        <v>PIZZARIA OFICINA DA PIZZA - MARCA</v>
      </c>
      <c r="L7684" s="32">
        <f>IFERROR(__xludf.DUMMYFUNCTION("""COMPUTED_VALUE"""),2.0)</f>
        <v>2</v>
      </c>
      <c r="M7684" s="4" t="str">
        <f>IFERROR(__xludf.DUMMYFUNCTION("""COMPUTED_VALUE"""),"Saipos Serviços De Software")</f>
        <v>Saipos Serviços De Software</v>
      </c>
      <c r="N7684" s="33">
        <f>IFERROR(__xludf.DUMMYFUNCTION("""COMPUTED_VALUE"""),1.0)</f>
        <v>1</v>
      </c>
      <c r="O7684" s="4" t="str">
        <f>IFERROR(__xludf.DUMMYFUNCTION("""COMPUTED_VALUE"""),"Saipos Serviços De Software")</f>
        <v>Saipos Serviços De Software</v>
      </c>
      <c r="P7684" s="33">
        <f>IFERROR(__xludf.DUMMYFUNCTION("""COMPUTED_VALUE"""),1.0)</f>
        <v>1</v>
      </c>
      <c r="Q7684" s="4" t="str">
        <f>IFERROR(__xludf.DUMMYFUNCTION("""COMPUTED_VALUE"""),"Saipos Serviços De Software")</f>
        <v>Saipos Serviços De Software</v>
      </c>
      <c r="R7684" s="33">
        <f>IFERROR(__xludf.DUMMYFUNCTION("""COMPUTED_VALUE"""),1.0)</f>
        <v>1</v>
      </c>
      <c r="S7684" s="4" t="str">
        <f>IFERROR(__xludf.DUMMYFUNCTION("""COMPUTED_VALUE"""),"Saipos Serviços De Software")</f>
        <v>Saipos Serviços De Software</v>
      </c>
      <c r="T7684" s="33">
        <f>IFERROR(__xludf.DUMMYFUNCTION("""COMPUTED_VALUE"""),1.0)</f>
        <v>1</v>
      </c>
      <c r="U7684" s="4" t="str">
        <f>IFERROR(__xludf.DUMMYFUNCTION("""COMPUTED_VALUE"""),"Saipos Serviços De Software")</f>
        <v>Saipos Serviços De Software</v>
      </c>
      <c r="V7684" s="33">
        <f>IFERROR(__xludf.DUMMYFUNCTION("""COMPUTED_VALUE"""),1.0)</f>
        <v>1</v>
      </c>
      <c r="W7684" s="4" t="str">
        <f>IFERROR(__xludf.DUMMYFUNCTION("""COMPUTED_VALUE"""),"Saipos Serviços De Software")</f>
        <v>Saipos Serviços De Software</v>
      </c>
      <c r="X7684" s="33">
        <f>IFERROR(__xludf.DUMMYFUNCTION("""COMPUTED_VALUE"""),1.0)</f>
        <v>1</v>
      </c>
    </row>
    <row r="7685">
      <c r="K7685" s="4" t="str">
        <f>IFERROR(__xludf.DUMMYFUNCTION("""COMPUTED_VALUE"""),"PIZZARIA PALLAZZE GUARULHOS")</f>
        <v>PIZZARIA PALLAZZE GUARULHOS</v>
      </c>
      <c r="L7685" s="32">
        <f>IFERROR(__xludf.DUMMYFUNCTION("""COMPUTED_VALUE"""),2.0)</f>
        <v>2</v>
      </c>
      <c r="M7685" s="4" t="str">
        <f>IFERROR(__xludf.DUMMYFUNCTION("""COMPUTED_VALUE"""),"Grk Soluções Informatica Eireli")</f>
        <v>Grk Soluções Informatica Eireli</v>
      </c>
      <c r="N7685" s="33">
        <f>IFERROR(__xludf.DUMMYFUNCTION("""COMPUTED_VALUE"""),1.0)</f>
        <v>1</v>
      </c>
      <c r="O7685" s="4" t="str">
        <f>IFERROR(__xludf.DUMMYFUNCTION("""COMPUTED_VALUE"""),"Grk Soluções Informatica Eireli")</f>
        <v>Grk Soluções Informatica Eireli</v>
      </c>
      <c r="P7685" s="33">
        <f>IFERROR(__xludf.DUMMYFUNCTION("""COMPUTED_VALUE"""),1.0)</f>
        <v>1</v>
      </c>
      <c r="Q7685" s="4" t="str">
        <f>IFERROR(__xludf.DUMMYFUNCTION("""COMPUTED_VALUE"""),"Grk Soluções Informatica Eireli")</f>
        <v>Grk Soluções Informatica Eireli</v>
      </c>
      <c r="R7685" s="33">
        <f>IFERROR(__xludf.DUMMYFUNCTION("""COMPUTED_VALUE"""),1.0)</f>
        <v>1</v>
      </c>
      <c r="S7685" s="4" t="str">
        <f>IFERROR(__xludf.DUMMYFUNCTION("""COMPUTED_VALUE"""),"Grk Soluções Informatica Eireli")</f>
        <v>Grk Soluções Informatica Eireli</v>
      </c>
      <c r="T7685" s="33">
        <f>IFERROR(__xludf.DUMMYFUNCTION("""COMPUTED_VALUE"""),1.0)</f>
        <v>1</v>
      </c>
      <c r="U7685" s="4" t="str">
        <f>IFERROR(__xludf.DUMMYFUNCTION("""COMPUTED_VALUE"""),"Grk Soluções Informatica Eireli")</f>
        <v>Grk Soluções Informatica Eireli</v>
      </c>
      <c r="V7685" s="33">
        <f>IFERROR(__xludf.DUMMYFUNCTION("""COMPUTED_VALUE"""),1.0)</f>
        <v>1</v>
      </c>
      <c r="W7685" s="4" t="str">
        <f>IFERROR(__xludf.DUMMYFUNCTION("""COMPUTED_VALUE"""),"Grk Soluções Informatica Eireli")</f>
        <v>Grk Soluções Informatica Eireli</v>
      </c>
      <c r="X7685" s="33">
        <f>IFERROR(__xludf.DUMMYFUNCTION("""COMPUTED_VALUE"""),1.0)</f>
        <v>1</v>
      </c>
    </row>
    <row r="7686">
      <c r="K7686" s="4" t="str">
        <f>IFERROR(__xludf.DUMMYFUNCTION("""COMPUTED_VALUE"""),"PIZZARIA PAULISTINHA")</f>
        <v>PIZZARIA PAULISTINHA</v>
      </c>
      <c r="L7686" s="32">
        <f>IFERROR(__xludf.DUMMYFUNCTION("""COMPUTED_VALUE"""),2.0)</f>
        <v>2</v>
      </c>
      <c r="M7686" s="4" t="str">
        <f>IFERROR(__xludf.DUMMYFUNCTION("""COMPUTED_VALUE"""),"Netcontroll Xmenu")</f>
        <v>Netcontroll Xmenu</v>
      </c>
      <c r="N7686" s="33">
        <f>IFERROR(__xludf.DUMMYFUNCTION("""COMPUTED_VALUE"""),1.0)</f>
        <v>1</v>
      </c>
      <c r="O7686" s="4" t="str">
        <f>IFERROR(__xludf.DUMMYFUNCTION("""COMPUTED_VALUE"""),"Netcontroll Xmenu")</f>
        <v>Netcontroll Xmenu</v>
      </c>
      <c r="P7686" s="33">
        <f>IFERROR(__xludf.DUMMYFUNCTION("""COMPUTED_VALUE"""),1.0)</f>
        <v>1</v>
      </c>
      <c r="Q7686" s="4" t="str">
        <f>IFERROR(__xludf.DUMMYFUNCTION("""COMPUTED_VALUE"""),"Netcontroll Xmenu")</f>
        <v>Netcontroll Xmenu</v>
      </c>
      <c r="R7686" s="33">
        <f>IFERROR(__xludf.DUMMYFUNCTION("""COMPUTED_VALUE"""),1.0)</f>
        <v>1</v>
      </c>
      <c r="S7686" s="4" t="str">
        <f>IFERROR(__xludf.DUMMYFUNCTION("""COMPUTED_VALUE"""),"Netcontroll Xmenu")</f>
        <v>Netcontroll Xmenu</v>
      </c>
      <c r="T7686" s="33">
        <f>IFERROR(__xludf.DUMMYFUNCTION("""COMPUTED_VALUE"""),1.0)</f>
        <v>1</v>
      </c>
      <c r="U7686" s="4" t="str">
        <f>IFERROR(__xludf.DUMMYFUNCTION("""COMPUTED_VALUE"""),"Netcontroll Xmenu")</f>
        <v>Netcontroll Xmenu</v>
      </c>
      <c r="V7686" s="33">
        <f>IFERROR(__xludf.DUMMYFUNCTION("""COMPUTED_VALUE"""),1.0)</f>
        <v>1</v>
      </c>
      <c r="W7686" s="4" t="str">
        <f>IFERROR(__xludf.DUMMYFUNCTION("""COMPUTED_VALUE"""),"Netcontroll Xmenu")</f>
        <v>Netcontroll Xmenu</v>
      </c>
      <c r="X7686" s="33">
        <f>IFERROR(__xludf.DUMMYFUNCTION("""COMPUTED_VALUE"""),1.0)</f>
        <v>1</v>
      </c>
    </row>
    <row r="7687">
      <c r="K7687" s="4" t="str">
        <f>IFERROR(__xludf.DUMMYFUNCTION("""COMPUTED_VALUE"""),"PIZZARIA PONTO DE ENCONTRO")</f>
        <v>PIZZARIA PONTO DE ENCONTRO</v>
      </c>
      <c r="L7687" s="32">
        <f>IFERROR(__xludf.DUMMYFUNCTION("""COMPUTED_VALUE"""),2.0)</f>
        <v>2</v>
      </c>
      <c r="M7687" s="4" t="str">
        <f>IFERROR(__xludf.DUMMYFUNCTION("""COMPUTED_VALUE"""),"Mp Multipedidos")</f>
        <v>Mp Multipedidos</v>
      </c>
      <c r="N7687" s="33">
        <f>IFERROR(__xludf.DUMMYFUNCTION("""COMPUTED_VALUE"""),0.5)</f>
        <v>0.5</v>
      </c>
      <c r="O7687" s="4" t="str">
        <f>IFERROR(__xludf.DUMMYFUNCTION("""COMPUTED_VALUE"""),"Mp Multipedidos")</f>
        <v>Mp Multipedidos</v>
      </c>
      <c r="P7687" s="33">
        <f>IFERROR(__xludf.DUMMYFUNCTION("""COMPUTED_VALUE"""),0.5)</f>
        <v>0.5</v>
      </c>
      <c r="Q7687" s="4" t="str">
        <f>IFERROR(__xludf.DUMMYFUNCTION("""COMPUTED_VALUE"""),"Mp Multipedidos")</f>
        <v>Mp Multipedidos</v>
      </c>
      <c r="R7687" s="33">
        <f>IFERROR(__xludf.DUMMYFUNCTION("""COMPUTED_VALUE"""),0.5)</f>
        <v>0.5</v>
      </c>
      <c r="S7687" s="4" t="str">
        <f>IFERROR(__xludf.DUMMYFUNCTION("""COMPUTED_VALUE"""),"Mp Multipedidos")</f>
        <v>Mp Multipedidos</v>
      </c>
      <c r="T7687" s="33">
        <f>IFERROR(__xludf.DUMMYFUNCTION("""COMPUTED_VALUE"""),0.5)</f>
        <v>0.5</v>
      </c>
      <c r="U7687" s="4" t="str">
        <f>IFERROR(__xludf.DUMMYFUNCTION("""COMPUTED_VALUE"""),"Mp Multipedidos")</f>
        <v>Mp Multipedidos</v>
      </c>
      <c r="V7687" s="33">
        <f>IFERROR(__xludf.DUMMYFUNCTION("""COMPUTED_VALUE"""),0.5)</f>
        <v>0.5</v>
      </c>
      <c r="W7687" s="4" t="str">
        <f>IFERROR(__xludf.DUMMYFUNCTION("""COMPUTED_VALUE"""),"Mp Multipedidos")</f>
        <v>Mp Multipedidos</v>
      </c>
      <c r="X7687" s="33">
        <f>IFERROR(__xludf.DUMMYFUNCTION("""COMPUTED_VALUE"""),0.5)</f>
        <v>0.5</v>
      </c>
    </row>
    <row r="7688">
      <c r="K7688" s="4" t="str">
        <f>IFERROR(__xludf.DUMMYFUNCTION("""COMPUTED_VALUE"""),"PIZZARIA PRIMOS")</f>
        <v>PIZZARIA PRIMOS</v>
      </c>
      <c r="L7688" s="32">
        <f>IFERROR(__xludf.DUMMYFUNCTION("""COMPUTED_VALUE"""),2.0)</f>
        <v>2</v>
      </c>
      <c r="M7688" s="4" t="str">
        <f>IFERROR(__xludf.DUMMYFUNCTION("""COMPUTED_VALUE"""),"Hubster")</f>
        <v>Hubster</v>
      </c>
      <c r="N7688" s="33">
        <f>IFERROR(__xludf.DUMMYFUNCTION("""COMPUTED_VALUE"""),1.0)</f>
        <v>1</v>
      </c>
      <c r="O7688" s="4" t="str">
        <f>IFERROR(__xludf.DUMMYFUNCTION("""COMPUTED_VALUE"""),"Hubster")</f>
        <v>Hubster</v>
      </c>
      <c r="P7688" s="33">
        <f>IFERROR(__xludf.DUMMYFUNCTION("""COMPUTED_VALUE"""),1.0)</f>
        <v>1</v>
      </c>
      <c r="Q7688" s="4" t="str">
        <f>IFERROR(__xludf.DUMMYFUNCTION("""COMPUTED_VALUE"""),"Hubster")</f>
        <v>Hubster</v>
      </c>
      <c r="R7688" s="33">
        <f>IFERROR(__xludf.DUMMYFUNCTION("""COMPUTED_VALUE"""),1.0)</f>
        <v>1</v>
      </c>
      <c r="S7688" s="4" t="str">
        <f>IFERROR(__xludf.DUMMYFUNCTION("""COMPUTED_VALUE"""),"null")</f>
        <v>null</v>
      </c>
      <c r="T7688" s="33">
        <f>IFERROR(__xludf.DUMMYFUNCTION("""COMPUTED_VALUE"""),1.0)</f>
        <v>1</v>
      </c>
      <c r="U7688" s="4" t="str">
        <f>IFERROR(__xludf.DUMMYFUNCTION("""COMPUTED_VALUE"""),"null")</f>
        <v>null</v>
      </c>
      <c r="V7688" s="33">
        <f>IFERROR(__xludf.DUMMYFUNCTION("""COMPUTED_VALUE"""),1.0)</f>
        <v>1</v>
      </c>
      <c r="W7688" s="4" t="str">
        <f>IFERROR(__xludf.DUMMYFUNCTION("""COMPUTED_VALUE"""),"null")</f>
        <v>null</v>
      </c>
      <c r="X7688" s="33">
        <f>IFERROR(__xludf.DUMMYFUNCTION("""COMPUTED_VALUE"""),1.0)</f>
        <v>1</v>
      </c>
    </row>
    <row r="7689">
      <c r="K7689" s="4" t="str">
        <f>IFERROR(__xludf.DUMMYFUNCTION("""COMPUTED_VALUE"""),"PIZZARIA PRIMOS AV LARANJEIRAS")</f>
        <v>PIZZARIA PRIMOS AV LARANJEIRAS</v>
      </c>
      <c r="L7689" s="32">
        <f>IFERROR(__xludf.DUMMYFUNCTION("""COMPUTED_VALUE"""),2.0)</f>
        <v>2</v>
      </c>
      <c r="M7689" s="4" t="str">
        <f>IFERROR(__xludf.DUMMYFUNCTION("""COMPUTED_VALUE"""),"Gplus Sistemas")</f>
        <v>Gplus Sistemas</v>
      </c>
      <c r="N7689" s="33">
        <f>IFERROR(__xludf.DUMMYFUNCTION("""COMPUTED_VALUE"""),1.0)</f>
        <v>1</v>
      </c>
      <c r="O7689" s="4" t="str">
        <f>IFERROR(__xludf.DUMMYFUNCTION("""COMPUTED_VALUE"""),"Gplus Sistemas")</f>
        <v>Gplus Sistemas</v>
      </c>
      <c r="P7689" s="33">
        <f>IFERROR(__xludf.DUMMYFUNCTION("""COMPUTED_VALUE"""),1.0)</f>
        <v>1</v>
      </c>
      <c r="Q7689" s="4" t="str">
        <f>IFERROR(__xludf.DUMMYFUNCTION("""COMPUTED_VALUE"""),"Gplus Sistemas")</f>
        <v>Gplus Sistemas</v>
      </c>
      <c r="R7689" s="33">
        <f>IFERROR(__xludf.DUMMYFUNCTION("""COMPUTED_VALUE"""),1.0)</f>
        <v>1</v>
      </c>
      <c r="S7689" s="4" t="str">
        <f>IFERROR(__xludf.DUMMYFUNCTION("""COMPUTED_VALUE"""),"Gplus Sistemas")</f>
        <v>Gplus Sistemas</v>
      </c>
      <c r="T7689" s="33">
        <f>IFERROR(__xludf.DUMMYFUNCTION("""COMPUTED_VALUE"""),1.0)</f>
        <v>1</v>
      </c>
      <c r="U7689" s="4" t="str">
        <f>IFERROR(__xludf.DUMMYFUNCTION("""COMPUTED_VALUE"""),"Saipos Serviços De Software")</f>
        <v>Saipos Serviços De Software</v>
      </c>
      <c r="V7689" s="33">
        <f>IFERROR(__xludf.DUMMYFUNCTION("""COMPUTED_VALUE"""),1.0)</f>
        <v>1</v>
      </c>
      <c r="W7689" s="4" t="str">
        <f>IFERROR(__xludf.DUMMYFUNCTION("""COMPUTED_VALUE"""),"Saipos Serviços De Software")</f>
        <v>Saipos Serviços De Software</v>
      </c>
      <c r="X7689" s="33">
        <f>IFERROR(__xludf.DUMMYFUNCTION("""COMPUTED_VALUE"""),1.0)</f>
        <v>1</v>
      </c>
    </row>
    <row r="7690">
      <c r="K7690" s="4" t="str">
        <f>IFERROR(__xludf.DUMMYFUNCTION("""COMPUTED_VALUE"""),"PIZZARIA QUALITA")</f>
        <v>PIZZARIA QUALITA</v>
      </c>
      <c r="L7690" s="32">
        <f>IFERROR(__xludf.DUMMYFUNCTION("""COMPUTED_VALUE"""),2.0)</f>
        <v>2</v>
      </c>
      <c r="M7690" s="4" t="str">
        <f>IFERROR(__xludf.DUMMYFUNCTION("""COMPUTED_VALUE"""),"Saipos Serviços De Software")</f>
        <v>Saipos Serviços De Software</v>
      </c>
      <c r="N7690" s="33">
        <f>IFERROR(__xludf.DUMMYFUNCTION("""COMPUTED_VALUE"""),1.0)</f>
        <v>1</v>
      </c>
      <c r="O7690" s="4" t="str">
        <f>IFERROR(__xludf.DUMMYFUNCTION("""COMPUTED_VALUE"""),"Saipos Serviços De Software")</f>
        <v>Saipos Serviços De Software</v>
      </c>
      <c r="P7690" s="33">
        <f>IFERROR(__xludf.DUMMYFUNCTION("""COMPUTED_VALUE"""),0.5)</f>
        <v>0.5</v>
      </c>
      <c r="Q7690" s="4" t="str">
        <f>IFERROR(__xludf.DUMMYFUNCTION("""COMPUTED_VALUE"""),"Saipos Serviços De Software")</f>
        <v>Saipos Serviços De Software</v>
      </c>
      <c r="R7690" s="33">
        <f>IFERROR(__xludf.DUMMYFUNCTION("""COMPUTED_VALUE"""),0.5)</f>
        <v>0.5</v>
      </c>
      <c r="S7690" s="4" t="str">
        <f>IFERROR(__xludf.DUMMYFUNCTION("""COMPUTED_VALUE"""),"Saipos Serviços De Software")</f>
        <v>Saipos Serviços De Software</v>
      </c>
      <c r="T7690" s="33">
        <f>IFERROR(__xludf.DUMMYFUNCTION("""COMPUTED_VALUE"""),0.5)</f>
        <v>0.5</v>
      </c>
      <c r="U7690" s="4" t="str">
        <f>IFERROR(__xludf.DUMMYFUNCTION("""COMPUTED_VALUE"""),"Saipos Serviços De Software")</f>
        <v>Saipos Serviços De Software</v>
      </c>
      <c r="V7690" s="33">
        <f>IFERROR(__xludf.DUMMYFUNCTION("""COMPUTED_VALUE"""),0.5)</f>
        <v>0.5</v>
      </c>
      <c r="W7690" s="4" t="str">
        <f>IFERROR(__xludf.DUMMYFUNCTION("""COMPUTED_VALUE"""),"Saipos Serviços De Software")</f>
        <v>Saipos Serviços De Software</v>
      </c>
      <c r="X7690" s="33">
        <f>IFERROR(__xludf.DUMMYFUNCTION("""COMPUTED_VALUE"""),0.5)</f>
        <v>0.5</v>
      </c>
    </row>
    <row r="7691">
      <c r="K7691" s="4" t="str">
        <f>IFERROR(__xludf.DUMMYFUNCTION("""COMPUTED_VALUE"""),"PIZZARIA RADUNO")</f>
        <v>PIZZARIA RADUNO</v>
      </c>
      <c r="L7691" s="32">
        <f>IFERROR(__xludf.DUMMYFUNCTION("""COMPUTED_VALUE"""),2.0)</f>
        <v>2</v>
      </c>
      <c r="M7691" s="4" t="str">
        <f>IFERROR(__xludf.DUMMYFUNCTION("""COMPUTED_VALUE"""),"Saipos Serviços De Software")</f>
        <v>Saipos Serviços De Software</v>
      </c>
      <c r="N7691" s="33">
        <f>IFERROR(__xludf.DUMMYFUNCTION("""COMPUTED_VALUE"""),1.0)</f>
        <v>1</v>
      </c>
      <c r="O7691" s="4" t="str">
        <f>IFERROR(__xludf.DUMMYFUNCTION("""COMPUTED_VALUE"""),"Saipos Serviços De Software")</f>
        <v>Saipos Serviços De Software</v>
      </c>
      <c r="P7691" s="33">
        <f>IFERROR(__xludf.DUMMYFUNCTION("""COMPUTED_VALUE"""),1.0)</f>
        <v>1</v>
      </c>
      <c r="Q7691" s="4" t="str">
        <f>IFERROR(__xludf.DUMMYFUNCTION("""COMPUTED_VALUE"""),"Saipos Serviços De Software")</f>
        <v>Saipos Serviços De Software</v>
      </c>
      <c r="R7691" s="33">
        <f>IFERROR(__xludf.DUMMYFUNCTION("""COMPUTED_VALUE"""),1.0)</f>
        <v>1</v>
      </c>
      <c r="S7691" s="4" t="str">
        <f>IFERROR(__xludf.DUMMYFUNCTION("""COMPUTED_VALUE"""),"Saipos Serviços De Software")</f>
        <v>Saipos Serviços De Software</v>
      </c>
      <c r="T7691" s="33">
        <f>IFERROR(__xludf.DUMMYFUNCTION("""COMPUTED_VALUE"""),1.0)</f>
        <v>1</v>
      </c>
      <c r="U7691" s="4" t="str">
        <f>IFERROR(__xludf.DUMMYFUNCTION("""COMPUTED_VALUE"""),"Saipos Serviços De Software")</f>
        <v>Saipos Serviços De Software</v>
      </c>
      <c r="V7691" s="33">
        <f>IFERROR(__xludf.DUMMYFUNCTION("""COMPUTED_VALUE"""),1.0)</f>
        <v>1</v>
      </c>
      <c r="W7691" s="4" t="str">
        <f>IFERROR(__xludf.DUMMYFUNCTION("""COMPUTED_VALUE"""),"Saipos Serviços De Software")</f>
        <v>Saipos Serviços De Software</v>
      </c>
      <c r="X7691" s="33">
        <f>IFERROR(__xludf.DUMMYFUNCTION("""COMPUTED_VALUE"""),1.0)</f>
        <v>1</v>
      </c>
    </row>
    <row r="7692">
      <c r="K7692" s="4" t="str">
        <f>IFERROR(__xludf.DUMMYFUNCTION("""COMPUTED_VALUE"""),"PIZZARIA RADUNO M")</f>
        <v>PIZZARIA RADUNO M</v>
      </c>
      <c r="L7692" s="32">
        <f>IFERROR(__xludf.DUMMYFUNCTION("""COMPUTED_VALUE"""),2.0)</f>
        <v>2</v>
      </c>
      <c r="M7692" s="4" t="str">
        <f>IFERROR(__xludf.DUMMYFUNCTION("""COMPUTED_VALUE"""),"Saipos Serviços De Software")</f>
        <v>Saipos Serviços De Software</v>
      </c>
      <c r="N7692" s="33">
        <f>IFERROR(__xludf.DUMMYFUNCTION("""COMPUTED_VALUE"""),1.0)</f>
        <v>1</v>
      </c>
      <c r="O7692" s="4" t="str">
        <f>IFERROR(__xludf.DUMMYFUNCTION("""COMPUTED_VALUE"""),"Saipos Serviços De Software")</f>
        <v>Saipos Serviços De Software</v>
      </c>
      <c r="P7692" s="33">
        <f>IFERROR(__xludf.DUMMYFUNCTION("""COMPUTED_VALUE"""),1.0)</f>
        <v>1</v>
      </c>
      <c r="Q7692" s="4" t="str">
        <f>IFERROR(__xludf.DUMMYFUNCTION("""COMPUTED_VALUE"""),"Saipos Serviços De Software")</f>
        <v>Saipos Serviços De Software</v>
      </c>
      <c r="R7692" s="33">
        <f>IFERROR(__xludf.DUMMYFUNCTION("""COMPUTED_VALUE"""),1.0)</f>
        <v>1</v>
      </c>
      <c r="S7692" s="4" t="str">
        <f>IFERROR(__xludf.DUMMYFUNCTION("""COMPUTED_VALUE"""),"Saipos Serviços De Software")</f>
        <v>Saipos Serviços De Software</v>
      </c>
      <c r="T7692" s="33">
        <f>IFERROR(__xludf.DUMMYFUNCTION("""COMPUTED_VALUE"""),1.0)</f>
        <v>1</v>
      </c>
      <c r="U7692" s="4" t="str">
        <f>IFERROR(__xludf.DUMMYFUNCTION("""COMPUTED_VALUE"""),"Saipos Serviços De Software")</f>
        <v>Saipos Serviços De Software</v>
      </c>
      <c r="V7692" s="33">
        <f>IFERROR(__xludf.DUMMYFUNCTION("""COMPUTED_VALUE"""),1.0)</f>
        <v>1</v>
      </c>
      <c r="W7692" s="4" t="str">
        <f>IFERROR(__xludf.DUMMYFUNCTION("""COMPUTED_VALUE"""),"Saipos Serviços De Software")</f>
        <v>Saipos Serviços De Software</v>
      </c>
      <c r="X7692" s="33">
        <f>IFERROR(__xludf.DUMMYFUNCTION("""COMPUTED_VALUE"""),1.0)</f>
        <v>1</v>
      </c>
    </row>
    <row r="7693">
      <c r="K7693" s="4" t="str">
        <f>IFERROR(__xludf.DUMMYFUNCTION("""COMPUTED_VALUE"""),"PIZZARIA SABOR DE MINAS GRU")</f>
        <v>PIZZARIA SABOR DE MINAS GRU</v>
      </c>
      <c r="L7693" s="32">
        <f>IFERROR(__xludf.DUMMYFUNCTION("""COMPUTED_VALUE"""),2.0)</f>
        <v>2</v>
      </c>
      <c r="M7693" s="4" t="str">
        <f>IFERROR(__xludf.DUMMYFUNCTION("""COMPUTED_VALUE"""),"Consumer Soluções Em Tecnologia Ltda")</f>
        <v>Consumer Soluções Em Tecnologia Ltda</v>
      </c>
      <c r="N7693" s="33">
        <f>IFERROR(__xludf.DUMMYFUNCTION("""COMPUTED_VALUE"""),1.0)</f>
        <v>1</v>
      </c>
      <c r="O7693" s="4" t="str">
        <f>IFERROR(__xludf.DUMMYFUNCTION("""COMPUTED_VALUE"""),"null")</f>
        <v>null</v>
      </c>
      <c r="P7693" s="33">
        <f>IFERROR(__xludf.DUMMYFUNCTION("""COMPUTED_VALUE"""),0.5)</f>
        <v>0.5</v>
      </c>
      <c r="Q7693" s="4" t="str">
        <f>IFERROR(__xludf.DUMMYFUNCTION("""COMPUTED_VALUE"""),"null")</f>
        <v>null</v>
      </c>
      <c r="R7693" s="33">
        <f>IFERROR(__xludf.DUMMYFUNCTION("""COMPUTED_VALUE"""),0.5)</f>
        <v>0.5</v>
      </c>
      <c r="S7693" s="4" t="str">
        <f>IFERROR(__xludf.DUMMYFUNCTION("""COMPUTED_VALUE"""),"null")</f>
        <v>null</v>
      </c>
      <c r="T7693" s="33">
        <f>IFERROR(__xludf.DUMMYFUNCTION("""COMPUTED_VALUE"""),0.5)</f>
        <v>0.5</v>
      </c>
      <c r="U7693" s="4" t="str">
        <f>IFERROR(__xludf.DUMMYFUNCTION("""COMPUTED_VALUE"""),"null")</f>
        <v>null</v>
      </c>
      <c r="V7693" s="33">
        <f>IFERROR(__xludf.DUMMYFUNCTION("""COMPUTED_VALUE"""),0.5)</f>
        <v>0.5</v>
      </c>
      <c r="W7693" s="4" t="str">
        <f>IFERROR(__xludf.DUMMYFUNCTION("""COMPUTED_VALUE"""),"Consumer Soluções Em Tecnologia Ltda")</f>
        <v>Consumer Soluções Em Tecnologia Ltda</v>
      </c>
      <c r="X7693" s="33">
        <f>IFERROR(__xludf.DUMMYFUNCTION("""COMPUTED_VALUE"""),1.0)</f>
        <v>1</v>
      </c>
    </row>
    <row r="7694">
      <c r="K7694" s="4" t="str">
        <f>IFERROR(__xludf.DUMMYFUNCTION("""COMPUTED_VALUE"""),"PIZZARIA SAO FRANCISCO - CONTA PAI")</f>
        <v>PIZZARIA SAO FRANCISCO - CONTA PAI</v>
      </c>
      <c r="L7694" s="32">
        <f>IFERROR(__xludf.DUMMYFUNCTION("""COMPUTED_VALUE"""),2.0)</f>
        <v>2</v>
      </c>
      <c r="M7694" s="4" t="str">
        <f>IFERROR(__xludf.DUMMYFUNCTION("""COMPUTED_VALUE"""),"Gplus Sistemas")</f>
        <v>Gplus Sistemas</v>
      </c>
      <c r="N7694" s="33">
        <f>IFERROR(__xludf.DUMMYFUNCTION("""COMPUTED_VALUE"""),0.5)</f>
        <v>0.5</v>
      </c>
      <c r="O7694" s="4" t="str">
        <f>IFERROR(__xludf.DUMMYFUNCTION("""COMPUTED_VALUE"""),"Gplus Sistemas")</f>
        <v>Gplus Sistemas</v>
      </c>
      <c r="P7694" s="33">
        <f>IFERROR(__xludf.DUMMYFUNCTION("""COMPUTED_VALUE"""),0.5)</f>
        <v>0.5</v>
      </c>
      <c r="Q7694" s="4" t="str">
        <f>IFERROR(__xludf.DUMMYFUNCTION("""COMPUTED_VALUE"""),"Gplus Sistemas")</f>
        <v>Gplus Sistemas</v>
      </c>
      <c r="R7694" s="33">
        <f>IFERROR(__xludf.DUMMYFUNCTION("""COMPUTED_VALUE"""),0.5)</f>
        <v>0.5</v>
      </c>
      <c r="S7694" s="4" t="str">
        <f>IFERROR(__xludf.DUMMYFUNCTION("""COMPUTED_VALUE"""),"Saipos Serviços De Software")</f>
        <v>Saipos Serviços De Software</v>
      </c>
      <c r="T7694" s="33">
        <f>IFERROR(__xludf.DUMMYFUNCTION("""COMPUTED_VALUE"""),1.0)</f>
        <v>1</v>
      </c>
      <c r="U7694" s="4" t="str">
        <f>IFERROR(__xludf.DUMMYFUNCTION("""COMPUTED_VALUE"""),"Saipos Serviços De Software")</f>
        <v>Saipos Serviços De Software</v>
      </c>
      <c r="V7694" s="33">
        <f>IFERROR(__xludf.DUMMYFUNCTION("""COMPUTED_VALUE"""),1.0)</f>
        <v>1</v>
      </c>
      <c r="W7694" s="4" t="str">
        <f>IFERROR(__xludf.DUMMYFUNCTION("""COMPUTED_VALUE"""),"Saipos Serviços De Software")</f>
        <v>Saipos Serviços De Software</v>
      </c>
      <c r="X7694" s="33">
        <f>IFERROR(__xludf.DUMMYFUNCTION("""COMPUTED_VALUE"""),0.5)</f>
        <v>0.5</v>
      </c>
    </row>
    <row r="7695">
      <c r="K7695" s="4" t="str">
        <f>IFERROR(__xludf.DUMMYFUNCTION("""COMPUTED_VALUE"""),"PIZZARIA VILLA NAPOLITANA - SOROCABA")</f>
        <v>PIZZARIA VILLA NAPOLITANA - SOROCABA</v>
      </c>
      <c r="L7695" s="32">
        <f>IFERROR(__xludf.DUMMYFUNCTION("""COMPUTED_VALUE"""),2.0)</f>
        <v>2</v>
      </c>
      <c r="M7695" s="4" t="str">
        <f>IFERROR(__xludf.DUMMYFUNCTION("""COMPUTED_VALUE"""),"Beefood - Sistema Para Restaurantes")</f>
        <v>Beefood - Sistema Para Restaurantes</v>
      </c>
      <c r="N7695" s="33">
        <f>IFERROR(__xludf.DUMMYFUNCTION("""COMPUTED_VALUE"""),0.5)</f>
        <v>0.5</v>
      </c>
      <c r="O7695" s="4" t="str">
        <f>IFERROR(__xludf.DUMMYFUNCTION("""COMPUTED_VALUE"""),"Beefood - Sistema Para Restaurantes")</f>
        <v>Beefood - Sistema Para Restaurantes</v>
      </c>
      <c r="P7695" s="33">
        <f>IFERROR(__xludf.DUMMYFUNCTION("""COMPUTED_VALUE"""),1.0)</f>
        <v>1</v>
      </c>
      <c r="Q7695" s="4" t="str">
        <f>IFERROR(__xludf.DUMMYFUNCTION("""COMPUTED_VALUE"""),"Beefood - Sistema Para Restaurantes")</f>
        <v>Beefood - Sistema Para Restaurantes</v>
      </c>
      <c r="R7695" s="33">
        <f>IFERROR(__xludf.DUMMYFUNCTION("""COMPUTED_VALUE"""),1.0)</f>
        <v>1</v>
      </c>
      <c r="S7695" s="4" t="str">
        <f>IFERROR(__xludf.DUMMYFUNCTION("""COMPUTED_VALUE"""),"null")</f>
        <v>null</v>
      </c>
      <c r="T7695" s="33">
        <f>IFERROR(__xludf.DUMMYFUNCTION("""COMPUTED_VALUE"""),0.5)</f>
        <v>0.5</v>
      </c>
      <c r="U7695" s="4" t="str">
        <f>IFERROR(__xludf.DUMMYFUNCTION("""COMPUTED_VALUE"""),"Beefood - Sistema Para Restaurantes")</f>
        <v>Beefood - Sistema Para Restaurantes</v>
      </c>
      <c r="V7695" s="33">
        <f>IFERROR(__xludf.DUMMYFUNCTION("""COMPUTED_VALUE"""),1.0)</f>
        <v>1</v>
      </c>
      <c r="W7695" s="4" t="str">
        <f>IFERROR(__xludf.DUMMYFUNCTION("""COMPUTED_VALUE"""),"Beefood - Sistema Para Restaurantes")</f>
        <v>Beefood - Sistema Para Restaurantes</v>
      </c>
      <c r="X7695" s="33">
        <f>IFERROR(__xludf.DUMMYFUNCTION("""COMPUTED_VALUE"""),1.0)</f>
        <v>1</v>
      </c>
    </row>
    <row r="7696">
      <c r="K7696" s="4" t="str">
        <f>IFERROR(__xludf.DUMMYFUNCTION("""COMPUTED_VALUE"""),"PIZZARIA VP RJ")</f>
        <v>PIZZARIA VP RJ</v>
      </c>
      <c r="L7696" s="32">
        <f>IFERROR(__xludf.DUMMYFUNCTION("""COMPUTED_VALUE"""),2.0)</f>
        <v>2</v>
      </c>
      <c r="M7696" s="4" t="str">
        <f>IFERROR(__xludf.DUMMYFUNCTION("""COMPUTED_VALUE"""),"Cardápio Web")</f>
        <v>Cardápio Web</v>
      </c>
      <c r="N7696" s="33">
        <f>IFERROR(__xludf.DUMMYFUNCTION("""COMPUTED_VALUE"""),1.0)</f>
        <v>1</v>
      </c>
      <c r="O7696" s="4" t="str">
        <f>IFERROR(__xludf.DUMMYFUNCTION("""COMPUTED_VALUE"""),"Cardápio Web")</f>
        <v>Cardápio Web</v>
      </c>
      <c r="P7696" s="33">
        <f>IFERROR(__xludf.DUMMYFUNCTION("""COMPUTED_VALUE"""),1.0)</f>
        <v>1</v>
      </c>
      <c r="Q7696" s="4" t="str">
        <f>IFERROR(__xludf.DUMMYFUNCTION("""COMPUTED_VALUE"""),"Cardápio Web")</f>
        <v>Cardápio Web</v>
      </c>
      <c r="R7696" s="33">
        <f>IFERROR(__xludf.DUMMYFUNCTION("""COMPUTED_VALUE"""),1.0)</f>
        <v>1</v>
      </c>
      <c r="S7696" s="4" t="str">
        <f>IFERROR(__xludf.DUMMYFUNCTION("""COMPUTED_VALUE"""),"Cardápio Web")</f>
        <v>Cardápio Web</v>
      </c>
      <c r="T7696" s="33">
        <f>IFERROR(__xludf.DUMMYFUNCTION("""COMPUTED_VALUE"""),1.0)</f>
        <v>1</v>
      </c>
      <c r="U7696" s="4" t="str">
        <f>IFERROR(__xludf.DUMMYFUNCTION("""COMPUTED_VALUE"""),"Cardápio Web")</f>
        <v>Cardápio Web</v>
      </c>
      <c r="V7696" s="33">
        <f>IFERROR(__xludf.DUMMYFUNCTION("""COMPUTED_VALUE"""),1.0)</f>
        <v>1</v>
      </c>
      <c r="W7696" s="4" t="str">
        <f>IFERROR(__xludf.DUMMYFUNCTION("""COMPUTED_VALUE"""),"Cardápio Web")</f>
        <v>Cardápio Web</v>
      </c>
      <c r="X7696" s="33">
        <f>IFERROR(__xludf.DUMMYFUNCTION("""COMPUTED_VALUE"""),1.0)</f>
        <v>1</v>
      </c>
    </row>
    <row r="7697">
      <c r="K7697" s="4" t="str">
        <f>IFERROR(__xludf.DUMMYFUNCTION("""COMPUTED_VALUE"""),"PIZZARIA WUHALLA")</f>
        <v>PIZZARIA WUHALLA</v>
      </c>
      <c r="L7697" s="32">
        <f>IFERROR(__xludf.DUMMYFUNCTION("""COMPUTED_VALUE"""),2.0)</f>
        <v>2</v>
      </c>
      <c r="M7697" s="4" t="str">
        <f>IFERROR(__xludf.DUMMYFUNCTION("""COMPUTED_VALUE"""),"null")</f>
        <v>null</v>
      </c>
      <c r="N7697" s="33">
        <f>IFERROR(__xludf.DUMMYFUNCTION("""COMPUTED_VALUE"""),1.0)</f>
        <v>1</v>
      </c>
      <c r="O7697" s="4" t="str">
        <f>IFERROR(__xludf.DUMMYFUNCTION("""COMPUTED_VALUE"""),"null")</f>
        <v>null</v>
      </c>
      <c r="P7697" s="33">
        <f>IFERROR(__xludf.DUMMYFUNCTION("""COMPUTED_VALUE"""),1.0)</f>
        <v>1</v>
      </c>
      <c r="Q7697" s="4" t="str">
        <f>IFERROR(__xludf.DUMMYFUNCTION("""COMPUTED_VALUE"""),"Suitable Tecnologia E Gestao")</f>
        <v>Suitable Tecnologia E Gestao</v>
      </c>
      <c r="R7697" s="33">
        <f>IFERROR(__xludf.DUMMYFUNCTION("""COMPUTED_VALUE"""),1.0)</f>
        <v>1</v>
      </c>
      <c r="S7697" s="4" t="str">
        <f>IFERROR(__xludf.DUMMYFUNCTION("""COMPUTED_VALUE"""),"Suitable Tecnologia E Gestao")</f>
        <v>Suitable Tecnologia E Gestao</v>
      </c>
      <c r="T7697" s="33">
        <f>IFERROR(__xludf.DUMMYFUNCTION("""COMPUTED_VALUE"""),1.0)</f>
        <v>1</v>
      </c>
      <c r="U7697" s="4" t="str">
        <f>IFERROR(__xludf.DUMMYFUNCTION("""COMPUTED_VALUE"""),"null")</f>
        <v>null</v>
      </c>
      <c r="V7697" s="33">
        <f>IFERROR(__xludf.DUMMYFUNCTION("""COMPUTED_VALUE"""),1.0)</f>
        <v>1</v>
      </c>
      <c r="W7697" s="4" t="str">
        <f>IFERROR(__xludf.DUMMYFUNCTION("""COMPUTED_VALUE"""),"null")</f>
        <v>null</v>
      </c>
      <c r="X7697" s="33">
        <f>IFERROR(__xludf.DUMMYFUNCTION("""COMPUTED_VALUE"""),1.0)</f>
        <v>1</v>
      </c>
    </row>
    <row r="7698">
      <c r="K7698" s="4" t="str">
        <f>IFERROR(__xludf.DUMMYFUNCTION("""COMPUTED_VALUE"""),"PIZZARIA YASMIN")</f>
        <v>PIZZARIA YASMIN</v>
      </c>
      <c r="L7698" s="32">
        <f>IFERROR(__xludf.DUMMYFUNCTION("""COMPUTED_VALUE"""),2.0)</f>
        <v>2</v>
      </c>
      <c r="M7698" s="4" t="str">
        <f>IFERROR(__xludf.DUMMYFUNCTION("""COMPUTED_VALUE"""),"Rp Sistemas")</f>
        <v>Rp Sistemas</v>
      </c>
      <c r="N7698" s="33">
        <f>IFERROR(__xludf.DUMMYFUNCTION("""COMPUTED_VALUE"""),1.0)</f>
        <v>1</v>
      </c>
      <c r="O7698" s="4" t="str">
        <f>IFERROR(__xludf.DUMMYFUNCTION("""COMPUTED_VALUE"""),"null")</f>
        <v>null</v>
      </c>
      <c r="P7698" s="33">
        <f>IFERROR(__xludf.DUMMYFUNCTION("""COMPUTED_VALUE"""),1.0)</f>
        <v>1</v>
      </c>
      <c r="Q7698" s="4" t="str">
        <f>IFERROR(__xludf.DUMMYFUNCTION("""COMPUTED_VALUE"""),"Rp Sistemas")</f>
        <v>Rp Sistemas</v>
      </c>
      <c r="R7698" s="33">
        <f>IFERROR(__xludf.DUMMYFUNCTION("""COMPUTED_VALUE"""),1.0)</f>
        <v>1</v>
      </c>
      <c r="S7698" s="4" t="str">
        <f>IFERROR(__xludf.DUMMYFUNCTION("""COMPUTED_VALUE"""),"Rp Sistemas")</f>
        <v>Rp Sistemas</v>
      </c>
      <c r="T7698" s="33">
        <f>IFERROR(__xludf.DUMMYFUNCTION("""COMPUTED_VALUE"""),0.5)</f>
        <v>0.5</v>
      </c>
      <c r="U7698" s="4" t="str">
        <f>IFERROR(__xludf.DUMMYFUNCTION("""COMPUTED_VALUE"""),"null")</f>
        <v>null</v>
      </c>
      <c r="V7698" s="33">
        <f>IFERROR(__xludf.DUMMYFUNCTION("""COMPUTED_VALUE"""),1.0)</f>
        <v>1</v>
      </c>
      <c r="W7698" s="4" t="str">
        <f>IFERROR(__xludf.DUMMYFUNCTION("""COMPUTED_VALUE"""),"null")</f>
        <v>null</v>
      </c>
      <c r="X7698" s="33">
        <f>IFERROR(__xludf.DUMMYFUNCTION("""COMPUTED_VALUE"""),1.0)</f>
        <v>1</v>
      </c>
    </row>
    <row r="7699">
      <c r="K7699" s="4" t="str">
        <f>IFERROR(__xludf.DUMMYFUNCTION("""COMPUTED_VALUE"""),"PIZZARIAINCRIVEIS")</f>
        <v>PIZZARIAINCRIVEIS</v>
      </c>
      <c r="L7699" s="32">
        <f>IFERROR(__xludf.DUMMYFUNCTION("""COMPUTED_VALUE"""),2.0)</f>
        <v>2</v>
      </c>
      <c r="M7699" s="4" t="str">
        <f>IFERROR(__xludf.DUMMYFUNCTION("""COMPUTED_VALUE"""),"null")</f>
        <v>null</v>
      </c>
      <c r="N7699" s="33">
        <f>IFERROR(__xludf.DUMMYFUNCTION("""COMPUTED_VALUE"""),0.5)</f>
        <v>0.5</v>
      </c>
      <c r="O7699" s="4" t="str">
        <f>IFERROR(__xludf.DUMMYFUNCTION("""COMPUTED_VALUE"""),"null")</f>
        <v>null</v>
      </c>
      <c r="P7699" s="33">
        <f>IFERROR(__xludf.DUMMYFUNCTION("""COMPUTED_VALUE"""),0.5)</f>
        <v>0.5</v>
      </c>
      <c r="Q7699" s="4" t="str">
        <f>IFERROR(__xludf.DUMMYFUNCTION("""COMPUTED_VALUE"""),"null")</f>
        <v>null</v>
      </c>
      <c r="R7699" s="33">
        <f>IFERROR(__xludf.DUMMYFUNCTION("""COMPUTED_VALUE"""),0.5)</f>
        <v>0.5</v>
      </c>
      <c r="S7699" s="4" t="str">
        <f>IFERROR(__xludf.DUMMYFUNCTION("""COMPUTED_VALUE"""),"null")</f>
        <v>null</v>
      </c>
      <c r="T7699" s="33">
        <f>IFERROR(__xludf.DUMMYFUNCTION("""COMPUTED_VALUE"""),0.5)</f>
        <v>0.5</v>
      </c>
      <c r="U7699" s="4" t="str">
        <f>IFERROR(__xludf.DUMMYFUNCTION("""COMPUTED_VALUE"""),"null")</f>
        <v>null</v>
      </c>
      <c r="V7699" s="33">
        <f>IFERROR(__xludf.DUMMYFUNCTION("""COMPUTED_VALUE"""),0.5)</f>
        <v>0.5</v>
      </c>
      <c r="W7699" s="4" t="str">
        <f>IFERROR(__xludf.DUMMYFUNCTION("""COMPUTED_VALUE"""),"Cardápio Web")</f>
        <v>Cardápio Web</v>
      </c>
      <c r="X7699" s="33">
        <f>IFERROR(__xludf.DUMMYFUNCTION("""COMPUTED_VALUE"""),0.5)</f>
        <v>0.5</v>
      </c>
    </row>
    <row r="7700">
      <c r="K7700" s="4" t="str">
        <f>IFERROR(__xludf.DUMMYFUNCTION("""COMPUTED_VALUE"""),"PLANETA ANIMAL - CONTA MARCA")</f>
        <v>PLANETA ANIMAL - CONTA MARCA</v>
      </c>
      <c r="L7700" s="32">
        <f>IFERROR(__xludf.DUMMYFUNCTION("""COMPUTED_VALUE"""),2.0)</f>
        <v>2</v>
      </c>
      <c r="M7700" s="4" t="str">
        <f>IFERROR(__xludf.DUMMYFUNCTION("""COMPUTED_VALUE"""),"N/A (Not found)")</f>
        <v>N/A (Not found)</v>
      </c>
      <c r="N7700" s="33">
        <f>IFERROR(__xludf.DUMMYFUNCTION("""COMPUTED_VALUE"""),1.0)</f>
        <v>1</v>
      </c>
      <c r="O7700" s="4" t="str">
        <f>IFERROR(__xludf.DUMMYFUNCTION("""COMPUTED_VALUE"""),"N/A (Not found)")</f>
        <v>N/A (Not found)</v>
      </c>
      <c r="P7700" s="33">
        <f>IFERROR(__xludf.DUMMYFUNCTION("""COMPUTED_VALUE"""),1.0)</f>
        <v>1</v>
      </c>
      <c r="Q7700" s="4" t="str">
        <f>IFERROR(__xludf.DUMMYFUNCTION("""COMPUTED_VALUE"""),"N/A (Not found)")</f>
        <v>N/A (Not found)</v>
      </c>
      <c r="R7700" s="33">
        <f>IFERROR(__xludf.DUMMYFUNCTION("""COMPUTED_VALUE"""),1.0)</f>
        <v>1</v>
      </c>
      <c r="S7700" s="4" t="str">
        <f>IFERROR(__xludf.DUMMYFUNCTION("""COMPUTED_VALUE"""),"N/A (Not found)")</f>
        <v>N/A (Not found)</v>
      </c>
      <c r="T7700" s="33">
        <f>IFERROR(__xludf.DUMMYFUNCTION("""COMPUTED_VALUE"""),1.0)</f>
        <v>1</v>
      </c>
      <c r="U7700" s="4" t="str">
        <f>IFERROR(__xludf.DUMMYFUNCTION("""COMPUTED_VALUE"""),"N/A (Not found)")</f>
        <v>N/A (Not found)</v>
      </c>
      <c r="V7700" s="33">
        <f>IFERROR(__xludf.DUMMYFUNCTION("""COMPUTED_VALUE"""),1.0)</f>
        <v>1</v>
      </c>
      <c r="W7700" s="4" t="str">
        <f>IFERROR(__xludf.DUMMYFUNCTION("""COMPUTED_VALUE"""),"N/A (Not found)")</f>
        <v>N/A (Not found)</v>
      </c>
      <c r="X7700" s="33">
        <f>IFERROR(__xludf.DUMMYFUNCTION("""COMPUTED_VALUE"""),1.0)</f>
        <v>1</v>
      </c>
    </row>
    <row r="7701">
      <c r="K7701" s="4" t="str">
        <f>IFERROR(__xludf.DUMMYFUNCTION("""COMPUTED_VALUE"""),"PODICRE HAMBURGUER PASTEL")</f>
        <v>PODICRE HAMBURGUER PASTEL</v>
      </c>
      <c r="L7701" s="32">
        <f>IFERROR(__xludf.DUMMYFUNCTION("""COMPUTED_VALUE"""),2.0)</f>
        <v>2</v>
      </c>
      <c r="M7701" s="4" t="str">
        <f>IFERROR(__xludf.DUMMYFUNCTION("""COMPUTED_VALUE"""),"null")</f>
        <v>null</v>
      </c>
      <c r="N7701" s="33">
        <f>IFERROR(__xludf.DUMMYFUNCTION("""COMPUTED_VALUE"""),1.0)</f>
        <v>1</v>
      </c>
      <c r="O7701" s="4" t="str">
        <f>IFERROR(__xludf.DUMMYFUNCTION("""COMPUTED_VALUE"""),"null")</f>
        <v>null</v>
      </c>
      <c r="P7701" s="33">
        <f>IFERROR(__xludf.DUMMYFUNCTION("""COMPUTED_VALUE"""),1.0)</f>
        <v>1</v>
      </c>
      <c r="Q7701" s="4" t="str">
        <f>IFERROR(__xludf.DUMMYFUNCTION("""COMPUTED_VALUE"""),"null")</f>
        <v>null</v>
      </c>
      <c r="R7701" s="33">
        <f>IFERROR(__xludf.DUMMYFUNCTION("""COMPUTED_VALUE"""),1.0)</f>
        <v>1</v>
      </c>
      <c r="S7701" s="4" t="str">
        <f>IFERROR(__xludf.DUMMYFUNCTION("""COMPUTED_VALUE"""),"null")</f>
        <v>null</v>
      </c>
      <c r="T7701" s="33">
        <f>IFERROR(__xludf.DUMMYFUNCTION("""COMPUTED_VALUE"""),1.0)</f>
        <v>1</v>
      </c>
      <c r="U7701" s="4" t="str">
        <f>IFERROR(__xludf.DUMMYFUNCTION("""COMPUTED_VALUE"""),"Saipos Serviços De Software")</f>
        <v>Saipos Serviços De Software</v>
      </c>
      <c r="V7701" s="33">
        <f>IFERROR(__xludf.DUMMYFUNCTION("""COMPUTED_VALUE"""),1.0)</f>
        <v>1</v>
      </c>
      <c r="W7701" s="4" t="str">
        <f>IFERROR(__xludf.DUMMYFUNCTION("""COMPUTED_VALUE"""),"Saipos Serviços De Software")</f>
        <v>Saipos Serviços De Software</v>
      </c>
      <c r="X7701" s="33">
        <f>IFERROR(__xludf.DUMMYFUNCTION("""COMPUTED_VALUE"""),1.0)</f>
        <v>1</v>
      </c>
    </row>
    <row r="7702">
      <c r="K7702" s="4" t="str">
        <f>IFERROR(__xludf.DUMMYFUNCTION("""COMPUTED_VALUE"""),"PODRAO")</f>
        <v>PODRAO</v>
      </c>
      <c r="L7702" s="32">
        <f>IFERROR(__xludf.DUMMYFUNCTION("""COMPUTED_VALUE"""),2.0)</f>
        <v>2</v>
      </c>
      <c r="M7702" s="4" t="str">
        <f>IFERROR(__xludf.DUMMYFUNCTION("""COMPUTED_VALUE"""),"Saipos Serviços De Software")</f>
        <v>Saipos Serviços De Software</v>
      </c>
      <c r="N7702" s="33">
        <f>IFERROR(__xludf.DUMMYFUNCTION("""COMPUTED_VALUE"""),1.0)</f>
        <v>1</v>
      </c>
      <c r="O7702" s="4" t="str">
        <f>IFERROR(__xludf.DUMMYFUNCTION("""COMPUTED_VALUE"""),"Saipos Serviços De Software")</f>
        <v>Saipos Serviços De Software</v>
      </c>
      <c r="P7702" s="33">
        <f>IFERROR(__xludf.DUMMYFUNCTION("""COMPUTED_VALUE"""),1.0)</f>
        <v>1</v>
      </c>
      <c r="Q7702" s="4" t="str">
        <f>IFERROR(__xludf.DUMMYFUNCTION("""COMPUTED_VALUE"""),"Saipos Serviços De Software")</f>
        <v>Saipos Serviços De Software</v>
      </c>
      <c r="R7702" s="33">
        <f>IFERROR(__xludf.DUMMYFUNCTION("""COMPUTED_VALUE"""),1.0)</f>
        <v>1</v>
      </c>
      <c r="S7702" s="4" t="str">
        <f>IFERROR(__xludf.DUMMYFUNCTION("""COMPUTED_VALUE"""),"Saipos Serviços De Software")</f>
        <v>Saipos Serviços De Software</v>
      </c>
      <c r="T7702" s="33">
        <f>IFERROR(__xludf.DUMMYFUNCTION("""COMPUTED_VALUE"""),1.0)</f>
        <v>1</v>
      </c>
      <c r="U7702" s="4" t="str">
        <f>IFERROR(__xludf.DUMMYFUNCTION("""COMPUTED_VALUE"""),"Saipos Serviços De Software")</f>
        <v>Saipos Serviços De Software</v>
      </c>
      <c r="V7702" s="33">
        <f>IFERROR(__xludf.DUMMYFUNCTION("""COMPUTED_VALUE"""),1.0)</f>
        <v>1</v>
      </c>
      <c r="W7702" s="4" t="str">
        <f>IFERROR(__xludf.DUMMYFUNCTION("""COMPUTED_VALUE"""),"Saipos Serviços De Software")</f>
        <v>Saipos Serviços De Software</v>
      </c>
      <c r="X7702" s="33">
        <f>IFERROR(__xludf.DUMMYFUNCTION("""COMPUTED_VALUE"""),1.0)</f>
        <v>1</v>
      </c>
    </row>
    <row r="7703">
      <c r="K7703" s="4" t="str">
        <f>IFERROR(__xludf.DUMMYFUNCTION("""COMPUTED_VALUE"""),"POIAL TROPEIRO JOINVILLE - CONTA MARCA")</f>
        <v>POIAL TROPEIRO JOINVILLE - CONTA MARCA</v>
      </c>
      <c r="L7703" s="32">
        <f>IFERROR(__xludf.DUMMYFUNCTION("""COMPUTED_VALUE"""),2.0)</f>
        <v>2</v>
      </c>
      <c r="M7703" s="4" t="str">
        <f>IFERROR(__xludf.DUMMYFUNCTION("""COMPUTED_VALUE"""),"Totvs Large Enterprise Tecnologia S.a.")</f>
        <v>Totvs Large Enterprise Tecnologia S.a.</v>
      </c>
      <c r="N7703" s="33">
        <f>IFERROR(__xludf.DUMMYFUNCTION("""COMPUTED_VALUE"""),1.0)</f>
        <v>1</v>
      </c>
      <c r="O7703" s="4" t="str">
        <f>IFERROR(__xludf.DUMMYFUNCTION("""COMPUTED_VALUE"""),"Totvs Large Enterprise Tecnologia S.a.")</f>
        <v>Totvs Large Enterprise Tecnologia S.a.</v>
      </c>
      <c r="P7703" s="33">
        <f>IFERROR(__xludf.DUMMYFUNCTION("""COMPUTED_VALUE"""),1.0)</f>
        <v>1</v>
      </c>
      <c r="Q7703" s="4" t="str">
        <f>IFERROR(__xludf.DUMMYFUNCTION("""COMPUTED_VALUE"""),"Totvs Large Enterprise Tecnologia S.a.")</f>
        <v>Totvs Large Enterprise Tecnologia S.a.</v>
      </c>
      <c r="R7703" s="33">
        <f>IFERROR(__xludf.DUMMYFUNCTION("""COMPUTED_VALUE"""),1.0)</f>
        <v>1</v>
      </c>
      <c r="S7703" s="4" t="str">
        <f>IFERROR(__xludf.DUMMYFUNCTION("""COMPUTED_VALUE"""),"Totvs Large Enterprise Tecnologia S.a.")</f>
        <v>Totvs Large Enterprise Tecnologia S.a.</v>
      </c>
      <c r="T7703" s="33">
        <f>IFERROR(__xludf.DUMMYFUNCTION("""COMPUTED_VALUE"""),1.0)</f>
        <v>1</v>
      </c>
      <c r="U7703" s="4" t="str">
        <f>IFERROR(__xludf.DUMMYFUNCTION("""COMPUTED_VALUE"""),"Totvs Large Enterprise Tecnologia S.a.")</f>
        <v>Totvs Large Enterprise Tecnologia S.a.</v>
      </c>
      <c r="V7703" s="33">
        <f>IFERROR(__xludf.DUMMYFUNCTION("""COMPUTED_VALUE"""),1.0)</f>
        <v>1</v>
      </c>
      <c r="W7703" s="4" t="str">
        <f>IFERROR(__xludf.DUMMYFUNCTION("""COMPUTED_VALUE"""),"Totvs Large Enterprise Tecnologia S.a.")</f>
        <v>Totvs Large Enterprise Tecnologia S.a.</v>
      </c>
      <c r="X7703" s="33">
        <f>IFERROR(__xludf.DUMMYFUNCTION("""COMPUTED_VALUE"""),1.0)</f>
        <v>1</v>
      </c>
    </row>
    <row r="7704">
      <c r="K7704" s="4" t="str">
        <f>IFERROR(__xludf.DUMMYFUNCTION("""COMPUTED_VALUE"""),"POKE BEACH")</f>
        <v>POKE BEACH</v>
      </c>
      <c r="L7704" s="32">
        <f>IFERROR(__xludf.DUMMYFUNCTION("""COMPUTED_VALUE"""),2.0)</f>
        <v>2</v>
      </c>
      <c r="M7704" s="4" t="str">
        <f>IFERROR(__xludf.DUMMYFUNCTION("""COMPUTED_VALUE"""),"null")</f>
        <v>null</v>
      </c>
      <c r="N7704" s="33">
        <f>IFERROR(__xludf.DUMMYFUNCTION("""COMPUTED_VALUE"""),1.0)</f>
        <v>1</v>
      </c>
      <c r="O7704" s="4" t="str">
        <f>IFERROR(__xludf.DUMMYFUNCTION("""COMPUTED_VALUE"""),"null")</f>
        <v>null</v>
      </c>
      <c r="P7704" s="33">
        <f>IFERROR(__xludf.DUMMYFUNCTION("""COMPUTED_VALUE"""),0.5)</f>
        <v>0.5</v>
      </c>
      <c r="Q7704" s="4" t="str">
        <f>IFERROR(__xludf.DUMMYFUNCTION("""COMPUTED_VALUE"""),"Yooga")</f>
        <v>Yooga</v>
      </c>
      <c r="R7704" s="33">
        <f>IFERROR(__xludf.DUMMYFUNCTION("""COMPUTED_VALUE"""),0.5)</f>
        <v>0.5</v>
      </c>
      <c r="S7704" s="4" t="str">
        <f>IFERROR(__xludf.DUMMYFUNCTION("""COMPUTED_VALUE"""),"Yooga")</f>
        <v>Yooga</v>
      </c>
      <c r="T7704" s="33">
        <f>IFERROR(__xludf.DUMMYFUNCTION("""COMPUTED_VALUE"""),0.5)</f>
        <v>0.5</v>
      </c>
      <c r="U7704" s="4" t="str">
        <f>IFERROR(__xludf.DUMMYFUNCTION("""COMPUTED_VALUE"""),"Yooga")</f>
        <v>Yooga</v>
      </c>
      <c r="V7704" s="33">
        <f>IFERROR(__xludf.DUMMYFUNCTION("""COMPUTED_VALUE"""),1.0)</f>
        <v>1</v>
      </c>
      <c r="W7704" s="4" t="str">
        <f>IFERROR(__xludf.DUMMYFUNCTION("""COMPUTED_VALUE"""),"Yooga")</f>
        <v>Yooga</v>
      </c>
      <c r="X7704" s="33">
        <f>IFERROR(__xludf.DUMMYFUNCTION("""COMPUTED_VALUE"""),1.0)</f>
        <v>1</v>
      </c>
    </row>
    <row r="7705">
      <c r="K7705" s="4" t="str">
        <f>IFERROR(__xludf.DUMMYFUNCTION("""COMPUTED_VALUE"""),"POKE DO JAPA")</f>
        <v>POKE DO JAPA</v>
      </c>
      <c r="L7705" s="32">
        <f>IFERROR(__xludf.DUMMYFUNCTION("""COMPUTED_VALUE"""),2.0)</f>
        <v>2</v>
      </c>
      <c r="M7705" s="4" t="str">
        <f>IFERROR(__xludf.DUMMYFUNCTION("""COMPUTED_VALUE"""),"Saipos Serviços De Software")</f>
        <v>Saipos Serviços De Software</v>
      </c>
      <c r="N7705" s="33">
        <f>IFERROR(__xludf.DUMMYFUNCTION("""COMPUTED_VALUE"""),1.0)</f>
        <v>1</v>
      </c>
      <c r="O7705" s="4" t="str">
        <f>IFERROR(__xludf.DUMMYFUNCTION("""COMPUTED_VALUE"""),"Saipos Serviços De Software")</f>
        <v>Saipos Serviços De Software</v>
      </c>
      <c r="P7705" s="33">
        <f>IFERROR(__xludf.DUMMYFUNCTION("""COMPUTED_VALUE"""),1.0)</f>
        <v>1</v>
      </c>
      <c r="Q7705" s="4" t="str">
        <f>IFERROR(__xludf.DUMMYFUNCTION("""COMPUTED_VALUE"""),"Saipos Serviços De Software")</f>
        <v>Saipos Serviços De Software</v>
      </c>
      <c r="R7705" s="33">
        <f>IFERROR(__xludf.DUMMYFUNCTION("""COMPUTED_VALUE"""),1.0)</f>
        <v>1</v>
      </c>
      <c r="S7705" s="4" t="str">
        <f>IFERROR(__xludf.DUMMYFUNCTION("""COMPUTED_VALUE"""),"Saipos Serviços De Software")</f>
        <v>Saipos Serviços De Software</v>
      </c>
      <c r="T7705" s="33">
        <f>IFERROR(__xludf.DUMMYFUNCTION("""COMPUTED_VALUE"""),1.0)</f>
        <v>1</v>
      </c>
      <c r="U7705" s="4" t="str">
        <f>IFERROR(__xludf.DUMMYFUNCTION("""COMPUTED_VALUE"""),"Saipos Serviços De Software")</f>
        <v>Saipos Serviços De Software</v>
      </c>
      <c r="V7705" s="33">
        <f>IFERROR(__xludf.DUMMYFUNCTION("""COMPUTED_VALUE"""),1.0)</f>
        <v>1</v>
      </c>
      <c r="W7705" s="4" t="str">
        <f>IFERROR(__xludf.DUMMYFUNCTION("""COMPUTED_VALUE"""),"Saipos Serviços De Software")</f>
        <v>Saipos Serviços De Software</v>
      </c>
      <c r="X7705" s="33">
        <f>IFERROR(__xludf.DUMMYFUNCTION("""COMPUTED_VALUE"""),1.0)</f>
        <v>1</v>
      </c>
    </row>
    <row r="7706">
      <c r="K7706" s="4" t="str">
        <f>IFERROR(__xludf.DUMMYFUNCTION("""COMPUTED_VALUE"""),"POKE NIHOA - MARCA")</f>
        <v>POKE NIHOA - MARCA</v>
      </c>
      <c r="L7706" s="32">
        <f>IFERROR(__xludf.DUMMYFUNCTION("""COMPUTED_VALUE"""),2.0)</f>
        <v>2</v>
      </c>
      <c r="M7706" s="4" t="str">
        <f>IFERROR(__xludf.DUMMYFUNCTION("""COMPUTED_VALUE"""),"Gcom - Gestao Em Tecnologia De Informacao Eireli")</f>
        <v>Gcom - Gestao Em Tecnologia De Informacao Eireli</v>
      </c>
      <c r="N7706" s="33">
        <f>IFERROR(__xludf.DUMMYFUNCTION("""COMPUTED_VALUE"""),1.0)</f>
        <v>1</v>
      </c>
      <c r="O7706" s="4" t="str">
        <f>IFERROR(__xludf.DUMMYFUNCTION("""COMPUTED_VALUE"""),"Gcom - Gestao Em Tecnologia De Informacao Eireli")</f>
        <v>Gcom - Gestao Em Tecnologia De Informacao Eireli</v>
      </c>
      <c r="P7706" s="33">
        <f>IFERROR(__xludf.DUMMYFUNCTION("""COMPUTED_VALUE"""),1.0)</f>
        <v>1</v>
      </c>
      <c r="Q7706" s="4" t="str">
        <f>IFERROR(__xludf.DUMMYFUNCTION("""COMPUTED_VALUE"""),"Gcom - Gestao Em Tecnologia De Informacao Eireli")</f>
        <v>Gcom - Gestao Em Tecnologia De Informacao Eireli</v>
      </c>
      <c r="R7706" s="33">
        <f>IFERROR(__xludf.DUMMYFUNCTION("""COMPUTED_VALUE"""),1.0)</f>
        <v>1</v>
      </c>
      <c r="S7706" s="4" t="str">
        <f>IFERROR(__xludf.DUMMYFUNCTION("""COMPUTED_VALUE"""),"Gcom - Gestao Em Tecnologia De Informacao Eireli")</f>
        <v>Gcom - Gestao Em Tecnologia De Informacao Eireli</v>
      </c>
      <c r="T7706" s="33">
        <f>IFERROR(__xludf.DUMMYFUNCTION("""COMPUTED_VALUE"""),1.0)</f>
        <v>1</v>
      </c>
      <c r="U7706" s="4" t="str">
        <f>IFERROR(__xludf.DUMMYFUNCTION("""COMPUTED_VALUE"""),"Gcom - Gestao Em Tecnologia De Informacao Eireli")</f>
        <v>Gcom - Gestao Em Tecnologia De Informacao Eireli</v>
      </c>
      <c r="V7706" s="33">
        <f>IFERROR(__xludf.DUMMYFUNCTION("""COMPUTED_VALUE"""),1.0)</f>
        <v>1</v>
      </c>
      <c r="W7706" s="4" t="str">
        <f>IFERROR(__xludf.DUMMYFUNCTION("""COMPUTED_VALUE"""),"Gcom - Gestao Em Tecnologia De Informacao Eireli")</f>
        <v>Gcom - Gestao Em Tecnologia De Informacao Eireli</v>
      </c>
      <c r="X7706" s="33">
        <f>IFERROR(__xludf.DUMMYFUNCTION("""COMPUTED_VALUE"""),0.5)</f>
        <v>0.5</v>
      </c>
    </row>
    <row r="7707">
      <c r="K7707" s="4" t="str">
        <f>IFERROR(__xludf.DUMMYFUNCTION("""COMPUTED_VALUE"""),"POKE YOU")</f>
        <v>POKE YOU</v>
      </c>
      <c r="L7707" s="32">
        <f>IFERROR(__xludf.DUMMYFUNCTION("""COMPUTED_VALUE"""),2.0)</f>
        <v>2</v>
      </c>
      <c r="M7707" s="4" t="str">
        <f>IFERROR(__xludf.DUMMYFUNCTION("""COMPUTED_VALUE"""),"Saipos Serviços De Software")</f>
        <v>Saipos Serviços De Software</v>
      </c>
      <c r="N7707" s="33">
        <f>IFERROR(__xludf.DUMMYFUNCTION("""COMPUTED_VALUE"""),1.0)</f>
        <v>1</v>
      </c>
      <c r="O7707" s="4" t="str">
        <f>IFERROR(__xludf.DUMMYFUNCTION("""COMPUTED_VALUE"""),"Saipos Serviços De Software")</f>
        <v>Saipos Serviços De Software</v>
      </c>
      <c r="P7707" s="33">
        <f>IFERROR(__xludf.DUMMYFUNCTION("""COMPUTED_VALUE"""),1.0)</f>
        <v>1</v>
      </c>
      <c r="Q7707" s="4" t="str">
        <f>IFERROR(__xludf.DUMMYFUNCTION("""COMPUTED_VALUE"""),"Saipos Serviços De Software")</f>
        <v>Saipos Serviços De Software</v>
      </c>
      <c r="R7707" s="33">
        <f>IFERROR(__xludf.DUMMYFUNCTION("""COMPUTED_VALUE"""),1.0)</f>
        <v>1</v>
      </c>
      <c r="S7707" s="4" t="str">
        <f>IFERROR(__xludf.DUMMYFUNCTION("""COMPUTED_VALUE"""),"Saipos Serviços De Software")</f>
        <v>Saipos Serviços De Software</v>
      </c>
      <c r="T7707" s="33">
        <f>IFERROR(__xludf.DUMMYFUNCTION("""COMPUTED_VALUE"""),1.0)</f>
        <v>1</v>
      </c>
      <c r="U7707" s="4" t="str">
        <f>IFERROR(__xludf.DUMMYFUNCTION("""COMPUTED_VALUE"""),"Saipos Serviços De Software")</f>
        <v>Saipos Serviços De Software</v>
      </c>
      <c r="V7707" s="33">
        <f>IFERROR(__xludf.DUMMYFUNCTION("""COMPUTED_VALUE"""),1.0)</f>
        <v>1</v>
      </c>
      <c r="W7707" s="4" t="str">
        <f>IFERROR(__xludf.DUMMYFUNCTION("""COMPUTED_VALUE"""),"Saipos Serviços De Software")</f>
        <v>Saipos Serviços De Software</v>
      </c>
      <c r="X7707" s="33">
        <f>IFERROR(__xludf.DUMMYFUNCTION("""COMPUTED_VALUE"""),1.0)</f>
        <v>1</v>
      </c>
    </row>
    <row r="7708">
      <c r="K7708" s="4" t="str">
        <f>IFERROR(__xludf.DUMMYFUNCTION("""COMPUTED_VALUE"""),"POLEIRO DO GALO- CONTA PAI")</f>
        <v>POLEIRO DO GALO- CONTA PAI</v>
      </c>
      <c r="L7708" s="32">
        <f>IFERROR(__xludf.DUMMYFUNCTION("""COMPUTED_VALUE"""),2.0)</f>
        <v>2</v>
      </c>
      <c r="M7708" s="4" t="str">
        <f>IFERROR(__xludf.DUMMYFUNCTION("""COMPUTED_VALUE"""),"Tronsoft Soluções Ltda.")</f>
        <v>Tronsoft Soluções Ltda.</v>
      </c>
      <c r="N7708" s="33">
        <f>IFERROR(__xludf.DUMMYFUNCTION("""COMPUTED_VALUE"""),0.5)</f>
        <v>0.5</v>
      </c>
      <c r="O7708" s="4" t="str">
        <f>IFERROR(__xludf.DUMMYFUNCTION("""COMPUTED_VALUE"""),"Tronsoft Soluções Ltda.")</f>
        <v>Tronsoft Soluções Ltda.</v>
      </c>
      <c r="P7708" s="33">
        <f>IFERROR(__xludf.DUMMYFUNCTION("""COMPUTED_VALUE"""),0.5)</f>
        <v>0.5</v>
      </c>
      <c r="Q7708" s="4" t="str">
        <f>IFERROR(__xludf.DUMMYFUNCTION("""COMPUTED_VALUE"""),"Tronsoft Soluções Ltda.")</f>
        <v>Tronsoft Soluções Ltda.</v>
      </c>
      <c r="R7708" s="33">
        <f>IFERROR(__xludf.DUMMYFUNCTION("""COMPUTED_VALUE"""),0.5)</f>
        <v>0.5</v>
      </c>
      <c r="S7708" s="4" t="str">
        <f>IFERROR(__xludf.DUMMYFUNCTION("""COMPUTED_VALUE"""),"Tronsoft Soluções Ltda.")</f>
        <v>Tronsoft Soluções Ltda.</v>
      </c>
      <c r="T7708" s="33">
        <f>IFERROR(__xludf.DUMMYFUNCTION("""COMPUTED_VALUE"""),1.0)</f>
        <v>1</v>
      </c>
      <c r="U7708" s="4" t="str">
        <f>IFERROR(__xludf.DUMMYFUNCTION("""COMPUTED_VALUE"""),"Tronsoft Soluções Ltda.")</f>
        <v>Tronsoft Soluções Ltda.</v>
      </c>
      <c r="V7708" s="33">
        <f>IFERROR(__xludf.DUMMYFUNCTION("""COMPUTED_VALUE"""),0.5)</f>
        <v>0.5</v>
      </c>
      <c r="W7708" s="4" t="str">
        <f>IFERROR(__xludf.DUMMYFUNCTION("""COMPUTED_VALUE"""),"Tronsoft Soluções Ltda.")</f>
        <v>Tronsoft Soluções Ltda.</v>
      </c>
      <c r="X7708" s="33">
        <f>IFERROR(__xludf.DUMMYFUNCTION("""COMPUTED_VALUE"""),0.5)</f>
        <v>0.5</v>
      </c>
    </row>
    <row r="7709">
      <c r="K7709" s="4" t="str">
        <f>IFERROR(__xludf.DUMMYFUNCTION("""COMPUTED_VALUE"""),"POLO DAS PIZZAS - CONTA MARCA")</f>
        <v>POLO DAS PIZZAS - CONTA MARCA</v>
      </c>
      <c r="L7709" s="32">
        <f>IFERROR(__xludf.DUMMYFUNCTION("""COMPUTED_VALUE"""),2.0)</f>
        <v>2</v>
      </c>
      <c r="M7709" s="4" t="str">
        <f>IFERROR(__xludf.DUMMYFUNCTION("""COMPUTED_VALUE"""),"Cardápio Web")</f>
        <v>Cardápio Web</v>
      </c>
      <c r="N7709" s="33">
        <f>IFERROR(__xludf.DUMMYFUNCTION("""COMPUTED_VALUE"""),0.5)</f>
        <v>0.5</v>
      </c>
      <c r="O7709" s="4" t="str">
        <f>IFERROR(__xludf.DUMMYFUNCTION("""COMPUTED_VALUE"""),"Cardápio Web")</f>
        <v>Cardápio Web</v>
      </c>
      <c r="P7709" s="33">
        <f>IFERROR(__xludf.DUMMYFUNCTION("""COMPUTED_VALUE"""),0.5)</f>
        <v>0.5</v>
      </c>
      <c r="Q7709" s="4" t="str">
        <f>IFERROR(__xludf.DUMMYFUNCTION("""COMPUTED_VALUE"""),"Cardápio Web")</f>
        <v>Cardápio Web</v>
      </c>
      <c r="R7709" s="33">
        <f>IFERROR(__xludf.DUMMYFUNCTION("""COMPUTED_VALUE"""),0.5)</f>
        <v>0.5</v>
      </c>
      <c r="S7709" s="4" t="str">
        <f>IFERROR(__xludf.DUMMYFUNCTION("""COMPUTED_VALUE"""),"Cardápio Web")</f>
        <v>Cardápio Web</v>
      </c>
      <c r="T7709" s="33">
        <f>IFERROR(__xludf.DUMMYFUNCTION("""COMPUTED_VALUE"""),0.5)</f>
        <v>0.5</v>
      </c>
      <c r="U7709" s="4" t="str">
        <f>IFERROR(__xludf.DUMMYFUNCTION("""COMPUTED_VALUE"""),"Cardápio Web")</f>
        <v>Cardápio Web</v>
      </c>
      <c r="V7709" s="33">
        <f>IFERROR(__xludf.DUMMYFUNCTION("""COMPUTED_VALUE"""),1.0)</f>
        <v>1</v>
      </c>
      <c r="W7709" s="4" t="str">
        <f>IFERROR(__xludf.DUMMYFUNCTION("""COMPUTED_VALUE"""),"Cardápio Web")</f>
        <v>Cardápio Web</v>
      </c>
      <c r="X7709" s="33">
        <f>IFERROR(__xludf.DUMMYFUNCTION("""COMPUTED_VALUE"""),1.0)</f>
        <v>1</v>
      </c>
    </row>
    <row r="7710">
      <c r="K7710" s="4" t="str">
        <f>IFERROR(__xludf.DUMMYFUNCTION("""COMPUTED_VALUE"""),"POP ONE RESTAURANTE")</f>
        <v>POP ONE RESTAURANTE</v>
      </c>
      <c r="L7710" s="32">
        <f>IFERROR(__xludf.DUMMYFUNCTION("""COMPUTED_VALUE"""),2.0)</f>
        <v>2</v>
      </c>
      <c r="M7710" s="4" t="str">
        <f>IFERROR(__xludf.DUMMYFUNCTION("""COMPUTED_VALUE"""),"Saipos Serviços De Software")</f>
        <v>Saipos Serviços De Software</v>
      </c>
      <c r="N7710" s="33">
        <f>IFERROR(__xludf.DUMMYFUNCTION("""COMPUTED_VALUE"""),1.0)</f>
        <v>1</v>
      </c>
      <c r="O7710" s="4" t="str">
        <f>IFERROR(__xludf.DUMMYFUNCTION("""COMPUTED_VALUE"""),"Saipos Serviços De Software")</f>
        <v>Saipos Serviços De Software</v>
      </c>
      <c r="P7710" s="33">
        <f>IFERROR(__xludf.DUMMYFUNCTION("""COMPUTED_VALUE"""),1.0)</f>
        <v>1</v>
      </c>
      <c r="Q7710" s="4" t="str">
        <f>IFERROR(__xludf.DUMMYFUNCTION("""COMPUTED_VALUE"""),"Saipos Serviços De Software")</f>
        <v>Saipos Serviços De Software</v>
      </c>
      <c r="R7710" s="33">
        <f>IFERROR(__xludf.DUMMYFUNCTION("""COMPUTED_VALUE"""),1.0)</f>
        <v>1</v>
      </c>
      <c r="S7710" s="4" t="str">
        <f>IFERROR(__xludf.DUMMYFUNCTION("""COMPUTED_VALUE"""),"Saipos Serviços De Software")</f>
        <v>Saipos Serviços De Software</v>
      </c>
      <c r="T7710" s="33">
        <f>IFERROR(__xludf.DUMMYFUNCTION("""COMPUTED_VALUE"""),1.0)</f>
        <v>1</v>
      </c>
      <c r="U7710" s="4" t="str">
        <f>IFERROR(__xludf.DUMMYFUNCTION("""COMPUTED_VALUE"""),"Saipos Serviços De Software")</f>
        <v>Saipos Serviços De Software</v>
      </c>
      <c r="V7710" s="33">
        <f>IFERROR(__xludf.DUMMYFUNCTION("""COMPUTED_VALUE"""),1.0)</f>
        <v>1</v>
      </c>
      <c r="W7710" s="4" t="str">
        <f>IFERROR(__xludf.DUMMYFUNCTION("""COMPUTED_VALUE"""),"Saipos Serviços De Software")</f>
        <v>Saipos Serviços De Software</v>
      </c>
      <c r="X7710" s="33">
        <f>IFERROR(__xludf.DUMMYFUNCTION("""COMPUTED_VALUE"""),1.0)</f>
        <v>1</v>
      </c>
    </row>
    <row r="7711">
      <c r="K7711" s="4" t="str">
        <f>IFERROR(__xludf.DUMMYFUNCTION("""COMPUTED_VALUE"""),"POPIDI PIZZARIA CONTA PAI")</f>
        <v>POPIDI PIZZARIA CONTA PAI</v>
      </c>
      <c r="L7711" s="32">
        <f>IFERROR(__xludf.DUMMYFUNCTION("""COMPUTED_VALUE"""),2.0)</f>
        <v>2</v>
      </c>
      <c r="M7711" s="4" t="str">
        <f>IFERROR(__xludf.DUMMYFUNCTION("""COMPUTED_VALUE"""),"Sagres Automação Comercial")</f>
        <v>Sagres Automação Comercial</v>
      </c>
      <c r="N7711" s="33">
        <f>IFERROR(__xludf.DUMMYFUNCTION("""COMPUTED_VALUE"""),1.0)</f>
        <v>1</v>
      </c>
      <c r="O7711" s="4" t="str">
        <f>IFERROR(__xludf.DUMMYFUNCTION("""COMPUTED_VALUE"""),"Sagres Automação Comercial")</f>
        <v>Sagres Automação Comercial</v>
      </c>
      <c r="P7711" s="33">
        <f>IFERROR(__xludf.DUMMYFUNCTION("""COMPUTED_VALUE"""),1.0)</f>
        <v>1</v>
      </c>
      <c r="Q7711" s="4" t="str">
        <f>IFERROR(__xludf.DUMMYFUNCTION("""COMPUTED_VALUE"""),"Sagres Automação Comercial")</f>
        <v>Sagres Automação Comercial</v>
      </c>
      <c r="R7711" s="33">
        <f>IFERROR(__xludf.DUMMYFUNCTION("""COMPUTED_VALUE"""),1.0)</f>
        <v>1</v>
      </c>
      <c r="S7711" s="4" t="str">
        <f>IFERROR(__xludf.DUMMYFUNCTION("""COMPUTED_VALUE"""),"Sagres Automação Comercial")</f>
        <v>Sagres Automação Comercial</v>
      </c>
      <c r="T7711" s="33">
        <f>IFERROR(__xludf.DUMMYFUNCTION("""COMPUTED_VALUE"""),1.0)</f>
        <v>1</v>
      </c>
      <c r="U7711" s="4" t="str">
        <f>IFERROR(__xludf.DUMMYFUNCTION("""COMPUTED_VALUE"""),"Sagres Automação Comercial")</f>
        <v>Sagres Automação Comercial</v>
      </c>
      <c r="V7711" s="33">
        <f>IFERROR(__xludf.DUMMYFUNCTION("""COMPUTED_VALUE"""),1.0)</f>
        <v>1</v>
      </c>
      <c r="W7711" s="4" t="str">
        <f>IFERROR(__xludf.DUMMYFUNCTION("""COMPUTED_VALUE"""),"Sagres Automação Comercial")</f>
        <v>Sagres Automação Comercial</v>
      </c>
      <c r="X7711" s="33">
        <f>IFERROR(__xludf.DUMMYFUNCTION("""COMPUTED_VALUE"""),1.0)</f>
        <v>1</v>
      </c>
    </row>
    <row r="7712">
      <c r="K7712" s="4" t="str">
        <f>IFERROR(__xludf.DUMMYFUNCTION("""COMPUTED_VALUE"""),"PORCAO BURGUER")</f>
        <v>PORCAO BURGUER</v>
      </c>
      <c r="L7712" s="32">
        <f>IFERROR(__xludf.DUMMYFUNCTION("""COMPUTED_VALUE"""),2.0)</f>
        <v>2</v>
      </c>
      <c r="M7712" s="4" t="str">
        <f>IFERROR(__xludf.DUMMYFUNCTION("""COMPUTED_VALUE"""),"Saipos Serviços De Software")</f>
        <v>Saipos Serviços De Software</v>
      </c>
      <c r="N7712" s="33">
        <f>IFERROR(__xludf.DUMMYFUNCTION("""COMPUTED_VALUE"""),1.0)</f>
        <v>1</v>
      </c>
      <c r="O7712" s="4" t="str">
        <f>IFERROR(__xludf.DUMMYFUNCTION("""COMPUTED_VALUE"""),"Saipos Serviços De Software")</f>
        <v>Saipos Serviços De Software</v>
      </c>
      <c r="P7712" s="33">
        <f>IFERROR(__xludf.DUMMYFUNCTION("""COMPUTED_VALUE"""),1.0)</f>
        <v>1</v>
      </c>
      <c r="Q7712" s="4" t="str">
        <f>IFERROR(__xludf.DUMMYFUNCTION("""COMPUTED_VALUE"""),"Saipos Serviços De Software")</f>
        <v>Saipos Serviços De Software</v>
      </c>
      <c r="R7712" s="33">
        <f>IFERROR(__xludf.DUMMYFUNCTION("""COMPUTED_VALUE"""),1.0)</f>
        <v>1</v>
      </c>
      <c r="S7712" s="4" t="str">
        <f>IFERROR(__xludf.DUMMYFUNCTION("""COMPUTED_VALUE"""),"Saipos Serviços De Software")</f>
        <v>Saipos Serviços De Software</v>
      </c>
      <c r="T7712" s="33">
        <f>IFERROR(__xludf.DUMMYFUNCTION("""COMPUTED_VALUE"""),1.0)</f>
        <v>1</v>
      </c>
      <c r="U7712" s="4" t="str">
        <f>IFERROR(__xludf.DUMMYFUNCTION("""COMPUTED_VALUE"""),"Saipos Serviços De Software")</f>
        <v>Saipos Serviços De Software</v>
      </c>
      <c r="V7712" s="33">
        <f>IFERROR(__xludf.DUMMYFUNCTION("""COMPUTED_VALUE"""),1.0)</f>
        <v>1</v>
      </c>
      <c r="W7712" s="4" t="str">
        <f>IFERROR(__xludf.DUMMYFUNCTION("""COMPUTED_VALUE"""),"Saipos Serviços De Software")</f>
        <v>Saipos Serviços De Software</v>
      </c>
      <c r="X7712" s="33">
        <f>IFERROR(__xludf.DUMMYFUNCTION("""COMPUTED_VALUE"""),1.0)</f>
        <v>1</v>
      </c>
    </row>
    <row r="7713">
      <c r="K7713" s="4" t="str">
        <f>IFERROR(__xludf.DUMMYFUNCTION("""COMPUTED_VALUE"""),"PORPINO BURGER")</f>
        <v>PORPINO BURGER</v>
      </c>
      <c r="L7713" s="32">
        <f>IFERROR(__xludf.DUMMYFUNCTION("""COMPUTED_VALUE"""),2.0)</f>
        <v>2</v>
      </c>
      <c r="M7713" s="4" t="str">
        <f>IFERROR(__xludf.DUMMYFUNCTION("""COMPUTED_VALUE"""),"Proabakus Desenvolvimento De Sistemas Ltda")</f>
        <v>Proabakus Desenvolvimento De Sistemas Ltda</v>
      </c>
      <c r="N7713" s="33">
        <f>IFERROR(__xludf.DUMMYFUNCTION("""COMPUTED_VALUE"""),1.0)</f>
        <v>1</v>
      </c>
      <c r="O7713" s="4" t="str">
        <f>IFERROR(__xludf.DUMMYFUNCTION("""COMPUTED_VALUE"""),"Proabakus Desenvolvimento De Sistemas Ltda")</f>
        <v>Proabakus Desenvolvimento De Sistemas Ltda</v>
      </c>
      <c r="P7713" s="33">
        <f>IFERROR(__xludf.DUMMYFUNCTION("""COMPUTED_VALUE"""),0.5)</f>
        <v>0.5</v>
      </c>
      <c r="Q7713" s="4" t="str">
        <f>IFERROR(__xludf.DUMMYFUNCTION("""COMPUTED_VALUE"""),"Proabakus Desenvolvimento De Sistemas Ltda")</f>
        <v>Proabakus Desenvolvimento De Sistemas Ltda</v>
      </c>
      <c r="R7713" s="33">
        <f>IFERROR(__xludf.DUMMYFUNCTION("""COMPUTED_VALUE"""),0.5)</f>
        <v>0.5</v>
      </c>
      <c r="S7713" s="4" t="str">
        <f>IFERROR(__xludf.DUMMYFUNCTION("""COMPUTED_VALUE"""),"Anota Ai Solucoes Digitais S/a")</f>
        <v>Anota Ai Solucoes Digitais S/a</v>
      </c>
      <c r="T7713" s="33">
        <f>IFERROR(__xludf.DUMMYFUNCTION("""COMPUTED_VALUE"""),1.0)</f>
        <v>1</v>
      </c>
      <c r="U7713" s="4" t="str">
        <f>IFERROR(__xludf.DUMMYFUNCTION("""COMPUTED_VALUE"""),"Proabakus Desenvolvimento De Sistemas Ltda")</f>
        <v>Proabakus Desenvolvimento De Sistemas Ltda</v>
      </c>
      <c r="V7713" s="33">
        <f>IFERROR(__xludf.DUMMYFUNCTION("""COMPUTED_VALUE"""),0.5)</f>
        <v>0.5</v>
      </c>
      <c r="W7713" s="4" t="str">
        <f>IFERROR(__xludf.DUMMYFUNCTION("""COMPUTED_VALUE"""),"null")</f>
        <v>null</v>
      </c>
      <c r="X7713" s="33">
        <f>IFERROR(__xludf.DUMMYFUNCTION("""COMPUTED_VALUE"""),1.0)</f>
        <v>1</v>
      </c>
    </row>
    <row r="7714">
      <c r="K7714" s="4" t="str">
        <f>IFERROR(__xludf.DUMMYFUNCTION("""COMPUTED_VALUE"""),"PORQUE SIM")</f>
        <v>PORQUE SIM</v>
      </c>
      <c r="L7714" s="32">
        <f>IFERROR(__xludf.DUMMYFUNCTION("""COMPUTED_VALUE"""),2.0)</f>
        <v>2</v>
      </c>
      <c r="M7714" s="4" t="str">
        <f>IFERROR(__xludf.DUMMYFUNCTION("""COMPUTED_VALUE"""),"Mimic")</f>
        <v>Mimic</v>
      </c>
      <c r="N7714" s="33">
        <f>IFERROR(__xludf.DUMMYFUNCTION("""COMPUTED_VALUE"""),0.5)</f>
        <v>0.5</v>
      </c>
      <c r="O7714" s="4" t="str">
        <f>IFERROR(__xludf.DUMMYFUNCTION("""COMPUTED_VALUE"""),"Dcs Automação Eireli")</f>
        <v>Dcs Automação Eireli</v>
      </c>
      <c r="P7714" s="33">
        <f>IFERROR(__xludf.DUMMYFUNCTION("""COMPUTED_VALUE"""),0.5)</f>
        <v>0.5</v>
      </c>
      <c r="Q7714" s="4" t="str">
        <f>IFERROR(__xludf.DUMMYFUNCTION("""COMPUTED_VALUE"""),"Dcs Automação Eireli")</f>
        <v>Dcs Automação Eireli</v>
      </c>
      <c r="R7714" s="33">
        <f>IFERROR(__xludf.DUMMYFUNCTION("""COMPUTED_VALUE"""),0.5)</f>
        <v>0.5</v>
      </c>
      <c r="S7714" s="4" t="str">
        <f>IFERROR(__xludf.DUMMYFUNCTION("""COMPUTED_VALUE"""),"Dcs Automação Eireli")</f>
        <v>Dcs Automação Eireli</v>
      </c>
      <c r="T7714" s="33">
        <f>IFERROR(__xludf.DUMMYFUNCTION("""COMPUTED_VALUE"""),0.5)</f>
        <v>0.5</v>
      </c>
      <c r="U7714" s="4" t="str">
        <f>IFERROR(__xludf.DUMMYFUNCTION("""COMPUTED_VALUE"""),"Dcs Automação Eireli")</f>
        <v>Dcs Automação Eireli</v>
      </c>
      <c r="V7714" s="33">
        <f>IFERROR(__xludf.DUMMYFUNCTION("""COMPUTED_VALUE"""),0.5)</f>
        <v>0.5</v>
      </c>
      <c r="W7714" s="4" t="str">
        <f>IFERROR(__xludf.DUMMYFUNCTION("""COMPUTED_VALUE"""),"Dcs Automação Eireli")</f>
        <v>Dcs Automação Eireli</v>
      </c>
      <c r="X7714" s="33">
        <f>IFERROR(__xludf.DUMMYFUNCTION("""COMPUTED_VALUE"""),0.5)</f>
        <v>0.5</v>
      </c>
    </row>
    <row r="7715">
      <c r="K7715" s="4" t="str">
        <f>IFERROR(__xludf.DUMMYFUNCTION("""COMPUTED_VALUE"""),"PORTAL DA PICANHA")</f>
        <v>PORTAL DA PICANHA</v>
      </c>
      <c r="L7715" s="32">
        <f>IFERROR(__xludf.DUMMYFUNCTION("""COMPUTED_VALUE"""),2.0)</f>
        <v>2</v>
      </c>
      <c r="M7715" s="4" t="str">
        <f>IFERROR(__xludf.DUMMYFUNCTION("""COMPUTED_VALUE"""),"L&amp;f Tecnologia Sistemas E Comercio Ltda")</f>
        <v>L&amp;f Tecnologia Sistemas E Comercio Ltda</v>
      </c>
      <c r="N7715" s="33">
        <f>IFERROR(__xludf.DUMMYFUNCTION("""COMPUTED_VALUE"""),1.0)</f>
        <v>1</v>
      </c>
      <c r="O7715" s="4" t="str">
        <f>IFERROR(__xludf.DUMMYFUNCTION("""COMPUTED_VALUE"""),"L&amp;f Tecnologia Sistemas E Comercio Ltda")</f>
        <v>L&amp;f Tecnologia Sistemas E Comercio Ltda</v>
      </c>
      <c r="P7715" s="33">
        <f>IFERROR(__xludf.DUMMYFUNCTION("""COMPUTED_VALUE"""),1.0)</f>
        <v>1</v>
      </c>
      <c r="Q7715" s="4" t="str">
        <f>IFERROR(__xludf.DUMMYFUNCTION("""COMPUTED_VALUE"""),"L&amp;f Tecnologia Sistemas E Comercio Ltda")</f>
        <v>L&amp;f Tecnologia Sistemas E Comercio Ltda</v>
      </c>
      <c r="R7715" s="33">
        <f>IFERROR(__xludf.DUMMYFUNCTION("""COMPUTED_VALUE"""),1.0)</f>
        <v>1</v>
      </c>
      <c r="S7715" s="4" t="str">
        <f>IFERROR(__xludf.DUMMYFUNCTION("""COMPUTED_VALUE"""),"L&amp;f Tecnologia Sistemas E Comercio Ltda")</f>
        <v>L&amp;f Tecnologia Sistemas E Comercio Ltda</v>
      </c>
      <c r="T7715" s="33">
        <f>IFERROR(__xludf.DUMMYFUNCTION("""COMPUTED_VALUE"""),1.0)</f>
        <v>1</v>
      </c>
      <c r="U7715" s="4" t="str">
        <f>IFERROR(__xludf.DUMMYFUNCTION("""COMPUTED_VALUE"""),"L&amp;f Tecnologia Sistemas E Comercio Ltda")</f>
        <v>L&amp;f Tecnologia Sistemas E Comercio Ltda</v>
      </c>
      <c r="V7715" s="33">
        <f>IFERROR(__xludf.DUMMYFUNCTION("""COMPUTED_VALUE"""),1.0)</f>
        <v>1</v>
      </c>
      <c r="W7715" s="4" t="str">
        <f>IFERROR(__xludf.DUMMYFUNCTION("""COMPUTED_VALUE"""),"L&amp;f Tecnologia Sistemas E Comercio Ltda")</f>
        <v>L&amp;f Tecnologia Sistemas E Comercio Ltda</v>
      </c>
      <c r="X7715" s="33">
        <f>IFERROR(__xludf.DUMMYFUNCTION("""COMPUTED_VALUE"""),1.0)</f>
        <v>1</v>
      </c>
    </row>
    <row r="7716">
      <c r="K7716" s="4" t="str">
        <f>IFERROR(__xludf.DUMMYFUNCTION("""COMPUTED_VALUE"""),"PORTAL DA PICANHA L")</f>
        <v>PORTAL DA PICANHA L</v>
      </c>
      <c r="L7716" s="32">
        <f>IFERROR(__xludf.DUMMYFUNCTION("""COMPUTED_VALUE"""),2.0)</f>
        <v>2</v>
      </c>
      <c r="M7716" s="4" t="str">
        <f>IFERROR(__xludf.DUMMYFUNCTION("""COMPUTED_VALUE"""),"L&amp;f Tecnologia Sistemas E Comercio Ltda")</f>
        <v>L&amp;f Tecnologia Sistemas E Comercio Ltda</v>
      </c>
      <c r="N7716" s="33">
        <f>IFERROR(__xludf.DUMMYFUNCTION("""COMPUTED_VALUE"""),1.0)</f>
        <v>1</v>
      </c>
      <c r="O7716" s="4" t="str">
        <f>IFERROR(__xludf.DUMMYFUNCTION("""COMPUTED_VALUE"""),"L&amp;f Tecnologia Sistemas E Comercio Ltda")</f>
        <v>L&amp;f Tecnologia Sistemas E Comercio Ltda</v>
      </c>
      <c r="P7716" s="33">
        <f>IFERROR(__xludf.DUMMYFUNCTION("""COMPUTED_VALUE"""),1.0)</f>
        <v>1</v>
      </c>
      <c r="Q7716" s="4" t="str">
        <f>IFERROR(__xludf.DUMMYFUNCTION("""COMPUTED_VALUE"""),"L&amp;f Tecnologia Sistemas E Comercio Ltda")</f>
        <v>L&amp;f Tecnologia Sistemas E Comercio Ltda</v>
      </c>
      <c r="R7716" s="33">
        <f>IFERROR(__xludf.DUMMYFUNCTION("""COMPUTED_VALUE"""),1.0)</f>
        <v>1</v>
      </c>
      <c r="S7716" s="4" t="str">
        <f>IFERROR(__xludf.DUMMYFUNCTION("""COMPUTED_VALUE"""),"L&amp;f Tecnologia Sistemas E Comercio Ltda")</f>
        <v>L&amp;f Tecnologia Sistemas E Comercio Ltda</v>
      </c>
      <c r="T7716" s="33">
        <f>IFERROR(__xludf.DUMMYFUNCTION("""COMPUTED_VALUE"""),1.0)</f>
        <v>1</v>
      </c>
      <c r="U7716" s="4" t="str">
        <f>IFERROR(__xludf.DUMMYFUNCTION("""COMPUTED_VALUE"""),"L&amp;f Tecnologia Sistemas E Comercio Ltda")</f>
        <v>L&amp;f Tecnologia Sistemas E Comercio Ltda</v>
      </c>
      <c r="V7716" s="33">
        <f>IFERROR(__xludf.DUMMYFUNCTION("""COMPUTED_VALUE"""),1.0)</f>
        <v>1</v>
      </c>
      <c r="W7716" s="4" t="str">
        <f>IFERROR(__xludf.DUMMYFUNCTION("""COMPUTED_VALUE"""),"L&amp;f Tecnologia Sistemas E Comercio Ltda")</f>
        <v>L&amp;f Tecnologia Sistemas E Comercio Ltda</v>
      </c>
      <c r="X7716" s="33">
        <f>IFERROR(__xludf.DUMMYFUNCTION("""COMPUTED_VALUE"""),1.0)</f>
        <v>1</v>
      </c>
    </row>
    <row r="7717">
      <c r="K7717" s="4" t="str">
        <f>IFERROR(__xludf.DUMMYFUNCTION("""COMPUTED_VALUE"""),"PORTI PIZZA EXPRESS")</f>
        <v>PORTI PIZZA EXPRESS</v>
      </c>
      <c r="L7717" s="32">
        <f>IFERROR(__xludf.DUMMYFUNCTION("""COMPUTED_VALUE"""),2.0)</f>
        <v>2</v>
      </c>
      <c r="M7717" s="4" t="str">
        <f>IFERROR(__xludf.DUMMYFUNCTION("""COMPUTED_VALUE"""),"Saipos Serviços De Software")</f>
        <v>Saipos Serviços De Software</v>
      </c>
      <c r="N7717" s="33">
        <f>IFERROR(__xludf.DUMMYFUNCTION("""COMPUTED_VALUE"""),1.0)</f>
        <v>1</v>
      </c>
      <c r="O7717" s="4" t="str">
        <f>IFERROR(__xludf.DUMMYFUNCTION("""COMPUTED_VALUE"""),"Saipos Serviços De Software")</f>
        <v>Saipos Serviços De Software</v>
      </c>
      <c r="P7717" s="33">
        <f>IFERROR(__xludf.DUMMYFUNCTION("""COMPUTED_VALUE"""),0.5)</f>
        <v>0.5</v>
      </c>
      <c r="Q7717" s="4" t="str">
        <f>IFERROR(__xludf.DUMMYFUNCTION("""COMPUTED_VALUE"""),"Saipos Serviços De Software")</f>
        <v>Saipos Serviços De Software</v>
      </c>
      <c r="R7717" s="33">
        <f>IFERROR(__xludf.DUMMYFUNCTION("""COMPUTED_VALUE"""),1.0)</f>
        <v>1</v>
      </c>
      <c r="S7717" s="4" t="str">
        <f>IFERROR(__xludf.DUMMYFUNCTION("""COMPUTED_VALUE"""),"Saipos Serviços De Software")</f>
        <v>Saipos Serviços De Software</v>
      </c>
      <c r="T7717" s="33">
        <f>IFERROR(__xludf.DUMMYFUNCTION("""COMPUTED_VALUE"""),0.5)</f>
        <v>0.5</v>
      </c>
      <c r="U7717" s="4" t="str">
        <f>IFERROR(__xludf.DUMMYFUNCTION("""COMPUTED_VALUE"""),"Saipos Serviços De Software")</f>
        <v>Saipos Serviços De Software</v>
      </c>
      <c r="V7717" s="33">
        <f>IFERROR(__xludf.DUMMYFUNCTION("""COMPUTED_VALUE"""),1.0)</f>
        <v>1</v>
      </c>
      <c r="W7717" s="4" t="str">
        <f>IFERROR(__xludf.DUMMYFUNCTION("""COMPUTED_VALUE"""),"null")</f>
        <v>null</v>
      </c>
      <c r="X7717" s="33">
        <f>IFERROR(__xludf.DUMMYFUNCTION("""COMPUTED_VALUE"""),0.5)</f>
        <v>0.5</v>
      </c>
    </row>
    <row r="7718">
      <c r="K7718" s="4" t="str">
        <f>IFERROR(__xludf.DUMMYFUNCTION("""COMPUTED_VALUE"""),"PORTOBELLO PIZZARIA")</f>
        <v>PORTOBELLO PIZZARIA</v>
      </c>
      <c r="L7718" s="32">
        <f>IFERROR(__xludf.DUMMYFUNCTION("""COMPUTED_VALUE"""),2.0)</f>
        <v>2</v>
      </c>
      <c r="M7718" s="4" t="str">
        <f>IFERROR(__xludf.DUMMYFUNCTION("""COMPUTED_VALUE"""),"Consumer Soluções Em Tecnologia Ltda")</f>
        <v>Consumer Soluções Em Tecnologia Ltda</v>
      </c>
      <c r="N7718" s="33">
        <f>IFERROR(__xludf.DUMMYFUNCTION("""COMPUTED_VALUE"""),1.0)</f>
        <v>1</v>
      </c>
      <c r="O7718" s="4" t="str">
        <f>IFERROR(__xludf.DUMMYFUNCTION("""COMPUTED_VALUE"""),"Consumer Soluções Em Tecnologia Ltda")</f>
        <v>Consumer Soluções Em Tecnologia Ltda</v>
      </c>
      <c r="P7718" s="33">
        <f>IFERROR(__xludf.DUMMYFUNCTION("""COMPUTED_VALUE"""),0.5)</f>
        <v>0.5</v>
      </c>
      <c r="Q7718" s="4" t="str">
        <f>IFERROR(__xludf.DUMMYFUNCTION("""COMPUTED_VALUE"""),"Saipos Serviços De Software")</f>
        <v>Saipos Serviços De Software</v>
      </c>
      <c r="R7718" s="33">
        <f>IFERROR(__xludf.DUMMYFUNCTION("""COMPUTED_VALUE"""),1.0)</f>
        <v>1</v>
      </c>
      <c r="S7718" s="4" t="str">
        <f>IFERROR(__xludf.DUMMYFUNCTION("""COMPUTED_VALUE"""),"Saipos Serviços De Software")</f>
        <v>Saipos Serviços De Software</v>
      </c>
      <c r="T7718" s="33">
        <f>IFERROR(__xludf.DUMMYFUNCTION("""COMPUTED_VALUE"""),1.0)</f>
        <v>1</v>
      </c>
      <c r="U7718" s="4" t="str">
        <f>IFERROR(__xludf.DUMMYFUNCTION("""COMPUTED_VALUE"""),"Saipos Serviços De Software")</f>
        <v>Saipos Serviços De Software</v>
      </c>
      <c r="V7718" s="33">
        <f>IFERROR(__xludf.DUMMYFUNCTION("""COMPUTED_VALUE"""),1.0)</f>
        <v>1</v>
      </c>
      <c r="W7718" s="4" t="str">
        <f>IFERROR(__xludf.DUMMYFUNCTION("""COMPUTED_VALUE"""),"Saipos Serviços De Software")</f>
        <v>Saipos Serviços De Software</v>
      </c>
      <c r="X7718" s="33">
        <f>IFERROR(__xludf.DUMMYFUNCTION("""COMPUTED_VALUE"""),1.0)</f>
        <v>1</v>
      </c>
    </row>
    <row r="7719">
      <c r="K7719" s="4" t="str">
        <f>IFERROR(__xludf.DUMMYFUNCTION("""COMPUTED_VALUE"""),"PORTUGA BAKE SHOP - COOKIES")</f>
        <v>PORTUGA BAKE SHOP - COOKIES</v>
      </c>
      <c r="L7719" s="32">
        <f>IFERROR(__xludf.DUMMYFUNCTION("""COMPUTED_VALUE"""),2.0)</f>
        <v>2</v>
      </c>
      <c r="M7719" s="4" t="str">
        <f>IFERROR(__xludf.DUMMYFUNCTION("""COMPUTED_VALUE"""),"Saipos Serviços De Software")</f>
        <v>Saipos Serviços De Software</v>
      </c>
      <c r="N7719" s="33">
        <f>IFERROR(__xludf.DUMMYFUNCTION("""COMPUTED_VALUE"""),1.0)</f>
        <v>1</v>
      </c>
      <c r="O7719" s="4" t="str">
        <f>IFERROR(__xludf.DUMMYFUNCTION("""COMPUTED_VALUE"""),"Saipos Serviços De Software")</f>
        <v>Saipos Serviços De Software</v>
      </c>
      <c r="P7719" s="33">
        <f>IFERROR(__xludf.DUMMYFUNCTION("""COMPUTED_VALUE"""),1.0)</f>
        <v>1</v>
      </c>
      <c r="Q7719" s="4" t="str">
        <f>IFERROR(__xludf.DUMMYFUNCTION("""COMPUTED_VALUE"""),"Saipos Serviços De Software")</f>
        <v>Saipos Serviços De Software</v>
      </c>
      <c r="R7719" s="33">
        <f>IFERROR(__xludf.DUMMYFUNCTION("""COMPUTED_VALUE"""),1.0)</f>
        <v>1</v>
      </c>
      <c r="S7719" s="4" t="str">
        <f>IFERROR(__xludf.DUMMYFUNCTION("""COMPUTED_VALUE"""),"Saipos Serviços De Software")</f>
        <v>Saipos Serviços De Software</v>
      </c>
      <c r="T7719" s="33">
        <f>IFERROR(__xludf.DUMMYFUNCTION("""COMPUTED_VALUE"""),1.0)</f>
        <v>1</v>
      </c>
      <c r="U7719" s="4" t="str">
        <f>IFERROR(__xludf.DUMMYFUNCTION("""COMPUTED_VALUE"""),"Saipos Serviços De Software")</f>
        <v>Saipos Serviços De Software</v>
      </c>
      <c r="V7719" s="33">
        <f>IFERROR(__xludf.DUMMYFUNCTION("""COMPUTED_VALUE"""),1.0)</f>
        <v>1</v>
      </c>
      <c r="W7719" s="4" t="str">
        <f>IFERROR(__xludf.DUMMYFUNCTION("""COMPUTED_VALUE"""),"Saipos Serviços De Software")</f>
        <v>Saipos Serviços De Software</v>
      </c>
      <c r="X7719" s="33">
        <f>IFERROR(__xludf.DUMMYFUNCTION("""COMPUTED_VALUE"""),1.0)</f>
        <v>1</v>
      </c>
    </row>
    <row r="7720">
      <c r="K7720" s="4" t="str">
        <f>IFERROR(__xludf.DUMMYFUNCTION("""COMPUTED_VALUE"""),"POUPA MINAS - CONTA MARCA")</f>
        <v>POUPA MINAS - CONTA MARCA</v>
      </c>
      <c r="L7720" s="32">
        <f>IFERROR(__xludf.DUMMYFUNCTION("""COMPUTED_VALUE"""),2.0)</f>
        <v>2</v>
      </c>
      <c r="M7720" s="4" t="str">
        <f>IFERROR(__xludf.DUMMYFUNCTION("""COMPUTED_VALUE"""),"null")</f>
        <v>null</v>
      </c>
      <c r="N7720" s="33">
        <f>IFERROR(__xludf.DUMMYFUNCTION("""COMPUTED_VALUE"""),1.0)</f>
        <v>1</v>
      </c>
      <c r="O7720" s="4" t="str">
        <f>IFERROR(__xludf.DUMMYFUNCTION("""COMPUTED_VALUE"""),"null")</f>
        <v>null</v>
      </c>
      <c r="P7720" s="33">
        <f>IFERROR(__xludf.DUMMYFUNCTION("""COMPUTED_VALUE"""),1.0)</f>
        <v>1</v>
      </c>
      <c r="Q7720" s="4" t="str">
        <f>IFERROR(__xludf.DUMMYFUNCTION("""COMPUTED_VALUE"""),"null")</f>
        <v>null</v>
      </c>
      <c r="R7720" s="33">
        <f>IFERROR(__xludf.DUMMYFUNCTION("""COMPUTED_VALUE"""),1.0)</f>
        <v>1</v>
      </c>
      <c r="S7720" s="4" t="str">
        <f>IFERROR(__xludf.DUMMYFUNCTION("""COMPUTED_VALUE"""),"null")</f>
        <v>null</v>
      </c>
      <c r="T7720" s="33">
        <f>IFERROR(__xludf.DUMMYFUNCTION("""COMPUTED_VALUE"""),1.0)</f>
        <v>1</v>
      </c>
      <c r="U7720" s="4" t="str">
        <f>IFERROR(__xludf.DUMMYFUNCTION("""COMPUTED_VALUE"""),"N/A (Not found)")</f>
        <v>N/A (Not found)</v>
      </c>
      <c r="V7720" s="33">
        <f>IFERROR(__xludf.DUMMYFUNCTION("""COMPUTED_VALUE"""),1.0)</f>
        <v>1</v>
      </c>
      <c r="W7720" s="4" t="str">
        <f>IFERROR(__xludf.DUMMYFUNCTION("""COMPUTED_VALUE"""),"N/A (Not found)")</f>
        <v>N/A (Not found)</v>
      </c>
      <c r="X7720" s="33">
        <f>IFERROR(__xludf.DUMMYFUNCTION("""COMPUTED_VALUE"""),1.0)</f>
        <v>1</v>
      </c>
    </row>
    <row r="7721">
      <c r="K7721" s="4" t="str">
        <f>IFERROR(__xludf.DUMMYFUNCTION("""COMPUTED_VALUE"""),"PRAZERES DROGARIA - CONTA PAI")</f>
        <v>PRAZERES DROGARIA - CONTA PAI</v>
      </c>
      <c r="L7721" s="32">
        <f>IFERROR(__xludf.DUMMYFUNCTION("""COMPUTED_VALUE"""),2.0)</f>
        <v>2</v>
      </c>
      <c r="M7721" s="4" t="str">
        <f>IFERROR(__xludf.DUMMYFUNCTION("""COMPUTED_VALUE"""),"N/A (Not found)")</f>
        <v>N/A (Not found)</v>
      </c>
      <c r="N7721" s="33">
        <f>IFERROR(__xludf.DUMMYFUNCTION("""COMPUTED_VALUE"""),1.0)</f>
        <v>1</v>
      </c>
      <c r="O7721" s="4" t="str">
        <f>IFERROR(__xludf.DUMMYFUNCTION("""COMPUTED_VALUE"""),"N/A (Not found)")</f>
        <v>N/A (Not found)</v>
      </c>
      <c r="P7721" s="33">
        <f>IFERROR(__xludf.DUMMYFUNCTION("""COMPUTED_VALUE"""),1.0)</f>
        <v>1</v>
      </c>
      <c r="Q7721" s="4" t="str">
        <f>IFERROR(__xludf.DUMMYFUNCTION("""COMPUTED_VALUE"""),"N/A (Not found)")</f>
        <v>N/A (Not found)</v>
      </c>
      <c r="R7721" s="33">
        <f>IFERROR(__xludf.DUMMYFUNCTION("""COMPUTED_VALUE"""),1.0)</f>
        <v>1</v>
      </c>
      <c r="S7721" s="4" t="str">
        <f>IFERROR(__xludf.DUMMYFUNCTION("""COMPUTED_VALUE"""),"N/A (Not found)")</f>
        <v>N/A (Not found)</v>
      </c>
      <c r="T7721" s="33">
        <f>IFERROR(__xludf.DUMMYFUNCTION("""COMPUTED_VALUE"""),1.0)</f>
        <v>1</v>
      </c>
      <c r="U7721" s="4" t="str">
        <f>IFERROR(__xludf.DUMMYFUNCTION("""COMPUTED_VALUE"""),"N/A (Not found)")</f>
        <v>N/A (Not found)</v>
      </c>
      <c r="V7721" s="33">
        <f>IFERROR(__xludf.DUMMYFUNCTION("""COMPUTED_VALUE"""),1.0)</f>
        <v>1</v>
      </c>
      <c r="W7721" s="4" t="str">
        <f>IFERROR(__xludf.DUMMYFUNCTION("""COMPUTED_VALUE"""),"N/A (Not found)")</f>
        <v>N/A (Not found)</v>
      </c>
      <c r="X7721" s="33">
        <f>IFERROR(__xludf.DUMMYFUNCTION("""COMPUTED_VALUE"""),1.0)</f>
        <v>1</v>
      </c>
    </row>
    <row r="7722">
      <c r="K7722" s="4" t="str">
        <f>IFERROR(__xludf.DUMMYFUNCTION("""COMPUTED_VALUE"""),"PRETA PRETINHA")</f>
        <v>PRETA PRETINHA</v>
      </c>
      <c r="L7722" s="32">
        <f>IFERROR(__xludf.DUMMYFUNCTION("""COMPUTED_VALUE"""),2.0)</f>
        <v>2</v>
      </c>
      <c r="M7722" s="4" t="str">
        <f>IFERROR(__xludf.DUMMYFUNCTION("""COMPUTED_VALUE"""),"Consumer Soluções Em Tecnologia Ltda")</f>
        <v>Consumer Soluções Em Tecnologia Ltda</v>
      </c>
      <c r="N7722" s="33">
        <f>IFERROR(__xludf.DUMMYFUNCTION("""COMPUTED_VALUE"""),0.5)</f>
        <v>0.5</v>
      </c>
      <c r="O7722" s="4" t="str">
        <f>IFERROR(__xludf.DUMMYFUNCTION("""COMPUTED_VALUE"""),"Consumer Soluções Em Tecnologia Ltda")</f>
        <v>Consumer Soluções Em Tecnologia Ltda</v>
      </c>
      <c r="P7722" s="33">
        <f>IFERROR(__xludf.DUMMYFUNCTION("""COMPUTED_VALUE"""),0.5)</f>
        <v>0.5</v>
      </c>
      <c r="Q7722" s="4" t="str">
        <f>IFERROR(__xludf.DUMMYFUNCTION("""COMPUTED_VALUE"""),"Consumer Soluções Em Tecnologia Ltda")</f>
        <v>Consumer Soluções Em Tecnologia Ltda</v>
      </c>
      <c r="R7722" s="33">
        <f>IFERROR(__xludf.DUMMYFUNCTION("""COMPUTED_VALUE"""),0.5)</f>
        <v>0.5</v>
      </c>
      <c r="S7722" s="4" t="str">
        <f>IFERROR(__xludf.DUMMYFUNCTION("""COMPUTED_VALUE"""),"Consumer Soluções Em Tecnologia Ltda")</f>
        <v>Consumer Soluções Em Tecnologia Ltda</v>
      </c>
      <c r="T7722" s="33">
        <f>IFERROR(__xludf.DUMMYFUNCTION("""COMPUTED_VALUE"""),1.0)</f>
        <v>1</v>
      </c>
      <c r="U7722" s="4" t="str">
        <f>IFERROR(__xludf.DUMMYFUNCTION("""COMPUTED_VALUE"""),"Consumer Soluções Em Tecnologia Ltda")</f>
        <v>Consumer Soluções Em Tecnologia Ltda</v>
      </c>
      <c r="V7722" s="33">
        <f>IFERROR(__xludf.DUMMYFUNCTION("""COMPUTED_VALUE"""),1.0)</f>
        <v>1</v>
      </c>
      <c r="W7722" s="4" t="str">
        <f>IFERROR(__xludf.DUMMYFUNCTION("""COMPUTED_VALUE"""),"Consumer Soluções Em Tecnologia Ltda")</f>
        <v>Consumer Soluções Em Tecnologia Ltda</v>
      </c>
      <c r="X7722" s="33">
        <f>IFERROR(__xludf.DUMMYFUNCTION("""COMPUTED_VALUE"""),1.0)</f>
        <v>1</v>
      </c>
    </row>
    <row r="7723">
      <c r="K7723" s="4" t="str">
        <f>IFERROR(__xludf.DUMMYFUNCTION("""COMPUTED_VALUE"""),"PRIMAVERA")</f>
        <v>PRIMAVERA</v>
      </c>
      <c r="L7723" s="32">
        <f>IFERROR(__xludf.DUMMYFUNCTION("""COMPUTED_VALUE"""),2.0)</f>
        <v>2</v>
      </c>
      <c r="M7723" s="4" t="str">
        <f>IFERROR(__xludf.DUMMYFUNCTION("""COMPUTED_VALUE"""),"Grsoft")</f>
        <v>Grsoft</v>
      </c>
      <c r="N7723" s="33">
        <f>IFERROR(__xludf.DUMMYFUNCTION("""COMPUTED_VALUE"""),1.0)</f>
        <v>1</v>
      </c>
      <c r="O7723" s="4" t="str">
        <f>IFERROR(__xludf.DUMMYFUNCTION("""COMPUTED_VALUE"""),"Grsoft")</f>
        <v>Grsoft</v>
      </c>
      <c r="P7723" s="33">
        <f>IFERROR(__xludf.DUMMYFUNCTION("""COMPUTED_VALUE"""),1.0)</f>
        <v>1</v>
      </c>
      <c r="Q7723" s="4" t="str">
        <f>IFERROR(__xludf.DUMMYFUNCTION("""COMPUTED_VALUE"""),"Grsoft")</f>
        <v>Grsoft</v>
      </c>
      <c r="R7723" s="33">
        <f>IFERROR(__xludf.DUMMYFUNCTION("""COMPUTED_VALUE"""),1.0)</f>
        <v>1</v>
      </c>
      <c r="S7723" s="4" t="str">
        <f>IFERROR(__xludf.DUMMYFUNCTION("""COMPUTED_VALUE"""),"Grsoft")</f>
        <v>Grsoft</v>
      </c>
      <c r="T7723" s="33">
        <f>IFERROR(__xludf.DUMMYFUNCTION("""COMPUTED_VALUE"""),1.0)</f>
        <v>1</v>
      </c>
      <c r="U7723" s="4" t="str">
        <f>IFERROR(__xludf.DUMMYFUNCTION("""COMPUTED_VALUE"""),"Grsoft")</f>
        <v>Grsoft</v>
      </c>
      <c r="V7723" s="33">
        <f>IFERROR(__xludf.DUMMYFUNCTION("""COMPUTED_VALUE"""),1.0)</f>
        <v>1</v>
      </c>
      <c r="W7723" s="4" t="str">
        <f>IFERROR(__xludf.DUMMYFUNCTION("""COMPUTED_VALUE"""),"Grsoft")</f>
        <v>Grsoft</v>
      </c>
      <c r="X7723" s="33">
        <f>IFERROR(__xludf.DUMMYFUNCTION("""COMPUTED_VALUE"""),1.0)</f>
        <v>1</v>
      </c>
    </row>
    <row r="7724">
      <c r="K7724" s="4" t="str">
        <f>IFERROR(__xludf.DUMMYFUNCTION("""COMPUTED_VALUE"""),"PRIME FARMA GRAJAU - CONTA MARCA")</f>
        <v>PRIME FARMA GRAJAU - CONTA MARCA</v>
      </c>
      <c r="L7724" s="32">
        <f>IFERROR(__xludf.DUMMYFUNCTION("""COMPUTED_VALUE"""),2.0)</f>
        <v>2</v>
      </c>
      <c r="M7724" s="4" t="str">
        <f>IFERROR(__xludf.DUMMYFUNCTION("""COMPUTED_VALUE"""),"N/A (Not found)")</f>
        <v>N/A (Not found)</v>
      </c>
      <c r="N7724" s="33">
        <f>IFERROR(__xludf.DUMMYFUNCTION("""COMPUTED_VALUE"""),1.0)</f>
        <v>1</v>
      </c>
      <c r="O7724" s="4" t="str">
        <f>IFERROR(__xludf.DUMMYFUNCTION("""COMPUTED_VALUE"""),"N/A (Not found)")</f>
        <v>N/A (Not found)</v>
      </c>
      <c r="P7724" s="33">
        <f>IFERROR(__xludf.DUMMYFUNCTION("""COMPUTED_VALUE"""),1.0)</f>
        <v>1</v>
      </c>
      <c r="Q7724" s="4" t="str">
        <f>IFERROR(__xludf.DUMMYFUNCTION("""COMPUTED_VALUE"""),"null")</f>
        <v>null</v>
      </c>
      <c r="R7724" s="33">
        <f>IFERROR(__xludf.DUMMYFUNCTION("""COMPUTED_VALUE"""),0.5)</f>
        <v>0.5</v>
      </c>
      <c r="S7724" s="4" t="str">
        <f>IFERROR(__xludf.DUMMYFUNCTION("""COMPUTED_VALUE"""),"null")</f>
        <v>null</v>
      </c>
      <c r="T7724" s="33">
        <f>IFERROR(__xludf.DUMMYFUNCTION("""COMPUTED_VALUE"""),1.0)</f>
        <v>1</v>
      </c>
      <c r="U7724" s="4" t="str">
        <f>IFERROR(__xludf.DUMMYFUNCTION("""COMPUTED_VALUE"""),"null")</f>
        <v>null</v>
      </c>
      <c r="V7724" s="33">
        <f>IFERROR(__xludf.DUMMYFUNCTION("""COMPUTED_VALUE"""),1.0)</f>
        <v>1</v>
      </c>
      <c r="W7724" s="4" t="str">
        <f>IFERROR(__xludf.DUMMYFUNCTION("""COMPUTED_VALUE"""),"null")</f>
        <v>null</v>
      </c>
      <c r="X7724" s="33">
        <f>IFERROR(__xludf.DUMMYFUNCTION("""COMPUTED_VALUE"""),1.0)</f>
        <v>1</v>
      </c>
    </row>
    <row r="7725">
      <c r="K7725" s="4" t="str">
        <f>IFERROR(__xludf.DUMMYFUNCTION("""COMPUTED_VALUE"""),"PRIMEIRO COZINHA DE BAR")</f>
        <v>PRIMEIRO COZINHA DE BAR</v>
      </c>
      <c r="L7725" s="32">
        <f>IFERROR(__xludf.DUMMYFUNCTION("""COMPUTED_VALUE"""),2.0)</f>
        <v>2</v>
      </c>
      <c r="M7725" s="4" t="str">
        <f>IFERROR(__xludf.DUMMYFUNCTION("""COMPUTED_VALUE"""),"Stone Co.")</f>
        <v>Stone Co.</v>
      </c>
      <c r="N7725" s="33">
        <f>IFERROR(__xludf.DUMMYFUNCTION("""COMPUTED_VALUE"""),1.0)</f>
        <v>1</v>
      </c>
      <c r="O7725" s="4" t="str">
        <f>IFERROR(__xludf.DUMMYFUNCTION("""COMPUTED_VALUE"""),"Stone Co.")</f>
        <v>Stone Co.</v>
      </c>
      <c r="P7725" s="33">
        <f>IFERROR(__xludf.DUMMYFUNCTION("""COMPUTED_VALUE"""),1.0)</f>
        <v>1</v>
      </c>
      <c r="Q7725" s="4" t="str">
        <f>IFERROR(__xludf.DUMMYFUNCTION("""COMPUTED_VALUE"""),"Stone Co.")</f>
        <v>Stone Co.</v>
      </c>
      <c r="R7725" s="33">
        <f>IFERROR(__xludf.DUMMYFUNCTION("""COMPUTED_VALUE"""),1.0)</f>
        <v>1</v>
      </c>
      <c r="S7725" s="4" t="str">
        <f>IFERROR(__xludf.DUMMYFUNCTION("""COMPUTED_VALUE"""),"Stone Co.")</f>
        <v>Stone Co.</v>
      </c>
      <c r="T7725" s="33">
        <f>IFERROR(__xludf.DUMMYFUNCTION("""COMPUTED_VALUE"""),1.0)</f>
        <v>1</v>
      </c>
      <c r="U7725" s="4" t="str">
        <f>IFERROR(__xludf.DUMMYFUNCTION("""COMPUTED_VALUE"""),"Stone Co.")</f>
        <v>Stone Co.</v>
      </c>
      <c r="V7725" s="33">
        <f>IFERROR(__xludf.DUMMYFUNCTION("""COMPUTED_VALUE"""),1.0)</f>
        <v>1</v>
      </c>
      <c r="W7725" s="4" t="str">
        <f>IFERROR(__xludf.DUMMYFUNCTION("""COMPUTED_VALUE"""),"Stone Co.")</f>
        <v>Stone Co.</v>
      </c>
      <c r="X7725" s="33">
        <f>IFERROR(__xludf.DUMMYFUNCTION("""COMPUTED_VALUE"""),1.0)</f>
        <v>1</v>
      </c>
    </row>
    <row r="7726">
      <c r="K7726" s="4" t="str">
        <f>IFERROR(__xludf.DUMMYFUNCTION("""COMPUTED_VALUE"""),"PRIMEIRO REINO BURGER")</f>
        <v>PRIMEIRO REINO BURGER</v>
      </c>
      <c r="L7726" s="32">
        <f>IFERROR(__xludf.DUMMYFUNCTION("""COMPUTED_VALUE"""),2.0)</f>
        <v>2</v>
      </c>
      <c r="M7726" s="4" t="str">
        <f>IFERROR(__xludf.DUMMYFUNCTION("""COMPUTED_VALUE"""),"Saipos Serviços De Software")</f>
        <v>Saipos Serviços De Software</v>
      </c>
      <c r="N7726" s="33">
        <f>IFERROR(__xludf.DUMMYFUNCTION("""COMPUTED_VALUE"""),1.0)</f>
        <v>1</v>
      </c>
      <c r="O7726" s="4" t="str">
        <f>IFERROR(__xludf.DUMMYFUNCTION("""COMPUTED_VALUE"""),"Saipos Serviços De Software")</f>
        <v>Saipos Serviços De Software</v>
      </c>
      <c r="P7726" s="33">
        <f>IFERROR(__xludf.DUMMYFUNCTION("""COMPUTED_VALUE"""),1.0)</f>
        <v>1</v>
      </c>
      <c r="Q7726" s="4" t="str">
        <f>IFERROR(__xludf.DUMMYFUNCTION("""COMPUTED_VALUE"""),"Saipos Serviços De Software")</f>
        <v>Saipos Serviços De Software</v>
      </c>
      <c r="R7726" s="33">
        <f>IFERROR(__xludf.DUMMYFUNCTION("""COMPUTED_VALUE"""),1.0)</f>
        <v>1</v>
      </c>
      <c r="S7726" s="4" t="str">
        <f>IFERROR(__xludf.DUMMYFUNCTION("""COMPUTED_VALUE"""),"Saipos Serviços De Software")</f>
        <v>Saipos Serviços De Software</v>
      </c>
      <c r="T7726" s="33">
        <f>IFERROR(__xludf.DUMMYFUNCTION("""COMPUTED_VALUE"""),1.0)</f>
        <v>1</v>
      </c>
      <c r="U7726" s="4" t="str">
        <f>IFERROR(__xludf.DUMMYFUNCTION("""COMPUTED_VALUE"""),"Saipos Serviços De Software")</f>
        <v>Saipos Serviços De Software</v>
      </c>
      <c r="V7726" s="33">
        <f>IFERROR(__xludf.DUMMYFUNCTION("""COMPUTED_VALUE"""),1.0)</f>
        <v>1</v>
      </c>
      <c r="W7726" s="4" t="str">
        <f>IFERROR(__xludf.DUMMYFUNCTION("""COMPUTED_VALUE"""),"Saipos Serviços De Software")</f>
        <v>Saipos Serviços De Software</v>
      </c>
      <c r="X7726" s="33">
        <f>IFERROR(__xludf.DUMMYFUNCTION("""COMPUTED_VALUE"""),1.0)</f>
        <v>1</v>
      </c>
    </row>
    <row r="7727">
      <c r="K7727" s="4" t="str">
        <f>IFERROR(__xludf.DUMMYFUNCTION("""COMPUTED_VALUE"""),"PRIMO BASILICO")</f>
        <v>PRIMO BASILICO</v>
      </c>
      <c r="L7727" s="32">
        <f>IFERROR(__xludf.DUMMYFUNCTION("""COMPUTED_VALUE"""),2.0)</f>
        <v>2</v>
      </c>
      <c r="M7727" s="4" t="str">
        <f>IFERROR(__xludf.DUMMYFUNCTION("""COMPUTED_VALUE"""),"null")</f>
        <v>null</v>
      </c>
      <c r="N7727" s="33">
        <f>IFERROR(__xludf.DUMMYFUNCTION("""COMPUTED_VALUE"""),0.5)</f>
        <v>0.5</v>
      </c>
      <c r="O7727" s="4" t="str">
        <f>IFERROR(__xludf.DUMMYFUNCTION("""COMPUTED_VALUE"""),"null")</f>
        <v>null</v>
      </c>
      <c r="P7727" s="33">
        <f>IFERROR(__xludf.DUMMYFUNCTION("""COMPUTED_VALUE"""),1.0)</f>
        <v>1</v>
      </c>
      <c r="Q7727" s="4" t="str">
        <f>IFERROR(__xludf.DUMMYFUNCTION("""COMPUTED_VALUE"""),"null")</f>
        <v>null</v>
      </c>
      <c r="R7727" s="33">
        <f>IFERROR(__xludf.DUMMYFUNCTION("""COMPUTED_VALUE"""),1.0)</f>
        <v>1</v>
      </c>
      <c r="S7727" s="4" t="str">
        <f>IFERROR(__xludf.DUMMYFUNCTION("""COMPUTED_VALUE"""),"Totvs Large Enterprise Tecnologia S.a.")</f>
        <v>Totvs Large Enterprise Tecnologia S.a.</v>
      </c>
      <c r="T7727" s="33">
        <f>IFERROR(__xludf.DUMMYFUNCTION("""COMPUTED_VALUE"""),1.0)</f>
        <v>1</v>
      </c>
      <c r="U7727" s="4" t="str">
        <f>IFERROR(__xludf.DUMMYFUNCTION("""COMPUTED_VALUE"""),"null")</f>
        <v>null</v>
      </c>
      <c r="V7727" s="33">
        <f>IFERROR(__xludf.DUMMYFUNCTION("""COMPUTED_VALUE"""),1.0)</f>
        <v>1</v>
      </c>
      <c r="W7727" s="4" t="str">
        <f>IFERROR(__xludf.DUMMYFUNCTION("""COMPUTED_VALUE"""),"null")</f>
        <v>null</v>
      </c>
      <c r="X7727" s="33">
        <f>IFERROR(__xludf.DUMMYFUNCTION("""COMPUTED_VALUE"""),1.0)</f>
        <v>1</v>
      </c>
    </row>
    <row r="7728">
      <c r="K7728" s="4" t="str">
        <f>IFERROR(__xludf.DUMMYFUNCTION("""COMPUTED_VALUE"""),"PROJETO BURGUER")</f>
        <v>PROJETO BURGUER</v>
      </c>
      <c r="L7728" s="32">
        <f>IFERROR(__xludf.DUMMYFUNCTION("""COMPUTED_VALUE"""),2.0)</f>
        <v>2</v>
      </c>
      <c r="M7728" s="4" t="str">
        <f>IFERROR(__xludf.DUMMYFUNCTION("""COMPUTED_VALUE"""),"Sti3 Soluções Em Ti")</f>
        <v>Sti3 Soluções Em Ti</v>
      </c>
      <c r="N7728" s="33">
        <f>IFERROR(__xludf.DUMMYFUNCTION("""COMPUTED_VALUE"""),1.0)</f>
        <v>1</v>
      </c>
      <c r="O7728" s="4" t="str">
        <f>IFERROR(__xludf.DUMMYFUNCTION("""COMPUTED_VALUE"""),"Sti3 Soluções Em Ti")</f>
        <v>Sti3 Soluções Em Ti</v>
      </c>
      <c r="P7728" s="33">
        <f>IFERROR(__xludf.DUMMYFUNCTION("""COMPUTED_VALUE"""),1.0)</f>
        <v>1</v>
      </c>
      <c r="Q7728" s="4" t="str">
        <f>IFERROR(__xludf.DUMMYFUNCTION("""COMPUTED_VALUE"""),"Sti3 Soluções Em Ti")</f>
        <v>Sti3 Soluções Em Ti</v>
      </c>
      <c r="R7728" s="33">
        <f>IFERROR(__xludf.DUMMYFUNCTION("""COMPUTED_VALUE"""),1.0)</f>
        <v>1</v>
      </c>
      <c r="S7728" s="4" t="str">
        <f>IFERROR(__xludf.DUMMYFUNCTION("""COMPUTED_VALUE"""),"Sti3 Soluções Em Ti")</f>
        <v>Sti3 Soluções Em Ti</v>
      </c>
      <c r="T7728" s="33">
        <f>IFERROR(__xludf.DUMMYFUNCTION("""COMPUTED_VALUE"""),1.0)</f>
        <v>1</v>
      </c>
      <c r="U7728" s="4" t="str">
        <f>IFERROR(__xludf.DUMMYFUNCTION("""COMPUTED_VALUE"""),"Sti3 Soluções Em Ti")</f>
        <v>Sti3 Soluções Em Ti</v>
      </c>
      <c r="V7728" s="33">
        <f>IFERROR(__xludf.DUMMYFUNCTION("""COMPUTED_VALUE"""),1.0)</f>
        <v>1</v>
      </c>
      <c r="W7728" s="4" t="str">
        <f>IFERROR(__xludf.DUMMYFUNCTION("""COMPUTED_VALUE"""),"Sti3 Soluções Em Ti")</f>
        <v>Sti3 Soluções Em Ti</v>
      </c>
      <c r="X7728" s="33">
        <f>IFERROR(__xludf.DUMMYFUNCTION("""COMPUTED_VALUE"""),1.0)</f>
        <v>1</v>
      </c>
    </row>
    <row r="7729">
      <c r="K7729" s="4" t="str">
        <f>IFERROR(__xludf.DUMMYFUNCTION("""COMPUTED_VALUE"""),"PROJETOSABOR BH")</f>
        <v>PROJETOSABOR BH</v>
      </c>
      <c r="L7729" s="32">
        <f>IFERROR(__xludf.DUMMYFUNCTION("""COMPUTED_VALUE"""),2.0)</f>
        <v>2</v>
      </c>
      <c r="M7729" s="4" t="str">
        <f>IFERROR(__xludf.DUMMYFUNCTION("""COMPUTED_VALUE"""),"Totvs Large Enterprise Tecnologia S.a.")</f>
        <v>Totvs Large Enterprise Tecnologia S.a.</v>
      </c>
      <c r="N7729" s="33">
        <f>IFERROR(__xludf.DUMMYFUNCTION("""COMPUTED_VALUE"""),1.0)</f>
        <v>1</v>
      </c>
      <c r="O7729" s="4" t="str">
        <f>IFERROR(__xludf.DUMMYFUNCTION("""COMPUTED_VALUE"""),"Totvs Large Enterprise Tecnologia S.a.")</f>
        <v>Totvs Large Enterprise Tecnologia S.a.</v>
      </c>
      <c r="P7729" s="33">
        <f>IFERROR(__xludf.DUMMYFUNCTION("""COMPUTED_VALUE"""),1.0)</f>
        <v>1</v>
      </c>
      <c r="Q7729" s="4" t="str">
        <f>IFERROR(__xludf.DUMMYFUNCTION("""COMPUTED_VALUE"""),"Totvs Large Enterprise Tecnologia S.a.")</f>
        <v>Totvs Large Enterprise Tecnologia S.a.</v>
      </c>
      <c r="R7729" s="33">
        <f>IFERROR(__xludf.DUMMYFUNCTION("""COMPUTED_VALUE"""),1.0)</f>
        <v>1</v>
      </c>
      <c r="S7729" s="4" t="str">
        <f>IFERROR(__xludf.DUMMYFUNCTION("""COMPUTED_VALUE"""),"Totvs Large Enterprise Tecnologia S.a.")</f>
        <v>Totvs Large Enterprise Tecnologia S.a.</v>
      </c>
      <c r="T7729" s="33">
        <f>IFERROR(__xludf.DUMMYFUNCTION("""COMPUTED_VALUE"""),1.0)</f>
        <v>1</v>
      </c>
      <c r="U7729" s="4" t="str">
        <f>IFERROR(__xludf.DUMMYFUNCTION("""COMPUTED_VALUE"""),"Totvs Large Enterprise Tecnologia S.a.")</f>
        <v>Totvs Large Enterprise Tecnologia S.a.</v>
      </c>
      <c r="V7729" s="33">
        <f>IFERROR(__xludf.DUMMYFUNCTION("""COMPUTED_VALUE"""),1.0)</f>
        <v>1</v>
      </c>
      <c r="W7729" s="4" t="str">
        <f>IFERROR(__xludf.DUMMYFUNCTION("""COMPUTED_VALUE"""),"Totvs Large Enterprise Tecnologia S.a.")</f>
        <v>Totvs Large Enterprise Tecnologia S.a.</v>
      </c>
      <c r="X7729" s="33">
        <f>IFERROR(__xludf.DUMMYFUNCTION("""COMPUTED_VALUE"""),1.0)</f>
        <v>1</v>
      </c>
    </row>
    <row r="7730">
      <c r="K7730" s="4" t="str">
        <f>IFERROR(__xludf.DUMMYFUNCTION("""COMPUTED_VALUE"""),"PUDIMARIN - CONTA PAI")</f>
        <v>PUDIMARIN - CONTA PAI</v>
      </c>
      <c r="L7730" s="32">
        <f>IFERROR(__xludf.DUMMYFUNCTION("""COMPUTED_VALUE"""),2.0)</f>
        <v>2</v>
      </c>
      <c r="M7730" s="4" t="str">
        <f>IFERROR(__xludf.DUMMYFUNCTION("""COMPUTED_VALUE"""),"Saipos Serviços De Software")</f>
        <v>Saipos Serviços De Software</v>
      </c>
      <c r="N7730" s="33">
        <f>IFERROR(__xludf.DUMMYFUNCTION("""COMPUTED_VALUE"""),1.0)</f>
        <v>1</v>
      </c>
      <c r="O7730" s="4" t="str">
        <f>IFERROR(__xludf.DUMMYFUNCTION("""COMPUTED_VALUE"""),"Saipos Serviços De Software")</f>
        <v>Saipos Serviços De Software</v>
      </c>
      <c r="P7730" s="33">
        <f>IFERROR(__xludf.DUMMYFUNCTION("""COMPUTED_VALUE"""),1.0)</f>
        <v>1</v>
      </c>
      <c r="Q7730" s="4" t="str">
        <f>IFERROR(__xludf.DUMMYFUNCTION("""COMPUTED_VALUE"""),"Saipos Serviços De Software")</f>
        <v>Saipos Serviços De Software</v>
      </c>
      <c r="R7730" s="33">
        <f>IFERROR(__xludf.DUMMYFUNCTION("""COMPUTED_VALUE"""),1.0)</f>
        <v>1</v>
      </c>
      <c r="S7730" s="4" t="str">
        <f>IFERROR(__xludf.DUMMYFUNCTION("""COMPUTED_VALUE"""),"Saipos Serviços De Software")</f>
        <v>Saipos Serviços De Software</v>
      </c>
      <c r="T7730" s="33">
        <f>IFERROR(__xludf.DUMMYFUNCTION("""COMPUTED_VALUE"""),1.0)</f>
        <v>1</v>
      </c>
      <c r="U7730" s="4" t="str">
        <f>IFERROR(__xludf.DUMMYFUNCTION("""COMPUTED_VALUE"""),"Saipos Serviços De Software")</f>
        <v>Saipos Serviços De Software</v>
      </c>
      <c r="V7730" s="33">
        <f>IFERROR(__xludf.DUMMYFUNCTION("""COMPUTED_VALUE"""),1.0)</f>
        <v>1</v>
      </c>
      <c r="W7730" s="4" t="str">
        <f>IFERROR(__xludf.DUMMYFUNCTION("""COMPUTED_VALUE"""),"Saipos Serviços De Software")</f>
        <v>Saipos Serviços De Software</v>
      </c>
      <c r="X7730" s="33">
        <f>IFERROR(__xludf.DUMMYFUNCTION("""COMPUTED_VALUE"""),1.0)</f>
        <v>1</v>
      </c>
    </row>
    <row r="7731">
      <c r="K7731" s="4" t="str">
        <f>IFERROR(__xludf.DUMMYFUNCTION("""COMPUTED_VALUE"""),"PUNTUALE PIZZARIA")</f>
        <v>PUNTUALE PIZZARIA</v>
      </c>
      <c r="L7731" s="32">
        <f>IFERROR(__xludf.DUMMYFUNCTION("""COMPUTED_VALUE"""),2.0)</f>
        <v>2</v>
      </c>
      <c r="M7731" s="4" t="str">
        <f>IFERROR(__xludf.DUMMYFUNCTION("""COMPUTED_VALUE"""),"Saipos Serviços De Software")</f>
        <v>Saipos Serviços De Software</v>
      </c>
      <c r="N7731" s="33">
        <f>IFERROR(__xludf.DUMMYFUNCTION("""COMPUTED_VALUE"""),1.0)</f>
        <v>1</v>
      </c>
      <c r="O7731" s="4" t="str">
        <f>IFERROR(__xludf.DUMMYFUNCTION("""COMPUTED_VALUE"""),"Saipos Serviços De Software")</f>
        <v>Saipos Serviços De Software</v>
      </c>
      <c r="P7731" s="33">
        <f>IFERROR(__xludf.DUMMYFUNCTION("""COMPUTED_VALUE"""),1.0)</f>
        <v>1</v>
      </c>
      <c r="Q7731" s="4" t="str">
        <f>IFERROR(__xludf.DUMMYFUNCTION("""COMPUTED_VALUE"""),"Saipos Serviços De Software")</f>
        <v>Saipos Serviços De Software</v>
      </c>
      <c r="R7731" s="33">
        <f>IFERROR(__xludf.DUMMYFUNCTION("""COMPUTED_VALUE"""),1.0)</f>
        <v>1</v>
      </c>
      <c r="S7731" s="4" t="str">
        <f>IFERROR(__xludf.DUMMYFUNCTION("""COMPUTED_VALUE"""),"Saipos Serviços De Software")</f>
        <v>Saipos Serviços De Software</v>
      </c>
      <c r="T7731" s="33">
        <f>IFERROR(__xludf.DUMMYFUNCTION("""COMPUTED_VALUE"""),1.0)</f>
        <v>1</v>
      </c>
      <c r="U7731" s="4" t="str">
        <f>IFERROR(__xludf.DUMMYFUNCTION("""COMPUTED_VALUE"""),"Saipos Serviços De Software")</f>
        <v>Saipos Serviços De Software</v>
      </c>
      <c r="V7731" s="33">
        <f>IFERROR(__xludf.DUMMYFUNCTION("""COMPUTED_VALUE"""),1.0)</f>
        <v>1</v>
      </c>
      <c r="W7731" s="4" t="str">
        <f>IFERROR(__xludf.DUMMYFUNCTION("""COMPUTED_VALUE"""),"Saipos Serviços De Software")</f>
        <v>Saipos Serviços De Software</v>
      </c>
      <c r="X7731" s="33">
        <f>IFERROR(__xludf.DUMMYFUNCTION("""COMPUTED_VALUE"""),1.0)</f>
        <v>1</v>
      </c>
    </row>
    <row r="7732">
      <c r="K7732" s="4" t="str">
        <f>IFERROR(__xludf.DUMMYFUNCTION("""COMPUTED_VALUE"""),"PUPPILO PIZZA - BC - CONTA MARCA")</f>
        <v>PUPPILO PIZZA - BC - CONTA MARCA</v>
      </c>
      <c r="L7732" s="32">
        <f>IFERROR(__xludf.DUMMYFUNCTION("""COMPUTED_VALUE"""),2.0)</f>
        <v>2</v>
      </c>
      <c r="M7732" s="4" t="str">
        <f>IFERROR(__xludf.DUMMYFUNCTION("""COMPUTED_VALUE"""),"Parseint Desenvolvimento De Sistemas Ltda")</f>
        <v>Parseint Desenvolvimento De Sistemas Ltda</v>
      </c>
      <c r="N7732" s="33">
        <f>IFERROR(__xludf.DUMMYFUNCTION("""COMPUTED_VALUE"""),1.0)</f>
        <v>1</v>
      </c>
      <c r="O7732" s="4" t="str">
        <f>IFERROR(__xludf.DUMMYFUNCTION("""COMPUTED_VALUE"""),"Parseint Desenvolvimento De Sistemas Ltda")</f>
        <v>Parseint Desenvolvimento De Sistemas Ltda</v>
      </c>
      <c r="P7732" s="33">
        <f>IFERROR(__xludf.DUMMYFUNCTION("""COMPUTED_VALUE"""),1.0)</f>
        <v>1</v>
      </c>
      <c r="Q7732" s="4" t="str">
        <f>IFERROR(__xludf.DUMMYFUNCTION("""COMPUTED_VALUE"""),"Parseint Desenvolvimento De Sistemas Ltda")</f>
        <v>Parseint Desenvolvimento De Sistemas Ltda</v>
      </c>
      <c r="R7732" s="33">
        <f>IFERROR(__xludf.DUMMYFUNCTION("""COMPUTED_VALUE"""),1.0)</f>
        <v>1</v>
      </c>
      <c r="S7732" s="4" t="str">
        <f>IFERROR(__xludf.DUMMYFUNCTION("""COMPUTED_VALUE"""),"Parseint Desenvolvimento De Sistemas Ltda")</f>
        <v>Parseint Desenvolvimento De Sistemas Ltda</v>
      </c>
      <c r="T7732" s="33">
        <f>IFERROR(__xludf.DUMMYFUNCTION("""COMPUTED_VALUE"""),1.0)</f>
        <v>1</v>
      </c>
      <c r="U7732" s="4" t="str">
        <f>IFERROR(__xludf.DUMMYFUNCTION("""COMPUTED_VALUE"""),"null")</f>
        <v>null</v>
      </c>
      <c r="V7732" s="33">
        <f>IFERROR(__xludf.DUMMYFUNCTION("""COMPUTED_VALUE"""),0.5)</f>
        <v>0.5</v>
      </c>
      <c r="W7732" s="4" t="str">
        <f>IFERROR(__xludf.DUMMYFUNCTION("""COMPUTED_VALUE"""),"Parseint Desenvolvimento De Sistemas Ltda")</f>
        <v>Parseint Desenvolvimento De Sistemas Ltda</v>
      </c>
      <c r="X7732" s="33">
        <f>IFERROR(__xludf.DUMMYFUNCTION("""COMPUTED_VALUE"""),1.0)</f>
        <v>1</v>
      </c>
    </row>
    <row r="7733">
      <c r="K7733" s="4" t="str">
        <f>IFERROR(__xludf.DUMMYFUNCTION("""COMPUTED_VALUE"""),"PURO SAUDAVEL")</f>
        <v>PURO SAUDAVEL</v>
      </c>
      <c r="L7733" s="32">
        <f>IFERROR(__xludf.DUMMYFUNCTION("""COMPUTED_VALUE"""),2.0)</f>
        <v>2</v>
      </c>
      <c r="M7733" s="4" t="str">
        <f>IFERROR(__xludf.DUMMYFUNCTION("""COMPUTED_VALUE"""),"Connectplug")</f>
        <v>Connectplug</v>
      </c>
      <c r="N7733" s="33">
        <f>IFERROR(__xludf.DUMMYFUNCTION("""COMPUTED_VALUE"""),1.0)</f>
        <v>1</v>
      </c>
      <c r="O7733" s="4" t="str">
        <f>IFERROR(__xludf.DUMMYFUNCTION("""COMPUTED_VALUE"""),"Connectplug")</f>
        <v>Connectplug</v>
      </c>
      <c r="P7733" s="33">
        <f>IFERROR(__xludf.DUMMYFUNCTION("""COMPUTED_VALUE"""),1.0)</f>
        <v>1</v>
      </c>
      <c r="Q7733" s="4" t="str">
        <f>IFERROR(__xludf.DUMMYFUNCTION("""COMPUTED_VALUE"""),"Connectplug")</f>
        <v>Connectplug</v>
      </c>
      <c r="R7733" s="33">
        <f>IFERROR(__xludf.DUMMYFUNCTION("""COMPUTED_VALUE"""),1.0)</f>
        <v>1</v>
      </c>
      <c r="S7733" s="4" t="str">
        <f>IFERROR(__xludf.DUMMYFUNCTION("""COMPUTED_VALUE"""),"Connectplug")</f>
        <v>Connectplug</v>
      </c>
      <c r="T7733" s="33">
        <f>IFERROR(__xludf.DUMMYFUNCTION("""COMPUTED_VALUE"""),1.0)</f>
        <v>1</v>
      </c>
      <c r="U7733" s="4" t="str">
        <f>IFERROR(__xludf.DUMMYFUNCTION("""COMPUTED_VALUE"""),"Connectplug")</f>
        <v>Connectplug</v>
      </c>
      <c r="V7733" s="33">
        <f>IFERROR(__xludf.DUMMYFUNCTION("""COMPUTED_VALUE"""),1.0)</f>
        <v>1</v>
      </c>
      <c r="W7733" s="4" t="str">
        <f>IFERROR(__xludf.DUMMYFUNCTION("""COMPUTED_VALUE"""),"Connectplug")</f>
        <v>Connectplug</v>
      </c>
      <c r="X7733" s="33">
        <f>IFERROR(__xludf.DUMMYFUNCTION("""COMPUTED_VALUE"""),1.0)</f>
        <v>1</v>
      </c>
    </row>
    <row r="7734">
      <c r="K7734" s="4" t="str">
        <f>IFERROR(__xludf.DUMMYFUNCTION("""COMPUTED_VALUE"""),"Q-PASTEL - CONTA PAI")</f>
        <v>Q-PASTEL - CONTA PAI</v>
      </c>
      <c r="L7734" s="32">
        <f>IFERROR(__xludf.DUMMYFUNCTION("""COMPUTED_VALUE"""),2.0)</f>
        <v>2</v>
      </c>
      <c r="M7734" s="4" t="str">
        <f>IFERROR(__xludf.DUMMYFUNCTION("""COMPUTED_VALUE"""),"Totvs Large Enterprise Tecnologia S.a.")</f>
        <v>Totvs Large Enterprise Tecnologia S.a.</v>
      </c>
      <c r="N7734" s="33">
        <f>IFERROR(__xludf.DUMMYFUNCTION("""COMPUTED_VALUE"""),1.0)</f>
        <v>1</v>
      </c>
      <c r="O7734" s="4" t="str">
        <f>IFERROR(__xludf.DUMMYFUNCTION("""COMPUTED_VALUE"""),"Totvs Large Enterprise Tecnologia S.a.")</f>
        <v>Totvs Large Enterprise Tecnologia S.a.</v>
      </c>
      <c r="P7734" s="33">
        <f>IFERROR(__xludf.DUMMYFUNCTION("""COMPUTED_VALUE"""),1.0)</f>
        <v>1</v>
      </c>
      <c r="Q7734" s="4" t="str">
        <f>IFERROR(__xludf.DUMMYFUNCTION("""COMPUTED_VALUE"""),"Totvs Large Enterprise Tecnologia S.a.")</f>
        <v>Totvs Large Enterprise Tecnologia S.a.</v>
      </c>
      <c r="R7734" s="33">
        <f>IFERROR(__xludf.DUMMYFUNCTION("""COMPUTED_VALUE"""),1.0)</f>
        <v>1</v>
      </c>
      <c r="S7734" s="4" t="str">
        <f>IFERROR(__xludf.DUMMYFUNCTION("""COMPUTED_VALUE"""),"Totvs Large Enterprise Tecnologia S.a.")</f>
        <v>Totvs Large Enterprise Tecnologia S.a.</v>
      </c>
      <c r="T7734" s="33">
        <f>IFERROR(__xludf.DUMMYFUNCTION("""COMPUTED_VALUE"""),1.0)</f>
        <v>1</v>
      </c>
      <c r="U7734" s="4" t="str">
        <f>IFERROR(__xludf.DUMMYFUNCTION("""COMPUTED_VALUE"""),"Totvs Large Enterprise Tecnologia S.a.")</f>
        <v>Totvs Large Enterprise Tecnologia S.a.</v>
      </c>
      <c r="V7734" s="33">
        <f>IFERROR(__xludf.DUMMYFUNCTION("""COMPUTED_VALUE"""),1.0)</f>
        <v>1</v>
      </c>
      <c r="W7734" s="4" t="str">
        <f>IFERROR(__xludf.DUMMYFUNCTION("""COMPUTED_VALUE"""),"Totvs Large Enterprise Tecnologia S.a.")</f>
        <v>Totvs Large Enterprise Tecnologia S.a.</v>
      </c>
      <c r="X7734" s="33">
        <f>IFERROR(__xludf.DUMMYFUNCTION("""COMPUTED_VALUE"""),1.0)</f>
        <v>1</v>
      </c>
    </row>
    <row r="7735">
      <c r="K7735" s="4" t="str">
        <f>IFERROR(__xludf.DUMMYFUNCTION("""COMPUTED_VALUE"""),"QUALIDOC - CONTA PAI")</f>
        <v>QUALIDOC - CONTA PAI</v>
      </c>
      <c r="L7735" s="32">
        <f>IFERROR(__xludf.DUMMYFUNCTION("""COMPUTED_VALUE"""),2.0)</f>
        <v>2</v>
      </c>
      <c r="M7735" s="4" t="str">
        <f>IFERROR(__xludf.DUMMYFUNCTION("""COMPUTED_VALUE"""),"N/A (Not found)")</f>
        <v>N/A (Not found)</v>
      </c>
      <c r="N7735" s="33">
        <f>IFERROR(__xludf.DUMMYFUNCTION("""COMPUTED_VALUE"""),1.0)</f>
        <v>1</v>
      </c>
      <c r="O7735" s="4" t="str">
        <f>IFERROR(__xludf.DUMMYFUNCTION("""COMPUTED_VALUE"""),"N/A (Not found)")</f>
        <v>N/A (Not found)</v>
      </c>
      <c r="P7735" s="33">
        <f>IFERROR(__xludf.DUMMYFUNCTION("""COMPUTED_VALUE"""),1.0)</f>
        <v>1</v>
      </c>
      <c r="Q7735" s="4" t="str">
        <f>IFERROR(__xludf.DUMMYFUNCTION("""COMPUTED_VALUE"""),"N/A (Not found)")</f>
        <v>N/A (Not found)</v>
      </c>
      <c r="R7735" s="33">
        <f>IFERROR(__xludf.DUMMYFUNCTION("""COMPUTED_VALUE"""),1.0)</f>
        <v>1</v>
      </c>
      <c r="S7735" s="4" t="str">
        <f>IFERROR(__xludf.DUMMYFUNCTION("""COMPUTED_VALUE"""),"N/A (Not found)")</f>
        <v>N/A (Not found)</v>
      </c>
      <c r="T7735" s="33">
        <f>IFERROR(__xludf.DUMMYFUNCTION("""COMPUTED_VALUE"""),1.0)</f>
        <v>1</v>
      </c>
      <c r="U7735" s="4" t="str">
        <f>IFERROR(__xludf.DUMMYFUNCTION("""COMPUTED_VALUE"""),"N/A (Not found)")</f>
        <v>N/A (Not found)</v>
      </c>
      <c r="V7735" s="33">
        <f>IFERROR(__xludf.DUMMYFUNCTION("""COMPUTED_VALUE"""),1.0)</f>
        <v>1</v>
      </c>
      <c r="W7735" s="4" t="str">
        <f>IFERROR(__xludf.DUMMYFUNCTION("""COMPUTED_VALUE"""),"N/A (Not found)")</f>
        <v>N/A (Not found)</v>
      </c>
      <c r="X7735" s="33">
        <f>IFERROR(__xludf.DUMMYFUNCTION("""COMPUTED_VALUE"""),1.0)</f>
        <v>1</v>
      </c>
    </row>
    <row r="7736">
      <c r="K7736" s="4" t="str">
        <f>IFERROR(__xludf.DUMMYFUNCTION("""COMPUTED_VALUE"""),"QUEBEC BURGER SC - CONTA MARCA")</f>
        <v>QUEBEC BURGER SC - CONTA MARCA</v>
      </c>
      <c r="L7736" s="32">
        <f>IFERROR(__xludf.DUMMYFUNCTION("""COMPUTED_VALUE"""),2.0)</f>
        <v>2</v>
      </c>
      <c r="M7736" s="4" t="str">
        <f>IFERROR(__xludf.DUMMYFUNCTION("""COMPUTED_VALUE"""),"Bitbar")</f>
        <v>Bitbar</v>
      </c>
      <c r="N7736" s="33">
        <f>IFERROR(__xludf.DUMMYFUNCTION("""COMPUTED_VALUE"""),0.5)</f>
        <v>0.5</v>
      </c>
      <c r="O7736" s="4" t="str">
        <f>IFERROR(__xludf.DUMMYFUNCTION("""COMPUTED_VALUE"""),"Bitbar")</f>
        <v>Bitbar</v>
      </c>
      <c r="P7736" s="33">
        <f>IFERROR(__xludf.DUMMYFUNCTION("""COMPUTED_VALUE"""),0.5)</f>
        <v>0.5</v>
      </c>
      <c r="Q7736" s="4" t="str">
        <f>IFERROR(__xludf.DUMMYFUNCTION("""COMPUTED_VALUE"""),"Bitbar")</f>
        <v>Bitbar</v>
      </c>
      <c r="R7736" s="33">
        <f>IFERROR(__xludf.DUMMYFUNCTION("""COMPUTED_VALUE"""),1.0)</f>
        <v>1</v>
      </c>
      <c r="S7736" s="4" t="str">
        <f>IFERROR(__xludf.DUMMYFUNCTION("""COMPUTED_VALUE"""),"Bitbar")</f>
        <v>Bitbar</v>
      </c>
      <c r="T7736" s="33">
        <f>IFERROR(__xludf.DUMMYFUNCTION("""COMPUTED_VALUE"""),1.0)</f>
        <v>1</v>
      </c>
      <c r="U7736" s="4" t="str">
        <f>IFERROR(__xludf.DUMMYFUNCTION("""COMPUTED_VALUE"""),"Bitbar")</f>
        <v>Bitbar</v>
      </c>
      <c r="V7736" s="33">
        <f>IFERROR(__xludf.DUMMYFUNCTION("""COMPUTED_VALUE"""),0.5)</f>
        <v>0.5</v>
      </c>
      <c r="W7736" s="4" t="str">
        <f>IFERROR(__xludf.DUMMYFUNCTION("""COMPUTED_VALUE"""),"null")</f>
        <v>null</v>
      </c>
      <c r="X7736" s="33">
        <f>IFERROR(__xludf.DUMMYFUNCTION("""COMPUTED_VALUE"""),1.0)</f>
        <v>1</v>
      </c>
    </row>
    <row r="7737">
      <c r="K7737" s="4" t="str">
        <f>IFERROR(__xludf.DUMMYFUNCTION("""COMPUTED_VALUE"""),"QUINTA DE SANTA MARIA")</f>
        <v>QUINTA DE SANTA MARIA</v>
      </c>
      <c r="L7737" s="32">
        <f>IFERROR(__xludf.DUMMYFUNCTION("""COMPUTED_VALUE"""),2.0)</f>
        <v>2</v>
      </c>
      <c r="M7737" s="4" t="str">
        <f>IFERROR(__xludf.DUMMYFUNCTION("""COMPUTED_VALUE"""),"Totvs Large Enterprise Tecnologia S.a.")</f>
        <v>Totvs Large Enterprise Tecnologia S.a.</v>
      </c>
      <c r="N7737" s="33">
        <f>IFERROR(__xludf.DUMMYFUNCTION("""COMPUTED_VALUE"""),0.5)</f>
        <v>0.5</v>
      </c>
      <c r="O7737" s="4" t="str">
        <f>IFERROR(__xludf.DUMMYFUNCTION("""COMPUTED_VALUE"""),"Totvs Large Enterprise Tecnologia S.a.")</f>
        <v>Totvs Large Enterprise Tecnologia S.a.</v>
      </c>
      <c r="P7737" s="33">
        <f>IFERROR(__xludf.DUMMYFUNCTION("""COMPUTED_VALUE"""),0.5)</f>
        <v>0.5</v>
      </c>
      <c r="Q7737" s="4" t="str">
        <f>IFERROR(__xludf.DUMMYFUNCTION("""COMPUTED_VALUE"""),"null")</f>
        <v>null</v>
      </c>
      <c r="R7737" s="33">
        <f>IFERROR(__xludf.DUMMYFUNCTION("""COMPUTED_VALUE"""),0.5)</f>
        <v>0.5</v>
      </c>
      <c r="S7737" s="4" t="str">
        <f>IFERROR(__xludf.DUMMYFUNCTION("""COMPUTED_VALUE"""),"null")</f>
        <v>null</v>
      </c>
      <c r="T7737" s="33">
        <f>IFERROR(__xludf.DUMMYFUNCTION("""COMPUTED_VALUE"""),0.5)</f>
        <v>0.5</v>
      </c>
      <c r="U7737" s="4" t="str">
        <f>IFERROR(__xludf.DUMMYFUNCTION("""COMPUTED_VALUE"""),"Totvs Large Enterprise Tecnologia S.a.")</f>
        <v>Totvs Large Enterprise Tecnologia S.a.</v>
      </c>
      <c r="V7737" s="33">
        <f>IFERROR(__xludf.DUMMYFUNCTION("""COMPUTED_VALUE"""),0.5)</f>
        <v>0.5</v>
      </c>
      <c r="W7737" s="4" t="str">
        <f>IFERROR(__xludf.DUMMYFUNCTION("""COMPUTED_VALUE"""),"Totvs Large Enterprise Tecnologia S.a.")</f>
        <v>Totvs Large Enterprise Tecnologia S.a.</v>
      </c>
      <c r="X7737" s="33">
        <f>IFERROR(__xludf.DUMMYFUNCTION("""COMPUTED_VALUE"""),0.5)</f>
        <v>0.5</v>
      </c>
    </row>
    <row r="7738">
      <c r="K7738" s="4" t="str">
        <f>IFERROR(__xludf.DUMMYFUNCTION("""COMPUTED_VALUE"""),"QUINTAL DA IRENE- CONTA PAI")</f>
        <v>QUINTAL DA IRENE- CONTA PAI</v>
      </c>
      <c r="L7738" s="32">
        <f>IFERROR(__xludf.DUMMYFUNCTION("""COMPUTED_VALUE"""),2.0)</f>
        <v>2</v>
      </c>
      <c r="M7738" s="4" t="str">
        <f>IFERROR(__xludf.DUMMYFUNCTION("""COMPUTED_VALUE"""),"Saipos Serviços De Software")</f>
        <v>Saipos Serviços De Software</v>
      </c>
      <c r="N7738" s="33">
        <f>IFERROR(__xludf.DUMMYFUNCTION("""COMPUTED_VALUE"""),1.0)</f>
        <v>1</v>
      </c>
      <c r="O7738" s="4" t="str">
        <f>IFERROR(__xludf.DUMMYFUNCTION("""COMPUTED_VALUE"""),"Saipos Serviços De Software")</f>
        <v>Saipos Serviços De Software</v>
      </c>
      <c r="P7738" s="33">
        <f>IFERROR(__xludf.DUMMYFUNCTION("""COMPUTED_VALUE"""),1.0)</f>
        <v>1</v>
      </c>
      <c r="Q7738" s="4" t="str">
        <f>IFERROR(__xludf.DUMMYFUNCTION("""COMPUTED_VALUE"""),"Saipos Serviços De Software")</f>
        <v>Saipos Serviços De Software</v>
      </c>
      <c r="R7738" s="33">
        <f>IFERROR(__xludf.DUMMYFUNCTION("""COMPUTED_VALUE"""),1.0)</f>
        <v>1</v>
      </c>
      <c r="S7738" s="4" t="str">
        <f>IFERROR(__xludf.DUMMYFUNCTION("""COMPUTED_VALUE"""),"Saipos Serviços De Software")</f>
        <v>Saipos Serviços De Software</v>
      </c>
      <c r="T7738" s="33">
        <f>IFERROR(__xludf.DUMMYFUNCTION("""COMPUTED_VALUE"""),1.0)</f>
        <v>1</v>
      </c>
      <c r="U7738" s="4" t="str">
        <f>IFERROR(__xludf.DUMMYFUNCTION("""COMPUTED_VALUE"""),"Saipos Serviços De Software")</f>
        <v>Saipos Serviços De Software</v>
      </c>
      <c r="V7738" s="33">
        <f>IFERROR(__xludf.DUMMYFUNCTION("""COMPUTED_VALUE"""),1.0)</f>
        <v>1</v>
      </c>
      <c r="W7738" s="4" t="str">
        <f>IFERROR(__xludf.DUMMYFUNCTION("""COMPUTED_VALUE"""),"Saipos Serviços De Software")</f>
        <v>Saipos Serviços De Software</v>
      </c>
      <c r="X7738" s="33">
        <f>IFERROR(__xludf.DUMMYFUNCTION("""COMPUTED_VALUE"""),1.0)</f>
        <v>1</v>
      </c>
    </row>
    <row r="7739">
      <c r="K7739" s="4" t="str">
        <f>IFERROR(__xludf.DUMMYFUNCTION("""COMPUTED_VALUE"""),"QUITAL BURGER")</f>
        <v>QUITAL BURGER</v>
      </c>
      <c r="L7739" s="32">
        <f>IFERROR(__xludf.DUMMYFUNCTION("""COMPUTED_VALUE"""),2.0)</f>
        <v>2</v>
      </c>
      <c r="M7739" s="4" t="str">
        <f>IFERROR(__xludf.DUMMYFUNCTION("""COMPUTED_VALUE"""),"Saipos Serviços De Software")</f>
        <v>Saipos Serviços De Software</v>
      </c>
      <c r="N7739" s="33">
        <f>IFERROR(__xludf.DUMMYFUNCTION("""COMPUTED_VALUE"""),1.0)</f>
        <v>1</v>
      </c>
      <c r="O7739" s="4" t="str">
        <f>IFERROR(__xludf.DUMMYFUNCTION("""COMPUTED_VALUE"""),"Saipos Serviços De Software")</f>
        <v>Saipos Serviços De Software</v>
      </c>
      <c r="P7739" s="33">
        <f>IFERROR(__xludf.DUMMYFUNCTION("""COMPUTED_VALUE"""),1.0)</f>
        <v>1</v>
      </c>
      <c r="Q7739" s="4" t="str">
        <f>IFERROR(__xludf.DUMMYFUNCTION("""COMPUTED_VALUE"""),"Saipos Serviços De Software")</f>
        <v>Saipos Serviços De Software</v>
      </c>
      <c r="R7739" s="33">
        <f>IFERROR(__xludf.DUMMYFUNCTION("""COMPUTED_VALUE"""),1.0)</f>
        <v>1</v>
      </c>
      <c r="S7739" s="4" t="str">
        <f>IFERROR(__xludf.DUMMYFUNCTION("""COMPUTED_VALUE"""),"Saipos Serviços De Software")</f>
        <v>Saipos Serviços De Software</v>
      </c>
      <c r="T7739" s="33">
        <f>IFERROR(__xludf.DUMMYFUNCTION("""COMPUTED_VALUE"""),1.0)</f>
        <v>1</v>
      </c>
      <c r="U7739" s="4" t="str">
        <f>IFERROR(__xludf.DUMMYFUNCTION("""COMPUTED_VALUE"""),"Saipos Serviços De Software")</f>
        <v>Saipos Serviços De Software</v>
      </c>
      <c r="V7739" s="33">
        <f>IFERROR(__xludf.DUMMYFUNCTION("""COMPUTED_VALUE"""),1.0)</f>
        <v>1</v>
      </c>
      <c r="W7739" s="4" t="str">
        <f>IFERROR(__xludf.DUMMYFUNCTION("""COMPUTED_VALUE"""),"Saipos Serviços De Software")</f>
        <v>Saipos Serviços De Software</v>
      </c>
      <c r="X7739" s="33">
        <f>IFERROR(__xludf.DUMMYFUNCTION("""COMPUTED_VALUE"""),1.0)</f>
        <v>1</v>
      </c>
    </row>
    <row r="7740">
      <c r="K7740" s="4" t="str">
        <f>IFERROR(__xludf.DUMMYFUNCTION("""COMPUTED_VALUE"""),"RABELO RESTAURANTE")</f>
        <v>RABELO RESTAURANTE</v>
      </c>
      <c r="L7740" s="32">
        <f>IFERROR(__xludf.DUMMYFUNCTION("""COMPUTED_VALUE"""),2.0)</f>
        <v>2</v>
      </c>
      <c r="M7740" s="4" t="str">
        <f>IFERROR(__xludf.DUMMYFUNCTION("""COMPUTED_VALUE"""),"Saipos Serviços De Software")</f>
        <v>Saipos Serviços De Software</v>
      </c>
      <c r="N7740" s="33">
        <f>IFERROR(__xludf.DUMMYFUNCTION("""COMPUTED_VALUE"""),1.0)</f>
        <v>1</v>
      </c>
      <c r="O7740" s="4" t="str">
        <f>IFERROR(__xludf.DUMMYFUNCTION("""COMPUTED_VALUE"""),"Saipos Serviços De Software")</f>
        <v>Saipos Serviços De Software</v>
      </c>
      <c r="P7740" s="33">
        <f>IFERROR(__xludf.DUMMYFUNCTION("""COMPUTED_VALUE"""),1.0)</f>
        <v>1</v>
      </c>
      <c r="Q7740" s="4" t="str">
        <f>IFERROR(__xludf.DUMMYFUNCTION("""COMPUTED_VALUE"""),"Saipos Serviços De Software")</f>
        <v>Saipos Serviços De Software</v>
      </c>
      <c r="R7740" s="33">
        <f>IFERROR(__xludf.DUMMYFUNCTION("""COMPUTED_VALUE"""),1.0)</f>
        <v>1</v>
      </c>
      <c r="S7740" s="4" t="str">
        <f>IFERROR(__xludf.DUMMYFUNCTION("""COMPUTED_VALUE"""),"Saipos Serviços De Software")</f>
        <v>Saipos Serviços De Software</v>
      </c>
      <c r="T7740" s="33">
        <f>IFERROR(__xludf.DUMMYFUNCTION("""COMPUTED_VALUE"""),1.0)</f>
        <v>1</v>
      </c>
      <c r="U7740" s="4" t="str">
        <f>IFERROR(__xludf.DUMMYFUNCTION("""COMPUTED_VALUE"""),"Saipos Serviços De Software")</f>
        <v>Saipos Serviços De Software</v>
      </c>
      <c r="V7740" s="33">
        <f>IFERROR(__xludf.DUMMYFUNCTION("""COMPUTED_VALUE"""),1.0)</f>
        <v>1</v>
      </c>
      <c r="W7740" s="4" t="str">
        <f>IFERROR(__xludf.DUMMYFUNCTION("""COMPUTED_VALUE"""),"Saipos Serviços De Software")</f>
        <v>Saipos Serviços De Software</v>
      </c>
      <c r="X7740" s="33">
        <f>IFERROR(__xludf.DUMMYFUNCTION("""COMPUTED_VALUE"""),1.0)</f>
        <v>1</v>
      </c>
    </row>
    <row r="7741">
      <c r="K7741" s="4" t="str">
        <f>IFERROR(__xludf.DUMMYFUNCTION("""COMPUTED_VALUE"""),"RABELO RESTAURANTE -")</f>
        <v>RABELO RESTAURANTE -</v>
      </c>
      <c r="L7741" s="32">
        <f>IFERROR(__xludf.DUMMYFUNCTION("""COMPUTED_VALUE"""),2.0)</f>
        <v>2</v>
      </c>
      <c r="M7741" s="4" t="str">
        <f>IFERROR(__xludf.DUMMYFUNCTION("""COMPUTED_VALUE"""),"Saipos Serviços De Software")</f>
        <v>Saipos Serviços De Software</v>
      </c>
      <c r="N7741" s="33">
        <f>IFERROR(__xludf.DUMMYFUNCTION("""COMPUTED_VALUE"""),1.0)</f>
        <v>1</v>
      </c>
      <c r="O7741" s="4" t="str">
        <f>IFERROR(__xludf.DUMMYFUNCTION("""COMPUTED_VALUE"""),"Saipos Serviços De Software")</f>
        <v>Saipos Serviços De Software</v>
      </c>
      <c r="P7741" s="33">
        <f>IFERROR(__xludf.DUMMYFUNCTION("""COMPUTED_VALUE"""),1.0)</f>
        <v>1</v>
      </c>
      <c r="Q7741" s="4" t="str">
        <f>IFERROR(__xludf.DUMMYFUNCTION("""COMPUTED_VALUE"""),"Saipos Serviços De Software")</f>
        <v>Saipos Serviços De Software</v>
      </c>
      <c r="R7741" s="33">
        <f>IFERROR(__xludf.DUMMYFUNCTION("""COMPUTED_VALUE"""),1.0)</f>
        <v>1</v>
      </c>
      <c r="S7741" s="4" t="str">
        <f>IFERROR(__xludf.DUMMYFUNCTION("""COMPUTED_VALUE"""),"Saipos Serviços De Software")</f>
        <v>Saipos Serviços De Software</v>
      </c>
      <c r="T7741" s="33">
        <f>IFERROR(__xludf.DUMMYFUNCTION("""COMPUTED_VALUE"""),1.0)</f>
        <v>1</v>
      </c>
      <c r="U7741" s="4" t="str">
        <f>IFERROR(__xludf.DUMMYFUNCTION("""COMPUTED_VALUE"""),"Saipos Serviços De Software")</f>
        <v>Saipos Serviços De Software</v>
      </c>
      <c r="V7741" s="33">
        <f>IFERROR(__xludf.DUMMYFUNCTION("""COMPUTED_VALUE"""),1.0)</f>
        <v>1</v>
      </c>
      <c r="W7741" s="4" t="str">
        <f>IFERROR(__xludf.DUMMYFUNCTION("""COMPUTED_VALUE"""),"Saipos Serviços De Software")</f>
        <v>Saipos Serviços De Software</v>
      </c>
      <c r="X7741" s="33">
        <f>IFERROR(__xludf.DUMMYFUNCTION("""COMPUTED_VALUE"""),1.0)</f>
        <v>1</v>
      </c>
    </row>
    <row r="7742">
      <c r="K7742" s="4" t="str">
        <f>IFERROR(__xludf.DUMMYFUNCTION("""COMPUTED_VALUE"""),"RAFFA GIO")</f>
        <v>RAFFA GIO</v>
      </c>
      <c r="L7742" s="32">
        <f>IFERROR(__xludf.DUMMYFUNCTION("""COMPUTED_VALUE"""),2.0)</f>
        <v>2</v>
      </c>
      <c r="M7742" s="4" t="str">
        <f>IFERROR(__xludf.DUMMYFUNCTION("""COMPUTED_VALUE"""),"Noah Sistemas Ltda")</f>
        <v>Noah Sistemas Ltda</v>
      </c>
      <c r="N7742" s="33">
        <f>IFERROR(__xludf.DUMMYFUNCTION("""COMPUTED_VALUE"""),1.0)</f>
        <v>1</v>
      </c>
      <c r="O7742" s="4" t="str">
        <f>IFERROR(__xludf.DUMMYFUNCTION("""COMPUTED_VALUE"""),"Noah Sistemas Ltda")</f>
        <v>Noah Sistemas Ltda</v>
      </c>
      <c r="P7742" s="33">
        <f>IFERROR(__xludf.DUMMYFUNCTION("""COMPUTED_VALUE"""),0.5)</f>
        <v>0.5</v>
      </c>
      <c r="Q7742" s="4" t="str">
        <f>IFERROR(__xludf.DUMMYFUNCTION("""COMPUTED_VALUE"""),"Noah Sistemas Ltda")</f>
        <v>Noah Sistemas Ltda</v>
      </c>
      <c r="R7742" s="33">
        <f>IFERROR(__xludf.DUMMYFUNCTION("""COMPUTED_VALUE"""),1.0)</f>
        <v>1</v>
      </c>
      <c r="S7742" s="4" t="str">
        <f>IFERROR(__xludf.DUMMYFUNCTION("""COMPUTED_VALUE"""),"Noah Sistemas Ltda")</f>
        <v>Noah Sistemas Ltda</v>
      </c>
      <c r="T7742" s="33">
        <f>IFERROR(__xludf.DUMMYFUNCTION("""COMPUTED_VALUE"""),0.5)</f>
        <v>0.5</v>
      </c>
      <c r="U7742" s="4" t="str">
        <f>IFERROR(__xludf.DUMMYFUNCTION("""COMPUTED_VALUE"""),"Noah Sistemas Ltda")</f>
        <v>Noah Sistemas Ltda</v>
      </c>
      <c r="V7742" s="33">
        <f>IFERROR(__xludf.DUMMYFUNCTION("""COMPUTED_VALUE"""),1.0)</f>
        <v>1</v>
      </c>
      <c r="W7742" s="4" t="str">
        <f>IFERROR(__xludf.DUMMYFUNCTION("""COMPUTED_VALUE"""),"null")</f>
        <v>null</v>
      </c>
      <c r="X7742" s="33">
        <f>IFERROR(__xludf.DUMMYFUNCTION("""COMPUTED_VALUE"""),0.5)</f>
        <v>0.5</v>
      </c>
    </row>
    <row r="7743">
      <c r="K7743" s="4" t="str">
        <f>IFERROR(__xludf.DUMMYFUNCTION("""COMPUTED_VALUE"""),"RAFFAS NA BRASA CONTA MARCA")</f>
        <v>RAFFAS NA BRASA CONTA MARCA</v>
      </c>
      <c r="L7743" s="32">
        <f>IFERROR(__xludf.DUMMYFUNCTION("""COMPUTED_VALUE"""),2.0)</f>
        <v>2</v>
      </c>
      <c r="M7743" s="4" t="str">
        <f>IFERROR(__xludf.DUMMYFUNCTION("""COMPUTED_VALUE"""),"Eclética Tecnologia")</f>
        <v>Eclética Tecnologia</v>
      </c>
      <c r="N7743" s="33">
        <f>IFERROR(__xludf.DUMMYFUNCTION("""COMPUTED_VALUE"""),1.0)</f>
        <v>1</v>
      </c>
      <c r="O7743" s="4" t="str">
        <f>IFERROR(__xludf.DUMMYFUNCTION("""COMPUTED_VALUE"""),"Eclética Tecnologia")</f>
        <v>Eclética Tecnologia</v>
      </c>
      <c r="P7743" s="33">
        <f>IFERROR(__xludf.DUMMYFUNCTION("""COMPUTED_VALUE"""),1.0)</f>
        <v>1</v>
      </c>
      <c r="Q7743" s="4" t="str">
        <f>IFERROR(__xludf.DUMMYFUNCTION("""COMPUTED_VALUE"""),"Eclética Tecnologia")</f>
        <v>Eclética Tecnologia</v>
      </c>
      <c r="R7743" s="33">
        <f>IFERROR(__xludf.DUMMYFUNCTION("""COMPUTED_VALUE"""),1.0)</f>
        <v>1</v>
      </c>
      <c r="S7743" s="4" t="str">
        <f>IFERROR(__xludf.DUMMYFUNCTION("""COMPUTED_VALUE"""),"Eclética Tecnologia")</f>
        <v>Eclética Tecnologia</v>
      </c>
      <c r="T7743" s="33">
        <f>IFERROR(__xludf.DUMMYFUNCTION("""COMPUTED_VALUE"""),1.0)</f>
        <v>1</v>
      </c>
      <c r="U7743" s="4" t="str">
        <f>IFERROR(__xludf.DUMMYFUNCTION("""COMPUTED_VALUE"""),"Eclética Tecnologia")</f>
        <v>Eclética Tecnologia</v>
      </c>
      <c r="V7743" s="33">
        <f>IFERROR(__xludf.DUMMYFUNCTION("""COMPUTED_VALUE"""),1.0)</f>
        <v>1</v>
      </c>
      <c r="W7743" s="4" t="str">
        <f>IFERROR(__xludf.DUMMYFUNCTION("""COMPUTED_VALUE"""),"Eclética Tecnologia")</f>
        <v>Eclética Tecnologia</v>
      </c>
      <c r="X7743" s="33">
        <f>IFERROR(__xludf.DUMMYFUNCTION("""COMPUTED_VALUE"""),1.0)</f>
        <v>1</v>
      </c>
    </row>
    <row r="7744">
      <c r="K7744" s="4" t="str">
        <f>IFERROR(__xludf.DUMMYFUNCTION("""COMPUTED_VALUE"""),"RAINHA DAS MASSAS FORTALEZA")</f>
        <v>RAINHA DAS MASSAS FORTALEZA</v>
      </c>
      <c r="L7744" s="32">
        <f>IFERROR(__xludf.DUMMYFUNCTION("""COMPUTED_VALUE"""),2.0)</f>
        <v>2</v>
      </c>
      <c r="M7744" s="4" t="str">
        <f>IFERROR(__xludf.DUMMYFUNCTION("""COMPUTED_VALUE"""),"Beefood - Sistema Para Restaurantes")</f>
        <v>Beefood - Sistema Para Restaurantes</v>
      </c>
      <c r="N7744" s="33">
        <f>IFERROR(__xludf.DUMMYFUNCTION("""COMPUTED_VALUE"""),1.0)</f>
        <v>1</v>
      </c>
      <c r="O7744" s="4" t="str">
        <f>IFERROR(__xludf.DUMMYFUNCTION("""COMPUTED_VALUE"""),"Beefood - Sistema Para Restaurantes")</f>
        <v>Beefood - Sistema Para Restaurantes</v>
      </c>
      <c r="P7744" s="33">
        <f>IFERROR(__xludf.DUMMYFUNCTION("""COMPUTED_VALUE"""),1.0)</f>
        <v>1</v>
      </c>
      <c r="Q7744" s="4" t="str">
        <f>IFERROR(__xludf.DUMMYFUNCTION("""COMPUTED_VALUE"""),"null")</f>
        <v>null</v>
      </c>
      <c r="R7744" s="33">
        <f>IFERROR(__xludf.DUMMYFUNCTION("""COMPUTED_VALUE"""),0.5)</f>
        <v>0.5</v>
      </c>
      <c r="S7744" s="4" t="str">
        <f>IFERROR(__xludf.DUMMYFUNCTION("""COMPUTED_VALUE"""),"null")</f>
        <v>null</v>
      </c>
      <c r="T7744" s="33">
        <f>IFERROR(__xludf.DUMMYFUNCTION("""COMPUTED_VALUE"""),1.0)</f>
        <v>1</v>
      </c>
      <c r="U7744" s="4" t="str">
        <f>IFERROR(__xludf.DUMMYFUNCTION("""COMPUTED_VALUE"""),"null")</f>
        <v>null</v>
      </c>
      <c r="V7744" s="33">
        <f>IFERROR(__xludf.DUMMYFUNCTION("""COMPUTED_VALUE"""),1.0)</f>
        <v>1</v>
      </c>
      <c r="W7744" s="4" t="str">
        <f>IFERROR(__xludf.DUMMYFUNCTION("""COMPUTED_VALUE"""),"null")</f>
        <v>null</v>
      </c>
      <c r="X7744" s="33">
        <f>IFERROR(__xludf.DUMMYFUNCTION("""COMPUTED_VALUE"""),1.0)</f>
        <v>1</v>
      </c>
    </row>
    <row r="7745">
      <c r="K7745" s="4" t="str">
        <f>IFERROR(__xludf.DUMMYFUNCTION("""COMPUTED_VALUE"""),"RAISA RODRIGUES DOCES E BOLOS")</f>
        <v>RAISA RODRIGUES DOCES E BOLOS</v>
      </c>
      <c r="L7745" s="32">
        <f>IFERROR(__xludf.DUMMYFUNCTION("""COMPUTED_VALUE"""),2.0)</f>
        <v>2</v>
      </c>
      <c r="M7745" s="4" t="str">
        <f>IFERROR(__xludf.DUMMYFUNCTION("""COMPUTED_VALUE"""),"Yooga")</f>
        <v>Yooga</v>
      </c>
      <c r="N7745" s="33">
        <f>IFERROR(__xludf.DUMMYFUNCTION("""COMPUTED_VALUE"""),1.0)</f>
        <v>1</v>
      </c>
      <c r="O7745" s="4" t="str">
        <f>IFERROR(__xludf.DUMMYFUNCTION("""COMPUTED_VALUE"""),"Yooga")</f>
        <v>Yooga</v>
      </c>
      <c r="P7745" s="33">
        <f>IFERROR(__xludf.DUMMYFUNCTION("""COMPUTED_VALUE"""),1.0)</f>
        <v>1</v>
      </c>
      <c r="Q7745" s="4" t="str">
        <f>IFERROR(__xludf.DUMMYFUNCTION("""COMPUTED_VALUE"""),"Yooga")</f>
        <v>Yooga</v>
      </c>
      <c r="R7745" s="33">
        <f>IFERROR(__xludf.DUMMYFUNCTION("""COMPUTED_VALUE"""),1.0)</f>
        <v>1</v>
      </c>
      <c r="S7745" s="4" t="str">
        <f>IFERROR(__xludf.DUMMYFUNCTION("""COMPUTED_VALUE"""),"Yooga")</f>
        <v>Yooga</v>
      </c>
      <c r="T7745" s="33">
        <f>IFERROR(__xludf.DUMMYFUNCTION("""COMPUTED_VALUE"""),1.0)</f>
        <v>1</v>
      </c>
      <c r="U7745" s="4" t="str">
        <f>IFERROR(__xludf.DUMMYFUNCTION("""COMPUTED_VALUE"""),"Yooga")</f>
        <v>Yooga</v>
      </c>
      <c r="V7745" s="33">
        <f>IFERROR(__xludf.DUMMYFUNCTION("""COMPUTED_VALUE"""),1.0)</f>
        <v>1</v>
      </c>
      <c r="W7745" s="4" t="str">
        <f>IFERROR(__xludf.DUMMYFUNCTION("""COMPUTED_VALUE"""),"Yooga")</f>
        <v>Yooga</v>
      </c>
      <c r="X7745" s="33">
        <f>IFERROR(__xludf.DUMMYFUNCTION("""COMPUTED_VALUE"""),1.0)</f>
        <v>1</v>
      </c>
    </row>
    <row r="7746">
      <c r="K7746" s="4" t="str">
        <f>IFERROR(__xludf.DUMMYFUNCTION("""COMPUTED_VALUE"""),"RAIZ BRAZIL TAPIOCARIA")</f>
        <v>RAIZ BRAZIL TAPIOCARIA</v>
      </c>
      <c r="L7746" s="32">
        <f>IFERROR(__xludf.DUMMYFUNCTION("""COMPUTED_VALUE"""),2.0)</f>
        <v>2</v>
      </c>
      <c r="M7746" s="4" t="str">
        <f>IFERROR(__xludf.DUMMYFUNCTION("""COMPUTED_VALUE"""),"Saipos Serviços De Software")</f>
        <v>Saipos Serviços De Software</v>
      </c>
      <c r="N7746" s="33">
        <f>IFERROR(__xludf.DUMMYFUNCTION("""COMPUTED_VALUE"""),1.0)</f>
        <v>1</v>
      </c>
      <c r="O7746" s="4" t="str">
        <f>IFERROR(__xludf.DUMMYFUNCTION("""COMPUTED_VALUE"""),"Saipos Serviços De Software")</f>
        <v>Saipos Serviços De Software</v>
      </c>
      <c r="P7746" s="33">
        <f>IFERROR(__xludf.DUMMYFUNCTION("""COMPUTED_VALUE"""),1.0)</f>
        <v>1</v>
      </c>
      <c r="Q7746" s="4" t="str">
        <f>IFERROR(__xludf.DUMMYFUNCTION("""COMPUTED_VALUE"""),"Saipos Serviços De Software")</f>
        <v>Saipos Serviços De Software</v>
      </c>
      <c r="R7746" s="33">
        <f>IFERROR(__xludf.DUMMYFUNCTION("""COMPUTED_VALUE"""),1.0)</f>
        <v>1</v>
      </c>
      <c r="S7746" s="4" t="str">
        <f>IFERROR(__xludf.DUMMYFUNCTION("""COMPUTED_VALUE"""),"Saipos Serviços De Software")</f>
        <v>Saipos Serviços De Software</v>
      </c>
      <c r="T7746" s="33">
        <f>IFERROR(__xludf.DUMMYFUNCTION("""COMPUTED_VALUE"""),1.0)</f>
        <v>1</v>
      </c>
      <c r="U7746" s="4" t="str">
        <f>IFERROR(__xludf.DUMMYFUNCTION("""COMPUTED_VALUE"""),"Saipos Serviços De Software")</f>
        <v>Saipos Serviços De Software</v>
      </c>
      <c r="V7746" s="33">
        <f>IFERROR(__xludf.DUMMYFUNCTION("""COMPUTED_VALUE"""),1.0)</f>
        <v>1</v>
      </c>
      <c r="W7746" s="4" t="str">
        <f>IFERROR(__xludf.DUMMYFUNCTION("""COMPUTED_VALUE"""),"Saipos Serviços De Software")</f>
        <v>Saipos Serviços De Software</v>
      </c>
      <c r="X7746" s="33">
        <f>IFERROR(__xludf.DUMMYFUNCTION("""COMPUTED_VALUE"""),1.0)</f>
        <v>1</v>
      </c>
    </row>
    <row r="7747">
      <c r="K7747" s="4" t="str">
        <f>IFERROR(__xludf.DUMMYFUNCTION("""COMPUTED_VALUE"""),"RAIZ VEGANA")</f>
        <v>RAIZ VEGANA</v>
      </c>
      <c r="L7747" s="32">
        <f>IFERROR(__xludf.DUMMYFUNCTION("""COMPUTED_VALUE"""),2.0)</f>
        <v>2</v>
      </c>
      <c r="M7747" s="4" t="str">
        <f>IFERROR(__xludf.DUMMYFUNCTION("""COMPUTED_VALUE"""),"Noah Sistemas Ltda")</f>
        <v>Noah Sistemas Ltda</v>
      </c>
      <c r="N7747" s="33">
        <f>IFERROR(__xludf.DUMMYFUNCTION("""COMPUTED_VALUE"""),1.0)</f>
        <v>1</v>
      </c>
      <c r="O7747" s="4" t="str">
        <f>IFERROR(__xludf.DUMMYFUNCTION("""COMPUTED_VALUE"""),"Noah Sistemas Ltda")</f>
        <v>Noah Sistemas Ltda</v>
      </c>
      <c r="P7747" s="33">
        <f>IFERROR(__xludf.DUMMYFUNCTION("""COMPUTED_VALUE"""),1.0)</f>
        <v>1</v>
      </c>
      <c r="Q7747" s="4" t="str">
        <f>IFERROR(__xludf.DUMMYFUNCTION("""COMPUTED_VALUE"""),"Noah Sistemas Ltda")</f>
        <v>Noah Sistemas Ltda</v>
      </c>
      <c r="R7747" s="33">
        <f>IFERROR(__xludf.DUMMYFUNCTION("""COMPUTED_VALUE"""),1.0)</f>
        <v>1</v>
      </c>
      <c r="S7747" s="4" t="str">
        <f>IFERROR(__xludf.DUMMYFUNCTION("""COMPUTED_VALUE"""),"Noah Sistemas Ltda")</f>
        <v>Noah Sistemas Ltda</v>
      </c>
      <c r="T7747" s="33">
        <f>IFERROR(__xludf.DUMMYFUNCTION("""COMPUTED_VALUE"""),1.0)</f>
        <v>1</v>
      </c>
      <c r="U7747" s="4" t="str">
        <f>IFERROR(__xludf.DUMMYFUNCTION("""COMPUTED_VALUE"""),"Noah Sistemas Ltda")</f>
        <v>Noah Sistemas Ltda</v>
      </c>
      <c r="V7747" s="33">
        <f>IFERROR(__xludf.DUMMYFUNCTION("""COMPUTED_VALUE"""),1.0)</f>
        <v>1</v>
      </c>
      <c r="W7747" s="4" t="str">
        <f>IFERROR(__xludf.DUMMYFUNCTION("""COMPUTED_VALUE"""),"Noah Sistemas Ltda")</f>
        <v>Noah Sistemas Ltda</v>
      </c>
      <c r="X7747" s="33">
        <f>IFERROR(__xludf.DUMMYFUNCTION("""COMPUTED_VALUE"""),1.0)</f>
        <v>1</v>
      </c>
    </row>
    <row r="7748">
      <c r="K7748" s="4" t="str">
        <f>IFERROR(__xludf.DUMMYFUNCTION("""COMPUTED_VALUE"""),"RAKKI SUSHI")</f>
        <v>RAKKI SUSHI</v>
      </c>
      <c r="L7748" s="32">
        <f>IFERROR(__xludf.DUMMYFUNCTION("""COMPUTED_VALUE"""),2.0)</f>
        <v>2</v>
      </c>
      <c r="M7748" s="4" t="str">
        <f>IFERROR(__xludf.DUMMYFUNCTION("""COMPUTED_VALUE"""),"Soluções Web Araçatuba Ltda")</f>
        <v>Soluções Web Araçatuba Ltda</v>
      </c>
      <c r="N7748" s="33">
        <f>IFERROR(__xludf.DUMMYFUNCTION("""COMPUTED_VALUE"""),0.5)</f>
        <v>0.5</v>
      </c>
      <c r="O7748" s="4" t="str">
        <f>IFERROR(__xludf.DUMMYFUNCTION("""COMPUTED_VALUE"""),"Soluções Web Araçatuba Ltda")</f>
        <v>Soluções Web Araçatuba Ltda</v>
      </c>
      <c r="P7748" s="33">
        <f>IFERROR(__xludf.DUMMYFUNCTION("""COMPUTED_VALUE"""),0.5)</f>
        <v>0.5</v>
      </c>
      <c r="Q7748" s="4" t="str">
        <f>IFERROR(__xludf.DUMMYFUNCTION("""COMPUTED_VALUE"""),"Soluções Web Araçatuba Ltda")</f>
        <v>Soluções Web Araçatuba Ltda</v>
      </c>
      <c r="R7748" s="33">
        <f>IFERROR(__xludf.DUMMYFUNCTION("""COMPUTED_VALUE"""),0.5)</f>
        <v>0.5</v>
      </c>
      <c r="S7748" s="4" t="str">
        <f>IFERROR(__xludf.DUMMYFUNCTION("""COMPUTED_VALUE"""),"null")</f>
        <v>null</v>
      </c>
      <c r="T7748" s="33">
        <f>IFERROR(__xludf.DUMMYFUNCTION("""COMPUTED_VALUE"""),0.5)</f>
        <v>0.5</v>
      </c>
      <c r="U7748" s="4" t="str">
        <f>IFERROR(__xludf.DUMMYFUNCTION("""COMPUTED_VALUE"""),"null")</f>
        <v>null</v>
      </c>
      <c r="V7748" s="33">
        <f>IFERROR(__xludf.DUMMYFUNCTION("""COMPUTED_VALUE"""),0.5)</f>
        <v>0.5</v>
      </c>
      <c r="W7748" s="4" t="str">
        <f>IFERROR(__xludf.DUMMYFUNCTION("""COMPUTED_VALUE"""),"null")</f>
        <v>null</v>
      </c>
      <c r="X7748" s="33">
        <f>IFERROR(__xludf.DUMMYFUNCTION("""COMPUTED_VALUE"""),0.5)</f>
        <v>0.5</v>
      </c>
    </row>
    <row r="7749">
      <c r="K7749" s="4" t="str">
        <f>IFERROR(__xludf.DUMMYFUNCTION("""COMPUTED_VALUE"""),"RANGUINHO LANCHES")</f>
        <v>RANGUINHO LANCHES</v>
      </c>
      <c r="L7749" s="32">
        <f>IFERROR(__xludf.DUMMYFUNCTION("""COMPUTED_VALUE"""),2.0)</f>
        <v>2</v>
      </c>
      <c r="M7749" s="4" t="str">
        <f>IFERROR(__xludf.DUMMYFUNCTION("""COMPUTED_VALUE"""),"null")</f>
        <v>null</v>
      </c>
      <c r="N7749" s="33">
        <f>IFERROR(__xludf.DUMMYFUNCTION("""COMPUTED_VALUE"""),1.0)</f>
        <v>1</v>
      </c>
      <c r="O7749" s="4" t="str">
        <f>IFERROR(__xludf.DUMMYFUNCTION("""COMPUTED_VALUE"""),"null")</f>
        <v>null</v>
      </c>
      <c r="P7749" s="33">
        <f>IFERROR(__xludf.DUMMYFUNCTION("""COMPUTED_VALUE"""),1.0)</f>
        <v>1</v>
      </c>
      <c r="Q7749" s="4" t="str">
        <f>IFERROR(__xludf.DUMMYFUNCTION("""COMPUTED_VALUE"""),"Yooga")</f>
        <v>Yooga</v>
      </c>
      <c r="R7749" s="33">
        <f>IFERROR(__xludf.DUMMYFUNCTION("""COMPUTED_VALUE"""),1.0)</f>
        <v>1</v>
      </c>
      <c r="S7749" s="4" t="str">
        <f>IFERROR(__xludf.DUMMYFUNCTION("""COMPUTED_VALUE"""),"Yooga")</f>
        <v>Yooga</v>
      </c>
      <c r="T7749" s="33">
        <f>IFERROR(__xludf.DUMMYFUNCTION("""COMPUTED_VALUE"""),1.0)</f>
        <v>1</v>
      </c>
      <c r="U7749" s="4" t="str">
        <f>IFERROR(__xludf.DUMMYFUNCTION("""COMPUTED_VALUE"""),"Yooga")</f>
        <v>Yooga</v>
      </c>
      <c r="V7749" s="33">
        <f>IFERROR(__xludf.DUMMYFUNCTION("""COMPUTED_VALUE"""),1.0)</f>
        <v>1</v>
      </c>
      <c r="W7749" s="4" t="str">
        <f>IFERROR(__xludf.DUMMYFUNCTION("""COMPUTED_VALUE"""),"Yooga")</f>
        <v>Yooga</v>
      </c>
      <c r="X7749" s="33">
        <f>IFERROR(__xludf.DUMMYFUNCTION("""COMPUTED_VALUE"""),1.0)</f>
        <v>1</v>
      </c>
    </row>
    <row r="7750">
      <c r="K7750" s="4" t="str">
        <f>IFERROR(__xludf.DUMMYFUNCTION("""COMPUTED_VALUE"""),"RASHI RESTAURANTE")</f>
        <v>RASHI RESTAURANTE</v>
      </c>
      <c r="L7750" s="32">
        <f>IFERROR(__xludf.DUMMYFUNCTION("""COMPUTED_VALUE"""),2.0)</f>
        <v>2</v>
      </c>
      <c r="M7750" s="4" t="str">
        <f>IFERROR(__xludf.DUMMYFUNCTION("""COMPUTED_VALUE"""),"Rp Sistemas")</f>
        <v>Rp Sistemas</v>
      </c>
      <c r="N7750" s="33">
        <f>IFERROR(__xludf.DUMMYFUNCTION("""COMPUTED_VALUE"""),1.0)</f>
        <v>1</v>
      </c>
      <c r="O7750" s="4" t="str">
        <f>IFERROR(__xludf.DUMMYFUNCTION("""COMPUTED_VALUE"""),"Rp Sistemas")</f>
        <v>Rp Sistemas</v>
      </c>
      <c r="P7750" s="33">
        <f>IFERROR(__xludf.DUMMYFUNCTION("""COMPUTED_VALUE"""),1.0)</f>
        <v>1</v>
      </c>
      <c r="Q7750" s="4" t="str">
        <f>IFERROR(__xludf.DUMMYFUNCTION("""COMPUTED_VALUE"""),"Rp Sistemas")</f>
        <v>Rp Sistemas</v>
      </c>
      <c r="R7750" s="33">
        <f>IFERROR(__xludf.DUMMYFUNCTION("""COMPUTED_VALUE"""),1.0)</f>
        <v>1</v>
      </c>
      <c r="S7750" s="4" t="str">
        <f>IFERROR(__xludf.DUMMYFUNCTION("""COMPUTED_VALUE"""),"Rp Sistemas")</f>
        <v>Rp Sistemas</v>
      </c>
      <c r="T7750" s="33">
        <f>IFERROR(__xludf.DUMMYFUNCTION("""COMPUTED_VALUE"""),0.5)</f>
        <v>0.5</v>
      </c>
      <c r="U7750" s="4" t="str">
        <f>IFERROR(__xludf.DUMMYFUNCTION("""COMPUTED_VALUE"""),"Rp Sistemas")</f>
        <v>Rp Sistemas</v>
      </c>
      <c r="V7750" s="33">
        <f>IFERROR(__xludf.DUMMYFUNCTION("""COMPUTED_VALUE"""),1.0)</f>
        <v>1</v>
      </c>
      <c r="W7750" s="4" t="str">
        <f>IFERROR(__xludf.DUMMYFUNCTION("""COMPUTED_VALUE"""),"Rp Sistemas")</f>
        <v>Rp Sistemas</v>
      </c>
      <c r="X7750" s="33">
        <f>IFERROR(__xludf.DUMMYFUNCTION("""COMPUTED_VALUE"""),1.0)</f>
        <v>1</v>
      </c>
    </row>
    <row r="7751">
      <c r="K7751" s="4" t="str">
        <f>IFERROR(__xludf.DUMMYFUNCTION("""COMPUTED_VALUE"""),"REALPHARMA - LOJAS SAVIO - CONTA MARCA")</f>
        <v>REALPHARMA - LOJAS SAVIO - CONTA MARCA</v>
      </c>
      <c r="L7751" s="32">
        <f>IFERROR(__xludf.DUMMYFUNCTION("""COMPUTED_VALUE"""),2.0)</f>
        <v>2</v>
      </c>
      <c r="M7751" s="4" t="str">
        <f>IFERROR(__xludf.DUMMYFUNCTION("""COMPUTED_VALUE"""),"N/A (Not found)")</f>
        <v>N/A (Not found)</v>
      </c>
      <c r="N7751" s="33">
        <f>IFERROR(__xludf.DUMMYFUNCTION("""COMPUTED_VALUE"""),1.0)</f>
        <v>1</v>
      </c>
      <c r="O7751" s="4" t="str">
        <f>IFERROR(__xludf.DUMMYFUNCTION("""COMPUTED_VALUE"""),"N/A (Not found)")</f>
        <v>N/A (Not found)</v>
      </c>
      <c r="P7751" s="33">
        <f>IFERROR(__xludf.DUMMYFUNCTION("""COMPUTED_VALUE"""),1.0)</f>
        <v>1</v>
      </c>
      <c r="Q7751" s="4" t="str">
        <f>IFERROR(__xludf.DUMMYFUNCTION("""COMPUTED_VALUE"""),"N/A (Not found)")</f>
        <v>N/A (Not found)</v>
      </c>
      <c r="R7751" s="33">
        <f>IFERROR(__xludf.DUMMYFUNCTION("""COMPUTED_VALUE"""),1.0)</f>
        <v>1</v>
      </c>
      <c r="S7751" s="4" t="str">
        <f>IFERROR(__xludf.DUMMYFUNCTION("""COMPUTED_VALUE"""),"N/A (Not found)")</f>
        <v>N/A (Not found)</v>
      </c>
      <c r="T7751" s="33">
        <f>IFERROR(__xludf.DUMMYFUNCTION("""COMPUTED_VALUE"""),1.0)</f>
        <v>1</v>
      </c>
      <c r="U7751" s="4" t="str">
        <f>IFERROR(__xludf.DUMMYFUNCTION("""COMPUTED_VALUE"""),"N/A (Not found)")</f>
        <v>N/A (Not found)</v>
      </c>
      <c r="V7751" s="33">
        <f>IFERROR(__xludf.DUMMYFUNCTION("""COMPUTED_VALUE"""),1.0)</f>
        <v>1</v>
      </c>
      <c r="W7751" s="4" t="str">
        <f>IFERROR(__xludf.DUMMYFUNCTION("""COMPUTED_VALUE"""),"N/A (Not found)")</f>
        <v>N/A (Not found)</v>
      </c>
      <c r="X7751" s="33">
        <f>IFERROR(__xludf.DUMMYFUNCTION("""COMPUTED_VALUE"""),1.0)</f>
        <v>1</v>
      </c>
    </row>
    <row r="7752">
      <c r="K7752" s="4" t="str">
        <f>IFERROR(__xludf.DUMMYFUNCTION("""COMPUTED_VALUE"""),"REC REPLAY GRILL E BURGER")</f>
        <v>REC REPLAY GRILL E BURGER</v>
      </c>
      <c r="L7752" s="32">
        <f>IFERROR(__xludf.DUMMYFUNCTION("""COMPUTED_VALUE"""),2.0)</f>
        <v>2</v>
      </c>
      <c r="M7752" s="4" t="str">
        <f>IFERROR(__xludf.DUMMYFUNCTION("""COMPUTED_VALUE"""),"Saipos Serviços De Software")</f>
        <v>Saipos Serviços De Software</v>
      </c>
      <c r="N7752" s="33">
        <f>IFERROR(__xludf.DUMMYFUNCTION("""COMPUTED_VALUE"""),1.0)</f>
        <v>1</v>
      </c>
      <c r="O7752" s="4" t="str">
        <f>IFERROR(__xludf.DUMMYFUNCTION("""COMPUTED_VALUE"""),"Saipos Serviços De Software")</f>
        <v>Saipos Serviços De Software</v>
      </c>
      <c r="P7752" s="33">
        <f>IFERROR(__xludf.DUMMYFUNCTION("""COMPUTED_VALUE"""),1.0)</f>
        <v>1</v>
      </c>
      <c r="Q7752" s="4" t="str">
        <f>IFERROR(__xludf.DUMMYFUNCTION("""COMPUTED_VALUE"""),"Saipos Serviços De Software")</f>
        <v>Saipos Serviços De Software</v>
      </c>
      <c r="R7752" s="33">
        <f>IFERROR(__xludf.DUMMYFUNCTION("""COMPUTED_VALUE"""),1.0)</f>
        <v>1</v>
      </c>
      <c r="S7752" s="4" t="str">
        <f>IFERROR(__xludf.DUMMYFUNCTION("""COMPUTED_VALUE"""),"Saipos Serviços De Software")</f>
        <v>Saipos Serviços De Software</v>
      </c>
      <c r="T7752" s="33">
        <f>IFERROR(__xludf.DUMMYFUNCTION("""COMPUTED_VALUE"""),1.0)</f>
        <v>1</v>
      </c>
      <c r="U7752" s="4" t="str">
        <f>IFERROR(__xludf.DUMMYFUNCTION("""COMPUTED_VALUE"""),"Saipos Serviços De Software")</f>
        <v>Saipos Serviços De Software</v>
      </c>
      <c r="V7752" s="33">
        <f>IFERROR(__xludf.DUMMYFUNCTION("""COMPUTED_VALUE"""),1.0)</f>
        <v>1</v>
      </c>
      <c r="W7752" s="4" t="str">
        <f>IFERROR(__xludf.DUMMYFUNCTION("""COMPUTED_VALUE"""),"Saipos Serviços De Software")</f>
        <v>Saipos Serviços De Software</v>
      </c>
      <c r="X7752" s="33">
        <f>IFERROR(__xludf.DUMMYFUNCTION("""COMPUTED_VALUE"""),1.0)</f>
        <v>1</v>
      </c>
    </row>
    <row r="7753">
      <c r="K7753" s="4" t="str">
        <f>IFERROR(__xludf.DUMMYFUNCTION("""COMPUTED_VALUE"""),"RECANTO DO OSMAR")</f>
        <v>RECANTO DO OSMAR</v>
      </c>
      <c r="L7753" s="32">
        <f>IFERROR(__xludf.DUMMYFUNCTION("""COMPUTED_VALUE"""),2.0)</f>
        <v>2</v>
      </c>
      <c r="M7753" s="4" t="str">
        <f>IFERROR(__xludf.DUMMYFUNCTION("""COMPUTED_VALUE"""),"Dalcatech Automacao E Desenvolvimento De Software Ltda")</f>
        <v>Dalcatech Automacao E Desenvolvimento De Software Ltda</v>
      </c>
      <c r="N7753" s="33">
        <f>IFERROR(__xludf.DUMMYFUNCTION("""COMPUTED_VALUE"""),1.0)</f>
        <v>1</v>
      </c>
      <c r="O7753" s="4" t="str">
        <f>IFERROR(__xludf.DUMMYFUNCTION("""COMPUTED_VALUE"""),"Dalcatech Automacao E Desenvolvimento De Software Ltda")</f>
        <v>Dalcatech Automacao E Desenvolvimento De Software Ltda</v>
      </c>
      <c r="P7753" s="33">
        <f>IFERROR(__xludf.DUMMYFUNCTION("""COMPUTED_VALUE"""),1.0)</f>
        <v>1</v>
      </c>
      <c r="Q7753" s="4" t="str">
        <f>IFERROR(__xludf.DUMMYFUNCTION("""COMPUTED_VALUE"""),"Dalcatech Automacao E Desenvolvimento De Software Ltda")</f>
        <v>Dalcatech Automacao E Desenvolvimento De Software Ltda</v>
      </c>
      <c r="R7753" s="33">
        <f>IFERROR(__xludf.DUMMYFUNCTION("""COMPUTED_VALUE"""),1.0)</f>
        <v>1</v>
      </c>
      <c r="S7753" s="4" t="str">
        <f>IFERROR(__xludf.DUMMYFUNCTION("""COMPUTED_VALUE"""),"Dalcatech Automacao E Desenvolvimento De Software Ltda")</f>
        <v>Dalcatech Automacao E Desenvolvimento De Software Ltda</v>
      </c>
      <c r="T7753" s="33">
        <f>IFERROR(__xludf.DUMMYFUNCTION("""COMPUTED_VALUE"""),1.0)</f>
        <v>1</v>
      </c>
      <c r="U7753" s="4" t="str">
        <f>IFERROR(__xludf.DUMMYFUNCTION("""COMPUTED_VALUE"""),"Dalcatech Automacao E Desenvolvimento De Software Ltda")</f>
        <v>Dalcatech Automacao E Desenvolvimento De Software Ltda</v>
      </c>
      <c r="V7753" s="33">
        <f>IFERROR(__xludf.DUMMYFUNCTION("""COMPUTED_VALUE"""),1.0)</f>
        <v>1</v>
      </c>
      <c r="W7753" s="4" t="str">
        <f>IFERROR(__xludf.DUMMYFUNCTION("""COMPUTED_VALUE"""),"Dalcatech Automacao E Desenvolvimento De Software Ltda")</f>
        <v>Dalcatech Automacao E Desenvolvimento De Software Ltda</v>
      </c>
      <c r="X7753" s="33">
        <f>IFERROR(__xludf.DUMMYFUNCTION("""COMPUTED_VALUE"""),1.0)</f>
        <v>1</v>
      </c>
    </row>
    <row r="7754">
      <c r="K7754" s="4" t="str">
        <f>IFERROR(__xludf.DUMMYFUNCTION("""COMPUTED_VALUE"""),"RECIFE DROGARIA - CONTA PAI")</f>
        <v>RECIFE DROGARIA - CONTA PAI</v>
      </c>
      <c r="L7754" s="32">
        <f>IFERROR(__xludf.DUMMYFUNCTION("""COMPUTED_VALUE"""),2.0)</f>
        <v>2</v>
      </c>
      <c r="M7754" s="4" t="str">
        <f>IFERROR(__xludf.DUMMYFUNCTION("""COMPUTED_VALUE"""),"N/A (Not found)")</f>
        <v>N/A (Not found)</v>
      </c>
      <c r="N7754" s="33">
        <f>IFERROR(__xludf.DUMMYFUNCTION("""COMPUTED_VALUE"""),1.0)</f>
        <v>1</v>
      </c>
      <c r="O7754" s="4" t="str">
        <f>IFERROR(__xludf.DUMMYFUNCTION("""COMPUTED_VALUE"""),"N/A (Not found)")</f>
        <v>N/A (Not found)</v>
      </c>
      <c r="P7754" s="33">
        <f>IFERROR(__xludf.DUMMYFUNCTION("""COMPUTED_VALUE"""),1.0)</f>
        <v>1</v>
      </c>
      <c r="Q7754" s="4" t="str">
        <f>IFERROR(__xludf.DUMMYFUNCTION("""COMPUTED_VALUE"""),"N/A (Not found)")</f>
        <v>N/A (Not found)</v>
      </c>
      <c r="R7754" s="33">
        <f>IFERROR(__xludf.DUMMYFUNCTION("""COMPUTED_VALUE"""),1.0)</f>
        <v>1</v>
      </c>
      <c r="S7754" s="4" t="str">
        <f>IFERROR(__xludf.DUMMYFUNCTION("""COMPUTED_VALUE"""),"N/A (Not found)")</f>
        <v>N/A (Not found)</v>
      </c>
      <c r="T7754" s="33">
        <f>IFERROR(__xludf.DUMMYFUNCTION("""COMPUTED_VALUE"""),1.0)</f>
        <v>1</v>
      </c>
      <c r="U7754" s="4" t="str">
        <f>IFERROR(__xludf.DUMMYFUNCTION("""COMPUTED_VALUE"""),"N/A (Not found)")</f>
        <v>N/A (Not found)</v>
      </c>
      <c r="V7754" s="33">
        <f>IFERROR(__xludf.DUMMYFUNCTION("""COMPUTED_VALUE"""),1.0)</f>
        <v>1</v>
      </c>
      <c r="W7754" s="4" t="str">
        <f>IFERROR(__xludf.DUMMYFUNCTION("""COMPUTED_VALUE"""),"N/A (Not found)")</f>
        <v>N/A (Not found)</v>
      </c>
      <c r="X7754" s="33">
        <f>IFERROR(__xludf.DUMMYFUNCTION("""COMPUTED_VALUE"""),1.0)</f>
        <v>1</v>
      </c>
    </row>
    <row r="7755">
      <c r="K7755" s="4" t="str">
        <f>IFERROR(__xludf.DUMMYFUNCTION("""COMPUTED_VALUE"""),"REDE ABREU FARMA - CONTA MARCA")</f>
        <v>REDE ABREU FARMA - CONTA MARCA</v>
      </c>
      <c r="L7755" s="32">
        <f>IFERROR(__xludf.DUMMYFUNCTION("""COMPUTED_VALUE"""),2.0)</f>
        <v>2</v>
      </c>
      <c r="M7755" s="4" t="str">
        <f>IFERROR(__xludf.DUMMYFUNCTION("""COMPUTED_VALUE"""),"N/A (Not found)")</f>
        <v>N/A (Not found)</v>
      </c>
      <c r="N7755" s="33">
        <f>IFERROR(__xludf.DUMMYFUNCTION("""COMPUTED_VALUE"""),0.5)</f>
        <v>0.5</v>
      </c>
      <c r="O7755" s="4" t="str">
        <f>IFERROR(__xludf.DUMMYFUNCTION("""COMPUTED_VALUE"""),"N/A (Not found)")</f>
        <v>N/A (Not found)</v>
      </c>
      <c r="P7755" s="33">
        <f>IFERROR(__xludf.DUMMYFUNCTION("""COMPUTED_VALUE"""),0.5)</f>
        <v>0.5</v>
      </c>
      <c r="Q7755" s="4" t="str">
        <f>IFERROR(__xludf.DUMMYFUNCTION("""COMPUTED_VALUE"""),"N/A (Not found)")</f>
        <v>N/A (Not found)</v>
      </c>
      <c r="R7755" s="33">
        <f>IFERROR(__xludf.DUMMYFUNCTION("""COMPUTED_VALUE"""),0.5)</f>
        <v>0.5</v>
      </c>
      <c r="S7755" s="4" t="str">
        <f>IFERROR(__xludf.DUMMYFUNCTION("""COMPUTED_VALUE"""),"N/A (Not found)")</f>
        <v>N/A (Not found)</v>
      </c>
      <c r="T7755" s="33">
        <f>IFERROR(__xludf.DUMMYFUNCTION("""COMPUTED_VALUE"""),0.5)</f>
        <v>0.5</v>
      </c>
      <c r="U7755" s="4" t="str">
        <f>IFERROR(__xludf.DUMMYFUNCTION("""COMPUTED_VALUE"""),"N/A (Not found)")</f>
        <v>N/A (Not found)</v>
      </c>
      <c r="V7755" s="33">
        <f>IFERROR(__xludf.DUMMYFUNCTION("""COMPUTED_VALUE"""),1.0)</f>
        <v>1</v>
      </c>
      <c r="W7755" s="4" t="str">
        <f>IFERROR(__xludf.DUMMYFUNCTION("""COMPUTED_VALUE"""),"N/A (Not found)")</f>
        <v>N/A (Not found)</v>
      </c>
      <c r="X7755" s="33">
        <f>IFERROR(__xludf.DUMMYFUNCTION("""COMPUTED_VALUE"""),1.0)</f>
        <v>1</v>
      </c>
    </row>
    <row r="7756">
      <c r="K7756" s="4" t="str">
        <f>IFERROR(__xludf.DUMMYFUNCTION("""COMPUTED_VALUE"""),"REDE DA PRACA SUPERMERCADOS - CONTA MARCA")</f>
        <v>REDE DA PRACA SUPERMERCADOS - CONTA MARCA</v>
      </c>
      <c r="L7756" s="32">
        <f>IFERROR(__xludf.DUMMYFUNCTION("""COMPUTED_VALUE"""),2.0)</f>
        <v>2</v>
      </c>
      <c r="M7756" s="4" t="str">
        <f>IFERROR(__xludf.DUMMYFUNCTION("""COMPUTED_VALUE"""),"N/A (Not found)")</f>
        <v>N/A (Not found)</v>
      </c>
      <c r="N7756" s="33">
        <f>IFERROR(__xludf.DUMMYFUNCTION("""COMPUTED_VALUE"""),1.0)</f>
        <v>1</v>
      </c>
      <c r="O7756" s="4" t="str">
        <f>IFERROR(__xludf.DUMMYFUNCTION("""COMPUTED_VALUE"""),"N/A (Not found)")</f>
        <v>N/A (Not found)</v>
      </c>
      <c r="P7756" s="33">
        <f>IFERROR(__xludf.DUMMYFUNCTION("""COMPUTED_VALUE"""),1.0)</f>
        <v>1</v>
      </c>
      <c r="Q7756" s="4" t="str">
        <f>IFERROR(__xludf.DUMMYFUNCTION("""COMPUTED_VALUE"""),"N/A (Not found)")</f>
        <v>N/A (Not found)</v>
      </c>
      <c r="R7756" s="33">
        <f>IFERROR(__xludf.DUMMYFUNCTION("""COMPUTED_VALUE"""),1.0)</f>
        <v>1</v>
      </c>
      <c r="S7756" s="4" t="str">
        <f>IFERROR(__xludf.DUMMYFUNCTION("""COMPUTED_VALUE"""),"N/A (Not found)")</f>
        <v>N/A (Not found)</v>
      </c>
      <c r="T7756" s="33">
        <f>IFERROR(__xludf.DUMMYFUNCTION("""COMPUTED_VALUE"""),1.0)</f>
        <v>1</v>
      </c>
      <c r="U7756" s="4" t="str">
        <f>IFERROR(__xludf.DUMMYFUNCTION("""COMPUTED_VALUE"""),"N/A (Not found)")</f>
        <v>N/A (Not found)</v>
      </c>
      <c r="V7756" s="33">
        <f>IFERROR(__xludf.DUMMYFUNCTION("""COMPUTED_VALUE"""),1.0)</f>
        <v>1</v>
      </c>
      <c r="W7756" s="4" t="str">
        <f>IFERROR(__xludf.DUMMYFUNCTION("""COMPUTED_VALUE"""),"N/A (Not found)")</f>
        <v>N/A (Not found)</v>
      </c>
      <c r="X7756" s="33">
        <f>IFERROR(__xludf.DUMMYFUNCTION("""COMPUTED_VALUE"""),1.0)</f>
        <v>1</v>
      </c>
    </row>
    <row r="7757">
      <c r="K7757" s="4" t="str">
        <f>IFERROR(__xludf.DUMMYFUNCTION("""COMPUTED_VALUE"""),"REDE DROGAO POPULAR AV BRASIL")</f>
        <v>REDE DROGAO POPULAR AV BRASIL</v>
      </c>
      <c r="L7757" s="32">
        <f>IFERROR(__xludf.DUMMYFUNCTION("""COMPUTED_VALUE"""),2.0)</f>
        <v>2</v>
      </c>
      <c r="M7757" s="4" t="str">
        <f>IFERROR(__xludf.DUMMYFUNCTION("""COMPUTED_VALUE"""),"N/A (Not found)")</f>
        <v>N/A (Not found)</v>
      </c>
      <c r="N7757" s="33">
        <f>IFERROR(__xludf.DUMMYFUNCTION("""COMPUTED_VALUE"""),1.0)</f>
        <v>1</v>
      </c>
      <c r="O7757" s="4" t="str">
        <f>IFERROR(__xludf.DUMMYFUNCTION("""COMPUTED_VALUE"""),"N/A (Not found)")</f>
        <v>N/A (Not found)</v>
      </c>
      <c r="P7757" s="33">
        <f>IFERROR(__xludf.DUMMYFUNCTION("""COMPUTED_VALUE"""),1.0)</f>
        <v>1</v>
      </c>
      <c r="Q7757" s="4" t="str">
        <f>IFERROR(__xludf.DUMMYFUNCTION("""COMPUTED_VALUE"""),"N/A (Not found)")</f>
        <v>N/A (Not found)</v>
      </c>
      <c r="R7757" s="33">
        <f>IFERROR(__xludf.DUMMYFUNCTION("""COMPUTED_VALUE"""),1.0)</f>
        <v>1</v>
      </c>
      <c r="S7757" s="4" t="str">
        <f>IFERROR(__xludf.DUMMYFUNCTION("""COMPUTED_VALUE"""),"N/A (Not found)")</f>
        <v>N/A (Not found)</v>
      </c>
      <c r="T7757" s="33">
        <f>IFERROR(__xludf.DUMMYFUNCTION("""COMPUTED_VALUE"""),1.0)</f>
        <v>1</v>
      </c>
      <c r="U7757" s="4" t="str">
        <f>IFERROR(__xludf.DUMMYFUNCTION("""COMPUTED_VALUE"""),"N/A (Not found)")</f>
        <v>N/A (Not found)</v>
      </c>
      <c r="V7757" s="33">
        <f>IFERROR(__xludf.DUMMYFUNCTION("""COMPUTED_VALUE"""),1.0)</f>
        <v>1</v>
      </c>
      <c r="W7757" s="4" t="str">
        <f>IFERROR(__xludf.DUMMYFUNCTION("""COMPUTED_VALUE"""),"N/A (Not found)")</f>
        <v>N/A (Not found)</v>
      </c>
      <c r="X7757" s="33">
        <f>IFERROR(__xludf.DUMMYFUNCTION("""COMPUTED_VALUE"""),1.0)</f>
        <v>1</v>
      </c>
    </row>
    <row r="7758">
      <c r="K7758" s="4" t="str">
        <f>IFERROR(__xludf.DUMMYFUNCTION("""COMPUTED_VALUE"""),"REDE KINZE O BARATAO - CONTA PAI")</f>
        <v>REDE KINZE O BARATAO - CONTA PAI</v>
      </c>
      <c r="L7758" s="32">
        <f>IFERROR(__xludf.DUMMYFUNCTION("""COMPUTED_VALUE"""),2.0)</f>
        <v>2</v>
      </c>
      <c r="M7758" s="4" t="str">
        <f>IFERROR(__xludf.DUMMYFUNCTION("""COMPUTED_VALUE"""),"N/A (Not found)")</f>
        <v>N/A (Not found)</v>
      </c>
      <c r="N7758" s="33">
        <f>IFERROR(__xludf.DUMMYFUNCTION("""COMPUTED_VALUE"""),1.0)</f>
        <v>1</v>
      </c>
      <c r="O7758" s="4" t="str">
        <f>IFERROR(__xludf.DUMMYFUNCTION("""COMPUTED_VALUE"""),"N/A (Not found)")</f>
        <v>N/A (Not found)</v>
      </c>
      <c r="P7758" s="33">
        <f>IFERROR(__xludf.DUMMYFUNCTION("""COMPUTED_VALUE"""),1.0)</f>
        <v>1</v>
      </c>
      <c r="Q7758" s="4" t="str">
        <f>IFERROR(__xludf.DUMMYFUNCTION("""COMPUTED_VALUE"""),"N/A (Not found)")</f>
        <v>N/A (Not found)</v>
      </c>
      <c r="R7758" s="33">
        <f>IFERROR(__xludf.DUMMYFUNCTION("""COMPUTED_VALUE"""),0.5)</f>
        <v>0.5</v>
      </c>
      <c r="S7758" s="4" t="str">
        <f>IFERROR(__xludf.DUMMYFUNCTION("""COMPUTED_VALUE"""),"N/A (Not found)")</f>
        <v>N/A (Not found)</v>
      </c>
      <c r="T7758" s="33">
        <f>IFERROR(__xludf.DUMMYFUNCTION("""COMPUTED_VALUE"""),0.5)</f>
        <v>0.5</v>
      </c>
      <c r="U7758" s="4" t="str">
        <f>IFERROR(__xludf.DUMMYFUNCTION("""COMPUTED_VALUE"""),"N/A (Not found)")</f>
        <v>N/A (Not found)</v>
      </c>
      <c r="V7758" s="33">
        <f>IFERROR(__xludf.DUMMYFUNCTION("""COMPUTED_VALUE"""),0.5)</f>
        <v>0.5</v>
      </c>
      <c r="W7758" s="4" t="str">
        <f>IFERROR(__xludf.DUMMYFUNCTION("""COMPUTED_VALUE"""),"N/A (Not found)")</f>
        <v>N/A (Not found)</v>
      </c>
      <c r="X7758" s="33">
        <f>IFERROR(__xludf.DUMMYFUNCTION("""COMPUTED_VALUE"""),0.5)</f>
        <v>0.5</v>
      </c>
    </row>
    <row r="7759">
      <c r="K7759" s="4" t="str">
        <f>IFERROR(__xludf.DUMMYFUNCTION("""COMPUTED_VALUE"""),"REDE POP PET CENTER - CONTA MARCA")</f>
        <v>REDE POP PET CENTER - CONTA MARCA</v>
      </c>
      <c r="L7759" s="32">
        <f>IFERROR(__xludf.DUMMYFUNCTION("""COMPUTED_VALUE"""),2.0)</f>
        <v>2</v>
      </c>
      <c r="M7759" s="4" t="str">
        <f>IFERROR(__xludf.DUMMYFUNCTION("""COMPUTED_VALUE"""),"N/A (Not found)")</f>
        <v>N/A (Not found)</v>
      </c>
      <c r="N7759" s="33">
        <f>IFERROR(__xludf.DUMMYFUNCTION("""COMPUTED_VALUE"""),1.0)</f>
        <v>1</v>
      </c>
      <c r="O7759" s="4" t="str">
        <f>IFERROR(__xludf.DUMMYFUNCTION("""COMPUTED_VALUE"""),"N/A (Not found)")</f>
        <v>N/A (Not found)</v>
      </c>
      <c r="P7759" s="33">
        <f>IFERROR(__xludf.DUMMYFUNCTION("""COMPUTED_VALUE"""),0.5)</f>
        <v>0.5</v>
      </c>
      <c r="Q7759" s="4" t="str">
        <f>IFERROR(__xludf.DUMMYFUNCTION("""COMPUTED_VALUE"""),"null")</f>
        <v>null</v>
      </c>
      <c r="R7759" s="33">
        <f>IFERROR(__xludf.DUMMYFUNCTION("""COMPUTED_VALUE"""),1.0)</f>
        <v>1</v>
      </c>
      <c r="S7759" s="4" t="str">
        <f>IFERROR(__xludf.DUMMYFUNCTION("""COMPUTED_VALUE"""),"null")</f>
        <v>null</v>
      </c>
      <c r="T7759" s="33">
        <f>IFERROR(__xludf.DUMMYFUNCTION("""COMPUTED_VALUE"""),1.0)</f>
        <v>1</v>
      </c>
      <c r="U7759" s="4" t="str">
        <f>IFERROR(__xludf.DUMMYFUNCTION("""COMPUTED_VALUE"""),"null")</f>
        <v>null</v>
      </c>
      <c r="V7759" s="33">
        <f>IFERROR(__xludf.DUMMYFUNCTION("""COMPUTED_VALUE"""),1.0)</f>
        <v>1</v>
      </c>
      <c r="W7759" s="4" t="str">
        <f>IFERROR(__xludf.DUMMYFUNCTION("""COMPUTED_VALUE"""),"null")</f>
        <v>null</v>
      </c>
      <c r="X7759" s="33">
        <f>IFERROR(__xludf.DUMMYFUNCTION("""COMPUTED_VALUE"""),1.0)</f>
        <v>1</v>
      </c>
    </row>
    <row r="7760">
      <c r="K7760" s="4" t="str">
        <f>IFERROR(__xludf.DUMMYFUNCTION("""COMPUTED_VALUE"""),"REDE SOMA DROGARIAS - SANTA CRUZ - CONTA MARCA")</f>
        <v>REDE SOMA DROGARIAS - SANTA CRUZ - CONTA MARCA</v>
      </c>
      <c r="L7760" s="32">
        <f>IFERROR(__xludf.DUMMYFUNCTION("""COMPUTED_VALUE"""),2.0)</f>
        <v>2</v>
      </c>
      <c r="M7760" s="4" t="str">
        <f>IFERROR(__xludf.DUMMYFUNCTION("""COMPUTED_VALUE"""),"N/A (Not found)")</f>
        <v>N/A (Not found)</v>
      </c>
      <c r="N7760" s="33">
        <f>IFERROR(__xludf.DUMMYFUNCTION("""COMPUTED_VALUE"""),1.0)</f>
        <v>1</v>
      </c>
      <c r="O7760" s="4" t="str">
        <f>IFERROR(__xludf.DUMMYFUNCTION("""COMPUTED_VALUE"""),"N/A (Not found)")</f>
        <v>N/A (Not found)</v>
      </c>
      <c r="P7760" s="33">
        <f>IFERROR(__xludf.DUMMYFUNCTION("""COMPUTED_VALUE"""),1.0)</f>
        <v>1</v>
      </c>
      <c r="Q7760" s="4" t="str">
        <f>IFERROR(__xludf.DUMMYFUNCTION("""COMPUTED_VALUE"""),"N/A (Not found)")</f>
        <v>N/A (Not found)</v>
      </c>
      <c r="R7760" s="33">
        <f>IFERROR(__xludf.DUMMYFUNCTION("""COMPUTED_VALUE"""),1.0)</f>
        <v>1</v>
      </c>
      <c r="S7760" s="4" t="str">
        <f>IFERROR(__xludf.DUMMYFUNCTION("""COMPUTED_VALUE"""),"N/A (Not found)")</f>
        <v>N/A (Not found)</v>
      </c>
      <c r="T7760" s="33">
        <f>IFERROR(__xludf.DUMMYFUNCTION("""COMPUTED_VALUE"""),1.0)</f>
        <v>1</v>
      </c>
      <c r="U7760" s="4" t="str">
        <f>IFERROR(__xludf.DUMMYFUNCTION("""COMPUTED_VALUE"""),"N/A (Not found)")</f>
        <v>N/A (Not found)</v>
      </c>
      <c r="V7760" s="33">
        <f>IFERROR(__xludf.DUMMYFUNCTION("""COMPUTED_VALUE"""),1.0)</f>
        <v>1</v>
      </c>
      <c r="W7760" s="4" t="str">
        <f>IFERROR(__xludf.DUMMYFUNCTION("""COMPUTED_VALUE"""),"N/A (Not found)")</f>
        <v>N/A (Not found)</v>
      </c>
      <c r="X7760" s="33">
        <f>IFERROR(__xludf.DUMMYFUNCTION("""COMPUTED_VALUE"""),1.0)</f>
        <v>1</v>
      </c>
    </row>
    <row r="7761">
      <c r="K7761" s="4" t="str">
        <f>IFERROR(__xludf.DUMMYFUNCTION("""COMPUTED_VALUE"""),"REDE VALOR - CONTA PAI")</f>
        <v>REDE VALOR - CONTA PAI</v>
      </c>
      <c r="L7761" s="32">
        <f>IFERROR(__xludf.DUMMYFUNCTION("""COMPUTED_VALUE"""),2.0)</f>
        <v>2</v>
      </c>
      <c r="M7761" s="4" t="str">
        <f>IFERROR(__xludf.DUMMYFUNCTION("""COMPUTED_VALUE"""),"N/A (Not found)")</f>
        <v>N/A (Not found)</v>
      </c>
      <c r="N7761" s="33">
        <f>IFERROR(__xludf.DUMMYFUNCTION("""COMPUTED_VALUE"""),1.0)</f>
        <v>1</v>
      </c>
      <c r="O7761" s="4" t="str">
        <f>IFERROR(__xludf.DUMMYFUNCTION("""COMPUTED_VALUE"""),"N/A (Not found)")</f>
        <v>N/A (Not found)</v>
      </c>
      <c r="P7761" s="33">
        <f>IFERROR(__xludf.DUMMYFUNCTION("""COMPUTED_VALUE"""),1.0)</f>
        <v>1</v>
      </c>
      <c r="Q7761" s="4" t="str">
        <f>IFERROR(__xludf.DUMMYFUNCTION("""COMPUTED_VALUE"""),"N/A (Not found)")</f>
        <v>N/A (Not found)</v>
      </c>
      <c r="R7761" s="33">
        <f>IFERROR(__xludf.DUMMYFUNCTION("""COMPUTED_VALUE"""),1.0)</f>
        <v>1</v>
      </c>
      <c r="S7761" s="4" t="str">
        <f>IFERROR(__xludf.DUMMYFUNCTION("""COMPUTED_VALUE"""),"N/A (Not found)")</f>
        <v>N/A (Not found)</v>
      </c>
      <c r="T7761" s="33">
        <f>IFERROR(__xludf.DUMMYFUNCTION("""COMPUTED_VALUE"""),1.0)</f>
        <v>1</v>
      </c>
      <c r="U7761" s="4" t="str">
        <f>IFERROR(__xludf.DUMMYFUNCTION("""COMPUTED_VALUE"""),"N/A (Not found)")</f>
        <v>N/A (Not found)</v>
      </c>
      <c r="V7761" s="33">
        <f>IFERROR(__xludf.DUMMYFUNCTION("""COMPUTED_VALUE"""),1.0)</f>
        <v>1</v>
      </c>
      <c r="W7761" s="4" t="str">
        <f>IFERROR(__xludf.DUMMYFUNCTION("""COMPUTED_VALUE"""),"N/A (Not found)")</f>
        <v>N/A (Not found)</v>
      </c>
      <c r="X7761" s="33">
        <f>IFERROR(__xludf.DUMMYFUNCTION("""COMPUTED_VALUE"""),1.0)</f>
        <v>1</v>
      </c>
    </row>
    <row r="7762">
      <c r="K7762" s="4" t="str">
        <f>IFERROR(__xludf.DUMMYFUNCTION("""COMPUTED_VALUE"""),"REFUGIO REFEICOES")</f>
        <v>REFUGIO REFEICOES</v>
      </c>
      <c r="L7762" s="32">
        <f>IFERROR(__xludf.DUMMYFUNCTION("""COMPUTED_VALUE"""),2.0)</f>
        <v>2</v>
      </c>
      <c r="M7762" s="4" t="str">
        <f>IFERROR(__xludf.DUMMYFUNCTION("""COMPUTED_VALUE"""),"Suitable Tecnologia E Gestao")</f>
        <v>Suitable Tecnologia E Gestao</v>
      </c>
      <c r="N7762" s="33">
        <f>IFERROR(__xludf.DUMMYFUNCTION("""COMPUTED_VALUE"""),1.0)</f>
        <v>1</v>
      </c>
      <c r="O7762" s="4" t="str">
        <f>IFERROR(__xludf.DUMMYFUNCTION("""COMPUTED_VALUE"""),"Suitable Tecnologia E Gestao")</f>
        <v>Suitable Tecnologia E Gestao</v>
      </c>
      <c r="P7762" s="33">
        <f>IFERROR(__xludf.DUMMYFUNCTION("""COMPUTED_VALUE"""),1.0)</f>
        <v>1</v>
      </c>
      <c r="Q7762" s="4" t="str">
        <f>IFERROR(__xludf.DUMMYFUNCTION("""COMPUTED_VALUE"""),"Suitable Tecnologia E Gestao")</f>
        <v>Suitable Tecnologia E Gestao</v>
      </c>
      <c r="R7762" s="33">
        <f>IFERROR(__xludf.DUMMYFUNCTION("""COMPUTED_VALUE"""),1.0)</f>
        <v>1</v>
      </c>
      <c r="S7762" s="4" t="str">
        <f>IFERROR(__xludf.DUMMYFUNCTION("""COMPUTED_VALUE"""),"Suitable Tecnologia E Gestao")</f>
        <v>Suitable Tecnologia E Gestao</v>
      </c>
      <c r="T7762" s="33">
        <f>IFERROR(__xludf.DUMMYFUNCTION("""COMPUTED_VALUE"""),1.0)</f>
        <v>1</v>
      </c>
      <c r="U7762" s="4" t="str">
        <f>IFERROR(__xludf.DUMMYFUNCTION("""COMPUTED_VALUE"""),"Suitable Tecnologia E Gestao")</f>
        <v>Suitable Tecnologia E Gestao</v>
      </c>
      <c r="V7762" s="33">
        <f>IFERROR(__xludf.DUMMYFUNCTION("""COMPUTED_VALUE"""),1.0)</f>
        <v>1</v>
      </c>
      <c r="W7762" s="4" t="str">
        <f>IFERROR(__xludf.DUMMYFUNCTION("""COMPUTED_VALUE"""),"Suitable Tecnologia E Gestao")</f>
        <v>Suitable Tecnologia E Gestao</v>
      </c>
      <c r="X7762" s="33">
        <f>IFERROR(__xludf.DUMMYFUNCTION("""COMPUTED_VALUE"""),1.0)</f>
        <v>1</v>
      </c>
    </row>
    <row r="7763">
      <c r="K7763" s="4" t="str">
        <f>IFERROR(__xludf.DUMMYFUNCTION("""COMPUTED_VALUE"""),"REGIONAL BURGER")</f>
        <v>REGIONAL BURGER</v>
      </c>
      <c r="L7763" s="32">
        <f>IFERROR(__xludf.DUMMYFUNCTION("""COMPUTED_VALUE"""),2.0)</f>
        <v>2</v>
      </c>
      <c r="M7763" s="4" t="str">
        <f>IFERROR(__xludf.DUMMYFUNCTION("""COMPUTED_VALUE"""),"Saipos Serviços De Software")</f>
        <v>Saipos Serviços De Software</v>
      </c>
      <c r="N7763" s="33">
        <f>IFERROR(__xludf.DUMMYFUNCTION("""COMPUTED_VALUE"""),0.5)</f>
        <v>0.5</v>
      </c>
      <c r="O7763" s="4" t="str">
        <f>IFERROR(__xludf.DUMMYFUNCTION("""COMPUTED_VALUE"""),"Saipos Serviços De Software")</f>
        <v>Saipos Serviços De Software</v>
      </c>
      <c r="P7763" s="33">
        <f>IFERROR(__xludf.DUMMYFUNCTION("""COMPUTED_VALUE"""),0.5)</f>
        <v>0.5</v>
      </c>
      <c r="Q7763" s="4" t="str">
        <f>IFERROR(__xludf.DUMMYFUNCTION("""COMPUTED_VALUE"""),"Saipos Serviços De Software")</f>
        <v>Saipos Serviços De Software</v>
      </c>
      <c r="R7763" s="33">
        <f>IFERROR(__xludf.DUMMYFUNCTION("""COMPUTED_VALUE"""),1.0)</f>
        <v>1</v>
      </c>
      <c r="S7763" s="4" t="str">
        <f>IFERROR(__xludf.DUMMYFUNCTION("""COMPUTED_VALUE"""),"null")</f>
        <v>null</v>
      </c>
      <c r="T7763" s="33">
        <f>IFERROR(__xludf.DUMMYFUNCTION("""COMPUTED_VALUE"""),1.0)</f>
        <v>1</v>
      </c>
      <c r="U7763" s="4" t="str">
        <f>IFERROR(__xludf.DUMMYFUNCTION("""COMPUTED_VALUE"""),"null")</f>
        <v>null</v>
      </c>
      <c r="V7763" s="33">
        <f>IFERROR(__xludf.DUMMYFUNCTION("""COMPUTED_VALUE"""),1.0)</f>
        <v>1</v>
      </c>
      <c r="W7763" s="4" t="str">
        <f>IFERROR(__xludf.DUMMYFUNCTION("""COMPUTED_VALUE"""),"null")</f>
        <v>null</v>
      </c>
      <c r="X7763" s="33">
        <f>IFERROR(__xludf.DUMMYFUNCTION("""COMPUTED_VALUE"""),1.0)</f>
        <v>1</v>
      </c>
    </row>
    <row r="7764">
      <c r="K7764" s="4" t="str">
        <f>IFERROR(__xludf.DUMMYFUNCTION("""COMPUTED_VALUE"""),"REI DA PICANHA - RIBEIRAO PRETO")</f>
        <v>REI DA PICANHA - RIBEIRAO PRETO</v>
      </c>
      <c r="L7764" s="32">
        <f>IFERROR(__xludf.DUMMYFUNCTION("""COMPUTED_VALUE"""),2.0)</f>
        <v>2</v>
      </c>
      <c r="M7764" s="4" t="str">
        <f>IFERROR(__xludf.DUMMYFUNCTION("""COMPUTED_VALUE"""),"null")</f>
        <v>null</v>
      </c>
      <c r="N7764" s="33">
        <f>IFERROR(__xludf.DUMMYFUNCTION("""COMPUTED_VALUE"""),1.0)</f>
        <v>1</v>
      </c>
      <c r="O7764" s="4" t="str">
        <f>IFERROR(__xludf.DUMMYFUNCTION("""COMPUTED_VALUE"""),"null")</f>
        <v>null</v>
      </c>
      <c r="P7764" s="33">
        <f>IFERROR(__xludf.DUMMYFUNCTION("""COMPUTED_VALUE"""),1.0)</f>
        <v>1</v>
      </c>
      <c r="Q7764" s="4" t="str">
        <f>IFERROR(__xludf.DUMMYFUNCTION("""COMPUTED_VALUE"""),"null")</f>
        <v>null</v>
      </c>
      <c r="R7764" s="33">
        <f>IFERROR(__xludf.DUMMYFUNCTION("""COMPUTED_VALUE"""),0.5)</f>
        <v>0.5</v>
      </c>
      <c r="S7764" s="4" t="str">
        <f>IFERROR(__xludf.DUMMYFUNCTION("""COMPUTED_VALUE"""),"null")</f>
        <v>null</v>
      </c>
      <c r="T7764" s="33">
        <f>IFERROR(__xludf.DUMMYFUNCTION("""COMPUTED_VALUE"""),0.5)</f>
        <v>0.5</v>
      </c>
      <c r="U7764" s="4" t="str">
        <f>IFERROR(__xludf.DUMMYFUNCTION("""COMPUTED_VALUE"""),"null")</f>
        <v>null</v>
      </c>
      <c r="V7764" s="33">
        <f>IFERROR(__xludf.DUMMYFUNCTION("""COMPUTED_VALUE"""),0.5)</f>
        <v>0.5</v>
      </c>
      <c r="W7764" s="4" t="str">
        <f>IFERROR(__xludf.DUMMYFUNCTION("""COMPUTED_VALUE"""),"Takeat Tecnologia")</f>
        <v>Takeat Tecnologia</v>
      </c>
      <c r="X7764" s="33">
        <f>IFERROR(__xludf.DUMMYFUNCTION("""COMPUTED_VALUE"""),1.0)</f>
        <v>1</v>
      </c>
    </row>
    <row r="7765">
      <c r="K7765" s="4" t="str">
        <f>IFERROR(__xludf.DUMMYFUNCTION("""COMPUTED_VALUE"""),"REI DAS MARMITAS - QUITAUNA M")</f>
        <v>REI DAS MARMITAS - QUITAUNA M</v>
      </c>
      <c r="L7765" s="32">
        <f>IFERROR(__xludf.DUMMYFUNCTION("""COMPUTED_VALUE"""),2.0)</f>
        <v>2</v>
      </c>
      <c r="M7765" s="4" t="str">
        <f>IFERROR(__xludf.DUMMYFUNCTION("""COMPUTED_VALUE"""),"Parseint Desenvolvimento De Sistemas Ltda")</f>
        <v>Parseint Desenvolvimento De Sistemas Ltda</v>
      </c>
      <c r="N7765" s="33">
        <f>IFERROR(__xludf.DUMMYFUNCTION("""COMPUTED_VALUE"""),0.5)</f>
        <v>0.5</v>
      </c>
      <c r="O7765" s="4" t="str">
        <f>IFERROR(__xludf.DUMMYFUNCTION("""COMPUTED_VALUE"""),"Parseint Desenvolvimento De Sistemas Ltda")</f>
        <v>Parseint Desenvolvimento De Sistemas Ltda</v>
      </c>
      <c r="P7765" s="33">
        <f>IFERROR(__xludf.DUMMYFUNCTION("""COMPUTED_VALUE"""),0.5)</f>
        <v>0.5</v>
      </c>
      <c r="Q7765" s="4" t="str">
        <f>IFERROR(__xludf.DUMMYFUNCTION("""COMPUTED_VALUE"""),"Parseint Desenvolvimento De Sistemas Ltda")</f>
        <v>Parseint Desenvolvimento De Sistemas Ltda</v>
      </c>
      <c r="R7765" s="33">
        <f>IFERROR(__xludf.DUMMYFUNCTION("""COMPUTED_VALUE"""),0.5)</f>
        <v>0.5</v>
      </c>
      <c r="S7765" s="4" t="str">
        <f>IFERROR(__xludf.DUMMYFUNCTION("""COMPUTED_VALUE"""),"Parseint Desenvolvimento De Sistemas Ltda")</f>
        <v>Parseint Desenvolvimento De Sistemas Ltda</v>
      </c>
      <c r="T7765" s="33">
        <f>IFERROR(__xludf.DUMMYFUNCTION("""COMPUTED_VALUE"""),1.0)</f>
        <v>1</v>
      </c>
      <c r="U7765" s="4" t="str">
        <f>IFERROR(__xludf.DUMMYFUNCTION("""COMPUTED_VALUE"""),"Parseint Desenvolvimento De Sistemas Ltda")</f>
        <v>Parseint Desenvolvimento De Sistemas Ltda</v>
      </c>
      <c r="V7765" s="33">
        <f>IFERROR(__xludf.DUMMYFUNCTION("""COMPUTED_VALUE"""),0.5)</f>
        <v>0.5</v>
      </c>
      <c r="W7765" s="4" t="str">
        <f>IFERROR(__xludf.DUMMYFUNCTION("""COMPUTED_VALUE"""),"Parseint Desenvolvimento De Sistemas Ltda")</f>
        <v>Parseint Desenvolvimento De Sistemas Ltda</v>
      </c>
      <c r="X7765" s="33">
        <f>IFERROR(__xludf.DUMMYFUNCTION("""COMPUTED_VALUE"""),0.5)</f>
        <v>0.5</v>
      </c>
    </row>
    <row r="7766">
      <c r="K7766" s="4" t="str">
        <f>IFERROR(__xludf.DUMMYFUNCTION("""COMPUTED_VALUE"""),"REI DO CHURRASCO - MANAUS")</f>
        <v>REI DO CHURRASCO - MANAUS</v>
      </c>
      <c r="L7766" s="32">
        <f>IFERROR(__xludf.DUMMYFUNCTION("""COMPUTED_VALUE"""),2.0)</f>
        <v>2</v>
      </c>
      <c r="M7766" s="4" t="str">
        <f>IFERROR(__xludf.DUMMYFUNCTION("""COMPUTED_VALUE"""),"Vekttor")</f>
        <v>Vekttor</v>
      </c>
      <c r="N7766" s="33">
        <f>IFERROR(__xludf.DUMMYFUNCTION("""COMPUTED_VALUE"""),1.0)</f>
        <v>1</v>
      </c>
      <c r="O7766" s="4" t="str">
        <f>IFERROR(__xludf.DUMMYFUNCTION("""COMPUTED_VALUE"""),"Vekttor")</f>
        <v>Vekttor</v>
      </c>
      <c r="P7766" s="33">
        <f>IFERROR(__xludf.DUMMYFUNCTION("""COMPUTED_VALUE"""),1.0)</f>
        <v>1</v>
      </c>
      <c r="Q7766" s="4" t="str">
        <f>IFERROR(__xludf.DUMMYFUNCTION("""COMPUTED_VALUE"""),"Vekttor")</f>
        <v>Vekttor</v>
      </c>
      <c r="R7766" s="33">
        <f>IFERROR(__xludf.DUMMYFUNCTION("""COMPUTED_VALUE"""),1.0)</f>
        <v>1</v>
      </c>
      <c r="S7766" s="4" t="str">
        <f>IFERROR(__xludf.DUMMYFUNCTION("""COMPUTED_VALUE"""),"Vekttor")</f>
        <v>Vekttor</v>
      </c>
      <c r="T7766" s="33">
        <f>IFERROR(__xludf.DUMMYFUNCTION("""COMPUTED_VALUE"""),1.0)</f>
        <v>1</v>
      </c>
      <c r="U7766" s="4" t="str">
        <f>IFERROR(__xludf.DUMMYFUNCTION("""COMPUTED_VALUE"""),"Vekttor")</f>
        <v>Vekttor</v>
      </c>
      <c r="V7766" s="33">
        <f>IFERROR(__xludf.DUMMYFUNCTION("""COMPUTED_VALUE"""),1.0)</f>
        <v>1</v>
      </c>
      <c r="W7766" s="4" t="str">
        <f>IFERROR(__xludf.DUMMYFUNCTION("""COMPUTED_VALUE"""),"Vekttor")</f>
        <v>Vekttor</v>
      </c>
      <c r="X7766" s="33">
        <f>IFERROR(__xludf.DUMMYFUNCTION("""COMPUTED_VALUE"""),1.0)</f>
        <v>1</v>
      </c>
    </row>
    <row r="7767">
      <c r="K7767" s="4" t="str">
        <f>IFERROR(__xludf.DUMMYFUNCTION("""COMPUTED_VALUE"""),"REI DO FILET - MARCA")</f>
        <v>REI DO FILET - MARCA</v>
      </c>
      <c r="L7767" s="32">
        <f>IFERROR(__xludf.DUMMYFUNCTION("""COMPUTED_VALUE"""),2.0)</f>
        <v>2</v>
      </c>
      <c r="M7767" s="4" t="str">
        <f>IFERROR(__xludf.DUMMYFUNCTION("""COMPUTED_VALUE"""),"Ncr")</f>
        <v>Ncr</v>
      </c>
      <c r="N7767" s="33">
        <f>IFERROR(__xludf.DUMMYFUNCTION("""COMPUTED_VALUE"""),1.0)</f>
        <v>1</v>
      </c>
      <c r="O7767" s="4" t="str">
        <f>IFERROR(__xludf.DUMMYFUNCTION("""COMPUTED_VALUE"""),"Ncr")</f>
        <v>Ncr</v>
      </c>
      <c r="P7767" s="33">
        <f>IFERROR(__xludf.DUMMYFUNCTION("""COMPUTED_VALUE"""),1.0)</f>
        <v>1</v>
      </c>
      <c r="Q7767" s="4" t="str">
        <f>IFERROR(__xludf.DUMMYFUNCTION("""COMPUTED_VALUE"""),"Ncr")</f>
        <v>Ncr</v>
      </c>
      <c r="R7767" s="33">
        <f>IFERROR(__xludf.DUMMYFUNCTION("""COMPUTED_VALUE"""),1.0)</f>
        <v>1</v>
      </c>
      <c r="S7767" s="4" t="str">
        <f>IFERROR(__xludf.DUMMYFUNCTION("""COMPUTED_VALUE"""),"Ncr")</f>
        <v>Ncr</v>
      </c>
      <c r="T7767" s="33">
        <f>IFERROR(__xludf.DUMMYFUNCTION("""COMPUTED_VALUE"""),1.0)</f>
        <v>1</v>
      </c>
      <c r="U7767" s="4" t="str">
        <f>IFERROR(__xludf.DUMMYFUNCTION("""COMPUTED_VALUE"""),"Ncr")</f>
        <v>Ncr</v>
      </c>
      <c r="V7767" s="33">
        <f>IFERROR(__xludf.DUMMYFUNCTION("""COMPUTED_VALUE"""),1.0)</f>
        <v>1</v>
      </c>
      <c r="W7767" s="4" t="str">
        <f>IFERROR(__xludf.DUMMYFUNCTION("""COMPUTED_VALUE"""),"Ncr")</f>
        <v>Ncr</v>
      </c>
      <c r="X7767" s="33">
        <f>IFERROR(__xludf.DUMMYFUNCTION("""COMPUTED_VALUE"""),1.0)</f>
        <v>1</v>
      </c>
    </row>
    <row r="7768">
      <c r="K7768" s="4" t="str">
        <f>IFERROR(__xludf.DUMMYFUNCTION("""COMPUTED_VALUE"""),"REI DO GALETO RESTAURANTE")</f>
        <v>REI DO GALETO RESTAURANTE</v>
      </c>
      <c r="L7768" s="32">
        <f>IFERROR(__xludf.DUMMYFUNCTION("""COMPUTED_VALUE"""),2.0)</f>
        <v>2</v>
      </c>
      <c r="M7768" s="4" t="str">
        <f>IFERROR(__xludf.DUMMYFUNCTION("""COMPUTED_VALUE"""),"Parseint Desenvolvimento De Sistemas Ltda")</f>
        <v>Parseint Desenvolvimento De Sistemas Ltda</v>
      </c>
      <c r="N7768" s="33">
        <f>IFERROR(__xludf.DUMMYFUNCTION("""COMPUTED_VALUE"""),1.0)</f>
        <v>1</v>
      </c>
      <c r="O7768" s="4" t="str">
        <f>IFERROR(__xludf.DUMMYFUNCTION("""COMPUTED_VALUE"""),"Parseint Desenvolvimento De Sistemas Ltda")</f>
        <v>Parseint Desenvolvimento De Sistemas Ltda</v>
      </c>
      <c r="P7768" s="33">
        <f>IFERROR(__xludf.DUMMYFUNCTION("""COMPUTED_VALUE"""),1.0)</f>
        <v>1</v>
      </c>
      <c r="Q7768" s="4" t="str">
        <f>IFERROR(__xludf.DUMMYFUNCTION("""COMPUTED_VALUE"""),"Parseint Desenvolvimento De Sistemas Ltda")</f>
        <v>Parseint Desenvolvimento De Sistemas Ltda</v>
      </c>
      <c r="R7768" s="33">
        <f>IFERROR(__xludf.DUMMYFUNCTION("""COMPUTED_VALUE"""),1.0)</f>
        <v>1</v>
      </c>
      <c r="S7768" s="4" t="str">
        <f>IFERROR(__xludf.DUMMYFUNCTION("""COMPUTED_VALUE"""),"Parseint Desenvolvimento De Sistemas Ltda")</f>
        <v>Parseint Desenvolvimento De Sistemas Ltda</v>
      </c>
      <c r="T7768" s="33">
        <f>IFERROR(__xludf.DUMMYFUNCTION("""COMPUTED_VALUE"""),1.0)</f>
        <v>1</v>
      </c>
      <c r="U7768" s="4" t="str">
        <f>IFERROR(__xludf.DUMMYFUNCTION("""COMPUTED_VALUE"""),"Parseint Desenvolvimento De Sistemas Ltda")</f>
        <v>Parseint Desenvolvimento De Sistemas Ltda</v>
      </c>
      <c r="V7768" s="33">
        <f>IFERROR(__xludf.DUMMYFUNCTION("""COMPUTED_VALUE"""),1.0)</f>
        <v>1</v>
      </c>
      <c r="W7768" s="4" t="str">
        <f>IFERROR(__xludf.DUMMYFUNCTION("""COMPUTED_VALUE"""),"Parseint Desenvolvimento De Sistemas Ltda")</f>
        <v>Parseint Desenvolvimento De Sistemas Ltda</v>
      </c>
      <c r="X7768" s="33">
        <f>IFERROR(__xludf.DUMMYFUNCTION("""COMPUTED_VALUE"""),1.0)</f>
        <v>1</v>
      </c>
    </row>
    <row r="7769">
      <c r="K7769" s="4" t="str">
        <f>IFERROR(__xludf.DUMMYFUNCTION("""COMPUTED_VALUE"""),"REI DO PASTEL PREMIUM")</f>
        <v>REI DO PASTEL PREMIUM</v>
      </c>
      <c r="L7769" s="32">
        <f>IFERROR(__xludf.DUMMYFUNCTION("""COMPUTED_VALUE"""),2.0)</f>
        <v>2</v>
      </c>
      <c r="M7769" s="4" t="str">
        <f>IFERROR(__xludf.DUMMYFUNCTION("""COMPUTED_VALUE"""),"Bitbar")</f>
        <v>Bitbar</v>
      </c>
      <c r="N7769" s="33">
        <f>IFERROR(__xludf.DUMMYFUNCTION("""COMPUTED_VALUE"""),1.0)</f>
        <v>1</v>
      </c>
      <c r="O7769" s="4" t="str">
        <f>IFERROR(__xludf.DUMMYFUNCTION("""COMPUTED_VALUE"""),"Bitbar")</f>
        <v>Bitbar</v>
      </c>
      <c r="P7769" s="33">
        <f>IFERROR(__xludf.DUMMYFUNCTION("""COMPUTED_VALUE"""),1.0)</f>
        <v>1</v>
      </c>
      <c r="Q7769" s="4" t="str">
        <f>IFERROR(__xludf.DUMMYFUNCTION("""COMPUTED_VALUE"""),"Bitbar")</f>
        <v>Bitbar</v>
      </c>
      <c r="R7769" s="33">
        <f>IFERROR(__xludf.DUMMYFUNCTION("""COMPUTED_VALUE"""),1.0)</f>
        <v>1</v>
      </c>
      <c r="S7769" s="4" t="str">
        <f>IFERROR(__xludf.DUMMYFUNCTION("""COMPUTED_VALUE"""),"Bitbar")</f>
        <v>Bitbar</v>
      </c>
      <c r="T7769" s="33">
        <f>IFERROR(__xludf.DUMMYFUNCTION("""COMPUTED_VALUE"""),0.5)</f>
        <v>0.5</v>
      </c>
      <c r="U7769" s="4" t="str">
        <f>IFERROR(__xludf.DUMMYFUNCTION("""COMPUTED_VALUE"""),"Bitbar")</f>
        <v>Bitbar</v>
      </c>
      <c r="V7769" s="33">
        <f>IFERROR(__xludf.DUMMYFUNCTION("""COMPUTED_VALUE"""),0.5)</f>
        <v>0.5</v>
      </c>
      <c r="W7769" s="4" t="str">
        <f>IFERROR(__xludf.DUMMYFUNCTION("""COMPUTED_VALUE"""),"Bitbar")</f>
        <v>Bitbar</v>
      </c>
      <c r="X7769" s="33">
        <f>IFERROR(__xludf.DUMMYFUNCTION("""COMPUTED_VALUE"""),0.5)</f>
        <v>0.5</v>
      </c>
    </row>
    <row r="7770">
      <c r="K7770" s="4" t="str">
        <f>IFERROR(__xludf.DUMMYFUNCTION("""COMPUTED_VALUE"""),"REI DO SUSHI - CONTA MARCA")</f>
        <v>REI DO SUSHI - CONTA MARCA</v>
      </c>
      <c r="L7770" s="32">
        <f>IFERROR(__xludf.DUMMYFUNCTION("""COMPUTED_VALUE"""),2.0)</f>
        <v>2</v>
      </c>
      <c r="M7770" s="4" t="str">
        <f>IFERROR(__xludf.DUMMYFUNCTION("""COMPUTED_VALUE"""),"null")</f>
        <v>null</v>
      </c>
      <c r="N7770" s="33">
        <f>IFERROR(__xludf.DUMMYFUNCTION("""COMPUTED_VALUE"""),0.5)</f>
        <v>0.5</v>
      </c>
      <c r="O7770" s="4" t="str">
        <f>IFERROR(__xludf.DUMMYFUNCTION("""COMPUTED_VALUE"""),"Proabakus Desenvolvimento De Sistemas Ltda")</f>
        <v>Proabakus Desenvolvimento De Sistemas Ltda</v>
      </c>
      <c r="P7770" s="33">
        <f>IFERROR(__xludf.DUMMYFUNCTION("""COMPUTED_VALUE"""),1.0)</f>
        <v>1</v>
      </c>
      <c r="Q7770" s="4" t="str">
        <f>IFERROR(__xludf.DUMMYFUNCTION("""COMPUTED_VALUE"""),"null")</f>
        <v>null</v>
      </c>
      <c r="R7770" s="33">
        <f>IFERROR(__xludf.DUMMYFUNCTION("""COMPUTED_VALUE"""),1.0)</f>
        <v>1</v>
      </c>
      <c r="S7770" s="4" t="str">
        <f>IFERROR(__xludf.DUMMYFUNCTION("""COMPUTED_VALUE"""),"null")</f>
        <v>null</v>
      </c>
      <c r="T7770" s="33">
        <f>IFERROR(__xludf.DUMMYFUNCTION("""COMPUTED_VALUE"""),1.0)</f>
        <v>1</v>
      </c>
      <c r="U7770" s="4" t="str">
        <f>IFERROR(__xludf.DUMMYFUNCTION("""COMPUTED_VALUE"""),"null")</f>
        <v>null</v>
      </c>
      <c r="V7770" s="33">
        <f>IFERROR(__xludf.DUMMYFUNCTION("""COMPUTED_VALUE"""),1.0)</f>
        <v>1</v>
      </c>
      <c r="W7770" s="4" t="str">
        <f>IFERROR(__xludf.DUMMYFUNCTION("""COMPUTED_VALUE"""),"null")</f>
        <v>null</v>
      </c>
      <c r="X7770" s="33">
        <f>IFERROR(__xludf.DUMMYFUNCTION("""COMPUTED_VALUE"""),1.0)</f>
        <v>1</v>
      </c>
    </row>
    <row r="7771">
      <c r="K7771" s="4" t="str">
        <f>IFERROR(__xludf.DUMMYFUNCTION("""COMPUTED_VALUE"""),"REINO PIZZA - CONTA MARCA")</f>
        <v>REINO PIZZA - CONTA MARCA</v>
      </c>
      <c r="L7771" s="32">
        <f>IFERROR(__xludf.DUMMYFUNCTION("""COMPUTED_VALUE"""),2.0)</f>
        <v>2</v>
      </c>
      <c r="M7771" s="4" t="str">
        <f>IFERROR(__xludf.DUMMYFUNCTION("""COMPUTED_VALUE"""),"Bitbar")</f>
        <v>Bitbar</v>
      </c>
      <c r="N7771" s="33">
        <f>IFERROR(__xludf.DUMMYFUNCTION("""COMPUTED_VALUE"""),1.0)</f>
        <v>1</v>
      </c>
      <c r="O7771" s="4" t="str">
        <f>IFERROR(__xludf.DUMMYFUNCTION("""COMPUTED_VALUE"""),"Bitbar")</f>
        <v>Bitbar</v>
      </c>
      <c r="P7771" s="33">
        <f>IFERROR(__xludf.DUMMYFUNCTION("""COMPUTED_VALUE"""),1.0)</f>
        <v>1</v>
      </c>
      <c r="Q7771" s="4" t="str">
        <f>IFERROR(__xludf.DUMMYFUNCTION("""COMPUTED_VALUE"""),"Bitbar")</f>
        <v>Bitbar</v>
      </c>
      <c r="R7771" s="33">
        <f>IFERROR(__xludf.DUMMYFUNCTION("""COMPUTED_VALUE"""),1.0)</f>
        <v>1</v>
      </c>
      <c r="S7771" s="4" t="str">
        <f>IFERROR(__xludf.DUMMYFUNCTION("""COMPUTED_VALUE"""),"Bitbar")</f>
        <v>Bitbar</v>
      </c>
      <c r="T7771" s="33">
        <f>IFERROR(__xludf.DUMMYFUNCTION("""COMPUTED_VALUE"""),1.0)</f>
        <v>1</v>
      </c>
      <c r="U7771" s="4" t="str">
        <f>IFERROR(__xludf.DUMMYFUNCTION("""COMPUTED_VALUE"""),"Bitbar")</f>
        <v>Bitbar</v>
      </c>
      <c r="V7771" s="33">
        <f>IFERROR(__xludf.DUMMYFUNCTION("""COMPUTED_VALUE"""),1.0)</f>
        <v>1</v>
      </c>
      <c r="W7771" s="4" t="str">
        <f>IFERROR(__xludf.DUMMYFUNCTION("""COMPUTED_VALUE"""),"Bitbar")</f>
        <v>Bitbar</v>
      </c>
      <c r="X7771" s="33">
        <f>IFERROR(__xludf.DUMMYFUNCTION("""COMPUTED_VALUE"""),1.0)</f>
        <v>1</v>
      </c>
    </row>
    <row r="7772">
      <c r="K7772" s="4" t="str">
        <f>IFERROR(__xludf.DUMMYFUNCTION("""COMPUTED_VALUE"""),"REPUBLICA FOOD")</f>
        <v>REPUBLICA FOOD</v>
      </c>
      <c r="L7772" s="32">
        <f>IFERROR(__xludf.DUMMYFUNCTION("""COMPUTED_VALUE"""),2.0)</f>
        <v>2</v>
      </c>
      <c r="M7772" s="4" t="str">
        <f>IFERROR(__xludf.DUMMYFUNCTION("""COMPUTED_VALUE"""),"Consumer Soluções Em Tecnologia Ltda")</f>
        <v>Consumer Soluções Em Tecnologia Ltda</v>
      </c>
      <c r="N7772" s="33">
        <f>IFERROR(__xludf.DUMMYFUNCTION("""COMPUTED_VALUE"""),1.0)</f>
        <v>1</v>
      </c>
      <c r="O7772" s="4" t="str">
        <f>IFERROR(__xludf.DUMMYFUNCTION("""COMPUTED_VALUE"""),"Consumer Soluções Em Tecnologia Ltda")</f>
        <v>Consumer Soluções Em Tecnologia Ltda</v>
      </c>
      <c r="P7772" s="33">
        <f>IFERROR(__xludf.DUMMYFUNCTION("""COMPUTED_VALUE"""),1.0)</f>
        <v>1</v>
      </c>
      <c r="Q7772" s="4" t="str">
        <f>IFERROR(__xludf.DUMMYFUNCTION("""COMPUTED_VALUE"""),"Consumer Soluções Em Tecnologia Ltda")</f>
        <v>Consumer Soluções Em Tecnologia Ltda</v>
      </c>
      <c r="R7772" s="33">
        <f>IFERROR(__xludf.DUMMYFUNCTION("""COMPUTED_VALUE"""),1.0)</f>
        <v>1</v>
      </c>
      <c r="S7772" s="4" t="str">
        <f>IFERROR(__xludf.DUMMYFUNCTION("""COMPUTED_VALUE"""),"Consumer Soluções Em Tecnologia Ltda")</f>
        <v>Consumer Soluções Em Tecnologia Ltda</v>
      </c>
      <c r="T7772" s="33">
        <f>IFERROR(__xludf.DUMMYFUNCTION("""COMPUTED_VALUE"""),1.0)</f>
        <v>1</v>
      </c>
      <c r="U7772" s="4" t="str">
        <f>IFERROR(__xludf.DUMMYFUNCTION("""COMPUTED_VALUE"""),"Consumer Soluções Em Tecnologia Ltda")</f>
        <v>Consumer Soluções Em Tecnologia Ltda</v>
      </c>
      <c r="V7772" s="33">
        <f>IFERROR(__xludf.DUMMYFUNCTION("""COMPUTED_VALUE"""),1.0)</f>
        <v>1</v>
      </c>
      <c r="W7772" s="4" t="str">
        <f>IFERROR(__xludf.DUMMYFUNCTION("""COMPUTED_VALUE"""),"null")</f>
        <v>null</v>
      </c>
      <c r="X7772" s="33">
        <f>IFERROR(__xludf.DUMMYFUNCTION("""COMPUTED_VALUE"""),0.5)</f>
        <v>0.5</v>
      </c>
    </row>
    <row r="7773">
      <c r="K7773" s="4" t="str">
        <f>IFERROR(__xludf.DUMMYFUNCTION("""COMPUTED_VALUE"""),"REST BOM GOSTO - CONTA PAI")</f>
        <v>REST BOM GOSTO - CONTA PAI</v>
      </c>
      <c r="L7773" s="32">
        <f>IFERROR(__xludf.DUMMYFUNCTION("""COMPUTED_VALUE"""),2.0)</f>
        <v>2</v>
      </c>
      <c r="M7773" s="4" t="str">
        <f>IFERROR(__xludf.DUMMYFUNCTION("""COMPUTED_VALUE"""),"Saipos Serviços De Software")</f>
        <v>Saipos Serviços De Software</v>
      </c>
      <c r="N7773" s="33">
        <f>IFERROR(__xludf.DUMMYFUNCTION("""COMPUTED_VALUE"""),0.5)</f>
        <v>0.5</v>
      </c>
      <c r="O7773" s="4" t="str">
        <f>IFERROR(__xludf.DUMMYFUNCTION("""COMPUTED_VALUE"""),"Saipos Serviços De Software")</f>
        <v>Saipos Serviços De Software</v>
      </c>
      <c r="P7773" s="33">
        <f>IFERROR(__xludf.DUMMYFUNCTION("""COMPUTED_VALUE"""),1.0)</f>
        <v>1</v>
      </c>
      <c r="Q7773" s="4" t="str">
        <f>IFERROR(__xludf.DUMMYFUNCTION("""COMPUTED_VALUE"""),"Saipos Serviços De Software")</f>
        <v>Saipos Serviços De Software</v>
      </c>
      <c r="R7773" s="33">
        <f>IFERROR(__xludf.DUMMYFUNCTION("""COMPUTED_VALUE"""),1.0)</f>
        <v>1</v>
      </c>
      <c r="S7773" s="4" t="str">
        <f>IFERROR(__xludf.DUMMYFUNCTION("""COMPUTED_VALUE"""),"Saipos Serviços De Software")</f>
        <v>Saipos Serviços De Software</v>
      </c>
      <c r="T7773" s="33">
        <f>IFERROR(__xludf.DUMMYFUNCTION("""COMPUTED_VALUE"""),1.0)</f>
        <v>1</v>
      </c>
      <c r="U7773" s="4" t="str">
        <f>IFERROR(__xludf.DUMMYFUNCTION("""COMPUTED_VALUE"""),"Saipos Serviços De Software")</f>
        <v>Saipos Serviços De Software</v>
      </c>
      <c r="V7773" s="33">
        <f>IFERROR(__xludf.DUMMYFUNCTION("""COMPUTED_VALUE"""),1.0)</f>
        <v>1</v>
      </c>
      <c r="W7773" s="4" t="str">
        <f>IFERROR(__xludf.DUMMYFUNCTION("""COMPUTED_VALUE"""),"Saipos Serviços De Software")</f>
        <v>Saipos Serviços De Software</v>
      </c>
      <c r="X7773" s="33">
        <f>IFERROR(__xludf.DUMMYFUNCTION("""COMPUTED_VALUE"""),1.0)</f>
        <v>1</v>
      </c>
    </row>
    <row r="7774">
      <c r="K7774" s="4" t="str">
        <f>IFERROR(__xludf.DUMMYFUNCTION("""COMPUTED_VALUE"""),"RESTAURANTE AIZOME")</f>
        <v>RESTAURANTE AIZOME</v>
      </c>
      <c r="L7774" s="32">
        <f>IFERROR(__xludf.DUMMYFUNCTION("""COMPUTED_VALUE"""),2.0)</f>
        <v>2</v>
      </c>
      <c r="M7774" s="4" t="str">
        <f>IFERROR(__xludf.DUMMYFUNCTION("""COMPUTED_VALUE"""),"Altec Sistemas")</f>
        <v>Altec Sistemas</v>
      </c>
      <c r="N7774" s="33">
        <f>IFERROR(__xludf.DUMMYFUNCTION("""COMPUTED_VALUE"""),1.0)</f>
        <v>1</v>
      </c>
      <c r="O7774" s="4" t="str">
        <f>IFERROR(__xludf.DUMMYFUNCTION("""COMPUTED_VALUE"""),"Altec Sistemas")</f>
        <v>Altec Sistemas</v>
      </c>
      <c r="P7774" s="33">
        <f>IFERROR(__xludf.DUMMYFUNCTION("""COMPUTED_VALUE"""),1.0)</f>
        <v>1</v>
      </c>
      <c r="Q7774" s="4" t="str">
        <f>IFERROR(__xludf.DUMMYFUNCTION("""COMPUTED_VALUE"""),"Altec Sistemas")</f>
        <v>Altec Sistemas</v>
      </c>
      <c r="R7774" s="33">
        <f>IFERROR(__xludf.DUMMYFUNCTION("""COMPUTED_VALUE"""),1.0)</f>
        <v>1</v>
      </c>
      <c r="S7774" s="4" t="str">
        <f>IFERROR(__xludf.DUMMYFUNCTION("""COMPUTED_VALUE"""),"Altec Sistemas")</f>
        <v>Altec Sistemas</v>
      </c>
      <c r="T7774" s="33">
        <f>IFERROR(__xludf.DUMMYFUNCTION("""COMPUTED_VALUE"""),1.0)</f>
        <v>1</v>
      </c>
      <c r="U7774" s="4" t="str">
        <f>IFERROR(__xludf.DUMMYFUNCTION("""COMPUTED_VALUE"""),"Altec Sistemas")</f>
        <v>Altec Sistemas</v>
      </c>
      <c r="V7774" s="33">
        <f>IFERROR(__xludf.DUMMYFUNCTION("""COMPUTED_VALUE"""),1.0)</f>
        <v>1</v>
      </c>
      <c r="W7774" s="4" t="str">
        <f>IFERROR(__xludf.DUMMYFUNCTION("""COMPUTED_VALUE"""),"Altec Sistemas")</f>
        <v>Altec Sistemas</v>
      </c>
      <c r="X7774" s="33">
        <f>IFERROR(__xludf.DUMMYFUNCTION("""COMPUTED_VALUE"""),1.0)</f>
        <v>1</v>
      </c>
    </row>
    <row r="7775">
      <c r="K7775" s="4" t="str">
        <f>IFERROR(__xludf.DUMMYFUNCTION("""COMPUTED_VALUE"""),"RESTAURANTE BARNABE")</f>
        <v>RESTAURANTE BARNABE</v>
      </c>
      <c r="L7775" s="32">
        <f>IFERROR(__xludf.DUMMYFUNCTION("""COMPUTED_VALUE"""),2.0)</f>
        <v>2</v>
      </c>
      <c r="M7775" s="4" t="str">
        <f>IFERROR(__xludf.DUMMYFUNCTION("""COMPUTED_VALUE"""),"Ncr")</f>
        <v>Ncr</v>
      </c>
      <c r="N7775" s="33">
        <f>IFERROR(__xludf.DUMMYFUNCTION("""COMPUTED_VALUE"""),1.0)</f>
        <v>1</v>
      </c>
      <c r="O7775" s="4" t="str">
        <f>IFERROR(__xludf.DUMMYFUNCTION("""COMPUTED_VALUE"""),"Ncr")</f>
        <v>Ncr</v>
      </c>
      <c r="P7775" s="33">
        <f>IFERROR(__xludf.DUMMYFUNCTION("""COMPUTED_VALUE"""),1.0)</f>
        <v>1</v>
      </c>
      <c r="Q7775" s="4" t="str">
        <f>IFERROR(__xludf.DUMMYFUNCTION("""COMPUTED_VALUE"""),"Ncr")</f>
        <v>Ncr</v>
      </c>
      <c r="R7775" s="33">
        <f>IFERROR(__xludf.DUMMYFUNCTION("""COMPUTED_VALUE"""),1.0)</f>
        <v>1</v>
      </c>
      <c r="S7775" s="4" t="str">
        <f>IFERROR(__xludf.DUMMYFUNCTION("""COMPUTED_VALUE"""),"Ncr")</f>
        <v>Ncr</v>
      </c>
      <c r="T7775" s="33">
        <f>IFERROR(__xludf.DUMMYFUNCTION("""COMPUTED_VALUE"""),1.0)</f>
        <v>1</v>
      </c>
      <c r="U7775" s="4" t="str">
        <f>IFERROR(__xludf.DUMMYFUNCTION("""COMPUTED_VALUE"""),"Ncr")</f>
        <v>Ncr</v>
      </c>
      <c r="V7775" s="33">
        <f>IFERROR(__xludf.DUMMYFUNCTION("""COMPUTED_VALUE"""),1.0)</f>
        <v>1</v>
      </c>
      <c r="W7775" s="4" t="str">
        <f>IFERROR(__xludf.DUMMYFUNCTION("""COMPUTED_VALUE"""),"Ncr")</f>
        <v>Ncr</v>
      </c>
      <c r="X7775" s="33">
        <f>IFERROR(__xludf.DUMMYFUNCTION("""COMPUTED_VALUE"""),1.0)</f>
        <v>1</v>
      </c>
    </row>
    <row r="7776">
      <c r="K7776" s="4" t="str">
        <f>IFERROR(__xludf.DUMMYFUNCTION("""COMPUTED_VALUE"""),"RESTAURANTE BARNABE - MARCA")</f>
        <v>RESTAURANTE BARNABE - MARCA</v>
      </c>
      <c r="L7776" s="32">
        <f>IFERROR(__xludf.DUMMYFUNCTION("""COMPUTED_VALUE"""),2.0)</f>
        <v>2</v>
      </c>
      <c r="M7776" s="4" t="str">
        <f>IFERROR(__xludf.DUMMYFUNCTION("""COMPUTED_VALUE"""),"Ncr")</f>
        <v>Ncr</v>
      </c>
      <c r="N7776" s="33">
        <f>IFERROR(__xludf.DUMMYFUNCTION("""COMPUTED_VALUE"""),1.0)</f>
        <v>1</v>
      </c>
      <c r="O7776" s="4" t="str">
        <f>IFERROR(__xludf.DUMMYFUNCTION("""COMPUTED_VALUE"""),"Ncr")</f>
        <v>Ncr</v>
      </c>
      <c r="P7776" s="33">
        <f>IFERROR(__xludf.DUMMYFUNCTION("""COMPUTED_VALUE"""),1.0)</f>
        <v>1</v>
      </c>
      <c r="Q7776" s="4" t="str">
        <f>IFERROR(__xludf.DUMMYFUNCTION("""COMPUTED_VALUE"""),"Ncr")</f>
        <v>Ncr</v>
      </c>
      <c r="R7776" s="33">
        <f>IFERROR(__xludf.DUMMYFUNCTION("""COMPUTED_VALUE"""),1.0)</f>
        <v>1</v>
      </c>
      <c r="S7776" s="4" t="str">
        <f>IFERROR(__xludf.DUMMYFUNCTION("""COMPUTED_VALUE"""),"Ncr")</f>
        <v>Ncr</v>
      </c>
      <c r="T7776" s="33">
        <f>IFERROR(__xludf.DUMMYFUNCTION("""COMPUTED_VALUE"""),1.0)</f>
        <v>1</v>
      </c>
      <c r="U7776" s="4" t="str">
        <f>IFERROR(__xludf.DUMMYFUNCTION("""COMPUTED_VALUE"""),"Ncr")</f>
        <v>Ncr</v>
      </c>
      <c r="V7776" s="33">
        <f>IFERROR(__xludf.DUMMYFUNCTION("""COMPUTED_VALUE"""),1.0)</f>
        <v>1</v>
      </c>
      <c r="W7776" s="4" t="str">
        <f>IFERROR(__xludf.DUMMYFUNCTION("""COMPUTED_VALUE"""),"Ncr")</f>
        <v>Ncr</v>
      </c>
      <c r="X7776" s="33">
        <f>IFERROR(__xludf.DUMMYFUNCTION("""COMPUTED_VALUE"""),1.0)</f>
        <v>1</v>
      </c>
    </row>
    <row r="7777">
      <c r="K7777" s="4" t="str">
        <f>IFERROR(__xludf.DUMMYFUNCTION("""COMPUTED_VALUE"""),"RESTAURANTE CAIPIRAO - CONTA PAI")</f>
        <v>RESTAURANTE CAIPIRAO - CONTA PAI</v>
      </c>
      <c r="L7777" s="32">
        <f>IFERROR(__xludf.DUMMYFUNCTION("""COMPUTED_VALUE"""),2.0)</f>
        <v>2</v>
      </c>
      <c r="M7777" s="4" t="str">
        <f>IFERROR(__xludf.DUMMYFUNCTION("""COMPUTED_VALUE"""),"Saipos Serviços De Software")</f>
        <v>Saipos Serviços De Software</v>
      </c>
      <c r="N7777" s="33">
        <f>IFERROR(__xludf.DUMMYFUNCTION("""COMPUTED_VALUE"""),0.5)</f>
        <v>0.5</v>
      </c>
      <c r="O7777" s="4" t="str">
        <f>IFERROR(__xludf.DUMMYFUNCTION("""COMPUTED_VALUE"""),"Saipos Serviços De Software")</f>
        <v>Saipos Serviços De Software</v>
      </c>
      <c r="P7777" s="33">
        <f>IFERROR(__xludf.DUMMYFUNCTION("""COMPUTED_VALUE"""),0.5)</f>
        <v>0.5</v>
      </c>
      <c r="Q7777" s="4" t="str">
        <f>IFERROR(__xludf.DUMMYFUNCTION("""COMPUTED_VALUE"""),"Saipos Serviços De Software")</f>
        <v>Saipos Serviços De Software</v>
      </c>
      <c r="R7777" s="33">
        <f>IFERROR(__xludf.DUMMYFUNCTION("""COMPUTED_VALUE"""),0.5)</f>
        <v>0.5</v>
      </c>
      <c r="S7777" s="4" t="str">
        <f>IFERROR(__xludf.DUMMYFUNCTION("""COMPUTED_VALUE"""),"Saipos Serviços De Software")</f>
        <v>Saipos Serviços De Software</v>
      </c>
      <c r="T7777" s="33">
        <f>IFERROR(__xludf.DUMMYFUNCTION("""COMPUTED_VALUE"""),0.5)</f>
        <v>0.5</v>
      </c>
      <c r="U7777" s="4" t="str">
        <f>IFERROR(__xludf.DUMMYFUNCTION("""COMPUTED_VALUE"""),"Saipos Serviços De Software")</f>
        <v>Saipos Serviços De Software</v>
      </c>
      <c r="V7777" s="33">
        <f>IFERROR(__xludf.DUMMYFUNCTION("""COMPUTED_VALUE"""),0.5)</f>
        <v>0.5</v>
      </c>
      <c r="W7777" s="4" t="str">
        <f>IFERROR(__xludf.DUMMYFUNCTION("""COMPUTED_VALUE"""),"Saipos Serviços De Software")</f>
        <v>Saipos Serviços De Software</v>
      </c>
      <c r="X7777" s="33">
        <f>IFERROR(__xludf.DUMMYFUNCTION("""COMPUTED_VALUE"""),0.5)</f>
        <v>0.5</v>
      </c>
    </row>
    <row r="7778">
      <c r="K7778" s="4" t="str">
        <f>IFERROR(__xludf.DUMMYFUNCTION("""COMPUTED_VALUE"""),"RESTAURANTE CANTINHO DO SABOR")</f>
        <v>RESTAURANTE CANTINHO DO SABOR</v>
      </c>
      <c r="L7778" s="32">
        <f>IFERROR(__xludf.DUMMYFUNCTION("""COMPUTED_VALUE"""),2.0)</f>
        <v>2</v>
      </c>
      <c r="M7778" s="4" t="str">
        <f>IFERROR(__xludf.DUMMYFUNCTION("""COMPUTED_VALUE"""),"Parseint Desenvolvimento De Sistemas Ltda")</f>
        <v>Parseint Desenvolvimento De Sistemas Ltda</v>
      </c>
      <c r="N7778" s="33">
        <f>IFERROR(__xludf.DUMMYFUNCTION("""COMPUTED_VALUE"""),1.0)</f>
        <v>1</v>
      </c>
      <c r="O7778" s="4" t="str">
        <f>IFERROR(__xludf.DUMMYFUNCTION("""COMPUTED_VALUE"""),"Parseint Desenvolvimento De Sistemas Ltda")</f>
        <v>Parseint Desenvolvimento De Sistemas Ltda</v>
      </c>
      <c r="P7778" s="33">
        <f>IFERROR(__xludf.DUMMYFUNCTION("""COMPUTED_VALUE"""),1.0)</f>
        <v>1</v>
      </c>
      <c r="Q7778" s="4" t="str">
        <f>IFERROR(__xludf.DUMMYFUNCTION("""COMPUTED_VALUE"""),"Parseint Desenvolvimento De Sistemas Ltda")</f>
        <v>Parseint Desenvolvimento De Sistemas Ltda</v>
      </c>
      <c r="R7778" s="33">
        <f>IFERROR(__xludf.DUMMYFUNCTION("""COMPUTED_VALUE"""),1.0)</f>
        <v>1</v>
      </c>
      <c r="S7778" s="4" t="str">
        <f>IFERROR(__xludf.DUMMYFUNCTION("""COMPUTED_VALUE"""),"Parseint Desenvolvimento De Sistemas Ltda")</f>
        <v>Parseint Desenvolvimento De Sistemas Ltda</v>
      </c>
      <c r="T7778" s="33">
        <f>IFERROR(__xludf.DUMMYFUNCTION("""COMPUTED_VALUE"""),1.0)</f>
        <v>1</v>
      </c>
      <c r="U7778" s="4" t="str">
        <f>IFERROR(__xludf.DUMMYFUNCTION("""COMPUTED_VALUE"""),"Parseint Desenvolvimento De Sistemas Ltda")</f>
        <v>Parseint Desenvolvimento De Sistemas Ltda</v>
      </c>
      <c r="V7778" s="33">
        <f>IFERROR(__xludf.DUMMYFUNCTION("""COMPUTED_VALUE"""),1.0)</f>
        <v>1</v>
      </c>
      <c r="W7778" s="4" t="str">
        <f>IFERROR(__xludf.DUMMYFUNCTION("""COMPUTED_VALUE"""),"Parseint Desenvolvimento De Sistemas Ltda")</f>
        <v>Parseint Desenvolvimento De Sistemas Ltda</v>
      </c>
      <c r="X7778" s="33">
        <f>IFERROR(__xludf.DUMMYFUNCTION("""COMPUTED_VALUE"""),1.0)</f>
        <v>1</v>
      </c>
    </row>
    <row r="7779">
      <c r="K7779" s="4" t="str">
        <f>IFERROR(__xludf.DUMMYFUNCTION("""COMPUTED_VALUE"""),"RESTAURANTE CASA DOS CONTOS")</f>
        <v>RESTAURANTE CASA DOS CONTOS</v>
      </c>
      <c r="L7779" s="32">
        <f>IFERROR(__xludf.DUMMYFUNCTION("""COMPUTED_VALUE"""),2.0)</f>
        <v>2</v>
      </c>
      <c r="M7779" s="4" t="str">
        <f>IFERROR(__xludf.DUMMYFUNCTION("""COMPUTED_VALUE"""),"Totvs Large Enterprise Tecnologia S.a.")</f>
        <v>Totvs Large Enterprise Tecnologia S.a.</v>
      </c>
      <c r="N7779" s="33">
        <f>IFERROR(__xludf.DUMMYFUNCTION("""COMPUTED_VALUE"""),1.0)</f>
        <v>1</v>
      </c>
      <c r="O7779" s="4" t="str">
        <f>IFERROR(__xludf.DUMMYFUNCTION("""COMPUTED_VALUE"""),"Totvs Large Enterprise Tecnologia S.a.")</f>
        <v>Totvs Large Enterprise Tecnologia S.a.</v>
      </c>
      <c r="P7779" s="33">
        <f>IFERROR(__xludf.DUMMYFUNCTION("""COMPUTED_VALUE"""),0.5)</f>
        <v>0.5</v>
      </c>
      <c r="Q7779" s="4" t="str">
        <f>IFERROR(__xludf.DUMMYFUNCTION("""COMPUTED_VALUE"""),"Totvs Large Enterprise Tecnologia S.a.")</f>
        <v>Totvs Large Enterprise Tecnologia S.a.</v>
      </c>
      <c r="R7779" s="33">
        <f>IFERROR(__xludf.DUMMYFUNCTION("""COMPUTED_VALUE"""),1.0)</f>
        <v>1</v>
      </c>
      <c r="S7779" s="4" t="str">
        <f>IFERROR(__xludf.DUMMYFUNCTION("""COMPUTED_VALUE"""),"Totvs Large Enterprise Tecnologia S.a.")</f>
        <v>Totvs Large Enterprise Tecnologia S.a.</v>
      </c>
      <c r="T7779" s="33">
        <f>IFERROR(__xludf.DUMMYFUNCTION("""COMPUTED_VALUE"""),1.0)</f>
        <v>1</v>
      </c>
      <c r="U7779" s="4" t="str">
        <f>IFERROR(__xludf.DUMMYFUNCTION("""COMPUTED_VALUE"""),"null")</f>
        <v>null</v>
      </c>
      <c r="V7779" s="33">
        <f>IFERROR(__xludf.DUMMYFUNCTION("""COMPUTED_VALUE"""),0.5)</f>
        <v>0.5</v>
      </c>
      <c r="W7779" s="4" t="str">
        <f>IFERROR(__xludf.DUMMYFUNCTION("""COMPUTED_VALUE"""),"Totvs Large Enterprise Tecnologia S.a.")</f>
        <v>Totvs Large Enterprise Tecnologia S.a.</v>
      </c>
      <c r="X7779" s="33">
        <f>IFERROR(__xludf.DUMMYFUNCTION("""COMPUTED_VALUE"""),1.0)</f>
        <v>1</v>
      </c>
    </row>
    <row r="7780">
      <c r="K7780" s="4" t="str">
        <f>IFERROR(__xludf.DUMMYFUNCTION("""COMPUTED_VALUE"""),"RESTAURANTE E MARMITAS - CHAMPS - CONTA MARCA")</f>
        <v>RESTAURANTE E MARMITAS - CHAMPS - CONTA MARCA</v>
      </c>
      <c r="L7780" s="32">
        <f>IFERROR(__xludf.DUMMYFUNCTION("""COMPUTED_VALUE"""),2.0)</f>
        <v>2</v>
      </c>
      <c r="M7780" s="4" t="str">
        <f>IFERROR(__xludf.DUMMYFUNCTION("""COMPUTED_VALUE"""),"Saipos Serviços De Software")</f>
        <v>Saipos Serviços De Software</v>
      </c>
      <c r="N7780" s="33">
        <f>IFERROR(__xludf.DUMMYFUNCTION("""COMPUTED_VALUE"""),1.0)</f>
        <v>1</v>
      </c>
      <c r="O7780" s="4" t="str">
        <f>IFERROR(__xludf.DUMMYFUNCTION("""COMPUTED_VALUE"""),"Saipos Serviços De Software")</f>
        <v>Saipos Serviços De Software</v>
      </c>
      <c r="P7780" s="33">
        <f>IFERROR(__xludf.DUMMYFUNCTION("""COMPUTED_VALUE"""),1.0)</f>
        <v>1</v>
      </c>
      <c r="Q7780" s="4" t="str">
        <f>IFERROR(__xludf.DUMMYFUNCTION("""COMPUTED_VALUE"""),"Saipos Serviços De Software")</f>
        <v>Saipos Serviços De Software</v>
      </c>
      <c r="R7780" s="33">
        <f>IFERROR(__xludf.DUMMYFUNCTION("""COMPUTED_VALUE"""),1.0)</f>
        <v>1</v>
      </c>
      <c r="S7780" s="4" t="str">
        <f>IFERROR(__xludf.DUMMYFUNCTION("""COMPUTED_VALUE"""),"Saipos Serviços De Software")</f>
        <v>Saipos Serviços De Software</v>
      </c>
      <c r="T7780" s="33">
        <f>IFERROR(__xludf.DUMMYFUNCTION("""COMPUTED_VALUE"""),1.0)</f>
        <v>1</v>
      </c>
      <c r="U7780" s="4" t="str">
        <f>IFERROR(__xludf.DUMMYFUNCTION("""COMPUTED_VALUE"""),"Saipos Serviços De Software")</f>
        <v>Saipos Serviços De Software</v>
      </c>
      <c r="V7780" s="33">
        <f>IFERROR(__xludf.DUMMYFUNCTION("""COMPUTED_VALUE"""),1.0)</f>
        <v>1</v>
      </c>
      <c r="W7780" s="4" t="str">
        <f>IFERROR(__xludf.DUMMYFUNCTION("""COMPUTED_VALUE"""),"Saipos Serviços De Software")</f>
        <v>Saipos Serviços De Software</v>
      </c>
      <c r="X7780" s="33">
        <f>IFERROR(__xludf.DUMMYFUNCTION("""COMPUTED_VALUE"""),1.0)</f>
        <v>1</v>
      </c>
    </row>
    <row r="7781">
      <c r="K7781" s="4" t="str">
        <f>IFERROR(__xludf.DUMMYFUNCTION("""COMPUTED_VALUE"""),"RESTAURANTE E PIZZARIA DUE FRATELLI - CONTA PAI")</f>
        <v>RESTAURANTE E PIZZARIA DUE FRATELLI - CONTA PAI</v>
      </c>
      <c r="L7781" s="32">
        <f>IFERROR(__xludf.DUMMYFUNCTION("""COMPUTED_VALUE"""),2.0)</f>
        <v>2</v>
      </c>
      <c r="M7781" s="4" t="str">
        <f>IFERROR(__xludf.DUMMYFUNCTION("""COMPUTED_VALUE"""),"Menew - Linx")</f>
        <v>Menew - Linx</v>
      </c>
      <c r="N7781" s="33">
        <f>IFERROR(__xludf.DUMMYFUNCTION("""COMPUTED_VALUE"""),1.0)</f>
        <v>1</v>
      </c>
      <c r="O7781" s="4" t="str">
        <f>IFERROR(__xludf.DUMMYFUNCTION("""COMPUTED_VALUE"""),"Menew - Linx")</f>
        <v>Menew - Linx</v>
      </c>
      <c r="P7781" s="33">
        <f>IFERROR(__xludf.DUMMYFUNCTION("""COMPUTED_VALUE"""),1.0)</f>
        <v>1</v>
      </c>
      <c r="Q7781" s="4" t="str">
        <f>IFERROR(__xludf.DUMMYFUNCTION("""COMPUTED_VALUE"""),"Menew - Linx")</f>
        <v>Menew - Linx</v>
      </c>
      <c r="R7781" s="33">
        <f>IFERROR(__xludf.DUMMYFUNCTION("""COMPUTED_VALUE"""),1.0)</f>
        <v>1</v>
      </c>
      <c r="S7781" s="4" t="str">
        <f>IFERROR(__xludf.DUMMYFUNCTION("""COMPUTED_VALUE"""),"Menew - Linx")</f>
        <v>Menew - Linx</v>
      </c>
      <c r="T7781" s="33">
        <f>IFERROR(__xludf.DUMMYFUNCTION("""COMPUTED_VALUE"""),1.0)</f>
        <v>1</v>
      </c>
      <c r="U7781" s="4" t="str">
        <f>IFERROR(__xludf.DUMMYFUNCTION("""COMPUTED_VALUE"""),"Menew - Linx")</f>
        <v>Menew - Linx</v>
      </c>
      <c r="V7781" s="33">
        <f>IFERROR(__xludf.DUMMYFUNCTION("""COMPUTED_VALUE"""),1.0)</f>
        <v>1</v>
      </c>
      <c r="W7781" s="4" t="str">
        <f>IFERROR(__xludf.DUMMYFUNCTION("""COMPUTED_VALUE"""),"Menew - Linx")</f>
        <v>Menew - Linx</v>
      </c>
      <c r="X7781" s="33">
        <f>IFERROR(__xludf.DUMMYFUNCTION("""COMPUTED_VALUE"""),1.0)</f>
        <v>1</v>
      </c>
    </row>
    <row r="7782">
      <c r="K7782" s="4" t="str">
        <f>IFERROR(__xludf.DUMMYFUNCTION("""COMPUTED_VALUE"""),"RESTAURANTE E PIZZARIA SICILIANA-")</f>
        <v>RESTAURANTE E PIZZARIA SICILIANA-</v>
      </c>
      <c r="L7782" s="32">
        <f>IFERROR(__xludf.DUMMYFUNCTION("""COMPUTED_VALUE"""),2.0)</f>
        <v>2</v>
      </c>
      <c r="M7782" s="4" t="str">
        <f>IFERROR(__xludf.DUMMYFUNCTION("""COMPUTED_VALUE"""),"Netcontroll Xmenu")</f>
        <v>Netcontroll Xmenu</v>
      </c>
      <c r="N7782" s="33">
        <f>IFERROR(__xludf.DUMMYFUNCTION("""COMPUTED_VALUE"""),0.5)</f>
        <v>0.5</v>
      </c>
      <c r="O7782" s="4" t="str">
        <f>IFERROR(__xludf.DUMMYFUNCTION("""COMPUTED_VALUE"""),"Netcontroll Xmenu")</f>
        <v>Netcontroll Xmenu</v>
      </c>
      <c r="P7782" s="33">
        <f>IFERROR(__xludf.DUMMYFUNCTION("""COMPUTED_VALUE"""),0.5)</f>
        <v>0.5</v>
      </c>
      <c r="Q7782" s="4" t="str">
        <f>IFERROR(__xludf.DUMMYFUNCTION("""COMPUTED_VALUE"""),"null")</f>
        <v>null</v>
      </c>
      <c r="R7782" s="33">
        <f>IFERROR(__xludf.DUMMYFUNCTION("""COMPUTED_VALUE"""),0.5)</f>
        <v>0.5</v>
      </c>
      <c r="S7782" s="4" t="str">
        <f>IFERROR(__xludf.DUMMYFUNCTION("""COMPUTED_VALUE"""),"null")</f>
        <v>null</v>
      </c>
      <c r="T7782" s="33">
        <f>IFERROR(__xludf.DUMMYFUNCTION("""COMPUTED_VALUE"""),0.5)</f>
        <v>0.5</v>
      </c>
      <c r="U7782" s="4" t="str">
        <f>IFERROR(__xludf.DUMMYFUNCTION("""COMPUTED_VALUE"""),"null")</f>
        <v>null</v>
      </c>
      <c r="V7782" s="33">
        <f>IFERROR(__xludf.DUMMYFUNCTION("""COMPUTED_VALUE"""),0.5)</f>
        <v>0.5</v>
      </c>
      <c r="W7782" s="4" t="str">
        <f>IFERROR(__xludf.DUMMYFUNCTION("""COMPUTED_VALUE"""),"null")</f>
        <v>null</v>
      </c>
      <c r="X7782" s="33">
        <f>IFERROR(__xludf.DUMMYFUNCTION("""COMPUTED_VALUE"""),0.5)</f>
        <v>0.5</v>
      </c>
    </row>
    <row r="7783">
      <c r="K7783" s="4" t="str">
        <f>IFERROR(__xludf.DUMMYFUNCTION("""COMPUTED_VALUE"""),"RESTAURANTE E PIZZARIA VALDERI PAI")</f>
        <v>RESTAURANTE E PIZZARIA VALDERI PAI</v>
      </c>
      <c r="L7783" s="32">
        <f>IFERROR(__xludf.DUMMYFUNCTION("""COMPUTED_VALUE"""),2.0)</f>
        <v>2</v>
      </c>
      <c r="M7783" s="4" t="str">
        <f>IFERROR(__xludf.DUMMYFUNCTION("""COMPUTED_VALUE"""),"Ncr")</f>
        <v>Ncr</v>
      </c>
      <c r="N7783" s="33">
        <f>IFERROR(__xludf.DUMMYFUNCTION("""COMPUTED_VALUE"""),1.0)</f>
        <v>1</v>
      </c>
      <c r="O7783" s="4" t="str">
        <f>IFERROR(__xludf.DUMMYFUNCTION("""COMPUTED_VALUE"""),"Ncr")</f>
        <v>Ncr</v>
      </c>
      <c r="P7783" s="33">
        <f>IFERROR(__xludf.DUMMYFUNCTION("""COMPUTED_VALUE"""),0.5)</f>
        <v>0.5</v>
      </c>
      <c r="Q7783" s="4" t="str">
        <f>IFERROR(__xludf.DUMMYFUNCTION("""COMPUTED_VALUE"""),"Ncr")</f>
        <v>Ncr</v>
      </c>
      <c r="R7783" s="33">
        <f>IFERROR(__xludf.DUMMYFUNCTION("""COMPUTED_VALUE"""),1.0)</f>
        <v>1</v>
      </c>
      <c r="S7783" s="4" t="str">
        <f>IFERROR(__xludf.DUMMYFUNCTION("""COMPUTED_VALUE"""),"Ncr")</f>
        <v>Ncr</v>
      </c>
      <c r="T7783" s="33">
        <f>IFERROR(__xludf.DUMMYFUNCTION("""COMPUTED_VALUE"""),0.5)</f>
        <v>0.5</v>
      </c>
      <c r="U7783" s="4" t="str">
        <f>IFERROR(__xludf.DUMMYFUNCTION("""COMPUTED_VALUE"""),"Ncr")</f>
        <v>Ncr</v>
      </c>
      <c r="V7783" s="33">
        <f>IFERROR(__xludf.DUMMYFUNCTION("""COMPUTED_VALUE"""),0.5)</f>
        <v>0.5</v>
      </c>
      <c r="W7783" s="4" t="str">
        <f>IFERROR(__xludf.DUMMYFUNCTION("""COMPUTED_VALUE"""),"Ncr")</f>
        <v>Ncr</v>
      </c>
      <c r="X7783" s="33">
        <f>IFERROR(__xludf.DUMMYFUNCTION("""COMPUTED_VALUE"""),0.5)</f>
        <v>0.5</v>
      </c>
    </row>
    <row r="7784">
      <c r="K7784" s="4" t="str">
        <f>IFERROR(__xludf.DUMMYFUNCTION("""COMPUTED_VALUE"""),"RESTAURANTE ELE E ELA")</f>
        <v>RESTAURANTE ELE E ELA</v>
      </c>
      <c r="L7784" s="32">
        <f>IFERROR(__xludf.DUMMYFUNCTION("""COMPUTED_VALUE"""),2.0)</f>
        <v>2</v>
      </c>
      <c r="M7784" s="4" t="str">
        <f>IFERROR(__xludf.DUMMYFUNCTION("""COMPUTED_VALUE"""),"null")</f>
        <v>null</v>
      </c>
      <c r="N7784" s="33">
        <f>IFERROR(__xludf.DUMMYFUNCTION("""COMPUTED_VALUE"""),1.0)</f>
        <v>1</v>
      </c>
      <c r="O7784" s="4" t="str">
        <f>IFERROR(__xludf.DUMMYFUNCTION("""COMPUTED_VALUE"""),"null")</f>
        <v>null</v>
      </c>
      <c r="P7784" s="33">
        <f>IFERROR(__xludf.DUMMYFUNCTION("""COMPUTED_VALUE"""),1.0)</f>
        <v>1</v>
      </c>
      <c r="Q7784" s="4" t="str">
        <f>IFERROR(__xludf.DUMMYFUNCTION("""COMPUTED_VALUE"""),"null")</f>
        <v>null</v>
      </c>
      <c r="R7784" s="33">
        <f>IFERROR(__xludf.DUMMYFUNCTION("""COMPUTED_VALUE"""),1.0)</f>
        <v>1</v>
      </c>
      <c r="S7784" s="4" t="str">
        <f>IFERROR(__xludf.DUMMYFUNCTION("""COMPUTED_VALUE"""),"Saipos Serviços De Software")</f>
        <v>Saipos Serviços De Software</v>
      </c>
      <c r="T7784" s="33">
        <f>IFERROR(__xludf.DUMMYFUNCTION("""COMPUTED_VALUE"""),1.0)</f>
        <v>1</v>
      </c>
      <c r="U7784" s="4" t="str">
        <f>IFERROR(__xludf.DUMMYFUNCTION("""COMPUTED_VALUE"""),"Saipos Serviços De Software")</f>
        <v>Saipos Serviços De Software</v>
      </c>
      <c r="V7784" s="33">
        <f>IFERROR(__xludf.DUMMYFUNCTION("""COMPUTED_VALUE"""),1.0)</f>
        <v>1</v>
      </c>
      <c r="W7784" s="4" t="str">
        <f>IFERROR(__xludf.DUMMYFUNCTION("""COMPUTED_VALUE"""),"Saipos Serviços De Software")</f>
        <v>Saipos Serviços De Software</v>
      </c>
      <c r="X7784" s="33">
        <f>IFERROR(__xludf.DUMMYFUNCTION("""COMPUTED_VALUE"""),1.0)</f>
        <v>1</v>
      </c>
    </row>
    <row r="7785">
      <c r="K7785" s="4" t="str">
        <f>IFERROR(__xludf.DUMMYFUNCTION("""COMPUTED_VALUE"""),"RESTAURANTE ENGENHO CAMPECHE - FLORIPA")</f>
        <v>RESTAURANTE ENGENHO CAMPECHE - FLORIPA</v>
      </c>
      <c r="L7785" s="32">
        <f>IFERROR(__xludf.DUMMYFUNCTION("""COMPUTED_VALUE"""),2.0)</f>
        <v>2</v>
      </c>
      <c r="M7785" s="4" t="str">
        <f>IFERROR(__xludf.DUMMYFUNCTION("""COMPUTED_VALUE"""),"Ncr")</f>
        <v>Ncr</v>
      </c>
      <c r="N7785" s="33">
        <f>IFERROR(__xludf.DUMMYFUNCTION("""COMPUTED_VALUE"""),1.0)</f>
        <v>1</v>
      </c>
      <c r="O7785" s="4" t="str">
        <f>IFERROR(__xludf.DUMMYFUNCTION("""COMPUTED_VALUE"""),"Ncr")</f>
        <v>Ncr</v>
      </c>
      <c r="P7785" s="33">
        <f>IFERROR(__xludf.DUMMYFUNCTION("""COMPUTED_VALUE"""),1.0)</f>
        <v>1</v>
      </c>
      <c r="Q7785" s="4" t="str">
        <f>IFERROR(__xludf.DUMMYFUNCTION("""COMPUTED_VALUE"""),"Ncr")</f>
        <v>Ncr</v>
      </c>
      <c r="R7785" s="33">
        <f>IFERROR(__xludf.DUMMYFUNCTION("""COMPUTED_VALUE"""),1.0)</f>
        <v>1</v>
      </c>
      <c r="S7785" s="4" t="str">
        <f>IFERROR(__xludf.DUMMYFUNCTION("""COMPUTED_VALUE"""),"Ncr")</f>
        <v>Ncr</v>
      </c>
      <c r="T7785" s="33">
        <f>IFERROR(__xludf.DUMMYFUNCTION("""COMPUTED_VALUE"""),1.0)</f>
        <v>1</v>
      </c>
      <c r="U7785" s="4" t="str">
        <f>IFERROR(__xludf.DUMMYFUNCTION("""COMPUTED_VALUE"""),"Ncr")</f>
        <v>Ncr</v>
      </c>
      <c r="V7785" s="33">
        <f>IFERROR(__xludf.DUMMYFUNCTION("""COMPUTED_VALUE"""),1.0)</f>
        <v>1</v>
      </c>
      <c r="W7785" s="4" t="str">
        <f>IFERROR(__xludf.DUMMYFUNCTION("""COMPUTED_VALUE"""),"Ncr")</f>
        <v>Ncr</v>
      </c>
      <c r="X7785" s="33">
        <f>IFERROR(__xludf.DUMMYFUNCTION("""COMPUTED_VALUE"""),1.0)</f>
        <v>1</v>
      </c>
    </row>
    <row r="7786">
      <c r="K7786" s="4" t="str">
        <f>IFERROR(__xludf.DUMMYFUNCTION("""COMPUTED_VALUE"""),"RESTAURANTE ENGENHO SC - CONTA MARCA")</f>
        <v>RESTAURANTE ENGENHO SC - CONTA MARCA</v>
      </c>
      <c r="L7786" s="32">
        <f>IFERROR(__xludf.DUMMYFUNCTION("""COMPUTED_VALUE"""),2.0)</f>
        <v>2</v>
      </c>
      <c r="M7786" s="4" t="str">
        <f>IFERROR(__xludf.DUMMYFUNCTION("""COMPUTED_VALUE"""),"Ncr")</f>
        <v>Ncr</v>
      </c>
      <c r="N7786" s="33">
        <f>IFERROR(__xludf.DUMMYFUNCTION("""COMPUTED_VALUE"""),1.0)</f>
        <v>1</v>
      </c>
      <c r="O7786" s="4" t="str">
        <f>IFERROR(__xludf.DUMMYFUNCTION("""COMPUTED_VALUE"""),"Ncr")</f>
        <v>Ncr</v>
      </c>
      <c r="P7786" s="33">
        <f>IFERROR(__xludf.DUMMYFUNCTION("""COMPUTED_VALUE"""),1.0)</f>
        <v>1</v>
      </c>
      <c r="Q7786" s="4" t="str">
        <f>IFERROR(__xludf.DUMMYFUNCTION("""COMPUTED_VALUE"""),"Ncr")</f>
        <v>Ncr</v>
      </c>
      <c r="R7786" s="33">
        <f>IFERROR(__xludf.DUMMYFUNCTION("""COMPUTED_VALUE"""),1.0)</f>
        <v>1</v>
      </c>
      <c r="S7786" s="4" t="str">
        <f>IFERROR(__xludf.DUMMYFUNCTION("""COMPUTED_VALUE"""),"Ncr")</f>
        <v>Ncr</v>
      </c>
      <c r="T7786" s="33">
        <f>IFERROR(__xludf.DUMMYFUNCTION("""COMPUTED_VALUE"""),1.0)</f>
        <v>1</v>
      </c>
      <c r="U7786" s="4" t="str">
        <f>IFERROR(__xludf.DUMMYFUNCTION("""COMPUTED_VALUE"""),"Ncr")</f>
        <v>Ncr</v>
      </c>
      <c r="V7786" s="33">
        <f>IFERROR(__xludf.DUMMYFUNCTION("""COMPUTED_VALUE"""),1.0)</f>
        <v>1</v>
      </c>
      <c r="W7786" s="4" t="str">
        <f>IFERROR(__xludf.DUMMYFUNCTION("""COMPUTED_VALUE"""),"Ncr")</f>
        <v>Ncr</v>
      </c>
      <c r="X7786" s="33">
        <f>IFERROR(__xludf.DUMMYFUNCTION("""COMPUTED_VALUE"""),1.0)</f>
        <v>1</v>
      </c>
    </row>
    <row r="7787">
      <c r="K7787" s="4" t="str">
        <f>IFERROR(__xludf.DUMMYFUNCTION("""COMPUTED_VALUE"""),"RESTAURANTE ESQUENTA")</f>
        <v>RESTAURANTE ESQUENTA</v>
      </c>
      <c r="L7787" s="32">
        <f>IFERROR(__xludf.DUMMYFUNCTION("""COMPUTED_VALUE"""),2.0)</f>
        <v>2</v>
      </c>
      <c r="M7787" s="4" t="str">
        <f>IFERROR(__xludf.DUMMYFUNCTION("""COMPUTED_VALUE"""),"Cardápio Web")</f>
        <v>Cardápio Web</v>
      </c>
      <c r="N7787" s="33">
        <f>IFERROR(__xludf.DUMMYFUNCTION("""COMPUTED_VALUE"""),1.0)</f>
        <v>1</v>
      </c>
      <c r="O7787" s="4" t="str">
        <f>IFERROR(__xludf.DUMMYFUNCTION("""COMPUTED_VALUE"""),"Cardápio Web")</f>
        <v>Cardápio Web</v>
      </c>
      <c r="P7787" s="33">
        <f>IFERROR(__xludf.DUMMYFUNCTION("""COMPUTED_VALUE"""),1.0)</f>
        <v>1</v>
      </c>
      <c r="Q7787" s="4" t="str">
        <f>IFERROR(__xludf.DUMMYFUNCTION("""COMPUTED_VALUE"""),"Cardápio Web")</f>
        <v>Cardápio Web</v>
      </c>
      <c r="R7787" s="33">
        <f>IFERROR(__xludf.DUMMYFUNCTION("""COMPUTED_VALUE"""),1.0)</f>
        <v>1</v>
      </c>
      <c r="S7787" s="4" t="str">
        <f>IFERROR(__xludf.DUMMYFUNCTION("""COMPUTED_VALUE"""),"Cardápio Web")</f>
        <v>Cardápio Web</v>
      </c>
      <c r="T7787" s="33">
        <f>IFERROR(__xludf.DUMMYFUNCTION("""COMPUTED_VALUE"""),1.0)</f>
        <v>1</v>
      </c>
      <c r="U7787" s="4" t="str">
        <f>IFERROR(__xludf.DUMMYFUNCTION("""COMPUTED_VALUE"""),"Cardápio Web")</f>
        <v>Cardápio Web</v>
      </c>
      <c r="V7787" s="33">
        <f>IFERROR(__xludf.DUMMYFUNCTION("""COMPUTED_VALUE"""),1.0)</f>
        <v>1</v>
      </c>
      <c r="W7787" s="4" t="str">
        <f>IFERROR(__xludf.DUMMYFUNCTION("""COMPUTED_VALUE"""),"Cardápio Web")</f>
        <v>Cardápio Web</v>
      </c>
      <c r="X7787" s="33">
        <f>IFERROR(__xludf.DUMMYFUNCTION("""COMPUTED_VALUE"""),1.0)</f>
        <v>1</v>
      </c>
    </row>
    <row r="7788">
      <c r="K7788" s="4" t="str">
        <f>IFERROR(__xludf.DUMMYFUNCTION("""COMPUTED_VALUE"""),"RESTAURANTE ESTACAO")</f>
        <v>RESTAURANTE ESTACAO</v>
      </c>
      <c r="L7788" s="32">
        <f>IFERROR(__xludf.DUMMYFUNCTION("""COMPUTED_VALUE"""),2.0)</f>
        <v>2</v>
      </c>
      <c r="M7788" s="4" t="str">
        <f>IFERROR(__xludf.DUMMYFUNCTION("""COMPUTED_VALUE"""),"Saipos Serviços De Software")</f>
        <v>Saipos Serviços De Software</v>
      </c>
      <c r="N7788" s="33">
        <f>IFERROR(__xludf.DUMMYFUNCTION("""COMPUTED_VALUE"""),1.0)</f>
        <v>1</v>
      </c>
      <c r="O7788" s="4" t="str">
        <f>IFERROR(__xludf.DUMMYFUNCTION("""COMPUTED_VALUE"""),"Saipos Serviços De Software")</f>
        <v>Saipos Serviços De Software</v>
      </c>
      <c r="P7788" s="33">
        <f>IFERROR(__xludf.DUMMYFUNCTION("""COMPUTED_VALUE"""),1.0)</f>
        <v>1</v>
      </c>
      <c r="Q7788" s="4" t="str">
        <f>IFERROR(__xludf.DUMMYFUNCTION("""COMPUTED_VALUE"""),"Saipos Serviços De Software")</f>
        <v>Saipos Serviços De Software</v>
      </c>
      <c r="R7788" s="33">
        <f>IFERROR(__xludf.DUMMYFUNCTION("""COMPUTED_VALUE"""),1.0)</f>
        <v>1</v>
      </c>
      <c r="S7788" s="4" t="str">
        <f>IFERROR(__xludf.DUMMYFUNCTION("""COMPUTED_VALUE"""),"null")</f>
        <v>null</v>
      </c>
      <c r="T7788" s="33">
        <f>IFERROR(__xludf.DUMMYFUNCTION("""COMPUTED_VALUE"""),0.5)</f>
        <v>0.5</v>
      </c>
      <c r="U7788" s="4" t="str">
        <f>IFERROR(__xludf.DUMMYFUNCTION("""COMPUTED_VALUE"""),"null")</f>
        <v>null</v>
      </c>
      <c r="V7788" s="33">
        <f>IFERROR(__xludf.DUMMYFUNCTION("""COMPUTED_VALUE"""),0.5)</f>
        <v>0.5</v>
      </c>
      <c r="W7788" s="4" t="str">
        <f>IFERROR(__xludf.DUMMYFUNCTION("""COMPUTED_VALUE"""),"null")</f>
        <v>null</v>
      </c>
      <c r="X7788" s="33">
        <f>IFERROR(__xludf.DUMMYFUNCTION("""COMPUTED_VALUE"""),0.5)</f>
        <v>0.5</v>
      </c>
    </row>
    <row r="7789">
      <c r="K7789" s="4" t="str">
        <f>IFERROR(__xludf.DUMMYFUNCTION("""COMPUTED_VALUE"""),"RESTAURANTE FONTANA - CONTA MARCA")</f>
        <v>RESTAURANTE FONTANA - CONTA MARCA</v>
      </c>
      <c r="L7789" s="32">
        <f>IFERROR(__xludf.DUMMYFUNCTION("""COMPUTED_VALUE"""),2.0)</f>
        <v>2</v>
      </c>
      <c r="M7789" s="4" t="str">
        <f>IFERROR(__xludf.DUMMYFUNCTION("""COMPUTED_VALUE"""),"null")</f>
        <v>null</v>
      </c>
      <c r="N7789" s="33">
        <f>IFERROR(__xludf.DUMMYFUNCTION("""COMPUTED_VALUE"""),1.0)</f>
        <v>1</v>
      </c>
      <c r="O7789" s="4" t="str">
        <f>IFERROR(__xludf.DUMMYFUNCTION("""COMPUTED_VALUE"""),"null")</f>
        <v>null</v>
      </c>
      <c r="P7789" s="33">
        <f>IFERROR(__xludf.DUMMYFUNCTION("""COMPUTED_VALUE"""),1.0)</f>
        <v>1</v>
      </c>
      <c r="Q7789" s="4" t="str">
        <f>IFERROR(__xludf.DUMMYFUNCTION("""COMPUTED_VALUE"""),"null")</f>
        <v>null</v>
      </c>
      <c r="R7789" s="33">
        <f>IFERROR(__xludf.DUMMYFUNCTION("""COMPUTED_VALUE"""),1.0)</f>
        <v>1</v>
      </c>
      <c r="S7789" s="4" t="str">
        <f>IFERROR(__xludf.DUMMYFUNCTION("""COMPUTED_VALUE"""),"null")</f>
        <v>null</v>
      </c>
      <c r="T7789" s="33">
        <f>IFERROR(__xludf.DUMMYFUNCTION("""COMPUTED_VALUE"""),1.0)</f>
        <v>1</v>
      </c>
      <c r="U7789" s="4" t="str">
        <f>IFERROR(__xludf.DUMMYFUNCTION("""COMPUTED_VALUE"""),"Anota Ai Solucoes Digitais S/a")</f>
        <v>Anota Ai Solucoes Digitais S/a</v>
      </c>
      <c r="V7789" s="33">
        <f>IFERROR(__xludf.DUMMYFUNCTION("""COMPUTED_VALUE"""),1.0)</f>
        <v>1</v>
      </c>
      <c r="W7789" s="4" t="str">
        <f>IFERROR(__xludf.DUMMYFUNCTION("""COMPUTED_VALUE"""),"Anota Ai Solucoes Digitais S/a")</f>
        <v>Anota Ai Solucoes Digitais S/a</v>
      </c>
      <c r="X7789" s="33">
        <f>IFERROR(__xludf.DUMMYFUNCTION("""COMPUTED_VALUE"""),1.0)</f>
        <v>1</v>
      </c>
    </row>
    <row r="7790">
      <c r="K7790" s="4" t="str">
        <f>IFERROR(__xludf.DUMMYFUNCTION("""COMPUTED_VALUE"""),"RESTAURANTE LABAREDA TERESINA")</f>
        <v>RESTAURANTE LABAREDA TERESINA</v>
      </c>
      <c r="L7790" s="32">
        <f>IFERROR(__xludf.DUMMYFUNCTION("""COMPUTED_VALUE"""),2.0)</f>
        <v>2</v>
      </c>
      <c r="M7790" s="4" t="str">
        <f>IFERROR(__xludf.DUMMYFUNCTION("""COMPUTED_VALUE"""),"Cooknet Automacao Comercial")</f>
        <v>Cooknet Automacao Comercial</v>
      </c>
      <c r="N7790" s="33">
        <f>IFERROR(__xludf.DUMMYFUNCTION("""COMPUTED_VALUE"""),0.5)</f>
        <v>0.5</v>
      </c>
      <c r="O7790" s="4" t="str">
        <f>IFERROR(__xludf.DUMMYFUNCTION("""COMPUTED_VALUE"""),"Cooknet Automacao Comercial")</f>
        <v>Cooknet Automacao Comercial</v>
      </c>
      <c r="P7790" s="33">
        <f>IFERROR(__xludf.DUMMYFUNCTION("""COMPUTED_VALUE"""),0.5)</f>
        <v>0.5</v>
      </c>
      <c r="Q7790" s="4" t="str">
        <f>IFERROR(__xludf.DUMMYFUNCTION("""COMPUTED_VALUE"""),"Cooknet Automacao Comercial")</f>
        <v>Cooknet Automacao Comercial</v>
      </c>
      <c r="R7790" s="33">
        <f>IFERROR(__xludf.DUMMYFUNCTION("""COMPUTED_VALUE"""),0.5)</f>
        <v>0.5</v>
      </c>
      <c r="S7790" s="4" t="str">
        <f>IFERROR(__xludf.DUMMYFUNCTION("""COMPUTED_VALUE"""),"Cooknet Automacao Comercial")</f>
        <v>Cooknet Automacao Comercial</v>
      </c>
      <c r="T7790" s="33">
        <f>IFERROR(__xludf.DUMMYFUNCTION("""COMPUTED_VALUE"""),0.5)</f>
        <v>0.5</v>
      </c>
      <c r="U7790" s="4" t="str">
        <f>IFERROR(__xludf.DUMMYFUNCTION("""COMPUTED_VALUE"""),"Cooknet Automacao Comercial")</f>
        <v>Cooknet Automacao Comercial</v>
      </c>
      <c r="V7790" s="33">
        <f>IFERROR(__xludf.DUMMYFUNCTION("""COMPUTED_VALUE"""),0.5)</f>
        <v>0.5</v>
      </c>
      <c r="W7790" s="4" t="str">
        <f>IFERROR(__xludf.DUMMYFUNCTION("""COMPUTED_VALUE"""),"Fire Sistemas")</f>
        <v>Fire Sistemas</v>
      </c>
      <c r="X7790" s="33">
        <f>IFERROR(__xludf.DUMMYFUNCTION("""COMPUTED_VALUE"""),1.0)</f>
        <v>1</v>
      </c>
    </row>
    <row r="7791">
      <c r="K7791" s="4" t="str">
        <f>IFERROR(__xludf.DUMMYFUNCTION("""COMPUTED_VALUE"""),"RESTAURANTE LAR NACIONAL")</f>
        <v>RESTAURANTE LAR NACIONAL</v>
      </c>
      <c r="L7791" s="32">
        <f>IFERROR(__xludf.DUMMYFUNCTION("""COMPUTED_VALUE"""),2.0)</f>
        <v>2</v>
      </c>
      <c r="M7791" s="4" t="str">
        <f>IFERROR(__xludf.DUMMYFUNCTION("""COMPUTED_VALUE"""),"Saipos Serviços De Software")</f>
        <v>Saipos Serviços De Software</v>
      </c>
      <c r="N7791" s="33">
        <f>IFERROR(__xludf.DUMMYFUNCTION("""COMPUTED_VALUE"""),1.0)</f>
        <v>1</v>
      </c>
      <c r="O7791" s="4" t="str">
        <f>IFERROR(__xludf.DUMMYFUNCTION("""COMPUTED_VALUE"""),"Saipos Serviços De Software")</f>
        <v>Saipos Serviços De Software</v>
      </c>
      <c r="P7791" s="33">
        <f>IFERROR(__xludf.DUMMYFUNCTION("""COMPUTED_VALUE"""),1.0)</f>
        <v>1</v>
      </c>
      <c r="Q7791" s="4" t="str">
        <f>IFERROR(__xludf.DUMMYFUNCTION("""COMPUTED_VALUE"""),"Saipos Serviços De Software")</f>
        <v>Saipos Serviços De Software</v>
      </c>
      <c r="R7791" s="33">
        <f>IFERROR(__xludf.DUMMYFUNCTION("""COMPUTED_VALUE"""),1.0)</f>
        <v>1</v>
      </c>
      <c r="S7791" s="4" t="str">
        <f>IFERROR(__xludf.DUMMYFUNCTION("""COMPUTED_VALUE"""),"Saipos Serviços De Software")</f>
        <v>Saipos Serviços De Software</v>
      </c>
      <c r="T7791" s="33">
        <f>IFERROR(__xludf.DUMMYFUNCTION("""COMPUTED_VALUE"""),1.0)</f>
        <v>1</v>
      </c>
      <c r="U7791" s="4" t="str">
        <f>IFERROR(__xludf.DUMMYFUNCTION("""COMPUTED_VALUE"""),"Saipos Serviços De Software")</f>
        <v>Saipos Serviços De Software</v>
      </c>
      <c r="V7791" s="33">
        <f>IFERROR(__xludf.DUMMYFUNCTION("""COMPUTED_VALUE"""),1.0)</f>
        <v>1</v>
      </c>
      <c r="W7791" s="4" t="str">
        <f>IFERROR(__xludf.DUMMYFUNCTION("""COMPUTED_VALUE"""),"Saipos Serviços De Software")</f>
        <v>Saipos Serviços De Software</v>
      </c>
      <c r="X7791" s="33">
        <f>IFERROR(__xludf.DUMMYFUNCTION("""COMPUTED_VALUE"""),1.0)</f>
        <v>1</v>
      </c>
    </row>
    <row r="7792">
      <c r="K7792" s="4" t="str">
        <f>IFERROR(__xludf.DUMMYFUNCTION("""COMPUTED_VALUE"""),"RESTAURANTE MARINATA")</f>
        <v>RESTAURANTE MARINATA</v>
      </c>
      <c r="L7792" s="32">
        <f>IFERROR(__xludf.DUMMYFUNCTION("""COMPUTED_VALUE"""),2.0)</f>
        <v>2</v>
      </c>
      <c r="M7792" s="4" t="str">
        <f>IFERROR(__xludf.DUMMYFUNCTION("""COMPUTED_VALUE"""),"Menew - Linx")</f>
        <v>Menew - Linx</v>
      </c>
      <c r="N7792" s="33">
        <f>IFERROR(__xludf.DUMMYFUNCTION("""COMPUTED_VALUE"""),1.0)</f>
        <v>1</v>
      </c>
      <c r="O7792" s="4" t="str">
        <f>IFERROR(__xludf.DUMMYFUNCTION("""COMPUTED_VALUE"""),"Menew - Linx")</f>
        <v>Menew - Linx</v>
      </c>
      <c r="P7792" s="33">
        <f>IFERROR(__xludf.DUMMYFUNCTION("""COMPUTED_VALUE"""),1.0)</f>
        <v>1</v>
      </c>
      <c r="Q7792" s="4" t="str">
        <f>IFERROR(__xludf.DUMMYFUNCTION("""COMPUTED_VALUE"""),"Menew - Linx")</f>
        <v>Menew - Linx</v>
      </c>
      <c r="R7792" s="33">
        <f>IFERROR(__xludf.DUMMYFUNCTION("""COMPUTED_VALUE"""),1.0)</f>
        <v>1</v>
      </c>
      <c r="S7792" s="4" t="str">
        <f>IFERROR(__xludf.DUMMYFUNCTION("""COMPUTED_VALUE"""),"Menew - Linx")</f>
        <v>Menew - Linx</v>
      </c>
      <c r="T7792" s="33">
        <f>IFERROR(__xludf.DUMMYFUNCTION("""COMPUTED_VALUE"""),1.0)</f>
        <v>1</v>
      </c>
      <c r="U7792" s="4" t="str">
        <f>IFERROR(__xludf.DUMMYFUNCTION("""COMPUTED_VALUE"""),"Menew - Linx")</f>
        <v>Menew - Linx</v>
      </c>
      <c r="V7792" s="33">
        <f>IFERROR(__xludf.DUMMYFUNCTION("""COMPUTED_VALUE"""),1.0)</f>
        <v>1</v>
      </c>
      <c r="W7792" s="4" t="str">
        <f>IFERROR(__xludf.DUMMYFUNCTION("""COMPUTED_VALUE"""),"Menew - Linx")</f>
        <v>Menew - Linx</v>
      </c>
      <c r="X7792" s="33">
        <f>IFERROR(__xludf.DUMMYFUNCTION("""COMPUTED_VALUE"""),1.0)</f>
        <v>1</v>
      </c>
    </row>
    <row r="7793">
      <c r="K7793" s="4" t="str">
        <f>IFERROR(__xludf.DUMMYFUNCTION("""COMPUTED_VALUE"""),"RESTAURANTE MENINOS - MARCA")</f>
        <v>RESTAURANTE MENINOS - MARCA</v>
      </c>
      <c r="L7793" s="32">
        <f>IFERROR(__xludf.DUMMYFUNCTION("""COMPUTED_VALUE"""),2.0)</f>
        <v>2</v>
      </c>
      <c r="M7793" s="4" t="str">
        <f>IFERROR(__xludf.DUMMYFUNCTION("""COMPUTED_VALUE"""),"Braspartner Soluções Em Tecnologia Da Informação Ltda")</f>
        <v>Braspartner Soluções Em Tecnologia Da Informação Ltda</v>
      </c>
      <c r="N7793" s="33">
        <f>IFERROR(__xludf.DUMMYFUNCTION("""COMPUTED_VALUE"""),0.5)</f>
        <v>0.5</v>
      </c>
      <c r="O7793" s="4" t="str">
        <f>IFERROR(__xludf.DUMMYFUNCTION("""COMPUTED_VALUE"""),"Braspartner Soluções Em Tecnologia Da Informação Ltda")</f>
        <v>Braspartner Soluções Em Tecnologia Da Informação Ltda</v>
      </c>
      <c r="P7793" s="33">
        <f>IFERROR(__xludf.DUMMYFUNCTION("""COMPUTED_VALUE"""),0.5)</f>
        <v>0.5</v>
      </c>
      <c r="Q7793" s="4" t="str">
        <f>IFERROR(__xludf.DUMMYFUNCTION("""COMPUTED_VALUE"""),"Braspartner Soluções Em Tecnologia Da Informação Ltda")</f>
        <v>Braspartner Soluções Em Tecnologia Da Informação Ltda</v>
      </c>
      <c r="R7793" s="33">
        <f>IFERROR(__xludf.DUMMYFUNCTION("""COMPUTED_VALUE"""),0.5)</f>
        <v>0.5</v>
      </c>
      <c r="S7793" s="4" t="str">
        <f>IFERROR(__xludf.DUMMYFUNCTION("""COMPUTED_VALUE"""),"Braspartner Soluções Em Tecnologia Da Informação Ltda")</f>
        <v>Braspartner Soluções Em Tecnologia Da Informação Ltda</v>
      </c>
      <c r="T7793" s="33">
        <f>IFERROR(__xludf.DUMMYFUNCTION("""COMPUTED_VALUE"""),1.0)</f>
        <v>1</v>
      </c>
      <c r="U7793" s="4" t="str">
        <f>IFERROR(__xludf.DUMMYFUNCTION("""COMPUTED_VALUE"""),"Braspartner Soluções Em Tecnologia Da Informação Ltda")</f>
        <v>Braspartner Soluções Em Tecnologia Da Informação Ltda</v>
      </c>
      <c r="V7793" s="33">
        <f>IFERROR(__xludf.DUMMYFUNCTION("""COMPUTED_VALUE"""),1.0)</f>
        <v>1</v>
      </c>
      <c r="W7793" s="4" t="str">
        <f>IFERROR(__xludf.DUMMYFUNCTION("""COMPUTED_VALUE"""),"Braspartner Soluções Em Tecnologia Da Informação Ltda")</f>
        <v>Braspartner Soluções Em Tecnologia Da Informação Ltda</v>
      </c>
      <c r="X7793" s="33">
        <f>IFERROR(__xludf.DUMMYFUNCTION("""COMPUTED_VALUE"""),1.0)</f>
        <v>1</v>
      </c>
    </row>
    <row r="7794">
      <c r="K7794" s="4" t="str">
        <f>IFERROR(__xludf.DUMMYFUNCTION("""COMPUTED_VALUE"""),"RESTAURANTE MINEIRINHO")</f>
        <v>RESTAURANTE MINEIRINHO</v>
      </c>
      <c r="L7794" s="32">
        <f>IFERROR(__xludf.DUMMYFUNCTION("""COMPUTED_VALUE"""),2.0)</f>
        <v>2</v>
      </c>
      <c r="M7794" s="4" t="str">
        <f>IFERROR(__xludf.DUMMYFUNCTION("""COMPUTED_VALUE"""),"Saipos Serviços De Software")</f>
        <v>Saipos Serviços De Software</v>
      </c>
      <c r="N7794" s="33">
        <f>IFERROR(__xludf.DUMMYFUNCTION("""COMPUTED_VALUE"""),1.0)</f>
        <v>1</v>
      </c>
      <c r="O7794" s="4" t="str">
        <f>IFERROR(__xludf.DUMMYFUNCTION("""COMPUTED_VALUE"""),"Saipos Serviços De Software")</f>
        <v>Saipos Serviços De Software</v>
      </c>
      <c r="P7794" s="33">
        <f>IFERROR(__xludf.DUMMYFUNCTION("""COMPUTED_VALUE"""),1.0)</f>
        <v>1</v>
      </c>
      <c r="Q7794" s="4" t="str">
        <f>IFERROR(__xludf.DUMMYFUNCTION("""COMPUTED_VALUE"""),"Saipos Serviços De Software")</f>
        <v>Saipos Serviços De Software</v>
      </c>
      <c r="R7794" s="33">
        <f>IFERROR(__xludf.DUMMYFUNCTION("""COMPUTED_VALUE"""),1.0)</f>
        <v>1</v>
      </c>
      <c r="S7794" s="4" t="str">
        <f>IFERROR(__xludf.DUMMYFUNCTION("""COMPUTED_VALUE"""),"Saipos Serviços De Software")</f>
        <v>Saipos Serviços De Software</v>
      </c>
      <c r="T7794" s="33">
        <f>IFERROR(__xludf.DUMMYFUNCTION("""COMPUTED_VALUE"""),1.0)</f>
        <v>1</v>
      </c>
      <c r="U7794" s="4" t="str">
        <f>IFERROR(__xludf.DUMMYFUNCTION("""COMPUTED_VALUE"""),"Saipos Serviços De Software")</f>
        <v>Saipos Serviços De Software</v>
      </c>
      <c r="V7794" s="33">
        <f>IFERROR(__xludf.DUMMYFUNCTION("""COMPUTED_VALUE"""),1.0)</f>
        <v>1</v>
      </c>
      <c r="W7794" s="4" t="str">
        <f>IFERROR(__xludf.DUMMYFUNCTION("""COMPUTED_VALUE"""),"Saipos Serviços De Software")</f>
        <v>Saipos Serviços De Software</v>
      </c>
      <c r="X7794" s="33">
        <f>IFERROR(__xludf.DUMMYFUNCTION("""COMPUTED_VALUE"""),1.0)</f>
        <v>1</v>
      </c>
    </row>
    <row r="7795">
      <c r="K7795" s="4" t="str">
        <f>IFERROR(__xludf.DUMMYFUNCTION("""COMPUTED_VALUE"""),"RESTAURANTE MISTURADINHO - MARMITAS")</f>
        <v>RESTAURANTE MISTURADINHO - MARMITAS</v>
      </c>
      <c r="L7795" s="32">
        <f>IFERROR(__xludf.DUMMYFUNCTION("""COMPUTED_VALUE"""),2.0)</f>
        <v>2</v>
      </c>
      <c r="M7795" s="4" t="str">
        <f>IFERROR(__xludf.DUMMYFUNCTION("""COMPUTED_VALUE"""),"Saipos Serviços De Software")</f>
        <v>Saipos Serviços De Software</v>
      </c>
      <c r="N7795" s="33">
        <f>IFERROR(__xludf.DUMMYFUNCTION("""COMPUTED_VALUE"""),0.5)</f>
        <v>0.5</v>
      </c>
      <c r="O7795" s="4" t="str">
        <f>IFERROR(__xludf.DUMMYFUNCTION("""COMPUTED_VALUE"""),"Saipos Serviços De Software")</f>
        <v>Saipos Serviços De Software</v>
      </c>
      <c r="P7795" s="33">
        <f>IFERROR(__xludf.DUMMYFUNCTION("""COMPUTED_VALUE"""),0.5)</f>
        <v>0.5</v>
      </c>
      <c r="Q7795" s="4" t="str">
        <f>IFERROR(__xludf.DUMMYFUNCTION("""COMPUTED_VALUE"""),"Saipos Serviços De Software")</f>
        <v>Saipos Serviços De Software</v>
      </c>
      <c r="R7795" s="33">
        <f>IFERROR(__xludf.DUMMYFUNCTION("""COMPUTED_VALUE"""),1.0)</f>
        <v>1</v>
      </c>
      <c r="S7795" s="4" t="str">
        <f>IFERROR(__xludf.DUMMYFUNCTION("""COMPUTED_VALUE"""),"Saipos Serviços De Software")</f>
        <v>Saipos Serviços De Software</v>
      </c>
      <c r="T7795" s="33">
        <f>IFERROR(__xludf.DUMMYFUNCTION("""COMPUTED_VALUE"""),1.0)</f>
        <v>1</v>
      </c>
      <c r="U7795" s="4" t="str">
        <f>IFERROR(__xludf.DUMMYFUNCTION("""COMPUTED_VALUE"""),"Saipos Serviços De Software")</f>
        <v>Saipos Serviços De Software</v>
      </c>
      <c r="V7795" s="33">
        <f>IFERROR(__xludf.DUMMYFUNCTION("""COMPUTED_VALUE"""),1.0)</f>
        <v>1</v>
      </c>
      <c r="W7795" s="4" t="str">
        <f>IFERROR(__xludf.DUMMYFUNCTION("""COMPUTED_VALUE"""),"Saipos Serviços De Software")</f>
        <v>Saipos Serviços De Software</v>
      </c>
      <c r="X7795" s="33">
        <f>IFERROR(__xludf.DUMMYFUNCTION("""COMPUTED_VALUE"""),1.0)</f>
        <v>1</v>
      </c>
    </row>
    <row r="7796">
      <c r="K7796" s="4" t="str">
        <f>IFERROR(__xludf.DUMMYFUNCTION("""COMPUTED_VALUE"""),"RESTAURANTE NOBRE")</f>
        <v>RESTAURANTE NOBRE</v>
      </c>
      <c r="L7796" s="32">
        <f>IFERROR(__xludf.DUMMYFUNCTION("""COMPUTED_VALUE"""),2.0)</f>
        <v>2</v>
      </c>
      <c r="M7796" s="4" t="str">
        <f>IFERROR(__xludf.DUMMYFUNCTION("""COMPUTED_VALUE"""),"null")</f>
        <v>null</v>
      </c>
      <c r="N7796" s="33">
        <f>IFERROR(__xludf.DUMMYFUNCTION("""COMPUTED_VALUE"""),1.0)</f>
        <v>1</v>
      </c>
      <c r="O7796" s="4" t="str">
        <f>IFERROR(__xludf.DUMMYFUNCTION("""COMPUTED_VALUE"""),"Sagres Automação Comercial")</f>
        <v>Sagres Automação Comercial</v>
      </c>
      <c r="P7796" s="33">
        <f>IFERROR(__xludf.DUMMYFUNCTION("""COMPUTED_VALUE"""),0.5)</f>
        <v>0.5</v>
      </c>
      <c r="Q7796" s="4" t="str">
        <f>IFERROR(__xludf.DUMMYFUNCTION("""COMPUTED_VALUE"""),"null")</f>
        <v>null</v>
      </c>
      <c r="R7796" s="33">
        <f>IFERROR(__xludf.DUMMYFUNCTION("""COMPUTED_VALUE"""),0.5)</f>
        <v>0.5</v>
      </c>
      <c r="S7796" s="4" t="str">
        <f>IFERROR(__xludf.DUMMYFUNCTION("""COMPUTED_VALUE"""),"null")</f>
        <v>null</v>
      </c>
      <c r="T7796" s="33">
        <f>IFERROR(__xludf.DUMMYFUNCTION("""COMPUTED_VALUE"""),1.0)</f>
        <v>1</v>
      </c>
      <c r="U7796" s="4" t="str">
        <f>IFERROR(__xludf.DUMMYFUNCTION("""COMPUTED_VALUE"""),"null")</f>
        <v>null</v>
      </c>
      <c r="V7796" s="33">
        <f>IFERROR(__xludf.DUMMYFUNCTION("""COMPUTED_VALUE"""),1.0)</f>
        <v>1</v>
      </c>
      <c r="W7796" s="4" t="str">
        <f>IFERROR(__xludf.DUMMYFUNCTION("""COMPUTED_VALUE"""),"null")</f>
        <v>null</v>
      </c>
      <c r="X7796" s="33">
        <f>IFERROR(__xludf.DUMMYFUNCTION("""COMPUTED_VALUE"""),0.5)</f>
        <v>0.5</v>
      </c>
    </row>
    <row r="7797">
      <c r="K7797" s="4" t="str">
        <f>IFERROR(__xludf.DUMMYFUNCTION("""COMPUTED_VALUE"""),"RESTAURANTE NORDESTAO - CONTA PAI")</f>
        <v>RESTAURANTE NORDESTAO - CONTA PAI</v>
      </c>
      <c r="L7797" s="32">
        <f>IFERROR(__xludf.DUMMYFUNCTION("""COMPUTED_VALUE"""),2.0)</f>
        <v>2</v>
      </c>
      <c r="M7797" s="4" t="str">
        <f>IFERROR(__xludf.DUMMYFUNCTION("""COMPUTED_VALUE"""),"Saipos Serviços De Software")</f>
        <v>Saipos Serviços De Software</v>
      </c>
      <c r="N7797" s="33">
        <f>IFERROR(__xludf.DUMMYFUNCTION("""COMPUTED_VALUE"""),1.0)</f>
        <v>1</v>
      </c>
      <c r="O7797" s="4" t="str">
        <f>IFERROR(__xludf.DUMMYFUNCTION("""COMPUTED_VALUE"""),"Saipos Serviços De Software")</f>
        <v>Saipos Serviços De Software</v>
      </c>
      <c r="P7797" s="33">
        <f>IFERROR(__xludf.DUMMYFUNCTION("""COMPUTED_VALUE"""),1.0)</f>
        <v>1</v>
      </c>
      <c r="Q7797" s="4" t="str">
        <f>IFERROR(__xludf.DUMMYFUNCTION("""COMPUTED_VALUE"""),"Saipos Serviços De Software")</f>
        <v>Saipos Serviços De Software</v>
      </c>
      <c r="R7797" s="33">
        <f>IFERROR(__xludf.DUMMYFUNCTION("""COMPUTED_VALUE"""),1.0)</f>
        <v>1</v>
      </c>
      <c r="S7797" s="4" t="str">
        <f>IFERROR(__xludf.DUMMYFUNCTION("""COMPUTED_VALUE"""),"Saipos Serviços De Software")</f>
        <v>Saipos Serviços De Software</v>
      </c>
      <c r="T7797" s="33">
        <f>IFERROR(__xludf.DUMMYFUNCTION("""COMPUTED_VALUE"""),1.0)</f>
        <v>1</v>
      </c>
      <c r="U7797" s="4" t="str">
        <f>IFERROR(__xludf.DUMMYFUNCTION("""COMPUTED_VALUE"""),"Saipos Serviços De Software")</f>
        <v>Saipos Serviços De Software</v>
      </c>
      <c r="V7797" s="33">
        <f>IFERROR(__xludf.DUMMYFUNCTION("""COMPUTED_VALUE"""),1.0)</f>
        <v>1</v>
      </c>
      <c r="W7797" s="4" t="str">
        <f>IFERROR(__xludf.DUMMYFUNCTION("""COMPUTED_VALUE"""),"Saipos Serviços De Software")</f>
        <v>Saipos Serviços De Software</v>
      </c>
      <c r="X7797" s="33">
        <f>IFERROR(__xludf.DUMMYFUNCTION("""COMPUTED_VALUE"""),1.0)</f>
        <v>1</v>
      </c>
    </row>
    <row r="7798">
      <c r="K7798" s="4" t="str">
        <f>IFERROR(__xludf.DUMMYFUNCTION("""COMPUTED_VALUE"""),"RESTAURANTE PILAO")</f>
        <v>RESTAURANTE PILAO</v>
      </c>
      <c r="L7798" s="32">
        <f>IFERROR(__xludf.DUMMYFUNCTION("""COMPUTED_VALUE"""),2.0)</f>
        <v>2</v>
      </c>
      <c r="M7798" s="4" t="str">
        <f>IFERROR(__xludf.DUMMYFUNCTION("""COMPUTED_VALUE"""),"Ncr")</f>
        <v>Ncr</v>
      </c>
      <c r="N7798" s="33">
        <f>IFERROR(__xludf.DUMMYFUNCTION("""COMPUTED_VALUE"""),1.0)</f>
        <v>1</v>
      </c>
      <c r="O7798" s="4" t="str">
        <f>IFERROR(__xludf.DUMMYFUNCTION("""COMPUTED_VALUE"""),"Ncr")</f>
        <v>Ncr</v>
      </c>
      <c r="P7798" s="33">
        <f>IFERROR(__xludf.DUMMYFUNCTION("""COMPUTED_VALUE"""),1.0)</f>
        <v>1</v>
      </c>
      <c r="Q7798" s="4" t="str">
        <f>IFERROR(__xludf.DUMMYFUNCTION("""COMPUTED_VALUE"""),"Vuca Solution")</f>
        <v>Vuca Solution</v>
      </c>
      <c r="R7798" s="33">
        <f>IFERROR(__xludf.DUMMYFUNCTION("""COMPUTED_VALUE"""),0.5)</f>
        <v>0.5</v>
      </c>
      <c r="S7798" s="4" t="str">
        <f>IFERROR(__xludf.DUMMYFUNCTION("""COMPUTED_VALUE"""),"Vuca Solution")</f>
        <v>Vuca Solution</v>
      </c>
      <c r="T7798" s="33">
        <f>IFERROR(__xludf.DUMMYFUNCTION("""COMPUTED_VALUE"""),0.5)</f>
        <v>0.5</v>
      </c>
      <c r="U7798" s="4" t="str">
        <f>IFERROR(__xludf.DUMMYFUNCTION("""COMPUTED_VALUE"""),"Vuca Solution")</f>
        <v>Vuca Solution</v>
      </c>
      <c r="V7798" s="33">
        <f>IFERROR(__xludf.DUMMYFUNCTION("""COMPUTED_VALUE"""),1.0)</f>
        <v>1</v>
      </c>
      <c r="W7798" s="4" t="str">
        <f>IFERROR(__xludf.DUMMYFUNCTION("""COMPUTED_VALUE"""),"Vuca Solution")</f>
        <v>Vuca Solution</v>
      </c>
      <c r="X7798" s="33">
        <f>IFERROR(__xludf.DUMMYFUNCTION("""COMPUTED_VALUE"""),0.5)</f>
        <v>0.5</v>
      </c>
    </row>
    <row r="7799">
      <c r="K7799" s="4" t="str">
        <f>IFERROR(__xludf.DUMMYFUNCTION("""COMPUTED_VALUE"""),"RESTAURANTE SANTOS - CONTA MARCA")</f>
        <v>RESTAURANTE SANTOS - CONTA MARCA</v>
      </c>
      <c r="L7799" s="32">
        <f>IFERROR(__xludf.DUMMYFUNCTION("""COMPUTED_VALUE"""),2.0)</f>
        <v>2</v>
      </c>
      <c r="M7799" s="4" t="str">
        <f>IFERROR(__xludf.DUMMYFUNCTION("""COMPUTED_VALUE"""),"Saipos Serviços De Software")</f>
        <v>Saipos Serviços De Software</v>
      </c>
      <c r="N7799" s="33">
        <f>IFERROR(__xludf.DUMMYFUNCTION("""COMPUTED_VALUE"""),1.0)</f>
        <v>1</v>
      </c>
      <c r="O7799" s="4" t="str">
        <f>IFERROR(__xludf.DUMMYFUNCTION("""COMPUTED_VALUE"""),"Saipos Serviços De Software")</f>
        <v>Saipos Serviços De Software</v>
      </c>
      <c r="P7799" s="33">
        <f>IFERROR(__xludf.DUMMYFUNCTION("""COMPUTED_VALUE"""),1.0)</f>
        <v>1</v>
      </c>
      <c r="Q7799" s="4" t="str">
        <f>IFERROR(__xludf.DUMMYFUNCTION("""COMPUTED_VALUE"""),"Saipos Serviços De Software")</f>
        <v>Saipos Serviços De Software</v>
      </c>
      <c r="R7799" s="33">
        <f>IFERROR(__xludf.DUMMYFUNCTION("""COMPUTED_VALUE"""),1.0)</f>
        <v>1</v>
      </c>
      <c r="S7799" s="4" t="str">
        <f>IFERROR(__xludf.DUMMYFUNCTION("""COMPUTED_VALUE"""),"Saipos Serviços De Software")</f>
        <v>Saipos Serviços De Software</v>
      </c>
      <c r="T7799" s="33">
        <f>IFERROR(__xludf.DUMMYFUNCTION("""COMPUTED_VALUE"""),1.0)</f>
        <v>1</v>
      </c>
      <c r="U7799" s="4" t="str">
        <f>IFERROR(__xludf.DUMMYFUNCTION("""COMPUTED_VALUE"""),"Saipos Serviços De Software")</f>
        <v>Saipos Serviços De Software</v>
      </c>
      <c r="V7799" s="33">
        <f>IFERROR(__xludf.DUMMYFUNCTION("""COMPUTED_VALUE"""),1.0)</f>
        <v>1</v>
      </c>
      <c r="W7799" s="4" t="str">
        <f>IFERROR(__xludf.DUMMYFUNCTION("""COMPUTED_VALUE"""),"Saipos Serviços De Software")</f>
        <v>Saipos Serviços De Software</v>
      </c>
      <c r="X7799" s="33">
        <f>IFERROR(__xludf.DUMMYFUNCTION("""COMPUTED_VALUE"""),1.0)</f>
        <v>1</v>
      </c>
    </row>
    <row r="7800">
      <c r="K7800" s="4" t="str">
        <f>IFERROR(__xludf.DUMMYFUNCTION("""COMPUTED_VALUE"""),"RESTAURANTE TERRACO")</f>
        <v>RESTAURANTE TERRACO</v>
      </c>
      <c r="L7800" s="32">
        <f>IFERROR(__xludf.DUMMYFUNCTION("""COMPUTED_VALUE"""),2.0)</f>
        <v>2</v>
      </c>
      <c r="M7800" s="4" t="str">
        <f>IFERROR(__xludf.DUMMYFUNCTION("""COMPUTED_VALUE"""),"Menew - Linx")</f>
        <v>Menew - Linx</v>
      </c>
      <c r="N7800" s="33">
        <f>IFERROR(__xludf.DUMMYFUNCTION("""COMPUTED_VALUE"""),1.0)</f>
        <v>1</v>
      </c>
      <c r="O7800" s="4" t="str">
        <f>IFERROR(__xludf.DUMMYFUNCTION("""COMPUTED_VALUE"""),"Menew - Linx")</f>
        <v>Menew - Linx</v>
      </c>
      <c r="P7800" s="33">
        <f>IFERROR(__xludf.DUMMYFUNCTION("""COMPUTED_VALUE"""),1.0)</f>
        <v>1</v>
      </c>
      <c r="Q7800" s="4" t="str">
        <f>IFERROR(__xludf.DUMMYFUNCTION("""COMPUTED_VALUE"""),"Menew - Linx")</f>
        <v>Menew - Linx</v>
      </c>
      <c r="R7800" s="33">
        <f>IFERROR(__xludf.DUMMYFUNCTION("""COMPUTED_VALUE"""),1.0)</f>
        <v>1</v>
      </c>
      <c r="S7800" s="4" t="str">
        <f>IFERROR(__xludf.DUMMYFUNCTION("""COMPUTED_VALUE"""),"Menew - Linx")</f>
        <v>Menew - Linx</v>
      </c>
      <c r="T7800" s="33">
        <f>IFERROR(__xludf.DUMMYFUNCTION("""COMPUTED_VALUE"""),1.0)</f>
        <v>1</v>
      </c>
      <c r="U7800" s="4" t="str">
        <f>IFERROR(__xludf.DUMMYFUNCTION("""COMPUTED_VALUE"""),"null")</f>
        <v>null</v>
      </c>
      <c r="V7800" s="33">
        <f>IFERROR(__xludf.DUMMYFUNCTION("""COMPUTED_VALUE"""),0.5)</f>
        <v>0.5</v>
      </c>
      <c r="W7800" s="4" t="str">
        <f>IFERROR(__xludf.DUMMYFUNCTION("""COMPUTED_VALUE"""),"null")</f>
        <v>null</v>
      </c>
      <c r="X7800" s="33">
        <f>IFERROR(__xludf.DUMMYFUNCTION("""COMPUTED_VALUE"""),0.5)</f>
        <v>0.5</v>
      </c>
    </row>
    <row r="7801">
      <c r="K7801" s="4" t="str">
        <f>IFERROR(__xludf.DUMMYFUNCTION("""COMPUTED_VALUE"""),"RESTAURANTE TIMBO")</f>
        <v>RESTAURANTE TIMBO</v>
      </c>
      <c r="L7801" s="32">
        <f>IFERROR(__xludf.DUMMYFUNCTION("""COMPUTED_VALUE"""),2.0)</f>
        <v>2</v>
      </c>
      <c r="M7801" s="4" t="str">
        <f>IFERROR(__xludf.DUMMYFUNCTION("""COMPUTED_VALUE"""),"Gestor Tecnologia E Gestão Empresarial Ltda")</f>
        <v>Gestor Tecnologia E Gestão Empresarial Ltda</v>
      </c>
      <c r="N7801" s="33">
        <f>IFERROR(__xludf.DUMMYFUNCTION("""COMPUTED_VALUE"""),1.0)</f>
        <v>1</v>
      </c>
      <c r="O7801" s="4" t="str">
        <f>IFERROR(__xludf.DUMMYFUNCTION("""COMPUTED_VALUE"""),"Gestor Tecnologia E Gestão Empresarial Ltda")</f>
        <v>Gestor Tecnologia E Gestão Empresarial Ltda</v>
      </c>
      <c r="P7801" s="33">
        <f>IFERROR(__xludf.DUMMYFUNCTION("""COMPUTED_VALUE"""),1.0)</f>
        <v>1</v>
      </c>
      <c r="Q7801" s="4" t="str">
        <f>IFERROR(__xludf.DUMMYFUNCTION("""COMPUTED_VALUE"""),"Gestor Tecnologia E Gestão Empresarial Ltda")</f>
        <v>Gestor Tecnologia E Gestão Empresarial Ltda</v>
      </c>
      <c r="R7801" s="33">
        <f>IFERROR(__xludf.DUMMYFUNCTION("""COMPUTED_VALUE"""),1.0)</f>
        <v>1</v>
      </c>
      <c r="S7801" s="4" t="str">
        <f>IFERROR(__xludf.DUMMYFUNCTION("""COMPUTED_VALUE"""),"Gestor Tecnologia E Gestão Empresarial Ltda")</f>
        <v>Gestor Tecnologia E Gestão Empresarial Ltda</v>
      </c>
      <c r="T7801" s="33">
        <f>IFERROR(__xludf.DUMMYFUNCTION("""COMPUTED_VALUE"""),1.0)</f>
        <v>1</v>
      </c>
      <c r="U7801" s="4" t="str">
        <f>IFERROR(__xludf.DUMMYFUNCTION("""COMPUTED_VALUE"""),"Gestor Tecnologia E Gestão Empresarial Ltda")</f>
        <v>Gestor Tecnologia E Gestão Empresarial Ltda</v>
      </c>
      <c r="V7801" s="33">
        <f>IFERROR(__xludf.DUMMYFUNCTION("""COMPUTED_VALUE"""),1.0)</f>
        <v>1</v>
      </c>
      <c r="W7801" s="4" t="str">
        <f>IFERROR(__xludf.DUMMYFUNCTION("""COMPUTED_VALUE"""),"Gestor Tecnologia E Gestão Empresarial Ltda")</f>
        <v>Gestor Tecnologia E Gestão Empresarial Ltda</v>
      </c>
      <c r="X7801" s="33">
        <f>IFERROR(__xludf.DUMMYFUNCTION("""COMPUTED_VALUE"""),1.0)</f>
        <v>1</v>
      </c>
    </row>
    <row r="7802">
      <c r="K7802" s="4" t="str">
        <f>IFERROR(__xludf.DUMMYFUNCTION("""COMPUTED_VALUE"""),"RESTAURANTE VICTOR")</f>
        <v>RESTAURANTE VICTOR</v>
      </c>
      <c r="L7802" s="32">
        <f>IFERROR(__xludf.DUMMYFUNCTION("""COMPUTED_VALUE"""),2.0)</f>
        <v>2</v>
      </c>
      <c r="M7802" s="4" t="str">
        <f>IFERROR(__xludf.DUMMYFUNCTION("""COMPUTED_VALUE"""),"Saipos Serviços De Software")</f>
        <v>Saipos Serviços De Software</v>
      </c>
      <c r="N7802" s="33">
        <f>IFERROR(__xludf.DUMMYFUNCTION("""COMPUTED_VALUE"""),0.5)</f>
        <v>0.5</v>
      </c>
      <c r="O7802" s="4" t="str">
        <f>IFERROR(__xludf.DUMMYFUNCTION("""COMPUTED_VALUE"""),"Saipos Serviços De Software")</f>
        <v>Saipos Serviços De Software</v>
      </c>
      <c r="P7802" s="33">
        <f>IFERROR(__xludf.DUMMYFUNCTION("""COMPUTED_VALUE"""),0.5)</f>
        <v>0.5</v>
      </c>
      <c r="Q7802" s="4" t="str">
        <f>IFERROR(__xludf.DUMMYFUNCTION("""COMPUTED_VALUE"""),"Saipos Serviços De Software")</f>
        <v>Saipos Serviços De Software</v>
      </c>
      <c r="R7802" s="33">
        <f>IFERROR(__xludf.DUMMYFUNCTION("""COMPUTED_VALUE"""),0.5)</f>
        <v>0.5</v>
      </c>
      <c r="S7802" s="4" t="str">
        <f>IFERROR(__xludf.DUMMYFUNCTION("""COMPUTED_VALUE"""),"Saipos Serviços De Software")</f>
        <v>Saipos Serviços De Software</v>
      </c>
      <c r="T7802" s="33">
        <f>IFERROR(__xludf.DUMMYFUNCTION("""COMPUTED_VALUE"""),0.5)</f>
        <v>0.5</v>
      </c>
      <c r="U7802" s="4" t="str">
        <f>IFERROR(__xludf.DUMMYFUNCTION("""COMPUTED_VALUE"""),"Saipos Serviços De Software")</f>
        <v>Saipos Serviços De Software</v>
      </c>
      <c r="V7802" s="33">
        <f>IFERROR(__xludf.DUMMYFUNCTION("""COMPUTED_VALUE"""),0.5)</f>
        <v>0.5</v>
      </c>
      <c r="W7802" s="4" t="str">
        <f>IFERROR(__xludf.DUMMYFUNCTION("""COMPUTED_VALUE"""),"Saipos Serviços De Software")</f>
        <v>Saipos Serviços De Software</v>
      </c>
      <c r="X7802" s="33">
        <f>IFERROR(__xludf.DUMMYFUNCTION("""COMPUTED_VALUE"""),1.0)</f>
        <v>1</v>
      </c>
    </row>
    <row r="7803">
      <c r="K7803" s="4" t="str">
        <f>IFERROR(__xludf.DUMMYFUNCTION("""COMPUTED_VALUE"""),"RICES LANCHES E CAFE")</f>
        <v>RICES LANCHES E CAFE</v>
      </c>
      <c r="L7803" s="32">
        <f>IFERROR(__xludf.DUMMYFUNCTION("""COMPUTED_VALUE"""),2.0)</f>
        <v>2</v>
      </c>
      <c r="M7803" s="4" t="str">
        <f>IFERROR(__xludf.DUMMYFUNCTION("""COMPUTED_VALUE"""),"null")</f>
        <v>null</v>
      </c>
      <c r="N7803" s="33">
        <f>IFERROR(__xludf.DUMMYFUNCTION("""COMPUTED_VALUE"""),1.0)</f>
        <v>1</v>
      </c>
      <c r="O7803" s="4" t="str">
        <f>IFERROR(__xludf.DUMMYFUNCTION("""COMPUTED_VALUE"""),"null")</f>
        <v>null</v>
      </c>
      <c r="P7803" s="33">
        <f>IFERROR(__xludf.DUMMYFUNCTION("""COMPUTED_VALUE"""),1.0)</f>
        <v>1</v>
      </c>
      <c r="Q7803" s="4" t="str">
        <f>IFERROR(__xludf.DUMMYFUNCTION("""COMPUTED_VALUE"""),"Saipos Serviços De Software")</f>
        <v>Saipos Serviços De Software</v>
      </c>
      <c r="R7803" s="33">
        <f>IFERROR(__xludf.DUMMYFUNCTION("""COMPUTED_VALUE"""),1.0)</f>
        <v>1</v>
      </c>
      <c r="S7803" s="4" t="str">
        <f>IFERROR(__xludf.DUMMYFUNCTION("""COMPUTED_VALUE"""),"Saipos Serviços De Software")</f>
        <v>Saipos Serviços De Software</v>
      </c>
      <c r="T7803" s="33">
        <f>IFERROR(__xludf.DUMMYFUNCTION("""COMPUTED_VALUE"""),1.0)</f>
        <v>1</v>
      </c>
      <c r="U7803" s="4" t="str">
        <f>IFERROR(__xludf.DUMMYFUNCTION("""COMPUTED_VALUE"""),"Saipos Serviços De Software")</f>
        <v>Saipos Serviços De Software</v>
      </c>
      <c r="V7803" s="33">
        <f>IFERROR(__xludf.DUMMYFUNCTION("""COMPUTED_VALUE"""),1.0)</f>
        <v>1</v>
      </c>
      <c r="W7803" s="4" t="str">
        <f>IFERROR(__xludf.DUMMYFUNCTION("""COMPUTED_VALUE"""),"null")</f>
        <v>null</v>
      </c>
      <c r="X7803" s="33">
        <f>IFERROR(__xludf.DUMMYFUNCTION("""COMPUTED_VALUE"""),0.5)</f>
        <v>0.5</v>
      </c>
    </row>
    <row r="7804">
      <c r="K7804" s="4" t="str">
        <f>IFERROR(__xludf.DUMMYFUNCTION("""COMPUTED_VALUE"""),"RIGO HAMBURGUERIA - CONTA MARCA")</f>
        <v>RIGO HAMBURGUERIA - CONTA MARCA</v>
      </c>
      <c r="L7804" s="32">
        <f>IFERROR(__xludf.DUMMYFUNCTION("""COMPUTED_VALUE"""),2.0)</f>
        <v>2</v>
      </c>
      <c r="M7804" s="4" t="str">
        <f>IFERROR(__xludf.DUMMYFUNCTION("""COMPUTED_VALUE"""),"Beefood - Sistema Para Restaurantes")</f>
        <v>Beefood - Sistema Para Restaurantes</v>
      </c>
      <c r="N7804" s="33">
        <f>IFERROR(__xludf.DUMMYFUNCTION("""COMPUTED_VALUE"""),1.0)</f>
        <v>1</v>
      </c>
      <c r="O7804" s="4" t="str">
        <f>IFERROR(__xludf.DUMMYFUNCTION("""COMPUTED_VALUE"""),"Beefood - Sistema Para Restaurantes")</f>
        <v>Beefood - Sistema Para Restaurantes</v>
      </c>
      <c r="P7804" s="33">
        <f>IFERROR(__xludf.DUMMYFUNCTION("""COMPUTED_VALUE"""),1.0)</f>
        <v>1</v>
      </c>
      <c r="Q7804" s="4" t="str">
        <f>IFERROR(__xludf.DUMMYFUNCTION("""COMPUTED_VALUE"""),"Beefood - Sistema Para Restaurantes")</f>
        <v>Beefood - Sistema Para Restaurantes</v>
      </c>
      <c r="R7804" s="33">
        <f>IFERROR(__xludf.DUMMYFUNCTION("""COMPUTED_VALUE"""),1.0)</f>
        <v>1</v>
      </c>
      <c r="S7804" s="4" t="str">
        <f>IFERROR(__xludf.DUMMYFUNCTION("""COMPUTED_VALUE"""),"Beefood - Sistema Para Restaurantes")</f>
        <v>Beefood - Sistema Para Restaurantes</v>
      </c>
      <c r="T7804" s="33">
        <f>IFERROR(__xludf.DUMMYFUNCTION("""COMPUTED_VALUE"""),1.0)</f>
        <v>1</v>
      </c>
      <c r="U7804" s="4" t="str">
        <f>IFERROR(__xludf.DUMMYFUNCTION("""COMPUTED_VALUE"""),"Beefood - Sistema Para Restaurantes")</f>
        <v>Beefood - Sistema Para Restaurantes</v>
      </c>
      <c r="V7804" s="33">
        <f>IFERROR(__xludf.DUMMYFUNCTION("""COMPUTED_VALUE"""),1.0)</f>
        <v>1</v>
      </c>
      <c r="W7804" s="4" t="str">
        <f>IFERROR(__xludf.DUMMYFUNCTION("""COMPUTED_VALUE"""),"Beefood - Sistema Para Restaurantes")</f>
        <v>Beefood - Sistema Para Restaurantes</v>
      </c>
      <c r="X7804" s="33">
        <f>IFERROR(__xludf.DUMMYFUNCTION("""COMPUTED_VALUE"""),1.0)</f>
        <v>1</v>
      </c>
    </row>
    <row r="7805">
      <c r="K7805" s="4" t="str">
        <f>IFERROR(__xludf.DUMMYFUNCTION("""COMPUTED_VALUE"""),"ROCK BURGER CUYABA")</f>
        <v>ROCK BURGER CUYABA</v>
      </c>
      <c r="L7805" s="32">
        <f>IFERROR(__xludf.DUMMYFUNCTION("""COMPUTED_VALUE"""),2.0)</f>
        <v>2</v>
      </c>
      <c r="M7805" s="4" t="str">
        <f>IFERROR(__xludf.DUMMYFUNCTION("""COMPUTED_VALUE"""),"Tacto Sistemas")</f>
        <v>Tacto Sistemas</v>
      </c>
      <c r="N7805" s="33">
        <f>IFERROR(__xludf.DUMMYFUNCTION("""COMPUTED_VALUE"""),1.0)</f>
        <v>1</v>
      </c>
      <c r="O7805" s="4" t="str">
        <f>IFERROR(__xludf.DUMMYFUNCTION("""COMPUTED_VALUE"""),"Tacto Sistemas")</f>
        <v>Tacto Sistemas</v>
      </c>
      <c r="P7805" s="33">
        <f>IFERROR(__xludf.DUMMYFUNCTION("""COMPUTED_VALUE"""),0.5)</f>
        <v>0.5</v>
      </c>
      <c r="Q7805" s="4" t="str">
        <f>IFERROR(__xludf.DUMMYFUNCTION("""COMPUTED_VALUE"""),"Tacto Sistemas")</f>
        <v>Tacto Sistemas</v>
      </c>
      <c r="R7805" s="33">
        <f>IFERROR(__xludf.DUMMYFUNCTION("""COMPUTED_VALUE"""),0.5)</f>
        <v>0.5</v>
      </c>
      <c r="S7805" s="4" t="str">
        <f>IFERROR(__xludf.DUMMYFUNCTION("""COMPUTED_VALUE"""),"Tacto Sistemas")</f>
        <v>Tacto Sistemas</v>
      </c>
      <c r="T7805" s="33">
        <f>IFERROR(__xludf.DUMMYFUNCTION("""COMPUTED_VALUE"""),0.5)</f>
        <v>0.5</v>
      </c>
      <c r="U7805" s="4" t="str">
        <f>IFERROR(__xludf.DUMMYFUNCTION("""COMPUTED_VALUE"""),"null")</f>
        <v>null</v>
      </c>
      <c r="V7805" s="33">
        <f>IFERROR(__xludf.DUMMYFUNCTION("""COMPUTED_VALUE"""),1.0)</f>
        <v>1</v>
      </c>
      <c r="W7805" s="4" t="str">
        <f>IFERROR(__xludf.DUMMYFUNCTION("""COMPUTED_VALUE"""),"Tacto Sistemas")</f>
        <v>Tacto Sistemas</v>
      </c>
      <c r="X7805" s="33">
        <f>IFERROR(__xludf.DUMMYFUNCTION("""COMPUTED_VALUE"""),0.5)</f>
        <v>0.5</v>
      </c>
    </row>
    <row r="7806">
      <c r="K7806" s="4" t="str">
        <f>IFERROR(__xludf.DUMMYFUNCTION("""COMPUTED_VALUE"""),"ROCK, AMOR E PIZZA")</f>
        <v>ROCK, AMOR E PIZZA</v>
      </c>
      <c r="L7806" s="32">
        <f>IFERROR(__xludf.DUMMYFUNCTION("""COMPUTED_VALUE"""),2.0)</f>
        <v>2</v>
      </c>
      <c r="M7806" s="4" t="str">
        <f>IFERROR(__xludf.DUMMYFUNCTION("""COMPUTED_VALUE"""),"Saipos Serviços De Software")</f>
        <v>Saipos Serviços De Software</v>
      </c>
      <c r="N7806" s="33">
        <f>IFERROR(__xludf.DUMMYFUNCTION("""COMPUTED_VALUE"""),1.0)</f>
        <v>1</v>
      </c>
      <c r="O7806" s="4" t="str">
        <f>IFERROR(__xludf.DUMMYFUNCTION("""COMPUTED_VALUE"""),"Saipos Serviços De Software")</f>
        <v>Saipos Serviços De Software</v>
      </c>
      <c r="P7806" s="33">
        <f>IFERROR(__xludf.DUMMYFUNCTION("""COMPUTED_VALUE"""),1.0)</f>
        <v>1</v>
      </c>
      <c r="Q7806" s="4" t="str">
        <f>IFERROR(__xludf.DUMMYFUNCTION("""COMPUTED_VALUE"""),"Saipos Serviços De Software")</f>
        <v>Saipos Serviços De Software</v>
      </c>
      <c r="R7806" s="33">
        <f>IFERROR(__xludf.DUMMYFUNCTION("""COMPUTED_VALUE"""),1.0)</f>
        <v>1</v>
      </c>
      <c r="S7806" s="4" t="str">
        <f>IFERROR(__xludf.DUMMYFUNCTION("""COMPUTED_VALUE"""),"Saipos Serviços De Software")</f>
        <v>Saipos Serviços De Software</v>
      </c>
      <c r="T7806" s="33">
        <f>IFERROR(__xludf.DUMMYFUNCTION("""COMPUTED_VALUE"""),1.0)</f>
        <v>1</v>
      </c>
      <c r="U7806" s="4" t="str">
        <f>IFERROR(__xludf.DUMMYFUNCTION("""COMPUTED_VALUE"""),"Saipos Serviços De Software")</f>
        <v>Saipos Serviços De Software</v>
      </c>
      <c r="V7806" s="33">
        <f>IFERROR(__xludf.DUMMYFUNCTION("""COMPUTED_VALUE"""),1.0)</f>
        <v>1</v>
      </c>
      <c r="W7806" s="4" t="str">
        <f>IFERROR(__xludf.DUMMYFUNCTION("""COMPUTED_VALUE"""),"Saipos Serviços De Software")</f>
        <v>Saipos Serviços De Software</v>
      </c>
      <c r="X7806" s="33">
        <f>IFERROR(__xludf.DUMMYFUNCTION("""COMPUTED_VALUE"""),1.0)</f>
        <v>1</v>
      </c>
    </row>
    <row r="7807">
      <c r="K7807" s="4" t="str">
        <f>IFERROR(__xludf.DUMMYFUNCTION("""COMPUTED_VALUE"""),"ROCKY POINT BURGERS - MARCA")</f>
        <v>ROCKY POINT BURGERS - MARCA</v>
      </c>
      <c r="L7807" s="32">
        <f>IFERROR(__xludf.DUMMYFUNCTION("""COMPUTED_VALUE"""),2.0)</f>
        <v>2</v>
      </c>
      <c r="M7807" s="4" t="str">
        <f>IFERROR(__xludf.DUMMYFUNCTION("""COMPUTED_VALUE"""),"Saipos Serviços De Software")</f>
        <v>Saipos Serviços De Software</v>
      </c>
      <c r="N7807" s="33">
        <f>IFERROR(__xludf.DUMMYFUNCTION("""COMPUTED_VALUE"""),1.0)</f>
        <v>1</v>
      </c>
      <c r="O7807" s="4" t="str">
        <f>IFERROR(__xludf.DUMMYFUNCTION("""COMPUTED_VALUE"""),"Saipos Serviços De Software")</f>
        <v>Saipos Serviços De Software</v>
      </c>
      <c r="P7807" s="33">
        <f>IFERROR(__xludf.DUMMYFUNCTION("""COMPUTED_VALUE"""),0.5)</f>
        <v>0.5</v>
      </c>
      <c r="Q7807" s="4" t="str">
        <f>IFERROR(__xludf.DUMMYFUNCTION("""COMPUTED_VALUE"""),"Saipos Serviços De Software")</f>
        <v>Saipos Serviços De Software</v>
      </c>
      <c r="R7807" s="33">
        <f>IFERROR(__xludf.DUMMYFUNCTION("""COMPUTED_VALUE"""),0.5)</f>
        <v>0.5</v>
      </c>
      <c r="S7807" s="4" t="str">
        <f>IFERROR(__xludf.DUMMYFUNCTION("""COMPUTED_VALUE"""),"Saipos Serviços De Software")</f>
        <v>Saipos Serviços De Software</v>
      </c>
      <c r="T7807" s="33">
        <f>IFERROR(__xludf.DUMMYFUNCTION("""COMPUTED_VALUE"""),0.5)</f>
        <v>0.5</v>
      </c>
      <c r="U7807" s="4" t="str">
        <f>IFERROR(__xludf.DUMMYFUNCTION("""COMPUTED_VALUE"""),"Saipos Serviços De Software")</f>
        <v>Saipos Serviços De Software</v>
      </c>
      <c r="V7807" s="33">
        <f>IFERROR(__xludf.DUMMYFUNCTION("""COMPUTED_VALUE"""),0.5)</f>
        <v>0.5</v>
      </c>
      <c r="W7807" s="4" t="str">
        <f>IFERROR(__xludf.DUMMYFUNCTION("""COMPUTED_VALUE"""),"Suitable Tecnologia E Gestao")</f>
        <v>Suitable Tecnologia E Gestao</v>
      </c>
      <c r="X7807" s="33">
        <f>IFERROR(__xludf.DUMMYFUNCTION("""COMPUTED_VALUE"""),1.0)</f>
        <v>1</v>
      </c>
    </row>
    <row r="7808">
      <c r="K7808" s="4" t="str">
        <f>IFERROR(__xludf.DUMMYFUNCTION("""COMPUTED_VALUE"""),"ROGERS BURGER")</f>
        <v>ROGERS BURGER</v>
      </c>
      <c r="L7808" s="32">
        <f>IFERROR(__xludf.DUMMYFUNCTION("""COMPUTED_VALUE"""),2.0)</f>
        <v>2</v>
      </c>
      <c r="M7808" s="4" t="str">
        <f>IFERROR(__xludf.DUMMYFUNCTION("""COMPUTED_VALUE"""),"Saipos Serviços De Software")</f>
        <v>Saipos Serviços De Software</v>
      </c>
      <c r="N7808" s="33">
        <f>IFERROR(__xludf.DUMMYFUNCTION("""COMPUTED_VALUE"""),1.0)</f>
        <v>1</v>
      </c>
      <c r="O7808" s="4" t="str">
        <f>IFERROR(__xludf.DUMMYFUNCTION("""COMPUTED_VALUE"""),"Saipos Serviços De Software")</f>
        <v>Saipos Serviços De Software</v>
      </c>
      <c r="P7808" s="33">
        <f>IFERROR(__xludf.DUMMYFUNCTION("""COMPUTED_VALUE"""),1.0)</f>
        <v>1</v>
      </c>
      <c r="Q7808" s="4" t="str">
        <f>IFERROR(__xludf.DUMMYFUNCTION("""COMPUTED_VALUE"""),"Saipos Serviços De Software")</f>
        <v>Saipos Serviços De Software</v>
      </c>
      <c r="R7808" s="33">
        <f>IFERROR(__xludf.DUMMYFUNCTION("""COMPUTED_VALUE"""),1.0)</f>
        <v>1</v>
      </c>
      <c r="S7808" s="4" t="str">
        <f>IFERROR(__xludf.DUMMYFUNCTION("""COMPUTED_VALUE"""),"Saipos Serviços De Software")</f>
        <v>Saipos Serviços De Software</v>
      </c>
      <c r="T7808" s="33">
        <f>IFERROR(__xludf.DUMMYFUNCTION("""COMPUTED_VALUE"""),1.0)</f>
        <v>1</v>
      </c>
      <c r="U7808" s="4" t="str">
        <f>IFERROR(__xludf.DUMMYFUNCTION("""COMPUTED_VALUE"""),"Saipos Serviços De Software")</f>
        <v>Saipos Serviços De Software</v>
      </c>
      <c r="V7808" s="33">
        <f>IFERROR(__xludf.DUMMYFUNCTION("""COMPUTED_VALUE"""),1.0)</f>
        <v>1</v>
      </c>
      <c r="W7808" s="4" t="str">
        <f>IFERROR(__xludf.DUMMYFUNCTION("""COMPUTED_VALUE"""),"Saipos Serviços De Software")</f>
        <v>Saipos Serviços De Software</v>
      </c>
      <c r="X7808" s="33">
        <f>IFERROR(__xludf.DUMMYFUNCTION("""COMPUTED_VALUE"""),1.0)</f>
        <v>1</v>
      </c>
    </row>
    <row r="7809">
      <c r="K7809" s="4" t="str">
        <f>IFERROR(__xludf.DUMMYFUNCTION("""COMPUTED_VALUE"""),"RONCHUS BURGER")</f>
        <v>RONCHUS BURGER</v>
      </c>
      <c r="L7809" s="32">
        <f>IFERROR(__xludf.DUMMYFUNCTION("""COMPUTED_VALUE"""),2.0)</f>
        <v>2</v>
      </c>
      <c r="M7809" s="4" t="str">
        <f>IFERROR(__xludf.DUMMYFUNCTION("""COMPUTED_VALUE"""),"Saipos Serviços De Software")</f>
        <v>Saipos Serviços De Software</v>
      </c>
      <c r="N7809" s="33">
        <f>IFERROR(__xludf.DUMMYFUNCTION("""COMPUTED_VALUE"""),1.0)</f>
        <v>1</v>
      </c>
      <c r="O7809" s="4" t="str">
        <f>IFERROR(__xludf.DUMMYFUNCTION("""COMPUTED_VALUE"""),"Saipos Serviços De Software")</f>
        <v>Saipos Serviços De Software</v>
      </c>
      <c r="P7809" s="33">
        <f>IFERROR(__xludf.DUMMYFUNCTION("""COMPUTED_VALUE"""),1.0)</f>
        <v>1</v>
      </c>
      <c r="Q7809" s="4" t="str">
        <f>IFERROR(__xludf.DUMMYFUNCTION("""COMPUTED_VALUE"""),"Saipos Serviços De Software")</f>
        <v>Saipos Serviços De Software</v>
      </c>
      <c r="R7809" s="33">
        <f>IFERROR(__xludf.DUMMYFUNCTION("""COMPUTED_VALUE"""),0.5)</f>
        <v>0.5</v>
      </c>
      <c r="S7809" s="4" t="str">
        <f>IFERROR(__xludf.DUMMYFUNCTION("""COMPUTED_VALUE"""),"Saipos Serviços De Software")</f>
        <v>Saipos Serviços De Software</v>
      </c>
      <c r="T7809" s="33">
        <f>IFERROR(__xludf.DUMMYFUNCTION("""COMPUTED_VALUE"""),0.5)</f>
        <v>0.5</v>
      </c>
      <c r="U7809" s="4" t="str">
        <f>IFERROR(__xludf.DUMMYFUNCTION("""COMPUTED_VALUE"""),"Saipos Serviços De Software")</f>
        <v>Saipos Serviços De Software</v>
      </c>
      <c r="V7809" s="33">
        <f>IFERROR(__xludf.DUMMYFUNCTION("""COMPUTED_VALUE"""),0.5)</f>
        <v>0.5</v>
      </c>
      <c r="W7809" s="4" t="str">
        <f>IFERROR(__xludf.DUMMYFUNCTION("""COMPUTED_VALUE"""),"Saipos Serviços De Software")</f>
        <v>Saipos Serviços De Software</v>
      </c>
      <c r="X7809" s="33">
        <f>IFERROR(__xludf.DUMMYFUNCTION("""COMPUTED_VALUE"""),0.5)</f>
        <v>0.5</v>
      </c>
    </row>
    <row r="7810">
      <c r="K7810" s="4" t="str">
        <f>IFERROR(__xludf.DUMMYFUNCTION("""COMPUTED_VALUE"""),"RONCHUS BURGER - CONTA PAI")</f>
        <v>RONCHUS BURGER - CONTA PAI</v>
      </c>
      <c r="L7810" s="32">
        <f>IFERROR(__xludf.DUMMYFUNCTION("""COMPUTED_VALUE"""),2.0)</f>
        <v>2</v>
      </c>
      <c r="M7810" s="4" t="str">
        <f>IFERROR(__xludf.DUMMYFUNCTION("""COMPUTED_VALUE"""),"Saipos Serviços De Software")</f>
        <v>Saipos Serviços De Software</v>
      </c>
      <c r="N7810" s="33">
        <f>IFERROR(__xludf.DUMMYFUNCTION("""COMPUTED_VALUE"""),1.0)</f>
        <v>1</v>
      </c>
      <c r="O7810" s="4" t="str">
        <f>IFERROR(__xludf.DUMMYFUNCTION("""COMPUTED_VALUE"""),"Saipos Serviços De Software")</f>
        <v>Saipos Serviços De Software</v>
      </c>
      <c r="P7810" s="33">
        <f>IFERROR(__xludf.DUMMYFUNCTION("""COMPUTED_VALUE"""),1.0)</f>
        <v>1</v>
      </c>
      <c r="Q7810" s="4" t="str">
        <f>IFERROR(__xludf.DUMMYFUNCTION("""COMPUTED_VALUE"""),"Saipos Serviços De Software")</f>
        <v>Saipos Serviços De Software</v>
      </c>
      <c r="R7810" s="33">
        <f>IFERROR(__xludf.DUMMYFUNCTION("""COMPUTED_VALUE"""),0.5)</f>
        <v>0.5</v>
      </c>
      <c r="S7810" s="4" t="str">
        <f>IFERROR(__xludf.DUMMYFUNCTION("""COMPUTED_VALUE"""),"Saipos Serviços De Software")</f>
        <v>Saipos Serviços De Software</v>
      </c>
      <c r="T7810" s="33">
        <f>IFERROR(__xludf.DUMMYFUNCTION("""COMPUTED_VALUE"""),0.5)</f>
        <v>0.5</v>
      </c>
      <c r="U7810" s="4" t="str">
        <f>IFERROR(__xludf.DUMMYFUNCTION("""COMPUTED_VALUE"""),"Saipos Serviços De Software")</f>
        <v>Saipos Serviços De Software</v>
      </c>
      <c r="V7810" s="33">
        <f>IFERROR(__xludf.DUMMYFUNCTION("""COMPUTED_VALUE"""),0.5)</f>
        <v>0.5</v>
      </c>
      <c r="W7810" s="4" t="str">
        <f>IFERROR(__xludf.DUMMYFUNCTION("""COMPUTED_VALUE"""),"Saipos Serviços De Software")</f>
        <v>Saipos Serviços De Software</v>
      </c>
      <c r="X7810" s="33">
        <f>IFERROR(__xludf.DUMMYFUNCTION("""COMPUTED_VALUE"""),0.5)</f>
        <v>0.5</v>
      </c>
    </row>
    <row r="7811">
      <c r="K7811" s="4" t="str">
        <f>IFERROR(__xludf.DUMMYFUNCTION("""COMPUTED_VALUE"""),"RONDA PIZZARIA")</f>
        <v>RONDA PIZZARIA</v>
      </c>
      <c r="L7811" s="32">
        <f>IFERROR(__xludf.DUMMYFUNCTION("""COMPUTED_VALUE"""),2.0)</f>
        <v>2</v>
      </c>
      <c r="M7811" s="4" t="str">
        <f>IFERROR(__xludf.DUMMYFUNCTION("""COMPUTED_VALUE"""),"Expresso Delivery")</f>
        <v>Expresso Delivery</v>
      </c>
      <c r="N7811" s="33">
        <f>IFERROR(__xludf.DUMMYFUNCTION("""COMPUTED_VALUE"""),0.5)</f>
        <v>0.5</v>
      </c>
      <c r="O7811" s="4" t="str">
        <f>IFERROR(__xludf.DUMMYFUNCTION("""COMPUTED_VALUE"""),"Expresso Delivery")</f>
        <v>Expresso Delivery</v>
      </c>
      <c r="P7811" s="33">
        <f>IFERROR(__xludf.DUMMYFUNCTION("""COMPUTED_VALUE"""),0.5)</f>
        <v>0.5</v>
      </c>
      <c r="Q7811" s="4" t="str">
        <f>IFERROR(__xludf.DUMMYFUNCTION("""COMPUTED_VALUE"""),"Expresso Delivery")</f>
        <v>Expresso Delivery</v>
      </c>
      <c r="R7811" s="33">
        <f>IFERROR(__xludf.DUMMYFUNCTION("""COMPUTED_VALUE"""),0.5)</f>
        <v>0.5</v>
      </c>
      <c r="S7811" s="4" t="str">
        <f>IFERROR(__xludf.DUMMYFUNCTION("""COMPUTED_VALUE"""),"Expresso Delivery")</f>
        <v>Expresso Delivery</v>
      </c>
      <c r="T7811" s="33">
        <f>IFERROR(__xludf.DUMMYFUNCTION("""COMPUTED_VALUE"""),0.5)</f>
        <v>0.5</v>
      </c>
      <c r="U7811" s="4" t="str">
        <f>IFERROR(__xludf.DUMMYFUNCTION("""COMPUTED_VALUE"""),"Expresso Delivery")</f>
        <v>Expresso Delivery</v>
      </c>
      <c r="V7811" s="33">
        <f>IFERROR(__xludf.DUMMYFUNCTION("""COMPUTED_VALUE"""),0.5)</f>
        <v>0.5</v>
      </c>
      <c r="W7811" s="4" t="str">
        <f>IFERROR(__xludf.DUMMYFUNCTION("""COMPUTED_VALUE"""),"Expresso Delivery")</f>
        <v>Expresso Delivery</v>
      </c>
      <c r="X7811" s="33">
        <f>IFERROR(__xludf.DUMMYFUNCTION("""COMPUTED_VALUE"""),0.5)</f>
        <v>0.5</v>
      </c>
    </row>
    <row r="7812">
      <c r="K7812" s="4" t="str">
        <f>IFERROR(__xludf.DUMMYFUNCTION("""COMPUTED_VALUE"""),"ROZZ BURGER - CP")</f>
        <v>ROZZ BURGER - CP</v>
      </c>
      <c r="L7812" s="32">
        <f>IFERROR(__xludf.DUMMYFUNCTION("""COMPUTED_VALUE"""),2.0)</f>
        <v>2</v>
      </c>
      <c r="M7812" s="4" t="str">
        <f>IFERROR(__xludf.DUMMYFUNCTION("""COMPUTED_VALUE"""),"Consumer Soluções Em Tecnologia Ltda")</f>
        <v>Consumer Soluções Em Tecnologia Ltda</v>
      </c>
      <c r="N7812" s="33">
        <f>IFERROR(__xludf.DUMMYFUNCTION("""COMPUTED_VALUE"""),1.0)</f>
        <v>1</v>
      </c>
      <c r="O7812" s="4" t="str">
        <f>IFERROR(__xludf.DUMMYFUNCTION("""COMPUTED_VALUE"""),"Consumer Soluções Em Tecnologia Ltda")</f>
        <v>Consumer Soluções Em Tecnologia Ltda</v>
      </c>
      <c r="P7812" s="33">
        <f>IFERROR(__xludf.DUMMYFUNCTION("""COMPUTED_VALUE"""),0.5)</f>
        <v>0.5</v>
      </c>
      <c r="Q7812" s="4" t="str">
        <f>IFERROR(__xludf.DUMMYFUNCTION("""COMPUTED_VALUE"""),"null")</f>
        <v>null</v>
      </c>
      <c r="R7812" s="33">
        <f>IFERROR(__xludf.DUMMYFUNCTION("""COMPUTED_VALUE"""),1.0)</f>
        <v>1</v>
      </c>
      <c r="S7812" s="4" t="str">
        <f>IFERROR(__xludf.DUMMYFUNCTION("""COMPUTED_VALUE"""),"Consumer Soluções Em Tecnologia Ltda")</f>
        <v>Consumer Soluções Em Tecnologia Ltda</v>
      </c>
      <c r="T7812" s="33">
        <f>IFERROR(__xludf.DUMMYFUNCTION("""COMPUTED_VALUE"""),0.5)</f>
        <v>0.5</v>
      </c>
      <c r="U7812" s="4" t="str">
        <f>IFERROR(__xludf.DUMMYFUNCTION("""COMPUTED_VALUE"""),"Consumer Soluções Em Tecnologia Ltda")</f>
        <v>Consumer Soluções Em Tecnologia Ltda</v>
      </c>
      <c r="V7812" s="33">
        <f>IFERROR(__xludf.DUMMYFUNCTION("""COMPUTED_VALUE"""),0.5)</f>
        <v>0.5</v>
      </c>
      <c r="W7812" s="4" t="str">
        <f>IFERROR(__xludf.DUMMYFUNCTION("""COMPUTED_VALUE"""),"Consumer Soluções Em Tecnologia Ltda")</f>
        <v>Consumer Soluções Em Tecnologia Ltda</v>
      </c>
      <c r="X7812" s="33">
        <f>IFERROR(__xludf.DUMMYFUNCTION("""COMPUTED_VALUE"""),1.0)</f>
        <v>1</v>
      </c>
    </row>
    <row r="7813">
      <c r="K7813" s="4" t="str">
        <f>IFERROR(__xludf.DUMMYFUNCTION("""COMPUTED_VALUE"""),"RUFINOS")</f>
        <v>RUFINOS</v>
      </c>
      <c r="L7813" s="32">
        <f>IFERROR(__xludf.DUMMYFUNCTION("""COMPUTED_VALUE"""),2.0)</f>
        <v>2</v>
      </c>
      <c r="M7813" s="4" t="str">
        <f>IFERROR(__xludf.DUMMYFUNCTION("""COMPUTED_VALUE"""),"Totvs Large Enterprise Tecnologia S.a.")</f>
        <v>Totvs Large Enterprise Tecnologia S.a.</v>
      </c>
      <c r="N7813" s="33">
        <f>IFERROR(__xludf.DUMMYFUNCTION("""COMPUTED_VALUE"""),1.0)</f>
        <v>1</v>
      </c>
      <c r="O7813" s="4" t="str">
        <f>IFERROR(__xludf.DUMMYFUNCTION("""COMPUTED_VALUE"""),"Totvs Large Enterprise Tecnologia S.a.")</f>
        <v>Totvs Large Enterprise Tecnologia S.a.</v>
      </c>
      <c r="P7813" s="33">
        <f>IFERROR(__xludf.DUMMYFUNCTION("""COMPUTED_VALUE"""),1.0)</f>
        <v>1</v>
      </c>
      <c r="Q7813" s="4" t="str">
        <f>IFERROR(__xludf.DUMMYFUNCTION("""COMPUTED_VALUE"""),"Totvs Large Enterprise Tecnologia S.a.")</f>
        <v>Totvs Large Enterprise Tecnologia S.a.</v>
      </c>
      <c r="R7813" s="33">
        <f>IFERROR(__xludf.DUMMYFUNCTION("""COMPUTED_VALUE"""),0.5)</f>
        <v>0.5</v>
      </c>
      <c r="S7813" s="4" t="str">
        <f>IFERROR(__xludf.DUMMYFUNCTION("""COMPUTED_VALUE"""),"null")</f>
        <v>null</v>
      </c>
      <c r="T7813" s="33">
        <f>IFERROR(__xludf.DUMMYFUNCTION("""COMPUTED_VALUE"""),1.0)</f>
        <v>1</v>
      </c>
      <c r="U7813" s="4" t="str">
        <f>IFERROR(__xludf.DUMMYFUNCTION("""COMPUTED_VALUE"""),"Totvs Large Enterprise Tecnologia S.a.")</f>
        <v>Totvs Large Enterprise Tecnologia S.a.</v>
      </c>
      <c r="V7813" s="33">
        <f>IFERROR(__xludf.DUMMYFUNCTION("""COMPUTED_VALUE"""),0.5)</f>
        <v>0.5</v>
      </c>
      <c r="W7813" s="4" t="str">
        <f>IFERROR(__xludf.DUMMYFUNCTION("""COMPUTED_VALUE"""),"Totvs Large Enterprise Tecnologia S.a.")</f>
        <v>Totvs Large Enterprise Tecnologia S.a.</v>
      </c>
      <c r="X7813" s="33">
        <f>IFERROR(__xludf.DUMMYFUNCTION("""COMPUTED_VALUE"""),0.5)</f>
        <v>0.5</v>
      </c>
    </row>
    <row r="7814">
      <c r="K7814" s="4" t="str">
        <f>IFERROR(__xludf.DUMMYFUNCTION("""COMPUTED_VALUE"""),"RUSTIK PRAIA")</f>
        <v>RUSTIK PRAIA</v>
      </c>
      <c r="L7814" s="32">
        <f>IFERROR(__xludf.DUMMYFUNCTION("""COMPUTED_VALUE"""),2.0)</f>
        <v>2</v>
      </c>
      <c r="M7814" s="4" t="str">
        <f>IFERROR(__xludf.DUMMYFUNCTION("""COMPUTED_VALUE"""),"Netcontroll Xmenu")</f>
        <v>Netcontroll Xmenu</v>
      </c>
      <c r="N7814" s="33">
        <f>IFERROR(__xludf.DUMMYFUNCTION("""COMPUTED_VALUE"""),0.5)</f>
        <v>0.5</v>
      </c>
      <c r="O7814" s="4" t="str">
        <f>IFERROR(__xludf.DUMMYFUNCTION("""COMPUTED_VALUE"""),"Netcontroll Xmenu")</f>
        <v>Netcontroll Xmenu</v>
      </c>
      <c r="P7814" s="33">
        <f>IFERROR(__xludf.DUMMYFUNCTION("""COMPUTED_VALUE"""),0.5)</f>
        <v>0.5</v>
      </c>
      <c r="Q7814" s="4" t="str">
        <f>IFERROR(__xludf.DUMMYFUNCTION("""COMPUTED_VALUE"""),"Netcontroll Xmenu")</f>
        <v>Netcontroll Xmenu</v>
      </c>
      <c r="R7814" s="33">
        <f>IFERROR(__xludf.DUMMYFUNCTION("""COMPUTED_VALUE"""),0.5)</f>
        <v>0.5</v>
      </c>
      <c r="S7814" s="4" t="str">
        <f>IFERROR(__xludf.DUMMYFUNCTION("""COMPUTED_VALUE"""),"Netcontroll Xmenu")</f>
        <v>Netcontroll Xmenu</v>
      </c>
      <c r="T7814" s="33">
        <f>IFERROR(__xludf.DUMMYFUNCTION("""COMPUTED_VALUE"""),1.0)</f>
        <v>1</v>
      </c>
      <c r="U7814" s="4" t="str">
        <f>IFERROR(__xludf.DUMMYFUNCTION("""COMPUTED_VALUE"""),"Netcontroll Xmenu")</f>
        <v>Netcontroll Xmenu</v>
      </c>
      <c r="V7814" s="33">
        <f>IFERROR(__xludf.DUMMYFUNCTION("""COMPUTED_VALUE"""),1.0)</f>
        <v>1</v>
      </c>
      <c r="W7814" s="4" t="str">
        <f>IFERROR(__xludf.DUMMYFUNCTION("""COMPUTED_VALUE"""),"Netcontroll Xmenu")</f>
        <v>Netcontroll Xmenu</v>
      </c>
      <c r="X7814" s="33">
        <f>IFERROR(__xludf.DUMMYFUNCTION("""COMPUTED_VALUE"""),1.0)</f>
        <v>1</v>
      </c>
    </row>
    <row r="7815">
      <c r="K7815" s="4" t="str">
        <f>IFERROR(__xludf.DUMMYFUNCTION("""COMPUTED_VALUE"""),"SABATELLI")</f>
        <v>SABATELLI</v>
      </c>
      <c r="L7815" s="32">
        <f>IFERROR(__xludf.DUMMYFUNCTION("""COMPUTED_VALUE"""),2.0)</f>
        <v>2</v>
      </c>
      <c r="M7815" s="4" t="str">
        <f>IFERROR(__xludf.DUMMYFUNCTION("""COMPUTED_VALUE"""),"null")</f>
        <v>null</v>
      </c>
      <c r="N7815" s="33">
        <f>IFERROR(__xludf.DUMMYFUNCTION("""COMPUTED_VALUE"""),1.0)</f>
        <v>1</v>
      </c>
      <c r="O7815" s="4" t="str">
        <f>IFERROR(__xludf.DUMMYFUNCTION("""COMPUTED_VALUE"""),"null")</f>
        <v>null</v>
      </c>
      <c r="P7815" s="33">
        <f>IFERROR(__xludf.DUMMYFUNCTION("""COMPUTED_VALUE"""),1.0)</f>
        <v>1</v>
      </c>
      <c r="Q7815" s="4" t="str">
        <f>IFERROR(__xludf.DUMMYFUNCTION("""COMPUTED_VALUE"""),"Saipos Serviços De Software")</f>
        <v>Saipos Serviços De Software</v>
      </c>
      <c r="R7815" s="33">
        <f>IFERROR(__xludf.DUMMYFUNCTION("""COMPUTED_VALUE"""),1.0)</f>
        <v>1</v>
      </c>
      <c r="S7815" s="4" t="str">
        <f>IFERROR(__xludf.DUMMYFUNCTION("""COMPUTED_VALUE"""),"Saipos Serviços De Software")</f>
        <v>Saipos Serviços De Software</v>
      </c>
      <c r="T7815" s="33">
        <f>IFERROR(__xludf.DUMMYFUNCTION("""COMPUTED_VALUE"""),1.0)</f>
        <v>1</v>
      </c>
      <c r="U7815" s="4" t="str">
        <f>IFERROR(__xludf.DUMMYFUNCTION("""COMPUTED_VALUE"""),"Saipos Serviços De Software")</f>
        <v>Saipos Serviços De Software</v>
      </c>
      <c r="V7815" s="33">
        <f>IFERROR(__xludf.DUMMYFUNCTION("""COMPUTED_VALUE"""),0.5)</f>
        <v>0.5</v>
      </c>
      <c r="W7815" s="4" t="str">
        <f>IFERROR(__xludf.DUMMYFUNCTION("""COMPUTED_VALUE"""),"Saipos Serviços De Software")</f>
        <v>Saipos Serviços De Software</v>
      </c>
      <c r="X7815" s="33">
        <f>IFERROR(__xludf.DUMMYFUNCTION("""COMPUTED_VALUE"""),0.5)</f>
        <v>0.5</v>
      </c>
    </row>
    <row r="7816">
      <c r="K7816" s="4" t="str">
        <f>IFERROR(__xludf.DUMMYFUNCTION("""COMPUTED_VALUE"""),"SABOR E AROMA CASCAVEL")</f>
        <v>SABOR E AROMA CASCAVEL</v>
      </c>
      <c r="L7816" s="32">
        <f>IFERROR(__xludf.DUMMYFUNCTION("""COMPUTED_VALUE"""),2.0)</f>
        <v>2</v>
      </c>
      <c r="M7816" s="4" t="str">
        <f>IFERROR(__xludf.DUMMYFUNCTION("""COMPUTED_VALUE"""),"Saipos Serviços De Software")</f>
        <v>Saipos Serviços De Software</v>
      </c>
      <c r="N7816" s="33">
        <f>IFERROR(__xludf.DUMMYFUNCTION("""COMPUTED_VALUE"""),1.0)</f>
        <v>1</v>
      </c>
      <c r="O7816" s="4" t="str">
        <f>IFERROR(__xludf.DUMMYFUNCTION("""COMPUTED_VALUE"""),"Saipos Serviços De Software")</f>
        <v>Saipos Serviços De Software</v>
      </c>
      <c r="P7816" s="33">
        <f>IFERROR(__xludf.DUMMYFUNCTION("""COMPUTED_VALUE"""),1.0)</f>
        <v>1</v>
      </c>
      <c r="Q7816" s="4" t="str">
        <f>IFERROR(__xludf.DUMMYFUNCTION("""COMPUTED_VALUE"""),"Saipos Serviços De Software")</f>
        <v>Saipos Serviços De Software</v>
      </c>
      <c r="R7816" s="33">
        <f>IFERROR(__xludf.DUMMYFUNCTION("""COMPUTED_VALUE"""),1.0)</f>
        <v>1</v>
      </c>
      <c r="S7816" s="4" t="str">
        <f>IFERROR(__xludf.DUMMYFUNCTION("""COMPUTED_VALUE"""),"Saipos Serviços De Software")</f>
        <v>Saipos Serviços De Software</v>
      </c>
      <c r="T7816" s="33">
        <f>IFERROR(__xludf.DUMMYFUNCTION("""COMPUTED_VALUE"""),1.0)</f>
        <v>1</v>
      </c>
      <c r="U7816" s="4" t="str">
        <f>IFERROR(__xludf.DUMMYFUNCTION("""COMPUTED_VALUE"""),"Saipos Serviços De Software")</f>
        <v>Saipos Serviços De Software</v>
      </c>
      <c r="V7816" s="33">
        <f>IFERROR(__xludf.DUMMYFUNCTION("""COMPUTED_VALUE"""),1.0)</f>
        <v>1</v>
      </c>
      <c r="W7816" s="4" t="str">
        <f>IFERROR(__xludf.DUMMYFUNCTION("""COMPUTED_VALUE"""),"Saipos Serviços De Software")</f>
        <v>Saipos Serviços De Software</v>
      </c>
      <c r="X7816" s="33">
        <f>IFERROR(__xludf.DUMMYFUNCTION("""COMPUTED_VALUE"""),1.0)</f>
        <v>1</v>
      </c>
    </row>
    <row r="7817">
      <c r="K7817" s="4" t="str">
        <f>IFERROR(__xludf.DUMMYFUNCTION("""COMPUTED_VALUE"""),"SABOR E ARTE PASTEIS")</f>
        <v>SABOR E ARTE PASTEIS</v>
      </c>
      <c r="L7817" s="32">
        <f>IFERROR(__xludf.DUMMYFUNCTION("""COMPUTED_VALUE"""),2.0)</f>
        <v>2</v>
      </c>
      <c r="M7817" s="4" t="str">
        <f>IFERROR(__xludf.DUMMYFUNCTION("""COMPUTED_VALUE"""),"null")</f>
        <v>null</v>
      </c>
      <c r="N7817" s="33">
        <f>IFERROR(__xludf.DUMMYFUNCTION("""COMPUTED_VALUE"""),0.5)</f>
        <v>0.5</v>
      </c>
      <c r="O7817" s="4" t="str">
        <f>IFERROR(__xludf.DUMMYFUNCTION("""COMPUTED_VALUE"""),"Parseint Desenvolvimento De Sistemas Ltda")</f>
        <v>Parseint Desenvolvimento De Sistemas Ltda</v>
      </c>
      <c r="P7817" s="33">
        <f>IFERROR(__xludf.DUMMYFUNCTION("""COMPUTED_VALUE"""),0.5)</f>
        <v>0.5</v>
      </c>
      <c r="Q7817" s="4" t="str">
        <f>IFERROR(__xludf.DUMMYFUNCTION("""COMPUTED_VALUE"""),"null")</f>
        <v>null</v>
      </c>
      <c r="R7817" s="33">
        <f>IFERROR(__xludf.DUMMYFUNCTION("""COMPUTED_VALUE"""),1.0)</f>
        <v>1</v>
      </c>
      <c r="S7817" s="4" t="str">
        <f>IFERROR(__xludf.DUMMYFUNCTION("""COMPUTED_VALUE"""),"null")</f>
        <v>null</v>
      </c>
      <c r="T7817" s="33">
        <f>IFERROR(__xludf.DUMMYFUNCTION("""COMPUTED_VALUE"""),1.0)</f>
        <v>1</v>
      </c>
      <c r="U7817" s="4" t="str">
        <f>IFERROR(__xludf.DUMMYFUNCTION("""COMPUTED_VALUE"""),"null")</f>
        <v>null</v>
      </c>
      <c r="V7817" s="33">
        <f>IFERROR(__xludf.DUMMYFUNCTION("""COMPUTED_VALUE"""),1.0)</f>
        <v>1</v>
      </c>
      <c r="W7817" s="4" t="str">
        <f>IFERROR(__xludf.DUMMYFUNCTION("""COMPUTED_VALUE"""),"null")</f>
        <v>null</v>
      </c>
      <c r="X7817" s="33">
        <f>IFERROR(__xludf.DUMMYFUNCTION("""COMPUTED_VALUE"""),1.0)</f>
        <v>1</v>
      </c>
    </row>
    <row r="7818">
      <c r="K7818" s="4" t="str">
        <f>IFERROR(__xludf.DUMMYFUNCTION("""COMPUTED_VALUE"""),"SABOR II - CONTA PAI")</f>
        <v>SABOR II - CONTA PAI</v>
      </c>
      <c r="L7818" s="32">
        <f>IFERROR(__xludf.DUMMYFUNCTION("""COMPUTED_VALUE"""),2.0)</f>
        <v>2</v>
      </c>
      <c r="M7818" s="4" t="str">
        <f>IFERROR(__xludf.DUMMYFUNCTION("""COMPUTED_VALUE"""),"Suitable Tecnologia E Gestao")</f>
        <v>Suitable Tecnologia E Gestao</v>
      </c>
      <c r="N7818" s="33">
        <f>IFERROR(__xludf.DUMMYFUNCTION("""COMPUTED_VALUE"""),1.0)</f>
        <v>1</v>
      </c>
      <c r="O7818" s="4" t="str">
        <f>IFERROR(__xludf.DUMMYFUNCTION("""COMPUTED_VALUE"""),"Suitable Tecnologia E Gestao")</f>
        <v>Suitable Tecnologia E Gestao</v>
      </c>
      <c r="P7818" s="33">
        <f>IFERROR(__xludf.DUMMYFUNCTION("""COMPUTED_VALUE"""),1.0)</f>
        <v>1</v>
      </c>
      <c r="Q7818" s="4" t="str">
        <f>IFERROR(__xludf.DUMMYFUNCTION("""COMPUTED_VALUE"""),"Suitable Tecnologia E Gestao")</f>
        <v>Suitable Tecnologia E Gestao</v>
      </c>
      <c r="R7818" s="33">
        <f>IFERROR(__xludf.DUMMYFUNCTION("""COMPUTED_VALUE"""),1.0)</f>
        <v>1</v>
      </c>
      <c r="S7818" s="4" t="str">
        <f>IFERROR(__xludf.DUMMYFUNCTION("""COMPUTED_VALUE"""),"Suitable Tecnologia E Gestao")</f>
        <v>Suitable Tecnologia E Gestao</v>
      </c>
      <c r="T7818" s="33">
        <f>IFERROR(__xludf.DUMMYFUNCTION("""COMPUTED_VALUE"""),1.0)</f>
        <v>1</v>
      </c>
      <c r="U7818" s="4" t="str">
        <f>IFERROR(__xludf.DUMMYFUNCTION("""COMPUTED_VALUE"""),"Suitable Tecnologia E Gestao")</f>
        <v>Suitable Tecnologia E Gestao</v>
      </c>
      <c r="V7818" s="33">
        <f>IFERROR(__xludf.DUMMYFUNCTION("""COMPUTED_VALUE"""),1.0)</f>
        <v>1</v>
      </c>
      <c r="W7818" s="4" t="str">
        <f>IFERROR(__xludf.DUMMYFUNCTION("""COMPUTED_VALUE"""),"Suitable Tecnologia E Gestao")</f>
        <v>Suitable Tecnologia E Gestao</v>
      </c>
      <c r="X7818" s="33">
        <f>IFERROR(__xludf.DUMMYFUNCTION("""COMPUTED_VALUE"""),1.0)</f>
        <v>1</v>
      </c>
    </row>
    <row r="7819">
      <c r="K7819" s="4" t="str">
        <f>IFERROR(__xludf.DUMMYFUNCTION("""COMPUTED_VALUE"""),"SABOR NO FOGO")</f>
        <v>SABOR NO FOGO</v>
      </c>
      <c r="L7819" s="32">
        <f>IFERROR(__xludf.DUMMYFUNCTION("""COMPUTED_VALUE"""),2.0)</f>
        <v>2</v>
      </c>
      <c r="M7819" s="4" t="str">
        <f>IFERROR(__xludf.DUMMYFUNCTION("""COMPUTED_VALUE"""),"Insert Code Informatica Ltda")</f>
        <v>Insert Code Informatica Ltda</v>
      </c>
      <c r="N7819" s="33">
        <f>IFERROR(__xludf.DUMMYFUNCTION("""COMPUTED_VALUE"""),0.5)</f>
        <v>0.5</v>
      </c>
      <c r="O7819" s="4" t="str">
        <f>IFERROR(__xludf.DUMMYFUNCTION("""COMPUTED_VALUE"""),"Insert Code Informatica Ltda")</f>
        <v>Insert Code Informatica Ltda</v>
      </c>
      <c r="P7819" s="33">
        <f>IFERROR(__xludf.DUMMYFUNCTION("""COMPUTED_VALUE"""),1.0)</f>
        <v>1</v>
      </c>
      <c r="Q7819" s="4" t="str">
        <f>IFERROR(__xludf.DUMMYFUNCTION("""COMPUTED_VALUE"""),"Insert Code Informatica Ltda")</f>
        <v>Insert Code Informatica Ltda</v>
      </c>
      <c r="R7819" s="33">
        <f>IFERROR(__xludf.DUMMYFUNCTION("""COMPUTED_VALUE"""),1.0)</f>
        <v>1</v>
      </c>
      <c r="S7819" s="4" t="str">
        <f>IFERROR(__xludf.DUMMYFUNCTION("""COMPUTED_VALUE"""),"Insert Code Informatica Ltda")</f>
        <v>Insert Code Informatica Ltda</v>
      </c>
      <c r="T7819" s="33">
        <f>IFERROR(__xludf.DUMMYFUNCTION("""COMPUTED_VALUE"""),0.5)</f>
        <v>0.5</v>
      </c>
      <c r="U7819" s="4" t="str">
        <f>IFERROR(__xludf.DUMMYFUNCTION("""COMPUTED_VALUE"""),"Insert Code Informatica Ltda")</f>
        <v>Insert Code Informatica Ltda</v>
      </c>
      <c r="V7819" s="33">
        <f>IFERROR(__xludf.DUMMYFUNCTION("""COMPUTED_VALUE"""),1.0)</f>
        <v>1</v>
      </c>
      <c r="W7819" s="4" t="str">
        <f>IFERROR(__xludf.DUMMYFUNCTION("""COMPUTED_VALUE"""),"Insert Code Informatica Ltda")</f>
        <v>Insert Code Informatica Ltda</v>
      </c>
      <c r="X7819" s="33">
        <f>IFERROR(__xludf.DUMMYFUNCTION("""COMPUTED_VALUE"""),1.0)</f>
        <v>1</v>
      </c>
    </row>
    <row r="7820">
      <c r="K7820" s="4" t="str">
        <f>IFERROR(__xludf.DUMMYFUNCTION("""COMPUTED_VALUE"""),"SABOREANDO REFEICOES SC - CONTA MARCA")</f>
        <v>SABOREANDO REFEICOES SC - CONTA MARCA</v>
      </c>
      <c r="L7820" s="32">
        <f>IFERROR(__xludf.DUMMYFUNCTION("""COMPUTED_VALUE"""),2.0)</f>
        <v>2</v>
      </c>
      <c r="M7820" s="4" t="str">
        <f>IFERROR(__xludf.DUMMYFUNCTION("""COMPUTED_VALUE"""),"null")</f>
        <v>null</v>
      </c>
      <c r="N7820" s="33">
        <f>IFERROR(__xludf.DUMMYFUNCTION("""COMPUTED_VALUE"""),1.0)</f>
        <v>1</v>
      </c>
      <c r="O7820" s="4" t="str">
        <f>IFERROR(__xludf.DUMMYFUNCTION("""COMPUTED_VALUE"""),"Saipos Serviços De Software")</f>
        <v>Saipos Serviços De Software</v>
      </c>
      <c r="P7820" s="33">
        <f>IFERROR(__xludf.DUMMYFUNCTION("""COMPUTED_VALUE"""),0.5)</f>
        <v>0.5</v>
      </c>
      <c r="Q7820" s="4" t="str">
        <f>IFERROR(__xludf.DUMMYFUNCTION("""COMPUTED_VALUE"""),"Saipos Serviços De Software")</f>
        <v>Saipos Serviços De Software</v>
      </c>
      <c r="R7820" s="33">
        <f>IFERROR(__xludf.DUMMYFUNCTION("""COMPUTED_VALUE"""),1.0)</f>
        <v>1</v>
      </c>
      <c r="S7820" s="4" t="str">
        <f>IFERROR(__xludf.DUMMYFUNCTION("""COMPUTED_VALUE"""),"Saipos Serviços De Software")</f>
        <v>Saipos Serviços De Software</v>
      </c>
      <c r="T7820" s="33">
        <f>IFERROR(__xludf.DUMMYFUNCTION("""COMPUTED_VALUE"""),1.0)</f>
        <v>1</v>
      </c>
      <c r="U7820" s="4" t="str">
        <f>IFERROR(__xludf.DUMMYFUNCTION("""COMPUTED_VALUE"""),"Saipos Serviços De Software")</f>
        <v>Saipos Serviços De Software</v>
      </c>
      <c r="V7820" s="33">
        <f>IFERROR(__xludf.DUMMYFUNCTION("""COMPUTED_VALUE"""),1.0)</f>
        <v>1</v>
      </c>
      <c r="W7820" s="4" t="str">
        <f>IFERROR(__xludf.DUMMYFUNCTION("""COMPUTED_VALUE"""),"Saipos Serviços De Software")</f>
        <v>Saipos Serviços De Software</v>
      </c>
      <c r="X7820" s="33">
        <f>IFERROR(__xludf.DUMMYFUNCTION("""COMPUTED_VALUE"""),0.5)</f>
        <v>0.5</v>
      </c>
    </row>
    <row r="7821">
      <c r="K7821" s="4" t="str">
        <f>IFERROR(__xludf.DUMMYFUNCTION("""COMPUTED_VALUE"""),"SABORES DA PRI")</f>
        <v>SABORES DA PRI</v>
      </c>
      <c r="L7821" s="32">
        <f>IFERROR(__xludf.DUMMYFUNCTION("""COMPUTED_VALUE"""),2.0)</f>
        <v>2</v>
      </c>
      <c r="M7821" s="4" t="str">
        <f>IFERROR(__xludf.DUMMYFUNCTION("""COMPUTED_VALUE"""),"Waybe Soluções Em Tecnologia Da Informação Ltda")</f>
        <v>Waybe Soluções Em Tecnologia Da Informação Ltda</v>
      </c>
      <c r="N7821" s="33">
        <f>IFERROR(__xludf.DUMMYFUNCTION("""COMPUTED_VALUE"""),0.5)</f>
        <v>0.5</v>
      </c>
      <c r="O7821" s="4" t="str">
        <f>IFERROR(__xludf.DUMMYFUNCTION("""COMPUTED_VALUE"""),"Saipos Serviços De Software")</f>
        <v>Saipos Serviços De Software</v>
      </c>
      <c r="P7821" s="33">
        <f>IFERROR(__xludf.DUMMYFUNCTION("""COMPUTED_VALUE"""),1.0)</f>
        <v>1</v>
      </c>
      <c r="Q7821" s="4" t="str">
        <f>IFERROR(__xludf.DUMMYFUNCTION("""COMPUTED_VALUE"""),"Saipos Serviços De Software")</f>
        <v>Saipos Serviços De Software</v>
      </c>
      <c r="R7821" s="33">
        <f>IFERROR(__xludf.DUMMYFUNCTION("""COMPUTED_VALUE"""),1.0)</f>
        <v>1</v>
      </c>
      <c r="S7821" s="4" t="str">
        <f>IFERROR(__xludf.DUMMYFUNCTION("""COMPUTED_VALUE"""),"Saipos Serviços De Software")</f>
        <v>Saipos Serviços De Software</v>
      </c>
      <c r="T7821" s="33">
        <f>IFERROR(__xludf.DUMMYFUNCTION("""COMPUTED_VALUE"""),1.0)</f>
        <v>1</v>
      </c>
      <c r="U7821" s="4" t="str">
        <f>IFERROR(__xludf.DUMMYFUNCTION("""COMPUTED_VALUE"""),"Saipos Serviços De Software")</f>
        <v>Saipos Serviços De Software</v>
      </c>
      <c r="V7821" s="33">
        <f>IFERROR(__xludf.DUMMYFUNCTION("""COMPUTED_VALUE"""),1.0)</f>
        <v>1</v>
      </c>
      <c r="W7821" s="4" t="str">
        <f>IFERROR(__xludf.DUMMYFUNCTION("""COMPUTED_VALUE"""),"Saipos Serviços De Software")</f>
        <v>Saipos Serviços De Software</v>
      </c>
      <c r="X7821" s="33">
        <f>IFERROR(__xludf.DUMMYFUNCTION("""COMPUTED_VALUE"""),1.0)</f>
        <v>1</v>
      </c>
    </row>
    <row r="7822">
      <c r="K7822" s="4" t="str">
        <f>IFERROR(__xludf.DUMMYFUNCTION("""COMPUTED_VALUE"""),"SABORES DO ALPHAVILLE")</f>
        <v>SABORES DO ALPHAVILLE</v>
      </c>
      <c r="L7822" s="32">
        <f>IFERROR(__xludf.DUMMYFUNCTION("""COMPUTED_VALUE"""),2.0)</f>
        <v>2</v>
      </c>
      <c r="M7822" s="4" t="str">
        <f>IFERROR(__xludf.DUMMYFUNCTION("""COMPUTED_VALUE"""),"null")</f>
        <v>null</v>
      </c>
      <c r="N7822" s="33">
        <f>IFERROR(__xludf.DUMMYFUNCTION("""COMPUTED_VALUE"""),1.0)</f>
        <v>1</v>
      </c>
      <c r="O7822" s="4" t="str">
        <f>IFERROR(__xludf.DUMMYFUNCTION("""COMPUTED_VALUE"""),"null")</f>
        <v>null</v>
      </c>
      <c r="P7822" s="33">
        <f>IFERROR(__xludf.DUMMYFUNCTION("""COMPUTED_VALUE"""),1.0)</f>
        <v>1</v>
      </c>
      <c r="Q7822" s="4" t="str">
        <f>IFERROR(__xludf.DUMMYFUNCTION("""COMPUTED_VALUE"""),"null")</f>
        <v>null</v>
      </c>
      <c r="R7822" s="33">
        <f>IFERROR(__xludf.DUMMYFUNCTION("""COMPUTED_VALUE"""),1.0)</f>
        <v>1</v>
      </c>
      <c r="S7822" s="4" t="str">
        <f>IFERROR(__xludf.DUMMYFUNCTION("""COMPUTED_VALUE"""),"null")</f>
        <v>null</v>
      </c>
      <c r="T7822" s="33">
        <f>IFERROR(__xludf.DUMMYFUNCTION("""COMPUTED_VALUE"""),1.0)</f>
        <v>1</v>
      </c>
      <c r="U7822" s="4" t="str">
        <f>IFERROR(__xludf.DUMMYFUNCTION("""COMPUTED_VALUE"""),"Saipos Serviços De Software")</f>
        <v>Saipos Serviços De Software</v>
      </c>
      <c r="V7822" s="33">
        <f>IFERROR(__xludf.DUMMYFUNCTION("""COMPUTED_VALUE"""),1.0)</f>
        <v>1</v>
      </c>
      <c r="W7822" s="4" t="str">
        <f>IFERROR(__xludf.DUMMYFUNCTION("""COMPUTED_VALUE"""),"Saipos Serviços De Software")</f>
        <v>Saipos Serviços De Software</v>
      </c>
      <c r="X7822" s="33">
        <f>IFERROR(__xludf.DUMMYFUNCTION("""COMPUTED_VALUE"""),1.0)</f>
        <v>1</v>
      </c>
    </row>
    <row r="7823">
      <c r="K7823" s="4" t="str">
        <f>IFERROR(__xludf.DUMMYFUNCTION("""COMPUTED_VALUE"""),"SAINT GERMAIN")</f>
        <v>SAINT GERMAIN</v>
      </c>
      <c r="L7823" s="32">
        <f>IFERROR(__xludf.DUMMYFUNCTION("""COMPUTED_VALUE"""),2.0)</f>
        <v>2</v>
      </c>
      <c r="M7823" s="4" t="str">
        <f>IFERROR(__xludf.DUMMYFUNCTION("""COMPUTED_VALUE"""),"Cloudfy")</f>
        <v>Cloudfy</v>
      </c>
      <c r="N7823" s="33">
        <f>IFERROR(__xludf.DUMMYFUNCTION("""COMPUTED_VALUE"""),1.0)</f>
        <v>1</v>
      </c>
      <c r="O7823" s="4" t="str">
        <f>IFERROR(__xludf.DUMMYFUNCTION("""COMPUTED_VALUE"""),"Cloudfy")</f>
        <v>Cloudfy</v>
      </c>
      <c r="P7823" s="33">
        <f>IFERROR(__xludf.DUMMYFUNCTION("""COMPUTED_VALUE"""),1.0)</f>
        <v>1</v>
      </c>
      <c r="Q7823" s="4" t="str">
        <f>IFERROR(__xludf.DUMMYFUNCTION("""COMPUTED_VALUE"""),"Cloudfy")</f>
        <v>Cloudfy</v>
      </c>
      <c r="R7823" s="33">
        <f>IFERROR(__xludf.DUMMYFUNCTION("""COMPUTED_VALUE"""),1.0)</f>
        <v>1</v>
      </c>
      <c r="S7823" s="4" t="str">
        <f>IFERROR(__xludf.DUMMYFUNCTION("""COMPUTED_VALUE"""),"Cloudfy")</f>
        <v>Cloudfy</v>
      </c>
      <c r="T7823" s="33">
        <f>IFERROR(__xludf.DUMMYFUNCTION("""COMPUTED_VALUE"""),1.0)</f>
        <v>1</v>
      </c>
      <c r="U7823" s="4" t="str">
        <f>IFERROR(__xludf.DUMMYFUNCTION("""COMPUTED_VALUE"""),"Cloudfy")</f>
        <v>Cloudfy</v>
      </c>
      <c r="V7823" s="33">
        <f>IFERROR(__xludf.DUMMYFUNCTION("""COMPUTED_VALUE"""),1.0)</f>
        <v>1</v>
      </c>
      <c r="W7823" s="4" t="str">
        <f>IFERROR(__xludf.DUMMYFUNCTION("""COMPUTED_VALUE"""),"Cloudfy")</f>
        <v>Cloudfy</v>
      </c>
      <c r="X7823" s="33">
        <f>IFERROR(__xludf.DUMMYFUNCTION("""COMPUTED_VALUE"""),1.0)</f>
        <v>1</v>
      </c>
    </row>
    <row r="7824">
      <c r="K7824" s="4" t="str">
        <f>IFERROR(__xludf.DUMMYFUNCTION("""COMPUTED_VALUE"""),"SAL MARINHO")</f>
        <v>SAL MARINHO</v>
      </c>
      <c r="L7824" s="32">
        <f>IFERROR(__xludf.DUMMYFUNCTION("""COMPUTED_VALUE"""),2.0)</f>
        <v>2</v>
      </c>
      <c r="M7824" s="4" t="str">
        <f>IFERROR(__xludf.DUMMYFUNCTION("""COMPUTED_VALUE"""),"Solução Sistemas")</f>
        <v>Solução Sistemas</v>
      </c>
      <c r="N7824" s="33">
        <f>IFERROR(__xludf.DUMMYFUNCTION("""COMPUTED_VALUE"""),1.0)</f>
        <v>1</v>
      </c>
      <c r="O7824" s="4" t="str">
        <f>IFERROR(__xludf.DUMMYFUNCTION("""COMPUTED_VALUE"""),"Solução Sistemas")</f>
        <v>Solução Sistemas</v>
      </c>
      <c r="P7824" s="33">
        <f>IFERROR(__xludf.DUMMYFUNCTION("""COMPUTED_VALUE"""),1.0)</f>
        <v>1</v>
      </c>
      <c r="Q7824" s="4" t="str">
        <f>IFERROR(__xludf.DUMMYFUNCTION("""COMPUTED_VALUE"""),"null")</f>
        <v>null</v>
      </c>
      <c r="R7824" s="33">
        <f>IFERROR(__xludf.DUMMYFUNCTION("""COMPUTED_VALUE"""),0.5)</f>
        <v>0.5</v>
      </c>
      <c r="S7824" s="4" t="str">
        <f>IFERROR(__xludf.DUMMYFUNCTION("""COMPUTED_VALUE"""),"Solução Sistemas")</f>
        <v>Solução Sistemas</v>
      </c>
      <c r="T7824" s="33">
        <f>IFERROR(__xludf.DUMMYFUNCTION("""COMPUTED_VALUE"""),1.0)</f>
        <v>1</v>
      </c>
      <c r="U7824" s="4" t="str">
        <f>IFERROR(__xludf.DUMMYFUNCTION("""COMPUTED_VALUE"""),"Solução Sistemas")</f>
        <v>Solução Sistemas</v>
      </c>
      <c r="V7824" s="33">
        <f>IFERROR(__xludf.DUMMYFUNCTION("""COMPUTED_VALUE"""),1.0)</f>
        <v>1</v>
      </c>
      <c r="W7824" s="4" t="str">
        <f>IFERROR(__xludf.DUMMYFUNCTION("""COMPUTED_VALUE"""),"Solução Sistemas")</f>
        <v>Solução Sistemas</v>
      </c>
      <c r="X7824" s="33">
        <f>IFERROR(__xludf.DUMMYFUNCTION("""COMPUTED_VALUE"""),1.0)</f>
        <v>1</v>
      </c>
    </row>
    <row r="7825">
      <c r="K7825" s="4" t="str">
        <f>IFERROR(__xludf.DUMMYFUNCTION("""COMPUTED_VALUE"""),"SALADERIA BOX 23")</f>
        <v>SALADERIA BOX 23</v>
      </c>
      <c r="L7825" s="32">
        <f>IFERROR(__xludf.DUMMYFUNCTION("""COMPUTED_VALUE"""),2.0)</f>
        <v>2</v>
      </c>
      <c r="M7825" s="4" t="str">
        <f>IFERROR(__xludf.DUMMYFUNCTION("""COMPUTED_VALUE"""),"Parseint Desenvolvimento De Sistemas Ltda")</f>
        <v>Parseint Desenvolvimento De Sistemas Ltda</v>
      </c>
      <c r="N7825" s="33">
        <f>IFERROR(__xludf.DUMMYFUNCTION("""COMPUTED_VALUE"""),0.5)</f>
        <v>0.5</v>
      </c>
      <c r="O7825" s="4" t="str">
        <f>IFERROR(__xludf.DUMMYFUNCTION("""COMPUTED_VALUE"""),"Parseint Desenvolvimento De Sistemas Ltda")</f>
        <v>Parseint Desenvolvimento De Sistemas Ltda</v>
      </c>
      <c r="P7825" s="33">
        <f>IFERROR(__xludf.DUMMYFUNCTION("""COMPUTED_VALUE"""),0.5)</f>
        <v>0.5</v>
      </c>
      <c r="Q7825" s="4" t="str">
        <f>IFERROR(__xludf.DUMMYFUNCTION("""COMPUTED_VALUE"""),"Parseint Desenvolvimento De Sistemas Ltda")</f>
        <v>Parseint Desenvolvimento De Sistemas Ltda</v>
      </c>
      <c r="R7825" s="33">
        <f>IFERROR(__xludf.DUMMYFUNCTION("""COMPUTED_VALUE"""),1.0)</f>
        <v>1</v>
      </c>
      <c r="S7825" s="4" t="str">
        <f>IFERROR(__xludf.DUMMYFUNCTION("""COMPUTED_VALUE"""),"Parseint Desenvolvimento De Sistemas Ltda")</f>
        <v>Parseint Desenvolvimento De Sistemas Ltda</v>
      </c>
      <c r="T7825" s="33">
        <f>IFERROR(__xludf.DUMMYFUNCTION("""COMPUTED_VALUE"""),1.0)</f>
        <v>1</v>
      </c>
      <c r="U7825" s="4" t="str">
        <f>IFERROR(__xludf.DUMMYFUNCTION("""COMPUTED_VALUE"""),"Parseint Desenvolvimento De Sistemas Ltda")</f>
        <v>Parseint Desenvolvimento De Sistemas Ltda</v>
      </c>
      <c r="V7825" s="33">
        <f>IFERROR(__xludf.DUMMYFUNCTION("""COMPUTED_VALUE"""),1.0)</f>
        <v>1</v>
      </c>
      <c r="W7825" s="4" t="str">
        <f>IFERROR(__xludf.DUMMYFUNCTION("""COMPUTED_VALUE"""),"Parseint Desenvolvimento De Sistemas Ltda")</f>
        <v>Parseint Desenvolvimento De Sistemas Ltda</v>
      </c>
      <c r="X7825" s="33">
        <f>IFERROR(__xludf.DUMMYFUNCTION("""COMPUTED_VALUE"""),0.5)</f>
        <v>0.5</v>
      </c>
    </row>
    <row r="7826">
      <c r="K7826" s="4" t="str">
        <f>IFERROR(__xludf.DUMMYFUNCTION("""COMPUTED_VALUE"""),"SALADICES")</f>
        <v>SALADICES</v>
      </c>
      <c r="L7826" s="32">
        <f>IFERROR(__xludf.DUMMYFUNCTION("""COMPUTED_VALUE"""),2.0)</f>
        <v>2</v>
      </c>
      <c r="M7826" s="4" t="str">
        <f>IFERROR(__xludf.DUMMYFUNCTION("""COMPUTED_VALUE"""),"Jaxtech")</f>
        <v>Jaxtech</v>
      </c>
      <c r="N7826" s="33">
        <f>IFERROR(__xludf.DUMMYFUNCTION("""COMPUTED_VALUE"""),0.5)</f>
        <v>0.5</v>
      </c>
      <c r="O7826" s="4" t="str">
        <f>IFERROR(__xludf.DUMMYFUNCTION("""COMPUTED_VALUE"""),"Jaxtech")</f>
        <v>Jaxtech</v>
      </c>
      <c r="P7826" s="33">
        <f>IFERROR(__xludf.DUMMYFUNCTION("""COMPUTED_VALUE"""),0.5)</f>
        <v>0.5</v>
      </c>
      <c r="Q7826" s="4" t="str">
        <f>IFERROR(__xludf.DUMMYFUNCTION("""COMPUTED_VALUE"""),"Jaxtech")</f>
        <v>Jaxtech</v>
      </c>
      <c r="R7826" s="33">
        <f>IFERROR(__xludf.DUMMYFUNCTION("""COMPUTED_VALUE"""),0.5)</f>
        <v>0.5</v>
      </c>
      <c r="S7826" s="4" t="str">
        <f>IFERROR(__xludf.DUMMYFUNCTION("""COMPUTED_VALUE"""),"Jaxtech")</f>
        <v>Jaxtech</v>
      </c>
      <c r="T7826" s="33">
        <f>IFERROR(__xludf.DUMMYFUNCTION("""COMPUTED_VALUE"""),0.5)</f>
        <v>0.5</v>
      </c>
      <c r="U7826" s="4" t="str">
        <f>IFERROR(__xludf.DUMMYFUNCTION("""COMPUTED_VALUE"""),"null")</f>
        <v>null</v>
      </c>
      <c r="V7826" s="33">
        <f>IFERROR(__xludf.DUMMYFUNCTION("""COMPUTED_VALUE"""),1.0)</f>
        <v>1</v>
      </c>
      <c r="W7826" s="4" t="str">
        <f>IFERROR(__xludf.DUMMYFUNCTION("""COMPUTED_VALUE"""),"null")</f>
        <v>null</v>
      </c>
      <c r="X7826" s="33">
        <f>IFERROR(__xludf.DUMMYFUNCTION("""COMPUTED_VALUE"""),0.5)</f>
        <v>0.5</v>
      </c>
    </row>
    <row r="7827">
      <c r="K7827" s="4" t="str">
        <f>IFERROR(__xludf.DUMMYFUNCTION("""COMPUTED_VALUE"""),"SALSA PARRILLA")</f>
        <v>SALSA PARRILLA</v>
      </c>
      <c r="L7827" s="32">
        <f>IFERROR(__xludf.DUMMYFUNCTION("""COMPUTED_VALUE"""),2.0)</f>
        <v>2</v>
      </c>
      <c r="M7827" s="4" t="str">
        <f>IFERROR(__xludf.DUMMYFUNCTION("""COMPUTED_VALUE"""),"Ncr")</f>
        <v>Ncr</v>
      </c>
      <c r="N7827" s="33">
        <f>IFERROR(__xludf.DUMMYFUNCTION("""COMPUTED_VALUE"""),1.0)</f>
        <v>1</v>
      </c>
      <c r="O7827" s="4" t="str">
        <f>IFERROR(__xludf.DUMMYFUNCTION("""COMPUTED_VALUE"""),"Ncr")</f>
        <v>Ncr</v>
      </c>
      <c r="P7827" s="33">
        <f>IFERROR(__xludf.DUMMYFUNCTION("""COMPUTED_VALUE"""),1.0)</f>
        <v>1</v>
      </c>
      <c r="Q7827" s="4" t="str">
        <f>IFERROR(__xludf.DUMMYFUNCTION("""COMPUTED_VALUE"""),"Ncr")</f>
        <v>Ncr</v>
      </c>
      <c r="R7827" s="33">
        <f>IFERROR(__xludf.DUMMYFUNCTION("""COMPUTED_VALUE"""),1.0)</f>
        <v>1</v>
      </c>
      <c r="S7827" s="4" t="str">
        <f>IFERROR(__xludf.DUMMYFUNCTION("""COMPUTED_VALUE"""),"Ncr")</f>
        <v>Ncr</v>
      </c>
      <c r="T7827" s="33">
        <f>IFERROR(__xludf.DUMMYFUNCTION("""COMPUTED_VALUE"""),1.0)</f>
        <v>1</v>
      </c>
      <c r="U7827" s="4" t="str">
        <f>IFERROR(__xludf.DUMMYFUNCTION("""COMPUTED_VALUE"""),"null")</f>
        <v>null</v>
      </c>
      <c r="V7827" s="33">
        <f>IFERROR(__xludf.DUMMYFUNCTION("""COMPUTED_VALUE"""),0.5)</f>
        <v>0.5</v>
      </c>
      <c r="W7827" s="4" t="str">
        <f>IFERROR(__xludf.DUMMYFUNCTION("""COMPUTED_VALUE"""),"null")</f>
        <v>null</v>
      </c>
      <c r="X7827" s="33">
        <f>IFERROR(__xludf.DUMMYFUNCTION("""COMPUTED_VALUE"""),0.5)</f>
        <v>0.5</v>
      </c>
    </row>
    <row r="7828">
      <c r="K7828" s="4" t="str">
        <f>IFERROR(__xludf.DUMMYFUNCTION("""COMPUTED_VALUE"""),"SAMURAY - CONTA PAI")</f>
        <v>SAMURAY - CONTA PAI</v>
      </c>
      <c r="L7828" s="32">
        <f>IFERROR(__xludf.DUMMYFUNCTION("""COMPUTED_VALUE"""),2.0)</f>
        <v>2</v>
      </c>
      <c r="M7828" s="4" t="str">
        <f>IFERROR(__xludf.DUMMYFUNCTION("""COMPUTED_VALUE"""),"Saipos Serviços De Software")</f>
        <v>Saipos Serviços De Software</v>
      </c>
      <c r="N7828" s="33">
        <f>IFERROR(__xludf.DUMMYFUNCTION("""COMPUTED_VALUE"""),1.0)</f>
        <v>1</v>
      </c>
      <c r="O7828" s="4" t="str">
        <f>IFERROR(__xludf.DUMMYFUNCTION("""COMPUTED_VALUE"""),"Saipos Serviços De Software")</f>
        <v>Saipos Serviços De Software</v>
      </c>
      <c r="P7828" s="33">
        <f>IFERROR(__xludf.DUMMYFUNCTION("""COMPUTED_VALUE"""),1.0)</f>
        <v>1</v>
      </c>
      <c r="Q7828" s="4" t="str">
        <f>IFERROR(__xludf.DUMMYFUNCTION("""COMPUTED_VALUE"""),"Saipos Serviços De Software")</f>
        <v>Saipos Serviços De Software</v>
      </c>
      <c r="R7828" s="33">
        <f>IFERROR(__xludf.DUMMYFUNCTION("""COMPUTED_VALUE"""),1.0)</f>
        <v>1</v>
      </c>
      <c r="S7828" s="4" t="str">
        <f>IFERROR(__xludf.DUMMYFUNCTION("""COMPUTED_VALUE"""),"Saipos Serviços De Software")</f>
        <v>Saipos Serviços De Software</v>
      </c>
      <c r="T7828" s="33">
        <f>IFERROR(__xludf.DUMMYFUNCTION("""COMPUTED_VALUE"""),1.0)</f>
        <v>1</v>
      </c>
      <c r="U7828" s="4" t="str">
        <f>IFERROR(__xludf.DUMMYFUNCTION("""COMPUTED_VALUE"""),"Saipos Serviços De Software")</f>
        <v>Saipos Serviços De Software</v>
      </c>
      <c r="V7828" s="33">
        <f>IFERROR(__xludf.DUMMYFUNCTION("""COMPUTED_VALUE"""),1.0)</f>
        <v>1</v>
      </c>
      <c r="W7828" s="4" t="str">
        <f>IFERROR(__xludf.DUMMYFUNCTION("""COMPUTED_VALUE"""),"Saipos Serviços De Software")</f>
        <v>Saipos Serviços De Software</v>
      </c>
      <c r="X7828" s="33">
        <f>IFERROR(__xludf.DUMMYFUNCTION("""COMPUTED_VALUE"""),1.0)</f>
        <v>1</v>
      </c>
    </row>
    <row r="7829">
      <c r="K7829" s="4" t="str">
        <f>IFERROR(__xludf.DUMMYFUNCTION("""COMPUTED_VALUE"""),"SAN DIEGO BURGUER - CONTA PAI")</f>
        <v>SAN DIEGO BURGUER - CONTA PAI</v>
      </c>
      <c r="L7829" s="32">
        <f>IFERROR(__xludf.DUMMYFUNCTION("""COMPUTED_VALUE"""),2.0)</f>
        <v>2</v>
      </c>
      <c r="M7829" s="4" t="str">
        <f>IFERROR(__xludf.DUMMYFUNCTION("""COMPUTED_VALUE"""),"Saipos Serviços De Software")</f>
        <v>Saipos Serviços De Software</v>
      </c>
      <c r="N7829" s="33">
        <f>IFERROR(__xludf.DUMMYFUNCTION("""COMPUTED_VALUE"""),1.0)</f>
        <v>1</v>
      </c>
      <c r="O7829" s="4" t="str">
        <f>IFERROR(__xludf.DUMMYFUNCTION("""COMPUTED_VALUE"""),"Saipos Serviços De Software")</f>
        <v>Saipos Serviços De Software</v>
      </c>
      <c r="P7829" s="33">
        <f>IFERROR(__xludf.DUMMYFUNCTION("""COMPUTED_VALUE"""),1.0)</f>
        <v>1</v>
      </c>
      <c r="Q7829" s="4" t="str">
        <f>IFERROR(__xludf.DUMMYFUNCTION("""COMPUTED_VALUE"""),"Saipos Serviços De Software")</f>
        <v>Saipos Serviços De Software</v>
      </c>
      <c r="R7829" s="33">
        <f>IFERROR(__xludf.DUMMYFUNCTION("""COMPUTED_VALUE"""),1.0)</f>
        <v>1</v>
      </c>
      <c r="S7829" s="4" t="str">
        <f>IFERROR(__xludf.DUMMYFUNCTION("""COMPUTED_VALUE"""),"Saipos Serviços De Software")</f>
        <v>Saipos Serviços De Software</v>
      </c>
      <c r="T7829" s="33">
        <f>IFERROR(__xludf.DUMMYFUNCTION("""COMPUTED_VALUE"""),1.0)</f>
        <v>1</v>
      </c>
      <c r="U7829" s="4" t="str">
        <f>IFERROR(__xludf.DUMMYFUNCTION("""COMPUTED_VALUE"""),"Saipos Serviços De Software")</f>
        <v>Saipos Serviços De Software</v>
      </c>
      <c r="V7829" s="33">
        <f>IFERROR(__xludf.DUMMYFUNCTION("""COMPUTED_VALUE"""),1.0)</f>
        <v>1</v>
      </c>
      <c r="W7829" s="4" t="str">
        <f>IFERROR(__xludf.DUMMYFUNCTION("""COMPUTED_VALUE"""),"Saipos Serviços De Software")</f>
        <v>Saipos Serviços De Software</v>
      </c>
      <c r="X7829" s="33">
        <f>IFERROR(__xludf.DUMMYFUNCTION("""COMPUTED_VALUE"""),1.0)</f>
        <v>1</v>
      </c>
    </row>
    <row r="7830">
      <c r="K7830" s="4" t="str">
        <f>IFERROR(__xludf.DUMMYFUNCTION("""COMPUTED_VALUE"""),"SANAR FARMACIAS - CONTA PAI")</f>
        <v>SANAR FARMACIAS - CONTA PAI</v>
      </c>
      <c r="L7830" s="32">
        <f>IFERROR(__xludf.DUMMYFUNCTION("""COMPUTED_VALUE"""),2.0)</f>
        <v>2</v>
      </c>
      <c r="M7830" s="4" t="str">
        <f>IFERROR(__xludf.DUMMYFUNCTION("""COMPUTED_VALUE"""),"N/A (Not found)")</f>
        <v>N/A (Not found)</v>
      </c>
      <c r="N7830" s="33">
        <f>IFERROR(__xludf.DUMMYFUNCTION("""COMPUTED_VALUE"""),1.0)</f>
        <v>1</v>
      </c>
      <c r="O7830" s="4" t="str">
        <f>IFERROR(__xludf.DUMMYFUNCTION("""COMPUTED_VALUE"""),"N/A (Not found)")</f>
        <v>N/A (Not found)</v>
      </c>
      <c r="P7830" s="33">
        <f>IFERROR(__xludf.DUMMYFUNCTION("""COMPUTED_VALUE"""),1.0)</f>
        <v>1</v>
      </c>
      <c r="Q7830" s="4" t="str">
        <f>IFERROR(__xludf.DUMMYFUNCTION("""COMPUTED_VALUE"""),"N/A (Not found)")</f>
        <v>N/A (Not found)</v>
      </c>
      <c r="R7830" s="33">
        <f>IFERROR(__xludf.DUMMYFUNCTION("""COMPUTED_VALUE"""),1.0)</f>
        <v>1</v>
      </c>
      <c r="S7830" s="4" t="str">
        <f>IFERROR(__xludf.DUMMYFUNCTION("""COMPUTED_VALUE"""),"N/A (Not found)")</f>
        <v>N/A (Not found)</v>
      </c>
      <c r="T7830" s="33">
        <f>IFERROR(__xludf.DUMMYFUNCTION("""COMPUTED_VALUE"""),1.0)</f>
        <v>1</v>
      </c>
      <c r="U7830" s="4" t="str">
        <f>IFERROR(__xludf.DUMMYFUNCTION("""COMPUTED_VALUE"""),"N/A (Not found)")</f>
        <v>N/A (Not found)</v>
      </c>
      <c r="V7830" s="33">
        <f>IFERROR(__xludf.DUMMYFUNCTION("""COMPUTED_VALUE"""),1.0)</f>
        <v>1</v>
      </c>
      <c r="W7830" s="4" t="str">
        <f>IFERROR(__xludf.DUMMYFUNCTION("""COMPUTED_VALUE"""),"N/A (Not found)")</f>
        <v>N/A (Not found)</v>
      </c>
      <c r="X7830" s="33">
        <f>IFERROR(__xludf.DUMMYFUNCTION("""COMPUTED_VALUE"""),1.0)</f>
        <v>1</v>
      </c>
    </row>
    <row r="7831">
      <c r="K7831" s="4" t="str">
        <f>IFERROR(__xludf.DUMMYFUNCTION("""COMPUTED_VALUE"""),"SANDWEAT BURGER SHOP - MARCA")</f>
        <v>SANDWEAT BURGER SHOP - MARCA</v>
      </c>
      <c r="L7831" s="32">
        <f>IFERROR(__xludf.DUMMYFUNCTION("""COMPUTED_VALUE"""),2.0)</f>
        <v>2</v>
      </c>
      <c r="M7831" s="4" t="str">
        <f>IFERROR(__xludf.DUMMYFUNCTION("""COMPUTED_VALUE"""),"Saipos Serviços De Software")</f>
        <v>Saipos Serviços De Software</v>
      </c>
      <c r="N7831" s="33">
        <f>IFERROR(__xludf.DUMMYFUNCTION("""COMPUTED_VALUE"""),1.0)</f>
        <v>1</v>
      </c>
      <c r="O7831" s="4" t="str">
        <f>IFERROR(__xludf.DUMMYFUNCTION("""COMPUTED_VALUE"""),"Saipos Serviços De Software")</f>
        <v>Saipos Serviços De Software</v>
      </c>
      <c r="P7831" s="33">
        <f>IFERROR(__xludf.DUMMYFUNCTION("""COMPUTED_VALUE"""),1.0)</f>
        <v>1</v>
      </c>
      <c r="Q7831" s="4" t="str">
        <f>IFERROR(__xludf.DUMMYFUNCTION("""COMPUTED_VALUE"""),"Saipos Serviços De Software")</f>
        <v>Saipos Serviços De Software</v>
      </c>
      <c r="R7831" s="33">
        <f>IFERROR(__xludf.DUMMYFUNCTION("""COMPUTED_VALUE"""),1.0)</f>
        <v>1</v>
      </c>
      <c r="S7831" s="4" t="str">
        <f>IFERROR(__xludf.DUMMYFUNCTION("""COMPUTED_VALUE"""),"Saipos Serviços De Software")</f>
        <v>Saipos Serviços De Software</v>
      </c>
      <c r="T7831" s="33">
        <f>IFERROR(__xludf.DUMMYFUNCTION("""COMPUTED_VALUE"""),1.0)</f>
        <v>1</v>
      </c>
      <c r="U7831" s="4" t="str">
        <f>IFERROR(__xludf.DUMMYFUNCTION("""COMPUTED_VALUE"""),"Saipos Serviços De Software")</f>
        <v>Saipos Serviços De Software</v>
      </c>
      <c r="V7831" s="33">
        <f>IFERROR(__xludf.DUMMYFUNCTION("""COMPUTED_VALUE"""),1.0)</f>
        <v>1</v>
      </c>
      <c r="W7831" s="4" t="str">
        <f>IFERROR(__xludf.DUMMYFUNCTION("""COMPUTED_VALUE"""),"Saipos Serviços De Software")</f>
        <v>Saipos Serviços De Software</v>
      </c>
      <c r="X7831" s="33">
        <f>IFERROR(__xludf.DUMMYFUNCTION("""COMPUTED_VALUE"""),1.0)</f>
        <v>1</v>
      </c>
    </row>
    <row r="7832">
      <c r="K7832" s="4" t="str">
        <f>IFERROR(__xludf.DUMMYFUNCTION("""COMPUTED_VALUE"""),"SANMAISFARMA - MARCA")</f>
        <v>SANMAISFARMA - MARCA</v>
      </c>
      <c r="L7832" s="32">
        <f>IFERROR(__xludf.DUMMYFUNCTION("""COMPUTED_VALUE"""),2.0)</f>
        <v>2</v>
      </c>
      <c r="M7832" s="4" t="str">
        <f>IFERROR(__xludf.DUMMYFUNCTION("""COMPUTED_VALUE"""),"N/A (Not found)")</f>
        <v>N/A (Not found)</v>
      </c>
      <c r="N7832" s="33">
        <f>IFERROR(__xludf.DUMMYFUNCTION("""COMPUTED_VALUE"""),1.0)</f>
        <v>1</v>
      </c>
      <c r="O7832" s="4" t="str">
        <f>IFERROR(__xludf.DUMMYFUNCTION("""COMPUTED_VALUE"""),"N/A (Not found)")</f>
        <v>N/A (Not found)</v>
      </c>
      <c r="P7832" s="33">
        <f>IFERROR(__xludf.DUMMYFUNCTION("""COMPUTED_VALUE"""),1.0)</f>
        <v>1</v>
      </c>
      <c r="Q7832" s="4" t="str">
        <f>IFERROR(__xludf.DUMMYFUNCTION("""COMPUTED_VALUE"""),"N/A (Not found)")</f>
        <v>N/A (Not found)</v>
      </c>
      <c r="R7832" s="33">
        <f>IFERROR(__xludf.DUMMYFUNCTION("""COMPUTED_VALUE"""),0.5)</f>
        <v>0.5</v>
      </c>
      <c r="S7832" s="4" t="str">
        <f>IFERROR(__xludf.DUMMYFUNCTION("""COMPUTED_VALUE"""),"N/A (Not found)")</f>
        <v>N/A (Not found)</v>
      </c>
      <c r="T7832" s="33">
        <f>IFERROR(__xludf.DUMMYFUNCTION("""COMPUTED_VALUE"""),1.0)</f>
        <v>1</v>
      </c>
      <c r="U7832" s="4" t="str">
        <f>IFERROR(__xludf.DUMMYFUNCTION("""COMPUTED_VALUE"""),"N/A (Not found)")</f>
        <v>N/A (Not found)</v>
      </c>
      <c r="V7832" s="33">
        <f>IFERROR(__xludf.DUMMYFUNCTION("""COMPUTED_VALUE"""),1.0)</f>
        <v>1</v>
      </c>
      <c r="W7832" s="4" t="str">
        <f>IFERROR(__xludf.DUMMYFUNCTION("""COMPUTED_VALUE"""),"N/A (Not found)")</f>
        <v>N/A (Not found)</v>
      </c>
      <c r="X7832" s="33">
        <f>IFERROR(__xludf.DUMMYFUNCTION("""COMPUTED_VALUE"""),0.5)</f>
        <v>0.5</v>
      </c>
    </row>
    <row r="7833">
      <c r="K7833" s="4" t="str">
        <f>IFERROR(__xludf.DUMMYFUNCTION("""COMPUTED_VALUE"""),"SANSEI BELEM")</f>
        <v>SANSEI BELEM</v>
      </c>
      <c r="L7833" s="32">
        <f>IFERROR(__xludf.DUMMYFUNCTION("""COMPUTED_VALUE"""),2.0)</f>
        <v>2</v>
      </c>
      <c r="M7833" s="4" t="str">
        <f>IFERROR(__xludf.DUMMYFUNCTION("""COMPUTED_VALUE"""),"Ncr")</f>
        <v>Ncr</v>
      </c>
      <c r="N7833" s="33">
        <f>IFERROR(__xludf.DUMMYFUNCTION("""COMPUTED_VALUE"""),1.0)</f>
        <v>1</v>
      </c>
      <c r="O7833" s="4" t="str">
        <f>IFERROR(__xludf.DUMMYFUNCTION("""COMPUTED_VALUE"""),"Ncr")</f>
        <v>Ncr</v>
      </c>
      <c r="P7833" s="33">
        <f>IFERROR(__xludf.DUMMYFUNCTION("""COMPUTED_VALUE"""),1.0)</f>
        <v>1</v>
      </c>
      <c r="Q7833" s="4" t="str">
        <f>IFERROR(__xludf.DUMMYFUNCTION("""COMPUTED_VALUE"""),"Ncr")</f>
        <v>Ncr</v>
      </c>
      <c r="R7833" s="33">
        <f>IFERROR(__xludf.DUMMYFUNCTION("""COMPUTED_VALUE"""),1.0)</f>
        <v>1</v>
      </c>
      <c r="S7833" s="4" t="str">
        <f>IFERROR(__xludf.DUMMYFUNCTION("""COMPUTED_VALUE"""),"Ncr")</f>
        <v>Ncr</v>
      </c>
      <c r="T7833" s="33">
        <f>IFERROR(__xludf.DUMMYFUNCTION("""COMPUTED_VALUE"""),0.5)</f>
        <v>0.5</v>
      </c>
      <c r="U7833" s="4" t="str">
        <f>IFERROR(__xludf.DUMMYFUNCTION("""COMPUTED_VALUE"""),"Ncr")</f>
        <v>Ncr</v>
      </c>
      <c r="V7833" s="33">
        <f>IFERROR(__xludf.DUMMYFUNCTION("""COMPUTED_VALUE"""),0.5)</f>
        <v>0.5</v>
      </c>
      <c r="W7833" s="4" t="str">
        <f>IFERROR(__xludf.DUMMYFUNCTION("""COMPUTED_VALUE"""),"Ncr")</f>
        <v>Ncr</v>
      </c>
      <c r="X7833" s="33">
        <f>IFERROR(__xludf.DUMMYFUNCTION("""COMPUTED_VALUE"""),0.5)</f>
        <v>0.5</v>
      </c>
    </row>
    <row r="7834">
      <c r="K7834" s="4" t="str">
        <f>IFERROR(__xludf.DUMMYFUNCTION("""COMPUTED_VALUE"""),"SANTA FE")</f>
        <v>SANTA FE</v>
      </c>
      <c r="L7834" s="32">
        <f>IFERROR(__xludf.DUMMYFUNCTION("""COMPUTED_VALUE"""),2.0)</f>
        <v>2</v>
      </c>
      <c r="M7834" s="4" t="str">
        <f>IFERROR(__xludf.DUMMYFUNCTION("""COMPUTED_VALUE"""),"Saipos Serviços De Software")</f>
        <v>Saipos Serviços De Software</v>
      </c>
      <c r="N7834" s="33">
        <f>IFERROR(__xludf.DUMMYFUNCTION("""COMPUTED_VALUE"""),1.0)</f>
        <v>1</v>
      </c>
      <c r="O7834" s="4" t="str">
        <f>IFERROR(__xludf.DUMMYFUNCTION("""COMPUTED_VALUE"""),"null")</f>
        <v>null</v>
      </c>
      <c r="P7834" s="33">
        <f>IFERROR(__xludf.DUMMYFUNCTION("""COMPUTED_VALUE"""),0.5)</f>
        <v>0.5</v>
      </c>
      <c r="Q7834" s="4" t="str">
        <f>IFERROR(__xludf.DUMMYFUNCTION("""COMPUTED_VALUE"""),"null")</f>
        <v>null</v>
      </c>
      <c r="R7834" s="33">
        <f>IFERROR(__xludf.DUMMYFUNCTION("""COMPUTED_VALUE"""),0.5)</f>
        <v>0.5</v>
      </c>
      <c r="S7834" s="4" t="str">
        <f>IFERROR(__xludf.DUMMYFUNCTION("""COMPUTED_VALUE"""),"null")</f>
        <v>null</v>
      </c>
      <c r="T7834" s="33">
        <f>IFERROR(__xludf.DUMMYFUNCTION("""COMPUTED_VALUE"""),0.5)</f>
        <v>0.5</v>
      </c>
      <c r="U7834" s="4" t="str">
        <f>IFERROR(__xludf.DUMMYFUNCTION("""COMPUTED_VALUE"""),"null")</f>
        <v>null</v>
      </c>
      <c r="V7834" s="33">
        <f>IFERROR(__xludf.DUMMYFUNCTION("""COMPUTED_VALUE"""),0.5)</f>
        <v>0.5</v>
      </c>
      <c r="W7834" s="4" t="str">
        <f>IFERROR(__xludf.DUMMYFUNCTION("""COMPUTED_VALUE"""),"null")</f>
        <v>null</v>
      </c>
      <c r="X7834" s="33">
        <f>IFERROR(__xludf.DUMMYFUNCTION("""COMPUTED_VALUE"""),0.5)</f>
        <v>0.5</v>
      </c>
    </row>
    <row r="7835">
      <c r="K7835" s="4" t="str">
        <f>IFERROR(__xludf.DUMMYFUNCTION("""COMPUTED_VALUE"""),"SANTO 013")</f>
        <v>SANTO 013</v>
      </c>
      <c r="L7835" s="32">
        <f>IFERROR(__xludf.DUMMYFUNCTION("""COMPUTED_VALUE"""),2.0)</f>
        <v>2</v>
      </c>
      <c r="M7835" s="4" t="str">
        <f>IFERROR(__xludf.DUMMYFUNCTION("""COMPUTED_VALUE"""),"Saipos Serviços De Software")</f>
        <v>Saipos Serviços De Software</v>
      </c>
      <c r="N7835" s="33">
        <f>IFERROR(__xludf.DUMMYFUNCTION("""COMPUTED_VALUE"""),1.0)</f>
        <v>1</v>
      </c>
      <c r="O7835" s="4" t="str">
        <f>IFERROR(__xludf.DUMMYFUNCTION("""COMPUTED_VALUE"""),"Saipos Serviços De Software")</f>
        <v>Saipos Serviços De Software</v>
      </c>
      <c r="P7835" s="33">
        <f>IFERROR(__xludf.DUMMYFUNCTION("""COMPUTED_VALUE"""),1.0)</f>
        <v>1</v>
      </c>
      <c r="Q7835" s="4" t="str">
        <f>IFERROR(__xludf.DUMMYFUNCTION("""COMPUTED_VALUE"""),"Saipos Serviços De Software")</f>
        <v>Saipos Serviços De Software</v>
      </c>
      <c r="R7835" s="33">
        <f>IFERROR(__xludf.DUMMYFUNCTION("""COMPUTED_VALUE"""),1.0)</f>
        <v>1</v>
      </c>
      <c r="S7835" s="4" t="str">
        <f>IFERROR(__xludf.DUMMYFUNCTION("""COMPUTED_VALUE"""),"Saipos Serviços De Software")</f>
        <v>Saipos Serviços De Software</v>
      </c>
      <c r="T7835" s="33">
        <f>IFERROR(__xludf.DUMMYFUNCTION("""COMPUTED_VALUE"""),1.0)</f>
        <v>1</v>
      </c>
      <c r="U7835" s="4" t="str">
        <f>IFERROR(__xludf.DUMMYFUNCTION("""COMPUTED_VALUE"""),"null")</f>
        <v>null</v>
      </c>
      <c r="V7835" s="33">
        <f>IFERROR(__xludf.DUMMYFUNCTION("""COMPUTED_VALUE"""),1.0)</f>
        <v>1</v>
      </c>
      <c r="W7835" s="4" t="str">
        <f>IFERROR(__xludf.DUMMYFUNCTION("""COMPUTED_VALUE"""),"null")</f>
        <v>null</v>
      </c>
      <c r="X7835" s="33">
        <f>IFERROR(__xludf.DUMMYFUNCTION("""COMPUTED_VALUE"""),1.0)</f>
        <v>1</v>
      </c>
    </row>
    <row r="7836">
      <c r="K7836" s="4" t="str">
        <f>IFERROR(__xludf.DUMMYFUNCTION("""COMPUTED_VALUE"""),"SANTO DOCE BOLOS SALGADOS - MANAUS")</f>
        <v>SANTO DOCE BOLOS SALGADOS - MANAUS</v>
      </c>
      <c r="L7836" s="32">
        <f>IFERROR(__xludf.DUMMYFUNCTION("""COMPUTED_VALUE"""),2.0)</f>
        <v>2</v>
      </c>
      <c r="M7836" s="4" t="str">
        <f>IFERROR(__xludf.DUMMYFUNCTION("""COMPUTED_VALUE"""),"Mp Multipedidos")</f>
        <v>Mp Multipedidos</v>
      </c>
      <c r="N7836" s="33">
        <f>IFERROR(__xludf.DUMMYFUNCTION("""COMPUTED_VALUE"""),1.0)</f>
        <v>1</v>
      </c>
      <c r="O7836" s="4" t="str">
        <f>IFERROR(__xludf.DUMMYFUNCTION("""COMPUTED_VALUE"""),"Mp Multipedidos")</f>
        <v>Mp Multipedidos</v>
      </c>
      <c r="P7836" s="33">
        <f>IFERROR(__xludf.DUMMYFUNCTION("""COMPUTED_VALUE"""),1.0)</f>
        <v>1</v>
      </c>
      <c r="Q7836" s="4" t="str">
        <f>IFERROR(__xludf.DUMMYFUNCTION("""COMPUTED_VALUE"""),"Mp Multipedidos")</f>
        <v>Mp Multipedidos</v>
      </c>
      <c r="R7836" s="33">
        <f>IFERROR(__xludf.DUMMYFUNCTION("""COMPUTED_VALUE"""),1.0)</f>
        <v>1</v>
      </c>
      <c r="S7836" s="4" t="str">
        <f>IFERROR(__xludf.DUMMYFUNCTION("""COMPUTED_VALUE"""),"Mp Multipedidos")</f>
        <v>Mp Multipedidos</v>
      </c>
      <c r="T7836" s="33">
        <f>IFERROR(__xludf.DUMMYFUNCTION("""COMPUTED_VALUE"""),1.0)</f>
        <v>1</v>
      </c>
      <c r="U7836" s="4" t="str">
        <f>IFERROR(__xludf.DUMMYFUNCTION("""COMPUTED_VALUE"""),"Mp Multipedidos")</f>
        <v>Mp Multipedidos</v>
      </c>
      <c r="V7836" s="33">
        <f>IFERROR(__xludf.DUMMYFUNCTION("""COMPUTED_VALUE"""),1.0)</f>
        <v>1</v>
      </c>
      <c r="W7836" s="4" t="str">
        <f>IFERROR(__xludf.DUMMYFUNCTION("""COMPUTED_VALUE"""),"Mp Multipedidos")</f>
        <v>Mp Multipedidos</v>
      </c>
      <c r="X7836" s="33">
        <f>IFERROR(__xludf.DUMMYFUNCTION("""COMPUTED_VALUE"""),1.0)</f>
        <v>1</v>
      </c>
    </row>
    <row r="7837">
      <c r="K7837" s="4" t="str">
        <f>IFERROR(__xludf.DUMMYFUNCTION("""COMPUTED_VALUE"""),"SANTO FEIJAO - CONTA MARCA")</f>
        <v>SANTO FEIJAO - CONTA MARCA</v>
      </c>
      <c r="L7837" s="32">
        <f>IFERROR(__xludf.DUMMYFUNCTION("""COMPUTED_VALUE"""),2.0)</f>
        <v>2</v>
      </c>
      <c r="M7837" s="4" t="str">
        <f>IFERROR(__xludf.DUMMYFUNCTION("""COMPUTED_VALUE"""),"null")</f>
        <v>null</v>
      </c>
      <c r="N7837" s="33">
        <f>IFERROR(__xludf.DUMMYFUNCTION("""COMPUTED_VALUE"""),1.0)</f>
        <v>1</v>
      </c>
      <c r="O7837" s="4" t="str">
        <f>IFERROR(__xludf.DUMMYFUNCTION("""COMPUTED_VALUE"""),"Cardápio Web")</f>
        <v>Cardápio Web</v>
      </c>
      <c r="P7837" s="33">
        <f>IFERROR(__xludf.DUMMYFUNCTION("""COMPUTED_VALUE"""),1.0)</f>
        <v>1</v>
      </c>
      <c r="Q7837" s="4" t="str">
        <f>IFERROR(__xludf.DUMMYFUNCTION("""COMPUTED_VALUE"""),"null")</f>
        <v>null</v>
      </c>
      <c r="R7837" s="33">
        <f>IFERROR(__xludf.DUMMYFUNCTION("""COMPUTED_VALUE"""),0.5)</f>
        <v>0.5</v>
      </c>
      <c r="S7837" s="4" t="str">
        <f>IFERROR(__xludf.DUMMYFUNCTION("""COMPUTED_VALUE"""),"Cardápio Web")</f>
        <v>Cardápio Web</v>
      </c>
      <c r="T7837" s="33">
        <f>IFERROR(__xludf.DUMMYFUNCTION("""COMPUTED_VALUE"""),1.0)</f>
        <v>1</v>
      </c>
      <c r="U7837" s="4" t="str">
        <f>IFERROR(__xludf.DUMMYFUNCTION("""COMPUTED_VALUE"""),"Saipos Serviços De Software")</f>
        <v>Saipos Serviços De Software</v>
      </c>
      <c r="V7837" s="33">
        <f>IFERROR(__xludf.DUMMYFUNCTION("""COMPUTED_VALUE"""),1.0)</f>
        <v>1</v>
      </c>
      <c r="W7837" s="4" t="str">
        <f>IFERROR(__xludf.DUMMYFUNCTION("""COMPUTED_VALUE"""),"Saipos Serviços De Software")</f>
        <v>Saipos Serviços De Software</v>
      </c>
      <c r="X7837" s="33">
        <f>IFERROR(__xludf.DUMMYFUNCTION("""COMPUTED_VALUE"""),1.0)</f>
        <v>1</v>
      </c>
    </row>
    <row r="7838">
      <c r="K7838" s="4" t="str">
        <f>IFERROR(__xludf.DUMMYFUNCTION("""COMPUTED_VALUE"""),"SANTO ORIENTAL")</f>
        <v>SANTO ORIENTAL</v>
      </c>
      <c r="L7838" s="32">
        <f>IFERROR(__xludf.DUMMYFUNCTION("""COMPUTED_VALUE"""),2.0)</f>
        <v>2</v>
      </c>
      <c r="M7838" s="4" t="str">
        <f>IFERROR(__xludf.DUMMYFUNCTION("""COMPUTED_VALUE"""),"Saipos Serviços De Software")</f>
        <v>Saipos Serviços De Software</v>
      </c>
      <c r="N7838" s="33">
        <f>IFERROR(__xludf.DUMMYFUNCTION("""COMPUTED_VALUE"""),1.0)</f>
        <v>1</v>
      </c>
      <c r="O7838" s="4" t="str">
        <f>IFERROR(__xludf.DUMMYFUNCTION("""COMPUTED_VALUE"""),"Saipos Serviços De Software")</f>
        <v>Saipos Serviços De Software</v>
      </c>
      <c r="P7838" s="33">
        <f>IFERROR(__xludf.DUMMYFUNCTION("""COMPUTED_VALUE"""),1.0)</f>
        <v>1</v>
      </c>
      <c r="Q7838" s="4" t="str">
        <f>IFERROR(__xludf.DUMMYFUNCTION("""COMPUTED_VALUE"""),"Saipos Serviços De Software")</f>
        <v>Saipos Serviços De Software</v>
      </c>
      <c r="R7838" s="33">
        <f>IFERROR(__xludf.DUMMYFUNCTION("""COMPUTED_VALUE"""),0.5)</f>
        <v>0.5</v>
      </c>
      <c r="S7838" s="4" t="str">
        <f>IFERROR(__xludf.DUMMYFUNCTION("""COMPUTED_VALUE"""),"Gestor Food")</f>
        <v>Gestor Food</v>
      </c>
      <c r="T7838" s="33">
        <f>IFERROR(__xludf.DUMMYFUNCTION("""COMPUTED_VALUE"""),1.0)</f>
        <v>1</v>
      </c>
      <c r="U7838" s="4" t="str">
        <f>IFERROR(__xludf.DUMMYFUNCTION("""COMPUTED_VALUE"""),"Gestor Food")</f>
        <v>Gestor Food</v>
      </c>
      <c r="V7838" s="33">
        <f>IFERROR(__xludf.DUMMYFUNCTION("""COMPUTED_VALUE"""),1.0)</f>
        <v>1</v>
      </c>
      <c r="W7838" s="4" t="str">
        <f>IFERROR(__xludf.DUMMYFUNCTION("""COMPUTED_VALUE"""),"Gestor Food")</f>
        <v>Gestor Food</v>
      </c>
      <c r="X7838" s="33">
        <f>IFERROR(__xludf.DUMMYFUNCTION("""COMPUTED_VALUE"""),1.0)</f>
        <v>1</v>
      </c>
    </row>
    <row r="7839">
      <c r="K7839" s="4" t="str">
        <f>IFERROR(__xludf.DUMMYFUNCTION("""COMPUTED_VALUE"""),"SANTO PIATTO")</f>
        <v>SANTO PIATTO</v>
      </c>
      <c r="L7839" s="32">
        <f>IFERROR(__xludf.DUMMYFUNCTION("""COMPUTED_VALUE"""),2.0)</f>
        <v>2</v>
      </c>
      <c r="M7839" s="4" t="str">
        <f>IFERROR(__xludf.DUMMYFUNCTION("""COMPUTED_VALUE"""),"null")</f>
        <v>null</v>
      </c>
      <c r="N7839" s="33">
        <f>IFERROR(__xludf.DUMMYFUNCTION("""COMPUTED_VALUE"""),0.5)</f>
        <v>0.5</v>
      </c>
      <c r="O7839" s="4" t="str">
        <f>IFERROR(__xludf.DUMMYFUNCTION("""COMPUTED_VALUE"""),"null")</f>
        <v>null</v>
      </c>
      <c r="P7839" s="33">
        <f>IFERROR(__xludf.DUMMYFUNCTION("""COMPUTED_VALUE"""),0.5)</f>
        <v>0.5</v>
      </c>
      <c r="Q7839" s="4" t="str">
        <f>IFERROR(__xludf.DUMMYFUNCTION("""COMPUTED_VALUE"""),"Saipos Serviços De Software")</f>
        <v>Saipos Serviços De Software</v>
      </c>
      <c r="R7839" s="33">
        <f>IFERROR(__xludf.DUMMYFUNCTION("""COMPUTED_VALUE"""),1.0)</f>
        <v>1</v>
      </c>
      <c r="S7839" s="4" t="str">
        <f>IFERROR(__xludf.DUMMYFUNCTION("""COMPUTED_VALUE"""),"Saipos Serviços De Software")</f>
        <v>Saipos Serviços De Software</v>
      </c>
      <c r="T7839" s="33">
        <f>IFERROR(__xludf.DUMMYFUNCTION("""COMPUTED_VALUE"""),1.0)</f>
        <v>1</v>
      </c>
      <c r="U7839" s="4" t="str">
        <f>IFERROR(__xludf.DUMMYFUNCTION("""COMPUTED_VALUE"""),"Saipos Serviços De Software")</f>
        <v>Saipos Serviços De Software</v>
      </c>
      <c r="V7839" s="33">
        <f>IFERROR(__xludf.DUMMYFUNCTION("""COMPUTED_VALUE"""),1.0)</f>
        <v>1</v>
      </c>
      <c r="W7839" s="4" t="str">
        <f>IFERROR(__xludf.DUMMYFUNCTION("""COMPUTED_VALUE"""),"Saipos Serviços De Software")</f>
        <v>Saipos Serviços De Software</v>
      </c>
      <c r="X7839" s="33">
        <f>IFERROR(__xludf.DUMMYFUNCTION("""COMPUTED_VALUE"""),1.0)</f>
        <v>1</v>
      </c>
    </row>
    <row r="7840">
      <c r="K7840" s="4" t="str">
        <f>IFERROR(__xludf.DUMMYFUNCTION("""COMPUTED_VALUE"""),"SANTO SUPERMERCADOS - CONTA PAI")</f>
        <v>SANTO SUPERMERCADOS - CONTA PAI</v>
      </c>
      <c r="L7840" s="32">
        <f>IFERROR(__xludf.DUMMYFUNCTION("""COMPUTED_VALUE"""),2.0)</f>
        <v>2</v>
      </c>
      <c r="M7840" s="4" t="str">
        <f>IFERROR(__xludf.DUMMYFUNCTION("""COMPUTED_VALUE"""),"N/A (Not found)")</f>
        <v>N/A (Not found)</v>
      </c>
      <c r="N7840" s="33">
        <f>IFERROR(__xludf.DUMMYFUNCTION("""COMPUTED_VALUE"""),1.0)</f>
        <v>1</v>
      </c>
      <c r="O7840" s="4" t="str">
        <f>IFERROR(__xludf.DUMMYFUNCTION("""COMPUTED_VALUE"""),"N/A (Not found)")</f>
        <v>N/A (Not found)</v>
      </c>
      <c r="P7840" s="33">
        <f>IFERROR(__xludf.DUMMYFUNCTION("""COMPUTED_VALUE"""),1.0)</f>
        <v>1</v>
      </c>
      <c r="Q7840" s="4" t="str">
        <f>IFERROR(__xludf.DUMMYFUNCTION("""COMPUTED_VALUE"""),"N/A (Not found)")</f>
        <v>N/A (Not found)</v>
      </c>
      <c r="R7840" s="33">
        <f>IFERROR(__xludf.DUMMYFUNCTION("""COMPUTED_VALUE"""),1.0)</f>
        <v>1</v>
      </c>
      <c r="S7840" s="4" t="str">
        <f>IFERROR(__xludf.DUMMYFUNCTION("""COMPUTED_VALUE"""),"N/A (Not found)")</f>
        <v>N/A (Not found)</v>
      </c>
      <c r="T7840" s="33">
        <f>IFERROR(__xludf.DUMMYFUNCTION("""COMPUTED_VALUE"""),1.0)</f>
        <v>1</v>
      </c>
      <c r="U7840" s="4" t="str">
        <f>IFERROR(__xludf.DUMMYFUNCTION("""COMPUTED_VALUE"""),"N/A (Not found)")</f>
        <v>N/A (Not found)</v>
      </c>
      <c r="V7840" s="33">
        <f>IFERROR(__xludf.DUMMYFUNCTION("""COMPUTED_VALUE"""),1.0)</f>
        <v>1</v>
      </c>
      <c r="W7840" s="4" t="str">
        <f>IFERROR(__xludf.DUMMYFUNCTION("""COMPUTED_VALUE"""),"N/A (Not found)")</f>
        <v>N/A (Not found)</v>
      </c>
      <c r="X7840" s="33">
        <f>IFERROR(__xludf.DUMMYFUNCTION("""COMPUTED_VALUE"""),1.0)</f>
        <v>1</v>
      </c>
    </row>
    <row r="7841">
      <c r="K7841" s="4" t="str">
        <f>IFERROR(__xludf.DUMMYFUNCTION("""COMPUTED_VALUE"""),"SAO CARLOS LANCHES")</f>
        <v>SAO CARLOS LANCHES</v>
      </c>
      <c r="L7841" s="32">
        <f>IFERROR(__xludf.DUMMYFUNCTION("""COMPUTED_VALUE"""),2.0)</f>
        <v>2</v>
      </c>
      <c r="M7841" s="4" t="str">
        <f>IFERROR(__xludf.DUMMYFUNCTION("""COMPUTED_VALUE"""),"Hubster")</f>
        <v>Hubster</v>
      </c>
      <c r="N7841" s="33">
        <f>IFERROR(__xludf.DUMMYFUNCTION("""COMPUTED_VALUE"""),1.0)</f>
        <v>1</v>
      </c>
      <c r="O7841" s="4" t="str">
        <f>IFERROR(__xludf.DUMMYFUNCTION("""COMPUTED_VALUE"""),"Hubster")</f>
        <v>Hubster</v>
      </c>
      <c r="P7841" s="33">
        <f>IFERROR(__xludf.DUMMYFUNCTION("""COMPUTED_VALUE"""),1.0)</f>
        <v>1</v>
      </c>
      <c r="Q7841" s="4" t="str">
        <f>IFERROR(__xludf.DUMMYFUNCTION("""COMPUTED_VALUE"""),"Hubster")</f>
        <v>Hubster</v>
      </c>
      <c r="R7841" s="33">
        <f>IFERROR(__xludf.DUMMYFUNCTION("""COMPUTED_VALUE"""),1.0)</f>
        <v>1</v>
      </c>
      <c r="S7841" s="4" t="str">
        <f>IFERROR(__xludf.DUMMYFUNCTION("""COMPUTED_VALUE"""),"null")</f>
        <v>null</v>
      </c>
      <c r="T7841" s="33">
        <f>IFERROR(__xludf.DUMMYFUNCTION("""COMPUTED_VALUE"""),1.0)</f>
        <v>1</v>
      </c>
      <c r="U7841" s="4" t="str">
        <f>IFERROR(__xludf.DUMMYFUNCTION("""COMPUTED_VALUE"""),"null")</f>
        <v>null</v>
      </c>
      <c r="V7841" s="33">
        <f>IFERROR(__xludf.DUMMYFUNCTION("""COMPUTED_VALUE"""),1.0)</f>
        <v>1</v>
      </c>
      <c r="W7841" s="4" t="str">
        <f>IFERROR(__xludf.DUMMYFUNCTION("""COMPUTED_VALUE"""),"null")</f>
        <v>null</v>
      </c>
      <c r="X7841" s="33">
        <f>IFERROR(__xludf.DUMMYFUNCTION("""COMPUTED_VALUE"""),1.0)</f>
        <v>1</v>
      </c>
    </row>
    <row r="7842">
      <c r="K7842" s="4" t="str">
        <f>IFERROR(__xludf.DUMMYFUNCTION("""COMPUTED_VALUE"""),"SAO JOSE SUPERMERCADOS - CONTA PAI")</f>
        <v>SAO JOSE SUPERMERCADOS - CONTA PAI</v>
      </c>
      <c r="L7842" s="32">
        <f>IFERROR(__xludf.DUMMYFUNCTION("""COMPUTED_VALUE"""),2.0)</f>
        <v>2</v>
      </c>
      <c r="M7842" s="4" t="str">
        <f>IFERROR(__xludf.DUMMYFUNCTION("""COMPUTED_VALUE"""),"N/A (Not found)")</f>
        <v>N/A (Not found)</v>
      </c>
      <c r="N7842" s="33">
        <f>IFERROR(__xludf.DUMMYFUNCTION("""COMPUTED_VALUE"""),1.0)</f>
        <v>1</v>
      </c>
      <c r="O7842" s="4" t="str">
        <f>IFERROR(__xludf.DUMMYFUNCTION("""COMPUTED_VALUE"""),"N/A (Not found)")</f>
        <v>N/A (Not found)</v>
      </c>
      <c r="P7842" s="33">
        <f>IFERROR(__xludf.DUMMYFUNCTION("""COMPUTED_VALUE"""),1.0)</f>
        <v>1</v>
      </c>
      <c r="Q7842" s="4" t="str">
        <f>IFERROR(__xludf.DUMMYFUNCTION("""COMPUTED_VALUE"""),"N/A (Not found)")</f>
        <v>N/A (Not found)</v>
      </c>
      <c r="R7842" s="33">
        <f>IFERROR(__xludf.DUMMYFUNCTION("""COMPUTED_VALUE"""),1.0)</f>
        <v>1</v>
      </c>
      <c r="S7842" s="4" t="str">
        <f>IFERROR(__xludf.DUMMYFUNCTION("""COMPUTED_VALUE"""),"N/A (Not found)")</f>
        <v>N/A (Not found)</v>
      </c>
      <c r="T7842" s="33">
        <f>IFERROR(__xludf.DUMMYFUNCTION("""COMPUTED_VALUE"""),1.0)</f>
        <v>1</v>
      </c>
      <c r="U7842" s="4" t="str">
        <f>IFERROR(__xludf.DUMMYFUNCTION("""COMPUTED_VALUE"""),"N/A (Not found)")</f>
        <v>N/A (Not found)</v>
      </c>
      <c r="V7842" s="33">
        <f>IFERROR(__xludf.DUMMYFUNCTION("""COMPUTED_VALUE"""),1.0)</f>
        <v>1</v>
      </c>
      <c r="W7842" s="4" t="str">
        <f>IFERROR(__xludf.DUMMYFUNCTION("""COMPUTED_VALUE"""),"N/A (Not found)")</f>
        <v>N/A (Not found)</v>
      </c>
      <c r="X7842" s="33">
        <f>IFERROR(__xludf.DUMMYFUNCTION("""COMPUTED_VALUE"""),1.0)</f>
        <v>1</v>
      </c>
    </row>
    <row r="7843">
      <c r="K7843" s="4" t="str">
        <f>IFERROR(__xludf.DUMMYFUNCTION("""COMPUTED_VALUE"""),"SAO JOSE SUPERMERCADOS - CONTA PAI WL HIBRIDO")</f>
        <v>SAO JOSE SUPERMERCADOS - CONTA PAI WL HIBRIDO</v>
      </c>
      <c r="L7843" s="32">
        <f>IFERROR(__xludf.DUMMYFUNCTION("""COMPUTED_VALUE"""),2.0)</f>
        <v>2</v>
      </c>
      <c r="M7843" s="4" t="str">
        <f>IFERROR(__xludf.DUMMYFUNCTION("""COMPUTED_VALUE"""),"N/A (Not found)")</f>
        <v>N/A (Not found)</v>
      </c>
      <c r="N7843" s="33">
        <f>IFERROR(__xludf.DUMMYFUNCTION("""COMPUTED_VALUE"""),1.0)</f>
        <v>1</v>
      </c>
      <c r="O7843" s="4" t="str">
        <f>IFERROR(__xludf.DUMMYFUNCTION("""COMPUTED_VALUE"""),"N/A (Not found)")</f>
        <v>N/A (Not found)</v>
      </c>
      <c r="P7843" s="33">
        <f>IFERROR(__xludf.DUMMYFUNCTION("""COMPUTED_VALUE"""),1.0)</f>
        <v>1</v>
      </c>
      <c r="Q7843" s="4" t="str">
        <f>IFERROR(__xludf.DUMMYFUNCTION("""COMPUTED_VALUE"""),"N/A (Not found)")</f>
        <v>N/A (Not found)</v>
      </c>
      <c r="R7843" s="33">
        <f>IFERROR(__xludf.DUMMYFUNCTION("""COMPUTED_VALUE"""),1.0)</f>
        <v>1</v>
      </c>
      <c r="S7843" s="4" t="str">
        <f>IFERROR(__xludf.DUMMYFUNCTION("""COMPUTED_VALUE"""),"N/A (Not found)")</f>
        <v>N/A (Not found)</v>
      </c>
      <c r="T7843" s="33">
        <f>IFERROR(__xludf.DUMMYFUNCTION("""COMPUTED_VALUE"""),1.0)</f>
        <v>1</v>
      </c>
      <c r="U7843" s="4" t="str">
        <f>IFERROR(__xludf.DUMMYFUNCTION("""COMPUTED_VALUE"""),"N/A (Not found)")</f>
        <v>N/A (Not found)</v>
      </c>
      <c r="V7843" s="33">
        <f>IFERROR(__xludf.DUMMYFUNCTION("""COMPUTED_VALUE"""),1.0)</f>
        <v>1</v>
      </c>
      <c r="W7843" s="4" t="str">
        <f>IFERROR(__xludf.DUMMYFUNCTION("""COMPUTED_VALUE"""),"N/A (Not found)")</f>
        <v>N/A (Not found)</v>
      </c>
      <c r="X7843" s="33">
        <f>IFERROR(__xludf.DUMMYFUNCTION("""COMPUTED_VALUE"""),1.0)</f>
        <v>1</v>
      </c>
    </row>
    <row r="7844">
      <c r="K7844" s="4" t="str">
        <f>IFERROR(__xludf.DUMMYFUNCTION("""COMPUTED_VALUE"""),"SAO PAO DE ALHO ABC")</f>
        <v>SAO PAO DE ALHO ABC</v>
      </c>
      <c r="L7844" s="32">
        <f>IFERROR(__xludf.DUMMYFUNCTION("""COMPUTED_VALUE"""),2.0)</f>
        <v>2</v>
      </c>
      <c r="M7844" s="4" t="str">
        <f>IFERROR(__xludf.DUMMYFUNCTION("""COMPUTED_VALUE"""),"null")</f>
        <v>null</v>
      </c>
      <c r="N7844" s="33">
        <f>IFERROR(__xludf.DUMMYFUNCTION("""COMPUTED_VALUE"""),1.0)</f>
        <v>1</v>
      </c>
      <c r="O7844" s="4" t="str">
        <f>IFERROR(__xludf.DUMMYFUNCTION("""COMPUTED_VALUE"""),"Cardápio Web")</f>
        <v>Cardápio Web</v>
      </c>
      <c r="P7844" s="33">
        <f>IFERROR(__xludf.DUMMYFUNCTION("""COMPUTED_VALUE"""),1.0)</f>
        <v>1</v>
      </c>
      <c r="Q7844" s="4" t="str">
        <f>IFERROR(__xludf.DUMMYFUNCTION("""COMPUTED_VALUE"""),"null")</f>
        <v>null</v>
      </c>
      <c r="R7844" s="33">
        <f>IFERROR(__xludf.DUMMYFUNCTION("""COMPUTED_VALUE"""),1.0)</f>
        <v>1</v>
      </c>
      <c r="S7844" s="4" t="str">
        <f>IFERROR(__xludf.DUMMYFUNCTION("""COMPUTED_VALUE"""),"null")</f>
        <v>null</v>
      </c>
      <c r="T7844" s="33">
        <f>IFERROR(__xludf.DUMMYFUNCTION("""COMPUTED_VALUE"""),1.0)</f>
        <v>1</v>
      </c>
      <c r="U7844" s="4" t="str">
        <f>IFERROR(__xludf.DUMMYFUNCTION("""COMPUTED_VALUE"""),"null")</f>
        <v>null</v>
      </c>
      <c r="V7844" s="33">
        <f>IFERROR(__xludf.DUMMYFUNCTION("""COMPUTED_VALUE"""),1.0)</f>
        <v>1</v>
      </c>
      <c r="W7844" s="4" t="str">
        <f>IFERROR(__xludf.DUMMYFUNCTION("""COMPUTED_VALUE"""),"null")</f>
        <v>null</v>
      </c>
      <c r="X7844" s="33">
        <f>IFERROR(__xludf.DUMMYFUNCTION("""COMPUTED_VALUE"""),1.0)</f>
        <v>1</v>
      </c>
    </row>
    <row r="7845">
      <c r="K7845" s="4" t="str">
        <f>IFERROR(__xludf.DUMMYFUNCTION("""COMPUTED_VALUE"""),"SARA SUSHI")</f>
        <v>SARA SUSHI</v>
      </c>
      <c r="L7845" s="32">
        <f>IFERROR(__xludf.DUMMYFUNCTION("""COMPUTED_VALUE"""),2.0)</f>
        <v>2</v>
      </c>
      <c r="M7845" s="4" t="str">
        <f>IFERROR(__xludf.DUMMYFUNCTION("""COMPUTED_VALUE"""),"Premio Sistemas Ltda")</f>
        <v>Premio Sistemas Ltda</v>
      </c>
      <c r="N7845" s="33">
        <f>IFERROR(__xludf.DUMMYFUNCTION("""COMPUTED_VALUE"""),1.0)</f>
        <v>1</v>
      </c>
      <c r="O7845" s="4" t="str">
        <f>IFERROR(__xludf.DUMMYFUNCTION("""COMPUTED_VALUE"""),"Premio Sistemas Ltda")</f>
        <v>Premio Sistemas Ltda</v>
      </c>
      <c r="P7845" s="33">
        <f>IFERROR(__xludf.DUMMYFUNCTION("""COMPUTED_VALUE"""),1.0)</f>
        <v>1</v>
      </c>
      <c r="Q7845" s="4" t="str">
        <f>IFERROR(__xludf.DUMMYFUNCTION("""COMPUTED_VALUE"""),"Premio Sistemas Ltda")</f>
        <v>Premio Sistemas Ltda</v>
      </c>
      <c r="R7845" s="33">
        <f>IFERROR(__xludf.DUMMYFUNCTION("""COMPUTED_VALUE"""),1.0)</f>
        <v>1</v>
      </c>
      <c r="S7845" s="4" t="str">
        <f>IFERROR(__xludf.DUMMYFUNCTION("""COMPUTED_VALUE"""),"Premio Sistemas Ltda")</f>
        <v>Premio Sistemas Ltda</v>
      </c>
      <c r="T7845" s="33">
        <f>IFERROR(__xludf.DUMMYFUNCTION("""COMPUTED_VALUE"""),1.0)</f>
        <v>1</v>
      </c>
      <c r="U7845" s="4" t="str">
        <f>IFERROR(__xludf.DUMMYFUNCTION("""COMPUTED_VALUE"""),"Premio Sistemas Ltda")</f>
        <v>Premio Sistemas Ltda</v>
      </c>
      <c r="V7845" s="33">
        <f>IFERROR(__xludf.DUMMYFUNCTION("""COMPUTED_VALUE"""),1.0)</f>
        <v>1</v>
      </c>
      <c r="W7845" s="4" t="str">
        <f>IFERROR(__xludf.DUMMYFUNCTION("""COMPUTED_VALUE"""),"Premio Sistemas Ltda")</f>
        <v>Premio Sistemas Ltda</v>
      </c>
      <c r="X7845" s="33">
        <f>IFERROR(__xludf.DUMMYFUNCTION("""COMPUTED_VALUE"""),1.0)</f>
        <v>1</v>
      </c>
    </row>
    <row r="7846">
      <c r="K7846" s="4" t="str">
        <f>IFERROR(__xludf.DUMMYFUNCTION("""COMPUTED_VALUE"""),"SEGREDO DE LUIZA - CONTA PAI")</f>
        <v>SEGREDO DE LUIZA - CONTA PAI</v>
      </c>
      <c r="L7846" s="32">
        <f>IFERROR(__xludf.DUMMYFUNCTION("""COMPUTED_VALUE"""),2.0)</f>
        <v>2</v>
      </c>
      <c r="M7846" s="4" t="str">
        <f>IFERROR(__xludf.DUMMYFUNCTION("""COMPUTED_VALUE"""),"Parseint Desenvolvimento De Sistemas Ltda")</f>
        <v>Parseint Desenvolvimento De Sistemas Ltda</v>
      </c>
      <c r="N7846" s="33">
        <f>IFERROR(__xludf.DUMMYFUNCTION("""COMPUTED_VALUE"""),1.0)</f>
        <v>1</v>
      </c>
      <c r="O7846" s="4" t="str">
        <f>IFERROR(__xludf.DUMMYFUNCTION("""COMPUTED_VALUE"""),"Parseint Desenvolvimento De Sistemas Ltda")</f>
        <v>Parseint Desenvolvimento De Sistemas Ltda</v>
      </c>
      <c r="P7846" s="33">
        <f>IFERROR(__xludf.DUMMYFUNCTION("""COMPUTED_VALUE"""),1.0)</f>
        <v>1</v>
      </c>
      <c r="Q7846" s="4" t="str">
        <f>IFERROR(__xludf.DUMMYFUNCTION("""COMPUTED_VALUE"""),"Parseint Desenvolvimento De Sistemas Ltda")</f>
        <v>Parseint Desenvolvimento De Sistemas Ltda</v>
      </c>
      <c r="R7846" s="33">
        <f>IFERROR(__xludf.DUMMYFUNCTION("""COMPUTED_VALUE"""),1.0)</f>
        <v>1</v>
      </c>
      <c r="S7846" s="4" t="str">
        <f>IFERROR(__xludf.DUMMYFUNCTION("""COMPUTED_VALUE"""),"Parseint Desenvolvimento De Sistemas Ltda")</f>
        <v>Parseint Desenvolvimento De Sistemas Ltda</v>
      </c>
      <c r="T7846" s="33">
        <f>IFERROR(__xludf.DUMMYFUNCTION("""COMPUTED_VALUE"""),1.0)</f>
        <v>1</v>
      </c>
      <c r="U7846" s="4" t="str">
        <f>IFERROR(__xludf.DUMMYFUNCTION("""COMPUTED_VALUE"""),"Parseint Desenvolvimento De Sistemas Ltda")</f>
        <v>Parseint Desenvolvimento De Sistemas Ltda</v>
      </c>
      <c r="V7846" s="33">
        <f>IFERROR(__xludf.DUMMYFUNCTION("""COMPUTED_VALUE"""),1.0)</f>
        <v>1</v>
      </c>
      <c r="W7846" s="4" t="str">
        <f>IFERROR(__xludf.DUMMYFUNCTION("""COMPUTED_VALUE"""),"Parseint Desenvolvimento De Sistemas Ltda")</f>
        <v>Parseint Desenvolvimento De Sistemas Ltda</v>
      </c>
      <c r="X7846" s="33">
        <f>IFERROR(__xludf.DUMMYFUNCTION("""COMPUTED_VALUE"""),1.0)</f>
        <v>1</v>
      </c>
    </row>
    <row r="7847">
      <c r="K7847" s="4" t="str">
        <f>IFERROR(__xludf.DUMMYFUNCTION("""COMPUTED_VALUE"""),"SENHORA PIZZA PAULISTANA - MARCA")</f>
        <v>SENHORA PIZZA PAULISTANA - MARCA</v>
      </c>
      <c r="L7847" s="32">
        <f>IFERROR(__xludf.DUMMYFUNCTION("""COMPUTED_VALUE"""),2.0)</f>
        <v>2</v>
      </c>
      <c r="M7847" s="4" t="str">
        <f>IFERROR(__xludf.DUMMYFUNCTION("""COMPUTED_VALUE"""),"Cardápio Web")</f>
        <v>Cardápio Web</v>
      </c>
      <c r="N7847" s="33">
        <f>IFERROR(__xludf.DUMMYFUNCTION("""COMPUTED_VALUE"""),1.0)</f>
        <v>1</v>
      </c>
      <c r="O7847" s="4" t="str">
        <f>IFERROR(__xludf.DUMMYFUNCTION("""COMPUTED_VALUE"""),"Cardápio Web")</f>
        <v>Cardápio Web</v>
      </c>
      <c r="P7847" s="33">
        <f>IFERROR(__xludf.DUMMYFUNCTION("""COMPUTED_VALUE"""),0.5)</f>
        <v>0.5</v>
      </c>
      <c r="Q7847" s="4" t="str">
        <f>IFERROR(__xludf.DUMMYFUNCTION("""COMPUTED_VALUE"""),"Garcom Web")</f>
        <v>Garcom Web</v>
      </c>
      <c r="R7847" s="33">
        <f>IFERROR(__xludf.DUMMYFUNCTION("""COMPUTED_VALUE"""),0.5)</f>
        <v>0.5</v>
      </c>
      <c r="S7847" s="4" t="str">
        <f>IFERROR(__xludf.DUMMYFUNCTION("""COMPUTED_VALUE"""),"Garcom Web")</f>
        <v>Garcom Web</v>
      </c>
      <c r="T7847" s="33">
        <f>IFERROR(__xludf.DUMMYFUNCTION("""COMPUTED_VALUE"""),0.5)</f>
        <v>0.5</v>
      </c>
      <c r="U7847" s="4" t="str">
        <f>IFERROR(__xludf.DUMMYFUNCTION("""COMPUTED_VALUE"""),"null")</f>
        <v>null</v>
      </c>
      <c r="V7847" s="33">
        <f>IFERROR(__xludf.DUMMYFUNCTION("""COMPUTED_VALUE"""),0.5)</f>
        <v>0.5</v>
      </c>
      <c r="W7847" s="4" t="str">
        <f>IFERROR(__xludf.DUMMYFUNCTION("""COMPUTED_VALUE"""),"Cardápio Web")</f>
        <v>Cardápio Web</v>
      </c>
      <c r="X7847" s="33">
        <f>IFERROR(__xludf.DUMMYFUNCTION("""COMPUTED_VALUE"""),0.5)</f>
        <v>0.5</v>
      </c>
    </row>
    <row r="7848">
      <c r="K7848" s="4" t="str">
        <f>IFERROR(__xludf.DUMMYFUNCTION("""COMPUTED_VALUE"""),"SENHORITA BURGER")</f>
        <v>SENHORITA BURGER</v>
      </c>
      <c r="L7848" s="32">
        <f>IFERROR(__xludf.DUMMYFUNCTION("""COMPUTED_VALUE"""),2.0)</f>
        <v>2</v>
      </c>
      <c r="M7848" s="4" t="str">
        <f>IFERROR(__xludf.DUMMYFUNCTION("""COMPUTED_VALUE"""),"Beefood - Sistema Para Restaurantes")</f>
        <v>Beefood - Sistema Para Restaurantes</v>
      </c>
      <c r="N7848" s="33">
        <f>IFERROR(__xludf.DUMMYFUNCTION("""COMPUTED_VALUE"""),0.5)</f>
        <v>0.5</v>
      </c>
      <c r="O7848" s="4" t="str">
        <f>IFERROR(__xludf.DUMMYFUNCTION("""COMPUTED_VALUE"""),"null")</f>
        <v>null</v>
      </c>
      <c r="P7848" s="33">
        <f>IFERROR(__xludf.DUMMYFUNCTION("""COMPUTED_VALUE"""),0.5)</f>
        <v>0.5</v>
      </c>
      <c r="Q7848" s="4" t="str">
        <f>IFERROR(__xludf.DUMMYFUNCTION("""COMPUTED_VALUE"""),"null")</f>
        <v>null</v>
      </c>
      <c r="R7848" s="33">
        <f>IFERROR(__xludf.DUMMYFUNCTION("""COMPUTED_VALUE"""),0.5)</f>
        <v>0.5</v>
      </c>
      <c r="S7848" s="4" t="str">
        <f>IFERROR(__xludf.DUMMYFUNCTION("""COMPUTED_VALUE"""),"null")</f>
        <v>null</v>
      </c>
      <c r="T7848" s="33">
        <f>IFERROR(__xludf.DUMMYFUNCTION("""COMPUTED_VALUE"""),0.5)</f>
        <v>0.5</v>
      </c>
      <c r="U7848" s="4" t="str">
        <f>IFERROR(__xludf.DUMMYFUNCTION("""COMPUTED_VALUE"""),"null")</f>
        <v>null</v>
      </c>
      <c r="V7848" s="33">
        <f>IFERROR(__xludf.DUMMYFUNCTION("""COMPUTED_VALUE"""),0.5)</f>
        <v>0.5</v>
      </c>
      <c r="W7848" s="4" t="str">
        <f>IFERROR(__xludf.DUMMYFUNCTION("""COMPUTED_VALUE"""),"null")</f>
        <v>null</v>
      </c>
      <c r="X7848" s="33">
        <f>IFERROR(__xludf.DUMMYFUNCTION("""COMPUTED_VALUE"""),0.5)</f>
        <v>0.5</v>
      </c>
    </row>
    <row r="7849">
      <c r="K7849" s="4" t="str">
        <f>IFERROR(__xludf.DUMMYFUNCTION("""COMPUTED_VALUE"""),"SEREIA LANCHES")</f>
        <v>SEREIA LANCHES</v>
      </c>
      <c r="L7849" s="32">
        <f>IFERROR(__xludf.DUMMYFUNCTION("""COMPUTED_VALUE"""),2.0)</f>
        <v>2</v>
      </c>
      <c r="M7849" s="4" t="str">
        <f>IFERROR(__xludf.DUMMYFUNCTION("""COMPUTED_VALUE"""),"Fs Soluções Em Tecnologia Ltda")</f>
        <v>Fs Soluções Em Tecnologia Ltda</v>
      </c>
      <c r="N7849" s="33">
        <f>IFERROR(__xludf.DUMMYFUNCTION("""COMPUTED_VALUE"""),1.0)</f>
        <v>1</v>
      </c>
      <c r="O7849" s="4" t="str">
        <f>IFERROR(__xludf.DUMMYFUNCTION("""COMPUTED_VALUE"""),"Fs Soluções Em Tecnologia Ltda")</f>
        <v>Fs Soluções Em Tecnologia Ltda</v>
      </c>
      <c r="P7849" s="33">
        <f>IFERROR(__xludf.DUMMYFUNCTION("""COMPUTED_VALUE"""),1.0)</f>
        <v>1</v>
      </c>
      <c r="Q7849" s="4" t="str">
        <f>IFERROR(__xludf.DUMMYFUNCTION("""COMPUTED_VALUE"""),"Fs Soluções Em Tecnologia Ltda")</f>
        <v>Fs Soluções Em Tecnologia Ltda</v>
      </c>
      <c r="R7849" s="33">
        <f>IFERROR(__xludf.DUMMYFUNCTION("""COMPUTED_VALUE"""),1.0)</f>
        <v>1</v>
      </c>
      <c r="S7849" s="4" t="str">
        <f>IFERROR(__xludf.DUMMYFUNCTION("""COMPUTED_VALUE"""),"Fs Soluções Em Tecnologia Ltda")</f>
        <v>Fs Soluções Em Tecnologia Ltda</v>
      </c>
      <c r="T7849" s="33">
        <f>IFERROR(__xludf.DUMMYFUNCTION("""COMPUTED_VALUE"""),1.0)</f>
        <v>1</v>
      </c>
      <c r="U7849" s="4" t="str">
        <f>IFERROR(__xludf.DUMMYFUNCTION("""COMPUTED_VALUE"""),"Fs Soluções Em Tecnologia Ltda")</f>
        <v>Fs Soluções Em Tecnologia Ltda</v>
      </c>
      <c r="V7849" s="33">
        <f>IFERROR(__xludf.DUMMYFUNCTION("""COMPUTED_VALUE"""),1.0)</f>
        <v>1</v>
      </c>
      <c r="W7849" s="4" t="str">
        <f>IFERROR(__xludf.DUMMYFUNCTION("""COMPUTED_VALUE"""),"Fs Soluções Em Tecnologia Ltda")</f>
        <v>Fs Soluções Em Tecnologia Ltda</v>
      </c>
      <c r="X7849" s="33">
        <f>IFERROR(__xludf.DUMMYFUNCTION("""COMPUTED_VALUE"""),1.0)</f>
        <v>1</v>
      </c>
    </row>
    <row r="7850">
      <c r="K7850" s="4" t="str">
        <f>IFERROR(__xludf.DUMMYFUNCTION("""COMPUTED_VALUE"""),"SERIES BURGUERS")</f>
        <v>SERIES BURGUERS</v>
      </c>
      <c r="L7850" s="32">
        <f>IFERROR(__xludf.DUMMYFUNCTION("""COMPUTED_VALUE"""),2.0)</f>
        <v>2</v>
      </c>
      <c r="M7850" s="4" t="str">
        <f>IFERROR(__xludf.DUMMYFUNCTION("""COMPUTED_VALUE"""),"Saipos Serviços De Software")</f>
        <v>Saipos Serviços De Software</v>
      </c>
      <c r="N7850" s="33">
        <f>IFERROR(__xludf.DUMMYFUNCTION("""COMPUTED_VALUE"""),1.0)</f>
        <v>1</v>
      </c>
      <c r="O7850" s="4" t="str">
        <f>IFERROR(__xludf.DUMMYFUNCTION("""COMPUTED_VALUE"""),"Saipos Serviços De Software")</f>
        <v>Saipos Serviços De Software</v>
      </c>
      <c r="P7850" s="33">
        <f>IFERROR(__xludf.DUMMYFUNCTION("""COMPUTED_VALUE"""),1.0)</f>
        <v>1</v>
      </c>
      <c r="Q7850" s="4" t="str">
        <f>IFERROR(__xludf.DUMMYFUNCTION("""COMPUTED_VALUE"""),"Saipos Serviços De Software")</f>
        <v>Saipos Serviços De Software</v>
      </c>
      <c r="R7850" s="33">
        <f>IFERROR(__xludf.DUMMYFUNCTION("""COMPUTED_VALUE"""),1.0)</f>
        <v>1</v>
      </c>
      <c r="S7850" s="4" t="str">
        <f>IFERROR(__xludf.DUMMYFUNCTION("""COMPUTED_VALUE"""),"Saipos Serviços De Software")</f>
        <v>Saipos Serviços De Software</v>
      </c>
      <c r="T7850" s="33">
        <f>IFERROR(__xludf.DUMMYFUNCTION("""COMPUTED_VALUE"""),1.0)</f>
        <v>1</v>
      </c>
      <c r="U7850" s="4" t="str">
        <f>IFERROR(__xludf.DUMMYFUNCTION("""COMPUTED_VALUE"""),"Saipos Serviços De Software")</f>
        <v>Saipos Serviços De Software</v>
      </c>
      <c r="V7850" s="33">
        <f>IFERROR(__xludf.DUMMYFUNCTION("""COMPUTED_VALUE"""),1.0)</f>
        <v>1</v>
      </c>
      <c r="W7850" s="4" t="str">
        <f>IFERROR(__xludf.DUMMYFUNCTION("""COMPUTED_VALUE"""),"Saipos Serviços De Software")</f>
        <v>Saipos Serviços De Software</v>
      </c>
      <c r="X7850" s="33">
        <f>IFERROR(__xludf.DUMMYFUNCTION("""COMPUTED_VALUE"""),0.5)</f>
        <v>0.5</v>
      </c>
    </row>
    <row r="7851">
      <c r="K7851" s="4" t="str">
        <f>IFERROR(__xludf.DUMMYFUNCTION("""COMPUTED_VALUE"""),"SERJAO LANCHES MARINGA MARCA")</f>
        <v>SERJAO LANCHES MARINGA MARCA</v>
      </c>
      <c r="L7851" s="32">
        <f>IFERROR(__xludf.DUMMYFUNCTION("""COMPUTED_VALUE"""),2.0)</f>
        <v>2</v>
      </c>
      <c r="M7851" s="4" t="str">
        <f>IFERROR(__xludf.DUMMYFUNCTION("""COMPUTED_VALUE"""),"Saipos Serviços De Software")</f>
        <v>Saipos Serviços De Software</v>
      </c>
      <c r="N7851" s="33">
        <f>IFERROR(__xludf.DUMMYFUNCTION("""COMPUTED_VALUE"""),1.0)</f>
        <v>1</v>
      </c>
      <c r="O7851" s="4" t="str">
        <f>IFERROR(__xludf.DUMMYFUNCTION("""COMPUTED_VALUE"""),"Saipos Serviços De Software")</f>
        <v>Saipos Serviços De Software</v>
      </c>
      <c r="P7851" s="33">
        <f>IFERROR(__xludf.DUMMYFUNCTION("""COMPUTED_VALUE"""),1.0)</f>
        <v>1</v>
      </c>
      <c r="Q7851" s="4" t="str">
        <f>IFERROR(__xludf.DUMMYFUNCTION("""COMPUTED_VALUE"""),"Saipos Serviços De Software")</f>
        <v>Saipos Serviços De Software</v>
      </c>
      <c r="R7851" s="33">
        <f>IFERROR(__xludf.DUMMYFUNCTION("""COMPUTED_VALUE"""),1.0)</f>
        <v>1</v>
      </c>
      <c r="S7851" s="4" t="str">
        <f>IFERROR(__xludf.DUMMYFUNCTION("""COMPUTED_VALUE"""),"Saipos Serviços De Software")</f>
        <v>Saipos Serviços De Software</v>
      </c>
      <c r="T7851" s="33">
        <f>IFERROR(__xludf.DUMMYFUNCTION("""COMPUTED_VALUE"""),1.0)</f>
        <v>1</v>
      </c>
      <c r="U7851" s="4" t="str">
        <f>IFERROR(__xludf.DUMMYFUNCTION("""COMPUTED_VALUE"""),"Saipos Serviços De Software")</f>
        <v>Saipos Serviços De Software</v>
      </c>
      <c r="V7851" s="33">
        <f>IFERROR(__xludf.DUMMYFUNCTION("""COMPUTED_VALUE"""),1.0)</f>
        <v>1</v>
      </c>
      <c r="W7851" s="4" t="str">
        <f>IFERROR(__xludf.DUMMYFUNCTION("""COMPUTED_VALUE"""),"Saipos Serviços De Software")</f>
        <v>Saipos Serviços De Software</v>
      </c>
      <c r="X7851" s="33">
        <f>IFERROR(__xludf.DUMMYFUNCTION("""COMPUTED_VALUE"""),1.0)</f>
        <v>1</v>
      </c>
    </row>
    <row r="7852">
      <c r="K7852" s="4" t="str">
        <f>IFERROR(__xludf.DUMMYFUNCTION("""COMPUTED_VALUE"""),"SERRANO AUTO-SERVICO LTDA")</f>
        <v>SERRANO AUTO-SERVICO LTDA</v>
      </c>
      <c r="L7852" s="32">
        <f>IFERROR(__xludf.DUMMYFUNCTION("""COMPUTED_VALUE"""),2.0)</f>
        <v>2</v>
      </c>
      <c r="M7852" s="4" t="str">
        <f>IFERROR(__xludf.DUMMYFUNCTION("""COMPUTED_VALUE"""),"N/A (Not found)")</f>
        <v>N/A (Not found)</v>
      </c>
      <c r="N7852" s="33">
        <f>IFERROR(__xludf.DUMMYFUNCTION("""COMPUTED_VALUE"""),1.0)</f>
        <v>1</v>
      </c>
      <c r="O7852" s="4" t="str">
        <f>IFERROR(__xludf.DUMMYFUNCTION("""COMPUTED_VALUE"""),"N/A (Not found)")</f>
        <v>N/A (Not found)</v>
      </c>
      <c r="P7852" s="33">
        <f>IFERROR(__xludf.DUMMYFUNCTION("""COMPUTED_VALUE"""),1.0)</f>
        <v>1</v>
      </c>
      <c r="Q7852" s="4" t="str">
        <f>IFERROR(__xludf.DUMMYFUNCTION("""COMPUTED_VALUE"""),"N/A (Not found)")</f>
        <v>N/A (Not found)</v>
      </c>
      <c r="R7852" s="33">
        <f>IFERROR(__xludf.DUMMYFUNCTION("""COMPUTED_VALUE"""),1.0)</f>
        <v>1</v>
      </c>
      <c r="S7852" s="4" t="str">
        <f>IFERROR(__xludf.DUMMYFUNCTION("""COMPUTED_VALUE"""),"null")</f>
        <v>null</v>
      </c>
      <c r="T7852" s="33">
        <f>IFERROR(__xludf.DUMMYFUNCTION("""COMPUTED_VALUE"""),1.0)</f>
        <v>1</v>
      </c>
      <c r="U7852" s="4" t="str">
        <f>IFERROR(__xludf.DUMMYFUNCTION("""COMPUTED_VALUE"""),"null")</f>
        <v>null</v>
      </c>
      <c r="V7852" s="33">
        <f>IFERROR(__xludf.DUMMYFUNCTION("""COMPUTED_VALUE"""),1.0)</f>
        <v>1</v>
      </c>
      <c r="W7852" s="4" t="str">
        <f>IFERROR(__xludf.DUMMYFUNCTION("""COMPUTED_VALUE"""),"null")</f>
        <v>null</v>
      </c>
      <c r="X7852" s="33">
        <f>IFERROR(__xludf.DUMMYFUNCTION("""COMPUTED_VALUE"""),1.0)</f>
        <v>1</v>
      </c>
    </row>
    <row r="7853">
      <c r="K7853" s="4" t="str">
        <f>IFERROR(__xludf.DUMMYFUNCTION("""COMPUTED_VALUE"""),"SESAMO GELATO")</f>
        <v>SESAMO GELATO</v>
      </c>
      <c r="L7853" s="32">
        <f>IFERROR(__xludf.DUMMYFUNCTION("""COMPUTED_VALUE"""),2.0)</f>
        <v>2</v>
      </c>
      <c r="M7853" s="4" t="str">
        <f>IFERROR(__xludf.DUMMYFUNCTION("""COMPUTED_VALUE"""),"Netcontroll Xmenu")</f>
        <v>Netcontroll Xmenu</v>
      </c>
      <c r="N7853" s="33">
        <f>IFERROR(__xludf.DUMMYFUNCTION("""COMPUTED_VALUE"""),1.0)</f>
        <v>1</v>
      </c>
      <c r="O7853" s="4" t="str">
        <f>IFERROR(__xludf.DUMMYFUNCTION("""COMPUTED_VALUE"""),"Netcontroll Xmenu")</f>
        <v>Netcontroll Xmenu</v>
      </c>
      <c r="P7853" s="33">
        <f>IFERROR(__xludf.DUMMYFUNCTION("""COMPUTED_VALUE"""),1.0)</f>
        <v>1</v>
      </c>
      <c r="Q7853" s="4" t="str">
        <f>IFERROR(__xludf.DUMMYFUNCTION("""COMPUTED_VALUE"""),"Netcontroll Xmenu")</f>
        <v>Netcontroll Xmenu</v>
      </c>
      <c r="R7853" s="33">
        <f>IFERROR(__xludf.DUMMYFUNCTION("""COMPUTED_VALUE"""),1.0)</f>
        <v>1</v>
      </c>
      <c r="S7853" s="4" t="str">
        <f>IFERROR(__xludf.DUMMYFUNCTION("""COMPUTED_VALUE"""),"Netcontroll Xmenu")</f>
        <v>Netcontroll Xmenu</v>
      </c>
      <c r="T7853" s="33">
        <f>IFERROR(__xludf.DUMMYFUNCTION("""COMPUTED_VALUE"""),1.0)</f>
        <v>1</v>
      </c>
      <c r="U7853" s="4" t="str">
        <f>IFERROR(__xludf.DUMMYFUNCTION("""COMPUTED_VALUE"""),"Netcontroll Xmenu")</f>
        <v>Netcontroll Xmenu</v>
      </c>
      <c r="V7853" s="33">
        <f>IFERROR(__xludf.DUMMYFUNCTION("""COMPUTED_VALUE"""),1.0)</f>
        <v>1</v>
      </c>
      <c r="W7853" s="4" t="str">
        <f>IFERROR(__xludf.DUMMYFUNCTION("""COMPUTED_VALUE"""),"Netcontroll Xmenu")</f>
        <v>Netcontroll Xmenu</v>
      </c>
      <c r="X7853" s="33">
        <f>IFERROR(__xludf.DUMMYFUNCTION("""COMPUTED_VALUE"""),1.0)</f>
        <v>1</v>
      </c>
    </row>
    <row r="7854">
      <c r="K7854" s="4" t="str">
        <f>IFERROR(__xludf.DUMMYFUNCTION("""COMPUTED_VALUE"""),"SEU CAPY - CONTA MARCA")</f>
        <v>SEU CAPY - CONTA MARCA</v>
      </c>
      <c r="L7854" s="32">
        <f>IFERROR(__xludf.DUMMYFUNCTION("""COMPUTED_VALUE"""),2.0)</f>
        <v>2</v>
      </c>
      <c r="M7854" s="4" t="str">
        <f>IFERROR(__xludf.DUMMYFUNCTION("""COMPUTED_VALUE"""),"Saipos Serviços De Software")</f>
        <v>Saipos Serviços De Software</v>
      </c>
      <c r="N7854" s="33">
        <f>IFERROR(__xludf.DUMMYFUNCTION("""COMPUTED_VALUE"""),1.0)</f>
        <v>1</v>
      </c>
      <c r="O7854" s="4" t="str">
        <f>IFERROR(__xludf.DUMMYFUNCTION("""COMPUTED_VALUE"""),"Saipos Serviços De Software")</f>
        <v>Saipos Serviços De Software</v>
      </c>
      <c r="P7854" s="33">
        <f>IFERROR(__xludf.DUMMYFUNCTION("""COMPUTED_VALUE"""),1.0)</f>
        <v>1</v>
      </c>
      <c r="Q7854" s="4" t="str">
        <f>IFERROR(__xludf.DUMMYFUNCTION("""COMPUTED_VALUE"""),"Saipos Serviços De Software")</f>
        <v>Saipos Serviços De Software</v>
      </c>
      <c r="R7854" s="33">
        <f>IFERROR(__xludf.DUMMYFUNCTION("""COMPUTED_VALUE"""),1.0)</f>
        <v>1</v>
      </c>
      <c r="S7854" s="4" t="str">
        <f>IFERROR(__xludf.DUMMYFUNCTION("""COMPUTED_VALUE"""),"Saipos Serviços De Software")</f>
        <v>Saipos Serviços De Software</v>
      </c>
      <c r="T7854" s="33">
        <f>IFERROR(__xludf.DUMMYFUNCTION("""COMPUTED_VALUE"""),1.0)</f>
        <v>1</v>
      </c>
      <c r="U7854" s="4" t="str">
        <f>IFERROR(__xludf.DUMMYFUNCTION("""COMPUTED_VALUE"""),"Saipos Serviços De Software")</f>
        <v>Saipos Serviços De Software</v>
      </c>
      <c r="V7854" s="33">
        <f>IFERROR(__xludf.DUMMYFUNCTION("""COMPUTED_VALUE"""),1.0)</f>
        <v>1</v>
      </c>
      <c r="W7854" s="4" t="str">
        <f>IFERROR(__xludf.DUMMYFUNCTION("""COMPUTED_VALUE"""),"null")</f>
        <v>null</v>
      </c>
      <c r="X7854" s="33">
        <f>IFERROR(__xludf.DUMMYFUNCTION("""COMPUTED_VALUE"""),1.0)</f>
        <v>1</v>
      </c>
    </row>
    <row r="7855">
      <c r="K7855" s="4" t="str">
        <f>IFERROR(__xludf.DUMMYFUNCTION("""COMPUTED_VALUE"""),"SEU CAPY - CP")</f>
        <v>SEU CAPY - CP</v>
      </c>
      <c r="L7855" s="32">
        <f>IFERROR(__xludf.DUMMYFUNCTION("""COMPUTED_VALUE"""),2.0)</f>
        <v>2</v>
      </c>
      <c r="M7855" s="4" t="str">
        <f>IFERROR(__xludf.DUMMYFUNCTION("""COMPUTED_VALUE"""),"Saipos Serviços De Software")</f>
        <v>Saipos Serviços De Software</v>
      </c>
      <c r="N7855" s="33">
        <f>IFERROR(__xludf.DUMMYFUNCTION("""COMPUTED_VALUE"""),1.0)</f>
        <v>1</v>
      </c>
      <c r="O7855" s="4" t="str">
        <f>IFERROR(__xludf.DUMMYFUNCTION("""COMPUTED_VALUE"""),"Saipos Serviços De Software")</f>
        <v>Saipos Serviços De Software</v>
      </c>
      <c r="P7855" s="33">
        <f>IFERROR(__xludf.DUMMYFUNCTION("""COMPUTED_VALUE"""),1.0)</f>
        <v>1</v>
      </c>
      <c r="Q7855" s="4" t="str">
        <f>IFERROR(__xludf.DUMMYFUNCTION("""COMPUTED_VALUE"""),"Saipos Serviços De Software")</f>
        <v>Saipos Serviços De Software</v>
      </c>
      <c r="R7855" s="33">
        <f>IFERROR(__xludf.DUMMYFUNCTION("""COMPUTED_VALUE"""),1.0)</f>
        <v>1</v>
      </c>
      <c r="S7855" s="4" t="str">
        <f>IFERROR(__xludf.DUMMYFUNCTION("""COMPUTED_VALUE"""),"Saipos Serviços De Software")</f>
        <v>Saipos Serviços De Software</v>
      </c>
      <c r="T7855" s="33">
        <f>IFERROR(__xludf.DUMMYFUNCTION("""COMPUTED_VALUE"""),1.0)</f>
        <v>1</v>
      </c>
      <c r="U7855" s="4" t="str">
        <f>IFERROR(__xludf.DUMMYFUNCTION("""COMPUTED_VALUE"""),"Saipos Serviços De Software")</f>
        <v>Saipos Serviços De Software</v>
      </c>
      <c r="V7855" s="33">
        <f>IFERROR(__xludf.DUMMYFUNCTION("""COMPUTED_VALUE"""),1.0)</f>
        <v>1</v>
      </c>
      <c r="W7855" s="4" t="str">
        <f>IFERROR(__xludf.DUMMYFUNCTION("""COMPUTED_VALUE"""),"null")</f>
        <v>null</v>
      </c>
      <c r="X7855" s="33">
        <f>IFERROR(__xludf.DUMMYFUNCTION("""COMPUTED_VALUE"""),1.0)</f>
        <v>1</v>
      </c>
    </row>
    <row r="7856">
      <c r="K7856" s="4" t="str">
        <f>IFERROR(__xludf.DUMMYFUNCTION("""COMPUTED_VALUE"""),"SEU PARMA - CONTA PAI")</f>
        <v>SEU PARMA - CONTA PAI</v>
      </c>
      <c r="L7856" s="32">
        <f>IFERROR(__xludf.DUMMYFUNCTION("""COMPUTED_VALUE"""),2.0)</f>
        <v>2</v>
      </c>
      <c r="M7856" s="4" t="str">
        <f>IFERROR(__xludf.DUMMYFUNCTION("""COMPUTED_VALUE"""),"Saipos Serviços De Software")</f>
        <v>Saipos Serviços De Software</v>
      </c>
      <c r="N7856" s="33">
        <f>IFERROR(__xludf.DUMMYFUNCTION("""COMPUTED_VALUE"""),1.0)</f>
        <v>1</v>
      </c>
      <c r="O7856" s="4" t="str">
        <f>IFERROR(__xludf.DUMMYFUNCTION("""COMPUTED_VALUE"""),"Saipos Serviços De Software")</f>
        <v>Saipos Serviços De Software</v>
      </c>
      <c r="P7856" s="33">
        <f>IFERROR(__xludf.DUMMYFUNCTION("""COMPUTED_VALUE"""),1.0)</f>
        <v>1</v>
      </c>
      <c r="Q7856" s="4" t="str">
        <f>IFERROR(__xludf.DUMMYFUNCTION("""COMPUTED_VALUE"""),"Saipos Serviços De Software")</f>
        <v>Saipos Serviços De Software</v>
      </c>
      <c r="R7856" s="33">
        <f>IFERROR(__xludf.DUMMYFUNCTION("""COMPUTED_VALUE"""),1.0)</f>
        <v>1</v>
      </c>
      <c r="S7856" s="4" t="str">
        <f>IFERROR(__xludf.DUMMYFUNCTION("""COMPUTED_VALUE"""),"Saipos Serviços De Software")</f>
        <v>Saipos Serviços De Software</v>
      </c>
      <c r="T7856" s="33">
        <f>IFERROR(__xludf.DUMMYFUNCTION("""COMPUTED_VALUE"""),1.0)</f>
        <v>1</v>
      </c>
      <c r="U7856" s="4" t="str">
        <f>IFERROR(__xludf.DUMMYFUNCTION("""COMPUTED_VALUE"""),"Saipos Serviços De Software")</f>
        <v>Saipos Serviços De Software</v>
      </c>
      <c r="V7856" s="33">
        <f>IFERROR(__xludf.DUMMYFUNCTION("""COMPUTED_VALUE"""),1.0)</f>
        <v>1</v>
      </c>
      <c r="W7856" s="4" t="str">
        <f>IFERROR(__xludf.DUMMYFUNCTION("""COMPUTED_VALUE"""),"Saipos Serviços De Software")</f>
        <v>Saipos Serviços De Software</v>
      </c>
      <c r="X7856" s="33">
        <f>IFERROR(__xludf.DUMMYFUNCTION("""COMPUTED_VALUE"""),1.0)</f>
        <v>1</v>
      </c>
    </row>
    <row r="7857">
      <c r="K7857" s="4" t="str">
        <f>IFERROR(__xludf.DUMMYFUNCTION("""COMPUTED_VALUE"""),"SEU PARME - MATO GROSSO DO SUL")</f>
        <v>SEU PARME - MATO GROSSO DO SUL</v>
      </c>
      <c r="L7857" s="32">
        <f>IFERROR(__xludf.DUMMYFUNCTION("""COMPUTED_VALUE"""),2.0)</f>
        <v>2</v>
      </c>
      <c r="M7857" s="4" t="str">
        <f>IFERROR(__xludf.DUMMYFUNCTION("""COMPUTED_VALUE"""),"Totvs Large Enterprise Tecnologia S.a.")</f>
        <v>Totvs Large Enterprise Tecnologia S.a.</v>
      </c>
      <c r="N7857" s="33">
        <f>IFERROR(__xludf.DUMMYFUNCTION("""COMPUTED_VALUE"""),1.0)</f>
        <v>1</v>
      </c>
      <c r="O7857" s="4" t="str">
        <f>IFERROR(__xludf.DUMMYFUNCTION("""COMPUTED_VALUE"""),"Totvs Large Enterprise Tecnologia S.a.")</f>
        <v>Totvs Large Enterprise Tecnologia S.a.</v>
      </c>
      <c r="P7857" s="33">
        <f>IFERROR(__xludf.DUMMYFUNCTION("""COMPUTED_VALUE"""),1.0)</f>
        <v>1</v>
      </c>
      <c r="Q7857" s="4" t="str">
        <f>IFERROR(__xludf.DUMMYFUNCTION("""COMPUTED_VALUE"""),"Totvs Large Enterprise Tecnologia S.a.")</f>
        <v>Totvs Large Enterprise Tecnologia S.a.</v>
      </c>
      <c r="R7857" s="33">
        <f>IFERROR(__xludf.DUMMYFUNCTION("""COMPUTED_VALUE"""),0.5)</f>
        <v>0.5</v>
      </c>
      <c r="S7857" s="4" t="str">
        <f>IFERROR(__xludf.DUMMYFUNCTION("""COMPUTED_VALUE"""),"Totvs Large Enterprise Tecnologia S.a.")</f>
        <v>Totvs Large Enterprise Tecnologia S.a.</v>
      </c>
      <c r="T7857" s="33">
        <f>IFERROR(__xludf.DUMMYFUNCTION("""COMPUTED_VALUE"""),1.0)</f>
        <v>1</v>
      </c>
      <c r="U7857" s="4" t="str">
        <f>IFERROR(__xludf.DUMMYFUNCTION("""COMPUTED_VALUE"""),"Totvs Large Enterprise Tecnologia S.a.")</f>
        <v>Totvs Large Enterprise Tecnologia S.a.</v>
      </c>
      <c r="V7857" s="33">
        <f>IFERROR(__xludf.DUMMYFUNCTION("""COMPUTED_VALUE"""),1.0)</f>
        <v>1</v>
      </c>
      <c r="W7857" s="4" t="str">
        <f>IFERROR(__xludf.DUMMYFUNCTION("""COMPUTED_VALUE"""),"Totvs Large Enterprise Tecnologia S.a.")</f>
        <v>Totvs Large Enterprise Tecnologia S.a.</v>
      </c>
      <c r="X7857" s="33">
        <f>IFERROR(__xludf.DUMMYFUNCTION("""COMPUTED_VALUE"""),1.0)</f>
        <v>1</v>
      </c>
    </row>
    <row r="7858">
      <c r="K7858" s="4" t="str">
        <f>IFERROR(__xludf.DUMMYFUNCTION("""COMPUTED_VALUE"""),"SEU PERFIL PAI")</f>
        <v>SEU PERFIL PAI</v>
      </c>
      <c r="L7858" s="32">
        <f>IFERROR(__xludf.DUMMYFUNCTION("""COMPUTED_VALUE"""),2.0)</f>
        <v>2</v>
      </c>
      <c r="M7858" s="4" t="str">
        <f>IFERROR(__xludf.DUMMYFUNCTION("""COMPUTED_VALUE"""),"Consumer Soluções Em Tecnologia Ltda")</f>
        <v>Consumer Soluções Em Tecnologia Ltda</v>
      </c>
      <c r="N7858" s="33">
        <f>IFERROR(__xludf.DUMMYFUNCTION("""COMPUTED_VALUE"""),1.0)</f>
        <v>1</v>
      </c>
      <c r="O7858" s="4" t="str">
        <f>IFERROR(__xludf.DUMMYFUNCTION("""COMPUTED_VALUE"""),"Consumer Soluções Em Tecnologia Ltda")</f>
        <v>Consumer Soluções Em Tecnologia Ltda</v>
      </c>
      <c r="P7858" s="33">
        <f>IFERROR(__xludf.DUMMYFUNCTION("""COMPUTED_VALUE"""),0.5)</f>
        <v>0.5</v>
      </c>
      <c r="Q7858" s="4" t="str">
        <f>IFERROR(__xludf.DUMMYFUNCTION("""COMPUTED_VALUE"""),"Consumer Soluções Em Tecnologia Ltda")</f>
        <v>Consumer Soluções Em Tecnologia Ltda</v>
      </c>
      <c r="R7858" s="33">
        <f>IFERROR(__xludf.DUMMYFUNCTION("""COMPUTED_VALUE"""),0.5)</f>
        <v>0.5</v>
      </c>
      <c r="S7858" s="4" t="str">
        <f>IFERROR(__xludf.DUMMYFUNCTION("""COMPUTED_VALUE"""),"null")</f>
        <v>null</v>
      </c>
      <c r="T7858" s="33">
        <f>IFERROR(__xludf.DUMMYFUNCTION("""COMPUTED_VALUE"""),1.0)</f>
        <v>1</v>
      </c>
      <c r="U7858" s="4" t="str">
        <f>IFERROR(__xludf.DUMMYFUNCTION("""COMPUTED_VALUE"""),"null")</f>
        <v>null</v>
      </c>
      <c r="V7858" s="33">
        <f>IFERROR(__xludf.DUMMYFUNCTION("""COMPUTED_VALUE"""),1.0)</f>
        <v>1</v>
      </c>
      <c r="W7858" s="4" t="str">
        <f>IFERROR(__xludf.DUMMYFUNCTION("""COMPUTED_VALUE"""),"Consumer Soluções Em Tecnologia Ltda")</f>
        <v>Consumer Soluções Em Tecnologia Ltda</v>
      </c>
      <c r="X7858" s="33">
        <f>IFERROR(__xludf.DUMMYFUNCTION("""COMPUTED_VALUE"""),1.0)</f>
        <v>1</v>
      </c>
    </row>
    <row r="7859">
      <c r="K7859" s="4" t="str">
        <f>IFERROR(__xludf.DUMMYFUNCTION("""COMPUTED_VALUE"""),"SEU TITO BOTECO")</f>
        <v>SEU TITO BOTECO</v>
      </c>
      <c r="L7859" s="32">
        <f>IFERROR(__xludf.DUMMYFUNCTION("""COMPUTED_VALUE"""),2.0)</f>
        <v>2</v>
      </c>
      <c r="M7859" s="4" t="str">
        <f>IFERROR(__xludf.DUMMYFUNCTION("""COMPUTED_VALUE"""),"L&amp;f Tecnologia Sistemas E Comercio Ltda")</f>
        <v>L&amp;f Tecnologia Sistemas E Comercio Ltda</v>
      </c>
      <c r="N7859" s="33">
        <f>IFERROR(__xludf.DUMMYFUNCTION("""COMPUTED_VALUE"""),1.0)</f>
        <v>1</v>
      </c>
      <c r="O7859" s="4" t="str">
        <f>IFERROR(__xludf.DUMMYFUNCTION("""COMPUTED_VALUE"""),"L&amp;f Tecnologia Sistemas E Comercio Ltda")</f>
        <v>L&amp;f Tecnologia Sistemas E Comercio Ltda</v>
      </c>
      <c r="P7859" s="33">
        <f>IFERROR(__xludf.DUMMYFUNCTION("""COMPUTED_VALUE"""),1.0)</f>
        <v>1</v>
      </c>
      <c r="Q7859" s="4" t="str">
        <f>IFERROR(__xludf.DUMMYFUNCTION("""COMPUTED_VALUE"""),"L&amp;f Tecnologia Sistemas E Comercio Ltda")</f>
        <v>L&amp;f Tecnologia Sistemas E Comercio Ltda</v>
      </c>
      <c r="R7859" s="33">
        <f>IFERROR(__xludf.DUMMYFUNCTION("""COMPUTED_VALUE"""),1.0)</f>
        <v>1</v>
      </c>
      <c r="S7859" s="4" t="str">
        <f>IFERROR(__xludf.DUMMYFUNCTION("""COMPUTED_VALUE"""),"L&amp;f Tecnologia Sistemas E Comercio Ltda")</f>
        <v>L&amp;f Tecnologia Sistemas E Comercio Ltda</v>
      </c>
      <c r="T7859" s="33">
        <f>IFERROR(__xludf.DUMMYFUNCTION("""COMPUTED_VALUE"""),1.0)</f>
        <v>1</v>
      </c>
      <c r="U7859" s="4" t="str">
        <f>IFERROR(__xludf.DUMMYFUNCTION("""COMPUTED_VALUE"""),"L&amp;f Tecnologia Sistemas E Comercio Ltda")</f>
        <v>L&amp;f Tecnologia Sistemas E Comercio Ltda</v>
      </c>
      <c r="V7859" s="33">
        <f>IFERROR(__xludf.DUMMYFUNCTION("""COMPUTED_VALUE"""),1.0)</f>
        <v>1</v>
      </c>
      <c r="W7859" s="4" t="str">
        <f>IFERROR(__xludf.DUMMYFUNCTION("""COMPUTED_VALUE"""),"L&amp;f Tecnologia Sistemas E Comercio Ltda")</f>
        <v>L&amp;f Tecnologia Sistemas E Comercio Ltda</v>
      </c>
      <c r="X7859" s="33">
        <f>IFERROR(__xludf.DUMMYFUNCTION("""COMPUTED_VALUE"""),1.0)</f>
        <v>1</v>
      </c>
    </row>
    <row r="7860">
      <c r="K7860" s="4" t="str">
        <f>IFERROR(__xludf.DUMMYFUNCTION("""COMPUTED_VALUE"""),"SHAKE BURGER - BELEM")</f>
        <v>SHAKE BURGER - BELEM</v>
      </c>
      <c r="L7860" s="32">
        <f>IFERROR(__xludf.DUMMYFUNCTION("""COMPUTED_VALUE"""),2.0)</f>
        <v>2</v>
      </c>
      <c r="M7860" s="4" t="str">
        <f>IFERROR(__xludf.DUMMYFUNCTION("""COMPUTED_VALUE"""),"Saipos Serviços De Software")</f>
        <v>Saipos Serviços De Software</v>
      </c>
      <c r="N7860" s="33">
        <f>IFERROR(__xludf.DUMMYFUNCTION("""COMPUTED_VALUE"""),1.0)</f>
        <v>1</v>
      </c>
      <c r="O7860" s="4" t="str">
        <f>IFERROR(__xludf.DUMMYFUNCTION("""COMPUTED_VALUE"""),"Saipos Serviços De Software")</f>
        <v>Saipos Serviços De Software</v>
      </c>
      <c r="P7860" s="33">
        <f>IFERROR(__xludf.DUMMYFUNCTION("""COMPUTED_VALUE"""),1.0)</f>
        <v>1</v>
      </c>
      <c r="Q7860" s="4" t="str">
        <f>IFERROR(__xludf.DUMMYFUNCTION("""COMPUTED_VALUE"""),"Saipos Serviços De Software")</f>
        <v>Saipos Serviços De Software</v>
      </c>
      <c r="R7860" s="33">
        <f>IFERROR(__xludf.DUMMYFUNCTION("""COMPUTED_VALUE"""),1.0)</f>
        <v>1</v>
      </c>
      <c r="S7860" s="4" t="str">
        <f>IFERROR(__xludf.DUMMYFUNCTION("""COMPUTED_VALUE"""),"Saipos Serviços De Software")</f>
        <v>Saipos Serviços De Software</v>
      </c>
      <c r="T7860" s="33">
        <f>IFERROR(__xludf.DUMMYFUNCTION("""COMPUTED_VALUE"""),1.0)</f>
        <v>1</v>
      </c>
      <c r="U7860" s="4" t="str">
        <f>IFERROR(__xludf.DUMMYFUNCTION("""COMPUTED_VALUE"""),"Saipos Serviços De Software")</f>
        <v>Saipos Serviços De Software</v>
      </c>
      <c r="V7860" s="33">
        <f>IFERROR(__xludf.DUMMYFUNCTION("""COMPUTED_VALUE"""),1.0)</f>
        <v>1</v>
      </c>
      <c r="W7860" s="4" t="str">
        <f>IFERROR(__xludf.DUMMYFUNCTION("""COMPUTED_VALUE"""),"Saipos Serviços De Software")</f>
        <v>Saipos Serviços De Software</v>
      </c>
      <c r="X7860" s="33">
        <f>IFERROR(__xludf.DUMMYFUNCTION("""COMPUTED_VALUE"""),1.0)</f>
        <v>1</v>
      </c>
    </row>
    <row r="7861">
      <c r="K7861" s="4" t="str">
        <f>IFERROR(__xludf.DUMMYFUNCTION("""COMPUTED_VALUE"""),"SHARK")</f>
        <v>SHARK</v>
      </c>
      <c r="L7861" s="32">
        <f>IFERROR(__xludf.DUMMYFUNCTION("""COMPUTED_VALUE"""),2.0)</f>
        <v>2</v>
      </c>
      <c r="M7861" s="4" t="str">
        <f>IFERROR(__xludf.DUMMYFUNCTION("""COMPUTED_VALUE"""),"Saipos Serviços De Software")</f>
        <v>Saipos Serviços De Software</v>
      </c>
      <c r="N7861" s="33">
        <f>IFERROR(__xludf.DUMMYFUNCTION("""COMPUTED_VALUE"""),0.5)</f>
        <v>0.5</v>
      </c>
      <c r="O7861" s="4" t="str">
        <f>IFERROR(__xludf.DUMMYFUNCTION("""COMPUTED_VALUE"""),"Saipos Serviços De Software")</f>
        <v>Saipos Serviços De Software</v>
      </c>
      <c r="P7861" s="33">
        <f>IFERROR(__xludf.DUMMYFUNCTION("""COMPUTED_VALUE"""),0.5)</f>
        <v>0.5</v>
      </c>
      <c r="Q7861" s="4" t="str">
        <f>IFERROR(__xludf.DUMMYFUNCTION("""COMPUTED_VALUE"""),"Saipos Serviços De Software")</f>
        <v>Saipos Serviços De Software</v>
      </c>
      <c r="R7861" s="33">
        <f>IFERROR(__xludf.DUMMYFUNCTION("""COMPUTED_VALUE"""),0.5)</f>
        <v>0.5</v>
      </c>
      <c r="S7861" s="4" t="str">
        <f>IFERROR(__xludf.DUMMYFUNCTION("""COMPUTED_VALUE"""),"Saipos Serviços De Software")</f>
        <v>Saipos Serviços De Software</v>
      </c>
      <c r="T7861" s="33">
        <f>IFERROR(__xludf.DUMMYFUNCTION("""COMPUTED_VALUE"""),0.5)</f>
        <v>0.5</v>
      </c>
      <c r="U7861" s="4" t="str">
        <f>IFERROR(__xludf.DUMMYFUNCTION("""COMPUTED_VALUE"""),"Saipos Serviços De Software")</f>
        <v>Saipos Serviços De Software</v>
      </c>
      <c r="V7861" s="33">
        <f>IFERROR(__xludf.DUMMYFUNCTION("""COMPUTED_VALUE"""),0.5)</f>
        <v>0.5</v>
      </c>
      <c r="W7861" s="4" t="str">
        <f>IFERROR(__xludf.DUMMYFUNCTION("""COMPUTED_VALUE"""),"Saipos Serviços De Software")</f>
        <v>Saipos Serviços De Software</v>
      </c>
      <c r="X7861" s="33">
        <f>IFERROR(__xludf.DUMMYFUNCTION("""COMPUTED_VALUE"""),0.5)</f>
        <v>0.5</v>
      </c>
    </row>
    <row r="7862">
      <c r="K7862" s="4" t="str">
        <f>IFERROR(__xludf.DUMMYFUNCTION("""COMPUTED_VALUE"""),"SHEEP BURGER")</f>
        <v>SHEEP BURGER</v>
      </c>
      <c r="L7862" s="32">
        <f>IFERROR(__xludf.DUMMYFUNCTION("""COMPUTED_VALUE"""),2.0)</f>
        <v>2</v>
      </c>
      <c r="M7862" s="4" t="str">
        <f>IFERROR(__xludf.DUMMYFUNCTION("""COMPUTED_VALUE"""),"null")</f>
        <v>null</v>
      </c>
      <c r="N7862" s="33">
        <f>IFERROR(__xludf.DUMMYFUNCTION("""COMPUTED_VALUE"""),0.5)</f>
        <v>0.5</v>
      </c>
      <c r="O7862" s="4" t="str">
        <f>IFERROR(__xludf.DUMMYFUNCTION("""COMPUTED_VALUE"""),"null")</f>
        <v>null</v>
      </c>
      <c r="P7862" s="33">
        <f>IFERROR(__xludf.DUMMYFUNCTION("""COMPUTED_VALUE"""),0.5)</f>
        <v>0.5</v>
      </c>
      <c r="Q7862" s="4" t="str">
        <f>IFERROR(__xludf.DUMMYFUNCTION("""COMPUTED_VALUE"""),"Consumer Soluções Em Tecnologia Ltda")</f>
        <v>Consumer Soluções Em Tecnologia Ltda</v>
      </c>
      <c r="R7862" s="33">
        <f>IFERROR(__xludf.DUMMYFUNCTION("""COMPUTED_VALUE"""),1.0)</f>
        <v>1</v>
      </c>
      <c r="S7862" s="4" t="str">
        <f>IFERROR(__xludf.DUMMYFUNCTION("""COMPUTED_VALUE"""),"null")</f>
        <v>null</v>
      </c>
      <c r="T7862" s="33">
        <f>IFERROR(__xludf.DUMMYFUNCTION("""COMPUTED_VALUE"""),0.5)</f>
        <v>0.5</v>
      </c>
      <c r="U7862" s="4" t="str">
        <f>IFERROR(__xludf.DUMMYFUNCTION("""COMPUTED_VALUE"""),"null")</f>
        <v>null</v>
      </c>
      <c r="V7862" s="33">
        <f>IFERROR(__xludf.DUMMYFUNCTION("""COMPUTED_VALUE"""),0.5)</f>
        <v>0.5</v>
      </c>
      <c r="W7862" s="4" t="str">
        <f>IFERROR(__xludf.DUMMYFUNCTION("""COMPUTED_VALUE"""),"null")</f>
        <v>null</v>
      </c>
      <c r="X7862" s="33">
        <f>IFERROR(__xludf.DUMMYFUNCTION("""COMPUTED_VALUE"""),0.5)</f>
        <v>0.5</v>
      </c>
    </row>
    <row r="7863">
      <c r="K7863" s="4" t="str">
        <f>IFERROR(__xludf.DUMMYFUNCTION("""COMPUTED_VALUE"""),"SHEIK POINT HAMBURGUERIA CP")</f>
        <v>SHEIK POINT HAMBURGUERIA CP</v>
      </c>
      <c r="L7863" s="32">
        <f>IFERROR(__xludf.DUMMYFUNCTION("""COMPUTED_VALUE"""),2.0)</f>
        <v>2</v>
      </c>
      <c r="M7863" s="4" t="str">
        <f>IFERROR(__xludf.DUMMYFUNCTION("""COMPUTED_VALUE"""),"Saipos Serviços De Software")</f>
        <v>Saipos Serviços De Software</v>
      </c>
      <c r="N7863" s="33">
        <f>IFERROR(__xludf.DUMMYFUNCTION("""COMPUTED_VALUE"""),1.0)</f>
        <v>1</v>
      </c>
      <c r="O7863" s="4" t="str">
        <f>IFERROR(__xludf.DUMMYFUNCTION("""COMPUTED_VALUE"""),"Saipos Serviços De Software")</f>
        <v>Saipos Serviços De Software</v>
      </c>
      <c r="P7863" s="33">
        <f>IFERROR(__xludf.DUMMYFUNCTION("""COMPUTED_VALUE"""),1.0)</f>
        <v>1</v>
      </c>
      <c r="Q7863" s="4" t="str">
        <f>IFERROR(__xludf.DUMMYFUNCTION("""COMPUTED_VALUE"""),"Saipos Serviços De Software")</f>
        <v>Saipos Serviços De Software</v>
      </c>
      <c r="R7863" s="33">
        <f>IFERROR(__xludf.DUMMYFUNCTION("""COMPUTED_VALUE"""),1.0)</f>
        <v>1</v>
      </c>
      <c r="S7863" s="4" t="str">
        <f>IFERROR(__xludf.DUMMYFUNCTION("""COMPUTED_VALUE"""),"Saipos Serviços De Software")</f>
        <v>Saipos Serviços De Software</v>
      </c>
      <c r="T7863" s="33">
        <f>IFERROR(__xludf.DUMMYFUNCTION("""COMPUTED_VALUE"""),1.0)</f>
        <v>1</v>
      </c>
      <c r="U7863" s="4" t="str">
        <f>IFERROR(__xludf.DUMMYFUNCTION("""COMPUTED_VALUE"""),"Saipos Serviços De Software")</f>
        <v>Saipos Serviços De Software</v>
      </c>
      <c r="V7863" s="33">
        <f>IFERROR(__xludf.DUMMYFUNCTION("""COMPUTED_VALUE"""),1.0)</f>
        <v>1</v>
      </c>
      <c r="W7863" s="4" t="str">
        <f>IFERROR(__xludf.DUMMYFUNCTION("""COMPUTED_VALUE"""),"Saipos Serviços De Software")</f>
        <v>Saipos Serviços De Software</v>
      </c>
      <c r="X7863" s="33">
        <f>IFERROR(__xludf.DUMMYFUNCTION("""COMPUTED_VALUE"""),1.0)</f>
        <v>1</v>
      </c>
    </row>
    <row r="7864">
      <c r="K7864" s="4" t="str">
        <f>IFERROR(__xludf.DUMMYFUNCTION("""COMPUTED_VALUE"""),"SHELBY BURGER")</f>
        <v>SHELBY BURGER</v>
      </c>
      <c r="L7864" s="32">
        <f>IFERROR(__xludf.DUMMYFUNCTION("""COMPUTED_VALUE"""),2.0)</f>
        <v>2</v>
      </c>
      <c r="M7864" s="4" t="str">
        <f>IFERROR(__xludf.DUMMYFUNCTION("""COMPUTED_VALUE"""),"null")</f>
        <v>null</v>
      </c>
      <c r="N7864" s="33">
        <f>IFERROR(__xludf.DUMMYFUNCTION("""COMPUTED_VALUE"""),0.5)</f>
        <v>0.5</v>
      </c>
      <c r="O7864" s="4" t="str">
        <f>IFERROR(__xludf.DUMMYFUNCTION("""COMPUTED_VALUE"""),"null")</f>
        <v>null</v>
      </c>
      <c r="P7864" s="33">
        <f>IFERROR(__xludf.DUMMYFUNCTION("""COMPUTED_VALUE"""),0.5)</f>
        <v>0.5</v>
      </c>
      <c r="Q7864" s="4" t="str">
        <f>IFERROR(__xludf.DUMMYFUNCTION("""COMPUTED_VALUE"""),"null")</f>
        <v>null</v>
      </c>
      <c r="R7864" s="33">
        <f>IFERROR(__xludf.DUMMYFUNCTION("""COMPUTED_VALUE"""),0.5)</f>
        <v>0.5</v>
      </c>
      <c r="S7864" s="4" t="str">
        <f>IFERROR(__xludf.DUMMYFUNCTION("""COMPUTED_VALUE"""),"null")</f>
        <v>null</v>
      </c>
      <c r="T7864" s="33">
        <f>IFERROR(__xludf.DUMMYFUNCTION("""COMPUTED_VALUE"""),0.5)</f>
        <v>0.5</v>
      </c>
      <c r="U7864" s="4" t="str">
        <f>IFERROR(__xludf.DUMMYFUNCTION("""COMPUTED_VALUE"""),"Suitable Tecnologia E Gestao")</f>
        <v>Suitable Tecnologia E Gestao</v>
      </c>
      <c r="V7864" s="33">
        <f>IFERROR(__xludf.DUMMYFUNCTION("""COMPUTED_VALUE"""),1.0)</f>
        <v>1</v>
      </c>
      <c r="W7864" s="4" t="str">
        <f>IFERROR(__xludf.DUMMYFUNCTION("""COMPUTED_VALUE"""),"null")</f>
        <v>null</v>
      </c>
      <c r="X7864" s="33">
        <f>IFERROR(__xludf.DUMMYFUNCTION("""COMPUTED_VALUE"""),0.5)</f>
        <v>0.5</v>
      </c>
    </row>
    <row r="7865">
      <c r="K7865" s="4" t="str">
        <f>IFERROR(__xludf.DUMMYFUNCTION("""COMPUTED_VALUE"""),"SHOUBAI")</f>
        <v>SHOUBAI</v>
      </c>
      <c r="L7865" s="32">
        <f>IFERROR(__xludf.DUMMYFUNCTION("""COMPUTED_VALUE"""),2.0)</f>
        <v>2</v>
      </c>
      <c r="M7865" s="4" t="str">
        <f>IFERROR(__xludf.DUMMYFUNCTION("""COMPUTED_VALUE"""),"Saipos Serviços De Software")</f>
        <v>Saipos Serviços De Software</v>
      </c>
      <c r="N7865" s="33">
        <f>IFERROR(__xludf.DUMMYFUNCTION("""COMPUTED_VALUE"""),1.0)</f>
        <v>1</v>
      </c>
      <c r="O7865" s="4" t="str">
        <f>IFERROR(__xludf.DUMMYFUNCTION("""COMPUTED_VALUE"""),"Saipos Serviços De Software")</f>
        <v>Saipos Serviços De Software</v>
      </c>
      <c r="P7865" s="33">
        <f>IFERROR(__xludf.DUMMYFUNCTION("""COMPUTED_VALUE"""),1.0)</f>
        <v>1</v>
      </c>
      <c r="Q7865" s="4" t="str">
        <f>IFERROR(__xludf.DUMMYFUNCTION("""COMPUTED_VALUE"""),"Saipos Serviços De Software")</f>
        <v>Saipos Serviços De Software</v>
      </c>
      <c r="R7865" s="33">
        <f>IFERROR(__xludf.DUMMYFUNCTION("""COMPUTED_VALUE"""),1.0)</f>
        <v>1</v>
      </c>
      <c r="S7865" s="4" t="str">
        <f>IFERROR(__xludf.DUMMYFUNCTION("""COMPUTED_VALUE"""),"Saipos Serviços De Software")</f>
        <v>Saipos Serviços De Software</v>
      </c>
      <c r="T7865" s="33">
        <f>IFERROR(__xludf.DUMMYFUNCTION("""COMPUTED_VALUE"""),1.0)</f>
        <v>1</v>
      </c>
      <c r="U7865" s="4" t="str">
        <f>IFERROR(__xludf.DUMMYFUNCTION("""COMPUTED_VALUE"""),"Saipos Serviços De Software")</f>
        <v>Saipos Serviços De Software</v>
      </c>
      <c r="V7865" s="33">
        <f>IFERROR(__xludf.DUMMYFUNCTION("""COMPUTED_VALUE"""),1.0)</f>
        <v>1</v>
      </c>
      <c r="W7865" s="4" t="str">
        <f>IFERROR(__xludf.DUMMYFUNCTION("""COMPUTED_VALUE"""),"Saipos Serviços De Software")</f>
        <v>Saipos Serviços De Software</v>
      </c>
      <c r="X7865" s="33">
        <f>IFERROR(__xludf.DUMMYFUNCTION("""COMPUTED_VALUE"""),1.0)</f>
        <v>1</v>
      </c>
    </row>
    <row r="7866">
      <c r="K7866" s="4" t="str">
        <f>IFERROR(__xludf.DUMMYFUNCTION("""COMPUTED_VALUE"""),"SHUMAKER BURGUER")</f>
        <v>SHUMAKER BURGUER</v>
      </c>
      <c r="L7866" s="32">
        <f>IFERROR(__xludf.DUMMYFUNCTION("""COMPUTED_VALUE"""),2.0)</f>
        <v>2</v>
      </c>
      <c r="M7866" s="4" t="str">
        <f>IFERROR(__xludf.DUMMYFUNCTION("""COMPUTED_VALUE"""),"Saipos Serviços De Software")</f>
        <v>Saipos Serviços De Software</v>
      </c>
      <c r="N7866" s="33">
        <f>IFERROR(__xludf.DUMMYFUNCTION("""COMPUTED_VALUE"""),1.0)</f>
        <v>1</v>
      </c>
      <c r="O7866" s="4" t="str">
        <f>IFERROR(__xludf.DUMMYFUNCTION("""COMPUTED_VALUE"""),"Saipos Serviços De Software")</f>
        <v>Saipos Serviços De Software</v>
      </c>
      <c r="P7866" s="33">
        <f>IFERROR(__xludf.DUMMYFUNCTION("""COMPUTED_VALUE"""),0.5)</f>
        <v>0.5</v>
      </c>
      <c r="Q7866" s="4" t="str">
        <f>IFERROR(__xludf.DUMMYFUNCTION("""COMPUTED_VALUE"""),"Saipos Serviços De Software")</f>
        <v>Saipos Serviços De Software</v>
      </c>
      <c r="R7866" s="33">
        <f>IFERROR(__xludf.DUMMYFUNCTION("""COMPUTED_VALUE"""),0.5)</f>
        <v>0.5</v>
      </c>
      <c r="S7866" s="4" t="str">
        <f>IFERROR(__xludf.DUMMYFUNCTION("""COMPUTED_VALUE"""),"null")</f>
        <v>null</v>
      </c>
      <c r="T7866" s="33">
        <f>IFERROR(__xludf.DUMMYFUNCTION("""COMPUTED_VALUE"""),1.0)</f>
        <v>1</v>
      </c>
      <c r="U7866" s="4" t="str">
        <f>IFERROR(__xludf.DUMMYFUNCTION("""COMPUTED_VALUE"""),"null")</f>
        <v>null</v>
      </c>
      <c r="V7866" s="33">
        <f>IFERROR(__xludf.DUMMYFUNCTION("""COMPUTED_VALUE"""),1.0)</f>
        <v>1</v>
      </c>
      <c r="W7866" s="4" t="str">
        <f>IFERROR(__xludf.DUMMYFUNCTION("""COMPUTED_VALUE"""),"null")</f>
        <v>null</v>
      </c>
      <c r="X7866" s="33">
        <f>IFERROR(__xludf.DUMMYFUNCTION("""COMPUTED_VALUE"""),1.0)</f>
        <v>1</v>
      </c>
    </row>
    <row r="7867">
      <c r="K7867" s="4" t="str">
        <f>IFERROR(__xludf.DUMMYFUNCTION("""COMPUTED_VALUE"""),"SIL BURGUER")</f>
        <v>SIL BURGUER</v>
      </c>
      <c r="L7867" s="32">
        <f>IFERROR(__xludf.DUMMYFUNCTION("""COMPUTED_VALUE"""),2.0)</f>
        <v>2</v>
      </c>
      <c r="M7867" s="4" t="str">
        <f>IFERROR(__xludf.DUMMYFUNCTION("""COMPUTED_VALUE"""),"Cardápio Web")</f>
        <v>Cardápio Web</v>
      </c>
      <c r="N7867" s="33">
        <f>IFERROR(__xludf.DUMMYFUNCTION("""COMPUTED_VALUE"""),1.0)</f>
        <v>1</v>
      </c>
      <c r="O7867" s="4" t="str">
        <f>IFERROR(__xludf.DUMMYFUNCTION("""COMPUTED_VALUE"""),"null")</f>
        <v>null</v>
      </c>
      <c r="P7867" s="33">
        <f>IFERROR(__xludf.DUMMYFUNCTION("""COMPUTED_VALUE"""),0.5)</f>
        <v>0.5</v>
      </c>
      <c r="Q7867" s="4" t="str">
        <f>IFERROR(__xludf.DUMMYFUNCTION("""COMPUTED_VALUE"""),"null")</f>
        <v>null</v>
      </c>
      <c r="R7867" s="33">
        <f>IFERROR(__xludf.DUMMYFUNCTION("""COMPUTED_VALUE"""),0.5)</f>
        <v>0.5</v>
      </c>
      <c r="S7867" s="4" t="str">
        <f>IFERROR(__xludf.DUMMYFUNCTION("""COMPUTED_VALUE"""),"null")</f>
        <v>null</v>
      </c>
      <c r="T7867" s="33">
        <f>IFERROR(__xludf.DUMMYFUNCTION("""COMPUTED_VALUE"""),0.5)</f>
        <v>0.5</v>
      </c>
      <c r="U7867" s="4" t="str">
        <f>IFERROR(__xludf.DUMMYFUNCTION("""COMPUTED_VALUE"""),"null")</f>
        <v>null</v>
      </c>
      <c r="V7867" s="33">
        <f>IFERROR(__xludf.DUMMYFUNCTION("""COMPUTED_VALUE"""),0.5)</f>
        <v>0.5</v>
      </c>
      <c r="W7867" s="4" t="str">
        <f>IFERROR(__xludf.DUMMYFUNCTION("""COMPUTED_VALUE"""),"null")</f>
        <v>null</v>
      </c>
      <c r="X7867" s="33">
        <f>IFERROR(__xludf.DUMMYFUNCTION("""COMPUTED_VALUE"""),0.5)</f>
        <v>0.5</v>
      </c>
    </row>
    <row r="7868">
      <c r="K7868" s="4" t="str">
        <f>IFERROR(__xludf.DUMMYFUNCTION("""COMPUTED_VALUE"""),"SINHA NEGA TAPIOCARIA E BATATARIA")</f>
        <v>SINHA NEGA TAPIOCARIA E BATATARIA</v>
      </c>
      <c r="L7868" s="32">
        <f>IFERROR(__xludf.DUMMYFUNCTION("""COMPUTED_VALUE"""),2.0)</f>
        <v>2</v>
      </c>
      <c r="M7868" s="4" t="str">
        <f>IFERROR(__xludf.DUMMYFUNCTION("""COMPUTED_VALUE"""),"Parseint Desenvolvimento De Sistemas Ltda")</f>
        <v>Parseint Desenvolvimento De Sistemas Ltda</v>
      </c>
      <c r="N7868" s="33">
        <f>IFERROR(__xludf.DUMMYFUNCTION("""COMPUTED_VALUE"""),1.0)</f>
        <v>1</v>
      </c>
      <c r="O7868" s="4" t="str">
        <f>IFERROR(__xludf.DUMMYFUNCTION("""COMPUTED_VALUE"""),"Parseint Desenvolvimento De Sistemas Ltda")</f>
        <v>Parseint Desenvolvimento De Sistemas Ltda</v>
      </c>
      <c r="P7868" s="33">
        <f>IFERROR(__xludf.DUMMYFUNCTION("""COMPUTED_VALUE"""),1.0)</f>
        <v>1</v>
      </c>
      <c r="Q7868" s="4" t="str">
        <f>IFERROR(__xludf.DUMMYFUNCTION("""COMPUTED_VALUE"""),"Parseint Desenvolvimento De Sistemas Ltda")</f>
        <v>Parseint Desenvolvimento De Sistemas Ltda</v>
      </c>
      <c r="R7868" s="33">
        <f>IFERROR(__xludf.DUMMYFUNCTION("""COMPUTED_VALUE"""),1.0)</f>
        <v>1</v>
      </c>
      <c r="S7868" s="4" t="str">
        <f>IFERROR(__xludf.DUMMYFUNCTION("""COMPUTED_VALUE"""),"Parseint Desenvolvimento De Sistemas Ltda")</f>
        <v>Parseint Desenvolvimento De Sistemas Ltda</v>
      </c>
      <c r="T7868" s="33">
        <f>IFERROR(__xludf.DUMMYFUNCTION("""COMPUTED_VALUE"""),1.0)</f>
        <v>1</v>
      </c>
      <c r="U7868" s="4" t="str">
        <f>IFERROR(__xludf.DUMMYFUNCTION("""COMPUTED_VALUE"""),"Parseint Desenvolvimento De Sistemas Ltda")</f>
        <v>Parseint Desenvolvimento De Sistemas Ltda</v>
      </c>
      <c r="V7868" s="33">
        <f>IFERROR(__xludf.DUMMYFUNCTION("""COMPUTED_VALUE"""),1.0)</f>
        <v>1</v>
      </c>
      <c r="W7868" s="4" t="str">
        <f>IFERROR(__xludf.DUMMYFUNCTION("""COMPUTED_VALUE"""),"null")</f>
        <v>null</v>
      </c>
      <c r="X7868" s="33">
        <f>IFERROR(__xludf.DUMMYFUNCTION("""COMPUTED_VALUE"""),0.5)</f>
        <v>0.5</v>
      </c>
    </row>
    <row r="7869">
      <c r="K7869" s="4" t="str">
        <f>IFERROR(__xludf.DUMMYFUNCTION("""COMPUTED_VALUE"""),"SINNER MCP")</f>
        <v>SINNER MCP</v>
      </c>
      <c r="L7869" s="32">
        <f>IFERROR(__xludf.DUMMYFUNCTION("""COMPUTED_VALUE"""),2.0)</f>
        <v>2</v>
      </c>
      <c r="M7869" s="4" t="str">
        <f>IFERROR(__xludf.DUMMYFUNCTION("""COMPUTED_VALUE"""),"null")</f>
        <v>null</v>
      </c>
      <c r="N7869" s="33">
        <f>IFERROR(__xludf.DUMMYFUNCTION("""COMPUTED_VALUE"""),0.5)</f>
        <v>0.5</v>
      </c>
      <c r="O7869" s="4" t="str">
        <f>IFERROR(__xludf.DUMMYFUNCTION("""COMPUTED_VALUE"""),"Alterdata Tecnologia Em Informatica Ltda")</f>
        <v>Alterdata Tecnologia Em Informatica Ltda</v>
      </c>
      <c r="P7869" s="33">
        <f>IFERROR(__xludf.DUMMYFUNCTION("""COMPUTED_VALUE"""),0.5)</f>
        <v>0.5</v>
      </c>
      <c r="Q7869" s="4" t="str">
        <f>IFERROR(__xludf.DUMMYFUNCTION("""COMPUTED_VALUE"""),"null")</f>
        <v>null</v>
      </c>
      <c r="R7869" s="33">
        <f>IFERROR(__xludf.DUMMYFUNCTION("""COMPUTED_VALUE"""),0.5)</f>
        <v>0.5</v>
      </c>
      <c r="S7869" s="4" t="str">
        <f>IFERROR(__xludf.DUMMYFUNCTION("""COMPUTED_VALUE"""),"null")</f>
        <v>null</v>
      </c>
      <c r="T7869" s="33">
        <f>IFERROR(__xludf.DUMMYFUNCTION("""COMPUTED_VALUE"""),0.5)</f>
        <v>0.5</v>
      </c>
      <c r="U7869" s="4" t="str">
        <f>IFERROR(__xludf.DUMMYFUNCTION("""COMPUTED_VALUE"""),"null")</f>
        <v>null</v>
      </c>
      <c r="V7869" s="33">
        <f>IFERROR(__xludf.DUMMYFUNCTION("""COMPUTED_VALUE"""),0.5)</f>
        <v>0.5</v>
      </c>
      <c r="W7869" s="4" t="str">
        <f>IFERROR(__xludf.DUMMYFUNCTION("""COMPUTED_VALUE"""),"null")</f>
        <v>null</v>
      </c>
      <c r="X7869" s="33">
        <f>IFERROR(__xludf.DUMMYFUNCTION("""COMPUTED_VALUE"""),0.5)</f>
        <v>0.5</v>
      </c>
    </row>
    <row r="7870">
      <c r="K7870" s="4" t="str">
        <f>IFERROR(__xludf.DUMMYFUNCTION("""COMPUTED_VALUE"""),"SIVERIS")</f>
        <v>SIVERIS</v>
      </c>
      <c r="L7870" s="32">
        <f>IFERROR(__xludf.DUMMYFUNCTION("""COMPUTED_VALUE"""),2.0)</f>
        <v>2</v>
      </c>
      <c r="M7870" s="4" t="str">
        <f>IFERROR(__xludf.DUMMYFUNCTION("""COMPUTED_VALUE"""),"Saipos Serviços De Software")</f>
        <v>Saipos Serviços De Software</v>
      </c>
      <c r="N7870" s="33">
        <f>IFERROR(__xludf.DUMMYFUNCTION("""COMPUTED_VALUE"""),1.0)</f>
        <v>1</v>
      </c>
      <c r="O7870" s="4" t="str">
        <f>IFERROR(__xludf.DUMMYFUNCTION("""COMPUTED_VALUE"""),"Saipos Serviços De Software")</f>
        <v>Saipos Serviços De Software</v>
      </c>
      <c r="P7870" s="33">
        <f>IFERROR(__xludf.DUMMYFUNCTION("""COMPUTED_VALUE"""),1.0)</f>
        <v>1</v>
      </c>
      <c r="Q7870" s="4" t="str">
        <f>IFERROR(__xludf.DUMMYFUNCTION("""COMPUTED_VALUE"""),"Saipos Serviços De Software")</f>
        <v>Saipos Serviços De Software</v>
      </c>
      <c r="R7870" s="33">
        <f>IFERROR(__xludf.DUMMYFUNCTION("""COMPUTED_VALUE"""),1.0)</f>
        <v>1</v>
      </c>
      <c r="S7870" s="4" t="str">
        <f>IFERROR(__xludf.DUMMYFUNCTION("""COMPUTED_VALUE"""),"Saipos Serviços De Software")</f>
        <v>Saipos Serviços De Software</v>
      </c>
      <c r="T7870" s="33">
        <f>IFERROR(__xludf.DUMMYFUNCTION("""COMPUTED_VALUE"""),0.5)</f>
        <v>0.5</v>
      </c>
      <c r="U7870" s="4" t="str">
        <f>IFERROR(__xludf.DUMMYFUNCTION("""COMPUTED_VALUE"""),"Saipos Serviços De Software")</f>
        <v>Saipos Serviços De Software</v>
      </c>
      <c r="V7870" s="33">
        <f>IFERROR(__xludf.DUMMYFUNCTION("""COMPUTED_VALUE"""),0.5)</f>
        <v>0.5</v>
      </c>
      <c r="W7870" s="4" t="str">
        <f>IFERROR(__xludf.DUMMYFUNCTION("""COMPUTED_VALUE"""),"Saipos Serviços De Software")</f>
        <v>Saipos Serviços De Software</v>
      </c>
      <c r="X7870" s="33">
        <f>IFERROR(__xludf.DUMMYFUNCTION("""COMPUTED_VALUE"""),0.5)</f>
        <v>0.5</v>
      </c>
    </row>
    <row r="7871">
      <c r="K7871" s="4" t="str">
        <f>IFERROR(__xludf.DUMMYFUNCTION("""COMPUTED_VALUE"""),"SKAMOTO SUSHI CAMPO GRANDE- MARCA")</f>
        <v>SKAMOTO SUSHI CAMPO GRANDE- MARCA</v>
      </c>
      <c r="L7871" s="32">
        <f>IFERROR(__xludf.DUMMYFUNCTION("""COMPUTED_VALUE"""),2.0)</f>
        <v>2</v>
      </c>
      <c r="M7871" s="4" t="str">
        <f>IFERROR(__xludf.DUMMYFUNCTION("""COMPUTED_VALUE"""),"Stone Co.")</f>
        <v>Stone Co.</v>
      </c>
      <c r="N7871" s="33">
        <f>IFERROR(__xludf.DUMMYFUNCTION("""COMPUTED_VALUE"""),0.5)</f>
        <v>0.5</v>
      </c>
      <c r="O7871" s="4" t="str">
        <f>IFERROR(__xludf.DUMMYFUNCTION("""COMPUTED_VALUE"""),"Stone Co.")</f>
        <v>Stone Co.</v>
      </c>
      <c r="P7871" s="33">
        <f>IFERROR(__xludf.DUMMYFUNCTION("""COMPUTED_VALUE"""),0.5)</f>
        <v>0.5</v>
      </c>
      <c r="Q7871" s="4" t="str">
        <f>IFERROR(__xludf.DUMMYFUNCTION("""COMPUTED_VALUE"""),"Stone Co.")</f>
        <v>Stone Co.</v>
      </c>
      <c r="R7871" s="33">
        <f>IFERROR(__xludf.DUMMYFUNCTION("""COMPUTED_VALUE"""),0.5)</f>
        <v>0.5</v>
      </c>
      <c r="S7871" s="4" t="str">
        <f>IFERROR(__xludf.DUMMYFUNCTION("""COMPUTED_VALUE"""),"Stone Co.")</f>
        <v>Stone Co.</v>
      </c>
      <c r="T7871" s="33">
        <f>IFERROR(__xludf.DUMMYFUNCTION("""COMPUTED_VALUE"""),0.5)</f>
        <v>0.5</v>
      </c>
      <c r="U7871" s="4" t="str">
        <f>IFERROR(__xludf.DUMMYFUNCTION("""COMPUTED_VALUE"""),"Stone Co.")</f>
        <v>Stone Co.</v>
      </c>
      <c r="V7871" s="33">
        <f>IFERROR(__xludf.DUMMYFUNCTION("""COMPUTED_VALUE"""),0.5)</f>
        <v>0.5</v>
      </c>
      <c r="W7871" s="4" t="str">
        <f>IFERROR(__xludf.DUMMYFUNCTION("""COMPUTED_VALUE"""),"Stone Co.")</f>
        <v>Stone Co.</v>
      </c>
      <c r="X7871" s="33">
        <f>IFERROR(__xludf.DUMMYFUNCTION("""COMPUTED_VALUE"""),0.5)</f>
        <v>0.5</v>
      </c>
    </row>
    <row r="7872">
      <c r="K7872" s="4" t="str">
        <f>IFERROR(__xludf.DUMMYFUNCTION("""COMPUTED_VALUE"""),"SMASH BURGER DO CHEFF")</f>
        <v>SMASH BURGER DO CHEFF</v>
      </c>
      <c r="L7872" s="32">
        <f>IFERROR(__xludf.DUMMYFUNCTION("""COMPUTED_VALUE"""),2.0)</f>
        <v>2</v>
      </c>
      <c r="M7872" s="4" t="str">
        <f>IFERROR(__xludf.DUMMYFUNCTION("""COMPUTED_VALUE"""),"Yooga")</f>
        <v>Yooga</v>
      </c>
      <c r="N7872" s="33">
        <f>IFERROR(__xludf.DUMMYFUNCTION("""COMPUTED_VALUE"""),0.5)</f>
        <v>0.5</v>
      </c>
      <c r="O7872" s="4" t="str">
        <f>IFERROR(__xludf.DUMMYFUNCTION("""COMPUTED_VALUE"""),"Yooga")</f>
        <v>Yooga</v>
      </c>
      <c r="P7872" s="33">
        <f>IFERROR(__xludf.DUMMYFUNCTION("""COMPUTED_VALUE"""),0.5)</f>
        <v>0.5</v>
      </c>
      <c r="Q7872" s="4" t="str">
        <f>IFERROR(__xludf.DUMMYFUNCTION("""COMPUTED_VALUE"""),"Yooga")</f>
        <v>Yooga</v>
      </c>
      <c r="R7872" s="33">
        <f>IFERROR(__xludf.DUMMYFUNCTION("""COMPUTED_VALUE"""),0.5)</f>
        <v>0.5</v>
      </c>
      <c r="S7872" s="4" t="str">
        <f>IFERROR(__xludf.DUMMYFUNCTION("""COMPUTED_VALUE"""),"Yooga")</f>
        <v>Yooga</v>
      </c>
      <c r="T7872" s="33">
        <f>IFERROR(__xludf.DUMMYFUNCTION("""COMPUTED_VALUE"""),1.0)</f>
        <v>1</v>
      </c>
      <c r="U7872" s="4" t="str">
        <f>IFERROR(__xludf.DUMMYFUNCTION("""COMPUTED_VALUE"""),"Yooga")</f>
        <v>Yooga</v>
      </c>
      <c r="V7872" s="33">
        <f>IFERROR(__xludf.DUMMYFUNCTION("""COMPUTED_VALUE"""),1.0)</f>
        <v>1</v>
      </c>
      <c r="W7872" s="4" t="str">
        <f>IFERROR(__xludf.DUMMYFUNCTION("""COMPUTED_VALUE"""),"Yooga")</f>
        <v>Yooga</v>
      </c>
      <c r="X7872" s="33">
        <f>IFERROR(__xludf.DUMMYFUNCTION("""COMPUTED_VALUE"""),1.0)</f>
        <v>1</v>
      </c>
    </row>
    <row r="7873">
      <c r="K7873" s="4" t="str">
        <f>IFERROR(__xludf.DUMMYFUNCTION("""COMPUTED_VALUE"""),"SMASH YOU BURGER - CONTA MARCA")</f>
        <v>SMASH YOU BURGER - CONTA MARCA</v>
      </c>
      <c r="L7873" s="32">
        <f>IFERROR(__xludf.DUMMYFUNCTION("""COMPUTED_VALUE"""),2.0)</f>
        <v>2</v>
      </c>
      <c r="M7873" s="4" t="str">
        <f>IFERROR(__xludf.DUMMYFUNCTION("""COMPUTED_VALUE"""),"null")</f>
        <v>null</v>
      </c>
      <c r="N7873" s="33">
        <f>IFERROR(__xludf.DUMMYFUNCTION("""COMPUTED_VALUE"""),1.0)</f>
        <v>1</v>
      </c>
      <c r="O7873" s="4" t="str">
        <f>IFERROR(__xludf.DUMMYFUNCTION("""COMPUTED_VALUE"""),"null")</f>
        <v>null</v>
      </c>
      <c r="P7873" s="33">
        <f>IFERROR(__xludf.DUMMYFUNCTION("""COMPUTED_VALUE"""),1.0)</f>
        <v>1</v>
      </c>
      <c r="Q7873" s="4" t="str">
        <f>IFERROR(__xludf.DUMMYFUNCTION("""COMPUTED_VALUE"""),"Saipos Serviços De Software")</f>
        <v>Saipos Serviços De Software</v>
      </c>
      <c r="R7873" s="33">
        <f>IFERROR(__xludf.DUMMYFUNCTION("""COMPUTED_VALUE"""),1.0)</f>
        <v>1</v>
      </c>
      <c r="S7873" s="4" t="str">
        <f>IFERROR(__xludf.DUMMYFUNCTION("""COMPUTED_VALUE"""),"Saipos Serviços De Software")</f>
        <v>Saipos Serviços De Software</v>
      </c>
      <c r="T7873" s="33">
        <f>IFERROR(__xludf.DUMMYFUNCTION("""COMPUTED_VALUE"""),1.0)</f>
        <v>1</v>
      </c>
      <c r="U7873" s="4" t="str">
        <f>IFERROR(__xludf.DUMMYFUNCTION("""COMPUTED_VALUE"""),"Saipos Serviços De Software")</f>
        <v>Saipos Serviços De Software</v>
      </c>
      <c r="V7873" s="33">
        <f>IFERROR(__xludf.DUMMYFUNCTION("""COMPUTED_VALUE"""),1.0)</f>
        <v>1</v>
      </c>
      <c r="W7873" s="4" t="str">
        <f>IFERROR(__xludf.DUMMYFUNCTION("""COMPUTED_VALUE"""),"Saipos Serviços De Software")</f>
        <v>Saipos Serviços De Software</v>
      </c>
      <c r="X7873" s="33">
        <f>IFERROR(__xludf.DUMMYFUNCTION("""COMPUTED_VALUE"""),1.0)</f>
        <v>1</v>
      </c>
    </row>
    <row r="7874">
      <c r="K7874" s="4" t="str">
        <f>IFERROR(__xludf.DUMMYFUNCTION("""COMPUTED_VALUE"""),"SOKEAMA SUSHI")</f>
        <v>SOKEAMA SUSHI</v>
      </c>
      <c r="L7874" s="32">
        <f>IFERROR(__xludf.DUMMYFUNCTION("""COMPUTED_VALUE"""),2.0)</f>
        <v>2</v>
      </c>
      <c r="M7874" s="4" t="str">
        <f>IFERROR(__xludf.DUMMYFUNCTION("""COMPUTED_VALUE"""),"Saipos Serviços De Software")</f>
        <v>Saipos Serviços De Software</v>
      </c>
      <c r="N7874" s="33">
        <f>IFERROR(__xludf.DUMMYFUNCTION("""COMPUTED_VALUE"""),1.0)</f>
        <v>1</v>
      </c>
      <c r="O7874" s="4" t="str">
        <f>IFERROR(__xludf.DUMMYFUNCTION("""COMPUTED_VALUE"""),"Saipos Serviços De Software")</f>
        <v>Saipos Serviços De Software</v>
      </c>
      <c r="P7874" s="33">
        <f>IFERROR(__xludf.DUMMYFUNCTION("""COMPUTED_VALUE"""),1.0)</f>
        <v>1</v>
      </c>
      <c r="Q7874" s="4" t="str">
        <f>IFERROR(__xludf.DUMMYFUNCTION("""COMPUTED_VALUE"""),"Saipos Serviços De Software")</f>
        <v>Saipos Serviços De Software</v>
      </c>
      <c r="R7874" s="33">
        <f>IFERROR(__xludf.DUMMYFUNCTION("""COMPUTED_VALUE"""),1.0)</f>
        <v>1</v>
      </c>
      <c r="S7874" s="4" t="str">
        <f>IFERROR(__xludf.DUMMYFUNCTION("""COMPUTED_VALUE"""),"Saipos Serviços De Software")</f>
        <v>Saipos Serviços De Software</v>
      </c>
      <c r="T7874" s="33">
        <f>IFERROR(__xludf.DUMMYFUNCTION("""COMPUTED_VALUE"""),1.0)</f>
        <v>1</v>
      </c>
      <c r="U7874" s="4" t="str">
        <f>IFERROR(__xludf.DUMMYFUNCTION("""COMPUTED_VALUE"""),"Saipos Serviços De Software")</f>
        <v>Saipos Serviços De Software</v>
      </c>
      <c r="V7874" s="33">
        <f>IFERROR(__xludf.DUMMYFUNCTION("""COMPUTED_VALUE"""),1.0)</f>
        <v>1</v>
      </c>
      <c r="W7874" s="4" t="str">
        <f>IFERROR(__xludf.DUMMYFUNCTION("""COMPUTED_VALUE"""),"Saipos Serviços De Software")</f>
        <v>Saipos Serviços De Software</v>
      </c>
      <c r="X7874" s="33">
        <f>IFERROR(__xludf.DUMMYFUNCTION("""COMPUTED_VALUE"""),1.0)</f>
        <v>1</v>
      </c>
    </row>
    <row r="7875">
      <c r="K7875" s="4" t="str">
        <f>IFERROR(__xludf.DUMMYFUNCTION("""COMPUTED_VALUE"""),"SONHO DOCE - CONTA PAI")</f>
        <v>SONHO DOCE - CONTA PAI</v>
      </c>
      <c r="L7875" s="32">
        <f>IFERROR(__xludf.DUMMYFUNCTION("""COMPUTED_VALUE"""),2.0)</f>
        <v>2</v>
      </c>
      <c r="M7875" s="4" t="str">
        <f>IFERROR(__xludf.DUMMYFUNCTION("""COMPUTED_VALUE"""),"Proabakus Desenvolvimento De Sistemas Ltda")</f>
        <v>Proabakus Desenvolvimento De Sistemas Ltda</v>
      </c>
      <c r="N7875" s="33">
        <f>IFERROR(__xludf.DUMMYFUNCTION("""COMPUTED_VALUE"""),1.0)</f>
        <v>1</v>
      </c>
      <c r="O7875" s="4" t="str">
        <f>IFERROR(__xludf.DUMMYFUNCTION("""COMPUTED_VALUE"""),"Proabakus Desenvolvimento De Sistemas Ltda")</f>
        <v>Proabakus Desenvolvimento De Sistemas Ltda</v>
      </c>
      <c r="P7875" s="33">
        <f>IFERROR(__xludf.DUMMYFUNCTION("""COMPUTED_VALUE"""),1.0)</f>
        <v>1</v>
      </c>
      <c r="Q7875" s="4" t="str">
        <f>IFERROR(__xludf.DUMMYFUNCTION("""COMPUTED_VALUE"""),"Proabakus Desenvolvimento De Sistemas Ltda")</f>
        <v>Proabakus Desenvolvimento De Sistemas Ltda</v>
      </c>
      <c r="R7875" s="33">
        <f>IFERROR(__xludf.DUMMYFUNCTION("""COMPUTED_VALUE"""),1.0)</f>
        <v>1</v>
      </c>
      <c r="S7875" s="4" t="str">
        <f>IFERROR(__xludf.DUMMYFUNCTION("""COMPUTED_VALUE"""),"Proabakus Desenvolvimento De Sistemas Ltda")</f>
        <v>Proabakus Desenvolvimento De Sistemas Ltda</v>
      </c>
      <c r="T7875" s="33">
        <f>IFERROR(__xludf.DUMMYFUNCTION("""COMPUTED_VALUE"""),1.0)</f>
        <v>1</v>
      </c>
      <c r="U7875" s="4" t="str">
        <f>IFERROR(__xludf.DUMMYFUNCTION("""COMPUTED_VALUE"""),"Proabakus Desenvolvimento De Sistemas Ltda")</f>
        <v>Proabakus Desenvolvimento De Sistemas Ltda</v>
      </c>
      <c r="V7875" s="33">
        <f>IFERROR(__xludf.DUMMYFUNCTION("""COMPUTED_VALUE"""),0.5)</f>
        <v>0.5</v>
      </c>
      <c r="W7875" s="4" t="str">
        <f>IFERROR(__xludf.DUMMYFUNCTION("""COMPUTED_VALUE"""),"Proabakus Desenvolvimento De Sistemas Ltda")</f>
        <v>Proabakus Desenvolvimento De Sistemas Ltda</v>
      </c>
      <c r="X7875" s="33">
        <f>IFERROR(__xludf.DUMMYFUNCTION("""COMPUTED_VALUE"""),0.5)</f>
        <v>0.5</v>
      </c>
    </row>
    <row r="7876">
      <c r="K7876" s="4" t="str">
        <f>IFERROR(__xludf.DUMMYFUNCTION("""COMPUTED_VALUE"""),"SOPAS CALDOS SOPANCA - CONTA PAI")</f>
        <v>SOPAS CALDOS SOPANCA - CONTA PAI</v>
      </c>
      <c r="L7876" s="32">
        <f>IFERROR(__xludf.DUMMYFUNCTION("""COMPUTED_VALUE"""),2.0)</f>
        <v>2</v>
      </c>
      <c r="M7876" s="4" t="str">
        <f>IFERROR(__xludf.DUMMYFUNCTION("""COMPUTED_VALUE"""),"Saipos Serviços De Software")</f>
        <v>Saipos Serviços De Software</v>
      </c>
      <c r="N7876" s="33">
        <f>IFERROR(__xludf.DUMMYFUNCTION("""COMPUTED_VALUE"""),1.0)</f>
        <v>1</v>
      </c>
      <c r="O7876" s="4" t="str">
        <f>IFERROR(__xludf.DUMMYFUNCTION("""COMPUTED_VALUE"""),"Saipos Serviços De Software")</f>
        <v>Saipos Serviços De Software</v>
      </c>
      <c r="P7876" s="33">
        <f>IFERROR(__xludf.DUMMYFUNCTION("""COMPUTED_VALUE"""),1.0)</f>
        <v>1</v>
      </c>
      <c r="Q7876" s="4" t="str">
        <f>IFERROR(__xludf.DUMMYFUNCTION("""COMPUTED_VALUE"""),"Saipos Serviços De Software")</f>
        <v>Saipos Serviços De Software</v>
      </c>
      <c r="R7876" s="33">
        <f>IFERROR(__xludf.DUMMYFUNCTION("""COMPUTED_VALUE"""),1.0)</f>
        <v>1</v>
      </c>
      <c r="S7876" s="4" t="str">
        <f>IFERROR(__xludf.DUMMYFUNCTION("""COMPUTED_VALUE"""),"Saipos Serviços De Software")</f>
        <v>Saipos Serviços De Software</v>
      </c>
      <c r="T7876" s="33">
        <f>IFERROR(__xludf.DUMMYFUNCTION("""COMPUTED_VALUE"""),1.0)</f>
        <v>1</v>
      </c>
      <c r="U7876" s="4" t="str">
        <f>IFERROR(__xludf.DUMMYFUNCTION("""COMPUTED_VALUE"""),"Saipos Serviços De Software")</f>
        <v>Saipos Serviços De Software</v>
      </c>
      <c r="V7876" s="33">
        <f>IFERROR(__xludf.DUMMYFUNCTION("""COMPUTED_VALUE"""),1.0)</f>
        <v>1</v>
      </c>
      <c r="W7876" s="4" t="str">
        <f>IFERROR(__xludf.DUMMYFUNCTION("""COMPUTED_VALUE"""),"Saipos Serviços De Software")</f>
        <v>Saipos Serviços De Software</v>
      </c>
      <c r="X7876" s="33">
        <f>IFERROR(__xludf.DUMMYFUNCTION("""COMPUTED_VALUE"""),1.0)</f>
        <v>1</v>
      </c>
    </row>
    <row r="7877">
      <c r="K7877" s="4" t="str">
        <f>IFERROR(__xludf.DUMMYFUNCTION("""COMPUTED_VALUE"""),"SORVETES GURI - CONTA MARCA")</f>
        <v>SORVETES GURI - CONTA MARCA</v>
      </c>
      <c r="L7877" s="32">
        <f>IFERROR(__xludf.DUMMYFUNCTION("""COMPUTED_VALUE"""),2.0)</f>
        <v>2</v>
      </c>
      <c r="M7877" s="4" t="str">
        <f>IFERROR(__xludf.DUMMYFUNCTION("""COMPUTED_VALUE"""),"null")</f>
        <v>null</v>
      </c>
      <c r="N7877" s="33">
        <f>IFERROR(__xludf.DUMMYFUNCTION("""COMPUTED_VALUE"""),1.0)</f>
        <v>1</v>
      </c>
      <c r="O7877" s="4" t="str">
        <f>IFERROR(__xludf.DUMMYFUNCTION("""COMPUTED_VALUE"""),"null")</f>
        <v>null</v>
      </c>
      <c r="P7877" s="33">
        <f>IFERROR(__xludf.DUMMYFUNCTION("""COMPUTED_VALUE"""),1.0)</f>
        <v>1</v>
      </c>
      <c r="Q7877" s="4" t="str">
        <f>IFERROR(__xludf.DUMMYFUNCTION("""COMPUTED_VALUE"""),"null")</f>
        <v>null</v>
      </c>
      <c r="R7877" s="33">
        <f>IFERROR(__xludf.DUMMYFUNCTION("""COMPUTED_VALUE"""),1.0)</f>
        <v>1</v>
      </c>
      <c r="S7877" s="4" t="str">
        <f>IFERROR(__xludf.DUMMYFUNCTION("""COMPUTED_VALUE"""),"Compusoft")</f>
        <v>Compusoft</v>
      </c>
      <c r="T7877" s="33">
        <f>IFERROR(__xludf.DUMMYFUNCTION("""COMPUTED_VALUE"""),0.5)</f>
        <v>0.5</v>
      </c>
      <c r="U7877" s="4" t="str">
        <f>IFERROR(__xludf.DUMMYFUNCTION("""COMPUTED_VALUE"""),"Compusoft")</f>
        <v>Compusoft</v>
      </c>
      <c r="V7877" s="33">
        <f>IFERROR(__xludf.DUMMYFUNCTION("""COMPUTED_VALUE"""),0.5)</f>
        <v>0.5</v>
      </c>
      <c r="W7877" s="4" t="str">
        <f>IFERROR(__xludf.DUMMYFUNCTION("""COMPUTED_VALUE"""),"null")</f>
        <v>null</v>
      </c>
      <c r="X7877" s="33">
        <f>IFERROR(__xludf.DUMMYFUNCTION("""COMPUTED_VALUE"""),0.5)</f>
        <v>0.5</v>
      </c>
    </row>
    <row r="7878">
      <c r="K7878" s="4" t="str">
        <f>IFERROR(__xludf.DUMMYFUNCTION("""COMPUTED_VALUE"""),"SOUL PIZZA - CONTA MARCA")</f>
        <v>SOUL PIZZA - CONTA MARCA</v>
      </c>
      <c r="L7878" s="32">
        <f>IFERROR(__xludf.DUMMYFUNCTION("""COMPUTED_VALUE"""),2.0)</f>
        <v>2</v>
      </c>
      <c r="M7878" s="4" t="str">
        <f>IFERROR(__xludf.DUMMYFUNCTION("""COMPUTED_VALUE"""),"Saipos Serviços De Software")</f>
        <v>Saipos Serviços De Software</v>
      </c>
      <c r="N7878" s="33">
        <f>IFERROR(__xludf.DUMMYFUNCTION("""COMPUTED_VALUE"""),1.0)</f>
        <v>1</v>
      </c>
      <c r="O7878" s="4" t="str">
        <f>IFERROR(__xludf.DUMMYFUNCTION("""COMPUTED_VALUE"""),"Saipos Serviços De Software")</f>
        <v>Saipos Serviços De Software</v>
      </c>
      <c r="P7878" s="33">
        <f>IFERROR(__xludf.DUMMYFUNCTION("""COMPUTED_VALUE"""),1.0)</f>
        <v>1</v>
      </c>
      <c r="Q7878" s="4" t="str">
        <f>IFERROR(__xludf.DUMMYFUNCTION("""COMPUTED_VALUE"""),"Saipos Serviços De Software")</f>
        <v>Saipos Serviços De Software</v>
      </c>
      <c r="R7878" s="33">
        <f>IFERROR(__xludf.DUMMYFUNCTION("""COMPUTED_VALUE"""),1.0)</f>
        <v>1</v>
      </c>
      <c r="S7878" s="4" t="str">
        <f>IFERROR(__xludf.DUMMYFUNCTION("""COMPUTED_VALUE"""),"Saipos Serviços De Software")</f>
        <v>Saipos Serviços De Software</v>
      </c>
      <c r="T7878" s="33">
        <f>IFERROR(__xludf.DUMMYFUNCTION("""COMPUTED_VALUE"""),1.0)</f>
        <v>1</v>
      </c>
      <c r="U7878" s="4" t="str">
        <f>IFERROR(__xludf.DUMMYFUNCTION("""COMPUTED_VALUE"""),"Saipos Serviços De Software")</f>
        <v>Saipos Serviços De Software</v>
      </c>
      <c r="V7878" s="33">
        <f>IFERROR(__xludf.DUMMYFUNCTION("""COMPUTED_VALUE"""),1.0)</f>
        <v>1</v>
      </c>
      <c r="W7878" s="4" t="str">
        <f>IFERROR(__xludf.DUMMYFUNCTION("""COMPUTED_VALUE"""),"Saipos Serviços De Software")</f>
        <v>Saipos Serviços De Software</v>
      </c>
      <c r="X7878" s="33">
        <f>IFERROR(__xludf.DUMMYFUNCTION("""COMPUTED_VALUE"""),1.0)</f>
        <v>1</v>
      </c>
    </row>
    <row r="7879">
      <c r="K7879" s="4" t="str">
        <f>IFERROR(__xludf.DUMMYFUNCTION("""COMPUTED_VALUE"""),"SP CHICKEN CONTA PAI")</f>
        <v>SP CHICKEN CONTA PAI</v>
      </c>
      <c r="L7879" s="32">
        <f>IFERROR(__xludf.DUMMYFUNCTION("""COMPUTED_VALUE"""),2.0)</f>
        <v>2</v>
      </c>
      <c r="M7879" s="4" t="str">
        <f>IFERROR(__xludf.DUMMYFUNCTION("""COMPUTED_VALUE"""),"Consumer Soluções Em Tecnologia Ltda")</f>
        <v>Consumer Soluções Em Tecnologia Ltda</v>
      </c>
      <c r="N7879" s="33">
        <f>IFERROR(__xludf.DUMMYFUNCTION("""COMPUTED_VALUE"""),0.5)</f>
        <v>0.5</v>
      </c>
      <c r="O7879" s="4" t="str">
        <f>IFERROR(__xludf.DUMMYFUNCTION("""COMPUTED_VALUE"""),"null")</f>
        <v>null</v>
      </c>
      <c r="P7879" s="33">
        <f>IFERROR(__xludf.DUMMYFUNCTION("""COMPUTED_VALUE"""),1.0)</f>
        <v>1</v>
      </c>
      <c r="Q7879" s="4" t="str">
        <f>IFERROR(__xludf.DUMMYFUNCTION("""COMPUTED_VALUE"""),"null")</f>
        <v>null</v>
      </c>
      <c r="R7879" s="33">
        <f>IFERROR(__xludf.DUMMYFUNCTION("""COMPUTED_VALUE"""),1.0)</f>
        <v>1</v>
      </c>
      <c r="S7879" s="4" t="str">
        <f>IFERROR(__xludf.DUMMYFUNCTION("""COMPUTED_VALUE"""),"Consumer Soluções Em Tecnologia Ltda")</f>
        <v>Consumer Soluções Em Tecnologia Ltda</v>
      </c>
      <c r="T7879" s="33">
        <f>IFERROR(__xludf.DUMMYFUNCTION("""COMPUTED_VALUE"""),0.5)</f>
        <v>0.5</v>
      </c>
      <c r="U7879" s="4" t="str">
        <f>IFERROR(__xludf.DUMMYFUNCTION("""COMPUTED_VALUE"""),"null")</f>
        <v>null</v>
      </c>
      <c r="V7879" s="33">
        <f>IFERROR(__xludf.DUMMYFUNCTION("""COMPUTED_VALUE"""),0.5)</f>
        <v>0.5</v>
      </c>
      <c r="W7879" s="4" t="str">
        <f>IFERROR(__xludf.DUMMYFUNCTION("""COMPUTED_VALUE"""),"Consumer Soluções Em Tecnologia Ltda")</f>
        <v>Consumer Soluções Em Tecnologia Ltda</v>
      </c>
      <c r="X7879" s="33">
        <f>IFERROR(__xludf.DUMMYFUNCTION("""COMPUTED_VALUE"""),1.0)</f>
        <v>1</v>
      </c>
    </row>
    <row r="7880">
      <c r="K7880" s="4" t="str">
        <f>IFERROR(__xludf.DUMMYFUNCTION("""COMPUTED_VALUE"""),"SPACE BURGUER - LANCHES E HAMBURGUER ARTESANAL")</f>
        <v>SPACE BURGUER - LANCHES E HAMBURGUER ARTESANAL</v>
      </c>
      <c r="L7880" s="32">
        <f>IFERROR(__xludf.DUMMYFUNCTION("""COMPUTED_VALUE"""),2.0)</f>
        <v>2</v>
      </c>
      <c r="M7880" s="4" t="str">
        <f>IFERROR(__xludf.DUMMYFUNCTION("""COMPUTED_VALUE"""),"null")</f>
        <v>null</v>
      </c>
      <c r="N7880" s="33">
        <f>IFERROR(__xludf.DUMMYFUNCTION("""COMPUTED_VALUE"""),0.5)</f>
        <v>0.5</v>
      </c>
      <c r="O7880" s="4" t="str">
        <f>IFERROR(__xludf.DUMMYFUNCTION("""COMPUTED_VALUE"""),"null")</f>
        <v>null</v>
      </c>
      <c r="P7880" s="33">
        <f>IFERROR(__xludf.DUMMYFUNCTION("""COMPUTED_VALUE"""),0.5)</f>
        <v>0.5</v>
      </c>
      <c r="Q7880" s="4" t="str">
        <f>IFERROR(__xludf.DUMMYFUNCTION("""COMPUTED_VALUE"""),"null")</f>
        <v>null</v>
      </c>
      <c r="R7880" s="33">
        <f>IFERROR(__xludf.DUMMYFUNCTION("""COMPUTED_VALUE"""),0.5)</f>
        <v>0.5</v>
      </c>
      <c r="S7880" s="4" t="str">
        <f>IFERROR(__xludf.DUMMYFUNCTION("""COMPUTED_VALUE"""),"null")</f>
        <v>null</v>
      </c>
      <c r="T7880" s="33">
        <f>IFERROR(__xludf.DUMMYFUNCTION("""COMPUTED_VALUE"""),0.5)</f>
        <v>0.5</v>
      </c>
      <c r="U7880" s="4" t="str">
        <f>IFERROR(__xludf.DUMMYFUNCTION("""COMPUTED_VALUE"""),"Saipos Serviços De Software")</f>
        <v>Saipos Serviços De Software</v>
      </c>
      <c r="V7880" s="33">
        <f>IFERROR(__xludf.DUMMYFUNCTION("""COMPUTED_VALUE"""),1.0)</f>
        <v>1</v>
      </c>
      <c r="W7880" s="4" t="str">
        <f>IFERROR(__xludf.DUMMYFUNCTION("""COMPUTED_VALUE"""),"Saipos Serviços De Software")</f>
        <v>Saipos Serviços De Software</v>
      </c>
      <c r="X7880" s="33">
        <f>IFERROR(__xludf.DUMMYFUNCTION("""COMPUTED_VALUE"""),1.0)</f>
        <v>1</v>
      </c>
    </row>
    <row r="7881">
      <c r="K7881" s="4" t="str">
        <f>IFERROR(__xludf.DUMMYFUNCTION("""COMPUTED_VALUE"""),"SPAZIO PIZZA")</f>
        <v>SPAZIO PIZZA</v>
      </c>
      <c r="L7881" s="32">
        <f>IFERROR(__xludf.DUMMYFUNCTION("""COMPUTED_VALUE"""),2.0)</f>
        <v>2</v>
      </c>
      <c r="M7881" s="4" t="str">
        <f>IFERROR(__xludf.DUMMYFUNCTION("""COMPUTED_VALUE"""),"Vuca Solution")</f>
        <v>Vuca Solution</v>
      </c>
      <c r="N7881" s="33">
        <f>IFERROR(__xludf.DUMMYFUNCTION("""COMPUTED_VALUE"""),0.5)</f>
        <v>0.5</v>
      </c>
      <c r="O7881" s="4" t="str">
        <f>IFERROR(__xludf.DUMMYFUNCTION("""COMPUTED_VALUE"""),"Vuca Solution")</f>
        <v>Vuca Solution</v>
      </c>
      <c r="P7881" s="33">
        <f>IFERROR(__xludf.DUMMYFUNCTION("""COMPUTED_VALUE"""),0.5)</f>
        <v>0.5</v>
      </c>
      <c r="Q7881" s="4" t="str">
        <f>IFERROR(__xludf.DUMMYFUNCTION("""COMPUTED_VALUE"""),"Vuca Solution")</f>
        <v>Vuca Solution</v>
      </c>
      <c r="R7881" s="33">
        <f>IFERROR(__xludf.DUMMYFUNCTION("""COMPUTED_VALUE"""),0.5)</f>
        <v>0.5</v>
      </c>
      <c r="S7881" s="4" t="str">
        <f>IFERROR(__xludf.DUMMYFUNCTION("""COMPUTED_VALUE"""),"Vuca Solution")</f>
        <v>Vuca Solution</v>
      </c>
      <c r="T7881" s="33">
        <f>IFERROR(__xludf.DUMMYFUNCTION("""COMPUTED_VALUE"""),0.5)</f>
        <v>0.5</v>
      </c>
      <c r="U7881" s="4" t="str">
        <f>IFERROR(__xludf.DUMMYFUNCTION("""COMPUTED_VALUE"""),"Vuca Solution")</f>
        <v>Vuca Solution</v>
      </c>
      <c r="V7881" s="33">
        <f>IFERROR(__xludf.DUMMYFUNCTION("""COMPUTED_VALUE"""),0.5)</f>
        <v>0.5</v>
      </c>
      <c r="W7881" s="4" t="str">
        <f>IFERROR(__xludf.DUMMYFUNCTION("""COMPUTED_VALUE"""),"Vuca Solution")</f>
        <v>Vuca Solution</v>
      </c>
      <c r="X7881" s="33">
        <f>IFERROR(__xludf.DUMMYFUNCTION("""COMPUTED_VALUE"""),0.5)</f>
        <v>0.5</v>
      </c>
    </row>
    <row r="7882">
      <c r="K7882" s="4" t="str">
        <f>IFERROR(__xludf.DUMMYFUNCTION("""COMPUTED_VALUE"""),"SPECIALLE - PIZZAS E ESFIHAS ABERTAS")</f>
        <v>SPECIALLE - PIZZAS E ESFIHAS ABERTAS</v>
      </c>
      <c r="L7882" s="32">
        <f>IFERROR(__xludf.DUMMYFUNCTION("""COMPUTED_VALUE"""),2.0)</f>
        <v>2</v>
      </c>
      <c r="M7882" s="4" t="str">
        <f>IFERROR(__xludf.DUMMYFUNCTION("""COMPUTED_VALUE"""),"Vuca Solution")</f>
        <v>Vuca Solution</v>
      </c>
      <c r="N7882" s="33">
        <f>IFERROR(__xludf.DUMMYFUNCTION("""COMPUTED_VALUE"""),1.0)</f>
        <v>1</v>
      </c>
      <c r="O7882" s="4" t="str">
        <f>IFERROR(__xludf.DUMMYFUNCTION("""COMPUTED_VALUE"""),"Vuca Solution")</f>
        <v>Vuca Solution</v>
      </c>
      <c r="P7882" s="33">
        <f>IFERROR(__xludf.DUMMYFUNCTION("""COMPUTED_VALUE"""),1.0)</f>
        <v>1</v>
      </c>
      <c r="Q7882" s="4" t="str">
        <f>IFERROR(__xludf.DUMMYFUNCTION("""COMPUTED_VALUE"""),"Vuca Solution")</f>
        <v>Vuca Solution</v>
      </c>
      <c r="R7882" s="33">
        <f>IFERROR(__xludf.DUMMYFUNCTION("""COMPUTED_VALUE"""),1.0)</f>
        <v>1</v>
      </c>
      <c r="S7882" s="4" t="str">
        <f>IFERROR(__xludf.DUMMYFUNCTION("""COMPUTED_VALUE"""),"Vuca Solution")</f>
        <v>Vuca Solution</v>
      </c>
      <c r="T7882" s="33">
        <f>IFERROR(__xludf.DUMMYFUNCTION("""COMPUTED_VALUE"""),1.0)</f>
        <v>1</v>
      </c>
      <c r="U7882" s="4" t="str">
        <f>IFERROR(__xludf.DUMMYFUNCTION("""COMPUTED_VALUE"""),"Vuca Solution")</f>
        <v>Vuca Solution</v>
      </c>
      <c r="V7882" s="33">
        <f>IFERROR(__xludf.DUMMYFUNCTION("""COMPUTED_VALUE"""),1.0)</f>
        <v>1</v>
      </c>
      <c r="W7882" s="4" t="str">
        <f>IFERROR(__xludf.DUMMYFUNCTION("""COMPUTED_VALUE"""),"Vuca Solution")</f>
        <v>Vuca Solution</v>
      </c>
      <c r="X7882" s="33">
        <f>IFERROR(__xludf.DUMMYFUNCTION("""COMPUTED_VALUE"""),1.0)</f>
        <v>1</v>
      </c>
    </row>
    <row r="7883">
      <c r="K7883" s="4" t="str">
        <f>IFERROR(__xludf.DUMMYFUNCTION("""COMPUTED_VALUE"""),"SPEZIATO ORIGINAL")</f>
        <v>SPEZIATO ORIGINAL</v>
      </c>
      <c r="L7883" s="32">
        <f>IFERROR(__xludf.DUMMYFUNCTION("""COMPUTED_VALUE"""),2.0)</f>
        <v>2</v>
      </c>
      <c r="M7883" s="4" t="str">
        <f>IFERROR(__xludf.DUMMYFUNCTION("""COMPUTED_VALUE"""),"Parseint Desenvolvimento De Sistemas Ltda")</f>
        <v>Parseint Desenvolvimento De Sistemas Ltda</v>
      </c>
      <c r="N7883" s="33">
        <f>IFERROR(__xludf.DUMMYFUNCTION("""COMPUTED_VALUE"""),1.0)</f>
        <v>1</v>
      </c>
      <c r="O7883" s="4" t="str">
        <f>IFERROR(__xludf.DUMMYFUNCTION("""COMPUTED_VALUE"""),"Parseint Desenvolvimento De Sistemas Ltda")</f>
        <v>Parseint Desenvolvimento De Sistemas Ltda</v>
      </c>
      <c r="P7883" s="33">
        <f>IFERROR(__xludf.DUMMYFUNCTION("""COMPUTED_VALUE"""),1.0)</f>
        <v>1</v>
      </c>
      <c r="Q7883" s="4" t="str">
        <f>IFERROR(__xludf.DUMMYFUNCTION("""COMPUTED_VALUE"""),"Parseint Desenvolvimento De Sistemas Ltda")</f>
        <v>Parseint Desenvolvimento De Sistemas Ltda</v>
      </c>
      <c r="R7883" s="33">
        <f>IFERROR(__xludf.DUMMYFUNCTION("""COMPUTED_VALUE"""),1.0)</f>
        <v>1</v>
      </c>
      <c r="S7883" s="4" t="str">
        <f>IFERROR(__xludf.DUMMYFUNCTION("""COMPUTED_VALUE"""),"Parseint Desenvolvimento De Sistemas Ltda")</f>
        <v>Parseint Desenvolvimento De Sistemas Ltda</v>
      </c>
      <c r="T7883" s="33">
        <f>IFERROR(__xludf.DUMMYFUNCTION("""COMPUTED_VALUE"""),1.0)</f>
        <v>1</v>
      </c>
      <c r="U7883" s="4" t="str">
        <f>IFERROR(__xludf.DUMMYFUNCTION("""COMPUTED_VALUE"""),"Parseint Desenvolvimento De Sistemas Ltda")</f>
        <v>Parseint Desenvolvimento De Sistemas Ltda</v>
      </c>
      <c r="V7883" s="33">
        <f>IFERROR(__xludf.DUMMYFUNCTION("""COMPUTED_VALUE"""),1.0)</f>
        <v>1</v>
      </c>
      <c r="W7883" s="4" t="str">
        <f>IFERROR(__xludf.DUMMYFUNCTION("""COMPUTED_VALUE"""),"Parseint Desenvolvimento De Sistemas Ltda")</f>
        <v>Parseint Desenvolvimento De Sistemas Ltda</v>
      </c>
      <c r="X7883" s="33">
        <f>IFERROR(__xludf.DUMMYFUNCTION("""COMPUTED_VALUE"""),1.0)</f>
        <v>1</v>
      </c>
    </row>
    <row r="7884">
      <c r="K7884" s="4" t="str">
        <f>IFERROR(__xludf.DUMMYFUNCTION("""COMPUTED_VALUE"""),"SPOT")</f>
        <v>SPOT</v>
      </c>
      <c r="L7884" s="32">
        <f>IFERROR(__xludf.DUMMYFUNCTION("""COMPUTED_VALUE"""),2.0)</f>
        <v>2</v>
      </c>
      <c r="M7884" s="4" t="str">
        <f>IFERROR(__xludf.DUMMYFUNCTION("""COMPUTED_VALUE"""),"Altec Sistemas")</f>
        <v>Altec Sistemas</v>
      </c>
      <c r="N7884" s="33">
        <f>IFERROR(__xludf.DUMMYFUNCTION("""COMPUTED_VALUE"""),1.0)</f>
        <v>1</v>
      </c>
      <c r="O7884" s="4" t="str">
        <f>IFERROR(__xludf.DUMMYFUNCTION("""COMPUTED_VALUE"""),"Altec Sistemas")</f>
        <v>Altec Sistemas</v>
      </c>
      <c r="P7884" s="33">
        <f>IFERROR(__xludf.DUMMYFUNCTION("""COMPUTED_VALUE"""),1.0)</f>
        <v>1</v>
      </c>
      <c r="Q7884" s="4" t="str">
        <f>IFERROR(__xludf.DUMMYFUNCTION("""COMPUTED_VALUE"""),"Altec Sistemas")</f>
        <v>Altec Sistemas</v>
      </c>
      <c r="R7884" s="33">
        <f>IFERROR(__xludf.DUMMYFUNCTION("""COMPUTED_VALUE"""),1.0)</f>
        <v>1</v>
      </c>
      <c r="S7884" s="4" t="str">
        <f>IFERROR(__xludf.DUMMYFUNCTION("""COMPUTED_VALUE"""),"Altec Sistemas")</f>
        <v>Altec Sistemas</v>
      </c>
      <c r="T7884" s="33">
        <f>IFERROR(__xludf.DUMMYFUNCTION("""COMPUTED_VALUE"""),1.0)</f>
        <v>1</v>
      </c>
      <c r="U7884" s="4" t="str">
        <f>IFERROR(__xludf.DUMMYFUNCTION("""COMPUTED_VALUE"""),"Altec Sistemas")</f>
        <v>Altec Sistemas</v>
      </c>
      <c r="V7884" s="33">
        <f>IFERROR(__xludf.DUMMYFUNCTION("""COMPUTED_VALUE"""),1.0)</f>
        <v>1</v>
      </c>
      <c r="W7884" s="4" t="str">
        <f>IFERROR(__xludf.DUMMYFUNCTION("""COMPUTED_VALUE"""),"Altec Sistemas")</f>
        <v>Altec Sistemas</v>
      </c>
      <c r="X7884" s="33">
        <f>IFERROR(__xludf.DUMMYFUNCTION("""COMPUTED_VALUE"""),1.0)</f>
        <v>1</v>
      </c>
    </row>
    <row r="7885">
      <c r="K7885" s="4" t="str">
        <f>IFERROR(__xludf.DUMMYFUNCTION("""COMPUTED_VALUE"""),"SPOTIN CONTA PAI")</f>
        <v>SPOTIN CONTA PAI</v>
      </c>
      <c r="L7885" s="32">
        <f>IFERROR(__xludf.DUMMYFUNCTION("""COMPUTED_VALUE"""),2.0)</f>
        <v>2</v>
      </c>
      <c r="M7885" s="4" t="str">
        <f>IFERROR(__xludf.DUMMYFUNCTION("""COMPUTED_VALUE"""),"Ncr")</f>
        <v>Ncr</v>
      </c>
      <c r="N7885" s="33">
        <f>IFERROR(__xludf.DUMMYFUNCTION("""COMPUTED_VALUE"""),1.0)</f>
        <v>1</v>
      </c>
      <c r="O7885" s="4" t="str">
        <f>IFERROR(__xludf.DUMMYFUNCTION("""COMPUTED_VALUE"""),"Ncr")</f>
        <v>Ncr</v>
      </c>
      <c r="P7885" s="33">
        <f>IFERROR(__xludf.DUMMYFUNCTION("""COMPUTED_VALUE"""),1.0)</f>
        <v>1</v>
      </c>
      <c r="Q7885" s="4" t="str">
        <f>IFERROR(__xludf.DUMMYFUNCTION("""COMPUTED_VALUE"""),"Ncr")</f>
        <v>Ncr</v>
      </c>
      <c r="R7885" s="33">
        <f>IFERROR(__xludf.DUMMYFUNCTION("""COMPUTED_VALUE"""),1.0)</f>
        <v>1</v>
      </c>
      <c r="S7885" s="4" t="str">
        <f>IFERROR(__xludf.DUMMYFUNCTION("""COMPUTED_VALUE"""),"Ncr")</f>
        <v>Ncr</v>
      </c>
      <c r="T7885" s="33">
        <f>IFERROR(__xludf.DUMMYFUNCTION("""COMPUTED_VALUE"""),1.0)</f>
        <v>1</v>
      </c>
      <c r="U7885" s="4" t="str">
        <f>IFERROR(__xludf.DUMMYFUNCTION("""COMPUTED_VALUE"""),"Ncr")</f>
        <v>Ncr</v>
      </c>
      <c r="V7885" s="33">
        <f>IFERROR(__xludf.DUMMYFUNCTION("""COMPUTED_VALUE"""),1.0)</f>
        <v>1</v>
      </c>
      <c r="W7885" s="4" t="str">
        <f>IFERROR(__xludf.DUMMYFUNCTION("""COMPUTED_VALUE"""),"Ncr")</f>
        <v>Ncr</v>
      </c>
      <c r="X7885" s="33">
        <f>IFERROR(__xludf.DUMMYFUNCTION("""COMPUTED_VALUE"""),1.0)</f>
        <v>1</v>
      </c>
    </row>
    <row r="7886">
      <c r="K7886" s="4" t="str">
        <f>IFERROR(__xludf.DUMMYFUNCTION("""COMPUTED_VALUE"""),"SRB TO GO")</f>
        <v>SRB TO GO</v>
      </c>
      <c r="L7886" s="32">
        <f>IFERROR(__xludf.DUMMYFUNCTION("""COMPUTED_VALUE"""),2.0)</f>
        <v>2</v>
      </c>
      <c r="M7886" s="4" t="str">
        <f>IFERROR(__xludf.DUMMYFUNCTION("""COMPUTED_VALUE"""),"null")</f>
        <v>null</v>
      </c>
      <c r="N7886" s="33">
        <f>IFERROR(__xludf.DUMMYFUNCTION("""COMPUTED_VALUE"""),0.5)</f>
        <v>0.5</v>
      </c>
      <c r="O7886" s="4" t="str">
        <f>IFERROR(__xludf.DUMMYFUNCTION("""COMPUTED_VALUE"""),"null")</f>
        <v>null</v>
      </c>
      <c r="P7886" s="33">
        <f>IFERROR(__xludf.DUMMYFUNCTION("""COMPUTED_VALUE"""),0.5)</f>
        <v>0.5</v>
      </c>
      <c r="Q7886" s="4" t="str">
        <f>IFERROR(__xludf.DUMMYFUNCTION("""COMPUTED_VALUE"""),"null")</f>
        <v>null</v>
      </c>
      <c r="R7886" s="33">
        <f>IFERROR(__xludf.DUMMYFUNCTION("""COMPUTED_VALUE"""),0.5)</f>
        <v>0.5</v>
      </c>
      <c r="S7886" s="4" t="str">
        <f>IFERROR(__xludf.DUMMYFUNCTION("""COMPUTED_VALUE"""),"null")</f>
        <v>null</v>
      </c>
      <c r="T7886" s="33">
        <f>IFERROR(__xludf.DUMMYFUNCTION("""COMPUTED_VALUE"""),0.5)</f>
        <v>0.5</v>
      </c>
      <c r="U7886" s="4" t="str">
        <f>IFERROR(__xludf.DUMMYFUNCTION("""COMPUTED_VALUE"""),"null")</f>
        <v>null</v>
      </c>
      <c r="V7886" s="33">
        <f>IFERROR(__xludf.DUMMYFUNCTION("""COMPUTED_VALUE"""),0.5)</f>
        <v>0.5</v>
      </c>
      <c r="W7886" s="4" t="str">
        <f>IFERROR(__xludf.DUMMYFUNCTION("""COMPUTED_VALUE"""),"Ncr")</f>
        <v>Ncr</v>
      </c>
      <c r="X7886" s="33">
        <f>IFERROR(__xludf.DUMMYFUNCTION("""COMPUTED_VALUE"""),1.0)</f>
        <v>1</v>
      </c>
    </row>
    <row r="7887">
      <c r="K7887" s="4" t="str">
        <f>IFERROR(__xludf.DUMMYFUNCTION("""COMPUTED_VALUE"""),"ST PETERS PIZZARIA CONTA MARCA")</f>
        <v>ST PETERS PIZZARIA CONTA MARCA</v>
      </c>
      <c r="L7887" s="32">
        <f>IFERROR(__xludf.DUMMYFUNCTION("""COMPUTED_VALUE"""),2.0)</f>
        <v>2</v>
      </c>
      <c r="M7887" s="4" t="str">
        <f>IFERROR(__xludf.DUMMYFUNCTION("""COMPUTED_VALUE"""),"null")</f>
        <v>null</v>
      </c>
      <c r="N7887" s="33">
        <f>IFERROR(__xludf.DUMMYFUNCTION("""COMPUTED_VALUE"""),1.0)</f>
        <v>1</v>
      </c>
      <c r="O7887" s="4" t="str">
        <f>IFERROR(__xludf.DUMMYFUNCTION("""COMPUTED_VALUE"""),"null")</f>
        <v>null</v>
      </c>
      <c r="P7887" s="33">
        <f>IFERROR(__xludf.DUMMYFUNCTION("""COMPUTED_VALUE"""),1.0)</f>
        <v>1</v>
      </c>
      <c r="Q7887" s="4" t="str">
        <f>IFERROR(__xludf.DUMMYFUNCTION("""COMPUTED_VALUE"""),"null")</f>
        <v>null</v>
      </c>
      <c r="R7887" s="33">
        <f>IFERROR(__xludf.DUMMYFUNCTION("""COMPUTED_VALUE"""),1.0)</f>
        <v>1</v>
      </c>
      <c r="S7887" s="4" t="str">
        <f>IFERROR(__xludf.DUMMYFUNCTION("""COMPUTED_VALUE"""),"null")</f>
        <v>null</v>
      </c>
      <c r="T7887" s="33">
        <f>IFERROR(__xludf.DUMMYFUNCTION("""COMPUTED_VALUE"""),1.0)</f>
        <v>1</v>
      </c>
      <c r="U7887" s="4" t="str">
        <f>IFERROR(__xludf.DUMMYFUNCTION("""COMPUTED_VALUE"""),"null")</f>
        <v>null</v>
      </c>
      <c r="V7887" s="33">
        <f>IFERROR(__xludf.DUMMYFUNCTION("""COMPUTED_VALUE"""),1.0)</f>
        <v>1</v>
      </c>
      <c r="W7887" s="4" t="str">
        <f>IFERROR(__xludf.DUMMYFUNCTION("""COMPUTED_VALUE"""),"Saipos Serviços De Software")</f>
        <v>Saipos Serviços De Software</v>
      </c>
      <c r="X7887" s="33">
        <f>IFERROR(__xludf.DUMMYFUNCTION("""COMPUTED_VALUE"""),1.0)</f>
        <v>1</v>
      </c>
    </row>
    <row r="7888">
      <c r="K7888" s="4" t="str">
        <f>IFERROR(__xludf.DUMMYFUNCTION("""COMPUTED_VALUE"""),"SU SUSHI - THE")</f>
        <v>SU SUSHI - THE</v>
      </c>
      <c r="L7888" s="32">
        <f>IFERROR(__xludf.DUMMYFUNCTION("""COMPUTED_VALUE"""),2.0)</f>
        <v>2</v>
      </c>
      <c r="M7888" s="4" t="str">
        <f>IFERROR(__xludf.DUMMYFUNCTION("""COMPUTED_VALUE"""),"Saipos Serviços De Software")</f>
        <v>Saipos Serviços De Software</v>
      </c>
      <c r="N7888" s="33">
        <f>IFERROR(__xludf.DUMMYFUNCTION("""COMPUTED_VALUE"""),0.5)</f>
        <v>0.5</v>
      </c>
      <c r="O7888" s="4" t="str">
        <f>IFERROR(__xludf.DUMMYFUNCTION("""COMPUTED_VALUE"""),"Saipos Serviços De Software")</f>
        <v>Saipos Serviços De Software</v>
      </c>
      <c r="P7888" s="33">
        <f>IFERROR(__xludf.DUMMYFUNCTION("""COMPUTED_VALUE"""),0.5)</f>
        <v>0.5</v>
      </c>
      <c r="Q7888" s="4" t="str">
        <f>IFERROR(__xludf.DUMMYFUNCTION("""COMPUTED_VALUE"""),"Saipos Serviços De Software")</f>
        <v>Saipos Serviços De Software</v>
      </c>
      <c r="R7888" s="33">
        <f>IFERROR(__xludf.DUMMYFUNCTION("""COMPUTED_VALUE"""),1.0)</f>
        <v>1</v>
      </c>
      <c r="S7888" s="4" t="str">
        <f>IFERROR(__xludf.DUMMYFUNCTION("""COMPUTED_VALUE"""),"Saipos Serviços De Software")</f>
        <v>Saipos Serviços De Software</v>
      </c>
      <c r="T7888" s="33">
        <f>IFERROR(__xludf.DUMMYFUNCTION("""COMPUTED_VALUE"""),1.0)</f>
        <v>1</v>
      </c>
      <c r="U7888" s="4" t="str">
        <f>IFERROR(__xludf.DUMMYFUNCTION("""COMPUTED_VALUE"""),"Saipos Serviços De Software")</f>
        <v>Saipos Serviços De Software</v>
      </c>
      <c r="V7888" s="33">
        <f>IFERROR(__xludf.DUMMYFUNCTION("""COMPUTED_VALUE"""),1.0)</f>
        <v>1</v>
      </c>
      <c r="W7888" s="4" t="str">
        <f>IFERROR(__xludf.DUMMYFUNCTION("""COMPUTED_VALUE"""),"Saipos Serviços De Software")</f>
        <v>Saipos Serviços De Software</v>
      </c>
      <c r="X7888" s="33">
        <f>IFERROR(__xludf.DUMMYFUNCTION("""COMPUTED_VALUE"""),1.0)</f>
        <v>1</v>
      </c>
    </row>
    <row r="7889">
      <c r="K7889" s="4" t="str">
        <f>IFERROR(__xludf.DUMMYFUNCTION("""COMPUTED_VALUE"""),"SALU - CONTA MARCA")</f>
        <v>SALU - CONTA MARCA</v>
      </c>
      <c r="L7889" s="32">
        <f>IFERROR(__xludf.DUMMYFUNCTION("""COMPUTED_VALUE"""),2.0)</f>
        <v>2</v>
      </c>
      <c r="M7889" s="4" t="str">
        <f>IFERROR(__xludf.DUMMYFUNCTION("""COMPUTED_VALUE"""),"null")</f>
        <v>null</v>
      </c>
      <c r="N7889" s="33">
        <f>IFERROR(__xludf.DUMMYFUNCTION("""COMPUTED_VALUE"""),0.5)</f>
        <v>0.5</v>
      </c>
      <c r="O7889" s="4" t="str">
        <f>IFERROR(__xludf.DUMMYFUNCTION("""COMPUTED_VALUE"""),"null")</f>
        <v>null</v>
      </c>
      <c r="P7889" s="33">
        <f>IFERROR(__xludf.DUMMYFUNCTION("""COMPUTED_VALUE"""),0.5)</f>
        <v>0.5</v>
      </c>
      <c r="Q7889" s="4" t="str">
        <f>IFERROR(__xludf.DUMMYFUNCTION("""COMPUTED_VALUE"""),"null")</f>
        <v>null</v>
      </c>
      <c r="R7889" s="33">
        <f>IFERROR(__xludf.DUMMYFUNCTION("""COMPUTED_VALUE"""),0.5)</f>
        <v>0.5</v>
      </c>
      <c r="S7889" s="4" t="str">
        <f>IFERROR(__xludf.DUMMYFUNCTION("""COMPUTED_VALUE"""),"null")</f>
        <v>null</v>
      </c>
      <c r="T7889" s="33">
        <f>IFERROR(__xludf.DUMMYFUNCTION("""COMPUTED_VALUE"""),0.5)</f>
        <v>0.5</v>
      </c>
      <c r="U7889" s="4" t="str">
        <f>IFERROR(__xludf.DUMMYFUNCTION("""COMPUTED_VALUE"""),"E-deploy Retail")</f>
        <v>E-deploy Retail</v>
      </c>
      <c r="V7889" s="33">
        <f>IFERROR(__xludf.DUMMYFUNCTION("""COMPUTED_VALUE"""),1.0)</f>
        <v>1</v>
      </c>
      <c r="W7889" s="4" t="str">
        <f>IFERROR(__xludf.DUMMYFUNCTION("""COMPUTED_VALUE"""),"E-deploy Retail")</f>
        <v>E-deploy Retail</v>
      </c>
      <c r="X7889" s="33">
        <f>IFERROR(__xludf.DUMMYFUNCTION("""COMPUTED_VALUE"""),1.0)</f>
        <v>1</v>
      </c>
    </row>
    <row r="7890">
      <c r="K7890" s="4" t="str">
        <f>IFERROR(__xludf.DUMMYFUNCTION("""COMPUTED_VALUE"""),"SUN POKE")</f>
        <v>SUN POKE</v>
      </c>
      <c r="L7890" s="32">
        <f>IFERROR(__xludf.DUMMYFUNCTION("""COMPUTED_VALUE"""),2.0)</f>
        <v>2</v>
      </c>
      <c r="M7890" s="4" t="str">
        <f>IFERROR(__xludf.DUMMYFUNCTION("""COMPUTED_VALUE"""),"3a Solution")</f>
        <v>3a Solution</v>
      </c>
      <c r="N7890" s="33">
        <f>IFERROR(__xludf.DUMMYFUNCTION("""COMPUTED_VALUE"""),1.0)</f>
        <v>1</v>
      </c>
      <c r="O7890" s="4" t="str">
        <f>IFERROR(__xludf.DUMMYFUNCTION("""COMPUTED_VALUE"""),"3a Solution")</f>
        <v>3a Solution</v>
      </c>
      <c r="P7890" s="33">
        <f>IFERROR(__xludf.DUMMYFUNCTION("""COMPUTED_VALUE"""),1.0)</f>
        <v>1</v>
      </c>
      <c r="Q7890" s="4" t="str">
        <f>IFERROR(__xludf.DUMMYFUNCTION("""COMPUTED_VALUE"""),"3a Solution")</f>
        <v>3a Solution</v>
      </c>
      <c r="R7890" s="33">
        <f>IFERROR(__xludf.DUMMYFUNCTION("""COMPUTED_VALUE"""),1.0)</f>
        <v>1</v>
      </c>
      <c r="S7890" s="4" t="str">
        <f>IFERROR(__xludf.DUMMYFUNCTION("""COMPUTED_VALUE"""),"3a Solution")</f>
        <v>3a Solution</v>
      </c>
      <c r="T7890" s="33">
        <f>IFERROR(__xludf.DUMMYFUNCTION("""COMPUTED_VALUE"""),1.0)</f>
        <v>1</v>
      </c>
      <c r="U7890" s="4" t="str">
        <f>IFERROR(__xludf.DUMMYFUNCTION("""COMPUTED_VALUE"""),"3a Solution")</f>
        <v>3a Solution</v>
      </c>
      <c r="V7890" s="33">
        <f>IFERROR(__xludf.DUMMYFUNCTION("""COMPUTED_VALUE"""),1.0)</f>
        <v>1</v>
      </c>
      <c r="W7890" s="4" t="str">
        <f>IFERROR(__xludf.DUMMYFUNCTION("""COMPUTED_VALUE"""),"Saipos Serviços De Software")</f>
        <v>Saipos Serviços De Software</v>
      </c>
      <c r="X7890" s="33">
        <f>IFERROR(__xludf.DUMMYFUNCTION("""COMPUTED_VALUE"""),1.0)</f>
        <v>1</v>
      </c>
    </row>
    <row r="7891">
      <c r="K7891" s="4" t="str">
        <f>IFERROR(__xludf.DUMMYFUNCTION("""COMPUTED_VALUE"""),"SUPER CARLAO - CONTA MARCA")</f>
        <v>SUPER CARLAO - CONTA MARCA</v>
      </c>
      <c r="L7891" s="32">
        <f>IFERROR(__xludf.DUMMYFUNCTION("""COMPUTED_VALUE"""),2.0)</f>
        <v>2</v>
      </c>
      <c r="M7891" s="4" t="str">
        <f>IFERROR(__xludf.DUMMYFUNCTION("""COMPUTED_VALUE"""),"N/A (Not found)")</f>
        <v>N/A (Not found)</v>
      </c>
      <c r="N7891" s="33">
        <f>IFERROR(__xludf.DUMMYFUNCTION("""COMPUTED_VALUE"""),0.5)</f>
        <v>0.5</v>
      </c>
      <c r="O7891" s="4" t="str">
        <f>IFERROR(__xludf.DUMMYFUNCTION("""COMPUTED_VALUE"""),"N/A (Not found)")</f>
        <v>N/A (Not found)</v>
      </c>
      <c r="P7891" s="33">
        <f>IFERROR(__xludf.DUMMYFUNCTION("""COMPUTED_VALUE"""),0.5)</f>
        <v>0.5</v>
      </c>
      <c r="Q7891" s="4" t="str">
        <f>IFERROR(__xludf.DUMMYFUNCTION("""COMPUTED_VALUE"""),"N/A (Not found)")</f>
        <v>N/A (Not found)</v>
      </c>
      <c r="R7891" s="33">
        <f>IFERROR(__xludf.DUMMYFUNCTION("""COMPUTED_VALUE"""),0.5)</f>
        <v>0.5</v>
      </c>
      <c r="S7891" s="4" t="str">
        <f>IFERROR(__xludf.DUMMYFUNCTION("""COMPUTED_VALUE"""),"N/A (Not found)")</f>
        <v>N/A (Not found)</v>
      </c>
      <c r="T7891" s="33">
        <f>IFERROR(__xludf.DUMMYFUNCTION("""COMPUTED_VALUE"""),0.5)</f>
        <v>0.5</v>
      </c>
      <c r="U7891" s="4" t="str">
        <f>IFERROR(__xludf.DUMMYFUNCTION("""COMPUTED_VALUE"""),"N/A (Not found)")</f>
        <v>N/A (Not found)</v>
      </c>
      <c r="V7891" s="33">
        <f>IFERROR(__xludf.DUMMYFUNCTION("""COMPUTED_VALUE"""),1.0)</f>
        <v>1</v>
      </c>
      <c r="W7891" s="4" t="str">
        <f>IFERROR(__xludf.DUMMYFUNCTION("""COMPUTED_VALUE"""),"N/A (Not found)")</f>
        <v>N/A (Not found)</v>
      </c>
      <c r="X7891" s="33">
        <f>IFERROR(__xludf.DUMMYFUNCTION("""COMPUTED_VALUE"""),1.0)</f>
        <v>1</v>
      </c>
    </row>
    <row r="7892">
      <c r="K7892" s="4" t="str">
        <f>IFERROR(__xludf.DUMMYFUNCTION("""COMPUTED_VALUE"""),"SUPERMERCADO ARMAZEM AUTO SERVICO - CONTA PAI")</f>
        <v>SUPERMERCADO ARMAZEM AUTO SERVICO - CONTA PAI</v>
      </c>
      <c r="L7892" s="32">
        <f>IFERROR(__xludf.DUMMYFUNCTION("""COMPUTED_VALUE"""),2.0)</f>
        <v>2</v>
      </c>
      <c r="M7892" s="4" t="str">
        <f>IFERROR(__xludf.DUMMYFUNCTION("""COMPUTED_VALUE"""),"N/A (Not found)")</f>
        <v>N/A (Not found)</v>
      </c>
      <c r="N7892" s="33">
        <f>IFERROR(__xludf.DUMMYFUNCTION("""COMPUTED_VALUE"""),1.0)</f>
        <v>1</v>
      </c>
      <c r="O7892" s="4" t="str">
        <f>IFERROR(__xludf.DUMMYFUNCTION("""COMPUTED_VALUE"""),"N/A (Not found)")</f>
        <v>N/A (Not found)</v>
      </c>
      <c r="P7892" s="33">
        <f>IFERROR(__xludf.DUMMYFUNCTION("""COMPUTED_VALUE"""),1.0)</f>
        <v>1</v>
      </c>
      <c r="Q7892" s="4" t="str">
        <f>IFERROR(__xludf.DUMMYFUNCTION("""COMPUTED_VALUE"""),"N/A (Not found)")</f>
        <v>N/A (Not found)</v>
      </c>
      <c r="R7892" s="33">
        <f>IFERROR(__xludf.DUMMYFUNCTION("""COMPUTED_VALUE"""),1.0)</f>
        <v>1</v>
      </c>
      <c r="S7892" s="4" t="str">
        <f>IFERROR(__xludf.DUMMYFUNCTION("""COMPUTED_VALUE"""),"N/A (Not found)")</f>
        <v>N/A (Not found)</v>
      </c>
      <c r="T7892" s="33">
        <f>IFERROR(__xludf.DUMMYFUNCTION("""COMPUTED_VALUE"""),1.0)</f>
        <v>1</v>
      </c>
      <c r="U7892" s="4" t="str">
        <f>IFERROR(__xludf.DUMMYFUNCTION("""COMPUTED_VALUE"""),"N/A (Not found)")</f>
        <v>N/A (Not found)</v>
      </c>
      <c r="V7892" s="33">
        <f>IFERROR(__xludf.DUMMYFUNCTION("""COMPUTED_VALUE"""),1.0)</f>
        <v>1</v>
      </c>
      <c r="W7892" s="4" t="str">
        <f>IFERROR(__xludf.DUMMYFUNCTION("""COMPUTED_VALUE"""),"N/A (Not found)")</f>
        <v>N/A (Not found)</v>
      </c>
      <c r="X7892" s="33">
        <f>IFERROR(__xludf.DUMMYFUNCTION("""COMPUTED_VALUE"""),1.0)</f>
        <v>1</v>
      </c>
    </row>
    <row r="7893">
      <c r="K7893" s="4" t="str">
        <f>IFERROR(__xludf.DUMMYFUNCTION("""COMPUTED_VALUE"""),"SUPERMERCADO BEM BOM CARAPICUIBA - CONTA PAI")</f>
        <v>SUPERMERCADO BEM BOM CARAPICUIBA - CONTA PAI</v>
      </c>
      <c r="L7893" s="32">
        <f>IFERROR(__xludf.DUMMYFUNCTION("""COMPUTED_VALUE"""),2.0)</f>
        <v>2</v>
      </c>
      <c r="M7893" s="4" t="str">
        <f>IFERROR(__xludf.DUMMYFUNCTION("""COMPUTED_VALUE"""),"N/A (Not found)")</f>
        <v>N/A (Not found)</v>
      </c>
      <c r="N7893" s="33">
        <f>IFERROR(__xludf.DUMMYFUNCTION("""COMPUTED_VALUE"""),1.0)</f>
        <v>1</v>
      </c>
      <c r="O7893" s="4" t="str">
        <f>IFERROR(__xludf.DUMMYFUNCTION("""COMPUTED_VALUE"""),"N/A (Not found)")</f>
        <v>N/A (Not found)</v>
      </c>
      <c r="P7893" s="33">
        <f>IFERROR(__xludf.DUMMYFUNCTION("""COMPUTED_VALUE"""),1.0)</f>
        <v>1</v>
      </c>
      <c r="Q7893" s="4" t="str">
        <f>IFERROR(__xludf.DUMMYFUNCTION("""COMPUTED_VALUE"""),"N/A (Not found)")</f>
        <v>N/A (Not found)</v>
      </c>
      <c r="R7893" s="33">
        <f>IFERROR(__xludf.DUMMYFUNCTION("""COMPUTED_VALUE"""),1.0)</f>
        <v>1</v>
      </c>
      <c r="S7893" s="4" t="str">
        <f>IFERROR(__xludf.DUMMYFUNCTION("""COMPUTED_VALUE"""),"N/A (Not found)")</f>
        <v>N/A (Not found)</v>
      </c>
      <c r="T7893" s="33">
        <f>IFERROR(__xludf.DUMMYFUNCTION("""COMPUTED_VALUE"""),1.0)</f>
        <v>1</v>
      </c>
      <c r="U7893" s="4" t="str">
        <f>IFERROR(__xludf.DUMMYFUNCTION("""COMPUTED_VALUE"""),"N/A (Not found)")</f>
        <v>N/A (Not found)</v>
      </c>
      <c r="V7893" s="33">
        <f>IFERROR(__xludf.DUMMYFUNCTION("""COMPUTED_VALUE"""),1.0)</f>
        <v>1</v>
      </c>
      <c r="W7893" s="4" t="str">
        <f>IFERROR(__xludf.DUMMYFUNCTION("""COMPUTED_VALUE"""),"N/A (Not found)")</f>
        <v>N/A (Not found)</v>
      </c>
      <c r="X7893" s="33">
        <f>IFERROR(__xludf.DUMMYFUNCTION("""COMPUTED_VALUE"""),1.0)</f>
        <v>1</v>
      </c>
    </row>
    <row r="7894">
      <c r="K7894" s="4" t="str">
        <f>IFERROR(__xludf.DUMMYFUNCTION("""COMPUTED_VALUE"""),"SUPERMERCADO COLINAS RECOBASE - CONTA PAI")</f>
        <v>SUPERMERCADO COLINAS RECOBASE - CONTA PAI</v>
      </c>
      <c r="L7894" s="32">
        <f>IFERROR(__xludf.DUMMYFUNCTION("""COMPUTED_VALUE"""),2.0)</f>
        <v>2</v>
      </c>
      <c r="M7894" s="4" t="str">
        <f>IFERROR(__xludf.DUMMYFUNCTION("""COMPUTED_VALUE"""),"N/A (Not found)")</f>
        <v>N/A (Not found)</v>
      </c>
      <c r="N7894" s="33">
        <f>IFERROR(__xludf.DUMMYFUNCTION("""COMPUTED_VALUE"""),1.0)</f>
        <v>1</v>
      </c>
      <c r="O7894" s="4" t="str">
        <f>IFERROR(__xludf.DUMMYFUNCTION("""COMPUTED_VALUE"""),"N/A (Not found)")</f>
        <v>N/A (Not found)</v>
      </c>
      <c r="P7894" s="33">
        <f>IFERROR(__xludf.DUMMYFUNCTION("""COMPUTED_VALUE"""),1.0)</f>
        <v>1</v>
      </c>
      <c r="Q7894" s="4" t="str">
        <f>IFERROR(__xludf.DUMMYFUNCTION("""COMPUTED_VALUE"""),"N/A (Not found)")</f>
        <v>N/A (Not found)</v>
      </c>
      <c r="R7894" s="33">
        <f>IFERROR(__xludf.DUMMYFUNCTION("""COMPUTED_VALUE"""),1.0)</f>
        <v>1</v>
      </c>
      <c r="S7894" s="4" t="str">
        <f>IFERROR(__xludf.DUMMYFUNCTION("""COMPUTED_VALUE"""),"N/A (Not found)")</f>
        <v>N/A (Not found)</v>
      </c>
      <c r="T7894" s="33">
        <f>IFERROR(__xludf.DUMMYFUNCTION("""COMPUTED_VALUE"""),1.0)</f>
        <v>1</v>
      </c>
      <c r="U7894" s="4" t="str">
        <f>IFERROR(__xludf.DUMMYFUNCTION("""COMPUTED_VALUE"""),"N/A (Not found)")</f>
        <v>N/A (Not found)</v>
      </c>
      <c r="V7894" s="33">
        <f>IFERROR(__xludf.DUMMYFUNCTION("""COMPUTED_VALUE"""),1.0)</f>
        <v>1</v>
      </c>
      <c r="W7894" s="4" t="str">
        <f>IFERROR(__xludf.DUMMYFUNCTION("""COMPUTED_VALUE"""),"N/A (Not found)")</f>
        <v>N/A (Not found)</v>
      </c>
      <c r="X7894" s="33">
        <f>IFERROR(__xludf.DUMMYFUNCTION("""COMPUTED_VALUE"""),1.0)</f>
        <v>1</v>
      </c>
    </row>
    <row r="7895">
      <c r="K7895" s="4" t="str">
        <f>IFERROR(__xludf.DUMMYFUNCTION("""COMPUTED_VALUE"""),"SUPERMERCADO E ATACADO TAISHO - CONTA PAI")</f>
        <v>SUPERMERCADO E ATACADO TAISHO - CONTA PAI</v>
      </c>
      <c r="L7895" s="32">
        <f>IFERROR(__xludf.DUMMYFUNCTION("""COMPUTED_VALUE"""),2.0)</f>
        <v>2</v>
      </c>
      <c r="M7895" s="4" t="str">
        <f>IFERROR(__xludf.DUMMYFUNCTION("""COMPUTED_VALUE"""),"N/A (Not found)")</f>
        <v>N/A (Not found)</v>
      </c>
      <c r="N7895" s="33">
        <f>IFERROR(__xludf.DUMMYFUNCTION("""COMPUTED_VALUE"""),1.0)</f>
        <v>1</v>
      </c>
      <c r="O7895" s="4" t="str">
        <f>IFERROR(__xludf.DUMMYFUNCTION("""COMPUTED_VALUE"""),"null")</f>
        <v>null</v>
      </c>
      <c r="P7895" s="33">
        <f>IFERROR(__xludf.DUMMYFUNCTION("""COMPUTED_VALUE"""),0.5)</f>
        <v>0.5</v>
      </c>
      <c r="Q7895" s="4" t="str">
        <f>IFERROR(__xludf.DUMMYFUNCTION("""COMPUTED_VALUE"""),"N/A (Not found)")</f>
        <v>N/A (Not found)</v>
      </c>
      <c r="R7895" s="33">
        <f>IFERROR(__xludf.DUMMYFUNCTION("""COMPUTED_VALUE"""),1.0)</f>
        <v>1</v>
      </c>
      <c r="S7895" s="4" t="str">
        <f>IFERROR(__xludf.DUMMYFUNCTION("""COMPUTED_VALUE"""),"N/A (Not found)")</f>
        <v>N/A (Not found)</v>
      </c>
      <c r="T7895" s="33">
        <f>IFERROR(__xludf.DUMMYFUNCTION("""COMPUTED_VALUE"""),1.0)</f>
        <v>1</v>
      </c>
      <c r="U7895" s="4" t="str">
        <f>IFERROR(__xludf.DUMMYFUNCTION("""COMPUTED_VALUE"""),"N/A (Not found)")</f>
        <v>N/A (Not found)</v>
      </c>
      <c r="V7895" s="33">
        <f>IFERROR(__xludf.DUMMYFUNCTION("""COMPUTED_VALUE"""),1.0)</f>
        <v>1</v>
      </c>
      <c r="W7895" s="4" t="str">
        <f>IFERROR(__xludf.DUMMYFUNCTION("""COMPUTED_VALUE"""),"N/A (Not found)")</f>
        <v>N/A (Not found)</v>
      </c>
      <c r="X7895" s="33">
        <f>IFERROR(__xludf.DUMMYFUNCTION("""COMPUTED_VALUE"""),1.0)</f>
        <v>1</v>
      </c>
    </row>
    <row r="7896">
      <c r="K7896" s="4" t="str">
        <f>IFERROR(__xludf.DUMMYFUNCTION("""COMPUTED_VALUE"""),"SUPERMERCADO NAGAI PUDENTE - CONTA PAI")</f>
        <v>SUPERMERCADO NAGAI PUDENTE - CONTA PAI</v>
      </c>
      <c r="L7896" s="32">
        <f>IFERROR(__xludf.DUMMYFUNCTION("""COMPUTED_VALUE"""),2.0)</f>
        <v>2</v>
      </c>
      <c r="M7896" s="4" t="str">
        <f>IFERROR(__xludf.DUMMYFUNCTION("""COMPUTED_VALUE"""),"N/A (Not found)")</f>
        <v>N/A (Not found)</v>
      </c>
      <c r="N7896" s="33">
        <f>IFERROR(__xludf.DUMMYFUNCTION("""COMPUTED_VALUE"""),1.0)</f>
        <v>1</v>
      </c>
      <c r="O7896" s="4" t="str">
        <f>IFERROR(__xludf.DUMMYFUNCTION("""COMPUTED_VALUE"""),"N/A (Not found)")</f>
        <v>N/A (Not found)</v>
      </c>
      <c r="P7896" s="33">
        <f>IFERROR(__xludf.DUMMYFUNCTION("""COMPUTED_VALUE"""),1.0)</f>
        <v>1</v>
      </c>
      <c r="Q7896" s="4" t="str">
        <f>IFERROR(__xludf.DUMMYFUNCTION("""COMPUTED_VALUE"""),"N/A (Not found)")</f>
        <v>N/A (Not found)</v>
      </c>
      <c r="R7896" s="33">
        <f>IFERROR(__xludf.DUMMYFUNCTION("""COMPUTED_VALUE"""),1.0)</f>
        <v>1</v>
      </c>
      <c r="S7896" s="4" t="str">
        <f>IFERROR(__xludf.DUMMYFUNCTION("""COMPUTED_VALUE"""),"N/A (Not found)")</f>
        <v>N/A (Not found)</v>
      </c>
      <c r="T7896" s="33">
        <f>IFERROR(__xludf.DUMMYFUNCTION("""COMPUTED_VALUE"""),1.0)</f>
        <v>1</v>
      </c>
      <c r="U7896" s="4" t="str">
        <f>IFERROR(__xludf.DUMMYFUNCTION("""COMPUTED_VALUE"""),"N/A (Not found)")</f>
        <v>N/A (Not found)</v>
      </c>
      <c r="V7896" s="33">
        <f>IFERROR(__xludf.DUMMYFUNCTION("""COMPUTED_VALUE"""),1.0)</f>
        <v>1</v>
      </c>
      <c r="W7896" s="4" t="str">
        <f>IFERROR(__xludf.DUMMYFUNCTION("""COMPUTED_VALUE"""),"N/A (Not found)")</f>
        <v>N/A (Not found)</v>
      </c>
      <c r="X7896" s="33">
        <f>IFERROR(__xludf.DUMMYFUNCTION("""COMPUTED_VALUE"""),1.0)</f>
        <v>1</v>
      </c>
    </row>
    <row r="7897">
      <c r="K7897" s="4" t="str">
        <f>IFERROR(__xludf.DUMMYFUNCTION("""COMPUTED_VALUE"""),"SUPERMERCADO PEPE - CONTA PAI")</f>
        <v>SUPERMERCADO PEPE - CONTA PAI</v>
      </c>
      <c r="L7897" s="32">
        <f>IFERROR(__xludf.DUMMYFUNCTION("""COMPUTED_VALUE"""),2.0)</f>
        <v>2</v>
      </c>
      <c r="M7897" s="4" t="str">
        <f>IFERROR(__xludf.DUMMYFUNCTION("""COMPUTED_VALUE"""),"N/A (Not found)")</f>
        <v>N/A (Not found)</v>
      </c>
      <c r="N7897" s="33">
        <f>IFERROR(__xludf.DUMMYFUNCTION("""COMPUTED_VALUE"""),1.0)</f>
        <v>1</v>
      </c>
      <c r="O7897" s="4" t="str">
        <f>IFERROR(__xludf.DUMMYFUNCTION("""COMPUTED_VALUE"""),"N/A (Not found)")</f>
        <v>N/A (Not found)</v>
      </c>
      <c r="P7897" s="33">
        <f>IFERROR(__xludf.DUMMYFUNCTION("""COMPUTED_VALUE"""),1.0)</f>
        <v>1</v>
      </c>
      <c r="Q7897" s="4" t="str">
        <f>IFERROR(__xludf.DUMMYFUNCTION("""COMPUTED_VALUE"""),"N/A (Not found)")</f>
        <v>N/A (Not found)</v>
      </c>
      <c r="R7897" s="33">
        <f>IFERROR(__xludf.DUMMYFUNCTION("""COMPUTED_VALUE"""),1.0)</f>
        <v>1</v>
      </c>
      <c r="S7897" s="4" t="str">
        <f>IFERROR(__xludf.DUMMYFUNCTION("""COMPUTED_VALUE"""),"N/A (Not found)")</f>
        <v>N/A (Not found)</v>
      </c>
      <c r="T7897" s="33">
        <f>IFERROR(__xludf.DUMMYFUNCTION("""COMPUTED_VALUE"""),1.0)</f>
        <v>1</v>
      </c>
      <c r="U7897" s="4" t="str">
        <f>IFERROR(__xludf.DUMMYFUNCTION("""COMPUTED_VALUE"""),"N/A (Not found)")</f>
        <v>N/A (Not found)</v>
      </c>
      <c r="V7897" s="33">
        <f>IFERROR(__xludf.DUMMYFUNCTION("""COMPUTED_VALUE"""),1.0)</f>
        <v>1</v>
      </c>
      <c r="W7897" s="4" t="str">
        <f>IFERROR(__xludf.DUMMYFUNCTION("""COMPUTED_VALUE"""),"N/A (Not found)")</f>
        <v>N/A (Not found)</v>
      </c>
      <c r="X7897" s="33">
        <f>IFERROR(__xludf.DUMMYFUNCTION("""COMPUTED_VALUE"""),1.0)</f>
        <v>1</v>
      </c>
    </row>
    <row r="7898">
      <c r="K7898" s="4" t="str">
        <f>IFERROR(__xludf.DUMMYFUNCTION("""COMPUTED_VALUE"""),"SUPERMERCADO PORTUGAL - CONTA PAI")</f>
        <v>SUPERMERCADO PORTUGAL - CONTA PAI</v>
      </c>
      <c r="L7898" s="32">
        <f>IFERROR(__xludf.DUMMYFUNCTION("""COMPUTED_VALUE"""),2.0)</f>
        <v>2</v>
      </c>
      <c r="M7898" s="4" t="str">
        <f>IFERROR(__xludf.DUMMYFUNCTION("""COMPUTED_VALUE"""),"N/A (Not found)")</f>
        <v>N/A (Not found)</v>
      </c>
      <c r="N7898" s="33">
        <f>IFERROR(__xludf.DUMMYFUNCTION("""COMPUTED_VALUE"""),1.0)</f>
        <v>1</v>
      </c>
      <c r="O7898" s="4" t="str">
        <f>IFERROR(__xludf.DUMMYFUNCTION("""COMPUTED_VALUE"""),"N/A (Not found)")</f>
        <v>N/A (Not found)</v>
      </c>
      <c r="P7898" s="33">
        <f>IFERROR(__xludf.DUMMYFUNCTION("""COMPUTED_VALUE"""),1.0)</f>
        <v>1</v>
      </c>
      <c r="Q7898" s="4" t="str">
        <f>IFERROR(__xludf.DUMMYFUNCTION("""COMPUTED_VALUE"""),"null")</f>
        <v>null</v>
      </c>
      <c r="R7898" s="33">
        <f>IFERROR(__xludf.DUMMYFUNCTION("""COMPUTED_VALUE"""),0.5)</f>
        <v>0.5</v>
      </c>
      <c r="S7898" s="4" t="str">
        <f>IFERROR(__xludf.DUMMYFUNCTION("""COMPUTED_VALUE"""),"null")</f>
        <v>null</v>
      </c>
      <c r="T7898" s="33">
        <f>IFERROR(__xludf.DUMMYFUNCTION("""COMPUTED_VALUE"""),0.5)</f>
        <v>0.5</v>
      </c>
      <c r="U7898" s="4" t="str">
        <f>IFERROR(__xludf.DUMMYFUNCTION("""COMPUTED_VALUE"""),"null")</f>
        <v>null</v>
      </c>
      <c r="V7898" s="33">
        <f>IFERROR(__xludf.DUMMYFUNCTION("""COMPUTED_VALUE"""),0.5)</f>
        <v>0.5</v>
      </c>
      <c r="W7898" s="4" t="str">
        <f>IFERROR(__xludf.DUMMYFUNCTION("""COMPUTED_VALUE"""),"null")</f>
        <v>null</v>
      </c>
      <c r="X7898" s="33">
        <f>IFERROR(__xludf.DUMMYFUNCTION("""COMPUTED_VALUE"""),0.5)</f>
        <v>0.5</v>
      </c>
    </row>
    <row r="7899">
      <c r="K7899" s="4" t="str">
        <f>IFERROR(__xludf.DUMMYFUNCTION("""COMPUTED_VALUE"""),"SUPERMERCADO SANTO ANTONIO - CONTA PAI")</f>
        <v>SUPERMERCADO SANTO ANTONIO - CONTA PAI</v>
      </c>
      <c r="L7899" s="32">
        <f>IFERROR(__xludf.DUMMYFUNCTION("""COMPUTED_VALUE"""),2.0)</f>
        <v>2</v>
      </c>
      <c r="M7899" s="4" t="str">
        <f>IFERROR(__xludf.DUMMYFUNCTION("""COMPUTED_VALUE"""),"N/A (Not found)")</f>
        <v>N/A (Not found)</v>
      </c>
      <c r="N7899" s="33">
        <f>IFERROR(__xludf.DUMMYFUNCTION("""COMPUTED_VALUE"""),1.0)</f>
        <v>1</v>
      </c>
      <c r="O7899" s="4" t="str">
        <f>IFERROR(__xludf.DUMMYFUNCTION("""COMPUTED_VALUE"""),"N/A (Not found)")</f>
        <v>N/A (Not found)</v>
      </c>
      <c r="P7899" s="33">
        <f>IFERROR(__xludf.DUMMYFUNCTION("""COMPUTED_VALUE"""),1.0)</f>
        <v>1</v>
      </c>
      <c r="Q7899" s="4" t="str">
        <f>IFERROR(__xludf.DUMMYFUNCTION("""COMPUTED_VALUE"""),"N/A (Not found)")</f>
        <v>N/A (Not found)</v>
      </c>
      <c r="R7899" s="33">
        <f>IFERROR(__xludf.DUMMYFUNCTION("""COMPUTED_VALUE"""),1.0)</f>
        <v>1</v>
      </c>
      <c r="S7899" s="4" t="str">
        <f>IFERROR(__xludf.DUMMYFUNCTION("""COMPUTED_VALUE"""),"N/A (Not found)")</f>
        <v>N/A (Not found)</v>
      </c>
      <c r="T7899" s="33">
        <f>IFERROR(__xludf.DUMMYFUNCTION("""COMPUTED_VALUE"""),1.0)</f>
        <v>1</v>
      </c>
      <c r="U7899" s="4" t="str">
        <f>IFERROR(__xludf.DUMMYFUNCTION("""COMPUTED_VALUE"""),"N/A (Not found)")</f>
        <v>N/A (Not found)</v>
      </c>
      <c r="V7899" s="33">
        <f>IFERROR(__xludf.DUMMYFUNCTION("""COMPUTED_VALUE"""),1.0)</f>
        <v>1</v>
      </c>
      <c r="W7899" s="4" t="str">
        <f>IFERROR(__xludf.DUMMYFUNCTION("""COMPUTED_VALUE"""),"N/A (Not found)")</f>
        <v>N/A (Not found)</v>
      </c>
      <c r="X7899" s="33">
        <f>IFERROR(__xludf.DUMMYFUNCTION("""COMPUTED_VALUE"""),1.0)</f>
        <v>1</v>
      </c>
    </row>
    <row r="7900">
      <c r="K7900" s="4" t="str">
        <f>IFERROR(__xludf.DUMMYFUNCTION("""COMPUTED_VALUE"""),"SUPERMERCADOS DE ANGELINA - CONTA PAI")</f>
        <v>SUPERMERCADOS DE ANGELINA - CONTA PAI</v>
      </c>
      <c r="L7900" s="32">
        <f>IFERROR(__xludf.DUMMYFUNCTION("""COMPUTED_VALUE"""),2.0)</f>
        <v>2</v>
      </c>
      <c r="M7900" s="4" t="str">
        <f>IFERROR(__xludf.DUMMYFUNCTION("""COMPUTED_VALUE"""),"N/A (Not found)")</f>
        <v>N/A (Not found)</v>
      </c>
      <c r="N7900" s="33">
        <f>IFERROR(__xludf.DUMMYFUNCTION("""COMPUTED_VALUE"""),1.0)</f>
        <v>1</v>
      </c>
      <c r="O7900" s="4" t="str">
        <f>IFERROR(__xludf.DUMMYFUNCTION("""COMPUTED_VALUE"""),"N/A (Not found)")</f>
        <v>N/A (Not found)</v>
      </c>
      <c r="P7900" s="33">
        <f>IFERROR(__xludf.DUMMYFUNCTION("""COMPUTED_VALUE"""),1.0)</f>
        <v>1</v>
      </c>
      <c r="Q7900" s="4" t="str">
        <f>IFERROR(__xludf.DUMMYFUNCTION("""COMPUTED_VALUE"""),"N/A (Not found)")</f>
        <v>N/A (Not found)</v>
      </c>
      <c r="R7900" s="33">
        <f>IFERROR(__xludf.DUMMYFUNCTION("""COMPUTED_VALUE"""),1.0)</f>
        <v>1</v>
      </c>
      <c r="S7900" s="4" t="str">
        <f>IFERROR(__xludf.DUMMYFUNCTION("""COMPUTED_VALUE"""),"N/A (Not found)")</f>
        <v>N/A (Not found)</v>
      </c>
      <c r="T7900" s="33">
        <f>IFERROR(__xludf.DUMMYFUNCTION("""COMPUTED_VALUE"""),1.0)</f>
        <v>1</v>
      </c>
      <c r="U7900" s="4" t="str">
        <f>IFERROR(__xludf.DUMMYFUNCTION("""COMPUTED_VALUE"""),"N/A (Not found)")</f>
        <v>N/A (Not found)</v>
      </c>
      <c r="V7900" s="33">
        <f>IFERROR(__xludf.DUMMYFUNCTION("""COMPUTED_VALUE"""),1.0)</f>
        <v>1</v>
      </c>
      <c r="W7900" s="4" t="str">
        <f>IFERROR(__xludf.DUMMYFUNCTION("""COMPUTED_VALUE"""),"N/A (Not found)")</f>
        <v>N/A (Not found)</v>
      </c>
      <c r="X7900" s="33">
        <f>IFERROR(__xludf.DUMMYFUNCTION("""COMPUTED_VALUE"""),1.0)</f>
        <v>1</v>
      </c>
    </row>
    <row r="7901">
      <c r="K7901" s="4" t="str">
        <f>IFERROR(__xludf.DUMMYFUNCTION("""COMPUTED_VALUE"""),"GRUPO MUNDIAL MIX")</f>
        <v>GRUPO MUNDIAL MIX</v>
      </c>
      <c r="L7901" s="32">
        <f>IFERROR(__xludf.DUMMYFUNCTION("""COMPUTED_VALUE"""),2.0)</f>
        <v>2</v>
      </c>
      <c r="M7901" s="4" t="str">
        <f>IFERROR(__xludf.DUMMYFUNCTION("""COMPUTED_VALUE"""),"N/A (Not found)")</f>
        <v>N/A (Not found)</v>
      </c>
      <c r="N7901" s="33">
        <f>IFERROR(__xludf.DUMMYFUNCTION("""COMPUTED_VALUE"""),1.0)</f>
        <v>1</v>
      </c>
      <c r="O7901" s="4" t="str">
        <f>IFERROR(__xludf.DUMMYFUNCTION("""COMPUTED_VALUE"""),"N/A (Not found)")</f>
        <v>N/A (Not found)</v>
      </c>
      <c r="P7901" s="33">
        <f>IFERROR(__xludf.DUMMYFUNCTION("""COMPUTED_VALUE"""),1.0)</f>
        <v>1</v>
      </c>
      <c r="Q7901" s="4" t="str">
        <f>IFERROR(__xludf.DUMMYFUNCTION("""COMPUTED_VALUE"""),"N/A (Not found)")</f>
        <v>N/A (Not found)</v>
      </c>
      <c r="R7901" s="33">
        <f>IFERROR(__xludf.DUMMYFUNCTION("""COMPUTED_VALUE"""),1.0)</f>
        <v>1</v>
      </c>
      <c r="S7901" s="4" t="str">
        <f>IFERROR(__xludf.DUMMYFUNCTION("""COMPUTED_VALUE"""),"N/A (Not found)")</f>
        <v>N/A (Not found)</v>
      </c>
      <c r="T7901" s="33">
        <f>IFERROR(__xludf.DUMMYFUNCTION("""COMPUTED_VALUE"""),1.0)</f>
        <v>1</v>
      </c>
      <c r="U7901" s="4" t="str">
        <f>IFERROR(__xludf.DUMMYFUNCTION("""COMPUTED_VALUE"""),"N/A (Not found)")</f>
        <v>N/A (Not found)</v>
      </c>
      <c r="V7901" s="33">
        <f>IFERROR(__xludf.DUMMYFUNCTION("""COMPUTED_VALUE"""),1.0)</f>
        <v>1</v>
      </c>
      <c r="W7901" s="4" t="str">
        <f>IFERROR(__xludf.DUMMYFUNCTION("""COMPUTED_VALUE"""),"N/A (Not found)")</f>
        <v>N/A (Not found)</v>
      </c>
      <c r="X7901" s="33">
        <f>IFERROR(__xludf.DUMMYFUNCTION("""COMPUTED_VALUE"""),1.0)</f>
        <v>1</v>
      </c>
    </row>
    <row r="7902">
      <c r="K7902" s="4" t="str">
        <f>IFERROR(__xludf.DUMMYFUNCTION("""COMPUTED_VALUE"""),"SUPERMERCADOS NICOLINI - CONTA PAI")</f>
        <v>SUPERMERCADOS NICOLINI - CONTA PAI</v>
      </c>
      <c r="L7902" s="32">
        <f>IFERROR(__xludf.DUMMYFUNCTION("""COMPUTED_VALUE"""),2.0)</f>
        <v>2</v>
      </c>
      <c r="M7902" s="4" t="str">
        <f>IFERROR(__xludf.DUMMYFUNCTION("""COMPUTED_VALUE"""),"N/A (Not found)")</f>
        <v>N/A (Not found)</v>
      </c>
      <c r="N7902" s="33">
        <f>IFERROR(__xludf.DUMMYFUNCTION("""COMPUTED_VALUE"""),1.0)</f>
        <v>1</v>
      </c>
      <c r="O7902" s="4" t="str">
        <f>IFERROR(__xludf.DUMMYFUNCTION("""COMPUTED_VALUE"""),"N/A (Not found)")</f>
        <v>N/A (Not found)</v>
      </c>
      <c r="P7902" s="33">
        <f>IFERROR(__xludf.DUMMYFUNCTION("""COMPUTED_VALUE"""),1.0)</f>
        <v>1</v>
      </c>
      <c r="Q7902" s="4" t="str">
        <f>IFERROR(__xludf.DUMMYFUNCTION("""COMPUTED_VALUE"""),"N/A (Not found)")</f>
        <v>N/A (Not found)</v>
      </c>
      <c r="R7902" s="33">
        <f>IFERROR(__xludf.DUMMYFUNCTION("""COMPUTED_VALUE"""),1.0)</f>
        <v>1</v>
      </c>
      <c r="S7902" s="4" t="str">
        <f>IFERROR(__xludf.DUMMYFUNCTION("""COMPUTED_VALUE"""),"N/A (Not found)")</f>
        <v>N/A (Not found)</v>
      </c>
      <c r="T7902" s="33">
        <f>IFERROR(__xludf.DUMMYFUNCTION("""COMPUTED_VALUE"""),1.0)</f>
        <v>1</v>
      </c>
      <c r="U7902" s="4" t="str">
        <f>IFERROR(__xludf.DUMMYFUNCTION("""COMPUTED_VALUE"""),"N/A (Not found)")</f>
        <v>N/A (Not found)</v>
      </c>
      <c r="V7902" s="33">
        <f>IFERROR(__xludf.DUMMYFUNCTION("""COMPUTED_VALUE"""),1.0)</f>
        <v>1</v>
      </c>
      <c r="W7902" s="4" t="str">
        <f>IFERROR(__xludf.DUMMYFUNCTION("""COMPUTED_VALUE"""),"N/A (Not found)")</f>
        <v>N/A (Not found)</v>
      </c>
      <c r="X7902" s="33">
        <f>IFERROR(__xludf.DUMMYFUNCTION("""COMPUTED_VALUE"""),1.0)</f>
        <v>1</v>
      </c>
    </row>
    <row r="7903">
      <c r="K7903" s="4" t="str">
        <f>IFERROR(__xludf.DUMMYFUNCTION("""COMPUTED_VALUE"""),"SUPERMERCADOS PRECO IDEAL LTDA")</f>
        <v>SUPERMERCADOS PRECO IDEAL LTDA</v>
      </c>
      <c r="L7903" s="32">
        <f>IFERROR(__xludf.DUMMYFUNCTION("""COMPUTED_VALUE"""),2.0)</f>
        <v>2</v>
      </c>
      <c r="M7903" s="4" t="str">
        <f>IFERROR(__xludf.DUMMYFUNCTION("""COMPUTED_VALUE"""),"N/A (Not found)")</f>
        <v>N/A (Not found)</v>
      </c>
      <c r="N7903" s="33">
        <f>IFERROR(__xludf.DUMMYFUNCTION("""COMPUTED_VALUE"""),1.0)</f>
        <v>1</v>
      </c>
      <c r="O7903" s="4" t="str">
        <f>IFERROR(__xludf.DUMMYFUNCTION("""COMPUTED_VALUE"""),"N/A (Not found)")</f>
        <v>N/A (Not found)</v>
      </c>
      <c r="P7903" s="33">
        <f>IFERROR(__xludf.DUMMYFUNCTION("""COMPUTED_VALUE"""),0.5)</f>
        <v>0.5</v>
      </c>
      <c r="Q7903" s="4" t="str">
        <f>IFERROR(__xludf.DUMMYFUNCTION("""COMPUTED_VALUE"""),"N/A (Not found)")</f>
        <v>N/A (Not found)</v>
      </c>
      <c r="R7903" s="33">
        <f>IFERROR(__xludf.DUMMYFUNCTION("""COMPUTED_VALUE"""),0.5)</f>
        <v>0.5</v>
      </c>
      <c r="S7903" s="4" t="str">
        <f>IFERROR(__xludf.DUMMYFUNCTION("""COMPUTED_VALUE"""),"N/A (Not found)")</f>
        <v>N/A (Not found)</v>
      </c>
      <c r="T7903" s="33">
        <f>IFERROR(__xludf.DUMMYFUNCTION("""COMPUTED_VALUE"""),0.5)</f>
        <v>0.5</v>
      </c>
      <c r="U7903" s="4" t="str">
        <f>IFERROR(__xludf.DUMMYFUNCTION("""COMPUTED_VALUE"""),"N/A (Not found)")</f>
        <v>N/A (Not found)</v>
      </c>
      <c r="V7903" s="33">
        <f>IFERROR(__xludf.DUMMYFUNCTION("""COMPUTED_VALUE"""),0.5)</f>
        <v>0.5</v>
      </c>
      <c r="W7903" s="4" t="str">
        <f>IFERROR(__xludf.DUMMYFUNCTION("""COMPUTED_VALUE"""),"N/A (Not found)")</f>
        <v>N/A (Not found)</v>
      </c>
      <c r="X7903" s="33">
        <f>IFERROR(__xludf.DUMMYFUNCTION("""COMPUTED_VALUE"""),0.5)</f>
        <v>0.5</v>
      </c>
    </row>
    <row r="7904">
      <c r="K7904" s="4" t="str">
        <f>IFERROR(__xludf.DUMMYFUNCTION("""COMPUTED_VALUE"""),"SUPERMERCADOS UNIDOS - CONTA PAI")</f>
        <v>SUPERMERCADOS UNIDOS - CONTA PAI</v>
      </c>
      <c r="L7904" s="32">
        <f>IFERROR(__xludf.DUMMYFUNCTION("""COMPUTED_VALUE"""),2.0)</f>
        <v>2</v>
      </c>
      <c r="M7904" s="4" t="str">
        <f>IFERROR(__xludf.DUMMYFUNCTION("""COMPUTED_VALUE"""),"N/A (Not found)")</f>
        <v>N/A (Not found)</v>
      </c>
      <c r="N7904" s="33">
        <f>IFERROR(__xludf.DUMMYFUNCTION("""COMPUTED_VALUE"""),1.0)</f>
        <v>1</v>
      </c>
      <c r="O7904" s="4" t="str">
        <f>IFERROR(__xludf.DUMMYFUNCTION("""COMPUTED_VALUE"""),"N/A (Not found)")</f>
        <v>N/A (Not found)</v>
      </c>
      <c r="P7904" s="33">
        <f>IFERROR(__xludf.DUMMYFUNCTION("""COMPUTED_VALUE"""),1.0)</f>
        <v>1</v>
      </c>
      <c r="Q7904" s="4" t="str">
        <f>IFERROR(__xludf.DUMMYFUNCTION("""COMPUTED_VALUE"""),"N/A (Not found)")</f>
        <v>N/A (Not found)</v>
      </c>
      <c r="R7904" s="33">
        <f>IFERROR(__xludf.DUMMYFUNCTION("""COMPUTED_VALUE"""),1.0)</f>
        <v>1</v>
      </c>
      <c r="S7904" s="4" t="str">
        <f>IFERROR(__xludf.DUMMYFUNCTION("""COMPUTED_VALUE"""),"N/A (Not found)")</f>
        <v>N/A (Not found)</v>
      </c>
      <c r="T7904" s="33">
        <f>IFERROR(__xludf.DUMMYFUNCTION("""COMPUTED_VALUE"""),1.0)</f>
        <v>1</v>
      </c>
      <c r="U7904" s="4" t="str">
        <f>IFERROR(__xludf.DUMMYFUNCTION("""COMPUTED_VALUE"""),"N/A (Not found)")</f>
        <v>N/A (Not found)</v>
      </c>
      <c r="V7904" s="33">
        <f>IFERROR(__xludf.DUMMYFUNCTION("""COMPUTED_VALUE"""),1.0)</f>
        <v>1</v>
      </c>
      <c r="W7904" s="4" t="str">
        <f>IFERROR(__xludf.DUMMYFUNCTION("""COMPUTED_VALUE"""),"N/A (Not found)")</f>
        <v>N/A (Not found)</v>
      </c>
      <c r="X7904" s="33">
        <f>IFERROR(__xludf.DUMMYFUNCTION("""COMPUTED_VALUE"""),0.5)</f>
        <v>0.5</v>
      </c>
    </row>
    <row r="7905">
      <c r="K7905" s="4" t="str">
        <f>IFERROR(__xludf.DUMMYFUNCTION("""COMPUTED_VALUE"""),"SUPRE SALGADOS")</f>
        <v>SUPRE SALGADOS</v>
      </c>
      <c r="L7905" s="32">
        <f>IFERROR(__xludf.DUMMYFUNCTION("""COMPUTED_VALUE"""),2.0)</f>
        <v>2</v>
      </c>
      <c r="M7905" s="4" t="str">
        <f>IFERROR(__xludf.DUMMYFUNCTION("""COMPUTED_VALUE"""),"Teknisa Service Ltda")</f>
        <v>Teknisa Service Ltda</v>
      </c>
      <c r="N7905" s="33">
        <f>IFERROR(__xludf.DUMMYFUNCTION("""COMPUTED_VALUE"""),1.0)</f>
        <v>1</v>
      </c>
      <c r="O7905" s="4" t="str">
        <f>IFERROR(__xludf.DUMMYFUNCTION("""COMPUTED_VALUE"""),"Teknisa Service Ltda")</f>
        <v>Teknisa Service Ltda</v>
      </c>
      <c r="P7905" s="33">
        <f>IFERROR(__xludf.DUMMYFUNCTION("""COMPUTED_VALUE"""),1.0)</f>
        <v>1</v>
      </c>
      <c r="Q7905" s="4" t="str">
        <f>IFERROR(__xludf.DUMMYFUNCTION("""COMPUTED_VALUE"""),"Teknisa Service Ltda")</f>
        <v>Teknisa Service Ltda</v>
      </c>
      <c r="R7905" s="33">
        <f>IFERROR(__xludf.DUMMYFUNCTION("""COMPUTED_VALUE"""),1.0)</f>
        <v>1</v>
      </c>
      <c r="S7905" s="4" t="str">
        <f>IFERROR(__xludf.DUMMYFUNCTION("""COMPUTED_VALUE"""),"Teknisa Service Ltda")</f>
        <v>Teknisa Service Ltda</v>
      </c>
      <c r="T7905" s="33">
        <f>IFERROR(__xludf.DUMMYFUNCTION("""COMPUTED_VALUE"""),1.0)</f>
        <v>1</v>
      </c>
      <c r="U7905" s="4" t="str">
        <f>IFERROR(__xludf.DUMMYFUNCTION("""COMPUTED_VALUE"""),"Teknisa Service Ltda")</f>
        <v>Teknisa Service Ltda</v>
      </c>
      <c r="V7905" s="33">
        <f>IFERROR(__xludf.DUMMYFUNCTION("""COMPUTED_VALUE"""),1.0)</f>
        <v>1</v>
      </c>
      <c r="W7905" s="4" t="str">
        <f>IFERROR(__xludf.DUMMYFUNCTION("""COMPUTED_VALUE"""),"Teknisa Service Ltda")</f>
        <v>Teknisa Service Ltda</v>
      </c>
      <c r="X7905" s="33">
        <f>IFERROR(__xludf.DUMMYFUNCTION("""COMPUTED_VALUE"""),1.0)</f>
        <v>1</v>
      </c>
    </row>
    <row r="7906">
      <c r="K7906" s="4" t="str">
        <f>IFERROR(__xludf.DUMMYFUNCTION("""COMPUTED_VALUE"""),"SUPREMA PIZZA - PRAIA GRANDE")</f>
        <v>SUPREMA PIZZA - PRAIA GRANDE</v>
      </c>
      <c r="L7906" s="32">
        <f>IFERROR(__xludf.DUMMYFUNCTION("""COMPUTED_VALUE"""),2.0)</f>
        <v>2</v>
      </c>
      <c r="M7906" s="4" t="str">
        <f>IFERROR(__xludf.DUMMYFUNCTION("""COMPUTED_VALUE"""),"Saipos Serviços De Software")</f>
        <v>Saipos Serviços De Software</v>
      </c>
      <c r="N7906" s="33">
        <f>IFERROR(__xludf.DUMMYFUNCTION("""COMPUTED_VALUE"""),1.0)</f>
        <v>1</v>
      </c>
      <c r="O7906" s="4" t="str">
        <f>IFERROR(__xludf.DUMMYFUNCTION("""COMPUTED_VALUE"""),"Saipos Serviços De Software")</f>
        <v>Saipos Serviços De Software</v>
      </c>
      <c r="P7906" s="33">
        <f>IFERROR(__xludf.DUMMYFUNCTION("""COMPUTED_VALUE"""),1.0)</f>
        <v>1</v>
      </c>
      <c r="Q7906" s="4" t="str">
        <f>IFERROR(__xludf.DUMMYFUNCTION("""COMPUTED_VALUE"""),"Saipos Serviços De Software")</f>
        <v>Saipos Serviços De Software</v>
      </c>
      <c r="R7906" s="33">
        <f>IFERROR(__xludf.DUMMYFUNCTION("""COMPUTED_VALUE"""),1.0)</f>
        <v>1</v>
      </c>
      <c r="S7906" s="4" t="str">
        <f>IFERROR(__xludf.DUMMYFUNCTION("""COMPUTED_VALUE"""),"Saipos Serviços De Software")</f>
        <v>Saipos Serviços De Software</v>
      </c>
      <c r="T7906" s="33">
        <f>IFERROR(__xludf.DUMMYFUNCTION("""COMPUTED_VALUE"""),1.0)</f>
        <v>1</v>
      </c>
      <c r="U7906" s="4" t="str">
        <f>IFERROR(__xludf.DUMMYFUNCTION("""COMPUTED_VALUE"""),"Saipos Serviços De Software")</f>
        <v>Saipos Serviços De Software</v>
      </c>
      <c r="V7906" s="33">
        <f>IFERROR(__xludf.DUMMYFUNCTION("""COMPUTED_VALUE"""),1.0)</f>
        <v>1</v>
      </c>
      <c r="W7906" s="4" t="str">
        <f>IFERROR(__xludf.DUMMYFUNCTION("""COMPUTED_VALUE"""),"Saipos Serviços De Software")</f>
        <v>Saipos Serviços De Software</v>
      </c>
      <c r="X7906" s="33">
        <f>IFERROR(__xludf.DUMMYFUNCTION("""COMPUTED_VALUE"""),1.0)</f>
        <v>1</v>
      </c>
    </row>
    <row r="7907">
      <c r="K7907" s="4" t="str">
        <f>IFERROR(__xludf.DUMMYFUNCTION("""COMPUTED_VALUE"""),"SUSHI BARRA")</f>
        <v>SUSHI BARRA</v>
      </c>
      <c r="L7907" s="32">
        <f>IFERROR(__xludf.DUMMYFUNCTION("""COMPUTED_VALUE"""),2.0)</f>
        <v>2</v>
      </c>
      <c r="M7907" s="4" t="str">
        <f>IFERROR(__xludf.DUMMYFUNCTION("""COMPUTED_VALUE"""),"null")</f>
        <v>null</v>
      </c>
      <c r="N7907" s="33">
        <f>IFERROR(__xludf.DUMMYFUNCTION("""COMPUTED_VALUE"""),0.5)</f>
        <v>0.5</v>
      </c>
      <c r="O7907" s="4" t="str">
        <f>IFERROR(__xludf.DUMMYFUNCTION("""COMPUTED_VALUE"""),"null")</f>
        <v>null</v>
      </c>
      <c r="P7907" s="33">
        <f>IFERROR(__xludf.DUMMYFUNCTION("""COMPUTED_VALUE"""),0.5)</f>
        <v>0.5</v>
      </c>
      <c r="Q7907" s="4" t="str">
        <f>IFERROR(__xludf.DUMMYFUNCTION("""COMPUTED_VALUE"""),"null")</f>
        <v>null</v>
      </c>
      <c r="R7907" s="33">
        <f>IFERROR(__xludf.DUMMYFUNCTION("""COMPUTED_VALUE"""),0.5)</f>
        <v>0.5</v>
      </c>
      <c r="S7907" s="4" t="str">
        <f>IFERROR(__xludf.DUMMYFUNCTION("""COMPUTED_VALUE"""),"null")</f>
        <v>null</v>
      </c>
      <c r="T7907" s="33">
        <f>IFERROR(__xludf.DUMMYFUNCTION("""COMPUTED_VALUE"""),0.5)</f>
        <v>0.5</v>
      </c>
      <c r="U7907" s="4" t="str">
        <f>IFERROR(__xludf.DUMMYFUNCTION("""COMPUTED_VALUE"""),"Consumer Soluções Em Tecnologia Ltda")</f>
        <v>Consumer Soluções Em Tecnologia Ltda</v>
      </c>
      <c r="V7907" s="33">
        <f>IFERROR(__xludf.DUMMYFUNCTION("""COMPUTED_VALUE"""),1.0)</f>
        <v>1</v>
      </c>
      <c r="W7907" s="4" t="str">
        <f>IFERROR(__xludf.DUMMYFUNCTION("""COMPUTED_VALUE"""),"Consumer Soluções Em Tecnologia Ltda")</f>
        <v>Consumer Soluções Em Tecnologia Ltda</v>
      </c>
      <c r="X7907" s="33">
        <f>IFERROR(__xludf.DUMMYFUNCTION("""COMPUTED_VALUE"""),1.0)</f>
        <v>1</v>
      </c>
    </row>
    <row r="7908">
      <c r="K7908" s="4" t="str">
        <f>IFERROR(__xludf.DUMMYFUNCTION("""COMPUTED_VALUE"""),"SUSHI BOOM CONTA PAI")</f>
        <v>SUSHI BOOM CONTA PAI</v>
      </c>
      <c r="L7908" s="32">
        <f>IFERROR(__xludf.DUMMYFUNCTION("""COMPUTED_VALUE"""),2.0)</f>
        <v>2</v>
      </c>
      <c r="M7908" s="4" t="str">
        <f>IFERROR(__xludf.DUMMYFUNCTION("""COMPUTED_VALUE"""),"null")</f>
        <v>null</v>
      </c>
      <c r="N7908" s="33">
        <f>IFERROR(__xludf.DUMMYFUNCTION("""COMPUTED_VALUE"""),1.0)</f>
        <v>1</v>
      </c>
      <c r="O7908" s="4" t="str">
        <f>IFERROR(__xludf.DUMMYFUNCTION("""COMPUTED_VALUE"""),"null")</f>
        <v>null</v>
      </c>
      <c r="P7908" s="33">
        <f>IFERROR(__xludf.DUMMYFUNCTION("""COMPUTED_VALUE"""),1.0)</f>
        <v>1</v>
      </c>
      <c r="Q7908" s="4" t="str">
        <f>IFERROR(__xludf.DUMMYFUNCTION("""COMPUTED_VALUE"""),"null")</f>
        <v>null</v>
      </c>
      <c r="R7908" s="33">
        <f>IFERROR(__xludf.DUMMYFUNCTION("""COMPUTED_VALUE"""),1.0)</f>
        <v>1</v>
      </c>
      <c r="S7908" s="4" t="str">
        <f>IFERROR(__xludf.DUMMYFUNCTION("""COMPUTED_VALUE"""),"null")</f>
        <v>null</v>
      </c>
      <c r="T7908" s="33">
        <f>IFERROR(__xludf.DUMMYFUNCTION("""COMPUTED_VALUE"""),1.0)</f>
        <v>1</v>
      </c>
      <c r="U7908" s="4" t="str">
        <f>IFERROR(__xludf.DUMMYFUNCTION("""COMPUTED_VALUE"""),"Saipos Serviços De Software")</f>
        <v>Saipos Serviços De Software</v>
      </c>
      <c r="V7908" s="33">
        <f>IFERROR(__xludf.DUMMYFUNCTION("""COMPUTED_VALUE"""),1.0)</f>
        <v>1</v>
      </c>
      <c r="W7908" s="4" t="str">
        <f>IFERROR(__xludf.DUMMYFUNCTION("""COMPUTED_VALUE"""),"Saipos Serviços De Software")</f>
        <v>Saipos Serviços De Software</v>
      </c>
      <c r="X7908" s="33">
        <f>IFERROR(__xludf.DUMMYFUNCTION("""COMPUTED_VALUE"""),1.0)</f>
        <v>1</v>
      </c>
    </row>
    <row r="7909">
      <c r="K7909" s="4" t="str">
        <f>IFERROR(__xludf.DUMMYFUNCTION("""COMPUTED_VALUE"""),"SUSHI BOX NATAL")</f>
        <v>SUSHI BOX NATAL</v>
      </c>
      <c r="L7909" s="32">
        <f>IFERROR(__xludf.DUMMYFUNCTION("""COMPUTED_VALUE"""),2.0)</f>
        <v>2</v>
      </c>
      <c r="M7909" s="4" t="str">
        <f>IFERROR(__xludf.DUMMYFUNCTION("""COMPUTED_VALUE"""),"null")</f>
        <v>null</v>
      </c>
      <c r="N7909" s="33">
        <f>IFERROR(__xludf.DUMMYFUNCTION("""COMPUTED_VALUE"""),1.0)</f>
        <v>1</v>
      </c>
      <c r="O7909" s="4" t="str">
        <f>IFERROR(__xludf.DUMMYFUNCTION("""COMPUTED_VALUE"""),"null")</f>
        <v>null</v>
      </c>
      <c r="P7909" s="33">
        <f>IFERROR(__xludf.DUMMYFUNCTION("""COMPUTED_VALUE"""),1.0)</f>
        <v>1</v>
      </c>
      <c r="Q7909" s="4" t="str">
        <f>IFERROR(__xludf.DUMMYFUNCTION("""COMPUTED_VALUE"""),"Saipos Serviços De Software")</f>
        <v>Saipos Serviços De Software</v>
      </c>
      <c r="R7909" s="33">
        <f>IFERROR(__xludf.DUMMYFUNCTION("""COMPUTED_VALUE"""),0.5)</f>
        <v>0.5</v>
      </c>
      <c r="S7909" s="4" t="str">
        <f>IFERROR(__xludf.DUMMYFUNCTION("""COMPUTED_VALUE"""),"Saipos Serviços De Software")</f>
        <v>Saipos Serviços De Software</v>
      </c>
      <c r="T7909" s="33">
        <f>IFERROR(__xludf.DUMMYFUNCTION("""COMPUTED_VALUE"""),1.0)</f>
        <v>1</v>
      </c>
      <c r="U7909" s="4" t="str">
        <f>IFERROR(__xludf.DUMMYFUNCTION("""COMPUTED_VALUE"""),"Saipos Serviços De Software")</f>
        <v>Saipos Serviços De Software</v>
      </c>
      <c r="V7909" s="33">
        <f>IFERROR(__xludf.DUMMYFUNCTION("""COMPUTED_VALUE"""),1.0)</f>
        <v>1</v>
      </c>
      <c r="W7909" s="4" t="str">
        <f>IFERROR(__xludf.DUMMYFUNCTION("""COMPUTED_VALUE"""),"Saipos Serviços De Software")</f>
        <v>Saipos Serviços De Software</v>
      </c>
      <c r="X7909" s="33">
        <f>IFERROR(__xludf.DUMMYFUNCTION("""COMPUTED_VALUE"""),1.0)</f>
        <v>1</v>
      </c>
    </row>
    <row r="7910">
      <c r="K7910" s="4" t="str">
        <f>IFERROR(__xludf.DUMMYFUNCTION("""COMPUTED_VALUE"""),"SUSHI CENTRAL - CP")</f>
        <v>SUSHI CENTRAL - CP</v>
      </c>
      <c r="L7910" s="32">
        <f>IFERROR(__xludf.DUMMYFUNCTION("""COMPUTED_VALUE"""),2.0)</f>
        <v>2</v>
      </c>
      <c r="M7910" s="4" t="str">
        <f>IFERROR(__xludf.DUMMYFUNCTION("""COMPUTED_VALUE"""),"Netcontroll Xmenu")</f>
        <v>Netcontroll Xmenu</v>
      </c>
      <c r="N7910" s="33">
        <f>IFERROR(__xludf.DUMMYFUNCTION("""COMPUTED_VALUE"""),0.5)</f>
        <v>0.5</v>
      </c>
      <c r="O7910" s="4" t="str">
        <f>IFERROR(__xludf.DUMMYFUNCTION("""COMPUTED_VALUE"""),"Netcontroll Xmenu")</f>
        <v>Netcontroll Xmenu</v>
      </c>
      <c r="P7910" s="33">
        <f>IFERROR(__xludf.DUMMYFUNCTION("""COMPUTED_VALUE"""),0.5)</f>
        <v>0.5</v>
      </c>
      <c r="Q7910" s="4" t="str">
        <f>IFERROR(__xludf.DUMMYFUNCTION("""COMPUTED_VALUE"""),"Netcontroll Xmenu")</f>
        <v>Netcontroll Xmenu</v>
      </c>
      <c r="R7910" s="33">
        <f>IFERROR(__xludf.DUMMYFUNCTION("""COMPUTED_VALUE"""),1.0)</f>
        <v>1</v>
      </c>
      <c r="S7910" s="4" t="str">
        <f>IFERROR(__xludf.DUMMYFUNCTION("""COMPUTED_VALUE"""),"Netcontroll Xmenu")</f>
        <v>Netcontroll Xmenu</v>
      </c>
      <c r="T7910" s="33">
        <f>IFERROR(__xludf.DUMMYFUNCTION("""COMPUTED_VALUE"""),1.0)</f>
        <v>1</v>
      </c>
      <c r="U7910" s="4" t="str">
        <f>IFERROR(__xludf.DUMMYFUNCTION("""COMPUTED_VALUE"""),"Netcontroll Xmenu")</f>
        <v>Netcontroll Xmenu</v>
      </c>
      <c r="V7910" s="33">
        <f>IFERROR(__xludf.DUMMYFUNCTION("""COMPUTED_VALUE"""),1.0)</f>
        <v>1</v>
      </c>
      <c r="W7910" s="4" t="str">
        <f>IFERROR(__xludf.DUMMYFUNCTION("""COMPUTED_VALUE"""),"Netcontroll Xmenu")</f>
        <v>Netcontroll Xmenu</v>
      </c>
      <c r="X7910" s="33">
        <f>IFERROR(__xludf.DUMMYFUNCTION("""COMPUTED_VALUE"""),1.0)</f>
        <v>1</v>
      </c>
    </row>
    <row r="7911">
      <c r="K7911" s="4" t="str">
        <f>IFERROR(__xludf.DUMMYFUNCTION("""COMPUTED_VALUE"""),"SUSHI LEBLON")</f>
        <v>SUSHI LEBLON</v>
      </c>
      <c r="L7911" s="32">
        <f>IFERROR(__xludf.DUMMYFUNCTION("""COMPUTED_VALUE"""),2.0)</f>
        <v>2</v>
      </c>
      <c r="M7911" s="4" t="str">
        <f>IFERROR(__xludf.DUMMYFUNCTION("""COMPUTED_VALUE"""),"Totvs Large Enterprise Tecnologia S.a.")</f>
        <v>Totvs Large Enterprise Tecnologia S.a.</v>
      </c>
      <c r="N7911" s="33">
        <f>IFERROR(__xludf.DUMMYFUNCTION("""COMPUTED_VALUE"""),1.0)</f>
        <v>1</v>
      </c>
      <c r="O7911" s="4" t="str">
        <f>IFERROR(__xludf.DUMMYFUNCTION("""COMPUTED_VALUE"""),"null")</f>
        <v>null</v>
      </c>
      <c r="P7911" s="33">
        <f>IFERROR(__xludf.DUMMYFUNCTION("""COMPUTED_VALUE"""),0.5)</f>
        <v>0.5</v>
      </c>
      <c r="Q7911" s="4" t="str">
        <f>IFERROR(__xludf.DUMMYFUNCTION("""COMPUTED_VALUE"""),"Totvs Large Enterprise Tecnologia S.a.")</f>
        <v>Totvs Large Enterprise Tecnologia S.a.</v>
      </c>
      <c r="R7911" s="33">
        <f>IFERROR(__xludf.DUMMYFUNCTION("""COMPUTED_VALUE"""),1.0)</f>
        <v>1</v>
      </c>
      <c r="S7911" s="4" t="str">
        <f>IFERROR(__xludf.DUMMYFUNCTION("""COMPUTED_VALUE"""),"Totvs Large Enterprise Tecnologia S.a.")</f>
        <v>Totvs Large Enterprise Tecnologia S.a.</v>
      </c>
      <c r="T7911" s="33">
        <f>IFERROR(__xludf.DUMMYFUNCTION("""COMPUTED_VALUE"""),1.0)</f>
        <v>1</v>
      </c>
      <c r="U7911" s="4" t="str">
        <f>IFERROR(__xludf.DUMMYFUNCTION("""COMPUTED_VALUE"""),"Totvs Large Enterprise Tecnologia S.a.")</f>
        <v>Totvs Large Enterprise Tecnologia S.a.</v>
      </c>
      <c r="V7911" s="33">
        <f>IFERROR(__xludf.DUMMYFUNCTION("""COMPUTED_VALUE"""),1.0)</f>
        <v>1</v>
      </c>
      <c r="W7911" s="4" t="str">
        <f>IFERROR(__xludf.DUMMYFUNCTION("""COMPUTED_VALUE"""),"Totvs Large Enterprise Tecnologia S.a.")</f>
        <v>Totvs Large Enterprise Tecnologia S.a.</v>
      </c>
      <c r="X7911" s="33">
        <f>IFERROR(__xludf.DUMMYFUNCTION("""COMPUTED_VALUE"""),1.0)</f>
        <v>1</v>
      </c>
    </row>
    <row r="7912">
      <c r="K7912" s="4" t="str">
        <f>IFERROR(__xludf.DUMMYFUNCTION("""COMPUTED_VALUE"""),"SUSHI MINEIRO - CONTA PAI")</f>
        <v>SUSHI MINEIRO - CONTA PAI</v>
      </c>
      <c r="L7912" s="32">
        <f>IFERROR(__xludf.DUMMYFUNCTION("""COMPUTED_VALUE"""),2.0)</f>
        <v>2</v>
      </c>
      <c r="M7912" s="4" t="str">
        <f>IFERROR(__xludf.DUMMYFUNCTION("""COMPUTED_VALUE"""),"Insert Code Informatica Ltda")</f>
        <v>Insert Code Informatica Ltda</v>
      </c>
      <c r="N7912" s="33">
        <f>IFERROR(__xludf.DUMMYFUNCTION("""COMPUTED_VALUE"""),1.0)</f>
        <v>1</v>
      </c>
      <c r="O7912" s="4" t="str">
        <f>IFERROR(__xludf.DUMMYFUNCTION("""COMPUTED_VALUE"""),"Insert Code Informatica Ltda")</f>
        <v>Insert Code Informatica Ltda</v>
      </c>
      <c r="P7912" s="33">
        <f>IFERROR(__xludf.DUMMYFUNCTION("""COMPUTED_VALUE"""),1.0)</f>
        <v>1</v>
      </c>
      <c r="Q7912" s="4" t="str">
        <f>IFERROR(__xludf.DUMMYFUNCTION("""COMPUTED_VALUE"""),"Insert Code Informatica Ltda")</f>
        <v>Insert Code Informatica Ltda</v>
      </c>
      <c r="R7912" s="33">
        <f>IFERROR(__xludf.DUMMYFUNCTION("""COMPUTED_VALUE"""),1.0)</f>
        <v>1</v>
      </c>
      <c r="S7912" s="4" t="str">
        <f>IFERROR(__xludf.DUMMYFUNCTION("""COMPUTED_VALUE"""),"Insert Code Informatica Ltda")</f>
        <v>Insert Code Informatica Ltda</v>
      </c>
      <c r="T7912" s="33">
        <f>IFERROR(__xludf.DUMMYFUNCTION("""COMPUTED_VALUE"""),1.0)</f>
        <v>1</v>
      </c>
      <c r="U7912" s="4" t="str">
        <f>IFERROR(__xludf.DUMMYFUNCTION("""COMPUTED_VALUE"""),"Insert Code Informatica Ltda")</f>
        <v>Insert Code Informatica Ltda</v>
      </c>
      <c r="V7912" s="33">
        <f>IFERROR(__xludf.DUMMYFUNCTION("""COMPUTED_VALUE"""),1.0)</f>
        <v>1</v>
      </c>
      <c r="W7912" s="4" t="str">
        <f>IFERROR(__xludf.DUMMYFUNCTION("""COMPUTED_VALUE"""),"Insert Code Informatica Ltda")</f>
        <v>Insert Code Informatica Ltda</v>
      </c>
      <c r="X7912" s="33">
        <f>IFERROR(__xludf.DUMMYFUNCTION("""COMPUTED_VALUE"""),1.0)</f>
        <v>1</v>
      </c>
    </row>
    <row r="7913">
      <c r="K7913" s="4" t="str">
        <f>IFERROR(__xludf.DUMMYFUNCTION("""COMPUTED_VALUE"""),"SUSHI MY BOX - CONTA PAI")</f>
        <v>SUSHI MY BOX - CONTA PAI</v>
      </c>
      <c r="L7913" s="32">
        <f>IFERROR(__xludf.DUMMYFUNCTION("""COMPUTED_VALUE"""),2.0)</f>
        <v>2</v>
      </c>
      <c r="M7913" s="4" t="str">
        <f>IFERROR(__xludf.DUMMYFUNCTION("""COMPUTED_VALUE"""),"Cardápio Web")</f>
        <v>Cardápio Web</v>
      </c>
      <c r="N7913" s="33">
        <f>IFERROR(__xludf.DUMMYFUNCTION("""COMPUTED_VALUE"""),1.0)</f>
        <v>1</v>
      </c>
      <c r="O7913" s="4" t="str">
        <f>IFERROR(__xludf.DUMMYFUNCTION("""COMPUTED_VALUE"""),"Cardápio Web")</f>
        <v>Cardápio Web</v>
      </c>
      <c r="P7913" s="33">
        <f>IFERROR(__xludf.DUMMYFUNCTION("""COMPUTED_VALUE"""),1.0)</f>
        <v>1</v>
      </c>
      <c r="Q7913" s="4" t="str">
        <f>IFERROR(__xludf.DUMMYFUNCTION("""COMPUTED_VALUE"""),"Cardápio Web")</f>
        <v>Cardápio Web</v>
      </c>
      <c r="R7913" s="33">
        <f>IFERROR(__xludf.DUMMYFUNCTION("""COMPUTED_VALUE"""),1.0)</f>
        <v>1</v>
      </c>
      <c r="S7913" s="4" t="str">
        <f>IFERROR(__xludf.DUMMYFUNCTION("""COMPUTED_VALUE"""),"Cardápio Web")</f>
        <v>Cardápio Web</v>
      </c>
      <c r="T7913" s="33">
        <f>IFERROR(__xludf.DUMMYFUNCTION("""COMPUTED_VALUE"""),1.0)</f>
        <v>1</v>
      </c>
      <c r="U7913" s="4" t="str">
        <f>IFERROR(__xludf.DUMMYFUNCTION("""COMPUTED_VALUE"""),"Cardápio Web")</f>
        <v>Cardápio Web</v>
      </c>
      <c r="V7913" s="33">
        <f>IFERROR(__xludf.DUMMYFUNCTION("""COMPUTED_VALUE"""),1.0)</f>
        <v>1</v>
      </c>
      <c r="W7913" s="4" t="str">
        <f>IFERROR(__xludf.DUMMYFUNCTION("""COMPUTED_VALUE"""),"Cardápio Web")</f>
        <v>Cardápio Web</v>
      </c>
      <c r="X7913" s="33">
        <f>IFERROR(__xludf.DUMMYFUNCTION("""COMPUTED_VALUE"""),1.0)</f>
        <v>1</v>
      </c>
    </row>
    <row r="7914">
      <c r="K7914" s="4" t="str">
        <f>IFERROR(__xludf.DUMMYFUNCTION("""COMPUTED_VALUE"""),"SUSHI NOUVEAU")</f>
        <v>SUSHI NOUVEAU</v>
      </c>
      <c r="L7914" s="32">
        <f>IFERROR(__xludf.DUMMYFUNCTION("""COMPUTED_VALUE"""),2.0)</f>
        <v>2</v>
      </c>
      <c r="M7914" s="4" t="str">
        <f>IFERROR(__xludf.DUMMYFUNCTION("""COMPUTED_VALUE"""),"Ncr")</f>
        <v>Ncr</v>
      </c>
      <c r="N7914" s="33">
        <f>IFERROR(__xludf.DUMMYFUNCTION("""COMPUTED_VALUE"""),1.0)</f>
        <v>1</v>
      </c>
      <c r="O7914" s="4" t="str">
        <f>IFERROR(__xludf.DUMMYFUNCTION("""COMPUTED_VALUE"""),"Ncr")</f>
        <v>Ncr</v>
      </c>
      <c r="P7914" s="33">
        <f>IFERROR(__xludf.DUMMYFUNCTION("""COMPUTED_VALUE"""),1.0)</f>
        <v>1</v>
      </c>
      <c r="Q7914" s="4" t="str">
        <f>IFERROR(__xludf.DUMMYFUNCTION("""COMPUTED_VALUE"""),"Ncr")</f>
        <v>Ncr</v>
      </c>
      <c r="R7914" s="33">
        <f>IFERROR(__xludf.DUMMYFUNCTION("""COMPUTED_VALUE"""),1.0)</f>
        <v>1</v>
      </c>
      <c r="S7914" s="4" t="str">
        <f>IFERROR(__xludf.DUMMYFUNCTION("""COMPUTED_VALUE"""),"Ncr")</f>
        <v>Ncr</v>
      </c>
      <c r="T7914" s="33">
        <f>IFERROR(__xludf.DUMMYFUNCTION("""COMPUTED_VALUE"""),0.5)</f>
        <v>0.5</v>
      </c>
      <c r="U7914" s="4" t="str">
        <f>IFERROR(__xludf.DUMMYFUNCTION("""COMPUTED_VALUE"""),"Venditx Ltda")</f>
        <v>Venditx Ltda</v>
      </c>
      <c r="V7914" s="33">
        <f>IFERROR(__xludf.DUMMYFUNCTION("""COMPUTED_VALUE"""),0.5)</f>
        <v>0.5</v>
      </c>
      <c r="W7914" s="4" t="str">
        <f>IFERROR(__xludf.DUMMYFUNCTION("""COMPUTED_VALUE"""),"Venditx Ltda")</f>
        <v>Venditx Ltda</v>
      </c>
      <c r="X7914" s="33">
        <f>IFERROR(__xludf.DUMMYFUNCTION("""COMPUTED_VALUE"""),0.5)</f>
        <v>0.5</v>
      </c>
    </row>
    <row r="7915">
      <c r="K7915" s="4" t="str">
        <f>IFERROR(__xludf.DUMMYFUNCTION("""COMPUTED_VALUE"""),"SUSHI RIO")</f>
        <v>SUSHI RIO</v>
      </c>
      <c r="L7915" s="32">
        <f>IFERROR(__xludf.DUMMYFUNCTION("""COMPUTED_VALUE"""),2.0)</f>
        <v>2</v>
      </c>
      <c r="M7915" s="4" t="str">
        <f>IFERROR(__xludf.DUMMYFUNCTION("""COMPUTED_VALUE"""),"Totvs Large Enterprise Tecnologia S.a.")</f>
        <v>Totvs Large Enterprise Tecnologia S.a.</v>
      </c>
      <c r="N7915" s="33">
        <f>IFERROR(__xludf.DUMMYFUNCTION("""COMPUTED_VALUE"""),1.0)</f>
        <v>1</v>
      </c>
      <c r="O7915" s="4" t="str">
        <f>IFERROR(__xludf.DUMMYFUNCTION("""COMPUTED_VALUE"""),"Totvs Large Enterprise Tecnologia S.a.")</f>
        <v>Totvs Large Enterprise Tecnologia S.a.</v>
      </c>
      <c r="P7915" s="33">
        <f>IFERROR(__xludf.DUMMYFUNCTION("""COMPUTED_VALUE"""),1.0)</f>
        <v>1</v>
      </c>
      <c r="Q7915" s="4" t="str">
        <f>IFERROR(__xludf.DUMMYFUNCTION("""COMPUTED_VALUE"""),"Totvs Large Enterprise Tecnologia S.a.")</f>
        <v>Totvs Large Enterprise Tecnologia S.a.</v>
      </c>
      <c r="R7915" s="33">
        <f>IFERROR(__xludf.DUMMYFUNCTION("""COMPUTED_VALUE"""),1.0)</f>
        <v>1</v>
      </c>
      <c r="S7915" s="4" t="str">
        <f>IFERROR(__xludf.DUMMYFUNCTION("""COMPUTED_VALUE"""),"Totvs Large Enterprise Tecnologia S.a.")</f>
        <v>Totvs Large Enterprise Tecnologia S.a.</v>
      </c>
      <c r="T7915" s="33">
        <f>IFERROR(__xludf.DUMMYFUNCTION("""COMPUTED_VALUE"""),1.0)</f>
        <v>1</v>
      </c>
      <c r="U7915" s="4" t="str">
        <f>IFERROR(__xludf.DUMMYFUNCTION("""COMPUTED_VALUE"""),"Totvs Large Enterprise Tecnologia S.a.")</f>
        <v>Totvs Large Enterprise Tecnologia S.a.</v>
      </c>
      <c r="V7915" s="33">
        <f>IFERROR(__xludf.DUMMYFUNCTION("""COMPUTED_VALUE"""),1.0)</f>
        <v>1</v>
      </c>
      <c r="W7915" s="4" t="str">
        <f>IFERROR(__xludf.DUMMYFUNCTION("""COMPUTED_VALUE"""),"Totvs Large Enterprise Tecnologia S.a.")</f>
        <v>Totvs Large Enterprise Tecnologia S.a.</v>
      </c>
      <c r="X7915" s="33">
        <f>IFERROR(__xludf.DUMMYFUNCTION("""COMPUTED_VALUE"""),1.0)</f>
        <v>1</v>
      </c>
    </row>
    <row r="7916">
      <c r="K7916" s="4" t="str">
        <f>IFERROR(__xludf.DUMMYFUNCTION("""COMPUTED_VALUE"""),"SUSHI WOMAN BELEM")</f>
        <v>SUSHI WOMAN BELEM</v>
      </c>
      <c r="L7916" s="32">
        <f>IFERROR(__xludf.DUMMYFUNCTION("""COMPUTED_VALUE"""),2.0)</f>
        <v>2</v>
      </c>
      <c r="M7916" s="4" t="str">
        <f>IFERROR(__xludf.DUMMYFUNCTION("""COMPUTED_VALUE"""),"null")</f>
        <v>null</v>
      </c>
      <c r="N7916" s="33">
        <f>IFERROR(__xludf.DUMMYFUNCTION("""COMPUTED_VALUE"""),0.5)</f>
        <v>0.5</v>
      </c>
      <c r="O7916" s="4" t="str">
        <f>IFERROR(__xludf.DUMMYFUNCTION("""COMPUTED_VALUE"""),"null")</f>
        <v>null</v>
      </c>
      <c r="P7916" s="33">
        <f>IFERROR(__xludf.DUMMYFUNCTION("""COMPUTED_VALUE"""),0.5)</f>
        <v>0.5</v>
      </c>
      <c r="Q7916" s="4" t="str">
        <f>IFERROR(__xludf.DUMMYFUNCTION("""COMPUTED_VALUE"""),"null")</f>
        <v>null</v>
      </c>
      <c r="R7916" s="33">
        <f>IFERROR(__xludf.DUMMYFUNCTION("""COMPUTED_VALUE"""),0.5)</f>
        <v>0.5</v>
      </c>
      <c r="S7916" s="4" t="str">
        <f>IFERROR(__xludf.DUMMYFUNCTION("""COMPUTED_VALUE"""),"null")</f>
        <v>null</v>
      </c>
      <c r="T7916" s="33">
        <f>IFERROR(__xludf.DUMMYFUNCTION("""COMPUTED_VALUE"""),0.5)</f>
        <v>0.5</v>
      </c>
      <c r="U7916" s="4" t="str">
        <f>IFERROR(__xludf.DUMMYFUNCTION("""COMPUTED_VALUE"""),"null")</f>
        <v>null</v>
      </c>
      <c r="V7916" s="33">
        <f>IFERROR(__xludf.DUMMYFUNCTION("""COMPUTED_VALUE"""),0.5)</f>
        <v>0.5</v>
      </c>
      <c r="W7916" s="4" t="str">
        <f>IFERROR(__xludf.DUMMYFUNCTION("""COMPUTED_VALUE"""),"Saipos Serviços De Software")</f>
        <v>Saipos Serviços De Software</v>
      </c>
      <c r="X7916" s="33">
        <f>IFERROR(__xludf.DUMMYFUNCTION("""COMPUTED_VALUE"""),0.5)</f>
        <v>0.5</v>
      </c>
    </row>
    <row r="7917">
      <c r="K7917" s="4" t="str">
        <f>IFERROR(__xludf.DUMMYFUNCTION("""COMPUTED_VALUE"""),"SUSHI2GO")</f>
        <v>SUSHI2GO</v>
      </c>
      <c r="L7917" s="32">
        <f>IFERROR(__xludf.DUMMYFUNCTION("""COMPUTED_VALUE"""),2.0)</f>
        <v>2</v>
      </c>
      <c r="M7917" s="4" t="str">
        <f>IFERROR(__xludf.DUMMYFUNCTION("""COMPUTED_VALUE"""),"Opdv")</f>
        <v>Opdv</v>
      </c>
      <c r="N7917" s="33">
        <f>IFERROR(__xludf.DUMMYFUNCTION("""COMPUTED_VALUE"""),1.0)</f>
        <v>1</v>
      </c>
      <c r="O7917" s="4" t="str">
        <f>IFERROR(__xludf.DUMMYFUNCTION("""COMPUTED_VALUE"""),"Opdv")</f>
        <v>Opdv</v>
      </c>
      <c r="P7917" s="33">
        <f>IFERROR(__xludf.DUMMYFUNCTION("""COMPUTED_VALUE"""),1.0)</f>
        <v>1</v>
      </c>
      <c r="Q7917" s="4" t="str">
        <f>IFERROR(__xludf.DUMMYFUNCTION("""COMPUTED_VALUE"""),"Opdv")</f>
        <v>Opdv</v>
      </c>
      <c r="R7917" s="33">
        <f>IFERROR(__xludf.DUMMYFUNCTION("""COMPUTED_VALUE"""),1.0)</f>
        <v>1</v>
      </c>
      <c r="S7917" s="4" t="str">
        <f>IFERROR(__xludf.DUMMYFUNCTION("""COMPUTED_VALUE"""),"Opdv")</f>
        <v>Opdv</v>
      </c>
      <c r="T7917" s="33">
        <f>IFERROR(__xludf.DUMMYFUNCTION("""COMPUTED_VALUE"""),1.0)</f>
        <v>1</v>
      </c>
      <c r="U7917" s="4" t="str">
        <f>IFERROR(__xludf.DUMMYFUNCTION("""COMPUTED_VALUE"""),"Opdv")</f>
        <v>Opdv</v>
      </c>
      <c r="V7917" s="33">
        <f>IFERROR(__xludf.DUMMYFUNCTION("""COMPUTED_VALUE"""),1.0)</f>
        <v>1</v>
      </c>
      <c r="W7917" s="4" t="str">
        <f>IFERROR(__xludf.DUMMYFUNCTION("""COMPUTED_VALUE"""),"Opdv")</f>
        <v>Opdv</v>
      </c>
      <c r="X7917" s="33">
        <f>IFERROR(__xludf.DUMMYFUNCTION("""COMPUTED_VALUE"""),1.0)</f>
        <v>1</v>
      </c>
    </row>
    <row r="7918">
      <c r="K7918" s="4" t="str">
        <f>IFERROR(__xludf.DUMMYFUNCTION("""COMPUTED_VALUE"""),"SUSHIGUEN - GRUPO SHIMIZU")</f>
        <v>SUSHIGUEN - GRUPO SHIMIZU</v>
      </c>
      <c r="L7918" s="32">
        <f>IFERROR(__xludf.DUMMYFUNCTION("""COMPUTED_VALUE"""),2.0)</f>
        <v>2</v>
      </c>
      <c r="M7918" s="4" t="str">
        <f>IFERROR(__xludf.DUMMYFUNCTION("""COMPUTED_VALUE"""),"Consumer Soluções Em Tecnologia Ltda")</f>
        <v>Consumer Soluções Em Tecnologia Ltda</v>
      </c>
      <c r="N7918" s="33">
        <f>IFERROR(__xludf.DUMMYFUNCTION("""COMPUTED_VALUE"""),0.5)</f>
        <v>0.5</v>
      </c>
      <c r="O7918" s="4" t="str">
        <f>IFERROR(__xludf.DUMMYFUNCTION("""COMPUTED_VALUE"""),"Consumer Soluções Em Tecnologia Ltda")</f>
        <v>Consumer Soluções Em Tecnologia Ltda</v>
      </c>
      <c r="P7918" s="33">
        <f>IFERROR(__xludf.DUMMYFUNCTION("""COMPUTED_VALUE"""),0.5)</f>
        <v>0.5</v>
      </c>
      <c r="Q7918" s="4" t="str">
        <f>IFERROR(__xludf.DUMMYFUNCTION("""COMPUTED_VALUE"""),"null")</f>
        <v>null</v>
      </c>
      <c r="R7918" s="33">
        <f>IFERROR(__xludf.DUMMYFUNCTION("""COMPUTED_VALUE"""),0.5)</f>
        <v>0.5</v>
      </c>
      <c r="S7918" s="4" t="str">
        <f>IFERROR(__xludf.DUMMYFUNCTION("""COMPUTED_VALUE"""),"null")</f>
        <v>null</v>
      </c>
      <c r="T7918" s="33">
        <f>IFERROR(__xludf.DUMMYFUNCTION("""COMPUTED_VALUE"""),1.0)</f>
        <v>1</v>
      </c>
      <c r="U7918" s="4" t="str">
        <f>IFERROR(__xludf.DUMMYFUNCTION("""COMPUTED_VALUE"""),"Consumer Soluções Em Tecnologia Ltda")</f>
        <v>Consumer Soluções Em Tecnologia Ltda</v>
      </c>
      <c r="V7918" s="33">
        <f>IFERROR(__xludf.DUMMYFUNCTION("""COMPUTED_VALUE"""),0.5)</f>
        <v>0.5</v>
      </c>
      <c r="W7918" s="4" t="str">
        <f>IFERROR(__xludf.DUMMYFUNCTION("""COMPUTED_VALUE"""),"Consumer Soluções Em Tecnologia Ltda")</f>
        <v>Consumer Soluções Em Tecnologia Ltda</v>
      </c>
      <c r="X7918" s="33">
        <f>IFERROR(__xludf.DUMMYFUNCTION("""COMPUTED_VALUE"""),0.5)</f>
        <v>0.5</v>
      </c>
    </row>
    <row r="7919">
      <c r="K7919" s="4" t="str">
        <f>IFERROR(__xludf.DUMMYFUNCTION("""COMPUTED_VALUE"""),"SUSHINAMI - CONTA MARCA")</f>
        <v>SUSHINAMI - CONTA MARCA</v>
      </c>
      <c r="L7919" s="32">
        <f>IFERROR(__xludf.DUMMYFUNCTION("""COMPUTED_VALUE"""),2.0)</f>
        <v>2</v>
      </c>
      <c r="M7919" s="4" t="str">
        <f>IFERROR(__xludf.DUMMYFUNCTION("""COMPUTED_VALUE"""),"Cloudfy")</f>
        <v>Cloudfy</v>
      </c>
      <c r="N7919" s="33">
        <f>IFERROR(__xludf.DUMMYFUNCTION("""COMPUTED_VALUE"""),1.0)</f>
        <v>1</v>
      </c>
      <c r="O7919" s="4" t="str">
        <f>IFERROR(__xludf.DUMMYFUNCTION("""COMPUTED_VALUE"""),"Cloudfy")</f>
        <v>Cloudfy</v>
      </c>
      <c r="P7919" s="33">
        <f>IFERROR(__xludf.DUMMYFUNCTION("""COMPUTED_VALUE"""),1.0)</f>
        <v>1</v>
      </c>
      <c r="Q7919" s="4" t="str">
        <f>IFERROR(__xludf.DUMMYFUNCTION("""COMPUTED_VALUE"""),"Cloudfy")</f>
        <v>Cloudfy</v>
      </c>
      <c r="R7919" s="33">
        <f>IFERROR(__xludf.DUMMYFUNCTION("""COMPUTED_VALUE"""),1.0)</f>
        <v>1</v>
      </c>
      <c r="S7919" s="4" t="str">
        <f>IFERROR(__xludf.DUMMYFUNCTION("""COMPUTED_VALUE"""),"Cloudfy")</f>
        <v>Cloudfy</v>
      </c>
      <c r="T7919" s="33">
        <f>IFERROR(__xludf.DUMMYFUNCTION("""COMPUTED_VALUE"""),1.0)</f>
        <v>1</v>
      </c>
      <c r="U7919" s="4" t="str">
        <f>IFERROR(__xludf.DUMMYFUNCTION("""COMPUTED_VALUE"""),"Cloudfy")</f>
        <v>Cloudfy</v>
      </c>
      <c r="V7919" s="33">
        <f>IFERROR(__xludf.DUMMYFUNCTION("""COMPUTED_VALUE"""),1.0)</f>
        <v>1</v>
      </c>
      <c r="W7919" s="4" t="str">
        <f>IFERROR(__xludf.DUMMYFUNCTION("""COMPUTED_VALUE"""),"Cloudfy")</f>
        <v>Cloudfy</v>
      </c>
      <c r="X7919" s="33">
        <f>IFERROR(__xludf.DUMMYFUNCTION("""COMPUTED_VALUE"""),1.0)</f>
        <v>1</v>
      </c>
    </row>
    <row r="7920">
      <c r="K7920" s="4" t="str">
        <f>IFERROR(__xludf.DUMMYFUNCTION("""COMPUTED_VALUE"""),"SWEET DOCURAS")</f>
        <v>SWEET DOCURAS</v>
      </c>
      <c r="L7920" s="32">
        <f>IFERROR(__xludf.DUMMYFUNCTION("""COMPUTED_VALUE"""),2.0)</f>
        <v>2</v>
      </c>
      <c r="M7920" s="4" t="str">
        <f>IFERROR(__xludf.DUMMYFUNCTION("""COMPUTED_VALUE"""),"Saipos Serviços De Software")</f>
        <v>Saipos Serviços De Software</v>
      </c>
      <c r="N7920" s="33">
        <f>IFERROR(__xludf.DUMMYFUNCTION("""COMPUTED_VALUE"""),1.0)</f>
        <v>1</v>
      </c>
      <c r="O7920" s="4" t="str">
        <f>IFERROR(__xludf.DUMMYFUNCTION("""COMPUTED_VALUE"""),"Saipos Serviços De Software")</f>
        <v>Saipos Serviços De Software</v>
      </c>
      <c r="P7920" s="33">
        <f>IFERROR(__xludf.DUMMYFUNCTION("""COMPUTED_VALUE"""),1.0)</f>
        <v>1</v>
      </c>
      <c r="Q7920" s="4" t="str">
        <f>IFERROR(__xludf.DUMMYFUNCTION("""COMPUTED_VALUE"""),"Saipos Serviços De Software")</f>
        <v>Saipos Serviços De Software</v>
      </c>
      <c r="R7920" s="33">
        <f>IFERROR(__xludf.DUMMYFUNCTION("""COMPUTED_VALUE"""),1.0)</f>
        <v>1</v>
      </c>
      <c r="S7920" s="4" t="str">
        <f>IFERROR(__xludf.DUMMYFUNCTION("""COMPUTED_VALUE"""),"Saipos Serviços De Software")</f>
        <v>Saipos Serviços De Software</v>
      </c>
      <c r="T7920" s="33">
        <f>IFERROR(__xludf.DUMMYFUNCTION("""COMPUTED_VALUE"""),0.5)</f>
        <v>0.5</v>
      </c>
      <c r="U7920" s="4" t="str">
        <f>IFERROR(__xludf.DUMMYFUNCTION("""COMPUTED_VALUE"""),"Saipos Serviços De Software")</f>
        <v>Saipos Serviços De Software</v>
      </c>
      <c r="V7920" s="33">
        <f>IFERROR(__xludf.DUMMYFUNCTION("""COMPUTED_VALUE"""),0.5)</f>
        <v>0.5</v>
      </c>
      <c r="W7920" s="4" t="str">
        <f>IFERROR(__xludf.DUMMYFUNCTION("""COMPUTED_VALUE"""),"null")</f>
        <v>null</v>
      </c>
      <c r="X7920" s="33">
        <f>IFERROR(__xludf.DUMMYFUNCTION("""COMPUTED_VALUE"""),1.0)</f>
        <v>1</v>
      </c>
    </row>
    <row r="7921">
      <c r="K7921" s="4" t="str">
        <f>IFERROR(__xludf.DUMMYFUNCTION("""COMPUTED_VALUE"""),"SWEET ELO")</f>
        <v>SWEET ELO</v>
      </c>
      <c r="L7921" s="32">
        <f>IFERROR(__xludf.DUMMYFUNCTION("""COMPUTED_VALUE"""),2.0)</f>
        <v>2</v>
      </c>
      <c r="M7921" s="4" t="str">
        <f>IFERROR(__xludf.DUMMYFUNCTION("""COMPUTED_VALUE"""),"F-rest Sistema Para Food Service Ltda")</f>
        <v>F-rest Sistema Para Food Service Ltda</v>
      </c>
      <c r="N7921" s="33">
        <f>IFERROR(__xludf.DUMMYFUNCTION("""COMPUTED_VALUE"""),1.0)</f>
        <v>1</v>
      </c>
      <c r="O7921" s="4" t="str">
        <f>IFERROR(__xludf.DUMMYFUNCTION("""COMPUTED_VALUE"""),"F-rest Sistema Para Food Service Ltda")</f>
        <v>F-rest Sistema Para Food Service Ltda</v>
      </c>
      <c r="P7921" s="33">
        <f>IFERROR(__xludf.DUMMYFUNCTION("""COMPUTED_VALUE"""),0.5)</f>
        <v>0.5</v>
      </c>
      <c r="Q7921" s="4" t="str">
        <f>IFERROR(__xludf.DUMMYFUNCTION("""COMPUTED_VALUE"""),"F-rest Sistema Para Food Service Ltda")</f>
        <v>F-rest Sistema Para Food Service Ltda</v>
      </c>
      <c r="R7921" s="33">
        <f>IFERROR(__xludf.DUMMYFUNCTION("""COMPUTED_VALUE"""),0.5)</f>
        <v>0.5</v>
      </c>
      <c r="S7921" s="4" t="str">
        <f>IFERROR(__xludf.DUMMYFUNCTION("""COMPUTED_VALUE"""),"F-rest Sistema Para Food Service Ltda")</f>
        <v>F-rest Sistema Para Food Service Ltda</v>
      </c>
      <c r="T7921" s="33">
        <f>IFERROR(__xludf.DUMMYFUNCTION("""COMPUTED_VALUE"""),0.5)</f>
        <v>0.5</v>
      </c>
      <c r="U7921" s="4" t="str">
        <f>IFERROR(__xludf.DUMMYFUNCTION("""COMPUTED_VALUE"""),"null")</f>
        <v>null</v>
      </c>
      <c r="V7921" s="33">
        <f>IFERROR(__xludf.DUMMYFUNCTION("""COMPUTED_VALUE"""),1.0)</f>
        <v>1</v>
      </c>
      <c r="W7921" s="4" t="str">
        <f>IFERROR(__xludf.DUMMYFUNCTION("""COMPUTED_VALUE"""),"Saipos Serviços De Software")</f>
        <v>Saipos Serviços De Software</v>
      </c>
      <c r="X7921" s="33">
        <f>IFERROR(__xludf.DUMMYFUNCTION("""COMPUTED_VALUE"""),1.0)</f>
        <v>1</v>
      </c>
    </row>
    <row r="7922">
      <c r="K7922" s="4" t="str">
        <f>IFERROR(__xludf.DUMMYFUNCTION("""COMPUTED_VALUE"""),"SYRIAN FOOD")</f>
        <v>SYRIAN FOOD</v>
      </c>
      <c r="L7922" s="32">
        <f>IFERROR(__xludf.DUMMYFUNCTION("""COMPUTED_VALUE"""),2.0)</f>
        <v>2</v>
      </c>
      <c r="M7922" s="4" t="str">
        <f>IFERROR(__xludf.DUMMYFUNCTION("""COMPUTED_VALUE"""),"T4l Tecnologia Ltda Me")</f>
        <v>T4l Tecnologia Ltda Me</v>
      </c>
      <c r="N7922" s="33">
        <f>IFERROR(__xludf.DUMMYFUNCTION("""COMPUTED_VALUE"""),1.0)</f>
        <v>1</v>
      </c>
      <c r="O7922" s="4" t="str">
        <f>IFERROR(__xludf.DUMMYFUNCTION("""COMPUTED_VALUE"""),"T4l Tecnologia Ltda Me")</f>
        <v>T4l Tecnologia Ltda Me</v>
      </c>
      <c r="P7922" s="33">
        <f>IFERROR(__xludf.DUMMYFUNCTION("""COMPUTED_VALUE"""),1.0)</f>
        <v>1</v>
      </c>
      <c r="Q7922" s="4" t="str">
        <f>IFERROR(__xludf.DUMMYFUNCTION("""COMPUTED_VALUE"""),"T4l Tecnologia Ltda Me")</f>
        <v>T4l Tecnologia Ltda Me</v>
      </c>
      <c r="R7922" s="33">
        <f>IFERROR(__xludf.DUMMYFUNCTION("""COMPUTED_VALUE"""),1.0)</f>
        <v>1</v>
      </c>
      <c r="S7922" s="4" t="str">
        <f>IFERROR(__xludf.DUMMYFUNCTION("""COMPUTED_VALUE"""),"T4l Tecnologia Ltda Me")</f>
        <v>T4l Tecnologia Ltda Me</v>
      </c>
      <c r="T7922" s="33">
        <f>IFERROR(__xludf.DUMMYFUNCTION("""COMPUTED_VALUE"""),1.0)</f>
        <v>1</v>
      </c>
      <c r="U7922" s="4" t="str">
        <f>IFERROR(__xludf.DUMMYFUNCTION("""COMPUTED_VALUE"""),"T4l Tecnologia Ltda Me")</f>
        <v>T4l Tecnologia Ltda Me</v>
      </c>
      <c r="V7922" s="33">
        <f>IFERROR(__xludf.DUMMYFUNCTION("""COMPUTED_VALUE"""),1.0)</f>
        <v>1</v>
      </c>
      <c r="W7922" s="4" t="str">
        <f>IFERROR(__xludf.DUMMYFUNCTION("""COMPUTED_VALUE"""),"T4l Tecnologia Ltda Me")</f>
        <v>T4l Tecnologia Ltda Me</v>
      </c>
      <c r="X7922" s="33">
        <f>IFERROR(__xludf.DUMMYFUNCTION("""COMPUTED_VALUE"""),1.0)</f>
        <v>1</v>
      </c>
    </row>
    <row r="7923">
      <c r="K7923" s="4" t="str">
        <f>IFERROR(__xludf.DUMMYFUNCTION("""COMPUTED_VALUE"""),"TABERNA -JP")</f>
        <v>TABERNA -JP</v>
      </c>
      <c r="L7923" s="32">
        <f>IFERROR(__xludf.DUMMYFUNCTION("""COMPUTED_VALUE"""),2.0)</f>
        <v>2</v>
      </c>
      <c r="M7923" s="4" t="str">
        <f>IFERROR(__xludf.DUMMYFUNCTION("""COMPUTED_VALUE"""),"Netcontroll Xmenu")</f>
        <v>Netcontroll Xmenu</v>
      </c>
      <c r="N7923" s="33">
        <f>IFERROR(__xludf.DUMMYFUNCTION("""COMPUTED_VALUE"""),1.0)</f>
        <v>1</v>
      </c>
      <c r="O7923" s="4" t="str">
        <f>IFERROR(__xludf.DUMMYFUNCTION("""COMPUTED_VALUE"""),"Netcontroll Xmenu")</f>
        <v>Netcontroll Xmenu</v>
      </c>
      <c r="P7923" s="33">
        <f>IFERROR(__xludf.DUMMYFUNCTION("""COMPUTED_VALUE"""),1.0)</f>
        <v>1</v>
      </c>
      <c r="Q7923" s="4" t="str">
        <f>IFERROR(__xludf.DUMMYFUNCTION("""COMPUTED_VALUE"""),"Netcontroll Xmenu")</f>
        <v>Netcontroll Xmenu</v>
      </c>
      <c r="R7923" s="33">
        <f>IFERROR(__xludf.DUMMYFUNCTION("""COMPUTED_VALUE"""),1.0)</f>
        <v>1</v>
      </c>
      <c r="S7923" s="4" t="str">
        <f>IFERROR(__xludf.DUMMYFUNCTION("""COMPUTED_VALUE"""),"Netcontroll Xmenu")</f>
        <v>Netcontroll Xmenu</v>
      </c>
      <c r="T7923" s="33">
        <f>IFERROR(__xludf.DUMMYFUNCTION("""COMPUTED_VALUE"""),1.0)</f>
        <v>1</v>
      </c>
      <c r="U7923" s="4" t="str">
        <f>IFERROR(__xludf.DUMMYFUNCTION("""COMPUTED_VALUE"""),"Netcontroll Xmenu")</f>
        <v>Netcontroll Xmenu</v>
      </c>
      <c r="V7923" s="33">
        <f>IFERROR(__xludf.DUMMYFUNCTION("""COMPUTED_VALUE"""),1.0)</f>
        <v>1</v>
      </c>
      <c r="W7923" s="4" t="str">
        <f>IFERROR(__xludf.DUMMYFUNCTION("""COMPUTED_VALUE"""),"Netcontroll Xmenu")</f>
        <v>Netcontroll Xmenu</v>
      </c>
      <c r="X7923" s="33">
        <f>IFERROR(__xludf.DUMMYFUNCTION("""COMPUTED_VALUE"""),1.0)</f>
        <v>1</v>
      </c>
    </row>
    <row r="7924">
      <c r="K7924" s="4" t="str">
        <f>IFERROR(__xludf.DUMMYFUNCTION("""COMPUTED_VALUE"""),"TACOMEX")</f>
        <v>TACOMEX</v>
      </c>
      <c r="L7924" s="32">
        <f>IFERROR(__xludf.DUMMYFUNCTION("""COMPUTED_VALUE"""),2.0)</f>
        <v>2</v>
      </c>
      <c r="M7924" s="4" t="str">
        <f>IFERROR(__xludf.DUMMYFUNCTION("""COMPUTED_VALUE"""),"Saipos Serviços De Software")</f>
        <v>Saipos Serviços De Software</v>
      </c>
      <c r="N7924" s="33">
        <f>IFERROR(__xludf.DUMMYFUNCTION("""COMPUTED_VALUE"""),0.5)</f>
        <v>0.5</v>
      </c>
      <c r="O7924" s="4" t="str">
        <f>IFERROR(__xludf.DUMMYFUNCTION("""COMPUTED_VALUE"""),"Saipos Serviços De Software")</f>
        <v>Saipos Serviços De Software</v>
      </c>
      <c r="P7924" s="33">
        <f>IFERROR(__xludf.DUMMYFUNCTION("""COMPUTED_VALUE"""),0.5)</f>
        <v>0.5</v>
      </c>
      <c r="Q7924" s="4" t="str">
        <f>IFERROR(__xludf.DUMMYFUNCTION("""COMPUTED_VALUE"""),"Saipos Serviços De Software")</f>
        <v>Saipos Serviços De Software</v>
      </c>
      <c r="R7924" s="33">
        <f>IFERROR(__xludf.DUMMYFUNCTION("""COMPUTED_VALUE"""),0.5)</f>
        <v>0.5</v>
      </c>
      <c r="S7924" s="4" t="str">
        <f>IFERROR(__xludf.DUMMYFUNCTION("""COMPUTED_VALUE"""),"Saipos Serviços De Software")</f>
        <v>Saipos Serviços De Software</v>
      </c>
      <c r="T7924" s="33">
        <f>IFERROR(__xludf.DUMMYFUNCTION("""COMPUTED_VALUE"""),1.0)</f>
        <v>1</v>
      </c>
      <c r="U7924" s="4" t="str">
        <f>IFERROR(__xludf.DUMMYFUNCTION("""COMPUTED_VALUE"""),"Saipos Serviços De Software")</f>
        <v>Saipos Serviços De Software</v>
      </c>
      <c r="V7924" s="33">
        <f>IFERROR(__xludf.DUMMYFUNCTION("""COMPUTED_VALUE"""),0.5)</f>
        <v>0.5</v>
      </c>
      <c r="W7924" s="4" t="str">
        <f>IFERROR(__xludf.DUMMYFUNCTION("""COMPUTED_VALUE"""),"Saipos Serviços De Software")</f>
        <v>Saipos Serviços De Software</v>
      </c>
      <c r="X7924" s="33">
        <f>IFERROR(__xludf.DUMMYFUNCTION("""COMPUTED_VALUE"""),0.5)</f>
        <v>0.5</v>
      </c>
    </row>
    <row r="7925">
      <c r="K7925" s="4" t="str">
        <f>IFERROR(__xludf.DUMMYFUNCTION("""COMPUTED_VALUE"""),"TAHY PIZZARIA - CONTA MARCA")</f>
        <v>TAHY PIZZARIA - CONTA MARCA</v>
      </c>
      <c r="L7925" s="32">
        <f>IFERROR(__xludf.DUMMYFUNCTION("""COMPUTED_VALUE"""),2.0)</f>
        <v>2</v>
      </c>
      <c r="M7925" s="4" t="str">
        <f>IFERROR(__xludf.DUMMYFUNCTION("""COMPUTED_VALUE"""),"Saipos Serviços De Software")</f>
        <v>Saipos Serviços De Software</v>
      </c>
      <c r="N7925" s="33">
        <f>IFERROR(__xludf.DUMMYFUNCTION("""COMPUTED_VALUE"""),1.0)</f>
        <v>1</v>
      </c>
      <c r="O7925" s="4" t="str">
        <f>IFERROR(__xludf.DUMMYFUNCTION("""COMPUTED_VALUE"""),"Saipos Serviços De Software")</f>
        <v>Saipos Serviços De Software</v>
      </c>
      <c r="P7925" s="33">
        <f>IFERROR(__xludf.DUMMYFUNCTION("""COMPUTED_VALUE"""),1.0)</f>
        <v>1</v>
      </c>
      <c r="Q7925" s="4" t="str">
        <f>IFERROR(__xludf.DUMMYFUNCTION("""COMPUTED_VALUE"""),"Saipos Serviços De Software")</f>
        <v>Saipos Serviços De Software</v>
      </c>
      <c r="R7925" s="33">
        <f>IFERROR(__xludf.DUMMYFUNCTION("""COMPUTED_VALUE"""),1.0)</f>
        <v>1</v>
      </c>
      <c r="S7925" s="4" t="str">
        <f>IFERROR(__xludf.DUMMYFUNCTION("""COMPUTED_VALUE"""),"Saipos Serviços De Software")</f>
        <v>Saipos Serviços De Software</v>
      </c>
      <c r="T7925" s="33">
        <f>IFERROR(__xludf.DUMMYFUNCTION("""COMPUTED_VALUE"""),1.0)</f>
        <v>1</v>
      </c>
      <c r="U7925" s="4" t="str">
        <f>IFERROR(__xludf.DUMMYFUNCTION("""COMPUTED_VALUE"""),"Saipos Serviços De Software")</f>
        <v>Saipos Serviços De Software</v>
      </c>
      <c r="V7925" s="33">
        <f>IFERROR(__xludf.DUMMYFUNCTION("""COMPUTED_VALUE"""),1.0)</f>
        <v>1</v>
      </c>
      <c r="W7925" s="4" t="str">
        <f>IFERROR(__xludf.DUMMYFUNCTION("""COMPUTED_VALUE"""),"Saipos Serviços De Software")</f>
        <v>Saipos Serviços De Software</v>
      </c>
      <c r="X7925" s="33">
        <f>IFERROR(__xludf.DUMMYFUNCTION("""COMPUTED_VALUE"""),1.0)</f>
        <v>1</v>
      </c>
    </row>
    <row r="7926">
      <c r="K7926" s="4" t="str">
        <f>IFERROR(__xludf.DUMMYFUNCTION("""COMPUTED_VALUE"""),"TAKASHI TERESINA")</f>
        <v>TAKASHI TERESINA</v>
      </c>
      <c r="L7926" s="32">
        <f>IFERROR(__xludf.DUMMYFUNCTION("""COMPUTED_VALUE"""),2.0)</f>
        <v>2</v>
      </c>
      <c r="M7926" s="4" t="str">
        <f>IFERROR(__xludf.DUMMYFUNCTION("""COMPUTED_VALUE"""),"Alloy Tecnologia")</f>
        <v>Alloy Tecnologia</v>
      </c>
      <c r="N7926" s="33">
        <f>IFERROR(__xludf.DUMMYFUNCTION("""COMPUTED_VALUE"""),1.0)</f>
        <v>1</v>
      </c>
      <c r="O7926" s="4" t="str">
        <f>IFERROR(__xludf.DUMMYFUNCTION("""COMPUTED_VALUE"""),"Alloy Tecnologia")</f>
        <v>Alloy Tecnologia</v>
      </c>
      <c r="P7926" s="33">
        <f>IFERROR(__xludf.DUMMYFUNCTION("""COMPUTED_VALUE"""),1.0)</f>
        <v>1</v>
      </c>
      <c r="Q7926" s="4" t="str">
        <f>IFERROR(__xludf.DUMMYFUNCTION("""COMPUTED_VALUE"""),"Alloy Tecnologia")</f>
        <v>Alloy Tecnologia</v>
      </c>
      <c r="R7926" s="33">
        <f>IFERROR(__xludf.DUMMYFUNCTION("""COMPUTED_VALUE"""),0.5)</f>
        <v>0.5</v>
      </c>
      <c r="S7926" s="4" t="str">
        <f>IFERROR(__xludf.DUMMYFUNCTION("""COMPUTED_VALUE"""),"Alloy Tecnologia")</f>
        <v>Alloy Tecnologia</v>
      </c>
      <c r="T7926" s="33">
        <f>IFERROR(__xludf.DUMMYFUNCTION("""COMPUTED_VALUE"""),0.5)</f>
        <v>0.5</v>
      </c>
      <c r="U7926" s="4" t="str">
        <f>IFERROR(__xludf.DUMMYFUNCTION("""COMPUTED_VALUE"""),"Alloy Tecnologia")</f>
        <v>Alloy Tecnologia</v>
      </c>
      <c r="V7926" s="33">
        <f>IFERROR(__xludf.DUMMYFUNCTION("""COMPUTED_VALUE"""),0.5)</f>
        <v>0.5</v>
      </c>
      <c r="W7926" s="4" t="str">
        <f>IFERROR(__xludf.DUMMYFUNCTION("""COMPUTED_VALUE"""),"Alloy Tecnologia")</f>
        <v>Alloy Tecnologia</v>
      </c>
      <c r="X7926" s="33">
        <f>IFERROR(__xludf.DUMMYFUNCTION("""COMPUTED_VALUE"""),0.5)</f>
        <v>0.5</v>
      </c>
    </row>
    <row r="7927">
      <c r="K7927" s="4" t="str">
        <f>IFERROR(__xludf.DUMMYFUNCTION("""COMPUTED_VALUE"""),"TALAVERA VARADERO")</f>
        <v>TALAVERA VARADERO</v>
      </c>
      <c r="L7927" s="32">
        <f>IFERROR(__xludf.DUMMYFUNCTION("""COMPUTED_VALUE"""),2.0)</f>
        <v>2</v>
      </c>
      <c r="M7927" s="4" t="str">
        <f>IFERROR(__xludf.DUMMYFUNCTION("""COMPUTED_VALUE"""),"null")</f>
        <v>null</v>
      </c>
      <c r="N7927" s="33">
        <f>IFERROR(__xludf.DUMMYFUNCTION("""COMPUTED_VALUE"""),1.0)</f>
        <v>1</v>
      </c>
      <c r="O7927" s="4" t="str">
        <f>IFERROR(__xludf.DUMMYFUNCTION("""COMPUTED_VALUE"""),"null")</f>
        <v>null</v>
      </c>
      <c r="P7927" s="33">
        <f>IFERROR(__xludf.DUMMYFUNCTION("""COMPUTED_VALUE"""),1.0)</f>
        <v>1</v>
      </c>
      <c r="Q7927" s="4" t="str">
        <f>IFERROR(__xludf.DUMMYFUNCTION("""COMPUTED_VALUE"""),"null")</f>
        <v>null</v>
      </c>
      <c r="R7927" s="33">
        <f>IFERROR(__xludf.DUMMYFUNCTION("""COMPUTED_VALUE"""),1.0)</f>
        <v>1</v>
      </c>
      <c r="S7927" s="4" t="str">
        <f>IFERROR(__xludf.DUMMYFUNCTION("""COMPUTED_VALUE"""),"Tacto Sistemas")</f>
        <v>Tacto Sistemas</v>
      </c>
      <c r="T7927" s="33">
        <f>IFERROR(__xludf.DUMMYFUNCTION("""COMPUTED_VALUE"""),0.5)</f>
        <v>0.5</v>
      </c>
      <c r="U7927" s="4" t="str">
        <f>IFERROR(__xludf.DUMMYFUNCTION("""COMPUTED_VALUE"""),"Tacto Sistemas")</f>
        <v>Tacto Sistemas</v>
      </c>
      <c r="V7927" s="33">
        <f>IFERROR(__xludf.DUMMYFUNCTION("""COMPUTED_VALUE"""),1.0)</f>
        <v>1</v>
      </c>
      <c r="W7927" s="4" t="str">
        <f>IFERROR(__xludf.DUMMYFUNCTION("""COMPUTED_VALUE"""),"Tacto Sistemas")</f>
        <v>Tacto Sistemas</v>
      </c>
      <c r="X7927" s="33">
        <f>IFERROR(__xludf.DUMMYFUNCTION("""COMPUTED_VALUE"""),1.0)</f>
        <v>1</v>
      </c>
    </row>
    <row r="7928">
      <c r="K7928" s="4" t="str">
        <f>IFERROR(__xludf.DUMMYFUNCTION("""COMPUTED_VALUE"""),"TANGO CHORIPAN")</f>
        <v>TANGO CHORIPAN</v>
      </c>
      <c r="L7928" s="32">
        <f>IFERROR(__xludf.DUMMYFUNCTION("""COMPUTED_VALUE"""),2.0)</f>
        <v>2</v>
      </c>
      <c r="M7928" s="4" t="str">
        <f>IFERROR(__xludf.DUMMYFUNCTION("""COMPUTED_VALUE"""),"Beefood - Sistema Para Restaurantes")</f>
        <v>Beefood - Sistema Para Restaurantes</v>
      </c>
      <c r="N7928" s="33">
        <f>IFERROR(__xludf.DUMMYFUNCTION("""COMPUTED_VALUE"""),1.0)</f>
        <v>1</v>
      </c>
      <c r="O7928" s="4" t="str">
        <f>IFERROR(__xludf.DUMMYFUNCTION("""COMPUTED_VALUE"""),"Beefood - Sistema Para Restaurantes")</f>
        <v>Beefood - Sistema Para Restaurantes</v>
      </c>
      <c r="P7928" s="33">
        <f>IFERROR(__xludf.DUMMYFUNCTION("""COMPUTED_VALUE"""),1.0)</f>
        <v>1</v>
      </c>
      <c r="Q7928" s="4" t="str">
        <f>IFERROR(__xludf.DUMMYFUNCTION("""COMPUTED_VALUE"""),"Beefood - Sistema Para Restaurantes")</f>
        <v>Beefood - Sistema Para Restaurantes</v>
      </c>
      <c r="R7928" s="33">
        <f>IFERROR(__xludf.DUMMYFUNCTION("""COMPUTED_VALUE"""),1.0)</f>
        <v>1</v>
      </c>
      <c r="S7928" s="4" t="str">
        <f>IFERROR(__xludf.DUMMYFUNCTION("""COMPUTED_VALUE"""),"Beefood - Sistema Para Restaurantes")</f>
        <v>Beefood - Sistema Para Restaurantes</v>
      </c>
      <c r="T7928" s="33">
        <f>IFERROR(__xludf.DUMMYFUNCTION("""COMPUTED_VALUE"""),1.0)</f>
        <v>1</v>
      </c>
      <c r="U7928" s="4" t="str">
        <f>IFERROR(__xludf.DUMMYFUNCTION("""COMPUTED_VALUE"""),"null")</f>
        <v>null</v>
      </c>
      <c r="V7928" s="33">
        <f>IFERROR(__xludf.DUMMYFUNCTION("""COMPUTED_VALUE"""),0.5)</f>
        <v>0.5</v>
      </c>
      <c r="W7928" s="4" t="str">
        <f>IFERROR(__xludf.DUMMYFUNCTION("""COMPUTED_VALUE"""),"Beefood - Sistema Para Restaurantes")</f>
        <v>Beefood - Sistema Para Restaurantes</v>
      </c>
      <c r="X7928" s="33">
        <f>IFERROR(__xludf.DUMMYFUNCTION("""COMPUTED_VALUE"""),1.0)</f>
        <v>1</v>
      </c>
    </row>
    <row r="7929">
      <c r="K7929" s="4" t="str">
        <f>IFERROR(__xludf.DUMMYFUNCTION("""COMPUTED_VALUE"""),"TANNUR LEBANESE - CONTA PAI")</f>
        <v>TANNUR LEBANESE - CONTA PAI</v>
      </c>
      <c r="L7929" s="32">
        <f>IFERROR(__xludf.DUMMYFUNCTION("""COMPUTED_VALUE"""),2.0)</f>
        <v>2</v>
      </c>
      <c r="M7929" s="4" t="str">
        <f>IFERROR(__xludf.DUMMYFUNCTION("""COMPUTED_VALUE"""),"Connectplug")</f>
        <v>Connectplug</v>
      </c>
      <c r="N7929" s="33">
        <f>IFERROR(__xludf.DUMMYFUNCTION("""COMPUTED_VALUE"""),1.0)</f>
        <v>1</v>
      </c>
      <c r="O7929" s="4" t="str">
        <f>IFERROR(__xludf.DUMMYFUNCTION("""COMPUTED_VALUE"""),"Connectplug")</f>
        <v>Connectplug</v>
      </c>
      <c r="P7929" s="33">
        <f>IFERROR(__xludf.DUMMYFUNCTION("""COMPUTED_VALUE"""),1.0)</f>
        <v>1</v>
      </c>
      <c r="Q7929" s="4" t="str">
        <f>IFERROR(__xludf.DUMMYFUNCTION("""COMPUTED_VALUE"""),"Connectplug")</f>
        <v>Connectplug</v>
      </c>
      <c r="R7929" s="33">
        <f>IFERROR(__xludf.DUMMYFUNCTION("""COMPUTED_VALUE"""),1.0)</f>
        <v>1</v>
      </c>
      <c r="S7929" s="4" t="str">
        <f>IFERROR(__xludf.DUMMYFUNCTION("""COMPUTED_VALUE"""),"Connectplug")</f>
        <v>Connectplug</v>
      </c>
      <c r="T7929" s="33">
        <f>IFERROR(__xludf.DUMMYFUNCTION("""COMPUTED_VALUE"""),1.0)</f>
        <v>1</v>
      </c>
      <c r="U7929" s="4" t="str">
        <f>IFERROR(__xludf.DUMMYFUNCTION("""COMPUTED_VALUE"""),"Connectplug")</f>
        <v>Connectplug</v>
      </c>
      <c r="V7929" s="33">
        <f>IFERROR(__xludf.DUMMYFUNCTION("""COMPUTED_VALUE"""),1.0)</f>
        <v>1</v>
      </c>
      <c r="W7929" s="4" t="str">
        <f>IFERROR(__xludf.DUMMYFUNCTION("""COMPUTED_VALUE"""),"Connectplug")</f>
        <v>Connectplug</v>
      </c>
      <c r="X7929" s="33">
        <f>IFERROR(__xludf.DUMMYFUNCTION("""COMPUTED_VALUE"""),1.0)</f>
        <v>1</v>
      </c>
    </row>
    <row r="7930">
      <c r="K7930" s="4" t="str">
        <f>IFERROR(__xludf.DUMMYFUNCTION("""COMPUTED_VALUE"""),"TAPA DE CUADRIL")</f>
        <v>TAPA DE CUADRIL</v>
      </c>
      <c r="L7930" s="32">
        <f>IFERROR(__xludf.DUMMYFUNCTION("""COMPUTED_VALUE"""),2.0)</f>
        <v>2</v>
      </c>
      <c r="M7930" s="4" t="str">
        <f>IFERROR(__xludf.DUMMYFUNCTION("""COMPUTED_VALUE"""),"null")</f>
        <v>null</v>
      </c>
      <c r="N7930" s="33">
        <f>IFERROR(__xludf.DUMMYFUNCTION("""COMPUTED_VALUE"""),1.0)</f>
        <v>1</v>
      </c>
      <c r="O7930" s="4" t="str">
        <f>IFERROR(__xludf.DUMMYFUNCTION("""COMPUTED_VALUE"""),"L&amp;f Tecnologia Sistemas E Comercio Ltda")</f>
        <v>L&amp;f Tecnologia Sistemas E Comercio Ltda</v>
      </c>
      <c r="P7930" s="33">
        <f>IFERROR(__xludf.DUMMYFUNCTION("""COMPUTED_VALUE"""),0.5)</f>
        <v>0.5</v>
      </c>
      <c r="Q7930" s="4" t="str">
        <f>IFERROR(__xludf.DUMMYFUNCTION("""COMPUTED_VALUE"""),"null")</f>
        <v>null</v>
      </c>
      <c r="R7930" s="33">
        <f>IFERROR(__xludf.DUMMYFUNCTION("""COMPUTED_VALUE"""),0.5)</f>
        <v>0.5</v>
      </c>
      <c r="S7930" s="4" t="str">
        <f>IFERROR(__xludf.DUMMYFUNCTION("""COMPUTED_VALUE"""),"L&amp;f Tecnologia Sistemas E Comercio Ltda")</f>
        <v>L&amp;f Tecnologia Sistemas E Comercio Ltda</v>
      </c>
      <c r="T7930" s="33">
        <f>IFERROR(__xludf.DUMMYFUNCTION("""COMPUTED_VALUE"""),1.0)</f>
        <v>1</v>
      </c>
      <c r="U7930" s="4" t="str">
        <f>IFERROR(__xludf.DUMMYFUNCTION("""COMPUTED_VALUE"""),"L&amp;f Tecnologia Sistemas E Comercio Ltda")</f>
        <v>L&amp;f Tecnologia Sistemas E Comercio Ltda</v>
      </c>
      <c r="V7930" s="33">
        <f>IFERROR(__xludf.DUMMYFUNCTION("""COMPUTED_VALUE"""),1.0)</f>
        <v>1</v>
      </c>
      <c r="W7930" s="4" t="str">
        <f>IFERROR(__xludf.DUMMYFUNCTION("""COMPUTED_VALUE"""),"L&amp;f Tecnologia Sistemas E Comercio Ltda")</f>
        <v>L&amp;f Tecnologia Sistemas E Comercio Ltda</v>
      </c>
      <c r="X7930" s="33">
        <f>IFERROR(__xludf.DUMMYFUNCTION("""COMPUTED_VALUE"""),1.0)</f>
        <v>1</v>
      </c>
    </row>
    <row r="7931">
      <c r="K7931" s="4" t="str">
        <f>IFERROR(__xludf.DUMMYFUNCTION("""COMPUTED_VALUE"""),"TAPIOCA DO JU E CUSCUZERIA")</f>
        <v>TAPIOCA DO JU E CUSCUZERIA</v>
      </c>
      <c r="L7931" s="32">
        <f>IFERROR(__xludf.DUMMYFUNCTION("""COMPUTED_VALUE"""),2.0)</f>
        <v>2</v>
      </c>
      <c r="M7931" s="4" t="str">
        <f>IFERROR(__xludf.DUMMYFUNCTION("""COMPUTED_VALUE"""),"Consumer Soluções Em Tecnologia Ltda")</f>
        <v>Consumer Soluções Em Tecnologia Ltda</v>
      </c>
      <c r="N7931" s="33">
        <f>IFERROR(__xludf.DUMMYFUNCTION("""COMPUTED_VALUE"""),0.5)</f>
        <v>0.5</v>
      </c>
      <c r="O7931" s="4" t="str">
        <f>IFERROR(__xludf.DUMMYFUNCTION("""COMPUTED_VALUE"""),"Consumer Soluções Em Tecnologia Ltda")</f>
        <v>Consumer Soluções Em Tecnologia Ltda</v>
      </c>
      <c r="P7931" s="33">
        <f>IFERROR(__xludf.DUMMYFUNCTION("""COMPUTED_VALUE"""),0.5)</f>
        <v>0.5</v>
      </c>
      <c r="Q7931" s="4" t="str">
        <f>IFERROR(__xludf.DUMMYFUNCTION("""COMPUTED_VALUE"""),"Consumer Soluções Em Tecnologia Ltda")</f>
        <v>Consumer Soluções Em Tecnologia Ltda</v>
      </c>
      <c r="R7931" s="33">
        <f>IFERROR(__xludf.DUMMYFUNCTION("""COMPUTED_VALUE"""),0.5)</f>
        <v>0.5</v>
      </c>
      <c r="S7931" s="4" t="str">
        <f>IFERROR(__xludf.DUMMYFUNCTION("""COMPUTED_VALUE"""),"Consumer Soluções Em Tecnologia Ltda")</f>
        <v>Consumer Soluções Em Tecnologia Ltda</v>
      </c>
      <c r="T7931" s="33">
        <f>IFERROR(__xludf.DUMMYFUNCTION("""COMPUTED_VALUE"""),0.5)</f>
        <v>0.5</v>
      </c>
      <c r="U7931" s="4" t="str">
        <f>IFERROR(__xludf.DUMMYFUNCTION("""COMPUTED_VALUE"""),"Consumer Soluções Em Tecnologia Ltda")</f>
        <v>Consumer Soluções Em Tecnologia Ltda</v>
      </c>
      <c r="V7931" s="33">
        <f>IFERROR(__xludf.DUMMYFUNCTION("""COMPUTED_VALUE"""),0.5)</f>
        <v>0.5</v>
      </c>
      <c r="W7931" s="4" t="str">
        <f>IFERROR(__xludf.DUMMYFUNCTION("""COMPUTED_VALUE"""),"Consumer Soluções Em Tecnologia Ltda")</f>
        <v>Consumer Soluções Em Tecnologia Ltda</v>
      </c>
      <c r="X7931" s="33">
        <f>IFERROR(__xludf.DUMMYFUNCTION("""COMPUTED_VALUE"""),1.0)</f>
        <v>1</v>
      </c>
    </row>
    <row r="7932">
      <c r="K7932" s="4" t="str">
        <f>IFERROR(__xludf.DUMMYFUNCTION("""COMPUTED_VALUE"""),"TARTALLIA - MARCA")</f>
        <v>TARTALLIA - MARCA</v>
      </c>
      <c r="L7932" s="32">
        <f>IFERROR(__xludf.DUMMYFUNCTION("""COMPUTED_VALUE"""),2.0)</f>
        <v>2</v>
      </c>
      <c r="M7932" s="4" t="str">
        <f>IFERROR(__xludf.DUMMYFUNCTION("""COMPUTED_VALUE"""),"Saipos Serviços De Software")</f>
        <v>Saipos Serviços De Software</v>
      </c>
      <c r="N7932" s="33">
        <f>IFERROR(__xludf.DUMMYFUNCTION("""COMPUTED_VALUE"""),0.5)</f>
        <v>0.5</v>
      </c>
      <c r="O7932" s="4" t="str">
        <f>IFERROR(__xludf.DUMMYFUNCTION("""COMPUTED_VALUE"""),"Saipos Serviços De Software")</f>
        <v>Saipos Serviços De Software</v>
      </c>
      <c r="P7932" s="33">
        <f>IFERROR(__xludf.DUMMYFUNCTION("""COMPUTED_VALUE"""),0.5)</f>
        <v>0.5</v>
      </c>
      <c r="Q7932" s="4" t="str">
        <f>IFERROR(__xludf.DUMMYFUNCTION("""COMPUTED_VALUE"""),"Saipos Serviços De Software")</f>
        <v>Saipos Serviços De Software</v>
      </c>
      <c r="R7932" s="33">
        <f>IFERROR(__xludf.DUMMYFUNCTION("""COMPUTED_VALUE"""),0.5)</f>
        <v>0.5</v>
      </c>
      <c r="S7932" s="4" t="str">
        <f>IFERROR(__xludf.DUMMYFUNCTION("""COMPUTED_VALUE"""),"Saipos Serviços De Software")</f>
        <v>Saipos Serviços De Software</v>
      </c>
      <c r="T7932" s="33">
        <f>IFERROR(__xludf.DUMMYFUNCTION("""COMPUTED_VALUE"""),0.5)</f>
        <v>0.5</v>
      </c>
      <c r="U7932" s="4" t="str">
        <f>IFERROR(__xludf.DUMMYFUNCTION("""COMPUTED_VALUE"""),"Saipos Serviços De Software")</f>
        <v>Saipos Serviços De Software</v>
      </c>
      <c r="V7932" s="33">
        <f>IFERROR(__xludf.DUMMYFUNCTION("""COMPUTED_VALUE"""),0.5)</f>
        <v>0.5</v>
      </c>
      <c r="W7932" s="4" t="str">
        <f>IFERROR(__xludf.DUMMYFUNCTION("""COMPUTED_VALUE"""),"Saipos Serviços De Software")</f>
        <v>Saipos Serviços De Software</v>
      </c>
      <c r="X7932" s="33">
        <f>IFERROR(__xludf.DUMMYFUNCTION("""COMPUTED_VALUE"""),1.0)</f>
        <v>1</v>
      </c>
    </row>
    <row r="7933">
      <c r="K7933" s="4" t="str">
        <f>IFERROR(__xludf.DUMMYFUNCTION("""COMPUTED_VALUE"""),"TARTELIER PATISSERIE - MARCA")</f>
        <v>TARTELIER PATISSERIE - MARCA</v>
      </c>
      <c r="L7933" s="32">
        <f>IFERROR(__xludf.DUMMYFUNCTION("""COMPUTED_VALUE"""),2.0)</f>
        <v>2</v>
      </c>
      <c r="M7933" s="4" t="str">
        <f>IFERROR(__xludf.DUMMYFUNCTION("""COMPUTED_VALUE"""),"Totvs Large Enterprise Tecnologia S.a.")</f>
        <v>Totvs Large Enterprise Tecnologia S.a.</v>
      </c>
      <c r="N7933" s="33">
        <f>IFERROR(__xludf.DUMMYFUNCTION("""COMPUTED_VALUE"""),1.0)</f>
        <v>1</v>
      </c>
      <c r="O7933" s="4" t="str">
        <f>IFERROR(__xludf.DUMMYFUNCTION("""COMPUTED_VALUE"""),"Totvs Large Enterprise Tecnologia S.a.")</f>
        <v>Totvs Large Enterprise Tecnologia S.a.</v>
      </c>
      <c r="P7933" s="33">
        <f>IFERROR(__xludf.DUMMYFUNCTION("""COMPUTED_VALUE"""),1.0)</f>
        <v>1</v>
      </c>
      <c r="Q7933" s="4" t="str">
        <f>IFERROR(__xludf.DUMMYFUNCTION("""COMPUTED_VALUE"""),"Totvs Large Enterprise Tecnologia S.a.")</f>
        <v>Totvs Large Enterprise Tecnologia S.a.</v>
      </c>
      <c r="R7933" s="33">
        <f>IFERROR(__xludf.DUMMYFUNCTION("""COMPUTED_VALUE"""),1.0)</f>
        <v>1</v>
      </c>
      <c r="S7933" s="4" t="str">
        <f>IFERROR(__xludf.DUMMYFUNCTION("""COMPUTED_VALUE"""),"Totvs Large Enterprise Tecnologia S.a.")</f>
        <v>Totvs Large Enterprise Tecnologia S.a.</v>
      </c>
      <c r="T7933" s="33">
        <f>IFERROR(__xludf.DUMMYFUNCTION("""COMPUTED_VALUE"""),1.0)</f>
        <v>1</v>
      </c>
      <c r="U7933" s="4" t="str">
        <f>IFERROR(__xludf.DUMMYFUNCTION("""COMPUTED_VALUE"""),"Totvs Large Enterprise Tecnologia S.a.")</f>
        <v>Totvs Large Enterprise Tecnologia S.a.</v>
      </c>
      <c r="V7933" s="33">
        <f>IFERROR(__xludf.DUMMYFUNCTION("""COMPUTED_VALUE"""),1.0)</f>
        <v>1</v>
      </c>
      <c r="W7933" s="4" t="str">
        <f>IFERROR(__xludf.DUMMYFUNCTION("""COMPUTED_VALUE"""),"Totvs Large Enterprise Tecnologia S.a.")</f>
        <v>Totvs Large Enterprise Tecnologia S.a.</v>
      </c>
      <c r="X7933" s="33">
        <f>IFERROR(__xludf.DUMMYFUNCTION("""COMPUTED_VALUE"""),1.0)</f>
        <v>1</v>
      </c>
    </row>
    <row r="7934">
      <c r="K7934" s="4" t="str">
        <f>IFERROR(__xludf.DUMMYFUNCTION("""COMPUTED_VALUE"""),"TARTONI")</f>
        <v>TARTONI</v>
      </c>
      <c r="L7934" s="32">
        <f>IFERROR(__xludf.DUMMYFUNCTION("""COMPUTED_VALUE"""),2.0)</f>
        <v>2</v>
      </c>
      <c r="M7934" s="4" t="str">
        <f>IFERROR(__xludf.DUMMYFUNCTION("""COMPUTED_VALUE"""),"Bitbar")</f>
        <v>Bitbar</v>
      </c>
      <c r="N7934" s="33">
        <f>IFERROR(__xludf.DUMMYFUNCTION("""COMPUTED_VALUE"""),0.5)</f>
        <v>0.5</v>
      </c>
      <c r="O7934" s="4" t="str">
        <f>IFERROR(__xludf.DUMMYFUNCTION("""COMPUTED_VALUE"""),"Bitbar")</f>
        <v>Bitbar</v>
      </c>
      <c r="P7934" s="33">
        <f>IFERROR(__xludf.DUMMYFUNCTION("""COMPUTED_VALUE"""),0.5)</f>
        <v>0.5</v>
      </c>
      <c r="Q7934" s="4" t="str">
        <f>IFERROR(__xludf.DUMMYFUNCTION("""COMPUTED_VALUE"""),"Bitbar")</f>
        <v>Bitbar</v>
      </c>
      <c r="R7934" s="33">
        <f>IFERROR(__xludf.DUMMYFUNCTION("""COMPUTED_VALUE"""),0.5)</f>
        <v>0.5</v>
      </c>
      <c r="S7934" s="4" t="str">
        <f>IFERROR(__xludf.DUMMYFUNCTION("""COMPUTED_VALUE"""),"null")</f>
        <v>null</v>
      </c>
      <c r="T7934" s="33">
        <f>IFERROR(__xludf.DUMMYFUNCTION("""COMPUTED_VALUE"""),0.5)</f>
        <v>0.5</v>
      </c>
      <c r="U7934" s="4" t="str">
        <f>IFERROR(__xludf.DUMMYFUNCTION("""COMPUTED_VALUE"""),"Bitbar")</f>
        <v>Bitbar</v>
      </c>
      <c r="V7934" s="33">
        <f>IFERROR(__xludf.DUMMYFUNCTION("""COMPUTED_VALUE"""),0.5)</f>
        <v>0.5</v>
      </c>
      <c r="W7934" s="4" t="str">
        <f>IFERROR(__xludf.DUMMYFUNCTION("""COMPUTED_VALUE"""),"null")</f>
        <v>null</v>
      </c>
      <c r="X7934" s="33">
        <f>IFERROR(__xludf.DUMMYFUNCTION("""COMPUTED_VALUE"""),0.5)</f>
        <v>0.5</v>
      </c>
    </row>
    <row r="7935">
      <c r="K7935" s="4" t="str">
        <f>IFERROR(__xludf.DUMMYFUNCTION("""COMPUTED_VALUE"""),"TARTUFERIA SAN PAOLO - MARCA")</f>
        <v>TARTUFERIA SAN PAOLO - MARCA</v>
      </c>
      <c r="L7935" s="32">
        <f>IFERROR(__xludf.DUMMYFUNCTION("""COMPUTED_VALUE"""),2.0)</f>
        <v>2</v>
      </c>
      <c r="M7935" s="4" t="str">
        <f>IFERROR(__xludf.DUMMYFUNCTION("""COMPUTED_VALUE"""),"null")</f>
        <v>null</v>
      </c>
      <c r="N7935" s="33">
        <f>IFERROR(__xludf.DUMMYFUNCTION("""COMPUTED_VALUE"""),1.0)</f>
        <v>1</v>
      </c>
      <c r="O7935" s="4" t="str">
        <f>IFERROR(__xludf.DUMMYFUNCTION("""COMPUTED_VALUE"""),"null")</f>
        <v>null</v>
      </c>
      <c r="P7935" s="33">
        <f>IFERROR(__xludf.DUMMYFUNCTION("""COMPUTED_VALUE"""),1.0)</f>
        <v>1</v>
      </c>
      <c r="Q7935" s="4" t="str">
        <f>IFERROR(__xludf.DUMMYFUNCTION("""COMPUTED_VALUE"""),"null")</f>
        <v>null</v>
      </c>
      <c r="R7935" s="33">
        <f>IFERROR(__xludf.DUMMYFUNCTION("""COMPUTED_VALUE"""),0.5)</f>
        <v>0.5</v>
      </c>
      <c r="S7935" s="4" t="str">
        <f>IFERROR(__xludf.DUMMYFUNCTION("""COMPUTED_VALUE"""),"Ncr")</f>
        <v>Ncr</v>
      </c>
      <c r="T7935" s="33">
        <f>IFERROR(__xludf.DUMMYFUNCTION("""COMPUTED_VALUE"""),1.0)</f>
        <v>1</v>
      </c>
      <c r="U7935" s="4" t="str">
        <f>IFERROR(__xludf.DUMMYFUNCTION("""COMPUTED_VALUE"""),"Ncr")</f>
        <v>Ncr</v>
      </c>
      <c r="V7935" s="33">
        <f>IFERROR(__xludf.DUMMYFUNCTION("""COMPUTED_VALUE"""),1.0)</f>
        <v>1</v>
      </c>
      <c r="W7935" s="4" t="str">
        <f>IFERROR(__xludf.DUMMYFUNCTION("""COMPUTED_VALUE"""),"Ncr")</f>
        <v>Ncr</v>
      </c>
      <c r="X7935" s="33">
        <f>IFERROR(__xludf.DUMMYFUNCTION("""COMPUTED_VALUE"""),1.0)</f>
        <v>1</v>
      </c>
    </row>
    <row r="7936">
      <c r="K7936" s="4" t="str">
        <f>IFERROR(__xludf.DUMMYFUNCTION("""COMPUTED_VALUE"""),"TARUQ CULINARIA ARABE")</f>
        <v>TARUQ CULINARIA ARABE</v>
      </c>
      <c r="L7936" s="32">
        <f>IFERROR(__xludf.DUMMYFUNCTION("""COMPUTED_VALUE"""),2.0)</f>
        <v>2</v>
      </c>
      <c r="M7936" s="4" t="str">
        <f>IFERROR(__xludf.DUMMYFUNCTION("""COMPUTED_VALUE"""),"Netcontroll Xmenu")</f>
        <v>Netcontroll Xmenu</v>
      </c>
      <c r="N7936" s="33">
        <f>IFERROR(__xludf.DUMMYFUNCTION("""COMPUTED_VALUE"""),1.0)</f>
        <v>1</v>
      </c>
      <c r="O7936" s="4" t="str">
        <f>IFERROR(__xludf.DUMMYFUNCTION("""COMPUTED_VALUE"""),"Netcontroll Xmenu")</f>
        <v>Netcontroll Xmenu</v>
      </c>
      <c r="P7936" s="33">
        <f>IFERROR(__xludf.DUMMYFUNCTION("""COMPUTED_VALUE"""),1.0)</f>
        <v>1</v>
      </c>
      <c r="Q7936" s="4" t="str">
        <f>IFERROR(__xludf.DUMMYFUNCTION("""COMPUTED_VALUE"""),"Netcontroll Xmenu")</f>
        <v>Netcontroll Xmenu</v>
      </c>
      <c r="R7936" s="33">
        <f>IFERROR(__xludf.DUMMYFUNCTION("""COMPUTED_VALUE"""),1.0)</f>
        <v>1</v>
      </c>
      <c r="S7936" s="4" t="str">
        <f>IFERROR(__xludf.DUMMYFUNCTION("""COMPUTED_VALUE"""),"Netcontroll Xmenu")</f>
        <v>Netcontroll Xmenu</v>
      </c>
      <c r="T7936" s="33">
        <f>IFERROR(__xludf.DUMMYFUNCTION("""COMPUTED_VALUE"""),1.0)</f>
        <v>1</v>
      </c>
      <c r="U7936" s="4" t="str">
        <f>IFERROR(__xludf.DUMMYFUNCTION("""COMPUTED_VALUE"""),"Netcontroll Xmenu")</f>
        <v>Netcontroll Xmenu</v>
      </c>
      <c r="V7936" s="33">
        <f>IFERROR(__xludf.DUMMYFUNCTION("""COMPUTED_VALUE"""),1.0)</f>
        <v>1</v>
      </c>
      <c r="W7936" s="4" t="str">
        <f>IFERROR(__xludf.DUMMYFUNCTION("""COMPUTED_VALUE"""),"Netcontroll Xmenu")</f>
        <v>Netcontroll Xmenu</v>
      </c>
      <c r="X7936" s="33">
        <f>IFERROR(__xludf.DUMMYFUNCTION("""COMPUTED_VALUE"""),1.0)</f>
        <v>1</v>
      </c>
    </row>
    <row r="7937">
      <c r="K7937" s="4" t="str">
        <f>IFERROR(__xludf.DUMMYFUNCTION("""COMPUTED_VALUE"""),"TASTY BURGUER LOJAS PROPRIAS - CONTA PAI")</f>
        <v>TASTY BURGUER LOJAS PROPRIAS - CONTA PAI</v>
      </c>
      <c r="L7937" s="32">
        <f>IFERROR(__xludf.DUMMYFUNCTION("""COMPUTED_VALUE"""),2.0)</f>
        <v>2</v>
      </c>
      <c r="M7937" s="4" t="str">
        <f>IFERROR(__xludf.DUMMYFUNCTION("""COMPUTED_VALUE"""),"Cardápio Web")</f>
        <v>Cardápio Web</v>
      </c>
      <c r="N7937" s="33">
        <f>IFERROR(__xludf.DUMMYFUNCTION("""COMPUTED_VALUE"""),0.5)</f>
        <v>0.5</v>
      </c>
      <c r="O7937" s="4" t="str">
        <f>IFERROR(__xludf.DUMMYFUNCTION("""COMPUTED_VALUE"""),"Cardápio Web")</f>
        <v>Cardápio Web</v>
      </c>
      <c r="P7937" s="33">
        <f>IFERROR(__xludf.DUMMYFUNCTION("""COMPUTED_VALUE"""),0.5)</f>
        <v>0.5</v>
      </c>
      <c r="Q7937" s="4" t="str">
        <f>IFERROR(__xludf.DUMMYFUNCTION("""COMPUTED_VALUE"""),"Cardápio Web")</f>
        <v>Cardápio Web</v>
      </c>
      <c r="R7937" s="33">
        <f>IFERROR(__xludf.DUMMYFUNCTION("""COMPUTED_VALUE"""),0.5)</f>
        <v>0.5</v>
      </c>
      <c r="S7937" s="4" t="str">
        <f>IFERROR(__xludf.DUMMYFUNCTION("""COMPUTED_VALUE"""),"Cardápio Web")</f>
        <v>Cardápio Web</v>
      </c>
      <c r="T7937" s="33">
        <f>IFERROR(__xludf.DUMMYFUNCTION("""COMPUTED_VALUE"""),0.5)</f>
        <v>0.5</v>
      </c>
      <c r="U7937" s="4" t="str">
        <f>IFERROR(__xludf.DUMMYFUNCTION("""COMPUTED_VALUE"""),"Cardápio Web")</f>
        <v>Cardápio Web</v>
      </c>
      <c r="V7937" s="33">
        <f>IFERROR(__xludf.DUMMYFUNCTION("""COMPUTED_VALUE"""),1.0)</f>
        <v>1</v>
      </c>
      <c r="W7937" s="4" t="str">
        <f>IFERROR(__xludf.DUMMYFUNCTION("""COMPUTED_VALUE"""),"Cardápio Web")</f>
        <v>Cardápio Web</v>
      </c>
      <c r="X7937" s="33">
        <f>IFERROR(__xludf.DUMMYFUNCTION("""COMPUTED_VALUE"""),1.0)</f>
        <v>1</v>
      </c>
    </row>
    <row r="7938">
      <c r="K7938" s="4" t="str">
        <f>IFERROR(__xludf.DUMMYFUNCTION("""COMPUTED_VALUE"""),"TATOES")</f>
        <v>TATOES</v>
      </c>
      <c r="L7938" s="32">
        <f>IFERROR(__xludf.DUMMYFUNCTION("""COMPUTED_VALUE"""),2.0)</f>
        <v>2</v>
      </c>
      <c r="M7938" s="4" t="str">
        <f>IFERROR(__xludf.DUMMYFUNCTION("""COMPUTED_VALUE"""),"Stone Co.")</f>
        <v>Stone Co.</v>
      </c>
      <c r="N7938" s="33">
        <f>IFERROR(__xludf.DUMMYFUNCTION("""COMPUTED_VALUE"""),1.0)</f>
        <v>1</v>
      </c>
      <c r="O7938" s="4" t="str">
        <f>IFERROR(__xludf.DUMMYFUNCTION("""COMPUTED_VALUE"""),"Stone Co.")</f>
        <v>Stone Co.</v>
      </c>
      <c r="P7938" s="33">
        <f>IFERROR(__xludf.DUMMYFUNCTION("""COMPUTED_VALUE"""),1.0)</f>
        <v>1</v>
      </c>
      <c r="Q7938" s="4" t="str">
        <f>IFERROR(__xludf.DUMMYFUNCTION("""COMPUTED_VALUE"""),"Stone Co.")</f>
        <v>Stone Co.</v>
      </c>
      <c r="R7938" s="33">
        <f>IFERROR(__xludf.DUMMYFUNCTION("""COMPUTED_VALUE"""),1.0)</f>
        <v>1</v>
      </c>
      <c r="S7938" s="4" t="str">
        <f>IFERROR(__xludf.DUMMYFUNCTION("""COMPUTED_VALUE"""),"Stone Co.")</f>
        <v>Stone Co.</v>
      </c>
      <c r="T7938" s="33">
        <f>IFERROR(__xludf.DUMMYFUNCTION("""COMPUTED_VALUE"""),1.0)</f>
        <v>1</v>
      </c>
      <c r="U7938" s="4" t="str">
        <f>IFERROR(__xludf.DUMMYFUNCTION("""COMPUTED_VALUE"""),"Stone Co.")</f>
        <v>Stone Co.</v>
      </c>
      <c r="V7938" s="33">
        <f>IFERROR(__xludf.DUMMYFUNCTION("""COMPUTED_VALUE"""),1.0)</f>
        <v>1</v>
      </c>
      <c r="W7938" s="4" t="str">
        <f>IFERROR(__xludf.DUMMYFUNCTION("""COMPUTED_VALUE"""),"Stone Co.")</f>
        <v>Stone Co.</v>
      </c>
      <c r="X7938" s="33">
        <f>IFERROR(__xludf.DUMMYFUNCTION("""COMPUTED_VALUE"""),1.0)</f>
        <v>1</v>
      </c>
    </row>
    <row r="7939">
      <c r="K7939" s="4" t="str">
        <f>IFERROR(__xludf.DUMMYFUNCTION("""COMPUTED_VALUE"""),"TEDS CHIPPY PIZZARIA")</f>
        <v>TEDS CHIPPY PIZZARIA</v>
      </c>
      <c r="L7939" s="32">
        <f>IFERROR(__xludf.DUMMYFUNCTION("""COMPUTED_VALUE"""),2.0)</f>
        <v>2</v>
      </c>
      <c r="M7939" s="4" t="str">
        <f>IFERROR(__xludf.DUMMYFUNCTION("""COMPUTED_VALUE"""),"Saipos Serviços De Software")</f>
        <v>Saipos Serviços De Software</v>
      </c>
      <c r="N7939" s="33">
        <f>IFERROR(__xludf.DUMMYFUNCTION("""COMPUTED_VALUE"""),1.0)</f>
        <v>1</v>
      </c>
      <c r="O7939" s="4" t="str">
        <f>IFERROR(__xludf.DUMMYFUNCTION("""COMPUTED_VALUE"""),"Saipos Serviços De Software")</f>
        <v>Saipos Serviços De Software</v>
      </c>
      <c r="P7939" s="33">
        <f>IFERROR(__xludf.DUMMYFUNCTION("""COMPUTED_VALUE"""),1.0)</f>
        <v>1</v>
      </c>
      <c r="Q7939" s="4" t="str">
        <f>IFERROR(__xludf.DUMMYFUNCTION("""COMPUTED_VALUE"""),"Saipos Serviços De Software")</f>
        <v>Saipos Serviços De Software</v>
      </c>
      <c r="R7939" s="33">
        <f>IFERROR(__xludf.DUMMYFUNCTION("""COMPUTED_VALUE"""),1.0)</f>
        <v>1</v>
      </c>
      <c r="S7939" s="4" t="str">
        <f>IFERROR(__xludf.DUMMYFUNCTION("""COMPUTED_VALUE"""),"Saipos Serviços De Software")</f>
        <v>Saipos Serviços De Software</v>
      </c>
      <c r="T7939" s="33">
        <f>IFERROR(__xludf.DUMMYFUNCTION("""COMPUTED_VALUE"""),1.0)</f>
        <v>1</v>
      </c>
      <c r="U7939" s="4" t="str">
        <f>IFERROR(__xludf.DUMMYFUNCTION("""COMPUTED_VALUE"""),"Saipos Serviços De Software")</f>
        <v>Saipos Serviços De Software</v>
      </c>
      <c r="V7939" s="33">
        <f>IFERROR(__xludf.DUMMYFUNCTION("""COMPUTED_VALUE"""),1.0)</f>
        <v>1</v>
      </c>
      <c r="W7939" s="4" t="str">
        <f>IFERROR(__xludf.DUMMYFUNCTION("""COMPUTED_VALUE"""),"Saipos Serviços De Software")</f>
        <v>Saipos Serviços De Software</v>
      </c>
      <c r="X7939" s="33">
        <f>IFERROR(__xludf.DUMMYFUNCTION("""COMPUTED_VALUE"""),1.0)</f>
        <v>1</v>
      </c>
    </row>
    <row r="7940">
      <c r="K7940" s="4" t="str">
        <f>IFERROR(__xludf.DUMMYFUNCTION("""COMPUTED_VALUE"""),"TEICHI TEMAKERIA SUSHI BAR")</f>
        <v>TEICHI TEMAKERIA SUSHI BAR</v>
      </c>
      <c r="L7940" s="32">
        <f>IFERROR(__xludf.DUMMYFUNCTION("""COMPUTED_VALUE"""),2.0)</f>
        <v>2</v>
      </c>
      <c r="M7940" s="4" t="str">
        <f>IFERROR(__xludf.DUMMYFUNCTION("""COMPUTED_VALUE"""),"Ncr")</f>
        <v>Ncr</v>
      </c>
      <c r="N7940" s="33">
        <f>IFERROR(__xludf.DUMMYFUNCTION("""COMPUTED_VALUE"""),0.5)</f>
        <v>0.5</v>
      </c>
      <c r="O7940" s="4" t="str">
        <f>IFERROR(__xludf.DUMMYFUNCTION("""COMPUTED_VALUE"""),"Ncr")</f>
        <v>Ncr</v>
      </c>
      <c r="P7940" s="33">
        <f>IFERROR(__xludf.DUMMYFUNCTION("""COMPUTED_VALUE"""),0.5)</f>
        <v>0.5</v>
      </c>
      <c r="Q7940" s="4" t="str">
        <f>IFERROR(__xludf.DUMMYFUNCTION("""COMPUTED_VALUE"""),"Ncr")</f>
        <v>Ncr</v>
      </c>
      <c r="R7940" s="33">
        <f>IFERROR(__xludf.DUMMYFUNCTION("""COMPUTED_VALUE"""),0.5)</f>
        <v>0.5</v>
      </c>
      <c r="S7940" s="4" t="str">
        <f>IFERROR(__xludf.DUMMYFUNCTION("""COMPUTED_VALUE"""),"Ncr")</f>
        <v>Ncr</v>
      </c>
      <c r="T7940" s="33">
        <f>IFERROR(__xludf.DUMMYFUNCTION("""COMPUTED_VALUE"""),1.0)</f>
        <v>1</v>
      </c>
      <c r="U7940" s="4" t="str">
        <f>IFERROR(__xludf.DUMMYFUNCTION("""COMPUTED_VALUE"""),"Ncr")</f>
        <v>Ncr</v>
      </c>
      <c r="V7940" s="33">
        <f>IFERROR(__xludf.DUMMYFUNCTION("""COMPUTED_VALUE"""),1.0)</f>
        <v>1</v>
      </c>
      <c r="W7940" s="4" t="str">
        <f>IFERROR(__xludf.DUMMYFUNCTION("""COMPUTED_VALUE"""),"Ncr")</f>
        <v>Ncr</v>
      </c>
      <c r="X7940" s="33">
        <f>IFERROR(__xludf.DUMMYFUNCTION("""COMPUTED_VALUE"""),1.0)</f>
        <v>1</v>
      </c>
    </row>
    <row r="7941">
      <c r="K7941" s="4" t="str">
        <f>IFERROR(__xludf.DUMMYFUNCTION("""COMPUTED_VALUE"""),"TELE CHINA - CONTA MARCA")</f>
        <v>TELE CHINA - CONTA MARCA</v>
      </c>
      <c r="L7941" s="32">
        <f>IFERROR(__xludf.DUMMYFUNCTION("""COMPUTED_VALUE"""),2.0)</f>
        <v>2</v>
      </c>
      <c r="M7941" s="4" t="str">
        <f>IFERROR(__xludf.DUMMYFUNCTION("""COMPUTED_VALUE"""),"Saipos Serviços De Software")</f>
        <v>Saipos Serviços De Software</v>
      </c>
      <c r="N7941" s="33">
        <f>IFERROR(__xludf.DUMMYFUNCTION("""COMPUTED_VALUE"""),1.0)</f>
        <v>1</v>
      </c>
      <c r="O7941" s="4" t="str">
        <f>IFERROR(__xludf.DUMMYFUNCTION("""COMPUTED_VALUE"""),"Saipos Serviços De Software")</f>
        <v>Saipos Serviços De Software</v>
      </c>
      <c r="P7941" s="33">
        <f>IFERROR(__xludf.DUMMYFUNCTION("""COMPUTED_VALUE"""),1.0)</f>
        <v>1</v>
      </c>
      <c r="Q7941" s="4" t="str">
        <f>IFERROR(__xludf.DUMMYFUNCTION("""COMPUTED_VALUE"""),"Saipos Serviços De Software")</f>
        <v>Saipos Serviços De Software</v>
      </c>
      <c r="R7941" s="33">
        <f>IFERROR(__xludf.DUMMYFUNCTION("""COMPUTED_VALUE"""),1.0)</f>
        <v>1</v>
      </c>
      <c r="S7941" s="4" t="str">
        <f>IFERROR(__xludf.DUMMYFUNCTION("""COMPUTED_VALUE"""),"Saipos Serviços De Software")</f>
        <v>Saipos Serviços De Software</v>
      </c>
      <c r="T7941" s="33">
        <f>IFERROR(__xludf.DUMMYFUNCTION("""COMPUTED_VALUE"""),1.0)</f>
        <v>1</v>
      </c>
      <c r="U7941" s="4" t="str">
        <f>IFERROR(__xludf.DUMMYFUNCTION("""COMPUTED_VALUE"""),"Saipos Serviços De Software")</f>
        <v>Saipos Serviços De Software</v>
      </c>
      <c r="V7941" s="33">
        <f>IFERROR(__xludf.DUMMYFUNCTION("""COMPUTED_VALUE"""),1.0)</f>
        <v>1</v>
      </c>
      <c r="W7941" s="4" t="str">
        <f>IFERROR(__xludf.DUMMYFUNCTION("""COMPUTED_VALUE"""),"Saipos Serviços De Software")</f>
        <v>Saipos Serviços De Software</v>
      </c>
      <c r="X7941" s="33">
        <f>IFERROR(__xludf.DUMMYFUNCTION("""COMPUTED_VALUE"""),1.0)</f>
        <v>1</v>
      </c>
    </row>
    <row r="7942">
      <c r="K7942" s="4" t="str">
        <f>IFERROR(__xludf.DUMMYFUNCTION("""COMPUTED_VALUE"""),"TEMAE JAPANESE E FOOD")</f>
        <v>TEMAE JAPANESE E FOOD</v>
      </c>
      <c r="L7942" s="32">
        <f>IFERROR(__xludf.DUMMYFUNCTION("""COMPUTED_VALUE"""),2.0)</f>
        <v>2</v>
      </c>
      <c r="M7942" s="4" t="str">
        <f>IFERROR(__xludf.DUMMYFUNCTION("""COMPUTED_VALUE"""),"Saipos Serviços De Software")</f>
        <v>Saipos Serviços De Software</v>
      </c>
      <c r="N7942" s="33">
        <f>IFERROR(__xludf.DUMMYFUNCTION("""COMPUTED_VALUE"""),1.0)</f>
        <v>1</v>
      </c>
      <c r="O7942" s="4" t="str">
        <f>IFERROR(__xludf.DUMMYFUNCTION("""COMPUTED_VALUE"""),"Saipos Serviços De Software")</f>
        <v>Saipos Serviços De Software</v>
      </c>
      <c r="P7942" s="33">
        <f>IFERROR(__xludf.DUMMYFUNCTION("""COMPUTED_VALUE"""),1.0)</f>
        <v>1</v>
      </c>
      <c r="Q7942" s="4" t="str">
        <f>IFERROR(__xludf.DUMMYFUNCTION("""COMPUTED_VALUE"""),"Saipos Serviços De Software")</f>
        <v>Saipos Serviços De Software</v>
      </c>
      <c r="R7942" s="33">
        <f>IFERROR(__xludf.DUMMYFUNCTION("""COMPUTED_VALUE"""),1.0)</f>
        <v>1</v>
      </c>
      <c r="S7942" s="4" t="str">
        <f>IFERROR(__xludf.DUMMYFUNCTION("""COMPUTED_VALUE"""),"Saipos Serviços De Software")</f>
        <v>Saipos Serviços De Software</v>
      </c>
      <c r="T7942" s="33">
        <f>IFERROR(__xludf.DUMMYFUNCTION("""COMPUTED_VALUE"""),1.0)</f>
        <v>1</v>
      </c>
      <c r="U7942" s="4" t="str">
        <f>IFERROR(__xludf.DUMMYFUNCTION("""COMPUTED_VALUE"""),"Saipos Serviços De Software")</f>
        <v>Saipos Serviços De Software</v>
      </c>
      <c r="V7942" s="33">
        <f>IFERROR(__xludf.DUMMYFUNCTION("""COMPUTED_VALUE"""),1.0)</f>
        <v>1</v>
      </c>
      <c r="W7942" s="4" t="str">
        <f>IFERROR(__xludf.DUMMYFUNCTION("""COMPUTED_VALUE"""),"Saipos Serviços De Software")</f>
        <v>Saipos Serviços De Software</v>
      </c>
      <c r="X7942" s="33">
        <f>IFERROR(__xludf.DUMMYFUNCTION("""COMPUTED_VALUE"""),1.0)</f>
        <v>1</v>
      </c>
    </row>
    <row r="7943">
      <c r="K7943" s="4" t="str">
        <f>IFERROR(__xludf.DUMMYFUNCTION("""COMPUTED_VALUE"""),"TEMPERO DA ALDEIA - CONTA MARCA")</f>
        <v>TEMPERO DA ALDEIA - CONTA MARCA</v>
      </c>
      <c r="L7943" s="32">
        <f>IFERROR(__xludf.DUMMYFUNCTION("""COMPUTED_VALUE"""),2.0)</f>
        <v>2</v>
      </c>
      <c r="M7943" s="4" t="str">
        <f>IFERROR(__xludf.DUMMYFUNCTION("""COMPUTED_VALUE"""),"Eclética Tecnologia")</f>
        <v>Eclética Tecnologia</v>
      </c>
      <c r="N7943" s="33">
        <f>IFERROR(__xludf.DUMMYFUNCTION("""COMPUTED_VALUE"""),1.0)</f>
        <v>1</v>
      </c>
      <c r="O7943" s="4" t="str">
        <f>IFERROR(__xludf.DUMMYFUNCTION("""COMPUTED_VALUE"""),"Eclética Tecnologia")</f>
        <v>Eclética Tecnologia</v>
      </c>
      <c r="P7943" s="33">
        <f>IFERROR(__xludf.DUMMYFUNCTION("""COMPUTED_VALUE"""),1.0)</f>
        <v>1</v>
      </c>
      <c r="Q7943" s="4" t="str">
        <f>IFERROR(__xludf.DUMMYFUNCTION("""COMPUTED_VALUE"""),"Eclética Tecnologia")</f>
        <v>Eclética Tecnologia</v>
      </c>
      <c r="R7943" s="33">
        <f>IFERROR(__xludf.DUMMYFUNCTION("""COMPUTED_VALUE"""),1.0)</f>
        <v>1</v>
      </c>
      <c r="S7943" s="4" t="str">
        <f>IFERROR(__xludf.DUMMYFUNCTION("""COMPUTED_VALUE"""),"Eclética Tecnologia")</f>
        <v>Eclética Tecnologia</v>
      </c>
      <c r="T7943" s="33">
        <f>IFERROR(__xludf.DUMMYFUNCTION("""COMPUTED_VALUE"""),1.0)</f>
        <v>1</v>
      </c>
      <c r="U7943" s="4" t="str">
        <f>IFERROR(__xludf.DUMMYFUNCTION("""COMPUTED_VALUE"""),"Eclética Tecnologia")</f>
        <v>Eclética Tecnologia</v>
      </c>
      <c r="V7943" s="33">
        <f>IFERROR(__xludf.DUMMYFUNCTION("""COMPUTED_VALUE"""),1.0)</f>
        <v>1</v>
      </c>
      <c r="W7943" s="4" t="str">
        <f>IFERROR(__xludf.DUMMYFUNCTION("""COMPUTED_VALUE"""),"Eclética Tecnologia")</f>
        <v>Eclética Tecnologia</v>
      </c>
      <c r="X7943" s="33">
        <f>IFERROR(__xludf.DUMMYFUNCTION("""COMPUTED_VALUE"""),1.0)</f>
        <v>1</v>
      </c>
    </row>
    <row r="7944">
      <c r="K7944" s="4" t="str">
        <f>IFERROR(__xludf.DUMMYFUNCTION("""COMPUTED_VALUE"""),"TEMPERO DA ROCA - CONTA PAI")</f>
        <v>TEMPERO DA ROCA - CONTA PAI</v>
      </c>
      <c r="L7944" s="32">
        <f>IFERROR(__xludf.DUMMYFUNCTION("""COMPUTED_VALUE"""),2.0)</f>
        <v>2</v>
      </c>
      <c r="M7944" s="4" t="str">
        <f>IFERROR(__xludf.DUMMYFUNCTION("""COMPUTED_VALUE"""),"null")</f>
        <v>null</v>
      </c>
      <c r="N7944" s="33">
        <f>IFERROR(__xludf.DUMMYFUNCTION("""COMPUTED_VALUE"""),1.0)</f>
        <v>1</v>
      </c>
      <c r="O7944" s="4" t="str">
        <f>IFERROR(__xludf.DUMMYFUNCTION("""COMPUTED_VALUE"""),"null")</f>
        <v>null</v>
      </c>
      <c r="P7944" s="33">
        <f>IFERROR(__xludf.DUMMYFUNCTION("""COMPUTED_VALUE"""),1.0)</f>
        <v>1</v>
      </c>
      <c r="Q7944" s="4" t="str">
        <f>IFERROR(__xludf.DUMMYFUNCTION("""COMPUTED_VALUE"""),"Saipos Serviços De Software")</f>
        <v>Saipos Serviços De Software</v>
      </c>
      <c r="R7944" s="33">
        <f>IFERROR(__xludf.DUMMYFUNCTION("""COMPUTED_VALUE"""),1.0)</f>
        <v>1</v>
      </c>
      <c r="S7944" s="4" t="str">
        <f>IFERROR(__xludf.DUMMYFUNCTION("""COMPUTED_VALUE"""),"Saipos Serviços De Software")</f>
        <v>Saipos Serviços De Software</v>
      </c>
      <c r="T7944" s="33">
        <f>IFERROR(__xludf.DUMMYFUNCTION("""COMPUTED_VALUE"""),1.0)</f>
        <v>1</v>
      </c>
      <c r="U7944" s="4" t="str">
        <f>IFERROR(__xludf.DUMMYFUNCTION("""COMPUTED_VALUE"""),"Saipos Serviços De Software")</f>
        <v>Saipos Serviços De Software</v>
      </c>
      <c r="V7944" s="33">
        <f>IFERROR(__xludf.DUMMYFUNCTION("""COMPUTED_VALUE"""),1.0)</f>
        <v>1</v>
      </c>
      <c r="W7944" s="4" t="str">
        <f>IFERROR(__xludf.DUMMYFUNCTION("""COMPUTED_VALUE"""),"Saipos Serviços De Software")</f>
        <v>Saipos Serviços De Software</v>
      </c>
      <c r="X7944" s="33">
        <f>IFERROR(__xludf.DUMMYFUNCTION("""COMPUTED_VALUE"""),1.0)</f>
        <v>1</v>
      </c>
    </row>
    <row r="7945">
      <c r="K7945" s="4" t="str">
        <f>IFERROR(__xludf.DUMMYFUNCTION("""COMPUTED_VALUE"""),"TEMPERO DA VOVO RIBEIRAO")</f>
        <v>TEMPERO DA VOVO RIBEIRAO</v>
      </c>
      <c r="L7945" s="32">
        <f>IFERROR(__xludf.DUMMYFUNCTION("""COMPUTED_VALUE"""),2.0)</f>
        <v>2</v>
      </c>
      <c r="M7945" s="4" t="str">
        <f>IFERROR(__xludf.DUMMYFUNCTION("""COMPUTED_VALUE"""),"Saipos Serviços De Software")</f>
        <v>Saipos Serviços De Software</v>
      </c>
      <c r="N7945" s="33">
        <f>IFERROR(__xludf.DUMMYFUNCTION("""COMPUTED_VALUE"""),1.0)</f>
        <v>1</v>
      </c>
      <c r="O7945" s="4" t="str">
        <f>IFERROR(__xludf.DUMMYFUNCTION("""COMPUTED_VALUE"""),"Saipos Serviços De Software")</f>
        <v>Saipos Serviços De Software</v>
      </c>
      <c r="P7945" s="33">
        <f>IFERROR(__xludf.DUMMYFUNCTION("""COMPUTED_VALUE"""),1.0)</f>
        <v>1</v>
      </c>
      <c r="Q7945" s="4" t="str">
        <f>IFERROR(__xludf.DUMMYFUNCTION("""COMPUTED_VALUE"""),"Saipos Serviços De Software")</f>
        <v>Saipos Serviços De Software</v>
      </c>
      <c r="R7945" s="33">
        <f>IFERROR(__xludf.DUMMYFUNCTION("""COMPUTED_VALUE"""),1.0)</f>
        <v>1</v>
      </c>
      <c r="S7945" s="4" t="str">
        <f>IFERROR(__xludf.DUMMYFUNCTION("""COMPUTED_VALUE"""),"Saipos Serviços De Software")</f>
        <v>Saipos Serviços De Software</v>
      </c>
      <c r="T7945" s="33">
        <f>IFERROR(__xludf.DUMMYFUNCTION("""COMPUTED_VALUE"""),1.0)</f>
        <v>1</v>
      </c>
      <c r="U7945" s="4" t="str">
        <f>IFERROR(__xludf.DUMMYFUNCTION("""COMPUTED_VALUE"""),"Saipos Serviços De Software")</f>
        <v>Saipos Serviços De Software</v>
      </c>
      <c r="V7945" s="33">
        <f>IFERROR(__xludf.DUMMYFUNCTION("""COMPUTED_VALUE"""),1.0)</f>
        <v>1</v>
      </c>
      <c r="W7945" s="4" t="str">
        <f>IFERROR(__xludf.DUMMYFUNCTION("""COMPUTED_VALUE"""),"Saipos Serviços De Software")</f>
        <v>Saipos Serviços De Software</v>
      </c>
      <c r="X7945" s="33">
        <f>IFERROR(__xludf.DUMMYFUNCTION("""COMPUTED_VALUE"""),1.0)</f>
        <v>1</v>
      </c>
    </row>
    <row r="7946">
      <c r="K7946" s="4" t="str">
        <f>IFERROR(__xludf.DUMMYFUNCTION("""COMPUTED_VALUE"""),"TEVA")</f>
        <v>TEVA</v>
      </c>
      <c r="L7946" s="32">
        <f>IFERROR(__xludf.DUMMYFUNCTION("""COMPUTED_VALUE"""),2.0)</f>
        <v>2</v>
      </c>
      <c r="M7946" s="4" t="str">
        <f>IFERROR(__xludf.DUMMYFUNCTION("""COMPUTED_VALUE"""),"Totvs Large Enterprise Tecnologia S.a.")</f>
        <v>Totvs Large Enterprise Tecnologia S.a.</v>
      </c>
      <c r="N7946" s="33">
        <f>IFERROR(__xludf.DUMMYFUNCTION("""COMPUTED_VALUE"""),0.5)</f>
        <v>0.5</v>
      </c>
      <c r="O7946" s="4" t="str">
        <f>IFERROR(__xludf.DUMMYFUNCTION("""COMPUTED_VALUE"""),"null")</f>
        <v>null</v>
      </c>
      <c r="P7946" s="33">
        <f>IFERROR(__xludf.DUMMYFUNCTION("""COMPUTED_VALUE"""),0.5)</f>
        <v>0.5</v>
      </c>
      <c r="Q7946" s="4" t="str">
        <f>IFERROR(__xludf.DUMMYFUNCTION("""COMPUTED_VALUE"""),"null")</f>
        <v>null</v>
      </c>
      <c r="R7946" s="33">
        <f>IFERROR(__xludf.DUMMYFUNCTION("""COMPUTED_VALUE"""),0.5)</f>
        <v>0.5</v>
      </c>
      <c r="S7946" s="4" t="str">
        <f>IFERROR(__xludf.DUMMYFUNCTION("""COMPUTED_VALUE"""),"null")</f>
        <v>null</v>
      </c>
      <c r="T7946" s="33">
        <f>IFERROR(__xludf.DUMMYFUNCTION("""COMPUTED_VALUE"""),1.0)</f>
        <v>1</v>
      </c>
      <c r="U7946" s="4" t="str">
        <f>IFERROR(__xludf.DUMMYFUNCTION("""COMPUTED_VALUE"""),"null")</f>
        <v>null</v>
      </c>
      <c r="V7946" s="33">
        <f>IFERROR(__xludf.DUMMYFUNCTION("""COMPUTED_VALUE"""),0.5)</f>
        <v>0.5</v>
      </c>
      <c r="W7946" s="4" t="str">
        <f>IFERROR(__xludf.DUMMYFUNCTION("""COMPUTED_VALUE"""),"Totvs Large Enterprise Tecnologia S.a.")</f>
        <v>Totvs Large Enterprise Tecnologia S.a.</v>
      </c>
      <c r="X7946" s="33">
        <f>IFERROR(__xludf.DUMMYFUNCTION("""COMPUTED_VALUE"""),0.5)</f>
        <v>0.5</v>
      </c>
    </row>
    <row r="7947">
      <c r="K7947" s="4" t="str">
        <f>IFERROR(__xludf.DUMMYFUNCTION("""COMPUTED_VALUE"""),"THAI FOOD RESTAURANTE")</f>
        <v>THAI FOOD RESTAURANTE</v>
      </c>
      <c r="L7947" s="32">
        <f>IFERROR(__xludf.DUMMYFUNCTION("""COMPUTED_VALUE"""),2.0)</f>
        <v>2</v>
      </c>
      <c r="M7947" s="4" t="str">
        <f>IFERROR(__xludf.DUMMYFUNCTION("""COMPUTED_VALUE"""),"Saipos Serviços De Software")</f>
        <v>Saipos Serviços De Software</v>
      </c>
      <c r="N7947" s="33">
        <f>IFERROR(__xludf.DUMMYFUNCTION("""COMPUTED_VALUE"""),1.0)</f>
        <v>1</v>
      </c>
      <c r="O7947" s="4" t="str">
        <f>IFERROR(__xludf.DUMMYFUNCTION("""COMPUTED_VALUE"""),"Saipos Serviços De Software")</f>
        <v>Saipos Serviços De Software</v>
      </c>
      <c r="P7947" s="33">
        <f>IFERROR(__xludf.DUMMYFUNCTION("""COMPUTED_VALUE"""),1.0)</f>
        <v>1</v>
      </c>
      <c r="Q7947" s="4" t="str">
        <f>IFERROR(__xludf.DUMMYFUNCTION("""COMPUTED_VALUE"""),"Saipos Serviços De Software")</f>
        <v>Saipos Serviços De Software</v>
      </c>
      <c r="R7947" s="33">
        <f>IFERROR(__xludf.DUMMYFUNCTION("""COMPUTED_VALUE"""),1.0)</f>
        <v>1</v>
      </c>
      <c r="S7947" s="4" t="str">
        <f>IFERROR(__xludf.DUMMYFUNCTION("""COMPUTED_VALUE"""),"Saipos Serviços De Software")</f>
        <v>Saipos Serviços De Software</v>
      </c>
      <c r="T7947" s="33">
        <f>IFERROR(__xludf.DUMMYFUNCTION("""COMPUTED_VALUE"""),1.0)</f>
        <v>1</v>
      </c>
      <c r="U7947" s="4" t="str">
        <f>IFERROR(__xludf.DUMMYFUNCTION("""COMPUTED_VALUE"""),"Saipos Serviços De Software")</f>
        <v>Saipos Serviços De Software</v>
      </c>
      <c r="V7947" s="33">
        <f>IFERROR(__xludf.DUMMYFUNCTION("""COMPUTED_VALUE"""),1.0)</f>
        <v>1</v>
      </c>
      <c r="W7947" s="4" t="str">
        <f>IFERROR(__xludf.DUMMYFUNCTION("""COMPUTED_VALUE"""),"Saipos Serviços De Software")</f>
        <v>Saipos Serviços De Software</v>
      </c>
      <c r="X7947" s="33">
        <f>IFERROR(__xludf.DUMMYFUNCTION("""COMPUTED_VALUE"""),1.0)</f>
        <v>1</v>
      </c>
    </row>
    <row r="7948">
      <c r="K7948" s="4" t="str">
        <f>IFERROR(__xludf.DUMMYFUNCTION("""COMPUTED_VALUE"""),"THE BEST AJU")</f>
        <v>THE BEST AJU</v>
      </c>
      <c r="L7948" s="32">
        <f>IFERROR(__xludf.DUMMYFUNCTION("""COMPUTED_VALUE"""),2.0)</f>
        <v>2</v>
      </c>
      <c r="M7948" s="4" t="str">
        <f>IFERROR(__xludf.DUMMYFUNCTION("""COMPUTED_VALUE"""),"Saipos Serviços De Software")</f>
        <v>Saipos Serviços De Software</v>
      </c>
      <c r="N7948" s="33">
        <f>IFERROR(__xludf.DUMMYFUNCTION("""COMPUTED_VALUE"""),1.0)</f>
        <v>1</v>
      </c>
      <c r="O7948" s="4" t="str">
        <f>IFERROR(__xludf.DUMMYFUNCTION("""COMPUTED_VALUE"""),"Saipos Serviços De Software")</f>
        <v>Saipos Serviços De Software</v>
      </c>
      <c r="P7948" s="33">
        <f>IFERROR(__xludf.DUMMYFUNCTION("""COMPUTED_VALUE"""),1.0)</f>
        <v>1</v>
      </c>
      <c r="Q7948" s="4" t="str">
        <f>IFERROR(__xludf.DUMMYFUNCTION("""COMPUTED_VALUE"""),"Saipos Serviços De Software")</f>
        <v>Saipos Serviços De Software</v>
      </c>
      <c r="R7948" s="33">
        <f>IFERROR(__xludf.DUMMYFUNCTION("""COMPUTED_VALUE"""),1.0)</f>
        <v>1</v>
      </c>
      <c r="S7948" s="4" t="str">
        <f>IFERROR(__xludf.DUMMYFUNCTION("""COMPUTED_VALUE"""),"Saipos Serviços De Software")</f>
        <v>Saipos Serviços De Software</v>
      </c>
      <c r="T7948" s="33">
        <f>IFERROR(__xludf.DUMMYFUNCTION("""COMPUTED_VALUE"""),1.0)</f>
        <v>1</v>
      </c>
      <c r="U7948" s="4" t="str">
        <f>IFERROR(__xludf.DUMMYFUNCTION("""COMPUTED_VALUE"""),"Saipos Serviços De Software")</f>
        <v>Saipos Serviços De Software</v>
      </c>
      <c r="V7948" s="33">
        <f>IFERROR(__xludf.DUMMYFUNCTION("""COMPUTED_VALUE"""),1.0)</f>
        <v>1</v>
      </c>
      <c r="W7948" s="4" t="str">
        <f>IFERROR(__xludf.DUMMYFUNCTION("""COMPUTED_VALUE"""),"Saipos Serviços De Software")</f>
        <v>Saipos Serviços De Software</v>
      </c>
      <c r="X7948" s="33">
        <f>IFERROR(__xludf.DUMMYFUNCTION("""COMPUTED_VALUE"""),1.0)</f>
        <v>1</v>
      </c>
    </row>
    <row r="7949">
      <c r="K7949" s="4" t="str">
        <f>IFERROR(__xludf.DUMMYFUNCTION("""COMPUTED_VALUE"""),"THE BLACK HOT DOG - CP")</f>
        <v>THE BLACK HOT DOG - CP</v>
      </c>
      <c r="L7949" s="32">
        <f>IFERROR(__xludf.DUMMYFUNCTION("""COMPUTED_VALUE"""),2.0)</f>
        <v>2</v>
      </c>
      <c r="M7949" s="4" t="str">
        <f>IFERROR(__xludf.DUMMYFUNCTION("""COMPUTED_VALUE"""),"null")</f>
        <v>null</v>
      </c>
      <c r="N7949" s="33">
        <f>IFERROR(__xludf.DUMMYFUNCTION("""COMPUTED_VALUE"""),1.0)</f>
        <v>1</v>
      </c>
      <c r="O7949" s="4" t="str">
        <f>IFERROR(__xludf.DUMMYFUNCTION("""COMPUTED_VALUE"""),"null")</f>
        <v>null</v>
      </c>
      <c r="P7949" s="33">
        <f>IFERROR(__xludf.DUMMYFUNCTION("""COMPUTED_VALUE"""),1.0)</f>
        <v>1</v>
      </c>
      <c r="Q7949" s="4" t="str">
        <f>IFERROR(__xludf.DUMMYFUNCTION("""COMPUTED_VALUE"""),"Saipos Serviços De Software")</f>
        <v>Saipos Serviços De Software</v>
      </c>
      <c r="R7949" s="33">
        <f>IFERROR(__xludf.DUMMYFUNCTION("""COMPUTED_VALUE"""),1.0)</f>
        <v>1</v>
      </c>
      <c r="S7949" s="4" t="str">
        <f>IFERROR(__xludf.DUMMYFUNCTION("""COMPUTED_VALUE"""),"Saipos Serviços De Software")</f>
        <v>Saipos Serviços De Software</v>
      </c>
      <c r="T7949" s="33">
        <f>IFERROR(__xludf.DUMMYFUNCTION("""COMPUTED_VALUE"""),1.0)</f>
        <v>1</v>
      </c>
      <c r="U7949" s="4" t="str">
        <f>IFERROR(__xludf.DUMMYFUNCTION("""COMPUTED_VALUE"""),"Saipos Serviços De Software")</f>
        <v>Saipos Serviços De Software</v>
      </c>
      <c r="V7949" s="33">
        <f>IFERROR(__xludf.DUMMYFUNCTION("""COMPUTED_VALUE"""),1.0)</f>
        <v>1</v>
      </c>
      <c r="W7949" s="4" t="str">
        <f>IFERROR(__xludf.DUMMYFUNCTION("""COMPUTED_VALUE"""),"Saipos Serviços De Software")</f>
        <v>Saipos Serviços De Software</v>
      </c>
      <c r="X7949" s="33">
        <f>IFERROR(__xludf.DUMMYFUNCTION("""COMPUTED_VALUE"""),1.0)</f>
        <v>1</v>
      </c>
    </row>
    <row r="7950">
      <c r="K7950" s="4" t="str">
        <f>IFERROR(__xludf.DUMMYFUNCTION("""COMPUTED_VALUE"""),"THE BRUTUS BURGER - SM")</f>
        <v>THE BRUTUS BURGER - SM</v>
      </c>
      <c r="L7950" s="32">
        <f>IFERROR(__xludf.DUMMYFUNCTION("""COMPUTED_VALUE"""),2.0)</f>
        <v>2</v>
      </c>
      <c r="M7950" s="4" t="str">
        <f>IFERROR(__xludf.DUMMYFUNCTION("""COMPUTED_VALUE"""),"null")</f>
        <v>null</v>
      </c>
      <c r="N7950" s="33">
        <f>IFERROR(__xludf.DUMMYFUNCTION("""COMPUTED_VALUE"""),0.5)</f>
        <v>0.5</v>
      </c>
      <c r="O7950" s="4" t="str">
        <f>IFERROR(__xludf.DUMMYFUNCTION("""COMPUTED_VALUE"""),"null")</f>
        <v>null</v>
      </c>
      <c r="P7950" s="33">
        <f>IFERROR(__xludf.DUMMYFUNCTION("""COMPUTED_VALUE"""),0.5)</f>
        <v>0.5</v>
      </c>
      <c r="Q7950" s="4" t="str">
        <f>IFERROR(__xludf.DUMMYFUNCTION("""COMPUTED_VALUE"""),"null")</f>
        <v>null</v>
      </c>
      <c r="R7950" s="33">
        <f>IFERROR(__xludf.DUMMYFUNCTION("""COMPUTED_VALUE"""),0.5)</f>
        <v>0.5</v>
      </c>
      <c r="S7950" s="4" t="str">
        <f>IFERROR(__xludf.DUMMYFUNCTION("""COMPUTED_VALUE"""),"Saipos Serviços De Software")</f>
        <v>Saipos Serviços De Software</v>
      </c>
      <c r="T7950" s="33">
        <f>IFERROR(__xludf.DUMMYFUNCTION("""COMPUTED_VALUE"""),1.0)</f>
        <v>1</v>
      </c>
      <c r="U7950" s="4" t="str">
        <f>IFERROR(__xludf.DUMMYFUNCTION("""COMPUTED_VALUE"""),"Saipos Serviços De Software")</f>
        <v>Saipos Serviços De Software</v>
      </c>
      <c r="V7950" s="33">
        <f>IFERROR(__xludf.DUMMYFUNCTION("""COMPUTED_VALUE"""),1.0)</f>
        <v>1</v>
      </c>
      <c r="W7950" s="4" t="str">
        <f>IFERROR(__xludf.DUMMYFUNCTION("""COMPUTED_VALUE"""),"Saipos Serviços De Software")</f>
        <v>Saipos Serviços De Software</v>
      </c>
      <c r="X7950" s="33">
        <f>IFERROR(__xludf.DUMMYFUNCTION("""COMPUTED_VALUE"""),1.0)</f>
        <v>1</v>
      </c>
    </row>
    <row r="7951">
      <c r="K7951" s="4" t="str">
        <f>IFERROR(__xludf.DUMMYFUNCTION("""COMPUTED_VALUE"""),"THE DEW BURGER")</f>
        <v>THE DEW BURGER</v>
      </c>
      <c r="L7951" s="32">
        <f>IFERROR(__xludf.DUMMYFUNCTION("""COMPUTED_VALUE"""),2.0)</f>
        <v>2</v>
      </c>
      <c r="M7951" s="4" t="str">
        <f>IFERROR(__xludf.DUMMYFUNCTION("""COMPUTED_VALUE"""),"Vuca Solution")</f>
        <v>Vuca Solution</v>
      </c>
      <c r="N7951" s="33">
        <f>IFERROR(__xludf.DUMMYFUNCTION("""COMPUTED_VALUE"""),1.0)</f>
        <v>1</v>
      </c>
      <c r="O7951" s="4" t="str">
        <f>IFERROR(__xludf.DUMMYFUNCTION("""COMPUTED_VALUE"""),"Vuca Solution")</f>
        <v>Vuca Solution</v>
      </c>
      <c r="P7951" s="33">
        <f>IFERROR(__xludf.DUMMYFUNCTION("""COMPUTED_VALUE"""),1.0)</f>
        <v>1</v>
      </c>
      <c r="Q7951" s="4" t="str">
        <f>IFERROR(__xludf.DUMMYFUNCTION("""COMPUTED_VALUE"""),"Vuca Solution")</f>
        <v>Vuca Solution</v>
      </c>
      <c r="R7951" s="33">
        <f>IFERROR(__xludf.DUMMYFUNCTION("""COMPUTED_VALUE"""),1.0)</f>
        <v>1</v>
      </c>
      <c r="S7951" s="4" t="str">
        <f>IFERROR(__xludf.DUMMYFUNCTION("""COMPUTED_VALUE"""),"Vuca Solution")</f>
        <v>Vuca Solution</v>
      </c>
      <c r="T7951" s="33">
        <f>IFERROR(__xludf.DUMMYFUNCTION("""COMPUTED_VALUE"""),1.0)</f>
        <v>1</v>
      </c>
      <c r="U7951" s="4" t="str">
        <f>IFERROR(__xludf.DUMMYFUNCTION("""COMPUTED_VALUE"""),"Vuca Solution")</f>
        <v>Vuca Solution</v>
      </c>
      <c r="V7951" s="33">
        <f>IFERROR(__xludf.DUMMYFUNCTION("""COMPUTED_VALUE"""),1.0)</f>
        <v>1</v>
      </c>
      <c r="W7951" s="4" t="str">
        <f>IFERROR(__xludf.DUMMYFUNCTION("""COMPUTED_VALUE"""),"Vuca Solution")</f>
        <v>Vuca Solution</v>
      </c>
      <c r="X7951" s="33">
        <f>IFERROR(__xludf.DUMMYFUNCTION("""COMPUTED_VALUE"""),1.0)</f>
        <v>1</v>
      </c>
    </row>
    <row r="7952">
      <c r="K7952" s="4" t="str">
        <f>IFERROR(__xludf.DUMMYFUNCTION("""COMPUTED_VALUE"""),"THE FISH")</f>
        <v>THE FISH</v>
      </c>
      <c r="L7952" s="32">
        <f>IFERROR(__xludf.DUMMYFUNCTION("""COMPUTED_VALUE"""),2.0)</f>
        <v>2</v>
      </c>
      <c r="M7952" s="4" t="str">
        <f>IFERROR(__xludf.DUMMYFUNCTION("""COMPUTED_VALUE"""),"Saipos Serviços De Software")</f>
        <v>Saipos Serviços De Software</v>
      </c>
      <c r="N7952" s="33">
        <f>IFERROR(__xludf.DUMMYFUNCTION("""COMPUTED_VALUE"""),1.0)</f>
        <v>1</v>
      </c>
      <c r="O7952" s="4" t="str">
        <f>IFERROR(__xludf.DUMMYFUNCTION("""COMPUTED_VALUE"""),"Saipos Serviços De Software")</f>
        <v>Saipos Serviços De Software</v>
      </c>
      <c r="P7952" s="33">
        <f>IFERROR(__xludf.DUMMYFUNCTION("""COMPUTED_VALUE"""),1.0)</f>
        <v>1</v>
      </c>
      <c r="Q7952" s="4" t="str">
        <f>IFERROR(__xludf.DUMMYFUNCTION("""COMPUTED_VALUE"""),"Saipos Serviços De Software")</f>
        <v>Saipos Serviços De Software</v>
      </c>
      <c r="R7952" s="33">
        <f>IFERROR(__xludf.DUMMYFUNCTION("""COMPUTED_VALUE"""),1.0)</f>
        <v>1</v>
      </c>
      <c r="S7952" s="4" t="str">
        <f>IFERROR(__xludf.DUMMYFUNCTION("""COMPUTED_VALUE"""),"Saipos Serviços De Software")</f>
        <v>Saipos Serviços De Software</v>
      </c>
      <c r="T7952" s="33">
        <f>IFERROR(__xludf.DUMMYFUNCTION("""COMPUTED_VALUE"""),1.0)</f>
        <v>1</v>
      </c>
      <c r="U7952" s="4" t="str">
        <f>IFERROR(__xludf.DUMMYFUNCTION("""COMPUTED_VALUE"""),"Saipos Serviços De Software")</f>
        <v>Saipos Serviços De Software</v>
      </c>
      <c r="V7952" s="33">
        <f>IFERROR(__xludf.DUMMYFUNCTION("""COMPUTED_VALUE"""),1.0)</f>
        <v>1</v>
      </c>
      <c r="W7952" s="4" t="str">
        <f>IFERROR(__xludf.DUMMYFUNCTION("""COMPUTED_VALUE"""),"Saipos Serviços De Software")</f>
        <v>Saipos Serviços De Software</v>
      </c>
      <c r="X7952" s="33">
        <f>IFERROR(__xludf.DUMMYFUNCTION("""COMPUTED_VALUE"""),1.0)</f>
        <v>1</v>
      </c>
    </row>
    <row r="7953">
      <c r="K7953" s="4" t="str">
        <f>IFERROR(__xludf.DUMMYFUNCTION("""COMPUTED_VALUE"""),"THE HOUSE")</f>
        <v>THE HOUSE</v>
      </c>
      <c r="L7953" s="32">
        <f>IFERROR(__xludf.DUMMYFUNCTION("""COMPUTED_VALUE"""),2.0)</f>
        <v>2</v>
      </c>
      <c r="M7953" s="4" t="str">
        <f>IFERROR(__xludf.DUMMYFUNCTION("""COMPUTED_VALUE"""),"Gnc Tecnologia")</f>
        <v>Gnc Tecnologia</v>
      </c>
      <c r="N7953" s="33">
        <f>IFERROR(__xludf.DUMMYFUNCTION("""COMPUTED_VALUE"""),1.0)</f>
        <v>1</v>
      </c>
      <c r="O7953" s="4" t="str">
        <f>IFERROR(__xludf.DUMMYFUNCTION("""COMPUTED_VALUE"""),"null")</f>
        <v>null</v>
      </c>
      <c r="P7953" s="33">
        <f>IFERROR(__xludf.DUMMYFUNCTION("""COMPUTED_VALUE"""),0.5)</f>
        <v>0.5</v>
      </c>
      <c r="Q7953" s="4" t="str">
        <f>IFERROR(__xludf.DUMMYFUNCTION("""COMPUTED_VALUE"""),"null")</f>
        <v>null</v>
      </c>
      <c r="R7953" s="33">
        <f>IFERROR(__xludf.DUMMYFUNCTION("""COMPUTED_VALUE"""),1.0)</f>
        <v>1</v>
      </c>
      <c r="S7953" s="4" t="str">
        <f>IFERROR(__xludf.DUMMYFUNCTION("""COMPUTED_VALUE"""),"Saipos Serviços De Software")</f>
        <v>Saipos Serviços De Software</v>
      </c>
      <c r="T7953" s="33">
        <f>IFERROR(__xludf.DUMMYFUNCTION("""COMPUTED_VALUE"""),1.0)</f>
        <v>1</v>
      </c>
      <c r="U7953" s="4" t="str">
        <f>IFERROR(__xludf.DUMMYFUNCTION("""COMPUTED_VALUE"""),"Saipos Serviços De Software")</f>
        <v>Saipos Serviços De Software</v>
      </c>
      <c r="V7953" s="33">
        <f>IFERROR(__xludf.DUMMYFUNCTION("""COMPUTED_VALUE"""),1.0)</f>
        <v>1</v>
      </c>
      <c r="W7953" s="4" t="str">
        <f>IFERROR(__xludf.DUMMYFUNCTION("""COMPUTED_VALUE"""),"Saipos Serviços De Software")</f>
        <v>Saipos Serviços De Software</v>
      </c>
      <c r="X7953" s="33">
        <f>IFERROR(__xludf.DUMMYFUNCTION("""COMPUTED_VALUE"""),1.0)</f>
        <v>1</v>
      </c>
    </row>
    <row r="7954">
      <c r="K7954" s="4" t="str">
        <f>IFERROR(__xludf.DUMMYFUNCTION("""COMPUTED_VALUE"""),"THE ROOSTER - FRANGO FRITO NO BALDE - MARCA")</f>
        <v>THE ROOSTER - FRANGO FRITO NO BALDE - MARCA</v>
      </c>
      <c r="L7954" s="32">
        <f>IFERROR(__xludf.DUMMYFUNCTION("""COMPUTED_VALUE"""),2.0)</f>
        <v>2</v>
      </c>
      <c r="M7954" s="4" t="str">
        <f>IFERROR(__xludf.DUMMYFUNCTION("""COMPUTED_VALUE"""),"Anota Ai Solucoes Digitais S/a")</f>
        <v>Anota Ai Solucoes Digitais S/a</v>
      </c>
      <c r="N7954" s="33">
        <f>IFERROR(__xludf.DUMMYFUNCTION("""COMPUTED_VALUE"""),0.5)</f>
        <v>0.5</v>
      </c>
      <c r="O7954" s="4" t="str">
        <f>IFERROR(__xludf.DUMMYFUNCTION("""COMPUTED_VALUE"""),"Anota Ai Solucoes Digitais S/a")</f>
        <v>Anota Ai Solucoes Digitais S/a</v>
      </c>
      <c r="P7954" s="33">
        <f>IFERROR(__xludf.DUMMYFUNCTION("""COMPUTED_VALUE"""),0.5)</f>
        <v>0.5</v>
      </c>
      <c r="Q7954" s="4" t="str">
        <f>IFERROR(__xludf.DUMMYFUNCTION("""COMPUTED_VALUE"""),"Anota Ai Solucoes Digitais S/a")</f>
        <v>Anota Ai Solucoes Digitais S/a</v>
      </c>
      <c r="R7954" s="33">
        <f>IFERROR(__xludf.DUMMYFUNCTION("""COMPUTED_VALUE"""),0.5)</f>
        <v>0.5</v>
      </c>
      <c r="S7954" s="4" t="str">
        <f>IFERROR(__xludf.DUMMYFUNCTION("""COMPUTED_VALUE"""),"Anota Ai Solucoes Digitais S/a")</f>
        <v>Anota Ai Solucoes Digitais S/a</v>
      </c>
      <c r="T7954" s="33">
        <f>IFERROR(__xludf.DUMMYFUNCTION("""COMPUTED_VALUE"""),0.5)</f>
        <v>0.5</v>
      </c>
      <c r="U7954" s="4" t="str">
        <f>IFERROR(__xludf.DUMMYFUNCTION("""COMPUTED_VALUE"""),"Saipos Serviços De Software")</f>
        <v>Saipos Serviços De Software</v>
      </c>
      <c r="V7954" s="33">
        <f>IFERROR(__xludf.DUMMYFUNCTION("""COMPUTED_VALUE"""),1.0)</f>
        <v>1</v>
      </c>
      <c r="W7954" s="4" t="str">
        <f>IFERROR(__xludf.DUMMYFUNCTION("""COMPUTED_VALUE"""),"Saipos Serviços De Software")</f>
        <v>Saipos Serviços De Software</v>
      </c>
      <c r="X7954" s="33">
        <f>IFERROR(__xludf.DUMMYFUNCTION("""COMPUTED_VALUE"""),1.0)</f>
        <v>1</v>
      </c>
    </row>
    <row r="7955">
      <c r="K7955" s="4" t="str">
        <f>IFERROR(__xludf.DUMMYFUNCTION("""COMPUTED_VALUE"""),"THE W RESTAURANTE")</f>
        <v>THE W RESTAURANTE</v>
      </c>
      <c r="L7955" s="32">
        <f>IFERROR(__xludf.DUMMYFUNCTION("""COMPUTED_VALUE"""),2.0)</f>
        <v>2</v>
      </c>
      <c r="M7955" s="4" t="str">
        <f>IFERROR(__xludf.DUMMYFUNCTION("""COMPUTED_VALUE"""),"null")</f>
        <v>null</v>
      </c>
      <c r="N7955" s="33">
        <f>IFERROR(__xludf.DUMMYFUNCTION("""COMPUTED_VALUE"""),0.5)</f>
        <v>0.5</v>
      </c>
      <c r="O7955" s="4" t="str">
        <f>IFERROR(__xludf.DUMMYFUNCTION("""COMPUTED_VALUE"""),"null")</f>
        <v>null</v>
      </c>
      <c r="P7955" s="33">
        <f>IFERROR(__xludf.DUMMYFUNCTION("""COMPUTED_VALUE"""),0.5)</f>
        <v>0.5</v>
      </c>
      <c r="Q7955" s="4" t="str">
        <f>IFERROR(__xludf.DUMMYFUNCTION("""COMPUTED_VALUE"""),"null")</f>
        <v>null</v>
      </c>
      <c r="R7955" s="33">
        <f>IFERROR(__xludf.DUMMYFUNCTION("""COMPUTED_VALUE"""),0.5)</f>
        <v>0.5</v>
      </c>
      <c r="S7955" s="4" t="str">
        <f>IFERROR(__xludf.DUMMYFUNCTION("""COMPUTED_VALUE"""),"Menew - Linx")</f>
        <v>Menew - Linx</v>
      </c>
      <c r="T7955" s="33">
        <f>IFERROR(__xludf.DUMMYFUNCTION("""COMPUTED_VALUE"""),1.0)</f>
        <v>1</v>
      </c>
      <c r="U7955" s="4" t="str">
        <f>IFERROR(__xludf.DUMMYFUNCTION("""COMPUTED_VALUE"""),"Menew - Linx")</f>
        <v>Menew - Linx</v>
      </c>
      <c r="V7955" s="33">
        <f>IFERROR(__xludf.DUMMYFUNCTION("""COMPUTED_VALUE"""),1.0)</f>
        <v>1</v>
      </c>
      <c r="W7955" s="4" t="str">
        <f>IFERROR(__xludf.DUMMYFUNCTION("""COMPUTED_VALUE"""),"Menew - Linx")</f>
        <v>Menew - Linx</v>
      </c>
      <c r="X7955" s="33">
        <f>IFERROR(__xludf.DUMMYFUNCTION("""COMPUTED_VALUE"""),1.0)</f>
        <v>1</v>
      </c>
    </row>
    <row r="7956">
      <c r="K7956" s="4" t="str">
        <f>IFERROR(__xludf.DUMMYFUNCTION("""COMPUTED_VALUE"""),"THIAGO LANCHES")</f>
        <v>THIAGO LANCHES</v>
      </c>
      <c r="L7956" s="32">
        <f>IFERROR(__xludf.DUMMYFUNCTION("""COMPUTED_VALUE"""),2.0)</f>
        <v>2</v>
      </c>
      <c r="M7956" s="4" t="str">
        <f>IFERROR(__xludf.DUMMYFUNCTION("""COMPUTED_VALUE"""),"Cardápio Web")</f>
        <v>Cardápio Web</v>
      </c>
      <c r="N7956" s="33">
        <f>IFERROR(__xludf.DUMMYFUNCTION("""COMPUTED_VALUE"""),1.0)</f>
        <v>1</v>
      </c>
      <c r="O7956" s="4" t="str">
        <f>IFERROR(__xludf.DUMMYFUNCTION("""COMPUTED_VALUE"""),"Cardápio Web")</f>
        <v>Cardápio Web</v>
      </c>
      <c r="P7956" s="33">
        <f>IFERROR(__xludf.DUMMYFUNCTION("""COMPUTED_VALUE"""),1.0)</f>
        <v>1</v>
      </c>
      <c r="Q7956" s="4" t="str">
        <f>IFERROR(__xludf.DUMMYFUNCTION("""COMPUTED_VALUE"""),"Cardápio Web")</f>
        <v>Cardápio Web</v>
      </c>
      <c r="R7956" s="33">
        <f>IFERROR(__xludf.DUMMYFUNCTION("""COMPUTED_VALUE"""),1.0)</f>
        <v>1</v>
      </c>
      <c r="S7956" s="4" t="str">
        <f>IFERROR(__xludf.DUMMYFUNCTION("""COMPUTED_VALUE"""),"Cardápio Web")</f>
        <v>Cardápio Web</v>
      </c>
      <c r="T7956" s="33">
        <f>IFERROR(__xludf.DUMMYFUNCTION("""COMPUTED_VALUE"""),1.0)</f>
        <v>1</v>
      </c>
      <c r="U7956" s="4" t="str">
        <f>IFERROR(__xludf.DUMMYFUNCTION("""COMPUTED_VALUE"""),"Cardápio Web")</f>
        <v>Cardápio Web</v>
      </c>
      <c r="V7956" s="33">
        <f>IFERROR(__xludf.DUMMYFUNCTION("""COMPUTED_VALUE"""),1.0)</f>
        <v>1</v>
      </c>
      <c r="W7956" s="4" t="str">
        <f>IFERROR(__xludf.DUMMYFUNCTION("""COMPUTED_VALUE"""),"Cardápio Web")</f>
        <v>Cardápio Web</v>
      </c>
      <c r="X7956" s="33">
        <f>IFERROR(__xludf.DUMMYFUNCTION("""COMPUTED_VALUE"""),1.0)</f>
        <v>1</v>
      </c>
    </row>
    <row r="7957">
      <c r="K7957" s="4" t="str">
        <f>IFERROR(__xludf.DUMMYFUNCTION("""COMPUTED_VALUE"""),"THORPES BRIGADERIA")</f>
        <v>THORPES BRIGADERIA</v>
      </c>
      <c r="L7957" s="32">
        <f>IFERROR(__xludf.DUMMYFUNCTION("""COMPUTED_VALUE"""),2.0)</f>
        <v>2</v>
      </c>
      <c r="M7957" s="4" t="str">
        <f>IFERROR(__xludf.DUMMYFUNCTION("""COMPUTED_VALUE"""),"null")</f>
        <v>null</v>
      </c>
      <c r="N7957" s="33">
        <f>IFERROR(__xludf.DUMMYFUNCTION("""COMPUTED_VALUE"""),0.5)</f>
        <v>0.5</v>
      </c>
      <c r="O7957" s="4" t="str">
        <f>IFERROR(__xludf.DUMMYFUNCTION("""COMPUTED_VALUE"""),"null")</f>
        <v>null</v>
      </c>
      <c r="P7957" s="33">
        <f>IFERROR(__xludf.DUMMYFUNCTION("""COMPUTED_VALUE"""),0.5)</f>
        <v>0.5</v>
      </c>
      <c r="Q7957" s="4" t="str">
        <f>IFERROR(__xludf.DUMMYFUNCTION("""COMPUTED_VALUE"""),"L&amp;f Tecnologia Sistemas E Comercio Ltda")</f>
        <v>L&amp;f Tecnologia Sistemas E Comercio Ltda</v>
      </c>
      <c r="R7957" s="33">
        <f>IFERROR(__xludf.DUMMYFUNCTION("""COMPUTED_VALUE"""),1.0)</f>
        <v>1</v>
      </c>
      <c r="S7957" s="4" t="str">
        <f>IFERROR(__xludf.DUMMYFUNCTION("""COMPUTED_VALUE"""),"null")</f>
        <v>null</v>
      </c>
      <c r="T7957" s="33">
        <f>IFERROR(__xludf.DUMMYFUNCTION("""COMPUTED_VALUE"""),0.5)</f>
        <v>0.5</v>
      </c>
      <c r="U7957" s="4" t="str">
        <f>IFERROR(__xludf.DUMMYFUNCTION("""COMPUTED_VALUE"""),"L&amp;f Tecnologia Sistemas E Comercio Ltda")</f>
        <v>L&amp;f Tecnologia Sistemas E Comercio Ltda</v>
      </c>
      <c r="V7957" s="33">
        <f>IFERROR(__xludf.DUMMYFUNCTION("""COMPUTED_VALUE"""),1.0)</f>
        <v>1</v>
      </c>
      <c r="W7957" s="4" t="str">
        <f>IFERROR(__xludf.DUMMYFUNCTION("""COMPUTED_VALUE"""),"null")</f>
        <v>null</v>
      </c>
      <c r="X7957" s="33">
        <f>IFERROR(__xludf.DUMMYFUNCTION("""COMPUTED_VALUE"""),0.5)</f>
        <v>0.5</v>
      </c>
    </row>
    <row r="7958">
      <c r="K7958" s="4" t="str">
        <f>IFERROR(__xludf.DUMMYFUNCTION("""COMPUTED_VALUE"""),"TIA BRASILEIRA - CONTA MARCA")</f>
        <v>TIA BRASILEIRA - CONTA MARCA</v>
      </c>
      <c r="L7958" s="32">
        <f>IFERROR(__xludf.DUMMYFUNCTION("""COMPUTED_VALUE"""),2.0)</f>
        <v>2</v>
      </c>
      <c r="M7958" s="4" t="str">
        <f>IFERROR(__xludf.DUMMYFUNCTION("""COMPUTED_VALUE"""),"Brendi")</f>
        <v>Brendi</v>
      </c>
      <c r="N7958" s="33">
        <f>IFERROR(__xludf.DUMMYFUNCTION("""COMPUTED_VALUE"""),1.0)</f>
        <v>1</v>
      </c>
      <c r="O7958" s="4" t="str">
        <f>IFERROR(__xludf.DUMMYFUNCTION("""COMPUTED_VALUE"""),"Brendi")</f>
        <v>Brendi</v>
      </c>
      <c r="P7958" s="33">
        <f>IFERROR(__xludf.DUMMYFUNCTION("""COMPUTED_VALUE"""),1.0)</f>
        <v>1</v>
      </c>
      <c r="Q7958" s="4" t="str">
        <f>IFERROR(__xludf.DUMMYFUNCTION("""COMPUTED_VALUE"""),"Brendi")</f>
        <v>Brendi</v>
      </c>
      <c r="R7958" s="33">
        <f>IFERROR(__xludf.DUMMYFUNCTION("""COMPUTED_VALUE"""),1.0)</f>
        <v>1</v>
      </c>
      <c r="S7958" s="4" t="str">
        <f>IFERROR(__xludf.DUMMYFUNCTION("""COMPUTED_VALUE"""),"Brendi")</f>
        <v>Brendi</v>
      </c>
      <c r="T7958" s="33">
        <f>IFERROR(__xludf.DUMMYFUNCTION("""COMPUTED_VALUE"""),1.0)</f>
        <v>1</v>
      </c>
      <c r="U7958" s="4" t="str">
        <f>IFERROR(__xludf.DUMMYFUNCTION("""COMPUTED_VALUE"""),"Brendi")</f>
        <v>Brendi</v>
      </c>
      <c r="V7958" s="33">
        <f>IFERROR(__xludf.DUMMYFUNCTION("""COMPUTED_VALUE"""),1.0)</f>
        <v>1</v>
      </c>
      <c r="W7958" s="4" t="str">
        <f>IFERROR(__xludf.DUMMYFUNCTION("""COMPUTED_VALUE"""),"N/A (Not found)")</f>
        <v>N/A (Not found)</v>
      </c>
      <c r="X7958" s="33">
        <f>IFERROR(__xludf.DUMMYFUNCTION("""COMPUTED_VALUE"""),1.0)</f>
        <v>1</v>
      </c>
    </row>
    <row r="7959">
      <c r="K7959" s="4" t="str">
        <f>IFERROR(__xludf.DUMMYFUNCTION("""COMPUTED_VALUE"""),"TICIANA WERNER")</f>
        <v>TICIANA WERNER</v>
      </c>
      <c r="L7959" s="32">
        <f>IFERROR(__xludf.DUMMYFUNCTION("""COMPUTED_VALUE"""),2.0)</f>
        <v>2</v>
      </c>
      <c r="M7959" s="4" t="str">
        <f>IFERROR(__xludf.DUMMYFUNCTION("""COMPUTED_VALUE"""),"Eclética Tecnologia")</f>
        <v>Eclética Tecnologia</v>
      </c>
      <c r="N7959" s="33">
        <f>IFERROR(__xludf.DUMMYFUNCTION("""COMPUTED_VALUE"""),1.0)</f>
        <v>1</v>
      </c>
      <c r="O7959" s="4" t="str">
        <f>IFERROR(__xludf.DUMMYFUNCTION("""COMPUTED_VALUE"""),"null")</f>
        <v>null</v>
      </c>
      <c r="P7959" s="33">
        <f>IFERROR(__xludf.DUMMYFUNCTION("""COMPUTED_VALUE"""),0.5)</f>
        <v>0.5</v>
      </c>
      <c r="Q7959" s="4" t="str">
        <f>IFERROR(__xludf.DUMMYFUNCTION("""COMPUTED_VALUE"""),"null")</f>
        <v>null</v>
      </c>
      <c r="R7959" s="33">
        <f>IFERROR(__xludf.DUMMYFUNCTION("""COMPUTED_VALUE"""),0.5)</f>
        <v>0.5</v>
      </c>
      <c r="S7959" s="4" t="str">
        <f>IFERROR(__xludf.DUMMYFUNCTION("""COMPUTED_VALUE"""),"null")</f>
        <v>null</v>
      </c>
      <c r="T7959" s="33">
        <f>IFERROR(__xludf.DUMMYFUNCTION("""COMPUTED_VALUE"""),0.5)</f>
        <v>0.5</v>
      </c>
      <c r="U7959" s="4" t="str">
        <f>IFERROR(__xludf.DUMMYFUNCTION("""COMPUTED_VALUE"""),"null")</f>
        <v>null</v>
      </c>
      <c r="V7959" s="33">
        <f>IFERROR(__xludf.DUMMYFUNCTION("""COMPUTED_VALUE"""),0.5)</f>
        <v>0.5</v>
      </c>
      <c r="W7959" s="4" t="str">
        <f>IFERROR(__xludf.DUMMYFUNCTION("""COMPUTED_VALUE"""),"null")</f>
        <v>null</v>
      </c>
      <c r="X7959" s="33">
        <f>IFERROR(__xludf.DUMMYFUNCTION("""COMPUTED_VALUE"""),0.5)</f>
        <v>0.5</v>
      </c>
    </row>
    <row r="7960">
      <c r="K7960" s="4" t="str">
        <f>IFERROR(__xludf.DUMMYFUNCTION("""COMPUTED_VALUE"""),"TIO ARMENIO - FORTALEZA CONTA MARCA")</f>
        <v>TIO ARMENIO - FORTALEZA CONTA MARCA</v>
      </c>
      <c r="L7960" s="32">
        <f>IFERROR(__xludf.DUMMYFUNCTION("""COMPUTED_VALUE"""),2.0)</f>
        <v>2</v>
      </c>
      <c r="M7960" s="4" t="str">
        <f>IFERROR(__xludf.DUMMYFUNCTION("""COMPUTED_VALUE"""),"F-rest Sistema Para Food Service Ltda")</f>
        <v>F-rest Sistema Para Food Service Ltda</v>
      </c>
      <c r="N7960" s="33">
        <f>IFERROR(__xludf.DUMMYFUNCTION("""COMPUTED_VALUE"""),0.5)</f>
        <v>0.5</v>
      </c>
      <c r="O7960" s="4" t="str">
        <f>IFERROR(__xludf.DUMMYFUNCTION("""COMPUTED_VALUE"""),"F-rest Sistema Para Food Service Ltda")</f>
        <v>F-rest Sistema Para Food Service Ltda</v>
      </c>
      <c r="P7960" s="33">
        <f>IFERROR(__xludf.DUMMYFUNCTION("""COMPUTED_VALUE"""),1.0)</f>
        <v>1</v>
      </c>
      <c r="Q7960" s="4" t="str">
        <f>IFERROR(__xludf.DUMMYFUNCTION("""COMPUTED_VALUE"""),"F-rest Sistema Para Food Service Ltda")</f>
        <v>F-rest Sistema Para Food Service Ltda</v>
      </c>
      <c r="R7960" s="33">
        <f>IFERROR(__xludf.DUMMYFUNCTION("""COMPUTED_VALUE"""),0.5)</f>
        <v>0.5</v>
      </c>
      <c r="S7960" s="4" t="str">
        <f>IFERROR(__xludf.DUMMYFUNCTION("""COMPUTED_VALUE"""),"F-rest Sistema Para Food Service Ltda")</f>
        <v>F-rest Sistema Para Food Service Ltda</v>
      </c>
      <c r="T7960" s="33">
        <f>IFERROR(__xludf.DUMMYFUNCTION("""COMPUTED_VALUE"""),0.5)</f>
        <v>0.5</v>
      </c>
      <c r="U7960" s="4" t="str">
        <f>IFERROR(__xludf.DUMMYFUNCTION("""COMPUTED_VALUE"""),"null")</f>
        <v>null</v>
      </c>
      <c r="V7960" s="33">
        <f>IFERROR(__xludf.DUMMYFUNCTION("""COMPUTED_VALUE"""),1.0)</f>
        <v>1</v>
      </c>
      <c r="W7960" s="4" t="str">
        <f>IFERROR(__xludf.DUMMYFUNCTION("""COMPUTED_VALUE"""),"F-rest Sistema Para Food Service Ltda")</f>
        <v>F-rest Sistema Para Food Service Ltda</v>
      </c>
      <c r="X7960" s="33">
        <f>IFERROR(__xludf.DUMMYFUNCTION("""COMPUTED_VALUE"""),1.0)</f>
        <v>1</v>
      </c>
    </row>
    <row r="7961">
      <c r="K7961" s="4" t="str">
        <f>IFERROR(__xludf.DUMMYFUNCTION("""COMPUTED_VALUE"""),"TIO LANCHES")</f>
        <v>TIO LANCHES</v>
      </c>
      <c r="L7961" s="32">
        <f>IFERROR(__xludf.DUMMYFUNCTION("""COMPUTED_VALUE"""),2.0)</f>
        <v>2</v>
      </c>
      <c r="M7961" s="4" t="str">
        <f>IFERROR(__xludf.DUMMYFUNCTION("""COMPUTED_VALUE"""),"Berp Sistemas")</f>
        <v>Berp Sistemas</v>
      </c>
      <c r="N7961" s="33">
        <f>IFERROR(__xludf.DUMMYFUNCTION("""COMPUTED_VALUE"""),1.0)</f>
        <v>1</v>
      </c>
      <c r="O7961" s="4" t="str">
        <f>IFERROR(__xludf.DUMMYFUNCTION("""COMPUTED_VALUE"""),"Berp Sistemas")</f>
        <v>Berp Sistemas</v>
      </c>
      <c r="P7961" s="33">
        <f>IFERROR(__xludf.DUMMYFUNCTION("""COMPUTED_VALUE"""),1.0)</f>
        <v>1</v>
      </c>
      <c r="Q7961" s="4" t="str">
        <f>IFERROR(__xludf.DUMMYFUNCTION("""COMPUTED_VALUE"""),"Berp Sistemas")</f>
        <v>Berp Sistemas</v>
      </c>
      <c r="R7961" s="33">
        <f>IFERROR(__xludf.DUMMYFUNCTION("""COMPUTED_VALUE"""),1.0)</f>
        <v>1</v>
      </c>
      <c r="S7961" s="4" t="str">
        <f>IFERROR(__xludf.DUMMYFUNCTION("""COMPUTED_VALUE"""),"Berp Sistemas")</f>
        <v>Berp Sistemas</v>
      </c>
      <c r="T7961" s="33">
        <f>IFERROR(__xludf.DUMMYFUNCTION("""COMPUTED_VALUE"""),1.0)</f>
        <v>1</v>
      </c>
      <c r="U7961" s="4" t="str">
        <f>IFERROR(__xludf.DUMMYFUNCTION("""COMPUTED_VALUE"""),"Berp Sistemas")</f>
        <v>Berp Sistemas</v>
      </c>
      <c r="V7961" s="33">
        <f>IFERROR(__xludf.DUMMYFUNCTION("""COMPUTED_VALUE"""),1.0)</f>
        <v>1</v>
      </c>
      <c r="W7961" s="4" t="str">
        <f>IFERROR(__xludf.DUMMYFUNCTION("""COMPUTED_VALUE"""),"Berp Sistemas")</f>
        <v>Berp Sistemas</v>
      </c>
      <c r="X7961" s="33">
        <f>IFERROR(__xludf.DUMMYFUNCTION("""COMPUTED_VALUE"""),1.0)</f>
        <v>1</v>
      </c>
    </row>
    <row r="7962">
      <c r="K7962" s="4" t="str">
        <f>IFERROR(__xludf.DUMMYFUNCTION("""COMPUTED_VALUE"""),"TIOZAO MARCA")</f>
        <v>TIOZAO MARCA</v>
      </c>
      <c r="L7962" s="32">
        <f>IFERROR(__xludf.DUMMYFUNCTION("""COMPUTED_VALUE"""),2.0)</f>
        <v>2</v>
      </c>
      <c r="M7962" s="4" t="str">
        <f>IFERROR(__xludf.DUMMYFUNCTION("""COMPUTED_VALUE"""),"Suitable Tecnologia E Gestao")</f>
        <v>Suitable Tecnologia E Gestao</v>
      </c>
      <c r="N7962" s="33">
        <f>IFERROR(__xludf.DUMMYFUNCTION("""COMPUTED_VALUE"""),1.0)</f>
        <v>1</v>
      </c>
      <c r="O7962" s="4" t="str">
        <f>IFERROR(__xludf.DUMMYFUNCTION("""COMPUTED_VALUE"""),"Suitable Tecnologia E Gestao")</f>
        <v>Suitable Tecnologia E Gestao</v>
      </c>
      <c r="P7962" s="33">
        <f>IFERROR(__xludf.DUMMYFUNCTION("""COMPUTED_VALUE"""),1.0)</f>
        <v>1</v>
      </c>
      <c r="Q7962" s="4" t="str">
        <f>IFERROR(__xludf.DUMMYFUNCTION("""COMPUTED_VALUE"""),"Suitable Tecnologia E Gestao")</f>
        <v>Suitable Tecnologia E Gestao</v>
      </c>
      <c r="R7962" s="33">
        <f>IFERROR(__xludf.DUMMYFUNCTION("""COMPUTED_VALUE"""),1.0)</f>
        <v>1</v>
      </c>
      <c r="S7962" s="4" t="str">
        <f>IFERROR(__xludf.DUMMYFUNCTION("""COMPUTED_VALUE"""),"Suitable Tecnologia E Gestao")</f>
        <v>Suitable Tecnologia E Gestao</v>
      </c>
      <c r="T7962" s="33">
        <f>IFERROR(__xludf.DUMMYFUNCTION("""COMPUTED_VALUE"""),1.0)</f>
        <v>1</v>
      </c>
      <c r="U7962" s="4" t="str">
        <f>IFERROR(__xludf.DUMMYFUNCTION("""COMPUTED_VALUE"""),"Suitable Tecnologia E Gestao")</f>
        <v>Suitable Tecnologia E Gestao</v>
      </c>
      <c r="V7962" s="33">
        <f>IFERROR(__xludf.DUMMYFUNCTION("""COMPUTED_VALUE"""),1.0)</f>
        <v>1</v>
      </c>
      <c r="W7962" s="4" t="str">
        <f>IFERROR(__xludf.DUMMYFUNCTION("""COMPUTED_VALUE"""),"Suitable Tecnologia E Gestao")</f>
        <v>Suitable Tecnologia E Gestao</v>
      </c>
      <c r="X7962" s="33">
        <f>IFERROR(__xludf.DUMMYFUNCTION("""COMPUTED_VALUE"""),1.0)</f>
        <v>1</v>
      </c>
    </row>
    <row r="7963">
      <c r="K7963" s="4" t="str">
        <f>IFERROR(__xludf.DUMMYFUNCTION("""COMPUTED_VALUE"""),"TK BURGUER E PORCOES")</f>
        <v>TK BURGUER E PORCOES</v>
      </c>
      <c r="L7963" s="32">
        <f>IFERROR(__xludf.DUMMYFUNCTION("""COMPUTED_VALUE"""),2.0)</f>
        <v>2</v>
      </c>
      <c r="M7963" s="4" t="str">
        <f>IFERROR(__xludf.DUMMYFUNCTION("""COMPUTED_VALUE"""),"Cardápio Web")</f>
        <v>Cardápio Web</v>
      </c>
      <c r="N7963" s="33">
        <f>IFERROR(__xludf.DUMMYFUNCTION("""COMPUTED_VALUE"""),1.0)</f>
        <v>1</v>
      </c>
      <c r="O7963" s="4" t="str">
        <f>IFERROR(__xludf.DUMMYFUNCTION("""COMPUTED_VALUE"""),"Cardápio Web")</f>
        <v>Cardápio Web</v>
      </c>
      <c r="P7963" s="33">
        <f>IFERROR(__xludf.DUMMYFUNCTION("""COMPUTED_VALUE"""),1.0)</f>
        <v>1</v>
      </c>
      <c r="Q7963" s="4" t="str">
        <f>IFERROR(__xludf.DUMMYFUNCTION("""COMPUTED_VALUE"""),"null")</f>
        <v>null</v>
      </c>
      <c r="R7963" s="33">
        <f>IFERROR(__xludf.DUMMYFUNCTION("""COMPUTED_VALUE"""),0.5)</f>
        <v>0.5</v>
      </c>
      <c r="S7963" s="4" t="str">
        <f>IFERROR(__xludf.DUMMYFUNCTION("""COMPUTED_VALUE"""),"null")</f>
        <v>null</v>
      </c>
      <c r="T7963" s="33">
        <f>IFERROR(__xludf.DUMMYFUNCTION("""COMPUTED_VALUE"""),0.5)</f>
        <v>0.5</v>
      </c>
      <c r="U7963" s="4" t="str">
        <f>IFERROR(__xludf.DUMMYFUNCTION("""COMPUTED_VALUE"""),"null")</f>
        <v>null</v>
      </c>
      <c r="V7963" s="33">
        <f>IFERROR(__xludf.DUMMYFUNCTION("""COMPUTED_VALUE"""),0.5)</f>
        <v>0.5</v>
      </c>
      <c r="W7963" s="4" t="str">
        <f>IFERROR(__xludf.DUMMYFUNCTION("""COMPUTED_VALUE"""),"null")</f>
        <v>null</v>
      </c>
      <c r="X7963" s="33">
        <f>IFERROR(__xludf.DUMMYFUNCTION("""COMPUTED_VALUE"""),0.5)</f>
        <v>0.5</v>
      </c>
    </row>
    <row r="7964">
      <c r="K7964" s="4" t="str">
        <f>IFERROR(__xludf.DUMMYFUNCTION("""COMPUTED_VALUE"""),"TO FRITO FRANGO 24H")</f>
        <v>TO FRITO FRANGO 24H</v>
      </c>
      <c r="L7964" s="32">
        <f>IFERROR(__xludf.DUMMYFUNCTION("""COMPUTED_VALUE"""),2.0)</f>
        <v>2</v>
      </c>
      <c r="M7964" s="4">
        <f>IFERROR(__xludf.DUMMYFUNCTION("""COMPUTED_VALUE"""),88.0)</f>
        <v>88</v>
      </c>
      <c r="N7964" s="33">
        <f>IFERROR(__xludf.DUMMYFUNCTION("""COMPUTED_VALUE"""),0.5)</f>
        <v>0.5</v>
      </c>
      <c r="O7964" s="4">
        <f>IFERROR(__xludf.DUMMYFUNCTION("""COMPUTED_VALUE"""),88.0)</f>
        <v>88</v>
      </c>
      <c r="P7964" s="33">
        <f>IFERROR(__xludf.DUMMYFUNCTION("""COMPUTED_VALUE"""),0.5)</f>
        <v>0.5</v>
      </c>
      <c r="Q7964" s="4">
        <f>IFERROR(__xludf.DUMMYFUNCTION("""COMPUTED_VALUE"""),88.0)</f>
        <v>88</v>
      </c>
      <c r="R7964" s="33">
        <f>IFERROR(__xludf.DUMMYFUNCTION("""COMPUTED_VALUE"""),0.5)</f>
        <v>0.5</v>
      </c>
      <c r="S7964" s="4">
        <f>IFERROR(__xludf.DUMMYFUNCTION("""COMPUTED_VALUE"""),88.0)</f>
        <v>88</v>
      </c>
      <c r="T7964" s="33">
        <f>IFERROR(__xludf.DUMMYFUNCTION("""COMPUTED_VALUE"""),0.5)</f>
        <v>0.5</v>
      </c>
      <c r="U7964" s="4">
        <f>IFERROR(__xludf.DUMMYFUNCTION("""COMPUTED_VALUE"""),88.0)</f>
        <v>88</v>
      </c>
      <c r="V7964" s="33">
        <f>IFERROR(__xludf.DUMMYFUNCTION("""COMPUTED_VALUE"""),0.5)</f>
        <v>0.5</v>
      </c>
      <c r="W7964" s="4">
        <f>IFERROR(__xludf.DUMMYFUNCTION("""COMPUTED_VALUE"""),88.0)</f>
        <v>88</v>
      </c>
      <c r="X7964" s="33">
        <f>IFERROR(__xludf.DUMMYFUNCTION("""COMPUTED_VALUE"""),0.5)</f>
        <v>0.5</v>
      </c>
    </row>
    <row r="7965">
      <c r="K7965" s="4" t="str">
        <f>IFERROR(__xludf.DUMMYFUNCTION("""COMPUTED_VALUE"""),"TO NO X - HAMBURGUERIA")</f>
        <v>TO NO X - HAMBURGUERIA</v>
      </c>
      <c r="L7965" s="32">
        <f>IFERROR(__xludf.DUMMYFUNCTION("""COMPUTED_VALUE"""),2.0)</f>
        <v>2</v>
      </c>
      <c r="M7965" s="4" t="str">
        <f>IFERROR(__xludf.DUMMYFUNCTION("""COMPUTED_VALUE"""),"Saipos Serviços De Software")</f>
        <v>Saipos Serviços De Software</v>
      </c>
      <c r="N7965" s="33">
        <f>IFERROR(__xludf.DUMMYFUNCTION("""COMPUTED_VALUE"""),1.0)</f>
        <v>1</v>
      </c>
      <c r="O7965" s="4" t="str">
        <f>IFERROR(__xludf.DUMMYFUNCTION("""COMPUTED_VALUE"""),"Saipos Serviços De Software")</f>
        <v>Saipos Serviços De Software</v>
      </c>
      <c r="P7965" s="33">
        <f>IFERROR(__xludf.DUMMYFUNCTION("""COMPUTED_VALUE"""),1.0)</f>
        <v>1</v>
      </c>
      <c r="Q7965" s="4" t="str">
        <f>IFERROR(__xludf.DUMMYFUNCTION("""COMPUTED_VALUE"""),"Saipos Serviços De Software")</f>
        <v>Saipos Serviços De Software</v>
      </c>
      <c r="R7965" s="33">
        <f>IFERROR(__xludf.DUMMYFUNCTION("""COMPUTED_VALUE"""),1.0)</f>
        <v>1</v>
      </c>
      <c r="S7965" s="4" t="str">
        <f>IFERROR(__xludf.DUMMYFUNCTION("""COMPUTED_VALUE"""),"Saipos Serviços De Software")</f>
        <v>Saipos Serviços De Software</v>
      </c>
      <c r="T7965" s="33">
        <f>IFERROR(__xludf.DUMMYFUNCTION("""COMPUTED_VALUE"""),1.0)</f>
        <v>1</v>
      </c>
      <c r="U7965" s="4" t="str">
        <f>IFERROR(__xludf.DUMMYFUNCTION("""COMPUTED_VALUE"""),"Saipos Serviços De Software")</f>
        <v>Saipos Serviços De Software</v>
      </c>
      <c r="V7965" s="33">
        <f>IFERROR(__xludf.DUMMYFUNCTION("""COMPUTED_VALUE"""),1.0)</f>
        <v>1</v>
      </c>
      <c r="W7965" s="4" t="str">
        <f>IFERROR(__xludf.DUMMYFUNCTION("""COMPUTED_VALUE"""),"Saipos Serviços De Software")</f>
        <v>Saipos Serviços De Software</v>
      </c>
      <c r="X7965" s="33">
        <f>IFERROR(__xludf.DUMMYFUNCTION("""COMPUTED_VALUE"""),1.0)</f>
        <v>1</v>
      </c>
    </row>
    <row r="7966">
      <c r="K7966" s="4" t="str">
        <f>IFERROR(__xludf.DUMMYFUNCTION("""COMPUTED_VALUE"""),"TOCA DAS PORCOES")</f>
        <v>TOCA DAS PORCOES</v>
      </c>
      <c r="L7966" s="32">
        <f>IFERROR(__xludf.DUMMYFUNCTION("""COMPUTED_VALUE"""),2.0)</f>
        <v>2</v>
      </c>
      <c r="M7966" s="4" t="str">
        <f>IFERROR(__xludf.DUMMYFUNCTION("""COMPUTED_VALUE"""),"Consumer Soluções Em Tecnologia Ltda")</f>
        <v>Consumer Soluções Em Tecnologia Ltda</v>
      </c>
      <c r="N7966" s="33">
        <f>IFERROR(__xludf.DUMMYFUNCTION("""COMPUTED_VALUE"""),1.0)</f>
        <v>1</v>
      </c>
      <c r="O7966" s="4" t="str">
        <f>IFERROR(__xludf.DUMMYFUNCTION("""COMPUTED_VALUE"""),"Consumer Soluções Em Tecnologia Ltda")</f>
        <v>Consumer Soluções Em Tecnologia Ltda</v>
      </c>
      <c r="P7966" s="33">
        <f>IFERROR(__xludf.DUMMYFUNCTION("""COMPUTED_VALUE"""),1.0)</f>
        <v>1</v>
      </c>
      <c r="Q7966" s="4" t="str">
        <f>IFERROR(__xludf.DUMMYFUNCTION("""COMPUTED_VALUE"""),"Consumer Soluções Em Tecnologia Ltda")</f>
        <v>Consumer Soluções Em Tecnologia Ltda</v>
      </c>
      <c r="R7966" s="33">
        <f>IFERROR(__xludf.DUMMYFUNCTION("""COMPUTED_VALUE"""),1.0)</f>
        <v>1</v>
      </c>
      <c r="S7966" s="4" t="str">
        <f>IFERROR(__xludf.DUMMYFUNCTION("""COMPUTED_VALUE"""),"Consumer Soluções Em Tecnologia Ltda")</f>
        <v>Consumer Soluções Em Tecnologia Ltda</v>
      </c>
      <c r="T7966" s="33">
        <f>IFERROR(__xludf.DUMMYFUNCTION("""COMPUTED_VALUE"""),1.0)</f>
        <v>1</v>
      </c>
      <c r="U7966" s="4" t="str">
        <f>IFERROR(__xludf.DUMMYFUNCTION("""COMPUTED_VALUE"""),"Consumer Soluções Em Tecnologia Ltda")</f>
        <v>Consumer Soluções Em Tecnologia Ltda</v>
      </c>
      <c r="V7966" s="33">
        <f>IFERROR(__xludf.DUMMYFUNCTION("""COMPUTED_VALUE"""),1.0)</f>
        <v>1</v>
      </c>
      <c r="W7966" s="4" t="str">
        <f>IFERROR(__xludf.DUMMYFUNCTION("""COMPUTED_VALUE"""),"Consumer Soluções Em Tecnologia Ltda")</f>
        <v>Consumer Soluções Em Tecnologia Ltda</v>
      </c>
      <c r="X7966" s="33">
        <f>IFERROR(__xludf.DUMMYFUNCTION("""COMPUTED_VALUE"""),1.0)</f>
        <v>1</v>
      </c>
    </row>
    <row r="7967">
      <c r="K7967" s="4" t="str">
        <f>IFERROR(__xludf.DUMMYFUNCTION("""COMPUTED_VALUE"""),"TOKA DO SUSHI ABC")</f>
        <v>TOKA DO SUSHI ABC</v>
      </c>
      <c r="L7967" s="32">
        <f>IFERROR(__xludf.DUMMYFUNCTION("""COMPUTED_VALUE"""),2.0)</f>
        <v>2</v>
      </c>
      <c r="M7967" s="4" t="str">
        <f>IFERROR(__xludf.DUMMYFUNCTION("""COMPUTED_VALUE"""),"Instadelivery")</f>
        <v>Instadelivery</v>
      </c>
      <c r="N7967" s="33">
        <f>IFERROR(__xludf.DUMMYFUNCTION("""COMPUTED_VALUE"""),1.0)</f>
        <v>1</v>
      </c>
      <c r="O7967" s="4" t="str">
        <f>IFERROR(__xludf.DUMMYFUNCTION("""COMPUTED_VALUE"""),"Instadelivery")</f>
        <v>Instadelivery</v>
      </c>
      <c r="P7967" s="33">
        <f>IFERROR(__xludf.DUMMYFUNCTION("""COMPUTED_VALUE"""),1.0)</f>
        <v>1</v>
      </c>
      <c r="Q7967" s="4" t="str">
        <f>IFERROR(__xludf.DUMMYFUNCTION("""COMPUTED_VALUE"""),"Instadelivery")</f>
        <v>Instadelivery</v>
      </c>
      <c r="R7967" s="33">
        <f>IFERROR(__xludf.DUMMYFUNCTION("""COMPUTED_VALUE"""),1.0)</f>
        <v>1</v>
      </c>
      <c r="S7967" s="4" t="str">
        <f>IFERROR(__xludf.DUMMYFUNCTION("""COMPUTED_VALUE"""),"Instadelivery")</f>
        <v>Instadelivery</v>
      </c>
      <c r="T7967" s="33">
        <f>IFERROR(__xludf.DUMMYFUNCTION("""COMPUTED_VALUE"""),1.0)</f>
        <v>1</v>
      </c>
      <c r="U7967" s="4" t="str">
        <f>IFERROR(__xludf.DUMMYFUNCTION("""COMPUTED_VALUE"""),"Instadelivery")</f>
        <v>Instadelivery</v>
      </c>
      <c r="V7967" s="33">
        <f>IFERROR(__xludf.DUMMYFUNCTION("""COMPUTED_VALUE"""),1.0)</f>
        <v>1</v>
      </c>
      <c r="W7967" s="4" t="str">
        <f>IFERROR(__xludf.DUMMYFUNCTION("""COMPUTED_VALUE"""),"Instadelivery")</f>
        <v>Instadelivery</v>
      </c>
      <c r="X7967" s="33">
        <f>IFERROR(__xludf.DUMMYFUNCTION("""COMPUTED_VALUE"""),1.0)</f>
        <v>1</v>
      </c>
    </row>
    <row r="7968">
      <c r="K7968" s="4" t="str">
        <f>IFERROR(__xludf.DUMMYFUNCTION("""COMPUTED_VALUE"""),"TOKIO EXPRESS")</f>
        <v>TOKIO EXPRESS</v>
      </c>
      <c r="L7968" s="32">
        <f>IFERROR(__xludf.DUMMYFUNCTION("""COMPUTED_VALUE"""),2.0)</f>
        <v>2</v>
      </c>
      <c r="M7968" s="4" t="str">
        <f>IFERROR(__xludf.DUMMYFUNCTION("""COMPUTED_VALUE"""),"Ncr")</f>
        <v>Ncr</v>
      </c>
      <c r="N7968" s="33">
        <f>IFERROR(__xludf.DUMMYFUNCTION("""COMPUTED_VALUE"""),1.0)</f>
        <v>1</v>
      </c>
      <c r="O7968" s="4" t="str">
        <f>IFERROR(__xludf.DUMMYFUNCTION("""COMPUTED_VALUE"""),"Ncr")</f>
        <v>Ncr</v>
      </c>
      <c r="P7968" s="33">
        <f>IFERROR(__xludf.DUMMYFUNCTION("""COMPUTED_VALUE"""),0.5)</f>
        <v>0.5</v>
      </c>
      <c r="Q7968" s="4" t="str">
        <f>IFERROR(__xludf.DUMMYFUNCTION("""COMPUTED_VALUE"""),"Ncr")</f>
        <v>Ncr</v>
      </c>
      <c r="R7968" s="33">
        <f>IFERROR(__xludf.DUMMYFUNCTION("""COMPUTED_VALUE"""),0.5)</f>
        <v>0.5</v>
      </c>
      <c r="S7968" s="4" t="str">
        <f>IFERROR(__xludf.DUMMYFUNCTION("""COMPUTED_VALUE"""),"Ncr")</f>
        <v>Ncr</v>
      </c>
      <c r="T7968" s="33">
        <f>IFERROR(__xludf.DUMMYFUNCTION("""COMPUTED_VALUE"""),1.0)</f>
        <v>1</v>
      </c>
      <c r="U7968" s="4" t="str">
        <f>IFERROR(__xludf.DUMMYFUNCTION("""COMPUTED_VALUE"""),"Ncr")</f>
        <v>Ncr</v>
      </c>
      <c r="V7968" s="33">
        <f>IFERROR(__xludf.DUMMYFUNCTION("""COMPUTED_VALUE"""),0.5)</f>
        <v>0.5</v>
      </c>
      <c r="W7968" s="4" t="str">
        <f>IFERROR(__xludf.DUMMYFUNCTION("""COMPUTED_VALUE"""),"Ncr")</f>
        <v>Ncr</v>
      </c>
      <c r="X7968" s="33">
        <f>IFERROR(__xludf.DUMMYFUNCTION("""COMPUTED_VALUE"""),0.5)</f>
        <v>0.5</v>
      </c>
    </row>
    <row r="7969">
      <c r="K7969" s="4" t="str">
        <f>IFERROR(__xludf.DUMMYFUNCTION("""COMPUTED_VALUE"""),"TOMASELLI")</f>
        <v>TOMASELLI</v>
      </c>
      <c r="L7969" s="32">
        <f>IFERROR(__xludf.DUMMYFUNCTION("""COMPUTED_VALUE"""),2.0)</f>
        <v>2</v>
      </c>
      <c r="M7969" s="4" t="str">
        <f>IFERROR(__xludf.DUMMYFUNCTION("""COMPUTED_VALUE"""),"L&amp;f Tecnologia Sistemas E Comercio Ltda")</f>
        <v>L&amp;f Tecnologia Sistemas E Comercio Ltda</v>
      </c>
      <c r="N7969" s="33">
        <f>IFERROR(__xludf.DUMMYFUNCTION("""COMPUTED_VALUE"""),1.0)</f>
        <v>1</v>
      </c>
      <c r="O7969" s="4" t="str">
        <f>IFERROR(__xludf.DUMMYFUNCTION("""COMPUTED_VALUE"""),"null")</f>
        <v>null</v>
      </c>
      <c r="P7969" s="33">
        <f>IFERROR(__xludf.DUMMYFUNCTION("""COMPUTED_VALUE"""),0.5)</f>
        <v>0.5</v>
      </c>
      <c r="Q7969" s="4" t="str">
        <f>IFERROR(__xludf.DUMMYFUNCTION("""COMPUTED_VALUE"""),"L&amp;f Tecnologia Sistemas E Comercio Ltda")</f>
        <v>L&amp;f Tecnologia Sistemas E Comercio Ltda</v>
      </c>
      <c r="R7969" s="33">
        <f>IFERROR(__xludf.DUMMYFUNCTION("""COMPUTED_VALUE"""),0.5)</f>
        <v>0.5</v>
      </c>
      <c r="S7969" s="4" t="str">
        <f>IFERROR(__xludf.DUMMYFUNCTION("""COMPUTED_VALUE"""),"L&amp;f Tecnologia Sistemas E Comercio Ltda")</f>
        <v>L&amp;f Tecnologia Sistemas E Comercio Ltda</v>
      </c>
      <c r="T7969" s="33">
        <f>IFERROR(__xludf.DUMMYFUNCTION("""COMPUTED_VALUE"""),0.5)</f>
        <v>0.5</v>
      </c>
      <c r="U7969" s="4" t="str">
        <f>IFERROR(__xludf.DUMMYFUNCTION("""COMPUTED_VALUE"""),"L&amp;f Tecnologia Sistemas E Comercio Ltda")</f>
        <v>L&amp;f Tecnologia Sistemas E Comercio Ltda</v>
      </c>
      <c r="V7969" s="33">
        <f>IFERROR(__xludf.DUMMYFUNCTION("""COMPUTED_VALUE"""),0.5)</f>
        <v>0.5</v>
      </c>
      <c r="W7969" s="4" t="str">
        <f>IFERROR(__xludf.DUMMYFUNCTION("""COMPUTED_VALUE"""),"L&amp;f Tecnologia Sistemas E Comercio Ltda")</f>
        <v>L&amp;f Tecnologia Sistemas E Comercio Ltda</v>
      </c>
      <c r="X7969" s="33">
        <f>IFERROR(__xludf.DUMMYFUNCTION("""COMPUTED_VALUE"""),1.0)</f>
        <v>1</v>
      </c>
    </row>
    <row r="7970">
      <c r="K7970" s="4" t="str">
        <f>IFERROR(__xludf.DUMMYFUNCTION("""COMPUTED_VALUE"""),"TOMINAGA SUSHI BAR")</f>
        <v>TOMINAGA SUSHI BAR</v>
      </c>
      <c r="L7970" s="32">
        <f>IFERROR(__xludf.DUMMYFUNCTION("""COMPUTED_VALUE"""),2.0)</f>
        <v>2</v>
      </c>
      <c r="M7970" s="4" t="str">
        <f>IFERROR(__xludf.DUMMYFUNCTION("""COMPUTED_VALUE"""),"null")</f>
        <v>null</v>
      </c>
      <c r="N7970" s="33">
        <f>IFERROR(__xludf.DUMMYFUNCTION("""COMPUTED_VALUE"""),0.5)</f>
        <v>0.5</v>
      </c>
      <c r="O7970" s="4" t="str">
        <f>IFERROR(__xludf.DUMMYFUNCTION("""COMPUTED_VALUE"""),"null")</f>
        <v>null</v>
      </c>
      <c r="P7970" s="33">
        <f>IFERROR(__xludf.DUMMYFUNCTION("""COMPUTED_VALUE"""),0.5)</f>
        <v>0.5</v>
      </c>
      <c r="Q7970" s="4" t="str">
        <f>IFERROR(__xludf.DUMMYFUNCTION("""COMPUTED_VALUE"""),"null")</f>
        <v>null</v>
      </c>
      <c r="R7970" s="33">
        <f>IFERROR(__xludf.DUMMYFUNCTION("""COMPUTED_VALUE"""),0.5)</f>
        <v>0.5</v>
      </c>
      <c r="S7970" s="4" t="str">
        <f>IFERROR(__xludf.DUMMYFUNCTION("""COMPUTED_VALUE"""),"null")</f>
        <v>null</v>
      </c>
      <c r="T7970" s="33">
        <f>IFERROR(__xludf.DUMMYFUNCTION("""COMPUTED_VALUE"""),0.5)</f>
        <v>0.5</v>
      </c>
      <c r="U7970" s="4" t="str">
        <f>IFERROR(__xludf.DUMMYFUNCTION("""COMPUTED_VALUE"""),"null")</f>
        <v>null</v>
      </c>
      <c r="V7970" s="33">
        <f>IFERROR(__xludf.DUMMYFUNCTION("""COMPUTED_VALUE"""),0.5)</f>
        <v>0.5</v>
      </c>
      <c r="W7970" s="4" t="str">
        <f>IFERROR(__xludf.DUMMYFUNCTION("""COMPUTED_VALUE"""),"Saipos Serviços De Software")</f>
        <v>Saipos Serviços De Software</v>
      </c>
      <c r="X7970" s="33">
        <f>IFERROR(__xludf.DUMMYFUNCTION("""COMPUTED_VALUE"""),1.0)</f>
        <v>1</v>
      </c>
    </row>
    <row r="7971">
      <c r="K7971" s="4" t="str">
        <f>IFERROR(__xludf.DUMMYFUNCTION("""COMPUTED_VALUE"""),"TOMODACHI SUSHI BAR")</f>
        <v>TOMODACHI SUSHI BAR</v>
      </c>
      <c r="L7971" s="32">
        <f>IFERROR(__xludf.DUMMYFUNCTION("""COMPUTED_VALUE"""),2.0)</f>
        <v>2</v>
      </c>
      <c r="M7971" s="4" t="str">
        <f>IFERROR(__xludf.DUMMYFUNCTION("""COMPUTED_VALUE"""),"Consumer Soluções Em Tecnologia Ltda")</f>
        <v>Consumer Soluções Em Tecnologia Ltda</v>
      </c>
      <c r="N7971" s="33">
        <f>IFERROR(__xludf.DUMMYFUNCTION("""COMPUTED_VALUE"""),0.5)</f>
        <v>0.5</v>
      </c>
      <c r="O7971" s="4" t="str">
        <f>IFERROR(__xludf.DUMMYFUNCTION("""COMPUTED_VALUE"""),"Agilizup Solucoes Ltda")</f>
        <v>Agilizup Solucoes Ltda</v>
      </c>
      <c r="P7971" s="33">
        <f>IFERROR(__xludf.DUMMYFUNCTION("""COMPUTED_VALUE"""),0.5)</f>
        <v>0.5</v>
      </c>
      <c r="Q7971" s="4" t="str">
        <f>IFERROR(__xludf.DUMMYFUNCTION("""COMPUTED_VALUE"""),"Agilizup Solucoes Ltda")</f>
        <v>Agilizup Solucoes Ltda</v>
      </c>
      <c r="R7971" s="33">
        <f>IFERROR(__xludf.DUMMYFUNCTION("""COMPUTED_VALUE"""),0.5)</f>
        <v>0.5</v>
      </c>
      <c r="S7971" s="4" t="str">
        <f>IFERROR(__xludf.DUMMYFUNCTION("""COMPUTED_VALUE"""),"Agilizup Solucoes Ltda")</f>
        <v>Agilizup Solucoes Ltda</v>
      </c>
      <c r="T7971" s="33">
        <f>IFERROR(__xludf.DUMMYFUNCTION("""COMPUTED_VALUE"""),1.0)</f>
        <v>1</v>
      </c>
      <c r="U7971" s="4" t="str">
        <f>IFERROR(__xludf.DUMMYFUNCTION("""COMPUTED_VALUE"""),"Agilizup Solucoes Ltda")</f>
        <v>Agilizup Solucoes Ltda</v>
      </c>
      <c r="V7971" s="33">
        <f>IFERROR(__xludf.DUMMYFUNCTION("""COMPUTED_VALUE"""),0.5)</f>
        <v>0.5</v>
      </c>
      <c r="W7971" s="4" t="str">
        <f>IFERROR(__xludf.DUMMYFUNCTION("""COMPUTED_VALUE"""),"Saipos Serviços De Software")</f>
        <v>Saipos Serviços De Software</v>
      </c>
      <c r="X7971" s="33">
        <f>IFERROR(__xludf.DUMMYFUNCTION("""COMPUTED_VALUE"""),0.5)</f>
        <v>0.5</v>
      </c>
    </row>
    <row r="7972">
      <c r="K7972" s="4" t="str">
        <f>IFERROR(__xludf.DUMMYFUNCTION("""COMPUTED_VALUE"""),"TOP BURGUER- CONTA PAI")</f>
        <v>TOP BURGUER- CONTA PAI</v>
      </c>
      <c r="L7972" s="32">
        <f>IFERROR(__xludf.DUMMYFUNCTION("""COMPUTED_VALUE"""),2.0)</f>
        <v>2</v>
      </c>
      <c r="M7972" s="4" t="str">
        <f>IFERROR(__xludf.DUMMYFUNCTION("""COMPUTED_VALUE"""),"null")</f>
        <v>null</v>
      </c>
      <c r="N7972" s="33">
        <f>IFERROR(__xludf.DUMMYFUNCTION("""COMPUTED_VALUE"""),0.5)</f>
        <v>0.5</v>
      </c>
      <c r="O7972" s="4" t="str">
        <f>IFERROR(__xludf.DUMMYFUNCTION("""COMPUTED_VALUE"""),"null")</f>
        <v>null</v>
      </c>
      <c r="P7972" s="33">
        <f>IFERROR(__xludf.DUMMYFUNCTION("""COMPUTED_VALUE"""),0.5)</f>
        <v>0.5</v>
      </c>
      <c r="Q7972" s="4" t="str">
        <f>IFERROR(__xludf.DUMMYFUNCTION("""COMPUTED_VALUE"""),"null")</f>
        <v>null</v>
      </c>
      <c r="R7972" s="33">
        <f>IFERROR(__xludf.DUMMYFUNCTION("""COMPUTED_VALUE"""),0.5)</f>
        <v>0.5</v>
      </c>
      <c r="S7972" s="4" t="str">
        <f>IFERROR(__xludf.DUMMYFUNCTION("""COMPUTED_VALUE"""),"Saipos Serviços De Software")</f>
        <v>Saipos Serviços De Software</v>
      </c>
      <c r="T7972" s="33">
        <f>IFERROR(__xludf.DUMMYFUNCTION("""COMPUTED_VALUE"""),1.0)</f>
        <v>1</v>
      </c>
      <c r="U7972" s="4" t="str">
        <f>IFERROR(__xludf.DUMMYFUNCTION("""COMPUTED_VALUE"""),"Beefood - Sistema Para Restaurantes")</f>
        <v>Beefood - Sistema Para Restaurantes</v>
      </c>
      <c r="V7972" s="33">
        <f>IFERROR(__xludf.DUMMYFUNCTION("""COMPUTED_VALUE"""),1.0)</f>
        <v>1</v>
      </c>
      <c r="W7972" s="4" t="str">
        <f>IFERROR(__xludf.DUMMYFUNCTION("""COMPUTED_VALUE"""),"Beefood - Sistema Para Restaurantes")</f>
        <v>Beefood - Sistema Para Restaurantes</v>
      </c>
      <c r="X7972" s="33">
        <f>IFERROR(__xludf.DUMMYFUNCTION("""COMPUTED_VALUE"""),1.0)</f>
        <v>1</v>
      </c>
    </row>
    <row r="7973">
      <c r="K7973" s="4" t="str">
        <f>IFERROR(__xludf.DUMMYFUNCTION("""COMPUTED_VALUE"""),"TOP DO TOP MARMITEX")</f>
        <v>TOP DO TOP MARMITEX</v>
      </c>
      <c r="L7973" s="32">
        <f>IFERROR(__xludf.DUMMYFUNCTION("""COMPUTED_VALUE"""),2.0)</f>
        <v>2</v>
      </c>
      <c r="M7973" s="4" t="str">
        <f>IFERROR(__xludf.DUMMYFUNCTION("""COMPUTED_VALUE"""),"Beefood - Sistema Para Restaurantes")</f>
        <v>Beefood - Sistema Para Restaurantes</v>
      </c>
      <c r="N7973" s="33">
        <f>IFERROR(__xludf.DUMMYFUNCTION("""COMPUTED_VALUE"""),1.0)</f>
        <v>1</v>
      </c>
      <c r="O7973" s="4" t="str">
        <f>IFERROR(__xludf.DUMMYFUNCTION("""COMPUTED_VALUE"""),"Beefood - Sistema Para Restaurantes")</f>
        <v>Beefood - Sistema Para Restaurantes</v>
      </c>
      <c r="P7973" s="33">
        <f>IFERROR(__xludf.DUMMYFUNCTION("""COMPUTED_VALUE"""),1.0)</f>
        <v>1</v>
      </c>
      <c r="Q7973" s="4" t="str">
        <f>IFERROR(__xludf.DUMMYFUNCTION("""COMPUTED_VALUE"""),"Beefood - Sistema Para Restaurantes")</f>
        <v>Beefood - Sistema Para Restaurantes</v>
      </c>
      <c r="R7973" s="33">
        <f>IFERROR(__xludf.DUMMYFUNCTION("""COMPUTED_VALUE"""),1.0)</f>
        <v>1</v>
      </c>
      <c r="S7973" s="4" t="str">
        <f>IFERROR(__xludf.DUMMYFUNCTION("""COMPUTED_VALUE"""),"Beefood - Sistema Para Restaurantes")</f>
        <v>Beefood - Sistema Para Restaurantes</v>
      </c>
      <c r="T7973" s="33">
        <f>IFERROR(__xludf.DUMMYFUNCTION("""COMPUTED_VALUE"""),1.0)</f>
        <v>1</v>
      </c>
      <c r="U7973" s="4" t="str">
        <f>IFERROR(__xludf.DUMMYFUNCTION("""COMPUTED_VALUE"""),"Beefood - Sistema Para Restaurantes")</f>
        <v>Beefood - Sistema Para Restaurantes</v>
      </c>
      <c r="V7973" s="33">
        <f>IFERROR(__xludf.DUMMYFUNCTION("""COMPUTED_VALUE"""),1.0)</f>
        <v>1</v>
      </c>
      <c r="W7973" s="4" t="str">
        <f>IFERROR(__xludf.DUMMYFUNCTION("""COMPUTED_VALUE"""),"Beefood - Sistema Para Restaurantes")</f>
        <v>Beefood - Sistema Para Restaurantes</v>
      </c>
      <c r="X7973" s="33">
        <f>IFERROR(__xludf.DUMMYFUNCTION("""COMPUTED_VALUE"""),1.0)</f>
        <v>1</v>
      </c>
    </row>
    <row r="7974">
      <c r="K7974" s="4" t="str">
        <f>IFERROR(__xludf.DUMMYFUNCTION("""COMPUTED_VALUE"""),"TOP LANCHES - CONTA MARCA")</f>
        <v>TOP LANCHES - CONTA MARCA</v>
      </c>
      <c r="L7974" s="32">
        <f>IFERROR(__xludf.DUMMYFUNCTION("""COMPUTED_VALUE"""),2.0)</f>
        <v>2</v>
      </c>
      <c r="M7974" s="4" t="str">
        <f>IFERROR(__xludf.DUMMYFUNCTION("""COMPUTED_VALUE"""),"Saipos Serviços De Software")</f>
        <v>Saipos Serviços De Software</v>
      </c>
      <c r="N7974" s="33">
        <f>IFERROR(__xludf.DUMMYFUNCTION("""COMPUTED_VALUE"""),1.0)</f>
        <v>1</v>
      </c>
      <c r="O7974" s="4" t="str">
        <f>IFERROR(__xludf.DUMMYFUNCTION("""COMPUTED_VALUE"""),"Saipos Serviços De Software")</f>
        <v>Saipos Serviços De Software</v>
      </c>
      <c r="P7974" s="33">
        <f>IFERROR(__xludf.DUMMYFUNCTION("""COMPUTED_VALUE"""),1.0)</f>
        <v>1</v>
      </c>
      <c r="Q7974" s="4" t="str">
        <f>IFERROR(__xludf.DUMMYFUNCTION("""COMPUTED_VALUE"""),"Saipos Serviços De Software")</f>
        <v>Saipos Serviços De Software</v>
      </c>
      <c r="R7974" s="33">
        <f>IFERROR(__xludf.DUMMYFUNCTION("""COMPUTED_VALUE"""),1.0)</f>
        <v>1</v>
      </c>
      <c r="S7974" s="4" t="str">
        <f>IFERROR(__xludf.DUMMYFUNCTION("""COMPUTED_VALUE"""),"Saipos Serviços De Software")</f>
        <v>Saipos Serviços De Software</v>
      </c>
      <c r="T7974" s="33">
        <f>IFERROR(__xludf.DUMMYFUNCTION("""COMPUTED_VALUE"""),1.0)</f>
        <v>1</v>
      </c>
      <c r="U7974" s="4" t="str">
        <f>IFERROR(__xludf.DUMMYFUNCTION("""COMPUTED_VALUE"""),"Saipos Serviços De Software")</f>
        <v>Saipos Serviços De Software</v>
      </c>
      <c r="V7974" s="33">
        <f>IFERROR(__xludf.DUMMYFUNCTION("""COMPUTED_VALUE"""),1.0)</f>
        <v>1</v>
      </c>
      <c r="W7974" s="4" t="str">
        <f>IFERROR(__xludf.DUMMYFUNCTION("""COMPUTED_VALUE"""),"Saipos Serviços De Software")</f>
        <v>Saipos Serviços De Software</v>
      </c>
      <c r="X7974" s="33">
        <f>IFERROR(__xludf.DUMMYFUNCTION("""COMPUTED_VALUE"""),1.0)</f>
        <v>1</v>
      </c>
    </row>
    <row r="7975">
      <c r="K7975" s="4" t="str">
        <f>IFERROR(__xludf.DUMMYFUNCTION("""COMPUTED_VALUE"""),"TORRE BRASA")</f>
        <v>TORRE BRASA</v>
      </c>
      <c r="L7975" s="32">
        <f>IFERROR(__xludf.DUMMYFUNCTION("""COMPUTED_VALUE"""),2.0)</f>
        <v>2</v>
      </c>
      <c r="M7975" s="4" t="str">
        <f>IFERROR(__xludf.DUMMYFUNCTION("""COMPUTED_VALUE"""),"Datacaixa Pdv")</f>
        <v>Datacaixa Pdv</v>
      </c>
      <c r="N7975" s="33">
        <f>IFERROR(__xludf.DUMMYFUNCTION("""COMPUTED_VALUE"""),1.0)</f>
        <v>1</v>
      </c>
      <c r="O7975" s="4" t="str">
        <f>IFERROR(__xludf.DUMMYFUNCTION("""COMPUTED_VALUE"""),"Datacaixa Pdv")</f>
        <v>Datacaixa Pdv</v>
      </c>
      <c r="P7975" s="33">
        <f>IFERROR(__xludf.DUMMYFUNCTION("""COMPUTED_VALUE"""),1.0)</f>
        <v>1</v>
      </c>
      <c r="Q7975" s="4" t="str">
        <f>IFERROR(__xludf.DUMMYFUNCTION("""COMPUTED_VALUE"""),"Datacaixa Pdv")</f>
        <v>Datacaixa Pdv</v>
      </c>
      <c r="R7975" s="33">
        <f>IFERROR(__xludf.DUMMYFUNCTION("""COMPUTED_VALUE"""),1.0)</f>
        <v>1</v>
      </c>
      <c r="S7975" s="4" t="str">
        <f>IFERROR(__xludf.DUMMYFUNCTION("""COMPUTED_VALUE"""),"null")</f>
        <v>null</v>
      </c>
      <c r="T7975" s="33">
        <f>IFERROR(__xludf.DUMMYFUNCTION("""COMPUTED_VALUE"""),0.5)</f>
        <v>0.5</v>
      </c>
      <c r="U7975" s="4" t="str">
        <f>IFERROR(__xludf.DUMMYFUNCTION("""COMPUTED_VALUE"""),"null")</f>
        <v>null</v>
      </c>
      <c r="V7975" s="33">
        <f>IFERROR(__xludf.DUMMYFUNCTION("""COMPUTED_VALUE"""),1.0)</f>
        <v>1</v>
      </c>
      <c r="W7975" s="4" t="str">
        <f>IFERROR(__xludf.DUMMYFUNCTION("""COMPUTED_VALUE"""),"null")</f>
        <v>null</v>
      </c>
      <c r="X7975" s="33">
        <f>IFERROR(__xludf.DUMMYFUNCTION("""COMPUTED_VALUE"""),1.0)</f>
        <v>1</v>
      </c>
    </row>
    <row r="7976">
      <c r="K7976" s="4" t="str">
        <f>IFERROR(__xludf.DUMMYFUNCTION("""COMPUTED_VALUE"""),"TORTAS WOLF - MARCA")</f>
        <v>TORTAS WOLF - MARCA</v>
      </c>
      <c r="L7976" s="32">
        <f>IFERROR(__xludf.DUMMYFUNCTION("""COMPUTED_VALUE"""),2.0)</f>
        <v>2</v>
      </c>
      <c r="M7976" s="4" t="str">
        <f>IFERROR(__xludf.DUMMYFUNCTION("""COMPUTED_VALUE"""),"Saipos Serviços De Software")</f>
        <v>Saipos Serviços De Software</v>
      </c>
      <c r="N7976" s="33">
        <f>IFERROR(__xludf.DUMMYFUNCTION("""COMPUTED_VALUE"""),1.0)</f>
        <v>1</v>
      </c>
      <c r="O7976" s="4" t="str">
        <f>IFERROR(__xludf.DUMMYFUNCTION("""COMPUTED_VALUE"""),"Saipos Serviços De Software")</f>
        <v>Saipos Serviços De Software</v>
      </c>
      <c r="P7976" s="33">
        <f>IFERROR(__xludf.DUMMYFUNCTION("""COMPUTED_VALUE"""),1.0)</f>
        <v>1</v>
      </c>
      <c r="Q7976" s="4" t="str">
        <f>IFERROR(__xludf.DUMMYFUNCTION("""COMPUTED_VALUE"""),"Saipos Serviços De Software")</f>
        <v>Saipos Serviços De Software</v>
      </c>
      <c r="R7976" s="33">
        <f>IFERROR(__xludf.DUMMYFUNCTION("""COMPUTED_VALUE"""),1.0)</f>
        <v>1</v>
      </c>
      <c r="S7976" s="4" t="str">
        <f>IFERROR(__xludf.DUMMYFUNCTION("""COMPUTED_VALUE"""),"Saipos Serviços De Software")</f>
        <v>Saipos Serviços De Software</v>
      </c>
      <c r="T7976" s="33">
        <f>IFERROR(__xludf.DUMMYFUNCTION("""COMPUTED_VALUE"""),1.0)</f>
        <v>1</v>
      </c>
      <c r="U7976" s="4" t="str">
        <f>IFERROR(__xludf.DUMMYFUNCTION("""COMPUTED_VALUE"""),"Saipos Serviços De Software")</f>
        <v>Saipos Serviços De Software</v>
      </c>
      <c r="V7976" s="33">
        <f>IFERROR(__xludf.DUMMYFUNCTION("""COMPUTED_VALUE"""),1.0)</f>
        <v>1</v>
      </c>
      <c r="W7976" s="4" t="str">
        <f>IFERROR(__xludf.DUMMYFUNCTION("""COMPUTED_VALUE"""),"Saipos Serviços De Software")</f>
        <v>Saipos Serviços De Software</v>
      </c>
      <c r="X7976" s="33">
        <f>IFERROR(__xludf.DUMMYFUNCTION("""COMPUTED_VALUE"""),1.0)</f>
        <v>1</v>
      </c>
    </row>
    <row r="7977">
      <c r="K7977" s="4" t="str">
        <f>IFERROR(__xludf.DUMMYFUNCTION("""COMPUTED_VALUE"""),"TOUROS PREMIUM BURGER - CONTA PAI")</f>
        <v>TOUROS PREMIUM BURGER - CONTA PAI</v>
      </c>
      <c r="L7977" s="32">
        <f>IFERROR(__xludf.DUMMYFUNCTION("""COMPUTED_VALUE"""),2.0)</f>
        <v>2</v>
      </c>
      <c r="M7977" s="4" t="str">
        <f>IFERROR(__xludf.DUMMYFUNCTION("""COMPUTED_VALUE"""),"Vuca Solution")</f>
        <v>Vuca Solution</v>
      </c>
      <c r="N7977" s="33">
        <f>IFERROR(__xludf.DUMMYFUNCTION("""COMPUTED_VALUE"""),1.0)</f>
        <v>1</v>
      </c>
      <c r="O7977" s="4" t="str">
        <f>IFERROR(__xludf.DUMMYFUNCTION("""COMPUTED_VALUE"""),"Vuca Solution")</f>
        <v>Vuca Solution</v>
      </c>
      <c r="P7977" s="33">
        <f>IFERROR(__xludf.DUMMYFUNCTION("""COMPUTED_VALUE"""),1.0)</f>
        <v>1</v>
      </c>
      <c r="Q7977" s="4" t="str">
        <f>IFERROR(__xludf.DUMMYFUNCTION("""COMPUTED_VALUE"""),"Vuca Solution")</f>
        <v>Vuca Solution</v>
      </c>
      <c r="R7977" s="33">
        <f>IFERROR(__xludf.DUMMYFUNCTION("""COMPUTED_VALUE"""),1.0)</f>
        <v>1</v>
      </c>
      <c r="S7977" s="4" t="str">
        <f>IFERROR(__xludf.DUMMYFUNCTION("""COMPUTED_VALUE"""),"Vuca Solution")</f>
        <v>Vuca Solution</v>
      </c>
      <c r="T7977" s="33">
        <f>IFERROR(__xludf.DUMMYFUNCTION("""COMPUTED_VALUE"""),1.0)</f>
        <v>1</v>
      </c>
      <c r="U7977" s="4" t="str">
        <f>IFERROR(__xludf.DUMMYFUNCTION("""COMPUTED_VALUE"""),"Vuca Solution")</f>
        <v>Vuca Solution</v>
      </c>
      <c r="V7977" s="33">
        <f>IFERROR(__xludf.DUMMYFUNCTION("""COMPUTED_VALUE"""),1.0)</f>
        <v>1</v>
      </c>
      <c r="W7977" s="4" t="str">
        <f>IFERROR(__xludf.DUMMYFUNCTION("""COMPUTED_VALUE"""),"Vuca Solution")</f>
        <v>Vuca Solution</v>
      </c>
      <c r="X7977" s="33">
        <f>IFERROR(__xludf.DUMMYFUNCTION("""COMPUTED_VALUE"""),1.0)</f>
        <v>1</v>
      </c>
    </row>
    <row r="7978">
      <c r="K7978" s="4" t="str">
        <f>IFERROR(__xludf.DUMMYFUNCTION("""COMPUTED_VALUE"""),"TRADISSA BURGUER")</f>
        <v>TRADISSA BURGUER</v>
      </c>
      <c r="L7978" s="32">
        <f>IFERROR(__xludf.DUMMYFUNCTION("""COMPUTED_VALUE"""),2.0)</f>
        <v>2</v>
      </c>
      <c r="M7978" s="4" t="str">
        <f>IFERROR(__xludf.DUMMYFUNCTION("""COMPUTED_VALUE"""),"Saipos Serviços De Software")</f>
        <v>Saipos Serviços De Software</v>
      </c>
      <c r="N7978" s="33">
        <f>IFERROR(__xludf.DUMMYFUNCTION("""COMPUTED_VALUE"""),1.0)</f>
        <v>1</v>
      </c>
      <c r="O7978" s="4" t="str">
        <f>IFERROR(__xludf.DUMMYFUNCTION("""COMPUTED_VALUE"""),"Saipos Serviços De Software")</f>
        <v>Saipos Serviços De Software</v>
      </c>
      <c r="P7978" s="33">
        <f>IFERROR(__xludf.DUMMYFUNCTION("""COMPUTED_VALUE"""),1.0)</f>
        <v>1</v>
      </c>
      <c r="Q7978" s="4" t="str">
        <f>IFERROR(__xludf.DUMMYFUNCTION("""COMPUTED_VALUE"""),"Saipos Serviços De Software")</f>
        <v>Saipos Serviços De Software</v>
      </c>
      <c r="R7978" s="33">
        <f>IFERROR(__xludf.DUMMYFUNCTION("""COMPUTED_VALUE"""),1.0)</f>
        <v>1</v>
      </c>
      <c r="S7978" s="4" t="str">
        <f>IFERROR(__xludf.DUMMYFUNCTION("""COMPUTED_VALUE"""),"Saipos Serviços De Software")</f>
        <v>Saipos Serviços De Software</v>
      </c>
      <c r="T7978" s="33">
        <f>IFERROR(__xludf.DUMMYFUNCTION("""COMPUTED_VALUE"""),1.0)</f>
        <v>1</v>
      </c>
      <c r="U7978" s="4" t="str">
        <f>IFERROR(__xludf.DUMMYFUNCTION("""COMPUTED_VALUE"""),"Saipos Serviços De Software")</f>
        <v>Saipos Serviços De Software</v>
      </c>
      <c r="V7978" s="33">
        <f>IFERROR(__xludf.DUMMYFUNCTION("""COMPUTED_VALUE"""),1.0)</f>
        <v>1</v>
      </c>
      <c r="W7978" s="4" t="str">
        <f>IFERROR(__xludf.DUMMYFUNCTION("""COMPUTED_VALUE"""),"Saipos Serviços De Software")</f>
        <v>Saipos Serviços De Software</v>
      </c>
      <c r="X7978" s="33">
        <f>IFERROR(__xludf.DUMMYFUNCTION("""COMPUTED_VALUE"""),1.0)</f>
        <v>1</v>
      </c>
    </row>
    <row r="7979">
      <c r="K7979" s="4" t="str">
        <f>IFERROR(__xludf.DUMMYFUNCTION("""COMPUTED_VALUE"""),"TRIANGULO")</f>
        <v>TRIANGULO</v>
      </c>
      <c r="L7979" s="32">
        <f>IFERROR(__xludf.DUMMYFUNCTION("""COMPUTED_VALUE"""),2.0)</f>
        <v>2</v>
      </c>
      <c r="M7979" s="4" t="str">
        <f>IFERROR(__xludf.DUMMYFUNCTION("""COMPUTED_VALUE"""),"Cardápio Web")</f>
        <v>Cardápio Web</v>
      </c>
      <c r="N7979" s="33">
        <f>IFERROR(__xludf.DUMMYFUNCTION("""COMPUTED_VALUE"""),1.0)</f>
        <v>1</v>
      </c>
      <c r="O7979" s="4" t="str">
        <f>IFERROR(__xludf.DUMMYFUNCTION("""COMPUTED_VALUE"""),"Cardápio Web")</f>
        <v>Cardápio Web</v>
      </c>
      <c r="P7979" s="33">
        <f>IFERROR(__xludf.DUMMYFUNCTION("""COMPUTED_VALUE"""),1.0)</f>
        <v>1</v>
      </c>
      <c r="Q7979" s="4" t="str">
        <f>IFERROR(__xludf.DUMMYFUNCTION("""COMPUTED_VALUE"""),"Cardápio Web")</f>
        <v>Cardápio Web</v>
      </c>
      <c r="R7979" s="33">
        <f>IFERROR(__xludf.DUMMYFUNCTION("""COMPUTED_VALUE"""),1.0)</f>
        <v>1</v>
      </c>
      <c r="S7979" s="4" t="str">
        <f>IFERROR(__xludf.DUMMYFUNCTION("""COMPUTED_VALUE"""),"Cardápio Web")</f>
        <v>Cardápio Web</v>
      </c>
      <c r="T7979" s="33">
        <f>IFERROR(__xludf.DUMMYFUNCTION("""COMPUTED_VALUE"""),1.0)</f>
        <v>1</v>
      </c>
      <c r="U7979" s="4" t="str">
        <f>IFERROR(__xludf.DUMMYFUNCTION("""COMPUTED_VALUE"""),"Cardápio Web")</f>
        <v>Cardápio Web</v>
      </c>
      <c r="V7979" s="33">
        <f>IFERROR(__xludf.DUMMYFUNCTION("""COMPUTED_VALUE"""),1.0)</f>
        <v>1</v>
      </c>
      <c r="W7979" s="4" t="str">
        <f>IFERROR(__xludf.DUMMYFUNCTION("""COMPUTED_VALUE"""),"Cardápio Web")</f>
        <v>Cardápio Web</v>
      </c>
      <c r="X7979" s="33">
        <f>IFERROR(__xludf.DUMMYFUNCTION("""COMPUTED_VALUE"""),1.0)</f>
        <v>1</v>
      </c>
    </row>
    <row r="7980">
      <c r="K7980" s="4" t="str">
        <f>IFERROR(__xludf.DUMMYFUNCTION("""COMPUTED_VALUE"""),"TRIGO CIA")</f>
        <v>TRIGO CIA</v>
      </c>
      <c r="L7980" s="32">
        <f>IFERROR(__xludf.DUMMYFUNCTION("""COMPUTED_VALUE"""),2.0)</f>
        <v>2</v>
      </c>
      <c r="M7980" s="4" t="str">
        <f>IFERROR(__xludf.DUMMYFUNCTION("""COMPUTED_VALUE"""),"Saipos Serviços De Software")</f>
        <v>Saipos Serviços De Software</v>
      </c>
      <c r="N7980" s="33">
        <f>IFERROR(__xludf.DUMMYFUNCTION("""COMPUTED_VALUE"""),0.5)</f>
        <v>0.5</v>
      </c>
      <c r="O7980" s="4" t="str">
        <f>IFERROR(__xludf.DUMMYFUNCTION("""COMPUTED_VALUE"""),"Saipos Serviços De Software")</f>
        <v>Saipos Serviços De Software</v>
      </c>
      <c r="P7980" s="33">
        <f>IFERROR(__xludf.DUMMYFUNCTION("""COMPUTED_VALUE"""),0.5)</f>
        <v>0.5</v>
      </c>
      <c r="Q7980" s="4" t="str">
        <f>IFERROR(__xludf.DUMMYFUNCTION("""COMPUTED_VALUE"""),"Saipos Serviços De Software")</f>
        <v>Saipos Serviços De Software</v>
      </c>
      <c r="R7980" s="33">
        <f>IFERROR(__xludf.DUMMYFUNCTION("""COMPUTED_VALUE"""),0.5)</f>
        <v>0.5</v>
      </c>
      <c r="S7980" s="4" t="str">
        <f>IFERROR(__xludf.DUMMYFUNCTION("""COMPUTED_VALUE"""),"null")</f>
        <v>null</v>
      </c>
      <c r="T7980" s="33">
        <f>IFERROR(__xludf.DUMMYFUNCTION("""COMPUTED_VALUE"""),1.0)</f>
        <v>1</v>
      </c>
      <c r="U7980" s="4" t="str">
        <f>IFERROR(__xludf.DUMMYFUNCTION("""COMPUTED_VALUE"""),"Saipos Serviços De Software")</f>
        <v>Saipos Serviços De Software</v>
      </c>
      <c r="V7980" s="33">
        <f>IFERROR(__xludf.DUMMYFUNCTION("""COMPUTED_VALUE"""),0.5)</f>
        <v>0.5</v>
      </c>
      <c r="W7980" s="4" t="str">
        <f>IFERROR(__xludf.DUMMYFUNCTION("""COMPUTED_VALUE"""),"Saipos Serviços De Software")</f>
        <v>Saipos Serviços De Software</v>
      </c>
      <c r="X7980" s="33">
        <f>IFERROR(__xludf.DUMMYFUNCTION("""COMPUTED_VALUE"""),0.5)</f>
        <v>0.5</v>
      </c>
    </row>
    <row r="7981">
      <c r="K7981" s="4" t="str">
        <f>IFERROR(__xludf.DUMMYFUNCTION("""COMPUTED_VALUE"""),"TRIMAIS SUPERMERCADOS - CONTA PAI")</f>
        <v>TRIMAIS SUPERMERCADOS - CONTA PAI</v>
      </c>
      <c r="L7981" s="32">
        <f>IFERROR(__xludf.DUMMYFUNCTION("""COMPUTED_VALUE"""),2.0)</f>
        <v>2</v>
      </c>
      <c r="M7981" s="4" t="str">
        <f>IFERROR(__xludf.DUMMYFUNCTION("""COMPUTED_VALUE"""),"N/A (Not found)")</f>
        <v>N/A (Not found)</v>
      </c>
      <c r="N7981" s="33">
        <f>IFERROR(__xludf.DUMMYFUNCTION("""COMPUTED_VALUE"""),1.0)</f>
        <v>1</v>
      </c>
      <c r="O7981" s="4" t="str">
        <f>IFERROR(__xludf.DUMMYFUNCTION("""COMPUTED_VALUE"""),"N/A (Not found)")</f>
        <v>N/A (Not found)</v>
      </c>
      <c r="P7981" s="33">
        <f>IFERROR(__xludf.DUMMYFUNCTION("""COMPUTED_VALUE"""),1.0)</f>
        <v>1</v>
      </c>
      <c r="Q7981" s="4" t="str">
        <f>IFERROR(__xludf.DUMMYFUNCTION("""COMPUTED_VALUE"""),"N/A (Not found)")</f>
        <v>N/A (Not found)</v>
      </c>
      <c r="R7981" s="33">
        <f>IFERROR(__xludf.DUMMYFUNCTION("""COMPUTED_VALUE"""),1.0)</f>
        <v>1</v>
      </c>
      <c r="S7981" s="4" t="str">
        <f>IFERROR(__xludf.DUMMYFUNCTION("""COMPUTED_VALUE"""),"N/A (Not found)")</f>
        <v>N/A (Not found)</v>
      </c>
      <c r="T7981" s="33">
        <f>IFERROR(__xludf.DUMMYFUNCTION("""COMPUTED_VALUE"""),1.0)</f>
        <v>1</v>
      </c>
      <c r="U7981" s="4" t="str">
        <f>IFERROR(__xludf.DUMMYFUNCTION("""COMPUTED_VALUE"""),"N/A (Not found)")</f>
        <v>N/A (Not found)</v>
      </c>
      <c r="V7981" s="33">
        <f>IFERROR(__xludf.DUMMYFUNCTION("""COMPUTED_VALUE"""),1.0)</f>
        <v>1</v>
      </c>
      <c r="W7981" s="4" t="str">
        <f>IFERROR(__xludf.DUMMYFUNCTION("""COMPUTED_VALUE"""),"N/A (Not found)")</f>
        <v>N/A (Not found)</v>
      </c>
      <c r="X7981" s="33">
        <f>IFERROR(__xludf.DUMMYFUNCTION("""COMPUTED_VALUE"""),1.0)</f>
        <v>1</v>
      </c>
    </row>
    <row r="7982">
      <c r="K7982" s="4" t="str">
        <f>IFERROR(__xludf.DUMMYFUNCTION("""COMPUTED_VALUE"""),"TRIP DOGUERIA")</f>
        <v>TRIP DOGUERIA</v>
      </c>
      <c r="L7982" s="32">
        <f>IFERROR(__xludf.DUMMYFUNCTION("""COMPUTED_VALUE"""),2.0)</f>
        <v>2</v>
      </c>
      <c r="M7982" s="4" t="str">
        <f>IFERROR(__xludf.DUMMYFUNCTION("""COMPUTED_VALUE"""),"Hubzy")</f>
        <v>Hubzy</v>
      </c>
      <c r="N7982" s="33">
        <f>IFERROR(__xludf.DUMMYFUNCTION("""COMPUTED_VALUE"""),1.0)</f>
        <v>1</v>
      </c>
      <c r="O7982" s="4" t="str">
        <f>IFERROR(__xludf.DUMMYFUNCTION("""COMPUTED_VALUE"""),"Hubzy")</f>
        <v>Hubzy</v>
      </c>
      <c r="P7982" s="33">
        <f>IFERROR(__xludf.DUMMYFUNCTION("""COMPUTED_VALUE"""),1.0)</f>
        <v>1</v>
      </c>
      <c r="Q7982" s="4" t="str">
        <f>IFERROR(__xludf.DUMMYFUNCTION("""COMPUTED_VALUE"""),"Hubzy")</f>
        <v>Hubzy</v>
      </c>
      <c r="R7982" s="33">
        <f>IFERROR(__xludf.DUMMYFUNCTION("""COMPUTED_VALUE"""),1.0)</f>
        <v>1</v>
      </c>
      <c r="S7982" s="4" t="str">
        <f>IFERROR(__xludf.DUMMYFUNCTION("""COMPUTED_VALUE"""),"Hubzy")</f>
        <v>Hubzy</v>
      </c>
      <c r="T7982" s="33">
        <f>IFERROR(__xludf.DUMMYFUNCTION("""COMPUTED_VALUE"""),1.0)</f>
        <v>1</v>
      </c>
      <c r="U7982" s="4" t="str">
        <f>IFERROR(__xludf.DUMMYFUNCTION("""COMPUTED_VALUE"""),"Hubzy")</f>
        <v>Hubzy</v>
      </c>
      <c r="V7982" s="33">
        <f>IFERROR(__xludf.DUMMYFUNCTION("""COMPUTED_VALUE"""),1.0)</f>
        <v>1</v>
      </c>
      <c r="W7982" s="4" t="str">
        <f>IFERROR(__xludf.DUMMYFUNCTION("""COMPUTED_VALUE"""),"Hubzy")</f>
        <v>Hubzy</v>
      </c>
      <c r="X7982" s="33">
        <f>IFERROR(__xludf.DUMMYFUNCTION("""COMPUTED_VALUE"""),1.0)</f>
        <v>1</v>
      </c>
    </row>
    <row r="7983">
      <c r="K7983" s="4" t="str">
        <f>IFERROR(__xludf.DUMMYFUNCTION("""COMPUTED_VALUE"""),"TROFI SC - CONTA MARCA")</f>
        <v>TROFI SC - CONTA MARCA</v>
      </c>
      <c r="L7983" s="32">
        <f>IFERROR(__xludf.DUMMYFUNCTION("""COMPUTED_VALUE"""),2.0)</f>
        <v>2</v>
      </c>
      <c r="M7983" s="4" t="str">
        <f>IFERROR(__xludf.DUMMYFUNCTION("""COMPUTED_VALUE"""),"Saipos Serviços De Software")</f>
        <v>Saipos Serviços De Software</v>
      </c>
      <c r="N7983" s="33">
        <f>IFERROR(__xludf.DUMMYFUNCTION("""COMPUTED_VALUE"""),1.0)</f>
        <v>1</v>
      </c>
      <c r="O7983" s="4" t="str">
        <f>IFERROR(__xludf.DUMMYFUNCTION("""COMPUTED_VALUE"""),"Saipos Serviços De Software")</f>
        <v>Saipos Serviços De Software</v>
      </c>
      <c r="P7983" s="33">
        <f>IFERROR(__xludf.DUMMYFUNCTION("""COMPUTED_VALUE"""),1.0)</f>
        <v>1</v>
      </c>
      <c r="Q7983" s="4" t="str">
        <f>IFERROR(__xludf.DUMMYFUNCTION("""COMPUTED_VALUE"""),"Saipos Serviços De Software")</f>
        <v>Saipos Serviços De Software</v>
      </c>
      <c r="R7983" s="33">
        <f>IFERROR(__xludf.DUMMYFUNCTION("""COMPUTED_VALUE"""),1.0)</f>
        <v>1</v>
      </c>
      <c r="S7983" s="4" t="str">
        <f>IFERROR(__xludf.DUMMYFUNCTION("""COMPUTED_VALUE"""),"Saipos Serviços De Software")</f>
        <v>Saipos Serviços De Software</v>
      </c>
      <c r="T7983" s="33">
        <f>IFERROR(__xludf.DUMMYFUNCTION("""COMPUTED_VALUE"""),1.0)</f>
        <v>1</v>
      </c>
      <c r="U7983" s="4" t="str">
        <f>IFERROR(__xludf.DUMMYFUNCTION("""COMPUTED_VALUE"""),"Saipos Serviços De Software")</f>
        <v>Saipos Serviços De Software</v>
      </c>
      <c r="V7983" s="33">
        <f>IFERROR(__xludf.DUMMYFUNCTION("""COMPUTED_VALUE"""),1.0)</f>
        <v>1</v>
      </c>
      <c r="W7983" s="4" t="str">
        <f>IFERROR(__xludf.DUMMYFUNCTION("""COMPUTED_VALUE"""),"Saipos Serviços De Software")</f>
        <v>Saipos Serviços De Software</v>
      </c>
      <c r="X7983" s="33">
        <f>IFERROR(__xludf.DUMMYFUNCTION("""COMPUTED_VALUE"""),1.0)</f>
        <v>1</v>
      </c>
    </row>
    <row r="7984">
      <c r="K7984" s="4" t="str">
        <f>IFERROR(__xludf.DUMMYFUNCTION("""COMPUTED_VALUE"""),"TROPICAL GRILL RESTAURANTES")</f>
        <v>TROPICAL GRILL RESTAURANTES</v>
      </c>
      <c r="L7984" s="32">
        <f>IFERROR(__xludf.DUMMYFUNCTION("""COMPUTED_VALUE"""),2.0)</f>
        <v>2</v>
      </c>
      <c r="M7984" s="4" t="str">
        <f>IFERROR(__xludf.DUMMYFUNCTION("""COMPUTED_VALUE"""),"Kcms")</f>
        <v>Kcms</v>
      </c>
      <c r="N7984" s="33">
        <f>IFERROR(__xludf.DUMMYFUNCTION("""COMPUTED_VALUE"""),1.0)</f>
        <v>1</v>
      </c>
      <c r="O7984" s="4" t="str">
        <f>IFERROR(__xludf.DUMMYFUNCTION("""COMPUTED_VALUE"""),"Kcms")</f>
        <v>Kcms</v>
      </c>
      <c r="P7984" s="33">
        <f>IFERROR(__xludf.DUMMYFUNCTION("""COMPUTED_VALUE"""),1.0)</f>
        <v>1</v>
      </c>
      <c r="Q7984" s="4" t="str">
        <f>IFERROR(__xludf.DUMMYFUNCTION("""COMPUTED_VALUE"""),"Kcms")</f>
        <v>Kcms</v>
      </c>
      <c r="R7984" s="33">
        <f>IFERROR(__xludf.DUMMYFUNCTION("""COMPUTED_VALUE"""),1.0)</f>
        <v>1</v>
      </c>
      <c r="S7984" s="4" t="str">
        <f>IFERROR(__xludf.DUMMYFUNCTION("""COMPUTED_VALUE"""),"Saipos Serviços De Software")</f>
        <v>Saipos Serviços De Software</v>
      </c>
      <c r="T7984" s="33">
        <f>IFERROR(__xludf.DUMMYFUNCTION("""COMPUTED_VALUE"""),1.0)</f>
        <v>1</v>
      </c>
      <c r="U7984" s="4" t="str">
        <f>IFERROR(__xludf.DUMMYFUNCTION("""COMPUTED_VALUE"""),"Saipos Serviços De Software")</f>
        <v>Saipos Serviços De Software</v>
      </c>
      <c r="V7984" s="33">
        <f>IFERROR(__xludf.DUMMYFUNCTION("""COMPUTED_VALUE"""),1.0)</f>
        <v>1</v>
      </c>
      <c r="W7984" s="4" t="str">
        <f>IFERROR(__xludf.DUMMYFUNCTION("""COMPUTED_VALUE"""),"Saipos Serviços De Software")</f>
        <v>Saipos Serviços De Software</v>
      </c>
      <c r="X7984" s="33">
        <f>IFERROR(__xludf.DUMMYFUNCTION("""COMPUTED_VALUE"""),1.0)</f>
        <v>1</v>
      </c>
    </row>
    <row r="7985">
      <c r="K7985" s="4" t="str">
        <f>IFERROR(__xludf.DUMMYFUNCTION("""COMPUTED_VALUE"""),"TROPICAL HAMBURGUERIA E ACAITERIA")</f>
        <v>TROPICAL HAMBURGUERIA E ACAITERIA</v>
      </c>
      <c r="L7985" s="32">
        <f>IFERROR(__xludf.DUMMYFUNCTION("""COMPUTED_VALUE"""),2.0)</f>
        <v>2</v>
      </c>
      <c r="M7985" s="4" t="str">
        <f>IFERROR(__xludf.DUMMYFUNCTION("""COMPUTED_VALUE"""),"Yooga")</f>
        <v>Yooga</v>
      </c>
      <c r="N7985" s="33">
        <f>IFERROR(__xludf.DUMMYFUNCTION("""COMPUTED_VALUE"""),1.0)</f>
        <v>1</v>
      </c>
      <c r="O7985" s="4" t="str">
        <f>IFERROR(__xludf.DUMMYFUNCTION("""COMPUTED_VALUE"""),"Yooga")</f>
        <v>Yooga</v>
      </c>
      <c r="P7985" s="33">
        <f>IFERROR(__xludf.DUMMYFUNCTION("""COMPUTED_VALUE"""),1.0)</f>
        <v>1</v>
      </c>
      <c r="Q7985" s="4" t="str">
        <f>IFERROR(__xludf.DUMMYFUNCTION("""COMPUTED_VALUE"""),"Yooga")</f>
        <v>Yooga</v>
      </c>
      <c r="R7985" s="33">
        <f>IFERROR(__xludf.DUMMYFUNCTION("""COMPUTED_VALUE"""),1.0)</f>
        <v>1</v>
      </c>
      <c r="S7985" s="4" t="str">
        <f>IFERROR(__xludf.DUMMYFUNCTION("""COMPUTED_VALUE"""),"Yooga")</f>
        <v>Yooga</v>
      </c>
      <c r="T7985" s="33">
        <f>IFERROR(__xludf.DUMMYFUNCTION("""COMPUTED_VALUE"""),1.0)</f>
        <v>1</v>
      </c>
      <c r="U7985" s="4" t="str">
        <f>IFERROR(__xludf.DUMMYFUNCTION("""COMPUTED_VALUE"""),"Yooga")</f>
        <v>Yooga</v>
      </c>
      <c r="V7985" s="33">
        <f>IFERROR(__xludf.DUMMYFUNCTION("""COMPUTED_VALUE"""),1.0)</f>
        <v>1</v>
      </c>
      <c r="W7985" s="4" t="str">
        <f>IFERROR(__xludf.DUMMYFUNCTION("""COMPUTED_VALUE"""),"Yooga")</f>
        <v>Yooga</v>
      </c>
      <c r="X7985" s="33">
        <f>IFERROR(__xludf.DUMMYFUNCTION("""COMPUTED_VALUE"""),1.0)</f>
        <v>1</v>
      </c>
    </row>
    <row r="7986">
      <c r="K7986" s="4" t="str">
        <f>IFERROR(__xludf.DUMMYFUNCTION("""COMPUTED_VALUE"""),"TUBARAO")</f>
        <v>TUBARAO</v>
      </c>
      <c r="L7986" s="32">
        <f>IFERROR(__xludf.DUMMYFUNCTION("""COMPUTED_VALUE"""),2.0)</f>
        <v>2</v>
      </c>
      <c r="M7986" s="4" t="str">
        <f>IFERROR(__xludf.DUMMYFUNCTION("""COMPUTED_VALUE"""),"null")</f>
        <v>null</v>
      </c>
      <c r="N7986" s="33">
        <f>IFERROR(__xludf.DUMMYFUNCTION("""COMPUTED_VALUE"""),0.5)</f>
        <v>0.5</v>
      </c>
      <c r="O7986" s="4" t="str">
        <f>IFERROR(__xludf.DUMMYFUNCTION("""COMPUTED_VALUE"""),"null")</f>
        <v>null</v>
      </c>
      <c r="P7986" s="33">
        <f>IFERROR(__xludf.DUMMYFUNCTION("""COMPUTED_VALUE"""),0.5)</f>
        <v>0.5</v>
      </c>
      <c r="Q7986" s="4" t="str">
        <f>IFERROR(__xludf.DUMMYFUNCTION("""COMPUTED_VALUE"""),"null")</f>
        <v>null</v>
      </c>
      <c r="R7986" s="33">
        <f>IFERROR(__xludf.DUMMYFUNCTION("""COMPUTED_VALUE"""),0.5)</f>
        <v>0.5</v>
      </c>
      <c r="S7986" s="4" t="str">
        <f>IFERROR(__xludf.DUMMYFUNCTION("""COMPUTED_VALUE"""),"Anota Ai Solucoes Digitais S/a")</f>
        <v>Anota Ai Solucoes Digitais S/a</v>
      </c>
      <c r="T7986" s="33">
        <f>IFERROR(__xludf.DUMMYFUNCTION("""COMPUTED_VALUE"""),1.0)</f>
        <v>1</v>
      </c>
      <c r="U7986" s="4" t="str">
        <f>IFERROR(__xludf.DUMMYFUNCTION("""COMPUTED_VALUE"""),"Anota Ai Solucoes Digitais S/a")</f>
        <v>Anota Ai Solucoes Digitais S/a</v>
      </c>
      <c r="V7986" s="33">
        <f>IFERROR(__xludf.DUMMYFUNCTION("""COMPUTED_VALUE"""),1.0)</f>
        <v>1</v>
      </c>
      <c r="W7986" s="4" t="str">
        <f>IFERROR(__xludf.DUMMYFUNCTION("""COMPUTED_VALUE"""),"Anota Ai Solucoes Digitais S/a")</f>
        <v>Anota Ai Solucoes Digitais S/a</v>
      </c>
      <c r="X7986" s="33">
        <f>IFERROR(__xludf.DUMMYFUNCTION("""COMPUTED_VALUE"""),1.0)</f>
        <v>1</v>
      </c>
    </row>
    <row r="7987">
      <c r="K7987" s="4" t="str">
        <f>IFERROR(__xludf.DUMMYFUNCTION("""COMPUTED_VALUE"""),"TURCO HAMBURGUERIA ARTESANAL")</f>
        <v>TURCO HAMBURGUERIA ARTESANAL</v>
      </c>
      <c r="L7987" s="32">
        <f>IFERROR(__xludf.DUMMYFUNCTION("""COMPUTED_VALUE"""),2.0)</f>
        <v>2</v>
      </c>
      <c r="M7987" s="4" t="str">
        <f>IFERROR(__xludf.DUMMYFUNCTION("""COMPUTED_VALUE"""),"Saipos Serviços De Software")</f>
        <v>Saipos Serviços De Software</v>
      </c>
      <c r="N7987" s="33">
        <f>IFERROR(__xludf.DUMMYFUNCTION("""COMPUTED_VALUE"""),1.0)</f>
        <v>1</v>
      </c>
      <c r="O7987" s="4" t="str">
        <f>IFERROR(__xludf.DUMMYFUNCTION("""COMPUTED_VALUE"""),"Saipos Serviços De Software")</f>
        <v>Saipos Serviços De Software</v>
      </c>
      <c r="P7987" s="33">
        <f>IFERROR(__xludf.DUMMYFUNCTION("""COMPUTED_VALUE"""),1.0)</f>
        <v>1</v>
      </c>
      <c r="Q7987" s="4" t="str">
        <f>IFERROR(__xludf.DUMMYFUNCTION("""COMPUTED_VALUE"""),"Saipos Serviços De Software")</f>
        <v>Saipos Serviços De Software</v>
      </c>
      <c r="R7987" s="33">
        <f>IFERROR(__xludf.DUMMYFUNCTION("""COMPUTED_VALUE"""),1.0)</f>
        <v>1</v>
      </c>
      <c r="S7987" s="4" t="str">
        <f>IFERROR(__xludf.DUMMYFUNCTION("""COMPUTED_VALUE"""),"Saipos Serviços De Software")</f>
        <v>Saipos Serviços De Software</v>
      </c>
      <c r="T7987" s="33">
        <f>IFERROR(__xludf.DUMMYFUNCTION("""COMPUTED_VALUE"""),1.0)</f>
        <v>1</v>
      </c>
      <c r="U7987" s="4" t="str">
        <f>IFERROR(__xludf.DUMMYFUNCTION("""COMPUTED_VALUE"""),"Saipos Serviços De Software")</f>
        <v>Saipos Serviços De Software</v>
      </c>
      <c r="V7987" s="33">
        <f>IFERROR(__xludf.DUMMYFUNCTION("""COMPUTED_VALUE"""),1.0)</f>
        <v>1</v>
      </c>
      <c r="W7987" s="4" t="str">
        <f>IFERROR(__xludf.DUMMYFUNCTION("""COMPUTED_VALUE"""),"Saipos Serviços De Software")</f>
        <v>Saipos Serviços De Software</v>
      </c>
      <c r="X7987" s="33">
        <f>IFERROR(__xludf.DUMMYFUNCTION("""COMPUTED_VALUE"""),1.0)</f>
        <v>1</v>
      </c>
    </row>
    <row r="7988">
      <c r="K7988" s="4" t="str">
        <f>IFERROR(__xludf.DUMMYFUNCTION("""COMPUTED_VALUE"""),"TURI GASTRONOMIA - MARCA")</f>
        <v>TURI GASTRONOMIA - MARCA</v>
      </c>
      <c r="L7988" s="32">
        <f>IFERROR(__xludf.DUMMYFUNCTION("""COMPUTED_VALUE"""),2.0)</f>
        <v>2</v>
      </c>
      <c r="M7988" s="4" t="str">
        <f>IFERROR(__xludf.DUMMYFUNCTION("""COMPUTED_VALUE"""),"Saipos Serviços De Software")</f>
        <v>Saipos Serviços De Software</v>
      </c>
      <c r="N7988" s="33">
        <f>IFERROR(__xludf.DUMMYFUNCTION("""COMPUTED_VALUE"""),1.0)</f>
        <v>1</v>
      </c>
      <c r="O7988" s="4" t="str">
        <f>IFERROR(__xludf.DUMMYFUNCTION("""COMPUTED_VALUE"""),"Saipos Serviços De Software")</f>
        <v>Saipos Serviços De Software</v>
      </c>
      <c r="P7988" s="33">
        <f>IFERROR(__xludf.DUMMYFUNCTION("""COMPUTED_VALUE"""),1.0)</f>
        <v>1</v>
      </c>
      <c r="Q7988" s="4" t="str">
        <f>IFERROR(__xludf.DUMMYFUNCTION("""COMPUTED_VALUE"""),"Saipos Serviços De Software")</f>
        <v>Saipos Serviços De Software</v>
      </c>
      <c r="R7988" s="33">
        <f>IFERROR(__xludf.DUMMYFUNCTION("""COMPUTED_VALUE"""),1.0)</f>
        <v>1</v>
      </c>
      <c r="S7988" s="4" t="str">
        <f>IFERROR(__xludf.DUMMYFUNCTION("""COMPUTED_VALUE"""),"Saipos Serviços De Software")</f>
        <v>Saipos Serviços De Software</v>
      </c>
      <c r="T7988" s="33">
        <f>IFERROR(__xludf.DUMMYFUNCTION("""COMPUTED_VALUE"""),1.0)</f>
        <v>1</v>
      </c>
      <c r="U7988" s="4" t="str">
        <f>IFERROR(__xludf.DUMMYFUNCTION("""COMPUTED_VALUE"""),"Saipos Serviços De Software")</f>
        <v>Saipos Serviços De Software</v>
      </c>
      <c r="V7988" s="33">
        <f>IFERROR(__xludf.DUMMYFUNCTION("""COMPUTED_VALUE"""),1.0)</f>
        <v>1</v>
      </c>
      <c r="W7988" s="4" t="str">
        <f>IFERROR(__xludf.DUMMYFUNCTION("""COMPUTED_VALUE"""),"Saipos Serviços De Software")</f>
        <v>Saipos Serviços De Software</v>
      </c>
      <c r="X7988" s="33">
        <f>IFERROR(__xludf.DUMMYFUNCTION("""COMPUTED_VALUE"""),1.0)</f>
        <v>1</v>
      </c>
    </row>
    <row r="7989">
      <c r="K7989" s="4" t="str">
        <f>IFERROR(__xludf.DUMMYFUNCTION("""COMPUTED_VALUE"""),"TUTTI VIENENZZE")</f>
        <v>TUTTI VIENENZZE</v>
      </c>
      <c r="L7989" s="32">
        <f>IFERROR(__xludf.DUMMYFUNCTION("""COMPUTED_VALUE"""),2.0)</f>
        <v>2</v>
      </c>
      <c r="M7989" s="4" t="str">
        <f>IFERROR(__xludf.DUMMYFUNCTION("""COMPUTED_VALUE"""),"Grk Soluções Informatica Eireli")</f>
        <v>Grk Soluções Informatica Eireli</v>
      </c>
      <c r="N7989" s="33">
        <f>IFERROR(__xludf.DUMMYFUNCTION("""COMPUTED_VALUE"""),1.0)</f>
        <v>1</v>
      </c>
      <c r="O7989" s="4" t="str">
        <f>IFERROR(__xludf.DUMMYFUNCTION("""COMPUTED_VALUE"""),"Grk Soluções Informatica Eireli")</f>
        <v>Grk Soluções Informatica Eireli</v>
      </c>
      <c r="P7989" s="33">
        <f>IFERROR(__xludf.DUMMYFUNCTION("""COMPUTED_VALUE"""),1.0)</f>
        <v>1</v>
      </c>
      <c r="Q7989" s="4" t="str">
        <f>IFERROR(__xludf.DUMMYFUNCTION("""COMPUTED_VALUE"""),"Grk Soluções Informatica Eireli")</f>
        <v>Grk Soluções Informatica Eireli</v>
      </c>
      <c r="R7989" s="33">
        <f>IFERROR(__xludf.DUMMYFUNCTION("""COMPUTED_VALUE"""),1.0)</f>
        <v>1</v>
      </c>
      <c r="S7989" s="4" t="str">
        <f>IFERROR(__xludf.DUMMYFUNCTION("""COMPUTED_VALUE"""),"Grk Soluções Informatica Eireli")</f>
        <v>Grk Soluções Informatica Eireli</v>
      </c>
      <c r="T7989" s="33">
        <f>IFERROR(__xludf.DUMMYFUNCTION("""COMPUTED_VALUE"""),1.0)</f>
        <v>1</v>
      </c>
      <c r="U7989" s="4" t="str">
        <f>IFERROR(__xludf.DUMMYFUNCTION("""COMPUTED_VALUE"""),"Grk Soluções Informatica Eireli")</f>
        <v>Grk Soluções Informatica Eireli</v>
      </c>
      <c r="V7989" s="33">
        <f>IFERROR(__xludf.DUMMYFUNCTION("""COMPUTED_VALUE"""),1.0)</f>
        <v>1</v>
      </c>
      <c r="W7989" s="4" t="str">
        <f>IFERROR(__xludf.DUMMYFUNCTION("""COMPUTED_VALUE"""),"Grk Soluções Informatica Eireli")</f>
        <v>Grk Soluções Informatica Eireli</v>
      </c>
      <c r="X7989" s="33">
        <f>IFERROR(__xludf.DUMMYFUNCTION("""COMPUTED_VALUE"""),1.0)</f>
        <v>1</v>
      </c>
    </row>
    <row r="7990">
      <c r="K7990" s="4" t="str">
        <f>IFERROR(__xludf.DUMMYFUNCTION("""COMPUTED_VALUE"""),"TUTTOPIZZA")</f>
        <v>TUTTOPIZZA</v>
      </c>
      <c r="L7990" s="32">
        <f>IFERROR(__xludf.DUMMYFUNCTION("""COMPUTED_VALUE"""),2.0)</f>
        <v>2</v>
      </c>
      <c r="M7990" s="4" t="str">
        <f>IFERROR(__xludf.DUMMYFUNCTION("""COMPUTED_VALUE"""),"Saipos Serviços De Software")</f>
        <v>Saipos Serviços De Software</v>
      </c>
      <c r="N7990" s="33">
        <f>IFERROR(__xludf.DUMMYFUNCTION("""COMPUTED_VALUE"""),1.0)</f>
        <v>1</v>
      </c>
      <c r="O7990" s="4" t="str">
        <f>IFERROR(__xludf.DUMMYFUNCTION("""COMPUTED_VALUE"""),"Saipos Serviços De Software")</f>
        <v>Saipos Serviços De Software</v>
      </c>
      <c r="P7990" s="33">
        <f>IFERROR(__xludf.DUMMYFUNCTION("""COMPUTED_VALUE"""),1.0)</f>
        <v>1</v>
      </c>
      <c r="Q7990" s="4" t="str">
        <f>IFERROR(__xludf.DUMMYFUNCTION("""COMPUTED_VALUE"""),"Saipos Serviços De Software")</f>
        <v>Saipos Serviços De Software</v>
      </c>
      <c r="R7990" s="33">
        <f>IFERROR(__xludf.DUMMYFUNCTION("""COMPUTED_VALUE"""),1.0)</f>
        <v>1</v>
      </c>
      <c r="S7990" s="4" t="str">
        <f>IFERROR(__xludf.DUMMYFUNCTION("""COMPUTED_VALUE"""),"Saipos Serviços De Software")</f>
        <v>Saipos Serviços De Software</v>
      </c>
      <c r="T7990" s="33">
        <f>IFERROR(__xludf.DUMMYFUNCTION("""COMPUTED_VALUE"""),1.0)</f>
        <v>1</v>
      </c>
      <c r="U7990" s="4" t="str">
        <f>IFERROR(__xludf.DUMMYFUNCTION("""COMPUTED_VALUE"""),"Saipos Serviços De Software")</f>
        <v>Saipos Serviços De Software</v>
      </c>
      <c r="V7990" s="33">
        <f>IFERROR(__xludf.DUMMYFUNCTION("""COMPUTED_VALUE"""),1.0)</f>
        <v>1</v>
      </c>
      <c r="W7990" s="4" t="str">
        <f>IFERROR(__xludf.DUMMYFUNCTION("""COMPUTED_VALUE"""),"Saipos Serviços De Software")</f>
        <v>Saipos Serviços De Software</v>
      </c>
      <c r="X7990" s="33">
        <f>IFERROR(__xludf.DUMMYFUNCTION("""COMPUTED_VALUE"""),1.0)</f>
        <v>1</v>
      </c>
    </row>
    <row r="7991">
      <c r="K7991" s="4" t="str">
        <f>IFERROR(__xludf.DUMMYFUNCTION("""COMPUTED_VALUE"""),"UAI GROOVE - UBERLANDIA")</f>
        <v>UAI GROOVE - UBERLANDIA</v>
      </c>
      <c r="L7991" s="32">
        <f>IFERROR(__xludf.DUMMYFUNCTION("""COMPUTED_VALUE"""),2.0)</f>
        <v>2</v>
      </c>
      <c r="M7991" s="4" t="str">
        <f>IFERROR(__xludf.DUMMYFUNCTION("""COMPUTED_VALUE"""),"Saipos Serviços De Software")</f>
        <v>Saipos Serviços De Software</v>
      </c>
      <c r="N7991" s="33">
        <f>IFERROR(__xludf.DUMMYFUNCTION("""COMPUTED_VALUE"""),1.0)</f>
        <v>1</v>
      </c>
      <c r="O7991" s="4" t="str">
        <f>IFERROR(__xludf.DUMMYFUNCTION("""COMPUTED_VALUE"""),"Saipos Serviços De Software")</f>
        <v>Saipos Serviços De Software</v>
      </c>
      <c r="P7991" s="33">
        <f>IFERROR(__xludf.DUMMYFUNCTION("""COMPUTED_VALUE"""),1.0)</f>
        <v>1</v>
      </c>
      <c r="Q7991" s="4" t="str">
        <f>IFERROR(__xludf.DUMMYFUNCTION("""COMPUTED_VALUE"""),"Saipos Serviços De Software")</f>
        <v>Saipos Serviços De Software</v>
      </c>
      <c r="R7991" s="33">
        <f>IFERROR(__xludf.DUMMYFUNCTION("""COMPUTED_VALUE"""),1.0)</f>
        <v>1</v>
      </c>
      <c r="S7991" s="4" t="str">
        <f>IFERROR(__xludf.DUMMYFUNCTION("""COMPUTED_VALUE"""),"Saipos Serviços De Software")</f>
        <v>Saipos Serviços De Software</v>
      </c>
      <c r="T7991" s="33">
        <f>IFERROR(__xludf.DUMMYFUNCTION("""COMPUTED_VALUE"""),1.0)</f>
        <v>1</v>
      </c>
      <c r="U7991" s="4" t="str">
        <f>IFERROR(__xludf.DUMMYFUNCTION("""COMPUTED_VALUE"""),"Saipos Serviços De Software")</f>
        <v>Saipos Serviços De Software</v>
      </c>
      <c r="V7991" s="33">
        <f>IFERROR(__xludf.DUMMYFUNCTION("""COMPUTED_VALUE"""),1.0)</f>
        <v>1</v>
      </c>
      <c r="W7991" s="4" t="str">
        <f>IFERROR(__xludf.DUMMYFUNCTION("""COMPUTED_VALUE"""),"Saipos Serviços De Software")</f>
        <v>Saipos Serviços De Software</v>
      </c>
      <c r="X7991" s="33">
        <f>IFERROR(__xludf.DUMMYFUNCTION("""COMPUTED_VALUE"""),1.0)</f>
        <v>1</v>
      </c>
    </row>
    <row r="7992">
      <c r="K7992" s="4" t="str">
        <f>IFERROR(__xludf.DUMMYFUNCTION("""COMPUTED_VALUE"""),"ULTRA POPULAR - LOJAS LIMA - CONTA MARCA")</f>
        <v>ULTRA POPULAR - LOJAS LIMA - CONTA MARCA</v>
      </c>
      <c r="L7992" s="32">
        <f>IFERROR(__xludf.DUMMYFUNCTION("""COMPUTED_VALUE"""),2.0)</f>
        <v>2</v>
      </c>
      <c r="M7992" s="4" t="str">
        <f>IFERROR(__xludf.DUMMYFUNCTION("""COMPUTED_VALUE"""),"N/A (Not found)")</f>
        <v>N/A (Not found)</v>
      </c>
      <c r="N7992" s="33">
        <f>IFERROR(__xludf.DUMMYFUNCTION("""COMPUTED_VALUE"""),1.0)</f>
        <v>1</v>
      </c>
      <c r="O7992" s="4" t="str">
        <f>IFERROR(__xludf.DUMMYFUNCTION("""COMPUTED_VALUE"""),"N/A (Not found)")</f>
        <v>N/A (Not found)</v>
      </c>
      <c r="P7992" s="33">
        <f>IFERROR(__xludf.DUMMYFUNCTION("""COMPUTED_VALUE"""),1.0)</f>
        <v>1</v>
      </c>
      <c r="Q7992" s="4" t="str">
        <f>IFERROR(__xludf.DUMMYFUNCTION("""COMPUTED_VALUE"""),"null")</f>
        <v>null</v>
      </c>
      <c r="R7992" s="33">
        <f>IFERROR(__xludf.DUMMYFUNCTION("""COMPUTED_VALUE"""),0.5)</f>
        <v>0.5</v>
      </c>
      <c r="S7992" s="4" t="str">
        <f>IFERROR(__xludf.DUMMYFUNCTION("""COMPUTED_VALUE"""),"null")</f>
        <v>null</v>
      </c>
      <c r="T7992" s="33">
        <f>IFERROR(__xludf.DUMMYFUNCTION("""COMPUTED_VALUE"""),0.5)</f>
        <v>0.5</v>
      </c>
      <c r="U7992" s="4" t="str">
        <f>IFERROR(__xludf.DUMMYFUNCTION("""COMPUTED_VALUE"""),"null")</f>
        <v>null</v>
      </c>
      <c r="V7992" s="33">
        <f>IFERROR(__xludf.DUMMYFUNCTION("""COMPUTED_VALUE"""),0.5)</f>
        <v>0.5</v>
      </c>
      <c r="W7992" s="4" t="str">
        <f>IFERROR(__xludf.DUMMYFUNCTION("""COMPUTED_VALUE"""),"null")</f>
        <v>null</v>
      </c>
      <c r="X7992" s="33">
        <f>IFERROR(__xludf.DUMMYFUNCTION("""COMPUTED_VALUE"""),0.5)</f>
        <v>0.5</v>
      </c>
    </row>
    <row r="7993">
      <c r="K7993" s="4" t="str">
        <f>IFERROR(__xludf.DUMMYFUNCTION("""COMPUTED_VALUE"""),"ULTRAPOPULAR GRUPO PAGNUSSAT - CONTA MARCA")</f>
        <v>ULTRAPOPULAR GRUPO PAGNUSSAT - CONTA MARCA</v>
      </c>
      <c r="L7993" s="32">
        <f>IFERROR(__xludf.DUMMYFUNCTION("""COMPUTED_VALUE"""),2.0)</f>
        <v>2</v>
      </c>
      <c r="M7993" s="4" t="str">
        <f>IFERROR(__xludf.DUMMYFUNCTION("""COMPUTED_VALUE"""),"null")</f>
        <v>null</v>
      </c>
      <c r="N7993" s="33">
        <f>IFERROR(__xludf.DUMMYFUNCTION("""COMPUTED_VALUE"""),1.0)</f>
        <v>1</v>
      </c>
      <c r="O7993" s="4" t="str">
        <f>IFERROR(__xludf.DUMMYFUNCTION("""COMPUTED_VALUE"""),"null")</f>
        <v>null</v>
      </c>
      <c r="P7993" s="33">
        <f>IFERROR(__xludf.DUMMYFUNCTION("""COMPUTED_VALUE"""),1.0)</f>
        <v>1</v>
      </c>
      <c r="Q7993" s="4" t="str">
        <f>IFERROR(__xludf.DUMMYFUNCTION("""COMPUTED_VALUE"""),"null")</f>
        <v>null</v>
      </c>
      <c r="R7993" s="33">
        <f>IFERROR(__xludf.DUMMYFUNCTION("""COMPUTED_VALUE"""),1.0)</f>
        <v>1</v>
      </c>
      <c r="S7993" s="4" t="str">
        <f>IFERROR(__xludf.DUMMYFUNCTION("""COMPUTED_VALUE"""),"null")</f>
        <v>null</v>
      </c>
      <c r="T7993" s="33">
        <f>IFERROR(__xludf.DUMMYFUNCTION("""COMPUTED_VALUE"""),1.0)</f>
        <v>1</v>
      </c>
      <c r="U7993" s="4" t="str">
        <f>IFERROR(__xludf.DUMMYFUNCTION("""COMPUTED_VALUE"""),"null")</f>
        <v>null</v>
      </c>
      <c r="V7993" s="33">
        <f>IFERROR(__xludf.DUMMYFUNCTION("""COMPUTED_VALUE"""),1.0)</f>
        <v>1</v>
      </c>
      <c r="W7993" s="4" t="str">
        <f>IFERROR(__xludf.DUMMYFUNCTION("""COMPUTED_VALUE"""),"N/A (Not found)")</f>
        <v>N/A (Not found)</v>
      </c>
      <c r="X7993" s="33">
        <f>IFERROR(__xludf.DUMMYFUNCTION("""COMPUTED_VALUE"""),1.0)</f>
        <v>1</v>
      </c>
    </row>
    <row r="7994">
      <c r="K7994" s="4" t="str">
        <f>IFERROR(__xludf.DUMMYFUNCTION("""COMPUTED_VALUE"""),"ULURU CAFE BRUNCH")</f>
        <v>ULURU CAFE BRUNCH</v>
      </c>
      <c r="L7994" s="32">
        <f>IFERROR(__xludf.DUMMYFUNCTION("""COMPUTED_VALUE"""),2.0)</f>
        <v>2</v>
      </c>
      <c r="M7994" s="4" t="str">
        <f>IFERROR(__xludf.DUMMYFUNCTION("""COMPUTED_VALUE"""),"Ncr")</f>
        <v>Ncr</v>
      </c>
      <c r="N7994" s="33">
        <f>IFERROR(__xludf.DUMMYFUNCTION("""COMPUTED_VALUE"""),1.0)</f>
        <v>1</v>
      </c>
      <c r="O7994" s="4" t="str">
        <f>IFERROR(__xludf.DUMMYFUNCTION("""COMPUTED_VALUE"""),"Ncr")</f>
        <v>Ncr</v>
      </c>
      <c r="P7994" s="33">
        <f>IFERROR(__xludf.DUMMYFUNCTION("""COMPUTED_VALUE"""),1.0)</f>
        <v>1</v>
      </c>
      <c r="Q7994" s="4" t="str">
        <f>IFERROR(__xludf.DUMMYFUNCTION("""COMPUTED_VALUE"""),"Ncr")</f>
        <v>Ncr</v>
      </c>
      <c r="R7994" s="33">
        <f>IFERROR(__xludf.DUMMYFUNCTION("""COMPUTED_VALUE"""),1.0)</f>
        <v>1</v>
      </c>
      <c r="S7994" s="4" t="str">
        <f>IFERROR(__xludf.DUMMYFUNCTION("""COMPUTED_VALUE"""),"Ncr")</f>
        <v>Ncr</v>
      </c>
      <c r="T7994" s="33">
        <f>IFERROR(__xludf.DUMMYFUNCTION("""COMPUTED_VALUE"""),0.5)</f>
        <v>0.5</v>
      </c>
      <c r="U7994" s="4" t="str">
        <f>IFERROR(__xludf.DUMMYFUNCTION("""COMPUTED_VALUE"""),"Gula.menu Tecnologia Ltda.")</f>
        <v>Gula.menu Tecnologia Ltda.</v>
      </c>
      <c r="V7994" s="33">
        <f>IFERROR(__xludf.DUMMYFUNCTION("""COMPUTED_VALUE"""),1.0)</f>
        <v>1</v>
      </c>
      <c r="W7994" s="4" t="str">
        <f>IFERROR(__xludf.DUMMYFUNCTION("""COMPUTED_VALUE"""),"Gula.menu Tecnologia Ltda.")</f>
        <v>Gula.menu Tecnologia Ltda.</v>
      </c>
      <c r="X7994" s="33">
        <f>IFERROR(__xludf.DUMMYFUNCTION("""COMPUTED_VALUE"""),1.0)</f>
        <v>1</v>
      </c>
    </row>
    <row r="7995">
      <c r="K7995" s="4" t="str">
        <f>IFERROR(__xludf.DUMMYFUNCTION("""COMPUTED_VALUE"""),"UNI ACAI")</f>
        <v>UNI ACAI</v>
      </c>
      <c r="L7995" s="32">
        <f>IFERROR(__xludf.DUMMYFUNCTION("""COMPUTED_VALUE"""),2.0)</f>
        <v>2</v>
      </c>
      <c r="M7995" s="4" t="str">
        <f>IFERROR(__xludf.DUMMYFUNCTION("""COMPUTED_VALUE"""),"null")</f>
        <v>null</v>
      </c>
      <c r="N7995" s="33">
        <f>IFERROR(__xludf.DUMMYFUNCTION("""COMPUTED_VALUE"""),0.5)</f>
        <v>0.5</v>
      </c>
      <c r="O7995" s="4" t="str">
        <f>IFERROR(__xludf.DUMMYFUNCTION("""COMPUTED_VALUE"""),"null")</f>
        <v>null</v>
      </c>
      <c r="P7995" s="33">
        <f>IFERROR(__xludf.DUMMYFUNCTION("""COMPUTED_VALUE"""),0.5)</f>
        <v>0.5</v>
      </c>
      <c r="Q7995" s="4" t="str">
        <f>IFERROR(__xludf.DUMMYFUNCTION("""COMPUTED_VALUE"""),"Alfa Labs")</f>
        <v>Alfa Labs</v>
      </c>
      <c r="R7995" s="33">
        <f>IFERROR(__xludf.DUMMYFUNCTION("""COMPUTED_VALUE"""),0.5)</f>
        <v>0.5</v>
      </c>
      <c r="S7995" s="4" t="str">
        <f>IFERROR(__xludf.DUMMYFUNCTION("""COMPUTED_VALUE"""),"Alfa Labs")</f>
        <v>Alfa Labs</v>
      </c>
      <c r="T7995" s="33">
        <f>IFERROR(__xludf.DUMMYFUNCTION("""COMPUTED_VALUE"""),0.5)</f>
        <v>0.5</v>
      </c>
      <c r="U7995" s="4" t="str">
        <f>IFERROR(__xludf.DUMMYFUNCTION("""COMPUTED_VALUE"""),"null")</f>
        <v>null</v>
      </c>
      <c r="V7995" s="33">
        <f>IFERROR(__xludf.DUMMYFUNCTION("""COMPUTED_VALUE"""),0.5)</f>
        <v>0.5</v>
      </c>
      <c r="W7995" s="4" t="str">
        <f>IFERROR(__xludf.DUMMYFUNCTION("""COMPUTED_VALUE"""),"null")</f>
        <v>null</v>
      </c>
      <c r="X7995" s="33">
        <f>IFERROR(__xludf.DUMMYFUNCTION("""COMPUTED_VALUE"""),0.5)</f>
        <v>0.5</v>
      </c>
    </row>
    <row r="7996">
      <c r="K7996" s="4" t="str">
        <f>IFERROR(__xludf.DUMMYFUNCTION("""COMPUTED_VALUE"""),"UP ACAI - MARCA")</f>
        <v>UP ACAI - MARCA</v>
      </c>
      <c r="L7996" s="32">
        <f>IFERROR(__xludf.DUMMYFUNCTION("""COMPUTED_VALUE"""),2.0)</f>
        <v>2</v>
      </c>
      <c r="M7996" s="4" t="str">
        <f>IFERROR(__xludf.DUMMYFUNCTION("""COMPUTED_VALUE"""),"Saipos Serviços De Software")</f>
        <v>Saipos Serviços De Software</v>
      </c>
      <c r="N7996" s="33">
        <f>IFERROR(__xludf.DUMMYFUNCTION("""COMPUTED_VALUE"""),0.5)</f>
        <v>0.5</v>
      </c>
      <c r="O7996" s="4" t="str">
        <f>IFERROR(__xludf.DUMMYFUNCTION("""COMPUTED_VALUE"""),"Saipos Serviços De Software")</f>
        <v>Saipos Serviços De Software</v>
      </c>
      <c r="P7996" s="33">
        <f>IFERROR(__xludf.DUMMYFUNCTION("""COMPUTED_VALUE"""),0.5)</f>
        <v>0.5</v>
      </c>
      <c r="Q7996" s="4" t="str">
        <f>IFERROR(__xludf.DUMMYFUNCTION("""COMPUTED_VALUE"""),"Saipos Serviços De Software")</f>
        <v>Saipos Serviços De Software</v>
      </c>
      <c r="R7996" s="33">
        <f>IFERROR(__xludf.DUMMYFUNCTION("""COMPUTED_VALUE"""),0.5)</f>
        <v>0.5</v>
      </c>
      <c r="S7996" s="4" t="str">
        <f>IFERROR(__xludf.DUMMYFUNCTION("""COMPUTED_VALUE"""),"Saipos Serviços De Software")</f>
        <v>Saipos Serviços De Software</v>
      </c>
      <c r="T7996" s="33">
        <f>IFERROR(__xludf.DUMMYFUNCTION("""COMPUTED_VALUE"""),0.5)</f>
        <v>0.5</v>
      </c>
      <c r="U7996" s="4" t="str">
        <f>IFERROR(__xludf.DUMMYFUNCTION("""COMPUTED_VALUE"""),"Saipos Serviços De Software")</f>
        <v>Saipos Serviços De Software</v>
      </c>
      <c r="V7996" s="33">
        <f>IFERROR(__xludf.DUMMYFUNCTION("""COMPUTED_VALUE"""),0.5)</f>
        <v>0.5</v>
      </c>
      <c r="W7996" s="4" t="str">
        <f>IFERROR(__xludf.DUMMYFUNCTION("""COMPUTED_VALUE"""),"Saipos Serviços De Software")</f>
        <v>Saipos Serviços De Software</v>
      </c>
      <c r="X7996" s="33">
        <f>IFERROR(__xludf.DUMMYFUNCTION("""COMPUTED_VALUE"""),1.0)</f>
        <v>1</v>
      </c>
    </row>
    <row r="7997">
      <c r="K7997" s="4" t="str">
        <f>IFERROR(__xludf.DUMMYFUNCTION("""COMPUTED_VALUE"""),"URBANOS SMASHBURGER")</f>
        <v>URBANOS SMASHBURGER</v>
      </c>
      <c r="L7997" s="32">
        <f>IFERROR(__xludf.DUMMYFUNCTION("""COMPUTED_VALUE"""),2.0)</f>
        <v>2</v>
      </c>
      <c r="M7997" s="4" t="str">
        <f>IFERROR(__xludf.DUMMYFUNCTION("""COMPUTED_VALUE"""),"Vuca Solution")</f>
        <v>Vuca Solution</v>
      </c>
      <c r="N7997" s="33">
        <f>IFERROR(__xludf.DUMMYFUNCTION("""COMPUTED_VALUE"""),1.0)</f>
        <v>1</v>
      </c>
      <c r="O7997" s="4" t="str">
        <f>IFERROR(__xludf.DUMMYFUNCTION("""COMPUTED_VALUE"""),"Vuca Solution")</f>
        <v>Vuca Solution</v>
      </c>
      <c r="P7997" s="33">
        <f>IFERROR(__xludf.DUMMYFUNCTION("""COMPUTED_VALUE"""),1.0)</f>
        <v>1</v>
      </c>
      <c r="Q7997" s="4" t="str">
        <f>IFERROR(__xludf.DUMMYFUNCTION("""COMPUTED_VALUE"""),"Vuca Solution")</f>
        <v>Vuca Solution</v>
      </c>
      <c r="R7997" s="33">
        <f>IFERROR(__xludf.DUMMYFUNCTION("""COMPUTED_VALUE"""),1.0)</f>
        <v>1</v>
      </c>
      <c r="S7997" s="4" t="str">
        <f>IFERROR(__xludf.DUMMYFUNCTION("""COMPUTED_VALUE"""),"Vuca Solution")</f>
        <v>Vuca Solution</v>
      </c>
      <c r="T7997" s="33">
        <f>IFERROR(__xludf.DUMMYFUNCTION("""COMPUTED_VALUE"""),1.0)</f>
        <v>1</v>
      </c>
      <c r="U7997" s="4" t="str">
        <f>IFERROR(__xludf.DUMMYFUNCTION("""COMPUTED_VALUE"""),"Vuca Solution")</f>
        <v>Vuca Solution</v>
      </c>
      <c r="V7997" s="33">
        <f>IFERROR(__xludf.DUMMYFUNCTION("""COMPUTED_VALUE"""),1.0)</f>
        <v>1</v>
      </c>
      <c r="W7997" s="4" t="str">
        <f>IFERROR(__xludf.DUMMYFUNCTION("""COMPUTED_VALUE"""),"Vuca Solution")</f>
        <v>Vuca Solution</v>
      </c>
      <c r="X7997" s="33">
        <f>IFERROR(__xludf.DUMMYFUNCTION("""COMPUTED_VALUE"""),1.0)</f>
        <v>1</v>
      </c>
    </row>
    <row r="7998">
      <c r="K7998" s="4" t="str">
        <f>IFERROR(__xludf.DUMMYFUNCTION("""COMPUTED_VALUE"""),"VAI1JAPA DELIVERY")</f>
        <v>VAI1JAPA DELIVERY</v>
      </c>
      <c r="L7998" s="32">
        <f>IFERROR(__xludf.DUMMYFUNCTION("""COMPUTED_VALUE"""),2.0)</f>
        <v>2</v>
      </c>
      <c r="M7998" s="4" t="str">
        <f>IFERROR(__xludf.DUMMYFUNCTION("""COMPUTED_VALUE"""),"Anota Ai Solucoes Digitais S/a")</f>
        <v>Anota Ai Solucoes Digitais S/a</v>
      </c>
      <c r="N7998" s="33">
        <f>IFERROR(__xludf.DUMMYFUNCTION("""COMPUTED_VALUE"""),1.0)</f>
        <v>1</v>
      </c>
      <c r="O7998" s="4" t="str">
        <f>IFERROR(__xludf.DUMMYFUNCTION("""COMPUTED_VALUE"""),"Anota Ai Solucoes Digitais S/a")</f>
        <v>Anota Ai Solucoes Digitais S/a</v>
      </c>
      <c r="P7998" s="33">
        <f>IFERROR(__xludf.DUMMYFUNCTION("""COMPUTED_VALUE"""),1.0)</f>
        <v>1</v>
      </c>
      <c r="Q7998" s="4" t="str">
        <f>IFERROR(__xludf.DUMMYFUNCTION("""COMPUTED_VALUE"""),"Anota Ai Solucoes Digitais S/a")</f>
        <v>Anota Ai Solucoes Digitais S/a</v>
      </c>
      <c r="R7998" s="33">
        <f>IFERROR(__xludf.DUMMYFUNCTION("""COMPUTED_VALUE"""),1.0)</f>
        <v>1</v>
      </c>
      <c r="S7998" s="4" t="str">
        <f>IFERROR(__xludf.DUMMYFUNCTION("""COMPUTED_VALUE"""),"Anota Ai Solucoes Digitais S/a")</f>
        <v>Anota Ai Solucoes Digitais S/a</v>
      </c>
      <c r="T7998" s="33">
        <f>IFERROR(__xludf.DUMMYFUNCTION("""COMPUTED_VALUE"""),1.0)</f>
        <v>1</v>
      </c>
      <c r="U7998" s="4" t="str">
        <f>IFERROR(__xludf.DUMMYFUNCTION("""COMPUTED_VALUE"""),"Anota Ai Solucoes Digitais S/a")</f>
        <v>Anota Ai Solucoes Digitais S/a</v>
      </c>
      <c r="V7998" s="33">
        <f>IFERROR(__xludf.DUMMYFUNCTION("""COMPUTED_VALUE"""),1.0)</f>
        <v>1</v>
      </c>
      <c r="W7998" s="4" t="str">
        <f>IFERROR(__xludf.DUMMYFUNCTION("""COMPUTED_VALUE"""),"Anota Ai Solucoes Digitais S/a")</f>
        <v>Anota Ai Solucoes Digitais S/a</v>
      </c>
      <c r="X7998" s="33">
        <f>IFERROR(__xludf.DUMMYFUNCTION("""COMPUTED_VALUE"""),1.0)</f>
        <v>1</v>
      </c>
    </row>
    <row r="7999">
      <c r="K7999" s="4" t="str">
        <f>IFERROR(__xludf.DUMMYFUNCTION("""COMPUTED_VALUE"""),"VALONG-ENCRUZILHADA")</f>
        <v>VALONG-ENCRUZILHADA</v>
      </c>
      <c r="L7999" s="32">
        <f>IFERROR(__xludf.DUMMYFUNCTION("""COMPUTED_VALUE"""),2.0)</f>
        <v>2</v>
      </c>
      <c r="M7999" s="4" t="str">
        <f>IFERROR(__xludf.DUMMYFUNCTION("""COMPUTED_VALUE"""),"Grsoft")</f>
        <v>Grsoft</v>
      </c>
      <c r="N7999" s="33">
        <f>IFERROR(__xludf.DUMMYFUNCTION("""COMPUTED_VALUE"""),1.0)</f>
        <v>1</v>
      </c>
      <c r="O7999" s="4" t="str">
        <f>IFERROR(__xludf.DUMMYFUNCTION("""COMPUTED_VALUE"""),"Grsoft")</f>
        <v>Grsoft</v>
      </c>
      <c r="P7999" s="33">
        <f>IFERROR(__xludf.DUMMYFUNCTION("""COMPUTED_VALUE"""),1.0)</f>
        <v>1</v>
      </c>
      <c r="Q7999" s="4" t="str">
        <f>IFERROR(__xludf.DUMMYFUNCTION("""COMPUTED_VALUE"""),"Grsoft")</f>
        <v>Grsoft</v>
      </c>
      <c r="R7999" s="33">
        <f>IFERROR(__xludf.DUMMYFUNCTION("""COMPUTED_VALUE"""),1.0)</f>
        <v>1</v>
      </c>
      <c r="S7999" s="4" t="str">
        <f>IFERROR(__xludf.DUMMYFUNCTION("""COMPUTED_VALUE"""),"Grsoft")</f>
        <v>Grsoft</v>
      </c>
      <c r="T7999" s="33">
        <f>IFERROR(__xludf.DUMMYFUNCTION("""COMPUTED_VALUE"""),1.0)</f>
        <v>1</v>
      </c>
      <c r="U7999" s="4" t="str">
        <f>IFERROR(__xludf.DUMMYFUNCTION("""COMPUTED_VALUE"""),"Grsoft")</f>
        <v>Grsoft</v>
      </c>
      <c r="V7999" s="33">
        <f>IFERROR(__xludf.DUMMYFUNCTION("""COMPUTED_VALUE"""),1.0)</f>
        <v>1</v>
      </c>
      <c r="W7999" s="4" t="str">
        <f>IFERROR(__xludf.DUMMYFUNCTION("""COMPUTED_VALUE"""),"Grsoft")</f>
        <v>Grsoft</v>
      </c>
      <c r="X7999" s="33">
        <f>IFERROR(__xludf.DUMMYFUNCTION("""COMPUTED_VALUE"""),1.0)</f>
        <v>1</v>
      </c>
    </row>
    <row r="8000">
      <c r="K8000" s="4" t="str">
        <f>IFERROR(__xludf.DUMMYFUNCTION("""COMPUTED_VALUE"""),"VAMOS DE JAPA")</f>
        <v>VAMOS DE JAPA</v>
      </c>
      <c r="L8000" s="32">
        <f>IFERROR(__xludf.DUMMYFUNCTION("""COMPUTED_VALUE"""),2.0)</f>
        <v>2</v>
      </c>
      <c r="M8000" s="4" t="str">
        <f>IFERROR(__xludf.DUMMYFUNCTION("""COMPUTED_VALUE"""),"Saipos Serviços De Software")</f>
        <v>Saipos Serviços De Software</v>
      </c>
      <c r="N8000" s="33">
        <f>IFERROR(__xludf.DUMMYFUNCTION("""COMPUTED_VALUE"""),0.5)</f>
        <v>0.5</v>
      </c>
      <c r="O8000" s="4" t="str">
        <f>IFERROR(__xludf.DUMMYFUNCTION("""COMPUTED_VALUE"""),"Saipos Serviços De Software")</f>
        <v>Saipos Serviços De Software</v>
      </c>
      <c r="P8000" s="33">
        <f>IFERROR(__xludf.DUMMYFUNCTION("""COMPUTED_VALUE"""),0.5)</f>
        <v>0.5</v>
      </c>
      <c r="Q8000" s="4" t="str">
        <f>IFERROR(__xludf.DUMMYFUNCTION("""COMPUTED_VALUE"""),"Saipos Serviços De Software")</f>
        <v>Saipos Serviços De Software</v>
      </c>
      <c r="R8000" s="33">
        <f>IFERROR(__xludf.DUMMYFUNCTION("""COMPUTED_VALUE"""),0.5)</f>
        <v>0.5</v>
      </c>
      <c r="S8000" s="4" t="str">
        <f>IFERROR(__xludf.DUMMYFUNCTION("""COMPUTED_VALUE"""),"Saipos Serviços De Software")</f>
        <v>Saipos Serviços De Software</v>
      </c>
      <c r="T8000" s="33">
        <f>IFERROR(__xludf.DUMMYFUNCTION("""COMPUTED_VALUE"""),0.5)</f>
        <v>0.5</v>
      </c>
      <c r="U8000" s="4" t="str">
        <f>IFERROR(__xludf.DUMMYFUNCTION("""COMPUTED_VALUE"""),"Saipos Serviços De Software")</f>
        <v>Saipos Serviços De Software</v>
      </c>
      <c r="V8000" s="33">
        <f>IFERROR(__xludf.DUMMYFUNCTION("""COMPUTED_VALUE"""),1.0)</f>
        <v>1</v>
      </c>
      <c r="W8000" s="4" t="str">
        <f>IFERROR(__xludf.DUMMYFUNCTION("""COMPUTED_VALUE"""),"Saipos Serviços De Software")</f>
        <v>Saipos Serviços De Software</v>
      </c>
      <c r="X8000" s="33">
        <f>IFERROR(__xludf.DUMMYFUNCTION("""COMPUTED_VALUE"""),1.0)</f>
        <v>1</v>
      </c>
    </row>
    <row r="8001">
      <c r="K8001" s="4" t="str">
        <f>IFERROR(__xludf.DUMMYFUNCTION("""COMPUTED_VALUE"""),"VARANDA BURGER M")</f>
        <v>VARANDA BURGER M</v>
      </c>
      <c r="L8001" s="32">
        <f>IFERROR(__xludf.DUMMYFUNCTION("""COMPUTED_VALUE"""),2.0)</f>
        <v>2</v>
      </c>
      <c r="M8001" s="4" t="str">
        <f>IFERROR(__xludf.DUMMYFUNCTION("""COMPUTED_VALUE"""),"Totvs Large Enterprise Tecnologia S.a.")</f>
        <v>Totvs Large Enterprise Tecnologia S.a.</v>
      </c>
      <c r="N8001" s="33">
        <f>IFERROR(__xludf.DUMMYFUNCTION("""COMPUTED_VALUE"""),1.0)</f>
        <v>1</v>
      </c>
      <c r="O8001" s="4" t="str">
        <f>IFERROR(__xludf.DUMMYFUNCTION("""COMPUTED_VALUE"""),"Totvs Large Enterprise Tecnologia S.a.")</f>
        <v>Totvs Large Enterprise Tecnologia S.a.</v>
      </c>
      <c r="P8001" s="33">
        <f>IFERROR(__xludf.DUMMYFUNCTION("""COMPUTED_VALUE"""),1.0)</f>
        <v>1</v>
      </c>
      <c r="Q8001" s="4" t="str">
        <f>IFERROR(__xludf.DUMMYFUNCTION("""COMPUTED_VALUE"""),"Totvs Large Enterprise Tecnologia S.a.")</f>
        <v>Totvs Large Enterprise Tecnologia S.a.</v>
      </c>
      <c r="R8001" s="33">
        <f>IFERROR(__xludf.DUMMYFUNCTION("""COMPUTED_VALUE"""),1.0)</f>
        <v>1</v>
      </c>
      <c r="S8001" s="4" t="str">
        <f>IFERROR(__xludf.DUMMYFUNCTION("""COMPUTED_VALUE"""),"Totvs Large Enterprise Tecnologia S.a.")</f>
        <v>Totvs Large Enterprise Tecnologia S.a.</v>
      </c>
      <c r="T8001" s="33">
        <f>IFERROR(__xludf.DUMMYFUNCTION("""COMPUTED_VALUE"""),1.0)</f>
        <v>1</v>
      </c>
      <c r="U8001" s="4" t="str">
        <f>IFERROR(__xludf.DUMMYFUNCTION("""COMPUTED_VALUE"""),"Totvs Large Enterprise Tecnologia S.a.")</f>
        <v>Totvs Large Enterprise Tecnologia S.a.</v>
      </c>
      <c r="V8001" s="33">
        <f>IFERROR(__xludf.DUMMYFUNCTION("""COMPUTED_VALUE"""),1.0)</f>
        <v>1</v>
      </c>
      <c r="W8001" s="4" t="str">
        <f>IFERROR(__xludf.DUMMYFUNCTION("""COMPUTED_VALUE"""),"Totvs Large Enterprise Tecnologia S.a.")</f>
        <v>Totvs Large Enterprise Tecnologia S.a.</v>
      </c>
      <c r="X8001" s="33">
        <f>IFERROR(__xludf.DUMMYFUNCTION("""COMPUTED_VALUE"""),1.0)</f>
        <v>1</v>
      </c>
    </row>
    <row r="8002">
      <c r="K8002" s="4" t="str">
        <f>IFERROR(__xludf.DUMMYFUNCTION("""COMPUTED_VALUE"""),"VARANDA DO COREU")</f>
        <v>VARANDA DO COREU</v>
      </c>
      <c r="L8002" s="32">
        <f>IFERROR(__xludf.DUMMYFUNCTION("""COMPUTED_VALUE"""),2.0)</f>
        <v>2</v>
      </c>
      <c r="M8002" s="4" t="str">
        <f>IFERROR(__xludf.DUMMYFUNCTION("""COMPUTED_VALUE"""),"Vuca Solution")</f>
        <v>Vuca Solution</v>
      </c>
      <c r="N8002" s="33">
        <f>IFERROR(__xludf.DUMMYFUNCTION("""COMPUTED_VALUE"""),1.0)</f>
        <v>1</v>
      </c>
      <c r="O8002" s="4" t="str">
        <f>IFERROR(__xludf.DUMMYFUNCTION("""COMPUTED_VALUE"""),"Vuca Solution")</f>
        <v>Vuca Solution</v>
      </c>
      <c r="P8002" s="33">
        <f>IFERROR(__xludf.DUMMYFUNCTION("""COMPUTED_VALUE"""),1.0)</f>
        <v>1</v>
      </c>
      <c r="Q8002" s="4" t="str">
        <f>IFERROR(__xludf.DUMMYFUNCTION("""COMPUTED_VALUE"""),"Vuca Solution")</f>
        <v>Vuca Solution</v>
      </c>
      <c r="R8002" s="33">
        <f>IFERROR(__xludf.DUMMYFUNCTION("""COMPUTED_VALUE"""),1.0)</f>
        <v>1</v>
      </c>
      <c r="S8002" s="4" t="str">
        <f>IFERROR(__xludf.DUMMYFUNCTION("""COMPUTED_VALUE"""),"Vuca Solution")</f>
        <v>Vuca Solution</v>
      </c>
      <c r="T8002" s="33">
        <f>IFERROR(__xludf.DUMMYFUNCTION("""COMPUTED_VALUE"""),1.0)</f>
        <v>1</v>
      </c>
      <c r="U8002" s="4" t="str">
        <f>IFERROR(__xludf.DUMMYFUNCTION("""COMPUTED_VALUE"""),"Vuca Solution")</f>
        <v>Vuca Solution</v>
      </c>
      <c r="V8002" s="33">
        <f>IFERROR(__xludf.DUMMYFUNCTION("""COMPUTED_VALUE"""),1.0)</f>
        <v>1</v>
      </c>
      <c r="W8002" s="4" t="str">
        <f>IFERROR(__xludf.DUMMYFUNCTION("""COMPUTED_VALUE"""),"Vuca Solution")</f>
        <v>Vuca Solution</v>
      </c>
      <c r="X8002" s="33">
        <f>IFERROR(__xludf.DUMMYFUNCTION("""COMPUTED_VALUE"""),1.0)</f>
        <v>1</v>
      </c>
    </row>
    <row r="8003">
      <c r="K8003" s="4" t="str">
        <f>IFERROR(__xludf.DUMMYFUNCTION("""COMPUTED_VALUE"""),"VARANDA MERCADO - CONTA PAI")</f>
        <v>VARANDA MERCADO - CONTA PAI</v>
      </c>
      <c r="L8003" s="32">
        <f>IFERROR(__xludf.DUMMYFUNCTION("""COMPUTED_VALUE"""),2.0)</f>
        <v>2</v>
      </c>
      <c r="M8003" s="4" t="str">
        <f>IFERROR(__xludf.DUMMYFUNCTION("""COMPUTED_VALUE"""),"N/A (Not found)")</f>
        <v>N/A (Not found)</v>
      </c>
      <c r="N8003" s="33">
        <f>IFERROR(__xludf.DUMMYFUNCTION("""COMPUTED_VALUE"""),1.0)</f>
        <v>1</v>
      </c>
      <c r="O8003" s="4" t="str">
        <f>IFERROR(__xludf.DUMMYFUNCTION("""COMPUTED_VALUE"""),"N/A (Not found)")</f>
        <v>N/A (Not found)</v>
      </c>
      <c r="P8003" s="33">
        <f>IFERROR(__xludf.DUMMYFUNCTION("""COMPUTED_VALUE"""),1.0)</f>
        <v>1</v>
      </c>
      <c r="Q8003" s="4" t="str">
        <f>IFERROR(__xludf.DUMMYFUNCTION("""COMPUTED_VALUE"""),"N/A (Not found)")</f>
        <v>N/A (Not found)</v>
      </c>
      <c r="R8003" s="33">
        <f>IFERROR(__xludf.DUMMYFUNCTION("""COMPUTED_VALUE"""),1.0)</f>
        <v>1</v>
      </c>
      <c r="S8003" s="4" t="str">
        <f>IFERROR(__xludf.DUMMYFUNCTION("""COMPUTED_VALUE"""),"N/A (Not found)")</f>
        <v>N/A (Not found)</v>
      </c>
      <c r="T8003" s="33">
        <f>IFERROR(__xludf.DUMMYFUNCTION("""COMPUTED_VALUE"""),1.0)</f>
        <v>1</v>
      </c>
      <c r="U8003" s="4" t="str">
        <f>IFERROR(__xludf.DUMMYFUNCTION("""COMPUTED_VALUE"""),"N/A (Not found)")</f>
        <v>N/A (Not found)</v>
      </c>
      <c r="V8003" s="33">
        <f>IFERROR(__xludf.DUMMYFUNCTION("""COMPUTED_VALUE"""),1.0)</f>
        <v>1</v>
      </c>
      <c r="W8003" s="4" t="str">
        <f>IFERROR(__xludf.DUMMYFUNCTION("""COMPUTED_VALUE"""),"N/A (Not found)")</f>
        <v>N/A (Not found)</v>
      </c>
      <c r="X8003" s="33">
        <f>IFERROR(__xludf.DUMMYFUNCTION("""COMPUTED_VALUE"""),1.0)</f>
        <v>1</v>
      </c>
    </row>
    <row r="8004">
      <c r="K8004" s="4" t="str">
        <f>IFERROR(__xludf.DUMMYFUNCTION("""COMPUTED_VALUE"""),"VASCOLIS BBQ - CONTA PAI")</f>
        <v>VASCOLIS BBQ - CONTA PAI</v>
      </c>
      <c r="L8004" s="32">
        <f>IFERROR(__xludf.DUMMYFUNCTION("""COMPUTED_VALUE"""),2.0)</f>
        <v>2</v>
      </c>
      <c r="M8004" s="4" t="str">
        <f>IFERROR(__xludf.DUMMYFUNCTION("""COMPUTED_VALUE"""),"Consumer Soluções Em Tecnologia Ltda")</f>
        <v>Consumer Soluções Em Tecnologia Ltda</v>
      </c>
      <c r="N8004" s="33">
        <f>IFERROR(__xludf.DUMMYFUNCTION("""COMPUTED_VALUE"""),1.0)</f>
        <v>1</v>
      </c>
      <c r="O8004" s="4" t="str">
        <f>IFERROR(__xludf.DUMMYFUNCTION("""COMPUTED_VALUE"""),"Consumer Soluções Em Tecnologia Ltda")</f>
        <v>Consumer Soluções Em Tecnologia Ltda</v>
      </c>
      <c r="P8004" s="33">
        <f>IFERROR(__xludf.DUMMYFUNCTION("""COMPUTED_VALUE"""),1.0)</f>
        <v>1</v>
      </c>
      <c r="Q8004" s="4" t="str">
        <f>IFERROR(__xludf.DUMMYFUNCTION("""COMPUTED_VALUE"""),"Consumer Soluções Em Tecnologia Ltda")</f>
        <v>Consumer Soluções Em Tecnologia Ltda</v>
      </c>
      <c r="R8004" s="33">
        <f>IFERROR(__xludf.DUMMYFUNCTION("""COMPUTED_VALUE"""),1.0)</f>
        <v>1</v>
      </c>
      <c r="S8004" s="4" t="str">
        <f>IFERROR(__xludf.DUMMYFUNCTION("""COMPUTED_VALUE"""),"Consumer Soluções Em Tecnologia Ltda")</f>
        <v>Consumer Soluções Em Tecnologia Ltda</v>
      </c>
      <c r="T8004" s="33">
        <f>IFERROR(__xludf.DUMMYFUNCTION("""COMPUTED_VALUE"""),1.0)</f>
        <v>1</v>
      </c>
      <c r="U8004" s="4" t="str">
        <f>IFERROR(__xludf.DUMMYFUNCTION("""COMPUTED_VALUE"""),"Consumer Soluções Em Tecnologia Ltda")</f>
        <v>Consumer Soluções Em Tecnologia Ltda</v>
      </c>
      <c r="V8004" s="33">
        <f>IFERROR(__xludf.DUMMYFUNCTION("""COMPUTED_VALUE"""),1.0)</f>
        <v>1</v>
      </c>
      <c r="W8004" s="4" t="str">
        <f>IFERROR(__xludf.DUMMYFUNCTION("""COMPUTED_VALUE"""),"Consumer Soluções Em Tecnologia Ltda")</f>
        <v>Consumer Soluções Em Tecnologia Ltda</v>
      </c>
      <c r="X8004" s="33">
        <f>IFERROR(__xludf.DUMMYFUNCTION("""COMPUTED_VALUE"""),1.0)</f>
        <v>1</v>
      </c>
    </row>
    <row r="8005">
      <c r="K8005" s="4" t="str">
        <f>IFERROR(__xludf.DUMMYFUNCTION("""COMPUTED_VALUE"""),"VELHO ORIENTE")</f>
        <v>VELHO ORIENTE</v>
      </c>
      <c r="L8005" s="32">
        <f>IFERROR(__xludf.DUMMYFUNCTION("""COMPUTED_VALUE"""),2.0)</f>
        <v>2</v>
      </c>
      <c r="M8005" s="4" t="str">
        <f>IFERROR(__xludf.DUMMYFUNCTION("""COMPUTED_VALUE"""),"Cloudfy")</f>
        <v>Cloudfy</v>
      </c>
      <c r="N8005" s="33">
        <f>IFERROR(__xludf.DUMMYFUNCTION("""COMPUTED_VALUE"""),1.0)</f>
        <v>1</v>
      </c>
      <c r="O8005" s="4" t="str">
        <f>IFERROR(__xludf.DUMMYFUNCTION("""COMPUTED_VALUE"""),"Cloudfy")</f>
        <v>Cloudfy</v>
      </c>
      <c r="P8005" s="33">
        <f>IFERROR(__xludf.DUMMYFUNCTION("""COMPUTED_VALUE"""),1.0)</f>
        <v>1</v>
      </c>
      <c r="Q8005" s="4" t="str">
        <f>IFERROR(__xludf.DUMMYFUNCTION("""COMPUTED_VALUE"""),"Cloudfy")</f>
        <v>Cloudfy</v>
      </c>
      <c r="R8005" s="33">
        <f>IFERROR(__xludf.DUMMYFUNCTION("""COMPUTED_VALUE"""),1.0)</f>
        <v>1</v>
      </c>
      <c r="S8005" s="4" t="str">
        <f>IFERROR(__xludf.DUMMYFUNCTION("""COMPUTED_VALUE"""),"Cloudfy")</f>
        <v>Cloudfy</v>
      </c>
      <c r="T8005" s="33">
        <f>IFERROR(__xludf.DUMMYFUNCTION("""COMPUTED_VALUE"""),1.0)</f>
        <v>1</v>
      </c>
      <c r="U8005" s="4" t="str">
        <f>IFERROR(__xludf.DUMMYFUNCTION("""COMPUTED_VALUE"""),"Cloudfy")</f>
        <v>Cloudfy</v>
      </c>
      <c r="V8005" s="33">
        <f>IFERROR(__xludf.DUMMYFUNCTION("""COMPUTED_VALUE"""),1.0)</f>
        <v>1</v>
      </c>
      <c r="W8005" s="4" t="str">
        <f>IFERROR(__xludf.DUMMYFUNCTION("""COMPUTED_VALUE"""),"Cloudfy")</f>
        <v>Cloudfy</v>
      </c>
      <c r="X8005" s="33">
        <f>IFERROR(__xludf.DUMMYFUNCTION("""COMPUTED_VALUE"""),1.0)</f>
        <v>1</v>
      </c>
    </row>
    <row r="8006">
      <c r="K8006" s="4" t="str">
        <f>IFERROR(__xludf.DUMMYFUNCTION("""COMPUTED_VALUE"""),"VELHO ORIENTE - CONTA MARCA")</f>
        <v>VELHO ORIENTE - CONTA MARCA</v>
      </c>
      <c r="L8006" s="32">
        <f>IFERROR(__xludf.DUMMYFUNCTION("""COMPUTED_VALUE"""),2.0)</f>
        <v>2</v>
      </c>
      <c r="M8006" s="4" t="str">
        <f>IFERROR(__xludf.DUMMYFUNCTION("""COMPUTED_VALUE"""),"Cloudfy")</f>
        <v>Cloudfy</v>
      </c>
      <c r="N8006" s="33">
        <f>IFERROR(__xludf.DUMMYFUNCTION("""COMPUTED_VALUE"""),1.0)</f>
        <v>1</v>
      </c>
      <c r="O8006" s="4" t="str">
        <f>IFERROR(__xludf.DUMMYFUNCTION("""COMPUTED_VALUE"""),"Cloudfy")</f>
        <v>Cloudfy</v>
      </c>
      <c r="P8006" s="33">
        <f>IFERROR(__xludf.DUMMYFUNCTION("""COMPUTED_VALUE"""),1.0)</f>
        <v>1</v>
      </c>
      <c r="Q8006" s="4" t="str">
        <f>IFERROR(__xludf.DUMMYFUNCTION("""COMPUTED_VALUE"""),"Cloudfy")</f>
        <v>Cloudfy</v>
      </c>
      <c r="R8006" s="33">
        <f>IFERROR(__xludf.DUMMYFUNCTION("""COMPUTED_VALUE"""),1.0)</f>
        <v>1</v>
      </c>
      <c r="S8006" s="4" t="str">
        <f>IFERROR(__xludf.DUMMYFUNCTION("""COMPUTED_VALUE"""),"Cloudfy")</f>
        <v>Cloudfy</v>
      </c>
      <c r="T8006" s="33">
        <f>IFERROR(__xludf.DUMMYFUNCTION("""COMPUTED_VALUE"""),1.0)</f>
        <v>1</v>
      </c>
      <c r="U8006" s="4" t="str">
        <f>IFERROR(__xludf.DUMMYFUNCTION("""COMPUTED_VALUE"""),"Cloudfy")</f>
        <v>Cloudfy</v>
      </c>
      <c r="V8006" s="33">
        <f>IFERROR(__xludf.DUMMYFUNCTION("""COMPUTED_VALUE"""),1.0)</f>
        <v>1</v>
      </c>
      <c r="W8006" s="4" t="str">
        <f>IFERROR(__xludf.DUMMYFUNCTION("""COMPUTED_VALUE"""),"Cloudfy")</f>
        <v>Cloudfy</v>
      </c>
      <c r="X8006" s="33">
        <f>IFERROR(__xludf.DUMMYFUNCTION("""COMPUTED_VALUE"""),1.0)</f>
        <v>1</v>
      </c>
    </row>
    <row r="8007">
      <c r="K8007" s="4" t="str">
        <f>IFERROR(__xludf.DUMMYFUNCTION("""COMPUTED_VALUE"""),"VENTURAS PIZZA")</f>
        <v>VENTURAS PIZZA</v>
      </c>
      <c r="L8007" s="32">
        <f>IFERROR(__xludf.DUMMYFUNCTION("""COMPUTED_VALUE"""),2.0)</f>
        <v>2</v>
      </c>
      <c r="M8007" s="4" t="str">
        <f>IFERROR(__xludf.DUMMYFUNCTION("""COMPUTED_VALUE"""),"Saipos Serviços De Software")</f>
        <v>Saipos Serviços De Software</v>
      </c>
      <c r="N8007" s="33">
        <f>IFERROR(__xludf.DUMMYFUNCTION("""COMPUTED_VALUE"""),0.5)</f>
        <v>0.5</v>
      </c>
      <c r="O8007" s="4" t="str">
        <f>IFERROR(__xludf.DUMMYFUNCTION("""COMPUTED_VALUE"""),"Saipos Serviços De Software")</f>
        <v>Saipos Serviços De Software</v>
      </c>
      <c r="P8007" s="33">
        <f>IFERROR(__xludf.DUMMYFUNCTION("""COMPUTED_VALUE"""),0.5)</f>
        <v>0.5</v>
      </c>
      <c r="Q8007" s="4" t="str">
        <f>IFERROR(__xludf.DUMMYFUNCTION("""COMPUTED_VALUE"""),"Saipos Serviços De Software")</f>
        <v>Saipos Serviços De Software</v>
      </c>
      <c r="R8007" s="33">
        <f>IFERROR(__xludf.DUMMYFUNCTION("""COMPUTED_VALUE"""),0.5)</f>
        <v>0.5</v>
      </c>
      <c r="S8007" s="4" t="str">
        <f>IFERROR(__xludf.DUMMYFUNCTION("""COMPUTED_VALUE"""),"Saipos Serviços De Software")</f>
        <v>Saipos Serviços De Software</v>
      </c>
      <c r="T8007" s="33">
        <f>IFERROR(__xludf.DUMMYFUNCTION("""COMPUTED_VALUE"""),0.5)</f>
        <v>0.5</v>
      </c>
      <c r="U8007" s="4" t="str">
        <f>IFERROR(__xludf.DUMMYFUNCTION("""COMPUTED_VALUE"""),"Saipos Serviços De Software")</f>
        <v>Saipos Serviços De Software</v>
      </c>
      <c r="V8007" s="33">
        <f>IFERROR(__xludf.DUMMYFUNCTION("""COMPUTED_VALUE"""),1.0)</f>
        <v>1</v>
      </c>
      <c r="W8007" s="4" t="str">
        <f>IFERROR(__xludf.DUMMYFUNCTION("""COMPUTED_VALUE"""),"Saipos Serviços De Software")</f>
        <v>Saipos Serviços De Software</v>
      </c>
      <c r="X8007" s="33">
        <f>IFERROR(__xludf.DUMMYFUNCTION("""COMPUTED_VALUE"""),1.0)</f>
        <v>1</v>
      </c>
    </row>
    <row r="8008">
      <c r="K8008" s="4" t="str">
        <f>IFERROR(__xludf.DUMMYFUNCTION("""COMPUTED_VALUE"""),"VERDE MADURO - COZINHA SAUDAVEL")</f>
        <v>VERDE MADURO - COZINHA SAUDAVEL</v>
      </c>
      <c r="L8008" s="32">
        <f>IFERROR(__xludf.DUMMYFUNCTION("""COMPUTED_VALUE"""),2.0)</f>
        <v>2</v>
      </c>
      <c r="M8008" s="4" t="str">
        <f>IFERROR(__xludf.DUMMYFUNCTION("""COMPUTED_VALUE"""),"Soma Comercio E Licenciamento De Software Ltda")</f>
        <v>Soma Comercio E Licenciamento De Software Ltda</v>
      </c>
      <c r="N8008" s="33">
        <f>IFERROR(__xludf.DUMMYFUNCTION("""COMPUTED_VALUE"""),1.0)</f>
        <v>1</v>
      </c>
      <c r="O8008" s="4" t="str">
        <f>IFERROR(__xludf.DUMMYFUNCTION("""COMPUTED_VALUE"""),"Soma Comercio E Licenciamento De Software Ltda")</f>
        <v>Soma Comercio E Licenciamento De Software Ltda</v>
      </c>
      <c r="P8008" s="33">
        <f>IFERROR(__xludf.DUMMYFUNCTION("""COMPUTED_VALUE"""),1.0)</f>
        <v>1</v>
      </c>
      <c r="Q8008" s="4" t="str">
        <f>IFERROR(__xludf.DUMMYFUNCTION("""COMPUTED_VALUE"""),"Soma Comercio E Licenciamento De Software Ltda")</f>
        <v>Soma Comercio E Licenciamento De Software Ltda</v>
      </c>
      <c r="R8008" s="33">
        <f>IFERROR(__xludf.DUMMYFUNCTION("""COMPUTED_VALUE"""),1.0)</f>
        <v>1</v>
      </c>
      <c r="S8008" s="4" t="str">
        <f>IFERROR(__xludf.DUMMYFUNCTION("""COMPUTED_VALUE"""),"Soma Comercio E Licenciamento De Software Ltda")</f>
        <v>Soma Comercio E Licenciamento De Software Ltda</v>
      </c>
      <c r="T8008" s="33">
        <f>IFERROR(__xludf.DUMMYFUNCTION("""COMPUTED_VALUE"""),1.0)</f>
        <v>1</v>
      </c>
      <c r="U8008" s="4" t="str">
        <f>IFERROR(__xludf.DUMMYFUNCTION("""COMPUTED_VALUE"""),"Soma Comercio E Licenciamento De Software Ltda")</f>
        <v>Soma Comercio E Licenciamento De Software Ltda</v>
      </c>
      <c r="V8008" s="33">
        <f>IFERROR(__xludf.DUMMYFUNCTION("""COMPUTED_VALUE"""),1.0)</f>
        <v>1</v>
      </c>
      <c r="W8008" s="4" t="str">
        <f>IFERROR(__xludf.DUMMYFUNCTION("""COMPUTED_VALUE"""),"Soma Comercio E Licenciamento De Software Ltda")</f>
        <v>Soma Comercio E Licenciamento De Software Ltda</v>
      </c>
      <c r="X8008" s="33">
        <f>IFERROR(__xludf.DUMMYFUNCTION("""COMPUTED_VALUE"""),1.0)</f>
        <v>1</v>
      </c>
    </row>
    <row r="8009">
      <c r="K8009" s="4" t="str">
        <f>IFERROR(__xludf.DUMMYFUNCTION("""COMPUTED_VALUE"""),"VIANAS PET SHOP - CONTA PAI")</f>
        <v>VIANAS PET SHOP - CONTA PAI</v>
      </c>
      <c r="L8009" s="32">
        <f>IFERROR(__xludf.DUMMYFUNCTION("""COMPUTED_VALUE"""),2.0)</f>
        <v>2</v>
      </c>
      <c r="M8009" s="4" t="str">
        <f>IFERROR(__xludf.DUMMYFUNCTION("""COMPUTED_VALUE"""),"N/A (Not found)")</f>
        <v>N/A (Not found)</v>
      </c>
      <c r="N8009" s="33">
        <f>IFERROR(__xludf.DUMMYFUNCTION("""COMPUTED_VALUE"""),1.0)</f>
        <v>1</v>
      </c>
      <c r="O8009" s="4" t="str">
        <f>IFERROR(__xludf.DUMMYFUNCTION("""COMPUTED_VALUE"""),"null")</f>
        <v>null</v>
      </c>
      <c r="P8009" s="33">
        <f>IFERROR(__xludf.DUMMYFUNCTION("""COMPUTED_VALUE"""),1.0)</f>
        <v>1</v>
      </c>
      <c r="Q8009" s="4" t="str">
        <f>IFERROR(__xludf.DUMMYFUNCTION("""COMPUTED_VALUE"""),"N/A (Not found)")</f>
        <v>N/A (Not found)</v>
      </c>
      <c r="R8009" s="33">
        <f>IFERROR(__xludf.DUMMYFUNCTION("""COMPUTED_VALUE"""),1.0)</f>
        <v>1</v>
      </c>
      <c r="S8009" s="4" t="str">
        <f>IFERROR(__xludf.DUMMYFUNCTION("""COMPUTED_VALUE"""),"N/A (Not found)")</f>
        <v>N/A (Not found)</v>
      </c>
      <c r="T8009" s="33">
        <f>IFERROR(__xludf.DUMMYFUNCTION("""COMPUTED_VALUE"""),1.0)</f>
        <v>1</v>
      </c>
      <c r="U8009" s="4" t="str">
        <f>IFERROR(__xludf.DUMMYFUNCTION("""COMPUTED_VALUE"""),"N/A (Not found)")</f>
        <v>N/A (Not found)</v>
      </c>
      <c r="V8009" s="33">
        <f>IFERROR(__xludf.DUMMYFUNCTION("""COMPUTED_VALUE"""),1.0)</f>
        <v>1</v>
      </c>
      <c r="W8009" s="4" t="str">
        <f>IFERROR(__xludf.DUMMYFUNCTION("""COMPUTED_VALUE"""),"N/A (Not found)")</f>
        <v>N/A (Not found)</v>
      </c>
      <c r="X8009" s="33">
        <f>IFERROR(__xludf.DUMMYFUNCTION("""COMPUTED_VALUE"""),1.0)</f>
        <v>1</v>
      </c>
    </row>
    <row r="8010">
      <c r="K8010" s="4" t="str">
        <f>IFERROR(__xludf.DUMMYFUNCTION("""COMPUTED_VALUE"""),"VIASETE IPANEMA - SAUDAVEL")</f>
        <v>VIASETE IPANEMA - SAUDAVEL</v>
      </c>
      <c r="L8010" s="32">
        <f>IFERROR(__xludf.DUMMYFUNCTION("""COMPUTED_VALUE"""),2.0)</f>
        <v>2</v>
      </c>
      <c r="M8010" s="4" t="str">
        <f>IFERROR(__xludf.DUMMYFUNCTION("""COMPUTED_VALUE"""),"Teknisa Service Ltda")</f>
        <v>Teknisa Service Ltda</v>
      </c>
      <c r="N8010" s="33">
        <f>IFERROR(__xludf.DUMMYFUNCTION("""COMPUTED_VALUE"""),1.0)</f>
        <v>1</v>
      </c>
      <c r="O8010" s="4" t="str">
        <f>IFERROR(__xludf.DUMMYFUNCTION("""COMPUTED_VALUE"""),"null")</f>
        <v>null</v>
      </c>
      <c r="P8010" s="33">
        <f>IFERROR(__xludf.DUMMYFUNCTION("""COMPUTED_VALUE"""),0.5)</f>
        <v>0.5</v>
      </c>
      <c r="Q8010" s="4" t="str">
        <f>IFERROR(__xludf.DUMMYFUNCTION("""COMPUTED_VALUE"""),"Teknisa Service Ltda")</f>
        <v>Teknisa Service Ltda</v>
      </c>
      <c r="R8010" s="33">
        <f>IFERROR(__xludf.DUMMYFUNCTION("""COMPUTED_VALUE"""),1.0)</f>
        <v>1</v>
      </c>
      <c r="S8010" s="4" t="str">
        <f>IFERROR(__xludf.DUMMYFUNCTION("""COMPUTED_VALUE"""),"Teknisa Service Ltda")</f>
        <v>Teknisa Service Ltda</v>
      </c>
      <c r="T8010" s="33">
        <f>IFERROR(__xludf.DUMMYFUNCTION("""COMPUTED_VALUE"""),1.0)</f>
        <v>1</v>
      </c>
      <c r="U8010" s="4" t="str">
        <f>IFERROR(__xludf.DUMMYFUNCTION("""COMPUTED_VALUE"""),"null")</f>
        <v>null</v>
      </c>
      <c r="V8010" s="33">
        <f>IFERROR(__xludf.DUMMYFUNCTION("""COMPUTED_VALUE"""),1.0)</f>
        <v>1</v>
      </c>
      <c r="W8010" s="4" t="str">
        <f>IFERROR(__xludf.DUMMYFUNCTION("""COMPUTED_VALUE"""),"Teknisa Service Ltda")</f>
        <v>Teknisa Service Ltda</v>
      </c>
      <c r="X8010" s="33">
        <f>IFERROR(__xludf.DUMMYFUNCTION("""COMPUTED_VALUE"""),1.0)</f>
        <v>1</v>
      </c>
    </row>
    <row r="8011">
      <c r="K8011" s="4" t="str">
        <f>IFERROR(__xludf.DUMMYFUNCTION("""COMPUTED_VALUE"""),"VIC BEAUTE - CONTA MARCA")</f>
        <v>VIC BEAUTE - CONTA MARCA</v>
      </c>
      <c r="L8011" s="32">
        <f>IFERROR(__xludf.DUMMYFUNCTION("""COMPUTED_VALUE"""),2.0)</f>
        <v>2</v>
      </c>
      <c r="M8011" s="4" t="str">
        <f>IFERROR(__xludf.DUMMYFUNCTION("""COMPUTED_VALUE"""),"N/A (Not found)")</f>
        <v>N/A (Not found)</v>
      </c>
      <c r="N8011" s="33">
        <f>IFERROR(__xludf.DUMMYFUNCTION("""COMPUTED_VALUE"""),1.0)</f>
        <v>1</v>
      </c>
      <c r="O8011" s="4" t="str">
        <f>IFERROR(__xludf.DUMMYFUNCTION("""COMPUTED_VALUE"""),"N/A (Not found)")</f>
        <v>N/A (Not found)</v>
      </c>
      <c r="P8011" s="33">
        <f>IFERROR(__xludf.DUMMYFUNCTION("""COMPUTED_VALUE"""),1.0)</f>
        <v>1</v>
      </c>
      <c r="Q8011" s="4" t="str">
        <f>IFERROR(__xludf.DUMMYFUNCTION("""COMPUTED_VALUE"""),"N/A (Not found)")</f>
        <v>N/A (Not found)</v>
      </c>
      <c r="R8011" s="33">
        <f>IFERROR(__xludf.DUMMYFUNCTION("""COMPUTED_VALUE"""),1.0)</f>
        <v>1</v>
      </c>
      <c r="S8011" s="4" t="str">
        <f>IFERROR(__xludf.DUMMYFUNCTION("""COMPUTED_VALUE"""),"N/A (Not found)")</f>
        <v>N/A (Not found)</v>
      </c>
      <c r="T8011" s="33">
        <f>IFERROR(__xludf.DUMMYFUNCTION("""COMPUTED_VALUE"""),1.0)</f>
        <v>1</v>
      </c>
      <c r="U8011" s="4" t="str">
        <f>IFERROR(__xludf.DUMMYFUNCTION("""COMPUTED_VALUE"""),"N/A (Not found)")</f>
        <v>N/A (Not found)</v>
      </c>
      <c r="V8011" s="33">
        <f>IFERROR(__xludf.DUMMYFUNCTION("""COMPUTED_VALUE"""),1.0)</f>
        <v>1</v>
      </c>
      <c r="W8011" s="4" t="str">
        <f>IFERROR(__xludf.DUMMYFUNCTION("""COMPUTED_VALUE"""),"null")</f>
        <v>null</v>
      </c>
      <c r="X8011" s="33">
        <f>IFERROR(__xludf.DUMMYFUNCTION("""COMPUTED_VALUE"""),0.5)</f>
        <v>0.5</v>
      </c>
    </row>
    <row r="8012">
      <c r="K8012" s="4" t="str">
        <f>IFERROR(__xludf.DUMMYFUNCTION("""COMPUTED_VALUE"""),"VIDALU RJ")</f>
        <v>VIDALU RJ</v>
      </c>
      <c r="L8012" s="32">
        <f>IFERROR(__xludf.DUMMYFUNCTION("""COMPUTED_VALUE"""),2.0)</f>
        <v>2</v>
      </c>
      <c r="M8012" s="4" t="str">
        <f>IFERROR(__xludf.DUMMYFUNCTION("""COMPUTED_VALUE"""),"Opdv")</f>
        <v>Opdv</v>
      </c>
      <c r="N8012" s="33">
        <f>IFERROR(__xludf.DUMMYFUNCTION("""COMPUTED_VALUE"""),0.5)</f>
        <v>0.5</v>
      </c>
      <c r="O8012" s="4" t="str">
        <f>IFERROR(__xludf.DUMMYFUNCTION("""COMPUTED_VALUE"""),"Opdv")</f>
        <v>Opdv</v>
      </c>
      <c r="P8012" s="33">
        <f>IFERROR(__xludf.DUMMYFUNCTION("""COMPUTED_VALUE"""),0.5)</f>
        <v>0.5</v>
      </c>
      <c r="Q8012" s="4" t="str">
        <f>IFERROR(__xludf.DUMMYFUNCTION("""COMPUTED_VALUE"""),"Opdv")</f>
        <v>Opdv</v>
      </c>
      <c r="R8012" s="33">
        <f>IFERROR(__xludf.DUMMYFUNCTION("""COMPUTED_VALUE"""),0.5)</f>
        <v>0.5</v>
      </c>
      <c r="S8012" s="4" t="str">
        <f>IFERROR(__xludf.DUMMYFUNCTION("""COMPUTED_VALUE"""),"Opdv")</f>
        <v>Opdv</v>
      </c>
      <c r="T8012" s="33">
        <f>IFERROR(__xludf.DUMMYFUNCTION("""COMPUTED_VALUE"""),0.5)</f>
        <v>0.5</v>
      </c>
      <c r="U8012" s="4" t="str">
        <f>IFERROR(__xludf.DUMMYFUNCTION("""COMPUTED_VALUE"""),"Opdv")</f>
        <v>Opdv</v>
      </c>
      <c r="V8012" s="33">
        <f>IFERROR(__xludf.DUMMYFUNCTION("""COMPUTED_VALUE"""),0.5)</f>
        <v>0.5</v>
      </c>
      <c r="W8012" s="4" t="str">
        <f>IFERROR(__xludf.DUMMYFUNCTION("""COMPUTED_VALUE"""),"Opdv")</f>
        <v>Opdv</v>
      </c>
      <c r="X8012" s="33">
        <f>IFERROR(__xludf.DUMMYFUNCTION("""COMPUTED_VALUE"""),0.5)</f>
        <v>0.5</v>
      </c>
    </row>
    <row r="8013">
      <c r="K8013" s="4" t="str">
        <f>IFERROR(__xludf.DUMMYFUNCTION("""COMPUTED_VALUE"""),"VIDOTI SALGADOS - CONTA PAI")</f>
        <v>VIDOTI SALGADOS - CONTA PAI</v>
      </c>
      <c r="L8013" s="32">
        <f>IFERROR(__xludf.DUMMYFUNCTION("""COMPUTED_VALUE"""),2.0)</f>
        <v>2</v>
      </c>
      <c r="M8013" s="4" t="str">
        <f>IFERROR(__xludf.DUMMYFUNCTION("""COMPUTED_VALUE"""),"null")</f>
        <v>null</v>
      </c>
      <c r="N8013" s="33">
        <f>IFERROR(__xludf.DUMMYFUNCTION("""COMPUTED_VALUE"""),1.0)</f>
        <v>1</v>
      </c>
      <c r="O8013" s="4" t="str">
        <f>IFERROR(__xludf.DUMMYFUNCTION("""COMPUTED_VALUE"""),"Tronsoft Soluções Ltda.")</f>
        <v>Tronsoft Soluções Ltda.</v>
      </c>
      <c r="P8013" s="33">
        <f>IFERROR(__xludf.DUMMYFUNCTION("""COMPUTED_VALUE"""),1.0)</f>
        <v>1</v>
      </c>
      <c r="Q8013" s="4" t="str">
        <f>IFERROR(__xludf.DUMMYFUNCTION("""COMPUTED_VALUE"""),"null")</f>
        <v>null</v>
      </c>
      <c r="R8013" s="33">
        <f>IFERROR(__xludf.DUMMYFUNCTION("""COMPUTED_VALUE"""),0.5)</f>
        <v>0.5</v>
      </c>
      <c r="S8013" s="4" t="str">
        <f>IFERROR(__xludf.DUMMYFUNCTION("""COMPUTED_VALUE"""),"Tronsoft Soluções Ltda.")</f>
        <v>Tronsoft Soluções Ltda.</v>
      </c>
      <c r="T8013" s="33">
        <f>IFERROR(__xludf.DUMMYFUNCTION("""COMPUTED_VALUE"""),0.5)</f>
        <v>0.5</v>
      </c>
      <c r="U8013" s="4" t="str">
        <f>IFERROR(__xludf.DUMMYFUNCTION("""COMPUTED_VALUE"""),"null")</f>
        <v>null</v>
      </c>
      <c r="V8013" s="33">
        <f>IFERROR(__xludf.DUMMYFUNCTION("""COMPUTED_VALUE"""),0.5)</f>
        <v>0.5</v>
      </c>
      <c r="W8013" s="4" t="str">
        <f>IFERROR(__xludf.DUMMYFUNCTION("""COMPUTED_VALUE"""),"null")</f>
        <v>null</v>
      </c>
      <c r="X8013" s="33">
        <f>IFERROR(__xludf.DUMMYFUNCTION("""COMPUTED_VALUE"""),1.0)</f>
        <v>1</v>
      </c>
    </row>
    <row r="8014">
      <c r="K8014" s="4" t="str">
        <f>IFERROR(__xludf.DUMMYFUNCTION("""COMPUTED_VALUE"""),"VIKINGS PIZZA")</f>
        <v>VIKINGS PIZZA</v>
      </c>
      <c r="L8014" s="32">
        <f>IFERROR(__xludf.DUMMYFUNCTION("""COMPUTED_VALUE"""),2.0)</f>
        <v>2</v>
      </c>
      <c r="M8014" s="4" t="str">
        <f>IFERROR(__xludf.DUMMYFUNCTION("""COMPUTED_VALUE"""),"Menew - Linx")</f>
        <v>Menew - Linx</v>
      </c>
      <c r="N8014" s="33">
        <f>IFERROR(__xludf.DUMMYFUNCTION("""COMPUTED_VALUE"""),1.0)</f>
        <v>1</v>
      </c>
      <c r="O8014" s="4" t="str">
        <f>IFERROR(__xludf.DUMMYFUNCTION("""COMPUTED_VALUE"""),"Menew - Linx")</f>
        <v>Menew - Linx</v>
      </c>
      <c r="P8014" s="33">
        <f>IFERROR(__xludf.DUMMYFUNCTION("""COMPUTED_VALUE"""),1.0)</f>
        <v>1</v>
      </c>
      <c r="Q8014" s="4" t="str">
        <f>IFERROR(__xludf.DUMMYFUNCTION("""COMPUTED_VALUE"""),"Menew - Linx")</f>
        <v>Menew - Linx</v>
      </c>
      <c r="R8014" s="33">
        <f>IFERROR(__xludf.DUMMYFUNCTION("""COMPUTED_VALUE"""),1.0)</f>
        <v>1</v>
      </c>
      <c r="S8014" s="4" t="str">
        <f>IFERROR(__xludf.DUMMYFUNCTION("""COMPUTED_VALUE"""),"Menew - Linx")</f>
        <v>Menew - Linx</v>
      </c>
      <c r="T8014" s="33">
        <f>IFERROR(__xludf.DUMMYFUNCTION("""COMPUTED_VALUE"""),1.0)</f>
        <v>1</v>
      </c>
      <c r="U8014" s="4" t="str">
        <f>IFERROR(__xludf.DUMMYFUNCTION("""COMPUTED_VALUE"""),"Menew - Linx")</f>
        <v>Menew - Linx</v>
      </c>
      <c r="V8014" s="33">
        <f>IFERROR(__xludf.DUMMYFUNCTION("""COMPUTED_VALUE"""),1.0)</f>
        <v>1</v>
      </c>
      <c r="W8014" s="4" t="str">
        <f>IFERROR(__xludf.DUMMYFUNCTION("""COMPUTED_VALUE"""),"Menew - Linx")</f>
        <v>Menew - Linx</v>
      </c>
      <c r="X8014" s="33">
        <f>IFERROR(__xludf.DUMMYFUNCTION("""COMPUTED_VALUE"""),1.0)</f>
        <v>1</v>
      </c>
    </row>
    <row r="8015">
      <c r="K8015" s="4" t="str">
        <f>IFERROR(__xludf.DUMMYFUNCTION("""COMPUTED_VALUE"""),"VILA CARIOCA CONTA PAI")</f>
        <v>VILA CARIOCA CONTA PAI</v>
      </c>
      <c r="L8015" s="32">
        <f>IFERROR(__xludf.DUMMYFUNCTION("""COMPUTED_VALUE"""),2.0)</f>
        <v>2</v>
      </c>
      <c r="M8015" s="4" t="str">
        <f>IFERROR(__xludf.DUMMYFUNCTION("""COMPUTED_VALUE"""),"Vuca Solution")</f>
        <v>Vuca Solution</v>
      </c>
      <c r="N8015" s="33">
        <f>IFERROR(__xludf.DUMMYFUNCTION("""COMPUTED_VALUE"""),1.0)</f>
        <v>1</v>
      </c>
      <c r="O8015" s="4" t="str">
        <f>IFERROR(__xludf.DUMMYFUNCTION("""COMPUTED_VALUE"""),"null")</f>
        <v>null</v>
      </c>
      <c r="P8015" s="33">
        <f>IFERROR(__xludf.DUMMYFUNCTION("""COMPUTED_VALUE"""),0.5)</f>
        <v>0.5</v>
      </c>
      <c r="Q8015" s="4" t="str">
        <f>IFERROR(__xludf.DUMMYFUNCTION("""COMPUTED_VALUE"""),"null")</f>
        <v>null</v>
      </c>
      <c r="R8015" s="33">
        <f>IFERROR(__xludf.DUMMYFUNCTION("""COMPUTED_VALUE"""),0.5)</f>
        <v>0.5</v>
      </c>
      <c r="S8015" s="4" t="str">
        <f>IFERROR(__xludf.DUMMYFUNCTION("""COMPUTED_VALUE"""),"Vuca Solution")</f>
        <v>Vuca Solution</v>
      </c>
      <c r="T8015" s="33">
        <f>IFERROR(__xludf.DUMMYFUNCTION("""COMPUTED_VALUE"""),1.0)</f>
        <v>1</v>
      </c>
      <c r="U8015" s="4" t="str">
        <f>IFERROR(__xludf.DUMMYFUNCTION("""COMPUTED_VALUE"""),"Vuca Solution")</f>
        <v>Vuca Solution</v>
      </c>
      <c r="V8015" s="33">
        <f>IFERROR(__xludf.DUMMYFUNCTION("""COMPUTED_VALUE"""),1.0)</f>
        <v>1</v>
      </c>
      <c r="W8015" s="4" t="str">
        <f>IFERROR(__xludf.DUMMYFUNCTION("""COMPUTED_VALUE"""),"Vuca Solution")</f>
        <v>Vuca Solution</v>
      </c>
      <c r="X8015" s="33">
        <f>IFERROR(__xludf.DUMMYFUNCTION("""COMPUTED_VALUE"""),1.0)</f>
        <v>1</v>
      </c>
    </row>
    <row r="8016">
      <c r="K8016" s="4" t="str">
        <f>IFERROR(__xludf.DUMMYFUNCTION("""COMPUTED_VALUE"""),"VILA JARDIM GASTRONOMIA - CONTA PAI")</f>
        <v>VILA JARDIM GASTRONOMIA - CONTA PAI</v>
      </c>
      <c r="L8016" s="32">
        <f>IFERROR(__xludf.DUMMYFUNCTION("""COMPUTED_VALUE"""),2.0)</f>
        <v>2</v>
      </c>
      <c r="M8016" s="4" t="str">
        <f>IFERROR(__xludf.DUMMYFUNCTION("""COMPUTED_VALUE"""),"Saipos Serviços De Software")</f>
        <v>Saipos Serviços De Software</v>
      </c>
      <c r="N8016" s="33">
        <f>IFERROR(__xludf.DUMMYFUNCTION("""COMPUTED_VALUE"""),1.0)</f>
        <v>1</v>
      </c>
      <c r="O8016" s="4" t="str">
        <f>IFERROR(__xludf.DUMMYFUNCTION("""COMPUTED_VALUE"""),"Saipos Serviços De Software")</f>
        <v>Saipos Serviços De Software</v>
      </c>
      <c r="P8016" s="33">
        <f>IFERROR(__xludf.DUMMYFUNCTION("""COMPUTED_VALUE"""),1.0)</f>
        <v>1</v>
      </c>
      <c r="Q8016" s="4" t="str">
        <f>IFERROR(__xludf.DUMMYFUNCTION("""COMPUTED_VALUE"""),"Saipos Serviços De Software")</f>
        <v>Saipos Serviços De Software</v>
      </c>
      <c r="R8016" s="33">
        <f>IFERROR(__xludf.DUMMYFUNCTION("""COMPUTED_VALUE"""),1.0)</f>
        <v>1</v>
      </c>
      <c r="S8016" s="4" t="str">
        <f>IFERROR(__xludf.DUMMYFUNCTION("""COMPUTED_VALUE"""),"Saipos Serviços De Software")</f>
        <v>Saipos Serviços De Software</v>
      </c>
      <c r="T8016" s="33">
        <f>IFERROR(__xludf.DUMMYFUNCTION("""COMPUTED_VALUE"""),1.0)</f>
        <v>1</v>
      </c>
      <c r="U8016" s="4" t="str">
        <f>IFERROR(__xludf.DUMMYFUNCTION("""COMPUTED_VALUE"""),"Saipos Serviços De Software")</f>
        <v>Saipos Serviços De Software</v>
      </c>
      <c r="V8016" s="33">
        <f>IFERROR(__xludf.DUMMYFUNCTION("""COMPUTED_VALUE"""),1.0)</f>
        <v>1</v>
      </c>
      <c r="W8016" s="4" t="str">
        <f>IFERROR(__xludf.DUMMYFUNCTION("""COMPUTED_VALUE"""),"Saipos Serviços De Software")</f>
        <v>Saipos Serviços De Software</v>
      </c>
      <c r="X8016" s="33">
        <f>IFERROR(__xludf.DUMMYFUNCTION("""COMPUTED_VALUE"""),1.0)</f>
        <v>1</v>
      </c>
    </row>
    <row r="8017">
      <c r="K8017" s="4" t="str">
        <f>IFERROR(__xludf.DUMMYFUNCTION("""COMPUTED_VALUE"""),"VILLA 182 HAMBURGUERIA")</f>
        <v>VILLA 182 HAMBURGUERIA</v>
      </c>
      <c r="L8017" s="32">
        <f>IFERROR(__xludf.DUMMYFUNCTION("""COMPUTED_VALUE"""),2.0)</f>
        <v>2</v>
      </c>
      <c r="M8017" s="4" t="str">
        <f>IFERROR(__xludf.DUMMYFUNCTION("""COMPUTED_VALUE"""),"Cardápio Web")</f>
        <v>Cardápio Web</v>
      </c>
      <c r="N8017" s="33">
        <f>IFERROR(__xludf.DUMMYFUNCTION("""COMPUTED_VALUE"""),1.0)</f>
        <v>1</v>
      </c>
      <c r="O8017" s="4" t="str">
        <f>IFERROR(__xludf.DUMMYFUNCTION("""COMPUTED_VALUE"""),"Cardápio Web")</f>
        <v>Cardápio Web</v>
      </c>
      <c r="P8017" s="33">
        <f>IFERROR(__xludf.DUMMYFUNCTION("""COMPUTED_VALUE"""),1.0)</f>
        <v>1</v>
      </c>
      <c r="Q8017" s="4" t="str">
        <f>IFERROR(__xludf.DUMMYFUNCTION("""COMPUTED_VALUE"""),"Cardápio Web")</f>
        <v>Cardápio Web</v>
      </c>
      <c r="R8017" s="33">
        <f>IFERROR(__xludf.DUMMYFUNCTION("""COMPUTED_VALUE"""),1.0)</f>
        <v>1</v>
      </c>
      <c r="S8017" s="4" t="str">
        <f>IFERROR(__xludf.DUMMYFUNCTION("""COMPUTED_VALUE"""),"Cardápio Web")</f>
        <v>Cardápio Web</v>
      </c>
      <c r="T8017" s="33">
        <f>IFERROR(__xludf.DUMMYFUNCTION("""COMPUTED_VALUE"""),1.0)</f>
        <v>1</v>
      </c>
      <c r="U8017" s="4" t="str">
        <f>IFERROR(__xludf.DUMMYFUNCTION("""COMPUTED_VALUE"""),"Cardápio Web")</f>
        <v>Cardápio Web</v>
      </c>
      <c r="V8017" s="33">
        <f>IFERROR(__xludf.DUMMYFUNCTION("""COMPUTED_VALUE"""),1.0)</f>
        <v>1</v>
      </c>
      <c r="W8017" s="4" t="str">
        <f>IFERROR(__xludf.DUMMYFUNCTION("""COMPUTED_VALUE"""),"Cardápio Web")</f>
        <v>Cardápio Web</v>
      </c>
      <c r="X8017" s="33">
        <f>IFERROR(__xludf.DUMMYFUNCTION("""COMPUTED_VALUE"""),1.0)</f>
        <v>1</v>
      </c>
    </row>
    <row r="8018">
      <c r="K8018" s="4" t="str">
        <f>IFERROR(__xludf.DUMMYFUNCTION("""COMPUTED_VALUE"""),"VILLA DO VINHO BISTRO")</f>
        <v>VILLA DO VINHO BISTRO</v>
      </c>
      <c r="L8018" s="32">
        <f>IFERROR(__xludf.DUMMYFUNCTION("""COMPUTED_VALUE"""),2.0)</f>
        <v>2</v>
      </c>
      <c r="M8018" s="4" t="str">
        <f>IFERROR(__xludf.DUMMYFUNCTION("""COMPUTED_VALUE"""),"Saipos Serviços De Software")</f>
        <v>Saipos Serviços De Software</v>
      </c>
      <c r="N8018" s="33">
        <f>IFERROR(__xludf.DUMMYFUNCTION("""COMPUTED_VALUE"""),1.0)</f>
        <v>1</v>
      </c>
      <c r="O8018" s="4" t="str">
        <f>IFERROR(__xludf.DUMMYFUNCTION("""COMPUTED_VALUE"""),"Saipos Serviços De Software")</f>
        <v>Saipos Serviços De Software</v>
      </c>
      <c r="P8018" s="33">
        <f>IFERROR(__xludf.DUMMYFUNCTION("""COMPUTED_VALUE"""),1.0)</f>
        <v>1</v>
      </c>
      <c r="Q8018" s="4" t="str">
        <f>IFERROR(__xludf.DUMMYFUNCTION("""COMPUTED_VALUE"""),"Saipos Serviços De Software")</f>
        <v>Saipos Serviços De Software</v>
      </c>
      <c r="R8018" s="33">
        <f>IFERROR(__xludf.DUMMYFUNCTION("""COMPUTED_VALUE"""),1.0)</f>
        <v>1</v>
      </c>
      <c r="S8018" s="4" t="str">
        <f>IFERROR(__xludf.DUMMYFUNCTION("""COMPUTED_VALUE"""),"Saipos Serviços De Software")</f>
        <v>Saipos Serviços De Software</v>
      </c>
      <c r="T8018" s="33">
        <f>IFERROR(__xludf.DUMMYFUNCTION("""COMPUTED_VALUE"""),1.0)</f>
        <v>1</v>
      </c>
      <c r="U8018" s="4" t="str">
        <f>IFERROR(__xludf.DUMMYFUNCTION("""COMPUTED_VALUE"""),"Saipos Serviços De Software")</f>
        <v>Saipos Serviços De Software</v>
      </c>
      <c r="V8018" s="33">
        <f>IFERROR(__xludf.DUMMYFUNCTION("""COMPUTED_VALUE"""),1.0)</f>
        <v>1</v>
      </c>
      <c r="W8018" s="4" t="str">
        <f>IFERROR(__xludf.DUMMYFUNCTION("""COMPUTED_VALUE"""),"Saipos Serviços De Software")</f>
        <v>Saipos Serviços De Software</v>
      </c>
      <c r="X8018" s="33">
        <f>IFERROR(__xludf.DUMMYFUNCTION("""COMPUTED_VALUE"""),1.0)</f>
        <v>1</v>
      </c>
    </row>
    <row r="8019">
      <c r="K8019" s="4" t="str">
        <f>IFERROR(__xludf.DUMMYFUNCTION("""COMPUTED_VALUE"""),"VILLA FONTANA")</f>
        <v>VILLA FONTANA</v>
      </c>
      <c r="L8019" s="32">
        <f>IFERROR(__xludf.DUMMYFUNCTION("""COMPUTED_VALUE"""),2.0)</f>
        <v>2</v>
      </c>
      <c r="M8019" s="4" t="str">
        <f>IFERROR(__xludf.DUMMYFUNCTION("""COMPUTED_VALUE"""),"null")</f>
        <v>null</v>
      </c>
      <c r="N8019" s="33">
        <f>IFERROR(__xludf.DUMMYFUNCTION("""COMPUTED_VALUE"""),0.5)</f>
        <v>0.5</v>
      </c>
      <c r="O8019" s="4" t="str">
        <f>IFERROR(__xludf.DUMMYFUNCTION("""COMPUTED_VALUE"""),"null")</f>
        <v>null</v>
      </c>
      <c r="P8019" s="33">
        <f>IFERROR(__xludf.DUMMYFUNCTION("""COMPUTED_VALUE"""),0.5)</f>
        <v>0.5</v>
      </c>
      <c r="Q8019" s="4" t="str">
        <f>IFERROR(__xludf.DUMMYFUNCTION("""COMPUTED_VALUE"""),"null")</f>
        <v>null</v>
      </c>
      <c r="R8019" s="33">
        <f>IFERROR(__xludf.DUMMYFUNCTION("""COMPUTED_VALUE"""),0.5)</f>
        <v>0.5</v>
      </c>
      <c r="S8019" s="4" t="str">
        <f>IFERROR(__xludf.DUMMYFUNCTION("""COMPUTED_VALUE"""),"null")</f>
        <v>null</v>
      </c>
      <c r="T8019" s="33">
        <f>IFERROR(__xludf.DUMMYFUNCTION("""COMPUTED_VALUE"""),0.5)</f>
        <v>0.5</v>
      </c>
      <c r="U8019" s="4" t="str">
        <f>IFERROR(__xludf.DUMMYFUNCTION("""COMPUTED_VALUE"""),"Mobility Sistemas")</f>
        <v>Mobility Sistemas</v>
      </c>
      <c r="V8019" s="33">
        <f>IFERROR(__xludf.DUMMYFUNCTION("""COMPUTED_VALUE"""),1.0)</f>
        <v>1</v>
      </c>
      <c r="W8019" s="4" t="str">
        <f>IFERROR(__xludf.DUMMYFUNCTION("""COMPUTED_VALUE"""),"Mobility Sistemas")</f>
        <v>Mobility Sistemas</v>
      </c>
      <c r="X8019" s="33">
        <f>IFERROR(__xludf.DUMMYFUNCTION("""COMPUTED_VALUE"""),1.0)</f>
        <v>1</v>
      </c>
    </row>
    <row r="8020">
      <c r="K8020" s="4" t="str">
        <f>IFERROR(__xludf.DUMMYFUNCTION("""COMPUTED_VALUE"""),"VILLA ROMA")</f>
        <v>VILLA ROMA</v>
      </c>
      <c r="L8020" s="32">
        <f>IFERROR(__xludf.DUMMYFUNCTION("""COMPUTED_VALUE"""),2.0)</f>
        <v>2</v>
      </c>
      <c r="M8020" s="4" t="str">
        <f>IFERROR(__xludf.DUMMYFUNCTION("""COMPUTED_VALUE"""),"Saipos Serviços De Software")</f>
        <v>Saipos Serviços De Software</v>
      </c>
      <c r="N8020" s="33">
        <f>IFERROR(__xludf.DUMMYFUNCTION("""COMPUTED_VALUE"""),1.0)</f>
        <v>1</v>
      </c>
      <c r="O8020" s="4" t="str">
        <f>IFERROR(__xludf.DUMMYFUNCTION("""COMPUTED_VALUE"""),"Saipos Serviços De Software")</f>
        <v>Saipos Serviços De Software</v>
      </c>
      <c r="P8020" s="33">
        <f>IFERROR(__xludf.DUMMYFUNCTION("""COMPUTED_VALUE"""),0.5)</f>
        <v>0.5</v>
      </c>
      <c r="Q8020" s="4" t="str">
        <f>IFERROR(__xludf.DUMMYFUNCTION("""COMPUTED_VALUE"""),"Saipos Serviços De Software")</f>
        <v>Saipos Serviços De Software</v>
      </c>
      <c r="R8020" s="33">
        <f>IFERROR(__xludf.DUMMYFUNCTION("""COMPUTED_VALUE"""),0.5)</f>
        <v>0.5</v>
      </c>
      <c r="S8020" s="4" t="str">
        <f>IFERROR(__xludf.DUMMYFUNCTION("""COMPUTED_VALUE"""),"Saipos Serviços De Software")</f>
        <v>Saipos Serviços De Software</v>
      </c>
      <c r="T8020" s="33">
        <f>IFERROR(__xludf.DUMMYFUNCTION("""COMPUTED_VALUE"""),0.5)</f>
        <v>0.5</v>
      </c>
      <c r="U8020" s="4" t="str">
        <f>IFERROR(__xludf.DUMMYFUNCTION("""COMPUTED_VALUE"""),"Saipos Serviços De Software")</f>
        <v>Saipos Serviços De Software</v>
      </c>
      <c r="V8020" s="33">
        <f>IFERROR(__xludf.DUMMYFUNCTION("""COMPUTED_VALUE"""),0.5)</f>
        <v>0.5</v>
      </c>
      <c r="W8020" s="4" t="str">
        <f>IFERROR(__xludf.DUMMYFUNCTION("""COMPUTED_VALUE"""),"Saipos Serviços De Software")</f>
        <v>Saipos Serviços De Software</v>
      </c>
      <c r="X8020" s="33">
        <f>IFERROR(__xludf.DUMMYFUNCTION("""COMPUTED_VALUE"""),0.5)</f>
        <v>0.5</v>
      </c>
    </row>
    <row r="8021">
      <c r="K8021" s="4" t="str">
        <f>IFERROR(__xludf.DUMMYFUNCTION("""COMPUTED_VALUE"""),"VILLA ROMANA PIZZARIA SC - CONTA MARCA")</f>
        <v>VILLA ROMANA PIZZARIA SC - CONTA MARCA</v>
      </c>
      <c r="L8021" s="32">
        <f>IFERROR(__xludf.DUMMYFUNCTION("""COMPUTED_VALUE"""),2.0)</f>
        <v>2</v>
      </c>
      <c r="M8021" s="4" t="str">
        <f>IFERROR(__xludf.DUMMYFUNCTION("""COMPUTED_VALUE"""),"Bitbar")</f>
        <v>Bitbar</v>
      </c>
      <c r="N8021" s="33">
        <f>IFERROR(__xludf.DUMMYFUNCTION("""COMPUTED_VALUE"""),1.0)</f>
        <v>1</v>
      </c>
      <c r="O8021" s="4" t="str">
        <f>IFERROR(__xludf.DUMMYFUNCTION("""COMPUTED_VALUE"""),"Bitbar")</f>
        <v>Bitbar</v>
      </c>
      <c r="P8021" s="33">
        <f>IFERROR(__xludf.DUMMYFUNCTION("""COMPUTED_VALUE"""),1.0)</f>
        <v>1</v>
      </c>
      <c r="Q8021" s="4" t="str">
        <f>IFERROR(__xludf.DUMMYFUNCTION("""COMPUTED_VALUE"""),"Bitbar")</f>
        <v>Bitbar</v>
      </c>
      <c r="R8021" s="33">
        <f>IFERROR(__xludf.DUMMYFUNCTION("""COMPUTED_VALUE"""),1.0)</f>
        <v>1</v>
      </c>
      <c r="S8021" s="4" t="str">
        <f>IFERROR(__xludf.DUMMYFUNCTION("""COMPUTED_VALUE"""),"Bitbar")</f>
        <v>Bitbar</v>
      </c>
      <c r="T8021" s="33">
        <f>IFERROR(__xludf.DUMMYFUNCTION("""COMPUTED_VALUE"""),1.0)</f>
        <v>1</v>
      </c>
      <c r="U8021" s="4" t="str">
        <f>IFERROR(__xludf.DUMMYFUNCTION("""COMPUTED_VALUE"""),"Bitbar")</f>
        <v>Bitbar</v>
      </c>
      <c r="V8021" s="33">
        <f>IFERROR(__xludf.DUMMYFUNCTION("""COMPUTED_VALUE"""),1.0)</f>
        <v>1</v>
      </c>
      <c r="W8021" s="4" t="str">
        <f>IFERROR(__xludf.DUMMYFUNCTION("""COMPUTED_VALUE"""),"Bitbar")</f>
        <v>Bitbar</v>
      </c>
      <c r="X8021" s="33">
        <f>IFERROR(__xludf.DUMMYFUNCTION("""COMPUTED_VALUE"""),1.0)</f>
        <v>1</v>
      </c>
    </row>
    <row r="8022">
      <c r="K8022" s="4" t="str">
        <f>IFERROR(__xludf.DUMMYFUNCTION("""COMPUTED_VALUE"""),"VILLA VERON PIZZARIA")</f>
        <v>VILLA VERON PIZZARIA</v>
      </c>
      <c r="L8022" s="32">
        <f>IFERROR(__xludf.DUMMYFUNCTION("""COMPUTED_VALUE"""),2.0)</f>
        <v>2</v>
      </c>
      <c r="M8022" s="4" t="str">
        <f>IFERROR(__xludf.DUMMYFUNCTION("""COMPUTED_VALUE"""),"Netcontroll Xmenu")</f>
        <v>Netcontroll Xmenu</v>
      </c>
      <c r="N8022" s="33">
        <f>IFERROR(__xludf.DUMMYFUNCTION("""COMPUTED_VALUE"""),1.0)</f>
        <v>1</v>
      </c>
      <c r="O8022" s="4" t="str">
        <f>IFERROR(__xludf.DUMMYFUNCTION("""COMPUTED_VALUE"""),"Netcontroll Xmenu")</f>
        <v>Netcontroll Xmenu</v>
      </c>
      <c r="P8022" s="33">
        <f>IFERROR(__xludf.DUMMYFUNCTION("""COMPUTED_VALUE"""),1.0)</f>
        <v>1</v>
      </c>
      <c r="Q8022" s="4" t="str">
        <f>IFERROR(__xludf.DUMMYFUNCTION("""COMPUTED_VALUE"""),"Netcontroll Xmenu")</f>
        <v>Netcontroll Xmenu</v>
      </c>
      <c r="R8022" s="33">
        <f>IFERROR(__xludf.DUMMYFUNCTION("""COMPUTED_VALUE"""),1.0)</f>
        <v>1</v>
      </c>
      <c r="S8022" s="4" t="str">
        <f>IFERROR(__xludf.DUMMYFUNCTION("""COMPUTED_VALUE"""),"Netcontroll Xmenu")</f>
        <v>Netcontroll Xmenu</v>
      </c>
      <c r="T8022" s="33">
        <f>IFERROR(__xludf.DUMMYFUNCTION("""COMPUTED_VALUE"""),1.0)</f>
        <v>1</v>
      </c>
      <c r="U8022" s="4" t="str">
        <f>IFERROR(__xludf.DUMMYFUNCTION("""COMPUTED_VALUE"""),"Netcontroll Xmenu")</f>
        <v>Netcontroll Xmenu</v>
      </c>
      <c r="V8022" s="33">
        <f>IFERROR(__xludf.DUMMYFUNCTION("""COMPUTED_VALUE"""),1.0)</f>
        <v>1</v>
      </c>
      <c r="W8022" s="4" t="str">
        <f>IFERROR(__xludf.DUMMYFUNCTION("""COMPUTED_VALUE"""),"Netcontroll Xmenu")</f>
        <v>Netcontroll Xmenu</v>
      </c>
      <c r="X8022" s="33">
        <f>IFERROR(__xludf.DUMMYFUNCTION("""COMPUTED_VALUE"""),1.0)</f>
        <v>1</v>
      </c>
    </row>
    <row r="8023">
      <c r="K8023" s="4" t="str">
        <f>IFERROR(__xludf.DUMMYFUNCTION("""COMPUTED_VALUE"""),"VINNI - CONTA PAI")</f>
        <v>VINNI - CONTA PAI</v>
      </c>
      <c r="L8023" s="32">
        <f>IFERROR(__xludf.DUMMYFUNCTION("""COMPUTED_VALUE"""),2.0)</f>
        <v>2</v>
      </c>
      <c r="M8023" s="4" t="str">
        <f>IFERROR(__xludf.DUMMYFUNCTION("""COMPUTED_VALUE"""),"Consumer Soluções Em Tecnologia Ltda")</f>
        <v>Consumer Soluções Em Tecnologia Ltda</v>
      </c>
      <c r="N8023" s="33">
        <f>IFERROR(__xludf.DUMMYFUNCTION("""COMPUTED_VALUE"""),0.5)</f>
        <v>0.5</v>
      </c>
      <c r="O8023" s="4" t="str">
        <f>IFERROR(__xludf.DUMMYFUNCTION("""COMPUTED_VALUE"""),"null")</f>
        <v>null</v>
      </c>
      <c r="P8023" s="33">
        <f>IFERROR(__xludf.DUMMYFUNCTION("""COMPUTED_VALUE"""),1.0)</f>
        <v>1</v>
      </c>
      <c r="Q8023" s="4" t="str">
        <f>IFERROR(__xludf.DUMMYFUNCTION("""COMPUTED_VALUE"""),"null")</f>
        <v>null</v>
      </c>
      <c r="R8023" s="33">
        <f>IFERROR(__xludf.DUMMYFUNCTION("""COMPUTED_VALUE"""),1.0)</f>
        <v>1</v>
      </c>
      <c r="S8023" s="4" t="str">
        <f>IFERROR(__xludf.DUMMYFUNCTION("""COMPUTED_VALUE"""),"null")</f>
        <v>null</v>
      </c>
      <c r="T8023" s="33">
        <f>IFERROR(__xludf.DUMMYFUNCTION("""COMPUTED_VALUE"""),1.0)</f>
        <v>1</v>
      </c>
      <c r="U8023" s="4" t="str">
        <f>IFERROR(__xludf.DUMMYFUNCTION("""COMPUTED_VALUE"""),"null")</f>
        <v>null</v>
      </c>
      <c r="V8023" s="33">
        <f>IFERROR(__xludf.DUMMYFUNCTION("""COMPUTED_VALUE"""),0.5)</f>
        <v>0.5</v>
      </c>
      <c r="W8023" s="4" t="str">
        <f>IFERROR(__xludf.DUMMYFUNCTION("""COMPUTED_VALUE"""),"null")</f>
        <v>null</v>
      </c>
      <c r="X8023" s="33">
        <f>IFERROR(__xludf.DUMMYFUNCTION("""COMPUTED_VALUE"""),0.5)</f>
        <v>0.5</v>
      </c>
    </row>
    <row r="8024">
      <c r="K8024" s="4">
        <f>IFERROR(__xludf.DUMMYFUNCTION("""COMPUTED_VALUE"""),1.0)</f>
        <v>1</v>
      </c>
      <c r="L8024" s="32">
        <f>IFERROR(__xludf.DUMMYFUNCTION("""COMPUTED_VALUE"""),1.0)</f>
        <v>1</v>
      </c>
      <c r="M8024" s="4" t="str">
        <f>IFERROR(__xludf.DUMMYFUNCTION("""COMPUTED_VALUE"""),"Saipos Serviços De Software")</f>
        <v>Saipos Serviços De Software</v>
      </c>
      <c r="N8024" s="33">
        <f>IFERROR(__xludf.DUMMYFUNCTION("""COMPUTED_VALUE"""),1.0)</f>
        <v>1</v>
      </c>
      <c r="O8024" s="4" t="str">
        <f>IFERROR(__xludf.DUMMYFUNCTION("""COMPUTED_VALUE"""),"Saipos Serviços De Software")</f>
        <v>Saipos Serviços De Software</v>
      </c>
      <c r="P8024" s="33">
        <f>IFERROR(__xludf.DUMMYFUNCTION("""COMPUTED_VALUE"""),1.0)</f>
        <v>1</v>
      </c>
      <c r="Q8024" s="4" t="str">
        <f>IFERROR(__xludf.DUMMYFUNCTION("""COMPUTED_VALUE"""),"null")</f>
        <v>null</v>
      </c>
      <c r="R8024" s="33">
        <f>IFERROR(__xludf.DUMMYFUNCTION("""COMPUTED_VALUE"""),1.0)</f>
        <v>1</v>
      </c>
      <c r="S8024" s="4" t="str">
        <f>IFERROR(__xludf.DUMMYFUNCTION("""COMPUTED_VALUE"""),"null")</f>
        <v>null</v>
      </c>
      <c r="T8024" s="33">
        <f>IFERROR(__xludf.DUMMYFUNCTION("""COMPUTED_VALUE"""),1.0)</f>
        <v>1</v>
      </c>
      <c r="U8024" s="4" t="str">
        <f>IFERROR(__xludf.DUMMYFUNCTION("""COMPUTED_VALUE"""),"null")</f>
        <v>null</v>
      </c>
      <c r="V8024" s="33">
        <f>IFERROR(__xludf.DUMMYFUNCTION("""COMPUTED_VALUE"""),1.0)</f>
        <v>1</v>
      </c>
      <c r="W8024" s="4" t="str">
        <f>IFERROR(__xludf.DUMMYFUNCTION("""COMPUTED_VALUE"""),"null")</f>
        <v>null</v>
      </c>
      <c r="X8024" s="33">
        <f>IFERROR(__xludf.DUMMYFUNCTION("""COMPUTED_VALUE"""),1.0)</f>
        <v>1</v>
      </c>
    </row>
    <row r="8025">
      <c r="K8025" s="4">
        <f>IFERROR(__xludf.DUMMYFUNCTION("""COMPUTED_VALUE"""),1130.0)</f>
        <v>1130</v>
      </c>
      <c r="L8025" s="32">
        <f>IFERROR(__xludf.DUMMYFUNCTION("""COMPUTED_VALUE"""),1.0)</f>
        <v>1</v>
      </c>
      <c r="M8025" s="4" t="str">
        <f>IFERROR(__xludf.DUMMYFUNCTION("""COMPUTED_VALUE"""),"Cardápio Web")</f>
        <v>Cardápio Web</v>
      </c>
      <c r="N8025" s="33">
        <f>IFERROR(__xludf.DUMMYFUNCTION("""COMPUTED_VALUE"""),1.0)</f>
        <v>1</v>
      </c>
      <c r="O8025" s="4" t="str">
        <f>IFERROR(__xludf.DUMMYFUNCTION("""COMPUTED_VALUE"""),"Cardápio Web")</f>
        <v>Cardápio Web</v>
      </c>
      <c r="P8025" s="33">
        <f>IFERROR(__xludf.DUMMYFUNCTION("""COMPUTED_VALUE"""),1.0)</f>
        <v>1</v>
      </c>
      <c r="Q8025" s="4" t="str">
        <f>IFERROR(__xludf.DUMMYFUNCTION("""COMPUTED_VALUE"""),"Cardápio Web")</f>
        <v>Cardápio Web</v>
      </c>
      <c r="R8025" s="33">
        <f>IFERROR(__xludf.DUMMYFUNCTION("""COMPUTED_VALUE"""),1.0)</f>
        <v>1</v>
      </c>
      <c r="S8025" s="4" t="str">
        <f>IFERROR(__xludf.DUMMYFUNCTION("""COMPUTED_VALUE"""),"Cardápio Web")</f>
        <v>Cardápio Web</v>
      </c>
      <c r="T8025" s="33">
        <f>IFERROR(__xludf.DUMMYFUNCTION("""COMPUTED_VALUE"""),1.0)</f>
        <v>1</v>
      </c>
      <c r="U8025" s="4" t="str">
        <f>IFERROR(__xludf.DUMMYFUNCTION("""COMPUTED_VALUE"""),"Cardápio Web")</f>
        <v>Cardápio Web</v>
      </c>
      <c r="V8025" s="33">
        <f>IFERROR(__xludf.DUMMYFUNCTION("""COMPUTED_VALUE"""),1.0)</f>
        <v>1</v>
      </c>
      <c r="W8025" s="4" t="str">
        <f>IFERROR(__xludf.DUMMYFUNCTION("""COMPUTED_VALUE"""),"Cardápio Web")</f>
        <v>Cardápio Web</v>
      </c>
      <c r="X8025" s="33">
        <f>IFERROR(__xludf.DUMMYFUNCTION("""COMPUTED_VALUE"""),1.0)</f>
        <v>1</v>
      </c>
    </row>
    <row r="8026">
      <c r="K8026" s="4">
        <f>IFERROR(__xludf.DUMMYFUNCTION("""COMPUTED_VALUE"""),2122.0)</f>
        <v>2122</v>
      </c>
      <c r="L8026" s="32">
        <f>IFERROR(__xludf.DUMMYFUNCTION("""COMPUTED_VALUE"""),1.0)</f>
        <v>1</v>
      </c>
      <c r="M8026" s="4" t="str">
        <f>IFERROR(__xludf.DUMMYFUNCTION("""COMPUTED_VALUE"""),"null")</f>
        <v>null</v>
      </c>
      <c r="N8026" s="33">
        <f>IFERROR(__xludf.DUMMYFUNCTION("""COMPUTED_VALUE"""),1.0)</f>
        <v>1</v>
      </c>
      <c r="O8026" s="4" t="str">
        <f>IFERROR(__xludf.DUMMYFUNCTION("""COMPUTED_VALUE"""),"Cardápio Web")</f>
        <v>Cardápio Web</v>
      </c>
      <c r="P8026" s="33">
        <f>IFERROR(__xludf.DUMMYFUNCTION("""COMPUTED_VALUE"""),1.0)</f>
        <v>1</v>
      </c>
      <c r="Q8026" s="4" t="str">
        <f>IFERROR(__xludf.DUMMYFUNCTION("""COMPUTED_VALUE"""),"Cardápio Web")</f>
        <v>Cardápio Web</v>
      </c>
      <c r="R8026" s="33">
        <f>IFERROR(__xludf.DUMMYFUNCTION("""COMPUTED_VALUE"""),1.0)</f>
        <v>1</v>
      </c>
      <c r="S8026" s="4" t="str">
        <f>IFERROR(__xludf.DUMMYFUNCTION("""COMPUTED_VALUE"""),"null")</f>
        <v>null</v>
      </c>
      <c r="T8026" s="33">
        <f>IFERROR(__xludf.DUMMYFUNCTION("""COMPUTED_VALUE"""),1.0)</f>
        <v>1</v>
      </c>
      <c r="U8026" s="4" t="str">
        <f>IFERROR(__xludf.DUMMYFUNCTION("""COMPUTED_VALUE"""),"null")</f>
        <v>null</v>
      </c>
      <c r="V8026" s="33">
        <f>IFERROR(__xludf.DUMMYFUNCTION("""COMPUTED_VALUE"""),1.0)</f>
        <v>1</v>
      </c>
      <c r="W8026" s="4" t="str">
        <f>IFERROR(__xludf.DUMMYFUNCTION("""COMPUTED_VALUE"""),"null")</f>
        <v>null</v>
      </c>
      <c r="X8026" s="33">
        <f>IFERROR(__xludf.DUMMYFUNCTION("""COMPUTED_VALUE"""),1.0)</f>
        <v>1</v>
      </c>
    </row>
    <row r="8027">
      <c r="K8027" s="4" t="str">
        <f>IFERROR(__xludf.DUMMYFUNCTION("""COMPUTED_VALUE"""),"FABIOS PIZZARIA")</f>
        <v>FABIOS PIZZARIA</v>
      </c>
      <c r="L8027" s="32">
        <f>IFERROR(__xludf.DUMMYFUNCTION("""COMPUTED_VALUE"""),1.0)</f>
        <v>1</v>
      </c>
      <c r="M8027" s="4" t="str">
        <f>IFERROR(__xludf.DUMMYFUNCTION("""COMPUTED_VALUE"""),"Saipos Serviços De Software")</f>
        <v>Saipos Serviços De Software</v>
      </c>
      <c r="N8027" s="33">
        <f>IFERROR(__xludf.DUMMYFUNCTION("""COMPUTED_VALUE"""),1.0)</f>
        <v>1</v>
      </c>
      <c r="O8027" s="4" t="str">
        <f>IFERROR(__xludf.DUMMYFUNCTION("""COMPUTED_VALUE"""),"Saipos Serviços De Software")</f>
        <v>Saipos Serviços De Software</v>
      </c>
      <c r="P8027" s="33">
        <f>IFERROR(__xludf.DUMMYFUNCTION("""COMPUTED_VALUE"""),1.0)</f>
        <v>1</v>
      </c>
      <c r="Q8027" s="4" t="str">
        <f>IFERROR(__xludf.DUMMYFUNCTION("""COMPUTED_VALUE"""),"Saipos Serviços De Software")</f>
        <v>Saipos Serviços De Software</v>
      </c>
      <c r="R8027" s="33">
        <f>IFERROR(__xludf.DUMMYFUNCTION("""COMPUTED_VALUE"""),1.0)</f>
        <v>1</v>
      </c>
      <c r="S8027" s="4" t="str">
        <f>IFERROR(__xludf.DUMMYFUNCTION("""COMPUTED_VALUE"""),"Saipos Serviços De Software")</f>
        <v>Saipos Serviços De Software</v>
      </c>
      <c r="T8027" s="33">
        <f>IFERROR(__xludf.DUMMYFUNCTION("""COMPUTED_VALUE"""),1.0)</f>
        <v>1</v>
      </c>
      <c r="U8027" s="4" t="str">
        <f>IFERROR(__xludf.DUMMYFUNCTION("""COMPUTED_VALUE"""),"Saipos Serviços De Software")</f>
        <v>Saipos Serviços De Software</v>
      </c>
      <c r="V8027" s="33">
        <f>IFERROR(__xludf.DUMMYFUNCTION("""COMPUTED_VALUE"""),1.0)</f>
        <v>1</v>
      </c>
      <c r="W8027" s="4" t="str">
        <f>IFERROR(__xludf.DUMMYFUNCTION("""COMPUTED_VALUE"""),"Saipos Serviços De Software")</f>
        <v>Saipos Serviços De Software</v>
      </c>
      <c r="X8027" s="33">
        <f>IFERROR(__xludf.DUMMYFUNCTION("""COMPUTED_VALUE"""),1.0)</f>
        <v>1</v>
      </c>
    </row>
    <row r="8028">
      <c r="K8028" s="4" t="str">
        <f>IFERROR(__xludf.DUMMYFUNCTION("""COMPUTED_VALUE"""),"HAMBURGUERIA CORDOBA BURGER")</f>
        <v>HAMBURGUERIA CORDOBA BURGER</v>
      </c>
      <c r="L8028" s="32">
        <f>IFERROR(__xludf.DUMMYFUNCTION("""COMPUTED_VALUE"""),1.0)</f>
        <v>1</v>
      </c>
      <c r="M8028" s="4" t="str">
        <f>IFERROR(__xludf.DUMMYFUNCTION("""COMPUTED_VALUE"""),"Cardápio Web")</f>
        <v>Cardápio Web</v>
      </c>
      <c r="N8028" s="33">
        <f>IFERROR(__xludf.DUMMYFUNCTION("""COMPUTED_VALUE"""),1.0)</f>
        <v>1</v>
      </c>
      <c r="O8028" s="4" t="str">
        <f>IFERROR(__xludf.DUMMYFUNCTION("""COMPUTED_VALUE"""),"Cardápio Web")</f>
        <v>Cardápio Web</v>
      </c>
      <c r="P8028" s="33">
        <f>IFERROR(__xludf.DUMMYFUNCTION("""COMPUTED_VALUE"""),1.0)</f>
        <v>1</v>
      </c>
      <c r="Q8028" s="4" t="str">
        <f>IFERROR(__xludf.DUMMYFUNCTION("""COMPUTED_VALUE"""),"Cardápio Web")</f>
        <v>Cardápio Web</v>
      </c>
      <c r="R8028" s="33">
        <f>IFERROR(__xludf.DUMMYFUNCTION("""COMPUTED_VALUE"""),1.0)</f>
        <v>1</v>
      </c>
      <c r="S8028" s="4" t="str">
        <f>IFERROR(__xludf.DUMMYFUNCTION("""COMPUTED_VALUE"""),"Cardápio Web")</f>
        <v>Cardápio Web</v>
      </c>
      <c r="T8028" s="33">
        <f>IFERROR(__xludf.DUMMYFUNCTION("""COMPUTED_VALUE"""),1.0)</f>
        <v>1</v>
      </c>
      <c r="U8028" s="4" t="str">
        <f>IFERROR(__xludf.DUMMYFUNCTION("""COMPUTED_VALUE"""),"Cardápio Web")</f>
        <v>Cardápio Web</v>
      </c>
      <c r="V8028" s="33">
        <f>IFERROR(__xludf.DUMMYFUNCTION("""COMPUTED_VALUE"""),1.0)</f>
        <v>1</v>
      </c>
      <c r="W8028" s="4" t="str">
        <f>IFERROR(__xludf.DUMMYFUNCTION("""COMPUTED_VALUE"""),"Cardápio Web")</f>
        <v>Cardápio Web</v>
      </c>
      <c r="X8028" s="33">
        <f>IFERROR(__xludf.DUMMYFUNCTION("""COMPUTED_VALUE"""),1.0)</f>
        <v>1</v>
      </c>
    </row>
    <row r="8029">
      <c r="K8029" s="4" t="str">
        <f>IFERROR(__xludf.DUMMYFUNCTION("""COMPUTED_VALUE"""),"LANCHONETE EM FAMILIA")</f>
        <v>LANCHONETE EM FAMILIA</v>
      </c>
      <c r="L8029" s="32">
        <f>IFERROR(__xludf.DUMMYFUNCTION("""COMPUTED_VALUE"""),1.0)</f>
        <v>1</v>
      </c>
      <c r="M8029" s="4" t="str">
        <f>IFERROR(__xludf.DUMMYFUNCTION("""COMPUTED_VALUE"""),"Mp Multipedidos")</f>
        <v>Mp Multipedidos</v>
      </c>
      <c r="N8029" s="33">
        <f>IFERROR(__xludf.DUMMYFUNCTION("""COMPUTED_VALUE"""),1.0)</f>
        <v>1</v>
      </c>
      <c r="O8029" s="4" t="str">
        <f>IFERROR(__xludf.DUMMYFUNCTION("""COMPUTED_VALUE"""),"Mp Multipedidos")</f>
        <v>Mp Multipedidos</v>
      </c>
      <c r="P8029" s="33">
        <f>IFERROR(__xludf.DUMMYFUNCTION("""COMPUTED_VALUE"""),1.0)</f>
        <v>1</v>
      </c>
      <c r="Q8029" s="4" t="str">
        <f>IFERROR(__xludf.DUMMYFUNCTION("""COMPUTED_VALUE"""),"Mp Multipedidos")</f>
        <v>Mp Multipedidos</v>
      </c>
      <c r="R8029" s="33">
        <f>IFERROR(__xludf.DUMMYFUNCTION("""COMPUTED_VALUE"""),1.0)</f>
        <v>1</v>
      </c>
      <c r="S8029" s="4" t="str">
        <f>IFERROR(__xludf.DUMMYFUNCTION("""COMPUTED_VALUE"""),"Mp Multipedidos")</f>
        <v>Mp Multipedidos</v>
      </c>
      <c r="T8029" s="33">
        <f>IFERROR(__xludf.DUMMYFUNCTION("""COMPUTED_VALUE"""),1.0)</f>
        <v>1</v>
      </c>
      <c r="U8029" s="4" t="str">
        <f>IFERROR(__xludf.DUMMYFUNCTION("""COMPUTED_VALUE"""),"Mp Multipedidos")</f>
        <v>Mp Multipedidos</v>
      </c>
      <c r="V8029" s="33">
        <f>IFERROR(__xludf.DUMMYFUNCTION("""COMPUTED_VALUE"""),1.0)</f>
        <v>1</v>
      </c>
      <c r="W8029" s="4" t="str">
        <f>IFERROR(__xludf.DUMMYFUNCTION("""COMPUTED_VALUE"""),"Mp Multipedidos")</f>
        <v>Mp Multipedidos</v>
      </c>
      <c r="X8029" s="33">
        <f>IFERROR(__xludf.DUMMYFUNCTION("""COMPUTED_VALUE"""),1.0)</f>
        <v>1</v>
      </c>
    </row>
    <row r="8030">
      <c r="K8030" s="4" t="str">
        <f>IFERROR(__xludf.DUMMYFUNCTION("""COMPUTED_VALUE"""),"DANNYS - PIZZARIA")</f>
        <v>DANNYS - PIZZARIA</v>
      </c>
      <c r="L8030" s="32">
        <f>IFERROR(__xludf.DUMMYFUNCTION("""COMPUTED_VALUE"""),1.0)</f>
        <v>1</v>
      </c>
      <c r="M8030" s="4" t="str">
        <f>IFERROR(__xludf.DUMMYFUNCTION("""COMPUTED_VALUE"""),"Saipos Serviços De Software")</f>
        <v>Saipos Serviços De Software</v>
      </c>
      <c r="N8030" s="33">
        <f>IFERROR(__xludf.DUMMYFUNCTION("""COMPUTED_VALUE"""),1.0)</f>
        <v>1</v>
      </c>
      <c r="O8030" s="4" t="str">
        <f>IFERROR(__xludf.DUMMYFUNCTION("""COMPUTED_VALUE"""),"Saipos Serviços De Software")</f>
        <v>Saipos Serviços De Software</v>
      </c>
      <c r="P8030" s="33">
        <f>IFERROR(__xludf.DUMMYFUNCTION("""COMPUTED_VALUE"""),1.0)</f>
        <v>1</v>
      </c>
      <c r="Q8030" s="4" t="str">
        <f>IFERROR(__xludf.DUMMYFUNCTION("""COMPUTED_VALUE"""),"Saipos Serviços De Software")</f>
        <v>Saipos Serviços De Software</v>
      </c>
      <c r="R8030" s="33">
        <f>IFERROR(__xludf.DUMMYFUNCTION("""COMPUTED_VALUE"""),1.0)</f>
        <v>1</v>
      </c>
      <c r="S8030" s="4" t="str">
        <f>IFERROR(__xludf.DUMMYFUNCTION("""COMPUTED_VALUE"""),"Saipos Serviços De Software")</f>
        <v>Saipos Serviços De Software</v>
      </c>
      <c r="T8030" s="33">
        <f>IFERROR(__xludf.DUMMYFUNCTION("""COMPUTED_VALUE"""),1.0)</f>
        <v>1</v>
      </c>
      <c r="U8030" s="4" t="str">
        <f>IFERROR(__xludf.DUMMYFUNCTION("""COMPUTED_VALUE"""),"Saipos Serviços De Software")</f>
        <v>Saipos Serviços De Software</v>
      </c>
      <c r="V8030" s="33">
        <f>IFERROR(__xludf.DUMMYFUNCTION("""COMPUTED_VALUE"""),1.0)</f>
        <v>1</v>
      </c>
      <c r="W8030" s="4" t="str">
        <f>IFERROR(__xludf.DUMMYFUNCTION("""COMPUTED_VALUE"""),"Saipos Serviços De Software")</f>
        <v>Saipos Serviços De Software</v>
      </c>
      <c r="X8030" s="33">
        <f>IFERROR(__xludf.DUMMYFUNCTION("""COMPUTED_VALUE"""),1.0)</f>
        <v>1</v>
      </c>
    </row>
    <row r="8031">
      <c r="K8031" s="4" t="str">
        <f>IFERROR(__xludf.DUMMYFUNCTION("""COMPUTED_VALUE"""),"GALETO D NASE")</f>
        <v>GALETO D NASE</v>
      </c>
      <c r="L8031" s="32">
        <f>IFERROR(__xludf.DUMMYFUNCTION("""COMPUTED_VALUE"""),1.0)</f>
        <v>1</v>
      </c>
      <c r="M8031" s="4" t="str">
        <f>IFERROR(__xludf.DUMMYFUNCTION("""COMPUTED_VALUE"""),"Softsa Sistemas De Informação Ltda")</f>
        <v>Softsa Sistemas De Informação Ltda</v>
      </c>
      <c r="N8031" s="33">
        <f>IFERROR(__xludf.DUMMYFUNCTION("""COMPUTED_VALUE"""),1.0)</f>
        <v>1</v>
      </c>
      <c r="O8031" s="4" t="str">
        <f>IFERROR(__xludf.DUMMYFUNCTION("""COMPUTED_VALUE"""),"null")</f>
        <v>null</v>
      </c>
      <c r="P8031" s="33">
        <f>IFERROR(__xludf.DUMMYFUNCTION("""COMPUTED_VALUE"""),1.0)</f>
        <v>1</v>
      </c>
      <c r="Q8031" s="4" t="str">
        <f>IFERROR(__xludf.DUMMYFUNCTION("""COMPUTED_VALUE"""),"Softsa Sistemas De Informação Ltda")</f>
        <v>Softsa Sistemas De Informação Ltda</v>
      </c>
      <c r="R8031" s="33">
        <f>IFERROR(__xludf.DUMMYFUNCTION("""COMPUTED_VALUE"""),1.0)</f>
        <v>1</v>
      </c>
      <c r="S8031" s="4" t="str">
        <f>IFERROR(__xludf.DUMMYFUNCTION("""COMPUTED_VALUE"""),"Softsa Sistemas De Informação Ltda")</f>
        <v>Softsa Sistemas De Informação Ltda</v>
      </c>
      <c r="T8031" s="33">
        <f>IFERROR(__xludf.DUMMYFUNCTION("""COMPUTED_VALUE"""),1.0)</f>
        <v>1</v>
      </c>
      <c r="U8031" s="4" t="str">
        <f>IFERROR(__xludf.DUMMYFUNCTION("""COMPUTED_VALUE"""),"Softsa Sistemas De Informação Ltda")</f>
        <v>Softsa Sistemas De Informação Ltda</v>
      </c>
      <c r="V8031" s="33">
        <f>IFERROR(__xludf.DUMMYFUNCTION("""COMPUTED_VALUE"""),1.0)</f>
        <v>1</v>
      </c>
      <c r="W8031" s="4" t="str">
        <f>IFERROR(__xludf.DUMMYFUNCTION("""COMPUTED_VALUE"""),"Softsa Sistemas De Informação Ltda")</f>
        <v>Softsa Sistemas De Informação Ltda</v>
      </c>
      <c r="X8031" s="33">
        <f>IFERROR(__xludf.DUMMYFUNCTION("""COMPUTED_VALUE"""),1.0)</f>
        <v>1</v>
      </c>
    </row>
    <row r="8032">
      <c r="K8032" s="4" t="str">
        <f>IFERROR(__xludf.DUMMYFUNCTION("""COMPUTED_VALUE"""),"MARMITARIA - PANELINHA TIPICA")</f>
        <v>MARMITARIA - PANELINHA TIPICA</v>
      </c>
      <c r="L8032" s="32">
        <f>IFERROR(__xludf.DUMMYFUNCTION("""COMPUTED_VALUE"""),1.0)</f>
        <v>1</v>
      </c>
      <c r="M8032" s="4" t="str">
        <f>IFERROR(__xludf.DUMMYFUNCTION("""COMPUTED_VALUE"""),"Cardápio Web")</f>
        <v>Cardápio Web</v>
      </c>
      <c r="N8032" s="33">
        <f>IFERROR(__xludf.DUMMYFUNCTION("""COMPUTED_VALUE"""),1.0)</f>
        <v>1</v>
      </c>
      <c r="O8032" s="4" t="str">
        <f>IFERROR(__xludf.DUMMYFUNCTION("""COMPUTED_VALUE"""),"Cardápio Web")</f>
        <v>Cardápio Web</v>
      </c>
      <c r="P8032" s="33">
        <f>IFERROR(__xludf.DUMMYFUNCTION("""COMPUTED_VALUE"""),1.0)</f>
        <v>1</v>
      </c>
      <c r="Q8032" s="4" t="str">
        <f>IFERROR(__xludf.DUMMYFUNCTION("""COMPUTED_VALUE"""),"Cardápio Web")</f>
        <v>Cardápio Web</v>
      </c>
      <c r="R8032" s="33">
        <f>IFERROR(__xludf.DUMMYFUNCTION("""COMPUTED_VALUE"""),1.0)</f>
        <v>1</v>
      </c>
      <c r="S8032" s="4" t="str">
        <f>IFERROR(__xludf.DUMMYFUNCTION("""COMPUTED_VALUE"""),"Cardápio Web")</f>
        <v>Cardápio Web</v>
      </c>
      <c r="T8032" s="33">
        <f>IFERROR(__xludf.DUMMYFUNCTION("""COMPUTED_VALUE"""),1.0)</f>
        <v>1</v>
      </c>
      <c r="U8032" s="4" t="str">
        <f>IFERROR(__xludf.DUMMYFUNCTION("""COMPUTED_VALUE"""),"Cardápio Web")</f>
        <v>Cardápio Web</v>
      </c>
      <c r="V8032" s="33">
        <f>IFERROR(__xludf.DUMMYFUNCTION("""COMPUTED_VALUE"""),1.0)</f>
        <v>1</v>
      </c>
      <c r="W8032" s="4" t="str">
        <f>IFERROR(__xludf.DUMMYFUNCTION("""COMPUTED_VALUE"""),"Cardápio Web")</f>
        <v>Cardápio Web</v>
      </c>
      <c r="X8032" s="33">
        <f>IFERROR(__xludf.DUMMYFUNCTION("""COMPUTED_VALUE"""),1.0)</f>
        <v>1</v>
      </c>
    </row>
    <row r="8033">
      <c r="K8033" s="4" t="str">
        <f>IFERROR(__xludf.DUMMYFUNCTION("""COMPUTED_VALUE"""),"ULTRA ACAI PRAIA GRANDE")</f>
        <v>ULTRA ACAI PRAIA GRANDE</v>
      </c>
      <c r="L8033" s="32">
        <f>IFERROR(__xludf.DUMMYFUNCTION("""COMPUTED_VALUE"""),1.0)</f>
        <v>1</v>
      </c>
      <c r="M8033" s="4" t="str">
        <f>IFERROR(__xludf.DUMMYFUNCTION("""COMPUTED_VALUE"""),"Consumer Soluções Em Tecnologia Ltda")</f>
        <v>Consumer Soluções Em Tecnologia Ltda</v>
      </c>
      <c r="N8033" s="33">
        <f>IFERROR(__xludf.DUMMYFUNCTION("""COMPUTED_VALUE"""),1.0)</f>
        <v>1</v>
      </c>
      <c r="O8033" s="4" t="str">
        <f>IFERROR(__xludf.DUMMYFUNCTION("""COMPUTED_VALUE"""),"Consumer Soluções Em Tecnologia Ltda")</f>
        <v>Consumer Soluções Em Tecnologia Ltda</v>
      </c>
      <c r="P8033" s="33">
        <f>IFERROR(__xludf.DUMMYFUNCTION("""COMPUTED_VALUE"""),1.0)</f>
        <v>1</v>
      </c>
      <c r="Q8033" s="4" t="str">
        <f>IFERROR(__xludf.DUMMYFUNCTION("""COMPUTED_VALUE"""),"Consumer Soluções Em Tecnologia Ltda")</f>
        <v>Consumer Soluções Em Tecnologia Ltda</v>
      </c>
      <c r="R8033" s="33">
        <f>IFERROR(__xludf.DUMMYFUNCTION("""COMPUTED_VALUE"""),1.0)</f>
        <v>1</v>
      </c>
      <c r="S8033" s="4" t="str">
        <f>IFERROR(__xludf.DUMMYFUNCTION("""COMPUTED_VALUE"""),"Consumer Soluções Em Tecnologia Ltda")</f>
        <v>Consumer Soluções Em Tecnologia Ltda</v>
      </c>
      <c r="T8033" s="33">
        <f>IFERROR(__xludf.DUMMYFUNCTION("""COMPUTED_VALUE"""),1.0)</f>
        <v>1</v>
      </c>
      <c r="U8033" s="4" t="str">
        <f>IFERROR(__xludf.DUMMYFUNCTION("""COMPUTED_VALUE"""),"Consumer Soluções Em Tecnologia Ltda")</f>
        <v>Consumer Soluções Em Tecnologia Ltda</v>
      </c>
      <c r="V8033" s="33">
        <f>IFERROR(__xludf.DUMMYFUNCTION("""COMPUTED_VALUE"""),1.0)</f>
        <v>1</v>
      </c>
      <c r="W8033" s="4" t="str">
        <f>IFERROR(__xludf.DUMMYFUNCTION("""COMPUTED_VALUE"""),"null")</f>
        <v>null</v>
      </c>
      <c r="X8033" s="33">
        <f>IFERROR(__xludf.DUMMYFUNCTION("""COMPUTED_VALUE"""),1.0)</f>
        <v>1</v>
      </c>
    </row>
    <row r="8034">
      <c r="K8034" s="4" t="str">
        <f>IFERROR(__xludf.DUMMYFUNCTION("""COMPUTED_VALUE"""),"LEGIAO GOURMET HAMBURGUERIA - DELIVERY")</f>
        <v>LEGIAO GOURMET HAMBURGUERIA - DELIVERY</v>
      </c>
      <c r="L8034" s="32">
        <f>IFERROR(__xludf.DUMMYFUNCTION("""COMPUTED_VALUE"""),1.0)</f>
        <v>1</v>
      </c>
      <c r="M8034" s="4" t="str">
        <f>IFERROR(__xludf.DUMMYFUNCTION("""COMPUTED_VALUE"""),"null")</f>
        <v>null</v>
      </c>
      <c r="N8034" s="33">
        <f>IFERROR(__xludf.DUMMYFUNCTION("""COMPUTED_VALUE"""),1.0)</f>
        <v>1</v>
      </c>
      <c r="O8034" s="4" t="str">
        <f>IFERROR(__xludf.DUMMYFUNCTION("""COMPUTED_VALUE"""),"Saipos Serviços De Software")</f>
        <v>Saipos Serviços De Software</v>
      </c>
      <c r="P8034" s="33">
        <f>IFERROR(__xludf.DUMMYFUNCTION("""COMPUTED_VALUE"""),1.0)</f>
        <v>1</v>
      </c>
      <c r="Q8034" s="4" t="str">
        <f>IFERROR(__xludf.DUMMYFUNCTION("""COMPUTED_VALUE"""),"Saipos Serviços De Software")</f>
        <v>Saipos Serviços De Software</v>
      </c>
      <c r="R8034" s="33">
        <f>IFERROR(__xludf.DUMMYFUNCTION("""COMPUTED_VALUE"""),1.0)</f>
        <v>1</v>
      </c>
      <c r="S8034" s="4" t="str">
        <f>IFERROR(__xludf.DUMMYFUNCTION("""COMPUTED_VALUE"""),"Saipos Serviços De Software")</f>
        <v>Saipos Serviços De Software</v>
      </c>
      <c r="T8034" s="33">
        <f>IFERROR(__xludf.DUMMYFUNCTION("""COMPUTED_VALUE"""),1.0)</f>
        <v>1</v>
      </c>
      <c r="U8034" s="4" t="str">
        <f>IFERROR(__xludf.DUMMYFUNCTION("""COMPUTED_VALUE"""),"null")</f>
        <v>null</v>
      </c>
      <c r="V8034" s="33">
        <f>IFERROR(__xludf.DUMMYFUNCTION("""COMPUTED_VALUE"""),1.0)</f>
        <v>1</v>
      </c>
      <c r="W8034" s="4" t="str">
        <f>IFERROR(__xludf.DUMMYFUNCTION("""COMPUTED_VALUE"""),"null")</f>
        <v>null</v>
      </c>
      <c r="X8034" s="33">
        <f>IFERROR(__xludf.DUMMYFUNCTION("""COMPUTED_VALUE"""),1.0)</f>
        <v>1</v>
      </c>
    </row>
    <row r="8035">
      <c r="K8035" s="4" t="str">
        <f>IFERROR(__xludf.DUMMYFUNCTION("""COMPUTED_VALUE"""),"SORVETERIA E ACAITERIA GELLARE 3")</f>
        <v>SORVETERIA E ACAITERIA GELLARE 3</v>
      </c>
      <c r="L8035" s="32">
        <f>IFERROR(__xludf.DUMMYFUNCTION("""COMPUTED_VALUE"""),1.0)</f>
        <v>1</v>
      </c>
      <c r="M8035" s="4" t="str">
        <f>IFERROR(__xludf.DUMMYFUNCTION("""COMPUTED_VALUE"""),"null")</f>
        <v>null</v>
      </c>
      <c r="N8035" s="33">
        <f>IFERROR(__xludf.DUMMYFUNCTION("""COMPUTED_VALUE"""),1.0)</f>
        <v>1</v>
      </c>
      <c r="O8035" s="4" t="str">
        <f>IFERROR(__xludf.DUMMYFUNCTION("""COMPUTED_VALUE"""),"Syntax Tecnologia")</f>
        <v>Syntax Tecnologia</v>
      </c>
      <c r="P8035" s="33">
        <f>IFERROR(__xludf.DUMMYFUNCTION("""COMPUTED_VALUE"""),1.0)</f>
        <v>1</v>
      </c>
      <c r="Q8035" s="4" t="str">
        <f>IFERROR(__xludf.DUMMYFUNCTION("""COMPUTED_VALUE"""),"null")</f>
        <v>null</v>
      </c>
      <c r="R8035" s="33">
        <f>IFERROR(__xludf.DUMMYFUNCTION("""COMPUTED_VALUE"""),1.0)</f>
        <v>1</v>
      </c>
      <c r="S8035" s="4" t="str">
        <f>IFERROR(__xludf.DUMMYFUNCTION("""COMPUTED_VALUE"""),"null")</f>
        <v>null</v>
      </c>
      <c r="T8035" s="33">
        <f>IFERROR(__xludf.DUMMYFUNCTION("""COMPUTED_VALUE"""),1.0)</f>
        <v>1</v>
      </c>
      <c r="U8035" s="4" t="str">
        <f>IFERROR(__xludf.DUMMYFUNCTION("""COMPUTED_VALUE"""),"null")</f>
        <v>null</v>
      </c>
      <c r="V8035" s="33">
        <f>IFERROR(__xludf.DUMMYFUNCTION("""COMPUTED_VALUE"""),1.0)</f>
        <v>1</v>
      </c>
      <c r="W8035" s="4" t="str">
        <f>IFERROR(__xludf.DUMMYFUNCTION("""COMPUTED_VALUE"""),"null")</f>
        <v>null</v>
      </c>
      <c r="X8035" s="33">
        <f>IFERROR(__xludf.DUMMYFUNCTION("""COMPUTED_VALUE"""),1.0)</f>
        <v>1</v>
      </c>
    </row>
    <row r="8036">
      <c r="K8036" s="4" t="str">
        <f>IFERROR(__xludf.DUMMYFUNCTION("""COMPUTED_VALUE"""),"PEDE AI ACAI - DELIVERY")</f>
        <v>PEDE AI ACAI - DELIVERY</v>
      </c>
      <c r="L8036" s="32">
        <f>IFERROR(__xludf.DUMMYFUNCTION("""COMPUTED_VALUE"""),1.0)</f>
        <v>1</v>
      </c>
      <c r="M8036" s="4" t="str">
        <f>IFERROR(__xludf.DUMMYFUNCTION("""COMPUTED_VALUE"""),"null")</f>
        <v>null</v>
      </c>
      <c r="N8036" s="33">
        <f>IFERROR(__xludf.DUMMYFUNCTION("""COMPUTED_VALUE"""),1.0)</f>
        <v>1</v>
      </c>
      <c r="O8036" s="4" t="str">
        <f>IFERROR(__xludf.DUMMYFUNCTION("""COMPUTED_VALUE"""),"null")</f>
        <v>null</v>
      </c>
      <c r="P8036" s="33">
        <f>IFERROR(__xludf.DUMMYFUNCTION("""COMPUTED_VALUE"""),1.0)</f>
        <v>1</v>
      </c>
      <c r="Q8036" s="4" t="str">
        <f>IFERROR(__xludf.DUMMYFUNCTION("""COMPUTED_VALUE"""),"null")</f>
        <v>null</v>
      </c>
      <c r="R8036" s="33">
        <f>IFERROR(__xludf.DUMMYFUNCTION("""COMPUTED_VALUE"""),1.0)</f>
        <v>1</v>
      </c>
      <c r="S8036" s="4" t="str">
        <f>IFERROR(__xludf.DUMMYFUNCTION("""COMPUTED_VALUE"""),"Mapp Sistemas")</f>
        <v>Mapp Sistemas</v>
      </c>
      <c r="T8036" s="33">
        <f>IFERROR(__xludf.DUMMYFUNCTION("""COMPUTED_VALUE"""),1.0)</f>
        <v>1</v>
      </c>
      <c r="U8036" s="4" t="str">
        <f>IFERROR(__xludf.DUMMYFUNCTION("""COMPUTED_VALUE"""),"null")</f>
        <v>null</v>
      </c>
      <c r="V8036" s="33">
        <f>IFERROR(__xludf.DUMMYFUNCTION("""COMPUTED_VALUE"""),1.0)</f>
        <v>1</v>
      </c>
      <c r="W8036" s="4" t="str">
        <f>IFERROR(__xludf.DUMMYFUNCTION("""COMPUTED_VALUE"""),"null")</f>
        <v>null</v>
      </c>
      <c r="X8036" s="33">
        <f>IFERROR(__xludf.DUMMYFUNCTION("""COMPUTED_VALUE"""),1.0)</f>
        <v>1</v>
      </c>
    </row>
    <row r="8037">
      <c r="K8037" s="4" t="str">
        <f>IFERROR(__xludf.DUMMYFUNCTION("""COMPUTED_VALUE"""),"PIZZARIA SAO PAULO - JARDIM PINHAL")</f>
        <v>PIZZARIA SAO PAULO - JARDIM PINHAL</v>
      </c>
      <c r="L8037" s="32">
        <f>IFERROR(__xludf.DUMMYFUNCTION("""COMPUTED_VALUE"""),1.0)</f>
        <v>1</v>
      </c>
      <c r="M8037" s="4" t="str">
        <f>IFERROR(__xludf.DUMMYFUNCTION("""COMPUTED_VALUE"""),"Suitable Tecnologia E Gestao")</f>
        <v>Suitable Tecnologia E Gestao</v>
      </c>
      <c r="N8037" s="33">
        <f>IFERROR(__xludf.DUMMYFUNCTION("""COMPUTED_VALUE"""),1.0)</f>
        <v>1</v>
      </c>
      <c r="O8037" s="4" t="str">
        <f>IFERROR(__xludf.DUMMYFUNCTION("""COMPUTED_VALUE"""),"Suitable Tecnologia E Gestao")</f>
        <v>Suitable Tecnologia E Gestao</v>
      </c>
      <c r="P8037" s="33">
        <f>IFERROR(__xludf.DUMMYFUNCTION("""COMPUTED_VALUE"""),1.0)</f>
        <v>1</v>
      </c>
      <c r="Q8037" s="4" t="str">
        <f>IFERROR(__xludf.DUMMYFUNCTION("""COMPUTED_VALUE"""),"null")</f>
        <v>null</v>
      </c>
      <c r="R8037" s="33">
        <f>IFERROR(__xludf.DUMMYFUNCTION("""COMPUTED_VALUE"""),1.0)</f>
        <v>1</v>
      </c>
      <c r="S8037" s="4" t="str">
        <f>IFERROR(__xludf.DUMMYFUNCTION("""COMPUTED_VALUE"""),"Suitable Tecnologia E Gestao")</f>
        <v>Suitable Tecnologia E Gestao</v>
      </c>
      <c r="T8037" s="33">
        <f>IFERROR(__xludf.DUMMYFUNCTION("""COMPUTED_VALUE"""),1.0)</f>
        <v>1</v>
      </c>
      <c r="U8037" s="4" t="str">
        <f>IFERROR(__xludf.DUMMYFUNCTION("""COMPUTED_VALUE"""),"Suitable Tecnologia E Gestao")</f>
        <v>Suitable Tecnologia E Gestao</v>
      </c>
      <c r="V8037" s="33">
        <f>IFERROR(__xludf.DUMMYFUNCTION("""COMPUTED_VALUE"""),1.0)</f>
        <v>1</v>
      </c>
      <c r="W8037" s="4" t="str">
        <f>IFERROR(__xludf.DUMMYFUNCTION("""COMPUTED_VALUE"""),"Suitable Tecnologia E Gestao")</f>
        <v>Suitable Tecnologia E Gestao</v>
      </c>
      <c r="X8037" s="33">
        <f>IFERROR(__xludf.DUMMYFUNCTION("""COMPUTED_VALUE"""),1.0)</f>
        <v>1</v>
      </c>
    </row>
    <row r="8038">
      <c r="K8038" s="4" t="str">
        <f>IFERROR(__xludf.DUMMYFUNCTION("""COMPUTED_VALUE"""),"CAFE E RESTAURANTE DA GIGI")</f>
        <v>CAFE E RESTAURANTE DA GIGI</v>
      </c>
      <c r="L8038" s="32">
        <f>IFERROR(__xludf.DUMMYFUNCTION("""COMPUTED_VALUE"""),1.0)</f>
        <v>1</v>
      </c>
      <c r="M8038" s="4" t="str">
        <f>IFERROR(__xludf.DUMMYFUNCTION("""COMPUTED_VALUE"""),"Consumer Soluções Em Tecnologia Ltda")</f>
        <v>Consumer Soluções Em Tecnologia Ltda</v>
      </c>
      <c r="N8038" s="33">
        <f>IFERROR(__xludf.DUMMYFUNCTION("""COMPUTED_VALUE"""),1.0)</f>
        <v>1</v>
      </c>
      <c r="O8038" s="4" t="str">
        <f>IFERROR(__xludf.DUMMYFUNCTION("""COMPUTED_VALUE"""),"Consumer Soluções Em Tecnologia Ltda")</f>
        <v>Consumer Soluções Em Tecnologia Ltda</v>
      </c>
      <c r="P8038" s="33">
        <f>IFERROR(__xludf.DUMMYFUNCTION("""COMPUTED_VALUE"""),1.0)</f>
        <v>1</v>
      </c>
      <c r="Q8038" s="4" t="str">
        <f>IFERROR(__xludf.DUMMYFUNCTION("""COMPUTED_VALUE"""),"Consumer Soluções Em Tecnologia Ltda")</f>
        <v>Consumer Soluções Em Tecnologia Ltda</v>
      </c>
      <c r="R8038" s="33">
        <f>IFERROR(__xludf.DUMMYFUNCTION("""COMPUTED_VALUE"""),1.0)</f>
        <v>1</v>
      </c>
      <c r="S8038" s="4" t="str">
        <f>IFERROR(__xludf.DUMMYFUNCTION("""COMPUTED_VALUE"""),"Consumer Soluções Em Tecnologia Ltda")</f>
        <v>Consumer Soluções Em Tecnologia Ltda</v>
      </c>
      <c r="T8038" s="33">
        <f>IFERROR(__xludf.DUMMYFUNCTION("""COMPUTED_VALUE"""),1.0)</f>
        <v>1</v>
      </c>
      <c r="U8038" s="4" t="str">
        <f>IFERROR(__xludf.DUMMYFUNCTION("""COMPUTED_VALUE"""),"Consumer Soluções Em Tecnologia Ltda")</f>
        <v>Consumer Soluções Em Tecnologia Ltda</v>
      </c>
      <c r="V8038" s="33">
        <f>IFERROR(__xludf.DUMMYFUNCTION("""COMPUTED_VALUE"""),1.0)</f>
        <v>1</v>
      </c>
      <c r="W8038" s="4" t="str">
        <f>IFERROR(__xludf.DUMMYFUNCTION("""COMPUTED_VALUE"""),"Consumer Soluções Em Tecnologia Ltda")</f>
        <v>Consumer Soluções Em Tecnologia Ltda</v>
      </c>
      <c r="X8038" s="33">
        <f>IFERROR(__xludf.DUMMYFUNCTION("""COMPUTED_VALUE"""),1.0)</f>
        <v>1</v>
      </c>
    </row>
    <row r="8039">
      <c r="K8039" s="4" t="str">
        <f>IFERROR(__xludf.DUMMYFUNCTION("""COMPUTED_VALUE"""),"PIZZARIA RAVENA - MARAJOARA")</f>
        <v>PIZZARIA RAVENA - MARAJOARA</v>
      </c>
      <c r="L8039" s="32">
        <f>IFERROR(__xludf.DUMMYFUNCTION("""COMPUTED_VALUE"""),1.0)</f>
        <v>1</v>
      </c>
      <c r="M8039" s="4" t="str">
        <f>IFERROR(__xludf.DUMMYFUNCTION("""COMPUTED_VALUE"""),"null")</f>
        <v>null</v>
      </c>
      <c r="N8039" s="33">
        <f>IFERROR(__xludf.DUMMYFUNCTION("""COMPUTED_VALUE"""),1.0)</f>
        <v>1</v>
      </c>
      <c r="O8039" s="4" t="str">
        <f>IFERROR(__xludf.DUMMYFUNCTION("""COMPUTED_VALUE"""),"Cardápio Web")</f>
        <v>Cardápio Web</v>
      </c>
      <c r="P8039" s="33">
        <f>IFERROR(__xludf.DUMMYFUNCTION("""COMPUTED_VALUE"""),1.0)</f>
        <v>1</v>
      </c>
      <c r="Q8039" s="4" t="str">
        <f>IFERROR(__xludf.DUMMYFUNCTION("""COMPUTED_VALUE"""),"Cardápio Web")</f>
        <v>Cardápio Web</v>
      </c>
      <c r="R8039" s="33">
        <f>IFERROR(__xludf.DUMMYFUNCTION("""COMPUTED_VALUE"""),1.0)</f>
        <v>1</v>
      </c>
      <c r="S8039" s="4" t="str">
        <f>IFERROR(__xludf.DUMMYFUNCTION("""COMPUTED_VALUE"""),"Cardápio Web")</f>
        <v>Cardápio Web</v>
      </c>
      <c r="T8039" s="33">
        <f>IFERROR(__xludf.DUMMYFUNCTION("""COMPUTED_VALUE"""),1.0)</f>
        <v>1</v>
      </c>
      <c r="U8039" s="4" t="str">
        <f>IFERROR(__xludf.DUMMYFUNCTION("""COMPUTED_VALUE"""),"Cardápio Web")</f>
        <v>Cardápio Web</v>
      </c>
      <c r="V8039" s="33">
        <f>IFERROR(__xludf.DUMMYFUNCTION("""COMPUTED_VALUE"""),1.0)</f>
        <v>1</v>
      </c>
      <c r="W8039" s="4" t="str">
        <f>IFERROR(__xludf.DUMMYFUNCTION("""COMPUTED_VALUE"""),"Cardápio Web")</f>
        <v>Cardápio Web</v>
      </c>
      <c r="X8039" s="33">
        <f>IFERROR(__xludf.DUMMYFUNCTION("""COMPUTED_VALUE"""),1.0)</f>
        <v>1</v>
      </c>
    </row>
    <row r="8040">
      <c r="K8040" s="4" t="str">
        <f>IFERROR(__xludf.DUMMYFUNCTION("""COMPUTED_VALUE"""),"CASA DA NONNA - MASSAS ARTESANAIS")</f>
        <v>CASA DA NONNA - MASSAS ARTESANAIS</v>
      </c>
      <c r="L8040" s="32">
        <f>IFERROR(__xludf.DUMMYFUNCTION("""COMPUTED_VALUE"""),1.0)</f>
        <v>1</v>
      </c>
      <c r="M8040" s="4" t="str">
        <f>IFERROR(__xludf.DUMMYFUNCTION("""COMPUTED_VALUE"""),"null")</f>
        <v>null</v>
      </c>
      <c r="N8040" s="33">
        <f>IFERROR(__xludf.DUMMYFUNCTION("""COMPUTED_VALUE"""),1.0)</f>
        <v>1</v>
      </c>
      <c r="O8040" s="4" t="str">
        <f>IFERROR(__xludf.DUMMYFUNCTION("""COMPUTED_VALUE"""),"null")</f>
        <v>null</v>
      </c>
      <c r="P8040" s="33">
        <f>IFERROR(__xludf.DUMMYFUNCTION("""COMPUTED_VALUE"""),1.0)</f>
        <v>1</v>
      </c>
      <c r="Q8040" s="4" t="str">
        <f>IFERROR(__xludf.DUMMYFUNCTION("""COMPUTED_VALUE"""),"Anota Ai Solucoes Digitais S/a")</f>
        <v>Anota Ai Solucoes Digitais S/a</v>
      </c>
      <c r="R8040" s="33">
        <f>IFERROR(__xludf.DUMMYFUNCTION("""COMPUTED_VALUE"""),1.0)</f>
        <v>1</v>
      </c>
      <c r="S8040" s="4" t="str">
        <f>IFERROR(__xludf.DUMMYFUNCTION("""COMPUTED_VALUE"""),"null")</f>
        <v>null</v>
      </c>
      <c r="T8040" s="33">
        <f>IFERROR(__xludf.DUMMYFUNCTION("""COMPUTED_VALUE"""),1.0)</f>
        <v>1</v>
      </c>
      <c r="U8040" s="4" t="str">
        <f>IFERROR(__xludf.DUMMYFUNCTION("""COMPUTED_VALUE"""),"null")</f>
        <v>null</v>
      </c>
      <c r="V8040" s="33">
        <f>IFERROR(__xludf.DUMMYFUNCTION("""COMPUTED_VALUE"""),1.0)</f>
        <v>1</v>
      </c>
      <c r="W8040" s="4" t="str">
        <f>IFERROR(__xludf.DUMMYFUNCTION("""COMPUTED_VALUE"""),"null")</f>
        <v>null</v>
      </c>
      <c r="X8040" s="33">
        <f>IFERROR(__xludf.DUMMYFUNCTION("""COMPUTED_VALUE"""),1.0)</f>
        <v>1</v>
      </c>
    </row>
    <row r="8041">
      <c r="K8041" s="4" t="str">
        <f>IFERROR(__xludf.DUMMYFUNCTION("""COMPUTED_VALUE"""),"PIZZARIA DIVINUS")</f>
        <v>PIZZARIA DIVINUS</v>
      </c>
      <c r="L8041" s="32">
        <f>IFERROR(__xludf.DUMMYFUNCTION("""COMPUTED_VALUE"""),1.0)</f>
        <v>1</v>
      </c>
      <c r="M8041" s="4" t="str">
        <f>IFERROR(__xludf.DUMMYFUNCTION("""COMPUTED_VALUE"""),"null")</f>
        <v>null</v>
      </c>
      <c r="N8041" s="33">
        <f>IFERROR(__xludf.DUMMYFUNCTION("""COMPUTED_VALUE"""),1.0)</f>
        <v>1</v>
      </c>
      <c r="O8041" s="4" t="str">
        <f>IFERROR(__xludf.DUMMYFUNCTION("""COMPUTED_VALUE"""),"null")</f>
        <v>null</v>
      </c>
      <c r="P8041" s="33">
        <f>IFERROR(__xludf.DUMMYFUNCTION("""COMPUTED_VALUE"""),1.0)</f>
        <v>1</v>
      </c>
      <c r="Q8041" s="4" t="str">
        <f>IFERROR(__xludf.DUMMYFUNCTION("""COMPUTED_VALUE"""),"null")</f>
        <v>null</v>
      </c>
      <c r="R8041" s="33">
        <f>IFERROR(__xludf.DUMMYFUNCTION("""COMPUTED_VALUE"""),1.0)</f>
        <v>1</v>
      </c>
      <c r="S8041" s="4" t="str">
        <f>IFERROR(__xludf.DUMMYFUNCTION("""COMPUTED_VALUE"""),"null")</f>
        <v>null</v>
      </c>
      <c r="T8041" s="33">
        <f>IFERROR(__xludf.DUMMYFUNCTION("""COMPUTED_VALUE"""),1.0)</f>
        <v>1</v>
      </c>
      <c r="U8041" s="4" t="str">
        <f>IFERROR(__xludf.DUMMYFUNCTION("""COMPUTED_VALUE"""),"Saipos Serviços De Software")</f>
        <v>Saipos Serviços De Software</v>
      </c>
      <c r="V8041" s="33">
        <f>IFERROR(__xludf.DUMMYFUNCTION("""COMPUTED_VALUE"""),1.0)</f>
        <v>1</v>
      </c>
      <c r="W8041" s="4" t="str">
        <f>IFERROR(__xludf.DUMMYFUNCTION("""COMPUTED_VALUE"""),"Saipos Serviços De Software")</f>
        <v>Saipos Serviços De Software</v>
      </c>
      <c r="X8041" s="33">
        <f>IFERROR(__xludf.DUMMYFUNCTION("""COMPUTED_VALUE"""),1.0)</f>
        <v>1</v>
      </c>
    </row>
    <row r="8042">
      <c r="K8042" s="4" t="str">
        <f>IFERROR(__xludf.DUMMYFUNCTION("""COMPUTED_VALUE"""),"MATS BURGUER")</f>
        <v>MATS BURGUER</v>
      </c>
      <c r="L8042" s="32">
        <f>IFERROR(__xludf.DUMMYFUNCTION("""COMPUTED_VALUE"""),1.0)</f>
        <v>1</v>
      </c>
      <c r="M8042" s="4" t="str">
        <f>IFERROR(__xludf.DUMMYFUNCTION("""COMPUTED_VALUE"""),"null")</f>
        <v>null</v>
      </c>
      <c r="N8042" s="33">
        <f>IFERROR(__xludf.DUMMYFUNCTION("""COMPUTED_VALUE"""),1.0)</f>
        <v>1</v>
      </c>
      <c r="O8042" s="4" t="str">
        <f>IFERROR(__xludf.DUMMYFUNCTION("""COMPUTED_VALUE"""),"null")</f>
        <v>null</v>
      </c>
      <c r="P8042" s="33">
        <f>IFERROR(__xludf.DUMMYFUNCTION("""COMPUTED_VALUE"""),1.0)</f>
        <v>1</v>
      </c>
      <c r="Q8042" s="4" t="str">
        <f>IFERROR(__xludf.DUMMYFUNCTION("""COMPUTED_VALUE"""),"Consumer Soluções Em Tecnologia Ltda")</f>
        <v>Consumer Soluções Em Tecnologia Ltda</v>
      </c>
      <c r="R8042" s="33">
        <f>IFERROR(__xludf.DUMMYFUNCTION("""COMPUTED_VALUE"""),1.0)</f>
        <v>1</v>
      </c>
      <c r="S8042" s="4" t="str">
        <f>IFERROR(__xludf.DUMMYFUNCTION("""COMPUTED_VALUE"""),"Consumer Soluções Em Tecnologia Ltda")</f>
        <v>Consumer Soluções Em Tecnologia Ltda</v>
      </c>
      <c r="T8042" s="33">
        <f>IFERROR(__xludf.DUMMYFUNCTION("""COMPUTED_VALUE"""),1.0)</f>
        <v>1</v>
      </c>
      <c r="U8042" s="4" t="str">
        <f>IFERROR(__xludf.DUMMYFUNCTION("""COMPUTED_VALUE"""),"Consumer Soluções Em Tecnologia Ltda")</f>
        <v>Consumer Soluções Em Tecnologia Ltda</v>
      </c>
      <c r="V8042" s="33">
        <f>IFERROR(__xludf.DUMMYFUNCTION("""COMPUTED_VALUE"""),1.0)</f>
        <v>1</v>
      </c>
      <c r="W8042" s="4" t="str">
        <f>IFERROR(__xludf.DUMMYFUNCTION("""COMPUTED_VALUE"""),"Consumer Soluções Em Tecnologia Ltda")</f>
        <v>Consumer Soluções Em Tecnologia Ltda</v>
      </c>
      <c r="X8042" s="33">
        <f>IFERROR(__xludf.DUMMYFUNCTION("""COMPUTED_VALUE"""),1.0)</f>
        <v>1</v>
      </c>
    </row>
    <row r="8043">
      <c r="K8043" s="4" t="str">
        <f>IFERROR(__xludf.DUMMYFUNCTION("""COMPUTED_VALUE"""),"PIZZARIA_DOM PIZZERIA ORIGINALE")</f>
        <v>PIZZARIA_DOM PIZZERIA ORIGINALE</v>
      </c>
      <c r="L8043" s="32">
        <f>IFERROR(__xludf.DUMMYFUNCTION("""COMPUTED_VALUE"""),1.0)</f>
        <v>1</v>
      </c>
      <c r="M8043" s="4" t="str">
        <f>IFERROR(__xludf.DUMMYFUNCTION("""COMPUTED_VALUE"""),"Instadelivery")</f>
        <v>Instadelivery</v>
      </c>
      <c r="N8043" s="33">
        <f>IFERROR(__xludf.DUMMYFUNCTION("""COMPUTED_VALUE"""),1.0)</f>
        <v>1</v>
      </c>
      <c r="O8043" s="4" t="str">
        <f>IFERROR(__xludf.DUMMYFUNCTION("""COMPUTED_VALUE"""),"Instadelivery")</f>
        <v>Instadelivery</v>
      </c>
      <c r="P8043" s="33">
        <f>IFERROR(__xludf.DUMMYFUNCTION("""COMPUTED_VALUE"""),1.0)</f>
        <v>1</v>
      </c>
      <c r="Q8043" s="4" t="str">
        <f>IFERROR(__xludf.DUMMYFUNCTION("""COMPUTED_VALUE"""),"Instadelivery")</f>
        <v>Instadelivery</v>
      </c>
      <c r="R8043" s="33">
        <f>IFERROR(__xludf.DUMMYFUNCTION("""COMPUTED_VALUE"""),1.0)</f>
        <v>1</v>
      </c>
      <c r="S8043" s="4" t="str">
        <f>IFERROR(__xludf.DUMMYFUNCTION("""COMPUTED_VALUE"""),"null")</f>
        <v>null</v>
      </c>
      <c r="T8043" s="33">
        <f>IFERROR(__xludf.DUMMYFUNCTION("""COMPUTED_VALUE"""),1.0)</f>
        <v>1</v>
      </c>
      <c r="U8043" s="4" t="str">
        <f>IFERROR(__xludf.DUMMYFUNCTION("""COMPUTED_VALUE"""),"Instadelivery")</f>
        <v>Instadelivery</v>
      </c>
      <c r="V8043" s="33">
        <f>IFERROR(__xludf.DUMMYFUNCTION("""COMPUTED_VALUE"""),1.0)</f>
        <v>1</v>
      </c>
      <c r="W8043" s="4" t="str">
        <f>IFERROR(__xludf.DUMMYFUNCTION("""COMPUTED_VALUE"""),"Instadelivery")</f>
        <v>Instadelivery</v>
      </c>
      <c r="X8043" s="33">
        <f>IFERROR(__xludf.DUMMYFUNCTION("""COMPUTED_VALUE"""),1.0)</f>
        <v>1</v>
      </c>
    </row>
    <row r="8044">
      <c r="K8044" s="4" t="str">
        <f>IFERROR(__xludf.DUMMYFUNCTION("""COMPUTED_VALUE"""),"EMPORIO MASSAS")</f>
        <v>EMPORIO MASSAS</v>
      </c>
      <c r="L8044" s="32">
        <f>IFERROR(__xludf.DUMMYFUNCTION("""COMPUTED_VALUE"""),1.0)</f>
        <v>1</v>
      </c>
      <c r="M8044" s="4" t="str">
        <f>IFERROR(__xludf.DUMMYFUNCTION("""COMPUTED_VALUE"""),"Saipos Serviços De Software")</f>
        <v>Saipos Serviços De Software</v>
      </c>
      <c r="N8044" s="33">
        <f>IFERROR(__xludf.DUMMYFUNCTION("""COMPUTED_VALUE"""),1.0)</f>
        <v>1</v>
      </c>
      <c r="O8044" s="4" t="str">
        <f>IFERROR(__xludf.DUMMYFUNCTION("""COMPUTED_VALUE"""),"Saipos Serviços De Software")</f>
        <v>Saipos Serviços De Software</v>
      </c>
      <c r="P8044" s="33">
        <f>IFERROR(__xludf.DUMMYFUNCTION("""COMPUTED_VALUE"""),1.0)</f>
        <v>1</v>
      </c>
      <c r="Q8044" s="4" t="str">
        <f>IFERROR(__xludf.DUMMYFUNCTION("""COMPUTED_VALUE"""),"Saipos Serviços De Software")</f>
        <v>Saipos Serviços De Software</v>
      </c>
      <c r="R8044" s="33">
        <f>IFERROR(__xludf.DUMMYFUNCTION("""COMPUTED_VALUE"""),1.0)</f>
        <v>1</v>
      </c>
      <c r="S8044" s="4" t="str">
        <f>IFERROR(__xludf.DUMMYFUNCTION("""COMPUTED_VALUE"""),"Saipos Serviços De Software")</f>
        <v>Saipos Serviços De Software</v>
      </c>
      <c r="T8044" s="33">
        <f>IFERROR(__xludf.DUMMYFUNCTION("""COMPUTED_VALUE"""),1.0)</f>
        <v>1</v>
      </c>
      <c r="U8044" s="4" t="str">
        <f>IFERROR(__xludf.DUMMYFUNCTION("""COMPUTED_VALUE"""),"Saipos Serviços De Software")</f>
        <v>Saipos Serviços De Software</v>
      </c>
      <c r="V8044" s="33">
        <f>IFERROR(__xludf.DUMMYFUNCTION("""COMPUTED_VALUE"""),1.0)</f>
        <v>1</v>
      </c>
      <c r="W8044" s="4" t="str">
        <f>IFERROR(__xludf.DUMMYFUNCTION("""COMPUTED_VALUE"""),"Saipos Serviços De Software")</f>
        <v>Saipos Serviços De Software</v>
      </c>
      <c r="X8044" s="33">
        <f>IFERROR(__xludf.DUMMYFUNCTION("""COMPUTED_VALUE"""),1.0)</f>
        <v>1</v>
      </c>
    </row>
    <row r="8045">
      <c r="K8045" s="4" t="str">
        <f>IFERROR(__xludf.DUMMYFUNCTION("""COMPUTED_VALUE"""),"DON VICENTE - PIZZAS E CALZONES")</f>
        <v>DON VICENTE - PIZZAS E CALZONES</v>
      </c>
      <c r="L8045" s="32">
        <f>IFERROR(__xludf.DUMMYFUNCTION("""COMPUTED_VALUE"""),1.0)</f>
        <v>1</v>
      </c>
      <c r="M8045" s="4" t="str">
        <f>IFERROR(__xludf.DUMMYFUNCTION("""COMPUTED_VALUE"""),"Saipos Serviços De Software")</f>
        <v>Saipos Serviços De Software</v>
      </c>
      <c r="N8045" s="33">
        <f>IFERROR(__xludf.DUMMYFUNCTION("""COMPUTED_VALUE"""),1.0)</f>
        <v>1</v>
      </c>
      <c r="O8045" s="4" t="str">
        <f>IFERROR(__xludf.DUMMYFUNCTION("""COMPUTED_VALUE"""),"Saipos Serviços De Software")</f>
        <v>Saipos Serviços De Software</v>
      </c>
      <c r="P8045" s="33">
        <f>IFERROR(__xludf.DUMMYFUNCTION("""COMPUTED_VALUE"""),1.0)</f>
        <v>1</v>
      </c>
      <c r="Q8045" s="4" t="str">
        <f>IFERROR(__xludf.DUMMYFUNCTION("""COMPUTED_VALUE"""),"Saipos Serviços De Software")</f>
        <v>Saipos Serviços De Software</v>
      </c>
      <c r="R8045" s="33">
        <f>IFERROR(__xludf.DUMMYFUNCTION("""COMPUTED_VALUE"""),1.0)</f>
        <v>1</v>
      </c>
      <c r="S8045" s="4" t="str">
        <f>IFERROR(__xludf.DUMMYFUNCTION("""COMPUTED_VALUE"""),"Saipos Serviços De Software")</f>
        <v>Saipos Serviços De Software</v>
      </c>
      <c r="T8045" s="33">
        <f>IFERROR(__xludf.DUMMYFUNCTION("""COMPUTED_VALUE"""),1.0)</f>
        <v>1</v>
      </c>
      <c r="U8045" s="4" t="str">
        <f>IFERROR(__xludf.DUMMYFUNCTION("""COMPUTED_VALUE"""),"Saipos Serviços De Software")</f>
        <v>Saipos Serviços De Software</v>
      </c>
      <c r="V8045" s="33">
        <f>IFERROR(__xludf.DUMMYFUNCTION("""COMPUTED_VALUE"""),1.0)</f>
        <v>1</v>
      </c>
      <c r="W8045" s="4" t="str">
        <f>IFERROR(__xludf.DUMMYFUNCTION("""COMPUTED_VALUE"""),"Saipos Serviços De Software")</f>
        <v>Saipos Serviços De Software</v>
      </c>
      <c r="X8045" s="33">
        <f>IFERROR(__xludf.DUMMYFUNCTION("""COMPUTED_VALUE"""),1.0)</f>
        <v>1</v>
      </c>
    </row>
    <row r="8046">
      <c r="K8046" s="4" t="str">
        <f>IFERROR(__xludf.DUMMYFUNCTION("""COMPUTED_VALUE"""),"PIZZARIA 084 - COOPHAB")</f>
        <v>PIZZARIA 084 - COOPHAB</v>
      </c>
      <c r="L8046" s="32">
        <f>IFERROR(__xludf.DUMMYFUNCTION("""COMPUTED_VALUE"""),1.0)</f>
        <v>1</v>
      </c>
      <c r="M8046" s="4" t="str">
        <f>IFERROR(__xludf.DUMMYFUNCTION("""COMPUTED_VALUE"""),"null")</f>
        <v>null</v>
      </c>
      <c r="N8046" s="33">
        <f>IFERROR(__xludf.DUMMYFUNCTION("""COMPUTED_VALUE"""),1.0)</f>
        <v>1</v>
      </c>
      <c r="O8046" s="4" t="str">
        <f>IFERROR(__xludf.DUMMYFUNCTION("""COMPUTED_VALUE"""),"null")</f>
        <v>null</v>
      </c>
      <c r="P8046" s="33">
        <f>IFERROR(__xludf.DUMMYFUNCTION("""COMPUTED_VALUE"""),1.0)</f>
        <v>1</v>
      </c>
      <c r="Q8046" s="4" t="str">
        <f>IFERROR(__xludf.DUMMYFUNCTION("""COMPUTED_VALUE"""),"Saipos Serviços De Software")</f>
        <v>Saipos Serviços De Software</v>
      </c>
      <c r="R8046" s="33">
        <f>IFERROR(__xludf.DUMMYFUNCTION("""COMPUTED_VALUE"""),1.0)</f>
        <v>1</v>
      </c>
      <c r="S8046" s="4" t="str">
        <f>IFERROR(__xludf.DUMMYFUNCTION("""COMPUTED_VALUE"""),"Saipos Serviços De Software")</f>
        <v>Saipos Serviços De Software</v>
      </c>
      <c r="T8046" s="33">
        <f>IFERROR(__xludf.DUMMYFUNCTION("""COMPUTED_VALUE"""),1.0)</f>
        <v>1</v>
      </c>
      <c r="U8046" s="4" t="str">
        <f>IFERROR(__xludf.DUMMYFUNCTION("""COMPUTED_VALUE"""),"Saipos Serviços De Software")</f>
        <v>Saipos Serviços De Software</v>
      </c>
      <c r="V8046" s="33">
        <f>IFERROR(__xludf.DUMMYFUNCTION("""COMPUTED_VALUE"""),1.0)</f>
        <v>1</v>
      </c>
      <c r="W8046" s="4" t="str">
        <f>IFERROR(__xludf.DUMMYFUNCTION("""COMPUTED_VALUE"""),"Saipos Serviços De Software")</f>
        <v>Saipos Serviços De Software</v>
      </c>
      <c r="X8046" s="33">
        <f>IFERROR(__xludf.DUMMYFUNCTION("""COMPUTED_VALUE"""),1.0)</f>
        <v>1</v>
      </c>
    </row>
    <row r="8047">
      <c r="K8047" s="4" t="str">
        <f>IFERROR(__xludf.DUMMYFUNCTION("""COMPUTED_VALUE"""),"XIGAS BURGER")</f>
        <v>XIGAS BURGER</v>
      </c>
      <c r="L8047" s="32">
        <f>IFERROR(__xludf.DUMMYFUNCTION("""COMPUTED_VALUE"""),1.0)</f>
        <v>1</v>
      </c>
      <c r="M8047" s="4" t="str">
        <f>IFERROR(__xludf.DUMMYFUNCTION("""COMPUTED_VALUE"""),"Cardápio Web")</f>
        <v>Cardápio Web</v>
      </c>
      <c r="N8047" s="33">
        <f>IFERROR(__xludf.DUMMYFUNCTION("""COMPUTED_VALUE"""),1.0)</f>
        <v>1</v>
      </c>
      <c r="O8047" s="4" t="str">
        <f>IFERROR(__xludf.DUMMYFUNCTION("""COMPUTED_VALUE"""),"Cardápio Web")</f>
        <v>Cardápio Web</v>
      </c>
      <c r="P8047" s="33">
        <f>IFERROR(__xludf.DUMMYFUNCTION("""COMPUTED_VALUE"""),1.0)</f>
        <v>1</v>
      </c>
      <c r="Q8047" s="4" t="str">
        <f>IFERROR(__xludf.DUMMYFUNCTION("""COMPUTED_VALUE"""),"Cardápio Web")</f>
        <v>Cardápio Web</v>
      </c>
      <c r="R8047" s="33">
        <f>IFERROR(__xludf.DUMMYFUNCTION("""COMPUTED_VALUE"""),1.0)</f>
        <v>1</v>
      </c>
      <c r="S8047" s="4" t="str">
        <f>IFERROR(__xludf.DUMMYFUNCTION("""COMPUTED_VALUE"""),"Cardápio Web")</f>
        <v>Cardápio Web</v>
      </c>
      <c r="T8047" s="33">
        <f>IFERROR(__xludf.DUMMYFUNCTION("""COMPUTED_VALUE"""),1.0)</f>
        <v>1</v>
      </c>
      <c r="U8047" s="4" t="str">
        <f>IFERROR(__xludf.DUMMYFUNCTION("""COMPUTED_VALUE"""),"Cardápio Web")</f>
        <v>Cardápio Web</v>
      </c>
      <c r="V8047" s="33">
        <f>IFERROR(__xludf.DUMMYFUNCTION("""COMPUTED_VALUE"""),1.0)</f>
        <v>1</v>
      </c>
      <c r="W8047" s="4" t="str">
        <f>IFERROR(__xludf.DUMMYFUNCTION("""COMPUTED_VALUE"""),"null")</f>
        <v>null</v>
      </c>
      <c r="X8047" s="33">
        <f>IFERROR(__xludf.DUMMYFUNCTION("""COMPUTED_VALUE"""),1.0)</f>
        <v>1</v>
      </c>
    </row>
    <row r="8048">
      <c r="K8048" s="4" t="str">
        <f>IFERROR(__xludf.DUMMYFUNCTION("""COMPUTED_VALUE"""),"HAENSCH BAR")</f>
        <v>HAENSCH BAR</v>
      </c>
      <c r="L8048" s="32">
        <f>IFERROR(__xludf.DUMMYFUNCTION("""COMPUTED_VALUE"""),1.0)</f>
        <v>1</v>
      </c>
      <c r="M8048" s="4" t="str">
        <f>IFERROR(__xludf.DUMMYFUNCTION("""COMPUTED_VALUE"""),"Cloudfy")</f>
        <v>Cloudfy</v>
      </c>
      <c r="N8048" s="33">
        <f>IFERROR(__xludf.DUMMYFUNCTION("""COMPUTED_VALUE"""),1.0)</f>
        <v>1</v>
      </c>
      <c r="O8048" s="4" t="str">
        <f>IFERROR(__xludf.DUMMYFUNCTION("""COMPUTED_VALUE"""),"Cloudfy")</f>
        <v>Cloudfy</v>
      </c>
      <c r="P8048" s="33">
        <f>IFERROR(__xludf.DUMMYFUNCTION("""COMPUTED_VALUE"""),1.0)</f>
        <v>1</v>
      </c>
      <c r="Q8048" s="4" t="str">
        <f>IFERROR(__xludf.DUMMYFUNCTION("""COMPUTED_VALUE"""),"Cloudfy")</f>
        <v>Cloudfy</v>
      </c>
      <c r="R8048" s="33">
        <f>IFERROR(__xludf.DUMMYFUNCTION("""COMPUTED_VALUE"""),1.0)</f>
        <v>1</v>
      </c>
      <c r="S8048" s="4" t="str">
        <f>IFERROR(__xludf.DUMMYFUNCTION("""COMPUTED_VALUE"""),"Cloudfy")</f>
        <v>Cloudfy</v>
      </c>
      <c r="T8048" s="33">
        <f>IFERROR(__xludf.DUMMYFUNCTION("""COMPUTED_VALUE"""),1.0)</f>
        <v>1</v>
      </c>
      <c r="U8048" s="4" t="str">
        <f>IFERROR(__xludf.DUMMYFUNCTION("""COMPUTED_VALUE"""),"Cloudfy")</f>
        <v>Cloudfy</v>
      </c>
      <c r="V8048" s="33">
        <f>IFERROR(__xludf.DUMMYFUNCTION("""COMPUTED_VALUE"""),1.0)</f>
        <v>1</v>
      </c>
      <c r="W8048" s="4" t="str">
        <f>IFERROR(__xludf.DUMMYFUNCTION("""COMPUTED_VALUE"""),"Cloudfy")</f>
        <v>Cloudfy</v>
      </c>
      <c r="X8048" s="33">
        <f>IFERROR(__xludf.DUMMYFUNCTION("""COMPUTED_VALUE"""),1.0)</f>
        <v>1</v>
      </c>
    </row>
    <row r="8049">
      <c r="K8049" s="4" t="str">
        <f>IFERROR(__xludf.DUMMYFUNCTION("""COMPUTED_VALUE"""),"VANILLA - ELEITA A MELHOR COMIDA DO RECREIO")</f>
        <v>VANILLA - ELEITA A MELHOR COMIDA DO RECREIO</v>
      </c>
      <c r="L8049" s="32">
        <f>IFERROR(__xludf.DUMMYFUNCTION("""COMPUTED_VALUE"""),1.0)</f>
        <v>1</v>
      </c>
      <c r="M8049" s="4" t="str">
        <f>IFERROR(__xludf.DUMMYFUNCTION("""COMPUTED_VALUE"""),"New Choice Informática")</f>
        <v>New Choice Informática</v>
      </c>
      <c r="N8049" s="33">
        <f>IFERROR(__xludf.DUMMYFUNCTION("""COMPUTED_VALUE"""),1.0)</f>
        <v>1</v>
      </c>
      <c r="O8049" s="4" t="str">
        <f>IFERROR(__xludf.DUMMYFUNCTION("""COMPUTED_VALUE"""),"New Choice Informática")</f>
        <v>New Choice Informática</v>
      </c>
      <c r="P8049" s="33">
        <f>IFERROR(__xludf.DUMMYFUNCTION("""COMPUTED_VALUE"""),1.0)</f>
        <v>1</v>
      </c>
      <c r="Q8049" s="4" t="str">
        <f>IFERROR(__xludf.DUMMYFUNCTION("""COMPUTED_VALUE"""),"New Choice Informática")</f>
        <v>New Choice Informática</v>
      </c>
      <c r="R8049" s="33">
        <f>IFERROR(__xludf.DUMMYFUNCTION("""COMPUTED_VALUE"""),1.0)</f>
        <v>1</v>
      </c>
      <c r="S8049" s="4" t="str">
        <f>IFERROR(__xludf.DUMMYFUNCTION("""COMPUTED_VALUE"""),"New Choice Informática")</f>
        <v>New Choice Informática</v>
      </c>
      <c r="T8049" s="33">
        <f>IFERROR(__xludf.DUMMYFUNCTION("""COMPUTED_VALUE"""),1.0)</f>
        <v>1</v>
      </c>
      <c r="U8049" s="4" t="str">
        <f>IFERROR(__xludf.DUMMYFUNCTION("""COMPUTED_VALUE"""),"New Choice Informática")</f>
        <v>New Choice Informática</v>
      </c>
      <c r="V8049" s="33">
        <f>IFERROR(__xludf.DUMMYFUNCTION("""COMPUTED_VALUE"""),1.0)</f>
        <v>1</v>
      </c>
      <c r="W8049" s="4" t="str">
        <f>IFERROR(__xludf.DUMMYFUNCTION("""COMPUTED_VALUE"""),"New Choice Informática")</f>
        <v>New Choice Informática</v>
      </c>
      <c r="X8049" s="33">
        <f>IFERROR(__xludf.DUMMYFUNCTION("""COMPUTED_VALUE"""),1.0)</f>
        <v>1</v>
      </c>
    </row>
    <row r="8050">
      <c r="K8050" s="4" t="str">
        <f>IFERROR(__xludf.DUMMYFUNCTION("""COMPUTED_VALUE"""),"CALI PIZZAS")</f>
        <v>CALI PIZZAS</v>
      </c>
      <c r="L8050" s="32">
        <f>IFERROR(__xludf.DUMMYFUNCTION("""COMPUTED_VALUE"""),1.0)</f>
        <v>1</v>
      </c>
      <c r="M8050" s="4" t="str">
        <f>IFERROR(__xludf.DUMMYFUNCTION("""COMPUTED_VALUE"""),"Saipos Serviços De Software")</f>
        <v>Saipos Serviços De Software</v>
      </c>
      <c r="N8050" s="33">
        <f>IFERROR(__xludf.DUMMYFUNCTION("""COMPUTED_VALUE"""),1.0)</f>
        <v>1</v>
      </c>
      <c r="O8050" s="4" t="str">
        <f>IFERROR(__xludf.DUMMYFUNCTION("""COMPUTED_VALUE"""),"Saipos Serviços De Software")</f>
        <v>Saipos Serviços De Software</v>
      </c>
      <c r="P8050" s="33">
        <f>IFERROR(__xludf.DUMMYFUNCTION("""COMPUTED_VALUE"""),1.0)</f>
        <v>1</v>
      </c>
      <c r="Q8050" s="4" t="str">
        <f>IFERROR(__xludf.DUMMYFUNCTION("""COMPUTED_VALUE"""),"Saipos Serviços De Software")</f>
        <v>Saipos Serviços De Software</v>
      </c>
      <c r="R8050" s="33">
        <f>IFERROR(__xludf.DUMMYFUNCTION("""COMPUTED_VALUE"""),1.0)</f>
        <v>1</v>
      </c>
      <c r="S8050" s="4" t="str">
        <f>IFERROR(__xludf.DUMMYFUNCTION("""COMPUTED_VALUE"""),"Saipos Serviços De Software")</f>
        <v>Saipos Serviços De Software</v>
      </c>
      <c r="T8050" s="33">
        <f>IFERROR(__xludf.DUMMYFUNCTION("""COMPUTED_VALUE"""),1.0)</f>
        <v>1</v>
      </c>
      <c r="U8050" s="4" t="str">
        <f>IFERROR(__xludf.DUMMYFUNCTION("""COMPUTED_VALUE"""),"Saipos Serviços De Software")</f>
        <v>Saipos Serviços De Software</v>
      </c>
      <c r="V8050" s="33">
        <f>IFERROR(__xludf.DUMMYFUNCTION("""COMPUTED_VALUE"""),1.0)</f>
        <v>1</v>
      </c>
      <c r="W8050" s="4" t="str">
        <f>IFERROR(__xludf.DUMMYFUNCTION("""COMPUTED_VALUE"""),"Saipos Serviços De Software")</f>
        <v>Saipos Serviços De Software</v>
      </c>
      <c r="X8050" s="33">
        <f>IFERROR(__xludf.DUMMYFUNCTION("""COMPUTED_VALUE"""),1.0)</f>
        <v>1</v>
      </c>
    </row>
    <row r="8051">
      <c r="K8051" s="4" t="str">
        <f>IFERROR(__xludf.DUMMYFUNCTION("""COMPUTED_VALUE"""),"RESTAURANTE ESQUINAO DA ONZE")</f>
        <v>RESTAURANTE ESQUINAO DA ONZE</v>
      </c>
      <c r="L8051" s="32">
        <f>IFERROR(__xludf.DUMMYFUNCTION("""COMPUTED_VALUE"""),1.0)</f>
        <v>1</v>
      </c>
      <c r="M8051" s="4" t="str">
        <f>IFERROR(__xludf.DUMMYFUNCTION("""COMPUTED_VALUE"""),"Consumer Soluções Em Tecnologia Ltda")</f>
        <v>Consumer Soluções Em Tecnologia Ltda</v>
      </c>
      <c r="N8051" s="33">
        <f>IFERROR(__xludf.DUMMYFUNCTION("""COMPUTED_VALUE"""),1.0)</f>
        <v>1</v>
      </c>
      <c r="O8051" s="4" t="str">
        <f>IFERROR(__xludf.DUMMYFUNCTION("""COMPUTED_VALUE"""),"Consumer Soluções Em Tecnologia Ltda")</f>
        <v>Consumer Soluções Em Tecnologia Ltda</v>
      </c>
      <c r="P8051" s="33">
        <f>IFERROR(__xludf.DUMMYFUNCTION("""COMPUTED_VALUE"""),1.0)</f>
        <v>1</v>
      </c>
      <c r="Q8051" s="4" t="str">
        <f>IFERROR(__xludf.DUMMYFUNCTION("""COMPUTED_VALUE"""),"Consumer Soluções Em Tecnologia Ltda")</f>
        <v>Consumer Soluções Em Tecnologia Ltda</v>
      </c>
      <c r="R8051" s="33">
        <f>IFERROR(__xludf.DUMMYFUNCTION("""COMPUTED_VALUE"""),1.0)</f>
        <v>1</v>
      </c>
      <c r="S8051" s="4" t="str">
        <f>IFERROR(__xludf.DUMMYFUNCTION("""COMPUTED_VALUE"""),"Consumer Soluções Em Tecnologia Ltda")</f>
        <v>Consumer Soluções Em Tecnologia Ltda</v>
      </c>
      <c r="T8051" s="33">
        <f>IFERROR(__xludf.DUMMYFUNCTION("""COMPUTED_VALUE"""),1.0)</f>
        <v>1</v>
      </c>
      <c r="U8051" s="4" t="str">
        <f>IFERROR(__xludf.DUMMYFUNCTION("""COMPUTED_VALUE"""),"null")</f>
        <v>null</v>
      </c>
      <c r="V8051" s="33">
        <f>IFERROR(__xludf.DUMMYFUNCTION("""COMPUTED_VALUE"""),1.0)</f>
        <v>1</v>
      </c>
      <c r="W8051" s="4" t="str">
        <f>IFERROR(__xludf.DUMMYFUNCTION("""COMPUTED_VALUE"""),"Consumer Soluções Em Tecnologia Ltda")</f>
        <v>Consumer Soluções Em Tecnologia Ltda</v>
      </c>
      <c r="X8051" s="33">
        <f>IFERROR(__xludf.DUMMYFUNCTION("""COMPUTED_VALUE"""),1.0)</f>
        <v>1</v>
      </c>
    </row>
    <row r="8052">
      <c r="K8052" s="4" t="str">
        <f>IFERROR(__xludf.DUMMYFUNCTION("""COMPUTED_VALUE"""),"DHAIGO - ITAIM BIBI")</f>
        <v>DHAIGO - ITAIM BIBI</v>
      </c>
      <c r="L8052" s="32">
        <f>IFERROR(__xludf.DUMMYFUNCTION("""COMPUTED_VALUE"""),1.0)</f>
        <v>1</v>
      </c>
      <c r="M8052" s="4" t="str">
        <f>IFERROR(__xludf.DUMMYFUNCTION("""COMPUTED_VALUE"""),"Cloudfy")</f>
        <v>Cloudfy</v>
      </c>
      <c r="N8052" s="33">
        <f>IFERROR(__xludf.DUMMYFUNCTION("""COMPUTED_VALUE"""),1.0)</f>
        <v>1</v>
      </c>
      <c r="O8052" s="4" t="str">
        <f>IFERROR(__xludf.DUMMYFUNCTION("""COMPUTED_VALUE"""),"Cloudfy")</f>
        <v>Cloudfy</v>
      </c>
      <c r="P8052" s="33">
        <f>IFERROR(__xludf.DUMMYFUNCTION("""COMPUTED_VALUE"""),1.0)</f>
        <v>1</v>
      </c>
      <c r="Q8052" s="4" t="str">
        <f>IFERROR(__xludf.DUMMYFUNCTION("""COMPUTED_VALUE"""),"Cloudfy")</f>
        <v>Cloudfy</v>
      </c>
      <c r="R8052" s="33">
        <f>IFERROR(__xludf.DUMMYFUNCTION("""COMPUTED_VALUE"""),1.0)</f>
        <v>1</v>
      </c>
      <c r="S8052" s="4" t="str">
        <f>IFERROR(__xludf.DUMMYFUNCTION("""COMPUTED_VALUE"""),"Cloudfy")</f>
        <v>Cloudfy</v>
      </c>
      <c r="T8052" s="33">
        <f>IFERROR(__xludf.DUMMYFUNCTION("""COMPUTED_VALUE"""),1.0)</f>
        <v>1</v>
      </c>
      <c r="U8052" s="4" t="str">
        <f>IFERROR(__xludf.DUMMYFUNCTION("""COMPUTED_VALUE"""),"Cloudfy")</f>
        <v>Cloudfy</v>
      </c>
      <c r="V8052" s="33">
        <f>IFERROR(__xludf.DUMMYFUNCTION("""COMPUTED_VALUE"""),1.0)</f>
        <v>1</v>
      </c>
      <c r="W8052" s="4" t="str">
        <f>IFERROR(__xludf.DUMMYFUNCTION("""COMPUTED_VALUE"""),"Cloudfy")</f>
        <v>Cloudfy</v>
      </c>
      <c r="X8052" s="33">
        <f>IFERROR(__xludf.DUMMYFUNCTION("""COMPUTED_VALUE"""),1.0)</f>
        <v>1</v>
      </c>
    </row>
    <row r="8053">
      <c r="K8053" s="4" t="str">
        <f>IFERROR(__xludf.DUMMYFUNCTION("""COMPUTED_VALUE"""),"TOMACAI E LANCHE")</f>
        <v>TOMACAI E LANCHE</v>
      </c>
      <c r="L8053" s="32">
        <f>IFERROR(__xludf.DUMMYFUNCTION("""COMPUTED_VALUE"""),1.0)</f>
        <v>1</v>
      </c>
      <c r="M8053" s="4" t="str">
        <f>IFERROR(__xludf.DUMMYFUNCTION("""COMPUTED_VALUE"""),"Yooga")</f>
        <v>Yooga</v>
      </c>
      <c r="N8053" s="33">
        <f>IFERROR(__xludf.DUMMYFUNCTION("""COMPUTED_VALUE"""),1.0)</f>
        <v>1</v>
      </c>
      <c r="O8053" s="4" t="str">
        <f>IFERROR(__xludf.DUMMYFUNCTION("""COMPUTED_VALUE"""),"Yooga")</f>
        <v>Yooga</v>
      </c>
      <c r="P8053" s="33">
        <f>IFERROR(__xludf.DUMMYFUNCTION("""COMPUTED_VALUE"""),1.0)</f>
        <v>1</v>
      </c>
      <c r="Q8053" s="4" t="str">
        <f>IFERROR(__xludf.DUMMYFUNCTION("""COMPUTED_VALUE"""),"Yooga")</f>
        <v>Yooga</v>
      </c>
      <c r="R8053" s="33">
        <f>IFERROR(__xludf.DUMMYFUNCTION("""COMPUTED_VALUE"""),1.0)</f>
        <v>1</v>
      </c>
      <c r="S8053" s="4" t="str">
        <f>IFERROR(__xludf.DUMMYFUNCTION("""COMPUTED_VALUE"""),"Yooga")</f>
        <v>Yooga</v>
      </c>
      <c r="T8053" s="33">
        <f>IFERROR(__xludf.DUMMYFUNCTION("""COMPUTED_VALUE"""),1.0)</f>
        <v>1</v>
      </c>
      <c r="U8053" s="4" t="str">
        <f>IFERROR(__xludf.DUMMYFUNCTION("""COMPUTED_VALUE"""),"Yooga")</f>
        <v>Yooga</v>
      </c>
      <c r="V8053" s="33">
        <f>IFERROR(__xludf.DUMMYFUNCTION("""COMPUTED_VALUE"""),1.0)</f>
        <v>1</v>
      </c>
      <c r="W8053" s="4" t="str">
        <f>IFERROR(__xludf.DUMMYFUNCTION("""COMPUTED_VALUE"""),"Yooga")</f>
        <v>Yooga</v>
      </c>
      <c r="X8053" s="33">
        <f>IFERROR(__xludf.DUMMYFUNCTION("""COMPUTED_VALUE"""),1.0)</f>
        <v>1</v>
      </c>
    </row>
    <row r="8054">
      <c r="K8054" s="4" t="str">
        <f>IFERROR(__xludf.DUMMYFUNCTION("""COMPUTED_VALUE"""),"OKKA SUSHI")</f>
        <v>OKKA SUSHI</v>
      </c>
      <c r="L8054" s="32">
        <f>IFERROR(__xludf.DUMMYFUNCTION("""COMPUTED_VALUE"""),1.0)</f>
        <v>1</v>
      </c>
      <c r="M8054" s="4" t="str">
        <f>IFERROR(__xludf.DUMMYFUNCTION("""COMPUTED_VALUE"""),"Consumer Soluções Em Tecnologia Ltda")</f>
        <v>Consumer Soluções Em Tecnologia Ltda</v>
      </c>
      <c r="N8054" s="33">
        <f>IFERROR(__xludf.DUMMYFUNCTION("""COMPUTED_VALUE"""),1.0)</f>
        <v>1</v>
      </c>
      <c r="O8054" s="4" t="str">
        <f>IFERROR(__xludf.DUMMYFUNCTION("""COMPUTED_VALUE"""),"Consumer Soluções Em Tecnologia Ltda")</f>
        <v>Consumer Soluções Em Tecnologia Ltda</v>
      </c>
      <c r="P8054" s="33">
        <f>IFERROR(__xludf.DUMMYFUNCTION("""COMPUTED_VALUE"""),1.0)</f>
        <v>1</v>
      </c>
      <c r="Q8054" s="4" t="str">
        <f>IFERROR(__xludf.DUMMYFUNCTION("""COMPUTED_VALUE"""),"Consumer Soluções Em Tecnologia Ltda")</f>
        <v>Consumer Soluções Em Tecnologia Ltda</v>
      </c>
      <c r="R8054" s="33">
        <f>IFERROR(__xludf.DUMMYFUNCTION("""COMPUTED_VALUE"""),1.0)</f>
        <v>1</v>
      </c>
      <c r="S8054" s="4" t="str">
        <f>IFERROR(__xludf.DUMMYFUNCTION("""COMPUTED_VALUE"""),"Consumer Soluções Em Tecnologia Ltda")</f>
        <v>Consumer Soluções Em Tecnologia Ltda</v>
      </c>
      <c r="T8054" s="33">
        <f>IFERROR(__xludf.DUMMYFUNCTION("""COMPUTED_VALUE"""),1.0)</f>
        <v>1</v>
      </c>
      <c r="U8054" s="4" t="str">
        <f>IFERROR(__xludf.DUMMYFUNCTION("""COMPUTED_VALUE"""),"null")</f>
        <v>null</v>
      </c>
      <c r="V8054" s="33">
        <f>IFERROR(__xludf.DUMMYFUNCTION("""COMPUTED_VALUE"""),1.0)</f>
        <v>1</v>
      </c>
      <c r="W8054" s="4" t="str">
        <f>IFERROR(__xludf.DUMMYFUNCTION("""COMPUTED_VALUE"""),"Consumer Soluções Em Tecnologia Ltda")</f>
        <v>Consumer Soluções Em Tecnologia Ltda</v>
      </c>
      <c r="X8054" s="33">
        <f>IFERROR(__xludf.DUMMYFUNCTION("""COMPUTED_VALUE"""),1.0)</f>
        <v>1</v>
      </c>
    </row>
    <row r="8055">
      <c r="K8055" s="4" t="str">
        <f>IFERROR(__xludf.DUMMYFUNCTION("""COMPUTED_VALUE"""),"MOA GASTRONOMIA SUSHI")</f>
        <v>MOA GASTRONOMIA SUSHI</v>
      </c>
      <c r="L8055" s="32">
        <f>IFERROR(__xludf.DUMMYFUNCTION("""COMPUTED_VALUE"""),1.0)</f>
        <v>1</v>
      </c>
      <c r="M8055" s="4" t="str">
        <f>IFERROR(__xludf.DUMMYFUNCTION("""COMPUTED_VALUE"""),"Kcms")</f>
        <v>Kcms</v>
      </c>
      <c r="N8055" s="33">
        <f>IFERROR(__xludf.DUMMYFUNCTION("""COMPUTED_VALUE"""),1.0)</f>
        <v>1</v>
      </c>
      <c r="O8055" s="4" t="str">
        <f>IFERROR(__xludf.DUMMYFUNCTION("""COMPUTED_VALUE"""),"Kcms")</f>
        <v>Kcms</v>
      </c>
      <c r="P8055" s="33">
        <f>IFERROR(__xludf.DUMMYFUNCTION("""COMPUTED_VALUE"""),1.0)</f>
        <v>1</v>
      </c>
      <c r="Q8055" s="4" t="str">
        <f>IFERROR(__xludf.DUMMYFUNCTION("""COMPUTED_VALUE"""),"Kcms")</f>
        <v>Kcms</v>
      </c>
      <c r="R8055" s="33">
        <f>IFERROR(__xludf.DUMMYFUNCTION("""COMPUTED_VALUE"""),1.0)</f>
        <v>1</v>
      </c>
      <c r="S8055" s="4" t="str">
        <f>IFERROR(__xludf.DUMMYFUNCTION("""COMPUTED_VALUE"""),"Kcms")</f>
        <v>Kcms</v>
      </c>
      <c r="T8055" s="33">
        <f>IFERROR(__xludf.DUMMYFUNCTION("""COMPUTED_VALUE"""),1.0)</f>
        <v>1</v>
      </c>
      <c r="U8055" s="4" t="str">
        <f>IFERROR(__xludf.DUMMYFUNCTION("""COMPUTED_VALUE"""),"Kcms")</f>
        <v>Kcms</v>
      </c>
      <c r="V8055" s="33">
        <f>IFERROR(__xludf.DUMMYFUNCTION("""COMPUTED_VALUE"""),1.0)</f>
        <v>1</v>
      </c>
      <c r="W8055" s="4" t="str">
        <f>IFERROR(__xludf.DUMMYFUNCTION("""COMPUTED_VALUE"""),"Kcms")</f>
        <v>Kcms</v>
      </c>
      <c r="X8055" s="33">
        <f>IFERROR(__xludf.DUMMYFUNCTION("""COMPUTED_VALUE"""),1.0)</f>
        <v>1</v>
      </c>
    </row>
    <row r="8056">
      <c r="K8056" s="4" t="str">
        <f>IFERROR(__xludf.DUMMYFUNCTION("""COMPUTED_VALUE"""),"BURGER DA PRACA")</f>
        <v>BURGER DA PRACA</v>
      </c>
      <c r="L8056" s="32">
        <f>IFERROR(__xludf.DUMMYFUNCTION("""COMPUTED_VALUE"""),1.0)</f>
        <v>1</v>
      </c>
      <c r="M8056" s="4" t="str">
        <f>IFERROR(__xludf.DUMMYFUNCTION("""COMPUTED_VALUE"""),"Saipos Serviços De Software")</f>
        <v>Saipos Serviços De Software</v>
      </c>
      <c r="N8056" s="33">
        <f>IFERROR(__xludf.DUMMYFUNCTION("""COMPUTED_VALUE"""),1.0)</f>
        <v>1</v>
      </c>
      <c r="O8056" s="4" t="str">
        <f>IFERROR(__xludf.DUMMYFUNCTION("""COMPUTED_VALUE"""),"Saipos Serviços De Software")</f>
        <v>Saipos Serviços De Software</v>
      </c>
      <c r="P8056" s="33">
        <f>IFERROR(__xludf.DUMMYFUNCTION("""COMPUTED_VALUE"""),1.0)</f>
        <v>1</v>
      </c>
      <c r="Q8056" s="4" t="str">
        <f>IFERROR(__xludf.DUMMYFUNCTION("""COMPUTED_VALUE"""),"Saipos Serviços De Software")</f>
        <v>Saipos Serviços De Software</v>
      </c>
      <c r="R8056" s="33">
        <f>IFERROR(__xludf.DUMMYFUNCTION("""COMPUTED_VALUE"""),1.0)</f>
        <v>1</v>
      </c>
      <c r="S8056" s="4" t="str">
        <f>IFERROR(__xludf.DUMMYFUNCTION("""COMPUTED_VALUE"""),"Saipos Serviços De Software")</f>
        <v>Saipos Serviços De Software</v>
      </c>
      <c r="T8056" s="33">
        <f>IFERROR(__xludf.DUMMYFUNCTION("""COMPUTED_VALUE"""),1.0)</f>
        <v>1</v>
      </c>
      <c r="U8056" s="4" t="str">
        <f>IFERROR(__xludf.DUMMYFUNCTION("""COMPUTED_VALUE"""),"Saipos Serviços De Software")</f>
        <v>Saipos Serviços De Software</v>
      </c>
      <c r="V8056" s="33">
        <f>IFERROR(__xludf.DUMMYFUNCTION("""COMPUTED_VALUE"""),1.0)</f>
        <v>1</v>
      </c>
      <c r="W8056" s="4" t="str">
        <f>IFERROR(__xludf.DUMMYFUNCTION("""COMPUTED_VALUE"""),"Saipos Serviços De Software")</f>
        <v>Saipos Serviços De Software</v>
      </c>
      <c r="X8056" s="33">
        <f>IFERROR(__xludf.DUMMYFUNCTION("""COMPUTED_VALUE"""),1.0)</f>
        <v>1</v>
      </c>
    </row>
    <row r="8057">
      <c r="K8057" s="4" t="str">
        <f>IFERROR(__xludf.DUMMYFUNCTION("""COMPUTED_VALUE"""),"BLS BURGUER - HAMBURGUER ARTESANAL")</f>
        <v>BLS BURGUER - HAMBURGUER ARTESANAL</v>
      </c>
      <c r="L8057" s="32">
        <f>IFERROR(__xludf.DUMMYFUNCTION("""COMPUTED_VALUE"""),1.0)</f>
        <v>1</v>
      </c>
      <c r="M8057" s="4" t="str">
        <f>IFERROR(__xludf.DUMMYFUNCTION("""COMPUTED_VALUE"""),"Instadelivery")</f>
        <v>Instadelivery</v>
      </c>
      <c r="N8057" s="33">
        <f>IFERROR(__xludf.DUMMYFUNCTION("""COMPUTED_VALUE"""),1.0)</f>
        <v>1</v>
      </c>
      <c r="O8057" s="4" t="str">
        <f>IFERROR(__xludf.DUMMYFUNCTION("""COMPUTED_VALUE"""),"Instadelivery")</f>
        <v>Instadelivery</v>
      </c>
      <c r="P8057" s="33">
        <f>IFERROR(__xludf.DUMMYFUNCTION("""COMPUTED_VALUE"""),1.0)</f>
        <v>1</v>
      </c>
      <c r="Q8057" s="4" t="str">
        <f>IFERROR(__xludf.DUMMYFUNCTION("""COMPUTED_VALUE"""),"null")</f>
        <v>null</v>
      </c>
      <c r="R8057" s="33">
        <f>IFERROR(__xludf.DUMMYFUNCTION("""COMPUTED_VALUE"""),1.0)</f>
        <v>1</v>
      </c>
      <c r="S8057" s="4" t="str">
        <f>IFERROR(__xludf.DUMMYFUNCTION("""COMPUTED_VALUE"""),"null")</f>
        <v>null</v>
      </c>
      <c r="T8057" s="33">
        <f>IFERROR(__xludf.DUMMYFUNCTION("""COMPUTED_VALUE"""),1.0)</f>
        <v>1</v>
      </c>
      <c r="U8057" s="4" t="str">
        <f>IFERROR(__xludf.DUMMYFUNCTION("""COMPUTED_VALUE"""),"null")</f>
        <v>null</v>
      </c>
      <c r="V8057" s="33">
        <f>IFERROR(__xludf.DUMMYFUNCTION("""COMPUTED_VALUE"""),1.0)</f>
        <v>1</v>
      </c>
      <c r="W8057" s="4" t="str">
        <f>IFERROR(__xludf.DUMMYFUNCTION("""COMPUTED_VALUE"""),"null")</f>
        <v>null</v>
      </c>
      <c r="X8057" s="33">
        <f>IFERROR(__xludf.DUMMYFUNCTION("""COMPUTED_VALUE"""),1.0)</f>
        <v>1</v>
      </c>
    </row>
    <row r="8058">
      <c r="K8058" s="4" t="str">
        <f>IFERROR(__xludf.DUMMYFUNCTION("""COMPUTED_VALUE"""),"TOCA DOS ASSADOS QUALIDADE OBA LANCHES")</f>
        <v>TOCA DOS ASSADOS QUALIDADE OBA LANCHES</v>
      </c>
      <c r="L8058" s="32">
        <f>IFERROR(__xludf.DUMMYFUNCTION("""COMPUTED_VALUE"""),1.0)</f>
        <v>1</v>
      </c>
      <c r="M8058" s="4" t="str">
        <f>IFERROR(__xludf.DUMMYFUNCTION("""COMPUTED_VALUE"""),"null")</f>
        <v>null</v>
      </c>
      <c r="N8058" s="33">
        <f>IFERROR(__xludf.DUMMYFUNCTION("""COMPUTED_VALUE"""),1.0)</f>
        <v>1</v>
      </c>
      <c r="O8058" s="4" t="str">
        <f>IFERROR(__xludf.DUMMYFUNCTION("""COMPUTED_VALUE"""),"Anota Ai Solucoes Digitais S/a")</f>
        <v>Anota Ai Solucoes Digitais S/a</v>
      </c>
      <c r="P8058" s="33">
        <f>IFERROR(__xludf.DUMMYFUNCTION("""COMPUTED_VALUE"""),1.0)</f>
        <v>1</v>
      </c>
      <c r="Q8058" s="4" t="str">
        <f>IFERROR(__xludf.DUMMYFUNCTION("""COMPUTED_VALUE"""),"null")</f>
        <v>null</v>
      </c>
      <c r="R8058" s="33">
        <f>IFERROR(__xludf.DUMMYFUNCTION("""COMPUTED_VALUE"""),1.0)</f>
        <v>1</v>
      </c>
      <c r="S8058" s="4" t="str">
        <f>IFERROR(__xludf.DUMMYFUNCTION("""COMPUTED_VALUE"""),"New Analysis Notificacoes Empresariais Ltda")</f>
        <v>New Analysis Notificacoes Empresariais Ltda</v>
      </c>
      <c r="T8058" s="33">
        <f>IFERROR(__xludf.DUMMYFUNCTION("""COMPUTED_VALUE"""),1.0)</f>
        <v>1</v>
      </c>
      <c r="U8058" s="4" t="str">
        <f>IFERROR(__xludf.DUMMYFUNCTION("""COMPUTED_VALUE"""),"New Analysis Notificacoes Empresariais Ltda")</f>
        <v>New Analysis Notificacoes Empresariais Ltda</v>
      </c>
      <c r="V8058" s="33">
        <f>IFERROR(__xludf.DUMMYFUNCTION("""COMPUTED_VALUE"""),1.0)</f>
        <v>1</v>
      </c>
      <c r="W8058" s="4" t="str">
        <f>IFERROR(__xludf.DUMMYFUNCTION("""COMPUTED_VALUE"""),"New Analysis Notificacoes Empresariais Ltda")</f>
        <v>New Analysis Notificacoes Empresariais Ltda</v>
      </c>
      <c r="X8058" s="33">
        <f>IFERROR(__xludf.DUMMYFUNCTION("""COMPUTED_VALUE"""),1.0)</f>
        <v>1</v>
      </c>
    </row>
    <row r="8059">
      <c r="K8059" s="4" t="str">
        <f>IFERROR(__xludf.DUMMYFUNCTION("""COMPUTED_VALUE"""),"CHICO PIZZAS")</f>
        <v>CHICO PIZZAS</v>
      </c>
      <c r="L8059" s="32">
        <f>IFERROR(__xludf.DUMMYFUNCTION("""COMPUTED_VALUE"""),1.0)</f>
        <v>1</v>
      </c>
      <c r="M8059" s="4" t="str">
        <f>IFERROR(__xludf.DUMMYFUNCTION("""COMPUTED_VALUE"""),"Anota Ai Solucoes Digitais S/a")</f>
        <v>Anota Ai Solucoes Digitais S/a</v>
      </c>
      <c r="N8059" s="33">
        <f>IFERROR(__xludf.DUMMYFUNCTION("""COMPUTED_VALUE"""),1.0)</f>
        <v>1</v>
      </c>
      <c r="O8059" s="4" t="str">
        <f>IFERROR(__xludf.DUMMYFUNCTION("""COMPUTED_VALUE"""),"Anota Ai Solucoes Digitais S/a")</f>
        <v>Anota Ai Solucoes Digitais S/a</v>
      </c>
      <c r="P8059" s="33">
        <f>IFERROR(__xludf.DUMMYFUNCTION("""COMPUTED_VALUE"""),1.0)</f>
        <v>1</v>
      </c>
      <c r="Q8059" s="4" t="str">
        <f>IFERROR(__xludf.DUMMYFUNCTION("""COMPUTED_VALUE"""),"Anota Ai Solucoes Digitais S/a")</f>
        <v>Anota Ai Solucoes Digitais S/a</v>
      </c>
      <c r="R8059" s="33">
        <f>IFERROR(__xludf.DUMMYFUNCTION("""COMPUTED_VALUE"""),1.0)</f>
        <v>1</v>
      </c>
      <c r="S8059" s="4" t="str">
        <f>IFERROR(__xludf.DUMMYFUNCTION("""COMPUTED_VALUE"""),"Anota Ai Solucoes Digitais S/a")</f>
        <v>Anota Ai Solucoes Digitais S/a</v>
      </c>
      <c r="T8059" s="33">
        <f>IFERROR(__xludf.DUMMYFUNCTION("""COMPUTED_VALUE"""),1.0)</f>
        <v>1</v>
      </c>
      <c r="U8059" s="4" t="str">
        <f>IFERROR(__xludf.DUMMYFUNCTION("""COMPUTED_VALUE"""),"Anota Ai Solucoes Digitais S/a")</f>
        <v>Anota Ai Solucoes Digitais S/a</v>
      </c>
      <c r="V8059" s="33">
        <f>IFERROR(__xludf.DUMMYFUNCTION("""COMPUTED_VALUE"""),1.0)</f>
        <v>1</v>
      </c>
      <c r="W8059" s="4" t="str">
        <f>IFERROR(__xludf.DUMMYFUNCTION("""COMPUTED_VALUE"""),"Anota Ai Solucoes Digitais S/a")</f>
        <v>Anota Ai Solucoes Digitais S/a</v>
      </c>
      <c r="X8059" s="33">
        <f>IFERROR(__xludf.DUMMYFUNCTION("""COMPUTED_VALUE"""),1.0)</f>
        <v>1</v>
      </c>
    </row>
    <row r="8060">
      <c r="K8060" s="4" t="str">
        <f>IFERROR(__xludf.DUMMYFUNCTION("""COMPUTED_VALUE"""),"BRAVO ACAI BOWLS VILA MARIANA")</f>
        <v>BRAVO ACAI BOWLS VILA MARIANA</v>
      </c>
      <c r="L8060" s="32">
        <f>IFERROR(__xludf.DUMMYFUNCTION("""COMPUTED_VALUE"""),1.0)</f>
        <v>1</v>
      </c>
      <c r="M8060" s="4" t="str">
        <f>IFERROR(__xludf.DUMMYFUNCTION("""COMPUTED_VALUE"""),"Hubster")</f>
        <v>Hubster</v>
      </c>
      <c r="N8060" s="33">
        <f>IFERROR(__xludf.DUMMYFUNCTION("""COMPUTED_VALUE"""),1.0)</f>
        <v>1</v>
      </c>
      <c r="O8060" s="4" t="str">
        <f>IFERROR(__xludf.DUMMYFUNCTION("""COMPUTED_VALUE"""),"Hubster")</f>
        <v>Hubster</v>
      </c>
      <c r="P8060" s="33">
        <f>IFERROR(__xludf.DUMMYFUNCTION("""COMPUTED_VALUE"""),1.0)</f>
        <v>1</v>
      </c>
      <c r="Q8060" s="4" t="str">
        <f>IFERROR(__xludf.DUMMYFUNCTION("""COMPUTED_VALUE"""),"Hubster")</f>
        <v>Hubster</v>
      </c>
      <c r="R8060" s="33">
        <f>IFERROR(__xludf.DUMMYFUNCTION("""COMPUTED_VALUE"""),1.0)</f>
        <v>1</v>
      </c>
      <c r="S8060" s="4" t="str">
        <f>IFERROR(__xludf.DUMMYFUNCTION("""COMPUTED_VALUE"""),"Hubster")</f>
        <v>Hubster</v>
      </c>
      <c r="T8060" s="33">
        <f>IFERROR(__xludf.DUMMYFUNCTION("""COMPUTED_VALUE"""),1.0)</f>
        <v>1</v>
      </c>
      <c r="U8060" s="4" t="str">
        <f>IFERROR(__xludf.DUMMYFUNCTION("""COMPUTED_VALUE"""),"Hubster")</f>
        <v>Hubster</v>
      </c>
      <c r="V8060" s="33">
        <f>IFERROR(__xludf.DUMMYFUNCTION("""COMPUTED_VALUE"""),1.0)</f>
        <v>1</v>
      </c>
      <c r="W8060" s="4" t="str">
        <f>IFERROR(__xludf.DUMMYFUNCTION("""COMPUTED_VALUE"""),"Hubster")</f>
        <v>Hubster</v>
      </c>
      <c r="X8060" s="33">
        <f>IFERROR(__xludf.DUMMYFUNCTION("""COMPUTED_VALUE"""),1.0)</f>
        <v>1</v>
      </c>
    </row>
    <row r="8061">
      <c r="K8061" s="4" t="str">
        <f>IFERROR(__xludf.DUMMYFUNCTION("""COMPUTED_VALUE"""),"CASA DOURADOS")</f>
        <v>CASA DOURADOS</v>
      </c>
      <c r="L8061" s="32">
        <f>IFERROR(__xludf.DUMMYFUNCTION("""COMPUTED_VALUE"""),1.0)</f>
        <v>1</v>
      </c>
      <c r="M8061" s="4" t="str">
        <f>IFERROR(__xludf.DUMMYFUNCTION("""COMPUTED_VALUE"""),"N/A (Not found)")</f>
        <v>N/A (Not found)</v>
      </c>
      <c r="N8061" s="33">
        <f>IFERROR(__xludf.DUMMYFUNCTION("""COMPUTED_VALUE"""),1.0)</f>
        <v>1</v>
      </c>
      <c r="O8061" s="4" t="str">
        <f>IFERROR(__xludf.DUMMYFUNCTION("""COMPUTED_VALUE"""),"N/A (Not found)")</f>
        <v>N/A (Not found)</v>
      </c>
      <c r="P8061" s="33">
        <f>IFERROR(__xludf.DUMMYFUNCTION("""COMPUTED_VALUE"""),1.0)</f>
        <v>1</v>
      </c>
      <c r="Q8061" s="4" t="str">
        <f>IFERROR(__xludf.DUMMYFUNCTION("""COMPUTED_VALUE"""),"N/A (Not found)")</f>
        <v>N/A (Not found)</v>
      </c>
      <c r="R8061" s="33">
        <f>IFERROR(__xludf.DUMMYFUNCTION("""COMPUTED_VALUE"""),1.0)</f>
        <v>1</v>
      </c>
      <c r="S8061" s="4" t="str">
        <f>IFERROR(__xludf.DUMMYFUNCTION("""COMPUTED_VALUE"""),"N/A (Not found)")</f>
        <v>N/A (Not found)</v>
      </c>
      <c r="T8061" s="33">
        <f>IFERROR(__xludf.DUMMYFUNCTION("""COMPUTED_VALUE"""),1.0)</f>
        <v>1</v>
      </c>
      <c r="U8061" s="4" t="str">
        <f>IFERROR(__xludf.DUMMYFUNCTION("""COMPUTED_VALUE"""),"N/A (Not found)")</f>
        <v>N/A (Not found)</v>
      </c>
      <c r="V8061" s="33">
        <f>IFERROR(__xludf.DUMMYFUNCTION("""COMPUTED_VALUE"""),1.0)</f>
        <v>1</v>
      </c>
      <c r="W8061" s="4" t="str">
        <f>IFERROR(__xludf.DUMMYFUNCTION("""COMPUTED_VALUE"""),"N/A (Not found)")</f>
        <v>N/A (Not found)</v>
      </c>
      <c r="X8061" s="33">
        <f>IFERROR(__xludf.DUMMYFUNCTION("""COMPUTED_VALUE"""),1.0)</f>
        <v>1</v>
      </c>
    </row>
    <row r="8062">
      <c r="K8062" s="4" t="str">
        <f>IFERROR(__xludf.DUMMYFUNCTION("""COMPUTED_VALUE"""),"VATAPA DA JANA")</f>
        <v>VATAPA DA JANA</v>
      </c>
      <c r="L8062" s="32">
        <f>IFERROR(__xludf.DUMMYFUNCTION("""COMPUTED_VALUE"""),1.0)</f>
        <v>1</v>
      </c>
      <c r="M8062" s="4" t="str">
        <f>IFERROR(__xludf.DUMMYFUNCTION("""COMPUTED_VALUE"""),"Consumer Soluções Em Tecnologia Ltda")</f>
        <v>Consumer Soluções Em Tecnologia Ltda</v>
      </c>
      <c r="N8062" s="33">
        <f>IFERROR(__xludf.DUMMYFUNCTION("""COMPUTED_VALUE"""),1.0)</f>
        <v>1</v>
      </c>
      <c r="O8062" s="4" t="str">
        <f>IFERROR(__xludf.DUMMYFUNCTION("""COMPUTED_VALUE"""),"Consumer Soluções Em Tecnologia Ltda")</f>
        <v>Consumer Soluções Em Tecnologia Ltda</v>
      </c>
      <c r="P8062" s="33">
        <f>IFERROR(__xludf.DUMMYFUNCTION("""COMPUTED_VALUE"""),1.0)</f>
        <v>1</v>
      </c>
      <c r="Q8062" s="4" t="str">
        <f>IFERROR(__xludf.DUMMYFUNCTION("""COMPUTED_VALUE"""),"Consumer Soluções Em Tecnologia Ltda")</f>
        <v>Consumer Soluções Em Tecnologia Ltda</v>
      </c>
      <c r="R8062" s="33">
        <f>IFERROR(__xludf.DUMMYFUNCTION("""COMPUTED_VALUE"""),1.0)</f>
        <v>1</v>
      </c>
      <c r="S8062" s="4" t="str">
        <f>IFERROR(__xludf.DUMMYFUNCTION("""COMPUTED_VALUE"""),"Consumer Soluções Em Tecnologia Ltda")</f>
        <v>Consumer Soluções Em Tecnologia Ltda</v>
      </c>
      <c r="T8062" s="33">
        <f>IFERROR(__xludf.DUMMYFUNCTION("""COMPUTED_VALUE"""),1.0)</f>
        <v>1</v>
      </c>
      <c r="U8062" s="4" t="str">
        <f>IFERROR(__xludf.DUMMYFUNCTION("""COMPUTED_VALUE"""),"Consumer Soluções Em Tecnologia Ltda")</f>
        <v>Consumer Soluções Em Tecnologia Ltda</v>
      </c>
      <c r="V8062" s="33">
        <f>IFERROR(__xludf.DUMMYFUNCTION("""COMPUTED_VALUE"""),1.0)</f>
        <v>1</v>
      </c>
      <c r="W8062" s="4" t="str">
        <f>IFERROR(__xludf.DUMMYFUNCTION("""COMPUTED_VALUE"""),"Consumer Soluções Em Tecnologia Ltda")</f>
        <v>Consumer Soluções Em Tecnologia Ltda</v>
      </c>
      <c r="X8062" s="33">
        <f>IFERROR(__xludf.DUMMYFUNCTION("""COMPUTED_VALUE"""),1.0)</f>
        <v>1</v>
      </c>
    </row>
    <row r="8063">
      <c r="K8063" s="4" t="str">
        <f>IFERROR(__xludf.DUMMYFUNCTION("""COMPUTED_VALUE"""),"BABY RANGO - HAMBURGUERIA")</f>
        <v>BABY RANGO - HAMBURGUERIA</v>
      </c>
      <c r="L8063" s="32">
        <f>IFERROR(__xludf.DUMMYFUNCTION("""COMPUTED_VALUE"""),1.0)</f>
        <v>1</v>
      </c>
      <c r="M8063" s="4" t="str">
        <f>IFERROR(__xludf.DUMMYFUNCTION("""COMPUTED_VALUE"""),"Beefood - Sistema Para Restaurantes")</f>
        <v>Beefood - Sistema Para Restaurantes</v>
      </c>
      <c r="N8063" s="33">
        <f>IFERROR(__xludf.DUMMYFUNCTION("""COMPUTED_VALUE"""),1.0)</f>
        <v>1</v>
      </c>
      <c r="O8063" s="4" t="str">
        <f>IFERROR(__xludf.DUMMYFUNCTION("""COMPUTED_VALUE"""),"null")</f>
        <v>null</v>
      </c>
      <c r="P8063" s="33">
        <f>IFERROR(__xludf.DUMMYFUNCTION("""COMPUTED_VALUE"""),1.0)</f>
        <v>1</v>
      </c>
      <c r="Q8063" s="4" t="str">
        <f>IFERROR(__xludf.DUMMYFUNCTION("""COMPUTED_VALUE"""),"null")</f>
        <v>null</v>
      </c>
      <c r="R8063" s="33">
        <f>IFERROR(__xludf.DUMMYFUNCTION("""COMPUTED_VALUE"""),1.0)</f>
        <v>1</v>
      </c>
      <c r="S8063" s="4" t="str">
        <f>IFERROR(__xludf.DUMMYFUNCTION("""COMPUTED_VALUE"""),"null")</f>
        <v>null</v>
      </c>
      <c r="T8063" s="33">
        <f>IFERROR(__xludf.DUMMYFUNCTION("""COMPUTED_VALUE"""),1.0)</f>
        <v>1</v>
      </c>
      <c r="U8063" s="4" t="str">
        <f>IFERROR(__xludf.DUMMYFUNCTION("""COMPUTED_VALUE"""),"Beefood - Sistema Para Restaurantes")</f>
        <v>Beefood - Sistema Para Restaurantes</v>
      </c>
      <c r="V8063" s="33">
        <f>IFERROR(__xludf.DUMMYFUNCTION("""COMPUTED_VALUE"""),1.0)</f>
        <v>1</v>
      </c>
      <c r="W8063" s="4" t="str">
        <f>IFERROR(__xludf.DUMMYFUNCTION("""COMPUTED_VALUE"""),"null")</f>
        <v>null</v>
      </c>
      <c r="X8063" s="33">
        <f>IFERROR(__xludf.DUMMYFUNCTION("""COMPUTED_VALUE"""),1.0)</f>
        <v>1</v>
      </c>
    </row>
    <row r="8064">
      <c r="K8064" s="4" t="str">
        <f>IFERROR(__xludf.DUMMYFUNCTION("""COMPUTED_VALUE"""),"RESTAURANTE COELHO")</f>
        <v>RESTAURANTE COELHO</v>
      </c>
      <c r="L8064" s="32">
        <f>IFERROR(__xludf.DUMMYFUNCTION("""COMPUTED_VALUE"""),1.0)</f>
        <v>1</v>
      </c>
      <c r="M8064" s="4" t="str">
        <f>IFERROR(__xludf.DUMMYFUNCTION("""COMPUTED_VALUE"""),"Jaxtech")</f>
        <v>Jaxtech</v>
      </c>
      <c r="N8064" s="33">
        <f>IFERROR(__xludf.DUMMYFUNCTION("""COMPUTED_VALUE"""),1.0)</f>
        <v>1</v>
      </c>
      <c r="O8064" s="4" t="str">
        <f>IFERROR(__xludf.DUMMYFUNCTION("""COMPUTED_VALUE"""),"Jaxtech")</f>
        <v>Jaxtech</v>
      </c>
      <c r="P8064" s="33">
        <f>IFERROR(__xludf.DUMMYFUNCTION("""COMPUTED_VALUE"""),1.0)</f>
        <v>1</v>
      </c>
      <c r="Q8064" s="4" t="str">
        <f>IFERROR(__xludf.DUMMYFUNCTION("""COMPUTED_VALUE"""),"null")</f>
        <v>null</v>
      </c>
      <c r="R8064" s="33">
        <f>IFERROR(__xludf.DUMMYFUNCTION("""COMPUTED_VALUE"""),1.0)</f>
        <v>1</v>
      </c>
      <c r="S8064" s="4" t="str">
        <f>IFERROR(__xludf.DUMMYFUNCTION("""COMPUTED_VALUE"""),"null")</f>
        <v>null</v>
      </c>
      <c r="T8064" s="33">
        <f>IFERROR(__xludf.DUMMYFUNCTION("""COMPUTED_VALUE"""),1.0)</f>
        <v>1</v>
      </c>
      <c r="U8064" s="4" t="str">
        <f>IFERROR(__xludf.DUMMYFUNCTION("""COMPUTED_VALUE"""),"Jaxtech")</f>
        <v>Jaxtech</v>
      </c>
      <c r="V8064" s="33">
        <f>IFERROR(__xludf.DUMMYFUNCTION("""COMPUTED_VALUE"""),1.0)</f>
        <v>1</v>
      </c>
      <c r="W8064" s="4" t="str">
        <f>IFERROR(__xludf.DUMMYFUNCTION("""COMPUTED_VALUE"""),"null")</f>
        <v>null</v>
      </c>
      <c r="X8064" s="33">
        <f>IFERROR(__xludf.DUMMYFUNCTION("""COMPUTED_VALUE"""),1.0)</f>
        <v>1</v>
      </c>
    </row>
    <row r="8065">
      <c r="K8065" s="4" t="str">
        <f>IFERROR(__xludf.DUMMYFUNCTION("""COMPUTED_VALUE"""),"RESTAURANTE BRAGANCA - CULINARIA PARAENSE")</f>
        <v>RESTAURANTE BRAGANCA - CULINARIA PARAENSE</v>
      </c>
      <c r="L8065" s="32">
        <f>IFERROR(__xludf.DUMMYFUNCTION("""COMPUTED_VALUE"""),1.0)</f>
        <v>1</v>
      </c>
      <c r="M8065" s="4" t="str">
        <f>IFERROR(__xludf.DUMMYFUNCTION("""COMPUTED_VALUE"""),"Saipos Serviços De Software")</f>
        <v>Saipos Serviços De Software</v>
      </c>
      <c r="N8065" s="33">
        <f>IFERROR(__xludf.DUMMYFUNCTION("""COMPUTED_VALUE"""),1.0)</f>
        <v>1</v>
      </c>
      <c r="O8065" s="4" t="str">
        <f>IFERROR(__xludf.DUMMYFUNCTION("""COMPUTED_VALUE"""),"null")</f>
        <v>null</v>
      </c>
      <c r="P8065" s="33">
        <f>IFERROR(__xludf.DUMMYFUNCTION("""COMPUTED_VALUE"""),1.0)</f>
        <v>1</v>
      </c>
      <c r="Q8065" s="4" t="str">
        <f>IFERROR(__xludf.DUMMYFUNCTION("""COMPUTED_VALUE"""),"null")</f>
        <v>null</v>
      </c>
      <c r="R8065" s="33">
        <f>IFERROR(__xludf.DUMMYFUNCTION("""COMPUTED_VALUE"""),1.0)</f>
        <v>1</v>
      </c>
      <c r="S8065" s="4" t="str">
        <f>IFERROR(__xludf.DUMMYFUNCTION("""COMPUTED_VALUE"""),"null")</f>
        <v>null</v>
      </c>
      <c r="T8065" s="33">
        <f>IFERROR(__xludf.DUMMYFUNCTION("""COMPUTED_VALUE"""),1.0)</f>
        <v>1</v>
      </c>
      <c r="U8065" s="4" t="str">
        <f>IFERROR(__xludf.DUMMYFUNCTION("""COMPUTED_VALUE"""),"null")</f>
        <v>null</v>
      </c>
      <c r="V8065" s="33">
        <f>IFERROR(__xludf.DUMMYFUNCTION("""COMPUTED_VALUE"""),1.0)</f>
        <v>1</v>
      </c>
      <c r="W8065" s="4" t="str">
        <f>IFERROR(__xludf.DUMMYFUNCTION("""COMPUTED_VALUE"""),"null")</f>
        <v>null</v>
      </c>
      <c r="X8065" s="33">
        <f>IFERROR(__xludf.DUMMYFUNCTION("""COMPUTED_VALUE"""),1.0)</f>
        <v>1</v>
      </c>
    </row>
    <row r="8066">
      <c r="K8066" s="4" t="str">
        <f>IFERROR(__xludf.DUMMYFUNCTION("""COMPUTED_VALUE"""),"PRO ACAI ALFENAS")</f>
        <v>PRO ACAI ALFENAS</v>
      </c>
      <c r="L8066" s="32">
        <f>IFERROR(__xludf.DUMMYFUNCTION("""COMPUTED_VALUE"""),1.0)</f>
        <v>1</v>
      </c>
      <c r="M8066" s="4" t="str">
        <f>IFERROR(__xludf.DUMMYFUNCTION("""COMPUTED_VALUE"""),"null")</f>
        <v>null</v>
      </c>
      <c r="N8066" s="33">
        <f>IFERROR(__xludf.DUMMYFUNCTION("""COMPUTED_VALUE"""),1.0)</f>
        <v>1</v>
      </c>
      <c r="O8066" s="4" t="str">
        <f>IFERROR(__xludf.DUMMYFUNCTION("""COMPUTED_VALUE"""),"Eclética Tecnologia")</f>
        <v>Eclética Tecnologia</v>
      </c>
      <c r="P8066" s="33">
        <f>IFERROR(__xludf.DUMMYFUNCTION("""COMPUTED_VALUE"""),1.0)</f>
        <v>1</v>
      </c>
      <c r="Q8066" s="4" t="str">
        <f>IFERROR(__xludf.DUMMYFUNCTION("""COMPUTED_VALUE"""),"null")</f>
        <v>null</v>
      </c>
      <c r="R8066" s="33">
        <f>IFERROR(__xludf.DUMMYFUNCTION("""COMPUTED_VALUE"""),1.0)</f>
        <v>1</v>
      </c>
      <c r="S8066" s="4" t="str">
        <f>IFERROR(__xludf.DUMMYFUNCTION("""COMPUTED_VALUE"""),"null")</f>
        <v>null</v>
      </c>
      <c r="T8066" s="33">
        <f>IFERROR(__xludf.DUMMYFUNCTION("""COMPUTED_VALUE"""),1.0)</f>
        <v>1</v>
      </c>
      <c r="U8066" s="4" t="str">
        <f>IFERROR(__xludf.DUMMYFUNCTION("""COMPUTED_VALUE"""),"null")</f>
        <v>null</v>
      </c>
      <c r="V8066" s="33">
        <f>IFERROR(__xludf.DUMMYFUNCTION("""COMPUTED_VALUE"""),1.0)</f>
        <v>1</v>
      </c>
      <c r="W8066" s="4" t="str">
        <f>IFERROR(__xludf.DUMMYFUNCTION("""COMPUTED_VALUE"""),"null")</f>
        <v>null</v>
      </c>
      <c r="X8066" s="33">
        <f>IFERROR(__xludf.DUMMYFUNCTION("""COMPUTED_VALUE"""),1.0)</f>
        <v>1</v>
      </c>
    </row>
    <row r="8067">
      <c r="K8067" s="4" t="str">
        <f>IFERROR(__xludf.DUMMYFUNCTION("""COMPUTED_VALUE"""),"ACAIZEIRA ITAPE")</f>
        <v>ACAIZEIRA ITAPE</v>
      </c>
      <c r="L8067" s="32">
        <f>IFERROR(__xludf.DUMMYFUNCTION("""COMPUTED_VALUE"""),1.0)</f>
        <v>1</v>
      </c>
      <c r="M8067" s="4" t="str">
        <f>IFERROR(__xludf.DUMMYFUNCTION("""COMPUTED_VALUE"""),"null")</f>
        <v>null</v>
      </c>
      <c r="N8067" s="33">
        <f>IFERROR(__xludf.DUMMYFUNCTION("""COMPUTED_VALUE"""),1.0)</f>
        <v>1</v>
      </c>
      <c r="O8067" s="4" t="str">
        <f>IFERROR(__xludf.DUMMYFUNCTION("""COMPUTED_VALUE"""),"Anota Ai Solucoes Digitais S/a")</f>
        <v>Anota Ai Solucoes Digitais S/a</v>
      </c>
      <c r="P8067" s="33">
        <f>IFERROR(__xludf.DUMMYFUNCTION("""COMPUTED_VALUE"""),1.0)</f>
        <v>1</v>
      </c>
      <c r="Q8067" s="4" t="str">
        <f>IFERROR(__xludf.DUMMYFUNCTION("""COMPUTED_VALUE"""),"null")</f>
        <v>null</v>
      </c>
      <c r="R8067" s="33">
        <f>IFERROR(__xludf.DUMMYFUNCTION("""COMPUTED_VALUE"""),1.0)</f>
        <v>1</v>
      </c>
      <c r="S8067" s="4" t="str">
        <f>IFERROR(__xludf.DUMMYFUNCTION("""COMPUTED_VALUE"""),"Anota Ai Solucoes Digitais S/a")</f>
        <v>Anota Ai Solucoes Digitais S/a</v>
      </c>
      <c r="T8067" s="33">
        <f>IFERROR(__xludf.DUMMYFUNCTION("""COMPUTED_VALUE"""),1.0)</f>
        <v>1</v>
      </c>
      <c r="U8067" s="4" t="str">
        <f>IFERROR(__xludf.DUMMYFUNCTION("""COMPUTED_VALUE"""),"null")</f>
        <v>null</v>
      </c>
      <c r="V8067" s="33">
        <f>IFERROR(__xludf.DUMMYFUNCTION("""COMPUTED_VALUE"""),1.0)</f>
        <v>1</v>
      </c>
      <c r="W8067" s="4" t="str">
        <f>IFERROR(__xludf.DUMMYFUNCTION("""COMPUTED_VALUE"""),"null")</f>
        <v>null</v>
      </c>
      <c r="X8067" s="33">
        <f>IFERROR(__xludf.DUMMYFUNCTION("""COMPUTED_VALUE"""),1.0)</f>
        <v>1</v>
      </c>
    </row>
    <row r="8068">
      <c r="K8068" s="4" t="str">
        <f>IFERROR(__xludf.DUMMYFUNCTION("""COMPUTED_VALUE"""),"GULOSEIMAS DO OLIMPO - COOKIES, BROWNIES, BOLOS E ACAI")</f>
        <v>GULOSEIMAS DO OLIMPO - COOKIES, BROWNIES, BOLOS E ACAI</v>
      </c>
      <c r="L8068" s="32">
        <f>IFERROR(__xludf.DUMMYFUNCTION("""COMPUTED_VALUE"""),1.0)</f>
        <v>1</v>
      </c>
      <c r="M8068" s="4" t="str">
        <f>IFERROR(__xludf.DUMMYFUNCTION("""COMPUTED_VALUE"""),"Instadelivery")</f>
        <v>Instadelivery</v>
      </c>
      <c r="N8068" s="33">
        <f>IFERROR(__xludf.DUMMYFUNCTION("""COMPUTED_VALUE"""),1.0)</f>
        <v>1</v>
      </c>
      <c r="O8068" s="4" t="str">
        <f>IFERROR(__xludf.DUMMYFUNCTION("""COMPUTED_VALUE"""),"null")</f>
        <v>null</v>
      </c>
      <c r="P8068" s="33">
        <f>IFERROR(__xludf.DUMMYFUNCTION("""COMPUTED_VALUE"""),1.0)</f>
        <v>1</v>
      </c>
      <c r="Q8068" s="4" t="str">
        <f>IFERROR(__xludf.DUMMYFUNCTION("""COMPUTED_VALUE"""),"null")</f>
        <v>null</v>
      </c>
      <c r="R8068" s="33">
        <f>IFERROR(__xludf.DUMMYFUNCTION("""COMPUTED_VALUE"""),1.0)</f>
        <v>1</v>
      </c>
      <c r="S8068" s="4" t="str">
        <f>IFERROR(__xludf.DUMMYFUNCTION("""COMPUTED_VALUE"""),"null")</f>
        <v>null</v>
      </c>
      <c r="T8068" s="33">
        <f>IFERROR(__xludf.DUMMYFUNCTION("""COMPUTED_VALUE"""),1.0)</f>
        <v>1</v>
      </c>
      <c r="U8068" s="4" t="str">
        <f>IFERROR(__xludf.DUMMYFUNCTION("""COMPUTED_VALUE"""),"null")</f>
        <v>null</v>
      </c>
      <c r="V8068" s="33">
        <f>IFERROR(__xludf.DUMMYFUNCTION("""COMPUTED_VALUE"""),1.0)</f>
        <v>1</v>
      </c>
      <c r="W8068" s="4" t="str">
        <f>IFERROR(__xludf.DUMMYFUNCTION("""COMPUTED_VALUE"""),"null")</f>
        <v>null</v>
      </c>
      <c r="X8068" s="33">
        <f>IFERROR(__xludf.DUMMYFUNCTION("""COMPUTED_VALUE"""),1.0)</f>
        <v>1</v>
      </c>
    </row>
    <row r="8069">
      <c r="K8069" s="4" t="str">
        <f>IFERROR(__xludf.DUMMYFUNCTION("""COMPUTED_VALUE"""),"SUPER QUENTINHAS")</f>
        <v>SUPER QUENTINHAS</v>
      </c>
      <c r="L8069" s="32">
        <f>IFERROR(__xludf.DUMMYFUNCTION("""COMPUTED_VALUE"""),1.0)</f>
        <v>1</v>
      </c>
      <c r="M8069" s="4" t="str">
        <f>IFERROR(__xludf.DUMMYFUNCTION("""COMPUTED_VALUE"""),"null")</f>
        <v>null</v>
      </c>
      <c r="N8069" s="33">
        <f>IFERROR(__xludf.DUMMYFUNCTION("""COMPUTED_VALUE"""),1.0)</f>
        <v>1</v>
      </c>
      <c r="O8069" s="4" t="str">
        <f>IFERROR(__xludf.DUMMYFUNCTION("""COMPUTED_VALUE"""),"null")</f>
        <v>null</v>
      </c>
      <c r="P8069" s="33">
        <f>IFERROR(__xludf.DUMMYFUNCTION("""COMPUTED_VALUE"""),1.0)</f>
        <v>1</v>
      </c>
      <c r="Q8069" s="4" t="str">
        <f>IFERROR(__xludf.DUMMYFUNCTION("""COMPUTED_VALUE"""),"Softcom Tecnologia")</f>
        <v>Softcom Tecnologia</v>
      </c>
      <c r="R8069" s="33">
        <f>IFERROR(__xludf.DUMMYFUNCTION("""COMPUTED_VALUE"""),1.0)</f>
        <v>1</v>
      </c>
      <c r="S8069" s="4" t="str">
        <f>IFERROR(__xludf.DUMMYFUNCTION("""COMPUTED_VALUE"""),"Softcom Tecnologia")</f>
        <v>Softcom Tecnologia</v>
      </c>
      <c r="T8069" s="33">
        <f>IFERROR(__xludf.DUMMYFUNCTION("""COMPUTED_VALUE"""),1.0)</f>
        <v>1</v>
      </c>
      <c r="U8069" s="4" t="str">
        <f>IFERROR(__xludf.DUMMYFUNCTION("""COMPUTED_VALUE"""),"Softcom Tecnologia")</f>
        <v>Softcom Tecnologia</v>
      </c>
      <c r="V8069" s="33">
        <f>IFERROR(__xludf.DUMMYFUNCTION("""COMPUTED_VALUE"""),1.0)</f>
        <v>1</v>
      </c>
      <c r="W8069" s="4" t="str">
        <f>IFERROR(__xludf.DUMMYFUNCTION("""COMPUTED_VALUE"""),"Softcom Tecnologia")</f>
        <v>Softcom Tecnologia</v>
      </c>
      <c r="X8069" s="33">
        <f>IFERROR(__xludf.DUMMYFUNCTION("""COMPUTED_VALUE"""),1.0)</f>
        <v>1</v>
      </c>
    </row>
    <row r="8070">
      <c r="K8070" s="4" t="str">
        <f>IFERROR(__xludf.DUMMYFUNCTION("""COMPUTED_VALUE"""),"ROOMA SANDUICHERIA - X SALADA, GOURMET BURGER ROMA AV GOIAS BURGUER PIT DOG")</f>
        <v>ROOMA SANDUICHERIA - X SALADA, GOURMET BURGER ROMA AV GOIAS BURGUER PIT DOG</v>
      </c>
      <c r="L8070" s="32">
        <f>IFERROR(__xludf.DUMMYFUNCTION("""COMPUTED_VALUE"""),1.0)</f>
        <v>1</v>
      </c>
      <c r="M8070" s="4" t="str">
        <f>IFERROR(__xludf.DUMMYFUNCTION("""COMPUTED_VALUE"""),"Vuca Solution")</f>
        <v>Vuca Solution</v>
      </c>
      <c r="N8070" s="33">
        <f>IFERROR(__xludf.DUMMYFUNCTION("""COMPUTED_VALUE"""),1.0)</f>
        <v>1</v>
      </c>
      <c r="O8070" s="4" t="str">
        <f>IFERROR(__xludf.DUMMYFUNCTION("""COMPUTED_VALUE"""),"Vuca Solution")</f>
        <v>Vuca Solution</v>
      </c>
      <c r="P8070" s="33">
        <f>IFERROR(__xludf.DUMMYFUNCTION("""COMPUTED_VALUE"""),1.0)</f>
        <v>1</v>
      </c>
      <c r="Q8070" s="4" t="str">
        <f>IFERROR(__xludf.DUMMYFUNCTION("""COMPUTED_VALUE"""),"Vuca Solution")</f>
        <v>Vuca Solution</v>
      </c>
      <c r="R8070" s="33">
        <f>IFERROR(__xludf.DUMMYFUNCTION("""COMPUTED_VALUE"""),1.0)</f>
        <v>1</v>
      </c>
      <c r="S8070" s="4" t="str">
        <f>IFERROR(__xludf.DUMMYFUNCTION("""COMPUTED_VALUE"""),"Vuca Solution")</f>
        <v>Vuca Solution</v>
      </c>
      <c r="T8070" s="33">
        <f>IFERROR(__xludf.DUMMYFUNCTION("""COMPUTED_VALUE"""),1.0)</f>
        <v>1</v>
      </c>
      <c r="U8070" s="4" t="str">
        <f>IFERROR(__xludf.DUMMYFUNCTION("""COMPUTED_VALUE"""),"Vuca Solution")</f>
        <v>Vuca Solution</v>
      </c>
      <c r="V8070" s="33">
        <f>IFERROR(__xludf.DUMMYFUNCTION("""COMPUTED_VALUE"""),1.0)</f>
        <v>1</v>
      </c>
      <c r="W8070" s="4" t="str">
        <f>IFERROR(__xludf.DUMMYFUNCTION("""COMPUTED_VALUE"""),"Vuca Solution")</f>
        <v>Vuca Solution</v>
      </c>
      <c r="X8070" s="33">
        <f>IFERROR(__xludf.DUMMYFUNCTION("""COMPUTED_VALUE"""),1.0)</f>
        <v>1</v>
      </c>
    </row>
    <row r="8071">
      <c r="K8071" s="4" t="str">
        <f>IFERROR(__xludf.DUMMYFUNCTION("""COMPUTED_VALUE"""),"FOME BURGER")</f>
        <v>FOME BURGER</v>
      </c>
      <c r="L8071" s="32">
        <f>IFERROR(__xludf.DUMMYFUNCTION("""COMPUTED_VALUE"""),1.0)</f>
        <v>1</v>
      </c>
      <c r="M8071" s="4" t="str">
        <f>IFERROR(__xludf.DUMMYFUNCTION("""COMPUTED_VALUE"""),"Saipos Serviços De Software")</f>
        <v>Saipos Serviços De Software</v>
      </c>
      <c r="N8071" s="33">
        <f>IFERROR(__xludf.DUMMYFUNCTION("""COMPUTED_VALUE"""),1.0)</f>
        <v>1</v>
      </c>
      <c r="O8071" s="4" t="str">
        <f>IFERROR(__xludf.DUMMYFUNCTION("""COMPUTED_VALUE"""),"Saipos Serviços De Software")</f>
        <v>Saipos Serviços De Software</v>
      </c>
      <c r="P8071" s="33">
        <f>IFERROR(__xludf.DUMMYFUNCTION("""COMPUTED_VALUE"""),1.0)</f>
        <v>1</v>
      </c>
      <c r="Q8071" s="4" t="str">
        <f>IFERROR(__xludf.DUMMYFUNCTION("""COMPUTED_VALUE"""),"null")</f>
        <v>null</v>
      </c>
      <c r="R8071" s="33">
        <f>IFERROR(__xludf.DUMMYFUNCTION("""COMPUTED_VALUE"""),1.0)</f>
        <v>1</v>
      </c>
      <c r="S8071" s="4" t="str">
        <f>IFERROR(__xludf.DUMMYFUNCTION("""COMPUTED_VALUE"""),"null")</f>
        <v>null</v>
      </c>
      <c r="T8071" s="33">
        <f>IFERROR(__xludf.DUMMYFUNCTION("""COMPUTED_VALUE"""),1.0)</f>
        <v>1</v>
      </c>
      <c r="U8071" s="4" t="str">
        <f>IFERROR(__xludf.DUMMYFUNCTION("""COMPUTED_VALUE"""),"null")</f>
        <v>null</v>
      </c>
      <c r="V8071" s="33">
        <f>IFERROR(__xludf.DUMMYFUNCTION("""COMPUTED_VALUE"""),1.0)</f>
        <v>1</v>
      </c>
      <c r="W8071" s="4" t="str">
        <f>IFERROR(__xludf.DUMMYFUNCTION("""COMPUTED_VALUE"""),"null")</f>
        <v>null</v>
      </c>
      <c r="X8071" s="33">
        <f>IFERROR(__xludf.DUMMYFUNCTION("""COMPUTED_VALUE"""),1.0)</f>
        <v>1</v>
      </c>
    </row>
    <row r="8072">
      <c r="K8072" s="4" t="str">
        <f>IFERROR(__xludf.DUMMYFUNCTION("""COMPUTED_VALUE"""),"TEKAPO - ART OF BRUNCH")</f>
        <v>TEKAPO - ART OF BRUNCH</v>
      </c>
      <c r="L8072" s="32">
        <f>IFERROR(__xludf.DUMMYFUNCTION("""COMPUTED_VALUE"""),1.0)</f>
        <v>1</v>
      </c>
      <c r="M8072" s="4" t="str">
        <f>IFERROR(__xludf.DUMMYFUNCTION("""COMPUTED_VALUE"""),"Saipos Serviços De Software")</f>
        <v>Saipos Serviços De Software</v>
      </c>
      <c r="N8072" s="33">
        <f>IFERROR(__xludf.DUMMYFUNCTION("""COMPUTED_VALUE"""),1.0)</f>
        <v>1</v>
      </c>
      <c r="O8072" s="4" t="str">
        <f>IFERROR(__xludf.DUMMYFUNCTION("""COMPUTED_VALUE"""),"Saipos Serviços De Software")</f>
        <v>Saipos Serviços De Software</v>
      </c>
      <c r="P8072" s="33">
        <f>IFERROR(__xludf.DUMMYFUNCTION("""COMPUTED_VALUE"""),1.0)</f>
        <v>1</v>
      </c>
      <c r="Q8072" s="4" t="str">
        <f>IFERROR(__xludf.DUMMYFUNCTION("""COMPUTED_VALUE"""),"Saipos Serviços De Software")</f>
        <v>Saipos Serviços De Software</v>
      </c>
      <c r="R8072" s="33">
        <f>IFERROR(__xludf.DUMMYFUNCTION("""COMPUTED_VALUE"""),1.0)</f>
        <v>1</v>
      </c>
      <c r="S8072" s="4" t="str">
        <f>IFERROR(__xludf.DUMMYFUNCTION("""COMPUTED_VALUE"""),"Saipos Serviços De Software")</f>
        <v>Saipos Serviços De Software</v>
      </c>
      <c r="T8072" s="33">
        <f>IFERROR(__xludf.DUMMYFUNCTION("""COMPUTED_VALUE"""),1.0)</f>
        <v>1</v>
      </c>
      <c r="U8072" s="4" t="str">
        <f>IFERROR(__xludf.DUMMYFUNCTION("""COMPUTED_VALUE"""),"Saipos Serviços De Software")</f>
        <v>Saipos Serviços De Software</v>
      </c>
      <c r="V8072" s="33">
        <f>IFERROR(__xludf.DUMMYFUNCTION("""COMPUTED_VALUE"""),1.0)</f>
        <v>1</v>
      </c>
      <c r="W8072" s="4" t="str">
        <f>IFERROR(__xludf.DUMMYFUNCTION("""COMPUTED_VALUE"""),"Saipos Serviços De Software")</f>
        <v>Saipos Serviços De Software</v>
      </c>
      <c r="X8072" s="33">
        <f>IFERROR(__xludf.DUMMYFUNCTION("""COMPUTED_VALUE"""),1.0)</f>
        <v>1</v>
      </c>
    </row>
    <row r="8073">
      <c r="K8073" s="4" t="str">
        <f>IFERROR(__xludf.DUMMYFUNCTION("""COMPUTED_VALUE"""),"AMORITO SORVETES - AFOGADOS")</f>
        <v>AMORITO SORVETES - AFOGADOS</v>
      </c>
      <c r="L8073" s="32">
        <f>IFERROR(__xludf.DUMMYFUNCTION("""COMPUTED_VALUE"""),1.0)</f>
        <v>1</v>
      </c>
      <c r="M8073" s="4" t="str">
        <f>IFERROR(__xludf.DUMMYFUNCTION("""COMPUTED_VALUE"""),"Rajtecnologia")</f>
        <v>Rajtecnologia</v>
      </c>
      <c r="N8073" s="33">
        <f>IFERROR(__xludf.DUMMYFUNCTION("""COMPUTED_VALUE"""),1.0)</f>
        <v>1</v>
      </c>
      <c r="O8073" s="4" t="str">
        <f>IFERROR(__xludf.DUMMYFUNCTION("""COMPUTED_VALUE"""),"Rajtecnologia")</f>
        <v>Rajtecnologia</v>
      </c>
      <c r="P8073" s="33">
        <f>IFERROR(__xludf.DUMMYFUNCTION("""COMPUTED_VALUE"""),1.0)</f>
        <v>1</v>
      </c>
      <c r="Q8073" s="4" t="str">
        <f>IFERROR(__xludf.DUMMYFUNCTION("""COMPUTED_VALUE"""),"Rajtecnologia")</f>
        <v>Rajtecnologia</v>
      </c>
      <c r="R8073" s="33">
        <f>IFERROR(__xludf.DUMMYFUNCTION("""COMPUTED_VALUE"""),1.0)</f>
        <v>1</v>
      </c>
      <c r="S8073" s="4" t="str">
        <f>IFERROR(__xludf.DUMMYFUNCTION("""COMPUTED_VALUE"""),"null")</f>
        <v>null</v>
      </c>
      <c r="T8073" s="33">
        <f>IFERROR(__xludf.DUMMYFUNCTION("""COMPUTED_VALUE"""),1.0)</f>
        <v>1</v>
      </c>
      <c r="U8073" s="4" t="str">
        <f>IFERROR(__xludf.DUMMYFUNCTION("""COMPUTED_VALUE"""),"Rajtecnologia")</f>
        <v>Rajtecnologia</v>
      </c>
      <c r="V8073" s="33">
        <f>IFERROR(__xludf.DUMMYFUNCTION("""COMPUTED_VALUE"""),1.0)</f>
        <v>1</v>
      </c>
      <c r="W8073" s="4" t="str">
        <f>IFERROR(__xludf.DUMMYFUNCTION("""COMPUTED_VALUE"""),"Rajtecnologia")</f>
        <v>Rajtecnologia</v>
      </c>
      <c r="X8073" s="33">
        <f>IFERROR(__xludf.DUMMYFUNCTION("""COMPUTED_VALUE"""),1.0)</f>
        <v>1</v>
      </c>
    </row>
    <row r="8074">
      <c r="K8074" s="4" t="str">
        <f>IFERROR(__xludf.DUMMYFUNCTION("""COMPUTED_VALUE"""),"FLIP BURGERS")</f>
        <v>FLIP BURGERS</v>
      </c>
      <c r="L8074" s="32">
        <f>IFERROR(__xludf.DUMMYFUNCTION("""COMPUTED_VALUE"""),1.0)</f>
        <v>1</v>
      </c>
      <c r="M8074" s="4" t="str">
        <f>IFERROR(__xludf.DUMMYFUNCTION("""COMPUTED_VALUE"""),"Yooga")</f>
        <v>Yooga</v>
      </c>
      <c r="N8074" s="33">
        <f>IFERROR(__xludf.DUMMYFUNCTION("""COMPUTED_VALUE"""),1.0)</f>
        <v>1</v>
      </c>
      <c r="O8074" s="4" t="str">
        <f>IFERROR(__xludf.DUMMYFUNCTION("""COMPUTED_VALUE"""),"Yooga")</f>
        <v>Yooga</v>
      </c>
      <c r="P8074" s="33">
        <f>IFERROR(__xludf.DUMMYFUNCTION("""COMPUTED_VALUE"""),1.0)</f>
        <v>1</v>
      </c>
      <c r="Q8074" s="4" t="str">
        <f>IFERROR(__xludf.DUMMYFUNCTION("""COMPUTED_VALUE"""),"Yooga")</f>
        <v>Yooga</v>
      </c>
      <c r="R8074" s="33">
        <f>IFERROR(__xludf.DUMMYFUNCTION("""COMPUTED_VALUE"""),1.0)</f>
        <v>1</v>
      </c>
      <c r="S8074" s="4" t="str">
        <f>IFERROR(__xludf.DUMMYFUNCTION("""COMPUTED_VALUE"""),"Beefood - Sistema Para Restaurantes")</f>
        <v>Beefood - Sistema Para Restaurantes</v>
      </c>
      <c r="T8074" s="33">
        <f>IFERROR(__xludf.DUMMYFUNCTION("""COMPUTED_VALUE"""),1.0)</f>
        <v>1</v>
      </c>
      <c r="U8074" s="4" t="str">
        <f>IFERROR(__xludf.DUMMYFUNCTION("""COMPUTED_VALUE"""),"Beefood - Sistema Para Restaurantes")</f>
        <v>Beefood - Sistema Para Restaurantes</v>
      </c>
      <c r="V8074" s="33">
        <f>IFERROR(__xludf.DUMMYFUNCTION("""COMPUTED_VALUE"""),1.0)</f>
        <v>1</v>
      </c>
      <c r="W8074" s="4" t="str">
        <f>IFERROR(__xludf.DUMMYFUNCTION("""COMPUTED_VALUE"""),"Beefood - Sistema Para Restaurantes")</f>
        <v>Beefood - Sistema Para Restaurantes</v>
      </c>
      <c r="X8074" s="33">
        <f>IFERROR(__xludf.DUMMYFUNCTION("""COMPUTED_VALUE"""),1.0)</f>
        <v>1</v>
      </c>
    </row>
    <row r="8075">
      <c r="K8075" s="4" t="str">
        <f>IFERROR(__xludf.DUMMYFUNCTION("""COMPUTED_VALUE"""),"PIZZATRUCK TERRAMAR")</f>
        <v>PIZZATRUCK TERRAMAR</v>
      </c>
      <c r="L8075" s="32">
        <f>IFERROR(__xludf.DUMMYFUNCTION("""COMPUTED_VALUE"""),1.0)</f>
        <v>1</v>
      </c>
      <c r="M8075" s="4" t="str">
        <f>IFERROR(__xludf.DUMMYFUNCTION("""COMPUTED_VALUE"""),"Instadelivery")</f>
        <v>Instadelivery</v>
      </c>
      <c r="N8075" s="33">
        <f>IFERROR(__xludf.DUMMYFUNCTION("""COMPUTED_VALUE"""),1.0)</f>
        <v>1</v>
      </c>
      <c r="O8075" s="4" t="str">
        <f>IFERROR(__xludf.DUMMYFUNCTION("""COMPUTED_VALUE"""),"Instadelivery")</f>
        <v>Instadelivery</v>
      </c>
      <c r="P8075" s="33">
        <f>IFERROR(__xludf.DUMMYFUNCTION("""COMPUTED_VALUE"""),1.0)</f>
        <v>1</v>
      </c>
      <c r="Q8075" s="4" t="str">
        <f>IFERROR(__xludf.DUMMYFUNCTION("""COMPUTED_VALUE"""),"Instadelivery")</f>
        <v>Instadelivery</v>
      </c>
      <c r="R8075" s="33">
        <f>IFERROR(__xludf.DUMMYFUNCTION("""COMPUTED_VALUE"""),1.0)</f>
        <v>1</v>
      </c>
      <c r="S8075" s="4" t="str">
        <f>IFERROR(__xludf.DUMMYFUNCTION("""COMPUTED_VALUE"""),"Instadelivery")</f>
        <v>Instadelivery</v>
      </c>
      <c r="T8075" s="33">
        <f>IFERROR(__xludf.DUMMYFUNCTION("""COMPUTED_VALUE"""),1.0)</f>
        <v>1</v>
      </c>
      <c r="U8075" s="4" t="str">
        <f>IFERROR(__xludf.DUMMYFUNCTION("""COMPUTED_VALUE"""),"Instadelivery")</f>
        <v>Instadelivery</v>
      </c>
      <c r="V8075" s="33">
        <f>IFERROR(__xludf.DUMMYFUNCTION("""COMPUTED_VALUE"""),1.0)</f>
        <v>1</v>
      </c>
      <c r="W8075" s="4" t="str">
        <f>IFERROR(__xludf.DUMMYFUNCTION("""COMPUTED_VALUE"""),"Instadelivery")</f>
        <v>Instadelivery</v>
      </c>
      <c r="X8075" s="33">
        <f>IFERROR(__xludf.DUMMYFUNCTION("""COMPUTED_VALUE"""),1.0)</f>
        <v>1</v>
      </c>
    </row>
    <row r="8076">
      <c r="K8076" s="4" t="str">
        <f>IFERROR(__xludf.DUMMYFUNCTION("""COMPUTED_VALUE"""),"FREGUESIA GRILL - SHOPPING")</f>
        <v>FREGUESIA GRILL - SHOPPING</v>
      </c>
      <c r="L8076" s="32">
        <f>IFERROR(__xludf.DUMMYFUNCTION("""COMPUTED_VALUE"""),1.0)</f>
        <v>1</v>
      </c>
      <c r="M8076" s="4" t="str">
        <f>IFERROR(__xludf.DUMMYFUNCTION("""COMPUTED_VALUE"""),"Saipos Serviços De Software")</f>
        <v>Saipos Serviços De Software</v>
      </c>
      <c r="N8076" s="33">
        <f>IFERROR(__xludf.DUMMYFUNCTION("""COMPUTED_VALUE"""),1.0)</f>
        <v>1</v>
      </c>
      <c r="O8076" s="4" t="str">
        <f>IFERROR(__xludf.DUMMYFUNCTION("""COMPUTED_VALUE"""),"Saipos Serviços De Software")</f>
        <v>Saipos Serviços De Software</v>
      </c>
      <c r="P8076" s="33">
        <f>IFERROR(__xludf.DUMMYFUNCTION("""COMPUTED_VALUE"""),1.0)</f>
        <v>1</v>
      </c>
      <c r="Q8076" s="4" t="str">
        <f>IFERROR(__xludf.DUMMYFUNCTION("""COMPUTED_VALUE"""),"Saipos Serviços De Software")</f>
        <v>Saipos Serviços De Software</v>
      </c>
      <c r="R8076" s="33">
        <f>IFERROR(__xludf.DUMMYFUNCTION("""COMPUTED_VALUE"""),1.0)</f>
        <v>1</v>
      </c>
      <c r="S8076" s="4" t="str">
        <f>IFERROR(__xludf.DUMMYFUNCTION("""COMPUTED_VALUE"""),"Saipos Serviços De Software")</f>
        <v>Saipos Serviços De Software</v>
      </c>
      <c r="T8076" s="33">
        <f>IFERROR(__xludf.DUMMYFUNCTION("""COMPUTED_VALUE"""),1.0)</f>
        <v>1</v>
      </c>
      <c r="U8076" s="4" t="str">
        <f>IFERROR(__xludf.DUMMYFUNCTION("""COMPUTED_VALUE"""),"Saipos Serviços De Software")</f>
        <v>Saipos Serviços De Software</v>
      </c>
      <c r="V8076" s="33">
        <f>IFERROR(__xludf.DUMMYFUNCTION("""COMPUTED_VALUE"""),1.0)</f>
        <v>1</v>
      </c>
      <c r="W8076" s="4" t="str">
        <f>IFERROR(__xludf.DUMMYFUNCTION("""COMPUTED_VALUE"""),"Saipos Serviços De Software")</f>
        <v>Saipos Serviços De Software</v>
      </c>
      <c r="X8076" s="33">
        <f>IFERROR(__xludf.DUMMYFUNCTION("""COMPUTED_VALUE"""),1.0)</f>
        <v>1</v>
      </c>
    </row>
    <row r="8077">
      <c r="K8077" s="4" t="str">
        <f>IFERROR(__xludf.DUMMYFUNCTION("""COMPUTED_VALUE"""),"OKATSU SUSHI - RODIZIO EM CASA")</f>
        <v>OKATSU SUSHI - RODIZIO EM CASA</v>
      </c>
      <c r="L8077" s="32">
        <f>IFERROR(__xludf.DUMMYFUNCTION("""COMPUTED_VALUE"""),1.0)</f>
        <v>1</v>
      </c>
      <c r="M8077" s="4" t="str">
        <f>IFERROR(__xludf.DUMMYFUNCTION("""COMPUTED_VALUE"""),"Eclética Tecnologia")</f>
        <v>Eclética Tecnologia</v>
      </c>
      <c r="N8077" s="33">
        <f>IFERROR(__xludf.DUMMYFUNCTION("""COMPUTED_VALUE"""),1.0)</f>
        <v>1</v>
      </c>
      <c r="O8077" s="4" t="str">
        <f>IFERROR(__xludf.DUMMYFUNCTION("""COMPUTED_VALUE"""),"null")</f>
        <v>null</v>
      </c>
      <c r="P8077" s="33">
        <f>IFERROR(__xludf.DUMMYFUNCTION("""COMPUTED_VALUE"""),1.0)</f>
        <v>1</v>
      </c>
      <c r="Q8077" s="4" t="str">
        <f>IFERROR(__xludf.DUMMYFUNCTION("""COMPUTED_VALUE"""),"Eclética Tecnologia")</f>
        <v>Eclética Tecnologia</v>
      </c>
      <c r="R8077" s="33">
        <f>IFERROR(__xludf.DUMMYFUNCTION("""COMPUTED_VALUE"""),1.0)</f>
        <v>1</v>
      </c>
      <c r="S8077" s="4" t="str">
        <f>IFERROR(__xludf.DUMMYFUNCTION("""COMPUTED_VALUE"""),"Eclética Tecnologia")</f>
        <v>Eclética Tecnologia</v>
      </c>
      <c r="T8077" s="33">
        <f>IFERROR(__xludf.DUMMYFUNCTION("""COMPUTED_VALUE"""),1.0)</f>
        <v>1</v>
      </c>
      <c r="U8077" s="4" t="str">
        <f>IFERROR(__xludf.DUMMYFUNCTION("""COMPUTED_VALUE"""),"null")</f>
        <v>null</v>
      </c>
      <c r="V8077" s="33">
        <f>IFERROR(__xludf.DUMMYFUNCTION("""COMPUTED_VALUE"""),1.0)</f>
        <v>1</v>
      </c>
      <c r="W8077" s="4" t="str">
        <f>IFERROR(__xludf.DUMMYFUNCTION("""COMPUTED_VALUE"""),"Eclética Tecnologia")</f>
        <v>Eclética Tecnologia</v>
      </c>
      <c r="X8077" s="33">
        <f>IFERROR(__xludf.DUMMYFUNCTION("""COMPUTED_VALUE"""),1.0)</f>
        <v>1</v>
      </c>
    </row>
    <row r="8078">
      <c r="K8078" s="4" t="str">
        <f>IFERROR(__xludf.DUMMYFUNCTION("""COMPUTED_VALUE"""),"GETULIO ESPETINHOS")</f>
        <v>GETULIO ESPETINHOS</v>
      </c>
      <c r="L8078" s="32">
        <f>IFERROR(__xludf.DUMMYFUNCTION("""COMPUTED_VALUE"""),1.0)</f>
        <v>1</v>
      </c>
      <c r="M8078" s="4" t="str">
        <f>IFERROR(__xludf.DUMMYFUNCTION("""COMPUTED_VALUE"""),"Saipos Serviços De Software")</f>
        <v>Saipos Serviços De Software</v>
      </c>
      <c r="N8078" s="33">
        <f>IFERROR(__xludf.DUMMYFUNCTION("""COMPUTED_VALUE"""),1.0)</f>
        <v>1</v>
      </c>
      <c r="O8078" s="4" t="str">
        <f>IFERROR(__xludf.DUMMYFUNCTION("""COMPUTED_VALUE"""),"Saipos Serviços De Software")</f>
        <v>Saipos Serviços De Software</v>
      </c>
      <c r="P8078" s="33">
        <f>IFERROR(__xludf.DUMMYFUNCTION("""COMPUTED_VALUE"""),1.0)</f>
        <v>1</v>
      </c>
      <c r="Q8078" s="4" t="str">
        <f>IFERROR(__xludf.DUMMYFUNCTION("""COMPUTED_VALUE"""),"Saipos Serviços De Software")</f>
        <v>Saipos Serviços De Software</v>
      </c>
      <c r="R8078" s="33">
        <f>IFERROR(__xludf.DUMMYFUNCTION("""COMPUTED_VALUE"""),1.0)</f>
        <v>1</v>
      </c>
      <c r="S8078" s="4" t="str">
        <f>IFERROR(__xludf.DUMMYFUNCTION("""COMPUTED_VALUE"""),"Saipos Serviços De Software")</f>
        <v>Saipos Serviços De Software</v>
      </c>
      <c r="T8078" s="33">
        <f>IFERROR(__xludf.DUMMYFUNCTION("""COMPUTED_VALUE"""),1.0)</f>
        <v>1</v>
      </c>
      <c r="U8078" s="4" t="str">
        <f>IFERROR(__xludf.DUMMYFUNCTION("""COMPUTED_VALUE"""),"Saipos Serviços De Software")</f>
        <v>Saipos Serviços De Software</v>
      </c>
      <c r="V8078" s="33">
        <f>IFERROR(__xludf.DUMMYFUNCTION("""COMPUTED_VALUE"""),1.0)</f>
        <v>1</v>
      </c>
      <c r="W8078" s="4" t="str">
        <f>IFERROR(__xludf.DUMMYFUNCTION("""COMPUTED_VALUE"""),"Saipos Serviços De Software")</f>
        <v>Saipos Serviços De Software</v>
      </c>
      <c r="X8078" s="33">
        <f>IFERROR(__xludf.DUMMYFUNCTION("""COMPUTED_VALUE"""),1.0)</f>
        <v>1</v>
      </c>
    </row>
    <row r="8079">
      <c r="K8079" s="4" t="str">
        <f>IFERROR(__xludf.DUMMYFUNCTION("""COMPUTED_VALUE"""),"PIZZA PREMIUM PIZZARIA")</f>
        <v>PIZZA PREMIUM PIZZARIA</v>
      </c>
      <c r="L8079" s="32">
        <f>IFERROR(__xludf.DUMMYFUNCTION("""COMPUTED_VALUE"""),1.0)</f>
        <v>1</v>
      </c>
      <c r="M8079" s="4" t="str">
        <f>IFERROR(__xludf.DUMMYFUNCTION("""COMPUTED_VALUE"""),"Saipos Serviços De Software")</f>
        <v>Saipos Serviços De Software</v>
      </c>
      <c r="N8079" s="33">
        <f>IFERROR(__xludf.DUMMYFUNCTION("""COMPUTED_VALUE"""),1.0)</f>
        <v>1</v>
      </c>
      <c r="O8079" s="4" t="str">
        <f>IFERROR(__xludf.DUMMYFUNCTION("""COMPUTED_VALUE"""),"Saipos Serviços De Software")</f>
        <v>Saipos Serviços De Software</v>
      </c>
      <c r="P8079" s="33">
        <f>IFERROR(__xludf.DUMMYFUNCTION("""COMPUTED_VALUE"""),1.0)</f>
        <v>1</v>
      </c>
      <c r="Q8079" s="4" t="str">
        <f>IFERROR(__xludf.DUMMYFUNCTION("""COMPUTED_VALUE"""),"Saipos Serviços De Software")</f>
        <v>Saipos Serviços De Software</v>
      </c>
      <c r="R8079" s="33">
        <f>IFERROR(__xludf.DUMMYFUNCTION("""COMPUTED_VALUE"""),1.0)</f>
        <v>1</v>
      </c>
      <c r="S8079" s="4" t="str">
        <f>IFERROR(__xludf.DUMMYFUNCTION("""COMPUTED_VALUE"""),"Saipos Serviços De Software")</f>
        <v>Saipos Serviços De Software</v>
      </c>
      <c r="T8079" s="33">
        <f>IFERROR(__xludf.DUMMYFUNCTION("""COMPUTED_VALUE"""),1.0)</f>
        <v>1</v>
      </c>
      <c r="U8079" s="4" t="str">
        <f>IFERROR(__xludf.DUMMYFUNCTION("""COMPUTED_VALUE"""),"Saipos Serviços De Software")</f>
        <v>Saipos Serviços De Software</v>
      </c>
      <c r="V8079" s="33">
        <f>IFERROR(__xludf.DUMMYFUNCTION("""COMPUTED_VALUE"""),1.0)</f>
        <v>1</v>
      </c>
      <c r="W8079" s="4" t="str">
        <f>IFERROR(__xludf.DUMMYFUNCTION("""COMPUTED_VALUE"""),"Saipos Serviços De Software")</f>
        <v>Saipos Serviços De Software</v>
      </c>
      <c r="X8079" s="33">
        <f>IFERROR(__xludf.DUMMYFUNCTION("""COMPUTED_VALUE"""),1.0)</f>
        <v>1</v>
      </c>
    </row>
    <row r="8080">
      <c r="K8080" s="4" t="str">
        <f>IFERROR(__xludf.DUMMYFUNCTION("""COMPUTED_VALUE"""),"BEE COOKIES - FORMOSAGO")</f>
        <v>BEE COOKIES - FORMOSAGO</v>
      </c>
      <c r="L8080" s="32">
        <f>IFERROR(__xludf.DUMMYFUNCTION("""COMPUTED_VALUE"""),1.0)</f>
        <v>1</v>
      </c>
      <c r="M8080" s="4" t="str">
        <f>IFERROR(__xludf.DUMMYFUNCTION("""COMPUTED_VALUE"""),"Saipos Serviços De Software")</f>
        <v>Saipos Serviços De Software</v>
      </c>
      <c r="N8080" s="33">
        <f>IFERROR(__xludf.DUMMYFUNCTION("""COMPUTED_VALUE"""),1.0)</f>
        <v>1</v>
      </c>
      <c r="O8080" s="4" t="str">
        <f>IFERROR(__xludf.DUMMYFUNCTION("""COMPUTED_VALUE"""),"Saipos Serviços De Software")</f>
        <v>Saipos Serviços De Software</v>
      </c>
      <c r="P8080" s="33">
        <f>IFERROR(__xludf.DUMMYFUNCTION("""COMPUTED_VALUE"""),1.0)</f>
        <v>1</v>
      </c>
      <c r="Q8080" s="4" t="str">
        <f>IFERROR(__xludf.DUMMYFUNCTION("""COMPUTED_VALUE"""),"Saipos Serviços De Software")</f>
        <v>Saipos Serviços De Software</v>
      </c>
      <c r="R8080" s="33">
        <f>IFERROR(__xludf.DUMMYFUNCTION("""COMPUTED_VALUE"""),1.0)</f>
        <v>1</v>
      </c>
      <c r="S8080" s="4" t="str">
        <f>IFERROR(__xludf.DUMMYFUNCTION("""COMPUTED_VALUE"""),"Saipos Serviços De Software")</f>
        <v>Saipos Serviços De Software</v>
      </c>
      <c r="T8080" s="33">
        <f>IFERROR(__xludf.DUMMYFUNCTION("""COMPUTED_VALUE"""),1.0)</f>
        <v>1</v>
      </c>
      <c r="U8080" s="4" t="str">
        <f>IFERROR(__xludf.DUMMYFUNCTION("""COMPUTED_VALUE"""),"Saipos Serviços De Software")</f>
        <v>Saipos Serviços De Software</v>
      </c>
      <c r="V8080" s="33">
        <f>IFERROR(__xludf.DUMMYFUNCTION("""COMPUTED_VALUE"""),1.0)</f>
        <v>1</v>
      </c>
      <c r="W8080" s="4" t="str">
        <f>IFERROR(__xludf.DUMMYFUNCTION("""COMPUTED_VALUE"""),"Saipos Serviços De Software")</f>
        <v>Saipos Serviços De Software</v>
      </c>
      <c r="X8080" s="33">
        <f>IFERROR(__xludf.DUMMYFUNCTION("""COMPUTED_VALUE"""),1.0)</f>
        <v>1</v>
      </c>
    </row>
    <row r="8081">
      <c r="K8081" s="4" t="str">
        <f>IFERROR(__xludf.DUMMYFUNCTION("""COMPUTED_VALUE"""),"BIA BRIGS - BRIGADEIROS E DOCES")</f>
        <v>BIA BRIGS - BRIGADEIROS E DOCES</v>
      </c>
      <c r="L8081" s="32">
        <f>IFERROR(__xludf.DUMMYFUNCTION("""COMPUTED_VALUE"""),1.0)</f>
        <v>1</v>
      </c>
      <c r="M8081" s="4" t="str">
        <f>IFERROR(__xludf.DUMMYFUNCTION("""COMPUTED_VALUE"""),"Instadelivery")</f>
        <v>Instadelivery</v>
      </c>
      <c r="N8081" s="33">
        <f>IFERROR(__xludf.DUMMYFUNCTION("""COMPUTED_VALUE"""),1.0)</f>
        <v>1</v>
      </c>
      <c r="O8081" s="4" t="str">
        <f>IFERROR(__xludf.DUMMYFUNCTION("""COMPUTED_VALUE"""),"null")</f>
        <v>null</v>
      </c>
      <c r="P8081" s="33">
        <f>IFERROR(__xludf.DUMMYFUNCTION("""COMPUTED_VALUE"""),1.0)</f>
        <v>1</v>
      </c>
      <c r="Q8081" s="4" t="str">
        <f>IFERROR(__xludf.DUMMYFUNCTION("""COMPUTED_VALUE"""),"null")</f>
        <v>null</v>
      </c>
      <c r="R8081" s="33">
        <f>IFERROR(__xludf.DUMMYFUNCTION("""COMPUTED_VALUE"""),1.0)</f>
        <v>1</v>
      </c>
      <c r="S8081" s="4" t="str">
        <f>IFERROR(__xludf.DUMMYFUNCTION("""COMPUTED_VALUE"""),"null")</f>
        <v>null</v>
      </c>
      <c r="T8081" s="33">
        <f>IFERROR(__xludf.DUMMYFUNCTION("""COMPUTED_VALUE"""),1.0)</f>
        <v>1</v>
      </c>
      <c r="U8081" s="4" t="str">
        <f>IFERROR(__xludf.DUMMYFUNCTION("""COMPUTED_VALUE"""),"null")</f>
        <v>null</v>
      </c>
      <c r="V8081" s="33">
        <f>IFERROR(__xludf.DUMMYFUNCTION("""COMPUTED_VALUE"""),1.0)</f>
        <v>1</v>
      </c>
      <c r="W8081" s="4" t="str">
        <f>IFERROR(__xludf.DUMMYFUNCTION("""COMPUTED_VALUE"""),"null")</f>
        <v>null</v>
      </c>
      <c r="X8081" s="33">
        <f>IFERROR(__xludf.DUMMYFUNCTION("""COMPUTED_VALUE"""),1.0)</f>
        <v>1</v>
      </c>
    </row>
    <row r="8082">
      <c r="K8082" s="4" t="str">
        <f>IFERROR(__xludf.DUMMYFUNCTION("""COMPUTED_VALUE"""),"CHURRASCARIA E RESTAURANTE BOM BOI")</f>
        <v>CHURRASCARIA E RESTAURANTE BOM BOI</v>
      </c>
      <c r="L8082" s="32">
        <f>IFERROR(__xludf.DUMMYFUNCTION("""COMPUTED_VALUE"""),1.0)</f>
        <v>1</v>
      </c>
      <c r="M8082" s="4" t="str">
        <f>IFERROR(__xludf.DUMMYFUNCTION("""COMPUTED_VALUE"""),"Sistema Pallas")</f>
        <v>Sistema Pallas</v>
      </c>
      <c r="N8082" s="33">
        <f>IFERROR(__xludf.DUMMYFUNCTION("""COMPUTED_VALUE"""),1.0)</f>
        <v>1</v>
      </c>
      <c r="O8082" s="4" t="str">
        <f>IFERROR(__xludf.DUMMYFUNCTION("""COMPUTED_VALUE"""),"Sistema Pallas")</f>
        <v>Sistema Pallas</v>
      </c>
      <c r="P8082" s="33">
        <f>IFERROR(__xludf.DUMMYFUNCTION("""COMPUTED_VALUE"""),1.0)</f>
        <v>1</v>
      </c>
      <c r="Q8082" s="4" t="str">
        <f>IFERROR(__xludf.DUMMYFUNCTION("""COMPUTED_VALUE"""),"Sistema Pallas")</f>
        <v>Sistema Pallas</v>
      </c>
      <c r="R8082" s="33">
        <f>IFERROR(__xludf.DUMMYFUNCTION("""COMPUTED_VALUE"""),1.0)</f>
        <v>1</v>
      </c>
      <c r="S8082" s="4" t="str">
        <f>IFERROR(__xludf.DUMMYFUNCTION("""COMPUTED_VALUE"""),"Sistema Pallas")</f>
        <v>Sistema Pallas</v>
      </c>
      <c r="T8082" s="33">
        <f>IFERROR(__xludf.DUMMYFUNCTION("""COMPUTED_VALUE"""),1.0)</f>
        <v>1</v>
      </c>
      <c r="U8082" s="4" t="str">
        <f>IFERROR(__xludf.DUMMYFUNCTION("""COMPUTED_VALUE"""),"Sistema Pallas")</f>
        <v>Sistema Pallas</v>
      </c>
      <c r="V8082" s="33">
        <f>IFERROR(__xludf.DUMMYFUNCTION("""COMPUTED_VALUE"""),1.0)</f>
        <v>1</v>
      </c>
      <c r="W8082" s="4" t="str">
        <f>IFERROR(__xludf.DUMMYFUNCTION("""COMPUTED_VALUE"""),"Sistema Pallas")</f>
        <v>Sistema Pallas</v>
      </c>
      <c r="X8082" s="33">
        <f>IFERROR(__xludf.DUMMYFUNCTION("""COMPUTED_VALUE"""),1.0)</f>
        <v>1</v>
      </c>
    </row>
    <row r="8083">
      <c r="K8083" s="4" t="str">
        <f>IFERROR(__xludf.DUMMYFUNCTION("""COMPUTED_VALUE"""),"FARMACIAS DRUGSTORE LIFE")</f>
        <v>FARMACIAS DRUGSTORE LIFE</v>
      </c>
      <c r="L8083" s="32">
        <f>IFERROR(__xludf.DUMMYFUNCTION("""COMPUTED_VALUE"""),1.0)</f>
        <v>1</v>
      </c>
      <c r="M8083" s="4" t="str">
        <f>IFERROR(__xludf.DUMMYFUNCTION("""COMPUTED_VALUE"""),"N/A (Not found)")</f>
        <v>N/A (Not found)</v>
      </c>
      <c r="N8083" s="33">
        <f>IFERROR(__xludf.DUMMYFUNCTION("""COMPUTED_VALUE"""),1.0)</f>
        <v>1</v>
      </c>
      <c r="O8083" s="4" t="str">
        <f>IFERROR(__xludf.DUMMYFUNCTION("""COMPUTED_VALUE"""),"null")</f>
        <v>null</v>
      </c>
      <c r="P8083" s="33">
        <f>IFERROR(__xludf.DUMMYFUNCTION("""COMPUTED_VALUE"""),1.0)</f>
        <v>1</v>
      </c>
      <c r="Q8083" s="4" t="str">
        <f>IFERROR(__xludf.DUMMYFUNCTION("""COMPUTED_VALUE"""),"null")</f>
        <v>null</v>
      </c>
      <c r="R8083" s="33">
        <f>IFERROR(__xludf.DUMMYFUNCTION("""COMPUTED_VALUE"""),1.0)</f>
        <v>1</v>
      </c>
      <c r="S8083" s="4" t="str">
        <f>IFERROR(__xludf.DUMMYFUNCTION("""COMPUTED_VALUE"""),"null")</f>
        <v>null</v>
      </c>
      <c r="T8083" s="33">
        <f>IFERROR(__xludf.DUMMYFUNCTION("""COMPUTED_VALUE"""),1.0)</f>
        <v>1</v>
      </c>
      <c r="U8083" s="4" t="str">
        <f>IFERROR(__xludf.DUMMYFUNCTION("""COMPUTED_VALUE"""),"null")</f>
        <v>null</v>
      </c>
      <c r="V8083" s="33">
        <f>IFERROR(__xludf.DUMMYFUNCTION("""COMPUTED_VALUE"""),1.0)</f>
        <v>1</v>
      </c>
      <c r="W8083" s="4" t="str">
        <f>IFERROR(__xludf.DUMMYFUNCTION("""COMPUTED_VALUE"""),"null")</f>
        <v>null</v>
      </c>
      <c r="X8083" s="33">
        <f>IFERROR(__xludf.DUMMYFUNCTION("""COMPUTED_VALUE"""),1.0)</f>
        <v>1</v>
      </c>
    </row>
    <row r="8084">
      <c r="K8084" s="4" t="str">
        <f>IFERROR(__xludf.DUMMYFUNCTION("""COMPUTED_VALUE"""),"RANCHO DE PALHA RESTAURANTE")</f>
        <v>RANCHO DE PALHA RESTAURANTE</v>
      </c>
      <c r="L8084" s="32">
        <f>IFERROR(__xludf.DUMMYFUNCTION("""COMPUTED_VALUE"""),1.0)</f>
        <v>1</v>
      </c>
      <c r="M8084" s="4" t="str">
        <f>IFERROR(__xludf.DUMMYFUNCTION("""COMPUTED_VALUE"""),"M-du Tecnologia")</f>
        <v>M-du Tecnologia</v>
      </c>
      <c r="N8084" s="33">
        <f>IFERROR(__xludf.DUMMYFUNCTION("""COMPUTED_VALUE"""),1.0)</f>
        <v>1</v>
      </c>
      <c r="O8084" s="4" t="str">
        <f>IFERROR(__xludf.DUMMYFUNCTION("""COMPUTED_VALUE"""),"M-du Tecnologia")</f>
        <v>M-du Tecnologia</v>
      </c>
      <c r="P8084" s="33">
        <f>IFERROR(__xludf.DUMMYFUNCTION("""COMPUTED_VALUE"""),1.0)</f>
        <v>1</v>
      </c>
      <c r="Q8084" s="4" t="str">
        <f>IFERROR(__xludf.DUMMYFUNCTION("""COMPUTED_VALUE"""),"M-du Tecnologia")</f>
        <v>M-du Tecnologia</v>
      </c>
      <c r="R8084" s="33">
        <f>IFERROR(__xludf.DUMMYFUNCTION("""COMPUTED_VALUE"""),1.0)</f>
        <v>1</v>
      </c>
      <c r="S8084" s="4" t="str">
        <f>IFERROR(__xludf.DUMMYFUNCTION("""COMPUTED_VALUE"""),"M-du Tecnologia")</f>
        <v>M-du Tecnologia</v>
      </c>
      <c r="T8084" s="33">
        <f>IFERROR(__xludf.DUMMYFUNCTION("""COMPUTED_VALUE"""),1.0)</f>
        <v>1</v>
      </c>
      <c r="U8084" s="4" t="str">
        <f>IFERROR(__xludf.DUMMYFUNCTION("""COMPUTED_VALUE"""),"M-du Tecnologia")</f>
        <v>M-du Tecnologia</v>
      </c>
      <c r="V8084" s="33">
        <f>IFERROR(__xludf.DUMMYFUNCTION("""COMPUTED_VALUE"""),1.0)</f>
        <v>1</v>
      </c>
      <c r="W8084" s="4" t="str">
        <f>IFERROR(__xludf.DUMMYFUNCTION("""COMPUTED_VALUE"""),"M-du Tecnologia")</f>
        <v>M-du Tecnologia</v>
      </c>
      <c r="X8084" s="33">
        <f>IFERROR(__xludf.DUMMYFUNCTION("""COMPUTED_VALUE"""),1.0)</f>
        <v>1</v>
      </c>
    </row>
    <row r="8085">
      <c r="K8085" s="4" t="str">
        <f>IFERROR(__xludf.DUMMYFUNCTION("""COMPUTED_VALUE"""),"A BOA PIZZARIA")</f>
        <v>A BOA PIZZARIA</v>
      </c>
      <c r="L8085" s="32">
        <f>IFERROR(__xludf.DUMMYFUNCTION("""COMPUTED_VALUE"""),1.0)</f>
        <v>1</v>
      </c>
      <c r="M8085" s="4" t="str">
        <f>IFERROR(__xludf.DUMMYFUNCTION("""COMPUTED_VALUE"""),"Alloy Tecnologia")</f>
        <v>Alloy Tecnologia</v>
      </c>
      <c r="N8085" s="33">
        <f>IFERROR(__xludf.DUMMYFUNCTION("""COMPUTED_VALUE"""),1.0)</f>
        <v>1</v>
      </c>
      <c r="O8085" s="4" t="str">
        <f>IFERROR(__xludf.DUMMYFUNCTION("""COMPUTED_VALUE"""),"Cardápio Web")</f>
        <v>Cardápio Web</v>
      </c>
      <c r="P8085" s="33">
        <f>IFERROR(__xludf.DUMMYFUNCTION("""COMPUTED_VALUE"""),1.0)</f>
        <v>1</v>
      </c>
      <c r="Q8085" s="4" t="str">
        <f>IFERROR(__xludf.DUMMYFUNCTION("""COMPUTED_VALUE"""),"Cardápio Web")</f>
        <v>Cardápio Web</v>
      </c>
      <c r="R8085" s="33">
        <f>IFERROR(__xludf.DUMMYFUNCTION("""COMPUTED_VALUE"""),1.0)</f>
        <v>1</v>
      </c>
      <c r="S8085" s="4" t="str">
        <f>IFERROR(__xludf.DUMMYFUNCTION("""COMPUTED_VALUE"""),"Cardápio Web")</f>
        <v>Cardápio Web</v>
      </c>
      <c r="T8085" s="33">
        <f>IFERROR(__xludf.DUMMYFUNCTION("""COMPUTED_VALUE"""),1.0)</f>
        <v>1</v>
      </c>
      <c r="U8085" s="4" t="str">
        <f>IFERROR(__xludf.DUMMYFUNCTION("""COMPUTED_VALUE"""),"Cardápio Web")</f>
        <v>Cardápio Web</v>
      </c>
      <c r="V8085" s="33">
        <f>IFERROR(__xludf.DUMMYFUNCTION("""COMPUTED_VALUE"""),1.0)</f>
        <v>1</v>
      </c>
      <c r="W8085" s="4" t="str">
        <f>IFERROR(__xludf.DUMMYFUNCTION("""COMPUTED_VALUE"""),"Cardápio Web")</f>
        <v>Cardápio Web</v>
      </c>
      <c r="X8085" s="33">
        <f>IFERROR(__xludf.DUMMYFUNCTION("""COMPUTED_VALUE"""),1.0)</f>
        <v>1</v>
      </c>
    </row>
    <row r="8086">
      <c r="K8086" s="4" t="str">
        <f>IFERROR(__xludf.DUMMYFUNCTION("""COMPUTED_VALUE"""),"ESFIHAS SPEED")</f>
        <v>ESFIHAS SPEED</v>
      </c>
      <c r="L8086" s="32">
        <f>IFERROR(__xludf.DUMMYFUNCTION("""COMPUTED_VALUE"""),1.0)</f>
        <v>1</v>
      </c>
      <c r="M8086" s="4" t="str">
        <f>IFERROR(__xludf.DUMMYFUNCTION("""COMPUTED_VALUE"""),"Parseint Desenvolvimento De Sistemas Ltda")</f>
        <v>Parseint Desenvolvimento De Sistemas Ltda</v>
      </c>
      <c r="N8086" s="33">
        <f>IFERROR(__xludf.DUMMYFUNCTION("""COMPUTED_VALUE"""),1.0)</f>
        <v>1</v>
      </c>
      <c r="O8086" s="4" t="str">
        <f>IFERROR(__xludf.DUMMYFUNCTION("""COMPUTED_VALUE"""),"null")</f>
        <v>null</v>
      </c>
      <c r="P8086" s="33">
        <f>IFERROR(__xludf.DUMMYFUNCTION("""COMPUTED_VALUE"""),1.0)</f>
        <v>1</v>
      </c>
      <c r="Q8086" s="4" t="str">
        <f>IFERROR(__xludf.DUMMYFUNCTION("""COMPUTED_VALUE"""),"null")</f>
        <v>null</v>
      </c>
      <c r="R8086" s="33">
        <f>IFERROR(__xludf.DUMMYFUNCTION("""COMPUTED_VALUE"""),1.0)</f>
        <v>1</v>
      </c>
      <c r="S8086" s="4" t="str">
        <f>IFERROR(__xludf.DUMMYFUNCTION("""COMPUTED_VALUE"""),"null")</f>
        <v>null</v>
      </c>
      <c r="T8086" s="33">
        <f>IFERROR(__xludf.DUMMYFUNCTION("""COMPUTED_VALUE"""),1.0)</f>
        <v>1</v>
      </c>
      <c r="U8086" s="4" t="str">
        <f>IFERROR(__xludf.DUMMYFUNCTION("""COMPUTED_VALUE"""),"null")</f>
        <v>null</v>
      </c>
      <c r="V8086" s="33">
        <f>IFERROR(__xludf.DUMMYFUNCTION("""COMPUTED_VALUE"""),1.0)</f>
        <v>1</v>
      </c>
      <c r="W8086" s="4" t="str">
        <f>IFERROR(__xludf.DUMMYFUNCTION("""COMPUTED_VALUE"""),"null")</f>
        <v>null</v>
      </c>
      <c r="X8086" s="33">
        <f>IFERROR(__xludf.DUMMYFUNCTION("""COMPUTED_VALUE"""),1.0)</f>
        <v>1</v>
      </c>
    </row>
    <row r="8087">
      <c r="K8087" s="4" t="str">
        <f>IFERROR(__xludf.DUMMYFUNCTION("""COMPUTED_VALUE"""),"FRIO DA MADRUGADA")</f>
        <v>FRIO DA MADRUGADA</v>
      </c>
      <c r="L8087" s="32">
        <f>IFERROR(__xludf.DUMMYFUNCTION("""COMPUTED_VALUE"""),1.0)</f>
        <v>1</v>
      </c>
      <c r="M8087" s="4" t="str">
        <f>IFERROR(__xludf.DUMMYFUNCTION("""COMPUTED_VALUE"""),"Sti3 Soluções Em Ti")</f>
        <v>Sti3 Soluções Em Ti</v>
      </c>
      <c r="N8087" s="33">
        <f>IFERROR(__xludf.DUMMYFUNCTION("""COMPUTED_VALUE"""),1.0)</f>
        <v>1</v>
      </c>
      <c r="O8087" s="4" t="str">
        <f>IFERROR(__xludf.DUMMYFUNCTION("""COMPUTED_VALUE"""),"Sti3 Soluções Em Ti")</f>
        <v>Sti3 Soluções Em Ti</v>
      </c>
      <c r="P8087" s="33">
        <f>IFERROR(__xludf.DUMMYFUNCTION("""COMPUTED_VALUE"""),1.0)</f>
        <v>1</v>
      </c>
      <c r="Q8087" s="4" t="str">
        <f>IFERROR(__xludf.DUMMYFUNCTION("""COMPUTED_VALUE"""),"Sti3 Soluções Em Ti")</f>
        <v>Sti3 Soluções Em Ti</v>
      </c>
      <c r="R8087" s="33">
        <f>IFERROR(__xludf.DUMMYFUNCTION("""COMPUTED_VALUE"""),1.0)</f>
        <v>1</v>
      </c>
      <c r="S8087" s="4" t="str">
        <f>IFERROR(__xludf.DUMMYFUNCTION("""COMPUTED_VALUE"""),"Sti3 Soluções Em Ti")</f>
        <v>Sti3 Soluções Em Ti</v>
      </c>
      <c r="T8087" s="33">
        <f>IFERROR(__xludf.DUMMYFUNCTION("""COMPUTED_VALUE"""),1.0)</f>
        <v>1</v>
      </c>
      <c r="U8087" s="4" t="str">
        <f>IFERROR(__xludf.DUMMYFUNCTION("""COMPUTED_VALUE"""),"Sti3 Soluções Em Ti")</f>
        <v>Sti3 Soluções Em Ti</v>
      </c>
      <c r="V8087" s="33">
        <f>IFERROR(__xludf.DUMMYFUNCTION("""COMPUTED_VALUE"""),1.0)</f>
        <v>1</v>
      </c>
      <c r="W8087" s="4" t="str">
        <f>IFERROR(__xludf.DUMMYFUNCTION("""COMPUTED_VALUE"""),"Sti3 Soluções Em Ti")</f>
        <v>Sti3 Soluções Em Ti</v>
      </c>
      <c r="X8087" s="33">
        <f>IFERROR(__xludf.DUMMYFUNCTION("""COMPUTED_VALUE"""),1.0)</f>
        <v>1</v>
      </c>
    </row>
    <row r="8088">
      <c r="K8088" s="4" t="str">
        <f>IFERROR(__xludf.DUMMYFUNCTION("""COMPUTED_VALUE"""),"ESPETO E VIOLA - LANCHES - ESPETINHOS - CALDOS")</f>
        <v>ESPETO E VIOLA - LANCHES - ESPETINHOS - CALDOS</v>
      </c>
      <c r="L8088" s="32">
        <f>IFERROR(__xludf.DUMMYFUNCTION("""COMPUTED_VALUE"""),1.0)</f>
        <v>1</v>
      </c>
      <c r="M8088" s="4" t="str">
        <f>IFERROR(__xludf.DUMMYFUNCTION("""COMPUTED_VALUE"""),"Sistema Pallas")</f>
        <v>Sistema Pallas</v>
      </c>
      <c r="N8088" s="33">
        <f>IFERROR(__xludf.DUMMYFUNCTION("""COMPUTED_VALUE"""),1.0)</f>
        <v>1</v>
      </c>
      <c r="O8088" s="4" t="str">
        <f>IFERROR(__xludf.DUMMYFUNCTION("""COMPUTED_VALUE"""),"null")</f>
        <v>null</v>
      </c>
      <c r="P8088" s="33">
        <f>IFERROR(__xludf.DUMMYFUNCTION("""COMPUTED_VALUE"""),1.0)</f>
        <v>1</v>
      </c>
      <c r="Q8088" s="4" t="str">
        <f>IFERROR(__xludf.DUMMYFUNCTION("""COMPUTED_VALUE"""),"null")</f>
        <v>null</v>
      </c>
      <c r="R8088" s="33">
        <f>IFERROR(__xludf.DUMMYFUNCTION("""COMPUTED_VALUE"""),1.0)</f>
        <v>1</v>
      </c>
      <c r="S8088" s="4" t="str">
        <f>IFERROR(__xludf.DUMMYFUNCTION("""COMPUTED_VALUE"""),"null")</f>
        <v>null</v>
      </c>
      <c r="T8088" s="33">
        <f>IFERROR(__xludf.DUMMYFUNCTION("""COMPUTED_VALUE"""),1.0)</f>
        <v>1</v>
      </c>
      <c r="U8088" s="4" t="str">
        <f>IFERROR(__xludf.DUMMYFUNCTION("""COMPUTED_VALUE"""),"null")</f>
        <v>null</v>
      </c>
      <c r="V8088" s="33">
        <f>IFERROR(__xludf.DUMMYFUNCTION("""COMPUTED_VALUE"""),1.0)</f>
        <v>1</v>
      </c>
      <c r="W8088" s="4" t="str">
        <f>IFERROR(__xludf.DUMMYFUNCTION("""COMPUTED_VALUE"""),"null")</f>
        <v>null</v>
      </c>
      <c r="X8088" s="33">
        <f>IFERROR(__xludf.DUMMYFUNCTION("""COMPUTED_VALUE"""),1.0)</f>
        <v>1</v>
      </c>
    </row>
    <row r="8089">
      <c r="K8089" s="4" t="str">
        <f>IFERROR(__xludf.DUMMYFUNCTION("""COMPUTED_VALUE"""),"LANCHONETE AVALANCHES")</f>
        <v>LANCHONETE AVALANCHES</v>
      </c>
      <c r="L8089" s="32">
        <f>IFERROR(__xludf.DUMMYFUNCTION("""COMPUTED_VALUE"""),1.0)</f>
        <v>1</v>
      </c>
      <c r="M8089" s="4" t="str">
        <f>IFERROR(__xludf.DUMMYFUNCTION("""COMPUTED_VALUE"""),"Anota Ai Solucoes Digitais S/a")</f>
        <v>Anota Ai Solucoes Digitais S/a</v>
      </c>
      <c r="N8089" s="33">
        <f>IFERROR(__xludf.DUMMYFUNCTION("""COMPUTED_VALUE"""),1.0)</f>
        <v>1</v>
      </c>
      <c r="O8089" s="4" t="str">
        <f>IFERROR(__xludf.DUMMYFUNCTION("""COMPUTED_VALUE"""),"Anota Ai Solucoes Digitais S/a")</f>
        <v>Anota Ai Solucoes Digitais S/a</v>
      </c>
      <c r="P8089" s="33">
        <f>IFERROR(__xludf.DUMMYFUNCTION("""COMPUTED_VALUE"""),1.0)</f>
        <v>1</v>
      </c>
      <c r="Q8089" s="4" t="str">
        <f>IFERROR(__xludf.DUMMYFUNCTION("""COMPUTED_VALUE"""),"Anota Ai Solucoes Digitais S/a")</f>
        <v>Anota Ai Solucoes Digitais S/a</v>
      </c>
      <c r="R8089" s="33">
        <f>IFERROR(__xludf.DUMMYFUNCTION("""COMPUTED_VALUE"""),1.0)</f>
        <v>1</v>
      </c>
      <c r="S8089" s="4" t="str">
        <f>IFERROR(__xludf.DUMMYFUNCTION("""COMPUTED_VALUE"""),"Anota Ai Solucoes Digitais S/a")</f>
        <v>Anota Ai Solucoes Digitais S/a</v>
      </c>
      <c r="T8089" s="33">
        <f>IFERROR(__xludf.DUMMYFUNCTION("""COMPUTED_VALUE"""),1.0)</f>
        <v>1</v>
      </c>
      <c r="U8089" s="4" t="str">
        <f>IFERROR(__xludf.DUMMYFUNCTION("""COMPUTED_VALUE"""),"Anota Ai Solucoes Digitais S/a")</f>
        <v>Anota Ai Solucoes Digitais S/a</v>
      </c>
      <c r="V8089" s="33">
        <f>IFERROR(__xludf.DUMMYFUNCTION("""COMPUTED_VALUE"""),1.0)</f>
        <v>1</v>
      </c>
      <c r="W8089" s="4" t="str">
        <f>IFERROR(__xludf.DUMMYFUNCTION("""COMPUTED_VALUE"""),"Anota Ai Solucoes Digitais S/a")</f>
        <v>Anota Ai Solucoes Digitais S/a</v>
      </c>
      <c r="X8089" s="33">
        <f>IFERROR(__xludf.DUMMYFUNCTION("""COMPUTED_VALUE"""),1.0)</f>
        <v>1</v>
      </c>
    </row>
    <row r="8090">
      <c r="K8090" s="4" t="str">
        <f>IFERROR(__xludf.DUMMYFUNCTION("""COMPUTED_VALUE"""),"PAPALUNA LANCHES")</f>
        <v>PAPALUNA LANCHES</v>
      </c>
      <c r="L8090" s="32">
        <f>IFERROR(__xludf.DUMMYFUNCTION("""COMPUTED_VALUE"""),1.0)</f>
        <v>1</v>
      </c>
      <c r="M8090" s="4" t="str">
        <f>IFERROR(__xludf.DUMMYFUNCTION("""COMPUTED_VALUE"""),"Saipos Serviços De Software")</f>
        <v>Saipos Serviços De Software</v>
      </c>
      <c r="N8090" s="33">
        <f>IFERROR(__xludf.DUMMYFUNCTION("""COMPUTED_VALUE"""),1.0)</f>
        <v>1</v>
      </c>
      <c r="O8090" s="4" t="str">
        <f>IFERROR(__xludf.DUMMYFUNCTION("""COMPUTED_VALUE"""),"Saipos Serviços De Software")</f>
        <v>Saipos Serviços De Software</v>
      </c>
      <c r="P8090" s="33">
        <f>IFERROR(__xludf.DUMMYFUNCTION("""COMPUTED_VALUE"""),1.0)</f>
        <v>1</v>
      </c>
      <c r="Q8090" s="4" t="str">
        <f>IFERROR(__xludf.DUMMYFUNCTION("""COMPUTED_VALUE"""),"Saipos Serviços De Software")</f>
        <v>Saipos Serviços De Software</v>
      </c>
      <c r="R8090" s="33">
        <f>IFERROR(__xludf.DUMMYFUNCTION("""COMPUTED_VALUE"""),1.0)</f>
        <v>1</v>
      </c>
      <c r="S8090" s="4" t="str">
        <f>IFERROR(__xludf.DUMMYFUNCTION("""COMPUTED_VALUE"""),"Saipos Serviços De Software")</f>
        <v>Saipos Serviços De Software</v>
      </c>
      <c r="T8090" s="33">
        <f>IFERROR(__xludf.DUMMYFUNCTION("""COMPUTED_VALUE"""),1.0)</f>
        <v>1</v>
      </c>
      <c r="U8090" s="4" t="str">
        <f>IFERROR(__xludf.DUMMYFUNCTION("""COMPUTED_VALUE"""),"Saipos Serviços De Software")</f>
        <v>Saipos Serviços De Software</v>
      </c>
      <c r="V8090" s="33">
        <f>IFERROR(__xludf.DUMMYFUNCTION("""COMPUTED_VALUE"""),1.0)</f>
        <v>1</v>
      </c>
      <c r="W8090" s="4" t="str">
        <f>IFERROR(__xludf.DUMMYFUNCTION("""COMPUTED_VALUE"""),"Saipos Serviços De Software")</f>
        <v>Saipos Serviços De Software</v>
      </c>
      <c r="X8090" s="33">
        <f>IFERROR(__xludf.DUMMYFUNCTION("""COMPUTED_VALUE"""),1.0)</f>
        <v>1</v>
      </c>
    </row>
    <row r="8091">
      <c r="K8091" s="4" t="str">
        <f>IFERROR(__xludf.DUMMYFUNCTION("""COMPUTED_VALUE"""),"IGUANA SORVETES ARTESANAIS - FREGUESIA")</f>
        <v>IGUANA SORVETES ARTESANAIS - FREGUESIA</v>
      </c>
      <c r="L8091" s="32">
        <f>IFERROR(__xludf.DUMMYFUNCTION("""COMPUTED_VALUE"""),1.0)</f>
        <v>1</v>
      </c>
      <c r="M8091" s="4" t="str">
        <f>IFERROR(__xludf.DUMMYFUNCTION("""COMPUTED_VALUE"""),"Compucel Tecnologia | Restaurante Fácil")</f>
        <v>Compucel Tecnologia | Restaurante Fácil</v>
      </c>
      <c r="N8091" s="33">
        <f>IFERROR(__xludf.DUMMYFUNCTION("""COMPUTED_VALUE"""),1.0)</f>
        <v>1</v>
      </c>
      <c r="O8091" s="4" t="str">
        <f>IFERROR(__xludf.DUMMYFUNCTION("""COMPUTED_VALUE"""),"null")</f>
        <v>null</v>
      </c>
      <c r="P8091" s="33">
        <f>IFERROR(__xludf.DUMMYFUNCTION("""COMPUTED_VALUE"""),1.0)</f>
        <v>1</v>
      </c>
      <c r="Q8091" s="4" t="str">
        <f>IFERROR(__xludf.DUMMYFUNCTION("""COMPUTED_VALUE"""),"null")</f>
        <v>null</v>
      </c>
      <c r="R8091" s="33">
        <f>IFERROR(__xludf.DUMMYFUNCTION("""COMPUTED_VALUE"""),1.0)</f>
        <v>1</v>
      </c>
      <c r="S8091" s="4" t="str">
        <f>IFERROR(__xludf.DUMMYFUNCTION("""COMPUTED_VALUE"""),"null")</f>
        <v>null</v>
      </c>
      <c r="T8091" s="33">
        <f>IFERROR(__xludf.DUMMYFUNCTION("""COMPUTED_VALUE"""),1.0)</f>
        <v>1</v>
      </c>
      <c r="U8091" s="4" t="str">
        <f>IFERROR(__xludf.DUMMYFUNCTION("""COMPUTED_VALUE"""),"null")</f>
        <v>null</v>
      </c>
      <c r="V8091" s="33">
        <f>IFERROR(__xludf.DUMMYFUNCTION("""COMPUTED_VALUE"""),1.0)</f>
        <v>1</v>
      </c>
      <c r="W8091" s="4" t="str">
        <f>IFERROR(__xludf.DUMMYFUNCTION("""COMPUTED_VALUE"""),"null")</f>
        <v>null</v>
      </c>
      <c r="X8091" s="33">
        <f>IFERROR(__xludf.DUMMYFUNCTION("""COMPUTED_VALUE"""),1.0)</f>
        <v>1</v>
      </c>
    </row>
    <row r="8092">
      <c r="K8092" s="4" t="str">
        <f>IFERROR(__xludf.DUMMYFUNCTION("""COMPUTED_VALUE"""),"RFC - RECIFE FRANGO CROCANTE TAMARINEIRA")</f>
        <v>RFC - RECIFE FRANGO CROCANTE TAMARINEIRA</v>
      </c>
      <c r="L8092" s="32">
        <f>IFERROR(__xludf.DUMMYFUNCTION("""COMPUTED_VALUE"""),1.0)</f>
        <v>1</v>
      </c>
      <c r="M8092" s="4" t="str">
        <f>IFERROR(__xludf.DUMMYFUNCTION("""COMPUTED_VALUE"""),"Cardápio Web")</f>
        <v>Cardápio Web</v>
      </c>
      <c r="N8092" s="33">
        <f>IFERROR(__xludf.DUMMYFUNCTION("""COMPUTED_VALUE"""),1.0)</f>
        <v>1</v>
      </c>
      <c r="O8092" s="4" t="str">
        <f>IFERROR(__xludf.DUMMYFUNCTION("""COMPUTED_VALUE"""),"Cardápio Web")</f>
        <v>Cardápio Web</v>
      </c>
      <c r="P8092" s="33">
        <f>IFERROR(__xludf.DUMMYFUNCTION("""COMPUTED_VALUE"""),1.0)</f>
        <v>1</v>
      </c>
      <c r="Q8092" s="4" t="str">
        <f>IFERROR(__xludf.DUMMYFUNCTION("""COMPUTED_VALUE"""),"null")</f>
        <v>null</v>
      </c>
      <c r="R8092" s="33">
        <f>IFERROR(__xludf.DUMMYFUNCTION("""COMPUTED_VALUE"""),1.0)</f>
        <v>1</v>
      </c>
      <c r="S8092" s="4" t="str">
        <f>IFERROR(__xludf.DUMMYFUNCTION("""COMPUTED_VALUE"""),"null")</f>
        <v>null</v>
      </c>
      <c r="T8092" s="33">
        <f>IFERROR(__xludf.DUMMYFUNCTION("""COMPUTED_VALUE"""),1.0)</f>
        <v>1</v>
      </c>
      <c r="U8092" s="4" t="str">
        <f>IFERROR(__xludf.DUMMYFUNCTION("""COMPUTED_VALUE"""),"null")</f>
        <v>null</v>
      </c>
      <c r="V8092" s="33">
        <f>IFERROR(__xludf.DUMMYFUNCTION("""COMPUTED_VALUE"""),1.0)</f>
        <v>1</v>
      </c>
      <c r="W8092" s="4" t="str">
        <f>IFERROR(__xludf.DUMMYFUNCTION("""COMPUTED_VALUE"""),"null")</f>
        <v>null</v>
      </c>
      <c r="X8092" s="33">
        <f>IFERROR(__xludf.DUMMYFUNCTION("""COMPUTED_VALUE"""),1.0)</f>
        <v>1</v>
      </c>
    </row>
    <row r="8093">
      <c r="K8093" s="4" t="str">
        <f>IFERROR(__xludf.DUMMYFUNCTION("""COMPUTED_VALUE"""),"NINJAS BURGER")</f>
        <v>NINJAS BURGER</v>
      </c>
      <c r="L8093" s="32">
        <f>IFERROR(__xludf.DUMMYFUNCTION("""COMPUTED_VALUE"""),1.0)</f>
        <v>1</v>
      </c>
      <c r="M8093" s="4" t="str">
        <f>IFERROR(__xludf.DUMMYFUNCTION("""COMPUTED_VALUE"""),"Olaclick")</f>
        <v>Olaclick</v>
      </c>
      <c r="N8093" s="33">
        <f>IFERROR(__xludf.DUMMYFUNCTION("""COMPUTED_VALUE"""),1.0)</f>
        <v>1</v>
      </c>
      <c r="O8093" s="4" t="str">
        <f>IFERROR(__xludf.DUMMYFUNCTION("""COMPUTED_VALUE"""),"Olaclick")</f>
        <v>Olaclick</v>
      </c>
      <c r="P8093" s="33">
        <f>IFERROR(__xludf.DUMMYFUNCTION("""COMPUTED_VALUE"""),1.0)</f>
        <v>1</v>
      </c>
      <c r="Q8093" s="4" t="str">
        <f>IFERROR(__xludf.DUMMYFUNCTION("""COMPUTED_VALUE"""),"null")</f>
        <v>null</v>
      </c>
      <c r="R8093" s="33">
        <f>IFERROR(__xludf.DUMMYFUNCTION("""COMPUTED_VALUE"""),1.0)</f>
        <v>1</v>
      </c>
      <c r="S8093" s="4" t="str">
        <f>IFERROR(__xludf.DUMMYFUNCTION("""COMPUTED_VALUE"""),"null")</f>
        <v>null</v>
      </c>
      <c r="T8093" s="33">
        <f>IFERROR(__xludf.DUMMYFUNCTION("""COMPUTED_VALUE"""),1.0)</f>
        <v>1</v>
      </c>
      <c r="U8093" s="4" t="str">
        <f>IFERROR(__xludf.DUMMYFUNCTION("""COMPUTED_VALUE"""),"null")</f>
        <v>null</v>
      </c>
      <c r="V8093" s="33">
        <f>IFERROR(__xludf.DUMMYFUNCTION("""COMPUTED_VALUE"""),1.0)</f>
        <v>1</v>
      </c>
      <c r="W8093" s="4" t="str">
        <f>IFERROR(__xludf.DUMMYFUNCTION("""COMPUTED_VALUE"""),"Olaclick")</f>
        <v>Olaclick</v>
      </c>
      <c r="X8093" s="33">
        <f>IFERROR(__xludf.DUMMYFUNCTION("""COMPUTED_VALUE"""),1.0)</f>
        <v>1</v>
      </c>
    </row>
    <row r="8094">
      <c r="K8094" s="4" t="str">
        <f>IFERROR(__xludf.DUMMYFUNCTION("""COMPUTED_VALUE"""),"KDELICIA ACAI, SORVETES, MILK SHAKE, SALADA DE FRUTAS, VITAMINAS E FONDUE")</f>
        <v>KDELICIA ACAI, SORVETES, MILK SHAKE, SALADA DE FRUTAS, VITAMINAS E FONDUE</v>
      </c>
      <c r="L8094" s="32">
        <f>IFERROR(__xludf.DUMMYFUNCTION("""COMPUTED_VALUE"""),1.0)</f>
        <v>1</v>
      </c>
      <c r="M8094" s="4" t="str">
        <f>IFERROR(__xludf.DUMMYFUNCTION("""COMPUTED_VALUE"""),"null")</f>
        <v>null</v>
      </c>
      <c r="N8094" s="33">
        <f>IFERROR(__xludf.DUMMYFUNCTION("""COMPUTED_VALUE"""),1.0)</f>
        <v>1</v>
      </c>
      <c r="O8094" s="4" t="str">
        <f>IFERROR(__xludf.DUMMYFUNCTION("""COMPUTED_VALUE"""),"null")</f>
        <v>null</v>
      </c>
      <c r="P8094" s="33">
        <f>IFERROR(__xludf.DUMMYFUNCTION("""COMPUTED_VALUE"""),1.0)</f>
        <v>1</v>
      </c>
      <c r="Q8094" s="4" t="str">
        <f>IFERROR(__xludf.DUMMYFUNCTION("""COMPUTED_VALUE"""),"null")</f>
        <v>null</v>
      </c>
      <c r="R8094" s="33">
        <f>IFERROR(__xludf.DUMMYFUNCTION("""COMPUTED_VALUE"""),1.0)</f>
        <v>1</v>
      </c>
      <c r="S8094" s="4" t="str">
        <f>IFERROR(__xludf.DUMMYFUNCTION("""COMPUTED_VALUE"""),"null")</f>
        <v>null</v>
      </c>
      <c r="T8094" s="33">
        <f>IFERROR(__xludf.DUMMYFUNCTION("""COMPUTED_VALUE"""),1.0)</f>
        <v>1</v>
      </c>
      <c r="U8094" s="4" t="str">
        <f>IFERROR(__xludf.DUMMYFUNCTION("""COMPUTED_VALUE"""),"null")</f>
        <v>null</v>
      </c>
      <c r="V8094" s="33">
        <f>IFERROR(__xludf.DUMMYFUNCTION("""COMPUTED_VALUE"""),1.0)</f>
        <v>1</v>
      </c>
      <c r="W8094" s="4" t="str">
        <f>IFERROR(__xludf.DUMMYFUNCTION("""COMPUTED_VALUE"""),"Instadelivery")</f>
        <v>Instadelivery</v>
      </c>
      <c r="X8094" s="33">
        <f>IFERROR(__xludf.DUMMYFUNCTION("""COMPUTED_VALUE"""),1.0)</f>
        <v>1</v>
      </c>
    </row>
    <row r="8095">
      <c r="K8095" s="4" t="str">
        <f>IFERROR(__xludf.DUMMYFUNCTION("""COMPUTED_VALUE"""),"A FAVORITA MASSAS E FRITAS")</f>
        <v>A FAVORITA MASSAS E FRITAS</v>
      </c>
      <c r="L8095" s="32">
        <f>IFERROR(__xludf.DUMMYFUNCTION("""COMPUTED_VALUE"""),1.0)</f>
        <v>1</v>
      </c>
      <c r="M8095" s="4" t="str">
        <f>IFERROR(__xludf.DUMMYFUNCTION("""COMPUTED_VALUE"""),"Consumer Soluções Em Tecnologia Ltda")</f>
        <v>Consumer Soluções Em Tecnologia Ltda</v>
      </c>
      <c r="N8095" s="33">
        <f>IFERROR(__xludf.DUMMYFUNCTION("""COMPUTED_VALUE"""),1.0)</f>
        <v>1</v>
      </c>
      <c r="O8095" s="4" t="str">
        <f>IFERROR(__xludf.DUMMYFUNCTION("""COMPUTED_VALUE"""),"null")</f>
        <v>null</v>
      </c>
      <c r="P8095" s="33">
        <f>IFERROR(__xludf.DUMMYFUNCTION("""COMPUTED_VALUE"""),1.0)</f>
        <v>1</v>
      </c>
      <c r="Q8095" s="4" t="str">
        <f>IFERROR(__xludf.DUMMYFUNCTION("""COMPUTED_VALUE"""),"null")</f>
        <v>null</v>
      </c>
      <c r="R8095" s="33">
        <f>IFERROR(__xludf.DUMMYFUNCTION("""COMPUTED_VALUE"""),1.0)</f>
        <v>1</v>
      </c>
      <c r="S8095" s="4" t="str">
        <f>IFERROR(__xludf.DUMMYFUNCTION("""COMPUTED_VALUE"""),"null")</f>
        <v>null</v>
      </c>
      <c r="T8095" s="33">
        <f>IFERROR(__xludf.DUMMYFUNCTION("""COMPUTED_VALUE"""),1.0)</f>
        <v>1</v>
      </c>
      <c r="U8095" s="4" t="str">
        <f>IFERROR(__xludf.DUMMYFUNCTION("""COMPUTED_VALUE"""),"null")</f>
        <v>null</v>
      </c>
      <c r="V8095" s="33">
        <f>IFERROR(__xludf.DUMMYFUNCTION("""COMPUTED_VALUE"""),1.0)</f>
        <v>1</v>
      </c>
      <c r="W8095" s="4" t="str">
        <f>IFERROR(__xludf.DUMMYFUNCTION("""COMPUTED_VALUE"""),"null")</f>
        <v>null</v>
      </c>
      <c r="X8095" s="33">
        <f>IFERROR(__xludf.DUMMYFUNCTION("""COMPUTED_VALUE"""),1.0)</f>
        <v>1</v>
      </c>
    </row>
    <row r="8096">
      <c r="K8096" s="4" t="str">
        <f>IFERROR(__xludf.DUMMYFUNCTION("""COMPUTED_VALUE"""),"VAQUEROS BURGER")</f>
        <v>VAQUEROS BURGER</v>
      </c>
      <c r="L8096" s="32">
        <f>IFERROR(__xludf.DUMMYFUNCTION("""COMPUTED_VALUE"""),1.0)</f>
        <v>1</v>
      </c>
      <c r="M8096" s="4" t="str">
        <f>IFERROR(__xludf.DUMMYFUNCTION("""COMPUTED_VALUE"""),"Saipos Serviços De Software")</f>
        <v>Saipos Serviços De Software</v>
      </c>
      <c r="N8096" s="33">
        <f>IFERROR(__xludf.DUMMYFUNCTION("""COMPUTED_VALUE"""),1.0)</f>
        <v>1</v>
      </c>
      <c r="O8096" s="4" t="str">
        <f>IFERROR(__xludf.DUMMYFUNCTION("""COMPUTED_VALUE"""),"Saipos Serviços De Software")</f>
        <v>Saipos Serviços De Software</v>
      </c>
      <c r="P8096" s="33">
        <f>IFERROR(__xludf.DUMMYFUNCTION("""COMPUTED_VALUE"""),1.0)</f>
        <v>1</v>
      </c>
      <c r="Q8096" s="4" t="str">
        <f>IFERROR(__xludf.DUMMYFUNCTION("""COMPUTED_VALUE"""),"Saipos Serviços De Software")</f>
        <v>Saipos Serviços De Software</v>
      </c>
      <c r="R8096" s="33">
        <f>IFERROR(__xludf.DUMMYFUNCTION("""COMPUTED_VALUE"""),1.0)</f>
        <v>1</v>
      </c>
      <c r="S8096" s="4" t="str">
        <f>IFERROR(__xludf.DUMMYFUNCTION("""COMPUTED_VALUE"""),"Saipos Serviços De Software")</f>
        <v>Saipos Serviços De Software</v>
      </c>
      <c r="T8096" s="33">
        <f>IFERROR(__xludf.DUMMYFUNCTION("""COMPUTED_VALUE"""),1.0)</f>
        <v>1</v>
      </c>
      <c r="U8096" s="4" t="str">
        <f>IFERROR(__xludf.DUMMYFUNCTION("""COMPUTED_VALUE"""),"Saipos Serviços De Software")</f>
        <v>Saipos Serviços De Software</v>
      </c>
      <c r="V8096" s="33">
        <f>IFERROR(__xludf.DUMMYFUNCTION("""COMPUTED_VALUE"""),1.0)</f>
        <v>1</v>
      </c>
      <c r="W8096" s="4" t="str">
        <f>IFERROR(__xludf.DUMMYFUNCTION("""COMPUTED_VALUE"""),"Saipos Serviços De Software")</f>
        <v>Saipos Serviços De Software</v>
      </c>
      <c r="X8096" s="33">
        <f>IFERROR(__xludf.DUMMYFUNCTION("""COMPUTED_VALUE"""),1.0)</f>
        <v>1</v>
      </c>
    </row>
    <row r="8097">
      <c r="K8097" s="4" t="str">
        <f>IFERROR(__xludf.DUMMYFUNCTION("""COMPUTED_VALUE"""),"AVALANCHES PIZZARIA - ML")</f>
        <v>AVALANCHES PIZZARIA - ML</v>
      </c>
      <c r="L8097" s="32">
        <f>IFERROR(__xludf.DUMMYFUNCTION("""COMPUTED_VALUE"""),1.0)</f>
        <v>1</v>
      </c>
      <c r="M8097" s="4" t="str">
        <f>IFERROR(__xludf.DUMMYFUNCTION("""COMPUTED_VALUE"""),"Saipos Serviços De Software")</f>
        <v>Saipos Serviços De Software</v>
      </c>
      <c r="N8097" s="33">
        <f>IFERROR(__xludf.DUMMYFUNCTION("""COMPUTED_VALUE"""),1.0)</f>
        <v>1</v>
      </c>
      <c r="O8097" s="4" t="str">
        <f>IFERROR(__xludf.DUMMYFUNCTION("""COMPUTED_VALUE"""),"Saipos Serviços De Software")</f>
        <v>Saipos Serviços De Software</v>
      </c>
      <c r="P8097" s="33">
        <f>IFERROR(__xludf.DUMMYFUNCTION("""COMPUTED_VALUE"""),1.0)</f>
        <v>1</v>
      </c>
      <c r="Q8097" s="4" t="str">
        <f>IFERROR(__xludf.DUMMYFUNCTION("""COMPUTED_VALUE"""),"Saipos Serviços De Software")</f>
        <v>Saipos Serviços De Software</v>
      </c>
      <c r="R8097" s="33">
        <f>IFERROR(__xludf.DUMMYFUNCTION("""COMPUTED_VALUE"""),1.0)</f>
        <v>1</v>
      </c>
      <c r="S8097" s="4" t="str">
        <f>IFERROR(__xludf.DUMMYFUNCTION("""COMPUTED_VALUE"""),"Saipos Serviços De Software")</f>
        <v>Saipos Serviços De Software</v>
      </c>
      <c r="T8097" s="33">
        <f>IFERROR(__xludf.DUMMYFUNCTION("""COMPUTED_VALUE"""),1.0)</f>
        <v>1</v>
      </c>
      <c r="U8097" s="4" t="str">
        <f>IFERROR(__xludf.DUMMYFUNCTION("""COMPUTED_VALUE"""),"null")</f>
        <v>null</v>
      </c>
      <c r="V8097" s="33">
        <f>IFERROR(__xludf.DUMMYFUNCTION("""COMPUTED_VALUE"""),1.0)</f>
        <v>1</v>
      </c>
      <c r="W8097" s="4" t="str">
        <f>IFERROR(__xludf.DUMMYFUNCTION("""COMPUTED_VALUE"""),"null")</f>
        <v>null</v>
      </c>
      <c r="X8097" s="33">
        <f>IFERROR(__xludf.DUMMYFUNCTION("""COMPUTED_VALUE"""),1.0)</f>
        <v>1</v>
      </c>
    </row>
    <row r="8098">
      <c r="K8098" s="4" t="str">
        <f>IFERROR(__xludf.DUMMYFUNCTION("""COMPUTED_VALUE"""),"TARDEZINHA")</f>
        <v>TARDEZINHA</v>
      </c>
      <c r="L8098" s="32">
        <f>IFERROR(__xludf.DUMMYFUNCTION("""COMPUTED_VALUE"""),1.0)</f>
        <v>1</v>
      </c>
      <c r="M8098" s="4" t="str">
        <f>IFERROR(__xludf.DUMMYFUNCTION("""COMPUTED_VALUE"""),"null")</f>
        <v>null</v>
      </c>
      <c r="N8098" s="33">
        <f>IFERROR(__xludf.DUMMYFUNCTION("""COMPUTED_VALUE"""),1.0)</f>
        <v>1</v>
      </c>
      <c r="O8098" s="4" t="str">
        <f>IFERROR(__xludf.DUMMYFUNCTION("""COMPUTED_VALUE"""),"null")</f>
        <v>null</v>
      </c>
      <c r="P8098" s="33">
        <f>IFERROR(__xludf.DUMMYFUNCTION("""COMPUTED_VALUE"""),1.0)</f>
        <v>1</v>
      </c>
      <c r="Q8098" s="4" t="str">
        <f>IFERROR(__xludf.DUMMYFUNCTION("""COMPUTED_VALUE"""),"Solução Sistemas")</f>
        <v>Solução Sistemas</v>
      </c>
      <c r="R8098" s="33">
        <f>IFERROR(__xludf.DUMMYFUNCTION("""COMPUTED_VALUE"""),1.0)</f>
        <v>1</v>
      </c>
      <c r="S8098" s="4" t="str">
        <f>IFERROR(__xludf.DUMMYFUNCTION("""COMPUTED_VALUE"""),"Saipos Serviços De Software")</f>
        <v>Saipos Serviços De Software</v>
      </c>
      <c r="T8098" s="33">
        <f>IFERROR(__xludf.DUMMYFUNCTION("""COMPUTED_VALUE"""),1.0)</f>
        <v>1</v>
      </c>
      <c r="U8098" s="4" t="str">
        <f>IFERROR(__xludf.DUMMYFUNCTION("""COMPUTED_VALUE"""),"Saipos Serviços De Software")</f>
        <v>Saipos Serviços De Software</v>
      </c>
      <c r="V8098" s="33">
        <f>IFERROR(__xludf.DUMMYFUNCTION("""COMPUTED_VALUE"""),1.0)</f>
        <v>1</v>
      </c>
      <c r="W8098" s="4" t="str">
        <f>IFERROR(__xludf.DUMMYFUNCTION("""COMPUTED_VALUE"""),"null")</f>
        <v>null</v>
      </c>
      <c r="X8098" s="33">
        <f>IFERROR(__xludf.DUMMYFUNCTION("""COMPUTED_VALUE"""),1.0)</f>
        <v>1</v>
      </c>
    </row>
    <row r="8099">
      <c r="K8099" s="4" t="str">
        <f>IFERROR(__xludf.DUMMYFUNCTION("""COMPUTED_VALUE"""),"SUPERMERCADO MORELLI")</f>
        <v>SUPERMERCADO MORELLI</v>
      </c>
      <c r="L8099" s="32">
        <f>IFERROR(__xludf.DUMMYFUNCTION("""COMPUTED_VALUE"""),1.0)</f>
        <v>1</v>
      </c>
      <c r="M8099" s="4" t="str">
        <f>IFERROR(__xludf.DUMMYFUNCTION("""COMPUTED_VALUE"""),"N/A (Not found)")</f>
        <v>N/A (Not found)</v>
      </c>
      <c r="N8099" s="33">
        <f>IFERROR(__xludf.DUMMYFUNCTION("""COMPUTED_VALUE"""),1.0)</f>
        <v>1</v>
      </c>
      <c r="O8099" s="4" t="str">
        <f>IFERROR(__xludf.DUMMYFUNCTION("""COMPUTED_VALUE"""),"N/A (Not found)")</f>
        <v>N/A (Not found)</v>
      </c>
      <c r="P8099" s="33">
        <f>IFERROR(__xludf.DUMMYFUNCTION("""COMPUTED_VALUE"""),1.0)</f>
        <v>1</v>
      </c>
      <c r="Q8099" s="4" t="str">
        <f>IFERROR(__xludf.DUMMYFUNCTION("""COMPUTED_VALUE"""),"N/A (Not found)")</f>
        <v>N/A (Not found)</v>
      </c>
      <c r="R8099" s="33">
        <f>IFERROR(__xludf.DUMMYFUNCTION("""COMPUTED_VALUE"""),1.0)</f>
        <v>1</v>
      </c>
      <c r="S8099" s="4" t="str">
        <f>IFERROR(__xludf.DUMMYFUNCTION("""COMPUTED_VALUE"""),"N/A (Not found)")</f>
        <v>N/A (Not found)</v>
      </c>
      <c r="T8099" s="33">
        <f>IFERROR(__xludf.DUMMYFUNCTION("""COMPUTED_VALUE"""),1.0)</f>
        <v>1</v>
      </c>
      <c r="U8099" s="4" t="str">
        <f>IFERROR(__xludf.DUMMYFUNCTION("""COMPUTED_VALUE"""),"N/A (Not found)")</f>
        <v>N/A (Not found)</v>
      </c>
      <c r="V8099" s="33">
        <f>IFERROR(__xludf.DUMMYFUNCTION("""COMPUTED_VALUE"""),1.0)</f>
        <v>1</v>
      </c>
      <c r="W8099" s="4" t="str">
        <f>IFERROR(__xludf.DUMMYFUNCTION("""COMPUTED_VALUE"""),"N/A (Not found)")</f>
        <v>N/A (Not found)</v>
      </c>
      <c r="X8099" s="33">
        <f>IFERROR(__xludf.DUMMYFUNCTION("""COMPUTED_VALUE"""),1.0)</f>
        <v>1</v>
      </c>
    </row>
    <row r="8100">
      <c r="K8100" s="4" t="str">
        <f>IFERROR(__xludf.DUMMYFUNCTION("""COMPUTED_VALUE"""),"BULLDOGS BURGUER - HAMBURGUERIA")</f>
        <v>BULLDOGS BURGUER - HAMBURGUERIA</v>
      </c>
      <c r="L8100" s="32">
        <f>IFERROR(__xludf.DUMMYFUNCTION("""COMPUTED_VALUE"""),1.0)</f>
        <v>1</v>
      </c>
      <c r="M8100" s="4" t="str">
        <f>IFERROR(__xludf.DUMMYFUNCTION("""COMPUTED_VALUE"""),"Saipos Serviços De Software")</f>
        <v>Saipos Serviços De Software</v>
      </c>
      <c r="N8100" s="33">
        <f>IFERROR(__xludf.DUMMYFUNCTION("""COMPUTED_VALUE"""),1.0)</f>
        <v>1</v>
      </c>
      <c r="O8100" s="4" t="str">
        <f>IFERROR(__xludf.DUMMYFUNCTION("""COMPUTED_VALUE"""),"Saipos Serviços De Software")</f>
        <v>Saipos Serviços De Software</v>
      </c>
      <c r="P8100" s="33">
        <f>IFERROR(__xludf.DUMMYFUNCTION("""COMPUTED_VALUE"""),1.0)</f>
        <v>1</v>
      </c>
      <c r="Q8100" s="4" t="str">
        <f>IFERROR(__xludf.DUMMYFUNCTION("""COMPUTED_VALUE"""),"Saipos Serviços De Software")</f>
        <v>Saipos Serviços De Software</v>
      </c>
      <c r="R8100" s="33">
        <f>IFERROR(__xludf.DUMMYFUNCTION("""COMPUTED_VALUE"""),1.0)</f>
        <v>1</v>
      </c>
      <c r="S8100" s="4" t="str">
        <f>IFERROR(__xludf.DUMMYFUNCTION("""COMPUTED_VALUE"""),"Saipos Serviços De Software")</f>
        <v>Saipos Serviços De Software</v>
      </c>
      <c r="T8100" s="33">
        <f>IFERROR(__xludf.DUMMYFUNCTION("""COMPUTED_VALUE"""),1.0)</f>
        <v>1</v>
      </c>
      <c r="U8100" s="4" t="str">
        <f>IFERROR(__xludf.DUMMYFUNCTION("""COMPUTED_VALUE"""),"Saipos Serviços De Software")</f>
        <v>Saipos Serviços De Software</v>
      </c>
      <c r="V8100" s="33">
        <f>IFERROR(__xludf.DUMMYFUNCTION("""COMPUTED_VALUE"""),1.0)</f>
        <v>1</v>
      </c>
      <c r="W8100" s="4" t="str">
        <f>IFERROR(__xludf.DUMMYFUNCTION("""COMPUTED_VALUE"""),"Saipos Serviços De Software")</f>
        <v>Saipos Serviços De Software</v>
      </c>
      <c r="X8100" s="33">
        <f>IFERROR(__xludf.DUMMYFUNCTION("""COMPUTED_VALUE"""),1.0)</f>
        <v>1</v>
      </c>
    </row>
    <row r="8101">
      <c r="K8101" s="4" t="str">
        <f>IFERROR(__xludf.DUMMYFUNCTION("""COMPUTED_VALUE"""),"PIZZARIA ESFIHARIA ANDRADE")</f>
        <v>PIZZARIA ESFIHARIA ANDRADE</v>
      </c>
      <c r="L8101" s="32">
        <f>IFERROR(__xludf.DUMMYFUNCTION("""COMPUTED_VALUE"""),1.0)</f>
        <v>1</v>
      </c>
      <c r="M8101" s="4" t="str">
        <f>IFERROR(__xludf.DUMMYFUNCTION("""COMPUTED_VALUE"""),"Saipos Serviços De Software")</f>
        <v>Saipos Serviços De Software</v>
      </c>
      <c r="N8101" s="33">
        <f>IFERROR(__xludf.DUMMYFUNCTION("""COMPUTED_VALUE"""),1.0)</f>
        <v>1</v>
      </c>
      <c r="O8101" s="4" t="str">
        <f>IFERROR(__xludf.DUMMYFUNCTION("""COMPUTED_VALUE"""),"Saipos Serviços De Software")</f>
        <v>Saipos Serviços De Software</v>
      </c>
      <c r="P8101" s="33">
        <f>IFERROR(__xludf.DUMMYFUNCTION("""COMPUTED_VALUE"""),1.0)</f>
        <v>1</v>
      </c>
      <c r="Q8101" s="4" t="str">
        <f>IFERROR(__xludf.DUMMYFUNCTION("""COMPUTED_VALUE"""),"null")</f>
        <v>null</v>
      </c>
      <c r="R8101" s="33">
        <f>IFERROR(__xludf.DUMMYFUNCTION("""COMPUTED_VALUE"""),1.0)</f>
        <v>1</v>
      </c>
      <c r="S8101" s="4" t="str">
        <f>IFERROR(__xludf.DUMMYFUNCTION("""COMPUTED_VALUE"""),"Saipos Serviços De Software")</f>
        <v>Saipos Serviços De Software</v>
      </c>
      <c r="T8101" s="33">
        <f>IFERROR(__xludf.DUMMYFUNCTION("""COMPUTED_VALUE"""),1.0)</f>
        <v>1</v>
      </c>
      <c r="U8101" s="4" t="str">
        <f>IFERROR(__xludf.DUMMYFUNCTION("""COMPUTED_VALUE"""),"Saipos Serviços De Software")</f>
        <v>Saipos Serviços De Software</v>
      </c>
      <c r="V8101" s="33">
        <f>IFERROR(__xludf.DUMMYFUNCTION("""COMPUTED_VALUE"""),1.0)</f>
        <v>1</v>
      </c>
      <c r="W8101" s="4" t="str">
        <f>IFERROR(__xludf.DUMMYFUNCTION("""COMPUTED_VALUE"""),"Saipos Serviços De Software")</f>
        <v>Saipos Serviços De Software</v>
      </c>
      <c r="X8101" s="33">
        <f>IFERROR(__xludf.DUMMYFUNCTION("""COMPUTED_VALUE"""),1.0)</f>
        <v>1</v>
      </c>
    </row>
    <row r="8102">
      <c r="K8102" s="4" t="str">
        <f>IFERROR(__xludf.DUMMYFUNCTION("""COMPUTED_VALUE"""),"ANJOOS ACAITERIA")</f>
        <v>ANJOOS ACAITERIA</v>
      </c>
      <c r="L8102" s="32">
        <f>IFERROR(__xludf.DUMMYFUNCTION("""COMPUTED_VALUE"""),1.0)</f>
        <v>1</v>
      </c>
      <c r="M8102" s="4" t="str">
        <f>IFERROR(__xludf.DUMMYFUNCTION("""COMPUTED_VALUE"""),"null")</f>
        <v>null</v>
      </c>
      <c r="N8102" s="33">
        <f>IFERROR(__xludf.DUMMYFUNCTION("""COMPUTED_VALUE"""),1.0)</f>
        <v>1</v>
      </c>
      <c r="O8102" s="4" t="str">
        <f>IFERROR(__xludf.DUMMYFUNCTION("""COMPUTED_VALUE"""),"null")</f>
        <v>null</v>
      </c>
      <c r="P8102" s="33">
        <f>IFERROR(__xludf.DUMMYFUNCTION("""COMPUTED_VALUE"""),1.0)</f>
        <v>1</v>
      </c>
      <c r="Q8102" s="4" t="str">
        <f>IFERROR(__xludf.DUMMYFUNCTION("""COMPUTED_VALUE"""),"null")</f>
        <v>null</v>
      </c>
      <c r="R8102" s="33">
        <f>IFERROR(__xludf.DUMMYFUNCTION("""COMPUTED_VALUE"""),1.0)</f>
        <v>1</v>
      </c>
      <c r="S8102" s="4" t="str">
        <f>IFERROR(__xludf.DUMMYFUNCTION("""COMPUTED_VALUE"""),"Cardápio Web")</f>
        <v>Cardápio Web</v>
      </c>
      <c r="T8102" s="33">
        <f>IFERROR(__xludf.DUMMYFUNCTION("""COMPUTED_VALUE"""),1.0)</f>
        <v>1</v>
      </c>
      <c r="U8102" s="4" t="str">
        <f>IFERROR(__xludf.DUMMYFUNCTION("""COMPUTED_VALUE"""),"Cardápio Web")</f>
        <v>Cardápio Web</v>
      </c>
      <c r="V8102" s="33">
        <f>IFERROR(__xludf.DUMMYFUNCTION("""COMPUTED_VALUE"""),1.0)</f>
        <v>1</v>
      </c>
      <c r="W8102" s="4" t="str">
        <f>IFERROR(__xludf.DUMMYFUNCTION("""COMPUTED_VALUE"""),"Cardápio Web")</f>
        <v>Cardápio Web</v>
      </c>
      <c r="X8102" s="33">
        <f>IFERROR(__xludf.DUMMYFUNCTION("""COMPUTED_VALUE"""),1.0)</f>
        <v>1</v>
      </c>
    </row>
    <row r="8103">
      <c r="K8103" s="4" t="str">
        <f>IFERROR(__xludf.DUMMYFUNCTION("""COMPUTED_VALUE"""),"PIZZARIA ART PURA")</f>
        <v>PIZZARIA ART PURA</v>
      </c>
      <c r="L8103" s="32">
        <f>IFERROR(__xludf.DUMMYFUNCTION("""COMPUTED_VALUE"""),1.0)</f>
        <v>1</v>
      </c>
      <c r="M8103" s="4">
        <f>IFERROR(__xludf.DUMMYFUNCTION("""COMPUTED_VALUE"""),88.0)</f>
        <v>88</v>
      </c>
      <c r="N8103" s="33">
        <f>IFERROR(__xludf.DUMMYFUNCTION("""COMPUTED_VALUE"""),1.0)</f>
        <v>1</v>
      </c>
      <c r="O8103" s="4" t="str">
        <f>IFERROR(__xludf.DUMMYFUNCTION("""COMPUTED_VALUE"""),"null")</f>
        <v>null</v>
      </c>
      <c r="P8103" s="33">
        <f>IFERROR(__xludf.DUMMYFUNCTION("""COMPUTED_VALUE"""),1.0)</f>
        <v>1</v>
      </c>
      <c r="Q8103" s="4" t="str">
        <f>IFERROR(__xludf.DUMMYFUNCTION("""COMPUTED_VALUE"""),"null")</f>
        <v>null</v>
      </c>
      <c r="R8103" s="33">
        <f>IFERROR(__xludf.DUMMYFUNCTION("""COMPUTED_VALUE"""),1.0)</f>
        <v>1</v>
      </c>
      <c r="S8103" s="4" t="str">
        <f>IFERROR(__xludf.DUMMYFUNCTION("""COMPUTED_VALUE"""),"null")</f>
        <v>null</v>
      </c>
      <c r="T8103" s="33">
        <f>IFERROR(__xludf.DUMMYFUNCTION("""COMPUTED_VALUE"""),1.0)</f>
        <v>1</v>
      </c>
      <c r="U8103" s="4" t="str">
        <f>IFERROR(__xludf.DUMMYFUNCTION("""COMPUTED_VALUE"""),"null")</f>
        <v>null</v>
      </c>
      <c r="V8103" s="33">
        <f>IFERROR(__xludf.DUMMYFUNCTION("""COMPUTED_VALUE"""),1.0)</f>
        <v>1</v>
      </c>
      <c r="W8103" s="4" t="str">
        <f>IFERROR(__xludf.DUMMYFUNCTION("""COMPUTED_VALUE"""),"null")</f>
        <v>null</v>
      </c>
      <c r="X8103" s="33">
        <f>IFERROR(__xludf.DUMMYFUNCTION("""COMPUTED_VALUE"""),1.0)</f>
        <v>1</v>
      </c>
    </row>
    <row r="8104">
      <c r="K8104" s="4" t="str">
        <f>IFERROR(__xludf.DUMMYFUNCTION("""COMPUTED_VALUE"""),"KIDELICIA SANDUICHERIA")</f>
        <v>KIDELICIA SANDUICHERIA</v>
      </c>
      <c r="L8104" s="32">
        <f>IFERROR(__xludf.DUMMYFUNCTION("""COMPUTED_VALUE"""),1.0)</f>
        <v>1</v>
      </c>
      <c r="M8104" s="4" t="str">
        <f>IFERROR(__xludf.DUMMYFUNCTION("""COMPUTED_VALUE"""),"null")</f>
        <v>null</v>
      </c>
      <c r="N8104" s="33">
        <f>IFERROR(__xludf.DUMMYFUNCTION("""COMPUTED_VALUE"""),1.0)</f>
        <v>1</v>
      </c>
      <c r="O8104" s="4" t="str">
        <f>IFERROR(__xludf.DUMMYFUNCTION("""COMPUTED_VALUE"""),"null")</f>
        <v>null</v>
      </c>
      <c r="P8104" s="33">
        <f>IFERROR(__xludf.DUMMYFUNCTION("""COMPUTED_VALUE"""),1.0)</f>
        <v>1</v>
      </c>
      <c r="Q8104" s="4" t="str">
        <f>IFERROR(__xludf.DUMMYFUNCTION("""COMPUTED_VALUE"""),"null")</f>
        <v>null</v>
      </c>
      <c r="R8104" s="33">
        <f>IFERROR(__xludf.DUMMYFUNCTION("""COMPUTED_VALUE"""),1.0)</f>
        <v>1</v>
      </c>
      <c r="S8104" s="4" t="str">
        <f>IFERROR(__xludf.DUMMYFUNCTION("""COMPUTED_VALUE"""),"null")</f>
        <v>null</v>
      </c>
      <c r="T8104" s="33">
        <f>IFERROR(__xludf.DUMMYFUNCTION("""COMPUTED_VALUE"""),1.0)</f>
        <v>1</v>
      </c>
      <c r="U8104" s="4" t="str">
        <f>IFERROR(__xludf.DUMMYFUNCTION("""COMPUTED_VALUE"""),"Sti3 Soluções Em Ti")</f>
        <v>Sti3 Soluções Em Ti</v>
      </c>
      <c r="V8104" s="33">
        <f>IFERROR(__xludf.DUMMYFUNCTION("""COMPUTED_VALUE"""),1.0)</f>
        <v>1</v>
      </c>
      <c r="W8104" s="4" t="str">
        <f>IFERROR(__xludf.DUMMYFUNCTION("""COMPUTED_VALUE"""),"Sti3 Soluções Em Ti")</f>
        <v>Sti3 Soluções Em Ti</v>
      </c>
      <c r="X8104" s="33">
        <f>IFERROR(__xludf.DUMMYFUNCTION("""COMPUTED_VALUE"""),1.0)</f>
        <v>1</v>
      </c>
    </row>
    <row r="8105">
      <c r="K8105" s="4" t="str">
        <f>IFERROR(__xludf.DUMMYFUNCTION("""COMPUTED_VALUE"""),"VIBE ACAI SOLO SAGRADO")</f>
        <v>VIBE ACAI SOLO SAGRADO</v>
      </c>
      <c r="L8105" s="32">
        <f>IFERROR(__xludf.DUMMYFUNCTION("""COMPUTED_VALUE"""),1.0)</f>
        <v>1</v>
      </c>
      <c r="M8105" s="4" t="str">
        <f>IFERROR(__xludf.DUMMYFUNCTION("""COMPUTED_VALUE"""),"Alfa Labs")</f>
        <v>Alfa Labs</v>
      </c>
      <c r="N8105" s="33">
        <f>IFERROR(__xludf.DUMMYFUNCTION("""COMPUTED_VALUE"""),1.0)</f>
        <v>1</v>
      </c>
      <c r="O8105" s="4" t="str">
        <f>IFERROR(__xludf.DUMMYFUNCTION("""COMPUTED_VALUE"""),"Alfa Labs")</f>
        <v>Alfa Labs</v>
      </c>
      <c r="P8105" s="33">
        <f>IFERROR(__xludf.DUMMYFUNCTION("""COMPUTED_VALUE"""),1.0)</f>
        <v>1</v>
      </c>
      <c r="Q8105" s="4" t="str">
        <f>IFERROR(__xludf.DUMMYFUNCTION("""COMPUTED_VALUE"""),"Alfa Labs")</f>
        <v>Alfa Labs</v>
      </c>
      <c r="R8105" s="33">
        <f>IFERROR(__xludf.DUMMYFUNCTION("""COMPUTED_VALUE"""),1.0)</f>
        <v>1</v>
      </c>
      <c r="S8105" s="4" t="str">
        <f>IFERROR(__xludf.DUMMYFUNCTION("""COMPUTED_VALUE"""),"Alfa Labs")</f>
        <v>Alfa Labs</v>
      </c>
      <c r="T8105" s="33">
        <f>IFERROR(__xludf.DUMMYFUNCTION("""COMPUTED_VALUE"""),1.0)</f>
        <v>1</v>
      </c>
      <c r="U8105" s="4" t="str">
        <f>IFERROR(__xludf.DUMMYFUNCTION("""COMPUTED_VALUE"""),"Alfa Labs")</f>
        <v>Alfa Labs</v>
      </c>
      <c r="V8105" s="33">
        <f>IFERROR(__xludf.DUMMYFUNCTION("""COMPUTED_VALUE"""),1.0)</f>
        <v>1</v>
      </c>
      <c r="W8105" s="4" t="str">
        <f>IFERROR(__xludf.DUMMYFUNCTION("""COMPUTED_VALUE"""),"Alfa Labs")</f>
        <v>Alfa Labs</v>
      </c>
      <c r="X8105" s="33">
        <f>IFERROR(__xludf.DUMMYFUNCTION("""COMPUTED_VALUE"""),1.0)</f>
        <v>1</v>
      </c>
    </row>
    <row r="8106">
      <c r="K8106" s="4" t="str">
        <f>IFERROR(__xludf.DUMMYFUNCTION("""COMPUTED_VALUE"""),"SACOLAO ABC")</f>
        <v>SACOLAO ABC</v>
      </c>
      <c r="L8106" s="32">
        <f>IFERROR(__xludf.DUMMYFUNCTION("""COMPUTED_VALUE"""),1.0)</f>
        <v>1</v>
      </c>
      <c r="M8106" s="4" t="str">
        <f>IFERROR(__xludf.DUMMYFUNCTION("""COMPUTED_VALUE"""),"N/A (Not found)")</f>
        <v>N/A (Not found)</v>
      </c>
      <c r="N8106" s="33">
        <f>IFERROR(__xludf.DUMMYFUNCTION("""COMPUTED_VALUE"""),1.0)</f>
        <v>1</v>
      </c>
      <c r="O8106" s="4" t="str">
        <f>IFERROR(__xludf.DUMMYFUNCTION("""COMPUTED_VALUE"""),"null")</f>
        <v>null</v>
      </c>
      <c r="P8106" s="33">
        <f>IFERROR(__xludf.DUMMYFUNCTION("""COMPUTED_VALUE"""),1.0)</f>
        <v>1</v>
      </c>
      <c r="Q8106" s="4" t="str">
        <f>IFERROR(__xludf.DUMMYFUNCTION("""COMPUTED_VALUE"""),"null")</f>
        <v>null</v>
      </c>
      <c r="R8106" s="33">
        <f>IFERROR(__xludf.DUMMYFUNCTION("""COMPUTED_VALUE"""),1.0)</f>
        <v>1</v>
      </c>
      <c r="S8106" s="4" t="str">
        <f>IFERROR(__xludf.DUMMYFUNCTION("""COMPUTED_VALUE"""),"null")</f>
        <v>null</v>
      </c>
      <c r="T8106" s="33">
        <f>IFERROR(__xludf.DUMMYFUNCTION("""COMPUTED_VALUE"""),1.0)</f>
        <v>1</v>
      </c>
      <c r="U8106" s="4" t="str">
        <f>IFERROR(__xludf.DUMMYFUNCTION("""COMPUTED_VALUE"""),"null")</f>
        <v>null</v>
      </c>
      <c r="V8106" s="33">
        <f>IFERROR(__xludf.DUMMYFUNCTION("""COMPUTED_VALUE"""),1.0)</f>
        <v>1</v>
      </c>
      <c r="W8106" s="4" t="str">
        <f>IFERROR(__xludf.DUMMYFUNCTION("""COMPUTED_VALUE"""),"null")</f>
        <v>null</v>
      </c>
      <c r="X8106" s="33">
        <f>IFERROR(__xludf.DUMMYFUNCTION("""COMPUTED_VALUE"""),1.0)</f>
        <v>1</v>
      </c>
    </row>
    <row r="8107">
      <c r="K8107" s="4" t="str">
        <f>IFERROR(__xludf.DUMMYFUNCTION("""COMPUTED_VALUE"""),"JC PIZZARIA E PETISCARIA")</f>
        <v>JC PIZZARIA E PETISCARIA</v>
      </c>
      <c r="L8107" s="32">
        <f>IFERROR(__xludf.DUMMYFUNCTION("""COMPUTED_VALUE"""),1.0)</f>
        <v>1</v>
      </c>
      <c r="M8107" s="4" t="str">
        <f>IFERROR(__xludf.DUMMYFUNCTION("""COMPUTED_VALUE"""),"Yooga")</f>
        <v>Yooga</v>
      </c>
      <c r="N8107" s="33">
        <f>IFERROR(__xludf.DUMMYFUNCTION("""COMPUTED_VALUE"""),1.0)</f>
        <v>1</v>
      </c>
      <c r="O8107" s="4" t="str">
        <f>IFERROR(__xludf.DUMMYFUNCTION("""COMPUTED_VALUE"""),"Yooga")</f>
        <v>Yooga</v>
      </c>
      <c r="P8107" s="33">
        <f>IFERROR(__xludf.DUMMYFUNCTION("""COMPUTED_VALUE"""),1.0)</f>
        <v>1</v>
      </c>
      <c r="Q8107" s="4" t="str">
        <f>IFERROR(__xludf.DUMMYFUNCTION("""COMPUTED_VALUE"""),"Yooga")</f>
        <v>Yooga</v>
      </c>
      <c r="R8107" s="33">
        <f>IFERROR(__xludf.DUMMYFUNCTION("""COMPUTED_VALUE"""),1.0)</f>
        <v>1</v>
      </c>
      <c r="S8107" s="4" t="str">
        <f>IFERROR(__xludf.DUMMYFUNCTION("""COMPUTED_VALUE"""),"Yooga")</f>
        <v>Yooga</v>
      </c>
      <c r="T8107" s="33">
        <f>IFERROR(__xludf.DUMMYFUNCTION("""COMPUTED_VALUE"""),1.0)</f>
        <v>1</v>
      </c>
      <c r="U8107" s="4" t="str">
        <f>IFERROR(__xludf.DUMMYFUNCTION("""COMPUTED_VALUE"""),"Yooga")</f>
        <v>Yooga</v>
      </c>
      <c r="V8107" s="33">
        <f>IFERROR(__xludf.DUMMYFUNCTION("""COMPUTED_VALUE"""),1.0)</f>
        <v>1</v>
      </c>
      <c r="W8107" s="4" t="str">
        <f>IFERROR(__xludf.DUMMYFUNCTION("""COMPUTED_VALUE"""),"Yooga")</f>
        <v>Yooga</v>
      </c>
      <c r="X8107" s="33">
        <f>IFERROR(__xludf.DUMMYFUNCTION("""COMPUTED_VALUE"""),1.0)</f>
        <v>1</v>
      </c>
    </row>
    <row r="8108">
      <c r="K8108" s="4" t="str">
        <f>IFERROR(__xludf.DUMMYFUNCTION("""COMPUTED_VALUE"""),"ARENA TREM AZUL ESPETARIA")</f>
        <v>ARENA TREM AZUL ESPETARIA</v>
      </c>
      <c r="L8108" s="32">
        <f>IFERROR(__xludf.DUMMYFUNCTION("""COMPUTED_VALUE"""),1.0)</f>
        <v>1</v>
      </c>
      <c r="M8108" s="4" t="str">
        <f>IFERROR(__xludf.DUMMYFUNCTION("""COMPUTED_VALUE"""),"Saipos Serviços De Software")</f>
        <v>Saipos Serviços De Software</v>
      </c>
      <c r="N8108" s="33">
        <f>IFERROR(__xludf.DUMMYFUNCTION("""COMPUTED_VALUE"""),1.0)</f>
        <v>1</v>
      </c>
      <c r="O8108" s="4" t="str">
        <f>IFERROR(__xludf.DUMMYFUNCTION("""COMPUTED_VALUE"""),"Saipos Serviços De Software")</f>
        <v>Saipos Serviços De Software</v>
      </c>
      <c r="P8108" s="33">
        <f>IFERROR(__xludf.DUMMYFUNCTION("""COMPUTED_VALUE"""),1.0)</f>
        <v>1</v>
      </c>
      <c r="Q8108" s="4" t="str">
        <f>IFERROR(__xludf.DUMMYFUNCTION("""COMPUTED_VALUE"""),"Saipos Serviços De Software")</f>
        <v>Saipos Serviços De Software</v>
      </c>
      <c r="R8108" s="33">
        <f>IFERROR(__xludf.DUMMYFUNCTION("""COMPUTED_VALUE"""),1.0)</f>
        <v>1</v>
      </c>
      <c r="S8108" s="4" t="str">
        <f>IFERROR(__xludf.DUMMYFUNCTION("""COMPUTED_VALUE"""),"Saipos Serviços De Software")</f>
        <v>Saipos Serviços De Software</v>
      </c>
      <c r="T8108" s="33">
        <f>IFERROR(__xludf.DUMMYFUNCTION("""COMPUTED_VALUE"""),1.0)</f>
        <v>1</v>
      </c>
      <c r="U8108" s="4" t="str">
        <f>IFERROR(__xludf.DUMMYFUNCTION("""COMPUTED_VALUE"""),"Saipos Serviços De Software")</f>
        <v>Saipos Serviços De Software</v>
      </c>
      <c r="V8108" s="33">
        <f>IFERROR(__xludf.DUMMYFUNCTION("""COMPUTED_VALUE"""),1.0)</f>
        <v>1</v>
      </c>
      <c r="W8108" s="4" t="str">
        <f>IFERROR(__xludf.DUMMYFUNCTION("""COMPUTED_VALUE"""),"Saipos Serviços De Software")</f>
        <v>Saipos Serviços De Software</v>
      </c>
      <c r="X8108" s="33">
        <f>IFERROR(__xludf.DUMMYFUNCTION("""COMPUTED_VALUE"""),1.0)</f>
        <v>1</v>
      </c>
    </row>
    <row r="8109">
      <c r="K8109" s="4" t="str">
        <f>IFERROR(__xludf.DUMMYFUNCTION("""COMPUTED_VALUE"""),"RENATALY RESTAURANTE E CONFEITARIA")</f>
        <v>RENATALY RESTAURANTE E CONFEITARIA</v>
      </c>
      <c r="L8109" s="32">
        <f>IFERROR(__xludf.DUMMYFUNCTION("""COMPUTED_VALUE"""),1.0)</f>
        <v>1</v>
      </c>
      <c r="M8109" s="4" t="str">
        <f>IFERROR(__xludf.DUMMYFUNCTION("""COMPUTED_VALUE"""),"Anota Ai Solucoes Digitais S/a")</f>
        <v>Anota Ai Solucoes Digitais S/a</v>
      </c>
      <c r="N8109" s="33">
        <f>IFERROR(__xludf.DUMMYFUNCTION("""COMPUTED_VALUE"""),1.0)</f>
        <v>1</v>
      </c>
      <c r="O8109" s="4" t="str">
        <f>IFERROR(__xludf.DUMMYFUNCTION("""COMPUTED_VALUE"""),"Anota Ai Solucoes Digitais S/a")</f>
        <v>Anota Ai Solucoes Digitais S/a</v>
      </c>
      <c r="P8109" s="33">
        <f>IFERROR(__xludf.DUMMYFUNCTION("""COMPUTED_VALUE"""),1.0)</f>
        <v>1</v>
      </c>
      <c r="Q8109" s="4" t="str">
        <f>IFERROR(__xludf.DUMMYFUNCTION("""COMPUTED_VALUE"""),"null")</f>
        <v>null</v>
      </c>
      <c r="R8109" s="33">
        <f>IFERROR(__xludf.DUMMYFUNCTION("""COMPUTED_VALUE"""),1.0)</f>
        <v>1</v>
      </c>
      <c r="S8109" s="4" t="str">
        <f>IFERROR(__xludf.DUMMYFUNCTION("""COMPUTED_VALUE"""),"null")</f>
        <v>null</v>
      </c>
      <c r="T8109" s="33">
        <f>IFERROR(__xludf.DUMMYFUNCTION("""COMPUTED_VALUE"""),1.0)</f>
        <v>1</v>
      </c>
      <c r="U8109" s="4" t="str">
        <f>IFERROR(__xludf.DUMMYFUNCTION("""COMPUTED_VALUE"""),"Anota Ai Solucoes Digitais S/a")</f>
        <v>Anota Ai Solucoes Digitais S/a</v>
      </c>
      <c r="V8109" s="33">
        <f>IFERROR(__xludf.DUMMYFUNCTION("""COMPUTED_VALUE"""),1.0)</f>
        <v>1</v>
      </c>
      <c r="W8109" s="4" t="str">
        <f>IFERROR(__xludf.DUMMYFUNCTION("""COMPUTED_VALUE"""),"Anota Ai Solucoes Digitais S/a")</f>
        <v>Anota Ai Solucoes Digitais S/a</v>
      </c>
      <c r="X8109" s="33">
        <f>IFERROR(__xludf.DUMMYFUNCTION("""COMPUTED_VALUE"""),1.0)</f>
        <v>1</v>
      </c>
    </row>
    <row r="8110">
      <c r="K8110" s="4" t="str">
        <f>IFERROR(__xludf.DUMMYFUNCTION("""COMPUTED_VALUE"""),"QUINTAL 7 BURGER CHICKEN")</f>
        <v>QUINTAL 7 BURGER CHICKEN</v>
      </c>
      <c r="L8110" s="32">
        <f>IFERROR(__xludf.DUMMYFUNCTION("""COMPUTED_VALUE"""),1.0)</f>
        <v>1</v>
      </c>
      <c r="M8110" s="4" t="str">
        <f>IFERROR(__xludf.DUMMYFUNCTION("""COMPUTED_VALUE"""),"Consumer Soluções Em Tecnologia Ltda")</f>
        <v>Consumer Soluções Em Tecnologia Ltda</v>
      </c>
      <c r="N8110" s="33">
        <f>IFERROR(__xludf.DUMMYFUNCTION("""COMPUTED_VALUE"""),1.0)</f>
        <v>1</v>
      </c>
      <c r="O8110" s="4" t="str">
        <f>IFERROR(__xludf.DUMMYFUNCTION("""COMPUTED_VALUE"""),"Consumer Soluções Em Tecnologia Ltda")</f>
        <v>Consumer Soluções Em Tecnologia Ltda</v>
      </c>
      <c r="P8110" s="33">
        <f>IFERROR(__xludf.DUMMYFUNCTION("""COMPUTED_VALUE"""),1.0)</f>
        <v>1</v>
      </c>
      <c r="Q8110" s="4" t="str">
        <f>IFERROR(__xludf.DUMMYFUNCTION("""COMPUTED_VALUE"""),"Consumer Soluções Em Tecnologia Ltda")</f>
        <v>Consumer Soluções Em Tecnologia Ltda</v>
      </c>
      <c r="R8110" s="33">
        <f>IFERROR(__xludf.DUMMYFUNCTION("""COMPUTED_VALUE"""),1.0)</f>
        <v>1</v>
      </c>
      <c r="S8110" s="4" t="str">
        <f>IFERROR(__xludf.DUMMYFUNCTION("""COMPUTED_VALUE"""),"Consumer Soluções Em Tecnologia Ltda")</f>
        <v>Consumer Soluções Em Tecnologia Ltda</v>
      </c>
      <c r="T8110" s="33">
        <f>IFERROR(__xludf.DUMMYFUNCTION("""COMPUTED_VALUE"""),1.0)</f>
        <v>1</v>
      </c>
      <c r="U8110" s="4" t="str">
        <f>IFERROR(__xludf.DUMMYFUNCTION("""COMPUTED_VALUE"""),"null")</f>
        <v>null</v>
      </c>
      <c r="V8110" s="33">
        <f>IFERROR(__xludf.DUMMYFUNCTION("""COMPUTED_VALUE"""),1.0)</f>
        <v>1</v>
      </c>
      <c r="W8110" s="4" t="str">
        <f>IFERROR(__xludf.DUMMYFUNCTION("""COMPUTED_VALUE"""),"Consumer Soluções Em Tecnologia Ltda")</f>
        <v>Consumer Soluções Em Tecnologia Ltda</v>
      </c>
      <c r="X8110" s="33">
        <f>IFERROR(__xludf.DUMMYFUNCTION("""COMPUTED_VALUE"""),1.0)</f>
        <v>1</v>
      </c>
    </row>
    <row r="8111">
      <c r="K8111" s="4" t="str">
        <f>IFERROR(__xludf.DUMMYFUNCTION("""COMPUTED_VALUE"""),"3D BURGUER CASCADURA")</f>
        <v>3D BURGUER CASCADURA</v>
      </c>
      <c r="L8111" s="32">
        <f>IFERROR(__xludf.DUMMYFUNCTION("""COMPUTED_VALUE"""),1.0)</f>
        <v>1</v>
      </c>
      <c r="M8111" s="4" t="str">
        <f>IFERROR(__xludf.DUMMYFUNCTION("""COMPUTED_VALUE"""),"Instadelivery")</f>
        <v>Instadelivery</v>
      </c>
      <c r="N8111" s="33">
        <f>IFERROR(__xludf.DUMMYFUNCTION("""COMPUTED_VALUE"""),1.0)</f>
        <v>1</v>
      </c>
      <c r="O8111" s="4" t="str">
        <f>IFERROR(__xludf.DUMMYFUNCTION("""COMPUTED_VALUE"""),"Instadelivery")</f>
        <v>Instadelivery</v>
      </c>
      <c r="P8111" s="33">
        <f>IFERROR(__xludf.DUMMYFUNCTION("""COMPUTED_VALUE"""),1.0)</f>
        <v>1</v>
      </c>
      <c r="Q8111" s="4" t="str">
        <f>IFERROR(__xludf.DUMMYFUNCTION("""COMPUTED_VALUE"""),"Instadelivery")</f>
        <v>Instadelivery</v>
      </c>
      <c r="R8111" s="33">
        <f>IFERROR(__xludf.DUMMYFUNCTION("""COMPUTED_VALUE"""),1.0)</f>
        <v>1</v>
      </c>
      <c r="S8111" s="4" t="str">
        <f>IFERROR(__xludf.DUMMYFUNCTION("""COMPUTED_VALUE"""),"Instadelivery")</f>
        <v>Instadelivery</v>
      </c>
      <c r="T8111" s="33">
        <f>IFERROR(__xludf.DUMMYFUNCTION("""COMPUTED_VALUE"""),1.0)</f>
        <v>1</v>
      </c>
      <c r="U8111" s="4" t="str">
        <f>IFERROR(__xludf.DUMMYFUNCTION("""COMPUTED_VALUE"""),"Instadelivery")</f>
        <v>Instadelivery</v>
      </c>
      <c r="V8111" s="33">
        <f>IFERROR(__xludf.DUMMYFUNCTION("""COMPUTED_VALUE"""),1.0)</f>
        <v>1</v>
      </c>
      <c r="W8111" s="4" t="str">
        <f>IFERROR(__xludf.DUMMYFUNCTION("""COMPUTED_VALUE"""),"Instadelivery")</f>
        <v>Instadelivery</v>
      </c>
      <c r="X8111" s="33">
        <f>IFERROR(__xludf.DUMMYFUNCTION("""COMPUTED_VALUE"""),1.0)</f>
        <v>1</v>
      </c>
    </row>
    <row r="8112">
      <c r="K8112" s="4" t="str">
        <f>IFERROR(__xludf.DUMMYFUNCTION("""COMPUTED_VALUE"""),"BRASA HAMBURGUERIA IBITINGA")</f>
        <v>BRASA HAMBURGUERIA IBITINGA</v>
      </c>
      <c r="L8112" s="32">
        <f>IFERROR(__xludf.DUMMYFUNCTION("""COMPUTED_VALUE"""),1.0)</f>
        <v>1</v>
      </c>
      <c r="M8112" s="4" t="str">
        <f>IFERROR(__xludf.DUMMYFUNCTION("""COMPUTED_VALUE"""),"Suitable Tecnologia E Gestao")</f>
        <v>Suitable Tecnologia E Gestao</v>
      </c>
      <c r="N8112" s="33">
        <f>IFERROR(__xludf.DUMMYFUNCTION("""COMPUTED_VALUE"""),1.0)</f>
        <v>1</v>
      </c>
      <c r="O8112" s="4" t="str">
        <f>IFERROR(__xludf.DUMMYFUNCTION("""COMPUTED_VALUE"""),"Suitable Tecnologia E Gestao")</f>
        <v>Suitable Tecnologia E Gestao</v>
      </c>
      <c r="P8112" s="33">
        <f>IFERROR(__xludf.DUMMYFUNCTION("""COMPUTED_VALUE"""),1.0)</f>
        <v>1</v>
      </c>
      <c r="Q8112" s="4" t="str">
        <f>IFERROR(__xludf.DUMMYFUNCTION("""COMPUTED_VALUE"""),"Suitable Tecnologia E Gestao")</f>
        <v>Suitable Tecnologia E Gestao</v>
      </c>
      <c r="R8112" s="33">
        <f>IFERROR(__xludf.DUMMYFUNCTION("""COMPUTED_VALUE"""),1.0)</f>
        <v>1</v>
      </c>
      <c r="S8112" s="4" t="str">
        <f>IFERROR(__xludf.DUMMYFUNCTION("""COMPUTED_VALUE"""),"Suitable Tecnologia E Gestao")</f>
        <v>Suitable Tecnologia E Gestao</v>
      </c>
      <c r="T8112" s="33">
        <f>IFERROR(__xludf.DUMMYFUNCTION("""COMPUTED_VALUE"""),1.0)</f>
        <v>1</v>
      </c>
      <c r="U8112" s="4" t="str">
        <f>IFERROR(__xludf.DUMMYFUNCTION("""COMPUTED_VALUE"""),"Suitable Tecnologia E Gestao")</f>
        <v>Suitable Tecnologia E Gestao</v>
      </c>
      <c r="V8112" s="33">
        <f>IFERROR(__xludf.DUMMYFUNCTION("""COMPUTED_VALUE"""),1.0)</f>
        <v>1</v>
      </c>
      <c r="W8112" s="4" t="str">
        <f>IFERROR(__xludf.DUMMYFUNCTION("""COMPUTED_VALUE"""),"null")</f>
        <v>null</v>
      </c>
      <c r="X8112" s="33">
        <f>IFERROR(__xludf.DUMMYFUNCTION("""COMPUTED_VALUE"""),1.0)</f>
        <v>1</v>
      </c>
    </row>
    <row r="8113">
      <c r="K8113" s="4" t="str">
        <f>IFERROR(__xludf.DUMMYFUNCTION("""COMPUTED_VALUE"""),"SANTACAI E DOGAO DA LENA")</f>
        <v>SANTACAI E DOGAO DA LENA</v>
      </c>
      <c r="L8113" s="32">
        <f>IFERROR(__xludf.DUMMYFUNCTION("""COMPUTED_VALUE"""),1.0)</f>
        <v>1</v>
      </c>
      <c r="M8113" s="4" t="str">
        <f>IFERROR(__xludf.DUMMYFUNCTION("""COMPUTED_VALUE"""),"Intelidata Informática Ltda")</f>
        <v>Intelidata Informática Ltda</v>
      </c>
      <c r="N8113" s="33">
        <f>IFERROR(__xludf.DUMMYFUNCTION("""COMPUTED_VALUE"""),1.0)</f>
        <v>1</v>
      </c>
      <c r="O8113" s="4" t="str">
        <f>IFERROR(__xludf.DUMMYFUNCTION("""COMPUTED_VALUE"""),"Intelidata Informática Ltda")</f>
        <v>Intelidata Informática Ltda</v>
      </c>
      <c r="P8113" s="33">
        <f>IFERROR(__xludf.DUMMYFUNCTION("""COMPUTED_VALUE"""),1.0)</f>
        <v>1</v>
      </c>
      <c r="Q8113" s="4" t="str">
        <f>IFERROR(__xludf.DUMMYFUNCTION("""COMPUTED_VALUE"""),"null")</f>
        <v>null</v>
      </c>
      <c r="R8113" s="33">
        <f>IFERROR(__xludf.DUMMYFUNCTION("""COMPUTED_VALUE"""),1.0)</f>
        <v>1</v>
      </c>
      <c r="S8113" s="4" t="str">
        <f>IFERROR(__xludf.DUMMYFUNCTION("""COMPUTED_VALUE"""),"null")</f>
        <v>null</v>
      </c>
      <c r="T8113" s="33">
        <f>IFERROR(__xludf.DUMMYFUNCTION("""COMPUTED_VALUE"""),1.0)</f>
        <v>1</v>
      </c>
      <c r="U8113" s="4" t="str">
        <f>IFERROR(__xludf.DUMMYFUNCTION("""COMPUTED_VALUE"""),"null")</f>
        <v>null</v>
      </c>
      <c r="V8113" s="33">
        <f>IFERROR(__xludf.DUMMYFUNCTION("""COMPUTED_VALUE"""),1.0)</f>
        <v>1</v>
      </c>
      <c r="W8113" s="4" t="str">
        <f>IFERROR(__xludf.DUMMYFUNCTION("""COMPUTED_VALUE"""),"Intelidata Informática Ltda")</f>
        <v>Intelidata Informática Ltda</v>
      </c>
      <c r="X8113" s="33">
        <f>IFERROR(__xludf.DUMMYFUNCTION("""COMPUTED_VALUE"""),1.0)</f>
        <v>1</v>
      </c>
    </row>
    <row r="8114">
      <c r="K8114" s="4" t="str">
        <f>IFERROR(__xludf.DUMMYFUNCTION("""COMPUTED_VALUE"""),"QUENTINHAS DA VANIA")</f>
        <v>QUENTINHAS DA VANIA</v>
      </c>
      <c r="L8114" s="32">
        <f>IFERROR(__xludf.DUMMYFUNCTION("""COMPUTED_VALUE"""),1.0)</f>
        <v>1</v>
      </c>
      <c r="M8114" s="4" t="str">
        <f>IFERROR(__xludf.DUMMYFUNCTION("""COMPUTED_VALUE"""),"Grandchef Desenvolvimento De Sistemas Ltda")</f>
        <v>Grandchef Desenvolvimento De Sistemas Ltda</v>
      </c>
      <c r="N8114" s="33">
        <f>IFERROR(__xludf.DUMMYFUNCTION("""COMPUTED_VALUE"""),1.0)</f>
        <v>1</v>
      </c>
      <c r="O8114" s="4" t="str">
        <f>IFERROR(__xludf.DUMMYFUNCTION("""COMPUTED_VALUE"""),"null")</f>
        <v>null</v>
      </c>
      <c r="P8114" s="33">
        <f>IFERROR(__xludf.DUMMYFUNCTION("""COMPUTED_VALUE"""),1.0)</f>
        <v>1</v>
      </c>
      <c r="Q8114" s="4" t="str">
        <f>IFERROR(__xludf.DUMMYFUNCTION("""COMPUTED_VALUE"""),"null")</f>
        <v>null</v>
      </c>
      <c r="R8114" s="33">
        <f>IFERROR(__xludf.DUMMYFUNCTION("""COMPUTED_VALUE"""),1.0)</f>
        <v>1</v>
      </c>
      <c r="S8114" s="4" t="str">
        <f>IFERROR(__xludf.DUMMYFUNCTION("""COMPUTED_VALUE"""),"null")</f>
        <v>null</v>
      </c>
      <c r="T8114" s="33">
        <f>IFERROR(__xludf.DUMMYFUNCTION("""COMPUTED_VALUE"""),1.0)</f>
        <v>1</v>
      </c>
      <c r="U8114" s="4" t="str">
        <f>IFERROR(__xludf.DUMMYFUNCTION("""COMPUTED_VALUE"""),"null")</f>
        <v>null</v>
      </c>
      <c r="V8114" s="33">
        <f>IFERROR(__xludf.DUMMYFUNCTION("""COMPUTED_VALUE"""),1.0)</f>
        <v>1</v>
      </c>
      <c r="W8114" s="4" t="str">
        <f>IFERROR(__xludf.DUMMYFUNCTION("""COMPUTED_VALUE"""),"null")</f>
        <v>null</v>
      </c>
      <c r="X8114" s="33">
        <f>IFERROR(__xludf.DUMMYFUNCTION("""COMPUTED_VALUE"""),1.0)</f>
        <v>1</v>
      </c>
    </row>
    <row r="8115">
      <c r="K8115" s="4" t="str">
        <f>IFERROR(__xludf.DUMMYFUNCTION("""COMPUTED_VALUE"""),"PRENSADOS HOT DOG - BAG DOG BURGUER")</f>
        <v>PRENSADOS HOT DOG - BAG DOG BURGUER</v>
      </c>
      <c r="L8115" s="32">
        <f>IFERROR(__xludf.DUMMYFUNCTION("""COMPUTED_VALUE"""),1.0)</f>
        <v>1</v>
      </c>
      <c r="M8115" s="4" t="str">
        <f>IFERROR(__xludf.DUMMYFUNCTION("""COMPUTED_VALUE"""),"Agilizup Solucoes Ltda")</f>
        <v>Agilizup Solucoes Ltda</v>
      </c>
      <c r="N8115" s="33">
        <f>IFERROR(__xludf.DUMMYFUNCTION("""COMPUTED_VALUE"""),1.0)</f>
        <v>1</v>
      </c>
      <c r="O8115" s="4" t="str">
        <f>IFERROR(__xludf.DUMMYFUNCTION("""COMPUTED_VALUE"""),"null")</f>
        <v>null</v>
      </c>
      <c r="P8115" s="33">
        <f>IFERROR(__xludf.DUMMYFUNCTION("""COMPUTED_VALUE"""),1.0)</f>
        <v>1</v>
      </c>
      <c r="Q8115" s="4" t="str">
        <f>IFERROR(__xludf.DUMMYFUNCTION("""COMPUTED_VALUE"""),"null")</f>
        <v>null</v>
      </c>
      <c r="R8115" s="33">
        <f>IFERROR(__xludf.DUMMYFUNCTION("""COMPUTED_VALUE"""),1.0)</f>
        <v>1</v>
      </c>
      <c r="S8115" s="4" t="str">
        <f>IFERROR(__xludf.DUMMYFUNCTION("""COMPUTED_VALUE"""),"null")</f>
        <v>null</v>
      </c>
      <c r="T8115" s="33">
        <f>IFERROR(__xludf.DUMMYFUNCTION("""COMPUTED_VALUE"""),1.0)</f>
        <v>1</v>
      </c>
      <c r="U8115" s="4" t="str">
        <f>IFERROR(__xludf.DUMMYFUNCTION("""COMPUTED_VALUE"""),"null")</f>
        <v>null</v>
      </c>
      <c r="V8115" s="33">
        <f>IFERROR(__xludf.DUMMYFUNCTION("""COMPUTED_VALUE"""),1.0)</f>
        <v>1</v>
      </c>
      <c r="W8115" s="4" t="str">
        <f>IFERROR(__xludf.DUMMYFUNCTION("""COMPUTED_VALUE"""),"null")</f>
        <v>null</v>
      </c>
      <c r="X8115" s="33">
        <f>IFERROR(__xludf.DUMMYFUNCTION("""COMPUTED_VALUE"""),1.0)</f>
        <v>1</v>
      </c>
    </row>
    <row r="8116">
      <c r="K8116" s="4" t="str">
        <f>IFERROR(__xludf.DUMMYFUNCTION("""COMPUTED_VALUE"""),"FLORESTA RESTAURANTE BAR")</f>
        <v>FLORESTA RESTAURANTE BAR</v>
      </c>
      <c r="L8116" s="32">
        <f>IFERROR(__xludf.DUMMYFUNCTION("""COMPUTED_VALUE"""),1.0)</f>
        <v>1</v>
      </c>
      <c r="M8116" s="4" t="str">
        <f>IFERROR(__xludf.DUMMYFUNCTION("""COMPUTED_VALUE"""),"null")</f>
        <v>null</v>
      </c>
      <c r="N8116" s="33">
        <f>IFERROR(__xludf.DUMMYFUNCTION("""COMPUTED_VALUE"""),1.0)</f>
        <v>1</v>
      </c>
      <c r="O8116" s="4" t="str">
        <f>IFERROR(__xludf.DUMMYFUNCTION("""COMPUTED_VALUE"""),"null")</f>
        <v>null</v>
      </c>
      <c r="P8116" s="33">
        <f>IFERROR(__xludf.DUMMYFUNCTION("""COMPUTED_VALUE"""),1.0)</f>
        <v>1</v>
      </c>
      <c r="Q8116" s="4" t="str">
        <f>IFERROR(__xludf.DUMMYFUNCTION("""COMPUTED_VALUE"""),"null")</f>
        <v>null</v>
      </c>
      <c r="R8116" s="33">
        <f>IFERROR(__xludf.DUMMYFUNCTION("""COMPUTED_VALUE"""),1.0)</f>
        <v>1</v>
      </c>
      <c r="S8116" s="4" t="str">
        <f>IFERROR(__xludf.DUMMYFUNCTION("""COMPUTED_VALUE"""),"null")</f>
        <v>null</v>
      </c>
      <c r="T8116" s="33">
        <f>IFERROR(__xludf.DUMMYFUNCTION("""COMPUTED_VALUE"""),1.0)</f>
        <v>1</v>
      </c>
      <c r="U8116" s="4" t="str">
        <f>IFERROR(__xludf.DUMMYFUNCTION("""COMPUTED_VALUE"""),"Food Plus")</f>
        <v>Food Plus</v>
      </c>
      <c r="V8116" s="33">
        <f>IFERROR(__xludf.DUMMYFUNCTION("""COMPUTED_VALUE"""),1.0)</f>
        <v>1</v>
      </c>
      <c r="W8116" s="4" t="str">
        <f>IFERROR(__xludf.DUMMYFUNCTION("""COMPUTED_VALUE"""),"null")</f>
        <v>null</v>
      </c>
      <c r="X8116" s="33">
        <f>IFERROR(__xludf.DUMMYFUNCTION("""COMPUTED_VALUE"""),1.0)</f>
        <v>1</v>
      </c>
    </row>
    <row r="8117">
      <c r="K8117" s="4" t="str">
        <f>IFERROR(__xludf.DUMMYFUNCTION("""COMPUTED_VALUE"""),"HIROKI SUSHI BAR")</f>
        <v>HIROKI SUSHI BAR</v>
      </c>
      <c r="L8117" s="32">
        <f>IFERROR(__xludf.DUMMYFUNCTION("""COMPUTED_VALUE"""),1.0)</f>
        <v>1</v>
      </c>
      <c r="M8117" s="4" t="str">
        <f>IFERROR(__xludf.DUMMYFUNCTION("""COMPUTED_VALUE"""),"Sigmenu Tecnologia E Marketing Ltda")</f>
        <v>Sigmenu Tecnologia E Marketing Ltda</v>
      </c>
      <c r="N8117" s="33">
        <f>IFERROR(__xludf.DUMMYFUNCTION("""COMPUTED_VALUE"""),1.0)</f>
        <v>1</v>
      </c>
      <c r="O8117" s="4" t="str">
        <f>IFERROR(__xludf.DUMMYFUNCTION("""COMPUTED_VALUE"""),"Sigmenu Tecnologia E Marketing Ltda")</f>
        <v>Sigmenu Tecnologia E Marketing Ltda</v>
      </c>
      <c r="P8117" s="33">
        <f>IFERROR(__xludf.DUMMYFUNCTION("""COMPUTED_VALUE"""),1.0)</f>
        <v>1</v>
      </c>
      <c r="Q8117" s="4" t="str">
        <f>IFERROR(__xludf.DUMMYFUNCTION("""COMPUTED_VALUE"""),"Sigmenu Tecnologia E Marketing Ltda")</f>
        <v>Sigmenu Tecnologia E Marketing Ltda</v>
      </c>
      <c r="R8117" s="33">
        <f>IFERROR(__xludf.DUMMYFUNCTION("""COMPUTED_VALUE"""),1.0)</f>
        <v>1</v>
      </c>
      <c r="S8117" s="4" t="str">
        <f>IFERROR(__xludf.DUMMYFUNCTION("""COMPUTED_VALUE"""),"null")</f>
        <v>null</v>
      </c>
      <c r="T8117" s="33">
        <f>IFERROR(__xludf.DUMMYFUNCTION("""COMPUTED_VALUE"""),1.0)</f>
        <v>1</v>
      </c>
      <c r="U8117" s="4" t="str">
        <f>IFERROR(__xludf.DUMMYFUNCTION("""COMPUTED_VALUE"""),"null")</f>
        <v>null</v>
      </c>
      <c r="V8117" s="33">
        <f>IFERROR(__xludf.DUMMYFUNCTION("""COMPUTED_VALUE"""),1.0)</f>
        <v>1</v>
      </c>
      <c r="W8117" s="4" t="str">
        <f>IFERROR(__xludf.DUMMYFUNCTION("""COMPUTED_VALUE"""),"null")</f>
        <v>null</v>
      </c>
      <c r="X8117" s="33">
        <f>IFERROR(__xludf.DUMMYFUNCTION("""COMPUTED_VALUE"""),1.0)</f>
        <v>1</v>
      </c>
    </row>
    <row r="8118">
      <c r="K8118" s="4" t="str">
        <f>IFERROR(__xludf.DUMMYFUNCTION("""COMPUTED_VALUE"""),"CHURRASCARIA REI DO BAIAO")</f>
        <v>CHURRASCARIA REI DO BAIAO</v>
      </c>
      <c r="L8118" s="32">
        <f>IFERROR(__xludf.DUMMYFUNCTION("""COMPUTED_VALUE"""),1.0)</f>
        <v>1</v>
      </c>
      <c r="M8118" s="4" t="str">
        <f>IFERROR(__xludf.DUMMYFUNCTION("""COMPUTED_VALUE"""),"Izzy Way Tecnologia")</f>
        <v>Izzy Way Tecnologia</v>
      </c>
      <c r="N8118" s="33">
        <f>IFERROR(__xludf.DUMMYFUNCTION("""COMPUTED_VALUE"""),1.0)</f>
        <v>1</v>
      </c>
      <c r="O8118" s="4" t="str">
        <f>IFERROR(__xludf.DUMMYFUNCTION("""COMPUTED_VALUE"""),"Izzy Way Tecnologia")</f>
        <v>Izzy Way Tecnologia</v>
      </c>
      <c r="P8118" s="33">
        <f>IFERROR(__xludf.DUMMYFUNCTION("""COMPUTED_VALUE"""),1.0)</f>
        <v>1</v>
      </c>
      <c r="Q8118" s="4" t="str">
        <f>IFERROR(__xludf.DUMMYFUNCTION("""COMPUTED_VALUE"""),"Izzy Way Tecnologia")</f>
        <v>Izzy Way Tecnologia</v>
      </c>
      <c r="R8118" s="33">
        <f>IFERROR(__xludf.DUMMYFUNCTION("""COMPUTED_VALUE"""),1.0)</f>
        <v>1</v>
      </c>
      <c r="S8118" s="4" t="str">
        <f>IFERROR(__xludf.DUMMYFUNCTION("""COMPUTED_VALUE"""),"Izzy Way Tecnologia")</f>
        <v>Izzy Way Tecnologia</v>
      </c>
      <c r="T8118" s="33">
        <f>IFERROR(__xludf.DUMMYFUNCTION("""COMPUTED_VALUE"""),1.0)</f>
        <v>1</v>
      </c>
      <c r="U8118" s="4" t="str">
        <f>IFERROR(__xludf.DUMMYFUNCTION("""COMPUTED_VALUE"""),"Izzy Way Tecnologia")</f>
        <v>Izzy Way Tecnologia</v>
      </c>
      <c r="V8118" s="33">
        <f>IFERROR(__xludf.DUMMYFUNCTION("""COMPUTED_VALUE"""),1.0)</f>
        <v>1</v>
      </c>
      <c r="W8118" s="4" t="str">
        <f>IFERROR(__xludf.DUMMYFUNCTION("""COMPUTED_VALUE"""),"Izzy Way Tecnologia")</f>
        <v>Izzy Way Tecnologia</v>
      </c>
      <c r="X8118" s="33">
        <f>IFERROR(__xludf.DUMMYFUNCTION("""COMPUTED_VALUE"""),1.0)</f>
        <v>1</v>
      </c>
    </row>
    <row r="8119">
      <c r="K8119" s="4" t="str">
        <f>IFERROR(__xludf.DUMMYFUNCTION("""COMPUTED_VALUE"""),"MINIS")</f>
        <v>MINIS</v>
      </c>
      <c r="L8119" s="32">
        <f>IFERROR(__xludf.DUMMYFUNCTION("""COMPUTED_VALUE"""),1.0)</f>
        <v>1</v>
      </c>
      <c r="M8119" s="4" t="str">
        <f>IFERROR(__xludf.DUMMYFUNCTION("""COMPUTED_VALUE"""),"Saipos Serviços De Software")</f>
        <v>Saipos Serviços De Software</v>
      </c>
      <c r="N8119" s="33">
        <f>IFERROR(__xludf.DUMMYFUNCTION("""COMPUTED_VALUE"""),1.0)</f>
        <v>1</v>
      </c>
      <c r="O8119" s="4" t="str">
        <f>IFERROR(__xludf.DUMMYFUNCTION("""COMPUTED_VALUE"""),"Saipos Serviços De Software")</f>
        <v>Saipos Serviços De Software</v>
      </c>
      <c r="P8119" s="33">
        <f>IFERROR(__xludf.DUMMYFUNCTION("""COMPUTED_VALUE"""),1.0)</f>
        <v>1</v>
      </c>
      <c r="Q8119" s="4" t="str">
        <f>IFERROR(__xludf.DUMMYFUNCTION("""COMPUTED_VALUE"""),"Saipos Serviços De Software")</f>
        <v>Saipos Serviços De Software</v>
      </c>
      <c r="R8119" s="33">
        <f>IFERROR(__xludf.DUMMYFUNCTION("""COMPUTED_VALUE"""),1.0)</f>
        <v>1</v>
      </c>
      <c r="S8119" s="4" t="str">
        <f>IFERROR(__xludf.DUMMYFUNCTION("""COMPUTED_VALUE"""),"Saipos Serviços De Software")</f>
        <v>Saipos Serviços De Software</v>
      </c>
      <c r="T8119" s="33">
        <f>IFERROR(__xludf.DUMMYFUNCTION("""COMPUTED_VALUE"""),1.0)</f>
        <v>1</v>
      </c>
      <c r="U8119" s="4" t="str">
        <f>IFERROR(__xludf.DUMMYFUNCTION("""COMPUTED_VALUE"""),"Saipos Serviços De Software")</f>
        <v>Saipos Serviços De Software</v>
      </c>
      <c r="V8119" s="33">
        <f>IFERROR(__xludf.DUMMYFUNCTION("""COMPUTED_VALUE"""),1.0)</f>
        <v>1</v>
      </c>
      <c r="W8119" s="4" t="str">
        <f>IFERROR(__xludf.DUMMYFUNCTION("""COMPUTED_VALUE"""),"Saipos Serviços De Software")</f>
        <v>Saipos Serviços De Software</v>
      </c>
      <c r="X8119" s="33">
        <f>IFERROR(__xludf.DUMMYFUNCTION("""COMPUTED_VALUE"""),1.0)</f>
        <v>1</v>
      </c>
    </row>
    <row r="8120">
      <c r="K8120" s="4" t="str">
        <f>IFERROR(__xludf.DUMMYFUNCTION("""COMPUTED_VALUE"""),"PIZZARIA DO PAPAI -PARADA INGLESA UNID 1")</f>
        <v>PIZZARIA DO PAPAI -PARADA INGLESA UNID 1</v>
      </c>
      <c r="L8120" s="32">
        <f>IFERROR(__xludf.DUMMYFUNCTION("""COMPUTED_VALUE"""),1.0)</f>
        <v>1</v>
      </c>
      <c r="M8120" s="4" t="str">
        <f>IFERROR(__xludf.DUMMYFUNCTION("""COMPUTED_VALUE"""),"Crm Ti Ltda.")</f>
        <v>Crm Ti Ltda.</v>
      </c>
      <c r="N8120" s="33">
        <f>IFERROR(__xludf.DUMMYFUNCTION("""COMPUTED_VALUE"""),1.0)</f>
        <v>1</v>
      </c>
      <c r="O8120" s="4" t="str">
        <f>IFERROR(__xludf.DUMMYFUNCTION("""COMPUTED_VALUE"""),"null")</f>
        <v>null</v>
      </c>
      <c r="P8120" s="33">
        <f>IFERROR(__xludf.DUMMYFUNCTION("""COMPUTED_VALUE"""),1.0)</f>
        <v>1</v>
      </c>
      <c r="Q8120" s="4" t="str">
        <f>IFERROR(__xludf.DUMMYFUNCTION("""COMPUTED_VALUE"""),"Crm Ti Ltda.")</f>
        <v>Crm Ti Ltda.</v>
      </c>
      <c r="R8120" s="33">
        <f>IFERROR(__xludf.DUMMYFUNCTION("""COMPUTED_VALUE"""),1.0)</f>
        <v>1</v>
      </c>
      <c r="S8120" s="4" t="str">
        <f>IFERROR(__xludf.DUMMYFUNCTION("""COMPUTED_VALUE"""),"null")</f>
        <v>null</v>
      </c>
      <c r="T8120" s="33">
        <f>IFERROR(__xludf.DUMMYFUNCTION("""COMPUTED_VALUE"""),1.0)</f>
        <v>1</v>
      </c>
      <c r="U8120" s="4" t="str">
        <f>IFERROR(__xludf.DUMMYFUNCTION("""COMPUTED_VALUE"""),"null")</f>
        <v>null</v>
      </c>
      <c r="V8120" s="33">
        <f>IFERROR(__xludf.DUMMYFUNCTION("""COMPUTED_VALUE"""),1.0)</f>
        <v>1</v>
      </c>
      <c r="W8120" s="4" t="str">
        <f>IFERROR(__xludf.DUMMYFUNCTION("""COMPUTED_VALUE"""),"Crm Ti Ltda.")</f>
        <v>Crm Ti Ltda.</v>
      </c>
      <c r="X8120" s="33">
        <f>IFERROR(__xludf.DUMMYFUNCTION("""COMPUTED_VALUE"""),1.0)</f>
        <v>1</v>
      </c>
    </row>
    <row r="8121">
      <c r="K8121" s="4" t="str">
        <f>IFERROR(__xludf.DUMMYFUNCTION("""COMPUTED_VALUE"""),"LOS GRELHAS HAMBURGUERIA")</f>
        <v>LOS GRELHAS HAMBURGUERIA</v>
      </c>
      <c r="L8121" s="32">
        <f>IFERROR(__xludf.DUMMYFUNCTION("""COMPUTED_VALUE"""),1.0)</f>
        <v>1</v>
      </c>
      <c r="M8121" s="4" t="str">
        <f>IFERROR(__xludf.DUMMYFUNCTION("""COMPUTED_VALUE"""),"Brendi")</f>
        <v>Brendi</v>
      </c>
      <c r="N8121" s="33">
        <f>IFERROR(__xludf.DUMMYFUNCTION("""COMPUTED_VALUE"""),1.0)</f>
        <v>1</v>
      </c>
      <c r="O8121" s="4" t="str">
        <f>IFERROR(__xludf.DUMMYFUNCTION("""COMPUTED_VALUE"""),"Brendi")</f>
        <v>Brendi</v>
      </c>
      <c r="P8121" s="33">
        <f>IFERROR(__xludf.DUMMYFUNCTION("""COMPUTED_VALUE"""),1.0)</f>
        <v>1</v>
      </c>
      <c r="Q8121" s="4" t="str">
        <f>IFERROR(__xludf.DUMMYFUNCTION("""COMPUTED_VALUE"""),"Brendi")</f>
        <v>Brendi</v>
      </c>
      <c r="R8121" s="33">
        <f>IFERROR(__xludf.DUMMYFUNCTION("""COMPUTED_VALUE"""),1.0)</f>
        <v>1</v>
      </c>
      <c r="S8121" s="4" t="str">
        <f>IFERROR(__xludf.DUMMYFUNCTION("""COMPUTED_VALUE"""),"Brendi")</f>
        <v>Brendi</v>
      </c>
      <c r="T8121" s="33">
        <f>IFERROR(__xludf.DUMMYFUNCTION("""COMPUTED_VALUE"""),1.0)</f>
        <v>1</v>
      </c>
      <c r="U8121" s="4" t="str">
        <f>IFERROR(__xludf.DUMMYFUNCTION("""COMPUTED_VALUE"""),"Brendi")</f>
        <v>Brendi</v>
      </c>
      <c r="V8121" s="33">
        <f>IFERROR(__xludf.DUMMYFUNCTION("""COMPUTED_VALUE"""),1.0)</f>
        <v>1</v>
      </c>
      <c r="W8121" s="4" t="str">
        <f>IFERROR(__xludf.DUMMYFUNCTION("""COMPUTED_VALUE"""),"Brendi")</f>
        <v>Brendi</v>
      </c>
      <c r="X8121" s="33">
        <f>IFERROR(__xludf.DUMMYFUNCTION("""COMPUTED_VALUE"""),1.0)</f>
        <v>1</v>
      </c>
    </row>
    <row r="8122">
      <c r="K8122" s="4" t="str">
        <f>IFERROR(__xludf.DUMMYFUNCTION("""COMPUTED_VALUE"""),"MARIAH SORVETERIA ACAITERIA")</f>
        <v>MARIAH SORVETERIA ACAITERIA</v>
      </c>
      <c r="L8122" s="32">
        <f>IFERROR(__xludf.DUMMYFUNCTION("""COMPUTED_VALUE"""),1.0)</f>
        <v>1</v>
      </c>
      <c r="M8122" s="4" t="str">
        <f>IFERROR(__xludf.DUMMYFUNCTION("""COMPUTED_VALUE"""),"Consumer Soluções Em Tecnologia Ltda")</f>
        <v>Consumer Soluções Em Tecnologia Ltda</v>
      </c>
      <c r="N8122" s="33">
        <f>IFERROR(__xludf.DUMMYFUNCTION("""COMPUTED_VALUE"""),1.0)</f>
        <v>1</v>
      </c>
      <c r="O8122" s="4" t="str">
        <f>IFERROR(__xludf.DUMMYFUNCTION("""COMPUTED_VALUE"""),"Consumer Soluções Em Tecnologia Ltda")</f>
        <v>Consumer Soluções Em Tecnologia Ltda</v>
      </c>
      <c r="P8122" s="33">
        <f>IFERROR(__xludf.DUMMYFUNCTION("""COMPUTED_VALUE"""),1.0)</f>
        <v>1</v>
      </c>
      <c r="Q8122" s="4" t="str">
        <f>IFERROR(__xludf.DUMMYFUNCTION("""COMPUTED_VALUE"""),"Consumer Soluções Em Tecnologia Ltda")</f>
        <v>Consumer Soluções Em Tecnologia Ltda</v>
      </c>
      <c r="R8122" s="33">
        <f>IFERROR(__xludf.DUMMYFUNCTION("""COMPUTED_VALUE"""),1.0)</f>
        <v>1</v>
      </c>
      <c r="S8122" s="4" t="str">
        <f>IFERROR(__xludf.DUMMYFUNCTION("""COMPUTED_VALUE"""),"Consumer Soluções Em Tecnologia Ltda")</f>
        <v>Consumer Soluções Em Tecnologia Ltda</v>
      </c>
      <c r="T8122" s="33">
        <f>IFERROR(__xludf.DUMMYFUNCTION("""COMPUTED_VALUE"""),1.0)</f>
        <v>1</v>
      </c>
      <c r="U8122" s="4" t="str">
        <f>IFERROR(__xludf.DUMMYFUNCTION("""COMPUTED_VALUE"""),"Consumer Soluções Em Tecnologia Ltda")</f>
        <v>Consumer Soluções Em Tecnologia Ltda</v>
      </c>
      <c r="V8122" s="33">
        <f>IFERROR(__xludf.DUMMYFUNCTION("""COMPUTED_VALUE"""),1.0)</f>
        <v>1</v>
      </c>
      <c r="W8122" s="4" t="str">
        <f>IFERROR(__xludf.DUMMYFUNCTION("""COMPUTED_VALUE"""),"Consumer Soluções Em Tecnologia Ltda")</f>
        <v>Consumer Soluções Em Tecnologia Ltda</v>
      </c>
      <c r="X8122" s="33">
        <f>IFERROR(__xludf.DUMMYFUNCTION("""COMPUTED_VALUE"""),1.0)</f>
        <v>1</v>
      </c>
    </row>
    <row r="8123">
      <c r="K8123" s="4" t="str">
        <f>IFERROR(__xludf.DUMMYFUNCTION("""COMPUTED_VALUE"""),"SABOR CACAU DOCES GOURMET E SORVETERIA")</f>
        <v>SABOR CACAU DOCES GOURMET E SORVETERIA</v>
      </c>
      <c r="L8123" s="32">
        <f>IFERROR(__xludf.DUMMYFUNCTION("""COMPUTED_VALUE"""),1.0)</f>
        <v>1</v>
      </c>
      <c r="M8123" s="4" t="str">
        <f>IFERROR(__xludf.DUMMYFUNCTION("""COMPUTED_VALUE"""),"null")</f>
        <v>null</v>
      </c>
      <c r="N8123" s="33">
        <f>IFERROR(__xludf.DUMMYFUNCTION("""COMPUTED_VALUE"""),1.0)</f>
        <v>1</v>
      </c>
      <c r="O8123" s="4" t="str">
        <f>IFERROR(__xludf.DUMMYFUNCTION("""COMPUTED_VALUE"""),"null")</f>
        <v>null</v>
      </c>
      <c r="P8123" s="33">
        <f>IFERROR(__xludf.DUMMYFUNCTION("""COMPUTED_VALUE"""),1.0)</f>
        <v>1</v>
      </c>
      <c r="Q8123" s="4" t="str">
        <f>IFERROR(__xludf.DUMMYFUNCTION("""COMPUTED_VALUE"""),"null")</f>
        <v>null</v>
      </c>
      <c r="R8123" s="33">
        <f>IFERROR(__xludf.DUMMYFUNCTION("""COMPUTED_VALUE"""),1.0)</f>
        <v>1</v>
      </c>
      <c r="S8123" s="4" t="str">
        <f>IFERROR(__xludf.DUMMYFUNCTION("""COMPUTED_VALUE"""),"Instadelivery")</f>
        <v>Instadelivery</v>
      </c>
      <c r="T8123" s="33">
        <f>IFERROR(__xludf.DUMMYFUNCTION("""COMPUTED_VALUE"""),1.0)</f>
        <v>1</v>
      </c>
      <c r="U8123" s="4" t="str">
        <f>IFERROR(__xludf.DUMMYFUNCTION("""COMPUTED_VALUE"""),"Instadelivery")</f>
        <v>Instadelivery</v>
      </c>
      <c r="V8123" s="33">
        <f>IFERROR(__xludf.DUMMYFUNCTION("""COMPUTED_VALUE"""),1.0)</f>
        <v>1</v>
      </c>
      <c r="W8123" s="4" t="str">
        <f>IFERROR(__xludf.DUMMYFUNCTION("""COMPUTED_VALUE"""),"null")</f>
        <v>null</v>
      </c>
      <c r="X8123" s="33">
        <f>IFERROR(__xludf.DUMMYFUNCTION("""COMPUTED_VALUE"""),1.0)</f>
        <v>1</v>
      </c>
    </row>
    <row r="8124">
      <c r="K8124" s="4" t="str">
        <f>IFERROR(__xludf.DUMMYFUNCTION("""COMPUTED_VALUE"""),"SABOR DO MAR FRITOS E GRELHADOS")</f>
        <v>SABOR DO MAR FRITOS E GRELHADOS</v>
      </c>
      <c r="L8124" s="32">
        <f>IFERROR(__xludf.DUMMYFUNCTION("""COMPUTED_VALUE"""),1.0)</f>
        <v>1</v>
      </c>
      <c r="M8124" s="4" t="str">
        <f>IFERROR(__xludf.DUMMYFUNCTION("""COMPUTED_VALUE"""),"Cervantes Tecnologia")</f>
        <v>Cervantes Tecnologia</v>
      </c>
      <c r="N8124" s="33">
        <f>IFERROR(__xludf.DUMMYFUNCTION("""COMPUTED_VALUE"""),1.0)</f>
        <v>1</v>
      </c>
      <c r="O8124" s="4" t="str">
        <f>IFERROR(__xludf.DUMMYFUNCTION("""COMPUTED_VALUE"""),"Cervantes Tecnologia")</f>
        <v>Cervantes Tecnologia</v>
      </c>
      <c r="P8124" s="33">
        <f>IFERROR(__xludf.DUMMYFUNCTION("""COMPUTED_VALUE"""),1.0)</f>
        <v>1</v>
      </c>
      <c r="Q8124" s="4" t="str">
        <f>IFERROR(__xludf.DUMMYFUNCTION("""COMPUTED_VALUE"""),"Cervantes Tecnologia")</f>
        <v>Cervantes Tecnologia</v>
      </c>
      <c r="R8124" s="33">
        <f>IFERROR(__xludf.DUMMYFUNCTION("""COMPUTED_VALUE"""),1.0)</f>
        <v>1</v>
      </c>
      <c r="S8124" s="4" t="str">
        <f>IFERROR(__xludf.DUMMYFUNCTION("""COMPUTED_VALUE"""),"Cervantes Tecnologia")</f>
        <v>Cervantes Tecnologia</v>
      </c>
      <c r="T8124" s="33">
        <f>IFERROR(__xludf.DUMMYFUNCTION("""COMPUTED_VALUE"""),1.0)</f>
        <v>1</v>
      </c>
      <c r="U8124" s="4" t="str">
        <f>IFERROR(__xludf.DUMMYFUNCTION("""COMPUTED_VALUE"""),"Cervantes Tecnologia")</f>
        <v>Cervantes Tecnologia</v>
      </c>
      <c r="V8124" s="33">
        <f>IFERROR(__xludf.DUMMYFUNCTION("""COMPUTED_VALUE"""),1.0)</f>
        <v>1</v>
      </c>
      <c r="W8124" s="4" t="str">
        <f>IFERROR(__xludf.DUMMYFUNCTION("""COMPUTED_VALUE"""),"null")</f>
        <v>null</v>
      </c>
      <c r="X8124" s="33">
        <f>IFERROR(__xludf.DUMMYFUNCTION("""COMPUTED_VALUE"""),1.0)</f>
        <v>1</v>
      </c>
    </row>
    <row r="8125">
      <c r="K8125" s="4" t="str">
        <f>IFERROR(__xludf.DUMMYFUNCTION("""COMPUTED_VALUE"""),"PALOOZA BURGUER LANCHES - HAMBURGUERIA ARTESANAL E TRADICIONAL")</f>
        <v>PALOOZA BURGUER LANCHES - HAMBURGUERIA ARTESANAL E TRADICIONAL</v>
      </c>
      <c r="L8125" s="32">
        <f>IFERROR(__xludf.DUMMYFUNCTION("""COMPUTED_VALUE"""),1.0)</f>
        <v>1</v>
      </c>
      <c r="M8125" s="4" t="str">
        <f>IFERROR(__xludf.DUMMYFUNCTION("""COMPUTED_VALUE"""),"Cardápio Web")</f>
        <v>Cardápio Web</v>
      </c>
      <c r="N8125" s="33">
        <f>IFERROR(__xludf.DUMMYFUNCTION("""COMPUTED_VALUE"""),1.0)</f>
        <v>1</v>
      </c>
      <c r="O8125" s="4" t="str">
        <f>IFERROR(__xludf.DUMMYFUNCTION("""COMPUTED_VALUE"""),"Cardápio Web")</f>
        <v>Cardápio Web</v>
      </c>
      <c r="P8125" s="33">
        <f>IFERROR(__xludf.DUMMYFUNCTION("""COMPUTED_VALUE"""),1.0)</f>
        <v>1</v>
      </c>
      <c r="Q8125" s="4" t="str">
        <f>IFERROR(__xludf.DUMMYFUNCTION("""COMPUTED_VALUE"""),"Cardápio Web")</f>
        <v>Cardápio Web</v>
      </c>
      <c r="R8125" s="33">
        <f>IFERROR(__xludf.DUMMYFUNCTION("""COMPUTED_VALUE"""),1.0)</f>
        <v>1</v>
      </c>
      <c r="S8125" s="4" t="str">
        <f>IFERROR(__xludf.DUMMYFUNCTION("""COMPUTED_VALUE"""),"Cardápio Web")</f>
        <v>Cardápio Web</v>
      </c>
      <c r="T8125" s="33">
        <f>IFERROR(__xludf.DUMMYFUNCTION("""COMPUTED_VALUE"""),1.0)</f>
        <v>1</v>
      </c>
      <c r="U8125" s="4" t="str">
        <f>IFERROR(__xludf.DUMMYFUNCTION("""COMPUTED_VALUE"""),"Cardápio Web")</f>
        <v>Cardápio Web</v>
      </c>
      <c r="V8125" s="33">
        <f>IFERROR(__xludf.DUMMYFUNCTION("""COMPUTED_VALUE"""),1.0)</f>
        <v>1</v>
      </c>
      <c r="W8125" s="4" t="str">
        <f>IFERROR(__xludf.DUMMYFUNCTION("""COMPUTED_VALUE"""),"Cardápio Web")</f>
        <v>Cardápio Web</v>
      </c>
      <c r="X8125" s="33">
        <f>IFERROR(__xludf.DUMMYFUNCTION("""COMPUTED_VALUE"""),1.0)</f>
        <v>1</v>
      </c>
    </row>
    <row r="8126">
      <c r="K8126" s="4" t="str">
        <f>IFERROR(__xludf.DUMMYFUNCTION("""COMPUTED_VALUE"""),"ARETE DELIVERY")</f>
        <v>ARETE DELIVERY</v>
      </c>
      <c r="L8126" s="32">
        <f>IFERROR(__xludf.DUMMYFUNCTION("""COMPUTED_VALUE"""),1.0)</f>
        <v>1</v>
      </c>
      <c r="M8126" s="4" t="str">
        <f>IFERROR(__xludf.DUMMYFUNCTION("""COMPUTED_VALUE"""),"Tronsoft Soluções Ltda.")</f>
        <v>Tronsoft Soluções Ltda.</v>
      </c>
      <c r="N8126" s="33">
        <f>IFERROR(__xludf.DUMMYFUNCTION("""COMPUTED_VALUE"""),1.0)</f>
        <v>1</v>
      </c>
      <c r="O8126" s="4" t="str">
        <f>IFERROR(__xludf.DUMMYFUNCTION("""COMPUTED_VALUE"""),"Tronsoft Soluções Ltda.")</f>
        <v>Tronsoft Soluções Ltda.</v>
      </c>
      <c r="P8126" s="33">
        <f>IFERROR(__xludf.DUMMYFUNCTION("""COMPUTED_VALUE"""),1.0)</f>
        <v>1</v>
      </c>
      <c r="Q8126" s="4" t="str">
        <f>IFERROR(__xludf.DUMMYFUNCTION("""COMPUTED_VALUE"""),"Tronsoft Soluções Ltda.")</f>
        <v>Tronsoft Soluções Ltda.</v>
      </c>
      <c r="R8126" s="33">
        <f>IFERROR(__xludf.DUMMYFUNCTION("""COMPUTED_VALUE"""),1.0)</f>
        <v>1</v>
      </c>
      <c r="S8126" s="4" t="str">
        <f>IFERROR(__xludf.DUMMYFUNCTION("""COMPUTED_VALUE"""),"Tronsoft Soluções Ltda.")</f>
        <v>Tronsoft Soluções Ltda.</v>
      </c>
      <c r="T8126" s="33">
        <f>IFERROR(__xludf.DUMMYFUNCTION("""COMPUTED_VALUE"""),1.0)</f>
        <v>1</v>
      </c>
      <c r="U8126" s="4" t="str">
        <f>IFERROR(__xludf.DUMMYFUNCTION("""COMPUTED_VALUE"""),"Tronsoft Soluções Ltda.")</f>
        <v>Tronsoft Soluções Ltda.</v>
      </c>
      <c r="V8126" s="33">
        <f>IFERROR(__xludf.DUMMYFUNCTION("""COMPUTED_VALUE"""),1.0)</f>
        <v>1</v>
      </c>
      <c r="W8126" s="4" t="str">
        <f>IFERROR(__xludf.DUMMYFUNCTION("""COMPUTED_VALUE"""),"Tronsoft Soluções Ltda.")</f>
        <v>Tronsoft Soluções Ltda.</v>
      </c>
      <c r="X8126" s="33">
        <f>IFERROR(__xludf.DUMMYFUNCTION("""COMPUTED_VALUE"""),1.0)</f>
        <v>1</v>
      </c>
    </row>
    <row r="8127">
      <c r="K8127" s="4" t="str">
        <f>IFERROR(__xludf.DUMMYFUNCTION("""COMPUTED_VALUE"""),"SALGADOS DUI")</f>
        <v>SALGADOS DUI</v>
      </c>
      <c r="L8127" s="32">
        <f>IFERROR(__xludf.DUMMYFUNCTION("""COMPUTED_VALUE"""),1.0)</f>
        <v>1</v>
      </c>
      <c r="M8127" s="4" t="str">
        <f>IFERROR(__xludf.DUMMYFUNCTION("""COMPUTED_VALUE"""),"Cardápio Web")</f>
        <v>Cardápio Web</v>
      </c>
      <c r="N8127" s="33">
        <f>IFERROR(__xludf.DUMMYFUNCTION("""COMPUTED_VALUE"""),1.0)</f>
        <v>1</v>
      </c>
      <c r="O8127" s="4" t="str">
        <f>IFERROR(__xludf.DUMMYFUNCTION("""COMPUTED_VALUE"""),"null")</f>
        <v>null</v>
      </c>
      <c r="P8127" s="33">
        <f>IFERROR(__xludf.DUMMYFUNCTION("""COMPUTED_VALUE"""),1.0)</f>
        <v>1</v>
      </c>
      <c r="Q8127" s="4" t="str">
        <f>IFERROR(__xludf.DUMMYFUNCTION("""COMPUTED_VALUE"""),"null")</f>
        <v>null</v>
      </c>
      <c r="R8127" s="33">
        <f>IFERROR(__xludf.DUMMYFUNCTION("""COMPUTED_VALUE"""),1.0)</f>
        <v>1</v>
      </c>
      <c r="S8127" s="4" t="str">
        <f>IFERROR(__xludf.DUMMYFUNCTION("""COMPUTED_VALUE"""),"null")</f>
        <v>null</v>
      </c>
      <c r="T8127" s="33">
        <f>IFERROR(__xludf.DUMMYFUNCTION("""COMPUTED_VALUE"""),1.0)</f>
        <v>1</v>
      </c>
      <c r="U8127" s="4" t="str">
        <f>IFERROR(__xludf.DUMMYFUNCTION("""COMPUTED_VALUE"""),"null")</f>
        <v>null</v>
      </c>
      <c r="V8127" s="33">
        <f>IFERROR(__xludf.DUMMYFUNCTION("""COMPUTED_VALUE"""),1.0)</f>
        <v>1</v>
      </c>
      <c r="W8127" s="4" t="str">
        <f>IFERROR(__xludf.DUMMYFUNCTION("""COMPUTED_VALUE"""),"null")</f>
        <v>null</v>
      </c>
      <c r="X8127" s="33">
        <f>IFERROR(__xludf.DUMMYFUNCTION("""COMPUTED_VALUE"""),1.0)</f>
        <v>1</v>
      </c>
    </row>
    <row r="8128">
      <c r="K8128" s="4" t="str">
        <f>IFERROR(__xludf.DUMMYFUNCTION("""COMPUTED_VALUE"""),"PIZZA GLOBAL")</f>
        <v>PIZZA GLOBAL</v>
      </c>
      <c r="L8128" s="32">
        <f>IFERROR(__xludf.DUMMYFUNCTION("""COMPUTED_VALUE"""),1.0)</f>
        <v>1</v>
      </c>
      <c r="M8128" s="4" t="str">
        <f>IFERROR(__xludf.DUMMYFUNCTION("""COMPUTED_VALUE"""),"Cardápio Web")</f>
        <v>Cardápio Web</v>
      </c>
      <c r="N8128" s="33">
        <f>IFERROR(__xludf.DUMMYFUNCTION("""COMPUTED_VALUE"""),1.0)</f>
        <v>1</v>
      </c>
      <c r="O8128" s="4" t="str">
        <f>IFERROR(__xludf.DUMMYFUNCTION("""COMPUTED_VALUE"""),"Cardápio Web")</f>
        <v>Cardápio Web</v>
      </c>
      <c r="P8128" s="33">
        <f>IFERROR(__xludf.DUMMYFUNCTION("""COMPUTED_VALUE"""),1.0)</f>
        <v>1</v>
      </c>
      <c r="Q8128" s="4" t="str">
        <f>IFERROR(__xludf.DUMMYFUNCTION("""COMPUTED_VALUE"""),"Cardápio Web")</f>
        <v>Cardápio Web</v>
      </c>
      <c r="R8128" s="33">
        <f>IFERROR(__xludf.DUMMYFUNCTION("""COMPUTED_VALUE"""),1.0)</f>
        <v>1</v>
      </c>
      <c r="S8128" s="4" t="str">
        <f>IFERROR(__xludf.DUMMYFUNCTION("""COMPUTED_VALUE"""),"Cardápio Web")</f>
        <v>Cardápio Web</v>
      </c>
      <c r="T8128" s="33">
        <f>IFERROR(__xludf.DUMMYFUNCTION("""COMPUTED_VALUE"""),1.0)</f>
        <v>1</v>
      </c>
      <c r="U8128" s="4" t="str">
        <f>IFERROR(__xludf.DUMMYFUNCTION("""COMPUTED_VALUE"""),"Cardápio Web")</f>
        <v>Cardápio Web</v>
      </c>
      <c r="V8128" s="33">
        <f>IFERROR(__xludf.DUMMYFUNCTION("""COMPUTED_VALUE"""),1.0)</f>
        <v>1</v>
      </c>
      <c r="W8128" s="4" t="str">
        <f>IFERROR(__xludf.DUMMYFUNCTION("""COMPUTED_VALUE"""),"Cardápio Web")</f>
        <v>Cardápio Web</v>
      </c>
      <c r="X8128" s="33">
        <f>IFERROR(__xludf.DUMMYFUNCTION("""COMPUTED_VALUE"""),1.0)</f>
        <v>1</v>
      </c>
    </row>
    <row r="8129">
      <c r="K8129" s="4" t="str">
        <f>IFERROR(__xludf.DUMMYFUNCTION("""COMPUTED_VALUE"""),"ESPETINHO DA ELZE")</f>
        <v>ESPETINHO DA ELZE</v>
      </c>
      <c r="L8129" s="32">
        <f>IFERROR(__xludf.DUMMYFUNCTION("""COMPUTED_VALUE"""),1.0)</f>
        <v>1</v>
      </c>
      <c r="M8129" s="4" t="str">
        <f>IFERROR(__xludf.DUMMYFUNCTION("""COMPUTED_VALUE"""),"Saipos Serviços De Software")</f>
        <v>Saipos Serviços De Software</v>
      </c>
      <c r="N8129" s="33">
        <f>IFERROR(__xludf.DUMMYFUNCTION("""COMPUTED_VALUE"""),1.0)</f>
        <v>1</v>
      </c>
      <c r="O8129" s="4" t="str">
        <f>IFERROR(__xludf.DUMMYFUNCTION("""COMPUTED_VALUE"""),"Saipos Serviços De Software")</f>
        <v>Saipos Serviços De Software</v>
      </c>
      <c r="P8129" s="33">
        <f>IFERROR(__xludf.DUMMYFUNCTION("""COMPUTED_VALUE"""),1.0)</f>
        <v>1</v>
      </c>
      <c r="Q8129" s="4" t="str">
        <f>IFERROR(__xludf.DUMMYFUNCTION("""COMPUTED_VALUE"""),"Saipos Serviços De Software")</f>
        <v>Saipos Serviços De Software</v>
      </c>
      <c r="R8129" s="33">
        <f>IFERROR(__xludf.DUMMYFUNCTION("""COMPUTED_VALUE"""),1.0)</f>
        <v>1</v>
      </c>
      <c r="S8129" s="4" t="str">
        <f>IFERROR(__xludf.DUMMYFUNCTION("""COMPUTED_VALUE"""),"Saipos Serviços De Software")</f>
        <v>Saipos Serviços De Software</v>
      </c>
      <c r="T8129" s="33">
        <f>IFERROR(__xludf.DUMMYFUNCTION("""COMPUTED_VALUE"""),1.0)</f>
        <v>1</v>
      </c>
      <c r="U8129" s="4" t="str">
        <f>IFERROR(__xludf.DUMMYFUNCTION("""COMPUTED_VALUE"""),"Saipos Serviços De Software")</f>
        <v>Saipos Serviços De Software</v>
      </c>
      <c r="V8129" s="33">
        <f>IFERROR(__xludf.DUMMYFUNCTION("""COMPUTED_VALUE"""),1.0)</f>
        <v>1</v>
      </c>
      <c r="W8129" s="4" t="str">
        <f>IFERROR(__xludf.DUMMYFUNCTION("""COMPUTED_VALUE"""),"Saipos Serviços De Software")</f>
        <v>Saipos Serviços De Software</v>
      </c>
      <c r="X8129" s="33">
        <f>IFERROR(__xludf.DUMMYFUNCTION("""COMPUTED_VALUE"""),1.0)</f>
        <v>1</v>
      </c>
    </row>
    <row r="8130">
      <c r="K8130" s="4" t="str">
        <f>IFERROR(__xludf.DUMMYFUNCTION("""COMPUTED_VALUE"""),"SABORES DA VIDA")</f>
        <v>SABORES DA VIDA</v>
      </c>
      <c r="L8130" s="32">
        <f>IFERROR(__xludf.DUMMYFUNCTION("""COMPUTED_VALUE"""),1.0)</f>
        <v>1</v>
      </c>
      <c r="M8130" s="4" t="str">
        <f>IFERROR(__xludf.DUMMYFUNCTION("""COMPUTED_VALUE"""),"null")</f>
        <v>null</v>
      </c>
      <c r="N8130" s="33">
        <f>IFERROR(__xludf.DUMMYFUNCTION("""COMPUTED_VALUE"""),1.0)</f>
        <v>1</v>
      </c>
      <c r="O8130" s="4" t="str">
        <f>IFERROR(__xludf.DUMMYFUNCTION("""COMPUTED_VALUE"""),"null")</f>
        <v>null</v>
      </c>
      <c r="P8130" s="33">
        <f>IFERROR(__xludf.DUMMYFUNCTION("""COMPUTED_VALUE"""),1.0)</f>
        <v>1</v>
      </c>
      <c r="Q8130" s="4" t="str">
        <f>IFERROR(__xludf.DUMMYFUNCTION("""COMPUTED_VALUE"""),"Nextage Sistemas De Informatica Ltda")</f>
        <v>Nextage Sistemas De Informatica Ltda</v>
      </c>
      <c r="R8130" s="33">
        <f>IFERROR(__xludf.DUMMYFUNCTION("""COMPUTED_VALUE"""),1.0)</f>
        <v>1</v>
      </c>
      <c r="S8130" s="4" t="str">
        <f>IFERROR(__xludf.DUMMYFUNCTION("""COMPUTED_VALUE"""),"Nextage Sistemas De Informatica Ltda")</f>
        <v>Nextage Sistemas De Informatica Ltda</v>
      </c>
      <c r="T8130" s="33">
        <f>IFERROR(__xludf.DUMMYFUNCTION("""COMPUTED_VALUE"""),1.0)</f>
        <v>1</v>
      </c>
      <c r="U8130" s="4" t="str">
        <f>IFERROR(__xludf.DUMMYFUNCTION("""COMPUTED_VALUE"""),"Nextage Sistemas De Informatica Ltda")</f>
        <v>Nextage Sistemas De Informatica Ltda</v>
      </c>
      <c r="V8130" s="33">
        <f>IFERROR(__xludf.DUMMYFUNCTION("""COMPUTED_VALUE"""),1.0)</f>
        <v>1</v>
      </c>
      <c r="W8130" s="4" t="str">
        <f>IFERROR(__xludf.DUMMYFUNCTION("""COMPUTED_VALUE"""),"null")</f>
        <v>null</v>
      </c>
      <c r="X8130" s="33">
        <f>IFERROR(__xludf.DUMMYFUNCTION("""COMPUTED_VALUE"""),1.0)</f>
        <v>1</v>
      </c>
    </row>
    <row r="8131">
      <c r="K8131" s="4" t="str">
        <f>IFERROR(__xludf.DUMMYFUNCTION("""COMPUTED_VALUE"""),"PIZZARIA LAPIZZA")</f>
        <v>PIZZARIA LAPIZZA</v>
      </c>
      <c r="L8131" s="32">
        <f>IFERROR(__xludf.DUMMYFUNCTION("""COMPUTED_VALUE"""),1.0)</f>
        <v>1</v>
      </c>
      <c r="M8131" s="4" t="str">
        <f>IFERROR(__xludf.DUMMYFUNCTION("""COMPUTED_VALUE"""),"Saipos Serviços De Software")</f>
        <v>Saipos Serviços De Software</v>
      </c>
      <c r="N8131" s="33">
        <f>IFERROR(__xludf.DUMMYFUNCTION("""COMPUTED_VALUE"""),1.0)</f>
        <v>1</v>
      </c>
      <c r="O8131" s="4" t="str">
        <f>IFERROR(__xludf.DUMMYFUNCTION("""COMPUTED_VALUE"""),"Saipos Serviços De Software")</f>
        <v>Saipos Serviços De Software</v>
      </c>
      <c r="P8131" s="33">
        <f>IFERROR(__xludf.DUMMYFUNCTION("""COMPUTED_VALUE"""),1.0)</f>
        <v>1</v>
      </c>
      <c r="Q8131" s="4" t="str">
        <f>IFERROR(__xludf.DUMMYFUNCTION("""COMPUTED_VALUE"""),"Saipos Serviços De Software")</f>
        <v>Saipos Serviços De Software</v>
      </c>
      <c r="R8131" s="33">
        <f>IFERROR(__xludf.DUMMYFUNCTION("""COMPUTED_VALUE"""),1.0)</f>
        <v>1</v>
      </c>
      <c r="S8131" s="4" t="str">
        <f>IFERROR(__xludf.DUMMYFUNCTION("""COMPUTED_VALUE"""),"Saipos Serviços De Software")</f>
        <v>Saipos Serviços De Software</v>
      </c>
      <c r="T8131" s="33">
        <f>IFERROR(__xludf.DUMMYFUNCTION("""COMPUTED_VALUE"""),1.0)</f>
        <v>1</v>
      </c>
      <c r="U8131" s="4" t="str">
        <f>IFERROR(__xludf.DUMMYFUNCTION("""COMPUTED_VALUE"""),"Saipos Serviços De Software")</f>
        <v>Saipos Serviços De Software</v>
      </c>
      <c r="V8131" s="33">
        <f>IFERROR(__xludf.DUMMYFUNCTION("""COMPUTED_VALUE"""),1.0)</f>
        <v>1</v>
      </c>
      <c r="W8131" s="4" t="str">
        <f>IFERROR(__xludf.DUMMYFUNCTION("""COMPUTED_VALUE"""),"Saipos Serviços De Software")</f>
        <v>Saipos Serviços De Software</v>
      </c>
      <c r="X8131" s="33">
        <f>IFERROR(__xludf.DUMMYFUNCTION("""COMPUTED_VALUE"""),1.0)</f>
        <v>1</v>
      </c>
    </row>
    <row r="8132">
      <c r="K8132" s="4" t="str">
        <f>IFERROR(__xludf.DUMMYFUNCTION("""COMPUTED_VALUE"""),"PIZZARIA E LANCHONETE BEM ME QUER")</f>
        <v>PIZZARIA E LANCHONETE BEM ME QUER</v>
      </c>
      <c r="L8132" s="32">
        <f>IFERROR(__xludf.DUMMYFUNCTION("""COMPUTED_VALUE"""),1.0)</f>
        <v>1</v>
      </c>
      <c r="M8132" s="4" t="str">
        <f>IFERROR(__xludf.DUMMYFUNCTION("""COMPUTED_VALUE"""),"null")</f>
        <v>null</v>
      </c>
      <c r="N8132" s="33">
        <f>IFERROR(__xludf.DUMMYFUNCTION("""COMPUTED_VALUE"""),1.0)</f>
        <v>1</v>
      </c>
      <c r="O8132" s="4" t="str">
        <f>IFERROR(__xludf.DUMMYFUNCTION("""COMPUTED_VALUE"""),"null")</f>
        <v>null</v>
      </c>
      <c r="P8132" s="33">
        <f>IFERROR(__xludf.DUMMYFUNCTION("""COMPUTED_VALUE"""),1.0)</f>
        <v>1</v>
      </c>
      <c r="Q8132" s="4" t="str">
        <f>IFERROR(__xludf.DUMMYFUNCTION("""COMPUTED_VALUE"""),"null")</f>
        <v>null</v>
      </c>
      <c r="R8132" s="33">
        <f>IFERROR(__xludf.DUMMYFUNCTION("""COMPUTED_VALUE"""),1.0)</f>
        <v>1</v>
      </c>
      <c r="S8132" s="4" t="str">
        <f>IFERROR(__xludf.DUMMYFUNCTION("""COMPUTED_VALUE"""),"null")</f>
        <v>null</v>
      </c>
      <c r="T8132" s="33">
        <f>IFERROR(__xludf.DUMMYFUNCTION("""COMPUTED_VALUE"""),1.0)</f>
        <v>1</v>
      </c>
      <c r="U8132" s="4" t="str">
        <f>IFERROR(__xludf.DUMMYFUNCTION("""COMPUTED_VALUE"""),"Winfood")</f>
        <v>Winfood</v>
      </c>
      <c r="V8132" s="33">
        <f>IFERROR(__xludf.DUMMYFUNCTION("""COMPUTED_VALUE"""),1.0)</f>
        <v>1</v>
      </c>
      <c r="W8132" s="4" t="str">
        <f>IFERROR(__xludf.DUMMYFUNCTION("""COMPUTED_VALUE"""),"Winfood")</f>
        <v>Winfood</v>
      </c>
      <c r="X8132" s="33">
        <f>IFERROR(__xludf.DUMMYFUNCTION("""COMPUTED_VALUE"""),1.0)</f>
        <v>1</v>
      </c>
    </row>
    <row r="8133">
      <c r="K8133" s="4" t="str">
        <f>IFERROR(__xludf.DUMMYFUNCTION("""COMPUTED_VALUE"""),"KRUDIS BURGER")</f>
        <v>KRUDIS BURGER</v>
      </c>
      <c r="L8133" s="32">
        <f>IFERROR(__xludf.DUMMYFUNCTION("""COMPUTED_VALUE"""),1.0)</f>
        <v>1</v>
      </c>
      <c r="M8133" s="4" t="str">
        <f>IFERROR(__xludf.DUMMYFUNCTION("""COMPUTED_VALUE"""),"Saipos Serviços De Software")</f>
        <v>Saipos Serviços De Software</v>
      </c>
      <c r="N8133" s="33">
        <f>IFERROR(__xludf.DUMMYFUNCTION("""COMPUTED_VALUE"""),1.0)</f>
        <v>1</v>
      </c>
      <c r="O8133" s="4" t="str">
        <f>IFERROR(__xludf.DUMMYFUNCTION("""COMPUTED_VALUE"""),"Saipos Serviços De Software")</f>
        <v>Saipos Serviços De Software</v>
      </c>
      <c r="P8133" s="33">
        <f>IFERROR(__xludf.DUMMYFUNCTION("""COMPUTED_VALUE"""),1.0)</f>
        <v>1</v>
      </c>
      <c r="Q8133" s="4" t="str">
        <f>IFERROR(__xludf.DUMMYFUNCTION("""COMPUTED_VALUE"""),"Saipos Serviços De Software")</f>
        <v>Saipos Serviços De Software</v>
      </c>
      <c r="R8133" s="33">
        <f>IFERROR(__xludf.DUMMYFUNCTION("""COMPUTED_VALUE"""),1.0)</f>
        <v>1</v>
      </c>
      <c r="S8133" s="4" t="str">
        <f>IFERROR(__xludf.DUMMYFUNCTION("""COMPUTED_VALUE"""),"Saipos Serviços De Software")</f>
        <v>Saipos Serviços De Software</v>
      </c>
      <c r="T8133" s="33">
        <f>IFERROR(__xludf.DUMMYFUNCTION("""COMPUTED_VALUE"""),1.0)</f>
        <v>1</v>
      </c>
      <c r="U8133" s="4" t="str">
        <f>IFERROR(__xludf.DUMMYFUNCTION("""COMPUTED_VALUE"""),"Saipos Serviços De Software")</f>
        <v>Saipos Serviços De Software</v>
      </c>
      <c r="V8133" s="33">
        <f>IFERROR(__xludf.DUMMYFUNCTION("""COMPUTED_VALUE"""),1.0)</f>
        <v>1</v>
      </c>
      <c r="W8133" s="4" t="str">
        <f>IFERROR(__xludf.DUMMYFUNCTION("""COMPUTED_VALUE"""),"Saipos Serviços De Software")</f>
        <v>Saipos Serviços De Software</v>
      </c>
      <c r="X8133" s="33">
        <f>IFERROR(__xludf.DUMMYFUNCTION("""COMPUTED_VALUE"""),1.0)</f>
        <v>1</v>
      </c>
    </row>
    <row r="8134">
      <c r="K8134" s="4" t="str">
        <f>IFERROR(__xludf.DUMMYFUNCTION("""COMPUTED_VALUE"""),"THE BEST VINHOS - ADEGA 24 HORAS")</f>
        <v>THE BEST VINHOS - ADEGA 24 HORAS</v>
      </c>
      <c r="L8134" s="32">
        <f>IFERROR(__xludf.DUMMYFUNCTION("""COMPUTED_VALUE"""),1.0)</f>
        <v>1</v>
      </c>
      <c r="M8134" s="4" t="str">
        <f>IFERROR(__xludf.DUMMYFUNCTION("""COMPUTED_VALUE"""),"Cardápio Web")</f>
        <v>Cardápio Web</v>
      </c>
      <c r="N8134" s="33">
        <f>IFERROR(__xludf.DUMMYFUNCTION("""COMPUTED_VALUE"""),1.0)</f>
        <v>1</v>
      </c>
      <c r="O8134" s="4" t="str">
        <f>IFERROR(__xludf.DUMMYFUNCTION("""COMPUTED_VALUE"""),"Cardápio Web")</f>
        <v>Cardápio Web</v>
      </c>
      <c r="P8134" s="33">
        <f>IFERROR(__xludf.DUMMYFUNCTION("""COMPUTED_VALUE"""),1.0)</f>
        <v>1</v>
      </c>
      <c r="Q8134" s="4" t="str">
        <f>IFERROR(__xludf.DUMMYFUNCTION("""COMPUTED_VALUE"""),"Cardápio Web")</f>
        <v>Cardápio Web</v>
      </c>
      <c r="R8134" s="33">
        <f>IFERROR(__xludf.DUMMYFUNCTION("""COMPUTED_VALUE"""),1.0)</f>
        <v>1</v>
      </c>
      <c r="S8134" s="4" t="str">
        <f>IFERROR(__xludf.DUMMYFUNCTION("""COMPUTED_VALUE"""),"Cardápio Web")</f>
        <v>Cardápio Web</v>
      </c>
      <c r="T8134" s="33">
        <f>IFERROR(__xludf.DUMMYFUNCTION("""COMPUTED_VALUE"""),1.0)</f>
        <v>1</v>
      </c>
      <c r="U8134" s="4" t="str">
        <f>IFERROR(__xludf.DUMMYFUNCTION("""COMPUTED_VALUE"""),"Cardápio Web")</f>
        <v>Cardápio Web</v>
      </c>
      <c r="V8134" s="33">
        <f>IFERROR(__xludf.DUMMYFUNCTION("""COMPUTED_VALUE"""),1.0)</f>
        <v>1</v>
      </c>
      <c r="W8134" s="4" t="str">
        <f>IFERROR(__xludf.DUMMYFUNCTION("""COMPUTED_VALUE"""),"Cardápio Web")</f>
        <v>Cardápio Web</v>
      </c>
      <c r="X8134" s="33">
        <f>IFERROR(__xludf.DUMMYFUNCTION("""COMPUTED_VALUE"""),1.0)</f>
        <v>1</v>
      </c>
    </row>
    <row r="8135">
      <c r="K8135" s="4" t="str">
        <f>IFERROR(__xludf.DUMMYFUNCTION("""COMPUTED_VALUE"""),"ASSADOS GOURMET")</f>
        <v>ASSADOS GOURMET</v>
      </c>
      <c r="L8135" s="32">
        <f>IFERROR(__xludf.DUMMYFUNCTION("""COMPUTED_VALUE"""),1.0)</f>
        <v>1</v>
      </c>
      <c r="M8135" s="4" t="str">
        <f>IFERROR(__xludf.DUMMYFUNCTION("""COMPUTED_VALUE"""),"Mp Multipedidos")</f>
        <v>Mp Multipedidos</v>
      </c>
      <c r="N8135" s="33">
        <f>IFERROR(__xludf.DUMMYFUNCTION("""COMPUTED_VALUE"""),1.0)</f>
        <v>1</v>
      </c>
      <c r="O8135" s="4" t="str">
        <f>IFERROR(__xludf.DUMMYFUNCTION("""COMPUTED_VALUE"""),"Mp Multipedidos")</f>
        <v>Mp Multipedidos</v>
      </c>
      <c r="P8135" s="33">
        <f>IFERROR(__xludf.DUMMYFUNCTION("""COMPUTED_VALUE"""),1.0)</f>
        <v>1</v>
      </c>
      <c r="Q8135" s="4" t="str">
        <f>IFERROR(__xludf.DUMMYFUNCTION("""COMPUTED_VALUE"""),"Mp Multipedidos")</f>
        <v>Mp Multipedidos</v>
      </c>
      <c r="R8135" s="33">
        <f>IFERROR(__xludf.DUMMYFUNCTION("""COMPUTED_VALUE"""),1.0)</f>
        <v>1</v>
      </c>
      <c r="S8135" s="4" t="str">
        <f>IFERROR(__xludf.DUMMYFUNCTION("""COMPUTED_VALUE"""),"Mp Multipedidos")</f>
        <v>Mp Multipedidos</v>
      </c>
      <c r="T8135" s="33">
        <f>IFERROR(__xludf.DUMMYFUNCTION("""COMPUTED_VALUE"""),1.0)</f>
        <v>1</v>
      </c>
      <c r="U8135" s="4" t="str">
        <f>IFERROR(__xludf.DUMMYFUNCTION("""COMPUTED_VALUE"""),"Mp Multipedidos")</f>
        <v>Mp Multipedidos</v>
      </c>
      <c r="V8135" s="33">
        <f>IFERROR(__xludf.DUMMYFUNCTION("""COMPUTED_VALUE"""),1.0)</f>
        <v>1</v>
      </c>
      <c r="W8135" s="4" t="str">
        <f>IFERROR(__xludf.DUMMYFUNCTION("""COMPUTED_VALUE"""),"Mp Multipedidos")</f>
        <v>Mp Multipedidos</v>
      </c>
      <c r="X8135" s="33">
        <f>IFERROR(__xludf.DUMMYFUNCTION("""COMPUTED_VALUE"""),1.0)</f>
        <v>1</v>
      </c>
    </row>
    <row r="8136">
      <c r="K8136" s="4" t="str">
        <f>IFERROR(__xludf.DUMMYFUNCTION("""COMPUTED_VALUE"""),"BURGUERZ COMPANY")</f>
        <v>BURGUERZ COMPANY</v>
      </c>
      <c r="L8136" s="32">
        <f>IFERROR(__xludf.DUMMYFUNCTION("""COMPUTED_VALUE"""),1.0)</f>
        <v>1</v>
      </c>
      <c r="M8136" s="4" t="str">
        <f>IFERROR(__xludf.DUMMYFUNCTION("""COMPUTED_VALUE"""),"null")</f>
        <v>null</v>
      </c>
      <c r="N8136" s="33">
        <f>IFERROR(__xludf.DUMMYFUNCTION("""COMPUTED_VALUE"""),1.0)</f>
        <v>1</v>
      </c>
      <c r="O8136" s="4" t="str">
        <f>IFERROR(__xludf.DUMMYFUNCTION("""COMPUTED_VALUE"""),"Instadelivery")</f>
        <v>Instadelivery</v>
      </c>
      <c r="P8136" s="33">
        <f>IFERROR(__xludf.DUMMYFUNCTION("""COMPUTED_VALUE"""),1.0)</f>
        <v>1</v>
      </c>
      <c r="Q8136" s="4" t="str">
        <f>IFERROR(__xludf.DUMMYFUNCTION("""COMPUTED_VALUE"""),"null")</f>
        <v>null</v>
      </c>
      <c r="R8136" s="33">
        <f>IFERROR(__xludf.DUMMYFUNCTION("""COMPUTED_VALUE"""),1.0)</f>
        <v>1</v>
      </c>
      <c r="S8136" s="4" t="str">
        <f>IFERROR(__xludf.DUMMYFUNCTION("""COMPUTED_VALUE"""),"null")</f>
        <v>null</v>
      </c>
      <c r="T8136" s="33">
        <f>IFERROR(__xludf.DUMMYFUNCTION("""COMPUTED_VALUE"""),1.0)</f>
        <v>1</v>
      </c>
      <c r="U8136" s="4" t="str">
        <f>IFERROR(__xludf.DUMMYFUNCTION("""COMPUTED_VALUE"""),"null")</f>
        <v>null</v>
      </c>
      <c r="V8136" s="33">
        <f>IFERROR(__xludf.DUMMYFUNCTION("""COMPUTED_VALUE"""),1.0)</f>
        <v>1</v>
      </c>
      <c r="W8136" s="4" t="str">
        <f>IFERROR(__xludf.DUMMYFUNCTION("""COMPUTED_VALUE"""),"null")</f>
        <v>null</v>
      </c>
      <c r="X8136" s="33">
        <f>IFERROR(__xludf.DUMMYFUNCTION("""COMPUTED_VALUE"""),1.0)</f>
        <v>1</v>
      </c>
    </row>
    <row r="8137">
      <c r="K8137" s="4" t="str">
        <f>IFERROR(__xludf.DUMMYFUNCTION("""COMPUTED_VALUE"""),"ITALIA NO BOX JABOTICABAL")</f>
        <v>ITALIA NO BOX JABOTICABAL</v>
      </c>
      <c r="L8137" s="32">
        <f>IFERROR(__xludf.DUMMYFUNCTION("""COMPUTED_VALUE"""),1.0)</f>
        <v>1</v>
      </c>
      <c r="M8137" s="4" t="str">
        <f>IFERROR(__xludf.DUMMYFUNCTION("""COMPUTED_VALUE"""),"null")</f>
        <v>null</v>
      </c>
      <c r="N8137" s="33">
        <f>IFERROR(__xludf.DUMMYFUNCTION("""COMPUTED_VALUE"""),1.0)</f>
        <v>1</v>
      </c>
      <c r="O8137" s="4" t="str">
        <f>IFERROR(__xludf.DUMMYFUNCTION("""COMPUTED_VALUE"""),"Master Soluções Desenvolvimento De Software Ltda Me")</f>
        <v>Master Soluções Desenvolvimento De Software Ltda Me</v>
      </c>
      <c r="P8137" s="33">
        <f>IFERROR(__xludf.DUMMYFUNCTION("""COMPUTED_VALUE"""),1.0)</f>
        <v>1</v>
      </c>
      <c r="Q8137" s="4" t="str">
        <f>IFERROR(__xludf.DUMMYFUNCTION("""COMPUTED_VALUE"""),"Master Soluções Desenvolvimento De Software Ltda Me")</f>
        <v>Master Soluções Desenvolvimento De Software Ltda Me</v>
      </c>
      <c r="R8137" s="33">
        <f>IFERROR(__xludf.DUMMYFUNCTION("""COMPUTED_VALUE"""),1.0)</f>
        <v>1</v>
      </c>
      <c r="S8137" s="4" t="str">
        <f>IFERROR(__xludf.DUMMYFUNCTION("""COMPUTED_VALUE"""),"Master Soluções Desenvolvimento De Software Ltda Me")</f>
        <v>Master Soluções Desenvolvimento De Software Ltda Me</v>
      </c>
      <c r="T8137" s="33">
        <f>IFERROR(__xludf.DUMMYFUNCTION("""COMPUTED_VALUE"""),1.0)</f>
        <v>1</v>
      </c>
      <c r="U8137" s="4" t="str">
        <f>IFERROR(__xludf.DUMMYFUNCTION("""COMPUTED_VALUE"""),"Master Soluções Desenvolvimento De Software Ltda Me")</f>
        <v>Master Soluções Desenvolvimento De Software Ltda Me</v>
      </c>
      <c r="V8137" s="33">
        <f>IFERROR(__xludf.DUMMYFUNCTION("""COMPUTED_VALUE"""),1.0)</f>
        <v>1</v>
      </c>
      <c r="W8137" s="4" t="str">
        <f>IFERROR(__xludf.DUMMYFUNCTION("""COMPUTED_VALUE"""),"null")</f>
        <v>null</v>
      </c>
      <c r="X8137" s="33">
        <f>IFERROR(__xludf.DUMMYFUNCTION("""COMPUTED_VALUE"""),1.0)</f>
        <v>1</v>
      </c>
    </row>
    <row r="8138">
      <c r="K8138" s="4" t="str">
        <f>IFERROR(__xludf.DUMMYFUNCTION("""COMPUTED_VALUE"""),"BARTATARIA DA VOVO")</f>
        <v>BARTATARIA DA VOVO</v>
      </c>
      <c r="L8138" s="32">
        <f>IFERROR(__xludf.DUMMYFUNCTION("""COMPUTED_VALUE"""),1.0)</f>
        <v>1</v>
      </c>
      <c r="M8138" s="4" t="str">
        <f>IFERROR(__xludf.DUMMYFUNCTION("""COMPUTED_VALUE"""),"Totvs Large Enterprise Tecnologia S.a.")</f>
        <v>Totvs Large Enterprise Tecnologia S.a.</v>
      </c>
      <c r="N8138" s="33">
        <f>IFERROR(__xludf.DUMMYFUNCTION("""COMPUTED_VALUE"""),1.0)</f>
        <v>1</v>
      </c>
      <c r="O8138" s="4" t="str">
        <f>IFERROR(__xludf.DUMMYFUNCTION("""COMPUTED_VALUE"""),"Totvs Large Enterprise Tecnologia S.a.")</f>
        <v>Totvs Large Enterprise Tecnologia S.a.</v>
      </c>
      <c r="P8138" s="33">
        <f>IFERROR(__xludf.DUMMYFUNCTION("""COMPUTED_VALUE"""),1.0)</f>
        <v>1</v>
      </c>
      <c r="Q8138" s="4" t="str">
        <f>IFERROR(__xludf.DUMMYFUNCTION("""COMPUTED_VALUE"""),"Totvs Large Enterprise Tecnologia S.a.")</f>
        <v>Totvs Large Enterprise Tecnologia S.a.</v>
      </c>
      <c r="R8138" s="33">
        <f>IFERROR(__xludf.DUMMYFUNCTION("""COMPUTED_VALUE"""),1.0)</f>
        <v>1</v>
      </c>
      <c r="S8138" s="4" t="str">
        <f>IFERROR(__xludf.DUMMYFUNCTION("""COMPUTED_VALUE"""),"Totvs Large Enterprise Tecnologia S.a.")</f>
        <v>Totvs Large Enterprise Tecnologia S.a.</v>
      </c>
      <c r="T8138" s="33">
        <f>IFERROR(__xludf.DUMMYFUNCTION("""COMPUTED_VALUE"""),1.0)</f>
        <v>1</v>
      </c>
      <c r="U8138" s="4" t="str">
        <f>IFERROR(__xludf.DUMMYFUNCTION("""COMPUTED_VALUE"""),"Totvs Large Enterprise Tecnologia S.a.")</f>
        <v>Totvs Large Enterprise Tecnologia S.a.</v>
      </c>
      <c r="V8138" s="33">
        <f>IFERROR(__xludf.DUMMYFUNCTION("""COMPUTED_VALUE"""),1.0)</f>
        <v>1</v>
      </c>
      <c r="W8138" s="4" t="str">
        <f>IFERROR(__xludf.DUMMYFUNCTION("""COMPUTED_VALUE"""),"Totvs Large Enterprise Tecnologia S.a.")</f>
        <v>Totvs Large Enterprise Tecnologia S.a.</v>
      </c>
      <c r="X8138" s="33">
        <f>IFERROR(__xludf.DUMMYFUNCTION("""COMPUTED_VALUE"""),1.0)</f>
        <v>1</v>
      </c>
    </row>
    <row r="8139">
      <c r="K8139" s="4" t="str">
        <f>IFERROR(__xludf.DUMMYFUNCTION("""COMPUTED_VALUE"""),"HAMBURGUERIA BARBECUE PRIME DEL CONDOR")</f>
        <v>HAMBURGUERIA BARBECUE PRIME DEL CONDOR</v>
      </c>
      <c r="L8139" s="32">
        <f>IFERROR(__xludf.DUMMYFUNCTION("""COMPUTED_VALUE"""),1.0)</f>
        <v>1</v>
      </c>
      <c r="M8139" s="4" t="str">
        <f>IFERROR(__xludf.DUMMYFUNCTION("""COMPUTED_VALUE"""),"Netcontroll Xmenu")</f>
        <v>Netcontroll Xmenu</v>
      </c>
      <c r="N8139" s="33">
        <f>IFERROR(__xludf.DUMMYFUNCTION("""COMPUTED_VALUE"""),1.0)</f>
        <v>1</v>
      </c>
      <c r="O8139" s="4" t="str">
        <f>IFERROR(__xludf.DUMMYFUNCTION("""COMPUTED_VALUE"""),"Netcontroll Xmenu")</f>
        <v>Netcontroll Xmenu</v>
      </c>
      <c r="P8139" s="33">
        <f>IFERROR(__xludf.DUMMYFUNCTION("""COMPUTED_VALUE"""),1.0)</f>
        <v>1</v>
      </c>
      <c r="Q8139" s="4" t="str">
        <f>IFERROR(__xludf.DUMMYFUNCTION("""COMPUTED_VALUE"""),"Netcontroll Xmenu")</f>
        <v>Netcontroll Xmenu</v>
      </c>
      <c r="R8139" s="33">
        <f>IFERROR(__xludf.DUMMYFUNCTION("""COMPUTED_VALUE"""),1.0)</f>
        <v>1</v>
      </c>
      <c r="S8139" s="4" t="str">
        <f>IFERROR(__xludf.DUMMYFUNCTION("""COMPUTED_VALUE"""),"Netcontroll Xmenu")</f>
        <v>Netcontroll Xmenu</v>
      </c>
      <c r="T8139" s="33">
        <f>IFERROR(__xludf.DUMMYFUNCTION("""COMPUTED_VALUE"""),1.0)</f>
        <v>1</v>
      </c>
      <c r="U8139" s="4" t="str">
        <f>IFERROR(__xludf.DUMMYFUNCTION("""COMPUTED_VALUE"""),"Netcontroll Xmenu")</f>
        <v>Netcontroll Xmenu</v>
      </c>
      <c r="V8139" s="33">
        <f>IFERROR(__xludf.DUMMYFUNCTION("""COMPUTED_VALUE"""),1.0)</f>
        <v>1</v>
      </c>
      <c r="W8139" s="4" t="str">
        <f>IFERROR(__xludf.DUMMYFUNCTION("""COMPUTED_VALUE"""),"Netcontroll Xmenu")</f>
        <v>Netcontroll Xmenu</v>
      </c>
      <c r="X8139" s="33">
        <f>IFERROR(__xludf.DUMMYFUNCTION("""COMPUTED_VALUE"""),1.0)</f>
        <v>1</v>
      </c>
    </row>
    <row r="8140">
      <c r="K8140" s="4" t="str">
        <f>IFERROR(__xludf.DUMMYFUNCTION("""COMPUTED_VALUE"""),"TRIO BURGER CAXIAS")</f>
        <v>TRIO BURGER CAXIAS</v>
      </c>
      <c r="L8140" s="32">
        <f>IFERROR(__xludf.DUMMYFUNCTION("""COMPUTED_VALUE"""),1.0)</f>
        <v>1</v>
      </c>
      <c r="M8140" s="4" t="str">
        <f>IFERROR(__xludf.DUMMYFUNCTION("""COMPUTED_VALUE"""),"null")</f>
        <v>null</v>
      </c>
      <c r="N8140" s="33">
        <f>IFERROR(__xludf.DUMMYFUNCTION("""COMPUTED_VALUE"""),1.0)</f>
        <v>1</v>
      </c>
      <c r="O8140" s="4" t="str">
        <f>IFERROR(__xludf.DUMMYFUNCTION("""COMPUTED_VALUE"""),"Praeter Software De Gestao Ltda")</f>
        <v>Praeter Software De Gestao Ltda</v>
      </c>
      <c r="P8140" s="33">
        <f>IFERROR(__xludf.DUMMYFUNCTION("""COMPUTED_VALUE"""),1.0)</f>
        <v>1</v>
      </c>
      <c r="Q8140" s="4" t="str">
        <f>IFERROR(__xludf.DUMMYFUNCTION("""COMPUTED_VALUE"""),"Praeter Software De Gestao Ltda")</f>
        <v>Praeter Software De Gestao Ltda</v>
      </c>
      <c r="R8140" s="33">
        <f>IFERROR(__xludf.DUMMYFUNCTION("""COMPUTED_VALUE"""),1.0)</f>
        <v>1</v>
      </c>
      <c r="S8140" s="4" t="str">
        <f>IFERROR(__xludf.DUMMYFUNCTION("""COMPUTED_VALUE"""),"null")</f>
        <v>null</v>
      </c>
      <c r="T8140" s="33">
        <f>IFERROR(__xludf.DUMMYFUNCTION("""COMPUTED_VALUE"""),1.0)</f>
        <v>1</v>
      </c>
      <c r="U8140" s="4" t="str">
        <f>IFERROR(__xludf.DUMMYFUNCTION("""COMPUTED_VALUE"""),"Praeter Software De Gestao Ltda")</f>
        <v>Praeter Software De Gestao Ltda</v>
      </c>
      <c r="V8140" s="33">
        <f>IFERROR(__xludf.DUMMYFUNCTION("""COMPUTED_VALUE"""),1.0)</f>
        <v>1</v>
      </c>
      <c r="W8140" s="4" t="str">
        <f>IFERROR(__xludf.DUMMYFUNCTION("""COMPUTED_VALUE"""),"Praeter Software De Gestao Ltda")</f>
        <v>Praeter Software De Gestao Ltda</v>
      </c>
      <c r="X8140" s="33">
        <f>IFERROR(__xludf.DUMMYFUNCTION("""COMPUTED_VALUE"""),1.0)</f>
        <v>1</v>
      </c>
    </row>
    <row r="8141">
      <c r="K8141" s="4" t="str">
        <f>IFERROR(__xludf.DUMMYFUNCTION("""COMPUTED_VALUE"""),"JHUNNYS BURGUER")</f>
        <v>JHUNNYS BURGUER</v>
      </c>
      <c r="L8141" s="32">
        <f>IFERROR(__xludf.DUMMYFUNCTION("""COMPUTED_VALUE"""),1.0)</f>
        <v>1</v>
      </c>
      <c r="M8141" s="4" t="str">
        <f>IFERROR(__xludf.DUMMYFUNCTION("""COMPUTED_VALUE"""),"null")</f>
        <v>null</v>
      </c>
      <c r="N8141" s="33">
        <f>IFERROR(__xludf.DUMMYFUNCTION("""COMPUTED_VALUE"""),1.0)</f>
        <v>1</v>
      </c>
      <c r="O8141" s="4" t="str">
        <f>IFERROR(__xludf.DUMMYFUNCTION("""COMPUTED_VALUE"""),"null")</f>
        <v>null</v>
      </c>
      <c r="P8141" s="33">
        <f>IFERROR(__xludf.DUMMYFUNCTION("""COMPUTED_VALUE"""),1.0)</f>
        <v>1</v>
      </c>
      <c r="Q8141" s="4" t="str">
        <f>IFERROR(__xludf.DUMMYFUNCTION("""COMPUTED_VALUE"""),"Saipos Serviços De Software")</f>
        <v>Saipos Serviços De Software</v>
      </c>
      <c r="R8141" s="33">
        <f>IFERROR(__xludf.DUMMYFUNCTION("""COMPUTED_VALUE"""),1.0)</f>
        <v>1</v>
      </c>
      <c r="S8141" s="4" t="str">
        <f>IFERROR(__xludf.DUMMYFUNCTION("""COMPUTED_VALUE"""),"Saipos Serviços De Software")</f>
        <v>Saipos Serviços De Software</v>
      </c>
      <c r="T8141" s="33">
        <f>IFERROR(__xludf.DUMMYFUNCTION("""COMPUTED_VALUE"""),1.0)</f>
        <v>1</v>
      </c>
      <c r="U8141" s="4" t="str">
        <f>IFERROR(__xludf.DUMMYFUNCTION("""COMPUTED_VALUE"""),"Saipos Serviços De Software")</f>
        <v>Saipos Serviços De Software</v>
      </c>
      <c r="V8141" s="33">
        <f>IFERROR(__xludf.DUMMYFUNCTION("""COMPUTED_VALUE"""),1.0)</f>
        <v>1</v>
      </c>
      <c r="W8141" s="4" t="str">
        <f>IFERROR(__xludf.DUMMYFUNCTION("""COMPUTED_VALUE"""),"Saipos Serviços De Software")</f>
        <v>Saipos Serviços De Software</v>
      </c>
      <c r="X8141" s="33">
        <f>IFERROR(__xludf.DUMMYFUNCTION("""COMPUTED_VALUE"""),1.0)</f>
        <v>1</v>
      </c>
    </row>
    <row r="8142">
      <c r="K8142" s="4" t="str">
        <f>IFERROR(__xludf.DUMMYFUNCTION("""COMPUTED_VALUE"""),"LANCHONETE TYSKOWISKI BURGUER")</f>
        <v>LANCHONETE TYSKOWISKI BURGUER</v>
      </c>
      <c r="L8142" s="32">
        <f>IFERROR(__xludf.DUMMYFUNCTION("""COMPUTED_VALUE"""),1.0)</f>
        <v>1</v>
      </c>
      <c r="M8142" s="4" t="str">
        <f>IFERROR(__xludf.DUMMYFUNCTION("""COMPUTED_VALUE"""),"Anota Ai Solucoes Digitais S/a")</f>
        <v>Anota Ai Solucoes Digitais S/a</v>
      </c>
      <c r="N8142" s="33">
        <f>IFERROR(__xludf.DUMMYFUNCTION("""COMPUTED_VALUE"""),1.0)</f>
        <v>1</v>
      </c>
      <c r="O8142" s="4" t="str">
        <f>IFERROR(__xludf.DUMMYFUNCTION("""COMPUTED_VALUE"""),"Anota Ai Solucoes Digitais S/a")</f>
        <v>Anota Ai Solucoes Digitais S/a</v>
      </c>
      <c r="P8142" s="33">
        <f>IFERROR(__xludf.DUMMYFUNCTION("""COMPUTED_VALUE"""),1.0)</f>
        <v>1</v>
      </c>
      <c r="Q8142" s="4" t="str">
        <f>IFERROR(__xludf.DUMMYFUNCTION("""COMPUTED_VALUE"""),"Anota Ai Solucoes Digitais S/a")</f>
        <v>Anota Ai Solucoes Digitais S/a</v>
      </c>
      <c r="R8142" s="33">
        <f>IFERROR(__xludf.DUMMYFUNCTION("""COMPUTED_VALUE"""),1.0)</f>
        <v>1</v>
      </c>
      <c r="S8142" s="4" t="str">
        <f>IFERROR(__xludf.DUMMYFUNCTION("""COMPUTED_VALUE"""),"Anota Ai Solucoes Digitais S/a")</f>
        <v>Anota Ai Solucoes Digitais S/a</v>
      </c>
      <c r="T8142" s="33">
        <f>IFERROR(__xludf.DUMMYFUNCTION("""COMPUTED_VALUE"""),1.0)</f>
        <v>1</v>
      </c>
      <c r="U8142" s="4" t="str">
        <f>IFERROR(__xludf.DUMMYFUNCTION("""COMPUTED_VALUE"""),"Anota Ai Solucoes Digitais S/a")</f>
        <v>Anota Ai Solucoes Digitais S/a</v>
      </c>
      <c r="V8142" s="33">
        <f>IFERROR(__xludf.DUMMYFUNCTION("""COMPUTED_VALUE"""),1.0)</f>
        <v>1</v>
      </c>
      <c r="W8142" s="4" t="str">
        <f>IFERROR(__xludf.DUMMYFUNCTION("""COMPUTED_VALUE"""),"Anota Ai Solucoes Digitais S/a")</f>
        <v>Anota Ai Solucoes Digitais S/a</v>
      </c>
      <c r="X8142" s="33">
        <f>IFERROR(__xludf.DUMMYFUNCTION("""COMPUTED_VALUE"""),1.0)</f>
        <v>1</v>
      </c>
    </row>
    <row r="8143">
      <c r="K8143" s="4" t="str">
        <f>IFERROR(__xludf.DUMMYFUNCTION("""COMPUTED_VALUE"""),"ORIGINAL BOX SMASH AMERICANO")</f>
        <v>ORIGINAL BOX SMASH AMERICANO</v>
      </c>
      <c r="L8143" s="32">
        <f>IFERROR(__xludf.DUMMYFUNCTION("""COMPUTED_VALUE"""),1.0)</f>
        <v>1</v>
      </c>
      <c r="M8143" s="4" t="str">
        <f>IFERROR(__xludf.DUMMYFUNCTION("""COMPUTED_VALUE"""),"Menu Integrado")</f>
        <v>Menu Integrado</v>
      </c>
      <c r="N8143" s="33">
        <f>IFERROR(__xludf.DUMMYFUNCTION("""COMPUTED_VALUE"""),1.0)</f>
        <v>1</v>
      </c>
      <c r="O8143" s="4" t="str">
        <f>IFERROR(__xludf.DUMMYFUNCTION("""COMPUTED_VALUE"""),"Menu Integrado")</f>
        <v>Menu Integrado</v>
      </c>
      <c r="P8143" s="33">
        <f>IFERROR(__xludf.DUMMYFUNCTION("""COMPUTED_VALUE"""),1.0)</f>
        <v>1</v>
      </c>
      <c r="Q8143" s="4" t="str">
        <f>IFERROR(__xludf.DUMMYFUNCTION("""COMPUTED_VALUE"""),"Menu Integrado")</f>
        <v>Menu Integrado</v>
      </c>
      <c r="R8143" s="33">
        <f>IFERROR(__xludf.DUMMYFUNCTION("""COMPUTED_VALUE"""),1.0)</f>
        <v>1</v>
      </c>
      <c r="S8143" s="4" t="str">
        <f>IFERROR(__xludf.DUMMYFUNCTION("""COMPUTED_VALUE"""),"Menu Integrado")</f>
        <v>Menu Integrado</v>
      </c>
      <c r="T8143" s="33">
        <f>IFERROR(__xludf.DUMMYFUNCTION("""COMPUTED_VALUE"""),1.0)</f>
        <v>1</v>
      </c>
      <c r="U8143" s="4" t="str">
        <f>IFERROR(__xludf.DUMMYFUNCTION("""COMPUTED_VALUE"""),"Menu Integrado")</f>
        <v>Menu Integrado</v>
      </c>
      <c r="V8143" s="33">
        <f>IFERROR(__xludf.DUMMYFUNCTION("""COMPUTED_VALUE"""),1.0)</f>
        <v>1</v>
      </c>
      <c r="W8143" s="4" t="str">
        <f>IFERROR(__xludf.DUMMYFUNCTION("""COMPUTED_VALUE"""),"Menu Integrado")</f>
        <v>Menu Integrado</v>
      </c>
      <c r="X8143" s="33">
        <f>IFERROR(__xludf.DUMMYFUNCTION("""COMPUTED_VALUE"""),1.0)</f>
        <v>1</v>
      </c>
    </row>
    <row r="8144">
      <c r="K8144" s="4" t="str">
        <f>IFERROR(__xludf.DUMMYFUNCTION("""COMPUTED_VALUE"""),"MARMITA DA COELY")</f>
        <v>MARMITA DA COELY</v>
      </c>
      <c r="L8144" s="32">
        <f>IFERROR(__xludf.DUMMYFUNCTION("""COMPUTED_VALUE"""),1.0)</f>
        <v>1</v>
      </c>
      <c r="M8144" s="4" t="str">
        <f>IFERROR(__xludf.DUMMYFUNCTION("""COMPUTED_VALUE"""),"Anota Ai Solucoes Digitais S/a")</f>
        <v>Anota Ai Solucoes Digitais S/a</v>
      </c>
      <c r="N8144" s="33">
        <f>IFERROR(__xludf.DUMMYFUNCTION("""COMPUTED_VALUE"""),1.0)</f>
        <v>1</v>
      </c>
      <c r="O8144" s="4" t="str">
        <f>IFERROR(__xludf.DUMMYFUNCTION("""COMPUTED_VALUE"""),"Anota Ai Solucoes Digitais S/a")</f>
        <v>Anota Ai Solucoes Digitais S/a</v>
      </c>
      <c r="P8144" s="33">
        <f>IFERROR(__xludf.DUMMYFUNCTION("""COMPUTED_VALUE"""),1.0)</f>
        <v>1</v>
      </c>
      <c r="Q8144" s="4" t="str">
        <f>IFERROR(__xludf.DUMMYFUNCTION("""COMPUTED_VALUE"""),"null")</f>
        <v>null</v>
      </c>
      <c r="R8144" s="33">
        <f>IFERROR(__xludf.DUMMYFUNCTION("""COMPUTED_VALUE"""),1.0)</f>
        <v>1</v>
      </c>
      <c r="S8144" s="4" t="str">
        <f>IFERROR(__xludf.DUMMYFUNCTION("""COMPUTED_VALUE"""),"null")</f>
        <v>null</v>
      </c>
      <c r="T8144" s="33">
        <f>IFERROR(__xludf.DUMMYFUNCTION("""COMPUTED_VALUE"""),1.0)</f>
        <v>1</v>
      </c>
      <c r="U8144" s="4" t="str">
        <f>IFERROR(__xludf.DUMMYFUNCTION("""COMPUTED_VALUE"""),"null")</f>
        <v>null</v>
      </c>
      <c r="V8144" s="33">
        <f>IFERROR(__xludf.DUMMYFUNCTION("""COMPUTED_VALUE"""),1.0)</f>
        <v>1</v>
      </c>
      <c r="W8144" s="4" t="str">
        <f>IFERROR(__xludf.DUMMYFUNCTION("""COMPUTED_VALUE"""),"null")</f>
        <v>null</v>
      </c>
      <c r="X8144" s="33">
        <f>IFERROR(__xludf.DUMMYFUNCTION("""COMPUTED_VALUE"""),1.0)</f>
        <v>1</v>
      </c>
    </row>
    <row r="8145">
      <c r="K8145" s="4" t="str">
        <f>IFERROR(__xludf.DUMMYFUNCTION("""COMPUTED_VALUE"""),"PIZZARIA BAR DO PIRATA")</f>
        <v>PIZZARIA BAR DO PIRATA</v>
      </c>
      <c r="L8145" s="32">
        <f>IFERROR(__xludf.DUMMYFUNCTION("""COMPUTED_VALUE"""),1.0)</f>
        <v>1</v>
      </c>
      <c r="M8145" s="4" t="str">
        <f>IFERROR(__xludf.DUMMYFUNCTION("""COMPUTED_VALUE"""),"Dev10 Soluções Em Sotfware Ltda")</f>
        <v>Dev10 Soluções Em Sotfware Ltda</v>
      </c>
      <c r="N8145" s="33">
        <f>IFERROR(__xludf.DUMMYFUNCTION("""COMPUTED_VALUE"""),1.0)</f>
        <v>1</v>
      </c>
      <c r="O8145" s="4" t="str">
        <f>IFERROR(__xludf.DUMMYFUNCTION("""COMPUTED_VALUE"""),"Dev10 Soluções Em Sotfware Ltda")</f>
        <v>Dev10 Soluções Em Sotfware Ltda</v>
      </c>
      <c r="P8145" s="33">
        <f>IFERROR(__xludf.DUMMYFUNCTION("""COMPUTED_VALUE"""),1.0)</f>
        <v>1</v>
      </c>
      <c r="Q8145" s="4" t="str">
        <f>IFERROR(__xludf.DUMMYFUNCTION("""COMPUTED_VALUE"""),"Dev10 Soluções Em Sotfware Ltda")</f>
        <v>Dev10 Soluções Em Sotfware Ltda</v>
      </c>
      <c r="R8145" s="33">
        <f>IFERROR(__xludf.DUMMYFUNCTION("""COMPUTED_VALUE"""),1.0)</f>
        <v>1</v>
      </c>
      <c r="S8145" s="4" t="str">
        <f>IFERROR(__xludf.DUMMYFUNCTION("""COMPUTED_VALUE"""),"Dev10 Soluções Em Sotfware Ltda")</f>
        <v>Dev10 Soluções Em Sotfware Ltda</v>
      </c>
      <c r="T8145" s="33">
        <f>IFERROR(__xludf.DUMMYFUNCTION("""COMPUTED_VALUE"""),1.0)</f>
        <v>1</v>
      </c>
      <c r="U8145" s="4" t="str">
        <f>IFERROR(__xludf.DUMMYFUNCTION("""COMPUTED_VALUE"""),"Dev10 Soluções Em Sotfware Ltda")</f>
        <v>Dev10 Soluções Em Sotfware Ltda</v>
      </c>
      <c r="V8145" s="33">
        <f>IFERROR(__xludf.DUMMYFUNCTION("""COMPUTED_VALUE"""),1.0)</f>
        <v>1</v>
      </c>
      <c r="W8145" s="4" t="str">
        <f>IFERROR(__xludf.DUMMYFUNCTION("""COMPUTED_VALUE"""),"Dev10 Soluções Em Sotfware Ltda")</f>
        <v>Dev10 Soluções Em Sotfware Ltda</v>
      </c>
      <c r="X8145" s="33">
        <f>IFERROR(__xludf.DUMMYFUNCTION("""COMPUTED_VALUE"""),1.0)</f>
        <v>1</v>
      </c>
    </row>
    <row r="8146">
      <c r="K8146" s="4" t="str">
        <f>IFERROR(__xludf.DUMMYFUNCTION("""COMPUTED_VALUE"""),"PUDIM QPUDIM")</f>
        <v>PUDIM QPUDIM</v>
      </c>
      <c r="L8146" s="32">
        <f>IFERROR(__xludf.DUMMYFUNCTION("""COMPUTED_VALUE"""),1.0)</f>
        <v>1</v>
      </c>
      <c r="M8146" s="4" t="str">
        <f>IFERROR(__xludf.DUMMYFUNCTION("""COMPUTED_VALUE"""),"Opdv")</f>
        <v>Opdv</v>
      </c>
      <c r="N8146" s="33">
        <f>IFERROR(__xludf.DUMMYFUNCTION("""COMPUTED_VALUE"""),1.0)</f>
        <v>1</v>
      </c>
      <c r="O8146" s="4" t="str">
        <f>IFERROR(__xludf.DUMMYFUNCTION("""COMPUTED_VALUE"""),"Opdv")</f>
        <v>Opdv</v>
      </c>
      <c r="P8146" s="33">
        <f>IFERROR(__xludf.DUMMYFUNCTION("""COMPUTED_VALUE"""),1.0)</f>
        <v>1</v>
      </c>
      <c r="Q8146" s="4" t="str">
        <f>IFERROR(__xludf.DUMMYFUNCTION("""COMPUTED_VALUE"""),"Opdv")</f>
        <v>Opdv</v>
      </c>
      <c r="R8146" s="33">
        <f>IFERROR(__xludf.DUMMYFUNCTION("""COMPUTED_VALUE"""),1.0)</f>
        <v>1</v>
      </c>
      <c r="S8146" s="4" t="str">
        <f>IFERROR(__xludf.DUMMYFUNCTION("""COMPUTED_VALUE"""),"Opdv")</f>
        <v>Opdv</v>
      </c>
      <c r="T8146" s="33">
        <f>IFERROR(__xludf.DUMMYFUNCTION("""COMPUTED_VALUE"""),1.0)</f>
        <v>1</v>
      </c>
      <c r="U8146" s="4" t="str">
        <f>IFERROR(__xludf.DUMMYFUNCTION("""COMPUTED_VALUE"""),"Opdv")</f>
        <v>Opdv</v>
      </c>
      <c r="V8146" s="33">
        <f>IFERROR(__xludf.DUMMYFUNCTION("""COMPUTED_VALUE"""),1.0)</f>
        <v>1</v>
      </c>
      <c r="W8146" s="4" t="str">
        <f>IFERROR(__xludf.DUMMYFUNCTION("""COMPUTED_VALUE"""),"Opdv")</f>
        <v>Opdv</v>
      </c>
      <c r="X8146" s="33">
        <f>IFERROR(__xludf.DUMMYFUNCTION("""COMPUTED_VALUE"""),1.0)</f>
        <v>1</v>
      </c>
    </row>
    <row r="8147">
      <c r="K8147" s="4" t="str">
        <f>IFERROR(__xludf.DUMMYFUNCTION("""COMPUTED_VALUE"""),"CASA DI BENTO CHURRASCARIA E CHOPERIA")</f>
        <v>CASA DI BENTO CHURRASCARIA E CHOPERIA</v>
      </c>
      <c r="L8147" s="32">
        <f>IFERROR(__xludf.DUMMYFUNCTION("""COMPUTED_VALUE"""),1.0)</f>
        <v>1</v>
      </c>
      <c r="M8147" s="4" t="str">
        <f>IFERROR(__xludf.DUMMYFUNCTION("""COMPUTED_VALUE"""),"Intime Sistemas")</f>
        <v>Intime Sistemas</v>
      </c>
      <c r="N8147" s="33">
        <f>IFERROR(__xludf.DUMMYFUNCTION("""COMPUTED_VALUE"""),1.0)</f>
        <v>1</v>
      </c>
      <c r="O8147" s="4" t="str">
        <f>IFERROR(__xludf.DUMMYFUNCTION("""COMPUTED_VALUE"""),"Intime Sistemas")</f>
        <v>Intime Sistemas</v>
      </c>
      <c r="P8147" s="33">
        <f>IFERROR(__xludf.DUMMYFUNCTION("""COMPUTED_VALUE"""),1.0)</f>
        <v>1</v>
      </c>
      <c r="Q8147" s="4" t="str">
        <f>IFERROR(__xludf.DUMMYFUNCTION("""COMPUTED_VALUE"""),"Intime Sistemas")</f>
        <v>Intime Sistemas</v>
      </c>
      <c r="R8147" s="33">
        <f>IFERROR(__xludf.DUMMYFUNCTION("""COMPUTED_VALUE"""),1.0)</f>
        <v>1</v>
      </c>
      <c r="S8147" s="4" t="str">
        <f>IFERROR(__xludf.DUMMYFUNCTION("""COMPUTED_VALUE"""),"Intime Sistemas")</f>
        <v>Intime Sistemas</v>
      </c>
      <c r="T8147" s="33">
        <f>IFERROR(__xludf.DUMMYFUNCTION("""COMPUTED_VALUE"""),1.0)</f>
        <v>1</v>
      </c>
      <c r="U8147" s="4" t="str">
        <f>IFERROR(__xludf.DUMMYFUNCTION("""COMPUTED_VALUE"""),"Intime Sistemas")</f>
        <v>Intime Sistemas</v>
      </c>
      <c r="V8147" s="33">
        <f>IFERROR(__xludf.DUMMYFUNCTION("""COMPUTED_VALUE"""),1.0)</f>
        <v>1</v>
      </c>
      <c r="W8147" s="4" t="str">
        <f>IFERROR(__xludf.DUMMYFUNCTION("""COMPUTED_VALUE"""),"Intime Sistemas")</f>
        <v>Intime Sistemas</v>
      </c>
      <c r="X8147" s="33">
        <f>IFERROR(__xludf.DUMMYFUNCTION("""COMPUTED_VALUE"""),1.0)</f>
        <v>1</v>
      </c>
    </row>
    <row r="8148">
      <c r="K8148" s="4" t="str">
        <f>IFERROR(__xludf.DUMMYFUNCTION("""COMPUTED_VALUE"""),"FADA FARINHA PAULISTA")</f>
        <v>FADA FARINHA PAULISTA</v>
      </c>
      <c r="L8148" s="32">
        <f>IFERROR(__xludf.DUMMYFUNCTION("""COMPUTED_VALUE"""),1.0)</f>
        <v>1</v>
      </c>
      <c r="M8148" s="4" t="str">
        <f>IFERROR(__xludf.DUMMYFUNCTION("""COMPUTED_VALUE"""),"Nextage Sistemas De Informatica Ltda")</f>
        <v>Nextage Sistemas De Informatica Ltda</v>
      </c>
      <c r="N8148" s="33">
        <f>IFERROR(__xludf.DUMMYFUNCTION("""COMPUTED_VALUE"""),1.0)</f>
        <v>1</v>
      </c>
      <c r="O8148" s="4" t="str">
        <f>IFERROR(__xludf.DUMMYFUNCTION("""COMPUTED_VALUE"""),"Nextage Sistemas De Informatica Ltda")</f>
        <v>Nextage Sistemas De Informatica Ltda</v>
      </c>
      <c r="P8148" s="33">
        <f>IFERROR(__xludf.DUMMYFUNCTION("""COMPUTED_VALUE"""),1.0)</f>
        <v>1</v>
      </c>
      <c r="Q8148" s="4" t="str">
        <f>IFERROR(__xludf.DUMMYFUNCTION("""COMPUTED_VALUE"""),"Nextage Sistemas De Informatica Ltda")</f>
        <v>Nextage Sistemas De Informatica Ltda</v>
      </c>
      <c r="R8148" s="33">
        <f>IFERROR(__xludf.DUMMYFUNCTION("""COMPUTED_VALUE"""),1.0)</f>
        <v>1</v>
      </c>
      <c r="S8148" s="4" t="str">
        <f>IFERROR(__xludf.DUMMYFUNCTION("""COMPUTED_VALUE"""),"Nextage Sistemas De Informatica Ltda")</f>
        <v>Nextage Sistemas De Informatica Ltda</v>
      </c>
      <c r="T8148" s="33">
        <f>IFERROR(__xludf.DUMMYFUNCTION("""COMPUTED_VALUE"""),1.0)</f>
        <v>1</v>
      </c>
      <c r="U8148" s="4" t="str">
        <f>IFERROR(__xludf.DUMMYFUNCTION("""COMPUTED_VALUE"""),"null")</f>
        <v>null</v>
      </c>
      <c r="V8148" s="33">
        <f>IFERROR(__xludf.DUMMYFUNCTION("""COMPUTED_VALUE"""),1.0)</f>
        <v>1</v>
      </c>
      <c r="W8148" s="4" t="str">
        <f>IFERROR(__xludf.DUMMYFUNCTION("""COMPUTED_VALUE"""),"Nextage Sistemas De Informatica Ltda")</f>
        <v>Nextage Sistemas De Informatica Ltda</v>
      </c>
      <c r="X8148" s="33">
        <f>IFERROR(__xludf.DUMMYFUNCTION("""COMPUTED_VALUE"""),1.0)</f>
        <v>1</v>
      </c>
    </row>
    <row r="8149">
      <c r="K8149" s="4" t="str">
        <f>IFERROR(__xludf.DUMMYFUNCTION("""COMPUTED_VALUE"""),"INCAIXA PIZZA E CALZONE DELIVERY")</f>
        <v>INCAIXA PIZZA E CALZONE DELIVERY</v>
      </c>
      <c r="L8149" s="32">
        <f>IFERROR(__xludf.DUMMYFUNCTION("""COMPUTED_VALUE"""),1.0)</f>
        <v>1</v>
      </c>
      <c r="M8149" s="4" t="str">
        <f>IFERROR(__xludf.DUMMYFUNCTION("""COMPUTED_VALUE"""),"Suitable Tecnologia E Gestao")</f>
        <v>Suitable Tecnologia E Gestao</v>
      </c>
      <c r="N8149" s="33">
        <f>IFERROR(__xludf.DUMMYFUNCTION("""COMPUTED_VALUE"""),1.0)</f>
        <v>1</v>
      </c>
      <c r="O8149" s="4" t="str">
        <f>IFERROR(__xludf.DUMMYFUNCTION("""COMPUTED_VALUE"""),"Suitable Tecnologia E Gestao")</f>
        <v>Suitable Tecnologia E Gestao</v>
      </c>
      <c r="P8149" s="33">
        <f>IFERROR(__xludf.DUMMYFUNCTION("""COMPUTED_VALUE"""),1.0)</f>
        <v>1</v>
      </c>
      <c r="Q8149" s="4" t="str">
        <f>IFERROR(__xludf.DUMMYFUNCTION("""COMPUTED_VALUE"""),"Suitable Tecnologia E Gestao")</f>
        <v>Suitable Tecnologia E Gestao</v>
      </c>
      <c r="R8149" s="33">
        <f>IFERROR(__xludf.DUMMYFUNCTION("""COMPUTED_VALUE"""),1.0)</f>
        <v>1</v>
      </c>
      <c r="S8149" s="4" t="str">
        <f>IFERROR(__xludf.DUMMYFUNCTION("""COMPUTED_VALUE"""),"Suitable Tecnologia E Gestao")</f>
        <v>Suitable Tecnologia E Gestao</v>
      </c>
      <c r="T8149" s="33">
        <f>IFERROR(__xludf.DUMMYFUNCTION("""COMPUTED_VALUE"""),1.0)</f>
        <v>1</v>
      </c>
      <c r="U8149" s="4" t="str">
        <f>IFERROR(__xludf.DUMMYFUNCTION("""COMPUTED_VALUE"""),"Suitable Tecnologia E Gestao")</f>
        <v>Suitable Tecnologia E Gestao</v>
      </c>
      <c r="V8149" s="33">
        <f>IFERROR(__xludf.DUMMYFUNCTION("""COMPUTED_VALUE"""),1.0)</f>
        <v>1</v>
      </c>
      <c r="W8149" s="4" t="str">
        <f>IFERROR(__xludf.DUMMYFUNCTION("""COMPUTED_VALUE"""),"Suitable Tecnologia E Gestao")</f>
        <v>Suitable Tecnologia E Gestao</v>
      </c>
      <c r="X8149" s="33">
        <f>IFERROR(__xludf.DUMMYFUNCTION("""COMPUTED_VALUE"""),1.0)</f>
        <v>1</v>
      </c>
    </row>
    <row r="8150">
      <c r="K8150" s="4" t="str">
        <f>IFERROR(__xludf.DUMMYFUNCTION("""COMPUTED_VALUE"""),"BOA MAO - DOCES SAUDAVEIS")</f>
        <v>BOA MAO - DOCES SAUDAVEIS</v>
      </c>
      <c r="L8150" s="32">
        <f>IFERROR(__xludf.DUMMYFUNCTION("""COMPUTED_VALUE"""),1.0)</f>
        <v>1</v>
      </c>
      <c r="M8150" s="4" t="str">
        <f>IFERROR(__xludf.DUMMYFUNCTION("""COMPUTED_VALUE"""),"Noah Sistemas Ltda")</f>
        <v>Noah Sistemas Ltda</v>
      </c>
      <c r="N8150" s="33">
        <f>IFERROR(__xludf.DUMMYFUNCTION("""COMPUTED_VALUE"""),1.0)</f>
        <v>1</v>
      </c>
      <c r="O8150" s="4" t="str">
        <f>IFERROR(__xludf.DUMMYFUNCTION("""COMPUTED_VALUE"""),"Noah Sistemas Ltda")</f>
        <v>Noah Sistemas Ltda</v>
      </c>
      <c r="P8150" s="33">
        <f>IFERROR(__xludf.DUMMYFUNCTION("""COMPUTED_VALUE"""),1.0)</f>
        <v>1</v>
      </c>
      <c r="Q8150" s="4" t="str">
        <f>IFERROR(__xludf.DUMMYFUNCTION("""COMPUTED_VALUE"""),"Noah Sistemas Ltda")</f>
        <v>Noah Sistemas Ltda</v>
      </c>
      <c r="R8150" s="33">
        <f>IFERROR(__xludf.DUMMYFUNCTION("""COMPUTED_VALUE"""),1.0)</f>
        <v>1</v>
      </c>
      <c r="S8150" s="4" t="str">
        <f>IFERROR(__xludf.DUMMYFUNCTION("""COMPUTED_VALUE"""),"Noah Sistemas Ltda")</f>
        <v>Noah Sistemas Ltda</v>
      </c>
      <c r="T8150" s="33">
        <f>IFERROR(__xludf.DUMMYFUNCTION("""COMPUTED_VALUE"""),1.0)</f>
        <v>1</v>
      </c>
      <c r="U8150" s="4" t="str">
        <f>IFERROR(__xludf.DUMMYFUNCTION("""COMPUTED_VALUE"""),"Noah Sistemas Ltda")</f>
        <v>Noah Sistemas Ltda</v>
      </c>
      <c r="V8150" s="33">
        <f>IFERROR(__xludf.DUMMYFUNCTION("""COMPUTED_VALUE"""),1.0)</f>
        <v>1</v>
      </c>
      <c r="W8150" s="4" t="str">
        <f>IFERROR(__xludf.DUMMYFUNCTION("""COMPUTED_VALUE"""),"null")</f>
        <v>null</v>
      </c>
      <c r="X8150" s="33">
        <f>IFERROR(__xludf.DUMMYFUNCTION("""COMPUTED_VALUE"""),1.0)</f>
        <v>1</v>
      </c>
    </row>
    <row r="8151">
      <c r="K8151" s="4" t="str">
        <f>IFERROR(__xludf.DUMMYFUNCTION("""COMPUTED_VALUE"""),"THE ANGUS - SHOPPING BOA VISTA")</f>
        <v>THE ANGUS - SHOPPING BOA VISTA</v>
      </c>
      <c r="L8151" s="32">
        <f>IFERROR(__xludf.DUMMYFUNCTION("""COMPUTED_VALUE"""),1.0)</f>
        <v>1</v>
      </c>
      <c r="M8151" s="4" t="str">
        <f>IFERROR(__xludf.DUMMYFUNCTION("""COMPUTED_VALUE"""),"Saipos Serviços De Software")</f>
        <v>Saipos Serviços De Software</v>
      </c>
      <c r="N8151" s="33">
        <f>IFERROR(__xludf.DUMMYFUNCTION("""COMPUTED_VALUE"""),1.0)</f>
        <v>1</v>
      </c>
      <c r="O8151" s="4" t="str">
        <f>IFERROR(__xludf.DUMMYFUNCTION("""COMPUTED_VALUE"""),"Saipos Serviços De Software")</f>
        <v>Saipos Serviços De Software</v>
      </c>
      <c r="P8151" s="33">
        <f>IFERROR(__xludf.DUMMYFUNCTION("""COMPUTED_VALUE"""),1.0)</f>
        <v>1</v>
      </c>
      <c r="Q8151" s="4" t="str">
        <f>IFERROR(__xludf.DUMMYFUNCTION("""COMPUTED_VALUE"""),"Saipos Serviços De Software")</f>
        <v>Saipos Serviços De Software</v>
      </c>
      <c r="R8151" s="33">
        <f>IFERROR(__xludf.DUMMYFUNCTION("""COMPUTED_VALUE"""),1.0)</f>
        <v>1</v>
      </c>
      <c r="S8151" s="4" t="str">
        <f>IFERROR(__xludf.DUMMYFUNCTION("""COMPUTED_VALUE"""),"Saipos Serviços De Software")</f>
        <v>Saipos Serviços De Software</v>
      </c>
      <c r="T8151" s="33">
        <f>IFERROR(__xludf.DUMMYFUNCTION("""COMPUTED_VALUE"""),1.0)</f>
        <v>1</v>
      </c>
      <c r="U8151" s="4" t="str">
        <f>IFERROR(__xludf.DUMMYFUNCTION("""COMPUTED_VALUE"""),"Saipos Serviços De Software")</f>
        <v>Saipos Serviços De Software</v>
      </c>
      <c r="V8151" s="33">
        <f>IFERROR(__xludf.DUMMYFUNCTION("""COMPUTED_VALUE"""),1.0)</f>
        <v>1</v>
      </c>
      <c r="W8151" s="4" t="str">
        <f>IFERROR(__xludf.DUMMYFUNCTION("""COMPUTED_VALUE"""),"Saipos Serviços De Software")</f>
        <v>Saipos Serviços De Software</v>
      </c>
      <c r="X8151" s="33">
        <f>IFERROR(__xludf.DUMMYFUNCTION("""COMPUTED_VALUE"""),1.0)</f>
        <v>1</v>
      </c>
    </row>
    <row r="8152">
      <c r="K8152" s="4" t="str">
        <f>IFERROR(__xludf.DUMMYFUNCTION("""COMPUTED_VALUE"""),"LA VECCHIA PIZZA")</f>
        <v>LA VECCHIA PIZZA</v>
      </c>
      <c r="L8152" s="32">
        <f>IFERROR(__xludf.DUMMYFUNCTION("""COMPUTED_VALUE"""),1.0)</f>
        <v>1</v>
      </c>
      <c r="M8152" s="4" t="str">
        <f>IFERROR(__xludf.DUMMYFUNCTION("""COMPUTED_VALUE"""),"Whatsmenu Ltda")</f>
        <v>Whatsmenu Ltda</v>
      </c>
      <c r="N8152" s="33">
        <f>IFERROR(__xludf.DUMMYFUNCTION("""COMPUTED_VALUE"""),1.0)</f>
        <v>1</v>
      </c>
      <c r="O8152" s="4" t="str">
        <f>IFERROR(__xludf.DUMMYFUNCTION("""COMPUTED_VALUE"""),"Whatsmenu Ltda")</f>
        <v>Whatsmenu Ltda</v>
      </c>
      <c r="P8152" s="33">
        <f>IFERROR(__xludf.DUMMYFUNCTION("""COMPUTED_VALUE"""),1.0)</f>
        <v>1</v>
      </c>
      <c r="Q8152" s="4" t="str">
        <f>IFERROR(__xludf.DUMMYFUNCTION("""COMPUTED_VALUE"""),"Whatsmenu Ltda")</f>
        <v>Whatsmenu Ltda</v>
      </c>
      <c r="R8152" s="33">
        <f>IFERROR(__xludf.DUMMYFUNCTION("""COMPUTED_VALUE"""),1.0)</f>
        <v>1</v>
      </c>
      <c r="S8152" s="4" t="str">
        <f>IFERROR(__xludf.DUMMYFUNCTION("""COMPUTED_VALUE"""),"null")</f>
        <v>null</v>
      </c>
      <c r="T8152" s="33">
        <f>IFERROR(__xludf.DUMMYFUNCTION("""COMPUTED_VALUE"""),1.0)</f>
        <v>1</v>
      </c>
      <c r="U8152" s="4" t="str">
        <f>IFERROR(__xludf.DUMMYFUNCTION("""COMPUTED_VALUE"""),"null")</f>
        <v>null</v>
      </c>
      <c r="V8152" s="33">
        <f>IFERROR(__xludf.DUMMYFUNCTION("""COMPUTED_VALUE"""),1.0)</f>
        <v>1</v>
      </c>
      <c r="W8152" s="4" t="str">
        <f>IFERROR(__xludf.DUMMYFUNCTION("""COMPUTED_VALUE"""),"null")</f>
        <v>null</v>
      </c>
      <c r="X8152" s="33">
        <f>IFERROR(__xludf.DUMMYFUNCTION("""COMPUTED_VALUE"""),1.0)</f>
        <v>1</v>
      </c>
    </row>
    <row r="8153">
      <c r="K8153" s="4" t="str">
        <f>IFERROR(__xludf.DUMMYFUNCTION("""COMPUTED_VALUE"""),"PIZZARIA TIO SAM")</f>
        <v>PIZZARIA TIO SAM</v>
      </c>
      <c r="L8153" s="32">
        <f>IFERROR(__xludf.DUMMYFUNCTION("""COMPUTED_VALUE"""),1.0)</f>
        <v>1</v>
      </c>
      <c r="M8153" s="4" t="str">
        <f>IFERROR(__xludf.DUMMYFUNCTION("""COMPUTED_VALUE"""),"Kcms")</f>
        <v>Kcms</v>
      </c>
      <c r="N8153" s="33">
        <f>IFERROR(__xludf.DUMMYFUNCTION("""COMPUTED_VALUE"""),1.0)</f>
        <v>1</v>
      </c>
      <c r="O8153" s="4" t="str">
        <f>IFERROR(__xludf.DUMMYFUNCTION("""COMPUTED_VALUE"""),"Kcms")</f>
        <v>Kcms</v>
      </c>
      <c r="P8153" s="33">
        <f>IFERROR(__xludf.DUMMYFUNCTION("""COMPUTED_VALUE"""),1.0)</f>
        <v>1</v>
      </c>
      <c r="Q8153" s="4" t="str">
        <f>IFERROR(__xludf.DUMMYFUNCTION("""COMPUTED_VALUE"""),"Kcms")</f>
        <v>Kcms</v>
      </c>
      <c r="R8153" s="33">
        <f>IFERROR(__xludf.DUMMYFUNCTION("""COMPUTED_VALUE"""),1.0)</f>
        <v>1</v>
      </c>
      <c r="S8153" s="4" t="str">
        <f>IFERROR(__xludf.DUMMYFUNCTION("""COMPUTED_VALUE"""),"Alloy Tecnologia")</f>
        <v>Alloy Tecnologia</v>
      </c>
      <c r="T8153" s="33">
        <f>IFERROR(__xludf.DUMMYFUNCTION("""COMPUTED_VALUE"""),1.0)</f>
        <v>1</v>
      </c>
      <c r="U8153" s="4" t="str">
        <f>IFERROR(__xludf.DUMMYFUNCTION("""COMPUTED_VALUE"""),"Alloy Tecnologia")</f>
        <v>Alloy Tecnologia</v>
      </c>
      <c r="V8153" s="33">
        <f>IFERROR(__xludf.DUMMYFUNCTION("""COMPUTED_VALUE"""),1.0)</f>
        <v>1</v>
      </c>
      <c r="W8153" s="4" t="str">
        <f>IFERROR(__xludf.DUMMYFUNCTION("""COMPUTED_VALUE"""),"Alloy Tecnologia")</f>
        <v>Alloy Tecnologia</v>
      </c>
      <c r="X8153" s="33">
        <f>IFERROR(__xludf.DUMMYFUNCTION("""COMPUTED_VALUE"""),1.0)</f>
        <v>1</v>
      </c>
    </row>
    <row r="8154">
      <c r="K8154" s="4" t="str">
        <f>IFERROR(__xludf.DUMMYFUNCTION("""COMPUTED_VALUE"""),"GRAVATTELE PIZZARIA")</f>
        <v>GRAVATTELE PIZZARIA</v>
      </c>
      <c r="L8154" s="32">
        <f>IFERROR(__xludf.DUMMYFUNCTION("""COMPUTED_VALUE"""),1.0)</f>
        <v>1</v>
      </c>
      <c r="M8154" s="4" t="str">
        <f>IFERROR(__xludf.DUMMYFUNCTION("""COMPUTED_VALUE"""),"Anota Ai Solucoes Digitais S/a")</f>
        <v>Anota Ai Solucoes Digitais S/a</v>
      </c>
      <c r="N8154" s="33">
        <f>IFERROR(__xludf.DUMMYFUNCTION("""COMPUTED_VALUE"""),1.0)</f>
        <v>1</v>
      </c>
      <c r="O8154" s="4" t="str">
        <f>IFERROR(__xludf.DUMMYFUNCTION("""COMPUTED_VALUE"""),"Anota Ai Solucoes Digitais S/a")</f>
        <v>Anota Ai Solucoes Digitais S/a</v>
      </c>
      <c r="P8154" s="33">
        <f>IFERROR(__xludf.DUMMYFUNCTION("""COMPUTED_VALUE"""),1.0)</f>
        <v>1</v>
      </c>
      <c r="Q8154" s="4" t="str">
        <f>IFERROR(__xludf.DUMMYFUNCTION("""COMPUTED_VALUE"""),"Anota Ai Solucoes Digitais S/a")</f>
        <v>Anota Ai Solucoes Digitais S/a</v>
      </c>
      <c r="R8154" s="33">
        <f>IFERROR(__xludf.DUMMYFUNCTION("""COMPUTED_VALUE"""),1.0)</f>
        <v>1</v>
      </c>
      <c r="S8154" s="4" t="str">
        <f>IFERROR(__xludf.DUMMYFUNCTION("""COMPUTED_VALUE"""),"Anota Ai Solucoes Digitais S/a")</f>
        <v>Anota Ai Solucoes Digitais S/a</v>
      </c>
      <c r="T8154" s="33">
        <f>IFERROR(__xludf.DUMMYFUNCTION("""COMPUTED_VALUE"""),1.0)</f>
        <v>1</v>
      </c>
      <c r="U8154" s="4" t="str">
        <f>IFERROR(__xludf.DUMMYFUNCTION("""COMPUTED_VALUE"""),"Anota Ai Solucoes Digitais S/a")</f>
        <v>Anota Ai Solucoes Digitais S/a</v>
      </c>
      <c r="V8154" s="33">
        <f>IFERROR(__xludf.DUMMYFUNCTION("""COMPUTED_VALUE"""),1.0)</f>
        <v>1</v>
      </c>
      <c r="W8154" s="4" t="str">
        <f>IFERROR(__xludf.DUMMYFUNCTION("""COMPUTED_VALUE"""),"Anota Ai Solucoes Digitais S/a")</f>
        <v>Anota Ai Solucoes Digitais S/a</v>
      </c>
      <c r="X8154" s="33">
        <f>IFERROR(__xludf.DUMMYFUNCTION("""COMPUTED_VALUE"""),1.0)</f>
        <v>1</v>
      </c>
    </row>
    <row r="8155">
      <c r="K8155" s="4" t="str">
        <f>IFERROR(__xludf.DUMMYFUNCTION("""COMPUTED_VALUE"""),"EMPORIO ALIANCA")</f>
        <v>EMPORIO ALIANCA</v>
      </c>
      <c r="L8155" s="32">
        <f>IFERROR(__xludf.DUMMYFUNCTION("""COMPUTED_VALUE"""),1.0)</f>
        <v>1</v>
      </c>
      <c r="M8155" s="4" t="str">
        <f>IFERROR(__xludf.DUMMYFUNCTION("""COMPUTED_VALUE"""),"Yooga")</f>
        <v>Yooga</v>
      </c>
      <c r="N8155" s="33">
        <f>IFERROR(__xludf.DUMMYFUNCTION("""COMPUTED_VALUE"""),1.0)</f>
        <v>1</v>
      </c>
      <c r="O8155" s="4" t="str">
        <f>IFERROR(__xludf.DUMMYFUNCTION("""COMPUTED_VALUE"""),"Yooga")</f>
        <v>Yooga</v>
      </c>
      <c r="P8155" s="33">
        <f>IFERROR(__xludf.DUMMYFUNCTION("""COMPUTED_VALUE"""),1.0)</f>
        <v>1</v>
      </c>
      <c r="Q8155" s="4" t="str">
        <f>IFERROR(__xludf.DUMMYFUNCTION("""COMPUTED_VALUE"""),"Yooga")</f>
        <v>Yooga</v>
      </c>
      <c r="R8155" s="33">
        <f>IFERROR(__xludf.DUMMYFUNCTION("""COMPUTED_VALUE"""),1.0)</f>
        <v>1</v>
      </c>
      <c r="S8155" s="4" t="str">
        <f>IFERROR(__xludf.DUMMYFUNCTION("""COMPUTED_VALUE"""),"null")</f>
        <v>null</v>
      </c>
      <c r="T8155" s="33">
        <f>IFERROR(__xludf.DUMMYFUNCTION("""COMPUTED_VALUE"""),1.0)</f>
        <v>1</v>
      </c>
      <c r="U8155" s="4" t="str">
        <f>IFERROR(__xludf.DUMMYFUNCTION("""COMPUTED_VALUE"""),"null")</f>
        <v>null</v>
      </c>
      <c r="V8155" s="33">
        <f>IFERROR(__xludf.DUMMYFUNCTION("""COMPUTED_VALUE"""),1.0)</f>
        <v>1</v>
      </c>
      <c r="W8155" s="4" t="str">
        <f>IFERROR(__xludf.DUMMYFUNCTION("""COMPUTED_VALUE"""),"null")</f>
        <v>null</v>
      </c>
      <c r="X8155" s="33">
        <f>IFERROR(__xludf.DUMMYFUNCTION("""COMPUTED_VALUE"""),1.0)</f>
        <v>1</v>
      </c>
    </row>
    <row r="8156">
      <c r="K8156" s="4" t="str">
        <f>IFERROR(__xludf.DUMMYFUNCTION("""COMPUTED_VALUE"""),"FE COOKIES")</f>
        <v>FE COOKIES</v>
      </c>
      <c r="L8156" s="32">
        <f>IFERROR(__xludf.DUMMYFUNCTION("""COMPUTED_VALUE"""),1.0)</f>
        <v>1</v>
      </c>
      <c r="M8156" s="4" t="str">
        <f>IFERROR(__xludf.DUMMYFUNCTION("""COMPUTED_VALUE"""),"Instadelivery")</f>
        <v>Instadelivery</v>
      </c>
      <c r="N8156" s="33">
        <f>IFERROR(__xludf.DUMMYFUNCTION("""COMPUTED_VALUE"""),1.0)</f>
        <v>1</v>
      </c>
      <c r="O8156" s="4" t="str">
        <f>IFERROR(__xludf.DUMMYFUNCTION("""COMPUTED_VALUE"""),"Instadelivery")</f>
        <v>Instadelivery</v>
      </c>
      <c r="P8156" s="33">
        <f>IFERROR(__xludf.DUMMYFUNCTION("""COMPUTED_VALUE"""),1.0)</f>
        <v>1</v>
      </c>
      <c r="Q8156" s="4" t="str">
        <f>IFERROR(__xludf.DUMMYFUNCTION("""COMPUTED_VALUE"""),"Instadelivery")</f>
        <v>Instadelivery</v>
      </c>
      <c r="R8156" s="33">
        <f>IFERROR(__xludf.DUMMYFUNCTION("""COMPUTED_VALUE"""),1.0)</f>
        <v>1</v>
      </c>
      <c r="S8156" s="4" t="str">
        <f>IFERROR(__xludf.DUMMYFUNCTION("""COMPUTED_VALUE"""),"Instadelivery")</f>
        <v>Instadelivery</v>
      </c>
      <c r="T8156" s="33">
        <f>IFERROR(__xludf.DUMMYFUNCTION("""COMPUTED_VALUE"""),1.0)</f>
        <v>1</v>
      </c>
      <c r="U8156" s="4" t="str">
        <f>IFERROR(__xludf.DUMMYFUNCTION("""COMPUTED_VALUE"""),"null")</f>
        <v>null</v>
      </c>
      <c r="V8156" s="33">
        <f>IFERROR(__xludf.DUMMYFUNCTION("""COMPUTED_VALUE"""),1.0)</f>
        <v>1</v>
      </c>
      <c r="W8156" s="4" t="str">
        <f>IFERROR(__xludf.DUMMYFUNCTION("""COMPUTED_VALUE"""),"null")</f>
        <v>null</v>
      </c>
      <c r="X8156" s="33">
        <f>IFERROR(__xludf.DUMMYFUNCTION("""COMPUTED_VALUE"""),1.0)</f>
        <v>1</v>
      </c>
    </row>
    <row r="8157">
      <c r="K8157" s="4" t="str">
        <f>IFERROR(__xludf.DUMMYFUNCTION("""COMPUTED_VALUE"""),"MTBROWNIES")</f>
        <v>MTBROWNIES</v>
      </c>
      <c r="L8157" s="32">
        <f>IFERROR(__xludf.DUMMYFUNCTION("""COMPUTED_VALUE"""),1.0)</f>
        <v>1</v>
      </c>
      <c r="M8157" s="4" t="str">
        <f>IFERROR(__xludf.DUMMYFUNCTION("""COMPUTED_VALUE"""),"Cardápio Web")</f>
        <v>Cardápio Web</v>
      </c>
      <c r="N8157" s="33">
        <f>IFERROR(__xludf.DUMMYFUNCTION("""COMPUTED_VALUE"""),1.0)</f>
        <v>1</v>
      </c>
      <c r="O8157" s="4" t="str">
        <f>IFERROR(__xludf.DUMMYFUNCTION("""COMPUTED_VALUE"""),"null")</f>
        <v>null</v>
      </c>
      <c r="P8157" s="33">
        <f>IFERROR(__xludf.DUMMYFUNCTION("""COMPUTED_VALUE"""),1.0)</f>
        <v>1</v>
      </c>
      <c r="Q8157" s="4" t="str">
        <f>IFERROR(__xludf.DUMMYFUNCTION("""COMPUTED_VALUE"""),"null")</f>
        <v>null</v>
      </c>
      <c r="R8157" s="33">
        <f>IFERROR(__xludf.DUMMYFUNCTION("""COMPUTED_VALUE"""),1.0)</f>
        <v>1</v>
      </c>
      <c r="S8157" s="4" t="str">
        <f>IFERROR(__xludf.DUMMYFUNCTION("""COMPUTED_VALUE"""),"Cardápio Web")</f>
        <v>Cardápio Web</v>
      </c>
      <c r="T8157" s="33">
        <f>IFERROR(__xludf.DUMMYFUNCTION("""COMPUTED_VALUE"""),1.0)</f>
        <v>1</v>
      </c>
      <c r="U8157" s="4" t="str">
        <f>IFERROR(__xludf.DUMMYFUNCTION("""COMPUTED_VALUE"""),"Cardápio Web")</f>
        <v>Cardápio Web</v>
      </c>
      <c r="V8157" s="33">
        <f>IFERROR(__xludf.DUMMYFUNCTION("""COMPUTED_VALUE"""),1.0)</f>
        <v>1</v>
      </c>
      <c r="W8157" s="4" t="str">
        <f>IFERROR(__xludf.DUMMYFUNCTION("""COMPUTED_VALUE"""),"Cardápio Web")</f>
        <v>Cardápio Web</v>
      </c>
      <c r="X8157" s="33">
        <f>IFERROR(__xludf.DUMMYFUNCTION("""COMPUTED_VALUE"""),1.0)</f>
        <v>1</v>
      </c>
    </row>
    <row r="8158">
      <c r="K8158" s="4" t="str">
        <f>IFERROR(__xludf.DUMMYFUNCTION("""COMPUTED_VALUE"""),"GG ESFIHARIA")</f>
        <v>GG ESFIHARIA</v>
      </c>
      <c r="L8158" s="32">
        <f>IFERROR(__xludf.DUMMYFUNCTION("""COMPUTED_VALUE"""),1.0)</f>
        <v>1</v>
      </c>
      <c r="M8158" s="4" t="str">
        <f>IFERROR(__xludf.DUMMYFUNCTION("""COMPUTED_VALUE"""),"Whatsmenu Ltda")</f>
        <v>Whatsmenu Ltda</v>
      </c>
      <c r="N8158" s="33">
        <f>IFERROR(__xludf.DUMMYFUNCTION("""COMPUTED_VALUE"""),1.0)</f>
        <v>1</v>
      </c>
      <c r="O8158" s="4" t="str">
        <f>IFERROR(__xludf.DUMMYFUNCTION("""COMPUTED_VALUE"""),"Whatsmenu Ltda")</f>
        <v>Whatsmenu Ltda</v>
      </c>
      <c r="P8158" s="33">
        <f>IFERROR(__xludf.DUMMYFUNCTION("""COMPUTED_VALUE"""),1.0)</f>
        <v>1</v>
      </c>
      <c r="Q8158" s="4" t="str">
        <f>IFERROR(__xludf.DUMMYFUNCTION("""COMPUTED_VALUE"""),"Whatsmenu Ltda")</f>
        <v>Whatsmenu Ltda</v>
      </c>
      <c r="R8158" s="33">
        <f>IFERROR(__xludf.DUMMYFUNCTION("""COMPUTED_VALUE"""),1.0)</f>
        <v>1</v>
      </c>
      <c r="S8158" s="4" t="str">
        <f>IFERROR(__xludf.DUMMYFUNCTION("""COMPUTED_VALUE"""),"null")</f>
        <v>null</v>
      </c>
      <c r="T8158" s="33">
        <f>IFERROR(__xludf.DUMMYFUNCTION("""COMPUTED_VALUE"""),1.0)</f>
        <v>1</v>
      </c>
      <c r="U8158" s="4" t="str">
        <f>IFERROR(__xludf.DUMMYFUNCTION("""COMPUTED_VALUE"""),"Whatsmenu Ltda")</f>
        <v>Whatsmenu Ltda</v>
      </c>
      <c r="V8158" s="33">
        <f>IFERROR(__xludf.DUMMYFUNCTION("""COMPUTED_VALUE"""),1.0)</f>
        <v>1</v>
      </c>
      <c r="W8158" s="4" t="str">
        <f>IFERROR(__xludf.DUMMYFUNCTION("""COMPUTED_VALUE"""),"null")</f>
        <v>null</v>
      </c>
      <c r="X8158" s="33">
        <f>IFERROR(__xludf.DUMMYFUNCTION("""COMPUTED_VALUE"""),1.0)</f>
        <v>1</v>
      </c>
    </row>
    <row r="8159">
      <c r="K8159" s="4" t="str">
        <f>IFERROR(__xludf.DUMMYFUNCTION("""COMPUTED_VALUE"""),"LAH BURGUER")</f>
        <v>LAH BURGUER</v>
      </c>
      <c r="L8159" s="32">
        <f>IFERROR(__xludf.DUMMYFUNCTION("""COMPUTED_VALUE"""),1.0)</f>
        <v>1</v>
      </c>
      <c r="M8159" s="4" t="str">
        <f>IFERROR(__xludf.DUMMYFUNCTION("""COMPUTED_VALUE"""),"Alpha Logo")</f>
        <v>Alpha Logo</v>
      </c>
      <c r="N8159" s="33">
        <f>IFERROR(__xludf.DUMMYFUNCTION("""COMPUTED_VALUE"""),1.0)</f>
        <v>1</v>
      </c>
      <c r="O8159" s="4" t="str">
        <f>IFERROR(__xludf.DUMMYFUNCTION("""COMPUTED_VALUE"""),"Alpha Logo")</f>
        <v>Alpha Logo</v>
      </c>
      <c r="P8159" s="33">
        <f>IFERROR(__xludf.DUMMYFUNCTION("""COMPUTED_VALUE"""),1.0)</f>
        <v>1</v>
      </c>
      <c r="Q8159" s="4" t="str">
        <f>IFERROR(__xludf.DUMMYFUNCTION("""COMPUTED_VALUE"""),"Alpha Logo")</f>
        <v>Alpha Logo</v>
      </c>
      <c r="R8159" s="33">
        <f>IFERROR(__xludf.DUMMYFUNCTION("""COMPUTED_VALUE"""),1.0)</f>
        <v>1</v>
      </c>
      <c r="S8159" s="4" t="str">
        <f>IFERROR(__xludf.DUMMYFUNCTION("""COMPUTED_VALUE"""),"Alpha Logo")</f>
        <v>Alpha Logo</v>
      </c>
      <c r="T8159" s="33">
        <f>IFERROR(__xludf.DUMMYFUNCTION("""COMPUTED_VALUE"""),1.0)</f>
        <v>1</v>
      </c>
      <c r="U8159" s="4" t="str">
        <f>IFERROR(__xludf.DUMMYFUNCTION("""COMPUTED_VALUE"""),"Alpha Logo")</f>
        <v>Alpha Logo</v>
      </c>
      <c r="V8159" s="33">
        <f>IFERROR(__xludf.DUMMYFUNCTION("""COMPUTED_VALUE"""),1.0)</f>
        <v>1</v>
      </c>
      <c r="W8159" s="4" t="str">
        <f>IFERROR(__xludf.DUMMYFUNCTION("""COMPUTED_VALUE"""),"Alpha Logo")</f>
        <v>Alpha Logo</v>
      </c>
      <c r="X8159" s="33">
        <f>IFERROR(__xludf.DUMMYFUNCTION("""COMPUTED_VALUE"""),1.0)</f>
        <v>1</v>
      </c>
    </row>
    <row r="8160">
      <c r="K8160" s="4" t="str">
        <f>IFERROR(__xludf.DUMMYFUNCTION("""COMPUTED_VALUE"""),"VAI DE SOBERANOS - HAMBURGUERIA")</f>
        <v>VAI DE SOBERANOS - HAMBURGUERIA</v>
      </c>
      <c r="L8160" s="32">
        <f>IFERROR(__xludf.DUMMYFUNCTION("""COMPUTED_VALUE"""),1.0)</f>
        <v>1</v>
      </c>
      <c r="M8160" s="4" t="str">
        <f>IFERROR(__xludf.DUMMYFUNCTION("""COMPUTED_VALUE"""),"Saipos Serviços De Software")</f>
        <v>Saipos Serviços De Software</v>
      </c>
      <c r="N8160" s="33">
        <f>IFERROR(__xludf.DUMMYFUNCTION("""COMPUTED_VALUE"""),1.0)</f>
        <v>1</v>
      </c>
      <c r="O8160" s="4" t="str">
        <f>IFERROR(__xludf.DUMMYFUNCTION("""COMPUTED_VALUE"""),"Saipos Serviços De Software")</f>
        <v>Saipos Serviços De Software</v>
      </c>
      <c r="P8160" s="33">
        <f>IFERROR(__xludf.DUMMYFUNCTION("""COMPUTED_VALUE"""),1.0)</f>
        <v>1</v>
      </c>
      <c r="Q8160" s="4" t="str">
        <f>IFERROR(__xludf.DUMMYFUNCTION("""COMPUTED_VALUE"""),"Saipos Serviços De Software")</f>
        <v>Saipos Serviços De Software</v>
      </c>
      <c r="R8160" s="33">
        <f>IFERROR(__xludf.DUMMYFUNCTION("""COMPUTED_VALUE"""),1.0)</f>
        <v>1</v>
      </c>
      <c r="S8160" s="4" t="str">
        <f>IFERROR(__xludf.DUMMYFUNCTION("""COMPUTED_VALUE"""),"Saipos Serviços De Software")</f>
        <v>Saipos Serviços De Software</v>
      </c>
      <c r="T8160" s="33">
        <f>IFERROR(__xludf.DUMMYFUNCTION("""COMPUTED_VALUE"""),1.0)</f>
        <v>1</v>
      </c>
      <c r="U8160" s="4" t="str">
        <f>IFERROR(__xludf.DUMMYFUNCTION("""COMPUTED_VALUE"""),"Saipos Serviços De Software")</f>
        <v>Saipos Serviços De Software</v>
      </c>
      <c r="V8160" s="33">
        <f>IFERROR(__xludf.DUMMYFUNCTION("""COMPUTED_VALUE"""),1.0)</f>
        <v>1</v>
      </c>
      <c r="W8160" s="4" t="str">
        <f>IFERROR(__xludf.DUMMYFUNCTION("""COMPUTED_VALUE"""),"Saipos Serviços De Software")</f>
        <v>Saipos Serviços De Software</v>
      </c>
      <c r="X8160" s="33">
        <f>IFERROR(__xludf.DUMMYFUNCTION("""COMPUTED_VALUE"""),1.0)</f>
        <v>1</v>
      </c>
    </row>
    <row r="8161">
      <c r="K8161" s="4" t="str">
        <f>IFERROR(__xludf.DUMMYFUNCTION("""COMPUTED_VALUE"""),"ASSADAO MUELLER - ASSADOS E MARMITAS")</f>
        <v>ASSADAO MUELLER - ASSADOS E MARMITAS</v>
      </c>
      <c r="L8161" s="32">
        <f>IFERROR(__xludf.DUMMYFUNCTION("""COMPUTED_VALUE"""),1.0)</f>
        <v>1</v>
      </c>
      <c r="M8161" s="4" t="str">
        <f>IFERROR(__xludf.DUMMYFUNCTION("""COMPUTED_VALUE"""),"null")</f>
        <v>null</v>
      </c>
      <c r="N8161" s="33">
        <f>IFERROR(__xludf.DUMMYFUNCTION("""COMPUTED_VALUE"""),1.0)</f>
        <v>1</v>
      </c>
      <c r="O8161" s="4" t="str">
        <f>IFERROR(__xludf.DUMMYFUNCTION("""COMPUTED_VALUE"""),"null")</f>
        <v>null</v>
      </c>
      <c r="P8161" s="33">
        <f>IFERROR(__xludf.DUMMYFUNCTION("""COMPUTED_VALUE"""),1.0)</f>
        <v>1</v>
      </c>
      <c r="Q8161" s="4" t="str">
        <f>IFERROR(__xludf.DUMMYFUNCTION("""COMPUTED_VALUE"""),"Anota Ai Solucoes Digitais S/a")</f>
        <v>Anota Ai Solucoes Digitais S/a</v>
      </c>
      <c r="R8161" s="33">
        <f>IFERROR(__xludf.DUMMYFUNCTION("""COMPUTED_VALUE"""),1.0)</f>
        <v>1</v>
      </c>
      <c r="S8161" s="4" t="str">
        <f>IFERROR(__xludf.DUMMYFUNCTION("""COMPUTED_VALUE"""),"null")</f>
        <v>null</v>
      </c>
      <c r="T8161" s="33">
        <f>IFERROR(__xludf.DUMMYFUNCTION("""COMPUTED_VALUE"""),1.0)</f>
        <v>1</v>
      </c>
      <c r="U8161" s="4" t="str">
        <f>IFERROR(__xludf.DUMMYFUNCTION("""COMPUTED_VALUE"""),"null")</f>
        <v>null</v>
      </c>
      <c r="V8161" s="33">
        <f>IFERROR(__xludf.DUMMYFUNCTION("""COMPUTED_VALUE"""),1.0)</f>
        <v>1</v>
      </c>
      <c r="W8161" s="4" t="str">
        <f>IFERROR(__xludf.DUMMYFUNCTION("""COMPUTED_VALUE"""),"null")</f>
        <v>null</v>
      </c>
      <c r="X8161" s="33">
        <f>IFERROR(__xludf.DUMMYFUNCTION("""COMPUTED_VALUE"""),1.0)</f>
        <v>1</v>
      </c>
    </row>
    <row r="8162">
      <c r="K8162" s="4" t="str">
        <f>IFERROR(__xludf.DUMMYFUNCTION("""COMPUTED_VALUE"""),"PIZZA EXPRESS - FAST DELIVERY")</f>
        <v>PIZZA EXPRESS - FAST DELIVERY</v>
      </c>
      <c r="L8162" s="32">
        <f>IFERROR(__xludf.DUMMYFUNCTION("""COMPUTED_VALUE"""),1.0)</f>
        <v>1</v>
      </c>
      <c r="M8162" s="4" t="str">
        <f>IFERROR(__xludf.DUMMYFUNCTION("""COMPUTED_VALUE"""),"Expresso Delivery")</f>
        <v>Expresso Delivery</v>
      </c>
      <c r="N8162" s="33">
        <f>IFERROR(__xludf.DUMMYFUNCTION("""COMPUTED_VALUE"""),1.0)</f>
        <v>1</v>
      </c>
      <c r="O8162" s="4" t="str">
        <f>IFERROR(__xludf.DUMMYFUNCTION("""COMPUTED_VALUE"""),"Expresso Delivery")</f>
        <v>Expresso Delivery</v>
      </c>
      <c r="P8162" s="33">
        <f>IFERROR(__xludf.DUMMYFUNCTION("""COMPUTED_VALUE"""),1.0)</f>
        <v>1</v>
      </c>
      <c r="Q8162" s="4" t="str">
        <f>IFERROR(__xludf.DUMMYFUNCTION("""COMPUTED_VALUE"""),"Expresso Delivery")</f>
        <v>Expresso Delivery</v>
      </c>
      <c r="R8162" s="33">
        <f>IFERROR(__xludf.DUMMYFUNCTION("""COMPUTED_VALUE"""),1.0)</f>
        <v>1</v>
      </c>
      <c r="S8162" s="4" t="str">
        <f>IFERROR(__xludf.DUMMYFUNCTION("""COMPUTED_VALUE"""),"Expresso Delivery")</f>
        <v>Expresso Delivery</v>
      </c>
      <c r="T8162" s="33">
        <f>IFERROR(__xludf.DUMMYFUNCTION("""COMPUTED_VALUE"""),1.0)</f>
        <v>1</v>
      </c>
      <c r="U8162" s="4" t="str">
        <f>IFERROR(__xludf.DUMMYFUNCTION("""COMPUTED_VALUE"""),"Expresso Delivery")</f>
        <v>Expresso Delivery</v>
      </c>
      <c r="V8162" s="33">
        <f>IFERROR(__xludf.DUMMYFUNCTION("""COMPUTED_VALUE"""),1.0)</f>
        <v>1</v>
      </c>
      <c r="W8162" s="4" t="str">
        <f>IFERROR(__xludf.DUMMYFUNCTION("""COMPUTED_VALUE"""),"Expresso Delivery")</f>
        <v>Expresso Delivery</v>
      </c>
      <c r="X8162" s="33">
        <f>IFERROR(__xludf.DUMMYFUNCTION("""COMPUTED_VALUE"""),1.0)</f>
        <v>1</v>
      </c>
    </row>
    <row r="8163">
      <c r="K8163" s="4" t="str">
        <f>IFERROR(__xludf.DUMMYFUNCTION("""COMPUTED_VALUE"""),"BAHABS PIZZZARIA ESFIHARIA - ENTREGA GRATIS 3KM")</f>
        <v>BAHABS PIZZZARIA ESFIHARIA - ENTREGA GRATIS 3KM</v>
      </c>
      <c r="L8163" s="32">
        <f>IFERROR(__xludf.DUMMYFUNCTION("""COMPUTED_VALUE"""),1.0)</f>
        <v>1</v>
      </c>
      <c r="M8163" s="4" t="str">
        <f>IFERROR(__xludf.DUMMYFUNCTION("""COMPUTED_VALUE"""),"Mp Multipedidos")</f>
        <v>Mp Multipedidos</v>
      </c>
      <c r="N8163" s="33">
        <f>IFERROR(__xludf.DUMMYFUNCTION("""COMPUTED_VALUE"""),1.0)</f>
        <v>1</v>
      </c>
      <c r="O8163" s="4" t="str">
        <f>IFERROR(__xludf.DUMMYFUNCTION("""COMPUTED_VALUE"""),"Mp Multipedidos")</f>
        <v>Mp Multipedidos</v>
      </c>
      <c r="P8163" s="33">
        <f>IFERROR(__xludf.DUMMYFUNCTION("""COMPUTED_VALUE"""),1.0)</f>
        <v>1</v>
      </c>
      <c r="Q8163" s="4" t="str">
        <f>IFERROR(__xludf.DUMMYFUNCTION("""COMPUTED_VALUE"""),"Mp Multipedidos")</f>
        <v>Mp Multipedidos</v>
      </c>
      <c r="R8163" s="33">
        <f>IFERROR(__xludf.DUMMYFUNCTION("""COMPUTED_VALUE"""),1.0)</f>
        <v>1</v>
      </c>
      <c r="S8163" s="4" t="str">
        <f>IFERROR(__xludf.DUMMYFUNCTION("""COMPUTED_VALUE"""),"Mp Multipedidos")</f>
        <v>Mp Multipedidos</v>
      </c>
      <c r="T8163" s="33">
        <f>IFERROR(__xludf.DUMMYFUNCTION("""COMPUTED_VALUE"""),1.0)</f>
        <v>1</v>
      </c>
      <c r="U8163" s="4" t="str">
        <f>IFERROR(__xludf.DUMMYFUNCTION("""COMPUTED_VALUE"""),"Mp Multipedidos")</f>
        <v>Mp Multipedidos</v>
      </c>
      <c r="V8163" s="33">
        <f>IFERROR(__xludf.DUMMYFUNCTION("""COMPUTED_VALUE"""),1.0)</f>
        <v>1</v>
      </c>
      <c r="W8163" s="4" t="str">
        <f>IFERROR(__xludf.DUMMYFUNCTION("""COMPUTED_VALUE"""),"Mp Multipedidos")</f>
        <v>Mp Multipedidos</v>
      </c>
      <c r="X8163" s="33">
        <f>IFERROR(__xludf.DUMMYFUNCTION("""COMPUTED_VALUE"""),1.0)</f>
        <v>1</v>
      </c>
    </row>
    <row r="8164">
      <c r="K8164" s="4" t="str">
        <f>IFERROR(__xludf.DUMMYFUNCTION("""COMPUTED_VALUE"""),"BON BURGER")</f>
        <v>BON BURGER</v>
      </c>
      <c r="L8164" s="32">
        <f>IFERROR(__xludf.DUMMYFUNCTION("""COMPUTED_VALUE"""),1.0)</f>
        <v>1</v>
      </c>
      <c r="M8164" s="4" t="str">
        <f>IFERROR(__xludf.DUMMYFUNCTION("""COMPUTED_VALUE"""),"Brendi")</f>
        <v>Brendi</v>
      </c>
      <c r="N8164" s="33">
        <f>IFERROR(__xludf.DUMMYFUNCTION("""COMPUTED_VALUE"""),1.0)</f>
        <v>1</v>
      </c>
      <c r="O8164" s="4" t="str">
        <f>IFERROR(__xludf.DUMMYFUNCTION("""COMPUTED_VALUE"""),"Brendi")</f>
        <v>Brendi</v>
      </c>
      <c r="P8164" s="33">
        <f>IFERROR(__xludf.DUMMYFUNCTION("""COMPUTED_VALUE"""),1.0)</f>
        <v>1</v>
      </c>
      <c r="Q8164" s="4" t="str">
        <f>IFERROR(__xludf.DUMMYFUNCTION("""COMPUTED_VALUE"""),"Brendi")</f>
        <v>Brendi</v>
      </c>
      <c r="R8164" s="33">
        <f>IFERROR(__xludf.DUMMYFUNCTION("""COMPUTED_VALUE"""),1.0)</f>
        <v>1</v>
      </c>
      <c r="S8164" s="4" t="str">
        <f>IFERROR(__xludf.DUMMYFUNCTION("""COMPUTED_VALUE"""),"null")</f>
        <v>null</v>
      </c>
      <c r="T8164" s="33">
        <f>IFERROR(__xludf.DUMMYFUNCTION("""COMPUTED_VALUE"""),1.0)</f>
        <v>1</v>
      </c>
      <c r="U8164" s="4" t="str">
        <f>IFERROR(__xludf.DUMMYFUNCTION("""COMPUTED_VALUE"""),"Brendi")</f>
        <v>Brendi</v>
      </c>
      <c r="V8164" s="33">
        <f>IFERROR(__xludf.DUMMYFUNCTION("""COMPUTED_VALUE"""),1.0)</f>
        <v>1</v>
      </c>
      <c r="W8164" s="4" t="str">
        <f>IFERROR(__xludf.DUMMYFUNCTION("""COMPUTED_VALUE"""),"Brendi")</f>
        <v>Brendi</v>
      </c>
      <c r="X8164" s="33">
        <f>IFERROR(__xludf.DUMMYFUNCTION("""COMPUTED_VALUE"""),1.0)</f>
        <v>1</v>
      </c>
    </row>
    <row r="8165">
      <c r="K8165" s="4" t="str">
        <f>IFERROR(__xludf.DUMMYFUNCTION("""COMPUTED_VALUE"""),"PIZZARIA DLUCCA - PIZZAS")</f>
        <v>PIZZARIA DLUCCA - PIZZAS</v>
      </c>
      <c r="L8165" s="32">
        <f>IFERROR(__xludf.DUMMYFUNCTION("""COMPUTED_VALUE"""),1.0)</f>
        <v>1</v>
      </c>
      <c r="M8165" s="4" t="str">
        <f>IFERROR(__xludf.DUMMYFUNCTION("""COMPUTED_VALUE"""),"Winfood")</f>
        <v>Winfood</v>
      </c>
      <c r="N8165" s="33">
        <f>IFERROR(__xludf.DUMMYFUNCTION("""COMPUTED_VALUE"""),1.0)</f>
        <v>1</v>
      </c>
      <c r="O8165" s="4" t="str">
        <f>IFERROR(__xludf.DUMMYFUNCTION("""COMPUTED_VALUE"""),"Winfood")</f>
        <v>Winfood</v>
      </c>
      <c r="P8165" s="33">
        <f>IFERROR(__xludf.DUMMYFUNCTION("""COMPUTED_VALUE"""),1.0)</f>
        <v>1</v>
      </c>
      <c r="Q8165" s="4" t="str">
        <f>IFERROR(__xludf.DUMMYFUNCTION("""COMPUTED_VALUE"""),"Winfood")</f>
        <v>Winfood</v>
      </c>
      <c r="R8165" s="33">
        <f>IFERROR(__xludf.DUMMYFUNCTION("""COMPUTED_VALUE"""),1.0)</f>
        <v>1</v>
      </c>
      <c r="S8165" s="4" t="str">
        <f>IFERROR(__xludf.DUMMYFUNCTION("""COMPUTED_VALUE"""),"Winfood")</f>
        <v>Winfood</v>
      </c>
      <c r="T8165" s="33">
        <f>IFERROR(__xludf.DUMMYFUNCTION("""COMPUTED_VALUE"""),1.0)</f>
        <v>1</v>
      </c>
      <c r="U8165" s="4" t="str">
        <f>IFERROR(__xludf.DUMMYFUNCTION("""COMPUTED_VALUE"""),"Anota Ai Solucoes Digitais S/a")</f>
        <v>Anota Ai Solucoes Digitais S/a</v>
      </c>
      <c r="V8165" s="33">
        <f>IFERROR(__xludf.DUMMYFUNCTION("""COMPUTED_VALUE"""),1.0)</f>
        <v>1</v>
      </c>
      <c r="W8165" s="4" t="str">
        <f>IFERROR(__xludf.DUMMYFUNCTION("""COMPUTED_VALUE"""),"null")</f>
        <v>null</v>
      </c>
      <c r="X8165" s="33">
        <f>IFERROR(__xludf.DUMMYFUNCTION("""COMPUTED_VALUE"""),1.0)</f>
        <v>1</v>
      </c>
    </row>
    <row r="8166">
      <c r="K8166" s="4" t="str">
        <f>IFERROR(__xludf.DUMMYFUNCTION("""COMPUTED_VALUE"""),"VICK CELL ACESSORIOS")</f>
        <v>VICK CELL ACESSORIOS</v>
      </c>
      <c r="L8166" s="32">
        <f>IFERROR(__xludf.DUMMYFUNCTION("""COMPUTED_VALUE"""),1.0)</f>
        <v>1</v>
      </c>
      <c r="M8166" s="4" t="str">
        <f>IFERROR(__xludf.DUMMYFUNCTION("""COMPUTED_VALUE"""),"null")</f>
        <v>null</v>
      </c>
      <c r="N8166" s="33">
        <f>IFERROR(__xludf.DUMMYFUNCTION("""COMPUTED_VALUE"""),1.0)</f>
        <v>1</v>
      </c>
      <c r="O8166" s="4" t="str">
        <f>IFERROR(__xludf.DUMMYFUNCTION("""COMPUTED_VALUE"""),"null")</f>
        <v>null</v>
      </c>
      <c r="P8166" s="33">
        <f>IFERROR(__xludf.DUMMYFUNCTION("""COMPUTED_VALUE"""),1.0)</f>
        <v>1</v>
      </c>
      <c r="Q8166" s="4" t="str">
        <f>IFERROR(__xludf.DUMMYFUNCTION("""COMPUTED_VALUE"""),"null")</f>
        <v>null</v>
      </c>
      <c r="R8166" s="33">
        <f>IFERROR(__xludf.DUMMYFUNCTION("""COMPUTED_VALUE"""),1.0)</f>
        <v>1</v>
      </c>
      <c r="S8166" s="4" t="str">
        <f>IFERROR(__xludf.DUMMYFUNCTION("""COMPUTED_VALUE"""),"null")</f>
        <v>null</v>
      </c>
      <c r="T8166" s="33">
        <f>IFERROR(__xludf.DUMMYFUNCTION("""COMPUTED_VALUE"""),1.0)</f>
        <v>1</v>
      </c>
      <c r="U8166" s="4" t="str">
        <f>IFERROR(__xludf.DUMMYFUNCTION("""COMPUTED_VALUE"""),"N/A (Not found)")</f>
        <v>N/A (Not found)</v>
      </c>
      <c r="V8166" s="33">
        <f>IFERROR(__xludf.DUMMYFUNCTION("""COMPUTED_VALUE"""),1.0)</f>
        <v>1</v>
      </c>
      <c r="W8166" s="4" t="str">
        <f>IFERROR(__xludf.DUMMYFUNCTION("""COMPUTED_VALUE"""),"N/A (Not found)")</f>
        <v>N/A (Not found)</v>
      </c>
      <c r="X8166" s="33">
        <f>IFERROR(__xludf.DUMMYFUNCTION("""COMPUTED_VALUE"""),1.0)</f>
        <v>1</v>
      </c>
    </row>
    <row r="8167">
      <c r="K8167" s="4" t="str">
        <f>IFERROR(__xludf.DUMMYFUNCTION("""COMPUTED_VALUE"""),"PLANETA LANCHES E ESFIHAS")</f>
        <v>PLANETA LANCHES E ESFIHAS</v>
      </c>
      <c r="L8167" s="32">
        <f>IFERROR(__xludf.DUMMYFUNCTION("""COMPUTED_VALUE"""),1.0)</f>
        <v>1</v>
      </c>
      <c r="M8167" s="4" t="str">
        <f>IFERROR(__xludf.DUMMYFUNCTION("""COMPUTED_VALUE"""),"Freedom Tecnologia Ltda")</f>
        <v>Freedom Tecnologia Ltda</v>
      </c>
      <c r="N8167" s="33">
        <f>IFERROR(__xludf.DUMMYFUNCTION("""COMPUTED_VALUE"""),1.0)</f>
        <v>1</v>
      </c>
      <c r="O8167" s="4" t="str">
        <f>IFERROR(__xludf.DUMMYFUNCTION("""COMPUTED_VALUE"""),"Freedom Tecnologia Ltda")</f>
        <v>Freedom Tecnologia Ltda</v>
      </c>
      <c r="P8167" s="33">
        <f>IFERROR(__xludf.DUMMYFUNCTION("""COMPUTED_VALUE"""),1.0)</f>
        <v>1</v>
      </c>
      <c r="Q8167" s="4" t="str">
        <f>IFERROR(__xludf.DUMMYFUNCTION("""COMPUTED_VALUE"""),"Freedom Tecnologia Ltda")</f>
        <v>Freedom Tecnologia Ltda</v>
      </c>
      <c r="R8167" s="33">
        <f>IFERROR(__xludf.DUMMYFUNCTION("""COMPUTED_VALUE"""),1.0)</f>
        <v>1</v>
      </c>
      <c r="S8167" s="4" t="str">
        <f>IFERROR(__xludf.DUMMYFUNCTION("""COMPUTED_VALUE"""),"Freedom Tecnologia Ltda")</f>
        <v>Freedom Tecnologia Ltda</v>
      </c>
      <c r="T8167" s="33">
        <f>IFERROR(__xludf.DUMMYFUNCTION("""COMPUTED_VALUE"""),1.0)</f>
        <v>1</v>
      </c>
      <c r="U8167" s="4" t="str">
        <f>IFERROR(__xludf.DUMMYFUNCTION("""COMPUTED_VALUE"""),"Freedom Tecnologia Ltda")</f>
        <v>Freedom Tecnologia Ltda</v>
      </c>
      <c r="V8167" s="33">
        <f>IFERROR(__xludf.DUMMYFUNCTION("""COMPUTED_VALUE"""),1.0)</f>
        <v>1</v>
      </c>
      <c r="W8167" s="4" t="str">
        <f>IFERROR(__xludf.DUMMYFUNCTION("""COMPUTED_VALUE"""),"Freedom Tecnologia Ltda")</f>
        <v>Freedom Tecnologia Ltda</v>
      </c>
      <c r="X8167" s="33">
        <f>IFERROR(__xludf.DUMMYFUNCTION("""COMPUTED_VALUE"""),1.0)</f>
        <v>1</v>
      </c>
    </row>
    <row r="8168">
      <c r="K8168" s="4" t="str">
        <f>IFERROR(__xludf.DUMMYFUNCTION("""COMPUTED_VALUE"""),"ANDREA CAMPINA DOS SANTOS 18132550838")</f>
        <v>ANDREA CAMPINA DOS SANTOS 18132550838</v>
      </c>
      <c r="L8168" s="32">
        <f>IFERROR(__xludf.DUMMYFUNCTION("""COMPUTED_VALUE"""),1.0)</f>
        <v>1</v>
      </c>
      <c r="M8168" s="4" t="str">
        <f>IFERROR(__xludf.DUMMYFUNCTION("""COMPUTED_VALUE"""),"null")</f>
        <v>null</v>
      </c>
      <c r="N8168" s="33">
        <f>IFERROR(__xludf.DUMMYFUNCTION("""COMPUTED_VALUE"""),1.0)</f>
        <v>1</v>
      </c>
      <c r="O8168" s="4" t="str">
        <f>IFERROR(__xludf.DUMMYFUNCTION("""COMPUTED_VALUE"""),"null")</f>
        <v>null</v>
      </c>
      <c r="P8168" s="33">
        <f>IFERROR(__xludf.DUMMYFUNCTION("""COMPUTED_VALUE"""),1.0)</f>
        <v>1</v>
      </c>
      <c r="Q8168" s="4" t="str">
        <f>IFERROR(__xludf.DUMMYFUNCTION("""COMPUTED_VALUE"""),"null")</f>
        <v>null</v>
      </c>
      <c r="R8168" s="33">
        <f>IFERROR(__xludf.DUMMYFUNCTION("""COMPUTED_VALUE"""),1.0)</f>
        <v>1</v>
      </c>
      <c r="S8168" s="4" t="str">
        <f>IFERROR(__xludf.DUMMYFUNCTION("""COMPUTED_VALUE"""),"Instadelivery")</f>
        <v>Instadelivery</v>
      </c>
      <c r="T8168" s="33">
        <f>IFERROR(__xludf.DUMMYFUNCTION("""COMPUTED_VALUE"""),1.0)</f>
        <v>1</v>
      </c>
      <c r="U8168" s="4" t="str">
        <f>IFERROR(__xludf.DUMMYFUNCTION("""COMPUTED_VALUE"""),"null")</f>
        <v>null</v>
      </c>
      <c r="V8168" s="33">
        <f>IFERROR(__xludf.DUMMYFUNCTION("""COMPUTED_VALUE"""),1.0)</f>
        <v>1</v>
      </c>
      <c r="W8168" s="4" t="str">
        <f>IFERROR(__xludf.DUMMYFUNCTION("""COMPUTED_VALUE"""),"null")</f>
        <v>null</v>
      </c>
      <c r="X8168" s="33">
        <f>IFERROR(__xludf.DUMMYFUNCTION("""COMPUTED_VALUE"""),1.0)</f>
        <v>1</v>
      </c>
    </row>
    <row r="8169">
      <c r="K8169" s="4" t="str">
        <f>IFERROR(__xludf.DUMMYFUNCTION("""COMPUTED_VALUE"""),"NOSTRO COFFEE - CAFE, TAPIOCAS E ACAI")</f>
        <v>NOSTRO COFFEE - CAFE, TAPIOCAS E ACAI</v>
      </c>
      <c r="L8169" s="32">
        <f>IFERROR(__xludf.DUMMYFUNCTION("""COMPUTED_VALUE"""),1.0)</f>
        <v>1</v>
      </c>
      <c r="M8169" s="4" t="str">
        <f>IFERROR(__xludf.DUMMYFUNCTION("""COMPUTED_VALUE"""),"Olaclick")</f>
        <v>Olaclick</v>
      </c>
      <c r="N8169" s="33">
        <f>IFERROR(__xludf.DUMMYFUNCTION("""COMPUTED_VALUE"""),1.0)</f>
        <v>1</v>
      </c>
      <c r="O8169" s="4" t="str">
        <f>IFERROR(__xludf.DUMMYFUNCTION("""COMPUTED_VALUE"""),"Olaclick")</f>
        <v>Olaclick</v>
      </c>
      <c r="P8169" s="33">
        <f>IFERROR(__xludf.DUMMYFUNCTION("""COMPUTED_VALUE"""),1.0)</f>
        <v>1</v>
      </c>
      <c r="Q8169" s="4" t="str">
        <f>IFERROR(__xludf.DUMMYFUNCTION("""COMPUTED_VALUE"""),"Olaclick")</f>
        <v>Olaclick</v>
      </c>
      <c r="R8169" s="33">
        <f>IFERROR(__xludf.DUMMYFUNCTION("""COMPUTED_VALUE"""),1.0)</f>
        <v>1</v>
      </c>
      <c r="S8169" s="4" t="str">
        <f>IFERROR(__xludf.DUMMYFUNCTION("""COMPUTED_VALUE"""),"Olaclick")</f>
        <v>Olaclick</v>
      </c>
      <c r="T8169" s="33">
        <f>IFERROR(__xludf.DUMMYFUNCTION("""COMPUTED_VALUE"""),1.0)</f>
        <v>1</v>
      </c>
      <c r="U8169" s="4" t="str">
        <f>IFERROR(__xludf.DUMMYFUNCTION("""COMPUTED_VALUE"""),"Olaclick")</f>
        <v>Olaclick</v>
      </c>
      <c r="V8169" s="33">
        <f>IFERROR(__xludf.DUMMYFUNCTION("""COMPUTED_VALUE"""),1.0)</f>
        <v>1</v>
      </c>
      <c r="W8169" s="4" t="str">
        <f>IFERROR(__xludf.DUMMYFUNCTION("""COMPUTED_VALUE"""),"Olaclick")</f>
        <v>Olaclick</v>
      </c>
      <c r="X8169" s="33">
        <f>IFERROR(__xludf.DUMMYFUNCTION("""COMPUTED_VALUE"""),1.0)</f>
        <v>1</v>
      </c>
    </row>
    <row r="8170">
      <c r="K8170" s="4" t="str">
        <f>IFERROR(__xludf.DUMMYFUNCTION("""COMPUTED_VALUE"""),"RESTAURANTE CONTI")</f>
        <v>RESTAURANTE CONTI</v>
      </c>
      <c r="L8170" s="32">
        <f>IFERROR(__xludf.DUMMYFUNCTION("""COMPUTED_VALUE"""),1.0)</f>
        <v>1</v>
      </c>
      <c r="M8170" s="4" t="str">
        <f>IFERROR(__xludf.DUMMYFUNCTION("""COMPUTED_VALUE"""),"Consumer Soluções Em Tecnologia Ltda")</f>
        <v>Consumer Soluções Em Tecnologia Ltda</v>
      </c>
      <c r="N8170" s="33">
        <f>IFERROR(__xludf.DUMMYFUNCTION("""COMPUTED_VALUE"""),1.0)</f>
        <v>1</v>
      </c>
      <c r="O8170" s="4" t="str">
        <f>IFERROR(__xludf.DUMMYFUNCTION("""COMPUTED_VALUE"""),"null")</f>
        <v>null</v>
      </c>
      <c r="P8170" s="33">
        <f>IFERROR(__xludf.DUMMYFUNCTION("""COMPUTED_VALUE"""),1.0)</f>
        <v>1</v>
      </c>
      <c r="Q8170" s="4" t="str">
        <f>IFERROR(__xludf.DUMMYFUNCTION("""COMPUTED_VALUE"""),"null")</f>
        <v>null</v>
      </c>
      <c r="R8170" s="33">
        <f>IFERROR(__xludf.DUMMYFUNCTION("""COMPUTED_VALUE"""),1.0)</f>
        <v>1</v>
      </c>
      <c r="S8170" s="4" t="str">
        <f>IFERROR(__xludf.DUMMYFUNCTION("""COMPUTED_VALUE"""),"null")</f>
        <v>null</v>
      </c>
      <c r="T8170" s="33">
        <f>IFERROR(__xludf.DUMMYFUNCTION("""COMPUTED_VALUE"""),1.0)</f>
        <v>1</v>
      </c>
      <c r="U8170" s="4" t="str">
        <f>IFERROR(__xludf.DUMMYFUNCTION("""COMPUTED_VALUE"""),"null")</f>
        <v>null</v>
      </c>
      <c r="V8170" s="33">
        <f>IFERROR(__xludf.DUMMYFUNCTION("""COMPUTED_VALUE"""),1.0)</f>
        <v>1</v>
      </c>
      <c r="W8170" s="4" t="str">
        <f>IFERROR(__xludf.DUMMYFUNCTION("""COMPUTED_VALUE"""),"null")</f>
        <v>null</v>
      </c>
      <c r="X8170" s="33">
        <f>IFERROR(__xludf.DUMMYFUNCTION("""COMPUTED_VALUE"""),1.0)</f>
        <v>1</v>
      </c>
    </row>
    <row r="8171">
      <c r="K8171" s="4" t="str">
        <f>IFERROR(__xludf.DUMMYFUNCTION("""COMPUTED_VALUE"""),"GRATINATTO PARMEGIANAS, RISOTOS E MASSAS")</f>
        <v>GRATINATTO PARMEGIANAS, RISOTOS E MASSAS</v>
      </c>
      <c r="L8171" s="32">
        <f>IFERROR(__xludf.DUMMYFUNCTION("""COMPUTED_VALUE"""),1.0)</f>
        <v>1</v>
      </c>
      <c r="M8171" s="4" t="str">
        <f>IFERROR(__xludf.DUMMYFUNCTION("""COMPUTED_VALUE"""),"Eclética Tecnologia")</f>
        <v>Eclética Tecnologia</v>
      </c>
      <c r="N8171" s="33">
        <f>IFERROR(__xludf.DUMMYFUNCTION("""COMPUTED_VALUE"""),1.0)</f>
        <v>1</v>
      </c>
      <c r="O8171" s="4" t="str">
        <f>IFERROR(__xludf.DUMMYFUNCTION("""COMPUTED_VALUE"""),"Eclética Tecnologia")</f>
        <v>Eclética Tecnologia</v>
      </c>
      <c r="P8171" s="33">
        <f>IFERROR(__xludf.DUMMYFUNCTION("""COMPUTED_VALUE"""),1.0)</f>
        <v>1</v>
      </c>
      <c r="Q8171" s="4" t="str">
        <f>IFERROR(__xludf.DUMMYFUNCTION("""COMPUTED_VALUE"""),"Eclética Tecnologia")</f>
        <v>Eclética Tecnologia</v>
      </c>
      <c r="R8171" s="33">
        <f>IFERROR(__xludf.DUMMYFUNCTION("""COMPUTED_VALUE"""),1.0)</f>
        <v>1</v>
      </c>
      <c r="S8171" s="4" t="str">
        <f>IFERROR(__xludf.DUMMYFUNCTION("""COMPUTED_VALUE"""),"Eclética Tecnologia")</f>
        <v>Eclética Tecnologia</v>
      </c>
      <c r="T8171" s="33">
        <f>IFERROR(__xludf.DUMMYFUNCTION("""COMPUTED_VALUE"""),1.0)</f>
        <v>1</v>
      </c>
      <c r="U8171" s="4" t="str">
        <f>IFERROR(__xludf.DUMMYFUNCTION("""COMPUTED_VALUE"""),"Eclética Tecnologia")</f>
        <v>Eclética Tecnologia</v>
      </c>
      <c r="V8171" s="33">
        <f>IFERROR(__xludf.DUMMYFUNCTION("""COMPUTED_VALUE"""),1.0)</f>
        <v>1</v>
      </c>
      <c r="W8171" s="4" t="str">
        <f>IFERROR(__xludf.DUMMYFUNCTION("""COMPUTED_VALUE"""),"Eclética Tecnologia")</f>
        <v>Eclética Tecnologia</v>
      </c>
      <c r="X8171" s="33">
        <f>IFERROR(__xludf.DUMMYFUNCTION("""COMPUTED_VALUE"""),1.0)</f>
        <v>1</v>
      </c>
    </row>
    <row r="8172">
      <c r="K8172" s="4" t="str">
        <f>IFERROR(__xludf.DUMMYFUNCTION("""COMPUTED_VALUE"""),"SAUDAVELMENTE")</f>
        <v>SAUDAVELMENTE</v>
      </c>
      <c r="L8172" s="32">
        <f>IFERROR(__xludf.DUMMYFUNCTION("""COMPUTED_VALUE"""),1.0)</f>
        <v>1</v>
      </c>
      <c r="M8172" s="4" t="str">
        <f>IFERROR(__xludf.DUMMYFUNCTION("""COMPUTED_VALUE"""),"Consumer Soluções Em Tecnologia Ltda")</f>
        <v>Consumer Soluções Em Tecnologia Ltda</v>
      </c>
      <c r="N8172" s="33">
        <f>IFERROR(__xludf.DUMMYFUNCTION("""COMPUTED_VALUE"""),1.0)</f>
        <v>1</v>
      </c>
      <c r="O8172" s="4" t="str">
        <f>IFERROR(__xludf.DUMMYFUNCTION("""COMPUTED_VALUE"""),"null")</f>
        <v>null</v>
      </c>
      <c r="P8172" s="33">
        <f>IFERROR(__xludf.DUMMYFUNCTION("""COMPUTED_VALUE"""),1.0)</f>
        <v>1</v>
      </c>
      <c r="Q8172" s="4" t="str">
        <f>IFERROR(__xludf.DUMMYFUNCTION("""COMPUTED_VALUE"""),"Consumer Soluções Em Tecnologia Ltda")</f>
        <v>Consumer Soluções Em Tecnologia Ltda</v>
      </c>
      <c r="R8172" s="33">
        <f>IFERROR(__xludf.DUMMYFUNCTION("""COMPUTED_VALUE"""),1.0)</f>
        <v>1</v>
      </c>
      <c r="S8172" s="4" t="str">
        <f>IFERROR(__xludf.DUMMYFUNCTION("""COMPUTED_VALUE"""),"null")</f>
        <v>null</v>
      </c>
      <c r="T8172" s="33">
        <f>IFERROR(__xludf.DUMMYFUNCTION("""COMPUTED_VALUE"""),1.0)</f>
        <v>1</v>
      </c>
      <c r="U8172" s="4" t="str">
        <f>IFERROR(__xludf.DUMMYFUNCTION("""COMPUTED_VALUE"""),"null")</f>
        <v>null</v>
      </c>
      <c r="V8172" s="33">
        <f>IFERROR(__xludf.DUMMYFUNCTION("""COMPUTED_VALUE"""),1.0)</f>
        <v>1</v>
      </c>
      <c r="W8172" s="4" t="str">
        <f>IFERROR(__xludf.DUMMYFUNCTION("""COMPUTED_VALUE"""),"Consumer Soluções Em Tecnologia Ltda")</f>
        <v>Consumer Soluções Em Tecnologia Ltda</v>
      </c>
      <c r="X8172" s="33">
        <f>IFERROR(__xludf.DUMMYFUNCTION("""COMPUTED_VALUE"""),1.0)</f>
        <v>1</v>
      </c>
    </row>
    <row r="8173">
      <c r="K8173" s="4" t="str">
        <f>IFERROR(__xludf.DUMMYFUNCTION("""COMPUTED_VALUE"""),"CONFEITARIA BRIGADEIROS DA NINA - ZONA SUL")</f>
        <v>CONFEITARIA BRIGADEIROS DA NINA - ZONA SUL</v>
      </c>
      <c r="L8173" s="32">
        <f>IFERROR(__xludf.DUMMYFUNCTION("""COMPUTED_VALUE"""),1.0)</f>
        <v>1</v>
      </c>
      <c r="M8173" s="4" t="str">
        <f>IFERROR(__xludf.DUMMYFUNCTION("""COMPUTED_VALUE"""),"Go2go")</f>
        <v>Go2go</v>
      </c>
      <c r="N8173" s="33">
        <f>IFERROR(__xludf.DUMMYFUNCTION("""COMPUTED_VALUE"""),1.0)</f>
        <v>1</v>
      </c>
      <c r="O8173" s="4" t="str">
        <f>IFERROR(__xludf.DUMMYFUNCTION("""COMPUTED_VALUE"""),"Go2go")</f>
        <v>Go2go</v>
      </c>
      <c r="P8173" s="33">
        <f>IFERROR(__xludf.DUMMYFUNCTION("""COMPUTED_VALUE"""),1.0)</f>
        <v>1</v>
      </c>
      <c r="Q8173" s="4" t="str">
        <f>IFERROR(__xludf.DUMMYFUNCTION("""COMPUTED_VALUE"""),"Go2go")</f>
        <v>Go2go</v>
      </c>
      <c r="R8173" s="33">
        <f>IFERROR(__xludf.DUMMYFUNCTION("""COMPUTED_VALUE"""),1.0)</f>
        <v>1</v>
      </c>
      <c r="S8173" s="4" t="str">
        <f>IFERROR(__xludf.DUMMYFUNCTION("""COMPUTED_VALUE"""),"Go2go")</f>
        <v>Go2go</v>
      </c>
      <c r="T8173" s="33">
        <f>IFERROR(__xludf.DUMMYFUNCTION("""COMPUTED_VALUE"""),1.0)</f>
        <v>1</v>
      </c>
      <c r="U8173" s="4" t="str">
        <f>IFERROR(__xludf.DUMMYFUNCTION("""COMPUTED_VALUE"""),"Go2go")</f>
        <v>Go2go</v>
      </c>
      <c r="V8173" s="33">
        <f>IFERROR(__xludf.DUMMYFUNCTION("""COMPUTED_VALUE"""),1.0)</f>
        <v>1</v>
      </c>
      <c r="W8173" s="4" t="str">
        <f>IFERROR(__xludf.DUMMYFUNCTION("""COMPUTED_VALUE"""),"Go2go")</f>
        <v>Go2go</v>
      </c>
      <c r="X8173" s="33">
        <f>IFERROR(__xludf.DUMMYFUNCTION("""COMPUTED_VALUE"""),1.0)</f>
        <v>1</v>
      </c>
    </row>
    <row r="8174">
      <c r="K8174" s="4" t="str">
        <f>IFERROR(__xludf.DUMMYFUNCTION("""COMPUTED_VALUE"""),"PIZZARIA DO GORDAO")</f>
        <v>PIZZARIA DO GORDAO</v>
      </c>
      <c r="L8174" s="32">
        <f>IFERROR(__xludf.DUMMYFUNCTION("""COMPUTED_VALUE"""),1.0)</f>
        <v>1</v>
      </c>
      <c r="M8174" s="4" t="str">
        <f>IFERROR(__xludf.DUMMYFUNCTION("""COMPUTED_VALUE"""),"null")</f>
        <v>null</v>
      </c>
      <c r="N8174" s="33">
        <f>IFERROR(__xludf.DUMMYFUNCTION("""COMPUTED_VALUE"""),1.0)</f>
        <v>1</v>
      </c>
      <c r="O8174" s="4" t="str">
        <f>IFERROR(__xludf.DUMMYFUNCTION("""COMPUTED_VALUE"""),"null")</f>
        <v>null</v>
      </c>
      <c r="P8174" s="33">
        <f>IFERROR(__xludf.DUMMYFUNCTION("""COMPUTED_VALUE"""),1.0)</f>
        <v>1</v>
      </c>
      <c r="Q8174" s="4" t="str">
        <f>IFERROR(__xludf.DUMMYFUNCTION("""COMPUTED_VALUE"""),"null")</f>
        <v>null</v>
      </c>
      <c r="R8174" s="33">
        <f>IFERROR(__xludf.DUMMYFUNCTION("""COMPUTED_VALUE"""),1.0)</f>
        <v>1</v>
      </c>
      <c r="S8174" s="4" t="str">
        <f>IFERROR(__xludf.DUMMYFUNCTION("""COMPUTED_VALUE"""),"null")</f>
        <v>null</v>
      </c>
      <c r="T8174" s="33">
        <f>IFERROR(__xludf.DUMMYFUNCTION("""COMPUTED_VALUE"""),1.0)</f>
        <v>1</v>
      </c>
      <c r="U8174" s="4" t="str">
        <f>IFERROR(__xludf.DUMMYFUNCTION("""COMPUTED_VALUE"""),"Saipos Serviços De Software")</f>
        <v>Saipos Serviços De Software</v>
      </c>
      <c r="V8174" s="33">
        <f>IFERROR(__xludf.DUMMYFUNCTION("""COMPUTED_VALUE"""),1.0)</f>
        <v>1</v>
      </c>
      <c r="W8174" s="4" t="str">
        <f>IFERROR(__xludf.DUMMYFUNCTION("""COMPUTED_VALUE"""),"Saipos Serviços De Software")</f>
        <v>Saipos Serviços De Software</v>
      </c>
      <c r="X8174" s="33">
        <f>IFERROR(__xludf.DUMMYFUNCTION("""COMPUTED_VALUE"""),1.0)</f>
        <v>1</v>
      </c>
    </row>
    <row r="8175">
      <c r="K8175" s="4" t="str">
        <f>IFERROR(__xludf.DUMMYFUNCTION("""COMPUTED_VALUE"""),"PADRINHOS SMASH ORIGINAL")</f>
        <v>PADRINHOS SMASH ORIGINAL</v>
      </c>
      <c r="L8175" s="32">
        <f>IFERROR(__xludf.DUMMYFUNCTION("""COMPUTED_VALUE"""),1.0)</f>
        <v>1</v>
      </c>
      <c r="M8175" s="4" t="str">
        <f>IFERROR(__xludf.DUMMYFUNCTION("""COMPUTED_VALUE"""),"null")</f>
        <v>null</v>
      </c>
      <c r="N8175" s="33">
        <f>IFERROR(__xludf.DUMMYFUNCTION("""COMPUTED_VALUE"""),1.0)</f>
        <v>1</v>
      </c>
      <c r="O8175" s="4" t="str">
        <f>IFERROR(__xludf.DUMMYFUNCTION("""COMPUTED_VALUE"""),"null")</f>
        <v>null</v>
      </c>
      <c r="P8175" s="33">
        <f>IFERROR(__xludf.DUMMYFUNCTION("""COMPUTED_VALUE"""),1.0)</f>
        <v>1</v>
      </c>
      <c r="Q8175" s="4" t="str">
        <f>IFERROR(__xludf.DUMMYFUNCTION("""COMPUTED_VALUE"""),"null")</f>
        <v>null</v>
      </c>
      <c r="R8175" s="33">
        <f>IFERROR(__xludf.DUMMYFUNCTION("""COMPUTED_VALUE"""),1.0)</f>
        <v>1</v>
      </c>
      <c r="S8175" s="4" t="str">
        <f>IFERROR(__xludf.DUMMYFUNCTION("""COMPUTED_VALUE"""),"Rs Solutions")</f>
        <v>Rs Solutions</v>
      </c>
      <c r="T8175" s="33">
        <f>IFERROR(__xludf.DUMMYFUNCTION("""COMPUTED_VALUE"""),1.0)</f>
        <v>1</v>
      </c>
      <c r="U8175" s="4" t="str">
        <f>IFERROR(__xludf.DUMMYFUNCTION("""COMPUTED_VALUE"""),"null")</f>
        <v>null</v>
      </c>
      <c r="V8175" s="33">
        <f>IFERROR(__xludf.DUMMYFUNCTION("""COMPUTED_VALUE"""),1.0)</f>
        <v>1</v>
      </c>
      <c r="W8175" s="4" t="str">
        <f>IFERROR(__xludf.DUMMYFUNCTION("""COMPUTED_VALUE"""),"null")</f>
        <v>null</v>
      </c>
      <c r="X8175" s="33">
        <f>IFERROR(__xludf.DUMMYFUNCTION("""COMPUTED_VALUE"""),1.0)</f>
        <v>1</v>
      </c>
    </row>
    <row r="8176">
      <c r="K8176" s="4" t="str">
        <f>IFERROR(__xludf.DUMMYFUNCTION("""COMPUTED_VALUE"""),"POP SI BURGUER - HAMBURGUERIA LANCHES")</f>
        <v>POP SI BURGUER - HAMBURGUERIA LANCHES</v>
      </c>
      <c r="L8176" s="32">
        <f>IFERROR(__xludf.DUMMYFUNCTION("""COMPUTED_VALUE"""),1.0)</f>
        <v>1</v>
      </c>
      <c r="M8176" s="4" t="str">
        <f>IFERROR(__xludf.DUMMYFUNCTION("""COMPUTED_VALUE"""),"null")</f>
        <v>null</v>
      </c>
      <c r="N8176" s="33">
        <f>IFERROR(__xludf.DUMMYFUNCTION("""COMPUTED_VALUE"""),1.0)</f>
        <v>1</v>
      </c>
      <c r="O8176" s="4" t="str">
        <f>IFERROR(__xludf.DUMMYFUNCTION("""COMPUTED_VALUE"""),"null")</f>
        <v>null</v>
      </c>
      <c r="P8176" s="33">
        <f>IFERROR(__xludf.DUMMYFUNCTION("""COMPUTED_VALUE"""),1.0)</f>
        <v>1</v>
      </c>
      <c r="Q8176" s="4" t="str">
        <f>IFERROR(__xludf.DUMMYFUNCTION("""COMPUTED_VALUE"""),"null")</f>
        <v>null</v>
      </c>
      <c r="R8176" s="33">
        <f>IFERROR(__xludf.DUMMYFUNCTION("""COMPUTED_VALUE"""),1.0)</f>
        <v>1</v>
      </c>
      <c r="S8176" s="4" t="str">
        <f>IFERROR(__xludf.DUMMYFUNCTION("""COMPUTED_VALUE"""),"Brendi")</f>
        <v>Brendi</v>
      </c>
      <c r="T8176" s="33">
        <f>IFERROR(__xludf.DUMMYFUNCTION("""COMPUTED_VALUE"""),1.0)</f>
        <v>1</v>
      </c>
      <c r="U8176" s="4" t="str">
        <f>IFERROR(__xludf.DUMMYFUNCTION("""COMPUTED_VALUE"""),"null")</f>
        <v>null</v>
      </c>
      <c r="V8176" s="33">
        <f>IFERROR(__xludf.DUMMYFUNCTION("""COMPUTED_VALUE"""),1.0)</f>
        <v>1</v>
      </c>
      <c r="W8176" s="4" t="str">
        <f>IFERROR(__xludf.DUMMYFUNCTION("""COMPUTED_VALUE"""),"null")</f>
        <v>null</v>
      </c>
      <c r="X8176" s="33">
        <f>IFERROR(__xludf.DUMMYFUNCTION("""COMPUTED_VALUE"""),1.0)</f>
        <v>1</v>
      </c>
    </row>
    <row r="8177">
      <c r="K8177" s="4" t="str">
        <f>IFERROR(__xludf.DUMMYFUNCTION("""COMPUTED_VALUE"""),"DONA EMILIA CAFE BAR")</f>
        <v>DONA EMILIA CAFE BAR</v>
      </c>
      <c r="L8177" s="32">
        <f>IFERROR(__xludf.DUMMYFUNCTION("""COMPUTED_VALUE"""),1.0)</f>
        <v>1</v>
      </c>
      <c r="M8177" s="4" t="str">
        <f>IFERROR(__xludf.DUMMYFUNCTION("""COMPUTED_VALUE"""),"Cloudfy")</f>
        <v>Cloudfy</v>
      </c>
      <c r="N8177" s="33">
        <f>IFERROR(__xludf.DUMMYFUNCTION("""COMPUTED_VALUE"""),1.0)</f>
        <v>1</v>
      </c>
      <c r="O8177" s="4" t="str">
        <f>IFERROR(__xludf.DUMMYFUNCTION("""COMPUTED_VALUE"""),"null")</f>
        <v>null</v>
      </c>
      <c r="P8177" s="33">
        <f>IFERROR(__xludf.DUMMYFUNCTION("""COMPUTED_VALUE"""),1.0)</f>
        <v>1</v>
      </c>
      <c r="Q8177" s="4" t="str">
        <f>IFERROR(__xludf.DUMMYFUNCTION("""COMPUTED_VALUE"""),"null")</f>
        <v>null</v>
      </c>
      <c r="R8177" s="33">
        <f>IFERROR(__xludf.DUMMYFUNCTION("""COMPUTED_VALUE"""),1.0)</f>
        <v>1</v>
      </c>
      <c r="S8177" s="4" t="str">
        <f>IFERROR(__xludf.DUMMYFUNCTION("""COMPUTED_VALUE"""),"null")</f>
        <v>null</v>
      </c>
      <c r="T8177" s="33">
        <f>IFERROR(__xludf.DUMMYFUNCTION("""COMPUTED_VALUE"""),1.0)</f>
        <v>1</v>
      </c>
      <c r="U8177" s="4" t="str">
        <f>IFERROR(__xludf.DUMMYFUNCTION("""COMPUTED_VALUE"""),"null")</f>
        <v>null</v>
      </c>
      <c r="V8177" s="33">
        <f>IFERROR(__xludf.DUMMYFUNCTION("""COMPUTED_VALUE"""),1.0)</f>
        <v>1</v>
      </c>
      <c r="W8177" s="4" t="str">
        <f>IFERROR(__xludf.DUMMYFUNCTION("""COMPUTED_VALUE"""),"null")</f>
        <v>null</v>
      </c>
      <c r="X8177" s="33">
        <f>IFERROR(__xludf.DUMMYFUNCTION("""COMPUTED_VALUE"""),1.0)</f>
        <v>1</v>
      </c>
    </row>
    <row r="8178">
      <c r="K8178" s="4" t="str">
        <f>IFERROR(__xludf.DUMMYFUNCTION("""COMPUTED_VALUE"""),"WL HAMBURGUERIA")</f>
        <v>WL HAMBURGUERIA</v>
      </c>
      <c r="L8178" s="32">
        <f>IFERROR(__xludf.DUMMYFUNCTION("""COMPUTED_VALUE"""),1.0)</f>
        <v>1</v>
      </c>
      <c r="M8178" s="4" t="str">
        <f>IFERROR(__xludf.DUMMYFUNCTION("""COMPUTED_VALUE"""),"Saipos Serviços De Software")</f>
        <v>Saipos Serviços De Software</v>
      </c>
      <c r="N8178" s="33">
        <f>IFERROR(__xludf.DUMMYFUNCTION("""COMPUTED_VALUE"""),1.0)</f>
        <v>1</v>
      </c>
      <c r="O8178" s="4" t="str">
        <f>IFERROR(__xludf.DUMMYFUNCTION("""COMPUTED_VALUE"""),"Saipos Serviços De Software")</f>
        <v>Saipos Serviços De Software</v>
      </c>
      <c r="P8178" s="33">
        <f>IFERROR(__xludf.DUMMYFUNCTION("""COMPUTED_VALUE"""),1.0)</f>
        <v>1</v>
      </c>
      <c r="Q8178" s="4" t="str">
        <f>IFERROR(__xludf.DUMMYFUNCTION("""COMPUTED_VALUE"""),"Saipos Serviços De Software")</f>
        <v>Saipos Serviços De Software</v>
      </c>
      <c r="R8178" s="33">
        <f>IFERROR(__xludf.DUMMYFUNCTION("""COMPUTED_VALUE"""),1.0)</f>
        <v>1</v>
      </c>
      <c r="S8178" s="4" t="str">
        <f>IFERROR(__xludf.DUMMYFUNCTION("""COMPUTED_VALUE"""),"Saipos Serviços De Software")</f>
        <v>Saipos Serviços De Software</v>
      </c>
      <c r="T8178" s="33">
        <f>IFERROR(__xludf.DUMMYFUNCTION("""COMPUTED_VALUE"""),1.0)</f>
        <v>1</v>
      </c>
      <c r="U8178" s="4" t="str">
        <f>IFERROR(__xludf.DUMMYFUNCTION("""COMPUTED_VALUE"""),"Saipos Serviços De Software")</f>
        <v>Saipos Serviços De Software</v>
      </c>
      <c r="V8178" s="33">
        <f>IFERROR(__xludf.DUMMYFUNCTION("""COMPUTED_VALUE"""),1.0)</f>
        <v>1</v>
      </c>
      <c r="W8178" s="4" t="str">
        <f>IFERROR(__xludf.DUMMYFUNCTION("""COMPUTED_VALUE"""),"Saipos Serviços De Software")</f>
        <v>Saipos Serviços De Software</v>
      </c>
      <c r="X8178" s="33">
        <f>IFERROR(__xludf.DUMMYFUNCTION("""COMPUTED_VALUE"""),1.0)</f>
        <v>1</v>
      </c>
    </row>
    <row r="8179">
      <c r="K8179" s="4" t="str">
        <f>IFERROR(__xludf.DUMMYFUNCTION("""COMPUTED_VALUE"""),"HAMBURGUERIA RABELO")</f>
        <v>HAMBURGUERIA RABELO</v>
      </c>
      <c r="L8179" s="32">
        <f>IFERROR(__xludf.DUMMYFUNCTION("""COMPUTED_VALUE"""),1.0)</f>
        <v>1</v>
      </c>
      <c r="M8179" s="4" t="str">
        <f>IFERROR(__xludf.DUMMYFUNCTION("""COMPUTED_VALUE"""),"Anota Ai Solucoes Digitais S/a")</f>
        <v>Anota Ai Solucoes Digitais S/a</v>
      </c>
      <c r="N8179" s="33">
        <f>IFERROR(__xludf.DUMMYFUNCTION("""COMPUTED_VALUE"""),1.0)</f>
        <v>1</v>
      </c>
      <c r="O8179" s="4" t="str">
        <f>IFERROR(__xludf.DUMMYFUNCTION("""COMPUTED_VALUE"""),"Anota Ai Solucoes Digitais S/a")</f>
        <v>Anota Ai Solucoes Digitais S/a</v>
      </c>
      <c r="P8179" s="33">
        <f>IFERROR(__xludf.DUMMYFUNCTION("""COMPUTED_VALUE"""),1.0)</f>
        <v>1</v>
      </c>
      <c r="Q8179" s="4" t="str">
        <f>IFERROR(__xludf.DUMMYFUNCTION("""COMPUTED_VALUE"""),"Anota Ai Solucoes Digitais S/a")</f>
        <v>Anota Ai Solucoes Digitais S/a</v>
      </c>
      <c r="R8179" s="33">
        <f>IFERROR(__xludf.DUMMYFUNCTION("""COMPUTED_VALUE"""),1.0)</f>
        <v>1</v>
      </c>
      <c r="S8179" s="4" t="str">
        <f>IFERROR(__xludf.DUMMYFUNCTION("""COMPUTED_VALUE"""),"Anota Ai Solucoes Digitais S/a")</f>
        <v>Anota Ai Solucoes Digitais S/a</v>
      </c>
      <c r="T8179" s="33">
        <f>IFERROR(__xludf.DUMMYFUNCTION("""COMPUTED_VALUE"""),1.0)</f>
        <v>1</v>
      </c>
      <c r="U8179" s="4" t="str">
        <f>IFERROR(__xludf.DUMMYFUNCTION("""COMPUTED_VALUE"""),"Anota Ai Solucoes Digitais S/a")</f>
        <v>Anota Ai Solucoes Digitais S/a</v>
      </c>
      <c r="V8179" s="33">
        <f>IFERROR(__xludf.DUMMYFUNCTION("""COMPUTED_VALUE"""),1.0)</f>
        <v>1</v>
      </c>
      <c r="W8179" s="4" t="str">
        <f>IFERROR(__xludf.DUMMYFUNCTION("""COMPUTED_VALUE"""),"Anota Ai Solucoes Digitais S/a")</f>
        <v>Anota Ai Solucoes Digitais S/a</v>
      </c>
      <c r="X8179" s="33">
        <f>IFERROR(__xludf.DUMMYFUNCTION("""COMPUTED_VALUE"""),1.0)</f>
        <v>1</v>
      </c>
    </row>
    <row r="8180">
      <c r="K8180" s="4" t="str">
        <f>IFERROR(__xludf.DUMMYFUNCTION("""COMPUTED_VALUE"""),"EMPORIO ANIMAL - CANAL 3")</f>
        <v>EMPORIO ANIMAL - CANAL 3</v>
      </c>
      <c r="L8180" s="32">
        <f>IFERROR(__xludf.DUMMYFUNCTION("""COMPUTED_VALUE"""),1.0)</f>
        <v>1</v>
      </c>
      <c r="M8180" s="4" t="str">
        <f>IFERROR(__xludf.DUMMYFUNCTION("""COMPUTED_VALUE"""),"N/A (Not found)")</f>
        <v>N/A (Not found)</v>
      </c>
      <c r="N8180" s="33">
        <f>IFERROR(__xludf.DUMMYFUNCTION("""COMPUTED_VALUE"""),1.0)</f>
        <v>1</v>
      </c>
      <c r="O8180" s="4" t="str">
        <f>IFERROR(__xludf.DUMMYFUNCTION("""COMPUTED_VALUE"""),"N/A (Not found)")</f>
        <v>N/A (Not found)</v>
      </c>
      <c r="P8180" s="33">
        <f>IFERROR(__xludf.DUMMYFUNCTION("""COMPUTED_VALUE"""),1.0)</f>
        <v>1</v>
      </c>
      <c r="Q8180" s="4" t="str">
        <f>IFERROR(__xludf.DUMMYFUNCTION("""COMPUTED_VALUE"""),"N/A (Not found)")</f>
        <v>N/A (Not found)</v>
      </c>
      <c r="R8180" s="33">
        <f>IFERROR(__xludf.DUMMYFUNCTION("""COMPUTED_VALUE"""),1.0)</f>
        <v>1</v>
      </c>
      <c r="S8180" s="4" t="str">
        <f>IFERROR(__xludf.DUMMYFUNCTION("""COMPUTED_VALUE"""),"N/A (Not found)")</f>
        <v>N/A (Not found)</v>
      </c>
      <c r="T8180" s="33">
        <f>IFERROR(__xludf.DUMMYFUNCTION("""COMPUTED_VALUE"""),1.0)</f>
        <v>1</v>
      </c>
      <c r="U8180" s="4" t="str">
        <f>IFERROR(__xludf.DUMMYFUNCTION("""COMPUTED_VALUE"""),"N/A (Not found)")</f>
        <v>N/A (Not found)</v>
      </c>
      <c r="V8180" s="33">
        <f>IFERROR(__xludf.DUMMYFUNCTION("""COMPUTED_VALUE"""),1.0)</f>
        <v>1</v>
      </c>
      <c r="W8180" s="4" t="str">
        <f>IFERROR(__xludf.DUMMYFUNCTION("""COMPUTED_VALUE"""),"N/A (Not found)")</f>
        <v>N/A (Not found)</v>
      </c>
      <c r="X8180" s="33">
        <f>IFERROR(__xludf.DUMMYFUNCTION("""COMPUTED_VALUE"""),1.0)</f>
        <v>1</v>
      </c>
    </row>
    <row r="8181">
      <c r="K8181" s="4" t="str">
        <f>IFERROR(__xludf.DUMMYFUNCTION("""COMPUTED_VALUE"""),"TRIBUZYS PIZZAS E BURGERS")</f>
        <v>TRIBUZYS PIZZAS E BURGERS</v>
      </c>
      <c r="L8181" s="32">
        <f>IFERROR(__xludf.DUMMYFUNCTION("""COMPUTED_VALUE"""),1.0)</f>
        <v>1</v>
      </c>
      <c r="M8181" s="4" t="str">
        <f>IFERROR(__xludf.DUMMYFUNCTION("""COMPUTED_VALUE"""),"Cardápio Web")</f>
        <v>Cardápio Web</v>
      </c>
      <c r="N8181" s="33">
        <f>IFERROR(__xludf.DUMMYFUNCTION("""COMPUTED_VALUE"""),1.0)</f>
        <v>1</v>
      </c>
      <c r="O8181" s="4" t="str">
        <f>IFERROR(__xludf.DUMMYFUNCTION("""COMPUTED_VALUE"""),"Cardápio Web")</f>
        <v>Cardápio Web</v>
      </c>
      <c r="P8181" s="33">
        <f>IFERROR(__xludf.DUMMYFUNCTION("""COMPUTED_VALUE"""),1.0)</f>
        <v>1</v>
      </c>
      <c r="Q8181" s="4" t="str">
        <f>IFERROR(__xludf.DUMMYFUNCTION("""COMPUTED_VALUE"""),"Cardápio Web")</f>
        <v>Cardápio Web</v>
      </c>
      <c r="R8181" s="33">
        <f>IFERROR(__xludf.DUMMYFUNCTION("""COMPUTED_VALUE"""),1.0)</f>
        <v>1</v>
      </c>
      <c r="S8181" s="4" t="str">
        <f>IFERROR(__xludf.DUMMYFUNCTION("""COMPUTED_VALUE"""),"Cardápio Web")</f>
        <v>Cardápio Web</v>
      </c>
      <c r="T8181" s="33">
        <f>IFERROR(__xludf.DUMMYFUNCTION("""COMPUTED_VALUE"""),1.0)</f>
        <v>1</v>
      </c>
      <c r="U8181" s="4" t="str">
        <f>IFERROR(__xludf.DUMMYFUNCTION("""COMPUTED_VALUE"""),"Cardápio Web")</f>
        <v>Cardápio Web</v>
      </c>
      <c r="V8181" s="33">
        <f>IFERROR(__xludf.DUMMYFUNCTION("""COMPUTED_VALUE"""),1.0)</f>
        <v>1</v>
      </c>
      <c r="W8181" s="4" t="str">
        <f>IFERROR(__xludf.DUMMYFUNCTION("""COMPUTED_VALUE"""),"Cardápio Web")</f>
        <v>Cardápio Web</v>
      </c>
      <c r="X8181" s="33">
        <f>IFERROR(__xludf.DUMMYFUNCTION("""COMPUTED_VALUE"""),1.0)</f>
        <v>1</v>
      </c>
    </row>
    <row r="8182">
      <c r="K8182" s="4" t="str">
        <f>IFERROR(__xludf.DUMMYFUNCTION("""COMPUTED_VALUE"""),"ACAI DO ROXO")</f>
        <v>ACAI DO ROXO</v>
      </c>
      <c r="L8182" s="32">
        <f>IFERROR(__xludf.DUMMYFUNCTION("""COMPUTED_VALUE"""),1.0)</f>
        <v>1</v>
      </c>
      <c r="M8182" s="4" t="str">
        <f>IFERROR(__xludf.DUMMYFUNCTION("""COMPUTED_VALUE"""),"Anota Ai Solucoes Digitais S/a")</f>
        <v>Anota Ai Solucoes Digitais S/a</v>
      </c>
      <c r="N8182" s="33">
        <f>IFERROR(__xludf.DUMMYFUNCTION("""COMPUTED_VALUE"""),1.0)</f>
        <v>1</v>
      </c>
      <c r="O8182" s="4" t="str">
        <f>IFERROR(__xludf.DUMMYFUNCTION("""COMPUTED_VALUE"""),"Anota Ai Solucoes Digitais S/a")</f>
        <v>Anota Ai Solucoes Digitais S/a</v>
      </c>
      <c r="P8182" s="33">
        <f>IFERROR(__xludf.DUMMYFUNCTION("""COMPUTED_VALUE"""),1.0)</f>
        <v>1</v>
      </c>
      <c r="Q8182" s="4" t="str">
        <f>IFERROR(__xludf.DUMMYFUNCTION("""COMPUTED_VALUE"""),"Anota Ai Solucoes Digitais S/a")</f>
        <v>Anota Ai Solucoes Digitais S/a</v>
      </c>
      <c r="R8182" s="33">
        <f>IFERROR(__xludf.DUMMYFUNCTION("""COMPUTED_VALUE"""),1.0)</f>
        <v>1</v>
      </c>
      <c r="S8182" s="4" t="str">
        <f>IFERROR(__xludf.DUMMYFUNCTION("""COMPUTED_VALUE"""),"Anota Ai Solucoes Digitais S/a")</f>
        <v>Anota Ai Solucoes Digitais S/a</v>
      </c>
      <c r="T8182" s="33">
        <f>IFERROR(__xludf.DUMMYFUNCTION("""COMPUTED_VALUE"""),1.0)</f>
        <v>1</v>
      </c>
      <c r="U8182" s="4" t="str">
        <f>IFERROR(__xludf.DUMMYFUNCTION("""COMPUTED_VALUE"""),"Anota Ai Solucoes Digitais S/a")</f>
        <v>Anota Ai Solucoes Digitais S/a</v>
      </c>
      <c r="V8182" s="33">
        <f>IFERROR(__xludf.DUMMYFUNCTION("""COMPUTED_VALUE"""),1.0)</f>
        <v>1</v>
      </c>
      <c r="W8182" s="4" t="str">
        <f>IFERROR(__xludf.DUMMYFUNCTION("""COMPUTED_VALUE"""),"Anota Ai Solucoes Digitais S/a")</f>
        <v>Anota Ai Solucoes Digitais S/a</v>
      </c>
      <c r="X8182" s="33">
        <f>IFERROR(__xludf.DUMMYFUNCTION("""COMPUTED_VALUE"""),1.0)</f>
        <v>1</v>
      </c>
    </row>
    <row r="8183">
      <c r="K8183" s="4" t="str">
        <f>IFERROR(__xludf.DUMMYFUNCTION("""COMPUTED_VALUE"""),"DEGUST RESTAURANTE")</f>
        <v>DEGUST RESTAURANTE</v>
      </c>
      <c r="L8183" s="32">
        <f>IFERROR(__xludf.DUMMYFUNCTION("""COMPUTED_VALUE"""),1.0)</f>
        <v>1</v>
      </c>
      <c r="M8183" s="4" t="str">
        <f>IFERROR(__xludf.DUMMYFUNCTION("""COMPUTED_VALUE"""),"null")</f>
        <v>null</v>
      </c>
      <c r="N8183" s="33">
        <f>IFERROR(__xludf.DUMMYFUNCTION("""COMPUTED_VALUE"""),1.0)</f>
        <v>1</v>
      </c>
      <c r="O8183" s="4" t="str">
        <f>IFERROR(__xludf.DUMMYFUNCTION("""COMPUTED_VALUE"""),"null")</f>
        <v>null</v>
      </c>
      <c r="P8183" s="33">
        <f>IFERROR(__xludf.DUMMYFUNCTION("""COMPUTED_VALUE"""),1.0)</f>
        <v>1</v>
      </c>
      <c r="Q8183" s="4" t="str">
        <f>IFERROR(__xludf.DUMMYFUNCTION("""COMPUTED_VALUE"""),"Consumer Soluções Em Tecnologia Ltda")</f>
        <v>Consumer Soluções Em Tecnologia Ltda</v>
      </c>
      <c r="R8183" s="33">
        <f>IFERROR(__xludf.DUMMYFUNCTION("""COMPUTED_VALUE"""),1.0)</f>
        <v>1</v>
      </c>
      <c r="S8183" s="4" t="str">
        <f>IFERROR(__xludf.DUMMYFUNCTION("""COMPUTED_VALUE"""),"null")</f>
        <v>null</v>
      </c>
      <c r="T8183" s="33">
        <f>IFERROR(__xludf.DUMMYFUNCTION("""COMPUTED_VALUE"""),1.0)</f>
        <v>1</v>
      </c>
      <c r="U8183" s="4" t="str">
        <f>IFERROR(__xludf.DUMMYFUNCTION("""COMPUTED_VALUE"""),"null")</f>
        <v>null</v>
      </c>
      <c r="V8183" s="33">
        <f>IFERROR(__xludf.DUMMYFUNCTION("""COMPUTED_VALUE"""),1.0)</f>
        <v>1</v>
      </c>
      <c r="W8183" s="4" t="str">
        <f>IFERROR(__xludf.DUMMYFUNCTION("""COMPUTED_VALUE"""),"null")</f>
        <v>null</v>
      </c>
      <c r="X8183" s="33">
        <f>IFERROR(__xludf.DUMMYFUNCTION("""COMPUTED_VALUE"""),1.0)</f>
        <v>1</v>
      </c>
    </row>
    <row r="8184">
      <c r="K8184" s="4" t="str">
        <f>IFERROR(__xludf.DUMMYFUNCTION("""COMPUTED_VALUE"""),"DI PAOLO - PIZZARIA E ESFIHARIA PAULISTANA")</f>
        <v>DI PAOLO - PIZZARIA E ESFIHARIA PAULISTANA</v>
      </c>
      <c r="L8184" s="32">
        <f>IFERROR(__xludf.DUMMYFUNCTION("""COMPUTED_VALUE"""),1.0)</f>
        <v>1</v>
      </c>
      <c r="M8184" s="4" t="str">
        <f>IFERROR(__xludf.DUMMYFUNCTION("""COMPUTED_VALUE"""),"Alloy Tecnologia")</f>
        <v>Alloy Tecnologia</v>
      </c>
      <c r="N8184" s="33">
        <f>IFERROR(__xludf.DUMMYFUNCTION("""COMPUTED_VALUE"""),1.0)</f>
        <v>1</v>
      </c>
      <c r="O8184" s="4" t="str">
        <f>IFERROR(__xludf.DUMMYFUNCTION("""COMPUTED_VALUE"""),"Alloy Tecnologia")</f>
        <v>Alloy Tecnologia</v>
      </c>
      <c r="P8184" s="33">
        <f>IFERROR(__xludf.DUMMYFUNCTION("""COMPUTED_VALUE"""),1.0)</f>
        <v>1</v>
      </c>
      <c r="Q8184" s="4" t="str">
        <f>IFERROR(__xludf.DUMMYFUNCTION("""COMPUTED_VALUE"""),"Alloy Tecnologia")</f>
        <v>Alloy Tecnologia</v>
      </c>
      <c r="R8184" s="33">
        <f>IFERROR(__xludf.DUMMYFUNCTION("""COMPUTED_VALUE"""),1.0)</f>
        <v>1</v>
      </c>
      <c r="S8184" s="4" t="str">
        <f>IFERROR(__xludf.DUMMYFUNCTION("""COMPUTED_VALUE"""),"Saipos Serviços De Software")</f>
        <v>Saipos Serviços De Software</v>
      </c>
      <c r="T8184" s="33">
        <f>IFERROR(__xludf.DUMMYFUNCTION("""COMPUTED_VALUE"""),1.0)</f>
        <v>1</v>
      </c>
      <c r="U8184" s="4" t="str">
        <f>IFERROR(__xludf.DUMMYFUNCTION("""COMPUTED_VALUE"""),"Saipos Serviços De Software")</f>
        <v>Saipos Serviços De Software</v>
      </c>
      <c r="V8184" s="33">
        <f>IFERROR(__xludf.DUMMYFUNCTION("""COMPUTED_VALUE"""),1.0)</f>
        <v>1</v>
      </c>
      <c r="W8184" s="4" t="str">
        <f>IFERROR(__xludf.DUMMYFUNCTION("""COMPUTED_VALUE"""),"Saipos Serviços De Software")</f>
        <v>Saipos Serviços De Software</v>
      </c>
      <c r="X8184" s="33">
        <f>IFERROR(__xludf.DUMMYFUNCTION("""COMPUTED_VALUE"""),1.0)</f>
        <v>1</v>
      </c>
    </row>
    <row r="8185">
      <c r="K8185" s="4" t="str">
        <f>IFERROR(__xludf.DUMMYFUNCTION("""COMPUTED_VALUE"""),"MENU CASEIRINHO - COZINHA BRASILEIRA")</f>
        <v>MENU CASEIRINHO - COZINHA BRASILEIRA</v>
      </c>
      <c r="L8185" s="32">
        <f>IFERROR(__xludf.DUMMYFUNCTION("""COMPUTED_VALUE"""),1.0)</f>
        <v>1</v>
      </c>
      <c r="M8185" s="4" t="str">
        <f>IFERROR(__xludf.DUMMYFUNCTION("""COMPUTED_VALUE"""),"Agilizup Solucoes Ltda")</f>
        <v>Agilizup Solucoes Ltda</v>
      </c>
      <c r="N8185" s="33">
        <f>IFERROR(__xludf.DUMMYFUNCTION("""COMPUTED_VALUE"""),1.0)</f>
        <v>1</v>
      </c>
      <c r="O8185" s="4" t="str">
        <f>IFERROR(__xludf.DUMMYFUNCTION("""COMPUTED_VALUE"""),"Agilizup Solucoes Ltda")</f>
        <v>Agilizup Solucoes Ltda</v>
      </c>
      <c r="P8185" s="33">
        <f>IFERROR(__xludf.DUMMYFUNCTION("""COMPUTED_VALUE"""),1.0)</f>
        <v>1</v>
      </c>
      <c r="Q8185" s="4" t="str">
        <f>IFERROR(__xludf.DUMMYFUNCTION("""COMPUTED_VALUE"""),"Agilizup Solucoes Ltda")</f>
        <v>Agilizup Solucoes Ltda</v>
      </c>
      <c r="R8185" s="33">
        <f>IFERROR(__xludf.DUMMYFUNCTION("""COMPUTED_VALUE"""),1.0)</f>
        <v>1</v>
      </c>
      <c r="S8185" s="4" t="str">
        <f>IFERROR(__xludf.DUMMYFUNCTION("""COMPUTED_VALUE"""),"Agilizup Solucoes Ltda")</f>
        <v>Agilizup Solucoes Ltda</v>
      </c>
      <c r="T8185" s="33">
        <f>IFERROR(__xludf.DUMMYFUNCTION("""COMPUTED_VALUE"""),1.0)</f>
        <v>1</v>
      </c>
      <c r="U8185" s="4" t="str">
        <f>IFERROR(__xludf.DUMMYFUNCTION("""COMPUTED_VALUE"""),"Agilizup Solucoes Ltda")</f>
        <v>Agilizup Solucoes Ltda</v>
      </c>
      <c r="V8185" s="33">
        <f>IFERROR(__xludf.DUMMYFUNCTION("""COMPUTED_VALUE"""),1.0)</f>
        <v>1</v>
      </c>
      <c r="W8185" s="4" t="str">
        <f>IFERROR(__xludf.DUMMYFUNCTION("""COMPUTED_VALUE"""),"Agilizup Solucoes Ltda")</f>
        <v>Agilizup Solucoes Ltda</v>
      </c>
      <c r="X8185" s="33">
        <f>IFERROR(__xludf.DUMMYFUNCTION("""COMPUTED_VALUE"""),1.0)</f>
        <v>1</v>
      </c>
    </row>
    <row r="8186">
      <c r="K8186" s="4" t="str">
        <f>IFERROR(__xludf.DUMMYFUNCTION("""COMPUTED_VALUE"""),"TOUCAN SORVETES ACAI MILK TAPIOCA SALGADOS")</f>
        <v>TOUCAN SORVETES ACAI MILK TAPIOCA SALGADOS</v>
      </c>
      <c r="L8186" s="32">
        <f>IFERROR(__xludf.DUMMYFUNCTION("""COMPUTED_VALUE"""),1.0)</f>
        <v>1</v>
      </c>
      <c r="M8186" s="4" t="str">
        <f>IFERROR(__xludf.DUMMYFUNCTION("""COMPUTED_VALUE"""),"Saipos Serviços De Software")</f>
        <v>Saipos Serviços De Software</v>
      </c>
      <c r="N8186" s="33">
        <f>IFERROR(__xludf.DUMMYFUNCTION("""COMPUTED_VALUE"""),1.0)</f>
        <v>1</v>
      </c>
      <c r="O8186" s="4" t="str">
        <f>IFERROR(__xludf.DUMMYFUNCTION("""COMPUTED_VALUE"""),"Saipos Serviços De Software")</f>
        <v>Saipos Serviços De Software</v>
      </c>
      <c r="P8186" s="33">
        <f>IFERROR(__xludf.DUMMYFUNCTION("""COMPUTED_VALUE"""),1.0)</f>
        <v>1</v>
      </c>
      <c r="Q8186" s="4" t="str">
        <f>IFERROR(__xludf.DUMMYFUNCTION("""COMPUTED_VALUE"""),"Cardápio Web")</f>
        <v>Cardápio Web</v>
      </c>
      <c r="R8186" s="33">
        <f>IFERROR(__xludf.DUMMYFUNCTION("""COMPUTED_VALUE"""),1.0)</f>
        <v>1</v>
      </c>
      <c r="S8186" s="4" t="str">
        <f>IFERROR(__xludf.DUMMYFUNCTION("""COMPUTED_VALUE"""),"Cardápio Web")</f>
        <v>Cardápio Web</v>
      </c>
      <c r="T8186" s="33">
        <f>IFERROR(__xludf.DUMMYFUNCTION("""COMPUTED_VALUE"""),1.0)</f>
        <v>1</v>
      </c>
      <c r="U8186" s="4" t="str">
        <f>IFERROR(__xludf.DUMMYFUNCTION("""COMPUTED_VALUE"""),"Brendi")</f>
        <v>Brendi</v>
      </c>
      <c r="V8186" s="33">
        <f>IFERROR(__xludf.DUMMYFUNCTION("""COMPUTED_VALUE"""),1.0)</f>
        <v>1</v>
      </c>
      <c r="W8186" s="4" t="str">
        <f>IFERROR(__xludf.DUMMYFUNCTION("""COMPUTED_VALUE"""),"N/A (Not found)")</f>
        <v>N/A (Not found)</v>
      </c>
      <c r="X8186" s="33">
        <f>IFERROR(__xludf.DUMMYFUNCTION("""COMPUTED_VALUE"""),1.0)</f>
        <v>1</v>
      </c>
    </row>
    <row r="8187">
      <c r="K8187" s="4" t="str">
        <f>IFERROR(__xludf.DUMMYFUNCTION("""COMPUTED_VALUE"""),"BATATARIASQ")</f>
        <v>BATATARIASQ</v>
      </c>
      <c r="L8187" s="32">
        <f>IFERROR(__xludf.DUMMYFUNCTION("""COMPUTED_VALUE"""),1.0)</f>
        <v>1</v>
      </c>
      <c r="M8187" s="4" t="str">
        <f>IFERROR(__xludf.DUMMYFUNCTION("""COMPUTED_VALUE"""),"Brendi")</f>
        <v>Brendi</v>
      </c>
      <c r="N8187" s="33">
        <f>IFERROR(__xludf.DUMMYFUNCTION("""COMPUTED_VALUE"""),1.0)</f>
        <v>1</v>
      </c>
      <c r="O8187" s="4" t="str">
        <f>IFERROR(__xludf.DUMMYFUNCTION("""COMPUTED_VALUE"""),"Brendi")</f>
        <v>Brendi</v>
      </c>
      <c r="P8187" s="33">
        <f>IFERROR(__xludf.DUMMYFUNCTION("""COMPUTED_VALUE"""),1.0)</f>
        <v>1</v>
      </c>
      <c r="Q8187" s="4" t="str">
        <f>IFERROR(__xludf.DUMMYFUNCTION("""COMPUTED_VALUE"""),"null")</f>
        <v>null</v>
      </c>
      <c r="R8187" s="33">
        <f>IFERROR(__xludf.DUMMYFUNCTION("""COMPUTED_VALUE"""),1.0)</f>
        <v>1</v>
      </c>
      <c r="S8187" s="4" t="str">
        <f>IFERROR(__xludf.DUMMYFUNCTION("""COMPUTED_VALUE"""),"null")</f>
        <v>null</v>
      </c>
      <c r="T8187" s="33">
        <f>IFERROR(__xludf.DUMMYFUNCTION("""COMPUTED_VALUE"""),1.0)</f>
        <v>1</v>
      </c>
      <c r="U8187" s="4" t="str">
        <f>IFERROR(__xludf.DUMMYFUNCTION("""COMPUTED_VALUE"""),"Brendi")</f>
        <v>Brendi</v>
      </c>
      <c r="V8187" s="33">
        <f>IFERROR(__xludf.DUMMYFUNCTION("""COMPUTED_VALUE"""),1.0)</f>
        <v>1</v>
      </c>
      <c r="W8187" s="4" t="str">
        <f>IFERROR(__xludf.DUMMYFUNCTION("""COMPUTED_VALUE"""),"null")</f>
        <v>null</v>
      </c>
      <c r="X8187" s="33">
        <f>IFERROR(__xludf.DUMMYFUNCTION("""COMPUTED_VALUE"""),1.0)</f>
        <v>1</v>
      </c>
    </row>
    <row r="8188">
      <c r="K8188" s="4" t="str">
        <f>IFERROR(__xludf.DUMMYFUNCTION("""COMPUTED_VALUE"""),"SHAKE IT ALL - MILKSHAKE GOURMET")</f>
        <v>SHAKE IT ALL - MILKSHAKE GOURMET</v>
      </c>
      <c r="L8188" s="32">
        <f>IFERROR(__xludf.DUMMYFUNCTION("""COMPUTED_VALUE"""),1.0)</f>
        <v>1</v>
      </c>
      <c r="M8188" s="4" t="str">
        <f>IFERROR(__xludf.DUMMYFUNCTION("""COMPUTED_VALUE"""),"Consumer Soluções Em Tecnologia Ltda")</f>
        <v>Consumer Soluções Em Tecnologia Ltda</v>
      </c>
      <c r="N8188" s="33">
        <f>IFERROR(__xludf.DUMMYFUNCTION("""COMPUTED_VALUE"""),1.0)</f>
        <v>1</v>
      </c>
      <c r="O8188" s="4" t="str">
        <f>IFERROR(__xludf.DUMMYFUNCTION("""COMPUTED_VALUE"""),"Consumer Soluções Em Tecnologia Ltda")</f>
        <v>Consumer Soluções Em Tecnologia Ltda</v>
      </c>
      <c r="P8188" s="33">
        <f>IFERROR(__xludf.DUMMYFUNCTION("""COMPUTED_VALUE"""),1.0)</f>
        <v>1</v>
      </c>
      <c r="Q8188" s="4" t="str">
        <f>IFERROR(__xludf.DUMMYFUNCTION("""COMPUTED_VALUE"""),"Consumer Soluções Em Tecnologia Ltda")</f>
        <v>Consumer Soluções Em Tecnologia Ltda</v>
      </c>
      <c r="R8188" s="33">
        <f>IFERROR(__xludf.DUMMYFUNCTION("""COMPUTED_VALUE"""),1.0)</f>
        <v>1</v>
      </c>
      <c r="S8188" s="4" t="str">
        <f>IFERROR(__xludf.DUMMYFUNCTION("""COMPUTED_VALUE"""),"Consumer Soluções Em Tecnologia Ltda")</f>
        <v>Consumer Soluções Em Tecnologia Ltda</v>
      </c>
      <c r="T8188" s="33">
        <f>IFERROR(__xludf.DUMMYFUNCTION("""COMPUTED_VALUE"""),1.0)</f>
        <v>1</v>
      </c>
      <c r="U8188" s="4" t="str">
        <f>IFERROR(__xludf.DUMMYFUNCTION("""COMPUTED_VALUE"""),"Consumer Soluções Em Tecnologia Ltda")</f>
        <v>Consumer Soluções Em Tecnologia Ltda</v>
      </c>
      <c r="V8188" s="33">
        <f>IFERROR(__xludf.DUMMYFUNCTION("""COMPUTED_VALUE"""),1.0)</f>
        <v>1</v>
      </c>
      <c r="W8188" s="4" t="str">
        <f>IFERROR(__xludf.DUMMYFUNCTION("""COMPUTED_VALUE"""),"Consumer Soluções Em Tecnologia Ltda")</f>
        <v>Consumer Soluções Em Tecnologia Ltda</v>
      </c>
      <c r="X8188" s="33">
        <f>IFERROR(__xludf.DUMMYFUNCTION("""COMPUTED_VALUE"""),1.0)</f>
        <v>1</v>
      </c>
    </row>
    <row r="8189">
      <c r="K8189" s="4" t="str">
        <f>IFERROR(__xludf.DUMMYFUNCTION("""COMPUTED_VALUE"""),"KENKO")</f>
        <v>KENKO</v>
      </c>
      <c r="L8189" s="32">
        <f>IFERROR(__xludf.DUMMYFUNCTION("""COMPUTED_VALUE"""),1.0)</f>
        <v>1</v>
      </c>
      <c r="M8189" s="4" t="str">
        <f>IFERROR(__xludf.DUMMYFUNCTION("""COMPUTED_VALUE"""),"Consumer Soluções Em Tecnologia Ltda")</f>
        <v>Consumer Soluções Em Tecnologia Ltda</v>
      </c>
      <c r="N8189" s="33">
        <f>IFERROR(__xludf.DUMMYFUNCTION("""COMPUTED_VALUE"""),1.0)</f>
        <v>1</v>
      </c>
      <c r="O8189" s="4" t="str">
        <f>IFERROR(__xludf.DUMMYFUNCTION("""COMPUTED_VALUE"""),"Consumer Soluções Em Tecnologia Ltda")</f>
        <v>Consumer Soluções Em Tecnologia Ltda</v>
      </c>
      <c r="P8189" s="33">
        <f>IFERROR(__xludf.DUMMYFUNCTION("""COMPUTED_VALUE"""),1.0)</f>
        <v>1</v>
      </c>
      <c r="Q8189" s="4" t="str">
        <f>IFERROR(__xludf.DUMMYFUNCTION("""COMPUTED_VALUE"""),"null")</f>
        <v>null</v>
      </c>
      <c r="R8189" s="33">
        <f>IFERROR(__xludf.DUMMYFUNCTION("""COMPUTED_VALUE"""),1.0)</f>
        <v>1</v>
      </c>
      <c r="S8189" s="4" t="str">
        <f>IFERROR(__xludf.DUMMYFUNCTION("""COMPUTED_VALUE"""),"null")</f>
        <v>null</v>
      </c>
      <c r="T8189" s="33">
        <f>IFERROR(__xludf.DUMMYFUNCTION("""COMPUTED_VALUE"""),1.0)</f>
        <v>1</v>
      </c>
      <c r="U8189" s="4" t="str">
        <f>IFERROR(__xludf.DUMMYFUNCTION("""COMPUTED_VALUE"""),"Consumer Soluções Em Tecnologia Ltda")</f>
        <v>Consumer Soluções Em Tecnologia Ltda</v>
      </c>
      <c r="V8189" s="33">
        <f>IFERROR(__xludf.DUMMYFUNCTION("""COMPUTED_VALUE"""),1.0)</f>
        <v>1</v>
      </c>
      <c r="W8189" s="4" t="str">
        <f>IFERROR(__xludf.DUMMYFUNCTION("""COMPUTED_VALUE"""),"null")</f>
        <v>null</v>
      </c>
      <c r="X8189" s="33">
        <f>IFERROR(__xludf.DUMMYFUNCTION("""COMPUTED_VALUE"""),1.0)</f>
        <v>1</v>
      </c>
    </row>
    <row r="8190">
      <c r="K8190" s="4" t="str">
        <f>IFERROR(__xludf.DUMMYFUNCTION("""COMPUTED_VALUE"""),"JUBILO PIZZARIA")</f>
        <v>JUBILO PIZZARIA</v>
      </c>
      <c r="L8190" s="32">
        <f>IFERROR(__xludf.DUMMYFUNCTION("""COMPUTED_VALUE"""),1.0)</f>
        <v>1</v>
      </c>
      <c r="M8190" s="4" t="str">
        <f>IFERROR(__xludf.DUMMYFUNCTION("""COMPUTED_VALUE"""),"Grk Soluções Informatica Eireli")</f>
        <v>Grk Soluções Informatica Eireli</v>
      </c>
      <c r="N8190" s="33">
        <f>IFERROR(__xludf.DUMMYFUNCTION("""COMPUTED_VALUE"""),1.0)</f>
        <v>1</v>
      </c>
      <c r="O8190" s="4" t="str">
        <f>IFERROR(__xludf.DUMMYFUNCTION("""COMPUTED_VALUE"""),"Grk Soluções Informatica Eireli")</f>
        <v>Grk Soluções Informatica Eireli</v>
      </c>
      <c r="P8190" s="33">
        <f>IFERROR(__xludf.DUMMYFUNCTION("""COMPUTED_VALUE"""),1.0)</f>
        <v>1</v>
      </c>
      <c r="Q8190" s="4" t="str">
        <f>IFERROR(__xludf.DUMMYFUNCTION("""COMPUTED_VALUE"""),"Grk Soluções Informatica Eireli")</f>
        <v>Grk Soluções Informatica Eireli</v>
      </c>
      <c r="R8190" s="33">
        <f>IFERROR(__xludf.DUMMYFUNCTION("""COMPUTED_VALUE"""),1.0)</f>
        <v>1</v>
      </c>
      <c r="S8190" s="4" t="str">
        <f>IFERROR(__xludf.DUMMYFUNCTION("""COMPUTED_VALUE"""),"Grk Soluções Informatica Eireli")</f>
        <v>Grk Soluções Informatica Eireli</v>
      </c>
      <c r="T8190" s="33">
        <f>IFERROR(__xludf.DUMMYFUNCTION("""COMPUTED_VALUE"""),1.0)</f>
        <v>1</v>
      </c>
      <c r="U8190" s="4" t="str">
        <f>IFERROR(__xludf.DUMMYFUNCTION("""COMPUTED_VALUE"""),"null")</f>
        <v>null</v>
      </c>
      <c r="V8190" s="33">
        <f>IFERROR(__xludf.DUMMYFUNCTION("""COMPUTED_VALUE"""),1.0)</f>
        <v>1</v>
      </c>
      <c r="W8190" s="4" t="str">
        <f>IFERROR(__xludf.DUMMYFUNCTION("""COMPUTED_VALUE"""),"Grk Soluções Informatica Eireli")</f>
        <v>Grk Soluções Informatica Eireli</v>
      </c>
      <c r="X8190" s="33">
        <f>IFERROR(__xludf.DUMMYFUNCTION("""COMPUTED_VALUE"""),1.0)</f>
        <v>1</v>
      </c>
    </row>
    <row r="8191">
      <c r="K8191" s="4" t="str">
        <f>IFERROR(__xludf.DUMMYFUNCTION("""COMPUTED_VALUE"""),"PINGUINNS LANCHES")</f>
        <v>PINGUINNS LANCHES</v>
      </c>
      <c r="L8191" s="32">
        <f>IFERROR(__xludf.DUMMYFUNCTION("""COMPUTED_VALUE"""),1.0)</f>
        <v>1</v>
      </c>
      <c r="M8191" s="4" t="str">
        <f>IFERROR(__xludf.DUMMYFUNCTION("""COMPUTED_VALUE"""),"Anota Ai Solucoes Digitais S/a")</f>
        <v>Anota Ai Solucoes Digitais S/a</v>
      </c>
      <c r="N8191" s="33">
        <f>IFERROR(__xludf.DUMMYFUNCTION("""COMPUTED_VALUE"""),1.0)</f>
        <v>1</v>
      </c>
      <c r="O8191" s="4" t="str">
        <f>IFERROR(__xludf.DUMMYFUNCTION("""COMPUTED_VALUE"""),"Anota Ai Solucoes Digitais S/a")</f>
        <v>Anota Ai Solucoes Digitais S/a</v>
      </c>
      <c r="P8191" s="33">
        <f>IFERROR(__xludf.DUMMYFUNCTION("""COMPUTED_VALUE"""),1.0)</f>
        <v>1</v>
      </c>
      <c r="Q8191" s="4" t="str">
        <f>IFERROR(__xludf.DUMMYFUNCTION("""COMPUTED_VALUE"""),"Anota Ai Solucoes Digitais S/a")</f>
        <v>Anota Ai Solucoes Digitais S/a</v>
      </c>
      <c r="R8191" s="33">
        <f>IFERROR(__xludf.DUMMYFUNCTION("""COMPUTED_VALUE"""),1.0)</f>
        <v>1</v>
      </c>
      <c r="S8191" s="4" t="str">
        <f>IFERROR(__xludf.DUMMYFUNCTION("""COMPUTED_VALUE"""),"Anota Ai Solucoes Digitais S/a")</f>
        <v>Anota Ai Solucoes Digitais S/a</v>
      </c>
      <c r="T8191" s="33">
        <f>IFERROR(__xludf.DUMMYFUNCTION("""COMPUTED_VALUE"""),1.0)</f>
        <v>1</v>
      </c>
      <c r="U8191" s="4" t="str">
        <f>IFERROR(__xludf.DUMMYFUNCTION("""COMPUTED_VALUE"""),"Anota Ai Solucoes Digitais S/a")</f>
        <v>Anota Ai Solucoes Digitais S/a</v>
      </c>
      <c r="V8191" s="33">
        <f>IFERROR(__xludf.DUMMYFUNCTION("""COMPUTED_VALUE"""),1.0)</f>
        <v>1</v>
      </c>
      <c r="W8191" s="4" t="str">
        <f>IFERROR(__xludf.DUMMYFUNCTION("""COMPUTED_VALUE"""),"Anota Ai Solucoes Digitais S/a")</f>
        <v>Anota Ai Solucoes Digitais S/a</v>
      </c>
      <c r="X8191" s="33">
        <f>IFERROR(__xludf.DUMMYFUNCTION("""COMPUTED_VALUE"""),1.0)</f>
        <v>1</v>
      </c>
    </row>
    <row r="8192">
      <c r="K8192" s="4" t="str">
        <f>IFERROR(__xludf.DUMMYFUNCTION("""COMPUTED_VALUE"""),"RESTAURANTE MARITIMO")</f>
        <v>RESTAURANTE MARITIMO</v>
      </c>
      <c r="L8192" s="32">
        <f>IFERROR(__xludf.DUMMYFUNCTION("""COMPUTED_VALUE"""),1.0)</f>
        <v>1</v>
      </c>
      <c r="M8192" s="4" t="str">
        <f>IFERROR(__xludf.DUMMYFUNCTION("""COMPUTED_VALUE"""),"Consumer Soluções Em Tecnologia Ltda")</f>
        <v>Consumer Soluções Em Tecnologia Ltda</v>
      </c>
      <c r="N8192" s="33">
        <f>IFERROR(__xludf.DUMMYFUNCTION("""COMPUTED_VALUE"""),1.0)</f>
        <v>1</v>
      </c>
      <c r="O8192" s="4" t="str">
        <f>IFERROR(__xludf.DUMMYFUNCTION("""COMPUTED_VALUE"""),"Consumer Soluções Em Tecnologia Ltda")</f>
        <v>Consumer Soluções Em Tecnologia Ltda</v>
      </c>
      <c r="P8192" s="33">
        <f>IFERROR(__xludf.DUMMYFUNCTION("""COMPUTED_VALUE"""),1.0)</f>
        <v>1</v>
      </c>
      <c r="Q8192" s="4" t="str">
        <f>IFERROR(__xludf.DUMMYFUNCTION("""COMPUTED_VALUE"""),"Consumer Soluções Em Tecnologia Ltda")</f>
        <v>Consumer Soluções Em Tecnologia Ltda</v>
      </c>
      <c r="R8192" s="33">
        <f>IFERROR(__xludf.DUMMYFUNCTION("""COMPUTED_VALUE"""),1.0)</f>
        <v>1</v>
      </c>
      <c r="S8192" s="4" t="str">
        <f>IFERROR(__xludf.DUMMYFUNCTION("""COMPUTED_VALUE"""),"Consumer Soluções Em Tecnologia Ltda")</f>
        <v>Consumer Soluções Em Tecnologia Ltda</v>
      </c>
      <c r="T8192" s="33">
        <f>IFERROR(__xludf.DUMMYFUNCTION("""COMPUTED_VALUE"""),1.0)</f>
        <v>1</v>
      </c>
      <c r="U8192" s="4" t="str">
        <f>IFERROR(__xludf.DUMMYFUNCTION("""COMPUTED_VALUE"""),"Consumer Soluções Em Tecnologia Ltda")</f>
        <v>Consumer Soluções Em Tecnologia Ltda</v>
      </c>
      <c r="V8192" s="33">
        <f>IFERROR(__xludf.DUMMYFUNCTION("""COMPUTED_VALUE"""),1.0)</f>
        <v>1</v>
      </c>
      <c r="W8192" s="4" t="str">
        <f>IFERROR(__xludf.DUMMYFUNCTION("""COMPUTED_VALUE"""),"null")</f>
        <v>null</v>
      </c>
      <c r="X8192" s="33">
        <f>IFERROR(__xludf.DUMMYFUNCTION("""COMPUTED_VALUE"""),1.0)</f>
        <v>1</v>
      </c>
    </row>
    <row r="8193">
      <c r="K8193" s="4" t="str">
        <f>IFERROR(__xludf.DUMMYFUNCTION("""COMPUTED_VALUE"""),"MR CROC PIZZA ESFIRRAS")</f>
        <v>MR CROC PIZZA ESFIRRAS</v>
      </c>
      <c r="L8193" s="32">
        <f>IFERROR(__xludf.DUMMYFUNCTION("""COMPUTED_VALUE"""),1.0)</f>
        <v>1</v>
      </c>
      <c r="M8193" s="4" t="str">
        <f>IFERROR(__xludf.DUMMYFUNCTION("""COMPUTED_VALUE"""),"Saipos Serviços De Software")</f>
        <v>Saipos Serviços De Software</v>
      </c>
      <c r="N8193" s="33">
        <f>IFERROR(__xludf.DUMMYFUNCTION("""COMPUTED_VALUE"""),1.0)</f>
        <v>1</v>
      </c>
      <c r="O8193" s="4" t="str">
        <f>IFERROR(__xludf.DUMMYFUNCTION("""COMPUTED_VALUE"""),"Saipos Serviços De Software")</f>
        <v>Saipos Serviços De Software</v>
      </c>
      <c r="P8193" s="33">
        <f>IFERROR(__xludf.DUMMYFUNCTION("""COMPUTED_VALUE"""),1.0)</f>
        <v>1</v>
      </c>
      <c r="Q8193" s="4" t="str">
        <f>IFERROR(__xludf.DUMMYFUNCTION("""COMPUTED_VALUE"""),"Saipos Serviços De Software")</f>
        <v>Saipos Serviços De Software</v>
      </c>
      <c r="R8193" s="33">
        <f>IFERROR(__xludf.DUMMYFUNCTION("""COMPUTED_VALUE"""),1.0)</f>
        <v>1</v>
      </c>
      <c r="S8193" s="4" t="str">
        <f>IFERROR(__xludf.DUMMYFUNCTION("""COMPUTED_VALUE"""),"Saipos Serviços De Software")</f>
        <v>Saipos Serviços De Software</v>
      </c>
      <c r="T8193" s="33">
        <f>IFERROR(__xludf.DUMMYFUNCTION("""COMPUTED_VALUE"""),1.0)</f>
        <v>1</v>
      </c>
      <c r="U8193" s="4" t="str">
        <f>IFERROR(__xludf.DUMMYFUNCTION("""COMPUTED_VALUE"""),"Saipos Serviços De Software")</f>
        <v>Saipos Serviços De Software</v>
      </c>
      <c r="V8193" s="33">
        <f>IFERROR(__xludf.DUMMYFUNCTION("""COMPUTED_VALUE"""),1.0)</f>
        <v>1</v>
      </c>
      <c r="W8193" s="4" t="str">
        <f>IFERROR(__xludf.DUMMYFUNCTION("""COMPUTED_VALUE"""),"Saipos Serviços De Software")</f>
        <v>Saipos Serviços De Software</v>
      </c>
      <c r="X8193" s="33">
        <f>IFERROR(__xludf.DUMMYFUNCTION("""COMPUTED_VALUE"""),1.0)</f>
        <v>1</v>
      </c>
    </row>
    <row r="8194">
      <c r="K8194" s="4" t="str">
        <f>IFERROR(__xludf.DUMMYFUNCTION("""COMPUTED_VALUE"""),"GASTRONOMIA BISTRO COZINHA AUTORAL")</f>
        <v>GASTRONOMIA BISTRO COZINHA AUTORAL</v>
      </c>
      <c r="L8194" s="32">
        <f>IFERROR(__xludf.DUMMYFUNCTION("""COMPUTED_VALUE"""),1.0)</f>
        <v>1</v>
      </c>
      <c r="M8194" s="4" t="str">
        <f>IFERROR(__xludf.DUMMYFUNCTION("""COMPUTED_VALUE"""),"Rp Sistemas")</f>
        <v>Rp Sistemas</v>
      </c>
      <c r="N8194" s="33">
        <f>IFERROR(__xludf.DUMMYFUNCTION("""COMPUTED_VALUE"""),1.0)</f>
        <v>1</v>
      </c>
      <c r="O8194" s="4" t="str">
        <f>IFERROR(__xludf.DUMMYFUNCTION("""COMPUTED_VALUE"""),"Rp Sistemas")</f>
        <v>Rp Sistemas</v>
      </c>
      <c r="P8194" s="33">
        <f>IFERROR(__xludf.DUMMYFUNCTION("""COMPUTED_VALUE"""),1.0)</f>
        <v>1</v>
      </c>
      <c r="Q8194" s="4" t="str">
        <f>IFERROR(__xludf.DUMMYFUNCTION("""COMPUTED_VALUE"""),"Rp Sistemas")</f>
        <v>Rp Sistemas</v>
      </c>
      <c r="R8194" s="33">
        <f>IFERROR(__xludf.DUMMYFUNCTION("""COMPUTED_VALUE"""),1.0)</f>
        <v>1</v>
      </c>
      <c r="S8194" s="4" t="str">
        <f>IFERROR(__xludf.DUMMYFUNCTION("""COMPUTED_VALUE"""),"null")</f>
        <v>null</v>
      </c>
      <c r="T8194" s="33">
        <f>IFERROR(__xludf.DUMMYFUNCTION("""COMPUTED_VALUE"""),1.0)</f>
        <v>1</v>
      </c>
      <c r="U8194" s="4" t="str">
        <f>IFERROR(__xludf.DUMMYFUNCTION("""COMPUTED_VALUE"""),"null")</f>
        <v>null</v>
      </c>
      <c r="V8194" s="33">
        <f>IFERROR(__xludf.DUMMYFUNCTION("""COMPUTED_VALUE"""),1.0)</f>
        <v>1</v>
      </c>
      <c r="W8194" s="4" t="str">
        <f>IFERROR(__xludf.DUMMYFUNCTION("""COMPUTED_VALUE"""),"null")</f>
        <v>null</v>
      </c>
      <c r="X8194" s="33">
        <f>IFERROR(__xludf.DUMMYFUNCTION("""COMPUTED_VALUE"""),1.0)</f>
        <v>1</v>
      </c>
    </row>
    <row r="8195">
      <c r="K8195" s="4" t="str">
        <f>IFERROR(__xludf.DUMMYFUNCTION("""COMPUTED_VALUE"""),"STREET FOOD - HAMBURGUERIA E PIZZARIA")</f>
        <v>STREET FOOD - HAMBURGUERIA E PIZZARIA</v>
      </c>
      <c r="L8195" s="32">
        <f>IFERROR(__xludf.DUMMYFUNCTION("""COMPUTED_VALUE"""),1.0)</f>
        <v>1</v>
      </c>
      <c r="M8195" s="4" t="str">
        <f>IFERROR(__xludf.DUMMYFUNCTION("""COMPUTED_VALUE"""),"Saipos Serviços De Software")</f>
        <v>Saipos Serviços De Software</v>
      </c>
      <c r="N8195" s="33">
        <f>IFERROR(__xludf.DUMMYFUNCTION("""COMPUTED_VALUE"""),1.0)</f>
        <v>1</v>
      </c>
      <c r="O8195" s="4" t="str">
        <f>IFERROR(__xludf.DUMMYFUNCTION("""COMPUTED_VALUE"""),"Saipos Serviços De Software")</f>
        <v>Saipos Serviços De Software</v>
      </c>
      <c r="P8195" s="33">
        <f>IFERROR(__xludf.DUMMYFUNCTION("""COMPUTED_VALUE"""),1.0)</f>
        <v>1</v>
      </c>
      <c r="Q8195" s="4" t="str">
        <f>IFERROR(__xludf.DUMMYFUNCTION("""COMPUTED_VALUE"""),"Saipos Serviços De Software")</f>
        <v>Saipos Serviços De Software</v>
      </c>
      <c r="R8195" s="33">
        <f>IFERROR(__xludf.DUMMYFUNCTION("""COMPUTED_VALUE"""),1.0)</f>
        <v>1</v>
      </c>
      <c r="S8195" s="4" t="str">
        <f>IFERROR(__xludf.DUMMYFUNCTION("""COMPUTED_VALUE"""),"Saipos Serviços De Software")</f>
        <v>Saipos Serviços De Software</v>
      </c>
      <c r="T8195" s="33">
        <f>IFERROR(__xludf.DUMMYFUNCTION("""COMPUTED_VALUE"""),1.0)</f>
        <v>1</v>
      </c>
      <c r="U8195" s="4" t="str">
        <f>IFERROR(__xludf.DUMMYFUNCTION("""COMPUTED_VALUE"""),"null")</f>
        <v>null</v>
      </c>
      <c r="V8195" s="33">
        <f>IFERROR(__xludf.DUMMYFUNCTION("""COMPUTED_VALUE"""),1.0)</f>
        <v>1</v>
      </c>
      <c r="W8195" s="4" t="str">
        <f>IFERROR(__xludf.DUMMYFUNCTION("""COMPUTED_VALUE"""),"null")</f>
        <v>null</v>
      </c>
      <c r="X8195" s="33">
        <f>IFERROR(__xludf.DUMMYFUNCTION("""COMPUTED_VALUE"""),1.0)</f>
        <v>1</v>
      </c>
    </row>
    <row r="8196">
      <c r="K8196" s="4" t="str">
        <f>IFERROR(__xludf.DUMMYFUNCTION("""COMPUTED_VALUE"""),"GOURMERIA EXPRESS")</f>
        <v>GOURMERIA EXPRESS</v>
      </c>
      <c r="L8196" s="32">
        <f>IFERROR(__xludf.DUMMYFUNCTION("""COMPUTED_VALUE"""),1.0)</f>
        <v>1</v>
      </c>
      <c r="M8196" s="4" t="str">
        <f>IFERROR(__xludf.DUMMYFUNCTION("""COMPUTED_VALUE"""),"Saipos Serviços De Software")</f>
        <v>Saipos Serviços De Software</v>
      </c>
      <c r="N8196" s="33">
        <f>IFERROR(__xludf.DUMMYFUNCTION("""COMPUTED_VALUE"""),1.0)</f>
        <v>1</v>
      </c>
      <c r="O8196" s="4" t="str">
        <f>IFERROR(__xludf.DUMMYFUNCTION("""COMPUTED_VALUE"""),"Saipos Serviços De Software")</f>
        <v>Saipos Serviços De Software</v>
      </c>
      <c r="P8196" s="33">
        <f>IFERROR(__xludf.DUMMYFUNCTION("""COMPUTED_VALUE"""),1.0)</f>
        <v>1</v>
      </c>
      <c r="Q8196" s="4" t="str">
        <f>IFERROR(__xludf.DUMMYFUNCTION("""COMPUTED_VALUE"""),"Saipos Serviços De Software")</f>
        <v>Saipos Serviços De Software</v>
      </c>
      <c r="R8196" s="33">
        <f>IFERROR(__xludf.DUMMYFUNCTION("""COMPUTED_VALUE"""),1.0)</f>
        <v>1</v>
      </c>
      <c r="S8196" s="4" t="str">
        <f>IFERROR(__xludf.DUMMYFUNCTION("""COMPUTED_VALUE"""),"Saipos Serviços De Software")</f>
        <v>Saipos Serviços De Software</v>
      </c>
      <c r="T8196" s="33">
        <f>IFERROR(__xludf.DUMMYFUNCTION("""COMPUTED_VALUE"""),1.0)</f>
        <v>1</v>
      </c>
      <c r="U8196" s="4" t="str">
        <f>IFERROR(__xludf.DUMMYFUNCTION("""COMPUTED_VALUE"""),"Saipos Serviços De Software")</f>
        <v>Saipos Serviços De Software</v>
      </c>
      <c r="V8196" s="33">
        <f>IFERROR(__xludf.DUMMYFUNCTION("""COMPUTED_VALUE"""),1.0)</f>
        <v>1</v>
      </c>
      <c r="W8196" s="4" t="str">
        <f>IFERROR(__xludf.DUMMYFUNCTION("""COMPUTED_VALUE"""),"Saipos Serviços De Software")</f>
        <v>Saipos Serviços De Software</v>
      </c>
      <c r="X8196" s="33">
        <f>IFERROR(__xludf.DUMMYFUNCTION("""COMPUTED_VALUE"""),1.0)</f>
        <v>1</v>
      </c>
    </row>
    <row r="8197">
      <c r="K8197" s="4" t="str">
        <f>IFERROR(__xludf.DUMMYFUNCTION("""COMPUTED_VALUE"""),"RESTAURANTE SERTANEJO")</f>
        <v>RESTAURANTE SERTANEJO</v>
      </c>
      <c r="L8197" s="32">
        <f>IFERROR(__xludf.DUMMYFUNCTION("""COMPUTED_VALUE"""),1.0)</f>
        <v>1</v>
      </c>
      <c r="M8197" s="4" t="str">
        <f>IFERROR(__xludf.DUMMYFUNCTION("""COMPUTED_VALUE"""),"Totvs Large Enterprise Tecnologia S.a.")</f>
        <v>Totvs Large Enterprise Tecnologia S.a.</v>
      </c>
      <c r="N8197" s="33">
        <f>IFERROR(__xludf.DUMMYFUNCTION("""COMPUTED_VALUE"""),1.0)</f>
        <v>1</v>
      </c>
      <c r="O8197" s="4" t="str">
        <f>IFERROR(__xludf.DUMMYFUNCTION("""COMPUTED_VALUE"""),"Totvs Large Enterprise Tecnologia S.a.")</f>
        <v>Totvs Large Enterprise Tecnologia S.a.</v>
      </c>
      <c r="P8197" s="33">
        <f>IFERROR(__xludf.DUMMYFUNCTION("""COMPUTED_VALUE"""),1.0)</f>
        <v>1</v>
      </c>
      <c r="Q8197" s="4" t="str">
        <f>IFERROR(__xludf.DUMMYFUNCTION("""COMPUTED_VALUE"""),"Totvs Large Enterprise Tecnologia S.a.")</f>
        <v>Totvs Large Enterprise Tecnologia S.a.</v>
      </c>
      <c r="R8197" s="33">
        <f>IFERROR(__xludf.DUMMYFUNCTION("""COMPUTED_VALUE"""),1.0)</f>
        <v>1</v>
      </c>
      <c r="S8197" s="4" t="str">
        <f>IFERROR(__xludf.DUMMYFUNCTION("""COMPUTED_VALUE"""),"Totvs Large Enterprise Tecnologia S.a.")</f>
        <v>Totvs Large Enterprise Tecnologia S.a.</v>
      </c>
      <c r="T8197" s="33">
        <f>IFERROR(__xludf.DUMMYFUNCTION("""COMPUTED_VALUE"""),1.0)</f>
        <v>1</v>
      </c>
      <c r="U8197" s="4" t="str">
        <f>IFERROR(__xludf.DUMMYFUNCTION("""COMPUTED_VALUE"""),"Totvs Large Enterprise Tecnologia S.a.")</f>
        <v>Totvs Large Enterprise Tecnologia S.a.</v>
      </c>
      <c r="V8197" s="33">
        <f>IFERROR(__xludf.DUMMYFUNCTION("""COMPUTED_VALUE"""),1.0)</f>
        <v>1</v>
      </c>
      <c r="W8197" s="4" t="str">
        <f>IFERROR(__xludf.DUMMYFUNCTION("""COMPUTED_VALUE"""),"Totvs Large Enterprise Tecnologia S.a.")</f>
        <v>Totvs Large Enterprise Tecnologia S.a.</v>
      </c>
      <c r="X8197" s="33">
        <f>IFERROR(__xludf.DUMMYFUNCTION("""COMPUTED_VALUE"""),1.0)</f>
        <v>1</v>
      </c>
    </row>
    <row r="8198">
      <c r="K8198" s="4" t="str">
        <f>IFERROR(__xludf.DUMMYFUNCTION("""COMPUTED_VALUE"""),"LANA PIZZA - PIZZARIA TRADICIONAL COM ENTREGA GRATIS E RAPIDA")</f>
        <v>LANA PIZZA - PIZZARIA TRADICIONAL COM ENTREGA GRATIS E RAPIDA</v>
      </c>
      <c r="L8198" s="32">
        <f>IFERROR(__xludf.DUMMYFUNCTION("""COMPUTED_VALUE"""),1.0)</f>
        <v>1</v>
      </c>
      <c r="M8198" s="4">
        <f>IFERROR(__xludf.DUMMYFUNCTION("""COMPUTED_VALUE"""),88.0)</f>
        <v>88</v>
      </c>
      <c r="N8198" s="33">
        <f>IFERROR(__xludf.DUMMYFUNCTION("""COMPUTED_VALUE"""),1.0)</f>
        <v>1</v>
      </c>
      <c r="O8198" s="4" t="str">
        <f>IFERROR(__xludf.DUMMYFUNCTION("""COMPUTED_VALUE"""),"null")</f>
        <v>null</v>
      </c>
      <c r="P8198" s="33">
        <f>IFERROR(__xludf.DUMMYFUNCTION("""COMPUTED_VALUE"""),1.0)</f>
        <v>1</v>
      </c>
      <c r="Q8198" s="4" t="str">
        <f>IFERROR(__xludf.DUMMYFUNCTION("""COMPUTED_VALUE"""),"null")</f>
        <v>null</v>
      </c>
      <c r="R8198" s="33">
        <f>IFERROR(__xludf.DUMMYFUNCTION("""COMPUTED_VALUE"""),1.0)</f>
        <v>1</v>
      </c>
      <c r="S8198" s="4" t="str">
        <f>IFERROR(__xludf.DUMMYFUNCTION("""COMPUTED_VALUE"""),"null")</f>
        <v>null</v>
      </c>
      <c r="T8198" s="33">
        <f>IFERROR(__xludf.DUMMYFUNCTION("""COMPUTED_VALUE"""),1.0)</f>
        <v>1</v>
      </c>
      <c r="U8198" s="4" t="str">
        <f>IFERROR(__xludf.DUMMYFUNCTION("""COMPUTED_VALUE"""),"null")</f>
        <v>null</v>
      </c>
      <c r="V8198" s="33">
        <f>IFERROR(__xludf.DUMMYFUNCTION("""COMPUTED_VALUE"""),1.0)</f>
        <v>1</v>
      </c>
      <c r="W8198" s="4" t="str">
        <f>IFERROR(__xludf.DUMMYFUNCTION("""COMPUTED_VALUE"""),"null")</f>
        <v>null</v>
      </c>
      <c r="X8198" s="33">
        <f>IFERROR(__xludf.DUMMYFUNCTION("""COMPUTED_VALUE"""),1.0)</f>
        <v>1</v>
      </c>
    </row>
    <row r="8199">
      <c r="K8199" s="4" t="str">
        <f>IFERROR(__xludf.DUMMYFUNCTION("""COMPUTED_VALUE"""),"PITOMBAS BURGERN FRIES - HAMBURGUERIA")</f>
        <v>PITOMBAS BURGERN FRIES - HAMBURGUERIA</v>
      </c>
      <c r="L8199" s="32">
        <f>IFERROR(__xludf.DUMMYFUNCTION("""COMPUTED_VALUE"""),1.0)</f>
        <v>1</v>
      </c>
      <c r="M8199" s="4" t="str">
        <f>IFERROR(__xludf.DUMMYFUNCTION("""COMPUTED_VALUE"""),"Linked Gourmet Solucoes Para Restaurantes S.a")</f>
        <v>Linked Gourmet Solucoes Para Restaurantes S.a</v>
      </c>
      <c r="N8199" s="33">
        <f>IFERROR(__xludf.DUMMYFUNCTION("""COMPUTED_VALUE"""),1.0)</f>
        <v>1</v>
      </c>
      <c r="O8199" s="4" t="str">
        <f>IFERROR(__xludf.DUMMYFUNCTION("""COMPUTED_VALUE"""),"Linked Gourmet Solucoes Para Restaurantes S.a")</f>
        <v>Linked Gourmet Solucoes Para Restaurantes S.a</v>
      </c>
      <c r="P8199" s="33">
        <f>IFERROR(__xludf.DUMMYFUNCTION("""COMPUTED_VALUE"""),1.0)</f>
        <v>1</v>
      </c>
      <c r="Q8199" s="4" t="str">
        <f>IFERROR(__xludf.DUMMYFUNCTION("""COMPUTED_VALUE"""),"null")</f>
        <v>null</v>
      </c>
      <c r="R8199" s="33">
        <f>IFERROR(__xludf.DUMMYFUNCTION("""COMPUTED_VALUE"""),1.0)</f>
        <v>1</v>
      </c>
      <c r="S8199" s="4" t="str">
        <f>IFERROR(__xludf.DUMMYFUNCTION("""COMPUTED_VALUE"""),"null")</f>
        <v>null</v>
      </c>
      <c r="T8199" s="33">
        <f>IFERROR(__xludf.DUMMYFUNCTION("""COMPUTED_VALUE"""),1.0)</f>
        <v>1</v>
      </c>
      <c r="U8199" s="4" t="str">
        <f>IFERROR(__xludf.DUMMYFUNCTION("""COMPUTED_VALUE"""),"Linked Gourmet Solucoes Para Restaurantes S.a")</f>
        <v>Linked Gourmet Solucoes Para Restaurantes S.a</v>
      </c>
      <c r="V8199" s="33">
        <f>IFERROR(__xludf.DUMMYFUNCTION("""COMPUTED_VALUE"""),1.0)</f>
        <v>1</v>
      </c>
      <c r="W8199" s="4" t="str">
        <f>IFERROR(__xludf.DUMMYFUNCTION("""COMPUTED_VALUE"""),"null")</f>
        <v>null</v>
      </c>
      <c r="X8199" s="33">
        <f>IFERROR(__xludf.DUMMYFUNCTION("""COMPUTED_VALUE"""),1.0)</f>
        <v>1</v>
      </c>
    </row>
    <row r="8200">
      <c r="K8200" s="4" t="str">
        <f>IFERROR(__xludf.DUMMYFUNCTION("""COMPUTED_VALUE"""),"NONO PIZZAS E CALZONES")</f>
        <v>NONO PIZZAS E CALZONES</v>
      </c>
      <c r="L8200" s="32">
        <f>IFERROR(__xludf.DUMMYFUNCTION("""COMPUTED_VALUE"""),1.0)</f>
        <v>1</v>
      </c>
      <c r="M8200" s="4" t="str">
        <f>IFERROR(__xludf.DUMMYFUNCTION("""COMPUTED_VALUE"""),"Mp Multipedidos")</f>
        <v>Mp Multipedidos</v>
      </c>
      <c r="N8200" s="33">
        <f>IFERROR(__xludf.DUMMYFUNCTION("""COMPUTED_VALUE"""),1.0)</f>
        <v>1</v>
      </c>
      <c r="O8200" s="4" t="str">
        <f>IFERROR(__xludf.DUMMYFUNCTION("""COMPUTED_VALUE"""),"Mp Multipedidos")</f>
        <v>Mp Multipedidos</v>
      </c>
      <c r="P8200" s="33">
        <f>IFERROR(__xludf.DUMMYFUNCTION("""COMPUTED_VALUE"""),1.0)</f>
        <v>1</v>
      </c>
      <c r="Q8200" s="4" t="str">
        <f>IFERROR(__xludf.DUMMYFUNCTION("""COMPUTED_VALUE"""),"Mp Multipedidos")</f>
        <v>Mp Multipedidos</v>
      </c>
      <c r="R8200" s="33">
        <f>IFERROR(__xludf.DUMMYFUNCTION("""COMPUTED_VALUE"""),1.0)</f>
        <v>1</v>
      </c>
      <c r="S8200" s="4" t="str">
        <f>IFERROR(__xludf.DUMMYFUNCTION("""COMPUTED_VALUE"""),"Mp Multipedidos")</f>
        <v>Mp Multipedidos</v>
      </c>
      <c r="T8200" s="33">
        <f>IFERROR(__xludf.DUMMYFUNCTION("""COMPUTED_VALUE"""),1.0)</f>
        <v>1</v>
      </c>
      <c r="U8200" s="4" t="str">
        <f>IFERROR(__xludf.DUMMYFUNCTION("""COMPUTED_VALUE"""),"Mp Multipedidos")</f>
        <v>Mp Multipedidos</v>
      </c>
      <c r="V8200" s="33">
        <f>IFERROR(__xludf.DUMMYFUNCTION("""COMPUTED_VALUE"""),1.0)</f>
        <v>1</v>
      </c>
      <c r="W8200" s="4" t="str">
        <f>IFERROR(__xludf.DUMMYFUNCTION("""COMPUTED_VALUE"""),"Mp Multipedidos")</f>
        <v>Mp Multipedidos</v>
      </c>
      <c r="X8200" s="33">
        <f>IFERROR(__xludf.DUMMYFUNCTION("""COMPUTED_VALUE"""),1.0)</f>
        <v>1</v>
      </c>
    </row>
    <row r="8201">
      <c r="K8201" s="4" t="str">
        <f>IFERROR(__xludf.DUMMYFUNCTION("""COMPUTED_VALUE"""),"ILLY SHOP - CAFE")</f>
        <v>ILLY SHOP - CAFE</v>
      </c>
      <c r="L8201" s="32">
        <f>IFERROR(__xludf.DUMMYFUNCTION("""COMPUTED_VALUE"""),1.0)</f>
        <v>1</v>
      </c>
      <c r="M8201" s="4" t="str">
        <f>IFERROR(__xludf.DUMMYFUNCTION("""COMPUTED_VALUE"""),"null")</f>
        <v>null</v>
      </c>
      <c r="N8201" s="33">
        <f>IFERROR(__xludf.DUMMYFUNCTION("""COMPUTED_VALUE"""),1.0)</f>
        <v>1</v>
      </c>
      <c r="O8201" s="4" t="str">
        <f>IFERROR(__xludf.DUMMYFUNCTION("""COMPUTED_VALUE"""),"null")</f>
        <v>null</v>
      </c>
      <c r="P8201" s="33">
        <f>IFERROR(__xludf.DUMMYFUNCTION("""COMPUTED_VALUE"""),1.0)</f>
        <v>1</v>
      </c>
      <c r="Q8201" s="4" t="str">
        <f>IFERROR(__xludf.DUMMYFUNCTION("""COMPUTED_VALUE"""),"Nox Automação")</f>
        <v>Nox Automação</v>
      </c>
      <c r="R8201" s="33">
        <f>IFERROR(__xludf.DUMMYFUNCTION("""COMPUTED_VALUE"""),1.0)</f>
        <v>1</v>
      </c>
      <c r="S8201" s="4" t="str">
        <f>IFERROR(__xludf.DUMMYFUNCTION("""COMPUTED_VALUE"""),"Nox Automação")</f>
        <v>Nox Automação</v>
      </c>
      <c r="T8201" s="33">
        <f>IFERROR(__xludf.DUMMYFUNCTION("""COMPUTED_VALUE"""),1.0)</f>
        <v>1</v>
      </c>
      <c r="U8201" s="4" t="str">
        <f>IFERROR(__xludf.DUMMYFUNCTION("""COMPUTED_VALUE"""),"Nox Automação")</f>
        <v>Nox Automação</v>
      </c>
      <c r="V8201" s="33">
        <f>IFERROR(__xludf.DUMMYFUNCTION("""COMPUTED_VALUE"""),1.0)</f>
        <v>1</v>
      </c>
      <c r="W8201" s="4" t="str">
        <f>IFERROR(__xludf.DUMMYFUNCTION("""COMPUTED_VALUE"""),"Nox Automação")</f>
        <v>Nox Automação</v>
      </c>
      <c r="X8201" s="33">
        <f>IFERROR(__xludf.DUMMYFUNCTION("""COMPUTED_VALUE"""),1.0)</f>
        <v>1</v>
      </c>
    </row>
    <row r="8202">
      <c r="K8202" s="4" t="str">
        <f>IFERROR(__xludf.DUMMYFUNCTION("""COMPUTED_VALUE"""),"ESPETISCO SANTA LUZIA")</f>
        <v>ESPETISCO SANTA LUZIA</v>
      </c>
      <c r="L8202" s="32">
        <f>IFERROR(__xludf.DUMMYFUNCTION("""COMPUTED_VALUE"""),1.0)</f>
        <v>1</v>
      </c>
      <c r="M8202" s="4" t="str">
        <f>IFERROR(__xludf.DUMMYFUNCTION("""COMPUTED_VALUE"""),"Anota Ai Solucoes Digitais S/a")</f>
        <v>Anota Ai Solucoes Digitais S/a</v>
      </c>
      <c r="N8202" s="33">
        <f>IFERROR(__xludf.DUMMYFUNCTION("""COMPUTED_VALUE"""),1.0)</f>
        <v>1</v>
      </c>
      <c r="O8202" s="4" t="str">
        <f>IFERROR(__xludf.DUMMYFUNCTION("""COMPUTED_VALUE"""),"Anota Ai Solucoes Digitais S/a")</f>
        <v>Anota Ai Solucoes Digitais S/a</v>
      </c>
      <c r="P8202" s="33">
        <f>IFERROR(__xludf.DUMMYFUNCTION("""COMPUTED_VALUE"""),1.0)</f>
        <v>1</v>
      </c>
      <c r="Q8202" s="4" t="str">
        <f>IFERROR(__xludf.DUMMYFUNCTION("""COMPUTED_VALUE"""),"Anota Ai Solucoes Digitais S/a")</f>
        <v>Anota Ai Solucoes Digitais S/a</v>
      </c>
      <c r="R8202" s="33">
        <f>IFERROR(__xludf.DUMMYFUNCTION("""COMPUTED_VALUE"""),1.0)</f>
        <v>1</v>
      </c>
      <c r="S8202" s="4" t="str">
        <f>IFERROR(__xludf.DUMMYFUNCTION("""COMPUTED_VALUE"""),"Anota Ai Solucoes Digitais S/a")</f>
        <v>Anota Ai Solucoes Digitais S/a</v>
      </c>
      <c r="T8202" s="33">
        <f>IFERROR(__xludf.DUMMYFUNCTION("""COMPUTED_VALUE"""),1.0)</f>
        <v>1</v>
      </c>
      <c r="U8202" s="4" t="str">
        <f>IFERROR(__xludf.DUMMYFUNCTION("""COMPUTED_VALUE"""),"Anota Ai Solucoes Digitais S/a")</f>
        <v>Anota Ai Solucoes Digitais S/a</v>
      </c>
      <c r="V8202" s="33">
        <f>IFERROR(__xludf.DUMMYFUNCTION("""COMPUTED_VALUE"""),1.0)</f>
        <v>1</v>
      </c>
      <c r="W8202" s="4" t="str">
        <f>IFERROR(__xludf.DUMMYFUNCTION("""COMPUTED_VALUE"""),"Anota Ai Solucoes Digitais S/a")</f>
        <v>Anota Ai Solucoes Digitais S/a</v>
      </c>
      <c r="X8202" s="33">
        <f>IFERROR(__xludf.DUMMYFUNCTION("""COMPUTED_VALUE"""),1.0)</f>
        <v>1</v>
      </c>
    </row>
    <row r="8203">
      <c r="K8203" s="4" t="str">
        <f>IFERROR(__xludf.DUMMYFUNCTION("""COMPUTED_VALUE"""),"LANCHONETE GENTE BOA SALGADOS E PASTEIS")</f>
        <v>LANCHONETE GENTE BOA SALGADOS E PASTEIS</v>
      </c>
      <c r="L8203" s="32">
        <f>IFERROR(__xludf.DUMMYFUNCTION("""COMPUTED_VALUE"""),1.0)</f>
        <v>1</v>
      </c>
      <c r="M8203" s="4" t="str">
        <f>IFERROR(__xludf.DUMMYFUNCTION("""COMPUTED_VALUE"""),"Sagres Automação Comercial")</f>
        <v>Sagres Automação Comercial</v>
      </c>
      <c r="N8203" s="33">
        <f>IFERROR(__xludf.DUMMYFUNCTION("""COMPUTED_VALUE"""),1.0)</f>
        <v>1</v>
      </c>
      <c r="O8203" s="4" t="str">
        <f>IFERROR(__xludf.DUMMYFUNCTION("""COMPUTED_VALUE"""),"null")</f>
        <v>null</v>
      </c>
      <c r="P8203" s="33">
        <f>IFERROR(__xludf.DUMMYFUNCTION("""COMPUTED_VALUE"""),1.0)</f>
        <v>1</v>
      </c>
      <c r="Q8203" s="4" t="str">
        <f>IFERROR(__xludf.DUMMYFUNCTION("""COMPUTED_VALUE"""),"null")</f>
        <v>null</v>
      </c>
      <c r="R8203" s="33">
        <f>IFERROR(__xludf.DUMMYFUNCTION("""COMPUTED_VALUE"""),1.0)</f>
        <v>1</v>
      </c>
      <c r="S8203" s="4" t="str">
        <f>IFERROR(__xludf.DUMMYFUNCTION("""COMPUTED_VALUE"""),"Sagres Automação Comercial")</f>
        <v>Sagres Automação Comercial</v>
      </c>
      <c r="T8203" s="33">
        <f>IFERROR(__xludf.DUMMYFUNCTION("""COMPUTED_VALUE"""),1.0)</f>
        <v>1</v>
      </c>
      <c r="U8203" s="4" t="str">
        <f>IFERROR(__xludf.DUMMYFUNCTION("""COMPUTED_VALUE"""),"Sagres Automação Comercial")</f>
        <v>Sagres Automação Comercial</v>
      </c>
      <c r="V8203" s="33">
        <f>IFERROR(__xludf.DUMMYFUNCTION("""COMPUTED_VALUE"""),1.0)</f>
        <v>1</v>
      </c>
      <c r="W8203" s="4" t="str">
        <f>IFERROR(__xludf.DUMMYFUNCTION("""COMPUTED_VALUE"""),"Sagres Automação Comercial")</f>
        <v>Sagres Automação Comercial</v>
      </c>
      <c r="X8203" s="33">
        <f>IFERROR(__xludf.DUMMYFUNCTION("""COMPUTED_VALUE"""),1.0)</f>
        <v>1</v>
      </c>
    </row>
    <row r="8204">
      <c r="K8204" s="4" t="str">
        <f>IFERROR(__xludf.DUMMYFUNCTION("""COMPUTED_VALUE"""),"MARANHA PIZZARIA ARTESANAL")</f>
        <v>MARANHA PIZZARIA ARTESANAL</v>
      </c>
      <c r="L8204" s="32">
        <f>IFERROR(__xludf.DUMMYFUNCTION("""COMPUTED_VALUE"""),1.0)</f>
        <v>1</v>
      </c>
      <c r="M8204" s="4" t="str">
        <f>IFERROR(__xludf.DUMMYFUNCTION("""COMPUTED_VALUE"""),"Mp Multipedidos")</f>
        <v>Mp Multipedidos</v>
      </c>
      <c r="N8204" s="33">
        <f>IFERROR(__xludf.DUMMYFUNCTION("""COMPUTED_VALUE"""),1.0)</f>
        <v>1</v>
      </c>
      <c r="O8204" s="4" t="str">
        <f>IFERROR(__xludf.DUMMYFUNCTION("""COMPUTED_VALUE"""),"Mp Multipedidos")</f>
        <v>Mp Multipedidos</v>
      </c>
      <c r="P8204" s="33">
        <f>IFERROR(__xludf.DUMMYFUNCTION("""COMPUTED_VALUE"""),1.0)</f>
        <v>1</v>
      </c>
      <c r="Q8204" s="4" t="str">
        <f>IFERROR(__xludf.DUMMYFUNCTION("""COMPUTED_VALUE"""),"Mp Multipedidos")</f>
        <v>Mp Multipedidos</v>
      </c>
      <c r="R8204" s="33">
        <f>IFERROR(__xludf.DUMMYFUNCTION("""COMPUTED_VALUE"""),1.0)</f>
        <v>1</v>
      </c>
      <c r="S8204" s="4" t="str">
        <f>IFERROR(__xludf.DUMMYFUNCTION("""COMPUTED_VALUE"""),"Mp Multipedidos")</f>
        <v>Mp Multipedidos</v>
      </c>
      <c r="T8204" s="33">
        <f>IFERROR(__xludf.DUMMYFUNCTION("""COMPUTED_VALUE"""),1.0)</f>
        <v>1</v>
      </c>
      <c r="U8204" s="4" t="str">
        <f>IFERROR(__xludf.DUMMYFUNCTION("""COMPUTED_VALUE"""),"Mp Multipedidos")</f>
        <v>Mp Multipedidos</v>
      </c>
      <c r="V8204" s="33">
        <f>IFERROR(__xludf.DUMMYFUNCTION("""COMPUTED_VALUE"""),1.0)</f>
        <v>1</v>
      </c>
      <c r="W8204" s="4" t="str">
        <f>IFERROR(__xludf.DUMMYFUNCTION("""COMPUTED_VALUE"""),"Mp Multipedidos")</f>
        <v>Mp Multipedidos</v>
      </c>
      <c r="X8204" s="33">
        <f>IFERROR(__xludf.DUMMYFUNCTION("""COMPUTED_VALUE"""),1.0)</f>
        <v>1</v>
      </c>
    </row>
    <row r="8205">
      <c r="K8205" s="4" t="str">
        <f>IFERROR(__xludf.DUMMYFUNCTION("""COMPUTED_VALUE"""),"DGUSTE DELIVERY")</f>
        <v>DGUSTE DELIVERY</v>
      </c>
      <c r="L8205" s="32">
        <f>IFERROR(__xludf.DUMMYFUNCTION("""COMPUTED_VALUE"""),1.0)</f>
        <v>1</v>
      </c>
      <c r="M8205" s="4" t="str">
        <f>IFERROR(__xludf.DUMMYFUNCTION("""COMPUTED_VALUE"""),"Anota Ai Solucoes Digitais S/a")</f>
        <v>Anota Ai Solucoes Digitais S/a</v>
      </c>
      <c r="N8205" s="33">
        <f>IFERROR(__xludf.DUMMYFUNCTION("""COMPUTED_VALUE"""),1.0)</f>
        <v>1</v>
      </c>
      <c r="O8205" s="4" t="str">
        <f>IFERROR(__xludf.DUMMYFUNCTION("""COMPUTED_VALUE"""),"Anota Ai Solucoes Digitais S/a")</f>
        <v>Anota Ai Solucoes Digitais S/a</v>
      </c>
      <c r="P8205" s="33">
        <f>IFERROR(__xludf.DUMMYFUNCTION("""COMPUTED_VALUE"""),1.0)</f>
        <v>1</v>
      </c>
      <c r="Q8205" s="4" t="str">
        <f>IFERROR(__xludf.DUMMYFUNCTION("""COMPUTED_VALUE"""),"Anota Ai Solucoes Digitais S/a")</f>
        <v>Anota Ai Solucoes Digitais S/a</v>
      </c>
      <c r="R8205" s="33">
        <f>IFERROR(__xludf.DUMMYFUNCTION("""COMPUTED_VALUE"""),1.0)</f>
        <v>1</v>
      </c>
      <c r="S8205" s="4" t="str">
        <f>IFERROR(__xludf.DUMMYFUNCTION("""COMPUTED_VALUE"""),"Anota Ai Solucoes Digitais S/a")</f>
        <v>Anota Ai Solucoes Digitais S/a</v>
      </c>
      <c r="T8205" s="33">
        <f>IFERROR(__xludf.DUMMYFUNCTION("""COMPUTED_VALUE"""),1.0)</f>
        <v>1</v>
      </c>
      <c r="U8205" s="4" t="str">
        <f>IFERROR(__xludf.DUMMYFUNCTION("""COMPUTED_VALUE"""),"Anota Ai Solucoes Digitais S/a")</f>
        <v>Anota Ai Solucoes Digitais S/a</v>
      </c>
      <c r="V8205" s="33">
        <f>IFERROR(__xludf.DUMMYFUNCTION("""COMPUTED_VALUE"""),1.0)</f>
        <v>1</v>
      </c>
      <c r="W8205" s="4" t="str">
        <f>IFERROR(__xludf.DUMMYFUNCTION("""COMPUTED_VALUE"""),"Anota Ai Solucoes Digitais S/a")</f>
        <v>Anota Ai Solucoes Digitais S/a</v>
      </c>
      <c r="X8205" s="33">
        <f>IFERROR(__xludf.DUMMYFUNCTION("""COMPUTED_VALUE"""),1.0)</f>
        <v>1</v>
      </c>
    </row>
    <row r="8206">
      <c r="K8206" s="4" t="str">
        <f>IFERROR(__xludf.DUMMYFUNCTION("""COMPUTED_VALUE"""),"SALGADOS DO CHEF")</f>
        <v>SALGADOS DO CHEF</v>
      </c>
      <c r="L8206" s="32">
        <f>IFERROR(__xludf.DUMMYFUNCTION("""COMPUTED_VALUE"""),1.0)</f>
        <v>1</v>
      </c>
      <c r="M8206" s="4" t="str">
        <f>IFERROR(__xludf.DUMMYFUNCTION("""COMPUTED_VALUE"""),"Consumer Soluções Em Tecnologia Ltda")</f>
        <v>Consumer Soluções Em Tecnologia Ltda</v>
      </c>
      <c r="N8206" s="33">
        <f>IFERROR(__xludf.DUMMYFUNCTION("""COMPUTED_VALUE"""),1.0)</f>
        <v>1</v>
      </c>
      <c r="O8206" s="4" t="str">
        <f>IFERROR(__xludf.DUMMYFUNCTION("""COMPUTED_VALUE"""),"Consumer Soluções Em Tecnologia Ltda")</f>
        <v>Consumer Soluções Em Tecnologia Ltda</v>
      </c>
      <c r="P8206" s="33">
        <f>IFERROR(__xludf.DUMMYFUNCTION("""COMPUTED_VALUE"""),1.0)</f>
        <v>1</v>
      </c>
      <c r="Q8206" s="4" t="str">
        <f>IFERROR(__xludf.DUMMYFUNCTION("""COMPUTED_VALUE"""),"Consumer Soluções Em Tecnologia Ltda")</f>
        <v>Consumer Soluções Em Tecnologia Ltda</v>
      </c>
      <c r="R8206" s="33">
        <f>IFERROR(__xludf.DUMMYFUNCTION("""COMPUTED_VALUE"""),1.0)</f>
        <v>1</v>
      </c>
      <c r="S8206" s="4" t="str">
        <f>IFERROR(__xludf.DUMMYFUNCTION("""COMPUTED_VALUE"""),"null")</f>
        <v>null</v>
      </c>
      <c r="T8206" s="33">
        <f>IFERROR(__xludf.DUMMYFUNCTION("""COMPUTED_VALUE"""),1.0)</f>
        <v>1</v>
      </c>
      <c r="U8206" s="4" t="str">
        <f>IFERROR(__xludf.DUMMYFUNCTION("""COMPUTED_VALUE"""),"null")</f>
        <v>null</v>
      </c>
      <c r="V8206" s="33">
        <f>IFERROR(__xludf.DUMMYFUNCTION("""COMPUTED_VALUE"""),1.0)</f>
        <v>1</v>
      </c>
      <c r="W8206" s="4" t="str">
        <f>IFERROR(__xludf.DUMMYFUNCTION("""COMPUTED_VALUE"""),"null")</f>
        <v>null</v>
      </c>
      <c r="X8206" s="33">
        <f>IFERROR(__xludf.DUMMYFUNCTION("""COMPUTED_VALUE"""),1.0)</f>
        <v>1</v>
      </c>
    </row>
    <row r="8207">
      <c r="K8207" s="4" t="str">
        <f>IFERROR(__xludf.DUMMYFUNCTION("""COMPUTED_VALUE"""),"DOM QUIXOTE PIZZARIA")</f>
        <v>DOM QUIXOTE PIZZARIA</v>
      </c>
      <c r="L8207" s="32">
        <f>IFERROR(__xludf.DUMMYFUNCTION("""COMPUTED_VALUE"""),1.0)</f>
        <v>1</v>
      </c>
      <c r="M8207" s="4" t="str">
        <f>IFERROR(__xludf.DUMMYFUNCTION("""COMPUTED_VALUE"""),"Noah Sistemas Ltda")</f>
        <v>Noah Sistemas Ltda</v>
      </c>
      <c r="N8207" s="33">
        <f>IFERROR(__xludf.DUMMYFUNCTION("""COMPUTED_VALUE"""),1.0)</f>
        <v>1</v>
      </c>
      <c r="O8207" s="4" t="str">
        <f>IFERROR(__xludf.DUMMYFUNCTION("""COMPUTED_VALUE"""),"Noah Sistemas Ltda")</f>
        <v>Noah Sistemas Ltda</v>
      </c>
      <c r="P8207" s="33">
        <f>IFERROR(__xludf.DUMMYFUNCTION("""COMPUTED_VALUE"""),1.0)</f>
        <v>1</v>
      </c>
      <c r="Q8207" s="4" t="str">
        <f>IFERROR(__xludf.DUMMYFUNCTION("""COMPUTED_VALUE"""),"Noah Sistemas Ltda")</f>
        <v>Noah Sistemas Ltda</v>
      </c>
      <c r="R8207" s="33">
        <f>IFERROR(__xludf.DUMMYFUNCTION("""COMPUTED_VALUE"""),1.0)</f>
        <v>1</v>
      </c>
      <c r="S8207" s="4" t="str">
        <f>IFERROR(__xludf.DUMMYFUNCTION("""COMPUTED_VALUE"""),"Noah Sistemas Ltda")</f>
        <v>Noah Sistemas Ltda</v>
      </c>
      <c r="T8207" s="33">
        <f>IFERROR(__xludf.DUMMYFUNCTION("""COMPUTED_VALUE"""),1.0)</f>
        <v>1</v>
      </c>
      <c r="U8207" s="4" t="str">
        <f>IFERROR(__xludf.DUMMYFUNCTION("""COMPUTED_VALUE"""),"Noah Sistemas Ltda")</f>
        <v>Noah Sistemas Ltda</v>
      </c>
      <c r="V8207" s="33">
        <f>IFERROR(__xludf.DUMMYFUNCTION("""COMPUTED_VALUE"""),1.0)</f>
        <v>1</v>
      </c>
      <c r="W8207" s="4" t="str">
        <f>IFERROR(__xludf.DUMMYFUNCTION("""COMPUTED_VALUE"""),"Consumer Soluções Em Tecnologia Ltda")</f>
        <v>Consumer Soluções Em Tecnologia Ltda</v>
      </c>
      <c r="X8207" s="33">
        <f>IFERROR(__xludf.DUMMYFUNCTION("""COMPUTED_VALUE"""),1.0)</f>
        <v>1</v>
      </c>
    </row>
    <row r="8208">
      <c r="K8208" s="4" t="str">
        <f>IFERROR(__xludf.DUMMYFUNCTION("""COMPUTED_VALUE"""),"SALGADOS DU CHEFE O FAMOSO DA PG")</f>
        <v>SALGADOS DU CHEFE O FAMOSO DA PG</v>
      </c>
      <c r="L8208" s="32">
        <f>IFERROR(__xludf.DUMMYFUNCTION("""COMPUTED_VALUE"""),1.0)</f>
        <v>1</v>
      </c>
      <c r="M8208" s="35" t="str">
        <f>IFERROR(__xludf.DUMMYFUNCTION("""COMPUTED_VALUE"""),"Maisentregas.com")</f>
        <v>Maisentregas.com</v>
      </c>
      <c r="N8208" s="33">
        <f>IFERROR(__xludf.DUMMYFUNCTION("""COMPUTED_VALUE"""),1.0)</f>
        <v>1</v>
      </c>
      <c r="O8208" s="35" t="str">
        <f>IFERROR(__xludf.DUMMYFUNCTION("""COMPUTED_VALUE"""),"Maisentregas.com")</f>
        <v>Maisentregas.com</v>
      </c>
      <c r="P8208" s="33">
        <f>IFERROR(__xludf.DUMMYFUNCTION("""COMPUTED_VALUE"""),1.0)</f>
        <v>1</v>
      </c>
      <c r="Q8208" s="35" t="str">
        <f>IFERROR(__xludf.DUMMYFUNCTION("""COMPUTED_VALUE"""),"Maisentregas.com")</f>
        <v>Maisentregas.com</v>
      </c>
      <c r="R8208" s="33">
        <f>IFERROR(__xludf.DUMMYFUNCTION("""COMPUTED_VALUE"""),1.0)</f>
        <v>1</v>
      </c>
      <c r="S8208" s="35" t="str">
        <f>IFERROR(__xludf.DUMMYFUNCTION("""COMPUTED_VALUE"""),"Maisentregas.com")</f>
        <v>Maisentregas.com</v>
      </c>
      <c r="T8208" s="33">
        <f>IFERROR(__xludf.DUMMYFUNCTION("""COMPUTED_VALUE"""),1.0)</f>
        <v>1</v>
      </c>
      <c r="U8208" s="35" t="str">
        <f>IFERROR(__xludf.DUMMYFUNCTION("""COMPUTED_VALUE"""),"Maisentregas.com")</f>
        <v>Maisentregas.com</v>
      </c>
      <c r="V8208" s="33">
        <f>IFERROR(__xludf.DUMMYFUNCTION("""COMPUTED_VALUE"""),1.0)</f>
        <v>1</v>
      </c>
      <c r="W8208" s="35" t="str">
        <f>IFERROR(__xludf.DUMMYFUNCTION("""COMPUTED_VALUE"""),"Maisentregas.com")</f>
        <v>Maisentregas.com</v>
      </c>
      <c r="X8208" s="33">
        <f>IFERROR(__xludf.DUMMYFUNCTION("""COMPUTED_VALUE"""),1.0)</f>
        <v>1</v>
      </c>
    </row>
    <row r="8209">
      <c r="K8209" s="4" t="str">
        <f>IFERROR(__xludf.DUMMYFUNCTION("""COMPUTED_VALUE"""),"FERRARI DELIVERY")</f>
        <v>FERRARI DELIVERY</v>
      </c>
      <c r="L8209" s="32">
        <f>IFERROR(__xludf.DUMMYFUNCTION("""COMPUTED_VALUE"""),1.0)</f>
        <v>1</v>
      </c>
      <c r="M8209" s="4" t="str">
        <f>IFERROR(__xludf.DUMMYFUNCTION("""COMPUTED_VALUE"""),"Saipos Serviços De Software")</f>
        <v>Saipos Serviços De Software</v>
      </c>
      <c r="N8209" s="33">
        <f>IFERROR(__xludf.DUMMYFUNCTION("""COMPUTED_VALUE"""),1.0)</f>
        <v>1</v>
      </c>
      <c r="O8209" s="4" t="str">
        <f>IFERROR(__xludf.DUMMYFUNCTION("""COMPUTED_VALUE"""),"Saipos Serviços De Software")</f>
        <v>Saipos Serviços De Software</v>
      </c>
      <c r="P8209" s="33">
        <f>IFERROR(__xludf.DUMMYFUNCTION("""COMPUTED_VALUE"""),1.0)</f>
        <v>1</v>
      </c>
      <c r="Q8209" s="4" t="str">
        <f>IFERROR(__xludf.DUMMYFUNCTION("""COMPUTED_VALUE"""),"Saipos Serviços De Software")</f>
        <v>Saipos Serviços De Software</v>
      </c>
      <c r="R8209" s="33">
        <f>IFERROR(__xludf.DUMMYFUNCTION("""COMPUTED_VALUE"""),1.0)</f>
        <v>1</v>
      </c>
      <c r="S8209" s="4" t="str">
        <f>IFERROR(__xludf.DUMMYFUNCTION("""COMPUTED_VALUE"""),"Saipos Serviços De Software")</f>
        <v>Saipos Serviços De Software</v>
      </c>
      <c r="T8209" s="33">
        <f>IFERROR(__xludf.DUMMYFUNCTION("""COMPUTED_VALUE"""),1.0)</f>
        <v>1</v>
      </c>
      <c r="U8209" s="4" t="str">
        <f>IFERROR(__xludf.DUMMYFUNCTION("""COMPUTED_VALUE"""),"Saipos Serviços De Software")</f>
        <v>Saipos Serviços De Software</v>
      </c>
      <c r="V8209" s="33">
        <f>IFERROR(__xludf.DUMMYFUNCTION("""COMPUTED_VALUE"""),1.0)</f>
        <v>1</v>
      </c>
      <c r="W8209" s="4" t="str">
        <f>IFERROR(__xludf.DUMMYFUNCTION("""COMPUTED_VALUE"""),"Saipos Serviços De Software")</f>
        <v>Saipos Serviços De Software</v>
      </c>
      <c r="X8209" s="33">
        <f>IFERROR(__xludf.DUMMYFUNCTION("""COMPUTED_VALUE"""),1.0)</f>
        <v>1</v>
      </c>
    </row>
    <row r="8210">
      <c r="K8210" s="4" t="str">
        <f>IFERROR(__xludf.DUMMYFUNCTION("""COMPUTED_VALUE"""),"PIZZERIA ITALIANA LA BOTTE")</f>
        <v>PIZZERIA ITALIANA LA BOTTE</v>
      </c>
      <c r="L8210" s="32">
        <f>IFERROR(__xludf.DUMMYFUNCTION("""COMPUTED_VALUE"""),1.0)</f>
        <v>1</v>
      </c>
      <c r="M8210" s="4" t="str">
        <f>IFERROR(__xludf.DUMMYFUNCTION("""COMPUTED_VALUE"""),"Bitbar")</f>
        <v>Bitbar</v>
      </c>
      <c r="N8210" s="33">
        <f>IFERROR(__xludf.DUMMYFUNCTION("""COMPUTED_VALUE"""),1.0)</f>
        <v>1</v>
      </c>
      <c r="O8210" s="4" t="str">
        <f>IFERROR(__xludf.DUMMYFUNCTION("""COMPUTED_VALUE"""),"Bitbar")</f>
        <v>Bitbar</v>
      </c>
      <c r="P8210" s="33">
        <f>IFERROR(__xludf.DUMMYFUNCTION("""COMPUTED_VALUE"""),1.0)</f>
        <v>1</v>
      </c>
      <c r="Q8210" s="4" t="str">
        <f>IFERROR(__xludf.DUMMYFUNCTION("""COMPUTED_VALUE"""),"Bitbar")</f>
        <v>Bitbar</v>
      </c>
      <c r="R8210" s="33">
        <f>IFERROR(__xludf.DUMMYFUNCTION("""COMPUTED_VALUE"""),1.0)</f>
        <v>1</v>
      </c>
      <c r="S8210" s="4" t="str">
        <f>IFERROR(__xludf.DUMMYFUNCTION("""COMPUTED_VALUE"""),"Bitbar")</f>
        <v>Bitbar</v>
      </c>
      <c r="T8210" s="33">
        <f>IFERROR(__xludf.DUMMYFUNCTION("""COMPUTED_VALUE"""),1.0)</f>
        <v>1</v>
      </c>
      <c r="U8210" s="4" t="str">
        <f>IFERROR(__xludf.DUMMYFUNCTION("""COMPUTED_VALUE"""),"Bitbar")</f>
        <v>Bitbar</v>
      </c>
      <c r="V8210" s="33">
        <f>IFERROR(__xludf.DUMMYFUNCTION("""COMPUTED_VALUE"""),1.0)</f>
        <v>1</v>
      </c>
      <c r="W8210" s="4" t="str">
        <f>IFERROR(__xludf.DUMMYFUNCTION("""COMPUTED_VALUE"""),"null")</f>
        <v>null</v>
      </c>
      <c r="X8210" s="33">
        <f>IFERROR(__xludf.DUMMYFUNCTION("""COMPUTED_VALUE"""),1.0)</f>
        <v>1</v>
      </c>
    </row>
    <row r="8211">
      <c r="K8211" s="4" t="str">
        <f>IFERROR(__xludf.DUMMYFUNCTION("""COMPUTED_VALUE"""),"CARAME CONFEITARIA - DOCES BOLOS")</f>
        <v>CARAME CONFEITARIA - DOCES BOLOS</v>
      </c>
      <c r="L8211" s="32">
        <f>IFERROR(__xludf.DUMMYFUNCTION("""COMPUTED_VALUE"""),1.0)</f>
        <v>1</v>
      </c>
      <c r="M8211" s="4" t="str">
        <f>IFERROR(__xludf.DUMMYFUNCTION("""COMPUTED_VALUE"""),"Instadelivery")</f>
        <v>Instadelivery</v>
      </c>
      <c r="N8211" s="33">
        <f>IFERROR(__xludf.DUMMYFUNCTION("""COMPUTED_VALUE"""),1.0)</f>
        <v>1</v>
      </c>
      <c r="O8211" s="4" t="str">
        <f>IFERROR(__xludf.DUMMYFUNCTION("""COMPUTED_VALUE"""),"Instadelivery")</f>
        <v>Instadelivery</v>
      </c>
      <c r="P8211" s="33">
        <f>IFERROR(__xludf.DUMMYFUNCTION("""COMPUTED_VALUE"""),1.0)</f>
        <v>1</v>
      </c>
      <c r="Q8211" s="4" t="str">
        <f>IFERROR(__xludf.DUMMYFUNCTION("""COMPUTED_VALUE"""),"null")</f>
        <v>null</v>
      </c>
      <c r="R8211" s="33">
        <f>IFERROR(__xludf.DUMMYFUNCTION("""COMPUTED_VALUE"""),1.0)</f>
        <v>1</v>
      </c>
      <c r="S8211" s="4" t="str">
        <f>IFERROR(__xludf.DUMMYFUNCTION("""COMPUTED_VALUE"""),"null")</f>
        <v>null</v>
      </c>
      <c r="T8211" s="33">
        <f>IFERROR(__xludf.DUMMYFUNCTION("""COMPUTED_VALUE"""),1.0)</f>
        <v>1</v>
      </c>
      <c r="U8211" s="4" t="str">
        <f>IFERROR(__xludf.DUMMYFUNCTION("""COMPUTED_VALUE"""),"null")</f>
        <v>null</v>
      </c>
      <c r="V8211" s="33">
        <f>IFERROR(__xludf.DUMMYFUNCTION("""COMPUTED_VALUE"""),1.0)</f>
        <v>1</v>
      </c>
      <c r="W8211" s="4" t="str">
        <f>IFERROR(__xludf.DUMMYFUNCTION("""COMPUTED_VALUE"""),"null")</f>
        <v>null</v>
      </c>
      <c r="X8211" s="33">
        <f>IFERROR(__xludf.DUMMYFUNCTION("""COMPUTED_VALUE"""),1.0)</f>
        <v>1</v>
      </c>
    </row>
    <row r="8212">
      <c r="K8212" s="4" t="str">
        <f>IFERROR(__xludf.DUMMYFUNCTION("""COMPUTED_VALUE"""),"BARAO DOS CHURROS")</f>
        <v>BARAO DOS CHURROS</v>
      </c>
      <c r="L8212" s="32">
        <f>IFERROR(__xludf.DUMMYFUNCTION("""COMPUTED_VALUE"""),1.0)</f>
        <v>1</v>
      </c>
      <c r="M8212" s="4" t="str">
        <f>IFERROR(__xludf.DUMMYFUNCTION("""COMPUTED_VALUE"""),"null")</f>
        <v>null</v>
      </c>
      <c r="N8212" s="33">
        <f>IFERROR(__xludf.DUMMYFUNCTION("""COMPUTED_VALUE"""),1.0)</f>
        <v>1</v>
      </c>
      <c r="O8212" s="4" t="str">
        <f>IFERROR(__xludf.DUMMYFUNCTION("""COMPUTED_VALUE"""),"Instadelivery")</f>
        <v>Instadelivery</v>
      </c>
      <c r="P8212" s="33">
        <f>IFERROR(__xludf.DUMMYFUNCTION("""COMPUTED_VALUE"""),1.0)</f>
        <v>1</v>
      </c>
      <c r="Q8212" s="4" t="str">
        <f>IFERROR(__xludf.DUMMYFUNCTION("""COMPUTED_VALUE"""),"Instadelivery")</f>
        <v>Instadelivery</v>
      </c>
      <c r="R8212" s="33">
        <f>IFERROR(__xludf.DUMMYFUNCTION("""COMPUTED_VALUE"""),1.0)</f>
        <v>1</v>
      </c>
      <c r="S8212" s="4" t="str">
        <f>IFERROR(__xludf.DUMMYFUNCTION("""COMPUTED_VALUE"""),"null")</f>
        <v>null</v>
      </c>
      <c r="T8212" s="33">
        <f>IFERROR(__xludf.DUMMYFUNCTION("""COMPUTED_VALUE"""),1.0)</f>
        <v>1</v>
      </c>
      <c r="U8212" s="4" t="str">
        <f>IFERROR(__xludf.DUMMYFUNCTION("""COMPUTED_VALUE"""),"null")</f>
        <v>null</v>
      </c>
      <c r="V8212" s="33">
        <f>IFERROR(__xludf.DUMMYFUNCTION("""COMPUTED_VALUE"""),1.0)</f>
        <v>1</v>
      </c>
      <c r="W8212" s="4" t="str">
        <f>IFERROR(__xludf.DUMMYFUNCTION("""COMPUTED_VALUE"""),"null")</f>
        <v>null</v>
      </c>
      <c r="X8212" s="33">
        <f>IFERROR(__xludf.DUMMYFUNCTION("""COMPUTED_VALUE"""),1.0)</f>
        <v>1</v>
      </c>
    </row>
    <row r="8213">
      <c r="K8213" s="4" t="str">
        <f>IFERROR(__xludf.DUMMYFUNCTION("""COMPUTED_VALUE"""),"MARGARITTOS FOOD HAMBURGUER GOURMET")</f>
        <v>MARGARITTOS FOOD HAMBURGUER GOURMET</v>
      </c>
      <c r="L8213" s="32">
        <f>IFERROR(__xludf.DUMMYFUNCTION("""COMPUTED_VALUE"""),1.0)</f>
        <v>1</v>
      </c>
      <c r="M8213" s="4" t="str">
        <f>IFERROR(__xludf.DUMMYFUNCTION("""COMPUTED_VALUE"""),"Instadelivery")</f>
        <v>Instadelivery</v>
      </c>
      <c r="N8213" s="33">
        <f>IFERROR(__xludf.DUMMYFUNCTION("""COMPUTED_VALUE"""),1.0)</f>
        <v>1</v>
      </c>
      <c r="O8213" s="4" t="str">
        <f>IFERROR(__xludf.DUMMYFUNCTION("""COMPUTED_VALUE"""),"Instadelivery")</f>
        <v>Instadelivery</v>
      </c>
      <c r="P8213" s="33">
        <f>IFERROR(__xludf.DUMMYFUNCTION("""COMPUTED_VALUE"""),1.0)</f>
        <v>1</v>
      </c>
      <c r="Q8213" s="4" t="str">
        <f>IFERROR(__xludf.DUMMYFUNCTION("""COMPUTED_VALUE"""),"Instadelivery")</f>
        <v>Instadelivery</v>
      </c>
      <c r="R8213" s="33">
        <f>IFERROR(__xludf.DUMMYFUNCTION("""COMPUTED_VALUE"""),1.0)</f>
        <v>1</v>
      </c>
      <c r="S8213" s="4" t="str">
        <f>IFERROR(__xludf.DUMMYFUNCTION("""COMPUTED_VALUE"""),"Instadelivery")</f>
        <v>Instadelivery</v>
      </c>
      <c r="T8213" s="33">
        <f>IFERROR(__xludf.DUMMYFUNCTION("""COMPUTED_VALUE"""),1.0)</f>
        <v>1</v>
      </c>
      <c r="U8213" s="4" t="str">
        <f>IFERROR(__xludf.DUMMYFUNCTION("""COMPUTED_VALUE"""),"Instadelivery")</f>
        <v>Instadelivery</v>
      </c>
      <c r="V8213" s="33">
        <f>IFERROR(__xludf.DUMMYFUNCTION("""COMPUTED_VALUE"""),1.0)</f>
        <v>1</v>
      </c>
      <c r="W8213" s="4" t="str">
        <f>IFERROR(__xludf.DUMMYFUNCTION("""COMPUTED_VALUE"""),"Instadelivery")</f>
        <v>Instadelivery</v>
      </c>
      <c r="X8213" s="33">
        <f>IFERROR(__xludf.DUMMYFUNCTION("""COMPUTED_VALUE"""),1.0)</f>
        <v>1</v>
      </c>
    </row>
    <row r="8214">
      <c r="K8214" s="4" t="str">
        <f>IFERROR(__xludf.DUMMYFUNCTION("""COMPUTED_VALUE"""),"GOSTIM DOCERIA")</f>
        <v>GOSTIM DOCERIA</v>
      </c>
      <c r="L8214" s="32">
        <f>IFERROR(__xludf.DUMMYFUNCTION("""COMPUTED_VALUE"""),1.0)</f>
        <v>1</v>
      </c>
      <c r="M8214" s="4" t="str">
        <f>IFERROR(__xludf.DUMMYFUNCTION("""COMPUTED_VALUE"""),"null")</f>
        <v>null</v>
      </c>
      <c r="N8214" s="33">
        <f>IFERROR(__xludf.DUMMYFUNCTION("""COMPUTED_VALUE"""),1.0)</f>
        <v>1</v>
      </c>
      <c r="O8214" s="4" t="str">
        <f>IFERROR(__xludf.DUMMYFUNCTION("""COMPUTED_VALUE"""),"null")</f>
        <v>null</v>
      </c>
      <c r="P8214" s="33">
        <f>IFERROR(__xludf.DUMMYFUNCTION("""COMPUTED_VALUE"""),1.0)</f>
        <v>1</v>
      </c>
      <c r="Q8214" s="4" t="str">
        <f>IFERROR(__xludf.DUMMYFUNCTION("""COMPUTED_VALUE"""),"null")</f>
        <v>null</v>
      </c>
      <c r="R8214" s="33">
        <f>IFERROR(__xludf.DUMMYFUNCTION("""COMPUTED_VALUE"""),1.0)</f>
        <v>1</v>
      </c>
      <c r="S8214" s="4" t="str">
        <f>IFERROR(__xludf.DUMMYFUNCTION("""COMPUTED_VALUE"""),"null")</f>
        <v>null</v>
      </c>
      <c r="T8214" s="33">
        <f>IFERROR(__xludf.DUMMYFUNCTION("""COMPUTED_VALUE"""),1.0)</f>
        <v>1</v>
      </c>
      <c r="U8214" s="4" t="str">
        <f>IFERROR(__xludf.DUMMYFUNCTION("""COMPUTED_VALUE"""),"Saipos Serviços De Software")</f>
        <v>Saipos Serviços De Software</v>
      </c>
      <c r="V8214" s="33">
        <f>IFERROR(__xludf.DUMMYFUNCTION("""COMPUTED_VALUE"""),1.0)</f>
        <v>1</v>
      </c>
      <c r="W8214" s="4" t="str">
        <f>IFERROR(__xludf.DUMMYFUNCTION("""COMPUTED_VALUE"""),"null")</f>
        <v>null</v>
      </c>
      <c r="X8214" s="33">
        <f>IFERROR(__xludf.DUMMYFUNCTION("""COMPUTED_VALUE"""),1.0)</f>
        <v>1</v>
      </c>
    </row>
    <row r="8215">
      <c r="K8215" s="4" t="str">
        <f>IFERROR(__xludf.DUMMYFUNCTION("""COMPUTED_VALUE"""),"NOGATU SUSHI")</f>
        <v>NOGATU SUSHI</v>
      </c>
      <c r="L8215" s="32">
        <f>IFERROR(__xludf.DUMMYFUNCTION("""COMPUTED_VALUE"""),1.0)</f>
        <v>1</v>
      </c>
      <c r="M8215" s="4" t="str">
        <f>IFERROR(__xludf.DUMMYFUNCTION("""COMPUTED_VALUE"""),"Yooga")</f>
        <v>Yooga</v>
      </c>
      <c r="N8215" s="33">
        <f>IFERROR(__xludf.DUMMYFUNCTION("""COMPUTED_VALUE"""),1.0)</f>
        <v>1</v>
      </c>
      <c r="O8215" s="4" t="str">
        <f>IFERROR(__xludf.DUMMYFUNCTION("""COMPUTED_VALUE"""),"Yooga")</f>
        <v>Yooga</v>
      </c>
      <c r="P8215" s="33">
        <f>IFERROR(__xludf.DUMMYFUNCTION("""COMPUTED_VALUE"""),1.0)</f>
        <v>1</v>
      </c>
      <c r="Q8215" s="4" t="str">
        <f>IFERROR(__xludf.DUMMYFUNCTION("""COMPUTED_VALUE"""),"Yooga")</f>
        <v>Yooga</v>
      </c>
      <c r="R8215" s="33">
        <f>IFERROR(__xludf.DUMMYFUNCTION("""COMPUTED_VALUE"""),1.0)</f>
        <v>1</v>
      </c>
      <c r="S8215" s="4" t="str">
        <f>IFERROR(__xludf.DUMMYFUNCTION("""COMPUTED_VALUE"""),"Yooga")</f>
        <v>Yooga</v>
      </c>
      <c r="T8215" s="33">
        <f>IFERROR(__xludf.DUMMYFUNCTION("""COMPUTED_VALUE"""),1.0)</f>
        <v>1</v>
      </c>
      <c r="U8215" s="4" t="str">
        <f>IFERROR(__xludf.DUMMYFUNCTION("""COMPUTED_VALUE"""),"Yooga")</f>
        <v>Yooga</v>
      </c>
      <c r="V8215" s="33">
        <f>IFERROR(__xludf.DUMMYFUNCTION("""COMPUTED_VALUE"""),1.0)</f>
        <v>1</v>
      </c>
      <c r="W8215" s="4" t="str">
        <f>IFERROR(__xludf.DUMMYFUNCTION("""COMPUTED_VALUE"""),"Yooga")</f>
        <v>Yooga</v>
      </c>
      <c r="X8215" s="33">
        <f>IFERROR(__xludf.DUMMYFUNCTION("""COMPUTED_VALUE"""),1.0)</f>
        <v>1</v>
      </c>
    </row>
    <row r="8216">
      <c r="K8216" s="4" t="str">
        <f>IFERROR(__xludf.DUMMYFUNCTION("""COMPUTED_VALUE"""),"MASSA MAGICA PASTEIS")</f>
        <v>MASSA MAGICA PASTEIS</v>
      </c>
      <c r="L8216" s="32">
        <f>IFERROR(__xludf.DUMMYFUNCTION("""COMPUTED_VALUE"""),1.0)</f>
        <v>1</v>
      </c>
      <c r="M8216" s="4" t="str">
        <f>IFERROR(__xludf.DUMMYFUNCTION("""COMPUTED_VALUE"""),"Saipos Serviços De Software")</f>
        <v>Saipos Serviços De Software</v>
      </c>
      <c r="N8216" s="33">
        <f>IFERROR(__xludf.DUMMYFUNCTION("""COMPUTED_VALUE"""),1.0)</f>
        <v>1</v>
      </c>
      <c r="O8216" s="4" t="str">
        <f>IFERROR(__xludf.DUMMYFUNCTION("""COMPUTED_VALUE"""),"Saipos Serviços De Software")</f>
        <v>Saipos Serviços De Software</v>
      </c>
      <c r="P8216" s="33">
        <f>IFERROR(__xludf.DUMMYFUNCTION("""COMPUTED_VALUE"""),1.0)</f>
        <v>1</v>
      </c>
      <c r="Q8216" s="4" t="str">
        <f>IFERROR(__xludf.DUMMYFUNCTION("""COMPUTED_VALUE"""),"Saipos Serviços De Software")</f>
        <v>Saipos Serviços De Software</v>
      </c>
      <c r="R8216" s="33">
        <f>IFERROR(__xludf.DUMMYFUNCTION("""COMPUTED_VALUE"""),1.0)</f>
        <v>1</v>
      </c>
      <c r="S8216" s="4" t="str">
        <f>IFERROR(__xludf.DUMMYFUNCTION("""COMPUTED_VALUE"""),"Saipos Serviços De Software")</f>
        <v>Saipos Serviços De Software</v>
      </c>
      <c r="T8216" s="33">
        <f>IFERROR(__xludf.DUMMYFUNCTION("""COMPUTED_VALUE"""),1.0)</f>
        <v>1</v>
      </c>
      <c r="U8216" s="4" t="str">
        <f>IFERROR(__xludf.DUMMYFUNCTION("""COMPUTED_VALUE"""),"Saipos Serviços De Software")</f>
        <v>Saipos Serviços De Software</v>
      </c>
      <c r="V8216" s="33">
        <f>IFERROR(__xludf.DUMMYFUNCTION("""COMPUTED_VALUE"""),1.0)</f>
        <v>1</v>
      </c>
      <c r="W8216" s="4" t="str">
        <f>IFERROR(__xludf.DUMMYFUNCTION("""COMPUTED_VALUE"""),"Saipos Serviços De Software")</f>
        <v>Saipos Serviços De Software</v>
      </c>
      <c r="X8216" s="33">
        <f>IFERROR(__xludf.DUMMYFUNCTION("""COMPUTED_VALUE"""),1.0)</f>
        <v>1</v>
      </c>
    </row>
    <row r="8217">
      <c r="K8217" s="4" t="str">
        <f>IFERROR(__xludf.DUMMYFUNCTION("""COMPUTED_VALUE"""),"CHURRASCO GREGO DO FILE")</f>
        <v>CHURRASCO GREGO DO FILE</v>
      </c>
      <c r="L8217" s="32">
        <f>IFERROR(__xludf.DUMMYFUNCTION("""COMPUTED_VALUE"""),1.0)</f>
        <v>1</v>
      </c>
      <c r="M8217" s="4" t="str">
        <f>IFERROR(__xludf.DUMMYFUNCTION("""COMPUTED_VALUE"""),"null")</f>
        <v>null</v>
      </c>
      <c r="N8217" s="33">
        <f>IFERROR(__xludf.DUMMYFUNCTION("""COMPUTED_VALUE"""),1.0)</f>
        <v>1</v>
      </c>
      <c r="O8217" s="4" t="str">
        <f>IFERROR(__xludf.DUMMYFUNCTION("""COMPUTED_VALUE"""),"null")</f>
        <v>null</v>
      </c>
      <c r="P8217" s="33">
        <f>IFERROR(__xludf.DUMMYFUNCTION("""COMPUTED_VALUE"""),1.0)</f>
        <v>1</v>
      </c>
      <c r="Q8217" s="4" t="str">
        <f>IFERROR(__xludf.DUMMYFUNCTION("""COMPUTED_VALUE"""),"null")</f>
        <v>null</v>
      </c>
      <c r="R8217" s="33">
        <f>IFERROR(__xludf.DUMMYFUNCTION("""COMPUTED_VALUE"""),1.0)</f>
        <v>1</v>
      </c>
      <c r="S8217" s="4" t="str">
        <f>IFERROR(__xludf.DUMMYFUNCTION("""COMPUTED_VALUE"""),"null")</f>
        <v>null</v>
      </c>
      <c r="T8217" s="33">
        <f>IFERROR(__xludf.DUMMYFUNCTION("""COMPUTED_VALUE"""),1.0)</f>
        <v>1</v>
      </c>
      <c r="U8217" s="4" t="str">
        <f>IFERROR(__xludf.DUMMYFUNCTION("""COMPUTED_VALUE"""),"null")</f>
        <v>null</v>
      </c>
      <c r="V8217" s="33">
        <f>IFERROR(__xludf.DUMMYFUNCTION("""COMPUTED_VALUE"""),1.0)</f>
        <v>1</v>
      </c>
      <c r="W8217" s="4" t="str">
        <f>IFERROR(__xludf.DUMMYFUNCTION("""COMPUTED_VALUE"""),"Instadelivery")</f>
        <v>Instadelivery</v>
      </c>
      <c r="X8217" s="33">
        <f>IFERROR(__xludf.DUMMYFUNCTION("""COMPUTED_VALUE"""),1.0)</f>
        <v>1</v>
      </c>
    </row>
    <row r="8218">
      <c r="K8218" s="4" t="str">
        <f>IFERROR(__xludf.DUMMYFUNCTION("""COMPUTED_VALUE"""),"CACAROLA DELIVERY")</f>
        <v>CACAROLA DELIVERY</v>
      </c>
      <c r="L8218" s="32">
        <f>IFERROR(__xludf.DUMMYFUNCTION("""COMPUTED_VALUE"""),1.0)</f>
        <v>1</v>
      </c>
      <c r="M8218" s="4" t="str">
        <f>IFERROR(__xludf.DUMMYFUNCTION("""COMPUTED_VALUE"""),"Saipos Serviços De Software")</f>
        <v>Saipos Serviços De Software</v>
      </c>
      <c r="N8218" s="33">
        <f>IFERROR(__xludf.DUMMYFUNCTION("""COMPUTED_VALUE"""),1.0)</f>
        <v>1</v>
      </c>
      <c r="O8218" s="4" t="str">
        <f>IFERROR(__xludf.DUMMYFUNCTION("""COMPUTED_VALUE"""),"Saipos Serviços De Software")</f>
        <v>Saipos Serviços De Software</v>
      </c>
      <c r="P8218" s="33">
        <f>IFERROR(__xludf.DUMMYFUNCTION("""COMPUTED_VALUE"""),1.0)</f>
        <v>1</v>
      </c>
      <c r="Q8218" s="4" t="str">
        <f>IFERROR(__xludf.DUMMYFUNCTION("""COMPUTED_VALUE"""),"Saipos Serviços De Software")</f>
        <v>Saipos Serviços De Software</v>
      </c>
      <c r="R8218" s="33">
        <f>IFERROR(__xludf.DUMMYFUNCTION("""COMPUTED_VALUE"""),1.0)</f>
        <v>1</v>
      </c>
      <c r="S8218" s="4" t="str">
        <f>IFERROR(__xludf.DUMMYFUNCTION("""COMPUTED_VALUE"""),"Saipos Serviços De Software")</f>
        <v>Saipos Serviços De Software</v>
      </c>
      <c r="T8218" s="33">
        <f>IFERROR(__xludf.DUMMYFUNCTION("""COMPUTED_VALUE"""),1.0)</f>
        <v>1</v>
      </c>
      <c r="U8218" s="4" t="str">
        <f>IFERROR(__xludf.DUMMYFUNCTION("""COMPUTED_VALUE"""),"Saipos Serviços De Software")</f>
        <v>Saipos Serviços De Software</v>
      </c>
      <c r="V8218" s="33">
        <f>IFERROR(__xludf.DUMMYFUNCTION("""COMPUTED_VALUE"""),1.0)</f>
        <v>1</v>
      </c>
      <c r="W8218" s="4" t="str">
        <f>IFERROR(__xludf.DUMMYFUNCTION("""COMPUTED_VALUE"""),"Saipos Serviços De Software")</f>
        <v>Saipos Serviços De Software</v>
      </c>
      <c r="X8218" s="33">
        <f>IFERROR(__xludf.DUMMYFUNCTION("""COMPUTED_VALUE"""),1.0)</f>
        <v>1</v>
      </c>
    </row>
    <row r="8219">
      <c r="K8219" s="4" t="str">
        <f>IFERROR(__xludf.DUMMYFUNCTION("""COMPUTED_VALUE"""),"LA BOCA PIZZARIA - CIDADE NOVA")</f>
        <v>LA BOCA PIZZARIA - CIDADE NOVA</v>
      </c>
      <c r="L8219" s="32">
        <f>IFERROR(__xludf.DUMMYFUNCTION("""COMPUTED_VALUE"""),1.0)</f>
        <v>1</v>
      </c>
      <c r="M8219" s="4" t="str">
        <f>IFERROR(__xludf.DUMMYFUNCTION("""COMPUTED_VALUE"""),"Saipos Serviços De Software")</f>
        <v>Saipos Serviços De Software</v>
      </c>
      <c r="N8219" s="33">
        <f>IFERROR(__xludf.DUMMYFUNCTION("""COMPUTED_VALUE"""),1.0)</f>
        <v>1</v>
      </c>
      <c r="O8219" s="4" t="str">
        <f>IFERROR(__xludf.DUMMYFUNCTION("""COMPUTED_VALUE"""),"Saipos Serviços De Software")</f>
        <v>Saipos Serviços De Software</v>
      </c>
      <c r="P8219" s="33">
        <f>IFERROR(__xludf.DUMMYFUNCTION("""COMPUTED_VALUE"""),1.0)</f>
        <v>1</v>
      </c>
      <c r="Q8219" s="4" t="str">
        <f>IFERROR(__xludf.DUMMYFUNCTION("""COMPUTED_VALUE"""),"Saipos Serviços De Software")</f>
        <v>Saipos Serviços De Software</v>
      </c>
      <c r="R8219" s="33">
        <f>IFERROR(__xludf.DUMMYFUNCTION("""COMPUTED_VALUE"""),1.0)</f>
        <v>1</v>
      </c>
      <c r="S8219" s="4" t="str">
        <f>IFERROR(__xludf.DUMMYFUNCTION("""COMPUTED_VALUE"""),"Saipos Serviços De Software")</f>
        <v>Saipos Serviços De Software</v>
      </c>
      <c r="T8219" s="33">
        <f>IFERROR(__xludf.DUMMYFUNCTION("""COMPUTED_VALUE"""),1.0)</f>
        <v>1</v>
      </c>
      <c r="U8219" s="4" t="str">
        <f>IFERROR(__xludf.DUMMYFUNCTION("""COMPUTED_VALUE"""),"Saipos Serviços De Software")</f>
        <v>Saipos Serviços De Software</v>
      </c>
      <c r="V8219" s="33">
        <f>IFERROR(__xludf.DUMMYFUNCTION("""COMPUTED_VALUE"""),1.0)</f>
        <v>1</v>
      </c>
      <c r="W8219" s="4" t="str">
        <f>IFERROR(__xludf.DUMMYFUNCTION("""COMPUTED_VALUE"""),"Saipos Serviços De Software")</f>
        <v>Saipos Serviços De Software</v>
      </c>
      <c r="X8219" s="33">
        <f>IFERROR(__xludf.DUMMYFUNCTION("""COMPUTED_VALUE"""),1.0)</f>
        <v>1</v>
      </c>
    </row>
    <row r="8220">
      <c r="K8220" s="4" t="str">
        <f>IFERROR(__xludf.DUMMYFUNCTION("""COMPUTED_VALUE"""),"VERITA - SANTA MONICA")</f>
        <v>VERITA - SANTA MONICA</v>
      </c>
      <c r="L8220" s="32">
        <f>IFERROR(__xludf.DUMMYFUNCTION("""COMPUTED_VALUE"""),1.0)</f>
        <v>1</v>
      </c>
      <c r="M8220" s="4" t="str">
        <f>IFERROR(__xludf.DUMMYFUNCTION("""COMPUTED_VALUE"""),"Teknisa Service Ltda")</f>
        <v>Teknisa Service Ltda</v>
      </c>
      <c r="N8220" s="33">
        <f>IFERROR(__xludf.DUMMYFUNCTION("""COMPUTED_VALUE"""),1.0)</f>
        <v>1</v>
      </c>
      <c r="O8220" s="4" t="str">
        <f>IFERROR(__xludf.DUMMYFUNCTION("""COMPUTED_VALUE"""),"Teknisa Service Ltda")</f>
        <v>Teknisa Service Ltda</v>
      </c>
      <c r="P8220" s="33">
        <f>IFERROR(__xludf.DUMMYFUNCTION("""COMPUTED_VALUE"""),1.0)</f>
        <v>1</v>
      </c>
      <c r="Q8220" s="4" t="str">
        <f>IFERROR(__xludf.DUMMYFUNCTION("""COMPUTED_VALUE"""),"Teknisa Service Ltda")</f>
        <v>Teknisa Service Ltda</v>
      </c>
      <c r="R8220" s="33">
        <f>IFERROR(__xludf.DUMMYFUNCTION("""COMPUTED_VALUE"""),1.0)</f>
        <v>1</v>
      </c>
      <c r="S8220" s="4" t="str">
        <f>IFERROR(__xludf.DUMMYFUNCTION("""COMPUTED_VALUE"""),"Teknisa Service Ltda")</f>
        <v>Teknisa Service Ltda</v>
      </c>
      <c r="T8220" s="33">
        <f>IFERROR(__xludf.DUMMYFUNCTION("""COMPUTED_VALUE"""),1.0)</f>
        <v>1</v>
      </c>
      <c r="U8220" s="4" t="str">
        <f>IFERROR(__xludf.DUMMYFUNCTION("""COMPUTED_VALUE"""),"null")</f>
        <v>null</v>
      </c>
      <c r="V8220" s="33">
        <f>IFERROR(__xludf.DUMMYFUNCTION("""COMPUTED_VALUE"""),1.0)</f>
        <v>1</v>
      </c>
      <c r="W8220" s="4" t="str">
        <f>IFERROR(__xludf.DUMMYFUNCTION("""COMPUTED_VALUE"""),"null")</f>
        <v>null</v>
      </c>
      <c r="X8220" s="33">
        <f>IFERROR(__xludf.DUMMYFUNCTION("""COMPUTED_VALUE"""),1.0)</f>
        <v>1</v>
      </c>
    </row>
    <row r="8221">
      <c r="K8221" s="4" t="str">
        <f>IFERROR(__xludf.DUMMYFUNCTION("""COMPUTED_VALUE"""),"VIDA SAUDAVEL RESTAURANTE")</f>
        <v>VIDA SAUDAVEL RESTAURANTE</v>
      </c>
      <c r="L8221" s="32">
        <f>IFERROR(__xludf.DUMMYFUNCTION("""COMPUTED_VALUE"""),1.0)</f>
        <v>1</v>
      </c>
      <c r="M8221" s="4" t="str">
        <f>IFERROR(__xludf.DUMMYFUNCTION("""COMPUTED_VALUE"""),"Anota Ai Solucoes Digitais S/a")</f>
        <v>Anota Ai Solucoes Digitais S/a</v>
      </c>
      <c r="N8221" s="33">
        <f>IFERROR(__xludf.DUMMYFUNCTION("""COMPUTED_VALUE"""),1.0)</f>
        <v>1</v>
      </c>
      <c r="O8221" s="4" t="str">
        <f>IFERROR(__xludf.DUMMYFUNCTION("""COMPUTED_VALUE"""),"Anota Ai Solucoes Digitais S/a")</f>
        <v>Anota Ai Solucoes Digitais S/a</v>
      </c>
      <c r="P8221" s="33">
        <f>IFERROR(__xludf.DUMMYFUNCTION("""COMPUTED_VALUE"""),1.0)</f>
        <v>1</v>
      </c>
      <c r="Q8221" s="4" t="str">
        <f>IFERROR(__xludf.DUMMYFUNCTION("""COMPUTED_VALUE"""),"Anota Ai Solucoes Digitais S/a")</f>
        <v>Anota Ai Solucoes Digitais S/a</v>
      </c>
      <c r="R8221" s="33">
        <f>IFERROR(__xludf.DUMMYFUNCTION("""COMPUTED_VALUE"""),1.0)</f>
        <v>1</v>
      </c>
      <c r="S8221" s="4" t="str">
        <f>IFERROR(__xludf.DUMMYFUNCTION("""COMPUTED_VALUE"""),"Anota Ai Solucoes Digitais S/a")</f>
        <v>Anota Ai Solucoes Digitais S/a</v>
      </c>
      <c r="T8221" s="33">
        <f>IFERROR(__xludf.DUMMYFUNCTION("""COMPUTED_VALUE"""),1.0)</f>
        <v>1</v>
      </c>
      <c r="U8221" s="4" t="str">
        <f>IFERROR(__xludf.DUMMYFUNCTION("""COMPUTED_VALUE"""),"Anota Ai Solucoes Digitais S/a")</f>
        <v>Anota Ai Solucoes Digitais S/a</v>
      </c>
      <c r="V8221" s="33">
        <f>IFERROR(__xludf.DUMMYFUNCTION("""COMPUTED_VALUE"""),1.0)</f>
        <v>1</v>
      </c>
      <c r="W8221" s="4" t="str">
        <f>IFERROR(__xludf.DUMMYFUNCTION("""COMPUTED_VALUE"""),"null")</f>
        <v>null</v>
      </c>
      <c r="X8221" s="33">
        <f>IFERROR(__xludf.DUMMYFUNCTION("""COMPUTED_VALUE"""),1.0)</f>
        <v>1</v>
      </c>
    </row>
    <row r="8222">
      <c r="K8222" s="4" t="str">
        <f>IFERROR(__xludf.DUMMYFUNCTION("""COMPUTED_VALUE"""),"BETWEEN BUNS")</f>
        <v>BETWEEN BUNS</v>
      </c>
      <c r="L8222" s="32">
        <f>IFERROR(__xludf.DUMMYFUNCTION("""COMPUTED_VALUE"""),1.0)</f>
        <v>1</v>
      </c>
      <c r="M8222" s="4" t="str">
        <f>IFERROR(__xludf.DUMMYFUNCTION("""COMPUTED_VALUE"""),"Ncr")</f>
        <v>Ncr</v>
      </c>
      <c r="N8222" s="33">
        <f>IFERROR(__xludf.DUMMYFUNCTION("""COMPUTED_VALUE"""),1.0)</f>
        <v>1</v>
      </c>
      <c r="O8222" s="4" t="str">
        <f>IFERROR(__xludf.DUMMYFUNCTION("""COMPUTED_VALUE"""),"Ncr")</f>
        <v>Ncr</v>
      </c>
      <c r="P8222" s="33">
        <f>IFERROR(__xludf.DUMMYFUNCTION("""COMPUTED_VALUE"""),1.0)</f>
        <v>1</v>
      </c>
      <c r="Q8222" s="4" t="str">
        <f>IFERROR(__xludf.DUMMYFUNCTION("""COMPUTED_VALUE"""),"Ncr")</f>
        <v>Ncr</v>
      </c>
      <c r="R8222" s="33">
        <f>IFERROR(__xludf.DUMMYFUNCTION("""COMPUTED_VALUE"""),1.0)</f>
        <v>1</v>
      </c>
      <c r="S8222" s="4" t="str">
        <f>IFERROR(__xludf.DUMMYFUNCTION("""COMPUTED_VALUE"""),"Ncr")</f>
        <v>Ncr</v>
      </c>
      <c r="T8222" s="33">
        <f>IFERROR(__xludf.DUMMYFUNCTION("""COMPUTED_VALUE"""),1.0)</f>
        <v>1</v>
      </c>
      <c r="U8222" s="4" t="str">
        <f>IFERROR(__xludf.DUMMYFUNCTION("""COMPUTED_VALUE"""),"null")</f>
        <v>null</v>
      </c>
      <c r="V8222" s="33">
        <f>IFERROR(__xludf.DUMMYFUNCTION("""COMPUTED_VALUE"""),1.0)</f>
        <v>1</v>
      </c>
      <c r="W8222" s="4" t="str">
        <f>IFERROR(__xludf.DUMMYFUNCTION("""COMPUTED_VALUE"""),"null")</f>
        <v>null</v>
      </c>
      <c r="X8222" s="33">
        <f>IFERROR(__xludf.DUMMYFUNCTION("""COMPUTED_VALUE"""),1.0)</f>
        <v>1</v>
      </c>
    </row>
    <row r="8223">
      <c r="K8223" s="4" t="str">
        <f>IFERROR(__xludf.DUMMYFUNCTION("""COMPUTED_VALUE"""),"TIA CIDA")</f>
        <v>TIA CIDA</v>
      </c>
      <c r="L8223" s="32">
        <f>IFERROR(__xludf.DUMMYFUNCTION("""COMPUTED_VALUE"""),1.0)</f>
        <v>1</v>
      </c>
      <c r="M8223" s="4" t="str">
        <f>IFERROR(__xludf.DUMMYFUNCTION("""COMPUTED_VALUE"""),"Crm Ti Ltda.")</f>
        <v>Crm Ti Ltda.</v>
      </c>
      <c r="N8223" s="33">
        <f>IFERROR(__xludf.DUMMYFUNCTION("""COMPUTED_VALUE"""),1.0)</f>
        <v>1</v>
      </c>
      <c r="O8223" s="4" t="str">
        <f>IFERROR(__xludf.DUMMYFUNCTION("""COMPUTED_VALUE"""),"Crm Ti Ltda.")</f>
        <v>Crm Ti Ltda.</v>
      </c>
      <c r="P8223" s="33">
        <f>IFERROR(__xludf.DUMMYFUNCTION("""COMPUTED_VALUE"""),1.0)</f>
        <v>1</v>
      </c>
      <c r="Q8223" s="4" t="str">
        <f>IFERROR(__xludf.DUMMYFUNCTION("""COMPUTED_VALUE"""),"Saipos Serviços De Software")</f>
        <v>Saipos Serviços De Software</v>
      </c>
      <c r="R8223" s="33">
        <f>IFERROR(__xludf.DUMMYFUNCTION("""COMPUTED_VALUE"""),1.0)</f>
        <v>1</v>
      </c>
      <c r="S8223" s="4" t="str">
        <f>IFERROR(__xludf.DUMMYFUNCTION("""COMPUTED_VALUE"""),"Saipos Serviços De Software")</f>
        <v>Saipos Serviços De Software</v>
      </c>
      <c r="T8223" s="33">
        <f>IFERROR(__xludf.DUMMYFUNCTION("""COMPUTED_VALUE"""),1.0)</f>
        <v>1</v>
      </c>
      <c r="U8223" s="4" t="str">
        <f>IFERROR(__xludf.DUMMYFUNCTION("""COMPUTED_VALUE"""),"Saipos Serviços De Software")</f>
        <v>Saipos Serviços De Software</v>
      </c>
      <c r="V8223" s="33">
        <f>IFERROR(__xludf.DUMMYFUNCTION("""COMPUTED_VALUE"""),1.0)</f>
        <v>1</v>
      </c>
      <c r="W8223" s="4" t="str">
        <f>IFERROR(__xludf.DUMMYFUNCTION("""COMPUTED_VALUE"""),"Saipos Serviços De Software")</f>
        <v>Saipos Serviços De Software</v>
      </c>
      <c r="X8223" s="33">
        <f>IFERROR(__xludf.DUMMYFUNCTION("""COMPUTED_VALUE"""),1.0)</f>
        <v>1</v>
      </c>
    </row>
    <row r="8224">
      <c r="K8224" s="4" t="str">
        <f>IFERROR(__xludf.DUMMYFUNCTION("""COMPUTED_VALUE"""),"HONSHU SUSHI")</f>
        <v>HONSHU SUSHI</v>
      </c>
      <c r="L8224" s="32">
        <f>IFERROR(__xludf.DUMMYFUNCTION("""COMPUTED_VALUE"""),1.0)</f>
        <v>1</v>
      </c>
      <c r="M8224" s="4" t="str">
        <f>IFERROR(__xludf.DUMMYFUNCTION("""COMPUTED_VALUE"""),"Bitbar")</f>
        <v>Bitbar</v>
      </c>
      <c r="N8224" s="33">
        <f>IFERROR(__xludf.DUMMYFUNCTION("""COMPUTED_VALUE"""),1.0)</f>
        <v>1</v>
      </c>
      <c r="O8224" s="4" t="str">
        <f>IFERROR(__xludf.DUMMYFUNCTION("""COMPUTED_VALUE"""),"null")</f>
        <v>null</v>
      </c>
      <c r="P8224" s="33">
        <f>IFERROR(__xludf.DUMMYFUNCTION("""COMPUTED_VALUE"""),1.0)</f>
        <v>1</v>
      </c>
      <c r="Q8224" s="4" t="str">
        <f>IFERROR(__xludf.DUMMYFUNCTION("""COMPUTED_VALUE"""),"null")</f>
        <v>null</v>
      </c>
      <c r="R8224" s="33">
        <f>IFERROR(__xludf.DUMMYFUNCTION("""COMPUTED_VALUE"""),1.0)</f>
        <v>1</v>
      </c>
      <c r="S8224" s="4" t="str">
        <f>IFERROR(__xludf.DUMMYFUNCTION("""COMPUTED_VALUE"""),"null")</f>
        <v>null</v>
      </c>
      <c r="T8224" s="33">
        <f>IFERROR(__xludf.DUMMYFUNCTION("""COMPUTED_VALUE"""),1.0)</f>
        <v>1</v>
      </c>
      <c r="U8224" s="4" t="str">
        <f>IFERROR(__xludf.DUMMYFUNCTION("""COMPUTED_VALUE"""),"null")</f>
        <v>null</v>
      </c>
      <c r="V8224" s="33">
        <f>IFERROR(__xludf.DUMMYFUNCTION("""COMPUTED_VALUE"""),1.0)</f>
        <v>1</v>
      </c>
      <c r="W8224" s="4" t="str">
        <f>IFERROR(__xludf.DUMMYFUNCTION("""COMPUTED_VALUE"""),"Bitbar")</f>
        <v>Bitbar</v>
      </c>
      <c r="X8224" s="33">
        <f>IFERROR(__xludf.DUMMYFUNCTION("""COMPUTED_VALUE"""),1.0)</f>
        <v>1</v>
      </c>
    </row>
    <row r="8225">
      <c r="K8225" s="4" t="str">
        <f>IFERROR(__xludf.DUMMYFUNCTION("""COMPUTED_VALUE"""),"MUNDO DAS FRALDAS")</f>
        <v>MUNDO DAS FRALDAS</v>
      </c>
      <c r="L8225" s="32">
        <f>IFERROR(__xludf.DUMMYFUNCTION("""COMPUTED_VALUE"""),1.0)</f>
        <v>1</v>
      </c>
      <c r="M8225" s="4" t="str">
        <f>IFERROR(__xludf.DUMMYFUNCTION("""COMPUTED_VALUE"""),"N/A (Not found)")</f>
        <v>N/A (Not found)</v>
      </c>
      <c r="N8225" s="33">
        <f>IFERROR(__xludf.DUMMYFUNCTION("""COMPUTED_VALUE"""),1.0)</f>
        <v>1</v>
      </c>
      <c r="O8225" s="4" t="str">
        <f>IFERROR(__xludf.DUMMYFUNCTION("""COMPUTED_VALUE"""),"N/A (Not found)")</f>
        <v>N/A (Not found)</v>
      </c>
      <c r="P8225" s="33">
        <f>IFERROR(__xludf.DUMMYFUNCTION("""COMPUTED_VALUE"""),1.0)</f>
        <v>1</v>
      </c>
      <c r="Q8225" s="4" t="str">
        <f>IFERROR(__xludf.DUMMYFUNCTION("""COMPUTED_VALUE"""),"N/A (Not found)")</f>
        <v>N/A (Not found)</v>
      </c>
      <c r="R8225" s="33">
        <f>IFERROR(__xludf.DUMMYFUNCTION("""COMPUTED_VALUE"""),1.0)</f>
        <v>1</v>
      </c>
      <c r="S8225" s="4" t="str">
        <f>IFERROR(__xludf.DUMMYFUNCTION("""COMPUTED_VALUE"""),"null")</f>
        <v>null</v>
      </c>
      <c r="T8225" s="33">
        <f>IFERROR(__xludf.DUMMYFUNCTION("""COMPUTED_VALUE"""),1.0)</f>
        <v>1</v>
      </c>
      <c r="U8225" s="4" t="str">
        <f>IFERROR(__xludf.DUMMYFUNCTION("""COMPUTED_VALUE"""),"null")</f>
        <v>null</v>
      </c>
      <c r="V8225" s="33">
        <f>IFERROR(__xludf.DUMMYFUNCTION("""COMPUTED_VALUE"""),1.0)</f>
        <v>1</v>
      </c>
      <c r="W8225" s="4" t="str">
        <f>IFERROR(__xludf.DUMMYFUNCTION("""COMPUTED_VALUE"""),"N/A (Not found)")</f>
        <v>N/A (Not found)</v>
      </c>
      <c r="X8225" s="33">
        <f>IFERROR(__xludf.DUMMYFUNCTION("""COMPUTED_VALUE"""),1.0)</f>
        <v>1</v>
      </c>
    </row>
    <row r="8226">
      <c r="K8226" s="4" t="str">
        <f>IFERROR(__xludf.DUMMYFUNCTION("""COMPUTED_VALUE"""),"ARTESANATHY01")</f>
        <v>ARTESANATHY01</v>
      </c>
      <c r="L8226" s="32">
        <f>IFERROR(__xludf.DUMMYFUNCTION("""COMPUTED_VALUE"""),1.0)</f>
        <v>1</v>
      </c>
      <c r="M8226" s="4" t="str">
        <f>IFERROR(__xludf.DUMMYFUNCTION("""COMPUTED_VALUE"""),"Anota Ai Solucoes Digitais S/a")</f>
        <v>Anota Ai Solucoes Digitais S/a</v>
      </c>
      <c r="N8226" s="33">
        <f>IFERROR(__xludf.DUMMYFUNCTION("""COMPUTED_VALUE"""),1.0)</f>
        <v>1</v>
      </c>
      <c r="O8226" s="4" t="str">
        <f>IFERROR(__xludf.DUMMYFUNCTION("""COMPUTED_VALUE"""),"Anota Ai Solucoes Digitais S/a")</f>
        <v>Anota Ai Solucoes Digitais S/a</v>
      </c>
      <c r="P8226" s="33">
        <f>IFERROR(__xludf.DUMMYFUNCTION("""COMPUTED_VALUE"""),1.0)</f>
        <v>1</v>
      </c>
      <c r="Q8226" s="4" t="str">
        <f>IFERROR(__xludf.DUMMYFUNCTION("""COMPUTED_VALUE"""),"Anota Ai Solucoes Digitais S/a")</f>
        <v>Anota Ai Solucoes Digitais S/a</v>
      </c>
      <c r="R8226" s="33">
        <f>IFERROR(__xludf.DUMMYFUNCTION("""COMPUTED_VALUE"""),1.0)</f>
        <v>1</v>
      </c>
      <c r="S8226" s="4" t="str">
        <f>IFERROR(__xludf.DUMMYFUNCTION("""COMPUTED_VALUE"""),"null")</f>
        <v>null</v>
      </c>
      <c r="T8226" s="33">
        <f>IFERROR(__xludf.DUMMYFUNCTION("""COMPUTED_VALUE"""),1.0)</f>
        <v>1</v>
      </c>
      <c r="U8226" s="4" t="str">
        <f>IFERROR(__xludf.DUMMYFUNCTION("""COMPUTED_VALUE"""),"Anota Ai Solucoes Digitais S/a")</f>
        <v>Anota Ai Solucoes Digitais S/a</v>
      </c>
      <c r="V8226" s="33">
        <f>IFERROR(__xludf.DUMMYFUNCTION("""COMPUTED_VALUE"""),1.0)</f>
        <v>1</v>
      </c>
      <c r="W8226" s="4" t="str">
        <f>IFERROR(__xludf.DUMMYFUNCTION("""COMPUTED_VALUE"""),"null")</f>
        <v>null</v>
      </c>
      <c r="X8226" s="33">
        <f>IFERROR(__xludf.DUMMYFUNCTION("""COMPUTED_VALUE"""),1.0)</f>
        <v>1</v>
      </c>
    </row>
    <row r="8227">
      <c r="K8227" s="4" t="str">
        <f>IFERROR(__xludf.DUMMYFUNCTION("""COMPUTED_VALUE"""),"TOMAHAWK STEAKHOUSE")</f>
        <v>TOMAHAWK STEAKHOUSE</v>
      </c>
      <c r="L8227" s="32">
        <f>IFERROR(__xludf.DUMMYFUNCTION("""COMPUTED_VALUE"""),1.0)</f>
        <v>1</v>
      </c>
      <c r="M8227" s="4" t="str">
        <f>IFERROR(__xludf.DUMMYFUNCTION("""COMPUTED_VALUE"""),"Click Soluções Inteligentes")</f>
        <v>Click Soluções Inteligentes</v>
      </c>
      <c r="N8227" s="33">
        <f>IFERROR(__xludf.DUMMYFUNCTION("""COMPUTED_VALUE"""),1.0)</f>
        <v>1</v>
      </c>
      <c r="O8227" s="4" t="str">
        <f>IFERROR(__xludf.DUMMYFUNCTION("""COMPUTED_VALUE"""),"Click Soluções Inteligentes")</f>
        <v>Click Soluções Inteligentes</v>
      </c>
      <c r="P8227" s="33">
        <f>IFERROR(__xludf.DUMMYFUNCTION("""COMPUTED_VALUE"""),1.0)</f>
        <v>1</v>
      </c>
      <c r="Q8227" s="4" t="str">
        <f>IFERROR(__xludf.DUMMYFUNCTION("""COMPUTED_VALUE"""),"Click Soluções Inteligentes")</f>
        <v>Click Soluções Inteligentes</v>
      </c>
      <c r="R8227" s="33">
        <f>IFERROR(__xludf.DUMMYFUNCTION("""COMPUTED_VALUE"""),1.0)</f>
        <v>1</v>
      </c>
      <c r="S8227" s="4" t="str">
        <f>IFERROR(__xludf.DUMMYFUNCTION("""COMPUTED_VALUE"""),"Click Soluções Inteligentes")</f>
        <v>Click Soluções Inteligentes</v>
      </c>
      <c r="T8227" s="33">
        <f>IFERROR(__xludf.DUMMYFUNCTION("""COMPUTED_VALUE"""),1.0)</f>
        <v>1</v>
      </c>
      <c r="U8227" s="4" t="str">
        <f>IFERROR(__xludf.DUMMYFUNCTION("""COMPUTED_VALUE"""),"Click Soluções Inteligentes")</f>
        <v>Click Soluções Inteligentes</v>
      </c>
      <c r="V8227" s="33">
        <f>IFERROR(__xludf.DUMMYFUNCTION("""COMPUTED_VALUE"""),1.0)</f>
        <v>1</v>
      </c>
      <c r="W8227" s="4" t="str">
        <f>IFERROR(__xludf.DUMMYFUNCTION("""COMPUTED_VALUE"""),"Click Soluções Inteligentes")</f>
        <v>Click Soluções Inteligentes</v>
      </c>
      <c r="X8227" s="33">
        <f>IFERROR(__xludf.DUMMYFUNCTION("""COMPUTED_VALUE"""),1.0)</f>
        <v>1</v>
      </c>
    </row>
    <row r="8228">
      <c r="K8228" s="4" t="str">
        <f>IFERROR(__xludf.DUMMYFUNCTION("""COMPUTED_VALUE"""),"HOTDOG DO PACHECO")</f>
        <v>HOTDOG DO PACHECO</v>
      </c>
      <c r="L8228" s="32">
        <f>IFERROR(__xludf.DUMMYFUNCTION("""COMPUTED_VALUE"""),1.0)</f>
        <v>1</v>
      </c>
      <c r="M8228" s="4" t="str">
        <f>IFERROR(__xludf.DUMMYFUNCTION("""COMPUTED_VALUE"""),"Yooga")</f>
        <v>Yooga</v>
      </c>
      <c r="N8228" s="33">
        <f>IFERROR(__xludf.DUMMYFUNCTION("""COMPUTED_VALUE"""),1.0)</f>
        <v>1</v>
      </c>
      <c r="O8228" s="4" t="str">
        <f>IFERROR(__xludf.DUMMYFUNCTION("""COMPUTED_VALUE"""),"Yooga")</f>
        <v>Yooga</v>
      </c>
      <c r="P8228" s="33">
        <f>IFERROR(__xludf.DUMMYFUNCTION("""COMPUTED_VALUE"""),1.0)</f>
        <v>1</v>
      </c>
      <c r="Q8228" s="4" t="str">
        <f>IFERROR(__xludf.DUMMYFUNCTION("""COMPUTED_VALUE"""),"Yooga")</f>
        <v>Yooga</v>
      </c>
      <c r="R8228" s="33">
        <f>IFERROR(__xludf.DUMMYFUNCTION("""COMPUTED_VALUE"""),1.0)</f>
        <v>1</v>
      </c>
      <c r="S8228" s="4" t="str">
        <f>IFERROR(__xludf.DUMMYFUNCTION("""COMPUTED_VALUE"""),"Yooga")</f>
        <v>Yooga</v>
      </c>
      <c r="T8228" s="33">
        <f>IFERROR(__xludf.DUMMYFUNCTION("""COMPUTED_VALUE"""),1.0)</f>
        <v>1</v>
      </c>
      <c r="U8228" s="4" t="str">
        <f>IFERROR(__xludf.DUMMYFUNCTION("""COMPUTED_VALUE"""),"Yooga")</f>
        <v>Yooga</v>
      </c>
      <c r="V8228" s="33">
        <f>IFERROR(__xludf.DUMMYFUNCTION("""COMPUTED_VALUE"""),1.0)</f>
        <v>1</v>
      </c>
      <c r="W8228" s="4" t="str">
        <f>IFERROR(__xludf.DUMMYFUNCTION("""COMPUTED_VALUE"""),"Yooga")</f>
        <v>Yooga</v>
      </c>
      <c r="X8228" s="33">
        <f>IFERROR(__xludf.DUMMYFUNCTION("""COMPUTED_VALUE"""),1.0)</f>
        <v>1</v>
      </c>
    </row>
    <row r="8229">
      <c r="K8229" s="4" t="str">
        <f>IFERROR(__xludf.DUMMYFUNCTION("""COMPUTED_VALUE"""),"RESTAURANTE DELICIAS DO BRASIL")</f>
        <v>RESTAURANTE DELICIAS DO BRASIL</v>
      </c>
      <c r="L8229" s="32">
        <f>IFERROR(__xludf.DUMMYFUNCTION("""COMPUTED_VALUE"""),1.0)</f>
        <v>1</v>
      </c>
      <c r="M8229" s="4" t="str">
        <f>IFERROR(__xludf.DUMMYFUNCTION("""COMPUTED_VALUE"""),"Super Dados Tecnologia")</f>
        <v>Super Dados Tecnologia</v>
      </c>
      <c r="N8229" s="33">
        <f>IFERROR(__xludf.DUMMYFUNCTION("""COMPUTED_VALUE"""),1.0)</f>
        <v>1</v>
      </c>
      <c r="O8229" s="4" t="str">
        <f>IFERROR(__xludf.DUMMYFUNCTION("""COMPUTED_VALUE"""),"Super Dados Tecnologia")</f>
        <v>Super Dados Tecnologia</v>
      </c>
      <c r="P8229" s="33">
        <f>IFERROR(__xludf.DUMMYFUNCTION("""COMPUTED_VALUE"""),1.0)</f>
        <v>1</v>
      </c>
      <c r="Q8229" s="4" t="str">
        <f>IFERROR(__xludf.DUMMYFUNCTION("""COMPUTED_VALUE"""),"Super Dados Tecnologia")</f>
        <v>Super Dados Tecnologia</v>
      </c>
      <c r="R8229" s="33">
        <f>IFERROR(__xludf.DUMMYFUNCTION("""COMPUTED_VALUE"""),1.0)</f>
        <v>1</v>
      </c>
      <c r="S8229" s="4" t="str">
        <f>IFERROR(__xludf.DUMMYFUNCTION("""COMPUTED_VALUE"""),"null")</f>
        <v>null</v>
      </c>
      <c r="T8229" s="33">
        <f>IFERROR(__xludf.DUMMYFUNCTION("""COMPUTED_VALUE"""),1.0)</f>
        <v>1</v>
      </c>
      <c r="U8229" s="4" t="str">
        <f>IFERROR(__xludf.DUMMYFUNCTION("""COMPUTED_VALUE"""),"null")</f>
        <v>null</v>
      </c>
      <c r="V8229" s="33">
        <f>IFERROR(__xludf.DUMMYFUNCTION("""COMPUTED_VALUE"""),1.0)</f>
        <v>1</v>
      </c>
      <c r="W8229" s="4" t="str">
        <f>IFERROR(__xludf.DUMMYFUNCTION("""COMPUTED_VALUE"""),"null")</f>
        <v>null</v>
      </c>
      <c r="X8229" s="33">
        <f>IFERROR(__xludf.DUMMYFUNCTION("""COMPUTED_VALUE"""),1.0)</f>
        <v>1</v>
      </c>
    </row>
    <row r="8230">
      <c r="K8230" s="4" t="str">
        <f>IFERROR(__xludf.DUMMYFUNCTION("""COMPUTED_VALUE"""),"COMIDARIA GREEN DELIVERY")</f>
        <v>COMIDARIA GREEN DELIVERY</v>
      </c>
      <c r="L8230" s="32">
        <f>IFERROR(__xludf.DUMMYFUNCTION("""COMPUTED_VALUE"""),1.0)</f>
        <v>1</v>
      </c>
      <c r="M8230" s="4" t="str">
        <f>IFERROR(__xludf.DUMMYFUNCTION("""COMPUTED_VALUE"""),"Sagres Automação Comercial")</f>
        <v>Sagres Automação Comercial</v>
      </c>
      <c r="N8230" s="33">
        <f>IFERROR(__xludf.DUMMYFUNCTION("""COMPUTED_VALUE"""),1.0)</f>
        <v>1</v>
      </c>
      <c r="O8230" s="4" t="str">
        <f>IFERROR(__xludf.DUMMYFUNCTION("""COMPUTED_VALUE"""),"Sagres Automação Comercial")</f>
        <v>Sagres Automação Comercial</v>
      </c>
      <c r="P8230" s="33">
        <f>IFERROR(__xludf.DUMMYFUNCTION("""COMPUTED_VALUE"""),1.0)</f>
        <v>1</v>
      </c>
      <c r="Q8230" s="4" t="str">
        <f>IFERROR(__xludf.DUMMYFUNCTION("""COMPUTED_VALUE"""),"Sagres Automação Comercial")</f>
        <v>Sagres Automação Comercial</v>
      </c>
      <c r="R8230" s="33">
        <f>IFERROR(__xludf.DUMMYFUNCTION("""COMPUTED_VALUE"""),1.0)</f>
        <v>1</v>
      </c>
      <c r="S8230" s="4" t="str">
        <f>IFERROR(__xludf.DUMMYFUNCTION("""COMPUTED_VALUE"""),"Sagres Automação Comercial")</f>
        <v>Sagres Automação Comercial</v>
      </c>
      <c r="T8230" s="33">
        <f>IFERROR(__xludf.DUMMYFUNCTION("""COMPUTED_VALUE"""),1.0)</f>
        <v>1</v>
      </c>
      <c r="U8230" s="4" t="str">
        <f>IFERROR(__xludf.DUMMYFUNCTION("""COMPUTED_VALUE"""),"null")</f>
        <v>null</v>
      </c>
      <c r="V8230" s="33">
        <f>IFERROR(__xludf.DUMMYFUNCTION("""COMPUTED_VALUE"""),1.0)</f>
        <v>1</v>
      </c>
      <c r="W8230" s="4" t="str">
        <f>IFERROR(__xludf.DUMMYFUNCTION("""COMPUTED_VALUE"""),"null")</f>
        <v>null</v>
      </c>
      <c r="X8230" s="33">
        <f>IFERROR(__xludf.DUMMYFUNCTION("""COMPUTED_VALUE"""),1.0)</f>
        <v>1</v>
      </c>
    </row>
    <row r="8231">
      <c r="K8231" s="4" t="str">
        <f>IFERROR(__xludf.DUMMYFUNCTION("""COMPUTED_VALUE"""),"RESTAURANTE CASA DE MADEIRA")</f>
        <v>RESTAURANTE CASA DE MADEIRA</v>
      </c>
      <c r="L8231" s="32">
        <f>IFERROR(__xludf.DUMMYFUNCTION("""COMPUTED_VALUE"""),1.0)</f>
        <v>1</v>
      </c>
      <c r="M8231" s="4" t="str">
        <f>IFERROR(__xludf.DUMMYFUNCTION("""COMPUTED_VALUE"""),"M-du Tecnologia")</f>
        <v>M-du Tecnologia</v>
      </c>
      <c r="N8231" s="33">
        <f>IFERROR(__xludf.DUMMYFUNCTION("""COMPUTED_VALUE"""),1.0)</f>
        <v>1</v>
      </c>
      <c r="O8231" s="4" t="str">
        <f>IFERROR(__xludf.DUMMYFUNCTION("""COMPUTED_VALUE"""),"M-du Tecnologia")</f>
        <v>M-du Tecnologia</v>
      </c>
      <c r="P8231" s="33">
        <f>IFERROR(__xludf.DUMMYFUNCTION("""COMPUTED_VALUE"""),1.0)</f>
        <v>1</v>
      </c>
      <c r="Q8231" s="4" t="str">
        <f>IFERROR(__xludf.DUMMYFUNCTION("""COMPUTED_VALUE"""),"M-du Tecnologia")</f>
        <v>M-du Tecnologia</v>
      </c>
      <c r="R8231" s="33">
        <f>IFERROR(__xludf.DUMMYFUNCTION("""COMPUTED_VALUE"""),1.0)</f>
        <v>1</v>
      </c>
      <c r="S8231" s="4" t="str">
        <f>IFERROR(__xludf.DUMMYFUNCTION("""COMPUTED_VALUE"""),"M-du Tecnologia")</f>
        <v>M-du Tecnologia</v>
      </c>
      <c r="T8231" s="33">
        <f>IFERROR(__xludf.DUMMYFUNCTION("""COMPUTED_VALUE"""),1.0)</f>
        <v>1</v>
      </c>
      <c r="U8231" s="4" t="str">
        <f>IFERROR(__xludf.DUMMYFUNCTION("""COMPUTED_VALUE"""),"M-du Tecnologia")</f>
        <v>M-du Tecnologia</v>
      </c>
      <c r="V8231" s="33">
        <f>IFERROR(__xludf.DUMMYFUNCTION("""COMPUTED_VALUE"""),1.0)</f>
        <v>1</v>
      </c>
      <c r="W8231" s="4" t="str">
        <f>IFERROR(__xludf.DUMMYFUNCTION("""COMPUTED_VALUE"""),"M-du Tecnologia")</f>
        <v>M-du Tecnologia</v>
      </c>
      <c r="X8231" s="33">
        <f>IFERROR(__xludf.DUMMYFUNCTION("""COMPUTED_VALUE"""),1.0)</f>
        <v>1</v>
      </c>
    </row>
    <row r="8232">
      <c r="K8232" s="4" t="str">
        <f>IFERROR(__xludf.DUMMYFUNCTION("""COMPUTED_VALUE"""),"SANDUBAS LANCHES")</f>
        <v>SANDUBAS LANCHES</v>
      </c>
      <c r="L8232" s="32">
        <f>IFERROR(__xludf.DUMMYFUNCTION("""COMPUTED_VALUE"""),1.0)</f>
        <v>1</v>
      </c>
      <c r="M8232" s="4" t="str">
        <f>IFERROR(__xludf.DUMMYFUNCTION("""COMPUTED_VALUE"""),"Saipos Serviços De Software")</f>
        <v>Saipos Serviços De Software</v>
      </c>
      <c r="N8232" s="33">
        <f>IFERROR(__xludf.DUMMYFUNCTION("""COMPUTED_VALUE"""),1.0)</f>
        <v>1</v>
      </c>
      <c r="O8232" s="4" t="str">
        <f>IFERROR(__xludf.DUMMYFUNCTION("""COMPUTED_VALUE"""),"Saipos Serviços De Software")</f>
        <v>Saipos Serviços De Software</v>
      </c>
      <c r="P8232" s="33">
        <f>IFERROR(__xludf.DUMMYFUNCTION("""COMPUTED_VALUE"""),1.0)</f>
        <v>1</v>
      </c>
      <c r="Q8232" s="4" t="str">
        <f>IFERROR(__xludf.DUMMYFUNCTION("""COMPUTED_VALUE"""),"Saipos Serviços De Software")</f>
        <v>Saipos Serviços De Software</v>
      </c>
      <c r="R8232" s="33">
        <f>IFERROR(__xludf.DUMMYFUNCTION("""COMPUTED_VALUE"""),1.0)</f>
        <v>1</v>
      </c>
      <c r="S8232" s="4" t="str">
        <f>IFERROR(__xludf.DUMMYFUNCTION("""COMPUTED_VALUE"""),"Saipos Serviços De Software")</f>
        <v>Saipos Serviços De Software</v>
      </c>
      <c r="T8232" s="33">
        <f>IFERROR(__xludf.DUMMYFUNCTION("""COMPUTED_VALUE"""),1.0)</f>
        <v>1</v>
      </c>
      <c r="U8232" s="4" t="str">
        <f>IFERROR(__xludf.DUMMYFUNCTION("""COMPUTED_VALUE"""),"Saipos Serviços De Software")</f>
        <v>Saipos Serviços De Software</v>
      </c>
      <c r="V8232" s="33">
        <f>IFERROR(__xludf.DUMMYFUNCTION("""COMPUTED_VALUE"""),1.0)</f>
        <v>1</v>
      </c>
      <c r="W8232" s="4" t="str">
        <f>IFERROR(__xludf.DUMMYFUNCTION("""COMPUTED_VALUE"""),"Saipos Serviços De Software")</f>
        <v>Saipos Serviços De Software</v>
      </c>
      <c r="X8232" s="33">
        <f>IFERROR(__xludf.DUMMYFUNCTION("""COMPUTED_VALUE"""),1.0)</f>
        <v>1</v>
      </c>
    </row>
    <row r="8233">
      <c r="K8233" s="4" t="str">
        <f>IFERROR(__xludf.DUMMYFUNCTION("""COMPUTED_VALUE"""),"ALICEQDISSE CONFEITARIA")</f>
        <v>ALICEQDISSE CONFEITARIA</v>
      </c>
      <c r="L8233" s="32">
        <f>IFERROR(__xludf.DUMMYFUNCTION("""COMPUTED_VALUE"""),1.0)</f>
        <v>1</v>
      </c>
      <c r="M8233" s="4" t="str">
        <f>IFERROR(__xludf.DUMMYFUNCTION("""COMPUTED_VALUE"""),"null")</f>
        <v>null</v>
      </c>
      <c r="N8233" s="33">
        <f>IFERROR(__xludf.DUMMYFUNCTION("""COMPUTED_VALUE"""),1.0)</f>
        <v>1</v>
      </c>
      <c r="O8233" s="4" t="str">
        <f>IFERROR(__xludf.DUMMYFUNCTION("""COMPUTED_VALUE"""),"null")</f>
        <v>null</v>
      </c>
      <c r="P8233" s="33">
        <f>IFERROR(__xludf.DUMMYFUNCTION("""COMPUTED_VALUE"""),1.0)</f>
        <v>1</v>
      </c>
      <c r="Q8233" s="4" t="str">
        <f>IFERROR(__xludf.DUMMYFUNCTION("""COMPUTED_VALUE"""),"null")</f>
        <v>null</v>
      </c>
      <c r="R8233" s="33">
        <f>IFERROR(__xludf.DUMMYFUNCTION("""COMPUTED_VALUE"""),1.0)</f>
        <v>1</v>
      </c>
      <c r="S8233" s="4" t="str">
        <f>IFERROR(__xludf.DUMMYFUNCTION("""COMPUTED_VALUE"""),"null")</f>
        <v>null</v>
      </c>
      <c r="T8233" s="33">
        <f>IFERROR(__xludf.DUMMYFUNCTION("""COMPUTED_VALUE"""),1.0)</f>
        <v>1</v>
      </c>
      <c r="U8233" s="4" t="str">
        <f>IFERROR(__xludf.DUMMYFUNCTION("""COMPUTED_VALUE"""),"null")</f>
        <v>null</v>
      </c>
      <c r="V8233" s="33">
        <f>IFERROR(__xludf.DUMMYFUNCTION("""COMPUTED_VALUE"""),1.0)</f>
        <v>1</v>
      </c>
      <c r="W8233" s="4" t="str">
        <f>IFERROR(__xludf.DUMMYFUNCTION("""COMPUTED_VALUE"""),"Anota Ai Solucoes Digitais S/a")</f>
        <v>Anota Ai Solucoes Digitais S/a</v>
      </c>
      <c r="X8233" s="33">
        <f>IFERROR(__xludf.DUMMYFUNCTION("""COMPUTED_VALUE"""),1.0)</f>
        <v>1</v>
      </c>
    </row>
    <row r="8234">
      <c r="K8234" s="4" t="str">
        <f>IFERROR(__xludf.DUMMYFUNCTION("""COMPUTED_VALUE"""),"PIZZA RIA")</f>
        <v>PIZZA RIA</v>
      </c>
      <c r="L8234" s="32">
        <f>IFERROR(__xludf.DUMMYFUNCTION("""COMPUTED_VALUE"""),1.0)</f>
        <v>1</v>
      </c>
      <c r="M8234" s="4" t="str">
        <f>IFERROR(__xludf.DUMMYFUNCTION("""COMPUTED_VALUE"""),"null")</f>
        <v>null</v>
      </c>
      <c r="N8234" s="33">
        <f>IFERROR(__xludf.DUMMYFUNCTION("""COMPUTED_VALUE"""),1.0)</f>
        <v>1</v>
      </c>
      <c r="O8234" s="4" t="str">
        <f>IFERROR(__xludf.DUMMYFUNCTION("""COMPUTED_VALUE"""),"null")</f>
        <v>null</v>
      </c>
      <c r="P8234" s="33">
        <f>IFERROR(__xludf.DUMMYFUNCTION("""COMPUTED_VALUE"""),1.0)</f>
        <v>1</v>
      </c>
      <c r="Q8234" s="4" t="str">
        <f>IFERROR(__xludf.DUMMYFUNCTION("""COMPUTED_VALUE"""),"null")</f>
        <v>null</v>
      </c>
      <c r="R8234" s="33">
        <f>IFERROR(__xludf.DUMMYFUNCTION("""COMPUTED_VALUE"""),1.0)</f>
        <v>1</v>
      </c>
      <c r="S8234" s="4" t="str">
        <f>IFERROR(__xludf.DUMMYFUNCTION("""COMPUTED_VALUE"""),"null")</f>
        <v>null</v>
      </c>
      <c r="T8234" s="33">
        <f>IFERROR(__xludf.DUMMYFUNCTION("""COMPUTED_VALUE"""),1.0)</f>
        <v>1</v>
      </c>
      <c r="U8234" s="4" t="str">
        <f>IFERROR(__xludf.DUMMYFUNCTION("""COMPUTED_VALUE"""),"Brendi")</f>
        <v>Brendi</v>
      </c>
      <c r="V8234" s="33">
        <f>IFERROR(__xludf.DUMMYFUNCTION("""COMPUTED_VALUE"""),1.0)</f>
        <v>1</v>
      </c>
      <c r="W8234" s="4" t="str">
        <f>IFERROR(__xludf.DUMMYFUNCTION("""COMPUTED_VALUE"""),"Brendi")</f>
        <v>Brendi</v>
      </c>
      <c r="X8234" s="33">
        <f>IFERROR(__xludf.DUMMYFUNCTION("""COMPUTED_VALUE"""),1.0)</f>
        <v>1</v>
      </c>
    </row>
    <row r="8235">
      <c r="K8235" s="4" t="str">
        <f>IFERROR(__xludf.DUMMYFUNCTION("""COMPUTED_VALUE"""),"TAPIOCAO JANGA")</f>
        <v>TAPIOCAO JANGA</v>
      </c>
      <c r="L8235" s="32">
        <f>IFERROR(__xludf.DUMMYFUNCTION("""COMPUTED_VALUE"""),1.0)</f>
        <v>1</v>
      </c>
      <c r="M8235" s="4" t="str">
        <f>IFERROR(__xludf.DUMMYFUNCTION("""COMPUTED_VALUE"""),"Anota Ai Solucoes Digitais S/a")</f>
        <v>Anota Ai Solucoes Digitais S/a</v>
      </c>
      <c r="N8235" s="33">
        <f>IFERROR(__xludf.DUMMYFUNCTION("""COMPUTED_VALUE"""),1.0)</f>
        <v>1</v>
      </c>
      <c r="O8235" s="4" t="str">
        <f>IFERROR(__xludf.DUMMYFUNCTION("""COMPUTED_VALUE"""),"Anota Ai Solucoes Digitais S/a")</f>
        <v>Anota Ai Solucoes Digitais S/a</v>
      </c>
      <c r="P8235" s="33">
        <f>IFERROR(__xludf.DUMMYFUNCTION("""COMPUTED_VALUE"""),1.0)</f>
        <v>1</v>
      </c>
      <c r="Q8235" s="4" t="str">
        <f>IFERROR(__xludf.DUMMYFUNCTION("""COMPUTED_VALUE"""),"null")</f>
        <v>null</v>
      </c>
      <c r="R8235" s="33">
        <f>IFERROR(__xludf.DUMMYFUNCTION("""COMPUTED_VALUE"""),1.0)</f>
        <v>1</v>
      </c>
      <c r="S8235" s="4" t="str">
        <f>IFERROR(__xludf.DUMMYFUNCTION("""COMPUTED_VALUE"""),"null")</f>
        <v>null</v>
      </c>
      <c r="T8235" s="33">
        <f>IFERROR(__xludf.DUMMYFUNCTION("""COMPUTED_VALUE"""),1.0)</f>
        <v>1</v>
      </c>
      <c r="U8235" s="4" t="str">
        <f>IFERROR(__xludf.DUMMYFUNCTION("""COMPUTED_VALUE"""),"null")</f>
        <v>null</v>
      </c>
      <c r="V8235" s="33">
        <f>IFERROR(__xludf.DUMMYFUNCTION("""COMPUTED_VALUE"""),1.0)</f>
        <v>1</v>
      </c>
      <c r="W8235" s="4" t="str">
        <f>IFERROR(__xludf.DUMMYFUNCTION("""COMPUTED_VALUE"""),"null")</f>
        <v>null</v>
      </c>
      <c r="X8235" s="33">
        <f>IFERROR(__xludf.DUMMYFUNCTION("""COMPUTED_VALUE"""),1.0)</f>
        <v>1</v>
      </c>
    </row>
    <row r="8236">
      <c r="K8236" s="4" t="str">
        <f>IFERROR(__xludf.DUMMYFUNCTION("""COMPUTED_VALUE"""),"- PIZZARIA LISBOA DELIVERY")</f>
        <v>- PIZZARIA LISBOA DELIVERY</v>
      </c>
      <c r="L8236" s="32">
        <f>IFERROR(__xludf.DUMMYFUNCTION("""COMPUTED_VALUE"""),1.0)</f>
        <v>1</v>
      </c>
      <c r="M8236" s="4" t="str">
        <f>IFERROR(__xludf.DUMMYFUNCTION("""COMPUTED_VALUE"""),"Mp Multipedidos")</f>
        <v>Mp Multipedidos</v>
      </c>
      <c r="N8236" s="33">
        <f>IFERROR(__xludf.DUMMYFUNCTION("""COMPUTED_VALUE"""),1.0)</f>
        <v>1</v>
      </c>
      <c r="O8236" s="4" t="str">
        <f>IFERROR(__xludf.DUMMYFUNCTION("""COMPUTED_VALUE"""),"null")</f>
        <v>null</v>
      </c>
      <c r="P8236" s="33">
        <f>IFERROR(__xludf.DUMMYFUNCTION("""COMPUTED_VALUE"""),1.0)</f>
        <v>1</v>
      </c>
      <c r="Q8236" s="4" t="str">
        <f>IFERROR(__xludf.DUMMYFUNCTION("""COMPUTED_VALUE"""),"null")</f>
        <v>null</v>
      </c>
      <c r="R8236" s="33">
        <f>IFERROR(__xludf.DUMMYFUNCTION("""COMPUTED_VALUE"""),1.0)</f>
        <v>1</v>
      </c>
      <c r="S8236" s="4" t="str">
        <f>IFERROR(__xludf.DUMMYFUNCTION("""COMPUTED_VALUE"""),"Mp Multipedidos")</f>
        <v>Mp Multipedidos</v>
      </c>
      <c r="T8236" s="33">
        <f>IFERROR(__xludf.DUMMYFUNCTION("""COMPUTED_VALUE"""),1.0)</f>
        <v>1</v>
      </c>
      <c r="U8236" s="4" t="str">
        <f>IFERROR(__xludf.DUMMYFUNCTION("""COMPUTED_VALUE"""),"null")</f>
        <v>null</v>
      </c>
      <c r="V8236" s="33">
        <f>IFERROR(__xludf.DUMMYFUNCTION("""COMPUTED_VALUE"""),1.0)</f>
        <v>1</v>
      </c>
      <c r="W8236" s="4" t="str">
        <f>IFERROR(__xludf.DUMMYFUNCTION("""COMPUTED_VALUE"""),"Mp Multipedidos")</f>
        <v>Mp Multipedidos</v>
      </c>
      <c r="X8236" s="33">
        <f>IFERROR(__xludf.DUMMYFUNCTION("""COMPUTED_VALUE"""),1.0)</f>
        <v>1</v>
      </c>
    </row>
    <row r="8237">
      <c r="K8237" s="4" t="str">
        <f>IFERROR(__xludf.DUMMYFUNCTION("""COMPUTED_VALUE"""),"SUSHI HOUSE BM")</f>
        <v>SUSHI HOUSE BM</v>
      </c>
      <c r="L8237" s="32">
        <f>IFERROR(__xludf.DUMMYFUNCTION("""COMPUTED_VALUE"""),1.0)</f>
        <v>1</v>
      </c>
      <c r="M8237" s="4" t="str">
        <f>IFERROR(__xludf.DUMMYFUNCTION("""COMPUTED_VALUE"""),"Saipos Serviços De Software")</f>
        <v>Saipos Serviços De Software</v>
      </c>
      <c r="N8237" s="33">
        <f>IFERROR(__xludf.DUMMYFUNCTION("""COMPUTED_VALUE"""),1.0)</f>
        <v>1</v>
      </c>
      <c r="O8237" s="4" t="str">
        <f>IFERROR(__xludf.DUMMYFUNCTION("""COMPUTED_VALUE"""),"Saipos Serviços De Software")</f>
        <v>Saipos Serviços De Software</v>
      </c>
      <c r="P8237" s="33">
        <f>IFERROR(__xludf.DUMMYFUNCTION("""COMPUTED_VALUE"""),1.0)</f>
        <v>1</v>
      </c>
      <c r="Q8237" s="4" t="str">
        <f>IFERROR(__xludf.DUMMYFUNCTION("""COMPUTED_VALUE"""),"Saipos Serviços De Software")</f>
        <v>Saipos Serviços De Software</v>
      </c>
      <c r="R8237" s="33">
        <f>IFERROR(__xludf.DUMMYFUNCTION("""COMPUTED_VALUE"""),1.0)</f>
        <v>1</v>
      </c>
      <c r="S8237" s="4" t="str">
        <f>IFERROR(__xludf.DUMMYFUNCTION("""COMPUTED_VALUE"""),"Saipos Serviços De Software")</f>
        <v>Saipos Serviços De Software</v>
      </c>
      <c r="T8237" s="33">
        <f>IFERROR(__xludf.DUMMYFUNCTION("""COMPUTED_VALUE"""),1.0)</f>
        <v>1</v>
      </c>
      <c r="U8237" s="4" t="str">
        <f>IFERROR(__xludf.DUMMYFUNCTION("""COMPUTED_VALUE"""),"Saipos Serviços De Software")</f>
        <v>Saipos Serviços De Software</v>
      </c>
      <c r="V8237" s="33">
        <f>IFERROR(__xludf.DUMMYFUNCTION("""COMPUTED_VALUE"""),1.0)</f>
        <v>1</v>
      </c>
      <c r="W8237" s="4" t="str">
        <f>IFERROR(__xludf.DUMMYFUNCTION("""COMPUTED_VALUE"""),"Saipos Serviços De Software")</f>
        <v>Saipos Serviços De Software</v>
      </c>
      <c r="X8237" s="33">
        <f>IFERROR(__xludf.DUMMYFUNCTION("""COMPUTED_VALUE"""),1.0)</f>
        <v>1</v>
      </c>
    </row>
    <row r="8238">
      <c r="K8238" s="4" t="str">
        <f>IFERROR(__xludf.DUMMYFUNCTION("""COMPUTED_VALUE"""),"AZUMY SUSHI BAR RESTAURANTE")</f>
        <v>AZUMY SUSHI BAR RESTAURANTE</v>
      </c>
      <c r="L8238" s="32">
        <f>IFERROR(__xludf.DUMMYFUNCTION("""COMPUTED_VALUE"""),1.0)</f>
        <v>1</v>
      </c>
      <c r="M8238" s="35" t="str">
        <f>IFERROR(__xludf.DUMMYFUNCTION("""COMPUTED_VALUE"""),"Maisentregas.com")</f>
        <v>Maisentregas.com</v>
      </c>
      <c r="N8238" s="33">
        <f>IFERROR(__xludf.DUMMYFUNCTION("""COMPUTED_VALUE"""),1.0)</f>
        <v>1</v>
      </c>
      <c r="O8238" s="35" t="str">
        <f>IFERROR(__xludf.DUMMYFUNCTION("""COMPUTED_VALUE"""),"Maisentregas.com")</f>
        <v>Maisentregas.com</v>
      </c>
      <c r="P8238" s="33">
        <f>IFERROR(__xludf.DUMMYFUNCTION("""COMPUTED_VALUE"""),1.0)</f>
        <v>1</v>
      </c>
      <c r="Q8238" s="4" t="str">
        <f>IFERROR(__xludf.DUMMYFUNCTION("""COMPUTED_VALUE"""),"null")</f>
        <v>null</v>
      </c>
      <c r="R8238" s="33">
        <f>IFERROR(__xludf.DUMMYFUNCTION("""COMPUTED_VALUE"""),1.0)</f>
        <v>1</v>
      </c>
      <c r="S8238" s="4" t="str">
        <f>IFERROR(__xludf.DUMMYFUNCTION("""COMPUTED_VALUE"""),"null")</f>
        <v>null</v>
      </c>
      <c r="T8238" s="33">
        <f>IFERROR(__xludf.DUMMYFUNCTION("""COMPUTED_VALUE"""),1.0)</f>
        <v>1</v>
      </c>
      <c r="U8238" s="4" t="str">
        <f>IFERROR(__xludf.DUMMYFUNCTION("""COMPUTED_VALUE"""),"null")</f>
        <v>null</v>
      </c>
      <c r="V8238" s="33">
        <f>IFERROR(__xludf.DUMMYFUNCTION("""COMPUTED_VALUE"""),1.0)</f>
        <v>1</v>
      </c>
      <c r="W8238" s="4" t="str">
        <f>IFERROR(__xludf.DUMMYFUNCTION("""COMPUTED_VALUE"""),"null")</f>
        <v>null</v>
      </c>
      <c r="X8238" s="33">
        <f>IFERROR(__xludf.DUMMYFUNCTION("""COMPUTED_VALUE"""),1.0)</f>
        <v>1</v>
      </c>
    </row>
    <row r="8239">
      <c r="K8239" s="4" t="str">
        <f>IFERROR(__xludf.DUMMYFUNCTION("""COMPUTED_VALUE"""),"POINT DO BEIRUTE - FRANGOS BATATAS FRITAS")</f>
        <v>POINT DO BEIRUTE - FRANGOS BATATAS FRITAS</v>
      </c>
      <c r="L8239" s="32">
        <f>IFERROR(__xludf.DUMMYFUNCTION("""COMPUTED_VALUE"""),1.0)</f>
        <v>1</v>
      </c>
      <c r="M8239" s="4" t="str">
        <f>IFERROR(__xludf.DUMMYFUNCTION("""COMPUTED_VALUE"""),"Mp Multipedidos")</f>
        <v>Mp Multipedidos</v>
      </c>
      <c r="N8239" s="33">
        <f>IFERROR(__xludf.DUMMYFUNCTION("""COMPUTED_VALUE"""),1.0)</f>
        <v>1</v>
      </c>
      <c r="O8239" s="4" t="str">
        <f>IFERROR(__xludf.DUMMYFUNCTION("""COMPUTED_VALUE"""),"null")</f>
        <v>null</v>
      </c>
      <c r="P8239" s="33">
        <f>IFERROR(__xludf.DUMMYFUNCTION("""COMPUTED_VALUE"""),1.0)</f>
        <v>1</v>
      </c>
      <c r="Q8239" s="4" t="str">
        <f>IFERROR(__xludf.DUMMYFUNCTION("""COMPUTED_VALUE"""),"null")</f>
        <v>null</v>
      </c>
      <c r="R8239" s="33">
        <f>IFERROR(__xludf.DUMMYFUNCTION("""COMPUTED_VALUE"""),1.0)</f>
        <v>1</v>
      </c>
      <c r="S8239" s="4" t="str">
        <f>IFERROR(__xludf.DUMMYFUNCTION("""COMPUTED_VALUE"""),"null")</f>
        <v>null</v>
      </c>
      <c r="T8239" s="33">
        <f>IFERROR(__xludf.DUMMYFUNCTION("""COMPUTED_VALUE"""),1.0)</f>
        <v>1</v>
      </c>
      <c r="U8239" s="4" t="str">
        <f>IFERROR(__xludf.DUMMYFUNCTION("""COMPUTED_VALUE"""),"Mp Multipedidos")</f>
        <v>Mp Multipedidos</v>
      </c>
      <c r="V8239" s="33">
        <f>IFERROR(__xludf.DUMMYFUNCTION("""COMPUTED_VALUE"""),1.0)</f>
        <v>1</v>
      </c>
      <c r="W8239" s="4" t="str">
        <f>IFERROR(__xludf.DUMMYFUNCTION("""COMPUTED_VALUE"""),"Mp Multipedidos")</f>
        <v>Mp Multipedidos</v>
      </c>
      <c r="X8239" s="33">
        <f>IFERROR(__xludf.DUMMYFUNCTION("""COMPUTED_VALUE"""),1.0)</f>
        <v>1</v>
      </c>
    </row>
    <row r="8240">
      <c r="K8240" s="4" t="str">
        <f>IFERROR(__xludf.DUMMYFUNCTION("""COMPUTED_VALUE"""),"RESTAURANTE TAI PEI - COMIDA CHINESA")</f>
        <v>RESTAURANTE TAI PEI - COMIDA CHINESA</v>
      </c>
      <c r="L8240" s="32">
        <f>IFERROR(__xludf.DUMMYFUNCTION("""COMPUTED_VALUE"""),1.0)</f>
        <v>1</v>
      </c>
      <c r="M8240" s="4" t="str">
        <f>IFERROR(__xludf.DUMMYFUNCTION("""COMPUTED_VALUE"""),"Yooga")</f>
        <v>Yooga</v>
      </c>
      <c r="N8240" s="33">
        <f>IFERROR(__xludf.DUMMYFUNCTION("""COMPUTED_VALUE"""),1.0)</f>
        <v>1</v>
      </c>
      <c r="O8240" s="4" t="str">
        <f>IFERROR(__xludf.DUMMYFUNCTION("""COMPUTED_VALUE"""),"Yooga")</f>
        <v>Yooga</v>
      </c>
      <c r="P8240" s="33">
        <f>IFERROR(__xludf.DUMMYFUNCTION("""COMPUTED_VALUE"""),1.0)</f>
        <v>1</v>
      </c>
      <c r="Q8240" s="4" t="str">
        <f>IFERROR(__xludf.DUMMYFUNCTION("""COMPUTED_VALUE"""),"Yooga")</f>
        <v>Yooga</v>
      </c>
      <c r="R8240" s="33">
        <f>IFERROR(__xludf.DUMMYFUNCTION("""COMPUTED_VALUE"""),1.0)</f>
        <v>1</v>
      </c>
      <c r="S8240" s="4" t="str">
        <f>IFERROR(__xludf.DUMMYFUNCTION("""COMPUTED_VALUE"""),"Yooga")</f>
        <v>Yooga</v>
      </c>
      <c r="T8240" s="33">
        <f>IFERROR(__xludf.DUMMYFUNCTION("""COMPUTED_VALUE"""),1.0)</f>
        <v>1</v>
      </c>
      <c r="U8240" s="4" t="str">
        <f>IFERROR(__xludf.DUMMYFUNCTION("""COMPUTED_VALUE"""),"Yooga")</f>
        <v>Yooga</v>
      </c>
      <c r="V8240" s="33">
        <f>IFERROR(__xludf.DUMMYFUNCTION("""COMPUTED_VALUE"""),1.0)</f>
        <v>1</v>
      </c>
      <c r="W8240" s="4" t="str">
        <f>IFERROR(__xludf.DUMMYFUNCTION("""COMPUTED_VALUE"""),"Yooga")</f>
        <v>Yooga</v>
      </c>
      <c r="X8240" s="33">
        <f>IFERROR(__xludf.DUMMYFUNCTION("""COMPUTED_VALUE"""),1.0)</f>
        <v>1</v>
      </c>
    </row>
    <row r="8241">
      <c r="K8241" s="4" t="str">
        <f>IFERROR(__xludf.DUMMYFUNCTION("""COMPUTED_VALUE"""),"ESFIHARIA OS MASSEROS")</f>
        <v>ESFIHARIA OS MASSEROS</v>
      </c>
      <c r="L8241" s="32">
        <f>IFERROR(__xludf.DUMMYFUNCTION("""COMPUTED_VALUE"""),1.0)</f>
        <v>1</v>
      </c>
      <c r="M8241" s="4" t="str">
        <f>IFERROR(__xludf.DUMMYFUNCTION("""COMPUTED_VALUE"""),"Winfood")</f>
        <v>Winfood</v>
      </c>
      <c r="N8241" s="33">
        <f>IFERROR(__xludf.DUMMYFUNCTION("""COMPUTED_VALUE"""),1.0)</f>
        <v>1</v>
      </c>
      <c r="O8241" s="4" t="str">
        <f>IFERROR(__xludf.DUMMYFUNCTION("""COMPUTED_VALUE"""),"null")</f>
        <v>null</v>
      </c>
      <c r="P8241" s="33">
        <f>IFERROR(__xludf.DUMMYFUNCTION("""COMPUTED_VALUE"""),1.0)</f>
        <v>1</v>
      </c>
      <c r="Q8241" s="4" t="str">
        <f>IFERROR(__xludf.DUMMYFUNCTION("""COMPUTED_VALUE"""),"null")</f>
        <v>null</v>
      </c>
      <c r="R8241" s="33">
        <f>IFERROR(__xludf.DUMMYFUNCTION("""COMPUTED_VALUE"""),1.0)</f>
        <v>1</v>
      </c>
      <c r="S8241" s="4" t="str">
        <f>IFERROR(__xludf.DUMMYFUNCTION("""COMPUTED_VALUE"""),"null")</f>
        <v>null</v>
      </c>
      <c r="T8241" s="33">
        <f>IFERROR(__xludf.DUMMYFUNCTION("""COMPUTED_VALUE"""),1.0)</f>
        <v>1</v>
      </c>
      <c r="U8241" s="4" t="str">
        <f>IFERROR(__xludf.DUMMYFUNCTION("""COMPUTED_VALUE"""),"null")</f>
        <v>null</v>
      </c>
      <c r="V8241" s="33">
        <f>IFERROR(__xludf.DUMMYFUNCTION("""COMPUTED_VALUE"""),1.0)</f>
        <v>1</v>
      </c>
      <c r="W8241" s="4" t="str">
        <f>IFERROR(__xludf.DUMMYFUNCTION("""COMPUTED_VALUE"""),"null")</f>
        <v>null</v>
      </c>
      <c r="X8241" s="33">
        <f>IFERROR(__xludf.DUMMYFUNCTION("""COMPUTED_VALUE"""),1.0)</f>
        <v>1</v>
      </c>
    </row>
    <row r="8242">
      <c r="K8242" s="4" t="str">
        <f>IFERROR(__xludf.DUMMYFUNCTION("""COMPUTED_VALUE"""),"RESTAURANTE PIZZARIA PRIMARELLA")</f>
        <v>RESTAURANTE PIZZARIA PRIMARELLA</v>
      </c>
      <c r="L8242" s="32">
        <f>IFERROR(__xludf.DUMMYFUNCTION("""COMPUTED_VALUE"""),1.0)</f>
        <v>1</v>
      </c>
      <c r="M8242" s="4" t="str">
        <f>IFERROR(__xludf.DUMMYFUNCTION("""COMPUTED_VALUE"""),"Anota Ai Solucoes Digitais S/a")</f>
        <v>Anota Ai Solucoes Digitais S/a</v>
      </c>
      <c r="N8242" s="33">
        <f>IFERROR(__xludf.DUMMYFUNCTION("""COMPUTED_VALUE"""),1.0)</f>
        <v>1</v>
      </c>
      <c r="O8242" s="4" t="str">
        <f>IFERROR(__xludf.DUMMYFUNCTION("""COMPUTED_VALUE"""),"null")</f>
        <v>null</v>
      </c>
      <c r="P8242" s="33">
        <f>IFERROR(__xludf.DUMMYFUNCTION("""COMPUTED_VALUE"""),1.0)</f>
        <v>1</v>
      </c>
      <c r="Q8242" s="4" t="str">
        <f>IFERROR(__xludf.DUMMYFUNCTION("""COMPUTED_VALUE"""),"Anota Ai Solucoes Digitais S/a")</f>
        <v>Anota Ai Solucoes Digitais S/a</v>
      </c>
      <c r="R8242" s="33">
        <f>IFERROR(__xludf.DUMMYFUNCTION("""COMPUTED_VALUE"""),1.0)</f>
        <v>1</v>
      </c>
      <c r="S8242" s="4" t="str">
        <f>IFERROR(__xludf.DUMMYFUNCTION("""COMPUTED_VALUE"""),"null")</f>
        <v>null</v>
      </c>
      <c r="T8242" s="33">
        <f>IFERROR(__xludf.DUMMYFUNCTION("""COMPUTED_VALUE"""),1.0)</f>
        <v>1</v>
      </c>
      <c r="U8242" s="4" t="str">
        <f>IFERROR(__xludf.DUMMYFUNCTION("""COMPUTED_VALUE"""),"null")</f>
        <v>null</v>
      </c>
      <c r="V8242" s="33">
        <f>IFERROR(__xludf.DUMMYFUNCTION("""COMPUTED_VALUE"""),1.0)</f>
        <v>1</v>
      </c>
      <c r="W8242" s="4" t="str">
        <f>IFERROR(__xludf.DUMMYFUNCTION("""COMPUTED_VALUE"""),"null")</f>
        <v>null</v>
      </c>
      <c r="X8242" s="33">
        <f>IFERROR(__xludf.DUMMYFUNCTION("""COMPUTED_VALUE"""),1.0)</f>
        <v>1</v>
      </c>
    </row>
    <row r="8243">
      <c r="K8243" s="4" t="str">
        <f>IFERROR(__xludf.DUMMYFUNCTION("""COMPUTED_VALUE"""),"RESTAURANTE PUXADINHO DO AUGUSTOS")</f>
        <v>RESTAURANTE PUXADINHO DO AUGUSTOS</v>
      </c>
      <c r="L8243" s="32">
        <f>IFERROR(__xludf.DUMMYFUNCTION("""COMPUTED_VALUE"""),1.0)</f>
        <v>1</v>
      </c>
      <c r="M8243" s="4" t="str">
        <f>IFERROR(__xludf.DUMMYFUNCTION("""COMPUTED_VALUE"""),"Menew - Linx")</f>
        <v>Menew - Linx</v>
      </c>
      <c r="N8243" s="33">
        <f>IFERROR(__xludf.DUMMYFUNCTION("""COMPUTED_VALUE"""),1.0)</f>
        <v>1</v>
      </c>
      <c r="O8243" s="4" t="str">
        <f>IFERROR(__xludf.DUMMYFUNCTION("""COMPUTED_VALUE"""),"Menew - Linx")</f>
        <v>Menew - Linx</v>
      </c>
      <c r="P8243" s="33">
        <f>IFERROR(__xludf.DUMMYFUNCTION("""COMPUTED_VALUE"""),1.0)</f>
        <v>1</v>
      </c>
      <c r="Q8243" s="4" t="str">
        <f>IFERROR(__xludf.DUMMYFUNCTION("""COMPUTED_VALUE"""),"Menew - Linx")</f>
        <v>Menew - Linx</v>
      </c>
      <c r="R8243" s="33">
        <f>IFERROR(__xludf.DUMMYFUNCTION("""COMPUTED_VALUE"""),1.0)</f>
        <v>1</v>
      </c>
      <c r="S8243" s="4" t="str">
        <f>IFERROR(__xludf.DUMMYFUNCTION("""COMPUTED_VALUE"""),"Menew - Linx")</f>
        <v>Menew - Linx</v>
      </c>
      <c r="T8243" s="33">
        <f>IFERROR(__xludf.DUMMYFUNCTION("""COMPUTED_VALUE"""),1.0)</f>
        <v>1</v>
      </c>
      <c r="U8243" s="4" t="str">
        <f>IFERROR(__xludf.DUMMYFUNCTION("""COMPUTED_VALUE"""),"Menew - Linx")</f>
        <v>Menew - Linx</v>
      </c>
      <c r="V8243" s="33">
        <f>IFERROR(__xludf.DUMMYFUNCTION("""COMPUTED_VALUE"""),1.0)</f>
        <v>1</v>
      </c>
      <c r="W8243" s="4" t="str">
        <f>IFERROR(__xludf.DUMMYFUNCTION("""COMPUTED_VALUE"""),"Menew - Linx")</f>
        <v>Menew - Linx</v>
      </c>
      <c r="X8243" s="33">
        <f>IFERROR(__xludf.DUMMYFUNCTION("""COMPUTED_VALUE"""),1.0)</f>
        <v>1</v>
      </c>
    </row>
    <row r="8244">
      <c r="K8244" s="4" t="str">
        <f>IFERROR(__xludf.DUMMYFUNCTION("""COMPUTED_VALUE"""),"CHURRASCARIA E PIZZARIA BEL SABOR")</f>
        <v>CHURRASCARIA E PIZZARIA BEL SABOR</v>
      </c>
      <c r="L8244" s="32">
        <f>IFERROR(__xludf.DUMMYFUNCTION("""COMPUTED_VALUE"""),1.0)</f>
        <v>1</v>
      </c>
      <c r="M8244" s="4" t="str">
        <f>IFERROR(__xludf.DUMMYFUNCTION("""COMPUTED_VALUE"""),"Anota Ai Solucoes Digitais S/a")</f>
        <v>Anota Ai Solucoes Digitais S/a</v>
      </c>
      <c r="N8244" s="33">
        <f>IFERROR(__xludf.DUMMYFUNCTION("""COMPUTED_VALUE"""),1.0)</f>
        <v>1</v>
      </c>
      <c r="O8244" s="4" t="str">
        <f>IFERROR(__xludf.DUMMYFUNCTION("""COMPUTED_VALUE"""),"Anota Ai Solucoes Digitais S/a")</f>
        <v>Anota Ai Solucoes Digitais S/a</v>
      </c>
      <c r="P8244" s="33">
        <f>IFERROR(__xludf.DUMMYFUNCTION("""COMPUTED_VALUE"""),1.0)</f>
        <v>1</v>
      </c>
      <c r="Q8244" s="4" t="str">
        <f>IFERROR(__xludf.DUMMYFUNCTION("""COMPUTED_VALUE"""),"Anota Ai Solucoes Digitais S/a")</f>
        <v>Anota Ai Solucoes Digitais S/a</v>
      </c>
      <c r="R8244" s="33">
        <f>IFERROR(__xludf.DUMMYFUNCTION("""COMPUTED_VALUE"""),1.0)</f>
        <v>1</v>
      </c>
      <c r="S8244" s="4" t="str">
        <f>IFERROR(__xludf.DUMMYFUNCTION("""COMPUTED_VALUE"""),"Anota Ai Solucoes Digitais S/a")</f>
        <v>Anota Ai Solucoes Digitais S/a</v>
      </c>
      <c r="T8244" s="33">
        <f>IFERROR(__xludf.DUMMYFUNCTION("""COMPUTED_VALUE"""),1.0)</f>
        <v>1</v>
      </c>
      <c r="U8244" s="4" t="str">
        <f>IFERROR(__xludf.DUMMYFUNCTION("""COMPUTED_VALUE"""),"Anota Ai Solucoes Digitais S/a")</f>
        <v>Anota Ai Solucoes Digitais S/a</v>
      </c>
      <c r="V8244" s="33">
        <f>IFERROR(__xludf.DUMMYFUNCTION("""COMPUTED_VALUE"""),1.0)</f>
        <v>1</v>
      </c>
      <c r="W8244" s="4" t="str">
        <f>IFERROR(__xludf.DUMMYFUNCTION("""COMPUTED_VALUE"""),"Anota Ai Solucoes Digitais S/a")</f>
        <v>Anota Ai Solucoes Digitais S/a</v>
      </c>
      <c r="X8244" s="33">
        <f>IFERROR(__xludf.DUMMYFUNCTION("""COMPUTED_VALUE"""),1.0)</f>
        <v>1</v>
      </c>
    </row>
    <row r="8245">
      <c r="K8245" s="4" t="str">
        <f>IFERROR(__xludf.DUMMYFUNCTION("""COMPUTED_VALUE"""),"DEUS E FIEL")</f>
        <v>DEUS E FIEL</v>
      </c>
      <c r="L8245" s="32">
        <f>IFERROR(__xludf.DUMMYFUNCTION("""COMPUTED_VALUE"""),1.0)</f>
        <v>1</v>
      </c>
      <c r="M8245" s="4" t="str">
        <f>IFERROR(__xludf.DUMMYFUNCTION("""COMPUTED_VALUE"""),"null")</f>
        <v>null</v>
      </c>
      <c r="N8245" s="33">
        <f>IFERROR(__xludf.DUMMYFUNCTION("""COMPUTED_VALUE"""),1.0)</f>
        <v>1</v>
      </c>
      <c r="O8245" s="4" t="str">
        <f>IFERROR(__xludf.DUMMYFUNCTION("""COMPUTED_VALUE"""),"null")</f>
        <v>null</v>
      </c>
      <c r="P8245" s="33">
        <f>IFERROR(__xludf.DUMMYFUNCTION("""COMPUTED_VALUE"""),1.0)</f>
        <v>1</v>
      </c>
      <c r="Q8245" s="4" t="str">
        <f>IFERROR(__xludf.DUMMYFUNCTION("""COMPUTED_VALUE"""),"null")</f>
        <v>null</v>
      </c>
      <c r="R8245" s="33">
        <f>IFERROR(__xludf.DUMMYFUNCTION("""COMPUTED_VALUE"""),1.0)</f>
        <v>1</v>
      </c>
      <c r="S8245" s="4" t="str">
        <f>IFERROR(__xludf.DUMMYFUNCTION("""COMPUTED_VALUE"""),"null")</f>
        <v>null</v>
      </c>
      <c r="T8245" s="33">
        <f>IFERROR(__xludf.DUMMYFUNCTION("""COMPUTED_VALUE"""),1.0)</f>
        <v>1</v>
      </c>
      <c r="U8245" s="4" t="str">
        <f>IFERROR(__xludf.DUMMYFUNCTION("""COMPUTED_VALUE"""),"Instadelivery")</f>
        <v>Instadelivery</v>
      </c>
      <c r="V8245" s="33">
        <f>IFERROR(__xludf.DUMMYFUNCTION("""COMPUTED_VALUE"""),1.0)</f>
        <v>1</v>
      </c>
      <c r="W8245" s="4" t="str">
        <f>IFERROR(__xludf.DUMMYFUNCTION("""COMPUTED_VALUE"""),"null")</f>
        <v>null</v>
      </c>
      <c r="X8245" s="33">
        <f>IFERROR(__xludf.DUMMYFUNCTION("""COMPUTED_VALUE"""),1.0)</f>
        <v>1</v>
      </c>
    </row>
    <row r="8246">
      <c r="K8246" s="4" t="str">
        <f>IFERROR(__xludf.DUMMYFUNCTION("""COMPUTED_VALUE"""),"RESTAURANTE E PIZZARIA UBATUBA - PIZZAS, MARMITAS PORCOES")</f>
        <v>RESTAURANTE E PIZZARIA UBATUBA - PIZZAS, MARMITAS PORCOES</v>
      </c>
      <c r="L8246" s="32">
        <f>IFERROR(__xludf.DUMMYFUNCTION("""COMPUTED_VALUE"""),1.0)</f>
        <v>1</v>
      </c>
      <c r="M8246" s="4" t="str">
        <f>IFERROR(__xludf.DUMMYFUNCTION("""COMPUTED_VALUE"""),"null")</f>
        <v>null</v>
      </c>
      <c r="N8246" s="33">
        <f>IFERROR(__xludf.DUMMYFUNCTION("""COMPUTED_VALUE"""),1.0)</f>
        <v>1</v>
      </c>
      <c r="O8246" s="4" t="str">
        <f>IFERROR(__xludf.DUMMYFUNCTION("""COMPUTED_VALUE"""),"null")</f>
        <v>null</v>
      </c>
      <c r="P8246" s="33">
        <f>IFERROR(__xludf.DUMMYFUNCTION("""COMPUTED_VALUE"""),1.0)</f>
        <v>1</v>
      </c>
      <c r="Q8246" s="4" t="str">
        <f>IFERROR(__xludf.DUMMYFUNCTION("""COMPUTED_VALUE"""),"null")</f>
        <v>null</v>
      </c>
      <c r="R8246" s="33">
        <f>IFERROR(__xludf.DUMMYFUNCTION("""COMPUTED_VALUE"""),1.0)</f>
        <v>1</v>
      </c>
      <c r="S8246" s="4" t="str">
        <f>IFERROR(__xludf.DUMMYFUNCTION("""COMPUTED_VALUE"""),"null")</f>
        <v>null</v>
      </c>
      <c r="T8246" s="33">
        <f>IFERROR(__xludf.DUMMYFUNCTION("""COMPUTED_VALUE"""),1.0)</f>
        <v>1</v>
      </c>
      <c r="U8246" s="4" t="str">
        <f>IFERROR(__xludf.DUMMYFUNCTION("""COMPUTED_VALUE"""),"null")</f>
        <v>null</v>
      </c>
      <c r="V8246" s="33">
        <f>IFERROR(__xludf.DUMMYFUNCTION("""COMPUTED_VALUE"""),1.0)</f>
        <v>1</v>
      </c>
      <c r="W8246" s="4" t="str">
        <f>IFERROR(__xludf.DUMMYFUNCTION("""COMPUTED_VALUE"""),"Saipos Serviços De Software")</f>
        <v>Saipos Serviços De Software</v>
      </c>
      <c r="X8246" s="33">
        <f>IFERROR(__xludf.DUMMYFUNCTION("""COMPUTED_VALUE"""),1.0)</f>
        <v>1</v>
      </c>
    </row>
    <row r="8247">
      <c r="K8247" s="4" t="str">
        <f>IFERROR(__xludf.DUMMYFUNCTION("""COMPUTED_VALUE"""),"ACAI DO BOREL")</f>
        <v>ACAI DO BOREL</v>
      </c>
      <c r="L8247" s="32">
        <f>IFERROR(__xludf.DUMMYFUNCTION("""COMPUTED_VALUE"""),1.0)</f>
        <v>1</v>
      </c>
      <c r="M8247" s="4" t="str">
        <f>IFERROR(__xludf.DUMMYFUNCTION("""COMPUTED_VALUE"""),"Saipos Serviços De Software")</f>
        <v>Saipos Serviços De Software</v>
      </c>
      <c r="N8247" s="33">
        <f>IFERROR(__xludf.DUMMYFUNCTION("""COMPUTED_VALUE"""),1.0)</f>
        <v>1</v>
      </c>
      <c r="O8247" s="4" t="str">
        <f>IFERROR(__xludf.DUMMYFUNCTION("""COMPUTED_VALUE"""),"Saipos Serviços De Software")</f>
        <v>Saipos Serviços De Software</v>
      </c>
      <c r="P8247" s="33">
        <f>IFERROR(__xludf.DUMMYFUNCTION("""COMPUTED_VALUE"""),1.0)</f>
        <v>1</v>
      </c>
      <c r="Q8247" s="4" t="str">
        <f>IFERROR(__xludf.DUMMYFUNCTION("""COMPUTED_VALUE"""),"Saipos Serviços De Software")</f>
        <v>Saipos Serviços De Software</v>
      </c>
      <c r="R8247" s="33">
        <f>IFERROR(__xludf.DUMMYFUNCTION("""COMPUTED_VALUE"""),1.0)</f>
        <v>1</v>
      </c>
      <c r="S8247" s="4" t="str">
        <f>IFERROR(__xludf.DUMMYFUNCTION("""COMPUTED_VALUE"""),"Saipos Serviços De Software")</f>
        <v>Saipos Serviços De Software</v>
      </c>
      <c r="T8247" s="33">
        <f>IFERROR(__xludf.DUMMYFUNCTION("""COMPUTED_VALUE"""),1.0)</f>
        <v>1</v>
      </c>
      <c r="U8247" s="4" t="str">
        <f>IFERROR(__xludf.DUMMYFUNCTION("""COMPUTED_VALUE"""),"Saipos Serviços De Software")</f>
        <v>Saipos Serviços De Software</v>
      </c>
      <c r="V8247" s="33">
        <f>IFERROR(__xludf.DUMMYFUNCTION("""COMPUTED_VALUE"""),1.0)</f>
        <v>1</v>
      </c>
      <c r="W8247" s="4" t="str">
        <f>IFERROR(__xludf.DUMMYFUNCTION("""COMPUTED_VALUE"""),"Saipos Serviços De Software")</f>
        <v>Saipos Serviços De Software</v>
      </c>
      <c r="X8247" s="33">
        <f>IFERROR(__xludf.DUMMYFUNCTION("""COMPUTED_VALUE"""),1.0)</f>
        <v>1</v>
      </c>
    </row>
    <row r="8248">
      <c r="K8248" s="4" t="str">
        <f>IFERROR(__xludf.DUMMYFUNCTION("""COMPUTED_VALUE"""),"MERCADO DO LEIR")</f>
        <v>MERCADO DO LEIR</v>
      </c>
      <c r="L8248" s="32">
        <f>IFERROR(__xludf.DUMMYFUNCTION("""COMPUTED_VALUE"""),1.0)</f>
        <v>1</v>
      </c>
      <c r="M8248" s="4" t="str">
        <f>IFERROR(__xludf.DUMMYFUNCTION("""COMPUTED_VALUE"""),"N/A (Not found)")</f>
        <v>N/A (Not found)</v>
      </c>
      <c r="N8248" s="33">
        <f>IFERROR(__xludf.DUMMYFUNCTION("""COMPUTED_VALUE"""),1.0)</f>
        <v>1</v>
      </c>
      <c r="O8248" s="4" t="str">
        <f>IFERROR(__xludf.DUMMYFUNCTION("""COMPUTED_VALUE"""),"N/A (Not found)")</f>
        <v>N/A (Not found)</v>
      </c>
      <c r="P8248" s="33">
        <f>IFERROR(__xludf.DUMMYFUNCTION("""COMPUTED_VALUE"""),1.0)</f>
        <v>1</v>
      </c>
      <c r="Q8248" s="4" t="str">
        <f>IFERROR(__xludf.DUMMYFUNCTION("""COMPUTED_VALUE"""),"null")</f>
        <v>null</v>
      </c>
      <c r="R8248" s="33">
        <f>IFERROR(__xludf.DUMMYFUNCTION("""COMPUTED_VALUE"""),1.0)</f>
        <v>1</v>
      </c>
      <c r="S8248" s="4" t="str">
        <f>IFERROR(__xludf.DUMMYFUNCTION("""COMPUTED_VALUE"""),"null")</f>
        <v>null</v>
      </c>
      <c r="T8248" s="33">
        <f>IFERROR(__xludf.DUMMYFUNCTION("""COMPUTED_VALUE"""),1.0)</f>
        <v>1</v>
      </c>
      <c r="U8248" s="4" t="str">
        <f>IFERROR(__xludf.DUMMYFUNCTION("""COMPUTED_VALUE"""),"null")</f>
        <v>null</v>
      </c>
      <c r="V8248" s="33">
        <f>IFERROR(__xludf.DUMMYFUNCTION("""COMPUTED_VALUE"""),1.0)</f>
        <v>1</v>
      </c>
      <c r="W8248" s="4" t="str">
        <f>IFERROR(__xludf.DUMMYFUNCTION("""COMPUTED_VALUE"""),"null")</f>
        <v>null</v>
      </c>
      <c r="X8248" s="33">
        <f>IFERROR(__xludf.DUMMYFUNCTION("""COMPUTED_VALUE"""),1.0)</f>
        <v>1</v>
      </c>
    </row>
    <row r="8249">
      <c r="K8249" s="4" t="str">
        <f>IFERROR(__xludf.DUMMYFUNCTION("""COMPUTED_VALUE"""),"PIZZARIA ON FIRE")</f>
        <v>PIZZARIA ON FIRE</v>
      </c>
      <c r="L8249" s="32">
        <f>IFERROR(__xludf.DUMMYFUNCTION("""COMPUTED_VALUE"""),1.0)</f>
        <v>1</v>
      </c>
      <c r="M8249" s="4" t="str">
        <f>IFERROR(__xludf.DUMMYFUNCTION("""COMPUTED_VALUE"""),"null")</f>
        <v>null</v>
      </c>
      <c r="N8249" s="33">
        <f>IFERROR(__xludf.DUMMYFUNCTION("""COMPUTED_VALUE"""),1.0)</f>
        <v>1</v>
      </c>
      <c r="O8249" s="4" t="str">
        <f>IFERROR(__xludf.DUMMYFUNCTION("""COMPUTED_VALUE"""),"null")</f>
        <v>null</v>
      </c>
      <c r="P8249" s="33">
        <f>IFERROR(__xludf.DUMMYFUNCTION("""COMPUTED_VALUE"""),1.0)</f>
        <v>1</v>
      </c>
      <c r="Q8249" s="4" t="str">
        <f>IFERROR(__xludf.DUMMYFUNCTION("""COMPUTED_VALUE"""),"null")</f>
        <v>null</v>
      </c>
      <c r="R8249" s="33">
        <f>IFERROR(__xludf.DUMMYFUNCTION("""COMPUTED_VALUE"""),1.0)</f>
        <v>1</v>
      </c>
      <c r="S8249" s="4" t="str">
        <f>IFERROR(__xludf.DUMMYFUNCTION("""COMPUTED_VALUE"""),"null")</f>
        <v>null</v>
      </c>
      <c r="T8249" s="33">
        <f>IFERROR(__xludf.DUMMYFUNCTION("""COMPUTED_VALUE"""),1.0)</f>
        <v>1</v>
      </c>
      <c r="U8249" s="4" t="str">
        <f>IFERROR(__xludf.DUMMYFUNCTION("""COMPUTED_VALUE"""),"null")</f>
        <v>null</v>
      </c>
      <c r="V8249" s="33">
        <f>IFERROR(__xludf.DUMMYFUNCTION("""COMPUTED_VALUE"""),1.0)</f>
        <v>1</v>
      </c>
      <c r="W8249" s="4" t="str">
        <f>IFERROR(__xludf.DUMMYFUNCTION("""COMPUTED_VALUE"""),"Sigmenu Tecnologia E Marketing Ltda")</f>
        <v>Sigmenu Tecnologia E Marketing Ltda</v>
      </c>
      <c r="X8249" s="33">
        <f>IFERROR(__xludf.DUMMYFUNCTION("""COMPUTED_VALUE"""),1.0)</f>
        <v>1</v>
      </c>
    </row>
    <row r="8250">
      <c r="K8250" s="4" t="str">
        <f>IFERROR(__xludf.DUMMYFUNCTION("""COMPUTED_VALUE"""),"ESKINA MOGI")</f>
        <v>ESKINA MOGI</v>
      </c>
      <c r="L8250" s="32">
        <f>IFERROR(__xludf.DUMMYFUNCTION("""COMPUTED_VALUE"""),1.0)</f>
        <v>1</v>
      </c>
      <c r="M8250" s="4" t="str">
        <f>IFERROR(__xludf.DUMMYFUNCTION("""COMPUTED_VALUE"""),"Consumer Soluções Em Tecnologia Ltda")</f>
        <v>Consumer Soluções Em Tecnologia Ltda</v>
      </c>
      <c r="N8250" s="33">
        <f>IFERROR(__xludf.DUMMYFUNCTION("""COMPUTED_VALUE"""),1.0)</f>
        <v>1</v>
      </c>
      <c r="O8250" s="4" t="str">
        <f>IFERROR(__xludf.DUMMYFUNCTION("""COMPUTED_VALUE"""),"null")</f>
        <v>null</v>
      </c>
      <c r="P8250" s="33">
        <f>IFERROR(__xludf.DUMMYFUNCTION("""COMPUTED_VALUE"""),1.0)</f>
        <v>1</v>
      </c>
      <c r="Q8250" s="4" t="str">
        <f>IFERROR(__xludf.DUMMYFUNCTION("""COMPUTED_VALUE"""),"null")</f>
        <v>null</v>
      </c>
      <c r="R8250" s="33">
        <f>IFERROR(__xludf.DUMMYFUNCTION("""COMPUTED_VALUE"""),1.0)</f>
        <v>1</v>
      </c>
      <c r="S8250" s="4" t="str">
        <f>IFERROR(__xludf.DUMMYFUNCTION("""COMPUTED_VALUE"""),"Consumer Soluções Em Tecnologia Ltda")</f>
        <v>Consumer Soluções Em Tecnologia Ltda</v>
      </c>
      <c r="T8250" s="33">
        <f>IFERROR(__xludf.DUMMYFUNCTION("""COMPUTED_VALUE"""),1.0)</f>
        <v>1</v>
      </c>
      <c r="U8250" s="4" t="str">
        <f>IFERROR(__xludf.DUMMYFUNCTION("""COMPUTED_VALUE"""),"null")</f>
        <v>null</v>
      </c>
      <c r="V8250" s="33">
        <f>IFERROR(__xludf.DUMMYFUNCTION("""COMPUTED_VALUE"""),1.0)</f>
        <v>1</v>
      </c>
      <c r="W8250" s="4" t="str">
        <f>IFERROR(__xludf.DUMMYFUNCTION("""COMPUTED_VALUE"""),"Consumer Soluções Em Tecnologia Ltda")</f>
        <v>Consumer Soluções Em Tecnologia Ltda</v>
      </c>
      <c r="X8250" s="33">
        <f>IFERROR(__xludf.DUMMYFUNCTION("""COMPUTED_VALUE"""),1.0)</f>
        <v>1</v>
      </c>
    </row>
    <row r="8251">
      <c r="K8251" s="4" t="str">
        <f>IFERROR(__xludf.DUMMYFUNCTION("""COMPUTED_VALUE"""),"A BARONEZA - HAMBURGUERIA E SUSHI BAR")</f>
        <v>A BARONEZA - HAMBURGUERIA E SUSHI BAR</v>
      </c>
      <c r="L8251" s="32">
        <f>IFERROR(__xludf.DUMMYFUNCTION("""COMPUTED_VALUE"""),1.0)</f>
        <v>1</v>
      </c>
      <c r="M8251" s="4" t="str">
        <f>IFERROR(__xludf.DUMMYFUNCTION("""COMPUTED_VALUE"""),"Like Sistemas")</f>
        <v>Like Sistemas</v>
      </c>
      <c r="N8251" s="33">
        <f>IFERROR(__xludf.DUMMYFUNCTION("""COMPUTED_VALUE"""),1.0)</f>
        <v>1</v>
      </c>
      <c r="O8251" s="4" t="str">
        <f>IFERROR(__xludf.DUMMYFUNCTION("""COMPUTED_VALUE"""),"Like Sistemas")</f>
        <v>Like Sistemas</v>
      </c>
      <c r="P8251" s="33">
        <f>IFERROR(__xludf.DUMMYFUNCTION("""COMPUTED_VALUE"""),1.0)</f>
        <v>1</v>
      </c>
      <c r="Q8251" s="4" t="str">
        <f>IFERROR(__xludf.DUMMYFUNCTION("""COMPUTED_VALUE"""),"Like Sistemas")</f>
        <v>Like Sistemas</v>
      </c>
      <c r="R8251" s="33">
        <f>IFERROR(__xludf.DUMMYFUNCTION("""COMPUTED_VALUE"""),1.0)</f>
        <v>1</v>
      </c>
      <c r="S8251" s="4" t="str">
        <f>IFERROR(__xludf.DUMMYFUNCTION("""COMPUTED_VALUE"""),"Like Sistemas")</f>
        <v>Like Sistemas</v>
      </c>
      <c r="T8251" s="33">
        <f>IFERROR(__xludf.DUMMYFUNCTION("""COMPUTED_VALUE"""),1.0)</f>
        <v>1</v>
      </c>
      <c r="U8251" s="4" t="str">
        <f>IFERROR(__xludf.DUMMYFUNCTION("""COMPUTED_VALUE"""),"Like Sistemas")</f>
        <v>Like Sistemas</v>
      </c>
      <c r="V8251" s="33">
        <f>IFERROR(__xludf.DUMMYFUNCTION("""COMPUTED_VALUE"""),1.0)</f>
        <v>1</v>
      </c>
      <c r="W8251" s="4" t="str">
        <f>IFERROR(__xludf.DUMMYFUNCTION("""COMPUTED_VALUE"""),"Like Sistemas")</f>
        <v>Like Sistemas</v>
      </c>
      <c r="X8251" s="33">
        <f>IFERROR(__xludf.DUMMYFUNCTION("""COMPUTED_VALUE"""),1.0)</f>
        <v>1</v>
      </c>
    </row>
    <row r="8252">
      <c r="K8252" s="4" t="str">
        <f>IFERROR(__xludf.DUMMYFUNCTION("""COMPUTED_VALUE"""),"TASTY BURGER GARAGE")</f>
        <v>TASTY BURGER GARAGE</v>
      </c>
      <c r="L8252" s="32">
        <f>IFERROR(__xludf.DUMMYFUNCTION("""COMPUTED_VALUE"""),1.0)</f>
        <v>1</v>
      </c>
      <c r="M8252" s="4" t="str">
        <f>IFERROR(__xludf.DUMMYFUNCTION("""COMPUTED_VALUE"""),"Cardápio Web")</f>
        <v>Cardápio Web</v>
      </c>
      <c r="N8252" s="33">
        <f>IFERROR(__xludf.DUMMYFUNCTION("""COMPUTED_VALUE"""),1.0)</f>
        <v>1</v>
      </c>
      <c r="O8252" s="4" t="str">
        <f>IFERROR(__xludf.DUMMYFUNCTION("""COMPUTED_VALUE"""),"Cardápio Web")</f>
        <v>Cardápio Web</v>
      </c>
      <c r="P8252" s="33">
        <f>IFERROR(__xludf.DUMMYFUNCTION("""COMPUTED_VALUE"""),1.0)</f>
        <v>1</v>
      </c>
      <c r="Q8252" s="4" t="str">
        <f>IFERROR(__xludf.DUMMYFUNCTION("""COMPUTED_VALUE"""),"Cardápio Web")</f>
        <v>Cardápio Web</v>
      </c>
      <c r="R8252" s="33">
        <f>IFERROR(__xludf.DUMMYFUNCTION("""COMPUTED_VALUE"""),1.0)</f>
        <v>1</v>
      </c>
      <c r="S8252" s="4" t="str">
        <f>IFERROR(__xludf.DUMMYFUNCTION("""COMPUTED_VALUE"""),"Cardápio Web")</f>
        <v>Cardápio Web</v>
      </c>
      <c r="T8252" s="33">
        <f>IFERROR(__xludf.DUMMYFUNCTION("""COMPUTED_VALUE"""),1.0)</f>
        <v>1</v>
      </c>
      <c r="U8252" s="4" t="str">
        <f>IFERROR(__xludf.DUMMYFUNCTION("""COMPUTED_VALUE"""),"Cardápio Web")</f>
        <v>Cardápio Web</v>
      </c>
      <c r="V8252" s="33">
        <f>IFERROR(__xludf.DUMMYFUNCTION("""COMPUTED_VALUE"""),1.0)</f>
        <v>1</v>
      </c>
      <c r="W8252" s="4" t="str">
        <f>IFERROR(__xludf.DUMMYFUNCTION("""COMPUTED_VALUE"""),"Cardápio Web")</f>
        <v>Cardápio Web</v>
      </c>
      <c r="X8252" s="33">
        <f>IFERROR(__xludf.DUMMYFUNCTION("""COMPUTED_VALUE"""),1.0)</f>
        <v>1</v>
      </c>
    </row>
    <row r="8253">
      <c r="K8253" s="4" t="str">
        <f>IFERROR(__xludf.DUMMYFUNCTION("""COMPUTED_VALUE"""),"DIVINA TERRA")</f>
        <v>DIVINA TERRA</v>
      </c>
      <c r="L8253" s="32">
        <f>IFERROR(__xludf.DUMMYFUNCTION("""COMPUTED_VALUE"""),1.0)</f>
        <v>1</v>
      </c>
      <c r="M8253" s="4" t="str">
        <f>IFERROR(__xludf.DUMMYFUNCTION("""COMPUTED_VALUE"""),"N/A (Not found)")</f>
        <v>N/A (Not found)</v>
      </c>
      <c r="N8253" s="33">
        <f>IFERROR(__xludf.DUMMYFUNCTION("""COMPUTED_VALUE"""),1.0)</f>
        <v>1</v>
      </c>
      <c r="O8253" s="4" t="str">
        <f>IFERROR(__xludf.DUMMYFUNCTION("""COMPUTED_VALUE"""),"N/A (Not found)")</f>
        <v>N/A (Not found)</v>
      </c>
      <c r="P8253" s="33">
        <f>IFERROR(__xludf.DUMMYFUNCTION("""COMPUTED_VALUE"""),1.0)</f>
        <v>1</v>
      </c>
      <c r="Q8253" s="4" t="str">
        <f>IFERROR(__xludf.DUMMYFUNCTION("""COMPUTED_VALUE"""),"null")</f>
        <v>null</v>
      </c>
      <c r="R8253" s="33">
        <f>IFERROR(__xludf.DUMMYFUNCTION("""COMPUTED_VALUE"""),1.0)</f>
        <v>1</v>
      </c>
      <c r="S8253" s="4" t="str">
        <f>IFERROR(__xludf.DUMMYFUNCTION("""COMPUTED_VALUE"""),"N/A (Not found)")</f>
        <v>N/A (Not found)</v>
      </c>
      <c r="T8253" s="33">
        <f>IFERROR(__xludf.DUMMYFUNCTION("""COMPUTED_VALUE"""),1.0)</f>
        <v>1</v>
      </c>
      <c r="U8253" s="4" t="str">
        <f>IFERROR(__xludf.DUMMYFUNCTION("""COMPUTED_VALUE"""),"N/A (Not found)")</f>
        <v>N/A (Not found)</v>
      </c>
      <c r="V8253" s="33">
        <f>IFERROR(__xludf.DUMMYFUNCTION("""COMPUTED_VALUE"""),1.0)</f>
        <v>1</v>
      </c>
      <c r="W8253" s="4" t="str">
        <f>IFERROR(__xludf.DUMMYFUNCTION("""COMPUTED_VALUE"""),"N/A (Not found)")</f>
        <v>N/A (Not found)</v>
      </c>
      <c r="X8253" s="33">
        <f>IFERROR(__xludf.DUMMYFUNCTION("""COMPUTED_VALUE"""),1.0)</f>
        <v>1</v>
      </c>
    </row>
    <row r="8254">
      <c r="K8254" s="4" t="str">
        <f>IFERROR(__xludf.DUMMYFUNCTION("""COMPUTED_VALUE"""),"BRIE ROTISSERIE")</f>
        <v>BRIE ROTISSERIE</v>
      </c>
      <c r="L8254" s="32">
        <f>IFERROR(__xludf.DUMMYFUNCTION("""COMPUTED_VALUE"""),1.0)</f>
        <v>1</v>
      </c>
      <c r="M8254" s="4" t="str">
        <f>IFERROR(__xludf.DUMMYFUNCTION("""COMPUTED_VALUE"""),"Starway Sistemas")</f>
        <v>Starway Sistemas</v>
      </c>
      <c r="N8254" s="33">
        <f>IFERROR(__xludf.DUMMYFUNCTION("""COMPUTED_VALUE"""),1.0)</f>
        <v>1</v>
      </c>
      <c r="O8254" s="4" t="str">
        <f>IFERROR(__xludf.DUMMYFUNCTION("""COMPUTED_VALUE"""),"Starway Sistemas")</f>
        <v>Starway Sistemas</v>
      </c>
      <c r="P8254" s="33">
        <f>IFERROR(__xludf.DUMMYFUNCTION("""COMPUTED_VALUE"""),1.0)</f>
        <v>1</v>
      </c>
      <c r="Q8254" s="4" t="str">
        <f>IFERROR(__xludf.DUMMYFUNCTION("""COMPUTED_VALUE"""),"Starway Sistemas")</f>
        <v>Starway Sistemas</v>
      </c>
      <c r="R8254" s="33">
        <f>IFERROR(__xludf.DUMMYFUNCTION("""COMPUTED_VALUE"""),1.0)</f>
        <v>1</v>
      </c>
      <c r="S8254" s="4" t="str">
        <f>IFERROR(__xludf.DUMMYFUNCTION("""COMPUTED_VALUE"""),"Starway Sistemas")</f>
        <v>Starway Sistemas</v>
      </c>
      <c r="T8254" s="33">
        <f>IFERROR(__xludf.DUMMYFUNCTION("""COMPUTED_VALUE"""),1.0)</f>
        <v>1</v>
      </c>
      <c r="U8254" s="4" t="str">
        <f>IFERROR(__xludf.DUMMYFUNCTION("""COMPUTED_VALUE"""),"Starway Sistemas")</f>
        <v>Starway Sistemas</v>
      </c>
      <c r="V8254" s="33">
        <f>IFERROR(__xludf.DUMMYFUNCTION("""COMPUTED_VALUE"""),1.0)</f>
        <v>1</v>
      </c>
      <c r="W8254" s="4" t="str">
        <f>IFERROR(__xludf.DUMMYFUNCTION("""COMPUTED_VALUE"""),"Starway Sistemas")</f>
        <v>Starway Sistemas</v>
      </c>
      <c r="X8254" s="33">
        <f>IFERROR(__xludf.DUMMYFUNCTION("""COMPUTED_VALUE"""),1.0)</f>
        <v>1</v>
      </c>
    </row>
    <row r="8255">
      <c r="K8255" s="4" t="str">
        <f>IFERROR(__xludf.DUMMYFUNCTION("""COMPUTED_VALUE"""),"LAIS DOCES FINOS")</f>
        <v>LAIS DOCES FINOS</v>
      </c>
      <c r="L8255" s="32">
        <f>IFERROR(__xludf.DUMMYFUNCTION("""COMPUTED_VALUE"""),1.0)</f>
        <v>1</v>
      </c>
      <c r="M8255" s="4" t="str">
        <f>IFERROR(__xludf.DUMMYFUNCTION("""COMPUTED_VALUE"""),"null")</f>
        <v>null</v>
      </c>
      <c r="N8255" s="33">
        <f>IFERROR(__xludf.DUMMYFUNCTION("""COMPUTED_VALUE"""),1.0)</f>
        <v>1</v>
      </c>
      <c r="O8255" s="4" t="str">
        <f>IFERROR(__xludf.DUMMYFUNCTION("""COMPUTED_VALUE"""),"Instadelivery")</f>
        <v>Instadelivery</v>
      </c>
      <c r="P8255" s="33">
        <f>IFERROR(__xludf.DUMMYFUNCTION("""COMPUTED_VALUE"""),1.0)</f>
        <v>1</v>
      </c>
      <c r="Q8255" s="4" t="str">
        <f>IFERROR(__xludf.DUMMYFUNCTION("""COMPUTED_VALUE"""),"null")</f>
        <v>null</v>
      </c>
      <c r="R8255" s="33">
        <f>IFERROR(__xludf.DUMMYFUNCTION("""COMPUTED_VALUE"""),1.0)</f>
        <v>1</v>
      </c>
      <c r="S8255" s="4" t="str">
        <f>IFERROR(__xludf.DUMMYFUNCTION("""COMPUTED_VALUE"""),"Instadelivery")</f>
        <v>Instadelivery</v>
      </c>
      <c r="T8255" s="33">
        <f>IFERROR(__xludf.DUMMYFUNCTION("""COMPUTED_VALUE"""),1.0)</f>
        <v>1</v>
      </c>
      <c r="U8255" s="4" t="str">
        <f>IFERROR(__xludf.DUMMYFUNCTION("""COMPUTED_VALUE"""),"Instadelivery")</f>
        <v>Instadelivery</v>
      </c>
      <c r="V8255" s="33">
        <f>IFERROR(__xludf.DUMMYFUNCTION("""COMPUTED_VALUE"""),1.0)</f>
        <v>1</v>
      </c>
      <c r="W8255" s="4" t="str">
        <f>IFERROR(__xludf.DUMMYFUNCTION("""COMPUTED_VALUE"""),"Instadelivery")</f>
        <v>Instadelivery</v>
      </c>
      <c r="X8255" s="33">
        <f>IFERROR(__xludf.DUMMYFUNCTION("""COMPUTED_VALUE"""),1.0)</f>
        <v>1</v>
      </c>
    </row>
    <row r="8256">
      <c r="K8256" s="4" t="str">
        <f>IFERROR(__xludf.DUMMYFUNCTION("""COMPUTED_VALUE"""),"ACAI MANIA - LIBERDADE")</f>
        <v>ACAI MANIA - LIBERDADE</v>
      </c>
      <c r="L8256" s="32">
        <f>IFERROR(__xludf.DUMMYFUNCTION("""COMPUTED_VALUE"""),1.0)</f>
        <v>1</v>
      </c>
      <c r="M8256" s="4" t="str">
        <f>IFERROR(__xludf.DUMMYFUNCTION("""COMPUTED_VALUE"""),"Alloy Tecnologia")</f>
        <v>Alloy Tecnologia</v>
      </c>
      <c r="N8256" s="33">
        <f>IFERROR(__xludf.DUMMYFUNCTION("""COMPUTED_VALUE"""),1.0)</f>
        <v>1</v>
      </c>
      <c r="O8256" s="4" t="str">
        <f>IFERROR(__xludf.DUMMYFUNCTION("""COMPUTED_VALUE"""),"null")</f>
        <v>null</v>
      </c>
      <c r="P8256" s="33">
        <f>IFERROR(__xludf.DUMMYFUNCTION("""COMPUTED_VALUE"""),1.0)</f>
        <v>1</v>
      </c>
      <c r="Q8256" s="4" t="str">
        <f>IFERROR(__xludf.DUMMYFUNCTION("""COMPUTED_VALUE"""),"null")</f>
        <v>null</v>
      </c>
      <c r="R8256" s="33">
        <f>IFERROR(__xludf.DUMMYFUNCTION("""COMPUTED_VALUE"""),1.0)</f>
        <v>1</v>
      </c>
      <c r="S8256" s="4" t="str">
        <f>IFERROR(__xludf.DUMMYFUNCTION("""COMPUTED_VALUE"""),"null")</f>
        <v>null</v>
      </c>
      <c r="T8256" s="33">
        <f>IFERROR(__xludf.DUMMYFUNCTION("""COMPUTED_VALUE"""),1.0)</f>
        <v>1</v>
      </c>
      <c r="U8256" s="4" t="str">
        <f>IFERROR(__xludf.DUMMYFUNCTION("""COMPUTED_VALUE"""),"null")</f>
        <v>null</v>
      </c>
      <c r="V8256" s="33">
        <f>IFERROR(__xludf.DUMMYFUNCTION("""COMPUTED_VALUE"""),1.0)</f>
        <v>1</v>
      </c>
      <c r="W8256" s="4" t="str">
        <f>IFERROR(__xludf.DUMMYFUNCTION("""COMPUTED_VALUE"""),"null")</f>
        <v>null</v>
      </c>
      <c r="X8256" s="33">
        <f>IFERROR(__xludf.DUMMYFUNCTION("""COMPUTED_VALUE"""),1.0)</f>
        <v>1</v>
      </c>
    </row>
    <row r="8257">
      <c r="K8257" s="4" t="str">
        <f>IFERROR(__xludf.DUMMYFUNCTION("""COMPUTED_VALUE"""),"HIPER ESFIHA VILA CARRAO")</f>
        <v>HIPER ESFIHA VILA CARRAO</v>
      </c>
      <c r="L8257" s="32">
        <f>IFERROR(__xludf.DUMMYFUNCTION("""COMPUTED_VALUE"""),1.0)</f>
        <v>1</v>
      </c>
      <c r="M8257" s="4" t="str">
        <f>IFERROR(__xludf.DUMMYFUNCTION("""COMPUTED_VALUE"""),"Takeat Tecnologia")</f>
        <v>Takeat Tecnologia</v>
      </c>
      <c r="N8257" s="33">
        <f>IFERROR(__xludf.DUMMYFUNCTION("""COMPUTED_VALUE"""),1.0)</f>
        <v>1</v>
      </c>
      <c r="O8257" s="4" t="str">
        <f>IFERROR(__xludf.DUMMYFUNCTION("""COMPUTED_VALUE"""),"Takeat Tecnologia")</f>
        <v>Takeat Tecnologia</v>
      </c>
      <c r="P8257" s="33">
        <f>IFERROR(__xludf.DUMMYFUNCTION("""COMPUTED_VALUE"""),1.0)</f>
        <v>1</v>
      </c>
      <c r="Q8257" s="4" t="str">
        <f>IFERROR(__xludf.DUMMYFUNCTION("""COMPUTED_VALUE"""),"Takeat Tecnologia")</f>
        <v>Takeat Tecnologia</v>
      </c>
      <c r="R8257" s="33">
        <f>IFERROR(__xludf.DUMMYFUNCTION("""COMPUTED_VALUE"""),1.0)</f>
        <v>1</v>
      </c>
      <c r="S8257" s="4" t="str">
        <f>IFERROR(__xludf.DUMMYFUNCTION("""COMPUTED_VALUE"""),"Takeat Tecnologia")</f>
        <v>Takeat Tecnologia</v>
      </c>
      <c r="T8257" s="33">
        <f>IFERROR(__xludf.DUMMYFUNCTION("""COMPUTED_VALUE"""),1.0)</f>
        <v>1</v>
      </c>
      <c r="U8257" s="4" t="str">
        <f>IFERROR(__xludf.DUMMYFUNCTION("""COMPUTED_VALUE"""),"Takeat Tecnologia")</f>
        <v>Takeat Tecnologia</v>
      </c>
      <c r="V8257" s="33">
        <f>IFERROR(__xludf.DUMMYFUNCTION("""COMPUTED_VALUE"""),1.0)</f>
        <v>1</v>
      </c>
      <c r="W8257" s="4" t="str">
        <f>IFERROR(__xludf.DUMMYFUNCTION("""COMPUTED_VALUE"""),"Takeat Tecnologia")</f>
        <v>Takeat Tecnologia</v>
      </c>
      <c r="X8257" s="33">
        <f>IFERROR(__xludf.DUMMYFUNCTION("""COMPUTED_VALUE"""),1.0)</f>
        <v>1</v>
      </c>
    </row>
    <row r="8258">
      <c r="K8258" s="4" t="str">
        <f>IFERROR(__xludf.DUMMYFUNCTION("""COMPUTED_VALUE"""),"PONTO DO FRANGO E ASSADOS BH")</f>
        <v>PONTO DO FRANGO E ASSADOS BH</v>
      </c>
      <c r="L8258" s="32">
        <f>IFERROR(__xludf.DUMMYFUNCTION("""COMPUTED_VALUE"""),1.0)</f>
        <v>1</v>
      </c>
      <c r="M8258" s="4" t="str">
        <f>IFERROR(__xludf.DUMMYFUNCTION("""COMPUTED_VALUE"""),"Anota Ai Solucoes Digitais S/a")</f>
        <v>Anota Ai Solucoes Digitais S/a</v>
      </c>
      <c r="N8258" s="33">
        <f>IFERROR(__xludf.DUMMYFUNCTION("""COMPUTED_VALUE"""),1.0)</f>
        <v>1</v>
      </c>
      <c r="O8258" s="4" t="str">
        <f>IFERROR(__xludf.DUMMYFUNCTION("""COMPUTED_VALUE"""),"Anota Ai Solucoes Digitais S/a")</f>
        <v>Anota Ai Solucoes Digitais S/a</v>
      </c>
      <c r="P8258" s="33">
        <f>IFERROR(__xludf.DUMMYFUNCTION("""COMPUTED_VALUE"""),1.0)</f>
        <v>1</v>
      </c>
      <c r="Q8258" s="4" t="str">
        <f>IFERROR(__xludf.DUMMYFUNCTION("""COMPUTED_VALUE"""),"null")</f>
        <v>null</v>
      </c>
      <c r="R8258" s="33">
        <f>IFERROR(__xludf.DUMMYFUNCTION("""COMPUTED_VALUE"""),1.0)</f>
        <v>1</v>
      </c>
      <c r="S8258" s="4" t="str">
        <f>IFERROR(__xludf.DUMMYFUNCTION("""COMPUTED_VALUE"""),"null")</f>
        <v>null</v>
      </c>
      <c r="T8258" s="33">
        <f>IFERROR(__xludf.DUMMYFUNCTION("""COMPUTED_VALUE"""),1.0)</f>
        <v>1</v>
      </c>
      <c r="U8258" s="4" t="str">
        <f>IFERROR(__xludf.DUMMYFUNCTION("""COMPUTED_VALUE"""),"null")</f>
        <v>null</v>
      </c>
      <c r="V8258" s="33">
        <f>IFERROR(__xludf.DUMMYFUNCTION("""COMPUTED_VALUE"""),1.0)</f>
        <v>1</v>
      </c>
      <c r="W8258" s="4" t="str">
        <f>IFERROR(__xludf.DUMMYFUNCTION("""COMPUTED_VALUE"""),"null")</f>
        <v>null</v>
      </c>
      <c r="X8258" s="33">
        <f>IFERROR(__xludf.DUMMYFUNCTION("""COMPUTED_VALUE"""),1.0)</f>
        <v>1</v>
      </c>
    </row>
    <row r="8259">
      <c r="K8259" s="4" t="str">
        <f>IFERROR(__xludf.DUMMYFUNCTION("""COMPUTED_VALUE"""),"EL PADRE BURGERS - BARRA DA LAGOA")</f>
        <v>EL PADRE BURGERS - BARRA DA LAGOA</v>
      </c>
      <c r="L8259" s="32">
        <f>IFERROR(__xludf.DUMMYFUNCTION("""COMPUTED_VALUE"""),1.0)</f>
        <v>1</v>
      </c>
      <c r="M8259" s="4" t="str">
        <f>IFERROR(__xludf.DUMMYFUNCTION("""COMPUTED_VALUE"""),"Suitable Tecnologia E Gestao")</f>
        <v>Suitable Tecnologia E Gestao</v>
      </c>
      <c r="N8259" s="33">
        <f>IFERROR(__xludf.DUMMYFUNCTION("""COMPUTED_VALUE"""),1.0)</f>
        <v>1</v>
      </c>
      <c r="O8259" s="4" t="str">
        <f>IFERROR(__xludf.DUMMYFUNCTION("""COMPUTED_VALUE"""),"Suitable Tecnologia E Gestao")</f>
        <v>Suitable Tecnologia E Gestao</v>
      </c>
      <c r="P8259" s="33">
        <f>IFERROR(__xludf.DUMMYFUNCTION("""COMPUTED_VALUE"""),1.0)</f>
        <v>1</v>
      </c>
      <c r="Q8259" s="4" t="str">
        <f>IFERROR(__xludf.DUMMYFUNCTION("""COMPUTED_VALUE"""),"Suitable Tecnologia E Gestao")</f>
        <v>Suitable Tecnologia E Gestao</v>
      </c>
      <c r="R8259" s="33">
        <f>IFERROR(__xludf.DUMMYFUNCTION("""COMPUTED_VALUE"""),1.0)</f>
        <v>1</v>
      </c>
      <c r="S8259" s="4" t="str">
        <f>IFERROR(__xludf.DUMMYFUNCTION("""COMPUTED_VALUE"""),"Suitable Tecnologia E Gestao")</f>
        <v>Suitable Tecnologia E Gestao</v>
      </c>
      <c r="T8259" s="33">
        <f>IFERROR(__xludf.DUMMYFUNCTION("""COMPUTED_VALUE"""),1.0)</f>
        <v>1</v>
      </c>
      <c r="U8259" s="4" t="str">
        <f>IFERROR(__xludf.DUMMYFUNCTION("""COMPUTED_VALUE"""),"Suitable Tecnologia E Gestao")</f>
        <v>Suitable Tecnologia E Gestao</v>
      </c>
      <c r="V8259" s="33">
        <f>IFERROR(__xludf.DUMMYFUNCTION("""COMPUTED_VALUE"""),1.0)</f>
        <v>1</v>
      </c>
      <c r="W8259" s="4" t="str">
        <f>IFERROR(__xludf.DUMMYFUNCTION("""COMPUTED_VALUE"""),"Suitable Tecnologia E Gestao")</f>
        <v>Suitable Tecnologia E Gestao</v>
      </c>
      <c r="X8259" s="33">
        <f>IFERROR(__xludf.DUMMYFUNCTION("""COMPUTED_VALUE"""),1.0)</f>
        <v>1</v>
      </c>
    </row>
    <row r="8260">
      <c r="K8260" s="4" t="str">
        <f>IFERROR(__xludf.DUMMYFUNCTION("""COMPUTED_VALUE"""),"CAFE CONCEITO PINDA CENTRO")</f>
        <v>CAFE CONCEITO PINDA CENTRO</v>
      </c>
      <c r="L8260" s="32">
        <f>IFERROR(__xludf.DUMMYFUNCTION("""COMPUTED_VALUE"""),1.0)</f>
        <v>1</v>
      </c>
      <c r="M8260" s="4" t="str">
        <f>IFERROR(__xludf.DUMMYFUNCTION("""COMPUTED_VALUE"""),"Gh Tecnologia E Sistemas Eireli")</f>
        <v>Gh Tecnologia E Sistemas Eireli</v>
      </c>
      <c r="N8260" s="33">
        <f>IFERROR(__xludf.DUMMYFUNCTION("""COMPUTED_VALUE"""),1.0)</f>
        <v>1</v>
      </c>
      <c r="O8260" s="4" t="str">
        <f>IFERROR(__xludf.DUMMYFUNCTION("""COMPUTED_VALUE"""),"Gh Tecnologia E Sistemas Eireli")</f>
        <v>Gh Tecnologia E Sistemas Eireli</v>
      </c>
      <c r="P8260" s="33">
        <f>IFERROR(__xludf.DUMMYFUNCTION("""COMPUTED_VALUE"""),1.0)</f>
        <v>1</v>
      </c>
      <c r="Q8260" s="4" t="str">
        <f>IFERROR(__xludf.DUMMYFUNCTION("""COMPUTED_VALUE"""),"null")</f>
        <v>null</v>
      </c>
      <c r="R8260" s="33">
        <f>IFERROR(__xludf.DUMMYFUNCTION("""COMPUTED_VALUE"""),1.0)</f>
        <v>1</v>
      </c>
      <c r="S8260" s="4" t="str">
        <f>IFERROR(__xludf.DUMMYFUNCTION("""COMPUTED_VALUE"""),"null")</f>
        <v>null</v>
      </c>
      <c r="T8260" s="33">
        <f>IFERROR(__xludf.DUMMYFUNCTION("""COMPUTED_VALUE"""),1.0)</f>
        <v>1</v>
      </c>
      <c r="U8260" s="4" t="str">
        <f>IFERROR(__xludf.DUMMYFUNCTION("""COMPUTED_VALUE"""),"null")</f>
        <v>null</v>
      </c>
      <c r="V8260" s="33">
        <f>IFERROR(__xludf.DUMMYFUNCTION("""COMPUTED_VALUE"""),1.0)</f>
        <v>1</v>
      </c>
      <c r="W8260" s="4" t="str">
        <f>IFERROR(__xludf.DUMMYFUNCTION("""COMPUTED_VALUE"""),"null")</f>
        <v>null</v>
      </c>
      <c r="X8260" s="33">
        <f>IFERROR(__xludf.DUMMYFUNCTION("""COMPUTED_VALUE"""),1.0)</f>
        <v>1</v>
      </c>
    </row>
    <row r="8261">
      <c r="K8261" s="4" t="str">
        <f>IFERROR(__xludf.DUMMYFUNCTION("""COMPUTED_VALUE"""),"CIA DO COMBO")</f>
        <v>CIA DO COMBO</v>
      </c>
      <c r="L8261" s="32">
        <f>IFERROR(__xludf.DUMMYFUNCTION("""COMPUTED_VALUE"""),1.0)</f>
        <v>1</v>
      </c>
      <c r="M8261" s="4" t="str">
        <f>IFERROR(__xludf.DUMMYFUNCTION("""COMPUTED_VALUE"""),"null")</f>
        <v>null</v>
      </c>
      <c r="N8261" s="33">
        <f>IFERROR(__xludf.DUMMYFUNCTION("""COMPUTED_VALUE"""),1.0)</f>
        <v>1</v>
      </c>
      <c r="O8261" s="4" t="str">
        <f>IFERROR(__xludf.DUMMYFUNCTION("""COMPUTED_VALUE"""),"null")</f>
        <v>null</v>
      </c>
      <c r="P8261" s="33">
        <f>IFERROR(__xludf.DUMMYFUNCTION("""COMPUTED_VALUE"""),1.0)</f>
        <v>1</v>
      </c>
      <c r="Q8261" s="4" t="str">
        <f>IFERROR(__xludf.DUMMYFUNCTION("""COMPUTED_VALUE"""),"null")</f>
        <v>null</v>
      </c>
      <c r="R8261" s="33">
        <f>IFERROR(__xludf.DUMMYFUNCTION("""COMPUTED_VALUE"""),1.0)</f>
        <v>1</v>
      </c>
      <c r="S8261" s="4" t="str">
        <f>IFERROR(__xludf.DUMMYFUNCTION("""COMPUTED_VALUE"""),"Saipos Serviços De Software")</f>
        <v>Saipos Serviços De Software</v>
      </c>
      <c r="T8261" s="33">
        <f>IFERROR(__xludf.DUMMYFUNCTION("""COMPUTED_VALUE"""),1.0)</f>
        <v>1</v>
      </c>
      <c r="U8261" s="4" t="str">
        <f>IFERROR(__xludf.DUMMYFUNCTION("""COMPUTED_VALUE"""),"Saipos Serviços De Software")</f>
        <v>Saipos Serviços De Software</v>
      </c>
      <c r="V8261" s="33">
        <f>IFERROR(__xludf.DUMMYFUNCTION("""COMPUTED_VALUE"""),1.0)</f>
        <v>1</v>
      </c>
      <c r="W8261" s="4" t="str">
        <f>IFERROR(__xludf.DUMMYFUNCTION("""COMPUTED_VALUE"""),"Saipos Serviços De Software")</f>
        <v>Saipos Serviços De Software</v>
      </c>
      <c r="X8261" s="33">
        <f>IFERROR(__xludf.DUMMYFUNCTION("""COMPUTED_VALUE"""),1.0)</f>
        <v>1</v>
      </c>
    </row>
    <row r="8262">
      <c r="K8262" s="4" t="str">
        <f>IFERROR(__xludf.DUMMYFUNCTION("""COMPUTED_VALUE"""),"PAO COM SALSICHA")</f>
        <v>PAO COM SALSICHA</v>
      </c>
      <c r="L8262" s="32">
        <f>IFERROR(__xludf.DUMMYFUNCTION("""COMPUTED_VALUE"""),1.0)</f>
        <v>1</v>
      </c>
      <c r="M8262" s="4" t="str">
        <f>IFERROR(__xludf.DUMMYFUNCTION("""COMPUTED_VALUE"""),"Saipos Serviços De Software")</f>
        <v>Saipos Serviços De Software</v>
      </c>
      <c r="N8262" s="33">
        <f>IFERROR(__xludf.DUMMYFUNCTION("""COMPUTED_VALUE"""),1.0)</f>
        <v>1</v>
      </c>
      <c r="O8262" s="4" t="str">
        <f>IFERROR(__xludf.DUMMYFUNCTION("""COMPUTED_VALUE"""),"null")</f>
        <v>null</v>
      </c>
      <c r="P8262" s="33">
        <f>IFERROR(__xludf.DUMMYFUNCTION("""COMPUTED_VALUE"""),1.0)</f>
        <v>1</v>
      </c>
      <c r="Q8262" s="4" t="str">
        <f>IFERROR(__xludf.DUMMYFUNCTION("""COMPUTED_VALUE"""),"Saipos Serviços De Software")</f>
        <v>Saipos Serviços De Software</v>
      </c>
      <c r="R8262" s="33">
        <f>IFERROR(__xludf.DUMMYFUNCTION("""COMPUTED_VALUE"""),1.0)</f>
        <v>1</v>
      </c>
      <c r="S8262" s="4" t="str">
        <f>IFERROR(__xludf.DUMMYFUNCTION("""COMPUTED_VALUE"""),"null")</f>
        <v>null</v>
      </c>
      <c r="T8262" s="33">
        <f>IFERROR(__xludf.DUMMYFUNCTION("""COMPUTED_VALUE"""),1.0)</f>
        <v>1</v>
      </c>
      <c r="U8262" s="4" t="str">
        <f>IFERROR(__xludf.DUMMYFUNCTION("""COMPUTED_VALUE"""),"Saipos Serviços De Software")</f>
        <v>Saipos Serviços De Software</v>
      </c>
      <c r="V8262" s="33">
        <f>IFERROR(__xludf.DUMMYFUNCTION("""COMPUTED_VALUE"""),1.0)</f>
        <v>1</v>
      </c>
      <c r="W8262" s="4" t="str">
        <f>IFERROR(__xludf.DUMMYFUNCTION("""COMPUTED_VALUE"""),"Saipos Serviços De Software")</f>
        <v>Saipos Serviços De Software</v>
      </c>
      <c r="X8262" s="33">
        <f>IFERROR(__xludf.DUMMYFUNCTION("""COMPUTED_VALUE"""),1.0)</f>
        <v>1</v>
      </c>
    </row>
    <row r="8263">
      <c r="K8263" s="4" t="str">
        <f>IFERROR(__xludf.DUMMYFUNCTION("""COMPUTED_VALUE"""),"EX - BEIRUTE")</f>
        <v>EX - BEIRUTE</v>
      </c>
      <c r="L8263" s="32">
        <f>IFERROR(__xludf.DUMMYFUNCTION("""COMPUTED_VALUE"""),1.0)</f>
        <v>1</v>
      </c>
      <c r="M8263" s="4" t="str">
        <f>IFERROR(__xludf.DUMMYFUNCTION("""COMPUTED_VALUE"""),"Anota Ai Solucoes Digitais S/a")</f>
        <v>Anota Ai Solucoes Digitais S/a</v>
      </c>
      <c r="N8263" s="33">
        <f>IFERROR(__xludf.DUMMYFUNCTION("""COMPUTED_VALUE"""),1.0)</f>
        <v>1</v>
      </c>
      <c r="O8263" s="4" t="str">
        <f>IFERROR(__xludf.DUMMYFUNCTION("""COMPUTED_VALUE"""),"Anota Ai Solucoes Digitais S/a")</f>
        <v>Anota Ai Solucoes Digitais S/a</v>
      </c>
      <c r="P8263" s="33">
        <f>IFERROR(__xludf.DUMMYFUNCTION("""COMPUTED_VALUE"""),1.0)</f>
        <v>1</v>
      </c>
      <c r="Q8263" s="4" t="str">
        <f>IFERROR(__xludf.DUMMYFUNCTION("""COMPUTED_VALUE"""),"Anota Ai Solucoes Digitais S/a")</f>
        <v>Anota Ai Solucoes Digitais S/a</v>
      </c>
      <c r="R8263" s="33">
        <f>IFERROR(__xludf.DUMMYFUNCTION("""COMPUTED_VALUE"""),1.0)</f>
        <v>1</v>
      </c>
      <c r="S8263" s="4" t="str">
        <f>IFERROR(__xludf.DUMMYFUNCTION("""COMPUTED_VALUE"""),"Anota Ai Solucoes Digitais S/a")</f>
        <v>Anota Ai Solucoes Digitais S/a</v>
      </c>
      <c r="T8263" s="33">
        <f>IFERROR(__xludf.DUMMYFUNCTION("""COMPUTED_VALUE"""),1.0)</f>
        <v>1</v>
      </c>
      <c r="U8263" s="4" t="str">
        <f>IFERROR(__xludf.DUMMYFUNCTION("""COMPUTED_VALUE"""),"Anota Ai Solucoes Digitais S/a")</f>
        <v>Anota Ai Solucoes Digitais S/a</v>
      </c>
      <c r="V8263" s="33">
        <f>IFERROR(__xludf.DUMMYFUNCTION("""COMPUTED_VALUE"""),1.0)</f>
        <v>1</v>
      </c>
      <c r="W8263" s="4" t="str">
        <f>IFERROR(__xludf.DUMMYFUNCTION("""COMPUTED_VALUE"""),"Anota Ai Solucoes Digitais S/a")</f>
        <v>Anota Ai Solucoes Digitais S/a</v>
      </c>
      <c r="X8263" s="33">
        <f>IFERROR(__xludf.DUMMYFUNCTION("""COMPUTED_VALUE"""),1.0)</f>
        <v>1</v>
      </c>
    </row>
    <row r="8264">
      <c r="K8264" s="4" t="str">
        <f>IFERROR(__xludf.DUMMYFUNCTION("""COMPUTED_VALUE"""),"BRASA BRASILEIRA")</f>
        <v>BRASA BRASILEIRA</v>
      </c>
      <c r="L8264" s="32">
        <f>IFERROR(__xludf.DUMMYFUNCTION("""COMPUTED_VALUE"""),1.0)</f>
        <v>1</v>
      </c>
      <c r="M8264" s="4" t="str">
        <f>IFERROR(__xludf.DUMMYFUNCTION("""COMPUTED_VALUE"""),"Cheff Solutions Tecnologia Brasil")</f>
        <v>Cheff Solutions Tecnologia Brasil</v>
      </c>
      <c r="N8264" s="33">
        <f>IFERROR(__xludf.DUMMYFUNCTION("""COMPUTED_VALUE"""),1.0)</f>
        <v>1</v>
      </c>
      <c r="O8264" s="4" t="str">
        <f>IFERROR(__xludf.DUMMYFUNCTION("""COMPUTED_VALUE"""),"Cheff Solutions Tecnologia Brasil")</f>
        <v>Cheff Solutions Tecnologia Brasil</v>
      </c>
      <c r="P8264" s="33">
        <f>IFERROR(__xludf.DUMMYFUNCTION("""COMPUTED_VALUE"""),1.0)</f>
        <v>1</v>
      </c>
      <c r="Q8264" s="4" t="str">
        <f>IFERROR(__xludf.DUMMYFUNCTION("""COMPUTED_VALUE"""),"Cheff Solutions Tecnologia Brasil")</f>
        <v>Cheff Solutions Tecnologia Brasil</v>
      </c>
      <c r="R8264" s="33">
        <f>IFERROR(__xludf.DUMMYFUNCTION("""COMPUTED_VALUE"""),1.0)</f>
        <v>1</v>
      </c>
      <c r="S8264" s="4" t="str">
        <f>IFERROR(__xludf.DUMMYFUNCTION("""COMPUTED_VALUE"""),"Cheff Solutions Tecnologia Brasil")</f>
        <v>Cheff Solutions Tecnologia Brasil</v>
      </c>
      <c r="T8264" s="33">
        <f>IFERROR(__xludf.DUMMYFUNCTION("""COMPUTED_VALUE"""),1.0)</f>
        <v>1</v>
      </c>
      <c r="U8264" s="4" t="str">
        <f>IFERROR(__xludf.DUMMYFUNCTION("""COMPUTED_VALUE"""),"Cheff Solutions Tecnologia Brasil")</f>
        <v>Cheff Solutions Tecnologia Brasil</v>
      </c>
      <c r="V8264" s="33">
        <f>IFERROR(__xludf.DUMMYFUNCTION("""COMPUTED_VALUE"""),1.0)</f>
        <v>1</v>
      </c>
      <c r="W8264" s="4" t="str">
        <f>IFERROR(__xludf.DUMMYFUNCTION("""COMPUTED_VALUE"""),"Cheff Solutions Tecnologia Brasil")</f>
        <v>Cheff Solutions Tecnologia Brasil</v>
      </c>
      <c r="X8264" s="33">
        <f>IFERROR(__xludf.DUMMYFUNCTION("""COMPUTED_VALUE"""),1.0)</f>
        <v>1</v>
      </c>
    </row>
    <row r="8265">
      <c r="K8265" s="4" t="str">
        <f>IFERROR(__xludf.DUMMYFUNCTION("""COMPUTED_VALUE"""),"DOM GIOVANNI PIZZARIA")</f>
        <v>DOM GIOVANNI PIZZARIA</v>
      </c>
      <c r="L8265" s="32">
        <f>IFERROR(__xludf.DUMMYFUNCTION("""COMPUTED_VALUE"""),1.0)</f>
        <v>1</v>
      </c>
      <c r="M8265" s="4" t="str">
        <f>IFERROR(__xludf.DUMMYFUNCTION("""COMPUTED_VALUE"""),"Expresso Delivery")</f>
        <v>Expresso Delivery</v>
      </c>
      <c r="N8265" s="33">
        <f>IFERROR(__xludf.DUMMYFUNCTION("""COMPUTED_VALUE"""),1.0)</f>
        <v>1</v>
      </c>
      <c r="O8265" s="4" t="str">
        <f>IFERROR(__xludf.DUMMYFUNCTION("""COMPUTED_VALUE"""),"Expresso Delivery")</f>
        <v>Expresso Delivery</v>
      </c>
      <c r="P8265" s="33">
        <f>IFERROR(__xludf.DUMMYFUNCTION("""COMPUTED_VALUE"""),1.0)</f>
        <v>1</v>
      </c>
      <c r="Q8265" s="4" t="str">
        <f>IFERROR(__xludf.DUMMYFUNCTION("""COMPUTED_VALUE"""),"Expresso Delivery")</f>
        <v>Expresso Delivery</v>
      </c>
      <c r="R8265" s="33">
        <f>IFERROR(__xludf.DUMMYFUNCTION("""COMPUTED_VALUE"""),1.0)</f>
        <v>1</v>
      </c>
      <c r="S8265" s="4" t="str">
        <f>IFERROR(__xludf.DUMMYFUNCTION("""COMPUTED_VALUE"""),"Expresso Delivery")</f>
        <v>Expresso Delivery</v>
      </c>
      <c r="T8265" s="33">
        <f>IFERROR(__xludf.DUMMYFUNCTION("""COMPUTED_VALUE"""),1.0)</f>
        <v>1</v>
      </c>
      <c r="U8265" s="4" t="str">
        <f>IFERROR(__xludf.DUMMYFUNCTION("""COMPUTED_VALUE"""),"Expresso Delivery")</f>
        <v>Expresso Delivery</v>
      </c>
      <c r="V8265" s="33">
        <f>IFERROR(__xludf.DUMMYFUNCTION("""COMPUTED_VALUE"""),1.0)</f>
        <v>1</v>
      </c>
      <c r="W8265" s="4" t="str">
        <f>IFERROR(__xludf.DUMMYFUNCTION("""COMPUTED_VALUE"""),"Expresso Delivery")</f>
        <v>Expresso Delivery</v>
      </c>
      <c r="X8265" s="33">
        <f>IFERROR(__xludf.DUMMYFUNCTION("""COMPUTED_VALUE"""),1.0)</f>
        <v>1</v>
      </c>
    </row>
    <row r="8266">
      <c r="K8266" s="4" t="str">
        <f>IFERROR(__xludf.DUMMYFUNCTION("""COMPUTED_VALUE"""),"RESTAURANTE PIZZARIA LUA NOVA")</f>
        <v>RESTAURANTE PIZZARIA LUA NOVA</v>
      </c>
      <c r="L8266" s="32">
        <f>IFERROR(__xludf.DUMMYFUNCTION("""COMPUTED_VALUE"""),1.0)</f>
        <v>1</v>
      </c>
      <c r="M8266" s="4" t="str">
        <f>IFERROR(__xludf.DUMMYFUNCTION("""COMPUTED_VALUE"""),"null")</f>
        <v>null</v>
      </c>
      <c r="N8266" s="33">
        <f>IFERROR(__xludf.DUMMYFUNCTION("""COMPUTED_VALUE"""),1.0)</f>
        <v>1</v>
      </c>
      <c r="O8266" s="4" t="str">
        <f>IFERROR(__xludf.DUMMYFUNCTION("""COMPUTED_VALUE"""),"null")</f>
        <v>null</v>
      </c>
      <c r="P8266" s="33">
        <f>IFERROR(__xludf.DUMMYFUNCTION("""COMPUTED_VALUE"""),1.0)</f>
        <v>1</v>
      </c>
      <c r="Q8266" s="4" t="str">
        <f>IFERROR(__xludf.DUMMYFUNCTION("""COMPUTED_VALUE"""),"null")</f>
        <v>null</v>
      </c>
      <c r="R8266" s="33">
        <f>IFERROR(__xludf.DUMMYFUNCTION("""COMPUTED_VALUE"""),1.0)</f>
        <v>1</v>
      </c>
      <c r="S8266" s="4" t="str">
        <f>IFERROR(__xludf.DUMMYFUNCTION("""COMPUTED_VALUE"""),"One Solucoes")</f>
        <v>One Solucoes</v>
      </c>
      <c r="T8266" s="33">
        <f>IFERROR(__xludf.DUMMYFUNCTION("""COMPUTED_VALUE"""),1.0)</f>
        <v>1</v>
      </c>
      <c r="U8266" s="4" t="str">
        <f>IFERROR(__xludf.DUMMYFUNCTION("""COMPUTED_VALUE"""),"One Solucoes")</f>
        <v>One Solucoes</v>
      </c>
      <c r="V8266" s="33">
        <f>IFERROR(__xludf.DUMMYFUNCTION("""COMPUTED_VALUE"""),1.0)</f>
        <v>1</v>
      </c>
      <c r="W8266" s="4" t="str">
        <f>IFERROR(__xludf.DUMMYFUNCTION("""COMPUTED_VALUE"""),"One Solucoes")</f>
        <v>One Solucoes</v>
      </c>
      <c r="X8266" s="33">
        <f>IFERROR(__xludf.DUMMYFUNCTION("""COMPUTED_VALUE"""),1.0)</f>
        <v>1</v>
      </c>
    </row>
    <row r="8267">
      <c r="K8267" s="4" t="str">
        <f>IFERROR(__xludf.DUMMYFUNCTION("""COMPUTED_VALUE"""),"IMPERIO CHINES - COMIDA CHINESA")</f>
        <v>IMPERIO CHINES - COMIDA CHINESA</v>
      </c>
      <c r="L8267" s="32">
        <f>IFERROR(__xludf.DUMMYFUNCTION("""COMPUTED_VALUE"""),1.0)</f>
        <v>1</v>
      </c>
      <c r="M8267" s="4" t="str">
        <f>IFERROR(__xludf.DUMMYFUNCTION("""COMPUTED_VALUE"""),"null")</f>
        <v>null</v>
      </c>
      <c r="N8267" s="33">
        <f>IFERROR(__xludf.DUMMYFUNCTION("""COMPUTED_VALUE"""),1.0)</f>
        <v>1</v>
      </c>
      <c r="O8267" s="4" t="str">
        <f>IFERROR(__xludf.DUMMYFUNCTION("""COMPUTED_VALUE"""),"Anota Ai Solucoes Digitais S/a")</f>
        <v>Anota Ai Solucoes Digitais S/a</v>
      </c>
      <c r="P8267" s="33">
        <f>IFERROR(__xludf.DUMMYFUNCTION("""COMPUTED_VALUE"""),1.0)</f>
        <v>1</v>
      </c>
      <c r="Q8267" s="4" t="str">
        <f>IFERROR(__xludf.DUMMYFUNCTION("""COMPUTED_VALUE"""),"null")</f>
        <v>null</v>
      </c>
      <c r="R8267" s="33">
        <f>IFERROR(__xludf.DUMMYFUNCTION("""COMPUTED_VALUE"""),1.0)</f>
        <v>1</v>
      </c>
      <c r="S8267" s="4" t="str">
        <f>IFERROR(__xludf.DUMMYFUNCTION("""COMPUTED_VALUE"""),"null")</f>
        <v>null</v>
      </c>
      <c r="T8267" s="33">
        <f>IFERROR(__xludf.DUMMYFUNCTION("""COMPUTED_VALUE"""),1.0)</f>
        <v>1</v>
      </c>
      <c r="U8267" s="4" t="str">
        <f>IFERROR(__xludf.DUMMYFUNCTION("""COMPUTED_VALUE"""),"Anota Ai Solucoes Digitais S/a")</f>
        <v>Anota Ai Solucoes Digitais S/a</v>
      </c>
      <c r="V8267" s="33">
        <f>IFERROR(__xludf.DUMMYFUNCTION("""COMPUTED_VALUE"""),1.0)</f>
        <v>1</v>
      </c>
      <c r="W8267" s="4" t="str">
        <f>IFERROR(__xludf.DUMMYFUNCTION("""COMPUTED_VALUE"""),"Anota Ai Solucoes Digitais S/a")</f>
        <v>Anota Ai Solucoes Digitais S/a</v>
      </c>
      <c r="X8267" s="33">
        <f>IFERROR(__xludf.DUMMYFUNCTION("""COMPUTED_VALUE"""),1.0)</f>
        <v>1</v>
      </c>
    </row>
    <row r="8268">
      <c r="K8268" s="4" t="str">
        <f>IFERROR(__xludf.DUMMYFUNCTION("""COMPUTED_VALUE"""),"UNICA PIZZERIA")</f>
        <v>UNICA PIZZERIA</v>
      </c>
      <c r="L8268" s="32">
        <f>IFERROR(__xludf.DUMMYFUNCTION("""COMPUTED_VALUE"""),1.0)</f>
        <v>1</v>
      </c>
      <c r="M8268" s="4" t="str">
        <f>IFERROR(__xludf.DUMMYFUNCTION("""COMPUTED_VALUE"""),"Totvs Large Enterprise Tecnologia S.a.")</f>
        <v>Totvs Large Enterprise Tecnologia S.a.</v>
      </c>
      <c r="N8268" s="33">
        <f>IFERROR(__xludf.DUMMYFUNCTION("""COMPUTED_VALUE"""),1.0)</f>
        <v>1</v>
      </c>
      <c r="O8268" s="4" t="str">
        <f>IFERROR(__xludf.DUMMYFUNCTION("""COMPUTED_VALUE"""),"Totvs Large Enterprise Tecnologia S.a.")</f>
        <v>Totvs Large Enterprise Tecnologia S.a.</v>
      </c>
      <c r="P8268" s="33">
        <f>IFERROR(__xludf.DUMMYFUNCTION("""COMPUTED_VALUE"""),1.0)</f>
        <v>1</v>
      </c>
      <c r="Q8268" s="4" t="str">
        <f>IFERROR(__xludf.DUMMYFUNCTION("""COMPUTED_VALUE"""),"Totvs Large Enterprise Tecnologia S.a.")</f>
        <v>Totvs Large Enterprise Tecnologia S.a.</v>
      </c>
      <c r="R8268" s="33">
        <f>IFERROR(__xludf.DUMMYFUNCTION("""COMPUTED_VALUE"""),1.0)</f>
        <v>1</v>
      </c>
      <c r="S8268" s="4" t="str">
        <f>IFERROR(__xludf.DUMMYFUNCTION("""COMPUTED_VALUE"""),"Totvs Large Enterprise Tecnologia S.a.")</f>
        <v>Totvs Large Enterprise Tecnologia S.a.</v>
      </c>
      <c r="T8268" s="33">
        <f>IFERROR(__xludf.DUMMYFUNCTION("""COMPUTED_VALUE"""),1.0)</f>
        <v>1</v>
      </c>
      <c r="U8268" s="4" t="str">
        <f>IFERROR(__xludf.DUMMYFUNCTION("""COMPUTED_VALUE"""),"Totvs Large Enterprise Tecnologia S.a.")</f>
        <v>Totvs Large Enterprise Tecnologia S.a.</v>
      </c>
      <c r="V8268" s="33">
        <f>IFERROR(__xludf.DUMMYFUNCTION("""COMPUTED_VALUE"""),1.0)</f>
        <v>1</v>
      </c>
      <c r="W8268" s="4" t="str">
        <f>IFERROR(__xludf.DUMMYFUNCTION("""COMPUTED_VALUE"""),"Totvs Large Enterprise Tecnologia S.a.")</f>
        <v>Totvs Large Enterprise Tecnologia S.a.</v>
      </c>
      <c r="X8268" s="33">
        <f>IFERROR(__xludf.DUMMYFUNCTION("""COMPUTED_VALUE"""),1.0)</f>
        <v>1</v>
      </c>
    </row>
    <row r="8269">
      <c r="K8269" s="4" t="str">
        <f>IFERROR(__xludf.DUMMYFUNCTION("""COMPUTED_VALUE"""),"HOUSE BURGUER BADY HAMBURGUER ARTESANAL")</f>
        <v>HOUSE BURGUER BADY HAMBURGUER ARTESANAL</v>
      </c>
      <c r="L8269" s="32">
        <f>IFERROR(__xludf.DUMMYFUNCTION("""COMPUTED_VALUE"""),1.0)</f>
        <v>1</v>
      </c>
      <c r="M8269" s="4" t="str">
        <f>IFERROR(__xludf.DUMMYFUNCTION("""COMPUTED_VALUE"""),"Consumer Soluções Em Tecnologia Ltda")</f>
        <v>Consumer Soluções Em Tecnologia Ltda</v>
      </c>
      <c r="N8269" s="33">
        <f>IFERROR(__xludf.DUMMYFUNCTION("""COMPUTED_VALUE"""),1.0)</f>
        <v>1</v>
      </c>
      <c r="O8269" s="4" t="str">
        <f>IFERROR(__xludf.DUMMYFUNCTION("""COMPUTED_VALUE"""),"null")</f>
        <v>null</v>
      </c>
      <c r="P8269" s="33">
        <f>IFERROR(__xludf.DUMMYFUNCTION("""COMPUTED_VALUE"""),1.0)</f>
        <v>1</v>
      </c>
      <c r="Q8269" s="4" t="str">
        <f>IFERROR(__xludf.DUMMYFUNCTION("""COMPUTED_VALUE"""),"null")</f>
        <v>null</v>
      </c>
      <c r="R8269" s="33">
        <f>IFERROR(__xludf.DUMMYFUNCTION("""COMPUTED_VALUE"""),1.0)</f>
        <v>1</v>
      </c>
      <c r="S8269" s="4" t="str">
        <f>IFERROR(__xludf.DUMMYFUNCTION("""COMPUTED_VALUE"""),"null")</f>
        <v>null</v>
      </c>
      <c r="T8269" s="33">
        <f>IFERROR(__xludf.DUMMYFUNCTION("""COMPUTED_VALUE"""),1.0)</f>
        <v>1</v>
      </c>
      <c r="U8269" s="4" t="str">
        <f>IFERROR(__xludf.DUMMYFUNCTION("""COMPUTED_VALUE"""),"null")</f>
        <v>null</v>
      </c>
      <c r="V8269" s="33">
        <f>IFERROR(__xludf.DUMMYFUNCTION("""COMPUTED_VALUE"""),1.0)</f>
        <v>1</v>
      </c>
      <c r="W8269" s="4" t="str">
        <f>IFERROR(__xludf.DUMMYFUNCTION("""COMPUTED_VALUE"""),"Consumer Soluções Em Tecnologia Ltda")</f>
        <v>Consumer Soluções Em Tecnologia Ltda</v>
      </c>
      <c r="X8269" s="33">
        <f>IFERROR(__xludf.DUMMYFUNCTION("""COMPUTED_VALUE"""),1.0)</f>
        <v>1</v>
      </c>
    </row>
    <row r="8270">
      <c r="K8270" s="4" t="str">
        <f>IFERROR(__xludf.DUMMYFUNCTION("""COMPUTED_VALUE"""),"VIENA PIZZARIA E RESTAURANTE")</f>
        <v>VIENA PIZZARIA E RESTAURANTE</v>
      </c>
      <c r="L8270" s="32">
        <f>IFERROR(__xludf.DUMMYFUNCTION("""COMPUTED_VALUE"""),1.0)</f>
        <v>1</v>
      </c>
      <c r="M8270" s="4" t="str">
        <f>IFERROR(__xludf.DUMMYFUNCTION("""COMPUTED_VALUE"""),"null")</f>
        <v>null</v>
      </c>
      <c r="N8270" s="33">
        <f>IFERROR(__xludf.DUMMYFUNCTION("""COMPUTED_VALUE"""),1.0)</f>
        <v>1</v>
      </c>
      <c r="O8270" s="4" t="str">
        <f>IFERROR(__xludf.DUMMYFUNCTION("""COMPUTED_VALUE"""),"null")</f>
        <v>null</v>
      </c>
      <c r="P8270" s="33">
        <f>IFERROR(__xludf.DUMMYFUNCTION("""COMPUTED_VALUE"""),1.0)</f>
        <v>1</v>
      </c>
      <c r="Q8270" s="4" t="str">
        <f>IFERROR(__xludf.DUMMYFUNCTION("""COMPUTED_VALUE"""),"Saipos Serviços De Software")</f>
        <v>Saipos Serviços De Software</v>
      </c>
      <c r="R8270" s="33">
        <f>IFERROR(__xludf.DUMMYFUNCTION("""COMPUTED_VALUE"""),1.0)</f>
        <v>1</v>
      </c>
      <c r="S8270" s="4" t="str">
        <f>IFERROR(__xludf.DUMMYFUNCTION("""COMPUTED_VALUE"""),"Saipos Serviços De Software")</f>
        <v>Saipos Serviços De Software</v>
      </c>
      <c r="T8270" s="33">
        <f>IFERROR(__xludf.DUMMYFUNCTION("""COMPUTED_VALUE"""),1.0)</f>
        <v>1</v>
      </c>
      <c r="U8270" s="4" t="str">
        <f>IFERROR(__xludf.DUMMYFUNCTION("""COMPUTED_VALUE"""),"Saipos Serviços De Software")</f>
        <v>Saipos Serviços De Software</v>
      </c>
      <c r="V8270" s="33">
        <f>IFERROR(__xludf.DUMMYFUNCTION("""COMPUTED_VALUE"""),1.0)</f>
        <v>1</v>
      </c>
      <c r="W8270" s="4" t="str">
        <f>IFERROR(__xludf.DUMMYFUNCTION("""COMPUTED_VALUE"""),"Saipos Serviços De Software")</f>
        <v>Saipos Serviços De Software</v>
      </c>
      <c r="X8270" s="33">
        <f>IFERROR(__xludf.DUMMYFUNCTION("""COMPUTED_VALUE"""),1.0)</f>
        <v>1</v>
      </c>
    </row>
    <row r="8271">
      <c r="K8271" s="4" t="str">
        <f>IFERROR(__xludf.DUMMYFUNCTION("""COMPUTED_VALUE"""),"ADEGA PRUDENTE")</f>
        <v>ADEGA PRUDENTE</v>
      </c>
      <c r="L8271" s="32">
        <f>IFERROR(__xludf.DUMMYFUNCTION("""COMPUTED_VALUE"""),1.0)</f>
        <v>1</v>
      </c>
      <c r="M8271" s="4" t="str">
        <f>IFERROR(__xludf.DUMMYFUNCTION("""COMPUTED_VALUE"""),"Netcontroll Xmenu")</f>
        <v>Netcontroll Xmenu</v>
      </c>
      <c r="N8271" s="33">
        <f>IFERROR(__xludf.DUMMYFUNCTION("""COMPUTED_VALUE"""),1.0)</f>
        <v>1</v>
      </c>
      <c r="O8271" s="4" t="str">
        <f>IFERROR(__xludf.DUMMYFUNCTION("""COMPUTED_VALUE"""),"Netcontroll Xmenu")</f>
        <v>Netcontroll Xmenu</v>
      </c>
      <c r="P8271" s="33">
        <f>IFERROR(__xludf.DUMMYFUNCTION("""COMPUTED_VALUE"""),1.0)</f>
        <v>1</v>
      </c>
      <c r="Q8271" s="4" t="str">
        <f>IFERROR(__xludf.DUMMYFUNCTION("""COMPUTED_VALUE"""),"Netcontroll Xmenu")</f>
        <v>Netcontroll Xmenu</v>
      </c>
      <c r="R8271" s="33">
        <f>IFERROR(__xludf.DUMMYFUNCTION("""COMPUTED_VALUE"""),1.0)</f>
        <v>1</v>
      </c>
      <c r="S8271" s="4" t="str">
        <f>IFERROR(__xludf.DUMMYFUNCTION("""COMPUTED_VALUE"""),"Netcontroll Xmenu")</f>
        <v>Netcontroll Xmenu</v>
      </c>
      <c r="T8271" s="33">
        <f>IFERROR(__xludf.DUMMYFUNCTION("""COMPUTED_VALUE"""),1.0)</f>
        <v>1</v>
      </c>
      <c r="U8271" s="4" t="str">
        <f>IFERROR(__xludf.DUMMYFUNCTION("""COMPUTED_VALUE"""),"Netcontroll Xmenu")</f>
        <v>Netcontroll Xmenu</v>
      </c>
      <c r="V8271" s="33">
        <f>IFERROR(__xludf.DUMMYFUNCTION("""COMPUTED_VALUE"""),1.0)</f>
        <v>1</v>
      </c>
      <c r="W8271" s="4" t="str">
        <f>IFERROR(__xludf.DUMMYFUNCTION("""COMPUTED_VALUE"""),"Netcontroll Xmenu")</f>
        <v>Netcontroll Xmenu</v>
      </c>
      <c r="X8271" s="33">
        <f>IFERROR(__xludf.DUMMYFUNCTION("""COMPUTED_VALUE"""),1.0)</f>
        <v>1</v>
      </c>
    </row>
    <row r="8272">
      <c r="K8272" s="4" t="str">
        <f>IFERROR(__xludf.DUMMYFUNCTION("""COMPUTED_VALUE"""),"LA PIZZA PERFETTA - CHEGA ANTES DA SUA FOME")</f>
        <v>LA PIZZA PERFETTA - CHEGA ANTES DA SUA FOME</v>
      </c>
      <c r="L8272" s="32">
        <f>IFERROR(__xludf.DUMMYFUNCTION("""COMPUTED_VALUE"""),1.0)</f>
        <v>1</v>
      </c>
      <c r="M8272" s="4" t="str">
        <f>IFERROR(__xludf.DUMMYFUNCTION("""COMPUTED_VALUE"""),"null")</f>
        <v>null</v>
      </c>
      <c r="N8272" s="33">
        <f>IFERROR(__xludf.DUMMYFUNCTION("""COMPUTED_VALUE"""),1.0)</f>
        <v>1</v>
      </c>
      <c r="O8272" s="4" t="str">
        <f>IFERROR(__xludf.DUMMYFUNCTION("""COMPUTED_VALUE"""),"null")</f>
        <v>null</v>
      </c>
      <c r="P8272" s="33">
        <f>IFERROR(__xludf.DUMMYFUNCTION("""COMPUTED_VALUE"""),1.0)</f>
        <v>1</v>
      </c>
      <c r="Q8272" s="4" t="str">
        <f>IFERROR(__xludf.DUMMYFUNCTION("""COMPUTED_VALUE"""),"null")</f>
        <v>null</v>
      </c>
      <c r="R8272" s="33">
        <f>IFERROR(__xludf.DUMMYFUNCTION("""COMPUTED_VALUE"""),1.0)</f>
        <v>1</v>
      </c>
      <c r="S8272" s="4" t="str">
        <f>IFERROR(__xludf.DUMMYFUNCTION("""COMPUTED_VALUE"""),"null")</f>
        <v>null</v>
      </c>
      <c r="T8272" s="33">
        <f>IFERROR(__xludf.DUMMYFUNCTION("""COMPUTED_VALUE"""),1.0)</f>
        <v>1</v>
      </c>
      <c r="U8272" s="4" t="str">
        <f>IFERROR(__xludf.DUMMYFUNCTION("""COMPUTED_VALUE"""),"Saipos Serviços De Software")</f>
        <v>Saipos Serviços De Software</v>
      </c>
      <c r="V8272" s="33">
        <f>IFERROR(__xludf.DUMMYFUNCTION("""COMPUTED_VALUE"""),1.0)</f>
        <v>1</v>
      </c>
      <c r="W8272" s="4" t="str">
        <f>IFERROR(__xludf.DUMMYFUNCTION("""COMPUTED_VALUE"""),"Saipos Serviços De Software")</f>
        <v>Saipos Serviços De Software</v>
      </c>
      <c r="X8272" s="33">
        <f>IFERROR(__xludf.DUMMYFUNCTION("""COMPUTED_VALUE"""),1.0)</f>
        <v>1</v>
      </c>
    </row>
    <row r="8273">
      <c r="K8273" s="4" t="str">
        <f>IFERROR(__xludf.DUMMYFUNCTION("""COMPUTED_VALUE"""),"THE PIZZAS VILA PERI")</f>
        <v>THE PIZZAS VILA PERI</v>
      </c>
      <c r="L8273" s="32">
        <f>IFERROR(__xludf.DUMMYFUNCTION("""COMPUTED_VALUE"""),1.0)</f>
        <v>1</v>
      </c>
      <c r="M8273" s="4" t="str">
        <f>IFERROR(__xludf.DUMMYFUNCTION("""COMPUTED_VALUE"""),"Cardápio Web")</f>
        <v>Cardápio Web</v>
      </c>
      <c r="N8273" s="33">
        <f>IFERROR(__xludf.DUMMYFUNCTION("""COMPUTED_VALUE"""),1.0)</f>
        <v>1</v>
      </c>
      <c r="O8273" s="4" t="str">
        <f>IFERROR(__xludf.DUMMYFUNCTION("""COMPUTED_VALUE"""),"Cardápio Web")</f>
        <v>Cardápio Web</v>
      </c>
      <c r="P8273" s="33">
        <f>IFERROR(__xludf.DUMMYFUNCTION("""COMPUTED_VALUE"""),1.0)</f>
        <v>1</v>
      </c>
      <c r="Q8273" s="4" t="str">
        <f>IFERROR(__xludf.DUMMYFUNCTION("""COMPUTED_VALUE"""),"Cardápio Web")</f>
        <v>Cardápio Web</v>
      </c>
      <c r="R8273" s="33">
        <f>IFERROR(__xludf.DUMMYFUNCTION("""COMPUTED_VALUE"""),1.0)</f>
        <v>1</v>
      </c>
      <c r="S8273" s="4" t="str">
        <f>IFERROR(__xludf.DUMMYFUNCTION("""COMPUTED_VALUE"""),"Cardápio Web")</f>
        <v>Cardápio Web</v>
      </c>
      <c r="T8273" s="33">
        <f>IFERROR(__xludf.DUMMYFUNCTION("""COMPUTED_VALUE"""),1.0)</f>
        <v>1</v>
      </c>
      <c r="U8273" s="4" t="str">
        <f>IFERROR(__xludf.DUMMYFUNCTION("""COMPUTED_VALUE"""),"Cardápio Web")</f>
        <v>Cardápio Web</v>
      </c>
      <c r="V8273" s="33">
        <f>IFERROR(__xludf.DUMMYFUNCTION("""COMPUTED_VALUE"""),1.0)</f>
        <v>1</v>
      </c>
      <c r="W8273" s="4" t="str">
        <f>IFERROR(__xludf.DUMMYFUNCTION("""COMPUTED_VALUE"""),"Cardápio Web")</f>
        <v>Cardápio Web</v>
      </c>
      <c r="X8273" s="33">
        <f>IFERROR(__xludf.DUMMYFUNCTION("""COMPUTED_VALUE"""),1.0)</f>
        <v>1</v>
      </c>
    </row>
    <row r="8274">
      <c r="K8274" s="4" t="str">
        <f>IFERROR(__xludf.DUMMYFUNCTION("""COMPUTED_VALUE"""),"DELICIAS A JATO")</f>
        <v>DELICIAS A JATO</v>
      </c>
      <c r="L8274" s="32">
        <f>IFERROR(__xludf.DUMMYFUNCTION("""COMPUTED_VALUE"""),1.0)</f>
        <v>1</v>
      </c>
      <c r="M8274" s="4" t="str">
        <f>IFERROR(__xludf.DUMMYFUNCTION("""COMPUTED_VALUE"""),"Cardápio Web")</f>
        <v>Cardápio Web</v>
      </c>
      <c r="N8274" s="33">
        <f>IFERROR(__xludf.DUMMYFUNCTION("""COMPUTED_VALUE"""),1.0)</f>
        <v>1</v>
      </c>
      <c r="O8274" s="4" t="str">
        <f>IFERROR(__xludf.DUMMYFUNCTION("""COMPUTED_VALUE"""),"Cardápio Web")</f>
        <v>Cardápio Web</v>
      </c>
      <c r="P8274" s="33">
        <f>IFERROR(__xludf.DUMMYFUNCTION("""COMPUTED_VALUE"""),1.0)</f>
        <v>1</v>
      </c>
      <c r="Q8274" s="4" t="str">
        <f>IFERROR(__xludf.DUMMYFUNCTION("""COMPUTED_VALUE"""),"Cardápio Web")</f>
        <v>Cardápio Web</v>
      </c>
      <c r="R8274" s="33">
        <f>IFERROR(__xludf.DUMMYFUNCTION("""COMPUTED_VALUE"""),1.0)</f>
        <v>1</v>
      </c>
      <c r="S8274" s="4" t="str">
        <f>IFERROR(__xludf.DUMMYFUNCTION("""COMPUTED_VALUE"""),"Cardápio Web")</f>
        <v>Cardápio Web</v>
      </c>
      <c r="T8274" s="33">
        <f>IFERROR(__xludf.DUMMYFUNCTION("""COMPUTED_VALUE"""),1.0)</f>
        <v>1</v>
      </c>
      <c r="U8274" s="4" t="str">
        <f>IFERROR(__xludf.DUMMYFUNCTION("""COMPUTED_VALUE"""),"Cardápio Web")</f>
        <v>Cardápio Web</v>
      </c>
      <c r="V8274" s="33">
        <f>IFERROR(__xludf.DUMMYFUNCTION("""COMPUTED_VALUE"""),1.0)</f>
        <v>1</v>
      </c>
      <c r="W8274" s="4" t="str">
        <f>IFERROR(__xludf.DUMMYFUNCTION("""COMPUTED_VALUE"""),"Cardápio Web")</f>
        <v>Cardápio Web</v>
      </c>
      <c r="X8274" s="33">
        <f>IFERROR(__xludf.DUMMYFUNCTION("""COMPUTED_VALUE"""),1.0)</f>
        <v>1</v>
      </c>
    </row>
    <row r="8275">
      <c r="K8275" s="4" t="str">
        <f>IFERROR(__xludf.DUMMYFUNCTION("""COMPUTED_VALUE"""),"REDE DE FARMACIAS BIOMAX - FELIXLANDIA")</f>
        <v>REDE DE FARMACIAS BIOMAX - FELIXLANDIA</v>
      </c>
      <c r="L8275" s="32">
        <f>IFERROR(__xludf.DUMMYFUNCTION("""COMPUTED_VALUE"""),1.0)</f>
        <v>1</v>
      </c>
      <c r="M8275" s="4" t="str">
        <f>IFERROR(__xludf.DUMMYFUNCTION("""COMPUTED_VALUE"""),"N/A (Not found)")</f>
        <v>N/A (Not found)</v>
      </c>
      <c r="N8275" s="33">
        <f>IFERROR(__xludf.DUMMYFUNCTION("""COMPUTED_VALUE"""),1.0)</f>
        <v>1</v>
      </c>
      <c r="O8275" s="4" t="str">
        <f>IFERROR(__xludf.DUMMYFUNCTION("""COMPUTED_VALUE"""),"N/A (Not found)")</f>
        <v>N/A (Not found)</v>
      </c>
      <c r="P8275" s="33">
        <f>IFERROR(__xludf.DUMMYFUNCTION("""COMPUTED_VALUE"""),1.0)</f>
        <v>1</v>
      </c>
      <c r="Q8275" s="4" t="str">
        <f>IFERROR(__xludf.DUMMYFUNCTION("""COMPUTED_VALUE"""),"N/A (Not found)")</f>
        <v>N/A (Not found)</v>
      </c>
      <c r="R8275" s="33">
        <f>IFERROR(__xludf.DUMMYFUNCTION("""COMPUTED_VALUE"""),1.0)</f>
        <v>1</v>
      </c>
      <c r="S8275" s="4" t="str">
        <f>IFERROR(__xludf.DUMMYFUNCTION("""COMPUTED_VALUE"""),"N/A (Not found)")</f>
        <v>N/A (Not found)</v>
      </c>
      <c r="T8275" s="33">
        <f>IFERROR(__xludf.DUMMYFUNCTION("""COMPUTED_VALUE"""),1.0)</f>
        <v>1</v>
      </c>
      <c r="U8275" s="4" t="str">
        <f>IFERROR(__xludf.DUMMYFUNCTION("""COMPUTED_VALUE"""),"N/A (Not found)")</f>
        <v>N/A (Not found)</v>
      </c>
      <c r="V8275" s="33">
        <f>IFERROR(__xludf.DUMMYFUNCTION("""COMPUTED_VALUE"""),1.0)</f>
        <v>1</v>
      </c>
      <c r="W8275" s="4" t="str">
        <f>IFERROR(__xludf.DUMMYFUNCTION("""COMPUTED_VALUE"""),"N/A (Not found)")</f>
        <v>N/A (Not found)</v>
      </c>
      <c r="X8275" s="33">
        <f>IFERROR(__xludf.DUMMYFUNCTION("""COMPUTED_VALUE"""),1.0)</f>
        <v>1</v>
      </c>
    </row>
    <row r="8276">
      <c r="K8276" s="4" t="str">
        <f>IFERROR(__xludf.DUMMYFUNCTION("""COMPUTED_VALUE"""),"QUINTAL COZINHA PRA TORAR")</f>
        <v>QUINTAL COZINHA PRA TORAR</v>
      </c>
      <c r="L8276" s="32">
        <f>IFERROR(__xludf.DUMMYFUNCTION("""COMPUTED_VALUE"""),1.0)</f>
        <v>1</v>
      </c>
      <c r="M8276" s="4" t="str">
        <f>IFERROR(__xludf.DUMMYFUNCTION("""COMPUTED_VALUE"""),"Alpha Logo")</f>
        <v>Alpha Logo</v>
      </c>
      <c r="N8276" s="33">
        <f>IFERROR(__xludf.DUMMYFUNCTION("""COMPUTED_VALUE"""),1.0)</f>
        <v>1</v>
      </c>
      <c r="O8276" s="4" t="str">
        <f>IFERROR(__xludf.DUMMYFUNCTION("""COMPUTED_VALUE"""),"Alpha Logo")</f>
        <v>Alpha Logo</v>
      </c>
      <c r="P8276" s="33">
        <f>IFERROR(__xludf.DUMMYFUNCTION("""COMPUTED_VALUE"""),1.0)</f>
        <v>1</v>
      </c>
      <c r="Q8276" s="4" t="str">
        <f>IFERROR(__xludf.DUMMYFUNCTION("""COMPUTED_VALUE"""),"Alpha Logo")</f>
        <v>Alpha Logo</v>
      </c>
      <c r="R8276" s="33">
        <f>IFERROR(__xludf.DUMMYFUNCTION("""COMPUTED_VALUE"""),1.0)</f>
        <v>1</v>
      </c>
      <c r="S8276" s="4" t="str">
        <f>IFERROR(__xludf.DUMMYFUNCTION("""COMPUTED_VALUE"""),"Alpha Logo")</f>
        <v>Alpha Logo</v>
      </c>
      <c r="T8276" s="33">
        <f>IFERROR(__xludf.DUMMYFUNCTION("""COMPUTED_VALUE"""),1.0)</f>
        <v>1</v>
      </c>
      <c r="U8276" s="4" t="str">
        <f>IFERROR(__xludf.DUMMYFUNCTION("""COMPUTED_VALUE"""),"Alpha Logo")</f>
        <v>Alpha Logo</v>
      </c>
      <c r="V8276" s="33">
        <f>IFERROR(__xludf.DUMMYFUNCTION("""COMPUTED_VALUE"""),1.0)</f>
        <v>1</v>
      </c>
      <c r="W8276" s="4" t="str">
        <f>IFERROR(__xludf.DUMMYFUNCTION("""COMPUTED_VALUE"""),"Alpha Logo")</f>
        <v>Alpha Logo</v>
      </c>
      <c r="X8276" s="33">
        <f>IFERROR(__xludf.DUMMYFUNCTION("""COMPUTED_VALUE"""),1.0)</f>
        <v>1</v>
      </c>
    </row>
    <row r="8277">
      <c r="K8277" s="4" t="str">
        <f>IFERROR(__xludf.DUMMYFUNCTION("""COMPUTED_VALUE"""),"CASA DO ESPETO MINEIRO")</f>
        <v>CASA DO ESPETO MINEIRO</v>
      </c>
      <c r="L8277" s="32">
        <f>IFERROR(__xludf.DUMMYFUNCTION("""COMPUTED_VALUE"""),1.0)</f>
        <v>1</v>
      </c>
      <c r="M8277" s="4" t="str">
        <f>IFERROR(__xludf.DUMMYFUNCTION("""COMPUTED_VALUE"""),"null")</f>
        <v>null</v>
      </c>
      <c r="N8277" s="33">
        <f>IFERROR(__xludf.DUMMYFUNCTION("""COMPUTED_VALUE"""),1.0)</f>
        <v>1</v>
      </c>
      <c r="O8277" s="4" t="str">
        <f>IFERROR(__xludf.DUMMYFUNCTION("""COMPUTED_VALUE"""),"null")</f>
        <v>null</v>
      </c>
      <c r="P8277" s="33">
        <f>IFERROR(__xludf.DUMMYFUNCTION("""COMPUTED_VALUE"""),1.0)</f>
        <v>1</v>
      </c>
      <c r="Q8277" s="4" t="str">
        <f>IFERROR(__xludf.DUMMYFUNCTION("""COMPUTED_VALUE"""),"Fudo Soluciones Sas")</f>
        <v>Fudo Soluciones Sas</v>
      </c>
      <c r="R8277" s="33">
        <f>IFERROR(__xludf.DUMMYFUNCTION("""COMPUTED_VALUE"""),1.0)</f>
        <v>1</v>
      </c>
      <c r="S8277" s="4" t="str">
        <f>IFERROR(__xludf.DUMMYFUNCTION("""COMPUTED_VALUE"""),"Fudo Soluciones Sas")</f>
        <v>Fudo Soluciones Sas</v>
      </c>
      <c r="T8277" s="33">
        <f>IFERROR(__xludf.DUMMYFUNCTION("""COMPUTED_VALUE"""),1.0)</f>
        <v>1</v>
      </c>
      <c r="U8277" s="4" t="str">
        <f>IFERROR(__xludf.DUMMYFUNCTION("""COMPUTED_VALUE"""),"null")</f>
        <v>null</v>
      </c>
      <c r="V8277" s="33">
        <f>IFERROR(__xludf.DUMMYFUNCTION("""COMPUTED_VALUE"""),1.0)</f>
        <v>1</v>
      </c>
      <c r="W8277" s="4" t="str">
        <f>IFERROR(__xludf.DUMMYFUNCTION("""COMPUTED_VALUE"""),"null")</f>
        <v>null</v>
      </c>
      <c r="X8277" s="33">
        <f>IFERROR(__xludf.DUMMYFUNCTION("""COMPUTED_VALUE"""),1.0)</f>
        <v>1</v>
      </c>
    </row>
    <row r="8278">
      <c r="K8278" s="4" t="str">
        <f>IFERROR(__xludf.DUMMYFUNCTION("""COMPUTED_VALUE"""),"PIZZA HUB")</f>
        <v>PIZZA HUB</v>
      </c>
      <c r="L8278" s="32">
        <f>IFERROR(__xludf.DUMMYFUNCTION("""COMPUTED_VALUE"""),1.0)</f>
        <v>1</v>
      </c>
      <c r="M8278" s="4" t="str">
        <f>IFERROR(__xludf.DUMMYFUNCTION("""COMPUTED_VALUE"""),"Saipos Serviços De Software")</f>
        <v>Saipos Serviços De Software</v>
      </c>
      <c r="N8278" s="33">
        <f>IFERROR(__xludf.DUMMYFUNCTION("""COMPUTED_VALUE"""),1.0)</f>
        <v>1</v>
      </c>
      <c r="O8278" s="4" t="str">
        <f>IFERROR(__xludf.DUMMYFUNCTION("""COMPUTED_VALUE"""),"Saipos Serviços De Software")</f>
        <v>Saipos Serviços De Software</v>
      </c>
      <c r="P8278" s="33">
        <f>IFERROR(__xludf.DUMMYFUNCTION("""COMPUTED_VALUE"""),1.0)</f>
        <v>1</v>
      </c>
      <c r="Q8278" s="4" t="str">
        <f>IFERROR(__xludf.DUMMYFUNCTION("""COMPUTED_VALUE"""),"Saipos Serviços De Software")</f>
        <v>Saipos Serviços De Software</v>
      </c>
      <c r="R8278" s="33">
        <f>IFERROR(__xludf.DUMMYFUNCTION("""COMPUTED_VALUE"""),1.0)</f>
        <v>1</v>
      </c>
      <c r="S8278" s="4" t="str">
        <f>IFERROR(__xludf.DUMMYFUNCTION("""COMPUTED_VALUE"""),"Saipos Serviços De Software")</f>
        <v>Saipos Serviços De Software</v>
      </c>
      <c r="T8278" s="33">
        <f>IFERROR(__xludf.DUMMYFUNCTION("""COMPUTED_VALUE"""),1.0)</f>
        <v>1</v>
      </c>
      <c r="U8278" s="4" t="str">
        <f>IFERROR(__xludf.DUMMYFUNCTION("""COMPUTED_VALUE"""),"Saipos Serviços De Software")</f>
        <v>Saipos Serviços De Software</v>
      </c>
      <c r="V8278" s="33">
        <f>IFERROR(__xludf.DUMMYFUNCTION("""COMPUTED_VALUE"""),1.0)</f>
        <v>1</v>
      </c>
      <c r="W8278" s="4" t="str">
        <f>IFERROR(__xludf.DUMMYFUNCTION("""COMPUTED_VALUE"""),"Saipos Serviços De Software")</f>
        <v>Saipos Serviços De Software</v>
      </c>
      <c r="X8278" s="33">
        <f>IFERROR(__xludf.DUMMYFUNCTION("""COMPUTED_VALUE"""),1.0)</f>
        <v>1</v>
      </c>
    </row>
    <row r="8279">
      <c r="K8279" s="4" t="str">
        <f>IFERROR(__xludf.DUMMYFUNCTION("""COMPUTED_VALUE"""),"LANCHONETE E PIZZARIA CARPE DIEM")</f>
        <v>LANCHONETE E PIZZARIA CARPE DIEM</v>
      </c>
      <c r="L8279" s="32">
        <f>IFERROR(__xludf.DUMMYFUNCTION("""COMPUTED_VALUE"""),1.0)</f>
        <v>1</v>
      </c>
      <c r="M8279" s="4" t="str">
        <f>IFERROR(__xludf.DUMMYFUNCTION("""COMPUTED_VALUE"""),"Anota Ai Solucoes Digitais S/a")</f>
        <v>Anota Ai Solucoes Digitais S/a</v>
      </c>
      <c r="N8279" s="33">
        <f>IFERROR(__xludf.DUMMYFUNCTION("""COMPUTED_VALUE"""),1.0)</f>
        <v>1</v>
      </c>
      <c r="O8279" s="4" t="str">
        <f>IFERROR(__xludf.DUMMYFUNCTION("""COMPUTED_VALUE"""),"Anota Ai Solucoes Digitais S/a")</f>
        <v>Anota Ai Solucoes Digitais S/a</v>
      </c>
      <c r="P8279" s="33">
        <f>IFERROR(__xludf.DUMMYFUNCTION("""COMPUTED_VALUE"""),1.0)</f>
        <v>1</v>
      </c>
      <c r="Q8279" s="4" t="str">
        <f>IFERROR(__xludf.DUMMYFUNCTION("""COMPUTED_VALUE"""),"Anota Ai Solucoes Digitais S/a")</f>
        <v>Anota Ai Solucoes Digitais S/a</v>
      </c>
      <c r="R8279" s="33">
        <f>IFERROR(__xludf.DUMMYFUNCTION("""COMPUTED_VALUE"""),1.0)</f>
        <v>1</v>
      </c>
      <c r="S8279" s="4" t="str">
        <f>IFERROR(__xludf.DUMMYFUNCTION("""COMPUTED_VALUE"""),"Anota Ai Solucoes Digitais S/a")</f>
        <v>Anota Ai Solucoes Digitais S/a</v>
      </c>
      <c r="T8279" s="33">
        <f>IFERROR(__xludf.DUMMYFUNCTION("""COMPUTED_VALUE"""),1.0)</f>
        <v>1</v>
      </c>
      <c r="U8279" s="4" t="str">
        <f>IFERROR(__xludf.DUMMYFUNCTION("""COMPUTED_VALUE"""),"Anota Ai Solucoes Digitais S/a")</f>
        <v>Anota Ai Solucoes Digitais S/a</v>
      </c>
      <c r="V8279" s="33">
        <f>IFERROR(__xludf.DUMMYFUNCTION("""COMPUTED_VALUE"""),1.0)</f>
        <v>1</v>
      </c>
      <c r="W8279" s="4" t="str">
        <f>IFERROR(__xludf.DUMMYFUNCTION("""COMPUTED_VALUE"""),"Anota Ai Solucoes Digitais S/a")</f>
        <v>Anota Ai Solucoes Digitais S/a</v>
      </c>
      <c r="X8279" s="33">
        <f>IFERROR(__xludf.DUMMYFUNCTION("""COMPUTED_VALUE"""),1.0)</f>
        <v>1</v>
      </c>
    </row>
    <row r="8280">
      <c r="K8280" s="4" t="str">
        <f>IFERROR(__xludf.DUMMYFUNCTION("""COMPUTED_VALUE"""),"CREPES E LANCHES - NOSSA ARTE")</f>
        <v>CREPES E LANCHES - NOSSA ARTE</v>
      </c>
      <c r="L8280" s="32">
        <f>IFERROR(__xludf.DUMMYFUNCTION("""COMPUTED_VALUE"""),1.0)</f>
        <v>1</v>
      </c>
      <c r="M8280" s="4" t="str">
        <f>IFERROR(__xludf.DUMMYFUNCTION("""COMPUTED_VALUE"""),"Consumer Soluções Em Tecnologia Ltda")</f>
        <v>Consumer Soluções Em Tecnologia Ltda</v>
      </c>
      <c r="N8280" s="33">
        <f>IFERROR(__xludf.DUMMYFUNCTION("""COMPUTED_VALUE"""),1.0)</f>
        <v>1</v>
      </c>
      <c r="O8280" s="4" t="str">
        <f>IFERROR(__xludf.DUMMYFUNCTION("""COMPUTED_VALUE"""),"Consumer Soluções Em Tecnologia Ltda")</f>
        <v>Consumer Soluções Em Tecnologia Ltda</v>
      </c>
      <c r="P8280" s="33">
        <f>IFERROR(__xludf.DUMMYFUNCTION("""COMPUTED_VALUE"""),1.0)</f>
        <v>1</v>
      </c>
      <c r="Q8280" s="4" t="str">
        <f>IFERROR(__xludf.DUMMYFUNCTION("""COMPUTED_VALUE"""),"Consumer Soluções Em Tecnologia Ltda")</f>
        <v>Consumer Soluções Em Tecnologia Ltda</v>
      </c>
      <c r="R8280" s="33">
        <f>IFERROR(__xludf.DUMMYFUNCTION("""COMPUTED_VALUE"""),1.0)</f>
        <v>1</v>
      </c>
      <c r="S8280" s="4" t="str">
        <f>IFERROR(__xludf.DUMMYFUNCTION("""COMPUTED_VALUE"""),"Consumer Soluções Em Tecnologia Ltda")</f>
        <v>Consumer Soluções Em Tecnologia Ltda</v>
      </c>
      <c r="T8280" s="33">
        <f>IFERROR(__xludf.DUMMYFUNCTION("""COMPUTED_VALUE"""),1.0)</f>
        <v>1</v>
      </c>
      <c r="U8280" s="4" t="str">
        <f>IFERROR(__xludf.DUMMYFUNCTION("""COMPUTED_VALUE"""),"null")</f>
        <v>null</v>
      </c>
      <c r="V8280" s="33">
        <f>IFERROR(__xludf.DUMMYFUNCTION("""COMPUTED_VALUE"""),1.0)</f>
        <v>1</v>
      </c>
      <c r="W8280" s="4" t="str">
        <f>IFERROR(__xludf.DUMMYFUNCTION("""COMPUTED_VALUE"""),"null")</f>
        <v>null</v>
      </c>
      <c r="X8280" s="33">
        <f>IFERROR(__xludf.DUMMYFUNCTION("""COMPUTED_VALUE"""),1.0)</f>
        <v>1</v>
      </c>
    </row>
    <row r="8281">
      <c r="K8281" s="4" t="str">
        <f>IFERROR(__xludf.DUMMYFUNCTION("""COMPUTED_VALUE"""),"FOGO E BRASA RESTAURANTE E PIZZARIA")</f>
        <v>FOGO E BRASA RESTAURANTE E PIZZARIA</v>
      </c>
      <c r="L8281" s="32">
        <f>IFERROR(__xludf.DUMMYFUNCTION("""COMPUTED_VALUE"""),1.0)</f>
        <v>1</v>
      </c>
      <c r="M8281" s="4" t="str">
        <f>IFERROR(__xludf.DUMMYFUNCTION("""COMPUTED_VALUE"""),"Consumer Soluções Em Tecnologia Ltda")</f>
        <v>Consumer Soluções Em Tecnologia Ltda</v>
      </c>
      <c r="N8281" s="33">
        <f>IFERROR(__xludf.DUMMYFUNCTION("""COMPUTED_VALUE"""),1.0)</f>
        <v>1</v>
      </c>
      <c r="O8281" s="4" t="str">
        <f>IFERROR(__xludf.DUMMYFUNCTION("""COMPUTED_VALUE"""),"null")</f>
        <v>null</v>
      </c>
      <c r="P8281" s="33">
        <f>IFERROR(__xludf.DUMMYFUNCTION("""COMPUTED_VALUE"""),1.0)</f>
        <v>1</v>
      </c>
      <c r="Q8281" s="4" t="str">
        <f>IFERROR(__xludf.DUMMYFUNCTION("""COMPUTED_VALUE"""),"null")</f>
        <v>null</v>
      </c>
      <c r="R8281" s="33">
        <f>IFERROR(__xludf.DUMMYFUNCTION("""COMPUTED_VALUE"""),1.0)</f>
        <v>1</v>
      </c>
      <c r="S8281" s="4" t="str">
        <f>IFERROR(__xludf.DUMMYFUNCTION("""COMPUTED_VALUE"""),"null")</f>
        <v>null</v>
      </c>
      <c r="T8281" s="33">
        <f>IFERROR(__xludf.DUMMYFUNCTION("""COMPUTED_VALUE"""),1.0)</f>
        <v>1</v>
      </c>
      <c r="U8281" s="4" t="str">
        <f>IFERROR(__xludf.DUMMYFUNCTION("""COMPUTED_VALUE"""),"Consumer Soluções Em Tecnologia Ltda")</f>
        <v>Consumer Soluções Em Tecnologia Ltda</v>
      </c>
      <c r="V8281" s="33">
        <f>IFERROR(__xludf.DUMMYFUNCTION("""COMPUTED_VALUE"""),1.0)</f>
        <v>1</v>
      </c>
      <c r="W8281" s="4" t="str">
        <f>IFERROR(__xludf.DUMMYFUNCTION("""COMPUTED_VALUE"""),"null")</f>
        <v>null</v>
      </c>
      <c r="X8281" s="33">
        <f>IFERROR(__xludf.DUMMYFUNCTION("""COMPUTED_VALUE"""),1.0)</f>
        <v>1</v>
      </c>
    </row>
    <row r="8282">
      <c r="K8282" s="4" t="str">
        <f>IFERROR(__xludf.DUMMYFUNCTION("""COMPUTED_VALUE"""),"LIGEIRINHO E NETO O CRAQUE DO LEITAO")</f>
        <v>LIGEIRINHO E NETO O CRAQUE DO LEITAO</v>
      </c>
      <c r="L8282" s="32">
        <f>IFERROR(__xludf.DUMMYFUNCTION("""COMPUTED_VALUE"""),1.0)</f>
        <v>1</v>
      </c>
      <c r="M8282" s="4" t="str">
        <f>IFERROR(__xludf.DUMMYFUNCTION("""COMPUTED_VALUE"""),"Aws Software Ltda")</f>
        <v>Aws Software Ltda</v>
      </c>
      <c r="N8282" s="33">
        <f>IFERROR(__xludf.DUMMYFUNCTION("""COMPUTED_VALUE"""),1.0)</f>
        <v>1</v>
      </c>
      <c r="O8282" s="4" t="str">
        <f>IFERROR(__xludf.DUMMYFUNCTION("""COMPUTED_VALUE"""),"null")</f>
        <v>null</v>
      </c>
      <c r="P8282" s="33">
        <f>IFERROR(__xludf.DUMMYFUNCTION("""COMPUTED_VALUE"""),1.0)</f>
        <v>1</v>
      </c>
      <c r="Q8282" s="4" t="str">
        <f>IFERROR(__xludf.DUMMYFUNCTION("""COMPUTED_VALUE"""),"null")</f>
        <v>null</v>
      </c>
      <c r="R8282" s="33">
        <f>IFERROR(__xludf.DUMMYFUNCTION("""COMPUTED_VALUE"""),1.0)</f>
        <v>1</v>
      </c>
      <c r="S8282" s="4" t="str">
        <f>IFERROR(__xludf.DUMMYFUNCTION("""COMPUTED_VALUE"""),"null")</f>
        <v>null</v>
      </c>
      <c r="T8282" s="33">
        <f>IFERROR(__xludf.DUMMYFUNCTION("""COMPUTED_VALUE"""),1.0)</f>
        <v>1</v>
      </c>
      <c r="U8282" s="4" t="str">
        <f>IFERROR(__xludf.DUMMYFUNCTION("""COMPUTED_VALUE"""),"null")</f>
        <v>null</v>
      </c>
      <c r="V8282" s="33">
        <f>IFERROR(__xludf.DUMMYFUNCTION("""COMPUTED_VALUE"""),1.0)</f>
        <v>1</v>
      </c>
      <c r="W8282" s="4" t="str">
        <f>IFERROR(__xludf.DUMMYFUNCTION("""COMPUTED_VALUE"""),"null")</f>
        <v>null</v>
      </c>
      <c r="X8282" s="33">
        <f>IFERROR(__xludf.DUMMYFUNCTION("""COMPUTED_VALUE"""),1.0)</f>
        <v>1</v>
      </c>
    </row>
    <row r="8283">
      <c r="K8283" s="4" t="str">
        <f>IFERROR(__xludf.DUMMYFUNCTION("""COMPUTED_VALUE"""),"REALCE PERFUMARIA")</f>
        <v>REALCE PERFUMARIA</v>
      </c>
      <c r="L8283" s="32">
        <f>IFERROR(__xludf.DUMMYFUNCTION("""COMPUTED_VALUE"""),1.0)</f>
        <v>1</v>
      </c>
      <c r="M8283" s="4" t="str">
        <f>IFERROR(__xludf.DUMMYFUNCTION("""COMPUTED_VALUE"""),"N/A (Not found)")</f>
        <v>N/A (Not found)</v>
      </c>
      <c r="N8283" s="33">
        <f>IFERROR(__xludf.DUMMYFUNCTION("""COMPUTED_VALUE"""),1.0)</f>
        <v>1</v>
      </c>
      <c r="O8283" s="4" t="str">
        <f>IFERROR(__xludf.DUMMYFUNCTION("""COMPUTED_VALUE"""),"N/A (Not found)")</f>
        <v>N/A (Not found)</v>
      </c>
      <c r="P8283" s="33">
        <f>IFERROR(__xludf.DUMMYFUNCTION("""COMPUTED_VALUE"""),1.0)</f>
        <v>1</v>
      </c>
      <c r="Q8283" s="4" t="str">
        <f>IFERROR(__xludf.DUMMYFUNCTION("""COMPUTED_VALUE"""),"N/A (Not found)")</f>
        <v>N/A (Not found)</v>
      </c>
      <c r="R8283" s="33">
        <f>IFERROR(__xludf.DUMMYFUNCTION("""COMPUTED_VALUE"""),1.0)</f>
        <v>1</v>
      </c>
      <c r="S8283" s="4" t="str">
        <f>IFERROR(__xludf.DUMMYFUNCTION("""COMPUTED_VALUE"""),"N/A (Not found)")</f>
        <v>N/A (Not found)</v>
      </c>
      <c r="T8283" s="33">
        <f>IFERROR(__xludf.DUMMYFUNCTION("""COMPUTED_VALUE"""),1.0)</f>
        <v>1</v>
      </c>
      <c r="U8283" s="4" t="str">
        <f>IFERROR(__xludf.DUMMYFUNCTION("""COMPUTED_VALUE"""),"null")</f>
        <v>null</v>
      </c>
      <c r="V8283" s="33">
        <f>IFERROR(__xludf.DUMMYFUNCTION("""COMPUTED_VALUE"""),1.0)</f>
        <v>1</v>
      </c>
      <c r="W8283" s="4" t="str">
        <f>IFERROR(__xludf.DUMMYFUNCTION("""COMPUTED_VALUE"""),"null")</f>
        <v>null</v>
      </c>
      <c r="X8283" s="33">
        <f>IFERROR(__xludf.DUMMYFUNCTION("""COMPUTED_VALUE"""),1.0)</f>
        <v>1</v>
      </c>
    </row>
    <row r="8284">
      <c r="K8284" s="4" t="str">
        <f>IFERROR(__xludf.DUMMYFUNCTION("""COMPUTED_VALUE"""),"BIBITO - MACARRONADA E CACHORRO QUENTE")</f>
        <v>BIBITO - MACARRONADA E CACHORRO QUENTE</v>
      </c>
      <c r="L8284" s="32">
        <f>IFERROR(__xludf.DUMMYFUNCTION("""COMPUTED_VALUE"""),1.0)</f>
        <v>1</v>
      </c>
      <c r="M8284" s="4" t="str">
        <f>IFERROR(__xludf.DUMMYFUNCTION("""COMPUTED_VALUE"""),"Consumer Soluções Em Tecnologia Ltda")</f>
        <v>Consumer Soluções Em Tecnologia Ltda</v>
      </c>
      <c r="N8284" s="33">
        <f>IFERROR(__xludf.DUMMYFUNCTION("""COMPUTED_VALUE"""),1.0)</f>
        <v>1</v>
      </c>
      <c r="O8284" s="4" t="str">
        <f>IFERROR(__xludf.DUMMYFUNCTION("""COMPUTED_VALUE"""),"Consumer Soluções Em Tecnologia Ltda")</f>
        <v>Consumer Soluções Em Tecnologia Ltda</v>
      </c>
      <c r="P8284" s="33">
        <f>IFERROR(__xludf.DUMMYFUNCTION("""COMPUTED_VALUE"""),1.0)</f>
        <v>1</v>
      </c>
      <c r="Q8284" s="4" t="str">
        <f>IFERROR(__xludf.DUMMYFUNCTION("""COMPUTED_VALUE"""),"null")</f>
        <v>null</v>
      </c>
      <c r="R8284" s="33">
        <f>IFERROR(__xludf.DUMMYFUNCTION("""COMPUTED_VALUE"""),1.0)</f>
        <v>1</v>
      </c>
      <c r="S8284" s="4" t="str">
        <f>IFERROR(__xludf.DUMMYFUNCTION("""COMPUTED_VALUE"""),"null")</f>
        <v>null</v>
      </c>
      <c r="T8284" s="33">
        <f>IFERROR(__xludf.DUMMYFUNCTION("""COMPUTED_VALUE"""),1.0)</f>
        <v>1</v>
      </c>
      <c r="U8284" s="4" t="str">
        <f>IFERROR(__xludf.DUMMYFUNCTION("""COMPUTED_VALUE"""),"Consumer Soluções Em Tecnologia Ltda")</f>
        <v>Consumer Soluções Em Tecnologia Ltda</v>
      </c>
      <c r="V8284" s="33">
        <f>IFERROR(__xludf.DUMMYFUNCTION("""COMPUTED_VALUE"""),1.0)</f>
        <v>1</v>
      </c>
      <c r="W8284" s="4" t="str">
        <f>IFERROR(__xludf.DUMMYFUNCTION("""COMPUTED_VALUE"""),"Agilizup Solucoes Ltda")</f>
        <v>Agilizup Solucoes Ltda</v>
      </c>
      <c r="X8284" s="33">
        <f>IFERROR(__xludf.DUMMYFUNCTION("""COMPUTED_VALUE"""),1.0)</f>
        <v>1</v>
      </c>
    </row>
    <row r="8285">
      <c r="K8285" s="4" t="str">
        <f>IFERROR(__xludf.DUMMYFUNCTION("""COMPUTED_VALUE"""),"ROCA BURGER")</f>
        <v>ROCA BURGER</v>
      </c>
      <c r="L8285" s="32">
        <f>IFERROR(__xludf.DUMMYFUNCTION("""COMPUTED_VALUE"""),1.0)</f>
        <v>1</v>
      </c>
      <c r="M8285" s="4" t="str">
        <f>IFERROR(__xludf.DUMMYFUNCTION("""COMPUTED_VALUE"""),"Infoluck Sistemas")</f>
        <v>Infoluck Sistemas</v>
      </c>
      <c r="N8285" s="33">
        <f>IFERROR(__xludf.DUMMYFUNCTION("""COMPUTED_VALUE"""),1.0)</f>
        <v>1</v>
      </c>
      <c r="O8285" s="4" t="str">
        <f>IFERROR(__xludf.DUMMYFUNCTION("""COMPUTED_VALUE"""),"null")</f>
        <v>null</v>
      </c>
      <c r="P8285" s="33">
        <f>IFERROR(__xludf.DUMMYFUNCTION("""COMPUTED_VALUE"""),1.0)</f>
        <v>1</v>
      </c>
      <c r="Q8285" s="4" t="str">
        <f>IFERROR(__xludf.DUMMYFUNCTION("""COMPUTED_VALUE"""),"null")</f>
        <v>null</v>
      </c>
      <c r="R8285" s="33">
        <f>IFERROR(__xludf.DUMMYFUNCTION("""COMPUTED_VALUE"""),1.0)</f>
        <v>1</v>
      </c>
      <c r="S8285" s="4" t="str">
        <f>IFERROR(__xludf.DUMMYFUNCTION("""COMPUTED_VALUE"""),"null")</f>
        <v>null</v>
      </c>
      <c r="T8285" s="33">
        <f>IFERROR(__xludf.DUMMYFUNCTION("""COMPUTED_VALUE"""),1.0)</f>
        <v>1</v>
      </c>
      <c r="U8285" s="4" t="str">
        <f>IFERROR(__xludf.DUMMYFUNCTION("""COMPUTED_VALUE"""),"null")</f>
        <v>null</v>
      </c>
      <c r="V8285" s="33">
        <f>IFERROR(__xludf.DUMMYFUNCTION("""COMPUTED_VALUE"""),1.0)</f>
        <v>1</v>
      </c>
      <c r="W8285" s="4" t="str">
        <f>IFERROR(__xludf.DUMMYFUNCTION("""COMPUTED_VALUE"""),"null")</f>
        <v>null</v>
      </c>
      <c r="X8285" s="33">
        <f>IFERROR(__xludf.DUMMYFUNCTION("""COMPUTED_VALUE"""),1.0)</f>
        <v>1</v>
      </c>
    </row>
    <row r="8286">
      <c r="K8286" s="4" t="str">
        <f>IFERROR(__xludf.DUMMYFUNCTION("""COMPUTED_VALUE"""),"PADARIA SABOR DE MEL")</f>
        <v>PADARIA SABOR DE MEL</v>
      </c>
      <c r="L8286" s="32">
        <f>IFERROR(__xludf.DUMMYFUNCTION("""COMPUTED_VALUE"""),1.0)</f>
        <v>1</v>
      </c>
      <c r="M8286" s="4" t="str">
        <f>IFERROR(__xludf.DUMMYFUNCTION("""COMPUTED_VALUE"""),"Datamaxi Comercio E Representacoes Ltda")</f>
        <v>Datamaxi Comercio E Representacoes Ltda</v>
      </c>
      <c r="N8286" s="33">
        <f>IFERROR(__xludf.DUMMYFUNCTION("""COMPUTED_VALUE"""),1.0)</f>
        <v>1</v>
      </c>
      <c r="O8286" s="4" t="str">
        <f>IFERROR(__xludf.DUMMYFUNCTION("""COMPUTED_VALUE"""),"Datamaxi Comercio E Representacoes Ltda")</f>
        <v>Datamaxi Comercio E Representacoes Ltda</v>
      </c>
      <c r="P8286" s="33">
        <f>IFERROR(__xludf.DUMMYFUNCTION("""COMPUTED_VALUE"""),1.0)</f>
        <v>1</v>
      </c>
      <c r="Q8286" s="4" t="str">
        <f>IFERROR(__xludf.DUMMYFUNCTION("""COMPUTED_VALUE"""),"Datamaxi Comercio E Representacoes Ltda")</f>
        <v>Datamaxi Comercio E Representacoes Ltda</v>
      </c>
      <c r="R8286" s="33">
        <f>IFERROR(__xludf.DUMMYFUNCTION("""COMPUTED_VALUE"""),1.0)</f>
        <v>1</v>
      </c>
      <c r="S8286" s="4" t="str">
        <f>IFERROR(__xludf.DUMMYFUNCTION("""COMPUTED_VALUE"""),"Datamaxi Comercio E Representacoes Ltda")</f>
        <v>Datamaxi Comercio E Representacoes Ltda</v>
      </c>
      <c r="T8286" s="33">
        <f>IFERROR(__xludf.DUMMYFUNCTION("""COMPUTED_VALUE"""),1.0)</f>
        <v>1</v>
      </c>
      <c r="U8286" s="4" t="str">
        <f>IFERROR(__xludf.DUMMYFUNCTION("""COMPUTED_VALUE"""),"Datamaxi Comercio E Representacoes Ltda")</f>
        <v>Datamaxi Comercio E Representacoes Ltda</v>
      </c>
      <c r="V8286" s="33">
        <f>IFERROR(__xludf.DUMMYFUNCTION("""COMPUTED_VALUE"""),1.0)</f>
        <v>1</v>
      </c>
      <c r="W8286" s="4" t="str">
        <f>IFERROR(__xludf.DUMMYFUNCTION("""COMPUTED_VALUE"""),"Datamaxi Comercio E Representacoes Ltda")</f>
        <v>Datamaxi Comercio E Representacoes Ltda</v>
      </c>
      <c r="X8286" s="33">
        <f>IFERROR(__xludf.DUMMYFUNCTION("""COMPUTED_VALUE"""),1.0)</f>
        <v>1</v>
      </c>
    </row>
    <row r="8287">
      <c r="K8287" s="4" t="str">
        <f>IFERROR(__xludf.DUMMYFUNCTION("""COMPUTED_VALUE"""),"CANTINA DA CASA")</f>
        <v>CANTINA DA CASA</v>
      </c>
      <c r="L8287" s="32">
        <f>IFERROR(__xludf.DUMMYFUNCTION("""COMPUTED_VALUE"""),1.0)</f>
        <v>1</v>
      </c>
      <c r="M8287" s="4" t="str">
        <f>IFERROR(__xludf.DUMMYFUNCTION("""COMPUTED_VALUE"""),"Softcom Tecnologia")</f>
        <v>Softcom Tecnologia</v>
      </c>
      <c r="N8287" s="33">
        <f>IFERROR(__xludf.DUMMYFUNCTION("""COMPUTED_VALUE"""),1.0)</f>
        <v>1</v>
      </c>
      <c r="O8287" s="4" t="str">
        <f>IFERROR(__xludf.DUMMYFUNCTION("""COMPUTED_VALUE"""),"Softcom Tecnologia")</f>
        <v>Softcom Tecnologia</v>
      </c>
      <c r="P8287" s="33">
        <f>IFERROR(__xludf.DUMMYFUNCTION("""COMPUTED_VALUE"""),1.0)</f>
        <v>1</v>
      </c>
      <c r="Q8287" s="4" t="str">
        <f>IFERROR(__xludf.DUMMYFUNCTION("""COMPUTED_VALUE"""),"Softcom Tecnologia")</f>
        <v>Softcom Tecnologia</v>
      </c>
      <c r="R8287" s="33">
        <f>IFERROR(__xludf.DUMMYFUNCTION("""COMPUTED_VALUE"""),1.0)</f>
        <v>1</v>
      </c>
      <c r="S8287" s="4" t="str">
        <f>IFERROR(__xludf.DUMMYFUNCTION("""COMPUTED_VALUE"""),"Softcom Tecnologia")</f>
        <v>Softcom Tecnologia</v>
      </c>
      <c r="T8287" s="33">
        <f>IFERROR(__xludf.DUMMYFUNCTION("""COMPUTED_VALUE"""),1.0)</f>
        <v>1</v>
      </c>
      <c r="U8287" s="4" t="str">
        <f>IFERROR(__xludf.DUMMYFUNCTION("""COMPUTED_VALUE"""),"Softcom Tecnologia")</f>
        <v>Softcom Tecnologia</v>
      </c>
      <c r="V8287" s="33">
        <f>IFERROR(__xludf.DUMMYFUNCTION("""COMPUTED_VALUE"""),1.0)</f>
        <v>1</v>
      </c>
      <c r="W8287" s="4" t="str">
        <f>IFERROR(__xludf.DUMMYFUNCTION("""COMPUTED_VALUE"""),"Linear Sistemas Ltda")</f>
        <v>Linear Sistemas Ltda</v>
      </c>
      <c r="X8287" s="33">
        <f>IFERROR(__xludf.DUMMYFUNCTION("""COMPUTED_VALUE"""),1.0)</f>
        <v>1</v>
      </c>
    </row>
    <row r="8288">
      <c r="K8288" s="4" t="str">
        <f>IFERROR(__xludf.DUMMYFUNCTION("""COMPUTED_VALUE"""),"COSTELAS")</f>
        <v>COSTELAS</v>
      </c>
      <c r="L8288" s="32">
        <f>IFERROR(__xludf.DUMMYFUNCTION("""COMPUTED_VALUE"""),1.0)</f>
        <v>1</v>
      </c>
      <c r="M8288" s="4" t="str">
        <f>IFERROR(__xludf.DUMMYFUNCTION("""COMPUTED_VALUE"""),"Solução Sistemas")</f>
        <v>Solução Sistemas</v>
      </c>
      <c r="N8288" s="33">
        <f>IFERROR(__xludf.DUMMYFUNCTION("""COMPUTED_VALUE"""),1.0)</f>
        <v>1</v>
      </c>
      <c r="O8288" s="4" t="str">
        <f>IFERROR(__xludf.DUMMYFUNCTION("""COMPUTED_VALUE"""),"Solução Sistemas")</f>
        <v>Solução Sistemas</v>
      </c>
      <c r="P8288" s="33">
        <f>IFERROR(__xludf.DUMMYFUNCTION("""COMPUTED_VALUE"""),1.0)</f>
        <v>1</v>
      </c>
      <c r="Q8288" s="4" t="str">
        <f>IFERROR(__xludf.DUMMYFUNCTION("""COMPUTED_VALUE"""),"Solução Sistemas")</f>
        <v>Solução Sistemas</v>
      </c>
      <c r="R8288" s="33">
        <f>IFERROR(__xludf.DUMMYFUNCTION("""COMPUTED_VALUE"""),1.0)</f>
        <v>1</v>
      </c>
      <c r="S8288" s="4" t="str">
        <f>IFERROR(__xludf.DUMMYFUNCTION("""COMPUTED_VALUE"""),"Solução Sistemas")</f>
        <v>Solução Sistemas</v>
      </c>
      <c r="T8288" s="33">
        <f>IFERROR(__xludf.DUMMYFUNCTION("""COMPUTED_VALUE"""),1.0)</f>
        <v>1</v>
      </c>
      <c r="U8288" s="4" t="str">
        <f>IFERROR(__xludf.DUMMYFUNCTION("""COMPUTED_VALUE"""),"Solução Sistemas")</f>
        <v>Solução Sistemas</v>
      </c>
      <c r="V8288" s="33">
        <f>IFERROR(__xludf.DUMMYFUNCTION("""COMPUTED_VALUE"""),1.0)</f>
        <v>1</v>
      </c>
      <c r="W8288" s="4" t="str">
        <f>IFERROR(__xludf.DUMMYFUNCTION("""COMPUTED_VALUE"""),"Linen Sistemas")</f>
        <v>Linen Sistemas</v>
      </c>
      <c r="X8288" s="33">
        <f>IFERROR(__xludf.DUMMYFUNCTION("""COMPUTED_VALUE"""),1.0)</f>
        <v>1</v>
      </c>
    </row>
    <row r="8289">
      <c r="K8289" s="4" t="str">
        <f>IFERROR(__xludf.DUMMYFUNCTION("""COMPUTED_VALUE"""),"DEBLON LANCHES")</f>
        <v>DEBLON LANCHES</v>
      </c>
      <c r="L8289" s="32">
        <f>IFERROR(__xludf.DUMMYFUNCTION("""COMPUTED_VALUE"""),1.0)</f>
        <v>1</v>
      </c>
      <c r="M8289" s="4" t="str">
        <f>IFERROR(__xludf.DUMMYFUNCTION("""COMPUTED_VALUE"""),"Saipos Serviços De Software")</f>
        <v>Saipos Serviços De Software</v>
      </c>
      <c r="N8289" s="33">
        <f>IFERROR(__xludf.DUMMYFUNCTION("""COMPUTED_VALUE"""),1.0)</f>
        <v>1</v>
      </c>
      <c r="O8289" s="4" t="str">
        <f>IFERROR(__xludf.DUMMYFUNCTION("""COMPUTED_VALUE"""),"Saipos Serviços De Software")</f>
        <v>Saipos Serviços De Software</v>
      </c>
      <c r="P8289" s="33">
        <f>IFERROR(__xludf.DUMMYFUNCTION("""COMPUTED_VALUE"""),1.0)</f>
        <v>1</v>
      </c>
      <c r="Q8289" s="4" t="str">
        <f>IFERROR(__xludf.DUMMYFUNCTION("""COMPUTED_VALUE"""),"Saipos Serviços De Software")</f>
        <v>Saipos Serviços De Software</v>
      </c>
      <c r="R8289" s="33">
        <f>IFERROR(__xludf.DUMMYFUNCTION("""COMPUTED_VALUE"""),1.0)</f>
        <v>1</v>
      </c>
      <c r="S8289" s="4" t="str">
        <f>IFERROR(__xludf.DUMMYFUNCTION("""COMPUTED_VALUE"""),"Saipos Serviços De Software")</f>
        <v>Saipos Serviços De Software</v>
      </c>
      <c r="T8289" s="33">
        <f>IFERROR(__xludf.DUMMYFUNCTION("""COMPUTED_VALUE"""),1.0)</f>
        <v>1</v>
      </c>
      <c r="U8289" s="4" t="str">
        <f>IFERROR(__xludf.DUMMYFUNCTION("""COMPUTED_VALUE"""),"Saipos Serviços De Software")</f>
        <v>Saipos Serviços De Software</v>
      </c>
      <c r="V8289" s="33">
        <f>IFERROR(__xludf.DUMMYFUNCTION("""COMPUTED_VALUE"""),1.0)</f>
        <v>1</v>
      </c>
      <c r="W8289" s="4" t="str">
        <f>IFERROR(__xludf.DUMMYFUNCTION("""COMPUTED_VALUE"""),"Saipos Serviços De Software")</f>
        <v>Saipos Serviços De Software</v>
      </c>
      <c r="X8289" s="33">
        <f>IFERROR(__xludf.DUMMYFUNCTION("""COMPUTED_VALUE"""),1.0)</f>
        <v>1</v>
      </c>
    </row>
    <row r="8290">
      <c r="K8290" s="4" t="str">
        <f>IFERROR(__xludf.DUMMYFUNCTION("""COMPUTED_VALUE"""),"CASA 09 PIZZARIA")</f>
        <v>CASA 09 PIZZARIA</v>
      </c>
      <c r="L8290" s="32">
        <f>IFERROR(__xludf.DUMMYFUNCTION("""COMPUTED_VALUE"""),1.0)</f>
        <v>1</v>
      </c>
      <c r="M8290" s="4" t="str">
        <f>IFERROR(__xludf.DUMMYFUNCTION("""COMPUTED_VALUE"""),"Vuca Solution")</f>
        <v>Vuca Solution</v>
      </c>
      <c r="N8290" s="33">
        <f>IFERROR(__xludf.DUMMYFUNCTION("""COMPUTED_VALUE"""),1.0)</f>
        <v>1</v>
      </c>
      <c r="O8290" s="4" t="str">
        <f>IFERROR(__xludf.DUMMYFUNCTION("""COMPUTED_VALUE"""),"Vuca Solution")</f>
        <v>Vuca Solution</v>
      </c>
      <c r="P8290" s="33">
        <f>IFERROR(__xludf.DUMMYFUNCTION("""COMPUTED_VALUE"""),1.0)</f>
        <v>1</v>
      </c>
      <c r="Q8290" s="4" t="str">
        <f>IFERROR(__xludf.DUMMYFUNCTION("""COMPUTED_VALUE"""),"Vuca Solution")</f>
        <v>Vuca Solution</v>
      </c>
      <c r="R8290" s="33">
        <f>IFERROR(__xludf.DUMMYFUNCTION("""COMPUTED_VALUE"""),1.0)</f>
        <v>1</v>
      </c>
      <c r="S8290" s="4" t="str">
        <f>IFERROR(__xludf.DUMMYFUNCTION("""COMPUTED_VALUE"""),"Vuca Solution")</f>
        <v>Vuca Solution</v>
      </c>
      <c r="T8290" s="33">
        <f>IFERROR(__xludf.DUMMYFUNCTION("""COMPUTED_VALUE"""),1.0)</f>
        <v>1</v>
      </c>
      <c r="U8290" s="4" t="str">
        <f>IFERROR(__xludf.DUMMYFUNCTION("""COMPUTED_VALUE"""),"Vuca Solution")</f>
        <v>Vuca Solution</v>
      </c>
      <c r="V8290" s="33">
        <f>IFERROR(__xludf.DUMMYFUNCTION("""COMPUTED_VALUE"""),1.0)</f>
        <v>1</v>
      </c>
      <c r="W8290" s="4" t="str">
        <f>IFERROR(__xludf.DUMMYFUNCTION("""COMPUTED_VALUE"""),"Vuca Solution")</f>
        <v>Vuca Solution</v>
      </c>
      <c r="X8290" s="33">
        <f>IFERROR(__xludf.DUMMYFUNCTION("""COMPUTED_VALUE"""),1.0)</f>
        <v>1</v>
      </c>
    </row>
    <row r="8291">
      <c r="K8291" s="4" t="str">
        <f>IFERROR(__xludf.DUMMYFUNCTION("""COMPUTED_VALUE"""),"REAL TAKARA - O MELHOR PASTEL DO IPIRANGA")</f>
        <v>REAL TAKARA - O MELHOR PASTEL DO IPIRANGA</v>
      </c>
      <c r="L8291" s="32">
        <f>IFERROR(__xludf.DUMMYFUNCTION("""COMPUTED_VALUE"""),1.0)</f>
        <v>1</v>
      </c>
      <c r="M8291" s="4" t="str">
        <f>IFERROR(__xludf.DUMMYFUNCTION("""COMPUTED_VALUE"""),"Cardápio Web")</f>
        <v>Cardápio Web</v>
      </c>
      <c r="N8291" s="33">
        <f>IFERROR(__xludf.DUMMYFUNCTION("""COMPUTED_VALUE"""),1.0)</f>
        <v>1</v>
      </c>
      <c r="O8291" s="4" t="str">
        <f>IFERROR(__xludf.DUMMYFUNCTION("""COMPUTED_VALUE"""),"Cardápio Web")</f>
        <v>Cardápio Web</v>
      </c>
      <c r="P8291" s="33">
        <f>IFERROR(__xludf.DUMMYFUNCTION("""COMPUTED_VALUE"""),1.0)</f>
        <v>1</v>
      </c>
      <c r="Q8291" s="4" t="str">
        <f>IFERROR(__xludf.DUMMYFUNCTION("""COMPUTED_VALUE"""),"Cardápio Web")</f>
        <v>Cardápio Web</v>
      </c>
      <c r="R8291" s="33">
        <f>IFERROR(__xludf.DUMMYFUNCTION("""COMPUTED_VALUE"""),1.0)</f>
        <v>1</v>
      </c>
      <c r="S8291" s="4" t="str">
        <f>IFERROR(__xludf.DUMMYFUNCTION("""COMPUTED_VALUE"""),"null")</f>
        <v>null</v>
      </c>
      <c r="T8291" s="33">
        <f>IFERROR(__xludf.DUMMYFUNCTION("""COMPUTED_VALUE"""),1.0)</f>
        <v>1</v>
      </c>
      <c r="U8291" s="4" t="str">
        <f>IFERROR(__xludf.DUMMYFUNCTION("""COMPUTED_VALUE"""),"null")</f>
        <v>null</v>
      </c>
      <c r="V8291" s="33">
        <f>IFERROR(__xludf.DUMMYFUNCTION("""COMPUTED_VALUE"""),1.0)</f>
        <v>1</v>
      </c>
      <c r="W8291" s="4" t="str">
        <f>IFERROR(__xludf.DUMMYFUNCTION("""COMPUTED_VALUE"""),"null")</f>
        <v>null</v>
      </c>
      <c r="X8291" s="33">
        <f>IFERROR(__xludf.DUMMYFUNCTION("""COMPUTED_VALUE"""),1.0)</f>
        <v>1</v>
      </c>
    </row>
    <row r="8292">
      <c r="K8292" s="4" t="str">
        <f>IFERROR(__xludf.DUMMYFUNCTION("""COMPUTED_VALUE"""),"PIZZARIA E ESFIHARIA WANT PIZZAS PRIME")</f>
        <v>PIZZARIA E ESFIHARIA WANT PIZZAS PRIME</v>
      </c>
      <c r="L8292" s="32">
        <f>IFERROR(__xludf.DUMMYFUNCTION("""COMPUTED_VALUE"""),1.0)</f>
        <v>1</v>
      </c>
      <c r="M8292" s="4" t="str">
        <f>IFERROR(__xludf.DUMMYFUNCTION("""COMPUTED_VALUE"""),"Expresso Delivery")</f>
        <v>Expresso Delivery</v>
      </c>
      <c r="N8292" s="33">
        <f>IFERROR(__xludf.DUMMYFUNCTION("""COMPUTED_VALUE"""),1.0)</f>
        <v>1</v>
      </c>
      <c r="O8292" s="4" t="str">
        <f>IFERROR(__xludf.DUMMYFUNCTION("""COMPUTED_VALUE"""),"Expresso Delivery")</f>
        <v>Expresso Delivery</v>
      </c>
      <c r="P8292" s="33">
        <f>IFERROR(__xludf.DUMMYFUNCTION("""COMPUTED_VALUE"""),1.0)</f>
        <v>1</v>
      </c>
      <c r="Q8292" s="4" t="str">
        <f>IFERROR(__xludf.DUMMYFUNCTION("""COMPUTED_VALUE"""),"Expresso Delivery")</f>
        <v>Expresso Delivery</v>
      </c>
      <c r="R8292" s="33">
        <f>IFERROR(__xludf.DUMMYFUNCTION("""COMPUTED_VALUE"""),1.0)</f>
        <v>1</v>
      </c>
      <c r="S8292" s="4" t="str">
        <f>IFERROR(__xludf.DUMMYFUNCTION("""COMPUTED_VALUE"""),"Expresso Delivery")</f>
        <v>Expresso Delivery</v>
      </c>
      <c r="T8292" s="33">
        <f>IFERROR(__xludf.DUMMYFUNCTION("""COMPUTED_VALUE"""),1.0)</f>
        <v>1</v>
      </c>
      <c r="U8292" s="4" t="str">
        <f>IFERROR(__xludf.DUMMYFUNCTION("""COMPUTED_VALUE"""),"Cardápio Web")</f>
        <v>Cardápio Web</v>
      </c>
      <c r="V8292" s="33">
        <f>IFERROR(__xludf.DUMMYFUNCTION("""COMPUTED_VALUE"""),1.0)</f>
        <v>1</v>
      </c>
      <c r="W8292" s="4" t="str">
        <f>IFERROR(__xludf.DUMMYFUNCTION("""COMPUTED_VALUE"""),"Cardápio Web")</f>
        <v>Cardápio Web</v>
      </c>
      <c r="X8292" s="33">
        <f>IFERROR(__xludf.DUMMYFUNCTION("""COMPUTED_VALUE"""),1.0)</f>
        <v>1</v>
      </c>
    </row>
    <row r="8293">
      <c r="K8293" s="4" t="str">
        <f>IFERROR(__xludf.DUMMYFUNCTION("""COMPUTED_VALUE"""),"MARMITA 40 - PRATO EXECUTIVO")</f>
        <v>MARMITA 40 - PRATO EXECUTIVO</v>
      </c>
      <c r="L8293" s="32">
        <f>IFERROR(__xludf.DUMMYFUNCTION("""COMPUTED_VALUE"""),1.0)</f>
        <v>1</v>
      </c>
      <c r="M8293" s="4" t="str">
        <f>IFERROR(__xludf.DUMMYFUNCTION("""COMPUTED_VALUE"""),"null")</f>
        <v>null</v>
      </c>
      <c r="N8293" s="33">
        <f>IFERROR(__xludf.DUMMYFUNCTION("""COMPUTED_VALUE"""),1.0)</f>
        <v>1</v>
      </c>
      <c r="O8293" s="4" t="str">
        <f>IFERROR(__xludf.DUMMYFUNCTION("""COMPUTED_VALUE"""),"null")</f>
        <v>null</v>
      </c>
      <c r="P8293" s="33">
        <f>IFERROR(__xludf.DUMMYFUNCTION("""COMPUTED_VALUE"""),1.0)</f>
        <v>1</v>
      </c>
      <c r="Q8293" s="4" t="str">
        <f>IFERROR(__xludf.DUMMYFUNCTION("""COMPUTED_VALUE"""),"Cardápio Web")</f>
        <v>Cardápio Web</v>
      </c>
      <c r="R8293" s="33">
        <f>IFERROR(__xludf.DUMMYFUNCTION("""COMPUTED_VALUE"""),1.0)</f>
        <v>1</v>
      </c>
      <c r="S8293" s="4" t="str">
        <f>IFERROR(__xludf.DUMMYFUNCTION("""COMPUTED_VALUE"""),"null")</f>
        <v>null</v>
      </c>
      <c r="T8293" s="33">
        <f>IFERROR(__xludf.DUMMYFUNCTION("""COMPUTED_VALUE"""),1.0)</f>
        <v>1</v>
      </c>
      <c r="U8293" s="4" t="str">
        <f>IFERROR(__xludf.DUMMYFUNCTION("""COMPUTED_VALUE"""),"null")</f>
        <v>null</v>
      </c>
      <c r="V8293" s="33">
        <f>IFERROR(__xludf.DUMMYFUNCTION("""COMPUTED_VALUE"""),1.0)</f>
        <v>1</v>
      </c>
      <c r="W8293" s="4" t="str">
        <f>IFERROR(__xludf.DUMMYFUNCTION("""COMPUTED_VALUE"""),"null")</f>
        <v>null</v>
      </c>
      <c r="X8293" s="33">
        <f>IFERROR(__xludf.DUMMYFUNCTION("""COMPUTED_VALUE"""),1.0)</f>
        <v>1</v>
      </c>
    </row>
    <row r="8294">
      <c r="K8294" s="4" t="str">
        <f>IFERROR(__xludf.DUMMYFUNCTION("""COMPUTED_VALUE"""),"HAMBURGUERIA - CUBA BURGUER")</f>
        <v>HAMBURGUERIA - CUBA BURGUER</v>
      </c>
      <c r="L8294" s="32">
        <f>IFERROR(__xludf.DUMMYFUNCTION("""COMPUTED_VALUE"""),1.0)</f>
        <v>1</v>
      </c>
      <c r="M8294" s="4" t="str">
        <f>IFERROR(__xludf.DUMMYFUNCTION("""COMPUTED_VALUE"""),"Anota Ai Solucoes Digitais S/a")</f>
        <v>Anota Ai Solucoes Digitais S/a</v>
      </c>
      <c r="N8294" s="33">
        <f>IFERROR(__xludf.DUMMYFUNCTION("""COMPUTED_VALUE"""),1.0)</f>
        <v>1</v>
      </c>
      <c r="O8294" s="4" t="str">
        <f>IFERROR(__xludf.DUMMYFUNCTION("""COMPUTED_VALUE"""),"Anota Ai Solucoes Digitais S/a")</f>
        <v>Anota Ai Solucoes Digitais S/a</v>
      </c>
      <c r="P8294" s="33">
        <f>IFERROR(__xludf.DUMMYFUNCTION("""COMPUTED_VALUE"""),1.0)</f>
        <v>1</v>
      </c>
      <c r="Q8294" s="4" t="str">
        <f>IFERROR(__xludf.DUMMYFUNCTION("""COMPUTED_VALUE"""),"Anota Ai Solucoes Digitais S/a")</f>
        <v>Anota Ai Solucoes Digitais S/a</v>
      </c>
      <c r="R8294" s="33">
        <f>IFERROR(__xludf.DUMMYFUNCTION("""COMPUTED_VALUE"""),1.0)</f>
        <v>1</v>
      </c>
      <c r="S8294" s="4" t="str">
        <f>IFERROR(__xludf.DUMMYFUNCTION("""COMPUTED_VALUE"""),"Anota Ai Solucoes Digitais S/a")</f>
        <v>Anota Ai Solucoes Digitais S/a</v>
      </c>
      <c r="T8294" s="33">
        <f>IFERROR(__xludf.DUMMYFUNCTION("""COMPUTED_VALUE"""),1.0)</f>
        <v>1</v>
      </c>
      <c r="U8294" s="4" t="str">
        <f>IFERROR(__xludf.DUMMYFUNCTION("""COMPUTED_VALUE"""),"Anota Ai Solucoes Digitais S/a")</f>
        <v>Anota Ai Solucoes Digitais S/a</v>
      </c>
      <c r="V8294" s="33">
        <f>IFERROR(__xludf.DUMMYFUNCTION("""COMPUTED_VALUE"""),1.0)</f>
        <v>1</v>
      </c>
      <c r="W8294" s="4" t="str">
        <f>IFERROR(__xludf.DUMMYFUNCTION("""COMPUTED_VALUE"""),"Anota Ai Solucoes Digitais S/a")</f>
        <v>Anota Ai Solucoes Digitais S/a</v>
      </c>
      <c r="X8294" s="33">
        <f>IFERROR(__xludf.DUMMYFUNCTION("""COMPUTED_VALUE"""),1.0)</f>
        <v>1</v>
      </c>
    </row>
    <row r="8295">
      <c r="K8295" s="4" t="str">
        <f>IFERROR(__xludf.DUMMYFUNCTION("""COMPUTED_VALUE"""),"MASTER BURGER - HAMBURGUERIA TAGUATINGA")</f>
        <v>MASTER BURGER - HAMBURGUERIA TAGUATINGA</v>
      </c>
      <c r="L8295" s="32">
        <f>IFERROR(__xludf.DUMMYFUNCTION("""COMPUTED_VALUE"""),1.0)</f>
        <v>1</v>
      </c>
      <c r="M8295" s="4" t="str">
        <f>IFERROR(__xludf.DUMMYFUNCTION("""COMPUTED_VALUE"""),"Totvs Large Enterprise Tecnologia S.a.")</f>
        <v>Totvs Large Enterprise Tecnologia S.a.</v>
      </c>
      <c r="N8295" s="33">
        <f>IFERROR(__xludf.DUMMYFUNCTION("""COMPUTED_VALUE"""),1.0)</f>
        <v>1</v>
      </c>
      <c r="O8295" s="4" t="str">
        <f>IFERROR(__xludf.DUMMYFUNCTION("""COMPUTED_VALUE"""),"Totvs Large Enterprise Tecnologia S.a.")</f>
        <v>Totvs Large Enterprise Tecnologia S.a.</v>
      </c>
      <c r="P8295" s="33">
        <f>IFERROR(__xludf.DUMMYFUNCTION("""COMPUTED_VALUE"""),1.0)</f>
        <v>1</v>
      </c>
      <c r="Q8295" s="4" t="str">
        <f>IFERROR(__xludf.DUMMYFUNCTION("""COMPUTED_VALUE"""),"Totvs Large Enterprise Tecnologia S.a.")</f>
        <v>Totvs Large Enterprise Tecnologia S.a.</v>
      </c>
      <c r="R8295" s="33">
        <f>IFERROR(__xludf.DUMMYFUNCTION("""COMPUTED_VALUE"""),1.0)</f>
        <v>1</v>
      </c>
      <c r="S8295" s="4" t="str">
        <f>IFERROR(__xludf.DUMMYFUNCTION("""COMPUTED_VALUE"""),"Totvs Large Enterprise Tecnologia S.a.")</f>
        <v>Totvs Large Enterprise Tecnologia S.a.</v>
      </c>
      <c r="T8295" s="33">
        <f>IFERROR(__xludf.DUMMYFUNCTION("""COMPUTED_VALUE"""),1.0)</f>
        <v>1</v>
      </c>
      <c r="U8295" s="4" t="str">
        <f>IFERROR(__xludf.DUMMYFUNCTION("""COMPUTED_VALUE"""),"Totvs Large Enterprise Tecnologia S.a.")</f>
        <v>Totvs Large Enterprise Tecnologia S.a.</v>
      </c>
      <c r="V8295" s="33">
        <f>IFERROR(__xludf.DUMMYFUNCTION("""COMPUTED_VALUE"""),1.0)</f>
        <v>1</v>
      </c>
      <c r="W8295" s="4" t="str">
        <f>IFERROR(__xludf.DUMMYFUNCTION("""COMPUTED_VALUE"""),"Totvs Large Enterprise Tecnologia S.a.")</f>
        <v>Totvs Large Enterprise Tecnologia S.a.</v>
      </c>
      <c r="X8295" s="33">
        <f>IFERROR(__xludf.DUMMYFUNCTION("""COMPUTED_VALUE"""),1.0)</f>
        <v>1</v>
      </c>
    </row>
    <row r="8296">
      <c r="K8296" s="4" t="str">
        <f>IFERROR(__xludf.DUMMYFUNCTION("""COMPUTED_VALUE"""),"RESTAURANTE FORCHETTA DORO")</f>
        <v>RESTAURANTE FORCHETTA DORO</v>
      </c>
      <c r="L8296" s="32">
        <f>IFERROR(__xludf.DUMMYFUNCTION("""COMPUTED_VALUE"""),1.0)</f>
        <v>1</v>
      </c>
      <c r="M8296" s="4" t="str">
        <f>IFERROR(__xludf.DUMMYFUNCTION("""COMPUTED_VALUE"""),"null")</f>
        <v>null</v>
      </c>
      <c r="N8296" s="33">
        <f>IFERROR(__xludf.DUMMYFUNCTION("""COMPUTED_VALUE"""),1.0)</f>
        <v>1</v>
      </c>
      <c r="O8296" s="4" t="str">
        <f>IFERROR(__xludf.DUMMYFUNCTION("""COMPUTED_VALUE"""),"null")</f>
        <v>null</v>
      </c>
      <c r="P8296" s="33">
        <f>IFERROR(__xludf.DUMMYFUNCTION("""COMPUTED_VALUE"""),1.0)</f>
        <v>1</v>
      </c>
      <c r="Q8296" s="4" t="str">
        <f>IFERROR(__xludf.DUMMYFUNCTION("""COMPUTED_VALUE"""),"Ncr")</f>
        <v>Ncr</v>
      </c>
      <c r="R8296" s="33">
        <f>IFERROR(__xludf.DUMMYFUNCTION("""COMPUTED_VALUE"""),1.0)</f>
        <v>1</v>
      </c>
      <c r="S8296" s="4" t="str">
        <f>IFERROR(__xludf.DUMMYFUNCTION("""COMPUTED_VALUE"""),"null")</f>
        <v>null</v>
      </c>
      <c r="T8296" s="33">
        <f>IFERROR(__xludf.DUMMYFUNCTION("""COMPUTED_VALUE"""),1.0)</f>
        <v>1</v>
      </c>
      <c r="U8296" s="4" t="str">
        <f>IFERROR(__xludf.DUMMYFUNCTION("""COMPUTED_VALUE"""),"Ncr")</f>
        <v>Ncr</v>
      </c>
      <c r="V8296" s="33">
        <f>IFERROR(__xludf.DUMMYFUNCTION("""COMPUTED_VALUE"""),1.0)</f>
        <v>1</v>
      </c>
      <c r="W8296" s="4" t="str">
        <f>IFERROR(__xludf.DUMMYFUNCTION("""COMPUTED_VALUE"""),"Ncr")</f>
        <v>Ncr</v>
      </c>
      <c r="X8296" s="33">
        <f>IFERROR(__xludf.DUMMYFUNCTION("""COMPUTED_VALUE"""),1.0)</f>
        <v>1</v>
      </c>
    </row>
    <row r="8297">
      <c r="K8297" s="4" t="str">
        <f>IFERROR(__xludf.DUMMYFUNCTION("""COMPUTED_VALUE"""),"GUIGAS LANCHES")</f>
        <v>GUIGAS LANCHES</v>
      </c>
      <c r="L8297" s="32">
        <f>IFERROR(__xludf.DUMMYFUNCTION("""COMPUTED_VALUE"""),1.0)</f>
        <v>1</v>
      </c>
      <c r="M8297" s="4" t="str">
        <f>IFERROR(__xludf.DUMMYFUNCTION("""COMPUTED_VALUE"""),"Alfa Labs")</f>
        <v>Alfa Labs</v>
      </c>
      <c r="N8297" s="33">
        <f>IFERROR(__xludf.DUMMYFUNCTION("""COMPUTED_VALUE"""),1.0)</f>
        <v>1</v>
      </c>
      <c r="O8297" s="4" t="str">
        <f>IFERROR(__xludf.DUMMYFUNCTION("""COMPUTED_VALUE"""),"Alfa Labs")</f>
        <v>Alfa Labs</v>
      </c>
      <c r="P8297" s="33">
        <f>IFERROR(__xludf.DUMMYFUNCTION("""COMPUTED_VALUE"""),1.0)</f>
        <v>1</v>
      </c>
      <c r="Q8297" s="4" t="str">
        <f>IFERROR(__xludf.DUMMYFUNCTION("""COMPUTED_VALUE"""),"Alfa Labs")</f>
        <v>Alfa Labs</v>
      </c>
      <c r="R8297" s="33">
        <f>IFERROR(__xludf.DUMMYFUNCTION("""COMPUTED_VALUE"""),1.0)</f>
        <v>1</v>
      </c>
      <c r="S8297" s="4" t="str">
        <f>IFERROR(__xludf.DUMMYFUNCTION("""COMPUTED_VALUE"""),"Alfa Labs")</f>
        <v>Alfa Labs</v>
      </c>
      <c r="T8297" s="33">
        <f>IFERROR(__xludf.DUMMYFUNCTION("""COMPUTED_VALUE"""),1.0)</f>
        <v>1</v>
      </c>
      <c r="U8297" s="4" t="str">
        <f>IFERROR(__xludf.DUMMYFUNCTION("""COMPUTED_VALUE"""),"Alfa Labs")</f>
        <v>Alfa Labs</v>
      </c>
      <c r="V8297" s="33">
        <f>IFERROR(__xludf.DUMMYFUNCTION("""COMPUTED_VALUE"""),1.0)</f>
        <v>1</v>
      </c>
      <c r="W8297" s="4" t="str">
        <f>IFERROR(__xludf.DUMMYFUNCTION("""COMPUTED_VALUE"""),"Alfa Labs")</f>
        <v>Alfa Labs</v>
      </c>
      <c r="X8297" s="33">
        <f>IFERROR(__xludf.DUMMYFUNCTION("""COMPUTED_VALUE"""),1.0)</f>
        <v>1</v>
      </c>
    </row>
    <row r="8298">
      <c r="K8298" s="4" t="str">
        <f>IFERROR(__xludf.DUMMYFUNCTION("""COMPUTED_VALUE"""),"TRUCK DO PASTEL COM ENTREGA GRATIS E RAPIDA")</f>
        <v>TRUCK DO PASTEL COM ENTREGA GRATIS E RAPIDA</v>
      </c>
      <c r="L8298" s="32">
        <f>IFERROR(__xludf.DUMMYFUNCTION("""COMPUTED_VALUE"""),1.0)</f>
        <v>1</v>
      </c>
      <c r="M8298" s="4">
        <f>IFERROR(__xludf.DUMMYFUNCTION("""COMPUTED_VALUE"""),88.0)</f>
        <v>88</v>
      </c>
      <c r="N8298" s="33">
        <f>IFERROR(__xludf.DUMMYFUNCTION("""COMPUTED_VALUE"""),1.0)</f>
        <v>1</v>
      </c>
      <c r="O8298" s="4" t="str">
        <f>IFERROR(__xludf.DUMMYFUNCTION("""COMPUTED_VALUE"""),"null")</f>
        <v>null</v>
      </c>
      <c r="P8298" s="33">
        <f>IFERROR(__xludf.DUMMYFUNCTION("""COMPUTED_VALUE"""),1.0)</f>
        <v>1</v>
      </c>
      <c r="Q8298" s="4" t="str">
        <f>IFERROR(__xludf.DUMMYFUNCTION("""COMPUTED_VALUE"""),"null")</f>
        <v>null</v>
      </c>
      <c r="R8298" s="33">
        <f>IFERROR(__xludf.DUMMYFUNCTION("""COMPUTED_VALUE"""),1.0)</f>
        <v>1</v>
      </c>
      <c r="S8298" s="4" t="str">
        <f>IFERROR(__xludf.DUMMYFUNCTION("""COMPUTED_VALUE"""),"null")</f>
        <v>null</v>
      </c>
      <c r="T8298" s="33">
        <f>IFERROR(__xludf.DUMMYFUNCTION("""COMPUTED_VALUE"""),1.0)</f>
        <v>1</v>
      </c>
      <c r="U8298" s="4" t="str">
        <f>IFERROR(__xludf.DUMMYFUNCTION("""COMPUTED_VALUE"""),"null")</f>
        <v>null</v>
      </c>
      <c r="V8298" s="33">
        <f>IFERROR(__xludf.DUMMYFUNCTION("""COMPUTED_VALUE"""),1.0)</f>
        <v>1</v>
      </c>
      <c r="W8298" s="4" t="str">
        <f>IFERROR(__xludf.DUMMYFUNCTION("""COMPUTED_VALUE"""),"null")</f>
        <v>null</v>
      </c>
      <c r="X8298" s="33">
        <f>IFERROR(__xludf.DUMMYFUNCTION("""COMPUTED_VALUE"""),1.0)</f>
        <v>1</v>
      </c>
    </row>
    <row r="8299">
      <c r="K8299" s="4" t="str">
        <f>IFERROR(__xludf.DUMMYFUNCTION("""COMPUTED_VALUE"""),"BARCA BURGUER E PETISCOS")</f>
        <v>BARCA BURGUER E PETISCOS</v>
      </c>
      <c r="L8299" s="32">
        <f>IFERROR(__xludf.DUMMYFUNCTION("""COMPUTED_VALUE"""),1.0)</f>
        <v>1</v>
      </c>
      <c r="M8299" s="4" t="str">
        <f>IFERROR(__xludf.DUMMYFUNCTION("""COMPUTED_VALUE"""),"Saipos Serviços De Software")</f>
        <v>Saipos Serviços De Software</v>
      </c>
      <c r="N8299" s="33">
        <f>IFERROR(__xludf.DUMMYFUNCTION("""COMPUTED_VALUE"""),1.0)</f>
        <v>1</v>
      </c>
      <c r="O8299" s="4" t="str">
        <f>IFERROR(__xludf.DUMMYFUNCTION("""COMPUTED_VALUE"""),"Saipos Serviços De Software")</f>
        <v>Saipos Serviços De Software</v>
      </c>
      <c r="P8299" s="33">
        <f>IFERROR(__xludf.DUMMYFUNCTION("""COMPUTED_VALUE"""),1.0)</f>
        <v>1</v>
      </c>
      <c r="Q8299" s="4" t="str">
        <f>IFERROR(__xludf.DUMMYFUNCTION("""COMPUTED_VALUE"""),"Saipos Serviços De Software")</f>
        <v>Saipos Serviços De Software</v>
      </c>
      <c r="R8299" s="33">
        <f>IFERROR(__xludf.DUMMYFUNCTION("""COMPUTED_VALUE"""),1.0)</f>
        <v>1</v>
      </c>
      <c r="S8299" s="4" t="str">
        <f>IFERROR(__xludf.DUMMYFUNCTION("""COMPUTED_VALUE"""),"Saipos Serviços De Software")</f>
        <v>Saipos Serviços De Software</v>
      </c>
      <c r="T8299" s="33">
        <f>IFERROR(__xludf.DUMMYFUNCTION("""COMPUTED_VALUE"""),1.0)</f>
        <v>1</v>
      </c>
      <c r="U8299" s="4" t="str">
        <f>IFERROR(__xludf.DUMMYFUNCTION("""COMPUTED_VALUE"""),"Saipos Serviços De Software")</f>
        <v>Saipos Serviços De Software</v>
      </c>
      <c r="V8299" s="33">
        <f>IFERROR(__xludf.DUMMYFUNCTION("""COMPUTED_VALUE"""),1.0)</f>
        <v>1</v>
      </c>
      <c r="W8299" s="4" t="str">
        <f>IFERROR(__xludf.DUMMYFUNCTION("""COMPUTED_VALUE"""),"Saipos Serviços De Software")</f>
        <v>Saipos Serviços De Software</v>
      </c>
      <c r="X8299" s="33">
        <f>IFERROR(__xludf.DUMMYFUNCTION("""COMPUTED_VALUE"""),1.0)</f>
        <v>1</v>
      </c>
    </row>
    <row r="8300">
      <c r="K8300" s="4" t="str">
        <f>IFERROR(__xludf.DUMMYFUNCTION("""COMPUTED_VALUE"""),"DOC CUCINA")</f>
        <v>DOC CUCINA</v>
      </c>
      <c r="L8300" s="32">
        <f>IFERROR(__xludf.DUMMYFUNCTION("""COMPUTED_VALUE"""),1.0)</f>
        <v>1</v>
      </c>
      <c r="M8300" s="4" t="str">
        <f>IFERROR(__xludf.DUMMYFUNCTION("""COMPUTED_VALUE"""),"Cloudfy")</f>
        <v>Cloudfy</v>
      </c>
      <c r="N8300" s="33">
        <f>IFERROR(__xludf.DUMMYFUNCTION("""COMPUTED_VALUE"""),1.0)</f>
        <v>1</v>
      </c>
      <c r="O8300" s="4" t="str">
        <f>IFERROR(__xludf.DUMMYFUNCTION("""COMPUTED_VALUE"""),"Cloudfy")</f>
        <v>Cloudfy</v>
      </c>
      <c r="P8300" s="33">
        <f>IFERROR(__xludf.DUMMYFUNCTION("""COMPUTED_VALUE"""),1.0)</f>
        <v>1</v>
      </c>
      <c r="Q8300" s="4" t="str">
        <f>IFERROR(__xludf.DUMMYFUNCTION("""COMPUTED_VALUE"""),"Cloudfy")</f>
        <v>Cloudfy</v>
      </c>
      <c r="R8300" s="33">
        <f>IFERROR(__xludf.DUMMYFUNCTION("""COMPUTED_VALUE"""),1.0)</f>
        <v>1</v>
      </c>
      <c r="S8300" s="4" t="str">
        <f>IFERROR(__xludf.DUMMYFUNCTION("""COMPUTED_VALUE"""),"Cloudfy")</f>
        <v>Cloudfy</v>
      </c>
      <c r="T8300" s="33">
        <f>IFERROR(__xludf.DUMMYFUNCTION("""COMPUTED_VALUE"""),1.0)</f>
        <v>1</v>
      </c>
      <c r="U8300" s="4" t="str">
        <f>IFERROR(__xludf.DUMMYFUNCTION("""COMPUTED_VALUE"""),"Cloudfy")</f>
        <v>Cloudfy</v>
      </c>
      <c r="V8300" s="33">
        <f>IFERROR(__xludf.DUMMYFUNCTION("""COMPUTED_VALUE"""),1.0)</f>
        <v>1</v>
      </c>
      <c r="W8300" s="4" t="str">
        <f>IFERROR(__xludf.DUMMYFUNCTION("""COMPUTED_VALUE"""),"Cloudfy")</f>
        <v>Cloudfy</v>
      </c>
      <c r="X8300" s="33">
        <f>IFERROR(__xludf.DUMMYFUNCTION("""COMPUTED_VALUE"""),1.0)</f>
        <v>1</v>
      </c>
    </row>
    <row r="8301">
      <c r="K8301" s="4" t="str">
        <f>IFERROR(__xludf.DUMMYFUNCTION("""COMPUTED_VALUE"""),"JB BURGUER E BARBECUE BURGUER E SMASH")</f>
        <v>JB BURGUER E BARBECUE BURGUER E SMASH</v>
      </c>
      <c r="L8301" s="32">
        <f>IFERROR(__xludf.DUMMYFUNCTION("""COMPUTED_VALUE"""),1.0)</f>
        <v>1</v>
      </c>
      <c r="M8301" s="4" t="str">
        <f>IFERROR(__xludf.DUMMYFUNCTION("""COMPUTED_VALUE"""),"Anota Ai Solucoes Digitais S/a")</f>
        <v>Anota Ai Solucoes Digitais S/a</v>
      </c>
      <c r="N8301" s="33">
        <f>IFERROR(__xludf.DUMMYFUNCTION("""COMPUTED_VALUE"""),1.0)</f>
        <v>1</v>
      </c>
      <c r="O8301" s="4" t="str">
        <f>IFERROR(__xludf.DUMMYFUNCTION("""COMPUTED_VALUE"""),"null")</f>
        <v>null</v>
      </c>
      <c r="P8301" s="33">
        <f>IFERROR(__xludf.DUMMYFUNCTION("""COMPUTED_VALUE"""),1.0)</f>
        <v>1</v>
      </c>
      <c r="Q8301" s="4" t="str">
        <f>IFERROR(__xludf.DUMMYFUNCTION("""COMPUTED_VALUE"""),"null")</f>
        <v>null</v>
      </c>
      <c r="R8301" s="33">
        <f>IFERROR(__xludf.DUMMYFUNCTION("""COMPUTED_VALUE"""),1.0)</f>
        <v>1</v>
      </c>
      <c r="S8301" s="4" t="str">
        <f>IFERROR(__xludf.DUMMYFUNCTION("""COMPUTED_VALUE"""),"null")</f>
        <v>null</v>
      </c>
      <c r="T8301" s="33">
        <f>IFERROR(__xludf.DUMMYFUNCTION("""COMPUTED_VALUE"""),1.0)</f>
        <v>1</v>
      </c>
      <c r="U8301" s="4" t="str">
        <f>IFERROR(__xludf.DUMMYFUNCTION("""COMPUTED_VALUE"""),"null")</f>
        <v>null</v>
      </c>
      <c r="V8301" s="33">
        <f>IFERROR(__xludf.DUMMYFUNCTION("""COMPUTED_VALUE"""),1.0)</f>
        <v>1</v>
      </c>
      <c r="W8301" s="4" t="str">
        <f>IFERROR(__xludf.DUMMYFUNCTION("""COMPUTED_VALUE"""),"null")</f>
        <v>null</v>
      </c>
      <c r="X8301" s="33">
        <f>IFERROR(__xludf.DUMMYFUNCTION("""COMPUTED_VALUE"""),1.0)</f>
        <v>1</v>
      </c>
    </row>
    <row r="8302">
      <c r="K8302" s="4" t="str">
        <f>IFERROR(__xludf.DUMMYFUNCTION("""COMPUTED_VALUE"""),"MANDY PATISSERIE")</f>
        <v>MANDY PATISSERIE</v>
      </c>
      <c r="L8302" s="32">
        <f>IFERROR(__xludf.DUMMYFUNCTION("""COMPUTED_VALUE"""),1.0)</f>
        <v>1</v>
      </c>
      <c r="M8302" s="4" t="str">
        <f>IFERROR(__xludf.DUMMYFUNCTION("""COMPUTED_VALUE"""),"null")</f>
        <v>null</v>
      </c>
      <c r="N8302" s="33">
        <f>IFERROR(__xludf.DUMMYFUNCTION("""COMPUTED_VALUE"""),1.0)</f>
        <v>1</v>
      </c>
      <c r="O8302" s="4" t="str">
        <f>IFERROR(__xludf.DUMMYFUNCTION("""COMPUTED_VALUE"""),"null")</f>
        <v>null</v>
      </c>
      <c r="P8302" s="33">
        <f>IFERROR(__xludf.DUMMYFUNCTION("""COMPUTED_VALUE"""),1.0)</f>
        <v>1</v>
      </c>
      <c r="Q8302" s="4" t="str">
        <f>IFERROR(__xludf.DUMMYFUNCTION("""COMPUTED_VALUE"""),"Saipos Serviços De Software")</f>
        <v>Saipos Serviços De Software</v>
      </c>
      <c r="R8302" s="33">
        <f>IFERROR(__xludf.DUMMYFUNCTION("""COMPUTED_VALUE"""),1.0)</f>
        <v>1</v>
      </c>
      <c r="S8302" s="4" t="str">
        <f>IFERROR(__xludf.DUMMYFUNCTION("""COMPUTED_VALUE"""),"null")</f>
        <v>null</v>
      </c>
      <c r="T8302" s="33">
        <f>IFERROR(__xludf.DUMMYFUNCTION("""COMPUTED_VALUE"""),1.0)</f>
        <v>1</v>
      </c>
      <c r="U8302" s="4" t="str">
        <f>IFERROR(__xludf.DUMMYFUNCTION("""COMPUTED_VALUE"""),"Anota Ai Solucoes Digitais S/a")</f>
        <v>Anota Ai Solucoes Digitais S/a</v>
      </c>
      <c r="V8302" s="33">
        <f>IFERROR(__xludf.DUMMYFUNCTION("""COMPUTED_VALUE"""),1.0)</f>
        <v>1</v>
      </c>
      <c r="W8302" s="4" t="str">
        <f>IFERROR(__xludf.DUMMYFUNCTION("""COMPUTED_VALUE"""),"Anota Ai Solucoes Digitais S/a")</f>
        <v>Anota Ai Solucoes Digitais S/a</v>
      </c>
      <c r="X8302" s="33">
        <f>IFERROR(__xludf.DUMMYFUNCTION("""COMPUTED_VALUE"""),1.0)</f>
        <v>1</v>
      </c>
    </row>
    <row r="8303">
      <c r="K8303" s="4" t="str">
        <f>IFERROR(__xludf.DUMMYFUNCTION("""COMPUTED_VALUE"""),"TARJA PRETA HAMBURGUERIA GOURMET")</f>
        <v>TARJA PRETA HAMBURGUERIA GOURMET</v>
      </c>
      <c r="L8303" s="32">
        <f>IFERROR(__xludf.DUMMYFUNCTION("""COMPUTED_VALUE"""),1.0)</f>
        <v>1</v>
      </c>
      <c r="M8303" s="4" t="str">
        <f>IFERROR(__xludf.DUMMYFUNCTION("""COMPUTED_VALUE"""),"null")</f>
        <v>null</v>
      </c>
      <c r="N8303" s="33">
        <f>IFERROR(__xludf.DUMMYFUNCTION("""COMPUTED_VALUE"""),1.0)</f>
        <v>1</v>
      </c>
      <c r="O8303" s="4" t="str">
        <f>IFERROR(__xludf.DUMMYFUNCTION("""COMPUTED_VALUE"""),"Miller Sistemas")</f>
        <v>Miller Sistemas</v>
      </c>
      <c r="P8303" s="33">
        <f>IFERROR(__xludf.DUMMYFUNCTION("""COMPUTED_VALUE"""),1.0)</f>
        <v>1</v>
      </c>
      <c r="Q8303" s="4" t="str">
        <f>IFERROR(__xludf.DUMMYFUNCTION("""COMPUTED_VALUE"""),"Miller Sistemas")</f>
        <v>Miller Sistemas</v>
      </c>
      <c r="R8303" s="33">
        <f>IFERROR(__xludf.DUMMYFUNCTION("""COMPUTED_VALUE"""),1.0)</f>
        <v>1</v>
      </c>
      <c r="S8303" s="4" t="str">
        <f>IFERROR(__xludf.DUMMYFUNCTION("""COMPUTED_VALUE"""),"Anota Ai Solucoes Digitais S/a")</f>
        <v>Anota Ai Solucoes Digitais S/a</v>
      </c>
      <c r="T8303" s="33">
        <f>IFERROR(__xludf.DUMMYFUNCTION("""COMPUTED_VALUE"""),1.0)</f>
        <v>1</v>
      </c>
      <c r="U8303" s="4" t="str">
        <f>IFERROR(__xludf.DUMMYFUNCTION("""COMPUTED_VALUE"""),"null")</f>
        <v>null</v>
      </c>
      <c r="V8303" s="33">
        <f>IFERROR(__xludf.DUMMYFUNCTION("""COMPUTED_VALUE"""),1.0)</f>
        <v>1</v>
      </c>
      <c r="W8303" s="4" t="str">
        <f>IFERROR(__xludf.DUMMYFUNCTION("""COMPUTED_VALUE"""),"Anota Ai Solucoes Digitais S/a")</f>
        <v>Anota Ai Solucoes Digitais S/a</v>
      </c>
      <c r="X8303" s="33">
        <f>IFERROR(__xludf.DUMMYFUNCTION("""COMPUTED_VALUE"""),1.0)</f>
        <v>1</v>
      </c>
    </row>
    <row r="8304">
      <c r="K8304" s="4" t="str">
        <f>IFERROR(__xludf.DUMMYFUNCTION("""COMPUTED_VALUE"""),"PIZZA PARA VOCE CRICIUMA")</f>
        <v>PIZZA PARA VOCE CRICIUMA</v>
      </c>
      <c r="L8304" s="32">
        <f>IFERROR(__xludf.DUMMYFUNCTION("""COMPUTED_VALUE"""),1.0)</f>
        <v>1</v>
      </c>
      <c r="M8304" s="4" t="str">
        <f>IFERROR(__xludf.DUMMYFUNCTION("""COMPUTED_VALUE"""),"Cf Sistemas")</f>
        <v>Cf Sistemas</v>
      </c>
      <c r="N8304" s="33">
        <f>IFERROR(__xludf.DUMMYFUNCTION("""COMPUTED_VALUE"""),1.0)</f>
        <v>1</v>
      </c>
      <c r="O8304" s="4" t="str">
        <f>IFERROR(__xludf.DUMMYFUNCTION("""COMPUTED_VALUE"""),"Cf Sistemas")</f>
        <v>Cf Sistemas</v>
      </c>
      <c r="P8304" s="33">
        <f>IFERROR(__xludf.DUMMYFUNCTION("""COMPUTED_VALUE"""),1.0)</f>
        <v>1</v>
      </c>
      <c r="Q8304" s="4" t="str">
        <f>IFERROR(__xludf.DUMMYFUNCTION("""COMPUTED_VALUE"""),"Cf Sistemas")</f>
        <v>Cf Sistemas</v>
      </c>
      <c r="R8304" s="33">
        <f>IFERROR(__xludf.DUMMYFUNCTION("""COMPUTED_VALUE"""),1.0)</f>
        <v>1</v>
      </c>
      <c r="S8304" s="4" t="str">
        <f>IFERROR(__xludf.DUMMYFUNCTION("""COMPUTED_VALUE"""),"Cf Sistemas")</f>
        <v>Cf Sistemas</v>
      </c>
      <c r="T8304" s="33">
        <f>IFERROR(__xludf.DUMMYFUNCTION("""COMPUTED_VALUE"""),1.0)</f>
        <v>1</v>
      </c>
      <c r="U8304" s="4" t="str">
        <f>IFERROR(__xludf.DUMMYFUNCTION("""COMPUTED_VALUE"""),"Cf Sistemas")</f>
        <v>Cf Sistemas</v>
      </c>
      <c r="V8304" s="33">
        <f>IFERROR(__xludf.DUMMYFUNCTION("""COMPUTED_VALUE"""),1.0)</f>
        <v>1</v>
      </c>
      <c r="W8304" s="4" t="str">
        <f>IFERROR(__xludf.DUMMYFUNCTION("""COMPUTED_VALUE"""),"Cf Sistemas")</f>
        <v>Cf Sistemas</v>
      </c>
      <c r="X8304" s="33">
        <f>IFERROR(__xludf.DUMMYFUNCTION("""COMPUTED_VALUE"""),1.0)</f>
        <v>1</v>
      </c>
    </row>
    <row r="8305">
      <c r="K8305" s="4" t="str">
        <f>IFERROR(__xludf.DUMMYFUNCTION("""COMPUTED_VALUE"""),"GIGA BYTE SANDUICHERIA LTDA")</f>
        <v>GIGA BYTE SANDUICHERIA LTDA</v>
      </c>
      <c r="L8305" s="32">
        <f>IFERROR(__xludf.DUMMYFUNCTION("""COMPUTED_VALUE"""),1.0)</f>
        <v>1</v>
      </c>
      <c r="M8305" s="4" t="str">
        <f>IFERROR(__xludf.DUMMYFUNCTION("""COMPUTED_VALUE"""),"Lad Sistemas")</f>
        <v>Lad Sistemas</v>
      </c>
      <c r="N8305" s="33">
        <f>IFERROR(__xludf.DUMMYFUNCTION("""COMPUTED_VALUE"""),1.0)</f>
        <v>1</v>
      </c>
      <c r="O8305" s="4" t="str">
        <f>IFERROR(__xludf.DUMMYFUNCTION("""COMPUTED_VALUE"""),"Lad Sistemas")</f>
        <v>Lad Sistemas</v>
      </c>
      <c r="P8305" s="33">
        <f>IFERROR(__xludf.DUMMYFUNCTION("""COMPUTED_VALUE"""),1.0)</f>
        <v>1</v>
      </c>
      <c r="Q8305" s="4" t="str">
        <f>IFERROR(__xludf.DUMMYFUNCTION("""COMPUTED_VALUE"""),"Lad Sistemas")</f>
        <v>Lad Sistemas</v>
      </c>
      <c r="R8305" s="33">
        <f>IFERROR(__xludf.DUMMYFUNCTION("""COMPUTED_VALUE"""),1.0)</f>
        <v>1</v>
      </c>
      <c r="S8305" s="4" t="str">
        <f>IFERROR(__xludf.DUMMYFUNCTION("""COMPUTED_VALUE"""),"Lad Sistemas")</f>
        <v>Lad Sistemas</v>
      </c>
      <c r="T8305" s="33">
        <f>IFERROR(__xludf.DUMMYFUNCTION("""COMPUTED_VALUE"""),1.0)</f>
        <v>1</v>
      </c>
      <c r="U8305" s="4" t="str">
        <f>IFERROR(__xludf.DUMMYFUNCTION("""COMPUTED_VALUE"""),"Lad Sistemas")</f>
        <v>Lad Sistemas</v>
      </c>
      <c r="V8305" s="33">
        <f>IFERROR(__xludf.DUMMYFUNCTION("""COMPUTED_VALUE"""),1.0)</f>
        <v>1</v>
      </c>
      <c r="W8305" s="4" t="str">
        <f>IFERROR(__xludf.DUMMYFUNCTION("""COMPUTED_VALUE"""),"Lad Sistemas")</f>
        <v>Lad Sistemas</v>
      </c>
      <c r="X8305" s="33">
        <f>IFERROR(__xludf.DUMMYFUNCTION("""COMPUTED_VALUE"""),1.0)</f>
        <v>1</v>
      </c>
    </row>
    <row r="8306">
      <c r="K8306" s="4" t="str">
        <f>IFERROR(__xludf.DUMMYFUNCTION("""COMPUTED_VALUE"""),"DOM GABRIEL PIZZARIA")</f>
        <v>DOM GABRIEL PIZZARIA</v>
      </c>
      <c r="L8306" s="32">
        <f>IFERROR(__xludf.DUMMYFUNCTION("""COMPUTED_VALUE"""),1.0)</f>
        <v>1</v>
      </c>
      <c r="M8306" s="4" t="str">
        <f>IFERROR(__xludf.DUMMYFUNCTION("""COMPUTED_VALUE"""),"Saipos Serviços De Software")</f>
        <v>Saipos Serviços De Software</v>
      </c>
      <c r="N8306" s="33">
        <f>IFERROR(__xludf.DUMMYFUNCTION("""COMPUTED_VALUE"""),1.0)</f>
        <v>1</v>
      </c>
      <c r="O8306" s="4" t="str">
        <f>IFERROR(__xludf.DUMMYFUNCTION("""COMPUTED_VALUE"""),"null")</f>
        <v>null</v>
      </c>
      <c r="P8306" s="33">
        <f>IFERROR(__xludf.DUMMYFUNCTION("""COMPUTED_VALUE"""),1.0)</f>
        <v>1</v>
      </c>
      <c r="Q8306" s="4" t="str">
        <f>IFERROR(__xludf.DUMMYFUNCTION("""COMPUTED_VALUE"""),"Saipos Serviços De Software")</f>
        <v>Saipos Serviços De Software</v>
      </c>
      <c r="R8306" s="33">
        <f>IFERROR(__xludf.DUMMYFUNCTION("""COMPUTED_VALUE"""),1.0)</f>
        <v>1</v>
      </c>
      <c r="S8306" s="4" t="str">
        <f>IFERROR(__xludf.DUMMYFUNCTION("""COMPUTED_VALUE"""),"Saipos Serviços De Software")</f>
        <v>Saipos Serviços De Software</v>
      </c>
      <c r="T8306" s="33">
        <f>IFERROR(__xludf.DUMMYFUNCTION("""COMPUTED_VALUE"""),1.0)</f>
        <v>1</v>
      </c>
      <c r="U8306" s="4" t="str">
        <f>IFERROR(__xludf.DUMMYFUNCTION("""COMPUTED_VALUE"""),"null")</f>
        <v>null</v>
      </c>
      <c r="V8306" s="33">
        <f>IFERROR(__xludf.DUMMYFUNCTION("""COMPUTED_VALUE"""),1.0)</f>
        <v>1</v>
      </c>
      <c r="W8306" s="4" t="str">
        <f>IFERROR(__xludf.DUMMYFUNCTION("""COMPUTED_VALUE"""),"Saipos Serviços De Software")</f>
        <v>Saipos Serviços De Software</v>
      </c>
      <c r="X8306" s="33">
        <f>IFERROR(__xludf.DUMMYFUNCTION("""COMPUTED_VALUE"""),1.0)</f>
        <v>1</v>
      </c>
    </row>
    <row r="8307">
      <c r="K8307" s="4" t="str">
        <f>IFERROR(__xludf.DUMMYFUNCTION("""COMPUTED_VALUE"""),"ROTA 55 LANCHES")</f>
        <v>ROTA 55 LANCHES</v>
      </c>
      <c r="L8307" s="32">
        <f>IFERROR(__xludf.DUMMYFUNCTION("""COMPUTED_VALUE"""),1.0)</f>
        <v>1</v>
      </c>
      <c r="M8307" s="4" t="str">
        <f>IFERROR(__xludf.DUMMYFUNCTION("""COMPUTED_VALUE"""),"Glow")</f>
        <v>Glow</v>
      </c>
      <c r="N8307" s="33">
        <f>IFERROR(__xludf.DUMMYFUNCTION("""COMPUTED_VALUE"""),1.0)</f>
        <v>1</v>
      </c>
      <c r="O8307" s="4" t="str">
        <f>IFERROR(__xludf.DUMMYFUNCTION("""COMPUTED_VALUE"""),"Glow")</f>
        <v>Glow</v>
      </c>
      <c r="P8307" s="33">
        <f>IFERROR(__xludf.DUMMYFUNCTION("""COMPUTED_VALUE"""),1.0)</f>
        <v>1</v>
      </c>
      <c r="Q8307" s="4" t="str">
        <f>IFERROR(__xludf.DUMMYFUNCTION("""COMPUTED_VALUE"""),"Glow")</f>
        <v>Glow</v>
      </c>
      <c r="R8307" s="33">
        <f>IFERROR(__xludf.DUMMYFUNCTION("""COMPUTED_VALUE"""),1.0)</f>
        <v>1</v>
      </c>
      <c r="S8307" s="4" t="str">
        <f>IFERROR(__xludf.DUMMYFUNCTION("""COMPUTED_VALUE"""),"Glow")</f>
        <v>Glow</v>
      </c>
      <c r="T8307" s="33">
        <f>IFERROR(__xludf.DUMMYFUNCTION("""COMPUTED_VALUE"""),1.0)</f>
        <v>1</v>
      </c>
      <c r="U8307" s="4" t="str">
        <f>IFERROR(__xludf.DUMMYFUNCTION("""COMPUTED_VALUE"""),"Glow")</f>
        <v>Glow</v>
      </c>
      <c r="V8307" s="33">
        <f>IFERROR(__xludf.DUMMYFUNCTION("""COMPUTED_VALUE"""),1.0)</f>
        <v>1</v>
      </c>
      <c r="W8307" s="4" t="str">
        <f>IFERROR(__xludf.DUMMYFUNCTION("""COMPUTED_VALUE"""),"Glow")</f>
        <v>Glow</v>
      </c>
      <c r="X8307" s="33">
        <f>IFERROR(__xludf.DUMMYFUNCTION("""COMPUTED_VALUE"""),1.0)</f>
        <v>1</v>
      </c>
    </row>
    <row r="8308">
      <c r="K8308" s="4" t="str">
        <f>IFERROR(__xludf.DUMMYFUNCTION("""COMPUTED_VALUE"""),"BURGUER DA MATA HAMBURGUERIA SMASH")</f>
        <v>BURGUER DA MATA HAMBURGUERIA SMASH</v>
      </c>
      <c r="L8308" s="32">
        <f>IFERROR(__xludf.DUMMYFUNCTION("""COMPUTED_VALUE"""),1.0)</f>
        <v>1</v>
      </c>
      <c r="M8308" s="4" t="str">
        <f>IFERROR(__xludf.DUMMYFUNCTION("""COMPUTED_VALUE"""),"Anota Ai Solucoes Digitais S/a")</f>
        <v>Anota Ai Solucoes Digitais S/a</v>
      </c>
      <c r="N8308" s="33">
        <f>IFERROR(__xludf.DUMMYFUNCTION("""COMPUTED_VALUE"""),1.0)</f>
        <v>1</v>
      </c>
      <c r="O8308" s="4" t="str">
        <f>IFERROR(__xludf.DUMMYFUNCTION("""COMPUTED_VALUE"""),"Anota Ai Solucoes Digitais S/a")</f>
        <v>Anota Ai Solucoes Digitais S/a</v>
      </c>
      <c r="P8308" s="33">
        <f>IFERROR(__xludf.DUMMYFUNCTION("""COMPUTED_VALUE"""),1.0)</f>
        <v>1</v>
      </c>
      <c r="Q8308" s="4" t="str">
        <f>IFERROR(__xludf.DUMMYFUNCTION("""COMPUTED_VALUE"""),"Anota Ai Solucoes Digitais S/a")</f>
        <v>Anota Ai Solucoes Digitais S/a</v>
      </c>
      <c r="R8308" s="33">
        <f>IFERROR(__xludf.DUMMYFUNCTION("""COMPUTED_VALUE"""),1.0)</f>
        <v>1</v>
      </c>
      <c r="S8308" s="4" t="str">
        <f>IFERROR(__xludf.DUMMYFUNCTION("""COMPUTED_VALUE"""),"Anota Ai Solucoes Digitais S/a")</f>
        <v>Anota Ai Solucoes Digitais S/a</v>
      </c>
      <c r="T8308" s="33">
        <f>IFERROR(__xludf.DUMMYFUNCTION("""COMPUTED_VALUE"""),1.0)</f>
        <v>1</v>
      </c>
      <c r="U8308" s="4" t="str">
        <f>IFERROR(__xludf.DUMMYFUNCTION("""COMPUTED_VALUE"""),"Cardápio Web")</f>
        <v>Cardápio Web</v>
      </c>
      <c r="V8308" s="33">
        <f>IFERROR(__xludf.DUMMYFUNCTION("""COMPUTED_VALUE"""),1.0)</f>
        <v>1</v>
      </c>
      <c r="W8308" s="4" t="str">
        <f>IFERROR(__xludf.DUMMYFUNCTION("""COMPUTED_VALUE"""),"Cardápio Web")</f>
        <v>Cardápio Web</v>
      </c>
      <c r="X8308" s="33">
        <f>IFERROR(__xludf.DUMMYFUNCTION("""COMPUTED_VALUE"""),1.0)</f>
        <v>1</v>
      </c>
    </row>
    <row r="8309">
      <c r="K8309" s="4" t="str">
        <f>IFERROR(__xludf.DUMMYFUNCTION("""COMPUTED_VALUE"""),"HAMBURGUERIA SANTELA BURGER")</f>
        <v>HAMBURGUERIA SANTELA BURGER</v>
      </c>
      <c r="L8309" s="32">
        <f>IFERROR(__xludf.DUMMYFUNCTION("""COMPUTED_VALUE"""),1.0)</f>
        <v>1</v>
      </c>
      <c r="M8309" s="4" t="str">
        <f>IFERROR(__xludf.DUMMYFUNCTION("""COMPUTED_VALUE"""),"Cardápio Web")</f>
        <v>Cardápio Web</v>
      </c>
      <c r="N8309" s="33">
        <f>IFERROR(__xludf.DUMMYFUNCTION("""COMPUTED_VALUE"""),1.0)</f>
        <v>1</v>
      </c>
      <c r="O8309" s="4" t="str">
        <f>IFERROR(__xludf.DUMMYFUNCTION("""COMPUTED_VALUE"""),"Cardápio Web")</f>
        <v>Cardápio Web</v>
      </c>
      <c r="P8309" s="33">
        <f>IFERROR(__xludf.DUMMYFUNCTION("""COMPUTED_VALUE"""),1.0)</f>
        <v>1</v>
      </c>
      <c r="Q8309" s="4" t="str">
        <f>IFERROR(__xludf.DUMMYFUNCTION("""COMPUTED_VALUE"""),"Cardápio Web")</f>
        <v>Cardápio Web</v>
      </c>
      <c r="R8309" s="33">
        <f>IFERROR(__xludf.DUMMYFUNCTION("""COMPUTED_VALUE"""),1.0)</f>
        <v>1</v>
      </c>
      <c r="S8309" s="4" t="str">
        <f>IFERROR(__xludf.DUMMYFUNCTION("""COMPUTED_VALUE"""),"Cardápio Web")</f>
        <v>Cardápio Web</v>
      </c>
      <c r="T8309" s="33">
        <f>IFERROR(__xludf.DUMMYFUNCTION("""COMPUTED_VALUE"""),1.0)</f>
        <v>1</v>
      </c>
      <c r="U8309" s="4" t="str">
        <f>IFERROR(__xludf.DUMMYFUNCTION("""COMPUTED_VALUE"""),"Cardápio Web")</f>
        <v>Cardápio Web</v>
      </c>
      <c r="V8309" s="33">
        <f>IFERROR(__xludf.DUMMYFUNCTION("""COMPUTED_VALUE"""),1.0)</f>
        <v>1</v>
      </c>
      <c r="W8309" s="4" t="str">
        <f>IFERROR(__xludf.DUMMYFUNCTION("""COMPUTED_VALUE"""),"Cardápio Web")</f>
        <v>Cardápio Web</v>
      </c>
      <c r="X8309" s="33">
        <f>IFERROR(__xludf.DUMMYFUNCTION("""COMPUTED_VALUE"""),1.0)</f>
        <v>1</v>
      </c>
    </row>
    <row r="8310">
      <c r="K8310" s="4" t="str">
        <f>IFERROR(__xludf.DUMMYFUNCTION("""COMPUTED_VALUE"""),"LA BORDA")</f>
        <v>LA BORDA</v>
      </c>
      <c r="L8310" s="32">
        <f>IFERROR(__xludf.DUMMYFUNCTION("""COMPUTED_VALUE"""),1.0)</f>
        <v>1</v>
      </c>
      <c r="M8310" s="4" t="str">
        <f>IFERROR(__xludf.DUMMYFUNCTION("""COMPUTED_VALUE"""),"Brendi")</f>
        <v>Brendi</v>
      </c>
      <c r="N8310" s="33">
        <f>IFERROR(__xludf.DUMMYFUNCTION("""COMPUTED_VALUE"""),1.0)</f>
        <v>1</v>
      </c>
      <c r="O8310" s="4" t="str">
        <f>IFERROR(__xludf.DUMMYFUNCTION("""COMPUTED_VALUE"""),"Brendi")</f>
        <v>Brendi</v>
      </c>
      <c r="P8310" s="33">
        <f>IFERROR(__xludf.DUMMYFUNCTION("""COMPUTED_VALUE"""),1.0)</f>
        <v>1</v>
      </c>
      <c r="Q8310" s="4" t="str">
        <f>IFERROR(__xludf.DUMMYFUNCTION("""COMPUTED_VALUE"""),"Brendi")</f>
        <v>Brendi</v>
      </c>
      <c r="R8310" s="33">
        <f>IFERROR(__xludf.DUMMYFUNCTION("""COMPUTED_VALUE"""),1.0)</f>
        <v>1</v>
      </c>
      <c r="S8310" s="4" t="str">
        <f>IFERROR(__xludf.DUMMYFUNCTION("""COMPUTED_VALUE"""),"null")</f>
        <v>null</v>
      </c>
      <c r="T8310" s="33">
        <f>IFERROR(__xludf.DUMMYFUNCTION("""COMPUTED_VALUE"""),1.0)</f>
        <v>1</v>
      </c>
      <c r="U8310" s="4" t="str">
        <f>IFERROR(__xludf.DUMMYFUNCTION("""COMPUTED_VALUE"""),"null")</f>
        <v>null</v>
      </c>
      <c r="V8310" s="33">
        <f>IFERROR(__xludf.DUMMYFUNCTION("""COMPUTED_VALUE"""),1.0)</f>
        <v>1</v>
      </c>
      <c r="W8310" s="4" t="str">
        <f>IFERROR(__xludf.DUMMYFUNCTION("""COMPUTED_VALUE"""),"Brendi")</f>
        <v>Brendi</v>
      </c>
      <c r="X8310" s="33">
        <f>IFERROR(__xludf.DUMMYFUNCTION("""COMPUTED_VALUE"""),1.0)</f>
        <v>1</v>
      </c>
    </row>
    <row r="8311">
      <c r="K8311" s="4" t="str">
        <f>IFERROR(__xludf.DUMMYFUNCTION("""COMPUTED_VALUE"""),"EXTRA FORTE PRODUTOS PARA LIMPEZA")</f>
        <v>EXTRA FORTE PRODUTOS PARA LIMPEZA</v>
      </c>
      <c r="L8311" s="32">
        <f>IFERROR(__xludf.DUMMYFUNCTION("""COMPUTED_VALUE"""),1.0)</f>
        <v>1</v>
      </c>
      <c r="M8311" s="4">
        <f>IFERROR(__xludf.DUMMYFUNCTION("""COMPUTED_VALUE"""),88.0)</f>
        <v>88</v>
      </c>
      <c r="N8311" s="33">
        <f>IFERROR(__xludf.DUMMYFUNCTION("""COMPUTED_VALUE"""),1.0)</f>
        <v>1</v>
      </c>
      <c r="O8311" s="4" t="str">
        <f>IFERROR(__xludf.DUMMYFUNCTION("""COMPUTED_VALUE"""),"null")</f>
        <v>null</v>
      </c>
      <c r="P8311" s="33">
        <f>IFERROR(__xludf.DUMMYFUNCTION("""COMPUTED_VALUE"""),1.0)</f>
        <v>1</v>
      </c>
      <c r="Q8311" s="4" t="str">
        <f>IFERROR(__xludf.DUMMYFUNCTION("""COMPUTED_VALUE"""),"null")</f>
        <v>null</v>
      </c>
      <c r="R8311" s="33">
        <f>IFERROR(__xludf.DUMMYFUNCTION("""COMPUTED_VALUE"""),1.0)</f>
        <v>1</v>
      </c>
      <c r="S8311" s="4" t="str">
        <f>IFERROR(__xludf.DUMMYFUNCTION("""COMPUTED_VALUE"""),"null")</f>
        <v>null</v>
      </c>
      <c r="T8311" s="33">
        <f>IFERROR(__xludf.DUMMYFUNCTION("""COMPUTED_VALUE"""),1.0)</f>
        <v>1</v>
      </c>
      <c r="U8311" s="4" t="str">
        <f>IFERROR(__xludf.DUMMYFUNCTION("""COMPUTED_VALUE"""),"null")</f>
        <v>null</v>
      </c>
      <c r="V8311" s="33">
        <f>IFERROR(__xludf.DUMMYFUNCTION("""COMPUTED_VALUE"""),1.0)</f>
        <v>1</v>
      </c>
      <c r="W8311" s="4" t="str">
        <f>IFERROR(__xludf.DUMMYFUNCTION("""COMPUTED_VALUE"""),"null")</f>
        <v>null</v>
      </c>
      <c r="X8311" s="33">
        <f>IFERROR(__xludf.DUMMYFUNCTION("""COMPUTED_VALUE"""),1.0)</f>
        <v>1</v>
      </c>
    </row>
    <row r="8312">
      <c r="K8312" s="4" t="str">
        <f>IFERROR(__xludf.DUMMYFUNCTION("""COMPUTED_VALUE"""),"SEU MANE GELATO")</f>
        <v>SEU MANE GELATO</v>
      </c>
      <c r="L8312" s="32">
        <f>IFERROR(__xludf.DUMMYFUNCTION("""COMPUTED_VALUE"""),1.0)</f>
        <v>1</v>
      </c>
      <c r="M8312" s="4" t="str">
        <f>IFERROR(__xludf.DUMMYFUNCTION("""COMPUTED_VALUE"""),"Saipos Serviços De Software")</f>
        <v>Saipos Serviços De Software</v>
      </c>
      <c r="N8312" s="33">
        <f>IFERROR(__xludf.DUMMYFUNCTION("""COMPUTED_VALUE"""),1.0)</f>
        <v>1</v>
      </c>
      <c r="O8312" s="4" t="str">
        <f>IFERROR(__xludf.DUMMYFUNCTION("""COMPUTED_VALUE"""),"Saipos Serviços De Software")</f>
        <v>Saipos Serviços De Software</v>
      </c>
      <c r="P8312" s="33">
        <f>IFERROR(__xludf.DUMMYFUNCTION("""COMPUTED_VALUE"""),1.0)</f>
        <v>1</v>
      </c>
      <c r="Q8312" s="4" t="str">
        <f>IFERROR(__xludf.DUMMYFUNCTION("""COMPUTED_VALUE"""),"Saipos Serviços De Software")</f>
        <v>Saipos Serviços De Software</v>
      </c>
      <c r="R8312" s="33">
        <f>IFERROR(__xludf.DUMMYFUNCTION("""COMPUTED_VALUE"""),1.0)</f>
        <v>1</v>
      </c>
      <c r="S8312" s="4" t="str">
        <f>IFERROR(__xludf.DUMMYFUNCTION("""COMPUTED_VALUE"""),"null")</f>
        <v>null</v>
      </c>
      <c r="T8312" s="33">
        <f>IFERROR(__xludf.DUMMYFUNCTION("""COMPUTED_VALUE"""),1.0)</f>
        <v>1</v>
      </c>
      <c r="U8312" s="4" t="str">
        <f>IFERROR(__xludf.DUMMYFUNCTION("""COMPUTED_VALUE"""),"Saipos Serviços De Software")</f>
        <v>Saipos Serviços De Software</v>
      </c>
      <c r="V8312" s="33">
        <f>IFERROR(__xludf.DUMMYFUNCTION("""COMPUTED_VALUE"""),1.0)</f>
        <v>1</v>
      </c>
      <c r="W8312" s="4" t="str">
        <f>IFERROR(__xludf.DUMMYFUNCTION("""COMPUTED_VALUE"""),"null")</f>
        <v>null</v>
      </c>
      <c r="X8312" s="33">
        <f>IFERROR(__xludf.DUMMYFUNCTION("""COMPUTED_VALUE"""),1.0)</f>
        <v>1</v>
      </c>
    </row>
    <row r="8313">
      <c r="K8313" s="4" t="str">
        <f>IFERROR(__xludf.DUMMYFUNCTION("""COMPUTED_VALUE"""),"GORDINHO LANCHES - UNIDADE COLUMBIA")</f>
        <v>GORDINHO LANCHES - UNIDADE COLUMBIA</v>
      </c>
      <c r="L8313" s="32">
        <f>IFERROR(__xludf.DUMMYFUNCTION("""COMPUTED_VALUE"""),1.0)</f>
        <v>1</v>
      </c>
      <c r="M8313" s="4" t="str">
        <f>IFERROR(__xludf.DUMMYFUNCTION("""COMPUTED_VALUE"""),"Sagres Automação Comercial")</f>
        <v>Sagres Automação Comercial</v>
      </c>
      <c r="N8313" s="33">
        <f>IFERROR(__xludf.DUMMYFUNCTION("""COMPUTED_VALUE"""),1.0)</f>
        <v>1</v>
      </c>
      <c r="O8313" s="4" t="str">
        <f>IFERROR(__xludf.DUMMYFUNCTION("""COMPUTED_VALUE"""),"Sagres Automação Comercial")</f>
        <v>Sagres Automação Comercial</v>
      </c>
      <c r="P8313" s="33">
        <f>IFERROR(__xludf.DUMMYFUNCTION("""COMPUTED_VALUE"""),1.0)</f>
        <v>1</v>
      </c>
      <c r="Q8313" s="4" t="str">
        <f>IFERROR(__xludf.DUMMYFUNCTION("""COMPUTED_VALUE"""),"Sagres Automação Comercial")</f>
        <v>Sagres Automação Comercial</v>
      </c>
      <c r="R8313" s="33">
        <f>IFERROR(__xludf.DUMMYFUNCTION("""COMPUTED_VALUE"""),1.0)</f>
        <v>1</v>
      </c>
      <c r="S8313" s="4" t="str">
        <f>IFERROR(__xludf.DUMMYFUNCTION("""COMPUTED_VALUE"""),"Sagres Automação Comercial")</f>
        <v>Sagres Automação Comercial</v>
      </c>
      <c r="T8313" s="33">
        <f>IFERROR(__xludf.DUMMYFUNCTION("""COMPUTED_VALUE"""),1.0)</f>
        <v>1</v>
      </c>
      <c r="U8313" s="4" t="str">
        <f>IFERROR(__xludf.DUMMYFUNCTION("""COMPUTED_VALUE"""),"Sagres Automação Comercial")</f>
        <v>Sagres Automação Comercial</v>
      </c>
      <c r="V8313" s="33">
        <f>IFERROR(__xludf.DUMMYFUNCTION("""COMPUTED_VALUE"""),1.0)</f>
        <v>1</v>
      </c>
      <c r="W8313" s="4" t="str">
        <f>IFERROR(__xludf.DUMMYFUNCTION("""COMPUTED_VALUE"""),"Sagres Automação Comercial")</f>
        <v>Sagres Automação Comercial</v>
      </c>
      <c r="X8313" s="33">
        <f>IFERROR(__xludf.DUMMYFUNCTION("""COMPUTED_VALUE"""),1.0)</f>
        <v>1</v>
      </c>
    </row>
    <row r="8314">
      <c r="K8314" s="4" t="str">
        <f>IFERROR(__xludf.DUMMYFUNCTION("""COMPUTED_VALUE"""),"CASA DI LUCCA - MARMITA MARMITEX")</f>
        <v>CASA DI LUCCA - MARMITA MARMITEX</v>
      </c>
      <c r="L8314" s="32">
        <f>IFERROR(__xludf.DUMMYFUNCTION("""COMPUTED_VALUE"""),1.0)</f>
        <v>1</v>
      </c>
      <c r="M8314" s="4" t="str">
        <f>IFERROR(__xludf.DUMMYFUNCTION("""COMPUTED_VALUE"""),"Agilizae Tecnologia Ltda")</f>
        <v>Agilizae Tecnologia Ltda</v>
      </c>
      <c r="N8314" s="33">
        <f>IFERROR(__xludf.DUMMYFUNCTION("""COMPUTED_VALUE"""),1.0)</f>
        <v>1</v>
      </c>
      <c r="O8314" s="4" t="str">
        <f>IFERROR(__xludf.DUMMYFUNCTION("""COMPUTED_VALUE"""),"Agilizae Tecnologia Ltda")</f>
        <v>Agilizae Tecnologia Ltda</v>
      </c>
      <c r="P8314" s="33">
        <f>IFERROR(__xludf.DUMMYFUNCTION("""COMPUTED_VALUE"""),1.0)</f>
        <v>1</v>
      </c>
      <c r="Q8314" s="4" t="str">
        <f>IFERROR(__xludf.DUMMYFUNCTION("""COMPUTED_VALUE"""),"Agilizae Tecnologia Ltda")</f>
        <v>Agilizae Tecnologia Ltda</v>
      </c>
      <c r="R8314" s="33">
        <f>IFERROR(__xludf.DUMMYFUNCTION("""COMPUTED_VALUE"""),1.0)</f>
        <v>1</v>
      </c>
      <c r="S8314" s="4" t="str">
        <f>IFERROR(__xludf.DUMMYFUNCTION("""COMPUTED_VALUE"""),"Agilizae Tecnologia Ltda")</f>
        <v>Agilizae Tecnologia Ltda</v>
      </c>
      <c r="T8314" s="33">
        <f>IFERROR(__xludf.DUMMYFUNCTION("""COMPUTED_VALUE"""),1.0)</f>
        <v>1</v>
      </c>
      <c r="U8314" s="4" t="str">
        <f>IFERROR(__xludf.DUMMYFUNCTION("""COMPUTED_VALUE"""),"Agilizae Tecnologia Ltda")</f>
        <v>Agilizae Tecnologia Ltda</v>
      </c>
      <c r="V8314" s="33">
        <f>IFERROR(__xludf.DUMMYFUNCTION("""COMPUTED_VALUE"""),1.0)</f>
        <v>1</v>
      </c>
      <c r="W8314" s="4" t="str">
        <f>IFERROR(__xludf.DUMMYFUNCTION("""COMPUTED_VALUE"""),"Agilizae Tecnologia Ltda")</f>
        <v>Agilizae Tecnologia Ltda</v>
      </c>
      <c r="X8314" s="33">
        <f>IFERROR(__xludf.DUMMYFUNCTION("""COMPUTED_VALUE"""),1.0)</f>
        <v>1</v>
      </c>
    </row>
    <row r="8315">
      <c r="K8315" s="4" t="str">
        <f>IFERROR(__xludf.DUMMYFUNCTION("""COMPUTED_VALUE"""),"CAMOMILA DA COLONIA - CENTRO CURITIBA")</f>
        <v>CAMOMILA DA COLONIA - CENTRO CURITIBA</v>
      </c>
      <c r="L8315" s="32">
        <f>IFERROR(__xludf.DUMMYFUNCTION("""COMPUTED_VALUE"""),1.0)</f>
        <v>1</v>
      </c>
      <c r="M8315" s="4" t="str">
        <f>IFERROR(__xludf.DUMMYFUNCTION("""COMPUTED_VALUE"""),"null")</f>
        <v>null</v>
      </c>
      <c r="N8315" s="33">
        <f>IFERROR(__xludf.DUMMYFUNCTION("""COMPUTED_VALUE"""),1.0)</f>
        <v>1</v>
      </c>
      <c r="O8315" s="4" t="str">
        <f>IFERROR(__xludf.DUMMYFUNCTION("""COMPUTED_VALUE"""),"null")</f>
        <v>null</v>
      </c>
      <c r="P8315" s="33">
        <f>IFERROR(__xludf.DUMMYFUNCTION("""COMPUTED_VALUE"""),1.0)</f>
        <v>1</v>
      </c>
      <c r="Q8315" s="4" t="str">
        <f>IFERROR(__xludf.DUMMYFUNCTION("""COMPUTED_VALUE"""),"null")</f>
        <v>null</v>
      </c>
      <c r="R8315" s="33">
        <f>IFERROR(__xludf.DUMMYFUNCTION("""COMPUTED_VALUE"""),1.0)</f>
        <v>1</v>
      </c>
      <c r="S8315" s="4" t="str">
        <f>IFERROR(__xludf.DUMMYFUNCTION("""COMPUTED_VALUE"""),"null")</f>
        <v>null</v>
      </c>
      <c r="T8315" s="33">
        <f>IFERROR(__xludf.DUMMYFUNCTION("""COMPUTED_VALUE"""),1.0)</f>
        <v>1</v>
      </c>
      <c r="U8315" s="4" t="str">
        <f>IFERROR(__xludf.DUMMYFUNCTION("""COMPUTED_VALUE"""),"N/A (Not found)")</f>
        <v>N/A (Not found)</v>
      </c>
      <c r="V8315" s="33">
        <f>IFERROR(__xludf.DUMMYFUNCTION("""COMPUTED_VALUE"""),1.0)</f>
        <v>1</v>
      </c>
      <c r="W8315" s="4" t="str">
        <f>IFERROR(__xludf.DUMMYFUNCTION("""COMPUTED_VALUE"""),"null")</f>
        <v>null</v>
      </c>
      <c r="X8315" s="33">
        <f>IFERROR(__xludf.DUMMYFUNCTION("""COMPUTED_VALUE"""),1.0)</f>
        <v>1</v>
      </c>
    </row>
    <row r="8316">
      <c r="K8316" s="4" t="str">
        <f>IFERROR(__xludf.DUMMYFUNCTION("""COMPUTED_VALUE"""),"DOGS HOUSE - DOGUERIA")</f>
        <v>DOGS HOUSE - DOGUERIA</v>
      </c>
      <c r="L8316" s="32">
        <f>IFERROR(__xludf.DUMMYFUNCTION("""COMPUTED_VALUE"""),1.0)</f>
        <v>1</v>
      </c>
      <c r="M8316" s="4" t="str">
        <f>IFERROR(__xludf.DUMMYFUNCTION("""COMPUTED_VALUE"""),"Brendi")</f>
        <v>Brendi</v>
      </c>
      <c r="N8316" s="33">
        <f>IFERROR(__xludf.DUMMYFUNCTION("""COMPUTED_VALUE"""),1.0)</f>
        <v>1</v>
      </c>
      <c r="O8316" s="4" t="str">
        <f>IFERROR(__xludf.DUMMYFUNCTION("""COMPUTED_VALUE"""),"Brendi")</f>
        <v>Brendi</v>
      </c>
      <c r="P8316" s="33">
        <f>IFERROR(__xludf.DUMMYFUNCTION("""COMPUTED_VALUE"""),1.0)</f>
        <v>1</v>
      </c>
      <c r="Q8316" s="4" t="str">
        <f>IFERROR(__xludf.DUMMYFUNCTION("""COMPUTED_VALUE"""),"Brendi")</f>
        <v>Brendi</v>
      </c>
      <c r="R8316" s="33">
        <f>IFERROR(__xludf.DUMMYFUNCTION("""COMPUTED_VALUE"""),1.0)</f>
        <v>1</v>
      </c>
      <c r="S8316" s="4" t="str">
        <f>IFERROR(__xludf.DUMMYFUNCTION("""COMPUTED_VALUE"""),"Brendi")</f>
        <v>Brendi</v>
      </c>
      <c r="T8316" s="33">
        <f>IFERROR(__xludf.DUMMYFUNCTION("""COMPUTED_VALUE"""),1.0)</f>
        <v>1</v>
      </c>
      <c r="U8316" s="4" t="str">
        <f>IFERROR(__xludf.DUMMYFUNCTION("""COMPUTED_VALUE"""),"Brendi")</f>
        <v>Brendi</v>
      </c>
      <c r="V8316" s="33">
        <f>IFERROR(__xludf.DUMMYFUNCTION("""COMPUTED_VALUE"""),1.0)</f>
        <v>1</v>
      </c>
      <c r="W8316" s="4" t="str">
        <f>IFERROR(__xludf.DUMMYFUNCTION("""COMPUTED_VALUE"""),"Brendi")</f>
        <v>Brendi</v>
      </c>
      <c r="X8316" s="33">
        <f>IFERROR(__xludf.DUMMYFUNCTION("""COMPUTED_VALUE"""),1.0)</f>
        <v>1</v>
      </c>
    </row>
    <row r="8317">
      <c r="K8317" s="4" t="str">
        <f>IFERROR(__xludf.DUMMYFUNCTION("""COMPUTED_VALUE"""),"MINI MERCADO TORRE 17 LOJA 2")</f>
        <v>MINI MERCADO TORRE 17 LOJA 2</v>
      </c>
      <c r="L8317" s="32">
        <f>IFERROR(__xludf.DUMMYFUNCTION("""COMPUTED_VALUE"""),1.0)</f>
        <v>1</v>
      </c>
      <c r="M8317" s="4" t="str">
        <f>IFERROR(__xludf.DUMMYFUNCTION("""COMPUTED_VALUE"""),"N/A (Not found)")</f>
        <v>N/A (Not found)</v>
      </c>
      <c r="N8317" s="33">
        <f>IFERROR(__xludf.DUMMYFUNCTION("""COMPUTED_VALUE"""),1.0)</f>
        <v>1</v>
      </c>
      <c r="O8317" s="4" t="str">
        <f>IFERROR(__xludf.DUMMYFUNCTION("""COMPUTED_VALUE"""),"null")</f>
        <v>null</v>
      </c>
      <c r="P8317" s="33">
        <f>IFERROR(__xludf.DUMMYFUNCTION("""COMPUTED_VALUE"""),1.0)</f>
        <v>1</v>
      </c>
      <c r="Q8317" s="4" t="str">
        <f>IFERROR(__xludf.DUMMYFUNCTION("""COMPUTED_VALUE"""),"null")</f>
        <v>null</v>
      </c>
      <c r="R8317" s="33">
        <f>IFERROR(__xludf.DUMMYFUNCTION("""COMPUTED_VALUE"""),1.0)</f>
        <v>1</v>
      </c>
      <c r="S8317" s="4" t="str">
        <f>IFERROR(__xludf.DUMMYFUNCTION("""COMPUTED_VALUE"""),"null")</f>
        <v>null</v>
      </c>
      <c r="T8317" s="33">
        <f>IFERROR(__xludf.DUMMYFUNCTION("""COMPUTED_VALUE"""),1.0)</f>
        <v>1</v>
      </c>
      <c r="U8317" s="4" t="str">
        <f>IFERROR(__xludf.DUMMYFUNCTION("""COMPUTED_VALUE"""),"null")</f>
        <v>null</v>
      </c>
      <c r="V8317" s="33">
        <f>IFERROR(__xludf.DUMMYFUNCTION("""COMPUTED_VALUE"""),1.0)</f>
        <v>1</v>
      </c>
      <c r="W8317" s="4" t="str">
        <f>IFERROR(__xludf.DUMMYFUNCTION("""COMPUTED_VALUE"""),"null")</f>
        <v>null</v>
      </c>
      <c r="X8317" s="33">
        <f>IFERROR(__xludf.DUMMYFUNCTION("""COMPUTED_VALUE"""),1.0)</f>
        <v>1</v>
      </c>
    </row>
    <row r="8318">
      <c r="K8318" s="4" t="str">
        <f>IFERROR(__xludf.DUMMYFUNCTION("""COMPUTED_VALUE"""),"NEW MIMATSU")</f>
        <v>NEW MIMATSU</v>
      </c>
      <c r="L8318" s="32">
        <f>IFERROR(__xludf.DUMMYFUNCTION("""COMPUTED_VALUE"""),1.0)</f>
        <v>1</v>
      </c>
      <c r="M8318" s="4" t="str">
        <f>IFERROR(__xludf.DUMMYFUNCTION("""COMPUTED_VALUE"""),"null")</f>
        <v>null</v>
      </c>
      <c r="N8318" s="33">
        <f>IFERROR(__xludf.DUMMYFUNCTION("""COMPUTED_VALUE"""),1.0)</f>
        <v>1</v>
      </c>
      <c r="O8318" s="4" t="str">
        <f>IFERROR(__xludf.DUMMYFUNCTION("""COMPUTED_VALUE"""),"null")</f>
        <v>null</v>
      </c>
      <c r="P8318" s="33">
        <f>IFERROR(__xludf.DUMMYFUNCTION("""COMPUTED_VALUE"""),1.0)</f>
        <v>1</v>
      </c>
      <c r="Q8318" s="4" t="str">
        <f>IFERROR(__xludf.DUMMYFUNCTION("""COMPUTED_VALUE"""),"null")</f>
        <v>null</v>
      </c>
      <c r="R8318" s="33">
        <f>IFERROR(__xludf.DUMMYFUNCTION("""COMPUTED_VALUE"""),1.0)</f>
        <v>1</v>
      </c>
      <c r="S8318" s="4" t="str">
        <f>IFERROR(__xludf.DUMMYFUNCTION("""COMPUTED_VALUE"""),"null")</f>
        <v>null</v>
      </c>
      <c r="T8318" s="33">
        <f>IFERROR(__xludf.DUMMYFUNCTION("""COMPUTED_VALUE"""),1.0)</f>
        <v>1</v>
      </c>
      <c r="U8318" s="4" t="str">
        <f>IFERROR(__xludf.DUMMYFUNCTION("""COMPUTED_VALUE"""),"Cloudfy")</f>
        <v>Cloudfy</v>
      </c>
      <c r="V8318" s="33">
        <f>IFERROR(__xludf.DUMMYFUNCTION("""COMPUTED_VALUE"""),1.0)</f>
        <v>1</v>
      </c>
      <c r="W8318" s="4" t="str">
        <f>IFERROR(__xludf.DUMMYFUNCTION("""COMPUTED_VALUE"""),"null")</f>
        <v>null</v>
      </c>
      <c r="X8318" s="33">
        <f>IFERROR(__xludf.DUMMYFUNCTION("""COMPUTED_VALUE"""),1.0)</f>
        <v>1</v>
      </c>
    </row>
    <row r="8319">
      <c r="K8319" s="4" t="str">
        <f>IFERROR(__xludf.DUMMYFUNCTION("""COMPUTED_VALUE"""),"MEGA BOM LANCHE")</f>
        <v>MEGA BOM LANCHE</v>
      </c>
      <c r="L8319" s="32">
        <f>IFERROR(__xludf.DUMMYFUNCTION("""COMPUTED_VALUE"""),1.0)</f>
        <v>1</v>
      </c>
      <c r="M8319" s="4" t="str">
        <f>IFERROR(__xludf.DUMMYFUNCTION("""COMPUTED_VALUE"""),"Anota Ai Solucoes Digitais S/a")</f>
        <v>Anota Ai Solucoes Digitais S/a</v>
      </c>
      <c r="N8319" s="33">
        <f>IFERROR(__xludf.DUMMYFUNCTION("""COMPUTED_VALUE"""),1.0)</f>
        <v>1</v>
      </c>
      <c r="O8319" s="4" t="str">
        <f>IFERROR(__xludf.DUMMYFUNCTION("""COMPUTED_VALUE"""),"Anota Ai Solucoes Digitais S/a")</f>
        <v>Anota Ai Solucoes Digitais S/a</v>
      </c>
      <c r="P8319" s="33">
        <f>IFERROR(__xludf.DUMMYFUNCTION("""COMPUTED_VALUE"""),1.0)</f>
        <v>1</v>
      </c>
      <c r="Q8319" s="4" t="str">
        <f>IFERROR(__xludf.DUMMYFUNCTION("""COMPUTED_VALUE"""),"Anota Ai Solucoes Digitais S/a")</f>
        <v>Anota Ai Solucoes Digitais S/a</v>
      </c>
      <c r="R8319" s="33">
        <f>IFERROR(__xludf.DUMMYFUNCTION("""COMPUTED_VALUE"""),1.0)</f>
        <v>1</v>
      </c>
      <c r="S8319" s="4" t="str">
        <f>IFERROR(__xludf.DUMMYFUNCTION("""COMPUTED_VALUE"""),"Anota Ai Solucoes Digitais S/a")</f>
        <v>Anota Ai Solucoes Digitais S/a</v>
      </c>
      <c r="T8319" s="33">
        <f>IFERROR(__xludf.DUMMYFUNCTION("""COMPUTED_VALUE"""),1.0)</f>
        <v>1</v>
      </c>
      <c r="U8319" s="4" t="str">
        <f>IFERROR(__xludf.DUMMYFUNCTION("""COMPUTED_VALUE"""),"null")</f>
        <v>null</v>
      </c>
      <c r="V8319" s="33">
        <f>IFERROR(__xludf.DUMMYFUNCTION("""COMPUTED_VALUE"""),1.0)</f>
        <v>1</v>
      </c>
      <c r="W8319" s="4" t="str">
        <f>IFERROR(__xludf.DUMMYFUNCTION("""COMPUTED_VALUE"""),"null")</f>
        <v>null</v>
      </c>
      <c r="X8319" s="33">
        <f>IFERROR(__xludf.DUMMYFUNCTION("""COMPUTED_VALUE"""),1.0)</f>
        <v>1</v>
      </c>
    </row>
    <row r="8320">
      <c r="K8320" s="4" t="str">
        <f>IFERROR(__xludf.DUMMYFUNCTION("""COMPUTED_VALUE"""),"BAR DO GAUCHO")</f>
        <v>BAR DO GAUCHO</v>
      </c>
      <c r="L8320" s="32">
        <f>IFERROR(__xludf.DUMMYFUNCTION("""COMPUTED_VALUE"""),1.0)</f>
        <v>1</v>
      </c>
      <c r="M8320" s="4" t="str">
        <f>IFERROR(__xludf.DUMMYFUNCTION("""COMPUTED_VALUE"""),"Menew - Linx")</f>
        <v>Menew - Linx</v>
      </c>
      <c r="N8320" s="33">
        <f>IFERROR(__xludf.DUMMYFUNCTION("""COMPUTED_VALUE"""),1.0)</f>
        <v>1</v>
      </c>
      <c r="O8320" s="4" t="str">
        <f>IFERROR(__xludf.DUMMYFUNCTION("""COMPUTED_VALUE"""),"Menew - Linx")</f>
        <v>Menew - Linx</v>
      </c>
      <c r="P8320" s="33">
        <f>IFERROR(__xludf.DUMMYFUNCTION("""COMPUTED_VALUE"""),1.0)</f>
        <v>1</v>
      </c>
      <c r="Q8320" s="4" t="str">
        <f>IFERROR(__xludf.DUMMYFUNCTION("""COMPUTED_VALUE"""),"Menew - Linx")</f>
        <v>Menew - Linx</v>
      </c>
      <c r="R8320" s="33">
        <f>IFERROR(__xludf.DUMMYFUNCTION("""COMPUTED_VALUE"""),1.0)</f>
        <v>1</v>
      </c>
      <c r="S8320" s="4" t="str">
        <f>IFERROR(__xludf.DUMMYFUNCTION("""COMPUTED_VALUE"""),"Menew - Linx")</f>
        <v>Menew - Linx</v>
      </c>
      <c r="T8320" s="33">
        <f>IFERROR(__xludf.DUMMYFUNCTION("""COMPUTED_VALUE"""),1.0)</f>
        <v>1</v>
      </c>
      <c r="U8320" s="4" t="str">
        <f>IFERROR(__xludf.DUMMYFUNCTION("""COMPUTED_VALUE"""),"Menew - Linx")</f>
        <v>Menew - Linx</v>
      </c>
      <c r="V8320" s="33">
        <f>IFERROR(__xludf.DUMMYFUNCTION("""COMPUTED_VALUE"""),1.0)</f>
        <v>1</v>
      </c>
      <c r="W8320" s="4" t="str">
        <f>IFERROR(__xludf.DUMMYFUNCTION("""COMPUTED_VALUE"""),"null")</f>
        <v>null</v>
      </c>
      <c r="X8320" s="33">
        <f>IFERROR(__xludf.DUMMYFUNCTION("""COMPUTED_VALUE"""),1.0)</f>
        <v>1</v>
      </c>
    </row>
    <row r="8321">
      <c r="K8321" s="4" t="str">
        <f>IFERROR(__xludf.DUMMYFUNCTION("""COMPUTED_VALUE"""),"EMPORIO BROWNIE SUL")</f>
        <v>EMPORIO BROWNIE SUL</v>
      </c>
      <c r="L8321" s="32">
        <f>IFERROR(__xludf.DUMMYFUNCTION("""COMPUTED_VALUE"""),1.0)</f>
        <v>1</v>
      </c>
      <c r="M8321" s="4" t="str">
        <f>IFERROR(__xludf.DUMMYFUNCTION("""COMPUTED_VALUE"""),"E-deploy Retail")</f>
        <v>E-deploy Retail</v>
      </c>
      <c r="N8321" s="33">
        <f>IFERROR(__xludf.DUMMYFUNCTION("""COMPUTED_VALUE"""),1.0)</f>
        <v>1</v>
      </c>
      <c r="O8321" s="4" t="str">
        <f>IFERROR(__xludf.DUMMYFUNCTION("""COMPUTED_VALUE"""),"E-deploy Retail")</f>
        <v>E-deploy Retail</v>
      </c>
      <c r="P8321" s="33">
        <f>IFERROR(__xludf.DUMMYFUNCTION("""COMPUTED_VALUE"""),1.0)</f>
        <v>1</v>
      </c>
      <c r="Q8321" s="4" t="str">
        <f>IFERROR(__xludf.DUMMYFUNCTION("""COMPUTED_VALUE"""),"E-deploy Retail")</f>
        <v>E-deploy Retail</v>
      </c>
      <c r="R8321" s="33">
        <f>IFERROR(__xludf.DUMMYFUNCTION("""COMPUTED_VALUE"""),1.0)</f>
        <v>1</v>
      </c>
      <c r="S8321" s="4" t="str">
        <f>IFERROR(__xludf.DUMMYFUNCTION("""COMPUTED_VALUE"""),"E-deploy Retail")</f>
        <v>E-deploy Retail</v>
      </c>
      <c r="T8321" s="33">
        <f>IFERROR(__xludf.DUMMYFUNCTION("""COMPUTED_VALUE"""),1.0)</f>
        <v>1</v>
      </c>
      <c r="U8321" s="4" t="str">
        <f>IFERROR(__xludf.DUMMYFUNCTION("""COMPUTED_VALUE"""),"E-deploy Retail")</f>
        <v>E-deploy Retail</v>
      </c>
      <c r="V8321" s="33">
        <f>IFERROR(__xludf.DUMMYFUNCTION("""COMPUTED_VALUE"""),1.0)</f>
        <v>1</v>
      </c>
      <c r="W8321" s="4" t="str">
        <f>IFERROR(__xludf.DUMMYFUNCTION("""COMPUTED_VALUE"""),"E-deploy Retail")</f>
        <v>E-deploy Retail</v>
      </c>
      <c r="X8321" s="33">
        <f>IFERROR(__xludf.DUMMYFUNCTION("""COMPUTED_VALUE"""),1.0)</f>
        <v>1</v>
      </c>
    </row>
    <row r="8322">
      <c r="K8322" s="4" t="str">
        <f>IFERROR(__xludf.DUMMYFUNCTION("""COMPUTED_VALUE"""),"DAMASCO DOCERIA")</f>
        <v>DAMASCO DOCERIA</v>
      </c>
      <c r="L8322" s="32">
        <f>IFERROR(__xludf.DUMMYFUNCTION("""COMPUTED_VALUE"""),1.0)</f>
        <v>1</v>
      </c>
      <c r="M8322" s="4" t="str">
        <f>IFERROR(__xludf.DUMMYFUNCTION("""COMPUTED_VALUE"""),"Mp Multipedidos")</f>
        <v>Mp Multipedidos</v>
      </c>
      <c r="N8322" s="33">
        <f>IFERROR(__xludf.DUMMYFUNCTION("""COMPUTED_VALUE"""),1.0)</f>
        <v>1</v>
      </c>
      <c r="O8322" s="4" t="str">
        <f>IFERROR(__xludf.DUMMYFUNCTION("""COMPUTED_VALUE"""),"Mp Multipedidos")</f>
        <v>Mp Multipedidos</v>
      </c>
      <c r="P8322" s="33">
        <f>IFERROR(__xludf.DUMMYFUNCTION("""COMPUTED_VALUE"""),1.0)</f>
        <v>1</v>
      </c>
      <c r="Q8322" s="4" t="str">
        <f>IFERROR(__xludf.DUMMYFUNCTION("""COMPUTED_VALUE"""),"Mp Multipedidos")</f>
        <v>Mp Multipedidos</v>
      </c>
      <c r="R8322" s="33">
        <f>IFERROR(__xludf.DUMMYFUNCTION("""COMPUTED_VALUE"""),1.0)</f>
        <v>1</v>
      </c>
      <c r="S8322" s="4" t="str">
        <f>IFERROR(__xludf.DUMMYFUNCTION("""COMPUTED_VALUE"""),"Mp Multipedidos")</f>
        <v>Mp Multipedidos</v>
      </c>
      <c r="T8322" s="33">
        <f>IFERROR(__xludf.DUMMYFUNCTION("""COMPUTED_VALUE"""),1.0)</f>
        <v>1</v>
      </c>
      <c r="U8322" s="4" t="str">
        <f>IFERROR(__xludf.DUMMYFUNCTION("""COMPUTED_VALUE"""),"Mp Multipedidos")</f>
        <v>Mp Multipedidos</v>
      </c>
      <c r="V8322" s="33">
        <f>IFERROR(__xludf.DUMMYFUNCTION("""COMPUTED_VALUE"""),1.0)</f>
        <v>1</v>
      </c>
      <c r="W8322" s="4" t="str">
        <f>IFERROR(__xludf.DUMMYFUNCTION("""COMPUTED_VALUE"""),"Mp Multipedidos")</f>
        <v>Mp Multipedidos</v>
      </c>
      <c r="X8322" s="33">
        <f>IFERROR(__xludf.DUMMYFUNCTION("""COMPUTED_VALUE"""),1.0)</f>
        <v>1</v>
      </c>
    </row>
    <row r="8323">
      <c r="K8323" s="4" t="str">
        <f>IFERROR(__xludf.DUMMYFUNCTION("""COMPUTED_VALUE"""),"JULIO LANCHES E ACAI")</f>
        <v>JULIO LANCHES E ACAI</v>
      </c>
      <c r="L8323" s="32">
        <f>IFERROR(__xludf.DUMMYFUNCTION("""COMPUTED_VALUE"""),1.0)</f>
        <v>1</v>
      </c>
      <c r="M8323" s="4" t="str">
        <f>IFERROR(__xludf.DUMMYFUNCTION("""COMPUTED_VALUE"""),"Cityfoods Ltda")</f>
        <v>Cityfoods Ltda</v>
      </c>
      <c r="N8323" s="33">
        <f>IFERROR(__xludf.DUMMYFUNCTION("""COMPUTED_VALUE"""),1.0)</f>
        <v>1</v>
      </c>
      <c r="O8323" s="4" t="str">
        <f>IFERROR(__xludf.DUMMYFUNCTION("""COMPUTED_VALUE"""),"null")</f>
        <v>null</v>
      </c>
      <c r="P8323" s="33">
        <f>IFERROR(__xludf.DUMMYFUNCTION("""COMPUTED_VALUE"""),1.0)</f>
        <v>1</v>
      </c>
      <c r="Q8323" s="4" t="str">
        <f>IFERROR(__xludf.DUMMYFUNCTION("""COMPUTED_VALUE"""),"null")</f>
        <v>null</v>
      </c>
      <c r="R8323" s="33">
        <f>IFERROR(__xludf.DUMMYFUNCTION("""COMPUTED_VALUE"""),1.0)</f>
        <v>1</v>
      </c>
      <c r="S8323" s="4" t="str">
        <f>IFERROR(__xludf.DUMMYFUNCTION("""COMPUTED_VALUE"""),"null")</f>
        <v>null</v>
      </c>
      <c r="T8323" s="33">
        <f>IFERROR(__xludf.DUMMYFUNCTION("""COMPUTED_VALUE"""),1.0)</f>
        <v>1</v>
      </c>
      <c r="U8323" s="4" t="str">
        <f>IFERROR(__xludf.DUMMYFUNCTION("""COMPUTED_VALUE"""),"null")</f>
        <v>null</v>
      </c>
      <c r="V8323" s="33">
        <f>IFERROR(__xludf.DUMMYFUNCTION("""COMPUTED_VALUE"""),1.0)</f>
        <v>1</v>
      </c>
      <c r="W8323" s="4" t="str">
        <f>IFERROR(__xludf.DUMMYFUNCTION("""COMPUTED_VALUE"""),"null")</f>
        <v>null</v>
      </c>
      <c r="X8323" s="33">
        <f>IFERROR(__xludf.DUMMYFUNCTION("""COMPUTED_VALUE"""),1.0)</f>
        <v>1</v>
      </c>
    </row>
    <row r="8324">
      <c r="K8324" s="4" t="str">
        <f>IFERROR(__xludf.DUMMYFUNCTION("""COMPUTED_VALUE"""),"RESTAURANTE DO SAPAO")</f>
        <v>RESTAURANTE DO SAPAO</v>
      </c>
      <c r="L8324" s="32">
        <f>IFERROR(__xludf.DUMMYFUNCTION("""COMPUTED_VALUE"""),1.0)</f>
        <v>1</v>
      </c>
      <c r="M8324" s="4" t="str">
        <f>IFERROR(__xludf.DUMMYFUNCTION("""COMPUTED_VALUE"""),"Saipos Serviços De Software")</f>
        <v>Saipos Serviços De Software</v>
      </c>
      <c r="N8324" s="33">
        <f>IFERROR(__xludf.DUMMYFUNCTION("""COMPUTED_VALUE"""),1.0)</f>
        <v>1</v>
      </c>
      <c r="O8324" s="4" t="str">
        <f>IFERROR(__xludf.DUMMYFUNCTION("""COMPUTED_VALUE"""),"Saipos Serviços De Software")</f>
        <v>Saipos Serviços De Software</v>
      </c>
      <c r="P8324" s="33">
        <f>IFERROR(__xludf.DUMMYFUNCTION("""COMPUTED_VALUE"""),1.0)</f>
        <v>1</v>
      </c>
      <c r="Q8324" s="4" t="str">
        <f>IFERROR(__xludf.DUMMYFUNCTION("""COMPUTED_VALUE"""),"Saipos Serviços De Software")</f>
        <v>Saipos Serviços De Software</v>
      </c>
      <c r="R8324" s="33">
        <f>IFERROR(__xludf.DUMMYFUNCTION("""COMPUTED_VALUE"""),1.0)</f>
        <v>1</v>
      </c>
      <c r="S8324" s="4" t="str">
        <f>IFERROR(__xludf.DUMMYFUNCTION("""COMPUTED_VALUE"""),"Saipos Serviços De Software")</f>
        <v>Saipos Serviços De Software</v>
      </c>
      <c r="T8324" s="33">
        <f>IFERROR(__xludf.DUMMYFUNCTION("""COMPUTED_VALUE"""),1.0)</f>
        <v>1</v>
      </c>
      <c r="U8324" s="4" t="str">
        <f>IFERROR(__xludf.DUMMYFUNCTION("""COMPUTED_VALUE"""),"Saipos Serviços De Software")</f>
        <v>Saipos Serviços De Software</v>
      </c>
      <c r="V8324" s="33">
        <f>IFERROR(__xludf.DUMMYFUNCTION("""COMPUTED_VALUE"""),1.0)</f>
        <v>1</v>
      </c>
      <c r="W8324" s="4" t="str">
        <f>IFERROR(__xludf.DUMMYFUNCTION("""COMPUTED_VALUE"""),"Saipos Serviços De Software")</f>
        <v>Saipos Serviços De Software</v>
      </c>
      <c r="X8324" s="33">
        <f>IFERROR(__xludf.DUMMYFUNCTION("""COMPUTED_VALUE"""),1.0)</f>
        <v>1</v>
      </c>
    </row>
    <row r="8325">
      <c r="K8325" s="4" t="str">
        <f>IFERROR(__xludf.DUMMYFUNCTION("""COMPUTED_VALUE"""),"X-DOGAO")</f>
        <v>X-DOGAO</v>
      </c>
      <c r="L8325" s="32">
        <f>IFERROR(__xludf.DUMMYFUNCTION("""COMPUTED_VALUE"""),1.0)</f>
        <v>1</v>
      </c>
      <c r="M8325" s="4" t="str">
        <f>IFERROR(__xludf.DUMMYFUNCTION("""COMPUTED_VALUE"""),"Instadelivery")</f>
        <v>Instadelivery</v>
      </c>
      <c r="N8325" s="33">
        <f>IFERROR(__xludf.DUMMYFUNCTION("""COMPUTED_VALUE"""),1.0)</f>
        <v>1</v>
      </c>
      <c r="O8325" s="4" t="str">
        <f>IFERROR(__xludf.DUMMYFUNCTION("""COMPUTED_VALUE"""),"Instadelivery")</f>
        <v>Instadelivery</v>
      </c>
      <c r="P8325" s="33">
        <f>IFERROR(__xludf.DUMMYFUNCTION("""COMPUTED_VALUE"""),1.0)</f>
        <v>1</v>
      </c>
      <c r="Q8325" s="4" t="str">
        <f>IFERROR(__xludf.DUMMYFUNCTION("""COMPUTED_VALUE"""),"Instadelivery")</f>
        <v>Instadelivery</v>
      </c>
      <c r="R8325" s="33">
        <f>IFERROR(__xludf.DUMMYFUNCTION("""COMPUTED_VALUE"""),1.0)</f>
        <v>1</v>
      </c>
      <c r="S8325" s="4" t="str">
        <f>IFERROR(__xludf.DUMMYFUNCTION("""COMPUTED_VALUE"""),"Instadelivery")</f>
        <v>Instadelivery</v>
      </c>
      <c r="T8325" s="33">
        <f>IFERROR(__xludf.DUMMYFUNCTION("""COMPUTED_VALUE"""),1.0)</f>
        <v>1</v>
      </c>
      <c r="U8325" s="4" t="str">
        <f>IFERROR(__xludf.DUMMYFUNCTION("""COMPUTED_VALUE"""),"Instadelivery")</f>
        <v>Instadelivery</v>
      </c>
      <c r="V8325" s="33">
        <f>IFERROR(__xludf.DUMMYFUNCTION("""COMPUTED_VALUE"""),1.0)</f>
        <v>1</v>
      </c>
      <c r="W8325" s="4" t="str">
        <f>IFERROR(__xludf.DUMMYFUNCTION("""COMPUTED_VALUE"""),"Instadelivery")</f>
        <v>Instadelivery</v>
      </c>
      <c r="X8325" s="33">
        <f>IFERROR(__xludf.DUMMYFUNCTION("""COMPUTED_VALUE"""),1.0)</f>
        <v>1</v>
      </c>
    </row>
    <row r="8326">
      <c r="K8326" s="4" t="str">
        <f>IFERROR(__xludf.DUMMYFUNCTION("""COMPUTED_VALUE"""),"COMO BURGER - HAMBURGUERIA ETAPA A")</f>
        <v>COMO BURGER - HAMBURGUERIA ETAPA A</v>
      </c>
      <c r="L8326" s="32">
        <f>IFERROR(__xludf.DUMMYFUNCTION("""COMPUTED_VALUE"""),1.0)</f>
        <v>1</v>
      </c>
      <c r="M8326" s="4" t="str">
        <f>IFERROR(__xludf.DUMMYFUNCTION("""COMPUTED_VALUE"""),"Saipos Serviços De Software")</f>
        <v>Saipos Serviços De Software</v>
      </c>
      <c r="N8326" s="33">
        <f>IFERROR(__xludf.DUMMYFUNCTION("""COMPUTED_VALUE"""),1.0)</f>
        <v>1</v>
      </c>
      <c r="O8326" s="4" t="str">
        <f>IFERROR(__xludf.DUMMYFUNCTION("""COMPUTED_VALUE"""),"Saipos Serviços De Software")</f>
        <v>Saipos Serviços De Software</v>
      </c>
      <c r="P8326" s="33">
        <f>IFERROR(__xludf.DUMMYFUNCTION("""COMPUTED_VALUE"""),1.0)</f>
        <v>1</v>
      </c>
      <c r="Q8326" s="4" t="str">
        <f>IFERROR(__xludf.DUMMYFUNCTION("""COMPUTED_VALUE"""),"Saipos Serviços De Software")</f>
        <v>Saipos Serviços De Software</v>
      </c>
      <c r="R8326" s="33">
        <f>IFERROR(__xludf.DUMMYFUNCTION("""COMPUTED_VALUE"""),1.0)</f>
        <v>1</v>
      </c>
      <c r="S8326" s="4" t="str">
        <f>IFERROR(__xludf.DUMMYFUNCTION("""COMPUTED_VALUE"""),"Saipos Serviços De Software")</f>
        <v>Saipos Serviços De Software</v>
      </c>
      <c r="T8326" s="33">
        <f>IFERROR(__xludf.DUMMYFUNCTION("""COMPUTED_VALUE"""),1.0)</f>
        <v>1</v>
      </c>
      <c r="U8326" s="4" t="str">
        <f>IFERROR(__xludf.DUMMYFUNCTION("""COMPUTED_VALUE"""),"Saipos Serviços De Software")</f>
        <v>Saipos Serviços De Software</v>
      </c>
      <c r="V8326" s="33">
        <f>IFERROR(__xludf.DUMMYFUNCTION("""COMPUTED_VALUE"""),1.0)</f>
        <v>1</v>
      </c>
      <c r="W8326" s="4" t="str">
        <f>IFERROR(__xludf.DUMMYFUNCTION("""COMPUTED_VALUE"""),"Saipos Serviços De Software")</f>
        <v>Saipos Serviços De Software</v>
      </c>
      <c r="X8326" s="33">
        <f>IFERROR(__xludf.DUMMYFUNCTION("""COMPUTED_VALUE"""),1.0)</f>
        <v>1</v>
      </c>
    </row>
    <row r="8327">
      <c r="K8327" s="4" t="str">
        <f>IFERROR(__xludf.DUMMYFUNCTION("""COMPUTED_VALUE"""),"IMPERIO DA TAPIOCA")</f>
        <v>IMPERIO DA TAPIOCA</v>
      </c>
      <c r="L8327" s="32">
        <f>IFERROR(__xludf.DUMMYFUNCTION("""COMPUTED_VALUE"""),1.0)</f>
        <v>1</v>
      </c>
      <c r="M8327" s="4" t="str">
        <f>IFERROR(__xludf.DUMMYFUNCTION("""COMPUTED_VALUE"""),"Fudo Soluciones Sas")</f>
        <v>Fudo Soluciones Sas</v>
      </c>
      <c r="N8327" s="33">
        <f>IFERROR(__xludf.DUMMYFUNCTION("""COMPUTED_VALUE"""),1.0)</f>
        <v>1</v>
      </c>
      <c r="O8327" s="4" t="str">
        <f>IFERROR(__xludf.DUMMYFUNCTION("""COMPUTED_VALUE"""),"Fudo Soluciones Sas")</f>
        <v>Fudo Soluciones Sas</v>
      </c>
      <c r="P8327" s="33">
        <f>IFERROR(__xludf.DUMMYFUNCTION("""COMPUTED_VALUE"""),1.0)</f>
        <v>1</v>
      </c>
      <c r="Q8327" s="4" t="str">
        <f>IFERROR(__xludf.DUMMYFUNCTION("""COMPUTED_VALUE"""),"Fudo Soluciones Sas")</f>
        <v>Fudo Soluciones Sas</v>
      </c>
      <c r="R8327" s="33">
        <f>IFERROR(__xludf.DUMMYFUNCTION("""COMPUTED_VALUE"""),1.0)</f>
        <v>1</v>
      </c>
      <c r="S8327" s="4" t="str">
        <f>IFERROR(__xludf.DUMMYFUNCTION("""COMPUTED_VALUE"""),"Fudo Soluciones Sas")</f>
        <v>Fudo Soluciones Sas</v>
      </c>
      <c r="T8327" s="33">
        <f>IFERROR(__xludf.DUMMYFUNCTION("""COMPUTED_VALUE"""),1.0)</f>
        <v>1</v>
      </c>
      <c r="U8327" s="4" t="str">
        <f>IFERROR(__xludf.DUMMYFUNCTION("""COMPUTED_VALUE"""),"Fudo Soluciones Sas")</f>
        <v>Fudo Soluciones Sas</v>
      </c>
      <c r="V8327" s="33">
        <f>IFERROR(__xludf.DUMMYFUNCTION("""COMPUTED_VALUE"""),1.0)</f>
        <v>1</v>
      </c>
      <c r="W8327" s="4" t="str">
        <f>IFERROR(__xludf.DUMMYFUNCTION("""COMPUTED_VALUE"""),"Fudo Soluciones Sas")</f>
        <v>Fudo Soluciones Sas</v>
      </c>
      <c r="X8327" s="33">
        <f>IFERROR(__xludf.DUMMYFUNCTION("""COMPUTED_VALUE"""),1.0)</f>
        <v>1</v>
      </c>
    </row>
    <row r="8328">
      <c r="K8328" s="4" t="str">
        <f>IFERROR(__xludf.DUMMYFUNCTION("""COMPUTED_VALUE"""),"PIZZARIA BARONE - PIZZA FORNO A LENHA")</f>
        <v>PIZZARIA BARONE - PIZZA FORNO A LENHA</v>
      </c>
      <c r="L8328" s="32">
        <f>IFERROR(__xludf.DUMMYFUNCTION("""COMPUTED_VALUE"""),1.0)</f>
        <v>1</v>
      </c>
      <c r="M8328" s="4" t="str">
        <f>IFERROR(__xludf.DUMMYFUNCTION("""COMPUTED_VALUE"""),"null")</f>
        <v>null</v>
      </c>
      <c r="N8328" s="33">
        <f>IFERROR(__xludf.DUMMYFUNCTION("""COMPUTED_VALUE"""),1.0)</f>
        <v>1</v>
      </c>
      <c r="O8328" s="4" t="str">
        <f>IFERROR(__xludf.DUMMYFUNCTION("""COMPUTED_VALUE"""),"Cardápio Web")</f>
        <v>Cardápio Web</v>
      </c>
      <c r="P8328" s="33">
        <f>IFERROR(__xludf.DUMMYFUNCTION("""COMPUTED_VALUE"""),1.0)</f>
        <v>1</v>
      </c>
      <c r="Q8328" s="4" t="str">
        <f>IFERROR(__xludf.DUMMYFUNCTION("""COMPUTED_VALUE"""),"null")</f>
        <v>null</v>
      </c>
      <c r="R8328" s="33">
        <f>IFERROR(__xludf.DUMMYFUNCTION("""COMPUTED_VALUE"""),1.0)</f>
        <v>1</v>
      </c>
      <c r="S8328" s="4" t="str">
        <f>IFERROR(__xludf.DUMMYFUNCTION("""COMPUTED_VALUE"""),"Cardápio Web")</f>
        <v>Cardápio Web</v>
      </c>
      <c r="T8328" s="33">
        <f>IFERROR(__xludf.DUMMYFUNCTION("""COMPUTED_VALUE"""),1.0)</f>
        <v>1</v>
      </c>
      <c r="U8328" s="4" t="str">
        <f>IFERROR(__xludf.DUMMYFUNCTION("""COMPUTED_VALUE"""),"null")</f>
        <v>null</v>
      </c>
      <c r="V8328" s="33">
        <f>IFERROR(__xludf.DUMMYFUNCTION("""COMPUTED_VALUE"""),1.0)</f>
        <v>1</v>
      </c>
      <c r="W8328" s="4" t="str">
        <f>IFERROR(__xludf.DUMMYFUNCTION("""COMPUTED_VALUE"""),"Cardápio Web")</f>
        <v>Cardápio Web</v>
      </c>
      <c r="X8328" s="33">
        <f>IFERROR(__xludf.DUMMYFUNCTION("""COMPUTED_VALUE"""),1.0)</f>
        <v>1</v>
      </c>
    </row>
    <row r="8329">
      <c r="K8329" s="4" t="str">
        <f>IFERROR(__xludf.DUMMYFUNCTION("""COMPUTED_VALUE"""),"BUONA MASSA - MACARRAO LASANHA STROGONOF")</f>
        <v>BUONA MASSA - MACARRAO LASANHA STROGONOF</v>
      </c>
      <c r="L8329" s="32">
        <f>IFERROR(__xludf.DUMMYFUNCTION("""COMPUTED_VALUE"""),1.0)</f>
        <v>1</v>
      </c>
      <c r="M8329" s="4" t="str">
        <f>IFERROR(__xludf.DUMMYFUNCTION("""COMPUTED_VALUE"""),"Alfa Labs")</f>
        <v>Alfa Labs</v>
      </c>
      <c r="N8329" s="33">
        <f>IFERROR(__xludf.DUMMYFUNCTION("""COMPUTED_VALUE"""),1.0)</f>
        <v>1</v>
      </c>
      <c r="O8329" s="4" t="str">
        <f>IFERROR(__xludf.DUMMYFUNCTION("""COMPUTED_VALUE"""),"Alfa Labs")</f>
        <v>Alfa Labs</v>
      </c>
      <c r="P8329" s="33">
        <f>IFERROR(__xludf.DUMMYFUNCTION("""COMPUTED_VALUE"""),1.0)</f>
        <v>1</v>
      </c>
      <c r="Q8329" s="4" t="str">
        <f>IFERROR(__xludf.DUMMYFUNCTION("""COMPUTED_VALUE"""),"null")</f>
        <v>null</v>
      </c>
      <c r="R8329" s="33">
        <f>IFERROR(__xludf.DUMMYFUNCTION("""COMPUTED_VALUE"""),1.0)</f>
        <v>1</v>
      </c>
      <c r="S8329" s="4" t="str">
        <f>IFERROR(__xludf.DUMMYFUNCTION("""COMPUTED_VALUE"""),"null")</f>
        <v>null</v>
      </c>
      <c r="T8329" s="33">
        <f>IFERROR(__xludf.DUMMYFUNCTION("""COMPUTED_VALUE"""),1.0)</f>
        <v>1</v>
      </c>
      <c r="U8329" s="4" t="str">
        <f>IFERROR(__xludf.DUMMYFUNCTION("""COMPUTED_VALUE"""),"null")</f>
        <v>null</v>
      </c>
      <c r="V8329" s="33">
        <f>IFERROR(__xludf.DUMMYFUNCTION("""COMPUTED_VALUE"""),1.0)</f>
        <v>1</v>
      </c>
      <c r="W8329" s="4" t="str">
        <f>IFERROR(__xludf.DUMMYFUNCTION("""COMPUTED_VALUE"""),"null")</f>
        <v>null</v>
      </c>
      <c r="X8329" s="33">
        <f>IFERROR(__xludf.DUMMYFUNCTION("""COMPUTED_VALUE"""),1.0)</f>
        <v>1</v>
      </c>
    </row>
    <row r="8330">
      <c r="K8330" s="4" t="str">
        <f>IFERROR(__xludf.DUMMYFUNCTION("""COMPUTED_VALUE"""),"AIPO E AIPIM")</f>
        <v>AIPO E AIPIM</v>
      </c>
      <c r="L8330" s="32">
        <f>IFERROR(__xludf.DUMMYFUNCTION("""COMPUTED_VALUE"""),1.0)</f>
        <v>1</v>
      </c>
      <c r="M8330" s="4" t="str">
        <f>IFERROR(__xludf.DUMMYFUNCTION("""COMPUTED_VALUE"""),"Netcontroll Xmenu")</f>
        <v>Netcontroll Xmenu</v>
      </c>
      <c r="N8330" s="33">
        <f>IFERROR(__xludf.DUMMYFUNCTION("""COMPUTED_VALUE"""),1.0)</f>
        <v>1</v>
      </c>
      <c r="O8330" s="4" t="str">
        <f>IFERROR(__xludf.DUMMYFUNCTION("""COMPUTED_VALUE"""),"Netcontroll Xmenu")</f>
        <v>Netcontroll Xmenu</v>
      </c>
      <c r="P8330" s="33">
        <f>IFERROR(__xludf.DUMMYFUNCTION("""COMPUTED_VALUE"""),1.0)</f>
        <v>1</v>
      </c>
      <c r="Q8330" s="4" t="str">
        <f>IFERROR(__xludf.DUMMYFUNCTION("""COMPUTED_VALUE"""),"Netcontroll Xmenu")</f>
        <v>Netcontroll Xmenu</v>
      </c>
      <c r="R8330" s="33">
        <f>IFERROR(__xludf.DUMMYFUNCTION("""COMPUTED_VALUE"""),1.0)</f>
        <v>1</v>
      </c>
      <c r="S8330" s="4" t="str">
        <f>IFERROR(__xludf.DUMMYFUNCTION("""COMPUTED_VALUE"""),"Netcontroll Xmenu")</f>
        <v>Netcontroll Xmenu</v>
      </c>
      <c r="T8330" s="33">
        <f>IFERROR(__xludf.DUMMYFUNCTION("""COMPUTED_VALUE"""),1.0)</f>
        <v>1</v>
      </c>
      <c r="U8330" s="4" t="str">
        <f>IFERROR(__xludf.DUMMYFUNCTION("""COMPUTED_VALUE"""),"Netcontroll Xmenu")</f>
        <v>Netcontroll Xmenu</v>
      </c>
      <c r="V8330" s="33">
        <f>IFERROR(__xludf.DUMMYFUNCTION("""COMPUTED_VALUE"""),1.0)</f>
        <v>1</v>
      </c>
      <c r="W8330" s="4" t="str">
        <f>IFERROR(__xludf.DUMMYFUNCTION("""COMPUTED_VALUE"""),"Netcontroll Xmenu")</f>
        <v>Netcontroll Xmenu</v>
      </c>
      <c r="X8330" s="33">
        <f>IFERROR(__xludf.DUMMYFUNCTION("""COMPUTED_VALUE"""),1.0)</f>
        <v>1</v>
      </c>
    </row>
    <row r="8331">
      <c r="K8331" s="4" t="str">
        <f>IFERROR(__xludf.DUMMYFUNCTION("""COMPUTED_VALUE"""),"OUT DOG LANCHES - HOT DOG")</f>
        <v>OUT DOG LANCHES - HOT DOG</v>
      </c>
      <c r="L8331" s="32">
        <f>IFERROR(__xludf.DUMMYFUNCTION("""COMPUTED_VALUE"""),1.0)</f>
        <v>1</v>
      </c>
      <c r="M8331" s="4" t="str">
        <f>IFERROR(__xludf.DUMMYFUNCTION("""COMPUTED_VALUE"""),"Sagres Automação Comercial")</f>
        <v>Sagres Automação Comercial</v>
      </c>
      <c r="N8331" s="33">
        <f>IFERROR(__xludf.DUMMYFUNCTION("""COMPUTED_VALUE"""),1.0)</f>
        <v>1</v>
      </c>
      <c r="O8331" s="4" t="str">
        <f>IFERROR(__xludf.DUMMYFUNCTION("""COMPUTED_VALUE"""),"Sagres Automação Comercial")</f>
        <v>Sagres Automação Comercial</v>
      </c>
      <c r="P8331" s="33">
        <f>IFERROR(__xludf.DUMMYFUNCTION("""COMPUTED_VALUE"""),1.0)</f>
        <v>1</v>
      </c>
      <c r="Q8331" s="4" t="str">
        <f>IFERROR(__xludf.DUMMYFUNCTION("""COMPUTED_VALUE"""),"Sagres Automação Comercial")</f>
        <v>Sagres Automação Comercial</v>
      </c>
      <c r="R8331" s="33">
        <f>IFERROR(__xludf.DUMMYFUNCTION("""COMPUTED_VALUE"""),1.0)</f>
        <v>1</v>
      </c>
      <c r="S8331" s="4" t="str">
        <f>IFERROR(__xludf.DUMMYFUNCTION("""COMPUTED_VALUE"""),"Sagres Automação Comercial")</f>
        <v>Sagres Automação Comercial</v>
      </c>
      <c r="T8331" s="33">
        <f>IFERROR(__xludf.DUMMYFUNCTION("""COMPUTED_VALUE"""),1.0)</f>
        <v>1</v>
      </c>
      <c r="U8331" s="4" t="str">
        <f>IFERROR(__xludf.DUMMYFUNCTION("""COMPUTED_VALUE"""),"Sagres Automação Comercial")</f>
        <v>Sagres Automação Comercial</v>
      </c>
      <c r="V8331" s="33">
        <f>IFERROR(__xludf.DUMMYFUNCTION("""COMPUTED_VALUE"""),1.0)</f>
        <v>1</v>
      </c>
      <c r="W8331" s="4" t="str">
        <f>IFERROR(__xludf.DUMMYFUNCTION("""COMPUTED_VALUE"""),"Sagres Automação Comercial")</f>
        <v>Sagres Automação Comercial</v>
      </c>
      <c r="X8331" s="33">
        <f>IFERROR(__xludf.DUMMYFUNCTION("""COMPUTED_VALUE"""),1.0)</f>
        <v>1</v>
      </c>
    </row>
    <row r="8332">
      <c r="K8332" s="4" t="str">
        <f>IFERROR(__xludf.DUMMYFUNCTION("""COMPUTED_VALUE"""),"DOCEVILLE - DOCES SALGADOSKIT FESTA")</f>
        <v>DOCEVILLE - DOCES SALGADOSKIT FESTA</v>
      </c>
      <c r="L8332" s="32">
        <f>IFERROR(__xludf.DUMMYFUNCTION("""COMPUTED_VALUE"""),1.0)</f>
        <v>1</v>
      </c>
      <c r="M8332" s="4" t="str">
        <f>IFERROR(__xludf.DUMMYFUNCTION("""COMPUTED_VALUE"""),"null")</f>
        <v>null</v>
      </c>
      <c r="N8332" s="33">
        <f>IFERROR(__xludf.DUMMYFUNCTION("""COMPUTED_VALUE"""),1.0)</f>
        <v>1</v>
      </c>
      <c r="O8332" s="4" t="str">
        <f>IFERROR(__xludf.DUMMYFUNCTION("""COMPUTED_VALUE"""),"L&amp;f Tecnologia Sistemas E Comercio Ltda")</f>
        <v>L&amp;f Tecnologia Sistemas E Comercio Ltda</v>
      </c>
      <c r="P8332" s="33">
        <f>IFERROR(__xludf.DUMMYFUNCTION("""COMPUTED_VALUE"""),1.0)</f>
        <v>1</v>
      </c>
      <c r="Q8332" s="4" t="str">
        <f>IFERROR(__xludf.DUMMYFUNCTION("""COMPUTED_VALUE"""),"L&amp;f Tecnologia Sistemas E Comercio Ltda")</f>
        <v>L&amp;f Tecnologia Sistemas E Comercio Ltda</v>
      </c>
      <c r="R8332" s="33">
        <f>IFERROR(__xludf.DUMMYFUNCTION("""COMPUTED_VALUE"""),1.0)</f>
        <v>1</v>
      </c>
      <c r="S8332" s="4" t="str">
        <f>IFERROR(__xludf.DUMMYFUNCTION("""COMPUTED_VALUE"""),"L&amp;f Tecnologia Sistemas E Comercio Ltda")</f>
        <v>L&amp;f Tecnologia Sistemas E Comercio Ltda</v>
      </c>
      <c r="T8332" s="33">
        <f>IFERROR(__xludf.DUMMYFUNCTION("""COMPUTED_VALUE"""),1.0)</f>
        <v>1</v>
      </c>
      <c r="U8332" s="4" t="str">
        <f>IFERROR(__xludf.DUMMYFUNCTION("""COMPUTED_VALUE"""),"null")</f>
        <v>null</v>
      </c>
      <c r="V8332" s="33">
        <f>IFERROR(__xludf.DUMMYFUNCTION("""COMPUTED_VALUE"""),1.0)</f>
        <v>1</v>
      </c>
      <c r="W8332" s="4" t="str">
        <f>IFERROR(__xludf.DUMMYFUNCTION("""COMPUTED_VALUE"""),"null")</f>
        <v>null</v>
      </c>
      <c r="X8332" s="33">
        <f>IFERROR(__xludf.DUMMYFUNCTION("""COMPUTED_VALUE"""),1.0)</f>
        <v>1</v>
      </c>
    </row>
    <row r="8333">
      <c r="K8333" s="4" t="str">
        <f>IFERROR(__xludf.DUMMYFUNCTION("""COMPUTED_VALUE"""),"PALACIO DAS VELAS")</f>
        <v>PALACIO DAS VELAS</v>
      </c>
      <c r="L8333" s="32">
        <f>IFERROR(__xludf.DUMMYFUNCTION("""COMPUTED_VALUE"""),1.0)</f>
        <v>1</v>
      </c>
      <c r="M8333" s="4" t="str">
        <f>IFERROR(__xludf.DUMMYFUNCTION("""COMPUTED_VALUE"""),"N/A (Not found)")</f>
        <v>N/A (Not found)</v>
      </c>
      <c r="N8333" s="33">
        <f>IFERROR(__xludf.DUMMYFUNCTION("""COMPUTED_VALUE"""),1.0)</f>
        <v>1</v>
      </c>
      <c r="O8333" s="4" t="str">
        <f>IFERROR(__xludf.DUMMYFUNCTION("""COMPUTED_VALUE"""),"N/A (Not found)")</f>
        <v>N/A (Not found)</v>
      </c>
      <c r="P8333" s="33">
        <f>IFERROR(__xludf.DUMMYFUNCTION("""COMPUTED_VALUE"""),1.0)</f>
        <v>1</v>
      </c>
      <c r="Q8333" s="4" t="str">
        <f>IFERROR(__xludf.DUMMYFUNCTION("""COMPUTED_VALUE"""),"N/A (Not found)")</f>
        <v>N/A (Not found)</v>
      </c>
      <c r="R8333" s="33">
        <f>IFERROR(__xludf.DUMMYFUNCTION("""COMPUTED_VALUE"""),1.0)</f>
        <v>1</v>
      </c>
      <c r="S8333" s="4" t="str">
        <f>IFERROR(__xludf.DUMMYFUNCTION("""COMPUTED_VALUE"""),"N/A (Not found)")</f>
        <v>N/A (Not found)</v>
      </c>
      <c r="T8333" s="33">
        <f>IFERROR(__xludf.DUMMYFUNCTION("""COMPUTED_VALUE"""),1.0)</f>
        <v>1</v>
      </c>
      <c r="U8333" s="4" t="str">
        <f>IFERROR(__xludf.DUMMYFUNCTION("""COMPUTED_VALUE"""),"N/A (Not found)")</f>
        <v>N/A (Not found)</v>
      </c>
      <c r="V8333" s="33">
        <f>IFERROR(__xludf.DUMMYFUNCTION("""COMPUTED_VALUE"""),1.0)</f>
        <v>1</v>
      </c>
      <c r="W8333" s="4" t="str">
        <f>IFERROR(__xludf.DUMMYFUNCTION("""COMPUTED_VALUE"""),"N/A (Not found)")</f>
        <v>N/A (Not found)</v>
      </c>
      <c r="X8333" s="33">
        <f>IFERROR(__xludf.DUMMYFUNCTION("""COMPUTED_VALUE"""),1.0)</f>
        <v>1</v>
      </c>
    </row>
    <row r="8334">
      <c r="K8334" s="4" t="str">
        <f>IFERROR(__xludf.DUMMYFUNCTION("""COMPUTED_VALUE"""),"TEMPERO VERDE MARMITA ALMOCO")</f>
        <v>TEMPERO VERDE MARMITA ALMOCO</v>
      </c>
      <c r="L8334" s="32">
        <f>IFERROR(__xludf.DUMMYFUNCTION("""COMPUTED_VALUE"""),1.0)</f>
        <v>1</v>
      </c>
      <c r="M8334" s="4" t="str">
        <f>IFERROR(__xludf.DUMMYFUNCTION("""COMPUTED_VALUE"""),"Anota Ai Solucoes Digitais S/a")</f>
        <v>Anota Ai Solucoes Digitais S/a</v>
      </c>
      <c r="N8334" s="33">
        <f>IFERROR(__xludf.DUMMYFUNCTION("""COMPUTED_VALUE"""),1.0)</f>
        <v>1</v>
      </c>
      <c r="O8334" s="4" t="str">
        <f>IFERROR(__xludf.DUMMYFUNCTION("""COMPUTED_VALUE"""),"Anota Ai Solucoes Digitais S/a")</f>
        <v>Anota Ai Solucoes Digitais S/a</v>
      </c>
      <c r="P8334" s="33">
        <f>IFERROR(__xludf.DUMMYFUNCTION("""COMPUTED_VALUE"""),1.0)</f>
        <v>1</v>
      </c>
      <c r="Q8334" s="4" t="str">
        <f>IFERROR(__xludf.DUMMYFUNCTION("""COMPUTED_VALUE"""),"Anota Ai Solucoes Digitais S/a")</f>
        <v>Anota Ai Solucoes Digitais S/a</v>
      </c>
      <c r="R8334" s="33">
        <f>IFERROR(__xludf.DUMMYFUNCTION("""COMPUTED_VALUE"""),1.0)</f>
        <v>1</v>
      </c>
      <c r="S8334" s="4" t="str">
        <f>IFERROR(__xludf.DUMMYFUNCTION("""COMPUTED_VALUE"""),"Anota Ai Solucoes Digitais S/a")</f>
        <v>Anota Ai Solucoes Digitais S/a</v>
      </c>
      <c r="T8334" s="33">
        <f>IFERROR(__xludf.DUMMYFUNCTION("""COMPUTED_VALUE"""),1.0)</f>
        <v>1</v>
      </c>
      <c r="U8334" s="4" t="str">
        <f>IFERROR(__xludf.DUMMYFUNCTION("""COMPUTED_VALUE"""),"Anota Ai Solucoes Digitais S/a")</f>
        <v>Anota Ai Solucoes Digitais S/a</v>
      </c>
      <c r="V8334" s="33">
        <f>IFERROR(__xludf.DUMMYFUNCTION("""COMPUTED_VALUE"""),1.0)</f>
        <v>1</v>
      </c>
      <c r="W8334" s="4" t="str">
        <f>IFERROR(__xludf.DUMMYFUNCTION("""COMPUTED_VALUE"""),"Anota Ai Solucoes Digitais S/a")</f>
        <v>Anota Ai Solucoes Digitais S/a</v>
      </c>
      <c r="X8334" s="33">
        <f>IFERROR(__xludf.DUMMYFUNCTION("""COMPUTED_VALUE"""),1.0)</f>
        <v>1</v>
      </c>
    </row>
    <row r="8335">
      <c r="K8335" s="4" t="str">
        <f>IFERROR(__xludf.DUMMYFUNCTION("""COMPUTED_VALUE"""),"HAMBURGUERIA BROKENS BURGER")</f>
        <v>HAMBURGUERIA BROKENS BURGER</v>
      </c>
      <c r="L8335" s="32">
        <f>IFERROR(__xludf.DUMMYFUNCTION("""COMPUTED_VALUE"""),1.0)</f>
        <v>1</v>
      </c>
      <c r="M8335" s="4" t="str">
        <f>IFERROR(__xludf.DUMMYFUNCTION("""COMPUTED_VALUE"""),"Anota Ai Solucoes Digitais S/a")</f>
        <v>Anota Ai Solucoes Digitais S/a</v>
      </c>
      <c r="N8335" s="33">
        <f>IFERROR(__xludf.DUMMYFUNCTION("""COMPUTED_VALUE"""),1.0)</f>
        <v>1</v>
      </c>
      <c r="O8335" s="4" t="str">
        <f>IFERROR(__xludf.DUMMYFUNCTION("""COMPUTED_VALUE"""),"Anota Ai Solucoes Digitais S/a")</f>
        <v>Anota Ai Solucoes Digitais S/a</v>
      </c>
      <c r="P8335" s="33">
        <f>IFERROR(__xludf.DUMMYFUNCTION("""COMPUTED_VALUE"""),1.0)</f>
        <v>1</v>
      </c>
      <c r="Q8335" s="4" t="str">
        <f>IFERROR(__xludf.DUMMYFUNCTION("""COMPUTED_VALUE"""),"Anota Ai Solucoes Digitais S/a")</f>
        <v>Anota Ai Solucoes Digitais S/a</v>
      </c>
      <c r="R8335" s="33">
        <f>IFERROR(__xludf.DUMMYFUNCTION("""COMPUTED_VALUE"""),1.0)</f>
        <v>1</v>
      </c>
      <c r="S8335" s="4" t="str">
        <f>IFERROR(__xludf.DUMMYFUNCTION("""COMPUTED_VALUE"""),"Anota Ai Solucoes Digitais S/a")</f>
        <v>Anota Ai Solucoes Digitais S/a</v>
      </c>
      <c r="T8335" s="33">
        <f>IFERROR(__xludf.DUMMYFUNCTION("""COMPUTED_VALUE"""),1.0)</f>
        <v>1</v>
      </c>
      <c r="U8335" s="4" t="str">
        <f>IFERROR(__xludf.DUMMYFUNCTION("""COMPUTED_VALUE"""),"Anota Ai Solucoes Digitais S/a")</f>
        <v>Anota Ai Solucoes Digitais S/a</v>
      </c>
      <c r="V8335" s="33">
        <f>IFERROR(__xludf.DUMMYFUNCTION("""COMPUTED_VALUE"""),1.0)</f>
        <v>1</v>
      </c>
      <c r="W8335" s="4" t="str">
        <f>IFERROR(__xludf.DUMMYFUNCTION("""COMPUTED_VALUE"""),"Anota Ai Solucoes Digitais S/a")</f>
        <v>Anota Ai Solucoes Digitais S/a</v>
      </c>
      <c r="X8335" s="33">
        <f>IFERROR(__xludf.DUMMYFUNCTION("""COMPUTED_VALUE"""),1.0)</f>
        <v>1</v>
      </c>
    </row>
    <row r="8336">
      <c r="K8336" s="4" t="str">
        <f>IFERROR(__xludf.DUMMYFUNCTION("""COMPUTED_VALUE"""),"TEXAS BBQ E SUSHI")</f>
        <v>TEXAS BBQ E SUSHI</v>
      </c>
      <c r="L8336" s="32">
        <f>IFERROR(__xludf.DUMMYFUNCTION("""COMPUTED_VALUE"""),1.0)</f>
        <v>1</v>
      </c>
      <c r="M8336" s="4" t="str">
        <f>IFERROR(__xludf.DUMMYFUNCTION("""COMPUTED_VALUE"""),"Consumer Soluções Em Tecnologia Ltda")</f>
        <v>Consumer Soluções Em Tecnologia Ltda</v>
      </c>
      <c r="N8336" s="33">
        <f>IFERROR(__xludf.DUMMYFUNCTION("""COMPUTED_VALUE"""),1.0)</f>
        <v>1</v>
      </c>
      <c r="O8336" s="4" t="str">
        <f>IFERROR(__xludf.DUMMYFUNCTION("""COMPUTED_VALUE"""),"Consumer Soluções Em Tecnologia Ltda")</f>
        <v>Consumer Soluções Em Tecnologia Ltda</v>
      </c>
      <c r="P8336" s="33">
        <f>IFERROR(__xludf.DUMMYFUNCTION("""COMPUTED_VALUE"""),1.0)</f>
        <v>1</v>
      </c>
      <c r="Q8336" s="4" t="str">
        <f>IFERROR(__xludf.DUMMYFUNCTION("""COMPUTED_VALUE"""),"Consumer Soluções Em Tecnologia Ltda")</f>
        <v>Consumer Soluções Em Tecnologia Ltda</v>
      </c>
      <c r="R8336" s="33">
        <f>IFERROR(__xludf.DUMMYFUNCTION("""COMPUTED_VALUE"""),1.0)</f>
        <v>1</v>
      </c>
      <c r="S8336" s="4" t="str">
        <f>IFERROR(__xludf.DUMMYFUNCTION("""COMPUTED_VALUE"""),"null")</f>
        <v>null</v>
      </c>
      <c r="T8336" s="33">
        <f>IFERROR(__xludf.DUMMYFUNCTION("""COMPUTED_VALUE"""),1.0)</f>
        <v>1</v>
      </c>
      <c r="U8336" s="4" t="str">
        <f>IFERROR(__xludf.DUMMYFUNCTION("""COMPUTED_VALUE"""),"Consumer Soluções Em Tecnologia Ltda")</f>
        <v>Consumer Soluções Em Tecnologia Ltda</v>
      </c>
      <c r="V8336" s="33">
        <f>IFERROR(__xludf.DUMMYFUNCTION("""COMPUTED_VALUE"""),1.0)</f>
        <v>1</v>
      </c>
      <c r="W8336" s="4" t="str">
        <f>IFERROR(__xludf.DUMMYFUNCTION("""COMPUTED_VALUE"""),"null")</f>
        <v>null</v>
      </c>
      <c r="X8336" s="33">
        <f>IFERROR(__xludf.DUMMYFUNCTION("""COMPUTED_VALUE"""),1.0)</f>
        <v>1</v>
      </c>
    </row>
    <row r="8337">
      <c r="K8337" s="4" t="str">
        <f>IFERROR(__xludf.DUMMYFUNCTION("""COMPUTED_VALUE"""),"PICA PAU PET")</f>
        <v>PICA PAU PET</v>
      </c>
      <c r="L8337" s="32">
        <f>IFERROR(__xludf.DUMMYFUNCTION("""COMPUTED_VALUE"""),1.0)</f>
        <v>1</v>
      </c>
      <c r="M8337" s="4" t="str">
        <f>IFERROR(__xludf.DUMMYFUNCTION("""COMPUTED_VALUE"""),"N/A (Not found)")</f>
        <v>N/A (Not found)</v>
      </c>
      <c r="N8337" s="33">
        <f>IFERROR(__xludf.DUMMYFUNCTION("""COMPUTED_VALUE"""),1.0)</f>
        <v>1</v>
      </c>
      <c r="O8337" s="4" t="str">
        <f>IFERROR(__xludf.DUMMYFUNCTION("""COMPUTED_VALUE"""),"N/A (Not found)")</f>
        <v>N/A (Not found)</v>
      </c>
      <c r="P8337" s="33">
        <f>IFERROR(__xludf.DUMMYFUNCTION("""COMPUTED_VALUE"""),1.0)</f>
        <v>1</v>
      </c>
      <c r="Q8337" s="4" t="str">
        <f>IFERROR(__xludf.DUMMYFUNCTION("""COMPUTED_VALUE"""),"N/A (Not found)")</f>
        <v>N/A (Not found)</v>
      </c>
      <c r="R8337" s="33">
        <f>IFERROR(__xludf.DUMMYFUNCTION("""COMPUTED_VALUE"""),1.0)</f>
        <v>1</v>
      </c>
      <c r="S8337" s="4" t="str">
        <f>IFERROR(__xludf.DUMMYFUNCTION("""COMPUTED_VALUE"""),"N/A (Not found)")</f>
        <v>N/A (Not found)</v>
      </c>
      <c r="T8337" s="33">
        <f>IFERROR(__xludf.DUMMYFUNCTION("""COMPUTED_VALUE"""),1.0)</f>
        <v>1</v>
      </c>
      <c r="U8337" s="4" t="str">
        <f>IFERROR(__xludf.DUMMYFUNCTION("""COMPUTED_VALUE"""),"N/A (Not found)")</f>
        <v>N/A (Not found)</v>
      </c>
      <c r="V8337" s="33">
        <f>IFERROR(__xludf.DUMMYFUNCTION("""COMPUTED_VALUE"""),1.0)</f>
        <v>1</v>
      </c>
      <c r="W8337" s="4" t="str">
        <f>IFERROR(__xludf.DUMMYFUNCTION("""COMPUTED_VALUE"""),"N/A (Not found)")</f>
        <v>N/A (Not found)</v>
      </c>
      <c r="X8337" s="33">
        <f>IFERROR(__xludf.DUMMYFUNCTION("""COMPUTED_VALUE"""),1.0)</f>
        <v>1</v>
      </c>
    </row>
    <row r="8338">
      <c r="K8338" s="4" t="str">
        <f>IFERROR(__xludf.DUMMYFUNCTION("""COMPUTED_VALUE"""),"PASTELARIA PRAIEIRO PASTEL")</f>
        <v>PASTELARIA PRAIEIRO PASTEL</v>
      </c>
      <c r="L8338" s="32">
        <f>IFERROR(__xludf.DUMMYFUNCTION("""COMPUTED_VALUE"""),1.0)</f>
        <v>1</v>
      </c>
      <c r="M8338" s="4" t="str">
        <f>IFERROR(__xludf.DUMMYFUNCTION("""COMPUTED_VALUE"""),"Consumer Soluções Em Tecnologia Ltda")</f>
        <v>Consumer Soluções Em Tecnologia Ltda</v>
      </c>
      <c r="N8338" s="33">
        <f>IFERROR(__xludf.DUMMYFUNCTION("""COMPUTED_VALUE"""),1.0)</f>
        <v>1</v>
      </c>
      <c r="O8338" s="4" t="str">
        <f>IFERROR(__xludf.DUMMYFUNCTION("""COMPUTED_VALUE"""),"Anota Ai Solucoes Digitais S/a")</f>
        <v>Anota Ai Solucoes Digitais S/a</v>
      </c>
      <c r="P8338" s="33">
        <f>IFERROR(__xludf.DUMMYFUNCTION("""COMPUTED_VALUE"""),1.0)</f>
        <v>1</v>
      </c>
      <c r="Q8338" s="4" t="str">
        <f>IFERROR(__xludf.DUMMYFUNCTION("""COMPUTED_VALUE"""),"Anota Ai Solucoes Digitais S/a")</f>
        <v>Anota Ai Solucoes Digitais S/a</v>
      </c>
      <c r="R8338" s="33">
        <f>IFERROR(__xludf.DUMMYFUNCTION("""COMPUTED_VALUE"""),1.0)</f>
        <v>1</v>
      </c>
      <c r="S8338" s="4" t="str">
        <f>IFERROR(__xludf.DUMMYFUNCTION("""COMPUTED_VALUE"""),"Consumer Soluções Em Tecnologia Ltda")</f>
        <v>Consumer Soluções Em Tecnologia Ltda</v>
      </c>
      <c r="T8338" s="33">
        <f>IFERROR(__xludf.DUMMYFUNCTION("""COMPUTED_VALUE"""),1.0)</f>
        <v>1</v>
      </c>
      <c r="U8338" s="4" t="str">
        <f>IFERROR(__xludf.DUMMYFUNCTION("""COMPUTED_VALUE"""),"null")</f>
        <v>null</v>
      </c>
      <c r="V8338" s="33">
        <f>IFERROR(__xludf.DUMMYFUNCTION("""COMPUTED_VALUE"""),1.0)</f>
        <v>1</v>
      </c>
      <c r="W8338" s="4" t="str">
        <f>IFERROR(__xludf.DUMMYFUNCTION("""COMPUTED_VALUE"""),"null")</f>
        <v>null</v>
      </c>
      <c r="X8338" s="33">
        <f>IFERROR(__xludf.DUMMYFUNCTION("""COMPUTED_VALUE"""),1.0)</f>
        <v>1</v>
      </c>
    </row>
    <row r="8339">
      <c r="K8339" s="4" t="str">
        <f>IFERROR(__xludf.DUMMYFUNCTION("""COMPUTED_VALUE"""),"DONA MOCA CONFEITARIA")</f>
        <v>DONA MOCA CONFEITARIA</v>
      </c>
      <c r="L8339" s="32">
        <f>IFERROR(__xludf.DUMMYFUNCTION("""COMPUTED_VALUE"""),1.0)</f>
        <v>1</v>
      </c>
      <c r="M8339" s="4" t="str">
        <f>IFERROR(__xludf.DUMMYFUNCTION("""COMPUTED_VALUE"""),"Anota Ai Solucoes Digitais S/a")</f>
        <v>Anota Ai Solucoes Digitais S/a</v>
      </c>
      <c r="N8339" s="33">
        <f>IFERROR(__xludf.DUMMYFUNCTION("""COMPUTED_VALUE"""),1.0)</f>
        <v>1</v>
      </c>
      <c r="O8339" s="4" t="str">
        <f>IFERROR(__xludf.DUMMYFUNCTION("""COMPUTED_VALUE"""),"Anota Ai Solucoes Digitais S/a")</f>
        <v>Anota Ai Solucoes Digitais S/a</v>
      </c>
      <c r="P8339" s="33">
        <f>IFERROR(__xludf.DUMMYFUNCTION("""COMPUTED_VALUE"""),1.0)</f>
        <v>1</v>
      </c>
      <c r="Q8339" s="4" t="str">
        <f>IFERROR(__xludf.DUMMYFUNCTION("""COMPUTED_VALUE"""),"Anota Ai Solucoes Digitais S/a")</f>
        <v>Anota Ai Solucoes Digitais S/a</v>
      </c>
      <c r="R8339" s="33">
        <f>IFERROR(__xludf.DUMMYFUNCTION("""COMPUTED_VALUE"""),1.0)</f>
        <v>1</v>
      </c>
      <c r="S8339" s="4" t="str">
        <f>IFERROR(__xludf.DUMMYFUNCTION("""COMPUTED_VALUE"""),"Anota Ai Solucoes Digitais S/a")</f>
        <v>Anota Ai Solucoes Digitais S/a</v>
      </c>
      <c r="T8339" s="33">
        <f>IFERROR(__xludf.DUMMYFUNCTION("""COMPUTED_VALUE"""),1.0)</f>
        <v>1</v>
      </c>
      <c r="U8339" s="4" t="str">
        <f>IFERROR(__xludf.DUMMYFUNCTION("""COMPUTED_VALUE"""),"Anota Ai Solucoes Digitais S/a")</f>
        <v>Anota Ai Solucoes Digitais S/a</v>
      </c>
      <c r="V8339" s="33">
        <f>IFERROR(__xludf.DUMMYFUNCTION("""COMPUTED_VALUE"""),1.0)</f>
        <v>1</v>
      </c>
      <c r="W8339" s="4" t="str">
        <f>IFERROR(__xludf.DUMMYFUNCTION("""COMPUTED_VALUE"""),"Anota Ai Solucoes Digitais S/a")</f>
        <v>Anota Ai Solucoes Digitais S/a</v>
      </c>
      <c r="X8339" s="33">
        <f>IFERROR(__xludf.DUMMYFUNCTION("""COMPUTED_VALUE"""),1.0)</f>
        <v>1</v>
      </c>
    </row>
    <row r="8340">
      <c r="K8340" s="4" t="str">
        <f>IFERROR(__xludf.DUMMYFUNCTION("""COMPUTED_VALUE"""),"MINI MERCADO GRASEL")</f>
        <v>MINI MERCADO GRASEL</v>
      </c>
      <c r="L8340" s="32">
        <f>IFERROR(__xludf.DUMMYFUNCTION("""COMPUTED_VALUE"""),1.0)</f>
        <v>1</v>
      </c>
      <c r="M8340" s="4" t="str">
        <f>IFERROR(__xludf.DUMMYFUNCTION("""COMPUTED_VALUE"""),"N/A (Not found)")</f>
        <v>N/A (Not found)</v>
      </c>
      <c r="N8340" s="33">
        <f>IFERROR(__xludf.DUMMYFUNCTION("""COMPUTED_VALUE"""),1.0)</f>
        <v>1</v>
      </c>
      <c r="O8340" s="4" t="str">
        <f>IFERROR(__xludf.DUMMYFUNCTION("""COMPUTED_VALUE"""),"N/A (Not found)")</f>
        <v>N/A (Not found)</v>
      </c>
      <c r="P8340" s="33">
        <f>IFERROR(__xludf.DUMMYFUNCTION("""COMPUTED_VALUE"""),1.0)</f>
        <v>1</v>
      </c>
      <c r="Q8340" s="4" t="str">
        <f>IFERROR(__xludf.DUMMYFUNCTION("""COMPUTED_VALUE"""),"N/A (Not found)")</f>
        <v>N/A (Not found)</v>
      </c>
      <c r="R8340" s="33">
        <f>IFERROR(__xludf.DUMMYFUNCTION("""COMPUTED_VALUE"""),1.0)</f>
        <v>1</v>
      </c>
      <c r="S8340" s="4" t="str">
        <f>IFERROR(__xludf.DUMMYFUNCTION("""COMPUTED_VALUE"""),"N/A (Not found)")</f>
        <v>N/A (Not found)</v>
      </c>
      <c r="T8340" s="33">
        <f>IFERROR(__xludf.DUMMYFUNCTION("""COMPUTED_VALUE"""),1.0)</f>
        <v>1</v>
      </c>
      <c r="U8340" s="4" t="str">
        <f>IFERROR(__xludf.DUMMYFUNCTION("""COMPUTED_VALUE"""),"N/A (Not found)")</f>
        <v>N/A (Not found)</v>
      </c>
      <c r="V8340" s="33">
        <f>IFERROR(__xludf.DUMMYFUNCTION("""COMPUTED_VALUE"""),1.0)</f>
        <v>1</v>
      </c>
      <c r="W8340" s="4" t="str">
        <f>IFERROR(__xludf.DUMMYFUNCTION("""COMPUTED_VALUE"""),"N/A (Not found)")</f>
        <v>N/A (Not found)</v>
      </c>
      <c r="X8340" s="33">
        <f>IFERROR(__xludf.DUMMYFUNCTION("""COMPUTED_VALUE"""),1.0)</f>
        <v>1</v>
      </c>
    </row>
    <row r="8341">
      <c r="K8341" s="4" t="str">
        <f>IFERROR(__xludf.DUMMYFUNCTION("""COMPUTED_VALUE"""),"SANTA BRASA URUG")</f>
        <v>SANTA BRASA URUG</v>
      </c>
      <c r="L8341" s="32">
        <f>IFERROR(__xludf.DUMMYFUNCTION("""COMPUTED_VALUE"""),1.0)</f>
        <v>1</v>
      </c>
      <c r="M8341" s="4" t="str">
        <f>IFERROR(__xludf.DUMMYFUNCTION("""COMPUTED_VALUE"""),"Saipos Serviços De Software")</f>
        <v>Saipos Serviços De Software</v>
      </c>
      <c r="N8341" s="33">
        <f>IFERROR(__xludf.DUMMYFUNCTION("""COMPUTED_VALUE"""),1.0)</f>
        <v>1</v>
      </c>
      <c r="O8341" s="4" t="str">
        <f>IFERROR(__xludf.DUMMYFUNCTION("""COMPUTED_VALUE"""),"null")</f>
        <v>null</v>
      </c>
      <c r="P8341" s="33">
        <f>IFERROR(__xludf.DUMMYFUNCTION("""COMPUTED_VALUE"""),1.0)</f>
        <v>1</v>
      </c>
      <c r="Q8341" s="4" t="str">
        <f>IFERROR(__xludf.DUMMYFUNCTION("""COMPUTED_VALUE"""),"null")</f>
        <v>null</v>
      </c>
      <c r="R8341" s="33">
        <f>IFERROR(__xludf.DUMMYFUNCTION("""COMPUTED_VALUE"""),1.0)</f>
        <v>1</v>
      </c>
      <c r="S8341" s="4" t="str">
        <f>IFERROR(__xludf.DUMMYFUNCTION("""COMPUTED_VALUE"""),"null")</f>
        <v>null</v>
      </c>
      <c r="T8341" s="33">
        <f>IFERROR(__xludf.DUMMYFUNCTION("""COMPUTED_VALUE"""),1.0)</f>
        <v>1</v>
      </c>
      <c r="U8341" s="4" t="str">
        <f>IFERROR(__xludf.DUMMYFUNCTION("""COMPUTED_VALUE"""),"null")</f>
        <v>null</v>
      </c>
      <c r="V8341" s="33">
        <f>IFERROR(__xludf.DUMMYFUNCTION("""COMPUTED_VALUE"""),1.0)</f>
        <v>1</v>
      </c>
      <c r="W8341" s="4" t="str">
        <f>IFERROR(__xludf.DUMMYFUNCTION("""COMPUTED_VALUE"""),"null")</f>
        <v>null</v>
      </c>
      <c r="X8341" s="33">
        <f>IFERROR(__xludf.DUMMYFUNCTION("""COMPUTED_VALUE"""),1.0)</f>
        <v>1</v>
      </c>
    </row>
    <row r="8342">
      <c r="K8342" s="4" t="str">
        <f>IFERROR(__xludf.DUMMYFUNCTION("""COMPUTED_VALUE"""),"ACAI - DUBOM ACAI")</f>
        <v>ACAI - DUBOM ACAI</v>
      </c>
      <c r="L8342" s="32">
        <f>IFERROR(__xludf.DUMMYFUNCTION("""COMPUTED_VALUE"""),1.0)</f>
        <v>1</v>
      </c>
      <c r="M8342" s="4" t="str">
        <f>IFERROR(__xludf.DUMMYFUNCTION("""COMPUTED_VALUE"""),"Cardápio Web")</f>
        <v>Cardápio Web</v>
      </c>
      <c r="N8342" s="33">
        <f>IFERROR(__xludf.DUMMYFUNCTION("""COMPUTED_VALUE"""),1.0)</f>
        <v>1</v>
      </c>
      <c r="O8342" s="4" t="str">
        <f>IFERROR(__xludf.DUMMYFUNCTION("""COMPUTED_VALUE"""),"Cardápio Web")</f>
        <v>Cardápio Web</v>
      </c>
      <c r="P8342" s="33">
        <f>IFERROR(__xludf.DUMMYFUNCTION("""COMPUTED_VALUE"""),1.0)</f>
        <v>1</v>
      </c>
      <c r="Q8342" s="4" t="str">
        <f>IFERROR(__xludf.DUMMYFUNCTION("""COMPUTED_VALUE"""),"Cardápio Web")</f>
        <v>Cardápio Web</v>
      </c>
      <c r="R8342" s="33">
        <f>IFERROR(__xludf.DUMMYFUNCTION("""COMPUTED_VALUE"""),1.0)</f>
        <v>1</v>
      </c>
      <c r="S8342" s="4" t="str">
        <f>IFERROR(__xludf.DUMMYFUNCTION("""COMPUTED_VALUE"""),"Cardápio Web")</f>
        <v>Cardápio Web</v>
      </c>
      <c r="T8342" s="33">
        <f>IFERROR(__xludf.DUMMYFUNCTION("""COMPUTED_VALUE"""),1.0)</f>
        <v>1</v>
      </c>
      <c r="U8342" s="4" t="str">
        <f>IFERROR(__xludf.DUMMYFUNCTION("""COMPUTED_VALUE"""),"Cardápio Web")</f>
        <v>Cardápio Web</v>
      </c>
      <c r="V8342" s="33">
        <f>IFERROR(__xludf.DUMMYFUNCTION("""COMPUTED_VALUE"""),1.0)</f>
        <v>1</v>
      </c>
      <c r="W8342" s="4" t="str">
        <f>IFERROR(__xludf.DUMMYFUNCTION("""COMPUTED_VALUE"""),"Cardápio Web")</f>
        <v>Cardápio Web</v>
      </c>
      <c r="X8342" s="33">
        <f>IFERROR(__xludf.DUMMYFUNCTION("""COMPUTED_VALUE"""),1.0)</f>
        <v>1</v>
      </c>
    </row>
    <row r="8343">
      <c r="K8343" s="4" t="str">
        <f>IFERROR(__xludf.DUMMYFUNCTION("""COMPUTED_VALUE"""),"STATION 84 BURGUER ARTESANAL")</f>
        <v>STATION 84 BURGUER ARTESANAL</v>
      </c>
      <c r="L8343" s="32">
        <f>IFERROR(__xludf.DUMMYFUNCTION("""COMPUTED_VALUE"""),1.0)</f>
        <v>1</v>
      </c>
      <c r="M8343" s="4" t="str">
        <f>IFERROR(__xludf.DUMMYFUNCTION("""COMPUTED_VALUE"""),"Consumer Soluções Em Tecnologia Ltda")</f>
        <v>Consumer Soluções Em Tecnologia Ltda</v>
      </c>
      <c r="N8343" s="33">
        <f>IFERROR(__xludf.DUMMYFUNCTION("""COMPUTED_VALUE"""),1.0)</f>
        <v>1</v>
      </c>
      <c r="O8343" s="4" t="str">
        <f>IFERROR(__xludf.DUMMYFUNCTION("""COMPUTED_VALUE"""),"Consumer Soluções Em Tecnologia Ltda")</f>
        <v>Consumer Soluções Em Tecnologia Ltda</v>
      </c>
      <c r="P8343" s="33">
        <f>IFERROR(__xludf.DUMMYFUNCTION("""COMPUTED_VALUE"""),1.0)</f>
        <v>1</v>
      </c>
      <c r="Q8343" s="4" t="str">
        <f>IFERROR(__xludf.DUMMYFUNCTION("""COMPUTED_VALUE"""),"Consumer Soluções Em Tecnologia Ltda")</f>
        <v>Consumer Soluções Em Tecnologia Ltda</v>
      </c>
      <c r="R8343" s="33">
        <f>IFERROR(__xludf.DUMMYFUNCTION("""COMPUTED_VALUE"""),1.0)</f>
        <v>1</v>
      </c>
      <c r="S8343" s="4" t="str">
        <f>IFERROR(__xludf.DUMMYFUNCTION("""COMPUTED_VALUE"""),"Consumer Soluções Em Tecnologia Ltda")</f>
        <v>Consumer Soluções Em Tecnologia Ltda</v>
      </c>
      <c r="T8343" s="33">
        <f>IFERROR(__xludf.DUMMYFUNCTION("""COMPUTED_VALUE"""),1.0)</f>
        <v>1</v>
      </c>
      <c r="U8343" s="4" t="str">
        <f>IFERROR(__xludf.DUMMYFUNCTION("""COMPUTED_VALUE"""),"Consumer Soluções Em Tecnologia Ltda")</f>
        <v>Consumer Soluções Em Tecnologia Ltda</v>
      </c>
      <c r="V8343" s="33">
        <f>IFERROR(__xludf.DUMMYFUNCTION("""COMPUTED_VALUE"""),1.0)</f>
        <v>1</v>
      </c>
      <c r="W8343" s="4" t="str">
        <f>IFERROR(__xludf.DUMMYFUNCTION("""COMPUTED_VALUE"""),"Consumer Soluções Em Tecnologia Ltda")</f>
        <v>Consumer Soluções Em Tecnologia Ltda</v>
      </c>
      <c r="X8343" s="33">
        <f>IFERROR(__xludf.DUMMYFUNCTION("""COMPUTED_VALUE"""),1.0)</f>
        <v>1</v>
      </c>
    </row>
    <row r="8344">
      <c r="K8344" s="4" t="str">
        <f>IFERROR(__xludf.DUMMYFUNCTION("""COMPUTED_VALUE"""),"LHEBERTA DOCES E SALGADOS")</f>
        <v>LHEBERTA DOCES E SALGADOS</v>
      </c>
      <c r="L8344" s="32">
        <f>IFERROR(__xludf.DUMMYFUNCTION("""COMPUTED_VALUE"""),1.0)</f>
        <v>1</v>
      </c>
      <c r="M8344" s="4" t="str">
        <f>IFERROR(__xludf.DUMMYFUNCTION("""COMPUTED_VALUE"""),"Anota Ai Solucoes Digitais S/a")</f>
        <v>Anota Ai Solucoes Digitais S/a</v>
      </c>
      <c r="N8344" s="33">
        <f>IFERROR(__xludf.DUMMYFUNCTION("""COMPUTED_VALUE"""),1.0)</f>
        <v>1</v>
      </c>
      <c r="O8344" s="4" t="str">
        <f>IFERROR(__xludf.DUMMYFUNCTION("""COMPUTED_VALUE"""),"Anota Ai Solucoes Digitais S/a")</f>
        <v>Anota Ai Solucoes Digitais S/a</v>
      </c>
      <c r="P8344" s="33">
        <f>IFERROR(__xludf.DUMMYFUNCTION("""COMPUTED_VALUE"""),1.0)</f>
        <v>1</v>
      </c>
      <c r="Q8344" s="4" t="str">
        <f>IFERROR(__xludf.DUMMYFUNCTION("""COMPUTED_VALUE"""),"Anota Ai Solucoes Digitais S/a")</f>
        <v>Anota Ai Solucoes Digitais S/a</v>
      </c>
      <c r="R8344" s="33">
        <f>IFERROR(__xludf.DUMMYFUNCTION("""COMPUTED_VALUE"""),1.0)</f>
        <v>1</v>
      </c>
      <c r="S8344" s="4" t="str">
        <f>IFERROR(__xludf.DUMMYFUNCTION("""COMPUTED_VALUE"""),"Anota Ai Solucoes Digitais S/a")</f>
        <v>Anota Ai Solucoes Digitais S/a</v>
      </c>
      <c r="T8344" s="33">
        <f>IFERROR(__xludf.DUMMYFUNCTION("""COMPUTED_VALUE"""),1.0)</f>
        <v>1</v>
      </c>
      <c r="U8344" s="4" t="str">
        <f>IFERROR(__xludf.DUMMYFUNCTION("""COMPUTED_VALUE"""),"Anota Ai Solucoes Digitais S/a")</f>
        <v>Anota Ai Solucoes Digitais S/a</v>
      </c>
      <c r="V8344" s="33">
        <f>IFERROR(__xludf.DUMMYFUNCTION("""COMPUTED_VALUE"""),1.0)</f>
        <v>1</v>
      </c>
      <c r="W8344" s="4" t="str">
        <f>IFERROR(__xludf.DUMMYFUNCTION("""COMPUTED_VALUE"""),"Anota Ai Solucoes Digitais S/a")</f>
        <v>Anota Ai Solucoes Digitais S/a</v>
      </c>
      <c r="X8344" s="33">
        <f>IFERROR(__xludf.DUMMYFUNCTION("""COMPUTED_VALUE"""),1.0)</f>
        <v>1</v>
      </c>
    </row>
    <row r="8345">
      <c r="K8345" s="4" t="str">
        <f>IFERROR(__xludf.DUMMYFUNCTION("""COMPUTED_VALUE"""),"TOP ESFIHAS - SHOPPING")</f>
        <v>TOP ESFIHAS - SHOPPING</v>
      </c>
      <c r="L8345" s="32">
        <f>IFERROR(__xludf.DUMMYFUNCTION("""COMPUTED_VALUE"""),1.0)</f>
        <v>1</v>
      </c>
      <c r="M8345" s="4" t="str">
        <f>IFERROR(__xludf.DUMMYFUNCTION("""COMPUTED_VALUE"""),"Saipos Serviços De Software")</f>
        <v>Saipos Serviços De Software</v>
      </c>
      <c r="N8345" s="33">
        <f>IFERROR(__xludf.DUMMYFUNCTION("""COMPUTED_VALUE"""),1.0)</f>
        <v>1</v>
      </c>
      <c r="O8345" s="4" t="str">
        <f>IFERROR(__xludf.DUMMYFUNCTION("""COMPUTED_VALUE"""),"Saipos Serviços De Software")</f>
        <v>Saipos Serviços De Software</v>
      </c>
      <c r="P8345" s="33">
        <f>IFERROR(__xludf.DUMMYFUNCTION("""COMPUTED_VALUE"""),1.0)</f>
        <v>1</v>
      </c>
      <c r="Q8345" s="4" t="str">
        <f>IFERROR(__xludf.DUMMYFUNCTION("""COMPUTED_VALUE"""),"Saipos Serviços De Software")</f>
        <v>Saipos Serviços De Software</v>
      </c>
      <c r="R8345" s="33">
        <f>IFERROR(__xludf.DUMMYFUNCTION("""COMPUTED_VALUE"""),1.0)</f>
        <v>1</v>
      </c>
      <c r="S8345" s="4" t="str">
        <f>IFERROR(__xludf.DUMMYFUNCTION("""COMPUTED_VALUE"""),"Saipos Serviços De Software")</f>
        <v>Saipos Serviços De Software</v>
      </c>
      <c r="T8345" s="33">
        <f>IFERROR(__xludf.DUMMYFUNCTION("""COMPUTED_VALUE"""),1.0)</f>
        <v>1</v>
      </c>
      <c r="U8345" s="4" t="str">
        <f>IFERROR(__xludf.DUMMYFUNCTION("""COMPUTED_VALUE"""),"Saipos Serviços De Software")</f>
        <v>Saipos Serviços De Software</v>
      </c>
      <c r="V8345" s="33">
        <f>IFERROR(__xludf.DUMMYFUNCTION("""COMPUTED_VALUE"""),1.0)</f>
        <v>1</v>
      </c>
      <c r="W8345" s="4" t="str">
        <f>IFERROR(__xludf.DUMMYFUNCTION("""COMPUTED_VALUE"""),"Beefood - Sistema Para Restaurantes")</f>
        <v>Beefood - Sistema Para Restaurantes</v>
      </c>
      <c r="X8345" s="33">
        <f>IFERROR(__xludf.DUMMYFUNCTION("""COMPUTED_VALUE"""),1.0)</f>
        <v>1</v>
      </c>
    </row>
    <row r="8346">
      <c r="K8346" s="4" t="str">
        <f>IFERROR(__xludf.DUMMYFUNCTION("""COMPUTED_VALUE"""),"NAORA PIZZA - PIZZARIA RUSTICA")</f>
        <v>NAORA PIZZA - PIZZARIA RUSTICA</v>
      </c>
      <c r="L8346" s="32">
        <f>IFERROR(__xludf.DUMMYFUNCTION("""COMPUTED_VALUE"""),1.0)</f>
        <v>1</v>
      </c>
      <c r="M8346" s="4" t="str">
        <f>IFERROR(__xludf.DUMMYFUNCTION("""COMPUTED_VALUE"""),"Saipos Serviços De Software")</f>
        <v>Saipos Serviços De Software</v>
      </c>
      <c r="N8346" s="33">
        <f>IFERROR(__xludf.DUMMYFUNCTION("""COMPUTED_VALUE"""),1.0)</f>
        <v>1</v>
      </c>
      <c r="O8346" s="4" t="str">
        <f>IFERROR(__xludf.DUMMYFUNCTION("""COMPUTED_VALUE"""),"Saipos Serviços De Software")</f>
        <v>Saipos Serviços De Software</v>
      </c>
      <c r="P8346" s="33">
        <f>IFERROR(__xludf.DUMMYFUNCTION("""COMPUTED_VALUE"""),1.0)</f>
        <v>1</v>
      </c>
      <c r="Q8346" s="4" t="str">
        <f>IFERROR(__xludf.DUMMYFUNCTION("""COMPUTED_VALUE"""),"Saipos Serviços De Software")</f>
        <v>Saipos Serviços De Software</v>
      </c>
      <c r="R8346" s="33">
        <f>IFERROR(__xludf.DUMMYFUNCTION("""COMPUTED_VALUE"""),1.0)</f>
        <v>1</v>
      </c>
      <c r="S8346" s="4" t="str">
        <f>IFERROR(__xludf.DUMMYFUNCTION("""COMPUTED_VALUE"""),"Saipos Serviços De Software")</f>
        <v>Saipos Serviços De Software</v>
      </c>
      <c r="T8346" s="33">
        <f>IFERROR(__xludf.DUMMYFUNCTION("""COMPUTED_VALUE"""),1.0)</f>
        <v>1</v>
      </c>
      <c r="U8346" s="4" t="str">
        <f>IFERROR(__xludf.DUMMYFUNCTION("""COMPUTED_VALUE"""),"Saipos Serviços De Software")</f>
        <v>Saipos Serviços De Software</v>
      </c>
      <c r="V8346" s="33">
        <f>IFERROR(__xludf.DUMMYFUNCTION("""COMPUTED_VALUE"""),1.0)</f>
        <v>1</v>
      </c>
      <c r="W8346" s="4" t="str">
        <f>IFERROR(__xludf.DUMMYFUNCTION("""COMPUTED_VALUE"""),"Saipos Serviços De Software")</f>
        <v>Saipos Serviços De Software</v>
      </c>
      <c r="X8346" s="33">
        <f>IFERROR(__xludf.DUMMYFUNCTION("""COMPUTED_VALUE"""),1.0)</f>
        <v>1</v>
      </c>
    </row>
    <row r="8347">
      <c r="K8347" s="4" t="str">
        <f>IFERROR(__xludf.DUMMYFUNCTION("""COMPUTED_VALUE"""),"PICANHARIA BAR GRILL")</f>
        <v>PICANHARIA BAR GRILL</v>
      </c>
      <c r="L8347" s="32">
        <f>IFERROR(__xludf.DUMMYFUNCTION("""COMPUTED_VALUE"""),1.0)</f>
        <v>1</v>
      </c>
      <c r="M8347" s="4" t="str">
        <f>IFERROR(__xludf.DUMMYFUNCTION("""COMPUTED_VALUE"""),"Garcom Web")</f>
        <v>Garcom Web</v>
      </c>
      <c r="N8347" s="33">
        <f>IFERROR(__xludf.DUMMYFUNCTION("""COMPUTED_VALUE"""),1.0)</f>
        <v>1</v>
      </c>
      <c r="O8347" s="4" t="str">
        <f>IFERROR(__xludf.DUMMYFUNCTION("""COMPUTED_VALUE"""),"Garcom Web")</f>
        <v>Garcom Web</v>
      </c>
      <c r="P8347" s="33">
        <f>IFERROR(__xludf.DUMMYFUNCTION("""COMPUTED_VALUE"""),1.0)</f>
        <v>1</v>
      </c>
      <c r="Q8347" s="4" t="str">
        <f>IFERROR(__xludf.DUMMYFUNCTION("""COMPUTED_VALUE"""),"Garcom Web")</f>
        <v>Garcom Web</v>
      </c>
      <c r="R8347" s="33">
        <f>IFERROR(__xludf.DUMMYFUNCTION("""COMPUTED_VALUE"""),1.0)</f>
        <v>1</v>
      </c>
      <c r="S8347" s="4" t="str">
        <f>IFERROR(__xludf.DUMMYFUNCTION("""COMPUTED_VALUE"""),"null")</f>
        <v>null</v>
      </c>
      <c r="T8347" s="33">
        <f>IFERROR(__xludf.DUMMYFUNCTION("""COMPUTED_VALUE"""),1.0)</f>
        <v>1</v>
      </c>
      <c r="U8347" s="4" t="str">
        <f>IFERROR(__xludf.DUMMYFUNCTION("""COMPUTED_VALUE"""),"null")</f>
        <v>null</v>
      </c>
      <c r="V8347" s="33">
        <f>IFERROR(__xludf.DUMMYFUNCTION("""COMPUTED_VALUE"""),1.0)</f>
        <v>1</v>
      </c>
      <c r="W8347" s="4" t="str">
        <f>IFERROR(__xludf.DUMMYFUNCTION("""COMPUTED_VALUE"""),"null")</f>
        <v>null</v>
      </c>
      <c r="X8347" s="33">
        <f>IFERROR(__xludf.DUMMYFUNCTION("""COMPUTED_VALUE"""),1.0)</f>
        <v>1</v>
      </c>
    </row>
    <row r="8348">
      <c r="K8348" s="4" t="str">
        <f>IFERROR(__xludf.DUMMYFUNCTION("""COMPUTED_VALUE"""),"EMILIA MIRELIS SILVA 10434172499")</f>
        <v>EMILIA MIRELIS SILVA 10434172499</v>
      </c>
      <c r="L8348" s="32">
        <f>IFERROR(__xludf.DUMMYFUNCTION("""COMPUTED_VALUE"""),1.0)</f>
        <v>1</v>
      </c>
      <c r="M8348" s="4" t="str">
        <f>IFERROR(__xludf.DUMMYFUNCTION("""COMPUTED_VALUE"""),"Instadelivery")</f>
        <v>Instadelivery</v>
      </c>
      <c r="N8348" s="33">
        <f>IFERROR(__xludf.DUMMYFUNCTION("""COMPUTED_VALUE"""),1.0)</f>
        <v>1</v>
      </c>
      <c r="O8348" s="4" t="str">
        <f>IFERROR(__xludf.DUMMYFUNCTION("""COMPUTED_VALUE"""),"Instadelivery")</f>
        <v>Instadelivery</v>
      </c>
      <c r="P8348" s="33">
        <f>IFERROR(__xludf.DUMMYFUNCTION("""COMPUTED_VALUE"""),1.0)</f>
        <v>1</v>
      </c>
      <c r="Q8348" s="4" t="str">
        <f>IFERROR(__xludf.DUMMYFUNCTION("""COMPUTED_VALUE"""),"Instadelivery")</f>
        <v>Instadelivery</v>
      </c>
      <c r="R8348" s="33">
        <f>IFERROR(__xludf.DUMMYFUNCTION("""COMPUTED_VALUE"""),1.0)</f>
        <v>1</v>
      </c>
      <c r="S8348" s="4" t="str">
        <f>IFERROR(__xludf.DUMMYFUNCTION("""COMPUTED_VALUE"""),"Instadelivery")</f>
        <v>Instadelivery</v>
      </c>
      <c r="T8348" s="33">
        <f>IFERROR(__xludf.DUMMYFUNCTION("""COMPUTED_VALUE"""),1.0)</f>
        <v>1</v>
      </c>
      <c r="U8348" s="4" t="str">
        <f>IFERROR(__xludf.DUMMYFUNCTION("""COMPUTED_VALUE"""),"Instadelivery")</f>
        <v>Instadelivery</v>
      </c>
      <c r="V8348" s="33">
        <f>IFERROR(__xludf.DUMMYFUNCTION("""COMPUTED_VALUE"""),1.0)</f>
        <v>1</v>
      </c>
      <c r="W8348" s="4" t="str">
        <f>IFERROR(__xludf.DUMMYFUNCTION("""COMPUTED_VALUE"""),"null")</f>
        <v>null</v>
      </c>
      <c r="X8348" s="33">
        <f>IFERROR(__xludf.DUMMYFUNCTION("""COMPUTED_VALUE"""),1.0)</f>
        <v>1</v>
      </c>
    </row>
    <row r="8349">
      <c r="K8349" s="4" t="str">
        <f>IFERROR(__xludf.DUMMYFUNCTION("""COMPUTED_VALUE"""),"SORVETE ARTESANAL E ACAI SORVETIAMO")</f>
        <v>SORVETE ARTESANAL E ACAI SORVETIAMO</v>
      </c>
      <c r="L8349" s="32">
        <f>IFERROR(__xludf.DUMMYFUNCTION("""COMPUTED_VALUE"""),1.0)</f>
        <v>1</v>
      </c>
      <c r="M8349" s="4" t="str">
        <f>IFERROR(__xludf.DUMMYFUNCTION("""COMPUTED_VALUE"""),"Stoffel Assessoria Em Informatica Eireli")</f>
        <v>Stoffel Assessoria Em Informatica Eireli</v>
      </c>
      <c r="N8349" s="33">
        <f>IFERROR(__xludf.DUMMYFUNCTION("""COMPUTED_VALUE"""),1.0)</f>
        <v>1</v>
      </c>
      <c r="O8349" s="4" t="str">
        <f>IFERROR(__xludf.DUMMYFUNCTION("""COMPUTED_VALUE"""),"Stoffel Assessoria Em Informatica Eireli")</f>
        <v>Stoffel Assessoria Em Informatica Eireli</v>
      </c>
      <c r="P8349" s="33">
        <f>IFERROR(__xludf.DUMMYFUNCTION("""COMPUTED_VALUE"""),1.0)</f>
        <v>1</v>
      </c>
      <c r="Q8349" s="4" t="str">
        <f>IFERROR(__xludf.DUMMYFUNCTION("""COMPUTED_VALUE"""),"Stoffel Assessoria Em Informatica Eireli")</f>
        <v>Stoffel Assessoria Em Informatica Eireli</v>
      </c>
      <c r="R8349" s="33">
        <f>IFERROR(__xludf.DUMMYFUNCTION("""COMPUTED_VALUE"""),1.0)</f>
        <v>1</v>
      </c>
      <c r="S8349" s="4" t="str">
        <f>IFERROR(__xludf.DUMMYFUNCTION("""COMPUTED_VALUE"""),"Stoffel Assessoria Em Informatica Eireli")</f>
        <v>Stoffel Assessoria Em Informatica Eireli</v>
      </c>
      <c r="T8349" s="33">
        <f>IFERROR(__xludf.DUMMYFUNCTION("""COMPUTED_VALUE"""),1.0)</f>
        <v>1</v>
      </c>
      <c r="U8349" s="4" t="str">
        <f>IFERROR(__xludf.DUMMYFUNCTION("""COMPUTED_VALUE"""),"Stoffel Assessoria Em Informatica Eireli")</f>
        <v>Stoffel Assessoria Em Informatica Eireli</v>
      </c>
      <c r="V8349" s="33">
        <f>IFERROR(__xludf.DUMMYFUNCTION("""COMPUTED_VALUE"""),1.0)</f>
        <v>1</v>
      </c>
      <c r="W8349" s="4" t="str">
        <f>IFERROR(__xludf.DUMMYFUNCTION("""COMPUTED_VALUE"""),"Stoffel Assessoria Em Informatica Eireli")</f>
        <v>Stoffel Assessoria Em Informatica Eireli</v>
      </c>
      <c r="X8349" s="33">
        <f>IFERROR(__xludf.DUMMYFUNCTION("""COMPUTED_VALUE"""),1.0)</f>
        <v>1</v>
      </c>
    </row>
    <row r="8350">
      <c r="K8350" s="4" t="str">
        <f>IFERROR(__xludf.DUMMYFUNCTION("""COMPUTED_VALUE"""),"HOUS BURGER - HAMBURGUERIA ARTESANAL")</f>
        <v>HOUS BURGER - HAMBURGUERIA ARTESANAL</v>
      </c>
      <c r="L8350" s="32">
        <f>IFERROR(__xludf.DUMMYFUNCTION("""COMPUTED_VALUE"""),1.0)</f>
        <v>1</v>
      </c>
      <c r="M8350" s="4" t="str">
        <f>IFERROR(__xludf.DUMMYFUNCTION("""COMPUTED_VALUE"""),"Suitable Tecnologia E Gestao")</f>
        <v>Suitable Tecnologia E Gestao</v>
      </c>
      <c r="N8350" s="33">
        <f>IFERROR(__xludf.DUMMYFUNCTION("""COMPUTED_VALUE"""),1.0)</f>
        <v>1</v>
      </c>
      <c r="O8350" s="4" t="str">
        <f>IFERROR(__xludf.DUMMYFUNCTION("""COMPUTED_VALUE"""),"Suitable Tecnologia E Gestao")</f>
        <v>Suitable Tecnologia E Gestao</v>
      </c>
      <c r="P8350" s="33">
        <f>IFERROR(__xludf.DUMMYFUNCTION("""COMPUTED_VALUE"""),1.0)</f>
        <v>1</v>
      </c>
      <c r="Q8350" s="4" t="str">
        <f>IFERROR(__xludf.DUMMYFUNCTION("""COMPUTED_VALUE"""),"Suitable Tecnologia E Gestao")</f>
        <v>Suitable Tecnologia E Gestao</v>
      </c>
      <c r="R8350" s="33">
        <f>IFERROR(__xludf.DUMMYFUNCTION("""COMPUTED_VALUE"""),1.0)</f>
        <v>1</v>
      </c>
      <c r="S8350" s="4" t="str">
        <f>IFERROR(__xludf.DUMMYFUNCTION("""COMPUTED_VALUE"""),"Suitable Tecnologia E Gestao")</f>
        <v>Suitable Tecnologia E Gestao</v>
      </c>
      <c r="T8350" s="33">
        <f>IFERROR(__xludf.DUMMYFUNCTION("""COMPUTED_VALUE"""),1.0)</f>
        <v>1</v>
      </c>
      <c r="U8350" s="4" t="str">
        <f>IFERROR(__xludf.DUMMYFUNCTION("""COMPUTED_VALUE"""),"Suitable Tecnologia E Gestao")</f>
        <v>Suitable Tecnologia E Gestao</v>
      </c>
      <c r="V8350" s="33">
        <f>IFERROR(__xludf.DUMMYFUNCTION("""COMPUTED_VALUE"""),1.0)</f>
        <v>1</v>
      </c>
      <c r="W8350" s="4" t="str">
        <f>IFERROR(__xludf.DUMMYFUNCTION("""COMPUTED_VALUE"""),"Suitable Tecnologia E Gestao")</f>
        <v>Suitable Tecnologia E Gestao</v>
      </c>
      <c r="X8350" s="33">
        <f>IFERROR(__xludf.DUMMYFUNCTION("""COMPUTED_VALUE"""),1.0)</f>
        <v>1</v>
      </c>
    </row>
    <row r="8351">
      <c r="K8351" s="4" t="str">
        <f>IFERROR(__xludf.DUMMYFUNCTION("""COMPUTED_VALUE"""),"MF LANCHONETES")</f>
        <v>MF LANCHONETES</v>
      </c>
      <c r="L8351" s="32">
        <f>IFERROR(__xludf.DUMMYFUNCTION("""COMPUTED_VALUE"""),1.0)</f>
        <v>1</v>
      </c>
      <c r="M8351" s="4" t="str">
        <f>IFERROR(__xludf.DUMMYFUNCTION("""COMPUTED_VALUE"""),"Anota Ai Solucoes Digitais S/a")</f>
        <v>Anota Ai Solucoes Digitais S/a</v>
      </c>
      <c r="N8351" s="33">
        <f>IFERROR(__xludf.DUMMYFUNCTION("""COMPUTED_VALUE"""),1.0)</f>
        <v>1</v>
      </c>
      <c r="O8351" s="4" t="str">
        <f>IFERROR(__xludf.DUMMYFUNCTION("""COMPUTED_VALUE"""),"Anota Ai Solucoes Digitais S/a")</f>
        <v>Anota Ai Solucoes Digitais S/a</v>
      </c>
      <c r="P8351" s="33">
        <f>IFERROR(__xludf.DUMMYFUNCTION("""COMPUTED_VALUE"""),1.0)</f>
        <v>1</v>
      </c>
      <c r="Q8351" s="4" t="str">
        <f>IFERROR(__xludf.DUMMYFUNCTION("""COMPUTED_VALUE"""),"Anota Ai Solucoes Digitais S/a")</f>
        <v>Anota Ai Solucoes Digitais S/a</v>
      </c>
      <c r="R8351" s="33">
        <f>IFERROR(__xludf.DUMMYFUNCTION("""COMPUTED_VALUE"""),1.0)</f>
        <v>1</v>
      </c>
      <c r="S8351" s="4" t="str">
        <f>IFERROR(__xludf.DUMMYFUNCTION("""COMPUTED_VALUE"""),"Anota Ai Solucoes Digitais S/a")</f>
        <v>Anota Ai Solucoes Digitais S/a</v>
      </c>
      <c r="T8351" s="33">
        <f>IFERROR(__xludf.DUMMYFUNCTION("""COMPUTED_VALUE"""),1.0)</f>
        <v>1</v>
      </c>
      <c r="U8351" s="4" t="str">
        <f>IFERROR(__xludf.DUMMYFUNCTION("""COMPUTED_VALUE"""),"null")</f>
        <v>null</v>
      </c>
      <c r="V8351" s="33">
        <f>IFERROR(__xludf.DUMMYFUNCTION("""COMPUTED_VALUE"""),1.0)</f>
        <v>1</v>
      </c>
      <c r="W8351" s="4" t="str">
        <f>IFERROR(__xludf.DUMMYFUNCTION("""COMPUTED_VALUE"""),"null")</f>
        <v>null</v>
      </c>
      <c r="X8351" s="33">
        <f>IFERROR(__xludf.DUMMYFUNCTION("""COMPUTED_VALUE"""),1.0)</f>
        <v>1</v>
      </c>
    </row>
    <row r="8352">
      <c r="K8352" s="4" t="str">
        <f>IFERROR(__xludf.DUMMYFUNCTION("""COMPUTED_VALUE"""),"PANCHOS BURGUER")</f>
        <v>PANCHOS BURGUER</v>
      </c>
      <c r="L8352" s="32">
        <f>IFERROR(__xludf.DUMMYFUNCTION("""COMPUTED_VALUE"""),1.0)</f>
        <v>1</v>
      </c>
      <c r="M8352" s="4" t="str">
        <f>IFERROR(__xludf.DUMMYFUNCTION("""COMPUTED_VALUE"""),"Deeliv")</f>
        <v>Deeliv</v>
      </c>
      <c r="N8352" s="33">
        <f>IFERROR(__xludf.DUMMYFUNCTION("""COMPUTED_VALUE"""),1.0)</f>
        <v>1</v>
      </c>
      <c r="O8352" s="4" t="str">
        <f>IFERROR(__xludf.DUMMYFUNCTION("""COMPUTED_VALUE"""),"Deeliv")</f>
        <v>Deeliv</v>
      </c>
      <c r="P8352" s="33">
        <f>IFERROR(__xludf.DUMMYFUNCTION("""COMPUTED_VALUE"""),1.0)</f>
        <v>1</v>
      </c>
      <c r="Q8352" s="4" t="str">
        <f>IFERROR(__xludf.DUMMYFUNCTION("""COMPUTED_VALUE"""),"Deeliv")</f>
        <v>Deeliv</v>
      </c>
      <c r="R8352" s="33">
        <f>IFERROR(__xludf.DUMMYFUNCTION("""COMPUTED_VALUE"""),1.0)</f>
        <v>1</v>
      </c>
      <c r="S8352" s="4" t="str">
        <f>IFERROR(__xludf.DUMMYFUNCTION("""COMPUTED_VALUE"""),"Deeliv")</f>
        <v>Deeliv</v>
      </c>
      <c r="T8352" s="33">
        <f>IFERROR(__xludf.DUMMYFUNCTION("""COMPUTED_VALUE"""),1.0)</f>
        <v>1</v>
      </c>
      <c r="U8352" s="4" t="str">
        <f>IFERROR(__xludf.DUMMYFUNCTION("""COMPUTED_VALUE"""),"Deeliv")</f>
        <v>Deeliv</v>
      </c>
      <c r="V8352" s="33">
        <f>IFERROR(__xludf.DUMMYFUNCTION("""COMPUTED_VALUE"""),1.0)</f>
        <v>1</v>
      </c>
      <c r="W8352" s="4" t="str">
        <f>IFERROR(__xludf.DUMMYFUNCTION("""COMPUTED_VALUE"""),"Deeliv")</f>
        <v>Deeliv</v>
      </c>
      <c r="X8352" s="33">
        <f>IFERROR(__xludf.DUMMYFUNCTION("""COMPUTED_VALUE"""),1.0)</f>
        <v>1</v>
      </c>
    </row>
    <row r="8353">
      <c r="K8353" s="4" t="str">
        <f>IFERROR(__xludf.DUMMYFUNCTION("""COMPUTED_VALUE"""),"CATITO SALGADOS E DOCES")</f>
        <v>CATITO SALGADOS E DOCES</v>
      </c>
      <c r="L8353" s="32">
        <f>IFERROR(__xludf.DUMMYFUNCTION("""COMPUTED_VALUE"""),1.0)</f>
        <v>1</v>
      </c>
      <c r="M8353" s="4" t="str">
        <f>IFERROR(__xludf.DUMMYFUNCTION("""COMPUTED_VALUE"""),"null")</f>
        <v>null</v>
      </c>
      <c r="N8353" s="33">
        <f>IFERROR(__xludf.DUMMYFUNCTION("""COMPUTED_VALUE"""),1.0)</f>
        <v>1</v>
      </c>
      <c r="O8353" s="4" t="str">
        <f>IFERROR(__xludf.DUMMYFUNCTION("""COMPUTED_VALUE"""),"Anota Ai Solucoes Digitais S/a")</f>
        <v>Anota Ai Solucoes Digitais S/a</v>
      </c>
      <c r="P8353" s="33">
        <f>IFERROR(__xludf.DUMMYFUNCTION("""COMPUTED_VALUE"""),1.0)</f>
        <v>1</v>
      </c>
      <c r="Q8353" s="4" t="str">
        <f>IFERROR(__xludf.DUMMYFUNCTION("""COMPUTED_VALUE"""),"null")</f>
        <v>null</v>
      </c>
      <c r="R8353" s="33">
        <f>IFERROR(__xludf.DUMMYFUNCTION("""COMPUTED_VALUE"""),1.0)</f>
        <v>1</v>
      </c>
      <c r="S8353" s="4" t="str">
        <f>IFERROR(__xludf.DUMMYFUNCTION("""COMPUTED_VALUE"""),"null")</f>
        <v>null</v>
      </c>
      <c r="T8353" s="33">
        <f>IFERROR(__xludf.DUMMYFUNCTION("""COMPUTED_VALUE"""),1.0)</f>
        <v>1</v>
      </c>
      <c r="U8353" s="4" t="str">
        <f>IFERROR(__xludf.DUMMYFUNCTION("""COMPUTED_VALUE"""),"null")</f>
        <v>null</v>
      </c>
      <c r="V8353" s="33">
        <f>IFERROR(__xludf.DUMMYFUNCTION("""COMPUTED_VALUE"""),1.0)</f>
        <v>1</v>
      </c>
      <c r="W8353" s="4" t="str">
        <f>IFERROR(__xludf.DUMMYFUNCTION("""COMPUTED_VALUE"""),"null")</f>
        <v>null</v>
      </c>
      <c r="X8353" s="33">
        <f>IFERROR(__xludf.DUMMYFUNCTION("""COMPUTED_VALUE"""),1.0)</f>
        <v>1</v>
      </c>
    </row>
    <row r="8354">
      <c r="K8354" s="4" t="str">
        <f>IFERROR(__xludf.DUMMYFUNCTION("""COMPUTED_VALUE"""),"GO CHICKEN - FRANGO FRITO PORCOES")</f>
        <v>GO CHICKEN - FRANGO FRITO PORCOES</v>
      </c>
      <c r="L8354" s="32">
        <f>IFERROR(__xludf.DUMMYFUNCTION("""COMPUTED_VALUE"""),1.0)</f>
        <v>1</v>
      </c>
      <c r="M8354" s="4" t="str">
        <f>IFERROR(__xludf.DUMMYFUNCTION("""COMPUTED_VALUE"""),"Suitable Tecnologia E Gestao")</f>
        <v>Suitable Tecnologia E Gestao</v>
      </c>
      <c r="N8354" s="33">
        <f>IFERROR(__xludf.DUMMYFUNCTION("""COMPUTED_VALUE"""),1.0)</f>
        <v>1</v>
      </c>
      <c r="O8354" s="4" t="str">
        <f>IFERROR(__xludf.DUMMYFUNCTION("""COMPUTED_VALUE"""),"Suitable Tecnologia E Gestao")</f>
        <v>Suitable Tecnologia E Gestao</v>
      </c>
      <c r="P8354" s="33">
        <f>IFERROR(__xludf.DUMMYFUNCTION("""COMPUTED_VALUE"""),1.0)</f>
        <v>1</v>
      </c>
      <c r="Q8354" s="4" t="str">
        <f>IFERROR(__xludf.DUMMYFUNCTION("""COMPUTED_VALUE"""),"Suitable Tecnologia E Gestao")</f>
        <v>Suitable Tecnologia E Gestao</v>
      </c>
      <c r="R8354" s="33">
        <f>IFERROR(__xludf.DUMMYFUNCTION("""COMPUTED_VALUE"""),1.0)</f>
        <v>1</v>
      </c>
      <c r="S8354" s="4" t="str">
        <f>IFERROR(__xludf.DUMMYFUNCTION("""COMPUTED_VALUE"""),"Suitable Tecnologia E Gestao")</f>
        <v>Suitable Tecnologia E Gestao</v>
      </c>
      <c r="T8354" s="33">
        <f>IFERROR(__xludf.DUMMYFUNCTION("""COMPUTED_VALUE"""),1.0)</f>
        <v>1</v>
      </c>
      <c r="U8354" s="4" t="str">
        <f>IFERROR(__xludf.DUMMYFUNCTION("""COMPUTED_VALUE"""),"Suitable Tecnologia E Gestao")</f>
        <v>Suitable Tecnologia E Gestao</v>
      </c>
      <c r="V8354" s="33">
        <f>IFERROR(__xludf.DUMMYFUNCTION("""COMPUTED_VALUE"""),1.0)</f>
        <v>1</v>
      </c>
      <c r="W8354" s="4" t="str">
        <f>IFERROR(__xludf.DUMMYFUNCTION("""COMPUTED_VALUE"""),"Suitable Tecnologia E Gestao")</f>
        <v>Suitable Tecnologia E Gestao</v>
      </c>
      <c r="X8354" s="33">
        <f>IFERROR(__xludf.DUMMYFUNCTION("""COMPUTED_VALUE"""),1.0)</f>
        <v>1</v>
      </c>
    </row>
    <row r="8355">
      <c r="K8355" s="4" t="str">
        <f>IFERROR(__xludf.DUMMYFUNCTION("""COMPUTED_VALUE"""),"PIZZAS ROMA SANTANA")</f>
        <v>PIZZAS ROMA SANTANA</v>
      </c>
      <c r="L8355" s="32">
        <f>IFERROR(__xludf.DUMMYFUNCTION("""COMPUTED_VALUE"""),1.0)</f>
        <v>1</v>
      </c>
      <c r="M8355" s="4" t="str">
        <f>IFERROR(__xludf.DUMMYFUNCTION("""COMPUTED_VALUE"""),"Premio Sistemas Ltda")</f>
        <v>Premio Sistemas Ltda</v>
      </c>
      <c r="N8355" s="33">
        <f>IFERROR(__xludf.DUMMYFUNCTION("""COMPUTED_VALUE"""),1.0)</f>
        <v>1</v>
      </c>
      <c r="O8355" s="4" t="str">
        <f>IFERROR(__xludf.DUMMYFUNCTION("""COMPUTED_VALUE"""),"Premio Sistemas Ltda")</f>
        <v>Premio Sistemas Ltda</v>
      </c>
      <c r="P8355" s="33">
        <f>IFERROR(__xludf.DUMMYFUNCTION("""COMPUTED_VALUE"""),1.0)</f>
        <v>1</v>
      </c>
      <c r="Q8355" s="4" t="str">
        <f>IFERROR(__xludf.DUMMYFUNCTION("""COMPUTED_VALUE"""),"Premio Sistemas Ltda")</f>
        <v>Premio Sistemas Ltda</v>
      </c>
      <c r="R8355" s="33">
        <f>IFERROR(__xludf.DUMMYFUNCTION("""COMPUTED_VALUE"""),1.0)</f>
        <v>1</v>
      </c>
      <c r="S8355" s="4" t="str">
        <f>IFERROR(__xludf.DUMMYFUNCTION("""COMPUTED_VALUE"""),"Premio Sistemas Ltda")</f>
        <v>Premio Sistemas Ltda</v>
      </c>
      <c r="T8355" s="33">
        <f>IFERROR(__xludf.DUMMYFUNCTION("""COMPUTED_VALUE"""),1.0)</f>
        <v>1</v>
      </c>
      <c r="U8355" s="4" t="str">
        <f>IFERROR(__xludf.DUMMYFUNCTION("""COMPUTED_VALUE"""),"Premio Sistemas Ltda")</f>
        <v>Premio Sistemas Ltda</v>
      </c>
      <c r="V8355" s="33">
        <f>IFERROR(__xludf.DUMMYFUNCTION("""COMPUTED_VALUE"""),1.0)</f>
        <v>1</v>
      </c>
      <c r="W8355" s="4" t="str">
        <f>IFERROR(__xludf.DUMMYFUNCTION("""COMPUTED_VALUE"""),"Premio Sistemas Ltda")</f>
        <v>Premio Sistemas Ltda</v>
      </c>
      <c r="X8355" s="33">
        <f>IFERROR(__xludf.DUMMYFUNCTION("""COMPUTED_VALUE"""),1.0)</f>
        <v>1</v>
      </c>
    </row>
    <row r="8356">
      <c r="K8356" s="4" t="str">
        <f>IFERROR(__xludf.DUMMYFUNCTION("""COMPUTED_VALUE"""),"PIZZA I HOP SO")</f>
        <v>PIZZA I HOP SO</v>
      </c>
      <c r="L8356" s="32">
        <f>IFERROR(__xludf.DUMMYFUNCTION("""COMPUTED_VALUE"""),1.0)</f>
        <v>1</v>
      </c>
      <c r="M8356" s="4" t="str">
        <f>IFERROR(__xludf.DUMMYFUNCTION("""COMPUTED_VALUE"""),"Takeat Tecnologia")</f>
        <v>Takeat Tecnologia</v>
      </c>
      <c r="N8356" s="33">
        <f>IFERROR(__xludf.DUMMYFUNCTION("""COMPUTED_VALUE"""),1.0)</f>
        <v>1</v>
      </c>
      <c r="O8356" s="4" t="str">
        <f>IFERROR(__xludf.DUMMYFUNCTION("""COMPUTED_VALUE"""),"Takeat Tecnologia")</f>
        <v>Takeat Tecnologia</v>
      </c>
      <c r="P8356" s="33">
        <f>IFERROR(__xludf.DUMMYFUNCTION("""COMPUTED_VALUE"""),1.0)</f>
        <v>1</v>
      </c>
      <c r="Q8356" s="4" t="str">
        <f>IFERROR(__xludf.DUMMYFUNCTION("""COMPUTED_VALUE"""),"Takeat Tecnologia")</f>
        <v>Takeat Tecnologia</v>
      </c>
      <c r="R8356" s="33">
        <f>IFERROR(__xludf.DUMMYFUNCTION("""COMPUTED_VALUE"""),1.0)</f>
        <v>1</v>
      </c>
      <c r="S8356" s="4" t="str">
        <f>IFERROR(__xludf.DUMMYFUNCTION("""COMPUTED_VALUE"""),"null")</f>
        <v>null</v>
      </c>
      <c r="T8356" s="33">
        <f>IFERROR(__xludf.DUMMYFUNCTION("""COMPUTED_VALUE"""),1.0)</f>
        <v>1</v>
      </c>
      <c r="U8356" s="4" t="str">
        <f>IFERROR(__xludf.DUMMYFUNCTION("""COMPUTED_VALUE"""),"null")</f>
        <v>null</v>
      </c>
      <c r="V8356" s="33">
        <f>IFERROR(__xludf.DUMMYFUNCTION("""COMPUTED_VALUE"""),1.0)</f>
        <v>1</v>
      </c>
      <c r="W8356" s="4" t="str">
        <f>IFERROR(__xludf.DUMMYFUNCTION("""COMPUTED_VALUE"""),"null")</f>
        <v>null</v>
      </c>
      <c r="X8356" s="33">
        <f>IFERROR(__xludf.DUMMYFUNCTION("""COMPUTED_VALUE"""),1.0)</f>
        <v>1</v>
      </c>
    </row>
    <row r="8357">
      <c r="K8357" s="4" t="str">
        <f>IFERROR(__xludf.DUMMYFUNCTION("""COMPUTED_VALUE"""),"NA POLE POSITION PIZZA POR METRO")</f>
        <v>NA POLE POSITION PIZZA POR METRO</v>
      </c>
      <c r="L8357" s="32">
        <f>IFERROR(__xludf.DUMMYFUNCTION("""COMPUTED_VALUE"""),1.0)</f>
        <v>1</v>
      </c>
      <c r="M8357" s="4" t="str">
        <f>IFERROR(__xludf.DUMMYFUNCTION("""COMPUTED_VALUE"""),"Saipos Serviços De Software")</f>
        <v>Saipos Serviços De Software</v>
      </c>
      <c r="N8357" s="33">
        <f>IFERROR(__xludf.DUMMYFUNCTION("""COMPUTED_VALUE"""),1.0)</f>
        <v>1</v>
      </c>
      <c r="O8357" s="4" t="str">
        <f>IFERROR(__xludf.DUMMYFUNCTION("""COMPUTED_VALUE"""),"Saipos Serviços De Software")</f>
        <v>Saipos Serviços De Software</v>
      </c>
      <c r="P8357" s="33">
        <f>IFERROR(__xludf.DUMMYFUNCTION("""COMPUTED_VALUE"""),1.0)</f>
        <v>1</v>
      </c>
      <c r="Q8357" s="4" t="str">
        <f>IFERROR(__xludf.DUMMYFUNCTION("""COMPUTED_VALUE"""),"Saipos Serviços De Software")</f>
        <v>Saipos Serviços De Software</v>
      </c>
      <c r="R8357" s="33">
        <f>IFERROR(__xludf.DUMMYFUNCTION("""COMPUTED_VALUE"""),1.0)</f>
        <v>1</v>
      </c>
      <c r="S8357" s="4" t="str">
        <f>IFERROR(__xludf.DUMMYFUNCTION("""COMPUTED_VALUE"""),"Saipos Serviços De Software")</f>
        <v>Saipos Serviços De Software</v>
      </c>
      <c r="T8357" s="33">
        <f>IFERROR(__xludf.DUMMYFUNCTION("""COMPUTED_VALUE"""),1.0)</f>
        <v>1</v>
      </c>
      <c r="U8357" s="4" t="str">
        <f>IFERROR(__xludf.DUMMYFUNCTION("""COMPUTED_VALUE"""),"Saipos Serviços De Software")</f>
        <v>Saipos Serviços De Software</v>
      </c>
      <c r="V8357" s="33">
        <f>IFERROR(__xludf.DUMMYFUNCTION("""COMPUTED_VALUE"""),1.0)</f>
        <v>1</v>
      </c>
      <c r="W8357" s="4" t="str">
        <f>IFERROR(__xludf.DUMMYFUNCTION("""COMPUTED_VALUE"""),"Saipos Serviços De Software")</f>
        <v>Saipos Serviços De Software</v>
      </c>
      <c r="X8357" s="33">
        <f>IFERROR(__xludf.DUMMYFUNCTION("""COMPUTED_VALUE"""),1.0)</f>
        <v>1</v>
      </c>
    </row>
    <row r="8358">
      <c r="K8358" s="4" t="str">
        <f>IFERROR(__xludf.DUMMYFUNCTION("""COMPUTED_VALUE"""),"SLPHARMA")</f>
        <v>SLPHARMA</v>
      </c>
      <c r="L8358" s="32">
        <f>IFERROR(__xludf.DUMMYFUNCTION("""COMPUTED_VALUE"""),1.0)</f>
        <v>1</v>
      </c>
      <c r="M8358" s="4" t="str">
        <f>IFERROR(__xludf.DUMMYFUNCTION("""COMPUTED_VALUE"""),"N/A (Not found)")</f>
        <v>N/A (Not found)</v>
      </c>
      <c r="N8358" s="33">
        <f>IFERROR(__xludf.DUMMYFUNCTION("""COMPUTED_VALUE"""),1.0)</f>
        <v>1</v>
      </c>
      <c r="O8358" s="4" t="str">
        <f>IFERROR(__xludf.DUMMYFUNCTION("""COMPUTED_VALUE"""),"N/A (Not found)")</f>
        <v>N/A (Not found)</v>
      </c>
      <c r="P8358" s="33">
        <f>IFERROR(__xludf.DUMMYFUNCTION("""COMPUTED_VALUE"""),1.0)</f>
        <v>1</v>
      </c>
      <c r="Q8358" s="4" t="str">
        <f>IFERROR(__xludf.DUMMYFUNCTION("""COMPUTED_VALUE"""),"N/A (Not found)")</f>
        <v>N/A (Not found)</v>
      </c>
      <c r="R8358" s="33">
        <f>IFERROR(__xludf.DUMMYFUNCTION("""COMPUTED_VALUE"""),1.0)</f>
        <v>1</v>
      </c>
      <c r="S8358" s="4" t="str">
        <f>IFERROR(__xludf.DUMMYFUNCTION("""COMPUTED_VALUE"""),"N/A (Not found)")</f>
        <v>N/A (Not found)</v>
      </c>
      <c r="T8358" s="33">
        <f>IFERROR(__xludf.DUMMYFUNCTION("""COMPUTED_VALUE"""),1.0)</f>
        <v>1</v>
      </c>
      <c r="U8358" s="4" t="str">
        <f>IFERROR(__xludf.DUMMYFUNCTION("""COMPUTED_VALUE"""),"N/A (Not found)")</f>
        <v>N/A (Not found)</v>
      </c>
      <c r="V8358" s="33">
        <f>IFERROR(__xludf.DUMMYFUNCTION("""COMPUTED_VALUE"""),1.0)</f>
        <v>1</v>
      </c>
      <c r="W8358" s="4" t="str">
        <f>IFERROR(__xludf.DUMMYFUNCTION("""COMPUTED_VALUE"""),"null")</f>
        <v>null</v>
      </c>
      <c r="X8358" s="33">
        <f>IFERROR(__xludf.DUMMYFUNCTION("""COMPUTED_VALUE"""),1.0)</f>
        <v>1</v>
      </c>
    </row>
    <row r="8359">
      <c r="K8359" s="4" t="str">
        <f>IFERROR(__xludf.DUMMYFUNCTION("""COMPUTED_VALUE"""),"POLLO LOKO ITU")</f>
        <v>POLLO LOKO ITU</v>
      </c>
      <c r="L8359" s="32">
        <f>IFERROR(__xludf.DUMMYFUNCTION("""COMPUTED_VALUE"""),1.0)</f>
        <v>1</v>
      </c>
      <c r="M8359" s="4" t="str">
        <f>IFERROR(__xludf.DUMMYFUNCTION("""COMPUTED_VALUE"""),"Onpedido")</f>
        <v>Onpedido</v>
      </c>
      <c r="N8359" s="33">
        <f>IFERROR(__xludf.DUMMYFUNCTION("""COMPUTED_VALUE"""),1.0)</f>
        <v>1</v>
      </c>
      <c r="O8359" s="4" t="str">
        <f>IFERROR(__xludf.DUMMYFUNCTION("""COMPUTED_VALUE"""),"null")</f>
        <v>null</v>
      </c>
      <c r="P8359" s="33">
        <f>IFERROR(__xludf.DUMMYFUNCTION("""COMPUTED_VALUE"""),1.0)</f>
        <v>1</v>
      </c>
      <c r="Q8359" s="4" t="str">
        <f>IFERROR(__xludf.DUMMYFUNCTION("""COMPUTED_VALUE"""),"Onpedido")</f>
        <v>Onpedido</v>
      </c>
      <c r="R8359" s="33">
        <f>IFERROR(__xludf.DUMMYFUNCTION("""COMPUTED_VALUE"""),1.0)</f>
        <v>1</v>
      </c>
      <c r="S8359" s="4" t="str">
        <f>IFERROR(__xludf.DUMMYFUNCTION("""COMPUTED_VALUE"""),"null")</f>
        <v>null</v>
      </c>
      <c r="T8359" s="33">
        <f>IFERROR(__xludf.DUMMYFUNCTION("""COMPUTED_VALUE"""),1.0)</f>
        <v>1</v>
      </c>
      <c r="U8359" s="4" t="str">
        <f>IFERROR(__xludf.DUMMYFUNCTION("""COMPUTED_VALUE"""),"Datacaixa Pdv")</f>
        <v>Datacaixa Pdv</v>
      </c>
      <c r="V8359" s="33">
        <f>IFERROR(__xludf.DUMMYFUNCTION("""COMPUTED_VALUE"""),1.0)</f>
        <v>1</v>
      </c>
      <c r="W8359" s="4" t="str">
        <f>IFERROR(__xludf.DUMMYFUNCTION("""COMPUTED_VALUE"""),"Onpedido")</f>
        <v>Onpedido</v>
      </c>
      <c r="X8359" s="33">
        <f>IFERROR(__xludf.DUMMYFUNCTION("""COMPUTED_VALUE"""),1.0)</f>
        <v>1</v>
      </c>
    </row>
    <row r="8360">
      <c r="K8360" s="4" t="str">
        <f>IFERROR(__xludf.DUMMYFUNCTION("""COMPUTED_VALUE"""),"ARABIS ERECHIM")</f>
        <v>ARABIS ERECHIM</v>
      </c>
      <c r="L8360" s="32">
        <f>IFERROR(__xludf.DUMMYFUNCTION("""COMPUTED_VALUE"""),1.0)</f>
        <v>1</v>
      </c>
      <c r="M8360" s="4" t="str">
        <f>IFERROR(__xludf.DUMMYFUNCTION("""COMPUTED_VALUE"""),"Rw Informática Ltda")</f>
        <v>Rw Informática Ltda</v>
      </c>
      <c r="N8360" s="33">
        <f>IFERROR(__xludf.DUMMYFUNCTION("""COMPUTED_VALUE"""),1.0)</f>
        <v>1</v>
      </c>
      <c r="O8360" s="4" t="str">
        <f>IFERROR(__xludf.DUMMYFUNCTION("""COMPUTED_VALUE"""),"Rw Informática Ltda")</f>
        <v>Rw Informática Ltda</v>
      </c>
      <c r="P8360" s="33">
        <f>IFERROR(__xludf.DUMMYFUNCTION("""COMPUTED_VALUE"""),1.0)</f>
        <v>1</v>
      </c>
      <c r="Q8360" s="4" t="str">
        <f>IFERROR(__xludf.DUMMYFUNCTION("""COMPUTED_VALUE"""),"Rw Informática Ltda")</f>
        <v>Rw Informática Ltda</v>
      </c>
      <c r="R8360" s="33">
        <f>IFERROR(__xludf.DUMMYFUNCTION("""COMPUTED_VALUE"""),1.0)</f>
        <v>1</v>
      </c>
      <c r="S8360" s="4" t="str">
        <f>IFERROR(__xludf.DUMMYFUNCTION("""COMPUTED_VALUE"""),"null")</f>
        <v>null</v>
      </c>
      <c r="T8360" s="33">
        <f>IFERROR(__xludf.DUMMYFUNCTION("""COMPUTED_VALUE"""),1.0)</f>
        <v>1</v>
      </c>
      <c r="U8360" s="4" t="str">
        <f>IFERROR(__xludf.DUMMYFUNCTION("""COMPUTED_VALUE"""),"null")</f>
        <v>null</v>
      </c>
      <c r="V8360" s="33">
        <f>IFERROR(__xludf.DUMMYFUNCTION("""COMPUTED_VALUE"""),1.0)</f>
        <v>1</v>
      </c>
      <c r="W8360" s="4" t="str">
        <f>IFERROR(__xludf.DUMMYFUNCTION("""COMPUTED_VALUE"""),"null")</f>
        <v>null</v>
      </c>
      <c r="X8360" s="33">
        <f>IFERROR(__xludf.DUMMYFUNCTION("""COMPUTED_VALUE"""),1.0)</f>
        <v>1</v>
      </c>
    </row>
    <row r="8361">
      <c r="K8361" s="4" t="str">
        <f>IFERROR(__xludf.DUMMYFUNCTION("""COMPUTED_VALUE"""),"PIZZARIA CAITANO")</f>
        <v>PIZZARIA CAITANO</v>
      </c>
      <c r="L8361" s="32">
        <f>IFERROR(__xludf.DUMMYFUNCTION("""COMPUTED_VALUE"""),1.0)</f>
        <v>1</v>
      </c>
      <c r="M8361" s="4" t="str">
        <f>IFERROR(__xludf.DUMMYFUNCTION("""COMPUTED_VALUE"""),"Brendi")</f>
        <v>Brendi</v>
      </c>
      <c r="N8361" s="33">
        <f>IFERROR(__xludf.DUMMYFUNCTION("""COMPUTED_VALUE"""),1.0)</f>
        <v>1</v>
      </c>
      <c r="O8361" s="4" t="str">
        <f>IFERROR(__xludf.DUMMYFUNCTION("""COMPUTED_VALUE"""),"Brendi")</f>
        <v>Brendi</v>
      </c>
      <c r="P8361" s="33">
        <f>IFERROR(__xludf.DUMMYFUNCTION("""COMPUTED_VALUE"""),1.0)</f>
        <v>1</v>
      </c>
      <c r="Q8361" s="4" t="str">
        <f>IFERROR(__xludf.DUMMYFUNCTION("""COMPUTED_VALUE"""),"Brendi")</f>
        <v>Brendi</v>
      </c>
      <c r="R8361" s="33">
        <f>IFERROR(__xludf.DUMMYFUNCTION("""COMPUTED_VALUE"""),1.0)</f>
        <v>1</v>
      </c>
      <c r="S8361" s="4" t="str">
        <f>IFERROR(__xludf.DUMMYFUNCTION("""COMPUTED_VALUE"""),"Brendi")</f>
        <v>Brendi</v>
      </c>
      <c r="T8361" s="33">
        <f>IFERROR(__xludf.DUMMYFUNCTION("""COMPUTED_VALUE"""),1.0)</f>
        <v>1</v>
      </c>
      <c r="U8361" s="4" t="str">
        <f>IFERROR(__xludf.DUMMYFUNCTION("""COMPUTED_VALUE"""),"null")</f>
        <v>null</v>
      </c>
      <c r="V8361" s="33">
        <f>IFERROR(__xludf.DUMMYFUNCTION("""COMPUTED_VALUE"""),1.0)</f>
        <v>1</v>
      </c>
      <c r="W8361" s="4" t="str">
        <f>IFERROR(__xludf.DUMMYFUNCTION("""COMPUTED_VALUE"""),"Brendi")</f>
        <v>Brendi</v>
      </c>
      <c r="X8361" s="33">
        <f>IFERROR(__xludf.DUMMYFUNCTION("""COMPUTED_VALUE"""),1.0)</f>
        <v>1</v>
      </c>
    </row>
    <row r="8362">
      <c r="K8362" s="4" t="str">
        <f>IFERROR(__xludf.DUMMYFUNCTION("""COMPUTED_VALUE"""),"CASARAO")</f>
        <v>CASARAO</v>
      </c>
      <c r="L8362" s="32">
        <f>IFERROR(__xludf.DUMMYFUNCTION("""COMPUTED_VALUE"""),1.0)</f>
        <v>1</v>
      </c>
      <c r="M8362" s="4" t="str">
        <f>IFERROR(__xludf.DUMMYFUNCTION("""COMPUTED_VALUE"""),"Insert Code Informatica Ltda")</f>
        <v>Insert Code Informatica Ltda</v>
      </c>
      <c r="N8362" s="33">
        <f>IFERROR(__xludf.DUMMYFUNCTION("""COMPUTED_VALUE"""),1.0)</f>
        <v>1</v>
      </c>
      <c r="O8362" s="4" t="str">
        <f>IFERROR(__xludf.DUMMYFUNCTION("""COMPUTED_VALUE"""),"Insert Code Informatica Ltda")</f>
        <v>Insert Code Informatica Ltda</v>
      </c>
      <c r="P8362" s="33">
        <f>IFERROR(__xludf.DUMMYFUNCTION("""COMPUTED_VALUE"""),1.0)</f>
        <v>1</v>
      </c>
      <c r="Q8362" s="4" t="str">
        <f>IFERROR(__xludf.DUMMYFUNCTION("""COMPUTED_VALUE"""),"Insert Code Informatica Ltda")</f>
        <v>Insert Code Informatica Ltda</v>
      </c>
      <c r="R8362" s="33">
        <f>IFERROR(__xludf.DUMMYFUNCTION("""COMPUTED_VALUE"""),1.0)</f>
        <v>1</v>
      </c>
      <c r="S8362" s="4" t="str">
        <f>IFERROR(__xludf.DUMMYFUNCTION("""COMPUTED_VALUE"""),"Insert Code Informatica Ltda")</f>
        <v>Insert Code Informatica Ltda</v>
      </c>
      <c r="T8362" s="33">
        <f>IFERROR(__xludf.DUMMYFUNCTION("""COMPUTED_VALUE"""),1.0)</f>
        <v>1</v>
      </c>
      <c r="U8362" s="4" t="str">
        <f>IFERROR(__xludf.DUMMYFUNCTION("""COMPUTED_VALUE"""),"Insert Code Informatica Ltda")</f>
        <v>Insert Code Informatica Ltda</v>
      </c>
      <c r="V8362" s="33">
        <f>IFERROR(__xludf.DUMMYFUNCTION("""COMPUTED_VALUE"""),1.0)</f>
        <v>1</v>
      </c>
      <c r="W8362" s="4" t="str">
        <f>IFERROR(__xludf.DUMMYFUNCTION("""COMPUTED_VALUE"""),"Insert Code Informatica Ltda")</f>
        <v>Insert Code Informatica Ltda</v>
      </c>
      <c r="X8362" s="33">
        <f>IFERROR(__xludf.DUMMYFUNCTION("""COMPUTED_VALUE"""),1.0)</f>
        <v>1</v>
      </c>
    </row>
    <row r="8363">
      <c r="K8363" s="4" t="str">
        <f>IFERROR(__xludf.DUMMYFUNCTION("""COMPUTED_VALUE"""),"BURGUEIROS LAB")</f>
        <v>BURGUEIROS LAB</v>
      </c>
      <c r="L8363" s="32">
        <f>IFERROR(__xludf.DUMMYFUNCTION("""COMPUTED_VALUE"""),1.0)</f>
        <v>1</v>
      </c>
      <c r="M8363" s="4" t="str">
        <f>IFERROR(__xludf.DUMMYFUNCTION("""COMPUTED_VALUE"""),"Saipos Serviços De Software")</f>
        <v>Saipos Serviços De Software</v>
      </c>
      <c r="N8363" s="33">
        <f>IFERROR(__xludf.DUMMYFUNCTION("""COMPUTED_VALUE"""),1.0)</f>
        <v>1</v>
      </c>
      <c r="O8363" s="4" t="str">
        <f>IFERROR(__xludf.DUMMYFUNCTION("""COMPUTED_VALUE"""),"Saipos Serviços De Software")</f>
        <v>Saipos Serviços De Software</v>
      </c>
      <c r="P8363" s="33">
        <f>IFERROR(__xludf.DUMMYFUNCTION("""COMPUTED_VALUE"""),1.0)</f>
        <v>1</v>
      </c>
      <c r="Q8363" s="4" t="str">
        <f>IFERROR(__xludf.DUMMYFUNCTION("""COMPUTED_VALUE"""),"Saipos Serviços De Software")</f>
        <v>Saipos Serviços De Software</v>
      </c>
      <c r="R8363" s="33">
        <f>IFERROR(__xludf.DUMMYFUNCTION("""COMPUTED_VALUE"""),1.0)</f>
        <v>1</v>
      </c>
      <c r="S8363" s="4" t="str">
        <f>IFERROR(__xludf.DUMMYFUNCTION("""COMPUTED_VALUE"""),"Saipos Serviços De Software")</f>
        <v>Saipos Serviços De Software</v>
      </c>
      <c r="T8363" s="33">
        <f>IFERROR(__xludf.DUMMYFUNCTION("""COMPUTED_VALUE"""),1.0)</f>
        <v>1</v>
      </c>
      <c r="U8363" s="4" t="str">
        <f>IFERROR(__xludf.DUMMYFUNCTION("""COMPUTED_VALUE"""),"Saipos Serviços De Software")</f>
        <v>Saipos Serviços De Software</v>
      </c>
      <c r="V8363" s="33">
        <f>IFERROR(__xludf.DUMMYFUNCTION("""COMPUTED_VALUE"""),1.0)</f>
        <v>1</v>
      </c>
      <c r="W8363" s="4" t="str">
        <f>IFERROR(__xludf.DUMMYFUNCTION("""COMPUTED_VALUE"""),"Saipos Serviços De Software")</f>
        <v>Saipos Serviços De Software</v>
      </c>
      <c r="X8363" s="33">
        <f>IFERROR(__xludf.DUMMYFUNCTION("""COMPUTED_VALUE"""),1.0)</f>
        <v>1</v>
      </c>
    </row>
    <row r="8364">
      <c r="K8364" s="4" t="str">
        <f>IFERROR(__xludf.DUMMYFUNCTION("""COMPUTED_VALUE"""),"THE AFTER STEAKHOUSE BURGUER")</f>
        <v>THE AFTER STEAKHOUSE BURGUER</v>
      </c>
      <c r="L8364" s="32">
        <f>IFERROR(__xludf.DUMMYFUNCTION("""COMPUTED_VALUE"""),1.0)</f>
        <v>1</v>
      </c>
      <c r="M8364" s="4" t="str">
        <f>IFERROR(__xludf.DUMMYFUNCTION("""COMPUTED_VALUE"""),"Menew - Linx")</f>
        <v>Menew - Linx</v>
      </c>
      <c r="N8364" s="33">
        <f>IFERROR(__xludf.DUMMYFUNCTION("""COMPUTED_VALUE"""),1.0)</f>
        <v>1</v>
      </c>
      <c r="O8364" s="4" t="str">
        <f>IFERROR(__xludf.DUMMYFUNCTION("""COMPUTED_VALUE"""),"null")</f>
        <v>null</v>
      </c>
      <c r="P8364" s="33">
        <f>IFERROR(__xludf.DUMMYFUNCTION("""COMPUTED_VALUE"""),1.0)</f>
        <v>1</v>
      </c>
      <c r="Q8364" s="4" t="str">
        <f>IFERROR(__xludf.DUMMYFUNCTION("""COMPUTED_VALUE"""),"null")</f>
        <v>null</v>
      </c>
      <c r="R8364" s="33">
        <f>IFERROR(__xludf.DUMMYFUNCTION("""COMPUTED_VALUE"""),1.0)</f>
        <v>1</v>
      </c>
      <c r="S8364" s="4" t="str">
        <f>IFERROR(__xludf.DUMMYFUNCTION("""COMPUTED_VALUE"""),"null")</f>
        <v>null</v>
      </c>
      <c r="T8364" s="33">
        <f>IFERROR(__xludf.DUMMYFUNCTION("""COMPUTED_VALUE"""),1.0)</f>
        <v>1</v>
      </c>
      <c r="U8364" s="4" t="str">
        <f>IFERROR(__xludf.DUMMYFUNCTION("""COMPUTED_VALUE"""),"null")</f>
        <v>null</v>
      </c>
      <c r="V8364" s="33">
        <f>IFERROR(__xludf.DUMMYFUNCTION("""COMPUTED_VALUE"""),1.0)</f>
        <v>1</v>
      </c>
      <c r="W8364" s="4" t="str">
        <f>IFERROR(__xludf.DUMMYFUNCTION("""COMPUTED_VALUE"""),"null")</f>
        <v>null</v>
      </c>
      <c r="X8364" s="33">
        <f>IFERROR(__xludf.DUMMYFUNCTION("""COMPUTED_VALUE"""),1.0)</f>
        <v>1</v>
      </c>
    </row>
    <row r="8365">
      <c r="K8365" s="4" t="str">
        <f>IFERROR(__xludf.DUMMYFUNCTION("""COMPUTED_VALUE"""),"ESPETINHOS KISSPETAO")</f>
        <v>ESPETINHOS KISSPETAO</v>
      </c>
      <c r="L8365" s="32">
        <f>IFERROR(__xludf.DUMMYFUNCTION("""COMPUTED_VALUE"""),1.0)</f>
        <v>1</v>
      </c>
      <c r="M8365" s="4" t="str">
        <f>IFERROR(__xludf.DUMMYFUNCTION("""COMPUTED_VALUE"""),"Anota Ai Solucoes Digitais S/a")</f>
        <v>Anota Ai Solucoes Digitais S/a</v>
      </c>
      <c r="N8365" s="33">
        <f>IFERROR(__xludf.DUMMYFUNCTION("""COMPUTED_VALUE"""),1.0)</f>
        <v>1</v>
      </c>
      <c r="O8365" s="4" t="str">
        <f>IFERROR(__xludf.DUMMYFUNCTION("""COMPUTED_VALUE"""),"null")</f>
        <v>null</v>
      </c>
      <c r="P8365" s="33">
        <f>IFERROR(__xludf.DUMMYFUNCTION("""COMPUTED_VALUE"""),1.0)</f>
        <v>1</v>
      </c>
      <c r="Q8365" s="4" t="str">
        <f>IFERROR(__xludf.DUMMYFUNCTION("""COMPUTED_VALUE"""),"null")</f>
        <v>null</v>
      </c>
      <c r="R8365" s="33">
        <f>IFERROR(__xludf.DUMMYFUNCTION("""COMPUTED_VALUE"""),1.0)</f>
        <v>1</v>
      </c>
      <c r="S8365" s="4" t="str">
        <f>IFERROR(__xludf.DUMMYFUNCTION("""COMPUTED_VALUE"""),"null")</f>
        <v>null</v>
      </c>
      <c r="T8365" s="33">
        <f>IFERROR(__xludf.DUMMYFUNCTION("""COMPUTED_VALUE"""),1.0)</f>
        <v>1</v>
      </c>
      <c r="U8365" s="4" t="str">
        <f>IFERROR(__xludf.DUMMYFUNCTION("""COMPUTED_VALUE"""),"null")</f>
        <v>null</v>
      </c>
      <c r="V8365" s="33">
        <f>IFERROR(__xludf.DUMMYFUNCTION("""COMPUTED_VALUE"""),1.0)</f>
        <v>1</v>
      </c>
      <c r="W8365" s="4" t="str">
        <f>IFERROR(__xludf.DUMMYFUNCTION("""COMPUTED_VALUE"""),"Anota Ai Solucoes Digitais S/a")</f>
        <v>Anota Ai Solucoes Digitais S/a</v>
      </c>
      <c r="X8365" s="33">
        <f>IFERROR(__xludf.DUMMYFUNCTION("""COMPUTED_VALUE"""),1.0)</f>
        <v>1</v>
      </c>
    </row>
    <row r="8366">
      <c r="K8366" s="4" t="str">
        <f>IFERROR(__xludf.DUMMYFUNCTION("""COMPUTED_VALUE"""),"PETS FOOD - DA UMA FOME ANIMAL")</f>
        <v>PETS FOOD - DA UMA FOME ANIMAL</v>
      </c>
      <c r="L8366" s="32">
        <f>IFERROR(__xludf.DUMMYFUNCTION("""COMPUTED_VALUE"""),1.0)</f>
        <v>1</v>
      </c>
      <c r="M8366" s="4" t="str">
        <f>IFERROR(__xludf.DUMMYFUNCTION("""COMPUTED_VALUE"""),"N/A (Not found)")</f>
        <v>N/A (Not found)</v>
      </c>
      <c r="N8366" s="33">
        <f>IFERROR(__xludf.DUMMYFUNCTION("""COMPUTED_VALUE"""),1.0)</f>
        <v>1</v>
      </c>
      <c r="O8366" s="4" t="str">
        <f>IFERROR(__xludf.DUMMYFUNCTION("""COMPUTED_VALUE"""),"N/A (Not found)")</f>
        <v>N/A (Not found)</v>
      </c>
      <c r="P8366" s="33">
        <f>IFERROR(__xludf.DUMMYFUNCTION("""COMPUTED_VALUE"""),1.0)</f>
        <v>1</v>
      </c>
      <c r="Q8366" s="4" t="str">
        <f>IFERROR(__xludf.DUMMYFUNCTION("""COMPUTED_VALUE"""),"N/A (Not found)")</f>
        <v>N/A (Not found)</v>
      </c>
      <c r="R8366" s="33">
        <f>IFERROR(__xludf.DUMMYFUNCTION("""COMPUTED_VALUE"""),1.0)</f>
        <v>1</v>
      </c>
      <c r="S8366" s="4" t="str">
        <f>IFERROR(__xludf.DUMMYFUNCTION("""COMPUTED_VALUE"""),"N/A (Not found)")</f>
        <v>N/A (Not found)</v>
      </c>
      <c r="T8366" s="33">
        <f>IFERROR(__xludf.DUMMYFUNCTION("""COMPUTED_VALUE"""),1.0)</f>
        <v>1</v>
      </c>
      <c r="U8366" s="4" t="str">
        <f>IFERROR(__xludf.DUMMYFUNCTION("""COMPUTED_VALUE"""),"N/A (Not found)")</f>
        <v>N/A (Not found)</v>
      </c>
      <c r="V8366" s="33">
        <f>IFERROR(__xludf.DUMMYFUNCTION("""COMPUTED_VALUE"""),1.0)</f>
        <v>1</v>
      </c>
      <c r="W8366" s="4" t="str">
        <f>IFERROR(__xludf.DUMMYFUNCTION("""COMPUTED_VALUE"""),"N/A (Not found)")</f>
        <v>N/A (Not found)</v>
      </c>
      <c r="X8366" s="33">
        <f>IFERROR(__xludf.DUMMYFUNCTION("""COMPUTED_VALUE"""),1.0)</f>
        <v>1</v>
      </c>
    </row>
    <row r="8367">
      <c r="K8367" s="4" t="str">
        <f>IFERROR(__xludf.DUMMYFUNCTION("""COMPUTED_VALUE"""),"SEJA UNICO CONFEITARIA")</f>
        <v>SEJA UNICO CONFEITARIA</v>
      </c>
      <c r="L8367" s="32">
        <f>IFERROR(__xludf.DUMMYFUNCTION("""COMPUTED_VALUE"""),1.0)</f>
        <v>1</v>
      </c>
      <c r="M8367" s="4" t="str">
        <f>IFERROR(__xludf.DUMMYFUNCTION("""COMPUTED_VALUE"""),"Cardápio Web")</f>
        <v>Cardápio Web</v>
      </c>
      <c r="N8367" s="33">
        <f>IFERROR(__xludf.DUMMYFUNCTION("""COMPUTED_VALUE"""),1.0)</f>
        <v>1</v>
      </c>
      <c r="O8367" s="4" t="str">
        <f>IFERROR(__xludf.DUMMYFUNCTION("""COMPUTED_VALUE"""),"Cardápio Web")</f>
        <v>Cardápio Web</v>
      </c>
      <c r="P8367" s="33">
        <f>IFERROR(__xludf.DUMMYFUNCTION("""COMPUTED_VALUE"""),1.0)</f>
        <v>1</v>
      </c>
      <c r="Q8367" s="4" t="str">
        <f>IFERROR(__xludf.DUMMYFUNCTION("""COMPUTED_VALUE"""),"Cardápio Web")</f>
        <v>Cardápio Web</v>
      </c>
      <c r="R8367" s="33">
        <f>IFERROR(__xludf.DUMMYFUNCTION("""COMPUTED_VALUE"""),1.0)</f>
        <v>1</v>
      </c>
      <c r="S8367" s="4" t="str">
        <f>IFERROR(__xludf.DUMMYFUNCTION("""COMPUTED_VALUE"""),"Cardápio Web")</f>
        <v>Cardápio Web</v>
      </c>
      <c r="T8367" s="33">
        <f>IFERROR(__xludf.DUMMYFUNCTION("""COMPUTED_VALUE"""),1.0)</f>
        <v>1</v>
      </c>
      <c r="U8367" s="4" t="str">
        <f>IFERROR(__xludf.DUMMYFUNCTION("""COMPUTED_VALUE"""),"Cardápio Web")</f>
        <v>Cardápio Web</v>
      </c>
      <c r="V8367" s="33">
        <f>IFERROR(__xludf.DUMMYFUNCTION("""COMPUTED_VALUE"""),1.0)</f>
        <v>1</v>
      </c>
      <c r="W8367" s="4" t="str">
        <f>IFERROR(__xludf.DUMMYFUNCTION("""COMPUTED_VALUE"""),"Cardápio Web")</f>
        <v>Cardápio Web</v>
      </c>
      <c r="X8367" s="33">
        <f>IFERROR(__xludf.DUMMYFUNCTION("""COMPUTED_VALUE"""),1.0)</f>
        <v>1</v>
      </c>
    </row>
    <row r="8368">
      <c r="K8368" s="4" t="str">
        <f>IFERROR(__xludf.DUMMYFUNCTION("""COMPUTED_VALUE"""),"PADARIA TRIGONELA")</f>
        <v>PADARIA TRIGONELA</v>
      </c>
      <c r="L8368" s="32">
        <f>IFERROR(__xludf.DUMMYFUNCTION("""COMPUTED_VALUE"""),1.0)</f>
        <v>1</v>
      </c>
      <c r="M8368" s="4" t="str">
        <f>IFERROR(__xludf.DUMMYFUNCTION("""COMPUTED_VALUE"""),"Sqgtec Sistemas E Suporte Em Tecnologia Da Informacao Ltda")</f>
        <v>Sqgtec Sistemas E Suporte Em Tecnologia Da Informacao Ltda</v>
      </c>
      <c r="N8368" s="33">
        <f>IFERROR(__xludf.DUMMYFUNCTION("""COMPUTED_VALUE"""),1.0)</f>
        <v>1</v>
      </c>
      <c r="O8368" s="4" t="str">
        <f>IFERROR(__xludf.DUMMYFUNCTION("""COMPUTED_VALUE"""),"Sqgtec Sistemas E Suporte Em Tecnologia Da Informacao Ltda")</f>
        <v>Sqgtec Sistemas E Suporte Em Tecnologia Da Informacao Ltda</v>
      </c>
      <c r="P8368" s="33">
        <f>IFERROR(__xludf.DUMMYFUNCTION("""COMPUTED_VALUE"""),1.0)</f>
        <v>1</v>
      </c>
      <c r="Q8368" s="4" t="str">
        <f>IFERROR(__xludf.DUMMYFUNCTION("""COMPUTED_VALUE"""),"Sqgtec Sistemas E Suporte Em Tecnologia Da Informacao Ltda")</f>
        <v>Sqgtec Sistemas E Suporte Em Tecnologia Da Informacao Ltda</v>
      </c>
      <c r="R8368" s="33">
        <f>IFERROR(__xludf.DUMMYFUNCTION("""COMPUTED_VALUE"""),1.0)</f>
        <v>1</v>
      </c>
      <c r="S8368" s="4" t="str">
        <f>IFERROR(__xludf.DUMMYFUNCTION("""COMPUTED_VALUE"""),"Sqgtec Sistemas E Suporte Em Tecnologia Da Informacao Ltda")</f>
        <v>Sqgtec Sistemas E Suporte Em Tecnologia Da Informacao Ltda</v>
      </c>
      <c r="T8368" s="33">
        <f>IFERROR(__xludf.DUMMYFUNCTION("""COMPUTED_VALUE"""),1.0)</f>
        <v>1</v>
      </c>
      <c r="U8368" s="4" t="str">
        <f>IFERROR(__xludf.DUMMYFUNCTION("""COMPUTED_VALUE"""),"Sqgtec Sistemas E Suporte Em Tecnologia Da Informacao Ltda")</f>
        <v>Sqgtec Sistemas E Suporte Em Tecnologia Da Informacao Ltda</v>
      </c>
      <c r="V8368" s="33">
        <f>IFERROR(__xludf.DUMMYFUNCTION("""COMPUTED_VALUE"""),1.0)</f>
        <v>1</v>
      </c>
      <c r="W8368" s="4" t="str">
        <f>IFERROR(__xludf.DUMMYFUNCTION("""COMPUTED_VALUE"""),"Sqgtec Sistemas E Suporte Em Tecnologia Da Informacao Ltda")</f>
        <v>Sqgtec Sistemas E Suporte Em Tecnologia Da Informacao Ltda</v>
      </c>
      <c r="X8368" s="33">
        <f>IFERROR(__xludf.DUMMYFUNCTION("""COMPUTED_VALUE"""),1.0)</f>
        <v>1</v>
      </c>
    </row>
    <row r="8369">
      <c r="K8369" s="4" t="str">
        <f>IFERROR(__xludf.DUMMYFUNCTION("""COMPUTED_VALUE"""),"ACAI DO GALEGUIM")</f>
        <v>ACAI DO GALEGUIM</v>
      </c>
      <c r="L8369" s="32">
        <f>IFERROR(__xludf.DUMMYFUNCTION("""COMPUTED_VALUE"""),1.0)</f>
        <v>1</v>
      </c>
      <c r="M8369" s="4" t="str">
        <f>IFERROR(__xludf.DUMMYFUNCTION("""COMPUTED_VALUE"""),"Cardápio Web")</f>
        <v>Cardápio Web</v>
      </c>
      <c r="N8369" s="33">
        <f>IFERROR(__xludf.DUMMYFUNCTION("""COMPUTED_VALUE"""),1.0)</f>
        <v>1</v>
      </c>
      <c r="O8369" s="4" t="str">
        <f>IFERROR(__xludf.DUMMYFUNCTION("""COMPUTED_VALUE"""),"Cardápio Web")</f>
        <v>Cardápio Web</v>
      </c>
      <c r="P8369" s="33">
        <f>IFERROR(__xludf.DUMMYFUNCTION("""COMPUTED_VALUE"""),1.0)</f>
        <v>1</v>
      </c>
      <c r="Q8369" s="4" t="str">
        <f>IFERROR(__xludf.DUMMYFUNCTION("""COMPUTED_VALUE"""),"Cardápio Web")</f>
        <v>Cardápio Web</v>
      </c>
      <c r="R8369" s="33">
        <f>IFERROR(__xludf.DUMMYFUNCTION("""COMPUTED_VALUE"""),1.0)</f>
        <v>1</v>
      </c>
      <c r="S8369" s="4" t="str">
        <f>IFERROR(__xludf.DUMMYFUNCTION("""COMPUTED_VALUE"""),"Cardápio Web")</f>
        <v>Cardápio Web</v>
      </c>
      <c r="T8369" s="33">
        <f>IFERROR(__xludf.DUMMYFUNCTION("""COMPUTED_VALUE"""),1.0)</f>
        <v>1</v>
      </c>
      <c r="U8369" s="4" t="str">
        <f>IFERROR(__xludf.DUMMYFUNCTION("""COMPUTED_VALUE"""),"Cardápio Web")</f>
        <v>Cardápio Web</v>
      </c>
      <c r="V8369" s="33">
        <f>IFERROR(__xludf.DUMMYFUNCTION("""COMPUTED_VALUE"""),1.0)</f>
        <v>1</v>
      </c>
      <c r="W8369" s="4" t="str">
        <f>IFERROR(__xludf.DUMMYFUNCTION("""COMPUTED_VALUE"""),"Cardápio Web")</f>
        <v>Cardápio Web</v>
      </c>
      <c r="X8369" s="33">
        <f>IFERROR(__xludf.DUMMYFUNCTION("""COMPUTED_VALUE"""),1.0)</f>
        <v>1</v>
      </c>
    </row>
    <row r="8370">
      <c r="K8370" s="4" t="str">
        <f>IFERROR(__xludf.DUMMYFUNCTION("""COMPUTED_VALUE"""),"PITBULL LANCHES")</f>
        <v>PITBULL LANCHES</v>
      </c>
      <c r="L8370" s="32">
        <f>IFERROR(__xludf.DUMMYFUNCTION("""COMPUTED_VALUE"""),1.0)</f>
        <v>1</v>
      </c>
      <c r="M8370" s="4" t="str">
        <f>IFERROR(__xludf.DUMMYFUNCTION("""COMPUTED_VALUE"""),"Anota Ai Solucoes Digitais S/a")</f>
        <v>Anota Ai Solucoes Digitais S/a</v>
      </c>
      <c r="N8370" s="33">
        <f>IFERROR(__xludf.DUMMYFUNCTION("""COMPUTED_VALUE"""),1.0)</f>
        <v>1</v>
      </c>
      <c r="O8370" s="4" t="str">
        <f>IFERROR(__xludf.DUMMYFUNCTION("""COMPUTED_VALUE"""),"null")</f>
        <v>null</v>
      </c>
      <c r="P8370" s="33">
        <f>IFERROR(__xludf.DUMMYFUNCTION("""COMPUTED_VALUE"""),1.0)</f>
        <v>1</v>
      </c>
      <c r="Q8370" s="4" t="str">
        <f>IFERROR(__xludf.DUMMYFUNCTION("""COMPUTED_VALUE"""),"null")</f>
        <v>null</v>
      </c>
      <c r="R8370" s="33">
        <f>IFERROR(__xludf.DUMMYFUNCTION("""COMPUTED_VALUE"""),1.0)</f>
        <v>1</v>
      </c>
      <c r="S8370" s="4" t="str">
        <f>IFERROR(__xludf.DUMMYFUNCTION("""COMPUTED_VALUE"""),"null")</f>
        <v>null</v>
      </c>
      <c r="T8370" s="33">
        <f>IFERROR(__xludf.DUMMYFUNCTION("""COMPUTED_VALUE"""),1.0)</f>
        <v>1</v>
      </c>
      <c r="U8370" s="4" t="str">
        <f>IFERROR(__xludf.DUMMYFUNCTION("""COMPUTED_VALUE"""),"Anota Ai Solucoes Digitais S/a")</f>
        <v>Anota Ai Solucoes Digitais S/a</v>
      </c>
      <c r="V8370" s="33">
        <f>IFERROR(__xludf.DUMMYFUNCTION("""COMPUTED_VALUE"""),1.0)</f>
        <v>1</v>
      </c>
      <c r="W8370" s="4" t="str">
        <f>IFERROR(__xludf.DUMMYFUNCTION("""COMPUTED_VALUE"""),"Anota Ai Solucoes Digitais S/a")</f>
        <v>Anota Ai Solucoes Digitais S/a</v>
      </c>
      <c r="X8370" s="33">
        <f>IFERROR(__xludf.DUMMYFUNCTION("""COMPUTED_VALUE"""),1.0)</f>
        <v>1</v>
      </c>
    </row>
    <row r="8371">
      <c r="K8371" s="4" t="str">
        <f>IFERROR(__xludf.DUMMYFUNCTION("""COMPUTED_VALUE"""),"PIZZARIA RATATOUILLE")</f>
        <v>PIZZARIA RATATOUILLE</v>
      </c>
      <c r="L8371" s="32">
        <f>IFERROR(__xludf.DUMMYFUNCTION("""COMPUTED_VALUE"""),1.0)</f>
        <v>1</v>
      </c>
      <c r="M8371" s="4" t="str">
        <f>IFERROR(__xludf.DUMMYFUNCTION("""COMPUTED_VALUE"""),"Cheff Solutions Tecnologia Brasil")</f>
        <v>Cheff Solutions Tecnologia Brasil</v>
      </c>
      <c r="N8371" s="33">
        <f>IFERROR(__xludf.DUMMYFUNCTION("""COMPUTED_VALUE"""),1.0)</f>
        <v>1</v>
      </c>
      <c r="O8371" s="4" t="str">
        <f>IFERROR(__xludf.DUMMYFUNCTION("""COMPUTED_VALUE"""),"Cheff Solutions Tecnologia Brasil")</f>
        <v>Cheff Solutions Tecnologia Brasil</v>
      </c>
      <c r="P8371" s="33">
        <f>IFERROR(__xludf.DUMMYFUNCTION("""COMPUTED_VALUE"""),1.0)</f>
        <v>1</v>
      </c>
      <c r="Q8371" s="4" t="str">
        <f>IFERROR(__xludf.DUMMYFUNCTION("""COMPUTED_VALUE"""),"Cheff Solutions Tecnologia Brasil")</f>
        <v>Cheff Solutions Tecnologia Brasil</v>
      </c>
      <c r="R8371" s="33">
        <f>IFERROR(__xludf.DUMMYFUNCTION("""COMPUTED_VALUE"""),1.0)</f>
        <v>1</v>
      </c>
      <c r="S8371" s="4" t="str">
        <f>IFERROR(__xludf.DUMMYFUNCTION("""COMPUTED_VALUE"""),"null")</f>
        <v>null</v>
      </c>
      <c r="T8371" s="33">
        <f>IFERROR(__xludf.DUMMYFUNCTION("""COMPUTED_VALUE"""),1.0)</f>
        <v>1</v>
      </c>
      <c r="U8371" s="4" t="str">
        <f>IFERROR(__xludf.DUMMYFUNCTION("""COMPUTED_VALUE"""),"Cheff Solutions Tecnologia Brasil")</f>
        <v>Cheff Solutions Tecnologia Brasil</v>
      </c>
      <c r="V8371" s="33">
        <f>IFERROR(__xludf.DUMMYFUNCTION("""COMPUTED_VALUE"""),1.0)</f>
        <v>1</v>
      </c>
      <c r="W8371" s="4" t="str">
        <f>IFERROR(__xludf.DUMMYFUNCTION("""COMPUTED_VALUE"""),"Cheff Solutions Tecnologia Brasil")</f>
        <v>Cheff Solutions Tecnologia Brasil</v>
      </c>
      <c r="X8371" s="33">
        <f>IFERROR(__xludf.DUMMYFUNCTION("""COMPUTED_VALUE"""),1.0)</f>
        <v>1</v>
      </c>
    </row>
    <row r="8372">
      <c r="K8372" s="4" t="str">
        <f>IFERROR(__xludf.DUMMYFUNCTION("""COMPUTED_VALUE"""),"JEDE RESTAURANTE")</f>
        <v>JEDE RESTAURANTE</v>
      </c>
      <c r="L8372" s="32">
        <f>IFERROR(__xludf.DUMMYFUNCTION("""COMPUTED_VALUE"""),1.0)</f>
        <v>1</v>
      </c>
      <c r="M8372" s="4" t="str">
        <f>IFERROR(__xludf.DUMMYFUNCTION("""COMPUTED_VALUE"""),"Anota Ai Solucoes Digitais S/a")</f>
        <v>Anota Ai Solucoes Digitais S/a</v>
      </c>
      <c r="N8372" s="33">
        <f>IFERROR(__xludf.DUMMYFUNCTION("""COMPUTED_VALUE"""),1.0)</f>
        <v>1</v>
      </c>
      <c r="O8372" s="4" t="str">
        <f>IFERROR(__xludf.DUMMYFUNCTION("""COMPUTED_VALUE"""),"Anota Ai Solucoes Digitais S/a")</f>
        <v>Anota Ai Solucoes Digitais S/a</v>
      </c>
      <c r="P8372" s="33">
        <f>IFERROR(__xludf.DUMMYFUNCTION("""COMPUTED_VALUE"""),1.0)</f>
        <v>1</v>
      </c>
      <c r="Q8372" s="4" t="str">
        <f>IFERROR(__xludf.DUMMYFUNCTION("""COMPUTED_VALUE"""),"Anota Ai Solucoes Digitais S/a")</f>
        <v>Anota Ai Solucoes Digitais S/a</v>
      </c>
      <c r="R8372" s="33">
        <f>IFERROR(__xludf.DUMMYFUNCTION("""COMPUTED_VALUE"""),1.0)</f>
        <v>1</v>
      </c>
      <c r="S8372" s="4" t="str">
        <f>IFERROR(__xludf.DUMMYFUNCTION("""COMPUTED_VALUE"""),"Anota Ai Solucoes Digitais S/a")</f>
        <v>Anota Ai Solucoes Digitais S/a</v>
      </c>
      <c r="T8372" s="33">
        <f>IFERROR(__xludf.DUMMYFUNCTION("""COMPUTED_VALUE"""),1.0)</f>
        <v>1</v>
      </c>
      <c r="U8372" s="4" t="str">
        <f>IFERROR(__xludf.DUMMYFUNCTION("""COMPUTED_VALUE"""),"Anota Ai Solucoes Digitais S/a")</f>
        <v>Anota Ai Solucoes Digitais S/a</v>
      </c>
      <c r="V8372" s="33">
        <f>IFERROR(__xludf.DUMMYFUNCTION("""COMPUTED_VALUE"""),1.0)</f>
        <v>1</v>
      </c>
      <c r="W8372" s="4" t="str">
        <f>IFERROR(__xludf.DUMMYFUNCTION("""COMPUTED_VALUE"""),"Anota Ai Solucoes Digitais S/a")</f>
        <v>Anota Ai Solucoes Digitais S/a</v>
      </c>
      <c r="X8372" s="33">
        <f>IFERROR(__xludf.DUMMYFUNCTION("""COMPUTED_VALUE"""),1.0)</f>
        <v>1</v>
      </c>
    </row>
    <row r="8373">
      <c r="K8373" s="4" t="str">
        <f>IFERROR(__xludf.DUMMYFUNCTION("""COMPUTED_VALUE"""),"HIPOLITO DOCES E EMPADA")</f>
        <v>HIPOLITO DOCES E EMPADA</v>
      </c>
      <c r="L8373" s="32">
        <f>IFERROR(__xludf.DUMMYFUNCTION("""COMPUTED_VALUE"""),1.0)</f>
        <v>1</v>
      </c>
      <c r="M8373" s="4" t="str">
        <f>IFERROR(__xludf.DUMMYFUNCTION("""COMPUTED_VALUE"""),"null")</f>
        <v>null</v>
      </c>
      <c r="N8373" s="33">
        <f>IFERROR(__xludf.DUMMYFUNCTION("""COMPUTED_VALUE"""),1.0)</f>
        <v>1</v>
      </c>
      <c r="O8373" s="4" t="str">
        <f>IFERROR(__xludf.DUMMYFUNCTION("""COMPUTED_VALUE"""),"Fibonacci Soluções Ágeis")</f>
        <v>Fibonacci Soluções Ágeis</v>
      </c>
      <c r="P8373" s="33">
        <f>IFERROR(__xludf.DUMMYFUNCTION("""COMPUTED_VALUE"""),1.0)</f>
        <v>1</v>
      </c>
      <c r="Q8373" s="4" t="str">
        <f>IFERROR(__xludf.DUMMYFUNCTION("""COMPUTED_VALUE"""),"Fibonacci Soluções Ágeis")</f>
        <v>Fibonacci Soluções Ágeis</v>
      </c>
      <c r="R8373" s="33">
        <f>IFERROR(__xludf.DUMMYFUNCTION("""COMPUTED_VALUE"""),1.0)</f>
        <v>1</v>
      </c>
      <c r="S8373" s="4" t="str">
        <f>IFERROR(__xludf.DUMMYFUNCTION("""COMPUTED_VALUE"""),"Fibonacci Soluções Ágeis")</f>
        <v>Fibonacci Soluções Ágeis</v>
      </c>
      <c r="T8373" s="33">
        <f>IFERROR(__xludf.DUMMYFUNCTION("""COMPUTED_VALUE"""),1.0)</f>
        <v>1</v>
      </c>
      <c r="U8373" s="4" t="str">
        <f>IFERROR(__xludf.DUMMYFUNCTION("""COMPUTED_VALUE"""),"Fibonacci Soluções Ágeis")</f>
        <v>Fibonacci Soluções Ágeis</v>
      </c>
      <c r="V8373" s="33">
        <f>IFERROR(__xludf.DUMMYFUNCTION("""COMPUTED_VALUE"""),1.0)</f>
        <v>1</v>
      </c>
      <c r="W8373" s="4" t="str">
        <f>IFERROR(__xludf.DUMMYFUNCTION("""COMPUTED_VALUE"""),"Fibonacci Soluções Ágeis")</f>
        <v>Fibonacci Soluções Ágeis</v>
      </c>
      <c r="X8373" s="33">
        <f>IFERROR(__xludf.DUMMYFUNCTION("""COMPUTED_VALUE"""),1.0)</f>
        <v>1</v>
      </c>
    </row>
    <row r="8374">
      <c r="K8374" s="4" t="str">
        <f>IFERROR(__xludf.DUMMYFUNCTION("""COMPUTED_VALUE"""),"SABOR DO SERTAO - ENTREGA RAPIDA")</f>
        <v>SABOR DO SERTAO - ENTREGA RAPIDA</v>
      </c>
      <c r="L8374" s="32">
        <f>IFERROR(__xludf.DUMMYFUNCTION("""COMPUTED_VALUE"""),1.0)</f>
        <v>1</v>
      </c>
      <c r="M8374" s="4" t="str">
        <f>IFERROR(__xludf.DUMMYFUNCTION("""COMPUTED_VALUE"""),"Cardápio Web")</f>
        <v>Cardápio Web</v>
      </c>
      <c r="N8374" s="33">
        <f>IFERROR(__xludf.DUMMYFUNCTION("""COMPUTED_VALUE"""),1.0)</f>
        <v>1</v>
      </c>
      <c r="O8374" s="4" t="str">
        <f>IFERROR(__xludf.DUMMYFUNCTION("""COMPUTED_VALUE"""),"Cardápio Web")</f>
        <v>Cardápio Web</v>
      </c>
      <c r="P8374" s="33">
        <f>IFERROR(__xludf.DUMMYFUNCTION("""COMPUTED_VALUE"""),1.0)</f>
        <v>1</v>
      </c>
      <c r="Q8374" s="4" t="str">
        <f>IFERROR(__xludf.DUMMYFUNCTION("""COMPUTED_VALUE"""),"Cardápio Web")</f>
        <v>Cardápio Web</v>
      </c>
      <c r="R8374" s="33">
        <f>IFERROR(__xludf.DUMMYFUNCTION("""COMPUTED_VALUE"""),1.0)</f>
        <v>1</v>
      </c>
      <c r="S8374" s="4" t="str">
        <f>IFERROR(__xludf.DUMMYFUNCTION("""COMPUTED_VALUE"""),"Cardápio Web")</f>
        <v>Cardápio Web</v>
      </c>
      <c r="T8374" s="33">
        <f>IFERROR(__xludf.DUMMYFUNCTION("""COMPUTED_VALUE"""),1.0)</f>
        <v>1</v>
      </c>
      <c r="U8374" s="4" t="str">
        <f>IFERROR(__xludf.DUMMYFUNCTION("""COMPUTED_VALUE"""),"Cardápio Web")</f>
        <v>Cardápio Web</v>
      </c>
      <c r="V8374" s="33">
        <f>IFERROR(__xludf.DUMMYFUNCTION("""COMPUTED_VALUE"""),1.0)</f>
        <v>1</v>
      </c>
      <c r="W8374" s="4" t="str">
        <f>IFERROR(__xludf.DUMMYFUNCTION("""COMPUTED_VALUE"""),"Cardápio Web")</f>
        <v>Cardápio Web</v>
      </c>
      <c r="X8374" s="33">
        <f>IFERROR(__xludf.DUMMYFUNCTION("""COMPUTED_VALUE"""),1.0)</f>
        <v>1</v>
      </c>
    </row>
    <row r="8375">
      <c r="K8375" s="4" t="str">
        <f>IFERROR(__xludf.DUMMYFUNCTION("""COMPUTED_VALUE"""),"PAPO RETO ESPETARIA E HAMBURGUERIA")</f>
        <v>PAPO RETO ESPETARIA E HAMBURGUERIA</v>
      </c>
      <c r="L8375" s="32">
        <f>IFERROR(__xludf.DUMMYFUNCTION("""COMPUTED_VALUE"""),1.0)</f>
        <v>1</v>
      </c>
      <c r="M8375" s="4" t="str">
        <f>IFERROR(__xludf.DUMMYFUNCTION("""COMPUTED_VALUE"""),"Consumer Soluções Em Tecnologia Ltda")</f>
        <v>Consumer Soluções Em Tecnologia Ltda</v>
      </c>
      <c r="N8375" s="33">
        <f>IFERROR(__xludf.DUMMYFUNCTION("""COMPUTED_VALUE"""),1.0)</f>
        <v>1</v>
      </c>
      <c r="O8375" s="4" t="str">
        <f>IFERROR(__xludf.DUMMYFUNCTION("""COMPUTED_VALUE"""),"Consumer Soluções Em Tecnologia Ltda")</f>
        <v>Consumer Soluções Em Tecnologia Ltda</v>
      </c>
      <c r="P8375" s="33">
        <f>IFERROR(__xludf.DUMMYFUNCTION("""COMPUTED_VALUE"""),1.0)</f>
        <v>1</v>
      </c>
      <c r="Q8375" s="4" t="str">
        <f>IFERROR(__xludf.DUMMYFUNCTION("""COMPUTED_VALUE"""),"null")</f>
        <v>null</v>
      </c>
      <c r="R8375" s="33">
        <f>IFERROR(__xludf.DUMMYFUNCTION("""COMPUTED_VALUE"""),1.0)</f>
        <v>1</v>
      </c>
      <c r="S8375" s="4" t="str">
        <f>IFERROR(__xludf.DUMMYFUNCTION("""COMPUTED_VALUE"""),"Anota Ai Solucoes Digitais S/a")</f>
        <v>Anota Ai Solucoes Digitais S/a</v>
      </c>
      <c r="T8375" s="33">
        <f>IFERROR(__xludf.DUMMYFUNCTION("""COMPUTED_VALUE"""),1.0)</f>
        <v>1</v>
      </c>
      <c r="U8375" s="4" t="str">
        <f>IFERROR(__xludf.DUMMYFUNCTION("""COMPUTED_VALUE"""),"Consumer Soluções Em Tecnologia Ltda")</f>
        <v>Consumer Soluções Em Tecnologia Ltda</v>
      </c>
      <c r="V8375" s="33">
        <f>IFERROR(__xludf.DUMMYFUNCTION("""COMPUTED_VALUE"""),1.0)</f>
        <v>1</v>
      </c>
      <c r="W8375" s="4" t="str">
        <f>IFERROR(__xludf.DUMMYFUNCTION("""COMPUTED_VALUE"""),"Consumer Soluções Em Tecnologia Ltda")</f>
        <v>Consumer Soluções Em Tecnologia Ltda</v>
      </c>
      <c r="X8375" s="33">
        <f>IFERROR(__xludf.DUMMYFUNCTION("""COMPUTED_VALUE"""),1.0)</f>
        <v>1</v>
      </c>
    </row>
    <row r="8376">
      <c r="K8376" s="4" t="str">
        <f>IFERROR(__xludf.DUMMYFUNCTION("""COMPUTED_VALUE"""),"SABORZITO - PASTEL E HAMBURGUER")</f>
        <v>SABORZITO - PASTEL E HAMBURGUER</v>
      </c>
      <c r="L8376" s="32">
        <f>IFERROR(__xludf.DUMMYFUNCTION("""COMPUTED_VALUE"""),1.0)</f>
        <v>1</v>
      </c>
      <c r="M8376" s="4" t="str">
        <f>IFERROR(__xludf.DUMMYFUNCTION("""COMPUTED_VALUE"""),"Anota Ai Solucoes Digitais S/a")</f>
        <v>Anota Ai Solucoes Digitais S/a</v>
      </c>
      <c r="N8376" s="33">
        <f>IFERROR(__xludf.DUMMYFUNCTION("""COMPUTED_VALUE"""),1.0)</f>
        <v>1</v>
      </c>
      <c r="O8376" s="4" t="str">
        <f>IFERROR(__xludf.DUMMYFUNCTION("""COMPUTED_VALUE"""),"Anota Ai Solucoes Digitais S/a")</f>
        <v>Anota Ai Solucoes Digitais S/a</v>
      </c>
      <c r="P8376" s="33">
        <f>IFERROR(__xludf.DUMMYFUNCTION("""COMPUTED_VALUE"""),1.0)</f>
        <v>1</v>
      </c>
      <c r="Q8376" s="4" t="str">
        <f>IFERROR(__xludf.DUMMYFUNCTION("""COMPUTED_VALUE"""),"Anota Ai Solucoes Digitais S/a")</f>
        <v>Anota Ai Solucoes Digitais S/a</v>
      </c>
      <c r="R8376" s="33">
        <f>IFERROR(__xludf.DUMMYFUNCTION("""COMPUTED_VALUE"""),1.0)</f>
        <v>1</v>
      </c>
      <c r="S8376" s="4" t="str">
        <f>IFERROR(__xludf.DUMMYFUNCTION("""COMPUTED_VALUE"""),"Anota Ai Solucoes Digitais S/a")</f>
        <v>Anota Ai Solucoes Digitais S/a</v>
      </c>
      <c r="T8376" s="33">
        <f>IFERROR(__xludf.DUMMYFUNCTION("""COMPUTED_VALUE"""),1.0)</f>
        <v>1</v>
      </c>
      <c r="U8376" s="4" t="str">
        <f>IFERROR(__xludf.DUMMYFUNCTION("""COMPUTED_VALUE"""),"Anota Ai Solucoes Digitais S/a")</f>
        <v>Anota Ai Solucoes Digitais S/a</v>
      </c>
      <c r="V8376" s="33">
        <f>IFERROR(__xludf.DUMMYFUNCTION("""COMPUTED_VALUE"""),1.0)</f>
        <v>1</v>
      </c>
      <c r="W8376" s="4" t="str">
        <f>IFERROR(__xludf.DUMMYFUNCTION("""COMPUTED_VALUE"""),"Anota Ai Solucoes Digitais S/a")</f>
        <v>Anota Ai Solucoes Digitais S/a</v>
      </c>
      <c r="X8376" s="33">
        <f>IFERROR(__xludf.DUMMYFUNCTION("""COMPUTED_VALUE"""),1.0)</f>
        <v>1</v>
      </c>
    </row>
    <row r="8377">
      <c r="K8377" s="4" t="str">
        <f>IFERROR(__xludf.DUMMYFUNCTION("""COMPUTED_VALUE"""),"CELSO BAR RESTAURANTE")</f>
        <v>CELSO BAR RESTAURANTE</v>
      </c>
      <c r="L8377" s="32">
        <f>IFERROR(__xludf.DUMMYFUNCTION("""COMPUTED_VALUE"""),1.0)</f>
        <v>1</v>
      </c>
      <c r="M8377" s="4" t="str">
        <f>IFERROR(__xludf.DUMMYFUNCTION("""COMPUTED_VALUE"""),"Datacaixa Pdv")</f>
        <v>Datacaixa Pdv</v>
      </c>
      <c r="N8377" s="33">
        <f>IFERROR(__xludf.DUMMYFUNCTION("""COMPUTED_VALUE"""),1.0)</f>
        <v>1</v>
      </c>
      <c r="O8377" s="4" t="str">
        <f>IFERROR(__xludf.DUMMYFUNCTION("""COMPUTED_VALUE"""),"Datacaixa Pdv")</f>
        <v>Datacaixa Pdv</v>
      </c>
      <c r="P8377" s="33">
        <f>IFERROR(__xludf.DUMMYFUNCTION("""COMPUTED_VALUE"""),1.0)</f>
        <v>1</v>
      </c>
      <c r="Q8377" s="4" t="str">
        <f>IFERROR(__xludf.DUMMYFUNCTION("""COMPUTED_VALUE"""),"Datacaixa Pdv")</f>
        <v>Datacaixa Pdv</v>
      </c>
      <c r="R8377" s="33">
        <f>IFERROR(__xludf.DUMMYFUNCTION("""COMPUTED_VALUE"""),1.0)</f>
        <v>1</v>
      </c>
      <c r="S8377" s="4" t="str">
        <f>IFERROR(__xludf.DUMMYFUNCTION("""COMPUTED_VALUE"""),"Datacaixa Pdv")</f>
        <v>Datacaixa Pdv</v>
      </c>
      <c r="T8377" s="33">
        <f>IFERROR(__xludf.DUMMYFUNCTION("""COMPUTED_VALUE"""),1.0)</f>
        <v>1</v>
      </c>
      <c r="U8377" s="4" t="str">
        <f>IFERROR(__xludf.DUMMYFUNCTION("""COMPUTED_VALUE"""),"null")</f>
        <v>null</v>
      </c>
      <c r="V8377" s="33">
        <f>IFERROR(__xludf.DUMMYFUNCTION("""COMPUTED_VALUE"""),1.0)</f>
        <v>1</v>
      </c>
      <c r="W8377" s="4" t="str">
        <f>IFERROR(__xludf.DUMMYFUNCTION("""COMPUTED_VALUE"""),"null")</f>
        <v>null</v>
      </c>
      <c r="X8377" s="33">
        <f>IFERROR(__xludf.DUMMYFUNCTION("""COMPUTED_VALUE"""),1.0)</f>
        <v>1</v>
      </c>
    </row>
    <row r="8378">
      <c r="K8378" s="4" t="str">
        <f>IFERROR(__xludf.DUMMYFUNCTION("""COMPUTED_VALUE"""),"PRANA BURGUER")</f>
        <v>PRANA BURGUER</v>
      </c>
      <c r="L8378" s="32">
        <f>IFERROR(__xludf.DUMMYFUNCTION("""COMPUTED_VALUE"""),1.0)</f>
        <v>1</v>
      </c>
      <c r="M8378" s="4" t="str">
        <f>IFERROR(__xludf.DUMMYFUNCTION("""COMPUTED_VALUE"""),"Instadelivery")</f>
        <v>Instadelivery</v>
      </c>
      <c r="N8378" s="33">
        <f>IFERROR(__xludf.DUMMYFUNCTION("""COMPUTED_VALUE"""),1.0)</f>
        <v>1</v>
      </c>
      <c r="O8378" s="4" t="str">
        <f>IFERROR(__xludf.DUMMYFUNCTION("""COMPUTED_VALUE"""),"Instadelivery")</f>
        <v>Instadelivery</v>
      </c>
      <c r="P8378" s="33">
        <f>IFERROR(__xludf.DUMMYFUNCTION("""COMPUTED_VALUE"""),1.0)</f>
        <v>1</v>
      </c>
      <c r="Q8378" s="4" t="str">
        <f>IFERROR(__xludf.DUMMYFUNCTION("""COMPUTED_VALUE"""),"Instadelivery")</f>
        <v>Instadelivery</v>
      </c>
      <c r="R8378" s="33">
        <f>IFERROR(__xludf.DUMMYFUNCTION("""COMPUTED_VALUE"""),1.0)</f>
        <v>1</v>
      </c>
      <c r="S8378" s="4" t="str">
        <f>IFERROR(__xludf.DUMMYFUNCTION("""COMPUTED_VALUE"""),"Instadelivery")</f>
        <v>Instadelivery</v>
      </c>
      <c r="T8378" s="33">
        <f>IFERROR(__xludf.DUMMYFUNCTION("""COMPUTED_VALUE"""),1.0)</f>
        <v>1</v>
      </c>
      <c r="U8378" s="4" t="str">
        <f>IFERROR(__xludf.DUMMYFUNCTION("""COMPUTED_VALUE"""),"Instadelivery")</f>
        <v>Instadelivery</v>
      </c>
      <c r="V8378" s="33">
        <f>IFERROR(__xludf.DUMMYFUNCTION("""COMPUTED_VALUE"""),1.0)</f>
        <v>1</v>
      </c>
      <c r="W8378" s="4" t="str">
        <f>IFERROR(__xludf.DUMMYFUNCTION("""COMPUTED_VALUE"""),"Instadelivery")</f>
        <v>Instadelivery</v>
      </c>
      <c r="X8378" s="33">
        <f>IFERROR(__xludf.DUMMYFUNCTION("""COMPUTED_VALUE"""),1.0)</f>
        <v>1</v>
      </c>
    </row>
    <row r="8379">
      <c r="K8379" s="4" t="str">
        <f>IFERROR(__xludf.DUMMYFUNCTION("""COMPUTED_VALUE"""),"ESTADIO BURGER - PERDIZES")</f>
        <v>ESTADIO BURGER - PERDIZES</v>
      </c>
      <c r="L8379" s="32">
        <f>IFERROR(__xludf.DUMMYFUNCTION("""COMPUTED_VALUE"""),1.0)</f>
        <v>1</v>
      </c>
      <c r="M8379" s="4" t="str">
        <f>IFERROR(__xludf.DUMMYFUNCTION("""COMPUTED_VALUE"""),"Eclética Tecnologia")</f>
        <v>Eclética Tecnologia</v>
      </c>
      <c r="N8379" s="33">
        <f>IFERROR(__xludf.DUMMYFUNCTION("""COMPUTED_VALUE"""),1.0)</f>
        <v>1</v>
      </c>
      <c r="O8379" s="4" t="str">
        <f>IFERROR(__xludf.DUMMYFUNCTION("""COMPUTED_VALUE"""),"null")</f>
        <v>null</v>
      </c>
      <c r="P8379" s="33">
        <f>IFERROR(__xludf.DUMMYFUNCTION("""COMPUTED_VALUE"""),1.0)</f>
        <v>1</v>
      </c>
      <c r="Q8379" s="4" t="str">
        <f>IFERROR(__xludf.DUMMYFUNCTION("""COMPUTED_VALUE"""),"Eclética Tecnologia")</f>
        <v>Eclética Tecnologia</v>
      </c>
      <c r="R8379" s="33">
        <f>IFERROR(__xludf.DUMMYFUNCTION("""COMPUTED_VALUE"""),1.0)</f>
        <v>1</v>
      </c>
      <c r="S8379" s="4" t="str">
        <f>IFERROR(__xludf.DUMMYFUNCTION("""COMPUTED_VALUE"""),"Eclética Tecnologia")</f>
        <v>Eclética Tecnologia</v>
      </c>
      <c r="T8379" s="33">
        <f>IFERROR(__xludf.DUMMYFUNCTION("""COMPUTED_VALUE"""),1.0)</f>
        <v>1</v>
      </c>
      <c r="U8379" s="4" t="str">
        <f>IFERROR(__xludf.DUMMYFUNCTION("""COMPUTED_VALUE"""),"null")</f>
        <v>null</v>
      </c>
      <c r="V8379" s="33">
        <f>IFERROR(__xludf.DUMMYFUNCTION("""COMPUTED_VALUE"""),1.0)</f>
        <v>1</v>
      </c>
      <c r="W8379" s="4" t="str">
        <f>IFERROR(__xludf.DUMMYFUNCTION("""COMPUTED_VALUE"""),"null")</f>
        <v>null</v>
      </c>
      <c r="X8379" s="33">
        <f>IFERROR(__xludf.DUMMYFUNCTION("""COMPUTED_VALUE"""),1.0)</f>
        <v>1</v>
      </c>
    </row>
    <row r="8380">
      <c r="K8380" s="4" t="str">
        <f>IFERROR(__xludf.DUMMYFUNCTION("""COMPUTED_VALUE"""),"DIVINO DOGUERIA")</f>
        <v>DIVINO DOGUERIA</v>
      </c>
      <c r="L8380" s="32">
        <f>IFERROR(__xludf.DUMMYFUNCTION("""COMPUTED_VALUE"""),1.0)</f>
        <v>1</v>
      </c>
      <c r="M8380" s="4" t="str">
        <f>IFERROR(__xludf.DUMMYFUNCTION("""COMPUTED_VALUE"""),"Suitable Tecnologia E Gestao")</f>
        <v>Suitable Tecnologia E Gestao</v>
      </c>
      <c r="N8380" s="33">
        <f>IFERROR(__xludf.DUMMYFUNCTION("""COMPUTED_VALUE"""),1.0)</f>
        <v>1</v>
      </c>
      <c r="O8380" s="4" t="str">
        <f>IFERROR(__xludf.DUMMYFUNCTION("""COMPUTED_VALUE"""),"Suitable Tecnologia E Gestao")</f>
        <v>Suitable Tecnologia E Gestao</v>
      </c>
      <c r="P8380" s="33">
        <f>IFERROR(__xludf.DUMMYFUNCTION("""COMPUTED_VALUE"""),1.0)</f>
        <v>1</v>
      </c>
      <c r="Q8380" s="4" t="str">
        <f>IFERROR(__xludf.DUMMYFUNCTION("""COMPUTED_VALUE"""),"Suitable Tecnologia E Gestao")</f>
        <v>Suitable Tecnologia E Gestao</v>
      </c>
      <c r="R8380" s="33">
        <f>IFERROR(__xludf.DUMMYFUNCTION("""COMPUTED_VALUE"""),1.0)</f>
        <v>1</v>
      </c>
      <c r="S8380" s="4" t="str">
        <f>IFERROR(__xludf.DUMMYFUNCTION("""COMPUTED_VALUE"""),"Suitable Tecnologia E Gestao")</f>
        <v>Suitable Tecnologia E Gestao</v>
      </c>
      <c r="T8380" s="33">
        <f>IFERROR(__xludf.DUMMYFUNCTION("""COMPUTED_VALUE"""),1.0)</f>
        <v>1</v>
      </c>
      <c r="U8380" s="4" t="str">
        <f>IFERROR(__xludf.DUMMYFUNCTION("""COMPUTED_VALUE"""),"Suitable Tecnologia E Gestao")</f>
        <v>Suitable Tecnologia E Gestao</v>
      </c>
      <c r="V8380" s="33">
        <f>IFERROR(__xludf.DUMMYFUNCTION("""COMPUTED_VALUE"""),1.0)</f>
        <v>1</v>
      </c>
      <c r="W8380" s="4" t="str">
        <f>IFERROR(__xludf.DUMMYFUNCTION("""COMPUTED_VALUE"""),"Suitable Tecnologia E Gestao")</f>
        <v>Suitable Tecnologia E Gestao</v>
      </c>
      <c r="X8380" s="33">
        <f>IFERROR(__xludf.DUMMYFUNCTION("""COMPUTED_VALUE"""),1.0)</f>
        <v>1</v>
      </c>
    </row>
    <row r="8381">
      <c r="K8381" s="4" t="str">
        <f>IFERROR(__xludf.DUMMYFUNCTION("""COMPUTED_VALUE"""),"RUTS ULTRA SMASHED BURGER")</f>
        <v>RUTS ULTRA SMASHED BURGER</v>
      </c>
      <c r="L8381" s="32">
        <f>IFERROR(__xludf.DUMMYFUNCTION("""COMPUTED_VALUE"""),1.0)</f>
        <v>1</v>
      </c>
      <c r="M8381" s="4" t="str">
        <f>IFERROR(__xludf.DUMMYFUNCTION("""COMPUTED_VALUE"""),"Consumer Soluções Em Tecnologia Ltda")</f>
        <v>Consumer Soluções Em Tecnologia Ltda</v>
      </c>
      <c r="N8381" s="33">
        <f>IFERROR(__xludf.DUMMYFUNCTION("""COMPUTED_VALUE"""),1.0)</f>
        <v>1</v>
      </c>
      <c r="O8381" s="4" t="str">
        <f>IFERROR(__xludf.DUMMYFUNCTION("""COMPUTED_VALUE"""),"Consumer Soluções Em Tecnologia Ltda")</f>
        <v>Consumer Soluções Em Tecnologia Ltda</v>
      </c>
      <c r="P8381" s="33">
        <f>IFERROR(__xludf.DUMMYFUNCTION("""COMPUTED_VALUE"""),1.0)</f>
        <v>1</v>
      </c>
      <c r="Q8381" s="4" t="str">
        <f>IFERROR(__xludf.DUMMYFUNCTION("""COMPUTED_VALUE"""),"Consumer Soluções Em Tecnologia Ltda")</f>
        <v>Consumer Soluções Em Tecnologia Ltda</v>
      </c>
      <c r="R8381" s="33">
        <f>IFERROR(__xludf.DUMMYFUNCTION("""COMPUTED_VALUE"""),1.0)</f>
        <v>1</v>
      </c>
      <c r="S8381" s="4" t="str">
        <f>IFERROR(__xludf.DUMMYFUNCTION("""COMPUTED_VALUE"""),"Consumer Soluções Em Tecnologia Ltda")</f>
        <v>Consumer Soluções Em Tecnologia Ltda</v>
      </c>
      <c r="T8381" s="33">
        <f>IFERROR(__xludf.DUMMYFUNCTION("""COMPUTED_VALUE"""),1.0)</f>
        <v>1</v>
      </c>
      <c r="U8381" s="4" t="str">
        <f>IFERROR(__xludf.DUMMYFUNCTION("""COMPUTED_VALUE"""),"Consumer Soluções Em Tecnologia Ltda")</f>
        <v>Consumer Soluções Em Tecnologia Ltda</v>
      </c>
      <c r="V8381" s="33">
        <f>IFERROR(__xludf.DUMMYFUNCTION("""COMPUTED_VALUE"""),1.0)</f>
        <v>1</v>
      </c>
      <c r="W8381" s="4" t="str">
        <f>IFERROR(__xludf.DUMMYFUNCTION("""COMPUTED_VALUE"""),"Consumer Soluções Em Tecnologia Ltda")</f>
        <v>Consumer Soluções Em Tecnologia Ltda</v>
      </c>
      <c r="X8381" s="33">
        <f>IFERROR(__xludf.DUMMYFUNCTION("""COMPUTED_VALUE"""),1.0)</f>
        <v>1</v>
      </c>
    </row>
    <row r="8382">
      <c r="K8382" s="4" t="str">
        <f>IFERROR(__xludf.DUMMYFUNCTION("""COMPUTED_VALUE"""),"SABOR INSANO MARMITARIA")</f>
        <v>SABOR INSANO MARMITARIA</v>
      </c>
      <c r="L8382" s="32">
        <f>IFERROR(__xludf.DUMMYFUNCTION("""COMPUTED_VALUE"""),1.0)</f>
        <v>1</v>
      </c>
      <c r="M8382" s="4" t="str">
        <f>IFERROR(__xludf.DUMMYFUNCTION("""COMPUTED_VALUE"""),"Infototal Technology")</f>
        <v>Infototal Technology</v>
      </c>
      <c r="N8382" s="33">
        <f>IFERROR(__xludf.DUMMYFUNCTION("""COMPUTED_VALUE"""),1.0)</f>
        <v>1</v>
      </c>
      <c r="O8382" s="4" t="str">
        <f>IFERROR(__xludf.DUMMYFUNCTION("""COMPUTED_VALUE"""),"Infototal Technology")</f>
        <v>Infototal Technology</v>
      </c>
      <c r="P8382" s="33">
        <f>IFERROR(__xludf.DUMMYFUNCTION("""COMPUTED_VALUE"""),1.0)</f>
        <v>1</v>
      </c>
      <c r="Q8382" s="4" t="str">
        <f>IFERROR(__xludf.DUMMYFUNCTION("""COMPUTED_VALUE"""),"Infototal Technology")</f>
        <v>Infototal Technology</v>
      </c>
      <c r="R8382" s="33">
        <f>IFERROR(__xludf.DUMMYFUNCTION("""COMPUTED_VALUE"""),1.0)</f>
        <v>1</v>
      </c>
      <c r="S8382" s="4" t="str">
        <f>IFERROR(__xludf.DUMMYFUNCTION("""COMPUTED_VALUE"""),"Infototal Technology")</f>
        <v>Infototal Technology</v>
      </c>
      <c r="T8382" s="33">
        <f>IFERROR(__xludf.DUMMYFUNCTION("""COMPUTED_VALUE"""),1.0)</f>
        <v>1</v>
      </c>
      <c r="U8382" s="4" t="str">
        <f>IFERROR(__xludf.DUMMYFUNCTION("""COMPUTED_VALUE"""),"Infototal Technology")</f>
        <v>Infototal Technology</v>
      </c>
      <c r="V8382" s="33">
        <f>IFERROR(__xludf.DUMMYFUNCTION("""COMPUTED_VALUE"""),1.0)</f>
        <v>1</v>
      </c>
      <c r="W8382" s="4" t="str">
        <f>IFERROR(__xludf.DUMMYFUNCTION("""COMPUTED_VALUE"""),"Infototal Technology")</f>
        <v>Infototal Technology</v>
      </c>
      <c r="X8382" s="33">
        <f>IFERROR(__xludf.DUMMYFUNCTION("""COMPUTED_VALUE"""),1.0)</f>
        <v>1</v>
      </c>
    </row>
    <row r="8383">
      <c r="K8383" s="4" t="str">
        <f>IFERROR(__xludf.DUMMYFUNCTION("""COMPUTED_VALUE"""),"FEIJOARIA CUIABANA")</f>
        <v>FEIJOARIA CUIABANA</v>
      </c>
      <c r="L8383" s="32">
        <f>IFERROR(__xludf.DUMMYFUNCTION("""COMPUTED_VALUE"""),1.0)</f>
        <v>1</v>
      </c>
      <c r="M8383" s="4" t="str">
        <f>IFERROR(__xludf.DUMMYFUNCTION("""COMPUTED_VALUE"""),"Insert Code Informatica Ltda")</f>
        <v>Insert Code Informatica Ltda</v>
      </c>
      <c r="N8383" s="33">
        <f>IFERROR(__xludf.DUMMYFUNCTION("""COMPUTED_VALUE"""),1.0)</f>
        <v>1</v>
      </c>
      <c r="O8383" s="4" t="str">
        <f>IFERROR(__xludf.DUMMYFUNCTION("""COMPUTED_VALUE"""),"Insert Code Informatica Ltda")</f>
        <v>Insert Code Informatica Ltda</v>
      </c>
      <c r="P8383" s="33">
        <f>IFERROR(__xludf.DUMMYFUNCTION("""COMPUTED_VALUE"""),1.0)</f>
        <v>1</v>
      </c>
      <c r="Q8383" s="4" t="str">
        <f>IFERROR(__xludf.DUMMYFUNCTION("""COMPUTED_VALUE"""),"Insert Code Informatica Ltda")</f>
        <v>Insert Code Informatica Ltda</v>
      </c>
      <c r="R8383" s="33">
        <f>IFERROR(__xludf.DUMMYFUNCTION("""COMPUTED_VALUE"""),1.0)</f>
        <v>1</v>
      </c>
      <c r="S8383" s="4" t="str">
        <f>IFERROR(__xludf.DUMMYFUNCTION("""COMPUTED_VALUE"""),"null")</f>
        <v>null</v>
      </c>
      <c r="T8383" s="33">
        <f>IFERROR(__xludf.DUMMYFUNCTION("""COMPUTED_VALUE"""),1.0)</f>
        <v>1</v>
      </c>
      <c r="U8383" s="4" t="str">
        <f>IFERROR(__xludf.DUMMYFUNCTION("""COMPUTED_VALUE"""),"null")</f>
        <v>null</v>
      </c>
      <c r="V8383" s="33">
        <f>IFERROR(__xludf.DUMMYFUNCTION("""COMPUTED_VALUE"""),1.0)</f>
        <v>1</v>
      </c>
      <c r="W8383" s="4" t="str">
        <f>IFERROR(__xludf.DUMMYFUNCTION("""COMPUTED_VALUE"""),"null")</f>
        <v>null</v>
      </c>
      <c r="X8383" s="33">
        <f>IFERROR(__xludf.DUMMYFUNCTION("""COMPUTED_VALUE"""),1.0)</f>
        <v>1</v>
      </c>
    </row>
    <row r="8384">
      <c r="K8384" s="4" t="str">
        <f>IFERROR(__xludf.DUMMYFUNCTION("""COMPUTED_VALUE"""),"H BURGUER LANCHES E MARMITEX")</f>
        <v>H BURGUER LANCHES E MARMITEX</v>
      </c>
      <c r="L8384" s="32">
        <f>IFERROR(__xludf.DUMMYFUNCTION("""COMPUTED_VALUE"""),1.0)</f>
        <v>1</v>
      </c>
      <c r="M8384" s="4" t="str">
        <f>IFERROR(__xludf.DUMMYFUNCTION("""COMPUTED_VALUE"""),"null")</f>
        <v>null</v>
      </c>
      <c r="N8384" s="33">
        <f>IFERROR(__xludf.DUMMYFUNCTION("""COMPUTED_VALUE"""),1.0)</f>
        <v>1</v>
      </c>
      <c r="O8384" s="4" t="str">
        <f>IFERROR(__xludf.DUMMYFUNCTION("""COMPUTED_VALUE"""),"null")</f>
        <v>null</v>
      </c>
      <c r="P8384" s="33">
        <f>IFERROR(__xludf.DUMMYFUNCTION("""COMPUTED_VALUE"""),1.0)</f>
        <v>1</v>
      </c>
      <c r="Q8384" s="4" t="str">
        <f>IFERROR(__xludf.DUMMYFUNCTION("""COMPUTED_VALUE"""),"null")</f>
        <v>null</v>
      </c>
      <c r="R8384" s="33">
        <f>IFERROR(__xludf.DUMMYFUNCTION("""COMPUTED_VALUE"""),1.0)</f>
        <v>1</v>
      </c>
      <c r="S8384" s="4" t="str">
        <f>IFERROR(__xludf.DUMMYFUNCTION("""COMPUTED_VALUE"""),"null")</f>
        <v>null</v>
      </c>
      <c r="T8384" s="33">
        <f>IFERROR(__xludf.DUMMYFUNCTION("""COMPUTED_VALUE"""),1.0)</f>
        <v>1</v>
      </c>
      <c r="U8384" s="4" t="str">
        <f>IFERROR(__xludf.DUMMYFUNCTION("""COMPUTED_VALUE"""),"M-du Tecnologia")</f>
        <v>M-du Tecnologia</v>
      </c>
      <c r="V8384" s="33">
        <f>IFERROR(__xludf.DUMMYFUNCTION("""COMPUTED_VALUE"""),1.0)</f>
        <v>1</v>
      </c>
      <c r="W8384" s="4" t="str">
        <f>IFERROR(__xludf.DUMMYFUNCTION("""COMPUTED_VALUE"""),"null")</f>
        <v>null</v>
      </c>
      <c r="X8384" s="33">
        <f>IFERROR(__xludf.DUMMYFUNCTION("""COMPUTED_VALUE"""),1.0)</f>
        <v>1</v>
      </c>
    </row>
    <row r="8385">
      <c r="K8385" s="4" t="str">
        <f>IFERROR(__xludf.DUMMYFUNCTION("""COMPUTED_VALUE"""),"SALGADELAS SALGADOS")</f>
        <v>SALGADELAS SALGADOS</v>
      </c>
      <c r="L8385" s="32">
        <f>IFERROR(__xludf.DUMMYFUNCTION("""COMPUTED_VALUE"""),1.0)</f>
        <v>1</v>
      </c>
      <c r="M8385" s="4" t="str">
        <f>IFERROR(__xludf.DUMMYFUNCTION("""COMPUTED_VALUE"""),"null")</f>
        <v>null</v>
      </c>
      <c r="N8385" s="33">
        <f>IFERROR(__xludf.DUMMYFUNCTION("""COMPUTED_VALUE"""),1.0)</f>
        <v>1</v>
      </c>
      <c r="O8385" s="4" t="str">
        <f>IFERROR(__xludf.DUMMYFUNCTION("""COMPUTED_VALUE"""),"null")</f>
        <v>null</v>
      </c>
      <c r="P8385" s="33">
        <f>IFERROR(__xludf.DUMMYFUNCTION("""COMPUTED_VALUE"""),1.0)</f>
        <v>1</v>
      </c>
      <c r="Q8385" s="4" t="str">
        <f>IFERROR(__xludf.DUMMYFUNCTION("""COMPUTED_VALUE"""),"Instadelivery")</f>
        <v>Instadelivery</v>
      </c>
      <c r="R8385" s="33">
        <f>IFERROR(__xludf.DUMMYFUNCTION("""COMPUTED_VALUE"""),1.0)</f>
        <v>1</v>
      </c>
      <c r="S8385" s="4" t="str">
        <f>IFERROR(__xludf.DUMMYFUNCTION("""COMPUTED_VALUE"""),"Instadelivery")</f>
        <v>Instadelivery</v>
      </c>
      <c r="T8385" s="33">
        <f>IFERROR(__xludf.DUMMYFUNCTION("""COMPUTED_VALUE"""),1.0)</f>
        <v>1</v>
      </c>
      <c r="U8385" s="4" t="str">
        <f>IFERROR(__xludf.DUMMYFUNCTION("""COMPUTED_VALUE"""),"Instadelivery")</f>
        <v>Instadelivery</v>
      </c>
      <c r="V8385" s="33">
        <f>IFERROR(__xludf.DUMMYFUNCTION("""COMPUTED_VALUE"""),1.0)</f>
        <v>1</v>
      </c>
      <c r="W8385" s="4" t="str">
        <f>IFERROR(__xludf.DUMMYFUNCTION("""COMPUTED_VALUE"""),"null")</f>
        <v>null</v>
      </c>
      <c r="X8385" s="33">
        <f>IFERROR(__xludf.DUMMYFUNCTION("""COMPUTED_VALUE"""),1.0)</f>
        <v>1</v>
      </c>
    </row>
    <row r="8386">
      <c r="K8386" s="4" t="str">
        <f>IFERROR(__xludf.DUMMYFUNCTION("""COMPUTED_VALUE"""),"LASANHERIA PANQUECARIA REI ARTHUR")</f>
        <v>LASANHERIA PANQUECARIA REI ARTHUR</v>
      </c>
      <c r="L8386" s="32">
        <f>IFERROR(__xludf.DUMMYFUNCTION("""COMPUTED_VALUE"""),1.0)</f>
        <v>1</v>
      </c>
      <c r="M8386" s="4" t="str">
        <f>IFERROR(__xludf.DUMMYFUNCTION("""COMPUTED_VALUE"""),"Instadelivery")</f>
        <v>Instadelivery</v>
      </c>
      <c r="N8386" s="33">
        <f>IFERROR(__xludf.DUMMYFUNCTION("""COMPUTED_VALUE"""),1.0)</f>
        <v>1</v>
      </c>
      <c r="O8386" s="4" t="str">
        <f>IFERROR(__xludf.DUMMYFUNCTION("""COMPUTED_VALUE"""),"Instadelivery")</f>
        <v>Instadelivery</v>
      </c>
      <c r="P8386" s="33">
        <f>IFERROR(__xludf.DUMMYFUNCTION("""COMPUTED_VALUE"""),1.0)</f>
        <v>1</v>
      </c>
      <c r="Q8386" s="4" t="str">
        <f>IFERROR(__xludf.DUMMYFUNCTION("""COMPUTED_VALUE"""),"Instadelivery")</f>
        <v>Instadelivery</v>
      </c>
      <c r="R8386" s="33">
        <f>IFERROR(__xludf.DUMMYFUNCTION("""COMPUTED_VALUE"""),1.0)</f>
        <v>1</v>
      </c>
      <c r="S8386" s="4" t="str">
        <f>IFERROR(__xludf.DUMMYFUNCTION("""COMPUTED_VALUE"""),"Instadelivery")</f>
        <v>Instadelivery</v>
      </c>
      <c r="T8386" s="33">
        <f>IFERROR(__xludf.DUMMYFUNCTION("""COMPUTED_VALUE"""),1.0)</f>
        <v>1</v>
      </c>
      <c r="U8386" s="4" t="str">
        <f>IFERROR(__xludf.DUMMYFUNCTION("""COMPUTED_VALUE"""),"Instadelivery")</f>
        <v>Instadelivery</v>
      </c>
      <c r="V8386" s="33">
        <f>IFERROR(__xludf.DUMMYFUNCTION("""COMPUTED_VALUE"""),1.0)</f>
        <v>1</v>
      </c>
      <c r="W8386" s="4" t="str">
        <f>IFERROR(__xludf.DUMMYFUNCTION("""COMPUTED_VALUE"""),"null")</f>
        <v>null</v>
      </c>
      <c r="X8386" s="33">
        <f>IFERROR(__xludf.DUMMYFUNCTION("""COMPUTED_VALUE"""),1.0)</f>
        <v>1</v>
      </c>
    </row>
    <row r="8387">
      <c r="K8387" s="4" t="str">
        <f>IFERROR(__xludf.DUMMYFUNCTION("""COMPUTED_VALUE"""),"MISO SUSHI - RESTAURANTE")</f>
        <v>MISO SUSHI - RESTAURANTE</v>
      </c>
      <c r="L8387" s="32">
        <f>IFERROR(__xludf.DUMMYFUNCTION("""COMPUTED_VALUE"""),1.0)</f>
        <v>1</v>
      </c>
      <c r="M8387" s="4" t="str">
        <f>IFERROR(__xludf.DUMMYFUNCTION("""COMPUTED_VALUE"""),"Bitbar")</f>
        <v>Bitbar</v>
      </c>
      <c r="N8387" s="33">
        <f>IFERROR(__xludf.DUMMYFUNCTION("""COMPUTED_VALUE"""),1.0)</f>
        <v>1</v>
      </c>
      <c r="O8387" s="4" t="str">
        <f>IFERROR(__xludf.DUMMYFUNCTION("""COMPUTED_VALUE"""),"Bitbar")</f>
        <v>Bitbar</v>
      </c>
      <c r="P8387" s="33">
        <f>IFERROR(__xludf.DUMMYFUNCTION("""COMPUTED_VALUE"""),1.0)</f>
        <v>1</v>
      </c>
      <c r="Q8387" s="4" t="str">
        <f>IFERROR(__xludf.DUMMYFUNCTION("""COMPUTED_VALUE"""),"Bitbar")</f>
        <v>Bitbar</v>
      </c>
      <c r="R8387" s="33">
        <f>IFERROR(__xludf.DUMMYFUNCTION("""COMPUTED_VALUE"""),1.0)</f>
        <v>1</v>
      </c>
      <c r="S8387" s="4" t="str">
        <f>IFERROR(__xludf.DUMMYFUNCTION("""COMPUTED_VALUE"""),"Bitbar")</f>
        <v>Bitbar</v>
      </c>
      <c r="T8387" s="33">
        <f>IFERROR(__xludf.DUMMYFUNCTION("""COMPUTED_VALUE"""),1.0)</f>
        <v>1</v>
      </c>
      <c r="U8387" s="4" t="str">
        <f>IFERROR(__xludf.DUMMYFUNCTION("""COMPUTED_VALUE"""),"null")</f>
        <v>null</v>
      </c>
      <c r="V8387" s="33">
        <f>IFERROR(__xludf.DUMMYFUNCTION("""COMPUTED_VALUE"""),1.0)</f>
        <v>1</v>
      </c>
      <c r="W8387" s="4" t="str">
        <f>IFERROR(__xludf.DUMMYFUNCTION("""COMPUTED_VALUE"""),"null")</f>
        <v>null</v>
      </c>
      <c r="X8387" s="33">
        <f>IFERROR(__xludf.DUMMYFUNCTION("""COMPUTED_VALUE"""),1.0)</f>
        <v>1</v>
      </c>
    </row>
    <row r="8388">
      <c r="K8388" s="4" t="str">
        <f>IFERROR(__xludf.DUMMYFUNCTION("""COMPUTED_VALUE"""),"AMORITO SORVETES - OLINDA")</f>
        <v>AMORITO SORVETES - OLINDA</v>
      </c>
      <c r="L8388" s="32">
        <f>IFERROR(__xludf.DUMMYFUNCTION("""COMPUTED_VALUE"""),1.0)</f>
        <v>1</v>
      </c>
      <c r="M8388" s="4" t="str">
        <f>IFERROR(__xludf.DUMMYFUNCTION("""COMPUTED_VALUE"""),"Rajtecnologia")</f>
        <v>Rajtecnologia</v>
      </c>
      <c r="N8388" s="33">
        <f>IFERROR(__xludf.DUMMYFUNCTION("""COMPUTED_VALUE"""),1.0)</f>
        <v>1</v>
      </c>
      <c r="O8388" s="4" t="str">
        <f>IFERROR(__xludf.DUMMYFUNCTION("""COMPUTED_VALUE"""),"Rajtecnologia")</f>
        <v>Rajtecnologia</v>
      </c>
      <c r="P8388" s="33">
        <f>IFERROR(__xludf.DUMMYFUNCTION("""COMPUTED_VALUE"""),1.0)</f>
        <v>1</v>
      </c>
      <c r="Q8388" s="4" t="str">
        <f>IFERROR(__xludf.DUMMYFUNCTION("""COMPUTED_VALUE"""),"Rajtecnologia")</f>
        <v>Rajtecnologia</v>
      </c>
      <c r="R8388" s="33">
        <f>IFERROR(__xludf.DUMMYFUNCTION("""COMPUTED_VALUE"""),1.0)</f>
        <v>1</v>
      </c>
      <c r="S8388" s="4" t="str">
        <f>IFERROR(__xludf.DUMMYFUNCTION("""COMPUTED_VALUE"""),"Rajtecnologia")</f>
        <v>Rajtecnologia</v>
      </c>
      <c r="T8388" s="33">
        <f>IFERROR(__xludf.DUMMYFUNCTION("""COMPUTED_VALUE"""),1.0)</f>
        <v>1</v>
      </c>
      <c r="U8388" s="4" t="str">
        <f>IFERROR(__xludf.DUMMYFUNCTION("""COMPUTED_VALUE"""),"Rajtecnologia")</f>
        <v>Rajtecnologia</v>
      </c>
      <c r="V8388" s="33">
        <f>IFERROR(__xludf.DUMMYFUNCTION("""COMPUTED_VALUE"""),1.0)</f>
        <v>1</v>
      </c>
      <c r="W8388" s="4" t="str">
        <f>IFERROR(__xludf.DUMMYFUNCTION("""COMPUTED_VALUE"""),"Rajtecnologia")</f>
        <v>Rajtecnologia</v>
      </c>
      <c r="X8388" s="33">
        <f>IFERROR(__xludf.DUMMYFUNCTION("""COMPUTED_VALUE"""),1.0)</f>
        <v>1</v>
      </c>
    </row>
    <row r="8389">
      <c r="K8389" s="4" t="str">
        <f>IFERROR(__xludf.DUMMYFUNCTION("""COMPUTED_VALUE"""),"MUTS BURGER")</f>
        <v>MUTS BURGER</v>
      </c>
      <c r="L8389" s="32">
        <f>IFERROR(__xludf.DUMMYFUNCTION("""COMPUTED_VALUE"""),1.0)</f>
        <v>1</v>
      </c>
      <c r="M8389" s="4" t="str">
        <f>IFERROR(__xludf.DUMMYFUNCTION("""COMPUTED_VALUE"""),"Anota Ai Solucoes Digitais S/a")</f>
        <v>Anota Ai Solucoes Digitais S/a</v>
      </c>
      <c r="N8389" s="33">
        <f>IFERROR(__xludf.DUMMYFUNCTION("""COMPUTED_VALUE"""),1.0)</f>
        <v>1</v>
      </c>
      <c r="O8389" s="4" t="str">
        <f>IFERROR(__xludf.DUMMYFUNCTION("""COMPUTED_VALUE"""),"null")</f>
        <v>null</v>
      </c>
      <c r="P8389" s="33">
        <f>IFERROR(__xludf.DUMMYFUNCTION("""COMPUTED_VALUE"""),1.0)</f>
        <v>1</v>
      </c>
      <c r="Q8389" s="4" t="str">
        <f>IFERROR(__xludf.DUMMYFUNCTION("""COMPUTED_VALUE"""),"null")</f>
        <v>null</v>
      </c>
      <c r="R8389" s="33">
        <f>IFERROR(__xludf.DUMMYFUNCTION("""COMPUTED_VALUE"""),1.0)</f>
        <v>1</v>
      </c>
      <c r="S8389" s="4" t="str">
        <f>IFERROR(__xludf.DUMMYFUNCTION("""COMPUTED_VALUE"""),"null")</f>
        <v>null</v>
      </c>
      <c r="T8389" s="33">
        <f>IFERROR(__xludf.DUMMYFUNCTION("""COMPUTED_VALUE"""),1.0)</f>
        <v>1</v>
      </c>
      <c r="U8389" s="4" t="str">
        <f>IFERROR(__xludf.DUMMYFUNCTION("""COMPUTED_VALUE"""),"null")</f>
        <v>null</v>
      </c>
      <c r="V8389" s="33">
        <f>IFERROR(__xludf.DUMMYFUNCTION("""COMPUTED_VALUE"""),1.0)</f>
        <v>1</v>
      </c>
      <c r="W8389" s="4" t="str">
        <f>IFERROR(__xludf.DUMMYFUNCTION("""COMPUTED_VALUE"""),"null")</f>
        <v>null</v>
      </c>
      <c r="X8389" s="33">
        <f>IFERROR(__xludf.DUMMYFUNCTION("""COMPUTED_VALUE"""),1.0)</f>
        <v>1</v>
      </c>
    </row>
    <row r="8390">
      <c r="K8390" s="4" t="str">
        <f>IFERROR(__xludf.DUMMYFUNCTION("""COMPUTED_VALUE"""),"HOT DOG DO CHEF")</f>
        <v>HOT DOG DO CHEF</v>
      </c>
      <c r="L8390" s="32">
        <f>IFERROR(__xludf.DUMMYFUNCTION("""COMPUTED_VALUE"""),1.0)</f>
        <v>1</v>
      </c>
      <c r="M8390" s="4" t="str">
        <f>IFERROR(__xludf.DUMMYFUNCTION("""COMPUTED_VALUE"""),"Cardápio Web")</f>
        <v>Cardápio Web</v>
      </c>
      <c r="N8390" s="33">
        <f>IFERROR(__xludf.DUMMYFUNCTION("""COMPUTED_VALUE"""),1.0)</f>
        <v>1</v>
      </c>
      <c r="O8390" s="4" t="str">
        <f>IFERROR(__xludf.DUMMYFUNCTION("""COMPUTED_VALUE"""),"null")</f>
        <v>null</v>
      </c>
      <c r="P8390" s="33">
        <f>IFERROR(__xludf.DUMMYFUNCTION("""COMPUTED_VALUE"""),1.0)</f>
        <v>1</v>
      </c>
      <c r="Q8390" s="4" t="str">
        <f>IFERROR(__xludf.DUMMYFUNCTION("""COMPUTED_VALUE"""),"Cardápio Web")</f>
        <v>Cardápio Web</v>
      </c>
      <c r="R8390" s="33">
        <f>IFERROR(__xludf.DUMMYFUNCTION("""COMPUTED_VALUE"""),1.0)</f>
        <v>1</v>
      </c>
      <c r="S8390" s="4" t="str">
        <f>IFERROR(__xludf.DUMMYFUNCTION("""COMPUTED_VALUE"""),"Cardápio Web")</f>
        <v>Cardápio Web</v>
      </c>
      <c r="T8390" s="33">
        <f>IFERROR(__xludf.DUMMYFUNCTION("""COMPUTED_VALUE"""),1.0)</f>
        <v>1</v>
      </c>
      <c r="U8390" s="4" t="str">
        <f>IFERROR(__xludf.DUMMYFUNCTION("""COMPUTED_VALUE"""),"Cardápio Web")</f>
        <v>Cardápio Web</v>
      </c>
      <c r="V8390" s="33">
        <f>IFERROR(__xludf.DUMMYFUNCTION("""COMPUTED_VALUE"""),1.0)</f>
        <v>1</v>
      </c>
      <c r="W8390" s="4" t="str">
        <f>IFERROR(__xludf.DUMMYFUNCTION("""COMPUTED_VALUE"""),"Cardápio Web")</f>
        <v>Cardápio Web</v>
      </c>
      <c r="X8390" s="33">
        <f>IFERROR(__xludf.DUMMYFUNCTION("""COMPUTED_VALUE"""),1.0)</f>
        <v>1</v>
      </c>
    </row>
    <row r="8391">
      <c r="K8391" s="4" t="str">
        <f>IFERROR(__xludf.DUMMYFUNCTION("""COMPUTED_VALUE"""),"COLONIAL CALDOS")</f>
        <v>COLONIAL CALDOS</v>
      </c>
      <c r="L8391" s="32">
        <f>IFERROR(__xludf.DUMMYFUNCTION("""COMPUTED_VALUE"""),1.0)</f>
        <v>1</v>
      </c>
      <c r="M8391" s="4" t="str">
        <f>IFERROR(__xludf.DUMMYFUNCTION("""COMPUTED_VALUE"""),"Yooga")</f>
        <v>Yooga</v>
      </c>
      <c r="N8391" s="33">
        <f>IFERROR(__xludf.DUMMYFUNCTION("""COMPUTED_VALUE"""),1.0)</f>
        <v>1</v>
      </c>
      <c r="O8391" s="4" t="str">
        <f>IFERROR(__xludf.DUMMYFUNCTION("""COMPUTED_VALUE"""),"Yooga")</f>
        <v>Yooga</v>
      </c>
      <c r="P8391" s="33">
        <f>IFERROR(__xludf.DUMMYFUNCTION("""COMPUTED_VALUE"""),1.0)</f>
        <v>1</v>
      </c>
      <c r="Q8391" s="4" t="str">
        <f>IFERROR(__xludf.DUMMYFUNCTION("""COMPUTED_VALUE"""),"Yooga")</f>
        <v>Yooga</v>
      </c>
      <c r="R8391" s="33">
        <f>IFERROR(__xludf.DUMMYFUNCTION("""COMPUTED_VALUE"""),1.0)</f>
        <v>1</v>
      </c>
      <c r="S8391" s="4" t="str">
        <f>IFERROR(__xludf.DUMMYFUNCTION("""COMPUTED_VALUE"""),"Yooga")</f>
        <v>Yooga</v>
      </c>
      <c r="T8391" s="33">
        <f>IFERROR(__xludf.DUMMYFUNCTION("""COMPUTED_VALUE"""),1.0)</f>
        <v>1</v>
      </c>
      <c r="U8391" s="4" t="str">
        <f>IFERROR(__xludf.DUMMYFUNCTION("""COMPUTED_VALUE"""),"Yooga")</f>
        <v>Yooga</v>
      </c>
      <c r="V8391" s="33">
        <f>IFERROR(__xludf.DUMMYFUNCTION("""COMPUTED_VALUE"""),1.0)</f>
        <v>1</v>
      </c>
      <c r="W8391" s="4" t="str">
        <f>IFERROR(__xludf.DUMMYFUNCTION("""COMPUTED_VALUE"""),"Yooga")</f>
        <v>Yooga</v>
      </c>
      <c r="X8391" s="33">
        <f>IFERROR(__xludf.DUMMYFUNCTION("""COMPUTED_VALUE"""),1.0)</f>
        <v>1</v>
      </c>
    </row>
    <row r="8392">
      <c r="K8392" s="4" t="str">
        <f>IFERROR(__xludf.DUMMYFUNCTION("""COMPUTED_VALUE"""),"SALGADETTO")</f>
        <v>SALGADETTO</v>
      </c>
      <c r="L8392" s="32">
        <f>IFERROR(__xludf.DUMMYFUNCTION("""COMPUTED_VALUE"""),1.0)</f>
        <v>1</v>
      </c>
      <c r="M8392" s="4" t="str">
        <f>IFERROR(__xludf.DUMMYFUNCTION("""COMPUTED_VALUE"""),"Saipos Serviços De Software")</f>
        <v>Saipos Serviços De Software</v>
      </c>
      <c r="N8392" s="33">
        <f>IFERROR(__xludf.DUMMYFUNCTION("""COMPUTED_VALUE"""),1.0)</f>
        <v>1</v>
      </c>
      <c r="O8392" s="4" t="str">
        <f>IFERROR(__xludf.DUMMYFUNCTION("""COMPUTED_VALUE"""),"Saipos Serviços De Software")</f>
        <v>Saipos Serviços De Software</v>
      </c>
      <c r="P8392" s="33">
        <f>IFERROR(__xludf.DUMMYFUNCTION("""COMPUTED_VALUE"""),1.0)</f>
        <v>1</v>
      </c>
      <c r="Q8392" s="4" t="str">
        <f>IFERROR(__xludf.DUMMYFUNCTION("""COMPUTED_VALUE"""),"Saipos Serviços De Software")</f>
        <v>Saipos Serviços De Software</v>
      </c>
      <c r="R8392" s="33">
        <f>IFERROR(__xludf.DUMMYFUNCTION("""COMPUTED_VALUE"""),1.0)</f>
        <v>1</v>
      </c>
      <c r="S8392" s="4" t="str">
        <f>IFERROR(__xludf.DUMMYFUNCTION("""COMPUTED_VALUE"""),"Saipos Serviços De Software")</f>
        <v>Saipos Serviços De Software</v>
      </c>
      <c r="T8392" s="33">
        <f>IFERROR(__xludf.DUMMYFUNCTION("""COMPUTED_VALUE"""),1.0)</f>
        <v>1</v>
      </c>
      <c r="U8392" s="4" t="str">
        <f>IFERROR(__xludf.DUMMYFUNCTION("""COMPUTED_VALUE"""),"Saipos Serviços De Software")</f>
        <v>Saipos Serviços De Software</v>
      </c>
      <c r="V8392" s="33">
        <f>IFERROR(__xludf.DUMMYFUNCTION("""COMPUTED_VALUE"""),1.0)</f>
        <v>1</v>
      </c>
      <c r="W8392" s="4" t="str">
        <f>IFERROR(__xludf.DUMMYFUNCTION("""COMPUTED_VALUE"""),"Saipos Serviços De Software")</f>
        <v>Saipos Serviços De Software</v>
      </c>
      <c r="X8392" s="33">
        <f>IFERROR(__xludf.DUMMYFUNCTION("""COMPUTED_VALUE"""),1.0)</f>
        <v>1</v>
      </c>
    </row>
    <row r="8393">
      <c r="K8393" s="4" t="str">
        <f>IFERROR(__xludf.DUMMYFUNCTION("""COMPUTED_VALUE"""),"QUALITY COMIDA CASEIRA")</f>
        <v>QUALITY COMIDA CASEIRA</v>
      </c>
      <c r="L8393" s="32">
        <f>IFERROR(__xludf.DUMMYFUNCTION("""COMPUTED_VALUE"""),1.0)</f>
        <v>1</v>
      </c>
      <c r="M8393" s="4" t="str">
        <f>IFERROR(__xludf.DUMMYFUNCTION("""COMPUTED_VALUE"""),"null")</f>
        <v>null</v>
      </c>
      <c r="N8393" s="33">
        <f>IFERROR(__xludf.DUMMYFUNCTION("""COMPUTED_VALUE"""),1.0)</f>
        <v>1</v>
      </c>
      <c r="O8393" s="4" t="str">
        <f>IFERROR(__xludf.DUMMYFUNCTION("""COMPUTED_VALUE"""),"null")</f>
        <v>null</v>
      </c>
      <c r="P8393" s="33">
        <f>IFERROR(__xludf.DUMMYFUNCTION("""COMPUTED_VALUE"""),1.0)</f>
        <v>1</v>
      </c>
      <c r="Q8393" s="4" t="str">
        <f>IFERROR(__xludf.DUMMYFUNCTION("""COMPUTED_VALUE"""),"null")</f>
        <v>null</v>
      </c>
      <c r="R8393" s="33">
        <f>IFERROR(__xludf.DUMMYFUNCTION("""COMPUTED_VALUE"""),1.0)</f>
        <v>1</v>
      </c>
      <c r="S8393" s="4" t="str">
        <f>IFERROR(__xludf.DUMMYFUNCTION("""COMPUTED_VALUE"""),"Saipos Serviços De Software")</f>
        <v>Saipos Serviços De Software</v>
      </c>
      <c r="T8393" s="33">
        <f>IFERROR(__xludf.DUMMYFUNCTION("""COMPUTED_VALUE"""),1.0)</f>
        <v>1</v>
      </c>
      <c r="U8393" s="4" t="str">
        <f>IFERROR(__xludf.DUMMYFUNCTION("""COMPUTED_VALUE"""),"Saipos Serviços De Software")</f>
        <v>Saipos Serviços De Software</v>
      </c>
      <c r="V8393" s="33">
        <f>IFERROR(__xludf.DUMMYFUNCTION("""COMPUTED_VALUE"""),1.0)</f>
        <v>1</v>
      </c>
      <c r="W8393" s="4" t="str">
        <f>IFERROR(__xludf.DUMMYFUNCTION("""COMPUTED_VALUE"""),"Saipos Serviços De Software")</f>
        <v>Saipos Serviços De Software</v>
      </c>
      <c r="X8393" s="33">
        <f>IFERROR(__xludf.DUMMYFUNCTION("""COMPUTED_VALUE"""),1.0)</f>
        <v>1</v>
      </c>
    </row>
    <row r="8394">
      <c r="K8394" s="4" t="str">
        <f>IFERROR(__xludf.DUMMYFUNCTION("""COMPUTED_VALUE"""),"TIEL PIZZA HAMBURGUER")</f>
        <v>TIEL PIZZA HAMBURGUER</v>
      </c>
      <c r="L8394" s="32">
        <f>IFERROR(__xludf.DUMMYFUNCTION("""COMPUTED_VALUE"""),1.0)</f>
        <v>1</v>
      </c>
      <c r="M8394" s="4" t="str">
        <f>IFERROR(__xludf.DUMMYFUNCTION("""COMPUTED_VALUE"""),"Cardápio Web")</f>
        <v>Cardápio Web</v>
      </c>
      <c r="N8394" s="33">
        <f>IFERROR(__xludf.DUMMYFUNCTION("""COMPUTED_VALUE"""),1.0)</f>
        <v>1</v>
      </c>
      <c r="O8394" s="4" t="str">
        <f>IFERROR(__xludf.DUMMYFUNCTION("""COMPUTED_VALUE"""),"Cardápio Web")</f>
        <v>Cardápio Web</v>
      </c>
      <c r="P8394" s="33">
        <f>IFERROR(__xludf.DUMMYFUNCTION("""COMPUTED_VALUE"""),1.0)</f>
        <v>1</v>
      </c>
      <c r="Q8394" s="4" t="str">
        <f>IFERROR(__xludf.DUMMYFUNCTION("""COMPUTED_VALUE"""),"Cardápio Web")</f>
        <v>Cardápio Web</v>
      </c>
      <c r="R8394" s="33">
        <f>IFERROR(__xludf.DUMMYFUNCTION("""COMPUTED_VALUE"""),1.0)</f>
        <v>1</v>
      </c>
      <c r="S8394" s="4" t="str">
        <f>IFERROR(__xludf.DUMMYFUNCTION("""COMPUTED_VALUE"""),"Cardápio Web")</f>
        <v>Cardápio Web</v>
      </c>
      <c r="T8394" s="33">
        <f>IFERROR(__xludf.DUMMYFUNCTION("""COMPUTED_VALUE"""),1.0)</f>
        <v>1</v>
      </c>
      <c r="U8394" s="4" t="str">
        <f>IFERROR(__xludf.DUMMYFUNCTION("""COMPUTED_VALUE"""),"Cardápio Web")</f>
        <v>Cardápio Web</v>
      </c>
      <c r="V8394" s="33">
        <f>IFERROR(__xludf.DUMMYFUNCTION("""COMPUTED_VALUE"""),1.0)</f>
        <v>1</v>
      </c>
      <c r="W8394" s="4" t="str">
        <f>IFERROR(__xludf.DUMMYFUNCTION("""COMPUTED_VALUE"""),"Cardápio Web")</f>
        <v>Cardápio Web</v>
      </c>
      <c r="X8394" s="33">
        <f>IFERROR(__xludf.DUMMYFUNCTION("""COMPUTED_VALUE"""),1.0)</f>
        <v>1</v>
      </c>
    </row>
    <row r="8395">
      <c r="K8395" s="4" t="str">
        <f>IFERROR(__xludf.DUMMYFUNCTION("""COMPUTED_VALUE"""),"ROTA54 PASTELARIA")</f>
        <v>ROTA54 PASTELARIA</v>
      </c>
      <c r="L8395" s="32">
        <f>IFERROR(__xludf.DUMMYFUNCTION("""COMPUTED_VALUE"""),1.0)</f>
        <v>1</v>
      </c>
      <c r="M8395" s="4" t="str">
        <f>IFERROR(__xludf.DUMMYFUNCTION("""COMPUTED_VALUE"""),"Connectplug")</f>
        <v>Connectplug</v>
      </c>
      <c r="N8395" s="33">
        <f>IFERROR(__xludf.DUMMYFUNCTION("""COMPUTED_VALUE"""),1.0)</f>
        <v>1</v>
      </c>
      <c r="O8395" s="4" t="str">
        <f>IFERROR(__xludf.DUMMYFUNCTION("""COMPUTED_VALUE"""),"Connectplug")</f>
        <v>Connectplug</v>
      </c>
      <c r="P8395" s="33">
        <f>IFERROR(__xludf.DUMMYFUNCTION("""COMPUTED_VALUE"""),1.0)</f>
        <v>1</v>
      </c>
      <c r="Q8395" s="4" t="str">
        <f>IFERROR(__xludf.DUMMYFUNCTION("""COMPUTED_VALUE"""),"Connectplug")</f>
        <v>Connectplug</v>
      </c>
      <c r="R8395" s="33">
        <f>IFERROR(__xludf.DUMMYFUNCTION("""COMPUTED_VALUE"""),1.0)</f>
        <v>1</v>
      </c>
      <c r="S8395" s="4" t="str">
        <f>IFERROR(__xludf.DUMMYFUNCTION("""COMPUTED_VALUE"""),"Connectplug")</f>
        <v>Connectplug</v>
      </c>
      <c r="T8395" s="33">
        <f>IFERROR(__xludf.DUMMYFUNCTION("""COMPUTED_VALUE"""),1.0)</f>
        <v>1</v>
      </c>
      <c r="U8395" s="4" t="str">
        <f>IFERROR(__xludf.DUMMYFUNCTION("""COMPUTED_VALUE"""),"Connectplug")</f>
        <v>Connectplug</v>
      </c>
      <c r="V8395" s="33">
        <f>IFERROR(__xludf.DUMMYFUNCTION("""COMPUTED_VALUE"""),1.0)</f>
        <v>1</v>
      </c>
      <c r="W8395" s="4" t="str">
        <f>IFERROR(__xludf.DUMMYFUNCTION("""COMPUTED_VALUE"""),"Connectplug")</f>
        <v>Connectplug</v>
      </c>
      <c r="X8395" s="33">
        <f>IFERROR(__xludf.DUMMYFUNCTION("""COMPUTED_VALUE"""),1.0)</f>
        <v>1</v>
      </c>
    </row>
    <row r="8396">
      <c r="K8396" s="4" t="str">
        <f>IFERROR(__xludf.DUMMYFUNCTION("""COMPUTED_VALUE"""),"TOP PIZZA - SAO JOSE")</f>
        <v>TOP PIZZA - SAO JOSE</v>
      </c>
      <c r="L8396" s="32">
        <f>IFERROR(__xludf.DUMMYFUNCTION("""COMPUTED_VALUE"""),1.0)</f>
        <v>1</v>
      </c>
      <c r="M8396" s="4" t="str">
        <f>IFERROR(__xludf.DUMMYFUNCTION("""COMPUTED_VALUE"""),"Mp Multipedidos")</f>
        <v>Mp Multipedidos</v>
      </c>
      <c r="N8396" s="33">
        <f>IFERROR(__xludf.DUMMYFUNCTION("""COMPUTED_VALUE"""),1.0)</f>
        <v>1</v>
      </c>
      <c r="O8396" s="4" t="str">
        <f>IFERROR(__xludf.DUMMYFUNCTION("""COMPUTED_VALUE"""),"Mp Multipedidos")</f>
        <v>Mp Multipedidos</v>
      </c>
      <c r="P8396" s="33">
        <f>IFERROR(__xludf.DUMMYFUNCTION("""COMPUTED_VALUE"""),1.0)</f>
        <v>1</v>
      </c>
      <c r="Q8396" s="4" t="str">
        <f>IFERROR(__xludf.DUMMYFUNCTION("""COMPUTED_VALUE"""),"Mp Multipedidos")</f>
        <v>Mp Multipedidos</v>
      </c>
      <c r="R8396" s="33">
        <f>IFERROR(__xludf.DUMMYFUNCTION("""COMPUTED_VALUE"""),1.0)</f>
        <v>1</v>
      </c>
      <c r="S8396" s="4" t="str">
        <f>IFERROR(__xludf.DUMMYFUNCTION("""COMPUTED_VALUE"""),"Mp Multipedidos")</f>
        <v>Mp Multipedidos</v>
      </c>
      <c r="T8396" s="33">
        <f>IFERROR(__xludf.DUMMYFUNCTION("""COMPUTED_VALUE"""),1.0)</f>
        <v>1</v>
      </c>
      <c r="U8396" s="4" t="str">
        <f>IFERROR(__xludf.DUMMYFUNCTION("""COMPUTED_VALUE"""),"Mp Multipedidos")</f>
        <v>Mp Multipedidos</v>
      </c>
      <c r="V8396" s="33">
        <f>IFERROR(__xludf.DUMMYFUNCTION("""COMPUTED_VALUE"""),1.0)</f>
        <v>1</v>
      </c>
      <c r="W8396" s="4" t="str">
        <f>IFERROR(__xludf.DUMMYFUNCTION("""COMPUTED_VALUE"""),"Mp Multipedidos")</f>
        <v>Mp Multipedidos</v>
      </c>
      <c r="X8396" s="33">
        <f>IFERROR(__xludf.DUMMYFUNCTION("""COMPUTED_VALUE"""),1.0)</f>
        <v>1</v>
      </c>
    </row>
    <row r="8397">
      <c r="K8397" s="4" t="str">
        <f>IFERROR(__xludf.DUMMYFUNCTION("""COMPUTED_VALUE"""),"BIBI RESTAURANTE")</f>
        <v>BIBI RESTAURANTE</v>
      </c>
      <c r="L8397" s="32">
        <f>IFERROR(__xludf.DUMMYFUNCTION("""COMPUTED_VALUE"""),1.0)</f>
        <v>1</v>
      </c>
      <c r="M8397" s="4" t="str">
        <f>IFERROR(__xludf.DUMMYFUNCTION("""COMPUTED_VALUE"""),"null")</f>
        <v>null</v>
      </c>
      <c r="N8397" s="33">
        <f>IFERROR(__xludf.DUMMYFUNCTION("""COMPUTED_VALUE"""),1.0)</f>
        <v>1</v>
      </c>
      <c r="O8397" s="4" t="str">
        <f>IFERROR(__xludf.DUMMYFUNCTION("""COMPUTED_VALUE"""),"null")</f>
        <v>null</v>
      </c>
      <c r="P8397" s="33">
        <f>IFERROR(__xludf.DUMMYFUNCTION("""COMPUTED_VALUE"""),1.0)</f>
        <v>1</v>
      </c>
      <c r="Q8397" s="4" t="str">
        <f>IFERROR(__xludf.DUMMYFUNCTION("""COMPUTED_VALUE"""),"null")</f>
        <v>null</v>
      </c>
      <c r="R8397" s="33">
        <f>IFERROR(__xludf.DUMMYFUNCTION("""COMPUTED_VALUE"""),1.0)</f>
        <v>1</v>
      </c>
      <c r="S8397" s="4" t="str">
        <f>IFERROR(__xludf.DUMMYFUNCTION("""COMPUTED_VALUE"""),"null")</f>
        <v>null</v>
      </c>
      <c r="T8397" s="33">
        <f>IFERROR(__xludf.DUMMYFUNCTION("""COMPUTED_VALUE"""),1.0)</f>
        <v>1</v>
      </c>
      <c r="U8397" s="4" t="str">
        <f>IFERROR(__xludf.DUMMYFUNCTION("""COMPUTED_VALUE"""),"null")</f>
        <v>null</v>
      </c>
      <c r="V8397" s="33">
        <f>IFERROR(__xludf.DUMMYFUNCTION("""COMPUTED_VALUE"""),1.0)</f>
        <v>1</v>
      </c>
      <c r="W8397" s="4" t="str">
        <f>IFERROR(__xludf.DUMMYFUNCTION("""COMPUTED_VALUE"""),"Anota Ai Solucoes Digitais S/a")</f>
        <v>Anota Ai Solucoes Digitais S/a</v>
      </c>
      <c r="X8397" s="33">
        <f>IFERROR(__xludf.DUMMYFUNCTION("""COMPUTED_VALUE"""),1.0)</f>
        <v>1</v>
      </c>
    </row>
    <row r="8398">
      <c r="K8398" s="4" t="str">
        <f>IFERROR(__xludf.DUMMYFUNCTION("""COMPUTED_VALUE"""),"SAVOR CAFE")</f>
        <v>SAVOR CAFE</v>
      </c>
      <c r="L8398" s="32">
        <f>IFERROR(__xludf.DUMMYFUNCTION("""COMPUTED_VALUE"""),1.0)</f>
        <v>1</v>
      </c>
      <c r="M8398" s="4" t="str">
        <f>IFERROR(__xludf.DUMMYFUNCTION("""COMPUTED_VALUE"""),"null")</f>
        <v>null</v>
      </c>
      <c r="N8398" s="33">
        <f>IFERROR(__xludf.DUMMYFUNCTION("""COMPUTED_VALUE"""),1.0)</f>
        <v>1</v>
      </c>
      <c r="O8398" s="4" t="str">
        <f>IFERROR(__xludf.DUMMYFUNCTION("""COMPUTED_VALUE"""),"Parseint Desenvolvimento De Sistemas Ltda")</f>
        <v>Parseint Desenvolvimento De Sistemas Ltda</v>
      </c>
      <c r="P8398" s="33">
        <f>IFERROR(__xludf.DUMMYFUNCTION("""COMPUTED_VALUE"""),1.0)</f>
        <v>1</v>
      </c>
      <c r="Q8398" s="4" t="str">
        <f>IFERROR(__xludf.DUMMYFUNCTION("""COMPUTED_VALUE"""),"Parseint Desenvolvimento De Sistemas Ltda")</f>
        <v>Parseint Desenvolvimento De Sistemas Ltda</v>
      </c>
      <c r="R8398" s="33">
        <f>IFERROR(__xludf.DUMMYFUNCTION("""COMPUTED_VALUE"""),1.0)</f>
        <v>1</v>
      </c>
      <c r="S8398" s="4" t="str">
        <f>IFERROR(__xludf.DUMMYFUNCTION("""COMPUTED_VALUE"""),"Parseint Desenvolvimento De Sistemas Ltda")</f>
        <v>Parseint Desenvolvimento De Sistemas Ltda</v>
      </c>
      <c r="T8398" s="33">
        <f>IFERROR(__xludf.DUMMYFUNCTION("""COMPUTED_VALUE"""),1.0)</f>
        <v>1</v>
      </c>
      <c r="U8398" s="4" t="str">
        <f>IFERROR(__xludf.DUMMYFUNCTION("""COMPUTED_VALUE"""),"Parseint Desenvolvimento De Sistemas Ltda")</f>
        <v>Parseint Desenvolvimento De Sistemas Ltda</v>
      </c>
      <c r="V8398" s="33">
        <f>IFERROR(__xludf.DUMMYFUNCTION("""COMPUTED_VALUE"""),1.0)</f>
        <v>1</v>
      </c>
      <c r="W8398" s="4" t="str">
        <f>IFERROR(__xludf.DUMMYFUNCTION("""COMPUTED_VALUE"""),"Parseint Desenvolvimento De Sistemas Ltda")</f>
        <v>Parseint Desenvolvimento De Sistemas Ltda</v>
      </c>
      <c r="X8398" s="33">
        <f>IFERROR(__xludf.DUMMYFUNCTION("""COMPUTED_VALUE"""),1.0)</f>
        <v>1</v>
      </c>
    </row>
    <row r="8399">
      <c r="K8399" s="4" t="str">
        <f>IFERROR(__xludf.DUMMYFUNCTION("""COMPUTED_VALUE"""),"ORZO PASTA BAR")</f>
        <v>ORZO PASTA BAR</v>
      </c>
      <c r="L8399" s="32">
        <f>IFERROR(__xludf.DUMMYFUNCTION("""COMPUTED_VALUE"""),1.0)</f>
        <v>1</v>
      </c>
      <c r="M8399" s="4" t="str">
        <f>IFERROR(__xludf.DUMMYFUNCTION("""COMPUTED_VALUE"""),"Stone Co.")</f>
        <v>Stone Co.</v>
      </c>
      <c r="N8399" s="33">
        <f>IFERROR(__xludf.DUMMYFUNCTION("""COMPUTED_VALUE"""),1.0)</f>
        <v>1</v>
      </c>
      <c r="O8399" s="4" t="str">
        <f>IFERROR(__xludf.DUMMYFUNCTION("""COMPUTED_VALUE"""),"Stone Co.")</f>
        <v>Stone Co.</v>
      </c>
      <c r="P8399" s="33">
        <f>IFERROR(__xludf.DUMMYFUNCTION("""COMPUTED_VALUE"""),1.0)</f>
        <v>1</v>
      </c>
      <c r="Q8399" s="4" t="str">
        <f>IFERROR(__xludf.DUMMYFUNCTION("""COMPUTED_VALUE"""),"Stone Co.")</f>
        <v>Stone Co.</v>
      </c>
      <c r="R8399" s="33">
        <f>IFERROR(__xludf.DUMMYFUNCTION("""COMPUTED_VALUE"""),1.0)</f>
        <v>1</v>
      </c>
      <c r="S8399" s="4" t="str">
        <f>IFERROR(__xludf.DUMMYFUNCTION("""COMPUTED_VALUE"""),"Stone Co.")</f>
        <v>Stone Co.</v>
      </c>
      <c r="T8399" s="33">
        <f>IFERROR(__xludf.DUMMYFUNCTION("""COMPUTED_VALUE"""),1.0)</f>
        <v>1</v>
      </c>
      <c r="U8399" s="4" t="str">
        <f>IFERROR(__xludf.DUMMYFUNCTION("""COMPUTED_VALUE"""),"Stone Co.")</f>
        <v>Stone Co.</v>
      </c>
      <c r="V8399" s="33">
        <f>IFERROR(__xludf.DUMMYFUNCTION("""COMPUTED_VALUE"""),1.0)</f>
        <v>1</v>
      </c>
      <c r="W8399" s="4" t="str">
        <f>IFERROR(__xludf.DUMMYFUNCTION("""COMPUTED_VALUE"""),"Stone Co.")</f>
        <v>Stone Co.</v>
      </c>
      <c r="X8399" s="33">
        <f>IFERROR(__xludf.DUMMYFUNCTION("""COMPUTED_VALUE"""),1.0)</f>
        <v>1</v>
      </c>
    </row>
    <row r="8400">
      <c r="K8400" s="4" t="str">
        <f>IFERROR(__xludf.DUMMYFUNCTION("""COMPUTED_VALUE"""),"ARMAZEM ZE DUMONT")</f>
        <v>ARMAZEM ZE DUMONT</v>
      </c>
      <c r="L8400" s="32">
        <f>IFERROR(__xludf.DUMMYFUNCTION("""COMPUTED_VALUE"""),1.0)</f>
        <v>1</v>
      </c>
      <c r="M8400" s="4" t="str">
        <f>IFERROR(__xludf.DUMMYFUNCTION("""COMPUTED_VALUE"""),"Nox Automação")</f>
        <v>Nox Automação</v>
      </c>
      <c r="N8400" s="33">
        <f>IFERROR(__xludf.DUMMYFUNCTION("""COMPUTED_VALUE"""),1.0)</f>
        <v>1</v>
      </c>
      <c r="O8400" s="4" t="str">
        <f>IFERROR(__xludf.DUMMYFUNCTION("""COMPUTED_VALUE"""),"Nox Automação")</f>
        <v>Nox Automação</v>
      </c>
      <c r="P8400" s="33">
        <f>IFERROR(__xludf.DUMMYFUNCTION("""COMPUTED_VALUE"""),1.0)</f>
        <v>1</v>
      </c>
      <c r="Q8400" s="4" t="str">
        <f>IFERROR(__xludf.DUMMYFUNCTION("""COMPUTED_VALUE"""),"Nox Automação")</f>
        <v>Nox Automação</v>
      </c>
      <c r="R8400" s="33">
        <f>IFERROR(__xludf.DUMMYFUNCTION("""COMPUTED_VALUE"""),1.0)</f>
        <v>1</v>
      </c>
      <c r="S8400" s="4" t="str">
        <f>IFERROR(__xludf.DUMMYFUNCTION("""COMPUTED_VALUE"""),"Nox Automação")</f>
        <v>Nox Automação</v>
      </c>
      <c r="T8400" s="33">
        <f>IFERROR(__xludf.DUMMYFUNCTION("""COMPUTED_VALUE"""),1.0)</f>
        <v>1</v>
      </c>
      <c r="U8400" s="4" t="str">
        <f>IFERROR(__xludf.DUMMYFUNCTION("""COMPUTED_VALUE"""),"Nox Automação")</f>
        <v>Nox Automação</v>
      </c>
      <c r="V8400" s="33">
        <f>IFERROR(__xludf.DUMMYFUNCTION("""COMPUTED_VALUE"""),1.0)</f>
        <v>1</v>
      </c>
      <c r="W8400" s="4" t="str">
        <f>IFERROR(__xludf.DUMMYFUNCTION("""COMPUTED_VALUE"""),"Nox Automação")</f>
        <v>Nox Automação</v>
      </c>
      <c r="X8400" s="33">
        <f>IFERROR(__xludf.DUMMYFUNCTION("""COMPUTED_VALUE"""),1.0)</f>
        <v>1</v>
      </c>
    </row>
    <row r="8401">
      <c r="K8401" s="4" t="str">
        <f>IFERROR(__xludf.DUMMYFUNCTION("""COMPUTED_VALUE"""),"TIO URSO LANCHES")</f>
        <v>TIO URSO LANCHES</v>
      </c>
      <c r="L8401" s="32">
        <f>IFERROR(__xludf.DUMMYFUNCTION("""COMPUTED_VALUE"""),1.0)</f>
        <v>1</v>
      </c>
      <c r="M8401" s="4" t="str">
        <f>IFERROR(__xludf.DUMMYFUNCTION("""COMPUTED_VALUE"""),"Consumer Soluções Em Tecnologia Ltda")</f>
        <v>Consumer Soluções Em Tecnologia Ltda</v>
      </c>
      <c r="N8401" s="33">
        <f>IFERROR(__xludf.DUMMYFUNCTION("""COMPUTED_VALUE"""),1.0)</f>
        <v>1</v>
      </c>
      <c r="O8401" s="4" t="str">
        <f>IFERROR(__xludf.DUMMYFUNCTION("""COMPUTED_VALUE"""),"Consumer Soluções Em Tecnologia Ltda")</f>
        <v>Consumer Soluções Em Tecnologia Ltda</v>
      </c>
      <c r="P8401" s="33">
        <f>IFERROR(__xludf.DUMMYFUNCTION("""COMPUTED_VALUE"""),1.0)</f>
        <v>1</v>
      </c>
      <c r="Q8401" s="4" t="str">
        <f>IFERROR(__xludf.DUMMYFUNCTION("""COMPUTED_VALUE"""),"Consumer Soluções Em Tecnologia Ltda")</f>
        <v>Consumer Soluções Em Tecnologia Ltda</v>
      </c>
      <c r="R8401" s="33">
        <f>IFERROR(__xludf.DUMMYFUNCTION("""COMPUTED_VALUE"""),1.0)</f>
        <v>1</v>
      </c>
      <c r="S8401" s="4" t="str">
        <f>IFERROR(__xludf.DUMMYFUNCTION("""COMPUTED_VALUE"""),"Consumer Soluções Em Tecnologia Ltda")</f>
        <v>Consumer Soluções Em Tecnologia Ltda</v>
      </c>
      <c r="T8401" s="33">
        <f>IFERROR(__xludf.DUMMYFUNCTION("""COMPUTED_VALUE"""),1.0)</f>
        <v>1</v>
      </c>
      <c r="U8401" s="4" t="str">
        <f>IFERROR(__xludf.DUMMYFUNCTION("""COMPUTED_VALUE"""),"Consumer Soluções Em Tecnologia Ltda")</f>
        <v>Consumer Soluções Em Tecnologia Ltda</v>
      </c>
      <c r="V8401" s="33">
        <f>IFERROR(__xludf.DUMMYFUNCTION("""COMPUTED_VALUE"""),1.0)</f>
        <v>1</v>
      </c>
      <c r="W8401" s="4" t="str">
        <f>IFERROR(__xludf.DUMMYFUNCTION("""COMPUTED_VALUE"""),"Consumer Soluções Em Tecnologia Ltda")</f>
        <v>Consumer Soluções Em Tecnologia Ltda</v>
      </c>
      <c r="X8401" s="33">
        <f>IFERROR(__xludf.DUMMYFUNCTION("""COMPUTED_VALUE"""),1.0)</f>
        <v>1</v>
      </c>
    </row>
    <row r="8402">
      <c r="K8402" s="4" t="str">
        <f>IFERROR(__xludf.DUMMYFUNCTION("""COMPUTED_VALUE"""),"CHURRASCARIA AMANTINO")</f>
        <v>CHURRASCARIA AMANTINO</v>
      </c>
      <c r="L8402" s="32">
        <f>IFERROR(__xludf.DUMMYFUNCTION("""COMPUTED_VALUE"""),1.0)</f>
        <v>1</v>
      </c>
      <c r="M8402" s="4" t="str">
        <f>IFERROR(__xludf.DUMMYFUNCTION("""COMPUTED_VALUE"""),"Sagres Automação Comercial")</f>
        <v>Sagres Automação Comercial</v>
      </c>
      <c r="N8402" s="33">
        <f>IFERROR(__xludf.DUMMYFUNCTION("""COMPUTED_VALUE"""),1.0)</f>
        <v>1</v>
      </c>
      <c r="O8402" s="4" t="str">
        <f>IFERROR(__xludf.DUMMYFUNCTION("""COMPUTED_VALUE"""),"null")</f>
        <v>null</v>
      </c>
      <c r="P8402" s="33">
        <f>IFERROR(__xludf.DUMMYFUNCTION("""COMPUTED_VALUE"""),1.0)</f>
        <v>1</v>
      </c>
      <c r="Q8402" s="4" t="str">
        <f>IFERROR(__xludf.DUMMYFUNCTION("""COMPUTED_VALUE"""),"null")</f>
        <v>null</v>
      </c>
      <c r="R8402" s="33">
        <f>IFERROR(__xludf.DUMMYFUNCTION("""COMPUTED_VALUE"""),1.0)</f>
        <v>1</v>
      </c>
      <c r="S8402" s="4" t="str">
        <f>IFERROR(__xludf.DUMMYFUNCTION("""COMPUTED_VALUE"""),"null")</f>
        <v>null</v>
      </c>
      <c r="T8402" s="33">
        <f>IFERROR(__xludf.DUMMYFUNCTION("""COMPUTED_VALUE"""),1.0)</f>
        <v>1</v>
      </c>
      <c r="U8402" s="4" t="str">
        <f>IFERROR(__xludf.DUMMYFUNCTION("""COMPUTED_VALUE"""),"null")</f>
        <v>null</v>
      </c>
      <c r="V8402" s="33">
        <f>IFERROR(__xludf.DUMMYFUNCTION("""COMPUTED_VALUE"""),1.0)</f>
        <v>1</v>
      </c>
      <c r="W8402" s="4" t="str">
        <f>IFERROR(__xludf.DUMMYFUNCTION("""COMPUTED_VALUE"""),"null")</f>
        <v>null</v>
      </c>
      <c r="X8402" s="33">
        <f>IFERROR(__xludf.DUMMYFUNCTION("""COMPUTED_VALUE"""),1.0)</f>
        <v>1</v>
      </c>
    </row>
    <row r="8403">
      <c r="K8403" s="4" t="str">
        <f>IFERROR(__xludf.DUMMYFUNCTION("""COMPUTED_VALUE"""),"ALADDIN LANCHES")</f>
        <v>ALADDIN LANCHES</v>
      </c>
      <c r="L8403" s="32">
        <f>IFERROR(__xludf.DUMMYFUNCTION("""COMPUTED_VALUE"""),1.0)</f>
        <v>1</v>
      </c>
      <c r="M8403" s="4" t="str">
        <f>IFERROR(__xludf.DUMMYFUNCTION("""COMPUTED_VALUE"""),"Vekttor")</f>
        <v>Vekttor</v>
      </c>
      <c r="N8403" s="33">
        <f>IFERROR(__xludf.DUMMYFUNCTION("""COMPUTED_VALUE"""),1.0)</f>
        <v>1</v>
      </c>
      <c r="O8403" s="4" t="str">
        <f>IFERROR(__xludf.DUMMYFUNCTION("""COMPUTED_VALUE"""),"Vekttor")</f>
        <v>Vekttor</v>
      </c>
      <c r="P8403" s="33">
        <f>IFERROR(__xludf.DUMMYFUNCTION("""COMPUTED_VALUE"""),1.0)</f>
        <v>1</v>
      </c>
      <c r="Q8403" s="4" t="str">
        <f>IFERROR(__xludf.DUMMYFUNCTION("""COMPUTED_VALUE"""),"Vekttor")</f>
        <v>Vekttor</v>
      </c>
      <c r="R8403" s="33">
        <f>IFERROR(__xludf.DUMMYFUNCTION("""COMPUTED_VALUE"""),1.0)</f>
        <v>1</v>
      </c>
      <c r="S8403" s="4" t="str">
        <f>IFERROR(__xludf.DUMMYFUNCTION("""COMPUTED_VALUE"""),"Vekttor")</f>
        <v>Vekttor</v>
      </c>
      <c r="T8403" s="33">
        <f>IFERROR(__xludf.DUMMYFUNCTION("""COMPUTED_VALUE"""),1.0)</f>
        <v>1</v>
      </c>
      <c r="U8403" s="4" t="str">
        <f>IFERROR(__xludf.DUMMYFUNCTION("""COMPUTED_VALUE"""),"Vekttor")</f>
        <v>Vekttor</v>
      </c>
      <c r="V8403" s="33">
        <f>IFERROR(__xludf.DUMMYFUNCTION("""COMPUTED_VALUE"""),1.0)</f>
        <v>1</v>
      </c>
      <c r="W8403" s="4" t="str">
        <f>IFERROR(__xludf.DUMMYFUNCTION("""COMPUTED_VALUE"""),"null")</f>
        <v>null</v>
      </c>
      <c r="X8403" s="33">
        <f>IFERROR(__xludf.DUMMYFUNCTION("""COMPUTED_VALUE"""),1.0)</f>
        <v>1</v>
      </c>
    </row>
    <row r="8404">
      <c r="K8404" s="4" t="str">
        <f>IFERROR(__xludf.DUMMYFUNCTION("""COMPUTED_VALUE"""),"PIZZARIA E ESFIHARIA SUPER SABOR - CUPOM DESCONTO")</f>
        <v>PIZZARIA E ESFIHARIA SUPER SABOR - CUPOM DESCONTO</v>
      </c>
      <c r="L8404" s="32">
        <f>IFERROR(__xludf.DUMMYFUNCTION("""COMPUTED_VALUE"""),1.0)</f>
        <v>1</v>
      </c>
      <c r="M8404" s="4" t="str">
        <f>IFERROR(__xludf.DUMMYFUNCTION("""COMPUTED_VALUE"""),"Anota Ai Solucoes Digitais S/a")</f>
        <v>Anota Ai Solucoes Digitais S/a</v>
      </c>
      <c r="N8404" s="33">
        <f>IFERROR(__xludf.DUMMYFUNCTION("""COMPUTED_VALUE"""),1.0)</f>
        <v>1</v>
      </c>
      <c r="O8404" s="4" t="str">
        <f>IFERROR(__xludf.DUMMYFUNCTION("""COMPUTED_VALUE"""),"Anota Ai Solucoes Digitais S/a")</f>
        <v>Anota Ai Solucoes Digitais S/a</v>
      </c>
      <c r="P8404" s="33">
        <f>IFERROR(__xludf.DUMMYFUNCTION("""COMPUTED_VALUE"""),1.0)</f>
        <v>1</v>
      </c>
      <c r="Q8404" s="4" t="str">
        <f>IFERROR(__xludf.DUMMYFUNCTION("""COMPUTED_VALUE"""),"null")</f>
        <v>null</v>
      </c>
      <c r="R8404" s="33">
        <f>IFERROR(__xludf.DUMMYFUNCTION("""COMPUTED_VALUE"""),1.0)</f>
        <v>1</v>
      </c>
      <c r="S8404" s="4" t="str">
        <f>IFERROR(__xludf.DUMMYFUNCTION("""COMPUTED_VALUE"""),"Anota Ai Solucoes Digitais S/a")</f>
        <v>Anota Ai Solucoes Digitais S/a</v>
      </c>
      <c r="T8404" s="33">
        <f>IFERROR(__xludf.DUMMYFUNCTION("""COMPUTED_VALUE"""),1.0)</f>
        <v>1</v>
      </c>
      <c r="U8404" s="4" t="str">
        <f>IFERROR(__xludf.DUMMYFUNCTION("""COMPUTED_VALUE"""),"null")</f>
        <v>null</v>
      </c>
      <c r="V8404" s="33">
        <f>IFERROR(__xludf.DUMMYFUNCTION("""COMPUTED_VALUE"""),1.0)</f>
        <v>1</v>
      </c>
      <c r="W8404" s="4" t="str">
        <f>IFERROR(__xludf.DUMMYFUNCTION("""COMPUTED_VALUE"""),"null")</f>
        <v>null</v>
      </c>
      <c r="X8404" s="33">
        <f>IFERROR(__xludf.DUMMYFUNCTION("""COMPUTED_VALUE"""),1.0)</f>
        <v>1</v>
      </c>
    </row>
    <row r="8405">
      <c r="K8405" s="4" t="str">
        <f>IFERROR(__xludf.DUMMYFUNCTION("""COMPUTED_VALUE"""),"FARMAIS - VISTA ALEGRE - JD")</f>
        <v>FARMAIS - VISTA ALEGRE - JD</v>
      </c>
      <c r="L8405" s="32">
        <f>IFERROR(__xludf.DUMMYFUNCTION("""COMPUTED_VALUE"""),1.0)</f>
        <v>1</v>
      </c>
      <c r="M8405" s="4" t="str">
        <f>IFERROR(__xludf.DUMMYFUNCTION("""COMPUTED_VALUE"""),"N/A (Not found)")</f>
        <v>N/A (Not found)</v>
      </c>
      <c r="N8405" s="33">
        <f>IFERROR(__xludf.DUMMYFUNCTION("""COMPUTED_VALUE"""),1.0)</f>
        <v>1</v>
      </c>
      <c r="O8405" s="4" t="str">
        <f>IFERROR(__xludf.DUMMYFUNCTION("""COMPUTED_VALUE"""),"N/A (Not found)")</f>
        <v>N/A (Not found)</v>
      </c>
      <c r="P8405" s="33">
        <f>IFERROR(__xludf.DUMMYFUNCTION("""COMPUTED_VALUE"""),1.0)</f>
        <v>1</v>
      </c>
      <c r="Q8405" s="4" t="str">
        <f>IFERROR(__xludf.DUMMYFUNCTION("""COMPUTED_VALUE"""),"N/A (Not found)")</f>
        <v>N/A (Not found)</v>
      </c>
      <c r="R8405" s="33">
        <f>IFERROR(__xludf.DUMMYFUNCTION("""COMPUTED_VALUE"""),1.0)</f>
        <v>1</v>
      </c>
      <c r="S8405" s="4" t="str">
        <f>IFERROR(__xludf.DUMMYFUNCTION("""COMPUTED_VALUE"""),"N/A (Not found)")</f>
        <v>N/A (Not found)</v>
      </c>
      <c r="T8405" s="33">
        <f>IFERROR(__xludf.DUMMYFUNCTION("""COMPUTED_VALUE"""),1.0)</f>
        <v>1</v>
      </c>
      <c r="U8405" s="4" t="str">
        <f>IFERROR(__xludf.DUMMYFUNCTION("""COMPUTED_VALUE"""),"N/A (Not found)")</f>
        <v>N/A (Not found)</v>
      </c>
      <c r="V8405" s="33">
        <f>IFERROR(__xludf.DUMMYFUNCTION("""COMPUTED_VALUE"""),1.0)</f>
        <v>1</v>
      </c>
      <c r="W8405" s="4" t="str">
        <f>IFERROR(__xludf.DUMMYFUNCTION("""COMPUTED_VALUE"""),"N/A (Not found)")</f>
        <v>N/A (Not found)</v>
      </c>
      <c r="X8405" s="33">
        <f>IFERROR(__xludf.DUMMYFUNCTION("""COMPUTED_VALUE"""),1.0)</f>
        <v>1</v>
      </c>
    </row>
    <row r="8406">
      <c r="K8406" s="4" t="str">
        <f>IFERROR(__xludf.DUMMYFUNCTION("""COMPUTED_VALUE"""),"SUSHI MIYAI")</f>
        <v>SUSHI MIYAI</v>
      </c>
      <c r="L8406" s="32">
        <f>IFERROR(__xludf.DUMMYFUNCTION("""COMPUTED_VALUE"""),1.0)</f>
        <v>1</v>
      </c>
      <c r="M8406" s="4" t="str">
        <f>IFERROR(__xludf.DUMMYFUNCTION("""COMPUTED_VALUE"""),"Saipos Serviços De Software")</f>
        <v>Saipos Serviços De Software</v>
      </c>
      <c r="N8406" s="33">
        <f>IFERROR(__xludf.DUMMYFUNCTION("""COMPUTED_VALUE"""),1.0)</f>
        <v>1</v>
      </c>
      <c r="O8406" s="4" t="str">
        <f>IFERROR(__xludf.DUMMYFUNCTION("""COMPUTED_VALUE"""),"Saipos Serviços De Software")</f>
        <v>Saipos Serviços De Software</v>
      </c>
      <c r="P8406" s="33">
        <f>IFERROR(__xludf.DUMMYFUNCTION("""COMPUTED_VALUE"""),1.0)</f>
        <v>1</v>
      </c>
      <c r="Q8406" s="4" t="str">
        <f>IFERROR(__xludf.DUMMYFUNCTION("""COMPUTED_VALUE"""),"Saipos Serviços De Software")</f>
        <v>Saipos Serviços De Software</v>
      </c>
      <c r="R8406" s="33">
        <f>IFERROR(__xludf.DUMMYFUNCTION("""COMPUTED_VALUE"""),1.0)</f>
        <v>1</v>
      </c>
      <c r="S8406" s="4" t="str">
        <f>IFERROR(__xludf.DUMMYFUNCTION("""COMPUTED_VALUE"""),"Saipos Serviços De Software")</f>
        <v>Saipos Serviços De Software</v>
      </c>
      <c r="T8406" s="33">
        <f>IFERROR(__xludf.DUMMYFUNCTION("""COMPUTED_VALUE"""),1.0)</f>
        <v>1</v>
      </c>
      <c r="U8406" s="4" t="str">
        <f>IFERROR(__xludf.DUMMYFUNCTION("""COMPUTED_VALUE"""),"Saipos Serviços De Software")</f>
        <v>Saipos Serviços De Software</v>
      </c>
      <c r="V8406" s="33">
        <f>IFERROR(__xludf.DUMMYFUNCTION("""COMPUTED_VALUE"""),1.0)</f>
        <v>1</v>
      </c>
      <c r="W8406" s="4" t="str">
        <f>IFERROR(__xludf.DUMMYFUNCTION("""COMPUTED_VALUE"""),"Saipos Serviços De Software")</f>
        <v>Saipos Serviços De Software</v>
      </c>
      <c r="X8406" s="33">
        <f>IFERROR(__xludf.DUMMYFUNCTION("""COMPUTED_VALUE"""),1.0)</f>
        <v>1</v>
      </c>
    </row>
    <row r="8407">
      <c r="K8407" s="4" t="str">
        <f>IFERROR(__xludf.DUMMYFUNCTION("""COMPUTED_VALUE"""),"MOLAMI BATATAS")</f>
        <v>MOLAMI BATATAS</v>
      </c>
      <c r="L8407" s="32">
        <f>IFERROR(__xludf.DUMMYFUNCTION("""COMPUTED_VALUE"""),1.0)</f>
        <v>1</v>
      </c>
      <c r="M8407" s="4" t="str">
        <f>IFERROR(__xludf.DUMMYFUNCTION("""COMPUTED_VALUE"""),"Anota Ai Solucoes Digitais S/a")</f>
        <v>Anota Ai Solucoes Digitais S/a</v>
      </c>
      <c r="N8407" s="33">
        <f>IFERROR(__xludf.DUMMYFUNCTION("""COMPUTED_VALUE"""),1.0)</f>
        <v>1</v>
      </c>
      <c r="O8407" s="4" t="str">
        <f>IFERROR(__xludf.DUMMYFUNCTION("""COMPUTED_VALUE"""),"Anota Ai Solucoes Digitais S/a")</f>
        <v>Anota Ai Solucoes Digitais S/a</v>
      </c>
      <c r="P8407" s="33">
        <f>IFERROR(__xludf.DUMMYFUNCTION("""COMPUTED_VALUE"""),1.0)</f>
        <v>1</v>
      </c>
      <c r="Q8407" s="4" t="str">
        <f>IFERROR(__xludf.DUMMYFUNCTION("""COMPUTED_VALUE"""),"null")</f>
        <v>null</v>
      </c>
      <c r="R8407" s="33">
        <f>IFERROR(__xludf.DUMMYFUNCTION("""COMPUTED_VALUE"""),1.0)</f>
        <v>1</v>
      </c>
      <c r="S8407" s="4" t="str">
        <f>IFERROR(__xludf.DUMMYFUNCTION("""COMPUTED_VALUE"""),"null")</f>
        <v>null</v>
      </c>
      <c r="T8407" s="33">
        <f>IFERROR(__xludf.DUMMYFUNCTION("""COMPUTED_VALUE"""),1.0)</f>
        <v>1</v>
      </c>
      <c r="U8407" s="4" t="str">
        <f>IFERROR(__xludf.DUMMYFUNCTION("""COMPUTED_VALUE"""),"null")</f>
        <v>null</v>
      </c>
      <c r="V8407" s="33">
        <f>IFERROR(__xludf.DUMMYFUNCTION("""COMPUTED_VALUE"""),1.0)</f>
        <v>1</v>
      </c>
      <c r="W8407" s="4" t="str">
        <f>IFERROR(__xludf.DUMMYFUNCTION("""COMPUTED_VALUE"""),"null")</f>
        <v>null</v>
      </c>
      <c r="X8407" s="33">
        <f>IFERROR(__xludf.DUMMYFUNCTION("""COMPUTED_VALUE"""),1.0)</f>
        <v>1</v>
      </c>
    </row>
    <row r="8408">
      <c r="K8408" s="4" t="str">
        <f>IFERROR(__xludf.DUMMYFUNCTION("""COMPUTED_VALUE"""),"PASTELARIA TERCEL")</f>
        <v>PASTELARIA TERCEL</v>
      </c>
      <c r="L8408" s="32">
        <f>IFERROR(__xludf.DUMMYFUNCTION("""COMPUTED_VALUE"""),1.0)</f>
        <v>1</v>
      </c>
      <c r="M8408" s="4" t="str">
        <f>IFERROR(__xludf.DUMMYFUNCTION("""COMPUTED_VALUE"""),"Saipos Serviços De Software")</f>
        <v>Saipos Serviços De Software</v>
      </c>
      <c r="N8408" s="33">
        <f>IFERROR(__xludf.DUMMYFUNCTION("""COMPUTED_VALUE"""),1.0)</f>
        <v>1</v>
      </c>
      <c r="O8408" s="4" t="str">
        <f>IFERROR(__xludf.DUMMYFUNCTION("""COMPUTED_VALUE"""),"Saipos Serviços De Software")</f>
        <v>Saipos Serviços De Software</v>
      </c>
      <c r="P8408" s="33">
        <f>IFERROR(__xludf.DUMMYFUNCTION("""COMPUTED_VALUE"""),1.0)</f>
        <v>1</v>
      </c>
      <c r="Q8408" s="4" t="str">
        <f>IFERROR(__xludf.DUMMYFUNCTION("""COMPUTED_VALUE"""),"Saipos Serviços De Software")</f>
        <v>Saipos Serviços De Software</v>
      </c>
      <c r="R8408" s="33">
        <f>IFERROR(__xludf.DUMMYFUNCTION("""COMPUTED_VALUE"""),1.0)</f>
        <v>1</v>
      </c>
      <c r="S8408" s="4" t="str">
        <f>IFERROR(__xludf.DUMMYFUNCTION("""COMPUTED_VALUE"""),"Saipos Serviços De Software")</f>
        <v>Saipos Serviços De Software</v>
      </c>
      <c r="T8408" s="33">
        <f>IFERROR(__xludf.DUMMYFUNCTION("""COMPUTED_VALUE"""),1.0)</f>
        <v>1</v>
      </c>
      <c r="U8408" s="4" t="str">
        <f>IFERROR(__xludf.DUMMYFUNCTION("""COMPUTED_VALUE"""),"Saipos Serviços De Software")</f>
        <v>Saipos Serviços De Software</v>
      </c>
      <c r="V8408" s="33">
        <f>IFERROR(__xludf.DUMMYFUNCTION("""COMPUTED_VALUE"""),1.0)</f>
        <v>1</v>
      </c>
      <c r="W8408" s="4" t="str">
        <f>IFERROR(__xludf.DUMMYFUNCTION("""COMPUTED_VALUE"""),"Saipos Serviços De Software")</f>
        <v>Saipos Serviços De Software</v>
      </c>
      <c r="X8408" s="33">
        <f>IFERROR(__xludf.DUMMYFUNCTION("""COMPUTED_VALUE"""),1.0)</f>
        <v>1</v>
      </c>
    </row>
    <row r="8409">
      <c r="K8409" s="4" t="str">
        <f>IFERROR(__xludf.DUMMYFUNCTION("""COMPUTED_VALUE"""),"BRUNA GAUSS - ARTE EM ACUCAR")</f>
        <v>BRUNA GAUSS - ARTE EM ACUCAR</v>
      </c>
      <c r="L8409" s="32">
        <f>IFERROR(__xludf.DUMMYFUNCTION("""COMPUTED_VALUE"""),1.0)</f>
        <v>1</v>
      </c>
      <c r="M8409" s="4" t="str">
        <f>IFERROR(__xludf.DUMMYFUNCTION("""COMPUTED_VALUE"""),"Ncr")</f>
        <v>Ncr</v>
      </c>
      <c r="N8409" s="33">
        <f>IFERROR(__xludf.DUMMYFUNCTION("""COMPUTED_VALUE"""),1.0)</f>
        <v>1</v>
      </c>
      <c r="O8409" s="4" t="str">
        <f>IFERROR(__xludf.DUMMYFUNCTION("""COMPUTED_VALUE"""),"Ncr")</f>
        <v>Ncr</v>
      </c>
      <c r="P8409" s="33">
        <f>IFERROR(__xludf.DUMMYFUNCTION("""COMPUTED_VALUE"""),1.0)</f>
        <v>1</v>
      </c>
      <c r="Q8409" s="4" t="str">
        <f>IFERROR(__xludf.DUMMYFUNCTION("""COMPUTED_VALUE"""),"Ncr")</f>
        <v>Ncr</v>
      </c>
      <c r="R8409" s="33">
        <f>IFERROR(__xludf.DUMMYFUNCTION("""COMPUTED_VALUE"""),1.0)</f>
        <v>1</v>
      </c>
      <c r="S8409" s="4" t="str">
        <f>IFERROR(__xludf.DUMMYFUNCTION("""COMPUTED_VALUE"""),"Ncr")</f>
        <v>Ncr</v>
      </c>
      <c r="T8409" s="33">
        <f>IFERROR(__xludf.DUMMYFUNCTION("""COMPUTED_VALUE"""),1.0)</f>
        <v>1</v>
      </c>
      <c r="U8409" s="4" t="str">
        <f>IFERROR(__xludf.DUMMYFUNCTION("""COMPUTED_VALUE"""),"Ncr")</f>
        <v>Ncr</v>
      </c>
      <c r="V8409" s="33">
        <f>IFERROR(__xludf.DUMMYFUNCTION("""COMPUTED_VALUE"""),1.0)</f>
        <v>1</v>
      </c>
      <c r="W8409" s="4" t="str">
        <f>IFERROR(__xludf.DUMMYFUNCTION("""COMPUTED_VALUE"""),"Ncr")</f>
        <v>Ncr</v>
      </c>
      <c r="X8409" s="33">
        <f>IFERROR(__xludf.DUMMYFUNCTION("""COMPUTED_VALUE"""),1.0)</f>
        <v>1</v>
      </c>
    </row>
    <row r="8410">
      <c r="K8410" s="4" t="str">
        <f>IFERROR(__xludf.DUMMYFUNCTION("""COMPUTED_VALUE"""),"YONKOU SUSHI E POKE")</f>
        <v>YONKOU SUSHI E POKE</v>
      </c>
      <c r="L8410" s="32">
        <f>IFERROR(__xludf.DUMMYFUNCTION("""COMPUTED_VALUE"""),1.0)</f>
        <v>1</v>
      </c>
      <c r="M8410" s="4" t="str">
        <f>IFERROR(__xludf.DUMMYFUNCTION("""COMPUTED_VALUE"""),"Cardápio Web")</f>
        <v>Cardápio Web</v>
      </c>
      <c r="N8410" s="33">
        <f>IFERROR(__xludf.DUMMYFUNCTION("""COMPUTED_VALUE"""),1.0)</f>
        <v>1</v>
      </c>
      <c r="O8410" s="4" t="str">
        <f>IFERROR(__xludf.DUMMYFUNCTION("""COMPUTED_VALUE"""),"Cardápio Web")</f>
        <v>Cardápio Web</v>
      </c>
      <c r="P8410" s="33">
        <f>IFERROR(__xludf.DUMMYFUNCTION("""COMPUTED_VALUE"""),1.0)</f>
        <v>1</v>
      </c>
      <c r="Q8410" s="4" t="str">
        <f>IFERROR(__xludf.DUMMYFUNCTION("""COMPUTED_VALUE"""),"null")</f>
        <v>null</v>
      </c>
      <c r="R8410" s="33">
        <f>IFERROR(__xludf.DUMMYFUNCTION("""COMPUTED_VALUE"""),1.0)</f>
        <v>1</v>
      </c>
      <c r="S8410" s="4" t="str">
        <f>IFERROR(__xludf.DUMMYFUNCTION("""COMPUTED_VALUE"""),"null")</f>
        <v>null</v>
      </c>
      <c r="T8410" s="33">
        <f>IFERROR(__xludf.DUMMYFUNCTION("""COMPUTED_VALUE"""),1.0)</f>
        <v>1</v>
      </c>
      <c r="U8410" s="4" t="str">
        <f>IFERROR(__xludf.DUMMYFUNCTION("""COMPUTED_VALUE"""),"null")</f>
        <v>null</v>
      </c>
      <c r="V8410" s="33">
        <f>IFERROR(__xludf.DUMMYFUNCTION("""COMPUTED_VALUE"""),1.0)</f>
        <v>1</v>
      </c>
      <c r="W8410" s="4" t="str">
        <f>IFERROR(__xludf.DUMMYFUNCTION("""COMPUTED_VALUE"""),"null")</f>
        <v>null</v>
      </c>
      <c r="X8410" s="33">
        <f>IFERROR(__xludf.DUMMYFUNCTION("""COMPUTED_VALUE"""),1.0)</f>
        <v>1</v>
      </c>
    </row>
    <row r="8411">
      <c r="K8411" s="4" t="str">
        <f>IFERROR(__xludf.DUMMYFUNCTION("""COMPUTED_VALUE"""),"XAVIER BURGUER")</f>
        <v>XAVIER BURGUER</v>
      </c>
      <c r="L8411" s="32">
        <f>IFERROR(__xludf.DUMMYFUNCTION("""COMPUTED_VALUE"""),1.0)</f>
        <v>1</v>
      </c>
      <c r="M8411" s="4" t="str">
        <f>IFERROR(__xludf.DUMMYFUNCTION("""COMPUTED_VALUE"""),"Anota Ai Solucoes Digitais S/a")</f>
        <v>Anota Ai Solucoes Digitais S/a</v>
      </c>
      <c r="N8411" s="33">
        <f>IFERROR(__xludf.DUMMYFUNCTION("""COMPUTED_VALUE"""),1.0)</f>
        <v>1</v>
      </c>
      <c r="O8411" s="4" t="str">
        <f>IFERROR(__xludf.DUMMYFUNCTION("""COMPUTED_VALUE"""),"Anota Ai Solucoes Digitais S/a")</f>
        <v>Anota Ai Solucoes Digitais S/a</v>
      </c>
      <c r="P8411" s="33">
        <f>IFERROR(__xludf.DUMMYFUNCTION("""COMPUTED_VALUE"""),1.0)</f>
        <v>1</v>
      </c>
      <c r="Q8411" s="4" t="str">
        <f>IFERROR(__xludf.DUMMYFUNCTION("""COMPUTED_VALUE"""),"Anota Ai Solucoes Digitais S/a")</f>
        <v>Anota Ai Solucoes Digitais S/a</v>
      </c>
      <c r="R8411" s="33">
        <f>IFERROR(__xludf.DUMMYFUNCTION("""COMPUTED_VALUE"""),1.0)</f>
        <v>1</v>
      </c>
      <c r="S8411" s="4" t="str">
        <f>IFERROR(__xludf.DUMMYFUNCTION("""COMPUTED_VALUE"""),"Anota Ai Solucoes Digitais S/a")</f>
        <v>Anota Ai Solucoes Digitais S/a</v>
      </c>
      <c r="T8411" s="33">
        <f>IFERROR(__xludf.DUMMYFUNCTION("""COMPUTED_VALUE"""),1.0)</f>
        <v>1</v>
      </c>
      <c r="U8411" s="4" t="str">
        <f>IFERROR(__xludf.DUMMYFUNCTION("""COMPUTED_VALUE"""),"Anota Ai Solucoes Digitais S/a")</f>
        <v>Anota Ai Solucoes Digitais S/a</v>
      </c>
      <c r="V8411" s="33">
        <f>IFERROR(__xludf.DUMMYFUNCTION("""COMPUTED_VALUE"""),1.0)</f>
        <v>1</v>
      </c>
      <c r="W8411" s="4" t="str">
        <f>IFERROR(__xludf.DUMMYFUNCTION("""COMPUTED_VALUE"""),"Anota Ai Solucoes Digitais S/a")</f>
        <v>Anota Ai Solucoes Digitais S/a</v>
      </c>
      <c r="X8411" s="33">
        <f>IFERROR(__xludf.DUMMYFUNCTION("""COMPUTED_VALUE"""),1.0)</f>
        <v>1</v>
      </c>
    </row>
    <row r="8412">
      <c r="K8412" s="4" t="str">
        <f>IFERROR(__xludf.DUMMYFUNCTION("""COMPUTED_VALUE"""),"TATAKI SUSHI")</f>
        <v>TATAKI SUSHI</v>
      </c>
      <c r="L8412" s="32">
        <f>IFERROR(__xludf.DUMMYFUNCTION("""COMPUTED_VALUE"""),1.0)</f>
        <v>1</v>
      </c>
      <c r="M8412" s="4" t="str">
        <f>IFERROR(__xludf.DUMMYFUNCTION("""COMPUTED_VALUE"""),"Mp Multipedidos")</f>
        <v>Mp Multipedidos</v>
      </c>
      <c r="N8412" s="33">
        <f>IFERROR(__xludf.DUMMYFUNCTION("""COMPUTED_VALUE"""),1.0)</f>
        <v>1</v>
      </c>
      <c r="O8412" s="4" t="str">
        <f>IFERROR(__xludf.DUMMYFUNCTION("""COMPUTED_VALUE"""),"Mp Multipedidos")</f>
        <v>Mp Multipedidos</v>
      </c>
      <c r="P8412" s="33">
        <f>IFERROR(__xludf.DUMMYFUNCTION("""COMPUTED_VALUE"""),1.0)</f>
        <v>1</v>
      </c>
      <c r="Q8412" s="4" t="str">
        <f>IFERROR(__xludf.DUMMYFUNCTION("""COMPUTED_VALUE"""),"Mp Multipedidos")</f>
        <v>Mp Multipedidos</v>
      </c>
      <c r="R8412" s="33">
        <f>IFERROR(__xludf.DUMMYFUNCTION("""COMPUTED_VALUE"""),1.0)</f>
        <v>1</v>
      </c>
      <c r="S8412" s="4" t="str">
        <f>IFERROR(__xludf.DUMMYFUNCTION("""COMPUTED_VALUE"""),"Mp Multipedidos")</f>
        <v>Mp Multipedidos</v>
      </c>
      <c r="T8412" s="33">
        <f>IFERROR(__xludf.DUMMYFUNCTION("""COMPUTED_VALUE"""),1.0)</f>
        <v>1</v>
      </c>
      <c r="U8412" s="4" t="str">
        <f>IFERROR(__xludf.DUMMYFUNCTION("""COMPUTED_VALUE"""),"Mp Multipedidos")</f>
        <v>Mp Multipedidos</v>
      </c>
      <c r="V8412" s="33">
        <f>IFERROR(__xludf.DUMMYFUNCTION("""COMPUTED_VALUE"""),1.0)</f>
        <v>1</v>
      </c>
      <c r="W8412" s="4" t="str">
        <f>IFERROR(__xludf.DUMMYFUNCTION("""COMPUTED_VALUE"""),"Mp Multipedidos")</f>
        <v>Mp Multipedidos</v>
      </c>
      <c r="X8412" s="33">
        <f>IFERROR(__xludf.DUMMYFUNCTION("""COMPUTED_VALUE"""),1.0)</f>
        <v>1</v>
      </c>
    </row>
    <row r="8413">
      <c r="K8413" s="4" t="str">
        <f>IFERROR(__xludf.DUMMYFUNCTION("""COMPUTED_VALUE"""),"RESTAURANTE MACARRONADA ITALIANA")</f>
        <v>RESTAURANTE MACARRONADA ITALIANA</v>
      </c>
      <c r="L8413" s="32">
        <f>IFERROR(__xludf.DUMMYFUNCTION("""COMPUTED_VALUE"""),1.0)</f>
        <v>1</v>
      </c>
      <c r="M8413" s="4" t="str">
        <f>IFERROR(__xludf.DUMMYFUNCTION("""COMPUTED_VALUE"""),"Stone Co.")</f>
        <v>Stone Co.</v>
      </c>
      <c r="N8413" s="33">
        <f>IFERROR(__xludf.DUMMYFUNCTION("""COMPUTED_VALUE"""),1.0)</f>
        <v>1</v>
      </c>
      <c r="O8413" s="4" t="str">
        <f>IFERROR(__xludf.DUMMYFUNCTION("""COMPUTED_VALUE"""),"Stone Co.")</f>
        <v>Stone Co.</v>
      </c>
      <c r="P8413" s="33">
        <f>IFERROR(__xludf.DUMMYFUNCTION("""COMPUTED_VALUE"""),1.0)</f>
        <v>1</v>
      </c>
      <c r="Q8413" s="4" t="str">
        <f>IFERROR(__xludf.DUMMYFUNCTION("""COMPUTED_VALUE"""),"Stone Co.")</f>
        <v>Stone Co.</v>
      </c>
      <c r="R8413" s="33">
        <f>IFERROR(__xludf.DUMMYFUNCTION("""COMPUTED_VALUE"""),1.0)</f>
        <v>1</v>
      </c>
      <c r="S8413" s="4" t="str">
        <f>IFERROR(__xludf.DUMMYFUNCTION("""COMPUTED_VALUE"""),"Stone Co.")</f>
        <v>Stone Co.</v>
      </c>
      <c r="T8413" s="33">
        <f>IFERROR(__xludf.DUMMYFUNCTION("""COMPUTED_VALUE"""),1.0)</f>
        <v>1</v>
      </c>
      <c r="U8413" s="4" t="str">
        <f>IFERROR(__xludf.DUMMYFUNCTION("""COMPUTED_VALUE"""),"Stone Co.")</f>
        <v>Stone Co.</v>
      </c>
      <c r="V8413" s="33">
        <f>IFERROR(__xludf.DUMMYFUNCTION("""COMPUTED_VALUE"""),1.0)</f>
        <v>1</v>
      </c>
      <c r="W8413" s="4" t="str">
        <f>IFERROR(__xludf.DUMMYFUNCTION("""COMPUTED_VALUE"""),"Stone Co.")</f>
        <v>Stone Co.</v>
      </c>
      <c r="X8413" s="33">
        <f>IFERROR(__xludf.DUMMYFUNCTION("""COMPUTED_VALUE"""),1.0)</f>
        <v>1</v>
      </c>
    </row>
    <row r="8414">
      <c r="K8414" s="4" t="str">
        <f>IFERROR(__xludf.DUMMYFUNCTION("""COMPUTED_VALUE"""),"VILLIS DOCES E ACAI")</f>
        <v>VILLIS DOCES E ACAI</v>
      </c>
      <c r="L8414" s="32">
        <f>IFERROR(__xludf.DUMMYFUNCTION("""COMPUTED_VALUE"""),1.0)</f>
        <v>1</v>
      </c>
      <c r="M8414" s="4" t="str">
        <f>IFERROR(__xludf.DUMMYFUNCTION("""COMPUTED_VALUE"""),"null")</f>
        <v>null</v>
      </c>
      <c r="N8414" s="33">
        <f>IFERROR(__xludf.DUMMYFUNCTION("""COMPUTED_VALUE"""),1.0)</f>
        <v>1</v>
      </c>
      <c r="O8414" s="4" t="str">
        <f>IFERROR(__xludf.DUMMYFUNCTION("""COMPUTED_VALUE"""),"Diggy")</f>
        <v>Diggy</v>
      </c>
      <c r="P8414" s="33">
        <f>IFERROR(__xludf.DUMMYFUNCTION("""COMPUTED_VALUE"""),1.0)</f>
        <v>1</v>
      </c>
      <c r="Q8414" s="4" t="str">
        <f>IFERROR(__xludf.DUMMYFUNCTION("""COMPUTED_VALUE"""),"Diggy")</f>
        <v>Diggy</v>
      </c>
      <c r="R8414" s="33">
        <f>IFERROR(__xludf.DUMMYFUNCTION("""COMPUTED_VALUE"""),1.0)</f>
        <v>1</v>
      </c>
      <c r="S8414" s="4" t="str">
        <f>IFERROR(__xludf.DUMMYFUNCTION("""COMPUTED_VALUE"""),"null")</f>
        <v>null</v>
      </c>
      <c r="T8414" s="33">
        <f>IFERROR(__xludf.DUMMYFUNCTION("""COMPUTED_VALUE"""),1.0)</f>
        <v>1</v>
      </c>
      <c r="U8414" s="4" t="str">
        <f>IFERROR(__xludf.DUMMYFUNCTION("""COMPUTED_VALUE"""),"Diggy")</f>
        <v>Diggy</v>
      </c>
      <c r="V8414" s="33">
        <f>IFERROR(__xludf.DUMMYFUNCTION("""COMPUTED_VALUE"""),1.0)</f>
        <v>1</v>
      </c>
      <c r="W8414" s="4" t="str">
        <f>IFERROR(__xludf.DUMMYFUNCTION("""COMPUTED_VALUE"""),"null")</f>
        <v>null</v>
      </c>
      <c r="X8414" s="33">
        <f>IFERROR(__xludf.DUMMYFUNCTION("""COMPUTED_VALUE"""),1.0)</f>
        <v>1</v>
      </c>
    </row>
    <row r="8415">
      <c r="K8415" s="4" t="str">
        <f>IFERROR(__xludf.DUMMYFUNCTION("""COMPUTED_VALUE"""),"TOCA DA RAPOSA BURGUER ARTESANAL")</f>
        <v>TOCA DA RAPOSA BURGUER ARTESANAL</v>
      </c>
      <c r="L8415" s="32">
        <f>IFERROR(__xludf.DUMMYFUNCTION("""COMPUTED_VALUE"""),1.0)</f>
        <v>1</v>
      </c>
      <c r="M8415" s="4" t="str">
        <f>IFERROR(__xludf.DUMMYFUNCTION("""COMPUTED_VALUE"""),"Consumer Soluções Em Tecnologia Ltda")</f>
        <v>Consumer Soluções Em Tecnologia Ltda</v>
      </c>
      <c r="N8415" s="33">
        <f>IFERROR(__xludf.DUMMYFUNCTION("""COMPUTED_VALUE"""),1.0)</f>
        <v>1</v>
      </c>
      <c r="O8415" s="4" t="str">
        <f>IFERROR(__xludf.DUMMYFUNCTION("""COMPUTED_VALUE"""),"null")</f>
        <v>null</v>
      </c>
      <c r="P8415" s="33">
        <f>IFERROR(__xludf.DUMMYFUNCTION("""COMPUTED_VALUE"""),1.0)</f>
        <v>1</v>
      </c>
      <c r="Q8415" s="4" t="str">
        <f>IFERROR(__xludf.DUMMYFUNCTION("""COMPUTED_VALUE"""),"null")</f>
        <v>null</v>
      </c>
      <c r="R8415" s="33">
        <f>IFERROR(__xludf.DUMMYFUNCTION("""COMPUTED_VALUE"""),1.0)</f>
        <v>1</v>
      </c>
      <c r="S8415" s="4" t="str">
        <f>IFERROR(__xludf.DUMMYFUNCTION("""COMPUTED_VALUE"""),"null")</f>
        <v>null</v>
      </c>
      <c r="T8415" s="33">
        <f>IFERROR(__xludf.DUMMYFUNCTION("""COMPUTED_VALUE"""),1.0)</f>
        <v>1</v>
      </c>
      <c r="U8415" s="4" t="str">
        <f>IFERROR(__xludf.DUMMYFUNCTION("""COMPUTED_VALUE"""),"null")</f>
        <v>null</v>
      </c>
      <c r="V8415" s="33">
        <f>IFERROR(__xludf.DUMMYFUNCTION("""COMPUTED_VALUE"""),1.0)</f>
        <v>1</v>
      </c>
      <c r="W8415" s="4" t="str">
        <f>IFERROR(__xludf.DUMMYFUNCTION("""COMPUTED_VALUE"""),"null")</f>
        <v>null</v>
      </c>
      <c r="X8415" s="33">
        <f>IFERROR(__xludf.DUMMYFUNCTION("""COMPUTED_VALUE"""),1.0)</f>
        <v>1</v>
      </c>
    </row>
    <row r="8416">
      <c r="K8416" s="4" t="str">
        <f>IFERROR(__xludf.DUMMYFUNCTION("""COMPUTED_VALUE"""),"ACAI FRUTCIA")</f>
        <v>ACAI FRUTCIA</v>
      </c>
      <c r="L8416" s="32">
        <f>IFERROR(__xludf.DUMMYFUNCTION("""COMPUTED_VALUE"""),1.0)</f>
        <v>1</v>
      </c>
      <c r="M8416" s="4" t="str">
        <f>IFERROR(__xludf.DUMMYFUNCTION("""COMPUTED_VALUE"""),"Cardápio Web")</f>
        <v>Cardápio Web</v>
      </c>
      <c r="N8416" s="33">
        <f>IFERROR(__xludf.DUMMYFUNCTION("""COMPUTED_VALUE"""),1.0)</f>
        <v>1</v>
      </c>
      <c r="O8416" s="4" t="str">
        <f>IFERROR(__xludf.DUMMYFUNCTION("""COMPUTED_VALUE"""),"Cardápio Web")</f>
        <v>Cardápio Web</v>
      </c>
      <c r="P8416" s="33">
        <f>IFERROR(__xludf.DUMMYFUNCTION("""COMPUTED_VALUE"""),1.0)</f>
        <v>1</v>
      </c>
      <c r="Q8416" s="4" t="str">
        <f>IFERROR(__xludf.DUMMYFUNCTION("""COMPUTED_VALUE"""),"Cardápio Web")</f>
        <v>Cardápio Web</v>
      </c>
      <c r="R8416" s="33">
        <f>IFERROR(__xludf.DUMMYFUNCTION("""COMPUTED_VALUE"""),1.0)</f>
        <v>1</v>
      </c>
      <c r="S8416" s="4" t="str">
        <f>IFERROR(__xludf.DUMMYFUNCTION("""COMPUTED_VALUE"""),"Cardápio Web")</f>
        <v>Cardápio Web</v>
      </c>
      <c r="T8416" s="33">
        <f>IFERROR(__xludf.DUMMYFUNCTION("""COMPUTED_VALUE"""),1.0)</f>
        <v>1</v>
      </c>
      <c r="U8416" s="4" t="str">
        <f>IFERROR(__xludf.DUMMYFUNCTION("""COMPUTED_VALUE"""),"Cardápio Web")</f>
        <v>Cardápio Web</v>
      </c>
      <c r="V8416" s="33">
        <f>IFERROR(__xludf.DUMMYFUNCTION("""COMPUTED_VALUE"""),1.0)</f>
        <v>1</v>
      </c>
      <c r="W8416" s="4" t="str">
        <f>IFERROR(__xludf.DUMMYFUNCTION("""COMPUTED_VALUE"""),"Cardápio Web")</f>
        <v>Cardápio Web</v>
      </c>
      <c r="X8416" s="33">
        <f>IFERROR(__xludf.DUMMYFUNCTION("""COMPUTED_VALUE"""),1.0)</f>
        <v>1</v>
      </c>
    </row>
    <row r="8417">
      <c r="K8417" s="4" t="str">
        <f>IFERROR(__xludf.DUMMYFUNCTION("""COMPUTED_VALUE"""),"THE PREMIUM")</f>
        <v>THE PREMIUM</v>
      </c>
      <c r="L8417" s="32">
        <f>IFERROR(__xludf.DUMMYFUNCTION("""COMPUTED_VALUE"""),1.0)</f>
        <v>1</v>
      </c>
      <c r="M8417" s="4" t="str">
        <f>IFERROR(__xludf.DUMMYFUNCTION("""COMPUTED_VALUE"""),"Ccm Pedido Online")</f>
        <v>Ccm Pedido Online</v>
      </c>
      <c r="N8417" s="33">
        <f>IFERROR(__xludf.DUMMYFUNCTION("""COMPUTED_VALUE"""),1.0)</f>
        <v>1</v>
      </c>
      <c r="O8417" s="4" t="str">
        <f>IFERROR(__xludf.DUMMYFUNCTION("""COMPUTED_VALUE"""),"Ccm Pedido Online")</f>
        <v>Ccm Pedido Online</v>
      </c>
      <c r="P8417" s="33">
        <f>IFERROR(__xludf.DUMMYFUNCTION("""COMPUTED_VALUE"""),1.0)</f>
        <v>1</v>
      </c>
      <c r="Q8417" s="4" t="str">
        <f>IFERROR(__xludf.DUMMYFUNCTION("""COMPUTED_VALUE"""),"Ccm Pedido Online")</f>
        <v>Ccm Pedido Online</v>
      </c>
      <c r="R8417" s="33">
        <f>IFERROR(__xludf.DUMMYFUNCTION("""COMPUTED_VALUE"""),1.0)</f>
        <v>1</v>
      </c>
      <c r="S8417" s="4" t="str">
        <f>IFERROR(__xludf.DUMMYFUNCTION("""COMPUTED_VALUE"""),"Ccm Pedido Online")</f>
        <v>Ccm Pedido Online</v>
      </c>
      <c r="T8417" s="33">
        <f>IFERROR(__xludf.DUMMYFUNCTION("""COMPUTED_VALUE"""),1.0)</f>
        <v>1</v>
      </c>
      <c r="U8417" s="4" t="str">
        <f>IFERROR(__xludf.DUMMYFUNCTION("""COMPUTED_VALUE"""),"Ccm Pedido Online")</f>
        <v>Ccm Pedido Online</v>
      </c>
      <c r="V8417" s="33">
        <f>IFERROR(__xludf.DUMMYFUNCTION("""COMPUTED_VALUE"""),1.0)</f>
        <v>1</v>
      </c>
      <c r="W8417" s="4" t="str">
        <f>IFERROR(__xludf.DUMMYFUNCTION("""COMPUTED_VALUE"""),"Ccm Pedido Online")</f>
        <v>Ccm Pedido Online</v>
      </c>
      <c r="X8417" s="33">
        <f>IFERROR(__xludf.DUMMYFUNCTION("""COMPUTED_VALUE"""),1.0)</f>
        <v>1</v>
      </c>
    </row>
    <row r="8418">
      <c r="K8418" s="4" t="str">
        <f>IFERROR(__xludf.DUMMYFUNCTION("""COMPUTED_VALUE"""),"JAPATE - UBA")</f>
        <v>JAPATE - UBA</v>
      </c>
      <c r="L8418" s="32">
        <f>IFERROR(__xludf.DUMMYFUNCTION("""COMPUTED_VALUE"""),1.0)</f>
        <v>1</v>
      </c>
      <c r="M8418" s="4" t="str">
        <f>IFERROR(__xludf.DUMMYFUNCTION("""COMPUTED_VALUE"""),"Totvs Large Enterprise Tecnologia S.a.")</f>
        <v>Totvs Large Enterprise Tecnologia S.a.</v>
      </c>
      <c r="N8418" s="33">
        <f>IFERROR(__xludf.DUMMYFUNCTION("""COMPUTED_VALUE"""),1.0)</f>
        <v>1</v>
      </c>
      <c r="O8418" s="4" t="str">
        <f>IFERROR(__xludf.DUMMYFUNCTION("""COMPUTED_VALUE"""),"null")</f>
        <v>null</v>
      </c>
      <c r="P8418" s="33">
        <f>IFERROR(__xludf.DUMMYFUNCTION("""COMPUTED_VALUE"""),1.0)</f>
        <v>1</v>
      </c>
      <c r="Q8418" s="4" t="str">
        <f>IFERROR(__xludf.DUMMYFUNCTION("""COMPUTED_VALUE"""),"Totvs Large Enterprise Tecnologia S.a.")</f>
        <v>Totvs Large Enterprise Tecnologia S.a.</v>
      </c>
      <c r="R8418" s="33">
        <f>IFERROR(__xludf.DUMMYFUNCTION("""COMPUTED_VALUE"""),1.0)</f>
        <v>1</v>
      </c>
      <c r="S8418" s="4" t="str">
        <f>IFERROR(__xludf.DUMMYFUNCTION("""COMPUTED_VALUE"""),"Totvs Large Enterprise Tecnologia S.a.")</f>
        <v>Totvs Large Enterprise Tecnologia S.a.</v>
      </c>
      <c r="T8418" s="33">
        <f>IFERROR(__xludf.DUMMYFUNCTION("""COMPUTED_VALUE"""),1.0)</f>
        <v>1</v>
      </c>
      <c r="U8418" s="4" t="str">
        <f>IFERROR(__xludf.DUMMYFUNCTION("""COMPUTED_VALUE"""),"null")</f>
        <v>null</v>
      </c>
      <c r="V8418" s="33">
        <f>IFERROR(__xludf.DUMMYFUNCTION("""COMPUTED_VALUE"""),1.0)</f>
        <v>1</v>
      </c>
      <c r="W8418" s="4" t="str">
        <f>IFERROR(__xludf.DUMMYFUNCTION("""COMPUTED_VALUE"""),"Totvs Large Enterprise Tecnologia S.a.")</f>
        <v>Totvs Large Enterprise Tecnologia S.a.</v>
      </c>
      <c r="X8418" s="33">
        <f>IFERROR(__xludf.DUMMYFUNCTION("""COMPUTED_VALUE"""),1.0)</f>
        <v>1</v>
      </c>
    </row>
    <row r="8419">
      <c r="K8419" s="4" t="str">
        <f>IFERROR(__xludf.DUMMYFUNCTION("""COMPUTED_VALUE"""),"BOCA ACAI, LANCHES CIA")</f>
        <v>BOCA ACAI, LANCHES CIA</v>
      </c>
      <c r="L8419" s="32">
        <f>IFERROR(__xludf.DUMMYFUNCTION("""COMPUTED_VALUE"""),1.0)</f>
        <v>1</v>
      </c>
      <c r="M8419" s="4" t="str">
        <f>IFERROR(__xludf.DUMMYFUNCTION("""COMPUTED_VALUE"""),"Cardápio Web")</f>
        <v>Cardápio Web</v>
      </c>
      <c r="N8419" s="33">
        <f>IFERROR(__xludf.DUMMYFUNCTION("""COMPUTED_VALUE"""),1.0)</f>
        <v>1</v>
      </c>
      <c r="O8419" s="4" t="str">
        <f>IFERROR(__xludf.DUMMYFUNCTION("""COMPUTED_VALUE"""),"Cardápio Web")</f>
        <v>Cardápio Web</v>
      </c>
      <c r="P8419" s="33">
        <f>IFERROR(__xludf.DUMMYFUNCTION("""COMPUTED_VALUE"""),1.0)</f>
        <v>1</v>
      </c>
      <c r="Q8419" s="4" t="str">
        <f>IFERROR(__xludf.DUMMYFUNCTION("""COMPUTED_VALUE"""),"null")</f>
        <v>null</v>
      </c>
      <c r="R8419" s="33">
        <f>IFERROR(__xludf.DUMMYFUNCTION("""COMPUTED_VALUE"""),1.0)</f>
        <v>1</v>
      </c>
      <c r="S8419" s="4" t="str">
        <f>IFERROR(__xludf.DUMMYFUNCTION("""COMPUTED_VALUE"""),"Cardápio Web")</f>
        <v>Cardápio Web</v>
      </c>
      <c r="T8419" s="33">
        <f>IFERROR(__xludf.DUMMYFUNCTION("""COMPUTED_VALUE"""),1.0)</f>
        <v>1</v>
      </c>
      <c r="U8419" s="4" t="str">
        <f>IFERROR(__xludf.DUMMYFUNCTION("""COMPUTED_VALUE"""),"Cardápio Web")</f>
        <v>Cardápio Web</v>
      </c>
      <c r="V8419" s="33">
        <f>IFERROR(__xludf.DUMMYFUNCTION("""COMPUTED_VALUE"""),1.0)</f>
        <v>1</v>
      </c>
      <c r="W8419" s="4" t="str">
        <f>IFERROR(__xludf.DUMMYFUNCTION("""COMPUTED_VALUE"""),"Cardápio Web")</f>
        <v>Cardápio Web</v>
      </c>
      <c r="X8419" s="33">
        <f>IFERROR(__xludf.DUMMYFUNCTION("""COMPUTED_VALUE"""),1.0)</f>
        <v>1</v>
      </c>
    </row>
    <row r="8420">
      <c r="K8420" s="4" t="str">
        <f>IFERROR(__xludf.DUMMYFUNCTION("""COMPUTED_VALUE"""),"NEW PIZZAS ESFIHAS")</f>
        <v>NEW PIZZAS ESFIHAS</v>
      </c>
      <c r="L8420" s="32">
        <f>IFERROR(__xludf.DUMMYFUNCTION("""COMPUTED_VALUE"""),1.0)</f>
        <v>1</v>
      </c>
      <c r="M8420" s="4" t="str">
        <f>IFERROR(__xludf.DUMMYFUNCTION("""COMPUTED_VALUE"""),"Cardápio Web")</f>
        <v>Cardápio Web</v>
      </c>
      <c r="N8420" s="33">
        <f>IFERROR(__xludf.DUMMYFUNCTION("""COMPUTED_VALUE"""),1.0)</f>
        <v>1</v>
      </c>
      <c r="O8420" s="4" t="str">
        <f>IFERROR(__xludf.DUMMYFUNCTION("""COMPUTED_VALUE"""),"Cardápio Web")</f>
        <v>Cardápio Web</v>
      </c>
      <c r="P8420" s="33">
        <f>IFERROR(__xludf.DUMMYFUNCTION("""COMPUTED_VALUE"""),1.0)</f>
        <v>1</v>
      </c>
      <c r="Q8420" s="4" t="str">
        <f>IFERROR(__xludf.DUMMYFUNCTION("""COMPUTED_VALUE"""),"Cardápio Web")</f>
        <v>Cardápio Web</v>
      </c>
      <c r="R8420" s="33">
        <f>IFERROR(__xludf.DUMMYFUNCTION("""COMPUTED_VALUE"""),1.0)</f>
        <v>1</v>
      </c>
      <c r="S8420" s="4" t="str">
        <f>IFERROR(__xludf.DUMMYFUNCTION("""COMPUTED_VALUE"""),"Cardápio Web")</f>
        <v>Cardápio Web</v>
      </c>
      <c r="T8420" s="33">
        <f>IFERROR(__xludf.DUMMYFUNCTION("""COMPUTED_VALUE"""),1.0)</f>
        <v>1</v>
      </c>
      <c r="U8420" s="4" t="str">
        <f>IFERROR(__xludf.DUMMYFUNCTION("""COMPUTED_VALUE"""),"Cardápio Web")</f>
        <v>Cardápio Web</v>
      </c>
      <c r="V8420" s="33">
        <f>IFERROR(__xludf.DUMMYFUNCTION("""COMPUTED_VALUE"""),1.0)</f>
        <v>1</v>
      </c>
      <c r="W8420" s="4" t="str">
        <f>IFERROR(__xludf.DUMMYFUNCTION("""COMPUTED_VALUE"""),"Cardápio Web")</f>
        <v>Cardápio Web</v>
      </c>
      <c r="X8420" s="33">
        <f>IFERROR(__xludf.DUMMYFUNCTION("""COMPUTED_VALUE"""),1.0)</f>
        <v>1</v>
      </c>
    </row>
    <row r="8421">
      <c r="K8421" s="4" t="str">
        <f>IFERROR(__xludf.DUMMYFUNCTION("""COMPUTED_VALUE"""),"DELLA VERITA")</f>
        <v>DELLA VERITA</v>
      </c>
      <c r="L8421" s="32">
        <f>IFERROR(__xludf.DUMMYFUNCTION("""COMPUTED_VALUE"""),1.0)</f>
        <v>1</v>
      </c>
      <c r="M8421" s="4" t="str">
        <f>IFERROR(__xludf.DUMMYFUNCTION("""COMPUTED_VALUE"""),"Suitable Tecnologia E Gestao")</f>
        <v>Suitable Tecnologia E Gestao</v>
      </c>
      <c r="N8421" s="33">
        <f>IFERROR(__xludf.DUMMYFUNCTION("""COMPUTED_VALUE"""),1.0)</f>
        <v>1</v>
      </c>
      <c r="O8421" s="4" t="str">
        <f>IFERROR(__xludf.DUMMYFUNCTION("""COMPUTED_VALUE"""),"Suitable Tecnologia E Gestao")</f>
        <v>Suitable Tecnologia E Gestao</v>
      </c>
      <c r="P8421" s="33">
        <f>IFERROR(__xludf.DUMMYFUNCTION("""COMPUTED_VALUE"""),1.0)</f>
        <v>1</v>
      </c>
      <c r="Q8421" s="4" t="str">
        <f>IFERROR(__xludf.DUMMYFUNCTION("""COMPUTED_VALUE"""),"Suitable Tecnologia E Gestao")</f>
        <v>Suitable Tecnologia E Gestao</v>
      </c>
      <c r="R8421" s="33">
        <f>IFERROR(__xludf.DUMMYFUNCTION("""COMPUTED_VALUE"""),1.0)</f>
        <v>1</v>
      </c>
      <c r="S8421" s="4" t="str">
        <f>IFERROR(__xludf.DUMMYFUNCTION("""COMPUTED_VALUE"""),"Suitable Tecnologia E Gestao")</f>
        <v>Suitable Tecnologia E Gestao</v>
      </c>
      <c r="T8421" s="33">
        <f>IFERROR(__xludf.DUMMYFUNCTION("""COMPUTED_VALUE"""),1.0)</f>
        <v>1</v>
      </c>
      <c r="U8421" s="4" t="str">
        <f>IFERROR(__xludf.DUMMYFUNCTION("""COMPUTED_VALUE"""),"Suitable Tecnologia E Gestao")</f>
        <v>Suitable Tecnologia E Gestao</v>
      </c>
      <c r="V8421" s="33">
        <f>IFERROR(__xludf.DUMMYFUNCTION("""COMPUTED_VALUE"""),1.0)</f>
        <v>1</v>
      </c>
      <c r="W8421" s="4" t="str">
        <f>IFERROR(__xludf.DUMMYFUNCTION("""COMPUTED_VALUE"""),"Suitable Tecnologia E Gestao")</f>
        <v>Suitable Tecnologia E Gestao</v>
      </c>
      <c r="X8421" s="33">
        <f>IFERROR(__xludf.DUMMYFUNCTION("""COMPUTED_VALUE"""),1.0)</f>
        <v>1</v>
      </c>
    </row>
    <row r="8422">
      <c r="K8422" s="4" t="str">
        <f>IFERROR(__xludf.DUMMYFUNCTION("""COMPUTED_VALUE"""),"MARRYSSON PIZZARIA")</f>
        <v>MARRYSSON PIZZARIA</v>
      </c>
      <c r="L8422" s="32">
        <f>IFERROR(__xludf.DUMMYFUNCTION("""COMPUTED_VALUE"""),1.0)</f>
        <v>1</v>
      </c>
      <c r="M8422" s="4" t="str">
        <f>IFERROR(__xludf.DUMMYFUNCTION("""COMPUTED_VALUE"""),"Instadelivery")</f>
        <v>Instadelivery</v>
      </c>
      <c r="N8422" s="33">
        <f>IFERROR(__xludf.DUMMYFUNCTION("""COMPUTED_VALUE"""),1.0)</f>
        <v>1</v>
      </c>
      <c r="O8422" s="4" t="str">
        <f>IFERROR(__xludf.DUMMYFUNCTION("""COMPUTED_VALUE"""),"Instadelivery")</f>
        <v>Instadelivery</v>
      </c>
      <c r="P8422" s="33">
        <f>IFERROR(__xludf.DUMMYFUNCTION("""COMPUTED_VALUE"""),1.0)</f>
        <v>1</v>
      </c>
      <c r="Q8422" s="4" t="str">
        <f>IFERROR(__xludf.DUMMYFUNCTION("""COMPUTED_VALUE"""),"Instadelivery")</f>
        <v>Instadelivery</v>
      </c>
      <c r="R8422" s="33">
        <f>IFERROR(__xludf.DUMMYFUNCTION("""COMPUTED_VALUE"""),1.0)</f>
        <v>1</v>
      </c>
      <c r="S8422" s="4" t="str">
        <f>IFERROR(__xludf.DUMMYFUNCTION("""COMPUTED_VALUE"""),"Instadelivery")</f>
        <v>Instadelivery</v>
      </c>
      <c r="T8422" s="33">
        <f>IFERROR(__xludf.DUMMYFUNCTION("""COMPUTED_VALUE"""),1.0)</f>
        <v>1</v>
      </c>
      <c r="U8422" s="4" t="str">
        <f>IFERROR(__xludf.DUMMYFUNCTION("""COMPUTED_VALUE"""),"Instadelivery")</f>
        <v>Instadelivery</v>
      </c>
      <c r="V8422" s="33">
        <f>IFERROR(__xludf.DUMMYFUNCTION("""COMPUTED_VALUE"""),1.0)</f>
        <v>1</v>
      </c>
      <c r="W8422" s="4" t="str">
        <f>IFERROR(__xludf.DUMMYFUNCTION("""COMPUTED_VALUE"""),"Instadelivery")</f>
        <v>Instadelivery</v>
      </c>
      <c r="X8422" s="33">
        <f>IFERROR(__xludf.DUMMYFUNCTION("""COMPUTED_VALUE"""),1.0)</f>
        <v>1</v>
      </c>
    </row>
    <row r="8423">
      <c r="K8423" s="4" t="str">
        <f>IFERROR(__xludf.DUMMYFUNCTION("""COMPUTED_VALUE"""),"SALGADOS UBERABA - REVENDA BALBEC DESTERRO")</f>
        <v>SALGADOS UBERABA - REVENDA BALBEC DESTERRO</v>
      </c>
      <c r="L8423" s="32">
        <f>IFERROR(__xludf.DUMMYFUNCTION("""COMPUTED_VALUE"""),1.0)</f>
        <v>1</v>
      </c>
      <c r="M8423" s="4" t="str">
        <f>IFERROR(__xludf.DUMMYFUNCTION("""COMPUTED_VALUE"""),"Saipos Serviços De Software")</f>
        <v>Saipos Serviços De Software</v>
      </c>
      <c r="N8423" s="33">
        <f>IFERROR(__xludf.DUMMYFUNCTION("""COMPUTED_VALUE"""),1.0)</f>
        <v>1</v>
      </c>
      <c r="O8423" s="4" t="str">
        <f>IFERROR(__xludf.DUMMYFUNCTION("""COMPUTED_VALUE"""),"Saipos Serviços De Software")</f>
        <v>Saipos Serviços De Software</v>
      </c>
      <c r="P8423" s="33">
        <f>IFERROR(__xludf.DUMMYFUNCTION("""COMPUTED_VALUE"""),1.0)</f>
        <v>1</v>
      </c>
      <c r="Q8423" s="4" t="str">
        <f>IFERROR(__xludf.DUMMYFUNCTION("""COMPUTED_VALUE"""),"Saipos Serviços De Software")</f>
        <v>Saipos Serviços De Software</v>
      </c>
      <c r="R8423" s="33">
        <f>IFERROR(__xludf.DUMMYFUNCTION("""COMPUTED_VALUE"""),1.0)</f>
        <v>1</v>
      </c>
      <c r="S8423" s="4" t="str">
        <f>IFERROR(__xludf.DUMMYFUNCTION("""COMPUTED_VALUE"""),"Saipos Serviços De Software")</f>
        <v>Saipos Serviços De Software</v>
      </c>
      <c r="T8423" s="33">
        <f>IFERROR(__xludf.DUMMYFUNCTION("""COMPUTED_VALUE"""),1.0)</f>
        <v>1</v>
      </c>
      <c r="U8423" s="4" t="str">
        <f>IFERROR(__xludf.DUMMYFUNCTION("""COMPUTED_VALUE"""),"Saipos Serviços De Software")</f>
        <v>Saipos Serviços De Software</v>
      </c>
      <c r="V8423" s="33">
        <f>IFERROR(__xludf.DUMMYFUNCTION("""COMPUTED_VALUE"""),1.0)</f>
        <v>1</v>
      </c>
      <c r="W8423" s="4" t="str">
        <f>IFERROR(__xludf.DUMMYFUNCTION("""COMPUTED_VALUE"""),"Saipos Serviços De Software")</f>
        <v>Saipos Serviços De Software</v>
      </c>
      <c r="X8423" s="33">
        <f>IFERROR(__xludf.DUMMYFUNCTION("""COMPUTED_VALUE"""),1.0)</f>
        <v>1</v>
      </c>
    </row>
    <row r="8424">
      <c r="K8424" s="4" t="str">
        <f>IFERROR(__xludf.DUMMYFUNCTION("""COMPUTED_VALUE"""),"GRECUS PIZZARIA ESFIHARIA 24 HORAS")</f>
        <v>GRECUS PIZZARIA ESFIHARIA 24 HORAS</v>
      </c>
      <c r="L8424" s="32">
        <f>IFERROR(__xludf.DUMMYFUNCTION("""COMPUTED_VALUE"""),1.0)</f>
        <v>1</v>
      </c>
      <c r="M8424" s="4" t="str">
        <f>IFERROR(__xludf.DUMMYFUNCTION("""COMPUTED_VALUE"""),"Hubster")</f>
        <v>Hubster</v>
      </c>
      <c r="N8424" s="33">
        <f>IFERROR(__xludf.DUMMYFUNCTION("""COMPUTED_VALUE"""),1.0)</f>
        <v>1</v>
      </c>
      <c r="O8424" s="4" t="str">
        <f>IFERROR(__xludf.DUMMYFUNCTION("""COMPUTED_VALUE"""),"Hubster")</f>
        <v>Hubster</v>
      </c>
      <c r="P8424" s="33">
        <f>IFERROR(__xludf.DUMMYFUNCTION("""COMPUTED_VALUE"""),1.0)</f>
        <v>1</v>
      </c>
      <c r="Q8424" s="4" t="str">
        <f>IFERROR(__xludf.DUMMYFUNCTION("""COMPUTED_VALUE"""),"Hubster")</f>
        <v>Hubster</v>
      </c>
      <c r="R8424" s="33">
        <f>IFERROR(__xludf.DUMMYFUNCTION("""COMPUTED_VALUE"""),1.0)</f>
        <v>1</v>
      </c>
      <c r="S8424" s="4" t="str">
        <f>IFERROR(__xludf.DUMMYFUNCTION("""COMPUTED_VALUE"""),"Hubster")</f>
        <v>Hubster</v>
      </c>
      <c r="T8424" s="33">
        <f>IFERROR(__xludf.DUMMYFUNCTION("""COMPUTED_VALUE"""),1.0)</f>
        <v>1</v>
      </c>
      <c r="U8424" s="4" t="str">
        <f>IFERROR(__xludf.DUMMYFUNCTION("""COMPUTED_VALUE"""),"null")</f>
        <v>null</v>
      </c>
      <c r="V8424" s="33">
        <f>IFERROR(__xludf.DUMMYFUNCTION("""COMPUTED_VALUE"""),1.0)</f>
        <v>1</v>
      </c>
      <c r="W8424" s="4" t="str">
        <f>IFERROR(__xludf.DUMMYFUNCTION("""COMPUTED_VALUE"""),"null")</f>
        <v>null</v>
      </c>
      <c r="X8424" s="33">
        <f>IFERROR(__xludf.DUMMYFUNCTION("""COMPUTED_VALUE"""),1.0)</f>
        <v>1</v>
      </c>
    </row>
    <row r="8425">
      <c r="K8425" s="4" t="str">
        <f>IFERROR(__xludf.DUMMYFUNCTION("""COMPUTED_VALUE"""),"DUCHEFF MARMITEX")</f>
        <v>DUCHEFF MARMITEX</v>
      </c>
      <c r="L8425" s="32">
        <f>IFERROR(__xludf.DUMMYFUNCTION("""COMPUTED_VALUE"""),1.0)</f>
        <v>1</v>
      </c>
      <c r="M8425" s="4" t="str">
        <f>IFERROR(__xludf.DUMMYFUNCTION("""COMPUTED_VALUE"""),"Cardápio Web")</f>
        <v>Cardápio Web</v>
      </c>
      <c r="N8425" s="33">
        <f>IFERROR(__xludf.DUMMYFUNCTION("""COMPUTED_VALUE"""),1.0)</f>
        <v>1</v>
      </c>
      <c r="O8425" s="4" t="str">
        <f>IFERROR(__xludf.DUMMYFUNCTION("""COMPUTED_VALUE"""),"Cardápio Web")</f>
        <v>Cardápio Web</v>
      </c>
      <c r="P8425" s="33">
        <f>IFERROR(__xludf.DUMMYFUNCTION("""COMPUTED_VALUE"""),1.0)</f>
        <v>1</v>
      </c>
      <c r="Q8425" s="4" t="str">
        <f>IFERROR(__xludf.DUMMYFUNCTION("""COMPUTED_VALUE"""),"Cardápio Web")</f>
        <v>Cardápio Web</v>
      </c>
      <c r="R8425" s="33">
        <f>IFERROR(__xludf.DUMMYFUNCTION("""COMPUTED_VALUE"""),1.0)</f>
        <v>1</v>
      </c>
      <c r="S8425" s="4" t="str">
        <f>IFERROR(__xludf.DUMMYFUNCTION("""COMPUTED_VALUE"""),"Cardápio Web")</f>
        <v>Cardápio Web</v>
      </c>
      <c r="T8425" s="33">
        <f>IFERROR(__xludf.DUMMYFUNCTION("""COMPUTED_VALUE"""),1.0)</f>
        <v>1</v>
      </c>
      <c r="U8425" s="4" t="str">
        <f>IFERROR(__xludf.DUMMYFUNCTION("""COMPUTED_VALUE"""),"Cardápio Web")</f>
        <v>Cardápio Web</v>
      </c>
      <c r="V8425" s="33">
        <f>IFERROR(__xludf.DUMMYFUNCTION("""COMPUTED_VALUE"""),1.0)</f>
        <v>1</v>
      </c>
      <c r="W8425" s="4" t="str">
        <f>IFERROR(__xludf.DUMMYFUNCTION("""COMPUTED_VALUE"""),"Cardápio Web")</f>
        <v>Cardápio Web</v>
      </c>
      <c r="X8425" s="33">
        <f>IFERROR(__xludf.DUMMYFUNCTION("""COMPUTED_VALUE"""),1.0)</f>
        <v>1</v>
      </c>
    </row>
    <row r="8426">
      <c r="K8426" s="4" t="str">
        <f>IFERROR(__xludf.DUMMYFUNCTION("""COMPUTED_VALUE"""),"DALLAS GOURMET")</f>
        <v>DALLAS GOURMET</v>
      </c>
      <c r="L8426" s="32">
        <f>IFERROR(__xludf.DUMMYFUNCTION("""COMPUTED_VALUE"""),1.0)</f>
        <v>1</v>
      </c>
      <c r="M8426" s="4" t="str">
        <f>IFERROR(__xludf.DUMMYFUNCTION("""COMPUTED_VALUE"""),"null")</f>
        <v>null</v>
      </c>
      <c r="N8426" s="33">
        <f>IFERROR(__xludf.DUMMYFUNCTION("""COMPUTED_VALUE"""),1.0)</f>
        <v>1</v>
      </c>
      <c r="O8426" s="4" t="str">
        <f>IFERROR(__xludf.DUMMYFUNCTION("""COMPUTED_VALUE"""),"null")</f>
        <v>null</v>
      </c>
      <c r="P8426" s="33">
        <f>IFERROR(__xludf.DUMMYFUNCTION("""COMPUTED_VALUE"""),1.0)</f>
        <v>1</v>
      </c>
      <c r="Q8426" s="4" t="str">
        <f>IFERROR(__xludf.DUMMYFUNCTION("""COMPUTED_VALUE"""),"Consumer Soluções Em Tecnologia Ltda")</f>
        <v>Consumer Soluções Em Tecnologia Ltda</v>
      </c>
      <c r="R8426" s="33">
        <f>IFERROR(__xludf.DUMMYFUNCTION("""COMPUTED_VALUE"""),1.0)</f>
        <v>1</v>
      </c>
      <c r="S8426" s="4" t="str">
        <f>IFERROR(__xludf.DUMMYFUNCTION("""COMPUTED_VALUE"""),"null")</f>
        <v>null</v>
      </c>
      <c r="T8426" s="33">
        <f>IFERROR(__xludf.DUMMYFUNCTION("""COMPUTED_VALUE"""),1.0)</f>
        <v>1</v>
      </c>
      <c r="U8426" s="4" t="str">
        <f>IFERROR(__xludf.DUMMYFUNCTION("""COMPUTED_VALUE"""),"null")</f>
        <v>null</v>
      </c>
      <c r="V8426" s="33">
        <f>IFERROR(__xludf.DUMMYFUNCTION("""COMPUTED_VALUE"""),1.0)</f>
        <v>1</v>
      </c>
      <c r="W8426" s="4" t="str">
        <f>IFERROR(__xludf.DUMMYFUNCTION("""COMPUTED_VALUE"""),"null")</f>
        <v>null</v>
      </c>
      <c r="X8426" s="33">
        <f>IFERROR(__xludf.DUMMYFUNCTION("""COMPUTED_VALUE"""),1.0)</f>
        <v>1</v>
      </c>
    </row>
    <row r="8427">
      <c r="K8427" s="4" t="str">
        <f>IFERROR(__xludf.DUMMYFUNCTION("""COMPUTED_VALUE"""),"MANIA DE SALGADO - LANCHONETE E PASTELARIA")</f>
        <v>MANIA DE SALGADO - LANCHONETE E PASTELARIA</v>
      </c>
      <c r="L8427" s="32">
        <f>IFERROR(__xludf.DUMMYFUNCTION("""COMPUTED_VALUE"""),1.0)</f>
        <v>1</v>
      </c>
      <c r="M8427" s="4" t="str">
        <f>IFERROR(__xludf.DUMMYFUNCTION("""COMPUTED_VALUE"""),"Suitable Tecnologia E Gestao")</f>
        <v>Suitable Tecnologia E Gestao</v>
      </c>
      <c r="N8427" s="33">
        <f>IFERROR(__xludf.DUMMYFUNCTION("""COMPUTED_VALUE"""),1.0)</f>
        <v>1</v>
      </c>
      <c r="O8427" s="4" t="str">
        <f>IFERROR(__xludf.DUMMYFUNCTION("""COMPUTED_VALUE"""),"Suitable Tecnologia E Gestao")</f>
        <v>Suitable Tecnologia E Gestao</v>
      </c>
      <c r="P8427" s="33">
        <f>IFERROR(__xludf.DUMMYFUNCTION("""COMPUTED_VALUE"""),1.0)</f>
        <v>1</v>
      </c>
      <c r="Q8427" s="4" t="str">
        <f>IFERROR(__xludf.DUMMYFUNCTION("""COMPUTED_VALUE"""),"Suitable Tecnologia E Gestao")</f>
        <v>Suitable Tecnologia E Gestao</v>
      </c>
      <c r="R8427" s="33">
        <f>IFERROR(__xludf.DUMMYFUNCTION("""COMPUTED_VALUE"""),1.0)</f>
        <v>1</v>
      </c>
      <c r="S8427" s="4" t="str">
        <f>IFERROR(__xludf.DUMMYFUNCTION("""COMPUTED_VALUE"""),"Suitable Tecnologia E Gestao")</f>
        <v>Suitable Tecnologia E Gestao</v>
      </c>
      <c r="T8427" s="33">
        <f>IFERROR(__xludf.DUMMYFUNCTION("""COMPUTED_VALUE"""),1.0)</f>
        <v>1</v>
      </c>
      <c r="U8427" s="4" t="str">
        <f>IFERROR(__xludf.DUMMYFUNCTION("""COMPUTED_VALUE"""),"Suitable Tecnologia E Gestao")</f>
        <v>Suitable Tecnologia E Gestao</v>
      </c>
      <c r="V8427" s="33">
        <f>IFERROR(__xludf.DUMMYFUNCTION("""COMPUTED_VALUE"""),1.0)</f>
        <v>1</v>
      </c>
      <c r="W8427" s="4" t="str">
        <f>IFERROR(__xludf.DUMMYFUNCTION("""COMPUTED_VALUE"""),"Suitable Tecnologia E Gestao")</f>
        <v>Suitable Tecnologia E Gestao</v>
      </c>
      <c r="X8427" s="33">
        <f>IFERROR(__xludf.DUMMYFUNCTION("""COMPUTED_VALUE"""),1.0)</f>
        <v>1</v>
      </c>
    </row>
    <row r="8428">
      <c r="K8428" s="4" t="str">
        <f>IFERROR(__xludf.DUMMYFUNCTION("""COMPUTED_VALUE"""),"PIZZARIA CORAZZATO")</f>
        <v>PIZZARIA CORAZZATO</v>
      </c>
      <c r="L8428" s="32">
        <f>IFERROR(__xludf.DUMMYFUNCTION("""COMPUTED_VALUE"""),1.0)</f>
        <v>1</v>
      </c>
      <c r="M8428" s="4" t="str">
        <f>IFERROR(__xludf.DUMMYFUNCTION("""COMPUTED_VALUE"""),"Expresso Delivery")</f>
        <v>Expresso Delivery</v>
      </c>
      <c r="N8428" s="33">
        <f>IFERROR(__xludf.DUMMYFUNCTION("""COMPUTED_VALUE"""),1.0)</f>
        <v>1</v>
      </c>
      <c r="O8428" s="4" t="str">
        <f>IFERROR(__xludf.DUMMYFUNCTION("""COMPUTED_VALUE"""),"Expresso Delivery")</f>
        <v>Expresso Delivery</v>
      </c>
      <c r="P8428" s="33">
        <f>IFERROR(__xludf.DUMMYFUNCTION("""COMPUTED_VALUE"""),1.0)</f>
        <v>1</v>
      </c>
      <c r="Q8428" s="4" t="str">
        <f>IFERROR(__xludf.DUMMYFUNCTION("""COMPUTED_VALUE"""),"Expresso Delivery")</f>
        <v>Expresso Delivery</v>
      </c>
      <c r="R8428" s="33">
        <f>IFERROR(__xludf.DUMMYFUNCTION("""COMPUTED_VALUE"""),1.0)</f>
        <v>1</v>
      </c>
      <c r="S8428" s="4" t="str">
        <f>IFERROR(__xludf.DUMMYFUNCTION("""COMPUTED_VALUE"""),"Expresso Delivery")</f>
        <v>Expresso Delivery</v>
      </c>
      <c r="T8428" s="33">
        <f>IFERROR(__xludf.DUMMYFUNCTION("""COMPUTED_VALUE"""),1.0)</f>
        <v>1</v>
      </c>
      <c r="U8428" s="4" t="str">
        <f>IFERROR(__xludf.DUMMYFUNCTION("""COMPUTED_VALUE"""),"Expresso Delivery")</f>
        <v>Expresso Delivery</v>
      </c>
      <c r="V8428" s="33">
        <f>IFERROR(__xludf.DUMMYFUNCTION("""COMPUTED_VALUE"""),1.0)</f>
        <v>1</v>
      </c>
      <c r="W8428" s="4" t="str">
        <f>IFERROR(__xludf.DUMMYFUNCTION("""COMPUTED_VALUE"""),"null")</f>
        <v>null</v>
      </c>
      <c r="X8428" s="33">
        <f>IFERROR(__xludf.DUMMYFUNCTION("""COMPUTED_VALUE"""),1.0)</f>
        <v>1</v>
      </c>
    </row>
    <row r="8429">
      <c r="K8429" s="4" t="str">
        <f>IFERROR(__xludf.DUMMYFUNCTION("""COMPUTED_VALUE"""),"WILLIAMS BURGER - HAMBURGUER - XIS - HOT DOG")</f>
        <v>WILLIAMS BURGER - HAMBURGUER - XIS - HOT DOG</v>
      </c>
      <c r="L8429" s="32">
        <f>IFERROR(__xludf.DUMMYFUNCTION("""COMPUTED_VALUE"""),1.0)</f>
        <v>1</v>
      </c>
      <c r="M8429" s="4" t="str">
        <f>IFERROR(__xludf.DUMMYFUNCTION("""COMPUTED_VALUE"""),"Parseint Desenvolvimento De Sistemas Ltda")</f>
        <v>Parseint Desenvolvimento De Sistemas Ltda</v>
      </c>
      <c r="N8429" s="33">
        <f>IFERROR(__xludf.DUMMYFUNCTION("""COMPUTED_VALUE"""),1.0)</f>
        <v>1</v>
      </c>
      <c r="O8429" s="4" t="str">
        <f>IFERROR(__xludf.DUMMYFUNCTION("""COMPUTED_VALUE"""),"Parseint Desenvolvimento De Sistemas Ltda")</f>
        <v>Parseint Desenvolvimento De Sistemas Ltda</v>
      </c>
      <c r="P8429" s="33">
        <f>IFERROR(__xludf.DUMMYFUNCTION("""COMPUTED_VALUE"""),1.0)</f>
        <v>1</v>
      </c>
      <c r="Q8429" s="4" t="str">
        <f>IFERROR(__xludf.DUMMYFUNCTION("""COMPUTED_VALUE"""),"Parseint Desenvolvimento De Sistemas Ltda")</f>
        <v>Parseint Desenvolvimento De Sistemas Ltda</v>
      </c>
      <c r="R8429" s="33">
        <f>IFERROR(__xludf.DUMMYFUNCTION("""COMPUTED_VALUE"""),1.0)</f>
        <v>1</v>
      </c>
      <c r="S8429" s="4" t="str">
        <f>IFERROR(__xludf.DUMMYFUNCTION("""COMPUTED_VALUE"""),"Parseint Desenvolvimento De Sistemas Ltda")</f>
        <v>Parseint Desenvolvimento De Sistemas Ltda</v>
      </c>
      <c r="T8429" s="33">
        <f>IFERROR(__xludf.DUMMYFUNCTION("""COMPUTED_VALUE"""),1.0)</f>
        <v>1</v>
      </c>
      <c r="U8429" s="4" t="str">
        <f>IFERROR(__xludf.DUMMYFUNCTION("""COMPUTED_VALUE"""),"Parseint Desenvolvimento De Sistemas Ltda")</f>
        <v>Parseint Desenvolvimento De Sistemas Ltda</v>
      </c>
      <c r="V8429" s="33">
        <f>IFERROR(__xludf.DUMMYFUNCTION("""COMPUTED_VALUE"""),1.0)</f>
        <v>1</v>
      </c>
      <c r="W8429" s="4" t="str">
        <f>IFERROR(__xludf.DUMMYFUNCTION("""COMPUTED_VALUE"""),"Parseint Desenvolvimento De Sistemas Ltda")</f>
        <v>Parseint Desenvolvimento De Sistemas Ltda</v>
      </c>
      <c r="X8429" s="33">
        <f>IFERROR(__xludf.DUMMYFUNCTION("""COMPUTED_VALUE"""),1.0)</f>
        <v>1</v>
      </c>
    </row>
    <row r="8430">
      <c r="K8430" s="4" t="str">
        <f>IFERROR(__xludf.DUMMYFUNCTION("""COMPUTED_VALUE"""),"HAMBURG - UNIDADE VILA BUARQUE - HAMBURGUER ARTESANAL -")</f>
        <v>HAMBURG - UNIDADE VILA BUARQUE - HAMBURGUER ARTESANAL -</v>
      </c>
      <c r="L8430" s="32">
        <f>IFERROR(__xludf.DUMMYFUNCTION("""COMPUTED_VALUE"""),1.0)</f>
        <v>1</v>
      </c>
      <c r="M8430" s="4" t="str">
        <f>IFERROR(__xludf.DUMMYFUNCTION("""COMPUTED_VALUE"""),"Saipos Serviços De Software")</f>
        <v>Saipos Serviços De Software</v>
      </c>
      <c r="N8430" s="33">
        <f>IFERROR(__xludf.DUMMYFUNCTION("""COMPUTED_VALUE"""),1.0)</f>
        <v>1</v>
      </c>
      <c r="O8430" s="4" t="str">
        <f>IFERROR(__xludf.DUMMYFUNCTION("""COMPUTED_VALUE"""),"Saipos Serviços De Software")</f>
        <v>Saipos Serviços De Software</v>
      </c>
      <c r="P8430" s="33">
        <f>IFERROR(__xludf.DUMMYFUNCTION("""COMPUTED_VALUE"""),1.0)</f>
        <v>1</v>
      </c>
      <c r="Q8430" s="4" t="str">
        <f>IFERROR(__xludf.DUMMYFUNCTION("""COMPUTED_VALUE"""),"Saipos Serviços De Software")</f>
        <v>Saipos Serviços De Software</v>
      </c>
      <c r="R8430" s="33">
        <f>IFERROR(__xludf.DUMMYFUNCTION("""COMPUTED_VALUE"""),1.0)</f>
        <v>1</v>
      </c>
      <c r="S8430" s="4" t="str">
        <f>IFERROR(__xludf.DUMMYFUNCTION("""COMPUTED_VALUE"""),"Saipos Serviços De Software")</f>
        <v>Saipos Serviços De Software</v>
      </c>
      <c r="T8430" s="33">
        <f>IFERROR(__xludf.DUMMYFUNCTION("""COMPUTED_VALUE"""),1.0)</f>
        <v>1</v>
      </c>
      <c r="U8430" s="4" t="str">
        <f>IFERROR(__xludf.DUMMYFUNCTION("""COMPUTED_VALUE"""),"Saipos Serviços De Software")</f>
        <v>Saipos Serviços De Software</v>
      </c>
      <c r="V8430" s="33">
        <f>IFERROR(__xludf.DUMMYFUNCTION("""COMPUTED_VALUE"""),1.0)</f>
        <v>1</v>
      </c>
      <c r="W8430" s="4" t="str">
        <f>IFERROR(__xludf.DUMMYFUNCTION("""COMPUTED_VALUE"""),"Saipos Serviços De Software")</f>
        <v>Saipos Serviços De Software</v>
      </c>
      <c r="X8430" s="33">
        <f>IFERROR(__xludf.DUMMYFUNCTION("""COMPUTED_VALUE"""),1.0)</f>
        <v>1</v>
      </c>
    </row>
    <row r="8431">
      <c r="K8431" s="4" t="str">
        <f>IFERROR(__xludf.DUMMYFUNCTION("""COMPUTED_VALUE"""),"COOKIE PLACE")</f>
        <v>COOKIE PLACE</v>
      </c>
      <c r="L8431" s="32">
        <f>IFERROR(__xludf.DUMMYFUNCTION("""COMPUTED_VALUE"""),1.0)</f>
        <v>1</v>
      </c>
      <c r="M8431" s="4" t="str">
        <f>IFERROR(__xludf.DUMMYFUNCTION("""COMPUTED_VALUE"""),"Menew - Linx")</f>
        <v>Menew - Linx</v>
      </c>
      <c r="N8431" s="33">
        <f>IFERROR(__xludf.DUMMYFUNCTION("""COMPUTED_VALUE"""),1.0)</f>
        <v>1</v>
      </c>
      <c r="O8431" s="4" t="str">
        <f>IFERROR(__xludf.DUMMYFUNCTION("""COMPUTED_VALUE"""),"Menew - Linx")</f>
        <v>Menew - Linx</v>
      </c>
      <c r="P8431" s="33">
        <f>IFERROR(__xludf.DUMMYFUNCTION("""COMPUTED_VALUE"""),1.0)</f>
        <v>1</v>
      </c>
      <c r="Q8431" s="4" t="str">
        <f>IFERROR(__xludf.DUMMYFUNCTION("""COMPUTED_VALUE"""),"Menew - Linx")</f>
        <v>Menew - Linx</v>
      </c>
      <c r="R8431" s="33">
        <f>IFERROR(__xludf.DUMMYFUNCTION("""COMPUTED_VALUE"""),1.0)</f>
        <v>1</v>
      </c>
      <c r="S8431" s="4" t="str">
        <f>IFERROR(__xludf.DUMMYFUNCTION("""COMPUTED_VALUE"""),"Menew - Linx")</f>
        <v>Menew - Linx</v>
      </c>
      <c r="T8431" s="33">
        <f>IFERROR(__xludf.DUMMYFUNCTION("""COMPUTED_VALUE"""),1.0)</f>
        <v>1</v>
      </c>
      <c r="U8431" s="4" t="str">
        <f>IFERROR(__xludf.DUMMYFUNCTION("""COMPUTED_VALUE"""),"Menew - Linx")</f>
        <v>Menew - Linx</v>
      </c>
      <c r="V8431" s="33">
        <f>IFERROR(__xludf.DUMMYFUNCTION("""COMPUTED_VALUE"""),1.0)</f>
        <v>1</v>
      </c>
      <c r="W8431" s="4" t="str">
        <f>IFERROR(__xludf.DUMMYFUNCTION("""COMPUTED_VALUE"""),"Menew - Linx")</f>
        <v>Menew - Linx</v>
      </c>
      <c r="X8431" s="33">
        <f>IFERROR(__xludf.DUMMYFUNCTION("""COMPUTED_VALUE"""),1.0)</f>
        <v>1</v>
      </c>
    </row>
    <row r="8432">
      <c r="K8432" s="4" t="str">
        <f>IFERROR(__xludf.DUMMYFUNCTION("""COMPUTED_VALUE"""),"RESTAURANTE TITAO DONNA LU")</f>
        <v>RESTAURANTE TITAO DONNA LU</v>
      </c>
      <c r="L8432" s="32">
        <f>IFERROR(__xludf.DUMMYFUNCTION("""COMPUTED_VALUE"""),1.0)</f>
        <v>1</v>
      </c>
      <c r="M8432" s="4" t="str">
        <f>IFERROR(__xludf.DUMMYFUNCTION("""COMPUTED_VALUE"""),"Consumer Soluções Em Tecnologia Ltda")</f>
        <v>Consumer Soluções Em Tecnologia Ltda</v>
      </c>
      <c r="N8432" s="33">
        <f>IFERROR(__xludf.DUMMYFUNCTION("""COMPUTED_VALUE"""),1.0)</f>
        <v>1</v>
      </c>
      <c r="O8432" s="4" t="str">
        <f>IFERROR(__xludf.DUMMYFUNCTION("""COMPUTED_VALUE"""),"Consumer Soluções Em Tecnologia Ltda")</f>
        <v>Consumer Soluções Em Tecnologia Ltda</v>
      </c>
      <c r="P8432" s="33">
        <f>IFERROR(__xludf.DUMMYFUNCTION("""COMPUTED_VALUE"""),1.0)</f>
        <v>1</v>
      </c>
      <c r="Q8432" s="4" t="str">
        <f>IFERROR(__xludf.DUMMYFUNCTION("""COMPUTED_VALUE"""),"Consumer Soluções Em Tecnologia Ltda")</f>
        <v>Consumer Soluções Em Tecnologia Ltda</v>
      </c>
      <c r="R8432" s="33">
        <f>IFERROR(__xludf.DUMMYFUNCTION("""COMPUTED_VALUE"""),1.0)</f>
        <v>1</v>
      </c>
      <c r="S8432" s="4" t="str">
        <f>IFERROR(__xludf.DUMMYFUNCTION("""COMPUTED_VALUE"""),"Consumer Soluções Em Tecnologia Ltda")</f>
        <v>Consumer Soluções Em Tecnologia Ltda</v>
      </c>
      <c r="T8432" s="33">
        <f>IFERROR(__xludf.DUMMYFUNCTION("""COMPUTED_VALUE"""),1.0)</f>
        <v>1</v>
      </c>
      <c r="U8432" s="4" t="str">
        <f>IFERROR(__xludf.DUMMYFUNCTION("""COMPUTED_VALUE"""),"Consumer Soluções Em Tecnologia Ltda")</f>
        <v>Consumer Soluções Em Tecnologia Ltda</v>
      </c>
      <c r="V8432" s="33">
        <f>IFERROR(__xludf.DUMMYFUNCTION("""COMPUTED_VALUE"""),1.0)</f>
        <v>1</v>
      </c>
      <c r="W8432" s="4" t="str">
        <f>IFERROR(__xludf.DUMMYFUNCTION("""COMPUTED_VALUE"""),"Consumer Soluções Em Tecnologia Ltda")</f>
        <v>Consumer Soluções Em Tecnologia Ltda</v>
      </c>
      <c r="X8432" s="33">
        <f>IFERROR(__xludf.DUMMYFUNCTION("""COMPUTED_VALUE"""),1.0)</f>
        <v>1</v>
      </c>
    </row>
    <row r="8433">
      <c r="K8433" s="4" t="str">
        <f>IFERROR(__xludf.DUMMYFUNCTION("""COMPUTED_VALUE"""),"PETTINE RESTAURANTE")</f>
        <v>PETTINE RESTAURANTE</v>
      </c>
      <c r="L8433" s="32">
        <f>IFERROR(__xludf.DUMMYFUNCTION("""COMPUTED_VALUE"""),1.0)</f>
        <v>1</v>
      </c>
      <c r="M8433" s="4" t="str">
        <f>IFERROR(__xludf.DUMMYFUNCTION("""COMPUTED_VALUE"""),"null")</f>
        <v>null</v>
      </c>
      <c r="N8433" s="33">
        <f>IFERROR(__xludf.DUMMYFUNCTION("""COMPUTED_VALUE"""),1.0)</f>
        <v>1</v>
      </c>
      <c r="O8433" s="4" t="str">
        <f>IFERROR(__xludf.DUMMYFUNCTION("""COMPUTED_VALUE"""),"null")</f>
        <v>null</v>
      </c>
      <c r="P8433" s="33">
        <f>IFERROR(__xludf.DUMMYFUNCTION("""COMPUTED_VALUE"""),1.0)</f>
        <v>1</v>
      </c>
      <c r="Q8433" s="4" t="str">
        <f>IFERROR(__xludf.DUMMYFUNCTION("""COMPUTED_VALUE"""),"null")</f>
        <v>null</v>
      </c>
      <c r="R8433" s="33">
        <f>IFERROR(__xludf.DUMMYFUNCTION("""COMPUTED_VALUE"""),1.0)</f>
        <v>1</v>
      </c>
      <c r="S8433" s="4" t="str">
        <f>IFERROR(__xludf.DUMMYFUNCTION("""COMPUTED_VALUE"""),"Datacaixa Pdv")</f>
        <v>Datacaixa Pdv</v>
      </c>
      <c r="T8433" s="33">
        <f>IFERROR(__xludf.DUMMYFUNCTION("""COMPUTED_VALUE"""),1.0)</f>
        <v>1</v>
      </c>
      <c r="U8433" s="4" t="str">
        <f>IFERROR(__xludf.DUMMYFUNCTION("""COMPUTED_VALUE"""),"Datacaixa Pdv")</f>
        <v>Datacaixa Pdv</v>
      </c>
      <c r="V8433" s="33">
        <f>IFERROR(__xludf.DUMMYFUNCTION("""COMPUTED_VALUE"""),1.0)</f>
        <v>1</v>
      </c>
      <c r="W8433" s="4" t="str">
        <f>IFERROR(__xludf.DUMMYFUNCTION("""COMPUTED_VALUE"""),"Datacaixa Pdv")</f>
        <v>Datacaixa Pdv</v>
      </c>
      <c r="X8433" s="33">
        <f>IFERROR(__xludf.DUMMYFUNCTION("""COMPUTED_VALUE"""),1.0)</f>
        <v>1</v>
      </c>
    </row>
    <row r="8434">
      <c r="K8434" s="4" t="str">
        <f>IFERROR(__xludf.DUMMYFUNCTION("""COMPUTED_VALUE"""),"SUSHI E GRILL")</f>
        <v>SUSHI E GRILL</v>
      </c>
      <c r="L8434" s="32">
        <f>IFERROR(__xludf.DUMMYFUNCTION("""COMPUTED_VALUE"""),1.0)</f>
        <v>1</v>
      </c>
      <c r="M8434" s="4" t="str">
        <f>IFERROR(__xludf.DUMMYFUNCTION("""COMPUTED_VALUE"""),"null")</f>
        <v>null</v>
      </c>
      <c r="N8434" s="33">
        <f>IFERROR(__xludf.DUMMYFUNCTION("""COMPUTED_VALUE"""),1.0)</f>
        <v>1</v>
      </c>
      <c r="O8434" s="4" t="str">
        <f>IFERROR(__xludf.DUMMYFUNCTION("""COMPUTED_VALUE"""),"null")</f>
        <v>null</v>
      </c>
      <c r="P8434" s="33">
        <f>IFERROR(__xludf.DUMMYFUNCTION("""COMPUTED_VALUE"""),1.0)</f>
        <v>1</v>
      </c>
      <c r="Q8434" s="4" t="str">
        <f>IFERROR(__xludf.DUMMYFUNCTION("""COMPUTED_VALUE"""),"null")</f>
        <v>null</v>
      </c>
      <c r="R8434" s="33">
        <f>IFERROR(__xludf.DUMMYFUNCTION("""COMPUTED_VALUE"""),1.0)</f>
        <v>1</v>
      </c>
      <c r="S8434" s="4" t="str">
        <f>IFERROR(__xludf.DUMMYFUNCTION("""COMPUTED_VALUE"""),"Saipos Serviços De Software")</f>
        <v>Saipos Serviços De Software</v>
      </c>
      <c r="T8434" s="33">
        <f>IFERROR(__xludf.DUMMYFUNCTION("""COMPUTED_VALUE"""),1.0)</f>
        <v>1</v>
      </c>
      <c r="U8434" s="4" t="str">
        <f>IFERROR(__xludf.DUMMYFUNCTION("""COMPUTED_VALUE"""),"Saipos Serviços De Software")</f>
        <v>Saipos Serviços De Software</v>
      </c>
      <c r="V8434" s="33">
        <f>IFERROR(__xludf.DUMMYFUNCTION("""COMPUTED_VALUE"""),1.0)</f>
        <v>1</v>
      </c>
      <c r="W8434" s="4" t="str">
        <f>IFERROR(__xludf.DUMMYFUNCTION("""COMPUTED_VALUE"""),"Saipos Serviços De Software")</f>
        <v>Saipos Serviços De Software</v>
      </c>
      <c r="X8434" s="33">
        <f>IFERROR(__xludf.DUMMYFUNCTION("""COMPUTED_VALUE"""),1.0)</f>
        <v>1</v>
      </c>
    </row>
    <row r="8435">
      <c r="K8435" s="4" t="str">
        <f>IFERROR(__xludf.DUMMYFUNCTION("""COMPUTED_VALUE"""),"PASTEL E HAMBURGUER ARTESANAL")</f>
        <v>PASTEL E HAMBURGUER ARTESANAL</v>
      </c>
      <c r="L8435" s="32">
        <f>IFERROR(__xludf.DUMMYFUNCTION("""COMPUTED_VALUE"""),1.0)</f>
        <v>1</v>
      </c>
      <c r="M8435" s="4" t="str">
        <f>IFERROR(__xludf.DUMMYFUNCTION("""COMPUTED_VALUE"""),"Cardápio Web")</f>
        <v>Cardápio Web</v>
      </c>
      <c r="N8435" s="33">
        <f>IFERROR(__xludf.DUMMYFUNCTION("""COMPUTED_VALUE"""),1.0)</f>
        <v>1</v>
      </c>
      <c r="O8435" s="4" t="str">
        <f>IFERROR(__xludf.DUMMYFUNCTION("""COMPUTED_VALUE"""),"Cardápio Web")</f>
        <v>Cardápio Web</v>
      </c>
      <c r="P8435" s="33">
        <f>IFERROR(__xludf.DUMMYFUNCTION("""COMPUTED_VALUE"""),1.0)</f>
        <v>1</v>
      </c>
      <c r="Q8435" s="4" t="str">
        <f>IFERROR(__xludf.DUMMYFUNCTION("""COMPUTED_VALUE"""),"null")</f>
        <v>null</v>
      </c>
      <c r="R8435" s="33">
        <f>IFERROR(__xludf.DUMMYFUNCTION("""COMPUTED_VALUE"""),1.0)</f>
        <v>1</v>
      </c>
      <c r="S8435" s="4" t="str">
        <f>IFERROR(__xludf.DUMMYFUNCTION("""COMPUTED_VALUE"""),"null")</f>
        <v>null</v>
      </c>
      <c r="T8435" s="33">
        <f>IFERROR(__xludf.DUMMYFUNCTION("""COMPUTED_VALUE"""),1.0)</f>
        <v>1</v>
      </c>
      <c r="U8435" s="4" t="str">
        <f>IFERROR(__xludf.DUMMYFUNCTION("""COMPUTED_VALUE"""),"null")</f>
        <v>null</v>
      </c>
      <c r="V8435" s="33">
        <f>IFERROR(__xludf.DUMMYFUNCTION("""COMPUTED_VALUE"""),1.0)</f>
        <v>1</v>
      </c>
      <c r="W8435" s="4" t="str">
        <f>IFERROR(__xludf.DUMMYFUNCTION("""COMPUTED_VALUE"""),"null")</f>
        <v>null</v>
      </c>
      <c r="X8435" s="33">
        <f>IFERROR(__xludf.DUMMYFUNCTION("""COMPUTED_VALUE"""),1.0)</f>
        <v>1</v>
      </c>
    </row>
    <row r="8436">
      <c r="K8436" s="4" t="str">
        <f>IFERROR(__xludf.DUMMYFUNCTION("""COMPUTED_VALUE"""),"RANCHO GASTRONOMICO - MARMITAS")</f>
        <v>RANCHO GASTRONOMICO - MARMITAS</v>
      </c>
      <c r="L8436" s="32">
        <f>IFERROR(__xludf.DUMMYFUNCTION("""COMPUTED_VALUE"""),1.0)</f>
        <v>1</v>
      </c>
      <c r="M8436" s="4" t="str">
        <f>IFERROR(__xludf.DUMMYFUNCTION("""COMPUTED_VALUE"""),"Saipos Serviços De Software")</f>
        <v>Saipos Serviços De Software</v>
      </c>
      <c r="N8436" s="33">
        <f>IFERROR(__xludf.DUMMYFUNCTION("""COMPUTED_VALUE"""),1.0)</f>
        <v>1</v>
      </c>
      <c r="O8436" s="4" t="str">
        <f>IFERROR(__xludf.DUMMYFUNCTION("""COMPUTED_VALUE"""),"Saipos Serviços De Software")</f>
        <v>Saipos Serviços De Software</v>
      </c>
      <c r="P8436" s="33">
        <f>IFERROR(__xludf.DUMMYFUNCTION("""COMPUTED_VALUE"""),1.0)</f>
        <v>1</v>
      </c>
      <c r="Q8436" s="4" t="str">
        <f>IFERROR(__xludf.DUMMYFUNCTION("""COMPUTED_VALUE"""),"Saipos Serviços De Software")</f>
        <v>Saipos Serviços De Software</v>
      </c>
      <c r="R8436" s="33">
        <f>IFERROR(__xludf.DUMMYFUNCTION("""COMPUTED_VALUE"""),1.0)</f>
        <v>1</v>
      </c>
      <c r="S8436" s="4" t="str">
        <f>IFERROR(__xludf.DUMMYFUNCTION("""COMPUTED_VALUE"""),"Saipos Serviços De Software")</f>
        <v>Saipos Serviços De Software</v>
      </c>
      <c r="T8436" s="33">
        <f>IFERROR(__xludf.DUMMYFUNCTION("""COMPUTED_VALUE"""),1.0)</f>
        <v>1</v>
      </c>
      <c r="U8436" s="4" t="str">
        <f>IFERROR(__xludf.DUMMYFUNCTION("""COMPUTED_VALUE"""),"null")</f>
        <v>null</v>
      </c>
      <c r="V8436" s="33">
        <f>IFERROR(__xludf.DUMMYFUNCTION("""COMPUTED_VALUE"""),1.0)</f>
        <v>1</v>
      </c>
      <c r="W8436" s="4" t="str">
        <f>IFERROR(__xludf.DUMMYFUNCTION("""COMPUTED_VALUE"""),"null")</f>
        <v>null</v>
      </c>
      <c r="X8436" s="33">
        <f>IFERROR(__xludf.DUMMYFUNCTION("""COMPUTED_VALUE"""),1.0)</f>
        <v>1</v>
      </c>
    </row>
    <row r="8437">
      <c r="K8437" s="4" t="str">
        <f>IFERROR(__xludf.DUMMYFUNCTION("""COMPUTED_VALUE"""),"ROOT BURGUER CASTELO BRANCO")</f>
        <v>ROOT BURGUER CASTELO BRANCO</v>
      </c>
      <c r="L8437" s="32">
        <f>IFERROR(__xludf.DUMMYFUNCTION("""COMPUTED_VALUE"""),1.0)</f>
        <v>1</v>
      </c>
      <c r="M8437" s="4" t="str">
        <f>IFERROR(__xludf.DUMMYFUNCTION("""COMPUTED_VALUE"""),"Anota Ai Solucoes Digitais S/a")</f>
        <v>Anota Ai Solucoes Digitais S/a</v>
      </c>
      <c r="N8437" s="33">
        <f>IFERROR(__xludf.DUMMYFUNCTION("""COMPUTED_VALUE"""),1.0)</f>
        <v>1</v>
      </c>
      <c r="O8437" s="4" t="str">
        <f>IFERROR(__xludf.DUMMYFUNCTION("""COMPUTED_VALUE"""),"Anota Ai Solucoes Digitais S/a")</f>
        <v>Anota Ai Solucoes Digitais S/a</v>
      </c>
      <c r="P8437" s="33">
        <f>IFERROR(__xludf.DUMMYFUNCTION("""COMPUTED_VALUE"""),1.0)</f>
        <v>1</v>
      </c>
      <c r="Q8437" s="4" t="str">
        <f>IFERROR(__xludf.DUMMYFUNCTION("""COMPUTED_VALUE"""),"Anota Ai Solucoes Digitais S/a")</f>
        <v>Anota Ai Solucoes Digitais S/a</v>
      </c>
      <c r="R8437" s="33">
        <f>IFERROR(__xludf.DUMMYFUNCTION("""COMPUTED_VALUE"""),1.0)</f>
        <v>1</v>
      </c>
      <c r="S8437" s="4" t="str">
        <f>IFERROR(__xludf.DUMMYFUNCTION("""COMPUTED_VALUE"""),"Anota Ai Solucoes Digitais S/a")</f>
        <v>Anota Ai Solucoes Digitais S/a</v>
      </c>
      <c r="T8437" s="33">
        <f>IFERROR(__xludf.DUMMYFUNCTION("""COMPUTED_VALUE"""),1.0)</f>
        <v>1</v>
      </c>
      <c r="U8437" s="4" t="str">
        <f>IFERROR(__xludf.DUMMYFUNCTION("""COMPUTED_VALUE"""),"Anota Ai Solucoes Digitais S/a")</f>
        <v>Anota Ai Solucoes Digitais S/a</v>
      </c>
      <c r="V8437" s="33">
        <f>IFERROR(__xludf.DUMMYFUNCTION("""COMPUTED_VALUE"""),1.0)</f>
        <v>1</v>
      </c>
      <c r="W8437" s="4" t="str">
        <f>IFERROR(__xludf.DUMMYFUNCTION("""COMPUTED_VALUE"""),"Anota Ai Solucoes Digitais S/a")</f>
        <v>Anota Ai Solucoes Digitais S/a</v>
      </c>
      <c r="X8437" s="33">
        <f>IFERROR(__xludf.DUMMYFUNCTION("""COMPUTED_VALUE"""),1.0)</f>
        <v>1</v>
      </c>
    </row>
    <row r="8438">
      <c r="K8438" s="4" t="str">
        <f>IFERROR(__xludf.DUMMYFUNCTION("""COMPUTED_VALUE"""),"TABERNA DA CARNE - RESTAURANTE")</f>
        <v>TABERNA DA CARNE - RESTAURANTE</v>
      </c>
      <c r="L8438" s="32">
        <f>IFERROR(__xludf.DUMMYFUNCTION("""COMPUTED_VALUE"""),1.0)</f>
        <v>1</v>
      </c>
      <c r="M8438" s="4" t="str">
        <f>IFERROR(__xludf.DUMMYFUNCTION("""COMPUTED_VALUE"""),"Solução Sistemas")</f>
        <v>Solução Sistemas</v>
      </c>
      <c r="N8438" s="33">
        <f>IFERROR(__xludf.DUMMYFUNCTION("""COMPUTED_VALUE"""),1.0)</f>
        <v>1</v>
      </c>
      <c r="O8438" s="4" t="str">
        <f>IFERROR(__xludf.DUMMYFUNCTION("""COMPUTED_VALUE"""),"Dalcatech Automacao E Desenvolvimento De Software Ltda")</f>
        <v>Dalcatech Automacao E Desenvolvimento De Software Ltda</v>
      </c>
      <c r="P8438" s="33">
        <f>IFERROR(__xludf.DUMMYFUNCTION("""COMPUTED_VALUE"""),1.0)</f>
        <v>1</v>
      </c>
      <c r="Q8438" s="4" t="str">
        <f>IFERROR(__xludf.DUMMYFUNCTION("""COMPUTED_VALUE"""),"Dalcatech Automacao E Desenvolvimento De Software Ltda")</f>
        <v>Dalcatech Automacao E Desenvolvimento De Software Ltda</v>
      </c>
      <c r="R8438" s="33">
        <f>IFERROR(__xludf.DUMMYFUNCTION("""COMPUTED_VALUE"""),1.0)</f>
        <v>1</v>
      </c>
      <c r="S8438" s="4" t="str">
        <f>IFERROR(__xludf.DUMMYFUNCTION("""COMPUTED_VALUE"""),"Dalcatech Automacao E Desenvolvimento De Software Ltda")</f>
        <v>Dalcatech Automacao E Desenvolvimento De Software Ltda</v>
      </c>
      <c r="T8438" s="33">
        <f>IFERROR(__xludf.DUMMYFUNCTION("""COMPUTED_VALUE"""),1.0)</f>
        <v>1</v>
      </c>
      <c r="U8438" s="4" t="str">
        <f>IFERROR(__xludf.DUMMYFUNCTION("""COMPUTED_VALUE"""),"Dalcatech Automacao E Desenvolvimento De Software Ltda")</f>
        <v>Dalcatech Automacao E Desenvolvimento De Software Ltda</v>
      </c>
      <c r="V8438" s="33">
        <f>IFERROR(__xludf.DUMMYFUNCTION("""COMPUTED_VALUE"""),1.0)</f>
        <v>1</v>
      </c>
      <c r="W8438" s="4" t="str">
        <f>IFERROR(__xludf.DUMMYFUNCTION("""COMPUTED_VALUE"""),"Dalcatech Automacao E Desenvolvimento De Software Ltda")</f>
        <v>Dalcatech Automacao E Desenvolvimento De Software Ltda</v>
      </c>
      <c r="X8438" s="33">
        <f>IFERROR(__xludf.DUMMYFUNCTION("""COMPUTED_VALUE"""),1.0)</f>
        <v>1</v>
      </c>
    </row>
    <row r="8439">
      <c r="K8439" s="4" t="str">
        <f>IFERROR(__xludf.DUMMYFUNCTION("""COMPUTED_VALUE"""),"O PADEIRO RODEIO")</f>
        <v>O PADEIRO RODEIO</v>
      </c>
      <c r="L8439" s="32">
        <f>IFERROR(__xludf.DUMMYFUNCTION("""COMPUTED_VALUE"""),1.0)</f>
        <v>1</v>
      </c>
      <c r="M8439" s="4" t="str">
        <f>IFERROR(__xludf.DUMMYFUNCTION("""COMPUTED_VALUE"""),"Swfast Sistemas")</f>
        <v>Swfast Sistemas</v>
      </c>
      <c r="N8439" s="33">
        <f>IFERROR(__xludf.DUMMYFUNCTION("""COMPUTED_VALUE"""),1.0)</f>
        <v>1</v>
      </c>
      <c r="O8439" s="4" t="str">
        <f>IFERROR(__xludf.DUMMYFUNCTION("""COMPUTED_VALUE"""),"Swfast Sistemas")</f>
        <v>Swfast Sistemas</v>
      </c>
      <c r="P8439" s="33">
        <f>IFERROR(__xludf.DUMMYFUNCTION("""COMPUTED_VALUE"""),1.0)</f>
        <v>1</v>
      </c>
      <c r="Q8439" s="4" t="str">
        <f>IFERROR(__xludf.DUMMYFUNCTION("""COMPUTED_VALUE"""),"Swfast Sistemas")</f>
        <v>Swfast Sistemas</v>
      </c>
      <c r="R8439" s="33">
        <f>IFERROR(__xludf.DUMMYFUNCTION("""COMPUTED_VALUE"""),1.0)</f>
        <v>1</v>
      </c>
      <c r="S8439" s="4" t="str">
        <f>IFERROR(__xludf.DUMMYFUNCTION("""COMPUTED_VALUE"""),"Swfast Sistemas")</f>
        <v>Swfast Sistemas</v>
      </c>
      <c r="T8439" s="33">
        <f>IFERROR(__xludf.DUMMYFUNCTION("""COMPUTED_VALUE"""),1.0)</f>
        <v>1</v>
      </c>
      <c r="U8439" s="4" t="str">
        <f>IFERROR(__xludf.DUMMYFUNCTION("""COMPUTED_VALUE"""),"null")</f>
        <v>null</v>
      </c>
      <c r="V8439" s="33">
        <f>IFERROR(__xludf.DUMMYFUNCTION("""COMPUTED_VALUE"""),1.0)</f>
        <v>1</v>
      </c>
      <c r="W8439" s="4" t="str">
        <f>IFERROR(__xludf.DUMMYFUNCTION("""COMPUTED_VALUE"""),"Swfast Sistemas")</f>
        <v>Swfast Sistemas</v>
      </c>
      <c r="X8439" s="33">
        <f>IFERROR(__xludf.DUMMYFUNCTION("""COMPUTED_VALUE"""),1.0)</f>
        <v>1</v>
      </c>
    </row>
    <row r="8440">
      <c r="K8440" s="4" t="str">
        <f>IFERROR(__xludf.DUMMYFUNCTION("""COMPUTED_VALUE"""),"CANDY GOLD DOCERIA, BOLOS E DOCES")</f>
        <v>CANDY GOLD DOCERIA, BOLOS E DOCES</v>
      </c>
      <c r="L8440" s="32">
        <f>IFERROR(__xludf.DUMMYFUNCTION("""COMPUTED_VALUE"""),1.0)</f>
        <v>1</v>
      </c>
      <c r="M8440" s="4" t="str">
        <f>IFERROR(__xludf.DUMMYFUNCTION("""COMPUTED_VALUE"""),"Instadelivery")</f>
        <v>Instadelivery</v>
      </c>
      <c r="N8440" s="33">
        <f>IFERROR(__xludf.DUMMYFUNCTION("""COMPUTED_VALUE"""),1.0)</f>
        <v>1</v>
      </c>
      <c r="O8440" s="4" t="str">
        <f>IFERROR(__xludf.DUMMYFUNCTION("""COMPUTED_VALUE"""),"Instadelivery")</f>
        <v>Instadelivery</v>
      </c>
      <c r="P8440" s="33">
        <f>IFERROR(__xludf.DUMMYFUNCTION("""COMPUTED_VALUE"""),1.0)</f>
        <v>1</v>
      </c>
      <c r="Q8440" s="4" t="str">
        <f>IFERROR(__xludf.DUMMYFUNCTION("""COMPUTED_VALUE"""),"Instadelivery")</f>
        <v>Instadelivery</v>
      </c>
      <c r="R8440" s="33">
        <f>IFERROR(__xludf.DUMMYFUNCTION("""COMPUTED_VALUE"""),1.0)</f>
        <v>1</v>
      </c>
      <c r="S8440" s="4" t="str">
        <f>IFERROR(__xludf.DUMMYFUNCTION("""COMPUTED_VALUE"""),"Instadelivery")</f>
        <v>Instadelivery</v>
      </c>
      <c r="T8440" s="33">
        <f>IFERROR(__xludf.DUMMYFUNCTION("""COMPUTED_VALUE"""),1.0)</f>
        <v>1</v>
      </c>
      <c r="U8440" s="4" t="str">
        <f>IFERROR(__xludf.DUMMYFUNCTION("""COMPUTED_VALUE"""),"Instadelivery")</f>
        <v>Instadelivery</v>
      </c>
      <c r="V8440" s="33">
        <f>IFERROR(__xludf.DUMMYFUNCTION("""COMPUTED_VALUE"""),1.0)</f>
        <v>1</v>
      </c>
      <c r="W8440" s="4" t="str">
        <f>IFERROR(__xludf.DUMMYFUNCTION("""COMPUTED_VALUE"""),"Instadelivery")</f>
        <v>Instadelivery</v>
      </c>
      <c r="X8440" s="33">
        <f>IFERROR(__xludf.DUMMYFUNCTION("""COMPUTED_VALUE"""),1.0)</f>
        <v>1</v>
      </c>
    </row>
    <row r="8441">
      <c r="K8441" s="4" t="str">
        <f>IFERROR(__xludf.DUMMYFUNCTION("""COMPUTED_VALUE"""),"AGROVET SAO FRANCISCO")</f>
        <v>AGROVET SAO FRANCISCO</v>
      </c>
      <c r="L8441" s="32">
        <f>IFERROR(__xludf.DUMMYFUNCTION("""COMPUTED_VALUE"""),1.0)</f>
        <v>1</v>
      </c>
      <c r="M8441" s="4" t="str">
        <f>IFERROR(__xludf.DUMMYFUNCTION("""COMPUTED_VALUE"""),"null")</f>
        <v>null</v>
      </c>
      <c r="N8441" s="33">
        <f>IFERROR(__xludf.DUMMYFUNCTION("""COMPUTED_VALUE"""),1.0)</f>
        <v>1</v>
      </c>
      <c r="O8441" s="4" t="str">
        <f>IFERROR(__xludf.DUMMYFUNCTION("""COMPUTED_VALUE"""),"N/A (Not found)")</f>
        <v>N/A (Not found)</v>
      </c>
      <c r="P8441" s="33">
        <f>IFERROR(__xludf.DUMMYFUNCTION("""COMPUTED_VALUE"""),1.0)</f>
        <v>1</v>
      </c>
      <c r="Q8441" s="4" t="str">
        <f>IFERROR(__xludf.DUMMYFUNCTION("""COMPUTED_VALUE"""),"N/A (Not found)")</f>
        <v>N/A (Not found)</v>
      </c>
      <c r="R8441" s="33">
        <f>IFERROR(__xludf.DUMMYFUNCTION("""COMPUTED_VALUE"""),1.0)</f>
        <v>1</v>
      </c>
      <c r="S8441" s="4" t="str">
        <f>IFERROR(__xludf.DUMMYFUNCTION("""COMPUTED_VALUE"""),"N/A (Not found)")</f>
        <v>N/A (Not found)</v>
      </c>
      <c r="T8441" s="33">
        <f>IFERROR(__xludf.DUMMYFUNCTION("""COMPUTED_VALUE"""),1.0)</f>
        <v>1</v>
      </c>
      <c r="U8441" s="4" t="str">
        <f>IFERROR(__xludf.DUMMYFUNCTION("""COMPUTED_VALUE"""),"N/A (Not found)")</f>
        <v>N/A (Not found)</v>
      </c>
      <c r="V8441" s="33">
        <f>IFERROR(__xludf.DUMMYFUNCTION("""COMPUTED_VALUE"""),1.0)</f>
        <v>1</v>
      </c>
      <c r="W8441" s="4" t="str">
        <f>IFERROR(__xludf.DUMMYFUNCTION("""COMPUTED_VALUE"""),"null")</f>
        <v>null</v>
      </c>
      <c r="X8441" s="33">
        <f>IFERROR(__xludf.DUMMYFUNCTION("""COMPUTED_VALUE"""),1.0)</f>
        <v>1</v>
      </c>
    </row>
    <row r="8442">
      <c r="K8442" s="4" t="str">
        <f>IFERROR(__xludf.DUMMYFUNCTION("""COMPUTED_VALUE"""),"MO KITCHEN GRILL")</f>
        <v>MO KITCHEN GRILL</v>
      </c>
      <c r="L8442" s="32">
        <f>IFERROR(__xludf.DUMMYFUNCTION("""COMPUTED_VALUE"""),1.0)</f>
        <v>1</v>
      </c>
      <c r="M8442" s="4" t="str">
        <f>IFERROR(__xludf.DUMMYFUNCTION("""COMPUTED_VALUE"""),"Instadelivery")</f>
        <v>Instadelivery</v>
      </c>
      <c r="N8442" s="33">
        <f>IFERROR(__xludf.DUMMYFUNCTION("""COMPUTED_VALUE"""),1.0)</f>
        <v>1</v>
      </c>
      <c r="O8442" s="4" t="str">
        <f>IFERROR(__xludf.DUMMYFUNCTION("""COMPUTED_VALUE"""),"Instadelivery")</f>
        <v>Instadelivery</v>
      </c>
      <c r="P8442" s="33">
        <f>IFERROR(__xludf.DUMMYFUNCTION("""COMPUTED_VALUE"""),1.0)</f>
        <v>1</v>
      </c>
      <c r="Q8442" s="4" t="str">
        <f>IFERROR(__xludf.DUMMYFUNCTION("""COMPUTED_VALUE"""),"Instadelivery")</f>
        <v>Instadelivery</v>
      </c>
      <c r="R8442" s="33">
        <f>IFERROR(__xludf.DUMMYFUNCTION("""COMPUTED_VALUE"""),1.0)</f>
        <v>1</v>
      </c>
      <c r="S8442" s="4" t="str">
        <f>IFERROR(__xludf.DUMMYFUNCTION("""COMPUTED_VALUE"""),"Instadelivery")</f>
        <v>Instadelivery</v>
      </c>
      <c r="T8442" s="33">
        <f>IFERROR(__xludf.DUMMYFUNCTION("""COMPUTED_VALUE"""),1.0)</f>
        <v>1</v>
      </c>
      <c r="U8442" s="4" t="str">
        <f>IFERROR(__xludf.DUMMYFUNCTION("""COMPUTED_VALUE"""),"Instadelivery")</f>
        <v>Instadelivery</v>
      </c>
      <c r="V8442" s="33">
        <f>IFERROR(__xludf.DUMMYFUNCTION("""COMPUTED_VALUE"""),1.0)</f>
        <v>1</v>
      </c>
      <c r="W8442" s="4" t="str">
        <f>IFERROR(__xludf.DUMMYFUNCTION("""COMPUTED_VALUE"""),"Instadelivery")</f>
        <v>Instadelivery</v>
      </c>
      <c r="X8442" s="33">
        <f>IFERROR(__xludf.DUMMYFUNCTION("""COMPUTED_VALUE"""),1.0)</f>
        <v>1</v>
      </c>
    </row>
    <row r="8443">
      <c r="K8443" s="4" t="str">
        <f>IFERROR(__xludf.DUMMYFUNCTION("""COMPUTED_VALUE"""),"SALGADO ARTE - SALGADOS E PETISCOS")</f>
        <v>SALGADO ARTE - SALGADOS E PETISCOS</v>
      </c>
      <c r="L8443" s="32">
        <f>IFERROR(__xludf.DUMMYFUNCTION("""COMPUTED_VALUE"""),1.0)</f>
        <v>1</v>
      </c>
      <c r="M8443" s="4" t="str">
        <f>IFERROR(__xludf.DUMMYFUNCTION("""COMPUTED_VALUE"""),"null")</f>
        <v>null</v>
      </c>
      <c r="N8443" s="33">
        <f>IFERROR(__xludf.DUMMYFUNCTION("""COMPUTED_VALUE"""),1.0)</f>
        <v>1</v>
      </c>
      <c r="O8443" s="4" t="str">
        <f>IFERROR(__xludf.DUMMYFUNCTION("""COMPUTED_VALUE"""),"Anota Ai Solucoes Digitais S/a")</f>
        <v>Anota Ai Solucoes Digitais S/a</v>
      </c>
      <c r="P8443" s="33">
        <f>IFERROR(__xludf.DUMMYFUNCTION("""COMPUTED_VALUE"""),1.0)</f>
        <v>1</v>
      </c>
      <c r="Q8443" s="4" t="str">
        <f>IFERROR(__xludf.DUMMYFUNCTION("""COMPUTED_VALUE"""),"Anota Ai Solucoes Digitais S/a")</f>
        <v>Anota Ai Solucoes Digitais S/a</v>
      </c>
      <c r="R8443" s="33">
        <f>IFERROR(__xludf.DUMMYFUNCTION("""COMPUTED_VALUE"""),1.0)</f>
        <v>1</v>
      </c>
      <c r="S8443" s="4" t="str">
        <f>IFERROR(__xludf.DUMMYFUNCTION("""COMPUTED_VALUE"""),"Anota Ai Solucoes Digitais S/a")</f>
        <v>Anota Ai Solucoes Digitais S/a</v>
      </c>
      <c r="T8443" s="33">
        <f>IFERROR(__xludf.DUMMYFUNCTION("""COMPUTED_VALUE"""),1.0)</f>
        <v>1</v>
      </c>
      <c r="U8443" s="4" t="str">
        <f>IFERROR(__xludf.DUMMYFUNCTION("""COMPUTED_VALUE"""),"Anota Ai Solucoes Digitais S/a")</f>
        <v>Anota Ai Solucoes Digitais S/a</v>
      </c>
      <c r="V8443" s="33">
        <f>IFERROR(__xludf.DUMMYFUNCTION("""COMPUTED_VALUE"""),1.0)</f>
        <v>1</v>
      </c>
      <c r="W8443" s="4" t="str">
        <f>IFERROR(__xludf.DUMMYFUNCTION("""COMPUTED_VALUE"""),"Anota Ai Solucoes Digitais S/a")</f>
        <v>Anota Ai Solucoes Digitais S/a</v>
      </c>
      <c r="X8443" s="33">
        <f>IFERROR(__xludf.DUMMYFUNCTION("""COMPUTED_VALUE"""),1.0)</f>
        <v>1</v>
      </c>
    </row>
    <row r="8444">
      <c r="K8444" s="4" t="str">
        <f>IFERROR(__xludf.DUMMYFUNCTION("""COMPUTED_VALUE"""),"TAIY")</f>
        <v>TAIY</v>
      </c>
      <c r="L8444" s="32">
        <f>IFERROR(__xludf.DUMMYFUNCTION("""COMPUTED_VALUE"""),1.0)</f>
        <v>1</v>
      </c>
      <c r="M8444" s="4" t="str">
        <f>IFERROR(__xludf.DUMMYFUNCTION("""COMPUTED_VALUE"""),"Instadelivery")</f>
        <v>Instadelivery</v>
      </c>
      <c r="N8444" s="33">
        <f>IFERROR(__xludf.DUMMYFUNCTION("""COMPUTED_VALUE"""),1.0)</f>
        <v>1</v>
      </c>
      <c r="O8444" s="4" t="str">
        <f>IFERROR(__xludf.DUMMYFUNCTION("""COMPUTED_VALUE"""),"Instadelivery")</f>
        <v>Instadelivery</v>
      </c>
      <c r="P8444" s="33">
        <f>IFERROR(__xludf.DUMMYFUNCTION("""COMPUTED_VALUE"""),1.0)</f>
        <v>1</v>
      </c>
      <c r="Q8444" s="4" t="str">
        <f>IFERROR(__xludf.DUMMYFUNCTION("""COMPUTED_VALUE"""),"Instadelivery")</f>
        <v>Instadelivery</v>
      </c>
      <c r="R8444" s="33">
        <f>IFERROR(__xludf.DUMMYFUNCTION("""COMPUTED_VALUE"""),1.0)</f>
        <v>1</v>
      </c>
      <c r="S8444" s="4" t="str">
        <f>IFERROR(__xludf.DUMMYFUNCTION("""COMPUTED_VALUE"""),"Instadelivery")</f>
        <v>Instadelivery</v>
      </c>
      <c r="T8444" s="33">
        <f>IFERROR(__xludf.DUMMYFUNCTION("""COMPUTED_VALUE"""),1.0)</f>
        <v>1</v>
      </c>
      <c r="U8444" s="4" t="str">
        <f>IFERROR(__xludf.DUMMYFUNCTION("""COMPUTED_VALUE"""),"Saipos Serviços De Software")</f>
        <v>Saipos Serviços De Software</v>
      </c>
      <c r="V8444" s="33">
        <f>IFERROR(__xludf.DUMMYFUNCTION("""COMPUTED_VALUE"""),1.0)</f>
        <v>1</v>
      </c>
      <c r="W8444" s="4" t="str">
        <f>IFERROR(__xludf.DUMMYFUNCTION("""COMPUTED_VALUE"""),"Saipos Serviços De Software")</f>
        <v>Saipos Serviços De Software</v>
      </c>
      <c r="X8444" s="33">
        <f>IFERROR(__xludf.DUMMYFUNCTION("""COMPUTED_VALUE"""),1.0)</f>
        <v>1</v>
      </c>
    </row>
    <row r="8445">
      <c r="K8445" s="4" t="str">
        <f>IFERROR(__xludf.DUMMYFUNCTION("""COMPUTED_VALUE"""),"DOCE ACAI - O MELHOR E MAIS BARATO DA CIDADE")</f>
        <v>DOCE ACAI - O MELHOR E MAIS BARATO DA CIDADE</v>
      </c>
      <c r="L8445" s="32">
        <f>IFERROR(__xludf.DUMMYFUNCTION("""COMPUTED_VALUE"""),1.0)</f>
        <v>1</v>
      </c>
      <c r="M8445" s="4" t="str">
        <f>IFERROR(__xludf.DUMMYFUNCTION("""COMPUTED_VALUE"""),"Saipos Serviços De Software")</f>
        <v>Saipos Serviços De Software</v>
      </c>
      <c r="N8445" s="33">
        <f>IFERROR(__xludf.DUMMYFUNCTION("""COMPUTED_VALUE"""),1.0)</f>
        <v>1</v>
      </c>
      <c r="O8445" s="4" t="str">
        <f>IFERROR(__xludf.DUMMYFUNCTION("""COMPUTED_VALUE"""),"Saipos Serviços De Software")</f>
        <v>Saipos Serviços De Software</v>
      </c>
      <c r="P8445" s="33">
        <f>IFERROR(__xludf.DUMMYFUNCTION("""COMPUTED_VALUE"""),1.0)</f>
        <v>1</v>
      </c>
      <c r="Q8445" s="4" t="str">
        <f>IFERROR(__xludf.DUMMYFUNCTION("""COMPUTED_VALUE"""),"Saipos Serviços De Software")</f>
        <v>Saipos Serviços De Software</v>
      </c>
      <c r="R8445" s="33">
        <f>IFERROR(__xludf.DUMMYFUNCTION("""COMPUTED_VALUE"""),1.0)</f>
        <v>1</v>
      </c>
      <c r="S8445" s="4" t="str">
        <f>IFERROR(__xludf.DUMMYFUNCTION("""COMPUTED_VALUE"""),"Saipos Serviços De Software")</f>
        <v>Saipos Serviços De Software</v>
      </c>
      <c r="T8445" s="33">
        <f>IFERROR(__xludf.DUMMYFUNCTION("""COMPUTED_VALUE"""),1.0)</f>
        <v>1</v>
      </c>
      <c r="U8445" s="4" t="str">
        <f>IFERROR(__xludf.DUMMYFUNCTION("""COMPUTED_VALUE"""),"Saipos Serviços De Software")</f>
        <v>Saipos Serviços De Software</v>
      </c>
      <c r="V8445" s="33">
        <f>IFERROR(__xludf.DUMMYFUNCTION("""COMPUTED_VALUE"""),1.0)</f>
        <v>1</v>
      </c>
      <c r="W8445" s="4" t="str">
        <f>IFERROR(__xludf.DUMMYFUNCTION("""COMPUTED_VALUE"""),"Saipos Serviços De Software")</f>
        <v>Saipos Serviços De Software</v>
      </c>
      <c r="X8445" s="33">
        <f>IFERROR(__xludf.DUMMYFUNCTION("""COMPUTED_VALUE"""),1.0)</f>
        <v>1</v>
      </c>
    </row>
    <row r="8446">
      <c r="K8446" s="4" t="str">
        <f>IFERROR(__xludf.DUMMYFUNCTION("""COMPUTED_VALUE"""),"SR FILET ABRAO THOME")</f>
        <v>SR FILET ABRAO THOME</v>
      </c>
      <c r="L8446" s="32">
        <f>IFERROR(__xludf.DUMMYFUNCTION("""COMPUTED_VALUE"""),1.0)</f>
        <v>1</v>
      </c>
      <c r="M8446" s="4" t="str">
        <f>IFERROR(__xludf.DUMMYFUNCTION("""COMPUTED_VALUE"""),"Waybe Soluções Em Tecnologia Da Informação Ltda")</f>
        <v>Waybe Soluções Em Tecnologia Da Informação Ltda</v>
      </c>
      <c r="N8446" s="33">
        <f>IFERROR(__xludf.DUMMYFUNCTION("""COMPUTED_VALUE"""),1.0)</f>
        <v>1</v>
      </c>
      <c r="O8446" s="4" t="str">
        <f>IFERROR(__xludf.DUMMYFUNCTION("""COMPUTED_VALUE"""),"Waybe Soluções Em Tecnologia Da Informação Ltda")</f>
        <v>Waybe Soluções Em Tecnologia Da Informação Ltda</v>
      </c>
      <c r="P8446" s="33">
        <f>IFERROR(__xludf.DUMMYFUNCTION("""COMPUTED_VALUE"""),1.0)</f>
        <v>1</v>
      </c>
      <c r="Q8446" s="4" t="str">
        <f>IFERROR(__xludf.DUMMYFUNCTION("""COMPUTED_VALUE"""),"Waybe Soluções Em Tecnologia Da Informação Ltda")</f>
        <v>Waybe Soluções Em Tecnologia Da Informação Ltda</v>
      </c>
      <c r="R8446" s="33">
        <f>IFERROR(__xludf.DUMMYFUNCTION("""COMPUTED_VALUE"""),1.0)</f>
        <v>1</v>
      </c>
      <c r="S8446" s="4" t="str">
        <f>IFERROR(__xludf.DUMMYFUNCTION("""COMPUTED_VALUE"""),"Waybe Soluções Em Tecnologia Da Informação Ltda")</f>
        <v>Waybe Soluções Em Tecnologia Da Informação Ltda</v>
      </c>
      <c r="T8446" s="33">
        <f>IFERROR(__xludf.DUMMYFUNCTION("""COMPUTED_VALUE"""),1.0)</f>
        <v>1</v>
      </c>
      <c r="U8446" s="4" t="str">
        <f>IFERROR(__xludf.DUMMYFUNCTION("""COMPUTED_VALUE"""),"Waybe Soluções Em Tecnologia Da Informação Ltda")</f>
        <v>Waybe Soluções Em Tecnologia Da Informação Ltda</v>
      </c>
      <c r="V8446" s="33">
        <f>IFERROR(__xludf.DUMMYFUNCTION("""COMPUTED_VALUE"""),1.0)</f>
        <v>1</v>
      </c>
      <c r="W8446" s="4" t="str">
        <f>IFERROR(__xludf.DUMMYFUNCTION("""COMPUTED_VALUE"""),"Waybe Soluções Em Tecnologia Da Informação Ltda")</f>
        <v>Waybe Soluções Em Tecnologia Da Informação Ltda</v>
      </c>
      <c r="X8446" s="33">
        <f>IFERROR(__xludf.DUMMYFUNCTION("""COMPUTED_VALUE"""),1.0)</f>
        <v>1</v>
      </c>
    </row>
    <row r="8447">
      <c r="K8447" s="4" t="str">
        <f>IFERROR(__xludf.DUMMYFUNCTION("""COMPUTED_VALUE"""),"PIZZARIA CRISTINY")</f>
        <v>PIZZARIA CRISTINY</v>
      </c>
      <c r="L8447" s="32">
        <f>IFERROR(__xludf.DUMMYFUNCTION("""COMPUTED_VALUE"""),1.0)</f>
        <v>1</v>
      </c>
      <c r="M8447" s="4" t="str">
        <f>IFERROR(__xludf.DUMMYFUNCTION("""COMPUTED_VALUE"""),"null")</f>
        <v>null</v>
      </c>
      <c r="N8447" s="33">
        <f>IFERROR(__xludf.DUMMYFUNCTION("""COMPUTED_VALUE"""),1.0)</f>
        <v>1</v>
      </c>
      <c r="O8447" s="4" t="str">
        <f>IFERROR(__xludf.DUMMYFUNCTION("""COMPUTED_VALUE"""),"null")</f>
        <v>null</v>
      </c>
      <c r="P8447" s="33">
        <f>IFERROR(__xludf.DUMMYFUNCTION("""COMPUTED_VALUE"""),1.0)</f>
        <v>1</v>
      </c>
      <c r="Q8447" s="4" t="str">
        <f>IFERROR(__xludf.DUMMYFUNCTION("""COMPUTED_VALUE"""),"Saipos Serviços De Software")</f>
        <v>Saipos Serviços De Software</v>
      </c>
      <c r="R8447" s="33">
        <f>IFERROR(__xludf.DUMMYFUNCTION("""COMPUTED_VALUE"""),1.0)</f>
        <v>1</v>
      </c>
      <c r="S8447" s="4" t="str">
        <f>IFERROR(__xludf.DUMMYFUNCTION("""COMPUTED_VALUE"""),"Saipos Serviços De Software")</f>
        <v>Saipos Serviços De Software</v>
      </c>
      <c r="T8447" s="33">
        <f>IFERROR(__xludf.DUMMYFUNCTION("""COMPUTED_VALUE"""),1.0)</f>
        <v>1</v>
      </c>
      <c r="U8447" s="4" t="str">
        <f>IFERROR(__xludf.DUMMYFUNCTION("""COMPUTED_VALUE"""),"Saipos Serviços De Software")</f>
        <v>Saipos Serviços De Software</v>
      </c>
      <c r="V8447" s="33">
        <f>IFERROR(__xludf.DUMMYFUNCTION("""COMPUTED_VALUE"""),1.0)</f>
        <v>1</v>
      </c>
      <c r="W8447" s="4" t="str">
        <f>IFERROR(__xludf.DUMMYFUNCTION("""COMPUTED_VALUE"""),"Saipos Serviços De Software")</f>
        <v>Saipos Serviços De Software</v>
      </c>
      <c r="X8447" s="33">
        <f>IFERROR(__xludf.DUMMYFUNCTION("""COMPUTED_VALUE"""),1.0)</f>
        <v>1</v>
      </c>
    </row>
    <row r="8448">
      <c r="K8448" s="4" t="str">
        <f>IFERROR(__xludf.DUMMYFUNCTION("""COMPUTED_VALUE"""),"RAVIS JARDIM LETICIA")</f>
        <v>RAVIS JARDIM LETICIA</v>
      </c>
      <c r="L8448" s="32">
        <f>IFERROR(__xludf.DUMMYFUNCTION("""COMPUTED_VALUE"""),1.0)</f>
        <v>1</v>
      </c>
      <c r="M8448" s="4" t="str">
        <f>IFERROR(__xludf.DUMMYFUNCTION("""COMPUTED_VALUE"""),"Anota Ai Solucoes Digitais S/a")</f>
        <v>Anota Ai Solucoes Digitais S/a</v>
      </c>
      <c r="N8448" s="33">
        <f>IFERROR(__xludf.DUMMYFUNCTION("""COMPUTED_VALUE"""),1.0)</f>
        <v>1</v>
      </c>
      <c r="O8448" s="4" t="str">
        <f>IFERROR(__xludf.DUMMYFUNCTION("""COMPUTED_VALUE"""),"null")</f>
        <v>null</v>
      </c>
      <c r="P8448" s="33">
        <f>IFERROR(__xludf.DUMMYFUNCTION("""COMPUTED_VALUE"""),1.0)</f>
        <v>1</v>
      </c>
      <c r="Q8448" s="4" t="str">
        <f>IFERROR(__xludf.DUMMYFUNCTION("""COMPUTED_VALUE"""),"Anota Ai Solucoes Digitais S/a")</f>
        <v>Anota Ai Solucoes Digitais S/a</v>
      </c>
      <c r="R8448" s="33">
        <f>IFERROR(__xludf.DUMMYFUNCTION("""COMPUTED_VALUE"""),1.0)</f>
        <v>1</v>
      </c>
      <c r="S8448" s="4" t="str">
        <f>IFERROR(__xludf.DUMMYFUNCTION("""COMPUTED_VALUE"""),"Anota Ai Solucoes Digitais S/a")</f>
        <v>Anota Ai Solucoes Digitais S/a</v>
      </c>
      <c r="T8448" s="33">
        <f>IFERROR(__xludf.DUMMYFUNCTION("""COMPUTED_VALUE"""),1.0)</f>
        <v>1</v>
      </c>
      <c r="U8448" s="4" t="str">
        <f>IFERROR(__xludf.DUMMYFUNCTION("""COMPUTED_VALUE"""),"Anota Ai Solucoes Digitais S/a")</f>
        <v>Anota Ai Solucoes Digitais S/a</v>
      </c>
      <c r="V8448" s="33">
        <f>IFERROR(__xludf.DUMMYFUNCTION("""COMPUTED_VALUE"""),1.0)</f>
        <v>1</v>
      </c>
      <c r="W8448" s="4" t="str">
        <f>IFERROR(__xludf.DUMMYFUNCTION("""COMPUTED_VALUE"""),"Anota Ai Solucoes Digitais S/a")</f>
        <v>Anota Ai Solucoes Digitais S/a</v>
      </c>
      <c r="X8448" s="33">
        <f>IFERROR(__xludf.DUMMYFUNCTION("""COMPUTED_VALUE"""),1.0)</f>
        <v>1</v>
      </c>
    </row>
    <row r="8449">
      <c r="K8449" s="4" t="str">
        <f>IFERROR(__xludf.DUMMYFUNCTION("""COMPUTED_VALUE"""),"ROMANITALIA PIZZAS ROMANAS")</f>
        <v>ROMANITALIA PIZZAS ROMANAS</v>
      </c>
      <c r="L8449" s="32">
        <f>IFERROR(__xludf.DUMMYFUNCTION("""COMPUTED_VALUE"""),1.0)</f>
        <v>1</v>
      </c>
      <c r="M8449" s="4" t="str">
        <f>IFERROR(__xludf.DUMMYFUNCTION("""COMPUTED_VALUE"""),"Cardápio Web")</f>
        <v>Cardápio Web</v>
      </c>
      <c r="N8449" s="33">
        <f>IFERROR(__xludf.DUMMYFUNCTION("""COMPUTED_VALUE"""),1.0)</f>
        <v>1</v>
      </c>
      <c r="O8449" s="4" t="str">
        <f>IFERROR(__xludf.DUMMYFUNCTION("""COMPUTED_VALUE"""),"Cardápio Web")</f>
        <v>Cardápio Web</v>
      </c>
      <c r="P8449" s="33">
        <f>IFERROR(__xludf.DUMMYFUNCTION("""COMPUTED_VALUE"""),1.0)</f>
        <v>1</v>
      </c>
      <c r="Q8449" s="4" t="str">
        <f>IFERROR(__xludf.DUMMYFUNCTION("""COMPUTED_VALUE"""),"Cardápio Web")</f>
        <v>Cardápio Web</v>
      </c>
      <c r="R8449" s="33">
        <f>IFERROR(__xludf.DUMMYFUNCTION("""COMPUTED_VALUE"""),1.0)</f>
        <v>1</v>
      </c>
      <c r="S8449" s="4" t="str">
        <f>IFERROR(__xludf.DUMMYFUNCTION("""COMPUTED_VALUE"""),"Cardápio Web")</f>
        <v>Cardápio Web</v>
      </c>
      <c r="T8449" s="33">
        <f>IFERROR(__xludf.DUMMYFUNCTION("""COMPUTED_VALUE"""),1.0)</f>
        <v>1</v>
      </c>
      <c r="U8449" s="4" t="str">
        <f>IFERROR(__xludf.DUMMYFUNCTION("""COMPUTED_VALUE"""),"Cardápio Web")</f>
        <v>Cardápio Web</v>
      </c>
      <c r="V8449" s="33">
        <f>IFERROR(__xludf.DUMMYFUNCTION("""COMPUTED_VALUE"""),1.0)</f>
        <v>1</v>
      </c>
      <c r="W8449" s="4" t="str">
        <f>IFERROR(__xludf.DUMMYFUNCTION("""COMPUTED_VALUE"""),"null")</f>
        <v>null</v>
      </c>
      <c r="X8449" s="33">
        <f>IFERROR(__xludf.DUMMYFUNCTION("""COMPUTED_VALUE"""),1.0)</f>
        <v>1</v>
      </c>
    </row>
    <row r="8450">
      <c r="K8450" s="4" t="str">
        <f>IFERROR(__xludf.DUMMYFUNCTION("""COMPUTED_VALUE"""),"MARMITEX RESTAURANTE LU VIOLA")</f>
        <v>MARMITEX RESTAURANTE LU VIOLA</v>
      </c>
      <c r="L8450" s="32">
        <f>IFERROR(__xludf.DUMMYFUNCTION("""COMPUTED_VALUE"""),1.0)</f>
        <v>1</v>
      </c>
      <c r="M8450" s="4" t="str">
        <f>IFERROR(__xludf.DUMMYFUNCTION("""COMPUTED_VALUE"""),"Parseint Desenvolvimento De Sistemas Ltda")</f>
        <v>Parseint Desenvolvimento De Sistemas Ltda</v>
      </c>
      <c r="N8450" s="33">
        <f>IFERROR(__xludf.DUMMYFUNCTION("""COMPUTED_VALUE"""),1.0)</f>
        <v>1</v>
      </c>
      <c r="O8450" s="4" t="str">
        <f>IFERROR(__xludf.DUMMYFUNCTION("""COMPUTED_VALUE"""),"Parseint Desenvolvimento De Sistemas Ltda")</f>
        <v>Parseint Desenvolvimento De Sistemas Ltda</v>
      </c>
      <c r="P8450" s="33">
        <f>IFERROR(__xludf.DUMMYFUNCTION("""COMPUTED_VALUE"""),1.0)</f>
        <v>1</v>
      </c>
      <c r="Q8450" s="4" t="str">
        <f>IFERROR(__xludf.DUMMYFUNCTION("""COMPUTED_VALUE"""),"Parseint Desenvolvimento De Sistemas Ltda")</f>
        <v>Parseint Desenvolvimento De Sistemas Ltda</v>
      </c>
      <c r="R8450" s="33">
        <f>IFERROR(__xludf.DUMMYFUNCTION("""COMPUTED_VALUE"""),1.0)</f>
        <v>1</v>
      </c>
      <c r="S8450" s="4" t="str">
        <f>IFERROR(__xludf.DUMMYFUNCTION("""COMPUTED_VALUE"""),"Parseint Desenvolvimento De Sistemas Ltda")</f>
        <v>Parseint Desenvolvimento De Sistemas Ltda</v>
      </c>
      <c r="T8450" s="33">
        <f>IFERROR(__xludf.DUMMYFUNCTION("""COMPUTED_VALUE"""),1.0)</f>
        <v>1</v>
      </c>
      <c r="U8450" s="4" t="str">
        <f>IFERROR(__xludf.DUMMYFUNCTION("""COMPUTED_VALUE"""),"Parseint Desenvolvimento De Sistemas Ltda")</f>
        <v>Parseint Desenvolvimento De Sistemas Ltda</v>
      </c>
      <c r="V8450" s="33">
        <f>IFERROR(__xludf.DUMMYFUNCTION("""COMPUTED_VALUE"""),1.0)</f>
        <v>1</v>
      </c>
      <c r="W8450" s="4" t="str">
        <f>IFERROR(__xludf.DUMMYFUNCTION("""COMPUTED_VALUE"""),"null")</f>
        <v>null</v>
      </c>
      <c r="X8450" s="33">
        <f>IFERROR(__xludf.DUMMYFUNCTION("""COMPUTED_VALUE"""),1.0)</f>
        <v>1</v>
      </c>
    </row>
    <row r="8451">
      <c r="K8451" s="4" t="str">
        <f>IFERROR(__xludf.DUMMYFUNCTION("""COMPUTED_VALUE"""),"PIZZARIA DAHORA DELIVERY")</f>
        <v>PIZZARIA DAHORA DELIVERY</v>
      </c>
      <c r="L8451" s="32">
        <f>IFERROR(__xludf.DUMMYFUNCTION("""COMPUTED_VALUE"""),1.0)</f>
        <v>1</v>
      </c>
      <c r="M8451" s="4" t="str">
        <f>IFERROR(__xludf.DUMMYFUNCTION("""COMPUTED_VALUE"""),"Saipos Serviços De Software")</f>
        <v>Saipos Serviços De Software</v>
      </c>
      <c r="N8451" s="33">
        <f>IFERROR(__xludf.DUMMYFUNCTION("""COMPUTED_VALUE"""),1.0)</f>
        <v>1</v>
      </c>
      <c r="O8451" s="4" t="str">
        <f>IFERROR(__xludf.DUMMYFUNCTION("""COMPUTED_VALUE"""),"Saipos Serviços De Software")</f>
        <v>Saipos Serviços De Software</v>
      </c>
      <c r="P8451" s="33">
        <f>IFERROR(__xludf.DUMMYFUNCTION("""COMPUTED_VALUE"""),1.0)</f>
        <v>1</v>
      </c>
      <c r="Q8451" s="4" t="str">
        <f>IFERROR(__xludf.DUMMYFUNCTION("""COMPUTED_VALUE"""),"Saipos Serviços De Software")</f>
        <v>Saipos Serviços De Software</v>
      </c>
      <c r="R8451" s="33">
        <f>IFERROR(__xludf.DUMMYFUNCTION("""COMPUTED_VALUE"""),1.0)</f>
        <v>1</v>
      </c>
      <c r="S8451" s="4" t="str">
        <f>IFERROR(__xludf.DUMMYFUNCTION("""COMPUTED_VALUE"""),"Saipos Serviços De Software")</f>
        <v>Saipos Serviços De Software</v>
      </c>
      <c r="T8451" s="33">
        <f>IFERROR(__xludf.DUMMYFUNCTION("""COMPUTED_VALUE"""),1.0)</f>
        <v>1</v>
      </c>
      <c r="U8451" s="4" t="str">
        <f>IFERROR(__xludf.DUMMYFUNCTION("""COMPUTED_VALUE"""),"Saipos Serviços De Software")</f>
        <v>Saipos Serviços De Software</v>
      </c>
      <c r="V8451" s="33">
        <f>IFERROR(__xludf.DUMMYFUNCTION("""COMPUTED_VALUE"""),1.0)</f>
        <v>1</v>
      </c>
      <c r="W8451" s="4" t="str">
        <f>IFERROR(__xludf.DUMMYFUNCTION("""COMPUTED_VALUE"""),"Saipos Serviços De Software")</f>
        <v>Saipos Serviços De Software</v>
      </c>
      <c r="X8451" s="33">
        <f>IFERROR(__xludf.DUMMYFUNCTION("""COMPUTED_VALUE"""),1.0)</f>
        <v>1</v>
      </c>
    </row>
    <row r="8452">
      <c r="K8452" s="4" t="str">
        <f>IFERROR(__xludf.DUMMYFUNCTION("""COMPUTED_VALUE"""),"BURGERS HOUSE")</f>
        <v>BURGERS HOUSE</v>
      </c>
      <c r="L8452" s="32">
        <f>IFERROR(__xludf.DUMMYFUNCTION("""COMPUTED_VALUE"""),1.0)</f>
        <v>1</v>
      </c>
      <c r="M8452" s="4" t="str">
        <f>IFERROR(__xludf.DUMMYFUNCTION("""COMPUTED_VALUE"""),"Saipos Serviços De Software")</f>
        <v>Saipos Serviços De Software</v>
      </c>
      <c r="N8452" s="33">
        <f>IFERROR(__xludf.DUMMYFUNCTION("""COMPUTED_VALUE"""),1.0)</f>
        <v>1</v>
      </c>
      <c r="O8452" s="4" t="str">
        <f>IFERROR(__xludf.DUMMYFUNCTION("""COMPUTED_VALUE"""),"Saipos Serviços De Software")</f>
        <v>Saipos Serviços De Software</v>
      </c>
      <c r="P8452" s="33">
        <f>IFERROR(__xludf.DUMMYFUNCTION("""COMPUTED_VALUE"""),1.0)</f>
        <v>1</v>
      </c>
      <c r="Q8452" s="4" t="str">
        <f>IFERROR(__xludf.DUMMYFUNCTION("""COMPUTED_VALUE"""),"Saipos Serviços De Software")</f>
        <v>Saipos Serviços De Software</v>
      </c>
      <c r="R8452" s="33">
        <f>IFERROR(__xludf.DUMMYFUNCTION("""COMPUTED_VALUE"""),1.0)</f>
        <v>1</v>
      </c>
      <c r="S8452" s="4" t="str">
        <f>IFERROR(__xludf.DUMMYFUNCTION("""COMPUTED_VALUE"""),"Saipos Serviços De Software")</f>
        <v>Saipos Serviços De Software</v>
      </c>
      <c r="T8452" s="33">
        <f>IFERROR(__xludf.DUMMYFUNCTION("""COMPUTED_VALUE"""),1.0)</f>
        <v>1</v>
      </c>
      <c r="U8452" s="4" t="str">
        <f>IFERROR(__xludf.DUMMYFUNCTION("""COMPUTED_VALUE"""),"Saipos Serviços De Software")</f>
        <v>Saipos Serviços De Software</v>
      </c>
      <c r="V8452" s="33">
        <f>IFERROR(__xludf.DUMMYFUNCTION("""COMPUTED_VALUE"""),1.0)</f>
        <v>1</v>
      </c>
      <c r="W8452" s="4" t="str">
        <f>IFERROR(__xludf.DUMMYFUNCTION("""COMPUTED_VALUE"""),"Saipos Serviços De Software")</f>
        <v>Saipos Serviços De Software</v>
      </c>
      <c r="X8452" s="33">
        <f>IFERROR(__xludf.DUMMYFUNCTION("""COMPUTED_VALUE"""),1.0)</f>
        <v>1</v>
      </c>
    </row>
    <row r="8453">
      <c r="K8453" s="4" t="str">
        <f>IFERROR(__xludf.DUMMYFUNCTION("""COMPUTED_VALUE"""),"T2F COFFEE")</f>
        <v>T2F COFFEE</v>
      </c>
      <c r="L8453" s="32">
        <f>IFERROR(__xludf.DUMMYFUNCTION("""COMPUTED_VALUE"""),1.0)</f>
        <v>1</v>
      </c>
      <c r="M8453" s="4" t="str">
        <f>IFERROR(__xludf.DUMMYFUNCTION("""COMPUTED_VALUE"""),"Hubster")</f>
        <v>Hubster</v>
      </c>
      <c r="N8453" s="33">
        <f>IFERROR(__xludf.DUMMYFUNCTION("""COMPUTED_VALUE"""),1.0)</f>
        <v>1</v>
      </c>
      <c r="O8453" s="4" t="str">
        <f>IFERROR(__xludf.DUMMYFUNCTION("""COMPUTED_VALUE"""),"Hubster")</f>
        <v>Hubster</v>
      </c>
      <c r="P8453" s="33">
        <f>IFERROR(__xludf.DUMMYFUNCTION("""COMPUTED_VALUE"""),1.0)</f>
        <v>1</v>
      </c>
      <c r="Q8453" s="4" t="str">
        <f>IFERROR(__xludf.DUMMYFUNCTION("""COMPUTED_VALUE"""),"Saipos Serviços De Software")</f>
        <v>Saipos Serviços De Software</v>
      </c>
      <c r="R8453" s="33">
        <f>IFERROR(__xludf.DUMMYFUNCTION("""COMPUTED_VALUE"""),1.0)</f>
        <v>1</v>
      </c>
      <c r="S8453" s="4" t="str">
        <f>IFERROR(__xludf.DUMMYFUNCTION("""COMPUTED_VALUE"""),"Saipos Serviços De Software")</f>
        <v>Saipos Serviços De Software</v>
      </c>
      <c r="T8453" s="33">
        <f>IFERROR(__xludf.DUMMYFUNCTION("""COMPUTED_VALUE"""),1.0)</f>
        <v>1</v>
      </c>
      <c r="U8453" s="4" t="str">
        <f>IFERROR(__xludf.DUMMYFUNCTION("""COMPUTED_VALUE"""),"Saipos Serviços De Software")</f>
        <v>Saipos Serviços De Software</v>
      </c>
      <c r="V8453" s="33">
        <f>IFERROR(__xludf.DUMMYFUNCTION("""COMPUTED_VALUE"""),1.0)</f>
        <v>1</v>
      </c>
      <c r="W8453" s="4" t="str">
        <f>IFERROR(__xludf.DUMMYFUNCTION("""COMPUTED_VALUE"""),"Hubster")</f>
        <v>Hubster</v>
      </c>
      <c r="X8453" s="33">
        <f>IFERROR(__xludf.DUMMYFUNCTION("""COMPUTED_VALUE"""),1.0)</f>
        <v>1</v>
      </c>
    </row>
    <row r="8454">
      <c r="K8454" s="4" t="str">
        <f>IFERROR(__xludf.DUMMYFUNCTION("""COMPUTED_VALUE"""),"CASA DO ACAI MACARRAO")</f>
        <v>CASA DO ACAI MACARRAO</v>
      </c>
      <c r="L8454" s="32">
        <f>IFERROR(__xludf.DUMMYFUNCTION("""COMPUTED_VALUE"""),1.0)</f>
        <v>1</v>
      </c>
      <c r="M8454" s="4" t="str">
        <f>IFERROR(__xludf.DUMMYFUNCTION("""COMPUTED_VALUE"""),"Saipos Serviços De Software")</f>
        <v>Saipos Serviços De Software</v>
      </c>
      <c r="N8454" s="33">
        <f>IFERROR(__xludf.DUMMYFUNCTION("""COMPUTED_VALUE"""),1.0)</f>
        <v>1</v>
      </c>
      <c r="O8454" s="4" t="str">
        <f>IFERROR(__xludf.DUMMYFUNCTION("""COMPUTED_VALUE"""),"Saipos Serviços De Software")</f>
        <v>Saipos Serviços De Software</v>
      </c>
      <c r="P8454" s="33">
        <f>IFERROR(__xludf.DUMMYFUNCTION("""COMPUTED_VALUE"""),1.0)</f>
        <v>1</v>
      </c>
      <c r="Q8454" s="4" t="str">
        <f>IFERROR(__xludf.DUMMYFUNCTION("""COMPUTED_VALUE"""),"Saipos Serviços De Software")</f>
        <v>Saipos Serviços De Software</v>
      </c>
      <c r="R8454" s="33">
        <f>IFERROR(__xludf.DUMMYFUNCTION("""COMPUTED_VALUE"""),1.0)</f>
        <v>1</v>
      </c>
      <c r="S8454" s="4" t="str">
        <f>IFERROR(__xludf.DUMMYFUNCTION("""COMPUTED_VALUE"""),"Saipos Serviços De Software")</f>
        <v>Saipos Serviços De Software</v>
      </c>
      <c r="T8454" s="33">
        <f>IFERROR(__xludf.DUMMYFUNCTION("""COMPUTED_VALUE"""),1.0)</f>
        <v>1</v>
      </c>
      <c r="U8454" s="4" t="str">
        <f>IFERROR(__xludf.DUMMYFUNCTION("""COMPUTED_VALUE"""),"Saipos Serviços De Software")</f>
        <v>Saipos Serviços De Software</v>
      </c>
      <c r="V8454" s="33">
        <f>IFERROR(__xludf.DUMMYFUNCTION("""COMPUTED_VALUE"""),1.0)</f>
        <v>1</v>
      </c>
      <c r="W8454" s="4" t="str">
        <f>IFERROR(__xludf.DUMMYFUNCTION("""COMPUTED_VALUE"""),"Saipos Serviços De Software")</f>
        <v>Saipos Serviços De Software</v>
      </c>
      <c r="X8454" s="33">
        <f>IFERROR(__xludf.DUMMYFUNCTION("""COMPUTED_VALUE"""),1.0)</f>
        <v>1</v>
      </c>
    </row>
    <row r="8455">
      <c r="K8455" s="4" t="str">
        <f>IFERROR(__xludf.DUMMYFUNCTION("""COMPUTED_VALUE"""),"BISTRO PAIDEGUA")</f>
        <v>BISTRO PAIDEGUA</v>
      </c>
      <c r="L8455" s="32">
        <f>IFERROR(__xludf.DUMMYFUNCTION("""COMPUTED_VALUE"""),1.0)</f>
        <v>1</v>
      </c>
      <c r="M8455" s="4" t="str">
        <f>IFERROR(__xludf.DUMMYFUNCTION("""COMPUTED_VALUE"""),"Consumer Soluções Em Tecnologia Ltda")</f>
        <v>Consumer Soluções Em Tecnologia Ltda</v>
      </c>
      <c r="N8455" s="33">
        <f>IFERROR(__xludf.DUMMYFUNCTION("""COMPUTED_VALUE"""),1.0)</f>
        <v>1</v>
      </c>
      <c r="O8455" s="4" t="str">
        <f>IFERROR(__xludf.DUMMYFUNCTION("""COMPUTED_VALUE"""),"Consumer Soluções Em Tecnologia Ltda")</f>
        <v>Consumer Soluções Em Tecnologia Ltda</v>
      </c>
      <c r="P8455" s="33">
        <f>IFERROR(__xludf.DUMMYFUNCTION("""COMPUTED_VALUE"""),1.0)</f>
        <v>1</v>
      </c>
      <c r="Q8455" s="4" t="str">
        <f>IFERROR(__xludf.DUMMYFUNCTION("""COMPUTED_VALUE"""),"Consumer Soluções Em Tecnologia Ltda")</f>
        <v>Consumer Soluções Em Tecnologia Ltda</v>
      </c>
      <c r="R8455" s="33">
        <f>IFERROR(__xludf.DUMMYFUNCTION("""COMPUTED_VALUE"""),1.0)</f>
        <v>1</v>
      </c>
      <c r="S8455" s="4" t="str">
        <f>IFERROR(__xludf.DUMMYFUNCTION("""COMPUTED_VALUE"""),"Consumer Soluções Em Tecnologia Ltda")</f>
        <v>Consumer Soluções Em Tecnologia Ltda</v>
      </c>
      <c r="T8455" s="33">
        <f>IFERROR(__xludf.DUMMYFUNCTION("""COMPUTED_VALUE"""),1.0)</f>
        <v>1</v>
      </c>
      <c r="U8455" s="4" t="str">
        <f>IFERROR(__xludf.DUMMYFUNCTION("""COMPUTED_VALUE"""),"Consumer Soluções Em Tecnologia Ltda")</f>
        <v>Consumer Soluções Em Tecnologia Ltda</v>
      </c>
      <c r="V8455" s="33">
        <f>IFERROR(__xludf.DUMMYFUNCTION("""COMPUTED_VALUE"""),1.0)</f>
        <v>1</v>
      </c>
      <c r="W8455" s="4" t="str">
        <f>IFERROR(__xludf.DUMMYFUNCTION("""COMPUTED_VALUE"""),"Consumer Soluções Em Tecnologia Ltda")</f>
        <v>Consumer Soluções Em Tecnologia Ltda</v>
      </c>
      <c r="X8455" s="33">
        <f>IFERROR(__xludf.DUMMYFUNCTION("""COMPUTED_VALUE"""),1.0)</f>
        <v>1</v>
      </c>
    </row>
    <row r="8456">
      <c r="K8456" s="4" t="str">
        <f>IFERROR(__xludf.DUMMYFUNCTION("""COMPUTED_VALUE"""),"PIZZARIA RABONNI")</f>
        <v>PIZZARIA RABONNI</v>
      </c>
      <c r="L8456" s="32">
        <f>IFERROR(__xludf.DUMMYFUNCTION("""COMPUTED_VALUE"""),1.0)</f>
        <v>1</v>
      </c>
      <c r="M8456" s="4" t="str">
        <f>IFERROR(__xludf.DUMMYFUNCTION("""COMPUTED_VALUE"""),"Softsa Sistemas De Informação Ltda")</f>
        <v>Softsa Sistemas De Informação Ltda</v>
      </c>
      <c r="N8456" s="33">
        <f>IFERROR(__xludf.DUMMYFUNCTION("""COMPUTED_VALUE"""),1.0)</f>
        <v>1</v>
      </c>
      <c r="O8456" s="4" t="str">
        <f>IFERROR(__xludf.DUMMYFUNCTION("""COMPUTED_VALUE"""),"Softsa Sistemas De Informação Ltda")</f>
        <v>Softsa Sistemas De Informação Ltda</v>
      </c>
      <c r="P8456" s="33">
        <f>IFERROR(__xludf.DUMMYFUNCTION("""COMPUTED_VALUE"""),1.0)</f>
        <v>1</v>
      </c>
      <c r="Q8456" s="4" t="str">
        <f>IFERROR(__xludf.DUMMYFUNCTION("""COMPUTED_VALUE"""),"Softsa Sistemas De Informação Ltda")</f>
        <v>Softsa Sistemas De Informação Ltda</v>
      </c>
      <c r="R8456" s="33">
        <f>IFERROR(__xludf.DUMMYFUNCTION("""COMPUTED_VALUE"""),1.0)</f>
        <v>1</v>
      </c>
      <c r="S8456" s="4" t="str">
        <f>IFERROR(__xludf.DUMMYFUNCTION("""COMPUTED_VALUE"""),"Softsa Sistemas De Informação Ltda")</f>
        <v>Softsa Sistemas De Informação Ltda</v>
      </c>
      <c r="T8456" s="33">
        <f>IFERROR(__xludf.DUMMYFUNCTION("""COMPUTED_VALUE"""),1.0)</f>
        <v>1</v>
      </c>
      <c r="U8456" s="4" t="str">
        <f>IFERROR(__xludf.DUMMYFUNCTION("""COMPUTED_VALUE"""),"Softsa Sistemas De Informação Ltda")</f>
        <v>Softsa Sistemas De Informação Ltda</v>
      </c>
      <c r="V8456" s="33">
        <f>IFERROR(__xludf.DUMMYFUNCTION("""COMPUTED_VALUE"""),1.0)</f>
        <v>1</v>
      </c>
      <c r="W8456" s="4" t="str">
        <f>IFERROR(__xludf.DUMMYFUNCTION("""COMPUTED_VALUE"""),"Softsa Sistemas De Informação Ltda")</f>
        <v>Softsa Sistemas De Informação Ltda</v>
      </c>
      <c r="X8456" s="33">
        <f>IFERROR(__xludf.DUMMYFUNCTION("""COMPUTED_VALUE"""),1.0)</f>
        <v>1</v>
      </c>
    </row>
    <row r="8457">
      <c r="K8457" s="4" t="str">
        <f>IFERROR(__xludf.DUMMYFUNCTION("""COMPUTED_VALUE"""),"TREM DI CUME HAMBURGUERIA E ACAI")</f>
        <v>TREM DI CUME HAMBURGUERIA E ACAI</v>
      </c>
      <c r="L8457" s="32">
        <f>IFERROR(__xludf.DUMMYFUNCTION("""COMPUTED_VALUE"""),1.0)</f>
        <v>1</v>
      </c>
      <c r="M8457" s="4" t="str">
        <f>IFERROR(__xludf.DUMMYFUNCTION("""COMPUTED_VALUE"""),"Instadelivery")</f>
        <v>Instadelivery</v>
      </c>
      <c r="N8457" s="33">
        <f>IFERROR(__xludf.DUMMYFUNCTION("""COMPUTED_VALUE"""),1.0)</f>
        <v>1</v>
      </c>
      <c r="O8457" s="4" t="str">
        <f>IFERROR(__xludf.DUMMYFUNCTION("""COMPUTED_VALUE"""),"Instadelivery")</f>
        <v>Instadelivery</v>
      </c>
      <c r="P8457" s="33">
        <f>IFERROR(__xludf.DUMMYFUNCTION("""COMPUTED_VALUE"""),1.0)</f>
        <v>1</v>
      </c>
      <c r="Q8457" s="4" t="str">
        <f>IFERROR(__xludf.DUMMYFUNCTION("""COMPUTED_VALUE"""),"Instadelivery")</f>
        <v>Instadelivery</v>
      </c>
      <c r="R8457" s="33">
        <f>IFERROR(__xludf.DUMMYFUNCTION("""COMPUTED_VALUE"""),1.0)</f>
        <v>1</v>
      </c>
      <c r="S8457" s="4" t="str">
        <f>IFERROR(__xludf.DUMMYFUNCTION("""COMPUTED_VALUE"""),"Instadelivery")</f>
        <v>Instadelivery</v>
      </c>
      <c r="T8457" s="33">
        <f>IFERROR(__xludf.DUMMYFUNCTION("""COMPUTED_VALUE"""),1.0)</f>
        <v>1</v>
      </c>
      <c r="U8457" s="4" t="str">
        <f>IFERROR(__xludf.DUMMYFUNCTION("""COMPUTED_VALUE"""),"Instadelivery")</f>
        <v>Instadelivery</v>
      </c>
      <c r="V8457" s="33">
        <f>IFERROR(__xludf.DUMMYFUNCTION("""COMPUTED_VALUE"""),1.0)</f>
        <v>1</v>
      </c>
      <c r="W8457" s="4" t="str">
        <f>IFERROR(__xludf.DUMMYFUNCTION("""COMPUTED_VALUE"""),"Instadelivery")</f>
        <v>Instadelivery</v>
      </c>
      <c r="X8457" s="33">
        <f>IFERROR(__xludf.DUMMYFUNCTION("""COMPUTED_VALUE"""),1.0)</f>
        <v>1</v>
      </c>
    </row>
    <row r="8458">
      <c r="K8458" s="4" t="str">
        <f>IFERROR(__xludf.DUMMYFUNCTION("""COMPUTED_VALUE"""),"CACAROLA RESTAURANTE")</f>
        <v>CACAROLA RESTAURANTE</v>
      </c>
      <c r="L8458" s="32">
        <f>IFERROR(__xludf.DUMMYFUNCTION("""COMPUTED_VALUE"""),1.0)</f>
        <v>1</v>
      </c>
      <c r="M8458" s="4" t="str">
        <f>IFERROR(__xludf.DUMMYFUNCTION("""COMPUTED_VALUE"""),"Beefood - Sistema Para Restaurantes")</f>
        <v>Beefood - Sistema Para Restaurantes</v>
      </c>
      <c r="N8458" s="33">
        <f>IFERROR(__xludf.DUMMYFUNCTION("""COMPUTED_VALUE"""),1.0)</f>
        <v>1</v>
      </c>
      <c r="O8458" s="4" t="str">
        <f>IFERROR(__xludf.DUMMYFUNCTION("""COMPUTED_VALUE"""),"Beefood - Sistema Para Restaurantes")</f>
        <v>Beefood - Sistema Para Restaurantes</v>
      </c>
      <c r="P8458" s="33">
        <f>IFERROR(__xludf.DUMMYFUNCTION("""COMPUTED_VALUE"""),1.0)</f>
        <v>1</v>
      </c>
      <c r="Q8458" s="4" t="str">
        <f>IFERROR(__xludf.DUMMYFUNCTION("""COMPUTED_VALUE"""),"Beefood - Sistema Para Restaurantes")</f>
        <v>Beefood - Sistema Para Restaurantes</v>
      </c>
      <c r="R8458" s="33">
        <f>IFERROR(__xludf.DUMMYFUNCTION("""COMPUTED_VALUE"""),1.0)</f>
        <v>1</v>
      </c>
      <c r="S8458" s="4" t="str">
        <f>IFERROR(__xludf.DUMMYFUNCTION("""COMPUTED_VALUE"""),"Beefood - Sistema Para Restaurantes")</f>
        <v>Beefood - Sistema Para Restaurantes</v>
      </c>
      <c r="T8458" s="33">
        <f>IFERROR(__xludf.DUMMYFUNCTION("""COMPUTED_VALUE"""),1.0)</f>
        <v>1</v>
      </c>
      <c r="U8458" s="4" t="str">
        <f>IFERROR(__xludf.DUMMYFUNCTION("""COMPUTED_VALUE"""),"Beefood - Sistema Para Restaurantes")</f>
        <v>Beefood - Sistema Para Restaurantes</v>
      </c>
      <c r="V8458" s="33">
        <f>IFERROR(__xludf.DUMMYFUNCTION("""COMPUTED_VALUE"""),1.0)</f>
        <v>1</v>
      </c>
      <c r="W8458" s="4" t="str">
        <f>IFERROR(__xludf.DUMMYFUNCTION("""COMPUTED_VALUE"""),"null")</f>
        <v>null</v>
      </c>
      <c r="X8458" s="33">
        <f>IFERROR(__xludf.DUMMYFUNCTION("""COMPUTED_VALUE"""),1.0)</f>
        <v>1</v>
      </c>
    </row>
    <row r="8459">
      <c r="K8459" s="4" t="str">
        <f>IFERROR(__xludf.DUMMYFUNCTION("""COMPUTED_VALUE"""),"TODO CAMBIA")</f>
        <v>TODO CAMBIA</v>
      </c>
      <c r="L8459" s="32">
        <f>IFERROR(__xludf.DUMMYFUNCTION("""COMPUTED_VALUE"""),1.0)</f>
        <v>1</v>
      </c>
      <c r="M8459" s="4" t="str">
        <f>IFERROR(__xludf.DUMMYFUNCTION("""COMPUTED_VALUE"""),"Saipos Serviços De Software")</f>
        <v>Saipos Serviços De Software</v>
      </c>
      <c r="N8459" s="33">
        <f>IFERROR(__xludf.DUMMYFUNCTION("""COMPUTED_VALUE"""),1.0)</f>
        <v>1</v>
      </c>
      <c r="O8459" s="4" t="str">
        <f>IFERROR(__xludf.DUMMYFUNCTION("""COMPUTED_VALUE"""),"Saipos Serviços De Software")</f>
        <v>Saipos Serviços De Software</v>
      </c>
      <c r="P8459" s="33">
        <f>IFERROR(__xludf.DUMMYFUNCTION("""COMPUTED_VALUE"""),1.0)</f>
        <v>1</v>
      </c>
      <c r="Q8459" s="4" t="str">
        <f>IFERROR(__xludf.DUMMYFUNCTION("""COMPUTED_VALUE"""),"Saipos Serviços De Software")</f>
        <v>Saipos Serviços De Software</v>
      </c>
      <c r="R8459" s="33">
        <f>IFERROR(__xludf.DUMMYFUNCTION("""COMPUTED_VALUE"""),1.0)</f>
        <v>1</v>
      </c>
      <c r="S8459" s="4" t="str">
        <f>IFERROR(__xludf.DUMMYFUNCTION("""COMPUTED_VALUE"""),"Saipos Serviços De Software")</f>
        <v>Saipos Serviços De Software</v>
      </c>
      <c r="T8459" s="33">
        <f>IFERROR(__xludf.DUMMYFUNCTION("""COMPUTED_VALUE"""),1.0)</f>
        <v>1</v>
      </c>
      <c r="U8459" s="4" t="str">
        <f>IFERROR(__xludf.DUMMYFUNCTION("""COMPUTED_VALUE"""),"Saipos Serviços De Software")</f>
        <v>Saipos Serviços De Software</v>
      </c>
      <c r="V8459" s="33">
        <f>IFERROR(__xludf.DUMMYFUNCTION("""COMPUTED_VALUE"""),1.0)</f>
        <v>1</v>
      </c>
      <c r="W8459" s="4" t="str">
        <f>IFERROR(__xludf.DUMMYFUNCTION("""COMPUTED_VALUE"""),"Saipos Serviços De Software")</f>
        <v>Saipos Serviços De Software</v>
      </c>
      <c r="X8459" s="33">
        <f>IFERROR(__xludf.DUMMYFUNCTION("""COMPUTED_VALUE"""),1.0)</f>
        <v>1</v>
      </c>
    </row>
    <row r="8460">
      <c r="K8460" s="4" t="str">
        <f>IFERROR(__xludf.DUMMYFUNCTION("""COMPUTED_VALUE"""),"ENCANTO - CONFEITARIA ARTESANAL")</f>
        <v>ENCANTO - CONFEITARIA ARTESANAL</v>
      </c>
      <c r="L8460" s="32">
        <f>IFERROR(__xludf.DUMMYFUNCTION("""COMPUTED_VALUE"""),1.0)</f>
        <v>1</v>
      </c>
      <c r="M8460" s="4" t="str">
        <f>IFERROR(__xludf.DUMMYFUNCTION("""COMPUTED_VALUE"""),"null")</f>
        <v>null</v>
      </c>
      <c r="N8460" s="33">
        <f>IFERROR(__xludf.DUMMYFUNCTION("""COMPUTED_VALUE"""),1.0)</f>
        <v>1</v>
      </c>
      <c r="O8460" s="4" t="str">
        <f>IFERROR(__xludf.DUMMYFUNCTION("""COMPUTED_VALUE"""),"null")</f>
        <v>null</v>
      </c>
      <c r="P8460" s="33">
        <f>IFERROR(__xludf.DUMMYFUNCTION("""COMPUTED_VALUE"""),1.0)</f>
        <v>1</v>
      </c>
      <c r="Q8460" s="4" t="str">
        <f>IFERROR(__xludf.DUMMYFUNCTION("""COMPUTED_VALUE"""),"Instadelivery")</f>
        <v>Instadelivery</v>
      </c>
      <c r="R8460" s="33">
        <f>IFERROR(__xludf.DUMMYFUNCTION("""COMPUTED_VALUE"""),1.0)</f>
        <v>1</v>
      </c>
      <c r="S8460" s="4" t="str">
        <f>IFERROR(__xludf.DUMMYFUNCTION("""COMPUTED_VALUE"""),"Instadelivery")</f>
        <v>Instadelivery</v>
      </c>
      <c r="T8460" s="33">
        <f>IFERROR(__xludf.DUMMYFUNCTION("""COMPUTED_VALUE"""),1.0)</f>
        <v>1</v>
      </c>
      <c r="U8460" s="4" t="str">
        <f>IFERROR(__xludf.DUMMYFUNCTION("""COMPUTED_VALUE"""),"Instadelivery")</f>
        <v>Instadelivery</v>
      </c>
      <c r="V8460" s="33">
        <f>IFERROR(__xludf.DUMMYFUNCTION("""COMPUTED_VALUE"""),1.0)</f>
        <v>1</v>
      </c>
      <c r="W8460" s="4" t="str">
        <f>IFERROR(__xludf.DUMMYFUNCTION("""COMPUTED_VALUE"""),"null")</f>
        <v>null</v>
      </c>
      <c r="X8460" s="33">
        <f>IFERROR(__xludf.DUMMYFUNCTION("""COMPUTED_VALUE"""),1.0)</f>
        <v>1</v>
      </c>
    </row>
    <row r="8461">
      <c r="K8461" s="4" t="str">
        <f>IFERROR(__xludf.DUMMYFUNCTION("""COMPUTED_VALUE"""),"BIOMAXFARMA BURITIZEIRO")</f>
        <v>BIOMAXFARMA BURITIZEIRO</v>
      </c>
      <c r="L8461" s="32">
        <f>IFERROR(__xludf.DUMMYFUNCTION("""COMPUTED_VALUE"""),1.0)</f>
        <v>1</v>
      </c>
      <c r="M8461" s="4" t="str">
        <f>IFERROR(__xludf.DUMMYFUNCTION("""COMPUTED_VALUE"""),"null")</f>
        <v>null</v>
      </c>
      <c r="N8461" s="33">
        <f>IFERROR(__xludf.DUMMYFUNCTION("""COMPUTED_VALUE"""),1.0)</f>
        <v>1</v>
      </c>
      <c r="O8461" s="4" t="str">
        <f>IFERROR(__xludf.DUMMYFUNCTION("""COMPUTED_VALUE"""),"null")</f>
        <v>null</v>
      </c>
      <c r="P8461" s="33">
        <f>IFERROR(__xludf.DUMMYFUNCTION("""COMPUTED_VALUE"""),1.0)</f>
        <v>1</v>
      </c>
      <c r="Q8461" s="4" t="str">
        <f>IFERROR(__xludf.DUMMYFUNCTION("""COMPUTED_VALUE"""),"null")</f>
        <v>null</v>
      </c>
      <c r="R8461" s="33">
        <f>IFERROR(__xludf.DUMMYFUNCTION("""COMPUTED_VALUE"""),1.0)</f>
        <v>1</v>
      </c>
      <c r="S8461" s="4" t="str">
        <f>IFERROR(__xludf.DUMMYFUNCTION("""COMPUTED_VALUE"""),"null")</f>
        <v>null</v>
      </c>
      <c r="T8461" s="33">
        <f>IFERROR(__xludf.DUMMYFUNCTION("""COMPUTED_VALUE"""),1.0)</f>
        <v>1</v>
      </c>
      <c r="U8461" s="4" t="str">
        <f>IFERROR(__xludf.DUMMYFUNCTION("""COMPUTED_VALUE"""),"N/A (Not found)")</f>
        <v>N/A (Not found)</v>
      </c>
      <c r="V8461" s="33">
        <f>IFERROR(__xludf.DUMMYFUNCTION("""COMPUTED_VALUE"""),1.0)</f>
        <v>1</v>
      </c>
      <c r="W8461" s="4" t="str">
        <f>IFERROR(__xludf.DUMMYFUNCTION("""COMPUTED_VALUE"""),"N/A (Not found)")</f>
        <v>N/A (Not found)</v>
      </c>
      <c r="X8461" s="33">
        <f>IFERROR(__xludf.DUMMYFUNCTION("""COMPUTED_VALUE"""),1.0)</f>
        <v>1</v>
      </c>
    </row>
    <row r="8462">
      <c r="K8462" s="4" t="str">
        <f>IFERROR(__xludf.DUMMYFUNCTION("""COMPUTED_VALUE"""),"SABORES DE CARAGUA - UMA EXPLOSAO DE SABOR")</f>
        <v>SABORES DE CARAGUA - UMA EXPLOSAO DE SABOR</v>
      </c>
      <c r="L8462" s="32">
        <f>IFERROR(__xludf.DUMMYFUNCTION("""COMPUTED_VALUE"""),1.0)</f>
        <v>1</v>
      </c>
      <c r="M8462" s="4" t="str">
        <f>IFERROR(__xludf.DUMMYFUNCTION("""COMPUTED_VALUE"""),"Yooga")</f>
        <v>Yooga</v>
      </c>
      <c r="N8462" s="33">
        <f>IFERROR(__xludf.DUMMYFUNCTION("""COMPUTED_VALUE"""),1.0)</f>
        <v>1</v>
      </c>
      <c r="O8462" s="4" t="str">
        <f>IFERROR(__xludf.DUMMYFUNCTION("""COMPUTED_VALUE"""),"Saipos Serviços De Software")</f>
        <v>Saipos Serviços De Software</v>
      </c>
      <c r="P8462" s="33">
        <f>IFERROR(__xludf.DUMMYFUNCTION("""COMPUTED_VALUE"""),1.0)</f>
        <v>1</v>
      </c>
      <c r="Q8462" s="4" t="str">
        <f>IFERROR(__xludf.DUMMYFUNCTION("""COMPUTED_VALUE"""),"Saipos Serviços De Software")</f>
        <v>Saipos Serviços De Software</v>
      </c>
      <c r="R8462" s="33">
        <f>IFERROR(__xludf.DUMMYFUNCTION("""COMPUTED_VALUE"""),1.0)</f>
        <v>1</v>
      </c>
      <c r="S8462" s="4" t="str">
        <f>IFERROR(__xludf.DUMMYFUNCTION("""COMPUTED_VALUE"""),"Saipos Serviços De Software")</f>
        <v>Saipos Serviços De Software</v>
      </c>
      <c r="T8462" s="33">
        <f>IFERROR(__xludf.DUMMYFUNCTION("""COMPUTED_VALUE"""),1.0)</f>
        <v>1</v>
      </c>
      <c r="U8462" s="4" t="str">
        <f>IFERROR(__xludf.DUMMYFUNCTION("""COMPUTED_VALUE"""),"Saipos Serviços De Software")</f>
        <v>Saipos Serviços De Software</v>
      </c>
      <c r="V8462" s="33">
        <f>IFERROR(__xludf.DUMMYFUNCTION("""COMPUTED_VALUE"""),1.0)</f>
        <v>1</v>
      </c>
      <c r="W8462" s="4" t="str">
        <f>IFERROR(__xludf.DUMMYFUNCTION("""COMPUTED_VALUE"""),"Saipos Serviços De Software")</f>
        <v>Saipos Serviços De Software</v>
      </c>
      <c r="X8462" s="33">
        <f>IFERROR(__xludf.DUMMYFUNCTION("""COMPUTED_VALUE"""),1.0)</f>
        <v>1</v>
      </c>
    </row>
    <row r="8463">
      <c r="K8463" s="4" t="str">
        <f>IFERROR(__xludf.DUMMYFUNCTION("""COMPUTED_VALUE"""),"ASSIRIAS SFIHARIA")</f>
        <v>ASSIRIAS SFIHARIA</v>
      </c>
      <c r="L8463" s="32">
        <f>IFERROR(__xludf.DUMMYFUNCTION("""COMPUTED_VALUE"""),1.0)</f>
        <v>1</v>
      </c>
      <c r="M8463" s="4" t="str">
        <f>IFERROR(__xludf.DUMMYFUNCTION("""COMPUTED_VALUE"""),"Cloudfy")</f>
        <v>Cloudfy</v>
      </c>
      <c r="N8463" s="33">
        <f>IFERROR(__xludf.DUMMYFUNCTION("""COMPUTED_VALUE"""),1.0)</f>
        <v>1</v>
      </c>
      <c r="O8463" s="4" t="str">
        <f>IFERROR(__xludf.DUMMYFUNCTION("""COMPUTED_VALUE"""),"Cloudfy")</f>
        <v>Cloudfy</v>
      </c>
      <c r="P8463" s="33">
        <f>IFERROR(__xludf.DUMMYFUNCTION("""COMPUTED_VALUE"""),1.0)</f>
        <v>1</v>
      </c>
      <c r="Q8463" s="4" t="str">
        <f>IFERROR(__xludf.DUMMYFUNCTION("""COMPUTED_VALUE"""),"Cloudfy")</f>
        <v>Cloudfy</v>
      </c>
      <c r="R8463" s="33">
        <f>IFERROR(__xludf.DUMMYFUNCTION("""COMPUTED_VALUE"""),1.0)</f>
        <v>1</v>
      </c>
      <c r="S8463" s="4" t="str">
        <f>IFERROR(__xludf.DUMMYFUNCTION("""COMPUTED_VALUE"""),"Cloudfy")</f>
        <v>Cloudfy</v>
      </c>
      <c r="T8463" s="33">
        <f>IFERROR(__xludf.DUMMYFUNCTION("""COMPUTED_VALUE"""),1.0)</f>
        <v>1</v>
      </c>
      <c r="U8463" s="4" t="str">
        <f>IFERROR(__xludf.DUMMYFUNCTION("""COMPUTED_VALUE"""),"Cloudfy")</f>
        <v>Cloudfy</v>
      </c>
      <c r="V8463" s="33">
        <f>IFERROR(__xludf.DUMMYFUNCTION("""COMPUTED_VALUE"""),1.0)</f>
        <v>1</v>
      </c>
      <c r="W8463" s="4" t="str">
        <f>IFERROR(__xludf.DUMMYFUNCTION("""COMPUTED_VALUE"""),"Cloudfy")</f>
        <v>Cloudfy</v>
      </c>
      <c r="X8463" s="33">
        <f>IFERROR(__xludf.DUMMYFUNCTION("""COMPUTED_VALUE"""),1.0)</f>
        <v>1</v>
      </c>
    </row>
    <row r="8464">
      <c r="K8464" s="4" t="str">
        <f>IFERROR(__xludf.DUMMYFUNCTION("""COMPUTED_VALUE"""),"IA POKE - CULINARIA HAVAIANA")</f>
        <v>IA POKE - CULINARIA HAVAIANA</v>
      </c>
      <c r="L8464" s="32">
        <f>IFERROR(__xludf.DUMMYFUNCTION("""COMPUTED_VALUE"""),1.0)</f>
        <v>1</v>
      </c>
      <c r="M8464" s="4" t="str">
        <f>IFERROR(__xludf.DUMMYFUNCTION("""COMPUTED_VALUE"""),"Anota Ai Solucoes Digitais S/a")</f>
        <v>Anota Ai Solucoes Digitais S/a</v>
      </c>
      <c r="N8464" s="33">
        <f>IFERROR(__xludf.DUMMYFUNCTION("""COMPUTED_VALUE"""),1.0)</f>
        <v>1</v>
      </c>
      <c r="O8464" s="4" t="str">
        <f>IFERROR(__xludf.DUMMYFUNCTION("""COMPUTED_VALUE"""),"Anota Ai Solucoes Digitais S/a")</f>
        <v>Anota Ai Solucoes Digitais S/a</v>
      </c>
      <c r="P8464" s="33">
        <f>IFERROR(__xludf.DUMMYFUNCTION("""COMPUTED_VALUE"""),1.0)</f>
        <v>1</v>
      </c>
      <c r="Q8464" s="4" t="str">
        <f>IFERROR(__xludf.DUMMYFUNCTION("""COMPUTED_VALUE"""),"Anota Ai Solucoes Digitais S/a")</f>
        <v>Anota Ai Solucoes Digitais S/a</v>
      </c>
      <c r="R8464" s="33">
        <f>IFERROR(__xludf.DUMMYFUNCTION("""COMPUTED_VALUE"""),1.0)</f>
        <v>1</v>
      </c>
      <c r="S8464" s="4" t="str">
        <f>IFERROR(__xludf.DUMMYFUNCTION("""COMPUTED_VALUE"""),"Anota Ai Solucoes Digitais S/a")</f>
        <v>Anota Ai Solucoes Digitais S/a</v>
      </c>
      <c r="T8464" s="33">
        <f>IFERROR(__xludf.DUMMYFUNCTION("""COMPUTED_VALUE"""),1.0)</f>
        <v>1</v>
      </c>
      <c r="U8464" s="4" t="str">
        <f>IFERROR(__xludf.DUMMYFUNCTION("""COMPUTED_VALUE"""),"Anota Ai Solucoes Digitais S/a")</f>
        <v>Anota Ai Solucoes Digitais S/a</v>
      </c>
      <c r="V8464" s="33">
        <f>IFERROR(__xludf.DUMMYFUNCTION("""COMPUTED_VALUE"""),1.0)</f>
        <v>1</v>
      </c>
      <c r="W8464" s="4" t="str">
        <f>IFERROR(__xludf.DUMMYFUNCTION("""COMPUTED_VALUE"""),"Anota Ai Solucoes Digitais S/a")</f>
        <v>Anota Ai Solucoes Digitais S/a</v>
      </c>
      <c r="X8464" s="33">
        <f>IFERROR(__xludf.DUMMYFUNCTION("""COMPUTED_VALUE"""),1.0)</f>
        <v>1</v>
      </c>
    </row>
    <row r="8465">
      <c r="K8465" s="4" t="str">
        <f>IFERROR(__xludf.DUMMYFUNCTION("""COMPUTED_VALUE"""),"CASA DO CHOCOLATE - MESSEJANA")</f>
        <v>CASA DO CHOCOLATE - MESSEJANA</v>
      </c>
      <c r="L8465" s="32">
        <f>IFERROR(__xludf.DUMMYFUNCTION("""COMPUTED_VALUE"""),1.0)</f>
        <v>1</v>
      </c>
      <c r="M8465" s="4" t="str">
        <f>IFERROR(__xludf.DUMMYFUNCTION("""COMPUTED_VALUE"""),"N/A (Not found)")</f>
        <v>N/A (Not found)</v>
      </c>
      <c r="N8465" s="33">
        <f>IFERROR(__xludf.DUMMYFUNCTION("""COMPUTED_VALUE"""),1.0)</f>
        <v>1</v>
      </c>
      <c r="O8465" s="4" t="str">
        <f>IFERROR(__xludf.DUMMYFUNCTION("""COMPUTED_VALUE"""),"N/A (Not found)")</f>
        <v>N/A (Not found)</v>
      </c>
      <c r="P8465" s="33">
        <f>IFERROR(__xludf.DUMMYFUNCTION("""COMPUTED_VALUE"""),1.0)</f>
        <v>1</v>
      </c>
      <c r="Q8465" s="4" t="str">
        <f>IFERROR(__xludf.DUMMYFUNCTION("""COMPUTED_VALUE"""),"N/A (Not found)")</f>
        <v>N/A (Not found)</v>
      </c>
      <c r="R8465" s="33">
        <f>IFERROR(__xludf.DUMMYFUNCTION("""COMPUTED_VALUE"""),1.0)</f>
        <v>1</v>
      </c>
      <c r="S8465" s="4" t="str">
        <f>IFERROR(__xludf.DUMMYFUNCTION("""COMPUTED_VALUE"""),"N/A (Not found)")</f>
        <v>N/A (Not found)</v>
      </c>
      <c r="T8465" s="33">
        <f>IFERROR(__xludf.DUMMYFUNCTION("""COMPUTED_VALUE"""),1.0)</f>
        <v>1</v>
      </c>
      <c r="U8465" s="4" t="str">
        <f>IFERROR(__xludf.DUMMYFUNCTION("""COMPUTED_VALUE"""),"N/A (Not found)")</f>
        <v>N/A (Not found)</v>
      </c>
      <c r="V8465" s="33">
        <f>IFERROR(__xludf.DUMMYFUNCTION("""COMPUTED_VALUE"""),1.0)</f>
        <v>1</v>
      </c>
      <c r="W8465" s="4" t="str">
        <f>IFERROR(__xludf.DUMMYFUNCTION("""COMPUTED_VALUE"""),"N/A (Not found)")</f>
        <v>N/A (Not found)</v>
      </c>
      <c r="X8465" s="33">
        <f>IFERROR(__xludf.DUMMYFUNCTION("""COMPUTED_VALUE"""),1.0)</f>
        <v>1</v>
      </c>
    </row>
    <row r="8466">
      <c r="K8466" s="4" t="str">
        <f>IFERROR(__xludf.DUMMYFUNCTION("""COMPUTED_VALUE"""),"DCHEF BURGUER HAMBURGUERIA ARTESANAL")</f>
        <v>DCHEF BURGUER HAMBURGUERIA ARTESANAL</v>
      </c>
      <c r="L8466" s="32">
        <f>IFERROR(__xludf.DUMMYFUNCTION("""COMPUTED_VALUE"""),1.0)</f>
        <v>1</v>
      </c>
      <c r="M8466" s="4" t="str">
        <f>IFERROR(__xludf.DUMMYFUNCTION("""COMPUTED_VALUE"""),"Beefood - Sistema Para Restaurantes")</f>
        <v>Beefood - Sistema Para Restaurantes</v>
      </c>
      <c r="N8466" s="33">
        <f>IFERROR(__xludf.DUMMYFUNCTION("""COMPUTED_VALUE"""),1.0)</f>
        <v>1</v>
      </c>
      <c r="O8466" s="4" t="str">
        <f>IFERROR(__xludf.DUMMYFUNCTION("""COMPUTED_VALUE"""),"Beefood - Sistema Para Restaurantes")</f>
        <v>Beefood - Sistema Para Restaurantes</v>
      </c>
      <c r="P8466" s="33">
        <f>IFERROR(__xludf.DUMMYFUNCTION("""COMPUTED_VALUE"""),1.0)</f>
        <v>1</v>
      </c>
      <c r="Q8466" s="4" t="str">
        <f>IFERROR(__xludf.DUMMYFUNCTION("""COMPUTED_VALUE"""),"Beefood - Sistema Para Restaurantes")</f>
        <v>Beefood - Sistema Para Restaurantes</v>
      </c>
      <c r="R8466" s="33">
        <f>IFERROR(__xludf.DUMMYFUNCTION("""COMPUTED_VALUE"""),1.0)</f>
        <v>1</v>
      </c>
      <c r="S8466" s="4" t="str">
        <f>IFERROR(__xludf.DUMMYFUNCTION("""COMPUTED_VALUE"""),"null")</f>
        <v>null</v>
      </c>
      <c r="T8466" s="33">
        <f>IFERROR(__xludf.DUMMYFUNCTION("""COMPUTED_VALUE"""),1.0)</f>
        <v>1</v>
      </c>
      <c r="U8466" s="4" t="str">
        <f>IFERROR(__xludf.DUMMYFUNCTION("""COMPUTED_VALUE"""),"null")</f>
        <v>null</v>
      </c>
      <c r="V8466" s="33">
        <f>IFERROR(__xludf.DUMMYFUNCTION("""COMPUTED_VALUE"""),1.0)</f>
        <v>1</v>
      </c>
      <c r="W8466" s="4" t="str">
        <f>IFERROR(__xludf.DUMMYFUNCTION("""COMPUTED_VALUE"""),"null")</f>
        <v>null</v>
      </c>
      <c r="X8466" s="33">
        <f>IFERROR(__xludf.DUMMYFUNCTION("""COMPUTED_VALUE"""),1.0)</f>
        <v>1</v>
      </c>
    </row>
    <row r="8467">
      <c r="K8467" s="4" t="str">
        <f>IFERROR(__xludf.DUMMYFUNCTION("""COMPUTED_VALUE"""),"LANCHAO DA VILA")</f>
        <v>LANCHAO DA VILA</v>
      </c>
      <c r="L8467" s="32">
        <f>IFERROR(__xludf.DUMMYFUNCTION("""COMPUTED_VALUE"""),1.0)</f>
        <v>1</v>
      </c>
      <c r="M8467" s="4" t="str">
        <f>IFERROR(__xludf.DUMMYFUNCTION("""COMPUTED_VALUE"""),"Anota Ai Solucoes Digitais S/a")</f>
        <v>Anota Ai Solucoes Digitais S/a</v>
      </c>
      <c r="N8467" s="33">
        <f>IFERROR(__xludf.DUMMYFUNCTION("""COMPUTED_VALUE"""),1.0)</f>
        <v>1</v>
      </c>
      <c r="O8467" s="4" t="str">
        <f>IFERROR(__xludf.DUMMYFUNCTION("""COMPUTED_VALUE"""),"Anota Ai Solucoes Digitais S/a")</f>
        <v>Anota Ai Solucoes Digitais S/a</v>
      </c>
      <c r="P8467" s="33">
        <f>IFERROR(__xludf.DUMMYFUNCTION("""COMPUTED_VALUE"""),1.0)</f>
        <v>1</v>
      </c>
      <c r="Q8467" s="4" t="str">
        <f>IFERROR(__xludf.DUMMYFUNCTION("""COMPUTED_VALUE"""),"Anota Ai Solucoes Digitais S/a")</f>
        <v>Anota Ai Solucoes Digitais S/a</v>
      </c>
      <c r="R8467" s="33">
        <f>IFERROR(__xludf.DUMMYFUNCTION("""COMPUTED_VALUE"""),1.0)</f>
        <v>1</v>
      </c>
      <c r="S8467" s="4" t="str">
        <f>IFERROR(__xludf.DUMMYFUNCTION("""COMPUTED_VALUE"""),"Anota Ai Solucoes Digitais S/a")</f>
        <v>Anota Ai Solucoes Digitais S/a</v>
      </c>
      <c r="T8467" s="33">
        <f>IFERROR(__xludf.DUMMYFUNCTION("""COMPUTED_VALUE"""),1.0)</f>
        <v>1</v>
      </c>
      <c r="U8467" s="4" t="str">
        <f>IFERROR(__xludf.DUMMYFUNCTION("""COMPUTED_VALUE"""),"Anota Ai Solucoes Digitais S/a")</f>
        <v>Anota Ai Solucoes Digitais S/a</v>
      </c>
      <c r="V8467" s="33">
        <f>IFERROR(__xludf.DUMMYFUNCTION("""COMPUTED_VALUE"""),1.0)</f>
        <v>1</v>
      </c>
      <c r="W8467" s="4" t="str">
        <f>IFERROR(__xludf.DUMMYFUNCTION("""COMPUTED_VALUE"""),"Anota Ai Solucoes Digitais S/a")</f>
        <v>Anota Ai Solucoes Digitais S/a</v>
      </c>
      <c r="X8467" s="33">
        <f>IFERROR(__xludf.DUMMYFUNCTION("""COMPUTED_VALUE"""),1.0)</f>
        <v>1</v>
      </c>
    </row>
    <row r="8468">
      <c r="K8468" s="4" t="str">
        <f>IFERROR(__xludf.DUMMYFUNCTION("""COMPUTED_VALUE"""),"VITELOS")</f>
        <v>VITELOS</v>
      </c>
      <c r="L8468" s="32">
        <f>IFERROR(__xludf.DUMMYFUNCTION("""COMPUTED_VALUE"""),1.0)</f>
        <v>1</v>
      </c>
      <c r="M8468" s="4" t="str">
        <f>IFERROR(__xludf.DUMMYFUNCTION("""COMPUTED_VALUE"""),"Ncr")</f>
        <v>Ncr</v>
      </c>
      <c r="N8468" s="33">
        <f>IFERROR(__xludf.DUMMYFUNCTION("""COMPUTED_VALUE"""),1.0)</f>
        <v>1</v>
      </c>
      <c r="O8468" s="4" t="str">
        <f>IFERROR(__xludf.DUMMYFUNCTION("""COMPUTED_VALUE"""),"Ncr")</f>
        <v>Ncr</v>
      </c>
      <c r="P8468" s="33">
        <f>IFERROR(__xludf.DUMMYFUNCTION("""COMPUTED_VALUE"""),1.0)</f>
        <v>1</v>
      </c>
      <c r="Q8468" s="4" t="str">
        <f>IFERROR(__xludf.DUMMYFUNCTION("""COMPUTED_VALUE"""),"Ncr")</f>
        <v>Ncr</v>
      </c>
      <c r="R8468" s="33">
        <f>IFERROR(__xludf.DUMMYFUNCTION("""COMPUTED_VALUE"""),1.0)</f>
        <v>1</v>
      </c>
      <c r="S8468" s="4" t="str">
        <f>IFERROR(__xludf.DUMMYFUNCTION("""COMPUTED_VALUE"""),"Ncr")</f>
        <v>Ncr</v>
      </c>
      <c r="T8468" s="33">
        <f>IFERROR(__xludf.DUMMYFUNCTION("""COMPUTED_VALUE"""),1.0)</f>
        <v>1</v>
      </c>
      <c r="U8468" s="4" t="str">
        <f>IFERROR(__xludf.DUMMYFUNCTION("""COMPUTED_VALUE"""),"Ncr")</f>
        <v>Ncr</v>
      </c>
      <c r="V8468" s="33">
        <f>IFERROR(__xludf.DUMMYFUNCTION("""COMPUTED_VALUE"""),1.0)</f>
        <v>1</v>
      </c>
      <c r="W8468" s="4" t="str">
        <f>IFERROR(__xludf.DUMMYFUNCTION("""COMPUTED_VALUE"""),"Ncr")</f>
        <v>Ncr</v>
      </c>
      <c r="X8468" s="33">
        <f>IFERROR(__xludf.DUMMYFUNCTION("""COMPUTED_VALUE"""),1.0)</f>
        <v>1</v>
      </c>
    </row>
    <row r="8469">
      <c r="K8469" s="4" t="str">
        <f>IFERROR(__xludf.DUMMYFUNCTION("""COMPUTED_VALUE"""),"PASTELARIA PASTEL E CIA - FEITO NA HORA")</f>
        <v>PASTELARIA PASTEL E CIA - FEITO NA HORA</v>
      </c>
      <c r="L8469" s="32">
        <f>IFERROR(__xludf.DUMMYFUNCTION("""COMPUTED_VALUE"""),1.0)</f>
        <v>1</v>
      </c>
      <c r="M8469" s="4" t="str">
        <f>IFERROR(__xludf.DUMMYFUNCTION("""COMPUTED_VALUE"""),"Alfa Labs")</f>
        <v>Alfa Labs</v>
      </c>
      <c r="N8469" s="33">
        <f>IFERROR(__xludf.DUMMYFUNCTION("""COMPUTED_VALUE"""),1.0)</f>
        <v>1</v>
      </c>
      <c r="O8469" s="4" t="str">
        <f>IFERROR(__xludf.DUMMYFUNCTION("""COMPUTED_VALUE"""),"Alfa Labs")</f>
        <v>Alfa Labs</v>
      </c>
      <c r="P8469" s="33">
        <f>IFERROR(__xludf.DUMMYFUNCTION("""COMPUTED_VALUE"""),1.0)</f>
        <v>1</v>
      </c>
      <c r="Q8469" s="4" t="str">
        <f>IFERROR(__xludf.DUMMYFUNCTION("""COMPUTED_VALUE"""),"Alfa Labs")</f>
        <v>Alfa Labs</v>
      </c>
      <c r="R8469" s="33">
        <f>IFERROR(__xludf.DUMMYFUNCTION("""COMPUTED_VALUE"""),1.0)</f>
        <v>1</v>
      </c>
      <c r="S8469" s="4" t="str">
        <f>IFERROR(__xludf.DUMMYFUNCTION("""COMPUTED_VALUE"""),"Alfa Labs")</f>
        <v>Alfa Labs</v>
      </c>
      <c r="T8469" s="33">
        <f>IFERROR(__xludf.DUMMYFUNCTION("""COMPUTED_VALUE"""),1.0)</f>
        <v>1</v>
      </c>
      <c r="U8469" s="4" t="str">
        <f>IFERROR(__xludf.DUMMYFUNCTION("""COMPUTED_VALUE"""),"Alfa Labs")</f>
        <v>Alfa Labs</v>
      </c>
      <c r="V8469" s="33">
        <f>IFERROR(__xludf.DUMMYFUNCTION("""COMPUTED_VALUE"""),1.0)</f>
        <v>1</v>
      </c>
      <c r="W8469" s="4" t="str">
        <f>IFERROR(__xludf.DUMMYFUNCTION("""COMPUTED_VALUE"""),"Alfa Labs")</f>
        <v>Alfa Labs</v>
      </c>
      <c r="X8469" s="33">
        <f>IFERROR(__xludf.DUMMYFUNCTION("""COMPUTED_VALUE"""),1.0)</f>
        <v>1</v>
      </c>
    </row>
    <row r="8470">
      <c r="K8470" s="4" t="str">
        <f>IFERROR(__xludf.DUMMYFUNCTION("""COMPUTED_VALUE"""),"FRUTA PAO PRAIA")</f>
        <v>FRUTA PAO PRAIA</v>
      </c>
      <c r="L8470" s="32">
        <f>IFERROR(__xludf.DUMMYFUNCTION("""COMPUTED_VALUE"""),1.0)</f>
        <v>1</v>
      </c>
      <c r="M8470" s="4" t="str">
        <f>IFERROR(__xludf.DUMMYFUNCTION("""COMPUTED_VALUE"""),"null")</f>
        <v>null</v>
      </c>
      <c r="N8470" s="33">
        <f>IFERROR(__xludf.DUMMYFUNCTION("""COMPUTED_VALUE"""),1.0)</f>
        <v>1</v>
      </c>
      <c r="O8470" s="4" t="str">
        <f>IFERROR(__xludf.DUMMYFUNCTION("""COMPUTED_VALUE"""),"null")</f>
        <v>null</v>
      </c>
      <c r="P8470" s="33">
        <f>IFERROR(__xludf.DUMMYFUNCTION("""COMPUTED_VALUE"""),1.0)</f>
        <v>1</v>
      </c>
      <c r="Q8470" s="4" t="str">
        <f>IFERROR(__xludf.DUMMYFUNCTION("""COMPUTED_VALUE"""),"null")</f>
        <v>null</v>
      </c>
      <c r="R8470" s="33">
        <f>IFERROR(__xludf.DUMMYFUNCTION("""COMPUTED_VALUE"""),1.0)</f>
        <v>1</v>
      </c>
      <c r="S8470" s="4" t="str">
        <f>IFERROR(__xludf.DUMMYFUNCTION("""COMPUTED_VALUE"""),"null")</f>
        <v>null</v>
      </c>
      <c r="T8470" s="33">
        <f>IFERROR(__xludf.DUMMYFUNCTION("""COMPUTED_VALUE"""),1.0)</f>
        <v>1</v>
      </c>
      <c r="U8470" s="4" t="str">
        <f>IFERROR(__xludf.DUMMYFUNCTION("""COMPUTED_VALUE"""),"Totvs Large Enterprise Tecnologia S.a.")</f>
        <v>Totvs Large Enterprise Tecnologia S.a.</v>
      </c>
      <c r="V8470" s="33">
        <f>IFERROR(__xludf.DUMMYFUNCTION("""COMPUTED_VALUE"""),1.0)</f>
        <v>1</v>
      </c>
      <c r="W8470" s="4" t="str">
        <f>IFERROR(__xludf.DUMMYFUNCTION("""COMPUTED_VALUE"""),"Totvs Large Enterprise Tecnologia S.a.")</f>
        <v>Totvs Large Enterprise Tecnologia S.a.</v>
      </c>
      <c r="X8470" s="33">
        <f>IFERROR(__xludf.DUMMYFUNCTION("""COMPUTED_VALUE"""),1.0)</f>
        <v>1</v>
      </c>
    </row>
    <row r="8471">
      <c r="K8471" s="4" t="str">
        <f>IFERROR(__xludf.DUMMYFUNCTION("""COMPUTED_VALUE"""),"DISTRITO SMASH")</f>
        <v>DISTRITO SMASH</v>
      </c>
      <c r="L8471" s="32">
        <f>IFERROR(__xludf.DUMMYFUNCTION("""COMPUTED_VALUE"""),1.0)</f>
        <v>1</v>
      </c>
      <c r="M8471" s="4" t="str">
        <f>IFERROR(__xludf.DUMMYFUNCTION("""COMPUTED_VALUE"""),"Consumer Soluções Em Tecnologia Ltda")</f>
        <v>Consumer Soluções Em Tecnologia Ltda</v>
      </c>
      <c r="N8471" s="33">
        <f>IFERROR(__xludf.DUMMYFUNCTION("""COMPUTED_VALUE"""),1.0)</f>
        <v>1</v>
      </c>
      <c r="O8471" s="4" t="str">
        <f>IFERROR(__xludf.DUMMYFUNCTION("""COMPUTED_VALUE"""),"null")</f>
        <v>null</v>
      </c>
      <c r="P8471" s="33">
        <f>IFERROR(__xludf.DUMMYFUNCTION("""COMPUTED_VALUE"""),1.0)</f>
        <v>1</v>
      </c>
      <c r="Q8471" s="4" t="str">
        <f>IFERROR(__xludf.DUMMYFUNCTION("""COMPUTED_VALUE"""),"Consumer Soluções Em Tecnologia Ltda")</f>
        <v>Consumer Soluções Em Tecnologia Ltda</v>
      </c>
      <c r="R8471" s="33">
        <f>IFERROR(__xludf.DUMMYFUNCTION("""COMPUTED_VALUE"""),1.0)</f>
        <v>1</v>
      </c>
      <c r="S8471" s="4" t="str">
        <f>IFERROR(__xludf.DUMMYFUNCTION("""COMPUTED_VALUE"""),"Consumer Soluções Em Tecnologia Ltda")</f>
        <v>Consumer Soluções Em Tecnologia Ltda</v>
      </c>
      <c r="T8471" s="33">
        <f>IFERROR(__xludf.DUMMYFUNCTION("""COMPUTED_VALUE"""),1.0)</f>
        <v>1</v>
      </c>
      <c r="U8471" s="4" t="str">
        <f>IFERROR(__xludf.DUMMYFUNCTION("""COMPUTED_VALUE"""),"null")</f>
        <v>null</v>
      </c>
      <c r="V8471" s="33">
        <f>IFERROR(__xludf.DUMMYFUNCTION("""COMPUTED_VALUE"""),1.0)</f>
        <v>1</v>
      </c>
      <c r="W8471" s="4" t="str">
        <f>IFERROR(__xludf.DUMMYFUNCTION("""COMPUTED_VALUE"""),"null")</f>
        <v>null</v>
      </c>
      <c r="X8471" s="33">
        <f>IFERROR(__xludf.DUMMYFUNCTION("""COMPUTED_VALUE"""),1.0)</f>
        <v>1</v>
      </c>
    </row>
    <row r="8472">
      <c r="K8472" s="4" t="str">
        <f>IFERROR(__xludf.DUMMYFUNCTION("""COMPUTED_VALUE"""),"PIZZBURGUER SR BATATA")</f>
        <v>PIZZBURGUER SR BATATA</v>
      </c>
      <c r="L8472" s="32">
        <f>IFERROR(__xludf.DUMMYFUNCTION("""COMPUTED_VALUE"""),1.0)</f>
        <v>1</v>
      </c>
      <c r="M8472" s="4" t="str">
        <f>IFERROR(__xludf.DUMMYFUNCTION("""COMPUTED_VALUE"""),"Saipos Serviços De Software")</f>
        <v>Saipos Serviços De Software</v>
      </c>
      <c r="N8472" s="33">
        <f>IFERROR(__xludf.DUMMYFUNCTION("""COMPUTED_VALUE"""),1.0)</f>
        <v>1</v>
      </c>
      <c r="O8472" s="4" t="str">
        <f>IFERROR(__xludf.DUMMYFUNCTION("""COMPUTED_VALUE"""),"Saipos Serviços De Software")</f>
        <v>Saipos Serviços De Software</v>
      </c>
      <c r="P8472" s="33">
        <f>IFERROR(__xludf.DUMMYFUNCTION("""COMPUTED_VALUE"""),1.0)</f>
        <v>1</v>
      </c>
      <c r="Q8472" s="4" t="str">
        <f>IFERROR(__xludf.DUMMYFUNCTION("""COMPUTED_VALUE"""),"Saipos Serviços De Software")</f>
        <v>Saipos Serviços De Software</v>
      </c>
      <c r="R8472" s="33">
        <f>IFERROR(__xludf.DUMMYFUNCTION("""COMPUTED_VALUE"""),1.0)</f>
        <v>1</v>
      </c>
      <c r="S8472" s="4" t="str">
        <f>IFERROR(__xludf.DUMMYFUNCTION("""COMPUTED_VALUE"""),"Saipos Serviços De Software")</f>
        <v>Saipos Serviços De Software</v>
      </c>
      <c r="T8472" s="33">
        <f>IFERROR(__xludf.DUMMYFUNCTION("""COMPUTED_VALUE"""),1.0)</f>
        <v>1</v>
      </c>
      <c r="U8472" s="4" t="str">
        <f>IFERROR(__xludf.DUMMYFUNCTION("""COMPUTED_VALUE"""),"Saipos Serviços De Software")</f>
        <v>Saipos Serviços De Software</v>
      </c>
      <c r="V8472" s="33">
        <f>IFERROR(__xludf.DUMMYFUNCTION("""COMPUTED_VALUE"""),1.0)</f>
        <v>1</v>
      </c>
      <c r="W8472" s="4" t="str">
        <f>IFERROR(__xludf.DUMMYFUNCTION("""COMPUTED_VALUE"""),"Saipos Serviços De Software")</f>
        <v>Saipos Serviços De Software</v>
      </c>
      <c r="X8472" s="33">
        <f>IFERROR(__xludf.DUMMYFUNCTION("""COMPUTED_VALUE"""),1.0)</f>
        <v>1</v>
      </c>
    </row>
    <row r="8473">
      <c r="K8473" s="4" t="str">
        <f>IFERROR(__xludf.DUMMYFUNCTION("""COMPUTED_VALUE"""),"MARMITARIA QUERO MAIS DOCES E SALGADOS")</f>
        <v>MARMITARIA QUERO MAIS DOCES E SALGADOS</v>
      </c>
      <c r="L8473" s="32">
        <f>IFERROR(__xludf.DUMMYFUNCTION("""COMPUTED_VALUE"""),1.0)</f>
        <v>1</v>
      </c>
      <c r="M8473" s="4" t="str">
        <f>IFERROR(__xludf.DUMMYFUNCTION("""COMPUTED_VALUE"""),"Cardápio Web")</f>
        <v>Cardápio Web</v>
      </c>
      <c r="N8473" s="33">
        <f>IFERROR(__xludf.DUMMYFUNCTION("""COMPUTED_VALUE"""),1.0)</f>
        <v>1</v>
      </c>
      <c r="O8473" s="4" t="str">
        <f>IFERROR(__xludf.DUMMYFUNCTION("""COMPUTED_VALUE"""),"null")</f>
        <v>null</v>
      </c>
      <c r="P8473" s="33">
        <f>IFERROR(__xludf.DUMMYFUNCTION("""COMPUTED_VALUE"""),1.0)</f>
        <v>1</v>
      </c>
      <c r="Q8473" s="4" t="str">
        <f>IFERROR(__xludf.DUMMYFUNCTION("""COMPUTED_VALUE"""),"null")</f>
        <v>null</v>
      </c>
      <c r="R8473" s="33">
        <f>IFERROR(__xludf.DUMMYFUNCTION("""COMPUTED_VALUE"""),1.0)</f>
        <v>1</v>
      </c>
      <c r="S8473" s="4" t="str">
        <f>IFERROR(__xludf.DUMMYFUNCTION("""COMPUTED_VALUE"""),"null")</f>
        <v>null</v>
      </c>
      <c r="T8473" s="33">
        <f>IFERROR(__xludf.DUMMYFUNCTION("""COMPUTED_VALUE"""),1.0)</f>
        <v>1</v>
      </c>
      <c r="U8473" s="4" t="str">
        <f>IFERROR(__xludf.DUMMYFUNCTION("""COMPUTED_VALUE"""),"null")</f>
        <v>null</v>
      </c>
      <c r="V8473" s="33">
        <f>IFERROR(__xludf.DUMMYFUNCTION("""COMPUTED_VALUE"""),1.0)</f>
        <v>1</v>
      </c>
      <c r="W8473" s="4" t="str">
        <f>IFERROR(__xludf.DUMMYFUNCTION("""COMPUTED_VALUE"""),"null")</f>
        <v>null</v>
      </c>
      <c r="X8473" s="33">
        <f>IFERROR(__xludf.DUMMYFUNCTION("""COMPUTED_VALUE"""),1.0)</f>
        <v>1</v>
      </c>
    </row>
    <row r="8474">
      <c r="K8474" s="4" t="str">
        <f>IFERROR(__xludf.DUMMYFUNCTION("""COMPUTED_VALUE"""),"DELICIAS SORVETES E CREPES")</f>
        <v>DELICIAS SORVETES E CREPES</v>
      </c>
      <c r="L8474" s="32">
        <f>IFERROR(__xludf.DUMMYFUNCTION("""COMPUTED_VALUE"""),1.0)</f>
        <v>1</v>
      </c>
      <c r="M8474" s="4" t="str">
        <f>IFERROR(__xludf.DUMMYFUNCTION("""COMPUTED_VALUE"""),"Anota Ai Solucoes Digitais S/a")</f>
        <v>Anota Ai Solucoes Digitais S/a</v>
      </c>
      <c r="N8474" s="33">
        <f>IFERROR(__xludf.DUMMYFUNCTION("""COMPUTED_VALUE"""),1.0)</f>
        <v>1</v>
      </c>
      <c r="O8474" s="4" t="str">
        <f>IFERROR(__xludf.DUMMYFUNCTION("""COMPUTED_VALUE"""),"Anota Ai Solucoes Digitais S/a")</f>
        <v>Anota Ai Solucoes Digitais S/a</v>
      </c>
      <c r="P8474" s="33">
        <f>IFERROR(__xludf.DUMMYFUNCTION("""COMPUTED_VALUE"""),1.0)</f>
        <v>1</v>
      </c>
      <c r="Q8474" s="4" t="str">
        <f>IFERROR(__xludf.DUMMYFUNCTION("""COMPUTED_VALUE"""),"null")</f>
        <v>null</v>
      </c>
      <c r="R8474" s="33">
        <f>IFERROR(__xludf.DUMMYFUNCTION("""COMPUTED_VALUE"""),1.0)</f>
        <v>1</v>
      </c>
      <c r="S8474" s="4" t="str">
        <f>IFERROR(__xludf.DUMMYFUNCTION("""COMPUTED_VALUE"""),"Anota Ai Solucoes Digitais S/a")</f>
        <v>Anota Ai Solucoes Digitais S/a</v>
      </c>
      <c r="T8474" s="33">
        <f>IFERROR(__xludf.DUMMYFUNCTION("""COMPUTED_VALUE"""),1.0)</f>
        <v>1</v>
      </c>
      <c r="U8474" s="4" t="str">
        <f>IFERROR(__xludf.DUMMYFUNCTION("""COMPUTED_VALUE"""),"Anota Ai Solucoes Digitais S/a")</f>
        <v>Anota Ai Solucoes Digitais S/a</v>
      </c>
      <c r="V8474" s="33">
        <f>IFERROR(__xludf.DUMMYFUNCTION("""COMPUTED_VALUE"""),1.0)</f>
        <v>1</v>
      </c>
      <c r="W8474" s="4" t="str">
        <f>IFERROR(__xludf.DUMMYFUNCTION("""COMPUTED_VALUE"""),"Anota Ai Solucoes Digitais S/a")</f>
        <v>Anota Ai Solucoes Digitais S/a</v>
      </c>
      <c r="X8474" s="33">
        <f>IFERROR(__xludf.DUMMYFUNCTION("""COMPUTED_VALUE"""),1.0)</f>
        <v>1</v>
      </c>
    </row>
    <row r="8475">
      <c r="K8475" s="4" t="str">
        <f>IFERROR(__xludf.DUMMYFUNCTION("""COMPUTED_VALUE"""),"HONESTA LARICA - HAMBURGUER ARTESANAL")</f>
        <v>HONESTA LARICA - HAMBURGUER ARTESANAL</v>
      </c>
      <c r="L8475" s="32">
        <f>IFERROR(__xludf.DUMMYFUNCTION("""COMPUTED_VALUE"""),1.0)</f>
        <v>1</v>
      </c>
      <c r="M8475" s="4" t="str">
        <f>IFERROR(__xludf.DUMMYFUNCTION("""COMPUTED_VALUE"""),"Yooga")</f>
        <v>Yooga</v>
      </c>
      <c r="N8475" s="33">
        <f>IFERROR(__xludf.DUMMYFUNCTION("""COMPUTED_VALUE"""),1.0)</f>
        <v>1</v>
      </c>
      <c r="O8475" s="4" t="str">
        <f>IFERROR(__xludf.DUMMYFUNCTION("""COMPUTED_VALUE"""),"Yooga")</f>
        <v>Yooga</v>
      </c>
      <c r="P8475" s="33">
        <f>IFERROR(__xludf.DUMMYFUNCTION("""COMPUTED_VALUE"""),1.0)</f>
        <v>1</v>
      </c>
      <c r="Q8475" s="4" t="str">
        <f>IFERROR(__xludf.DUMMYFUNCTION("""COMPUTED_VALUE"""),"Yooga")</f>
        <v>Yooga</v>
      </c>
      <c r="R8475" s="33">
        <f>IFERROR(__xludf.DUMMYFUNCTION("""COMPUTED_VALUE"""),1.0)</f>
        <v>1</v>
      </c>
      <c r="S8475" s="4" t="str">
        <f>IFERROR(__xludf.DUMMYFUNCTION("""COMPUTED_VALUE"""),"Yooga")</f>
        <v>Yooga</v>
      </c>
      <c r="T8475" s="33">
        <f>IFERROR(__xludf.DUMMYFUNCTION("""COMPUTED_VALUE"""),1.0)</f>
        <v>1</v>
      </c>
      <c r="U8475" s="4" t="str">
        <f>IFERROR(__xludf.DUMMYFUNCTION("""COMPUTED_VALUE"""),"Yooga")</f>
        <v>Yooga</v>
      </c>
      <c r="V8475" s="33">
        <f>IFERROR(__xludf.DUMMYFUNCTION("""COMPUTED_VALUE"""),1.0)</f>
        <v>1</v>
      </c>
      <c r="W8475" s="4" t="str">
        <f>IFERROR(__xludf.DUMMYFUNCTION("""COMPUTED_VALUE"""),"Yooga")</f>
        <v>Yooga</v>
      </c>
      <c r="X8475" s="33">
        <f>IFERROR(__xludf.DUMMYFUNCTION("""COMPUTED_VALUE"""),1.0)</f>
        <v>1</v>
      </c>
    </row>
    <row r="8476">
      <c r="K8476" s="4" t="str">
        <f>IFERROR(__xludf.DUMMYFUNCTION("""COMPUTED_VALUE"""),"LABORATORIO 96")</f>
        <v>LABORATORIO 96</v>
      </c>
      <c r="L8476" s="32">
        <f>IFERROR(__xludf.DUMMYFUNCTION("""COMPUTED_VALUE"""),1.0)</f>
        <v>1</v>
      </c>
      <c r="M8476" s="4" t="str">
        <f>IFERROR(__xludf.DUMMYFUNCTION("""COMPUTED_VALUE"""),"Consumer Soluções Em Tecnologia Ltda")</f>
        <v>Consumer Soluções Em Tecnologia Ltda</v>
      </c>
      <c r="N8476" s="33">
        <f>IFERROR(__xludf.DUMMYFUNCTION("""COMPUTED_VALUE"""),1.0)</f>
        <v>1</v>
      </c>
      <c r="O8476" s="4" t="str">
        <f>IFERROR(__xludf.DUMMYFUNCTION("""COMPUTED_VALUE"""),"null")</f>
        <v>null</v>
      </c>
      <c r="P8476" s="33">
        <f>IFERROR(__xludf.DUMMYFUNCTION("""COMPUTED_VALUE"""),1.0)</f>
        <v>1</v>
      </c>
      <c r="Q8476" s="4" t="str">
        <f>IFERROR(__xludf.DUMMYFUNCTION("""COMPUTED_VALUE"""),"null")</f>
        <v>null</v>
      </c>
      <c r="R8476" s="33">
        <f>IFERROR(__xludf.DUMMYFUNCTION("""COMPUTED_VALUE"""),1.0)</f>
        <v>1</v>
      </c>
      <c r="S8476" s="4" t="str">
        <f>IFERROR(__xludf.DUMMYFUNCTION("""COMPUTED_VALUE"""),"null")</f>
        <v>null</v>
      </c>
      <c r="T8476" s="33">
        <f>IFERROR(__xludf.DUMMYFUNCTION("""COMPUTED_VALUE"""),1.0)</f>
        <v>1</v>
      </c>
      <c r="U8476" s="4" t="str">
        <f>IFERROR(__xludf.DUMMYFUNCTION("""COMPUTED_VALUE"""),"Consumer Soluções Em Tecnologia Ltda")</f>
        <v>Consumer Soluções Em Tecnologia Ltda</v>
      </c>
      <c r="V8476" s="33">
        <f>IFERROR(__xludf.DUMMYFUNCTION("""COMPUTED_VALUE"""),1.0)</f>
        <v>1</v>
      </c>
      <c r="W8476" s="4" t="str">
        <f>IFERROR(__xludf.DUMMYFUNCTION("""COMPUTED_VALUE"""),"null")</f>
        <v>null</v>
      </c>
      <c r="X8476" s="33">
        <f>IFERROR(__xludf.DUMMYFUNCTION("""COMPUTED_VALUE"""),1.0)</f>
        <v>1</v>
      </c>
    </row>
    <row r="8477">
      <c r="K8477" s="4" t="str">
        <f>IFERROR(__xludf.DUMMYFUNCTION("""COMPUTED_VALUE"""),"BARBA X")</f>
        <v>BARBA X</v>
      </c>
      <c r="L8477" s="32">
        <f>IFERROR(__xludf.DUMMYFUNCTION("""COMPUTED_VALUE"""),1.0)</f>
        <v>1</v>
      </c>
      <c r="M8477" s="4" t="str">
        <f>IFERROR(__xludf.DUMMYFUNCTION("""COMPUTED_VALUE"""),"null")</f>
        <v>null</v>
      </c>
      <c r="N8477" s="33">
        <f>IFERROR(__xludf.DUMMYFUNCTION("""COMPUTED_VALUE"""),1.0)</f>
        <v>1</v>
      </c>
      <c r="O8477" s="4" t="str">
        <f>IFERROR(__xludf.DUMMYFUNCTION("""COMPUTED_VALUE"""),"Consumer Soluções Em Tecnologia Ltda")</f>
        <v>Consumer Soluções Em Tecnologia Ltda</v>
      </c>
      <c r="P8477" s="33">
        <f>IFERROR(__xludf.DUMMYFUNCTION("""COMPUTED_VALUE"""),1.0)</f>
        <v>1</v>
      </c>
      <c r="Q8477" s="4" t="str">
        <f>IFERROR(__xludf.DUMMYFUNCTION("""COMPUTED_VALUE"""),"Consumer Soluções Em Tecnologia Ltda")</f>
        <v>Consumer Soluções Em Tecnologia Ltda</v>
      </c>
      <c r="R8477" s="33">
        <f>IFERROR(__xludf.DUMMYFUNCTION("""COMPUTED_VALUE"""),1.0)</f>
        <v>1</v>
      </c>
      <c r="S8477" s="4" t="str">
        <f>IFERROR(__xludf.DUMMYFUNCTION("""COMPUTED_VALUE"""),"Consumer Soluções Em Tecnologia Ltda")</f>
        <v>Consumer Soluções Em Tecnologia Ltda</v>
      </c>
      <c r="T8477" s="33">
        <f>IFERROR(__xludf.DUMMYFUNCTION("""COMPUTED_VALUE"""),1.0)</f>
        <v>1</v>
      </c>
      <c r="U8477" s="4" t="str">
        <f>IFERROR(__xludf.DUMMYFUNCTION("""COMPUTED_VALUE"""),"null")</f>
        <v>null</v>
      </c>
      <c r="V8477" s="33">
        <f>IFERROR(__xludf.DUMMYFUNCTION("""COMPUTED_VALUE"""),1.0)</f>
        <v>1</v>
      </c>
      <c r="W8477" s="4" t="str">
        <f>IFERROR(__xludf.DUMMYFUNCTION("""COMPUTED_VALUE"""),"Consumer Soluções Em Tecnologia Ltda")</f>
        <v>Consumer Soluções Em Tecnologia Ltda</v>
      </c>
      <c r="X8477" s="33">
        <f>IFERROR(__xludf.DUMMYFUNCTION("""COMPUTED_VALUE"""),1.0)</f>
        <v>1</v>
      </c>
    </row>
    <row r="8478">
      <c r="K8478" s="4" t="str">
        <f>IFERROR(__xludf.DUMMYFUNCTION("""COMPUTED_VALUE"""),"KASA KAIADA")</f>
        <v>KASA KAIADA</v>
      </c>
      <c r="L8478" s="32">
        <f>IFERROR(__xludf.DUMMYFUNCTION("""COMPUTED_VALUE"""),1.0)</f>
        <v>1</v>
      </c>
      <c r="M8478" s="4" t="str">
        <f>IFERROR(__xludf.DUMMYFUNCTION("""COMPUTED_VALUE"""),"Saipos Serviços De Software")</f>
        <v>Saipos Serviços De Software</v>
      </c>
      <c r="N8478" s="33">
        <f>IFERROR(__xludf.DUMMYFUNCTION("""COMPUTED_VALUE"""),1.0)</f>
        <v>1</v>
      </c>
      <c r="O8478" s="4" t="str">
        <f>IFERROR(__xludf.DUMMYFUNCTION("""COMPUTED_VALUE"""),"Saipos Serviços De Software")</f>
        <v>Saipos Serviços De Software</v>
      </c>
      <c r="P8478" s="33">
        <f>IFERROR(__xludf.DUMMYFUNCTION("""COMPUTED_VALUE"""),1.0)</f>
        <v>1</v>
      </c>
      <c r="Q8478" s="4" t="str">
        <f>IFERROR(__xludf.DUMMYFUNCTION("""COMPUTED_VALUE"""),"Saipos Serviços De Software")</f>
        <v>Saipos Serviços De Software</v>
      </c>
      <c r="R8478" s="33">
        <f>IFERROR(__xludf.DUMMYFUNCTION("""COMPUTED_VALUE"""),1.0)</f>
        <v>1</v>
      </c>
      <c r="S8478" s="4" t="str">
        <f>IFERROR(__xludf.DUMMYFUNCTION("""COMPUTED_VALUE"""),"Saipos Serviços De Software")</f>
        <v>Saipos Serviços De Software</v>
      </c>
      <c r="T8478" s="33">
        <f>IFERROR(__xludf.DUMMYFUNCTION("""COMPUTED_VALUE"""),1.0)</f>
        <v>1</v>
      </c>
      <c r="U8478" s="4" t="str">
        <f>IFERROR(__xludf.DUMMYFUNCTION("""COMPUTED_VALUE"""),"Saipos Serviços De Software")</f>
        <v>Saipos Serviços De Software</v>
      </c>
      <c r="V8478" s="33">
        <f>IFERROR(__xludf.DUMMYFUNCTION("""COMPUTED_VALUE"""),1.0)</f>
        <v>1</v>
      </c>
      <c r="W8478" s="4" t="str">
        <f>IFERROR(__xludf.DUMMYFUNCTION("""COMPUTED_VALUE"""),"Saipos Serviços De Software")</f>
        <v>Saipos Serviços De Software</v>
      </c>
      <c r="X8478" s="33">
        <f>IFERROR(__xludf.DUMMYFUNCTION("""COMPUTED_VALUE"""),1.0)</f>
        <v>1</v>
      </c>
    </row>
    <row r="8479">
      <c r="K8479" s="4" t="str">
        <f>IFERROR(__xludf.DUMMYFUNCTION("""COMPUTED_VALUE"""),"DILLS BURGUER - HAMBURGUERIA")</f>
        <v>DILLS BURGUER - HAMBURGUERIA</v>
      </c>
      <c r="L8479" s="32">
        <f>IFERROR(__xludf.DUMMYFUNCTION("""COMPUTED_VALUE"""),1.0)</f>
        <v>1</v>
      </c>
      <c r="M8479" s="4" t="str">
        <f>IFERROR(__xludf.DUMMYFUNCTION("""COMPUTED_VALUE"""),"Anota Ai Solucoes Digitais S/a")</f>
        <v>Anota Ai Solucoes Digitais S/a</v>
      </c>
      <c r="N8479" s="33">
        <f>IFERROR(__xludf.DUMMYFUNCTION("""COMPUTED_VALUE"""),1.0)</f>
        <v>1</v>
      </c>
      <c r="O8479" s="4" t="str">
        <f>IFERROR(__xludf.DUMMYFUNCTION("""COMPUTED_VALUE"""),"Anota Ai Solucoes Digitais S/a")</f>
        <v>Anota Ai Solucoes Digitais S/a</v>
      </c>
      <c r="P8479" s="33">
        <f>IFERROR(__xludf.DUMMYFUNCTION("""COMPUTED_VALUE"""),1.0)</f>
        <v>1</v>
      </c>
      <c r="Q8479" s="4" t="str">
        <f>IFERROR(__xludf.DUMMYFUNCTION("""COMPUTED_VALUE"""),"Anota Ai Solucoes Digitais S/a")</f>
        <v>Anota Ai Solucoes Digitais S/a</v>
      </c>
      <c r="R8479" s="33">
        <f>IFERROR(__xludf.DUMMYFUNCTION("""COMPUTED_VALUE"""),1.0)</f>
        <v>1</v>
      </c>
      <c r="S8479" s="4" t="str">
        <f>IFERROR(__xludf.DUMMYFUNCTION("""COMPUTED_VALUE"""),"Anota Ai Solucoes Digitais S/a")</f>
        <v>Anota Ai Solucoes Digitais S/a</v>
      </c>
      <c r="T8479" s="33">
        <f>IFERROR(__xludf.DUMMYFUNCTION("""COMPUTED_VALUE"""),1.0)</f>
        <v>1</v>
      </c>
      <c r="U8479" s="4" t="str">
        <f>IFERROR(__xludf.DUMMYFUNCTION("""COMPUTED_VALUE"""),"Anota Ai Solucoes Digitais S/a")</f>
        <v>Anota Ai Solucoes Digitais S/a</v>
      </c>
      <c r="V8479" s="33">
        <f>IFERROR(__xludf.DUMMYFUNCTION("""COMPUTED_VALUE"""),1.0)</f>
        <v>1</v>
      </c>
      <c r="W8479" s="4" t="str">
        <f>IFERROR(__xludf.DUMMYFUNCTION("""COMPUTED_VALUE"""),"Anota Ai Solucoes Digitais S/a")</f>
        <v>Anota Ai Solucoes Digitais S/a</v>
      </c>
      <c r="X8479" s="33">
        <f>IFERROR(__xludf.DUMMYFUNCTION("""COMPUTED_VALUE"""),1.0)</f>
        <v>1</v>
      </c>
    </row>
    <row r="8480">
      <c r="K8480" s="4" t="str">
        <f>IFERROR(__xludf.DUMMYFUNCTION("""COMPUTED_VALUE"""),"O LANCHAO")</f>
        <v>O LANCHAO</v>
      </c>
      <c r="L8480" s="32">
        <f>IFERROR(__xludf.DUMMYFUNCTION("""COMPUTED_VALUE"""),1.0)</f>
        <v>1</v>
      </c>
      <c r="M8480" s="4" t="str">
        <f>IFERROR(__xludf.DUMMYFUNCTION("""COMPUTED_VALUE"""),"Cardápio Web")</f>
        <v>Cardápio Web</v>
      </c>
      <c r="N8480" s="33">
        <f>IFERROR(__xludf.DUMMYFUNCTION("""COMPUTED_VALUE"""),1.0)</f>
        <v>1</v>
      </c>
      <c r="O8480" s="4" t="str">
        <f>IFERROR(__xludf.DUMMYFUNCTION("""COMPUTED_VALUE"""),"Cardápio Web")</f>
        <v>Cardápio Web</v>
      </c>
      <c r="P8480" s="33">
        <f>IFERROR(__xludf.DUMMYFUNCTION("""COMPUTED_VALUE"""),1.0)</f>
        <v>1</v>
      </c>
      <c r="Q8480" s="4" t="str">
        <f>IFERROR(__xludf.DUMMYFUNCTION("""COMPUTED_VALUE"""),"Saipos Serviços De Software")</f>
        <v>Saipos Serviços De Software</v>
      </c>
      <c r="R8480" s="33">
        <f>IFERROR(__xludf.DUMMYFUNCTION("""COMPUTED_VALUE"""),1.0)</f>
        <v>1</v>
      </c>
      <c r="S8480" s="4" t="str">
        <f>IFERROR(__xludf.DUMMYFUNCTION("""COMPUTED_VALUE"""),"Saipos Serviços De Software")</f>
        <v>Saipos Serviços De Software</v>
      </c>
      <c r="T8480" s="33">
        <f>IFERROR(__xludf.DUMMYFUNCTION("""COMPUTED_VALUE"""),1.0)</f>
        <v>1</v>
      </c>
      <c r="U8480" s="4" t="str">
        <f>IFERROR(__xludf.DUMMYFUNCTION("""COMPUTED_VALUE"""),"Saipos Serviços De Software")</f>
        <v>Saipos Serviços De Software</v>
      </c>
      <c r="V8480" s="33">
        <f>IFERROR(__xludf.DUMMYFUNCTION("""COMPUTED_VALUE"""),1.0)</f>
        <v>1</v>
      </c>
      <c r="W8480" s="4" t="str">
        <f>IFERROR(__xludf.DUMMYFUNCTION("""COMPUTED_VALUE"""),"Cardápio Web")</f>
        <v>Cardápio Web</v>
      </c>
      <c r="X8480" s="33">
        <f>IFERROR(__xludf.DUMMYFUNCTION("""COMPUTED_VALUE"""),1.0)</f>
        <v>1</v>
      </c>
    </row>
    <row r="8481">
      <c r="K8481" s="4" t="str">
        <f>IFERROR(__xludf.DUMMYFUNCTION("""COMPUTED_VALUE"""),"NOA SUSHI TRES COROAS")</f>
        <v>NOA SUSHI TRES COROAS</v>
      </c>
      <c r="L8481" s="32">
        <f>IFERROR(__xludf.DUMMYFUNCTION("""COMPUTED_VALUE"""),1.0)</f>
        <v>1</v>
      </c>
      <c r="M8481" s="4" t="str">
        <f>IFERROR(__xludf.DUMMYFUNCTION("""COMPUTED_VALUE"""),"Mp Multipedidos")</f>
        <v>Mp Multipedidos</v>
      </c>
      <c r="N8481" s="33">
        <f>IFERROR(__xludf.DUMMYFUNCTION("""COMPUTED_VALUE"""),1.0)</f>
        <v>1</v>
      </c>
      <c r="O8481" s="4" t="str">
        <f>IFERROR(__xludf.DUMMYFUNCTION("""COMPUTED_VALUE"""),"null")</f>
        <v>null</v>
      </c>
      <c r="P8481" s="33">
        <f>IFERROR(__xludf.DUMMYFUNCTION("""COMPUTED_VALUE"""),1.0)</f>
        <v>1</v>
      </c>
      <c r="Q8481" s="4" t="str">
        <f>IFERROR(__xludf.DUMMYFUNCTION("""COMPUTED_VALUE"""),"Mp Multipedidos")</f>
        <v>Mp Multipedidos</v>
      </c>
      <c r="R8481" s="33">
        <f>IFERROR(__xludf.DUMMYFUNCTION("""COMPUTED_VALUE"""),1.0)</f>
        <v>1</v>
      </c>
      <c r="S8481" s="4" t="str">
        <f>IFERROR(__xludf.DUMMYFUNCTION("""COMPUTED_VALUE"""),"null")</f>
        <v>null</v>
      </c>
      <c r="T8481" s="33">
        <f>IFERROR(__xludf.DUMMYFUNCTION("""COMPUTED_VALUE"""),1.0)</f>
        <v>1</v>
      </c>
      <c r="U8481" s="4" t="str">
        <f>IFERROR(__xludf.DUMMYFUNCTION("""COMPUTED_VALUE"""),"Mp Multipedidos")</f>
        <v>Mp Multipedidos</v>
      </c>
      <c r="V8481" s="33">
        <f>IFERROR(__xludf.DUMMYFUNCTION("""COMPUTED_VALUE"""),1.0)</f>
        <v>1</v>
      </c>
      <c r="W8481" s="4" t="str">
        <f>IFERROR(__xludf.DUMMYFUNCTION("""COMPUTED_VALUE"""),"Mp Multipedidos")</f>
        <v>Mp Multipedidos</v>
      </c>
      <c r="X8481" s="33">
        <f>IFERROR(__xludf.DUMMYFUNCTION("""COMPUTED_VALUE"""),1.0)</f>
        <v>1</v>
      </c>
    </row>
    <row r="8482">
      <c r="K8482" s="4" t="str">
        <f>IFERROR(__xludf.DUMMYFUNCTION("""COMPUTED_VALUE"""),"ACQUA BURGUER")</f>
        <v>ACQUA BURGUER</v>
      </c>
      <c r="L8482" s="32">
        <f>IFERROR(__xludf.DUMMYFUNCTION("""COMPUTED_VALUE"""),1.0)</f>
        <v>1</v>
      </c>
      <c r="M8482" s="4" t="str">
        <f>IFERROR(__xludf.DUMMYFUNCTION("""COMPUTED_VALUE"""),"null")</f>
        <v>null</v>
      </c>
      <c r="N8482" s="33">
        <f>IFERROR(__xludf.DUMMYFUNCTION("""COMPUTED_VALUE"""),1.0)</f>
        <v>1</v>
      </c>
      <c r="O8482" s="4" t="str">
        <f>IFERROR(__xludf.DUMMYFUNCTION("""COMPUTED_VALUE"""),"Datacaixa Pdv")</f>
        <v>Datacaixa Pdv</v>
      </c>
      <c r="P8482" s="33">
        <f>IFERROR(__xludf.DUMMYFUNCTION("""COMPUTED_VALUE"""),1.0)</f>
        <v>1</v>
      </c>
      <c r="Q8482" s="4" t="str">
        <f>IFERROR(__xludf.DUMMYFUNCTION("""COMPUTED_VALUE"""),"Datacaixa Pdv")</f>
        <v>Datacaixa Pdv</v>
      </c>
      <c r="R8482" s="33">
        <f>IFERROR(__xludf.DUMMYFUNCTION("""COMPUTED_VALUE"""),1.0)</f>
        <v>1</v>
      </c>
      <c r="S8482" s="4" t="str">
        <f>IFERROR(__xludf.DUMMYFUNCTION("""COMPUTED_VALUE"""),"Datacaixa Pdv")</f>
        <v>Datacaixa Pdv</v>
      </c>
      <c r="T8482" s="33">
        <f>IFERROR(__xludf.DUMMYFUNCTION("""COMPUTED_VALUE"""),1.0)</f>
        <v>1</v>
      </c>
      <c r="U8482" s="4" t="str">
        <f>IFERROR(__xludf.DUMMYFUNCTION("""COMPUTED_VALUE"""),"Datacaixa Pdv")</f>
        <v>Datacaixa Pdv</v>
      </c>
      <c r="V8482" s="33">
        <f>IFERROR(__xludf.DUMMYFUNCTION("""COMPUTED_VALUE"""),1.0)</f>
        <v>1</v>
      </c>
      <c r="W8482" s="4" t="str">
        <f>IFERROR(__xludf.DUMMYFUNCTION("""COMPUTED_VALUE"""),"Datacaixa Pdv")</f>
        <v>Datacaixa Pdv</v>
      </c>
      <c r="X8482" s="33">
        <f>IFERROR(__xludf.DUMMYFUNCTION("""COMPUTED_VALUE"""),1.0)</f>
        <v>1</v>
      </c>
    </row>
    <row r="8483">
      <c r="K8483" s="4" t="str">
        <f>IFERROR(__xludf.DUMMYFUNCTION("""COMPUTED_VALUE"""),"DROGARIA RAFAELA FARMA - FARMACIA ALAMEDA YAYA")</f>
        <v>DROGARIA RAFAELA FARMA - FARMACIA ALAMEDA YAYA</v>
      </c>
      <c r="L8483" s="32">
        <f>IFERROR(__xludf.DUMMYFUNCTION("""COMPUTED_VALUE"""),1.0)</f>
        <v>1</v>
      </c>
      <c r="M8483" s="4" t="str">
        <f>IFERROR(__xludf.DUMMYFUNCTION("""COMPUTED_VALUE"""),"N/A (Not found)")</f>
        <v>N/A (Not found)</v>
      </c>
      <c r="N8483" s="33">
        <f>IFERROR(__xludf.DUMMYFUNCTION("""COMPUTED_VALUE"""),1.0)</f>
        <v>1</v>
      </c>
      <c r="O8483" s="4" t="str">
        <f>IFERROR(__xludf.DUMMYFUNCTION("""COMPUTED_VALUE"""),"N/A (Not found)")</f>
        <v>N/A (Not found)</v>
      </c>
      <c r="P8483" s="33">
        <f>IFERROR(__xludf.DUMMYFUNCTION("""COMPUTED_VALUE"""),1.0)</f>
        <v>1</v>
      </c>
      <c r="Q8483" s="4" t="str">
        <f>IFERROR(__xludf.DUMMYFUNCTION("""COMPUTED_VALUE"""),"N/A (Not found)")</f>
        <v>N/A (Not found)</v>
      </c>
      <c r="R8483" s="33">
        <f>IFERROR(__xludf.DUMMYFUNCTION("""COMPUTED_VALUE"""),1.0)</f>
        <v>1</v>
      </c>
      <c r="S8483" s="4" t="str">
        <f>IFERROR(__xludf.DUMMYFUNCTION("""COMPUTED_VALUE"""),"N/A (Not found)")</f>
        <v>N/A (Not found)</v>
      </c>
      <c r="T8483" s="33">
        <f>IFERROR(__xludf.DUMMYFUNCTION("""COMPUTED_VALUE"""),1.0)</f>
        <v>1</v>
      </c>
      <c r="U8483" s="4" t="str">
        <f>IFERROR(__xludf.DUMMYFUNCTION("""COMPUTED_VALUE"""),"N/A (Not found)")</f>
        <v>N/A (Not found)</v>
      </c>
      <c r="V8483" s="33">
        <f>IFERROR(__xludf.DUMMYFUNCTION("""COMPUTED_VALUE"""),1.0)</f>
        <v>1</v>
      </c>
      <c r="W8483" s="4" t="str">
        <f>IFERROR(__xludf.DUMMYFUNCTION("""COMPUTED_VALUE"""),"N/A (Not found)")</f>
        <v>N/A (Not found)</v>
      </c>
      <c r="X8483" s="33">
        <f>IFERROR(__xludf.DUMMYFUNCTION("""COMPUTED_VALUE"""),1.0)</f>
        <v>1</v>
      </c>
    </row>
    <row r="8484">
      <c r="K8484" s="4" t="str">
        <f>IFERROR(__xludf.DUMMYFUNCTION("""COMPUTED_VALUE"""),"RICCA PASTA")</f>
        <v>RICCA PASTA</v>
      </c>
      <c r="L8484" s="32">
        <f>IFERROR(__xludf.DUMMYFUNCTION("""COMPUTED_VALUE"""),1.0)</f>
        <v>1</v>
      </c>
      <c r="M8484" s="4" t="str">
        <f>IFERROR(__xludf.DUMMYFUNCTION("""COMPUTED_VALUE"""),"Connectplug")</f>
        <v>Connectplug</v>
      </c>
      <c r="N8484" s="33">
        <f>IFERROR(__xludf.DUMMYFUNCTION("""COMPUTED_VALUE"""),1.0)</f>
        <v>1</v>
      </c>
      <c r="O8484" s="4" t="str">
        <f>IFERROR(__xludf.DUMMYFUNCTION("""COMPUTED_VALUE"""),"Connectplug")</f>
        <v>Connectplug</v>
      </c>
      <c r="P8484" s="33">
        <f>IFERROR(__xludf.DUMMYFUNCTION("""COMPUTED_VALUE"""),1.0)</f>
        <v>1</v>
      </c>
      <c r="Q8484" s="4" t="str">
        <f>IFERROR(__xludf.DUMMYFUNCTION("""COMPUTED_VALUE"""),"Connectplug")</f>
        <v>Connectplug</v>
      </c>
      <c r="R8484" s="33">
        <f>IFERROR(__xludf.DUMMYFUNCTION("""COMPUTED_VALUE"""),1.0)</f>
        <v>1</v>
      </c>
      <c r="S8484" s="4" t="str">
        <f>IFERROR(__xludf.DUMMYFUNCTION("""COMPUTED_VALUE"""),"Connectplug")</f>
        <v>Connectplug</v>
      </c>
      <c r="T8484" s="33">
        <f>IFERROR(__xludf.DUMMYFUNCTION("""COMPUTED_VALUE"""),1.0)</f>
        <v>1</v>
      </c>
      <c r="U8484" s="4" t="str">
        <f>IFERROR(__xludf.DUMMYFUNCTION("""COMPUTED_VALUE"""),"Connectplug")</f>
        <v>Connectplug</v>
      </c>
      <c r="V8484" s="33">
        <f>IFERROR(__xludf.DUMMYFUNCTION("""COMPUTED_VALUE"""),1.0)</f>
        <v>1</v>
      </c>
      <c r="W8484" s="4" t="str">
        <f>IFERROR(__xludf.DUMMYFUNCTION("""COMPUTED_VALUE"""),"Connectplug")</f>
        <v>Connectplug</v>
      </c>
      <c r="X8484" s="33">
        <f>IFERROR(__xludf.DUMMYFUNCTION("""COMPUTED_VALUE"""),1.0)</f>
        <v>1</v>
      </c>
    </row>
    <row r="8485">
      <c r="K8485" s="4" t="str">
        <f>IFERROR(__xludf.DUMMYFUNCTION("""COMPUTED_VALUE"""),"ESTRELA FORMOSA PIZZAS")</f>
        <v>ESTRELA FORMOSA PIZZAS</v>
      </c>
      <c r="L8485" s="32">
        <f>IFERROR(__xludf.DUMMYFUNCTION("""COMPUTED_VALUE"""),1.0)</f>
        <v>1</v>
      </c>
      <c r="M8485" s="4" t="str">
        <f>IFERROR(__xludf.DUMMYFUNCTION("""COMPUTED_VALUE"""),"Grk Soluções Informatica Eireli")</f>
        <v>Grk Soluções Informatica Eireli</v>
      </c>
      <c r="N8485" s="33">
        <f>IFERROR(__xludf.DUMMYFUNCTION("""COMPUTED_VALUE"""),1.0)</f>
        <v>1</v>
      </c>
      <c r="O8485" s="4" t="str">
        <f>IFERROR(__xludf.DUMMYFUNCTION("""COMPUTED_VALUE"""),"Grk Soluções Informatica Eireli")</f>
        <v>Grk Soluções Informatica Eireli</v>
      </c>
      <c r="P8485" s="33">
        <f>IFERROR(__xludf.DUMMYFUNCTION("""COMPUTED_VALUE"""),1.0)</f>
        <v>1</v>
      </c>
      <c r="Q8485" s="4" t="str">
        <f>IFERROR(__xludf.DUMMYFUNCTION("""COMPUTED_VALUE"""),"Grk Soluções Informatica Eireli")</f>
        <v>Grk Soluções Informatica Eireli</v>
      </c>
      <c r="R8485" s="33">
        <f>IFERROR(__xludf.DUMMYFUNCTION("""COMPUTED_VALUE"""),1.0)</f>
        <v>1</v>
      </c>
      <c r="S8485" s="4" t="str">
        <f>IFERROR(__xludf.DUMMYFUNCTION("""COMPUTED_VALUE"""),"Grk Soluções Informatica Eireli")</f>
        <v>Grk Soluções Informatica Eireli</v>
      </c>
      <c r="T8485" s="33">
        <f>IFERROR(__xludf.DUMMYFUNCTION("""COMPUTED_VALUE"""),1.0)</f>
        <v>1</v>
      </c>
      <c r="U8485" s="4" t="str">
        <f>IFERROR(__xludf.DUMMYFUNCTION("""COMPUTED_VALUE"""),"Grk Soluções Informatica Eireli")</f>
        <v>Grk Soluções Informatica Eireli</v>
      </c>
      <c r="V8485" s="33">
        <f>IFERROR(__xludf.DUMMYFUNCTION("""COMPUTED_VALUE"""),1.0)</f>
        <v>1</v>
      </c>
      <c r="W8485" s="4" t="str">
        <f>IFERROR(__xludf.DUMMYFUNCTION("""COMPUTED_VALUE"""),"Grk Soluções Informatica Eireli")</f>
        <v>Grk Soluções Informatica Eireli</v>
      </c>
      <c r="X8485" s="33">
        <f>IFERROR(__xludf.DUMMYFUNCTION("""COMPUTED_VALUE"""),1.0)</f>
        <v>1</v>
      </c>
    </row>
    <row r="8486">
      <c r="K8486" s="4" t="str">
        <f>IFERROR(__xludf.DUMMYFUNCTION("""COMPUTED_VALUE"""),"PIZZA 15")</f>
        <v>PIZZA 15</v>
      </c>
      <c r="L8486" s="32">
        <f>IFERROR(__xludf.DUMMYFUNCTION("""COMPUTED_VALUE"""),1.0)</f>
        <v>1</v>
      </c>
      <c r="M8486" s="4" t="str">
        <f>IFERROR(__xludf.DUMMYFUNCTION("""COMPUTED_VALUE"""),"Anota Ai Solucoes Digitais S/a")</f>
        <v>Anota Ai Solucoes Digitais S/a</v>
      </c>
      <c r="N8486" s="33">
        <f>IFERROR(__xludf.DUMMYFUNCTION("""COMPUTED_VALUE"""),1.0)</f>
        <v>1</v>
      </c>
      <c r="O8486" s="4" t="str">
        <f>IFERROR(__xludf.DUMMYFUNCTION("""COMPUTED_VALUE"""),"Anota Ai Solucoes Digitais S/a")</f>
        <v>Anota Ai Solucoes Digitais S/a</v>
      </c>
      <c r="P8486" s="33">
        <f>IFERROR(__xludf.DUMMYFUNCTION("""COMPUTED_VALUE"""),1.0)</f>
        <v>1</v>
      </c>
      <c r="Q8486" s="4" t="str">
        <f>IFERROR(__xludf.DUMMYFUNCTION("""COMPUTED_VALUE"""),"Anota Ai Solucoes Digitais S/a")</f>
        <v>Anota Ai Solucoes Digitais S/a</v>
      </c>
      <c r="R8486" s="33">
        <f>IFERROR(__xludf.DUMMYFUNCTION("""COMPUTED_VALUE"""),1.0)</f>
        <v>1</v>
      </c>
      <c r="S8486" s="4" t="str">
        <f>IFERROR(__xludf.DUMMYFUNCTION("""COMPUTED_VALUE"""),"null")</f>
        <v>null</v>
      </c>
      <c r="T8486" s="33">
        <f>IFERROR(__xludf.DUMMYFUNCTION("""COMPUTED_VALUE"""),1.0)</f>
        <v>1</v>
      </c>
      <c r="U8486" s="4" t="str">
        <f>IFERROR(__xludf.DUMMYFUNCTION("""COMPUTED_VALUE"""),"Anota Ai Solucoes Digitais S/a")</f>
        <v>Anota Ai Solucoes Digitais S/a</v>
      </c>
      <c r="V8486" s="33">
        <f>IFERROR(__xludf.DUMMYFUNCTION("""COMPUTED_VALUE"""),1.0)</f>
        <v>1</v>
      </c>
      <c r="W8486" s="4" t="str">
        <f>IFERROR(__xludf.DUMMYFUNCTION("""COMPUTED_VALUE"""),"null")</f>
        <v>null</v>
      </c>
      <c r="X8486" s="33">
        <f>IFERROR(__xludf.DUMMYFUNCTION("""COMPUTED_VALUE"""),1.0)</f>
        <v>1</v>
      </c>
    </row>
    <row r="8487">
      <c r="K8487" s="4" t="str">
        <f>IFERROR(__xludf.DUMMYFUNCTION("""COMPUTED_VALUE"""),"MARMITARIA 2IRMAOS - DELIVERY")</f>
        <v>MARMITARIA 2IRMAOS - DELIVERY</v>
      </c>
      <c r="L8487" s="32">
        <f>IFERROR(__xludf.DUMMYFUNCTION("""COMPUTED_VALUE"""),1.0)</f>
        <v>1</v>
      </c>
      <c r="M8487" s="4" t="str">
        <f>IFERROR(__xludf.DUMMYFUNCTION("""COMPUTED_VALUE"""),"null")</f>
        <v>null</v>
      </c>
      <c r="N8487" s="33">
        <f>IFERROR(__xludf.DUMMYFUNCTION("""COMPUTED_VALUE"""),1.0)</f>
        <v>1</v>
      </c>
      <c r="O8487" s="4" t="str">
        <f>IFERROR(__xludf.DUMMYFUNCTION("""COMPUTED_VALUE"""),"null")</f>
        <v>null</v>
      </c>
      <c r="P8487" s="33">
        <f>IFERROR(__xludf.DUMMYFUNCTION("""COMPUTED_VALUE"""),1.0)</f>
        <v>1</v>
      </c>
      <c r="Q8487" s="4" t="str">
        <f>IFERROR(__xludf.DUMMYFUNCTION("""COMPUTED_VALUE"""),"null")</f>
        <v>null</v>
      </c>
      <c r="R8487" s="33">
        <f>IFERROR(__xludf.DUMMYFUNCTION("""COMPUTED_VALUE"""),1.0)</f>
        <v>1</v>
      </c>
      <c r="S8487" s="4" t="str">
        <f>IFERROR(__xludf.DUMMYFUNCTION("""COMPUTED_VALUE"""),"Ecta Tecnologia")</f>
        <v>Ecta Tecnologia</v>
      </c>
      <c r="T8487" s="33">
        <f>IFERROR(__xludf.DUMMYFUNCTION("""COMPUTED_VALUE"""),1.0)</f>
        <v>1</v>
      </c>
      <c r="U8487" s="4" t="str">
        <f>IFERROR(__xludf.DUMMYFUNCTION("""COMPUTED_VALUE"""),"null")</f>
        <v>null</v>
      </c>
      <c r="V8487" s="33">
        <f>IFERROR(__xludf.DUMMYFUNCTION("""COMPUTED_VALUE"""),1.0)</f>
        <v>1</v>
      </c>
      <c r="W8487" s="4" t="str">
        <f>IFERROR(__xludf.DUMMYFUNCTION("""COMPUTED_VALUE"""),"Ecta Tecnologia")</f>
        <v>Ecta Tecnologia</v>
      </c>
      <c r="X8487" s="33">
        <f>IFERROR(__xludf.DUMMYFUNCTION("""COMPUTED_VALUE"""),1.0)</f>
        <v>1</v>
      </c>
    </row>
    <row r="8488">
      <c r="K8488" s="4" t="str">
        <f>IFERROR(__xludf.DUMMYFUNCTION("""COMPUTED_VALUE"""),"TRIBAL BURGER")</f>
        <v>TRIBAL BURGER</v>
      </c>
      <c r="L8488" s="32">
        <f>IFERROR(__xludf.DUMMYFUNCTION("""COMPUTED_VALUE"""),1.0)</f>
        <v>1</v>
      </c>
      <c r="M8488" s="4" t="str">
        <f>IFERROR(__xludf.DUMMYFUNCTION("""COMPUTED_VALUE"""),"null")</f>
        <v>null</v>
      </c>
      <c r="N8488" s="33">
        <f>IFERROR(__xludf.DUMMYFUNCTION("""COMPUTED_VALUE"""),1.0)</f>
        <v>1</v>
      </c>
      <c r="O8488" s="4" t="str">
        <f>IFERROR(__xludf.DUMMYFUNCTION("""COMPUTED_VALUE"""),"Anota Ai Solucoes Digitais S/a")</f>
        <v>Anota Ai Solucoes Digitais S/a</v>
      </c>
      <c r="P8488" s="33">
        <f>IFERROR(__xludf.DUMMYFUNCTION("""COMPUTED_VALUE"""),1.0)</f>
        <v>1</v>
      </c>
      <c r="Q8488" s="4" t="str">
        <f>IFERROR(__xludf.DUMMYFUNCTION("""COMPUTED_VALUE"""),"Anota Ai Solucoes Digitais S/a")</f>
        <v>Anota Ai Solucoes Digitais S/a</v>
      </c>
      <c r="R8488" s="33">
        <f>IFERROR(__xludf.DUMMYFUNCTION("""COMPUTED_VALUE"""),1.0)</f>
        <v>1</v>
      </c>
      <c r="S8488" s="4" t="str">
        <f>IFERROR(__xludf.DUMMYFUNCTION("""COMPUTED_VALUE"""),"Anota Ai Solucoes Digitais S/a")</f>
        <v>Anota Ai Solucoes Digitais S/a</v>
      </c>
      <c r="T8488" s="33">
        <f>IFERROR(__xludf.DUMMYFUNCTION("""COMPUTED_VALUE"""),1.0)</f>
        <v>1</v>
      </c>
      <c r="U8488" s="4" t="str">
        <f>IFERROR(__xludf.DUMMYFUNCTION("""COMPUTED_VALUE"""),"Anota Ai Solucoes Digitais S/a")</f>
        <v>Anota Ai Solucoes Digitais S/a</v>
      </c>
      <c r="V8488" s="33">
        <f>IFERROR(__xludf.DUMMYFUNCTION("""COMPUTED_VALUE"""),1.0)</f>
        <v>1</v>
      </c>
      <c r="W8488" s="4" t="str">
        <f>IFERROR(__xludf.DUMMYFUNCTION("""COMPUTED_VALUE"""),"Anota Ai Solucoes Digitais S/a")</f>
        <v>Anota Ai Solucoes Digitais S/a</v>
      </c>
      <c r="X8488" s="33">
        <f>IFERROR(__xludf.DUMMYFUNCTION("""COMPUTED_VALUE"""),1.0)</f>
        <v>1</v>
      </c>
    </row>
    <row r="8489">
      <c r="K8489" s="4" t="str">
        <f>IFERROR(__xludf.DUMMYFUNCTION("""COMPUTED_VALUE"""),"SWEET AND FIT - DOCES SEM ACUCAR")</f>
        <v>SWEET AND FIT - DOCES SEM ACUCAR</v>
      </c>
      <c r="L8489" s="32">
        <f>IFERROR(__xludf.DUMMYFUNCTION("""COMPUTED_VALUE"""),1.0)</f>
        <v>1</v>
      </c>
      <c r="M8489" s="4" t="str">
        <f>IFERROR(__xludf.DUMMYFUNCTION("""COMPUTED_VALUE"""),"Yooga")</f>
        <v>Yooga</v>
      </c>
      <c r="N8489" s="33">
        <f>IFERROR(__xludf.DUMMYFUNCTION("""COMPUTED_VALUE"""),1.0)</f>
        <v>1</v>
      </c>
      <c r="O8489" s="4" t="str">
        <f>IFERROR(__xludf.DUMMYFUNCTION("""COMPUTED_VALUE"""),"Yooga")</f>
        <v>Yooga</v>
      </c>
      <c r="P8489" s="33">
        <f>IFERROR(__xludf.DUMMYFUNCTION("""COMPUTED_VALUE"""),1.0)</f>
        <v>1</v>
      </c>
      <c r="Q8489" s="4" t="str">
        <f>IFERROR(__xludf.DUMMYFUNCTION("""COMPUTED_VALUE"""),"Yooga")</f>
        <v>Yooga</v>
      </c>
      <c r="R8489" s="33">
        <f>IFERROR(__xludf.DUMMYFUNCTION("""COMPUTED_VALUE"""),1.0)</f>
        <v>1</v>
      </c>
      <c r="S8489" s="4" t="str">
        <f>IFERROR(__xludf.DUMMYFUNCTION("""COMPUTED_VALUE"""),"Yooga")</f>
        <v>Yooga</v>
      </c>
      <c r="T8489" s="33">
        <f>IFERROR(__xludf.DUMMYFUNCTION("""COMPUTED_VALUE"""),1.0)</f>
        <v>1</v>
      </c>
      <c r="U8489" s="4" t="str">
        <f>IFERROR(__xludf.DUMMYFUNCTION("""COMPUTED_VALUE"""),"Yooga")</f>
        <v>Yooga</v>
      </c>
      <c r="V8489" s="33">
        <f>IFERROR(__xludf.DUMMYFUNCTION("""COMPUTED_VALUE"""),1.0)</f>
        <v>1</v>
      </c>
      <c r="W8489" s="4" t="str">
        <f>IFERROR(__xludf.DUMMYFUNCTION("""COMPUTED_VALUE"""),"Yooga")</f>
        <v>Yooga</v>
      </c>
      <c r="X8489" s="33">
        <f>IFERROR(__xludf.DUMMYFUNCTION("""COMPUTED_VALUE"""),1.0)</f>
        <v>1</v>
      </c>
    </row>
    <row r="8490">
      <c r="K8490" s="4" t="str">
        <f>IFERROR(__xludf.DUMMYFUNCTION("""COMPUTED_VALUE"""),"LR DOCES CONFEITARIA E HAMBURGUEIRA")</f>
        <v>LR DOCES CONFEITARIA E HAMBURGUEIRA</v>
      </c>
      <c r="L8490" s="32">
        <f>IFERROR(__xludf.DUMMYFUNCTION("""COMPUTED_VALUE"""),1.0)</f>
        <v>1</v>
      </c>
      <c r="M8490" s="4" t="str">
        <f>IFERROR(__xludf.DUMMYFUNCTION("""COMPUTED_VALUE"""),"null")</f>
        <v>null</v>
      </c>
      <c r="N8490" s="33">
        <f>IFERROR(__xludf.DUMMYFUNCTION("""COMPUTED_VALUE"""),1.0)</f>
        <v>1</v>
      </c>
      <c r="O8490" s="4" t="str">
        <f>IFERROR(__xludf.DUMMYFUNCTION("""COMPUTED_VALUE"""),"null")</f>
        <v>null</v>
      </c>
      <c r="P8490" s="33">
        <f>IFERROR(__xludf.DUMMYFUNCTION("""COMPUTED_VALUE"""),1.0)</f>
        <v>1</v>
      </c>
      <c r="Q8490" s="4" t="str">
        <f>IFERROR(__xludf.DUMMYFUNCTION("""COMPUTED_VALUE"""),"Cardápio Web")</f>
        <v>Cardápio Web</v>
      </c>
      <c r="R8490" s="33">
        <f>IFERROR(__xludf.DUMMYFUNCTION("""COMPUTED_VALUE"""),1.0)</f>
        <v>1</v>
      </c>
      <c r="S8490" s="4" t="str">
        <f>IFERROR(__xludf.DUMMYFUNCTION("""COMPUTED_VALUE"""),"Cardápio Web")</f>
        <v>Cardápio Web</v>
      </c>
      <c r="T8490" s="33">
        <f>IFERROR(__xludf.DUMMYFUNCTION("""COMPUTED_VALUE"""),1.0)</f>
        <v>1</v>
      </c>
      <c r="U8490" s="4" t="str">
        <f>IFERROR(__xludf.DUMMYFUNCTION("""COMPUTED_VALUE"""),"Cardápio Web")</f>
        <v>Cardápio Web</v>
      </c>
      <c r="V8490" s="33">
        <f>IFERROR(__xludf.DUMMYFUNCTION("""COMPUTED_VALUE"""),1.0)</f>
        <v>1</v>
      </c>
      <c r="W8490" s="4" t="str">
        <f>IFERROR(__xludf.DUMMYFUNCTION("""COMPUTED_VALUE"""),"Cardápio Web")</f>
        <v>Cardápio Web</v>
      </c>
      <c r="X8490" s="33">
        <f>IFERROR(__xludf.DUMMYFUNCTION("""COMPUTED_VALUE"""),1.0)</f>
        <v>1</v>
      </c>
    </row>
    <row r="8491">
      <c r="K8491" s="4" t="str">
        <f>IFERROR(__xludf.DUMMYFUNCTION("""COMPUTED_VALUE"""),"PRI DOCERIA , SALGADINHOS")</f>
        <v>PRI DOCERIA , SALGADINHOS</v>
      </c>
      <c r="L8491" s="32">
        <f>IFERROR(__xludf.DUMMYFUNCTION("""COMPUTED_VALUE"""),1.0)</f>
        <v>1</v>
      </c>
      <c r="M8491" s="4" t="str">
        <f>IFERROR(__xludf.DUMMYFUNCTION("""COMPUTED_VALUE"""),"Cardápio Web")</f>
        <v>Cardápio Web</v>
      </c>
      <c r="N8491" s="33">
        <f>IFERROR(__xludf.DUMMYFUNCTION("""COMPUTED_VALUE"""),1.0)</f>
        <v>1</v>
      </c>
      <c r="O8491" s="4" t="str">
        <f>IFERROR(__xludf.DUMMYFUNCTION("""COMPUTED_VALUE"""),"Cardápio Web")</f>
        <v>Cardápio Web</v>
      </c>
      <c r="P8491" s="33">
        <f>IFERROR(__xludf.DUMMYFUNCTION("""COMPUTED_VALUE"""),1.0)</f>
        <v>1</v>
      </c>
      <c r="Q8491" s="4" t="str">
        <f>IFERROR(__xludf.DUMMYFUNCTION("""COMPUTED_VALUE"""),"Cardápio Web")</f>
        <v>Cardápio Web</v>
      </c>
      <c r="R8491" s="33">
        <f>IFERROR(__xludf.DUMMYFUNCTION("""COMPUTED_VALUE"""),1.0)</f>
        <v>1</v>
      </c>
      <c r="S8491" s="4" t="str">
        <f>IFERROR(__xludf.DUMMYFUNCTION("""COMPUTED_VALUE"""),"null")</f>
        <v>null</v>
      </c>
      <c r="T8491" s="33">
        <f>IFERROR(__xludf.DUMMYFUNCTION("""COMPUTED_VALUE"""),1.0)</f>
        <v>1</v>
      </c>
      <c r="U8491" s="4" t="str">
        <f>IFERROR(__xludf.DUMMYFUNCTION("""COMPUTED_VALUE"""),"null")</f>
        <v>null</v>
      </c>
      <c r="V8491" s="33">
        <f>IFERROR(__xludf.DUMMYFUNCTION("""COMPUTED_VALUE"""),1.0)</f>
        <v>1</v>
      </c>
      <c r="W8491" s="4" t="str">
        <f>IFERROR(__xludf.DUMMYFUNCTION("""COMPUTED_VALUE"""),"null")</f>
        <v>null</v>
      </c>
      <c r="X8491" s="33">
        <f>IFERROR(__xludf.DUMMYFUNCTION("""COMPUTED_VALUE"""),1.0)</f>
        <v>1</v>
      </c>
    </row>
    <row r="8492">
      <c r="K8492" s="4" t="str">
        <f>IFERROR(__xludf.DUMMYFUNCTION("""COMPUTED_VALUE"""),"PEDRAO")</f>
        <v>PEDRAO</v>
      </c>
      <c r="L8492" s="32">
        <f>IFERROR(__xludf.DUMMYFUNCTION("""COMPUTED_VALUE"""),1.0)</f>
        <v>1</v>
      </c>
      <c r="M8492" s="4" t="str">
        <f>IFERROR(__xludf.DUMMYFUNCTION("""COMPUTED_VALUE"""),"Menu Integrado")</f>
        <v>Menu Integrado</v>
      </c>
      <c r="N8492" s="33">
        <f>IFERROR(__xludf.DUMMYFUNCTION("""COMPUTED_VALUE"""),1.0)</f>
        <v>1</v>
      </c>
      <c r="O8492" s="4" t="str">
        <f>IFERROR(__xludf.DUMMYFUNCTION("""COMPUTED_VALUE"""),"Menu Integrado")</f>
        <v>Menu Integrado</v>
      </c>
      <c r="P8492" s="33">
        <f>IFERROR(__xludf.DUMMYFUNCTION("""COMPUTED_VALUE"""),1.0)</f>
        <v>1</v>
      </c>
      <c r="Q8492" s="4" t="str">
        <f>IFERROR(__xludf.DUMMYFUNCTION("""COMPUTED_VALUE"""),"null")</f>
        <v>null</v>
      </c>
      <c r="R8492" s="33">
        <f>IFERROR(__xludf.DUMMYFUNCTION("""COMPUTED_VALUE"""),1.0)</f>
        <v>1</v>
      </c>
      <c r="S8492" s="4" t="str">
        <f>IFERROR(__xludf.DUMMYFUNCTION("""COMPUTED_VALUE"""),"null")</f>
        <v>null</v>
      </c>
      <c r="T8492" s="33">
        <f>IFERROR(__xludf.DUMMYFUNCTION("""COMPUTED_VALUE"""),1.0)</f>
        <v>1</v>
      </c>
      <c r="U8492" s="4" t="str">
        <f>IFERROR(__xludf.DUMMYFUNCTION("""COMPUTED_VALUE"""),"Menu Integrado")</f>
        <v>Menu Integrado</v>
      </c>
      <c r="V8492" s="33">
        <f>IFERROR(__xludf.DUMMYFUNCTION("""COMPUTED_VALUE"""),1.0)</f>
        <v>1</v>
      </c>
      <c r="W8492" s="4" t="str">
        <f>IFERROR(__xludf.DUMMYFUNCTION("""COMPUTED_VALUE"""),"null")</f>
        <v>null</v>
      </c>
      <c r="X8492" s="33">
        <f>IFERROR(__xludf.DUMMYFUNCTION("""COMPUTED_VALUE"""),1.0)</f>
        <v>1</v>
      </c>
    </row>
    <row r="8493">
      <c r="K8493" s="4" t="str">
        <f>IFERROR(__xludf.DUMMYFUNCTION("""COMPUTED_VALUE"""),"PIZZARIA 211 - DU JOAO CAMPO BELO")</f>
        <v>PIZZARIA 211 - DU JOAO CAMPO BELO</v>
      </c>
      <c r="L8493" s="32">
        <f>IFERROR(__xludf.DUMMYFUNCTION("""COMPUTED_VALUE"""),1.0)</f>
        <v>1</v>
      </c>
      <c r="M8493" s="4" t="str">
        <f>IFERROR(__xludf.DUMMYFUNCTION("""COMPUTED_VALUE"""),"Expresso Delivery")</f>
        <v>Expresso Delivery</v>
      </c>
      <c r="N8493" s="33">
        <f>IFERROR(__xludf.DUMMYFUNCTION("""COMPUTED_VALUE"""),1.0)</f>
        <v>1</v>
      </c>
      <c r="O8493" s="4" t="str">
        <f>IFERROR(__xludf.DUMMYFUNCTION("""COMPUTED_VALUE"""),"Expresso Delivery")</f>
        <v>Expresso Delivery</v>
      </c>
      <c r="P8493" s="33">
        <f>IFERROR(__xludf.DUMMYFUNCTION("""COMPUTED_VALUE"""),1.0)</f>
        <v>1</v>
      </c>
      <c r="Q8493" s="4" t="str">
        <f>IFERROR(__xludf.DUMMYFUNCTION("""COMPUTED_VALUE"""),"Expresso Delivery")</f>
        <v>Expresso Delivery</v>
      </c>
      <c r="R8493" s="33">
        <f>IFERROR(__xludf.DUMMYFUNCTION("""COMPUTED_VALUE"""),1.0)</f>
        <v>1</v>
      </c>
      <c r="S8493" s="4" t="str">
        <f>IFERROR(__xludf.DUMMYFUNCTION("""COMPUTED_VALUE"""),"Expresso Delivery")</f>
        <v>Expresso Delivery</v>
      </c>
      <c r="T8493" s="33">
        <f>IFERROR(__xludf.DUMMYFUNCTION("""COMPUTED_VALUE"""),1.0)</f>
        <v>1</v>
      </c>
      <c r="U8493" s="4" t="str">
        <f>IFERROR(__xludf.DUMMYFUNCTION("""COMPUTED_VALUE"""),"Expresso Delivery")</f>
        <v>Expresso Delivery</v>
      </c>
      <c r="V8493" s="33">
        <f>IFERROR(__xludf.DUMMYFUNCTION("""COMPUTED_VALUE"""),1.0)</f>
        <v>1</v>
      </c>
      <c r="W8493" s="4" t="str">
        <f>IFERROR(__xludf.DUMMYFUNCTION("""COMPUTED_VALUE"""),"Expresso Delivery")</f>
        <v>Expresso Delivery</v>
      </c>
      <c r="X8493" s="33">
        <f>IFERROR(__xludf.DUMMYFUNCTION("""COMPUTED_VALUE"""),1.0)</f>
        <v>1</v>
      </c>
    </row>
    <row r="8494">
      <c r="K8494" s="4" t="str">
        <f>IFERROR(__xludf.DUMMYFUNCTION("""COMPUTED_VALUE"""),"VADEPIZZA")</f>
        <v>VADEPIZZA</v>
      </c>
      <c r="L8494" s="32">
        <f>IFERROR(__xludf.DUMMYFUNCTION("""COMPUTED_VALUE"""),1.0)</f>
        <v>1</v>
      </c>
      <c r="M8494" s="4" t="str">
        <f>IFERROR(__xludf.DUMMYFUNCTION("""COMPUTED_VALUE"""),"null")</f>
        <v>null</v>
      </c>
      <c r="N8494" s="33">
        <f>IFERROR(__xludf.DUMMYFUNCTION("""COMPUTED_VALUE"""),1.0)</f>
        <v>1</v>
      </c>
      <c r="O8494" s="4" t="str">
        <f>IFERROR(__xludf.DUMMYFUNCTION("""COMPUTED_VALUE"""),"null")</f>
        <v>null</v>
      </c>
      <c r="P8494" s="33">
        <f>IFERROR(__xludf.DUMMYFUNCTION("""COMPUTED_VALUE"""),1.0)</f>
        <v>1</v>
      </c>
      <c r="Q8494" s="4" t="str">
        <f>IFERROR(__xludf.DUMMYFUNCTION("""COMPUTED_VALUE"""),"null")</f>
        <v>null</v>
      </c>
      <c r="R8494" s="33">
        <f>IFERROR(__xludf.DUMMYFUNCTION("""COMPUTED_VALUE"""),1.0)</f>
        <v>1</v>
      </c>
      <c r="S8494" s="4" t="str">
        <f>IFERROR(__xludf.DUMMYFUNCTION("""COMPUTED_VALUE"""),"null")</f>
        <v>null</v>
      </c>
      <c r="T8494" s="33">
        <f>IFERROR(__xludf.DUMMYFUNCTION("""COMPUTED_VALUE"""),1.0)</f>
        <v>1</v>
      </c>
      <c r="U8494" s="4" t="str">
        <f>IFERROR(__xludf.DUMMYFUNCTION("""COMPUTED_VALUE"""),"Brendi")</f>
        <v>Brendi</v>
      </c>
      <c r="V8494" s="33">
        <f>IFERROR(__xludf.DUMMYFUNCTION("""COMPUTED_VALUE"""),1.0)</f>
        <v>1</v>
      </c>
      <c r="W8494" s="4" t="str">
        <f>IFERROR(__xludf.DUMMYFUNCTION("""COMPUTED_VALUE"""),"null")</f>
        <v>null</v>
      </c>
      <c r="X8494" s="33">
        <f>IFERROR(__xludf.DUMMYFUNCTION("""COMPUTED_VALUE"""),1.0)</f>
        <v>1</v>
      </c>
    </row>
    <row r="8495">
      <c r="K8495" s="4" t="str">
        <f>IFERROR(__xludf.DUMMYFUNCTION("""COMPUTED_VALUE"""),"LML BURGER ARTESANAL")</f>
        <v>LML BURGER ARTESANAL</v>
      </c>
      <c r="L8495" s="32">
        <f>IFERROR(__xludf.DUMMYFUNCTION("""COMPUTED_VALUE"""),1.0)</f>
        <v>1</v>
      </c>
      <c r="M8495" s="4" t="str">
        <f>IFERROR(__xludf.DUMMYFUNCTION("""COMPUTED_VALUE"""),"Cardápio Web")</f>
        <v>Cardápio Web</v>
      </c>
      <c r="N8495" s="33">
        <f>IFERROR(__xludf.DUMMYFUNCTION("""COMPUTED_VALUE"""),1.0)</f>
        <v>1</v>
      </c>
      <c r="O8495" s="4" t="str">
        <f>IFERROR(__xludf.DUMMYFUNCTION("""COMPUTED_VALUE"""),"Cardápio Web")</f>
        <v>Cardápio Web</v>
      </c>
      <c r="P8495" s="33">
        <f>IFERROR(__xludf.DUMMYFUNCTION("""COMPUTED_VALUE"""),1.0)</f>
        <v>1</v>
      </c>
      <c r="Q8495" s="4" t="str">
        <f>IFERROR(__xludf.DUMMYFUNCTION("""COMPUTED_VALUE"""),"Cardápio Web")</f>
        <v>Cardápio Web</v>
      </c>
      <c r="R8495" s="33">
        <f>IFERROR(__xludf.DUMMYFUNCTION("""COMPUTED_VALUE"""),1.0)</f>
        <v>1</v>
      </c>
      <c r="S8495" s="4" t="str">
        <f>IFERROR(__xludf.DUMMYFUNCTION("""COMPUTED_VALUE"""),"Cardápio Web")</f>
        <v>Cardápio Web</v>
      </c>
      <c r="T8495" s="33">
        <f>IFERROR(__xludf.DUMMYFUNCTION("""COMPUTED_VALUE"""),1.0)</f>
        <v>1</v>
      </c>
      <c r="U8495" s="4" t="str">
        <f>IFERROR(__xludf.DUMMYFUNCTION("""COMPUTED_VALUE"""),"Cardápio Web")</f>
        <v>Cardápio Web</v>
      </c>
      <c r="V8495" s="33">
        <f>IFERROR(__xludf.DUMMYFUNCTION("""COMPUTED_VALUE"""),1.0)</f>
        <v>1</v>
      </c>
      <c r="W8495" s="4" t="str">
        <f>IFERROR(__xludf.DUMMYFUNCTION("""COMPUTED_VALUE"""),"Cardápio Web")</f>
        <v>Cardápio Web</v>
      </c>
      <c r="X8495" s="33">
        <f>IFERROR(__xludf.DUMMYFUNCTION("""COMPUTED_VALUE"""),1.0)</f>
        <v>1</v>
      </c>
    </row>
    <row r="8496">
      <c r="K8496" s="4" t="str">
        <f>IFERROR(__xludf.DUMMYFUNCTION("""COMPUTED_VALUE"""),"LANCHONETE ACRE LANCHE ACAI TROPICAL")</f>
        <v>LANCHONETE ACRE LANCHE ACAI TROPICAL</v>
      </c>
      <c r="L8496" s="32">
        <f>IFERROR(__xludf.DUMMYFUNCTION("""COMPUTED_VALUE"""),1.0)</f>
        <v>1</v>
      </c>
      <c r="M8496" s="4" t="str">
        <f>IFERROR(__xludf.DUMMYFUNCTION("""COMPUTED_VALUE"""),"Mp Multipedidos")</f>
        <v>Mp Multipedidos</v>
      </c>
      <c r="N8496" s="33">
        <f>IFERROR(__xludf.DUMMYFUNCTION("""COMPUTED_VALUE"""),1.0)</f>
        <v>1</v>
      </c>
      <c r="O8496" s="4" t="str">
        <f>IFERROR(__xludf.DUMMYFUNCTION("""COMPUTED_VALUE"""),"Mp Multipedidos")</f>
        <v>Mp Multipedidos</v>
      </c>
      <c r="P8496" s="33">
        <f>IFERROR(__xludf.DUMMYFUNCTION("""COMPUTED_VALUE"""),1.0)</f>
        <v>1</v>
      </c>
      <c r="Q8496" s="4" t="str">
        <f>IFERROR(__xludf.DUMMYFUNCTION("""COMPUTED_VALUE"""),"Mp Multipedidos")</f>
        <v>Mp Multipedidos</v>
      </c>
      <c r="R8496" s="33">
        <f>IFERROR(__xludf.DUMMYFUNCTION("""COMPUTED_VALUE"""),1.0)</f>
        <v>1</v>
      </c>
      <c r="S8496" s="4" t="str">
        <f>IFERROR(__xludf.DUMMYFUNCTION("""COMPUTED_VALUE"""),"Mp Multipedidos")</f>
        <v>Mp Multipedidos</v>
      </c>
      <c r="T8496" s="33">
        <f>IFERROR(__xludf.DUMMYFUNCTION("""COMPUTED_VALUE"""),1.0)</f>
        <v>1</v>
      </c>
      <c r="U8496" s="4" t="str">
        <f>IFERROR(__xludf.DUMMYFUNCTION("""COMPUTED_VALUE"""),"Mp Multipedidos")</f>
        <v>Mp Multipedidos</v>
      </c>
      <c r="V8496" s="33">
        <f>IFERROR(__xludf.DUMMYFUNCTION("""COMPUTED_VALUE"""),1.0)</f>
        <v>1</v>
      </c>
      <c r="W8496" s="4" t="str">
        <f>IFERROR(__xludf.DUMMYFUNCTION("""COMPUTED_VALUE"""),"Mp Multipedidos")</f>
        <v>Mp Multipedidos</v>
      </c>
      <c r="X8496" s="33">
        <f>IFERROR(__xludf.DUMMYFUNCTION("""COMPUTED_VALUE"""),1.0)</f>
        <v>1</v>
      </c>
    </row>
    <row r="8497">
      <c r="K8497" s="4" t="str">
        <f>IFERROR(__xludf.DUMMYFUNCTION("""COMPUTED_VALUE"""),"PIZZARIA IL CAPO PIZZA")</f>
        <v>PIZZARIA IL CAPO PIZZA</v>
      </c>
      <c r="L8497" s="32">
        <f>IFERROR(__xludf.DUMMYFUNCTION("""COMPUTED_VALUE"""),1.0)</f>
        <v>1</v>
      </c>
      <c r="M8497" s="4" t="str">
        <f>IFERROR(__xludf.DUMMYFUNCTION("""COMPUTED_VALUE"""),"Cardápio Web")</f>
        <v>Cardápio Web</v>
      </c>
      <c r="N8497" s="33">
        <f>IFERROR(__xludf.DUMMYFUNCTION("""COMPUTED_VALUE"""),1.0)</f>
        <v>1</v>
      </c>
      <c r="O8497" s="4" t="str">
        <f>IFERROR(__xludf.DUMMYFUNCTION("""COMPUTED_VALUE"""),"null")</f>
        <v>null</v>
      </c>
      <c r="P8497" s="33">
        <f>IFERROR(__xludf.DUMMYFUNCTION("""COMPUTED_VALUE"""),1.0)</f>
        <v>1</v>
      </c>
      <c r="Q8497" s="4" t="str">
        <f>IFERROR(__xludf.DUMMYFUNCTION("""COMPUTED_VALUE"""),"Cardápio Web")</f>
        <v>Cardápio Web</v>
      </c>
      <c r="R8497" s="33">
        <f>IFERROR(__xludf.DUMMYFUNCTION("""COMPUTED_VALUE"""),1.0)</f>
        <v>1</v>
      </c>
      <c r="S8497" s="4" t="str">
        <f>IFERROR(__xludf.DUMMYFUNCTION("""COMPUTED_VALUE"""),"Agilizup Solucoes Ltda")</f>
        <v>Agilizup Solucoes Ltda</v>
      </c>
      <c r="T8497" s="33">
        <f>IFERROR(__xludf.DUMMYFUNCTION("""COMPUTED_VALUE"""),1.0)</f>
        <v>1</v>
      </c>
      <c r="U8497" s="4" t="str">
        <f>IFERROR(__xludf.DUMMYFUNCTION("""COMPUTED_VALUE"""),"Cardápio Web")</f>
        <v>Cardápio Web</v>
      </c>
      <c r="V8497" s="33">
        <f>IFERROR(__xludf.DUMMYFUNCTION("""COMPUTED_VALUE"""),1.0)</f>
        <v>1</v>
      </c>
      <c r="W8497" s="4" t="str">
        <f>IFERROR(__xludf.DUMMYFUNCTION("""COMPUTED_VALUE"""),"Agilizup Solucoes Ltda")</f>
        <v>Agilizup Solucoes Ltda</v>
      </c>
      <c r="X8497" s="33">
        <f>IFERROR(__xludf.DUMMYFUNCTION("""COMPUTED_VALUE"""),1.0)</f>
        <v>1</v>
      </c>
    </row>
    <row r="8498">
      <c r="K8498" s="4" t="str">
        <f>IFERROR(__xludf.DUMMYFUNCTION("""COMPUTED_VALUE"""),"FRANGUINHO VILA VELHA")</f>
        <v>FRANGUINHO VILA VELHA</v>
      </c>
      <c r="L8498" s="32">
        <f>IFERROR(__xludf.DUMMYFUNCTION("""COMPUTED_VALUE"""),1.0)</f>
        <v>1</v>
      </c>
      <c r="M8498" s="4" t="str">
        <f>IFERROR(__xludf.DUMMYFUNCTION("""COMPUTED_VALUE"""),"Saipos Serviços De Software")</f>
        <v>Saipos Serviços De Software</v>
      </c>
      <c r="N8498" s="33">
        <f>IFERROR(__xludf.DUMMYFUNCTION("""COMPUTED_VALUE"""),1.0)</f>
        <v>1</v>
      </c>
      <c r="O8498" s="4" t="str">
        <f>IFERROR(__xludf.DUMMYFUNCTION("""COMPUTED_VALUE"""),"Saipos Serviços De Software")</f>
        <v>Saipos Serviços De Software</v>
      </c>
      <c r="P8498" s="33">
        <f>IFERROR(__xludf.DUMMYFUNCTION("""COMPUTED_VALUE"""),1.0)</f>
        <v>1</v>
      </c>
      <c r="Q8498" s="4" t="str">
        <f>IFERROR(__xludf.DUMMYFUNCTION("""COMPUTED_VALUE"""),"Saipos Serviços De Software")</f>
        <v>Saipos Serviços De Software</v>
      </c>
      <c r="R8498" s="33">
        <f>IFERROR(__xludf.DUMMYFUNCTION("""COMPUTED_VALUE"""),1.0)</f>
        <v>1</v>
      </c>
      <c r="S8498" s="4" t="str">
        <f>IFERROR(__xludf.DUMMYFUNCTION("""COMPUTED_VALUE"""),"Saipos Serviços De Software")</f>
        <v>Saipos Serviços De Software</v>
      </c>
      <c r="T8498" s="33">
        <f>IFERROR(__xludf.DUMMYFUNCTION("""COMPUTED_VALUE"""),1.0)</f>
        <v>1</v>
      </c>
      <c r="U8498" s="4" t="str">
        <f>IFERROR(__xludf.DUMMYFUNCTION("""COMPUTED_VALUE"""),"Saipos Serviços De Software")</f>
        <v>Saipos Serviços De Software</v>
      </c>
      <c r="V8498" s="33">
        <f>IFERROR(__xludf.DUMMYFUNCTION("""COMPUTED_VALUE"""),1.0)</f>
        <v>1</v>
      </c>
      <c r="W8498" s="4" t="str">
        <f>IFERROR(__xludf.DUMMYFUNCTION("""COMPUTED_VALUE"""),"Saipos Serviços De Software")</f>
        <v>Saipos Serviços De Software</v>
      </c>
      <c r="X8498" s="33">
        <f>IFERROR(__xludf.DUMMYFUNCTION("""COMPUTED_VALUE"""),1.0)</f>
        <v>1</v>
      </c>
    </row>
    <row r="8499">
      <c r="K8499" s="4" t="str">
        <f>IFERROR(__xludf.DUMMYFUNCTION("""COMPUTED_VALUE"""),"OBY LANCHES")</f>
        <v>OBY LANCHES</v>
      </c>
      <c r="L8499" s="32">
        <f>IFERROR(__xludf.DUMMYFUNCTION("""COMPUTED_VALUE"""),1.0)</f>
        <v>1</v>
      </c>
      <c r="M8499" s="4" t="str">
        <f>IFERROR(__xludf.DUMMYFUNCTION("""COMPUTED_VALUE"""),"Saipos Serviços De Software")</f>
        <v>Saipos Serviços De Software</v>
      </c>
      <c r="N8499" s="33">
        <f>IFERROR(__xludf.DUMMYFUNCTION("""COMPUTED_VALUE"""),1.0)</f>
        <v>1</v>
      </c>
      <c r="O8499" s="4" t="str">
        <f>IFERROR(__xludf.DUMMYFUNCTION("""COMPUTED_VALUE"""),"null")</f>
        <v>null</v>
      </c>
      <c r="P8499" s="33">
        <f>IFERROR(__xludf.DUMMYFUNCTION("""COMPUTED_VALUE"""),1.0)</f>
        <v>1</v>
      </c>
      <c r="Q8499" s="4" t="str">
        <f>IFERROR(__xludf.DUMMYFUNCTION("""COMPUTED_VALUE"""),"null")</f>
        <v>null</v>
      </c>
      <c r="R8499" s="33">
        <f>IFERROR(__xludf.DUMMYFUNCTION("""COMPUTED_VALUE"""),1.0)</f>
        <v>1</v>
      </c>
      <c r="S8499" s="4" t="str">
        <f>IFERROR(__xludf.DUMMYFUNCTION("""COMPUTED_VALUE"""),"Saipos Serviços De Software")</f>
        <v>Saipos Serviços De Software</v>
      </c>
      <c r="T8499" s="33">
        <f>IFERROR(__xludf.DUMMYFUNCTION("""COMPUTED_VALUE"""),1.0)</f>
        <v>1</v>
      </c>
      <c r="U8499" s="4" t="str">
        <f>IFERROR(__xludf.DUMMYFUNCTION("""COMPUTED_VALUE"""),"null")</f>
        <v>null</v>
      </c>
      <c r="V8499" s="33">
        <f>IFERROR(__xludf.DUMMYFUNCTION("""COMPUTED_VALUE"""),1.0)</f>
        <v>1</v>
      </c>
      <c r="W8499" s="4" t="str">
        <f>IFERROR(__xludf.DUMMYFUNCTION("""COMPUTED_VALUE"""),"null")</f>
        <v>null</v>
      </c>
      <c r="X8499" s="33">
        <f>IFERROR(__xludf.DUMMYFUNCTION("""COMPUTED_VALUE"""),1.0)</f>
        <v>1</v>
      </c>
    </row>
    <row r="8500">
      <c r="K8500" s="4" t="str">
        <f>IFERROR(__xludf.DUMMYFUNCTION("""COMPUTED_VALUE"""),"FARMACIA RIBEIRA")</f>
        <v>FARMACIA RIBEIRA</v>
      </c>
      <c r="L8500" s="32">
        <f>IFERROR(__xludf.DUMMYFUNCTION("""COMPUTED_VALUE"""),1.0)</f>
        <v>1</v>
      </c>
      <c r="M8500" s="4" t="str">
        <f>IFERROR(__xludf.DUMMYFUNCTION("""COMPUTED_VALUE"""),"N/A (Not found)")</f>
        <v>N/A (Not found)</v>
      </c>
      <c r="N8500" s="33">
        <f>IFERROR(__xludf.DUMMYFUNCTION("""COMPUTED_VALUE"""),1.0)</f>
        <v>1</v>
      </c>
      <c r="O8500" s="4" t="str">
        <f>IFERROR(__xludf.DUMMYFUNCTION("""COMPUTED_VALUE"""),"null")</f>
        <v>null</v>
      </c>
      <c r="P8500" s="33">
        <f>IFERROR(__xludf.DUMMYFUNCTION("""COMPUTED_VALUE"""),1.0)</f>
        <v>1</v>
      </c>
      <c r="Q8500" s="4" t="str">
        <f>IFERROR(__xludf.DUMMYFUNCTION("""COMPUTED_VALUE"""),"N/A (Not found)")</f>
        <v>N/A (Not found)</v>
      </c>
      <c r="R8500" s="33">
        <f>IFERROR(__xludf.DUMMYFUNCTION("""COMPUTED_VALUE"""),1.0)</f>
        <v>1</v>
      </c>
      <c r="S8500" s="4" t="str">
        <f>IFERROR(__xludf.DUMMYFUNCTION("""COMPUTED_VALUE"""),"N/A (Not found)")</f>
        <v>N/A (Not found)</v>
      </c>
      <c r="T8500" s="33">
        <f>IFERROR(__xludf.DUMMYFUNCTION("""COMPUTED_VALUE"""),1.0)</f>
        <v>1</v>
      </c>
      <c r="U8500" s="4" t="str">
        <f>IFERROR(__xludf.DUMMYFUNCTION("""COMPUTED_VALUE"""),"null")</f>
        <v>null</v>
      </c>
      <c r="V8500" s="33">
        <f>IFERROR(__xludf.DUMMYFUNCTION("""COMPUTED_VALUE"""),1.0)</f>
        <v>1</v>
      </c>
      <c r="W8500" s="4" t="str">
        <f>IFERROR(__xludf.DUMMYFUNCTION("""COMPUTED_VALUE"""),"N/A (Not found)")</f>
        <v>N/A (Not found)</v>
      </c>
      <c r="X8500" s="33">
        <f>IFERROR(__xludf.DUMMYFUNCTION("""COMPUTED_VALUE"""),1.0)</f>
        <v>1</v>
      </c>
    </row>
    <row r="8501">
      <c r="K8501" s="4" t="str">
        <f>IFERROR(__xludf.DUMMYFUNCTION("""COMPUTED_VALUE"""),"CASA DE MAINHA")</f>
        <v>CASA DE MAINHA</v>
      </c>
      <c r="L8501" s="32">
        <f>IFERROR(__xludf.DUMMYFUNCTION("""COMPUTED_VALUE"""),1.0)</f>
        <v>1</v>
      </c>
      <c r="M8501" s="4" t="str">
        <f>IFERROR(__xludf.DUMMYFUNCTION("""COMPUTED_VALUE"""),"Consumer Soluções Em Tecnologia Ltda")</f>
        <v>Consumer Soluções Em Tecnologia Ltda</v>
      </c>
      <c r="N8501" s="33">
        <f>IFERROR(__xludf.DUMMYFUNCTION("""COMPUTED_VALUE"""),1.0)</f>
        <v>1</v>
      </c>
      <c r="O8501" s="4" t="str">
        <f>IFERROR(__xludf.DUMMYFUNCTION("""COMPUTED_VALUE"""),"Whatsmenu Ltda")</f>
        <v>Whatsmenu Ltda</v>
      </c>
      <c r="P8501" s="33">
        <f>IFERROR(__xludf.DUMMYFUNCTION("""COMPUTED_VALUE"""),1.0)</f>
        <v>1</v>
      </c>
      <c r="Q8501" s="4" t="str">
        <f>IFERROR(__xludf.DUMMYFUNCTION("""COMPUTED_VALUE"""),"Whatsmenu Ltda")</f>
        <v>Whatsmenu Ltda</v>
      </c>
      <c r="R8501" s="33">
        <f>IFERROR(__xludf.DUMMYFUNCTION("""COMPUTED_VALUE"""),1.0)</f>
        <v>1</v>
      </c>
      <c r="S8501" s="4" t="str">
        <f>IFERROR(__xludf.DUMMYFUNCTION("""COMPUTED_VALUE"""),"Whatsmenu Ltda")</f>
        <v>Whatsmenu Ltda</v>
      </c>
      <c r="T8501" s="33">
        <f>IFERROR(__xludf.DUMMYFUNCTION("""COMPUTED_VALUE"""),1.0)</f>
        <v>1</v>
      </c>
      <c r="U8501" s="4" t="str">
        <f>IFERROR(__xludf.DUMMYFUNCTION("""COMPUTED_VALUE"""),"Whatsmenu Ltda")</f>
        <v>Whatsmenu Ltda</v>
      </c>
      <c r="V8501" s="33">
        <f>IFERROR(__xludf.DUMMYFUNCTION("""COMPUTED_VALUE"""),1.0)</f>
        <v>1</v>
      </c>
      <c r="W8501" s="4" t="str">
        <f>IFERROR(__xludf.DUMMYFUNCTION("""COMPUTED_VALUE"""),"null")</f>
        <v>null</v>
      </c>
      <c r="X8501" s="33">
        <f>IFERROR(__xludf.DUMMYFUNCTION("""COMPUTED_VALUE"""),1.0)</f>
        <v>1</v>
      </c>
    </row>
    <row r="8502">
      <c r="K8502" s="4" t="str">
        <f>IFERROR(__xludf.DUMMYFUNCTION("""COMPUTED_VALUE"""),"BERGHANS BURGER")</f>
        <v>BERGHANS BURGER</v>
      </c>
      <c r="L8502" s="32">
        <f>IFERROR(__xludf.DUMMYFUNCTION("""COMPUTED_VALUE"""),1.0)</f>
        <v>1</v>
      </c>
      <c r="M8502" s="4" t="str">
        <f>IFERROR(__xludf.DUMMYFUNCTION("""COMPUTED_VALUE"""),"Cervantes Tecnologia")</f>
        <v>Cervantes Tecnologia</v>
      </c>
      <c r="N8502" s="33">
        <f>IFERROR(__xludf.DUMMYFUNCTION("""COMPUTED_VALUE"""),1.0)</f>
        <v>1</v>
      </c>
      <c r="O8502" s="4" t="str">
        <f>IFERROR(__xludf.DUMMYFUNCTION("""COMPUTED_VALUE"""),"Cervantes Tecnologia")</f>
        <v>Cervantes Tecnologia</v>
      </c>
      <c r="P8502" s="33">
        <f>IFERROR(__xludf.DUMMYFUNCTION("""COMPUTED_VALUE"""),1.0)</f>
        <v>1</v>
      </c>
      <c r="Q8502" s="4" t="str">
        <f>IFERROR(__xludf.DUMMYFUNCTION("""COMPUTED_VALUE"""),"null")</f>
        <v>null</v>
      </c>
      <c r="R8502" s="33">
        <f>IFERROR(__xludf.DUMMYFUNCTION("""COMPUTED_VALUE"""),1.0)</f>
        <v>1</v>
      </c>
      <c r="S8502" s="4" t="str">
        <f>IFERROR(__xludf.DUMMYFUNCTION("""COMPUTED_VALUE"""),"Suitable Tecnologia E Gestao")</f>
        <v>Suitable Tecnologia E Gestao</v>
      </c>
      <c r="T8502" s="33">
        <f>IFERROR(__xludf.DUMMYFUNCTION("""COMPUTED_VALUE"""),1.0)</f>
        <v>1</v>
      </c>
      <c r="U8502" s="4" t="str">
        <f>IFERROR(__xludf.DUMMYFUNCTION("""COMPUTED_VALUE"""),"Suitable Tecnologia E Gestao")</f>
        <v>Suitable Tecnologia E Gestao</v>
      </c>
      <c r="V8502" s="33">
        <f>IFERROR(__xludf.DUMMYFUNCTION("""COMPUTED_VALUE"""),1.0)</f>
        <v>1</v>
      </c>
      <c r="W8502" s="4" t="str">
        <f>IFERROR(__xludf.DUMMYFUNCTION("""COMPUTED_VALUE"""),"Suitable Tecnologia E Gestao")</f>
        <v>Suitable Tecnologia E Gestao</v>
      </c>
      <c r="X8502" s="33">
        <f>IFERROR(__xludf.DUMMYFUNCTION("""COMPUTED_VALUE"""),1.0)</f>
        <v>1</v>
      </c>
    </row>
    <row r="8503">
      <c r="K8503" s="4" t="str">
        <f>IFERROR(__xludf.DUMMYFUNCTION("""COMPUTED_VALUE"""),"MASTER DOG MARINGA")</f>
        <v>MASTER DOG MARINGA</v>
      </c>
      <c r="L8503" s="32">
        <f>IFERROR(__xludf.DUMMYFUNCTION("""COMPUTED_VALUE"""),1.0)</f>
        <v>1</v>
      </c>
      <c r="M8503" s="4" t="str">
        <f>IFERROR(__xludf.DUMMYFUNCTION("""COMPUTED_VALUE"""),"Resulti Sistemas")</f>
        <v>Resulti Sistemas</v>
      </c>
      <c r="N8503" s="33">
        <f>IFERROR(__xludf.DUMMYFUNCTION("""COMPUTED_VALUE"""),1.0)</f>
        <v>1</v>
      </c>
      <c r="O8503" s="4" t="str">
        <f>IFERROR(__xludf.DUMMYFUNCTION("""COMPUTED_VALUE"""),"Resulti Sistemas")</f>
        <v>Resulti Sistemas</v>
      </c>
      <c r="P8503" s="33">
        <f>IFERROR(__xludf.DUMMYFUNCTION("""COMPUTED_VALUE"""),1.0)</f>
        <v>1</v>
      </c>
      <c r="Q8503" s="4" t="str">
        <f>IFERROR(__xludf.DUMMYFUNCTION("""COMPUTED_VALUE"""),"null")</f>
        <v>null</v>
      </c>
      <c r="R8503" s="33">
        <f>IFERROR(__xludf.DUMMYFUNCTION("""COMPUTED_VALUE"""),1.0)</f>
        <v>1</v>
      </c>
      <c r="S8503" s="4" t="str">
        <f>IFERROR(__xludf.DUMMYFUNCTION("""COMPUTED_VALUE"""),"null")</f>
        <v>null</v>
      </c>
      <c r="T8503" s="33">
        <f>IFERROR(__xludf.DUMMYFUNCTION("""COMPUTED_VALUE"""),1.0)</f>
        <v>1</v>
      </c>
      <c r="U8503" s="4" t="str">
        <f>IFERROR(__xludf.DUMMYFUNCTION("""COMPUTED_VALUE"""),"Resulti Sistemas")</f>
        <v>Resulti Sistemas</v>
      </c>
      <c r="V8503" s="33">
        <f>IFERROR(__xludf.DUMMYFUNCTION("""COMPUTED_VALUE"""),1.0)</f>
        <v>1</v>
      </c>
      <c r="W8503" s="4" t="str">
        <f>IFERROR(__xludf.DUMMYFUNCTION("""COMPUTED_VALUE"""),"null")</f>
        <v>null</v>
      </c>
      <c r="X8503" s="33">
        <f>IFERROR(__xludf.DUMMYFUNCTION("""COMPUTED_VALUE"""),1.0)</f>
        <v>1</v>
      </c>
    </row>
    <row r="8504">
      <c r="K8504" s="4" t="str">
        <f>IFERROR(__xludf.DUMMYFUNCTION("""COMPUTED_VALUE"""),"BAGUNCINHA LANCHES")</f>
        <v>BAGUNCINHA LANCHES</v>
      </c>
      <c r="L8504" s="32">
        <f>IFERROR(__xludf.DUMMYFUNCTION("""COMPUTED_VALUE"""),1.0)</f>
        <v>1</v>
      </c>
      <c r="M8504" s="4" t="str">
        <f>IFERROR(__xludf.DUMMYFUNCTION("""COMPUTED_VALUE"""),"Cardápio Web")</f>
        <v>Cardápio Web</v>
      </c>
      <c r="N8504" s="33">
        <f>IFERROR(__xludf.DUMMYFUNCTION("""COMPUTED_VALUE"""),1.0)</f>
        <v>1</v>
      </c>
      <c r="O8504" s="4" t="str">
        <f>IFERROR(__xludf.DUMMYFUNCTION("""COMPUTED_VALUE"""),"Cardápio Web")</f>
        <v>Cardápio Web</v>
      </c>
      <c r="P8504" s="33">
        <f>IFERROR(__xludf.DUMMYFUNCTION("""COMPUTED_VALUE"""),1.0)</f>
        <v>1</v>
      </c>
      <c r="Q8504" s="4" t="str">
        <f>IFERROR(__xludf.DUMMYFUNCTION("""COMPUTED_VALUE"""),"Cardápio Web")</f>
        <v>Cardápio Web</v>
      </c>
      <c r="R8504" s="33">
        <f>IFERROR(__xludf.DUMMYFUNCTION("""COMPUTED_VALUE"""),1.0)</f>
        <v>1</v>
      </c>
      <c r="S8504" s="4" t="str">
        <f>IFERROR(__xludf.DUMMYFUNCTION("""COMPUTED_VALUE"""),"Cardápio Web")</f>
        <v>Cardápio Web</v>
      </c>
      <c r="T8504" s="33">
        <f>IFERROR(__xludf.DUMMYFUNCTION("""COMPUTED_VALUE"""),1.0)</f>
        <v>1</v>
      </c>
      <c r="U8504" s="4" t="str">
        <f>IFERROR(__xludf.DUMMYFUNCTION("""COMPUTED_VALUE"""),"Cardápio Web")</f>
        <v>Cardápio Web</v>
      </c>
      <c r="V8504" s="33">
        <f>IFERROR(__xludf.DUMMYFUNCTION("""COMPUTED_VALUE"""),1.0)</f>
        <v>1</v>
      </c>
      <c r="W8504" s="4" t="str">
        <f>IFERROR(__xludf.DUMMYFUNCTION("""COMPUTED_VALUE"""),"Cardápio Web")</f>
        <v>Cardápio Web</v>
      </c>
      <c r="X8504" s="33">
        <f>IFERROR(__xludf.DUMMYFUNCTION("""COMPUTED_VALUE"""),1.0)</f>
        <v>1</v>
      </c>
    </row>
    <row r="8505">
      <c r="K8505" s="4" t="str">
        <f>IFERROR(__xludf.DUMMYFUNCTION("""COMPUTED_VALUE"""),"SANTOS BURGER - BRASA E HAMBURGUER")</f>
        <v>SANTOS BURGER - BRASA E HAMBURGUER</v>
      </c>
      <c r="L8505" s="32">
        <f>IFERROR(__xludf.DUMMYFUNCTION("""COMPUTED_VALUE"""),1.0)</f>
        <v>1</v>
      </c>
      <c r="M8505" s="4" t="str">
        <f>IFERROR(__xludf.DUMMYFUNCTION("""COMPUTED_VALUE"""),"Deeliv")</f>
        <v>Deeliv</v>
      </c>
      <c r="N8505" s="33">
        <f>IFERROR(__xludf.DUMMYFUNCTION("""COMPUTED_VALUE"""),1.0)</f>
        <v>1</v>
      </c>
      <c r="O8505" s="4" t="str">
        <f>IFERROR(__xludf.DUMMYFUNCTION("""COMPUTED_VALUE"""),"Deeliv")</f>
        <v>Deeliv</v>
      </c>
      <c r="P8505" s="33">
        <f>IFERROR(__xludf.DUMMYFUNCTION("""COMPUTED_VALUE"""),1.0)</f>
        <v>1</v>
      </c>
      <c r="Q8505" s="4" t="str">
        <f>IFERROR(__xludf.DUMMYFUNCTION("""COMPUTED_VALUE"""),"Deeliv")</f>
        <v>Deeliv</v>
      </c>
      <c r="R8505" s="33">
        <f>IFERROR(__xludf.DUMMYFUNCTION("""COMPUTED_VALUE"""),1.0)</f>
        <v>1</v>
      </c>
      <c r="S8505" s="4" t="str">
        <f>IFERROR(__xludf.DUMMYFUNCTION("""COMPUTED_VALUE"""),"Deeliv")</f>
        <v>Deeliv</v>
      </c>
      <c r="T8505" s="33">
        <f>IFERROR(__xludf.DUMMYFUNCTION("""COMPUTED_VALUE"""),1.0)</f>
        <v>1</v>
      </c>
      <c r="U8505" s="4" t="str">
        <f>IFERROR(__xludf.DUMMYFUNCTION("""COMPUTED_VALUE"""),"Deeliv")</f>
        <v>Deeliv</v>
      </c>
      <c r="V8505" s="33">
        <f>IFERROR(__xludf.DUMMYFUNCTION("""COMPUTED_VALUE"""),1.0)</f>
        <v>1</v>
      </c>
      <c r="W8505" s="4" t="str">
        <f>IFERROR(__xludf.DUMMYFUNCTION("""COMPUTED_VALUE"""),"Deeliv")</f>
        <v>Deeliv</v>
      </c>
      <c r="X8505" s="33">
        <f>IFERROR(__xludf.DUMMYFUNCTION("""COMPUTED_VALUE"""),1.0)</f>
        <v>1</v>
      </c>
    </row>
    <row r="8506">
      <c r="K8506" s="4" t="str">
        <f>IFERROR(__xludf.DUMMYFUNCTION("""COMPUTED_VALUE"""),"HAMBURGUERIA 201 BURGUER X TUDO GARAVELO PIT DOG ENTREGA GRATIS E RAPIDA ABERTOS")</f>
        <v>HAMBURGUERIA 201 BURGUER X TUDO GARAVELO PIT DOG ENTREGA GRATIS E RAPIDA ABERTOS</v>
      </c>
      <c r="L8506" s="32">
        <f>IFERROR(__xludf.DUMMYFUNCTION("""COMPUTED_VALUE"""),1.0)</f>
        <v>1</v>
      </c>
      <c r="M8506" s="4" t="str">
        <f>IFERROR(__xludf.DUMMYFUNCTION("""COMPUTED_VALUE"""),"Cardápio Web")</f>
        <v>Cardápio Web</v>
      </c>
      <c r="N8506" s="33">
        <f>IFERROR(__xludf.DUMMYFUNCTION("""COMPUTED_VALUE"""),1.0)</f>
        <v>1</v>
      </c>
      <c r="O8506" s="4" t="str">
        <f>IFERROR(__xludf.DUMMYFUNCTION("""COMPUTED_VALUE"""),"Cardápio Web")</f>
        <v>Cardápio Web</v>
      </c>
      <c r="P8506" s="33">
        <f>IFERROR(__xludf.DUMMYFUNCTION("""COMPUTED_VALUE"""),1.0)</f>
        <v>1</v>
      </c>
      <c r="Q8506" s="4" t="str">
        <f>IFERROR(__xludf.DUMMYFUNCTION("""COMPUTED_VALUE"""),"Cardápio Web")</f>
        <v>Cardápio Web</v>
      </c>
      <c r="R8506" s="33">
        <f>IFERROR(__xludf.DUMMYFUNCTION("""COMPUTED_VALUE"""),1.0)</f>
        <v>1</v>
      </c>
      <c r="S8506" s="4" t="str">
        <f>IFERROR(__xludf.DUMMYFUNCTION("""COMPUTED_VALUE"""),"Cardápio Web")</f>
        <v>Cardápio Web</v>
      </c>
      <c r="T8506" s="33">
        <f>IFERROR(__xludf.DUMMYFUNCTION("""COMPUTED_VALUE"""),1.0)</f>
        <v>1</v>
      </c>
      <c r="U8506" s="4" t="str">
        <f>IFERROR(__xludf.DUMMYFUNCTION("""COMPUTED_VALUE"""),"Cardápio Web")</f>
        <v>Cardápio Web</v>
      </c>
      <c r="V8506" s="33">
        <f>IFERROR(__xludf.DUMMYFUNCTION("""COMPUTED_VALUE"""),1.0)</f>
        <v>1</v>
      </c>
      <c r="W8506" s="4" t="str">
        <f>IFERROR(__xludf.DUMMYFUNCTION("""COMPUTED_VALUE"""),"Cardápio Web")</f>
        <v>Cardápio Web</v>
      </c>
      <c r="X8506" s="33">
        <f>IFERROR(__xludf.DUMMYFUNCTION("""COMPUTED_VALUE"""),1.0)</f>
        <v>1</v>
      </c>
    </row>
    <row r="8507">
      <c r="K8507" s="4" t="str">
        <f>IFERROR(__xludf.DUMMYFUNCTION("""COMPUTED_VALUE"""),"SUPER YAKISOBA")</f>
        <v>SUPER YAKISOBA</v>
      </c>
      <c r="L8507" s="32">
        <f>IFERROR(__xludf.DUMMYFUNCTION("""COMPUTED_VALUE"""),1.0)</f>
        <v>1</v>
      </c>
      <c r="M8507" s="4" t="str">
        <f>IFERROR(__xludf.DUMMYFUNCTION("""COMPUTED_VALUE"""),"Instadelivery")</f>
        <v>Instadelivery</v>
      </c>
      <c r="N8507" s="33">
        <f>IFERROR(__xludf.DUMMYFUNCTION("""COMPUTED_VALUE"""),1.0)</f>
        <v>1</v>
      </c>
      <c r="O8507" s="4" t="str">
        <f>IFERROR(__xludf.DUMMYFUNCTION("""COMPUTED_VALUE"""),"Instadelivery")</f>
        <v>Instadelivery</v>
      </c>
      <c r="P8507" s="33">
        <f>IFERROR(__xludf.DUMMYFUNCTION("""COMPUTED_VALUE"""),1.0)</f>
        <v>1</v>
      </c>
      <c r="Q8507" s="4" t="str">
        <f>IFERROR(__xludf.DUMMYFUNCTION("""COMPUTED_VALUE"""),"Instadelivery")</f>
        <v>Instadelivery</v>
      </c>
      <c r="R8507" s="33">
        <f>IFERROR(__xludf.DUMMYFUNCTION("""COMPUTED_VALUE"""),1.0)</f>
        <v>1</v>
      </c>
      <c r="S8507" s="4" t="str">
        <f>IFERROR(__xludf.DUMMYFUNCTION("""COMPUTED_VALUE"""),"Instadelivery")</f>
        <v>Instadelivery</v>
      </c>
      <c r="T8507" s="33">
        <f>IFERROR(__xludf.DUMMYFUNCTION("""COMPUTED_VALUE"""),1.0)</f>
        <v>1</v>
      </c>
      <c r="U8507" s="4" t="str">
        <f>IFERROR(__xludf.DUMMYFUNCTION("""COMPUTED_VALUE"""),"Instadelivery")</f>
        <v>Instadelivery</v>
      </c>
      <c r="V8507" s="33">
        <f>IFERROR(__xludf.DUMMYFUNCTION("""COMPUTED_VALUE"""),1.0)</f>
        <v>1</v>
      </c>
      <c r="W8507" s="4" t="str">
        <f>IFERROR(__xludf.DUMMYFUNCTION("""COMPUTED_VALUE"""),"Instadelivery")</f>
        <v>Instadelivery</v>
      </c>
      <c r="X8507" s="33">
        <f>IFERROR(__xludf.DUMMYFUNCTION("""COMPUTED_VALUE"""),1.0)</f>
        <v>1</v>
      </c>
    </row>
    <row r="8508">
      <c r="K8508" s="4" t="str">
        <f>IFERROR(__xludf.DUMMYFUNCTION("""COMPUTED_VALUE"""),"ESPACO MINEIRO MARMITAS")</f>
        <v>ESPACO MINEIRO MARMITAS</v>
      </c>
      <c r="L8508" s="32">
        <f>IFERROR(__xludf.DUMMYFUNCTION("""COMPUTED_VALUE"""),1.0)</f>
        <v>1</v>
      </c>
      <c r="M8508" s="4" t="str">
        <f>IFERROR(__xludf.DUMMYFUNCTION("""COMPUTED_VALUE"""),"Anota Ai Solucoes Digitais S/a")</f>
        <v>Anota Ai Solucoes Digitais S/a</v>
      </c>
      <c r="N8508" s="33">
        <f>IFERROR(__xludf.DUMMYFUNCTION("""COMPUTED_VALUE"""),1.0)</f>
        <v>1</v>
      </c>
      <c r="O8508" s="4" t="str">
        <f>IFERROR(__xludf.DUMMYFUNCTION("""COMPUTED_VALUE"""),"Anota Ai Solucoes Digitais S/a")</f>
        <v>Anota Ai Solucoes Digitais S/a</v>
      </c>
      <c r="P8508" s="33">
        <f>IFERROR(__xludf.DUMMYFUNCTION("""COMPUTED_VALUE"""),1.0)</f>
        <v>1</v>
      </c>
      <c r="Q8508" s="4" t="str">
        <f>IFERROR(__xludf.DUMMYFUNCTION("""COMPUTED_VALUE"""),"Anota Ai Solucoes Digitais S/a")</f>
        <v>Anota Ai Solucoes Digitais S/a</v>
      </c>
      <c r="R8508" s="33">
        <f>IFERROR(__xludf.DUMMYFUNCTION("""COMPUTED_VALUE"""),1.0)</f>
        <v>1</v>
      </c>
      <c r="S8508" s="4" t="str">
        <f>IFERROR(__xludf.DUMMYFUNCTION("""COMPUTED_VALUE"""),"Anota Ai Solucoes Digitais S/a")</f>
        <v>Anota Ai Solucoes Digitais S/a</v>
      </c>
      <c r="T8508" s="33">
        <f>IFERROR(__xludf.DUMMYFUNCTION("""COMPUTED_VALUE"""),1.0)</f>
        <v>1</v>
      </c>
      <c r="U8508" s="4" t="str">
        <f>IFERROR(__xludf.DUMMYFUNCTION("""COMPUTED_VALUE"""),"Anota Ai Solucoes Digitais S/a")</f>
        <v>Anota Ai Solucoes Digitais S/a</v>
      </c>
      <c r="V8508" s="33">
        <f>IFERROR(__xludf.DUMMYFUNCTION("""COMPUTED_VALUE"""),1.0)</f>
        <v>1</v>
      </c>
      <c r="W8508" s="4" t="str">
        <f>IFERROR(__xludf.DUMMYFUNCTION("""COMPUTED_VALUE"""),"Anota Ai Solucoes Digitais S/a")</f>
        <v>Anota Ai Solucoes Digitais S/a</v>
      </c>
      <c r="X8508" s="33">
        <f>IFERROR(__xludf.DUMMYFUNCTION("""COMPUTED_VALUE"""),1.0)</f>
        <v>1</v>
      </c>
    </row>
    <row r="8509">
      <c r="K8509" s="4" t="str">
        <f>IFERROR(__xludf.DUMMYFUNCTION("""COMPUTED_VALUE"""),"HAMBURGUERIA 5CENTS")</f>
        <v>HAMBURGUERIA 5CENTS</v>
      </c>
      <c r="L8509" s="32">
        <f>IFERROR(__xludf.DUMMYFUNCTION("""COMPUTED_VALUE"""),1.0)</f>
        <v>1</v>
      </c>
      <c r="M8509" s="4" t="str">
        <f>IFERROR(__xludf.DUMMYFUNCTION("""COMPUTED_VALUE"""),"null")</f>
        <v>null</v>
      </c>
      <c r="N8509" s="33">
        <f>IFERROR(__xludf.DUMMYFUNCTION("""COMPUTED_VALUE"""),1.0)</f>
        <v>1</v>
      </c>
      <c r="O8509" s="4" t="str">
        <f>IFERROR(__xludf.DUMMYFUNCTION("""COMPUTED_VALUE"""),"null")</f>
        <v>null</v>
      </c>
      <c r="P8509" s="33">
        <f>IFERROR(__xludf.DUMMYFUNCTION("""COMPUTED_VALUE"""),1.0)</f>
        <v>1</v>
      </c>
      <c r="Q8509" s="4" t="str">
        <f>IFERROR(__xludf.DUMMYFUNCTION("""COMPUTED_VALUE"""),"Instadelivery")</f>
        <v>Instadelivery</v>
      </c>
      <c r="R8509" s="33">
        <f>IFERROR(__xludf.DUMMYFUNCTION("""COMPUTED_VALUE"""),1.0)</f>
        <v>1</v>
      </c>
      <c r="S8509" s="4" t="str">
        <f>IFERROR(__xludf.DUMMYFUNCTION("""COMPUTED_VALUE"""),"Instadelivery")</f>
        <v>Instadelivery</v>
      </c>
      <c r="T8509" s="33">
        <f>IFERROR(__xludf.DUMMYFUNCTION("""COMPUTED_VALUE"""),1.0)</f>
        <v>1</v>
      </c>
      <c r="U8509" s="4" t="str">
        <f>IFERROR(__xludf.DUMMYFUNCTION("""COMPUTED_VALUE"""),"Instadelivery")</f>
        <v>Instadelivery</v>
      </c>
      <c r="V8509" s="33">
        <f>IFERROR(__xludf.DUMMYFUNCTION("""COMPUTED_VALUE"""),1.0)</f>
        <v>1</v>
      </c>
      <c r="W8509" s="4" t="str">
        <f>IFERROR(__xludf.DUMMYFUNCTION("""COMPUTED_VALUE"""),"Instadelivery")</f>
        <v>Instadelivery</v>
      </c>
      <c r="X8509" s="33">
        <f>IFERROR(__xludf.DUMMYFUNCTION("""COMPUTED_VALUE"""),1.0)</f>
        <v>1</v>
      </c>
    </row>
    <row r="8510">
      <c r="K8510" s="4" t="str">
        <f>IFERROR(__xludf.DUMMYFUNCTION("""COMPUTED_VALUE"""),"RICK FOOD")</f>
        <v>RICK FOOD</v>
      </c>
      <c r="L8510" s="32">
        <f>IFERROR(__xludf.DUMMYFUNCTION("""COMPUTED_VALUE"""),1.0)</f>
        <v>1</v>
      </c>
      <c r="M8510" s="4" t="str">
        <f>IFERROR(__xludf.DUMMYFUNCTION("""COMPUTED_VALUE"""),"null")</f>
        <v>null</v>
      </c>
      <c r="N8510" s="33">
        <f>IFERROR(__xludf.DUMMYFUNCTION("""COMPUTED_VALUE"""),1.0)</f>
        <v>1</v>
      </c>
      <c r="O8510" s="4" t="str">
        <f>IFERROR(__xludf.DUMMYFUNCTION("""COMPUTED_VALUE"""),"null")</f>
        <v>null</v>
      </c>
      <c r="P8510" s="33">
        <f>IFERROR(__xludf.DUMMYFUNCTION("""COMPUTED_VALUE"""),1.0)</f>
        <v>1</v>
      </c>
      <c r="Q8510" s="4" t="str">
        <f>IFERROR(__xludf.DUMMYFUNCTION("""COMPUTED_VALUE"""),"null")</f>
        <v>null</v>
      </c>
      <c r="R8510" s="33">
        <f>IFERROR(__xludf.DUMMYFUNCTION("""COMPUTED_VALUE"""),1.0)</f>
        <v>1</v>
      </c>
      <c r="S8510" s="4" t="str">
        <f>IFERROR(__xludf.DUMMYFUNCTION("""COMPUTED_VALUE"""),"null")</f>
        <v>null</v>
      </c>
      <c r="T8510" s="33">
        <f>IFERROR(__xludf.DUMMYFUNCTION("""COMPUTED_VALUE"""),1.0)</f>
        <v>1</v>
      </c>
      <c r="U8510" s="4" t="str">
        <f>IFERROR(__xludf.DUMMYFUNCTION("""COMPUTED_VALUE"""),"Saipos Serviços De Software")</f>
        <v>Saipos Serviços De Software</v>
      </c>
      <c r="V8510" s="33">
        <f>IFERROR(__xludf.DUMMYFUNCTION("""COMPUTED_VALUE"""),1.0)</f>
        <v>1</v>
      </c>
      <c r="W8510" s="4" t="str">
        <f>IFERROR(__xludf.DUMMYFUNCTION("""COMPUTED_VALUE"""),"Saipos Serviços De Software")</f>
        <v>Saipos Serviços De Software</v>
      </c>
      <c r="X8510" s="33">
        <f>IFERROR(__xludf.DUMMYFUNCTION("""COMPUTED_VALUE"""),1.0)</f>
        <v>1</v>
      </c>
    </row>
    <row r="8511">
      <c r="K8511" s="4" t="str">
        <f>IFERROR(__xludf.DUMMYFUNCTION("""COMPUTED_VALUE"""),"IT BURGER")</f>
        <v>IT BURGER</v>
      </c>
      <c r="L8511" s="32">
        <f>IFERROR(__xludf.DUMMYFUNCTION("""COMPUTED_VALUE"""),1.0)</f>
        <v>1</v>
      </c>
      <c r="M8511" s="4" t="str">
        <f>IFERROR(__xludf.DUMMYFUNCTION("""COMPUTED_VALUE"""),"null")</f>
        <v>null</v>
      </c>
      <c r="N8511" s="33">
        <f>IFERROR(__xludf.DUMMYFUNCTION("""COMPUTED_VALUE"""),1.0)</f>
        <v>1</v>
      </c>
      <c r="O8511" s="4" t="str">
        <f>IFERROR(__xludf.DUMMYFUNCTION("""COMPUTED_VALUE"""),"Proabakus Desenvolvimento De Sistemas Ltda")</f>
        <v>Proabakus Desenvolvimento De Sistemas Ltda</v>
      </c>
      <c r="P8511" s="33">
        <f>IFERROR(__xludf.DUMMYFUNCTION("""COMPUTED_VALUE"""),1.0)</f>
        <v>1</v>
      </c>
      <c r="Q8511" s="4" t="str">
        <f>IFERROR(__xludf.DUMMYFUNCTION("""COMPUTED_VALUE"""),"null")</f>
        <v>null</v>
      </c>
      <c r="R8511" s="33">
        <f>IFERROR(__xludf.DUMMYFUNCTION("""COMPUTED_VALUE"""),1.0)</f>
        <v>1</v>
      </c>
      <c r="S8511" s="4" t="str">
        <f>IFERROR(__xludf.DUMMYFUNCTION("""COMPUTED_VALUE"""),"Proabakus Desenvolvimento De Sistemas Ltda")</f>
        <v>Proabakus Desenvolvimento De Sistemas Ltda</v>
      </c>
      <c r="T8511" s="33">
        <f>IFERROR(__xludf.DUMMYFUNCTION("""COMPUTED_VALUE"""),1.0)</f>
        <v>1</v>
      </c>
      <c r="U8511" s="4" t="str">
        <f>IFERROR(__xludf.DUMMYFUNCTION("""COMPUTED_VALUE"""),"null")</f>
        <v>null</v>
      </c>
      <c r="V8511" s="33">
        <f>IFERROR(__xludf.DUMMYFUNCTION("""COMPUTED_VALUE"""),1.0)</f>
        <v>1</v>
      </c>
      <c r="W8511" s="4" t="str">
        <f>IFERROR(__xludf.DUMMYFUNCTION("""COMPUTED_VALUE"""),"Proabakus Desenvolvimento De Sistemas Ltda")</f>
        <v>Proabakus Desenvolvimento De Sistemas Ltda</v>
      </c>
      <c r="X8511" s="33">
        <f>IFERROR(__xludf.DUMMYFUNCTION("""COMPUTED_VALUE"""),1.0)</f>
        <v>1</v>
      </c>
    </row>
    <row r="8512">
      <c r="K8512" s="4" t="str">
        <f>IFERROR(__xludf.DUMMYFUNCTION("""COMPUTED_VALUE"""),"RESTAURANTE MARIA DAS TRANCAS")</f>
        <v>RESTAURANTE MARIA DAS TRANCAS</v>
      </c>
      <c r="L8512" s="32">
        <f>IFERROR(__xludf.DUMMYFUNCTION("""COMPUTED_VALUE"""),1.0)</f>
        <v>1</v>
      </c>
      <c r="M8512" s="4" t="str">
        <f>IFERROR(__xludf.DUMMYFUNCTION("""COMPUTED_VALUE"""),"Ncr")</f>
        <v>Ncr</v>
      </c>
      <c r="N8512" s="33">
        <f>IFERROR(__xludf.DUMMYFUNCTION("""COMPUTED_VALUE"""),1.0)</f>
        <v>1</v>
      </c>
      <c r="O8512" s="4" t="str">
        <f>IFERROR(__xludf.DUMMYFUNCTION("""COMPUTED_VALUE"""),"Ncr")</f>
        <v>Ncr</v>
      </c>
      <c r="P8512" s="33">
        <f>IFERROR(__xludf.DUMMYFUNCTION("""COMPUTED_VALUE"""),1.0)</f>
        <v>1</v>
      </c>
      <c r="Q8512" s="4" t="str">
        <f>IFERROR(__xludf.DUMMYFUNCTION("""COMPUTED_VALUE"""),"Ncr")</f>
        <v>Ncr</v>
      </c>
      <c r="R8512" s="33">
        <f>IFERROR(__xludf.DUMMYFUNCTION("""COMPUTED_VALUE"""),1.0)</f>
        <v>1</v>
      </c>
      <c r="S8512" s="4" t="str">
        <f>IFERROR(__xludf.DUMMYFUNCTION("""COMPUTED_VALUE"""),"Ncr")</f>
        <v>Ncr</v>
      </c>
      <c r="T8512" s="33">
        <f>IFERROR(__xludf.DUMMYFUNCTION("""COMPUTED_VALUE"""),1.0)</f>
        <v>1</v>
      </c>
      <c r="U8512" s="4" t="str">
        <f>IFERROR(__xludf.DUMMYFUNCTION("""COMPUTED_VALUE"""),"Ncr")</f>
        <v>Ncr</v>
      </c>
      <c r="V8512" s="33">
        <f>IFERROR(__xludf.DUMMYFUNCTION("""COMPUTED_VALUE"""),1.0)</f>
        <v>1</v>
      </c>
      <c r="W8512" s="4" t="str">
        <f>IFERROR(__xludf.DUMMYFUNCTION("""COMPUTED_VALUE"""),"Ncr")</f>
        <v>Ncr</v>
      </c>
      <c r="X8512" s="33">
        <f>IFERROR(__xludf.DUMMYFUNCTION("""COMPUTED_VALUE"""),1.0)</f>
        <v>1</v>
      </c>
    </row>
    <row r="8513">
      <c r="K8513" s="4" t="str">
        <f>IFERROR(__xludf.DUMMYFUNCTION("""COMPUTED_VALUE"""),"ESTRELITA PANIFICADORA E RESTAURANTE")</f>
        <v>ESTRELITA PANIFICADORA E RESTAURANTE</v>
      </c>
      <c r="L8513" s="32">
        <f>IFERROR(__xludf.DUMMYFUNCTION("""COMPUTED_VALUE"""),1.0)</f>
        <v>1</v>
      </c>
      <c r="M8513" s="4" t="str">
        <f>IFERROR(__xludf.DUMMYFUNCTION("""COMPUTED_VALUE"""),"Saipos Serviços De Software")</f>
        <v>Saipos Serviços De Software</v>
      </c>
      <c r="N8513" s="33">
        <f>IFERROR(__xludf.DUMMYFUNCTION("""COMPUTED_VALUE"""),1.0)</f>
        <v>1</v>
      </c>
      <c r="O8513" s="4" t="str">
        <f>IFERROR(__xludf.DUMMYFUNCTION("""COMPUTED_VALUE"""),"Saipos Serviços De Software")</f>
        <v>Saipos Serviços De Software</v>
      </c>
      <c r="P8513" s="33">
        <f>IFERROR(__xludf.DUMMYFUNCTION("""COMPUTED_VALUE"""),1.0)</f>
        <v>1</v>
      </c>
      <c r="Q8513" s="4" t="str">
        <f>IFERROR(__xludf.DUMMYFUNCTION("""COMPUTED_VALUE"""),"Saipos Serviços De Software")</f>
        <v>Saipos Serviços De Software</v>
      </c>
      <c r="R8513" s="33">
        <f>IFERROR(__xludf.DUMMYFUNCTION("""COMPUTED_VALUE"""),1.0)</f>
        <v>1</v>
      </c>
      <c r="S8513" s="4" t="str">
        <f>IFERROR(__xludf.DUMMYFUNCTION("""COMPUTED_VALUE"""),"Saipos Serviços De Software")</f>
        <v>Saipos Serviços De Software</v>
      </c>
      <c r="T8513" s="33">
        <f>IFERROR(__xludf.DUMMYFUNCTION("""COMPUTED_VALUE"""),1.0)</f>
        <v>1</v>
      </c>
      <c r="U8513" s="4" t="str">
        <f>IFERROR(__xludf.DUMMYFUNCTION("""COMPUTED_VALUE"""),"Saipos Serviços De Software")</f>
        <v>Saipos Serviços De Software</v>
      </c>
      <c r="V8513" s="33">
        <f>IFERROR(__xludf.DUMMYFUNCTION("""COMPUTED_VALUE"""),1.0)</f>
        <v>1</v>
      </c>
      <c r="W8513" s="4" t="str">
        <f>IFERROR(__xludf.DUMMYFUNCTION("""COMPUTED_VALUE"""),"Saipos Serviços De Software")</f>
        <v>Saipos Serviços De Software</v>
      </c>
      <c r="X8513" s="33">
        <f>IFERROR(__xludf.DUMMYFUNCTION("""COMPUTED_VALUE"""),1.0)</f>
        <v>1</v>
      </c>
    </row>
    <row r="8514">
      <c r="K8514" s="4" t="str">
        <f>IFERROR(__xludf.DUMMYFUNCTION("""COMPUTED_VALUE"""),"CITY BURGUER LIMEIRA")</f>
        <v>CITY BURGUER LIMEIRA</v>
      </c>
      <c r="L8514" s="32">
        <f>IFERROR(__xludf.DUMMYFUNCTION("""COMPUTED_VALUE"""),1.0)</f>
        <v>1</v>
      </c>
      <c r="M8514" s="4" t="str">
        <f>IFERROR(__xludf.DUMMYFUNCTION("""COMPUTED_VALUE"""),"Brendi")</f>
        <v>Brendi</v>
      </c>
      <c r="N8514" s="33">
        <f>IFERROR(__xludf.DUMMYFUNCTION("""COMPUTED_VALUE"""),1.0)</f>
        <v>1</v>
      </c>
      <c r="O8514" s="4" t="str">
        <f>IFERROR(__xludf.DUMMYFUNCTION("""COMPUTED_VALUE"""),"Brendi")</f>
        <v>Brendi</v>
      </c>
      <c r="P8514" s="33">
        <f>IFERROR(__xludf.DUMMYFUNCTION("""COMPUTED_VALUE"""),1.0)</f>
        <v>1</v>
      </c>
      <c r="Q8514" s="4" t="str">
        <f>IFERROR(__xludf.DUMMYFUNCTION("""COMPUTED_VALUE"""),"Brendi")</f>
        <v>Brendi</v>
      </c>
      <c r="R8514" s="33">
        <f>IFERROR(__xludf.DUMMYFUNCTION("""COMPUTED_VALUE"""),1.0)</f>
        <v>1</v>
      </c>
      <c r="S8514" s="4" t="str">
        <f>IFERROR(__xludf.DUMMYFUNCTION("""COMPUTED_VALUE"""),"Brendi")</f>
        <v>Brendi</v>
      </c>
      <c r="T8514" s="33">
        <f>IFERROR(__xludf.DUMMYFUNCTION("""COMPUTED_VALUE"""),1.0)</f>
        <v>1</v>
      </c>
      <c r="U8514" s="4" t="str">
        <f>IFERROR(__xludf.DUMMYFUNCTION("""COMPUTED_VALUE"""),"Brendi")</f>
        <v>Brendi</v>
      </c>
      <c r="V8514" s="33">
        <f>IFERROR(__xludf.DUMMYFUNCTION("""COMPUTED_VALUE"""),1.0)</f>
        <v>1</v>
      </c>
      <c r="W8514" s="4" t="str">
        <f>IFERROR(__xludf.DUMMYFUNCTION("""COMPUTED_VALUE"""),"Brendi")</f>
        <v>Brendi</v>
      </c>
      <c r="X8514" s="33">
        <f>IFERROR(__xludf.DUMMYFUNCTION("""COMPUTED_VALUE"""),1.0)</f>
        <v>1</v>
      </c>
    </row>
    <row r="8515">
      <c r="K8515" s="4" t="str">
        <f>IFERROR(__xludf.DUMMYFUNCTION("""COMPUTED_VALUE"""),"SHAZAMM PIZZARIA")</f>
        <v>SHAZAMM PIZZARIA</v>
      </c>
      <c r="L8515" s="32">
        <f>IFERROR(__xludf.DUMMYFUNCTION("""COMPUTED_VALUE"""),1.0)</f>
        <v>1</v>
      </c>
      <c r="M8515" s="4" t="str">
        <f>IFERROR(__xludf.DUMMYFUNCTION("""COMPUTED_VALUE"""),"Sagres Automação Comercial")</f>
        <v>Sagres Automação Comercial</v>
      </c>
      <c r="N8515" s="33">
        <f>IFERROR(__xludf.DUMMYFUNCTION("""COMPUTED_VALUE"""),1.0)</f>
        <v>1</v>
      </c>
      <c r="O8515" s="4" t="str">
        <f>IFERROR(__xludf.DUMMYFUNCTION("""COMPUTED_VALUE"""),"Sagres Automação Comercial")</f>
        <v>Sagres Automação Comercial</v>
      </c>
      <c r="P8515" s="33">
        <f>IFERROR(__xludf.DUMMYFUNCTION("""COMPUTED_VALUE"""),1.0)</f>
        <v>1</v>
      </c>
      <c r="Q8515" s="4" t="str">
        <f>IFERROR(__xludf.DUMMYFUNCTION("""COMPUTED_VALUE"""),"Sagres Automação Comercial")</f>
        <v>Sagres Automação Comercial</v>
      </c>
      <c r="R8515" s="33">
        <f>IFERROR(__xludf.DUMMYFUNCTION("""COMPUTED_VALUE"""),1.0)</f>
        <v>1</v>
      </c>
      <c r="S8515" s="4" t="str">
        <f>IFERROR(__xludf.DUMMYFUNCTION("""COMPUTED_VALUE"""),"Sagres Automação Comercial")</f>
        <v>Sagres Automação Comercial</v>
      </c>
      <c r="T8515" s="33">
        <f>IFERROR(__xludf.DUMMYFUNCTION("""COMPUTED_VALUE"""),1.0)</f>
        <v>1</v>
      </c>
      <c r="U8515" s="4" t="str">
        <f>IFERROR(__xludf.DUMMYFUNCTION("""COMPUTED_VALUE"""),"Sagres Automação Comercial")</f>
        <v>Sagres Automação Comercial</v>
      </c>
      <c r="V8515" s="33">
        <f>IFERROR(__xludf.DUMMYFUNCTION("""COMPUTED_VALUE"""),1.0)</f>
        <v>1</v>
      </c>
      <c r="W8515" s="4" t="str">
        <f>IFERROR(__xludf.DUMMYFUNCTION("""COMPUTED_VALUE"""),"Sagres Automação Comercial")</f>
        <v>Sagres Automação Comercial</v>
      </c>
      <c r="X8515" s="33">
        <f>IFERROR(__xludf.DUMMYFUNCTION("""COMPUTED_VALUE"""),1.0)</f>
        <v>1</v>
      </c>
    </row>
    <row r="8516">
      <c r="K8516" s="4" t="str">
        <f>IFERROR(__xludf.DUMMYFUNCTION("""COMPUTED_VALUE"""),"PASTEL DQ")</f>
        <v>PASTEL DQ</v>
      </c>
      <c r="L8516" s="32">
        <f>IFERROR(__xludf.DUMMYFUNCTION("""COMPUTED_VALUE"""),1.0)</f>
        <v>1</v>
      </c>
      <c r="M8516" s="4" t="str">
        <f>IFERROR(__xludf.DUMMYFUNCTION("""COMPUTED_VALUE"""),"Consumer Soluções Em Tecnologia Ltda")</f>
        <v>Consumer Soluções Em Tecnologia Ltda</v>
      </c>
      <c r="N8516" s="33">
        <f>IFERROR(__xludf.DUMMYFUNCTION("""COMPUTED_VALUE"""),1.0)</f>
        <v>1</v>
      </c>
      <c r="O8516" s="4" t="str">
        <f>IFERROR(__xludf.DUMMYFUNCTION("""COMPUTED_VALUE"""),"Consumer Soluções Em Tecnologia Ltda")</f>
        <v>Consumer Soluções Em Tecnologia Ltda</v>
      </c>
      <c r="P8516" s="33">
        <f>IFERROR(__xludf.DUMMYFUNCTION("""COMPUTED_VALUE"""),1.0)</f>
        <v>1</v>
      </c>
      <c r="Q8516" s="4" t="str">
        <f>IFERROR(__xludf.DUMMYFUNCTION("""COMPUTED_VALUE"""),"Consumer Soluções Em Tecnologia Ltda")</f>
        <v>Consumer Soluções Em Tecnologia Ltda</v>
      </c>
      <c r="R8516" s="33">
        <f>IFERROR(__xludf.DUMMYFUNCTION("""COMPUTED_VALUE"""),1.0)</f>
        <v>1</v>
      </c>
      <c r="S8516" s="4" t="str">
        <f>IFERROR(__xludf.DUMMYFUNCTION("""COMPUTED_VALUE"""),"Consumer Soluções Em Tecnologia Ltda")</f>
        <v>Consumer Soluções Em Tecnologia Ltda</v>
      </c>
      <c r="T8516" s="33">
        <f>IFERROR(__xludf.DUMMYFUNCTION("""COMPUTED_VALUE"""),1.0)</f>
        <v>1</v>
      </c>
      <c r="U8516" s="4" t="str">
        <f>IFERROR(__xludf.DUMMYFUNCTION("""COMPUTED_VALUE"""),"Consumer Soluções Em Tecnologia Ltda")</f>
        <v>Consumer Soluções Em Tecnologia Ltda</v>
      </c>
      <c r="V8516" s="33">
        <f>IFERROR(__xludf.DUMMYFUNCTION("""COMPUTED_VALUE"""),1.0)</f>
        <v>1</v>
      </c>
      <c r="W8516" s="4" t="str">
        <f>IFERROR(__xludf.DUMMYFUNCTION("""COMPUTED_VALUE"""),"Consumer Soluções Em Tecnologia Ltda")</f>
        <v>Consumer Soluções Em Tecnologia Ltda</v>
      </c>
      <c r="X8516" s="33">
        <f>IFERROR(__xludf.DUMMYFUNCTION("""COMPUTED_VALUE"""),1.0)</f>
        <v>1</v>
      </c>
    </row>
    <row r="8517">
      <c r="K8517" s="4" t="str">
        <f>IFERROR(__xludf.DUMMYFUNCTION("""COMPUTED_VALUE"""),"SABOR E LENHA PIZZARIA")</f>
        <v>SABOR E LENHA PIZZARIA</v>
      </c>
      <c r="L8517" s="32">
        <f>IFERROR(__xludf.DUMMYFUNCTION("""COMPUTED_VALUE"""),1.0)</f>
        <v>1</v>
      </c>
      <c r="M8517" s="4" t="str">
        <f>IFERROR(__xludf.DUMMYFUNCTION("""COMPUTED_VALUE"""),"Saipos Serviços De Software")</f>
        <v>Saipos Serviços De Software</v>
      </c>
      <c r="N8517" s="33">
        <f>IFERROR(__xludf.DUMMYFUNCTION("""COMPUTED_VALUE"""),1.0)</f>
        <v>1</v>
      </c>
      <c r="O8517" s="4" t="str">
        <f>IFERROR(__xludf.DUMMYFUNCTION("""COMPUTED_VALUE"""),"Saipos Serviços De Software")</f>
        <v>Saipos Serviços De Software</v>
      </c>
      <c r="P8517" s="33">
        <f>IFERROR(__xludf.DUMMYFUNCTION("""COMPUTED_VALUE"""),1.0)</f>
        <v>1</v>
      </c>
      <c r="Q8517" s="4" t="str">
        <f>IFERROR(__xludf.DUMMYFUNCTION("""COMPUTED_VALUE"""),"Saipos Serviços De Software")</f>
        <v>Saipos Serviços De Software</v>
      </c>
      <c r="R8517" s="33">
        <f>IFERROR(__xludf.DUMMYFUNCTION("""COMPUTED_VALUE"""),1.0)</f>
        <v>1</v>
      </c>
      <c r="S8517" s="4" t="str">
        <f>IFERROR(__xludf.DUMMYFUNCTION("""COMPUTED_VALUE"""),"Saipos Serviços De Software")</f>
        <v>Saipos Serviços De Software</v>
      </c>
      <c r="T8517" s="33">
        <f>IFERROR(__xludf.DUMMYFUNCTION("""COMPUTED_VALUE"""),1.0)</f>
        <v>1</v>
      </c>
      <c r="U8517" s="4" t="str">
        <f>IFERROR(__xludf.DUMMYFUNCTION("""COMPUTED_VALUE"""),"Saipos Serviços De Software")</f>
        <v>Saipos Serviços De Software</v>
      </c>
      <c r="V8517" s="33">
        <f>IFERROR(__xludf.DUMMYFUNCTION("""COMPUTED_VALUE"""),1.0)</f>
        <v>1</v>
      </c>
      <c r="W8517" s="4" t="str">
        <f>IFERROR(__xludf.DUMMYFUNCTION("""COMPUTED_VALUE"""),"Saipos Serviços De Software")</f>
        <v>Saipos Serviços De Software</v>
      </c>
      <c r="X8517" s="33">
        <f>IFERROR(__xludf.DUMMYFUNCTION("""COMPUTED_VALUE"""),1.0)</f>
        <v>1</v>
      </c>
    </row>
    <row r="8518">
      <c r="K8518" s="4" t="str">
        <f>IFERROR(__xludf.DUMMYFUNCTION("""COMPUTED_VALUE"""),"ALEMAO BURGUER DOGS")</f>
        <v>ALEMAO BURGUER DOGS</v>
      </c>
      <c r="L8518" s="32">
        <f>IFERROR(__xludf.DUMMYFUNCTION("""COMPUTED_VALUE"""),1.0)</f>
        <v>1</v>
      </c>
      <c r="M8518" s="4" t="str">
        <f>IFERROR(__xludf.DUMMYFUNCTION("""COMPUTED_VALUE"""),"Instadelivery")</f>
        <v>Instadelivery</v>
      </c>
      <c r="N8518" s="33">
        <f>IFERROR(__xludf.DUMMYFUNCTION("""COMPUTED_VALUE"""),1.0)</f>
        <v>1</v>
      </c>
      <c r="O8518" s="4" t="str">
        <f>IFERROR(__xludf.DUMMYFUNCTION("""COMPUTED_VALUE"""),"Instadelivery")</f>
        <v>Instadelivery</v>
      </c>
      <c r="P8518" s="33">
        <f>IFERROR(__xludf.DUMMYFUNCTION("""COMPUTED_VALUE"""),1.0)</f>
        <v>1</v>
      </c>
      <c r="Q8518" s="4" t="str">
        <f>IFERROR(__xludf.DUMMYFUNCTION("""COMPUTED_VALUE"""),"Instadelivery")</f>
        <v>Instadelivery</v>
      </c>
      <c r="R8518" s="33">
        <f>IFERROR(__xludf.DUMMYFUNCTION("""COMPUTED_VALUE"""),1.0)</f>
        <v>1</v>
      </c>
      <c r="S8518" s="4" t="str">
        <f>IFERROR(__xludf.DUMMYFUNCTION("""COMPUTED_VALUE"""),"Instadelivery")</f>
        <v>Instadelivery</v>
      </c>
      <c r="T8518" s="33">
        <f>IFERROR(__xludf.DUMMYFUNCTION("""COMPUTED_VALUE"""),1.0)</f>
        <v>1</v>
      </c>
      <c r="U8518" s="4" t="str">
        <f>IFERROR(__xludf.DUMMYFUNCTION("""COMPUTED_VALUE"""),"Instadelivery")</f>
        <v>Instadelivery</v>
      </c>
      <c r="V8518" s="33">
        <f>IFERROR(__xludf.DUMMYFUNCTION("""COMPUTED_VALUE"""),1.0)</f>
        <v>1</v>
      </c>
      <c r="W8518" s="4" t="str">
        <f>IFERROR(__xludf.DUMMYFUNCTION("""COMPUTED_VALUE"""),"Instadelivery")</f>
        <v>Instadelivery</v>
      </c>
      <c r="X8518" s="33">
        <f>IFERROR(__xludf.DUMMYFUNCTION("""COMPUTED_VALUE"""),1.0)</f>
        <v>1</v>
      </c>
    </row>
    <row r="8519">
      <c r="K8519" s="4" t="str">
        <f>IFERROR(__xludf.DUMMYFUNCTION("""COMPUTED_VALUE"""),"ALMA VINHOS - VINO ADEGA")</f>
        <v>ALMA VINHOS - VINO ADEGA</v>
      </c>
      <c r="L8519" s="32">
        <f>IFERROR(__xludf.DUMMYFUNCTION("""COMPUTED_VALUE"""),1.0)</f>
        <v>1</v>
      </c>
      <c r="M8519" s="4" t="str">
        <f>IFERROR(__xludf.DUMMYFUNCTION("""COMPUTED_VALUE"""),"Hubster")</f>
        <v>Hubster</v>
      </c>
      <c r="N8519" s="33">
        <f>IFERROR(__xludf.DUMMYFUNCTION("""COMPUTED_VALUE"""),1.0)</f>
        <v>1</v>
      </c>
      <c r="O8519" s="4" t="str">
        <f>IFERROR(__xludf.DUMMYFUNCTION("""COMPUTED_VALUE"""),"null")</f>
        <v>null</v>
      </c>
      <c r="P8519" s="33">
        <f>IFERROR(__xludf.DUMMYFUNCTION("""COMPUTED_VALUE"""),1.0)</f>
        <v>1</v>
      </c>
      <c r="Q8519" s="4" t="str">
        <f>IFERROR(__xludf.DUMMYFUNCTION("""COMPUTED_VALUE"""),"Hubster")</f>
        <v>Hubster</v>
      </c>
      <c r="R8519" s="33">
        <f>IFERROR(__xludf.DUMMYFUNCTION("""COMPUTED_VALUE"""),1.0)</f>
        <v>1</v>
      </c>
      <c r="S8519" s="4" t="str">
        <f>IFERROR(__xludf.DUMMYFUNCTION("""COMPUTED_VALUE"""),"Hubster")</f>
        <v>Hubster</v>
      </c>
      <c r="T8519" s="33">
        <f>IFERROR(__xludf.DUMMYFUNCTION("""COMPUTED_VALUE"""),1.0)</f>
        <v>1</v>
      </c>
      <c r="U8519" s="4" t="str">
        <f>IFERROR(__xludf.DUMMYFUNCTION("""COMPUTED_VALUE"""),"null")</f>
        <v>null</v>
      </c>
      <c r="V8519" s="33">
        <f>IFERROR(__xludf.DUMMYFUNCTION("""COMPUTED_VALUE"""),1.0)</f>
        <v>1</v>
      </c>
      <c r="W8519" s="4" t="str">
        <f>IFERROR(__xludf.DUMMYFUNCTION("""COMPUTED_VALUE"""),"null")</f>
        <v>null</v>
      </c>
      <c r="X8519" s="33">
        <f>IFERROR(__xludf.DUMMYFUNCTION("""COMPUTED_VALUE"""),1.0)</f>
        <v>1</v>
      </c>
    </row>
    <row r="8520">
      <c r="K8520" s="4" t="str">
        <f>IFERROR(__xludf.DUMMYFUNCTION("""COMPUTED_VALUE"""),"KROKE SALGADOS VILA CLEMENTINO")</f>
        <v>KROKE SALGADOS VILA CLEMENTINO</v>
      </c>
      <c r="L8520" s="32">
        <f>IFERROR(__xludf.DUMMYFUNCTION("""COMPUTED_VALUE"""),1.0)</f>
        <v>1</v>
      </c>
      <c r="M8520" s="4" t="str">
        <f>IFERROR(__xludf.DUMMYFUNCTION("""COMPUTED_VALUE"""),"Glow")</f>
        <v>Glow</v>
      </c>
      <c r="N8520" s="33">
        <f>IFERROR(__xludf.DUMMYFUNCTION("""COMPUTED_VALUE"""),1.0)</f>
        <v>1</v>
      </c>
      <c r="O8520" s="4" t="str">
        <f>IFERROR(__xludf.DUMMYFUNCTION("""COMPUTED_VALUE"""),"Glow")</f>
        <v>Glow</v>
      </c>
      <c r="P8520" s="33">
        <f>IFERROR(__xludf.DUMMYFUNCTION("""COMPUTED_VALUE"""),1.0)</f>
        <v>1</v>
      </c>
      <c r="Q8520" s="4" t="str">
        <f>IFERROR(__xludf.DUMMYFUNCTION("""COMPUTED_VALUE"""),"Glow")</f>
        <v>Glow</v>
      </c>
      <c r="R8520" s="33">
        <f>IFERROR(__xludf.DUMMYFUNCTION("""COMPUTED_VALUE"""),1.0)</f>
        <v>1</v>
      </c>
      <c r="S8520" s="4" t="str">
        <f>IFERROR(__xludf.DUMMYFUNCTION("""COMPUTED_VALUE"""),"null")</f>
        <v>null</v>
      </c>
      <c r="T8520" s="33">
        <f>IFERROR(__xludf.DUMMYFUNCTION("""COMPUTED_VALUE"""),1.0)</f>
        <v>1</v>
      </c>
      <c r="U8520" s="4" t="str">
        <f>IFERROR(__xludf.DUMMYFUNCTION("""COMPUTED_VALUE"""),"null")</f>
        <v>null</v>
      </c>
      <c r="V8520" s="33">
        <f>IFERROR(__xludf.DUMMYFUNCTION("""COMPUTED_VALUE"""),1.0)</f>
        <v>1</v>
      </c>
      <c r="W8520" s="4" t="str">
        <f>IFERROR(__xludf.DUMMYFUNCTION("""COMPUTED_VALUE"""),"Glow")</f>
        <v>Glow</v>
      </c>
      <c r="X8520" s="33">
        <f>IFERROR(__xludf.DUMMYFUNCTION("""COMPUTED_VALUE"""),1.0)</f>
        <v>1</v>
      </c>
    </row>
    <row r="8521">
      <c r="K8521" s="4" t="str">
        <f>IFERROR(__xludf.DUMMYFUNCTION("""COMPUTED_VALUE"""),"PIZZARIA RANGLEY")</f>
        <v>PIZZARIA RANGLEY</v>
      </c>
      <c r="L8521" s="32">
        <f>IFERROR(__xludf.DUMMYFUNCTION("""COMPUTED_VALUE"""),1.0)</f>
        <v>1</v>
      </c>
      <c r="M8521" s="4" t="str">
        <f>IFERROR(__xludf.DUMMYFUNCTION("""COMPUTED_VALUE"""),"Sti3 Soluções Em Ti")</f>
        <v>Sti3 Soluções Em Ti</v>
      </c>
      <c r="N8521" s="33">
        <f>IFERROR(__xludf.DUMMYFUNCTION("""COMPUTED_VALUE"""),1.0)</f>
        <v>1</v>
      </c>
      <c r="O8521" s="4" t="str">
        <f>IFERROR(__xludf.DUMMYFUNCTION("""COMPUTED_VALUE"""),"Sti3 Soluções Em Ti")</f>
        <v>Sti3 Soluções Em Ti</v>
      </c>
      <c r="P8521" s="33">
        <f>IFERROR(__xludf.DUMMYFUNCTION("""COMPUTED_VALUE"""),1.0)</f>
        <v>1</v>
      </c>
      <c r="Q8521" s="4" t="str">
        <f>IFERROR(__xludf.DUMMYFUNCTION("""COMPUTED_VALUE"""),"Sti3 Soluções Em Ti")</f>
        <v>Sti3 Soluções Em Ti</v>
      </c>
      <c r="R8521" s="33">
        <f>IFERROR(__xludf.DUMMYFUNCTION("""COMPUTED_VALUE"""),1.0)</f>
        <v>1</v>
      </c>
      <c r="S8521" s="4" t="str">
        <f>IFERROR(__xludf.DUMMYFUNCTION("""COMPUTED_VALUE"""),"Sti3 Soluções Em Ti")</f>
        <v>Sti3 Soluções Em Ti</v>
      </c>
      <c r="T8521" s="33">
        <f>IFERROR(__xludf.DUMMYFUNCTION("""COMPUTED_VALUE"""),1.0)</f>
        <v>1</v>
      </c>
      <c r="U8521" s="4" t="str">
        <f>IFERROR(__xludf.DUMMYFUNCTION("""COMPUTED_VALUE"""),"Menew - Linx")</f>
        <v>Menew - Linx</v>
      </c>
      <c r="V8521" s="33">
        <f>IFERROR(__xludf.DUMMYFUNCTION("""COMPUTED_VALUE"""),1.0)</f>
        <v>1</v>
      </c>
      <c r="W8521" s="4" t="str">
        <f>IFERROR(__xludf.DUMMYFUNCTION("""COMPUTED_VALUE"""),"Menew - Linx")</f>
        <v>Menew - Linx</v>
      </c>
      <c r="X8521" s="33">
        <f>IFERROR(__xludf.DUMMYFUNCTION("""COMPUTED_VALUE"""),1.0)</f>
        <v>1</v>
      </c>
    </row>
    <row r="8522">
      <c r="K8522" s="4" t="str">
        <f>IFERROR(__xludf.DUMMYFUNCTION("""COMPUTED_VALUE"""),"NANUTS DOCES SAUDAVEIS")</f>
        <v>NANUTS DOCES SAUDAVEIS</v>
      </c>
      <c r="L8522" s="32">
        <f>IFERROR(__xludf.DUMMYFUNCTION("""COMPUTED_VALUE"""),1.0)</f>
        <v>1</v>
      </c>
      <c r="M8522" s="4" t="str">
        <f>IFERROR(__xludf.DUMMYFUNCTION("""COMPUTED_VALUE"""),"null")</f>
        <v>null</v>
      </c>
      <c r="N8522" s="33">
        <f>IFERROR(__xludf.DUMMYFUNCTION("""COMPUTED_VALUE"""),1.0)</f>
        <v>1</v>
      </c>
      <c r="O8522" s="4" t="str">
        <f>IFERROR(__xludf.DUMMYFUNCTION("""COMPUTED_VALUE"""),"null")</f>
        <v>null</v>
      </c>
      <c r="P8522" s="33">
        <f>IFERROR(__xludf.DUMMYFUNCTION("""COMPUTED_VALUE"""),1.0)</f>
        <v>1</v>
      </c>
      <c r="Q8522" s="4" t="str">
        <f>IFERROR(__xludf.DUMMYFUNCTION("""COMPUTED_VALUE"""),"null")</f>
        <v>null</v>
      </c>
      <c r="R8522" s="33">
        <f>IFERROR(__xludf.DUMMYFUNCTION("""COMPUTED_VALUE"""),1.0)</f>
        <v>1</v>
      </c>
      <c r="S8522" s="4" t="str">
        <f>IFERROR(__xludf.DUMMYFUNCTION("""COMPUTED_VALUE"""),"null")</f>
        <v>null</v>
      </c>
      <c r="T8522" s="33">
        <f>IFERROR(__xludf.DUMMYFUNCTION("""COMPUTED_VALUE"""),1.0)</f>
        <v>1</v>
      </c>
      <c r="U8522" s="4" t="str">
        <f>IFERROR(__xludf.DUMMYFUNCTION("""COMPUTED_VALUE"""),"null")</f>
        <v>null</v>
      </c>
      <c r="V8522" s="33">
        <f>IFERROR(__xludf.DUMMYFUNCTION("""COMPUTED_VALUE"""),1.0)</f>
        <v>1</v>
      </c>
      <c r="W8522" s="4" t="str">
        <f>IFERROR(__xludf.DUMMYFUNCTION("""COMPUTED_VALUE"""),"Takeat Tecnologia")</f>
        <v>Takeat Tecnologia</v>
      </c>
      <c r="X8522" s="33">
        <f>IFERROR(__xludf.DUMMYFUNCTION("""COMPUTED_VALUE"""),1.0)</f>
        <v>1</v>
      </c>
    </row>
    <row r="8523">
      <c r="K8523" s="4" t="str">
        <f>IFERROR(__xludf.DUMMYFUNCTION("""COMPUTED_VALUE"""),"SORVETERIA REI")</f>
        <v>SORVETERIA REI</v>
      </c>
      <c r="L8523" s="32">
        <f>IFERROR(__xludf.DUMMYFUNCTION("""COMPUTED_VALUE"""),1.0)</f>
        <v>1</v>
      </c>
      <c r="M8523" s="4" t="str">
        <f>IFERROR(__xludf.DUMMYFUNCTION("""COMPUTED_VALUE"""),"Saipos Serviços De Software")</f>
        <v>Saipos Serviços De Software</v>
      </c>
      <c r="N8523" s="33">
        <f>IFERROR(__xludf.DUMMYFUNCTION("""COMPUTED_VALUE"""),1.0)</f>
        <v>1</v>
      </c>
      <c r="O8523" s="4" t="str">
        <f>IFERROR(__xludf.DUMMYFUNCTION("""COMPUTED_VALUE"""),"Saipos Serviços De Software")</f>
        <v>Saipos Serviços De Software</v>
      </c>
      <c r="P8523" s="33">
        <f>IFERROR(__xludf.DUMMYFUNCTION("""COMPUTED_VALUE"""),1.0)</f>
        <v>1</v>
      </c>
      <c r="Q8523" s="4" t="str">
        <f>IFERROR(__xludf.DUMMYFUNCTION("""COMPUTED_VALUE"""),"Saipos Serviços De Software")</f>
        <v>Saipos Serviços De Software</v>
      </c>
      <c r="R8523" s="33">
        <f>IFERROR(__xludf.DUMMYFUNCTION("""COMPUTED_VALUE"""),1.0)</f>
        <v>1</v>
      </c>
      <c r="S8523" s="4" t="str">
        <f>IFERROR(__xludf.DUMMYFUNCTION("""COMPUTED_VALUE"""),"Saipos Serviços De Software")</f>
        <v>Saipos Serviços De Software</v>
      </c>
      <c r="T8523" s="33">
        <f>IFERROR(__xludf.DUMMYFUNCTION("""COMPUTED_VALUE"""),1.0)</f>
        <v>1</v>
      </c>
      <c r="U8523" s="4" t="str">
        <f>IFERROR(__xludf.DUMMYFUNCTION("""COMPUTED_VALUE"""),"Saipos Serviços De Software")</f>
        <v>Saipos Serviços De Software</v>
      </c>
      <c r="V8523" s="33">
        <f>IFERROR(__xludf.DUMMYFUNCTION("""COMPUTED_VALUE"""),1.0)</f>
        <v>1</v>
      </c>
      <c r="W8523" s="4" t="str">
        <f>IFERROR(__xludf.DUMMYFUNCTION("""COMPUTED_VALUE"""),"null")</f>
        <v>null</v>
      </c>
      <c r="X8523" s="33">
        <f>IFERROR(__xludf.DUMMYFUNCTION("""COMPUTED_VALUE"""),1.0)</f>
        <v>1</v>
      </c>
    </row>
    <row r="8524">
      <c r="K8524" s="4" t="str">
        <f>IFERROR(__xludf.DUMMYFUNCTION("""COMPUTED_VALUE"""),"PIZZARIA TENTACAO")</f>
        <v>PIZZARIA TENTACAO</v>
      </c>
      <c r="L8524" s="32">
        <f>IFERROR(__xludf.DUMMYFUNCTION("""COMPUTED_VALUE"""),1.0)</f>
        <v>1</v>
      </c>
      <c r="M8524" s="4" t="str">
        <f>IFERROR(__xludf.DUMMYFUNCTION("""COMPUTED_VALUE"""),"Cardápio Web")</f>
        <v>Cardápio Web</v>
      </c>
      <c r="N8524" s="33">
        <f>IFERROR(__xludf.DUMMYFUNCTION("""COMPUTED_VALUE"""),1.0)</f>
        <v>1</v>
      </c>
      <c r="O8524" s="4" t="str">
        <f>IFERROR(__xludf.DUMMYFUNCTION("""COMPUTED_VALUE"""),"Cardápio Web")</f>
        <v>Cardápio Web</v>
      </c>
      <c r="P8524" s="33">
        <f>IFERROR(__xludf.DUMMYFUNCTION("""COMPUTED_VALUE"""),1.0)</f>
        <v>1</v>
      </c>
      <c r="Q8524" s="4" t="str">
        <f>IFERROR(__xludf.DUMMYFUNCTION("""COMPUTED_VALUE"""),"Cardápio Web")</f>
        <v>Cardápio Web</v>
      </c>
      <c r="R8524" s="33">
        <f>IFERROR(__xludf.DUMMYFUNCTION("""COMPUTED_VALUE"""),1.0)</f>
        <v>1</v>
      </c>
      <c r="S8524" s="4" t="str">
        <f>IFERROR(__xludf.DUMMYFUNCTION("""COMPUTED_VALUE"""),"Cardápio Web")</f>
        <v>Cardápio Web</v>
      </c>
      <c r="T8524" s="33">
        <f>IFERROR(__xludf.DUMMYFUNCTION("""COMPUTED_VALUE"""),1.0)</f>
        <v>1</v>
      </c>
      <c r="U8524" s="4" t="str">
        <f>IFERROR(__xludf.DUMMYFUNCTION("""COMPUTED_VALUE"""),"Cardápio Web")</f>
        <v>Cardápio Web</v>
      </c>
      <c r="V8524" s="33">
        <f>IFERROR(__xludf.DUMMYFUNCTION("""COMPUTED_VALUE"""),1.0)</f>
        <v>1</v>
      </c>
      <c r="W8524" s="4" t="str">
        <f>IFERROR(__xludf.DUMMYFUNCTION("""COMPUTED_VALUE"""),"Cardápio Web")</f>
        <v>Cardápio Web</v>
      </c>
      <c r="X8524" s="33">
        <f>IFERROR(__xludf.DUMMYFUNCTION("""COMPUTED_VALUE"""),1.0)</f>
        <v>1</v>
      </c>
    </row>
    <row r="8525">
      <c r="K8525" s="4" t="str">
        <f>IFERROR(__xludf.DUMMYFUNCTION("""COMPUTED_VALUE"""),"RYVAS PIZZA E BURGUER")</f>
        <v>RYVAS PIZZA E BURGUER</v>
      </c>
      <c r="L8525" s="32">
        <f>IFERROR(__xludf.DUMMYFUNCTION("""COMPUTED_VALUE"""),1.0)</f>
        <v>1</v>
      </c>
      <c r="M8525" s="4" t="str">
        <f>IFERROR(__xludf.DUMMYFUNCTION("""COMPUTED_VALUE"""),"Mp Multipedidos")</f>
        <v>Mp Multipedidos</v>
      </c>
      <c r="N8525" s="33">
        <f>IFERROR(__xludf.DUMMYFUNCTION("""COMPUTED_VALUE"""),1.0)</f>
        <v>1</v>
      </c>
      <c r="O8525" s="4" t="str">
        <f>IFERROR(__xludf.DUMMYFUNCTION("""COMPUTED_VALUE"""),"Mp Multipedidos")</f>
        <v>Mp Multipedidos</v>
      </c>
      <c r="P8525" s="33">
        <f>IFERROR(__xludf.DUMMYFUNCTION("""COMPUTED_VALUE"""),1.0)</f>
        <v>1</v>
      </c>
      <c r="Q8525" s="4" t="str">
        <f>IFERROR(__xludf.DUMMYFUNCTION("""COMPUTED_VALUE"""),"null")</f>
        <v>null</v>
      </c>
      <c r="R8525" s="33">
        <f>IFERROR(__xludf.DUMMYFUNCTION("""COMPUTED_VALUE"""),1.0)</f>
        <v>1</v>
      </c>
      <c r="S8525" s="4" t="str">
        <f>IFERROR(__xludf.DUMMYFUNCTION("""COMPUTED_VALUE"""),"null")</f>
        <v>null</v>
      </c>
      <c r="T8525" s="33">
        <f>IFERROR(__xludf.DUMMYFUNCTION("""COMPUTED_VALUE"""),1.0)</f>
        <v>1</v>
      </c>
      <c r="U8525" s="4" t="str">
        <f>IFERROR(__xludf.DUMMYFUNCTION("""COMPUTED_VALUE"""),"null")</f>
        <v>null</v>
      </c>
      <c r="V8525" s="33">
        <f>IFERROR(__xludf.DUMMYFUNCTION("""COMPUTED_VALUE"""),1.0)</f>
        <v>1</v>
      </c>
      <c r="W8525" s="4" t="str">
        <f>IFERROR(__xludf.DUMMYFUNCTION("""COMPUTED_VALUE"""),"null")</f>
        <v>null</v>
      </c>
      <c r="X8525" s="33">
        <f>IFERROR(__xludf.DUMMYFUNCTION("""COMPUTED_VALUE"""),1.0)</f>
        <v>1</v>
      </c>
    </row>
    <row r="8526">
      <c r="K8526" s="4" t="str">
        <f>IFERROR(__xludf.DUMMYFUNCTION("""COMPUTED_VALUE"""),"FRUTZEN ACAI E SORVETES")</f>
        <v>FRUTZEN ACAI E SORVETES</v>
      </c>
      <c r="L8526" s="32">
        <f>IFERROR(__xludf.DUMMYFUNCTION("""COMPUTED_VALUE"""),1.0)</f>
        <v>1</v>
      </c>
      <c r="M8526" s="4" t="str">
        <f>IFERROR(__xludf.DUMMYFUNCTION("""COMPUTED_VALUE"""),"Consumer Soluções Em Tecnologia Ltda")</f>
        <v>Consumer Soluções Em Tecnologia Ltda</v>
      </c>
      <c r="N8526" s="33">
        <f>IFERROR(__xludf.DUMMYFUNCTION("""COMPUTED_VALUE"""),1.0)</f>
        <v>1</v>
      </c>
      <c r="O8526" s="4" t="str">
        <f>IFERROR(__xludf.DUMMYFUNCTION("""COMPUTED_VALUE"""),"null")</f>
        <v>null</v>
      </c>
      <c r="P8526" s="33">
        <f>IFERROR(__xludf.DUMMYFUNCTION("""COMPUTED_VALUE"""),1.0)</f>
        <v>1</v>
      </c>
      <c r="Q8526" s="4" t="str">
        <f>IFERROR(__xludf.DUMMYFUNCTION("""COMPUTED_VALUE"""),"null")</f>
        <v>null</v>
      </c>
      <c r="R8526" s="33">
        <f>IFERROR(__xludf.DUMMYFUNCTION("""COMPUTED_VALUE"""),1.0)</f>
        <v>1</v>
      </c>
      <c r="S8526" s="4" t="str">
        <f>IFERROR(__xludf.DUMMYFUNCTION("""COMPUTED_VALUE"""),"Consumer Soluções Em Tecnologia Ltda")</f>
        <v>Consumer Soluções Em Tecnologia Ltda</v>
      </c>
      <c r="T8526" s="33">
        <f>IFERROR(__xludf.DUMMYFUNCTION("""COMPUTED_VALUE"""),1.0)</f>
        <v>1</v>
      </c>
      <c r="U8526" s="4" t="str">
        <f>IFERROR(__xludf.DUMMYFUNCTION("""COMPUTED_VALUE"""),"null")</f>
        <v>null</v>
      </c>
      <c r="V8526" s="33">
        <f>IFERROR(__xludf.DUMMYFUNCTION("""COMPUTED_VALUE"""),1.0)</f>
        <v>1</v>
      </c>
      <c r="W8526" s="4" t="str">
        <f>IFERROR(__xludf.DUMMYFUNCTION("""COMPUTED_VALUE"""),"null")</f>
        <v>null</v>
      </c>
      <c r="X8526" s="33">
        <f>IFERROR(__xludf.DUMMYFUNCTION("""COMPUTED_VALUE"""),1.0)</f>
        <v>1</v>
      </c>
    </row>
    <row r="8527">
      <c r="K8527" s="4" t="str">
        <f>IFERROR(__xludf.DUMMYFUNCTION("""COMPUTED_VALUE"""),"PEDE MAIS PIZZAS")</f>
        <v>PEDE MAIS PIZZAS</v>
      </c>
      <c r="L8527" s="32">
        <f>IFERROR(__xludf.DUMMYFUNCTION("""COMPUTED_VALUE"""),1.0)</f>
        <v>1</v>
      </c>
      <c r="M8527" s="4" t="str">
        <f>IFERROR(__xludf.DUMMYFUNCTION("""COMPUTED_VALUE"""),"Diggy")</f>
        <v>Diggy</v>
      </c>
      <c r="N8527" s="33">
        <f>IFERROR(__xludf.DUMMYFUNCTION("""COMPUTED_VALUE"""),1.0)</f>
        <v>1</v>
      </c>
      <c r="O8527" s="4" t="str">
        <f>IFERROR(__xludf.DUMMYFUNCTION("""COMPUTED_VALUE"""),"Diggy")</f>
        <v>Diggy</v>
      </c>
      <c r="P8527" s="33">
        <f>IFERROR(__xludf.DUMMYFUNCTION("""COMPUTED_VALUE"""),1.0)</f>
        <v>1</v>
      </c>
      <c r="Q8527" s="4" t="str">
        <f>IFERROR(__xludf.DUMMYFUNCTION("""COMPUTED_VALUE"""),"Diggy")</f>
        <v>Diggy</v>
      </c>
      <c r="R8527" s="33">
        <f>IFERROR(__xludf.DUMMYFUNCTION("""COMPUTED_VALUE"""),1.0)</f>
        <v>1</v>
      </c>
      <c r="S8527" s="4" t="str">
        <f>IFERROR(__xludf.DUMMYFUNCTION("""COMPUTED_VALUE"""),"Diggy")</f>
        <v>Diggy</v>
      </c>
      <c r="T8527" s="33">
        <f>IFERROR(__xludf.DUMMYFUNCTION("""COMPUTED_VALUE"""),1.0)</f>
        <v>1</v>
      </c>
      <c r="U8527" s="4" t="str">
        <f>IFERROR(__xludf.DUMMYFUNCTION("""COMPUTED_VALUE"""),"Diggy")</f>
        <v>Diggy</v>
      </c>
      <c r="V8527" s="33">
        <f>IFERROR(__xludf.DUMMYFUNCTION("""COMPUTED_VALUE"""),1.0)</f>
        <v>1</v>
      </c>
      <c r="W8527" s="4" t="str">
        <f>IFERROR(__xludf.DUMMYFUNCTION("""COMPUTED_VALUE"""),"Diggy")</f>
        <v>Diggy</v>
      </c>
      <c r="X8527" s="33">
        <f>IFERROR(__xludf.DUMMYFUNCTION("""COMPUTED_VALUE"""),1.0)</f>
        <v>1</v>
      </c>
    </row>
    <row r="8528">
      <c r="K8528" s="4" t="str">
        <f>IFERROR(__xludf.DUMMYFUNCTION("""COMPUTED_VALUE"""),"CAVALO LANCHES")</f>
        <v>CAVALO LANCHES</v>
      </c>
      <c r="L8528" s="32">
        <f>IFERROR(__xludf.DUMMYFUNCTION("""COMPUTED_VALUE"""),1.0)</f>
        <v>1</v>
      </c>
      <c r="M8528" s="4" t="str">
        <f>IFERROR(__xludf.DUMMYFUNCTION("""COMPUTED_VALUE"""),"Saipos Serviços De Software")</f>
        <v>Saipos Serviços De Software</v>
      </c>
      <c r="N8528" s="33">
        <f>IFERROR(__xludf.DUMMYFUNCTION("""COMPUTED_VALUE"""),1.0)</f>
        <v>1</v>
      </c>
      <c r="O8528" s="4" t="str">
        <f>IFERROR(__xludf.DUMMYFUNCTION("""COMPUTED_VALUE"""),"Saipos Serviços De Software")</f>
        <v>Saipos Serviços De Software</v>
      </c>
      <c r="P8528" s="33">
        <f>IFERROR(__xludf.DUMMYFUNCTION("""COMPUTED_VALUE"""),1.0)</f>
        <v>1</v>
      </c>
      <c r="Q8528" s="4" t="str">
        <f>IFERROR(__xludf.DUMMYFUNCTION("""COMPUTED_VALUE"""),"Saipos Serviços De Software")</f>
        <v>Saipos Serviços De Software</v>
      </c>
      <c r="R8528" s="33">
        <f>IFERROR(__xludf.DUMMYFUNCTION("""COMPUTED_VALUE"""),1.0)</f>
        <v>1</v>
      </c>
      <c r="S8528" s="4" t="str">
        <f>IFERROR(__xludf.DUMMYFUNCTION("""COMPUTED_VALUE"""),"Saipos Serviços De Software")</f>
        <v>Saipos Serviços De Software</v>
      </c>
      <c r="T8528" s="33">
        <f>IFERROR(__xludf.DUMMYFUNCTION("""COMPUTED_VALUE"""),1.0)</f>
        <v>1</v>
      </c>
      <c r="U8528" s="4" t="str">
        <f>IFERROR(__xludf.DUMMYFUNCTION("""COMPUTED_VALUE"""),"Saipos Serviços De Software")</f>
        <v>Saipos Serviços De Software</v>
      </c>
      <c r="V8528" s="33">
        <f>IFERROR(__xludf.DUMMYFUNCTION("""COMPUTED_VALUE"""),1.0)</f>
        <v>1</v>
      </c>
      <c r="W8528" s="4" t="str">
        <f>IFERROR(__xludf.DUMMYFUNCTION("""COMPUTED_VALUE"""),"Saipos Serviços De Software")</f>
        <v>Saipos Serviços De Software</v>
      </c>
      <c r="X8528" s="33">
        <f>IFERROR(__xludf.DUMMYFUNCTION("""COMPUTED_VALUE"""),1.0)</f>
        <v>1</v>
      </c>
    </row>
    <row r="8529">
      <c r="K8529" s="4" t="str">
        <f>IFERROR(__xludf.DUMMYFUNCTION("""COMPUTED_VALUE"""),"XIS E HAMBURGUERIA VINGADORES")</f>
        <v>XIS E HAMBURGUERIA VINGADORES</v>
      </c>
      <c r="L8529" s="32">
        <f>IFERROR(__xludf.DUMMYFUNCTION("""COMPUTED_VALUE"""),1.0)</f>
        <v>1</v>
      </c>
      <c r="M8529" s="4" t="str">
        <f>IFERROR(__xludf.DUMMYFUNCTION("""COMPUTED_VALUE"""),"Acertsoft Sistemas")</f>
        <v>Acertsoft Sistemas</v>
      </c>
      <c r="N8529" s="33">
        <f>IFERROR(__xludf.DUMMYFUNCTION("""COMPUTED_VALUE"""),1.0)</f>
        <v>1</v>
      </c>
      <c r="O8529" s="4" t="str">
        <f>IFERROR(__xludf.DUMMYFUNCTION("""COMPUTED_VALUE"""),"Acertsoft Sistemas")</f>
        <v>Acertsoft Sistemas</v>
      </c>
      <c r="P8529" s="33">
        <f>IFERROR(__xludf.DUMMYFUNCTION("""COMPUTED_VALUE"""),1.0)</f>
        <v>1</v>
      </c>
      <c r="Q8529" s="4" t="str">
        <f>IFERROR(__xludf.DUMMYFUNCTION("""COMPUTED_VALUE"""),"Acertsoft Sistemas")</f>
        <v>Acertsoft Sistemas</v>
      </c>
      <c r="R8529" s="33">
        <f>IFERROR(__xludf.DUMMYFUNCTION("""COMPUTED_VALUE"""),1.0)</f>
        <v>1</v>
      </c>
      <c r="S8529" s="4" t="str">
        <f>IFERROR(__xludf.DUMMYFUNCTION("""COMPUTED_VALUE"""),"Acertsoft Sistemas")</f>
        <v>Acertsoft Sistemas</v>
      </c>
      <c r="T8529" s="33">
        <f>IFERROR(__xludf.DUMMYFUNCTION("""COMPUTED_VALUE"""),1.0)</f>
        <v>1</v>
      </c>
      <c r="U8529" s="4" t="str">
        <f>IFERROR(__xludf.DUMMYFUNCTION("""COMPUTED_VALUE"""),"Saipos Serviços De Software")</f>
        <v>Saipos Serviços De Software</v>
      </c>
      <c r="V8529" s="33">
        <f>IFERROR(__xludf.DUMMYFUNCTION("""COMPUTED_VALUE"""),1.0)</f>
        <v>1</v>
      </c>
      <c r="W8529" s="4" t="str">
        <f>IFERROR(__xludf.DUMMYFUNCTION("""COMPUTED_VALUE"""),"Acertsoft Sistemas")</f>
        <v>Acertsoft Sistemas</v>
      </c>
      <c r="X8529" s="33">
        <f>IFERROR(__xludf.DUMMYFUNCTION("""COMPUTED_VALUE"""),1.0)</f>
        <v>1</v>
      </c>
    </row>
    <row r="8530">
      <c r="K8530" s="4" t="str">
        <f>IFERROR(__xludf.DUMMYFUNCTION("""COMPUTED_VALUE"""),"APETTITOSO CONJUNTO-CEARA")</f>
        <v>APETTITOSO CONJUNTO-CEARA</v>
      </c>
      <c r="L8530" s="32">
        <f>IFERROR(__xludf.DUMMYFUNCTION("""COMPUTED_VALUE"""),1.0)</f>
        <v>1</v>
      </c>
      <c r="M8530" s="4" t="str">
        <f>IFERROR(__xludf.DUMMYFUNCTION("""COMPUTED_VALUE"""),"Opdv")</f>
        <v>Opdv</v>
      </c>
      <c r="N8530" s="33">
        <f>IFERROR(__xludf.DUMMYFUNCTION("""COMPUTED_VALUE"""),1.0)</f>
        <v>1</v>
      </c>
      <c r="O8530" s="4" t="str">
        <f>IFERROR(__xludf.DUMMYFUNCTION("""COMPUTED_VALUE"""),"Opdv")</f>
        <v>Opdv</v>
      </c>
      <c r="P8530" s="33">
        <f>IFERROR(__xludf.DUMMYFUNCTION("""COMPUTED_VALUE"""),1.0)</f>
        <v>1</v>
      </c>
      <c r="Q8530" s="4" t="str">
        <f>IFERROR(__xludf.DUMMYFUNCTION("""COMPUTED_VALUE"""),"Opdv")</f>
        <v>Opdv</v>
      </c>
      <c r="R8530" s="33">
        <f>IFERROR(__xludf.DUMMYFUNCTION("""COMPUTED_VALUE"""),1.0)</f>
        <v>1</v>
      </c>
      <c r="S8530" s="4" t="str">
        <f>IFERROR(__xludf.DUMMYFUNCTION("""COMPUTED_VALUE"""),"Cardápio Web")</f>
        <v>Cardápio Web</v>
      </c>
      <c r="T8530" s="33">
        <f>IFERROR(__xludf.DUMMYFUNCTION("""COMPUTED_VALUE"""),1.0)</f>
        <v>1</v>
      </c>
      <c r="U8530" s="4" t="str">
        <f>IFERROR(__xludf.DUMMYFUNCTION("""COMPUTED_VALUE"""),"Cardápio Web")</f>
        <v>Cardápio Web</v>
      </c>
      <c r="V8530" s="33">
        <f>IFERROR(__xludf.DUMMYFUNCTION("""COMPUTED_VALUE"""),1.0)</f>
        <v>1</v>
      </c>
      <c r="W8530" s="4" t="str">
        <f>IFERROR(__xludf.DUMMYFUNCTION("""COMPUTED_VALUE"""),"Cardápio Web")</f>
        <v>Cardápio Web</v>
      </c>
      <c r="X8530" s="33">
        <f>IFERROR(__xludf.DUMMYFUNCTION("""COMPUTED_VALUE"""),1.0)</f>
        <v>1</v>
      </c>
    </row>
    <row r="8531">
      <c r="K8531" s="4" t="str">
        <f>IFERROR(__xludf.DUMMYFUNCTION("""COMPUTED_VALUE"""),"THE GARAGE PIZZARIA A LENHA - BARRA")</f>
        <v>THE GARAGE PIZZARIA A LENHA - BARRA</v>
      </c>
      <c r="L8531" s="32">
        <f>IFERROR(__xludf.DUMMYFUNCTION("""COMPUTED_VALUE"""),1.0)</f>
        <v>1</v>
      </c>
      <c r="M8531" s="4" t="str">
        <f>IFERROR(__xludf.DUMMYFUNCTION("""COMPUTED_VALUE"""),"Anota Ai Solucoes Digitais S/a")</f>
        <v>Anota Ai Solucoes Digitais S/a</v>
      </c>
      <c r="N8531" s="33">
        <f>IFERROR(__xludf.DUMMYFUNCTION("""COMPUTED_VALUE"""),1.0)</f>
        <v>1</v>
      </c>
      <c r="O8531" s="4" t="str">
        <f>IFERROR(__xludf.DUMMYFUNCTION("""COMPUTED_VALUE"""),"Anota Ai Solucoes Digitais S/a")</f>
        <v>Anota Ai Solucoes Digitais S/a</v>
      </c>
      <c r="P8531" s="33">
        <f>IFERROR(__xludf.DUMMYFUNCTION("""COMPUTED_VALUE"""),1.0)</f>
        <v>1</v>
      </c>
      <c r="Q8531" s="4" t="str">
        <f>IFERROR(__xludf.DUMMYFUNCTION("""COMPUTED_VALUE"""),"Anota Ai Solucoes Digitais S/a")</f>
        <v>Anota Ai Solucoes Digitais S/a</v>
      </c>
      <c r="R8531" s="33">
        <f>IFERROR(__xludf.DUMMYFUNCTION("""COMPUTED_VALUE"""),1.0)</f>
        <v>1</v>
      </c>
      <c r="S8531" s="4" t="str">
        <f>IFERROR(__xludf.DUMMYFUNCTION("""COMPUTED_VALUE"""),"Anota Ai Solucoes Digitais S/a")</f>
        <v>Anota Ai Solucoes Digitais S/a</v>
      </c>
      <c r="T8531" s="33">
        <f>IFERROR(__xludf.DUMMYFUNCTION("""COMPUTED_VALUE"""),1.0)</f>
        <v>1</v>
      </c>
      <c r="U8531" s="4" t="str">
        <f>IFERROR(__xludf.DUMMYFUNCTION("""COMPUTED_VALUE"""),"Anota Ai Solucoes Digitais S/a")</f>
        <v>Anota Ai Solucoes Digitais S/a</v>
      </c>
      <c r="V8531" s="33">
        <f>IFERROR(__xludf.DUMMYFUNCTION("""COMPUTED_VALUE"""),1.0)</f>
        <v>1</v>
      </c>
      <c r="W8531" s="4" t="str">
        <f>IFERROR(__xludf.DUMMYFUNCTION("""COMPUTED_VALUE"""),"Anota Ai Solucoes Digitais S/a")</f>
        <v>Anota Ai Solucoes Digitais S/a</v>
      </c>
      <c r="X8531" s="33">
        <f>IFERROR(__xludf.DUMMYFUNCTION("""COMPUTED_VALUE"""),1.0)</f>
        <v>1</v>
      </c>
    </row>
    <row r="8532">
      <c r="K8532" s="4" t="str">
        <f>IFERROR(__xludf.DUMMYFUNCTION("""COMPUTED_VALUE"""),"PIZZA DA TORRE")</f>
        <v>PIZZA DA TORRE</v>
      </c>
      <c r="L8532" s="32">
        <f>IFERROR(__xludf.DUMMYFUNCTION("""COMPUTED_VALUE"""),1.0)</f>
        <v>1</v>
      </c>
      <c r="M8532" s="4" t="str">
        <f>IFERROR(__xludf.DUMMYFUNCTION("""COMPUTED_VALUE"""),"Consumer Soluções Em Tecnologia Ltda")</f>
        <v>Consumer Soluções Em Tecnologia Ltda</v>
      </c>
      <c r="N8532" s="33">
        <f>IFERROR(__xludf.DUMMYFUNCTION("""COMPUTED_VALUE"""),1.0)</f>
        <v>1</v>
      </c>
      <c r="O8532" s="4" t="str">
        <f>IFERROR(__xludf.DUMMYFUNCTION("""COMPUTED_VALUE"""),"Consumer Soluções Em Tecnologia Ltda")</f>
        <v>Consumer Soluções Em Tecnologia Ltda</v>
      </c>
      <c r="P8532" s="33">
        <f>IFERROR(__xludf.DUMMYFUNCTION("""COMPUTED_VALUE"""),1.0)</f>
        <v>1</v>
      </c>
      <c r="Q8532" s="4" t="str">
        <f>IFERROR(__xludf.DUMMYFUNCTION("""COMPUTED_VALUE"""),"Consumer Soluções Em Tecnologia Ltda")</f>
        <v>Consumer Soluções Em Tecnologia Ltda</v>
      </c>
      <c r="R8532" s="33">
        <f>IFERROR(__xludf.DUMMYFUNCTION("""COMPUTED_VALUE"""),1.0)</f>
        <v>1</v>
      </c>
      <c r="S8532" s="4" t="str">
        <f>IFERROR(__xludf.DUMMYFUNCTION("""COMPUTED_VALUE"""),"null")</f>
        <v>null</v>
      </c>
      <c r="T8532" s="33">
        <f>IFERROR(__xludf.DUMMYFUNCTION("""COMPUTED_VALUE"""),1.0)</f>
        <v>1</v>
      </c>
      <c r="U8532" s="4" t="str">
        <f>IFERROR(__xludf.DUMMYFUNCTION("""COMPUTED_VALUE"""),"null")</f>
        <v>null</v>
      </c>
      <c r="V8532" s="33">
        <f>IFERROR(__xludf.DUMMYFUNCTION("""COMPUTED_VALUE"""),1.0)</f>
        <v>1</v>
      </c>
      <c r="W8532" s="4" t="str">
        <f>IFERROR(__xludf.DUMMYFUNCTION("""COMPUTED_VALUE"""),"Consumer Soluções Em Tecnologia Ltda")</f>
        <v>Consumer Soluções Em Tecnologia Ltda</v>
      </c>
      <c r="X8532" s="33">
        <f>IFERROR(__xludf.DUMMYFUNCTION("""COMPUTED_VALUE"""),1.0)</f>
        <v>1</v>
      </c>
    </row>
    <row r="8533">
      <c r="K8533" s="4" t="str">
        <f>IFERROR(__xludf.DUMMYFUNCTION("""COMPUTED_VALUE"""),"D CHICKEN FRITO")</f>
        <v>D CHICKEN FRITO</v>
      </c>
      <c r="L8533" s="32">
        <f>IFERROR(__xludf.DUMMYFUNCTION("""COMPUTED_VALUE"""),1.0)</f>
        <v>1</v>
      </c>
      <c r="M8533" s="4" t="str">
        <f>IFERROR(__xludf.DUMMYFUNCTION("""COMPUTED_VALUE"""),"Insert Code Informatica Ltda")</f>
        <v>Insert Code Informatica Ltda</v>
      </c>
      <c r="N8533" s="33">
        <f>IFERROR(__xludf.DUMMYFUNCTION("""COMPUTED_VALUE"""),1.0)</f>
        <v>1</v>
      </c>
      <c r="O8533" s="4" t="str">
        <f>IFERROR(__xludf.DUMMYFUNCTION("""COMPUTED_VALUE"""),"Insert Code Informatica Ltda")</f>
        <v>Insert Code Informatica Ltda</v>
      </c>
      <c r="P8533" s="33">
        <f>IFERROR(__xludf.DUMMYFUNCTION("""COMPUTED_VALUE"""),1.0)</f>
        <v>1</v>
      </c>
      <c r="Q8533" s="4" t="str">
        <f>IFERROR(__xludf.DUMMYFUNCTION("""COMPUTED_VALUE"""),"Insert Code Informatica Ltda")</f>
        <v>Insert Code Informatica Ltda</v>
      </c>
      <c r="R8533" s="33">
        <f>IFERROR(__xludf.DUMMYFUNCTION("""COMPUTED_VALUE"""),1.0)</f>
        <v>1</v>
      </c>
      <c r="S8533" s="4" t="str">
        <f>IFERROR(__xludf.DUMMYFUNCTION("""COMPUTED_VALUE"""),"Insert Code Informatica Ltda")</f>
        <v>Insert Code Informatica Ltda</v>
      </c>
      <c r="T8533" s="33">
        <f>IFERROR(__xludf.DUMMYFUNCTION("""COMPUTED_VALUE"""),1.0)</f>
        <v>1</v>
      </c>
      <c r="U8533" s="4" t="str">
        <f>IFERROR(__xludf.DUMMYFUNCTION("""COMPUTED_VALUE"""),"Insert Code Informatica Ltda")</f>
        <v>Insert Code Informatica Ltda</v>
      </c>
      <c r="V8533" s="33">
        <f>IFERROR(__xludf.DUMMYFUNCTION("""COMPUTED_VALUE"""),1.0)</f>
        <v>1</v>
      </c>
      <c r="W8533" s="4" t="str">
        <f>IFERROR(__xludf.DUMMYFUNCTION("""COMPUTED_VALUE"""),"Insert Code Informatica Ltda")</f>
        <v>Insert Code Informatica Ltda</v>
      </c>
      <c r="X8533" s="33">
        <f>IFERROR(__xludf.DUMMYFUNCTION("""COMPUTED_VALUE"""),1.0)</f>
        <v>1</v>
      </c>
    </row>
    <row r="8534">
      <c r="K8534" s="4" t="str">
        <f>IFERROR(__xludf.DUMMYFUNCTION("""COMPUTED_VALUE"""),"CWB BURGUER RIO BONITO - HAMBURGUERIA SMASH")</f>
        <v>CWB BURGUER RIO BONITO - HAMBURGUERIA SMASH</v>
      </c>
      <c r="L8534" s="32">
        <f>IFERROR(__xludf.DUMMYFUNCTION("""COMPUTED_VALUE"""),1.0)</f>
        <v>1</v>
      </c>
      <c r="M8534" s="4" t="str">
        <f>IFERROR(__xludf.DUMMYFUNCTION("""COMPUTED_VALUE"""),"Saipos Serviços De Software")</f>
        <v>Saipos Serviços De Software</v>
      </c>
      <c r="N8534" s="33">
        <f>IFERROR(__xludf.DUMMYFUNCTION("""COMPUTED_VALUE"""),1.0)</f>
        <v>1</v>
      </c>
      <c r="O8534" s="4" t="str">
        <f>IFERROR(__xludf.DUMMYFUNCTION("""COMPUTED_VALUE"""),"Saipos Serviços De Software")</f>
        <v>Saipos Serviços De Software</v>
      </c>
      <c r="P8534" s="33">
        <f>IFERROR(__xludf.DUMMYFUNCTION("""COMPUTED_VALUE"""),1.0)</f>
        <v>1</v>
      </c>
      <c r="Q8534" s="4" t="str">
        <f>IFERROR(__xludf.DUMMYFUNCTION("""COMPUTED_VALUE"""),"Saipos Serviços De Software")</f>
        <v>Saipos Serviços De Software</v>
      </c>
      <c r="R8534" s="33">
        <f>IFERROR(__xludf.DUMMYFUNCTION("""COMPUTED_VALUE"""),1.0)</f>
        <v>1</v>
      </c>
      <c r="S8534" s="4" t="str">
        <f>IFERROR(__xludf.DUMMYFUNCTION("""COMPUTED_VALUE"""),"Saipos Serviços De Software")</f>
        <v>Saipos Serviços De Software</v>
      </c>
      <c r="T8534" s="33">
        <f>IFERROR(__xludf.DUMMYFUNCTION("""COMPUTED_VALUE"""),1.0)</f>
        <v>1</v>
      </c>
      <c r="U8534" s="4" t="str">
        <f>IFERROR(__xludf.DUMMYFUNCTION("""COMPUTED_VALUE"""),"Saipos Serviços De Software")</f>
        <v>Saipos Serviços De Software</v>
      </c>
      <c r="V8534" s="33">
        <f>IFERROR(__xludf.DUMMYFUNCTION("""COMPUTED_VALUE"""),1.0)</f>
        <v>1</v>
      </c>
      <c r="W8534" s="4" t="str">
        <f>IFERROR(__xludf.DUMMYFUNCTION("""COMPUTED_VALUE"""),"Saipos Serviços De Software")</f>
        <v>Saipos Serviços De Software</v>
      </c>
      <c r="X8534" s="33">
        <f>IFERROR(__xludf.DUMMYFUNCTION("""COMPUTED_VALUE"""),1.0)</f>
        <v>1</v>
      </c>
    </row>
    <row r="8535">
      <c r="K8535" s="4" t="str">
        <f>IFERROR(__xludf.DUMMYFUNCTION("""COMPUTED_VALUE"""),"MANINHO DO ESPETINHO")</f>
        <v>MANINHO DO ESPETINHO</v>
      </c>
      <c r="L8535" s="32">
        <f>IFERROR(__xludf.DUMMYFUNCTION("""COMPUTED_VALUE"""),1.0)</f>
        <v>1</v>
      </c>
      <c r="M8535" s="4" t="str">
        <f>IFERROR(__xludf.DUMMYFUNCTION("""COMPUTED_VALUE"""),"Crm Ti Ltda.")</f>
        <v>Crm Ti Ltda.</v>
      </c>
      <c r="N8535" s="33">
        <f>IFERROR(__xludf.DUMMYFUNCTION("""COMPUTED_VALUE"""),1.0)</f>
        <v>1</v>
      </c>
      <c r="O8535" s="4" t="str">
        <f>IFERROR(__xludf.DUMMYFUNCTION("""COMPUTED_VALUE"""),"Crm Ti Ltda.")</f>
        <v>Crm Ti Ltda.</v>
      </c>
      <c r="P8535" s="33">
        <f>IFERROR(__xludf.DUMMYFUNCTION("""COMPUTED_VALUE"""),1.0)</f>
        <v>1</v>
      </c>
      <c r="Q8535" s="4" t="str">
        <f>IFERROR(__xludf.DUMMYFUNCTION("""COMPUTED_VALUE"""),"null")</f>
        <v>null</v>
      </c>
      <c r="R8535" s="33">
        <f>IFERROR(__xludf.DUMMYFUNCTION("""COMPUTED_VALUE"""),1.0)</f>
        <v>1</v>
      </c>
      <c r="S8535" s="4" t="str">
        <f>IFERROR(__xludf.DUMMYFUNCTION("""COMPUTED_VALUE"""),"null")</f>
        <v>null</v>
      </c>
      <c r="T8535" s="33">
        <f>IFERROR(__xludf.DUMMYFUNCTION("""COMPUTED_VALUE"""),1.0)</f>
        <v>1</v>
      </c>
      <c r="U8535" s="4" t="str">
        <f>IFERROR(__xludf.DUMMYFUNCTION("""COMPUTED_VALUE"""),"Crm Ti Ltda.")</f>
        <v>Crm Ti Ltda.</v>
      </c>
      <c r="V8535" s="33">
        <f>IFERROR(__xludf.DUMMYFUNCTION("""COMPUTED_VALUE"""),1.0)</f>
        <v>1</v>
      </c>
      <c r="W8535" s="4" t="str">
        <f>IFERROR(__xludf.DUMMYFUNCTION("""COMPUTED_VALUE"""),"Crm Ti Ltda.")</f>
        <v>Crm Ti Ltda.</v>
      </c>
      <c r="X8535" s="33">
        <f>IFERROR(__xludf.DUMMYFUNCTION("""COMPUTED_VALUE"""),1.0)</f>
        <v>1</v>
      </c>
    </row>
    <row r="8536">
      <c r="K8536" s="4" t="str">
        <f>IFERROR(__xludf.DUMMYFUNCTION("""COMPUTED_VALUE"""),"PIZZARIA NOBRE 2 - PIZZA RAPIDA")</f>
        <v>PIZZARIA NOBRE 2 - PIZZA RAPIDA</v>
      </c>
      <c r="L8536" s="32">
        <f>IFERROR(__xludf.DUMMYFUNCTION("""COMPUTED_VALUE"""),1.0)</f>
        <v>1</v>
      </c>
      <c r="M8536" s="4" t="str">
        <f>IFERROR(__xludf.DUMMYFUNCTION("""COMPUTED_VALUE"""),"null")</f>
        <v>null</v>
      </c>
      <c r="N8536" s="33">
        <f>IFERROR(__xludf.DUMMYFUNCTION("""COMPUTED_VALUE"""),1.0)</f>
        <v>1</v>
      </c>
      <c r="O8536" s="4" t="str">
        <f>IFERROR(__xludf.DUMMYFUNCTION("""COMPUTED_VALUE"""),"Pedidu Software Ltda")</f>
        <v>Pedidu Software Ltda</v>
      </c>
      <c r="P8536" s="33">
        <f>IFERROR(__xludf.DUMMYFUNCTION("""COMPUTED_VALUE"""),1.0)</f>
        <v>1</v>
      </c>
      <c r="Q8536" s="4" t="str">
        <f>IFERROR(__xludf.DUMMYFUNCTION("""COMPUTED_VALUE"""),"Pedidu Software Ltda")</f>
        <v>Pedidu Software Ltda</v>
      </c>
      <c r="R8536" s="33">
        <f>IFERROR(__xludf.DUMMYFUNCTION("""COMPUTED_VALUE"""),1.0)</f>
        <v>1</v>
      </c>
      <c r="S8536" s="4" t="str">
        <f>IFERROR(__xludf.DUMMYFUNCTION("""COMPUTED_VALUE"""),"Pedidu Software Ltda")</f>
        <v>Pedidu Software Ltda</v>
      </c>
      <c r="T8536" s="33">
        <f>IFERROR(__xludf.DUMMYFUNCTION("""COMPUTED_VALUE"""),1.0)</f>
        <v>1</v>
      </c>
      <c r="U8536" s="4" t="str">
        <f>IFERROR(__xludf.DUMMYFUNCTION("""COMPUTED_VALUE"""),"Pedidu Software Ltda")</f>
        <v>Pedidu Software Ltda</v>
      </c>
      <c r="V8536" s="33">
        <f>IFERROR(__xludf.DUMMYFUNCTION("""COMPUTED_VALUE"""),1.0)</f>
        <v>1</v>
      </c>
      <c r="W8536" s="4" t="str">
        <f>IFERROR(__xludf.DUMMYFUNCTION("""COMPUTED_VALUE"""),"null")</f>
        <v>null</v>
      </c>
      <c r="X8536" s="33">
        <f>IFERROR(__xludf.DUMMYFUNCTION("""COMPUTED_VALUE"""),1.0)</f>
        <v>1</v>
      </c>
    </row>
    <row r="8537">
      <c r="K8537" s="4" t="str">
        <f>IFERROR(__xludf.DUMMYFUNCTION("""COMPUTED_VALUE"""),"SEU ZE E SEU MANE RECANTO DAS EMAS")</f>
        <v>SEU ZE E SEU MANE RECANTO DAS EMAS</v>
      </c>
      <c r="L8537" s="32">
        <f>IFERROR(__xludf.DUMMYFUNCTION("""COMPUTED_VALUE"""),1.0)</f>
        <v>1</v>
      </c>
      <c r="M8537" s="4" t="str">
        <f>IFERROR(__xludf.DUMMYFUNCTION("""COMPUTED_VALUE"""),"Cloudfy")</f>
        <v>Cloudfy</v>
      </c>
      <c r="N8537" s="33">
        <f>IFERROR(__xludf.DUMMYFUNCTION("""COMPUTED_VALUE"""),1.0)</f>
        <v>1</v>
      </c>
      <c r="O8537" s="4" t="str">
        <f>IFERROR(__xludf.DUMMYFUNCTION("""COMPUTED_VALUE"""),"Cloudfy")</f>
        <v>Cloudfy</v>
      </c>
      <c r="P8537" s="33">
        <f>IFERROR(__xludf.DUMMYFUNCTION("""COMPUTED_VALUE"""),1.0)</f>
        <v>1</v>
      </c>
      <c r="Q8537" s="4" t="str">
        <f>IFERROR(__xludf.DUMMYFUNCTION("""COMPUTED_VALUE"""),"null")</f>
        <v>null</v>
      </c>
      <c r="R8537" s="33">
        <f>IFERROR(__xludf.DUMMYFUNCTION("""COMPUTED_VALUE"""),1.0)</f>
        <v>1</v>
      </c>
      <c r="S8537" s="4" t="str">
        <f>IFERROR(__xludf.DUMMYFUNCTION("""COMPUTED_VALUE"""),"Cloudfy")</f>
        <v>Cloudfy</v>
      </c>
      <c r="T8537" s="33">
        <f>IFERROR(__xludf.DUMMYFUNCTION("""COMPUTED_VALUE"""),1.0)</f>
        <v>1</v>
      </c>
      <c r="U8537" s="4" t="str">
        <f>IFERROR(__xludf.DUMMYFUNCTION("""COMPUTED_VALUE"""),"Cloudfy")</f>
        <v>Cloudfy</v>
      </c>
      <c r="V8537" s="33">
        <f>IFERROR(__xludf.DUMMYFUNCTION("""COMPUTED_VALUE"""),1.0)</f>
        <v>1</v>
      </c>
      <c r="W8537" s="4" t="str">
        <f>IFERROR(__xludf.DUMMYFUNCTION("""COMPUTED_VALUE"""),"Cloudfy")</f>
        <v>Cloudfy</v>
      </c>
      <c r="X8537" s="33">
        <f>IFERROR(__xludf.DUMMYFUNCTION("""COMPUTED_VALUE"""),1.0)</f>
        <v>1</v>
      </c>
    </row>
    <row r="8538">
      <c r="K8538" s="4" t="str">
        <f>IFERROR(__xludf.DUMMYFUNCTION("""COMPUTED_VALUE"""),"HARVEYS RESTAURANTE")</f>
        <v>HARVEYS RESTAURANTE</v>
      </c>
      <c r="L8538" s="32">
        <f>IFERROR(__xludf.DUMMYFUNCTION("""COMPUTED_VALUE"""),1.0)</f>
        <v>1</v>
      </c>
      <c r="M8538" s="4" t="str">
        <f>IFERROR(__xludf.DUMMYFUNCTION("""COMPUTED_VALUE"""),"Ncr")</f>
        <v>Ncr</v>
      </c>
      <c r="N8538" s="33">
        <f>IFERROR(__xludf.DUMMYFUNCTION("""COMPUTED_VALUE"""),1.0)</f>
        <v>1</v>
      </c>
      <c r="O8538" s="4" t="str">
        <f>IFERROR(__xludf.DUMMYFUNCTION("""COMPUTED_VALUE"""),"Takeat Tecnologia")</f>
        <v>Takeat Tecnologia</v>
      </c>
      <c r="P8538" s="33">
        <f>IFERROR(__xludf.DUMMYFUNCTION("""COMPUTED_VALUE"""),1.0)</f>
        <v>1</v>
      </c>
      <c r="Q8538" s="4" t="str">
        <f>IFERROR(__xludf.DUMMYFUNCTION("""COMPUTED_VALUE"""),"Takeat Tecnologia")</f>
        <v>Takeat Tecnologia</v>
      </c>
      <c r="R8538" s="33">
        <f>IFERROR(__xludf.DUMMYFUNCTION("""COMPUTED_VALUE"""),1.0)</f>
        <v>1</v>
      </c>
      <c r="S8538" s="4" t="str">
        <f>IFERROR(__xludf.DUMMYFUNCTION("""COMPUTED_VALUE"""),"Takeat Tecnologia")</f>
        <v>Takeat Tecnologia</v>
      </c>
      <c r="T8538" s="33">
        <f>IFERROR(__xludf.DUMMYFUNCTION("""COMPUTED_VALUE"""),1.0)</f>
        <v>1</v>
      </c>
      <c r="U8538" s="4" t="str">
        <f>IFERROR(__xludf.DUMMYFUNCTION("""COMPUTED_VALUE"""),"Takeat Tecnologia")</f>
        <v>Takeat Tecnologia</v>
      </c>
      <c r="V8538" s="33">
        <f>IFERROR(__xludf.DUMMYFUNCTION("""COMPUTED_VALUE"""),1.0)</f>
        <v>1</v>
      </c>
      <c r="W8538" s="4" t="str">
        <f>IFERROR(__xludf.DUMMYFUNCTION("""COMPUTED_VALUE"""),"Takeat Tecnologia")</f>
        <v>Takeat Tecnologia</v>
      </c>
      <c r="X8538" s="33">
        <f>IFERROR(__xludf.DUMMYFUNCTION("""COMPUTED_VALUE"""),1.0)</f>
        <v>1</v>
      </c>
    </row>
    <row r="8539">
      <c r="K8539" s="4" t="str">
        <f>IFERROR(__xludf.DUMMYFUNCTION("""COMPUTED_VALUE"""),"BELLA PIZZA - CAPELA VELHA")</f>
        <v>BELLA PIZZA - CAPELA VELHA</v>
      </c>
      <c r="L8539" s="32">
        <f>IFERROR(__xludf.DUMMYFUNCTION("""COMPUTED_VALUE"""),1.0)</f>
        <v>1</v>
      </c>
      <c r="M8539" s="4" t="str">
        <f>IFERROR(__xludf.DUMMYFUNCTION("""COMPUTED_VALUE"""),"Cardápio Web")</f>
        <v>Cardápio Web</v>
      </c>
      <c r="N8539" s="33">
        <f>IFERROR(__xludf.DUMMYFUNCTION("""COMPUTED_VALUE"""),1.0)</f>
        <v>1</v>
      </c>
      <c r="O8539" s="4" t="str">
        <f>IFERROR(__xludf.DUMMYFUNCTION("""COMPUTED_VALUE"""),"Cardápio Web")</f>
        <v>Cardápio Web</v>
      </c>
      <c r="P8539" s="33">
        <f>IFERROR(__xludf.DUMMYFUNCTION("""COMPUTED_VALUE"""),1.0)</f>
        <v>1</v>
      </c>
      <c r="Q8539" s="4" t="str">
        <f>IFERROR(__xludf.DUMMYFUNCTION("""COMPUTED_VALUE"""),"Cardápio Web")</f>
        <v>Cardápio Web</v>
      </c>
      <c r="R8539" s="33">
        <f>IFERROR(__xludf.DUMMYFUNCTION("""COMPUTED_VALUE"""),1.0)</f>
        <v>1</v>
      </c>
      <c r="S8539" s="4" t="str">
        <f>IFERROR(__xludf.DUMMYFUNCTION("""COMPUTED_VALUE"""),"Cardápio Web")</f>
        <v>Cardápio Web</v>
      </c>
      <c r="T8539" s="33">
        <f>IFERROR(__xludf.DUMMYFUNCTION("""COMPUTED_VALUE"""),1.0)</f>
        <v>1</v>
      </c>
      <c r="U8539" s="4" t="str">
        <f>IFERROR(__xludf.DUMMYFUNCTION("""COMPUTED_VALUE"""),"Cardápio Web")</f>
        <v>Cardápio Web</v>
      </c>
      <c r="V8539" s="33">
        <f>IFERROR(__xludf.DUMMYFUNCTION("""COMPUTED_VALUE"""),1.0)</f>
        <v>1</v>
      </c>
      <c r="W8539" s="4" t="str">
        <f>IFERROR(__xludf.DUMMYFUNCTION("""COMPUTED_VALUE"""),"Cardápio Web")</f>
        <v>Cardápio Web</v>
      </c>
      <c r="X8539" s="33">
        <f>IFERROR(__xludf.DUMMYFUNCTION("""COMPUTED_VALUE"""),1.0)</f>
        <v>1</v>
      </c>
    </row>
    <row r="8540">
      <c r="K8540" s="4" t="str">
        <f>IFERROR(__xludf.DUMMYFUNCTION("""COMPUTED_VALUE"""),"SAPPORO")</f>
        <v>SAPPORO</v>
      </c>
      <c r="L8540" s="32">
        <f>IFERROR(__xludf.DUMMYFUNCTION("""COMPUTED_VALUE"""),1.0)</f>
        <v>1</v>
      </c>
      <c r="M8540" s="4" t="str">
        <f>IFERROR(__xludf.DUMMYFUNCTION("""COMPUTED_VALUE"""),"Eclética Tecnologia")</f>
        <v>Eclética Tecnologia</v>
      </c>
      <c r="N8540" s="33">
        <f>IFERROR(__xludf.DUMMYFUNCTION("""COMPUTED_VALUE"""),1.0)</f>
        <v>1</v>
      </c>
      <c r="O8540" s="4" t="str">
        <f>IFERROR(__xludf.DUMMYFUNCTION("""COMPUTED_VALUE"""),"Eclética Tecnologia")</f>
        <v>Eclética Tecnologia</v>
      </c>
      <c r="P8540" s="33">
        <f>IFERROR(__xludf.DUMMYFUNCTION("""COMPUTED_VALUE"""),1.0)</f>
        <v>1</v>
      </c>
      <c r="Q8540" s="4" t="str">
        <f>IFERROR(__xludf.DUMMYFUNCTION("""COMPUTED_VALUE"""),"Eclética Tecnologia")</f>
        <v>Eclética Tecnologia</v>
      </c>
      <c r="R8540" s="33">
        <f>IFERROR(__xludf.DUMMYFUNCTION("""COMPUTED_VALUE"""),1.0)</f>
        <v>1</v>
      </c>
      <c r="S8540" s="4" t="str">
        <f>IFERROR(__xludf.DUMMYFUNCTION("""COMPUTED_VALUE"""),"Eclética Tecnologia")</f>
        <v>Eclética Tecnologia</v>
      </c>
      <c r="T8540" s="33">
        <f>IFERROR(__xludf.DUMMYFUNCTION("""COMPUTED_VALUE"""),1.0)</f>
        <v>1</v>
      </c>
      <c r="U8540" s="4" t="str">
        <f>IFERROR(__xludf.DUMMYFUNCTION("""COMPUTED_VALUE"""),"Eclética Tecnologia")</f>
        <v>Eclética Tecnologia</v>
      </c>
      <c r="V8540" s="33">
        <f>IFERROR(__xludf.DUMMYFUNCTION("""COMPUTED_VALUE"""),1.0)</f>
        <v>1</v>
      </c>
      <c r="W8540" s="4" t="str">
        <f>IFERROR(__xludf.DUMMYFUNCTION("""COMPUTED_VALUE"""),"Eclética Tecnologia")</f>
        <v>Eclética Tecnologia</v>
      </c>
      <c r="X8540" s="33">
        <f>IFERROR(__xludf.DUMMYFUNCTION("""COMPUTED_VALUE"""),1.0)</f>
        <v>1</v>
      </c>
    </row>
    <row r="8541">
      <c r="K8541" s="4" t="str">
        <f>IFERROR(__xludf.DUMMYFUNCTION("""COMPUTED_VALUE"""),"DINAPOLI PIZZA")</f>
        <v>DINAPOLI PIZZA</v>
      </c>
      <c r="L8541" s="32">
        <f>IFERROR(__xludf.DUMMYFUNCTION("""COMPUTED_VALUE"""),1.0)</f>
        <v>1</v>
      </c>
      <c r="M8541" s="4" t="str">
        <f>IFERROR(__xludf.DUMMYFUNCTION("""COMPUTED_VALUE"""),"Nuc Tecnologia")</f>
        <v>Nuc Tecnologia</v>
      </c>
      <c r="N8541" s="33">
        <f>IFERROR(__xludf.DUMMYFUNCTION("""COMPUTED_VALUE"""),1.0)</f>
        <v>1</v>
      </c>
      <c r="O8541" s="4" t="str">
        <f>IFERROR(__xludf.DUMMYFUNCTION("""COMPUTED_VALUE"""),"Nuc Tecnologia")</f>
        <v>Nuc Tecnologia</v>
      </c>
      <c r="P8541" s="33">
        <f>IFERROR(__xludf.DUMMYFUNCTION("""COMPUTED_VALUE"""),1.0)</f>
        <v>1</v>
      </c>
      <c r="Q8541" s="4" t="str">
        <f>IFERROR(__xludf.DUMMYFUNCTION("""COMPUTED_VALUE"""),"Nuc Tecnologia")</f>
        <v>Nuc Tecnologia</v>
      </c>
      <c r="R8541" s="33">
        <f>IFERROR(__xludf.DUMMYFUNCTION("""COMPUTED_VALUE"""),1.0)</f>
        <v>1</v>
      </c>
      <c r="S8541" s="4" t="str">
        <f>IFERROR(__xludf.DUMMYFUNCTION("""COMPUTED_VALUE"""),"Nuc Tecnologia")</f>
        <v>Nuc Tecnologia</v>
      </c>
      <c r="T8541" s="33">
        <f>IFERROR(__xludf.DUMMYFUNCTION("""COMPUTED_VALUE"""),1.0)</f>
        <v>1</v>
      </c>
      <c r="U8541" s="4" t="str">
        <f>IFERROR(__xludf.DUMMYFUNCTION("""COMPUTED_VALUE"""),"Nuc Tecnologia")</f>
        <v>Nuc Tecnologia</v>
      </c>
      <c r="V8541" s="33">
        <f>IFERROR(__xludf.DUMMYFUNCTION("""COMPUTED_VALUE"""),1.0)</f>
        <v>1</v>
      </c>
      <c r="W8541" s="4" t="str">
        <f>IFERROR(__xludf.DUMMYFUNCTION("""COMPUTED_VALUE"""),"null")</f>
        <v>null</v>
      </c>
      <c r="X8541" s="33">
        <f>IFERROR(__xludf.DUMMYFUNCTION("""COMPUTED_VALUE"""),1.0)</f>
        <v>1</v>
      </c>
    </row>
    <row r="8542">
      <c r="K8542" s="4" t="str">
        <f>IFERROR(__xludf.DUMMYFUNCTION("""COMPUTED_VALUE"""),"- NOVA - PIZZARIA E ESFIHARIA")</f>
        <v>- NOVA - PIZZARIA E ESFIHARIA</v>
      </c>
      <c r="L8542" s="32">
        <f>IFERROR(__xludf.DUMMYFUNCTION("""COMPUTED_VALUE"""),1.0)</f>
        <v>1</v>
      </c>
      <c r="M8542" s="4" t="str">
        <f>IFERROR(__xludf.DUMMYFUNCTION("""COMPUTED_VALUE"""),"Cardápio Web")</f>
        <v>Cardápio Web</v>
      </c>
      <c r="N8542" s="33">
        <f>IFERROR(__xludf.DUMMYFUNCTION("""COMPUTED_VALUE"""),1.0)</f>
        <v>1</v>
      </c>
      <c r="O8542" s="4" t="str">
        <f>IFERROR(__xludf.DUMMYFUNCTION("""COMPUTED_VALUE"""),"Cardápio Web")</f>
        <v>Cardápio Web</v>
      </c>
      <c r="P8542" s="33">
        <f>IFERROR(__xludf.DUMMYFUNCTION("""COMPUTED_VALUE"""),1.0)</f>
        <v>1</v>
      </c>
      <c r="Q8542" s="4" t="str">
        <f>IFERROR(__xludf.DUMMYFUNCTION("""COMPUTED_VALUE"""),"null")</f>
        <v>null</v>
      </c>
      <c r="R8542" s="33">
        <f>IFERROR(__xludf.DUMMYFUNCTION("""COMPUTED_VALUE"""),1.0)</f>
        <v>1</v>
      </c>
      <c r="S8542" s="4" t="str">
        <f>IFERROR(__xludf.DUMMYFUNCTION("""COMPUTED_VALUE"""),"Cardápio Web")</f>
        <v>Cardápio Web</v>
      </c>
      <c r="T8542" s="33">
        <f>IFERROR(__xludf.DUMMYFUNCTION("""COMPUTED_VALUE"""),1.0)</f>
        <v>1</v>
      </c>
      <c r="U8542" s="4" t="str">
        <f>IFERROR(__xludf.DUMMYFUNCTION("""COMPUTED_VALUE"""),"null")</f>
        <v>null</v>
      </c>
      <c r="V8542" s="33">
        <f>IFERROR(__xludf.DUMMYFUNCTION("""COMPUTED_VALUE"""),1.0)</f>
        <v>1</v>
      </c>
      <c r="W8542" s="4" t="str">
        <f>IFERROR(__xludf.DUMMYFUNCTION("""COMPUTED_VALUE"""),"Cardápio Web")</f>
        <v>Cardápio Web</v>
      </c>
      <c r="X8542" s="33">
        <f>IFERROR(__xludf.DUMMYFUNCTION("""COMPUTED_VALUE"""),1.0)</f>
        <v>1</v>
      </c>
    </row>
    <row r="8543">
      <c r="K8543" s="4" t="str">
        <f>IFERROR(__xludf.DUMMYFUNCTION("""COMPUTED_VALUE"""),"LANCHONETE, SHAKES, COMIDAS JM")</f>
        <v>LANCHONETE, SHAKES, COMIDAS JM</v>
      </c>
      <c r="L8543" s="32">
        <f>IFERROR(__xludf.DUMMYFUNCTION("""COMPUTED_VALUE"""),1.0)</f>
        <v>1</v>
      </c>
      <c r="M8543" s="4" t="str">
        <f>IFERROR(__xludf.DUMMYFUNCTION("""COMPUTED_VALUE"""),"Clickatende Tecnologia Ltda")</f>
        <v>Clickatende Tecnologia Ltda</v>
      </c>
      <c r="N8543" s="33">
        <f>IFERROR(__xludf.DUMMYFUNCTION("""COMPUTED_VALUE"""),1.0)</f>
        <v>1</v>
      </c>
      <c r="O8543" s="4" t="str">
        <f>IFERROR(__xludf.DUMMYFUNCTION("""COMPUTED_VALUE"""),"null")</f>
        <v>null</v>
      </c>
      <c r="P8543" s="33">
        <f>IFERROR(__xludf.DUMMYFUNCTION("""COMPUTED_VALUE"""),1.0)</f>
        <v>1</v>
      </c>
      <c r="Q8543" s="4" t="str">
        <f>IFERROR(__xludf.DUMMYFUNCTION("""COMPUTED_VALUE"""),"Clickatende Tecnologia Ltda")</f>
        <v>Clickatende Tecnologia Ltda</v>
      </c>
      <c r="R8543" s="33">
        <f>IFERROR(__xludf.DUMMYFUNCTION("""COMPUTED_VALUE"""),1.0)</f>
        <v>1</v>
      </c>
      <c r="S8543" s="4" t="str">
        <f>IFERROR(__xludf.DUMMYFUNCTION("""COMPUTED_VALUE"""),"null")</f>
        <v>null</v>
      </c>
      <c r="T8543" s="33">
        <f>IFERROR(__xludf.DUMMYFUNCTION("""COMPUTED_VALUE"""),1.0)</f>
        <v>1</v>
      </c>
      <c r="U8543" s="4" t="str">
        <f>IFERROR(__xludf.DUMMYFUNCTION("""COMPUTED_VALUE"""),"null")</f>
        <v>null</v>
      </c>
      <c r="V8543" s="33">
        <f>IFERROR(__xludf.DUMMYFUNCTION("""COMPUTED_VALUE"""),1.0)</f>
        <v>1</v>
      </c>
      <c r="W8543" s="4" t="str">
        <f>IFERROR(__xludf.DUMMYFUNCTION("""COMPUTED_VALUE"""),"Clickatende Tecnologia Ltda")</f>
        <v>Clickatende Tecnologia Ltda</v>
      </c>
      <c r="X8543" s="33">
        <f>IFERROR(__xludf.DUMMYFUNCTION("""COMPUTED_VALUE"""),1.0)</f>
        <v>1</v>
      </c>
    </row>
    <row r="8544">
      <c r="K8544" s="4" t="str">
        <f>IFERROR(__xludf.DUMMYFUNCTION("""COMPUTED_VALUE"""),"THE BURGERTOWN")</f>
        <v>THE BURGERTOWN</v>
      </c>
      <c r="L8544" s="32">
        <f>IFERROR(__xludf.DUMMYFUNCTION("""COMPUTED_VALUE"""),1.0)</f>
        <v>1</v>
      </c>
      <c r="M8544" s="4" t="str">
        <f>IFERROR(__xludf.DUMMYFUNCTION("""COMPUTED_VALUE"""),"Saipos Serviços De Software")</f>
        <v>Saipos Serviços De Software</v>
      </c>
      <c r="N8544" s="33">
        <f>IFERROR(__xludf.DUMMYFUNCTION("""COMPUTED_VALUE"""),1.0)</f>
        <v>1</v>
      </c>
      <c r="O8544" s="4" t="str">
        <f>IFERROR(__xludf.DUMMYFUNCTION("""COMPUTED_VALUE"""),"Saipos Serviços De Software")</f>
        <v>Saipos Serviços De Software</v>
      </c>
      <c r="P8544" s="33">
        <f>IFERROR(__xludf.DUMMYFUNCTION("""COMPUTED_VALUE"""),1.0)</f>
        <v>1</v>
      </c>
      <c r="Q8544" s="4" t="str">
        <f>IFERROR(__xludf.DUMMYFUNCTION("""COMPUTED_VALUE"""),"Saipos Serviços De Software")</f>
        <v>Saipos Serviços De Software</v>
      </c>
      <c r="R8544" s="33">
        <f>IFERROR(__xludf.DUMMYFUNCTION("""COMPUTED_VALUE"""),1.0)</f>
        <v>1</v>
      </c>
      <c r="S8544" s="4" t="str">
        <f>IFERROR(__xludf.DUMMYFUNCTION("""COMPUTED_VALUE"""),"Saipos Serviços De Software")</f>
        <v>Saipos Serviços De Software</v>
      </c>
      <c r="T8544" s="33">
        <f>IFERROR(__xludf.DUMMYFUNCTION("""COMPUTED_VALUE"""),1.0)</f>
        <v>1</v>
      </c>
      <c r="U8544" s="4" t="str">
        <f>IFERROR(__xludf.DUMMYFUNCTION("""COMPUTED_VALUE"""),"Saipos Serviços De Software")</f>
        <v>Saipos Serviços De Software</v>
      </c>
      <c r="V8544" s="33">
        <f>IFERROR(__xludf.DUMMYFUNCTION("""COMPUTED_VALUE"""),1.0)</f>
        <v>1</v>
      </c>
      <c r="W8544" s="4" t="str">
        <f>IFERROR(__xludf.DUMMYFUNCTION("""COMPUTED_VALUE"""),"Saipos Serviços De Software")</f>
        <v>Saipos Serviços De Software</v>
      </c>
      <c r="X8544" s="33">
        <f>IFERROR(__xludf.DUMMYFUNCTION("""COMPUTED_VALUE"""),1.0)</f>
        <v>1</v>
      </c>
    </row>
    <row r="8545">
      <c r="K8545" s="4" t="str">
        <f>IFERROR(__xludf.DUMMYFUNCTION("""COMPUTED_VALUE"""),"CASA CARAMELO BOLOS DOCES E PRESENTES")</f>
        <v>CASA CARAMELO BOLOS DOCES E PRESENTES</v>
      </c>
      <c r="L8545" s="32">
        <f>IFERROR(__xludf.DUMMYFUNCTION("""COMPUTED_VALUE"""),1.0)</f>
        <v>1</v>
      </c>
      <c r="M8545" s="4" t="str">
        <f>IFERROR(__xludf.DUMMYFUNCTION("""COMPUTED_VALUE"""),"Cardápio Web")</f>
        <v>Cardápio Web</v>
      </c>
      <c r="N8545" s="33">
        <f>IFERROR(__xludf.DUMMYFUNCTION("""COMPUTED_VALUE"""),1.0)</f>
        <v>1</v>
      </c>
      <c r="O8545" s="4" t="str">
        <f>IFERROR(__xludf.DUMMYFUNCTION("""COMPUTED_VALUE"""),"Cardápio Web")</f>
        <v>Cardápio Web</v>
      </c>
      <c r="P8545" s="33">
        <f>IFERROR(__xludf.DUMMYFUNCTION("""COMPUTED_VALUE"""),1.0)</f>
        <v>1</v>
      </c>
      <c r="Q8545" s="4" t="str">
        <f>IFERROR(__xludf.DUMMYFUNCTION("""COMPUTED_VALUE"""),"Cardápio Web")</f>
        <v>Cardápio Web</v>
      </c>
      <c r="R8545" s="33">
        <f>IFERROR(__xludf.DUMMYFUNCTION("""COMPUTED_VALUE"""),1.0)</f>
        <v>1</v>
      </c>
      <c r="S8545" s="4" t="str">
        <f>IFERROR(__xludf.DUMMYFUNCTION("""COMPUTED_VALUE"""),"Cardápio Web")</f>
        <v>Cardápio Web</v>
      </c>
      <c r="T8545" s="33">
        <f>IFERROR(__xludf.DUMMYFUNCTION("""COMPUTED_VALUE"""),1.0)</f>
        <v>1</v>
      </c>
      <c r="U8545" s="4" t="str">
        <f>IFERROR(__xludf.DUMMYFUNCTION("""COMPUTED_VALUE"""),"Cardápio Web")</f>
        <v>Cardápio Web</v>
      </c>
      <c r="V8545" s="33">
        <f>IFERROR(__xludf.DUMMYFUNCTION("""COMPUTED_VALUE"""),1.0)</f>
        <v>1</v>
      </c>
      <c r="W8545" s="4" t="str">
        <f>IFERROR(__xludf.DUMMYFUNCTION("""COMPUTED_VALUE"""),"Cardápio Web")</f>
        <v>Cardápio Web</v>
      </c>
      <c r="X8545" s="33">
        <f>IFERROR(__xludf.DUMMYFUNCTION("""COMPUTED_VALUE"""),1.0)</f>
        <v>1</v>
      </c>
    </row>
    <row r="8546">
      <c r="K8546" s="4" t="str">
        <f>IFERROR(__xludf.DUMMYFUNCTION("""COMPUTED_VALUE"""),"PIZZARIA E TAPIOCARIA LEPA3")</f>
        <v>PIZZARIA E TAPIOCARIA LEPA3</v>
      </c>
      <c r="L8546" s="32">
        <f>IFERROR(__xludf.DUMMYFUNCTION("""COMPUTED_VALUE"""),1.0)</f>
        <v>1</v>
      </c>
      <c r="M8546" s="4" t="str">
        <f>IFERROR(__xludf.DUMMYFUNCTION("""COMPUTED_VALUE"""),"Instadelivery")</f>
        <v>Instadelivery</v>
      </c>
      <c r="N8546" s="33">
        <f>IFERROR(__xludf.DUMMYFUNCTION("""COMPUTED_VALUE"""),1.0)</f>
        <v>1</v>
      </c>
      <c r="O8546" s="4" t="str">
        <f>IFERROR(__xludf.DUMMYFUNCTION("""COMPUTED_VALUE"""),"Instadelivery")</f>
        <v>Instadelivery</v>
      </c>
      <c r="P8546" s="33">
        <f>IFERROR(__xludf.DUMMYFUNCTION("""COMPUTED_VALUE"""),1.0)</f>
        <v>1</v>
      </c>
      <c r="Q8546" s="4" t="str">
        <f>IFERROR(__xludf.DUMMYFUNCTION("""COMPUTED_VALUE"""),"Instadelivery")</f>
        <v>Instadelivery</v>
      </c>
      <c r="R8546" s="33">
        <f>IFERROR(__xludf.DUMMYFUNCTION("""COMPUTED_VALUE"""),1.0)</f>
        <v>1</v>
      </c>
      <c r="S8546" s="4" t="str">
        <f>IFERROR(__xludf.DUMMYFUNCTION("""COMPUTED_VALUE"""),"Instadelivery")</f>
        <v>Instadelivery</v>
      </c>
      <c r="T8546" s="33">
        <f>IFERROR(__xludf.DUMMYFUNCTION("""COMPUTED_VALUE"""),1.0)</f>
        <v>1</v>
      </c>
      <c r="U8546" s="4" t="str">
        <f>IFERROR(__xludf.DUMMYFUNCTION("""COMPUTED_VALUE"""),"Instadelivery")</f>
        <v>Instadelivery</v>
      </c>
      <c r="V8546" s="33">
        <f>IFERROR(__xludf.DUMMYFUNCTION("""COMPUTED_VALUE"""),1.0)</f>
        <v>1</v>
      </c>
      <c r="W8546" s="4" t="str">
        <f>IFERROR(__xludf.DUMMYFUNCTION("""COMPUTED_VALUE"""),"Instadelivery")</f>
        <v>Instadelivery</v>
      </c>
      <c r="X8546" s="33">
        <f>IFERROR(__xludf.DUMMYFUNCTION("""COMPUTED_VALUE"""),1.0)</f>
        <v>1</v>
      </c>
    </row>
    <row r="8547">
      <c r="K8547" s="4" t="str">
        <f>IFERROR(__xludf.DUMMYFUNCTION("""COMPUTED_VALUE"""),"PIZZA SHOW - PIZZA E CALZONE PIZZA")</f>
        <v>PIZZA SHOW - PIZZA E CALZONE PIZZA</v>
      </c>
      <c r="L8547" s="32">
        <f>IFERROR(__xludf.DUMMYFUNCTION("""COMPUTED_VALUE"""),1.0)</f>
        <v>1</v>
      </c>
      <c r="M8547" s="4" t="str">
        <f>IFERROR(__xludf.DUMMYFUNCTION("""COMPUTED_VALUE"""),"Saipos Serviços De Software")</f>
        <v>Saipos Serviços De Software</v>
      </c>
      <c r="N8547" s="33">
        <f>IFERROR(__xludf.DUMMYFUNCTION("""COMPUTED_VALUE"""),1.0)</f>
        <v>1</v>
      </c>
      <c r="O8547" s="4" t="str">
        <f>IFERROR(__xludf.DUMMYFUNCTION("""COMPUTED_VALUE"""),"Saipos Serviços De Software")</f>
        <v>Saipos Serviços De Software</v>
      </c>
      <c r="P8547" s="33">
        <f>IFERROR(__xludf.DUMMYFUNCTION("""COMPUTED_VALUE"""),1.0)</f>
        <v>1</v>
      </c>
      <c r="Q8547" s="4" t="str">
        <f>IFERROR(__xludf.DUMMYFUNCTION("""COMPUTED_VALUE"""),"Saipos Serviços De Software")</f>
        <v>Saipos Serviços De Software</v>
      </c>
      <c r="R8547" s="33">
        <f>IFERROR(__xludf.DUMMYFUNCTION("""COMPUTED_VALUE"""),1.0)</f>
        <v>1</v>
      </c>
      <c r="S8547" s="4" t="str">
        <f>IFERROR(__xludf.DUMMYFUNCTION("""COMPUTED_VALUE"""),"Saipos Serviços De Software")</f>
        <v>Saipos Serviços De Software</v>
      </c>
      <c r="T8547" s="33">
        <f>IFERROR(__xludf.DUMMYFUNCTION("""COMPUTED_VALUE"""),1.0)</f>
        <v>1</v>
      </c>
      <c r="U8547" s="4" t="str">
        <f>IFERROR(__xludf.DUMMYFUNCTION("""COMPUTED_VALUE"""),"Saipos Serviços De Software")</f>
        <v>Saipos Serviços De Software</v>
      </c>
      <c r="V8547" s="33">
        <f>IFERROR(__xludf.DUMMYFUNCTION("""COMPUTED_VALUE"""),1.0)</f>
        <v>1</v>
      </c>
      <c r="W8547" s="4" t="str">
        <f>IFERROR(__xludf.DUMMYFUNCTION("""COMPUTED_VALUE"""),"Saipos Serviços De Software")</f>
        <v>Saipos Serviços De Software</v>
      </c>
      <c r="X8547" s="33">
        <f>IFERROR(__xludf.DUMMYFUNCTION("""COMPUTED_VALUE"""),1.0)</f>
        <v>1</v>
      </c>
    </row>
    <row r="8548">
      <c r="K8548" s="4" t="str">
        <f>IFERROR(__xludf.DUMMYFUNCTION("""COMPUTED_VALUE"""),"PIZZARIA LUAMAR MALULY")</f>
        <v>PIZZARIA LUAMAR MALULY</v>
      </c>
      <c r="L8548" s="32">
        <f>IFERROR(__xludf.DUMMYFUNCTION("""COMPUTED_VALUE"""),1.0)</f>
        <v>1</v>
      </c>
      <c r="M8548" s="4" t="str">
        <f>IFERROR(__xludf.DUMMYFUNCTION("""COMPUTED_VALUE"""),"Waybe Soluções Em Tecnologia Da Informação Ltda")</f>
        <v>Waybe Soluções Em Tecnologia Da Informação Ltda</v>
      </c>
      <c r="N8548" s="33">
        <f>IFERROR(__xludf.DUMMYFUNCTION("""COMPUTED_VALUE"""),1.0)</f>
        <v>1</v>
      </c>
      <c r="O8548" s="4" t="str">
        <f>IFERROR(__xludf.DUMMYFUNCTION("""COMPUTED_VALUE"""),"Waybe Soluções Em Tecnologia Da Informação Ltda")</f>
        <v>Waybe Soluções Em Tecnologia Da Informação Ltda</v>
      </c>
      <c r="P8548" s="33">
        <f>IFERROR(__xludf.DUMMYFUNCTION("""COMPUTED_VALUE"""),1.0)</f>
        <v>1</v>
      </c>
      <c r="Q8548" s="4" t="str">
        <f>IFERROR(__xludf.DUMMYFUNCTION("""COMPUTED_VALUE"""),"null")</f>
        <v>null</v>
      </c>
      <c r="R8548" s="33">
        <f>IFERROR(__xludf.DUMMYFUNCTION("""COMPUTED_VALUE"""),1.0)</f>
        <v>1</v>
      </c>
      <c r="S8548" s="4" t="str">
        <f>IFERROR(__xludf.DUMMYFUNCTION("""COMPUTED_VALUE"""),"null")</f>
        <v>null</v>
      </c>
      <c r="T8548" s="33">
        <f>IFERROR(__xludf.DUMMYFUNCTION("""COMPUTED_VALUE"""),1.0)</f>
        <v>1</v>
      </c>
      <c r="U8548" s="4" t="str">
        <f>IFERROR(__xludf.DUMMYFUNCTION("""COMPUTED_VALUE"""),"null")</f>
        <v>null</v>
      </c>
      <c r="V8548" s="33">
        <f>IFERROR(__xludf.DUMMYFUNCTION("""COMPUTED_VALUE"""),1.0)</f>
        <v>1</v>
      </c>
      <c r="W8548" s="4" t="str">
        <f>IFERROR(__xludf.DUMMYFUNCTION("""COMPUTED_VALUE"""),"Waybe Soluções Em Tecnologia Da Informação Ltda")</f>
        <v>Waybe Soluções Em Tecnologia Da Informação Ltda</v>
      </c>
      <c r="X8548" s="33">
        <f>IFERROR(__xludf.DUMMYFUNCTION("""COMPUTED_VALUE"""),1.0)</f>
        <v>1</v>
      </c>
    </row>
    <row r="8549">
      <c r="K8549" s="4" t="str">
        <f>IFERROR(__xludf.DUMMYFUNCTION("""COMPUTED_VALUE"""),"BENTA PIZZA")</f>
        <v>BENTA PIZZA</v>
      </c>
      <c r="L8549" s="32">
        <f>IFERROR(__xludf.DUMMYFUNCTION("""COMPUTED_VALUE"""),1.0)</f>
        <v>1</v>
      </c>
      <c r="M8549" s="4" t="str">
        <f>IFERROR(__xludf.DUMMYFUNCTION("""COMPUTED_VALUE"""),"Bitbar")</f>
        <v>Bitbar</v>
      </c>
      <c r="N8549" s="33">
        <f>IFERROR(__xludf.DUMMYFUNCTION("""COMPUTED_VALUE"""),1.0)</f>
        <v>1</v>
      </c>
      <c r="O8549" s="4" t="str">
        <f>IFERROR(__xludf.DUMMYFUNCTION("""COMPUTED_VALUE"""),"Bitbar")</f>
        <v>Bitbar</v>
      </c>
      <c r="P8549" s="33">
        <f>IFERROR(__xludf.DUMMYFUNCTION("""COMPUTED_VALUE"""),1.0)</f>
        <v>1</v>
      </c>
      <c r="Q8549" s="4" t="str">
        <f>IFERROR(__xludf.DUMMYFUNCTION("""COMPUTED_VALUE"""),"Bitbar")</f>
        <v>Bitbar</v>
      </c>
      <c r="R8549" s="33">
        <f>IFERROR(__xludf.DUMMYFUNCTION("""COMPUTED_VALUE"""),1.0)</f>
        <v>1</v>
      </c>
      <c r="S8549" s="4" t="str">
        <f>IFERROR(__xludf.DUMMYFUNCTION("""COMPUTED_VALUE"""),"Bitbar")</f>
        <v>Bitbar</v>
      </c>
      <c r="T8549" s="33">
        <f>IFERROR(__xludf.DUMMYFUNCTION("""COMPUTED_VALUE"""),1.0)</f>
        <v>1</v>
      </c>
      <c r="U8549" s="4" t="str">
        <f>IFERROR(__xludf.DUMMYFUNCTION("""COMPUTED_VALUE"""),"Cardápio Web")</f>
        <v>Cardápio Web</v>
      </c>
      <c r="V8549" s="33">
        <f>IFERROR(__xludf.DUMMYFUNCTION("""COMPUTED_VALUE"""),1.0)</f>
        <v>1</v>
      </c>
      <c r="W8549" s="4" t="str">
        <f>IFERROR(__xludf.DUMMYFUNCTION("""COMPUTED_VALUE"""),"Cardápio Web")</f>
        <v>Cardápio Web</v>
      </c>
      <c r="X8549" s="33">
        <f>IFERROR(__xludf.DUMMYFUNCTION("""COMPUTED_VALUE"""),1.0)</f>
        <v>1</v>
      </c>
    </row>
    <row r="8550">
      <c r="K8550" s="4" t="str">
        <f>IFERROR(__xludf.DUMMYFUNCTION("""COMPUTED_VALUE"""),"O SEU PASTEL")</f>
        <v>O SEU PASTEL</v>
      </c>
      <c r="L8550" s="32">
        <f>IFERROR(__xludf.DUMMYFUNCTION("""COMPUTED_VALUE"""),1.0)</f>
        <v>1</v>
      </c>
      <c r="M8550" s="4" t="str">
        <f>IFERROR(__xludf.DUMMYFUNCTION("""COMPUTED_VALUE"""),"Anota Ai Solucoes Digitais S/a")</f>
        <v>Anota Ai Solucoes Digitais S/a</v>
      </c>
      <c r="N8550" s="33">
        <f>IFERROR(__xludf.DUMMYFUNCTION("""COMPUTED_VALUE"""),1.0)</f>
        <v>1</v>
      </c>
      <c r="O8550" s="4" t="str">
        <f>IFERROR(__xludf.DUMMYFUNCTION("""COMPUTED_VALUE"""),"Anota Ai Solucoes Digitais S/a")</f>
        <v>Anota Ai Solucoes Digitais S/a</v>
      </c>
      <c r="P8550" s="33">
        <f>IFERROR(__xludf.DUMMYFUNCTION("""COMPUTED_VALUE"""),1.0)</f>
        <v>1</v>
      </c>
      <c r="Q8550" s="4" t="str">
        <f>IFERROR(__xludf.DUMMYFUNCTION("""COMPUTED_VALUE"""),"Anota Ai Solucoes Digitais S/a")</f>
        <v>Anota Ai Solucoes Digitais S/a</v>
      </c>
      <c r="R8550" s="33">
        <f>IFERROR(__xludf.DUMMYFUNCTION("""COMPUTED_VALUE"""),1.0)</f>
        <v>1</v>
      </c>
      <c r="S8550" s="4" t="str">
        <f>IFERROR(__xludf.DUMMYFUNCTION("""COMPUTED_VALUE"""),"Anota Ai Solucoes Digitais S/a")</f>
        <v>Anota Ai Solucoes Digitais S/a</v>
      </c>
      <c r="T8550" s="33">
        <f>IFERROR(__xludf.DUMMYFUNCTION("""COMPUTED_VALUE"""),1.0)</f>
        <v>1</v>
      </c>
      <c r="U8550" s="4" t="str">
        <f>IFERROR(__xludf.DUMMYFUNCTION("""COMPUTED_VALUE"""),"Anota Ai Solucoes Digitais S/a")</f>
        <v>Anota Ai Solucoes Digitais S/a</v>
      </c>
      <c r="V8550" s="33">
        <f>IFERROR(__xludf.DUMMYFUNCTION("""COMPUTED_VALUE"""),1.0)</f>
        <v>1</v>
      </c>
      <c r="W8550" s="4" t="str">
        <f>IFERROR(__xludf.DUMMYFUNCTION("""COMPUTED_VALUE"""),"Anota Ai Solucoes Digitais S/a")</f>
        <v>Anota Ai Solucoes Digitais S/a</v>
      </c>
      <c r="X8550" s="33">
        <f>IFERROR(__xludf.DUMMYFUNCTION("""COMPUTED_VALUE"""),1.0)</f>
        <v>1</v>
      </c>
    </row>
    <row r="8551">
      <c r="K8551" s="4" t="str">
        <f>IFERROR(__xludf.DUMMYFUNCTION("""COMPUTED_VALUE"""),"REI DO CACHORRAO")</f>
        <v>REI DO CACHORRAO</v>
      </c>
      <c r="L8551" s="32">
        <f>IFERROR(__xludf.DUMMYFUNCTION("""COMPUTED_VALUE"""),1.0)</f>
        <v>1</v>
      </c>
      <c r="M8551" s="4" t="str">
        <f>IFERROR(__xludf.DUMMYFUNCTION("""COMPUTED_VALUE"""),"Anota Ai Solucoes Digitais S/a")</f>
        <v>Anota Ai Solucoes Digitais S/a</v>
      </c>
      <c r="N8551" s="33">
        <f>IFERROR(__xludf.DUMMYFUNCTION("""COMPUTED_VALUE"""),1.0)</f>
        <v>1</v>
      </c>
      <c r="O8551" s="4" t="str">
        <f>IFERROR(__xludf.DUMMYFUNCTION("""COMPUTED_VALUE"""),"Anota Ai Solucoes Digitais S/a")</f>
        <v>Anota Ai Solucoes Digitais S/a</v>
      </c>
      <c r="P8551" s="33">
        <f>IFERROR(__xludf.DUMMYFUNCTION("""COMPUTED_VALUE"""),1.0)</f>
        <v>1</v>
      </c>
      <c r="Q8551" s="4" t="str">
        <f>IFERROR(__xludf.DUMMYFUNCTION("""COMPUTED_VALUE"""),"Anota Ai Solucoes Digitais S/a")</f>
        <v>Anota Ai Solucoes Digitais S/a</v>
      </c>
      <c r="R8551" s="33">
        <f>IFERROR(__xludf.DUMMYFUNCTION("""COMPUTED_VALUE"""),1.0)</f>
        <v>1</v>
      </c>
      <c r="S8551" s="4" t="str">
        <f>IFERROR(__xludf.DUMMYFUNCTION("""COMPUTED_VALUE"""),"Anota Ai Solucoes Digitais S/a")</f>
        <v>Anota Ai Solucoes Digitais S/a</v>
      </c>
      <c r="T8551" s="33">
        <f>IFERROR(__xludf.DUMMYFUNCTION("""COMPUTED_VALUE"""),1.0)</f>
        <v>1</v>
      </c>
      <c r="U8551" s="4" t="str">
        <f>IFERROR(__xludf.DUMMYFUNCTION("""COMPUTED_VALUE"""),"Anota Ai Solucoes Digitais S/a")</f>
        <v>Anota Ai Solucoes Digitais S/a</v>
      </c>
      <c r="V8551" s="33">
        <f>IFERROR(__xludf.DUMMYFUNCTION("""COMPUTED_VALUE"""),1.0)</f>
        <v>1</v>
      </c>
      <c r="W8551" s="4" t="str">
        <f>IFERROR(__xludf.DUMMYFUNCTION("""COMPUTED_VALUE"""),"Anota Ai Solucoes Digitais S/a")</f>
        <v>Anota Ai Solucoes Digitais S/a</v>
      </c>
      <c r="X8551" s="33">
        <f>IFERROR(__xludf.DUMMYFUNCTION("""COMPUTED_VALUE"""),1.0)</f>
        <v>1</v>
      </c>
    </row>
    <row r="8552">
      <c r="K8552" s="4" t="str">
        <f>IFERROR(__xludf.DUMMYFUNCTION("""COMPUTED_VALUE"""),"SEU CHAPA BURGUER")</f>
        <v>SEU CHAPA BURGUER</v>
      </c>
      <c r="L8552" s="32">
        <f>IFERROR(__xludf.DUMMYFUNCTION("""COMPUTED_VALUE"""),1.0)</f>
        <v>1</v>
      </c>
      <c r="M8552" s="4" t="str">
        <f>IFERROR(__xludf.DUMMYFUNCTION("""COMPUTED_VALUE"""),"null")</f>
        <v>null</v>
      </c>
      <c r="N8552" s="33">
        <f>IFERROR(__xludf.DUMMYFUNCTION("""COMPUTED_VALUE"""),1.0)</f>
        <v>1</v>
      </c>
      <c r="O8552" s="4" t="str">
        <f>IFERROR(__xludf.DUMMYFUNCTION("""COMPUTED_VALUE"""),"null")</f>
        <v>null</v>
      </c>
      <c r="P8552" s="33">
        <f>IFERROR(__xludf.DUMMYFUNCTION("""COMPUTED_VALUE"""),1.0)</f>
        <v>1</v>
      </c>
      <c r="Q8552" s="4" t="str">
        <f>IFERROR(__xludf.DUMMYFUNCTION("""COMPUTED_VALUE"""),"null")</f>
        <v>null</v>
      </c>
      <c r="R8552" s="33">
        <f>IFERROR(__xludf.DUMMYFUNCTION("""COMPUTED_VALUE"""),1.0)</f>
        <v>1</v>
      </c>
      <c r="S8552" s="4" t="str">
        <f>IFERROR(__xludf.DUMMYFUNCTION("""COMPUTED_VALUE"""),"null")</f>
        <v>null</v>
      </c>
      <c r="T8552" s="33">
        <f>IFERROR(__xludf.DUMMYFUNCTION("""COMPUTED_VALUE"""),1.0)</f>
        <v>1</v>
      </c>
      <c r="U8552" s="4" t="str">
        <f>IFERROR(__xludf.DUMMYFUNCTION("""COMPUTED_VALUE"""),"Saipos Serviços De Software")</f>
        <v>Saipos Serviços De Software</v>
      </c>
      <c r="V8552" s="33">
        <f>IFERROR(__xludf.DUMMYFUNCTION("""COMPUTED_VALUE"""),1.0)</f>
        <v>1</v>
      </c>
      <c r="W8552" s="4" t="str">
        <f>IFERROR(__xludf.DUMMYFUNCTION("""COMPUTED_VALUE"""),"Saipos Serviços De Software")</f>
        <v>Saipos Serviços De Software</v>
      </c>
      <c r="X8552" s="33">
        <f>IFERROR(__xludf.DUMMYFUNCTION("""COMPUTED_VALUE"""),1.0)</f>
        <v>1</v>
      </c>
    </row>
    <row r="8553">
      <c r="K8553" s="4" t="str">
        <f>IFERROR(__xludf.DUMMYFUNCTION("""COMPUTED_VALUE"""),"JOSTAO RESTAURANTE E EVENTOS")</f>
        <v>JOSTAO RESTAURANTE E EVENTOS</v>
      </c>
      <c r="L8553" s="32">
        <f>IFERROR(__xludf.DUMMYFUNCTION("""COMPUTED_VALUE"""),1.0)</f>
        <v>1</v>
      </c>
      <c r="M8553" s="4" t="str">
        <f>IFERROR(__xludf.DUMMYFUNCTION("""COMPUTED_VALUE"""),"Camila Carolina Medeiros")</f>
        <v>Camila Carolina Medeiros</v>
      </c>
      <c r="N8553" s="33">
        <f>IFERROR(__xludf.DUMMYFUNCTION("""COMPUTED_VALUE"""),1.0)</f>
        <v>1</v>
      </c>
      <c r="O8553" s="4" t="str">
        <f>IFERROR(__xludf.DUMMYFUNCTION("""COMPUTED_VALUE"""),"Camila Carolina Medeiros")</f>
        <v>Camila Carolina Medeiros</v>
      </c>
      <c r="P8553" s="33">
        <f>IFERROR(__xludf.DUMMYFUNCTION("""COMPUTED_VALUE"""),1.0)</f>
        <v>1</v>
      </c>
      <c r="Q8553" s="4" t="str">
        <f>IFERROR(__xludf.DUMMYFUNCTION("""COMPUTED_VALUE"""),"Camila Carolina Medeiros")</f>
        <v>Camila Carolina Medeiros</v>
      </c>
      <c r="R8553" s="33">
        <f>IFERROR(__xludf.DUMMYFUNCTION("""COMPUTED_VALUE"""),1.0)</f>
        <v>1</v>
      </c>
      <c r="S8553" s="4" t="str">
        <f>IFERROR(__xludf.DUMMYFUNCTION("""COMPUTED_VALUE"""),"Camila Carolina Medeiros")</f>
        <v>Camila Carolina Medeiros</v>
      </c>
      <c r="T8553" s="33">
        <f>IFERROR(__xludf.DUMMYFUNCTION("""COMPUTED_VALUE"""),1.0)</f>
        <v>1</v>
      </c>
      <c r="U8553" s="4" t="str">
        <f>IFERROR(__xludf.DUMMYFUNCTION("""COMPUTED_VALUE"""),"Camila Carolina Medeiros")</f>
        <v>Camila Carolina Medeiros</v>
      </c>
      <c r="V8553" s="33">
        <f>IFERROR(__xludf.DUMMYFUNCTION("""COMPUTED_VALUE"""),1.0)</f>
        <v>1</v>
      </c>
      <c r="W8553" s="4" t="str">
        <f>IFERROR(__xludf.DUMMYFUNCTION("""COMPUTED_VALUE"""),"Camila Carolina Medeiros")</f>
        <v>Camila Carolina Medeiros</v>
      </c>
      <c r="X8553" s="33">
        <f>IFERROR(__xludf.DUMMYFUNCTION("""COMPUTED_VALUE"""),1.0)</f>
        <v>1</v>
      </c>
    </row>
    <row r="8554">
      <c r="K8554" s="4" t="str">
        <f>IFERROR(__xludf.DUMMYFUNCTION("""COMPUTED_VALUE"""),"SERVBEM LANCHONETE E PIZZARIA")</f>
        <v>SERVBEM LANCHONETE E PIZZARIA</v>
      </c>
      <c r="L8554" s="32">
        <f>IFERROR(__xludf.DUMMYFUNCTION("""COMPUTED_VALUE"""),1.0)</f>
        <v>1</v>
      </c>
      <c r="M8554" s="4" t="str">
        <f>IFERROR(__xludf.DUMMYFUNCTION("""COMPUTED_VALUE"""),"null")</f>
        <v>null</v>
      </c>
      <c r="N8554" s="33">
        <f>IFERROR(__xludf.DUMMYFUNCTION("""COMPUTED_VALUE"""),1.0)</f>
        <v>1</v>
      </c>
      <c r="O8554" s="4" t="str">
        <f>IFERROR(__xludf.DUMMYFUNCTION("""COMPUTED_VALUE"""),"null")</f>
        <v>null</v>
      </c>
      <c r="P8554" s="33">
        <f>IFERROR(__xludf.DUMMYFUNCTION("""COMPUTED_VALUE"""),1.0)</f>
        <v>1</v>
      </c>
      <c r="Q8554" s="4" t="str">
        <f>IFERROR(__xludf.DUMMYFUNCTION("""COMPUTED_VALUE"""),"null")</f>
        <v>null</v>
      </c>
      <c r="R8554" s="33">
        <f>IFERROR(__xludf.DUMMYFUNCTION("""COMPUTED_VALUE"""),1.0)</f>
        <v>1</v>
      </c>
      <c r="S8554" s="4" t="str">
        <f>IFERROR(__xludf.DUMMYFUNCTION("""COMPUTED_VALUE"""),"Brendi")</f>
        <v>Brendi</v>
      </c>
      <c r="T8554" s="33">
        <f>IFERROR(__xludf.DUMMYFUNCTION("""COMPUTED_VALUE"""),1.0)</f>
        <v>1</v>
      </c>
      <c r="U8554" s="4" t="str">
        <f>IFERROR(__xludf.DUMMYFUNCTION("""COMPUTED_VALUE"""),"null")</f>
        <v>null</v>
      </c>
      <c r="V8554" s="33">
        <f>IFERROR(__xludf.DUMMYFUNCTION("""COMPUTED_VALUE"""),1.0)</f>
        <v>1</v>
      </c>
      <c r="W8554" s="4" t="str">
        <f>IFERROR(__xludf.DUMMYFUNCTION("""COMPUTED_VALUE"""),"null")</f>
        <v>null</v>
      </c>
      <c r="X8554" s="33">
        <f>IFERROR(__xludf.DUMMYFUNCTION("""COMPUTED_VALUE"""),1.0)</f>
        <v>1</v>
      </c>
    </row>
    <row r="8555">
      <c r="K8555" s="4" t="str">
        <f>IFERROR(__xludf.DUMMYFUNCTION("""COMPUTED_VALUE"""),"SALADERIA COM LIMAO E SAL")</f>
        <v>SALADERIA COM LIMAO E SAL</v>
      </c>
      <c r="L8555" s="32">
        <f>IFERROR(__xludf.DUMMYFUNCTION("""COMPUTED_VALUE"""),1.0)</f>
        <v>1</v>
      </c>
      <c r="M8555" s="4" t="str">
        <f>IFERROR(__xludf.DUMMYFUNCTION("""COMPUTED_VALUE"""),"Parseint Desenvolvimento De Sistemas Ltda")</f>
        <v>Parseint Desenvolvimento De Sistemas Ltda</v>
      </c>
      <c r="N8555" s="33">
        <f>IFERROR(__xludf.DUMMYFUNCTION("""COMPUTED_VALUE"""),1.0)</f>
        <v>1</v>
      </c>
      <c r="O8555" s="4" t="str">
        <f>IFERROR(__xludf.DUMMYFUNCTION("""COMPUTED_VALUE"""),"Parseint Desenvolvimento De Sistemas Ltda")</f>
        <v>Parseint Desenvolvimento De Sistemas Ltda</v>
      </c>
      <c r="P8555" s="33">
        <f>IFERROR(__xludf.DUMMYFUNCTION("""COMPUTED_VALUE"""),1.0)</f>
        <v>1</v>
      </c>
      <c r="Q8555" s="4" t="str">
        <f>IFERROR(__xludf.DUMMYFUNCTION("""COMPUTED_VALUE"""),"Parseint Desenvolvimento De Sistemas Ltda")</f>
        <v>Parseint Desenvolvimento De Sistemas Ltda</v>
      </c>
      <c r="R8555" s="33">
        <f>IFERROR(__xludf.DUMMYFUNCTION("""COMPUTED_VALUE"""),1.0)</f>
        <v>1</v>
      </c>
      <c r="S8555" s="4" t="str">
        <f>IFERROR(__xludf.DUMMYFUNCTION("""COMPUTED_VALUE"""),"Parseint Desenvolvimento De Sistemas Ltda")</f>
        <v>Parseint Desenvolvimento De Sistemas Ltda</v>
      </c>
      <c r="T8555" s="33">
        <f>IFERROR(__xludf.DUMMYFUNCTION("""COMPUTED_VALUE"""),1.0)</f>
        <v>1</v>
      </c>
      <c r="U8555" s="4" t="str">
        <f>IFERROR(__xludf.DUMMYFUNCTION("""COMPUTED_VALUE"""),"Parseint Desenvolvimento De Sistemas Ltda")</f>
        <v>Parseint Desenvolvimento De Sistemas Ltda</v>
      </c>
      <c r="V8555" s="33">
        <f>IFERROR(__xludf.DUMMYFUNCTION("""COMPUTED_VALUE"""),1.0)</f>
        <v>1</v>
      </c>
      <c r="W8555" s="4" t="str">
        <f>IFERROR(__xludf.DUMMYFUNCTION("""COMPUTED_VALUE"""),"Parseint Desenvolvimento De Sistemas Ltda")</f>
        <v>Parseint Desenvolvimento De Sistemas Ltda</v>
      </c>
      <c r="X8555" s="33">
        <f>IFERROR(__xludf.DUMMYFUNCTION("""COMPUTED_VALUE"""),1.0)</f>
        <v>1</v>
      </c>
    </row>
    <row r="8556">
      <c r="K8556" s="4" t="str">
        <f>IFERROR(__xludf.DUMMYFUNCTION("""COMPUTED_VALUE"""),"LANCHONETE ARTE E SABOR")</f>
        <v>LANCHONETE ARTE E SABOR</v>
      </c>
      <c r="L8556" s="32">
        <f>IFERROR(__xludf.DUMMYFUNCTION("""COMPUTED_VALUE"""),1.0)</f>
        <v>1</v>
      </c>
      <c r="M8556" s="4" t="str">
        <f>IFERROR(__xludf.DUMMYFUNCTION("""COMPUTED_VALUE"""),"Saipos Serviços De Software")</f>
        <v>Saipos Serviços De Software</v>
      </c>
      <c r="N8556" s="33">
        <f>IFERROR(__xludf.DUMMYFUNCTION("""COMPUTED_VALUE"""),1.0)</f>
        <v>1</v>
      </c>
      <c r="O8556" s="4" t="str">
        <f>IFERROR(__xludf.DUMMYFUNCTION("""COMPUTED_VALUE"""),"Saipos Serviços De Software")</f>
        <v>Saipos Serviços De Software</v>
      </c>
      <c r="P8556" s="33">
        <f>IFERROR(__xludf.DUMMYFUNCTION("""COMPUTED_VALUE"""),1.0)</f>
        <v>1</v>
      </c>
      <c r="Q8556" s="4" t="str">
        <f>IFERROR(__xludf.DUMMYFUNCTION("""COMPUTED_VALUE"""),"Saipos Serviços De Software")</f>
        <v>Saipos Serviços De Software</v>
      </c>
      <c r="R8556" s="33">
        <f>IFERROR(__xludf.DUMMYFUNCTION("""COMPUTED_VALUE"""),1.0)</f>
        <v>1</v>
      </c>
      <c r="S8556" s="4" t="str">
        <f>IFERROR(__xludf.DUMMYFUNCTION("""COMPUTED_VALUE"""),"Saipos Serviços De Software")</f>
        <v>Saipos Serviços De Software</v>
      </c>
      <c r="T8556" s="33">
        <f>IFERROR(__xludf.DUMMYFUNCTION("""COMPUTED_VALUE"""),1.0)</f>
        <v>1</v>
      </c>
      <c r="U8556" s="4" t="str">
        <f>IFERROR(__xludf.DUMMYFUNCTION("""COMPUTED_VALUE"""),"Saipos Serviços De Software")</f>
        <v>Saipos Serviços De Software</v>
      </c>
      <c r="V8556" s="33">
        <f>IFERROR(__xludf.DUMMYFUNCTION("""COMPUTED_VALUE"""),1.0)</f>
        <v>1</v>
      </c>
      <c r="W8556" s="4" t="str">
        <f>IFERROR(__xludf.DUMMYFUNCTION("""COMPUTED_VALUE"""),"Saipos Serviços De Software")</f>
        <v>Saipos Serviços De Software</v>
      </c>
      <c r="X8556" s="33">
        <f>IFERROR(__xludf.DUMMYFUNCTION("""COMPUTED_VALUE"""),1.0)</f>
        <v>1</v>
      </c>
    </row>
    <row r="8557">
      <c r="K8557" s="4" t="str">
        <f>IFERROR(__xludf.DUMMYFUNCTION("""COMPUTED_VALUE"""),"YABAIYA VICENTE MACHADO")</f>
        <v>YABAIYA VICENTE MACHADO</v>
      </c>
      <c r="L8557" s="32">
        <f>IFERROR(__xludf.DUMMYFUNCTION("""COMPUTED_VALUE"""),1.0)</f>
        <v>1</v>
      </c>
      <c r="M8557" s="4" t="str">
        <f>IFERROR(__xludf.DUMMYFUNCTION("""COMPUTED_VALUE"""),"Stone Co.")</f>
        <v>Stone Co.</v>
      </c>
      <c r="N8557" s="33">
        <f>IFERROR(__xludf.DUMMYFUNCTION("""COMPUTED_VALUE"""),1.0)</f>
        <v>1</v>
      </c>
      <c r="O8557" s="4" t="str">
        <f>IFERROR(__xludf.DUMMYFUNCTION("""COMPUTED_VALUE"""),"Stone Co.")</f>
        <v>Stone Co.</v>
      </c>
      <c r="P8557" s="33">
        <f>IFERROR(__xludf.DUMMYFUNCTION("""COMPUTED_VALUE"""),1.0)</f>
        <v>1</v>
      </c>
      <c r="Q8557" s="4" t="str">
        <f>IFERROR(__xludf.DUMMYFUNCTION("""COMPUTED_VALUE"""),"Stone Co.")</f>
        <v>Stone Co.</v>
      </c>
      <c r="R8557" s="33">
        <f>IFERROR(__xludf.DUMMYFUNCTION("""COMPUTED_VALUE"""),1.0)</f>
        <v>1</v>
      </c>
      <c r="S8557" s="4" t="str">
        <f>IFERROR(__xludf.DUMMYFUNCTION("""COMPUTED_VALUE"""),"Stone Co.")</f>
        <v>Stone Co.</v>
      </c>
      <c r="T8557" s="33">
        <f>IFERROR(__xludf.DUMMYFUNCTION("""COMPUTED_VALUE"""),1.0)</f>
        <v>1</v>
      </c>
      <c r="U8557" s="4" t="str">
        <f>IFERROR(__xludf.DUMMYFUNCTION("""COMPUTED_VALUE"""),"Stone Co.")</f>
        <v>Stone Co.</v>
      </c>
      <c r="V8557" s="33">
        <f>IFERROR(__xludf.DUMMYFUNCTION("""COMPUTED_VALUE"""),1.0)</f>
        <v>1</v>
      </c>
      <c r="W8557" s="4" t="str">
        <f>IFERROR(__xludf.DUMMYFUNCTION("""COMPUTED_VALUE"""),"null")</f>
        <v>null</v>
      </c>
      <c r="X8557" s="33">
        <f>IFERROR(__xludf.DUMMYFUNCTION("""COMPUTED_VALUE"""),1.0)</f>
        <v>1</v>
      </c>
    </row>
    <row r="8558">
      <c r="K8558" s="4" t="str">
        <f>IFERROR(__xludf.DUMMYFUNCTION("""COMPUTED_VALUE"""),"ACAI SORVETES PICOLES - TRILHAS DA AMAZONIA ESPERANCA")</f>
        <v>ACAI SORVETES PICOLES - TRILHAS DA AMAZONIA ESPERANCA</v>
      </c>
      <c r="L8558" s="32">
        <f>IFERROR(__xludf.DUMMYFUNCTION("""COMPUTED_VALUE"""),1.0)</f>
        <v>1</v>
      </c>
      <c r="M8558" s="4" t="str">
        <f>IFERROR(__xludf.DUMMYFUNCTION("""COMPUTED_VALUE"""),"Connectplug")</f>
        <v>Connectplug</v>
      </c>
      <c r="N8558" s="33">
        <f>IFERROR(__xludf.DUMMYFUNCTION("""COMPUTED_VALUE"""),1.0)</f>
        <v>1</v>
      </c>
      <c r="O8558" s="4" t="str">
        <f>IFERROR(__xludf.DUMMYFUNCTION("""COMPUTED_VALUE"""),"null")</f>
        <v>null</v>
      </c>
      <c r="P8558" s="33">
        <f>IFERROR(__xludf.DUMMYFUNCTION("""COMPUTED_VALUE"""),1.0)</f>
        <v>1</v>
      </c>
      <c r="Q8558" s="4" t="str">
        <f>IFERROR(__xludf.DUMMYFUNCTION("""COMPUTED_VALUE"""),"Connectplug")</f>
        <v>Connectplug</v>
      </c>
      <c r="R8558" s="33">
        <f>IFERROR(__xludf.DUMMYFUNCTION("""COMPUTED_VALUE"""),1.0)</f>
        <v>1</v>
      </c>
      <c r="S8558" s="4" t="str">
        <f>IFERROR(__xludf.DUMMYFUNCTION("""COMPUTED_VALUE"""),"Connectplug")</f>
        <v>Connectplug</v>
      </c>
      <c r="T8558" s="33">
        <f>IFERROR(__xludf.DUMMYFUNCTION("""COMPUTED_VALUE"""),1.0)</f>
        <v>1</v>
      </c>
      <c r="U8558" s="4" t="str">
        <f>IFERROR(__xludf.DUMMYFUNCTION("""COMPUTED_VALUE"""),"Connectplug")</f>
        <v>Connectplug</v>
      </c>
      <c r="V8558" s="33">
        <f>IFERROR(__xludf.DUMMYFUNCTION("""COMPUTED_VALUE"""),1.0)</f>
        <v>1</v>
      </c>
      <c r="W8558" s="4" t="str">
        <f>IFERROR(__xludf.DUMMYFUNCTION("""COMPUTED_VALUE"""),"null")</f>
        <v>null</v>
      </c>
      <c r="X8558" s="33">
        <f>IFERROR(__xludf.DUMMYFUNCTION("""COMPUTED_VALUE"""),1.0)</f>
        <v>1</v>
      </c>
    </row>
    <row r="8559">
      <c r="K8559" s="4" t="str">
        <f>IFERROR(__xludf.DUMMYFUNCTION("""COMPUTED_VALUE"""),"KIKAO MANIA")</f>
        <v>KIKAO MANIA</v>
      </c>
      <c r="L8559" s="32">
        <f>IFERROR(__xludf.DUMMYFUNCTION("""COMPUTED_VALUE"""),1.0)</f>
        <v>1</v>
      </c>
      <c r="M8559" s="4" t="str">
        <f>IFERROR(__xludf.DUMMYFUNCTION("""COMPUTED_VALUE"""),"Grandchef Desenvolvimento De Sistemas Ltda")</f>
        <v>Grandchef Desenvolvimento De Sistemas Ltda</v>
      </c>
      <c r="N8559" s="33">
        <f>IFERROR(__xludf.DUMMYFUNCTION("""COMPUTED_VALUE"""),1.0)</f>
        <v>1</v>
      </c>
      <c r="O8559" s="4" t="str">
        <f>IFERROR(__xludf.DUMMYFUNCTION("""COMPUTED_VALUE"""),"Grandchef Desenvolvimento De Sistemas Ltda")</f>
        <v>Grandchef Desenvolvimento De Sistemas Ltda</v>
      </c>
      <c r="P8559" s="33">
        <f>IFERROR(__xludf.DUMMYFUNCTION("""COMPUTED_VALUE"""),1.0)</f>
        <v>1</v>
      </c>
      <c r="Q8559" s="4" t="str">
        <f>IFERROR(__xludf.DUMMYFUNCTION("""COMPUTED_VALUE"""),"Grandchef Desenvolvimento De Sistemas Ltda")</f>
        <v>Grandchef Desenvolvimento De Sistemas Ltda</v>
      </c>
      <c r="R8559" s="33">
        <f>IFERROR(__xludf.DUMMYFUNCTION("""COMPUTED_VALUE"""),1.0)</f>
        <v>1</v>
      </c>
      <c r="S8559" s="4" t="str">
        <f>IFERROR(__xludf.DUMMYFUNCTION("""COMPUTED_VALUE"""),"Saipos Serviços De Software")</f>
        <v>Saipos Serviços De Software</v>
      </c>
      <c r="T8559" s="33">
        <f>IFERROR(__xludf.DUMMYFUNCTION("""COMPUTED_VALUE"""),1.0)</f>
        <v>1</v>
      </c>
      <c r="U8559" s="4" t="str">
        <f>IFERROR(__xludf.DUMMYFUNCTION("""COMPUTED_VALUE"""),"Saipos Serviços De Software")</f>
        <v>Saipos Serviços De Software</v>
      </c>
      <c r="V8559" s="33">
        <f>IFERROR(__xludf.DUMMYFUNCTION("""COMPUTED_VALUE"""),1.0)</f>
        <v>1</v>
      </c>
      <c r="W8559" s="4" t="str">
        <f>IFERROR(__xludf.DUMMYFUNCTION("""COMPUTED_VALUE"""),"Saipos Serviços De Software")</f>
        <v>Saipos Serviços De Software</v>
      </c>
      <c r="X8559" s="33">
        <f>IFERROR(__xludf.DUMMYFUNCTION("""COMPUTED_VALUE"""),1.0)</f>
        <v>1</v>
      </c>
    </row>
    <row r="8560">
      <c r="K8560" s="4" t="str">
        <f>IFERROR(__xludf.DUMMYFUNCTION("""COMPUTED_VALUE"""),"MARMITA TEMPERO DA VOVO STELA -")</f>
        <v>MARMITA TEMPERO DA VOVO STELA -</v>
      </c>
      <c r="L8560" s="32">
        <f>IFERROR(__xludf.DUMMYFUNCTION("""COMPUTED_VALUE"""),1.0)</f>
        <v>1</v>
      </c>
      <c r="M8560" s="4" t="str">
        <f>IFERROR(__xludf.DUMMYFUNCTION("""COMPUTED_VALUE"""),"Cardápio Web")</f>
        <v>Cardápio Web</v>
      </c>
      <c r="N8560" s="33">
        <f>IFERROR(__xludf.DUMMYFUNCTION("""COMPUTED_VALUE"""),1.0)</f>
        <v>1</v>
      </c>
      <c r="O8560" s="4" t="str">
        <f>IFERROR(__xludf.DUMMYFUNCTION("""COMPUTED_VALUE"""),"Cardápio Web")</f>
        <v>Cardápio Web</v>
      </c>
      <c r="P8560" s="33">
        <f>IFERROR(__xludf.DUMMYFUNCTION("""COMPUTED_VALUE"""),1.0)</f>
        <v>1</v>
      </c>
      <c r="Q8560" s="4" t="str">
        <f>IFERROR(__xludf.DUMMYFUNCTION("""COMPUTED_VALUE"""),"Cardápio Web")</f>
        <v>Cardápio Web</v>
      </c>
      <c r="R8560" s="33">
        <f>IFERROR(__xludf.DUMMYFUNCTION("""COMPUTED_VALUE"""),1.0)</f>
        <v>1</v>
      </c>
      <c r="S8560" s="4" t="str">
        <f>IFERROR(__xludf.DUMMYFUNCTION("""COMPUTED_VALUE"""),"Cardápio Web")</f>
        <v>Cardápio Web</v>
      </c>
      <c r="T8560" s="33">
        <f>IFERROR(__xludf.DUMMYFUNCTION("""COMPUTED_VALUE"""),1.0)</f>
        <v>1</v>
      </c>
      <c r="U8560" s="4" t="str">
        <f>IFERROR(__xludf.DUMMYFUNCTION("""COMPUTED_VALUE"""),"Cardápio Web")</f>
        <v>Cardápio Web</v>
      </c>
      <c r="V8560" s="33">
        <f>IFERROR(__xludf.DUMMYFUNCTION("""COMPUTED_VALUE"""),1.0)</f>
        <v>1</v>
      </c>
      <c r="W8560" s="4" t="str">
        <f>IFERROR(__xludf.DUMMYFUNCTION("""COMPUTED_VALUE"""),"Cardápio Web")</f>
        <v>Cardápio Web</v>
      </c>
      <c r="X8560" s="33">
        <f>IFERROR(__xludf.DUMMYFUNCTION("""COMPUTED_VALUE"""),1.0)</f>
        <v>1</v>
      </c>
    </row>
    <row r="8561">
      <c r="K8561" s="4" t="str">
        <f>IFERROR(__xludf.DUMMYFUNCTION("""COMPUTED_VALUE"""),"LIMOEIRO MASSA, CARNE, RISOTO")</f>
        <v>LIMOEIRO MASSA, CARNE, RISOTO</v>
      </c>
      <c r="L8561" s="32">
        <f>IFERROR(__xludf.DUMMYFUNCTION("""COMPUTED_VALUE"""),1.0)</f>
        <v>1</v>
      </c>
      <c r="M8561" s="4" t="str">
        <f>IFERROR(__xludf.DUMMYFUNCTION("""COMPUTED_VALUE"""),"Sagres Automação Comercial")</f>
        <v>Sagres Automação Comercial</v>
      </c>
      <c r="N8561" s="33">
        <f>IFERROR(__xludf.DUMMYFUNCTION("""COMPUTED_VALUE"""),1.0)</f>
        <v>1</v>
      </c>
      <c r="O8561" s="4" t="str">
        <f>IFERROR(__xludf.DUMMYFUNCTION("""COMPUTED_VALUE"""),"Sagres Automação Comercial")</f>
        <v>Sagres Automação Comercial</v>
      </c>
      <c r="P8561" s="33">
        <f>IFERROR(__xludf.DUMMYFUNCTION("""COMPUTED_VALUE"""),1.0)</f>
        <v>1</v>
      </c>
      <c r="Q8561" s="4" t="str">
        <f>IFERROR(__xludf.DUMMYFUNCTION("""COMPUTED_VALUE"""),"Sagres Automação Comercial")</f>
        <v>Sagres Automação Comercial</v>
      </c>
      <c r="R8561" s="33">
        <f>IFERROR(__xludf.DUMMYFUNCTION("""COMPUTED_VALUE"""),1.0)</f>
        <v>1</v>
      </c>
      <c r="S8561" s="4" t="str">
        <f>IFERROR(__xludf.DUMMYFUNCTION("""COMPUTED_VALUE"""),"Sagres Automação Comercial")</f>
        <v>Sagres Automação Comercial</v>
      </c>
      <c r="T8561" s="33">
        <f>IFERROR(__xludf.DUMMYFUNCTION("""COMPUTED_VALUE"""),1.0)</f>
        <v>1</v>
      </c>
      <c r="U8561" s="4" t="str">
        <f>IFERROR(__xludf.DUMMYFUNCTION("""COMPUTED_VALUE"""),"Sagres Automação Comercial")</f>
        <v>Sagres Automação Comercial</v>
      </c>
      <c r="V8561" s="33">
        <f>IFERROR(__xludf.DUMMYFUNCTION("""COMPUTED_VALUE"""),1.0)</f>
        <v>1</v>
      </c>
      <c r="W8561" s="4" t="str">
        <f>IFERROR(__xludf.DUMMYFUNCTION("""COMPUTED_VALUE"""),"Sagres Automação Comercial")</f>
        <v>Sagres Automação Comercial</v>
      </c>
      <c r="X8561" s="33">
        <f>IFERROR(__xludf.DUMMYFUNCTION("""COMPUTED_VALUE"""),1.0)</f>
        <v>1</v>
      </c>
    </row>
    <row r="8562">
      <c r="K8562" s="4" t="str">
        <f>IFERROR(__xludf.DUMMYFUNCTION("""COMPUTED_VALUE"""),"YUKI THAI")</f>
        <v>YUKI THAI</v>
      </c>
      <c r="L8562" s="32">
        <f>IFERROR(__xludf.DUMMYFUNCTION("""COMPUTED_VALUE"""),1.0)</f>
        <v>1</v>
      </c>
      <c r="M8562" s="4" t="str">
        <f>IFERROR(__xludf.DUMMYFUNCTION("""COMPUTED_VALUE"""),"Memória Informatica Ltda")</f>
        <v>Memória Informatica Ltda</v>
      </c>
      <c r="N8562" s="33">
        <f>IFERROR(__xludf.DUMMYFUNCTION("""COMPUTED_VALUE"""),1.0)</f>
        <v>1</v>
      </c>
      <c r="O8562" s="4" t="str">
        <f>IFERROR(__xludf.DUMMYFUNCTION("""COMPUTED_VALUE"""),"Memória Informatica Ltda")</f>
        <v>Memória Informatica Ltda</v>
      </c>
      <c r="P8562" s="33">
        <f>IFERROR(__xludf.DUMMYFUNCTION("""COMPUTED_VALUE"""),1.0)</f>
        <v>1</v>
      </c>
      <c r="Q8562" s="4" t="str">
        <f>IFERROR(__xludf.DUMMYFUNCTION("""COMPUTED_VALUE"""),"Memória Informatica Ltda")</f>
        <v>Memória Informatica Ltda</v>
      </c>
      <c r="R8562" s="33">
        <f>IFERROR(__xludf.DUMMYFUNCTION("""COMPUTED_VALUE"""),1.0)</f>
        <v>1</v>
      </c>
      <c r="S8562" s="4" t="str">
        <f>IFERROR(__xludf.DUMMYFUNCTION("""COMPUTED_VALUE"""),"Memória Informatica Ltda")</f>
        <v>Memória Informatica Ltda</v>
      </c>
      <c r="T8562" s="33">
        <f>IFERROR(__xludf.DUMMYFUNCTION("""COMPUTED_VALUE"""),1.0)</f>
        <v>1</v>
      </c>
      <c r="U8562" s="4" t="str">
        <f>IFERROR(__xludf.DUMMYFUNCTION("""COMPUTED_VALUE"""),"Memória Informatica Ltda")</f>
        <v>Memória Informatica Ltda</v>
      </c>
      <c r="V8562" s="33">
        <f>IFERROR(__xludf.DUMMYFUNCTION("""COMPUTED_VALUE"""),1.0)</f>
        <v>1</v>
      </c>
      <c r="W8562" s="4" t="str">
        <f>IFERROR(__xludf.DUMMYFUNCTION("""COMPUTED_VALUE"""),"Bes Software Ltda")</f>
        <v>Bes Software Ltda</v>
      </c>
      <c r="X8562" s="33">
        <f>IFERROR(__xludf.DUMMYFUNCTION("""COMPUTED_VALUE"""),1.0)</f>
        <v>1</v>
      </c>
    </row>
    <row r="8563">
      <c r="K8563" s="4" t="str">
        <f>IFERROR(__xludf.DUMMYFUNCTION("""COMPUTED_VALUE"""),"NENO TASCA BAR")</f>
        <v>NENO TASCA BAR</v>
      </c>
      <c r="L8563" s="32">
        <f>IFERROR(__xludf.DUMMYFUNCTION("""COMPUTED_VALUE"""),1.0)</f>
        <v>1</v>
      </c>
      <c r="M8563" s="4" t="str">
        <f>IFERROR(__xludf.DUMMYFUNCTION("""COMPUTED_VALUE"""),"Ncr")</f>
        <v>Ncr</v>
      </c>
      <c r="N8563" s="33">
        <f>IFERROR(__xludf.DUMMYFUNCTION("""COMPUTED_VALUE"""),1.0)</f>
        <v>1</v>
      </c>
      <c r="O8563" s="4" t="str">
        <f>IFERROR(__xludf.DUMMYFUNCTION("""COMPUTED_VALUE"""),"Ncr")</f>
        <v>Ncr</v>
      </c>
      <c r="P8563" s="33">
        <f>IFERROR(__xludf.DUMMYFUNCTION("""COMPUTED_VALUE"""),1.0)</f>
        <v>1</v>
      </c>
      <c r="Q8563" s="4" t="str">
        <f>IFERROR(__xludf.DUMMYFUNCTION("""COMPUTED_VALUE"""),"Ncr")</f>
        <v>Ncr</v>
      </c>
      <c r="R8563" s="33">
        <f>IFERROR(__xludf.DUMMYFUNCTION("""COMPUTED_VALUE"""),1.0)</f>
        <v>1</v>
      </c>
      <c r="S8563" s="4" t="str">
        <f>IFERROR(__xludf.DUMMYFUNCTION("""COMPUTED_VALUE"""),"Ncr")</f>
        <v>Ncr</v>
      </c>
      <c r="T8563" s="33">
        <f>IFERROR(__xludf.DUMMYFUNCTION("""COMPUTED_VALUE"""),1.0)</f>
        <v>1</v>
      </c>
      <c r="U8563" s="4" t="str">
        <f>IFERROR(__xludf.DUMMYFUNCTION("""COMPUTED_VALUE"""),"Ncr")</f>
        <v>Ncr</v>
      </c>
      <c r="V8563" s="33">
        <f>IFERROR(__xludf.DUMMYFUNCTION("""COMPUTED_VALUE"""),1.0)</f>
        <v>1</v>
      </c>
      <c r="W8563" s="4" t="str">
        <f>IFERROR(__xludf.DUMMYFUNCTION("""COMPUTED_VALUE"""),"Ncr")</f>
        <v>Ncr</v>
      </c>
      <c r="X8563" s="33">
        <f>IFERROR(__xludf.DUMMYFUNCTION("""COMPUTED_VALUE"""),1.0)</f>
        <v>1</v>
      </c>
    </row>
    <row r="8564">
      <c r="K8564" s="4" t="str">
        <f>IFERROR(__xludf.DUMMYFUNCTION("""COMPUTED_VALUE"""),"RESTAURANTE NORTE-SUL 24 HORAS")</f>
        <v>RESTAURANTE NORTE-SUL 24 HORAS</v>
      </c>
      <c r="L8564" s="32">
        <f>IFERROR(__xludf.DUMMYFUNCTION("""COMPUTED_VALUE"""),1.0)</f>
        <v>1</v>
      </c>
      <c r="M8564" s="4" t="str">
        <f>IFERROR(__xludf.DUMMYFUNCTION("""COMPUTED_VALUE"""),"Sagres Automação Comercial")</f>
        <v>Sagres Automação Comercial</v>
      </c>
      <c r="N8564" s="33">
        <f>IFERROR(__xludf.DUMMYFUNCTION("""COMPUTED_VALUE"""),1.0)</f>
        <v>1</v>
      </c>
      <c r="O8564" s="4" t="str">
        <f>IFERROR(__xludf.DUMMYFUNCTION("""COMPUTED_VALUE"""),"Sagres Automação Comercial")</f>
        <v>Sagres Automação Comercial</v>
      </c>
      <c r="P8564" s="33">
        <f>IFERROR(__xludf.DUMMYFUNCTION("""COMPUTED_VALUE"""),1.0)</f>
        <v>1</v>
      </c>
      <c r="Q8564" s="4" t="str">
        <f>IFERROR(__xludf.DUMMYFUNCTION("""COMPUTED_VALUE"""),"Sagres Automação Comercial")</f>
        <v>Sagres Automação Comercial</v>
      </c>
      <c r="R8564" s="33">
        <f>IFERROR(__xludf.DUMMYFUNCTION("""COMPUTED_VALUE"""),1.0)</f>
        <v>1</v>
      </c>
      <c r="S8564" s="4" t="str">
        <f>IFERROR(__xludf.DUMMYFUNCTION("""COMPUTED_VALUE"""),"Sagres Automação Comercial")</f>
        <v>Sagres Automação Comercial</v>
      </c>
      <c r="T8564" s="33">
        <f>IFERROR(__xludf.DUMMYFUNCTION("""COMPUTED_VALUE"""),1.0)</f>
        <v>1</v>
      </c>
      <c r="U8564" s="4" t="str">
        <f>IFERROR(__xludf.DUMMYFUNCTION("""COMPUTED_VALUE"""),"Sagres Automação Comercial")</f>
        <v>Sagres Automação Comercial</v>
      </c>
      <c r="V8564" s="33">
        <f>IFERROR(__xludf.DUMMYFUNCTION("""COMPUTED_VALUE"""),1.0)</f>
        <v>1</v>
      </c>
      <c r="W8564" s="4" t="str">
        <f>IFERROR(__xludf.DUMMYFUNCTION("""COMPUTED_VALUE"""),"Sagres Automação Comercial")</f>
        <v>Sagres Automação Comercial</v>
      </c>
      <c r="X8564" s="33">
        <f>IFERROR(__xludf.DUMMYFUNCTION("""COMPUTED_VALUE"""),1.0)</f>
        <v>1</v>
      </c>
    </row>
    <row r="8565">
      <c r="K8565" s="4" t="str">
        <f>IFERROR(__xludf.DUMMYFUNCTION("""COMPUTED_VALUE"""),"BROTHERS FRANGO FRITO - MEIA PRAIA")</f>
        <v>BROTHERS FRANGO FRITO - MEIA PRAIA</v>
      </c>
      <c r="L8565" s="32">
        <f>IFERROR(__xludf.DUMMYFUNCTION("""COMPUTED_VALUE"""),1.0)</f>
        <v>1</v>
      </c>
      <c r="M8565" s="4" t="str">
        <f>IFERROR(__xludf.DUMMYFUNCTION("""COMPUTED_VALUE"""),"null")</f>
        <v>null</v>
      </c>
      <c r="N8565" s="33">
        <f>IFERROR(__xludf.DUMMYFUNCTION("""COMPUTED_VALUE"""),1.0)</f>
        <v>1</v>
      </c>
      <c r="O8565" s="4" t="str">
        <f>IFERROR(__xludf.DUMMYFUNCTION("""COMPUTED_VALUE"""),"Anove Tecnologia")</f>
        <v>Anove Tecnologia</v>
      </c>
      <c r="P8565" s="33">
        <f>IFERROR(__xludf.DUMMYFUNCTION("""COMPUTED_VALUE"""),1.0)</f>
        <v>1</v>
      </c>
      <c r="Q8565" s="4" t="str">
        <f>IFERROR(__xludf.DUMMYFUNCTION("""COMPUTED_VALUE"""),"Anove Tecnologia")</f>
        <v>Anove Tecnologia</v>
      </c>
      <c r="R8565" s="33">
        <f>IFERROR(__xludf.DUMMYFUNCTION("""COMPUTED_VALUE"""),1.0)</f>
        <v>1</v>
      </c>
      <c r="S8565" s="4" t="str">
        <f>IFERROR(__xludf.DUMMYFUNCTION("""COMPUTED_VALUE"""),"Anove Tecnologia")</f>
        <v>Anove Tecnologia</v>
      </c>
      <c r="T8565" s="33">
        <f>IFERROR(__xludf.DUMMYFUNCTION("""COMPUTED_VALUE"""),1.0)</f>
        <v>1</v>
      </c>
      <c r="U8565" s="4" t="str">
        <f>IFERROR(__xludf.DUMMYFUNCTION("""COMPUTED_VALUE"""),"null")</f>
        <v>null</v>
      </c>
      <c r="V8565" s="33">
        <f>IFERROR(__xludf.DUMMYFUNCTION("""COMPUTED_VALUE"""),1.0)</f>
        <v>1</v>
      </c>
      <c r="W8565" s="4" t="str">
        <f>IFERROR(__xludf.DUMMYFUNCTION("""COMPUTED_VALUE"""),"Anove Tecnologia")</f>
        <v>Anove Tecnologia</v>
      </c>
      <c r="X8565" s="33">
        <f>IFERROR(__xludf.DUMMYFUNCTION("""COMPUTED_VALUE"""),1.0)</f>
        <v>1</v>
      </c>
    </row>
    <row r="8566">
      <c r="K8566" s="4" t="str">
        <f>IFERROR(__xludf.DUMMYFUNCTION("""COMPUTED_VALUE"""),"NEON REST BAR")</f>
        <v>NEON REST BAR</v>
      </c>
      <c r="L8566" s="32">
        <f>IFERROR(__xludf.DUMMYFUNCTION("""COMPUTED_VALUE"""),1.0)</f>
        <v>1</v>
      </c>
      <c r="M8566" s="4" t="str">
        <f>IFERROR(__xludf.DUMMYFUNCTION("""COMPUTED_VALUE"""),"null")</f>
        <v>null</v>
      </c>
      <c r="N8566" s="33">
        <f>IFERROR(__xludf.DUMMYFUNCTION("""COMPUTED_VALUE"""),1.0)</f>
        <v>1</v>
      </c>
      <c r="O8566" s="4" t="str">
        <f>IFERROR(__xludf.DUMMYFUNCTION("""COMPUTED_VALUE"""),"Takeat Tecnologia")</f>
        <v>Takeat Tecnologia</v>
      </c>
      <c r="P8566" s="33">
        <f>IFERROR(__xludf.DUMMYFUNCTION("""COMPUTED_VALUE"""),1.0)</f>
        <v>1</v>
      </c>
      <c r="Q8566" s="4" t="str">
        <f>IFERROR(__xludf.DUMMYFUNCTION("""COMPUTED_VALUE"""),"Takeat Tecnologia")</f>
        <v>Takeat Tecnologia</v>
      </c>
      <c r="R8566" s="33">
        <f>IFERROR(__xludf.DUMMYFUNCTION("""COMPUTED_VALUE"""),1.0)</f>
        <v>1</v>
      </c>
      <c r="S8566" s="4" t="str">
        <f>IFERROR(__xludf.DUMMYFUNCTION("""COMPUTED_VALUE"""),"Takeat Tecnologia")</f>
        <v>Takeat Tecnologia</v>
      </c>
      <c r="T8566" s="33">
        <f>IFERROR(__xludf.DUMMYFUNCTION("""COMPUTED_VALUE"""),1.0)</f>
        <v>1</v>
      </c>
      <c r="U8566" s="4" t="str">
        <f>IFERROR(__xludf.DUMMYFUNCTION("""COMPUTED_VALUE"""),"Takeat Tecnologia")</f>
        <v>Takeat Tecnologia</v>
      </c>
      <c r="V8566" s="33">
        <f>IFERROR(__xludf.DUMMYFUNCTION("""COMPUTED_VALUE"""),1.0)</f>
        <v>1</v>
      </c>
      <c r="W8566" s="4" t="str">
        <f>IFERROR(__xludf.DUMMYFUNCTION("""COMPUTED_VALUE"""),"null")</f>
        <v>null</v>
      </c>
      <c r="X8566" s="33">
        <f>IFERROR(__xludf.DUMMYFUNCTION("""COMPUTED_VALUE"""),1.0)</f>
        <v>1</v>
      </c>
    </row>
    <row r="8567">
      <c r="K8567" s="4" t="str">
        <f>IFERROR(__xludf.DUMMYFUNCTION("""COMPUTED_VALUE"""),"RESTAURANTE CASARAO GRILL")</f>
        <v>RESTAURANTE CASARAO GRILL</v>
      </c>
      <c r="L8567" s="32">
        <f>IFERROR(__xludf.DUMMYFUNCTION("""COMPUTED_VALUE"""),1.0)</f>
        <v>1</v>
      </c>
      <c r="M8567" s="4" t="str">
        <f>IFERROR(__xludf.DUMMYFUNCTION("""COMPUTED_VALUE"""),"Grandchef Desenvolvimento De Sistemas Ltda")</f>
        <v>Grandchef Desenvolvimento De Sistemas Ltda</v>
      </c>
      <c r="N8567" s="33">
        <f>IFERROR(__xludf.DUMMYFUNCTION("""COMPUTED_VALUE"""),1.0)</f>
        <v>1</v>
      </c>
      <c r="O8567" s="4" t="str">
        <f>IFERROR(__xludf.DUMMYFUNCTION("""COMPUTED_VALUE"""),"Grandchef Desenvolvimento De Sistemas Ltda")</f>
        <v>Grandchef Desenvolvimento De Sistemas Ltda</v>
      </c>
      <c r="P8567" s="33">
        <f>IFERROR(__xludf.DUMMYFUNCTION("""COMPUTED_VALUE"""),1.0)</f>
        <v>1</v>
      </c>
      <c r="Q8567" s="4" t="str">
        <f>IFERROR(__xludf.DUMMYFUNCTION("""COMPUTED_VALUE"""),"Grandchef Desenvolvimento De Sistemas Ltda")</f>
        <v>Grandchef Desenvolvimento De Sistemas Ltda</v>
      </c>
      <c r="R8567" s="33">
        <f>IFERROR(__xludf.DUMMYFUNCTION("""COMPUTED_VALUE"""),1.0)</f>
        <v>1</v>
      </c>
      <c r="S8567" s="4" t="str">
        <f>IFERROR(__xludf.DUMMYFUNCTION("""COMPUTED_VALUE"""),"Grandchef Desenvolvimento De Sistemas Ltda")</f>
        <v>Grandchef Desenvolvimento De Sistemas Ltda</v>
      </c>
      <c r="T8567" s="33">
        <f>IFERROR(__xludf.DUMMYFUNCTION("""COMPUTED_VALUE"""),1.0)</f>
        <v>1</v>
      </c>
      <c r="U8567" s="4" t="str">
        <f>IFERROR(__xludf.DUMMYFUNCTION("""COMPUTED_VALUE"""),"null")</f>
        <v>null</v>
      </c>
      <c r="V8567" s="33">
        <f>IFERROR(__xludf.DUMMYFUNCTION("""COMPUTED_VALUE"""),1.0)</f>
        <v>1</v>
      </c>
      <c r="W8567" s="4" t="str">
        <f>IFERROR(__xludf.DUMMYFUNCTION("""COMPUTED_VALUE"""),"null")</f>
        <v>null</v>
      </c>
      <c r="X8567" s="33">
        <f>IFERROR(__xludf.DUMMYFUNCTION("""COMPUTED_VALUE"""),1.0)</f>
        <v>1</v>
      </c>
    </row>
    <row r="8568">
      <c r="K8568" s="4" t="str">
        <f>IFERROR(__xludf.DUMMYFUNCTION("""COMPUTED_VALUE"""),"JEFIS CAFETERIA")</f>
        <v>JEFIS CAFETERIA</v>
      </c>
      <c r="L8568" s="32">
        <f>IFERROR(__xludf.DUMMYFUNCTION("""COMPUTED_VALUE"""),1.0)</f>
        <v>1</v>
      </c>
      <c r="M8568" s="4" t="str">
        <f>IFERROR(__xludf.DUMMYFUNCTION("""COMPUTED_VALUE"""),"Consumer Soluções Em Tecnologia Ltda")</f>
        <v>Consumer Soluções Em Tecnologia Ltda</v>
      </c>
      <c r="N8568" s="33">
        <f>IFERROR(__xludf.DUMMYFUNCTION("""COMPUTED_VALUE"""),1.0)</f>
        <v>1</v>
      </c>
      <c r="O8568" s="4" t="str">
        <f>IFERROR(__xludf.DUMMYFUNCTION("""COMPUTED_VALUE"""),"Consumer Soluções Em Tecnologia Ltda")</f>
        <v>Consumer Soluções Em Tecnologia Ltda</v>
      </c>
      <c r="P8568" s="33">
        <f>IFERROR(__xludf.DUMMYFUNCTION("""COMPUTED_VALUE"""),1.0)</f>
        <v>1</v>
      </c>
      <c r="Q8568" s="4" t="str">
        <f>IFERROR(__xludf.DUMMYFUNCTION("""COMPUTED_VALUE"""),"Consumer Soluções Em Tecnologia Ltda")</f>
        <v>Consumer Soluções Em Tecnologia Ltda</v>
      </c>
      <c r="R8568" s="33">
        <f>IFERROR(__xludf.DUMMYFUNCTION("""COMPUTED_VALUE"""),1.0)</f>
        <v>1</v>
      </c>
      <c r="S8568" s="4" t="str">
        <f>IFERROR(__xludf.DUMMYFUNCTION("""COMPUTED_VALUE"""),"Consumer Soluções Em Tecnologia Ltda")</f>
        <v>Consumer Soluções Em Tecnologia Ltda</v>
      </c>
      <c r="T8568" s="33">
        <f>IFERROR(__xludf.DUMMYFUNCTION("""COMPUTED_VALUE"""),1.0)</f>
        <v>1</v>
      </c>
      <c r="U8568" s="4" t="str">
        <f>IFERROR(__xludf.DUMMYFUNCTION("""COMPUTED_VALUE"""),"Consumer Soluções Em Tecnologia Ltda")</f>
        <v>Consumer Soluções Em Tecnologia Ltda</v>
      </c>
      <c r="V8568" s="33">
        <f>IFERROR(__xludf.DUMMYFUNCTION("""COMPUTED_VALUE"""),1.0)</f>
        <v>1</v>
      </c>
      <c r="W8568" s="4" t="str">
        <f>IFERROR(__xludf.DUMMYFUNCTION("""COMPUTED_VALUE"""),"Consumer Soluções Em Tecnologia Ltda")</f>
        <v>Consumer Soluções Em Tecnologia Ltda</v>
      </c>
      <c r="X8568" s="33">
        <f>IFERROR(__xludf.DUMMYFUNCTION("""COMPUTED_VALUE"""),1.0)</f>
        <v>1</v>
      </c>
    </row>
    <row r="8569">
      <c r="K8569" s="4" t="str">
        <f>IFERROR(__xludf.DUMMYFUNCTION("""COMPUTED_VALUE"""),"CASA DA VOVO - DELIVERY DE MARMITAS")</f>
        <v>CASA DA VOVO - DELIVERY DE MARMITAS</v>
      </c>
      <c r="L8569" s="32">
        <f>IFERROR(__xludf.DUMMYFUNCTION("""COMPUTED_VALUE"""),1.0)</f>
        <v>1</v>
      </c>
      <c r="M8569" s="4" t="str">
        <f>IFERROR(__xludf.DUMMYFUNCTION("""COMPUTED_VALUE"""),"Saipos Serviços De Software")</f>
        <v>Saipos Serviços De Software</v>
      </c>
      <c r="N8569" s="33">
        <f>IFERROR(__xludf.DUMMYFUNCTION("""COMPUTED_VALUE"""),1.0)</f>
        <v>1</v>
      </c>
      <c r="O8569" s="4" t="str">
        <f>IFERROR(__xludf.DUMMYFUNCTION("""COMPUTED_VALUE"""),"Saipos Serviços De Software")</f>
        <v>Saipos Serviços De Software</v>
      </c>
      <c r="P8569" s="33">
        <f>IFERROR(__xludf.DUMMYFUNCTION("""COMPUTED_VALUE"""),1.0)</f>
        <v>1</v>
      </c>
      <c r="Q8569" s="4" t="str">
        <f>IFERROR(__xludf.DUMMYFUNCTION("""COMPUTED_VALUE"""),"Saipos Serviços De Software")</f>
        <v>Saipos Serviços De Software</v>
      </c>
      <c r="R8569" s="33">
        <f>IFERROR(__xludf.DUMMYFUNCTION("""COMPUTED_VALUE"""),1.0)</f>
        <v>1</v>
      </c>
      <c r="S8569" s="4" t="str">
        <f>IFERROR(__xludf.DUMMYFUNCTION("""COMPUTED_VALUE"""),"Saipos Serviços De Software")</f>
        <v>Saipos Serviços De Software</v>
      </c>
      <c r="T8569" s="33">
        <f>IFERROR(__xludf.DUMMYFUNCTION("""COMPUTED_VALUE"""),1.0)</f>
        <v>1</v>
      </c>
      <c r="U8569" s="4" t="str">
        <f>IFERROR(__xludf.DUMMYFUNCTION("""COMPUTED_VALUE"""),"Saipos Serviços De Software")</f>
        <v>Saipos Serviços De Software</v>
      </c>
      <c r="V8569" s="33">
        <f>IFERROR(__xludf.DUMMYFUNCTION("""COMPUTED_VALUE"""),1.0)</f>
        <v>1</v>
      </c>
      <c r="W8569" s="4" t="str">
        <f>IFERROR(__xludf.DUMMYFUNCTION("""COMPUTED_VALUE"""),"Saipos Serviços De Software")</f>
        <v>Saipos Serviços De Software</v>
      </c>
      <c r="X8569" s="33">
        <f>IFERROR(__xludf.DUMMYFUNCTION("""COMPUTED_VALUE"""),1.0)</f>
        <v>1</v>
      </c>
    </row>
    <row r="8570">
      <c r="K8570" s="4" t="str">
        <f>IFERROR(__xludf.DUMMYFUNCTION("""COMPUTED_VALUE"""),"PIZZA I HOP SO - A MELHOR PIZZA DA SUA VIDA")</f>
        <v>PIZZA I HOP SO - A MELHOR PIZZA DA SUA VIDA</v>
      </c>
      <c r="L8570" s="32">
        <f>IFERROR(__xludf.DUMMYFUNCTION("""COMPUTED_VALUE"""),1.0)</f>
        <v>1</v>
      </c>
      <c r="M8570" s="4" t="str">
        <f>IFERROR(__xludf.DUMMYFUNCTION("""COMPUTED_VALUE"""),"Takeat Tecnologia")</f>
        <v>Takeat Tecnologia</v>
      </c>
      <c r="N8570" s="33">
        <f>IFERROR(__xludf.DUMMYFUNCTION("""COMPUTED_VALUE"""),1.0)</f>
        <v>1</v>
      </c>
      <c r="O8570" s="4" t="str">
        <f>IFERROR(__xludf.DUMMYFUNCTION("""COMPUTED_VALUE"""),"Takeat Tecnologia")</f>
        <v>Takeat Tecnologia</v>
      </c>
      <c r="P8570" s="33">
        <f>IFERROR(__xludf.DUMMYFUNCTION("""COMPUTED_VALUE"""),1.0)</f>
        <v>1</v>
      </c>
      <c r="Q8570" s="4" t="str">
        <f>IFERROR(__xludf.DUMMYFUNCTION("""COMPUTED_VALUE"""),"Takeat Tecnologia")</f>
        <v>Takeat Tecnologia</v>
      </c>
      <c r="R8570" s="33">
        <f>IFERROR(__xludf.DUMMYFUNCTION("""COMPUTED_VALUE"""),1.0)</f>
        <v>1</v>
      </c>
      <c r="S8570" s="4" t="str">
        <f>IFERROR(__xludf.DUMMYFUNCTION("""COMPUTED_VALUE"""),"null")</f>
        <v>null</v>
      </c>
      <c r="T8570" s="33">
        <f>IFERROR(__xludf.DUMMYFUNCTION("""COMPUTED_VALUE"""),1.0)</f>
        <v>1</v>
      </c>
      <c r="U8570" s="4" t="str">
        <f>IFERROR(__xludf.DUMMYFUNCTION("""COMPUTED_VALUE"""),"null")</f>
        <v>null</v>
      </c>
      <c r="V8570" s="33">
        <f>IFERROR(__xludf.DUMMYFUNCTION("""COMPUTED_VALUE"""),1.0)</f>
        <v>1</v>
      </c>
      <c r="W8570" s="4" t="str">
        <f>IFERROR(__xludf.DUMMYFUNCTION("""COMPUTED_VALUE"""),"null")</f>
        <v>null</v>
      </c>
      <c r="X8570" s="33">
        <f>IFERROR(__xludf.DUMMYFUNCTION("""COMPUTED_VALUE"""),1.0)</f>
        <v>1</v>
      </c>
    </row>
    <row r="8571">
      <c r="K8571" s="4" t="str">
        <f>IFERROR(__xludf.DUMMYFUNCTION("""COMPUTED_VALUE"""),"AKIMOSHI SUSHI -MAIOBAO")</f>
        <v>AKIMOSHI SUSHI -MAIOBAO</v>
      </c>
      <c r="L8571" s="32">
        <f>IFERROR(__xludf.DUMMYFUNCTION("""COMPUTED_VALUE"""),1.0)</f>
        <v>1</v>
      </c>
      <c r="M8571" s="4" t="str">
        <f>IFERROR(__xludf.DUMMYFUNCTION("""COMPUTED_VALUE"""),"Anota Ai Solucoes Digitais S/a")</f>
        <v>Anota Ai Solucoes Digitais S/a</v>
      </c>
      <c r="N8571" s="33">
        <f>IFERROR(__xludf.DUMMYFUNCTION("""COMPUTED_VALUE"""),1.0)</f>
        <v>1</v>
      </c>
      <c r="O8571" s="4" t="str">
        <f>IFERROR(__xludf.DUMMYFUNCTION("""COMPUTED_VALUE"""),"Anota Ai Solucoes Digitais S/a")</f>
        <v>Anota Ai Solucoes Digitais S/a</v>
      </c>
      <c r="P8571" s="33">
        <f>IFERROR(__xludf.DUMMYFUNCTION("""COMPUTED_VALUE"""),1.0)</f>
        <v>1</v>
      </c>
      <c r="Q8571" s="4" t="str">
        <f>IFERROR(__xludf.DUMMYFUNCTION("""COMPUTED_VALUE"""),"Anota Ai Solucoes Digitais S/a")</f>
        <v>Anota Ai Solucoes Digitais S/a</v>
      </c>
      <c r="R8571" s="33">
        <f>IFERROR(__xludf.DUMMYFUNCTION("""COMPUTED_VALUE"""),1.0)</f>
        <v>1</v>
      </c>
      <c r="S8571" s="4" t="str">
        <f>IFERROR(__xludf.DUMMYFUNCTION("""COMPUTED_VALUE"""),"null")</f>
        <v>null</v>
      </c>
      <c r="T8571" s="33">
        <f>IFERROR(__xludf.DUMMYFUNCTION("""COMPUTED_VALUE"""),1.0)</f>
        <v>1</v>
      </c>
      <c r="U8571" s="4" t="str">
        <f>IFERROR(__xludf.DUMMYFUNCTION("""COMPUTED_VALUE"""),"Anota Ai Solucoes Digitais S/a")</f>
        <v>Anota Ai Solucoes Digitais S/a</v>
      </c>
      <c r="V8571" s="33">
        <f>IFERROR(__xludf.DUMMYFUNCTION("""COMPUTED_VALUE"""),1.0)</f>
        <v>1</v>
      </c>
      <c r="W8571" s="4" t="str">
        <f>IFERROR(__xludf.DUMMYFUNCTION("""COMPUTED_VALUE"""),"Anota Ai Solucoes Digitais S/a")</f>
        <v>Anota Ai Solucoes Digitais S/a</v>
      </c>
      <c r="X8571" s="33">
        <f>IFERROR(__xludf.DUMMYFUNCTION("""COMPUTED_VALUE"""),1.0)</f>
        <v>1</v>
      </c>
    </row>
    <row r="8572">
      <c r="K8572" s="4" t="str">
        <f>IFERROR(__xludf.DUMMYFUNCTION("""COMPUTED_VALUE"""),"TRIGOS ESFIHERIA")</f>
        <v>TRIGOS ESFIHERIA</v>
      </c>
      <c r="L8572" s="32">
        <f>IFERROR(__xludf.DUMMYFUNCTION("""COMPUTED_VALUE"""),1.0)</f>
        <v>1</v>
      </c>
      <c r="M8572" s="4" t="str">
        <f>IFERROR(__xludf.DUMMYFUNCTION("""COMPUTED_VALUE"""),"Anota Ai Solucoes Digitais S/a")</f>
        <v>Anota Ai Solucoes Digitais S/a</v>
      </c>
      <c r="N8572" s="33">
        <f>IFERROR(__xludf.DUMMYFUNCTION("""COMPUTED_VALUE"""),1.0)</f>
        <v>1</v>
      </c>
      <c r="O8572" s="4" t="str">
        <f>IFERROR(__xludf.DUMMYFUNCTION("""COMPUTED_VALUE"""),"Anota Ai Solucoes Digitais S/a")</f>
        <v>Anota Ai Solucoes Digitais S/a</v>
      </c>
      <c r="P8572" s="33">
        <f>IFERROR(__xludf.DUMMYFUNCTION("""COMPUTED_VALUE"""),1.0)</f>
        <v>1</v>
      </c>
      <c r="Q8572" s="4" t="str">
        <f>IFERROR(__xludf.DUMMYFUNCTION("""COMPUTED_VALUE"""),"Anota Ai Solucoes Digitais S/a")</f>
        <v>Anota Ai Solucoes Digitais S/a</v>
      </c>
      <c r="R8572" s="33">
        <f>IFERROR(__xludf.DUMMYFUNCTION("""COMPUTED_VALUE"""),1.0)</f>
        <v>1</v>
      </c>
      <c r="S8572" s="4" t="str">
        <f>IFERROR(__xludf.DUMMYFUNCTION("""COMPUTED_VALUE"""),"Anota Ai Solucoes Digitais S/a")</f>
        <v>Anota Ai Solucoes Digitais S/a</v>
      </c>
      <c r="T8572" s="33">
        <f>IFERROR(__xludf.DUMMYFUNCTION("""COMPUTED_VALUE"""),1.0)</f>
        <v>1</v>
      </c>
      <c r="U8572" s="4" t="str">
        <f>IFERROR(__xludf.DUMMYFUNCTION("""COMPUTED_VALUE"""),"Anota Ai Solucoes Digitais S/a")</f>
        <v>Anota Ai Solucoes Digitais S/a</v>
      </c>
      <c r="V8572" s="33">
        <f>IFERROR(__xludf.DUMMYFUNCTION("""COMPUTED_VALUE"""),1.0)</f>
        <v>1</v>
      </c>
      <c r="W8572" s="4" t="str">
        <f>IFERROR(__xludf.DUMMYFUNCTION("""COMPUTED_VALUE"""),"Anota Ai Solucoes Digitais S/a")</f>
        <v>Anota Ai Solucoes Digitais S/a</v>
      </c>
      <c r="X8572" s="33">
        <f>IFERROR(__xludf.DUMMYFUNCTION("""COMPUTED_VALUE"""),1.0)</f>
        <v>1</v>
      </c>
    </row>
    <row r="8573">
      <c r="K8573" s="4" t="str">
        <f>IFERROR(__xludf.DUMMYFUNCTION("""COMPUTED_VALUE"""),"SUSHI CAYE")</f>
        <v>SUSHI CAYE</v>
      </c>
      <c r="L8573" s="32">
        <f>IFERROR(__xludf.DUMMYFUNCTION("""COMPUTED_VALUE"""),1.0)</f>
        <v>1</v>
      </c>
      <c r="M8573" s="4" t="str">
        <f>IFERROR(__xludf.DUMMYFUNCTION("""COMPUTED_VALUE"""),"Saipos Serviços De Software")</f>
        <v>Saipos Serviços De Software</v>
      </c>
      <c r="N8573" s="33">
        <f>IFERROR(__xludf.DUMMYFUNCTION("""COMPUTED_VALUE"""),1.0)</f>
        <v>1</v>
      </c>
      <c r="O8573" s="4" t="str">
        <f>IFERROR(__xludf.DUMMYFUNCTION("""COMPUTED_VALUE"""),"Saipos Serviços De Software")</f>
        <v>Saipos Serviços De Software</v>
      </c>
      <c r="P8573" s="33">
        <f>IFERROR(__xludf.DUMMYFUNCTION("""COMPUTED_VALUE"""),1.0)</f>
        <v>1</v>
      </c>
      <c r="Q8573" s="4" t="str">
        <f>IFERROR(__xludf.DUMMYFUNCTION("""COMPUTED_VALUE"""),"Saipos Serviços De Software")</f>
        <v>Saipos Serviços De Software</v>
      </c>
      <c r="R8573" s="33">
        <f>IFERROR(__xludf.DUMMYFUNCTION("""COMPUTED_VALUE"""),1.0)</f>
        <v>1</v>
      </c>
      <c r="S8573" s="4" t="str">
        <f>IFERROR(__xludf.DUMMYFUNCTION("""COMPUTED_VALUE"""),"Saipos Serviços De Software")</f>
        <v>Saipos Serviços De Software</v>
      </c>
      <c r="T8573" s="33">
        <f>IFERROR(__xludf.DUMMYFUNCTION("""COMPUTED_VALUE"""),1.0)</f>
        <v>1</v>
      </c>
      <c r="U8573" s="4" t="str">
        <f>IFERROR(__xludf.DUMMYFUNCTION("""COMPUTED_VALUE"""),"Saipos Serviços De Software")</f>
        <v>Saipos Serviços De Software</v>
      </c>
      <c r="V8573" s="33">
        <f>IFERROR(__xludf.DUMMYFUNCTION("""COMPUTED_VALUE"""),1.0)</f>
        <v>1</v>
      </c>
      <c r="W8573" s="4" t="str">
        <f>IFERROR(__xludf.DUMMYFUNCTION("""COMPUTED_VALUE"""),"Saipos Serviços De Software")</f>
        <v>Saipos Serviços De Software</v>
      </c>
      <c r="X8573" s="33">
        <f>IFERROR(__xludf.DUMMYFUNCTION("""COMPUTED_VALUE"""),1.0)</f>
        <v>1</v>
      </c>
    </row>
    <row r="8574">
      <c r="K8574" s="4" t="str">
        <f>IFERROR(__xludf.DUMMYFUNCTION("""COMPUTED_VALUE"""),"RESTAURANTE KERUBIN - CENTRO")</f>
        <v>RESTAURANTE KERUBIN - CENTRO</v>
      </c>
      <c r="L8574" s="32">
        <f>IFERROR(__xludf.DUMMYFUNCTION("""COMPUTED_VALUE"""),1.0)</f>
        <v>1</v>
      </c>
      <c r="M8574" s="4" t="str">
        <f>IFERROR(__xludf.DUMMYFUNCTION("""COMPUTED_VALUE"""),"Consumer Soluções Em Tecnologia Ltda")</f>
        <v>Consumer Soluções Em Tecnologia Ltda</v>
      </c>
      <c r="N8574" s="33">
        <f>IFERROR(__xludf.DUMMYFUNCTION("""COMPUTED_VALUE"""),1.0)</f>
        <v>1</v>
      </c>
      <c r="O8574" s="4" t="str">
        <f>IFERROR(__xludf.DUMMYFUNCTION("""COMPUTED_VALUE"""),"Consumer Soluções Em Tecnologia Ltda")</f>
        <v>Consumer Soluções Em Tecnologia Ltda</v>
      </c>
      <c r="P8574" s="33">
        <f>IFERROR(__xludf.DUMMYFUNCTION("""COMPUTED_VALUE"""),1.0)</f>
        <v>1</v>
      </c>
      <c r="Q8574" s="4" t="str">
        <f>IFERROR(__xludf.DUMMYFUNCTION("""COMPUTED_VALUE"""),"Consumer Soluções Em Tecnologia Ltda")</f>
        <v>Consumer Soluções Em Tecnologia Ltda</v>
      </c>
      <c r="R8574" s="33">
        <f>IFERROR(__xludf.DUMMYFUNCTION("""COMPUTED_VALUE"""),1.0)</f>
        <v>1</v>
      </c>
      <c r="S8574" s="4" t="str">
        <f>IFERROR(__xludf.DUMMYFUNCTION("""COMPUTED_VALUE"""),"null")</f>
        <v>null</v>
      </c>
      <c r="T8574" s="33">
        <f>IFERROR(__xludf.DUMMYFUNCTION("""COMPUTED_VALUE"""),1.0)</f>
        <v>1</v>
      </c>
      <c r="U8574" s="4" t="str">
        <f>IFERROR(__xludf.DUMMYFUNCTION("""COMPUTED_VALUE"""),"null")</f>
        <v>null</v>
      </c>
      <c r="V8574" s="33">
        <f>IFERROR(__xludf.DUMMYFUNCTION("""COMPUTED_VALUE"""),1.0)</f>
        <v>1</v>
      </c>
      <c r="W8574" s="4" t="str">
        <f>IFERROR(__xludf.DUMMYFUNCTION("""COMPUTED_VALUE"""),"Consumer Soluções Em Tecnologia Ltda")</f>
        <v>Consumer Soluções Em Tecnologia Ltda</v>
      </c>
      <c r="X8574" s="33">
        <f>IFERROR(__xludf.DUMMYFUNCTION("""COMPUTED_VALUE"""),1.0)</f>
        <v>1</v>
      </c>
    </row>
    <row r="8575">
      <c r="K8575" s="4" t="str">
        <f>IFERROR(__xludf.DUMMYFUNCTION("""COMPUTED_VALUE"""),"MARMITARIA MAXIMOS")</f>
        <v>MARMITARIA MAXIMOS</v>
      </c>
      <c r="L8575" s="32">
        <f>IFERROR(__xludf.DUMMYFUNCTION("""COMPUTED_VALUE"""),1.0)</f>
        <v>1</v>
      </c>
      <c r="M8575" s="4" t="str">
        <f>IFERROR(__xludf.DUMMYFUNCTION("""COMPUTED_VALUE"""),"Saipos Serviços De Software")</f>
        <v>Saipos Serviços De Software</v>
      </c>
      <c r="N8575" s="33">
        <f>IFERROR(__xludf.DUMMYFUNCTION("""COMPUTED_VALUE"""),1.0)</f>
        <v>1</v>
      </c>
      <c r="O8575" s="4" t="str">
        <f>IFERROR(__xludf.DUMMYFUNCTION("""COMPUTED_VALUE"""),"Saipos Serviços De Software")</f>
        <v>Saipos Serviços De Software</v>
      </c>
      <c r="P8575" s="33">
        <f>IFERROR(__xludf.DUMMYFUNCTION("""COMPUTED_VALUE"""),1.0)</f>
        <v>1</v>
      </c>
      <c r="Q8575" s="4" t="str">
        <f>IFERROR(__xludf.DUMMYFUNCTION("""COMPUTED_VALUE"""),"Saipos Serviços De Software")</f>
        <v>Saipos Serviços De Software</v>
      </c>
      <c r="R8575" s="33">
        <f>IFERROR(__xludf.DUMMYFUNCTION("""COMPUTED_VALUE"""),1.0)</f>
        <v>1</v>
      </c>
      <c r="S8575" s="4" t="str">
        <f>IFERROR(__xludf.DUMMYFUNCTION("""COMPUTED_VALUE"""),"Saipos Serviços De Software")</f>
        <v>Saipos Serviços De Software</v>
      </c>
      <c r="T8575" s="33">
        <f>IFERROR(__xludf.DUMMYFUNCTION("""COMPUTED_VALUE"""),1.0)</f>
        <v>1</v>
      </c>
      <c r="U8575" s="4" t="str">
        <f>IFERROR(__xludf.DUMMYFUNCTION("""COMPUTED_VALUE"""),"Saipos Serviços De Software")</f>
        <v>Saipos Serviços De Software</v>
      </c>
      <c r="V8575" s="33">
        <f>IFERROR(__xludf.DUMMYFUNCTION("""COMPUTED_VALUE"""),1.0)</f>
        <v>1</v>
      </c>
      <c r="W8575" s="4" t="str">
        <f>IFERROR(__xludf.DUMMYFUNCTION("""COMPUTED_VALUE"""),"Saipos Serviços De Software")</f>
        <v>Saipos Serviços De Software</v>
      </c>
      <c r="X8575" s="33">
        <f>IFERROR(__xludf.DUMMYFUNCTION("""COMPUTED_VALUE"""),1.0)</f>
        <v>1</v>
      </c>
    </row>
    <row r="8576">
      <c r="K8576" s="4" t="str">
        <f>IFERROR(__xludf.DUMMYFUNCTION("""COMPUTED_VALUE"""),"BISTEKA, RESTAURANTE E CHURRASCARIA")</f>
        <v>BISTEKA, RESTAURANTE E CHURRASCARIA</v>
      </c>
      <c r="L8576" s="32">
        <f>IFERROR(__xludf.DUMMYFUNCTION("""COMPUTED_VALUE"""),1.0)</f>
        <v>1</v>
      </c>
      <c r="M8576" s="4" t="str">
        <f>IFERROR(__xludf.DUMMYFUNCTION("""COMPUTED_VALUE"""),"Saipos Serviços De Software")</f>
        <v>Saipos Serviços De Software</v>
      </c>
      <c r="N8576" s="33">
        <f>IFERROR(__xludf.DUMMYFUNCTION("""COMPUTED_VALUE"""),1.0)</f>
        <v>1</v>
      </c>
      <c r="O8576" s="4" t="str">
        <f>IFERROR(__xludf.DUMMYFUNCTION("""COMPUTED_VALUE"""),"Saipos Serviços De Software")</f>
        <v>Saipos Serviços De Software</v>
      </c>
      <c r="P8576" s="33">
        <f>IFERROR(__xludf.DUMMYFUNCTION("""COMPUTED_VALUE"""),1.0)</f>
        <v>1</v>
      </c>
      <c r="Q8576" s="4" t="str">
        <f>IFERROR(__xludf.DUMMYFUNCTION("""COMPUTED_VALUE"""),"Saipos Serviços De Software")</f>
        <v>Saipos Serviços De Software</v>
      </c>
      <c r="R8576" s="33">
        <f>IFERROR(__xludf.DUMMYFUNCTION("""COMPUTED_VALUE"""),1.0)</f>
        <v>1</v>
      </c>
      <c r="S8576" s="4" t="str">
        <f>IFERROR(__xludf.DUMMYFUNCTION("""COMPUTED_VALUE"""),"Saipos Serviços De Software")</f>
        <v>Saipos Serviços De Software</v>
      </c>
      <c r="T8576" s="33">
        <f>IFERROR(__xludf.DUMMYFUNCTION("""COMPUTED_VALUE"""),1.0)</f>
        <v>1</v>
      </c>
      <c r="U8576" s="4" t="str">
        <f>IFERROR(__xludf.DUMMYFUNCTION("""COMPUTED_VALUE"""),"Saipos Serviços De Software")</f>
        <v>Saipos Serviços De Software</v>
      </c>
      <c r="V8576" s="33">
        <f>IFERROR(__xludf.DUMMYFUNCTION("""COMPUTED_VALUE"""),1.0)</f>
        <v>1</v>
      </c>
      <c r="W8576" s="4" t="str">
        <f>IFERROR(__xludf.DUMMYFUNCTION("""COMPUTED_VALUE"""),"Saipos Serviços De Software")</f>
        <v>Saipos Serviços De Software</v>
      </c>
      <c r="X8576" s="33">
        <f>IFERROR(__xludf.DUMMYFUNCTION("""COMPUTED_VALUE"""),1.0)</f>
        <v>1</v>
      </c>
    </row>
    <row r="8577">
      <c r="K8577" s="4" t="str">
        <f>IFERROR(__xludf.DUMMYFUNCTION("""COMPUTED_VALUE"""),"JA PIZZARIA DELIVERY - INHAPIM")</f>
        <v>JA PIZZARIA DELIVERY - INHAPIM</v>
      </c>
      <c r="L8577" s="32">
        <f>IFERROR(__xludf.DUMMYFUNCTION("""COMPUTED_VALUE"""),1.0)</f>
        <v>1</v>
      </c>
      <c r="M8577" s="4" t="str">
        <f>IFERROR(__xludf.DUMMYFUNCTION("""COMPUTED_VALUE"""),"Saipos Serviços De Software")</f>
        <v>Saipos Serviços De Software</v>
      </c>
      <c r="N8577" s="33">
        <f>IFERROR(__xludf.DUMMYFUNCTION("""COMPUTED_VALUE"""),1.0)</f>
        <v>1</v>
      </c>
      <c r="O8577" s="4" t="str">
        <f>IFERROR(__xludf.DUMMYFUNCTION("""COMPUTED_VALUE"""),"Saipos Serviços De Software")</f>
        <v>Saipos Serviços De Software</v>
      </c>
      <c r="P8577" s="33">
        <f>IFERROR(__xludf.DUMMYFUNCTION("""COMPUTED_VALUE"""),1.0)</f>
        <v>1</v>
      </c>
      <c r="Q8577" s="4" t="str">
        <f>IFERROR(__xludf.DUMMYFUNCTION("""COMPUTED_VALUE"""),"Saipos Serviços De Software")</f>
        <v>Saipos Serviços De Software</v>
      </c>
      <c r="R8577" s="33">
        <f>IFERROR(__xludf.DUMMYFUNCTION("""COMPUTED_VALUE"""),1.0)</f>
        <v>1</v>
      </c>
      <c r="S8577" s="4" t="str">
        <f>IFERROR(__xludf.DUMMYFUNCTION("""COMPUTED_VALUE"""),"Saipos Serviços De Software")</f>
        <v>Saipos Serviços De Software</v>
      </c>
      <c r="T8577" s="33">
        <f>IFERROR(__xludf.DUMMYFUNCTION("""COMPUTED_VALUE"""),1.0)</f>
        <v>1</v>
      </c>
      <c r="U8577" s="4" t="str">
        <f>IFERROR(__xludf.DUMMYFUNCTION("""COMPUTED_VALUE"""),"Saipos Serviços De Software")</f>
        <v>Saipos Serviços De Software</v>
      </c>
      <c r="V8577" s="33">
        <f>IFERROR(__xludf.DUMMYFUNCTION("""COMPUTED_VALUE"""),1.0)</f>
        <v>1</v>
      </c>
      <c r="W8577" s="4" t="str">
        <f>IFERROR(__xludf.DUMMYFUNCTION("""COMPUTED_VALUE"""),"Saipos Serviços De Software")</f>
        <v>Saipos Serviços De Software</v>
      </c>
      <c r="X8577" s="33">
        <f>IFERROR(__xludf.DUMMYFUNCTION("""COMPUTED_VALUE"""),1.0)</f>
        <v>1</v>
      </c>
    </row>
    <row r="8578">
      <c r="K8578" s="4" t="str">
        <f>IFERROR(__xludf.DUMMYFUNCTION("""COMPUTED_VALUE"""),"BROOKLYN BURGUER HOTDOG - HAMBURGUERIA ARTESANAL")</f>
        <v>BROOKLYN BURGUER HOTDOG - HAMBURGUERIA ARTESANAL</v>
      </c>
      <c r="L8578" s="32">
        <f>IFERROR(__xludf.DUMMYFUNCTION("""COMPUTED_VALUE"""),1.0)</f>
        <v>1</v>
      </c>
      <c r="M8578" s="4" t="str">
        <f>IFERROR(__xludf.DUMMYFUNCTION("""COMPUTED_VALUE"""),"Yooga")</f>
        <v>Yooga</v>
      </c>
      <c r="N8578" s="33">
        <f>IFERROR(__xludf.DUMMYFUNCTION("""COMPUTED_VALUE"""),1.0)</f>
        <v>1</v>
      </c>
      <c r="O8578" s="4" t="str">
        <f>IFERROR(__xludf.DUMMYFUNCTION("""COMPUTED_VALUE"""),"Yooga")</f>
        <v>Yooga</v>
      </c>
      <c r="P8578" s="33">
        <f>IFERROR(__xludf.DUMMYFUNCTION("""COMPUTED_VALUE"""),1.0)</f>
        <v>1</v>
      </c>
      <c r="Q8578" s="4" t="str">
        <f>IFERROR(__xludf.DUMMYFUNCTION("""COMPUTED_VALUE"""),"Yooga")</f>
        <v>Yooga</v>
      </c>
      <c r="R8578" s="33">
        <f>IFERROR(__xludf.DUMMYFUNCTION("""COMPUTED_VALUE"""),1.0)</f>
        <v>1</v>
      </c>
      <c r="S8578" s="4" t="str">
        <f>IFERROR(__xludf.DUMMYFUNCTION("""COMPUTED_VALUE"""),"Yooga")</f>
        <v>Yooga</v>
      </c>
      <c r="T8578" s="33">
        <f>IFERROR(__xludf.DUMMYFUNCTION("""COMPUTED_VALUE"""),1.0)</f>
        <v>1</v>
      </c>
      <c r="U8578" s="4" t="str">
        <f>IFERROR(__xludf.DUMMYFUNCTION("""COMPUTED_VALUE"""),"Yooga")</f>
        <v>Yooga</v>
      </c>
      <c r="V8578" s="33">
        <f>IFERROR(__xludf.DUMMYFUNCTION("""COMPUTED_VALUE"""),1.0)</f>
        <v>1</v>
      </c>
      <c r="W8578" s="4" t="str">
        <f>IFERROR(__xludf.DUMMYFUNCTION("""COMPUTED_VALUE"""),"Yooga")</f>
        <v>Yooga</v>
      </c>
      <c r="X8578" s="33">
        <f>IFERROR(__xludf.DUMMYFUNCTION("""COMPUTED_VALUE"""),1.0)</f>
        <v>1</v>
      </c>
    </row>
    <row r="8579">
      <c r="K8579" s="4" t="str">
        <f>IFERROR(__xludf.DUMMYFUNCTION("""COMPUTED_VALUE"""),"BREAK PIZZARIA")</f>
        <v>BREAK PIZZARIA</v>
      </c>
      <c r="L8579" s="32">
        <f>IFERROR(__xludf.DUMMYFUNCTION("""COMPUTED_VALUE"""),1.0)</f>
        <v>1</v>
      </c>
      <c r="M8579" s="4" t="str">
        <f>IFERROR(__xludf.DUMMYFUNCTION("""COMPUTED_VALUE"""),"Saipos Serviços De Software")</f>
        <v>Saipos Serviços De Software</v>
      </c>
      <c r="N8579" s="33">
        <f>IFERROR(__xludf.DUMMYFUNCTION("""COMPUTED_VALUE"""),1.0)</f>
        <v>1</v>
      </c>
      <c r="O8579" s="4" t="str">
        <f>IFERROR(__xludf.DUMMYFUNCTION("""COMPUTED_VALUE"""),"Saipos Serviços De Software")</f>
        <v>Saipos Serviços De Software</v>
      </c>
      <c r="P8579" s="33">
        <f>IFERROR(__xludf.DUMMYFUNCTION("""COMPUTED_VALUE"""),1.0)</f>
        <v>1</v>
      </c>
      <c r="Q8579" s="4" t="str">
        <f>IFERROR(__xludf.DUMMYFUNCTION("""COMPUTED_VALUE"""),"Saipos Serviços De Software")</f>
        <v>Saipos Serviços De Software</v>
      </c>
      <c r="R8579" s="33">
        <f>IFERROR(__xludf.DUMMYFUNCTION("""COMPUTED_VALUE"""),1.0)</f>
        <v>1</v>
      </c>
      <c r="S8579" s="4" t="str">
        <f>IFERROR(__xludf.DUMMYFUNCTION("""COMPUTED_VALUE"""),"Saipos Serviços De Software")</f>
        <v>Saipos Serviços De Software</v>
      </c>
      <c r="T8579" s="33">
        <f>IFERROR(__xludf.DUMMYFUNCTION("""COMPUTED_VALUE"""),1.0)</f>
        <v>1</v>
      </c>
      <c r="U8579" s="4" t="str">
        <f>IFERROR(__xludf.DUMMYFUNCTION("""COMPUTED_VALUE"""),"Saipos Serviços De Software")</f>
        <v>Saipos Serviços De Software</v>
      </c>
      <c r="V8579" s="33">
        <f>IFERROR(__xludf.DUMMYFUNCTION("""COMPUTED_VALUE"""),1.0)</f>
        <v>1</v>
      </c>
      <c r="W8579" s="4" t="str">
        <f>IFERROR(__xludf.DUMMYFUNCTION("""COMPUTED_VALUE"""),"Saipos Serviços De Software")</f>
        <v>Saipos Serviços De Software</v>
      </c>
      <c r="X8579" s="33">
        <f>IFERROR(__xludf.DUMMYFUNCTION("""COMPUTED_VALUE"""),1.0)</f>
        <v>1</v>
      </c>
    </row>
    <row r="8580">
      <c r="K8580" s="4" t="str">
        <f>IFERROR(__xludf.DUMMYFUNCTION("""COMPUTED_VALUE"""),"HAMBURGUERIA - VEGAS BURGER")</f>
        <v>HAMBURGUERIA - VEGAS BURGER</v>
      </c>
      <c r="L8580" s="32">
        <f>IFERROR(__xludf.DUMMYFUNCTION("""COMPUTED_VALUE"""),1.0)</f>
        <v>1</v>
      </c>
      <c r="M8580" s="4" t="str">
        <f>IFERROR(__xludf.DUMMYFUNCTION("""COMPUTED_VALUE"""),"Takeat Tecnologia")</f>
        <v>Takeat Tecnologia</v>
      </c>
      <c r="N8580" s="33">
        <f>IFERROR(__xludf.DUMMYFUNCTION("""COMPUTED_VALUE"""),1.0)</f>
        <v>1</v>
      </c>
      <c r="O8580" s="4" t="str">
        <f>IFERROR(__xludf.DUMMYFUNCTION("""COMPUTED_VALUE"""),"Takeat Tecnologia")</f>
        <v>Takeat Tecnologia</v>
      </c>
      <c r="P8580" s="33">
        <f>IFERROR(__xludf.DUMMYFUNCTION("""COMPUTED_VALUE"""),1.0)</f>
        <v>1</v>
      </c>
      <c r="Q8580" s="4" t="str">
        <f>IFERROR(__xludf.DUMMYFUNCTION("""COMPUTED_VALUE"""),"Takeat Tecnologia")</f>
        <v>Takeat Tecnologia</v>
      </c>
      <c r="R8580" s="33">
        <f>IFERROR(__xludf.DUMMYFUNCTION("""COMPUTED_VALUE"""),1.0)</f>
        <v>1</v>
      </c>
      <c r="S8580" s="4" t="str">
        <f>IFERROR(__xludf.DUMMYFUNCTION("""COMPUTED_VALUE"""),"Cardápio Web")</f>
        <v>Cardápio Web</v>
      </c>
      <c r="T8580" s="33">
        <f>IFERROR(__xludf.DUMMYFUNCTION("""COMPUTED_VALUE"""),1.0)</f>
        <v>1</v>
      </c>
      <c r="U8580" s="4" t="str">
        <f>IFERROR(__xludf.DUMMYFUNCTION("""COMPUTED_VALUE"""),"Takeat Tecnologia")</f>
        <v>Takeat Tecnologia</v>
      </c>
      <c r="V8580" s="33">
        <f>IFERROR(__xludf.DUMMYFUNCTION("""COMPUTED_VALUE"""),1.0)</f>
        <v>1</v>
      </c>
      <c r="W8580" s="4" t="str">
        <f>IFERROR(__xludf.DUMMYFUNCTION("""COMPUTED_VALUE"""),"Takeat Tecnologia")</f>
        <v>Takeat Tecnologia</v>
      </c>
      <c r="X8580" s="33">
        <f>IFERROR(__xludf.DUMMYFUNCTION("""COMPUTED_VALUE"""),1.0)</f>
        <v>1</v>
      </c>
    </row>
    <row r="8581">
      <c r="K8581" s="4" t="str">
        <f>IFERROR(__xludf.DUMMYFUNCTION("""COMPUTED_VALUE"""),"BATATARIA GOL - PORCOES BATATAS")</f>
        <v>BATATARIA GOL - PORCOES BATATAS</v>
      </c>
      <c r="L8581" s="32">
        <f>IFERROR(__xludf.DUMMYFUNCTION("""COMPUTED_VALUE"""),1.0)</f>
        <v>1</v>
      </c>
      <c r="M8581" s="4" t="str">
        <f>IFERROR(__xludf.DUMMYFUNCTION("""COMPUTED_VALUE"""),"null")</f>
        <v>null</v>
      </c>
      <c r="N8581" s="33">
        <f>IFERROR(__xludf.DUMMYFUNCTION("""COMPUTED_VALUE"""),1.0)</f>
        <v>1</v>
      </c>
      <c r="O8581" s="4" t="str">
        <f>IFERROR(__xludf.DUMMYFUNCTION("""COMPUTED_VALUE"""),"Consumer Soluções Em Tecnologia Ltda")</f>
        <v>Consumer Soluções Em Tecnologia Ltda</v>
      </c>
      <c r="P8581" s="33">
        <f>IFERROR(__xludf.DUMMYFUNCTION("""COMPUTED_VALUE"""),1.0)</f>
        <v>1</v>
      </c>
      <c r="Q8581" s="4" t="str">
        <f>IFERROR(__xludf.DUMMYFUNCTION("""COMPUTED_VALUE"""),"null")</f>
        <v>null</v>
      </c>
      <c r="R8581" s="33">
        <f>IFERROR(__xludf.DUMMYFUNCTION("""COMPUTED_VALUE"""),1.0)</f>
        <v>1</v>
      </c>
      <c r="S8581" s="4" t="str">
        <f>IFERROR(__xludf.DUMMYFUNCTION("""COMPUTED_VALUE"""),"null")</f>
        <v>null</v>
      </c>
      <c r="T8581" s="33">
        <f>IFERROR(__xludf.DUMMYFUNCTION("""COMPUTED_VALUE"""),1.0)</f>
        <v>1</v>
      </c>
      <c r="U8581" s="4" t="str">
        <f>IFERROR(__xludf.DUMMYFUNCTION("""COMPUTED_VALUE"""),"null")</f>
        <v>null</v>
      </c>
      <c r="V8581" s="33">
        <f>IFERROR(__xludf.DUMMYFUNCTION("""COMPUTED_VALUE"""),1.0)</f>
        <v>1</v>
      </c>
      <c r="W8581" s="4" t="str">
        <f>IFERROR(__xludf.DUMMYFUNCTION("""COMPUTED_VALUE"""),"null")</f>
        <v>null</v>
      </c>
      <c r="X8581" s="33">
        <f>IFERROR(__xludf.DUMMYFUNCTION("""COMPUTED_VALUE"""),1.0)</f>
        <v>1</v>
      </c>
    </row>
    <row r="8582">
      <c r="K8582" s="4" t="str">
        <f>IFERROR(__xludf.DUMMYFUNCTION("""COMPUTED_VALUE"""),"DU CHEFF PASTEL E MACARRAO")</f>
        <v>DU CHEFF PASTEL E MACARRAO</v>
      </c>
      <c r="L8582" s="32">
        <f>IFERROR(__xludf.DUMMYFUNCTION("""COMPUTED_VALUE"""),1.0)</f>
        <v>1</v>
      </c>
      <c r="M8582" s="4" t="str">
        <f>IFERROR(__xludf.DUMMYFUNCTION("""COMPUTED_VALUE"""),"Consumer Soluções Em Tecnologia Ltda")</f>
        <v>Consumer Soluções Em Tecnologia Ltda</v>
      </c>
      <c r="N8582" s="33">
        <f>IFERROR(__xludf.DUMMYFUNCTION("""COMPUTED_VALUE"""),1.0)</f>
        <v>1</v>
      </c>
      <c r="O8582" s="4" t="str">
        <f>IFERROR(__xludf.DUMMYFUNCTION("""COMPUTED_VALUE"""),"null")</f>
        <v>null</v>
      </c>
      <c r="P8582" s="33">
        <f>IFERROR(__xludf.DUMMYFUNCTION("""COMPUTED_VALUE"""),1.0)</f>
        <v>1</v>
      </c>
      <c r="Q8582" s="4" t="str">
        <f>IFERROR(__xludf.DUMMYFUNCTION("""COMPUTED_VALUE"""),"null")</f>
        <v>null</v>
      </c>
      <c r="R8582" s="33">
        <f>IFERROR(__xludf.DUMMYFUNCTION("""COMPUTED_VALUE"""),1.0)</f>
        <v>1</v>
      </c>
      <c r="S8582" s="4" t="str">
        <f>IFERROR(__xludf.DUMMYFUNCTION("""COMPUTED_VALUE"""),"null")</f>
        <v>null</v>
      </c>
      <c r="T8582" s="33">
        <f>IFERROR(__xludf.DUMMYFUNCTION("""COMPUTED_VALUE"""),1.0)</f>
        <v>1</v>
      </c>
      <c r="U8582" s="4" t="str">
        <f>IFERROR(__xludf.DUMMYFUNCTION("""COMPUTED_VALUE"""),"null")</f>
        <v>null</v>
      </c>
      <c r="V8582" s="33">
        <f>IFERROR(__xludf.DUMMYFUNCTION("""COMPUTED_VALUE"""),1.0)</f>
        <v>1</v>
      </c>
      <c r="W8582" s="4" t="str">
        <f>IFERROR(__xludf.DUMMYFUNCTION("""COMPUTED_VALUE"""),"null")</f>
        <v>null</v>
      </c>
      <c r="X8582" s="33">
        <f>IFERROR(__xludf.DUMMYFUNCTION("""COMPUTED_VALUE"""),1.0)</f>
        <v>1</v>
      </c>
    </row>
    <row r="8583">
      <c r="K8583" s="4" t="str">
        <f>IFERROR(__xludf.DUMMYFUNCTION("""COMPUTED_VALUE"""),"RAIOS ACAITERIA")</f>
        <v>RAIOS ACAITERIA</v>
      </c>
      <c r="L8583" s="32">
        <f>IFERROR(__xludf.DUMMYFUNCTION("""COMPUTED_VALUE"""),1.0)</f>
        <v>1</v>
      </c>
      <c r="M8583" s="4" t="str">
        <f>IFERROR(__xludf.DUMMYFUNCTION("""COMPUTED_VALUE"""),"Instadelivery")</f>
        <v>Instadelivery</v>
      </c>
      <c r="N8583" s="33">
        <f>IFERROR(__xludf.DUMMYFUNCTION("""COMPUTED_VALUE"""),1.0)</f>
        <v>1</v>
      </c>
      <c r="O8583" s="4" t="str">
        <f>IFERROR(__xludf.DUMMYFUNCTION("""COMPUTED_VALUE"""),"Instadelivery")</f>
        <v>Instadelivery</v>
      </c>
      <c r="P8583" s="33">
        <f>IFERROR(__xludf.DUMMYFUNCTION("""COMPUTED_VALUE"""),1.0)</f>
        <v>1</v>
      </c>
      <c r="Q8583" s="4" t="str">
        <f>IFERROR(__xludf.DUMMYFUNCTION("""COMPUTED_VALUE"""),"null")</f>
        <v>null</v>
      </c>
      <c r="R8583" s="33">
        <f>IFERROR(__xludf.DUMMYFUNCTION("""COMPUTED_VALUE"""),1.0)</f>
        <v>1</v>
      </c>
      <c r="S8583" s="4" t="str">
        <f>IFERROR(__xludf.DUMMYFUNCTION("""COMPUTED_VALUE"""),"null")</f>
        <v>null</v>
      </c>
      <c r="T8583" s="33">
        <f>IFERROR(__xludf.DUMMYFUNCTION("""COMPUTED_VALUE"""),1.0)</f>
        <v>1</v>
      </c>
      <c r="U8583" s="4" t="str">
        <f>IFERROR(__xludf.DUMMYFUNCTION("""COMPUTED_VALUE"""),"null")</f>
        <v>null</v>
      </c>
      <c r="V8583" s="33">
        <f>IFERROR(__xludf.DUMMYFUNCTION("""COMPUTED_VALUE"""),1.0)</f>
        <v>1</v>
      </c>
      <c r="W8583" s="4" t="str">
        <f>IFERROR(__xludf.DUMMYFUNCTION("""COMPUTED_VALUE"""),"null")</f>
        <v>null</v>
      </c>
      <c r="X8583" s="33">
        <f>IFERROR(__xludf.DUMMYFUNCTION("""COMPUTED_VALUE"""),1.0)</f>
        <v>1</v>
      </c>
    </row>
    <row r="8584">
      <c r="K8584" s="4" t="str">
        <f>IFERROR(__xludf.DUMMYFUNCTION("""COMPUTED_VALUE"""),"PIZZARIA PREDILETTA PIZZA")</f>
        <v>PIZZARIA PREDILETTA PIZZA</v>
      </c>
      <c r="L8584" s="32">
        <f>IFERROR(__xludf.DUMMYFUNCTION("""COMPUTED_VALUE"""),1.0)</f>
        <v>1</v>
      </c>
      <c r="M8584" s="4" t="str">
        <f>IFERROR(__xludf.DUMMYFUNCTION("""COMPUTED_VALUE"""),"Anota Ai Solucoes Digitais S/a")</f>
        <v>Anota Ai Solucoes Digitais S/a</v>
      </c>
      <c r="N8584" s="33">
        <f>IFERROR(__xludf.DUMMYFUNCTION("""COMPUTED_VALUE"""),1.0)</f>
        <v>1</v>
      </c>
      <c r="O8584" s="4" t="str">
        <f>IFERROR(__xludf.DUMMYFUNCTION("""COMPUTED_VALUE"""),"Anota Ai Solucoes Digitais S/a")</f>
        <v>Anota Ai Solucoes Digitais S/a</v>
      </c>
      <c r="P8584" s="33">
        <f>IFERROR(__xludf.DUMMYFUNCTION("""COMPUTED_VALUE"""),1.0)</f>
        <v>1</v>
      </c>
      <c r="Q8584" s="4" t="str">
        <f>IFERROR(__xludf.DUMMYFUNCTION("""COMPUTED_VALUE"""),"Anota Ai Solucoes Digitais S/a")</f>
        <v>Anota Ai Solucoes Digitais S/a</v>
      </c>
      <c r="R8584" s="33">
        <f>IFERROR(__xludf.DUMMYFUNCTION("""COMPUTED_VALUE"""),1.0)</f>
        <v>1</v>
      </c>
      <c r="S8584" s="4" t="str">
        <f>IFERROR(__xludf.DUMMYFUNCTION("""COMPUTED_VALUE"""),"Anota Ai Solucoes Digitais S/a")</f>
        <v>Anota Ai Solucoes Digitais S/a</v>
      </c>
      <c r="T8584" s="33">
        <f>IFERROR(__xludf.DUMMYFUNCTION("""COMPUTED_VALUE"""),1.0)</f>
        <v>1</v>
      </c>
      <c r="U8584" s="4" t="str">
        <f>IFERROR(__xludf.DUMMYFUNCTION("""COMPUTED_VALUE"""),"Anota Ai Solucoes Digitais S/a")</f>
        <v>Anota Ai Solucoes Digitais S/a</v>
      </c>
      <c r="V8584" s="33">
        <f>IFERROR(__xludf.DUMMYFUNCTION("""COMPUTED_VALUE"""),1.0)</f>
        <v>1</v>
      </c>
      <c r="W8584" s="4" t="str">
        <f>IFERROR(__xludf.DUMMYFUNCTION("""COMPUTED_VALUE"""),"Anota Ai Solucoes Digitais S/a")</f>
        <v>Anota Ai Solucoes Digitais S/a</v>
      </c>
      <c r="X8584" s="33">
        <f>IFERROR(__xludf.DUMMYFUNCTION("""COMPUTED_VALUE"""),1.0)</f>
        <v>1</v>
      </c>
    </row>
    <row r="8585">
      <c r="K8585" s="4" t="str">
        <f>IFERROR(__xludf.DUMMYFUNCTION("""COMPUTED_VALUE"""),"BOLOS DA BOLERIA CAPITAL")</f>
        <v>BOLOS DA BOLERIA CAPITAL</v>
      </c>
      <c r="L8585" s="32">
        <f>IFERROR(__xludf.DUMMYFUNCTION("""COMPUTED_VALUE"""),1.0)</f>
        <v>1</v>
      </c>
      <c r="M8585" s="4" t="str">
        <f>IFERROR(__xludf.DUMMYFUNCTION("""COMPUTED_VALUE"""),"Saipos Serviços De Software")</f>
        <v>Saipos Serviços De Software</v>
      </c>
      <c r="N8585" s="33">
        <f>IFERROR(__xludf.DUMMYFUNCTION("""COMPUTED_VALUE"""),1.0)</f>
        <v>1</v>
      </c>
      <c r="O8585" s="4" t="str">
        <f>IFERROR(__xludf.DUMMYFUNCTION("""COMPUTED_VALUE"""),"Saipos Serviços De Software")</f>
        <v>Saipos Serviços De Software</v>
      </c>
      <c r="P8585" s="33">
        <f>IFERROR(__xludf.DUMMYFUNCTION("""COMPUTED_VALUE"""),1.0)</f>
        <v>1</v>
      </c>
      <c r="Q8585" s="4" t="str">
        <f>IFERROR(__xludf.DUMMYFUNCTION("""COMPUTED_VALUE"""),"Saipos Serviços De Software")</f>
        <v>Saipos Serviços De Software</v>
      </c>
      <c r="R8585" s="33">
        <f>IFERROR(__xludf.DUMMYFUNCTION("""COMPUTED_VALUE"""),1.0)</f>
        <v>1</v>
      </c>
      <c r="S8585" s="4" t="str">
        <f>IFERROR(__xludf.DUMMYFUNCTION("""COMPUTED_VALUE"""),"Saipos Serviços De Software")</f>
        <v>Saipos Serviços De Software</v>
      </c>
      <c r="T8585" s="33">
        <f>IFERROR(__xludf.DUMMYFUNCTION("""COMPUTED_VALUE"""),1.0)</f>
        <v>1</v>
      </c>
      <c r="U8585" s="4" t="str">
        <f>IFERROR(__xludf.DUMMYFUNCTION("""COMPUTED_VALUE"""),"Saipos Serviços De Software")</f>
        <v>Saipos Serviços De Software</v>
      </c>
      <c r="V8585" s="33">
        <f>IFERROR(__xludf.DUMMYFUNCTION("""COMPUTED_VALUE"""),1.0)</f>
        <v>1</v>
      </c>
      <c r="W8585" s="4" t="str">
        <f>IFERROR(__xludf.DUMMYFUNCTION("""COMPUTED_VALUE"""),"Saipos Serviços De Software")</f>
        <v>Saipos Serviços De Software</v>
      </c>
      <c r="X8585" s="33">
        <f>IFERROR(__xludf.DUMMYFUNCTION("""COMPUTED_VALUE"""),1.0)</f>
        <v>1</v>
      </c>
    </row>
    <row r="8586">
      <c r="K8586" s="4" t="str">
        <f>IFERROR(__xludf.DUMMYFUNCTION("""COMPUTED_VALUE"""),"JB CHURRASCARIA")</f>
        <v>JB CHURRASCARIA</v>
      </c>
      <c r="L8586" s="32">
        <f>IFERROR(__xludf.DUMMYFUNCTION("""COMPUTED_VALUE"""),1.0)</f>
        <v>1</v>
      </c>
      <c r="M8586" s="4" t="str">
        <f>IFERROR(__xludf.DUMMYFUNCTION("""COMPUTED_VALUE"""),"Anota Ai Solucoes Digitais S/a")</f>
        <v>Anota Ai Solucoes Digitais S/a</v>
      </c>
      <c r="N8586" s="33">
        <f>IFERROR(__xludf.DUMMYFUNCTION("""COMPUTED_VALUE"""),1.0)</f>
        <v>1</v>
      </c>
      <c r="O8586" s="4" t="str">
        <f>IFERROR(__xludf.DUMMYFUNCTION("""COMPUTED_VALUE"""),"null")</f>
        <v>null</v>
      </c>
      <c r="P8586" s="33">
        <f>IFERROR(__xludf.DUMMYFUNCTION("""COMPUTED_VALUE"""),1.0)</f>
        <v>1</v>
      </c>
      <c r="Q8586" s="4" t="str">
        <f>IFERROR(__xludf.DUMMYFUNCTION("""COMPUTED_VALUE"""),"null")</f>
        <v>null</v>
      </c>
      <c r="R8586" s="33">
        <f>IFERROR(__xludf.DUMMYFUNCTION("""COMPUTED_VALUE"""),1.0)</f>
        <v>1</v>
      </c>
      <c r="S8586" s="4" t="str">
        <f>IFERROR(__xludf.DUMMYFUNCTION("""COMPUTED_VALUE"""),"null")</f>
        <v>null</v>
      </c>
      <c r="T8586" s="33">
        <f>IFERROR(__xludf.DUMMYFUNCTION("""COMPUTED_VALUE"""),1.0)</f>
        <v>1</v>
      </c>
      <c r="U8586" s="4" t="str">
        <f>IFERROR(__xludf.DUMMYFUNCTION("""COMPUTED_VALUE"""),"null")</f>
        <v>null</v>
      </c>
      <c r="V8586" s="33">
        <f>IFERROR(__xludf.DUMMYFUNCTION("""COMPUTED_VALUE"""),1.0)</f>
        <v>1</v>
      </c>
      <c r="W8586" s="4" t="str">
        <f>IFERROR(__xludf.DUMMYFUNCTION("""COMPUTED_VALUE"""),"null")</f>
        <v>null</v>
      </c>
      <c r="X8586" s="33">
        <f>IFERROR(__xludf.DUMMYFUNCTION("""COMPUTED_VALUE"""),1.0)</f>
        <v>1</v>
      </c>
    </row>
    <row r="8587">
      <c r="K8587" s="4" t="str">
        <f>IFERROR(__xludf.DUMMYFUNCTION("""COMPUTED_VALUE"""),"DROGARIA RECANTO - JARDIM NOVA VITORIA I")</f>
        <v>DROGARIA RECANTO - JARDIM NOVA VITORIA I</v>
      </c>
      <c r="L8587" s="32">
        <f>IFERROR(__xludf.DUMMYFUNCTION("""COMPUTED_VALUE"""),1.0)</f>
        <v>1</v>
      </c>
      <c r="M8587" s="4" t="str">
        <f>IFERROR(__xludf.DUMMYFUNCTION("""COMPUTED_VALUE"""),"N/A (Not found)")</f>
        <v>N/A (Not found)</v>
      </c>
      <c r="N8587" s="33">
        <f>IFERROR(__xludf.DUMMYFUNCTION("""COMPUTED_VALUE"""),1.0)</f>
        <v>1</v>
      </c>
      <c r="O8587" s="4" t="str">
        <f>IFERROR(__xludf.DUMMYFUNCTION("""COMPUTED_VALUE"""),"N/A (Not found)")</f>
        <v>N/A (Not found)</v>
      </c>
      <c r="P8587" s="33">
        <f>IFERROR(__xludf.DUMMYFUNCTION("""COMPUTED_VALUE"""),1.0)</f>
        <v>1</v>
      </c>
      <c r="Q8587" s="4" t="str">
        <f>IFERROR(__xludf.DUMMYFUNCTION("""COMPUTED_VALUE"""),"null")</f>
        <v>null</v>
      </c>
      <c r="R8587" s="33">
        <f>IFERROR(__xludf.DUMMYFUNCTION("""COMPUTED_VALUE"""),1.0)</f>
        <v>1</v>
      </c>
      <c r="S8587" s="4" t="str">
        <f>IFERROR(__xludf.DUMMYFUNCTION("""COMPUTED_VALUE"""),"null")</f>
        <v>null</v>
      </c>
      <c r="T8587" s="33">
        <f>IFERROR(__xludf.DUMMYFUNCTION("""COMPUTED_VALUE"""),1.0)</f>
        <v>1</v>
      </c>
      <c r="U8587" s="4" t="str">
        <f>IFERROR(__xludf.DUMMYFUNCTION("""COMPUTED_VALUE"""),"null")</f>
        <v>null</v>
      </c>
      <c r="V8587" s="33">
        <f>IFERROR(__xludf.DUMMYFUNCTION("""COMPUTED_VALUE"""),1.0)</f>
        <v>1</v>
      </c>
      <c r="W8587" s="4" t="str">
        <f>IFERROR(__xludf.DUMMYFUNCTION("""COMPUTED_VALUE"""),"null")</f>
        <v>null</v>
      </c>
      <c r="X8587" s="33">
        <f>IFERROR(__xludf.DUMMYFUNCTION("""COMPUTED_VALUE"""),1.0)</f>
        <v>1</v>
      </c>
    </row>
    <row r="8588">
      <c r="K8588" s="4" t="str">
        <f>IFERROR(__xludf.DUMMYFUNCTION("""COMPUTED_VALUE"""),"SO VEM LANCHES - HAMBURGUERIA , COMBOS , BATATAS , PESTISCOS")</f>
        <v>SO VEM LANCHES - HAMBURGUERIA , COMBOS , BATATAS , PESTISCOS</v>
      </c>
      <c r="L8588" s="32">
        <f>IFERROR(__xludf.DUMMYFUNCTION("""COMPUTED_VALUE"""),1.0)</f>
        <v>1</v>
      </c>
      <c r="M8588" s="4" t="str">
        <f>IFERROR(__xludf.DUMMYFUNCTION("""COMPUTED_VALUE"""),"Mp Multipedidos")</f>
        <v>Mp Multipedidos</v>
      </c>
      <c r="N8588" s="33">
        <f>IFERROR(__xludf.DUMMYFUNCTION("""COMPUTED_VALUE"""),1.0)</f>
        <v>1</v>
      </c>
      <c r="O8588" s="4" t="str">
        <f>IFERROR(__xludf.DUMMYFUNCTION("""COMPUTED_VALUE"""),"Mp Multipedidos")</f>
        <v>Mp Multipedidos</v>
      </c>
      <c r="P8588" s="33">
        <f>IFERROR(__xludf.DUMMYFUNCTION("""COMPUTED_VALUE"""),1.0)</f>
        <v>1</v>
      </c>
      <c r="Q8588" s="4" t="str">
        <f>IFERROR(__xludf.DUMMYFUNCTION("""COMPUTED_VALUE"""),"Mp Multipedidos")</f>
        <v>Mp Multipedidos</v>
      </c>
      <c r="R8588" s="33">
        <f>IFERROR(__xludf.DUMMYFUNCTION("""COMPUTED_VALUE"""),1.0)</f>
        <v>1</v>
      </c>
      <c r="S8588" s="4" t="str">
        <f>IFERROR(__xludf.DUMMYFUNCTION("""COMPUTED_VALUE"""),"Mp Multipedidos")</f>
        <v>Mp Multipedidos</v>
      </c>
      <c r="T8588" s="33">
        <f>IFERROR(__xludf.DUMMYFUNCTION("""COMPUTED_VALUE"""),1.0)</f>
        <v>1</v>
      </c>
      <c r="U8588" s="4" t="str">
        <f>IFERROR(__xludf.DUMMYFUNCTION("""COMPUTED_VALUE"""),"Mp Multipedidos")</f>
        <v>Mp Multipedidos</v>
      </c>
      <c r="V8588" s="33">
        <f>IFERROR(__xludf.DUMMYFUNCTION("""COMPUTED_VALUE"""),1.0)</f>
        <v>1</v>
      </c>
      <c r="W8588" s="4" t="str">
        <f>IFERROR(__xludf.DUMMYFUNCTION("""COMPUTED_VALUE"""),"Mp Multipedidos")</f>
        <v>Mp Multipedidos</v>
      </c>
      <c r="X8588" s="33">
        <f>IFERROR(__xludf.DUMMYFUNCTION("""COMPUTED_VALUE"""),1.0)</f>
        <v>1</v>
      </c>
    </row>
    <row r="8589">
      <c r="K8589" s="4" t="str">
        <f>IFERROR(__xludf.DUMMYFUNCTION("""COMPUTED_VALUE"""),"SUSHI TEMAKERIA JAPAMIX")</f>
        <v>SUSHI TEMAKERIA JAPAMIX</v>
      </c>
      <c r="L8589" s="32">
        <f>IFERROR(__xludf.DUMMYFUNCTION("""COMPUTED_VALUE"""),1.0)</f>
        <v>1</v>
      </c>
      <c r="M8589" s="4" t="str">
        <f>IFERROR(__xludf.DUMMYFUNCTION("""COMPUTED_VALUE"""),"Vekttor")</f>
        <v>Vekttor</v>
      </c>
      <c r="N8589" s="33">
        <f>IFERROR(__xludf.DUMMYFUNCTION("""COMPUTED_VALUE"""),1.0)</f>
        <v>1</v>
      </c>
      <c r="O8589" s="4" t="str">
        <f>IFERROR(__xludf.DUMMYFUNCTION("""COMPUTED_VALUE"""),"Vekttor")</f>
        <v>Vekttor</v>
      </c>
      <c r="P8589" s="33">
        <f>IFERROR(__xludf.DUMMYFUNCTION("""COMPUTED_VALUE"""),1.0)</f>
        <v>1</v>
      </c>
      <c r="Q8589" s="4" t="str">
        <f>IFERROR(__xludf.DUMMYFUNCTION("""COMPUTED_VALUE"""),"Vekttor")</f>
        <v>Vekttor</v>
      </c>
      <c r="R8589" s="33">
        <f>IFERROR(__xludf.DUMMYFUNCTION("""COMPUTED_VALUE"""),1.0)</f>
        <v>1</v>
      </c>
      <c r="S8589" s="4" t="str">
        <f>IFERROR(__xludf.DUMMYFUNCTION("""COMPUTED_VALUE"""),"Vekttor")</f>
        <v>Vekttor</v>
      </c>
      <c r="T8589" s="33">
        <f>IFERROR(__xludf.DUMMYFUNCTION("""COMPUTED_VALUE"""),1.0)</f>
        <v>1</v>
      </c>
      <c r="U8589" s="4" t="str">
        <f>IFERROR(__xludf.DUMMYFUNCTION("""COMPUTED_VALUE"""),"null")</f>
        <v>null</v>
      </c>
      <c r="V8589" s="33">
        <f>IFERROR(__xludf.DUMMYFUNCTION("""COMPUTED_VALUE"""),1.0)</f>
        <v>1</v>
      </c>
      <c r="W8589" s="4" t="str">
        <f>IFERROR(__xludf.DUMMYFUNCTION("""COMPUTED_VALUE"""),"Vekttor")</f>
        <v>Vekttor</v>
      </c>
      <c r="X8589" s="33">
        <f>IFERROR(__xludf.DUMMYFUNCTION("""COMPUTED_VALUE"""),1.0)</f>
        <v>1</v>
      </c>
    </row>
    <row r="8590">
      <c r="K8590" s="4" t="str">
        <f>IFERROR(__xludf.DUMMYFUNCTION("""COMPUTED_VALUE"""),"SANDUICHE NO PAO DE ALHO DA YALO")</f>
        <v>SANDUICHE NO PAO DE ALHO DA YALO</v>
      </c>
      <c r="L8590" s="32">
        <f>IFERROR(__xludf.DUMMYFUNCTION("""COMPUTED_VALUE"""),1.0)</f>
        <v>1</v>
      </c>
      <c r="M8590" s="4" t="str">
        <f>IFERROR(__xludf.DUMMYFUNCTION("""COMPUTED_VALUE"""),"Saipos Serviços De Software")</f>
        <v>Saipos Serviços De Software</v>
      </c>
      <c r="N8590" s="33">
        <f>IFERROR(__xludf.DUMMYFUNCTION("""COMPUTED_VALUE"""),1.0)</f>
        <v>1</v>
      </c>
      <c r="O8590" s="4" t="str">
        <f>IFERROR(__xludf.DUMMYFUNCTION("""COMPUTED_VALUE"""),"Saipos Serviços De Software")</f>
        <v>Saipos Serviços De Software</v>
      </c>
      <c r="P8590" s="33">
        <f>IFERROR(__xludf.DUMMYFUNCTION("""COMPUTED_VALUE"""),1.0)</f>
        <v>1</v>
      </c>
      <c r="Q8590" s="4" t="str">
        <f>IFERROR(__xludf.DUMMYFUNCTION("""COMPUTED_VALUE"""),"Saipos Serviços De Software")</f>
        <v>Saipos Serviços De Software</v>
      </c>
      <c r="R8590" s="33">
        <f>IFERROR(__xludf.DUMMYFUNCTION("""COMPUTED_VALUE"""),1.0)</f>
        <v>1</v>
      </c>
      <c r="S8590" s="4" t="str">
        <f>IFERROR(__xludf.DUMMYFUNCTION("""COMPUTED_VALUE"""),"Saipos Serviços De Software")</f>
        <v>Saipos Serviços De Software</v>
      </c>
      <c r="T8590" s="33">
        <f>IFERROR(__xludf.DUMMYFUNCTION("""COMPUTED_VALUE"""),1.0)</f>
        <v>1</v>
      </c>
      <c r="U8590" s="4" t="str">
        <f>IFERROR(__xludf.DUMMYFUNCTION("""COMPUTED_VALUE"""),"Saipos Serviços De Software")</f>
        <v>Saipos Serviços De Software</v>
      </c>
      <c r="V8590" s="33">
        <f>IFERROR(__xludf.DUMMYFUNCTION("""COMPUTED_VALUE"""),1.0)</f>
        <v>1</v>
      </c>
      <c r="W8590" s="4" t="str">
        <f>IFERROR(__xludf.DUMMYFUNCTION("""COMPUTED_VALUE"""),"Saipos Serviços De Software")</f>
        <v>Saipos Serviços De Software</v>
      </c>
      <c r="X8590" s="33">
        <f>IFERROR(__xludf.DUMMYFUNCTION("""COMPUTED_VALUE"""),1.0)</f>
        <v>1</v>
      </c>
    </row>
    <row r="8591">
      <c r="K8591" s="4" t="str">
        <f>IFERROR(__xludf.DUMMYFUNCTION("""COMPUTED_VALUE"""),"PIZZA ITALY - FORNO A LENHA DELIVERY")</f>
        <v>PIZZA ITALY - FORNO A LENHA DELIVERY</v>
      </c>
      <c r="L8591" s="32">
        <f>IFERROR(__xludf.DUMMYFUNCTION("""COMPUTED_VALUE"""),1.0)</f>
        <v>1</v>
      </c>
      <c r="M8591" s="4" t="str">
        <f>IFERROR(__xludf.DUMMYFUNCTION("""COMPUTED_VALUE"""),"Cityfoods Ltda")</f>
        <v>Cityfoods Ltda</v>
      </c>
      <c r="N8591" s="33">
        <f>IFERROR(__xludf.DUMMYFUNCTION("""COMPUTED_VALUE"""),1.0)</f>
        <v>1</v>
      </c>
      <c r="O8591" s="4" t="str">
        <f>IFERROR(__xludf.DUMMYFUNCTION("""COMPUTED_VALUE"""),"Cityfoods Ltda")</f>
        <v>Cityfoods Ltda</v>
      </c>
      <c r="P8591" s="33">
        <f>IFERROR(__xludf.DUMMYFUNCTION("""COMPUTED_VALUE"""),1.0)</f>
        <v>1</v>
      </c>
      <c r="Q8591" s="4" t="str">
        <f>IFERROR(__xludf.DUMMYFUNCTION("""COMPUTED_VALUE"""),"Cityfoods Ltda")</f>
        <v>Cityfoods Ltda</v>
      </c>
      <c r="R8591" s="33">
        <f>IFERROR(__xludf.DUMMYFUNCTION("""COMPUTED_VALUE"""),1.0)</f>
        <v>1</v>
      </c>
      <c r="S8591" s="4" t="str">
        <f>IFERROR(__xludf.DUMMYFUNCTION("""COMPUTED_VALUE"""),"Cityfoods Ltda")</f>
        <v>Cityfoods Ltda</v>
      </c>
      <c r="T8591" s="33">
        <f>IFERROR(__xludf.DUMMYFUNCTION("""COMPUTED_VALUE"""),1.0)</f>
        <v>1</v>
      </c>
      <c r="U8591" s="4" t="str">
        <f>IFERROR(__xludf.DUMMYFUNCTION("""COMPUTED_VALUE"""),"Premio Sistemas Ltda")</f>
        <v>Premio Sistemas Ltda</v>
      </c>
      <c r="V8591" s="33">
        <f>IFERROR(__xludf.DUMMYFUNCTION("""COMPUTED_VALUE"""),1.0)</f>
        <v>1</v>
      </c>
      <c r="W8591" s="4" t="str">
        <f>IFERROR(__xludf.DUMMYFUNCTION("""COMPUTED_VALUE"""),"Premio Sistemas Ltda")</f>
        <v>Premio Sistemas Ltda</v>
      </c>
      <c r="X8591" s="33">
        <f>IFERROR(__xludf.DUMMYFUNCTION("""COMPUTED_VALUE"""),1.0)</f>
        <v>1</v>
      </c>
    </row>
    <row r="8592">
      <c r="K8592" s="4" t="str">
        <f>IFERROR(__xludf.DUMMYFUNCTION("""COMPUTED_VALUE"""),"GULOSAO LANCHES")</f>
        <v>GULOSAO LANCHES</v>
      </c>
      <c r="L8592" s="32">
        <f>IFERROR(__xludf.DUMMYFUNCTION("""COMPUTED_VALUE"""),1.0)</f>
        <v>1</v>
      </c>
      <c r="M8592" s="4" t="str">
        <f>IFERROR(__xludf.DUMMYFUNCTION("""COMPUTED_VALUE"""),"null")</f>
        <v>null</v>
      </c>
      <c r="N8592" s="33">
        <f>IFERROR(__xludf.DUMMYFUNCTION("""COMPUTED_VALUE"""),1.0)</f>
        <v>1</v>
      </c>
      <c r="O8592" s="4" t="str">
        <f>IFERROR(__xludf.DUMMYFUNCTION("""COMPUTED_VALUE"""),"null")</f>
        <v>null</v>
      </c>
      <c r="P8592" s="33">
        <f>IFERROR(__xludf.DUMMYFUNCTION("""COMPUTED_VALUE"""),1.0)</f>
        <v>1</v>
      </c>
      <c r="Q8592" s="4" t="str">
        <f>IFERROR(__xludf.DUMMYFUNCTION("""COMPUTED_VALUE"""),"Datacaixa Pdv")</f>
        <v>Datacaixa Pdv</v>
      </c>
      <c r="R8592" s="33">
        <f>IFERROR(__xludf.DUMMYFUNCTION("""COMPUTED_VALUE"""),1.0)</f>
        <v>1</v>
      </c>
      <c r="S8592" s="4" t="str">
        <f>IFERROR(__xludf.DUMMYFUNCTION("""COMPUTED_VALUE"""),"Datacaixa Pdv")</f>
        <v>Datacaixa Pdv</v>
      </c>
      <c r="T8592" s="33">
        <f>IFERROR(__xludf.DUMMYFUNCTION("""COMPUTED_VALUE"""),1.0)</f>
        <v>1</v>
      </c>
      <c r="U8592" s="4" t="str">
        <f>IFERROR(__xludf.DUMMYFUNCTION("""COMPUTED_VALUE"""),"Datacaixa Pdv")</f>
        <v>Datacaixa Pdv</v>
      </c>
      <c r="V8592" s="33">
        <f>IFERROR(__xludf.DUMMYFUNCTION("""COMPUTED_VALUE"""),1.0)</f>
        <v>1</v>
      </c>
      <c r="W8592" s="4" t="str">
        <f>IFERROR(__xludf.DUMMYFUNCTION("""COMPUTED_VALUE"""),"Datacaixa Pdv")</f>
        <v>Datacaixa Pdv</v>
      </c>
      <c r="X8592" s="33">
        <f>IFERROR(__xludf.DUMMYFUNCTION("""COMPUTED_VALUE"""),1.0)</f>
        <v>1</v>
      </c>
    </row>
    <row r="8593">
      <c r="K8593" s="4" t="str">
        <f>IFERROR(__xludf.DUMMYFUNCTION("""COMPUTED_VALUE"""),"PIZZARIA FLORENCE")</f>
        <v>PIZZARIA FLORENCE</v>
      </c>
      <c r="L8593" s="32">
        <f>IFERROR(__xludf.DUMMYFUNCTION("""COMPUTED_VALUE"""),1.0)</f>
        <v>1</v>
      </c>
      <c r="M8593" s="4" t="str">
        <f>IFERROR(__xludf.DUMMYFUNCTION("""COMPUTED_VALUE"""),"Alfa Labs")</f>
        <v>Alfa Labs</v>
      </c>
      <c r="N8593" s="33">
        <f>IFERROR(__xludf.DUMMYFUNCTION("""COMPUTED_VALUE"""),1.0)</f>
        <v>1</v>
      </c>
      <c r="O8593" s="4" t="str">
        <f>IFERROR(__xludf.DUMMYFUNCTION("""COMPUTED_VALUE"""),"Alfa Labs")</f>
        <v>Alfa Labs</v>
      </c>
      <c r="P8593" s="33">
        <f>IFERROR(__xludf.DUMMYFUNCTION("""COMPUTED_VALUE"""),1.0)</f>
        <v>1</v>
      </c>
      <c r="Q8593" s="4" t="str">
        <f>IFERROR(__xludf.DUMMYFUNCTION("""COMPUTED_VALUE"""),"Alfa Labs")</f>
        <v>Alfa Labs</v>
      </c>
      <c r="R8593" s="33">
        <f>IFERROR(__xludf.DUMMYFUNCTION("""COMPUTED_VALUE"""),1.0)</f>
        <v>1</v>
      </c>
      <c r="S8593" s="4" t="str">
        <f>IFERROR(__xludf.DUMMYFUNCTION("""COMPUTED_VALUE"""),"Alfa Labs")</f>
        <v>Alfa Labs</v>
      </c>
      <c r="T8593" s="33">
        <f>IFERROR(__xludf.DUMMYFUNCTION("""COMPUTED_VALUE"""),1.0)</f>
        <v>1</v>
      </c>
      <c r="U8593" s="4" t="str">
        <f>IFERROR(__xludf.DUMMYFUNCTION("""COMPUTED_VALUE"""),"Alfa Labs")</f>
        <v>Alfa Labs</v>
      </c>
      <c r="V8593" s="33">
        <f>IFERROR(__xludf.DUMMYFUNCTION("""COMPUTED_VALUE"""),1.0)</f>
        <v>1</v>
      </c>
      <c r="W8593" s="4" t="str">
        <f>IFERROR(__xludf.DUMMYFUNCTION("""COMPUTED_VALUE"""),"Alfa Labs")</f>
        <v>Alfa Labs</v>
      </c>
      <c r="X8593" s="33">
        <f>IFERROR(__xludf.DUMMYFUNCTION("""COMPUTED_VALUE"""),1.0)</f>
        <v>1</v>
      </c>
    </row>
    <row r="8594">
      <c r="K8594" s="4" t="str">
        <f>IFERROR(__xludf.DUMMYFUNCTION("""COMPUTED_VALUE"""),"SENNA DOG BELVEDERE")</f>
        <v>SENNA DOG BELVEDERE</v>
      </c>
      <c r="L8594" s="32">
        <f>IFERROR(__xludf.DUMMYFUNCTION("""COMPUTED_VALUE"""),1.0)</f>
        <v>1</v>
      </c>
      <c r="M8594" s="4" t="str">
        <f>IFERROR(__xludf.DUMMYFUNCTION("""COMPUTED_VALUE"""),"Consumer Soluções Em Tecnologia Ltda")</f>
        <v>Consumer Soluções Em Tecnologia Ltda</v>
      </c>
      <c r="N8594" s="33">
        <f>IFERROR(__xludf.DUMMYFUNCTION("""COMPUTED_VALUE"""),1.0)</f>
        <v>1</v>
      </c>
      <c r="O8594" s="4" t="str">
        <f>IFERROR(__xludf.DUMMYFUNCTION("""COMPUTED_VALUE"""),"Consumer Soluções Em Tecnologia Ltda")</f>
        <v>Consumer Soluções Em Tecnologia Ltda</v>
      </c>
      <c r="P8594" s="33">
        <f>IFERROR(__xludf.DUMMYFUNCTION("""COMPUTED_VALUE"""),1.0)</f>
        <v>1</v>
      </c>
      <c r="Q8594" s="4" t="str">
        <f>IFERROR(__xludf.DUMMYFUNCTION("""COMPUTED_VALUE"""),"null")</f>
        <v>null</v>
      </c>
      <c r="R8594" s="33">
        <f>IFERROR(__xludf.DUMMYFUNCTION("""COMPUTED_VALUE"""),1.0)</f>
        <v>1</v>
      </c>
      <c r="S8594" s="4" t="str">
        <f>IFERROR(__xludf.DUMMYFUNCTION("""COMPUTED_VALUE"""),"null")</f>
        <v>null</v>
      </c>
      <c r="T8594" s="33">
        <f>IFERROR(__xludf.DUMMYFUNCTION("""COMPUTED_VALUE"""),1.0)</f>
        <v>1</v>
      </c>
      <c r="U8594" s="4" t="str">
        <f>IFERROR(__xludf.DUMMYFUNCTION("""COMPUTED_VALUE"""),"Consumer Soluções Em Tecnologia Ltda")</f>
        <v>Consumer Soluções Em Tecnologia Ltda</v>
      </c>
      <c r="V8594" s="33">
        <f>IFERROR(__xludf.DUMMYFUNCTION("""COMPUTED_VALUE"""),1.0)</f>
        <v>1</v>
      </c>
      <c r="W8594" s="4" t="str">
        <f>IFERROR(__xludf.DUMMYFUNCTION("""COMPUTED_VALUE"""),"Consumer Soluções Em Tecnologia Ltda")</f>
        <v>Consumer Soluções Em Tecnologia Ltda</v>
      </c>
      <c r="X8594" s="33">
        <f>IFERROR(__xludf.DUMMYFUNCTION("""COMPUTED_VALUE"""),1.0)</f>
        <v>1</v>
      </c>
    </row>
    <row r="8595">
      <c r="K8595" s="4" t="str">
        <f>IFERROR(__xludf.DUMMYFUNCTION("""COMPUTED_VALUE"""),"RESTAURANTE TRADICAO")</f>
        <v>RESTAURANTE TRADICAO</v>
      </c>
      <c r="L8595" s="32">
        <f>IFERROR(__xludf.DUMMYFUNCTION("""COMPUTED_VALUE"""),1.0)</f>
        <v>1</v>
      </c>
      <c r="M8595" s="4" t="str">
        <f>IFERROR(__xludf.DUMMYFUNCTION("""COMPUTED_VALUE"""),"null")</f>
        <v>null</v>
      </c>
      <c r="N8595" s="33">
        <f>IFERROR(__xludf.DUMMYFUNCTION("""COMPUTED_VALUE"""),1.0)</f>
        <v>1</v>
      </c>
      <c r="O8595" s="4" t="str">
        <f>IFERROR(__xludf.DUMMYFUNCTION("""COMPUTED_VALUE"""),"null")</f>
        <v>null</v>
      </c>
      <c r="P8595" s="33">
        <f>IFERROR(__xludf.DUMMYFUNCTION("""COMPUTED_VALUE"""),1.0)</f>
        <v>1</v>
      </c>
      <c r="Q8595" s="4" t="str">
        <f>IFERROR(__xludf.DUMMYFUNCTION("""COMPUTED_VALUE"""),"Saipos Serviços De Software")</f>
        <v>Saipos Serviços De Software</v>
      </c>
      <c r="R8595" s="33">
        <f>IFERROR(__xludf.DUMMYFUNCTION("""COMPUTED_VALUE"""),1.0)</f>
        <v>1</v>
      </c>
      <c r="S8595" s="4" t="str">
        <f>IFERROR(__xludf.DUMMYFUNCTION("""COMPUTED_VALUE"""),"Saipos Serviços De Software")</f>
        <v>Saipos Serviços De Software</v>
      </c>
      <c r="T8595" s="33">
        <f>IFERROR(__xludf.DUMMYFUNCTION("""COMPUTED_VALUE"""),1.0)</f>
        <v>1</v>
      </c>
      <c r="U8595" s="4" t="str">
        <f>IFERROR(__xludf.DUMMYFUNCTION("""COMPUTED_VALUE"""),"Saipos Serviços De Software")</f>
        <v>Saipos Serviços De Software</v>
      </c>
      <c r="V8595" s="33">
        <f>IFERROR(__xludf.DUMMYFUNCTION("""COMPUTED_VALUE"""),1.0)</f>
        <v>1</v>
      </c>
      <c r="W8595" s="4" t="str">
        <f>IFERROR(__xludf.DUMMYFUNCTION("""COMPUTED_VALUE"""),"Saipos Serviços De Software")</f>
        <v>Saipos Serviços De Software</v>
      </c>
      <c r="X8595" s="33">
        <f>IFERROR(__xludf.DUMMYFUNCTION("""COMPUTED_VALUE"""),1.0)</f>
        <v>1</v>
      </c>
    </row>
    <row r="8596">
      <c r="K8596" s="4" t="str">
        <f>IFERROR(__xludf.DUMMYFUNCTION("""COMPUTED_VALUE"""),"GAMAN TEMAKERIA")</f>
        <v>GAMAN TEMAKERIA</v>
      </c>
      <c r="L8596" s="32">
        <f>IFERROR(__xludf.DUMMYFUNCTION("""COMPUTED_VALUE"""),1.0)</f>
        <v>1</v>
      </c>
      <c r="M8596" s="4" t="str">
        <f>IFERROR(__xludf.DUMMYFUNCTION("""COMPUTED_VALUE"""),"Instadelivery")</f>
        <v>Instadelivery</v>
      </c>
      <c r="N8596" s="33">
        <f>IFERROR(__xludf.DUMMYFUNCTION("""COMPUTED_VALUE"""),1.0)</f>
        <v>1</v>
      </c>
      <c r="O8596" s="4" t="str">
        <f>IFERROR(__xludf.DUMMYFUNCTION("""COMPUTED_VALUE"""),"Instadelivery")</f>
        <v>Instadelivery</v>
      </c>
      <c r="P8596" s="33">
        <f>IFERROR(__xludf.DUMMYFUNCTION("""COMPUTED_VALUE"""),1.0)</f>
        <v>1</v>
      </c>
      <c r="Q8596" s="4" t="str">
        <f>IFERROR(__xludf.DUMMYFUNCTION("""COMPUTED_VALUE"""),"Instadelivery")</f>
        <v>Instadelivery</v>
      </c>
      <c r="R8596" s="33">
        <f>IFERROR(__xludf.DUMMYFUNCTION("""COMPUTED_VALUE"""),1.0)</f>
        <v>1</v>
      </c>
      <c r="S8596" s="4" t="str">
        <f>IFERROR(__xludf.DUMMYFUNCTION("""COMPUTED_VALUE"""),"Instadelivery")</f>
        <v>Instadelivery</v>
      </c>
      <c r="T8596" s="33">
        <f>IFERROR(__xludf.DUMMYFUNCTION("""COMPUTED_VALUE"""),1.0)</f>
        <v>1</v>
      </c>
      <c r="U8596" s="4" t="str">
        <f>IFERROR(__xludf.DUMMYFUNCTION("""COMPUTED_VALUE"""),"Instadelivery")</f>
        <v>Instadelivery</v>
      </c>
      <c r="V8596" s="33">
        <f>IFERROR(__xludf.DUMMYFUNCTION("""COMPUTED_VALUE"""),1.0)</f>
        <v>1</v>
      </c>
      <c r="W8596" s="4" t="str">
        <f>IFERROR(__xludf.DUMMYFUNCTION("""COMPUTED_VALUE"""),"Instadelivery")</f>
        <v>Instadelivery</v>
      </c>
      <c r="X8596" s="33">
        <f>IFERROR(__xludf.DUMMYFUNCTION("""COMPUTED_VALUE"""),1.0)</f>
        <v>1</v>
      </c>
    </row>
    <row r="8597">
      <c r="K8597" s="4" t="str">
        <f>IFERROR(__xludf.DUMMYFUNCTION("""COMPUTED_VALUE"""),"FLIP BURGUER GALO ZE FRANGO NO BOX BUBBLE MIX")</f>
        <v>FLIP BURGUER GALO ZE FRANGO NO BOX BUBBLE MIX</v>
      </c>
      <c r="L8597" s="32">
        <f>IFERROR(__xludf.DUMMYFUNCTION("""COMPUTED_VALUE"""),1.0)</f>
        <v>1</v>
      </c>
      <c r="M8597" s="4" t="str">
        <f>IFERROR(__xludf.DUMMYFUNCTION("""COMPUTED_VALUE"""),"Saipos Serviços De Software")</f>
        <v>Saipos Serviços De Software</v>
      </c>
      <c r="N8597" s="33">
        <f>IFERROR(__xludf.DUMMYFUNCTION("""COMPUTED_VALUE"""),1.0)</f>
        <v>1</v>
      </c>
      <c r="O8597" s="4" t="str">
        <f>IFERROR(__xludf.DUMMYFUNCTION("""COMPUTED_VALUE"""),"Saipos Serviços De Software")</f>
        <v>Saipos Serviços De Software</v>
      </c>
      <c r="P8597" s="33">
        <f>IFERROR(__xludf.DUMMYFUNCTION("""COMPUTED_VALUE"""),1.0)</f>
        <v>1</v>
      </c>
      <c r="Q8597" s="4" t="str">
        <f>IFERROR(__xludf.DUMMYFUNCTION("""COMPUTED_VALUE"""),"Saipos Serviços De Software")</f>
        <v>Saipos Serviços De Software</v>
      </c>
      <c r="R8597" s="33">
        <f>IFERROR(__xludf.DUMMYFUNCTION("""COMPUTED_VALUE"""),1.0)</f>
        <v>1</v>
      </c>
      <c r="S8597" s="4" t="str">
        <f>IFERROR(__xludf.DUMMYFUNCTION("""COMPUTED_VALUE"""),"Saipos Serviços De Software")</f>
        <v>Saipos Serviços De Software</v>
      </c>
      <c r="T8597" s="33">
        <f>IFERROR(__xludf.DUMMYFUNCTION("""COMPUTED_VALUE"""),1.0)</f>
        <v>1</v>
      </c>
      <c r="U8597" s="4" t="str">
        <f>IFERROR(__xludf.DUMMYFUNCTION("""COMPUTED_VALUE"""),"Saipos Serviços De Software")</f>
        <v>Saipos Serviços De Software</v>
      </c>
      <c r="V8597" s="33">
        <f>IFERROR(__xludf.DUMMYFUNCTION("""COMPUTED_VALUE"""),1.0)</f>
        <v>1</v>
      </c>
      <c r="W8597" s="4" t="str">
        <f>IFERROR(__xludf.DUMMYFUNCTION("""COMPUTED_VALUE"""),"Saipos Serviços De Software")</f>
        <v>Saipos Serviços De Software</v>
      </c>
      <c r="X8597" s="33">
        <f>IFERROR(__xludf.DUMMYFUNCTION("""COMPUTED_VALUE"""),1.0)</f>
        <v>1</v>
      </c>
    </row>
    <row r="8598">
      <c r="K8598" s="4" t="str">
        <f>IFERROR(__xludf.DUMMYFUNCTION("""COMPUTED_VALUE"""),"RODEIO")</f>
        <v>RODEIO</v>
      </c>
      <c r="L8598" s="32">
        <f>IFERROR(__xludf.DUMMYFUNCTION("""COMPUTED_VALUE"""),1.0)</f>
        <v>1</v>
      </c>
      <c r="M8598" s="4" t="str">
        <f>IFERROR(__xludf.DUMMYFUNCTION("""COMPUTED_VALUE"""),"Ncr")</f>
        <v>Ncr</v>
      </c>
      <c r="N8598" s="33">
        <f>IFERROR(__xludf.DUMMYFUNCTION("""COMPUTED_VALUE"""),1.0)</f>
        <v>1</v>
      </c>
      <c r="O8598" s="4" t="str">
        <f>IFERROR(__xludf.DUMMYFUNCTION("""COMPUTED_VALUE"""),"Ncr")</f>
        <v>Ncr</v>
      </c>
      <c r="P8598" s="33">
        <f>IFERROR(__xludf.DUMMYFUNCTION("""COMPUTED_VALUE"""),1.0)</f>
        <v>1</v>
      </c>
      <c r="Q8598" s="4" t="str">
        <f>IFERROR(__xludf.DUMMYFUNCTION("""COMPUTED_VALUE"""),"Ncr")</f>
        <v>Ncr</v>
      </c>
      <c r="R8598" s="33">
        <f>IFERROR(__xludf.DUMMYFUNCTION("""COMPUTED_VALUE"""),1.0)</f>
        <v>1</v>
      </c>
      <c r="S8598" s="4" t="str">
        <f>IFERROR(__xludf.DUMMYFUNCTION("""COMPUTED_VALUE"""),"Ncr")</f>
        <v>Ncr</v>
      </c>
      <c r="T8598" s="33">
        <f>IFERROR(__xludf.DUMMYFUNCTION("""COMPUTED_VALUE"""),1.0)</f>
        <v>1</v>
      </c>
      <c r="U8598" s="4" t="str">
        <f>IFERROR(__xludf.DUMMYFUNCTION("""COMPUTED_VALUE"""),"Ncr")</f>
        <v>Ncr</v>
      </c>
      <c r="V8598" s="33">
        <f>IFERROR(__xludf.DUMMYFUNCTION("""COMPUTED_VALUE"""),1.0)</f>
        <v>1</v>
      </c>
      <c r="W8598" s="4" t="str">
        <f>IFERROR(__xludf.DUMMYFUNCTION("""COMPUTED_VALUE"""),"Ncr")</f>
        <v>Ncr</v>
      </c>
      <c r="X8598" s="33">
        <f>IFERROR(__xludf.DUMMYFUNCTION("""COMPUTED_VALUE"""),1.0)</f>
        <v>1</v>
      </c>
    </row>
    <row r="8599">
      <c r="K8599" s="4" t="str">
        <f>IFERROR(__xludf.DUMMYFUNCTION("""COMPUTED_VALUE"""),"AKA PIZZA PIZZARIA - ECOVILLE")</f>
        <v>AKA PIZZA PIZZARIA - ECOVILLE</v>
      </c>
      <c r="L8599" s="32">
        <f>IFERROR(__xludf.DUMMYFUNCTION("""COMPUTED_VALUE"""),1.0)</f>
        <v>1</v>
      </c>
      <c r="M8599" s="4" t="str">
        <f>IFERROR(__xludf.DUMMYFUNCTION("""COMPUTED_VALUE"""),"Instadelivery")</f>
        <v>Instadelivery</v>
      </c>
      <c r="N8599" s="33">
        <f>IFERROR(__xludf.DUMMYFUNCTION("""COMPUTED_VALUE"""),1.0)</f>
        <v>1</v>
      </c>
      <c r="O8599" s="4" t="str">
        <f>IFERROR(__xludf.DUMMYFUNCTION("""COMPUTED_VALUE"""),"Instadelivery")</f>
        <v>Instadelivery</v>
      </c>
      <c r="P8599" s="33">
        <f>IFERROR(__xludf.DUMMYFUNCTION("""COMPUTED_VALUE"""),1.0)</f>
        <v>1</v>
      </c>
      <c r="Q8599" s="4" t="str">
        <f>IFERROR(__xludf.DUMMYFUNCTION("""COMPUTED_VALUE"""),"Instadelivery")</f>
        <v>Instadelivery</v>
      </c>
      <c r="R8599" s="33">
        <f>IFERROR(__xludf.DUMMYFUNCTION("""COMPUTED_VALUE"""),1.0)</f>
        <v>1</v>
      </c>
      <c r="S8599" s="4" t="str">
        <f>IFERROR(__xludf.DUMMYFUNCTION("""COMPUTED_VALUE"""),"Instadelivery")</f>
        <v>Instadelivery</v>
      </c>
      <c r="T8599" s="33">
        <f>IFERROR(__xludf.DUMMYFUNCTION("""COMPUTED_VALUE"""),1.0)</f>
        <v>1</v>
      </c>
      <c r="U8599" s="4" t="str">
        <f>IFERROR(__xludf.DUMMYFUNCTION("""COMPUTED_VALUE"""),"Instadelivery")</f>
        <v>Instadelivery</v>
      </c>
      <c r="V8599" s="33">
        <f>IFERROR(__xludf.DUMMYFUNCTION("""COMPUTED_VALUE"""),1.0)</f>
        <v>1</v>
      </c>
      <c r="W8599" s="4" t="str">
        <f>IFERROR(__xludf.DUMMYFUNCTION("""COMPUTED_VALUE"""),"Instadelivery")</f>
        <v>Instadelivery</v>
      </c>
      <c r="X8599" s="33">
        <f>IFERROR(__xludf.DUMMYFUNCTION("""COMPUTED_VALUE"""),1.0)</f>
        <v>1</v>
      </c>
    </row>
    <row r="8600">
      <c r="K8600" s="4" t="str">
        <f>IFERROR(__xludf.DUMMYFUNCTION("""COMPUTED_VALUE"""),"HAMBURGUERIA MOVIES BURGUER")</f>
        <v>HAMBURGUERIA MOVIES BURGUER</v>
      </c>
      <c r="L8600" s="32">
        <f>IFERROR(__xludf.DUMMYFUNCTION("""COMPUTED_VALUE"""),1.0)</f>
        <v>1</v>
      </c>
      <c r="M8600" s="4" t="str">
        <f>IFERROR(__xludf.DUMMYFUNCTION("""COMPUTED_VALUE"""),"Anota Ai Solucoes Digitais S/a")</f>
        <v>Anota Ai Solucoes Digitais S/a</v>
      </c>
      <c r="N8600" s="33">
        <f>IFERROR(__xludf.DUMMYFUNCTION("""COMPUTED_VALUE"""),1.0)</f>
        <v>1</v>
      </c>
      <c r="O8600" s="4" t="str">
        <f>IFERROR(__xludf.DUMMYFUNCTION("""COMPUTED_VALUE"""),"Saipos Serviços De Software")</f>
        <v>Saipos Serviços De Software</v>
      </c>
      <c r="P8600" s="33">
        <f>IFERROR(__xludf.DUMMYFUNCTION("""COMPUTED_VALUE"""),1.0)</f>
        <v>1</v>
      </c>
      <c r="Q8600" s="4" t="str">
        <f>IFERROR(__xludf.DUMMYFUNCTION("""COMPUTED_VALUE"""),"Saipos Serviços De Software")</f>
        <v>Saipos Serviços De Software</v>
      </c>
      <c r="R8600" s="33">
        <f>IFERROR(__xludf.DUMMYFUNCTION("""COMPUTED_VALUE"""),1.0)</f>
        <v>1</v>
      </c>
      <c r="S8600" s="4" t="str">
        <f>IFERROR(__xludf.DUMMYFUNCTION("""COMPUTED_VALUE"""),"Saipos Serviços De Software")</f>
        <v>Saipos Serviços De Software</v>
      </c>
      <c r="T8600" s="33">
        <f>IFERROR(__xludf.DUMMYFUNCTION("""COMPUTED_VALUE"""),1.0)</f>
        <v>1</v>
      </c>
      <c r="U8600" s="4" t="str">
        <f>IFERROR(__xludf.DUMMYFUNCTION("""COMPUTED_VALUE"""),"Saipos Serviços De Software")</f>
        <v>Saipos Serviços De Software</v>
      </c>
      <c r="V8600" s="33">
        <f>IFERROR(__xludf.DUMMYFUNCTION("""COMPUTED_VALUE"""),1.0)</f>
        <v>1</v>
      </c>
      <c r="W8600" s="4" t="str">
        <f>IFERROR(__xludf.DUMMYFUNCTION("""COMPUTED_VALUE"""),"Saipos Serviços De Software")</f>
        <v>Saipos Serviços De Software</v>
      </c>
      <c r="X8600" s="33">
        <f>IFERROR(__xludf.DUMMYFUNCTION("""COMPUTED_VALUE"""),1.0)</f>
        <v>1</v>
      </c>
    </row>
    <row r="8601">
      <c r="K8601" s="4" t="str">
        <f>IFERROR(__xludf.DUMMYFUNCTION("""COMPUTED_VALUE"""),"MINI MENU - SUL")</f>
        <v>MINI MENU - SUL</v>
      </c>
      <c r="L8601" s="32">
        <f>IFERROR(__xludf.DUMMYFUNCTION("""COMPUTED_VALUE"""),1.0)</f>
        <v>1</v>
      </c>
      <c r="M8601" s="4" t="str">
        <f>IFERROR(__xludf.DUMMYFUNCTION("""COMPUTED_VALUE"""),"Saipos Serviços De Software")</f>
        <v>Saipos Serviços De Software</v>
      </c>
      <c r="N8601" s="33">
        <f>IFERROR(__xludf.DUMMYFUNCTION("""COMPUTED_VALUE"""),1.0)</f>
        <v>1</v>
      </c>
      <c r="O8601" s="4" t="str">
        <f>IFERROR(__xludf.DUMMYFUNCTION("""COMPUTED_VALUE"""),"Saipos Serviços De Software")</f>
        <v>Saipos Serviços De Software</v>
      </c>
      <c r="P8601" s="33">
        <f>IFERROR(__xludf.DUMMYFUNCTION("""COMPUTED_VALUE"""),1.0)</f>
        <v>1</v>
      </c>
      <c r="Q8601" s="4" t="str">
        <f>IFERROR(__xludf.DUMMYFUNCTION("""COMPUTED_VALUE"""),"Saipos Serviços De Software")</f>
        <v>Saipos Serviços De Software</v>
      </c>
      <c r="R8601" s="33">
        <f>IFERROR(__xludf.DUMMYFUNCTION("""COMPUTED_VALUE"""),1.0)</f>
        <v>1</v>
      </c>
      <c r="S8601" s="4" t="str">
        <f>IFERROR(__xludf.DUMMYFUNCTION("""COMPUTED_VALUE"""),"Saipos Serviços De Software")</f>
        <v>Saipos Serviços De Software</v>
      </c>
      <c r="T8601" s="33">
        <f>IFERROR(__xludf.DUMMYFUNCTION("""COMPUTED_VALUE"""),1.0)</f>
        <v>1</v>
      </c>
      <c r="U8601" s="4" t="str">
        <f>IFERROR(__xludf.DUMMYFUNCTION("""COMPUTED_VALUE"""),"Saipos Serviços De Software")</f>
        <v>Saipos Serviços De Software</v>
      </c>
      <c r="V8601" s="33">
        <f>IFERROR(__xludf.DUMMYFUNCTION("""COMPUTED_VALUE"""),1.0)</f>
        <v>1</v>
      </c>
      <c r="W8601" s="4" t="str">
        <f>IFERROR(__xludf.DUMMYFUNCTION("""COMPUTED_VALUE"""),"Saipos Serviços De Software")</f>
        <v>Saipos Serviços De Software</v>
      </c>
      <c r="X8601" s="33">
        <f>IFERROR(__xludf.DUMMYFUNCTION("""COMPUTED_VALUE"""),1.0)</f>
        <v>1</v>
      </c>
    </row>
    <row r="8602">
      <c r="K8602" s="4" t="str">
        <f>IFERROR(__xludf.DUMMYFUNCTION("""COMPUTED_VALUE"""),"HELP BURGER")</f>
        <v>HELP BURGER</v>
      </c>
      <c r="L8602" s="32">
        <f>IFERROR(__xludf.DUMMYFUNCTION("""COMPUTED_VALUE"""),1.0)</f>
        <v>1</v>
      </c>
      <c r="M8602" s="4" t="str">
        <f>IFERROR(__xludf.DUMMYFUNCTION("""COMPUTED_VALUE"""),"Yooga")</f>
        <v>Yooga</v>
      </c>
      <c r="N8602" s="33">
        <f>IFERROR(__xludf.DUMMYFUNCTION("""COMPUTED_VALUE"""),1.0)</f>
        <v>1</v>
      </c>
      <c r="O8602" s="4" t="str">
        <f>IFERROR(__xludf.DUMMYFUNCTION("""COMPUTED_VALUE"""),"Yooga")</f>
        <v>Yooga</v>
      </c>
      <c r="P8602" s="33">
        <f>IFERROR(__xludf.DUMMYFUNCTION("""COMPUTED_VALUE"""),1.0)</f>
        <v>1</v>
      </c>
      <c r="Q8602" s="4" t="str">
        <f>IFERROR(__xludf.DUMMYFUNCTION("""COMPUTED_VALUE"""),"Yooga")</f>
        <v>Yooga</v>
      </c>
      <c r="R8602" s="33">
        <f>IFERROR(__xludf.DUMMYFUNCTION("""COMPUTED_VALUE"""),1.0)</f>
        <v>1</v>
      </c>
      <c r="S8602" s="4" t="str">
        <f>IFERROR(__xludf.DUMMYFUNCTION("""COMPUTED_VALUE"""),"Yooga")</f>
        <v>Yooga</v>
      </c>
      <c r="T8602" s="33">
        <f>IFERROR(__xludf.DUMMYFUNCTION("""COMPUTED_VALUE"""),1.0)</f>
        <v>1</v>
      </c>
      <c r="U8602" s="4" t="str">
        <f>IFERROR(__xludf.DUMMYFUNCTION("""COMPUTED_VALUE"""),"Yooga")</f>
        <v>Yooga</v>
      </c>
      <c r="V8602" s="33">
        <f>IFERROR(__xludf.DUMMYFUNCTION("""COMPUTED_VALUE"""),1.0)</f>
        <v>1</v>
      </c>
      <c r="W8602" s="4" t="str">
        <f>IFERROR(__xludf.DUMMYFUNCTION("""COMPUTED_VALUE"""),"Yooga")</f>
        <v>Yooga</v>
      </c>
      <c r="X8602" s="33">
        <f>IFERROR(__xludf.DUMMYFUNCTION("""COMPUTED_VALUE"""),1.0)</f>
        <v>1</v>
      </c>
    </row>
    <row r="8603">
      <c r="K8603" s="4" t="str">
        <f>IFERROR(__xludf.DUMMYFUNCTION("""COMPUTED_VALUE"""),"COSTELARIA DOM FERNANDES")</f>
        <v>COSTELARIA DOM FERNANDES</v>
      </c>
      <c r="L8603" s="32">
        <f>IFERROR(__xludf.DUMMYFUNCTION("""COMPUTED_VALUE"""),1.0)</f>
        <v>1</v>
      </c>
      <c r="M8603" s="4" t="str">
        <f>IFERROR(__xludf.DUMMYFUNCTION("""COMPUTED_VALUE"""),"null")</f>
        <v>null</v>
      </c>
      <c r="N8603" s="33">
        <f>IFERROR(__xludf.DUMMYFUNCTION("""COMPUTED_VALUE"""),1.0)</f>
        <v>1</v>
      </c>
      <c r="O8603" s="4" t="str">
        <f>IFERROR(__xludf.DUMMYFUNCTION("""COMPUTED_VALUE"""),"null")</f>
        <v>null</v>
      </c>
      <c r="P8603" s="33">
        <f>IFERROR(__xludf.DUMMYFUNCTION("""COMPUTED_VALUE"""),1.0)</f>
        <v>1</v>
      </c>
      <c r="Q8603" s="4" t="str">
        <f>IFERROR(__xludf.DUMMYFUNCTION("""COMPUTED_VALUE"""),"null")</f>
        <v>null</v>
      </c>
      <c r="R8603" s="33">
        <f>IFERROR(__xludf.DUMMYFUNCTION("""COMPUTED_VALUE"""),1.0)</f>
        <v>1</v>
      </c>
      <c r="S8603" s="4" t="str">
        <f>IFERROR(__xludf.DUMMYFUNCTION("""COMPUTED_VALUE"""),"null")</f>
        <v>null</v>
      </c>
      <c r="T8603" s="33">
        <f>IFERROR(__xludf.DUMMYFUNCTION("""COMPUTED_VALUE"""),1.0)</f>
        <v>1</v>
      </c>
      <c r="U8603" s="4" t="str">
        <f>IFERROR(__xludf.DUMMYFUNCTION("""COMPUTED_VALUE"""),"Eclética Tecnologia")</f>
        <v>Eclética Tecnologia</v>
      </c>
      <c r="V8603" s="33">
        <f>IFERROR(__xludf.DUMMYFUNCTION("""COMPUTED_VALUE"""),1.0)</f>
        <v>1</v>
      </c>
      <c r="W8603" s="4" t="str">
        <f>IFERROR(__xludf.DUMMYFUNCTION("""COMPUTED_VALUE"""),"null")</f>
        <v>null</v>
      </c>
      <c r="X8603" s="33">
        <f>IFERROR(__xludf.DUMMYFUNCTION("""COMPUTED_VALUE"""),1.0)</f>
        <v>1</v>
      </c>
    </row>
    <row r="8604">
      <c r="K8604" s="4" t="str">
        <f>IFERROR(__xludf.DUMMYFUNCTION("""COMPUTED_VALUE"""),"TELE 40 PIZZARIA")</f>
        <v>TELE 40 PIZZARIA</v>
      </c>
      <c r="L8604" s="32">
        <f>IFERROR(__xludf.DUMMYFUNCTION("""COMPUTED_VALUE"""),1.0)</f>
        <v>1</v>
      </c>
      <c r="M8604" s="4" t="str">
        <f>IFERROR(__xludf.DUMMYFUNCTION("""COMPUTED_VALUE"""),"Cardápio Web")</f>
        <v>Cardápio Web</v>
      </c>
      <c r="N8604" s="33">
        <f>IFERROR(__xludf.DUMMYFUNCTION("""COMPUTED_VALUE"""),1.0)</f>
        <v>1</v>
      </c>
      <c r="O8604" s="4" t="str">
        <f>IFERROR(__xludf.DUMMYFUNCTION("""COMPUTED_VALUE"""),"Cardápio Web")</f>
        <v>Cardápio Web</v>
      </c>
      <c r="P8604" s="33">
        <f>IFERROR(__xludf.DUMMYFUNCTION("""COMPUTED_VALUE"""),1.0)</f>
        <v>1</v>
      </c>
      <c r="Q8604" s="4" t="str">
        <f>IFERROR(__xludf.DUMMYFUNCTION("""COMPUTED_VALUE"""),"Cardápio Web")</f>
        <v>Cardápio Web</v>
      </c>
      <c r="R8604" s="33">
        <f>IFERROR(__xludf.DUMMYFUNCTION("""COMPUTED_VALUE"""),1.0)</f>
        <v>1</v>
      </c>
      <c r="S8604" s="4" t="str">
        <f>IFERROR(__xludf.DUMMYFUNCTION("""COMPUTED_VALUE"""),"Cardápio Web")</f>
        <v>Cardápio Web</v>
      </c>
      <c r="T8604" s="33">
        <f>IFERROR(__xludf.DUMMYFUNCTION("""COMPUTED_VALUE"""),1.0)</f>
        <v>1</v>
      </c>
      <c r="U8604" s="4" t="str">
        <f>IFERROR(__xludf.DUMMYFUNCTION("""COMPUTED_VALUE"""),"Cardápio Web")</f>
        <v>Cardápio Web</v>
      </c>
      <c r="V8604" s="33">
        <f>IFERROR(__xludf.DUMMYFUNCTION("""COMPUTED_VALUE"""),1.0)</f>
        <v>1</v>
      </c>
      <c r="W8604" s="4" t="str">
        <f>IFERROR(__xludf.DUMMYFUNCTION("""COMPUTED_VALUE"""),"Cardápio Web")</f>
        <v>Cardápio Web</v>
      </c>
      <c r="X8604" s="33">
        <f>IFERROR(__xludf.DUMMYFUNCTION("""COMPUTED_VALUE"""),1.0)</f>
        <v>1</v>
      </c>
    </row>
    <row r="8605">
      <c r="K8605" s="4" t="str">
        <f>IFERROR(__xludf.DUMMYFUNCTION("""COMPUTED_VALUE"""),"CHAVEATS DOG")</f>
        <v>CHAVEATS DOG</v>
      </c>
      <c r="L8605" s="32">
        <f>IFERROR(__xludf.DUMMYFUNCTION("""COMPUTED_VALUE"""),1.0)</f>
        <v>1</v>
      </c>
      <c r="M8605" s="4" t="str">
        <f>IFERROR(__xludf.DUMMYFUNCTION("""COMPUTED_VALUE"""),"Catedral Automação")</f>
        <v>Catedral Automação</v>
      </c>
      <c r="N8605" s="33">
        <f>IFERROR(__xludf.DUMMYFUNCTION("""COMPUTED_VALUE"""),1.0)</f>
        <v>1</v>
      </c>
      <c r="O8605" s="4" t="str">
        <f>IFERROR(__xludf.DUMMYFUNCTION("""COMPUTED_VALUE"""),"Catedral Automação")</f>
        <v>Catedral Automação</v>
      </c>
      <c r="P8605" s="33">
        <f>IFERROR(__xludf.DUMMYFUNCTION("""COMPUTED_VALUE"""),1.0)</f>
        <v>1</v>
      </c>
      <c r="Q8605" s="4" t="str">
        <f>IFERROR(__xludf.DUMMYFUNCTION("""COMPUTED_VALUE"""),"Catedral Automação")</f>
        <v>Catedral Automação</v>
      </c>
      <c r="R8605" s="33">
        <f>IFERROR(__xludf.DUMMYFUNCTION("""COMPUTED_VALUE"""),1.0)</f>
        <v>1</v>
      </c>
      <c r="S8605" s="4" t="str">
        <f>IFERROR(__xludf.DUMMYFUNCTION("""COMPUTED_VALUE"""),"Catedral Automação")</f>
        <v>Catedral Automação</v>
      </c>
      <c r="T8605" s="33">
        <f>IFERROR(__xludf.DUMMYFUNCTION("""COMPUTED_VALUE"""),1.0)</f>
        <v>1</v>
      </c>
      <c r="U8605" s="4" t="str">
        <f>IFERROR(__xludf.DUMMYFUNCTION("""COMPUTED_VALUE"""),"Catedral Automação")</f>
        <v>Catedral Automação</v>
      </c>
      <c r="V8605" s="33">
        <f>IFERROR(__xludf.DUMMYFUNCTION("""COMPUTED_VALUE"""),1.0)</f>
        <v>1</v>
      </c>
      <c r="W8605" s="4" t="str">
        <f>IFERROR(__xludf.DUMMYFUNCTION("""COMPUTED_VALUE"""),"Catedral Automação")</f>
        <v>Catedral Automação</v>
      </c>
      <c r="X8605" s="33">
        <f>IFERROR(__xludf.DUMMYFUNCTION("""COMPUTED_VALUE"""),1.0)</f>
        <v>1</v>
      </c>
    </row>
    <row r="8606">
      <c r="K8606" s="4" t="str">
        <f>IFERROR(__xludf.DUMMYFUNCTION("""COMPUTED_VALUE"""),"WINGS BURGER 079")</f>
        <v>WINGS BURGER 079</v>
      </c>
      <c r="L8606" s="32">
        <f>IFERROR(__xludf.DUMMYFUNCTION("""COMPUTED_VALUE"""),1.0)</f>
        <v>1</v>
      </c>
      <c r="M8606" s="4" t="str">
        <f>IFERROR(__xludf.DUMMYFUNCTION("""COMPUTED_VALUE"""),"Yooga")</f>
        <v>Yooga</v>
      </c>
      <c r="N8606" s="33">
        <f>IFERROR(__xludf.DUMMYFUNCTION("""COMPUTED_VALUE"""),1.0)</f>
        <v>1</v>
      </c>
      <c r="O8606" s="4" t="str">
        <f>IFERROR(__xludf.DUMMYFUNCTION("""COMPUTED_VALUE"""),"Yooga")</f>
        <v>Yooga</v>
      </c>
      <c r="P8606" s="33">
        <f>IFERROR(__xludf.DUMMYFUNCTION("""COMPUTED_VALUE"""),1.0)</f>
        <v>1</v>
      </c>
      <c r="Q8606" s="4" t="str">
        <f>IFERROR(__xludf.DUMMYFUNCTION("""COMPUTED_VALUE"""),"null")</f>
        <v>null</v>
      </c>
      <c r="R8606" s="33">
        <f>IFERROR(__xludf.DUMMYFUNCTION("""COMPUTED_VALUE"""),1.0)</f>
        <v>1</v>
      </c>
      <c r="S8606" s="4" t="str">
        <f>IFERROR(__xludf.DUMMYFUNCTION("""COMPUTED_VALUE"""),"Yooga")</f>
        <v>Yooga</v>
      </c>
      <c r="T8606" s="33">
        <f>IFERROR(__xludf.DUMMYFUNCTION("""COMPUTED_VALUE"""),1.0)</f>
        <v>1</v>
      </c>
      <c r="U8606" s="4" t="str">
        <f>IFERROR(__xludf.DUMMYFUNCTION("""COMPUTED_VALUE"""),"Yooga")</f>
        <v>Yooga</v>
      </c>
      <c r="V8606" s="33">
        <f>IFERROR(__xludf.DUMMYFUNCTION("""COMPUTED_VALUE"""),1.0)</f>
        <v>1</v>
      </c>
      <c r="W8606" s="4" t="str">
        <f>IFERROR(__xludf.DUMMYFUNCTION("""COMPUTED_VALUE"""),"Yooga")</f>
        <v>Yooga</v>
      </c>
      <c r="X8606" s="33">
        <f>IFERROR(__xludf.DUMMYFUNCTION("""COMPUTED_VALUE"""),1.0)</f>
        <v>1</v>
      </c>
    </row>
    <row r="8607">
      <c r="K8607" s="4" t="str">
        <f>IFERROR(__xludf.DUMMYFUNCTION("""COMPUTED_VALUE"""),"CASA VIVANT GOURMET")</f>
        <v>CASA VIVANT GOURMET</v>
      </c>
      <c r="L8607" s="32">
        <f>IFERROR(__xludf.DUMMYFUNCTION("""COMPUTED_VALUE"""),1.0)</f>
        <v>1</v>
      </c>
      <c r="M8607" s="4" t="str">
        <f>IFERROR(__xludf.DUMMYFUNCTION("""COMPUTED_VALUE"""),"null")</f>
        <v>null</v>
      </c>
      <c r="N8607" s="33">
        <f>IFERROR(__xludf.DUMMYFUNCTION("""COMPUTED_VALUE"""),1.0)</f>
        <v>1</v>
      </c>
      <c r="O8607" s="4" t="str">
        <f>IFERROR(__xludf.DUMMYFUNCTION("""COMPUTED_VALUE"""),"Ncr")</f>
        <v>Ncr</v>
      </c>
      <c r="P8607" s="33">
        <f>IFERROR(__xludf.DUMMYFUNCTION("""COMPUTED_VALUE"""),1.0)</f>
        <v>1</v>
      </c>
      <c r="Q8607" s="4" t="str">
        <f>IFERROR(__xludf.DUMMYFUNCTION("""COMPUTED_VALUE"""),"Ncr")</f>
        <v>Ncr</v>
      </c>
      <c r="R8607" s="33">
        <f>IFERROR(__xludf.DUMMYFUNCTION("""COMPUTED_VALUE"""),1.0)</f>
        <v>1</v>
      </c>
      <c r="S8607" s="4" t="str">
        <f>IFERROR(__xludf.DUMMYFUNCTION("""COMPUTED_VALUE"""),"Ncr")</f>
        <v>Ncr</v>
      </c>
      <c r="T8607" s="33">
        <f>IFERROR(__xludf.DUMMYFUNCTION("""COMPUTED_VALUE"""),1.0)</f>
        <v>1</v>
      </c>
      <c r="U8607" s="4" t="str">
        <f>IFERROR(__xludf.DUMMYFUNCTION("""COMPUTED_VALUE"""),"Ncr")</f>
        <v>Ncr</v>
      </c>
      <c r="V8607" s="33">
        <f>IFERROR(__xludf.DUMMYFUNCTION("""COMPUTED_VALUE"""),1.0)</f>
        <v>1</v>
      </c>
      <c r="W8607" s="4" t="str">
        <f>IFERROR(__xludf.DUMMYFUNCTION("""COMPUTED_VALUE"""),"null")</f>
        <v>null</v>
      </c>
      <c r="X8607" s="33">
        <f>IFERROR(__xludf.DUMMYFUNCTION("""COMPUTED_VALUE"""),1.0)</f>
        <v>1</v>
      </c>
    </row>
    <row r="8608">
      <c r="K8608" s="4" t="str">
        <f>IFERROR(__xludf.DUMMYFUNCTION("""COMPUTED_VALUE"""),"MAO DE VACA DO SEU DEDE - FEIJOADA, PANELADA E FEIJAO VERDE")</f>
        <v>MAO DE VACA DO SEU DEDE - FEIJOADA, PANELADA E FEIJAO VERDE</v>
      </c>
      <c r="L8608" s="32">
        <f>IFERROR(__xludf.DUMMYFUNCTION("""COMPUTED_VALUE"""),1.0)</f>
        <v>1</v>
      </c>
      <c r="M8608" s="4" t="str">
        <f>IFERROR(__xludf.DUMMYFUNCTION("""COMPUTED_VALUE"""),"Agilizup Solucoes Ltda")</f>
        <v>Agilizup Solucoes Ltda</v>
      </c>
      <c r="N8608" s="33">
        <f>IFERROR(__xludf.DUMMYFUNCTION("""COMPUTED_VALUE"""),1.0)</f>
        <v>1</v>
      </c>
      <c r="O8608" s="4" t="str">
        <f>IFERROR(__xludf.DUMMYFUNCTION("""COMPUTED_VALUE"""),"Agilizup Solucoes Ltda")</f>
        <v>Agilizup Solucoes Ltda</v>
      </c>
      <c r="P8608" s="33">
        <f>IFERROR(__xludf.DUMMYFUNCTION("""COMPUTED_VALUE"""),1.0)</f>
        <v>1</v>
      </c>
      <c r="Q8608" s="4" t="str">
        <f>IFERROR(__xludf.DUMMYFUNCTION("""COMPUTED_VALUE"""),"Agilizup Solucoes Ltda")</f>
        <v>Agilizup Solucoes Ltda</v>
      </c>
      <c r="R8608" s="33">
        <f>IFERROR(__xludf.DUMMYFUNCTION("""COMPUTED_VALUE"""),1.0)</f>
        <v>1</v>
      </c>
      <c r="S8608" s="4" t="str">
        <f>IFERROR(__xludf.DUMMYFUNCTION("""COMPUTED_VALUE"""),"Agilizup Solucoes Ltda")</f>
        <v>Agilizup Solucoes Ltda</v>
      </c>
      <c r="T8608" s="33">
        <f>IFERROR(__xludf.DUMMYFUNCTION("""COMPUTED_VALUE"""),1.0)</f>
        <v>1</v>
      </c>
      <c r="U8608" s="4" t="str">
        <f>IFERROR(__xludf.DUMMYFUNCTION("""COMPUTED_VALUE"""),"Agilizup Solucoes Ltda")</f>
        <v>Agilizup Solucoes Ltda</v>
      </c>
      <c r="V8608" s="33">
        <f>IFERROR(__xludf.DUMMYFUNCTION("""COMPUTED_VALUE"""),1.0)</f>
        <v>1</v>
      </c>
      <c r="W8608" s="4" t="str">
        <f>IFERROR(__xludf.DUMMYFUNCTION("""COMPUTED_VALUE"""),"Agilizup Solucoes Ltda")</f>
        <v>Agilizup Solucoes Ltda</v>
      </c>
      <c r="X8608" s="33">
        <f>IFERROR(__xludf.DUMMYFUNCTION("""COMPUTED_VALUE"""),1.0)</f>
        <v>1</v>
      </c>
    </row>
    <row r="8609">
      <c r="K8609" s="4" t="str">
        <f>IFERROR(__xludf.DUMMYFUNCTION("""COMPUTED_VALUE"""),"PIZZA ORIGINAL FORNO A LENHA")</f>
        <v>PIZZA ORIGINAL FORNO A LENHA</v>
      </c>
      <c r="L8609" s="32">
        <f>IFERROR(__xludf.DUMMYFUNCTION("""COMPUTED_VALUE"""),1.0)</f>
        <v>1</v>
      </c>
      <c r="M8609" s="4" t="str">
        <f>IFERROR(__xludf.DUMMYFUNCTION("""COMPUTED_VALUE"""),"Cardápio Web")</f>
        <v>Cardápio Web</v>
      </c>
      <c r="N8609" s="33">
        <f>IFERROR(__xludf.DUMMYFUNCTION("""COMPUTED_VALUE"""),1.0)</f>
        <v>1</v>
      </c>
      <c r="O8609" s="4" t="str">
        <f>IFERROR(__xludf.DUMMYFUNCTION("""COMPUTED_VALUE"""),"Cardápio Web")</f>
        <v>Cardápio Web</v>
      </c>
      <c r="P8609" s="33">
        <f>IFERROR(__xludf.DUMMYFUNCTION("""COMPUTED_VALUE"""),1.0)</f>
        <v>1</v>
      </c>
      <c r="Q8609" s="4" t="str">
        <f>IFERROR(__xludf.DUMMYFUNCTION("""COMPUTED_VALUE"""),"Cardápio Web")</f>
        <v>Cardápio Web</v>
      </c>
      <c r="R8609" s="33">
        <f>IFERROR(__xludf.DUMMYFUNCTION("""COMPUTED_VALUE"""),1.0)</f>
        <v>1</v>
      </c>
      <c r="S8609" s="4" t="str">
        <f>IFERROR(__xludf.DUMMYFUNCTION("""COMPUTED_VALUE"""),"null")</f>
        <v>null</v>
      </c>
      <c r="T8609" s="33">
        <f>IFERROR(__xludf.DUMMYFUNCTION("""COMPUTED_VALUE"""),1.0)</f>
        <v>1</v>
      </c>
      <c r="U8609" s="4" t="str">
        <f>IFERROR(__xludf.DUMMYFUNCTION("""COMPUTED_VALUE"""),"null")</f>
        <v>null</v>
      </c>
      <c r="V8609" s="33">
        <f>IFERROR(__xludf.DUMMYFUNCTION("""COMPUTED_VALUE"""),1.0)</f>
        <v>1</v>
      </c>
      <c r="W8609" s="4" t="str">
        <f>IFERROR(__xludf.DUMMYFUNCTION("""COMPUTED_VALUE"""),"null")</f>
        <v>null</v>
      </c>
      <c r="X8609" s="33">
        <f>IFERROR(__xludf.DUMMYFUNCTION("""COMPUTED_VALUE"""),1.0)</f>
        <v>1</v>
      </c>
    </row>
    <row r="8610">
      <c r="K8610" s="4" t="str">
        <f>IFERROR(__xludf.DUMMYFUNCTION("""COMPUTED_VALUE"""),"JU SALGADOS E CIA")</f>
        <v>JU SALGADOS E CIA</v>
      </c>
      <c r="L8610" s="32">
        <f>IFERROR(__xludf.DUMMYFUNCTION("""COMPUTED_VALUE"""),1.0)</f>
        <v>1</v>
      </c>
      <c r="M8610" s="4" t="str">
        <f>IFERROR(__xludf.DUMMYFUNCTION("""COMPUTED_VALUE"""),"Anota Ai Solucoes Digitais S/a")</f>
        <v>Anota Ai Solucoes Digitais S/a</v>
      </c>
      <c r="N8610" s="33">
        <f>IFERROR(__xludf.DUMMYFUNCTION("""COMPUTED_VALUE"""),1.0)</f>
        <v>1</v>
      </c>
      <c r="O8610" s="4" t="str">
        <f>IFERROR(__xludf.DUMMYFUNCTION("""COMPUTED_VALUE"""),"Anota Ai Solucoes Digitais S/a")</f>
        <v>Anota Ai Solucoes Digitais S/a</v>
      </c>
      <c r="P8610" s="33">
        <f>IFERROR(__xludf.DUMMYFUNCTION("""COMPUTED_VALUE"""),1.0)</f>
        <v>1</v>
      </c>
      <c r="Q8610" s="4" t="str">
        <f>IFERROR(__xludf.DUMMYFUNCTION("""COMPUTED_VALUE"""),"Anota Ai Solucoes Digitais S/a")</f>
        <v>Anota Ai Solucoes Digitais S/a</v>
      </c>
      <c r="R8610" s="33">
        <f>IFERROR(__xludf.DUMMYFUNCTION("""COMPUTED_VALUE"""),1.0)</f>
        <v>1</v>
      </c>
      <c r="S8610" s="4" t="str">
        <f>IFERROR(__xludf.DUMMYFUNCTION("""COMPUTED_VALUE"""),"Anota Ai Solucoes Digitais S/a")</f>
        <v>Anota Ai Solucoes Digitais S/a</v>
      </c>
      <c r="T8610" s="33">
        <f>IFERROR(__xludf.DUMMYFUNCTION("""COMPUTED_VALUE"""),1.0)</f>
        <v>1</v>
      </c>
      <c r="U8610" s="4" t="str">
        <f>IFERROR(__xludf.DUMMYFUNCTION("""COMPUTED_VALUE"""),"Anota Ai Solucoes Digitais S/a")</f>
        <v>Anota Ai Solucoes Digitais S/a</v>
      </c>
      <c r="V8610" s="33">
        <f>IFERROR(__xludf.DUMMYFUNCTION("""COMPUTED_VALUE"""),1.0)</f>
        <v>1</v>
      </c>
      <c r="W8610" s="4" t="str">
        <f>IFERROR(__xludf.DUMMYFUNCTION("""COMPUTED_VALUE"""),"Anota Ai Solucoes Digitais S/a")</f>
        <v>Anota Ai Solucoes Digitais S/a</v>
      </c>
      <c r="X8610" s="33">
        <f>IFERROR(__xludf.DUMMYFUNCTION("""COMPUTED_VALUE"""),1.0)</f>
        <v>1</v>
      </c>
    </row>
    <row r="8611">
      <c r="K8611" s="4" t="str">
        <f>IFERROR(__xludf.DUMMYFUNCTION("""COMPUTED_VALUE"""),"DANDAN ACAI - LOJA 04 - GERALDO CARVALHO")</f>
        <v>DANDAN ACAI - LOJA 04 - GERALDO CARVALHO</v>
      </c>
      <c r="L8611" s="32">
        <f>IFERROR(__xludf.DUMMYFUNCTION("""COMPUTED_VALUE"""),1.0)</f>
        <v>1</v>
      </c>
      <c r="M8611" s="4" t="str">
        <f>IFERROR(__xludf.DUMMYFUNCTION("""COMPUTED_VALUE"""),"Cardápio Web")</f>
        <v>Cardápio Web</v>
      </c>
      <c r="N8611" s="33">
        <f>IFERROR(__xludf.DUMMYFUNCTION("""COMPUTED_VALUE"""),1.0)</f>
        <v>1</v>
      </c>
      <c r="O8611" s="4" t="str">
        <f>IFERROR(__xludf.DUMMYFUNCTION("""COMPUTED_VALUE"""),"Cardápio Web")</f>
        <v>Cardápio Web</v>
      </c>
      <c r="P8611" s="33">
        <f>IFERROR(__xludf.DUMMYFUNCTION("""COMPUTED_VALUE"""),1.0)</f>
        <v>1</v>
      </c>
      <c r="Q8611" s="4" t="str">
        <f>IFERROR(__xludf.DUMMYFUNCTION("""COMPUTED_VALUE"""),"Cardápio Web")</f>
        <v>Cardápio Web</v>
      </c>
      <c r="R8611" s="33">
        <f>IFERROR(__xludf.DUMMYFUNCTION("""COMPUTED_VALUE"""),1.0)</f>
        <v>1</v>
      </c>
      <c r="S8611" s="4" t="str">
        <f>IFERROR(__xludf.DUMMYFUNCTION("""COMPUTED_VALUE"""),"Cardápio Web")</f>
        <v>Cardápio Web</v>
      </c>
      <c r="T8611" s="33">
        <f>IFERROR(__xludf.DUMMYFUNCTION("""COMPUTED_VALUE"""),1.0)</f>
        <v>1</v>
      </c>
      <c r="U8611" s="4" t="str">
        <f>IFERROR(__xludf.DUMMYFUNCTION("""COMPUTED_VALUE"""),"Cardápio Web")</f>
        <v>Cardápio Web</v>
      </c>
      <c r="V8611" s="33">
        <f>IFERROR(__xludf.DUMMYFUNCTION("""COMPUTED_VALUE"""),1.0)</f>
        <v>1</v>
      </c>
      <c r="W8611" s="4" t="str">
        <f>IFERROR(__xludf.DUMMYFUNCTION("""COMPUTED_VALUE"""),"Cardápio Web")</f>
        <v>Cardápio Web</v>
      </c>
      <c r="X8611" s="33">
        <f>IFERROR(__xludf.DUMMYFUNCTION("""COMPUTED_VALUE"""),1.0)</f>
        <v>1</v>
      </c>
    </row>
    <row r="8612">
      <c r="K8612" s="4" t="str">
        <f>IFERROR(__xludf.DUMMYFUNCTION("""COMPUTED_VALUE"""),"BURG SESSION")</f>
        <v>BURG SESSION</v>
      </c>
      <c r="L8612" s="32">
        <f>IFERROR(__xludf.DUMMYFUNCTION("""COMPUTED_VALUE"""),1.0)</f>
        <v>1</v>
      </c>
      <c r="M8612" s="4" t="str">
        <f>IFERROR(__xludf.DUMMYFUNCTION("""COMPUTED_VALUE"""),"Saipos Serviços De Software")</f>
        <v>Saipos Serviços De Software</v>
      </c>
      <c r="N8612" s="33">
        <f>IFERROR(__xludf.DUMMYFUNCTION("""COMPUTED_VALUE"""),1.0)</f>
        <v>1</v>
      </c>
      <c r="O8612" s="4" t="str">
        <f>IFERROR(__xludf.DUMMYFUNCTION("""COMPUTED_VALUE"""),"Saipos Serviços De Software")</f>
        <v>Saipos Serviços De Software</v>
      </c>
      <c r="P8612" s="33">
        <f>IFERROR(__xludf.DUMMYFUNCTION("""COMPUTED_VALUE"""),1.0)</f>
        <v>1</v>
      </c>
      <c r="Q8612" s="4" t="str">
        <f>IFERROR(__xludf.DUMMYFUNCTION("""COMPUTED_VALUE"""),"null")</f>
        <v>null</v>
      </c>
      <c r="R8612" s="33">
        <f>IFERROR(__xludf.DUMMYFUNCTION("""COMPUTED_VALUE"""),1.0)</f>
        <v>1</v>
      </c>
      <c r="S8612" s="4" t="str">
        <f>IFERROR(__xludf.DUMMYFUNCTION("""COMPUTED_VALUE"""),"null")</f>
        <v>null</v>
      </c>
      <c r="T8612" s="33">
        <f>IFERROR(__xludf.DUMMYFUNCTION("""COMPUTED_VALUE"""),1.0)</f>
        <v>1</v>
      </c>
      <c r="U8612" s="4" t="str">
        <f>IFERROR(__xludf.DUMMYFUNCTION("""COMPUTED_VALUE"""),"null")</f>
        <v>null</v>
      </c>
      <c r="V8612" s="33">
        <f>IFERROR(__xludf.DUMMYFUNCTION("""COMPUTED_VALUE"""),1.0)</f>
        <v>1</v>
      </c>
      <c r="W8612" s="4" t="str">
        <f>IFERROR(__xludf.DUMMYFUNCTION("""COMPUTED_VALUE"""),"null")</f>
        <v>null</v>
      </c>
      <c r="X8612" s="33">
        <f>IFERROR(__xludf.DUMMYFUNCTION("""COMPUTED_VALUE"""),1.0)</f>
        <v>1</v>
      </c>
    </row>
    <row r="8613">
      <c r="K8613" s="4" t="str">
        <f>IFERROR(__xludf.DUMMYFUNCTION("""COMPUTED_VALUE"""),"XXXXXXXX")</f>
        <v>XXXXXXXX</v>
      </c>
      <c r="L8613" s="32">
        <f>IFERROR(__xludf.DUMMYFUNCTION("""COMPUTED_VALUE"""),1.0)</f>
        <v>1</v>
      </c>
      <c r="M8613" s="4" t="str">
        <f>IFERROR(__xludf.DUMMYFUNCTION("""COMPUTED_VALUE"""),"Saipos Serviços De Software")</f>
        <v>Saipos Serviços De Software</v>
      </c>
      <c r="N8613" s="33">
        <f>IFERROR(__xludf.DUMMYFUNCTION("""COMPUTED_VALUE"""),1.0)</f>
        <v>1</v>
      </c>
      <c r="O8613" s="4" t="str">
        <f>IFERROR(__xludf.DUMMYFUNCTION("""COMPUTED_VALUE"""),"null")</f>
        <v>null</v>
      </c>
      <c r="P8613" s="33">
        <f>IFERROR(__xludf.DUMMYFUNCTION("""COMPUTED_VALUE"""),1.0)</f>
        <v>1</v>
      </c>
      <c r="Q8613" s="4" t="str">
        <f>IFERROR(__xludf.DUMMYFUNCTION("""COMPUTED_VALUE"""),"Saipos Serviços De Software")</f>
        <v>Saipos Serviços De Software</v>
      </c>
      <c r="R8613" s="33">
        <f>IFERROR(__xludf.DUMMYFUNCTION("""COMPUTED_VALUE"""),1.0)</f>
        <v>1</v>
      </c>
      <c r="S8613" s="4" t="str">
        <f>IFERROR(__xludf.DUMMYFUNCTION("""COMPUTED_VALUE"""),"null")</f>
        <v>null</v>
      </c>
      <c r="T8613" s="33">
        <f>IFERROR(__xludf.DUMMYFUNCTION("""COMPUTED_VALUE"""),1.0)</f>
        <v>1</v>
      </c>
      <c r="U8613" s="4" t="str">
        <f>IFERROR(__xludf.DUMMYFUNCTION("""COMPUTED_VALUE"""),"null")</f>
        <v>null</v>
      </c>
      <c r="V8613" s="33">
        <f>IFERROR(__xludf.DUMMYFUNCTION("""COMPUTED_VALUE"""),1.0)</f>
        <v>1</v>
      </c>
      <c r="W8613" s="4" t="str">
        <f>IFERROR(__xludf.DUMMYFUNCTION("""COMPUTED_VALUE"""),"null")</f>
        <v>null</v>
      </c>
      <c r="X8613" s="33">
        <f>IFERROR(__xludf.DUMMYFUNCTION("""COMPUTED_VALUE"""),1.0)</f>
        <v>1</v>
      </c>
    </row>
    <row r="8614">
      <c r="K8614" s="4" t="str">
        <f>IFERROR(__xludf.DUMMYFUNCTION("""COMPUTED_VALUE"""),"JANTINHA DA FAMILIA")</f>
        <v>JANTINHA DA FAMILIA</v>
      </c>
      <c r="L8614" s="32">
        <f>IFERROR(__xludf.DUMMYFUNCTION("""COMPUTED_VALUE"""),1.0)</f>
        <v>1</v>
      </c>
      <c r="M8614" s="4" t="str">
        <f>IFERROR(__xludf.DUMMYFUNCTION("""COMPUTED_VALUE"""),"Anota Ai Solucoes Digitais S/a")</f>
        <v>Anota Ai Solucoes Digitais S/a</v>
      </c>
      <c r="N8614" s="33">
        <f>IFERROR(__xludf.DUMMYFUNCTION("""COMPUTED_VALUE"""),1.0)</f>
        <v>1</v>
      </c>
      <c r="O8614" s="4" t="str">
        <f>IFERROR(__xludf.DUMMYFUNCTION("""COMPUTED_VALUE"""),"Anota Ai Solucoes Digitais S/a")</f>
        <v>Anota Ai Solucoes Digitais S/a</v>
      </c>
      <c r="P8614" s="33">
        <f>IFERROR(__xludf.DUMMYFUNCTION("""COMPUTED_VALUE"""),1.0)</f>
        <v>1</v>
      </c>
      <c r="Q8614" s="4" t="str">
        <f>IFERROR(__xludf.DUMMYFUNCTION("""COMPUTED_VALUE"""),"Anota Ai Solucoes Digitais S/a")</f>
        <v>Anota Ai Solucoes Digitais S/a</v>
      </c>
      <c r="R8614" s="33">
        <f>IFERROR(__xludf.DUMMYFUNCTION("""COMPUTED_VALUE"""),1.0)</f>
        <v>1</v>
      </c>
      <c r="S8614" s="4" t="str">
        <f>IFERROR(__xludf.DUMMYFUNCTION("""COMPUTED_VALUE"""),"Anota Ai Solucoes Digitais S/a")</f>
        <v>Anota Ai Solucoes Digitais S/a</v>
      </c>
      <c r="T8614" s="33">
        <f>IFERROR(__xludf.DUMMYFUNCTION("""COMPUTED_VALUE"""),1.0)</f>
        <v>1</v>
      </c>
      <c r="U8614" s="4" t="str">
        <f>IFERROR(__xludf.DUMMYFUNCTION("""COMPUTED_VALUE"""),"Anota Ai Solucoes Digitais S/a")</f>
        <v>Anota Ai Solucoes Digitais S/a</v>
      </c>
      <c r="V8614" s="33">
        <f>IFERROR(__xludf.DUMMYFUNCTION("""COMPUTED_VALUE"""),1.0)</f>
        <v>1</v>
      </c>
      <c r="W8614" s="4" t="str">
        <f>IFERROR(__xludf.DUMMYFUNCTION("""COMPUTED_VALUE"""),"Anota Ai Solucoes Digitais S/a")</f>
        <v>Anota Ai Solucoes Digitais S/a</v>
      </c>
      <c r="X8614" s="33">
        <f>IFERROR(__xludf.DUMMYFUNCTION("""COMPUTED_VALUE"""),1.0)</f>
        <v>1</v>
      </c>
    </row>
    <row r="8615">
      <c r="K8615" s="4" t="str">
        <f>IFERROR(__xludf.DUMMYFUNCTION("""COMPUTED_VALUE"""),"MARIO MARCIO COUTINHO RAMOS 05218738786")</f>
        <v>MARIO MARCIO COUTINHO RAMOS 05218738786</v>
      </c>
      <c r="L8615" s="32">
        <f>IFERROR(__xludf.DUMMYFUNCTION("""COMPUTED_VALUE"""),1.0)</f>
        <v>1</v>
      </c>
      <c r="M8615" s="4" t="str">
        <f>IFERROR(__xludf.DUMMYFUNCTION("""COMPUTED_VALUE"""),"null")</f>
        <v>null</v>
      </c>
      <c r="N8615" s="33">
        <f>IFERROR(__xludf.DUMMYFUNCTION("""COMPUTED_VALUE"""),1.0)</f>
        <v>1</v>
      </c>
      <c r="O8615" s="4" t="str">
        <f>IFERROR(__xludf.DUMMYFUNCTION("""COMPUTED_VALUE"""),"null")</f>
        <v>null</v>
      </c>
      <c r="P8615" s="33">
        <f>IFERROR(__xludf.DUMMYFUNCTION("""COMPUTED_VALUE"""),1.0)</f>
        <v>1</v>
      </c>
      <c r="Q8615" s="4" t="str">
        <f>IFERROR(__xludf.DUMMYFUNCTION("""COMPUTED_VALUE"""),"null")</f>
        <v>null</v>
      </c>
      <c r="R8615" s="33">
        <f>IFERROR(__xludf.DUMMYFUNCTION("""COMPUTED_VALUE"""),1.0)</f>
        <v>1</v>
      </c>
      <c r="S8615" s="4" t="str">
        <f>IFERROR(__xludf.DUMMYFUNCTION("""COMPUTED_VALUE"""),"null")</f>
        <v>null</v>
      </c>
      <c r="T8615" s="33">
        <f>IFERROR(__xludf.DUMMYFUNCTION("""COMPUTED_VALUE"""),1.0)</f>
        <v>1</v>
      </c>
      <c r="U8615" s="4" t="str">
        <f>IFERROR(__xludf.DUMMYFUNCTION("""COMPUTED_VALUE"""),"Instadelivery")</f>
        <v>Instadelivery</v>
      </c>
      <c r="V8615" s="33">
        <f>IFERROR(__xludf.DUMMYFUNCTION("""COMPUTED_VALUE"""),1.0)</f>
        <v>1</v>
      </c>
      <c r="W8615" s="4" t="str">
        <f>IFERROR(__xludf.DUMMYFUNCTION("""COMPUTED_VALUE"""),"Instadelivery")</f>
        <v>Instadelivery</v>
      </c>
      <c r="X8615" s="33">
        <f>IFERROR(__xludf.DUMMYFUNCTION("""COMPUTED_VALUE"""),1.0)</f>
        <v>1</v>
      </c>
    </row>
    <row r="8616">
      <c r="K8616" s="4" t="str">
        <f>IFERROR(__xludf.DUMMYFUNCTION("""COMPUTED_VALUE"""),"CASA ORZO")</f>
        <v>CASA ORZO</v>
      </c>
      <c r="L8616" s="32">
        <f>IFERROR(__xludf.DUMMYFUNCTION("""COMPUTED_VALUE"""),1.0)</f>
        <v>1</v>
      </c>
      <c r="M8616" s="4" t="str">
        <f>IFERROR(__xludf.DUMMYFUNCTION("""COMPUTED_VALUE"""),"Stone Co.")</f>
        <v>Stone Co.</v>
      </c>
      <c r="N8616" s="33">
        <f>IFERROR(__xludf.DUMMYFUNCTION("""COMPUTED_VALUE"""),1.0)</f>
        <v>1</v>
      </c>
      <c r="O8616" s="4" t="str">
        <f>IFERROR(__xludf.DUMMYFUNCTION("""COMPUTED_VALUE"""),"Stone Co.")</f>
        <v>Stone Co.</v>
      </c>
      <c r="P8616" s="33">
        <f>IFERROR(__xludf.DUMMYFUNCTION("""COMPUTED_VALUE"""),1.0)</f>
        <v>1</v>
      </c>
      <c r="Q8616" s="4" t="str">
        <f>IFERROR(__xludf.DUMMYFUNCTION("""COMPUTED_VALUE"""),"Stone Co.")</f>
        <v>Stone Co.</v>
      </c>
      <c r="R8616" s="33">
        <f>IFERROR(__xludf.DUMMYFUNCTION("""COMPUTED_VALUE"""),1.0)</f>
        <v>1</v>
      </c>
      <c r="S8616" s="4" t="str">
        <f>IFERROR(__xludf.DUMMYFUNCTION("""COMPUTED_VALUE"""),"Stone Co.")</f>
        <v>Stone Co.</v>
      </c>
      <c r="T8616" s="33">
        <f>IFERROR(__xludf.DUMMYFUNCTION("""COMPUTED_VALUE"""),1.0)</f>
        <v>1</v>
      </c>
      <c r="U8616" s="4" t="str">
        <f>IFERROR(__xludf.DUMMYFUNCTION("""COMPUTED_VALUE"""),"Stone Co.")</f>
        <v>Stone Co.</v>
      </c>
      <c r="V8616" s="33">
        <f>IFERROR(__xludf.DUMMYFUNCTION("""COMPUTED_VALUE"""),1.0)</f>
        <v>1</v>
      </c>
      <c r="W8616" s="4" t="str">
        <f>IFERROR(__xludf.DUMMYFUNCTION("""COMPUTED_VALUE"""),"Stone Co.")</f>
        <v>Stone Co.</v>
      </c>
      <c r="X8616" s="33">
        <f>IFERROR(__xludf.DUMMYFUNCTION("""COMPUTED_VALUE"""),1.0)</f>
        <v>1</v>
      </c>
    </row>
    <row r="8617">
      <c r="K8617" s="4" t="str">
        <f>IFERROR(__xludf.DUMMYFUNCTION("""COMPUTED_VALUE"""),"GOCOFFEE MICHELANGELO")</f>
        <v>GOCOFFEE MICHELANGELO</v>
      </c>
      <c r="L8617" s="32">
        <f>IFERROR(__xludf.DUMMYFUNCTION("""COMPUTED_VALUE"""),1.0)</f>
        <v>1</v>
      </c>
      <c r="M8617" s="4" t="str">
        <f>IFERROR(__xludf.DUMMYFUNCTION("""COMPUTED_VALUE"""),"null")</f>
        <v>null</v>
      </c>
      <c r="N8617" s="33">
        <f>IFERROR(__xludf.DUMMYFUNCTION("""COMPUTED_VALUE"""),1.0)</f>
        <v>1</v>
      </c>
      <c r="O8617" s="4" t="str">
        <f>IFERROR(__xludf.DUMMYFUNCTION("""COMPUTED_VALUE"""),"null")</f>
        <v>null</v>
      </c>
      <c r="P8617" s="33">
        <f>IFERROR(__xludf.DUMMYFUNCTION("""COMPUTED_VALUE"""),1.0)</f>
        <v>1</v>
      </c>
      <c r="Q8617" s="4" t="str">
        <f>IFERROR(__xludf.DUMMYFUNCTION("""COMPUTED_VALUE"""),"null")</f>
        <v>null</v>
      </c>
      <c r="R8617" s="33">
        <f>IFERROR(__xludf.DUMMYFUNCTION("""COMPUTED_VALUE"""),1.0)</f>
        <v>1</v>
      </c>
      <c r="S8617" s="4" t="str">
        <f>IFERROR(__xludf.DUMMYFUNCTION("""COMPUTED_VALUE"""),"Nxz Sistema Inteligentes Ltda")</f>
        <v>Nxz Sistema Inteligentes Ltda</v>
      </c>
      <c r="T8617" s="33">
        <f>IFERROR(__xludf.DUMMYFUNCTION("""COMPUTED_VALUE"""),1.0)</f>
        <v>1</v>
      </c>
      <c r="U8617" s="4" t="str">
        <f>IFERROR(__xludf.DUMMYFUNCTION("""COMPUTED_VALUE"""),"Nxz Sistema Inteligentes Ltda")</f>
        <v>Nxz Sistema Inteligentes Ltda</v>
      </c>
      <c r="V8617" s="33">
        <f>IFERROR(__xludf.DUMMYFUNCTION("""COMPUTED_VALUE"""),1.0)</f>
        <v>1</v>
      </c>
      <c r="W8617" s="4" t="str">
        <f>IFERROR(__xludf.DUMMYFUNCTION("""COMPUTED_VALUE"""),"null")</f>
        <v>null</v>
      </c>
      <c r="X8617" s="33">
        <f>IFERROR(__xludf.DUMMYFUNCTION("""COMPUTED_VALUE"""),1.0)</f>
        <v>1</v>
      </c>
    </row>
    <row r="8618">
      <c r="K8618" s="4" t="str">
        <f>IFERROR(__xludf.DUMMYFUNCTION("""COMPUTED_VALUE"""),"JV LANCHES E PIZZAS")</f>
        <v>JV LANCHES E PIZZAS</v>
      </c>
      <c r="L8618" s="32">
        <f>IFERROR(__xludf.DUMMYFUNCTION("""COMPUTED_VALUE"""),1.0)</f>
        <v>1</v>
      </c>
      <c r="M8618" s="4" t="str">
        <f>IFERROR(__xludf.DUMMYFUNCTION("""COMPUTED_VALUE"""),"Anota Ai Solucoes Digitais S/a")</f>
        <v>Anota Ai Solucoes Digitais S/a</v>
      </c>
      <c r="N8618" s="33">
        <f>IFERROR(__xludf.DUMMYFUNCTION("""COMPUTED_VALUE"""),1.0)</f>
        <v>1</v>
      </c>
      <c r="O8618" s="4" t="str">
        <f>IFERROR(__xludf.DUMMYFUNCTION("""COMPUTED_VALUE"""),"Anota Ai Solucoes Digitais S/a")</f>
        <v>Anota Ai Solucoes Digitais S/a</v>
      </c>
      <c r="P8618" s="33">
        <f>IFERROR(__xludf.DUMMYFUNCTION("""COMPUTED_VALUE"""),1.0)</f>
        <v>1</v>
      </c>
      <c r="Q8618" s="4" t="str">
        <f>IFERROR(__xludf.DUMMYFUNCTION("""COMPUTED_VALUE"""),"Anota Ai Solucoes Digitais S/a")</f>
        <v>Anota Ai Solucoes Digitais S/a</v>
      </c>
      <c r="R8618" s="33">
        <f>IFERROR(__xludf.DUMMYFUNCTION("""COMPUTED_VALUE"""),1.0)</f>
        <v>1</v>
      </c>
      <c r="S8618" s="4" t="str">
        <f>IFERROR(__xludf.DUMMYFUNCTION("""COMPUTED_VALUE"""),"null")</f>
        <v>null</v>
      </c>
      <c r="T8618" s="33">
        <f>IFERROR(__xludf.DUMMYFUNCTION("""COMPUTED_VALUE"""),1.0)</f>
        <v>1</v>
      </c>
      <c r="U8618" s="4" t="str">
        <f>IFERROR(__xludf.DUMMYFUNCTION("""COMPUTED_VALUE"""),"null")</f>
        <v>null</v>
      </c>
      <c r="V8618" s="33">
        <f>IFERROR(__xludf.DUMMYFUNCTION("""COMPUTED_VALUE"""),1.0)</f>
        <v>1</v>
      </c>
      <c r="W8618" s="4" t="str">
        <f>IFERROR(__xludf.DUMMYFUNCTION("""COMPUTED_VALUE"""),"null")</f>
        <v>null</v>
      </c>
      <c r="X8618" s="33">
        <f>IFERROR(__xludf.DUMMYFUNCTION("""COMPUTED_VALUE"""),1.0)</f>
        <v>1</v>
      </c>
    </row>
    <row r="8619">
      <c r="K8619" s="4" t="str">
        <f>IFERROR(__xludf.DUMMYFUNCTION("""COMPUTED_VALUE"""),"RESTAURANTE E PICANHARIA DO NORTE")</f>
        <v>RESTAURANTE E PICANHARIA DO NORTE</v>
      </c>
      <c r="L8619" s="32">
        <f>IFERROR(__xludf.DUMMYFUNCTION("""COMPUTED_VALUE"""),1.0)</f>
        <v>1</v>
      </c>
      <c r="M8619" s="4" t="str">
        <f>IFERROR(__xludf.DUMMYFUNCTION("""COMPUTED_VALUE"""),"Vekttor")</f>
        <v>Vekttor</v>
      </c>
      <c r="N8619" s="33">
        <f>IFERROR(__xludf.DUMMYFUNCTION("""COMPUTED_VALUE"""),1.0)</f>
        <v>1</v>
      </c>
      <c r="O8619" s="4" t="str">
        <f>IFERROR(__xludf.DUMMYFUNCTION("""COMPUTED_VALUE"""),"Vekttor")</f>
        <v>Vekttor</v>
      </c>
      <c r="P8619" s="33">
        <f>IFERROR(__xludf.DUMMYFUNCTION("""COMPUTED_VALUE"""),1.0)</f>
        <v>1</v>
      </c>
      <c r="Q8619" s="4" t="str">
        <f>IFERROR(__xludf.DUMMYFUNCTION("""COMPUTED_VALUE"""),"Vekttor")</f>
        <v>Vekttor</v>
      </c>
      <c r="R8619" s="33">
        <f>IFERROR(__xludf.DUMMYFUNCTION("""COMPUTED_VALUE"""),1.0)</f>
        <v>1</v>
      </c>
      <c r="S8619" s="4" t="str">
        <f>IFERROR(__xludf.DUMMYFUNCTION("""COMPUTED_VALUE"""),"Vekttor")</f>
        <v>Vekttor</v>
      </c>
      <c r="T8619" s="33">
        <f>IFERROR(__xludf.DUMMYFUNCTION("""COMPUTED_VALUE"""),1.0)</f>
        <v>1</v>
      </c>
      <c r="U8619" s="4" t="str">
        <f>IFERROR(__xludf.DUMMYFUNCTION("""COMPUTED_VALUE"""),"Vekttor")</f>
        <v>Vekttor</v>
      </c>
      <c r="V8619" s="33">
        <f>IFERROR(__xludf.DUMMYFUNCTION("""COMPUTED_VALUE"""),1.0)</f>
        <v>1</v>
      </c>
      <c r="W8619" s="4" t="str">
        <f>IFERROR(__xludf.DUMMYFUNCTION("""COMPUTED_VALUE"""),"Vekttor")</f>
        <v>Vekttor</v>
      </c>
      <c r="X8619" s="33">
        <f>IFERROR(__xludf.DUMMYFUNCTION("""COMPUTED_VALUE"""),1.0)</f>
        <v>1</v>
      </c>
    </row>
    <row r="8620">
      <c r="K8620" s="4" t="str">
        <f>IFERROR(__xludf.DUMMYFUNCTION("""COMPUTED_VALUE"""),"DALULIE CONFEITARIA BOLO - PINHEIROS")</f>
        <v>DALULIE CONFEITARIA BOLO - PINHEIROS</v>
      </c>
      <c r="L8620" s="32">
        <f>IFERROR(__xludf.DUMMYFUNCTION("""COMPUTED_VALUE"""),1.0)</f>
        <v>1</v>
      </c>
      <c r="M8620" s="4" t="str">
        <f>IFERROR(__xludf.DUMMYFUNCTION("""COMPUTED_VALUE"""),"Saipos Serviços De Software")</f>
        <v>Saipos Serviços De Software</v>
      </c>
      <c r="N8620" s="33">
        <f>IFERROR(__xludf.DUMMYFUNCTION("""COMPUTED_VALUE"""),1.0)</f>
        <v>1</v>
      </c>
      <c r="O8620" s="4" t="str">
        <f>IFERROR(__xludf.DUMMYFUNCTION("""COMPUTED_VALUE"""),"Saipos Serviços De Software")</f>
        <v>Saipos Serviços De Software</v>
      </c>
      <c r="P8620" s="33">
        <f>IFERROR(__xludf.DUMMYFUNCTION("""COMPUTED_VALUE"""),1.0)</f>
        <v>1</v>
      </c>
      <c r="Q8620" s="4" t="str">
        <f>IFERROR(__xludf.DUMMYFUNCTION("""COMPUTED_VALUE"""),"Saipos Serviços De Software")</f>
        <v>Saipos Serviços De Software</v>
      </c>
      <c r="R8620" s="33">
        <f>IFERROR(__xludf.DUMMYFUNCTION("""COMPUTED_VALUE"""),1.0)</f>
        <v>1</v>
      </c>
      <c r="S8620" s="4" t="str">
        <f>IFERROR(__xludf.DUMMYFUNCTION("""COMPUTED_VALUE"""),"Saipos Serviços De Software")</f>
        <v>Saipos Serviços De Software</v>
      </c>
      <c r="T8620" s="33">
        <f>IFERROR(__xludf.DUMMYFUNCTION("""COMPUTED_VALUE"""),1.0)</f>
        <v>1</v>
      </c>
      <c r="U8620" s="4" t="str">
        <f>IFERROR(__xludf.DUMMYFUNCTION("""COMPUTED_VALUE"""),"Saipos Serviços De Software")</f>
        <v>Saipos Serviços De Software</v>
      </c>
      <c r="V8620" s="33">
        <f>IFERROR(__xludf.DUMMYFUNCTION("""COMPUTED_VALUE"""),1.0)</f>
        <v>1</v>
      </c>
      <c r="W8620" s="4" t="str">
        <f>IFERROR(__xludf.DUMMYFUNCTION("""COMPUTED_VALUE"""),"Saipos Serviços De Software")</f>
        <v>Saipos Serviços De Software</v>
      </c>
      <c r="X8620" s="33">
        <f>IFERROR(__xludf.DUMMYFUNCTION("""COMPUTED_VALUE"""),1.0)</f>
        <v>1</v>
      </c>
    </row>
    <row r="8621">
      <c r="K8621" s="4" t="str">
        <f>IFERROR(__xludf.DUMMYFUNCTION("""COMPUTED_VALUE"""),"YEX STEAK HOUSE")</f>
        <v>YEX STEAK HOUSE</v>
      </c>
      <c r="L8621" s="32">
        <f>IFERROR(__xludf.DUMMYFUNCTION("""COMPUTED_VALUE"""),1.0)</f>
        <v>1</v>
      </c>
      <c r="M8621" s="4" t="str">
        <f>IFERROR(__xludf.DUMMYFUNCTION("""COMPUTED_VALUE"""),"null")</f>
        <v>null</v>
      </c>
      <c r="N8621" s="33">
        <f>IFERROR(__xludf.DUMMYFUNCTION("""COMPUTED_VALUE"""),1.0)</f>
        <v>1</v>
      </c>
      <c r="O8621" s="4" t="str">
        <f>IFERROR(__xludf.DUMMYFUNCTION("""COMPUTED_VALUE"""),"null")</f>
        <v>null</v>
      </c>
      <c r="P8621" s="33">
        <f>IFERROR(__xludf.DUMMYFUNCTION("""COMPUTED_VALUE"""),1.0)</f>
        <v>1</v>
      </c>
      <c r="Q8621" s="4" t="str">
        <f>IFERROR(__xludf.DUMMYFUNCTION("""COMPUTED_VALUE"""),"null")</f>
        <v>null</v>
      </c>
      <c r="R8621" s="33">
        <f>IFERROR(__xludf.DUMMYFUNCTION("""COMPUTED_VALUE"""),1.0)</f>
        <v>1</v>
      </c>
      <c r="S8621" s="4" t="str">
        <f>IFERROR(__xludf.DUMMYFUNCTION("""COMPUTED_VALUE"""),"Ncr")</f>
        <v>Ncr</v>
      </c>
      <c r="T8621" s="33">
        <f>IFERROR(__xludf.DUMMYFUNCTION("""COMPUTED_VALUE"""),1.0)</f>
        <v>1</v>
      </c>
      <c r="U8621" s="4" t="str">
        <f>IFERROR(__xludf.DUMMYFUNCTION("""COMPUTED_VALUE"""),"Ncr")</f>
        <v>Ncr</v>
      </c>
      <c r="V8621" s="33">
        <f>IFERROR(__xludf.DUMMYFUNCTION("""COMPUTED_VALUE"""),1.0)</f>
        <v>1</v>
      </c>
      <c r="W8621" s="4" t="str">
        <f>IFERROR(__xludf.DUMMYFUNCTION("""COMPUTED_VALUE"""),"null")</f>
        <v>null</v>
      </c>
      <c r="X8621" s="33">
        <f>IFERROR(__xludf.DUMMYFUNCTION("""COMPUTED_VALUE"""),1.0)</f>
        <v>1</v>
      </c>
    </row>
    <row r="8622">
      <c r="K8622" s="4" t="str">
        <f>IFERROR(__xludf.DUMMYFUNCTION("""COMPUTED_VALUE"""),"BRANNA DOCERIA")</f>
        <v>BRANNA DOCERIA</v>
      </c>
      <c r="L8622" s="32">
        <f>IFERROR(__xludf.DUMMYFUNCTION("""COMPUTED_VALUE"""),1.0)</f>
        <v>1</v>
      </c>
      <c r="M8622" s="4" t="str">
        <f>IFERROR(__xludf.DUMMYFUNCTION("""COMPUTED_VALUE"""),"Cardápio Web")</f>
        <v>Cardápio Web</v>
      </c>
      <c r="N8622" s="33">
        <f>IFERROR(__xludf.DUMMYFUNCTION("""COMPUTED_VALUE"""),1.0)</f>
        <v>1</v>
      </c>
      <c r="O8622" s="4" t="str">
        <f>IFERROR(__xludf.DUMMYFUNCTION("""COMPUTED_VALUE"""),"Cardápio Web")</f>
        <v>Cardápio Web</v>
      </c>
      <c r="P8622" s="33">
        <f>IFERROR(__xludf.DUMMYFUNCTION("""COMPUTED_VALUE"""),1.0)</f>
        <v>1</v>
      </c>
      <c r="Q8622" s="4" t="str">
        <f>IFERROR(__xludf.DUMMYFUNCTION("""COMPUTED_VALUE"""),"Cardápio Web")</f>
        <v>Cardápio Web</v>
      </c>
      <c r="R8622" s="33">
        <f>IFERROR(__xludf.DUMMYFUNCTION("""COMPUTED_VALUE"""),1.0)</f>
        <v>1</v>
      </c>
      <c r="S8622" s="4" t="str">
        <f>IFERROR(__xludf.DUMMYFUNCTION("""COMPUTED_VALUE"""),"Cardápio Web")</f>
        <v>Cardápio Web</v>
      </c>
      <c r="T8622" s="33">
        <f>IFERROR(__xludf.DUMMYFUNCTION("""COMPUTED_VALUE"""),1.0)</f>
        <v>1</v>
      </c>
      <c r="U8622" s="4" t="str">
        <f>IFERROR(__xludf.DUMMYFUNCTION("""COMPUTED_VALUE"""),"Cardápio Web")</f>
        <v>Cardápio Web</v>
      </c>
      <c r="V8622" s="33">
        <f>IFERROR(__xludf.DUMMYFUNCTION("""COMPUTED_VALUE"""),1.0)</f>
        <v>1</v>
      </c>
      <c r="W8622" s="4" t="str">
        <f>IFERROR(__xludf.DUMMYFUNCTION("""COMPUTED_VALUE"""),"Cardápio Web")</f>
        <v>Cardápio Web</v>
      </c>
      <c r="X8622" s="33">
        <f>IFERROR(__xludf.DUMMYFUNCTION("""COMPUTED_VALUE"""),1.0)</f>
        <v>1</v>
      </c>
    </row>
    <row r="8623">
      <c r="K8623" s="4" t="str">
        <f>IFERROR(__xludf.DUMMYFUNCTION("""COMPUTED_VALUE"""),"CLUB HOUSE BURGER - LAR DO MELHOR LANCHE")</f>
        <v>CLUB HOUSE BURGER - LAR DO MELHOR LANCHE</v>
      </c>
      <c r="L8623" s="32">
        <f>IFERROR(__xludf.DUMMYFUNCTION("""COMPUTED_VALUE"""),1.0)</f>
        <v>1</v>
      </c>
      <c r="M8623" s="4" t="str">
        <f>IFERROR(__xludf.DUMMYFUNCTION("""COMPUTED_VALUE"""),"Brendi")</f>
        <v>Brendi</v>
      </c>
      <c r="N8623" s="33">
        <f>IFERROR(__xludf.DUMMYFUNCTION("""COMPUTED_VALUE"""),1.0)</f>
        <v>1</v>
      </c>
      <c r="O8623" s="4" t="str">
        <f>IFERROR(__xludf.DUMMYFUNCTION("""COMPUTED_VALUE"""),"Brendi")</f>
        <v>Brendi</v>
      </c>
      <c r="P8623" s="33">
        <f>IFERROR(__xludf.DUMMYFUNCTION("""COMPUTED_VALUE"""),1.0)</f>
        <v>1</v>
      </c>
      <c r="Q8623" s="4" t="str">
        <f>IFERROR(__xludf.DUMMYFUNCTION("""COMPUTED_VALUE"""),"null")</f>
        <v>null</v>
      </c>
      <c r="R8623" s="33">
        <f>IFERROR(__xludf.DUMMYFUNCTION("""COMPUTED_VALUE"""),1.0)</f>
        <v>1</v>
      </c>
      <c r="S8623" s="4" t="str">
        <f>IFERROR(__xludf.DUMMYFUNCTION("""COMPUTED_VALUE"""),"Brendi")</f>
        <v>Brendi</v>
      </c>
      <c r="T8623" s="33">
        <f>IFERROR(__xludf.DUMMYFUNCTION("""COMPUTED_VALUE"""),1.0)</f>
        <v>1</v>
      </c>
      <c r="U8623" s="4" t="str">
        <f>IFERROR(__xludf.DUMMYFUNCTION("""COMPUTED_VALUE"""),"Brendi")</f>
        <v>Brendi</v>
      </c>
      <c r="V8623" s="33">
        <f>IFERROR(__xludf.DUMMYFUNCTION("""COMPUTED_VALUE"""),1.0)</f>
        <v>1</v>
      </c>
      <c r="W8623" s="4" t="str">
        <f>IFERROR(__xludf.DUMMYFUNCTION("""COMPUTED_VALUE"""),"Brendi")</f>
        <v>Brendi</v>
      </c>
      <c r="X8623" s="33">
        <f>IFERROR(__xludf.DUMMYFUNCTION("""COMPUTED_VALUE"""),1.0)</f>
        <v>1</v>
      </c>
    </row>
    <row r="8624">
      <c r="K8624" s="4" t="str">
        <f>IFERROR(__xludf.DUMMYFUNCTION("""COMPUTED_VALUE"""),"SCOOBY DELIVERY - MEAIPE")</f>
        <v>SCOOBY DELIVERY - MEAIPE</v>
      </c>
      <c r="L8624" s="32">
        <f>IFERROR(__xludf.DUMMYFUNCTION("""COMPUTED_VALUE"""),1.0)</f>
        <v>1</v>
      </c>
      <c r="M8624" s="4" t="str">
        <f>IFERROR(__xludf.DUMMYFUNCTION("""COMPUTED_VALUE"""),"null")</f>
        <v>null</v>
      </c>
      <c r="N8624" s="33">
        <f>IFERROR(__xludf.DUMMYFUNCTION("""COMPUTED_VALUE"""),1.0)</f>
        <v>1</v>
      </c>
      <c r="O8624" s="4" t="str">
        <f>IFERROR(__xludf.DUMMYFUNCTION("""COMPUTED_VALUE"""),"Mp Multipedidos")</f>
        <v>Mp Multipedidos</v>
      </c>
      <c r="P8624" s="33">
        <f>IFERROR(__xludf.DUMMYFUNCTION("""COMPUTED_VALUE"""),1.0)</f>
        <v>1</v>
      </c>
      <c r="Q8624" s="4" t="str">
        <f>IFERROR(__xludf.DUMMYFUNCTION("""COMPUTED_VALUE"""),"Mp Multipedidos")</f>
        <v>Mp Multipedidos</v>
      </c>
      <c r="R8624" s="33">
        <f>IFERROR(__xludf.DUMMYFUNCTION("""COMPUTED_VALUE"""),1.0)</f>
        <v>1</v>
      </c>
      <c r="S8624" s="4" t="str">
        <f>IFERROR(__xludf.DUMMYFUNCTION("""COMPUTED_VALUE"""),"Mp Multipedidos")</f>
        <v>Mp Multipedidos</v>
      </c>
      <c r="T8624" s="33">
        <f>IFERROR(__xludf.DUMMYFUNCTION("""COMPUTED_VALUE"""),1.0)</f>
        <v>1</v>
      </c>
      <c r="U8624" s="4" t="str">
        <f>IFERROR(__xludf.DUMMYFUNCTION("""COMPUTED_VALUE"""),"Mp Multipedidos")</f>
        <v>Mp Multipedidos</v>
      </c>
      <c r="V8624" s="33">
        <f>IFERROR(__xludf.DUMMYFUNCTION("""COMPUTED_VALUE"""),1.0)</f>
        <v>1</v>
      </c>
      <c r="W8624" s="4" t="str">
        <f>IFERROR(__xludf.DUMMYFUNCTION("""COMPUTED_VALUE"""),"null")</f>
        <v>null</v>
      </c>
      <c r="X8624" s="33">
        <f>IFERROR(__xludf.DUMMYFUNCTION("""COMPUTED_VALUE"""),1.0)</f>
        <v>1</v>
      </c>
    </row>
    <row r="8625">
      <c r="K8625" s="4" t="str">
        <f>IFERROR(__xludf.DUMMYFUNCTION("""COMPUTED_VALUE"""),"ROTISSERIA FRANGAO ASSADO")</f>
        <v>ROTISSERIA FRANGAO ASSADO</v>
      </c>
      <c r="L8625" s="32">
        <f>IFERROR(__xludf.DUMMYFUNCTION("""COMPUTED_VALUE"""),1.0)</f>
        <v>1</v>
      </c>
      <c r="M8625" s="4" t="str">
        <f>IFERROR(__xludf.DUMMYFUNCTION("""COMPUTED_VALUE"""),"Anota Ai Solucoes Digitais S/a")</f>
        <v>Anota Ai Solucoes Digitais S/a</v>
      </c>
      <c r="N8625" s="33">
        <f>IFERROR(__xludf.DUMMYFUNCTION("""COMPUTED_VALUE"""),1.0)</f>
        <v>1</v>
      </c>
      <c r="O8625" s="4" t="str">
        <f>IFERROR(__xludf.DUMMYFUNCTION("""COMPUTED_VALUE"""),"Anota Ai Solucoes Digitais S/a")</f>
        <v>Anota Ai Solucoes Digitais S/a</v>
      </c>
      <c r="P8625" s="33">
        <f>IFERROR(__xludf.DUMMYFUNCTION("""COMPUTED_VALUE"""),1.0)</f>
        <v>1</v>
      </c>
      <c r="Q8625" s="4" t="str">
        <f>IFERROR(__xludf.DUMMYFUNCTION("""COMPUTED_VALUE"""),"null")</f>
        <v>null</v>
      </c>
      <c r="R8625" s="33">
        <f>IFERROR(__xludf.DUMMYFUNCTION("""COMPUTED_VALUE"""),1.0)</f>
        <v>1</v>
      </c>
      <c r="S8625" s="4" t="str">
        <f>IFERROR(__xludf.DUMMYFUNCTION("""COMPUTED_VALUE"""),"null")</f>
        <v>null</v>
      </c>
      <c r="T8625" s="33">
        <f>IFERROR(__xludf.DUMMYFUNCTION("""COMPUTED_VALUE"""),1.0)</f>
        <v>1</v>
      </c>
      <c r="U8625" s="4" t="str">
        <f>IFERROR(__xludf.DUMMYFUNCTION("""COMPUTED_VALUE"""),"Anota Ai Solucoes Digitais S/a")</f>
        <v>Anota Ai Solucoes Digitais S/a</v>
      </c>
      <c r="V8625" s="33">
        <f>IFERROR(__xludf.DUMMYFUNCTION("""COMPUTED_VALUE"""),1.0)</f>
        <v>1</v>
      </c>
      <c r="W8625" s="4" t="str">
        <f>IFERROR(__xludf.DUMMYFUNCTION("""COMPUTED_VALUE"""),"Anota Ai Solucoes Digitais S/a")</f>
        <v>Anota Ai Solucoes Digitais S/a</v>
      </c>
      <c r="X8625" s="33">
        <f>IFERROR(__xludf.DUMMYFUNCTION("""COMPUTED_VALUE"""),1.0)</f>
        <v>1</v>
      </c>
    </row>
    <row r="8626">
      <c r="K8626" s="4" t="str">
        <f>IFERROR(__xludf.DUMMYFUNCTION("""COMPUTED_VALUE"""),"PIZZARIA TRADICAO - DELIVERY DE PIZZA")</f>
        <v>PIZZARIA TRADICAO - DELIVERY DE PIZZA</v>
      </c>
      <c r="L8626" s="32">
        <f>IFERROR(__xludf.DUMMYFUNCTION("""COMPUTED_VALUE"""),1.0)</f>
        <v>1</v>
      </c>
      <c r="M8626" s="4" t="str">
        <f>IFERROR(__xludf.DUMMYFUNCTION("""COMPUTED_VALUE"""),"Saipos Serviços De Software")</f>
        <v>Saipos Serviços De Software</v>
      </c>
      <c r="N8626" s="33">
        <f>IFERROR(__xludf.DUMMYFUNCTION("""COMPUTED_VALUE"""),1.0)</f>
        <v>1</v>
      </c>
      <c r="O8626" s="4" t="str">
        <f>IFERROR(__xludf.DUMMYFUNCTION("""COMPUTED_VALUE"""),"Saipos Serviços De Software")</f>
        <v>Saipos Serviços De Software</v>
      </c>
      <c r="P8626" s="33">
        <f>IFERROR(__xludf.DUMMYFUNCTION("""COMPUTED_VALUE"""),1.0)</f>
        <v>1</v>
      </c>
      <c r="Q8626" s="4" t="str">
        <f>IFERROR(__xludf.DUMMYFUNCTION("""COMPUTED_VALUE"""),"Saipos Serviços De Software")</f>
        <v>Saipos Serviços De Software</v>
      </c>
      <c r="R8626" s="33">
        <f>IFERROR(__xludf.DUMMYFUNCTION("""COMPUTED_VALUE"""),1.0)</f>
        <v>1</v>
      </c>
      <c r="S8626" s="4" t="str">
        <f>IFERROR(__xludf.DUMMYFUNCTION("""COMPUTED_VALUE"""),"Saipos Serviços De Software")</f>
        <v>Saipos Serviços De Software</v>
      </c>
      <c r="T8626" s="33">
        <f>IFERROR(__xludf.DUMMYFUNCTION("""COMPUTED_VALUE"""),1.0)</f>
        <v>1</v>
      </c>
      <c r="U8626" s="4" t="str">
        <f>IFERROR(__xludf.DUMMYFUNCTION("""COMPUTED_VALUE"""),"null")</f>
        <v>null</v>
      </c>
      <c r="V8626" s="33">
        <f>IFERROR(__xludf.DUMMYFUNCTION("""COMPUTED_VALUE"""),1.0)</f>
        <v>1</v>
      </c>
      <c r="W8626" s="4" t="str">
        <f>IFERROR(__xludf.DUMMYFUNCTION("""COMPUTED_VALUE"""),"null")</f>
        <v>null</v>
      </c>
      <c r="X8626" s="33">
        <f>IFERROR(__xludf.DUMMYFUNCTION("""COMPUTED_VALUE"""),1.0)</f>
        <v>1</v>
      </c>
    </row>
    <row r="8627">
      <c r="K8627" s="4" t="str">
        <f>IFERROR(__xludf.DUMMYFUNCTION("""COMPUTED_VALUE"""),"KENO CACHORRO QUENTE")</f>
        <v>KENO CACHORRO QUENTE</v>
      </c>
      <c r="L8627" s="32">
        <f>IFERROR(__xludf.DUMMYFUNCTION("""COMPUTED_VALUE"""),1.0)</f>
        <v>1</v>
      </c>
      <c r="M8627" s="4" t="str">
        <f>IFERROR(__xludf.DUMMYFUNCTION("""COMPUTED_VALUE"""),"Anota Ai Solucoes Digitais S/a")</f>
        <v>Anota Ai Solucoes Digitais S/a</v>
      </c>
      <c r="N8627" s="33">
        <f>IFERROR(__xludf.DUMMYFUNCTION("""COMPUTED_VALUE"""),1.0)</f>
        <v>1</v>
      </c>
      <c r="O8627" s="4" t="str">
        <f>IFERROR(__xludf.DUMMYFUNCTION("""COMPUTED_VALUE"""),"null")</f>
        <v>null</v>
      </c>
      <c r="P8627" s="33">
        <f>IFERROR(__xludf.DUMMYFUNCTION("""COMPUTED_VALUE"""),1.0)</f>
        <v>1</v>
      </c>
      <c r="Q8627" s="4" t="str">
        <f>IFERROR(__xludf.DUMMYFUNCTION("""COMPUTED_VALUE"""),"null")</f>
        <v>null</v>
      </c>
      <c r="R8627" s="33">
        <f>IFERROR(__xludf.DUMMYFUNCTION("""COMPUTED_VALUE"""),1.0)</f>
        <v>1</v>
      </c>
      <c r="S8627" s="4" t="str">
        <f>IFERROR(__xludf.DUMMYFUNCTION("""COMPUTED_VALUE"""),"null")</f>
        <v>null</v>
      </c>
      <c r="T8627" s="33">
        <f>IFERROR(__xludf.DUMMYFUNCTION("""COMPUTED_VALUE"""),1.0)</f>
        <v>1</v>
      </c>
      <c r="U8627" s="4" t="str">
        <f>IFERROR(__xludf.DUMMYFUNCTION("""COMPUTED_VALUE"""),"null")</f>
        <v>null</v>
      </c>
      <c r="V8627" s="33">
        <f>IFERROR(__xludf.DUMMYFUNCTION("""COMPUTED_VALUE"""),1.0)</f>
        <v>1</v>
      </c>
      <c r="W8627" s="4" t="str">
        <f>IFERROR(__xludf.DUMMYFUNCTION("""COMPUTED_VALUE"""),"null")</f>
        <v>null</v>
      </c>
      <c r="X8627" s="33">
        <f>IFERROR(__xludf.DUMMYFUNCTION("""COMPUTED_VALUE"""),1.0)</f>
        <v>1</v>
      </c>
    </row>
    <row r="8628">
      <c r="K8628" s="4" t="str">
        <f>IFERROR(__xludf.DUMMYFUNCTION("""COMPUTED_VALUE"""),"PAZZO PIZZARIA - PIZZA")</f>
        <v>PAZZO PIZZARIA - PIZZA</v>
      </c>
      <c r="L8628" s="32">
        <f>IFERROR(__xludf.DUMMYFUNCTION("""COMPUTED_VALUE"""),1.0)</f>
        <v>1</v>
      </c>
      <c r="M8628" s="4" t="str">
        <f>IFERROR(__xludf.DUMMYFUNCTION("""COMPUTED_VALUE"""),"Cardápio Web")</f>
        <v>Cardápio Web</v>
      </c>
      <c r="N8628" s="33">
        <f>IFERROR(__xludf.DUMMYFUNCTION("""COMPUTED_VALUE"""),1.0)</f>
        <v>1</v>
      </c>
      <c r="O8628" s="4" t="str">
        <f>IFERROR(__xludf.DUMMYFUNCTION("""COMPUTED_VALUE"""),"Cardápio Web")</f>
        <v>Cardápio Web</v>
      </c>
      <c r="P8628" s="33">
        <f>IFERROR(__xludf.DUMMYFUNCTION("""COMPUTED_VALUE"""),1.0)</f>
        <v>1</v>
      </c>
      <c r="Q8628" s="4" t="str">
        <f>IFERROR(__xludf.DUMMYFUNCTION("""COMPUTED_VALUE"""),"Cardápio Web")</f>
        <v>Cardápio Web</v>
      </c>
      <c r="R8628" s="33">
        <f>IFERROR(__xludf.DUMMYFUNCTION("""COMPUTED_VALUE"""),1.0)</f>
        <v>1</v>
      </c>
      <c r="S8628" s="4" t="str">
        <f>IFERROR(__xludf.DUMMYFUNCTION("""COMPUTED_VALUE"""),"Cardápio Web")</f>
        <v>Cardápio Web</v>
      </c>
      <c r="T8628" s="33">
        <f>IFERROR(__xludf.DUMMYFUNCTION("""COMPUTED_VALUE"""),1.0)</f>
        <v>1</v>
      </c>
      <c r="U8628" s="4" t="str">
        <f>IFERROR(__xludf.DUMMYFUNCTION("""COMPUTED_VALUE"""),"Cardápio Web")</f>
        <v>Cardápio Web</v>
      </c>
      <c r="V8628" s="33">
        <f>IFERROR(__xludf.DUMMYFUNCTION("""COMPUTED_VALUE"""),1.0)</f>
        <v>1</v>
      </c>
      <c r="W8628" s="4" t="str">
        <f>IFERROR(__xludf.DUMMYFUNCTION("""COMPUTED_VALUE"""),"Cardápio Web")</f>
        <v>Cardápio Web</v>
      </c>
      <c r="X8628" s="33">
        <f>IFERROR(__xludf.DUMMYFUNCTION("""COMPUTED_VALUE"""),1.0)</f>
        <v>1</v>
      </c>
    </row>
    <row r="8629">
      <c r="K8629" s="4" t="str">
        <f>IFERROR(__xludf.DUMMYFUNCTION("""COMPUTED_VALUE"""),"SALGADOS E DOCES ISRAEL - 1")</f>
        <v>SALGADOS E DOCES ISRAEL - 1</v>
      </c>
      <c r="L8629" s="32">
        <f>IFERROR(__xludf.DUMMYFUNCTION("""COMPUTED_VALUE"""),1.0)</f>
        <v>1</v>
      </c>
      <c r="M8629" s="4" t="str">
        <f>IFERROR(__xludf.DUMMYFUNCTION("""COMPUTED_VALUE"""),"null")</f>
        <v>null</v>
      </c>
      <c r="N8629" s="33">
        <f>IFERROR(__xludf.DUMMYFUNCTION("""COMPUTED_VALUE"""),1.0)</f>
        <v>1</v>
      </c>
      <c r="O8629" s="4" t="str">
        <f>IFERROR(__xludf.DUMMYFUNCTION("""COMPUTED_VALUE"""),"null")</f>
        <v>null</v>
      </c>
      <c r="P8629" s="33">
        <f>IFERROR(__xludf.DUMMYFUNCTION("""COMPUTED_VALUE"""),1.0)</f>
        <v>1</v>
      </c>
      <c r="Q8629" s="4" t="str">
        <f>IFERROR(__xludf.DUMMYFUNCTION("""COMPUTED_VALUE"""),"null")</f>
        <v>null</v>
      </c>
      <c r="R8629" s="33">
        <f>IFERROR(__xludf.DUMMYFUNCTION("""COMPUTED_VALUE"""),1.0)</f>
        <v>1</v>
      </c>
      <c r="S8629" s="4" t="str">
        <f>IFERROR(__xludf.DUMMYFUNCTION("""COMPUTED_VALUE"""),"null")</f>
        <v>null</v>
      </c>
      <c r="T8629" s="33">
        <f>IFERROR(__xludf.DUMMYFUNCTION("""COMPUTED_VALUE"""),1.0)</f>
        <v>1</v>
      </c>
      <c r="U8629" s="4" t="str">
        <f>IFERROR(__xludf.DUMMYFUNCTION("""COMPUTED_VALUE"""),"null")</f>
        <v>null</v>
      </c>
      <c r="V8629" s="33">
        <f>IFERROR(__xludf.DUMMYFUNCTION("""COMPUTED_VALUE"""),1.0)</f>
        <v>1</v>
      </c>
      <c r="W8629" s="4" t="str">
        <f>IFERROR(__xludf.DUMMYFUNCTION("""COMPUTED_VALUE"""),"Cardápio Web")</f>
        <v>Cardápio Web</v>
      </c>
      <c r="X8629" s="33">
        <f>IFERROR(__xludf.DUMMYFUNCTION("""COMPUTED_VALUE"""),1.0)</f>
        <v>1</v>
      </c>
    </row>
    <row r="8630">
      <c r="K8630" s="4" t="str">
        <f>IFERROR(__xludf.DUMMYFUNCTION("""COMPUTED_VALUE"""),"CASTRO BURGER HAMBURGUERIA")</f>
        <v>CASTRO BURGER HAMBURGUERIA</v>
      </c>
      <c r="L8630" s="32">
        <f>IFERROR(__xludf.DUMMYFUNCTION("""COMPUTED_VALUE"""),1.0)</f>
        <v>1</v>
      </c>
      <c r="M8630" s="4" t="str">
        <f>IFERROR(__xludf.DUMMYFUNCTION("""COMPUTED_VALUE"""),"Oz Technology")</f>
        <v>Oz Technology</v>
      </c>
      <c r="N8630" s="33">
        <f>IFERROR(__xludf.DUMMYFUNCTION("""COMPUTED_VALUE"""),1.0)</f>
        <v>1</v>
      </c>
      <c r="O8630" s="4" t="str">
        <f>IFERROR(__xludf.DUMMYFUNCTION("""COMPUTED_VALUE"""),"Oz Technology")</f>
        <v>Oz Technology</v>
      </c>
      <c r="P8630" s="33">
        <f>IFERROR(__xludf.DUMMYFUNCTION("""COMPUTED_VALUE"""),1.0)</f>
        <v>1</v>
      </c>
      <c r="Q8630" s="4" t="str">
        <f>IFERROR(__xludf.DUMMYFUNCTION("""COMPUTED_VALUE"""),"Oz Technology")</f>
        <v>Oz Technology</v>
      </c>
      <c r="R8630" s="33">
        <f>IFERROR(__xludf.DUMMYFUNCTION("""COMPUTED_VALUE"""),1.0)</f>
        <v>1</v>
      </c>
      <c r="S8630" s="4" t="str">
        <f>IFERROR(__xludf.DUMMYFUNCTION("""COMPUTED_VALUE"""),"Oz Technology")</f>
        <v>Oz Technology</v>
      </c>
      <c r="T8630" s="33">
        <f>IFERROR(__xludf.DUMMYFUNCTION("""COMPUTED_VALUE"""),1.0)</f>
        <v>1</v>
      </c>
      <c r="U8630" s="4" t="str">
        <f>IFERROR(__xludf.DUMMYFUNCTION("""COMPUTED_VALUE"""),"null")</f>
        <v>null</v>
      </c>
      <c r="V8630" s="33">
        <f>IFERROR(__xludf.DUMMYFUNCTION("""COMPUTED_VALUE"""),1.0)</f>
        <v>1</v>
      </c>
      <c r="W8630" s="4" t="str">
        <f>IFERROR(__xludf.DUMMYFUNCTION("""COMPUTED_VALUE"""),"null")</f>
        <v>null</v>
      </c>
      <c r="X8630" s="33">
        <f>IFERROR(__xludf.DUMMYFUNCTION("""COMPUTED_VALUE"""),1.0)</f>
        <v>1</v>
      </c>
    </row>
    <row r="8631">
      <c r="K8631" s="4" t="str">
        <f>IFERROR(__xludf.DUMMYFUNCTION("""COMPUTED_VALUE"""),"DUWILL BURGER")</f>
        <v>DUWILL BURGER</v>
      </c>
      <c r="L8631" s="32">
        <f>IFERROR(__xludf.DUMMYFUNCTION("""COMPUTED_VALUE"""),1.0)</f>
        <v>1</v>
      </c>
      <c r="M8631" s="4" t="str">
        <f>IFERROR(__xludf.DUMMYFUNCTION("""COMPUTED_VALUE"""),"Suitable Tecnologia E Gestao")</f>
        <v>Suitable Tecnologia E Gestao</v>
      </c>
      <c r="N8631" s="33">
        <f>IFERROR(__xludf.DUMMYFUNCTION("""COMPUTED_VALUE"""),1.0)</f>
        <v>1</v>
      </c>
      <c r="O8631" s="4" t="str">
        <f>IFERROR(__xludf.DUMMYFUNCTION("""COMPUTED_VALUE"""),"Suitable Tecnologia E Gestao")</f>
        <v>Suitable Tecnologia E Gestao</v>
      </c>
      <c r="P8631" s="33">
        <f>IFERROR(__xludf.DUMMYFUNCTION("""COMPUTED_VALUE"""),1.0)</f>
        <v>1</v>
      </c>
      <c r="Q8631" s="4" t="str">
        <f>IFERROR(__xludf.DUMMYFUNCTION("""COMPUTED_VALUE"""),"Suitable Tecnologia E Gestao")</f>
        <v>Suitable Tecnologia E Gestao</v>
      </c>
      <c r="R8631" s="33">
        <f>IFERROR(__xludf.DUMMYFUNCTION("""COMPUTED_VALUE"""),1.0)</f>
        <v>1</v>
      </c>
      <c r="S8631" s="4" t="str">
        <f>IFERROR(__xludf.DUMMYFUNCTION("""COMPUTED_VALUE"""),"Suitable Tecnologia E Gestao")</f>
        <v>Suitable Tecnologia E Gestao</v>
      </c>
      <c r="T8631" s="33">
        <f>IFERROR(__xludf.DUMMYFUNCTION("""COMPUTED_VALUE"""),1.0)</f>
        <v>1</v>
      </c>
      <c r="U8631" s="4" t="str">
        <f>IFERROR(__xludf.DUMMYFUNCTION("""COMPUTED_VALUE"""),"Suitable Tecnologia E Gestao")</f>
        <v>Suitable Tecnologia E Gestao</v>
      </c>
      <c r="V8631" s="33">
        <f>IFERROR(__xludf.DUMMYFUNCTION("""COMPUTED_VALUE"""),1.0)</f>
        <v>1</v>
      </c>
      <c r="W8631" s="4" t="str">
        <f>IFERROR(__xludf.DUMMYFUNCTION("""COMPUTED_VALUE"""),"null")</f>
        <v>null</v>
      </c>
      <c r="X8631" s="33">
        <f>IFERROR(__xludf.DUMMYFUNCTION("""COMPUTED_VALUE"""),1.0)</f>
        <v>1</v>
      </c>
    </row>
    <row r="8632">
      <c r="K8632" s="4" t="str">
        <f>IFERROR(__xludf.DUMMYFUNCTION("""COMPUTED_VALUE"""),"SHOWRRASCAO - BURGUER")</f>
        <v>SHOWRRASCAO - BURGUER</v>
      </c>
      <c r="L8632" s="32">
        <f>IFERROR(__xludf.DUMMYFUNCTION("""COMPUTED_VALUE"""),1.0)</f>
        <v>1</v>
      </c>
      <c r="M8632" s="4" t="str">
        <f>IFERROR(__xludf.DUMMYFUNCTION("""COMPUTED_VALUE"""),"Gama Tecnologias Ltda")</f>
        <v>Gama Tecnologias Ltda</v>
      </c>
      <c r="N8632" s="33">
        <f>IFERROR(__xludf.DUMMYFUNCTION("""COMPUTED_VALUE"""),1.0)</f>
        <v>1</v>
      </c>
      <c r="O8632" s="4" t="str">
        <f>IFERROR(__xludf.DUMMYFUNCTION("""COMPUTED_VALUE"""),"Gama Tecnologias Ltda")</f>
        <v>Gama Tecnologias Ltda</v>
      </c>
      <c r="P8632" s="33">
        <f>IFERROR(__xludf.DUMMYFUNCTION("""COMPUTED_VALUE"""),1.0)</f>
        <v>1</v>
      </c>
      <c r="Q8632" s="4" t="str">
        <f>IFERROR(__xludf.DUMMYFUNCTION("""COMPUTED_VALUE"""),"Gama Tecnologias Ltda")</f>
        <v>Gama Tecnologias Ltda</v>
      </c>
      <c r="R8632" s="33">
        <f>IFERROR(__xludf.DUMMYFUNCTION("""COMPUTED_VALUE"""),1.0)</f>
        <v>1</v>
      </c>
      <c r="S8632" s="4" t="str">
        <f>IFERROR(__xludf.DUMMYFUNCTION("""COMPUTED_VALUE"""),"Gama Tecnologias Ltda")</f>
        <v>Gama Tecnologias Ltda</v>
      </c>
      <c r="T8632" s="33">
        <f>IFERROR(__xludf.DUMMYFUNCTION("""COMPUTED_VALUE"""),1.0)</f>
        <v>1</v>
      </c>
      <c r="U8632" s="4" t="str">
        <f>IFERROR(__xludf.DUMMYFUNCTION("""COMPUTED_VALUE"""),"Gama Tecnologias Ltda")</f>
        <v>Gama Tecnologias Ltda</v>
      </c>
      <c r="V8632" s="33">
        <f>IFERROR(__xludf.DUMMYFUNCTION("""COMPUTED_VALUE"""),1.0)</f>
        <v>1</v>
      </c>
      <c r="W8632" s="4" t="str">
        <f>IFERROR(__xludf.DUMMYFUNCTION("""COMPUTED_VALUE"""),"Gama Tecnologias Ltda")</f>
        <v>Gama Tecnologias Ltda</v>
      </c>
      <c r="X8632" s="33">
        <f>IFERROR(__xludf.DUMMYFUNCTION("""COMPUTED_VALUE"""),1.0)</f>
        <v>1</v>
      </c>
    </row>
    <row r="8633">
      <c r="K8633" s="4" t="str">
        <f>IFERROR(__xludf.DUMMYFUNCTION("""COMPUTED_VALUE"""),"AMADODOCES")</f>
        <v>AMADODOCES</v>
      </c>
      <c r="L8633" s="32">
        <f>IFERROR(__xludf.DUMMYFUNCTION("""COMPUTED_VALUE"""),1.0)</f>
        <v>1</v>
      </c>
      <c r="M8633" s="4" t="str">
        <f>IFERROR(__xludf.DUMMYFUNCTION("""COMPUTED_VALUE"""),"null")</f>
        <v>null</v>
      </c>
      <c r="N8633" s="33">
        <f>IFERROR(__xludf.DUMMYFUNCTION("""COMPUTED_VALUE"""),1.0)</f>
        <v>1</v>
      </c>
      <c r="O8633" s="4" t="str">
        <f>IFERROR(__xludf.DUMMYFUNCTION("""COMPUTED_VALUE"""),"null")</f>
        <v>null</v>
      </c>
      <c r="P8633" s="33">
        <f>IFERROR(__xludf.DUMMYFUNCTION("""COMPUTED_VALUE"""),1.0)</f>
        <v>1</v>
      </c>
      <c r="Q8633" s="4" t="str">
        <f>IFERROR(__xludf.DUMMYFUNCTION("""COMPUTED_VALUE"""),"Instadelivery")</f>
        <v>Instadelivery</v>
      </c>
      <c r="R8633" s="33">
        <f>IFERROR(__xludf.DUMMYFUNCTION("""COMPUTED_VALUE"""),1.0)</f>
        <v>1</v>
      </c>
      <c r="S8633" s="4" t="str">
        <f>IFERROR(__xludf.DUMMYFUNCTION("""COMPUTED_VALUE"""),"Instadelivery")</f>
        <v>Instadelivery</v>
      </c>
      <c r="T8633" s="33">
        <f>IFERROR(__xludf.DUMMYFUNCTION("""COMPUTED_VALUE"""),1.0)</f>
        <v>1</v>
      </c>
      <c r="U8633" s="4" t="str">
        <f>IFERROR(__xludf.DUMMYFUNCTION("""COMPUTED_VALUE"""),"null")</f>
        <v>null</v>
      </c>
      <c r="V8633" s="33">
        <f>IFERROR(__xludf.DUMMYFUNCTION("""COMPUTED_VALUE"""),1.0)</f>
        <v>1</v>
      </c>
      <c r="W8633" s="4" t="str">
        <f>IFERROR(__xludf.DUMMYFUNCTION("""COMPUTED_VALUE"""),"null")</f>
        <v>null</v>
      </c>
      <c r="X8633" s="33">
        <f>IFERROR(__xludf.DUMMYFUNCTION("""COMPUTED_VALUE"""),1.0)</f>
        <v>1</v>
      </c>
    </row>
    <row r="8634">
      <c r="K8634" s="4" t="str">
        <f>IFERROR(__xludf.DUMMYFUNCTION("""COMPUTED_VALUE"""),"PIZZA FACIL CENTRO - PIZZAS C 50 OFF")</f>
        <v>PIZZA FACIL CENTRO - PIZZAS C 50 OFF</v>
      </c>
      <c r="L8634" s="32">
        <f>IFERROR(__xludf.DUMMYFUNCTION("""COMPUTED_VALUE"""),1.0)</f>
        <v>1</v>
      </c>
      <c r="M8634" s="4" t="str">
        <f>IFERROR(__xludf.DUMMYFUNCTION("""COMPUTED_VALUE"""),"Saipos Serviços De Software")</f>
        <v>Saipos Serviços De Software</v>
      </c>
      <c r="N8634" s="33">
        <f>IFERROR(__xludf.DUMMYFUNCTION("""COMPUTED_VALUE"""),1.0)</f>
        <v>1</v>
      </c>
      <c r="O8634" s="4" t="str">
        <f>IFERROR(__xludf.DUMMYFUNCTION("""COMPUTED_VALUE"""),"Saipos Serviços De Software")</f>
        <v>Saipos Serviços De Software</v>
      </c>
      <c r="P8634" s="33">
        <f>IFERROR(__xludf.DUMMYFUNCTION("""COMPUTED_VALUE"""),1.0)</f>
        <v>1</v>
      </c>
      <c r="Q8634" s="4" t="str">
        <f>IFERROR(__xludf.DUMMYFUNCTION("""COMPUTED_VALUE"""),"Saipos Serviços De Software")</f>
        <v>Saipos Serviços De Software</v>
      </c>
      <c r="R8634" s="33">
        <f>IFERROR(__xludf.DUMMYFUNCTION("""COMPUTED_VALUE"""),1.0)</f>
        <v>1</v>
      </c>
      <c r="S8634" s="4" t="str">
        <f>IFERROR(__xludf.DUMMYFUNCTION("""COMPUTED_VALUE"""),"Saipos Serviços De Software")</f>
        <v>Saipos Serviços De Software</v>
      </c>
      <c r="T8634" s="33">
        <f>IFERROR(__xludf.DUMMYFUNCTION("""COMPUTED_VALUE"""),1.0)</f>
        <v>1</v>
      </c>
      <c r="U8634" s="4" t="str">
        <f>IFERROR(__xludf.DUMMYFUNCTION("""COMPUTED_VALUE"""),"Saipos Serviços De Software")</f>
        <v>Saipos Serviços De Software</v>
      </c>
      <c r="V8634" s="33">
        <f>IFERROR(__xludf.DUMMYFUNCTION("""COMPUTED_VALUE"""),1.0)</f>
        <v>1</v>
      </c>
      <c r="W8634" s="4" t="str">
        <f>IFERROR(__xludf.DUMMYFUNCTION("""COMPUTED_VALUE"""),"Saipos Serviços De Software")</f>
        <v>Saipos Serviços De Software</v>
      </c>
      <c r="X8634" s="33">
        <f>IFERROR(__xludf.DUMMYFUNCTION("""COMPUTED_VALUE"""),1.0)</f>
        <v>1</v>
      </c>
    </row>
    <row r="8635">
      <c r="K8635" s="4" t="str">
        <f>IFERROR(__xludf.DUMMYFUNCTION("""COMPUTED_VALUE"""),"BAR DO DANTE")</f>
        <v>BAR DO DANTE</v>
      </c>
      <c r="L8635" s="32">
        <f>IFERROR(__xludf.DUMMYFUNCTION("""COMPUTED_VALUE"""),1.0)</f>
        <v>1</v>
      </c>
      <c r="M8635" s="4" t="str">
        <f>IFERROR(__xludf.DUMMYFUNCTION("""COMPUTED_VALUE"""),"Sagres Automação Comercial")</f>
        <v>Sagres Automação Comercial</v>
      </c>
      <c r="N8635" s="33">
        <f>IFERROR(__xludf.DUMMYFUNCTION("""COMPUTED_VALUE"""),1.0)</f>
        <v>1</v>
      </c>
      <c r="O8635" s="4" t="str">
        <f>IFERROR(__xludf.DUMMYFUNCTION("""COMPUTED_VALUE"""),"Sagres Automação Comercial")</f>
        <v>Sagres Automação Comercial</v>
      </c>
      <c r="P8635" s="33">
        <f>IFERROR(__xludf.DUMMYFUNCTION("""COMPUTED_VALUE"""),1.0)</f>
        <v>1</v>
      </c>
      <c r="Q8635" s="4" t="str">
        <f>IFERROR(__xludf.DUMMYFUNCTION("""COMPUTED_VALUE"""),"Sagres Automação Comercial")</f>
        <v>Sagres Automação Comercial</v>
      </c>
      <c r="R8635" s="33">
        <f>IFERROR(__xludf.DUMMYFUNCTION("""COMPUTED_VALUE"""),1.0)</f>
        <v>1</v>
      </c>
      <c r="S8635" s="4" t="str">
        <f>IFERROR(__xludf.DUMMYFUNCTION("""COMPUTED_VALUE"""),"Sagres Automação Comercial")</f>
        <v>Sagres Automação Comercial</v>
      </c>
      <c r="T8635" s="33">
        <f>IFERROR(__xludf.DUMMYFUNCTION("""COMPUTED_VALUE"""),1.0)</f>
        <v>1</v>
      </c>
      <c r="U8635" s="4" t="str">
        <f>IFERROR(__xludf.DUMMYFUNCTION("""COMPUTED_VALUE"""),"Sagres Automação Comercial")</f>
        <v>Sagres Automação Comercial</v>
      </c>
      <c r="V8635" s="33">
        <f>IFERROR(__xludf.DUMMYFUNCTION("""COMPUTED_VALUE"""),1.0)</f>
        <v>1</v>
      </c>
      <c r="W8635" s="4" t="str">
        <f>IFERROR(__xludf.DUMMYFUNCTION("""COMPUTED_VALUE"""),"Sagres Automação Comercial")</f>
        <v>Sagres Automação Comercial</v>
      </c>
      <c r="X8635" s="33">
        <f>IFERROR(__xludf.DUMMYFUNCTION("""COMPUTED_VALUE"""),1.0)</f>
        <v>1</v>
      </c>
    </row>
    <row r="8636">
      <c r="K8636" s="4" t="str">
        <f>IFERROR(__xludf.DUMMYFUNCTION("""COMPUTED_VALUE"""),"DAN COOKIES CENTRO - GELATOS SOBREMESAS")</f>
        <v>DAN COOKIES CENTRO - GELATOS SOBREMESAS</v>
      </c>
      <c r="L8636" s="32">
        <f>IFERROR(__xludf.DUMMYFUNCTION("""COMPUTED_VALUE"""),1.0)</f>
        <v>1</v>
      </c>
      <c r="M8636" s="4" t="str">
        <f>IFERROR(__xludf.DUMMYFUNCTION("""COMPUTED_VALUE"""),"Izzy Way Tecnologia")</f>
        <v>Izzy Way Tecnologia</v>
      </c>
      <c r="N8636" s="33">
        <f>IFERROR(__xludf.DUMMYFUNCTION("""COMPUTED_VALUE"""),1.0)</f>
        <v>1</v>
      </c>
      <c r="O8636" s="4" t="str">
        <f>IFERROR(__xludf.DUMMYFUNCTION("""COMPUTED_VALUE"""),"Izzy Way Tecnologia")</f>
        <v>Izzy Way Tecnologia</v>
      </c>
      <c r="P8636" s="33">
        <f>IFERROR(__xludf.DUMMYFUNCTION("""COMPUTED_VALUE"""),1.0)</f>
        <v>1</v>
      </c>
      <c r="Q8636" s="4" t="str">
        <f>IFERROR(__xludf.DUMMYFUNCTION("""COMPUTED_VALUE"""),"Izzy Way Tecnologia")</f>
        <v>Izzy Way Tecnologia</v>
      </c>
      <c r="R8636" s="33">
        <f>IFERROR(__xludf.DUMMYFUNCTION("""COMPUTED_VALUE"""),1.0)</f>
        <v>1</v>
      </c>
      <c r="S8636" s="4" t="str">
        <f>IFERROR(__xludf.DUMMYFUNCTION("""COMPUTED_VALUE"""),"Izzy Way Tecnologia")</f>
        <v>Izzy Way Tecnologia</v>
      </c>
      <c r="T8636" s="33">
        <f>IFERROR(__xludf.DUMMYFUNCTION("""COMPUTED_VALUE"""),1.0)</f>
        <v>1</v>
      </c>
      <c r="U8636" s="4" t="str">
        <f>IFERROR(__xludf.DUMMYFUNCTION("""COMPUTED_VALUE"""),"Izzy Way Tecnologia")</f>
        <v>Izzy Way Tecnologia</v>
      </c>
      <c r="V8636" s="33">
        <f>IFERROR(__xludf.DUMMYFUNCTION("""COMPUTED_VALUE"""),1.0)</f>
        <v>1</v>
      </c>
      <c r="W8636" s="4" t="str">
        <f>IFERROR(__xludf.DUMMYFUNCTION("""COMPUTED_VALUE"""),"Izzy Way Tecnologia")</f>
        <v>Izzy Way Tecnologia</v>
      </c>
      <c r="X8636" s="33">
        <f>IFERROR(__xludf.DUMMYFUNCTION("""COMPUTED_VALUE"""),1.0)</f>
        <v>1</v>
      </c>
    </row>
    <row r="8637">
      <c r="K8637" s="4" t="str">
        <f>IFERROR(__xludf.DUMMYFUNCTION("""COMPUTED_VALUE"""),"GOURMET DELIVERY")</f>
        <v>GOURMET DELIVERY</v>
      </c>
      <c r="L8637" s="32">
        <f>IFERROR(__xludf.DUMMYFUNCTION("""COMPUTED_VALUE"""),1.0)</f>
        <v>1</v>
      </c>
      <c r="M8637" s="4" t="str">
        <f>IFERROR(__xludf.DUMMYFUNCTION("""COMPUTED_VALUE"""),"Anota Ai Solucoes Digitais S/a")</f>
        <v>Anota Ai Solucoes Digitais S/a</v>
      </c>
      <c r="N8637" s="33">
        <f>IFERROR(__xludf.DUMMYFUNCTION("""COMPUTED_VALUE"""),1.0)</f>
        <v>1</v>
      </c>
      <c r="O8637" s="4" t="str">
        <f>IFERROR(__xludf.DUMMYFUNCTION("""COMPUTED_VALUE"""),"Anota Ai Solucoes Digitais S/a")</f>
        <v>Anota Ai Solucoes Digitais S/a</v>
      </c>
      <c r="P8637" s="33">
        <f>IFERROR(__xludf.DUMMYFUNCTION("""COMPUTED_VALUE"""),1.0)</f>
        <v>1</v>
      </c>
      <c r="Q8637" s="4" t="str">
        <f>IFERROR(__xludf.DUMMYFUNCTION("""COMPUTED_VALUE"""),"Anota Ai Solucoes Digitais S/a")</f>
        <v>Anota Ai Solucoes Digitais S/a</v>
      </c>
      <c r="R8637" s="33">
        <f>IFERROR(__xludf.DUMMYFUNCTION("""COMPUTED_VALUE"""),1.0)</f>
        <v>1</v>
      </c>
      <c r="S8637" s="4" t="str">
        <f>IFERROR(__xludf.DUMMYFUNCTION("""COMPUTED_VALUE"""),"Saipos Serviços De Software")</f>
        <v>Saipos Serviços De Software</v>
      </c>
      <c r="T8637" s="33">
        <f>IFERROR(__xludf.DUMMYFUNCTION("""COMPUTED_VALUE"""),1.0)</f>
        <v>1</v>
      </c>
      <c r="U8637" s="4" t="str">
        <f>IFERROR(__xludf.DUMMYFUNCTION("""COMPUTED_VALUE"""),"Saipos Serviços De Software")</f>
        <v>Saipos Serviços De Software</v>
      </c>
      <c r="V8637" s="33">
        <f>IFERROR(__xludf.DUMMYFUNCTION("""COMPUTED_VALUE"""),1.0)</f>
        <v>1</v>
      </c>
      <c r="W8637" s="4" t="str">
        <f>IFERROR(__xludf.DUMMYFUNCTION("""COMPUTED_VALUE"""),"Saipos Serviços De Software")</f>
        <v>Saipos Serviços De Software</v>
      </c>
      <c r="X8637" s="33">
        <f>IFERROR(__xludf.DUMMYFUNCTION("""COMPUTED_VALUE"""),1.0)</f>
        <v>1</v>
      </c>
    </row>
    <row r="8638">
      <c r="K8638" s="4" t="str">
        <f>IFERROR(__xludf.DUMMYFUNCTION("""COMPUTED_VALUE"""),"MR HASHI - CULINARIA ORIENTAL")</f>
        <v>MR HASHI - CULINARIA ORIENTAL</v>
      </c>
      <c r="L8638" s="32">
        <f>IFERROR(__xludf.DUMMYFUNCTION("""COMPUTED_VALUE"""),1.0)</f>
        <v>1</v>
      </c>
      <c r="M8638" s="4" t="str">
        <f>IFERROR(__xludf.DUMMYFUNCTION("""COMPUTED_VALUE"""),"Mapp Sistemas")</f>
        <v>Mapp Sistemas</v>
      </c>
      <c r="N8638" s="33">
        <f>IFERROR(__xludf.DUMMYFUNCTION("""COMPUTED_VALUE"""),1.0)</f>
        <v>1</v>
      </c>
      <c r="O8638" s="4" t="str">
        <f>IFERROR(__xludf.DUMMYFUNCTION("""COMPUTED_VALUE"""),"Mapp Sistemas")</f>
        <v>Mapp Sistemas</v>
      </c>
      <c r="P8638" s="33">
        <f>IFERROR(__xludf.DUMMYFUNCTION("""COMPUTED_VALUE"""),1.0)</f>
        <v>1</v>
      </c>
      <c r="Q8638" s="4" t="str">
        <f>IFERROR(__xludf.DUMMYFUNCTION("""COMPUTED_VALUE"""),"Mapp Sistemas")</f>
        <v>Mapp Sistemas</v>
      </c>
      <c r="R8638" s="33">
        <f>IFERROR(__xludf.DUMMYFUNCTION("""COMPUTED_VALUE"""),1.0)</f>
        <v>1</v>
      </c>
      <c r="S8638" s="4" t="str">
        <f>IFERROR(__xludf.DUMMYFUNCTION("""COMPUTED_VALUE"""),"Mapp Sistemas")</f>
        <v>Mapp Sistemas</v>
      </c>
      <c r="T8638" s="33">
        <f>IFERROR(__xludf.DUMMYFUNCTION("""COMPUTED_VALUE"""),1.0)</f>
        <v>1</v>
      </c>
      <c r="U8638" s="4" t="str">
        <f>IFERROR(__xludf.DUMMYFUNCTION("""COMPUTED_VALUE"""),"Mapp Sistemas")</f>
        <v>Mapp Sistemas</v>
      </c>
      <c r="V8638" s="33">
        <f>IFERROR(__xludf.DUMMYFUNCTION("""COMPUTED_VALUE"""),1.0)</f>
        <v>1</v>
      </c>
      <c r="W8638" s="4" t="str">
        <f>IFERROR(__xludf.DUMMYFUNCTION("""COMPUTED_VALUE"""),"Mapp Sistemas")</f>
        <v>Mapp Sistemas</v>
      </c>
      <c r="X8638" s="33">
        <f>IFERROR(__xludf.DUMMYFUNCTION("""COMPUTED_VALUE"""),1.0)</f>
        <v>1</v>
      </c>
    </row>
    <row r="8639">
      <c r="K8639" s="4" t="str">
        <f>IFERROR(__xludf.DUMMYFUNCTION("""COMPUTED_VALUE"""),"QUINTAL DA 7")</f>
        <v>QUINTAL DA 7</v>
      </c>
      <c r="L8639" s="32">
        <f>IFERROR(__xludf.DUMMYFUNCTION("""COMPUTED_VALUE"""),1.0)</f>
        <v>1</v>
      </c>
      <c r="M8639" s="4" t="str">
        <f>IFERROR(__xludf.DUMMYFUNCTION("""COMPUTED_VALUE"""),"null")</f>
        <v>null</v>
      </c>
      <c r="N8639" s="33">
        <f>IFERROR(__xludf.DUMMYFUNCTION("""COMPUTED_VALUE"""),1.0)</f>
        <v>1</v>
      </c>
      <c r="O8639" s="4" t="str">
        <f>IFERROR(__xludf.DUMMYFUNCTION("""COMPUTED_VALUE"""),"Saipos Serviços De Software")</f>
        <v>Saipos Serviços De Software</v>
      </c>
      <c r="P8639" s="33">
        <f>IFERROR(__xludf.DUMMYFUNCTION("""COMPUTED_VALUE"""),1.0)</f>
        <v>1</v>
      </c>
      <c r="Q8639" s="4" t="str">
        <f>IFERROR(__xludf.DUMMYFUNCTION("""COMPUTED_VALUE"""),"Saipos Serviços De Software")</f>
        <v>Saipos Serviços De Software</v>
      </c>
      <c r="R8639" s="33">
        <f>IFERROR(__xludf.DUMMYFUNCTION("""COMPUTED_VALUE"""),1.0)</f>
        <v>1</v>
      </c>
      <c r="S8639" s="4" t="str">
        <f>IFERROR(__xludf.DUMMYFUNCTION("""COMPUTED_VALUE"""),"Saipos Serviços De Software")</f>
        <v>Saipos Serviços De Software</v>
      </c>
      <c r="T8639" s="33">
        <f>IFERROR(__xludf.DUMMYFUNCTION("""COMPUTED_VALUE"""),1.0)</f>
        <v>1</v>
      </c>
      <c r="U8639" s="4" t="str">
        <f>IFERROR(__xludf.DUMMYFUNCTION("""COMPUTED_VALUE"""),"Saipos Serviços De Software")</f>
        <v>Saipos Serviços De Software</v>
      </c>
      <c r="V8639" s="33">
        <f>IFERROR(__xludf.DUMMYFUNCTION("""COMPUTED_VALUE"""),1.0)</f>
        <v>1</v>
      </c>
      <c r="W8639" s="4" t="str">
        <f>IFERROR(__xludf.DUMMYFUNCTION("""COMPUTED_VALUE"""),"Saipos Serviços De Software")</f>
        <v>Saipos Serviços De Software</v>
      </c>
      <c r="X8639" s="33">
        <f>IFERROR(__xludf.DUMMYFUNCTION("""COMPUTED_VALUE"""),1.0)</f>
        <v>1</v>
      </c>
    </row>
    <row r="8640">
      <c r="K8640" s="4" t="str">
        <f>IFERROR(__xludf.DUMMYFUNCTION("""COMPUTED_VALUE"""),"PIZZARIA REBECA")</f>
        <v>PIZZARIA REBECA</v>
      </c>
      <c r="L8640" s="32">
        <f>IFERROR(__xludf.DUMMYFUNCTION("""COMPUTED_VALUE"""),1.0)</f>
        <v>1</v>
      </c>
      <c r="M8640" s="4" t="str">
        <f>IFERROR(__xludf.DUMMYFUNCTION("""COMPUTED_VALUE"""),"Saipos Serviços De Software")</f>
        <v>Saipos Serviços De Software</v>
      </c>
      <c r="N8640" s="33">
        <f>IFERROR(__xludf.DUMMYFUNCTION("""COMPUTED_VALUE"""),1.0)</f>
        <v>1</v>
      </c>
      <c r="O8640" s="4" t="str">
        <f>IFERROR(__xludf.DUMMYFUNCTION("""COMPUTED_VALUE"""),"Saipos Serviços De Software")</f>
        <v>Saipos Serviços De Software</v>
      </c>
      <c r="P8640" s="33">
        <f>IFERROR(__xludf.DUMMYFUNCTION("""COMPUTED_VALUE"""),1.0)</f>
        <v>1</v>
      </c>
      <c r="Q8640" s="4" t="str">
        <f>IFERROR(__xludf.DUMMYFUNCTION("""COMPUTED_VALUE"""),"Saipos Serviços De Software")</f>
        <v>Saipos Serviços De Software</v>
      </c>
      <c r="R8640" s="33">
        <f>IFERROR(__xludf.DUMMYFUNCTION("""COMPUTED_VALUE"""),1.0)</f>
        <v>1</v>
      </c>
      <c r="S8640" s="4" t="str">
        <f>IFERROR(__xludf.DUMMYFUNCTION("""COMPUTED_VALUE"""),"Saipos Serviços De Software")</f>
        <v>Saipos Serviços De Software</v>
      </c>
      <c r="T8640" s="33">
        <f>IFERROR(__xludf.DUMMYFUNCTION("""COMPUTED_VALUE"""),1.0)</f>
        <v>1</v>
      </c>
      <c r="U8640" s="4" t="str">
        <f>IFERROR(__xludf.DUMMYFUNCTION("""COMPUTED_VALUE"""),"Saipos Serviços De Software")</f>
        <v>Saipos Serviços De Software</v>
      </c>
      <c r="V8640" s="33">
        <f>IFERROR(__xludf.DUMMYFUNCTION("""COMPUTED_VALUE"""),1.0)</f>
        <v>1</v>
      </c>
      <c r="W8640" s="4" t="str">
        <f>IFERROR(__xludf.DUMMYFUNCTION("""COMPUTED_VALUE"""),"Saipos Serviços De Software")</f>
        <v>Saipos Serviços De Software</v>
      </c>
      <c r="X8640" s="33">
        <f>IFERROR(__xludf.DUMMYFUNCTION("""COMPUTED_VALUE"""),1.0)</f>
        <v>1</v>
      </c>
    </row>
    <row r="8641">
      <c r="K8641" s="4" t="str">
        <f>IFERROR(__xludf.DUMMYFUNCTION("""COMPUTED_VALUE"""),"BENNITO ACAI")</f>
        <v>BENNITO ACAI</v>
      </c>
      <c r="L8641" s="32">
        <f>IFERROR(__xludf.DUMMYFUNCTION("""COMPUTED_VALUE"""),1.0)</f>
        <v>1</v>
      </c>
      <c r="M8641" s="4" t="str">
        <f>IFERROR(__xludf.DUMMYFUNCTION("""COMPUTED_VALUE"""),"Anota Ai Solucoes Digitais S/a")</f>
        <v>Anota Ai Solucoes Digitais S/a</v>
      </c>
      <c r="N8641" s="33">
        <f>IFERROR(__xludf.DUMMYFUNCTION("""COMPUTED_VALUE"""),1.0)</f>
        <v>1</v>
      </c>
      <c r="O8641" s="4" t="str">
        <f>IFERROR(__xludf.DUMMYFUNCTION("""COMPUTED_VALUE"""),"Anota Ai Solucoes Digitais S/a")</f>
        <v>Anota Ai Solucoes Digitais S/a</v>
      </c>
      <c r="P8641" s="33">
        <f>IFERROR(__xludf.DUMMYFUNCTION("""COMPUTED_VALUE"""),1.0)</f>
        <v>1</v>
      </c>
      <c r="Q8641" s="4" t="str">
        <f>IFERROR(__xludf.DUMMYFUNCTION("""COMPUTED_VALUE"""),"null")</f>
        <v>null</v>
      </c>
      <c r="R8641" s="33">
        <f>IFERROR(__xludf.DUMMYFUNCTION("""COMPUTED_VALUE"""),1.0)</f>
        <v>1</v>
      </c>
      <c r="S8641" s="4" t="str">
        <f>IFERROR(__xludf.DUMMYFUNCTION("""COMPUTED_VALUE"""),"Anota Ai Solucoes Digitais S/a")</f>
        <v>Anota Ai Solucoes Digitais S/a</v>
      </c>
      <c r="T8641" s="33">
        <f>IFERROR(__xludf.DUMMYFUNCTION("""COMPUTED_VALUE"""),1.0)</f>
        <v>1</v>
      </c>
      <c r="U8641" s="4" t="str">
        <f>IFERROR(__xludf.DUMMYFUNCTION("""COMPUTED_VALUE"""),"Anota Ai Solucoes Digitais S/a")</f>
        <v>Anota Ai Solucoes Digitais S/a</v>
      </c>
      <c r="V8641" s="33">
        <f>IFERROR(__xludf.DUMMYFUNCTION("""COMPUTED_VALUE"""),1.0)</f>
        <v>1</v>
      </c>
      <c r="W8641" s="4" t="str">
        <f>IFERROR(__xludf.DUMMYFUNCTION("""COMPUTED_VALUE"""),"null")</f>
        <v>null</v>
      </c>
      <c r="X8641" s="33">
        <f>IFERROR(__xludf.DUMMYFUNCTION("""COMPUTED_VALUE"""),1.0)</f>
        <v>1</v>
      </c>
    </row>
    <row r="8642">
      <c r="K8642" s="4" t="str">
        <f>IFERROR(__xludf.DUMMYFUNCTION("""COMPUTED_VALUE"""),"CANTINELA GRILL")</f>
        <v>CANTINELA GRILL</v>
      </c>
      <c r="L8642" s="32">
        <f>IFERROR(__xludf.DUMMYFUNCTION("""COMPUTED_VALUE"""),1.0)</f>
        <v>1</v>
      </c>
      <c r="M8642" s="4" t="str">
        <f>IFERROR(__xludf.DUMMYFUNCTION("""COMPUTED_VALUE"""),"Saipos Serviços De Software")</f>
        <v>Saipos Serviços De Software</v>
      </c>
      <c r="N8642" s="33">
        <f>IFERROR(__xludf.DUMMYFUNCTION("""COMPUTED_VALUE"""),1.0)</f>
        <v>1</v>
      </c>
      <c r="O8642" s="4" t="str">
        <f>IFERROR(__xludf.DUMMYFUNCTION("""COMPUTED_VALUE"""),"Saipos Serviços De Software")</f>
        <v>Saipos Serviços De Software</v>
      </c>
      <c r="P8642" s="33">
        <f>IFERROR(__xludf.DUMMYFUNCTION("""COMPUTED_VALUE"""),1.0)</f>
        <v>1</v>
      </c>
      <c r="Q8642" s="4" t="str">
        <f>IFERROR(__xludf.DUMMYFUNCTION("""COMPUTED_VALUE"""),"Saipos Serviços De Software")</f>
        <v>Saipos Serviços De Software</v>
      </c>
      <c r="R8642" s="33">
        <f>IFERROR(__xludf.DUMMYFUNCTION("""COMPUTED_VALUE"""),1.0)</f>
        <v>1</v>
      </c>
      <c r="S8642" s="4" t="str">
        <f>IFERROR(__xludf.DUMMYFUNCTION("""COMPUTED_VALUE"""),"Saipos Serviços De Software")</f>
        <v>Saipos Serviços De Software</v>
      </c>
      <c r="T8642" s="33">
        <f>IFERROR(__xludf.DUMMYFUNCTION("""COMPUTED_VALUE"""),1.0)</f>
        <v>1</v>
      </c>
      <c r="U8642" s="4" t="str">
        <f>IFERROR(__xludf.DUMMYFUNCTION("""COMPUTED_VALUE"""),"null")</f>
        <v>null</v>
      </c>
      <c r="V8642" s="33">
        <f>IFERROR(__xludf.DUMMYFUNCTION("""COMPUTED_VALUE"""),1.0)</f>
        <v>1</v>
      </c>
      <c r="W8642" s="4" t="str">
        <f>IFERROR(__xludf.DUMMYFUNCTION("""COMPUTED_VALUE"""),"null")</f>
        <v>null</v>
      </c>
      <c r="X8642" s="33">
        <f>IFERROR(__xludf.DUMMYFUNCTION("""COMPUTED_VALUE"""),1.0)</f>
        <v>1</v>
      </c>
    </row>
    <row r="8643">
      <c r="K8643" s="4" t="str">
        <f>IFERROR(__xludf.DUMMYFUNCTION("""COMPUTED_VALUE"""),"DROGARIA ECONOMICA CALCADAO")</f>
        <v>DROGARIA ECONOMICA CALCADAO</v>
      </c>
      <c r="L8643" s="32">
        <f>IFERROR(__xludf.DUMMYFUNCTION("""COMPUTED_VALUE"""),1.0)</f>
        <v>1</v>
      </c>
      <c r="M8643" s="4" t="str">
        <f>IFERROR(__xludf.DUMMYFUNCTION("""COMPUTED_VALUE"""),"N/A (Not found)")</f>
        <v>N/A (Not found)</v>
      </c>
      <c r="N8643" s="33">
        <f>IFERROR(__xludf.DUMMYFUNCTION("""COMPUTED_VALUE"""),1.0)</f>
        <v>1</v>
      </c>
      <c r="O8643" s="4" t="str">
        <f>IFERROR(__xludf.DUMMYFUNCTION("""COMPUTED_VALUE"""),"N/A (Not found)")</f>
        <v>N/A (Not found)</v>
      </c>
      <c r="P8643" s="33">
        <f>IFERROR(__xludf.DUMMYFUNCTION("""COMPUTED_VALUE"""),1.0)</f>
        <v>1</v>
      </c>
      <c r="Q8643" s="4" t="str">
        <f>IFERROR(__xludf.DUMMYFUNCTION("""COMPUTED_VALUE"""),"N/A (Not found)")</f>
        <v>N/A (Not found)</v>
      </c>
      <c r="R8643" s="33">
        <f>IFERROR(__xludf.DUMMYFUNCTION("""COMPUTED_VALUE"""),1.0)</f>
        <v>1</v>
      </c>
      <c r="S8643" s="4" t="str">
        <f>IFERROR(__xludf.DUMMYFUNCTION("""COMPUTED_VALUE"""),"N/A (Not found)")</f>
        <v>N/A (Not found)</v>
      </c>
      <c r="T8643" s="33">
        <f>IFERROR(__xludf.DUMMYFUNCTION("""COMPUTED_VALUE"""),1.0)</f>
        <v>1</v>
      </c>
      <c r="U8643" s="4" t="str">
        <f>IFERROR(__xludf.DUMMYFUNCTION("""COMPUTED_VALUE"""),"null")</f>
        <v>null</v>
      </c>
      <c r="V8643" s="33">
        <f>IFERROR(__xludf.DUMMYFUNCTION("""COMPUTED_VALUE"""),1.0)</f>
        <v>1</v>
      </c>
      <c r="W8643" s="4" t="str">
        <f>IFERROR(__xludf.DUMMYFUNCTION("""COMPUTED_VALUE"""),"null")</f>
        <v>null</v>
      </c>
      <c r="X8643" s="33">
        <f>IFERROR(__xludf.DUMMYFUNCTION("""COMPUTED_VALUE"""),1.0)</f>
        <v>1</v>
      </c>
    </row>
    <row r="8644">
      <c r="K8644" s="4" t="str">
        <f>IFERROR(__xludf.DUMMYFUNCTION("""COMPUTED_VALUE"""),"TRIGO FINO PIZZARIA")</f>
        <v>TRIGO FINO PIZZARIA</v>
      </c>
      <c r="L8644" s="32">
        <f>IFERROR(__xludf.DUMMYFUNCTION("""COMPUTED_VALUE"""),1.0)</f>
        <v>1</v>
      </c>
      <c r="M8644" s="4" t="str">
        <f>IFERROR(__xludf.DUMMYFUNCTION("""COMPUTED_VALUE"""),"Consumer Soluções Em Tecnologia Ltda")</f>
        <v>Consumer Soluções Em Tecnologia Ltda</v>
      </c>
      <c r="N8644" s="33">
        <f>IFERROR(__xludf.DUMMYFUNCTION("""COMPUTED_VALUE"""),1.0)</f>
        <v>1</v>
      </c>
      <c r="O8644" s="4" t="str">
        <f>IFERROR(__xludf.DUMMYFUNCTION("""COMPUTED_VALUE"""),"Consumer Soluções Em Tecnologia Ltda")</f>
        <v>Consumer Soluções Em Tecnologia Ltda</v>
      </c>
      <c r="P8644" s="33">
        <f>IFERROR(__xludf.DUMMYFUNCTION("""COMPUTED_VALUE"""),1.0)</f>
        <v>1</v>
      </c>
      <c r="Q8644" s="4" t="str">
        <f>IFERROR(__xludf.DUMMYFUNCTION("""COMPUTED_VALUE"""),"Consumer Soluções Em Tecnologia Ltda")</f>
        <v>Consumer Soluções Em Tecnologia Ltda</v>
      </c>
      <c r="R8644" s="33">
        <f>IFERROR(__xludf.DUMMYFUNCTION("""COMPUTED_VALUE"""),1.0)</f>
        <v>1</v>
      </c>
      <c r="S8644" s="4" t="str">
        <f>IFERROR(__xludf.DUMMYFUNCTION("""COMPUTED_VALUE"""),"null")</f>
        <v>null</v>
      </c>
      <c r="T8644" s="33">
        <f>IFERROR(__xludf.DUMMYFUNCTION("""COMPUTED_VALUE"""),1.0)</f>
        <v>1</v>
      </c>
      <c r="U8644" s="4" t="str">
        <f>IFERROR(__xludf.DUMMYFUNCTION("""COMPUTED_VALUE"""),"Consumer Soluções Em Tecnologia Ltda")</f>
        <v>Consumer Soluções Em Tecnologia Ltda</v>
      </c>
      <c r="V8644" s="33">
        <f>IFERROR(__xludf.DUMMYFUNCTION("""COMPUTED_VALUE"""),1.0)</f>
        <v>1</v>
      </c>
      <c r="W8644" s="4" t="str">
        <f>IFERROR(__xludf.DUMMYFUNCTION("""COMPUTED_VALUE"""),"Consumer Soluções Em Tecnologia Ltda")</f>
        <v>Consumer Soluções Em Tecnologia Ltda</v>
      </c>
      <c r="X8644" s="33">
        <f>IFERROR(__xludf.DUMMYFUNCTION("""COMPUTED_VALUE"""),1.0)</f>
        <v>1</v>
      </c>
    </row>
    <row r="8645">
      <c r="K8645" s="4" t="str">
        <f>IFERROR(__xludf.DUMMYFUNCTION("""COMPUTED_VALUE"""),"BIG MASSAS - PRACA DO PIONEIRO")</f>
        <v>BIG MASSAS - PRACA DO PIONEIRO</v>
      </c>
      <c r="L8645" s="32">
        <f>IFERROR(__xludf.DUMMYFUNCTION("""COMPUTED_VALUE"""),1.0)</f>
        <v>1</v>
      </c>
      <c r="M8645" s="4" t="str">
        <f>IFERROR(__xludf.DUMMYFUNCTION("""COMPUTED_VALUE"""),"null")</f>
        <v>null</v>
      </c>
      <c r="N8645" s="33">
        <f>IFERROR(__xludf.DUMMYFUNCTION("""COMPUTED_VALUE"""),1.0)</f>
        <v>1</v>
      </c>
      <c r="O8645" s="4" t="str">
        <f>IFERROR(__xludf.DUMMYFUNCTION("""COMPUTED_VALUE"""),"null")</f>
        <v>null</v>
      </c>
      <c r="P8645" s="33">
        <f>IFERROR(__xludf.DUMMYFUNCTION("""COMPUTED_VALUE"""),1.0)</f>
        <v>1</v>
      </c>
      <c r="Q8645" s="4" t="str">
        <f>IFERROR(__xludf.DUMMYFUNCTION("""COMPUTED_VALUE"""),"null")</f>
        <v>null</v>
      </c>
      <c r="R8645" s="33">
        <f>IFERROR(__xludf.DUMMYFUNCTION("""COMPUTED_VALUE"""),1.0)</f>
        <v>1</v>
      </c>
      <c r="S8645" s="4" t="str">
        <f>IFERROR(__xludf.DUMMYFUNCTION("""COMPUTED_VALUE"""),"null")</f>
        <v>null</v>
      </c>
      <c r="T8645" s="33">
        <f>IFERROR(__xludf.DUMMYFUNCTION("""COMPUTED_VALUE"""),1.0)</f>
        <v>1</v>
      </c>
      <c r="U8645" s="4" t="str">
        <f>IFERROR(__xludf.DUMMYFUNCTION("""COMPUTED_VALUE"""),"Cardápio Web")</f>
        <v>Cardápio Web</v>
      </c>
      <c r="V8645" s="33">
        <f>IFERROR(__xludf.DUMMYFUNCTION("""COMPUTED_VALUE"""),1.0)</f>
        <v>1</v>
      </c>
      <c r="W8645" s="4" t="str">
        <f>IFERROR(__xludf.DUMMYFUNCTION("""COMPUTED_VALUE"""),"Cardápio Web")</f>
        <v>Cardápio Web</v>
      </c>
      <c r="X8645" s="33">
        <f>IFERROR(__xludf.DUMMYFUNCTION("""COMPUTED_VALUE"""),1.0)</f>
        <v>1</v>
      </c>
    </row>
    <row r="8646">
      <c r="K8646" s="4" t="str">
        <f>IFERROR(__xludf.DUMMYFUNCTION("""COMPUTED_VALUE"""),"BOLOS MANA HAGATTA")</f>
        <v>BOLOS MANA HAGATTA</v>
      </c>
      <c r="L8646" s="32">
        <f>IFERROR(__xludf.DUMMYFUNCTION("""COMPUTED_VALUE"""),1.0)</f>
        <v>1</v>
      </c>
      <c r="M8646" s="4" t="str">
        <f>IFERROR(__xludf.DUMMYFUNCTION("""COMPUTED_VALUE"""),"Instadelivery")</f>
        <v>Instadelivery</v>
      </c>
      <c r="N8646" s="33">
        <f>IFERROR(__xludf.DUMMYFUNCTION("""COMPUTED_VALUE"""),1.0)</f>
        <v>1</v>
      </c>
      <c r="O8646" s="4" t="str">
        <f>IFERROR(__xludf.DUMMYFUNCTION("""COMPUTED_VALUE"""),"null")</f>
        <v>null</v>
      </c>
      <c r="P8646" s="33">
        <f>IFERROR(__xludf.DUMMYFUNCTION("""COMPUTED_VALUE"""),1.0)</f>
        <v>1</v>
      </c>
      <c r="Q8646" s="4" t="str">
        <f>IFERROR(__xludf.DUMMYFUNCTION("""COMPUTED_VALUE"""),"null")</f>
        <v>null</v>
      </c>
      <c r="R8646" s="33">
        <f>IFERROR(__xludf.DUMMYFUNCTION("""COMPUTED_VALUE"""),1.0)</f>
        <v>1</v>
      </c>
      <c r="S8646" s="4" t="str">
        <f>IFERROR(__xludf.DUMMYFUNCTION("""COMPUTED_VALUE"""),"null")</f>
        <v>null</v>
      </c>
      <c r="T8646" s="33">
        <f>IFERROR(__xludf.DUMMYFUNCTION("""COMPUTED_VALUE"""),1.0)</f>
        <v>1</v>
      </c>
      <c r="U8646" s="4" t="str">
        <f>IFERROR(__xludf.DUMMYFUNCTION("""COMPUTED_VALUE"""),"null")</f>
        <v>null</v>
      </c>
      <c r="V8646" s="33">
        <f>IFERROR(__xludf.DUMMYFUNCTION("""COMPUTED_VALUE"""),1.0)</f>
        <v>1</v>
      </c>
      <c r="W8646" s="4" t="str">
        <f>IFERROR(__xludf.DUMMYFUNCTION("""COMPUTED_VALUE"""),"null")</f>
        <v>null</v>
      </c>
      <c r="X8646" s="33">
        <f>IFERROR(__xludf.DUMMYFUNCTION("""COMPUTED_VALUE"""),1.0)</f>
        <v>1</v>
      </c>
    </row>
    <row r="8647">
      <c r="K8647" s="4" t="str">
        <f>IFERROR(__xludf.DUMMYFUNCTION("""COMPUTED_VALUE"""),"SUCOS DO VALE")</f>
        <v>SUCOS DO VALE</v>
      </c>
      <c r="L8647" s="32">
        <f>IFERROR(__xludf.DUMMYFUNCTION("""COMPUTED_VALUE"""),1.0)</f>
        <v>1</v>
      </c>
      <c r="M8647" s="4" t="str">
        <f>IFERROR(__xludf.DUMMYFUNCTION("""COMPUTED_VALUE"""),"Connectplug")</f>
        <v>Connectplug</v>
      </c>
      <c r="N8647" s="33">
        <f>IFERROR(__xludf.DUMMYFUNCTION("""COMPUTED_VALUE"""),1.0)</f>
        <v>1</v>
      </c>
      <c r="O8647" s="4" t="str">
        <f>IFERROR(__xludf.DUMMYFUNCTION("""COMPUTED_VALUE"""),"Connectplug")</f>
        <v>Connectplug</v>
      </c>
      <c r="P8647" s="33">
        <f>IFERROR(__xludf.DUMMYFUNCTION("""COMPUTED_VALUE"""),1.0)</f>
        <v>1</v>
      </c>
      <c r="Q8647" s="4" t="str">
        <f>IFERROR(__xludf.DUMMYFUNCTION("""COMPUTED_VALUE"""),"Connectplug")</f>
        <v>Connectplug</v>
      </c>
      <c r="R8647" s="33">
        <f>IFERROR(__xludf.DUMMYFUNCTION("""COMPUTED_VALUE"""),1.0)</f>
        <v>1</v>
      </c>
      <c r="S8647" s="4" t="str">
        <f>IFERROR(__xludf.DUMMYFUNCTION("""COMPUTED_VALUE"""),"Connectplug")</f>
        <v>Connectplug</v>
      </c>
      <c r="T8647" s="33">
        <f>IFERROR(__xludf.DUMMYFUNCTION("""COMPUTED_VALUE"""),1.0)</f>
        <v>1</v>
      </c>
      <c r="U8647" s="4" t="str">
        <f>IFERROR(__xludf.DUMMYFUNCTION("""COMPUTED_VALUE"""),"Connectplug")</f>
        <v>Connectplug</v>
      </c>
      <c r="V8647" s="33">
        <f>IFERROR(__xludf.DUMMYFUNCTION("""COMPUTED_VALUE"""),1.0)</f>
        <v>1</v>
      </c>
      <c r="W8647" s="4" t="str">
        <f>IFERROR(__xludf.DUMMYFUNCTION("""COMPUTED_VALUE"""),"Connectplug")</f>
        <v>Connectplug</v>
      </c>
      <c r="X8647" s="33">
        <f>IFERROR(__xludf.DUMMYFUNCTION("""COMPUTED_VALUE"""),1.0)</f>
        <v>1</v>
      </c>
    </row>
    <row r="8648">
      <c r="K8648" s="4" t="str">
        <f>IFERROR(__xludf.DUMMYFUNCTION("""COMPUTED_VALUE"""),"PIZZARIA - FLUXOS DA GRATIDAO")</f>
        <v>PIZZARIA - FLUXOS DA GRATIDAO</v>
      </c>
      <c r="L8648" s="32">
        <f>IFERROR(__xludf.DUMMYFUNCTION("""COMPUTED_VALUE"""),1.0)</f>
        <v>1</v>
      </c>
      <c r="M8648" s="4" t="str">
        <f>IFERROR(__xludf.DUMMYFUNCTION("""COMPUTED_VALUE"""),"Brendi")</f>
        <v>Brendi</v>
      </c>
      <c r="N8648" s="33">
        <f>IFERROR(__xludf.DUMMYFUNCTION("""COMPUTED_VALUE"""),1.0)</f>
        <v>1</v>
      </c>
      <c r="O8648" s="4" t="str">
        <f>IFERROR(__xludf.DUMMYFUNCTION("""COMPUTED_VALUE"""),"Brendi")</f>
        <v>Brendi</v>
      </c>
      <c r="P8648" s="33">
        <f>IFERROR(__xludf.DUMMYFUNCTION("""COMPUTED_VALUE"""),1.0)</f>
        <v>1</v>
      </c>
      <c r="Q8648" s="4" t="str">
        <f>IFERROR(__xludf.DUMMYFUNCTION("""COMPUTED_VALUE"""),"Brendi")</f>
        <v>Brendi</v>
      </c>
      <c r="R8648" s="33">
        <f>IFERROR(__xludf.DUMMYFUNCTION("""COMPUTED_VALUE"""),1.0)</f>
        <v>1</v>
      </c>
      <c r="S8648" s="4" t="str">
        <f>IFERROR(__xludf.DUMMYFUNCTION("""COMPUTED_VALUE"""),"Brendi")</f>
        <v>Brendi</v>
      </c>
      <c r="T8648" s="33">
        <f>IFERROR(__xludf.DUMMYFUNCTION("""COMPUTED_VALUE"""),1.0)</f>
        <v>1</v>
      </c>
      <c r="U8648" s="4" t="str">
        <f>IFERROR(__xludf.DUMMYFUNCTION("""COMPUTED_VALUE"""),"null")</f>
        <v>null</v>
      </c>
      <c r="V8648" s="33">
        <f>IFERROR(__xludf.DUMMYFUNCTION("""COMPUTED_VALUE"""),1.0)</f>
        <v>1</v>
      </c>
      <c r="W8648" s="4" t="str">
        <f>IFERROR(__xludf.DUMMYFUNCTION("""COMPUTED_VALUE"""),"Brendi")</f>
        <v>Brendi</v>
      </c>
      <c r="X8648" s="33">
        <f>IFERROR(__xludf.DUMMYFUNCTION("""COMPUTED_VALUE"""),1.0)</f>
        <v>1</v>
      </c>
    </row>
    <row r="8649">
      <c r="K8649" s="4" t="str">
        <f>IFERROR(__xludf.DUMMYFUNCTION("""COMPUTED_VALUE"""),"POPIDI LANCHES")</f>
        <v>POPIDI LANCHES</v>
      </c>
      <c r="L8649" s="32">
        <f>IFERROR(__xludf.DUMMYFUNCTION("""COMPUTED_VALUE"""),1.0)</f>
        <v>1</v>
      </c>
      <c r="M8649" s="4" t="str">
        <f>IFERROR(__xludf.DUMMYFUNCTION("""COMPUTED_VALUE"""),"Beefood - Sistema Para Restaurantes")</f>
        <v>Beefood - Sistema Para Restaurantes</v>
      </c>
      <c r="N8649" s="33">
        <f>IFERROR(__xludf.DUMMYFUNCTION("""COMPUTED_VALUE"""),1.0)</f>
        <v>1</v>
      </c>
      <c r="O8649" s="4" t="str">
        <f>IFERROR(__xludf.DUMMYFUNCTION("""COMPUTED_VALUE"""),"Beefood - Sistema Para Restaurantes")</f>
        <v>Beefood - Sistema Para Restaurantes</v>
      </c>
      <c r="P8649" s="33">
        <f>IFERROR(__xludf.DUMMYFUNCTION("""COMPUTED_VALUE"""),1.0)</f>
        <v>1</v>
      </c>
      <c r="Q8649" s="4" t="str">
        <f>IFERROR(__xludf.DUMMYFUNCTION("""COMPUTED_VALUE"""),"Beefood - Sistema Para Restaurantes")</f>
        <v>Beefood - Sistema Para Restaurantes</v>
      </c>
      <c r="R8649" s="33">
        <f>IFERROR(__xludf.DUMMYFUNCTION("""COMPUTED_VALUE"""),1.0)</f>
        <v>1</v>
      </c>
      <c r="S8649" s="4" t="str">
        <f>IFERROR(__xludf.DUMMYFUNCTION("""COMPUTED_VALUE"""),"Beefood - Sistema Para Restaurantes")</f>
        <v>Beefood - Sistema Para Restaurantes</v>
      </c>
      <c r="T8649" s="33">
        <f>IFERROR(__xludf.DUMMYFUNCTION("""COMPUTED_VALUE"""),1.0)</f>
        <v>1</v>
      </c>
      <c r="U8649" s="4" t="str">
        <f>IFERROR(__xludf.DUMMYFUNCTION("""COMPUTED_VALUE"""),"Saipos Serviços De Software")</f>
        <v>Saipos Serviços De Software</v>
      </c>
      <c r="V8649" s="33">
        <f>IFERROR(__xludf.DUMMYFUNCTION("""COMPUTED_VALUE"""),1.0)</f>
        <v>1</v>
      </c>
      <c r="W8649" s="4" t="str">
        <f>IFERROR(__xludf.DUMMYFUNCTION("""COMPUTED_VALUE"""),"Saipos Serviços De Software")</f>
        <v>Saipos Serviços De Software</v>
      </c>
      <c r="X8649" s="33">
        <f>IFERROR(__xludf.DUMMYFUNCTION("""COMPUTED_VALUE"""),1.0)</f>
        <v>1</v>
      </c>
    </row>
    <row r="8650">
      <c r="K8650" s="4" t="str">
        <f>IFERROR(__xludf.DUMMYFUNCTION("""COMPUTED_VALUE"""),"STIVE PIZZA LOJA1")</f>
        <v>STIVE PIZZA LOJA1</v>
      </c>
      <c r="L8650" s="32">
        <f>IFERROR(__xludf.DUMMYFUNCTION("""COMPUTED_VALUE"""),1.0)</f>
        <v>1</v>
      </c>
      <c r="M8650" s="4" t="str">
        <f>IFERROR(__xludf.DUMMYFUNCTION("""COMPUTED_VALUE"""),"Mp Multipedidos")</f>
        <v>Mp Multipedidos</v>
      </c>
      <c r="N8650" s="33">
        <f>IFERROR(__xludf.DUMMYFUNCTION("""COMPUTED_VALUE"""),1.0)</f>
        <v>1</v>
      </c>
      <c r="O8650" s="4" t="str">
        <f>IFERROR(__xludf.DUMMYFUNCTION("""COMPUTED_VALUE"""),"Mp Multipedidos")</f>
        <v>Mp Multipedidos</v>
      </c>
      <c r="P8650" s="33">
        <f>IFERROR(__xludf.DUMMYFUNCTION("""COMPUTED_VALUE"""),1.0)</f>
        <v>1</v>
      </c>
      <c r="Q8650" s="4" t="str">
        <f>IFERROR(__xludf.DUMMYFUNCTION("""COMPUTED_VALUE"""),"Mp Multipedidos")</f>
        <v>Mp Multipedidos</v>
      </c>
      <c r="R8650" s="33">
        <f>IFERROR(__xludf.DUMMYFUNCTION("""COMPUTED_VALUE"""),1.0)</f>
        <v>1</v>
      </c>
      <c r="S8650" s="4" t="str">
        <f>IFERROR(__xludf.DUMMYFUNCTION("""COMPUTED_VALUE"""),"Mp Multipedidos")</f>
        <v>Mp Multipedidos</v>
      </c>
      <c r="T8650" s="33">
        <f>IFERROR(__xludf.DUMMYFUNCTION("""COMPUTED_VALUE"""),1.0)</f>
        <v>1</v>
      </c>
      <c r="U8650" s="4" t="str">
        <f>IFERROR(__xludf.DUMMYFUNCTION("""COMPUTED_VALUE"""),"Mp Multipedidos")</f>
        <v>Mp Multipedidos</v>
      </c>
      <c r="V8650" s="33">
        <f>IFERROR(__xludf.DUMMYFUNCTION("""COMPUTED_VALUE"""),1.0)</f>
        <v>1</v>
      </c>
      <c r="W8650" s="4" t="str">
        <f>IFERROR(__xludf.DUMMYFUNCTION("""COMPUTED_VALUE"""),"Mp Multipedidos")</f>
        <v>Mp Multipedidos</v>
      </c>
      <c r="X8650" s="33">
        <f>IFERROR(__xludf.DUMMYFUNCTION("""COMPUTED_VALUE"""),1.0)</f>
        <v>1</v>
      </c>
    </row>
    <row r="8651">
      <c r="K8651" s="4" t="str">
        <f>IFERROR(__xludf.DUMMYFUNCTION("""COMPUTED_VALUE"""),"DOS REIS HOT DOG")</f>
        <v>DOS REIS HOT DOG</v>
      </c>
      <c r="L8651" s="32">
        <f>IFERROR(__xludf.DUMMYFUNCTION("""COMPUTED_VALUE"""),1.0)</f>
        <v>1</v>
      </c>
      <c r="M8651" s="4" t="str">
        <f>IFERROR(__xludf.DUMMYFUNCTION("""COMPUTED_VALUE"""),"null")</f>
        <v>null</v>
      </c>
      <c r="N8651" s="33">
        <f>IFERROR(__xludf.DUMMYFUNCTION("""COMPUTED_VALUE"""),1.0)</f>
        <v>1</v>
      </c>
      <c r="O8651" s="4" t="str">
        <f>IFERROR(__xludf.DUMMYFUNCTION("""COMPUTED_VALUE"""),"Instadelivery")</f>
        <v>Instadelivery</v>
      </c>
      <c r="P8651" s="33">
        <f>IFERROR(__xludf.DUMMYFUNCTION("""COMPUTED_VALUE"""),1.0)</f>
        <v>1</v>
      </c>
      <c r="Q8651" s="4" t="str">
        <f>IFERROR(__xludf.DUMMYFUNCTION("""COMPUTED_VALUE"""),"Instadelivery")</f>
        <v>Instadelivery</v>
      </c>
      <c r="R8651" s="33">
        <f>IFERROR(__xludf.DUMMYFUNCTION("""COMPUTED_VALUE"""),1.0)</f>
        <v>1</v>
      </c>
      <c r="S8651" s="4" t="str">
        <f>IFERROR(__xludf.DUMMYFUNCTION("""COMPUTED_VALUE"""),"Instadelivery")</f>
        <v>Instadelivery</v>
      </c>
      <c r="T8651" s="33">
        <f>IFERROR(__xludf.DUMMYFUNCTION("""COMPUTED_VALUE"""),1.0)</f>
        <v>1</v>
      </c>
      <c r="U8651" s="4" t="str">
        <f>IFERROR(__xludf.DUMMYFUNCTION("""COMPUTED_VALUE"""),"Instadelivery")</f>
        <v>Instadelivery</v>
      </c>
      <c r="V8651" s="33">
        <f>IFERROR(__xludf.DUMMYFUNCTION("""COMPUTED_VALUE"""),1.0)</f>
        <v>1</v>
      </c>
      <c r="W8651" s="4" t="str">
        <f>IFERROR(__xludf.DUMMYFUNCTION("""COMPUTED_VALUE"""),"Instadelivery")</f>
        <v>Instadelivery</v>
      </c>
      <c r="X8651" s="33">
        <f>IFERROR(__xludf.DUMMYFUNCTION("""COMPUTED_VALUE"""),1.0)</f>
        <v>1</v>
      </c>
    </row>
    <row r="8652">
      <c r="K8652" s="4" t="str">
        <f>IFERROR(__xludf.DUMMYFUNCTION("""COMPUTED_VALUE"""),"ILOVE PIZZARIA")</f>
        <v>ILOVE PIZZARIA</v>
      </c>
      <c r="L8652" s="32">
        <f>IFERROR(__xludf.DUMMYFUNCTION("""COMPUTED_VALUE"""),1.0)</f>
        <v>1</v>
      </c>
      <c r="M8652" s="4" t="str">
        <f>IFERROR(__xludf.DUMMYFUNCTION("""COMPUTED_VALUE"""),"Grsoft")</f>
        <v>Grsoft</v>
      </c>
      <c r="N8652" s="33">
        <f>IFERROR(__xludf.DUMMYFUNCTION("""COMPUTED_VALUE"""),1.0)</f>
        <v>1</v>
      </c>
      <c r="O8652" s="4" t="str">
        <f>IFERROR(__xludf.DUMMYFUNCTION("""COMPUTED_VALUE"""),"Grsoft")</f>
        <v>Grsoft</v>
      </c>
      <c r="P8652" s="33">
        <f>IFERROR(__xludf.DUMMYFUNCTION("""COMPUTED_VALUE"""),1.0)</f>
        <v>1</v>
      </c>
      <c r="Q8652" s="4" t="str">
        <f>IFERROR(__xludf.DUMMYFUNCTION("""COMPUTED_VALUE"""),"Grsoft")</f>
        <v>Grsoft</v>
      </c>
      <c r="R8652" s="33">
        <f>IFERROR(__xludf.DUMMYFUNCTION("""COMPUTED_VALUE"""),1.0)</f>
        <v>1</v>
      </c>
      <c r="S8652" s="4" t="str">
        <f>IFERROR(__xludf.DUMMYFUNCTION("""COMPUTED_VALUE"""),"Grsoft")</f>
        <v>Grsoft</v>
      </c>
      <c r="T8652" s="33">
        <f>IFERROR(__xludf.DUMMYFUNCTION("""COMPUTED_VALUE"""),1.0)</f>
        <v>1</v>
      </c>
      <c r="U8652" s="4" t="str">
        <f>IFERROR(__xludf.DUMMYFUNCTION("""COMPUTED_VALUE"""),"Grsoft")</f>
        <v>Grsoft</v>
      </c>
      <c r="V8652" s="33">
        <f>IFERROR(__xludf.DUMMYFUNCTION("""COMPUTED_VALUE"""),1.0)</f>
        <v>1</v>
      </c>
      <c r="W8652" s="4" t="str">
        <f>IFERROR(__xludf.DUMMYFUNCTION("""COMPUTED_VALUE"""),"Grsoft")</f>
        <v>Grsoft</v>
      </c>
      <c r="X8652" s="33">
        <f>IFERROR(__xludf.DUMMYFUNCTION("""COMPUTED_VALUE"""),1.0)</f>
        <v>1</v>
      </c>
    </row>
    <row r="8653">
      <c r="K8653" s="4" t="str">
        <f>IFERROR(__xludf.DUMMYFUNCTION("""COMPUTED_VALUE"""),"JARDIM GASTRONOMICO")</f>
        <v>JARDIM GASTRONOMICO</v>
      </c>
      <c r="L8653" s="32">
        <f>IFERROR(__xludf.DUMMYFUNCTION("""COMPUTED_VALUE"""),1.0)</f>
        <v>1</v>
      </c>
      <c r="M8653" s="4" t="str">
        <f>IFERROR(__xludf.DUMMYFUNCTION("""COMPUTED_VALUE"""),"Mobility Sistemas")</f>
        <v>Mobility Sistemas</v>
      </c>
      <c r="N8653" s="33">
        <f>IFERROR(__xludf.DUMMYFUNCTION("""COMPUTED_VALUE"""),1.0)</f>
        <v>1</v>
      </c>
      <c r="O8653" s="4" t="str">
        <f>IFERROR(__xludf.DUMMYFUNCTION("""COMPUTED_VALUE"""),"Mobility Sistemas")</f>
        <v>Mobility Sistemas</v>
      </c>
      <c r="P8653" s="33">
        <f>IFERROR(__xludf.DUMMYFUNCTION("""COMPUTED_VALUE"""),1.0)</f>
        <v>1</v>
      </c>
      <c r="Q8653" s="4" t="str">
        <f>IFERROR(__xludf.DUMMYFUNCTION("""COMPUTED_VALUE"""),"Mobility Sistemas")</f>
        <v>Mobility Sistemas</v>
      </c>
      <c r="R8653" s="33">
        <f>IFERROR(__xludf.DUMMYFUNCTION("""COMPUTED_VALUE"""),1.0)</f>
        <v>1</v>
      </c>
      <c r="S8653" s="4" t="str">
        <f>IFERROR(__xludf.DUMMYFUNCTION("""COMPUTED_VALUE"""),"Mobility Sistemas")</f>
        <v>Mobility Sistemas</v>
      </c>
      <c r="T8653" s="33">
        <f>IFERROR(__xludf.DUMMYFUNCTION("""COMPUTED_VALUE"""),1.0)</f>
        <v>1</v>
      </c>
      <c r="U8653" s="4" t="str">
        <f>IFERROR(__xludf.DUMMYFUNCTION("""COMPUTED_VALUE"""),"Mobility Sistemas")</f>
        <v>Mobility Sistemas</v>
      </c>
      <c r="V8653" s="33">
        <f>IFERROR(__xludf.DUMMYFUNCTION("""COMPUTED_VALUE"""),1.0)</f>
        <v>1</v>
      </c>
      <c r="W8653" s="4" t="str">
        <f>IFERROR(__xludf.DUMMYFUNCTION("""COMPUTED_VALUE"""),"Mobility Sistemas")</f>
        <v>Mobility Sistemas</v>
      </c>
      <c r="X8653" s="33">
        <f>IFERROR(__xludf.DUMMYFUNCTION("""COMPUTED_VALUE"""),1.0)</f>
        <v>1</v>
      </c>
    </row>
    <row r="8654">
      <c r="K8654" s="4" t="str">
        <f>IFERROR(__xludf.DUMMYFUNCTION("""COMPUTED_VALUE"""),"PADARIA DAS MARIAS")</f>
        <v>PADARIA DAS MARIAS</v>
      </c>
      <c r="L8654" s="32">
        <f>IFERROR(__xludf.DUMMYFUNCTION("""COMPUTED_VALUE"""),1.0)</f>
        <v>1</v>
      </c>
      <c r="M8654" s="4" t="str">
        <f>IFERROR(__xludf.DUMMYFUNCTION("""COMPUTED_VALUE"""),"Ncr")</f>
        <v>Ncr</v>
      </c>
      <c r="N8654" s="33">
        <f>IFERROR(__xludf.DUMMYFUNCTION("""COMPUTED_VALUE"""),1.0)</f>
        <v>1</v>
      </c>
      <c r="O8654" s="4" t="str">
        <f>IFERROR(__xludf.DUMMYFUNCTION("""COMPUTED_VALUE"""),"Ncr")</f>
        <v>Ncr</v>
      </c>
      <c r="P8654" s="33">
        <f>IFERROR(__xludf.DUMMYFUNCTION("""COMPUTED_VALUE"""),1.0)</f>
        <v>1</v>
      </c>
      <c r="Q8654" s="4" t="str">
        <f>IFERROR(__xludf.DUMMYFUNCTION("""COMPUTED_VALUE"""),"Ncr")</f>
        <v>Ncr</v>
      </c>
      <c r="R8654" s="33">
        <f>IFERROR(__xludf.DUMMYFUNCTION("""COMPUTED_VALUE"""),1.0)</f>
        <v>1</v>
      </c>
      <c r="S8654" s="4" t="str">
        <f>IFERROR(__xludf.DUMMYFUNCTION("""COMPUTED_VALUE"""),"Ncr")</f>
        <v>Ncr</v>
      </c>
      <c r="T8654" s="33">
        <f>IFERROR(__xludf.DUMMYFUNCTION("""COMPUTED_VALUE"""),1.0)</f>
        <v>1</v>
      </c>
      <c r="U8654" s="4" t="str">
        <f>IFERROR(__xludf.DUMMYFUNCTION("""COMPUTED_VALUE"""),"Ncr")</f>
        <v>Ncr</v>
      </c>
      <c r="V8654" s="33">
        <f>IFERROR(__xludf.DUMMYFUNCTION("""COMPUTED_VALUE"""),1.0)</f>
        <v>1</v>
      </c>
      <c r="W8654" s="4" t="str">
        <f>IFERROR(__xludf.DUMMYFUNCTION("""COMPUTED_VALUE"""),"Ncr")</f>
        <v>Ncr</v>
      </c>
      <c r="X8654" s="33">
        <f>IFERROR(__xludf.DUMMYFUNCTION("""COMPUTED_VALUE"""),1.0)</f>
        <v>1</v>
      </c>
    </row>
    <row r="8655">
      <c r="K8655" s="4" t="str">
        <f>IFERROR(__xludf.DUMMYFUNCTION("""COMPUTED_VALUE"""),"DELICIAS DA LOLO CONFEITARIA")</f>
        <v>DELICIAS DA LOLO CONFEITARIA</v>
      </c>
      <c r="L8655" s="32">
        <f>IFERROR(__xludf.DUMMYFUNCTION("""COMPUTED_VALUE"""),1.0)</f>
        <v>1</v>
      </c>
      <c r="M8655" s="4" t="str">
        <f>IFERROR(__xludf.DUMMYFUNCTION("""COMPUTED_VALUE"""),"Instadelivery")</f>
        <v>Instadelivery</v>
      </c>
      <c r="N8655" s="33">
        <f>IFERROR(__xludf.DUMMYFUNCTION("""COMPUTED_VALUE"""),1.0)</f>
        <v>1</v>
      </c>
      <c r="O8655" s="4" t="str">
        <f>IFERROR(__xludf.DUMMYFUNCTION("""COMPUTED_VALUE"""),"Instadelivery")</f>
        <v>Instadelivery</v>
      </c>
      <c r="P8655" s="33">
        <f>IFERROR(__xludf.DUMMYFUNCTION("""COMPUTED_VALUE"""),1.0)</f>
        <v>1</v>
      </c>
      <c r="Q8655" s="4" t="str">
        <f>IFERROR(__xludf.DUMMYFUNCTION("""COMPUTED_VALUE"""),"Instadelivery")</f>
        <v>Instadelivery</v>
      </c>
      <c r="R8655" s="33">
        <f>IFERROR(__xludf.DUMMYFUNCTION("""COMPUTED_VALUE"""),1.0)</f>
        <v>1</v>
      </c>
      <c r="S8655" s="4" t="str">
        <f>IFERROR(__xludf.DUMMYFUNCTION("""COMPUTED_VALUE"""),"Instadelivery")</f>
        <v>Instadelivery</v>
      </c>
      <c r="T8655" s="33">
        <f>IFERROR(__xludf.DUMMYFUNCTION("""COMPUTED_VALUE"""),1.0)</f>
        <v>1</v>
      </c>
      <c r="U8655" s="4" t="str">
        <f>IFERROR(__xludf.DUMMYFUNCTION("""COMPUTED_VALUE"""),"Instadelivery")</f>
        <v>Instadelivery</v>
      </c>
      <c r="V8655" s="33">
        <f>IFERROR(__xludf.DUMMYFUNCTION("""COMPUTED_VALUE"""),1.0)</f>
        <v>1</v>
      </c>
      <c r="W8655" s="4" t="str">
        <f>IFERROR(__xludf.DUMMYFUNCTION("""COMPUTED_VALUE"""),"Instadelivery")</f>
        <v>Instadelivery</v>
      </c>
      <c r="X8655" s="33">
        <f>IFERROR(__xludf.DUMMYFUNCTION("""COMPUTED_VALUE"""),1.0)</f>
        <v>1</v>
      </c>
    </row>
    <row r="8656">
      <c r="K8656" s="4" t="str">
        <f>IFERROR(__xludf.DUMMYFUNCTION("""COMPUTED_VALUE"""),"THE BROTHERS LANCHES")</f>
        <v>THE BROTHERS LANCHES</v>
      </c>
      <c r="L8656" s="32">
        <f>IFERROR(__xludf.DUMMYFUNCTION("""COMPUTED_VALUE"""),1.0)</f>
        <v>1</v>
      </c>
      <c r="M8656" s="4" t="str">
        <f>IFERROR(__xludf.DUMMYFUNCTION("""COMPUTED_VALUE"""),"Brendi")</f>
        <v>Brendi</v>
      </c>
      <c r="N8656" s="33">
        <f>IFERROR(__xludf.DUMMYFUNCTION("""COMPUTED_VALUE"""),1.0)</f>
        <v>1</v>
      </c>
      <c r="O8656" s="4" t="str">
        <f>IFERROR(__xludf.DUMMYFUNCTION("""COMPUTED_VALUE"""),"Brendi")</f>
        <v>Brendi</v>
      </c>
      <c r="P8656" s="33">
        <f>IFERROR(__xludf.DUMMYFUNCTION("""COMPUTED_VALUE"""),1.0)</f>
        <v>1</v>
      </c>
      <c r="Q8656" s="4" t="str">
        <f>IFERROR(__xludf.DUMMYFUNCTION("""COMPUTED_VALUE"""),"Brendi")</f>
        <v>Brendi</v>
      </c>
      <c r="R8656" s="33">
        <f>IFERROR(__xludf.DUMMYFUNCTION("""COMPUTED_VALUE"""),1.0)</f>
        <v>1</v>
      </c>
      <c r="S8656" s="4" t="str">
        <f>IFERROR(__xludf.DUMMYFUNCTION("""COMPUTED_VALUE"""),"Brendi")</f>
        <v>Brendi</v>
      </c>
      <c r="T8656" s="33">
        <f>IFERROR(__xludf.DUMMYFUNCTION("""COMPUTED_VALUE"""),1.0)</f>
        <v>1</v>
      </c>
      <c r="U8656" s="4" t="str">
        <f>IFERROR(__xludf.DUMMYFUNCTION("""COMPUTED_VALUE"""),"Brendi")</f>
        <v>Brendi</v>
      </c>
      <c r="V8656" s="33">
        <f>IFERROR(__xludf.DUMMYFUNCTION("""COMPUTED_VALUE"""),1.0)</f>
        <v>1</v>
      </c>
      <c r="W8656" s="4" t="str">
        <f>IFERROR(__xludf.DUMMYFUNCTION("""COMPUTED_VALUE"""),"Brendi")</f>
        <v>Brendi</v>
      </c>
      <c r="X8656" s="33">
        <f>IFERROR(__xludf.DUMMYFUNCTION("""COMPUTED_VALUE"""),1.0)</f>
        <v>1</v>
      </c>
    </row>
    <row r="8657">
      <c r="K8657" s="4" t="str">
        <f>IFERROR(__xludf.DUMMYFUNCTION("""COMPUTED_VALUE"""),"CHURRASCO NOTA 10")</f>
        <v>CHURRASCO NOTA 10</v>
      </c>
      <c r="L8657" s="32">
        <f>IFERROR(__xludf.DUMMYFUNCTION("""COMPUTED_VALUE"""),1.0)</f>
        <v>1</v>
      </c>
      <c r="M8657" s="4" t="str">
        <f>IFERROR(__xludf.DUMMYFUNCTION("""COMPUTED_VALUE"""),"Saipos Serviços De Software")</f>
        <v>Saipos Serviços De Software</v>
      </c>
      <c r="N8657" s="33">
        <f>IFERROR(__xludf.DUMMYFUNCTION("""COMPUTED_VALUE"""),1.0)</f>
        <v>1</v>
      </c>
      <c r="O8657" s="4" t="str">
        <f>IFERROR(__xludf.DUMMYFUNCTION("""COMPUTED_VALUE"""),"Saipos Serviços De Software")</f>
        <v>Saipos Serviços De Software</v>
      </c>
      <c r="P8657" s="33">
        <f>IFERROR(__xludf.DUMMYFUNCTION("""COMPUTED_VALUE"""),1.0)</f>
        <v>1</v>
      </c>
      <c r="Q8657" s="4" t="str">
        <f>IFERROR(__xludf.DUMMYFUNCTION("""COMPUTED_VALUE"""),"Saipos Serviços De Software")</f>
        <v>Saipos Serviços De Software</v>
      </c>
      <c r="R8657" s="33">
        <f>IFERROR(__xludf.DUMMYFUNCTION("""COMPUTED_VALUE"""),1.0)</f>
        <v>1</v>
      </c>
      <c r="S8657" s="4" t="str">
        <f>IFERROR(__xludf.DUMMYFUNCTION("""COMPUTED_VALUE"""),"Saipos Serviços De Software")</f>
        <v>Saipos Serviços De Software</v>
      </c>
      <c r="T8657" s="33">
        <f>IFERROR(__xludf.DUMMYFUNCTION("""COMPUTED_VALUE"""),1.0)</f>
        <v>1</v>
      </c>
      <c r="U8657" s="4" t="str">
        <f>IFERROR(__xludf.DUMMYFUNCTION("""COMPUTED_VALUE"""),"Saipos Serviços De Software")</f>
        <v>Saipos Serviços De Software</v>
      </c>
      <c r="V8657" s="33">
        <f>IFERROR(__xludf.DUMMYFUNCTION("""COMPUTED_VALUE"""),1.0)</f>
        <v>1</v>
      </c>
      <c r="W8657" s="4" t="str">
        <f>IFERROR(__xludf.DUMMYFUNCTION("""COMPUTED_VALUE"""),"Saipos Serviços De Software")</f>
        <v>Saipos Serviços De Software</v>
      </c>
      <c r="X8657" s="33">
        <f>IFERROR(__xludf.DUMMYFUNCTION("""COMPUTED_VALUE"""),1.0)</f>
        <v>1</v>
      </c>
    </row>
    <row r="8658">
      <c r="K8658" s="4" t="str">
        <f>IFERROR(__xludf.DUMMYFUNCTION("""COMPUTED_VALUE"""),"ACAI DA DEZE7")</f>
        <v>ACAI DA DEZE7</v>
      </c>
      <c r="L8658" s="32">
        <f>IFERROR(__xludf.DUMMYFUNCTION("""COMPUTED_VALUE"""),1.0)</f>
        <v>1</v>
      </c>
      <c r="M8658" s="4" t="str">
        <f>IFERROR(__xludf.DUMMYFUNCTION("""COMPUTED_VALUE"""),"Instadelivery")</f>
        <v>Instadelivery</v>
      </c>
      <c r="N8658" s="33">
        <f>IFERROR(__xludf.DUMMYFUNCTION("""COMPUTED_VALUE"""),1.0)</f>
        <v>1</v>
      </c>
      <c r="O8658" s="4" t="str">
        <f>IFERROR(__xludf.DUMMYFUNCTION("""COMPUTED_VALUE"""),"Instadelivery")</f>
        <v>Instadelivery</v>
      </c>
      <c r="P8658" s="33">
        <f>IFERROR(__xludf.DUMMYFUNCTION("""COMPUTED_VALUE"""),1.0)</f>
        <v>1</v>
      </c>
      <c r="Q8658" s="4" t="str">
        <f>IFERROR(__xludf.DUMMYFUNCTION("""COMPUTED_VALUE"""),"Instadelivery")</f>
        <v>Instadelivery</v>
      </c>
      <c r="R8658" s="33">
        <f>IFERROR(__xludf.DUMMYFUNCTION("""COMPUTED_VALUE"""),1.0)</f>
        <v>1</v>
      </c>
      <c r="S8658" s="4" t="str">
        <f>IFERROR(__xludf.DUMMYFUNCTION("""COMPUTED_VALUE"""),"Instadelivery")</f>
        <v>Instadelivery</v>
      </c>
      <c r="T8658" s="33">
        <f>IFERROR(__xludf.DUMMYFUNCTION("""COMPUTED_VALUE"""),1.0)</f>
        <v>1</v>
      </c>
      <c r="U8658" s="4" t="str">
        <f>IFERROR(__xludf.DUMMYFUNCTION("""COMPUTED_VALUE"""),"Instadelivery")</f>
        <v>Instadelivery</v>
      </c>
      <c r="V8658" s="33">
        <f>IFERROR(__xludf.DUMMYFUNCTION("""COMPUTED_VALUE"""),1.0)</f>
        <v>1</v>
      </c>
      <c r="W8658" s="4" t="str">
        <f>IFERROR(__xludf.DUMMYFUNCTION("""COMPUTED_VALUE"""),"Instadelivery")</f>
        <v>Instadelivery</v>
      </c>
      <c r="X8658" s="33">
        <f>IFERROR(__xludf.DUMMYFUNCTION("""COMPUTED_VALUE"""),1.0)</f>
        <v>1</v>
      </c>
    </row>
    <row r="8659">
      <c r="K8659" s="4" t="str">
        <f>IFERROR(__xludf.DUMMYFUNCTION("""COMPUTED_VALUE"""),"TARANTHELLA MASSAS MACARRAO GOURMET")</f>
        <v>TARANTHELLA MASSAS MACARRAO GOURMET</v>
      </c>
      <c r="L8659" s="32">
        <f>IFERROR(__xludf.DUMMYFUNCTION("""COMPUTED_VALUE"""),1.0)</f>
        <v>1</v>
      </c>
      <c r="M8659" s="4" t="str">
        <f>IFERROR(__xludf.DUMMYFUNCTION("""COMPUTED_VALUE"""),"Instadelivery")</f>
        <v>Instadelivery</v>
      </c>
      <c r="N8659" s="33">
        <f>IFERROR(__xludf.DUMMYFUNCTION("""COMPUTED_VALUE"""),1.0)</f>
        <v>1</v>
      </c>
      <c r="O8659" s="4" t="str">
        <f>IFERROR(__xludf.DUMMYFUNCTION("""COMPUTED_VALUE"""),"Instadelivery")</f>
        <v>Instadelivery</v>
      </c>
      <c r="P8659" s="33">
        <f>IFERROR(__xludf.DUMMYFUNCTION("""COMPUTED_VALUE"""),1.0)</f>
        <v>1</v>
      </c>
      <c r="Q8659" s="4" t="str">
        <f>IFERROR(__xludf.DUMMYFUNCTION("""COMPUTED_VALUE"""),"Instadelivery")</f>
        <v>Instadelivery</v>
      </c>
      <c r="R8659" s="33">
        <f>IFERROR(__xludf.DUMMYFUNCTION("""COMPUTED_VALUE"""),1.0)</f>
        <v>1</v>
      </c>
      <c r="S8659" s="4" t="str">
        <f>IFERROR(__xludf.DUMMYFUNCTION("""COMPUTED_VALUE"""),"Instadelivery")</f>
        <v>Instadelivery</v>
      </c>
      <c r="T8659" s="33">
        <f>IFERROR(__xludf.DUMMYFUNCTION("""COMPUTED_VALUE"""),1.0)</f>
        <v>1</v>
      </c>
      <c r="U8659" s="4" t="str">
        <f>IFERROR(__xludf.DUMMYFUNCTION("""COMPUTED_VALUE"""),"Instadelivery")</f>
        <v>Instadelivery</v>
      </c>
      <c r="V8659" s="33">
        <f>IFERROR(__xludf.DUMMYFUNCTION("""COMPUTED_VALUE"""),1.0)</f>
        <v>1</v>
      </c>
      <c r="W8659" s="4" t="str">
        <f>IFERROR(__xludf.DUMMYFUNCTION("""COMPUTED_VALUE"""),"Instadelivery")</f>
        <v>Instadelivery</v>
      </c>
      <c r="X8659" s="33">
        <f>IFERROR(__xludf.DUMMYFUNCTION("""COMPUTED_VALUE"""),1.0)</f>
        <v>1</v>
      </c>
    </row>
    <row r="8660">
      <c r="K8660" s="4" t="str">
        <f>IFERROR(__xludf.DUMMYFUNCTION("""COMPUTED_VALUE"""),"PIZZARIA E LANCHERIA MAMMA LUIZA")</f>
        <v>PIZZARIA E LANCHERIA MAMMA LUIZA</v>
      </c>
      <c r="L8660" s="32">
        <f>IFERROR(__xludf.DUMMYFUNCTION("""COMPUTED_VALUE"""),1.0)</f>
        <v>1</v>
      </c>
      <c r="M8660" s="4" t="str">
        <f>IFERROR(__xludf.DUMMYFUNCTION("""COMPUTED_VALUE"""),"Anota Ai Solucoes Digitais S/a")</f>
        <v>Anota Ai Solucoes Digitais S/a</v>
      </c>
      <c r="N8660" s="33">
        <f>IFERROR(__xludf.DUMMYFUNCTION("""COMPUTED_VALUE"""),1.0)</f>
        <v>1</v>
      </c>
      <c r="O8660" s="4" t="str">
        <f>IFERROR(__xludf.DUMMYFUNCTION("""COMPUTED_VALUE"""),"Anota Ai Solucoes Digitais S/a")</f>
        <v>Anota Ai Solucoes Digitais S/a</v>
      </c>
      <c r="P8660" s="33">
        <f>IFERROR(__xludf.DUMMYFUNCTION("""COMPUTED_VALUE"""),1.0)</f>
        <v>1</v>
      </c>
      <c r="Q8660" s="4" t="str">
        <f>IFERROR(__xludf.DUMMYFUNCTION("""COMPUTED_VALUE"""),"Anota Ai Solucoes Digitais S/a")</f>
        <v>Anota Ai Solucoes Digitais S/a</v>
      </c>
      <c r="R8660" s="33">
        <f>IFERROR(__xludf.DUMMYFUNCTION("""COMPUTED_VALUE"""),1.0)</f>
        <v>1</v>
      </c>
      <c r="S8660" s="4" t="str">
        <f>IFERROR(__xludf.DUMMYFUNCTION("""COMPUTED_VALUE"""),"Anota Ai Solucoes Digitais S/a")</f>
        <v>Anota Ai Solucoes Digitais S/a</v>
      </c>
      <c r="T8660" s="33">
        <f>IFERROR(__xludf.DUMMYFUNCTION("""COMPUTED_VALUE"""),1.0)</f>
        <v>1</v>
      </c>
      <c r="U8660" s="4" t="str">
        <f>IFERROR(__xludf.DUMMYFUNCTION("""COMPUTED_VALUE"""),"null")</f>
        <v>null</v>
      </c>
      <c r="V8660" s="33">
        <f>IFERROR(__xludf.DUMMYFUNCTION("""COMPUTED_VALUE"""),1.0)</f>
        <v>1</v>
      </c>
      <c r="W8660" s="4" t="str">
        <f>IFERROR(__xludf.DUMMYFUNCTION("""COMPUTED_VALUE"""),"Anota Ai Solucoes Digitais S/a")</f>
        <v>Anota Ai Solucoes Digitais S/a</v>
      </c>
      <c r="X8660" s="33">
        <f>IFERROR(__xludf.DUMMYFUNCTION("""COMPUTED_VALUE"""),1.0)</f>
        <v>1</v>
      </c>
    </row>
    <row r="8661">
      <c r="K8661" s="4" t="str">
        <f>IFERROR(__xludf.DUMMYFUNCTION("""COMPUTED_VALUE"""),"ACAI NO GRAU SACI")</f>
        <v>ACAI NO GRAU SACI</v>
      </c>
      <c r="L8661" s="32">
        <f>IFERROR(__xludf.DUMMYFUNCTION("""COMPUTED_VALUE"""),1.0)</f>
        <v>1</v>
      </c>
      <c r="M8661" s="4" t="str">
        <f>IFERROR(__xludf.DUMMYFUNCTION("""COMPUTED_VALUE"""),"Saipos Serviços De Software")</f>
        <v>Saipos Serviços De Software</v>
      </c>
      <c r="N8661" s="33">
        <f>IFERROR(__xludf.DUMMYFUNCTION("""COMPUTED_VALUE"""),1.0)</f>
        <v>1</v>
      </c>
      <c r="O8661" s="4" t="str">
        <f>IFERROR(__xludf.DUMMYFUNCTION("""COMPUTED_VALUE"""),"Saipos Serviços De Software")</f>
        <v>Saipos Serviços De Software</v>
      </c>
      <c r="P8661" s="33">
        <f>IFERROR(__xludf.DUMMYFUNCTION("""COMPUTED_VALUE"""),1.0)</f>
        <v>1</v>
      </c>
      <c r="Q8661" s="4" t="str">
        <f>IFERROR(__xludf.DUMMYFUNCTION("""COMPUTED_VALUE"""),"Saipos Serviços De Software")</f>
        <v>Saipos Serviços De Software</v>
      </c>
      <c r="R8661" s="33">
        <f>IFERROR(__xludf.DUMMYFUNCTION("""COMPUTED_VALUE"""),1.0)</f>
        <v>1</v>
      </c>
      <c r="S8661" s="4" t="str">
        <f>IFERROR(__xludf.DUMMYFUNCTION("""COMPUTED_VALUE"""),"Saipos Serviços De Software")</f>
        <v>Saipos Serviços De Software</v>
      </c>
      <c r="T8661" s="33">
        <f>IFERROR(__xludf.DUMMYFUNCTION("""COMPUTED_VALUE"""),1.0)</f>
        <v>1</v>
      </c>
      <c r="U8661" s="4" t="str">
        <f>IFERROR(__xludf.DUMMYFUNCTION("""COMPUTED_VALUE"""),"Saipos Serviços De Software")</f>
        <v>Saipos Serviços De Software</v>
      </c>
      <c r="V8661" s="33">
        <f>IFERROR(__xludf.DUMMYFUNCTION("""COMPUTED_VALUE"""),1.0)</f>
        <v>1</v>
      </c>
      <c r="W8661" s="4" t="str">
        <f>IFERROR(__xludf.DUMMYFUNCTION("""COMPUTED_VALUE"""),"Saipos Serviços De Software")</f>
        <v>Saipos Serviços De Software</v>
      </c>
      <c r="X8661" s="33">
        <f>IFERROR(__xludf.DUMMYFUNCTION("""COMPUTED_VALUE"""),1.0)</f>
        <v>1</v>
      </c>
    </row>
    <row r="8662">
      <c r="K8662" s="4" t="str">
        <f>IFERROR(__xludf.DUMMYFUNCTION("""COMPUTED_VALUE"""),"POWER MIX")</f>
        <v>POWER MIX</v>
      </c>
      <c r="L8662" s="32">
        <f>IFERROR(__xludf.DUMMYFUNCTION("""COMPUTED_VALUE"""),1.0)</f>
        <v>1</v>
      </c>
      <c r="M8662" s="4" t="str">
        <f>IFERROR(__xludf.DUMMYFUNCTION("""COMPUTED_VALUE"""),"Saipos Serviços De Software")</f>
        <v>Saipos Serviços De Software</v>
      </c>
      <c r="N8662" s="33">
        <f>IFERROR(__xludf.DUMMYFUNCTION("""COMPUTED_VALUE"""),1.0)</f>
        <v>1</v>
      </c>
      <c r="O8662" s="4" t="str">
        <f>IFERROR(__xludf.DUMMYFUNCTION("""COMPUTED_VALUE"""),"Saipos Serviços De Software")</f>
        <v>Saipos Serviços De Software</v>
      </c>
      <c r="P8662" s="33">
        <f>IFERROR(__xludf.DUMMYFUNCTION("""COMPUTED_VALUE"""),1.0)</f>
        <v>1</v>
      </c>
      <c r="Q8662" s="4" t="str">
        <f>IFERROR(__xludf.DUMMYFUNCTION("""COMPUTED_VALUE"""),"Saipos Serviços De Software")</f>
        <v>Saipos Serviços De Software</v>
      </c>
      <c r="R8662" s="33">
        <f>IFERROR(__xludf.DUMMYFUNCTION("""COMPUTED_VALUE"""),1.0)</f>
        <v>1</v>
      </c>
      <c r="S8662" s="4" t="str">
        <f>IFERROR(__xludf.DUMMYFUNCTION("""COMPUTED_VALUE"""),"Saipos Serviços De Software")</f>
        <v>Saipos Serviços De Software</v>
      </c>
      <c r="T8662" s="33">
        <f>IFERROR(__xludf.DUMMYFUNCTION("""COMPUTED_VALUE"""),1.0)</f>
        <v>1</v>
      </c>
      <c r="U8662" s="4" t="str">
        <f>IFERROR(__xludf.DUMMYFUNCTION("""COMPUTED_VALUE"""),"Saipos Serviços De Software")</f>
        <v>Saipos Serviços De Software</v>
      </c>
      <c r="V8662" s="33">
        <f>IFERROR(__xludf.DUMMYFUNCTION("""COMPUTED_VALUE"""),1.0)</f>
        <v>1</v>
      </c>
      <c r="W8662" s="4" t="str">
        <f>IFERROR(__xludf.DUMMYFUNCTION("""COMPUTED_VALUE"""),"Saipos Serviços De Software")</f>
        <v>Saipos Serviços De Software</v>
      </c>
      <c r="X8662" s="33">
        <f>IFERROR(__xludf.DUMMYFUNCTION("""COMPUTED_VALUE"""),1.0)</f>
        <v>1</v>
      </c>
    </row>
    <row r="8663">
      <c r="K8663" s="4" t="str">
        <f>IFERROR(__xludf.DUMMYFUNCTION("""COMPUTED_VALUE"""),"ACAI PPIU")</f>
        <v>ACAI PPIU</v>
      </c>
      <c r="L8663" s="32">
        <f>IFERROR(__xludf.DUMMYFUNCTION("""COMPUTED_VALUE"""),1.0)</f>
        <v>1</v>
      </c>
      <c r="M8663" s="4" t="str">
        <f>IFERROR(__xludf.DUMMYFUNCTION("""COMPUTED_VALUE"""),"Gama Tecnologias Ltda")</f>
        <v>Gama Tecnologias Ltda</v>
      </c>
      <c r="N8663" s="33">
        <f>IFERROR(__xludf.DUMMYFUNCTION("""COMPUTED_VALUE"""),1.0)</f>
        <v>1</v>
      </c>
      <c r="O8663" s="4" t="str">
        <f>IFERROR(__xludf.DUMMYFUNCTION("""COMPUTED_VALUE"""),"Gama Tecnologias Ltda")</f>
        <v>Gama Tecnologias Ltda</v>
      </c>
      <c r="P8663" s="33">
        <f>IFERROR(__xludf.DUMMYFUNCTION("""COMPUTED_VALUE"""),1.0)</f>
        <v>1</v>
      </c>
      <c r="Q8663" s="4" t="str">
        <f>IFERROR(__xludf.DUMMYFUNCTION("""COMPUTED_VALUE"""),"Gama Tecnologias Ltda")</f>
        <v>Gama Tecnologias Ltda</v>
      </c>
      <c r="R8663" s="33">
        <f>IFERROR(__xludf.DUMMYFUNCTION("""COMPUTED_VALUE"""),1.0)</f>
        <v>1</v>
      </c>
      <c r="S8663" s="4" t="str">
        <f>IFERROR(__xludf.DUMMYFUNCTION("""COMPUTED_VALUE"""),"Gama Tecnologias Ltda")</f>
        <v>Gama Tecnologias Ltda</v>
      </c>
      <c r="T8663" s="33">
        <f>IFERROR(__xludf.DUMMYFUNCTION("""COMPUTED_VALUE"""),1.0)</f>
        <v>1</v>
      </c>
      <c r="U8663" s="4" t="str">
        <f>IFERROR(__xludf.DUMMYFUNCTION("""COMPUTED_VALUE"""),"Gama Tecnologias Ltda")</f>
        <v>Gama Tecnologias Ltda</v>
      </c>
      <c r="V8663" s="33">
        <f>IFERROR(__xludf.DUMMYFUNCTION("""COMPUTED_VALUE"""),1.0)</f>
        <v>1</v>
      </c>
      <c r="W8663" s="4" t="str">
        <f>IFERROR(__xludf.DUMMYFUNCTION("""COMPUTED_VALUE"""),"Gama Tecnologias Ltda")</f>
        <v>Gama Tecnologias Ltda</v>
      </c>
      <c r="X8663" s="33">
        <f>IFERROR(__xludf.DUMMYFUNCTION("""COMPUTED_VALUE"""),1.0)</f>
        <v>1</v>
      </c>
    </row>
    <row r="8664">
      <c r="K8664" s="4" t="str">
        <f>IFERROR(__xludf.DUMMYFUNCTION("""COMPUTED_VALUE"""),"OLEGARIO")</f>
        <v>OLEGARIO</v>
      </c>
      <c r="L8664" s="32">
        <f>IFERROR(__xludf.DUMMYFUNCTION("""COMPUTED_VALUE"""),1.0)</f>
        <v>1</v>
      </c>
      <c r="M8664" s="4" t="str">
        <f>IFERROR(__xludf.DUMMYFUNCTION("""COMPUTED_VALUE"""),"null")</f>
        <v>null</v>
      </c>
      <c r="N8664" s="33">
        <f>IFERROR(__xludf.DUMMYFUNCTION("""COMPUTED_VALUE"""),1.0)</f>
        <v>1</v>
      </c>
      <c r="O8664" s="4" t="str">
        <f>IFERROR(__xludf.DUMMYFUNCTION("""COMPUTED_VALUE"""),"null")</f>
        <v>null</v>
      </c>
      <c r="P8664" s="33">
        <f>IFERROR(__xludf.DUMMYFUNCTION("""COMPUTED_VALUE"""),1.0)</f>
        <v>1</v>
      </c>
      <c r="Q8664" s="4" t="str">
        <f>IFERROR(__xludf.DUMMYFUNCTION("""COMPUTED_VALUE"""),"null")</f>
        <v>null</v>
      </c>
      <c r="R8664" s="33">
        <f>IFERROR(__xludf.DUMMYFUNCTION("""COMPUTED_VALUE"""),1.0)</f>
        <v>1</v>
      </c>
      <c r="S8664" s="4" t="str">
        <f>IFERROR(__xludf.DUMMYFUNCTION("""COMPUTED_VALUE"""),"null")</f>
        <v>null</v>
      </c>
      <c r="T8664" s="33">
        <f>IFERROR(__xludf.DUMMYFUNCTION("""COMPUTED_VALUE"""),1.0)</f>
        <v>1</v>
      </c>
      <c r="U8664" s="4" t="str">
        <f>IFERROR(__xludf.DUMMYFUNCTION("""COMPUTED_VALUE"""),"null")</f>
        <v>null</v>
      </c>
      <c r="V8664" s="33">
        <f>IFERROR(__xludf.DUMMYFUNCTION("""COMPUTED_VALUE"""),1.0)</f>
        <v>1</v>
      </c>
      <c r="W8664" s="4" t="str">
        <f>IFERROR(__xludf.DUMMYFUNCTION("""COMPUTED_VALUE"""),"Stone Co.")</f>
        <v>Stone Co.</v>
      </c>
      <c r="X8664" s="33">
        <f>IFERROR(__xludf.DUMMYFUNCTION("""COMPUTED_VALUE"""),1.0)</f>
        <v>1</v>
      </c>
    </row>
    <row r="8665">
      <c r="K8665" s="4" t="str">
        <f>IFERROR(__xludf.DUMMYFUNCTION("""COMPUTED_VALUE"""),"SUA COXINHA FABRICA DE SALGADOS - MIRNA")</f>
        <v>SUA COXINHA FABRICA DE SALGADOS - MIRNA</v>
      </c>
      <c r="L8665" s="32">
        <f>IFERROR(__xludf.DUMMYFUNCTION("""COMPUTED_VALUE"""),1.0)</f>
        <v>1</v>
      </c>
      <c r="M8665" s="4" t="str">
        <f>IFERROR(__xludf.DUMMYFUNCTION("""COMPUTED_VALUE"""),"Yooga")</f>
        <v>Yooga</v>
      </c>
      <c r="N8665" s="33">
        <f>IFERROR(__xludf.DUMMYFUNCTION("""COMPUTED_VALUE"""),1.0)</f>
        <v>1</v>
      </c>
      <c r="O8665" s="4" t="str">
        <f>IFERROR(__xludf.DUMMYFUNCTION("""COMPUTED_VALUE"""),"Yooga")</f>
        <v>Yooga</v>
      </c>
      <c r="P8665" s="33">
        <f>IFERROR(__xludf.DUMMYFUNCTION("""COMPUTED_VALUE"""),1.0)</f>
        <v>1</v>
      </c>
      <c r="Q8665" s="4" t="str">
        <f>IFERROR(__xludf.DUMMYFUNCTION("""COMPUTED_VALUE"""),"Yooga")</f>
        <v>Yooga</v>
      </c>
      <c r="R8665" s="33">
        <f>IFERROR(__xludf.DUMMYFUNCTION("""COMPUTED_VALUE"""),1.0)</f>
        <v>1</v>
      </c>
      <c r="S8665" s="4" t="str">
        <f>IFERROR(__xludf.DUMMYFUNCTION("""COMPUTED_VALUE"""),"Yooga")</f>
        <v>Yooga</v>
      </c>
      <c r="T8665" s="33">
        <f>IFERROR(__xludf.DUMMYFUNCTION("""COMPUTED_VALUE"""),1.0)</f>
        <v>1</v>
      </c>
      <c r="U8665" s="4" t="str">
        <f>IFERROR(__xludf.DUMMYFUNCTION("""COMPUTED_VALUE"""),"Yooga")</f>
        <v>Yooga</v>
      </c>
      <c r="V8665" s="33">
        <f>IFERROR(__xludf.DUMMYFUNCTION("""COMPUTED_VALUE"""),1.0)</f>
        <v>1</v>
      </c>
      <c r="W8665" s="4" t="str">
        <f>IFERROR(__xludf.DUMMYFUNCTION("""COMPUTED_VALUE"""),"Yooga")</f>
        <v>Yooga</v>
      </c>
      <c r="X8665" s="33">
        <f>IFERROR(__xludf.DUMMYFUNCTION("""COMPUTED_VALUE"""),1.0)</f>
        <v>1</v>
      </c>
    </row>
    <row r="8666">
      <c r="K8666" s="4" t="str">
        <f>IFERROR(__xludf.DUMMYFUNCTION("""COMPUTED_VALUE"""),"CENTER ACAI")</f>
        <v>CENTER ACAI</v>
      </c>
      <c r="L8666" s="32">
        <f>IFERROR(__xludf.DUMMYFUNCTION("""COMPUTED_VALUE"""),1.0)</f>
        <v>1</v>
      </c>
      <c r="M8666" s="4" t="str">
        <f>IFERROR(__xludf.DUMMYFUNCTION("""COMPUTED_VALUE"""),"Saipos Serviços De Software")</f>
        <v>Saipos Serviços De Software</v>
      </c>
      <c r="N8666" s="33">
        <f>IFERROR(__xludf.DUMMYFUNCTION("""COMPUTED_VALUE"""),1.0)</f>
        <v>1</v>
      </c>
      <c r="O8666" s="4" t="str">
        <f>IFERROR(__xludf.DUMMYFUNCTION("""COMPUTED_VALUE"""),"Saipos Serviços De Software")</f>
        <v>Saipos Serviços De Software</v>
      </c>
      <c r="P8666" s="33">
        <f>IFERROR(__xludf.DUMMYFUNCTION("""COMPUTED_VALUE"""),1.0)</f>
        <v>1</v>
      </c>
      <c r="Q8666" s="4" t="str">
        <f>IFERROR(__xludf.DUMMYFUNCTION("""COMPUTED_VALUE"""),"Saipos Serviços De Software")</f>
        <v>Saipos Serviços De Software</v>
      </c>
      <c r="R8666" s="33">
        <f>IFERROR(__xludf.DUMMYFUNCTION("""COMPUTED_VALUE"""),1.0)</f>
        <v>1</v>
      </c>
      <c r="S8666" s="4" t="str">
        <f>IFERROR(__xludf.DUMMYFUNCTION("""COMPUTED_VALUE"""),"null")</f>
        <v>null</v>
      </c>
      <c r="T8666" s="33">
        <f>IFERROR(__xludf.DUMMYFUNCTION("""COMPUTED_VALUE"""),1.0)</f>
        <v>1</v>
      </c>
      <c r="U8666" s="4" t="str">
        <f>IFERROR(__xludf.DUMMYFUNCTION("""COMPUTED_VALUE"""),"null")</f>
        <v>null</v>
      </c>
      <c r="V8666" s="33">
        <f>IFERROR(__xludf.DUMMYFUNCTION("""COMPUTED_VALUE"""),1.0)</f>
        <v>1</v>
      </c>
      <c r="W8666" s="4" t="str">
        <f>IFERROR(__xludf.DUMMYFUNCTION("""COMPUTED_VALUE"""),"null")</f>
        <v>null</v>
      </c>
      <c r="X8666" s="33">
        <f>IFERROR(__xludf.DUMMYFUNCTION("""COMPUTED_VALUE"""),1.0)</f>
        <v>1</v>
      </c>
    </row>
    <row r="8667">
      <c r="K8667" s="4" t="str">
        <f>IFERROR(__xludf.DUMMYFUNCTION("""COMPUTED_VALUE"""),"ACAI DA PRETA")</f>
        <v>ACAI DA PRETA</v>
      </c>
      <c r="L8667" s="32">
        <f>IFERROR(__xludf.DUMMYFUNCTION("""COMPUTED_VALUE"""),1.0)</f>
        <v>1</v>
      </c>
      <c r="M8667" s="4" t="str">
        <f>IFERROR(__xludf.DUMMYFUNCTION("""COMPUTED_VALUE"""),"null")</f>
        <v>null</v>
      </c>
      <c r="N8667" s="33">
        <f>IFERROR(__xludf.DUMMYFUNCTION("""COMPUTED_VALUE"""),1.0)</f>
        <v>1</v>
      </c>
      <c r="O8667" s="4" t="str">
        <f>IFERROR(__xludf.DUMMYFUNCTION("""COMPUTED_VALUE"""),"null")</f>
        <v>null</v>
      </c>
      <c r="P8667" s="33">
        <f>IFERROR(__xludf.DUMMYFUNCTION("""COMPUTED_VALUE"""),1.0)</f>
        <v>1</v>
      </c>
      <c r="Q8667" s="4" t="str">
        <f>IFERROR(__xludf.DUMMYFUNCTION("""COMPUTED_VALUE"""),"null")</f>
        <v>null</v>
      </c>
      <c r="R8667" s="33">
        <f>IFERROR(__xludf.DUMMYFUNCTION("""COMPUTED_VALUE"""),1.0)</f>
        <v>1</v>
      </c>
      <c r="S8667" s="4" t="str">
        <f>IFERROR(__xludf.DUMMYFUNCTION("""COMPUTED_VALUE"""),"Instadelivery")</f>
        <v>Instadelivery</v>
      </c>
      <c r="T8667" s="33">
        <f>IFERROR(__xludf.DUMMYFUNCTION("""COMPUTED_VALUE"""),1.0)</f>
        <v>1</v>
      </c>
      <c r="U8667" s="4" t="str">
        <f>IFERROR(__xludf.DUMMYFUNCTION("""COMPUTED_VALUE"""),"Instadelivery")</f>
        <v>Instadelivery</v>
      </c>
      <c r="V8667" s="33">
        <f>IFERROR(__xludf.DUMMYFUNCTION("""COMPUTED_VALUE"""),1.0)</f>
        <v>1</v>
      </c>
      <c r="W8667" s="4" t="str">
        <f>IFERROR(__xludf.DUMMYFUNCTION("""COMPUTED_VALUE"""),"Instadelivery")</f>
        <v>Instadelivery</v>
      </c>
      <c r="X8667" s="33">
        <f>IFERROR(__xludf.DUMMYFUNCTION("""COMPUTED_VALUE"""),1.0)</f>
        <v>1</v>
      </c>
    </row>
    <row r="8668">
      <c r="K8668" s="4" t="str">
        <f>IFERROR(__xludf.DUMMYFUNCTION("""COMPUTED_VALUE"""),"FOME ZERO")</f>
        <v>FOME ZERO</v>
      </c>
      <c r="L8668" s="32">
        <f>IFERROR(__xludf.DUMMYFUNCTION("""COMPUTED_VALUE"""),1.0)</f>
        <v>1</v>
      </c>
      <c r="M8668" s="4" t="str">
        <f>IFERROR(__xludf.DUMMYFUNCTION("""COMPUTED_VALUE"""),"Grsoft")</f>
        <v>Grsoft</v>
      </c>
      <c r="N8668" s="33">
        <f>IFERROR(__xludf.DUMMYFUNCTION("""COMPUTED_VALUE"""),1.0)</f>
        <v>1</v>
      </c>
      <c r="O8668" s="4" t="str">
        <f>IFERROR(__xludf.DUMMYFUNCTION("""COMPUTED_VALUE"""),"Grsoft")</f>
        <v>Grsoft</v>
      </c>
      <c r="P8668" s="33">
        <f>IFERROR(__xludf.DUMMYFUNCTION("""COMPUTED_VALUE"""),1.0)</f>
        <v>1</v>
      </c>
      <c r="Q8668" s="4" t="str">
        <f>IFERROR(__xludf.DUMMYFUNCTION("""COMPUTED_VALUE"""),"Grsoft")</f>
        <v>Grsoft</v>
      </c>
      <c r="R8668" s="33">
        <f>IFERROR(__xludf.DUMMYFUNCTION("""COMPUTED_VALUE"""),1.0)</f>
        <v>1</v>
      </c>
      <c r="S8668" s="4" t="str">
        <f>IFERROR(__xludf.DUMMYFUNCTION("""COMPUTED_VALUE"""),"Grsoft")</f>
        <v>Grsoft</v>
      </c>
      <c r="T8668" s="33">
        <f>IFERROR(__xludf.DUMMYFUNCTION("""COMPUTED_VALUE"""),1.0)</f>
        <v>1</v>
      </c>
      <c r="U8668" s="4" t="str">
        <f>IFERROR(__xludf.DUMMYFUNCTION("""COMPUTED_VALUE"""),"Grsoft")</f>
        <v>Grsoft</v>
      </c>
      <c r="V8668" s="33">
        <f>IFERROR(__xludf.DUMMYFUNCTION("""COMPUTED_VALUE"""),1.0)</f>
        <v>1</v>
      </c>
      <c r="W8668" s="4" t="str">
        <f>IFERROR(__xludf.DUMMYFUNCTION("""COMPUTED_VALUE"""),"Grsoft")</f>
        <v>Grsoft</v>
      </c>
      <c r="X8668" s="33">
        <f>IFERROR(__xludf.DUMMYFUNCTION("""COMPUTED_VALUE"""),1.0)</f>
        <v>1</v>
      </c>
    </row>
    <row r="8669">
      <c r="K8669" s="4" t="str">
        <f>IFERROR(__xludf.DUMMYFUNCTION("""COMPUTED_VALUE"""),"GELO E GELA PONTA NEGRA")</f>
        <v>GELO E GELA PONTA NEGRA</v>
      </c>
      <c r="L8669" s="32">
        <f>IFERROR(__xludf.DUMMYFUNCTION("""COMPUTED_VALUE"""),1.0)</f>
        <v>1</v>
      </c>
      <c r="M8669" s="4" t="str">
        <f>IFERROR(__xludf.DUMMYFUNCTION("""COMPUTED_VALUE"""),"Netcontroll Xmenu")</f>
        <v>Netcontroll Xmenu</v>
      </c>
      <c r="N8669" s="33">
        <f>IFERROR(__xludf.DUMMYFUNCTION("""COMPUTED_VALUE"""),1.0)</f>
        <v>1</v>
      </c>
      <c r="O8669" s="4" t="str">
        <f>IFERROR(__xludf.DUMMYFUNCTION("""COMPUTED_VALUE"""),"Netcontroll Xmenu")</f>
        <v>Netcontroll Xmenu</v>
      </c>
      <c r="P8669" s="33">
        <f>IFERROR(__xludf.DUMMYFUNCTION("""COMPUTED_VALUE"""),1.0)</f>
        <v>1</v>
      </c>
      <c r="Q8669" s="4" t="str">
        <f>IFERROR(__xludf.DUMMYFUNCTION("""COMPUTED_VALUE"""),"Netcontroll Xmenu")</f>
        <v>Netcontroll Xmenu</v>
      </c>
      <c r="R8669" s="33">
        <f>IFERROR(__xludf.DUMMYFUNCTION("""COMPUTED_VALUE"""),1.0)</f>
        <v>1</v>
      </c>
      <c r="S8669" s="4" t="str">
        <f>IFERROR(__xludf.DUMMYFUNCTION("""COMPUTED_VALUE"""),"Netcontroll Xmenu")</f>
        <v>Netcontroll Xmenu</v>
      </c>
      <c r="T8669" s="33">
        <f>IFERROR(__xludf.DUMMYFUNCTION("""COMPUTED_VALUE"""),1.0)</f>
        <v>1</v>
      </c>
      <c r="U8669" s="4" t="str">
        <f>IFERROR(__xludf.DUMMYFUNCTION("""COMPUTED_VALUE"""),"Netcontroll Xmenu")</f>
        <v>Netcontroll Xmenu</v>
      </c>
      <c r="V8669" s="33">
        <f>IFERROR(__xludf.DUMMYFUNCTION("""COMPUTED_VALUE"""),1.0)</f>
        <v>1</v>
      </c>
      <c r="W8669" s="4" t="str">
        <f>IFERROR(__xludf.DUMMYFUNCTION("""COMPUTED_VALUE"""),"Netcontroll Xmenu")</f>
        <v>Netcontroll Xmenu</v>
      </c>
      <c r="X8669" s="33">
        <f>IFERROR(__xludf.DUMMYFUNCTION("""COMPUTED_VALUE"""),1.0)</f>
        <v>1</v>
      </c>
    </row>
    <row r="8670">
      <c r="K8670" s="4" t="str">
        <f>IFERROR(__xludf.DUMMYFUNCTION("""COMPUTED_VALUE"""),"JANELA BURGER TRAMANDAI")</f>
        <v>JANELA BURGER TRAMANDAI</v>
      </c>
      <c r="L8670" s="32">
        <f>IFERROR(__xludf.DUMMYFUNCTION("""COMPUTED_VALUE"""),1.0)</f>
        <v>1</v>
      </c>
      <c r="M8670" s="4" t="str">
        <f>IFERROR(__xludf.DUMMYFUNCTION("""COMPUTED_VALUE"""),"Alpha Logo")</f>
        <v>Alpha Logo</v>
      </c>
      <c r="N8670" s="33">
        <f>IFERROR(__xludf.DUMMYFUNCTION("""COMPUTED_VALUE"""),1.0)</f>
        <v>1</v>
      </c>
      <c r="O8670" s="4" t="str">
        <f>IFERROR(__xludf.DUMMYFUNCTION("""COMPUTED_VALUE"""),"Alpha Logo")</f>
        <v>Alpha Logo</v>
      </c>
      <c r="P8670" s="33">
        <f>IFERROR(__xludf.DUMMYFUNCTION("""COMPUTED_VALUE"""),1.0)</f>
        <v>1</v>
      </c>
      <c r="Q8670" s="4" t="str">
        <f>IFERROR(__xludf.DUMMYFUNCTION("""COMPUTED_VALUE"""),"Alpha Logo")</f>
        <v>Alpha Logo</v>
      </c>
      <c r="R8670" s="33">
        <f>IFERROR(__xludf.DUMMYFUNCTION("""COMPUTED_VALUE"""),1.0)</f>
        <v>1</v>
      </c>
      <c r="S8670" s="4" t="str">
        <f>IFERROR(__xludf.DUMMYFUNCTION("""COMPUTED_VALUE"""),"Alpha Logo")</f>
        <v>Alpha Logo</v>
      </c>
      <c r="T8670" s="33">
        <f>IFERROR(__xludf.DUMMYFUNCTION("""COMPUTED_VALUE"""),1.0)</f>
        <v>1</v>
      </c>
      <c r="U8670" s="4" t="str">
        <f>IFERROR(__xludf.DUMMYFUNCTION("""COMPUTED_VALUE"""),"Alpha Logo")</f>
        <v>Alpha Logo</v>
      </c>
      <c r="V8670" s="33">
        <f>IFERROR(__xludf.DUMMYFUNCTION("""COMPUTED_VALUE"""),1.0)</f>
        <v>1</v>
      </c>
      <c r="W8670" s="4" t="str">
        <f>IFERROR(__xludf.DUMMYFUNCTION("""COMPUTED_VALUE"""),"Alpha Logo")</f>
        <v>Alpha Logo</v>
      </c>
      <c r="X8670" s="33">
        <f>IFERROR(__xludf.DUMMYFUNCTION("""COMPUTED_VALUE"""),1.0)</f>
        <v>1</v>
      </c>
    </row>
    <row r="8671">
      <c r="K8671" s="4" t="str">
        <f>IFERROR(__xludf.DUMMYFUNCTION("""COMPUTED_VALUE"""),"UMAMI CULINARIA ASIATICA")</f>
        <v>UMAMI CULINARIA ASIATICA</v>
      </c>
      <c r="L8671" s="32">
        <f>IFERROR(__xludf.DUMMYFUNCTION("""COMPUTED_VALUE"""),1.0)</f>
        <v>1</v>
      </c>
      <c r="M8671" s="4" t="str">
        <f>IFERROR(__xludf.DUMMYFUNCTION("""COMPUTED_VALUE"""),"Yooga")</f>
        <v>Yooga</v>
      </c>
      <c r="N8671" s="33">
        <f>IFERROR(__xludf.DUMMYFUNCTION("""COMPUTED_VALUE"""),1.0)</f>
        <v>1</v>
      </c>
      <c r="O8671" s="4" t="str">
        <f>IFERROR(__xludf.DUMMYFUNCTION("""COMPUTED_VALUE"""),"Yooga")</f>
        <v>Yooga</v>
      </c>
      <c r="P8671" s="33">
        <f>IFERROR(__xludf.DUMMYFUNCTION("""COMPUTED_VALUE"""),1.0)</f>
        <v>1</v>
      </c>
      <c r="Q8671" s="4" t="str">
        <f>IFERROR(__xludf.DUMMYFUNCTION("""COMPUTED_VALUE"""),"Yooga")</f>
        <v>Yooga</v>
      </c>
      <c r="R8671" s="33">
        <f>IFERROR(__xludf.DUMMYFUNCTION("""COMPUTED_VALUE"""),1.0)</f>
        <v>1</v>
      </c>
      <c r="S8671" s="4" t="str">
        <f>IFERROR(__xludf.DUMMYFUNCTION("""COMPUTED_VALUE"""),"Yooga")</f>
        <v>Yooga</v>
      </c>
      <c r="T8671" s="33">
        <f>IFERROR(__xludf.DUMMYFUNCTION("""COMPUTED_VALUE"""),1.0)</f>
        <v>1</v>
      </c>
      <c r="U8671" s="4" t="str">
        <f>IFERROR(__xludf.DUMMYFUNCTION("""COMPUTED_VALUE"""),"Yooga")</f>
        <v>Yooga</v>
      </c>
      <c r="V8671" s="33">
        <f>IFERROR(__xludf.DUMMYFUNCTION("""COMPUTED_VALUE"""),1.0)</f>
        <v>1</v>
      </c>
      <c r="W8671" s="4" t="str">
        <f>IFERROR(__xludf.DUMMYFUNCTION("""COMPUTED_VALUE"""),"Yooga")</f>
        <v>Yooga</v>
      </c>
      <c r="X8671" s="33">
        <f>IFERROR(__xludf.DUMMYFUNCTION("""COMPUTED_VALUE"""),1.0)</f>
        <v>1</v>
      </c>
    </row>
    <row r="8672">
      <c r="K8672" s="4" t="str">
        <f>IFERROR(__xludf.DUMMYFUNCTION("""COMPUTED_VALUE"""),"IR DELICIAS - DOCES E SALGADOS")</f>
        <v>IR DELICIAS - DOCES E SALGADOS</v>
      </c>
      <c r="L8672" s="32">
        <f>IFERROR(__xludf.DUMMYFUNCTION("""COMPUTED_VALUE"""),1.0)</f>
        <v>1</v>
      </c>
      <c r="M8672" s="4" t="str">
        <f>IFERROR(__xludf.DUMMYFUNCTION("""COMPUTED_VALUE"""),"null")</f>
        <v>null</v>
      </c>
      <c r="N8672" s="33">
        <f>IFERROR(__xludf.DUMMYFUNCTION("""COMPUTED_VALUE"""),1.0)</f>
        <v>1</v>
      </c>
      <c r="O8672" s="4" t="str">
        <f>IFERROR(__xludf.DUMMYFUNCTION("""COMPUTED_VALUE"""),"null")</f>
        <v>null</v>
      </c>
      <c r="P8672" s="33">
        <f>IFERROR(__xludf.DUMMYFUNCTION("""COMPUTED_VALUE"""),1.0)</f>
        <v>1</v>
      </c>
      <c r="Q8672" s="4" t="str">
        <f>IFERROR(__xludf.DUMMYFUNCTION("""COMPUTED_VALUE"""),"null")</f>
        <v>null</v>
      </c>
      <c r="R8672" s="33">
        <f>IFERROR(__xludf.DUMMYFUNCTION("""COMPUTED_VALUE"""),1.0)</f>
        <v>1</v>
      </c>
      <c r="S8672" s="4" t="str">
        <f>IFERROR(__xludf.DUMMYFUNCTION("""COMPUTED_VALUE"""),"null")</f>
        <v>null</v>
      </c>
      <c r="T8672" s="33">
        <f>IFERROR(__xludf.DUMMYFUNCTION("""COMPUTED_VALUE"""),1.0)</f>
        <v>1</v>
      </c>
      <c r="U8672" s="4" t="str">
        <f>IFERROR(__xludf.DUMMYFUNCTION("""COMPUTED_VALUE"""),"Instadelivery")</f>
        <v>Instadelivery</v>
      </c>
      <c r="V8672" s="33">
        <f>IFERROR(__xludf.DUMMYFUNCTION("""COMPUTED_VALUE"""),1.0)</f>
        <v>1</v>
      </c>
      <c r="W8672" s="4" t="str">
        <f>IFERROR(__xludf.DUMMYFUNCTION("""COMPUTED_VALUE"""),"Instadelivery")</f>
        <v>Instadelivery</v>
      </c>
      <c r="X8672" s="33">
        <f>IFERROR(__xludf.DUMMYFUNCTION("""COMPUTED_VALUE"""),1.0)</f>
        <v>1</v>
      </c>
    </row>
    <row r="8673">
      <c r="K8673" s="4" t="str">
        <f>IFERROR(__xludf.DUMMYFUNCTION("""COMPUTED_VALUE"""),"FOFAO LANCHES PAROBE")</f>
        <v>FOFAO LANCHES PAROBE</v>
      </c>
      <c r="L8673" s="32">
        <f>IFERROR(__xludf.DUMMYFUNCTION("""COMPUTED_VALUE"""),1.0)</f>
        <v>1</v>
      </c>
      <c r="M8673" s="4" t="str">
        <f>IFERROR(__xludf.DUMMYFUNCTION("""COMPUTED_VALUE"""),"null")</f>
        <v>null</v>
      </c>
      <c r="N8673" s="33">
        <f>IFERROR(__xludf.DUMMYFUNCTION("""COMPUTED_VALUE"""),1.0)</f>
        <v>1</v>
      </c>
      <c r="O8673" s="4" t="str">
        <f>IFERROR(__xludf.DUMMYFUNCTION("""COMPUTED_VALUE"""),"null")</f>
        <v>null</v>
      </c>
      <c r="P8673" s="33">
        <f>IFERROR(__xludf.DUMMYFUNCTION("""COMPUTED_VALUE"""),1.0)</f>
        <v>1</v>
      </c>
      <c r="Q8673" s="4" t="str">
        <f>IFERROR(__xludf.DUMMYFUNCTION("""COMPUTED_VALUE"""),"Suitable Tecnologia E Gestao")</f>
        <v>Suitable Tecnologia E Gestao</v>
      </c>
      <c r="R8673" s="33">
        <f>IFERROR(__xludf.DUMMYFUNCTION("""COMPUTED_VALUE"""),1.0)</f>
        <v>1</v>
      </c>
      <c r="S8673" s="4" t="str">
        <f>IFERROR(__xludf.DUMMYFUNCTION("""COMPUTED_VALUE"""),"Suitable Tecnologia E Gestao")</f>
        <v>Suitable Tecnologia E Gestao</v>
      </c>
      <c r="T8673" s="33">
        <f>IFERROR(__xludf.DUMMYFUNCTION("""COMPUTED_VALUE"""),1.0)</f>
        <v>1</v>
      </c>
      <c r="U8673" s="4" t="str">
        <f>IFERROR(__xludf.DUMMYFUNCTION("""COMPUTED_VALUE"""),"Suitable Tecnologia E Gestao")</f>
        <v>Suitable Tecnologia E Gestao</v>
      </c>
      <c r="V8673" s="33">
        <f>IFERROR(__xludf.DUMMYFUNCTION("""COMPUTED_VALUE"""),1.0)</f>
        <v>1</v>
      </c>
      <c r="W8673" s="4" t="str">
        <f>IFERROR(__xludf.DUMMYFUNCTION("""COMPUTED_VALUE"""),"Suitable Tecnologia E Gestao")</f>
        <v>Suitable Tecnologia E Gestao</v>
      </c>
      <c r="X8673" s="33">
        <f>IFERROR(__xludf.DUMMYFUNCTION("""COMPUTED_VALUE"""),1.0)</f>
        <v>1</v>
      </c>
    </row>
    <row r="8674">
      <c r="K8674" s="4" t="str">
        <f>IFERROR(__xludf.DUMMYFUNCTION("""COMPUTED_VALUE"""),"PIZZARIA - TERRA NOVA")</f>
        <v>PIZZARIA - TERRA NOVA</v>
      </c>
      <c r="L8674" s="32">
        <f>IFERROR(__xludf.DUMMYFUNCTION("""COMPUTED_VALUE"""),1.0)</f>
        <v>1</v>
      </c>
      <c r="M8674" s="4" t="str">
        <f>IFERROR(__xludf.DUMMYFUNCTION("""COMPUTED_VALUE"""),"null")</f>
        <v>null</v>
      </c>
      <c r="N8674" s="33">
        <f>IFERROR(__xludf.DUMMYFUNCTION("""COMPUTED_VALUE"""),1.0)</f>
        <v>1</v>
      </c>
      <c r="O8674" s="4" t="str">
        <f>IFERROR(__xludf.DUMMYFUNCTION("""COMPUTED_VALUE"""),"Mp Multipedidos")</f>
        <v>Mp Multipedidos</v>
      </c>
      <c r="P8674" s="33">
        <f>IFERROR(__xludf.DUMMYFUNCTION("""COMPUTED_VALUE"""),1.0)</f>
        <v>1</v>
      </c>
      <c r="Q8674" s="4" t="str">
        <f>IFERROR(__xludf.DUMMYFUNCTION("""COMPUTED_VALUE"""),"Mp Multipedidos")</f>
        <v>Mp Multipedidos</v>
      </c>
      <c r="R8674" s="33">
        <f>IFERROR(__xludf.DUMMYFUNCTION("""COMPUTED_VALUE"""),1.0)</f>
        <v>1</v>
      </c>
      <c r="S8674" s="4" t="str">
        <f>IFERROR(__xludf.DUMMYFUNCTION("""COMPUTED_VALUE"""),"Mp Multipedidos")</f>
        <v>Mp Multipedidos</v>
      </c>
      <c r="T8674" s="33">
        <f>IFERROR(__xludf.DUMMYFUNCTION("""COMPUTED_VALUE"""),1.0)</f>
        <v>1</v>
      </c>
      <c r="U8674" s="4" t="str">
        <f>IFERROR(__xludf.DUMMYFUNCTION("""COMPUTED_VALUE"""),"Mp Multipedidos")</f>
        <v>Mp Multipedidos</v>
      </c>
      <c r="V8674" s="33">
        <f>IFERROR(__xludf.DUMMYFUNCTION("""COMPUTED_VALUE"""),1.0)</f>
        <v>1</v>
      </c>
      <c r="W8674" s="4" t="str">
        <f>IFERROR(__xludf.DUMMYFUNCTION("""COMPUTED_VALUE"""),"Mp Multipedidos")</f>
        <v>Mp Multipedidos</v>
      </c>
      <c r="X8674" s="33">
        <f>IFERROR(__xludf.DUMMYFUNCTION("""COMPUTED_VALUE"""),1.0)</f>
        <v>1</v>
      </c>
    </row>
    <row r="8675">
      <c r="K8675" s="4" t="str">
        <f>IFERROR(__xludf.DUMMYFUNCTION("""COMPUTED_VALUE"""),"MEGA POINT PIZZAS")</f>
        <v>MEGA POINT PIZZAS</v>
      </c>
      <c r="L8675" s="32">
        <f>IFERROR(__xludf.DUMMYFUNCTION("""COMPUTED_VALUE"""),1.0)</f>
        <v>1</v>
      </c>
      <c r="M8675" s="4" t="str">
        <f>IFERROR(__xludf.DUMMYFUNCTION("""COMPUTED_VALUE"""),"Nootech Sistemas")</f>
        <v>Nootech Sistemas</v>
      </c>
      <c r="N8675" s="33">
        <f>IFERROR(__xludf.DUMMYFUNCTION("""COMPUTED_VALUE"""),1.0)</f>
        <v>1</v>
      </c>
      <c r="O8675" s="4" t="str">
        <f>IFERROR(__xludf.DUMMYFUNCTION("""COMPUTED_VALUE"""),"null")</f>
        <v>null</v>
      </c>
      <c r="P8675" s="33">
        <f>IFERROR(__xludf.DUMMYFUNCTION("""COMPUTED_VALUE"""),1.0)</f>
        <v>1</v>
      </c>
      <c r="Q8675" s="4" t="str">
        <f>IFERROR(__xludf.DUMMYFUNCTION("""COMPUTED_VALUE"""),"null")</f>
        <v>null</v>
      </c>
      <c r="R8675" s="33">
        <f>IFERROR(__xludf.DUMMYFUNCTION("""COMPUTED_VALUE"""),1.0)</f>
        <v>1</v>
      </c>
      <c r="S8675" s="4" t="str">
        <f>IFERROR(__xludf.DUMMYFUNCTION("""COMPUTED_VALUE"""),"null")</f>
        <v>null</v>
      </c>
      <c r="T8675" s="33">
        <f>IFERROR(__xludf.DUMMYFUNCTION("""COMPUTED_VALUE"""),1.0)</f>
        <v>1</v>
      </c>
      <c r="U8675" s="4" t="str">
        <f>IFERROR(__xludf.DUMMYFUNCTION("""COMPUTED_VALUE"""),"null")</f>
        <v>null</v>
      </c>
      <c r="V8675" s="33">
        <f>IFERROR(__xludf.DUMMYFUNCTION("""COMPUTED_VALUE"""),1.0)</f>
        <v>1</v>
      </c>
      <c r="W8675" s="4" t="str">
        <f>IFERROR(__xludf.DUMMYFUNCTION("""COMPUTED_VALUE"""),"null")</f>
        <v>null</v>
      </c>
      <c r="X8675" s="33">
        <f>IFERROR(__xludf.DUMMYFUNCTION("""COMPUTED_VALUE"""),1.0)</f>
        <v>1</v>
      </c>
    </row>
    <row r="8676">
      <c r="K8676" s="4" t="str">
        <f>IFERROR(__xludf.DUMMYFUNCTION("""COMPUTED_VALUE"""),"ANA BURGER")</f>
        <v>ANA BURGER</v>
      </c>
      <c r="L8676" s="32">
        <f>IFERROR(__xludf.DUMMYFUNCTION("""COMPUTED_VALUE"""),1.0)</f>
        <v>1</v>
      </c>
      <c r="M8676" s="4" t="str">
        <f>IFERROR(__xludf.DUMMYFUNCTION("""COMPUTED_VALUE"""),"Grsoft")</f>
        <v>Grsoft</v>
      </c>
      <c r="N8676" s="33">
        <f>IFERROR(__xludf.DUMMYFUNCTION("""COMPUTED_VALUE"""),1.0)</f>
        <v>1</v>
      </c>
      <c r="O8676" s="4" t="str">
        <f>IFERROR(__xludf.DUMMYFUNCTION("""COMPUTED_VALUE"""),"Grsoft")</f>
        <v>Grsoft</v>
      </c>
      <c r="P8676" s="33">
        <f>IFERROR(__xludf.DUMMYFUNCTION("""COMPUTED_VALUE"""),1.0)</f>
        <v>1</v>
      </c>
      <c r="Q8676" s="4" t="str">
        <f>IFERROR(__xludf.DUMMYFUNCTION("""COMPUTED_VALUE"""),"Grsoft")</f>
        <v>Grsoft</v>
      </c>
      <c r="R8676" s="33">
        <f>IFERROR(__xludf.DUMMYFUNCTION("""COMPUTED_VALUE"""),1.0)</f>
        <v>1</v>
      </c>
      <c r="S8676" s="4" t="str">
        <f>IFERROR(__xludf.DUMMYFUNCTION("""COMPUTED_VALUE"""),"Grsoft")</f>
        <v>Grsoft</v>
      </c>
      <c r="T8676" s="33">
        <f>IFERROR(__xludf.DUMMYFUNCTION("""COMPUTED_VALUE"""),1.0)</f>
        <v>1</v>
      </c>
      <c r="U8676" s="4" t="str">
        <f>IFERROR(__xludf.DUMMYFUNCTION("""COMPUTED_VALUE"""),"Grsoft")</f>
        <v>Grsoft</v>
      </c>
      <c r="V8676" s="33">
        <f>IFERROR(__xludf.DUMMYFUNCTION("""COMPUTED_VALUE"""),1.0)</f>
        <v>1</v>
      </c>
      <c r="W8676" s="4" t="str">
        <f>IFERROR(__xludf.DUMMYFUNCTION("""COMPUTED_VALUE"""),"Grsoft")</f>
        <v>Grsoft</v>
      </c>
      <c r="X8676" s="33">
        <f>IFERROR(__xludf.DUMMYFUNCTION("""COMPUTED_VALUE"""),1.0)</f>
        <v>1</v>
      </c>
    </row>
    <row r="8677">
      <c r="K8677" s="4" t="str">
        <f>IFERROR(__xludf.DUMMYFUNCTION("""COMPUTED_VALUE"""),"FARMACIA ANP")</f>
        <v>FARMACIA ANP</v>
      </c>
      <c r="L8677" s="32">
        <f>IFERROR(__xludf.DUMMYFUNCTION("""COMPUTED_VALUE"""),1.0)</f>
        <v>1</v>
      </c>
      <c r="M8677" s="4" t="str">
        <f>IFERROR(__xludf.DUMMYFUNCTION("""COMPUTED_VALUE"""),"N/A (Not found)")</f>
        <v>N/A (Not found)</v>
      </c>
      <c r="N8677" s="33">
        <f>IFERROR(__xludf.DUMMYFUNCTION("""COMPUTED_VALUE"""),1.0)</f>
        <v>1</v>
      </c>
      <c r="O8677" s="4" t="str">
        <f>IFERROR(__xludf.DUMMYFUNCTION("""COMPUTED_VALUE"""),"N/A (Not found)")</f>
        <v>N/A (Not found)</v>
      </c>
      <c r="P8677" s="33">
        <f>IFERROR(__xludf.DUMMYFUNCTION("""COMPUTED_VALUE"""),1.0)</f>
        <v>1</v>
      </c>
      <c r="Q8677" s="4" t="str">
        <f>IFERROR(__xludf.DUMMYFUNCTION("""COMPUTED_VALUE"""),"N/A (Not found)")</f>
        <v>N/A (Not found)</v>
      </c>
      <c r="R8677" s="33">
        <f>IFERROR(__xludf.DUMMYFUNCTION("""COMPUTED_VALUE"""),1.0)</f>
        <v>1</v>
      </c>
      <c r="S8677" s="4" t="str">
        <f>IFERROR(__xludf.DUMMYFUNCTION("""COMPUTED_VALUE"""),"N/A (Not found)")</f>
        <v>N/A (Not found)</v>
      </c>
      <c r="T8677" s="33">
        <f>IFERROR(__xludf.DUMMYFUNCTION("""COMPUTED_VALUE"""),1.0)</f>
        <v>1</v>
      </c>
      <c r="U8677" s="4" t="str">
        <f>IFERROR(__xludf.DUMMYFUNCTION("""COMPUTED_VALUE"""),"N/A (Not found)")</f>
        <v>N/A (Not found)</v>
      </c>
      <c r="V8677" s="33">
        <f>IFERROR(__xludf.DUMMYFUNCTION("""COMPUTED_VALUE"""),1.0)</f>
        <v>1</v>
      </c>
      <c r="W8677" s="4" t="str">
        <f>IFERROR(__xludf.DUMMYFUNCTION("""COMPUTED_VALUE"""),"N/A (Not found)")</f>
        <v>N/A (Not found)</v>
      </c>
      <c r="X8677" s="33">
        <f>IFERROR(__xludf.DUMMYFUNCTION("""COMPUTED_VALUE"""),1.0)</f>
        <v>1</v>
      </c>
    </row>
    <row r="8678">
      <c r="K8678" s="4" t="str">
        <f>IFERROR(__xludf.DUMMYFUNCTION("""COMPUTED_VALUE"""),"PASTELARIA ITOMAN")</f>
        <v>PASTELARIA ITOMAN</v>
      </c>
      <c r="L8678" s="32">
        <f>IFERROR(__xludf.DUMMYFUNCTION("""COMPUTED_VALUE"""),1.0)</f>
        <v>1</v>
      </c>
      <c r="M8678" s="4" t="str">
        <f>IFERROR(__xludf.DUMMYFUNCTION("""COMPUTED_VALUE"""),"Consumer Soluções Em Tecnologia Ltda")</f>
        <v>Consumer Soluções Em Tecnologia Ltda</v>
      </c>
      <c r="N8678" s="33">
        <f>IFERROR(__xludf.DUMMYFUNCTION("""COMPUTED_VALUE"""),1.0)</f>
        <v>1</v>
      </c>
      <c r="O8678" s="4" t="str">
        <f>IFERROR(__xludf.DUMMYFUNCTION("""COMPUTED_VALUE"""),"null")</f>
        <v>null</v>
      </c>
      <c r="P8678" s="33">
        <f>IFERROR(__xludf.DUMMYFUNCTION("""COMPUTED_VALUE"""),1.0)</f>
        <v>1</v>
      </c>
      <c r="Q8678" s="4" t="str">
        <f>IFERROR(__xludf.DUMMYFUNCTION("""COMPUTED_VALUE"""),"null")</f>
        <v>null</v>
      </c>
      <c r="R8678" s="33">
        <f>IFERROR(__xludf.DUMMYFUNCTION("""COMPUTED_VALUE"""),1.0)</f>
        <v>1</v>
      </c>
      <c r="S8678" s="4" t="str">
        <f>IFERROR(__xludf.DUMMYFUNCTION("""COMPUTED_VALUE"""),"null")</f>
        <v>null</v>
      </c>
      <c r="T8678" s="33">
        <f>IFERROR(__xludf.DUMMYFUNCTION("""COMPUTED_VALUE"""),1.0)</f>
        <v>1</v>
      </c>
      <c r="U8678" s="4" t="str">
        <f>IFERROR(__xludf.DUMMYFUNCTION("""COMPUTED_VALUE"""),"Consumer Soluções Em Tecnologia Ltda")</f>
        <v>Consumer Soluções Em Tecnologia Ltda</v>
      </c>
      <c r="V8678" s="33">
        <f>IFERROR(__xludf.DUMMYFUNCTION("""COMPUTED_VALUE"""),1.0)</f>
        <v>1</v>
      </c>
      <c r="W8678" s="4" t="str">
        <f>IFERROR(__xludf.DUMMYFUNCTION("""COMPUTED_VALUE"""),"Consumer Soluções Em Tecnologia Ltda")</f>
        <v>Consumer Soluções Em Tecnologia Ltda</v>
      </c>
      <c r="X8678" s="33">
        <f>IFERROR(__xludf.DUMMYFUNCTION("""COMPUTED_VALUE"""),1.0)</f>
        <v>1</v>
      </c>
    </row>
    <row r="8679">
      <c r="K8679" s="4" t="str">
        <f>IFERROR(__xludf.DUMMYFUNCTION("""COMPUTED_VALUE"""),"GNOMO LANCHES - CANELA")</f>
        <v>GNOMO LANCHES - CANELA</v>
      </c>
      <c r="L8679" s="32">
        <f>IFERROR(__xludf.DUMMYFUNCTION("""COMPUTED_VALUE"""),1.0)</f>
        <v>1</v>
      </c>
      <c r="M8679" s="4" t="str">
        <f>IFERROR(__xludf.DUMMYFUNCTION("""COMPUTED_VALUE"""),"Totvs Large Enterprise Tecnologia S.a.")</f>
        <v>Totvs Large Enterprise Tecnologia S.a.</v>
      </c>
      <c r="N8679" s="33">
        <f>IFERROR(__xludf.DUMMYFUNCTION("""COMPUTED_VALUE"""),1.0)</f>
        <v>1</v>
      </c>
      <c r="O8679" s="4" t="str">
        <f>IFERROR(__xludf.DUMMYFUNCTION("""COMPUTED_VALUE"""),"Totvs Large Enterprise Tecnologia S.a.")</f>
        <v>Totvs Large Enterprise Tecnologia S.a.</v>
      </c>
      <c r="P8679" s="33">
        <f>IFERROR(__xludf.DUMMYFUNCTION("""COMPUTED_VALUE"""),1.0)</f>
        <v>1</v>
      </c>
      <c r="Q8679" s="4" t="str">
        <f>IFERROR(__xludf.DUMMYFUNCTION("""COMPUTED_VALUE"""),"null")</f>
        <v>null</v>
      </c>
      <c r="R8679" s="33">
        <f>IFERROR(__xludf.DUMMYFUNCTION("""COMPUTED_VALUE"""),1.0)</f>
        <v>1</v>
      </c>
      <c r="S8679" s="4" t="str">
        <f>IFERROR(__xludf.DUMMYFUNCTION("""COMPUTED_VALUE"""),"Totvs Large Enterprise Tecnologia S.a.")</f>
        <v>Totvs Large Enterprise Tecnologia S.a.</v>
      </c>
      <c r="T8679" s="33">
        <f>IFERROR(__xludf.DUMMYFUNCTION("""COMPUTED_VALUE"""),1.0)</f>
        <v>1</v>
      </c>
      <c r="U8679" s="4" t="str">
        <f>IFERROR(__xludf.DUMMYFUNCTION("""COMPUTED_VALUE"""),"null")</f>
        <v>null</v>
      </c>
      <c r="V8679" s="33">
        <f>IFERROR(__xludf.DUMMYFUNCTION("""COMPUTED_VALUE"""),1.0)</f>
        <v>1</v>
      </c>
      <c r="W8679" s="4" t="str">
        <f>IFERROR(__xludf.DUMMYFUNCTION("""COMPUTED_VALUE"""),"null")</f>
        <v>null</v>
      </c>
      <c r="X8679" s="33">
        <f>IFERROR(__xludf.DUMMYFUNCTION("""COMPUTED_VALUE"""),1.0)</f>
        <v>1</v>
      </c>
    </row>
    <row r="8680">
      <c r="K8680" s="4" t="str">
        <f>IFERROR(__xludf.DUMMYFUNCTION("""COMPUTED_VALUE"""),"PIZZARIA PAULINO PERDIZES")</f>
        <v>PIZZARIA PAULINO PERDIZES</v>
      </c>
      <c r="L8680" s="32">
        <f>IFERROR(__xludf.DUMMYFUNCTION("""COMPUTED_VALUE"""),1.0)</f>
        <v>1</v>
      </c>
      <c r="M8680" s="4" t="str">
        <f>IFERROR(__xludf.DUMMYFUNCTION("""COMPUTED_VALUE"""),"null")</f>
        <v>null</v>
      </c>
      <c r="N8680" s="33">
        <f>IFERROR(__xludf.DUMMYFUNCTION("""COMPUTED_VALUE"""),1.0)</f>
        <v>1</v>
      </c>
      <c r="O8680" s="4" t="str">
        <f>IFERROR(__xludf.DUMMYFUNCTION("""COMPUTED_VALUE"""),"null")</f>
        <v>null</v>
      </c>
      <c r="P8680" s="33">
        <f>IFERROR(__xludf.DUMMYFUNCTION("""COMPUTED_VALUE"""),1.0)</f>
        <v>1</v>
      </c>
      <c r="Q8680" s="4" t="str">
        <f>IFERROR(__xludf.DUMMYFUNCTION("""COMPUTED_VALUE"""),"null")</f>
        <v>null</v>
      </c>
      <c r="R8680" s="33">
        <f>IFERROR(__xludf.DUMMYFUNCTION("""COMPUTED_VALUE"""),1.0)</f>
        <v>1</v>
      </c>
      <c r="S8680" s="4" t="str">
        <f>IFERROR(__xludf.DUMMYFUNCTION("""COMPUTED_VALUE"""),"Sistema Pallas")</f>
        <v>Sistema Pallas</v>
      </c>
      <c r="T8680" s="33">
        <f>IFERROR(__xludf.DUMMYFUNCTION("""COMPUTED_VALUE"""),1.0)</f>
        <v>1</v>
      </c>
      <c r="U8680" s="4" t="str">
        <f>IFERROR(__xludf.DUMMYFUNCTION("""COMPUTED_VALUE"""),"Sistema Pallas")</f>
        <v>Sistema Pallas</v>
      </c>
      <c r="V8680" s="33">
        <f>IFERROR(__xludf.DUMMYFUNCTION("""COMPUTED_VALUE"""),1.0)</f>
        <v>1</v>
      </c>
      <c r="W8680" s="4" t="str">
        <f>IFERROR(__xludf.DUMMYFUNCTION("""COMPUTED_VALUE"""),"Sistema Pallas")</f>
        <v>Sistema Pallas</v>
      </c>
      <c r="X8680" s="33">
        <f>IFERROR(__xludf.DUMMYFUNCTION("""COMPUTED_VALUE"""),1.0)</f>
        <v>1</v>
      </c>
    </row>
    <row r="8681">
      <c r="K8681" s="4" t="str">
        <f>IFERROR(__xludf.DUMMYFUNCTION("""COMPUTED_VALUE"""),"PIZZARIA E RESTAURANTE VILLA PIZZAS")</f>
        <v>PIZZARIA E RESTAURANTE VILLA PIZZAS</v>
      </c>
      <c r="L8681" s="32">
        <f>IFERROR(__xludf.DUMMYFUNCTION("""COMPUTED_VALUE"""),1.0)</f>
        <v>1</v>
      </c>
      <c r="M8681" s="4" t="str">
        <f>IFERROR(__xludf.DUMMYFUNCTION("""COMPUTED_VALUE"""),"null")</f>
        <v>null</v>
      </c>
      <c r="N8681" s="33">
        <f>IFERROR(__xludf.DUMMYFUNCTION("""COMPUTED_VALUE"""),1.0)</f>
        <v>1</v>
      </c>
      <c r="O8681" s="4" t="str">
        <f>IFERROR(__xludf.DUMMYFUNCTION("""COMPUTED_VALUE"""),"Whatsmenu Ltda")</f>
        <v>Whatsmenu Ltda</v>
      </c>
      <c r="P8681" s="33">
        <f>IFERROR(__xludf.DUMMYFUNCTION("""COMPUTED_VALUE"""),1.0)</f>
        <v>1</v>
      </c>
      <c r="Q8681" s="4" t="str">
        <f>IFERROR(__xludf.DUMMYFUNCTION("""COMPUTED_VALUE"""),"Whatsmenu Ltda")</f>
        <v>Whatsmenu Ltda</v>
      </c>
      <c r="R8681" s="33">
        <f>IFERROR(__xludf.DUMMYFUNCTION("""COMPUTED_VALUE"""),1.0)</f>
        <v>1</v>
      </c>
      <c r="S8681" s="4" t="str">
        <f>IFERROR(__xludf.DUMMYFUNCTION("""COMPUTED_VALUE"""),"null")</f>
        <v>null</v>
      </c>
      <c r="T8681" s="33">
        <f>IFERROR(__xludf.DUMMYFUNCTION("""COMPUTED_VALUE"""),1.0)</f>
        <v>1</v>
      </c>
      <c r="U8681" s="4" t="str">
        <f>IFERROR(__xludf.DUMMYFUNCTION("""COMPUTED_VALUE"""),"null")</f>
        <v>null</v>
      </c>
      <c r="V8681" s="33">
        <f>IFERROR(__xludf.DUMMYFUNCTION("""COMPUTED_VALUE"""),1.0)</f>
        <v>1</v>
      </c>
      <c r="W8681" s="4" t="str">
        <f>IFERROR(__xludf.DUMMYFUNCTION("""COMPUTED_VALUE"""),"null")</f>
        <v>null</v>
      </c>
      <c r="X8681" s="33">
        <f>IFERROR(__xludf.DUMMYFUNCTION("""COMPUTED_VALUE"""),1.0)</f>
        <v>1</v>
      </c>
    </row>
    <row r="8682">
      <c r="K8682" s="4" t="str">
        <f>IFERROR(__xludf.DUMMYFUNCTION("""COMPUTED_VALUE"""),"PONTO DE PROSA")</f>
        <v>PONTO DE PROSA</v>
      </c>
      <c r="L8682" s="32">
        <f>IFERROR(__xludf.DUMMYFUNCTION("""COMPUTED_VALUE"""),1.0)</f>
        <v>1</v>
      </c>
      <c r="M8682" s="4" t="str">
        <f>IFERROR(__xludf.DUMMYFUNCTION("""COMPUTED_VALUE"""),"Saipos Serviços De Software")</f>
        <v>Saipos Serviços De Software</v>
      </c>
      <c r="N8682" s="33">
        <f>IFERROR(__xludf.DUMMYFUNCTION("""COMPUTED_VALUE"""),1.0)</f>
        <v>1</v>
      </c>
      <c r="O8682" s="4" t="str">
        <f>IFERROR(__xludf.DUMMYFUNCTION("""COMPUTED_VALUE"""),"Saipos Serviços De Software")</f>
        <v>Saipos Serviços De Software</v>
      </c>
      <c r="P8682" s="33">
        <f>IFERROR(__xludf.DUMMYFUNCTION("""COMPUTED_VALUE"""),1.0)</f>
        <v>1</v>
      </c>
      <c r="Q8682" s="4" t="str">
        <f>IFERROR(__xludf.DUMMYFUNCTION("""COMPUTED_VALUE"""),"Saipos Serviços De Software")</f>
        <v>Saipos Serviços De Software</v>
      </c>
      <c r="R8682" s="33">
        <f>IFERROR(__xludf.DUMMYFUNCTION("""COMPUTED_VALUE"""),1.0)</f>
        <v>1</v>
      </c>
      <c r="S8682" s="4" t="str">
        <f>IFERROR(__xludf.DUMMYFUNCTION("""COMPUTED_VALUE"""),"Saipos Serviços De Software")</f>
        <v>Saipos Serviços De Software</v>
      </c>
      <c r="T8682" s="33">
        <f>IFERROR(__xludf.DUMMYFUNCTION("""COMPUTED_VALUE"""),1.0)</f>
        <v>1</v>
      </c>
      <c r="U8682" s="4" t="str">
        <f>IFERROR(__xludf.DUMMYFUNCTION("""COMPUTED_VALUE"""),"Saipos Serviços De Software")</f>
        <v>Saipos Serviços De Software</v>
      </c>
      <c r="V8682" s="33">
        <f>IFERROR(__xludf.DUMMYFUNCTION("""COMPUTED_VALUE"""),1.0)</f>
        <v>1</v>
      </c>
      <c r="W8682" s="4" t="str">
        <f>IFERROR(__xludf.DUMMYFUNCTION("""COMPUTED_VALUE"""),"Saipos Serviços De Software")</f>
        <v>Saipos Serviços De Software</v>
      </c>
      <c r="X8682" s="33">
        <f>IFERROR(__xludf.DUMMYFUNCTION("""COMPUTED_VALUE"""),1.0)</f>
        <v>1</v>
      </c>
    </row>
    <row r="8683">
      <c r="K8683" s="4" t="str">
        <f>IFERROR(__xludf.DUMMYFUNCTION("""COMPUTED_VALUE"""),"ALFAJOTA COOKIES")</f>
        <v>ALFAJOTA COOKIES</v>
      </c>
      <c r="L8683" s="32">
        <f>IFERROR(__xludf.DUMMYFUNCTION("""COMPUTED_VALUE"""),1.0)</f>
        <v>1</v>
      </c>
      <c r="M8683" s="4" t="str">
        <f>IFERROR(__xludf.DUMMYFUNCTION("""COMPUTED_VALUE"""),"Cardápio Web")</f>
        <v>Cardápio Web</v>
      </c>
      <c r="N8683" s="33">
        <f>IFERROR(__xludf.DUMMYFUNCTION("""COMPUTED_VALUE"""),1.0)</f>
        <v>1</v>
      </c>
      <c r="O8683" s="4" t="str">
        <f>IFERROR(__xludf.DUMMYFUNCTION("""COMPUTED_VALUE"""),"Cardápio Web")</f>
        <v>Cardápio Web</v>
      </c>
      <c r="P8683" s="33">
        <f>IFERROR(__xludf.DUMMYFUNCTION("""COMPUTED_VALUE"""),1.0)</f>
        <v>1</v>
      </c>
      <c r="Q8683" s="4" t="str">
        <f>IFERROR(__xludf.DUMMYFUNCTION("""COMPUTED_VALUE"""),"Cardápio Web")</f>
        <v>Cardápio Web</v>
      </c>
      <c r="R8683" s="33">
        <f>IFERROR(__xludf.DUMMYFUNCTION("""COMPUTED_VALUE"""),1.0)</f>
        <v>1</v>
      </c>
      <c r="S8683" s="4" t="str">
        <f>IFERROR(__xludf.DUMMYFUNCTION("""COMPUTED_VALUE"""),"Cardápio Web")</f>
        <v>Cardápio Web</v>
      </c>
      <c r="T8683" s="33">
        <f>IFERROR(__xludf.DUMMYFUNCTION("""COMPUTED_VALUE"""),1.0)</f>
        <v>1</v>
      </c>
      <c r="U8683" s="4" t="str">
        <f>IFERROR(__xludf.DUMMYFUNCTION("""COMPUTED_VALUE"""),"null")</f>
        <v>null</v>
      </c>
      <c r="V8683" s="33">
        <f>IFERROR(__xludf.DUMMYFUNCTION("""COMPUTED_VALUE"""),1.0)</f>
        <v>1</v>
      </c>
      <c r="W8683" s="4" t="str">
        <f>IFERROR(__xludf.DUMMYFUNCTION("""COMPUTED_VALUE"""),"null")</f>
        <v>null</v>
      </c>
      <c r="X8683" s="33">
        <f>IFERROR(__xludf.DUMMYFUNCTION("""COMPUTED_VALUE"""),1.0)</f>
        <v>1</v>
      </c>
    </row>
    <row r="8684">
      <c r="K8684" s="4" t="str">
        <f>IFERROR(__xludf.DUMMYFUNCTION("""COMPUTED_VALUE"""),"ARTE PASTELARIA")</f>
        <v>ARTE PASTELARIA</v>
      </c>
      <c r="L8684" s="32">
        <f>IFERROR(__xludf.DUMMYFUNCTION("""COMPUTED_VALUE"""),1.0)</f>
        <v>1</v>
      </c>
      <c r="M8684" s="4" t="str">
        <f>IFERROR(__xludf.DUMMYFUNCTION("""COMPUTED_VALUE"""),"Anota Ai Solucoes Digitais S/a")</f>
        <v>Anota Ai Solucoes Digitais S/a</v>
      </c>
      <c r="N8684" s="33">
        <f>IFERROR(__xludf.DUMMYFUNCTION("""COMPUTED_VALUE"""),1.0)</f>
        <v>1</v>
      </c>
      <c r="O8684" s="4" t="str">
        <f>IFERROR(__xludf.DUMMYFUNCTION("""COMPUTED_VALUE"""),"Anota Ai Solucoes Digitais S/a")</f>
        <v>Anota Ai Solucoes Digitais S/a</v>
      </c>
      <c r="P8684" s="33">
        <f>IFERROR(__xludf.DUMMYFUNCTION("""COMPUTED_VALUE"""),1.0)</f>
        <v>1</v>
      </c>
      <c r="Q8684" s="4" t="str">
        <f>IFERROR(__xludf.DUMMYFUNCTION("""COMPUTED_VALUE"""),"Anota Ai Solucoes Digitais S/a")</f>
        <v>Anota Ai Solucoes Digitais S/a</v>
      </c>
      <c r="R8684" s="33">
        <f>IFERROR(__xludf.DUMMYFUNCTION("""COMPUTED_VALUE"""),1.0)</f>
        <v>1</v>
      </c>
      <c r="S8684" s="4" t="str">
        <f>IFERROR(__xludf.DUMMYFUNCTION("""COMPUTED_VALUE"""),"null")</f>
        <v>null</v>
      </c>
      <c r="T8684" s="33">
        <f>IFERROR(__xludf.DUMMYFUNCTION("""COMPUTED_VALUE"""),1.0)</f>
        <v>1</v>
      </c>
      <c r="U8684" s="4" t="str">
        <f>IFERROR(__xludf.DUMMYFUNCTION("""COMPUTED_VALUE"""),"null")</f>
        <v>null</v>
      </c>
      <c r="V8684" s="33">
        <f>IFERROR(__xludf.DUMMYFUNCTION("""COMPUTED_VALUE"""),1.0)</f>
        <v>1</v>
      </c>
      <c r="W8684" s="4" t="str">
        <f>IFERROR(__xludf.DUMMYFUNCTION("""COMPUTED_VALUE"""),"Anota Ai Solucoes Digitais S/a")</f>
        <v>Anota Ai Solucoes Digitais S/a</v>
      </c>
      <c r="X8684" s="33">
        <f>IFERROR(__xludf.DUMMYFUNCTION("""COMPUTED_VALUE"""),1.0)</f>
        <v>1</v>
      </c>
    </row>
    <row r="8685">
      <c r="K8685" s="4" t="str">
        <f>IFERROR(__xludf.DUMMYFUNCTION("""COMPUTED_VALUE"""),"TRAILER DO JULIAO")</f>
        <v>TRAILER DO JULIAO</v>
      </c>
      <c r="L8685" s="32">
        <f>IFERROR(__xludf.DUMMYFUNCTION("""COMPUTED_VALUE"""),1.0)</f>
        <v>1</v>
      </c>
      <c r="M8685" s="4" t="str">
        <f>IFERROR(__xludf.DUMMYFUNCTION("""COMPUTED_VALUE"""),"Anota Ai Solucoes Digitais S/a")</f>
        <v>Anota Ai Solucoes Digitais S/a</v>
      </c>
      <c r="N8685" s="33">
        <f>IFERROR(__xludf.DUMMYFUNCTION("""COMPUTED_VALUE"""),1.0)</f>
        <v>1</v>
      </c>
      <c r="O8685" s="4" t="str">
        <f>IFERROR(__xludf.DUMMYFUNCTION("""COMPUTED_VALUE"""),"Anota Ai Solucoes Digitais S/a")</f>
        <v>Anota Ai Solucoes Digitais S/a</v>
      </c>
      <c r="P8685" s="33">
        <f>IFERROR(__xludf.DUMMYFUNCTION("""COMPUTED_VALUE"""),1.0)</f>
        <v>1</v>
      </c>
      <c r="Q8685" s="4" t="str">
        <f>IFERROR(__xludf.DUMMYFUNCTION("""COMPUTED_VALUE"""),"Anota Ai Solucoes Digitais S/a")</f>
        <v>Anota Ai Solucoes Digitais S/a</v>
      </c>
      <c r="R8685" s="33">
        <f>IFERROR(__xludf.DUMMYFUNCTION("""COMPUTED_VALUE"""),1.0)</f>
        <v>1</v>
      </c>
      <c r="S8685" s="4" t="str">
        <f>IFERROR(__xludf.DUMMYFUNCTION("""COMPUTED_VALUE"""),"Anota Ai Solucoes Digitais S/a")</f>
        <v>Anota Ai Solucoes Digitais S/a</v>
      </c>
      <c r="T8685" s="33">
        <f>IFERROR(__xludf.DUMMYFUNCTION("""COMPUTED_VALUE"""),1.0)</f>
        <v>1</v>
      </c>
      <c r="U8685" s="4" t="str">
        <f>IFERROR(__xludf.DUMMYFUNCTION("""COMPUTED_VALUE"""),"Anota Ai Solucoes Digitais S/a")</f>
        <v>Anota Ai Solucoes Digitais S/a</v>
      </c>
      <c r="V8685" s="33">
        <f>IFERROR(__xludf.DUMMYFUNCTION("""COMPUTED_VALUE"""),1.0)</f>
        <v>1</v>
      </c>
      <c r="W8685" s="4" t="str">
        <f>IFERROR(__xludf.DUMMYFUNCTION("""COMPUTED_VALUE"""),"Anota Ai Solucoes Digitais S/a")</f>
        <v>Anota Ai Solucoes Digitais S/a</v>
      </c>
      <c r="X8685" s="33">
        <f>IFERROR(__xludf.DUMMYFUNCTION("""COMPUTED_VALUE"""),1.0)</f>
        <v>1</v>
      </c>
    </row>
    <row r="8686">
      <c r="K8686" s="4" t="str">
        <f>IFERROR(__xludf.DUMMYFUNCTION("""COMPUTED_VALUE"""),"DONA MARA DELICIAS")</f>
        <v>DONA MARA DELICIAS</v>
      </c>
      <c r="L8686" s="32">
        <f>IFERROR(__xludf.DUMMYFUNCTION("""COMPUTED_VALUE"""),1.0)</f>
        <v>1</v>
      </c>
      <c r="M8686" s="4" t="str">
        <f>IFERROR(__xludf.DUMMYFUNCTION("""COMPUTED_VALUE"""),"null")</f>
        <v>null</v>
      </c>
      <c r="N8686" s="33">
        <f>IFERROR(__xludf.DUMMYFUNCTION("""COMPUTED_VALUE"""),1.0)</f>
        <v>1</v>
      </c>
      <c r="O8686" s="4" t="str">
        <f>IFERROR(__xludf.DUMMYFUNCTION("""COMPUTED_VALUE"""),"null")</f>
        <v>null</v>
      </c>
      <c r="P8686" s="33">
        <f>IFERROR(__xludf.DUMMYFUNCTION("""COMPUTED_VALUE"""),1.0)</f>
        <v>1</v>
      </c>
      <c r="Q8686" s="4" t="str">
        <f>IFERROR(__xludf.DUMMYFUNCTION("""COMPUTED_VALUE"""),"null")</f>
        <v>null</v>
      </c>
      <c r="R8686" s="33">
        <f>IFERROR(__xludf.DUMMYFUNCTION("""COMPUTED_VALUE"""),1.0)</f>
        <v>1</v>
      </c>
      <c r="S8686" s="4" t="str">
        <f>IFERROR(__xludf.DUMMYFUNCTION("""COMPUTED_VALUE"""),"Instadelivery")</f>
        <v>Instadelivery</v>
      </c>
      <c r="T8686" s="33">
        <f>IFERROR(__xludf.DUMMYFUNCTION("""COMPUTED_VALUE"""),1.0)</f>
        <v>1</v>
      </c>
      <c r="U8686" s="4" t="str">
        <f>IFERROR(__xludf.DUMMYFUNCTION("""COMPUTED_VALUE"""),"Instadelivery")</f>
        <v>Instadelivery</v>
      </c>
      <c r="V8686" s="33">
        <f>IFERROR(__xludf.DUMMYFUNCTION("""COMPUTED_VALUE"""),1.0)</f>
        <v>1</v>
      </c>
      <c r="W8686" s="4" t="str">
        <f>IFERROR(__xludf.DUMMYFUNCTION("""COMPUTED_VALUE"""),"Instadelivery")</f>
        <v>Instadelivery</v>
      </c>
      <c r="X8686" s="33">
        <f>IFERROR(__xludf.DUMMYFUNCTION("""COMPUTED_VALUE"""),1.0)</f>
        <v>1</v>
      </c>
    </row>
    <row r="8687">
      <c r="K8687" s="4" t="str">
        <f>IFERROR(__xludf.DUMMYFUNCTION("""COMPUTED_VALUE"""),"DROGARIA MAIS BARATO DE NITEROI")</f>
        <v>DROGARIA MAIS BARATO DE NITEROI</v>
      </c>
      <c r="L8687" s="32">
        <f>IFERROR(__xludf.DUMMYFUNCTION("""COMPUTED_VALUE"""),1.0)</f>
        <v>1</v>
      </c>
      <c r="M8687" s="4" t="str">
        <f>IFERROR(__xludf.DUMMYFUNCTION("""COMPUTED_VALUE"""),"N/A (Not found)")</f>
        <v>N/A (Not found)</v>
      </c>
      <c r="N8687" s="33">
        <f>IFERROR(__xludf.DUMMYFUNCTION("""COMPUTED_VALUE"""),1.0)</f>
        <v>1</v>
      </c>
      <c r="O8687" s="4" t="str">
        <f>IFERROR(__xludf.DUMMYFUNCTION("""COMPUTED_VALUE"""),"N/A (Not found)")</f>
        <v>N/A (Not found)</v>
      </c>
      <c r="P8687" s="33">
        <f>IFERROR(__xludf.DUMMYFUNCTION("""COMPUTED_VALUE"""),1.0)</f>
        <v>1</v>
      </c>
      <c r="Q8687" s="4" t="str">
        <f>IFERROR(__xludf.DUMMYFUNCTION("""COMPUTED_VALUE"""),"N/A (Not found)")</f>
        <v>N/A (Not found)</v>
      </c>
      <c r="R8687" s="33">
        <f>IFERROR(__xludf.DUMMYFUNCTION("""COMPUTED_VALUE"""),1.0)</f>
        <v>1</v>
      </c>
      <c r="S8687" s="4" t="str">
        <f>IFERROR(__xludf.DUMMYFUNCTION("""COMPUTED_VALUE"""),"N/A (Not found)")</f>
        <v>N/A (Not found)</v>
      </c>
      <c r="T8687" s="33">
        <f>IFERROR(__xludf.DUMMYFUNCTION("""COMPUTED_VALUE"""),1.0)</f>
        <v>1</v>
      </c>
      <c r="U8687" s="4" t="str">
        <f>IFERROR(__xludf.DUMMYFUNCTION("""COMPUTED_VALUE"""),"N/A (Not found)")</f>
        <v>N/A (Not found)</v>
      </c>
      <c r="V8687" s="33">
        <f>IFERROR(__xludf.DUMMYFUNCTION("""COMPUTED_VALUE"""),1.0)</f>
        <v>1</v>
      </c>
      <c r="W8687" s="4" t="str">
        <f>IFERROR(__xludf.DUMMYFUNCTION("""COMPUTED_VALUE"""),"N/A (Not found)")</f>
        <v>N/A (Not found)</v>
      </c>
      <c r="X8687" s="33">
        <f>IFERROR(__xludf.DUMMYFUNCTION("""COMPUTED_VALUE"""),1.0)</f>
        <v>1</v>
      </c>
    </row>
    <row r="8688">
      <c r="K8688" s="4" t="str">
        <f>IFERROR(__xludf.DUMMYFUNCTION("""COMPUTED_VALUE"""),"BOLO FOFO SALGADOS CONFEITOS")</f>
        <v>BOLO FOFO SALGADOS CONFEITOS</v>
      </c>
      <c r="L8688" s="32">
        <f>IFERROR(__xludf.DUMMYFUNCTION("""COMPUTED_VALUE"""),1.0)</f>
        <v>1</v>
      </c>
      <c r="M8688" s="4" t="str">
        <f>IFERROR(__xludf.DUMMYFUNCTION("""COMPUTED_VALUE"""),"Datacaixa Pdv")</f>
        <v>Datacaixa Pdv</v>
      </c>
      <c r="N8688" s="33">
        <f>IFERROR(__xludf.DUMMYFUNCTION("""COMPUTED_VALUE"""),1.0)</f>
        <v>1</v>
      </c>
      <c r="O8688" s="4" t="str">
        <f>IFERROR(__xludf.DUMMYFUNCTION("""COMPUTED_VALUE"""),"Datacaixa Pdv")</f>
        <v>Datacaixa Pdv</v>
      </c>
      <c r="P8688" s="33">
        <f>IFERROR(__xludf.DUMMYFUNCTION("""COMPUTED_VALUE"""),1.0)</f>
        <v>1</v>
      </c>
      <c r="Q8688" s="4" t="str">
        <f>IFERROR(__xludf.DUMMYFUNCTION("""COMPUTED_VALUE"""),"Datacaixa Pdv")</f>
        <v>Datacaixa Pdv</v>
      </c>
      <c r="R8688" s="33">
        <f>IFERROR(__xludf.DUMMYFUNCTION("""COMPUTED_VALUE"""),1.0)</f>
        <v>1</v>
      </c>
      <c r="S8688" s="4" t="str">
        <f>IFERROR(__xludf.DUMMYFUNCTION("""COMPUTED_VALUE"""),"Datacaixa Pdv")</f>
        <v>Datacaixa Pdv</v>
      </c>
      <c r="T8688" s="33">
        <f>IFERROR(__xludf.DUMMYFUNCTION("""COMPUTED_VALUE"""),1.0)</f>
        <v>1</v>
      </c>
      <c r="U8688" s="4" t="str">
        <f>IFERROR(__xludf.DUMMYFUNCTION("""COMPUTED_VALUE"""),"Datacaixa Pdv")</f>
        <v>Datacaixa Pdv</v>
      </c>
      <c r="V8688" s="33">
        <f>IFERROR(__xludf.DUMMYFUNCTION("""COMPUTED_VALUE"""),1.0)</f>
        <v>1</v>
      </c>
      <c r="W8688" s="4" t="str">
        <f>IFERROR(__xludf.DUMMYFUNCTION("""COMPUTED_VALUE"""),"Datacaixa Pdv")</f>
        <v>Datacaixa Pdv</v>
      </c>
      <c r="X8688" s="33">
        <f>IFERROR(__xludf.DUMMYFUNCTION("""COMPUTED_VALUE"""),1.0)</f>
        <v>1</v>
      </c>
    </row>
    <row r="8689">
      <c r="K8689" s="4" t="str">
        <f>IFERROR(__xludf.DUMMYFUNCTION("""COMPUTED_VALUE"""),"VILLAS BURGUER HAMBURGUERIA ARTESANAL")</f>
        <v>VILLAS BURGUER HAMBURGUERIA ARTESANAL</v>
      </c>
      <c r="L8689" s="32">
        <f>IFERROR(__xludf.DUMMYFUNCTION("""COMPUTED_VALUE"""),1.0)</f>
        <v>1</v>
      </c>
      <c r="M8689" s="4" t="str">
        <f>IFERROR(__xludf.DUMMYFUNCTION("""COMPUTED_VALUE"""),"Saipos Serviços De Software")</f>
        <v>Saipos Serviços De Software</v>
      </c>
      <c r="N8689" s="33">
        <f>IFERROR(__xludf.DUMMYFUNCTION("""COMPUTED_VALUE"""),1.0)</f>
        <v>1</v>
      </c>
      <c r="O8689" s="4" t="str">
        <f>IFERROR(__xludf.DUMMYFUNCTION("""COMPUTED_VALUE"""),"Saipos Serviços De Software")</f>
        <v>Saipos Serviços De Software</v>
      </c>
      <c r="P8689" s="33">
        <f>IFERROR(__xludf.DUMMYFUNCTION("""COMPUTED_VALUE"""),1.0)</f>
        <v>1</v>
      </c>
      <c r="Q8689" s="4" t="str">
        <f>IFERROR(__xludf.DUMMYFUNCTION("""COMPUTED_VALUE"""),"Saipos Serviços De Software")</f>
        <v>Saipos Serviços De Software</v>
      </c>
      <c r="R8689" s="33">
        <f>IFERROR(__xludf.DUMMYFUNCTION("""COMPUTED_VALUE"""),1.0)</f>
        <v>1</v>
      </c>
      <c r="S8689" s="4" t="str">
        <f>IFERROR(__xludf.DUMMYFUNCTION("""COMPUTED_VALUE"""),"Saipos Serviços De Software")</f>
        <v>Saipos Serviços De Software</v>
      </c>
      <c r="T8689" s="33">
        <f>IFERROR(__xludf.DUMMYFUNCTION("""COMPUTED_VALUE"""),1.0)</f>
        <v>1</v>
      </c>
      <c r="U8689" s="4" t="str">
        <f>IFERROR(__xludf.DUMMYFUNCTION("""COMPUTED_VALUE"""),"Saipos Serviços De Software")</f>
        <v>Saipos Serviços De Software</v>
      </c>
      <c r="V8689" s="33">
        <f>IFERROR(__xludf.DUMMYFUNCTION("""COMPUTED_VALUE"""),1.0)</f>
        <v>1</v>
      </c>
      <c r="W8689" s="4" t="str">
        <f>IFERROR(__xludf.DUMMYFUNCTION("""COMPUTED_VALUE"""),"Saipos Serviços De Software")</f>
        <v>Saipos Serviços De Software</v>
      </c>
      <c r="X8689" s="33">
        <f>IFERROR(__xludf.DUMMYFUNCTION("""COMPUTED_VALUE"""),1.0)</f>
        <v>1</v>
      </c>
    </row>
    <row r="8690">
      <c r="K8690" s="4" t="str">
        <f>IFERROR(__xludf.DUMMYFUNCTION("""COMPUTED_VALUE"""),"PROJETO ACAI")</f>
        <v>PROJETO ACAI</v>
      </c>
      <c r="L8690" s="32">
        <f>IFERROR(__xludf.DUMMYFUNCTION("""COMPUTED_VALUE"""),1.0)</f>
        <v>1</v>
      </c>
      <c r="M8690" s="4" t="str">
        <f>IFERROR(__xludf.DUMMYFUNCTION("""COMPUTED_VALUE"""),"Anota Ai Solucoes Digitais S/a")</f>
        <v>Anota Ai Solucoes Digitais S/a</v>
      </c>
      <c r="N8690" s="33">
        <f>IFERROR(__xludf.DUMMYFUNCTION("""COMPUTED_VALUE"""),1.0)</f>
        <v>1</v>
      </c>
      <c r="O8690" s="4" t="str">
        <f>IFERROR(__xludf.DUMMYFUNCTION("""COMPUTED_VALUE"""),"Anota Ai Solucoes Digitais S/a")</f>
        <v>Anota Ai Solucoes Digitais S/a</v>
      </c>
      <c r="P8690" s="33">
        <f>IFERROR(__xludf.DUMMYFUNCTION("""COMPUTED_VALUE"""),1.0)</f>
        <v>1</v>
      </c>
      <c r="Q8690" s="4" t="str">
        <f>IFERROR(__xludf.DUMMYFUNCTION("""COMPUTED_VALUE"""),"Anota Ai Solucoes Digitais S/a")</f>
        <v>Anota Ai Solucoes Digitais S/a</v>
      </c>
      <c r="R8690" s="33">
        <f>IFERROR(__xludf.DUMMYFUNCTION("""COMPUTED_VALUE"""),1.0)</f>
        <v>1</v>
      </c>
      <c r="S8690" s="4" t="str">
        <f>IFERROR(__xludf.DUMMYFUNCTION("""COMPUTED_VALUE"""),"Anota Ai Solucoes Digitais S/a")</f>
        <v>Anota Ai Solucoes Digitais S/a</v>
      </c>
      <c r="T8690" s="33">
        <f>IFERROR(__xludf.DUMMYFUNCTION("""COMPUTED_VALUE"""),1.0)</f>
        <v>1</v>
      </c>
      <c r="U8690" s="4" t="str">
        <f>IFERROR(__xludf.DUMMYFUNCTION("""COMPUTED_VALUE"""),"Anota Ai Solucoes Digitais S/a")</f>
        <v>Anota Ai Solucoes Digitais S/a</v>
      </c>
      <c r="V8690" s="33">
        <f>IFERROR(__xludf.DUMMYFUNCTION("""COMPUTED_VALUE"""),1.0)</f>
        <v>1</v>
      </c>
      <c r="W8690" s="4" t="str">
        <f>IFERROR(__xludf.DUMMYFUNCTION("""COMPUTED_VALUE"""),"Anota Ai Solucoes Digitais S/a")</f>
        <v>Anota Ai Solucoes Digitais S/a</v>
      </c>
      <c r="X8690" s="33">
        <f>IFERROR(__xludf.DUMMYFUNCTION("""COMPUTED_VALUE"""),1.0)</f>
        <v>1</v>
      </c>
    </row>
    <row r="8691">
      <c r="K8691" s="4" t="str">
        <f>IFERROR(__xludf.DUMMYFUNCTION("""COMPUTED_VALUE"""),"KALED RESTAURANTE ARABE")</f>
        <v>KALED RESTAURANTE ARABE</v>
      </c>
      <c r="L8691" s="32">
        <f>IFERROR(__xludf.DUMMYFUNCTION("""COMPUTED_VALUE"""),1.0)</f>
        <v>1</v>
      </c>
      <c r="M8691" s="4" t="str">
        <f>IFERROR(__xludf.DUMMYFUNCTION("""COMPUTED_VALUE"""),"Ncr")</f>
        <v>Ncr</v>
      </c>
      <c r="N8691" s="33">
        <f>IFERROR(__xludf.DUMMYFUNCTION("""COMPUTED_VALUE"""),1.0)</f>
        <v>1</v>
      </c>
      <c r="O8691" s="4" t="str">
        <f>IFERROR(__xludf.DUMMYFUNCTION("""COMPUTED_VALUE"""),"Ncr")</f>
        <v>Ncr</v>
      </c>
      <c r="P8691" s="33">
        <f>IFERROR(__xludf.DUMMYFUNCTION("""COMPUTED_VALUE"""),1.0)</f>
        <v>1</v>
      </c>
      <c r="Q8691" s="4" t="str">
        <f>IFERROR(__xludf.DUMMYFUNCTION("""COMPUTED_VALUE"""),"Ncr")</f>
        <v>Ncr</v>
      </c>
      <c r="R8691" s="33">
        <f>IFERROR(__xludf.DUMMYFUNCTION("""COMPUTED_VALUE"""),1.0)</f>
        <v>1</v>
      </c>
      <c r="S8691" s="4" t="str">
        <f>IFERROR(__xludf.DUMMYFUNCTION("""COMPUTED_VALUE"""),"Ncr")</f>
        <v>Ncr</v>
      </c>
      <c r="T8691" s="33">
        <f>IFERROR(__xludf.DUMMYFUNCTION("""COMPUTED_VALUE"""),1.0)</f>
        <v>1</v>
      </c>
      <c r="U8691" s="4" t="str">
        <f>IFERROR(__xludf.DUMMYFUNCTION("""COMPUTED_VALUE"""),"Ncr")</f>
        <v>Ncr</v>
      </c>
      <c r="V8691" s="33">
        <f>IFERROR(__xludf.DUMMYFUNCTION("""COMPUTED_VALUE"""),1.0)</f>
        <v>1</v>
      </c>
      <c r="W8691" s="4" t="str">
        <f>IFERROR(__xludf.DUMMYFUNCTION("""COMPUTED_VALUE"""),"Ncr")</f>
        <v>Ncr</v>
      </c>
      <c r="X8691" s="33">
        <f>IFERROR(__xludf.DUMMYFUNCTION("""COMPUTED_VALUE"""),1.0)</f>
        <v>1</v>
      </c>
    </row>
    <row r="8692">
      <c r="K8692" s="4" t="str">
        <f>IFERROR(__xludf.DUMMYFUNCTION("""COMPUTED_VALUE"""),"CHICAO RESTAURANTE")</f>
        <v>CHICAO RESTAURANTE</v>
      </c>
      <c r="L8692" s="32">
        <f>IFERROR(__xludf.DUMMYFUNCTION("""COMPUTED_VALUE"""),1.0)</f>
        <v>1</v>
      </c>
      <c r="M8692" s="4" t="str">
        <f>IFERROR(__xludf.DUMMYFUNCTION("""COMPUTED_VALUE"""),"Yooga")</f>
        <v>Yooga</v>
      </c>
      <c r="N8692" s="33">
        <f>IFERROR(__xludf.DUMMYFUNCTION("""COMPUTED_VALUE"""),1.0)</f>
        <v>1</v>
      </c>
      <c r="O8692" s="4" t="str">
        <f>IFERROR(__xludf.DUMMYFUNCTION("""COMPUTED_VALUE"""),"Yooga")</f>
        <v>Yooga</v>
      </c>
      <c r="P8692" s="33">
        <f>IFERROR(__xludf.DUMMYFUNCTION("""COMPUTED_VALUE"""),1.0)</f>
        <v>1</v>
      </c>
      <c r="Q8692" s="4" t="str">
        <f>IFERROR(__xludf.DUMMYFUNCTION("""COMPUTED_VALUE"""),"Yooga")</f>
        <v>Yooga</v>
      </c>
      <c r="R8692" s="33">
        <f>IFERROR(__xludf.DUMMYFUNCTION("""COMPUTED_VALUE"""),1.0)</f>
        <v>1</v>
      </c>
      <c r="S8692" s="4" t="str">
        <f>IFERROR(__xludf.DUMMYFUNCTION("""COMPUTED_VALUE"""),"Yooga")</f>
        <v>Yooga</v>
      </c>
      <c r="T8692" s="33">
        <f>IFERROR(__xludf.DUMMYFUNCTION("""COMPUTED_VALUE"""),1.0)</f>
        <v>1</v>
      </c>
      <c r="U8692" s="4" t="str">
        <f>IFERROR(__xludf.DUMMYFUNCTION("""COMPUTED_VALUE"""),"Yooga")</f>
        <v>Yooga</v>
      </c>
      <c r="V8692" s="33">
        <f>IFERROR(__xludf.DUMMYFUNCTION("""COMPUTED_VALUE"""),1.0)</f>
        <v>1</v>
      </c>
      <c r="W8692" s="4" t="str">
        <f>IFERROR(__xludf.DUMMYFUNCTION("""COMPUTED_VALUE"""),"Yooga")</f>
        <v>Yooga</v>
      </c>
      <c r="X8692" s="33">
        <f>IFERROR(__xludf.DUMMYFUNCTION("""COMPUTED_VALUE"""),1.0)</f>
        <v>1</v>
      </c>
    </row>
    <row r="8693">
      <c r="K8693" s="4" t="str">
        <f>IFERROR(__xludf.DUMMYFUNCTION("""COMPUTED_VALUE"""),"THE SHAPE BURGUER - HAMBURGUERIA")</f>
        <v>THE SHAPE BURGUER - HAMBURGUERIA</v>
      </c>
      <c r="L8693" s="32">
        <f>IFERROR(__xludf.DUMMYFUNCTION("""COMPUTED_VALUE"""),1.0)</f>
        <v>1</v>
      </c>
      <c r="M8693" s="4" t="str">
        <f>IFERROR(__xludf.DUMMYFUNCTION("""COMPUTED_VALUE"""),"Cardápio Web")</f>
        <v>Cardápio Web</v>
      </c>
      <c r="N8693" s="33">
        <f>IFERROR(__xludf.DUMMYFUNCTION("""COMPUTED_VALUE"""),1.0)</f>
        <v>1</v>
      </c>
      <c r="O8693" s="4" t="str">
        <f>IFERROR(__xludf.DUMMYFUNCTION("""COMPUTED_VALUE"""),"Cardápio Web")</f>
        <v>Cardápio Web</v>
      </c>
      <c r="P8693" s="33">
        <f>IFERROR(__xludf.DUMMYFUNCTION("""COMPUTED_VALUE"""),1.0)</f>
        <v>1</v>
      </c>
      <c r="Q8693" s="4" t="str">
        <f>IFERROR(__xludf.DUMMYFUNCTION("""COMPUTED_VALUE"""),"Cardápio Web")</f>
        <v>Cardápio Web</v>
      </c>
      <c r="R8693" s="33">
        <f>IFERROR(__xludf.DUMMYFUNCTION("""COMPUTED_VALUE"""),1.0)</f>
        <v>1</v>
      </c>
      <c r="S8693" s="4" t="str">
        <f>IFERROR(__xludf.DUMMYFUNCTION("""COMPUTED_VALUE"""),"Cardápio Web")</f>
        <v>Cardápio Web</v>
      </c>
      <c r="T8693" s="33">
        <f>IFERROR(__xludf.DUMMYFUNCTION("""COMPUTED_VALUE"""),1.0)</f>
        <v>1</v>
      </c>
      <c r="U8693" s="4" t="str">
        <f>IFERROR(__xludf.DUMMYFUNCTION("""COMPUTED_VALUE"""),"Cardápio Web")</f>
        <v>Cardápio Web</v>
      </c>
      <c r="V8693" s="33">
        <f>IFERROR(__xludf.DUMMYFUNCTION("""COMPUTED_VALUE"""),1.0)</f>
        <v>1</v>
      </c>
      <c r="W8693" s="4" t="str">
        <f>IFERROR(__xludf.DUMMYFUNCTION("""COMPUTED_VALUE"""),"Cardápio Web")</f>
        <v>Cardápio Web</v>
      </c>
      <c r="X8693" s="33">
        <f>IFERROR(__xludf.DUMMYFUNCTION("""COMPUTED_VALUE"""),1.0)</f>
        <v>1</v>
      </c>
    </row>
    <row r="8694">
      <c r="K8694" s="4" t="str">
        <f>IFERROR(__xludf.DUMMYFUNCTION("""COMPUTED_VALUE"""),"MARMITARIA MAE E FILHA E JANTINHA")</f>
        <v>MARMITARIA MAE E FILHA E JANTINHA</v>
      </c>
      <c r="L8694" s="32">
        <f>IFERROR(__xludf.DUMMYFUNCTION("""COMPUTED_VALUE"""),1.0)</f>
        <v>1</v>
      </c>
      <c r="M8694" s="4" t="str">
        <f>IFERROR(__xludf.DUMMYFUNCTION("""COMPUTED_VALUE"""),"null")</f>
        <v>null</v>
      </c>
      <c r="N8694" s="33">
        <f>IFERROR(__xludf.DUMMYFUNCTION("""COMPUTED_VALUE"""),1.0)</f>
        <v>1</v>
      </c>
      <c r="O8694" s="4" t="str">
        <f>IFERROR(__xludf.DUMMYFUNCTION("""COMPUTED_VALUE"""),"null")</f>
        <v>null</v>
      </c>
      <c r="P8694" s="33">
        <f>IFERROR(__xludf.DUMMYFUNCTION("""COMPUTED_VALUE"""),1.0)</f>
        <v>1</v>
      </c>
      <c r="Q8694" s="4" t="str">
        <f>IFERROR(__xludf.DUMMYFUNCTION("""COMPUTED_VALUE"""),"null")</f>
        <v>null</v>
      </c>
      <c r="R8694" s="33">
        <f>IFERROR(__xludf.DUMMYFUNCTION("""COMPUTED_VALUE"""),1.0)</f>
        <v>1</v>
      </c>
      <c r="S8694" s="4" t="str">
        <f>IFERROR(__xludf.DUMMYFUNCTION("""COMPUTED_VALUE"""),"null")</f>
        <v>null</v>
      </c>
      <c r="T8694" s="33">
        <f>IFERROR(__xludf.DUMMYFUNCTION("""COMPUTED_VALUE"""),1.0)</f>
        <v>1</v>
      </c>
      <c r="U8694" s="4" t="str">
        <f>IFERROR(__xludf.DUMMYFUNCTION("""COMPUTED_VALUE"""),"Diggy")</f>
        <v>Diggy</v>
      </c>
      <c r="V8694" s="33">
        <f>IFERROR(__xludf.DUMMYFUNCTION("""COMPUTED_VALUE"""),1.0)</f>
        <v>1</v>
      </c>
      <c r="W8694" s="4" t="str">
        <f>IFERROR(__xludf.DUMMYFUNCTION("""COMPUTED_VALUE"""),"Diggy")</f>
        <v>Diggy</v>
      </c>
      <c r="X8694" s="33">
        <f>IFERROR(__xludf.DUMMYFUNCTION("""COMPUTED_VALUE"""),1.0)</f>
        <v>1</v>
      </c>
    </row>
    <row r="8695">
      <c r="K8695" s="4" t="str">
        <f>IFERROR(__xludf.DUMMYFUNCTION("""COMPUTED_VALUE"""),"MACOSINE RESTAURANTE - SANTO ANDRE")</f>
        <v>MACOSINE RESTAURANTE - SANTO ANDRE</v>
      </c>
      <c r="L8695" s="32">
        <f>IFERROR(__xludf.DUMMYFUNCTION("""COMPUTED_VALUE"""),1.0)</f>
        <v>1</v>
      </c>
      <c r="M8695" s="4" t="str">
        <f>IFERROR(__xludf.DUMMYFUNCTION("""COMPUTED_VALUE"""),"Su Cheff")</f>
        <v>Su Cheff</v>
      </c>
      <c r="N8695" s="33">
        <f>IFERROR(__xludf.DUMMYFUNCTION("""COMPUTED_VALUE"""),1.0)</f>
        <v>1</v>
      </c>
      <c r="O8695" s="4" t="str">
        <f>IFERROR(__xludf.DUMMYFUNCTION("""COMPUTED_VALUE"""),"null")</f>
        <v>null</v>
      </c>
      <c r="P8695" s="33">
        <f>IFERROR(__xludf.DUMMYFUNCTION("""COMPUTED_VALUE"""),1.0)</f>
        <v>1</v>
      </c>
      <c r="Q8695" s="4" t="str">
        <f>IFERROR(__xludf.DUMMYFUNCTION("""COMPUTED_VALUE"""),"null")</f>
        <v>null</v>
      </c>
      <c r="R8695" s="33">
        <f>IFERROR(__xludf.DUMMYFUNCTION("""COMPUTED_VALUE"""),1.0)</f>
        <v>1</v>
      </c>
      <c r="S8695" s="4" t="str">
        <f>IFERROR(__xludf.DUMMYFUNCTION("""COMPUTED_VALUE"""),"null")</f>
        <v>null</v>
      </c>
      <c r="T8695" s="33">
        <f>IFERROR(__xludf.DUMMYFUNCTION("""COMPUTED_VALUE"""),1.0)</f>
        <v>1</v>
      </c>
      <c r="U8695" s="4" t="str">
        <f>IFERROR(__xludf.DUMMYFUNCTION("""COMPUTED_VALUE"""),"null")</f>
        <v>null</v>
      </c>
      <c r="V8695" s="33">
        <f>IFERROR(__xludf.DUMMYFUNCTION("""COMPUTED_VALUE"""),1.0)</f>
        <v>1</v>
      </c>
      <c r="W8695" s="4" t="str">
        <f>IFERROR(__xludf.DUMMYFUNCTION("""COMPUTED_VALUE"""),"Su Cheff")</f>
        <v>Su Cheff</v>
      </c>
      <c r="X8695" s="33">
        <f>IFERROR(__xludf.DUMMYFUNCTION("""COMPUTED_VALUE"""),1.0)</f>
        <v>1</v>
      </c>
    </row>
    <row r="8696">
      <c r="K8696" s="4" t="str">
        <f>IFERROR(__xludf.DUMMYFUNCTION("""COMPUTED_VALUE"""),"SORFIT SORVETES")</f>
        <v>SORFIT SORVETES</v>
      </c>
      <c r="L8696" s="32">
        <f>IFERROR(__xludf.DUMMYFUNCTION("""COMPUTED_VALUE"""),1.0)</f>
        <v>1</v>
      </c>
      <c r="M8696" s="4" t="str">
        <f>IFERROR(__xludf.DUMMYFUNCTION("""COMPUTED_VALUE"""),"Cardápio Web")</f>
        <v>Cardápio Web</v>
      </c>
      <c r="N8696" s="33">
        <f>IFERROR(__xludf.DUMMYFUNCTION("""COMPUTED_VALUE"""),1.0)</f>
        <v>1</v>
      </c>
      <c r="O8696" s="4" t="str">
        <f>IFERROR(__xludf.DUMMYFUNCTION("""COMPUTED_VALUE"""),"Cardápio Web")</f>
        <v>Cardápio Web</v>
      </c>
      <c r="P8696" s="33">
        <f>IFERROR(__xludf.DUMMYFUNCTION("""COMPUTED_VALUE"""),1.0)</f>
        <v>1</v>
      </c>
      <c r="Q8696" s="4" t="str">
        <f>IFERROR(__xludf.DUMMYFUNCTION("""COMPUTED_VALUE"""),"Cardápio Web")</f>
        <v>Cardápio Web</v>
      </c>
      <c r="R8696" s="33">
        <f>IFERROR(__xludf.DUMMYFUNCTION("""COMPUTED_VALUE"""),1.0)</f>
        <v>1</v>
      </c>
      <c r="S8696" s="4" t="str">
        <f>IFERROR(__xludf.DUMMYFUNCTION("""COMPUTED_VALUE"""),"Cardápio Web")</f>
        <v>Cardápio Web</v>
      </c>
      <c r="T8696" s="33">
        <f>IFERROR(__xludf.DUMMYFUNCTION("""COMPUTED_VALUE"""),1.0)</f>
        <v>1</v>
      </c>
      <c r="U8696" s="4" t="str">
        <f>IFERROR(__xludf.DUMMYFUNCTION("""COMPUTED_VALUE"""),"Cardápio Web")</f>
        <v>Cardápio Web</v>
      </c>
      <c r="V8696" s="33">
        <f>IFERROR(__xludf.DUMMYFUNCTION("""COMPUTED_VALUE"""),1.0)</f>
        <v>1</v>
      </c>
      <c r="W8696" s="4" t="str">
        <f>IFERROR(__xludf.DUMMYFUNCTION("""COMPUTED_VALUE"""),"Cardápio Web")</f>
        <v>Cardápio Web</v>
      </c>
      <c r="X8696" s="33">
        <f>IFERROR(__xludf.DUMMYFUNCTION("""COMPUTED_VALUE"""),1.0)</f>
        <v>1</v>
      </c>
    </row>
    <row r="8697">
      <c r="K8697" s="4" t="str">
        <f>IFERROR(__xludf.DUMMYFUNCTION("""COMPUTED_VALUE"""),"POP BATATA RECHEADA")</f>
        <v>POP BATATA RECHEADA</v>
      </c>
      <c r="L8697" s="32">
        <f>IFERROR(__xludf.DUMMYFUNCTION("""COMPUTED_VALUE"""),1.0)</f>
        <v>1</v>
      </c>
      <c r="M8697" s="4" t="str">
        <f>IFERROR(__xludf.DUMMYFUNCTION("""COMPUTED_VALUE"""),"Alloy Tecnologia")</f>
        <v>Alloy Tecnologia</v>
      </c>
      <c r="N8697" s="33">
        <f>IFERROR(__xludf.DUMMYFUNCTION("""COMPUTED_VALUE"""),1.0)</f>
        <v>1</v>
      </c>
      <c r="O8697" s="4" t="str">
        <f>IFERROR(__xludf.DUMMYFUNCTION("""COMPUTED_VALUE"""),"Alloy Tecnologia")</f>
        <v>Alloy Tecnologia</v>
      </c>
      <c r="P8697" s="33">
        <f>IFERROR(__xludf.DUMMYFUNCTION("""COMPUTED_VALUE"""),1.0)</f>
        <v>1</v>
      </c>
      <c r="Q8697" s="4" t="str">
        <f>IFERROR(__xludf.DUMMYFUNCTION("""COMPUTED_VALUE"""),"Alloy Tecnologia")</f>
        <v>Alloy Tecnologia</v>
      </c>
      <c r="R8697" s="33">
        <f>IFERROR(__xludf.DUMMYFUNCTION("""COMPUTED_VALUE"""),1.0)</f>
        <v>1</v>
      </c>
      <c r="S8697" s="4" t="str">
        <f>IFERROR(__xludf.DUMMYFUNCTION("""COMPUTED_VALUE"""),"Alloy Tecnologia")</f>
        <v>Alloy Tecnologia</v>
      </c>
      <c r="T8697" s="33">
        <f>IFERROR(__xludf.DUMMYFUNCTION("""COMPUTED_VALUE"""),1.0)</f>
        <v>1</v>
      </c>
      <c r="U8697" s="4" t="str">
        <f>IFERROR(__xludf.DUMMYFUNCTION("""COMPUTED_VALUE"""),"null")</f>
        <v>null</v>
      </c>
      <c r="V8697" s="33">
        <f>IFERROR(__xludf.DUMMYFUNCTION("""COMPUTED_VALUE"""),1.0)</f>
        <v>1</v>
      </c>
      <c r="W8697" s="4" t="str">
        <f>IFERROR(__xludf.DUMMYFUNCTION("""COMPUTED_VALUE"""),"Alloy Tecnologia")</f>
        <v>Alloy Tecnologia</v>
      </c>
      <c r="X8697" s="33">
        <f>IFERROR(__xludf.DUMMYFUNCTION("""COMPUTED_VALUE"""),1.0)</f>
        <v>1</v>
      </c>
    </row>
    <row r="8698">
      <c r="K8698" s="4" t="str">
        <f>IFERROR(__xludf.DUMMYFUNCTION("""COMPUTED_VALUE"""),"ABSOLUTO HAMBURGUER ESPETINHO")</f>
        <v>ABSOLUTO HAMBURGUER ESPETINHO</v>
      </c>
      <c r="L8698" s="32">
        <f>IFERROR(__xludf.DUMMYFUNCTION("""COMPUTED_VALUE"""),1.0)</f>
        <v>1</v>
      </c>
      <c r="M8698" s="4" t="str">
        <f>IFERROR(__xludf.DUMMYFUNCTION("""COMPUTED_VALUE"""),"Saipos Serviços De Software")</f>
        <v>Saipos Serviços De Software</v>
      </c>
      <c r="N8698" s="33">
        <f>IFERROR(__xludf.DUMMYFUNCTION("""COMPUTED_VALUE"""),1.0)</f>
        <v>1</v>
      </c>
      <c r="O8698" s="4" t="str">
        <f>IFERROR(__xludf.DUMMYFUNCTION("""COMPUTED_VALUE"""),"Saipos Serviços De Software")</f>
        <v>Saipos Serviços De Software</v>
      </c>
      <c r="P8698" s="33">
        <f>IFERROR(__xludf.DUMMYFUNCTION("""COMPUTED_VALUE"""),1.0)</f>
        <v>1</v>
      </c>
      <c r="Q8698" s="4" t="str">
        <f>IFERROR(__xludf.DUMMYFUNCTION("""COMPUTED_VALUE"""),"Saipos Serviços De Software")</f>
        <v>Saipos Serviços De Software</v>
      </c>
      <c r="R8698" s="33">
        <f>IFERROR(__xludf.DUMMYFUNCTION("""COMPUTED_VALUE"""),1.0)</f>
        <v>1</v>
      </c>
      <c r="S8698" s="4" t="str">
        <f>IFERROR(__xludf.DUMMYFUNCTION("""COMPUTED_VALUE"""),"Saipos Serviços De Software")</f>
        <v>Saipos Serviços De Software</v>
      </c>
      <c r="T8698" s="33">
        <f>IFERROR(__xludf.DUMMYFUNCTION("""COMPUTED_VALUE"""),1.0)</f>
        <v>1</v>
      </c>
      <c r="U8698" s="4" t="str">
        <f>IFERROR(__xludf.DUMMYFUNCTION("""COMPUTED_VALUE"""),"Saipos Serviços De Software")</f>
        <v>Saipos Serviços De Software</v>
      </c>
      <c r="V8698" s="33">
        <f>IFERROR(__xludf.DUMMYFUNCTION("""COMPUTED_VALUE"""),1.0)</f>
        <v>1</v>
      </c>
      <c r="W8698" s="4" t="str">
        <f>IFERROR(__xludf.DUMMYFUNCTION("""COMPUTED_VALUE"""),"Saipos Serviços De Software")</f>
        <v>Saipos Serviços De Software</v>
      </c>
      <c r="X8698" s="33">
        <f>IFERROR(__xludf.DUMMYFUNCTION("""COMPUTED_VALUE"""),1.0)</f>
        <v>1</v>
      </c>
    </row>
    <row r="8699">
      <c r="K8699" s="4" t="str">
        <f>IFERROR(__xludf.DUMMYFUNCTION("""COMPUTED_VALUE"""),"UMAMI COZINHA ASIATICA")</f>
        <v>UMAMI COZINHA ASIATICA</v>
      </c>
      <c r="L8699" s="32">
        <f>IFERROR(__xludf.DUMMYFUNCTION("""COMPUTED_VALUE"""),1.0)</f>
        <v>1</v>
      </c>
      <c r="M8699" s="4" t="str">
        <f>IFERROR(__xludf.DUMMYFUNCTION("""COMPUTED_VALUE"""),"Saipos Serviços De Software")</f>
        <v>Saipos Serviços De Software</v>
      </c>
      <c r="N8699" s="33">
        <f>IFERROR(__xludf.DUMMYFUNCTION("""COMPUTED_VALUE"""),1.0)</f>
        <v>1</v>
      </c>
      <c r="O8699" s="4" t="str">
        <f>IFERROR(__xludf.DUMMYFUNCTION("""COMPUTED_VALUE"""),"Saipos Serviços De Software")</f>
        <v>Saipos Serviços De Software</v>
      </c>
      <c r="P8699" s="33">
        <f>IFERROR(__xludf.DUMMYFUNCTION("""COMPUTED_VALUE"""),1.0)</f>
        <v>1</v>
      </c>
      <c r="Q8699" s="4" t="str">
        <f>IFERROR(__xludf.DUMMYFUNCTION("""COMPUTED_VALUE"""),"Saipos Serviços De Software")</f>
        <v>Saipos Serviços De Software</v>
      </c>
      <c r="R8699" s="33">
        <f>IFERROR(__xludf.DUMMYFUNCTION("""COMPUTED_VALUE"""),1.0)</f>
        <v>1</v>
      </c>
      <c r="S8699" s="4" t="str">
        <f>IFERROR(__xludf.DUMMYFUNCTION("""COMPUTED_VALUE"""),"Saipos Serviços De Software")</f>
        <v>Saipos Serviços De Software</v>
      </c>
      <c r="T8699" s="33">
        <f>IFERROR(__xludf.DUMMYFUNCTION("""COMPUTED_VALUE"""),1.0)</f>
        <v>1</v>
      </c>
      <c r="U8699" s="4" t="str">
        <f>IFERROR(__xludf.DUMMYFUNCTION("""COMPUTED_VALUE"""),"Saipos Serviços De Software")</f>
        <v>Saipos Serviços De Software</v>
      </c>
      <c r="V8699" s="33">
        <f>IFERROR(__xludf.DUMMYFUNCTION("""COMPUTED_VALUE"""),1.0)</f>
        <v>1</v>
      </c>
      <c r="W8699" s="4" t="str">
        <f>IFERROR(__xludf.DUMMYFUNCTION("""COMPUTED_VALUE"""),"Saipos Serviços De Software")</f>
        <v>Saipos Serviços De Software</v>
      </c>
      <c r="X8699" s="33">
        <f>IFERROR(__xludf.DUMMYFUNCTION("""COMPUTED_VALUE"""),1.0)</f>
        <v>1</v>
      </c>
    </row>
    <row r="8700">
      <c r="K8700" s="4" t="str">
        <f>IFERROR(__xludf.DUMMYFUNCTION("""COMPUTED_VALUE"""),"BOLARIA BOM APETITE")</f>
        <v>BOLARIA BOM APETITE</v>
      </c>
      <c r="L8700" s="32">
        <f>IFERROR(__xludf.DUMMYFUNCTION("""COMPUTED_VALUE"""),1.0)</f>
        <v>1</v>
      </c>
      <c r="M8700" s="4" t="str">
        <f>IFERROR(__xludf.DUMMYFUNCTION("""COMPUTED_VALUE"""),"null")</f>
        <v>null</v>
      </c>
      <c r="N8700" s="33">
        <f>IFERROR(__xludf.DUMMYFUNCTION("""COMPUTED_VALUE"""),1.0)</f>
        <v>1</v>
      </c>
      <c r="O8700" s="4" t="str">
        <f>IFERROR(__xludf.DUMMYFUNCTION("""COMPUTED_VALUE"""),"null")</f>
        <v>null</v>
      </c>
      <c r="P8700" s="33">
        <f>IFERROR(__xludf.DUMMYFUNCTION("""COMPUTED_VALUE"""),1.0)</f>
        <v>1</v>
      </c>
      <c r="Q8700" s="4" t="str">
        <f>IFERROR(__xludf.DUMMYFUNCTION("""COMPUTED_VALUE"""),"null")</f>
        <v>null</v>
      </c>
      <c r="R8700" s="33">
        <f>IFERROR(__xludf.DUMMYFUNCTION("""COMPUTED_VALUE"""),1.0)</f>
        <v>1</v>
      </c>
      <c r="S8700" s="4" t="str">
        <f>IFERROR(__xludf.DUMMYFUNCTION("""COMPUTED_VALUE"""),"null")</f>
        <v>null</v>
      </c>
      <c r="T8700" s="33">
        <f>IFERROR(__xludf.DUMMYFUNCTION("""COMPUTED_VALUE"""),1.0)</f>
        <v>1</v>
      </c>
      <c r="U8700" s="4" t="str">
        <f>IFERROR(__xludf.DUMMYFUNCTION("""COMPUTED_VALUE"""),"Instadelivery")</f>
        <v>Instadelivery</v>
      </c>
      <c r="V8700" s="33">
        <f>IFERROR(__xludf.DUMMYFUNCTION("""COMPUTED_VALUE"""),1.0)</f>
        <v>1</v>
      </c>
      <c r="W8700" s="4" t="str">
        <f>IFERROR(__xludf.DUMMYFUNCTION("""COMPUTED_VALUE"""),"Instadelivery")</f>
        <v>Instadelivery</v>
      </c>
      <c r="X8700" s="33">
        <f>IFERROR(__xludf.DUMMYFUNCTION("""COMPUTED_VALUE"""),1.0)</f>
        <v>1</v>
      </c>
    </row>
    <row r="8701">
      <c r="K8701" s="4" t="str">
        <f>IFERROR(__xludf.DUMMYFUNCTION("""COMPUTED_VALUE"""),"TICAS BURGER")</f>
        <v>TICAS BURGER</v>
      </c>
      <c r="L8701" s="32">
        <f>IFERROR(__xludf.DUMMYFUNCTION("""COMPUTED_VALUE"""),1.0)</f>
        <v>1</v>
      </c>
      <c r="M8701" s="4" t="str">
        <f>IFERROR(__xludf.DUMMYFUNCTION("""COMPUTED_VALUE"""),"Cardápio Web")</f>
        <v>Cardápio Web</v>
      </c>
      <c r="N8701" s="33">
        <f>IFERROR(__xludf.DUMMYFUNCTION("""COMPUTED_VALUE"""),1.0)</f>
        <v>1</v>
      </c>
      <c r="O8701" s="4" t="str">
        <f>IFERROR(__xludf.DUMMYFUNCTION("""COMPUTED_VALUE"""),"Cardápio Web")</f>
        <v>Cardápio Web</v>
      </c>
      <c r="P8701" s="33">
        <f>IFERROR(__xludf.DUMMYFUNCTION("""COMPUTED_VALUE"""),1.0)</f>
        <v>1</v>
      </c>
      <c r="Q8701" s="4" t="str">
        <f>IFERROR(__xludf.DUMMYFUNCTION("""COMPUTED_VALUE"""),"Cardápio Web")</f>
        <v>Cardápio Web</v>
      </c>
      <c r="R8701" s="33">
        <f>IFERROR(__xludf.DUMMYFUNCTION("""COMPUTED_VALUE"""),1.0)</f>
        <v>1</v>
      </c>
      <c r="S8701" s="4" t="str">
        <f>IFERROR(__xludf.DUMMYFUNCTION("""COMPUTED_VALUE"""),"Cardápio Web")</f>
        <v>Cardápio Web</v>
      </c>
      <c r="T8701" s="33">
        <f>IFERROR(__xludf.DUMMYFUNCTION("""COMPUTED_VALUE"""),1.0)</f>
        <v>1</v>
      </c>
      <c r="U8701" s="4" t="str">
        <f>IFERROR(__xludf.DUMMYFUNCTION("""COMPUTED_VALUE"""),"Cardápio Web")</f>
        <v>Cardápio Web</v>
      </c>
      <c r="V8701" s="33">
        <f>IFERROR(__xludf.DUMMYFUNCTION("""COMPUTED_VALUE"""),1.0)</f>
        <v>1</v>
      </c>
      <c r="W8701" s="4" t="str">
        <f>IFERROR(__xludf.DUMMYFUNCTION("""COMPUTED_VALUE"""),"Cardápio Web")</f>
        <v>Cardápio Web</v>
      </c>
      <c r="X8701" s="33">
        <f>IFERROR(__xludf.DUMMYFUNCTION("""COMPUTED_VALUE"""),1.0)</f>
        <v>1</v>
      </c>
    </row>
    <row r="8702">
      <c r="K8702" s="4" t="str">
        <f>IFERROR(__xludf.DUMMYFUNCTION("""COMPUTED_VALUE"""),"GIANOTTO PIZZARIA")</f>
        <v>GIANOTTO PIZZARIA</v>
      </c>
      <c r="L8702" s="32">
        <f>IFERROR(__xludf.DUMMYFUNCTION("""COMPUTED_VALUE"""),1.0)</f>
        <v>1</v>
      </c>
      <c r="M8702" s="4" t="str">
        <f>IFERROR(__xludf.DUMMYFUNCTION("""COMPUTED_VALUE"""),"Eclética Tecnologia")</f>
        <v>Eclética Tecnologia</v>
      </c>
      <c r="N8702" s="33">
        <f>IFERROR(__xludf.DUMMYFUNCTION("""COMPUTED_VALUE"""),1.0)</f>
        <v>1</v>
      </c>
      <c r="O8702" s="4" t="str">
        <f>IFERROR(__xludf.DUMMYFUNCTION("""COMPUTED_VALUE"""),"Eclética Tecnologia")</f>
        <v>Eclética Tecnologia</v>
      </c>
      <c r="P8702" s="33">
        <f>IFERROR(__xludf.DUMMYFUNCTION("""COMPUTED_VALUE"""),1.0)</f>
        <v>1</v>
      </c>
      <c r="Q8702" s="4" t="str">
        <f>IFERROR(__xludf.DUMMYFUNCTION("""COMPUTED_VALUE"""),"Eclética Tecnologia")</f>
        <v>Eclética Tecnologia</v>
      </c>
      <c r="R8702" s="33">
        <f>IFERROR(__xludf.DUMMYFUNCTION("""COMPUTED_VALUE"""),1.0)</f>
        <v>1</v>
      </c>
      <c r="S8702" s="4" t="str">
        <f>IFERROR(__xludf.DUMMYFUNCTION("""COMPUTED_VALUE"""),"Eclética Tecnologia")</f>
        <v>Eclética Tecnologia</v>
      </c>
      <c r="T8702" s="33">
        <f>IFERROR(__xludf.DUMMYFUNCTION("""COMPUTED_VALUE"""),1.0)</f>
        <v>1</v>
      </c>
      <c r="U8702" s="4" t="str">
        <f>IFERROR(__xludf.DUMMYFUNCTION("""COMPUTED_VALUE"""),"Netcontroll Xmenu")</f>
        <v>Netcontroll Xmenu</v>
      </c>
      <c r="V8702" s="33">
        <f>IFERROR(__xludf.DUMMYFUNCTION("""COMPUTED_VALUE"""),1.0)</f>
        <v>1</v>
      </c>
      <c r="W8702" s="4" t="str">
        <f>IFERROR(__xludf.DUMMYFUNCTION("""COMPUTED_VALUE"""),"Eclética Tecnologia")</f>
        <v>Eclética Tecnologia</v>
      </c>
      <c r="X8702" s="33">
        <f>IFERROR(__xludf.DUMMYFUNCTION("""COMPUTED_VALUE"""),1.0)</f>
        <v>1</v>
      </c>
    </row>
    <row r="8703">
      <c r="K8703" s="4" t="str">
        <f>IFERROR(__xludf.DUMMYFUNCTION("""COMPUTED_VALUE"""),"RESTAURANTE E PIZZARIA UBATUBA - MARMITA, PIZZA PORCAO")</f>
        <v>RESTAURANTE E PIZZARIA UBATUBA - MARMITA, PIZZA PORCAO</v>
      </c>
      <c r="L8703" s="32">
        <f>IFERROR(__xludf.DUMMYFUNCTION("""COMPUTED_VALUE"""),1.0)</f>
        <v>1</v>
      </c>
      <c r="M8703" s="4" t="str">
        <f>IFERROR(__xludf.DUMMYFUNCTION("""COMPUTED_VALUE"""),"null")</f>
        <v>null</v>
      </c>
      <c r="N8703" s="33">
        <f>IFERROR(__xludf.DUMMYFUNCTION("""COMPUTED_VALUE"""),1.0)</f>
        <v>1</v>
      </c>
      <c r="O8703" s="4" t="str">
        <f>IFERROR(__xludf.DUMMYFUNCTION("""COMPUTED_VALUE"""),"null")</f>
        <v>null</v>
      </c>
      <c r="P8703" s="33">
        <f>IFERROR(__xludf.DUMMYFUNCTION("""COMPUTED_VALUE"""),1.0)</f>
        <v>1</v>
      </c>
      <c r="Q8703" s="4" t="str">
        <f>IFERROR(__xludf.DUMMYFUNCTION("""COMPUTED_VALUE"""),"null")</f>
        <v>null</v>
      </c>
      <c r="R8703" s="33">
        <f>IFERROR(__xludf.DUMMYFUNCTION("""COMPUTED_VALUE"""),1.0)</f>
        <v>1</v>
      </c>
      <c r="S8703" s="4" t="str">
        <f>IFERROR(__xludf.DUMMYFUNCTION("""COMPUTED_VALUE"""),"null")</f>
        <v>null</v>
      </c>
      <c r="T8703" s="33">
        <f>IFERROR(__xludf.DUMMYFUNCTION("""COMPUTED_VALUE"""),1.0)</f>
        <v>1</v>
      </c>
      <c r="U8703" s="4" t="str">
        <f>IFERROR(__xludf.DUMMYFUNCTION("""COMPUTED_VALUE"""),"null")</f>
        <v>null</v>
      </c>
      <c r="V8703" s="33">
        <f>IFERROR(__xludf.DUMMYFUNCTION("""COMPUTED_VALUE"""),1.0)</f>
        <v>1</v>
      </c>
      <c r="W8703" s="4" t="str">
        <f>IFERROR(__xludf.DUMMYFUNCTION("""COMPUTED_VALUE"""),"Saipos Serviços De Software")</f>
        <v>Saipos Serviços De Software</v>
      </c>
      <c r="X8703" s="33">
        <f>IFERROR(__xludf.DUMMYFUNCTION("""COMPUTED_VALUE"""),1.0)</f>
        <v>1</v>
      </c>
    </row>
    <row r="8704">
      <c r="K8704" s="4" t="str">
        <f>IFERROR(__xludf.DUMMYFUNCTION("""COMPUTED_VALUE"""),"DONNA PRI")</f>
        <v>DONNA PRI</v>
      </c>
      <c r="L8704" s="32">
        <f>IFERROR(__xludf.DUMMYFUNCTION("""COMPUTED_VALUE"""),1.0)</f>
        <v>1</v>
      </c>
      <c r="M8704" s="4" t="str">
        <f>IFERROR(__xludf.DUMMYFUNCTION("""COMPUTED_VALUE"""),"Consumer Soluções Em Tecnologia Ltda")</f>
        <v>Consumer Soluções Em Tecnologia Ltda</v>
      </c>
      <c r="N8704" s="33">
        <f>IFERROR(__xludf.DUMMYFUNCTION("""COMPUTED_VALUE"""),1.0)</f>
        <v>1</v>
      </c>
      <c r="O8704" s="4" t="str">
        <f>IFERROR(__xludf.DUMMYFUNCTION("""COMPUTED_VALUE"""),"Consumer Soluções Em Tecnologia Ltda")</f>
        <v>Consumer Soluções Em Tecnologia Ltda</v>
      </c>
      <c r="P8704" s="33">
        <f>IFERROR(__xludf.DUMMYFUNCTION("""COMPUTED_VALUE"""),1.0)</f>
        <v>1</v>
      </c>
      <c r="Q8704" s="4" t="str">
        <f>IFERROR(__xludf.DUMMYFUNCTION("""COMPUTED_VALUE"""),"Consumer Soluções Em Tecnologia Ltda")</f>
        <v>Consumer Soluções Em Tecnologia Ltda</v>
      </c>
      <c r="R8704" s="33">
        <f>IFERROR(__xludf.DUMMYFUNCTION("""COMPUTED_VALUE"""),1.0)</f>
        <v>1</v>
      </c>
      <c r="S8704" s="4" t="str">
        <f>IFERROR(__xludf.DUMMYFUNCTION("""COMPUTED_VALUE"""),"Consumer Soluções Em Tecnologia Ltda")</f>
        <v>Consumer Soluções Em Tecnologia Ltda</v>
      </c>
      <c r="T8704" s="33">
        <f>IFERROR(__xludf.DUMMYFUNCTION("""COMPUTED_VALUE"""),1.0)</f>
        <v>1</v>
      </c>
      <c r="U8704" s="4" t="str">
        <f>IFERROR(__xludf.DUMMYFUNCTION("""COMPUTED_VALUE"""),"Consumer Soluções Em Tecnologia Ltda")</f>
        <v>Consumer Soluções Em Tecnologia Ltda</v>
      </c>
      <c r="V8704" s="33">
        <f>IFERROR(__xludf.DUMMYFUNCTION("""COMPUTED_VALUE"""),1.0)</f>
        <v>1</v>
      </c>
      <c r="W8704" s="4" t="str">
        <f>IFERROR(__xludf.DUMMYFUNCTION("""COMPUTED_VALUE"""),"Consumer Soluções Em Tecnologia Ltda")</f>
        <v>Consumer Soluções Em Tecnologia Ltda</v>
      </c>
      <c r="X8704" s="33">
        <f>IFERROR(__xludf.DUMMYFUNCTION("""COMPUTED_VALUE"""),1.0)</f>
        <v>1</v>
      </c>
    </row>
    <row r="8705">
      <c r="K8705" s="4" t="str">
        <f>IFERROR(__xludf.DUMMYFUNCTION("""COMPUTED_VALUE"""),"GARCIAS PASTEIS")</f>
        <v>GARCIAS PASTEIS</v>
      </c>
      <c r="L8705" s="32">
        <f>IFERROR(__xludf.DUMMYFUNCTION("""COMPUTED_VALUE"""),1.0)</f>
        <v>1</v>
      </c>
      <c r="M8705" s="4" t="str">
        <f>IFERROR(__xludf.DUMMYFUNCTION("""COMPUTED_VALUE"""),"Saipos Serviços De Software")</f>
        <v>Saipos Serviços De Software</v>
      </c>
      <c r="N8705" s="33">
        <f>IFERROR(__xludf.DUMMYFUNCTION("""COMPUTED_VALUE"""),1.0)</f>
        <v>1</v>
      </c>
      <c r="O8705" s="4" t="str">
        <f>IFERROR(__xludf.DUMMYFUNCTION("""COMPUTED_VALUE"""),"Saipos Serviços De Software")</f>
        <v>Saipos Serviços De Software</v>
      </c>
      <c r="P8705" s="33">
        <f>IFERROR(__xludf.DUMMYFUNCTION("""COMPUTED_VALUE"""),1.0)</f>
        <v>1</v>
      </c>
      <c r="Q8705" s="4" t="str">
        <f>IFERROR(__xludf.DUMMYFUNCTION("""COMPUTED_VALUE"""),"Saipos Serviços De Software")</f>
        <v>Saipos Serviços De Software</v>
      </c>
      <c r="R8705" s="33">
        <f>IFERROR(__xludf.DUMMYFUNCTION("""COMPUTED_VALUE"""),1.0)</f>
        <v>1</v>
      </c>
      <c r="S8705" s="4" t="str">
        <f>IFERROR(__xludf.DUMMYFUNCTION("""COMPUTED_VALUE"""),"Saipos Serviços De Software")</f>
        <v>Saipos Serviços De Software</v>
      </c>
      <c r="T8705" s="33">
        <f>IFERROR(__xludf.DUMMYFUNCTION("""COMPUTED_VALUE"""),1.0)</f>
        <v>1</v>
      </c>
      <c r="U8705" s="4" t="str">
        <f>IFERROR(__xludf.DUMMYFUNCTION("""COMPUTED_VALUE"""),"Saipos Serviços De Software")</f>
        <v>Saipos Serviços De Software</v>
      </c>
      <c r="V8705" s="33">
        <f>IFERROR(__xludf.DUMMYFUNCTION("""COMPUTED_VALUE"""),1.0)</f>
        <v>1</v>
      </c>
      <c r="W8705" s="4" t="str">
        <f>IFERROR(__xludf.DUMMYFUNCTION("""COMPUTED_VALUE"""),"Saipos Serviços De Software")</f>
        <v>Saipos Serviços De Software</v>
      </c>
      <c r="X8705" s="33">
        <f>IFERROR(__xludf.DUMMYFUNCTION("""COMPUTED_VALUE"""),1.0)</f>
        <v>1</v>
      </c>
    </row>
    <row r="8706">
      <c r="K8706" s="4" t="str">
        <f>IFERROR(__xludf.DUMMYFUNCTION("""COMPUTED_VALUE"""),"O RANCHO HAMBURGUERIA")</f>
        <v>O RANCHO HAMBURGUERIA</v>
      </c>
      <c r="L8706" s="32">
        <f>IFERROR(__xludf.DUMMYFUNCTION("""COMPUTED_VALUE"""),1.0)</f>
        <v>1</v>
      </c>
      <c r="M8706" s="4" t="str">
        <f>IFERROR(__xludf.DUMMYFUNCTION("""COMPUTED_VALUE"""),"Anove Tecnologia")</f>
        <v>Anove Tecnologia</v>
      </c>
      <c r="N8706" s="33">
        <f>IFERROR(__xludf.DUMMYFUNCTION("""COMPUTED_VALUE"""),1.0)</f>
        <v>1</v>
      </c>
      <c r="O8706" s="4" t="str">
        <f>IFERROR(__xludf.DUMMYFUNCTION("""COMPUTED_VALUE"""),"Anove Tecnologia")</f>
        <v>Anove Tecnologia</v>
      </c>
      <c r="P8706" s="33">
        <f>IFERROR(__xludf.DUMMYFUNCTION("""COMPUTED_VALUE"""),1.0)</f>
        <v>1</v>
      </c>
      <c r="Q8706" s="4" t="str">
        <f>IFERROR(__xludf.DUMMYFUNCTION("""COMPUTED_VALUE"""),"null")</f>
        <v>null</v>
      </c>
      <c r="R8706" s="33">
        <f>IFERROR(__xludf.DUMMYFUNCTION("""COMPUTED_VALUE"""),1.0)</f>
        <v>1</v>
      </c>
      <c r="S8706" s="4" t="str">
        <f>IFERROR(__xludf.DUMMYFUNCTION("""COMPUTED_VALUE"""),"null")</f>
        <v>null</v>
      </c>
      <c r="T8706" s="33">
        <f>IFERROR(__xludf.DUMMYFUNCTION("""COMPUTED_VALUE"""),1.0)</f>
        <v>1</v>
      </c>
      <c r="U8706" s="4" t="str">
        <f>IFERROR(__xludf.DUMMYFUNCTION("""COMPUTED_VALUE"""),"Anove Tecnologia")</f>
        <v>Anove Tecnologia</v>
      </c>
      <c r="V8706" s="33">
        <f>IFERROR(__xludf.DUMMYFUNCTION("""COMPUTED_VALUE"""),1.0)</f>
        <v>1</v>
      </c>
      <c r="W8706" s="4" t="str">
        <f>IFERROR(__xludf.DUMMYFUNCTION("""COMPUTED_VALUE"""),"Anove Tecnologia")</f>
        <v>Anove Tecnologia</v>
      </c>
      <c r="X8706" s="33">
        <f>IFERROR(__xludf.DUMMYFUNCTION("""COMPUTED_VALUE"""),1.0)</f>
        <v>1</v>
      </c>
    </row>
    <row r="8707">
      <c r="K8707" s="4" t="str">
        <f>IFERROR(__xludf.DUMMYFUNCTION("""COMPUTED_VALUE"""),"COPACABANA COZINHA E BAR")</f>
        <v>COPACABANA COZINHA E BAR</v>
      </c>
      <c r="L8707" s="32">
        <f>IFERROR(__xludf.DUMMYFUNCTION("""COMPUTED_VALUE"""),1.0)</f>
        <v>1</v>
      </c>
      <c r="M8707" s="4" t="str">
        <f>IFERROR(__xludf.DUMMYFUNCTION("""COMPUTED_VALUE"""),"Saipos Serviços De Software")</f>
        <v>Saipos Serviços De Software</v>
      </c>
      <c r="N8707" s="33">
        <f>IFERROR(__xludf.DUMMYFUNCTION("""COMPUTED_VALUE"""),1.0)</f>
        <v>1</v>
      </c>
      <c r="O8707" s="4" t="str">
        <f>IFERROR(__xludf.DUMMYFUNCTION("""COMPUTED_VALUE"""),"Saipos Serviços De Software")</f>
        <v>Saipos Serviços De Software</v>
      </c>
      <c r="P8707" s="33">
        <f>IFERROR(__xludf.DUMMYFUNCTION("""COMPUTED_VALUE"""),1.0)</f>
        <v>1</v>
      </c>
      <c r="Q8707" s="4" t="str">
        <f>IFERROR(__xludf.DUMMYFUNCTION("""COMPUTED_VALUE"""),"Saipos Serviços De Software")</f>
        <v>Saipos Serviços De Software</v>
      </c>
      <c r="R8707" s="33">
        <f>IFERROR(__xludf.DUMMYFUNCTION("""COMPUTED_VALUE"""),1.0)</f>
        <v>1</v>
      </c>
      <c r="S8707" s="4" t="str">
        <f>IFERROR(__xludf.DUMMYFUNCTION("""COMPUTED_VALUE"""),"Saipos Serviços De Software")</f>
        <v>Saipos Serviços De Software</v>
      </c>
      <c r="T8707" s="33">
        <f>IFERROR(__xludf.DUMMYFUNCTION("""COMPUTED_VALUE"""),1.0)</f>
        <v>1</v>
      </c>
      <c r="U8707" s="4" t="str">
        <f>IFERROR(__xludf.DUMMYFUNCTION("""COMPUTED_VALUE"""),"Saipos Serviços De Software")</f>
        <v>Saipos Serviços De Software</v>
      </c>
      <c r="V8707" s="33">
        <f>IFERROR(__xludf.DUMMYFUNCTION("""COMPUTED_VALUE"""),1.0)</f>
        <v>1</v>
      </c>
      <c r="W8707" s="4" t="str">
        <f>IFERROR(__xludf.DUMMYFUNCTION("""COMPUTED_VALUE"""),"Saipos Serviços De Software")</f>
        <v>Saipos Serviços De Software</v>
      </c>
      <c r="X8707" s="33">
        <f>IFERROR(__xludf.DUMMYFUNCTION("""COMPUTED_VALUE"""),1.0)</f>
        <v>1</v>
      </c>
    </row>
    <row r="8708">
      <c r="K8708" s="4" t="str">
        <f>IFERROR(__xludf.DUMMYFUNCTION("""COMPUTED_VALUE"""),"AMERICAN PRIME")</f>
        <v>AMERICAN PRIME</v>
      </c>
      <c r="L8708" s="32">
        <f>IFERROR(__xludf.DUMMYFUNCTION("""COMPUTED_VALUE"""),1.0)</f>
        <v>1</v>
      </c>
      <c r="M8708" s="4" t="str">
        <f>IFERROR(__xludf.DUMMYFUNCTION("""COMPUTED_VALUE"""),"Ncr")</f>
        <v>Ncr</v>
      </c>
      <c r="N8708" s="33">
        <f>IFERROR(__xludf.DUMMYFUNCTION("""COMPUTED_VALUE"""),1.0)</f>
        <v>1</v>
      </c>
      <c r="O8708" s="4" t="str">
        <f>IFERROR(__xludf.DUMMYFUNCTION("""COMPUTED_VALUE"""),"Ncr")</f>
        <v>Ncr</v>
      </c>
      <c r="P8708" s="33">
        <f>IFERROR(__xludf.DUMMYFUNCTION("""COMPUTED_VALUE"""),1.0)</f>
        <v>1</v>
      </c>
      <c r="Q8708" s="4" t="str">
        <f>IFERROR(__xludf.DUMMYFUNCTION("""COMPUTED_VALUE"""),"Ncr")</f>
        <v>Ncr</v>
      </c>
      <c r="R8708" s="33">
        <f>IFERROR(__xludf.DUMMYFUNCTION("""COMPUTED_VALUE"""),1.0)</f>
        <v>1</v>
      </c>
      <c r="S8708" s="4" t="str">
        <f>IFERROR(__xludf.DUMMYFUNCTION("""COMPUTED_VALUE"""),"Ncr")</f>
        <v>Ncr</v>
      </c>
      <c r="T8708" s="33">
        <f>IFERROR(__xludf.DUMMYFUNCTION("""COMPUTED_VALUE"""),1.0)</f>
        <v>1</v>
      </c>
      <c r="U8708" s="4" t="str">
        <f>IFERROR(__xludf.DUMMYFUNCTION("""COMPUTED_VALUE"""),"Ncr")</f>
        <v>Ncr</v>
      </c>
      <c r="V8708" s="33">
        <f>IFERROR(__xludf.DUMMYFUNCTION("""COMPUTED_VALUE"""),1.0)</f>
        <v>1</v>
      </c>
      <c r="W8708" s="4" t="str">
        <f>IFERROR(__xludf.DUMMYFUNCTION("""COMPUTED_VALUE"""),"Ncr")</f>
        <v>Ncr</v>
      </c>
      <c r="X8708" s="33">
        <f>IFERROR(__xludf.DUMMYFUNCTION("""COMPUTED_VALUE"""),1.0)</f>
        <v>1</v>
      </c>
    </row>
    <row r="8709">
      <c r="K8709" s="4" t="str">
        <f>IFERROR(__xludf.DUMMYFUNCTION("""COMPUTED_VALUE"""),"DMELLO ESPETINHOS")</f>
        <v>DMELLO ESPETINHOS</v>
      </c>
      <c r="L8709" s="32">
        <f>IFERROR(__xludf.DUMMYFUNCTION("""COMPUTED_VALUE"""),1.0)</f>
        <v>1</v>
      </c>
      <c r="M8709" s="4" t="str">
        <f>IFERROR(__xludf.DUMMYFUNCTION("""COMPUTED_VALUE"""),"Mp Multipedidos")</f>
        <v>Mp Multipedidos</v>
      </c>
      <c r="N8709" s="33">
        <f>IFERROR(__xludf.DUMMYFUNCTION("""COMPUTED_VALUE"""),1.0)</f>
        <v>1</v>
      </c>
      <c r="O8709" s="4" t="str">
        <f>IFERROR(__xludf.DUMMYFUNCTION("""COMPUTED_VALUE"""),"Mp Multipedidos")</f>
        <v>Mp Multipedidos</v>
      </c>
      <c r="P8709" s="33">
        <f>IFERROR(__xludf.DUMMYFUNCTION("""COMPUTED_VALUE"""),1.0)</f>
        <v>1</v>
      </c>
      <c r="Q8709" s="4" t="str">
        <f>IFERROR(__xludf.DUMMYFUNCTION("""COMPUTED_VALUE"""),"Mp Multipedidos")</f>
        <v>Mp Multipedidos</v>
      </c>
      <c r="R8709" s="33">
        <f>IFERROR(__xludf.DUMMYFUNCTION("""COMPUTED_VALUE"""),1.0)</f>
        <v>1</v>
      </c>
      <c r="S8709" s="4" t="str">
        <f>IFERROR(__xludf.DUMMYFUNCTION("""COMPUTED_VALUE"""),"Mp Multipedidos")</f>
        <v>Mp Multipedidos</v>
      </c>
      <c r="T8709" s="33">
        <f>IFERROR(__xludf.DUMMYFUNCTION("""COMPUTED_VALUE"""),1.0)</f>
        <v>1</v>
      </c>
      <c r="U8709" s="4" t="str">
        <f>IFERROR(__xludf.DUMMYFUNCTION("""COMPUTED_VALUE"""),"Mp Multipedidos")</f>
        <v>Mp Multipedidos</v>
      </c>
      <c r="V8709" s="33">
        <f>IFERROR(__xludf.DUMMYFUNCTION("""COMPUTED_VALUE"""),1.0)</f>
        <v>1</v>
      </c>
      <c r="W8709" s="4" t="str">
        <f>IFERROR(__xludf.DUMMYFUNCTION("""COMPUTED_VALUE"""),"Mp Multipedidos")</f>
        <v>Mp Multipedidos</v>
      </c>
      <c r="X8709" s="33">
        <f>IFERROR(__xludf.DUMMYFUNCTION("""COMPUTED_VALUE"""),1.0)</f>
        <v>1</v>
      </c>
    </row>
    <row r="8710">
      <c r="K8710" s="4" t="str">
        <f>IFERROR(__xludf.DUMMYFUNCTION("""COMPUTED_VALUE"""),"TIKIM LANCHES")</f>
        <v>TIKIM LANCHES</v>
      </c>
      <c r="L8710" s="32">
        <f>IFERROR(__xludf.DUMMYFUNCTION("""COMPUTED_VALUE"""),1.0)</f>
        <v>1</v>
      </c>
      <c r="M8710" s="4" t="str">
        <f>IFERROR(__xludf.DUMMYFUNCTION("""COMPUTED_VALUE"""),"Yooga")</f>
        <v>Yooga</v>
      </c>
      <c r="N8710" s="33">
        <f>IFERROR(__xludf.DUMMYFUNCTION("""COMPUTED_VALUE"""),1.0)</f>
        <v>1</v>
      </c>
      <c r="O8710" s="4" t="str">
        <f>IFERROR(__xludf.DUMMYFUNCTION("""COMPUTED_VALUE"""),"Yooga")</f>
        <v>Yooga</v>
      </c>
      <c r="P8710" s="33">
        <f>IFERROR(__xludf.DUMMYFUNCTION("""COMPUTED_VALUE"""),1.0)</f>
        <v>1</v>
      </c>
      <c r="Q8710" s="4" t="str">
        <f>IFERROR(__xludf.DUMMYFUNCTION("""COMPUTED_VALUE"""),"Yooga")</f>
        <v>Yooga</v>
      </c>
      <c r="R8710" s="33">
        <f>IFERROR(__xludf.DUMMYFUNCTION("""COMPUTED_VALUE"""),1.0)</f>
        <v>1</v>
      </c>
      <c r="S8710" s="4" t="str">
        <f>IFERROR(__xludf.DUMMYFUNCTION("""COMPUTED_VALUE"""),"Yooga")</f>
        <v>Yooga</v>
      </c>
      <c r="T8710" s="33">
        <f>IFERROR(__xludf.DUMMYFUNCTION("""COMPUTED_VALUE"""),1.0)</f>
        <v>1</v>
      </c>
      <c r="U8710" s="4" t="str">
        <f>IFERROR(__xludf.DUMMYFUNCTION("""COMPUTED_VALUE"""),"Yooga")</f>
        <v>Yooga</v>
      </c>
      <c r="V8710" s="33">
        <f>IFERROR(__xludf.DUMMYFUNCTION("""COMPUTED_VALUE"""),1.0)</f>
        <v>1</v>
      </c>
      <c r="W8710" s="4" t="str">
        <f>IFERROR(__xludf.DUMMYFUNCTION("""COMPUTED_VALUE"""),"Yooga")</f>
        <v>Yooga</v>
      </c>
      <c r="X8710" s="33">
        <f>IFERROR(__xludf.DUMMYFUNCTION("""COMPUTED_VALUE"""),1.0)</f>
        <v>1</v>
      </c>
    </row>
    <row r="8711">
      <c r="K8711" s="4" t="str">
        <f>IFERROR(__xludf.DUMMYFUNCTION("""COMPUTED_VALUE"""),"HARA JAPANESE - COMIDA JAPONESA, TEMAKERIA E SUSHI")</f>
        <v>HARA JAPANESE - COMIDA JAPONESA, TEMAKERIA E SUSHI</v>
      </c>
      <c r="L8711" s="32">
        <f>IFERROR(__xludf.DUMMYFUNCTION("""COMPUTED_VALUE"""),1.0)</f>
        <v>1</v>
      </c>
      <c r="M8711" s="4" t="str">
        <f>IFERROR(__xludf.DUMMYFUNCTION("""COMPUTED_VALUE"""),"Cardápio Web")</f>
        <v>Cardápio Web</v>
      </c>
      <c r="N8711" s="33">
        <f>IFERROR(__xludf.DUMMYFUNCTION("""COMPUTED_VALUE"""),1.0)</f>
        <v>1</v>
      </c>
      <c r="O8711" s="4" t="str">
        <f>IFERROR(__xludf.DUMMYFUNCTION("""COMPUTED_VALUE"""),"Cardápio Web")</f>
        <v>Cardápio Web</v>
      </c>
      <c r="P8711" s="33">
        <f>IFERROR(__xludf.DUMMYFUNCTION("""COMPUTED_VALUE"""),1.0)</f>
        <v>1</v>
      </c>
      <c r="Q8711" s="4" t="str">
        <f>IFERROR(__xludf.DUMMYFUNCTION("""COMPUTED_VALUE"""),"Cardápio Web")</f>
        <v>Cardápio Web</v>
      </c>
      <c r="R8711" s="33">
        <f>IFERROR(__xludf.DUMMYFUNCTION("""COMPUTED_VALUE"""),1.0)</f>
        <v>1</v>
      </c>
      <c r="S8711" s="4" t="str">
        <f>IFERROR(__xludf.DUMMYFUNCTION("""COMPUTED_VALUE"""),"Cardápio Web")</f>
        <v>Cardápio Web</v>
      </c>
      <c r="T8711" s="33">
        <f>IFERROR(__xludf.DUMMYFUNCTION("""COMPUTED_VALUE"""),1.0)</f>
        <v>1</v>
      </c>
      <c r="U8711" s="4" t="str">
        <f>IFERROR(__xludf.DUMMYFUNCTION("""COMPUTED_VALUE"""),"Cardápio Web")</f>
        <v>Cardápio Web</v>
      </c>
      <c r="V8711" s="33">
        <f>IFERROR(__xludf.DUMMYFUNCTION("""COMPUTED_VALUE"""),1.0)</f>
        <v>1</v>
      </c>
      <c r="W8711" s="4" t="str">
        <f>IFERROR(__xludf.DUMMYFUNCTION("""COMPUTED_VALUE"""),"Cardápio Web")</f>
        <v>Cardápio Web</v>
      </c>
      <c r="X8711" s="33">
        <f>IFERROR(__xludf.DUMMYFUNCTION("""COMPUTED_VALUE"""),1.0)</f>
        <v>1</v>
      </c>
    </row>
    <row r="8712">
      <c r="K8712" s="4" t="str">
        <f>IFERROR(__xludf.DUMMYFUNCTION("""COMPUTED_VALUE"""),"FOODS CORAZZA LANCHES")</f>
        <v>FOODS CORAZZA LANCHES</v>
      </c>
      <c r="L8712" s="32">
        <f>IFERROR(__xludf.DUMMYFUNCTION("""COMPUTED_VALUE"""),1.0)</f>
        <v>1</v>
      </c>
      <c r="M8712" s="4" t="str">
        <f>IFERROR(__xludf.DUMMYFUNCTION("""COMPUTED_VALUE"""),"null")</f>
        <v>null</v>
      </c>
      <c r="N8712" s="33">
        <f>IFERROR(__xludf.DUMMYFUNCTION("""COMPUTED_VALUE"""),1.0)</f>
        <v>1</v>
      </c>
      <c r="O8712" s="4" t="str">
        <f>IFERROR(__xludf.DUMMYFUNCTION("""COMPUTED_VALUE"""),"null")</f>
        <v>null</v>
      </c>
      <c r="P8712" s="33">
        <f>IFERROR(__xludf.DUMMYFUNCTION("""COMPUTED_VALUE"""),1.0)</f>
        <v>1</v>
      </c>
      <c r="Q8712" s="4" t="str">
        <f>IFERROR(__xludf.DUMMYFUNCTION("""COMPUTED_VALUE"""),"null")</f>
        <v>null</v>
      </c>
      <c r="R8712" s="33">
        <f>IFERROR(__xludf.DUMMYFUNCTION("""COMPUTED_VALUE"""),1.0)</f>
        <v>1</v>
      </c>
      <c r="S8712" s="4" t="str">
        <f>IFERROR(__xludf.DUMMYFUNCTION("""COMPUTED_VALUE"""),"Instadelivery")</f>
        <v>Instadelivery</v>
      </c>
      <c r="T8712" s="33">
        <f>IFERROR(__xludf.DUMMYFUNCTION("""COMPUTED_VALUE"""),1.0)</f>
        <v>1</v>
      </c>
      <c r="U8712" s="4" t="str">
        <f>IFERROR(__xludf.DUMMYFUNCTION("""COMPUTED_VALUE"""),"Instadelivery")</f>
        <v>Instadelivery</v>
      </c>
      <c r="V8712" s="33">
        <f>IFERROR(__xludf.DUMMYFUNCTION("""COMPUTED_VALUE"""),1.0)</f>
        <v>1</v>
      </c>
      <c r="W8712" s="4" t="str">
        <f>IFERROR(__xludf.DUMMYFUNCTION("""COMPUTED_VALUE"""),"Instadelivery")</f>
        <v>Instadelivery</v>
      </c>
      <c r="X8712" s="33">
        <f>IFERROR(__xludf.DUMMYFUNCTION("""COMPUTED_VALUE"""),1.0)</f>
        <v>1</v>
      </c>
    </row>
    <row r="8713">
      <c r="K8713" s="4" t="str">
        <f>IFERROR(__xludf.DUMMYFUNCTION("""COMPUTED_VALUE"""),"GULOSAO")</f>
        <v>GULOSAO</v>
      </c>
      <c r="L8713" s="32">
        <f>IFERROR(__xludf.DUMMYFUNCTION("""COMPUTED_VALUE"""),1.0)</f>
        <v>1</v>
      </c>
      <c r="M8713" s="4" t="str">
        <f>IFERROR(__xludf.DUMMYFUNCTION("""COMPUTED_VALUE"""),"Saipos Serviços De Software")</f>
        <v>Saipos Serviços De Software</v>
      </c>
      <c r="N8713" s="33">
        <f>IFERROR(__xludf.DUMMYFUNCTION("""COMPUTED_VALUE"""),1.0)</f>
        <v>1</v>
      </c>
      <c r="O8713" s="4" t="str">
        <f>IFERROR(__xludf.DUMMYFUNCTION("""COMPUTED_VALUE"""),"Saipos Serviços De Software")</f>
        <v>Saipos Serviços De Software</v>
      </c>
      <c r="P8713" s="33">
        <f>IFERROR(__xludf.DUMMYFUNCTION("""COMPUTED_VALUE"""),1.0)</f>
        <v>1</v>
      </c>
      <c r="Q8713" s="4" t="str">
        <f>IFERROR(__xludf.DUMMYFUNCTION("""COMPUTED_VALUE"""),"Saipos Serviços De Software")</f>
        <v>Saipos Serviços De Software</v>
      </c>
      <c r="R8713" s="33">
        <f>IFERROR(__xludf.DUMMYFUNCTION("""COMPUTED_VALUE"""),1.0)</f>
        <v>1</v>
      </c>
      <c r="S8713" s="4" t="str">
        <f>IFERROR(__xludf.DUMMYFUNCTION("""COMPUTED_VALUE"""),"Saipos Serviços De Software")</f>
        <v>Saipos Serviços De Software</v>
      </c>
      <c r="T8713" s="33">
        <f>IFERROR(__xludf.DUMMYFUNCTION("""COMPUTED_VALUE"""),1.0)</f>
        <v>1</v>
      </c>
      <c r="U8713" s="4" t="str">
        <f>IFERROR(__xludf.DUMMYFUNCTION("""COMPUTED_VALUE"""),"Saipos Serviços De Software")</f>
        <v>Saipos Serviços De Software</v>
      </c>
      <c r="V8713" s="33">
        <f>IFERROR(__xludf.DUMMYFUNCTION("""COMPUTED_VALUE"""),1.0)</f>
        <v>1</v>
      </c>
      <c r="W8713" s="4" t="str">
        <f>IFERROR(__xludf.DUMMYFUNCTION("""COMPUTED_VALUE"""),"Saipos Serviços De Software")</f>
        <v>Saipos Serviços De Software</v>
      </c>
      <c r="X8713" s="33">
        <f>IFERROR(__xludf.DUMMYFUNCTION("""COMPUTED_VALUE"""),1.0)</f>
        <v>1</v>
      </c>
    </row>
    <row r="8714">
      <c r="K8714" s="4" t="str">
        <f>IFERROR(__xludf.DUMMYFUNCTION("""COMPUTED_VALUE"""),"CASAGRANDI - DOCES E SALGADOS")</f>
        <v>CASAGRANDI - DOCES E SALGADOS</v>
      </c>
      <c r="L8714" s="32">
        <f>IFERROR(__xludf.DUMMYFUNCTION("""COMPUTED_VALUE"""),1.0)</f>
        <v>1</v>
      </c>
      <c r="M8714" s="4" t="str">
        <f>IFERROR(__xludf.DUMMYFUNCTION("""COMPUTED_VALUE"""),"null")</f>
        <v>null</v>
      </c>
      <c r="N8714" s="33">
        <f>IFERROR(__xludf.DUMMYFUNCTION("""COMPUTED_VALUE"""),1.0)</f>
        <v>1</v>
      </c>
      <c r="O8714" s="4" t="str">
        <f>IFERROR(__xludf.DUMMYFUNCTION("""COMPUTED_VALUE"""),"null")</f>
        <v>null</v>
      </c>
      <c r="P8714" s="33">
        <f>IFERROR(__xludf.DUMMYFUNCTION("""COMPUTED_VALUE"""),1.0)</f>
        <v>1</v>
      </c>
      <c r="Q8714" s="4" t="str">
        <f>IFERROR(__xludf.DUMMYFUNCTION("""COMPUTED_VALUE"""),"null")</f>
        <v>null</v>
      </c>
      <c r="R8714" s="33">
        <f>IFERROR(__xludf.DUMMYFUNCTION("""COMPUTED_VALUE"""),1.0)</f>
        <v>1</v>
      </c>
      <c r="S8714" s="4" t="str">
        <f>IFERROR(__xludf.DUMMYFUNCTION("""COMPUTED_VALUE"""),"Beefood - Sistema Para Restaurantes")</f>
        <v>Beefood - Sistema Para Restaurantes</v>
      </c>
      <c r="T8714" s="33">
        <f>IFERROR(__xludf.DUMMYFUNCTION("""COMPUTED_VALUE"""),1.0)</f>
        <v>1</v>
      </c>
      <c r="U8714" s="4" t="str">
        <f>IFERROR(__xludf.DUMMYFUNCTION("""COMPUTED_VALUE"""),"Beefood - Sistema Para Restaurantes")</f>
        <v>Beefood - Sistema Para Restaurantes</v>
      </c>
      <c r="V8714" s="33">
        <f>IFERROR(__xludf.DUMMYFUNCTION("""COMPUTED_VALUE"""),1.0)</f>
        <v>1</v>
      </c>
      <c r="W8714" s="4" t="str">
        <f>IFERROR(__xludf.DUMMYFUNCTION("""COMPUTED_VALUE"""),"Beefood - Sistema Para Restaurantes")</f>
        <v>Beefood - Sistema Para Restaurantes</v>
      </c>
      <c r="X8714" s="33">
        <f>IFERROR(__xludf.DUMMYFUNCTION("""COMPUTED_VALUE"""),1.0)</f>
        <v>1</v>
      </c>
    </row>
    <row r="8715">
      <c r="K8715" s="4" t="str">
        <f>IFERROR(__xludf.DUMMYFUNCTION("""COMPUTED_VALUE"""),"85 BURGER E RESTAURANTE")</f>
        <v>85 BURGER E RESTAURANTE</v>
      </c>
      <c r="L8715" s="32">
        <f>IFERROR(__xludf.DUMMYFUNCTION("""COMPUTED_VALUE"""),1.0)</f>
        <v>1</v>
      </c>
      <c r="M8715" s="4" t="str">
        <f>IFERROR(__xludf.DUMMYFUNCTION("""COMPUTED_VALUE"""),"Saipos Serviços De Software")</f>
        <v>Saipos Serviços De Software</v>
      </c>
      <c r="N8715" s="33">
        <f>IFERROR(__xludf.DUMMYFUNCTION("""COMPUTED_VALUE"""),1.0)</f>
        <v>1</v>
      </c>
      <c r="O8715" s="4" t="str">
        <f>IFERROR(__xludf.DUMMYFUNCTION("""COMPUTED_VALUE"""),"Saipos Serviços De Software")</f>
        <v>Saipos Serviços De Software</v>
      </c>
      <c r="P8715" s="33">
        <f>IFERROR(__xludf.DUMMYFUNCTION("""COMPUTED_VALUE"""),1.0)</f>
        <v>1</v>
      </c>
      <c r="Q8715" s="4" t="str">
        <f>IFERROR(__xludf.DUMMYFUNCTION("""COMPUTED_VALUE"""),"Saipos Serviços De Software")</f>
        <v>Saipos Serviços De Software</v>
      </c>
      <c r="R8715" s="33">
        <f>IFERROR(__xludf.DUMMYFUNCTION("""COMPUTED_VALUE"""),1.0)</f>
        <v>1</v>
      </c>
      <c r="S8715" s="4" t="str">
        <f>IFERROR(__xludf.DUMMYFUNCTION("""COMPUTED_VALUE"""),"Saipos Serviços De Software")</f>
        <v>Saipos Serviços De Software</v>
      </c>
      <c r="T8715" s="33">
        <f>IFERROR(__xludf.DUMMYFUNCTION("""COMPUTED_VALUE"""),1.0)</f>
        <v>1</v>
      </c>
      <c r="U8715" s="4" t="str">
        <f>IFERROR(__xludf.DUMMYFUNCTION("""COMPUTED_VALUE"""),"Saipos Serviços De Software")</f>
        <v>Saipos Serviços De Software</v>
      </c>
      <c r="V8715" s="33">
        <f>IFERROR(__xludf.DUMMYFUNCTION("""COMPUTED_VALUE"""),1.0)</f>
        <v>1</v>
      </c>
      <c r="W8715" s="4" t="str">
        <f>IFERROR(__xludf.DUMMYFUNCTION("""COMPUTED_VALUE"""),"Saipos Serviços De Software")</f>
        <v>Saipos Serviços De Software</v>
      </c>
      <c r="X8715" s="33">
        <f>IFERROR(__xludf.DUMMYFUNCTION("""COMPUTED_VALUE"""),1.0)</f>
        <v>1</v>
      </c>
    </row>
    <row r="8716">
      <c r="K8716" s="4" t="str">
        <f>IFERROR(__xludf.DUMMYFUNCTION("""COMPUTED_VALUE"""),"PORTAL DO FOGAO")</f>
        <v>PORTAL DO FOGAO</v>
      </c>
      <c r="L8716" s="32">
        <f>IFERROR(__xludf.DUMMYFUNCTION("""COMPUTED_VALUE"""),1.0)</f>
        <v>1</v>
      </c>
      <c r="M8716" s="4" t="str">
        <f>IFERROR(__xludf.DUMMYFUNCTION("""COMPUTED_VALUE"""),"Beefood - Sistema Para Restaurantes")</f>
        <v>Beefood - Sistema Para Restaurantes</v>
      </c>
      <c r="N8716" s="33">
        <f>IFERROR(__xludf.DUMMYFUNCTION("""COMPUTED_VALUE"""),1.0)</f>
        <v>1</v>
      </c>
      <c r="O8716" s="4" t="str">
        <f>IFERROR(__xludf.DUMMYFUNCTION("""COMPUTED_VALUE"""),"Beefood - Sistema Para Restaurantes")</f>
        <v>Beefood - Sistema Para Restaurantes</v>
      </c>
      <c r="P8716" s="33">
        <f>IFERROR(__xludf.DUMMYFUNCTION("""COMPUTED_VALUE"""),1.0)</f>
        <v>1</v>
      </c>
      <c r="Q8716" s="4" t="str">
        <f>IFERROR(__xludf.DUMMYFUNCTION("""COMPUTED_VALUE"""),"Beefood - Sistema Para Restaurantes")</f>
        <v>Beefood - Sistema Para Restaurantes</v>
      </c>
      <c r="R8716" s="33">
        <f>IFERROR(__xludf.DUMMYFUNCTION("""COMPUTED_VALUE"""),1.0)</f>
        <v>1</v>
      </c>
      <c r="S8716" s="4" t="str">
        <f>IFERROR(__xludf.DUMMYFUNCTION("""COMPUTED_VALUE"""),"null")</f>
        <v>null</v>
      </c>
      <c r="T8716" s="33">
        <f>IFERROR(__xludf.DUMMYFUNCTION("""COMPUTED_VALUE"""),1.0)</f>
        <v>1</v>
      </c>
      <c r="U8716" s="4" t="str">
        <f>IFERROR(__xludf.DUMMYFUNCTION("""COMPUTED_VALUE"""),"Beefood - Sistema Para Restaurantes")</f>
        <v>Beefood - Sistema Para Restaurantes</v>
      </c>
      <c r="V8716" s="33">
        <f>IFERROR(__xludf.DUMMYFUNCTION("""COMPUTED_VALUE"""),1.0)</f>
        <v>1</v>
      </c>
      <c r="W8716" s="4" t="str">
        <f>IFERROR(__xludf.DUMMYFUNCTION("""COMPUTED_VALUE"""),"Beefood - Sistema Para Restaurantes")</f>
        <v>Beefood - Sistema Para Restaurantes</v>
      </c>
      <c r="X8716" s="33">
        <f>IFERROR(__xludf.DUMMYFUNCTION("""COMPUTED_VALUE"""),1.0)</f>
        <v>1</v>
      </c>
    </row>
    <row r="8717">
      <c r="K8717" s="4" t="str">
        <f>IFERROR(__xludf.DUMMYFUNCTION("""COMPUTED_VALUE"""),"PIZZARIA IRMAOS CORAGEM 2")</f>
        <v>PIZZARIA IRMAOS CORAGEM 2</v>
      </c>
      <c r="L8717" s="32">
        <f>IFERROR(__xludf.DUMMYFUNCTION("""COMPUTED_VALUE"""),1.0)</f>
        <v>1</v>
      </c>
      <c r="M8717" s="4" t="str">
        <f>IFERROR(__xludf.DUMMYFUNCTION("""COMPUTED_VALUE"""),"Freedom Tecnologia Ltda")</f>
        <v>Freedom Tecnologia Ltda</v>
      </c>
      <c r="N8717" s="33">
        <f>IFERROR(__xludf.DUMMYFUNCTION("""COMPUTED_VALUE"""),1.0)</f>
        <v>1</v>
      </c>
      <c r="O8717" s="4" t="str">
        <f>IFERROR(__xludf.DUMMYFUNCTION("""COMPUTED_VALUE"""),"Freedom Tecnologia Ltda")</f>
        <v>Freedom Tecnologia Ltda</v>
      </c>
      <c r="P8717" s="33">
        <f>IFERROR(__xludf.DUMMYFUNCTION("""COMPUTED_VALUE"""),1.0)</f>
        <v>1</v>
      </c>
      <c r="Q8717" s="4" t="str">
        <f>IFERROR(__xludf.DUMMYFUNCTION("""COMPUTED_VALUE"""),"Freedom Tecnologia Ltda")</f>
        <v>Freedom Tecnologia Ltda</v>
      </c>
      <c r="R8717" s="33">
        <f>IFERROR(__xludf.DUMMYFUNCTION("""COMPUTED_VALUE"""),1.0)</f>
        <v>1</v>
      </c>
      <c r="S8717" s="4" t="str">
        <f>IFERROR(__xludf.DUMMYFUNCTION("""COMPUTED_VALUE"""),"null")</f>
        <v>null</v>
      </c>
      <c r="T8717" s="33">
        <f>IFERROR(__xludf.DUMMYFUNCTION("""COMPUTED_VALUE"""),1.0)</f>
        <v>1</v>
      </c>
      <c r="U8717" s="4" t="str">
        <f>IFERROR(__xludf.DUMMYFUNCTION("""COMPUTED_VALUE"""),"null")</f>
        <v>null</v>
      </c>
      <c r="V8717" s="33">
        <f>IFERROR(__xludf.DUMMYFUNCTION("""COMPUTED_VALUE"""),1.0)</f>
        <v>1</v>
      </c>
      <c r="W8717" s="4" t="str">
        <f>IFERROR(__xludf.DUMMYFUNCTION("""COMPUTED_VALUE"""),"Freedom Tecnologia Ltda")</f>
        <v>Freedom Tecnologia Ltda</v>
      </c>
      <c r="X8717" s="33">
        <f>IFERROR(__xludf.DUMMYFUNCTION("""COMPUTED_VALUE"""),1.0)</f>
        <v>1</v>
      </c>
    </row>
    <row r="8718">
      <c r="K8718" s="4" t="str">
        <f>IFERROR(__xludf.DUMMYFUNCTION("""COMPUTED_VALUE"""),"AMOANE PADARIA SEM GLUTEN E SEM LEITE")</f>
        <v>AMOANE PADARIA SEM GLUTEN E SEM LEITE</v>
      </c>
      <c r="L8718" s="32">
        <f>IFERROR(__xludf.DUMMYFUNCTION("""COMPUTED_VALUE"""),1.0)</f>
        <v>1</v>
      </c>
      <c r="M8718" s="4" t="str">
        <f>IFERROR(__xludf.DUMMYFUNCTION("""COMPUTED_VALUE"""),"Cardápio Web")</f>
        <v>Cardápio Web</v>
      </c>
      <c r="N8718" s="33">
        <f>IFERROR(__xludf.DUMMYFUNCTION("""COMPUTED_VALUE"""),1.0)</f>
        <v>1</v>
      </c>
      <c r="O8718" s="4" t="str">
        <f>IFERROR(__xludf.DUMMYFUNCTION("""COMPUTED_VALUE"""),"Cardápio Web")</f>
        <v>Cardápio Web</v>
      </c>
      <c r="P8718" s="33">
        <f>IFERROR(__xludf.DUMMYFUNCTION("""COMPUTED_VALUE"""),1.0)</f>
        <v>1</v>
      </c>
      <c r="Q8718" s="4" t="str">
        <f>IFERROR(__xludf.DUMMYFUNCTION("""COMPUTED_VALUE"""),"Cardápio Web")</f>
        <v>Cardápio Web</v>
      </c>
      <c r="R8718" s="33">
        <f>IFERROR(__xludf.DUMMYFUNCTION("""COMPUTED_VALUE"""),1.0)</f>
        <v>1</v>
      </c>
      <c r="S8718" s="4" t="str">
        <f>IFERROR(__xludf.DUMMYFUNCTION("""COMPUTED_VALUE"""),"Cardápio Web")</f>
        <v>Cardápio Web</v>
      </c>
      <c r="T8718" s="33">
        <f>IFERROR(__xludf.DUMMYFUNCTION("""COMPUTED_VALUE"""),1.0)</f>
        <v>1</v>
      </c>
      <c r="U8718" s="4" t="str">
        <f>IFERROR(__xludf.DUMMYFUNCTION("""COMPUTED_VALUE"""),"Cardápio Web")</f>
        <v>Cardápio Web</v>
      </c>
      <c r="V8718" s="33">
        <f>IFERROR(__xludf.DUMMYFUNCTION("""COMPUTED_VALUE"""),1.0)</f>
        <v>1</v>
      </c>
      <c r="W8718" s="4" t="str">
        <f>IFERROR(__xludf.DUMMYFUNCTION("""COMPUTED_VALUE"""),"Cardápio Web")</f>
        <v>Cardápio Web</v>
      </c>
      <c r="X8718" s="33">
        <f>IFERROR(__xludf.DUMMYFUNCTION("""COMPUTED_VALUE"""),1.0)</f>
        <v>1</v>
      </c>
    </row>
    <row r="8719">
      <c r="K8719" s="4" t="str">
        <f>IFERROR(__xludf.DUMMYFUNCTION("""COMPUTED_VALUE"""),"LANCHES RC")</f>
        <v>LANCHES RC</v>
      </c>
      <c r="L8719" s="32">
        <f>IFERROR(__xludf.DUMMYFUNCTION("""COMPUTED_VALUE"""),1.0)</f>
        <v>1</v>
      </c>
      <c r="M8719" s="4" t="str">
        <f>IFERROR(__xludf.DUMMYFUNCTION("""COMPUTED_VALUE"""),"Instadelivery")</f>
        <v>Instadelivery</v>
      </c>
      <c r="N8719" s="33">
        <f>IFERROR(__xludf.DUMMYFUNCTION("""COMPUTED_VALUE"""),1.0)</f>
        <v>1</v>
      </c>
      <c r="O8719" s="4" t="str">
        <f>IFERROR(__xludf.DUMMYFUNCTION("""COMPUTED_VALUE"""),"Instadelivery")</f>
        <v>Instadelivery</v>
      </c>
      <c r="P8719" s="33">
        <f>IFERROR(__xludf.DUMMYFUNCTION("""COMPUTED_VALUE"""),1.0)</f>
        <v>1</v>
      </c>
      <c r="Q8719" s="4" t="str">
        <f>IFERROR(__xludf.DUMMYFUNCTION("""COMPUTED_VALUE"""),"Instadelivery")</f>
        <v>Instadelivery</v>
      </c>
      <c r="R8719" s="33">
        <f>IFERROR(__xludf.DUMMYFUNCTION("""COMPUTED_VALUE"""),1.0)</f>
        <v>1</v>
      </c>
      <c r="S8719" s="4" t="str">
        <f>IFERROR(__xludf.DUMMYFUNCTION("""COMPUTED_VALUE"""),"null")</f>
        <v>null</v>
      </c>
      <c r="T8719" s="33">
        <f>IFERROR(__xludf.DUMMYFUNCTION("""COMPUTED_VALUE"""),1.0)</f>
        <v>1</v>
      </c>
      <c r="U8719" s="4" t="str">
        <f>IFERROR(__xludf.DUMMYFUNCTION("""COMPUTED_VALUE"""),"null")</f>
        <v>null</v>
      </c>
      <c r="V8719" s="33">
        <f>IFERROR(__xludf.DUMMYFUNCTION("""COMPUTED_VALUE"""),1.0)</f>
        <v>1</v>
      </c>
      <c r="W8719" s="4" t="str">
        <f>IFERROR(__xludf.DUMMYFUNCTION("""COMPUTED_VALUE"""),"null")</f>
        <v>null</v>
      </c>
      <c r="X8719" s="33">
        <f>IFERROR(__xludf.DUMMYFUNCTION("""COMPUTED_VALUE"""),1.0)</f>
        <v>1</v>
      </c>
    </row>
    <row r="8720">
      <c r="K8720" s="4" t="str">
        <f>IFERROR(__xludf.DUMMYFUNCTION("""COMPUTED_VALUE"""),"PADRINHOS SMASH ORIGINAL - 107 NORTE")</f>
        <v>PADRINHOS SMASH ORIGINAL - 107 NORTE</v>
      </c>
      <c r="L8720" s="32">
        <f>IFERROR(__xludf.DUMMYFUNCTION("""COMPUTED_VALUE"""),1.0)</f>
        <v>1</v>
      </c>
      <c r="M8720" s="4" t="str">
        <f>IFERROR(__xludf.DUMMYFUNCTION("""COMPUTED_VALUE"""),"null")</f>
        <v>null</v>
      </c>
      <c r="N8720" s="33">
        <f>IFERROR(__xludf.DUMMYFUNCTION("""COMPUTED_VALUE"""),1.0)</f>
        <v>1</v>
      </c>
      <c r="O8720" s="4" t="str">
        <f>IFERROR(__xludf.DUMMYFUNCTION("""COMPUTED_VALUE"""),"null")</f>
        <v>null</v>
      </c>
      <c r="P8720" s="33">
        <f>IFERROR(__xludf.DUMMYFUNCTION("""COMPUTED_VALUE"""),1.0)</f>
        <v>1</v>
      </c>
      <c r="Q8720" s="4" t="str">
        <f>IFERROR(__xludf.DUMMYFUNCTION("""COMPUTED_VALUE"""),"null")</f>
        <v>null</v>
      </c>
      <c r="R8720" s="33">
        <f>IFERROR(__xludf.DUMMYFUNCTION("""COMPUTED_VALUE"""),1.0)</f>
        <v>1</v>
      </c>
      <c r="S8720" s="4" t="str">
        <f>IFERROR(__xludf.DUMMYFUNCTION("""COMPUTED_VALUE"""),"Rs Solutions")</f>
        <v>Rs Solutions</v>
      </c>
      <c r="T8720" s="33">
        <f>IFERROR(__xludf.DUMMYFUNCTION("""COMPUTED_VALUE"""),1.0)</f>
        <v>1</v>
      </c>
      <c r="U8720" s="4" t="str">
        <f>IFERROR(__xludf.DUMMYFUNCTION("""COMPUTED_VALUE"""),"null")</f>
        <v>null</v>
      </c>
      <c r="V8720" s="33">
        <f>IFERROR(__xludf.DUMMYFUNCTION("""COMPUTED_VALUE"""),1.0)</f>
        <v>1</v>
      </c>
      <c r="W8720" s="4" t="str">
        <f>IFERROR(__xludf.DUMMYFUNCTION("""COMPUTED_VALUE"""),"null")</f>
        <v>null</v>
      </c>
      <c r="X8720" s="33">
        <f>IFERROR(__xludf.DUMMYFUNCTION("""COMPUTED_VALUE"""),1.0)</f>
        <v>1</v>
      </c>
    </row>
    <row r="8721">
      <c r="K8721" s="4" t="str">
        <f>IFERROR(__xludf.DUMMYFUNCTION("""COMPUTED_VALUE"""),"ZEZINHO PIZZAS")</f>
        <v>ZEZINHO PIZZAS</v>
      </c>
      <c r="L8721" s="32">
        <f>IFERROR(__xludf.DUMMYFUNCTION("""COMPUTED_VALUE"""),1.0)</f>
        <v>1</v>
      </c>
      <c r="M8721" s="4" t="str">
        <f>IFERROR(__xludf.DUMMYFUNCTION("""COMPUTED_VALUE"""),"null")</f>
        <v>null</v>
      </c>
      <c r="N8721" s="33">
        <f>IFERROR(__xludf.DUMMYFUNCTION("""COMPUTED_VALUE"""),1.0)</f>
        <v>1</v>
      </c>
      <c r="O8721" s="4" t="str">
        <f>IFERROR(__xludf.DUMMYFUNCTION("""COMPUTED_VALUE"""),"null")</f>
        <v>null</v>
      </c>
      <c r="P8721" s="33">
        <f>IFERROR(__xludf.DUMMYFUNCTION("""COMPUTED_VALUE"""),1.0)</f>
        <v>1</v>
      </c>
      <c r="Q8721" s="4" t="str">
        <f>IFERROR(__xludf.DUMMYFUNCTION("""COMPUTED_VALUE"""),"Mp Multipedidos")</f>
        <v>Mp Multipedidos</v>
      </c>
      <c r="R8721" s="33">
        <f>IFERROR(__xludf.DUMMYFUNCTION("""COMPUTED_VALUE"""),1.0)</f>
        <v>1</v>
      </c>
      <c r="S8721" s="4" t="str">
        <f>IFERROR(__xludf.DUMMYFUNCTION("""COMPUTED_VALUE"""),"Mp Multipedidos")</f>
        <v>Mp Multipedidos</v>
      </c>
      <c r="T8721" s="33">
        <f>IFERROR(__xludf.DUMMYFUNCTION("""COMPUTED_VALUE"""),1.0)</f>
        <v>1</v>
      </c>
      <c r="U8721" s="4" t="str">
        <f>IFERROR(__xludf.DUMMYFUNCTION("""COMPUTED_VALUE"""),"Mp Multipedidos")</f>
        <v>Mp Multipedidos</v>
      </c>
      <c r="V8721" s="33">
        <f>IFERROR(__xludf.DUMMYFUNCTION("""COMPUTED_VALUE"""),1.0)</f>
        <v>1</v>
      </c>
      <c r="W8721" s="4" t="str">
        <f>IFERROR(__xludf.DUMMYFUNCTION("""COMPUTED_VALUE"""),"Mp Multipedidos")</f>
        <v>Mp Multipedidos</v>
      </c>
      <c r="X8721" s="33">
        <f>IFERROR(__xludf.DUMMYFUNCTION("""COMPUTED_VALUE"""),1.0)</f>
        <v>1</v>
      </c>
    </row>
    <row r="8722">
      <c r="K8722" s="4" t="str">
        <f>IFERROR(__xludf.DUMMYFUNCTION("""COMPUTED_VALUE"""),"PAGU SMASH BURGER - DELIVERY")</f>
        <v>PAGU SMASH BURGER - DELIVERY</v>
      </c>
      <c r="L8722" s="32">
        <f>IFERROR(__xludf.DUMMYFUNCTION("""COMPUTED_VALUE"""),1.0)</f>
        <v>1</v>
      </c>
      <c r="M8722" s="4" t="str">
        <f>IFERROR(__xludf.DUMMYFUNCTION("""COMPUTED_VALUE"""),"Saipos Serviços De Software")</f>
        <v>Saipos Serviços De Software</v>
      </c>
      <c r="N8722" s="33">
        <f>IFERROR(__xludf.DUMMYFUNCTION("""COMPUTED_VALUE"""),1.0)</f>
        <v>1</v>
      </c>
      <c r="O8722" s="4" t="str">
        <f>IFERROR(__xludf.DUMMYFUNCTION("""COMPUTED_VALUE"""),"Saipos Serviços De Software")</f>
        <v>Saipos Serviços De Software</v>
      </c>
      <c r="P8722" s="33">
        <f>IFERROR(__xludf.DUMMYFUNCTION("""COMPUTED_VALUE"""),1.0)</f>
        <v>1</v>
      </c>
      <c r="Q8722" s="4" t="str">
        <f>IFERROR(__xludf.DUMMYFUNCTION("""COMPUTED_VALUE"""),"Saipos Serviços De Software")</f>
        <v>Saipos Serviços De Software</v>
      </c>
      <c r="R8722" s="33">
        <f>IFERROR(__xludf.DUMMYFUNCTION("""COMPUTED_VALUE"""),1.0)</f>
        <v>1</v>
      </c>
      <c r="S8722" s="4" t="str">
        <f>IFERROR(__xludf.DUMMYFUNCTION("""COMPUTED_VALUE"""),"Saipos Serviços De Software")</f>
        <v>Saipos Serviços De Software</v>
      </c>
      <c r="T8722" s="33">
        <f>IFERROR(__xludf.DUMMYFUNCTION("""COMPUTED_VALUE"""),1.0)</f>
        <v>1</v>
      </c>
      <c r="U8722" s="4" t="str">
        <f>IFERROR(__xludf.DUMMYFUNCTION("""COMPUTED_VALUE"""),"Saipos Serviços De Software")</f>
        <v>Saipos Serviços De Software</v>
      </c>
      <c r="V8722" s="33">
        <f>IFERROR(__xludf.DUMMYFUNCTION("""COMPUTED_VALUE"""),1.0)</f>
        <v>1</v>
      </c>
      <c r="W8722" s="4" t="str">
        <f>IFERROR(__xludf.DUMMYFUNCTION("""COMPUTED_VALUE"""),"Saipos Serviços De Software")</f>
        <v>Saipos Serviços De Software</v>
      </c>
      <c r="X8722" s="33">
        <f>IFERROR(__xludf.DUMMYFUNCTION("""COMPUTED_VALUE"""),1.0)</f>
        <v>1</v>
      </c>
    </row>
    <row r="8723">
      <c r="K8723" s="4" t="str">
        <f>IFERROR(__xludf.DUMMYFUNCTION("""COMPUTED_VALUE"""),"ROTA DO BURGUER")</f>
        <v>ROTA DO BURGUER</v>
      </c>
      <c r="L8723" s="32">
        <f>IFERROR(__xludf.DUMMYFUNCTION("""COMPUTED_VALUE"""),1.0)</f>
        <v>1</v>
      </c>
      <c r="M8723" s="4" t="str">
        <f>IFERROR(__xludf.DUMMYFUNCTION("""COMPUTED_VALUE"""),"Brendi")</f>
        <v>Brendi</v>
      </c>
      <c r="N8723" s="33">
        <f>IFERROR(__xludf.DUMMYFUNCTION("""COMPUTED_VALUE"""),1.0)</f>
        <v>1</v>
      </c>
      <c r="O8723" s="4" t="str">
        <f>IFERROR(__xludf.DUMMYFUNCTION("""COMPUTED_VALUE"""),"null")</f>
        <v>null</v>
      </c>
      <c r="P8723" s="33">
        <f>IFERROR(__xludf.DUMMYFUNCTION("""COMPUTED_VALUE"""),1.0)</f>
        <v>1</v>
      </c>
      <c r="Q8723" s="4" t="str">
        <f>IFERROR(__xludf.DUMMYFUNCTION("""COMPUTED_VALUE"""),"null")</f>
        <v>null</v>
      </c>
      <c r="R8723" s="33">
        <f>IFERROR(__xludf.DUMMYFUNCTION("""COMPUTED_VALUE"""),1.0)</f>
        <v>1</v>
      </c>
      <c r="S8723" s="4" t="str">
        <f>IFERROR(__xludf.DUMMYFUNCTION("""COMPUTED_VALUE"""),"null")</f>
        <v>null</v>
      </c>
      <c r="T8723" s="33">
        <f>IFERROR(__xludf.DUMMYFUNCTION("""COMPUTED_VALUE"""),1.0)</f>
        <v>1</v>
      </c>
      <c r="U8723" s="4" t="str">
        <f>IFERROR(__xludf.DUMMYFUNCTION("""COMPUTED_VALUE"""),"null")</f>
        <v>null</v>
      </c>
      <c r="V8723" s="33">
        <f>IFERROR(__xludf.DUMMYFUNCTION("""COMPUTED_VALUE"""),1.0)</f>
        <v>1</v>
      </c>
      <c r="W8723" s="4" t="str">
        <f>IFERROR(__xludf.DUMMYFUNCTION("""COMPUTED_VALUE"""),"null")</f>
        <v>null</v>
      </c>
      <c r="X8723" s="33">
        <f>IFERROR(__xludf.DUMMYFUNCTION("""COMPUTED_VALUE"""),1.0)</f>
        <v>1</v>
      </c>
    </row>
    <row r="8724">
      <c r="K8724" s="4" t="str">
        <f>IFERROR(__xludf.DUMMYFUNCTION("""COMPUTED_VALUE"""),"SAPORE PIZZARIA")</f>
        <v>SAPORE PIZZARIA</v>
      </c>
      <c r="L8724" s="32">
        <f>IFERROR(__xludf.DUMMYFUNCTION("""COMPUTED_VALUE"""),1.0)</f>
        <v>1</v>
      </c>
      <c r="M8724" s="4" t="str">
        <f>IFERROR(__xludf.DUMMYFUNCTION("""COMPUTED_VALUE"""),"Alpha Logo")</f>
        <v>Alpha Logo</v>
      </c>
      <c r="N8724" s="33">
        <f>IFERROR(__xludf.DUMMYFUNCTION("""COMPUTED_VALUE"""),1.0)</f>
        <v>1</v>
      </c>
      <c r="O8724" s="4" t="str">
        <f>IFERROR(__xludf.DUMMYFUNCTION("""COMPUTED_VALUE"""),"Alpha Logo")</f>
        <v>Alpha Logo</v>
      </c>
      <c r="P8724" s="33">
        <f>IFERROR(__xludf.DUMMYFUNCTION("""COMPUTED_VALUE"""),1.0)</f>
        <v>1</v>
      </c>
      <c r="Q8724" s="4" t="str">
        <f>IFERROR(__xludf.DUMMYFUNCTION("""COMPUTED_VALUE"""),"Alpha Logo")</f>
        <v>Alpha Logo</v>
      </c>
      <c r="R8724" s="33">
        <f>IFERROR(__xludf.DUMMYFUNCTION("""COMPUTED_VALUE"""),1.0)</f>
        <v>1</v>
      </c>
      <c r="S8724" s="4" t="str">
        <f>IFERROR(__xludf.DUMMYFUNCTION("""COMPUTED_VALUE"""),"Alpha Logo")</f>
        <v>Alpha Logo</v>
      </c>
      <c r="T8724" s="33">
        <f>IFERROR(__xludf.DUMMYFUNCTION("""COMPUTED_VALUE"""),1.0)</f>
        <v>1</v>
      </c>
      <c r="U8724" s="4" t="str">
        <f>IFERROR(__xludf.DUMMYFUNCTION("""COMPUTED_VALUE"""),"Alpha Logo")</f>
        <v>Alpha Logo</v>
      </c>
      <c r="V8724" s="33">
        <f>IFERROR(__xludf.DUMMYFUNCTION("""COMPUTED_VALUE"""),1.0)</f>
        <v>1</v>
      </c>
      <c r="W8724" s="4" t="str">
        <f>IFERROR(__xludf.DUMMYFUNCTION("""COMPUTED_VALUE"""),"Alpha Logo")</f>
        <v>Alpha Logo</v>
      </c>
      <c r="X8724" s="33">
        <f>IFERROR(__xludf.DUMMYFUNCTION("""COMPUTED_VALUE"""),1.0)</f>
        <v>1</v>
      </c>
    </row>
    <row r="8725">
      <c r="K8725" s="4" t="str">
        <f>IFERROR(__xludf.DUMMYFUNCTION("""COMPUTED_VALUE"""),"MASTER PIZZARIA E LANCHONETE")</f>
        <v>MASTER PIZZARIA E LANCHONETE</v>
      </c>
      <c r="L8725" s="32">
        <f>IFERROR(__xludf.DUMMYFUNCTION("""COMPUTED_VALUE"""),1.0)</f>
        <v>1</v>
      </c>
      <c r="M8725" s="4" t="str">
        <f>IFERROR(__xludf.DUMMYFUNCTION("""COMPUTED_VALUE"""),"Anota Ai Solucoes Digitais S/a")</f>
        <v>Anota Ai Solucoes Digitais S/a</v>
      </c>
      <c r="N8725" s="33">
        <f>IFERROR(__xludf.DUMMYFUNCTION("""COMPUTED_VALUE"""),1.0)</f>
        <v>1</v>
      </c>
      <c r="O8725" s="4" t="str">
        <f>IFERROR(__xludf.DUMMYFUNCTION("""COMPUTED_VALUE"""),"Anota Ai Solucoes Digitais S/a")</f>
        <v>Anota Ai Solucoes Digitais S/a</v>
      </c>
      <c r="P8725" s="33">
        <f>IFERROR(__xludf.DUMMYFUNCTION("""COMPUTED_VALUE"""),1.0)</f>
        <v>1</v>
      </c>
      <c r="Q8725" s="4" t="str">
        <f>IFERROR(__xludf.DUMMYFUNCTION("""COMPUTED_VALUE"""),"null")</f>
        <v>null</v>
      </c>
      <c r="R8725" s="33">
        <f>IFERROR(__xludf.DUMMYFUNCTION("""COMPUTED_VALUE"""),1.0)</f>
        <v>1</v>
      </c>
      <c r="S8725" s="4" t="str">
        <f>IFERROR(__xludf.DUMMYFUNCTION("""COMPUTED_VALUE"""),"null")</f>
        <v>null</v>
      </c>
      <c r="T8725" s="33">
        <f>IFERROR(__xludf.DUMMYFUNCTION("""COMPUTED_VALUE"""),1.0)</f>
        <v>1</v>
      </c>
      <c r="U8725" s="4" t="str">
        <f>IFERROR(__xludf.DUMMYFUNCTION("""COMPUTED_VALUE"""),"null")</f>
        <v>null</v>
      </c>
      <c r="V8725" s="33">
        <f>IFERROR(__xludf.DUMMYFUNCTION("""COMPUTED_VALUE"""),1.0)</f>
        <v>1</v>
      </c>
      <c r="W8725" s="4" t="str">
        <f>IFERROR(__xludf.DUMMYFUNCTION("""COMPUTED_VALUE"""),"null")</f>
        <v>null</v>
      </c>
      <c r="X8725" s="33">
        <f>IFERROR(__xludf.DUMMYFUNCTION("""COMPUTED_VALUE"""),1.0)</f>
        <v>1</v>
      </c>
    </row>
    <row r="8726">
      <c r="K8726" s="4" t="str">
        <f>IFERROR(__xludf.DUMMYFUNCTION("""COMPUTED_VALUE"""),"AMERICAN BURGERS")</f>
        <v>AMERICAN BURGERS</v>
      </c>
      <c r="L8726" s="32">
        <f>IFERROR(__xludf.DUMMYFUNCTION("""COMPUTED_VALUE"""),1.0)</f>
        <v>1</v>
      </c>
      <c r="M8726" s="4" t="str">
        <f>IFERROR(__xludf.DUMMYFUNCTION("""COMPUTED_VALUE"""),"Anota Ai Solucoes Digitais S/a")</f>
        <v>Anota Ai Solucoes Digitais S/a</v>
      </c>
      <c r="N8726" s="33">
        <f>IFERROR(__xludf.DUMMYFUNCTION("""COMPUTED_VALUE"""),1.0)</f>
        <v>1</v>
      </c>
      <c r="O8726" s="4" t="str">
        <f>IFERROR(__xludf.DUMMYFUNCTION("""COMPUTED_VALUE"""),"Anota Ai Solucoes Digitais S/a")</f>
        <v>Anota Ai Solucoes Digitais S/a</v>
      </c>
      <c r="P8726" s="33">
        <f>IFERROR(__xludf.DUMMYFUNCTION("""COMPUTED_VALUE"""),1.0)</f>
        <v>1</v>
      </c>
      <c r="Q8726" s="4" t="str">
        <f>IFERROR(__xludf.DUMMYFUNCTION("""COMPUTED_VALUE"""),"Anota Ai Solucoes Digitais S/a")</f>
        <v>Anota Ai Solucoes Digitais S/a</v>
      </c>
      <c r="R8726" s="33">
        <f>IFERROR(__xludf.DUMMYFUNCTION("""COMPUTED_VALUE"""),1.0)</f>
        <v>1</v>
      </c>
      <c r="S8726" s="4" t="str">
        <f>IFERROR(__xludf.DUMMYFUNCTION("""COMPUTED_VALUE"""),"Anota Ai Solucoes Digitais S/a")</f>
        <v>Anota Ai Solucoes Digitais S/a</v>
      </c>
      <c r="T8726" s="33">
        <f>IFERROR(__xludf.DUMMYFUNCTION("""COMPUTED_VALUE"""),1.0)</f>
        <v>1</v>
      </c>
      <c r="U8726" s="4" t="str">
        <f>IFERROR(__xludf.DUMMYFUNCTION("""COMPUTED_VALUE"""),"Anota Ai Solucoes Digitais S/a")</f>
        <v>Anota Ai Solucoes Digitais S/a</v>
      </c>
      <c r="V8726" s="33">
        <f>IFERROR(__xludf.DUMMYFUNCTION("""COMPUTED_VALUE"""),1.0)</f>
        <v>1</v>
      </c>
      <c r="W8726" s="4" t="str">
        <f>IFERROR(__xludf.DUMMYFUNCTION("""COMPUTED_VALUE"""),"Anota Ai Solucoes Digitais S/a")</f>
        <v>Anota Ai Solucoes Digitais S/a</v>
      </c>
      <c r="X8726" s="33">
        <f>IFERROR(__xludf.DUMMYFUNCTION("""COMPUTED_VALUE"""),1.0)</f>
        <v>1</v>
      </c>
    </row>
    <row r="8727">
      <c r="K8727" s="4" t="str">
        <f>IFERROR(__xludf.DUMMYFUNCTION("""COMPUTED_VALUE"""),"HAMBURGUERIA E PIZZARIA TEM DOM")</f>
        <v>HAMBURGUERIA E PIZZARIA TEM DOM</v>
      </c>
      <c r="L8727" s="32">
        <f>IFERROR(__xludf.DUMMYFUNCTION("""COMPUTED_VALUE"""),1.0)</f>
        <v>1</v>
      </c>
      <c r="M8727" s="4" t="str">
        <f>IFERROR(__xludf.DUMMYFUNCTION("""COMPUTED_VALUE"""),"Whatsmenu Ltda")</f>
        <v>Whatsmenu Ltda</v>
      </c>
      <c r="N8727" s="33">
        <f>IFERROR(__xludf.DUMMYFUNCTION("""COMPUTED_VALUE"""),1.0)</f>
        <v>1</v>
      </c>
      <c r="O8727" s="4" t="str">
        <f>IFERROR(__xludf.DUMMYFUNCTION("""COMPUTED_VALUE"""),"Whatsmenu Ltda")</f>
        <v>Whatsmenu Ltda</v>
      </c>
      <c r="P8727" s="33">
        <f>IFERROR(__xludf.DUMMYFUNCTION("""COMPUTED_VALUE"""),1.0)</f>
        <v>1</v>
      </c>
      <c r="Q8727" s="4" t="str">
        <f>IFERROR(__xludf.DUMMYFUNCTION("""COMPUTED_VALUE"""),"Saipos Serviços De Software")</f>
        <v>Saipos Serviços De Software</v>
      </c>
      <c r="R8727" s="33">
        <f>IFERROR(__xludf.DUMMYFUNCTION("""COMPUTED_VALUE"""),1.0)</f>
        <v>1</v>
      </c>
      <c r="S8727" s="4" t="str">
        <f>IFERROR(__xludf.DUMMYFUNCTION("""COMPUTED_VALUE"""),"Saipos Serviços De Software")</f>
        <v>Saipos Serviços De Software</v>
      </c>
      <c r="T8727" s="33">
        <f>IFERROR(__xludf.DUMMYFUNCTION("""COMPUTED_VALUE"""),1.0)</f>
        <v>1</v>
      </c>
      <c r="U8727" s="4" t="str">
        <f>IFERROR(__xludf.DUMMYFUNCTION("""COMPUTED_VALUE"""),"Saipos Serviços De Software")</f>
        <v>Saipos Serviços De Software</v>
      </c>
      <c r="V8727" s="33">
        <f>IFERROR(__xludf.DUMMYFUNCTION("""COMPUTED_VALUE"""),1.0)</f>
        <v>1</v>
      </c>
      <c r="W8727" s="4" t="str">
        <f>IFERROR(__xludf.DUMMYFUNCTION("""COMPUTED_VALUE"""),"Whatsmenu Ltda")</f>
        <v>Whatsmenu Ltda</v>
      </c>
      <c r="X8727" s="33">
        <f>IFERROR(__xludf.DUMMYFUNCTION("""COMPUTED_VALUE"""),1.0)</f>
        <v>1</v>
      </c>
    </row>
    <row r="8728">
      <c r="K8728" s="4" t="str">
        <f>IFERROR(__xludf.DUMMYFUNCTION("""COMPUTED_VALUE"""),"DRAGAO BURGUER, PIZZA, BATATA E MASSA")</f>
        <v>DRAGAO BURGUER, PIZZA, BATATA E MASSA</v>
      </c>
      <c r="L8728" s="32">
        <f>IFERROR(__xludf.DUMMYFUNCTION("""COMPUTED_VALUE"""),1.0)</f>
        <v>1</v>
      </c>
      <c r="M8728" s="4" t="str">
        <f>IFERROR(__xludf.DUMMYFUNCTION("""COMPUTED_VALUE"""),"Saipos Serviços De Software")</f>
        <v>Saipos Serviços De Software</v>
      </c>
      <c r="N8728" s="33">
        <f>IFERROR(__xludf.DUMMYFUNCTION("""COMPUTED_VALUE"""),1.0)</f>
        <v>1</v>
      </c>
      <c r="O8728" s="4" t="str">
        <f>IFERROR(__xludf.DUMMYFUNCTION("""COMPUTED_VALUE"""),"Saipos Serviços De Software")</f>
        <v>Saipos Serviços De Software</v>
      </c>
      <c r="P8728" s="33">
        <f>IFERROR(__xludf.DUMMYFUNCTION("""COMPUTED_VALUE"""),1.0)</f>
        <v>1</v>
      </c>
      <c r="Q8728" s="4" t="str">
        <f>IFERROR(__xludf.DUMMYFUNCTION("""COMPUTED_VALUE"""),"Saipos Serviços De Software")</f>
        <v>Saipos Serviços De Software</v>
      </c>
      <c r="R8728" s="33">
        <f>IFERROR(__xludf.DUMMYFUNCTION("""COMPUTED_VALUE"""),1.0)</f>
        <v>1</v>
      </c>
      <c r="S8728" s="4" t="str">
        <f>IFERROR(__xludf.DUMMYFUNCTION("""COMPUTED_VALUE"""),"Saipos Serviços De Software")</f>
        <v>Saipos Serviços De Software</v>
      </c>
      <c r="T8728" s="33">
        <f>IFERROR(__xludf.DUMMYFUNCTION("""COMPUTED_VALUE"""),1.0)</f>
        <v>1</v>
      </c>
      <c r="U8728" s="4" t="str">
        <f>IFERROR(__xludf.DUMMYFUNCTION("""COMPUTED_VALUE"""),"Saipos Serviços De Software")</f>
        <v>Saipos Serviços De Software</v>
      </c>
      <c r="V8728" s="33">
        <f>IFERROR(__xludf.DUMMYFUNCTION("""COMPUTED_VALUE"""),1.0)</f>
        <v>1</v>
      </c>
      <c r="W8728" s="4" t="str">
        <f>IFERROR(__xludf.DUMMYFUNCTION("""COMPUTED_VALUE"""),"Saipos Serviços De Software")</f>
        <v>Saipos Serviços De Software</v>
      </c>
      <c r="X8728" s="33">
        <f>IFERROR(__xludf.DUMMYFUNCTION("""COMPUTED_VALUE"""),1.0)</f>
        <v>1</v>
      </c>
    </row>
    <row r="8729">
      <c r="K8729" s="4" t="str">
        <f>IFERROR(__xludf.DUMMYFUNCTION("""COMPUTED_VALUE"""),"ARTESANO HAMBURGUER ARTESANAL - LANCHES")</f>
        <v>ARTESANO HAMBURGUER ARTESANAL - LANCHES</v>
      </c>
      <c r="L8729" s="32">
        <f>IFERROR(__xludf.DUMMYFUNCTION("""COMPUTED_VALUE"""),1.0)</f>
        <v>1</v>
      </c>
      <c r="M8729" s="4" t="str">
        <f>IFERROR(__xludf.DUMMYFUNCTION("""COMPUTED_VALUE"""),"null")</f>
        <v>null</v>
      </c>
      <c r="N8729" s="33">
        <f>IFERROR(__xludf.DUMMYFUNCTION("""COMPUTED_VALUE"""),1.0)</f>
        <v>1</v>
      </c>
      <c r="O8729" s="4" t="str">
        <f>IFERROR(__xludf.DUMMYFUNCTION("""COMPUTED_VALUE"""),"null")</f>
        <v>null</v>
      </c>
      <c r="P8729" s="33">
        <f>IFERROR(__xludf.DUMMYFUNCTION("""COMPUTED_VALUE"""),1.0)</f>
        <v>1</v>
      </c>
      <c r="Q8729" s="4" t="str">
        <f>IFERROR(__xludf.DUMMYFUNCTION("""COMPUTED_VALUE"""),"null")</f>
        <v>null</v>
      </c>
      <c r="R8729" s="33">
        <f>IFERROR(__xludf.DUMMYFUNCTION("""COMPUTED_VALUE"""),1.0)</f>
        <v>1</v>
      </c>
      <c r="S8729" s="4" t="str">
        <f>IFERROR(__xludf.DUMMYFUNCTION("""COMPUTED_VALUE"""),"null")</f>
        <v>null</v>
      </c>
      <c r="T8729" s="33">
        <f>IFERROR(__xludf.DUMMYFUNCTION("""COMPUTED_VALUE"""),1.0)</f>
        <v>1</v>
      </c>
      <c r="U8729" s="4" t="str">
        <f>IFERROR(__xludf.DUMMYFUNCTION("""COMPUTED_VALUE"""),"null")</f>
        <v>null</v>
      </c>
      <c r="V8729" s="33">
        <f>IFERROR(__xludf.DUMMYFUNCTION("""COMPUTED_VALUE"""),1.0)</f>
        <v>1</v>
      </c>
      <c r="W8729" s="4" t="str">
        <f>IFERROR(__xludf.DUMMYFUNCTION("""COMPUTED_VALUE"""),"Saipos Serviços De Software")</f>
        <v>Saipos Serviços De Software</v>
      </c>
      <c r="X8729" s="33">
        <f>IFERROR(__xludf.DUMMYFUNCTION("""COMPUTED_VALUE"""),1.0)</f>
        <v>1</v>
      </c>
    </row>
    <row r="8730">
      <c r="K8730" s="4" t="str">
        <f>IFERROR(__xludf.DUMMYFUNCTION("""COMPUTED_VALUE"""),"CELLOS MAKIS")</f>
        <v>CELLOS MAKIS</v>
      </c>
      <c r="L8730" s="32">
        <f>IFERROR(__xludf.DUMMYFUNCTION("""COMPUTED_VALUE"""),1.0)</f>
        <v>1</v>
      </c>
      <c r="M8730" s="4" t="str">
        <f>IFERROR(__xludf.DUMMYFUNCTION("""COMPUTED_VALUE"""),"Saipos Serviços De Software")</f>
        <v>Saipos Serviços De Software</v>
      </c>
      <c r="N8730" s="33">
        <f>IFERROR(__xludf.DUMMYFUNCTION("""COMPUTED_VALUE"""),1.0)</f>
        <v>1</v>
      </c>
      <c r="O8730" s="4" t="str">
        <f>IFERROR(__xludf.DUMMYFUNCTION("""COMPUTED_VALUE"""),"Saipos Serviços De Software")</f>
        <v>Saipos Serviços De Software</v>
      </c>
      <c r="P8730" s="33">
        <f>IFERROR(__xludf.DUMMYFUNCTION("""COMPUTED_VALUE"""),1.0)</f>
        <v>1</v>
      </c>
      <c r="Q8730" s="4" t="str">
        <f>IFERROR(__xludf.DUMMYFUNCTION("""COMPUTED_VALUE"""),"Saipos Serviços De Software")</f>
        <v>Saipos Serviços De Software</v>
      </c>
      <c r="R8730" s="33">
        <f>IFERROR(__xludf.DUMMYFUNCTION("""COMPUTED_VALUE"""),1.0)</f>
        <v>1</v>
      </c>
      <c r="S8730" s="4" t="str">
        <f>IFERROR(__xludf.DUMMYFUNCTION("""COMPUTED_VALUE"""),"Saipos Serviços De Software")</f>
        <v>Saipos Serviços De Software</v>
      </c>
      <c r="T8730" s="33">
        <f>IFERROR(__xludf.DUMMYFUNCTION("""COMPUTED_VALUE"""),1.0)</f>
        <v>1</v>
      </c>
      <c r="U8730" s="4" t="str">
        <f>IFERROR(__xludf.DUMMYFUNCTION("""COMPUTED_VALUE"""),"Saipos Serviços De Software")</f>
        <v>Saipos Serviços De Software</v>
      </c>
      <c r="V8730" s="33">
        <f>IFERROR(__xludf.DUMMYFUNCTION("""COMPUTED_VALUE"""),1.0)</f>
        <v>1</v>
      </c>
      <c r="W8730" s="4" t="str">
        <f>IFERROR(__xludf.DUMMYFUNCTION("""COMPUTED_VALUE"""),"Saipos Serviços De Software")</f>
        <v>Saipos Serviços De Software</v>
      </c>
      <c r="X8730" s="33">
        <f>IFERROR(__xludf.DUMMYFUNCTION("""COMPUTED_VALUE"""),1.0)</f>
        <v>1</v>
      </c>
    </row>
    <row r="8731">
      <c r="K8731" s="4" t="str">
        <f>IFERROR(__xludf.DUMMYFUNCTION("""COMPUTED_VALUE"""),"BOG - HAMBURGUERIA E PIZZARIA")</f>
        <v>BOG - HAMBURGUERIA E PIZZARIA</v>
      </c>
      <c r="L8731" s="32">
        <f>IFERROR(__xludf.DUMMYFUNCTION("""COMPUTED_VALUE"""),1.0)</f>
        <v>1</v>
      </c>
      <c r="M8731" s="4" t="str">
        <f>IFERROR(__xludf.DUMMYFUNCTION("""COMPUTED_VALUE"""),"Consumer Soluções Em Tecnologia Ltda")</f>
        <v>Consumer Soluções Em Tecnologia Ltda</v>
      </c>
      <c r="N8731" s="33">
        <f>IFERROR(__xludf.DUMMYFUNCTION("""COMPUTED_VALUE"""),1.0)</f>
        <v>1</v>
      </c>
      <c r="O8731" s="4" t="str">
        <f>IFERROR(__xludf.DUMMYFUNCTION("""COMPUTED_VALUE"""),"Consumer Soluções Em Tecnologia Ltda")</f>
        <v>Consumer Soluções Em Tecnologia Ltda</v>
      </c>
      <c r="P8731" s="33">
        <f>IFERROR(__xludf.DUMMYFUNCTION("""COMPUTED_VALUE"""),1.0)</f>
        <v>1</v>
      </c>
      <c r="Q8731" s="4" t="str">
        <f>IFERROR(__xludf.DUMMYFUNCTION("""COMPUTED_VALUE"""),"Consumer Soluções Em Tecnologia Ltda")</f>
        <v>Consumer Soluções Em Tecnologia Ltda</v>
      </c>
      <c r="R8731" s="33">
        <f>IFERROR(__xludf.DUMMYFUNCTION("""COMPUTED_VALUE"""),1.0)</f>
        <v>1</v>
      </c>
      <c r="S8731" s="4" t="str">
        <f>IFERROR(__xludf.DUMMYFUNCTION("""COMPUTED_VALUE"""),"Consumer Soluções Em Tecnologia Ltda")</f>
        <v>Consumer Soluções Em Tecnologia Ltda</v>
      </c>
      <c r="T8731" s="33">
        <f>IFERROR(__xludf.DUMMYFUNCTION("""COMPUTED_VALUE"""),1.0)</f>
        <v>1</v>
      </c>
      <c r="U8731" s="4" t="str">
        <f>IFERROR(__xludf.DUMMYFUNCTION("""COMPUTED_VALUE"""),"Consumer Soluções Em Tecnologia Ltda")</f>
        <v>Consumer Soluções Em Tecnologia Ltda</v>
      </c>
      <c r="V8731" s="33">
        <f>IFERROR(__xludf.DUMMYFUNCTION("""COMPUTED_VALUE"""),1.0)</f>
        <v>1</v>
      </c>
      <c r="W8731" s="4" t="str">
        <f>IFERROR(__xludf.DUMMYFUNCTION("""COMPUTED_VALUE"""),"Consumer Soluções Em Tecnologia Ltda")</f>
        <v>Consumer Soluções Em Tecnologia Ltda</v>
      </c>
      <c r="X8731" s="33">
        <f>IFERROR(__xludf.DUMMYFUNCTION("""COMPUTED_VALUE"""),1.0)</f>
        <v>1</v>
      </c>
    </row>
    <row r="8732">
      <c r="K8732" s="4" t="str">
        <f>IFERROR(__xludf.DUMMYFUNCTION("""COMPUTED_VALUE"""),"MASSAS BOM APPETITE")</f>
        <v>MASSAS BOM APPETITE</v>
      </c>
      <c r="L8732" s="32">
        <f>IFERROR(__xludf.DUMMYFUNCTION("""COMPUTED_VALUE"""),1.0)</f>
        <v>1</v>
      </c>
      <c r="M8732" s="4" t="str">
        <f>IFERROR(__xludf.DUMMYFUNCTION("""COMPUTED_VALUE"""),"Hubster")</f>
        <v>Hubster</v>
      </c>
      <c r="N8732" s="33">
        <f>IFERROR(__xludf.DUMMYFUNCTION("""COMPUTED_VALUE"""),1.0)</f>
        <v>1</v>
      </c>
      <c r="O8732" s="4" t="str">
        <f>IFERROR(__xludf.DUMMYFUNCTION("""COMPUTED_VALUE"""),"Hubster")</f>
        <v>Hubster</v>
      </c>
      <c r="P8732" s="33">
        <f>IFERROR(__xludf.DUMMYFUNCTION("""COMPUTED_VALUE"""),1.0)</f>
        <v>1</v>
      </c>
      <c r="Q8732" s="4" t="str">
        <f>IFERROR(__xludf.DUMMYFUNCTION("""COMPUTED_VALUE"""),"Hubster")</f>
        <v>Hubster</v>
      </c>
      <c r="R8732" s="33">
        <f>IFERROR(__xludf.DUMMYFUNCTION("""COMPUTED_VALUE"""),1.0)</f>
        <v>1</v>
      </c>
      <c r="S8732" s="4" t="str">
        <f>IFERROR(__xludf.DUMMYFUNCTION("""COMPUTED_VALUE"""),"Hubster")</f>
        <v>Hubster</v>
      </c>
      <c r="T8732" s="33">
        <f>IFERROR(__xludf.DUMMYFUNCTION("""COMPUTED_VALUE"""),1.0)</f>
        <v>1</v>
      </c>
      <c r="U8732" s="4" t="str">
        <f>IFERROR(__xludf.DUMMYFUNCTION("""COMPUTED_VALUE"""),"Hubster")</f>
        <v>Hubster</v>
      </c>
      <c r="V8732" s="33">
        <f>IFERROR(__xludf.DUMMYFUNCTION("""COMPUTED_VALUE"""),1.0)</f>
        <v>1</v>
      </c>
      <c r="W8732" s="4" t="str">
        <f>IFERROR(__xludf.DUMMYFUNCTION("""COMPUTED_VALUE"""),"Hubster")</f>
        <v>Hubster</v>
      </c>
      <c r="X8732" s="33">
        <f>IFERROR(__xludf.DUMMYFUNCTION("""COMPUTED_VALUE"""),1.0)</f>
        <v>1</v>
      </c>
    </row>
    <row r="8733">
      <c r="K8733" s="4" t="str">
        <f>IFERROR(__xludf.DUMMYFUNCTION("""COMPUTED_VALUE"""),"NELORY NA BRASA")</f>
        <v>NELORY NA BRASA</v>
      </c>
      <c r="L8733" s="32">
        <f>IFERROR(__xludf.DUMMYFUNCTION("""COMPUTED_VALUE"""),1.0)</f>
        <v>1</v>
      </c>
      <c r="M8733" s="4" t="str">
        <f>IFERROR(__xludf.DUMMYFUNCTION("""COMPUTED_VALUE"""),"Netcontroll Xmenu")</f>
        <v>Netcontroll Xmenu</v>
      </c>
      <c r="N8733" s="33">
        <f>IFERROR(__xludf.DUMMYFUNCTION("""COMPUTED_VALUE"""),1.0)</f>
        <v>1</v>
      </c>
      <c r="O8733" s="4" t="str">
        <f>IFERROR(__xludf.DUMMYFUNCTION("""COMPUTED_VALUE"""),"Netcontroll Xmenu")</f>
        <v>Netcontroll Xmenu</v>
      </c>
      <c r="P8733" s="33">
        <f>IFERROR(__xludf.DUMMYFUNCTION("""COMPUTED_VALUE"""),1.0)</f>
        <v>1</v>
      </c>
      <c r="Q8733" s="4" t="str">
        <f>IFERROR(__xludf.DUMMYFUNCTION("""COMPUTED_VALUE"""),"null")</f>
        <v>null</v>
      </c>
      <c r="R8733" s="33">
        <f>IFERROR(__xludf.DUMMYFUNCTION("""COMPUTED_VALUE"""),1.0)</f>
        <v>1</v>
      </c>
      <c r="S8733" s="4" t="str">
        <f>IFERROR(__xludf.DUMMYFUNCTION("""COMPUTED_VALUE"""),"null")</f>
        <v>null</v>
      </c>
      <c r="T8733" s="33">
        <f>IFERROR(__xludf.DUMMYFUNCTION("""COMPUTED_VALUE"""),1.0)</f>
        <v>1</v>
      </c>
      <c r="U8733" s="4" t="str">
        <f>IFERROR(__xludf.DUMMYFUNCTION("""COMPUTED_VALUE"""),"null")</f>
        <v>null</v>
      </c>
      <c r="V8733" s="33">
        <f>IFERROR(__xludf.DUMMYFUNCTION("""COMPUTED_VALUE"""),1.0)</f>
        <v>1</v>
      </c>
      <c r="W8733" s="4" t="str">
        <f>IFERROR(__xludf.DUMMYFUNCTION("""COMPUTED_VALUE"""),"null")</f>
        <v>null</v>
      </c>
      <c r="X8733" s="33">
        <f>IFERROR(__xludf.DUMMYFUNCTION("""COMPUTED_VALUE"""),1.0)</f>
        <v>1</v>
      </c>
    </row>
    <row r="8734">
      <c r="K8734" s="4" t="str">
        <f>IFERROR(__xludf.DUMMYFUNCTION("""COMPUTED_VALUE"""),"PIZZARIA NATIVA MOOCA - PIZZA DELIVERY")</f>
        <v>PIZZARIA NATIVA MOOCA - PIZZA DELIVERY</v>
      </c>
      <c r="L8734" s="32">
        <f>IFERROR(__xludf.DUMMYFUNCTION("""COMPUTED_VALUE"""),1.0)</f>
        <v>1</v>
      </c>
      <c r="M8734" s="4" t="str">
        <f>IFERROR(__xludf.DUMMYFUNCTION("""COMPUTED_VALUE"""),"Suitable Tecnologia E Gestao")</f>
        <v>Suitable Tecnologia E Gestao</v>
      </c>
      <c r="N8734" s="33">
        <f>IFERROR(__xludf.DUMMYFUNCTION("""COMPUTED_VALUE"""),1.0)</f>
        <v>1</v>
      </c>
      <c r="O8734" s="4" t="str">
        <f>IFERROR(__xludf.DUMMYFUNCTION("""COMPUTED_VALUE"""),"Suitable Tecnologia E Gestao")</f>
        <v>Suitable Tecnologia E Gestao</v>
      </c>
      <c r="P8734" s="33">
        <f>IFERROR(__xludf.DUMMYFUNCTION("""COMPUTED_VALUE"""),1.0)</f>
        <v>1</v>
      </c>
      <c r="Q8734" s="4" t="str">
        <f>IFERROR(__xludf.DUMMYFUNCTION("""COMPUTED_VALUE"""),"Suitable Tecnologia E Gestao")</f>
        <v>Suitable Tecnologia E Gestao</v>
      </c>
      <c r="R8734" s="33">
        <f>IFERROR(__xludf.DUMMYFUNCTION("""COMPUTED_VALUE"""),1.0)</f>
        <v>1</v>
      </c>
      <c r="S8734" s="4" t="str">
        <f>IFERROR(__xludf.DUMMYFUNCTION("""COMPUTED_VALUE"""),"Suitable Tecnologia E Gestao")</f>
        <v>Suitable Tecnologia E Gestao</v>
      </c>
      <c r="T8734" s="33">
        <f>IFERROR(__xludf.DUMMYFUNCTION("""COMPUTED_VALUE"""),1.0)</f>
        <v>1</v>
      </c>
      <c r="U8734" s="4" t="str">
        <f>IFERROR(__xludf.DUMMYFUNCTION("""COMPUTED_VALUE"""),"Suitable Tecnologia E Gestao")</f>
        <v>Suitable Tecnologia E Gestao</v>
      </c>
      <c r="V8734" s="33">
        <f>IFERROR(__xludf.DUMMYFUNCTION("""COMPUTED_VALUE"""),1.0)</f>
        <v>1</v>
      </c>
      <c r="W8734" s="4" t="str">
        <f>IFERROR(__xludf.DUMMYFUNCTION("""COMPUTED_VALUE"""),"Suitable Tecnologia E Gestao")</f>
        <v>Suitable Tecnologia E Gestao</v>
      </c>
      <c r="X8734" s="33">
        <f>IFERROR(__xludf.DUMMYFUNCTION("""COMPUTED_VALUE"""),1.0)</f>
        <v>1</v>
      </c>
    </row>
    <row r="8735">
      <c r="K8735" s="4" t="str">
        <f>IFERROR(__xludf.DUMMYFUNCTION("""COMPUTED_VALUE"""),"QUE MASSA PIZZARIA")</f>
        <v>QUE MASSA PIZZARIA</v>
      </c>
      <c r="L8735" s="32">
        <f>IFERROR(__xludf.DUMMYFUNCTION("""COMPUTED_VALUE"""),1.0)</f>
        <v>1</v>
      </c>
      <c r="M8735" s="4" t="str">
        <f>IFERROR(__xludf.DUMMYFUNCTION("""COMPUTED_VALUE"""),"null")</f>
        <v>null</v>
      </c>
      <c r="N8735" s="33">
        <f>IFERROR(__xludf.DUMMYFUNCTION("""COMPUTED_VALUE"""),1.0)</f>
        <v>1</v>
      </c>
      <c r="O8735" s="4" t="str">
        <f>IFERROR(__xludf.DUMMYFUNCTION("""COMPUTED_VALUE"""),"null")</f>
        <v>null</v>
      </c>
      <c r="P8735" s="33">
        <f>IFERROR(__xludf.DUMMYFUNCTION("""COMPUTED_VALUE"""),1.0)</f>
        <v>1</v>
      </c>
      <c r="Q8735" s="4" t="str">
        <f>IFERROR(__xludf.DUMMYFUNCTION("""COMPUTED_VALUE"""),"Instadelivery")</f>
        <v>Instadelivery</v>
      </c>
      <c r="R8735" s="33">
        <f>IFERROR(__xludf.DUMMYFUNCTION("""COMPUTED_VALUE"""),1.0)</f>
        <v>1</v>
      </c>
      <c r="S8735" s="4" t="str">
        <f>IFERROR(__xludf.DUMMYFUNCTION("""COMPUTED_VALUE"""),"null")</f>
        <v>null</v>
      </c>
      <c r="T8735" s="33">
        <f>IFERROR(__xludf.DUMMYFUNCTION("""COMPUTED_VALUE"""),1.0)</f>
        <v>1</v>
      </c>
      <c r="U8735" s="4" t="str">
        <f>IFERROR(__xludf.DUMMYFUNCTION("""COMPUTED_VALUE"""),"null")</f>
        <v>null</v>
      </c>
      <c r="V8735" s="33">
        <f>IFERROR(__xludf.DUMMYFUNCTION("""COMPUTED_VALUE"""),1.0)</f>
        <v>1</v>
      </c>
      <c r="W8735" s="4" t="str">
        <f>IFERROR(__xludf.DUMMYFUNCTION("""COMPUTED_VALUE"""),"null")</f>
        <v>null</v>
      </c>
      <c r="X8735" s="33">
        <f>IFERROR(__xludf.DUMMYFUNCTION("""COMPUTED_VALUE"""),1.0)</f>
        <v>1</v>
      </c>
    </row>
    <row r="8736">
      <c r="K8736" s="4" t="str">
        <f>IFERROR(__xludf.DUMMYFUNCTION("""COMPUTED_VALUE"""),"DONNA OLINDA PIZZARIA")</f>
        <v>DONNA OLINDA PIZZARIA</v>
      </c>
      <c r="L8736" s="32">
        <f>IFERROR(__xludf.DUMMYFUNCTION("""COMPUTED_VALUE"""),1.0)</f>
        <v>1</v>
      </c>
      <c r="M8736" s="4" t="str">
        <f>IFERROR(__xludf.DUMMYFUNCTION("""COMPUTED_VALUE"""),"Vedas Automação Comercial")</f>
        <v>Vedas Automação Comercial</v>
      </c>
      <c r="N8736" s="33">
        <f>IFERROR(__xludf.DUMMYFUNCTION("""COMPUTED_VALUE"""),1.0)</f>
        <v>1</v>
      </c>
      <c r="O8736" s="4" t="str">
        <f>IFERROR(__xludf.DUMMYFUNCTION("""COMPUTED_VALUE"""),"Vedas Automação Comercial")</f>
        <v>Vedas Automação Comercial</v>
      </c>
      <c r="P8736" s="33">
        <f>IFERROR(__xludf.DUMMYFUNCTION("""COMPUTED_VALUE"""),1.0)</f>
        <v>1</v>
      </c>
      <c r="Q8736" s="4" t="str">
        <f>IFERROR(__xludf.DUMMYFUNCTION("""COMPUTED_VALUE"""),"Vedas Automação Comercial")</f>
        <v>Vedas Automação Comercial</v>
      </c>
      <c r="R8736" s="33">
        <f>IFERROR(__xludf.DUMMYFUNCTION("""COMPUTED_VALUE"""),1.0)</f>
        <v>1</v>
      </c>
      <c r="S8736" s="4" t="str">
        <f>IFERROR(__xludf.DUMMYFUNCTION("""COMPUTED_VALUE"""),"Vedas Automação Comercial")</f>
        <v>Vedas Automação Comercial</v>
      </c>
      <c r="T8736" s="33">
        <f>IFERROR(__xludf.DUMMYFUNCTION("""COMPUTED_VALUE"""),1.0)</f>
        <v>1</v>
      </c>
      <c r="U8736" s="4" t="str">
        <f>IFERROR(__xludf.DUMMYFUNCTION("""COMPUTED_VALUE"""),"Vedas Automação Comercial")</f>
        <v>Vedas Automação Comercial</v>
      </c>
      <c r="V8736" s="33">
        <f>IFERROR(__xludf.DUMMYFUNCTION("""COMPUTED_VALUE"""),1.0)</f>
        <v>1</v>
      </c>
      <c r="W8736" s="4" t="str">
        <f>IFERROR(__xludf.DUMMYFUNCTION("""COMPUTED_VALUE"""),"Vedas Automação Comercial")</f>
        <v>Vedas Automação Comercial</v>
      </c>
      <c r="X8736" s="33">
        <f>IFERROR(__xludf.DUMMYFUNCTION("""COMPUTED_VALUE"""),1.0)</f>
        <v>1</v>
      </c>
    </row>
    <row r="8737">
      <c r="K8737" s="4" t="str">
        <f>IFERROR(__xludf.DUMMYFUNCTION("""COMPUTED_VALUE"""),"JANTINHA SPEED ESPETINHO, PRATO EXECUTIVO, JANTINHA")</f>
        <v>JANTINHA SPEED ESPETINHO, PRATO EXECUTIVO, JANTINHA</v>
      </c>
      <c r="L8737" s="32">
        <f>IFERROR(__xludf.DUMMYFUNCTION("""COMPUTED_VALUE"""),1.0)</f>
        <v>1</v>
      </c>
      <c r="M8737" s="4" t="str">
        <f>IFERROR(__xludf.DUMMYFUNCTION("""COMPUTED_VALUE"""),"Saipos Serviços De Software")</f>
        <v>Saipos Serviços De Software</v>
      </c>
      <c r="N8737" s="33">
        <f>IFERROR(__xludf.DUMMYFUNCTION("""COMPUTED_VALUE"""),1.0)</f>
        <v>1</v>
      </c>
      <c r="O8737" s="4" t="str">
        <f>IFERROR(__xludf.DUMMYFUNCTION("""COMPUTED_VALUE"""),"Saipos Serviços De Software")</f>
        <v>Saipos Serviços De Software</v>
      </c>
      <c r="P8737" s="33">
        <f>IFERROR(__xludf.DUMMYFUNCTION("""COMPUTED_VALUE"""),1.0)</f>
        <v>1</v>
      </c>
      <c r="Q8737" s="4" t="str">
        <f>IFERROR(__xludf.DUMMYFUNCTION("""COMPUTED_VALUE"""),"Saipos Serviços De Software")</f>
        <v>Saipos Serviços De Software</v>
      </c>
      <c r="R8737" s="33">
        <f>IFERROR(__xludf.DUMMYFUNCTION("""COMPUTED_VALUE"""),1.0)</f>
        <v>1</v>
      </c>
      <c r="S8737" s="4" t="str">
        <f>IFERROR(__xludf.DUMMYFUNCTION("""COMPUTED_VALUE"""),"Saipos Serviços De Software")</f>
        <v>Saipos Serviços De Software</v>
      </c>
      <c r="T8737" s="33">
        <f>IFERROR(__xludf.DUMMYFUNCTION("""COMPUTED_VALUE"""),1.0)</f>
        <v>1</v>
      </c>
      <c r="U8737" s="4" t="str">
        <f>IFERROR(__xludf.DUMMYFUNCTION("""COMPUTED_VALUE"""),"Saipos Serviços De Software")</f>
        <v>Saipos Serviços De Software</v>
      </c>
      <c r="V8737" s="33">
        <f>IFERROR(__xludf.DUMMYFUNCTION("""COMPUTED_VALUE"""),1.0)</f>
        <v>1</v>
      </c>
      <c r="W8737" s="4" t="str">
        <f>IFERROR(__xludf.DUMMYFUNCTION("""COMPUTED_VALUE"""),"Saipos Serviços De Software")</f>
        <v>Saipos Serviços De Software</v>
      </c>
      <c r="X8737" s="33">
        <f>IFERROR(__xludf.DUMMYFUNCTION("""COMPUTED_VALUE"""),1.0)</f>
        <v>1</v>
      </c>
    </row>
    <row r="8738">
      <c r="K8738" s="4" t="str">
        <f>IFERROR(__xludf.DUMMYFUNCTION("""COMPUTED_VALUE"""),"TOUTZ PIZZA - PIZZARIA")</f>
        <v>TOUTZ PIZZA - PIZZARIA</v>
      </c>
      <c r="L8738" s="32">
        <f>IFERROR(__xludf.DUMMYFUNCTION("""COMPUTED_VALUE"""),1.0)</f>
        <v>1</v>
      </c>
      <c r="M8738" s="4" t="str">
        <f>IFERROR(__xludf.DUMMYFUNCTION("""COMPUTED_VALUE"""),"Cardápio Web")</f>
        <v>Cardápio Web</v>
      </c>
      <c r="N8738" s="33">
        <f>IFERROR(__xludf.DUMMYFUNCTION("""COMPUTED_VALUE"""),1.0)</f>
        <v>1</v>
      </c>
      <c r="O8738" s="4" t="str">
        <f>IFERROR(__xludf.DUMMYFUNCTION("""COMPUTED_VALUE"""),"Cardápio Web")</f>
        <v>Cardápio Web</v>
      </c>
      <c r="P8738" s="33">
        <f>IFERROR(__xludf.DUMMYFUNCTION("""COMPUTED_VALUE"""),1.0)</f>
        <v>1</v>
      </c>
      <c r="Q8738" s="4" t="str">
        <f>IFERROR(__xludf.DUMMYFUNCTION("""COMPUTED_VALUE"""),"Cardápio Web")</f>
        <v>Cardápio Web</v>
      </c>
      <c r="R8738" s="33">
        <f>IFERROR(__xludf.DUMMYFUNCTION("""COMPUTED_VALUE"""),1.0)</f>
        <v>1</v>
      </c>
      <c r="S8738" s="4" t="str">
        <f>IFERROR(__xludf.DUMMYFUNCTION("""COMPUTED_VALUE"""),"Cardápio Web")</f>
        <v>Cardápio Web</v>
      </c>
      <c r="T8738" s="33">
        <f>IFERROR(__xludf.DUMMYFUNCTION("""COMPUTED_VALUE"""),1.0)</f>
        <v>1</v>
      </c>
      <c r="U8738" s="4" t="str">
        <f>IFERROR(__xludf.DUMMYFUNCTION("""COMPUTED_VALUE"""),"Cardápio Web")</f>
        <v>Cardápio Web</v>
      </c>
      <c r="V8738" s="33">
        <f>IFERROR(__xludf.DUMMYFUNCTION("""COMPUTED_VALUE"""),1.0)</f>
        <v>1</v>
      </c>
      <c r="W8738" s="4" t="str">
        <f>IFERROR(__xludf.DUMMYFUNCTION("""COMPUTED_VALUE"""),"Cardápio Web")</f>
        <v>Cardápio Web</v>
      </c>
      <c r="X8738" s="33">
        <f>IFERROR(__xludf.DUMMYFUNCTION("""COMPUTED_VALUE"""),1.0)</f>
        <v>1</v>
      </c>
    </row>
    <row r="8739">
      <c r="K8739" s="4" t="str">
        <f>IFERROR(__xludf.DUMMYFUNCTION("""COMPUTED_VALUE"""),"SUSHI YASSUH LIBERDADE")</f>
        <v>SUSHI YASSUH LIBERDADE</v>
      </c>
      <c r="L8739" s="32">
        <f>IFERROR(__xludf.DUMMYFUNCTION("""COMPUTED_VALUE"""),1.0)</f>
        <v>1</v>
      </c>
      <c r="M8739" s="4" t="str">
        <f>IFERROR(__xludf.DUMMYFUNCTION("""COMPUTED_VALUE"""),"null")</f>
        <v>null</v>
      </c>
      <c r="N8739" s="33">
        <f>IFERROR(__xludf.DUMMYFUNCTION("""COMPUTED_VALUE"""),1.0)</f>
        <v>1</v>
      </c>
      <c r="O8739" s="4" t="str">
        <f>IFERROR(__xludf.DUMMYFUNCTION("""COMPUTED_VALUE"""),"null")</f>
        <v>null</v>
      </c>
      <c r="P8739" s="33">
        <f>IFERROR(__xludf.DUMMYFUNCTION("""COMPUTED_VALUE"""),1.0)</f>
        <v>1</v>
      </c>
      <c r="Q8739" s="4" t="str">
        <f>IFERROR(__xludf.DUMMYFUNCTION("""COMPUTED_VALUE"""),"Eclética Tecnologia")</f>
        <v>Eclética Tecnologia</v>
      </c>
      <c r="R8739" s="33">
        <f>IFERROR(__xludf.DUMMYFUNCTION("""COMPUTED_VALUE"""),1.0)</f>
        <v>1</v>
      </c>
      <c r="S8739" s="4" t="str">
        <f>IFERROR(__xludf.DUMMYFUNCTION("""COMPUTED_VALUE"""),"Eclética Tecnologia")</f>
        <v>Eclética Tecnologia</v>
      </c>
      <c r="T8739" s="33">
        <f>IFERROR(__xludf.DUMMYFUNCTION("""COMPUTED_VALUE"""),1.0)</f>
        <v>1</v>
      </c>
      <c r="U8739" s="4" t="str">
        <f>IFERROR(__xludf.DUMMYFUNCTION("""COMPUTED_VALUE"""),"Eclética Tecnologia")</f>
        <v>Eclética Tecnologia</v>
      </c>
      <c r="V8739" s="33">
        <f>IFERROR(__xludf.DUMMYFUNCTION("""COMPUTED_VALUE"""),1.0)</f>
        <v>1</v>
      </c>
      <c r="W8739" s="4" t="str">
        <f>IFERROR(__xludf.DUMMYFUNCTION("""COMPUTED_VALUE"""),"Eclética Tecnologia")</f>
        <v>Eclética Tecnologia</v>
      </c>
      <c r="X8739" s="33">
        <f>IFERROR(__xludf.DUMMYFUNCTION("""COMPUTED_VALUE"""),1.0)</f>
        <v>1</v>
      </c>
    </row>
    <row r="8740">
      <c r="K8740" s="4" t="str">
        <f>IFERROR(__xludf.DUMMYFUNCTION("""COMPUTED_VALUE"""),"CENTRAL LANCHES FARTURA")</f>
        <v>CENTRAL LANCHES FARTURA</v>
      </c>
      <c r="L8740" s="32">
        <f>IFERROR(__xludf.DUMMYFUNCTION("""COMPUTED_VALUE"""),1.0)</f>
        <v>1</v>
      </c>
      <c r="M8740" s="4" t="str">
        <f>IFERROR(__xludf.DUMMYFUNCTION("""COMPUTED_VALUE"""),"Ajx Automação")</f>
        <v>Ajx Automação</v>
      </c>
      <c r="N8740" s="33">
        <f>IFERROR(__xludf.DUMMYFUNCTION("""COMPUTED_VALUE"""),1.0)</f>
        <v>1</v>
      </c>
      <c r="O8740" s="4" t="str">
        <f>IFERROR(__xludf.DUMMYFUNCTION("""COMPUTED_VALUE"""),"Ajx Automação")</f>
        <v>Ajx Automação</v>
      </c>
      <c r="P8740" s="33">
        <f>IFERROR(__xludf.DUMMYFUNCTION("""COMPUTED_VALUE"""),1.0)</f>
        <v>1</v>
      </c>
      <c r="Q8740" s="4" t="str">
        <f>IFERROR(__xludf.DUMMYFUNCTION("""COMPUTED_VALUE"""),"Ajx Automação")</f>
        <v>Ajx Automação</v>
      </c>
      <c r="R8740" s="33">
        <f>IFERROR(__xludf.DUMMYFUNCTION("""COMPUTED_VALUE"""),1.0)</f>
        <v>1</v>
      </c>
      <c r="S8740" s="4" t="str">
        <f>IFERROR(__xludf.DUMMYFUNCTION("""COMPUTED_VALUE"""),"Ajx Automação")</f>
        <v>Ajx Automação</v>
      </c>
      <c r="T8740" s="33">
        <f>IFERROR(__xludf.DUMMYFUNCTION("""COMPUTED_VALUE"""),1.0)</f>
        <v>1</v>
      </c>
      <c r="U8740" s="4" t="str">
        <f>IFERROR(__xludf.DUMMYFUNCTION("""COMPUTED_VALUE"""),"Ajx Automação")</f>
        <v>Ajx Automação</v>
      </c>
      <c r="V8740" s="33">
        <f>IFERROR(__xludf.DUMMYFUNCTION("""COMPUTED_VALUE"""),1.0)</f>
        <v>1</v>
      </c>
      <c r="W8740" s="4" t="str">
        <f>IFERROR(__xludf.DUMMYFUNCTION("""COMPUTED_VALUE"""),"Ajx Automação")</f>
        <v>Ajx Automação</v>
      </c>
      <c r="X8740" s="33">
        <f>IFERROR(__xludf.DUMMYFUNCTION("""COMPUTED_VALUE"""),1.0)</f>
        <v>1</v>
      </c>
    </row>
    <row r="8741">
      <c r="K8741" s="4" t="str">
        <f>IFERROR(__xludf.DUMMYFUNCTION("""COMPUTED_VALUE"""),"BIBS PIZZARIA E HAMBURGUERIA")</f>
        <v>BIBS PIZZARIA E HAMBURGUERIA</v>
      </c>
      <c r="L8741" s="32">
        <f>IFERROR(__xludf.DUMMYFUNCTION("""COMPUTED_VALUE"""),1.0)</f>
        <v>1</v>
      </c>
      <c r="M8741" s="4" t="str">
        <f>IFERROR(__xludf.DUMMYFUNCTION("""COMPUTED_VALUE"""),"null")</f>
        <v>null</v>
      </c>
      <c r="N8741" s="33">
        <f>IFERROR(__xludf.DUMMYFUNCTION("""COMPUTED_VALUE"""),1.0)</f>
        <v>1</v>
      </c>
      <c r="O8741" s="4" t="str">
        <f>IFERROR(__xludf.DUMMYFUNCTION("""COMPUTED_VALUE"""),"null")</f>
        <v>null</v>
      </c>
      <c r="P8741" s="33">
        <f>IFERROR(__xludf.DUMMYFUNCTION("""COMPUTED_VALUE"""),1.0)</f>
        <v>1</v>
      </c>
      <c r="Q8741" s="4" t="str">
        <f>IFERROR(__xludf.DUMMYFUNCTION("""COMPUTED_VALUE"""),"null")</f>
        <v>null</v>
      </c>
      <c r="R8741" s="33">
        <f>IFERROR(__xludf.DUMMYFUNCTION("""COMPUTED_VALUE"""),1.0)</f>
        <v>1</v>
      </c>
      <c r="S8741" s="4" t="str">
        <f>IFERROR(__xludf.DUMMYFUNCTION("""COMPUTED_VALUE"""),"null")</f>
        <v>null</v>
      </c>
      <c r="T8741" s="33">
        <f>IFERROR(__xludf.DUMMYFUNCTION("""COMPUTED_VALUE"""),1.0)</f>
        <v>1</v>
      </c>
      <c r="U8741" s="4" t="str">
        <f>IFERROR(__xludf.DUMMYFUNCTION("""COMPUTED_VALUE"""),"null")</f>
        <v>null</v>
      </c>
      <c r="V8741" s="33">
        <f>IFERROR(__xludf.DUMMYFUNCTION("""COMPUTED_VALUE"""),1.0)</f>
        <v>1</v>
      </c>
      <c r="W8741" s="4" t="str">
        <f>IFERROR(__xludf.DUMMYFUNCTION("""COMPUTED_VALUE"""),"Anota Ai Solucoes Digitais S/a")</f>
        <v>Anota Ai Solucoes Digitais S/a</v>
      </c>
      <c r="X8741" s="33">
        <f>IFERROR(__xludf.DUMMYFUNCTION("""COMPUTED_VALUE"""),1.0)</f>
        <v>1</v>
      </c>
    </row>
    <row r="8742">
      <c r="K8742" s="4" t="str">
        <f>IFERROR(__xludf.DUMMYFUNCTION("""COMPUTED_VALUE"""),"FEIJUCA DA ZUMBA - FEIJOADA")</f>
        <v>FEIJUCA DA ZUMBA - FEIJOADA</v>
      </c>
      <c r="L8742" s="32">
        <f>IFERROR(__xludf.DUMMYFUNCTION("""COMPUTED_VALUE"""),1.0)</f>
        <v>1</v>
      </c>
      <c r="M8742" s="4" t="str">
        <f>IFERROR(__xludf.DUMMYFUNCTION("""COMPUTED_VALUE"""),"Menew - Linx")</f>
        <v>Menew - Linx</v>
      </c>
      <c r="N8742" s="33">
        <f>IFERROR(__xludf.DUMMYFUNCTION("""COMPUTED_VALUE"""),1.0)</f>
        <v>1</v>
      </c>
      <c r="O8742" s="4" t="str">
        <f>IFERROR(__xludf.DUMMYFUNCTION("""COMPUTED_VALUE"""),"Menew - Linx")</f>
        <v>Menew - Linx</v>
      </c>
      <c r="P8742" s="33">
        <f>IFERROR(__xludf.DUMMYFUNCTION("""COMPUTED_VALUE"""),1.0)</f>
        <v>1</v>
      </c>
      <c r="Q8742" s="4" t="str">
        <f>IFERROR(__xludf.DUMMYFUNCTION("""COMPUTED_VALUE"""),"Menew - Linx")</f>
        <v>Menew - Linx</v>
      </c>
      <c r="R8742" s="33">
        <f>IFERROR(__xludf.DUMMYFUNCTION("""COMPUTED_VALUE"""),1.0)</f>
        <v>1</v>
      </c>
      <c r="S8742" s="4" t="str">
        <f>IFERROR(__xludf.DUMMYFUNCTION("""COMPUTED_VALUE"""),"Menew - Linx")</f>
        <v>Menew - Linx</v>
      </c>
      <c r="T8742" s="33">
        <f>IFERROR(__xludf.DUMMYFUNCTION("""COMPUTED_VALUE"""),1.0)</f>
        <v>1</v>
      </c>
      <c r="U8742" s="4" t="str">
        <f>IFERROR(__xludf.DUMMYFUNCTION("""COMPUTED_VALUE"""),"Menew - Linx")</f>
        <v>Menew - Linx</v>
      </c>
      <c r="V8742" s="33">
        <f>IFERROR(__xludf.DUMMYFUNCTION("""COMPUTED_VALUE"""),1.0)</f>
        <v>1</v>
      </c>
      <c r="W8742" s="4" t="str">
        <f>IFERROR(__xludf.DUMMYFUNCTION("""COMPUTED_VALUE"""),"Menew - Linx")</f>
        <v>Menew - Linx</v>
      </c>
      <c r="X8742" s="33">
        <f>IFERROR(__xludf.DUMMYFUNCTION("""COMPUTED_VALUE"""),1.0)</f>
        <v>1</v>
      </c>
    </row>
    <row r="8743">
      <c r="K8743" s="4" t="str">
        <f>IFERROR(__xludf.DUMMYFUNCTION("""COMPUTED_VALUE"""),"JOHN BURGUER E HOT DOG")</f>
        <v>JOHN BURGUER E HOT DOG</v>
      </c>
      <c r="L8743" s="32">
        <f>IFERROR(__xludf.DUMMYFUNCTION("""COMPUTED_VALUE"""),1.0)</f>
        <v>1</v>
      </c>
      <c r="M8743" s="4" t="str">
        <f>IFERROR(__xludf.DUMMYFUNCTION("""COMPUTED_VALUE"""),"Anota Ai Solucoes Digitais S/a")</f>
        <v>Anota Ai Solucoes Digitais S/a</v>
      </c>
      <c r="N8743" s="33">
        <f>IFERROR(__xludf.DUMMYFUNCTION("""COMPUTED_VALUE"""),1.0)</f>
        <v>1</v>
      </c>
      <c r="O8743" s="4" t="str">
        <f>IFERROR(__xludf.DUMMYFUNCTION("""COMPUTED_VALUE"""),"Anota Ai Solucoes Digitais S/a")</f>
        <v>Anota Ai Solucoes Digitais S/a</v>
      </c>
      <c r="P8743" s="33">
        <f>IFERROR(__xludf.DUMMYFUNCTION("""COMPUTED_VALUE"""),1.0)</f>
        <v>1</v>
      </c>
      <c r="Q8743" s="4" t="str">
        <f>IFERROR(__xludf.DUMMYFUNCTION("""COMPUTED_VALUE"""),"Anota Ai Solucoes Digitais S/a")</f>
        <v>Anota Ai Solucoes Digitais S/a</v>
      </c>
      <c r="R8743" s="33">
        <f>IFERROR(__xludf.DUMMYFUNCTION("""COMPUTED_VALUE"""),1.0)</f>
        <v>1</v>
      </c>
      <c r="S8743" s="4" t="str">
        <f>IFERROR(__xludf.DUMMYFUNCTION("""COMPUTED_VALUE"""),"null")</f>
        <v>null</v>
      </c>
      <c r="T8743" s="33">
        <f>IFERROR(__xludf.DUMMYFUNCTION("""COMPUTED_VALUE"""),1.0)</f>
        <v>1</v>
      </c>
      <c r="U8743" s="4" t="str">
        <f>IFERROR(__xludf.DUMMYFUNCTION("""COMPUTED_VALUE"""),"null")</f>
        <v>null</v>
      </c>
      <c r="V8743" s="33">
        <f>IFERROR(__xludf.DUMMYFUNCTION("""COMPUTED_VALUE"""),1.0)</f>
        <v>1</v>
      </c>
      <c r="W8743" s="4" t="str">
        <f>IFERROR(__xludf.DUMMYFUNCTION("""COMPUTED_VALUE"""),"null")</f>
        <v>null</v>
      </c>
      <c r="X8743" s="33">
        <f>IFERROR(__xludf.DUMMYFUNCTION("""COMPUTED_VALUE"""),1.0)</f>
        <v>1</v>
      </c>
    </row>
    <row r="8744">
      <c r="K8744" s="4" t="str">
        <f>IFERROR(__xludf.DUMMYFUNCTION("""COMPUTED_VALUE"""),"HAMBURGUERIA - SMASH LAB")</f>
        <v>HAMBURGUERIA - SMASH LAB</v>
      </c>
      <c r="L8744" s="32">
        <f>IFERROR(__xludf.DUMMYFUNCTION("""COMPUTED_VALUE"""),1.0)</f>
        <v>1</v>
      </c>
      <c r="M8744" s="4" t="str">
        <f>IFERROR(__xludf.DUMMYFUNCTION("""COMPUTED_VALUE"""),"Noah Sistemas Ltda")</f>
        <v>Noah Sistemas Ltda</v>
      </c>
      <c r="N8744" s="33">
        <f>IFERROR(__xludf.DUMMYFUNCTION("""COMPUTED_VALUE"""),1.0)</f>
        <v>1</v>
      </c>
      <c r="O8744" s="4" t="str">
        <f>IFERROR(__xludf.DUMMYFUNCTION("""COMPUTED_VALUE"""),"Noah Sistemas Ltda")</f>
        <v>Noah Sistemas Ltda</v>
      </c>
      <c r="P8744" s="33">
        <f>IFERROR(__xludf.DUMMYFUNCTION("""COMPUTED_VALUE"""),1.0)</f>
        <v>1</v>
      </c>
      <c r="Q8744" s="4" t="str">
        <f>IFERROR(__xludf.DUMMYFUNCTION("""COMPUTED_VALUE"""),"null")</f>
        <v>null</v>
      </c>
      <c r="R8744" s="33">
        <f>IFERROR(__xludf.DUMMYFUNCTION("""COMPUTED_VALUE"""),1.0)</f>
        <v>1</v>
      </c>
      <c r="S8744" s="4" t="str">
        <f>IFERROR(__xludf.DUMMYFUNCTION("""COMPUTED_VALUE"""),"null")</f>
        <v>null</v>
      </c>
      <c r="T8744" s="33">
        <f>IFERROR(__xludf.DUMMYFUNCTION("""COMPUTED_VALUE"""),1.0)</f>
        <v>1</v>
      </c>
      <c r="U8744" s="4" t="str">
        <f>IFERROR(__xludf.DUMMYFUNCTION("""COMPUTED_VALUE"""),"null")</f>
        <v>null</v>
      </c>
      <c r="V8744" s="33">
        <f>IFERROR(__xludf.DUMMYFUNCTION("""COMPUTED_VALUE"""),1.0)</f>
        <v>1</v>
      </c>
      <c r="W8744" s="4" t="str">
        <f>IFERROR(__xludf.DUMMYFUNCTION("""COMPUTED_VALUE"""),"null")</f>
        <v>null</v>
      </c>
      <c r="X8744" s="33">
        <f>IFERROR(__xludf.DUMMYFUNCTION("""COMPUTED_VALUE"""),1.0)</f>
        <v>1</v>
      </c>
    </row>
    <row r="8745">
      <c r="K8745" s="4" t="str">
        <f>IFERROR(__xludf.DUMMYFUNCTION("""COMPUTED_VALUE"""),"NONNA NOEMIA PIZZERIA")</f>
        <v>NONNA NOEMIA PIZZERIA</v>
      </c>
      <c r="L8745" s="32">
        <f>IFERROR(__xludf.DUMMYFUNCTION("""COMPUTED_VALUE"""),1.0)</f>
        <v>1</v>
      </c>
      <c r="M8745" s="4" t="str">
        <f>IFERROR(__xludf.DUMMYFUNCTION("""COMPUTED_VALUE"""),"Consumer Soluções Em Tecnologia Ltda")</f>
        <v>Consumer Soluções Em Tecnologia Ltda</v>
      </c>
      <c r="N8745" s="33">
        <f>IFERROR(__xludf.DUMMYFUNCTION("""COMPUTED_VALUE"""),1.0)</f>
        <v>1</v>
      </c>
      <c r="O8745" s="4" t="str">
        <f>IFERROR(__xludf.DUMMYFUNCTION("""COMPUTED_VALUE"""),"Consumer Soluções Em Tecnologia Ltda")</f>
        <v>Consumer Soluções Em Tecnologia Ltda</v>
      </c>
      <c r="P8745" s="33">
        <f>IFERROR(__xludf.DUMMYFUNCTION("""COMPUTED_VALUE"""),1.0)</f>
        <v>1</v>
      </c>
      <c r="Q8745" s="4" t="str">
        <f>IFERROR(__xludf.DUMMYFUNCTION("""COMPUTED_VALUE"""),"Consumer Soluções Em Tecnologia Ltda")</f>
        <v>Consumer Soluções Em Tecnologia Ltda</v>
      </c>
      <c r="R8745" s="33">
        <f>IFERROR(__xludf.DUMMYFUNCTION("""COMPUTED_VALUE"""),1.0)</f>
        <v>1</v>
      </c>
      <c r="S8745" s="4" t="str">
        <f>IFERROR(__xludf.DUMMYFUNCTION("""COMPUTED_VALUE"""),"Consumer Soluções Em Tecnologia Ltda")</f>
        <v>Consumer Soluções Em Tecnologia Ltda</v>
      </c>
      <c r="T8745" s="33">
        <f>IFERROR(__xludf.DUMMYFUNCTION("""COMPUTED_VALUE"""),1.0)</f>
        <v>1</v>
      </c>
      <c r="U8745" s="4" t="str">
        <f>IFERROR(__xludf.DUMMYFUNCTION("""COMPUTED_VALUE"""),"Consumer Soluções Em Tecnologia Ltda")</f>
        <v>Consumer Soluções Em Tecnologia Ltda</v>
      </c>
      <c r="V8745" s="33">
        <f>IFERROR(__xludf.DUMMYFUNCTION("""COMPUTED_VALUE"""),1.0)</f>
        <v>1</v>
      </c>
      <c r="W8745" s="4" t="str">
        <f>IFERROR(__xludf.DUMMYFUNCTION("""COMPUTED_VALUE"""),"Consumer Soluções Em Tecnologia Ltda")</f>
        <v>Consumer Soluções Em Tecnologia Ltda</v>
      </c>
      <c r="X8745" s="33">
        <f>IFERROR(__xludf.DUMMYFUNCTION("""COMPUTED_VALUE"""),1.0)</f>
        <v>1</v>
      </c>
    </row>
    <row r="8746">
      <c r="K8746" s="4" t="str">
        <f>IFERROR(__xludf.DUMMYFUNCTION("""COMPUTED_VALUE"""),"MR SHAWARMA")</f>
        <v>MR SHAWARMA</v>
      </c>
      <c r="L8746" s="32">
        <f>IFERROR(__xludf.DUMMYFUNCTION("""COMPUTED_VALUE"""),1.0)</f>
        <v>1</v>
      </c>
      <c r="M8746" s="4" t="str">
        <f>IFERROR(__xludf.DUMMYFUNCTION("""COMPUTED_VALUE"""),"Mp Multipedidos")</f>
        <v>Mp Multipedidos</v>
      </c>
      <c r="N8746" s="33">
        <f>IFERROR(__xludf.DUMMYFUNCTION("""COMPUTED_VALUE"""),1.0)</f>
        <v>1</v>
      </c>
      <c r="O8746" s="4" t="str">
        <f>IFERROR(__xludf.DUMMYFUNCTION("""COMPUTED_VALUE"""),"Mp Multipedidos")</f>
        <v>Mp Multipedidos</v>
      </c>
      <c r="P8746" s="33">
        <f>IFERROR(__xludf.DUMMYFUNCTION("""COMPUTED_VALUE"""),1.0)</f>
        <v>1</v>
      </c>
      <c r="Q8746" s="4" t="str">
        <f>IFERROR(__xludf.DUMMYFUNCTION("""COMPUTED_VALUE"""),"Mp Multipedidos")</f>
        <v>Mp Multipedidos</v>
      </c>
      <c r="R8746" s="33">
        <f>IFERROR(__xludf.DUMMYFUNCTION("""COMPUTED_VALUE"""),1.0)</f>
        <v>1</v>
      </c>
      <c r="S8746" s="4" t="str">
        <f>IFERROR(__xludf.DUMMYFUNCTION("""COMPUTED_VALUE"""),"Mp Multipedidos")</f>
        <v>Mp Multipedidos</v>
      </c>
      <c r="T8746" s="33">
        <f>IFERROR(__xludf.DUMMYFUNCTION("""COMPUTED_VALUE"""),1.0)</f>
        <v>1</v>
      </c>
      <c r="U8746" s="4" t="str">
        <f>IFERROR(__xludf.DUMMYFUNCTION("""COMPUTED_VALUE"""),"Mp Multipedidos")</f>
        <v>Mp Multipedidos</v>
      </c>
      <c r="V8746" s="33">
        <f>IFERROR(__xludf.DUMMYFUNCTION("""COMPUTED_VALUE"""),1.0)</f>
        <v>1</v>
      </c>
      <c r="W8746" s="4" t="str">
        <f>IFERROR(__xludf.DUMMYFUNCTION("""COMPUTED_VALUE"""),"Mp Multipedidos")</f>
        <v>Mp Multipedidos</v>
      </c>
      <c r="X8746" s="33">
        <f>IFERROR(__xludf.DUMMYFUNCTION("""COMPUTED_VALUE"""),1.0)</f>
        <v>1</v>
      </c>
    </row>
    <row r="8747">
      <c r="K8747" s="4" t="str">
        <f>IFERROR(__xludf.DUMMYFUNCTION("""COMPUTED_VALUE"""),"PIRATAS LANCHES")</f>
        <v>PIRATAS LANCHES</v>
      </c>
      <c r="L8747" s="32">
        <f>IFERROR(__xludf.DUMMYFUNCTION("""COMPUTED_VALUE"""),1.0)</f>
        <v>1</v>
      </c>
      <c r="M8747" s="4" t="str">
        <f>IFERROR(__xludf.DUMMYFUNCTION("""COMPUTED_VALUE"""),"Saipos Serviços De Software")</f>
        <v>Saipos Serviços De Software</v>
      </c>
      <c r="N8747" s="33">
        <f>IFERROR(__xludf.DUMMYFUNCTION("""COMPUTED_VALUE"""),1.0)</f>
        <v>1</v>
      </c>
      <c r="O8747" s="4" t="str">
        <f>IFERROR(__xludf.DUMMYFUNCTION("""COMPUTED_VALUE"""),"null")</f>
        <v>null</v>
      </c>
      <c r="P8747" s="33">
        <f>IFERROR(__xludf.DUMMYFUNCTION("""COMPUTED_VALUE"""),1.0)</f>
        <v>1</v>
      </c>
      <c r="Q8747" s="4" t="str">
        <f>IFERROR(__xludf.DUMMYFUNCTION("""COMPUTED_VALUE"""),"null")</f>
        <v>null</v>
      </c>
      <c r="R8747" s="33">
        <f>IFERROR(__xludf.DUMMYFUNCTION("""COMPUTED_VALUE"""),1.0)</f>
        <v>1</v>
      </c>
      <c r="S8747" s="4" t="str">
        <f>IFERROR(__xludf.DUMMYFUNCTION("""COMPUTED_VALUE"""),"null")</f>
        <v>null</v>
      </c>
      <c r="T8747" s="33">
        <f>IFERROR(__xludf.DUMMYFUNCTION("""COMPUTED_VALUE"""),1.0)</f>
        <v>1</v>
      </c>
      <c r="U8747" s="4" t="str">
        <f>IFERROR(__xludf.DUMMYFUNCTION("""COMPUTED_VALUE"""),"null")</f>
        <v>null</v>
      </c>
      <c r="V8747" s="33">
        <f>IFERROR(__xludf.DUMMYFUNCTION("""COMPUTED_VALUE"""),1.0)</f>
        <v>1</v>
      </c>
      <c r="W8747" s="4" t="str">
        <f>IFERROR(__xludf.DUMMYFUNCTION("""COMPUTED_VALUE"""),"null")</f>
        <v>null</v>
      </c>
      <c r="X8747" s="33">
        <f>IFERROR(__xludf.DUMMYFUNCTION("""COMPUTED_VALUE"""),1.0)</f>
        <v>1</v>
      </c>
    </row>
    <row r="8748">
      <c r="K8748" s="4" t="str">
        <f>IFERROR(__xludf.DUMMYFUNCTION("""COMPUTED_VALUE"""),"CORA PATISSERIE")</f>
        <v>CORA PATISSERIE</v>
      </c>
      <c r="L8748" s="32">
        <f>IFERROR(__xludf.DUMMYFUNCTION("""COMPUTED_VALUE"""),1.0)</f>
        <v>1</v>
      </c>
      <c r="M8748" s="4" t="str">
        <f>IFERROR(__xludf.DUMMYFUNCTION("""COMPUTED_VALUE"""),"Saipos Serviços De Software")</f>
        <v>Saipos Serviços De Software</v>
      </c>
      <c r="N8748" s="33">
        <f>IFERROR(__xludf.DUMMYFUNCTION("""COMPUTED_VALUE"""),1.0)</f>
        <v>1</v>
      </c>
      <c r="O8748" s="4" t="str">
        <f>IFERROR(__xludf.DUMMYFUNCTION("""COMPUTED_VALUE"""),"Saipos Serviços De Software")</f>
        <v>Saipos Serviços De Software</v>
      </c>
      <c r="P8748" s="33">
        <f>IFERROR(__xludf.DUMMYFUNCTION("""COMPUTED_VALUE"""),1.0)</f>
        <v>1</v>
      </c>
      <c r="Q8748" s="4" t="str">
        <f>IFERROR(__xludf.DUMMYFUNCTION("""COMPUTED_VALUE"""),"Saipos Serviços De Software")</f>
        <v>Saipos Serviços De Software</v>
      </c>
      <c r="R8748" s="33">
        <f>IFERROR(__xludf.DUMMYFUNCTION("""COMPUTED_VALUE"""),1.0)</f>
        <v>1</v>
      </c>
      <c r="S8748" s="4" t="str">
        <f>IFERROR(__xludf.DUMMYFUNCTION("""COMPUTED_VALUE"""),"Saipos Serviços De Software")</f>
        <v>Saipos Serviços De Software</v>
      </c>
      <c r="T8748" s="33">
        <f>IFERROR(__xludf.DUMMYFUNCTION("""COMPUTED_VALUE"""),1.0)</f>
        <v>1</v>
      </c>
      <c r="U8748" s="4" t="str">
        <f>IFERROR(__xludf.DUMMYFUNCTION("""COMPUTED_VALUE"""),"Saipos Serviços De Software")</f>
        <v>Saipos Serviços De Software</v>
      </c>
      <c r="V8748" s="33">
        <f>IFERROR(__xludf.DUMMYFUNCTION("""COMPUTED_VALUE"""),1.0)</f>
        <v>1</v>
      </c>
      <c r="W8748" s="4" t="str">
        <f>IFERROR(__xludf.DUMMYFUNCTION("""COMPUTED_VALUE"""),"Saipos Serviços De Software")</f>
        <v>Saipos Serviços De Software</v>
      </c>
      <c r="X8748" s="33">
        <f>IFERROR(__xludf.DUMMYFUNCTION("""COMPUTED_VALUE"""),1.0)</f>
        <v>1</v>
      </c>
    </row>
    <row r="8749">
      <c r="K8749" s="4" t="str">
        <f>IFERROR(__xludf.DUMMYFUNCTION("""COMPUTED_VALUE"""),"MIMOS DA VOVO BOLOS E DOCES")</f>
        <v>MIMOS DA VOVO BOLOS E DOCES</v>
      </c>
      <c r="L8749" s="32">
        <f>IFERROR(__xludf.DUMMYFUNCTION("""COMPUTED_VALUE"""),1.0)</f>
        <v>1</v>
      </c>
      <c r="M8749" s="4" t="str">
        <f>IFERROR(__xludf.DUMMYFUNCTION("""COMPUTED_VALUE"""),"Saipos Serviços De Software")</f>
        <v>Saipos Serviços De Software</v>
      </c>
      <c r="N8749" s="33">
        <f>IFERROR(__xludf.DUMMYFUNCTION("""COMPUTED_VALUE"""),1.0)</f>
        <v>1</v>
      </c>
      <c r="O8749" s="4" t="str">
        <f>IFERROR(__xludf.DUMMYFUNCTION("""COMPUTED_VALUE"""),"Saipos Serviços De Software")</f>
        <v>Saipos Serviços De Software</v>
      </c>
      <c r="P8749" s="33">
        <f>IFERROR(__xludf.DUMMYFUNCTION("""COMPUTED_VALUE"""),1.0)</f>
        <v>1</v>
      </c>
      <c r="Q8749" s="4" t="str">
        <f>IFERROR(__xludf.DUMMYFUNCTION("""COMPUTED_VALUE"""),"Saipos Serviços De Software")</f>
        <v>Saipos Serviços De Software</v>
      </c>
      <c r="R8749" s="33">
        <f>IFERROR(__xludf.DUMMYFUNCTION("""COMPUTED_VALUE"""),1.0)</f>
        <v>1</v>
      </c>
      <c r="S8749" s="4" t="str">
        <f>IFERROR(__xludf.DUMMYFUNCTION("""COMPUTED_VALUE"""),"Saipos Serviços De Software")</f>
        <v>Saipos Serviços De Software</v>
      </c>
      <c r="T8749" s="33">
        <f>IFERROR(__xludf.DUMMYFUNCTION("""COMPUTED_VALUE"""),1.0)</f>
        <v>1</v>
      </c>
      <c r="U8749" s="4" t="str">
        <f>IFERROR(__xludf.DUMMYFUNCTION("""COMPUTED_VALUE"""),"Saipos Serviços De Software")</f>
        <v>Saipos Serviços De Software</v>
      </c>
      <c r="V8749" s="33">
        <f>IFERROR(__xludf.DUMMYFUNCTION("""COMPUTED_VALUE"""),1.0)</f>
        <v>1</v>
      </c>
      <c r="W8749" s="4" t="str">
        <f>IFERROR(__xludf.DUMMYFUNCTION("""COMPUTED_VALUE"""),"Saipos Serviços De Software")</f>
        <v>Saipos Serviços De Software</v>
      </c>
      <c r="X8749" s="33">
        <f>IFERROR(__xludf.DUMMYFUNCTION("""COMPUTED_VALUE"""),1.0)</f>
        <v>1</v>
      </c>
    </row>
    <row r="8750">
      <c r="K8750" s="4" t="str">
        <f>IFERROR(__xludf.DUMMYFUNCTION("""COMPUTED_VALUE"""),"CASA DOS ESPETOS")</f>
        <v>CASA DOS ESPETOS</v>
      </c>
      <c r="L8750" s="32">
        <f>IFERROR(__xludf.DUMMYFUNCTION("""COMPUTED_VALUE"""),1.0)</f>
        <v>1</v>
      </c>
      <c r="M8750" s="4" t="str">
        <f>IFERROR(__xludf.DUMMYFUNCTION("""COMPUTED_VALUE"""),"Saipos Serviços De Software")</f>
        <v>Saipos Serviços De Software</v>
      </c>
      <c r="N8750" s="33">
        <f>IFERROR(__xludf.DUMMYFUNCTION("""COMPUTED_VALUE"""),1.0)</f>
        <v>1</v>
      </c>
      <c r="O8750" s="4" t="str">
        <f>IFERROR(__xludf.DUMMYFUNCTION("""COMPUTED_VALUE"""),"Saipos Serviços De Software")</f>
        <v>Saipos Serviços De Software</v>
      </c>
      <c r="P8750" s="33">
        <f>IFERROR(__xludf.DUMMYFUNCTION("""COMPUTED_VALUE"""),1.0)</f>
        <v>1</v>
      </c>
      <c r="Q8750" s="4" t="str">
        <f>IFERROR(__xludf.DUMMYFUNCTION("""COMPUTED_VALUE"""),"Saipos Serviços De Software")</f>
        <v>Saipos Serviços De Software</v>
      </c>
      <c r="R8750" s="33">
        <f>IFERROR(__xludf.DUMMYFUNCTION("""COMPUTED_VALUE"""),1.0)</f>
        <v>1</v>
      </c>
      <c r="S8750" s="4" t="str">
        <f>IFERROR(__xludf.DUMMYFUNCTION("""COMPUTED_VALUE"""),"Saipos Serviços De Software")</f>
        <v>Saipos Serviços De Software</v>
      </c>
      <c r="T8750" s="33">
        <f>IFERROR(__xludf.DUMMYFUNCTION("""COMPUTED_VALUE"""),1.0)</f>
        <v>1</v>
      </c>
      <c r="U8750" s="4" t="str">
        <f>IFERROR(__xludf.DUMMYFUNCTION("""COMPUTED_VALUE"""),"Saipos Serviços De Software")</f>
        <v>Saipos Serviços De Software</v>
      </c>
      <c r="V8750" s="33">
        <f>IFERROR(__xludf.DUMMYFUNCTION("""COMPUTED_VALUE"""),1.0)</f>
        <v>1</v>
      </c>
      <c r="W8750" s="4" t="str">
        <f>IFERROR(__xludf.DUMMYFUNCTION("""COMPUTED_VALUE"""),"Saipos Serviços De Software")</f>
        <v>Saipos Serviços De Software</v>
      </c>
      <c r="X8750" s="33">
        <f>IFERROR(__xludf.DUMMYFUNCTION("""COMPUTED_VALUE"""),1.0)</f>
        <v>1</v>
      </c>
    </row>
    <row r="8751">
      <c r="K8751" s="4" t="str">
        <f>IFERROR(__xludf.DUMMYFUNCTION("""COMPUTED_VALUE"""),"LD DOCES GOURMETS")</f>
        <v>LD DOCES GOURMETS</v>
      </c>
      <c r="L8751" s="32">
        <f>IFERROR(__xludf.DUMMYFUNCTION("""COMPUTED_VALUE"""),1.0)</f>
        <v>1</v>
      </c>
      <c r="M8751" s="4" t="str">
        <f>IFERROR(__xludf.DUMMYFUNCTION("""COMPUTED_VALUE"""),"Cardápio Web")</f>
        <v>Cardápio Web</v>
      </c>
      <c r="N8751" s="33">
        <f>IFERROR(__xludf.DUMMYFUNCTION("""COMPUTED_VALUE"""),1.0)</f>
        <v>1</v>
      </c>
      <c r="O8751" s="4" t="str">
        <f>IFERROR(__xludf.DUMMYFUNCTION("""COMPUTED_VALUE"""),"null")</f>
        <v>null</v>
      </c>
      <c r="P8751" s="33">
        <f>IFERROR(__xludf.DUMMYFUNCTION("""COMPUTED_VALUE"""),1.0)</f>
        <v>1</v>
      </c>
      <c r="Q8751" s="4" t="str">
        <f>IFERROR(__xludf.DUMMYFUNCTION("""COMPUTED_VALUE"""),"null")</f>
        <v>null</v>
      </c>
      <c r="R8751" s="33">
        <f>IFERROR(__xludf.DUMMYFUNCTION("""COMPUTED_VALUE"""),1.0)</f>
        <v>1</v>
      </c>
      <c r="S8751" s="4" t="str">
        <f>IFERROR(__xludf.DUMMYFUNCTION("""COMPUTED_VALUE"""),"null")</f>
        <v>null</v>
      </c>
      <c r="T8751" s="33">
        <f>IFERROR(__xludf.DUMMYFUNCTION("""COMPUTED_VALUE"""),1.0)</f>
        <v>1</v>
      </c>
      <c r="U8751" s="4" t="str">
        <f>IFERROR(__xludf.DUMMYFUNCTION("""COMPUTED_VALUE"""),"null")</f>
        <v>null</v>
      </c>
      <c r="V8751" s="33">
        <f>IFERROR(__xludf.DUMMYFUNCTION("""COMPUTED_VALUE"""),1.0)</f>
        <v>1</v>
      </c>
      <c r="W8751" s="4" t="str">
        <f>IFERROR(__xludf.DUMMYFUNCTION("""COMPUTED_VALUE"""),"null")</f>
        <v>null</v>
      </c>
      <c r="X8751" s="33">
        <f>IFERROR(__xludf.DUMMYFUNCTION("""COMPUTED_VALUE"""),1.0)</f>
        <v>1</v>
      </c>
    </row>
    <row r="8752">
      <c r="K8752" s="4" t="str">
        <f>IFERROR(__xludf.DUMMYFUNCTION("""COMPUTED_VALUE"""),"POINT DA PIZZA E MASSAS CICLOVIA SJM")</f>
        <v>POINT DA PIZZA E MASSAS CICLOVIA SJM</v>
      </c>
      <c r="L8752" s="32">
        <f>IFERROR(__xludf.DUMMYFUNCTION("""COMPUTED_VALUE"""),1.0)</f>
        <v>1</v>
      </c>
      <c r="M8752" s="4" t="str">
        <f>IFERROR(__xludf.DUMMYFUNCTION("""COMPUTED_VALUE"""),"Anota Ai Solucoes Digitais S/a")</f>
        <v>Anota Ai Solucoes Digitais S/a</v>
      </c>
      <c r="N8752" s="33">
        <f>IFERROR(__xludf.DUMMYFUNCTION("""COMPUTED_VALUE"""),1.0)</f>
        <v>1</v>
      </c>
      <c r="O8752" s="4" t="str">
        <f>IFERROR(__xludf.DUMMYFUNCTION("""COMPUTED_VALUE"""),"Anota Ai Solucoes Digitais S/a")</f>
        <v>Anota Ai Solucoes Digitais S/a</v>
      </c>
      <c r="P8752" s="33">
        <f>IFERROR(__xludf.DUMMYFUNCTION("""COMPUTED_VALUE"""),1.0)</f>
        <v>1</v>
      </c>
      <c r="Q8752" s="4" t="str">
        <f>IFERROR(__xludf.DUMMYFUNCTION("""COMPUTED_VALUE"""),"Anota Ai Solucoes Digitais S/a")</f>
        <v>Anota Ai Solucoes Digitais S/a</v>
      </c>
      <c r="R8752" s="33">
        <f>IFERROR(__xludf.DUMMYFUNCTION("""COMPUTED_VALUE"""),1.0)</f>
        <v>1</v>
      </c>
      <c r="S8752" s="4" t="str">
        <f>IFERROR(__xludf.DUMMYFUNCTION("""COMPUTED_VALUE"""),"Anota Ai Solucoes Digitais S/a")</f>
        <v>Anota Ai Solucoes Digitais S/a</v>
      </c>
      <c r="T8752" s="33">
        <f>IFERROR(__xludf.DUMMYFUNCTION("""COMPUTED_VALUE"""),1.0)</f>
        <v>1</v>
      </c>
      <c r="U8752" s="4" t="str">
        <f>IFERROR(__xludf.DUMMYFUNCTION("""COMPUTED_VALUE"""),"Anota Ai Solucoes Digitais S/a")</f>
        <v>Anota Ai Solucoes Digitais S/a</v>
      </c>
      <c r="V8752" s="33">
        <f>IFERROR(__xludf.DUMMYFUNCTION("""COMPUTED_VALUE"""),1.0)</f>
        <v>1</v>
      </c>
      <c r="W8752" s="4" t="str">
        <f>IFERROR(__xludf.DUMMYFUNCTION("""COMPUTED_VALUE"""),"Anota Ai Solucoes Digitais S/a")</f>
        <v>Anota Ai Solucoes Digitais S/a</v>
      </c>
      <c r="X8752" s="33">
        <f>IFERROR(__xludf.DUMMYFUNCTION("""COMPUTED_VALUE"""),1.0)</f>
        <v>1</v>
      </c>
    </row>
    <row r="8753">
      <c r="K8753" s="4" t="str">
        <f>IFERROR(__xludf.DUMMYFUNCTION("""COMPUTED_VALUE"""),"TEMPERO CASEIRO - FEIJOADA E DOBRADINHA")</f>
        <v>TEMPERO CASEIRO - FEIJOADA E DOBRADINHA</v>
      </c>
      <c r="L8753" s="32">
        <f>IFERROR(__xludf.DUMMYFUNCTION("""COMPUTED_VALUE"""),1.0)</f>
        <v>1</v>
      </c>
      <c r="M8753" s="4" t="str">
        <f>IFERROR(__xludf.DUMMYFUNCTION("""COMPUTED_VALUE"""),"Cardápio Web")</f>
        <v>Cardápio Web</v>
      </c>
      <c r="N8753" s="33">
        <f>IFERROR(__xludf.DUMMYFUNCTION("""COMPUTED_VALUE"""),1.0)</f>
        <v>1</v>
      </c>
      <c r="O8753" s="4" t="str">
        <f>IFERROR(__xludf.DUMMYFUNCTION("""COMPUTED_VALUE"""),"Cardápio Web")</f>
        <v>Cardápio Web</v>
      </c>
      <c r="P8753" s="33">
        <f>IFERROR(__xludf.DUMMYFUNCTION("""COMPUTED_VALUE"""),1.0)</f>
        <v>1</v>
      </c>
      <c r="Q8753" s="4" t="str">
        <f>IFERROR(__xludf.DUMMYFUNCTION("""COMPUTED_VALUE"""),"Cardápio Web")</f>
        <v>Cardápio Web</v>
      </c>
      <c r="R8753" s="33">
        <f>IFERROR(__xludf.DUMMYFUNCTION("""COMPUTED_VALUE"""),1.0)</f>
        <v>1</v>
      </c>
      <c r="S8753" s="4" t="str">
        <f>IFERROR(__xludf.DUMMYFUNCTION("""COMPUTED_VALUE"""),"Cardápio Web")</f>
        <v>Cardápio Web</v>
      </c>
      <c r="T8753" s="33">
        <f>IFERROR(__xludf.DUMMYFUNCTION("""COMPUTED_VALUE"""),1.0)</f>
        <v>1</v>
      </c>
      <c r="U8753" s="4" t="str">
        <f>IFERROR(__xludf.DUMMYFUNCTION("""COMPUTED_VALUE"""),"Cardápio Web")</f>
        <v>Cardápio Web</v>
      </c>
      <c r="V8753" s="33">
        <f>IFERROR(__xludf.DUMMYFUNCTION("""COMPUTED_VALUE"""),1.0)</f>
        <v>1</v>
      </c>
      <c r="W8753" s="4" t="str">
        <f>IFERROR(__xludf.DUMMYFUNCTION("""COMPUTED_VALUE"""),"Cardápio Web")</f>
        <v>Cardápio Web</v>
      </c>
      <c r="X8753" s="33">
        <f>IFERROR(__xludf.DUMMYFUNCTION("""COMPUTED_VALUE"""),1.0)</f>
        <v>1</v>
      </c>
    </row>
    <row r="8754">
      <c r="K8754" s="4" t="str">
        <f>IFERROR(__xludf.DUMMYFUNCTION("""COMPUTED_VALUE"""),"POKE SOCIETY")</f>
        <v>POKE SOCIETY</v>
      </c>
      <c r="L8754" s="32">
        <f>IFERROR(__xludf.DUMMYFUNCTION("""COMPUTED_VALUE"""),1.0)</f>
        <v>1</v>
      </c>
      <c r="M8754" s="4" t="str">
        <f>IFERROR(__xludf.DUMMYFUNCTION("""COMPUTED_VALUE"""),"null")</f>
        <v>null</v>
      </c>
      <c r="N8754" s="33">
        <f>IFERROR(__xludf.DUMMYFUNCTION("""COMPUTED_VALUE"""),1.0)</f>
        <v>1</v>
      </c>
      <c r="O8754" s="4" t="str">
        <f>IFERROR(__xludf.DUMMYFUNCTION("""COMPUTED_VALUE"""),"T4l Tecnologia Ltda Me")</f>
        <v>T4l Tecnologia Ltda Me</v>
      </c>
      <c r="P8754" s="33">
        <f>IFERROR(__xludf.DUMMYFUNCTION("""COMPUTED_VALUE"""),1.0)</f>
        <v>1</v>
      </c>
      <c r="Q8754" s="4" t="str">
        <f>IFERROR(__xludf.DUMMYFUNCTION("""COMPUTED_VALUE"""),"T4l Tecnologia Ltda Me")</f>
        <v>T4l Tecnologia Ltda Me</v>
      </c>
      <c r="R8754" s="33">
        <f>IFERROR(__xludf.DUMMYFUNCTION("""COMPUTED_VALUE"""),1.0)</f>
        <v>1</v>
      </c>
      <c r="S8754" s="4" t="str">
        <f>IFERROR(__xludf.DUMMYFUNCTION("""COMPUTED_VALUE"""),"T4l Tecnologia Ltda Me")</f>
        <v>T4l Tecnologia Ltda Me</v>
      </c>
      <c r="T8754" s="33">
        <f>IFERROR(__xludf.DUMMYFUNCTION("""COMPUTED_VALUE"""),1.0)</f>
        <v>1</v>
      </c>
      <c r="U8754" s="4" t="str">
        <f>IFERROR(__xludf.DUMMYFUNCTION("""COMPUTED_VALUE"""),"T4l Tecnologia Ltda Me")</f>
        <v>T4l Tecnologia Ltda Me</v>
      </c>
      <c r="V8754" s="33">
        <f>IFERROR(__xludf.DUMMYFUNCTION("""COMPUTED_VALUE"""),1.0)</f>
        <v>1</v>
      </c>
      <c r="W8754" s="4" t="str">
        <f>IFERROR(__xludf.DUMMYFUNCTION("""COMPUTED_VALUE"""),"T4l Tecnologia Ltda Me")</f>
        <v>T4l Tecnologia Ltda Me</v>
      </c>
      <c r="X8754" s="33">
        <f>IFERROR(__xludf.DUMMYFUNCTION("""COMPUTED_VALUE"""),1.0)</f>
        <v>1</v>
      </c>
    </row>
    <row r="8755">
      <c r="K8755" s="4" t="str">
        <f>IFERROR(__xludf.DUMMYFUNCTION("""COMPUTED_VALUE"""),"ZERO 41 DISTRIBUIDORA DE BEBIDAS")</f>
        <v>ZERO 41 DISTRIBUIDORA DE BEBIDAS</v>
      </c>
      <c r="L8755" s="32">
        <f>IFERROR(__xludf.DUMMYFUNCTION("""COMPUTED_VALUE"""),1.0)</f>
        <v>1</v>
      </c>
      <c r="M8755" s="4" t="str">
        <f>IFERROR(__xludf.DUMMYFUNCTION("""COMPUTED_VALUE"""),"null")</f>
        <v>null</v>
      </c>
      <c r="N8755" s="33">
        <f>IFERROR(__xludf.DUMMYFUNCTION("""COMPUTED_VALUE"""),1.0)</f>
        <v>1</v>
      </c>
      <c r="O8755" s="4" t="str">
        <f>IFERROR(__xludf.DUMMYFUNCTION("""COMPUTED_VALUE"""),"null")</f>
        <v>null</v>
      </c>
      <c r="P8755" s="33">
        <f>IFERROR(__xludf.DUMMYFUNCTION("""COMPUTED_VALUE"""),1.0)</f>
        <v>1</v>
      </c>
      <c r="Q8755" s="4" t="str">
        <f>IFERROR(__xludf.DUMMYFUNCTION("""COMPUTED_VALUE"""),"M-du Tecnologia")</f>
        <v>M-du Tecnologia</v>
      </c>
      <c r="R8755" s="33">
        <f>IFERROR(__xludf.DUMMYFUNCTION("""COMPUTED_VALUE"""),1.0)</f>
        <v>1</v>
      </c>
      <c r="S8755" s="4" t="str">
        <f>IFERROR(__xludf.DUMMYFUNCTION("""COMPUTED_VALUE"""),"M-du Tecnologia")</f>
        <v>M-du Tecnologia</v>
      </c>
      <c r="T8755" s="33">
        <f>IFERROR(__xludf.DUMMYFUNCTION("""COMPUTED_VALUE"""),1.0)</f>
        <v>1</v>
      </c>
      <c r="U8755" s="4" t="str">
        <f>IFERROR(__xludf.DUMMYFUNCTION("""COMPUTED_VALUE"""),"M-du Tecnologia")</f>
        <v>M-du Tecnologia</v>
      </c>
      <c r="V8755" s="33">
        <f>IFERROR(__xludf.DUMMYFUNCTION("""COMPUTED_VALUE"""),1.0)</f>
        <v>1</v>
      </c>
      <c r="W8755" s="4" t="str">
        <f>IFERROR(__xludf.DUMMYFUNCTION("""COMPUTED_VALUE"""),"null")</f>
        <v>null</v>
      </c>
      <c r="X8755" s="33">
        <f>IFERROR(__xludf.DUMMYFUNCTION("""COMPUTED_VALUE"""),1.0)</f>
        <v>1</v>
      </c>
    </row>
    <row r="8756">
      <c r="K8756" s="4" t="str">
        <f>IFERROR(__xludf.DUMMYFUNCTION("""COMPUTED_VALUE"""),"NOFF NOFF BANOFFEE - PATISSERIE TORTAS E SALGADOS")</f>
        <v>NOFF NOFF BANOFFEE - PATISSERIE TORTAS E SALGADOS</v>
      </c>
      <c r="L8756" s="32">
        <f>IFERROR(__xludf.DUMMYFUNCTION("""COMPUTED_VALUE"""),1.0)</f>
        <v>1</v>
      </c>
      <c r="M8756" s="4" t="str">
        <f>IFERROR(__xludf.DUMMYFUNCTION("""COMPUTED_VALUE"""),"Saipos Serviços De Software")</f>
        <v>Saipos Serviços De Software</v>
      </c>
      <c r="N8756" s="33">
        <f>IFERROR(__xludf.DUMMYFUNCTION("""COMPUTED_VALUE"""),1.0)</f>
        <v>1</v>
      </c>
      <c r="O8756" s="4" t="str">
        <f>IFERROR(__xludf.DUMMYFUNCTION("""COMPUTED_VALUE"""),"Saipos Serviços De Software")</f>
        <v>Saipos Serviços De Software</v>
      </c>
      <c r="P8756" s="33">
        <f>IFERROR(__xludf.DUMMYFUNCTION("""COMPUTED_VALUE"""),1.0)</f>
        <v>1</v>
      </c>
      <c r="Q8756" s="4" t="str">
        <f>IFERROR(__xludf.DUMMYFUNCTION("""COMPUTED_VALUE"""),"Saipos Serviços De Software")</f>
        <v>Saipos Serviços De Software</v>
      </c>
      <c r="R8756" s="33">
        <f>IFERROR(__xludf.DUMMYFUNCTION("""COMPUTED_VALUE"""),1.0)</f>
        <v>1</v>
      </c>
      <c r="S8756" s="4" t="str">
        <f>IFERROR(__xludf.DUMMYFUNCTION("""COMPUTED_VALUE"""),"Saipos Serviços De Software")</f>
        <v>Saipos Serviços De Software</v>
      </c>
      <c r="T8756" s="33">
        <f>IFERROR(__xludf.DUMMYFUNCTION("""COMPUTED_VALUE"""),1.0)</f>
        <v>1</v>
      </c>
      <c r="U8756" s="4" t="str">
        <f>IFERROR(__xludf.DUMMYFUNCTION("""COMPUTED_VALUE"""),"Saipos Serviços De Software")</f>
        <v>Saipos Serviços De Software</v>
      </c>
      <c r="V8756" s="33">
        <f>IFERROR(__xludf.DUMMYFUNCTION("""COMPUTED_VALUE"""),1.0)</f>
        <v>1</v>
      </c>
      <c r="W8756" s="4" t="str">
        <f>IFERROR(__xludf.DUMMYFUNCTION("""COMPUTED_VALUE"""),"Saipos Serviços De Software")</f>
        <v>Saipos Serviços De Software</v>
      </c>
      <c r="X8756" s="33">
        <f>IFERROR(__xludf.DUMMYFUNCTION("""COMPUTED_VALUE"""),1.0)</f>
        <v>1</v>
      </c>
    </row>
    <row r="8757">
      <c r="K8757" s="4" t="str">
        <f>IFERROR(__xludf.DUMMYFUNCTION("""COMPUTED_VALUE"""),"JOE TACO MEXICAN FAST FOOD")</f>
        <v>JOE TACO MEXICAN FAST FOOD</v>
      </c>
      <c r="L8757" s="32">
        <f>IFERROR(__xludf.DUMMYFUNCTION("""COMPUTED_VALUE"""),1.0)</f>
        <v>1</v>
      </c>
      <c r="M8757" s="4" t="str">
        <f>IFERROR(__xludf.DUMMYFUNCTION("""COMPUTED_VALUE"""),"Anota Ai Solucoes Digitais S/a")</f>
        <v>Anota Ai Solucoes Digitais S/a</v>
      </c>
      <c r="N8757" s="33">
        <f>IFERROR(__xludf.DUMMYFUNCTION("""COMPUTED_VALUE"""),1.0)</f>
        <v>1</v>
      </c>
      <c r="O8757" s="4" t="str">
        <f>IFERROR(__xludf.DUMMYFUNCTION("""COMPUTED_VALUE"""),"null")</f>
        <v>null</v>
      </c>
      <c r="P8757" s="33">
        <f>IFERROR(__xludf.DUMMYFUNCTION("""COMPUTED_VALUE"""),1.0)</f>
        <v>1</v>
      </c>
      <c r="Q8757" s="4" t="str">
        <f>IFERROR(__xludf.DUMMYFUNCTION("""COMPUTED_VALUE"""),"null")</f>
        <v>null</v>
      </c>
      <c r="R8757" s="33">
        <f>IFERROR(__xludf.DUMMYFUNCTION("""COMPUTED_VALUE"""),1.0)</f>
        <v>1</v>
      </c>
      <c r="S8757" s="4" t="str">
        <f>IFERROR(__xludf.DUMMYFUNCTION("""COMPUTED_VALUE"""),"null")</f>
        <v>null</v>
      </c>
      <c r="T8757" s="33">
        <f>IFERROR(__xludf.DUMMYFUNCTION("""COMPUTED_VALUE"""),1.0)</f>
        <v>1</v>
      </c>
      <c r="U8757" s="4" t="str">
        <f>IFERROR(__xludf.DUMMYFUNCTION("""COMPUTED_VALUE"""),"Anota Ai Solucoes Digitais S/a")</f>
        <v>Anota Ai Solucoes Digitais S/a</v>
      </c>
      <c r="V8757" s="33">
        <f>IFERROR(__xludf.DUMMYFUNCTION("""COMPUTED_VALUE"""),1.0)</f>
        <v>1</v>
      </c>
      <c r="W8757" s="4" t="str">
        <f>IFERROR(__xludf.DUMMYFUNCTION("""COMPUTED_VALUE"""),"null")</f>
        <v>null</v>
      </c>
      <c r="X8757" s="33">
        <f>IFERROR(__xludf.DUMMYFUNCTION("""COMPUTED_VALUE"""),1.0)</f>
        <v>1</v>
      </c>
    </row>
    <row r="8758">
      <c r="K8758" s="4" t="str">
        <f>IFERROR(__xludf.DUMMYFUNCTION("""COMPUTED_VALUE"""),"JASPION SUSHI")</f>
        <v>JASPION SUSHI</v>
      </c>
      <c r="L8758" s="32">
        <f>IFERROR(__xludf.DUMMYFUNCTION("""COMPUTED_VALUE"""),1.0)</f>
        <v>1</v>
      </c>
      <c r="M8758" s="4" t="str">
        <f>IFERROR(__xludf.DUMMYFUNCTION("""COMPUTED_VALUE"""),"Cardápio Web")</f>
        <v>Cardápio Web</v>
      </c>
      <c r="N8758" s="33">
        <f>IFERROR(__xludf.DUMMYFUNCTION("""COMPUTED_VALUE"""),1.0)</f>
        <v>1</v>
      </c>
      <c r="O8758" s="4" t="str">
        <f>IFERROR(__xludf.DUMMYFUNCTION("""COMPUTED_VALUE"""),"Cardápio Web")</f>
        <v>Cardápio Web</v>
      </c>
      <c r="P8758" s="33">
        <f>IFERROR(__xludf.DUMMYFUNCTION("""COMPUTED_VALUE"""),1.0)</f>
        <v>1</v>
      </c>
      <c r="Q8758" s="4" t="str">
        <f>IFERROR(__xludf.DUMMYFUNCTION("""COMPUTED_VALUE"""),"Cardápio Web")</f>
        <v>Cardápio Web</v>
      </c>
      <c r="R8758" s="33">
        <f>IFERROR(__xludf.DUMMYFUNCTION("""COMPUTED_VALUE"""),1.0)</f>
        <v>1</v>
      </c>
      <c r="S8758" s="4" t="str">
        <f>IFERROR(__xludf.DUMMYFUNCTION("""COMPUTED_VALUE"""),"Cardápio Web")</f>
        <v>Cardápio Web</v>
      </c>
      <c r="T8758" s="33">
        <f>IFERROR(__xludf.DUMMYFUNCTION("""COMPUTED_VALUE"""),1.0)</f>
        <v>1</v>
      </c>
      <c r="U8758" s="4" t="str">
        <f>IFERROR(__xludf.DUMMYFUNCTION("""COMPUTED_VALUE"""),"Cardápio Web")</f>
        <v>Cardápio Web</v>
      </c>
      <c r="V8758" s="33">
        <f>IFERROR(__xludf.DUMMYFUNCTION("""COMPUTED_VALUE"""),1.0)</f>
        <v>1</v>
      </c>
      <c r="W8758" s="4" t="str">
        <f>IFERROR(__xludf.DUMMYFUNCTION("""COMPUTED_VALUE"""),"Cardápio Web")</f>
        <v>Cardápio Web</v>
      </c>
      <c r="X8758" s="33">
        <f>IFERROR(__xludf.DUMMYFUNCTION("""COMPUTED_VALUE"""),1.0)</f>
        <v>1</v>
      </c>
    </row>
    <row r="8759">
      <c r="K8759" s="4" t="str">
        <f>IFERROR(__xludf.DUMMYFUNCTION("""COMPUTED_VALUE"""),"REI DOS SALGADOS TAQUARA")</f>
        <v>REI DOS SALGADOS TAQUARA</v>
      </c>
      <c r="L8759" s="32">
        <f>IFERROR(__xludf.DUMMYFUNCTION("""COMPUTED_VALUE"""),1.0)</f>
        <v>1</v>
      </c>
      <c r="M8759" s="4" t="str">
        <f>IFERROR(__xludf.DUMMYFUNCTION("""COMPUTED_VALUE"""),"Connectplug")</f>
        <v>Connectplug</v>
      </c>
      <c r="N8759" s="33">
        <f>IFERROR(__xludf.DUMMYFUNCTION("""COMPUTED_VALUE"""),1.0)</f>
        <v>1</v>
      </c>
      <c r="O8759" s="4" t="str">
        <f>IFERROR(__xludf.DUMMYFUNCTION("""COMPUTED_VALUE"""),"Connectplug")</f>
        <v>Connectplug</v>
      </c>
      <c r="P8759" s="33">
        <f>IFERROR(__xludf.DUMMYFUNCTION("""COMPUTED_VALUE"""),1.0)</f>
        <v>1</v>
      </c>
      <c r="Q8759" s="4" t="str">
        <f>IFERROR(__xludf.DUMMYFUNCTION("""COMPUTED_VALUE"""),"Connectplug")</f>
        <v>Connectplug</v>
      </c>
      <c r="R8759" s="33">
        <f>IFERROR(__xludf.DUMMYFUNCTION("""COMPUTED_VALUE"""),1.0)</f>
        <v>1</v>
      </c>
      <c r="S8759" s="4" t="str">
        <f>IFERROR(__xludf.DUMMYFUNCTION("""COMPUTED_VALUE"""),"Connectplug")</f>
        <v>Connectplug</v>
      </c>
      <c r="T8759" s="33">
        <f>IFERROR(__xludf.DUMMYFUNCTION("""COMPUTED_VALUE"""),1.0)</f>
        <v>1</v>
      </c>
      <c r="U8759" s="4" t="str">
        <f>IFERROR(__xludf.DUMMYFUNCTION("""COMPUTED_VALUE"""),"Connectplug")</f>
        <v>Connectplug</v>
      </c>
      <c r="V8759" s="33">
        <f>IFERROR(__xludf.DUMMYFUNCTION("""COMPUTED_VALUE"""),1.0)</f>
        <v>1</v>
      </c>
      <c r="W8759" s="4" t="str">
        <f>IFERROR(__xludf.DUMMYFUNCTION("""COMPUTED_VALUE"""),"Connectplug")</f>
        <v>Connectplug</v>
      </c>
      <c r="X8759" s="33">
        <f>IFERROR(__xludf.DUMMYFUNCTION("""COMPUTED_VALUE"""),1.0)</f>
        <v>1</v>
      </c>
    </row>
    <row r="8760">
      <c r="K8760" s="4" t="str">
        <f>IFERROR(__xludf.DUMMYFUNCTION("""COMPUTED_VALUE"""),"CONFEITARIA INGRA BENEDICTO")</f>
        <v>CONFEITARIA INGRA BENEDICTO</v>
      </c>
      <c r="L8760" s="32">
        <f>IFERROR(__xludf.DUMMYFUNCTION("""COMPUTED_VALUE"""),1.0)</f>
        <v>1</v>
      </c>
      <c r="M8760" s="4" t="str">
        <f>IFERROR(__xludf.DUMMYFUNCTION("""COMPUTED_VALUE"""),"Instadelivery")</f>
        <v>Instadelivery</v>
      </c>
      <c r="N8760" s="33">
        <f>IFERROR(__xludf.DUMMYFUNCTION("""COMPUTED_VALUE"""),1.0)</f>
        <v>1</v>
      </c>
      <c r="O8760" s="4" t="str">
        <f>IFERROR(__xludf.DUMMYFUNCTION("""COMPUTED_VALUE"""),"Instadelivery")</f>
        <v>Instadelivery</v>
      </c>
      <c r="P8760" s="33">
        <f>IFERROR(__xludf.DUMMYFUNCTION("""COMPUTED_VALUE"""),1.0)</f>
        <v>1</v>
      </c>
      <c r="Q8760" s="4" t="str">
        <f>IFERROR(__xludf.DUMMYFUNCTION("""COMPUTED_VALUE"""),"null")</f>
        <v>null</v>
      </c>
      <c r="R8760" s="33">
        <f>IFERROR(__xludf.DUMMYFUNCTION("""COMPUTED_VALUE"""),1.0)</f>
        <v>1</v>
      </c>
      <c r="S8760" s="4" t="str">
        <f>IFERROR(__xludf.DUMMYFUNCTION("""COMPUTED_VALUE"""),"Instadelivery")</f>
        <v>Instadelivery</v>
      </c>
      <c r="T8760" s="33">
        <f>IFERROR(__xludf.DUMMYFUNCTION("""COMPUTED_VALUE"""),1.0)</f>
        <v>1</v>
      </c>
      <c r="U8760" s="4" t="str">
        <f>IFERROR(__xludf.DUMMYFUNCTION("""COMPUTED_VALUE"""),"Instadelivery")</f>
        <v>Instadelivery</v>
      </c>
      <c r="V8760" s="33">
        <f>IFERROR(__xludf.DUMMYFUNCTION("""COMPUTED_VALUE"""),1.0)</f>
        <v>1</v>
      </c>
      <c r="W8760" s="4" t="str">
        <f>IFERROR(__xludf.DUMMYFUNCTION("""COMPUTED_VALUE"""),"Instadelivery")</f>
        <v>Instadelivery</v>
      </c>
      <c r="X8760" s="33">
        <f>IFERROR(__xludf.DUMMYFUNCTION("""COMPUTED_VALUE"""),1.0)</f>
        <v>1</v>
      </c>
    </row>
    <row r="8761">
      <c r="K8761" s="4" t="str">
        <f>IFERROR(__xludf.DUMMYFUNCTION("""COMPUTED_VALUE"""),"USA BURGER")</f>
        <v>USA BURGER</v>
      </c>
      <c r="L8761" s="32">
        <f>IFERROR(__xludf.DUMMYFUNCTION("""COMPUTED_VALUE"""),1.0)</f>
        <v>1</v>
      </c>
      <c r="M8761" s="4" t="str">
        <f>IFERROR(__xludf.DUMMYFUNCTION("""COMPUTED_VALUE"""),"Saipos Serviços De Software")</f>
        <v>Saipos Serviços De Software</v>
      </c>
      <c r="N8761" s="33">
        <f>IFERROR(__xludf.DUMMYFUNCTION("""COMPUTED_VALUE"""),1.0)</f>
        <v>1</v>
      </c>
      <c r="O8761" s="4" t="str">
        <f>IFERROR(__xludf.DUMMYFUNCTION("""COMPUTED_VALUE"""),"Saipos Serviços De Software")</f>
        <v>Saipos Serviços De Software</v>
      </c>
      <c r="P8761" s="33">
        <f>IFERROR(__xludf.DUMMYFUNCTION("""COMPUTED_VALUE"""),1.0)</f>
        <v>1</v>
      </c>
      <c r="Q8761" s="4" t="str">
        <f>IFERROR(__xludf.DUMMYFUNCTION("""COMPUTED_VALUE"""),"Saipos Serviços De Software")</f>
        <v>Saipos Serviços De Software</v>
      </c>
      <c r="R8761" s="33">
        <f>IFERROR(__xludf.DUMMYFUNCTION("""COMPUTED_VALUE"""),1.0)</f>
        <v>1</v>
      </c>
      <c r="S8761" s="4" t="str">
        <f>IFERROR(__xludf.DUMMYFUNCTION("""COMPUTED_VALUE"""),"Saipos Serviços De Software")</f>
        <v>Saipos Serviços De Software</v>
      </c>
      <c r="T8761" s="33">
        <f>IFERROR(__xludf.DUMMYFUNCTION("""COMPUTED_VALUE"""),1.0)</f>
        <v>1</v>
      </c>
      <c r="U8761" s="4" t="str">
        <f>IFERROR(__xludf.DUMMYFUNCTION("""COMPUTED_VALUE"""),"Saipos Serviços De Software")</f>
        <v>Saipos Serviços De Software</v>
      </c>
      <c r="V8761" s="33">
        <f>IFERROR(__xludf.DUMMYFUNCTION("""COMPUTED_VALUE"""),1.0)</f>
        <v>1</v>
      </c>
      <c r="W8761" s="4" t="str">
        <f>IFERROR(__xludf.DUMMYFUNCTION("""COMPUTED_VALUE"""),"Saipos Serviços De Software")</f>
        <v>Saipos Serviços De Software</v>
      </c>
      <c r="X8761" s="33">
        <f>IFERROR(__xludf.DUMMYFUNCTION("""COMPUTED_VALUE"""),1.0)</f>
        <v>1</v>
      </c>
    </row>
    <row r="8762">
      <c r="K8762" s="4" t="str">
        <f>IFERROR(__xludf.DUMMYFUNCTION("""COMPUTED_VALUE"""),"RECANTO DA LASANHA E PARMEGIANA")</f>
        <v>RECANTO DA LASANHA E PARMEGIANA</v>
      </c>
      <c r="L8762" s="32">
        <f>IFERROR(__xludf.DUMMYFUNCTION("""COMPUTED_VALUE"""),1.0)</f>
        <v>1</v>
      </c>
      <c r="M8762" s="4" t="str">
        <f>IFERROR(__xludf.DUMMYFUNCTION("""COMPUTED_VALUE"""),"Consumer Soluções Em Tecnologia Ltda")</f>
        <v>Consumer Soluções Em Tecnologia Ltda</v>
      </c>
      <c r="N8762" s="33">
        <f>IFERROR(__xludf.DUMMYFUNCTION("""COMPUTED_VALUE"""),1.0)</f>
        <v>1</v>
      </c>
      <c r="O8762" s="4" t="str">
        <f>IFERROR(__xludf.DUMMYFUNCTION("""COMPUTED_VALUE"""),"Consumer Soluções Em Tecnologia Ltda")</f>
        <v>Consumer Soluções Em Tecnologia Ltda</v>
      </c>
      <c r="P8762" s="33">
        <f>IFERROR(__xludf.DUMMYFUNCTION("""COMPUTED_VALUE"""),1.0)</f>
        <v>1</v>
      </c>
      <c r="Q8762" s="4" t="str">
        <f>IFERROR(__xludf.DUMMYFUNCTION("""COMPUTED_VALUE"""),"Consumer Soluções Em Tecnologia Ltda")</f>
        <v>Consumer Soluções Em Tecnologia Ltda</v>
      </c>
      <c r="R8762" s="33">
        <f>IFERROR(__xludf.DUMMYFUNCTION("""COMPUTED_VALUE"""),1.0)</f>
        <v>1</v>
      </c>
      <c r="S8762" s="4" t="str">
        <f>IFERROR(__xludf.DUMMYFUNCTION("""COMPUTED_VALUE"""),"Consumer Soluções Em Tecnologia Ltda")</f>
        <v>Consumer Soluções Em Tecnologia Ltda</v>
      </c>
      <c r="T8762" s="33">
        <f>IFERROR(__xludf.DUMMYFUNCTION("""COMPUTED_VALUE"""),1.0)</f>
        <v>1</v>
      </c>
      <c r="U8762" s="4" t="str">
        <f>IFERROR(__xludf.DUMMYFUNCTION("""COMPUTED_VALUE"""),"Consumer Soluções Em Tecnologia Ltda")</f>
        <v>Consumer Soluções Em Tecnologia Ltda</v>
      </c>
      <c r="V8762" s="33">
        <f>IFERROR(__xludf.DUMMYFUNCTION("""COMPUTED_VALUE"""),1.0)</f>
        <v>1</v>
      </c>
      <c r="W8762" s="4" t="str">
        <f>IFERROR(__xludf.DUMMYFUNCTION("""COMPUTED_VALUE"""),"Consumer Soluções Em Tecnologia Ltda")</f>
        <v>Consumer Soluções Em Tecnologia Ltda</v>
      </c>
      <c r="X8762" s="33">
        <f>IFERROR(__xludf.DUMMYFUNCTION("""COMPUTED_VALUE"""),1.0)</f>
        <v>1</v>
      </c>
    </row>
    <row r="8763">
      <c r="K8763" s="4" t="str">
        <f>IFERROR(__xludf.DUMMYFUNCTION("""COMPUTED_VALUE"""),"CHURRASCARIA ESPETINHO DE LUXO ARTEMIA")</f>
        <v>CHURRASCARIA ESPETINHO DE LUXO ARTEMIA</v>
      </c>
      <c r="L8763" s="32">
        <f>IFERROR(__xludf.DUMMYFUNCTION("""COMPUTED_VALUE"""),1.0)</f>
        <v>1</v>
      </c>
      <c r="M8763" s="4" t="str">
        <f>IFERROR(__xludf.DUMMYFUNCTION("""COMPUTED_VALUE"""),"Olaclick")</f>
        <v>Olaclick</v>
      </c>
      <c r="N8763" s="33">
        <f>IFERROR(__xludf.DUMMYFUNCTION("""COMPUTED_VALUE"""),1.0)</f>
        <v>1</v>
      </c>
      <c r="O8763" s="4" t="str">
        <f>IFERROR(__xludf.DUMMYFUNCTION("""COMPUTED_VALUE"""),"Olaclick")</f>
        <v>Olaclick</v>
      </c>
      <c r="P8763" s="33">
        <f>IFERROR(__xludf.DUMMYFUNCTION("""COMPUTED_VALUE"""),1.0)</f>
        <v>1</v>
      </c>
      <c r="Q8763" s="4" t="str">
        <f>IFERROR(__xludf.DUMMYFUNCTION("""COMPUTED_VALUE"""),"Olaclick")</f>
        <v>Olaclick</v>
      </c>
      <c r="R8763" s="33">
        <f>IFERROR(__xludf.DUMMYFUNCTION("""COMPUTED_VALUE"""),1.0)</f>
        <v>1</v>
      </c>
      <c r="S8763" s="4" t="str">
        <f>IFERROR(__xludf.DUMMYFUNCTION("""COMPUTED_VALUE"""),"Olaclick")</f>
        <v>Olaclick</v>
      </c>
      <c r="T8763" s="33">
        <f>IFERROR(__xludf.DUMMYFUNCTION("""COMPUTED_VALUE"""),1.0)</f>
        <v>1</v>
      </c>
      <c r="U8763" s="4" t="str">
        <f>IFERROR(__xludf.DUMMYFUNCTION("""COMPUTED_VALUE"""),"Olaclick")</f>
        <v>Olaclick</v>
      </c>
      <c r="V8763" s="33">
        <f>IFERROR(__xludf.DUMMYFUNCTION("""COMPUTED_VALUE"""),1.0)</f>
        <v>1</v>
      </c>
      <c r="W8763" s="4" t="str">
        <f>IFERROR(__xludf.DUMMYFUNCTION("""COMPUTED_VALUE"""),"Olaclick")</f>
        <v>Olaclick</v>
      </c>
      <c r="X8763" s="33">
        <f>IFERROR(__xludf.DUMMYFUNCTION("""COMPUTED_VALUE"""),1.0)</f>
        <v>1</v>
      </c>
    </row>
    <row r="8764">
      <c r="K8764" s="4" t="str">
        <f>IFERROR(__xludf.DUMMYFUNCTION("""COMPUTED_VALUE"""),"RANCHO DO POCO - COMES BEBES")</f>
        <v>RANCHO DO POCO - COMES BEBES</v>
      </c>
      <c r="L8764" s="32">
        <f>IFERROR(__xludf.DUMMYFUNCTION("""COMPUTED_VALUE"""),1.0)</f>
        <v>1</v>
      </c>
      <c r="M8764" s="4" t="str">
        <f>IFERROR(__xludf.DUMMYFUNCTION("""COMPUTED_VALUE"""),"Solução Sistemas")</f>
        <v>Solução Sistemas</v>
      </c>
      <c r="N8764" s="33">
        <f>IFERROR(__xludf.DUMMYFUNCTION("""COMPUTED_VALUE"""),1.0)</f>
        <v>1</v>
      </c>
      <c r="O8764" s="4" t="str">
        <f>IFERROR(__xludf.DUMMYFUNCTION("""COMPUTED_VALUE"""),"Solução Sistemas")</f>
        <v>Solução Sistemas</v>
      </c>
      <c r="P8764" s="33">
        <f>IFERROR(__xludf.DUMMYFUNCTION("""COMPUTED_VALUE"""),1.0)</f>
        <v>1</v>
      </c>
      <c r="Q8764" s="4" t="str">
        <f>IFERROR(__xludf.DUMMYFUNCTION("""COMPUTED_VALUE"""),"Solução Sistemas")</f>
        <v>Solução Sistemas</v>
      </c>
      <c r="R8764" s="33">
        <f>IFERROR(__xludf.DUMMYFUNCTION("""COMPUTED_VALUE"""),1.0)</f>
        <v>1</v>
      </c>
      <c r="S8764" s="4" t="str">
        <f>IFERROR(__xludf.DUMMYFUNCTION("""COMPUTED_VALUE"""),"Solução Sistemas")</f>
        <v>Solução Sistemas</v>
      </c>
      <c r="T8764" s="33">
        <f>IFERROR(__xludf.DUMMYFUNCTION("""COMPUTED_VALUE"""),1.0)</f>
        <v>1</v>
      </c>
      <c r="U8764" s="4" t="str">
        <f>IFERROR(__xludf.DUMMYFUNCTION("""COMPUTED_VALUE"""),"Solução Sistemas")</f>
        <v>Solução Sistemas</v>
      </c>
      <c r="V8764" s="33">
        <f>IFERROR(__xludf.DUMMYFUNCTION("""COMPUTED_VALUE"""),1.0)</f>
        <v>1</v>
      </c>
      <c r="W8764" s="4" t="str">
        <f>IFERROR(__xludf.DUMMYFUNCTION("""COMPUTED_VALUE"""),"Solução Sistemas")</f>
        <v>Solução Sistemas</v>
      </c>
      <c r="X8764" s="33">
        <f>IFERROR(__xludf.DUMMYFUNCTION("""COMPUTED_VALUE"""),1.0)</f>
        <v>1</v>
      </c>
    </row>
    <row r="8765">
      <c r="K8765" s="4" t="str">
        <f>IFERROR(__xludf.DUMMYFUNCTION("""COMPUTED_VALUE"""),"YES COOKIE")</f>
        <v>YES COOKIE</v>
      </c>
      <c r="L8765" s="32">
        <f>IFERROR(__xludf.DUMMYFUNCTION("""COMPUTED_VALUE"""),1.0)</f>
        <v>1</v>
      </c>
      <c r="M8765" s="4" t="str">
        <f>IFERROR(__xludf.DUMMYFUNCTION("""COMPUTED_VALUE"""),"Saipos Serviços De Software")</f>
        <v>Saipos Serviços De Software</v>
      </c>
      <c r="N8765" s="33">
        <f>IFERROR(__xludf.DUMMYFUNCTION("""COMPUTED_VALUE"""),1.0)</f>
        <v>1</v>
      </c>
      <c r="O8765" s="4" t="str">
        <f>IFERROR(__xludf.DUMMYFUNCTION("""COMPUTED_VALUE"""),"null")</f>
        <v>null</v>
      </c>
      <c r="P8765" s="33">
        <f>IFERROR(__xludf.DUMMYFUNCTION("""COMPUTED_VALUE"""),1.0)</f>
        <v>1</v>
      </c>
      <c r="Q8765" s="4" t="str">
        <f>IFERROR(__xludf.DUMMYFUNCTION("""COMPUTED_VALUE"""),"null")</f>
        <v>null</v>
      </c>
      <c r="R8765" s="33">
        <f>IFERROR(__xludf.DUMMYFUNCTION("""COMPUTED_VALUE"""),1.0)</f>
        <v>1</v>
      </c>
      <c r="S8765" s="4" t="str">
        <f>IFERROR(__xludf.DUMMYFUNCTION("""COMPUTED_VALUE"""),"null")</f>
        <v>null</v>
      </c>
      <c r="T8765" s="33">
        <f>IFERROR(__xludf.DUMMYFUNCTION("""COMPUTED_VALUE"""),1.0)</f>
        <v>1</v>
      </c>
      <c r="U8765" s="4" t="str">
        <f>IFERROR(__xludf.DUMMYFUNCTION("""COMPUTED_VALUE"""),"null")</f>
        <v>null</v>
      </c>
      <c r="V8765" s="33">
        <f>IFERROR(__xludf.DUMMYFUNCTION("""COMPUTED_VALUE"""),1.0)</f>
        <v>1</v>
      </c>
      <c r="W8765" s="4" t="str">
        <f>IFERROR(__xludf.DUMMYFUNCTION("""COMPUTED_VALUE"""),"null")</f>
        <v>null</v>
      </c>
      <c r="X8765" s="33">
        <f>IFERROR(__xludf.DUMMYFUNCTION("""COMPUTED_VALUE"""),1.0)</f>
        <v>1</v>
      </c>
    </row>
    <row r="8766">
      <c r="K8766" s="4" t="str">
        <f>IFERROR(__xludf.DUMMYFUNCTION("""COMPUTED_VALUE"""),"ENJOY THE JOURNEY BURGUER")</f>
        <v>ENJOY THE JOURNEY BURGUER</v>
      </c>
      <c r="L8766" s="32">
        <f>IFERROR(__xludf.DUMMYFUNCTION("""COMPUTED_VALUE"""),1.0)</f>
        <v>1</v>
      </c>
      <c r="M8766" s="4" t="str">
        <f>IFERROR(__xludf.DUMMYFUNCTION("""COMPUTED_VALUE"""),"Consumer Soluções Em Tecnologia Ltda")</f>
        <v>Consumer Soluções Em Tecnologia Ltda</v>
      </c>
      <c r="N8766" s="33">
        <f>IFERROR(__xludf.DUMMYFUNCTION("""COMPUTED_VALUE"""),1.0)</f>
        <v>1</v>
      </c>
      <c r="O8766" s="4" t="str">
        <f>IFERROR(__xludf.DUMMYFUNCTION("""COMPUTED_VALUE"""),"Consumer Soluções Em Tecnologia Ltda")</f>
        <v>Consumer Soluções Em Tecnologia Ltda</v>
      </c>
      <c r="P8766" s="33">
        <f>IFERROR(__xludf.DUMMYFUNCTION("""COMPUTED_VALUE"""),1.0)</f>
        <v>1</v>
      </c>
      <c r="Q8766" s="4" t="str">
        <f>IFERROR(__xludf.DUMMYFUNCTION("""COMPUTED_VALUE"""),"Consumer Soluções Em Tecnologia Ltda")</f>
        <v>Consumer Soluções Em Tecnologia Ltda</v>
      </c>
      <c r="R8766" s="33">
        <f>IFERROR(__xludf.DUMMYFUNCTION("""COMPUTED_VALUE"""),1.0)</f>
        <v>1</v>
      </c>
      <c r="S8766" s="4" t="str">
        <f>IFERROR(__xludf.DUMMYFUNCTION("""COMPUTED_VALUE"""),"Consumer Soluções Em Tecnologia Ltda")</f>
        <v>Consumer Soluções Em Tecnologia Ltda</v>
      </c>
      <c r="T8766" s="33">
        <f>IFERROR(__xludf.DUMMYFUNCTION("""COMPUTED_VALUE"""),1.0)</f>
        <v>1</v>
      </c>
      <c r="U8766" s="4" t="str">
        <f>IFERROR(__xludf.DUMMYFUNCTION("""COMPUTED_VALUE"""),"Consumer Soluções Em Tecnologia Ltda")</f>
        <v>Consumer Soluções Em Tecnologia Ltda</v>
      </c>
      <c r="V8766" s="33">
        <f>IFERROR(__xludf.DUMMYFUNCTION("""COMPUTED_VALUE"""),1.0)</f>
        <v>1</v>
      </c>
      <c r="W8766" s="4" t="str">
        <f>IFERROR(__xludf.DUMMYFUNCTION("""COMPUTED_VALUE"""),"Consumer Soluções Em Tecnologia Ltda")</f>
        <v>Consumer Soluções Em Tecnologia Ltda</v>
      </c>
      <c r="X8766" s="33">
        <f>IFERROR(__xludf.DUMMYFUNCTION("""COMPUTED_VALUE"""),1.0)</f>
        <v>1</v>
      </c>
    </row>
    <row r="8767">
      <c r="K8767" s="4" t="str">
        <f>IFERROR(__xludf.DUMMYFUNCTION("""COMPUTED_VALUE"""),"PROTEIN")</f>
        <v>PROTEIN</v>
      </c>
      <c r="L8767" s="32">
        <f>IFERROR(__xludf.DUMMYFUNCTION("""COMPUTED_VALUE"""),1.0)</f>
        <v>1</v>
      </c>
      <c r="M8767" s="4" t="str">
        <f>IFERROR(__xludf.DUMMYFUNCTION("""COMPUTED_VALUE"""),"Instadelivery")</f>
        <v>Instadelivery</v>
      </c>
      <c r="N8767" s="33">
        <f>IFERROR(__xludf.DUMMYFUNCTION("""COMPUTED_VALUE"""),1.0)</f>
        <v>1</v>
      </c>
      <c r="O8767" s="4" t="str">
        <f>IFERROR(__xludf.DUMMYFUNCTION("""COMPUTED_VALUE"""),"Instadelivery")</f>
        <v>Instadelivery</v>
      </c>
      <c r="P8767" s="33">
        <f>IFERROR(__xludf.DUMMYFUNCTION("""COMPUTED_VALUE"""),1.0)</f>
        <v>1</v>
      </c>
      <c r="Q8767" s="4" t="str">
        <f>IFERROR(__xludf.DUMMYFUNCTION("""COMPUTED_VALUE"""),"Instadelivery")</f>
        <v>Instadelivery</v>
      </c>
      <c r="R8767" s="33">
        <f>IFERROR(__xludf.DUMMYFUNCTION("""COMPUTED_VALUE"""),1.0)</f>
        <v>1</v>
      </c>
      <c r="S8767" s="4" t="str">
        <f>IFERROR(__xludf.DUMMYFUNCTION("""COMPUTED_VALUE"""),"Instadelivery")</f>
        <v>Instadelivery</v>
      </c>
      <c r="T8767" s="33">
        <f>IFERROR(__xludf.DUMMYFUNCTION("""COMPUTED_VALUE"""),1.0)</f>
        <v>1</v>
      </c>
      <c r="U8767" s="4" t="str">
        <f>IFERROR(__xludf.DUMMYFUNCTION("""COMPUTED_VALUE"""),"null")</f>
        <v>null</v>
      </c>
      <c r="V8767" s="33">
        <f>IFERROR(__xludf.DUMMYFUNCTION("""COMPUTED_VALUE"""),1.0)</f>
        <v>1</v>
      </c>
      <c r="W8767" s="4" t="str">
        <f>IFERROR(__xludf.DUMMYFUNCTION("""COMPUTED_VALUE"""),"null")</f>
        <v>null</v>
      </c>
      <c r="X8767" s="33">
        <f>IFERROR(__xludf.DUMMYFUNCTION("""COMPUTED_VALUE"""),1.0)</f>
        <v>1</v>
      </c>
    </row>
    <row r="8768">
      <c r="K8768" s="4" t="str">
        <f>IFERROR(__xludf.DUMMYFUNCTION("""COMPUTED_VALUE"""),"JANA DOCURAS")</f>
        <v>JANA DOCURAS</v>
      </c>
      <c r="L8768" s="32">
        <f>IFERROR(__xludf.DUMMYFUNCTION("""COMPUTED_VALUE"""),1.0)</f>
        <v>1</v>
      </c>
      <c r="M8768" s="4" t="str">
        <f>IFERROR(__xludf.DUMMYFUNCTION("""COMPUTED_VALUE"""),"Instadelivery")</f>
        <v>Instadelivery</v>
      </c>
      <c r="N8768" s="33">
        <f>IFERROR(__xludf.DUMMYFUNCTION("""COMPUTED_VALUE"""),1.0)</f>
        <v>1</v>
      </c>
      <c r="O8768" s="4" t="str">
        <f>IFERROR(__xludf.DUMMYFUNCTION("""COMPUTED_VALUE"""),"Instadelivery")</f>
        <v>Instadelivery</v>
      </c>
      <c r="P8768" s="33">
        <f>IFERROR(__xludf.DUMMYFUNCTION("""COMPUTED_VALUE"""),1.0)</f>
        <v>1</v>
      </c>
      <c r="Q8768" s="4" t="str">
        <f>IFERROR(__xludf.DUMMYFUNCTION("""COMPUTED_VALUE"""),"Instadelivery")</f>
        <v>Instadelivery</v>
      </c>
      <c r="R8768" s="33">
        <f>IFERROR(__xludf.DUMMYFUNCTION("""COMPUTED_VALUE"""),1.0)</f>
        <v>1</v>
      </c>
      <c r="S8768" s="4" t="str">
        <f>IFERROR(__xludf.DUMMYFUNCTION("""COMPUTED_VALUE"""),"Instadelivery")</f>
        <v>Instadelivery</v>
      </c>
      <c r="T8768" s="33">
        <f>IFERROR(__xludf.DUMMYFUNCTION("""COMPUTED_VALUE"""),1.0)</f>
        <v>1</v>
      </c>
      <c r="U8768" s="4" t="str">
        <f>IFERROR(__xludf.DUMMYFUNCTION("""COMPUTED_VALUE"""),"Instadelivery")</f>
        <v>Instadelivery</v>
      </c>
      <c r="V8768" s="33">
        <f>IFERROR(__xludf.DUMMYFUNCTION("""COMPUTED_VALUE"""),1.0)</f>
        <v>1</v>
      </c>
      <c r="W8768" s="4" t="str">
        <f>IFERROR(__xludf.DUMMYFUNCTION("""COMPUTED_VALUE"""),"Instadelivery")</f>
        <v>Instadelivery</v>
      </c>
      <c r="X8768" s="33">
        <f>IFERROR(__xludf.DUMMYFUNCTION("""COMPUTED_VALUE"""),1.0)</f>
        <v>1</v>
      </c>
    </row>
    <row r="8769">
      <c r="K8769" s="4" t="str">
        <f>IFERROR(__xludf.DUMMYFUNCTION("""COMPUTED_VALUE"""),"HANGU RESTAURANTE")</f>
        <v>HANGU RESTAURANTE</v>
      </c>
      <c r="L8769" s="32">
        <f>IFERROR(__xludf.DUMMYFUNCTION("""COMPUTED_VALUE"""),1.0)</f>
        <v>1</v>
      </c>
      <c r="M8769" s="4" t="str">
        <f>IFERROR(__xludf.DUMMYFUNCTION("""COMPUTED_VALUE"""),"Instadelivery")</f>
        <v>Instadelivery</v>
      </c>
      <c r="N8769" s="33">
        <f>IFERROR(__xludf.DUMMYFUNCTION("""COMPUTED_VALUE"""),1.0)</f>
        <v>1</v>
      </c>
      <c r="O8769" s="4" t="str">
        <f>IFERROR(__xludf.DUMMYFUNCTION("""COMPUTED_VALUE"""),"Instadelivery")</f>
        <v>Instadelivery</v>
      </c>
      <c r="P8769" s="33">
        <f>IFERROR(__xludf.DUMMYFUNCTION("""COMPUTED_VALUE"""),1.0)</f>
        <v>1</v>
      </c>
      <c r="Q8769" s="4" t="str">
        <f>IFERROR(__xludf.DUMMYFUNCTION("""COMPUTED_VALUE"""),"Instadelivery")</f>
        <v>Instadelivery</v>
      </c>
      <c r="R8769" s="33">
        <f>IFERROR(__xludf.DUMMYFUNCTION("""COMPUTED_VALUE"""),1.0)</f>
        <v>1</v>
      </c>
      <c r="S8769" s="4" t="str">
        <f>IFERROR(__xludf.DUMMYFUNCTION("""COMPUTED_VALUE"""),"Instadelivery")</f>
        <v>Instadelivery</v>
      </c>
      <c r="T8769" s="33">
        <f>IFERROR(__xludf.DUMMYFUNCTION("""COMPUTED_VALUE"""),1.0)</f>
        <v>1</v>
      </c>
      <c r="U8769" s="4" t="str">
        <f>IFERROR(__xludf.DUMMYFUNCTION("""COMPUTED_VALUE"""),"Instadelivery")</f>
        <v>Instadelivery</v>
      </c>
      <c r="V8769" s="33">
        <f>IFERROR(__xludf.DUMMYFUNCTION("""COMPUTED_VALUE"""),1.0)</f>
        <v>1</v>
      </c>
      <c r="W8769" s="4" t="str">
        <f>IFERROR(__xludf.DUMMYFUNCTION("""COMPUTED_VALUE"""),"Instadelivery")</f>
        <v>Instadelivery</v>
      </c>
      <c r="X8769" s="33">
        <f>IFERROR(__xludf.DUMMYFUNCTION("""COMPUTED_VALUE"""),1.0)</f>
        <v>1</v>
      </c>
    </row>
    <row r="8770">
      <c r="K8770" s="4" t="str">
        <f>IFERROR(__xludf.DUMMYFUNCTION("""COMPUTED_VALUE"""),"REI DAS MASSAS ARTESANAIS")</f>
        <v>REI DAS MASSAS ARTESANAIS</v>
      </c>
      <c r="L8770" s="32">
        <f>IFERROR(__xludf.DUMMYFUNCTION("""COMPUTED_VALUE"""),1.0)</f>
        <v>1</v>
      </c>
      <c r="M8770" s="4" t="str">
        <f>IFERROR(__xludf.DUMMYFUNCTION("""COMPUTED_VALUE"""),"null")</f>
        <v>null</v>
      </c>
      <c r="N8770" s="33">
        <f>IFERROR(__xludf.DUMMYFUNCTION("""COMPUTED_VALUE"""),1.0)</f>
        <v>1</v>
      </c>
      <c r="O8770" s="4" t="str">
        <f>IFERROR(__xludf.DUMMYFUNCTION("""COMPUTED_VALUE"""),"null")</f>
        <v>null</v>
      </c>
      <c r="P8770" s="33">
        <f>IFERROR(__xludf.DUMMYFUNCTION("""COMPUTED_VALUE"""),1.0)</f>
        <v>1</v>
      </c>
      <c r="Q8770" s="4" t="str">
        <f>IFERROR(__xludf.DUMMYFUNCTION("""COMPUTED_VALUE"""),"null")</f>
        <v>null</v>
      </c>
      <c r="R8770" s="33">
        <f>IFERROR(__xludf.DUMMYFUNCTION("""COMPUTED_VALUE"""),1.0)</f>
        <v>1</v>
      </c>
      <c r="S8770" s="4" t="str">
        <f>IFERROR(__xludf.DUMMYFUNCTION("""COMPUTED_VALUE"""),"One Solucoes")</f>
        <v>One Solucoes</v>
      </c>
      <c r="T8770" s="33">
        <f>IFERROR(__xludf.DUMMYFUNCTION("""COMPUTED_VALUE"""),1.0)</f>
        <v>1</v>
      </c>
      <c r="U8770" s="4" t="str">
        <f>IFERROR(__xludf.DUMMYFUNCTION("""COMPUTED_VALUE"""),"One Solucoes")</f>
        <v>One Solucoes</v>
      </c>
      <c r="V8770" s="33">
        <f>IFERROR(__xludf.DUMMYFUNCTION("""COMPUTED_VALUE"""),1.0)</f>
        <v>1</v>
      </c>
      <c r="W8770" s="4" t="str">
        <f>IFERROR(__xludf.DUMMYFUNCTION("""COMPUTED_VALUE"""),"One Solucoes")</f>
        <v>One Solucoes</v>
      </c>
      <c r="X8770" s="33">
        <f>IFERROR(__xludf.DUMMYFUNCTION("""COMPUTED_VALUE"""),1.0)</f>
        <v>1</v>
      </c>
    </row>
    <row r="8771">
      <c r="K8771" s="4" t="str">
        <f>IFERROR(__xludf.DUMMYFUNCTION("""COMPUTED_VALUE"""),"VIVA LA PASTA")</f>
        <v>VIVA LA PASTA</v>
      </c>
      <c r="L8771" s="32">
        <f>IFERROR(__xludf.DUMMYFUNCTION("""COMPUTED_VALUE"""),1.0)</f>
        <v>1</v>
      </c>
      <c r="M8771" s="4" t="str">
        <f>IFERROR(__xludf.DUMMYFUNCTION("""COMPUTED_VALUE"""),"Consumer Soluções Em Tecnologia Ltda")</f>
        <v>Consumer Soluções Em Tecnologia Ltda</v>
      </c>
      <c r="N8771" s="33">
        <f>IFERROR(__xludf.DUMMYFUNCTION("""COMPUTED_VALUE"""),1.0)</f>
        <v>1</v>
      </c>
      <c r="O8771" s="4" t="str">
        <f>IFERROR(__xludf.DUMMYFUNCTION("""COMPUTED_VALUE"""),"null")</f>
        <v>null</v>
      </c>
      <c r="P8771" s="33">
        <f>IFERROR(__xludf.DUMMYFUNCTION("""COMPUTED_VALUE"""),1.0)</f>
        <v>1</v>
      </c>
      <c r="Q8771" s="4" t="str">
        <f>IFERROR(__xludf.DUMMYFUNCTION("""COMPUTED_VALUE"""),"Consumer Soluções Em Tecnologia Ltda")</f>
        <v>Consumer Soluções Em Tecnologia Ltda</v>
      </c>
      <c r="R8771" s="33">
        <f>IFERROR(__xludf.DUMMYFUNCTION("""COMPUTED_VALUE"""),1.0)</f>
        <v>1</v>
      </c>
      <c r="S8771" s="4" t="str">
        <f>IFERROR(__xludf.DUMMYFUNCTION("""COMPUTED_VALUE"""),"Consumer Soluções Em Tecnologia Ltda")</f>
        <v>Consumer Soluções Em Tecnologia Ltda</v>
      </c>
      <c r="T8771" s="33">
        <f>IFERROR(__xludf.DUMMYFUNCTION("""COMPUTED_VALUE"""),1.0)</f>
        <v>1</v>
      </c>
      <c r="U8771" s="4" t="str">
        <f>IFERROR(__xludf.DUMMYFUNCTION("""COMPUTED_VALUE"""),"null")</f>
        <v>null</v>
      </c>
      <c r="V8771" s="33">
        <f>IFERROR(__xludf.DUMMYFUNCTION("""COMPUTED_VALUE"""),1.0)</f>
        <v>1</v>
      </c>
      <c r="W8771" s="4" t="str">
        <f>IFERROR(__xludf.DUMMYFUNCTION("""COMPUTED_VALUE"""),"Consumer Soluções Em Tecnologia Ltda")</f>
        <v>Consumer Soluções Em Tecnologia Ltda</v>
      </c>
      <c r="X8771" s="33">
        <f>IFERROR(__xludf.DUMMYFUNCTION("""COMPUTED_VALUE"""),1.0)</f>
        <v>1</v>
      </c>
    </row>
    <row r="8772">
      <c r="K8772" s="4" t="str">
        <f>IFERROR(__xludf.DUMMYFUNCTION("""COMPUTED_VALUE"""),"ALL BURGERS")</f>
        <v>ALL BURGERS</v>
      </c>
      <c r="L8772" s="32">
        <f>IFERROR(__xludf.DUMMYFUNCTION("""COMPUTED_VALUE"""),1.0)</f>
        <v>1</v>
      </c>
      <c r="M8772" s="4" t="str">
        <f>IFERROR(__xludf.DUMMYFUNCTION("""COMPUTED_VALUE"""),"Consumer Soluções Em Tecnologia Ltda")</f>
        <v>Consumer Soluções Em Tecnologia Ltda</v>
      </c>
      <c r="N8772" s="33">
        <f>IFERROR(__xludf.DUMMYFUNCTION("""COMPUTED_VALUE"""),1.0)</f>
        <v>1</v>
      </c>
      <c r="O8772" s="4" t="str">
        <f>IFERROR(__xludf.DUMMYFUNCTION("""COMPUTED_VALUE"""),"null")</f>
        <v>null</v>
      </c>
      <c r="P8772" s="33">
        <f>IFERROR(__xludf.DUMMYFUNCTION("""COMPUTED_VALUE"""),1.0)</f>
        <v>1</v>
      </c>
      <c r="Q8772" s="4" t="str">
        <f>IFERROR(__xludf.DUMMYFUNCTION("""COMPUTED_VALUE"""),"null")</f>
        <v>null</v>
      </c>
      <c r="R8772" s="33">
        <f>IFERROR(__xludf.DUMMYFUNCTION("""COMPUTED_VALUE"""),1.0)</f>
        <v>1</v>
      </c>
      <c r="S8772" s="4" t="str">
        <f>IFERROR(__xludf.DUMMYFUNCTION("""COMPUTED_VALUE"""),"null")</f>
        <v>null</v>
      </c>
      <c r="T8772" s="33">
        <f>IFERROR(__xludf.DUMMYFUNCTION("""COMPUTED_VALUE"""),1.0)</f>
        <v>1</v>
      </c>
      <c r="U8772" s="4" t="str">
        <f>IFERROR(__xludf.DUMMYFUNCTION("""COMPUTED_VALUE"""),"Consumer Soluções Em Tecnologia Ltda")</f>
        <v>Consumer Soluções Em Tecnologia Ltda</v>
      </c>
      <c r="V8772" s="33">
        <f>IFERROR(__xludf.DUMMYFUNCTION("""COMPUTED_VALUE"""),1.0)</f>
        <v>1</v>
      </c>
      <c r="W8772" s="4" t="str">
        <f>IFERROR(__xludf.DUMMYFUNCTION("""COMPUTED_VALUE"""),"Consumer Soluções Em Tecnologia Ltda")</f>
        <v>Consumer Soluções Em Tecnologia Ltda</v>
      </c>
      <c r="X8772" s="33">
        <f>IFERROR(__xludf.DUMMYFUNCTION("""COMPUTED_VALUE"""),1.0)</f>
        <v>1</v>
      </c>
    </row>
    <row r="8773">
      <c r="K8773" s="4" t="str">
        <f>IFERROR(__xludf.DUMMYFUNCTION("""COMPUTED_VALUE"""),"TATUCITY - BURGER E HOT DOG")</f>
        <v>TATUCITY - BURGER E HOT DOG</v>
      </c>
      <c r="L8773" s="32">
        <f>IFERROR(__xludf.DUMMYFUNCTION("""COMPUTED_VALUE"""),1.0)</f>
        <v>1</v>
      </c>
      <c r="M8773" s="4" t="str">
        <f>IFERROR(__xludf.DUMMYFUNCTION("""COMPUTED_VALUE"""),"Saipos Serviços De Software")</f>
        <v>Saipos Serviços De Software</v>
      </c>
      <c r="N8773" s="33">
        <f>IFERROR(__xludf.DUMMYFUNCTION("""COMPUTED_VALUE"""),1.0)</f>
        <v>1</v>
      </c>
      <c r="O8773" s="4" t="str">
        <f>IFERROR(__xludf.DUMMYFUNCTION("""COMPUTED_VALUE"""),"Saipos Serviços De Software")</f>
        <v>Saipos Serviços De Software</v>
      </c>
      <c r="P8773" s="33">
        <f>IFERROR(__xludf.DUMMYFUNCTION("""COMPUTED_VALUE"""),1.0)</f>
        <v>1</v>
      </c>
      <c r="Q8773" s="4" t="str">
        <f>IFERROR(__xludf.DUMMYFUNCTION("""COMPUTED_VALUE"""),"Saipos Serviços De Software")</f>
        <v>Saipos Serviços De Software</v>
      </c>
      <c r="R8773" s="33">
        <f>IFERROR(__xludf.DUMMYFUNCTION("""COMPUTED_VALUE"""),1.0)</f>
        <v>1</v>
      </c>
      <c r="S8773" s="4" t="str">
        <f>IFERROR(__xludf.DUMMYFUNCTION("""COMPUTED_VALUE"""),"Saipos Serviços De Software")</f>
        <v>Saipos Serviços De Software</v>
      </c>
      <c r="T8773" s="33">
        <f>IFERROR(__xludf.DUMMYFUNCTION("""COMPUTED_VALUE"""),1.0)</f>
        <v>1</v>
      </c>
      <c r="U8773" s="4" t="str">
        <f>IFERROR(__xludf.DUMMYFUNCTION("""COMPUTED_VALUE"""),"Saipos Serviços De Software")</f>
        <v>Saipos Serviços De Software</v>
      </c>
      <c r="V8773" s="33">
        <f>IFERROR(__xludf.DUMMYFUNCTION("""COMPUTED_VALUE"""),1.0)</f>
        <v>1</v>
      </c>
      <c r="W8773" s="4" t="str">
        <f>IFERROR(__xludf.DUMMYFUNCTION("""COMPUTED_VALUE"""),"Saipos Serviços De Software")</f>
        <v>Saipos Serviços De Software</v>
      </c>
      <c r="X8773" s="33">
        <f>IFERROR(__xludf.DUMMYFUNCTION("""COMPUTED_VALUE"""),1.0)</f>
        <v>1</v>
      </c>
    </row>
    <row r="8774">
      <c r="K8774" s="4" t="str">
        <f>IFERROR(__xludf.DUMMYFUNCTION("""COMPUTED_VALUE"""),"JOCAS BURGER")</f>
        <v>JOCAS BURGER</v>
      </c>
      <c r="L8774" s="32">
        <f>IFERROR(__xludf.DUMMYFUNCTION("""COMPUTED_VALUE"""),1.0)</f>
        <v>1</v>
      </c>
      <c r="M8774" s="4" t="str">
        <f>IFERROR(__xludf.DUMMYFUNCTION("""COMPUTED_VALUE"""),"Saipos Serviços De Software")</f>
        <v>Saipos Serviços De Software</v>
      </c>
      <c r="N8774" s="33">
        <f>IFERROR(__xludf.DUMMYFUNCTION("""COMPUTED_VALUE"""),1.0)</f>
        <v>1</v>
      </c>
      <c r="O8774" s="4" t="str">
        <f>IFERROR(__xludf.DUMMYFUNCTION("""COMPUTED_VALUE"""),"Saipos Serviços De Software")</f>
        <v>Saipos Serviços De Software</v>
      </c>
      <c r="P8774" s="33">
        <f>IFERROR(__xludf.DUMMYFUNCTION("""COMPUTED_VALUE"""),1.0)</f>
        <v>1</v>
      </c>
      <c r="Q8774" s="4" t="str">
        <f>IFERROR(__xludf.DUMMYFUNCTION("""COMPUTED_VALUE"""),"Saipos Serviços De Software")</f>
        <v>Saipos Serviços De Software</v>
      </c>
      <c r="R8774" s="33">
        <f>IFERROR(__xludf.DUMMYFUNCTION("""COMPUTED_VALUE"""),1.0)</f>
        <v>1</v>
      </c>
      <c r="S8774" s="4" t="str">
        <f>IFERROR(__xludf.DUMMYFUNCTION("""COMPUTED_VALUE"""),"Saipos Serviços De Software")</f>
        <v>Saipos Serviços De Software</v>
      </c>
      <c r="T8774" s="33">
        <f>IFERROR(__xludf.DUMMYFUNCTION("""COMPUTED_VALUE"""),1.0)</f>
        <v>1</v>
      </c>
      <c r="U8774" s="4" t="str">
        <f>IFERROR(__xludf.DUMMYFUNCTION("""COMPUTED_VALUE"""),"Saipos Serviços De Software")</f>
        <v>Saipos Serviços De Software</v>
      </c>
      <c r="V8774" s="33">
        <f>IFERROR(__xludf.DUMMYFUNCTION("""COMPUTED_VALUE"""),1.0)</f>
        <v>1</v>
      </c>
      <c r="W8774" s="4" t="str">
        <f>IFERROR(__xludf.DUMMYFUNCTION("""COMPUTED_VALUE"""),"Saipos Serviços De Software")</f>
        <v>Saipos Serviços De Software</v>
      </c>
      <c r="X8774" s="33">
        <f>IFERROR(__xludf.DUMMYFUNCTION("""COMPUTED_VALUE"""),1.0)</f>
        <v>1</v>
      </c>
    </row>
    <row r="8775">
      <c r="K8775" s="4" t="str">
        <f>IFERROR(__xludf.DUMMYFUNCTION("""COMPUTED_VALUE"""),"BRABULLS BURGERSCARNES")</f>
        <v>BRABULLS BURGERSCARNES</v>
      </c>
      <c r="L8775" s="32">
        <f>IFERROR(__xludf.DUMMYFUNCTION("""COMPUTED_VALUE"""),1.0)</f>
        <v>1</v>
      </c>
      <c r="M8775" s="4" t="str">
        <f>IFERROR(__xludf.DUMMYFUNCTION("""COMPUTED_VALUE"""),"null")</f>
        <v>null</v>
      </c>
      <c r="N8775" s="33">
        <f>IFERROR(__xludf.DUMMYFUNCTION("""COMPUTED_VALUE"""),1.0)</f>
        <v>1</v>
      </c>
      <c r="O8775" s="4" t="str">
        <f>IFERROR(__xludf.DUMMYFUNCTION("""COMPUTED_VALUE"""),"null")</f>
        <v>null</v>
      </c>
      <c r="P8775" s="33">
        <f>IFERROR(__xludf.DUMMYFUNCTION("""COMPUTED_VALUE"""),1.0)</f>
        <v>1</v>
      </c>
      <c r="Q8775" s="4" t="str">
        <f>IFERROR(__xludf.DUMMYFUNCTION("""COMPUTED_VALUE"""),"null")</f>
        <v>null</v>
      </c>
      <c r="R8775" s="33">
        <f>IFERROR(__xludf.DUMMYFUNCTION("""COMPUTED_VALUE"""),1.0)</f>
        <v>1</v>
      </c>
      <c r="S8775" s="4" t="str">
        <f>IFERROR(__xludf.DUMMYFUNCTION("""COMPUTED_VALUE"""),"null")</f>
        <v>null</v>
      </c>
      <c r="T8775" s="33">
        <f>IFERROR(__xludf.DUMMYFUNCTION("""COMPUTED_VALUE"""),1.0)</f>
        <v>1</v>
      </c>
      <c r="U8775" s="4" t="str">
        <f>IFERROR(__xludf.DUMMYFUNCTION("""COMPUTED_VALUE"""),"null")</f>
        <v>null</v>
      </c>
      <c r="V8775" s="33">
        <f>IFERROR(__xludf.DUMMYFUNCTION("""COMPUTED_VALUE"""),1.0)</f>
        <v>1</v>
      </c>
      <c r="W8775" s="4" t="str">
        <f>IFERROR(__xludf.DUMMYFUNCTION("""COMPUTED_VALUE"""),"Jclan Sistemas")</f>
        <v>Jclan Sistemas</v>
      </c>
      <c r="X8775" s="33">
        <f>IFERROR(__xludf.DUMMYFUNCTION("""COMPUTED_VALUE"""),1.0)</f>
        <v>1</v>
      </c>
    </row>
    <row r="8776">
      <c r="K8776" s="4" t="str">
        <f>IFERROR(__xludf.DUMMYFUNCTION("""COMPUTED_VALUE"""),"COSTELARIA E PIZZARIA LINS")</f>
        <v>COSTELARIA E PIZZARIA LINS</v>
      </c>
      <c r="L8776" s="32">
        <f>IFERROR(__xludf.DUMMYFUNCTION("""COMPUTED_VALUE"""),1.0)</f>
        <v>1</v>
      </c>
      <c r="M8776" s="4" t="str">
        <f>IFERROR(__xludf.DUMMYFUNCTION("""COMPUTED_VALUE"""),"Consumer Soluções Em Tecnologia Ltda")</f>
        <v>Consumer Soluções Em Tecnologia Ltda</v>
      </c>
      <c r="N8776" s="33">
        <f>IFERROR(__xludf.DUMMYFUNCTION("""COMPUTED_VALUE"""),1.0)</f>
        <v>1</v>
      </c>
      <c r="O8776" s="4" t="str">
        <f>IFERROR(__xludf.DUMMYFUNCTION("""COMPUTED_VALUE"""),"Consumer Soluções Em Tecnologia Ltda")</f>
        <v>Consumer Soluções Em Tecnologia Ltda</v>
      </c>
      <c r="P8776" s="33">
        <f>IFERROR(__xludf.DUMMYFUNCTION("""COMPUTED_VALUE"""),1.0)</f>
        <v>1</v>
      </c>
      <c r="Q8776" s="4" t="str">
        <f>IFERROR(__xludf.DUMMYFUNCTION("""COMPUTED_VALUE"""),"Consumer Soluções Em Tecnologia Ltda")</f>
        <v>Consumer Soluções Em Tecnologia Ltda</v>
      </c>
      <c r="R8776" s="33">
        <f>IFERROR(__xludf.DUMMYFUNCTION("""COMPUTED_VALUE"""),1.0)</f>
        <v>1</v>
      </c>
      <c r="S8776" s="4" t="str">
        <f>IFERROR(__xludf.DUMMYFUNCTION("""COMPUTED_VALUE"""),"Consumer Soluções Em Tecnologia Ltda")</f>
        <v>Consumer Soluções Em Tecnologia Ltda</v>
      </c>
      <c r="T8776" s="33">
        <f>IFERROR(__xludf.DUMMYFUNCTION("""COMPUTED_VALUE"""),1.0)</f>
        <v>1</v>
      </c>
      <c r="U8776" s="4" t="str">
        <f>IFERROR(__xludf.DUMMYFUNCTION("""COMPUTED_VALUE"""),"Consumer Soluções Em Tecnologia Ltda")</f>
        <v>Consumer Soluções Em Tecnologia Ltda</v>
      </c>
      <c r="V8776" s="33">
        <f>IFERROR(__xludf.DUMMYFUNCTION("""COMPUTED_VALUE"""),1.0)</f>
        <v>1</v>
      </c>
      <c r="W8776" s="4" t="str">
        <f>IFERROR(__xludf.DUMMYFUNCTION("""COMPUTED_VALUE"""),"Consumer Soluções Em Tecnologia Ltda")</f>
        <v>Consumer Soluções Em Tecnologia Ltda</v>
      </c>
      <c r="X8776" s="33">
        <f>IFERROR(__xludf.DUMMYFUNCTION("""COMPUTED_VALUE"""),1.0)</f>
        <v>1</v>
      </c>
    </row>
    <row r="8777">
      <c r="K8777" s="4" t="str">
        <f>IFERROR(__xludf.DUMMYFUNCTION("""COMPUTED_VALUE"""),"ALOHA SUSHI POKE")</f>
        <v>ALOHA SUSHI POKE</v>
      </c>
      <c r="L8777" s="32">
        <f>IFERROR(__xludf.DUMMYFUNCTION("""COMPUTED_VALUE"""),1.0)</f>
        <v>1</v>
      </c>
      <c r="M8777" s="4" t="str">
        <f>IFERROR(__xludf.DUMMYFUNCTION("""COMPUTED_VALUE"""),"null")</f>
        <v>null</v>
      </c>
      <c r="N8777" s="33">
        <f>IFERROR(__xludf.DUMMYFUNCTION("""COMPUTED_VALUE"""),1.0)</f>
        <v>1</v>
      </c>
      <c r="O8777" s="4" t="str">
        <f>IFERROR(__xludf.DUMMYFUNCTION("""COMPUTED_VALUE"""),"Opdv")</f>
        <v>Opdv</v>
      </c>
      <c r="P8777" s="33">
        <f>IFERROR(__xludf.DUMMYFUNCTION("""COMPUTED_VALUE"""),1.0)</f>
        <v>1</v>
      </c>
      <c r="Q8777" s="4" t="str">
        <f>IFERROR(__xludf.DUMMYFUNCTION("""COMPUTED_VALUE"""),"null")</f>
        <v>null</v>
      </c>
      <c r="R8777" s="33">
        <f>IFERROR(__xludf.DUMMYFUNCTION("""COMPUTED_VALUE"""),1.0)</f>
        <v>1</v>
      </c>
      <c r="S8777" s="4" t="str">
        <f>IFERROR(__xludf.DUMMYFUNCTION("""COMPUTED_VALUE"""),"Opdv")</f>
        <v>Opdv</v>
      </c>
      <c r="T8777" s="33">
        <f>IFERROR(__xludf.DUMMYFUNCTION("""COMPUTED_VALUE"""),1.0)</f>
        <v>1</v>
      </c>
      <c r="U8777" s="4" t="str">
        <f>IFERROR(__xludf.DUMMYFUNCTION("""COMPUTED_VALUE"""),"null")</f>
        <v>null</v>
      </c>
      <c r="V8777" s="33">
        <f>IFERROR(__xludf.DUMMYFUNCTION("""COMPUTED_VALUE"""),1.0)</f>
        <v>1</v>
      </c>
      <c r="W8777" s="4" t="str">
        <f>IFERROR(__xludf.DUMMYFUNCTION("""COMPUTED_VALUE"""),"null")</f>
        <v>null</v>
      </c>
      <c r="X8777" s="33">
        <f>IFERROR(__xludf.DUMMYFUNCTION("""COMPUTED_VALUE"""),1.0)</f>
        <v>1</v>
      </c>
    </row>
    <row r="8778">
      <c r="K8778" s="4" t="str">
        <f>IFERROR(__xludf.DUMMYFUNCTION("""COMPUTED_VALUE"""),"KOBA SUSHI - FREGUESIA")</f>
        <v>KOBA SUSHI - FREGUESIA</v>
      </c>
      <c r="L8778" s="32">
        <f>IFERROR(__xludf.DUMMYFUNCTION("""COMPUTED_VALUE"""),1.0)</f>
        <v>1</v>
      </c>
      <c r="M8778" s="4" t="str">
        <f>IFERROR(__xludf.DUMMYFUNCTION("""COMPUTED_VALUE"""),"Saipos Serviços De Software")</f>
        <v>Saipos Serviços De Software</v>
      </c>
      <c r="N8778" s="33">
        <f>IFERROR(__xludf.DUMMYFUNCTION("""COMPUTED_VALUE"""),1.0)</f>
        <v>1</v>
      </c>
      <c r="O8778" s="4" t="str">
        <f>IFERROR(__xludf.DUMMYFUNCTION("""COMPUTED_VALUE"""),"Saipos Serviços De Software")</f>
        <v>Saipos Serviços De Software</v>
      </c>
      <c r="P8778" s="33">
        <f>IFERROR(__xludf.DUMMYFUNCTION("""COMPUTED_VALUE"""),1.0)</f>
        <v>1</v>
      </c>
      <c r="Q8778" s="4" t="str">
        <f>IFERROR(__xludf.DUMMYFUNCTION("""COMPUTED_VALUE"""),"Saipos Serviços De Software")</f>
        <v>Saipos Serviços De Software</v>
      </c>
      <c r="R8778" s="33">
        <f>IFERROR(__xludf.DUMMYFUNCTION("""COMPUTED_VALUE"""),1.0)</f>
        <v>1</v>
      </c>
      <c r="S8778" s="4" t="str">
        <f>IFERROR(__xludf.DUMMYFUNCTION("""COMPUTED_VALUE"""),"Saipos Serviços De Software")</f>
        <v>Saipos Serviços De Software</v>
      </c>
      <c r="T8778" s="33">
        <f>IFERROR(__xludf.DUMMYFUNCTION("""COMPUTED_VALUE"""),1.0)</f>
        <v>1</v>
      </c>
      <c r="U8778" s="4" t="str">
        <f>IFERROR(__xludf.DUMMYFUNCTION("""COMPUTED_VALUE"""),"Saipos Serviços De Software")</f>
        <v>Saipos Serviços De Software</v>
      </c>
      <c r="V8778" s="33">
        <f>IFERROR(__xludf.DUMMYFUNCTION("""COMPUTED_VALUE"""),1.0)</f>
        <v>1</v>
      </c>
      <c r="W8778" s="4" t="str">
        <f>IFERROR(__xludf.DUMMYFUNCTION("""COMPUTED_VALUE"""),"Saipos Serviços De Software")</f>
        <v>Saipos Serviços De Software</v>
      </c>
      <c r="X8778" s="33">
        <f>IFERROR(__xludf.DUMMYFUNCTION("""COMPUTED_VALUE"""),1.0)</f>
        <v>1</v>
      </c>
    </row>
    <row r="8779">
      <c r="K8779" s="4" t="str">
        <f>IFERROR(__xludf.DUMMYFUNCTION("""COMPUTED_VALUE"""),"PENSAO MM")</f>
        <v>PENSAO MM</v>
      </c>
      <c r="L8779" s="32">
        <f>IFERROR(__xludf.DUMMYFUNCTION("""COMPUTED_VALUE"""),1.0)</f>
        <v>1</v>
      </c>
      <c r="M8779" s="4" t="str">
        <f>IFERROR(__xludf.DUMMYFUNCTION("""COMPUTED_VALUE"""),"Saipos Serviços De Software")</f>
        <v>Saipos Serviços De Software</v>
      </c>
      <c r="N8779" s="33">
        <f>IFERROR(__xludf.DUMMYFUNCTION("""COMPUTED_VALUE"""),1.0)</f>
        <v>1</v>
      </c>
      <c r="O8779" s="4" t="str">
        <f>IFERROR(__xludf.DUMMYFUNCTION("""COMPUTED_VALUE"""),"Saipos Serviços De Software")</f>
        <v>Saipos Serviços De Software</v>
      </c>
      <c r="P8779" s="33">
        <f>IFERROR(__xludf.DUMMYFUNCTION("""COMPUTED_VALUE"""),1.0)</f>
        <v>1</v>
      </c>
      <c r="Q8779" s="4" t="str">
        <f>IFERROR(__xludf.DUMMYFUNCTION("""COMPUTED_VALUE"""),"Saipos Serviços De Software")</f>
        <v>Saipos Serviços De Software</v>
      </c>
      <c r="R8779" s="33">
        <f>IFERROR(__xludf.DUMMYFUNCTION("""COMPUTED_VALUE"""),1.0)</f>
        <v>1</v>
      </c>
      <c r="S8779" s="4" t="str">
        <f>IFERROR(__xludf.DUMMYFUNCTION("""COMPUTED_VALUE"""),"Saipos Serviços De Software")</f>
        <v>Saipos Serviços De Software</v>
      </c>
      <c r="T8779" s="33">
        <f>IFERROR(__xludf.DUMMYFUNCTION("""COMPUTED_VALUE"""),1.0)</f>
        <v>1</v>
      </c>
      <c r="U8779" s="4" t="str">
        <f>IFERROR(__xludf.DUMMYFUNCTION("""COMPUTED_VALUE"""),"Saipos Serviços De Software")</f>
        <v>Saipos Serviços De Software</v>
      </c>
      <c r="V8779" s="33">
        <f>IFERROR(__xludf.DUMMYFUNCTION("""COMPUTED_VALUE"""),1.0)</f>
        <v>1</v>
      </c>
      <c r="W8779" s="4" t="str">
        <f>IFERROR(__xludf.DUMMYFUNCTION("""COMPUTED_VALUE"""),"Saipos Serviços De Software")</f>
        <v>Saipos Serviços De Software</v>
      </c>
      <c r="X8779" s="33">
        <f>IFERROR(__xludf.DUMMYFUNCTION("""COMPUTED_VALUE"""),1.0)</f>
        <v>1</v>
      </c>
    </row>
    <row r="8780">
      <c r="K8780" s="4" t="str">
        <f>IFERROR(__xludf.DUMMYFUNCTION("""COMPUTED_VALUE"""),"THE BEST BURGUER HOUSE")</f>
        <v>THE BEST BURGUER HOUSE</v>
      </c>
      <c r="L8780" s="32">
        <f>IFERROR(__xludf.DUMMYFUNCTION("""COMPUTED_VALUE"""),1.0)</f>
        <v>1</v>
      </c>
      <c r="M8780" s="4" t="str">
        <f>IFERROR(__xludf.DUMMYFUNCTION("""COMPUTED_VALUE"""),"null")</f>
        <v>null</v>
      </c>
      <c r="N8780" s="33">
        <f>IFERROR(__xludf.DUMMYFUNCTION("""COMPUTED_VALUE"""),1.0)</f>
        <v>1</v>
      </c>
      <c r="O8780" s="4" t="str">
        <f>IFERROR(__xludf.DUMMYFUNCTION("""COMPUTED_VALUE"""),"null")</f>
        <v>null</v>
      </c>
      <c r="P8780" s="33">
        <f>IFERROR(__xludf.DUMMYFUNCTION("""COMPUTED_VALUE"""),1.0)</f>
        <v>1</v>
      </c>
      <c r="Q8780" s="4" t="str">
        <f>IFERROR(__xludf.DUMMYFUNCTION("""COMPUTED_VALUE"""),"null")</f>
        <v>null</v>
      </c>
      <c r="R8780" s="33">
        <f>IFERROR(__xludf.DUMMYFUNCTION("""COMPUTED_VALUE"""),1.0)</f>
        <v>1</v>
      </c>
      <c r="S8780" s="4" t="str">
        <f>IFERROR(__xludf.DUMMYFUNCTION("""COMPUTED_VALUE"""),"null")</f>
        <v>null</v>
      </c>
      <c r="T8780" s="33">
        <f>IFERROR(__xludf.DUMMYFUNCTION("""COMPUTED_VALUE"""),1.0)</f>
        <v>1</v>
      </c>
      <c r="U8780" s="4" t="str">
        <f>IFERROR(__xludf.DUMMYFUNCTION("""COMPUTED_VALUE"""),"null")</f>
        <v>null</v>
      </c>
      <c r="V8780" s="33">
        <f>IFERROR(__xludf.DUMMYFUNCTION("""COMPUTED_VALUE"""),1.0)</f>
        <v>1</v>
      </c>
      <c r="W8780" s="4" t="str">
        <f>IFERROR(__xludf.DUMMYFUNCTION("""COMPUTED_VALUE"""),"Undercontrol Software")</f>
        <v>Undercontrol Software</v>
      </c>
      <c r="X8780" s="33">
        <f>IFERROR(__xludf.DUMMYFUNCTION("""COMPUTED_VALUE"""),1.0)</f>
        <v>1</v>
      </c>
    </row>
    <row r="8781">
      <c r="K8781" s="4" t="str">
        <f>IFERROR(__xludf.DUMMYFUNCTION("""COMPUTED_VALUE"""),"BOTECO DO MANOLO")</f>
        <v>BOTECO DO MANOLO</v>
      </c>
      <c r="L8781" s="32">
        <f>IFERROR(__xludf.DUMMYFUNCTION("""COMPUTED_VALUE"""),1.0)</f>
        <v>1</v>
      </c>
      <c r="M8781" s="4" t="str">
        <f>IFERROR(__xludf.DUMMYFUNCTION("""COMPUTED_VALUE"""),"F-rest Sistema Para Food Service Ltda")</f>
        <v>F-rest Sistema Para Food Service Ltda</v>
      </c>
      <c r="N8781" s="33">
        <f>IFERROR(__xludf.DUMMYFUNCTION("""COMPUTED_VALUE"""),1.0)</f>
        <v>1</v>
      </c>
      <c r="O8781" s="4" t="str">
        <f>IFERROR(__xludf.DUMMYFUNCTION("""COMPUTED_VALUE"""),"F-rest Sistema Para Food Service Ltda")</f>
        <v>F-rest Sistema Para Food Service Ltda</v>
      </c>
      <c r="P8781" s="33">
        <f>IFERROR(__xludf.DUMMYFUNCTION("""COMPUTED_VALUE"""),1.0)</f>
        <v>1</v>
      </c>
      <c r="Q8781" s="4" t="str">
        <f>IFERROR(__xludf.DUMMYFUNCTION("""COMPUTED_VALUE"""),"F-rest Sistema Para Food Service Ltda")</f>
        <v>F-rest Sistema Para Food Service Ltda</v>
      </c>
      <c r="R8781" s="33">
        <f>IFERROR(__xludf.DUMMYFUNCTION("""COMPUTED_VALUE"""),1.0)</f>
        <v>1</v>
      </c>
      <c r="S8781" s="4" t="str">
        <f>IFERROR(__xludf.DUMMYFUNCTION("""COMPUTED_VALUE"""),"F-rest Sistema Para Food Service Ltda")</f>
        <v>F-rest Sistema Para Food Service Ltda</v>
      </c>
      <c r="T8781" s="33">
        <f>IFERROR(__xludf.DUMMYFUNCTION("""COMPUTED_VALUE"""),1.0)</f>
        <v>1</v>
      </c>
      <c r="U8781" s="4" t="str">
        <f>IFERROR(__xludf.DUMMYFUNCTION("""COMPUTED_VALUE"""),"F-rest Sistema Para Food Service Ltda")</f>
        <v>F-rest Sistema Para Food Service Ltda</v>
      </c>
      <c r="V8781" s="33">
        <f>IFERROR(__xludf.DUMMYFUNCTION("""COMPUTED_VALUE"""),1.0)</f>
        <v>1</v>
      </c>
      <c r="W8781" s="4" t="str">
        <f>IFERROR(__xludf.DUMMYFUNCTION("""COMPUTED_VALUE"""),"F-rest Sistema Para Food Service Ltda")</f>
        <v>F-rest Sistema Para Food Service Ltda</v>
      </c>
      <c r="X8781" s="33">
        <f>IFERROR(__xludf.DUMMYFUNCTION("""COMPUTED_VALUE"""),1.0)</f>
        <v>1</v>
      </c>
    </row>
    <row r="8782">
      <c r="K8782" s="4" t="str">
        <f>IFERROR(__xludf.DUMMYFUNCTION("""COMPUTED_VALUE"""),"CARNES, MARMITAS, PORCOES - GALETOSGRILL")</f>
        <v>CARNES, MARMITAS, PORCOES - GALETOSGRILL</v>
      </c>
      <c r="L8782" s="32">
        <f>IFERROR(__xludf.DUMMYFUNCTION("""COMPUTED_VALUE"""),1.0)</f>
        <v>1</v>
      </c>
      <c r="M8782" s="4" t="str">
        <f>IFERROR(__xludf.DUMMYFUNCTION("""COMPUTED_VALUE"""),"null")</f>
        <v>null</v>
      </c>
      <c r="N8782" s="33">
        <f>IFERROR(__xludf.DUMMYFUNCTION("""COMPUTED_VALUE"""),1.0)</f>
        <v>1</v>
      </c>
      <c r="O8782" s="4" t="str">
        <f>IFERROR(__xludf.DUMMYFUNCTION("""COMPUTED_VALUE"""),"Totvs Large Enterprise Tecnologia S.a.")</f>
        <v>Totvs Large Enterprise Tecnologia S.a.</v>
      </c>
      <c r="P8782" s="33">
        <f>IFERROR(__xludf.DUMMYFUNCTION("""COMPUTED_VALUE"""),1.0)</f>
        <v>1</v>
      </c>
      <c r="Q8782" s="4" t="str">
        <f>IFERROR(__xludf.DUMMYFUNCTION("""COMPUTED_VALUE"""),"Totvs Large Enterprise Tecnologia S.a.")</f>
        <v>Totvs Large Enterprise Tecnologia S.a.</v>
      </c>
      <c r="R8782" s="33">
        <f>IFERROR(__xludf.DUMMYFUNCTION("""COMPUTED_VALUE"""),1.0)</f>
        <v>1</v>
      </c>
      <c r="S8782" s="4" t="str">
        <f>IFERROR(__xludf.DUMMYFUNCTION("""COMPUTED_VALUE"""),"Totvs Large Enterprise Tecnologia S.a.")</f>
        <v>Totvs Large Enterprise Tecnologia S.a.</v>
      </c>
      <c r="T8782" s="33">
        <f>IFERROR(__xludf.DUMMYFUNCTION("""COMPUTED_VALUE"""),1.0)</f>
        <v>1</v>
      </c>
      <c r="U8782" s="4" t="str">
        <f>IFERROR(__xludf.DUMMYFUNCTION("""COMPUTED_VALUE"""),"null")</f>
        <v>null</v>
      </c>
      <c r="V8782" s="33">
        <f>IFERROR(__xludf.DUMMYFUNCTION("""COMPUTED_VALUE"""),1.0)</f>
        <v>1</v>
      </c>
      <c r="W8782" s="4" t="str">
        <f>IFERROR(__xludf.DUMMYFUNCTION("""COMPUTED_VALUE"""),"Totvs Large Enterprise Tecnologia S.a.")</f>
        <v>Totvs Large Enterprise Tecnologia S.a.</v>
      </c>
      <c r="X8782" s="33">
        <f>IFERROR(__xludf.DUMMYFUNCTION("""COMPUTED_VALUE"""),1.0)</f>
        <v>1</v>
      </c>
    </row>
    <row r="8783">
      <c r="K8783" s="4" t="str">
        <f>IFERROR(__xludf.DUMMYFUNCTION("""COMPUTED_VALUE"""),"PET TRADICAO")</f>
        <v>PET TRADICAO</v>
      </c>
      <c r="L8783" s="32">
        <f>IFERROR(__xludf.DUMMYFUNCTION("""COMPUTED_VALUE"""),1.0)</f>
        <v>1</v>
      </c>
      <c r="M8783" s="4" t="str">
        <f>IFERROR(__xludf.DUMMYFUNCTION("""COMPUTED_VALUE"""),"null")</f>
        <v>null</v>
      </c>
      <c r="N8783" s="33">
        <f>IFERROR(__xludf.DUMMYFUNCTION("""COMPUTED_VALUE"""),1.0)</f>
        <v>1</v>
      </c>
      <c r="O8783" s="4" t="str">
        <f>IFERROR(__xludf.DUMMYFUNCTION("""COMPUTED_VALUE"""),"null")</f>
        <v>null</v>
      </c>
      <c r="P8783" s="33">
        <f>IFERROR(__xludf.DUMMYFUNCTION("""COMPUTED_VALUE"""),1.0)</f>
        <v>1</v>
      </c>
      <c r="Q8783" s="4" t="str">
        <f>IFERROR(__xludf.DUMMYFUNCTION("""COMPUTED_VALUE"""),"N/A (Not found)")</f>
        <v>N/A (Not found)</v>
      </c>
      <c r="R8783" s="33">
        <f>IFERROR(__xludf.DUMMYFUNCTION("""COMPUTED_VALUE"""),1.0)</f>
        <v>1</v>
      </c>
      <c r="S8783" s="4" t="str">
        <f>IFERROR(__xludf.DUMMYFUNCTION("""COMPUTED_VALUE"""),"N/A (Not found)")</f>
        <v>N/A (Not found)</v>
      </c>
      <c r="T8783" s="33">
        <f>IFERROR(__xludf.DUMMYFUNCTION("""COMPUTED_VALUE"""),1.0)</f>
        <v>1</v>
      </c>
      <c r="U8783" s="4" t="str">
        <f>IFERROR(__xludf.DUMMYFUNCTION("""COMPUTED_VALUE"""),"null")</f>
        <v>null</v>
      </c>
      <c r="V8783" s="33">
        <f>IFERROR(__xludf.DUMMYFUNCTION("""COMPUTED_VALUE"""),1.0)</f>
        <v>1</v>
      </c>
      <c r="W8783" s="4" t="str">
        <f>IFERROR(__xludf.DUMMYFUNCTION("""COMPUTED_VALUE"""),"N/A (Not found)")</f>
        <v>N/A (Not found)</v>
      </c>
      <c r="X8783" s="33">
        <f>IFERROR(__xludf.DUMMYFUNCTION("""COMPUTED_VALUE"""),1.0)</f>
        <v>1</v>
      </c>
    </row>
    <row r="8784">
      <c r="K8784" s="4" t="str">
        <f>IFERROR(__xludf.DUMMYFUNCTION("""COMPUTED_VALUE"""),"JAFFA")</f>
        <v>JAFFA</v>
      </c>
      <c r="L8784" s="32">
        <f>IFERROR(__xludf.DUMMYFUNCTION("""COMPUTED_VALUE"""),1.0)</f>
        <v>1</v>
      </c>
      <c r="M8784" s="4" t="str">
        <f>IFERROR(__xludf.DUMMYFUNCTION("""COMPUTED_VALUE"""),"Cheff Solutions Tecnologia Brasil")</f>
        <v>Cheff Solutions Tecnologia Brasil</v>
      </c>
      <c r="N8784" s="33">
        <f>IFERROR(__xludf.DUMMYFUNCTION("""COMPUTED_VALUE"""),1.0)</f>
        <v>1</v>
      </c>
      <c r="O8784" s="4" t="str">
        <f>IFERROR(__xludf.DUMMYFUNCTION("""COMPUTED_VALUE"""),"Cheff Solutions Tecnologia Brasil")</f>
        <v>Cheff Solutions Tecnologia Brasil</v>
      </c>
      <c r="P8784" s="33">
        <f>IFERROR(__xludf.DUMMYFUNCTION("""COMPUTED_VALUE"""),1.0)</f>
        <v>1</v>
      </c>
      <c r="Q8784" s="4" t="str">
        <f>IFERROR(__xludf.DUMMYFUNCTION("""COMPUTED_VALUE"""),"null")</f>
        <v>null</v>
      </c>
      <c r="R8784" s="33">
        <f>IFERROR(__xludf.DUMMYFUNCTION("""COMPUTED_VALUE"""),1.0)</f>
        <v>1</v>
      </c>
      <c r="S8784" s="4" t="str">
        <f>IFERROR(__xludf.DUMMYFUNCTION("""COMPUTED_VALUE"""),"Cheff Solutions Tecnologia Brasil")</f>
        <v>Cheff Solutions Tecnologia Brasil</v>
      </c>
      <c r="T8784" s="33">
        <f>IFERROR(__xludf.DUMMYFUNCTION("""COMPUTED_VALUE"""),1.0)</f>
        <v>1</v>
      </c>
      <c r="U8784" s="4" t="str">
        <f>IFERROR(__xludf.DUMMYFUNCTION("""COMPUTED_VALUE"""),"Cheff Solutions Tecnologia Brasil")</f>
        <v>Cheff Solutions Tecnologia Brasil</v>
      </c>
      <c r="V8784" s="33">
        <f>IFERROR(__xludf.DUMMYFUNCTION("""COMPUTED_VALUE"""),1.0)</f>
        <v>1</v>
      </c>
      <c r="W8784" s="4" t="str">
        <f>IFERROR(__xludf.DUMMYFUNCTION("""COMPUTED_VALUE"""),"Cheff Solutions Tecnologia Brasil")</f>
        <v>Cheff Solutions Tecnologia Brasil</v>
      </c>
      <c r="X8784" s="33">
        <f>IFERROR(__xludf.DUMMYFUNCTION("""COMPUTED_VALUE"""),1.0)</f>
        <v>1</v>
      </c>
    </row>
    <row r="8785">
      <c r="K8785" s="4" t="str">
        <f>IFERROR(__xludf.DUMMYFUNCTION("""COMPUTED_VALUE"""),"CHAPA QUENTE PORCOES DELIVERY")</f>
        <v>CHAPA QUENTE PORCOES DELIVERY</v>
      </c>
      <c r="L8785" s="32">
        <f>IFERROR(__xludf.DUMMYFUNCTION("""COMPUTED_VALUE"""),1.0)</f>
        <v>1</v>
      </c>
      <c r="M8785" s="4" t="str">
        <f>IFERROR(__xludf.DUMMYFUNCTION("""COMPUTED_VALUE"""),"null")</f>
        <v>null</v>
      </c>
      <c r="N8785" s="33">
        <f>IFERROR(__xludf.DUMMYFUNCTION("""COMPUTED_VALUE"""),1.0)</f>
        <v>1</v>
      </c>
      <c r="O8785" s="4" t="str">
        <f>IFERROR(__xludf.DUMMYFUNCTION("""COMPUTED_VALUE"""),"Instadelivery")</f>
        <v>Instadelivery</v>
      </c>
      <c r="P8785" s="33">
        <f>IFERROR(__xludf.DUMMYFUNCTION("""COMPUTED_VALUE"""),1.0)</f>
        <v>1</v>
      </c>
      <c r="Q8785" s="4" t="str">
        <f>IFERROR(__xludf.DUMMYFUNCTION("""COMPUTED_VALUE"""),"null")</f>
        <v>null</v>
      </c>
      <c r="R8785" s="33">
        <f>IFERROR(__xludf.DUMMYFUNCTION("""COMPUTED_VALUE"""),1.0)</f>
        <v>1</v>
      </c>
      <c r="S8785" s="4" t="str">
        <f>IFERROR(__xludf.DUMMYFUNCTION("""COMPUTED_VALUE"""),"null")</f>
        <v>null</v>
      </c>
      <c r="T8785" s="33">
        <f>IFERROR(__xludf.DUMMYFUNCTION("""COMPUTED_VALUE"""),1.0)</f>
        <v>1</v>
      </c>
      <c r="U8785" s="4" t="str">
        <f>IFERROR(__xludf.DUMMYFUNCTION("""COMPUTED_VALUE"""),"null")</f>
        <v>null</v>
      </c>
      <c r="V8785" s="33">
        <f>IFERROR(__xludf.DUMMYFUNCTION("""COMPUTED_VALUE"""),1.0)</f>
        <v>1</v>
      </c>
      <c r="W8785" s="4" t="str">
        <f>IFERROR(__xludf.DUMMYFUNCTION("""COMPUTED_VALUE"""),"null")</f>
        <v>null</v>
      </c>
      <c r="X8785" s="33">
        <f>IFERROR(__xludf.DUMMYFUNCTION("""COMPUTED_VALUE"""),1.0)</f>
        <v>1</v>
      </c>
    </row>
    <row r="8786">
      <c r="K8786" s="4" t="str">
        <f>IFERROR(__xludf.DUMMYFUNCTION("""COMPUTED_VALUE"""),"FIVE SPORT BAR - RESTAURANTE E HAMBURGUERIA")</f>
        <v>FIVE SPORT BAR - RESTAURANTE E HAMBURGUERIA</v>
      </c>
      <c r="L8786" s="32">
        <f>IFERROR(__xludf.DUMMYFUNCTION("""COMPUTED_VALUE"""),1.0)</f>
        <v>1</v>
      </c>
      <c r="M8786" s="4" t="str">
        <f>IFERROR(__xludf.DUMMYFUNCTION("""COMPUTED_VALUE"""),"null")</f>
        <v>null</v>
      </c>
      <c r="N8786" s="33">
        <f>IFERROR(__xludf.DUMMYFUNCTION("""COMPUTED_VALUE"""),1.0)</f>
        <v>1</v>
      </c>
      <c r="O8786" s="4" t="str">
        <f>IFERROR(__xludf.DUMMYFUNCTION("""COMPUTED_VALUE"""),"null")</f>
        <v>null</v>
      </c>
      <c r="P8786" s="33">
        <f>IFERROR(__xludf.DUMMYFUNCTION("""COMPUTED_VALUE"""),1.0)</f>
        <v>1</v>
      </c>
      <c r="Q8786" s="4" t="str">
        <f>IFERROR(__xludf.DUMMYFUNCTION("""COMPUTED_VALUE"""),"Takeat Tecnologia")</f>
        <v>Takeat Tecnologia</v>
      </c>
      <c r="R8786" s="33">
        <f>IFERROR(__xludf.DUMMYFUNCTION("""COMPUTED_VALUE"""),1.0)</f>
        <v>1</v>
      </c>
      <c r="S8786" s="4" t="str">
        <f>IFERROR(__xludf.DUMMYFUNCTION("""COMPUTED_VALUE"""),"null")</f>
        <v>null</v>
      </c>
      <c r="T8786" s="33">
        <f>IFERROR(__xludf.DUMMYFUNCTION("""COMPUTED_VALUE"""),1.0)</f>
        <v>1</v>
      </c>
      <c r="U8786" s="4" t="str">
        <f>IFERROR(__xludf.DUMMYFUNCTION("""COMPUTED_VALUE"""),"null")</f>
        <v>null</v>
      </c>
      <c r="V8786" s="33">
        <f>IFERROR(__xludf.DUMMYFUNCTION("""COMPUTED_VALUE"""),1.0)</f>
        <v>1</v>
      </c>
      <c r="W8786" s="4" t="str">
        <f>IFERROR(__xludf.DUMMYFUNCTION("""COMPUTED_VALUE"""),"null")</f>
        <v>null</v>
      </c>
      <c r="X8786" s="33">
        <f>IFERROR(__xludf.DUMMYFUNCTION("""COMPUTED_VALUE"""),1.0)</f>
        <v>1</v>
      </c>
    </row>
    <row r="8787">
      <c r="K8787" s="4" t="str">
        <f>IFERROR(__xludf.DUMMYFUNCTION("""COMPUTED_VALUE"""),"LORE DOCERIA")</f>
        <v>LORE DOCERIA</v>
      </c>
      <c r="L8787" s="32">
        <f>IFERROR(__xludf.DUMMYFUNCTION("""COMPUTED_VALUE"""),1.0)</f>
        <v>1</v>
      </c>
      <c r="M8787" s="4" t="str">
        <f>IFERROR(__xludf.DUMMYFUNCTION("""COMPUTED_VALUE"""),"Olaclick")</f>
        <v>Olaclick</v>
      </c>
      <c r="N8787" s="33">
        <f>IFERROR(__xludf.DUMMYFUNCTION("""COMPUTED_VALUE"""),1.0)</f>
        <v>1</v>
      </c>
      <c r="O8787" s="4" t="str">
        <f>IFERROR(__xludf.DUMMYFUNCTION("""COMPUTED_VALUE"""),"Olaclick")</f>
        <v>Olaclick</v>
      </c>
      <c r="P8787" s="33">
        <f>IFERROR(__xludf.DUMMYFUNCTION("""COMPUTED_VALUE"""),1.0)</f>
        <v>1</v>
      </c>
      <c r="Q8787" s="4" t="str">
        <f>IFERROR(__xludf.DUMMYFUNCTION("""COMPUTED_VALUE"""),"Olaclick")</f>
        <v>Olaclick</v>
      </c>
      <c r="R8787" s="33">
        <f>IFERROR(__xludf.DUMMYFUNCTION("""COMPUTED_VALUE"""),1.0)</f>
        <v>1</v>
      </c>
      <c r="S8787" s="4" t="str">
        <f>IFERROR(__xludf.DUMMYFUNCTION("""COMPUTED_VALUE"""),"Olaclick")</f>
        <v>Olaclick</v>
      </c>
      <c r="T8787" s="33">
        <f>IFERROR(__xludf.DUMMYFUNCTION("""COMPUTED_VALUE"""),1.0)</f>
        <v>1</v>
      </c>
      <c r="U8787" s="4" t="str">
        <f>IFERROR(__xludf.DUMMYFUNCTION("""COMPUTED_VALUE"""),"Olaclick")</f>
        <v>Olaclick</v>
      </c>
      <c r="V8787" s="33">
        <f>IFERROR(__xludf.DUMMYFUNCTION("""COMPUTED_VALUE"""),1.0)</f>
        <v>1</v>
      </c>
      <c r="W8787" s="4" t="str">
        <f>IFERROR(__xludf.DUMMYFUNCTION("""COMPUTED_VALUE"""),"Olaclick")</f>
        <v>Olaclick</v>
      </c>
      <c r="X8787" s="33">
        <f>IFERROR(__xludf.DUMMYFUNCTION("""COMPUTED_VALUE"""),1.0)</f>
        <v>1</v>
      </c>
    </row>
    <row r="8788">
      <c r="K8788" s="4" t="str">
        <f>IFERROR(__xludf.DUMMYFUNCTION("""COMPUTED_VALUE"""),"TUTTI FRUTTI PIZZARIA")</f>
        <v>TUTTI FRUTTI PIZZARIA</v>
      </c>
      <c r="L8788" s="32">
        <f>IFERROR(__xludf.DUMMYFUNCTION("""COMPUTED_VALUE"""),1.0)</f>
        <v>1</v>
      </c>
      <c r="M8788" s="4" t="str">
        <f>IFERROR(__xludf.DUMMYFUNCTION("""COMPUTED_VALUE"""),"Consumer Soluções Em Tecnologia Ltda")</f>
        <v>Consumer Soluções Em Tecnologia Ltda</v>
      </c>
      <c r="N8788" s="33">
        <f>IFERROR(__xludf.DUMMYFUNCTION("""COMPUTED_VALUE"""),1.0)</f>
        <v>1</v>
      </c>
      <c r="O8788" s="4" t="str">
        <f>IFERROR(__xludf.DUMMYFUNCTION("""COMPUTED_VALUE"""),"Consumer Soluções Em Tecnologia Ltda")</f>
        <v>Consumer Soluções Em Tecnologia Ltda</v>
      </c>
      <c r="P8788" s="33">
        <f>IFERROR(__xludf.DUMMYFUNCTION("""COMPUTED_VALUE"""),1.0)</f>
        <v>1</v>
      </c>
      <c r="Q8788" s="4" t="str">
        <f>IFERROR(__xludf.DUMMYFUNCTION("""COMPUTED_VALUE"""),"Consumer Soluções Em Tecnologia Ltda")</f>
        <v>Consumer Soluções Em Tecnologia Ltda</v>
      </c>
      <c r="R8788" s="33">
        <f>IFERROR(__xludf.DUMMYFUNCTION("""COMPUTED_VALUE"""),1.0)</f>
        <v>1</v>
      </c>
      <c r="S8788" s="4" t="str">
        <f>IFERROR(__xludf.DUMMYFUNCTION("""COMPUTED_VALUE"""),"null")</f>
        <v>null</v>
      </c>
      <c r="T8788" s="33">
        <f>IFERROR(__xludf.DUMMYFUNCTION("""COMPUTED_VALUE"""),1.0)</f>
        <v>1</v>
      </c>
      <c r="U8788" s="4" t="str">
        <f>IFERROR(__xludf.DUMMYFUNCTION("""COMPUTED_VALUE"""),"null")</f>
        <v>null</v>
      </c>
      <c r="V8788" s="33">
        <f>IFERROR(__xludf.DUMMYFUNCTION("""COMPUTED_VALUE"""),1.0)</f>
        <v>1</v>
      </c>
      <c r="W8788" s="4" t="str">
        <f>IFERROR(__xludf.DUMMYFUNCTION("""COMPUTED_VALUE"""),"null")</f>
        <v>null</v>
      </c>
      <c r="X8788" s="33">
        <f>IFERROR(__xludf.DUMMYFUNCTION("""COMPUTED_VALUE"""),1.0)</f>
        <v>1</v>
      </c>
    </row>
    <row r="8789">
      <c r="K8789" s="4" t="str">
        <f>IFERROR(__xludf.DUMMYFUNCTION("""COMPUTED_VALUE"""),"IMPERIUM PREMIUM COMIDA BRASILEIRA")</f>
        <v>IMPERIUM PREMIUM COMIDA BRASILEIRA</v>
      </c>
      <c r="L8789" s="32">
        <f>IFERROR(__xludf.DUMMYFUNCTION("""COMPUTED_VALUE"""),1.0)</f>
        <v>1</v>
      </c>
      <c r="M8789" s="4" t="str">
        <f>IFERROR(__xludf.DUMMYFUNCTION("""COMPUTED_VALUE"""),"Metre Sistemas")</f>
        <v>Metre Sistemas</v>
      </c>
      <c r="N8789" s="33">
        <f>IFERROR(__xludf.DUMMYFUNCTION("""COMPUTED_VALUE"""),1.0)</f>
        <v>1</v>
      </c>
      <c r="O8789" s="4" t="str">
        <f>IFERROR(__xludf.DUMMYFUNCTION("""COMPUTED_VALUE"""),"Metre Sistemas")</f>
        <v>Metre Sistemas</v>
      </c>
      <c r="P8789" s="33">
        <f>IFERROR(__xludf.DUMMYFUNCTION("""COMPUTED_VALUE"""),1.0)</f>
        <v>1</v>
      </c>
      <c r="Q8789" s="4" t="str">
        <f>IFERROR(__xludf.DUMMYFUNCTION("""COMPUTED_VALUE"""),"Metre Sistemas")</f>
        <v>Metre Sistemas</v>
      </c>
      <c r="R8789" s="33">
        <f>IFERROR(__xludf.DUMMYFUNCTION("""COMPUTED_VALUE"""),1.0)</f>
        <v>1</v>
      </c>
      <c r="S8789" s="4" t="str">
        <f>IFERROR(__xludf.DUMMYFUNCTION("""COMPUTED_VALUE"""),"Metre Sistemas")</f>
        <v>Metre Sistemas</v>
      </c>
      <c r="T8789" s="33">
        <f>IFERROR(__xludf.DUMMYFUNCTION("""COMPUTED_VALUE"""),1.0)</f>
        <v>1</v>
      </c>
      <c r="U8789" s="4" t="str">
        <f>IFERROR(__xludf.DUMMYFUNCTION("""COMPUTED_VALUE"""),"Metre Sistemas")</f>
        <v>Metre Sistemas</v>
      </c>
      <c r="V8789" s="33">
        <f>IFERROR(__xludf.DUMMYFUNCTION("""COMPUTED_VALUE"""),1.0)</f>
        <v>1</v>
      </c>
      <c r="W8789" s="4" t="str">
        <f>IFERROR(__xludf.DUMMYFUNCTION("""COMPUTED_VALUE"""),"Metre Sistemas")</f>
        <v>Metre Sistemas</v>
      </c>
      <c r="X8789" s="33">
        <f>IFERROR(__xludf.DUMMYFUNCTION("""COMPUTED_VALUE"""),1.0)</f>
        <v>1</v>
      </c>
    </row>
    <row r="8790">
      <c r="K8790" s="4" t="str">
        <f>IFERROR(__xludf.DUMMYFUNCTION("""COMPUTED_VALUE"""),"MARMITA - RECANTO DO MINEIRO")</f>
        <v>MARMITA - RECANTO DO MINEIRO</v>
      </c>
      <c r="L8790" s="32">
        <f>IFERROR(__xludf.DUMMYFUNCTION("""COMPUTED_VALUE"""),1.0)</f>
        <v>1</v>
      </c>
      <c r="M8790" s="4" t="str">
        <f>IFERROR(__xludf.DUMMYFUNCTION("""COMPUTED_VALUE"""),"Saipos Serviços De Software")</f>
        <v>Saipos Serviços De Software</v>
      </c>
      <c r="N8790" s="33">
        <f>IFERROR(__xludf.DUMMYFUNCTION("""COMPUTED_VALUE"""),1.0)</f>
        <v>1</v>
      </c>
      <c r="O8790" s="4" t="str">
        <f>IFERROR(__xludf.DUMMYFUNCTION("""COMPUTED_VALUE"""),"Saipos Serviços De Software")</f>
        <v>Saipos Serviços De Software</v>
      </c>
      <c r="P8790" s="33">
        <f>IFERROR(__xludf.DUMMYFUNCTION("""COMPUTED_VALUE"""),1.0)</f>
        <v>1</v>
      </c>
      <c r="Q8790" s="4" t="str">
        <f>IFERROR(__xludf.DUMMYFUNCTION("""COMPUTED_VALUE"""),"Saipos Serviços De Software")</f>
        <v>Saipos Serviços De Software</v>
      </c>
      <c r="R8790" s="33">
        <f>IFERROR(__xludf.DUMMYFUNCTION("""COMPUTED_VALUE"""),1.0)</f>
        <v>1</v>
      </c>
      <c r="S8790" s="4" t="str">
        <f>IFERROR(__xludf.DUMMYFUNCTION("""COMPUTED_VALUE"""),"Saipos Serviços De Software")</f>
        <v>Saipos Serviços De Software</v>
      </c>
      <c r="T8790" s="33">
        <f>IFERROR(__xludf.DUMMYFUNCTION("""COMPUTED_VALUE"""),1.0)</f>
        <v>1</v>
      </c>
      <c r="U8790" s="4" t="str">
        <f>IFERROR(__xludf.DUMMYFUNCTION("""COMPUTED_VALUE"""),"Saipos Serviços De Software")</f>
        <v>Saipos Serviços De Software</v>
      </c>
      <c r="V8790" s="33">
        <f>IFERROR(__xludf.DUMMYFUNCTION("""COMPUTED_VALUE"""),1.0)</f>
        <v>1</v>
      </c>
      <c r="W8790" s="4" t="str">
        <f>IFERROR(__xludf.DUMMYFUNCTION("""COMPUTED_VALUE"""),"Saipos Serviços De Software")</f>
        <v>Saipos Serviços De Software</v>
      </c>
      <c r="X8790" s="33">
        <f>IFERROR(__xludf.DUMMYFUNCTION("""COMPUTED_VALUE"""),1.0)</f>
        <v>1</v>
      </c>
    </row>
    <row r="8791">
      <c r="K8791" s="4" t="str">
        <f>IFERROR(__xludf.DUMMYFUNCTION("""COMPUTED_VALUE"""),"TO ATOA PIZZARIA")</f>
        <v>TO ATOA PIZZARIA</v>
      </c>
      <c r="L8791" s="32">
        <f>IFERROR(__xludf.DUMMYFUNCTION("""COMPUTED_VALUE"""),1.0)</f>
        <v>1</v>
      </c>
      <c r="M8791" s="4" t="str">
        <f>IFERROR(__xludf.DUMMYFUNCTION("""COMPUTED_VALUE"""),"Wps Sistemas Ltda")</f>
        <v>Wps Sistemas Ltda</v>
      </c>
      <c r="N8791" s="33">
        <f>IFERROR(__xludf.DUMMYFUNCTION("""COMPUTED_VALUE"""),1.0)</f>
        <v>1</v>
      </c>
      <c r="O8791" s="4" t="str">
        <f>IFERROR(__xludf.DUMMYFUNCTION("""COMPUTED_VALUE"""),"Wps Sistemas Ltda")</f>
        <v>Wps Sistemas Ltda</v>
      </c>
      <c r="P8791" s="33">
        <f>IFERROR(__xludf.DUMMYFUNCTION("""COMPUTED_VALUE"""),1.0)</f>
        <v>1</v>
      </c>
      <c r="Q8791" s="4" t="str">
        <f>IFERROR(__xludf.DUMMYFUNCTION("""COMPUTED_VALUE"""),"Wps Sistemas Ltda")</f>
        <v>Wps Sistemas Ltda</v>
      </c>
      <c r="R8791" s="33">
        <f>IFERROR(__xludf.DUMMYFUNCTION("""COMPUTED_VALUE"""),1.0)</f>
        <v>1</v>
      </c>
      <c r="S8791" s="4" t="str">
        <f>IFERROR(__xludf.DUMMYFUNCTION("""COMPUTED_VALUE"""),"Wps Sistemas Ltda")</f>
        <v>Wps Sistemas Ltda</v>
      </c>
      <c r="T8791" s="33">
        <f>IFERROR(__xludf.DUMMYFUNCTION("""COMPUTED_VALUE"""),1.0)</f>
        <v>1</v>
      </c>
      <c r="U8791" s="4" t="str">
        <f>IFERROR(__xludf.DUMMYFUNCTION("""COMPUTED_VALUE"""),"Wps Sistemas Ltda")</f>
        <v>Wps Sistemas Ltda</v>
      </c>
      <c r="V8791" s="33">
        <f>IFERROR(__xludf.DUMMYFUNCTION("""COMPUTED_VALUE"""),1.0)</f>
        <v>1</v>
      </c>
      <c r="W8791" s="4" t="str">
        <f>IFERROR(__xludf.DUMMYFUNCTION("""COMPUTED_VALUE"""),"Wps Sistemas Ltda")</f>
        <v>Wps Sistemas Ltda</v>
      </c>
      <c r="X8791" s="33">
        <f>IFERROR(__xludf.DUMMYFUNCTION("""COMPUTED_VALUE"""),1.0)</f>
        <v>1</v>
      </c>
    </row>
    <row r="8792">
      <c r="K8792" s="4" t="str">
        <f>IFERROR(__xludf.DUMMYFUNCTION("""COMPUTED_VALUE"""),"IZZY BURGUER")</f>
        <v>IZZY BURGUER</v>
      </c>
      <c r="L8792" s="32">
        <f>IFERROR(__xludf.DUMMYFUNCTION("""COMPUTED_VALUE"""),1.0)</f>
        <v>1</v>
      </c>
      <c r="M8792" s="4" t="str">
        <f>IFERROR(__xludf.DUMMYFUNCTION("""COMPUTED_VALUE"""),"Anota Ai Solucoes Digitais S/a")</f>
        <v>Anota Ai Solucoes Digitais S/a</v>
      </c>
      <c r="N8792" s="33">
        <f>IFERROR(__xludf.DUMMYFUNCTION("""COMPUTED_VALUE"""),1.0)</f>
        <v>1</v>
      </c>
      <c r="O8792" s="4" t="str">
        <f>IFERROR(__xludf.DUMMYFUNCTION("""COMPUTED_VALUE"""),"Anota Ai Solucoes Digitais S/a")</f>
        <v>Anota Ai Solucoes Digitais S/a</v>
      </c>
      <c r="P8792" s="33">
        <f>IFERROR(__xludf.DUMMYFUNCTION("""COMPUTED_VALUE"""),1.0)</f>
        <v>1</v>
      </c>
      <c r="Q8792" s="4" t="str">
        <f>IFERROR(__xludf.DUMMYFUNCTION("""COMPUTED_VALUE"""),"Anota Ai Solucoes Digitais S/a")</f>
        <v>Anota Ai Solucoes Digitais S/a</v>
      </c>
      <c r="R8792" s="33">
        <f>IFERROR(__xludf.DUMMYFUNCTION("""COMPUTED_VALUE"""),1.0)</f>
        <v>1</v>
      </c>
      <c r="S8792" s="4" t="str">
        <f>IFERROR(__xludf.DUMMYFUNCTION("""COMPUTED_VALUE"""),"Anota Ai Solucoes Digitais S/a")</f>
        <v>Anota Ai Solucoes Digitais S/a</v>
      </c>
      <c r="T8792" s="33">
        <f>IFERROR(__xludf.DUMMYFUNCTION("""COMPUTED_VALUE"""),1.0)</f>
        <v>1</v>
      </c>
      <c r="U8792" s="4" t="str">
        <f>IFERROR(__xludf.DUMMYFUNCTION("""COMPUTED_VALUE"""),"Anota Ai Solucoes Digitais S/a")</f>
        <v>Anota Ai Solucoes Digitais S/a</v>
      </c>
      <c r="V8792" s="33">
        <f>IFERROR(__xludf.DUMMYFUNCTION("""COMPUTED_VALUE"""),1.0)</f>
        <v>1</v>
      </c>
      <c r="W8792" s="4" t="str">
        <f>IFERROR(__xludf.DUMMYFUNCTION("""COMPUTED_VALUE"""),"Anota Ai Solucoes Digitais S/a")</f>
        <v>Anota Ai Solucoes Digitais S/a</v>
      </c>
      <c r="X8792" s="33">
        <f>IFERROR(__xludf.DUMMYFUNCTION("""COMPUTED_VALUE"""),1.0)</f>
        <v>1</v>
      </c>
    </row>
    <row r="8793">
      <c r="K8793" s="4" t="str">
        <f>IFERROR(__xludf.DUMMYFUNCTION("""COMPUTED_VALUE"""),"CAZERO CULINARIA SERTANEJA")</f>
        <v>CAZERO CULINARIA SERTANEJA</v>
      </c>
      <c r="L8793" s="32">
        <f>IFERROR(__xludf.DUMMYFUNCTION("""COMPUTED_VALUE"""),1.0)</f>
        <v>1</v>
      </c>
      <c r="M8793" s="4" t="str">
        <f>IFERROR(__xludf.DUMMYFUNCTION("""COMPUTED_VALUE"""),"Zip Software")</f>
        <v>Zip Software</v>
      </c>
      <c r="N8793" s="33">
        <f>IFERROR(__xludf.DUMMYFUNCTION("""COMPUTED_VALUE"""),1.0)</f>
        <v>1</v>
      </c>
      <c r="O8793" s="4" t="str">
        <f>IFERROR(__xludf.DUMMYFUNCTION("""COMPUTED_VALUE"""),"Zip Software")</f>
        <v>Zip Software</v>
      </c>
      <c r="P8793" s="33">
        <f>IFERROR(__xludf.DUMMYFUNCTION("""COMPUTED_VALUE"""),1.0)</f>
        <v>1</v>
      </c>
      <c r="Q8793" s="4" t="str">
        <f>IFERROR(__xludf.DUMMYFUNCTION("""COMPUTED_VALUE"""),"Zip Software")</f>
        <v>Zip Software</v>
      </c>
      <c r="R8793" s="33">
        <f>IFERROR(__xludf.DUMMYFUNCTION("""COMPUTED_VALUE"""),1.0)</f>
        <v>1</v>
      </c>
      <c r="S8793" s="4" t="str">
        <f>IFERROR(__xludf.DUMMYFUNCTION("""COMPUTED_VALUE"""),"Zip Software")</f>
        <v>Zip Software</v>
      </c>
      <c r="T8793" s="33">
        <f>IFERROR(__xludf.DUMMYFUNCTION("""COMPUTED_VALUE"""),1.0)</f>
        <v>1</v>
      </c>
      <c r="U8793" s="4" t="str">
        <f>IFERROR(__xludf.DUMMYFUNCTION("""COMPUTED_VALUE"""),"Zip Software")</f>
        <v>Zip Software</v>
      </c>
      <c r="V8793" s="33">
        <f>IFERROR(__xludf.DUMMYFUNCTION("""COMPUTED_VALUE"""),1.0)</f>
        <v>1</v>
      </c>
      <c r="W8793" s="4" t="str">
        <f>IFERROR(__xludf.DUMMYFUNCTION("""COMPUTED_VALUE"""),"Zip Software")</f>
        <v>Zip Software</v>
      </c>
      <c r="X8793" s="33">
        <f>IFERROR(__xludf.DUMMYFUNCTION("""COMPUTED_VALUE"""),1.0)</f>
        <v>1</v>
      </c>
    </row>
    <row r="8794">
      <c r="K8794" s="4" t="str">
        <f>IFERROR(__xludf.DUMMYFUNCTION("""COMPUTED_VALUE"""),"COMBOS E CIA")</f>
        <v>COMBOS E CIA</v>
      </c>
      <c r="L8794" s="32">
        <f>IFERROR(__xludf.DUMMYFUNCTION("""COMPUTED_VALUE"""),1.0)</f>
        <v>1</v>
      </c>
      <c r="M8794" s="4" t="str">
        <f>IFERROR(__xludf.DUMMYFUNCTION("""COMPUTED_VALUE"""),"Mp Multipedidos")</f>
        <v>Mp Multipedidos</v>
      </c>
      <c r="N8794" s="33">
        <f>IFERROR(__xludf.DUMMYFUNCTION("""COMPUTED_VALUE"""),1.0)</f>
        <v>1</v>
      </c>
      <c r="O8794" s="4" t="str">
        <f>IFERROR(__xludf.DUMMYFUNCTION("""COMPUTED_VALUE"""),"Mp Multipedidos")</f>
        <v>Mp Multipedidos</v>
      </c>
      <c r="P8794" s="33">
        <f>IFERROR(__xludf.DUMMYFUNCTION("""COMPUTED_VALUE"""),1.0)</f>
        <v>1</v>
      </c>
      <c r="Q8794" s="4" t="str">
        <f>IFERROR(__xludf.DUMMYFUNCTION("""COMPUTED_VALUE"""),"Mp Multipedidos")</f>
        <v>Mp Multipedidos</v>
      </c>
      <c r="R8794" s="33">
        <f>IFERROR(__xludf.DUMMYFUNCTION("""COMPUTED_VALUE"""),1.0)</f>
        <v>1</v>
      </c>
      <c r="S8794" s="4" t="str">
        <f>IFERROR(__xludf.DUMMYFUNCTION("""COMPUTED_VALUE"""),"Mp Multipedidos")</f>
        <v>Mp Multipedidos</v>
      </c>
      <c r="T8794" s="33">
        <f>IFERROR(__xludf.DUMMYFUNCTION("""COMPUTED_VALUE"""),1.0)</f>
        <v>1</v>
      </c>
      <c r="U8794" s="4" t="str">
        <f>IFERROR(__xludf.DUMMYFUNCTION("""COMPUTED_VALUE"""),"Mp Multipedidos")</f>
        <v>Mp Multipedidos</v>
      </c>
      <c r="V8794" s="33">
        <f>IFERROR(__xludf.DUMMYFUNCTION("""COMPUTED_VALUE"""),1.0)</f>
        <v>1</v>
      </c>
      <c r="W8794" s="4" t="str">
        <f>IFERROR(__xludf.DUMMYFUNCTION("""COMPUTED_VALUE"""),"Mp Multipedidos")</f>
        <v>Mp Multipedidos</v>
      </c>
      <c r="X8794" s="33">
        <f>IFERROR(__xludf.DUMMYFUNCTION("""COMPUTED_VALUE"""),1.0)</f>
        <v>1</v>
      </c>
    </row>
    <row r="8795">
      <c r="K8795" s="4" t="str">
        <f>IFERROR(__xludf.DUMMYFUNCTION("""COMPUTED_VALUE"""),"RESTAURANTE GALINHA CAIPIRA")</f>
        <v>RESTAURANTE GALINHA CAIPIRA</v>
      </c>
      <c r="L8795" s="32">
        <f>IFERROR(__xludf.DUMMYFUNCTION("""COMPUTED_VALUE"""),1.0)</f>
        <v>1</v>
      </c>
      <c r="M8795" s="4" t="str">
        <f>IFERROR(__xludf.DUMMYFUNCTION("""COMPUTED_VALUE"""),"Parseint Desenvolvimento De Sistemas Ltda")</f>
        <v>Parseint Desenvolvimento De Sistemas Ltda</v>
      </c>
      <c r="N8795" s="33">
        <f>IFERROR(__xludf.DUMMYFUNCTION("""COMPUTED_VALUE"""),1.0)</f>
        <v>1</v>
      </c>
      <c r="O8795" s="4" t="str">
        <f>IFERROR(__xludf.DUMMYFUNCTION("""COMPUTED_VALUE"""),"Parseint Desenvolvimento De Sistemas Ltda")</f>
        <v>Parseint Desenvolvimento De Sistemas Ltda</v>
      </c>
      <c r="P8795" s="33">
        <f>IFERROR(__xludf.DUMMYFUNCTION("""COMPUTED_VALUE"""),1.0)</f>
        <v>1</v>
      </c>
      <c r="Q8795" s="4" t="str">
        <f>IFERROR(__xludf.DUMMYFUNCTION("""COMPUTED_VALUE"""),"Parseint Desenvolvimento De Sistemas Ltda")</f>
        <v>Parseint Desenvolvimento De Sistemas Ltda</v>
      </c>
      <c r="R8795" s="33">
        <f>IFERROR(__xludf.DUMMYFUNCTION("""COMPUTED_VALUE"""),1.0)</f>
        <v>1</v>
      </c>
      <c r="S8795" s="4" t="str">
        <f>IFERROR(__xludf.DUMMYFUNCTION("""COMPUTED_VALUE"""),"Parseint Desenvolvimento De Sistemas Ltda")</f>
        <v>Parseint Desenvolvimento De Sistemas Ltda</v>
      </c>
      <c r="T8795" s="33">
        <f>IFERROR(__xludf.DUMMYFUNCTION("""COMPUTED_VALUE"""),1.0)</f>
        <v>1</v>
      </c>
      <c r="U8795" s="4" t="str">
        <f>IFERROR(__xludf.DUMMYFUNCTION("""COMPUTED_VALUE"""),"Parseint Desenvolvimento De Sistemas Ltda")</f>
        <v>Parseint Desenvolvimento De Sistemas Ltda</v>
      </c>
      <c r="V8795" s="33">
        <f>IFERROR(__xludf.DUMMYFUNCTION("""COMPUTED_VALUE"""),1.0)</f>
        <v>1</v>
      </c>
      <c r="W8795" s="4" t="str">
        <f>IFERROR(__xludf.DUMMYFUNCTION("""COMPUTED_VALUE"""),"Parseint Desenvolvimento De Sistemas Ltda")</f>
        <v>Parseint Desenvolvimento De Sistemas Ltda</v>
      </c>
      <c r="X8795" s="33">
        <f>IFERROR(__xludf.DUMMYFUNCTION("""COMPUTED_VALUE"""),1.0)</f>
        <v>1</v>
      </c>
    </row>
    <row r="8796">
      <c r="K8796" s="4" t="str">
        <f>IFERROR(__xludf.DUMMYFUNCTION("""COMPUTED_VALUE"""),"ACAI DO ISAAC")</f>
        <v>ACAI DO ISAAC</v>
      </c>
      <c r="L8796" s="32">
        <f>IFERROR(__xludf.DUMMYFUNCTION("""COMPUTED_VALUE"""),1.0)</f>
        <v>1</v>
      </c>
      <c r="M8796" s="4" t="str">
        <f>IFERROR(__xludf.DUMMYFUNCTION("""COMPUTED_VALUE"""),"null")</f>
        <v>null</v>
      </c>
      <c r="N8796" s="33">
        <f>IFERROR(__xludf.DUMMYFUNCTION("""COMPUTED_VALUE"""),1.0)</f>
        <v>1</v>
      </c>
      <c r="O8796" s="4" t="str">
        <f>IFERROR(__xludf.DUMMYFUNCTION("""COMPUTED_VALUE"""),"M-du Tecnologia")</f>
        <v>M-du Tecnologia</v>
      </c>
      <c r="P8796" s="33">
        <f>IFERROR(__xludf.DUMMYFUNCTION("""COMPUTED_VALUE"""),1.0)</f>
        <v>1</v>
      </c>
      <c r="Q8796" s="4" t="str">
        <f>IFERROR(__xludf.DUMMYFUNCTION("""COMPUTED_VALUE"""),"M-du Tecnologia")</f>
        <v>M-du Tecnologia</v>
      </c>
      <c r="R8796" s="33">
        <f>IFERROR(__xludf.DUMMYFUNCTION("""COMPUTED_VALUE"""),1.0)</f>
        <v>1</v>
      </c>
      <c r="S8796" s="4" t="str">
        <f>IFERROR(__xludf.DUMMYFUNCTION("""COMPUTED_VALUE"""),"M-du Tecnologia")</f>
        <v>M-du Tecnologia</v>
      </c>
      <c r="T8796" s="33">
        <f>IFERROR(__xludf.DUMMYFUNCTION("""COMPUTED_VALUE"""),1.0)</f>
        <v>1</v>
      </c>
      <c r="U8796" s="4" t="str">
        <f>IFERROR(__xludf.DUMMYFUNCTION("""COMPUTED_VALUE"""),"M-du Tecnologia")</f>
        <v>M-du Tecnologia</v>
      </c>
      <c r="V8796" s="33">
        <f>IFERROR(__xludf.DUMMYFUNCTION("""COMPUTED_VALUE"""),1.0)</f>
        <v>1</v>
      </c>
      <c r="W8796" s="4" t="str">
        <f>IFERROR(__xludf.DUMMYFUNCTION("""COMPUTED_VALUE"""),"null")</f>
        <v>null</v>
      </c>
      <c r="X8796" s="33">
        <f>IFERROR(__xludf.DUMMYFUNCTION("""COMPUTED_VALUE"""),1.0)</f>
        <v>1</v>
      </c>
    </row>
    <row r="8797">
      <c r="K8797" s="4" t="str">
        <f>IFERROR(__xludf.DUMMYFUNCTION("""COMPUTED_VALUE"""),"BOM BURGUER MADUREIRA")</f>
        <v>BOM BURGUER MADUREIRA</v>
      </c>
      <c r="L8797" s="32">
        <f>IFERROR(__xludf.DUMMYFUNCTION("""COMPUTED_VALUE"""),1.0)</f>
        <v>1</v>
      </c>
      <c r="M8797" s="4" t="str">
        <f>IFERROR(__xludf.DUMMYFUNCTION("""COMPUTED_VALUE"""),"null")</f>
        <v>null</v>
      </c>
      <c r="N8797" s="33">
        <f>IFERROR(__xludf.DUMMYFUNCTION("""COMPUTED_VALUE"""),1.0)</f>
        <v>1</v>
      </c>
      <c r="O8797" s="4" t="str">
        <f>IFERROR(__xludf.DUMMYFUNCTION("""COMPUTED_VALUE"""),"null")</f>
        <v>null</v>
      </c>
      <c r="P8797" s="33">
        <f>IFERROR(__xludf.DUMMYFUNCTION("""COMPUTED_VALUE"""),1.0)</f>
        <v>1</v>
      </c>
      <c r="Q8797" s="4" t="str">
        <f>IFERROR(__xludf.DUMMYFUNCTION("""COMPUTED_VALUE"""),"null")</f>
        <v>null</v>
      </c>
      <c r="R8797" s="33">
        <f>IFERROR(__xludf.DUMMYFUNCTION("""COMPUTED_VALUE"""),1.0)</f>
        <v>1</v>
      </c>
      <c r="S8797" s="4" t="str">
        <f>IFERROR(__xludf.DUMMYFUNCTION("""COMPUTED_VALUE"""),"null")</f>
        <v>null</v>
      </c>
      <c r="T8797" s="33">
        <f>IFERROR(__xludf.DUMMYFUNCTION("""COMPUTED_VALUE"""),1.0)</f>
        <v>1</v>
      </c>
      <c r="U8797" s="4" t="str">
        <f>IFERROR(__xludf.DUMMYFUNCTION("""COMPUTED_VALUE"""),"null")</f>
        <v>null</v>
      </c>
      <c r="V8797" s="33">
        <f>IFERROR(__xludf.DUMMYFUNCTION("""COMPUTED_VALUE"""),1.0)</f>
        <v>1</v>
      </c>
      <c r="W8797" s="4" t="str">
        <f>IFERROR(__xludf.DUMMYFUNCTION("""COMPUTED_VALUE"""),"Instadelivery")</f>
        <v>Instadelivery</v>
      </c>
      <c r="X8797" s="33">
        <f>IFERROR(__xludf.DUMMYFUNCTION("""COMPUTED_VALUE"""),1.0)</f>
        <v>1</v>
      </c>
    </row>
    <row r="8798">
      <c r="K8798" s="4" t="str">
        <f>IFERROR(__xludf.DUMMYFUNCTION("""COMPUTED_VALUE"""),"FLOR DO CERRADO GASTRONOMIA")</f>
        <v>FLOR DO CERRADO GASTRONOMIA</v>
      </c>
      <c r="L8798" s="32">
        <f>IFERROR(__xludf.DUMMYFUNCTION("""COMPUTED_VALUE"""),1.0)</f>
        <v>1</v>
      </c>
      <c r="M8798" s="4" t="str">
        <f>IFERROR(__xludf.DUMMYFUNCTION("""COMPUTED_VALUE"""),"Anota Ai Solucoes Digitais S/a")</f>
        <v>Anota Ai Solucoes Digitais S/a</v>
      </c>
      <c r="N8798" s="33">
        <f>IFERROR(__xludf.DUMMYFUNCTION("""COMPUTED_VALUE"""),1.0)</f>
        <v>1</v>
      </c>
      <c r="O8798" s="4" t="str">
        <f>IFERROR(__xludf.DUMMYFUNCTION("""COMPUTED_VALUE"""),"Anota Ai Solucoes Digitais S/a")</f>
        <v>Anota Ai Solucoes Digitais S/a</v>
      </c>
      <c r="P8798" s="33">
        <f>IFERROR(__xludf.DUMMYFUNCTION("""COMPUTED_VALUE"""),1.0)</f>
        <v>1</v>
      </c>
      <c r="Q8798" s="4" t="str">
        <f>IFERROR(__xludf.DUMMYFUNCTION("""COMPUTED_VALUE"""),"Anota Ai Solucoes Digitais S/a")</f>
        <v>Anota Ai Solucoes Digitais S/a</v>
      </c>
      <c r="R8798" s="33">
        <f>IFERROR(__xludf.DUMMYFUNCTION("""COMPUTED_VALUE"""),1.0)</f>
        <v>1</v>
      </c>
      <c r="S8798" s="4" t="str">
        <f>IFERROR(__xludf.DUMMYFUNCTION("""COMPUTED_VALUE"""),"Anota Ai Solucoes Digitais S/a")</f>
        <v>Anota Ai Solucoes Digitais S/a</v>
      </c>
      <c r="T8798" s="33">
        <f>IFERROR(__xludf.DUMMYFUNCTION("""COMPUTED_VALUE"""),1.0)</f>
        <v>1</v>
      </c>
      <c r="U8798" s="4" t="str">
        <f>IFERROR(__xludf.DUMMYFUNCTION("""COMPUTED_VALUE"""),"Anota Ai Solucoes Digitais S/a")</f>
        <v>Anota Ai Solucoes Digitais S/a</v>
      </c>
      <c r="V8798" s="33">
        <f>IFERROR(__xludf.DUMMYFUNCTION("""COMPUTED_VALUE"""),1.0)</f>
        <v>1</v>
      </c>
      <c r="W8798" s="4" t="str">
        <f>IFERROR(__xludf.DUMMYFUNCTION("""COMPUTED_VALUE"""),"Anota Ai Solucoes Digitais S/a")</f>
        <v>Anota Ai Solucoes Digitais S/a</v>
      </c>
      <c r="X8798" s="33">
        <f>IFERROR(__xludf.DUMMYFUNCTION("""COMPUTED_VALUE"""),1.0)</f>
        <v>1</v>
      </c>
    </row>
    <row r="8799">
      <c r="K8799" s="4" t="str">
        <f>IFERROR(__xludf.DUMMYFUNCTION("""COMPUTED_VALUE"""),"LEM BURGUER")</f>
        <v>LEM BURGUER</v>
      </c>
      <c r="L8799" s="32">
        <f>IFERROR(__xludf.DUMMYFUNCTION("""COMPUTED_VALUE"""),1.0)</f>
        <v>1</v>
      </c>
      <c r="M8799" s="4" t="str">
        <f>IFERROR(__xludf.DUMMYFUNCTION("""COMPUTED_VALUE"""),"Instadelivery")</f>
        <v>Instadelivery</v>
      </c>
      <c r="N8799" s="33">
        <f>IFERROR(__xludf.DUMMYFUNCTION("""COMPUTED_VALUE"""),1.0)</f>
        <v>1</v>
      </c>
      <c r="O8799" s="4" t="str">
        <f>IFERROR(__xludf.DUMMYFUNCTION("""COMPUTED_VALUE"""),"Instadelivery")</f>
        <v>Instadelivery</v>
      </c>
      <c r="P8799" s="33">
        <f>IFERROR(__xludf.DUMMYFUNCTION("""COMPUTED_VALUE"""),1.0)</f>
        <v>1</v>
      </c>
      <c r="Q8799" s="4" t="str">
        <f>IFERROR(__xludf.DUMMYFUNCTION("""COMPUTED_VALUE"""),"Instadelivery")</f>
        <v>Instadelivery</v>
      </c>
      <c r="R8799" s="33">
        <f>IFERROR(__xludf.DUMMYFUNCTION("""COMPUTED_VALUE"""),1.0)</f>
        <v>1</v>
      </c>
      <c r="S8799" s="4" t="str">
        <f>IFERROR(__xludf.DUMMYFUNCTION("""COMPUTED_VALUE"""),"Instadelivery")</f>
        <v>Instadelivery</v>
      </c>
      <c r="T8799" s="33">
        <f>IFERROR(__xludf.DUMMYFUNCTION("""COMPUTED_VALUE"""),1.0)</f>
        <v>1</v>
      </c>
      <c r="U8799" s="4" t="str">
        <f>IFERROR(__xludf.DUMMYFUNCTION("""COMPUTED_VALUE"""),"Instadelivery")</f>
        <v>Instadelivery</v>
      </c>
      <c r="V8799" s="33">
        <f>IFERROR(__xludf.DUMMYFUNCTION("""COMPUTED_VALUE"""),1.0)</f>
        <v>1</v>
      </c>
      <c r="W8799" s="4" t="str">
        <f>IFERROR(__xludf.DUMMYFUNCTION("""COMPUTED_VALUE"""),"Instadelivery")</f>
        <v>Instadelivery</v>
      </c>
      <c r="X8799" s="33">
        <f>IFERROR(__xludf.DUMMYFUNCTION("""COMPUTED_VALUE"""),1.0)</f>
        <v>1</v>
      </c>
    </row>
    <row r="8800">
      <c r="K8800" s="4" t="str">
        <f>IFERROR(__xludf.DUMMYFUNCTION("""COMPUTED_VALUE"""),"CASA DO SUCO")</f>
        <v>CASA DO SUCO</v>
      </c>
      <c r="L8800" s="32">
        <f>IFERROR(__xludf.DUMMYFUNCTION("""COMPUTED_VALUE"""),1.0)</f>
        <v>1</v>
      </c>
      <c r="M8800" s="4" t="str">
        <f>IFERROR(__xludf.DUMMYFUNCTION("""COMPUTED_VALUE"""),"Saipos Serviços De Software")</f>
        <v>Saipos Serviços De Software</v>
      </c>
      <c r="N8800" s="33">
        <f>IFERROR(__xludf.DUMMYFUNCTION("""COMPUTED_VALUE"""),1.0)</f>
        <v>1</v>
      </c>
      <c r="O8800" s="4" t="str">
        <f>IFERROR(__xludf.DUMMYFUNCTION("""COMPUTED_VALUE"""),"Saipos Serviços De Software")</f>
        <v>Saipos Serviços De Software</v>
      </c>
      <c r="P8800" s="33">
        <f>IFERROR(__xludf.DUMMYFUNCTION("""COMPUTED_VALUE"""),1.0)</f>
        <v>1</v>
      </c>
      <c r="Q8800" s="4" t="str">
        <f>IFERROR(__xludf.DUMMYFUNCTION("""COMPUTED_VALUE"""),"Saipos Serviços De Software")</f>
        <v>Saipos Serviços De Software</v>
      </c>
      <c r="R8800" s="33">
        <f>IFERROR(__xludf.DUMMYFUNCTION("""COMPUTED_VALUE"""),1.0)</f>
        <v>1</v>
      </c>
      <c r="S8800" s="4" t="str">
        <f>IFERROR(__xludf.DUMMYFUNCTION("""COMPUTED_VALUE"""),"Saipos Serviços De Software")</f>
        <v>Saipos Serviços De Software</v>
      </c>
      <c r="T8800" s="33">
        <f>IFERROR(__xludf.DUMMYFUNCTION("""COMPUTED_VALUE"""),1.0)</f>
        <v>1</v>
      </c>
      <c r="U8800" s="4" t="str">
        <f>IFERROR(__xludf.DUMMYFUNCTION("""COMPUTED_VALUE"""),"Saipos Serviços De Software")</f>
        <v>Saipos Serviços De Software</v>
      </c>
      <c r="V8800" s="33">
        <f>IFERROR(__xludf.DUMMYFUNCTION("""COMPUTED_VALUE"""),1.0)</f>
        <v>1</v>
      </c>
      <c r="W8800" s="4" t="str">
        <f>IFERROR(__xludf.DUMMYFUNCTION("""COMPUTED_VALUE"""),"Saipos Serviços De Software")</f>
        <v>Saipos Serviços De Software</v>
      </c>
      <c r="X8800" s="33">
        <f>IFERROR(__xludf.DUMMYFUNCTION("""COMPUTED_VALUE"""),1.0)</f>
        <v>1</v>
      </c>
    </row>
    <row r="8801">
      <c r="K8801" s="4" t="str">
        <f>IFERROR(__xludf.DUMMYFUNCTION("""COMPUTED_VALUE"""),"QUE TAL LANCHE")</f>
        <v>QUE TAL LANCHE</v>
      </c>
      <c r="L8801" s="32">
        <f>IFERROR(__xludf.DUMMYFUNCTION("""COMPUTED_VALUE"""),1.0)</f>
        <v>1</v>
      </c>
      <c r="M8801" s="4" t="str">
        <f>IFERROR(__xludf.DUMMYFUNCTION("""COMPUTED_VALUE"""),"Saipos Serviços De Software")</f>
        <v>Saipos Serviços De Software</v>
      </c>
      <c r="N8801" s="33">
        <f>IFERROR(__xludf.DUMMYFUNCTION("""COMPUTED_VALUE"""),1.0)</f>
        <v>1</v>
      </c>
      <c r="O8801" s="4" t="str">
        <f>IFERROR(__xludf.DUMMYFUNCTION("""COMPUTED_VALUE"""),"Saipos Serviços De Software")</f>
        <v>Saipos Serviços De Software</v>
      </c>
      <c r="P8801" s="33">
        <f>IFERROR(__xludf.DUMMYFUNCTION("""COMPUTED_VALUE"""),1.0)</f>
        <v>1</v>
      </c>
      <c r="Q8801" s="4" t="str">
        <f>IFERROR(__xludf.DUMMYFUNCTION("""COMPUTED_VALUE"""),"Saipos Serviços De Software")</f>
        <v>Saipos Serviços De Software</v>
      </c>
      <c r="R8801" s="33">
        <f>IFERROR(__xludf.DUMMYFUNCTION("""COMPUTED_VALUE"""),1.0)</f>
        <v>1</v>
      </c>
      <c r="S8801" s="4" t="str">
        <f>IFERROR(__xludf.DUMMYFUNCTION("""COMPUTED_VALUE"""),"Saipos Serviços De Software")</f>
        <v>Saipos Serviços De Software</v>
      </c>
      <c r="T8801" s="33">
        <f>IFERROR(__xludf.DUMMYFUNCTION("""COMPUTED_VALUE"""),1.0)</f>
        <v>1</v>
      </c>
      <c r="U8801" s="4" t="str">
        <f>IFERROR(__xludf.DUMMYFUNCTION("""COMPUTED_VALUE"""),"Saipos Serviços De Software")</f>
        <v>Saipos Serviços De Software</v>
      </c>
      <c r="V8801" s="33">
        <f>IFERROR(__xludf.DUMMYFUNCTION("""COMPUTED_VALUE"""),1.0)</f>
        <v>1</v>
      </c>
      <c r="W8801" s="4" t="str">
        <f>IFERROR(__xludf.DUMMYFUNCTION("""COMPUTED_VALUE"""),"Saipos Serviços De Software")</f>
        <v>Saipos Serviços De Software</v>
      </c>
      <c r="X8801" s="33">
        <f>IFERROR(__xludf.DUMMYFUNCTION("""COMPUTED_VALUE"""),1.0)</f>
        <v>1</v>
      </c>
    </row>
    <row r="8802">
      <c r="K8802" s="4" t="str">
        <f>IFERROR(__xludf.DUMMYFUNCTION("""COMPUTED_VALUE"""),"CARRUNTAS CHICKENS")</f>
        <v>CARRUNTAS CHICKENS</v>
      </c>
      <c r="L8802" s="32">
        <f>IFERROR(__xludf.DUMMYFUNCTION("""COMPUTED_VALUE"""),1.0)</f>
        <v>1</v>
      </c>
      <c r="M8802" s="4" t="str">
        <f>IFERROR(__xludf.DUMMYFUNCTION("""COMPUTED_VALUE"""),"Consumer Soluções Em Tecnologia Ltda")</f>
        <v>Consumer Soluções Em Tecnologia Ltda</v>
      </c>
      <c r="N8802" s="33">
        <f>IFERROR(__xludf.DUMMYFUNCTION("""COMPUTED_VALUE"""),1.0)</f>
        <v>1</v>
      </c>
      <c r="O8802" s="4" t="str">
        <f>IFERROR(__xludf.DUMMYFUNCTION("""COMPUTED_VALUE"""),"null")</f>
        <v>null</v>
      </c>
      <c r="P8802" s="33">
        <f>IFERROR(__xludf.DUMMYFUNCTION("""COMPUTED_VALUE"""),1.0)</f>
        <v>1</v>
      </c>
      <c r="Q8802" s="4" t="str">
        <f>IFERROR(__xludf.DUMMYFUNCTION("""COMPUTED_VALUE"""),"Consumer Soluções Em Tecnologia Ltda")</f>
        <v>Consumer Soluções Em Tecnologia Ltda</v>
      </c>
      <c r="R8802" s="33">
        <f>IFERROR(__xludf.DUMMYFUNCTION("""COMPUTED_VALUE"""),1.0)</f>
        <v>1</v>
      </c>
      <c r="S8802" s="4" t="str">
        <f>IFERROR(__xludf.DUMMYFUNCTION("""COMPUTED_VALUE"""),"Consumer Soluções Em Tecnologia Ltda")</f>
        <v>Consumer Soluções Em Tecnologia Ltda</v>
      </c>
      <c r="T8802" s="33">
        <f>IFERROR(__xludf.DUMMYFUNCTION("""COMPUTED_VALUE"""),1.0)</f>
        <v>1</v>
      </c>
      <c r="U8802" s="4" t="str">
        <f>IFERROR(__xludf.DUMMYFUNCTION("""COMPUTED_VALUE"""),"null")</f>
        <v>null</v>
      </c>
      <c r="V8802" s="33">
        <f>IFERROR(__xludf.DUMMYFUNCTION("""COMPUTED_VALUE"""),1.0)</f>
        <v>1</v>
      </c>
      <c r="W8802" s="4" t="str">
        <f>IFERROR(__xludf.DUMMYFUNCTION("""COMPUTED_VALUE"""),"Consumer Soluções Em Tecnologia Ltda")</f>
        <v>Consumer Soluções Em Tecnologia Ltda</v>
      </c>
      <c r="X8802" s="33">
        <f>IFERROR(__xludf.DUMMYFUNCTION("""COMPUTED_VALUE"""),1.0)</f>
        <v>1</v>
      </c>
    </row>
    <row r="8803">
      <c r="K8803" s="4" t="str">
        <f>IFERROR(__xludf.DUMMYFUNCTION("""COMPUTED_VALUE"""),"HOT SALTY SALGADERIA - UNIDADE 3")</f>
        <v>HOT SALTY SALGADERIA - UNIDADE 3</v>
      </c>
      <c r="L8803" s="32">
        <f>IFERROR(__xludf.DUMMYFUNCTION("""COMPUTED_VALUE"""),1.0)</f>
        <v>1</v>
      </c>
      <c r="M8803" s="4" t="str">
        <f>IFERROR(__xludf.DUMMYFUNCTION("""COMPUTED_VALUE"""),"Consumer Soluções Em Tecnologia Ltda")</f>
        <v>Consumer Soluções Em Tecnologia Ltda</v>
      </c>
      <c r="N8803" s="33">
        <f>IFERROR(__xludf.DUMMYFUNCTION("""COMPUTED_VALUE"""),1.0)</f>
        <v>1</v>
      </c>
      <c r="O8803" s="4" t="str">
        <f>IFERROR(__xludf.DUMMYFUNCTION("""COMPUTED_VALUE"""),"null")</f>
        <v>null</v>
      </c>
      <c r="P8803" s="33">
        <f>IFERROR(__xludf.DUMMYFUNCTION("""COMPUTED_VALUE"""),1.0)</f>
        <v>1</v>
      </c>
      <c r="Q8803" s="4" t="str">
        <f>IFERROR(__xludf.DUMMYFUNCTION("""COMPUTED_VALUE"""),"Consumer Soluções Em Tecnologia Ltda")</f>
        <v>Consumer Soluções Em Tecnologia Ltda</v>
      </c>
      <c r="R8803" s="33">
        <f>IFERROR(__xludf.DUMMYFUNCTION("""COMPUTED_VALUE"""),1.0)</f>
        <v>1</v>
      </c>
      <c r="S8803" s="4" t="str">
        <f>IFERROR(__xludf.DUMMYFUNCTION("""COMPUTED_VALUE"""),"null")</f>
        <v>null</v>
      </c>
      <c r="T8803" s="33">
        <f>IFERROR(__xludf.DUMMYFUNCTION("""COMPUTED_VALUE"""),1.0)</f>
        <v>1</v>
      </c>
      <c r="U8803" s="4" t="str">
        <f>IFERROR(__xludf.DUMMYFUNCTION("""COMPUTED_VALUE"""),"null")</f>
        <v>null</v>
      </c>
      <c r="V8803" s="33">
        <f>IFERROR(__xludf.DUMMYFUNCTION("""COMPUTED_VALUE"""),1.0)</f>
        <v>1</v>
      </c>
      <c r="W8803" s="4" t="str">
        <f>IFERROR(__xludf.DUMMYFUNCTION("""COMPUTED_VALUE"""),"Consumer Soluções Em Tecnologia Ltda")</f>
        <v>Consumer Soluções Em Tecnologia Ltda</v>
      </c>
      <c r="X8803" s="33">
        <f>IFERROR(__xludf.DUMMYFUNCTION("""COMPUTED_VALUE"""),1.0)</f>
        <v>1</v>
      </c>
    </row>
    <row r="8804">
      <c r="K8804" s="4" t="str">
        <f>IFERROR(__xludf.DUMMYFUNCTION("""COMPUTED_VALUE"""),"PIZZARIA MAMMA MIA - UNIDADE SAO JOAO")</f>
        <v>PIZZARIA MAMMA MIA - UNIDADE SAO JOAO</v>
      </c>
      <c r="L8804" s="32">
        <f>IFERROR(__xludf.DUMMYFUNCTION("""COMPUTED_VALUE"""),1.0)</f>
        <v>1</v>
      </c>
      <c r="M8804" s="4" t="str">
        <f>IFERROR(__xludf.DUMMYFUNCTION("""COMPUTED_VALUE"""),"Sistema Pallas")</f>
        <v>Sistema Pallas</v>
      </c>
      <c r="N8804" s="33">
        <f>IFERROR(__xludf.DUMMYFUNCTION("""COMPUTED_VALUE"""),1.0)</f>
        <v>1</v>
      </c>
      <c r="O8804" s="4" t="str">
        <f>IFERROR(__xludf.DUMMYFUNCTION("""COMPUTED_VALUE"""),"Sistema Pallas")</f>
        <v>Sistema Pallas</v>
      </c>
      <c r="P8804" s="33">
        <f>IFERROR(__xludf.DUMMYFUNCTION("""COMPUTED_VALUE"""),1.0)</f>
        <v>1</v>
      </c>
      <c r="Q8804" s="4" t="str">
        <f>IFERROR(__xludf.DUMMYFUNCTION("""COMPUTED_VALUE"""),"Sistema Pallas")</f>
        <v>Sistema Pallas</v>
      </c>
      <c r="R8804" s="33">
        <f>IFERROR(__xludf.DUMMYFUNCTION("""COMPUTED_VALUE"""),1.0)</f>
        <v>1</v>
      </c>
      <c r="S8804" s="4" t="str">
        <f>IFERROR(__xludf.DUMMYFUNCTION("""COMPUTED_VALUE"""),"Sistema Pallas")</f>
        <v>Sistema Pallas</v>
      </c>
      <c r="T8804" s="33">
        <f>IFERROR(__xludf.DUMMYFUNCTION("""COMPUTED_VALUE"""),1.0)</f>
        <v>1</v>
      </c>
      <c r="U8804" s="4" t="str">
        <f>IFERROR(__xludf.DUMMYFUNCTION("""COMPUTED_VALUE"""),"Sistema Pallas")</f>
        <v>Sistema Pallas</v>
      </c>
      <c r="V8804" s="33">
        <f>IFERROR(__xludf.DUMMYFUNCTION("""COMPUTED_VALUE"""),1.0)</f>
        <v>1</v>
      </c>
      <c r="W8804" s="4" t="str">
        <f>IFERROR(__xludf.DUMMYFUNCTION("""COMPUTED_VALUE"""),"Sistema Pallas")</f>
        <v>Sistema Pallas</v>
      </c>
      <c r="X8804" s="33">
        <f>IFERROR(__xludf.DUMMYFUNCTION("""COMPUTED_VALUE"""),1.0)</f>
        <v>1</v>
      </c>
    </row>
    <row r="8805">
      <c r="K8805" s="4" t="str">
        <f>IFERROR(__xludf.DUMMYFUNCTION("""COMPUTED_VALUE"""),"ARIZONA RESTAURANTE")</f>
        <v>ARIZONA RESTAURANTE</v>
      </c>
      <c r="L8805" s="32">
        <f>IFERROR(__xludf.DUMMYFUNCTION("""COMPUTED_VALUE"""),1.0)</f>
        <v>1</v>
      </c>
      <c r="M8805" s="4" t="str">
        <f>IFERROR(__xludf.DUMMYFUNCTION("""COMPUTED_VALUE"""),"Lad Sistemas")</f>
        <v>Lad Sistemas</v>
      </c>
      <c r="N8805" s="33">
        <f>IFERROR(__xludf.DUMMYFUNCTION("""COMPUTED_VALUE"""),1.0)</f>
        <v>1</v>
      </c>
      <c r="O8805" s="4" t="str">
        <f>IFERROR(__xludf.DUMMYFUNCTION("""COMPUTED_VALUE"""),"null")</f>
        <v>null</v>
      </c>
      <c r="P8805" s="33">
        <f>IFERROR(__xludf.DUMMYFUNCTION("""COMPUTED_VALUE"""),1.0)</f>
        <v>1</v>
      </c>
      <c r="Q8805" s="4" t="str">
        <f>IFERROR(__xludf.DUMMYFUNCTION("""COMPUTED_VALUE"""),"Lad Sistemas")</f>
        <v>Lad Sistemas</v>
      </c>
      <c r="R8805" s="33">
        <f>IFERROR(__xludf.DUMMYFUNCTION("""COMPUTED_VALUE"""),1.0)</f>
        <v>1</v>
      </c>
      <c r="S8805" s="4" t="str">
        <f>IFERROR(__xludf.DUMMYFUNCTION("""COMPUTED_VALUE"""),"null")</f>
        <v>null</v>
      </c>
      <c r="T8805" s="33">
        <f>IFERROR(__xludf.DUMMYFUNCTION("""COMPUTED_VALUE"""),1.0)</f>
        <v>1</v>
      </c>
      <c r="U8805" s="4" t="str">
        <f>IFERROR(__xludf.DUMMYFUNCTION("""COMPUTED_VALUE"""),"Lad Sistemas")</f>
        <v>Lad Sistemas</v>
      </c>
      <c r="V8805" s="33">
        <f>IFERROR(__xludf.DUMMYFUNCTION("""COMPUTED_VALUE"""),1.0)</f>
        <v>1</v>
      </c>
      <c r="W8805" s="4" t="str">
        <f>IFERROR(__xludf.DUMMYFUNCTION("""COMPUTED_VALUE"""),"Lad Sistemas")</f>
        <v>Lad Sistemas</v>
      </c>
      <c r="X8805" s="33">
        <f>IFERROR(__xludf.DUMMYFUNCTION("""COMPUTED_VALUE"""),1.0)</f>
        <v>1</v>
      </c>
    </row>
    <row r="8806">
      <c r="K8806" s="4" t="str">
        <f>IFERROR(__xludf.DUMMYFUNCTION("""COMPUTED_VALUE"""),"PASTELARIA CB CHICKO")</f>
        <v>PASTELARIA CB CHICKO</v>
      </c>
      <c r="L8806" s="32">
        <f>IFERROR(__xludf.DUMMYFUNCTION("""COMPUTED_VALUE"""),1.0)</f>
        <v>1</v>
      </c>
      <c r="M8806" s="4" t="str">
        <f>IFERROR(__xludf.DUMMYFUNCTION("""COMPUTED_VALUE"""),"Anota Ai Solucoes Digitais S/a")</f>
        <v>Anota Ai Solucoes Digitais S/a</v>
      </c>
      <c r="N8806" s="33">
        <f>IFERROR(__xludf.DUMMYFUNCTION("""COMPUTED_VALUE"""),1.0)</f>
        <v>1</v>
      </c>
      <c r="O8806" s="4" t="str">
        <f>IFERROR(__xludf.DUMMYFUNCTION("""COMPUTED_VALUE"""),"Brendi")</f>
        <v>Brendi</v>
      </c>
      <c r="P8806" s="33">
        <f>IFERROR(__xludf.DUMMYFUNCTION("""COMPUTED_VALUE"""),1.0)</f>
        <v>1</v>
      </c>
      <c r="Q8806" s="4" t="str">
        <f>IFERROR(__xludf.DUMMYFUNCTION("""COMPUTED_VALUE"""),"Brendi")</f>
        <v>Brendi</v>
      </c>
      <c r="R8806" s="33">
        <f>IFERROR(__xludf.DUMMYFUNCTION("""COMPUTED_VALUE"""),1.0)</f>
        <v>1</v>
      </c>
      <c r="S8806" s="4" t="str">
        <f>IFERROR(__xludf.DUMMYFUNCTION("""COMPUTED_VALUE"""),"Brendi")</f>
        <v>Brendi</v>
      </c>
      <c r="T8806" s="33">
        <f>IFERROR(__xludf.DUMMYFUNCTION("""COMPUTED_VALUE"""),1.0)</f>
        <v>1</v>
      </c>
      <c r="U8806" s="4" t="str">
        <f>IFERROR(__xludf.DUMMYFUNCTION("""COMPUTED_VALUE"""),"null")</f>
        <v>null</v>
      </c>
      <c r="V8806" s="33">
        <f>IFERROR(__xludf.DUMMYFUNCTION("""COMPUTED_VALUE"""),1.0)</f>
        <v>1</v>
      </c>
      <c r="W8806" s="4" t="str">
        <f>IFERROR(__xludf.DUMMYFUNCTION("""COMPUTED_VALUE"""),"null")</f>
        <v>null</v>
      </c>
      <c r="X8806" s="33">
        <f>IFERROR(__xludf.DUMMYFUNCTION("""COMPUTED_VALUE"""),1.0)</f>
        <v>1</v>
      </c>
    </row>
    <row r="8807">
      <c r="K8807" s="4" t="str">
        <f>IFERROR(__xludf.DUMMYFUNCTION("""COMPUTED_VALUE"""),"CHURRASQUINHO DO XANDAO REI DO MEDALHAO")</f>
        <v>CHURRASQUINHO DO XANDAO REI DO MEDALHAO</v>
      </c>
      <c r="L8807" s="32">
        <f>IFERROR(__xludf.DUMMYFUNCTION("""COMPUTED_VALUE"""),1.0)</f>
        <v>1</v>
      </c>
      <c r="M8807" s="4" t="str">
        <f>IFERROR(__xludf.DUMMYFUNCTION("""COMPUTED_VALUE"""),"Anota Ai Solucoes Digitais S/a")</f>
        <v>Anota Ai Solucoes Digitais S/a</v>
      </c>
      <c r="N8807" s="33">
        <f>IFERROR(__xludf.DUMMYFUNCTION("""COMPUTED_VALUE"""),1.0)</f>
        <v>1</v>
      </c>
      <c r="O8807" s="4" t="str">
        <f>IFERROR(__xludf.DUMMYFUNCTION("""COMPUTED_VALUE"""),"Anota Ai Solucoes Digitais S/a")</f>
        <v>Anota Ai Solucoes Digitais S/a</v>
      </c>
      <c r="P8807" s="33">
        <f>IFERROR(__xludf.DUMMYFUNCTION("""COMPUTED_VALUE"""),1.0)</f>
        <v>1</v>
      </c>
      <c r="Q8807" s="4" t="str">
        <f>IFERROR(__xludf.DUMMYFUNCTION("""COMPUTED_VALUE"""),"Anota Ai Solucoes Digitais S/a")</f>
        <v>Anota Ai Solucoes Digitais S/a</v>
      </c>
      <c r="R8807" s="33">
        <f>IFERROR(__xludf.DUMMYFUNCTION("""COMPUTED_VALUE"""),1.0)</f>
        <v>1</v>
      </c>
      <c r="S8807" s="4" t="str">
        <f>IFERROR(__xludf.DUMMYFUNCTION("""COMPUTED_VALUE"""),"Anota Ai Solucoes Digitais S/a")</f>
        <v>Anota Ai Solucoes Digitais S/a</v>
      </c>
      <c r="T8807" s="33">
        <f>IFERROR(__xludf.DUMMYFUNCTION("""COMPUTED_VALUE"""),1.0)</f>
        <v>1</v>
      </c>
      <c r="U8807" s="4" t="str">
        <f>IFERROR(__xludf.DUMMYFUNCTION("""COMPUTED_VALUE"""),"Anota Ai Solucoes Digitais S/a")</f>
        <v>Anota Ai Solucoes Digitais S/a</v>
      </c>
      <c r="V8807" s="33">
        <f>IFERROR(__xludf.DUMMYFUNCTION("""COMPUTED_VALUE"""),1.0)</f>
        <v>1</v>
      </c>
      <c r="W8807" s="4" t="str">
        <f>IFERROR(__xludf.DUMMYFUNCTION("""COMPUTED_VALUE"""),"Anota Ai Solucoes Digitais S/a")</f>
        <v>Anota Ai Solucoes Digitais S/a</v>
      </c>
      <c r="X8807" s="33">
        <f>IFERROR(__xludf.DUMMYFUNCTION("""COMPUTED_VALUE"""),1.0)</f>
        <v>1</v>
      </c>
    </row>
    <row r="8808">
      <c r="K8808" s="4" t="str">
        <f>IFERROR(__xludf.DUMMYFUNCTION("""COMPUTED_VALUE"""),"ACAI MILK SHAKE TROPICALLY")</f>
        <v>ACAI MILK SHAKE TROPICALLY</v>
      </c>
      <c r="L8808" s="32">
        <f>IFERROR(__xludf.DUMMYFUNCTION("""COMPUTED_VALUE"""),1.0)</f>
        <v>1</v>
      </c>
      <c r="M8808" s="4" t="str">
        <f>IFERROR(__xludf.DUMMYFUNCTION("""COMPUTED_VALUE"""),"Saipos Serviços De Software")</f>
        <v>Saipos Serviços De Software</v>
      </c>
      <c r="N8808" s="33">
        <f>IFERROR(__xludf.DUMMYFUNCTION("""COMPUTED_VALUE"""),1.0)</f>
        <v>1</v>
      </c>
      <c r="O8808" s="4" t="str">
        <f>IFERROR(__xludf.DUMMYFUNCTION("""COMPUTED_VALUE"""),"Saipos Serviços De Software")</f>
        <v>Saipos Serviços De Software</v>
      </c>
      <c r="P8808" s="33">
        <f>IFERROR(__xludf.DUMMYFUNCTION("""COMPUTED_VALUE"""),1.0)</f>
        <v>1</v>
      </c>
      <c r="Q8808" s="4" t="str">
        <f>IFERROR(__xludf.DUMMYFUNCTION("""COMPUTED_VALUE"""),"Saipos Serviços De Software")</f>
        <v>Saipos Serviços De Software</v>
      </c>
      <c r="R8808" s="33">
        <f>IFERROR(__xludf.DUMMYFUNCTION("""COMPUTED_VALUE"""),1.0)</f>
        <v>1</v>
      </c>
      <c r="S8808" s="4" t="str">
        <f>IFERROR(__xludf.DUMMYFUNCTION("""COMPUTED_VALUE"""),"Saipos Serviços De Software")</f>
        <v>Saipos Serviços De Software</v>
      </c>
      <c r="T8808" s="33">
        <f>IFERROR(__xludf.DUMMYFUNCTION("""COMPUTED_VALUE"""),1.0)</f>
        <v>1</v>
      </c>
      <c r="U8808" s="4" t="str">
        <f>IFERROR(__xludf.DUMMYFUNCTION("""COMPUTED_VALUE"""),"Saipos Serviços De Software")</f>
        <v>Saipos Serviços De Software</v>
      </c>
      <c r="V8808" s="33">
        <f>IFERROR(__xludf.DUMMYFUNCTION("""COMPUTED_VALUE"""),1.0)</f>
        <v>1</v>
      </c>
      <c r="W8808" s="4" t="str">
        <f>IFERROR(__xludf.DUMMYFUNCTION("""COMPUTED_VALUE"""),"Saipos Serviços De Software")</f>
        <v>Saipos Serviços De Software</v>
      </c>
      <c r="X8808" s="33">
        <f>IFERROR(__xludf.DUMMYFUNCTION("""COMPUTED_VALUE"""),1.0)</f>
        <v>1</v>
      </c>
    </row>
    <row r="8809">
      <c r="K8809" s="4" t="str">
        <f>IFERROR(__xludf.DUMMYFUNCTION("""COMPUTED_VALUE"""),"TIO PANDA")</f>
        <v>TIO PANDA</v>
      </c>
      <c r="L8809" s="32">
        <f>IFERROR(__xludf.DUMMYFUNCTION("""COMPUTED_VALUE"""),1.0)</f>
        <v>1</v>
      </c>
      <c r="M8809" s="4" t="str">
        <f>IFERROR(__xludf.DUMMYFUNCTION("""COMPUTED_VALUE"""),"Starway Sistemas")</f>
        <v>Starway Sistemas</v>
      </c>
      <c r="N8809" s="33">
        <f>IFERROR(__xludf.DUMMYFUNCTION("""COMPUTED_VALUE"""),1.0)</f>
        <v>1</v>
      </c>
      <c r="O8809" s="4" t="str">
        <f>IFERROR(__xludf.DUMMYFUNCTION("""COMPUTED_VALUE"""),"Starway Sistemas")</f>
        <v>Starway Sistemas</v>
      </c>
      <c r="P8809" s="33">
        <f>IFERROR(__xludf.DUMMYFUNCTION("""COMPUTED_VALUE"""),1.0)</f>
        <v>1</v>
      </c>
      <c r="Q8809" s="4" t="str">
        <f>IFERROR(__xludf.DUMMYFUNCTION("""COMPUTED_VALUE"""),"Starway Sistemas")</f>
        <v>Starway Sistemas</v>
      </c>
      <c r="R8809" s="33">
        <f>IFERROR(__xludf.DUMMYFUNCTION("""COMPUTED_VALUE"""),1.0)</f>
        <v>1</v>
      </c>
      <c r="S8809" s="4" t="str">
        <f>IFERROR(__xludf.DUMMYFUNCTION("""COMPUTED_VALUE"""),"Starway Sistemas")</f>
        <v>Starway Sistemas</v>
      </c>
      <c r="T8809" s="33">
        <f>IFERROR(__xludf.DUMMYFUNCTION("""COMPUTED_VALUE"""),1.0)</f>
        <v>1</v>
      </c>
      <c r="U8809" s="4" t="str">
        <f>IFERROR(__xludf.DUMMYFUNCTION("""COMPUTED_VALUE"""),"Starway Sistemas")</f>
        <v>Starway Sistemas</v>
      </c>
      <c r="V8809" s="33">
        <f>IFERROR(__xludf.DUMMYFUNCTION("""COMPUTED_VALUE"""),1.0)</f>
        <v>1</v>
      </c>
      <c r="W8809" s="4" t="str">
        <f>IFERROR(__xludf.DUMMYFUNCTION("""COMPUTED_VALUE"""),"Starway Sistemas")</f>
        <v>Starway Sistemas</v>
      </c>
      <c r="X8809" s="33">
        <f>IFERROR(__xludf.DUMMYFUNCTION("""COMPUTED_VALUE"""),1.0)</f>
        <v>1</v>
      </c>
    </row>
    <row r="8810">
      <c r="K8810" s="4" t="str">
        <f>IFERROR(__xludf.DUMMYFUNCTION("""COMPUTED_VALUE"""),"ATELIE DA LASANHA")</f>
        <v>ATELIE DA LASANHA</v>
      </c>
      <c r="L8810" s="32">
        <f>IFERROR(__xludf.DUMMYFUNCTION("""COMPUTED_VALUE"""),1.0)</f>
        <v>1</v>
      </c>
      <c r="M8810" s="4" t="str">
        <f>IFERROR(__xludf.DUMMYFUNCTION("""COMPUTED_VALUE"""),"Instadelivery")</f>
        <v>Instadelivery</v>
      </c>
      <c r="N8810" s="33">
        <f>IFERROR(__xludf.DUMMYFUNCTION("""COMPUTED_VALUE"""),1.0)</f>
        <v>1</v>
      </c>
      <c r="O8810" s="4" t="str">
        <f>IFERROR(__xludf.DUMMYFUNCTION("""COMPUTED_VALUE"""),"Instadelivery")</f>
        <v>Instadelivery</v>
      </c>
      <c r="P8810" s="33">
        <f>IFERROR(__xludf.DUMMYFUNCTION("""COMPUTED_VALUE"""),1.0)</f>
        <v>1</v>
      </c>
      <c r="Q8810" s="4" t="str">
        <f>IFERROR(__xludf.DUMMYFUNCTION("""COMPUTED_VALUE"""),"Instadelivery")</f>
        <v>Instadelivery</v>
      </c>
      <c r="R8810" s="33">
        <f>IFERROR(__xludf.DUMMYFUNCTION("""COMPUTED_VALUE"""),1.0)</f>
        <v>1</v>
      </c>
      <c r="S8810" s="4" t="str">
        <f>IFERROR(__xludf.DUMMYFUNCTION("""COMPUTED_VALUE"""),"Instadelivery")</f>
        <v>Instadelivery</v>
      </c>
      <c r="T8810" s="33">
        <f>IFERROR(__xludf.DUMMYFUNCTION("""COMPUTED_VALUE"""),1.0)</f>
        <v>1</v>
      </c>
      <c r="U8810" s="4" t="str">
        <f>IFERROR(__xludf.DUMMYFUNCTION("""COMPUTED_VALUE"""),"null")</f>
        <v>null</v>
      </c>
      <c r="V8810" s="33">
        <f>IFERROR(__xludf.DUMMYFUNCTION("""COMPUTED_VALUE"""),1.0)</f>
        <v>1</v>
      </c>
      <c r="W8810" s="4" t="str">
        <f>IFERROR(__xludf.DUMMYFUNCTION("""COMPUTED_VALUE"""),"null")</f>
        <v>null</v>
      </c>
      <c r="X8810" s="33">
        <f>IFERROR(__xludf.DUMMYFUNCTION("""COMPUTED_VALUE"""),1.0)</f>
        <v>1</v>
      </c>
    </row>
    <row r="8811">
      <c r="K8811" s="4" t="str">
        <f>IFERROR(__xludf.DUMMYFUNCTION("""COMPUTED_VALUE"""),"JANDECO LANCHES")</f>
        <v>JANDECO LANCHES</v>
      </c>
      <c r="L8811" s="32">
        <f>IFERROR(__xludf.DUMMYFUNCTION("""COMPUTED_VALUE"""),1.0)</f>
        <v>1</v>
      </c>
      <c r="M8811" s="4" t="str">
        <f>IFERROR(__xludf.DUMMYFUNCTION("""COMPUTED_VALUE"""),"null")</f>
        <v>null</v>
      </c>
      <c r="N8811" s="33">
        <f>IFERROR(__xludf.DUMMYFUNCTION("""COMPUTED_VALUE"""),1.0)</f>
        <v>1</v>
      </c>
      <c r="O8811" s="4" t="str">
        <f>IFERROR(__xludf.DUMMYFUNCTION("""COMPUTED_VALUE"""),"Vekttor")</f>
        <v>Vekttor</v>
      </c>
      <c r="P8811" s="33">
        <f>IFERROR(__xludf.DUMMYFUNCTION("""COMPUTED_VALUE"""),1.0)</f>
        <v>1</v>
      </c>
      <c r="Q8811" s="4" t="str">
        <f>IFERROR(__xludf.DUMMYFUNCTION("""COMPUTED_VALUE"""),"Vekttor")</f>
        <v>Vekttor</v>
      </c>
      <c r="R8811" s="33">
        <f>IFERROR(__xludf.DUMMYFUNCTION("""COMPUTED_VALUE"""),1.0)</f>
        <v>1</v>
      </c>
      <c r="S8811" s="4" t="str">
        <f>IFERROR(__xludf.DUMMYFUNCTION("""COMPUTED_VALUE"""),"null")</f>
        <v>null</v>
      </c>
      <c r="T8811" s="33">
        <f>IFERROR(__xludf.DUMMYFUNCTION("""COMPUTED_VALUE"""),1.0)</f>
        <v>1</v>
      </c>
      <c r="U8811" s="4" t="str">
        <f>IFERROR(__xludf.DUMMYFUNCTION("""COMPUTED_VALUE"""),"null")</f>
        <v>null</v>
      </c>
      <c r="V8811" s="33">
        <f>IFERROR(__xludf.DUMMYFUNCTION("""COMPUTED_VALUE"""),1.0)</f>
        <v>1</v>
      </c>
      <c r="W8811" s="4" t="str">
        <f>IFERROR(__xludf.DUMMYFUNCTION("""COMPUTED_VALUE"""),"null")</f>
        <v>null</v>
      </c>
      <c r="X8811" s="33">
        <f>IFERROR(__xludf.DUMMYFUNCTION("""COMPUTED_VALUE"""),1.0)</f>
        <v>1</v>
      </c>
    </row>
    <row r="8812">
      <c r="K8812" s="4" t="str">
        <f>IFERROR(__xludf.DUMMYFUNCTION("""COMPUTED_VALUE"""),"FAMILIA ROSATI PIZZARIA")</f>
        <v>FAMILIA ROSATI PIZZARIA</v>
      </c>
      <c r="L8812" s="32">
        <f>IFERROR(__xludf.DUMMYFUNCTION("""COMPUTED_VALUE"""),1.0)</f>
        <v>1</v>
      </c>
      <c r="M8812" s="4" t="str">
        <f>IFERROR(__xludf.DUMMYFUNCTION("""COMPUTED_VALUE"""),"Insert Code Informatica Ltda")</f>
        <v>Insert Code Informatica Ltda</v>
      </c>
      <c r="N8812" s="33">
        <f>IFERROR(__xludf.DUMMYFUNCTION("""COMPUTED_VALUE"""),1.0)</f>
        <v>1</v>
      </c>
      <c r="O8812" s="4" t="str">
        <f>IFERROR(__xludf.DUMMYFUNCTION("""COMPUTED_VALUE"""),"Insert Code Informatica Ltda")</f>
        <v>Insert Code Informatica Ltda</v>
      </c>
      <c r="P8812" s="33">
        <f>IFERROR(__xludf.DUMMYFUNCTION("""COMPUTED_VALUE"""),1.0)</f>
        <v>1</v>
      </c>
      <c r="Q8812" s="4" t="str">
        <f>IFERROR(__xludf.DUMMYFUNCTION("""COMPUTED_VALUE"""),"Insert Code Informatica Ltda")</f>
        <v>Insert Code Informatica Ltda</v>
      </c>
      <c r="R8812" s="33">
        <f>IFERROR(__xludf.DUMMYFUNCTION("""COMPUTED_VALUE"""),1.0)</f>
        <v>1</v>
      </c>
      <c r="S8812" s="4" t="str">
        <f>IFERROR(__xludf.DUMMYFUNCTION("""COMPUTED_VALUE"""),"Insert Code Informatica Ltda")</f>
        <v>Insert Code Informatica Ltda</v>
      </c>
      <c r="T8812" s="33">
        <f>IFERROR(__xludf.DUMMYFUNCTION("""COMPUTED_VALUE"""),1.0)</f>
        <v>1</v>
      </c>
      <c r="U8812" s="4" t="str">
        <f>IFERROR(__xludf.DUMMYFUNCTION("""COMPUTED_VALUE"""),"Insert Code Informatica Ltda")</f>
        <v>Insert Code Informatica Ltda</v>
      </c>
      <c r="V8812" s="33">
        <f>IFERROR(__xludf.DUMMYFUNCTION("""COMPUTED_VALUE"""),1.0)</f>
        <v>1</v>
      </c>
      <c r="W8812" s="4" t="str">
        <f>IFERROR(__xludf.DUMMYFUNCTION("""COMPUTED_VALUE"""),"Insert Code Informatica Ltda")</f>
        <v>Insert Code Informatica Ltda</v>
      </c>
      <c r="X8812" s="33">
        <f>IFERROR(__xludf.DUMMYFUNCTION("""COMPUTED_VALUE"""),1.0)</f>
        <v>1</v>
      </c>
    </row>
    <row r="8813">
      <c r="K8813" s="4" t="str">
        <f>IFERROR(__xludf.DUMMYFUNCTION("""COMPUTED_VALUE"""),"NATIVAS GRILL BTN2")</f>
        <v>NATIVAS GRILL BTN2</v>
      </c>
      <c r="L8813" s="32">
        <f>IFERROR(__xludf.DUMMYFUNCTION("""COMPUTED_VALUE"""),1.0)</f>
        <v>1</v>
      </c>
      <c r="M8813" s="4" t="str">
        <f>IFERROR(__xludf.DUMMYFUNCTION("""COMPUTED_VALUE"""),"Anota Ai Solucoes Digitais S/a")</f>
        <v>Anota Ai Solucoes Digitais S/a</v>
      </c>
      <c r="N8813" s="33">
        <f>IFERROR(__xludf.DUMMYFUNCTION("""COMPUTED_VALUE"""),1.0)</f>
        <v>1</v>
      </c>
      <c r="O8813" s="4" t="str">
        <f>IFERROR(__xludf.DUMMYFUNCTION("""COMPUTED_VALUE"""),"Anota Ai Solucoes Digitais S/a")</f>
        <v>Anota Ai Solucoes Digitais S/a</v>
      </c>
      <c r="P8813" s="33">
        <f>IFERROR(__xludf.DUMMYFUNCTION("""COMPUTED_VALUE"""),1.0)</f>
        <v>1</v>
      </c>
      <c r="Q8813" s="4" t="str">
        <f>IFERROR(__xludf.DUMMYFUNCTION("""COMPUTED_VALUE"""),"Anota Ai Solucoes Digitais S/a")</f>
        <v>Anota Ai Solucoes Digitais S/a</v>
      </c>
      <c r="R8813" s="33">
        <f>IFERROR(__xludf.DUMMYFUNCTION("""COMPUTED_VALUE"""),1.0)</f>
        <v>1</v>
      </c>
      <c r="S8813" s="4" t="str">
        <f>IFERROR(__xludf.DUMMYFUNCTION("""COMPUTED_VALUE"""),"Anota Ai Solucoes Digitais S/a")</f>
        <v>Anota Ai Solucoes Digitais S/a</v>
      </c>
      <c r="T8813" s="33">
        <f>IFERROR(__xludf.DUMMYFUNCTION("""COMPUTED_VALUE"""),1.0)</f>
        <v>1</v>
      </c>
      <c r="U8813" s="4" t="str">
        <f>IFERROR(__xludf.DUMMYFUNCTION("""COMPUTED_VALUE"""),"Anota Ai Solucoes Digitais S/a")</f>
        <v>Anota Ai Solucoes Digitais S/a</v>
      </c>
      <c r="V8813" s="33">
        <f>IFERROR(__xludf.DUMMYFUNCTION("""COMPUTED_VALUE"""),1.0)</f>
        <v>1</v>
      </c>
      <c r="W8813" s="4" t="str">
        <f>IFERROR(__xludf.DUMMYFUNCTION("""COMPUTED_VALUE"""),"Anota Ai Solucoes Digitais S/a")</f>
        <v>Anota Ai Solucoes Digitais S/a</v>
      </c>
      <c r="X8813" s="33">
        <f>IFERROR(__xludf.DUMMYFUNCTION("""COMPUTED_VALUE"""),1.0)</f>
        <v>1</v>
      </c>
    </row>
    <row r="8814">
      <c r="K8814" s="4" t="str">
        <f>IFERROR(__xludf.DUMMYFUNCTION("""COMPUTED_VALUE"""),"FAST MAIS - PASTELARIA E ACAITERIA")</f>
        <v>FAST MAIS - PASTELARIA E ACAITERIA</v>
      </c>
      <c r="L8814" s="32">
        <f>IFERROR(__xludf.DUMMYFUNCTION("""COMPUTED_VALUE"""),1.0)</f>
        <v>1</v>
      </c>
      <c r="M8814" s="4" t="str">
        <f>IFERROR(__xludf.DUMMYFUNCTION("""COMPUTED_VALUE"""),"Cardápio Web")</f>
        <v>Cardápio Web</v>
      </c>
      <c r="N8814" s="33">
        <f>IFERROR(__xludf.DUMMYFUNCTION("""COMPUTED_VALUE"""),1.0)</f>
        <v>1</v>
      </c>
      <c r="O8814" s="4" t="str">
        <f>IFERROR(__xludf.DUMMYFUNCTION("""COMPUTED_VALUE"""),"Cardápio Web")</f>
        <v>Cardápio Web</v>
      </c>
      <c r="P8814" s="33">
        <f>IFERROR(__xludf.DUMMYFUNCTION("""COMPUTED_VALUE"""),1.0)</f>
        <v>1</v>
      </c>
      <c r="Q8814" s="4" t="str">
        <f>IFERROR(__xludf.DUMMYFUNCTION("""COMPUTED_VALUE"""),"null")</f>
        <v>null</v>
      </c>
      <c r="R8814" s="33">
        <f>IFERROR(__xludf.DUMMYFUNCTION("""COMPUTED_VALUE"""),1.0)</f>
        <v>1</v>
      </c>
      <c r="S8814" s="4" t="str">
        <f>IFERROR(__xludf.DUMMYFUNCTION("""COMPUTED_VALUE"""),"null")</f>
        <v>null</v>
      </c>
      <c r="T8814" s="33">
        <f>IFERROR(__xludf.DUMMYFUNCTION("""COMPUTED_VALUE"""),1.0)</f>
        <v>1</v>
      </c>
      <c r="U8814" s="4" t="str">
        <f>IFERROR(__xludf.DUMMYFUNCTION("""COMPUTED_VALUE"""),"null")</f>
        <v>null</v>
      </c>
      <c r="V8814" s="33">
        <f>IFERROR(__xludf.DUMMYFUNCTION("""COMPUTED_VALUE"""),1.0)</f>
        <v>1</v>
      </c>
      <c r="W8814" s="4" t="str">
        <f>IFERROR(__xludf.DUMMYFUNCTION("""COMPUTED_VALUE"""),"null")</f>
        <v>null</v>
      </c>
      <c r="X8814" s="33">
        <f>IFERROR(__xludf.DUMMYFUNCTION("""COMPUTED_VALUE"""),1.0)</f>
        <v>1</v>
      </c>
    </row>
    <row r="8815">
      <c r="K8815" s="4" t="str">
        <f>IFERROR(__xludf.DUMMYFUNCTION("""COMPUTED_VALUE"""),"AMO ESFIHA E PIZZA")</f>
        <v>AMO ESFIHA E PIZZA</v>
      </c>
      <c r="L8815" s="32">
        <f>IFERROR(__xludf.DUMMYFUNCTION("""COMPUTED_VALUE"""),1.0)</f>
        <v>1</v>
      </c>
      <c r="M8815" s="4" t="str">
        <f>IFERROR(__xludf.DUMMYFUNCTION("""COMPUTED_VALUE"""),"Instadelivery")</f>
        <v>Instadelivery</v>
      </c>
      <c r="N8815" s="33">
        <f>IFERROR(__xludf.DUMMYFUNCTION("""COMPUTED_VALUE"""),1.0)</f>
        <v>1</v>
      </c>
      <c r="O8815" s="4" t="str">
        <f>IFERROR(__xludf.DUMMYFUNCTION("""COMPUTED_VALUE"""),"Instadelivery")</f>
        <v>Instadelivery</v>
      </c>
      <c r="P8815" s="33">
        <f>IFERROR(__xludf.DUMMYFUNCTION("""COMPUTED_VALUE"""),1.0)</f>
        <v>1</v>
      </c>
      <c r="Q8815" s="4" t="str">
        <f>IFERROR(__xludf.DUMMYFUNCTION("""COMPUTED_VALUE"""),"Instadelivery")</f>
        <v>Instadelivery</v>
      </c>
      <c r="R8815" s="33">
        <f>IFERROR(__xludf.DUMMYFUNCTION("""COMPUTED_VALUE"""),1.0)</f>
        <v>1</v>
      </c>
      <c r="S8815" s="4" t="str">
        <f>IFERROR(__xludf.DUMMYFUNCTION("""COMPUTED_VALUE"""),"Instadelivery")</f>
        <v>Instadelivery</v>
      </c>
      <c r="T8815" s="33">
        <f>IFERROR(__xludf.DUMMYFUNCTION("""COMPUTED_VALUE"""),1.0)</f>
        <v>1</v>
      </c>
      <c r="U8815" s="4" t="str">
        <f>IFERROR(__xludf.DUMMYFUNCTION("""COMPUTED_VALUE"""),"Instadelivery")</f>
        <v>Instadelivery</v>
      </c>
      <c r="V8815" s="33">
        <f>IFERROR(__xludf.DUMMYFUNCTION("""COMPUTED_VALUE"""),1.0)</f>
        <v>1</v>
      </c>
      <c r="W8815" s="4" t="str">
        <f>IFERROR(__xludf.DUMMYFUNCTION("""COMPUTED_VALUE"""),"Instadelivery")</f>
        <v>Instadelivery</v>
      </c>
      <c r="X8815" s="33">
        <f>IFERROR(__xludf.DUMMYFUNCTION("""COMPUTED_VALUE"""),1.0)</f>
        <v>1</v>
      </c>
    </row>
    <row r="8816">
      <c r="K8816" s="4" t="str">
        <f>IFERROR(__xludf.DUMMYFUNCTION("""COMPUTED_VALUE"""),"FARMACIA NOSSA SENHORA APARECIDA")</f>
        <v>FARMACIA NOSSA SENHORA APARECIDA</v>
      </c>
      <c r="L8816" s="32">
        <f>IFERROR(__xludf.DUMMYFUNCTION("""COMPUTED_VALUE"""),1.0)</f>
        <v>1</v>
      </c>
      <c r="M8816" s="4" t="str">
        <f>IFERROR(__xludf.DUMMYFUNCTION("""COMPUTED_VALUE"""),"N/A (Not found)")</f>
        <v>N/A (Not found)</v>
      </c>
      <c r="N8816" s="33">
        <f>IFERROR(__xludf.DUMMYFUNCTION("""COMPUTED_VALUE"""),1.0)</f>
        <v>1</v>
      </c>
      <c r="O8816" s="4" t="str">
        <f>IFERROR(__xludf.DUMMYFUNCTION("""COMPUTED_VALUE"""),"N/A (Not found)")</f>
        <v>N/A (Not found)</v>
      </c>
      <c r="P8816" s="33">
        <f>IFERROR(__xludf.DUMMYFUNCTION("""COMPUTED_VALUE"""),1.0)</f>
        <v>1</v>
      </c>
      <c r="Q8816" s="4" t="str">
        <f>IFERROR(__xludf.DUMMYFUNCTION("""COMPUTED_VALUE"""),"N/A (Not found)")</f>
        <v>N/A (Not found)</v>
      </c>
      <c r="R8816" s="33">
        <f>IFERROR(__xludf.DUMMYFUNCTION("""COMPUTED_VALUE"""),1.0)</f>
        <v>1</v>
      </c>
      <c r="S8816" s="4" t="str">
        <f>IFERROR(__xludf.DUMMYFUNCTION("""COMPUTED_VALUE"""),"N/A (Not found)")</f>
        <v>N/A (Not found)</v>
      </c>
      <c r="T8816" s="33">
        <f>IFERROR(__xludf.DUMMYFUNCTION("""COMPUTED_VALUE"""),1.0)</f>
        <v>1</v>
      </c>
      <c r="U8816" s="4" t="str">
        <f>IFERROR(__xludf.DUMMYFUNCTION("""COMPUTED_VALUE"""),"N/A (Not found)")</f>
        <v>N/A (Not found)</v>
      </c>
      <c r="V8816" s="33">
        <f>IFERROR(__xludf.DUMMYFUNCTION("""COMPUTED_VALUE"""),1.0)</f>
        <v>1</v>
      </c>
      <c r="W8816" s="4" t="str">
        <f>IFERROR(__xludf.DUMMYFUNCTION("""COMPUTED_VALUE"""),"N/A (Not found)")</f>
        <v>N/A (Not found)</v>
      </c>
      <c r="X8816" s="33">
        <f>IFERROR(__xludf.DUMMYFUNCTION("""COMPUTED_VALUE"""),1.0)</f>
        <v>1</v>
      </c>
    </row>
    <row r="8817">
      <c r="K8817" s="4" t="str">
        <f>IFERROR(__xludf.DUMMYFUNCTION("""COMPUTED_VALUE"""),"SANTO ACAI BADY")</f>
        <v>SANTO ACAI BADY</v>
      </c>
      <c r="L8817" s="32">
        <f>IFERROR(__xludf.DUMMYFUNCTION("""COMPUTED_VALUE"""),1.0)</f>
        <v>1</v>
      </c>
      <c r="M8817" s="4" t="str">
        <f>IFERROR(__xludf.DUMMYFUNCTION("""COMPUTED_VALUE"""),"Saipos Serviços De Software")</f>
        <v>Saipos Serviços De Software</v>
      </c>
      <c r="N8817" s="33">
        <f>IFERROR(__xludf.DUMMYFUNCTION("""COMPUTED_VALUE"""),1.0)</f>
        <v>1</v>
      </c>
      <c r="O8817" s="4" t="str">
        <f>IFERROR(__xludf.DUMMYFUNCTION("""COMPUTED_VALUE"""),"Saipos Serviços De Software")</f>
        <v>Saipos Serviços De Software</v>
      </c>
      <c r="P8817" s="33">
        <f>IFERROR(__xludf.DUMMYFUNCTION("""COMPUTED_VALUE"""),1.0)</f>
        <v>1</v>
      </c>
      <c r="Q8817" s="4" t="str">
        <f>IFERROR(__xludf.DUMMYFUNCTION("""COMPUTED_VALUE"""),"Saipos Serviços De Software")</f>
        <v>Saipos Serviços De Software</v>
      </c>
      <c r="R8817" s="33">
        <f>IFERROR(__xludf.DUMMYFUNCTION("""COMPUTED_VALUE"""),1.0)</f>
        <v>1</v>
      </c>
      <c r="S8817" s="4" t="str">
        <f>IFERROR(__xludf.DUMMYFUNCTION("""COMPUTED_VALUE"""),"Saipos Serviços De Software")</f>
        <v>Saipos Serviços De Software</v>
      </c>
      <c r="T8817" s="33">
        <f>IFERROR(__xludf.DUMMYFUNCTION("""COMPUTED_VALUE"""),1.0)</f>
        <v>1</v>
      </c>
      <c r="U8817" s="4" t="str">
        <f>IFERROR(__xludf.DUMMYFUNCTION("""COMPUTED_VALUE"""),"Saipos Serviços De Software")</f>
        <v>Saipos Serviços De Software</v>
      </c>
      <c r="V8817" s="33">
        <f>IFERROR(__xludf.DUMMYFUNCTION("""COMPUTED_VALUE"""),1.0)</f>
        <v>1</v>
      </c>
      <c r="W8817" s="4" t="str">
        <f>IFERROR(__xludf.DUMMYFUNCTION("""COMPUTED_VALUE"""),"Saipos Serviços De Software")</f>
        <v>Saipos Serviços De Software</v>
      </c>
      <c r="X8817" s="33">
        <f>IFERROR(__xludf.DUMMYFUNCTION("""COMPUTED_VALUE"""),1.0)</f>
        <v>1</v>
      </c>
    </row>
    <row r="8818">
      <c r="K8818" s="4" t="str">
        <f>IFERROR(__xludf.DUMMYFUNCTION("""COMPUTED_VALUE"""),"VANFALL DESTILARIA - DELIVERY DE BEBIDAS")</f>
        <v>VANFALL DESTILARIA - DELIVERY DE BEBIDAS</v>
      </c>
      <c r="L8818" s="32">
        <f>IFERROR(__xludf.DUMMYFUNCTION("""COMPUTED_VALUE"""),1.0)</f>
        <v>1</v>
      </c>
      <c r="M8818" s="4" t="str">
        <f>IFERROR(__xludf.DUMMYFUNCTION("""COMPUTED_VALUE"""),"Gfr Tec")</f>
        <v>Gfr Tec</v>
      </c>
      <c r="N8818" s="33">
        <f>IFERROR(__xludf.DUMMYFUNCTION("""COMPUTED_VALUE"""),1.0)</f>
        <v>1</v>
      </c>
      <c r="O8818" s="4" t="str">
        <f>IFERROR(__xludf.DUMMYFUNCTION("""COMPUTED_VALUE"""),"Gfr Tec")</f>
        <v>Gfr Tec</v>
      </c>
      <c r="P8818" s="33">
        <f>IFERROR(__xludf.DUMMYFUNCTION("""COMPUTED_VALUE"""),1.0)</f>
        <v>1</v>
      </c>
      <c r="Q8818" s="4" t="str">
        <f>IFERROR(__xludf.DUMMYFUNCTION("""COMPUTED_VALUE"""),"Gfr Tec")</f>
        <v>Gfr Tec</v>
      </c>
      <c r="R8818" s="33">
        <f>IFERROR(__xludf.DUMMYFUNCTION("""COMPUTED_VALUE"""),1.0)</f>
        <v>1</v>
      </c>
      <c r="S8818" s="4" t="str">
        <f>IFERROR(__xludf.DUMMYFUNCTION("""COMPUTED_VALUE"""),"Gfr Tec")</f>
        <v>Gfr Tec</v>
      </c>
      <c r="T8818" s="33">
        <f>IFERROR(__xludf.DUMMYFUNCTION("""COMPUTED_VALUE"""),1.0)</f>
        <v>1</v>
      </c>
      <c r="U8818" s="4" t="str">
        <f>IFERROR(__xludf.DUMMYFUNCTION("""COMPUTED_VALUE"""),"null")</f>
        <v>null</v>
      </c>
      <c r="V8818" s="33">
        <f>IFERROR(__xludf.DUMMYFUNCTION("""COMPUTED_VALUE"""),1.0)</f>
        <v>1</v>
      </c>
      <c r="W8818" s="4" t="str">
        <f>IFERROR(__xludf.DUMMYFUNCTION("""COMPUTED_VALUE"""),"Gfr Tec")</f>
        <v>Gfr Tec</v>
      </c>
      <c r="X8818" s="33">
        <f>IFERROR(__xludf.DUMMYFUNCTION("""COMPUTED_VALUE"""),1.0)</f>
        <v>1</v>
      </c>
    </row>
    <row r="8819">
      <c r="K8819" s="4" t="str">
        <f>IFERROR(__xludf.DUMMYFUNCTION("""COMPUTED_VALUE"""),"POPS ACAI")</f>
        <v>POPS ACAI</v>
      </c>
      <c r="L8819" s="32">
        <f>IFERROR(__xludf.DUMMYFUNCTION("""COMPUTED_VALUE"""),1.0)</f>
        <v>1</v>
      </c>
      <c r="M8819" s="4" t="str">
        <f>IFERROR(__xludf.DUMMYFUNCTION("""COMPUTED_VALUE"""),"Resulti Sistemas")</f>
        <v>Resulti Sistemas</v>
      </c>
      <c r="N8819" s="33">
        <f>IFERROR(__xludf.DUMMYFUNCTION("""COMPUTED_VALUE"""),1.0)</f>
        <v>1</v>
      </c>
      <c r="O8819" s="4" t="str">
        <f>IFERROR(__xludf.DUMMYFUNCTION("""COMPUTED_VALUE"""),"Resulti Sistemas")</f>
        <v>Resulti Sistemas</v>
      </c>
      <c r="P8819" s="33">
        <f>IFERROR(__xludf.DUMMYFUNCTION("""COMPUTED_VALUE"""),1.0)</f>
        <v>1</v>
      </c>
      <c r="Q8819" s="4" t="str">
        <f>IFERROR(__xludf.DUMMYFUNCTION("""COMPUTED_VALUE"""),"Resulti Sistemas")</f>
        <v>Resulti Sistemas</v>
      </c>
      <c r="R8819" s="33">
        <f>IFERROR(__xludf.DUMMYFUNCTION("""COMPUTED_VALUE"""),1.0)</f>
        <v>1</v>
      </c>
      <c r="S8819" s="4" t="str">
        <f>IFERROR(__xludf.DUMMYFUNCTION("""COMPUTED_VALUE"""),"Resulti Sistemas")</f>
        <v>Resulti Sistemas</v>
      </c>
      <c r="T8819" s="33">
        <f>IFERROR(__xludf.DUMMYFUNCTION("""COMPUTED_VALUE"""),1.0)</f>
        <v>1</v>
      </c>
      <c r="U8819" s="4" t="str">
        <f>IFERROR(__xludf.DUMMYFUNCTION("""COMPUTED_VALUE"""),"Resulti Sistemas")</f>
        <v>Resulti Sistemas</v>
      </c>
      <c r="V8819" s="33">
        <f>IFERROR(__xludf.DUMMYFUNCTION("""COMPUTED_VALUE"""),1.0)</f>
        <v>1</v>
      </c>
      <c r="W8819" s="4" t="str">
        <f>IFERROR(__xludf.DUMMYFUNCTION("""COMPUTED_VALUE"""),"Resulti Sistemas")</f>
        <v>Resulti Sistemas</v>
      </c>
      <c r="X8819" s="33">
        <f>IFERROR(__xludf.DUMMYFUNCTION("""COMPUTED_VALUE"""),1.0)</f>
        <v>1</v>
      </c>
    </row>
    <row r="8820">
      <c r="K8820" s="4" t="str">
        <f>IFERROR(__xludf.DUMMYFUNCTION("""COMPUTED_VALUE"""),"SUKUS BURGUER E TABUAS")</f>
        <v>SUKUS BURGUER E TABUAS</v>
      </c>
      <c r="L8820" s="32">
        <f>IFERROR(__xludf.DUMMYFUNCTION("""COMPUTED_VALUE"""),1.0)</f>
        <v>1</v>
      </c>
      <c r="M8820" s="4" t="str">
        <f>IFERROR(__xludf.DUMMYFUNCTION("""COMPUTED_VALUE"""),"Fs Soluções Em Tecnologia Ltda")</f>
        <v>Fs Soluções Em Tecnologia Ltda</v>
      </c>
      <c r="N8820" s="33">
        <f>IFERROR(__xludf.DUMMYFUNCTION("""COMPUTED_VALUE"""),1.0)</f>
        <v>1</v>
      </c>
      <c r="O8820" s="4" t="str">
        <f>IFERROR(__xludf.DUMMYFUNCTION("""COMPUTED_VALUE"""),"null")</f>
        <v>null</v>
      </c>
      <c r="P8820" s="33">
        <f>IFERROR(__xludf.DUMMYFUNCTION("""COMPUTED_VALUE"""),1.0)</f>
        <v>1</v>
      </c>
      <c r="Q8820" s="4" t="str">
        <f>IFERROR(__xludf.DUMMYFUNCTION("""COMPUTED_VALUE"""),"null")</f>
        <v>null</v>
      </c>
      <c r="R8820" s="33">
        <f>IFERROR(__xludf.DUMMYFUNCTION("""COMPUTED_VALUE"""),1.0)</f>
        <v>1</v>
      </c>
      <c r="S8820" s="4" t="str">
        <f>IFERROR(__xludf.DUMMYFUNCTION("""COMPUTED_VALUE"""),"Fs Soluções Em Tecnologia Ltda")</f>
        <v>Fs Soluções Em Tecnologia Ltda</v>
      </c>
      <c r="T8820" s="33">
        <f>IFERROR(__xludf.DUMMYFUNCTION("""COMPUTED_VALUE"""),1.0)</f>
        <v>1</v>
      </c>
      <c r="U8820" s="4" t="str">
        <f>IFERROR(__xludf.DUMMYFUNCTION("""COMPUTED_VALUE"""),"Fs Soluções Em Tecnologia Ltda")</f>
        <v>Fs Soluções Em Tecnologia Ltda</v>
      </c>
      <c r="V8820" s="33">
        <f>IFERROR(__xludf.DUMMYFUNCTION("""COMPUTED_VALUE"""),1.0)</f>
        <v>1</v>
      </c>
      <c r="W8820" s="4" t="str">
        <f>IFERROR(__xludf.DUMMYFUNCTION("""COMPUTED_VALUE"""),"Fs Soluções Em Tecnologia Ltda")</f>
        <v>Fs Soluções Em Tecnologia Ltda</v>
      </c>
      <c r="X8820" s="33">
        <f>IFERROR(__xludf.DUMMYFUNCTION("""COMPUTED_VALUE"""),1.0)</f>
        <v>1</v>
      </c>
    </row>
    <row r="8821">
      <c r="K8821" s="4" t="str">
        <f>IFERROR(__xludf.DUMMYFUNCTION("""COMPUTED_VALUE"""),"MADRUGADAO LESTE LANCHES")</f>
        <v>MADRUGADAO LESTE LANCHES</v>
      </c>
      <c r="L8821" s="32">
        <f>IFERROR(__xludf.DUMMYFUNCTION("""COMPUTED_VALUE"""),1.0)</f>
        <v>1</v>
      </c>
      <c r="M8821" s="4" t="str">
        <f>IFERROR(__xludf.DUMMYFUNCTION("""COMPUTED_VALUE"""),"Sistema Pallas")</f>
        <v>Sistema Pallas</v>
      </c>
      <c r="N8821" s="33">
        <f>IFERROR(__xludf.DUMMYFUNCTION("""COMPUTED_VALUE"""),1.0)</f>
        <v>1</v>
      </c>
      <c r="O8821" s="4" t="str">
        <f>IFERROR(__xludf.DUMMYFUNCTION("""COMPUTED_VALUE"""),"null")</f>
        <v>null</v>
      </c>
      <c r="P8821" s="33">
        <f>IFERROR(__xludf.DUMMYFUNCTION("""COMPUTED_VALUE"""),1.0)</f>
        <v>1</v>
      </c>
      <c r="Q8821" s="4" t="str">
        <f>IFERROR(__xludf.DUMMYFUNCTION("""COMPUTED_VALUE"""),"null")</f>
        <v>null</v>
      </c>
      <c r="R8821" s="33">
        <f>IFERROR(__xludf.DUMMYFUNCTION("""COMPUTED_VALUE"""),1.0)</f>
        <v>1</v>
      </c>
      <c r="S8821" s="4" t="str">
        <f>IFERROR(__xludf.DUMMYFUNCTION("""COMPUTED_VALUE"""),"null")</f>
        <v>null</v>
      </c>
      <c r="T8821" s="33">
        <f>IFERROR(__xludf.DUMMYFUNCTION("""COMPUTED_VALUE"""),1.0)</f>
        <v>1</v>
      </c>
      <c r="U8821" s="4" t="str">
        <f>IFERROR(__xludf.DUMMYFUNCTION("""COMPUTED_VALUE"""),"Sistema Pallas")</f>
        <v>Sistema Pallas</v>
      </c>
      <c r="V8821" s="33">
        <f>IFERROR(__xludf.DUMMYFUNCTION("""COMPUTED_VALUE"""),1.0)</f>
        <v>1</v>
      </c>
      <c r="W8821" s="4" t="str">
        <f>IFERROR(__xludf.DUMMYFUNCTION("""COMPUTED_VALUE"""),"Sistema Pallas")</f>
        <v>Sistema Pallas</v>
      </c>
      <c r="X8821" s="33">
        <f>IFERROR(__xludf.DUMMYFUNCTION("""COMPUTED_VALUE"""),1.0)</f>
        <v>1</v>
      </c>
    </row>
    <row r="8822">
      <c r="K8822" s="4" t="str">
        <f>IFERROR(__xludf.DUMMYFUNCTION("""COMPUTED_VALUE"""),"VELVET CAFE BISTRO")</f>
        <v>VELVET CAFE BISTRO</v>
      </c>
      <c r="L8822" s="32">
        <f>IFERROR(__xludf.DUMMYFUNCTION("""COMPUTED_VALUE"""),1.0)</f>
        <v>1</v>
      </c>
      <c r="M8822" s="4" t="str">
        <f>IFERROR(__xludf.DUMMYFUNCTION("""COMPUTED_VALUE"""),"Saipos Serviços De Software")</f>
        <v>Saipos Serviços De Software</v>
      </c>
      <c r="N8822" s="33">
        <f>IFERROR(__xludf.DUMMYFUNCTION("""COMPUTED_VALUE"""),1.0)</f>
        <v>1</v>
      </c>
      <c r="O8822" s="4" t="str">
        <f>IFERROR(__xludf.DUMMYFUNCTION("""COMPUTED_VALUE"""),"Saipos Serviços De Software")</f>
        <v>Saipos Serviços De Software</v>
      </c>
      <c r="P8822" s="33">
        <f>IFERROR(__xludf.DUMMYFUNCTION("""COMPUTED_VALUE"""),1.0)</f>
        <v>1</v>
      </c>
      <c r="Q8822" s="4" t="str">
        <f>IFERROR(__xludf.DUMMYFUNCTION("""COMPUTED_VALUE"""),"Saipos Serviços De Software")</f>
        <v>Saipos Serviços De Software</v>
      </c>
      <c r="R8822" s="33">
        <f>IFERROR(__xludf.DUMMYFUNCTION("""COMPUTED_VALUE"""),1.0)</f>
        <v>1</v>
      </c>
      <c r="S8822" s="4" t="str">
        <f>IFERROR(__xludf.DUMMYFUNCTION("""COMPUTED_VALUE"""),"Saipos Serviços De Software")</f>
        <v>Saipos Serviços De Software</v>
      </c>
      <c r="T8822" s="33">
        <f>IFERROR(__xludf.DUMMYFUNCTION("""COMPUTED_VALUE"""),1.0)</f>
        <v>1</v>
      </c>
      <c r="U8822" s="4" t="str">
        <f>IFERROR(__xludf.DUMMYFUNCTION("""COMPUTED_VALUE"""),"null")</f>
        <v>null</v>
      </c>
      <c r="V8822" s="33">
        <f>IFERROR(__xludf.DUMMYFUNCTION("""COMPUTED_VALUE"""),1.0)</f>
        <v>1</v>
      </c>
      <c r="W8822" s="4" t="str">
        <f>IFERROR(__xludf.DUMMYFUNCTION("""COMPUTED_VALUE"""),"null")</f>
        <v>null</v>
      </c>
      <c r="X8822" s="33">
        <f>IFERROR(__xludf.DUMMYFUNCTION("""COMPUTED_VALUE"""),1.0)</f>
        <v>1</v>
      </c>
    </row>
    <row r="8823">
      <c r="K8823" s="4" t="str">
        <f>IFERROR(__xludf.DUMMYFUNCTION("""COMPUTED_VALUE"""),"ROTA DA LINGUICA")</f>
        <v>ROTA DA LINGUICA</v>
      </c>
      <c r="L8823" s="32">
        <f>IFERROR(__xludf.DUMMYFUNCTION("""COMPUTED_VALUE"""),1.0)</f>
        <v>1</v>
      </c>
      <c r="M8823" s="4" t="str">
        <f>IFERROR(__xludf.DUMMYFUNCTION("""COMPUTED_VALUE"""),"Anota Ai Solucoes Digitais S/a")</f>
        <v>Anota Ai Solucoes Digitais S/a</v>
      </c>
      <c r="N8823" s="33">
        <f>IFERROR(__xludf.DUMMYFUNCTION("""COMPUTED_VALUE"""),1.0)</f>
        <v>1</v>
      </c>
      <c r="O8823" s="4" t="str">
        <f>IFERROR(__xludf.DUMMYFUNCTION("""COMPUTED_VALUE"""),"null")</f>
        <v>null</v>
      </c>
      <c r="P8823" s="33">
        <f>IFERROR(__xludf.DUMMYFUNCTION("""COMPUTED_VALUE"""),1.0)</f>
        <v>1</v>
      </c>
      <c r="Q8823" s="4" t="str">
        <f>IFERROR(__xludf.DUMMYFUNCTION("""COMPUTED_VALUE"""),"null")</f>
        <v>null</v>
      </c>
      <c r="R8823" s="33">
        <f>IFERROR(__xludf.DUMMYFUNCTION("""COMPUTED_VALUE"""),1.0)</f>
        <v>1</v>
      </c>
      <c r="S8823" s="4" t="str">
        <f>IFERROR(__xludf.DUMMYFUNCTION("""COMPUTED_VALUE"""),"null")</f>
        <v>null</v>
      </c>
      <c r="T8823" s="33">
        <f>IFERROR(__xludf.DUMMYFUNCTION("""COMPUTED_VALUE"""),1.0)</f>
        <v>1</v>
      </c>
      <c r="U8823" s="4" t="str">
        <f>IFERROR(__xludf.DUMMYFUNCTION("""COMPUTED_VALUE"""),"null")</f>
        <v>null</v>
      </c>
      <c r="V8823" s="33">
        <f>IFERROR(__xludf.DUMMYFUNCTION("""COMPUTED_VALUE"""),1.0)</f>
        <v>1</v>
      </c>
      <c r="W8823" s="4" t="str">
        <f>IFERROR(__xludf.DUMMYFUNCTION("""COMPUTED_VALUE"""),"null")</f>
        <v>null</v>
      </c>
      <c r="X8823" s="33">
        <f>IFERROR(__xludf.DUMMYFUNCTION("""COMPUTED_VALUE"""),1.0)</f>
        <v>1</v>
      </c>
    </row>
    <row r="8824">
      <c r="K8824" s="4" t="str">
        <f>IFERROR(__xludf.DUMMYFUNCTION("""COMPUTED_VALUE"""),"RITA MARMITA")</f>
        <v>RITA MARMITA</v>
      </c>
      <c r="L8824" s="32">
        <f>IFERROR(__xludf.DUMMYFUNCTION("""COMPUTED_VALUE"""),1.0)</f>
        <v>1</v>
      </c>
      <c r="M8824" s="4" t="str">
        <f>IFERROR(__xludf.DUMMYFUNCTION("""COMPUTED_VALUE"""),"Consumer Soluções Em Tecnologia Ltda")</f>
        <v>Consumer Soluções Em Tecnologia Ltda</v>
      </c>
      <c r="N8824" s="33">
        <f>IFERROR(__xludf.DUMMYFUNCTION("""COMPUTED_VALUE"""),1.0)</f>
        <v>1</v>
      </c>
      <c r="O8824" s="4" t="str">
        <f>IFERROR(__xludf.DUMMYFUNCTION("""COMPUTED_VALUE"""),"Consumer Soluções Em Tecnologia Ltda")</f>
        <v>Consumer Soluções Em Tecnologia Ltda</v>
      </c>
      <c r="P8824" s="33">
        <f>IFERROR(__xludf.DUMMYFUNCTION("""COMPUTED_VALUE"""),1.0)</f>
        <v>1</v>
      </c>
      <c r="Q8824" s="4" t="str">
        <f>IFERROR(__xludf.DUMMYFUNCTION("""COMPUTED_VALUE"""),"Consumer Soluções Em Tecnologia Ltda")</f>
        <v>Consumer Soluções Em Tecnologia Ltda</v>
      </c>
      <c r="R8824" s="33">
        <f>IFERROR(__xludf.DUMMYFUNCTION("""COMPUTED_VALUE"""),1.0)</f>
        <v>1</v>
      </c>
      <c r="S8824" s="4" t="str">
        <f>IFERROR(__xludf.DUMMYFUNCTION("""COMPUTED_VALUE"""),"Consumer Soluções Em Tecnologia Ltda")</f>
        <v>Consumer Soluções Em Tecnologia Ltda</v>
      </c>
      <c r="T8824" s="33">
        <f>IFERROR(__xludf.DUMMYFUNCTION("""COMPUTED_VALUE"""),1.0)</f>
        <v>1</v>
      </c>
      <c r="U8824" s="4" t="str">
        <f>IFERROR(__xludf.DUMMYFUNCTION("""COMPUTED_VALUE"""),"Consumer Soluções Em Tecnologia Ltda")</f>
        <v>Consumer Soluções Em Tecnologia Ltda</v>
      </c>
      <c r="V8824" s="33">
        <f>IFERROR(__xludf.DUMMYFUNCTION("""COMPUTED_VALUE"""),1.0)</f>
        <v>1</v>
      </c>
      <c r="W8824" s="4" t="str">
        <f>IFERROR(__xludf.DUMMYFUNCTION("""COMPUTED_VALUE"""),"Consumer Soluções Em Tecnologia Ltda")</f>
        <v>Consumer Soluções Em Tecnologia Ltda</v>
      </c>
      <c r="X8824" s="33">
        <f>IFERROR(__xludf.DUMMYFUNCTION("""COMPUTED_VALUE"""),1.0)</f>
        <v>1</v>
      </c>
    </row>
    <row r="8825">
      <c r="K8825" s="4" t="str">
        <f>IFERROR(__xludf.DUMMYFUNCTION("""COMPUTED_VALUE"""),"WE CAKE DOCES - RECREIO")</f>
        <v>WE CAKE DOCES - RECREIO</v>
      </c>
      <c r="L8825" s="32">
        <f>IFERROR(__xludf.DUMMYFUNCTION("""COMPUTED_VALUE"""),1.0)</f>
        <v>1</v>
      </c>
      <c r="M8825" s="4" t="str">
        <f>IFERROR(__xludf.DUMMYFUNCTION("""COMPUTED_VALUE"""),"Diggy")</f>
        <v>Diggy</v>
      </c>
      <c r="N8825" s="33">
        <f>IFERROR(__xludf.DUMMYFUNCTION("""COMPUTED_VALUE"""),1.0)</f>
        <v>1</v>
      </c>
      <c r="O8825" s="4" t="str">
        <f>IFERROR(__xludf.DUMMYFUNCTION("""COMPUTED_VALUE"""),"Diggy")</f>
        <v>Diggy</v>
      </c>
      <c r="P8825" s="33">
        <f>IFERROR(__xludf.DUMMYFUNCTION("""COMPUTED_VALUE"""),1.0)</f>
        <v>1</v>
      </c>
      <c r="Q8825" s="4" t="str">
        <f>IFERROR(__xludf.DUMMYFUNCTION("""COMPUTED_VALUE"""),"Diggy")</f>
        <v>Diggy</v>
      </c>
      <c r="R8825" s="33">
        <f>IFERROR(__xludf.DUMMYFUNCTION("""COMPUTED_VALUE"""),1.0)</f>
        <v>1</v>
      </c>
      <c r="S8825" s="4" t="str">
        <f>IFERROR(__xludf.DUMMYFUNCTION("""COMPUTED_VALUE"""),"Diggy")</f>
        <v>Diggy</v>
      </c>
      <c r="T8825" s="33">
        <f>IFERROR(__xludf.DUMMYFUNCTION("""COMPUTED_VALUE"""),1.0)</f>
        <v>1</v>
      </c>
      <c r="U8825" s="4" t="str">
        <f>IFERROR(__xludf.DUMMYFUNCTION("""COMPUTED_VALUE"""),"null")</f>
        <v>null</v>
      </c>
      <c r="V8825" s="33">
        <f>IFERROR(__xludf.DUMMYFUNCTION("""COMPUTED_VALUE"""),1.0)</f>
        <v>1</v>
      </c>
      <c r="W8825" s="4" t="str">
        <f>IFERROR(__xludf.DUMMYFUNCTION("""COMPUTED_VALUE"""),"null")</f>
        <v>null</v>
      </c>
      <c r="X8825" s="33">
        <f>IFERROR(__xludf.DUMMYFUNCTION("""COMPUTED_VALUE"""),1.0)</f>
        <v>1</v>
      </c>
    </row>
    <row r="8826">
      <c r="K8826" s="4" t="str">
        <f>IFERROR(__xludf.DUMMYFUNCTION("""COMPUTED_VALUE"""),"OISHI SUSHI FUSION")</f>
        <v>OISHI SUSHI FUSION</v>
      </c>
      <c r="L8826" s="32">
        <f>IFERROR(__xludf.DUMMYFUNCTION("""COMPUTED_VALUE"""),1.0)</f>
        <v>1</v>
      </c>
      <c r="M8826" s="4" t="str">
        <f>IFERROR(__xludf.DUMMYFUNCTION("""COMPUTED_VALUE"""),"Sti3 Soluções Em Ti")</f>
        <v>Sti3 Soluções Em Ti</v>
      </c>
      <c r="N8826" s="33">
        <f>IFERROR(__xludf.DUMMYFUNCTION("""COMPUTED_VALUE"""),1.0)</f>
        <v>1</v>
      </c>
      <c r="O8826" s="4" t="str">
        <f>IFERROR(__xludf.DUMMYFUNCTION("""COMPUTED_VALUE"""),"Sti3 Soluções Em Ti")</f>
        <v>Sti3 Soluções Em Ti</v>
      </c>
      <c r="P8826" s="33">
        <f>IFERROR(__xludf.DUMMYFUNCTION("""COMPUTED_VALUE"""),1.0)</f>
        <v>1</v>
      </c>
      <c r="Q8826" s="4" t="str">
        <f>IFERROR(__xludf.DUMMYFUNCTION("""COMPUTED_VALUE"""),"Suitable Tecnologia E Gestao")</f>
        <v>Suitable Tecnologia E Gestao</v>
      </c>
      <c r="R8826" s="33">
        <f>IFERROR(__xludf.DUMMYFUNCTION("""COMPUTED_VALUE"""),1.0)</f>
        <v>1</v>
      </c>
      <c r="S8826" s="4" t="str">
        <f>IFERROR(__xludf.DUMMYFUNCTION("""COMPUTED_VALUE"""),"Suitable Tecnologia E Gestao")</f>
        <v>Suitable Tecnologia E Gestao</v>
      </c>
      <c r="T8826" s="33">
        <f>IFERROR(__xludf.DUMMYFUNCTION("""COMPUTED_VALUE"""),1.0)</f>
        <v>1</v>
      </c>
      <c r="U8826" s="4" t="str">
        <f>IFERROR(__xludf.DUMMYFUNCTION("""COMPUTED_VALUE"""),"Suitable Tecnologia E Gestao")</f>
        <v>Suitable Tecnologia E Gestao</v>
      </c>
      <c r="V8826" s="33">
        <f>IFERROR(__xludf.DUMMYFUNCTION("""COMPUTED_VALUE"""),1.0)</f>
        <v>1</v>
      </c>
      <c r="W8826" s="4" t="str">
        <f>IFERROR(__xludf.DUMMYFUNCTION("""COMPUTED_VALUE"""),"Suitable Tecnologia E Gestao")</f>
        <v>Suitable Tecnologia E Gestao</v>
      </c>
      <c r="X8826" s="33">
        <f>IFERROR(__xludf.DUMMYFUNCTION("""COMPUTED_VALUE"""),1.0)</f>
        <v>1</v>
      </c>
    </row>
    <row r="8827">
      <c r="K8827" s="4" t="str">
        <f>IFERROR(__xludf.DUMMYFUNCTION("""COMPUTED_VALUE"""),"HOT DOG DA GABY")</f>
        <v>HOT DOG DA GABY</v>
      </c>
      <c r="L8827" s="32">
        <f>IFERROR(__xludf.DUMMYFUNCTION("""COMPUTED_VALUE"""),1.0)</f>
        <v>1</v>
      </c>
      <c r="M8827" s="4" t="str">
        <f>IFERROR(__xludf.DUMMYFUNCTION("""COMPUTED_VALUE"""),"Saipos Serviços De Software")</f>
        <v>Saipos Serviços De Software</v>
      </c>
      <c r="N8827" s="33">
        <f>IFERROR(__xludf.DUMMYFUNCTION("""COMPUTED_VALUE"""),1.0)</f>
        <v>1</v>
      </c>
      <c r="O8827" s="4" t="str">
        <f>IFERROR(__xludf.DUMMYFUNCTION("""COMPUTED_VALUE"""),"Saipos Serviços De Software")</f>
        <v>Saipos Serviços De Software</v>
      </c>
      <c r="P8827" s="33">
        <f>IFERROR(__xludf.DUMMYFUNCTION("""COMPUTED_VALUE"""),1.0)</f>
        <v>1</v>
      </c>
      <c r="Q8827" s="4" t="str">
        <f>IFERROR(__xludf.DUMMYFUNCTION("""COMPUTED_VALUE"""),"Saipos Serviços De Software")</f>
        <v>Saipos Serviços De Software</v>
      </c>
      <c r="R8827" s="33">
        <f>IFERROR(__xludf.DUMMYFUNCTION("""COMPUTED_VALUE"""),1.0)</f>
        <v>1</v>
      </c>
      <c r="S8827" s="4" t="str">
        <f>IFERROR(__xludf.DUMMYFUNCTION("""COMPUTED_VALUE"""),"Saipos Serviços De Software")</f>
        <v>Saipos Serviços De Software</v>
      </c>
      <c r="T8827" s="33">
        <f>IFERROR(__xludf.DUMMYFUNCTION("""COMPUTED_VALUE"""),1.0)</f>
        <v>1</v>
      </c>
      <c r="U8827" s="4" t="str">
        <f>IFERROR(__xludf.DUMMYFUNCTION("""COMPUTED_VALUE"""),"Saipos Serviços De Software")</f>
        <v>Saipos Serviços De Software</v>
      </c>
      <c r="V8827" s="33">
        <f>IFERROR(__xludf.DUMMYFUNCTION("""COMPUTED_VALUE"""),1.0)</f>
        <v>1</v>
      </c>
      <c r="W8827" s="4" t="str">
        <f>IFERROR(__xludf.DUMMYFUNCTION("""COMPUTED_VALUE"""),"Saipos Serviços De Software")</f>
        <v>Saipos Serviços De Software</v>
      </c>
      <c r="X8827" s="33">
        <f>IFERROR(__xludf.DUMMYFUNCTION("""COMPUTED_VALUE"""),1.0)</f>
        <v>1</v>
      </c>
    </row>
    <row r="8828">
      <c r="K8828" s="4" t="str">
        <f>IFERROR(__xludf.DUMMYFUNCTION("""COMPUTED_VALUE"""),"MR LENHA PIZZARIA - PIZZA, MASSAS ELANCHES")</f>
        <v>MR LENHA PIZZARIA - PIZZA, MASSAS ELANCHES</v>
      </c>
      <c r="L8828" s="32">
        <f>IFERROR(__xludf.DUMMYFUNCTION("""COMPUTED_VALUE"""),1.0)</f>
        <v>1</v>
      </c>
      <c r="M8828" s="4" t="str">
        <f>IFERROR(__xludf.DUMMYFUNCTION("""COMPUTED_VALUE"""),"F-rest Sistema Para Food Service Ltda")</f>
        <v>F-rest Sistema Para Food Service Ltda</v>
      </c>
      <c r="N8828" s="33">
        <f>IFERROR(__xludf.DUMMYFUNCTION("""COMPUTED_VALUE"""),1.0)</f>
        <v>1</v>
      </c>
      <c r="O8828" s="4" t="str">
        <f>IFERROR(__xludf.DUMMYFUNCTION("""COMPUTED_VALUE"""),"F-rest Sistema Para Food Service Ltda")</f>
        <v>F-rest Sistema Para Food Service Ltda</v>
      </c>
      <c r="P8828" s="33">
        <f>IFERROR(__xludf.DUMMYFUNCTION("""COMPUTED_VALUE"""),1.0)</f>
        <v>1</v>
      </c>
      <c r="Q8828" s="4" t="str">
        <f>IFERROR(__xludf.DUMMYFUNCTION("""COMPUTED_VALUE"""),"F-rest Sistema Para Food Service Ltda")</f>
        <v>F-rest Sistema Para Food Service Ltda</v>
      </c>
      <c r="R8828" s="33">
        <f>IFERROR(__xludf.DUMMYFUNCTION("""COMPUTED_VALUE"""),1.0)</f>
        <v>1</v>
      </c>
      <c r="S8828" s="4" t="str">
        <f>IFERROR(__xludf.DUMMYFUNCTION("""COMPUTED_VALUE"""),"F-rest Sistema Para Food Service Ltda")</f>
        <v>F-rest Sistema Para Food Service Ltda</v>
      </c>
      <c r="T8828" s="33">
        <f>IFERROR(__xludf.DUMMYFUNCTION("""COMPUTED_VALUE"""),1.0)</f>
        <v>1</v>
      </c>
      <c r="U8828" s="4" t="str">
        <f>IFERROR(__xludf.DUMMYFUNCTION("""COMPUTED_VALUE"""),"F-rest Sistema Para Food Service Ltda")</f>
        <v>F-rest Sistema Para Food Service Ltda</v>
      </c>
      <c r="V8828" s="33">
        <f>IFERROR(__xludf.DUMMYFUNCTION("""COMPUTED_VALUE"""),1.0)</f>
        <v>1</v>
      </c>
      <c r="W8828" s="4" t="str">
        <f>IFERROR(__xludf.DUMMYFUNCTION("""COMPUTED_VALUE"""),"F-rest Sistema Para Food Service Ltda")</f>
        <v>F-rest Sistema Para Food Service Ltda</v>
      </c>
      <c r="X8828" s="33">
        <f>IFERROR(__xludf.DUMMYFUNCTION("""COMPUTED_VALUE"""),1.0)</f>
        <v>1</v>
      </c>
    </row>
    <row r="8829">
      <c r="K8829" s="4" t="str">
        <f>IFERROR(__xludf.DUMMYFUNCTION("""COMPUTED_VALUE"""),"DRIBIX PIZZARIA")</f>
        <v>DRIBIX PIZZARIA</v>
      </c>
      <c r="L8829" s="32">
        <f>IFERROR(__xludf.DUMMYFUNCTION("""COMPUTED_VALUE"""),1.0)</f>
        <v>1</v>
      </c>
      <c r="M8829" s="4" t="str">
        <f>IFERROR(__xludf.DUMMYFUNCTION("""COMPUTED_VALUE"""),"Freedom Tecnologia Ltda")</f>
        <v>Freedom Tecnologia Ltda</v>
      </c>
      <c r="N8829" s="33">
        <f>IFERROR(__xludf.DUMMYFUNCTION("""COMPUTED_VALUE"""),1.0)</f>
        <v>1</v>
      </c>
      <c r="O8829" s="4" t="str">
        <f>IFERROR(__xludf.DUMMYFUNCTION("""COMPUTED_VALUE"""),"Freedom Tecnologia Ltda")</f>
        <v>Freedom Tecnologia Ltda</v>
      </c>
      <c r="P8829" s="33">
        <f>IFERROR(__xludf.DUMMYFUNCTION("""COMPUTED_VALUE"""),1.0)</f>
        <v>1</v>
      </c>
      <c r="Q8829" s="4" t="str">
        <f>IFERROR(__xludf.DUMMYFUNCTION("""COMPUTED_VALUE"""),"Freedom Tecnologia Ltda")</f>
        <v>Freedom Tecnologia Ltda</v>
      </c>
      <c r="R8829" s="33">
        <f>IFERROR(__xludf.DUMMYFUNCTION("""COMPUTED_VALUE"""),1.0)</f>
        <v>1</v>
      </c>
      <c r="S8829" s="4" t="str">
        <f>IFERROR(__xludf.DUMMYFUNCTION("""COMPUTED_VALUE"""),"Freedom Tecnologia Ltda")</f>
        <v>Freedom Tecnologia Ltda</v>
      </c>
      <c r="T8829" s="33">
        <f>IFERROR(__xludf.DUMMYFUNCTION("""COMPUTED_VALUE"""),1.0)</f>
        <v>1</v>
      </c>
      <c r="U8829" s="4" t="str">
        <f>IFERROR(__xludf.DUMMYFUNCTION("""COMPUTED_VALUE"""),"Freedom Tecnologia Ltda")</f>
        <v>Freedom Tecnologia Ltda</v>
      </c>
      <c r="V8829" s="33">
        <f>IFERROR(__xludf.DUMMYFUNCTION("""COMPUTED_VALUE"""),1.0)</f>
        <v>1</v>
      </c>
      <c r="W8829" s="4" t="str">
        <f>IFERROR(__xludf.DUMMYFUNCTION("""COMPUTED_VALUE"""),"Freedom Tecnologia Ltda")</f>
        <v>Freedom Tecnologia Ltda</v>
      </c>
      <c r="X8829" s="33">
        <f>IFERROR(__xludf.DUMMYFUNCTION("""COMPUTED_VALUE"""),1.0)</f>
        <v>1</v>
      </c>
    </row>
    <row r="8830">
      <c r="K8830" s="4" t="str">
        <f>IFERROR(__xludf.DUMMYFUNCTION("""COMPUTED_VALUE"""),"QUIERO BEBER CONVENIENCIA")</f>
        <v>QUIERO BEBER CONVENIENCIA</v>
      </c>
      <c r="L8830" s="32">
        <f>IFERROR(__xludf.DUMMYFUNCTION("""COMPUTED_VALUE"""),1.0)</f>
        <v>1</v>
      </c>
      <c r="M8830" s="4" t="str">
        <f>IFERROR(__xludf.DUMMYFUNCTION("""COMPUTED_VALUE"""),"Connectplug")</f>
        <v>Connectplug</v>
      </c>
      <c r="N8830" s="33">
        <f>IFERROR(__xludf.DUMMYFUNCTION("""COMPUTED_VALUE"""),1.0)</f>
        <v>1</v>
      </c>
      <c r="O8830" s="4" t="str">
        <f>IFERROR(__xludf.DUMMYFUNCTION("""COMPUTED_VALUE"""),"Connectplug")</f>
        <v>Connectplug</v>
      </c>
      <c r="P8830" s="33">
        <f>IFERROR(__xludf.DUMMYFUNCTION("""COMPUTED_VALUE"""),1.0)</f>
        <v>1</v>
      </c>
      <c r="Q8830" s="4" t="str">
        <f>IFERROR(__xludf.DUMMYFUNCTION("""COMPUTED_VALUE"""),"Connectplug")</f>
        <v>Connectplug</v>
      </c>
      <c r="R8830" s="33">
        <f>IFERROR(__xludf.DUMMYFUNCTION("""COMPUTED_VALUE"""),1.0)</f>
        <v>1</v>
      </c>
      <c r="S8830" s="4" t="str">
        <f>IFERROR(__xludf.DUMMYFUNCTION("""COMPUTED_VALUE"""),"Connectplug")</f>
        <v>Connectplug</v>
      </c>
      <c r="T8830" s="33">
        <f>IFERROR(__xludf.DUMMYFUNCTION("""COMPUTED_VALUE"""),1.0)</f>
        <v>1</v>
      </c>
      <c r="U8830" s="4" t="str">
        <f>IFERROR(__xludf.DUMMYFUNCTION("""COMPUTED_VALUE"""),"Connectplug")</f>
        <v>Connectplug</v>
      </c>
      <c r="V8830" s="33">
        <f>IFERROR(__xludf.DUMMYFUNCTION("""COMPUTED_VALUE"""),1.0)</f>
        <v>1</v>
      </c>
      <c r="W8830" s="4" t="str">
        <f>IFERROR(__xludf.DUMMYFUNCTION("""COMPUTED_VALUE"""),"Connectplug")</f>
        <v>Connectplug</v>
      </c>
      <c r="X8830" s="33">
        <f>IFERROR(__xludf.DUMMYFUNCTION("""COMPUTED_VALUE"""),1.0)</f>
        <v>1</v>
      </c>
    </row>
    <row r="8831">
      <c r="K8831" s="4" t="str">
        <f>IFERROR(__xludf.DUMMYFUNCTION("""COMPUTED_VALUE"""),"PONTO ZERO SETE HAMBURGUERIA RESTAURANTE")</f>
        <v>PONTO ZERO SETE HAMBURGUERIA RESTAURANTE</v>
      </c>
      <c r="L8831" s="32">
        <f>IFERROR(__xludf.DUMMYFUNCTION("""COMPUTED_VALUE"""),1.0)</f>
        <v>1</v>
      </c>
      <c r="M8831" s="4" t="str">
        <f>IFERROR(__xludf.DUMMYFUNCTION("""COMPUTED_VALUE"""),"Bitbar")</f>
        <v>Bitbar</v>
      </c>
      <c r="N8831" s="33">
        <f>IFERROR(__xludf.DUMMYFUNCTION("""COMPUTED_VALUE"""),1.0)</f>
        <v>1</v>
      </c>
      <c r="O8831" s="4" t="str">
        <f>IFERROR(__xludf.DUMMYFUNCTION("""COMPUTED_VALUE"""),"Bitbar")</f>
        <v>Bitbar</v>
      </c>
      <c r="P8831" s="33">
        <f>IFERROR(__xludf.DUMMYFUNCTION("""COMPUTED_VALUE"""),1.0)</f>
        <v>1</v>
      </c>
      <c r="Q8831" s="4" t="str">
        <f>IFERROR(__xludf.DUMMYFUNCTION("""COMPUTED_VALUE"""),"Bitbar")</f>
        <v>Bitbar</v>
      </c>
      <c r="R8831" s="33">
        <f>IFERROR(__xludf.DUMMYFUNCTION("""COMPUTED_VALUE"""),1.0)</f>
        <v>1</v>
      </c>
      <c r="S8831" s="4" t="str">
        <f>IFERROR(__xludf.DUMMYFUNCTION("""COMPUTED_VALUE"""),"Bitbar")</f>
        <v>Bitbar</v>
      </c>
      <c r="T8831" s="33">
        <f>IFERROR(__xludf.DUMMYFUNCTION("""COMPUTED_VALUE"""),1.0)</f>
        <v>1</v>
      </c>
      <c r="U8831" s="4" t="str">
        <f>IFERROR(__xludf.DUMMYFUNCTION("""COMPUTED_VALUE"""),"Bitbar")</f>
        <v>Bitbar</v>
      </c>
      <c r="V8831" s="33">
        <f>IFERROR(__xludf.DUMMYFUNCTION("""COMPUTED_VALUE"""),1.0)</f>
        <v>1</v>
      </c>
      <c r="W8831" s="4" t="str">
        <f>IFERROR(__xludf.DUMMYFUNCTION("""COMPUTED_VALUE"""),"Bitbar")</f>
        <v>Bitbar</v>
      </c>
      <c r="X8831" s="33">
        <f>IFERROR(__xludf.DUMMYFUNCTION("""COMPUTED_VALUE"""),1.0)</f>
        <v>1</v>
      </c>
    </row>
    <row r="8832">
      <c r="K8832" s="4" t="str">
        <f>IFERROR(__xludf.DUMMYFUNCTION("""COMPUTED_VALUE"""),"JIOVANNA BROWNIES EXPRESS")</f>
        <v>JIOVANNA BROWNIES EXPRESS</v>
      </c>
      <c r="L8832" s="32">
        <f>IFERROR(__xludf.DUMMYFUNCTION("""COMPUTED_VALUE"""),1.0)</f>
        <v>1</v>
      </c>
      <c r="M8832" s="4" t="str">
        <f>IFERROR(__xludf.DUMMYFUNCTION("""COMPUTED_VALUE"""),"Saipos Serviços De Software")</f>
        <v>Saipos Serviços De Software</v>
      </c>
      <c r="N8832" s="33">
        <f>IFERROR(__xludf.DUMMYFUNCTION("""COMPUTED_VALUE"""),1.0)</f>
        <v>1</v>
      </c>
      <c r="O8832" s="4" t="str">
        <f>IFERROR(__xludf.DUMMYFUNCTION("""COMPUTED_VALUE"""),"Saipos Serviços De Software")</f>
        <v>Saipos Serviços De Software</v>
      </c>
      <c r="P8832" s="33">
        <f>IFERROR(__xludf.DUMMYFUNCTION("""COMPUTED_VALUE"""),1.0)</f>
        <v>1</v>
      </c>
      <c r="Q8832" s="4" t="str">
        <f>IFERROR(__xludf.DUMMYFUNCTION("""COMPUTED_VALUE"""),"Saipos Serviços De Software")</f>
        <v>Saipos Serviços De Software</v>
      </c>
      <c r="R8832" s="33">
        <f>IFERROR(__xludf.DUMMYFUNCTION("""COMPUTED_VALUE"""),1.0)</f>
        <v>1</v>
      </c>
      <c r="S8832" s="4" t="str">
        <f>IFERROR(__xludf.DUMMYFUNCTION("""COMPUTED_VALUE"""),"Saipos Serviços De Software")</f>
        <v>Saipos Serviços De Software</v>
      </c>
      <c r="T8832" s="33">
        <f>IFERROR(__xludf.DUMMYFUNCTION("""COMPUTED_VALUE"""),1.0)</f>
        <v>1</v>
      </c>
      <c r="U8832" s="4" t="str">
        <f>IFERROR(__xludf.DUMMYFUNCTION("""COMPUTED_VALUE"""),"Saipos Serviços De Software")</f>
        <v>Saipos Serviços De Software</v>
      </c>
      <c r="V8832" s="33">
        <f>IFERROR(__xludf.DUMMYFUNCTION("""COMPUTED_VALUE"""),1.0)</f>
        <v>1</v>
      </c>
      <c r="W8832" s="4" t="str">
        <f>IFERROR(__xludf.DUMMYFUNCTION("""COMPUTED_VALUE"""),"Saipos Serviços De Software")</f>
        <v>Saipos Serviços De Software</v>
      </c>
      <c r="X8832" s="33">
        <f>IFERROR(__xludf.DUMMYFUNCTION("""COMPUTED_VALUE"""),1.0)</f>
        <v>1</v>
      </c>
    </row>
    <row r="8833">
      <c r="K8833" s="4" t="str">
        <f>IFERROR(__xludf.DUMMYFUNCTION("""COMPUTED_VALUE"""),"PIZZARIA IMPERIAL - PIZZAS")</f>
        <v>PIZZARIA IMPERIAL - PIZZAS</v>
      </c>
      <c r="L8833" s="32">
        <f>IFERROR(__xludf.DUMMYFUNCTION("""COMPUTED_VALUE"""),1.0)</f>
        <v>1</v>
      </c>
      <c r="M8833" s="4" t="str">
        <f>IFERROR(__xludf.DUMMYFUNCTION("""COMPUTED_VALUE"""),"Mp Multipedidos")</f>
        <v>Mp Multipedidos</v>
      </c>
      <c r="N8833" s="33">
        <f>IFERROR(__xludf.DUMMYFUNCTION("""COMPUTED_VALUE"""),1.0)</f>
        <v>1</v>
      </c>
      <c r="O8833" s="4" t="str">
        <f>IFERROR(__xludf.DUMMYFUNCTION("""COMPUTED_VALUE"""),"Mp Multipedidos")</f>
        <v>Mp Multipedidos</v>
      </c>
      <c r="P8833" s="33">
        <f>IFERROR(__xludf.DUMMYFUNCTION("""COMPUTED_VALUE"""),1.0)</f>
        <v>1</v>
      </c>
      <c r="Q8833" s="4" t="str">
        <f>IFERROR(__xludf.DUMMYFUNCTION("""COMPUTED_VALUE"""),"Mp Multipedidos")</f>
        <v>Mp Multipedidos</v>
      </c>
      <c r="R8833" s="33">
        <f>IFERROR(__xludf.DUMMYFUNCTION("""COMPUTED_VALUE"""),1.0)</f>
        <v>1</v>
      </c>
      <c r="S8833" s="4" t="str">
        <f>IFERROR(__xludf.DUMMYFUNCTION("""COMPUTED_VALUE"""),"Mp Multipedidos")</f>
        <v>Mp Multipedidos</v>
      </c>
      <c r="T8833" s="33">
        <f>IFERROR(__xludf.DUMMYFUNCTION("""COMPUTED_VALUE"""),1.0)</f>
        <v>1</v>
      </c>
      <c r="U8833" s="4" t="str">
        <f>IFERROR(__xludf.DUMMYFUNCTION("""COMPUTED_VALUE"""),"Mp Multipedidos")</f>
        <v>Mp Multipedidos</v>
      </c>
      <c r="V8833" s="33">
        <f>IFERROR(__xludf.DUMMYFUNCTION("""COMPUTED_VALUE"""),1.0)</f>
        <v>1</v>
      </c>
      <c r="W8833" s="4" t="str">
        <f>IFERROR(__xludf.DUMMYFUNCTION("""COMPUTED_VALUE"""),"Mp Multipedidos")</f>
        <v>Mp Multipedidos</v>
      </c>
      <c r="X8833" s="33">
        <f>IFERROR(__xludf.DUMMYFUNCTION("""COMPUTED_VALUE"""),1.0)</f>
        <v>1</v>
      </c>
    </row>
    <row r="8834">
      <c r="K8834" s="4" t="str">
        <f>IFERROR(__xludf.DUMMYFUNCTION("""COMPUTED_VALUE"""),"TABERNA DA ANGELA")</f>
        <v>TABERNA DA ANGELA</v>
      </c>
      <c r="L8834" s="32">
        <f>IFERROR(__xludf.DUMMYFUNCTION("""COMPUTED_VALUE"""),1.0)</f>
        <v>1</v>
      </c>
      <c r="M8834" s="4" t="str">
        <f>IFERROR(__xludf.DUMMYFUNCTION("""COMPUTED_VALUE"""),"Cardápio Web")</f>
        <v>Cardápio Web</v>
      </c>
      <c r="N8834" s="33">
        <f>IFERROR(__xludf.DUMMYFUNCTION("""COMPUTED_VALUE"""),1.0)</f>
        <v>1</v>
      </c>
      <c r="O8834" s="4" t="str">
        <f>IFERROR(__xludf.DUMMYFUNCTION("""COMPUTED_VALUE"""),"Cardápio Web")</f>
        <v>Cardápio Web</v>
      </c>
      <c r="P8834" s="33">
        <f>IFERROR(__xludf.DUMMYFUNCTION("""COMPUTED_VALUE"""),1.0)</f>
        <v>1</v>
      </c>
      <c r="Q8834" s="4" t="str">
        <f>IFERROR(__xludf.DUMMYFUNCTION("""COMPUTED_VALUE"""),"Cardápio Web")</f>
        <v>Cardápio Web</v>
      </c>
      <c r="R8834" s="33">
        <f>IFERROR(__xludf.DUMMYFUNCTION("""COMPUTED_VALUE"""),1.0)</f>
        <v>1</v>
      </c>
      <c r="S8834" s="4" t="str">
        <f>IFERROR(__xludf.DUMMYFUNCTION("""COMPUTED_VALUE"""),"Cardápio Web")</f>
        <v>Cardápio Web</v>
      </c>
      <c r="T8834" s="33">
        <f>IFERROR(__xludf.DUMMYFUNCTION("""COMPUTED_VALUE"""),1.0)</f>
        <v>1</v>
      </c>
      <c r="U8834" s="4" t="str">
        <f>IFERROR(__xludf.DUMMYFUNCTION("""COMPUTED_VALUE"""),"Cardápio Web")</f>
        <v>Cardápio Web</v>
      </c>
      <c r="V8834" s="33">
        <f>IFERROR(__xludf.DUMMYFUNCTION("""COMPUTED_VALUE"""),1.0)</f>
        <v>1</v>
      </c>
      <c r="W8834" s="4" t="str">
        <f>IFERROR(__xludf.DUMMYFUNCTION("""COMPUTED_VALUE"""),"Cardápio Web")</f>
        <v>Cardápio Web</v>
      </c>
      <c r="X8834" s="33">
        <f>IFERROR(__xludf.DUMMYFUNCTION("""COMPUTED_VALUE"""),1.0)</f>
        <v>1</v>
      </c>
    </row>
    <row r="8835">
      <c r="K8835" s="4" t="str">
        <f>IFERROR(__xludf.DUMMYFUNCTION("""COMPUTED_VALUE"""),"DI CARVALHO RESTAURANTE")</f>
        <v>DI CARVALHO RESTAURANTE</v>
      </c>
      <c r="L8835" s="32">
        <f>IFERROR(__xludf.DUMMYFUNCTION("""COMPUTED_VALUE"""),1.0)</f>
        <v>1</v>
      </c>
      <c r="M8835" s="4" t="str">
        <f>IFERROR(__xludf.DUMMYFUNCTION("""COMPUTED_VALUE"""),"null")</f>
        <v>null</v>
      </c>
      <c r="N8835" s="33">
        <f>IFERROR(__xludf.DUMMYFUNCTION("""COMPUTED_VALUE"""),1.0)</f>
        <v>1</v>
      </c>
      <c r="O8835" s="4" t="str">
        <f>IFERROR(__xludf.DUMMYFUNCTION("""COMPUTED_VALUE"""),"null")</f>
        <v>null</v>
      </c>
      <c r="P8835" s="33">
        <f>IFERROR(__xludf.DUMMYFUNCTION("""COMPUTED_VALUE"""),1.0)</f>
        <v>1</v>
      </c>
      <c r="Q8835" s="4" t="str">
        <f>IFERROR(__xludf.DUMMYFUNCTION("""COMPUTED_VALUE"""),"null")</f>
        <v>null</v>
      </c>
      <c r="R8835" s="33">
        <f>IFERROR(__xludf.DUMMYFUNCTION("""COMPUTED_VALUE"""),1.0)</f>
        <v>1</v>
      </c>
      <c r="S8835" s="4" t="str">
        <f>IFERROR(__xludf.DUMMYFUNCTION("""COMPUTED_VALUE"""),"null")</f>
        <v>null</v>
      </c>
      <c r="T8835" s="33">
        <f>IFERROR(__xludf.DUMMYFUNCTION("""COMPUTED_VALUE"""),1.0)</f>
        <v>1</v>
      </c>
      <c r="U8835" s="4" t="str">
        <f>IFERROR(__xludf.DUMMYFUNCTION("""COMPUTED_VALUE"""),"null")</f>
        <v>null</v>
      </c>
      <c r="V8835" s="33">
        <f>IFERROR(__xludf.DUMMYFUNCTION("""COMPUTED_VALUE"""),1.0)</f>
        <v>1</v>
      </c>
      <c r="W8835" s="4" t="str">
        <f>IFERROR(__xludf.DUMMYFUNCTION("""COMPUTED_VALUE"""),"Anota Ai Solucoes Digitais S/a")</f>
        <v>Anota Ai Solucoes Digitais S/a</v>
      </c>
      <c r="X8835" s="33">
        <f>IFERROR(__xludf.DUMMYFUNCTION("""COMPUTED_VALUE"""),1.0)</f>
        <v>1</v>
      </c>
    </row>
    <row r="8836">
      <c r="K8836" s="4" t="str">
        <f>IFERROR(__xludf.DUMMYFUNCTION("""COMPUTED_VALUE"""),"FIRST LANCHES")</f>
        <v>FIRST LANCHES</v>
      </c>
      <c r="L8836" s="32">
        <f>IFERROR(__xludf.DUMMYFUNCTION("""COMPUTED_VALUE"""),1.0)</f>
        <v>1</v>
      </c>
      <c r="M8836" s="4" t="str">
        <f>IFERROR(__xludf.DUMMYFUNCTION("""COMPUTED_VALUE"""),"null")</f>
        <v>null</v>
      </c>
      <c r="N8836" s="33">
        <f>IFERROR(__xludf.DUMMYFUNCTION("""COMPUTED_VALUE"""),1.0)</f>
        <v>1</v>
      </c>
      <c r="O8836" s="4" t="str">
        <f>IFERROR(__xludf.DUMMYFUNCTION("""COMPUTED_VALUE"""),"Saipos Serviços De Software")</f>
        <v>Saipos Serviços De Software</v>
      </c>
      <c r="P8836" s="33">
        <f>IFERROR(__xludf.DUMMYFUNCTION("""COMPUTED_VALUE"""),1.0)</f>
        <v>1</v>
      </c>
      <c r="Q8836" s="4" t="str">
        <f>IFERROR(__xludf.DUMMYFUNCTION("""COMPUTED_VALUE"""),"Saipos Serviços De Software")</f>
        <v>Saipos Serviços De Software</v>
      </c>
      <c r="R8836" s="33">
        <f>IFERROR(__xludf.DUMMYFUNCTION("""COMPUTED_VALUE"""),1.0)</f>
        <v>1</v>
      </c>
      <c r="S8836" s="4" t="str">
        <f>IFERROR(__xludf.DUMMYFUNCTION("""COMPUTED_VALUE"""),"null")</f>
        <v>null</v>
      </c>
      <c r="T8836" s="33">
        <f>IFERROR(__xludf.DUMMYFUNCTION("""COMPUTED_VALUE"""),1.0)</f>
        <v>1</v>
      </c>
      <c r="U8836" s="4" t="str">
        <f>IFERROR(__xludf.DUMMYFUNCTION("""COMPUTED_VALUE"""),"null")</f>
        <v>null</v>
      </c>
      <c r="V8836" s="33">
        <f>IFERROR(__xludf.DUMMYFUNCTION("""COMPUTED_VALUE"""),1.0)</f>
        <v>1</v>
      </c>
      <c r="W8836" s="4" t="str">
        <f>IFERROR(__xludf.DUMMYFUNCTION("""COMPUTED_VALUE"""),"null")</f>
        <v>null</v>
      </c>
      <c r="X8836" s="33">
        <f>IFERROR(__xludf.DUMMYFUNCTION("""COMPUTED_VALUE"""),1.0)</f>
        <v>1</v>
      </c>
    </row>
    <row r="8837">
      <c r="K8837" s="4" t="str">
        <f>IFERROR(__xludf.DUMMYFUNCTION("""COMPUTED_VALUE"""),"CONSULADO MINEIRO - PINHEIROS")</f>
        <v>CONSULADO MINEIRO - PINHEIROS</v>
      </c>
      <c r="L8837" s="32">
        <f>IFERROR(__xludf.DUMMYFUNCTION("""COMPUTED_VALUE"""),1.0)</f>
        <v>1</v>
      </c>
      <c r="M8837" s="4" t="str">
        <f>IFERROR(__xludf.DUMMYFUNCTION("""COMPUTED_VALUE"""),"Ncr")</f>
        <v>Ncr</v>
      </c>
      <c r="N8837" s="33">
        <f>IFERROR(__xludf.DUMMYFUNCTION("""COMPUTED_VALUE"""),1.0)</f>
        <v>1</v>
      </c>
      <c r="O8837" s="4" t="str">
        <f>IFERROR(__xludf.DUMMYFUNCTION("""COMPUTED_VALUE"""),"Ncr")</f>
        <v>Ncr</v>
      </c>
      <c r="P8837" s="33">
        <f>IFERROR(__xludf.DUMMYFUNCTION("""COMPUTED_VALUE"""),1.0)</f>
        <v>1</v>
      </c>
      <c r="Q8837" s="4" t="str">
        <f>IFERROR(__xludf.DUMMYFUNCTION("""COMPUTED_VALUE"""),"Ncr")</f>
        <v>Ncr</v>
      </c>
      <c r="R8837" s="33">
        <f>IFERROR(__xludf.DUMMYFUNCTION("""COMPUTED_VALUE"""),1.0)</f>
        <v>1</v>
      </c>
      <c r="S8837" s="4" t="str">
        <f>IFERROR(__xludf.DUMMYFUNCTION("""COMPUTED_VALUE"""),"Ncr")</f>
        <v>Ncr</v>
      </c>
      <c r="T8837" s="33">
        <f>IFERROR(__xludf.DUMMYFUNCTION("""COMPUTED_VALUE"""),1.0)</f>
        <v>1</v>
      </c>
      <c r="U8837" s="4" t="str">
        <f>IFERROR(__xludf.DUMMYFUNCTION("""COMPUTED_VALUE"""),"Ncr")</f>
        <v>Ncr</v>
      </c>
      <c r="V8837" s="33">
        <f>IFERROR(__xludf.DUMMYFUNCTION("""COMPUTED_VALUE"""),1.0)</f>
        <v>1</v>
      </c>
      <c r="W8837" s="4" t="str">
        <f>IFERROR(__xludf.DUMMYFUNCTION("""COMPUTED_VALUE"""),"Ncr")</f>
        <v>Ncr</v>
      </c>
      <c r="X8837" s="33">
        <f>IFERROR(__xludf.DUMMYFUNCTION("""COMPUTED_VALUE"""),1.0)</f>
        <v>1</v>
      </c>
    </row>
    <row r="8838">
      <c r="K8838" s="4" t="str">
        <f>IFERROR(__xludf.DUMMYFUNCTION("""COMPUTED_VALUE"""),"OREN SUSHI")</f>
        <v>OREN SUSHI</v>
      </c>
      <c r="L8838" s="32">
        <f>IFERROR(__xludf.DUMMYFUNCTION("""COMPUTED_VALUE"""),1.0)</f>
        <v>1</v>
      </c>
      <c r="M8838" s="4" t="str">
        <f>IFERROR(__xludf.DUMMYFUNCTION("""COMPUTED_VALUE"""),"Saipos Serviços De Software")</f>
        <v>Saipos Serviços De Software</v>
      </c>
      <c r="N8838" s="33">
        <f>IFERROR(__xludf.DUMMYFUNCTION("""COMPUTED_VALUE"""),1.0)</f>
        <v>1</v>
      </c>
      <c r="O8838" s="4" t="str">
        <f>IFERROR(__xludf.DUMMYFUNCTION("""COMPUTED_VALUE"""),"Saipos Serviços De Software")</f>
        <v>Saipos Serviços De Software</v>
      </c>
      <c r="P8838" s="33">
        <f>IFERROR(__xludf.DUMMYFUNCTION("""COMPUTED_VALUE"""),1.0)</f>
        <v>1</v>
      </c>
      <c r="Q8838" s="4" t="str">
        <f>IFERROR(__xludf.DUMMYFUNCTION("""COMPUTED_VALUE"""),"Saipos Serviços De Software")</f>
        <v>Saipos Serviços De Software</v>
      </c>
      <c r="R8838" s="33">
        <f>IFERROR(__xludf.DUMMYFUNCTION("""COMPUTED_VALUE"""),1.0)</f>
        <v>1</v>
      </c>
      <c r="S8838" s="4" t="str">
        <f>IFERROR(__xludf.DUMMYFUNCTION("""COMPUTED_VALUE"""),"Saipos Serviços De Software")</f>
        <v>Saipos Serviços De Software</v>
      </c>
      <c r="T8838" s="33">
        <f>IFERROR(__xludf.DUMMYFUNCTION("""COMPUTED_VALUE"""),1.0)</f>
        <v>1</v>
      </c>
      <c r="U8838" s="4" t="str">
        <f>IFERROR(__xludf.DUMMYFUNCTION("""COMPUTED_VALUE"""),"Saipos Serviços De Software")</f>
        <v>Saipos Serviços De Software</v>
      </c>
      <c r="V8838" s="33">
        <f>IFERROR(__xludf.DUMMYFUNCTION("""COMPUTED_VALUE"""),1.0)</f>
        <v>1</v>
      </c>
      <c r="W8838" s="4" t="str">
        <f>IFERROR(__xludf.DUMMYFUNCTION("""COMPUTED_VALUE"""),"Saipos Serviços De Software")</f>
        <v>Saipos Serviços De Software</v>
      </c>
      <c r="X8838" s="33">
        <f>IFERROR(__xludf.DUMMYFUNCTION("""COMPUTED_VALUE"""),1.0)</f>
        <v>1</v>
      </c>
    </row>
    <row r="8839">
      <c r="K8839" s="4" t="str">
        <f>IFERROR(__xludf.DUMMYFUNCTION("""COMPUTED_VALUE"""),"PIZZA FACILE PIZZARIA")</f>
        <v>PIZZA FACILE PIZZARIA</v>
      </c>
      <c r="L8839" s="32">
        <f>IFERROR(__xludf.DUMMYFUNCTION("""COMPUTED_VALUE"""),1.0)</f>
        <v>1</v>
      </c>
      <c r="M8839" s="4" t="str">
        <f>IFERROR(__xludf.DUMMYFUNCTION("""COMPUTED_VALUE"""),"Saipos Serviços De Software")</f>
        <v>Saipos Serviços De Software</v>
      </c>
      <c r="N8839" s="33">
        <f>IFERROR(__xludf.DUMMYFUNCTION("""COMPUTED_VALUE"""),1.0)</f>
        <v>1</v>
      </c>
      <c r="O8839" s="4" t="str">
        <f>IFERROR(__xludf.DUMMYFUNCTION("""COMPUTED_VALUE"""),"Saipos Serviços De Software")</f>
        <v>Saipos Serviços De Software</v>
      </c>
      <c r="P8839" s="33">
        <f>IFERROR(__xludf.DUMMYFUNCTION("""COMPUTED_VALUE"""),1.0)</f>
        <v>1</v>
      </c>
      <c r="Q8839" s="4" t="str">
        <f>IFERROR(__xludf.DUMMYFUNCTION("""COMPUTED_VALUE"""),"Saipos Serviços De Software")</f>
        <v>Saipos Serviços De Software</v>
      </c>
      <c r="R8839" s="33">
        <f>IFERROR(__xludf.DUMMYFUNCTION("""COMPUTED_VALUE"""),1.0)</f>
        <v>1</v>
      </c>
      <c r="S8839" s="4" t="str">
        <f>IFERROR(__xludf.DUMMYFUNCTION("""COMPUTED_VALUE"""),"Saipos Serviços De Software")</f>
        <v>Saipos Serviços De Software</v>
      </c>
      <c r="T8839" s="33">
        <f>IFERROR(__xludf.DUMMYFUNCTION("""COMPUTED_VALUE"""),1.0)</f>
        <v>1</v>
      </c>
      <c r="U8839" s="4" t="str">
        <f>IFERROR(__xludf.DUMMYFUNCTION("""COMPUTED_VALUE"""),"Saipos Serviços De Software")</f>
        <v>Saipos Serviços De Software</v>
      </c>
      <c r="V8839" s="33">
        <f>IFERROR(__xludf.DUMMYFUNCTION("""COMPUTED_VALUE"""),1.0)</f>
        <v>1</v>
      </c>
      <c r="W8839" s="4" t="str">
        <f>IFERROR(__xludf.DUMMYFUNCTION("""COMPUTED_VALUE"""),"Saipos Serviços De Software")</f>
        <v>Saipos Serviços De Software</v>
      </c>
      <c r="X8839" s="33">
        <f>IFERROR(__xludf.DUMMYFUNCTION("""COMPUTED_VALUE"""),1.0)</f>
        <v>1</v>
      </c>
    </row>
    <row r="8840">
      <c r="K8840" s="4" t="str">
        <f>IFERROR(__xludf.DUMMYFUNCTION("""COMPUTED_VALUE"""),"TRIGO PARMEGIANAS E MASSAS")</f>
        <v>TRIGO PARMEGIANAS E MASSAS</v>
      </c>
      <c r="L8840" s="32">
        <f>IFERROR(__xludf.DUMMYFUNCTION("""COMPUTED_VALUE"""),1.0)</f>
        <v>1</v>
      </c>
      <c r="M8840" s="4" t="str">
        <f>IFERROR(__xludf.DUMMYFUNCTION("""COMPUTED_VALUE"""),"Cardápio Web")</f>
        <v>Cardápio Web</v>
      </c>
      <c r="N8840" s="33">
        <f>IFERROR(__xludf.DUMMYFUNCTION("""COMPUTED_VALUE"""),1.0)</f>
        <v>1</v>
      </c>
      <c r="O8840" s="4" t="str">
        <f>IFERROR(__xludf.DUMMYFUNCTION("""COMPUTED_VALUE"""),"Cardápio Web")</f>
        <v>Cardápio Web</v>
      </c>
      <c r="P8840" s="33">
        <f>IFERROR(__xludf.DUMMYFUNCTION("""COMPUTED_VALUE"""),1.0)</f>
        <v>1</v>
      </c>
      <c r="Q8840" s="4" t="str">
        <f>IFERROR(__xludf.DUMMYFUNCTION("""COMPUTED_VALUE"""),"Cardápio Web")</f>
        <v>Cardápio Web</v>
      </c>
      <c r="R8840" s="33">
        <f>IFERROR(__xludf.DUMMYFUNCTION("""COMPUTED_VALUE"""),1.0)</f>
        <v>1</v>
      </c>
      <c r="S8840" s="4" t="str">
        <f>IFERROR(__xludf.DUMMYFUNCTION("""COMPUTED_VALUE"""),"Cardápio Web")</f>
        <v>Cardápio Web</v>
      </c>
      <c r="T8840" s="33">
        <f>IFERROR(__xludf.DUMMYFUNCTION("""COMPUTED_VALUE"""),1.0)</f>
        <v>1</v>
      </c>
      <c r="U8840" s="4" t="str">
        <f>IFERROR(__xludf.DUMMYFUNCTION("""COMPUTED_VALUE"""),"Cardápio Web")</f>
        <v>Cardápio Web</v>
      </c>
      <c r="V8840" s="33">
        <f>IFERROR(__xludf.DUMMYFUNCTION("""COMPUTED_VALUE"""),1.0)</f>
        <v>1</v>
      </c>
      <c r="W8840" s="4" t="str">
        <f>IFERROR(__xludf.DUMMYFUNCTION("""COMPUTED_VALUE"""),"Cardápio Web")</f>
        <v>Cardápio Web</v>
      </c>
      <c r="X8840" s="33">
        <f>IFERROR(__xludf.DUMMYFUNCTION("""COMPUTED_VALUE"""),1.0)</f>
        <v>1</v>
      </c>
    </row>
    <row r="8841">
      <c r="K8841" s="4" t="str">
        <f>IFERROR(__xludf.DUMMYFUNCTION("""COMPUTED_VALUE"""),"BELLOLI HOT DOG CACHORRO-QUENTE")</f>
        <v>BELLOLI HOT DOG CACHORRO-QUENTE</v>
      </c>
      <c r="L8841" s="32">
        <f>IFERROR(__xludf.DUMMYFUNCTION("""COMPUTED_VALUE"""),1.0)</f>
        <v>1</v>
      </c>
      <c r="M8841" s="4" t="str">
        <f>IFERROR(__xludf.DUMMYFUNCTION("""COMPUTED_VALUE"""),"Hubzy")</f>
        <v>Hubzy</v>
      </c>
      <c r="N8841" s="33">
        <f>IFERROR(__xludf.DUMMYFUNCTION("""COMPUTED_VALUE"""),1.0)</f>
        <v>1</v>
      </c>
      <c r="O8841" s="4" t="str">
        <f>IFERROR(__xludf.DUMMYFUNCTION("""COMPUTED_VALUE"""),"Hubzy")</f>
        <v>Hubzy</v>
      </c>
      <c r="P8841" s="33">
        <f>IFERROR(__xludf.DUMMYFUNCTION("""COMPUTED_VALUE"""),1.0)</f>
        <v>1</v>
      </c>
      <c r="Q8841" s="4" t="str">
        <f>IFERROR(__xludf.DUMMYFUNCTION("""COMPUTED_VALUE"""),"Hubzy")</f>
        <v>Hubzy</v>
      </c>
      <c r="R8841" s="33">
        <f>IFERROR(__xludf.DUMMYFUNCTION("""COMPUTED_VALUE"""),1.0)</f>
        <v>1</v>
      </c>
      <c r="S8841" s="4" t="str">
        <f>IFERROR(__xludf.DUMMYFUNCTION("""COMPUTED_VALUE"""),"null")</f>
        <v>null</v>
      </c>
      <c r="T8841" s="33">
        <f>IFERROR(__xludf.DUMMYFUNCTION("""COMPUTED_VALUE"""),1.0)</f>
        <v>1</v>
      </c>
      <c r="U8841" s="4" t="str">
        <f>IFERROR(__xludf.DUMMYFUNCTION("""COMPUTED_VALUE"""),"null")</f>
        <v>null</v>
      </c>
      <c r="V8841" s="33">
        <f>IFERROR(__xludf.DUMMYFUNCTION("""COMPUTED_VALUE"""),1.0)</f>
        <v>1</v>
      </c>
      <c r="W8841" s="4" t="str">
        <f>IFERROR(__xludf.DUMMYFUNCTION("""COMPUTED_VALUE"""),"Hubzy")</f>
        <v>Hubzy</v>
      </c>
      <c r="X8841" s="33">
        <f>IFERROR(__xludf.DUMMYFUNCTION("""COMPUTED_VALUE"""),1.0)</f>
        <v>1</v>
      </c>
    </row>
    <row r="8842">
      <c r="K8842" s="4" t="str">
        <f>IFERROR(__xludf.DUMMYFUNCTION("""COMPUTED_VALUE"""),"DELLUCCIO PIZZARIA - PIZZAS DOCES E SALGADAS")</f>
        <v>DELLUCCIO PIZZARIA - PIZZAS DOCES E SALGADAS</v>
      </c>
      <c r="L8842" s="32">
        <f>IFERROR(__xludf.DUMMYFUNCTION("""COMPUTED_VALUE"""),1.0)</f>
        <v>1</v>
      </c>
      <c r="M8842" s="4" t="str">
        <f>IFERROR(__xludf.DUMMYFUNCTION("""COMPUTED_VALUE"""),"Cardápio Web")</f>
        <v>Cardápio Web</v>
      </c>
      <c r="N8842" s="33">
        <f>IFERROR(__xludf.DUMMYFUNCTION("""COMPUTED_VALUE"""),1.0)</f>
        <v>1</v>
      </c>
      <c r="O8842" s="4" t="str">
        <f>IFERROR(__xludf.DUMMYFUNCTION("""COMPUTED_VALUE"""),"Cardápio Web")</f>
        <v>Cardápio Web</v>
      </c>
      <c r="P8842" s="33">
        <f>IFERROR(__xludf.DUMMYFUNCTION("""COMPUTED_VALUE"""),1.0)</f>
        <v>1</v>
      </c>
      <c r="Q8842" s="4" t="str">
        <f>IFERROR(__xludf.DUMMYFUNCTION("""COMPUTED_VALUE"""),"Cardápio Web")</f>
        <v>Cardápio Web</v>
      </c>
      <c r="R8842" s="33">
        <f>IFERROR(__xludf.DUMMYFUNCTION("""COMPUTED_VALUE"""),1.0)</f>
        <v>1</v>
      </c>
      <c r="S8842" s="4" t="str">
        <f>IFERROR(__xludf.DUMMYFUNCTION("""COMPUTED_VALUE"""),"Cardápio Web")</f>
        <v>Cardápio Web</v>
      </c>
      <c r="T8842" s="33">
        <f>IFERROR(__xludf.DUMMYFUNCTION("""COMPUTED_VALUE"""),1.0)</f>
        <v>1</v>
      </c>
      <c r="U8842" s="4" t="str">
        <f>IFERROR(__xludf.DUMMYFUNCTION("""COMPUTED_VALUE"""),"Cardápio Web")</f>
        <v>Cardápio Web</v>
      </c>
      <c r="V8842" s="33">
        <f>IFERROR(__xludf.DUMMYFUNCTION("""COMPUTED_VALUE"""),1.0)</f>
        <v>1</v>
      </c>
      <c r="W8842" s="4" t="str">
        <f>IFERROR(__xludf.DUMMYFUNCTION("""COMPUTED_VALUE"""),"Cardápio Web")</f>
        <v>Cardápio Web</v>
      </c>
      <c r="X8842" s="33">
        <f>IFERROR(__xludf.DUMMYFUNCTION("""COMPUTED_VALUE"""),1.0)</f>
        <v>1</v>
      </c>
    </row>
    <row r="8843">
      <c r="K8843" s="4" t="str">
        <f>IFERROR(__xludf.DUMMYFUNCTION("""COMPUTED_VALUE"""),"BURGUER CITY - HAMBURGUERIA")</f>
        <v>BURGUER CITY - HAMBURGUERIA</v>
      </c>
      <c r="L8843" s="32">
        <f>IFERROR(__xludf.DUMMYFUNCTION("""COMPUTED_VALUE"""),1.0)</f>
        <v>1</v>
      </c>
      <c r="M8843" s="4" t="str">
        <f>IFERROR(__xludf.DUMMYFUNCTION("""COMPUTED_VALUE"""),"Yooga")</f>
        <v>Yooga</v>
      </c>
      <c r="N8843" s="33">
        <f>IFERROR(__xludf.DUMMYFUNCTION("""COMPUTED_VALUE"""),1.0)</f>
        <v>1</v>
      </c>
      <c r="O8843" s="4" t="str">
        <f>IFERROR(__xludf.DUMMYFUNCTION("""COMPUTED_VALUE"""),"Yooga")</f>
        <v>Yooga</v>
      </c>
      <c r="P8843" s="33">
        <f>IFERROR(__xludf.DUMMYFUNCTION("""COMPUTED_VALUE"""),1.0)</f>
        <v>1</v>
      </c>
      <c r="Q8843" s="4" t="str">
        <f>IFERROR(__xludf.DUMMYFUNCTION("""COMPUTED_VALUE"""),"Yooga")</f>
        <v>Yooga</v>
      </c>
      <c r="R8843" s="33">
        <f>IFERROR(__xludf.DUMMYFUNCTION("""COMPUTED_VALUE"""),1.0)</f>
        <v>1</v>
      </c>
      <c r="S8843" s="4" t="str">
        <f>IFERROR(__xludf.DUMMYFUNCTION("""COMPUTED_VALUE"""),"Yooga")</f>
        <v>Yooga</v>
      </c>
      <c r="T8843" s="33">
        <f>IFERROR(__xludf.DUMMYFUNCTION("""COMPUTED_VALUE"""),1.0)</f>
        <v>1</v>
      </c>
      <c r="U8843" s="4" t="str">
        <f>IFERROR(__xludf.DUMMYFUNCTION("""COMPUTED_VALUE"""),"Yooga")</f>
        <v>Yooga</v>
      </c>
      <c r="V8843" s="33">
        <f>IFERROR(__xludf.DUMMYFUNCTION("""COMPUTED_VALUE"""),1.0)</f>
        <v>1</v>
      </c>
      <c r="W8843" s="4" t="str">
        <f>IFERROR(__xludf.DUMMYFUNCTION("""COMPUTED_VALUE"""),"Cardápio Web")</f>
        <v>Cardápio Web</v>
      </c>
      <c r="X8843" s="33">
        <f>IFERROR(__xludf.DUMMYFUNCTION("""COMPUTED_VALUE"""),1.0)</f>
        <v>1</v>
      </c>
    </row>
    <row r="8844">
      <c r="K8844" s="4" t="str">
        <f>IFERROR(__xludf.DUMMYFUNCTION("""COMPUTED_VALUE"""),"RAVENNA PIZZARIA RODIZIOSTA FELICIA")</f>
        <v>RAVENNA PIZZARIA RODIZIOSTA FELICIA</v>
      </c>
      <c r="L8844" s="32">
        <f>IFERROR(__xludf.DUMMYFUNCTION("""COMPUTED_VALUE"""),1.0)</f>
        <v>1</v>
      </c>
      <c r="M8844" s="4" t="str">
        <f>IFERROR(__xludf.DUMMYFUNCTION("""COMPUTED_VALUE"""),"Looksystem Tecnologia Em Sistemas Ltda")</f>
        <v>Looksystem Tecnologia Em Sistemas Ltda</v>
      </c>
      <c r="N8844" s="33">
        <f>IFERROR(__xludf.DUMMYFUNCTION("""COMPUTED_VALUE"""),1.0)</f>
        <v>1</v>
      </c>
      <c r="O8844" s="4" t="str">
        <f>IFERROR(__xludf.DUMMYFUNCTION("""COMPUTED_VALUE"""),"Looksystem Tecnologia Em Sistemas Ltda")</f>
        <v>Looksystem Tecnologia Em Sistemas Ltda</v>
      </c>
      <c r="P8844" s="33">
        <f>IFERROR(__xludf.DUMMYFUNCTION("""COMPUTED_VALUE"""),1.0)</f>
        <v>1</v>
      </c>
      <c r="Q8844" s="4" t="str">
        <f>IFERROR(__xludf.DUMMYFUNCTION("""COMPUTED_VALUE"""),"Looksystem Tecnologia Em Sistemas Ltda")</f>
        <v>Looksystem Tecnologia Em Sistemas Ltda</v>
      </c>
      <c r="R8844" s="33">
        <f>IFERROR(__xludf.DUMMYFUNCTION("""COMPUTED_VALUE"""),1.0)</f>
        <v>1</v>
      </c>
      <c r="S8844" s="4" t="str">
        <f>IFERROR(__xludf.DUMMYFUNCTION("""COMPUTED_VALUE"""),"Looksystem Tecnologia Em Sistemas Ltda")</f>
        <v>Looksystem Tecnologia Em Sistemas Ltda</v>
      </c>
      <c r="T8844" s="33">
        <f>IFERROR(__xludf.DUMMYFUNCTION("""COMPUTED_VALUE"""),1.0)</f>
        <v>1</v>
      </c>
      <c r="U8844" s="4" t="str">
        <f>IFERROR(__xludf.DUMMYFUNCTION("""COMPUTED_VALUE"""),"Looksystem Tecnologia Em Sistemas Ltda")</f>
        <v>Looksystem Tecnologia Em Sistemas Ltda</v>
      </c>
      <c r="V8844" s="33">
        <f>IFERROR(__xludf.DUMMYFUNCTION("""COMPUTED_VALUE"""),1.0)</f>
        <v>1</v>
      </c>
      <c r="W8844" s="4" t="str">
        <f>IFERROR(__xludf.DUMMYFUNCTION("""COMPUTED_VALUE"""),"Looksystem Tecnologia Em Sistemas Ltda")</f>
        <v>Looksystem Tecnologia Em Sistemas Ltda</v>
      </c>
      <c r="X8844" s="33">
        <f>IFERROR(__xludf.DUMMYFUNCTION("""COMPUTED_VALUE"""),1.0)</f>
        <v>1</v>
      </c>
    </row>
    <row r="8845">
      <c r="K8845" s="4" t="str">
        <f>IFERROR(__xludf.DUMMYFUNCTION("""COMPUTED_VALUE"""),"DIGS SOBREMESAS")</f>
        <v>DIGS SOBREMESAS</v>
      </c>
      <c r="L8845" s="32">
        <f>IFERROR(__xludf.DUMMYFUNCTION("""COMPUTED_VALUE"""),1.0)</f>
        <v>1</v>
      </c>
      <c r="M8845" s="4" t="str">
        <f>IFERROR(__xludf.DUMMYFUNCTION("""COMPUTED_VALUE"""),"null")</f>
        <v>null</v>
      </c>
      <c r="N8845" s="33">
        <f>IFERROR(__xludf.DUMMYFUNCTION("""COMPUTED_VALUE"""),1.0)</f>
        <v>1</v>
      </c>
      <c r="O8845" s="4" t="str">
        <f>IFERROR(__xludf.DUMMYFUNCTION("""COMPUTED_VALUE"""),"null")</f>
        <v>null</v>
      </c>
      <c r="P8845" s="33">
        <f>IFERROR(__xludf.DUMMYFUNCTION("""COMPUTED_VALUE"""),1.0)</f>
        <v>1</v>
      </c>
      <c r="Q8845" s="4" t="str">
        <f>IFERROR(__xludf.DUMMYFUNCTION("""COMPUTED_VALUE"""),"null")</f>
        <v>null</v>
      </c>
      <c r="R8845" s="33">
        <f>IFERROR(__xludf.DUMMYFUNCTION("""COMPUTED_VALUE"""),1.0)</f>
        <v>1</v>
      </c>
      <c r="S8845" s="4" t="str">
        <f>IFERROR(__xludf.DUMMYFUNCTION("""COMPUTED_VALUE"""),"null")</f>
        <v>null</v>
      </c>
      <c r="T8845" s="33">
        <f>IFERROR(__xludf.DUMMYFUNCTION("""COMPUTED_VALUE"""),1.0)</f>
        <v>1</v>
      </c>
      <c r="U8845" s="4" t="str">
        <f>IFERROR(__xludf.DUMMYFUNCTION("""COMPUTED_VALUE"""),"Olaclick")</f>
        <v>Olaclick</v>
      </c>
      <c r="V8845" s="33">
        <f>IFERROR(__xludf.DUMMYFUNCTION("""COMPUTED_VALUE"""),1.0)</f>
        <v>1</v>
      </c>
      <c r="W8845" s="4" t="str">
        <f>IFERROR(__xludf.DUMMYFUNCTION("""COMPUTED_VALUE"""),"null")</f>
        <v>null</v>
      </c>
      <c r="X8845" s="33">
        <f>IFERROR(__xludf.DUMMYFUNCTION("""COMPUTED_VALUE"""),1.0)</f>
        <v>1</v>
      </c>
    </row>
    <row r="8846">
      <c r="K8846" s="4" t="str">
        <f>IFERROR(__xludf.DUMMYFUNCTION("""COMPUTED_VALUE"""),"KEBRA BURGERS")</f>
        <v>KEBRA BURGERS</v>
      </c>
      <c r="L8846" s="32">
        <f>IFERROR(__xludf.DUMMYFUNCTION("""COMPUTED_VALUE"""),1.0)</f>
        <v>1</v>
      </c>
      <c r="M8846" s="4" t="str">
        <f>IFERROR(__xludf.DUMMYFUNCTION("""COMPUTED_VALUE"""),"Anove Tecnologia")</f>
        <v>Anove Tecnologia</v>
      </c>
      <c r="N8846" s="33">
        <f>IFERROR(__xludf.DUMMYFUNCTION("""COMPUTED_VALUE"""),1.0)</f>
        <v>1</v>
      </c>
      <c r="O8846" s="4" t="str">
        <f>IFERROR(__xludf.DUMMYFUNCTION("""COMPUTED_VALUE"""),"null")</f>
        <v>null</v>
      </c>
      <c r="P8846" s="33">
        <f>IFERROR(__xludf.DUMMYFUNCTION("""COMPUTED_VALUE"""),1.0)</f>
        <v>1</v>
      </c>
      <c r="Q8846" s="4" t="str">
        <f>IFERROR(__xludf.DUMMYFUNCTION("""COMPUTED_VALUE"""),"Anove Tecnologia")</f>
        <v>Anove Tecnologia</v>
      </c>
      <c r="R8846" s="33">
        <f>IFERROR(__xludf.DUMMYFUNCTION("""COMPUTED_VALUE"""),1.0)</f>
        <v>1</v>
      </c>
      <c r="S8846" s="4" t="str">
        <f>IFERROR(__xludf.DUMMYFUNCTION("""COMPUTED_VALUE"""),"null")</f>
        <v>null</v>
      </c>
      <c r="T8846" s="33">
        <f>IFERROR(__xludf.DUMMYFUNCTION("""COMPUTED_VALUE"""),1.0)</f>
        <v>1</v>
      </c>
      <c r="U8846" s="4" t="str">
        <f>IFERROR(__xludf.DUMMYFUNCTION("""COMPUTED_VALUE"""),"null")</f>
        <v>null</v>
      </c>
      <c r="V8846" s="33">
        <f>IFERROR(__xludf.DUMMYFUNCTION("""COMPUTED_VALUE"""),1.0)</f>
        <v>1</v>
      </c>
      <c r="W8846" s="4" t="str">
        <f>IFERROR(__xludf.DUMMYFUNCTION("""COMPUTED_VALUE"""),"Anove Tecnologia")</f>
        <v>Anove Tecnologia</v>
      </c>
      <c r="X8846" s="33">
        <f>IFERROR(__xludf.DUMMYFUNCTION("""COMPUTED_VALUE"""),1.0)</f>
        <v>1</v>
      </c>
    </row>
    <row r="8847">
      <c r="K8847" s="4" t="str">
        <f>IFERROR(__xludf.DUMMYFUNCTION("""COMPUTED_VALUE"""),"BITENCA FESTAS EXPRESS")</f>
        <v>BITENCA FESTAS EXPRESS</v>
      </c>
      <c r="L8847" s="32">
        <f>IFERROR(__xludf.DUMMYFUNCTION("""COMPUTED_VALUE"""),1.0)</f>
        <v>1</v>
      </c>
      <c r="M8847" s="4" t="str">
        <f>IFERROR(__xludf.DUMMYFUNCTION("""COMPUTED_VALUE"""),"Netcontroll Xmenu")</f>
        <v>Netcontroll Xmenu</v>
      </c>
      <c r="N8847" s="33">
        <f>IFERROR(__xludf.DUMMYFUNCTION("""COMPUTED_VALUE"""),1.0)</f>
        <v>1</v>
      </c>
      <c r="O8847" s="4" t="str">
        <f>IFERROR(__xludf.DUMMYFUNCTION("""COMPUTED_VALUE"""),"Netcontroll Xmenu")</f>
        <v>Netcontroll Xmenu</v>
      </c>
      <c r="P8847" s="33">
        <f>IFERROR(__xludf.DUMMYFUNCTION("""COMPUTED_VALUE"""),1.0)</f>
        <v>1</v>
      </c>
      <c r="Q8847" s="4" t="str">
        <f>IFERROR(__xludf.DUMMYFUNCTION("""COMPUTED_VALUE"""),"Netcontroll Xmenu")</f>
        <v>Netcontroll Xmenu</v>
      </c>
      <c r="R8847" s="33">
        <f>IFERROR(__xludf.DUMMYFUNCTION("""COMPUTED_VALUE"""),1.0)</f>
        <v>1</v>
      </c>
      <c r="S8847" s="4" t="str">
        <f>IFERROR(__xludf.DUMMYFUNCTION("""COMPUTED_VALUE"""),"Netcontroll Xmenu")</f>
        <v>Netcontroll Xmenu</v>
      </c>
      <c r="T8847" s="33">
        <f>IFERROR(__xludf.DUMMYFUNCTION("""COMPUTED_VALUE"""),1.0)</f>
        <v>1</v>
      </c>
      <c r="U8847" s="4" t="str">
        <f>IFERROR(__xludf.DUMMYFUNCTION("""COMPUTED_VALUE"""),"Netcontroll Xmenu")</f>
        <v>Netcontroll Xmenu</v>
      </c>
      <c r="V8847" s="33">
        <f>IFERROR(__xludf.DUMMYFUNCTION("""COMPUTED_VALUE"""),1.0)</f>
        <v>1</v>
      </c>
      <c r="W8847" s="4" t="str">
        <f>IFERROR(__xludf.DUMMYFUNCTION("""COMPUTED_VALUE"""),"Netcontroll Xmenu")</f>
        <v>Netcontroll Xmenu</v>
      </c>
      <c r="X8847" s="33">
        <f>IFERROR(__xludf.DUMMYFUNCTION("""COMPUTED_VALUE"""),1.0)</f>
        <v>1</v>
      </c>
    </row>
    <row r="8848">
      <c r="K8848" s="4" t="str">
        <f>IFERROR(__xludf.DUMMYFUNCTION("""COMPUTED_VALUE"""),"REFAZENDA")</f>
        <v>REFAZENDA</v>
      </c>
      <c r="L8848" s="32">
        <f>IFERROR(__xludf.DUMMYFUNCTION("""COMPUTED_VALUE"""),1.0)</f>
        <v>1</v>
      </c>
      <c r="M8848" s="4" t="str">
        <f>IFERROR(__xludf.DUMMYFUNCTION("""COMPUTED_VALUE"""),"Kcms")</f>
        <v>Kcms</v>
      </c>
      <c r="N8848" s="33">
        <f>IFERROR(__xludf.DUMMYFUNCTION("""COMPUTED_VALUE"""),1.0)</f>
        <v>1</v>
      </c>
      <c r="O8848" s="4" t="str">
        <f>IFERROR(__xludf.DUMMYFUNCTION("""COMPUTED_VALUE"""),"Kcms")</f>
        <v>Kcms</v>
      </c>
      <c r="P8848" s="33">
        <f>IFERROR(__xludf.DUMMYFUNCTION("""COMPUTED_VALUE"""),1.0)</f>
        <v>1</v>
      </c>
      <c r="Q8848" s="4" t="str">
        <f>IFERROR(__xludf.DUMMYFUNCTION("""COMPUTED_VALUE"""),"Kcms")</f>
        <v>Kcms</v>
      </c>
      <c r="R8848" s="33">
        <f>IFERROR(__xludf.DUMMYFUNCTION("""COMPUTED_VALUE"""),1.0)</f>
        <v>1</v>
      </c>
      <c r="S8848" s="4" t="str">
        <f>IFERROR(__xludf.DUMMYFUNCTION("""COMPUTED_VALUE"""),"Kcms")</f>
        <v>Kcms</v>
      </c>
      <c r="T8848" s="33">
        <f>IFERROR(__xludf.DUMMYFUNCTION("""COMPUTED_VALUE"""),1.0)</f>
        <v>1</v>
      </c>
      <c r="U8848" s="4" t="str">
        <f>IFERROR(__xludf.DUMMYFUNCTION("""COMPUTED_VALUE"""),"Kcms")</f>
        <v>Kcms</v>
      </c>
      <c r="V8848" s="33">
        <f>IFERROR(__xludf.DUMMYFUNCTION("""COMPUTED_VALUE"""),1.0)</f>
        <v>1</v>
      </c>
      <c r="W8848" s="4" t="str">
        <f>IFERROR(__xludf.DUMMYFUNCTION("""COMPUTED_VALUE"""),"Kcms")</f>
        <v>Kcms</v>
      </c>
      <c r="X8848" s="33">
        <f>IFERROR(__xludf.DUMMYFUNCTION("""COMPUTED_VALUE"""),1.0)</f>
        <v>1</v>
      </c>
    </row>
    <row r="8849">
      <c r="K8849" s="4" t="str">
        <f>IFERROR(__xludf.DUMMYFUNCTION("""COMPUTED_VALUE"""),"DONNA - PRATOS EXECUTIVOS")</f>
        <v>DONNA - PRATOS EXECUTIVOS</v>
      </c>
      <c r="L8849" s="32">
        <f>IFERROR(__xludf.DUMMYFUNCTION("""COMPUTED_VALUE"""),1.0)</f>
        <v>1</v>
      </c>
      <c r="M8849" s="4" t="str">
        <f>IFERROR(__xludf.DUMMYFUNCTION("""COMPUTED_VALUE"""),"Saipos Serviços De Software")</f>
        <v>Saipos Serviços De Software</v>
      </c>
      <c r="N8849" s="33">
        <f>IFERROR(__xludf.DUMMYFUNCTION("""COMPUTED_VALUE"""),1.0)</f>
        <v>1</v>
      </c>
      <c r="O8849" s="4" t="str">
        <f>IFERROR(__xludf.DUMMYFUNCTION("""COMPUTED_VALUE"""),"Saipos Serviços De Software")</f>
        <v>Saipos Serviços De Software</v>
      </c>
      <c r="P8849" s="33">
        <f>IFERROR(__xludf.DUMMYFUNCTION("""COMPUTED_VALUE"""),1.0)</f>
        <v>1</v>
      </c>
      <c r="Q8849" s="4" t="str">
        <f>IFERROR(__xludf.DUMMYFUNCTION("""COMPUTED_VALUE"""),"Saipos Serviços De Software")</f>
        <v>Saipos Serviços De Software</v>
      </c>
      <c r="R8849" s="33">
        <f>IFERROR(__xludf.DUMMYFUNCTION("""COMPUTED_VALUE"""),1.0)</f>
        <v>1</v>
      </c>
      <c r="S8849" s="4" t="str">
        <f>IFERROR(__xludf.DUMMYFUNCTION("""COMPUTED_VALUE"""),"null")</f>
        <v>null</v>
      </c>
      <c r="T8849" s="33">
        <f>IFERROR(__xludf.DUMMYFUNCTION("""COMPUTED_VALUE"""),1.0)</f>
        <v>1</v>
      </c>
      <c r="U8849" s="4" t="str">
        <f>IFERROR(__xludf.DUMMYFUNCTION("""COMPUTED_VALUE"""),"null")</f>
        <v>null</v>
      </c>
      <c r="V8849" s="33">
        <f>IFERROR(__xludf.DUMMYFUNCTION("""COMPUTED_VALUE"""),1.0)</f>
        <v>1</v>
      </c>
      <c r="W8849" s="4" t="str">
        <f>IFERROR(__xludf.DUMMYFUNCTION("""COMPUTED_VALUE"""),"null")</f>
        <v>null</v>
      </c>
      <c r="X8849" s="33">
        <f>IFERROR(__xludf.DUMMYFUNCTION("""COMPUTED_VALUE"""),1.0)</f>
        <v>1</v>
      </c>
    </row>
    <row r="8850">
      <c r="K8850" s="4" t="str">
        <f>IFERROR(__xludf.DUMMYFUNCTION("""COMPUTED_VALUE"""),"BOLOS DO CERRADO - CIDADE JARDIM")</f>
        <v>BOLOS DO CERRADO - CIDADE JARDIM</v>
      </c>
      <c r="L8850" s="32">
        <f>IFERROR(__xludf.DUMMYFUNCTION("""COMPUTED_VALUE"""),1.0)</f>
        <v>1</v>
      </c>
      <c r="M8850" s="4" t="str">
        <f>IFERROR(__xludf.DUMMYFUNCTION("""COMPUTED_VALUE"""),"Mapp Sistemas")</f>
        <v>Mapp Sistemas</v>
      </c>
      <c r="N8850" s="33">
        <f>IFERROR(__xludf.DUMMYFUNCTION("""COMPUTED_VALUE"""),1.0)</f>
        <v>1</v>
      </c>
      <c r="O8850" s="4" t="str">
        <f>IFERROR(__xludf.DUMMYFUNCTION("""COMPUTED_VALUE"""),"Mapp Sistemas")</f>
        <v>Mapp Sistemas</v>
      </c>
      <c r="P8850" s="33">
        <f>IFERROR(__xludf.DUMMYFUNCTION("""COMPUTED_VALUE"""),1.0)</f>
        <v>1</v>
      </c>
      <c r="Q8850" s="4" t="str">
        <f>IFERROR(__xludf.DUMMYFUNCTION("""COMPUTED_VALUE"""),"Mapp Sistemas")</f>
        <v>Mapp Sistemas</v>
      </c>
      <c r="R8850" s="33">
        <f>IFERROR(__xludf.DUMMYFUNCTION("""COMPUTED_VALUE"""),1.0)</f>
        <v>1</v>
      </c>
      <c r="S8850" s="4" t="str">
        <f>IFERROR(__xludf.DUMMYFUNCTION("""COMPUTED_VALUE"""),"Mapp Sistemas")</f>
        <v>Mapp Sistemas</v>
      </c>
      <c r="T8850" s="33">
        <f>IFERROR(__xludf.DUMMYFUNCTION("""COMPUTED_VALUE"""),1.0)</f>
        <v>1</v>
      </c>
      <c r="U8850" s="4" t="str">
        <f>IFERROR(__xludf.DUMMYFUNCTION("""COMPUTED_VALUE"""),"Mapp Sistemas")</f>
        <v>Mapp Sistemas</v>
      </c>
      <c r="V8850" s="33">
        <f>IFERROR(__xludf.DUMMYFUNCTION("""COMPUTED_VALUE"""),1.0)</f>
        <v>1</v>
      </c>
      <c r="W8850" s="4" t="str">
        <f>IFERROR(__xludf.DUMMYFUNCTION("""COMPUTED_VALUE"""),"Mapp Sistemas")</f>
        <v>Mapp Sistemas</v>
      </c>
      <c r="X8850" s="33">
        <f>IFERROR(__xludf.DUMMYFUNCTION("""COMPUTED_VALUE"""),1.0)</f>
        <v>1</v>
      </c>
    </row>
    <row r="8851">
      <c r="K8851" s="4" t="str">
        <f>IFERROR(__xludf.DUMMYFUNCTION("""COMPUTED_VALUE"""),"ARTE VALE - BEBIDAS")</f>
        <v>ARTE VALE - BEBIDAS</v>
      </c>
      <c r="L8851" s="32">
        <f>IFERROR(__xludf.DUMMYFUNCTION("""COMPUTED_VALUE"""),1.0)</f>
        <v>1</v>
      </c>
      <c r="M8851" s="4" t="str">
        <f>IFERROR(__xludf.DUMMYFUNCTION("""COMPUTED_VALUE"""),"Yooga")</f>
        <v>Yooga</v>
      </c>
      <c r="N8851" s="33">
        <f>IFERROR(__xludf.DUMMYFUNCTION("""COMPUTED_VALUE"""),1.0)</f>
        <v>1</v>
      </c>
      <c r="O8851" s="4" t="str">
        <f>IFERROR(__xludf.DUMMYFUNCTION("""COMPUTED_VALUE"""),"Yooga")</f>
        <v>Yooga</v>
      </c>
      <c r="P8851" s="33">
        <f>IFERROR(__xludf.DUMMYFUNCTION("""COMPUTED_VALUE"""),1.0)</f>
        <v>1</v>
      </c>
      <c r="Q8851" s="4" t="str">
        <f>IFERROR(__xludf.DUMMYFUNCTION("""COMPUTED_VALUE"""),"Yooga")</f>
        <v>Yooga</v>
      </c>
      <c r="R8851" s="33">
        <f>IFERROR(__xludf.DUMMYFUNCTION("""COMPUTED_VALUE"""),1.0)</f>
        <v>1</v>
      </c>
      <c r="S8851" s="4" t="str">
        <f>IFERROR(__xludf.DUMMYFUNCTION("""COMPUTED_VALUE"""),"Yooga")</f>
        <v>Yooga</v>
      </c>
      <c r="T8851" s="33">
        <f>IFERROR(__xludf.DUMMYFUNCTION("""COMPUTED_VALUE"""),1.0)</f>
        <v>1</v>
      </c>
      <c r="U8851" s="4" t="str">
        <f>IFERROR(__xludf.DUMMYFUNCTION("""COMPUTED_VALUE"""),"Yooga")</f>
        <v>Yooga</v>
      </c>
      <c r="V8851" s="33">
        <f>IFERROR(__xludf.DUMMYFUNCTION("""COMPUTED_VALUE"""),1.0)</f>
        <v>1</v>
      </c>
      <c r="W8851" s="4" t="str">
        <f>IFERROR(__xludf.DUMMYFUNCTION("""COMPUTED_VALUE"""),"Yooga")</f>
        <v>Yooga</v>
      </c>
      <c r="X8851" s="33">
        <f>IFERROR(__xludf.DUMMYFUNCTION("""COMPUTED_VALUE"""),1.0)</f>
        <v>1</v>
      </c>
    </row>
    <row r="8852">
      <c r="K8852" s="4" t="str">
        <f>IFERROR(__xludf.DUMMYFUNCTION("""COMPUTED_VALUE"""),"MERCADO MINI EXPRESS")</f>
        <v>MERCADO MINI EXPRESS</v>
      </c>
      <c r="L8852" s="32">
        <f>IFERROR(__xludf.DUMMYFUNCTION("""COMPUTED_VALUE"""),1.0)</f>
        <v>1</v>
      </c>
      <c r="M8852" s="4" t="str">
        <f>IFERROR(__xludf.DUMMYFUNCTION("""COMPUTED_VALUE"""),"N/A (Not found)")</f>
        <v>N/A (Not found)</v>
      </c>
      <c r="N8852" s="33">
        <f>IFERROR(__xludf.DUMMYFUNCTION("""COMPUTED_VALUE"""),1.0)</f>
        <v>1</v>
      </c>
      <c r="O8852" s="4" t="str">
        <f>IFERROR(__xludf.DUMMYFUNCTION("""COMPUTED_VALUE"""),"N/A (Not found)")</f>
        <v>N/A (Not found)</v>
      </c>
      <c r="P8852" s="33">
        <f>IFERROR(__xludf.DUMMYFUNCTION("""COMPUTED_VALUE"""),1.0)</f>
        <v>1</v>
      </c>
      <c r="Q8852" s="4" t="str">
        <f>IFERROR(__xludf.DUMMYFUNCTION("""COMPUTED_VALUE"""),"N/A (Not found)")</f>
        <v>N/A (Not found)</v>
      </c>
      <c r="R8852" s="33">
        <f>IFERROR(__xludf.DUMMYFUNCTION("""COMPUTED_VALUE"""),1.0)</f>
        <v>1</v>
      </c>
      <c r="S8852" s="4" t="str">
        <f>IFERROR(__xludf.DUMMYFUNCTION("""COMPUTED_VALUE"""),"N/A (Not found)")</f>
        <v>N/A (Not found)</v>
      </c>
      <c r="T8852" s="33">
        <f>IFERROR(__xludf.DUMMYFUNCTION("""COMPUTED_VALUE"""),1.0)</f>
        <v>1</v>
      </c>
      <c r="U8852" s="4" t="str">
        <f>IFERROR(__xludf.DUMMYFUNCTION("""COMPUTED_VALUE"""),"N/A (Not found)")</f>
        <v>N/A (Not found)</v>
      </c>
      <c r="V8852" s="33">
        <f>IFERROR(__xludf.DUMMYFUNCTION("""COMPUTED_VALUE"""),1.0)</f>
        <v>1</v>
      </c>
      <c r="W8852" s="4" t="str">
        <f>IFERROR(__xludf.DUMMYFUNCTION("""COMPUTED_VALUE"""),"N/A (Not found)")</f>
        <v>N/A (Not found)</v>
      </c>
      <c r="X8852" s="33">
        <f>IFERROR(__xludf.DUMMYFUNCTION("""COMPUTED_VALUE"""),1.0)</f>
        <v>1</v>
      </c>
    </row>
    <row r="8853">
      <c r="K8853" s="4" t="str">
        <f>IFERROR(__xludf.DUMMYFUNCTION("""COMPUTED_VALUE"""),"BLITZ")</f>
        <v>BLITZ</v>
      </c>
      <c r="L8853" s="32">
        <f>IFERROR(__xludf.DUMMYFUNCTION("""COMPUTED_VALUE"""),1.0)</f>
        <v>1</v>
      </c>
      <c r="M8853" s="4" t="str">
        <f>IFERROR(__xludf.DUMMYFUNCTION("""COMPUTED_VALUE"""),"Takeat Tecnologia")</f>
        <v>Takeat Tecnologia</v>
      </c>
      <c r="N8853" s="33">
        <f>IFERROR(__xludf.DUMMYFUNCTION("""COMPUTED_VALUE"""),1.0)</f>
        <v>1</v>
      </c>
      <c r="O8853" s="4" t="str">
        <f>IFERROR(__xludf.DUMMYFUNCTION("""COMPUTED_VALUE"""),"Takeat Tecnologia")</f>
        <v>Takeat Tecnologia</v>
      </c>
      <c r="P8853" s="33">
        <f>IFERROR(__xludf.DUMMYFUNCTION("""COMPUTED_VALUE"""),1.0)</f>
        <v>1</v>
      </c>
      <c r="Q8853" s="4" t="str">
        <f>IFERROR(__xludf.DUMMYFUNCTION("""COMPUTED_VALUE"""),"Takeat Tecnologia")</f>
        <v>Takeat Tecnologia</v>
      </c>
      <c r="R8853" s="33">
        <f>IFERROR(__xludf.DUMMYFUNCTION("""COMPUTED_VALUE"""),1.0)</f>
        <v>1</v>
      </c>
      <c r="S8853" s="4" t="str">
        <f>IFERROR(__xludf.DUMMYFUNCTION("""COMPUTED_VALUE"""),"Takeat Tecnologia")</f>
        <v>Takeat Tecnologia</v>
      </c>
      <c r="T8853" s="33">
        <f>IFERROR(__xludf.DUMMYFUNCTION("""COMPUTED_VALUE"""),1.0)</f>
        <v>1</v>
      </c>
      <c r="U8853" s="4" t="str">
        <f>IFERROR(__xludf.DUMMYFUNCTION("""COMPUTED_VALUE"""),"Takeat Tecnologia")</f>
        <v>Takeat Tecnologia</v>
      </c>
      <c r="V8853" s="33">
        <f>IFERROR(__xludf.DUMMYFUNCTION("""COMPUTED_VALUE"""),1.0)</f>
        <v>1</v>
      </c>
      <c r="W8853" s="4" t="str">
        <f>IFERROR(__xludf.DUMMYFUNCTION("""COMPUTED_VALUE"""),"Takeat Tecnologia")</f>
        <v>Takeat Tecnologia</v>
      </c>
      <c r="X8853" s="33">
        <f>IFERROR(__xludf.DUMMYFUNCTION("""COMPUTED_VALUE"""),1.0)</f>
        <v>1</v>
      </c>
    </row>
    <row r="8854">
      <c r="K8854" s="4" t="str">
        <f>IFERROR(__xludf.DUMMYFUNCTION("""COMPUTED_VALUE"""),"PIZZARIAS PEPPERONI")</f>
        <v>PIZZARIAS PEPPERONI</v>
      </c>
      <c r="L8854" s="32">
        <f>IFERROR(__xludf.DUMMYFUNCTION("""COMPUTED_VALUE"""),1.0)</f>
        <v>1</v>
      </c>
      <c r="M8854" s="4" t="str">
        <f>IFERROR(__xludf.DUMMYFUNCTION("""COMPUTED_VALUE"""),"Saipos Serviços De Software")</f>
        <v>Saipos Serviços De Software</v>
      </c>
      <c r="N8854" s="33">
        <f>IFERROR(__xludf.DUMMYFUNCTION("""COMPUTED_VALUE"""),1.0)</f>
        <v>1</v>
      </c>
      <c r="O8854" s="4" t="str">
        <f>IFERROR(__xludf.DUMMYFUNCTION("""COMPUTED_VALUE"""),"Saipos Serviços De Software")</f>
        <v>Saipos Serviços De Software</v>
      </c>
      <c r="P8854" s="33">
        <f>IFERROR(__xludf.DUMMYFUNCTION("""COMPUTED_VALUE"""),1.0)</f>
        <v>1</v>
      </c>
      <c r="Q8854" s="4" t="str">
        <f>IFERROR(__xludf.DUMMYFUNCTION("""COMPUTED_VALUE"""),"Saipos Serviços De Software")</f>
        <v>Saipos Serviços De Software</v>
      </c>
      <c r="R8854" s="33">
        <f>IFERROR(__xludf.DUMMYFUNCTION("""COMPUTED_VALUE"""),1.0)</f>
        <v>1</v>
      </c>
      <c r="S8854" s="4" t="str">
        <f>IFERROR(__xludf.DUMMYFUNCTION("""COMPUTED_VALUE"""),"Saipos Serviços De Software")</f>
        <v>Saipos Serviços De Software</v>
      </c>
      <c r="T8854" s="33">
        <f>IFERROR(__xludf.DUMMYFUNCTION("""COMPUTED_VALUE"""),1.0)</f>
        <v>1</v>
      </c>
      <c r="U8854" s="4" t="str">
        <f>IFERROR(__xludf.DUMMYFUNCTION("""COMPUTED_VALUE"""),"Saipos Serviços De Software")</f>
        <v>Saipos Serviços De Software</v>
      </c>
      <c r="V8854" s="33">
        <f>IFERROR(__xludf.DUMMYFUNCTION("""COMPUTED_VALUE"""),1.0)</f>
        <v>1</v>
      </c>
      <c r="W8854" s="4" t="str">
        <f>IFERROR(__xludf.DUMMYFUNCTION("""COMPUTED_VALUE"""),"Saipos Serviços De Software")</f>
        <v>Saipos Serviços De Software</v>
      </c>
      <c r="X8854" s="33">
        <f>IFERROR(__xludf.DUMMYFUNCTION("""COMPUTED_VALUE"""),1.0)</f>
        <v>1</v>
      </c>
    </row>
    <row r="8855">
      <c r="K8855" s="4" t="str">
        <f>IFERROR(__xludf.DUMMYFUNCTION("""COMPUTED_VALUE"""),"SUA CASA GOURMET")</f>
        <v>SUA CASA GOURMET</v>
      </c>
      <c r="L8855" s="32">
        <f>IFERROR(__xludf.DUMMYFUNCTION("""COMPUTED_VALUE"""),1.0)</f>
        <v>1</v>
      </c>
      <c r="M8855" s="4" t="str">
        <f>IFERROR(__xludf.DUMMYFUNCTION("""COMPUTED_VALUE"""),"null")</f>
        <v>null</v>
      </c>
      <c r="N8855" s="33">
        <f>IFERROR(__xludf.DUMMYFUNCTION("""COMPUTED_VALUE"""),1.0)</f>
        <v>1</v>
      </c>
      <c r="O8855" s="4" t="str">
        <f>IFERROR(__xludf.DUMMYFUNCTION("""COMPUTED_VALUE"""),"null")</f>
        <v>null</v>
      </c>
      <c r="P8855" s="33">
        <f>IFERROR(__xludf.DUMMYFUNCTION("""COMPUTED_VALUE"""),1.0)</f>
        <v>1</v>
      </c>
      <c r="Q8855" s="4" t="str">
        <f>IFERROR(__xludf.DUMMYFUNCTION("""COMPUTED_VALUE"""),"Deeliv")</f>
        <v>Deeliv</v>
      </c>
      <c r="R8855" s="33">
        <f>IFERROR(__xludf.DUMMYFUNCTION("""COMPUTED_VALUE"""),1.0)</f>
        <v>1</v>
      </c>
      <c r="S8855" s="4" t="str">
        <f>IFERROR(__xludf.DUMMYFUNCTION("""COMPUTED_VALUE"""),"Deeliv")</f>
        <v>Deeliv</v>
      </c>
      <c r="T8855" s="33">
        <f>IFERROR(__xludf.DUMMYFUNCTION("""COMPUTED_VALUE"""),1.0)</f>
        <v>1</v>
      </c>
      <c r="U8855" s="4" t="str">
        <f>IFERROR(__xludf.DUMMYFUNCTION("""COMPUTED_VALUE"""),"null")</f>
        <v>null</v>
      </c>
      <c r="V8855" s="33">
        <f>IFERROR(__xludf.DUMMYFUNCTION("""COMPUTED_VALUE"""),1.0)</f>
        <v>1</v>
      </c>
      <c r="W8855" s="4" t="str">
        <f>IFERROR(__xludf.DUMMYFUNCTION("""COMPUTED_VALUE"""),"Deeliv")</f>
        <v>Deeliv</v>
      </c>
      <c r="X8855" s="33">
        <f>IFERROR(__xludf.DUMMYFUNCTION("""COMPUTED_VALUE"""),1.0)</f>
        <v>1</v>
      </c>
    </row>
    <row r="8856">
      <c r="K8856" s="4" t="str">
        <f>IFERROR(__xludf.DUMMYFUNCTION("""COMPUTED_VALUE"""),"MASTER JAPA")</f>
        <v>MASTER JAPA</v>
      </c>
      <c r="L8856" s="32">
        <f>IFERROR(__xludf.DUMMYFUNCTION("""COMPUTED_VALUE"""),1.0)</f>
        <v>1</v>
      </c>
      <c r="M8856" s="4" t="str">
        <f>IFERROR(__xludf.DUMMYFUNCTION("""COMPUTED_VALUE"""),"Saipos Serviços De Software")</f>
        <v>Saipos Serviços De Software</v>
      </c>
      <c r="N8856" s="33">
        <f>IFERROR(__xludf.DUMMYFUNCTION("""COMPUTED_VALUE"""),1.0)</f>
        <v>1</v>
      </c>
      <c r="O8856" s="4" t="str">
        <f>IFERROR(__xludf.DUMMYFUNCTION("""COMPUTED_VALUE"""),"Saipos Serviços De Software")</f>
        <v>Saipos Serviços De Software</v>
      </c>
      <c r="P8856" s="33">
        <f>IFERROR(__xludf.DUMMYFUNCTION("""COMPUTED_VALUE"""),1.0)</f>
        <v>1</v>
      </c>
      <c r="Q8856" s="4" t="str">
        <f>IFERROR(__xludf.DUMMYFUNCTION("""COMPUTED_VALUE"""),"Saipos Serviços De Software")</f>
        <v>Saipos Serviços De Software</v>
      </c>
      <c r="R8856" s="33">
        <f>IFERROR(__xludf.DUMMYFUNCTION("""COMPUTED_VALUE"""),1.0)</f>
        <v>1</v>
      </c>
      <c r="S8856" s="4" t="str">
        <f>IFERROR(__xludf.DUMMYFUNCTION("""COMPUTED_VALUE"""),"Saipos Serviços De Software")</f>
        <v>Saipos Serviços De Software</v>
      </c>
      <c r="T8856" s="33">
        <f>IFERROR(__xludf.DUMMYFUNCTION("""COMPUTED_VALUE"""),1.0)</f>
        <v>1</v>
      </c>
      <c r="U8856" s="4" t="str">
        <f>IFERROR(__xludf.DUMMYFUNCTION("""COMPUTED_VALUE"""),"Saipos Serviços De Software")</f>
        <v>Saipos Serviços De Software</v>
      </c>
      <c r="V8856" s="33">
        <f>IFERROR(__xludf.DUMMYFUNCTION("""COMPUTED_VALUE"""),1.0)</f>
        <v>1</v>
      </c>
      <c r="W8856" s="4" t="str">
        <f>IFERROR(__xludf.DUMMYFUNCTION("""COMPUTED_VALUE"""),"null")</f>
        <v>null</v>
      </c>
      <c r="X8856" s="33">
        <f>IFERROR(__xludf.DUMMYFUNCTION("""COMPUTED_VALUE"""),1.0)</f>
        <v>1</v>
      </c>
    </row>
    <row r="8857">
      <c r="K8857" s="4" t="str">
        <f>IFERROR(__xludf.DUMMYFUNCTION("""COMPUTED_VALUE"""),"PIZZARIA ZERO 8")</f>
        <v>PIZZARIA ZERO 8</v>
      </c>
      <c r="L8857" s="32">
        <f>IFERROR(__xludf.DUMMYFUNCTION("""COMPUTED_VALUE"""),1.0)</f>
        <v>1</v>
      </c>
      <c r="M8857" s="4" t="str">
        <f>IFERROR(__xludf.DUMMYFUNCTION("""COMPUTED_VALUE"""),"Cardápio Web")</f>
        <v>Cardápio Web</v>
      </c>
      <c r="N8857" s="33">
        <f>IFERROR(__xludf.DUMMYFUNCTION("""COMPUTED_VALUE"""),1.0)</f>
        <v>1</v>
      </c>
      <c r="O8857" s="4" t="str">
        <f>IFERROR(__xludf.DUMMYFUNCTION("""COMPUTED_VALUE"""),"Cardápio Web")</f>
        <v>Cardápio Web</v>
      </c>
      <c r="P8857" s="33">
        <f>IFERROR(__xludf.DUMMYFUNCTION("""COMPUTED_VALUE"""),1.0)</f>
        <v>1</v>
      </c>
      <c r="Q8857" s="4" t="str">
        <f>IFERROR(__xludf.DUMMYFUNCTION("""COMPUTED_VALUE"""),"Cardápio Web")</f>
        <v>Cardápio Web</v>
      </c>
      <c r="R8857" s="33">
        <f>IFERROR(__xludf.DUMMYFUNCTION("""COMPUTED_VALUE"""),1.0)</f>
        <v>1</v>
      </c>
      <c r="S8857" s="4" t="str">
        <f>IFERROR(__xludf.DUMMYFUNCTION("""COMPUTED_VALUE"""),"Cardápio Web")</f>
        <v>Cardápio Web</v>
      </c>
      <c r="T8857" s="33">
        <f>IFERROR(__xludf.DUMMYFUNCTION("""COMPUTED_VALUE"""),1.0)</f>
        <v>1</v>
      </c>
      <c r="U8857" s="4" t="str">
        <f>IFERROR(__xludf.DUMMYFUNCTION("""COMPUTED_VALUE"""),"Cardápio Web")</f>
        <v>Cardápio Web</v>
      </c>
      <c r="V8857" s="33">
        <f>IFERROR(__xludf.DUMMYFUNCTION("""COMPUTED_VALUE"""),1.0)</f>
        <v>1</v>
      </c>
      <c r="W8857" s="4" t="str">
        <f>IFERROR(__xludf.DUMMYFUNCTION("""COMPUTED_VALUE"""),"Cardápio Web")</f>
        <v>Cardápio Web</v>
      </c>
      <c r="X8857" s="33">
        <f>IFERROR(__xludf.DUMMYFUNCTION("""COMPUTED_VALUE"""),1.0)</f>
        <v>1</v>
      </c>
    </row>
    <row r="8858">
      <c r="K8858" s="4" t="str">
        <f>IFERROR(__xludf.DUMMYFUNCTION("""COMPUTED_VALUE"""),"LE BIG BURGUER")</f>
        <v>LE BIG BURGUER</v>
      </c>
      <c r="L8858" s="32">
        <f>IFERROR(__xludf.DUMMYFUNCTION("""COMPUTED_VALUE"""),1.0)</f>
        <v>1</v>
      </c>
      <c r="M8858" s="4" t="str">
        <f>IFERROR(__xludf.DUMMYFUNCTION("""COMPUTED_VALUE"""),"Consumer Soluções Em Tecnologia Ltda")</f>
        <v>Consumer Soluções Em Tecnologia Ltda</v>
      </c>
      <c r="N8858" s="33">
        <f>IFERROR(__xludf.DUMMYFUNCTION("""COMPUTED_VALUE"""),1.0)</f>
        <v>1</v>
      </c>
      <c r="O8858" s="4" t="str">
        <f>IFERROR(__xludf.DUMMYFUNCTION("""COMPUTED_VALUE"""),"Consumer Soluções Em Tecnologia Ltda")</f>
        <v>Consumer Soluções Em Tecnologia Ltda</v>
      </c>
      <c r="P8858" s="33">
        <f>IFERROR(__xludf.DUMMYFUNCTION("""COMPUTED_VALUE"""),1.0)</f>
        <v>1</v>
      </c>
      <c r="Q8858" s="4" t="str">
        <f>IFERROR(__xludf.DUMMYFUNCTION("""COMPUTED_VALUE"""),"null")</f>
        <v>null</v>
      </c>
      <c r="R8858" s="33">
        <f>IFERROR(__xludf.DUMMYFUNCTION("""COMPUTED_VALUE"""),1.0)</f>
        <v>1</v>
      </c>
      <c r="S8858" s="4" t="str">
        <f>IFERROR(__xludf.DUMMYFUNCTION("""COMPUTED_VALUE"""),"null")</f>
        <v>null</v>
      </c>
      <c r="T8858" s="33">
        <f>IFERROR(__xludf.DUMMYFUNCTION("""COMPUTED_VALUE"""),1.0)</f>
        <v>1</v>
      </c>
      <c r="U8858" s="4" t="str">
        <f>IFERROR(__xludf.DUMMYFUNCTION("""COMPUTED_VALUE"""),"null")</f>
        <v>null</v>
      </c>
      <c r="V8858" s="33">
        <f>IFERROR(__xludf.DUMMYFUNCTION("""COMPUTED_VALUE"""),1.0)</f>
        <v>1</v>
      </c>
      <c r="W8858" s="4" t="str">
        <f>IFERROR(__xludf.DUMMYFUNCTION("""COMPUTED_VALUE"""),"Consumer Soluções Em Tecnologia Ltda")</f>
        <v>Consumer Soluções Em Tecnologia Ltda</v>
      </c>
      <c r="X8858" s="33">
        <f>IFERROR(__xludf.DUMMYFUNCTION("""COMPUTED_VALUE"""),1.0)</f>
        <v>1</v>
      </c>
    </row>
    <row r="8859">
      <c r="K8859" s="4" t="str">
        <f>IFERROR(__xludf.DUMMYFUNCTION("""COMPUTED_VALUE"""),"CASA DE DOCES DA JANA")</f>
        <v>CASA DE DOCES DA JANA</v>
      </c>
      <c r="L8859" s="32">
        <f>IFERROR(__xludf.DUMMYFUNCTION("""COMPUTED_VALUE"""),1.0)</f>
        <v>1</v>
      </c>
      <c r="M8859" s="4" t="str">
        <f>IFERROR(__xludf.DUMMYFUNCTION("""COMPUTED_VALUE"""),"null")</f>
        <v>null</v>
      </c>
      <c r="N8859" s="33">
        <f>IFERROR(__xludf.DUMMYFUNCTION("""COMPUTED_VALUE"""),1.0)</f>
        <v>1</v>
      </c>
      <c r="O8859" s="4" t="str">
        <f>IFERROR(__xludf.DUMMYFUNCTION("""COMPUTED_VALUE"""),"Instadelivery")</f>
        <v>Instadelivery</v>
      </c>
      <c r="P8859" s="33">
        <f>IFERROR(__xludf.DUMMYFUNCTION("""COMPUTED_VALUE"""),1.0)</f>
        <v>1</v>
      </c>
      <c r="Q8859" s="4" t="str">
        <f>IFERROR(__xludf.DUMMYFUNCTION("""COMPUTED_VALUE"""),"Instadelivery")</f>
        <v>Instadelivery</v>
      </c>
      <c r="R8859" s="33">
        <f>IFERROR(__xludf.DUMMYFUNCTION("""COMPUTED_VALUE"""),1.0)</f>
        <v>1</v>
      </c>
      <c r="S8859" s="4" t="str">
        <f>IFERROR(__xludf.DUMMYFUNCTION("""COMPUTED_VALUE"""),"null")</f>
        <v>null</v>
      </c>
      <c r="T8859" s="33">
        <f>IFERROR(__xludf.DUMMYFUNCTION("""COMPUTED_VALUE"""),1.0)</f>
        <v>1</v>
      </c>
      <c r="U8859" s="4" t="str">
        <f>IFERROR(__xludf.DUMMYFUNCTION("""COMPUTED_VALUE"""),"null")</f>
        <v>null</v>
      </c>
      <c r="V8859" s="33">
        <f>IFERROR(__xludf.DUMMYFUNCTION("""COMPUTED_VALUE"""),1.0)</f>
        <v>1</v>
      </c>
      <c r="W8859" s="4" t="str">
        <f>IFERROR(__xludf.DUMMYFUNCTION("""COMPUTED_VALUE"""),"Instadelivery")</f>
        <v>Instadelivery</v>
      </c>
      <c r="X8859" s="33">
        <f>IFERROR(__xludf.DUMMYFUNCTION("""COMPUTED_VALUE"""),1.0)</f>
        <v>1</v>
      </c>
    </row>
    <row r="8860">
      <c r="K8860" s="4" t="str">
        <f>IFERROR(__xludf.DUMMYFUNCTION("""COMPUTED_VALUE"""),"EU RANGO - FRANGO FRITO")</f>
        <v>EU RANGO - FRANGO FRITO</v>
      </c>
      <c r="L8860" s="32">
        <f>IFERROR(__xludf.DUMMYFUNCTION("""COMPUTED_VALUE"""),1.0)</f>
        <v>1</v>
      </c>
      <c r="M8860" s="4" t="str">
        <f>IFERROR(__xludf.DUMMYFUNCTION("""COMPUTED_VALUE"""),"null")</f>
        <v>null</v>
      </c>
      <c r="N8860" s="33">
        <f>IFERROR(__xludf.DUMMYFUNCTION("""COMPUTED_VALUE"""),1.0)</f>
        <v>1</v>
      </c>
      <c r="O8860" s="4" t="str">
        <f>IFERROR(__xludf.DUMMYFUNCTION("""COMPUTED_VALUE"""),"null")</f>
        <v>null</v>
      </c>
      <c r="P8860" s="33">
        <f>IFERROR(__xludf.DUMMYFUNCTION("""COMPUTED_VALUE"""),1.0)</f>
        <v>1</v>
      </c>
      <c r="Q8860" s="4" t="str">
        <f>IFERROR(__xludf.DUMMYFUNCTION("""COMPUTED_VALUE"""),"null")</f>
        <v>null</v>
      </c>
      <c r="R8860" s="33">
        <f>IFERROR(__xludf.DUMMYFUNCTION("""COMPUTED_VALUE"""),1.0)</f>
        <v>1</v>
      </c>
      <c r="S8860" s="4" t="str">
        <f>IFERROR(__xludf.DUMMYFUNCTION("""COMPUTED_VALUE"""),"null")</f>
        <v>null</v>
      </c>
      <c r="T8860" s="33">
        <f>IFERROR(__xludf.DUMMYFUNCTION("""COMPUTED_VALUE"""),1.0)</f>
        <v>1</v>
      </c>
      <c r="U8860" s="4" t="str">
        <f>IFERROR(__xludf.DUMMYFUNCTION("""COMPUTED_VALUE"""),"null")</f>
        <v>null</v>
      </c>
      <c r="V8860" s="33">
        <f>IFERROR(__xludf.DUMMYFUNCTION("""COMPUTED_VALUE"""),1.0)</f>
        <v>1</v>
      </c>
      <c r="W8860" s="4" t="str">
        <f>IFERROR(__xludf.DUMMYFUNCTION("""COMPUTED_VALUE"""),"Consumer Soluções Em Tecnologia Ltda")</f>
        <v>Consumer Soluções Em Tecnologia Ltda</v>
      </c>
      <c r="X8860" s="33">
        <f>IFERROR(__xludf.DUMMYFUNCTION("""COMPUTED_VALUE"""),1.0)</f>
        <v>1</v>
      </c>
    </row>
    <row r="8861">
      <c r="K8861" s="4" t="str">
        <f>IFERROR(__xludf.DUMMYFUNCTION("""COMPUTED_VALUE"""),"PIZZARIA DU DEDA PIZZA ESFIHA")</f>
        <v>PIZZARIA DU DEDA PIZZA ESFIHA</v>
      </c>
      <c r="L8861" s="32">
        <f>IFERROR(__xludf.DUMMYFUNCTION("""COMPUTED_VALUE"""),1.0)</f>
        <v>1</v>
      </c>
      <c r="M8861" s="4" t="str">
        <f>IFERROR(__xludf.DUMMYFUNCTION("""COMPUTED_VALUE"""),"Anota Ai Solucoes Digitais S/a")</f>
        <v>Anota Ai Solucoes Digitais S/a</v>
      </c>
      <c r="N8861" s="33">
        <f>IFERROR(__xludf.DUMMYFUNCTION("""COMPUTED_VALUE"""),1.0)</f>
        <v>1</v>
      </c>
      <c r="O8861" s="4" t="str">
        <f>IFERROR(__xludf.DUMMYFUNCTION("""COMPUTED_VALUE"""),"Anota Ai Solucoes Digitais S/a")</f>
        <v>Anota Ai Solucoes Digitais S/a</v>
      </c>
      <c r="P8861" s="33">
        <f>IFERROR(__xludf.DUMMYFUNCTION("""COMPUTED_VALUE"""),1.0)</f>
        <v>1</v>
      </c>
      <c r="Q8861" s="4" t="str">
        <f>IFERROR(__xludf.DUMMYFUNCTION("""COMPUTED_VALUE"""),"Anota Ai Solucoes Digitais S/a")</f>
        <v>Anota Ai Solucoes Digitais S/a</v>
      </c>
      <c r="R8861" s="33">
        <f>IFERROR(__xludf.DUMMYFUNCTION("""COMPUTED_VALUE"""),1.0)</f>
        <v>1</v>
      </c>
      <c r="S8861" s="4" t="str">
        <f>IFERROR(__xludf.DUMMYFUNCTION("""COMPUTED_VALUE"""),"Anota Ai Solucoes Digitais S/a")</f>
        <v>Anota Ai Solucoes Digitais S/a</v>
      </c>
      <c r="T8861" s="33">
        <f>IFERROR(__xludf.DUMMYFUNCTION("""COMPUTED_VALUE"""),1.0)</f>
        <v>1</v>
      </c>
      <c r="U8861" s="4" t="str">
        <f>IFERROR(__xludf.DUMMYFUNCTION("""COMPUTED_VALUE"""),"Anota Ai Solucoes Digitais S/a")</f>
        <v>Anota Ai Solucoes Digitais S/a</v>
      </c>
      <c r="V8861" s="33">
        <f>IFERROR(__xludf.DUMMYFUNCTION("""COMPUTED_VALUE"""),1.0)</f>
        <v>1</v>
      </c>
      <c r="W8861" s="4" t="str">
        <f>IFERROR(__xludf.DUMMYFUNCTION("""COMPUTED_VALUE"""),"Anota Ai Solucoes Digitais S/a")</f>
        <v>Anota Ai Solucoes Digitais S/a</v>
      </c>
      <c r="X8861" s="33">
        <f>IFERROR(__xludf.DUMMYFUNCTION("""COMPUTED_VALUE"""),1.0)</f>
        <v>1</v>
      </c>
    </row>
    <row r="8862">
      <c r="K8862" s="4" t="str">
        <f>IFERROR(__xludf.DUMMYFUNCTION("""COMPUTED_VALUE"""),"PICCOLA FATTORIA")</f>
        <v>PICCOLA FATTORIA</v>
      </c>
      <c r="L8862" s="32">
        <f>IFERROR(__xludf.DUMMYFUNCTION("""COMPUTED_VALUE"""),1.0)</f>
        <v>1</v>
      </c>
      <c r="M8862" s="4" t="str">
        <f>IFERROR(__xludf.DUMMYFUNCTION("""COMPUTED_VALUE"""),"F-rest Sistema Para Food Service Ltda")</f>
        <v>F-rest Sistema Para Food Service Ltda</v>
      </c>
      <c r="N8862" s="33">
        <f>IFERROR(__xludf.DUMMYFUNCTION("""COMPUTED_VALUE"""),1.0)</f>
        <v>1</v>
      </c>
      <c r="O8862" s="4" t="str">
        <f>IFERROR(__xludf.DUMMYFUNCTION("""COMPUTED_VALUE"""),"F-rest Sistema Para Food Service Ltda")</f>
        <v>F-rest Sistema Para Food Service Ltda</v>
      </c>
      <c r="P8862" s="33">
        <f>IFERROR(__xludf.DUMMYFUNCTION("""COMPUTED_VALUE"""),1.0)</f>
        <v>1</v>
      </c>
      <c r="Q8862" s="4" t="str">
        <f>IFERROR(__xludf.DUMMYFUNCTION("""COMPUTED_VALUE"""),"F-rest Sistema Para Food Service Ltda")</f>
        <v>F-rest Sistema Para Food Service Ltda</v>
      </c>
      <c r="R8862" s="33">
        <f>IFERROR(__xludf.DUMMYFUNCTION("""COMPUTED_VALUE"""),1.0)</f>
        <v>1</v>
      </c>
      <c r="S8862" s="4" t="str">
        <f>IFERROR(__xludf.DUMMYFUNCTION("""COMPUTED_VALUE"""),"F-rest Sistema Para Food Service Ltda")</f>
        <v>F-rest Sistema Para Food Service Ltda</v>
      </c>
      <c r="T8862" s="33">
        <f>IFERROR(__xludf.DUMMYFUNCTION("""COMPUTED_VALUE"""),1.0)</f>
        <v>1</v>
      </c>
      <c r="U8862" s="4" t="str">
        <f>IFERROR(__xludf.DUMMYFUNCTION("""COMPUTED_VALUE"""),"F-rest Sistema Para Food Service Ltda")</f>
        <v>F-rest Sistema Para Food Service Ltda</v>
      </c>
      <c r="V8862" s="33">
        <f>IFERROR(__xludf.DUMMYFUNCTION("""COMPUTED_VALUE"""),1.0)</f>
        <v>1</v>
      </c>
      <c r="W8862" s="4" t="str">
        <f>IFERROR(__xludf.DUMMYFUNCTION("""COMPUTED_VALUE"""),"F-rest Sistema Para Food Service Ltda")</f>
        <v>F-rest Sistema Para Food Service Ltda</v>
      </c>
      <c r="X8862" s="33">
        <f>IFERROR(__xludf.DUMMYFUNCTION("""COMPUTED_VALUE"""),1.0)</f>
        <v>1</v>
      </c>
    </row>
    <row r="8863">
      <c r="K8863" s="4" t="str">
        <f>IFERROR(__xludf.DUMMYFUNCTION("""COMPUTED_VALUE"""),"CHEFS PUB")</f>
        <v>CHEFS PUB</v>
      </c>
      <c r="L8863" s="32">
        <f>IFERROR(__xludf.DUMMYFUNCTION("""COMPUTED_VALUE"""),1.0)</f>
        <v>1</v>
      </c>
      <c r="M8863" s="4" t="str">
        <f>IFERROR(__xludf.DUMMYFUNCTION("""COMPUTED_VALUE"""),"Xd People Ltda")</f>
        <v>Xd People Ltda</v>
      </c>
      <c r="N8863" s="33">
        <f>IFERROR(__xludf.DUMMYFUNCTION("""COMPUTED_VALUE"""),1.0)</f>
        <v>1</v>
      </c>
      <c r="O8863" s="4" t="str">
        <f>IFERROR(__xludf.DUMMYFUNCTION("""COMPUTED_VALUE"""),"Xd People Ltda")</f>
        <v>Xd People Ltda</v>
      </c>
      <c r="P8863" s="33">
        <f>IFERROR(__xludf.DUMMYFUNCTION("""COMPUTED_VALUE"""),1.0)</f>
        <v>1</v>
      </c>
      <c r="Q8863" s="4" t="str">
        <f>IFERROR(__xludf.DUMMYFUNCTION("""COMPUTED_VALUE"""),"Xd People Ltda")</f>
        <v>Xd People Ltda</v>
      </c>
      <c r="R8863" s="33">
        <f>IFERROR(__xludf.DUMMYFUNCTION("""COMPUTED_VALUE"""),1.0)</f>
        <v>1</v>
      </c>
      <c r="S8863" s="4" t="str">
        <f>IFERROR(__xludf.DUMMYFUNCTION("""COMPUTED_VALUE"""),"Xd People Ltda")</f>
        <v>Xd People Ltda</v>
      </c>
      <c r="T8863" s="33">
        <f>IFERROR(__xludf.DUMMYFUNCTION("""COMPUTED_VALUE"""),1.0)</f>
        <v>1</v>
      </c>
      <c r="U8863" s="4" t="str">
        <f>IFERROR(__xludf.DUMMYFUNCTION("""COMPUTED_VALUE"""),"Xd People Ltda")</f>
        <v>Xd People Ltda</v>
      </c>
      <c r="V8863" s="33">
        <f>IFERROR(__xludf.DUMMYFUNCTION("""COMPUTED_VALUE"""),1.0)</f>
        <v>1</v>
      </c>
      <c r="W8863" s="4" t="str">
        <f>IFERROR(__xludf.DUMMYFUNCTION("""COMPUTED_VALUE"""),"Xd People Ltda")</f>
        <v>Xd People Ltda</v>
      </c>
      <c r="X8863" s="33">
        <f>IFERROR(__xludf.DUMMYFUNCTION("""COMPUTED_VALUE"""),1.0)</f>
        <v>1</v>
      </c>
    </row>
    <row r="8864">
      <c r="K8864" s="4" t="str">
        <f>IFERROR(__xludf.DUMMYFUNCTION("""COMPUTED_VALUE"""),"DONA AMELIA LANCHES")</f>
        <v>DONA AMELIA LANCHES</v>
      </c>
      <c r="L8864" s="32">
        <f>IFERROR(__xludf.DUMMYFUNCTION("""COMPUTED_VALUE"""),1.0)</f>
        <v>1</v>
      </c>
      <c r="M8864" s="4" t="str">
        <f>IFERROR(__xludf.DUMMYFUNCTION("""COMPUTED_VALUE"""),"Dual Sete Sistemas E Tecnologia")</f>
        <v>Dual Sete Sistemas E Tecnologia</v>
      </c>
      <c r="N8864" s="33">
        <f>IFERROR(__xludf.DUMMYFUNCTION("""COMPUTED_VALUE"""),1.0)</f>
        <v>1</v>
      </c>
      <c r="O8864" s="4" t="str">
        <f>IFERROR(__xludf.DUMMYFUNCTION("""COMPUTED_VALUE"""),"Dual Sete Sistemas E Tecnologia")</f>
        <v>Dual Sete Sistemas E Tecnologia</v>
      </c>
      <c r="P8864" s="33">
        <f>IFERROR(__xludf.DUMMYFUNCTION("""COMPUTED_VALUE"""),1.0)</f>
        <v>1</v>
      </c>
      <c r="Q8864" s="4" t="str">
        <f>IFERROR(__xludf.DUMMYFUNCTION("""COMPUTED_VALUE"""),"Dual Sete Sistemas E Tecnologia")</f>
        <v>Dual Sete Sistemas E Tecnologia</v>
      </c>
      <c r="R8864" s="33">
        <f>IFERROR(__xludf.DUMMYFUNCTION("""COMPUTED_VALUE"""),1.0)</f>
        <v>1</v>
      </c>
      <c r="S8864" s="4" t="str">
        <f>IFERROR(__xludf.DUMMYFUNCTION("""COMPUTED_VALUE"""),"Dual Sete Sistemas E Tecnologia")</f>
        <v>Dual Sete Sistemas E Tecnologia</v>
      </c>
      <c r="T8864" s="33">
        <f>IFERROR(__xludf.DUMMYFUNCTION("""COMPUTED_VALUE"""),1.0)</f>
        <v>1</v>
      </c>
      <c r="U8864" s="4" t="str">
        <f>IFERROR(__xludf.DUMMYFUNCTION("""COMPUTED_VALUE"""),"Dual Sete Sistemas E Tecnologia")</f>
        <v>Dual Sete Sistemas E Tecnologia</v>
      </c>
      <c r="V8864" s="33">
        <f>IFERROR(__xludf.DUMMYFUNCTION("""COMPUTED_VALUE"""),1.0)</f>
        <v>1</v>
      </c>
      <c r="W8864" s="4" t="str">
        <f>IFERROR(__xludf.DUMMYFUNCTION("""COMPUTED_VALUE"""),"Dual Sete Sistemas E Tecnologia")</f>
        <v>Dual Sete Sistemas E Tecnologia</v>
      </c>
      <c r="X8864" s="33">
        <f>IFERROR(__xludf.DUMMYFUNCTION("""COMPUTED_VALUE"""),1.0)</f>
        <v>1</v>
      </c>
    </row>
    <row r="8865">
      <c r="K8865" s="4" t="str">
        <f>IFERROR(__xludf.DUMMYFUNCTION("""COMPUTED_VALUE"""),"PIZZA CASTEL - PIZZARIA")</f>
        <v>PIZZA CASTEL - PIZZARIA</v>
      </c>
      <c r="L8865" s="32">
        <f>IFERROR(__xludf.DUMMYFUNCTION("""COMPUTED_VALUE"""),1.0)</f>
        <v>1</v>
      </c>
      <c r="M8865" s="4" t="str">
        <f>IFERROR(__xludf.DUMMYFUNCTION("""COMPUTED_VALUE"""),"Cardápio Web")</f>
        <v>Cardápio Web</v>
      </c>
      <c r="N8865" s="33">
        <f>IFERROR(__xludf.DUMMYFUNCTION("""COMPUTED_VALUE"""),1.0)</f>
        <v>1</v>
      </c>
      <c r="O8865" s="4" t="str">
        <f>IFERROR(__xludf.DUMMYFUNCTION("""COMPUTED_VALUE"""),"Cardápio Web")</f>
        <v>Cardápio Web</v>
      </c>
      <c r="P8865" s="33">
        <f>IFERROR(__xludf.DUMMYFUNCTION("""COMPUTED_VALUE"""),1.0)</f>
        <v>1</v>
      </c>
      <c r="Q8865" s="4" t="str">
        <f>IFERROR(__xludf.DUMMYFUNCTION("""COMPUTED_VALUE"""),"Cardápio Web")</f>
        <v>Cardápio Web</v>
      </c>
      <c r="R8865" s="33">
        <f>IFERROR(__xludf.DUMMYFUNCTION("""COMPUTED_VALUE"""),1.0)</f>
        <v>1</v>
      </c>
      <c r="S8865" s="4" t="str">
        <f>IFERROR(__xludf.DUMMYFUNCTION("""COMPUTED_VALUE"""),"Cardápio Web")</f>
        <v>Cardápio Web</v>
      </c>
      <c r="T8865" s="33">
        <f>IFERROR(__xludf.DUMMYFUNCTION("""COMPUTED_VALUE"""),1.0)</f>
        <v>1</v>
      </c>
      <c r="U8865" s="4" t="str">
        <f>IFERROR(__xludf.DUMMYFUNCTION("""COMPUTED_VALUE"""),"Cardápio Web")</f>
        <v>Cardápio Web</v>
      </c>
      <c r="V8865" s="33">
        <f>IFERROR(__xludf.DUMMYFUNCTION("""COMPUTED_VALUE"""),1.0)</f>
        <v>1</v>
      </c>
      <c r="W8865" s="4" t="str">
        <f>IFERROR(__xludf.DUMMYFUNCTION("""COMPUTED_VALUE"""),"Cardápio Web")</f>
        <v>Cardápio Web</v>
      </c>
      <c r="X8865" s="33">
        <f>IFERROR(__xludf.DUMMYFUNCTION("""COMPUTED_VALUE"""),1.0)</f>
        <v>1</v>
      </c>
    </row>
    <row r="8866">
      <c r="K8866" s="4" t="str">
        <f>IFERROR(__xludf.DUMMYFUNCTION("""COMPUTED_VALUE"""),"DY CLAUDIA BAGUNCINHAS")</f>
        <v>DY CLAUDIA BAGUNCINHAS</v>
      </c>
      <c r="L8866" s="32">
        <f>IFERROR(__xludf.DUMMYFUNCTION("""COMPUTED_VALUE"""),1.0)</f>
        <v>1</v>
      </c>
      <c r="M8866" s="4" t="str">
        <f>IFERROR(__xludf.DUMMYFUNCTION("""COMPUTED_VALUE"""),"null")</f>
        <v>null</v>
      </c>
      <c r="N8866" s="33">
        <f>IFERROR(__xludf.DUMMYFUNCTION("""COMPUTED_VALUE"""),1.0)</f>
        <v>1</v>
      </c>
      <c r="O8866" s="4" t="str">
        <f>IFERROR(__xludf.DUMMYFUNCTION("""COMPUTED_VALUE"""),"null")</f>
        <v>null</v>
      </c>
      <c r="P8866" s="33">
        <f>IFERROR(__xludf.DUMMYFUNCTION("""COMPUTED_VALUE"""),1.0)</f>
        <v>1</v>
      </c>
      <c r="Q8866" s="4" t="str">
        <f>IFERROR(__xludf.DUMMYFUNCTION("""COMPUTED_VALUE"""),"null")</f>
        <v>null</v>
      </c>
      <c r="R8866" s="33">
        <f>IFERROR(__xludf.DUMMYFUNCTION("""COMPUTED_VALUE"""),1.0)</f>
        <v>1</v>
      </c>
      <c r="S8866" s="4" t="str">
        <f>IFERROR(__xludf.DUMMYFUNCTION("""COMPUTED_VALUE"""),"null")</f>
        <v>null</v>
      </c>
      <c r="T8866" s="33">
        <f>IFERROR(__xludf.DUMMYFUNCTION("""COMPUTED_VALUE"""),1.0)</f>
        <v>1</v>
      </c>
      <c r="U8866" s="4" t="str">
        <f>IFERROR(__xludf.DUMMYFUNCTION("""COMPUTED_VALUE"""),"null")</f>
        <v>null</v>
      </c>
      <c r="V8866" s="33">
        <f>IFERROR(__xludf.DUMMYFUNCTION("""COMPUTED_VALUE"""),1.0)</f>
        <v>1</v>
      </c>
      <c r="W8866" s="4" t="str">
        <f>IFERROR(__xludf.DUMMYFUNCTION("""COMPUTED_VALUE"""),"Alterdata Tecnologia Em Informatica Ltda")</f>
        <v>Alterdata Tecnologia Em Informatica Ltda</v>
      </c>
      <c r="X8866" s="33">
        <f>IFERROR(__xludf.DUMMYFUNCTION("""COMPUTED_VALUE"""),1.0)</f>
        <v>1</v>
      </c>
    </row>
    <row r="8867">
      <c r="K8867" s="4" t="str">
        <f>IFERROR(__xludf.DUMMYFUNCTION("""COMPUTED_VALUE"""),"SUSHI HIKARI")</f>
        <v>SUSHI HIKARI</v>
      </c>
      <c r="L8867" s="32">
        <f>IFERROR(__xludf.DUMMYFUNCTION("""COMPUTED_VALUE"""),1.0)</f>
        <v>1</v>
      </c>
      <c r="M8867" s="4" t="str">
        <f>IFERROR(__xludf.DUMMYFUNCTION("""COMPUTED_VALUE"""),"Cardápio Web")</f>
        <v>Cardápio Web</v>
      </c>
      <c r="N8867" s="33">
        <f>IFERROR(__xludf.DUMMYFUNCTION("""COMPUTED_VALUE"""),1.0)</f>
        <v>1</v>
      </c>
      <c r="O8867" s="4" t="str">
        <f>IFERROR(__xludf.DUMMYFUNCTION("""COMPUTED_VALUE"""),"Cardápio Web")</f>
        <v>Cardápio Web</v>
      </c>
      <c r="P8867" s="33">
        <f>IFERROR(__xludf.DUMMYFUNCTION("""COMPUTED_VALUE"""),1.0)</f>
        <v>1</v>
      </c>
      <c r="Q8867" s="4" t="str">
        <f>IFERROR(__xludf.DUMMYFUNCTION("""COMPUTED_VALUE"""),"Cardápio Web")</f>
        <v>Cardápio Web</v>
      </c>
      <c r="R8867" s="33">
        <f>IFERROR(__xludf.DUMMYFUNCTION("""COMPUTED_VALUE"""),1.0)</f>
        <v>1</v>
      </c>
      <c r="S8867" s="4" t="str">
        <f>IFERROR(__xludf.DUMMYFUNCTION("""COMPUTED_VALUE"""),"Cardápio Web")</f>
        <v>Cardápio Web</v>
      </c>
      <c r="T8867" s="33">
        <f>IFERROR(__xludf.DUMMYFUNCTION("""COMPUTED_VALUE"""),1.0)</f>
        <v>1</v>
      </c>
      <c r="U8867" s="4" t="str">
        <f>IFERROR(__xludf.DUMMYFUNCTION("""COMPUTED_VALUE"""),"Cardápio Web")</f>
        <v>Cardápio Web</v>
      </c>
      <c r="V8867" s="33">
        <f>IFERROR(__xludf.DUMMYFUNCTION("""COMPUTED_VALUE"""),1.0)</f>
        <v>1</v>
      </c>
      <c r="W8867" s="4" t="str">
        <f>IFERROR(__xludf.DUMMYFUNCTION("""COMPUTED_VALUE"""),"Cardápio Web")</f>
        <v>Cardápio Web</v>
      </c>
      <c r="X8867" s="33">
        <f>IFERROR(__xludf.DUMMYFUNCTION("""COMPUTED_VALUE"""),1.0)</f>
        <v>1</v>
      </c>
    </row>
    <row r="8868">
      <c r="K8868" s="4" t="str">
        <f>IFERROR(__xludf.DUMMYFUNCTION("""COMPUTED_VALUE"""),"ATELIE JULIANA GUEDES - DOCES E SALGADOS")</f>
        <v>ATELIE JULIANA GUEDES - DOCES E SALGADOS</v>
      </c>
      <c r="L8868" s="32">
        <f>IFERROR(__xludf.DUMMYFUNCTION("""COMPUTED_VALUE"""),1.0)</f>
        <v>1</v>
      </c>
      <c r="M8868" s="4" t="str">
        <f>IFERROR(__xludf.DUMMYFUNCTION("""COMPUTED_VALUE"""),"Saipos Serviços De Software")</f>
        <v>Saipos Serviços De Software</v>
      </c>
      <c r="N8868" s="33">
        <f>IFERROR(__xludf.DUMMYFUNCTION("""COMPUTED_VALUE"""),1.0)</f>
        <v>1</v>
      </c>
      <c r="O8868" s="4" t="str">
        <f>IFERROR(__xludf.DUMMYFUNCTION("""COMPUTED_VALUE"""),"Saipos Serviços De Software")</f>
        <v>Saipos Serviços De Software</v>
      </c>
      <c r="P8868" s="33">
        <f>IFERROR(__xludf.DUMMYFUNCTION("""COMPUTED_VALUE"""),1.0)</f>
        <v>1</v>
      </c>
      <c r="Q8868" s="4" t="str">
        <f>IFERROR(__xludf.DUMMYFUNCTION("""COMPUTED_VALUE"""),"Saipos Serviços De Software")</f>
        <v>Saipos Serviços De Software</v>
      </c>
      <c r="R8868" s="33">
        <f>IFERROR(__xludf.DUMMYFUNCTION("""COMPUTED_VALUE"""),1.0)</f>
        <v>1</v>
      </c>
      <c r="S8868" s="4" t="str">
        <f>IFERROR(__xludf.DUMMYFUNCTION("""COMPUTED_VALUE"""),"Saipos Serviços De Software")</f>
        <v>Saipos Serviços De Software</v>
      </c>
      <c r="T8868" s="33">
        <f>IFERROR(__xludf.DUMMYFUNCTION("""COMPUTED_VALUE"""),1.0)</f>
        <v>1</v>
      </c>
      <c r="U8868" s="4" t="str">
        <f>IFERROR(__xludf.DUMMYFUNCTION("""COMPUTED_VALUE"""),"Saipos Serviços De Software")</f>
        <v>Saipos Serviços De Software</v>
      </c>
      <c r="V8868" s="33">
        <f>IFERROR(__xludf.DUMMYFUNCTION("""COMPUTED_VALUE"""),1.0)</f>
        <v>1</v>
      </c>
      <c r="W8868" s="4" t="str">
        <f>IFERROR(__xludf.DUMMYFUNCTION("""COMPUTED_VALUE"""),"Saipos Serviços De Software")</f>
        <v>Saipos Serviços De Software</v>
      </c>
      <c r="X8868" s="33">
        <f>IFERROR(__xludf.DUMMYFUNCTION("""COMPUTED_VALUE"""),1.0)</f>
        <v>1</v>
      </c>
    </row>
    <row r="8869">
      <c r="K8869" s="4" t="str">
        <f>IFERROR(__xludf.DUMMYFUNCTION("""COMPUTED_VALUE"""),"NENO SALGADOS E CAFE")</f>
        <v>NENO SALGADOS E CAFE</v>
      </c>
      <c r="L8869" s="32">
        <f>IFERROR(__xludf.DUMMYFUNCTION("""COMPUTED_VALUE"""),1.0)</f>
        <v>1</v>
      </c>
      <c r="M8869" s="4" t="str">
        <f>IFERROR(__xludf.DUMMYFUNCTION("""COMPUTED_VALUE"""),"Dual Sete Sistemas E Tecnologia")</f>
        <v>Dual Sete Sistemas E Tecnologia</v>
      </c>
      <c r="N8869" s="33">
        <f>IFERROR(__xludf.DUMMYFUNCTION("""COMPUTED_VALUE"""),1.0)</f>
        <v>1</v>
      </c>
      <c r="O8869" s="4" t="str">
        <f>IFERROR(__xludf.DUMMYFUNCTION("""COMPUTED_VALUE"""),"Dual Sete Sistemas E Tecnologia")</f>
        <v>Dual Sete Sistemas E Tecnologia</v>
      </c>
      <c r="P8869" s="33">
        <f>IFERROR(__xludf.DUMMYFUNCTION("""COMPUTED_VALUE"""),1.0)</f>
        <v>1</v>
      </c>
      <c r="Q8869" s="4" t="str">
        <f>IFERROR(__xludf.DUMMYFUNCTION("""COMPUTED_VALUE"""),"Dual Sete Sistemas E Tecnologia")</f>
        <v>Dual Sete Sistemas E Tecnologia</v>
      </c>
      <c r="R8869" s="33">
        <f>IFERROR(__xludf.DUMMYFUNCTION("""COMPUTED_VALUE"""),1.0)</f>
        <v>1</v>
      </c>
      <c r="S8869" s="4" t="str">
        <f>IFERROR(__xludf.DUMMYFUNCTION("""COMPUTED_VALUE"""),"Dual Sete Sistemas E Tecnologia")</f>
        <v>Dual Sete Sistemas E Tecnologia</v>
      </c>
      <c r="T8869" s="33">
        <f>IFERROR(__xludf.DUMMYFUNCTION("""COMPUTED_VALUE"""),1.0)</f>
        <v>1</v>
      </c>
      <c r="U8869" s="4" t="str">
        <f>IFERROR(__xludf.DUMMYFUNCTION("""COMPUTED_VALUE"""),"Dual Sete Sistemas E Tecnologia")</f>
        <v>Dual Sete Sistemas E Tecnologia</v>
      </c>
      <c r="V8869" s="33">
        <f>IFERROR(__xludf.DUMMYFUNCTION("""COMPUTED_VALUE"""),1.0)</f>
        <v>1</v>
      </c>
      <c r="W8869" s="4" t="str">
        <f>IFERROR(__xludf.DUMMYFUNCTION("""COMPUTED_VALUE"""),"Dual Sete Sistemas E Tecnologia")</f>
        <v>Dual Sete Sistemas E Tecnologia</v>
      </c>
      <c r="X8869" s="33">
        <f>IFERROR(__xludf.DUMMYFUNCTION("""COMPUTED_VALUE"""),1.0)</f>
        <v>1</v>
      </c>
    </row>
    <row r="8870">
      <c r="K8870" s="4" t="str">
        <f>IFERROR(__xludf.DUMMYFUNCTION("""COMPUTED_VALUE"""),"DOLCE CAFE - PAES, ALMOCOS E BURGUERS")</f>
        <v>DOLCE CAFE - PAES, ALMOCOS E BURGUERS</v>
      </c>
      <c r="L8870" s="32">
        <f>IFERROR(__xludf.DUMMYFUNCTION("""COMPUTED_VALUE"""),1.0)</f>
        <v>1</v>
      </c>
      <c r="M8870" s="4" t="str">
        <f>IFERROR(__xludf.DUMMYFUNCTION("""COMPUTED_VALUE"""),"Nextage Sistemas De Informatica Ltda")</f>
        <v>Nextage Sistemas De Informatica Ltda</v>
      </c>
      <c r="N8870" s="33">
        <f>IFERROR(__xludf.DUMMYFUNCTION("""COMPUTED_VALUE"""),1.0)</f>
        <v>1</v>
      </c>
      <c r="O8870" s="4" t="str">
        <f>IFERROR(__xludf.DUMMYFUNCTION("""COMPUTED_VALUE"""),"Nextage Sistemas De Informatica Ltda")</f>
        <v>Nextage Sistemas De Informatica Ltda</v>
      </c>
      <c r="P8870" s="33">
        <f>IFERROR(__xludf.DUMMYFUNCTION("""COMPUTED_VALUE"""),1.0)</f>
        <v>1</v>
      </c>
      <c r="Q8870" s="4" t="str">
        <f>IFERROR(__xludf.DUMMYFUNCTION("""COMPUTED_VALUE"""),"Nextage Sistemas De Informatica Ltda")</f>
        <v>Nextage Sistemas De Informatica Ltda</v>
      </c>
      <c r="R8870" s="33">
        <f>IFERROR(__xludf.DUMMYFUNCTION("""COMPUTED_VALUE"""),1.0)</f>
        <v>1</v>
      </c>
      <c r="S8870" s="4" t="str">
        <f>IFERROR(__xludf.DUMMYFUNCTION("""COMPUTED_VALUE"""),"Nextage Sistemas De Informatica Ltda")</f>
        <v>Nextage Sistemas De Informatica Ltda</v>
      </c>
      <c r="T8870" s="33">
        <f>IFERROR(__xludf.DUMMYFUNCTION("""COMPUTED_VALUE"""),1.0)</f>
        <v>1</v>
      </c>
      <c r="U8870" s="4" t="str">
        <f>IFERROR(__xludf.DUMMYFUNCTION("""COMPUTED_VALUE"""),"Nextage Sistemas De Informatica Ltda")</f>
        <v>Nextage Sistemas De Informatica Ltda</v>
      </c>
      <c r="V8870" s="33">
        <f>IFERROR(__xludf.DUMMYFUNCTION("""COMPUTED_VALUE"""),1.0)</f>
        <v>1</v>
      </c>
      <c r="W8870" s="4" t="str">
        <f>IFERROR(__xludf.DUMMYFUNCTION("""COMPUTED_VALUE"""),"Nextage Sistemas De Informatica Ltda")</f>
        <v>Nextage Sistemas De Informatica Ltda</v>
      </c>
      <c r="X8870" s="33">
        <f>IFERROR(__xludf.DUMMYFUNCTION("""COMPUTED_VALUE"""),1.0)</f>
        <v>1</v>
      </c>
    </row>
    <row r="8871">
      <c r="K8871" s="4" t="str">
        <f>IFERROR(__xludf.DUMMYFUNCTION("""COMPUTED_VALUE"""),"CASA LINS A COZINHA ARABE, ESFIHAS E KEBABS")</f>
        <v>CASA LINS A COZINHA ARABE, ESFIHAS E KEBABS</v>
      </c>
      <c r="L8871" s="32">
        <f>IFERROR(__xludf.DUMMYFUNCTION("""COMPUTED_VALUE"""),1.0)</f>
        <v>1</v>
      </c>
      <c r="M8871" s="4" t="str">
        <f>IFERROR(__xludf.DUMMYFUNCTION("""COMPUTED_VALUE"""),"Noah Sistemas Ltda")</f>
        <v>Noah Sistemas Ltda</v>
      </c>
      <c r="N8871" s="33">
        <f>IFERROR(__xludf.DUMMYFUNCTION("""COMPUTED_VALUE"""),1.0)</f>
        <v>1</v>
      </c>
      <c r="O8871" s="4" t="str">
        <f>IFERROR(__xludf.DUMMYFUNCTION("""COMPUTED_VALUE"""),"null")</f>
        <v>null</v>
      </c>
      <c r="P8871" s="33">
        <f>IFERROR(__xludf.DUMMYFUNCTION("""COMPUTED_VALUE"""),1.0)</f>
        <v>1</v>
      </c>
      <c r="Q8871" s="4" t="str">
        <f>IFERROR(__xludf.DUMMYFUNCTION("""COMPUTED_VALUE"""),"null")</f>
        <v>null</v>
      </c>
      <c r="R8871" s="33">
        <f>IFERROR(__xludf.DUMMYFUNCTION("""COMPUTED_VALUE"""),1.0)</f>
        <v>1</v>
      </c>
      <c r="S8871" s="4" t="str">
        <f>IFERROR(__xludf.DUMMYFUNCTION("""COMPUTED_VALUE"""),"null")</f>
        <v>null</v>
      </c>
      <c r="T8871" s="33">
        <f>IFERROR(__xludf.DUMMYFUNCTION("""COMPUTED_VALUE"""),1.0)</f>
        <v>1</v>
      </c>
      <c r="U8871" s="4" t="str">
        <f>IFERROR(__xludf.DUMMYFUNCTION("""COMPUTED_VALUE"""),"null")</f>
        <v>null</v>
      </c>
      <c r="V8871" s="33">
        <f>IFERROR(__xludf.DUMMYFUNCTION("""COMPUTED_VALUE"""),1.0)</f>
        <v>1</v>
      </c>
      <c r="W8871" s="4" t="str">
        <f>IFERROR(__xludf.DUMMYFUNCTION("""COMPUTED_VALUE"""),"null")</f>
        <v>null</v>
      </c>
      <c r="X8871" s="33">
        <f>IFERROR(__xludf.DUMMYFUNCTION("""COMPUTED_VALUE"""),1.0)</f>
        <v>1</v>
      </c>
    </row>
    <row r="8872">
      <c r="K8872" s="4" t="str">
        <f>IFERROR(__xludf.DUMMYFUNCTION("""COMPUTED_VALUE"""),"QUIOSQUE BELO HORIZONTE")</f>
        <v>QUIOSQUE BELO HORIZONTE</v>
      </c>
      <c r="L8872" s="32">
        <f>IFERROR(__xludf.DUMMYFUNCTION("""COMPUTED_VALUE"""),1.0)</f>
        <v>1</v>
      </c>
      <c r="M8872" s="4" t="str">
        <f>IFERROR(__xludf.DUMMYFUNCTION("""COMPUTED_VALUE"""),"Yooga")</f>
        <v>Yooga</v>
      </c>
      <c r="N8872" s="33">
        <f>IFERROR(__xludf.DUMMYFUNCTION("""COMPUTED_VALUE"""),1.0)</f>
        <v>1</v>
      </c>
      <c r="O8872" s="4" t="str">
        <f>IFERROR(__xludf.DUMMYFUNCTION("""COMPUTED_VALUE"""),"Yooga")</f>
        <v>Yooga</v>
      </c>
      <c r="P8872" s="33">
        <f>IFERROR(__xludf.DUMMYFUNCTION("""COMPUTED_VALUE"""),1.0)</f>
        <v>1</v>
      </c>
      <c r="Q8872" s="4" t="str">
        <f>IFERROR(__xludf.DUMMYFUNCTION("""COMPUTED_VALUE"""),"Yooga")</f>
        <v>Yooga</v>
      </c>
      <c r="R8872" s="33">
        <f>IFERROR(__xludf.DUMMYFUNCTION("""COMPUTED_VALUE"""),1.0)</f>
        <v>1</v>
      </c>
      <c r="S8872" s="4" t="str">
        <f>IFERROR(__xludf.DUMMYFUNCTION("""COMPUTED_VALUE"""),"Yooga")</f>
        <v>Yooga</v>
      </c>
      <c r="T8872" s="33">
        <f>IFERROR(__xludf.DUMMYFUNCTION("""COMPUTED_VALUE"""),1.0)</f>
        <v>1</v>
      </c>
      <c r="U8872" s="4" t="str">
        <f>IFERROR(__xludf.DUMMYFUNCTION("""COMPUTED_VALUE"""),"Yooga")</f>
        <v>Yooga</v>
      </c>
      <c r="V8872" s="33">
        <f>IFERROR(__xludf.DUMMYFUNCTION("""COMPUTED_VALUE"""),1.0)</f>
        <v>1</v>
      </c>
      <c r="W8872" s="4" t="str">
        <f>IFERROR(__xludf.DUMMYFUNCTION("""COMPUTED_VALUE"""),"Yooga")</f>
        <v>Yooga</v>
      </c>
      <c r="X8872" s="33">
        <f>IFERROR(__xludf.DUMMYFUNCTION("""COMPUTED_VALUE"""),1.0)</f>
        <v>1</v>
      </c>
    </row>
    <row r="8873">
      <c r="K8873" s="4" t="str">
        <f>IFERROR(__xludf.DUMMYFUNCTION("""COMPUTED_VALUE"""),"CONFEITARIA - DOCE PEDIDO")</f>
        <v>CONFEITARIA - DOCE PEDIDO</v>
      </c>
      <c r="L8873" s="32">
        <f>IFERROR(__xludf.DUMMYFUNCTION("""COMPUTED_VALUE"""),1.0)</f>
        <v>1</v>
      </c>
      <c r="M8873" s="4" t="str">
        <f>IFERROR(__xludf.DUMMYFUNCTION("""COMPUTED_VALUE"""),"Yooga")</f>
        <v>Yooga</v>
      </c>
      <c r="N8873" s="33">
        <f>IFERROR(__xludf.DUMMYFUNCTION("""COMPUTED_VALUE"""),1.0)</f>
        <v>1</v>
      </c>
      <c r="O8873" s="4" t="str">
        <f>IFERROR(__xludf.DUMMYFUNCTION("""COMPUTED_VALUE"""),"null")</f>
        <v>null</v>
      </c>
      <c r="P8873" s="33">
        <f>IFERROR(__xludf.DUMMYFUNCTION("""COMPUTED_VALUE"""),1.0)</f>
        <v>1</v>
      </c>
      <c r="Q8873" s="4" t="str">
        <f>IFERROR(__xludf.DUMMYFUNCTION("""COMPUTED_VALUE"""),"null")</f>
        <v>null</v>
      </c>
      <c r="R8873" s="33">
        <f>IFERROR(__xludf.DUMMYFUNCTION("""COMPUTED_VALUE"""),1.0)</f>
        <v>1</v>
      </c>
      <c r="S8873" s="4" t="str">
        <f>IFERROR(__xludf.DUMMYFUNCTION("""COMPUTED_VALUE"""),"null")</f>
        <v>null</v>
      </c>
      <c r="T8873" s="33">
        <f>IFERROR(__xludf.DUMMYFUNCTION("""COMPUTED_VALUE"""),1.0)</f>
        <v>1</v>
      </c>
      <c r="U8873" s="4" t="str">
        <f>IFERROR(__xludf.DUMMYFUNCTION("""COMPUTED_VALUE"""),"null")</f>
        <v>null</v>
      </c>
      <c r="V8873" s="33">
        <f>IFERROR(__xludf.DUMMYFUNCTION("""COMPUTED_VALUE"""),1.0)</f>
        <v>1</v>
      </c>
      <c r="W8873" s="4" t="str">
        <f>IFERROR(__xludf.DUMMYFUNCTION("""COMPUTED_VALUE"""),"null")</f>
        <v>null</v>
      </c>
      <c r="X8873" s="33">
        <f>IFERROR(__xludf.DUMMYFUNCTION("""COMPUTED_VALUE"""),1.0)</f>
        <v>1</v>
      </c>
    </row>
    <row r="8874">
      <c r="K8874" s="4" t="str">
        <f>IFERROR(__xludf.DUMMYFUNCTION("""COMPUTED_VALUE"""),"ACARAJE DA FEIRA")</f>
        <v>ACARAJE DA FEIRA</v>
      </c>
      <c r="L8874" s="32">
        <f>IFERROR(__xludf.DUMMYFUNCTION("""COMPUTED_VALUE"""),1.0)</f>
        <v>1</v>
      </c>
      <c r="M8874" s="4" t="str">
        <f>IFERROR(__xludf.DUMMYFUNCTION("""COMPUTED_VALUE"""),"Anota Ai Solucoes Digitais S/a")</f>
        <v>Anota Ai Solucoes Digitais S/a</v>
      </c>
      <c r="N8874" s="33">
        <f>IFERROR(__xludf.DUMMYFUNCTION("""COMPUTED_VALUE"""),1.0)</f>
        <v>1</v>
      </c>
      <c r="O8874" s="4" t="str">
        <f>IFERROR(__xludf.DUMMYFUNCTION("""COMPUTED_VALUE"""),"Anota Ai Solucoes Digitais S/a")</f>
        <v>Anota Ai Solucoes Digitais S/a</v>
      </c>
      <c r="P8874" s="33">
        <f>IFERROR(__xludf.DUMMYFUNCTION("""COMPUTED_VALUE"""),1.0)</f>
        <v>1</v>
      </c>
      <c r="Q8874" s="4" t="str">
        <f>IFERROR(__xludf.DUMMYFUNCTION("""COMPUTED_VALUE"""),"Anota Ai Solucoes Digitais S/a")</f>
        <v>Anota Ai Solucoes Digitais S/a</v>
      </c>
      <c r="R8874" s="33">
        <f>IFERROR(__xludf.DUMMYFUNCTION("""COMPUTED_VALUE"""),1.0)</f>
        <v>1</v>
      </c>
      <c r="S8874" s="4" t="str">
        <f>IFERROR(__xludf.DUMMYFUNCTION("""COMPUTED_VALUE"""),"Anota Ai Solucoes Digitais S/a")</f>
        <v>Anota Ai Solucoes Digitais S/a</v>
      </c>
      <c r="T8874" s="33">
        <f>IFERROR(__xludf.DUMMYFUNCTION("""COMPUTED_VALUE"""),1.0)</f>
        <v>1</v>
      </c>
      <c r="U8874" s="4" t="str">
        <f>IFERROR(__xludf.DUMMYFUNCTION("""COMPUTED_VALUE"""),"Anota Ai Solucoes Digitais S/a")</f>
        <v>Anota Ai Solucoes Digitais S/a</v>
      </c>
      <c r="V8874" s="33">
        <f>IFERROR(__xludf.DUMMYFUNCTION("""COMPUTED_VALUE"""),1.0)</f>
        <v>1</v>
      </c>
      <c r="W8874" s="4" t="str">
        <f>IFERROR(__xludf.DUMMYFUNCTION("""COMPUTED_VALUE"""),"Anota Ai Solucoes Digitais S/a")</f>
        <v>Anota Ai Solucoes Digitais S/a</v>
      </c>
      <c r="X8874" s="33">
        <f>IFERROR(__xludf.DUMMYFUNCTION("""COMPUTED_VALUE"""),1.0)</f>
        <v>1</v>
      </c>
    </row>
    <row r="8875">
      <c r="K8875" s="4" t="str">
        <f>IFERROR(__xludf.DUMMYFUNCTION("""COMPUTED_VALUE"""),"ROTA DO ESPETO E MARMITARIA")</f>
        <v>ROTA DO ESPETO E MARMITARIA</v>
      </c>
      <c r="L8875" s="32">
        <f>IFERROR(__xludf.DUMMYFUNCTION("""COMPUTED_VALUE"""),1.0)</f>
        <v>1</v>
      </c>
      <c r="M8875" s="4" t="str">
        <f>IFERROR(__xludf.DUMMYFUNCTION("""COMPUTED_VALUE"""),"Fire Sistemas")</f>
        <v>Fire Sistemas</v>
      </c>
      <c r="N8875" s="33">
        <f>IFERROR(__xludf.DUMMYFUNCTION("""COMPUTED_VALUE"""),1.0)</f>
        <v>1</v>
      </c>
      <c r="O8875" s="4" t="str">
        <f>IFERROR(__xludf.DUMMYFUNCTION("""COMPUTED_VALUE"""),"Fire Sistemas")</f>
        <v>Fire Sistemas</v>
      </c>
      <c r="P8875" s="33">
        <f>IFERROR(__xludf.DUMMYFUNCTION("""COMPUTED_VALUE"""),1.0)</f>
        <v>1</v>
      </c>
      <c r="Q8875" s="4" t="str">
        <f>IFERROR(__xludf.DUMMYFUNCTION("""COMPUTED_VALUE"""),"Fire Sistemas")</f>
        <v>Fire Sistemas</v>
      </c>
      <c r="R8875" s="33">
        <f>IFERROR(__xludf.DUMMYFUNCTION("""COMPUTED_VALUE"""),1.0)</f>
        <v>1</v>
      </c>
      <c r="S8875" s="4" t="str">
        <f>IFERROR(__xludf.DUMMYFUNCTION("""COMPUTED_VALUE"""),"Fire Sistemas")</f>
        <v>Fire Sistemas</v>
      </c>
      <c r="T8875" s="33">
        <f>IFERROR(__xludf.DUMMYFUNCTION("""COMPUTED_VALUE"""),1.0)</f>
        <v>1</v>
      </c>
      <c r="U8875" s="4" t="str">
        <f>IFERROR(__xludf.DUMMYFUNCTION("""COMPUTED_VALUE"""),"Fire Sistemas")</f>
        <v>Fire Sistemas</v>
      </c>
      <c r="V8875" s="33">
        <f>IFERROR(__xludf.DUMMYFUNCTION("""COMPUTED_VALUE"""),1.0)</f>
        <v>1</v>
      </c>
      <c r="W8875" s="4" t="str">
        <f>IFERROR(__xludf.DUMMYFUNCTION("""COMPUTED_VALUE"""),"Fire Sistemas")</f>
        <v>Fire Sistemas</v>
      </c>
      <c r="X8875" s="33">
        <f>IFERROR(__xludf.DUMMYFUNCTION("""COMPUTED_VALUE"""),1.0)</f>
        <v>1</v>
      </c>
    </row>
    <row r="8876">
      <c r="K8876" s="4" t="str">
        <f>IFERROR(__xludf.DUMMYFUNCTION("""COMPUTED_VALUE"""),"MUITO MAIS LANCHES")</f>
        <v>MUITO MAIS LANCHES</v>
      </c>
      <c r="L8876" s="32">
        <f>IFERROR(__xludf.DUMMYFUNCTION("""COMPUTED_VALUE"""),1.0)</f>
        <v>1</v>
      </c>
      <c r="M8876" s="4" t="str">
        <f>IFERROR(__xludf.DUMMYFUNCTION("""COMPUTED_VALUE"""),"Anota Ai Solucoes Digitais S/a")</f>
        <v>Anota Ai Solucoes Digitais S/a</v>
      </c>
      <c r="N8876" s="33">
        <f>IFERROR(__xludf.DUMMYFUNCTION("""COMPUTED_VALUE"""),1.0)</f>
        <v>1</v>
      </c>
      <c r="O8876" s="4" t="str">
        <f>IFERROR(__xludf.DUMMYFUNCTION("""COMPUTED_VALUE"""),"Anota Ai Solucoes Digitais S/a")</f>
        <v>Anota Ai Solucoes Digitais S/a</v>
      </c>
      <c r="P8876" s="33">
        <f>IFERROR(__xludf.DUMMYFUNCTION("""COMPUTED_VALUE"""),1.0)</f>
        <v>1</v>
      </c>
      <c r="Q8876" s="4" t="str">
        <f>IFERROR(__xludf.DUMMYFUNCTION("""COMPUTED_VALUE"""),"Anota Ai Solucoes Digitais S/a")</f>
        <v>Anota Ai Solucoes Digitais S/a</v>
      </c>
      <c r="R8876" s="33">
        <f>IFERROR(__xludf.DUMMYFUNCTION("""COMPUTED_VALUE"""),1.0)</f>
        <v>1</v>
      </c>
      <c r="S8876" s="4" t="str">
        <f>IFERROR(__xludf.DUMMYFUNCTION("""COMPUTED_VALUE"""),"Anota Ai Solucoes Digitais S/a")</f>
        <v>Anota Ai Solucoes Digitais S/a</v>
      </c>
      <c r="T8876" s="33">
        <f>IFERROR(__xludf.DUMMYFUNCTION("""COMPUTED_VALUE"""),1.0)</f>
        <v>1</v>
      </c>
      <c r="U8876" s="4" t="str">
        <f>IFERROR(__xludf.DUMMYFUNCTION("""COMPUTED_VALUE"""),"Anota Ai Solucoes Digitais S/a")</f>
        <v>Anota Ai Solucoes Digitais S/a</v>
      </c>
      <c r="V8876" s="33">
        <f>IFERROR(__xludf.DUMMYFUNCTION("""COMPUTED_VALUE"""),1.0)</f>
        <v>1</v>
      </c>
      <c r="W8876" s="4" t="str">
        <f>IFERROR(__xludf.DUMMYFUNCTION("""COMPUTED_VALUE"""),"Anota Ai Solucoes Digitais S/a")</f>
        <v>Anota Ai Solucoes Digitais S/a</v>
      </c>
      <c r="X8876" s="33">
        <f>IFERROR(__xludf.DUMMYFUNCTION("""COMPUTED_VALUE"""),1.0)</f>
        <v>1</v>
      </c>
    </row>
    <row r="8877">
      <c r="K8877" s="4" t="str">
        <f>IFERROR(__xludf.DUMMYFUNCTION("""COMPUTED_VALUE"""),"PHB SALGADOS")</f>
        <v>PHB SALGADOS</v>
      </c>
      <c r="L8877" s="32">
        <f>IFERROR(__xludf.DUMMYFUNCTION("""COMPUTED_VALUE"""),1.0)</f>
        <v>1</v>
      </c>
      <c r="M8877" s="4" t="str">
        <f>IFERROR(__xludf.DUMMYFUNCTION("""COMPUTED_VALUE"""),"Saipos Serviços De Software")</f>
        <v>Saipos Serviços De Software</v>
      </c>
      <c r="N8877" s="33">
        <f>IFERROR(__xludf.DUMMYFUNCTION("""COMPUTED_VALUE"""),1.0)</f>
        <v>1</v>
      </c>
      <c r="O8877" s="4" t="str">
        <f>IFERROR(__xludf.DUMMYFUNCTION("""COMPUTED_VALUE"""),"Saipos Serviços De Software")</f>
        <v>Saipos Serviços De Software</v>
      </c>
      <c r="P8877" s="33">
        <f>IFERROR(__xludf.DUMMYFUNCTION("""COMPUTED_VALUE"""),1.0)</f>
        <v>1</v>
      </c>
      <c r="Q8877" s="4" t="str">
        <f>IFERROR(__xludf.DUMMYFUNCTION("""COMPUTED_VALUE"""),"Saipos Serviços De Software")</f>
        <v>Saipos Serviços De Software</v>
      </c>
      <c r="R8877" s="33">
        <f>IFERROR(__xludf.DUMMYFUNCTION("""COMPUTED_VALUE"""),1.0)</f>
        <v>1</v>
      </c>
      <c r="S8877" s="4" t="str">
        <f>IFERROR(__xludf.DUMMYFUNCTION("""COMPUTED_VALUE"""),"Saipos Serviços De Software")</f>
        <v>Saipos Serviços De Software</v>
      </c>
      <c r="T8877" s="33">
        <f>IFERROR(__xludf.DUMMYFUNCTION("""COMPUTED_VALUE"""),1.0)</f>
        <v>1</v>
      </c>
      <c r="U8877" s="4" t="str">
        <f>IFERROR(__xludf.DUMMYFUNCTION("""COMPUTED_VALUE"""),"Saipos Serviços De Software")</f>
        <v>Saipos Serviços De Software</v>
      </c>
      <c r="V8877" s="33">
        <f>IFERROR(__xludf.DUMMYFUNCTION("""COMPUTED_VALUE"""),1.0)</f>
        <v>1</v>
      </c>
      <c r="W8877" s="4" t="str">
        <f>IFERROR(__xludf.DUMMYFUNCTION("""COMPUTED_VALUE"""),"Saipos Serviços De Software")</f>
        <v>Saipos Serviços De Software</v>
      </c>
      <c r="X8877" s="33">
        <f>IFERROR(__xludf.DUMMYFUNCTION("""COMPUTED_VALUE"""),1.0)</f>
        <v>1</v>
      </c>
    </row>
    <row r="8878">
      <c r="K8878" s="4" t="str">
        <f>IFERROR(__xludf.DUMMYFUNCTION("""COMPUTED_VALUE"""),"CHAME PIZZA BOULEVARD")</f>
        <v>CHAME PIZZA BOULEVARD</v>
      </c>
      <c r="L8878" s="32">
        <f>IFERROR(__xludf.DUMMYFUNCTION("""COMPUTED_VALUE"""),1.0)</f>
        <v>1</v>
      </c>
      <c r="M8878" s="4" t="str">
        <f>IFERROR(__xludf.DUMMYFUNCTION("""COMPUTED_VALUE"""),"Saipos Serviços De Software")</f>
        <v>Saipos Serviços De Software</v>
      </c>
      <c r="N8878" s="33">
        <f>IFERROR(__xludf.DUMMYFUNCTION("""COMPUTED_VALUE"""),1.0)</f>
        <v>1</v>
      </c>
      <c r="O8878" s="4" t="str">
        <f>IFERROR(__xludf.DUMMYFUNCTION("""COMPUTED_VALUE"""),"Saipos Serviços De Software")</f>
        <v>Saipos Serviços De Software</v>
      </c>
      <c r="P8878" s="33">
        <f>IFERROR(__xludf.DUMMYFUNCTION("""COMPUTED_VALUE"""),1.0)</f>
        <v>1</v>
      </c>
      <c r="Q8878" s="4" t="str">
        <f>IFERROR(__xludf.DUMMYFUNCTION("""COMPUTED_VALUE"""),"Saipos Serviços De Software")</f>
        <v>Saipos Serviços De Software</v>
      </c>
      <c r="R8878" s="33">
        <f>IFERROR(__xludf.DUMMYFUNCTION("""COMPUTED_VALUE"""),1.0)</f>
        <v>1</v>
      </c>
      <c r="S8878" s="4" t="str">
        <f>IFERROR(__xludf.DUMMYFUNCTION("""COMPUTED_VALUE"""),"Saipos Serviços De Software")</f>
        <v>Saipos Serviços De Software</v>
      </c>
      <c r="T8878" s="33">
        <f>IFERROR(__xludf.DUMMYFUNCTION("""COMPUTED_VALUE"""),1.0)</f>
        <v>1</v>
      </c>
      <c r="U8878" s="4" t="str">
        <f>IFERROR(__xludf.DUMMYFUNCTION("""COMPUTED_VALUE"""),"Saipos Serviços De Software")</f>
        <v>Saipos Serviços De Software</v>
      </c>
      <c r="V8878" s="33">
        <f>IFERROR(__xludf.DUMMYFUNCTION("""COMPUTED_VALUE"""),1.0)</f>
        <v>1</v>
      </c>
      <c r="W8878" s="4" t="str">
        <f>IFERROR(__xludf.DUMMYFUNCTION("""COMPUTED_VALUE"""),"Saipos Serviços De Software")</f>
        <v>Saipos Serviços De Software</v>
      </c>
      <c r="X8878" s="33">
        <f>IFERROR(__xludf.DUMMYFUNCTION("""COMPUTED_VALUE"""),1.0)</f>
        <v>1</v>
      </c>
    </row>
    <row r="8879">
      <c r="K8879" s="4" t="str">
        <f>IFERROR(__xludf.DUMMYFUNCTION("""COMPUTED_VALUE"""),"B3X BURGER - HAMBURGUER E ALMOCO")</f>
        <v>B3X BURGER - HAMBURGUER E ALMOCO</v>
      </c>
      <c r="L8879" s="32">
        <f>IFERROR(__xludf.DUMMYFUNCTION("""COMPUTED_VALUE"""),1.0)</f>
        <v>1</v>
      </c>
      <c r="M8879" s="4" t="str">
        <f>IFERROR(__xludf.DUMMYFUNCTION("""COMPUTED_VALUE"""),"null")</f>
        <v>null</v>
      </c>
      <c r="N8879" s="33">
        <f>IFERROR(__xludf.DUMMYFUNCTION("""COMPUTED_VALUE"""),1.0)</f>
        <v>1</v>
      </c>
      <c r="O8879" s="4" t="str">
        <f>IFERROR(__xludf.DUMMYFUNCTION("""COMPUTED_VALUE"""),"Cardápio Web")</f>
        <v>Cardápio Web</v>
      </c>
      <c r="P8879" s="33">
        <f>IFERROR(__xludf.DUMMYFUNCTION("""COMPUTED_VALUE"""),1.0)</f>
        <v>1</v>
      </c>
      <c r="Q8879" s="4" t="str">
        <f>IFERROR(__xludf.DUMMYFUNCTION("""COMPUTED_VALUE"""),"Cardápio Web")</f>
        <v>Cardápio Web</v>
      </c>
      <c r="R8879" s="33">
        <f>IFERROR(__xludf.DUMMYFUNCTION("""COMPUTED_VALUE"""),1.0)</f>
        <v>1</v>
      </c>
      <c r="S8879" s="4" t="str">
        <f>IFERROR(__xludf.DUMMYFUNCTION("""COMPUTED_VALUE"""),"Cardápio Web")</f>
        <v>Cardápio Web</v>
      </c>
      <c r="T8879" s="33">
        <f>IFERROR(__xludf.DUMMYFUNCTION("""COMPUTED_VALUE"""),1.0)</f>
        <v>1</v>
      </c>
      <c r="U8879" s="4" t="str">
        <f>IFERROR(__xludf.DUMMYFUNCTION("""COMPUTED_VALUE"""),"Cardápio Web")</f>
        <v>Cardápio Web</v>
      </c>
      <c r="V8879" s="33">
        <f>IFERROR(__xludf.DUMMYFUNCTION("""COMPUTED_VALUE"""),1.0)</f>
        <v>1</v>
      </c>
      <c r="W8879" s="4" t="str">
        <f>IFERROR(__xludf.DUMMYFUNCTION("""COMPUTED_VALUE"""),"Cardápio Web")</f>
        <v>Cardápio Web</v>
      </c>
      <c r="X8879" s="33">
        <f>IFERROR(__xludf.DUMMYFUNCTION("""COMPUTED_VALUE"""),1.0)</f>
        <v>1</v>
      </c>
    </row>
    <row r="8880">
      <c r="K8880" s="4" t="str">
        <f>IFERROR(__xludf.DUMMYFUNCTION("""COMPUTED_VALUE"""),"DOGS BURGER")</f>
        <v>DOGS BURGER</v>
      </c>
      <c r="L8880" s="32">
        <f>IFERROR(__xludf.DUMMYFUNCTION("""COMPUTED_VALUE"""),1.0)</f>
        <v>1</v>
      </c>
      <c r="M8880" s="4" t="str">
        <f>IFERROR(__xludf.DUMMYFUNCTION("""COMPUTED_VALUE"""),"null")</f>
        <v>null</v>
      </c>
      <c r="N8880" s="33">
        <f>IFERROR(__xludf.DUMMYFUNCTION("""COMPUTED_VALUE"""),1.0)</f>
        <v>1</v>
      </c>
      <c r="O8880" s="4" t="str">
        <f>IFERROR(__xludf.DUMMYFUNCTION("""COMPUTED_VALUE"""),"null")</f>
        <v>null</v>
      </c>
      <c r="P8880" s="33">
        <f>IFERROR(__xludf.DUMMYFUNCTION("""COMPUTED_VALUE"""),1.0)</f>
        <v>1</v>
      </c>
      <c r="Q8880" s="4" t="str">
        <f>IFERROR(__xludf.DUMMYFUNCTION("""COMPUTED_VALUE"""),"null")</f>
        <v>null</v>
      </c>
      <c r="R8880" s="33">
        <f>IFERROR(__xludf.DUMMYFUNCTION("""COMPUTED_VALUE"""),1.0)</f>
        <v>1</v>
      </c>
      <c r="S8880" s="4" t="str">
        <f>IFERROR(__xludf.DUMMYFUNCTION("""COMPUTED_VALUE"""),"null")</f>
        <v>null</v>
      </c>
      <c r="T8880" s="33">
        <f>IFERROR(__xludf.DUMMYFUNCTION("""COMPUTED_VALUE"""),1.0)</f>
        <v>1</v>
      </c>
      <c r="U8880" s="4" t="str">
        <f>IFERROR(__xludf.DUMMYFUNCTION("""COMPUTED_VALUE"""),"Brendi")</f>
        <v>Brendi</v>
      </c>
      <c r="V8880" s="33">
        <f>IFERROR(__xludf.DUMMYFUNCTION("""COMPUTED_VALUE"""),1.0)</f>
        <v>1</v>
      </c>
      <c r="W8880" s="4" t="str">
        <f>IFERROR(__xludf.DUMMYFUNCTION("""COMPUTED_VALUE"""),"null")</f>
        <v>null</v>
      </c>
      <c r="X8880" s="33">
        <f>IFERROR(__xludf.DUMMYFUNCTION("""COMPUTED_VALUE"""),1.0)</f>
        <v>1</v>
      </c>
    </row>
    <row r="8881">
      <c r="K8881" s="4" t="str">
        <f>IFERROR(__xludf.DUMMYFUNCTION("""COMPUTED_VALUE"""),"STOP POINT BURGUER")</f>
        <v>STOP POINT BURGUER</v>
      </c>
      <c r="L8881" s="32">
        <f>IFERROR(__xludf.DUMMYFUNCTION("""COMPUTED_VALUE"""),1.0)</f>
        <v>1</v>
      </c>
      <c r="M8881" s="4" t="str">
        <f>IFERROR(__xludf.DUMMYFUNCTION("""COMPUTED_VALUE"""),"Vuca Solution")</f>
        <v>Vuca Solution</v>
      </c>
      <c r="N8881" s="33">
        <f>IFERROR(__xludf.DUMMYFUNCTION("""COMPUTED_VALUE"""),1.0)</f>
        <v>1</v>
      </c>
      <c r="O8881" s="4" t="str">
        <f>IFERROR(__xludf.DUMMYFUNCTION("""COMPUTED_VALUE"""),"Vuca Solution")</f>
        <v>Vuca Solution</v>
      </c>
      <c r="P8881" s="33">
        <f>IFERROR(__xludf.DUMMYFUNCTION("""COMPUTED_VALUE"""),1.0)</f>
        <v>1</v>
      </c>
      <c r="Q8881" s="4" t="str">
        <f>IFERROR(__xludf.DUMMYFUNCTION("""COMPUTED_VALUE"""),"Vuca Solution")</f>
        <v>Vuca Solution</v>
      </c>
      <c r="R8881" s="33">
        <f>IFERROR(__xludf.DUMMYFUNCTION("""COMPUTED_VALUE"""),1.0)</f>
        <v>1</v>
      </c>
      <c r="S8881" s="4" t="str">
        <f>IFERROR(__xludf.DUMMYFUNCTION("""COMPUTED_VALUE"""),"Vuca Solution")</f>
        <v>Vuca Solution</v>
      </c>
      <c r="T8881" s="33">
        <f>IFERROR(__xludf.DUMMYFUNCTION("""COMPUTED_VALUE"""),1.0)</f>
        <v>1</v>
      </c>
      <c r="U8881" s="4" t="str">
        <f>IFERROR(__xludf.DUMMYFUNCTION("""COMPUTED_VALUE"""),"Vuca Solution")</f>
        <v>Vuca Solution</v>
      </c>
      <c r="V8881" s="33">
        <f>IFERROR(__xludf.DUMMYFUNCTION("""COMPUTED_VALUE"""),1.0)</f>
        <v>1</v>
      </c>
      <c r="W8881" s="4" t="str">
        <f>IFERROR(__xludf.DUMMYFUNCTION("""COMPUTED_VALUE"""),"null")</f>
        <v>null</v>
      </c>
      <c r="X8881" s="33">
        <f>IFERROR(__xludf.DUMMYFUNCTION("""COMPUTED_VALUE"""),1.0)</f>
        <v>1</v>
      </c>
    </row>
    <row r="8882">
      <c r="K8882" s="4" t="str">
        <f>IFERROR(__xludf.DUMMYFUNCTION("""COMPUTED_VALUE"""),"MAX PRIME CHURRASCARIA")</f>
        <v>MAX PRIME CHURRASCARIA</v>
      </c>
      <c r="L8882" s="32">
        <f>IFERROR(__xludf.DUMMYFUNCTION("""COMPUTED_VALUE"""),1.0)</f>
        <v>1</v>
      </c>
      <c r="M8882" s="4" t="str">
        <f>IFERROR(__xludf.DUMMYFUNCTION("""COMPUTED_VALUE"""),"Garcom Web")</f>
        <v>Garcom Web</v>
      </c>
      <c r="N8882" s="33">
        <f>IFERROR(__xludf.DUMMYFUNCTION("""COMPUTED_VALUE"""),1.0)</f>
        <v>1</v>
      </c>
      <c r="O8882" s="4" t="str">
        <f>IFERROR(__xludf.DUMMYFUNCTION("""COMPUTED_VALUE"""),"Garcom Web")</f>
        <v>Garcom Web</v>
      </c>
      <c r="P8882" s="33">
        <f>IFERROR(__xludf.DUMMYFUNCTION("""COMPUTED_VALUE"""),1.0)</f>
        <v>1</v>
      </c>
      <c r="Q8882" s="4" t="str">
        <f>IFERROR(__xludf.DUMMYFUNCTION("""COMPUTED_VALUE"""),"Garcom Web")</f>
        <v>Garcom Web</v>
      </c>
      <c r="R8882" s="33">
        <f>IFERROR(__xludf.DUMMYFUNCTION("""COMPUTED_VALUE"""),1.0)</f>
        <v>1</v>
      </c>
      <c r="S8882" s="4" t="str">
        <f>IFERROR(__xludf.DUMMYFUNCTION("""COMPUTED_VALUE"""),"null")</f>
        <v>null</v>
      </c>
      <c r="T8882" s="33">
        <f>IFERROR(__xludf.DUMMYFUNCTION("""COMPUTED_VALUE"""),1.0)</f>
        <v>1</v>
      </c>
      <c r="U8882" s="4" t="str">
        <f>IFERROR(__xludf.DUMMYFUNCTION("""COMPUTED_VALUE"""),"null")</f>
        <v>null</v>
      </c>
      <c r="V8882" s="33">
        <f>IFERROR(__xludf.DUMMYFUNCTION("""COMPUTED_VALUE"""),1.0)</f>
        <v>1</v>
      </c>
      <c r="W8882" s="4" t="str">
        <f>IFERROR(__xludf.DUMMYFUNCTION("""COMPUTED_VALUE"""),"null")</f>
        <v>null</v>
      </c>
      <c r="X8882" s="33">
        <f>IFERROR(__xludf.DUMMYFUNCTION("""COMPUTED_VALUE"""),1.0)</f>
        <v>1</v>
      </c>
    </row>
    <row r="8883">
      <c r="K8883" s="4" t="str">
        <f>IFERROR(__xludf.DUMMYFUNCTION("""COMPUTED_VALUE"""),"TROPICALI ACAI")</f>
        <v>TROPICALI ACAI</v>
      </c>
      <c r="L8883" s="32">
        <f>IFERROR(__xludf.DUMMYFUNCTION("""COMPUTED_VALUE"""),1.0)</f>
        <v>1</v>
      </c>
      <c r="M8883" s="4" t="str">
        <f>IFERROR(__xludf.DUMMYFUNCTION("""COMPUTED_VALUE"""),"Yooga")</f>
        <v>Yooga</v>
      </c>
      <c r="N8883" s="33">
        <f>IFERROR(__xludf.DUMMYFUNCTION("""COMPUTED_VALUE"""),1.0)</f>
        <v>1</v>
      </c>
      <c r="O8883" s="4" t="str">
        <f>IFERROR(__xludf.DUMMYFUNCTION("""COMPUTED_VALUE"""),"null")</f>
        <v>null</v>
      </c>
      <c r="P8883" s="33">
        <f>IFERROR(__xludf.DUMMYFUNCTION("""COMPUTED_VALUE"""),1.0)</f>
        <v>1</v>
      </c>
      <c r="Q8883" s="4" t="str">
        <f>IFERROR(__xludf.DUMMYFUNCTION("""COMPUTED_VALUE"""),"null")</f>
        <v>null</v>
      </c>
      <c r="R8883" s="33">
        <f>IFERROR(__xludf.DUMMYFUNCTION("""COMPUTED_VALUE"""),1.0)</f>
        <v>1</v>
      </c>
      <c r="S8883" s="4" t="str">
        <f>IFERROR(__xludf.DUMMYFUNCTION("""COMPUTED_VALUE"""),"null")</f>
        <v>null</v>
      </c>
      <c r="T8883" s="33">
        <f>IFERROR(__xludf.DUMMYFUNCTION("""COMPUTED_VALUE"""),1.0)</f>
        <v>1</v>
      </c>
      <c r="U8883" s="4" t="str">
        <f>IFERROR(__xludf.DUMMYFUNCTION("""COMPUTED_VALUE"""),"null")</f>
        <v>null</v>
      </c>
      <c r="V8883" s="33">
        <f>IFERROR(__xludf.DUMMYFUNCTION("""COMPUTED_VALUE"""),1.0)</f>
        <v>1</v>
      </c>
      <c r="W8883" s="4" t="str">
        <f>IFERROR(__xludf.DUMMYFUNCTION("""COMPUTED_VALUE"""),"null")</f>
        <v>null</v>
      </c>
      <c r="X8883" s="33">
        <f>IFERROR(__xludf.DUMMYFUNCTION("""COMPUTED_VALUE"""),1.0)</f>
        <v>1</v>
      </c>
    </row>
    <row r="8884">
      <c r="K8884" s="4" t="str">
        <f>IFERROR(__xludf.DUMMYFUNCTION("""COMPUTED_VALUE"""),"EMPORIO GASTRONOMICO JARDINS DE MONET")</f>
        <v>EMPORIO GASTRONOMICO JARDINS DE MONET</v>
      </c>
      <c r="L8884" s="32">
        <f>IFERROR(__xludf.DUMMYFUNCTION("""COMPUTED_VALUE"""),1.0)</f>
        <v>1</v>
      </c>
      <c r="M8884" s="4" t="str">
        <f>IFERROR(__xludf.DUMMYFUNCTION("""COMPUTED_VALUE"""),"null")</f>
        <v>null</v>
      </c>
      <c r="N8884" s="33">
        <f>IFERROR(__xludf.DUMMYFUNCTION("""COMPUTED_VALUE"""),1.0)</f>
        <v>1</v>
      </c>
      <c r="O8884" s="4" t="str">
        <f>IFERROR(__xludf.DUMMYFUNCTION("""COMPUTED_VALUE"""),"null")</f>
        <v>null</v>
      </c>
      <c r="P8884" s="33">
        <f>IFERROR(__xludf.DUMMYFUNCTION("""COMPUTED_VALUE"""),1.0)</f>
        <v>1</v>
      </c>
      <c r="Q8884" s="4" t="str">
        <f>IFERROR(__xludf.DUMMYFUNCTION("""COMPUTED_VALUE"""),"null")</f>
        <v>null</v>
      </c>
      <c r="R8884" s="33">
        <f>IFERROR(__xludf.DUMMYFUNCTION("""COMPUTED_VALUE"""),1.0)</f>
        <v>1</v>
      </c>
      <c r="S8884" s="4" t="str">
        <f>IFERROR(__xludf.DUMMYFUNCTION("""COMPUTED_VALUE"""),"null")</f>
        <v>null</v>
      </c>
      <c r="T8884" s="33">
        <f>IFERROR(__xludf.DUMMYFUNCTION("""COMPUTED_VALUE"""),1.0)</f>
        <v>1</v>
      </c>
      <c r="U8884" s="4" t="str">
        <f>IFERROR(__xludf.DUMMYFUNCTION("""COMPUTED_VALUE"""),"Sti3 Soluções Em Ti")</f>
        <v>Sti3 Soluções Em Ti</v>
      </c>
      <c r="V8884" s="33">
        <f>IFERROR(__xludf.DUMMYFUNCTION("""COMPUTED_VALUE"""),1.0)</f>
        <v>1</v>
      </c>
      <c r="W8884" s="4" t="str">
        <f>IFERROR(__xludf.DUMMYFUNCTION("""COMPUTED_VALUE"""),"null")</f>
        <v>null</v>
      </c>
      <c r="X8884" s="33">
        <f>IFERROR(__xludf.DUMMYFUNCTION("""COMPUTED_VALUE"""),1.0)</f>
        <v>1</v>
      </c>
    </row>
    <row r="8885">
      <c r="K8885" s="4" t="str">
        <f>IFERROR(__xludf.DUMMYFUNCTION("""COMPUTED_VALUE"""),"HG HAMBURGUERIA GOURMET")</f>
        <v>HG HAMBURGUERIA GOURMET</v>
      </c>
      <c r="L8885" s="32">
        <f>IFERROR(__xludf.DUMMYFUNCTION("""COMPUTED_VALUE"""),1.0)</f>
        <v>1</v>
      </c>
      <c r="M8885" s="4" t="str">
        <f>IFERROR(__xludf.DUMMYFUNCTION("""COMPUTED_VALUE"""),"null")</f>
        <v>null</v>
      </c>
      <c r="N8885" s="33">
        <f>IFERROR(__xludf.DUMMYFUNCTION("""COMPUTED_VALUE"""),1.0)</f>
        <v>1</v>
      </c>
      <c r="O8885" s="4" t="str">
        <f>IFERROR(__xludf.DUMMYFUNCTION("""COMPUTED_VALUE"""),"null")</f>
        <v>null</v>
      </c>
      <c r="P8885" s="33">
        <f>IFERROR(__xludf.DUMMYFUNCTION("""COMPUTED_VALUE"""),1.0)</f>
        <v>1</v>
      </c>
      <c r="Q8885" s="4" t="str">
        <f>IFERROR(__xludf.DUMMYFUNCTION("""COMPUTED_VALUE"""),"Consumer Soluções Em Tecnologia Ltda")</f>
        <v>Consumer Soluções Em Tecnologia Ltda</v>
      </c>
      <c r="R8885" s="33">
        <f>IFERROR(__xludf.DUMMYFUNCTION("""COMPUTED_VALUE"""),1.0)</f>
        <v>1</v>
      </c>
      <c r="S8885" s="4" t="str">
        <f>IFERROR(__xludf.DUMMYFUNCTION("""COMPUTED_VALUE"""),"Consumer Soluções Em Tecnologia Ltda")</f>
        <v>Consumer Soluções Em Tecnologia Ltda</v>
      </c>
      <c r="T8885" s="33">
        <f>IFERROR(__xludf.DUMMYFUNCTION("""COMPUTED_VALUE"""),1.0)</f>
        <v>1</v>
      </c>
      <c r="U8885" s="4" t="str">
        <f>IFERROR(__xludf.DUMMYFUNCTION("""COMPUTED_VALUE"""),"null")</f>
        <v>null</v>
      </c>
      <c r="V8885" s="33">
        <f>IFERROR(__xludf.DUMMYFUNCTION("""COMPUTED_VALUE"""),1.0)</f>
        <v>1</v>
      </c>
      <c r="W8885" s="4" t="str">
        <f>IFERROR(__xludf.DUMMYFUNCTION("""COMPUTED_VALUE"""),"null")</f>
        <v>null</v>
      </c>
      <c r="X8885" s="33">
        <f>IFERROR(__xludf.DUMMYFUNCTION("""COMPUTED_VALUE"""),1.0)</f>
        <v>1</v>
      </c>
    </row>
    <row r="8886">
      <c r="K8886" s="4" t="str">
        <f>IFERROR(__xludf.DUMMYFUNCTION("""COMPUTED_VALUE"""),"FOGAZZARIA E PIZZARIA QUERO MAIS")</f>
        <v>FOGAZZARIA E PIZZARIA QUERO MAIS</v>
      </c>
      <c r="L8886" s="32">
        <f>IFERROR(__xludf.DUMMYFUNCTION("""COMPUTED_VALUE"""),1.0)</f>
        <v>1</v>
      </c>
      <c r="M8886" s="4" t="str">
        <f>IFERROR(__xludf.DUMMYFUNCTION("""COMPUTED_VALUE"""),"Anota Ai Solucoes Digitais S/a")</f>
        <v>Anota Ai Solucoes Digitais S/a</v>
      </c>
      <c r="N8886" s="33">
        <f>IFERROR(__xludf.DUMMYFUNCTION("""COMPUTED_VALUE"""),1.0)</f>
        <v>1</v>
      </c>
      <c r="O8886" s="4" t="str">
        <f>IFERROR(__xludf.DUMMYFUNCTION("""COMPUTED_VALUE"""),"Anota Ai Solucoes Digitais S/a")</f>
        <v>Anota Ai Solucoes Digitais S/a</v>
      </c>
      <c r="P8886" s="33">
        <f>IFERROR(__xludf.DUMMYFUNCTION("""COMPUTED_VALUE"""),1.0)</f>
        <v>1</v>
      </c>
      <c r="Q8886" s="4" t="str">
        <f>IFERROR(__xludf.DUMMYFUNCTION("""COMPUTED_VALUE"""),"Anota Ai Solucoes Digitais S/a")</f>
        <v>Anota Ai Solucoes Digitais S/a</v>
      </c>
      <c r="R8886" s="33">
        <f>IFERROR(__xludf.DUMMYFUNCTION("""COMPUTED_VALUE"""),1.0)</f>
        <v>1</v>
      </c>
      <c r="S8886" s="4" t="str">
        <f>IFERROR(__xludf.DUMMYFUNCTION("""COMPUTED_VALUE"""),"Anota Ai Solucoes Digitais S/a")</f>
        <v>Anota Ai Solucoes Digitais S/a</v>
      </c>
      <c r="T8886" s="33">
        <f>IFERROR(__xludf.DUMMYFUNCTION("""COMPUTED_VALUE"""),1.0)</f>
        <v>1</v>
      </c>
      <c r="U8886" s="4" t="str">
        <f>IFERROR(__xludf.DUMMYFUNCTION("""COMPUTED_VALUE"""),"Anota Ai Solucoes Digitais S/a")</f>
        <v>Anota Ai Solucoes Digitais S/a</v>
      </c>
      <c r="V8886" s="33">
        <f>IFERROR(__xludf.DUMMYFUNCTION("""COMPUTED_VALUE"""),1.0)</f>
        <v>1</v>
      </c>
      <c r="W8886" s="4" t="str">
        <f>IFERROR(__xludf.DUMMYFUNCTION("""COMPUTED_VALUE"""),"null")</f>
        <v>null</v>
      </c>
      <c r="X8886" s="33">
        <f>IFERROR(__xludf.DUMMYFUNCTION("""COMPUTED_VALUE"""),1.0)</f>
        <v>1</v>
      </c>
    </row>
    <row r="8887">
      <c r="K8887" s="4" t="str">
        <f>IFERROR(__xludf.DUMMYFUNCTION("""COMPUTED_VALUE"""),"BETTO SUSHI DELIVERY")</f>
        <v>BETTO SUSHI DELIVERY</v>
      </c>
      <c r="L8887" s="32">
        <f>IFERROR(__xludf.DUMMYFUNCTION("""COMPUTED_VALUE"""),1.0)</f>
        <v>1</v>
      </c>
      <c r="M8887" s="4" t="str">
        <f>IFERROR(__xludf.DUMMYFUNCTION("""COMPUTED_VALUE"""),"Saipos Serviços De Software")</f>
        <v>Saipos Serviços De Software</v>
      </c>
      <c r="N8887" s="33">
        <f>IFERROR(__xludf.DUMMYFUNCTION("""COMPUTED_VALUE"""),1.0)</f>
        <v>1</v>
      </c>
      <c r="O8887" s="4" t="str">
        <f>IFERROR(__xludf.DUMMYFUNCTION("""COMPUTED_VALUE"""),"Saipos Serviços De Software")</f>
        <v>Saipos Serviços De Software</v>
      </c>
      <c r="P8887" s="33">
        <f>IFERROR(__xludf.DUMMYFUNCTION("""COMPUTED_VALUE"""),1.0)</f>
        <v>1</v>
      </c>
      <c r="Q8887" s="4" t="str">
        <f>IFERROR(__xludf.DUMMYFUNCTION("""COMPUTED_VALUE"""),"Saipos Serviços De Software")</f>
        <v>Saipos Serviços De Software</v>
      </c>
      <c r="R8887" s="33">
        <f>IFERROR(__xludf.DUMMYFUNCTION("""COMPUTED_VALUE"""),1.0)</f>
        <v>1</v>
      </c>
      <c r="S8887" s="4" t="str">
        <f>IFERROR(__xludf.DUMMYFUNCTION("""COMPUTED_VALUE"""),"Saipos Serviços De Software")</f>
        <v>Saipos Serviços De Software</v>
      </c>
      <c r="T8887" s="33">
        <f>IFERROR(__xludf.DUMMYFUNCTION("""COMPUTED_VALUE"""),1.0)</f>
        <v>1</v>
      </c>
      <c r="U8887" s="4" t="str">
        <f>IFERROR(__xludf.DUMMYFUNCTION("""COMPUTED_VALUE"""),"Saipos Serviços De Software")</f>
        <v>Saipos Serviços De Software</v>
      </c>
      <c r="V8887" s="33">
        <f>IFERROR(__xludf.DUMMYFUNCTION("""COMPUTED_VALUE"""),1.0)</f>
        <v>1</v>
      </c>
      <c r="W8887" s="4" t="str">
        <f>IFERROR(__xludf.DUMMYFUNCTION("""COMPUTED_VALUE"""),"Saipos Serviços De Software")</f>
        <v>Saipos Serviços De Software</v>
      </c>
      <c r="X8887" s="33">
        <f>IFERROR(__xludf.DUMMYFUNCTION("""COMPUTED_VALUE"""),1.0)</f>
        <v>1</v>
      </c>
    </row>
    <row r="8888">
      <c r="K8888" s="4" t="str">
        <f>IFERROR(__xludf.DUMMYFUNCTION("""COMPUTED_VALUE"""),"POPEYE PASTELARIA")</f>
        <v>POPEYE PASTELARIA</v>
      </c>
      <c r="L8888" s="32">
        <f>IFERROR(__xludf.DUMMYFUNCTION("""COMPUTED_VALUE"""),1.0)</f>
        <v>1</v>
      </c>
      <c r="M8888" s="4" t="str">
        <f>IFERROR(__xludf.DUMMYFUNCTION("""COMPUTED_VALUE"""),"Dev10 Soluções Em Sotfware Ltda")</f>
        <v>Dev10 Soluções Em Sotfware Ltda</v>
      </c>
      <c r="N8888" s="33">
        <f>IFERROR(__xludf.DUMMYFUNCTION("""COMPUTED_VALUE"""),1.0)</f>
        <v>1</v>
      </c>
      <c r="O8888" s="4" t="str">
        <f>IFERROR(__xludf.DUMMYFUNCTION("""COMPUTED_VALUE"""),"null")</f>
        <v>null</v>
      </c>
      <c r="P8888" s="33">
        <f>IFERROR(__xludf.DUMMYFUNCTION("""COMPUTED_VALUE"""),1.0)</f>
        <v>1</v>
      </c>
      <c r="Q8888" s="4" t="str">
        <f>IFERROR(__xludf.DUMMYFUNCTION("""COMPUTED_VALUE"""),"null")</f>
        <v>null</v>
      </c>
      <c r="R8888" s="33">
        <f>IFERROR(__xludf.DUMMYFUNCTION("""COMPUTED_VALUE"""),1.0)</f>
        <v>1</v>
      </c>
      <c r="S8888" s="4" t="str">
        <f>IFERROR(__xludf.DUMMYFUNCTION("""COMPUTED_VALUE"""),"null")</f>
        <v>null</v>
      </c>
      <c r="T8888" s="33">
        <f>IFERROR(__xludf.DUMMYFUNCTION("""COMPUTED_VALUE"""),1.0)</f>
        <v>1</v>
      </c>
      <c r="U8888" s="4" t="str">
        <f>IFERROR(__xludf.DUMMYFUNCTION("""COMPUTED_VALUE"""),"null")</f>
        <v>null</v>
      </c>
      <c r="V8888" s="33">
        <f>IFERROR(__xludf.DUMMYFUNCTION("""COMPUTED_VALUE"""),1.0)</f>
        <v>1</v>
      </c>
      <c r="W8888" s="4" t="str">
        <f>IFERROR(__xludf.DUMMYFUNCTION("""COMPUTED_VALUE"""),"null")</f>
        <v>null</v>
      </c>
      <c r="X8888" s="33">
        <f>IFERROR(__xludf.DUMMYFUNCTION("""COMPUTED_VALUE"""),1.0)</f>
        <v>1</v>
      </c>
    </row>
    <row r="8889">
      <c r="K8889" s="4" t="str">
        <f>IFERROR(__xludf.DUMMYFUNCTION("""COMPUTED_VALUE"""),"DOCERIA - DANDOCE")</f>
        <v>DOCERIA - DANDOCE</v>
      </c>
      <c r="L8889" s="32">
        <f>IFERROR(__xludf.DUMMYFUNCTION("""COMPUTED_VALUE"""),1.0)</f>
        <v>1</v>
      </c>
      <c r="M8889" s="4" t="str">
        <f>IFERROR(__xludf.DUMMYFUNCTION("""COMPUTED_VALUE"""),"Yooga")</f>
        <v>Yooga</v>
      </c>
      <c r="N8889" s="33">
        <f>IFERROR(__xludf.DUMMYFUNCTION("""COMPUTED_VALUE"""),1.0)</f>
        <v>1</v>
      </c>
      <c r="O8889" s="4" t="str">
        <f>IFERROR(__xludf.DUMMYFUNCTION("""COMPUTED_VALUE"""),"Yooga")</f>
        <v>Yooga</v>
      </c>
      <c r="P8889" s="33">
        <f>IFERROR(__xludf.DUMMYFUNCTION("""COMPUTED_VALUE"""),1.0)</f>
        <v>1</v>
      </c>
      <c r="Q8889" s="4" t="str">
        <f>IFERROR(__xludf.DUMMYFUNCTION("""COMPUTED_VALUE"""),"Yooga")</f>
        <v>Yooga</v>
      </c>
      <c r="R8889" s="33">
        <f>IFERROR(__xludf.DUMMYFUNCTION("""COMPUTED_VALUE"""),1.0)</f>
        <v>1</v>
      </c>
      <c r="S8889" s="4" t="str">
        <f>IFERROR(__xludf.DUMMYFUNCTION("""COMPUTED_VALUE"""),"Yooga")</f>
        <v>Yooga</v>
      </c>
      <c r="T8889" s="33">
        <f>IFERROR(__xludf.DUMMYFUNCTION("""COMPUTED_VALUE"""),1.0)</f>
        <v>1</v>
      </c>
      <c r="U8889" s="4" t="str">
        <f>IFERROR(__xludf.DUMMYFUNCTION("""COMPUTED_VALUE"""),"Yooga")</f>
        <v>Yooga</v>
      </c>
      <c r="V8889" s="33">
        <f>IFERROR(__xludf.DUMMYFUNCTION("""COMPUTED_VALUE"""),1.0)</f>
        <v>1</v>
      </c>
      <c r="W8889" s="4" t="str">
        <f>IFERROR(__xludf.DUMMYFUNCTION("""COMPUTED_VALUE"""),"Yooga")</f>
        <v>Yooga</v>
      </c>
      <c r="X8889" s="33">
        <f>IFERROR(__xludf.DUMMYFUNCTION("""COMPUTED_VALUE"""),1.0)</f>
        <v>1</v>
      </c>
    </row>
    <row r="8890">
      <c r="K8890" s="4" t="str">
        <f>IFERROR(__xludf.DUMMYFUNCTION("""COMPUTED_VALUE"""),"ZERO ONZE HAMBURGUERIA")</f>
        <v>ZERO ONZE HAMBURGUERIA</v>
      </c>
      <c r="L8890" s="32">
        <f>IFERROR(__xludf.DUMMYFUNCTION("""COMPUTED_VALUE"""),1.0)</f>
        <v>1</v>
      </c>
      <c r="M8890" s="4" t="str">
        <f>IFERROR(__xludf.DUMMYFUNCTION("""COMPUTED_VALUE"""),"Menu Integrado")</f>
        <v>Menu Integrado</v>
      </c>
      <c r="N8890" s="33">
        <f>IFERROR(__xludf.DUMMYFUNCTION("""COMPUTED_VALUE"""),1.0)</f>
        <v>1</v>
      </c>
      <c r="O8890" s="4" t="str">
        <f>IFERROR(__xludf.DUMMYFUNCTION("""COMPUTED_VALUE"""),"Menu Integrado")</f>
        <v>Menu Integrado</v>
      </c>
      <c r="P8890" s="33">
        <f>IFERROR(__xludf.DUMMYFUNCTION("""COMPUTED_VALUE"""),1.0)</f>
        <v>1</v>
      </c>
      <c r="Q8890" s="4" t="str">
        <f>IFERROR(__xludf.DUMMYFUNCTION("""COMPUTED_VALUE"""),"Menu Integrado")</f>
        <v>Menu Integrado</v>
      </c>
      <c r="R8890" s="33">
        <f>IFERROR(__xludf.DUMMYFUNCTION("""COMPUTED_VALUE"""),1.0)</f>
        <v>1</v>
      </c>
      <c r="S8890" s="4" t="str">
        <f>IFERROR(__xludf.DUMMYFUNCTION("""COMPUTED_VALUE"""),"Menu Integrado")</f>
        <v>Menu Integrado</v>
      </c>
      <c r="T8890" s="33">
        <f>IFERROR(__xludf.DUMMYFUNCTION("""COMPUTED_VALUE"""),1.0)</f>
        <v>1</v>
      </c>
      <c r="U8890" s="4" t="str">
        <f>IFERROR(__xludf.DUMMYFUNCTION("""COMPUTED_VALUE"""),"Menu Integrado")</f>
        <v>Menu Integrado</v>
      </c>
      <c r="V8890" s="33">
        <f>IFERROR(__xludf.DUMMYFUNCTION("""COMPUTED_VALUE"""),1.0)</f>
        <v>1</v>
      </c>
      <c r="W8890" s="4" t="str">
        <f>IFERROR(__xludf.DUMMYFUNCTION("""COMPUTED_VALUE"""),"Menu Integrado")</f>
        <v>Menu Integrado</v>
      </c>
      <c r="X8890" s="33">
        <f>IFERROR(__xludf.DUMMYFUNCTION("""COMPUTED_VALUE"""),1.0)</f>
        <v>1</v>
      </c>
    </row>
    <row r="8891">
      <c r="K8891" s="4" t="str">
        <f>IFERROR(__xludf.DUMMYFUNCTION("""COMPUTED_VALUE"""),"PEPS PIZZA")</f>
        <v>PEPS PIZZA</v>
      </c>
      <c r="L8891" s="32">
        <f>IFERROR(__xludf.DUMMYFUNCTION("""COMPUTED_VALUE"""),1.0)</f>
        <v>1</v>
      </c>
      <c r="M8891" s="4" t="str">
        <f>IFERROR(__xludf.DUMMYFUNCTION("""COMPUTED_VALUE"""),"Anota Ai Solucoes Digitais S/a")</f>
        <v>Anota Ai Solucoes Digitais S/a</v>
      </c>
      <c r="N8891" s="33">
        <f>IFERROR(__xludf.DUMMYFUNCTION("""COMPUTED_VALUE"""),1.0)</f>
        <v>1</v>
      </c>
      <c r="O8891" s="4" t="str">
        <f>IFERROR(__xludf.DUMMYFUNCTION("""COMPUTED_VALUE"""),"Anota Ai Solucoes Digitais S/a")</f>
        <v>Anota Ai Solucoes Digitais S/a</v>
      </c>
      <c r="P8891" s="33">
        <f>IFERROR(__xludf.DUMMYFUNCTION("""COMPUTED_VALUE"""),1.0)</f>
        <v>1</v>
      </c>
      <c r="Q8891" s="4" t="str">
        <f>IFERROR(__xludf.DUMMYFUNCTION("""COMPUTED_VALUE"""),"Anota Ai Solucoes Digitais S/a")</f>
        <v>Anota Ai Solucoes Digitais S/a</v>
      </c>
      <c r="R8891" s="33">
        <f>IFERROR(__xludf.DUMMYFUNCTION("""COMPUTED_VALUE"""),1.0)</f>
        <v>1</v>
      </c>
      <c r="S8891" s="4" t="str">
        <f>IFERROR(__xludf.DUMMYFUNCTION("""COMPUTED_VALUE"""),"Anota Ai Solucoes Digitais S/a")</f>
        <v>Anota Ai Solucoes Digitais S/a</v>
      </c>
      <c r="T8891" s="33">
        <f>IFERROR(__xludf.DUMMYFUNCTION("""COMPUTED_VALUE"""),1.0)</f>
        <v>1</v>
      </c>
      <c r="U8891" s="4" t="str">
        <f>IFERROR(__xludf.DUMMYFUNCTION("""COMPUTED_VALUE"""),"Anota Ai Solucoes Digitais S/a")</f>
        <v>Anota Ai Solucoes Digitais S/a</v>
      </c>
      <c r="V8891" s="33">
        <f>IFERROR(__xludf.DUMMYFUNCTION("""COMPUTED_VALUE"""),1.0)</f>
        <v>1</v>
      </c>
      <c r="W8891" s="4" t="str">
        <f>IFERROR(__xludf.DUMMYFUNCTION("""COMPUTED_VALUE"""),"Anota Ai Solucoes Digitais S/a")</f>
        <v>Anota Ai Solucoes Digitais S/a</v>
      </c>
      <c r="X8891" s="33">
        <f>IFERROR(__xludf.DUMMYFUNCTION("""COMPUTED_VALUE"""),1.0)</f>
        <v>1</v>
      </c>
    </row>
    <row r="8892">
      <c r="K8892" s="4" t="str">
        <f>IFERROR(__xludf.DUMMYFUNCTION("""COMPUTED_VALUE"""),"GUSTARE FORNERIA DELIVERY")</f>
        <v>GUSTARE FORNERIA DELIVERY</v>
      </c>
      <c r="L8892" s="32">
        <f>IFERROR(__xludf.DUMMYFUNCTION("""COMPUTED_VALUE"""),1.0)</f>
        <v>1</v>
      </c>
      <c r="M8892" s="4" t="str">
        <f>IFERROR(__xludf.DUMMYFUNCTION("""COMPUTED_VALUE"""),"null")</f>
        <v>null</v>
      </c>
      <c r="N8892" s="33">
        <f>IFERROR(__xludf.DUMMYFUNCTION("""COMPUTED_VALUE"""),1.0)</f>
        <v>1</v>
      </c>
      <c r="O8892" s="4" t="str">
        <f>IFERROR(__xludf.DUMMYFUNCTION("""COMPUTED_VALUE"""),"Jaxtech")</f>
        <v>Jaxtech</v>
      </c>
      <c r="P8892" s="33">
        <f>IFERROR(__xludf.DUMMYFUNCTION("""COMPUTED_VALUE"""),1.0)</f>
        <v>1</v>
      </c>
      <c r="Q8892" s="4" t="str">
        <f>IFERROR(__xludf.DUMMYFUNCTION("""COMPUTED_VALUE"""),"Jaxtech")</f>
        <v>Jaxtech</v>
      </c>
      <c r="R8892" s="33">
        <f>IFERROR(__xludf.DUMMYFUNCTION("""COMPUTED_VALUE"""),1.0)</f>
        <v>1</v>
      </c>
      <c r="S8892" s="4" t="str">
        <f>IFERROR(__xludf.DUMMYFUNCTION("""COMPUTED_VALUE"""),"null")</f>
        <v>null</v>
      </c>
      <c r="T8892" s="33">
        <f>IFERROR(__xludf.DUMMYFUNCTION("""COMPUTED_VALUE"""),1.0)</f>
        <v>1</v>
      </c>
      <c r="U8892" s="4" t="str">
        <f>IFERROR(__xludf.DUMMYFUNCTION("""COMPUTED_VALUE"""),"Saipos Serviços De Software")</f>
        <v>Saipos Serviços De Software</v>
      </c>
      <c r="V8892" s="33">
        <f>IFERROR(__xludf.DUMMYFUNCTION("""COMPUTED_VALUE"""),1.0)</f>
        <v>1</v>
      </c>
      <c r="W8892" s="4" t="str">
        <f>IFERROR(__xludf.DUMMYFUNCTION("""COMPUTED_VALUE"""),"Saipos Serviços De Software")</f>
        <v>Saipos Serviços De Software</v>
      </c>
      <c r="X8892" s="33">
        <f>IFERROR(__xludf.DUMMYFUNCTION("""COMPUTED_VALUE"""),1.0)</f>
        <v>1</v>
      </c>
    </row>
    <row r="8893">
      <c r="K8893" s="4" t="str">
        <f>IFERROR(__xludf.DUMMYFUNCTION("""COMPUTED_VALUE"""),"RESTAURANTE TUPYARA")</f>
        <v>RESTAURANTE TUPYARA</v>
      </c>
      <c r="L8893" s="32">
        <f>IFERROR(__xludf.DUMMYFUNCTION("""COMPUTED_VALUE"""),1.0)</f>
        <v>1</v>
      </c>
      <c r="M8893" s="4" t="str">
        <f>IFERROR(__xludf.DUMMYFUNCTION("""COMPUTED_VALUE"""),"null")</f>
        <v>null</v>
      </c>
      <c r="N8893" s="33">
        <f>IFERROR(__xludf.DUMMYFUNCTION("""COMPUTED_VALUE"""),1.0)</f>
        <v>1</v>
      </c>
      <c r="O8893" s="4" t="str">
        <f>IFERROR(__xludf.DUMMYFUNCTION("""COMPUTED_VALUE"""),"Saipos Serviços De Software")</f>
        <v>Saipos Serviços De Software</v>
      </c>
      <c r="P8893" s="33">
        <f>IFERROR(__xludf.DUMMYFUNCTION("""COMPUTED_VALUE"""),1.0)</f>
        <v>1</v>
      </c>
      <c r="Q8893" s="4" t="str">
        <f>IFERROR(__xludf.DUMMYFUNCTION("""COMPUTED_VALUE"""),"Saipos Serviços De Software")</f>
        <v>Saipos Serviços De Software</v>
      </c>
      <c r="R8893" s="33">
        <f>IFERROR(__xludf.DUMMYFUNCTION("""COMPUTED_VALUE"""),1.0)</f>
        <v>1</v>
      </c>
      <c r="S8893" s="4" t="str">
        <f>IFERROR(__xludf.DUMMYFUNCTION("""COMPUTED_VALUE"""),"Saipos Serviços De Software")</f>
        <v>Saipos Serviços De Software</v>
      </c>
      <c r="T8893" s="33">
        <f>IFERROR(__xludf.DUMMYFUNCTION("""COMPUTED_VALUE"""),1.0)</f>
        <v>1</v>
      </c>
      <c r="U8893" s="4" t="str">
        <f>IFERROR(__xludf.DUMMYFUNCTION("""COMPUTED_VALUE"""),"Saipos Serviços De Software")</f>
        <v>Saipos Serviços De Software</v>
      </c>
      <c r="V8893" s="33">
        <f>IFERROR(__xludf.DUMMYFUNCTION("""COMPUTED_VALUE"""),1.0)</f>
        <v>1</v>
      </c>
      <c r="W8893" s="4" t="str">
        <f>IFERROR(__xludf.DUMMYFUNCTION("""COMPUTED_VALUE"""),"Saipos Serviços De Software")</f>
        <v>Saipos Serviços De Software</v>
      </c>
      <c r="X8893" s="33">
        <f>IFERROR(__xludf.DUMMYFUNCTION("""COMPUTED_VALUE"""),1.0)</f>
        <v>1</v>
      </c>
    </row>
    <row r="8894">
      <c r="K8894" s="4" t="str">
        <f>IFERROR(__xludf.DUMMYFUNCTION("""COMPUTED_VALUE"""),"ROCCA BURGER")</f>
        <v>ROCCA BURGER</v>
      </c>
      <c r="L8894" s="32">
        <f>IFERROR(__xludf.DUMMYFUNCTION("""COMPUTED_VALUE"""),1.0)</f>
        <v>1</v>
      </c>
      <c r="M8894" s="4" t="str">
        <f>IFERROR(__xludf.DUMMYFUNCTION("""COMPUTED_VALUE"""),"Alloy Tecnologia")</f>
        <v>Alloy Tecnologia</v>
      </c>
      <c r="N8894" s="33">
        <f>IFERROR(__xludf.DUMMYFUNCTION("""COMPUTED_VALUE"""),1.0)</f>
        <v>1</v>
      </c>
      <c r="O8894" s="4" t="str">
        <f>IFERROR(__xludf.DUMMYFUNCTION("""COMPUTED_VALUE"""),"Alloy Tecnologia")</f>
        <v>Alloy Tecnologia</v>
      </c>
      <c r="P8894" s="33">
        <f>IFERROR(__xludf.DUMMYFUNCTION("""COMPUTED_VALUE"""),1.0)</f>
        <v>1</v>
      </c>
      <c r="Q8894" s="4" t="str">
        <f>IFERROR(__xludf.DUMMYFUNCTION("""COMPUTED_VALUE"""),"Alloy Tecnologia")</f>
        <v>Alloy Tecnologia</v>
      </c>
      <c r="R8894" s="33">
        <f>IFERROR(__xludf.DUMMYFUNCTION("""COMPUTED_VALUE"""),1.0)</f>
        <v>1</v>
      </c>
      <c r="S8894" s="4" t="str">
        <f>IFERROR(__xludf.DUMMYFUNCTION("""COMPUTED_VALUE"""),"Alloy Tecnologia")</f>
        <v>Alloy Tecnologia</v>
      </c>
      <c r="T8894" s="33">
        <f>IFERROR(__xludf.DUMMYFUNCTION("""COMPUTED_VALUE"""),1.0)</f>
        <v>1</v>
      </c>
      <c r="U8894" s="4" t="str">
        <f>IFERROR(__xludf.DUMMYFUNCTION("""COMPUTED_VALUE"""),"null")</f>
        <v>null</v>
      </c>
      <c r="V8894" s="33">
        <f>IFERROR(__xludf.DUMMYFUNCTION("""COMPUTED_VALUE"""),1.0)</f>
        <v>1</v>
      </c>
      <c r="W8894" s="4" t="str">
        <f>IFERROR(__xludf.DUMMYFUNCTION("""COMPUTED_VALUE"""),"Alloy Tecnologia")</f>
        <v>Alloy Tecnologia</v>
      </c>
      <c r="X8894" s="33">
        <f>IFERROR(__xludf.DUMMYFUNCTION("""COMPUTED_VALUE"""),1.0)</f>
        <v>1</v>
      </c>
    </row>
    <row r="8895">
      <c r="K8895" s="4" t="str">
        <f>IFERROR(__xludf.DUMMYFUNCTION("""COMPUTED_VALUE"""),"THE MARQUES ESFIHARIA E ACAITERIA")</f>
        <v>THE MARQUES ESFIHARIA E ACAITERIA</v>
      </c>
      <c r="L8895" s="32">
        <f>IFERROR(__xludf.DUMMYFUNCTION("""COMPUTED_VALUE"""),1.0)</f>
        <v>1</v>
      </c>
      <c r="M8895" s="4" t="str">
        <f>IFERROR(__xludf.DUMMYFUNCTION("""COMPUTED_VALUE"""),"Consumer Soluções Em Tecnologia Ltda")</f>
        <v>Consumer Soluções Em Tecnologia Ltda</v>
      </c>
      <c r="N8895" s="33">
        <f>IFERROR(__xludf.DUMMYFUNCTION("""COMPUTED_VALUE"""),1.0)</f>
        <v>1</v>
      </c>
      <c r="O8895" s="4" t="str">
        <f>IFERROR(__xludf.DUMMYFUNCTION("""COMPUTED_VALUE"""),"Consumer Soluções Em Tecnologia Ltda")</f>
        <v>Consumer Soluções Em Tecnologia Ltda</v>
      </c>
      <c r="P8895" s="33">
        <f>IFERROR(__xludf.DUMMYFUNCTION("""COMPUTED_VALUE"""),1.0)</f>
        <v>1</v>
      </c>
      <c r="Q8895" s="4" t="str">
        <f>IFERROR(__xludf.DUMMYFUNCTION("""COMPUTED_VALUE"""),"Consumer Soluções Em Tecnologia Ltda")</f>
        <v>Consumer Soluções Em Tecnologia Ltda</v>
      </c>
      <c r="R8895" s="33">
        <f>IFERROR(__xludf.DUMMYFUNCTION("""COMPUTED_VALUE"""),1.0)</f>
        <v>1</v>
      </c>
      <c r="S8895" s="4" t="str">
        <f>IFERROR(__xludf.DUMMYFUNCTION("""COMPUTED_VALUE"""),"Consumer Soluções Em Tecnologia Ltda")</f>
        <v>Consumer Soluções Em Tecnologia Ltda</v>
      </c>
      <c r="T8895" s="33">
        <f>IFERROR(__xludf.DUMMYFUNCTION("""COMPUTED_VALUE"""),1.0)</f>
        <v>1</v>
      </c>
      <c r="U8895" s="4" t="str">
        <f>IFERROR(__xludf.DUMMYFUNCTION("""COMPUTED_VALUE"""),"Consumer Soluções Em Tecnologia Ltda")</f>
        <v>Consumer Soluções Em Tecnologia Ltda</v>
      </c>
      <c r="V8895" s="33">
        <f>IFERROR(__xludf.DUMMYFUNCTION("""COMPUTED_VALUE"""),1.0)</f>
        <v>1</v>
      </c>
      <c r="W8895" s="4" t="str">
        <f>IFERROR(__xludf.DUMMYFUNCTION("""COMPUTED_VALUE"""),"Consumer Soluções Em Tecnologia Ltda")</f>
        <v>Consumer Soluções Em Tecnologia Ltda</v>
      </c>
      <c r="X8895" s="33">
        <f>IFERROR(__xludf.DUMMYFUNCTION("""COMPUTED_VALUE"""),1.0)</f>
        <v>1</v>
      </c>
    </row>
    <row r="8896">
      <c r="K8896" s="4" t="str">
        <f>IFERROR(__xludf.DUMMYFUNCTION("""COMPUTED_VALUE"""),"AMANDA FELIPE DOCERIA")</f>
        <v>AMANDA FELIPE DOCERIA</v>
      </c>
      <c r="L8896" s="32">
        <f>IFERROR(__xludf.DUMMYFUNCTION("""COMPUTED_VALUE"""),1.0)</f>
        <v>1</v>
      </c>
      <c r="M8896" s="4" t="str">
        <f>IFERROR(__xludf.DUMMYFUNCTION("""COMPUTED_VALUE"""),"Consumer Soluções Em Tecnologia Ltda")</f>
        <v>Consumer Soluções Em Tecnologia Ltda</v>
      </c>
      <c r="N8896" s="33">
        <f>IFERROR(__xludf.DUMMYFUNCTION("""COMPUTED_VALUE"""),1.0)</f>
        <v>1</v>
      </c>
      <c r="O8896" s="4" t="str">
        <f>IFERROR(__xludf.DUMMYFUNCTION("""COMPUTED_VALUE"""),"Consumer Soluções Em Tecnologia Ltda")</f>
        <v>Consumer Soluções Em Tecnologia Ltda</v>
      </c>
      <c r="P8896" s="33">
        <f>IFERROR(__xludf.DUMMYFUNCTION("""COMPUTED_VALUE"""),1.0)</f>
        <v>1</v>
      </c>
      <c r="Q8896" s="4" t="str">
        <f>IFERROR(__xludf.DUMMYFUNCTION("""COMPUTED_VALUE"""),"Consumer Soluções Em Tecnologia Ltda")</f>
        <v>Consumer Soluções Em Tecnologia Ltda</v>
      </c>
      <c r="R8896" s="33">
        <f>IFERROR(__xludf.DUMMYFUNCTION("""COMPUTED_VALUE"""),1.0)</f>
        <v>1</v>
      </c>
      <c r="S8896" s="4" t="str">
        <f>IFERROR(__xludf.DUMMYFUNCTION("""COMPUTED_VALUE"""),"Consumer Soluções Em Tecnologia Ltda")</f>
        <v>Consumer Soluções Em Tecnologia Ltda</v>
      </c>
      <c r="T8896" s="33">
        <f>IFERROR(__xludf.DUMMYFUNCTION("""COMPUTED_VALUE"""),1.0)</f>
        <v>1</v>
      </c>
      <c r="U8896" s="4" t="str">
        <f>IFERROR(__xludf.DUMMYFUNCTION("""COMPUTED_VALUE"""),"null")</f>
        <v>null</v>
      </c>
      <c r="V8896" s="33">
        <f>IFERROR(__xludf.DUMMYFUNCTION("""COMPUTED_VALUE"""),1.0)</f>
        <v>1</v>
      </c>
      <c r="W8896" s="4" t="str">
        <f>IFERROR(__xludf.DUMMYFUNCTION("""COMPUTED_VALUE"""),"Consumer Soluções Em Tecnologia Ltda")</f>
        <v>Consumer Soluções Em Tecnologia Ltda</v>
      </c>
      <c r="X8896" s="33">
        <f>IFERROR(__xludf.DUMMYFUNCTION("""COMPUTED_VALUE"""),1.0)</f>
        <v>1</v>
      </c>
    </row>
    <row r="8897">
      <c r="K8897" s="4" t="str">
        <f>IFERROR(__xludf.DUMMYFUNCTION("""COMPUTED_VALUE"""),"PICERNO DOGUERIA HOT DOG GRATINADO")</f>
        <v>PICERNO DOGUERIA HOT DOG GRATINADO</v>
      </c>
      <c r="L8897" s="32">
        <f>IFERROR(__xludf.DUMMYFUNCTION("""COMPUTED_VALUE"""),1.0)</f>
        <v>1</v>
      </c>
      <c r="M8897" s="4" t="str">
        <f>IFERROR(__xludf.DUMMYFUNCTION("""COMPUTED_VALUE"""),"Stone Co.")</f>
        <v>Stone Co.</v>
      </c>
      <c r="N8897" s="33">
        <f>IFERROR(__xludf.DUMMYFUNCTION("""COMPUTED_VALUE"""),1.0)</f>
        <v>1</v>
      </c>
      <c r="O8897" s="4" t="str">
        <f>IFERROR(__xludf.DUMMYFUNCTION("""COMPUTED_VALUE"""),"Stone Co.")</f>
        <v>Stone Co.</v>
      </c>
      <c r="P8897" s="33">
        <f>IFERROR(__xludf.DUMMYFUNCTION("""COMPUTED_VALUE"""),1.0)</f>
        <v>1</v>
      </c>
      <c r="Q8897" s="4" t="str">
        <f>IFERROR(__xludf.DUMMYFUNCTION("""COMPUTED_VALUE"""),"Stone Co.")</f>
        <v>Stone Co.</v>
      </c>
      <c r="R8897" s="33">
        <f>IFERROR(__xludf.DUMMYFUNCTION("""COMPUTED_VALUE"""),1.0)</f>
        <v>1</v>
      </c>
      <c r="S8897" s="4" t="str">
        <f>IFERROR(__xludf.DUMMYFUNCTION("""COMPUTED_VALUE"""),"Stone Co.")</f>
        <v>Stone Co.</v>
      </c>
      <c r="T8897" s="33">
        <f>IFERROR(__xludf.DUMMYFUNCTION("""COMPUTED_VALUE"""),1.0)</f>
        <v>1</v>
      </c>
      <c r="U8897" s="4" t="str">
        <f>IFERROR(__xludf.DUMMYFUNCTION("""COMPUTED_VALUE"""),"Stone Co.")</f>
        <v>Stone Co.</v>
      </c>
      <c r="V8897" s="33">
        <f>IFERROR(__xludf.DUMMYFUNCTION("""COMPUTED_VALUE"""),1.0)</f>
        <v>1</v>
      </c>
      <c r="W8897" s="4" t="str">
        <f>IFERROR(__xludf.DUMMYFUNCTION("""COMPUTED_VALUE"""),"Stone Co.")</f>
        <v>Stone Co.</v>
      </c>
      <c r="X8897" s="33">
        <f>IFERROR(__xludf.DUMMYFUNCTION("""COMPUTED_VALUE"""),1.0)</f>
        <v>1</v>
      </c>
    </row>
    <row r="8898">
      <c r="K8898" s="4" t="str">
        <f>IFERROR(__xludf.DUMMYFUNCTION("""COMPUTED_VALUE"""),"ACAI DO MARCELINHO O MELHOR")</f>
        <v>ACAI DO MARCELINHO O MELHOR</v>
      </c>
      <c r="L8898" s="32">
        <f>IFERROR(__xludf.DUMMYFUNCTION("""COMPUTED_VALUE"""),1.0)</f>
        <v>1</v>
      </c>
      <c r="M8898" s="4" t="str">
        <f>IFERROR(__xludf.DUMMYFUNCTION("""COMPUTED_VALUE"""),"null")</f>
        <v>null</v>
      </c>
      <c r="N8898" s="33">
        <f>IFERROR(__xludf.DUMMYFUNCTION("""COMPUTED_VALUE"""),1.0)</f>
        <v>1</v>
      </c>
      <c r="O8898" s="4" t="str">
        <f>IFERROR(__xludf.DUMMYFUNCTION("""COMPUTED_VALUE"""),"null")</f>
        <v>null</v>
      </c>
      <c r="P8898" s="33">
        <f>IFERROR(__xludf.DUMMYFUNCTION("""COMPUTED_VALUE"""),1.0)</f>
        <v>1</v>
      </c>
      <c r="Q8898" s="4" t="str">
        <f>IFERROR(__xludf.DUMMYFUNCTION("""COMPUTED_VALUE"""),"null")</f>
        <v>null</v>
      </c>
      <c r="R8898" s="33">
        <f>IFERROR(__xludf.DUMMYFUNCTION("""COMPUTED_VALUE"""),1.0)</f>
        <v>1</v>
      </c>
      <c r="S8898" s="4" t="str">
        <f>IFERROR(__xludf.DUMMYFUNCTION("""COMPUTED_VALUE"""),"null")</f>
        <v>null</v>
      </c>
      <c r="T8898" s="33">
        <f>IFERROR(__xludf.DUMMYFUNCTION("""COMPUTED_VALUE"""),1.0)</f>
        <v>1</v>
      </c>
      <c r="U8898" s="4" t="str">
        <f>IFERROR(__xludf.DUMMYFUNCTION("""COMPUTED_VALUE"""),"Brendi")</f>
        <v>Brendi</v>
      </c>
      <c r="V8898" s="33">
        <f>IFERROR(__xludf.DUMMYFUNCTION("""COMPUTED_VALUE"""),1.0)</f>
        <v>1</v>
      </c>
      <c r="W8898" s="4" t="str">
        <f>IFERROR(__xludf.DUMMYFUNCTION("""COMPUTED_VALUE"""),"null")</f>
        <v>null</v>
      </c>
      <c r="X8898" s="33">
        <f>IFERROR(__xludf.DUMMYFUNCTION("""COMPUTED_VALUE"""),1.0)</f>
        <v>1</v>
      </c>
    </row>
    <row r="8899">
      <c r="K8899" s="4" t="str">
        <f>IFERROR(__xludf.DUMMYFUNCTION("""COMPUTED_VALUE"""),"PIZZA PEZZO")</f>
        <v>PIZZA PEZZO</v>
      </c>
      <c r="L8899" s="32">
        <f>IFERROR(__xludf.DUMMYFUNCTION("""COMPUTED_VALUE"""),1.0)</f>
        <v>1</v>
      </c>
      <c r="M8899" s="4" t="str">
        <f>IFERROR(__xludf.DUMMYFUNCTION("""COMPUTED_VALUE"""),"Nimbus Erp")</f>
        <v>Nimbus Erp</v>
      </c>
      <c r="N8899" s="33">
        <f>IFERROR(__xludf.DUMMYFUNCTION("""COMPUTED_VALUE"""),1.0)</f>
        <v>1</v>
      </c>
      <c r="O8899" s="4" t="str">
        <f>IFERROR(__xludf.DUMMYFUNCTION("""COMPUTED_VALUE"""),"Nimbus Erp")</f>
        <v>Nimbus Erp</v>
      </c>
      <c r="P8899" s="33">
        <f>IFERROR(__xludf.DUMMYFUNCTION("""COMPUTED_VALUE"""),1.0)</f>
        <v>1</v>
      </c>
      <c r="Q8899" s="4" t="str">
        <f>IFERROR(__xludf.DUMMYFUNCTION("""COMPUTED_VALUE"""),"Nimbus Erp")</f>
        <v>Nimbus Erp</v>
      </c>
      <c r="R8899" s="33">
        <f>IFERROR(__xludf.DUMMYFUNCTION("""COMPUTED_VALUE"""),1.0)</f>
        <v>1</v>
      </c>
      <c r="S8899" s="4" t="str">
        <f>IFERROR(__xludf.DUMMYFUNCTION("""COMPUTED_VALUE"""),"Nimbus Erp")</f>
        <v>Nimbus Erp</v>
      </c>
      <c r="T8899" s="33">
        <f>IFERROR(__xludf.DUMMYFUNCTION("""COMPUTED_VALUE"""),1.0)</f>
        <v>1</v>
      </c>
      <c r="U8899" s="4" t="str">
        <f>IFERROR(__xludf.DUMMYFUNCTION("""COMPUTED_VALUE"""),"Nimbus Erp")</f>
        <v>Nimbus Erp</v>
      </c>
      <c r="V8899" s="33">
        <f>IFERROR(__xludf.DUMMYFUNCTION("""COMPUTED_VALUE"""),1.0)</f>
        <v>1</v>
      </c>
      <c r="W8899" s="4" t="str">
        <f>IFERROR(__xludf.DUMMYFUNCTION("""COMPUTED_VALUE"""),"Nimbus Erp")</f>
        <v>Nimbus Erp</v>
      </c>
      <c r="X8899" s="33">
        <f>IFERROR(__xludf.DUMMYFUNCTION("""COMPUTED_VALUE"""),1.0)</f>
        <v>1</v>
      </c>
    </row>
    <row r="8900">
      <c r="K8900" s="4" t="str">
        <f>IFERROR(__xludf.DUMMYFUNCTION("""COMPUTED_VALUE"""),"FRANGO DA FLORESTA NA BRASA")</f>
        <v>FRANGO DA FLORESTA NA BRASA</v>
      </c>
      <c r="L8900" s="32">
        <f>IFERROR(__xludf.DUMMYFUNCTION("""COMPUTED_VALUE"""),1.0)</f>
        <v>1</v>
      </c>
      <c r="M8900" s="4" t="str">
        <f>IFERROR(__xludf.DUMMYFUNCTION("""COMPUTED_VALUE"""),"Anota Ai Solucoes Digitais S/a")</f>
        <v>Anota Ai Solucoes Digitais S/a</v>
      </c>
      <c r="N8900" s="33">
        <f>IFERROR(__xludf.DUMMYFUNCTION("""COMPUTED_VALUE"""),1.0)</f>
        <v>1</v>
      </c>
      <c r="O8900" s="4" t="str">
        <f>IFERROR(__xludf.DUMMYFUNCTION("""COMPUTED_VALUE"""),"Anota Ai Solucoes Digitais S/a")</f>
        <v>Anota Ai Solucoes Digitais S/a</v>
      </c>
      <c r="P8900" s="33">
        <f>IFERROR(__xludf.DUMMYFUNCTION("""COMPUTED_VALUE"""),1.0)</f>
        <v>1</v>
      </c>
      <c r="Q8900" s="4" t="str">
        <f>IFERROR(__xludf.DUMMYFUNCTION("""COMPUTED_VALUE"""),"Anota Ai Solucoes Digitais S/a")</f>
        <v>Anota Ai Solucoes Digitais S/a</v>
      </c>
      <c r="R8900" s="33">
        <f>IFERROR(__xludf.DUMMYFUNCTION("""COMPUTED_VALUE"""),1.0)</f>
        <v>1</v>
      </c>
      <c r="S8900" s="4" t="str">
        <f>IFERROR(__xludf.DUMMYFUNCTION("""COMPUTED_VALUE"""),"Anota Ai Solucoes Digitais S/a")</f>
        <v>Anota Ai Solucoes Digitais S/a</v>
      </c>
      <c r="T8900" s="33">
        <f>IFERROR(__xludf.DUMMYFUNCTION("""COMPUTED_VALUE"""),1.0)</f>
        <v>1</v>
      </c>
      <c r="U8900" s="4" t="str">
        <f>IFERROR(__xludf.DUMMYFUNCTION("""COMPUTED_VALUE"""),"Anota Ai Solucoes Digitais S/a")</f>
        <v>Anota Ai Solucoes Digitais S/a</v>
      </c>
      <c r="V8900" s="33">
        <f>IFERROR(__xludf.DUMMYFUNCTION("""COMPUTED_VALUE"""),1.0)</f>
        <v>1</v>
      </c>
      <c r="W8900" s="4" t="str">
        <f>IFERROR(__xludf.DUMMYFUNCTION("""COMPUTED_VALUE"""),"Anota Ai Solucoes Digitais S/a")</f>
        <v>Anota Ai Solucoes Digitais S/a</v>
      </c>
      <c r="X8900" s="33">
        <f>IFERROR(__xludf.DUMMYFUNCTION("""COMPUTED_VALUE"""),1.0)</f>
        <v>1</v>
      </c>
    </row>
    <row r="8901">
      <c r="K8901" s="4" t="str">
        <f>IFERROR(__xludf.DUMMYFUNCTION("""COMPUTED_VALUE"""),"ROBSON BURGUER")</f>
        <v>ROBSON BURGUER</v>
      </c>
      <c r="L8901" s="32">
        <f>IFERROR(__xludf.DUMMYFUNCTION("""COMPUTED_VALUE"""),1.0)</f>
        <v>1</v>
      </c>
      <c r="M8901" s="4" t="str">
        <f>IFERROR(__xludf.DUMMYFUNCTION("""COMPUTED_VALUE"""),"null")</f>
        <v>null</v>
      </c>
      <c r="N8901" s="33">
        <f>IFERROR(__xludf.DUMMYFUNCTION("""COMPUTED_VALUE"""),1.0)</f>
        <v>1</v>
      </c>
      <c r="O8901" s="4" t="str">
        <f>IFERROR(__xludf.DUMMYFUNCTION("""COMPUTED_VALUE"""),"null")</f>
        <v>null</v>
      </c>
      <c r="P8901" s="33">
        <f>IFERROR(__xludf.DUMMYFUNCTION("""COMPUTED_VALUE"""),1.0)</f>
        <v>1</v>
      </c>
      <c r="Q8901" s="4" t="str">
        <f>IFERROR(__xludf.DUMMYFUNCTION("""COMPUTED_VALUE"""),"null")</f>
        <v>null</v>
      </c>
      <c r="R8901" s="33">
        <f>IFERROR(__xludf.DUMMYFUNCTION("""COMPUTED_VALUE"""),1.0)</f>
        <v>1</v>
      </c>
      <c r="S8901" s="4" t="str">
        <f>IFERROR(__xludf.DUMMYFUNCTION("""COMPUTED_VALUE"""),"Anota Ai Solucoes Digitais S/a")</f>
        <v>Anota Ai Solucoes Digitais S/a</v>
      </c>
      <c r="T8901" s="33">
        <f>IFERROR(__xludf.DUMMYFUNCTION("""COMPUTED_VALUE"""),1.0)</f>
        <v>1</v>
      </c>
      <c r="U8901" s="4" t="str">
        <f>IFERROR(__xludf.DUMMYFUNCTION("""COMPUTED_VALUE"""),"Anota Ai Solucoes Digitais S/a")</f>
        <v>Anota Ai Solucoes Digitais S/a</v>
      </c>
      <c r="V8901" s="33">
        <f>IFERROR(__xludf.DUMMYFUNCTION("""COMPUTED_VALUE"""),1.0)</f>
        <v>1</v>
      </c>
      <c r="W8901" s="4" t="str">
        <f>IFERROR(__xludf.DUMMYFUNCTION("""COMPUTED_VALUE"""),"Anota Ai Solucoes Digitais S/a")</f>
        <v>Anota Ai Solucoes Digitais S/a</v>
      </c>
      <c r="X8901" s="33">
        <f>IFERROR(__xludf.DUMMYFUNCTION("""COMPUTED_VALUE"""),1.0)</f>
        <v>1</v>
      </c>
    </row>
    <row r="8902">
      <c r="K8902" s="4" t="str">
        <f>IFERROR(__xludf.DUMMYFUNCTION("""COMPUTED_VALUE"""),"PONTO COM")</f>
        <v>PONTO COM</v>
      </c>
      <c r="L8902" s="32">
        <f>IFERROR(__xludf.DUMMYFUNCTION("""COMPUTED_VALUE"""),1.0)</f>
        <v>1</v>
      </c>
      <c r="M8902" s="4" t="str">
        <f>IFERROR(__xludf.DUMMYFUNCTION("""COMPUTED_VALUE"""),"Consumer Soluções Em Tecnologia Ltda")</f>
        <v>Consumer Soluções Em Tecnologia Ltda</v>
      </c>
      <c r="N8902" s="33">
        <f>IFERROR(__xludf.DUMMYFUNCTION("""COMPUTED_VALUE"""),1.0)</f>
        <v>1</v>
      </c>
      <c r="O8902" s="4" t="str">
        <f>IFERROR(__xludf.DUMMYFUNCTION("""COMPUTED_VALUE"""),"Consumer Soluções Em Tecnologia Ltda")</f>
        <v>Consumer Soluções Em Tecnologia Ltda</v>
      </c>
      <c r="P8902" s="33">
        <f>IFERROR(__xludf.DUMMYFUNCTION("""COMPUTED_VALUE"""),1.0)</f>
        <v>1</v>
      </c>
      <c r="Q8902" s="4" t="str">
        <f>IFERROR(__xludf.DUMMYFUNCTION("""COMPUTED_VALUE"""),"Consumer Soluções Em Tecnologia Ltda")</f>
        <v>Consumer Soluções Em Tecnologia Ltda</v>
      </c>
      <c r="R8902" s="33">
        <f>IFERROR(__xludf.DUMMYFUNCTION("""COMPUTED_VALUE"""),1.0)</f>
        <v>1</v>
      </c>
      <c r="S8902" s="4" t="str">
        <f>IFERROR(__xludf.DUMMYFUNCTION("""COMPUTED_VALUE"""),"Consumer Soluções Em Tecnologia Ltda")</f>
        <v>Consumer Soluções Em Tecnologia Ltda</v>
      </c>
      <c r="T8902" s="33">
        <f>IFERROR(__xludf.DUMMYFUNCTION("""COMPUTED_VALUE"""),1.0)</f>
        <v>1</v>
      </c>
      <c r="U8902" s="4" t="str">
        <f>IFERROR(__xludf.DUMMYFUNCTION("""COMPUTED_VALUE"""),"Consumer Soluções Em Tecnologia Ltda")</f>
        <v>Consumer Soluções Em Tecnologia Ltda</v>
      </c>
      <c r="V8902" s="33">
        <f>IFERROR(__xludf.DUMMYFUNCTION("""COMPUTED_VALUE"""),1.0)</f>
        <v>1</v>
      </c>
      <c r="W8902" s="4" t="str">
        <f>IFERROR(__xludf.DUMMYFUNCTION("""COMPUTED_VALUE"""),"Consumer Soluções Em Tecnologia Ltda")</f>
        <v>Consumer Soluções Em Tecnologia Ltda</v>
      </c>
      <c r="X8902" s="33">
        <f>IFERROR(__xludf.DUMMYFUNCTION("""COMPUTED_VALUE"""),1.0)</f>
        <v>1</v>
      </c>
    </row>
    <row r="8903">
      <c r="K8903" s="4" t="str">
        <f>IFERROR(__xludf.DUMMYFUNCTION("""COMPUTED_VALUE"""),"VITORIA MIX PIZZABURGUER")</f>
        <v>VITORIA MIX PIZZABURGUER</v>
      </c>
      <c r="L8903" s="32">
        <f>IFERROR(__xludf.DUMMYFUNCTION("""COMPUTED_VALUE"""),1.0)</f>
        <v>1</v>
      </c>
      <c r="M8903" s="4" t="str">
        <f>IFERROR(__xludf.DUMMYFUNCTION("""COMPUTED_VALUE"""),"Instadelivery")</f>
        <v>Instadelivery</v>
      </c>
      <c r="N8903" s="33">
        <f>IFERROR(__xludf.DUMMYFUNCTION("""COMPUTED_VALUE"""),1.0)</f>
        <v>1</v>
      </c>
      <c r="O8903" s="4" t="str">
        <f>IFERROR(__xludf.DUMMYFUNCTION("""COMPUTED_VALUE"""),"Instadelivery")</f>
        <v>Instadelivery</v>
      </c>
      <c r="P8903" s="33">
        <f>IFERROR(__xludf.DUMMYFUNCTION("""COMPUTED_VALUE"""),1.0)</f>
        <v>1</v>
      </c>
      <c r="Q8903" s="4" t="str">
        <f>IFERROR(__xludf.DUMMYFUNCTION("""COMPUTED_VALUE"""),"Instadelivery")</f>
        <v>Instadelivery</v>
      </c>
      <c r="R8903" s="33">
        <f>IFERROR(__xludf.DUMMYFUNCTION("""COMPUTED_VALUE"""),1.0)</f>
        <v>1</v>
      </c>
      <c r="S8903" s="4" t="str">
        <f>IFERROR(__xludf.DUMMYFUNCTION("""COMPUTED_VALUE"""),"Instadelivery")</f>
        <v>Instadelivery</v>
      </c>
      <c r="T8903" s="33">
        <f>IFERROR(__xludf.DUMMYFUNCTION("""COMPUTED_VALUE"""),1.0)</f>
        <v>1</v>
      </c>
      <c r="U8903" s="4" t="str">
        <f>IFERROR(__xludf.DUMMYFUNCTION("""COMPUTED_VALUE"""),"Instadelivery")</f>
        <v>Instadelivery</v>
      </c>
      <c r="V8903" s="33">
        <f>IFERROR(__xludf.DUMMYFUNCTION("""COMPUTED_VALUE"""),1.0)</f>
        <v>1</v>
      </c>
      <c r="W8903" s="4" t="str">
        <f>IFERROR(__xludf.DUMMYFUNCTION("""COMPUTED_VALUE"""),"Instadelivery")</f>
        <v>Instadelivery</v>
      </c>
      <c r="X8903" s="33">
        <f>IFERROR(__xludf.DUMMYFUNCTION("""COMPUTED_VALUE"""),1.0)</f>
        <v>1</v>
      </c>
    </row>
    <row r="8904">
      <c r="K8904" s="4" t="str">
        <f>IFERROR(__xludf.DUMMYFUNCTION("""COMPUTED_VALUE"""),"MAO NA RODA EXPRESS")</f>
        <v>MAO NA RODA EXPRESS</v>
      </c>
      <c r="L8904" s="32">
        <f>IFERROR(__xludf.DUMMYFUNCTION("""COMPUTED_VALUE"""),1.0)</f>
        <v>1</v>
      </c>
      <c r="M8904" s="4" t="str">
        <f>IFERROR(__xludf.DUMMYFUNCTION("""COMPUTED_VALUE"""),"Winfood")</f>
        <v>Winfood</v>
      </c>
      <c r="N8904" s="33">
        <f>IFERROR(__xludf.DUMMYFUNCTION("""COMPUTED_VALUE"""),1.0)</f>
        <v>1</v>
      </c>
      <c r="O8904" s="4" t="str">
        <f>IFERROR(__xludf.DUMMYFUNCTION("""COMPUTED_VALUE"""),"Winfood")</f>
        <v>Winfood</v>
      </c>
      <c r="P8904" s="33">
        <f>IFERROR(__xludf.DUMMYFUNCTION("""COMPUTED_VALUE"""),1.0)</f>
        <v>1</v>
      </c>
      <c r="Q8904" s="4" t="str">
        <f>IFERROR(__xludf.DUMMYFUNCTION("""COMPUTED_VALUE"""),"Winfood")</f>
        <v>Winfood</v>
      </c>
      <c r="R8904" s="33">
        <f>IFERROR(__xludf.DUMMYFUNCTION("""COMPUTED_VALUE"""),1.0)</f>
        <v>1</v>
      </c>
      <c r="S8904" s="4" t="str">
        <f>IFERROR(__xludf.DUMMYFUNCTION("""COMPUTED_VALUE"""),"Winfood")</f>
        <v>Winfood</v>
      </c>
      <c r="T8904" s="33">
        <f>IFERROR(__xludf.DUMMYFUNCTION("""COMPUTED_VALUE"""),1.0)</f>
        <v>1</v>
      </c>
      <c r="U8904" s="4" t="str">
        <f>IFERROR(__xludf.DUMMYFUNCTION("""COMPUTED_VALUE"""),"Winfood")</f>
        <v>Winfood</v>
      </c>
      <c r="V8904" s="33">
        <f>IFERROR(__xludf.DUMMYFUNCTION("""COMPUTED_VALUE"""),1.0)</f>
        <v>1</v>
      </c>
      <c r="W8904" s="4" t="str">
        <f>IFERROR(__xludf.DUMMYFUNCTION("""COMPUTED_VALUE"""),"Winfood")</f>
        <v>Winfood</v>
      </c>
      <c r="X8904" s="33">
        <f>IFERROR(__xludf.DUMMYFUNCTION("""COMPUTED_VALUE"""),1.0)</f>
        <v>1</v>
      </c>
    </row>
    <row r="8905">
      <c r="K8905" s="4" t="str">
        <f>IFERROR(__xludf.DUMMYFUNCTION("""COMPUTED_VALUE"""),"FORNELLO PIZZARIA DELIVERY-NOVO HAMBURGO")</f>
        <v>FORNELLO PIZZARIA DELIVERY-NOVO HAMBURGO</v>
      </c>
      <c r="L8905" s="32">
        <f>IFERROR(__xludf.DUMMYFUNCTION("""COMPUTED_VALUE"""),1.0)</f>
        <v>1</v>
      </c>
      <c r="M8905" s="4" t="str">
        <f>IFERROR(__xludf.DUMMYFUNCTION("""COMPUTED_VALUE"""),"Saipos Serviços De Software")</f>
        <v>Saipos Serviços De Software</v>
      </c>
      <c r="N8905" s="33">
        <f>IFERROR(__xludf.DUMMYFUNCTION("""COMPUTED_VALUE"""),1.0)</f>
        <v>1</v>
      </c>
      <c r="O8905" s="4" t="str">
        <f>IFERROR(__xludf.DUMMYFUNCTION("""COMPUTED_VALUE"""),"Saipos Serviços De Software")</f>
        <v>Saipos Serviços De Software</v>
      </c>
      <c r="P8905" s="33">
        <f>IFERROR(__xludf.DUMMYFUNCTION("""COMPUTED_VALUE"""),1.0)</f>
        <v>1</v>
      </c>
      <c r="Q8905" s="4" t="str">
        <f>IFERROR(__xludf.DUMMYFUNCTION("""COMPUTED_VALUE"""),"Saipos Serviços De Software")</f>
        <v>Saipos Serviços De Software</v>
      </c>
      <c r="R8905" s="33">
        <f>IFERROR(__xludf.DUMMYFUNCTION("""COMPUTED_VALUE"""),1.0)</f>
        <v>1</v>
      </c>
      <c r="S8905" s="4" t="str">
        <f>IFERROR(__xludf.DUMMYFUNCTION("""COMPUTED_VALUE"""),"Saipos Serviços De Software")</f>
        <v>Saipos Serviços De Software</v>
      </c>
      <c r="T8905" s="33">
        <f>IFERROR(__xludf.DUMMYFUNCTION("""COMPUTED_VALUE"""),1.0)</f>
        <v>1</v>
      </c>
      <c r="U8905" s="4" t="str">
        <f>IFERROR(__xludf.DUMMYFUNCTION("""COMPUTED_VALUE"""),"Saipos Serviços De Software")</f>
        <v>Saipos Serviços De Software</v>
      </c>
      <c r="V8905" s="33">
        <f>IFERROR(__xludf.DUMMYFUNCTION("""COMPUTED_VALUE"""),1.0)</f>
        <v>1</v>
      </c>
      <c r="W8905" s="4" t="str">
        <f>IFERROR(__xludf.DUMMYFUNCTION("""COMPUTED_VALUE"""),"Saipos Serviços De Software")</f>
        <v>Saipos Serviços De Software</v>
      </c>
      <c r="X8905" s="33">
        <f>IFERROR(__xludf.DUMMYFUNCTION("""COMPUTED_VALUE"""),1.0)</f>
        <v>1</v>
      </c>
    </row>
    <row r="8906">
      <c r="K8906" s="4" t="str">
        <f>IFERROR(__xludf.DUMMYFUNCTION("""COMPUTED_VALUE"""),"DOM PARMEGI PARMEGIANA NHOQUE MASSA")</f>
        <v>DOM PARMEGI PARMEGIANA NHOQUE MASSA</v>
      </c>
      <c r="L8906" s="32">
        <f>IFERROR(__xludf.DUMMYFUNCTION("""COMPUTED_VALUE"""),1.0)</f>
        <v>1</v>
      </c>
      <c r="M8906" s="4" t="str">
        <f>IFERROR(__xludf.DUMMYFUNCTION("""COMPUTED_VALUE"""),"Saipos Serviços De Software")</f>
        <v>Saipos Serviços De Software</v>
      </c>
      <c r="N8906" s="33">
        <f>IFERROR(__xludf.DUMMYFUNCTION("""COMPUTED_VALUE"""),1.0)</f>
        <v>1</v>
      </c>
      <c r="O8906" s="4" t="str">
        <f>IFERROR(__xludf.DUMMYFUNCTION("""COMPUTED_VALUE"""),"Saipos Serviços De Software")</f>
        <v>Saipos Serviços De Software</v>
      </c>
      <c r="P8906" s="33">
        <f>IFERROR(__xludf.DUMMYFUNCTION("""COMPUTED_VALUE"""),1.0)</f>
        <v>1</v>
      </c>
      <c r="Q8906" s="4" t="str">
        <f>IFERROR(__xludf.DUMMYFUNCTION("""COMPUTED_VALUE"""),"Saipos Serviços De Software")</f>
        <v>Saipos Serviços De Software</v>
      </c>
      <c r="R8906" s="33">
        <f>IFERROR(__xludf.DUMMYFUNCTION("""COMPUTED_VALUE"""),1.0)</f>
        <v>1</v>
      </c>
      <c r="S8906" s="4" t="str">
        <f>IFERROR(__xludf.DUMMYFUNCTION("""COMPUTED_VALUE"""),"Saipos Serviços De Software")</f>
        <v>Saipos Serviços De Software</v>
      </c>
      <c r="T8906" s="33">
        <f>IFERROR(__xludf.DUMMYFUNCTION("""COMPUTED_VALUE"""),1.0)</f>
        <v>1</v>
      </c>
      <c r="U8906" s="4" t="str">
        <f>IFERROR(__xludf.DUMMYFUNCTION("""COMPUTED_VALUE"""),"Saipos Serviços De Software")</f>
        <v>Saipos Serviços De Software</v>
      </c>
      <c r="V8906" s="33">
        <f>IFERROR(__xludf.DUMMYFUNCTION("""COMPUTED_VALUE"""),1.0)</f>
        <v>1</v>
      </c>
      <c r="W8906" s="4" t="str">
        <f>IFERROR(__xludf.DUMMYFUNCTION("""COMPUTED_VALUE"""),"Saipos Serviços De Software")</f>
        <v>Saipos Serviços De Software</v>
      </c>
      <c r="X8906" s="33">
        <f>IFERROR(__xludf.DUMMYFUNCTION("""COMPUTED_VALUE"""),1.0)</f>
        <v>1</v>
      </c>
    </row>
    <row r="8907">
      <c r="K8907" s="4" t="str">
        <f>IFERROR(__xludf.DUMMYFUNCTION("""COMPUTED_VALUE"""),"POA GOURMET")</f>
        <v>POA GOURMET</v>
      </c>
      <c r="L8907" s="32">
        <f>IFERROR(__xludf.DUMMYFUNCTION("""COMPUTED_VALUE"""),1.0)</f>
        <v>1</v>
      </c>
      <c r="M8907" s="4" t="str">
        <f>IFERROR(__xludf.DUMMYFUNCTION("""COMPUTED_VALUE"""),"null")</f>
        <v>null</v>
      </c>
      <c r="N8907" s="33">
        <f>IFERROR(__xludf.DUMMYFUNCTION("""COMPUTED_VALUE"""),1.0)</f>
        <v>1</v>
      </c>
      <c r="O8907" s="4" t="str">
        <f>IFERROR(__xludf.DUMMYFUNCTION("""COMPUTED_VALUE"""),"null")</f>
        <v>null</v>
      </c>
      <c r="P8907" s="33">
        <f>IFERROR(__xludf.DUMMYFUNCTION("""COMPUTED_VALUE"""),1.0)</f>
        <v>1</v>
      </c>
      <c r="Q8907" s="4" t="str">
        <f>IFERROR(__xludf.DUMMYFUNCTION("""COMPUTED_VALUE"""),"null")</f>
        <v>null</v>
      </c>
      <c r="R8907" s="33">
        <f>IFERROR(__xludf.DUMMYFUNCTION("""COMPUTED_VALUE"""),1.0)</f>
        <v>1</v>
      </c>
      <c r="S8907" s="4" t="str">
        <f>IFERROR(__xludf.DUMMYFUNCTION("""COMPUTED_VALUE"""),"null")</f>
        <v>null</v>
      </c>
      <c r="T8907" s="33">
        <f>IFERROR(__xludf.DUMMYFUNCTION("""COMPUTED_VALUE"""),1.0)</f>
        <v>1</v>
      </c>
      <c r="U8907" s="4" t="str">
        <f>IFERROR(__xludf.DUMMYFUNCTION("""COMPUTED_VALUE"""),"null")</f>
        <v>null</v>
      </c>
      <c r="V8907" s="33">
        <f>IFERROR(__xludf.DUMMYFUNCTION("""COMPUTED_VALUE"""),1.0)</f>
        <v>1</v>
      </c>
      <c r="W8907" s="4" t="str">
        <f>IFERROR(__xludf.DUMMYFUNCTION("""COMPUTED_VALUE"""),"Anota Ai Solucoes Digitais S/a")</f>
        <v>Anota Ai Solucoes Digitais S/a</v>
      </c>
      <c r="X8907" s="33">
        <f>IFERROR(__xludf.DUMMYFUNCTION("""COMPUTED_VALUE"""),1.0)</f>
        <v>1</v>
      </c>
    </row>
    <row r="8908">
      <c r="K8908" s="4" t="str">
        <f>IFERROR(__xludf.DUMMYFUNCTION("""COMPUTED_VALUE"""),"ACAI NATHUS")</f>
        <v>ACAI NATHUS</v>
      </c>
      <c r="L8908" s="32">
        <f>IFERROR(__xludf.DUMMYFUNCTION("""COMPUTED_VALUE"""),1.0)</f>
        <v>1</v>
      </c>
      <c r="M8908" s="4" t="str">
        <f>IFERROR(__xludf.DUMMYFUNCTION("""COMPUTED_VALUE"""),"Menu Integrado")</f>
        <v>Menu Integrado</v>
      </c>
      <c r="N8908" s="33">
        <f>IFERROR(__xludf.DUMMYFUNCTION("""COMPUTED_VALUE"""),1.0)</f>
        <v>1</v>
      </c>
      <c r="O8908" s="4" t="str">
        <f>IFERROR(__xludf.DUMMYFUNCTION("""COMPUTED_VALUE"""),"Menu Integrado")</f>
        <v>Menu Integrado</v>
      </c>
      <c r="P8908" s="33">
        <f>IFERROR(__xludf.DUMMYFUNCTION("""COMPUTED_VALUE"""),1.0)</f>
        <v>1</v>
      </c>
      <c r="Q8908" s="4" t="str">
        <f>IFERROR(__xludf.DUMMYFUNCTION("""COMPUTED_VALUE"""),"Menu Integrado")</f>
        <v>Menu Integrado</v>
      </c>
      <c r="R8908" s="33">
        <f>IFERROR(__xludf.DUMMYFUNCTION("""COMPUTED_VALUE"""),1.0)</f>
        <v>1</v>
      </c>
      <c r="S8908" s="4" t="str">
        <f>IFERROR(__xludf.DUMMYFUNCTION("""COMPUTED_VALUE"""),"Menu Integrado")</f>
        <v>Menu Integrado</v>
      </c>
      <c r="T8908" s="33">
        <f>IFERROR(__xludf.DUMMYFUNCTION("""COMPUTED_VALUE"""),1.0)</f>
        <v>1</v>
      </c>
      <c r="U8908" s="4" t="str">
        <f>IFERROR(__xludf.DUMMYFUNCTION("""COMPUTED_VALUE"""),"Menu Integrado")</f>
        <v>Menu Integrado</v>
      </c>
      <c r="V8908" s="33">
        <f>IFERROR(__xludf.DUMMYFUNCTION("""COMPUTED_VALUE"""),1.0)</f>
        <v>1</v>
      </c>
      <c r="W8908" s="4" t="str">
        <f>IFERROR(__xludf.DUMMYFUNCTION("""COMPUTED_VALUE"""),"Menu Integrado")</f>
        <v>Menu Integrado</v>
      </c>
      <c r="X8908" s="33">
        <f>IFERROR(__xludf.DUMMYFUNCTION("""COMPUTED_VALUE"""),1.0)</f>
        <v>1</v>
      </c>
    </row>
    <row r="8909">
      <c r="K8909" s="4" t="str">
        <f>IFERROR(__xludf.DUMMYFUNCTION("""COMPUTED_VALUE"""),"ALOHA ACAITERIA")</f>
        <v>ALOHA ACAITERIA</v>
      </c>
      <c r="L8909" s="32">
        <f>IFERROR(__xludf.DUMMYFUNCTION("""COMPUTED_VALUE"""),1.0)</f>
        <v>1</v>
      </c>
      <c r="M8909" s="4" t="str">
        <f>IFERROR(__xludf.DUMMYFUNCTION("""COMPUTED_VALUE"""),"Anota Ai Solucoes Digitais S/a")</f>
        <v>Anota Ai Solucoes Digitais S/a</v>
      </c>
      <c r="N8909" s="33">
        <f>IFERROR(__xludf.DUMMYFUNCTION("""COMPUTED_VALUE"""),1.0)</f>
        <v>1</v>
      </c>
      <c r="O8909" s="4" t="str">
        <f>IFERROR(__xludf.DUMMYFUNCTION("""COMPUTED_VALUE"""),"Anota Ai Solucoes Digitais S/a")</f>
        <v>Anota Ai Solucoes Digitais S/a</v>
      </c>
      <c r="P8909" s="33">
        <f>IFERROR(__xludf.DUMMYFUNCTION("""COMPUTED_VALUE"""),1.0)</f>
        <v>1</v>
      </c>
      <c r="Q8909" s="4" t="str">
        <f>IFERROR(__xludf.DUMMYFUNCTION("""COMPUTED_VALUE"""),"Anota Ai Solucoes Digitais S/a")</f>
        <v>Anota Ai Solucoes Digitais S/a</v>
      </c>
      <c r="R8909" s="33">
        <f>IFERROR(__xludf.DUMMYFUNCTION("""COMPUTED_VALUE"""),1.0)</f>
        <v>1</v>
      </c>
      <c r="S8909" s="4" t="str">
        <f>IFERROR(__xludf.DUMMYFUNCTION("""COMPUTED_VALUE"""),"Anota Ai Solucoes Digitais S/a")</f>
        <v>Anota Ai Solucoes Digitais S/a</v>
      </c>
      <c r="T8909" s="33">
        <f>IFERROR(__xludf.DUMMYFUNCTION("""COMPUTED_VALUE"""),1.0)</f>
        <v>1</v>
      </c>
      <c r="U8909" s="4" t="str">
        <f>IFERROR(__xludf.DUMMYFUNCTION("""COMPUTED_VALUE"""),"null")</f>
        <v>null</v>
      </c>
      <c r="V8909" s="33">
        <f>IFERROR(__xludf.DUMMYFUNCTION("""COMPUTED_VALUE"""),1.0)</f>
        <v>1</v>
      </c>
      <c r="W8909" s="4" t="str">
        <f>IFERROR(__xludf.DUMMYFUNCTION("""COMPUTED_VALUE"""),"null")</f>
        <v>null</v>
      </c>
      <c r="X8909" s="33">
        <f>IFERROR(__xludf.DUMMYFUNCTION("""COMPUTED_VALUE"""),1.0)</f>
        <v>1</v>
      </c>
    </row>
    <row r="8910">
      <c r="K8910" s="4" t="str">
        <f>IFERROR(__xludf.DUMMYFUNCTION("""COMPUTED_VALUE"""),"PIZZARIA AMIGOS COM - SANTA RITA UNIDADE 01")</f>
        <v>PIZZARIA AMIGOS COM - SANTA RITA UNIDADE 01</v>
      </c>
      <c r="L8910" s="32">
        <f>IFERROR(__xludf.DUMMYFUNCTION("""COMPUTED_VALUE"""),1.0)</f>
        <v>1</v>
      </c>
      <c r="M8910" s="4" t="str">
        <f>IFERROR(__xludf.DUMMYFUNCTION("""COMPUTED_VALUE"""),"Saipos Serviços De Software")</f>
        <v>Saipos Serviços De Software</v>
      </c>
      <c r="N8910" s="33">
        <f>IFERROR(__xludf.DUMMYFUNCTION("""COMPUTED_VALUE"""),1.0)</f>
        <v>1</v>
      </c>
      <c r="O8910" s="4" t="str">
        <f>IFERROR(__xludf.DUMMYFUNCTION("""COMPUTED_VALUE"""),"Saipos Serviços De Software")</f>
        <v>Saipos Serviços De Software</v>
      </c>
      <c r="P8910" s="33">
        <f>IFERROR(__xludf.DUMMYFUNCTION("""COMPUTED_VALUE"""),1.0)</f>
        <v>1</v>
      </c>
      <c r="Q8910" s="4" t="str">
        <f>IFERROR(__xludf.DUMMYFUNCTION("""COMPUTED_VALUE"""),"Saipos Serviços De Software")</f>
        <v>Saipos Serviços De Software</v>
      </c>
      <c r="R8910" s="33">
        <f>IFERROR(__xludf.DUMMYFUNCTION("""COMPUTED_VALUE"""),1.0)</f>
        <v>1</v>
      </c>
      <c r="S8910" s="4" t="str">
        <f>IFERROR(__xludf.DUMMYFUNCTION("""COMPUTED_VALUE"""),"Saipos Serviços De Software")</f>
        <v>Saipos Serviços De Software</v>
      </c>
      <c r="T8910" s="33">
        <f>IFERROR(__xludf.DUMMYFUNCTION("""COMPUTED_VALUE"""),1.0)</f>
        <v>1</v>
      </c>
      <c r="U8910" s="4" t="str">
        <f>IFERROR(__xludf.DUMMYFUNCTION("""COMPUTED_VALUE"""),"Saipos Serviços De Software")</f>
        <v>Saipos Serviços De Software</v>
      </c>
      <c r="V8910" s="33">
        <f>IFERROR(__xludf.DUMMYFUNCTION("""COMPUTED_VALUE"""),1.0)</f>
        <v>1</v>
      </c>
      <c r="W8910" s="4" t="str">
        <f>IFERROR(__xludf.DUMMYFUNCTION("""COMPUTED_VALUE"""),"Saipos Serviços De Software")</f>
        <v>Saipos Serviços De Software</v>
      </c>
      <c r="X8910" s="33">
        <f>IFERROR(__xludf.DUMMYFUNCTION("""COMPUTED_VALUE"""),1.0)</f>
        <v>1</v>
      </c>
    </row>
    <row r="8911">
      <c r="K8911" s="4" t="str">
        <f>IFERROR(__xludf.DUMMYFUNCTION("""COMPUTED_VALUE"""),"ITALIA BURGUER COMBOS")</f>
        <v>ITALIA BURGUER COMBOS</v>
      </c>
      <c r="L8911" s="32">
        <f>IFERROR(__xludf.DUMMYFUNCTION("""COMPUTED_VALUE"""),1.0)</f>
        <v>1</v>
      </c>
      <c r="M8911" s="4" t="str">
        <f>IFERROR(__xludf.DUMMYFUNCTION("""COMPUTED_VALUE"""),"Saipos Serviços De Software")</f>
        <v>Saipos Serviços De Software</v>
      </c>
      <c r="N8911" s="33">
        <f>IFERROR(__xludf.DUMMYFUNCTION("""COMPUTED_VALUE"""),1.0)</f>
        <v>1</v>
      </c>
      <c r="O8911" s="4" t="str">
        <f>IFERROR(__xludf.DUMMYFUNCTION("""COMPUTED_VALUE"""),"null")</f>
        <v>null</v>
      </c>
      <c r="P8911" s="33">
        <f>IFERROR(__xludf.DUMMYFUNCTION("""COMPUTED_VALUE"""),1.0)</f>
        <v>1</v>
      </c>
      <c r="Q8911" s="4" t="str">
        <f>IFERROR(__xludf.DUMMYFUNCTION("""COMPUTED_VALUE"""),"null")</f>
        <v>null</v>
      </c>
      <c r="R8911" s="33">
        <f>IFERROR(__xludf.DUMMYFUNCTION("""COMPUTED_VALUE"""),1.0)</f>
        <v>1</v>
      </c>
      <c r="S8911" s="4" t="str">
        <f>IFERROR(__xludf.DUMMYFUNCTION("""COMPUTED_VALUE"""),"null")</f>
        <v>null</v>
      </c>
      <c r="T8911" s="33">
        <f>IFERROR(__xludf.DUMMYFUNCTION("""COMPUTED_VALUE"""),1.0)</f>
        <v>1</v>
      </c>
      <c r="U8911" s="4" t="str">
        <f>IFERROR(__xludf.DUMMYFUNCTION("""COMPUTED_VALUE"""),"null")</f>
        <v>null</v>
      </c>
      <c r="V8911" s="33">
        <f>IFERROR(__xludf.DUMMYFUNCTION("""COMPUTED_VALUE"""),1.0)</f>
        <v>1</v>
      </c>
      <c r="W8911" s="4" t="str">
        <f>IFERROR(__xludf.DUMMYFUNCTION("""COMPUTED_VALUE"""),"null")</f>
        <v>null</v>
      </c>
      <c r="X8911" s="33">
        <f>IFERROR(__xludf.DUMMYFUNCTION("""COMPUTED_VALUE"""),1.0)</f>
        <v>1</v>
      </c>
    </row>
    <row r="8912">
      <c r="K8912" s="4" t="str">
        <f>IFERROR(__xludf.DUMMYFUNCTION("""COMPUTED_VALUE"""),"ESTACAO CHINESA SAMAMBAIA")</f>
        <v>ESTACAO CHINESA SAMAMBAIA</v>
      </c>
      <c r="L8912" s="32">
        <f>IFERROR(__xludf.DUMMYFUNCTION("""COMPUTED_VALUE"""),1.0)</f>
        <v>1</v>
      </c>
      <c r="M8912" s="4" t="str">
        <f>IFERROR(__xludf.DUMMYFUNCTION("""COMPUTED_VALUE"""),"Consumer Soluções Em Tecnologia Ltda")</f>
        <v>Consumer Soluções Em Tecnologia Ltda</v>
      </c>
      <c r="N8912" s="33">
        <f>IFERROR(__xludf.DUMMYFUNCTION("""COMPUTED_VALUE"""),1.0)</f>
        <v>1</v>
      </c>
      <c r="O8912" s="4" t="str">
        <f>IFERROR(__xludf.DUMMYFUNCTION("""COMPUTED_VALUE"""),"Consumer Soluções Em Tecnologia Ltda")</f>
        <v>Consumer Soluções Em Tecnologia Ltda</v>
      </c>
      <c r="P8912" s="33">
        <f>IFERROR(__xludf.DUMMYFUNCTION("""COMPUTED_VALUE"""),1.0)</f>
        <v>1</v>
      </c>
      <c r="Q8912" s="4" t="str">
        <f>IFERROR(__xludf.DUMMYFUNCTION("""COMPUTED_VALUE"""),"Consumer Soluções Em Tecnologia Ltda")</f>
        <v>Consumer Soluções Em Tecnologia Ltda</v>
      </c>
      <c r="R8912" s="33">
        <f>IFERROR(__xludf.DUMMYFUNCTION("""COMPUTED_VALUE"""),1.0)</f>
        <v>1</v>
      </c>
      <c r="S8912" s="4" t="str">
        <f>IFERROR(__xludf.DUMMYFUNCTION("""COMPUTED_VALUE"""),"Consumer Soluções Em Tecnologia Ltda")</f>
        <v>Consumer Soluções Em Tecnologia Ltda</v>
      </c>
      <c r="T8912" s="33">
        <f>IFERROR(__xludf.DUMMYFUNCTION("""COMPUTED_VALUE"""),1.0)</f>
        <v>1</v>
      </c>
      <c r="U8912" s="4" t="str">
        <f>IFERROR(__xludf.DUMMYFUNCTION("""COMPUTED_VALUE"""),"Consumer Soluções Em Tecnologia Ltda")</f>
        <v>Consumer Soluções Em Tecnologia Ltda</v>
      </c>
      <c r="V8912" s="33">
        <f>IFERROR(__xludf.DUMMYFUNCTION("""COMPUTED_VALUE"""),1.0)</f>
        <v>1</v>
      </c>
      <c r="W8912" s="4" t="str">
        <f>IFERROR(__xludf.DUMMYFUNCTION("""COMPUTED_VALUE"""),"Consumer Soluções Em Tecnologia Ltda")</f>
        <v>Consumer Soluções Em Tecnologia Ltda</v>
      </c>
      <c r="X8912" s="33">
        <f>IFERROR(__xludf.DUMMYFUNCTION("""COMPUTED_VALUE"""),1.0)</f>
        <v>1</v>
      </c>
    </row>
    <row r="8913">
      <c r="K8913" s="4" t="str">
        <f>IFERROR(__xludf.DUMMYFUNCTION("""COMPUTED_VALUE"""),"CANTINHO SRL")</f>
        <v>CANTINHO SRL</v>
      </c>
      <c r="L8913" s="32">
        <f>IFERROR(__xludf.DUMMYFUNCTION("""COMPUTED_VALUE"""),1.0)</f>
        <v>1</v>
      </c>
      <c r="M8913" s="4" t="str">
        <f>IFERROR(__xludf.DUMMYFUNCTION("""COMPUTED_VALUE"""),"null")</f>
        <v>null</v>
      </c>
      <c r="N8913" s="33">
        <f>IFERROR(__xludf.DUMMYFUNCTION("""COMPUTED_VALUE"""),1.0)</f>
        <v>1</v>
      </c>
      <c r="O8913" s="4" t="str">
        <f>IFERROR(__xludf.DUMMYFUNCTION("""COMPUTED_VALUE"""),"null")</f>
        <v>null</v>
      </c>
      <c r="P8913" s="33">
        <f>IFERROR(__xludf.DUMMYFUNCTION("""COMPUTED_VALUE"""),1.0)</f>
        <v>1</v>
      </c>
      <c r="Q8913" s="4" t="str">
        <f>IFERROR(__xludf.DUMMYFUNCTION("""COMPUTED_VALUE"""),"N/A (Not found)")</f>
        <v>N/A (Not found)</v>
      </c>
      <c r="R8913" s="33">
        <f>IFERROR(__xludf.DUMMYFUNCTION("""COMPUTED_VALUE"""),1.0)</f>
        <v>1</v>
      </c>
      <c r="S8913" s="4" t="str">
        <f>IFERROR(__xludf.DUMMYFUNCTION("""COMPUTED_VALUE"""),"N/A (Not found)")</f>
        <v>N/A (Not found)</v>
      </c>
      <c r="T8913" s="33">
        <f>IFERROR(__xludf.DUMMYFUNCTION("""COMPUTED_VALUE"""),1.0)</f>
        <v>1</v>
      </c>
      <c r="U8913" s="4" t="str">
        <f>IFERROR(__xludf.DUMMYFUNCTION("""COMPUTED_VALUE"""),"N/A (Not found)")</f>
        <v>N/A (Not found)</v>
      </c>
      <c r="V8913" s="33">
        <f>IFERROR(__xludf.DUMMYFUNCTION("""COMPUTED_VALUE"""),1.0)</f>
        <v>1</v>
      </c>
      <c r="W8913" s="4" t="str">
        <f>IFERROR(__xludf.DUMMYFUNCTION("""COMPUTED_VALUE"""),"N/A (Not found)")</f>
        <v>N/A (Not found)</v>
      </c>
      <c r="X8913" s="33">
        <f>IFERROR(__xludf.DUMMYFUNCTION("""COMPUTED_VALUE"""),1.0)</f>
        <v>1</v>
      </c>
    </row>
    <row r="8914">
      <c r="K8914" s="4" t="str">
        <f>IFERROR(__xludf.DUMMYFUNCTION("""COMPUTED_VALUE"""),"MEXICOMIGO SORVETES LOJA FABRICA")</f>
        <v>MEXICOMIGO SORVETES LOJA FABRICA</v>
      </c>
      <c r="L8914" s="32">
        <f>IFERROR(__xludf.DUMMYFUNCTION("""COMPUTED_VALUE"""),1.0)</f>
        <v>1</v>
      </c>
      <c r="M8914" s="4" t="str">
        <f>IFERROR(__xludf.DUMMYFUNCTION("""COMPUTED_VALUE"""),"Anota Ai Solucoes Digitais S/a")</f>
        <v>Anota Ai Solucoes Digitais S/a</v>
      </c>
      <c r="N8914" s="33">
        <f>IFERROR(__xludf.DUMMYFUNCTION("""COMPUTED_VALUE"""),1.0)</f>
        <v>1</v>
      </c>
      <c r="O8914" s="4" t="str">
        <f>IFERROR(__xludf.DUMMYFUNCTION("""COMPUTED_VALUE"""),"Anota Ai Solucoes Digitais S/a")</f>
        <v>Anota Ai Solucoes Digitais S/a</v>
      </c>
      <c r="P8914" s="33">
        <f>IFERROR(__xludf.DUMMYFUNCTION("""COMPUTED_VALUE"""),1.0)</f>
        <v>1</v>
      </c>
      <c r="Q8914" s="4" t="str">
        <f>IFERROR(__xludf.DUMMYFUNCTION("""COMPUTED_VALUE"""),"Anota Ai Solucoes Digitais S/a")</f>
        <v>Anota Ai Solucoes Digitais S/a</v>
      </c>
      <c r="R8914" s="33">
        <f>IFERROR(__xludf.DUMMYFUNCTION("""COMPUTED_VALUE"""),1.0)</f>
        <v>1</v>
      </c>
      <c r="S8914" s="4" t="str">
        <f>IFERROR(__xludf.DUMMYFUNCTION("""COMPUTED_VALUE"""),"Anota Ai Solucoes Digitais S/a")</f>
        <v>Anota Ai Solucoes Digitais S/a</v>
      </c>
      <c r="T8914" s="33">
        <f>IFERROR(__xludf.DUMMYFUNCTION("""COMPUTED_VALUE"""),1.0)</f>
        <v>1</v>
      </c>
      <c r="U8914" s="4" t="str">
        <f>IFERROR(__xludf.DUMMYFUNCTION("""COMPUTED_VALUE"""),"Anota Ai Solucoes Digitais S/a")</f>
        <v>Anota Ai Solucoes Digitais S/a</v>
      </c>
      <c r="V8914" s="33">
        <f>IFERROR(__xludf.DUMMYFUNCTION("""COMPUTED_VALUE"""),1.0)</f>
        <v>1</v>
      </c>
      <c r="W8914" s="4" t="str">
        <f>IFERROR(__xludf.DUMMYFUNCTION("""COMPUTED_VALUE"""),"Anota Ai Solucoes Digitais S/a")</f>
        <v>Anota Ai Solucoes Digitais S/a</v>
      </c>
      <c r="X8914" s="33">
        <f>IFERROR(__xludf.DUMMYFUNCTION("""COMPUTED_VALUE"""),1.0)</f>
        <v>1</v>
      </c>
    </row>
    <row r="8915">
      <c r="K8915" s="4" t="str">
        <f>IFERROR(__xludf.DUMMYFUNCTION("""COMPUTED_VALUE"""),"GAMERS BURGER HAMBURGUERIA ARTESANAL")</f>
        <v>GAMERS BURGER HAMBURGUERIA ARTESANAL</v>
      </c>
      <c r="L8915" s="32">
        <f>IFERROR(__xludf.DUMMYFUNCTION("""COMPUTED_VALUE"""),1.0)</f>
        <v>1</v>
      </c>
      <c r="M8915" s="4" t="str">
        <f>IFERROR(__xludf.DUMMYFUNCTION("""COMPUTED_VALUE"""),"Saipos Serviços De Software")</f>
        <v>Saipos Serviços De Software</v>
      </c>
      <c r="N8915" s="33">
        <f>IFERROR(__xludf.DUMMYFUNCTION("""COMPUTED_VALUE"""),1.0)</f>
        <v>1</v>
      </c>
      <c r="O8915" s="4" t="str">
        <f>IFERROR(__xludf.DUMMYFUNCTION("""COMPUTED_VALUE"""),"Saipos Serviços De Software")</f>
        <v>Saipos Serviços De Software</v>
      </c>
      <c r="P8915" s="33">
        <f>IFERROR(__xludf.DUMMYFUNCTION("""COMPUTED_VALUE"""),1.0)</f>
        <v>1</v>
      </c>
      <c r="Q8915" s="4" t="str">
        <f>IFERROR(__xludf.DUMMYFUNCTION("""COMPUTED_VALUE"""),"Saipos Serviços De Software")</f>
        <v>Saipos Serviços De Software</v>
      </c>
      <c r="R8915" s="33">
        <f>IFERROR(__xludf.DUMMYFUNCTION("""COMPUTED_VALUE"""),1.0)</f>
        <v>1</v>
      </c>
      <c r="S8915" s="4" t="str">
        <f>IFERROR(__xludf.DUMMYFUNCTION("""COMPUTED_VALUE"""),"Saipos Serviços De Software")</f>
        <v>Saipos Serviços De Software</v>
      </c>
      <c r="T8915" s="33">
        <f>IFERROR(__xludf.DUMMYFUNCTION("""COMPUTED_VALUE"""),1.0)</f>
        <v>1</v>
      </c>
      <c r="U8915" s="4" t="str">
        <f>IFERROR(__xludf.DUMMYFUNCTION("""COMPUTED_VALUE"""),"Saipos Serviços De Software")</f>
        <v>Saipos Serviços De Software</v>
      </c>
      <c r="V8915" s="33">
        <f>IFERROR(__xludf.DUMMYFUNCTION("""COMPUTED_VALUE"""),1.0)</f>
        <v>1</v>
      </c>
      <c r="W8915" s="4" t="str">
        <f>IFERROR(__xludf.DUMMYFUNCTION("""COMPUTED_VALUE"""),"Saipos Serviços De Software")</f>
        <v>Saipos Serviços De Software</v>
      </c>
      <c r="X8915" s="33">
        <f>IFERROR(__xludf.DUMMYFUNCTION("""COMPUTED_VALUE"""),1.0)</f>
        <v>1</v>
      </c>
    </row>
    <row r="8916">
      <c r="K8916" s="4" t="str">
        <f>IFERROR(__xludf.DUMMYFUNCTION("""COMPUTED_VALUE"""),"DREAM FEST BUFFET")</f>
        <v>DREAM FEST BUFFET</v>
      </c>
      <c r="L8916" s="32">
        <f>IFERROR(__xludf.DUMMYFUNCTION("""COMPUTED_VALUE"""),1.0)</f>
        <v>1</v>
      </c>
      <c r="M8916" s="4" t="str">
        <f>IFERROR(__xludf.DUMMYFUNCTION("""COMPUTED_VALUE"""),"Softcom Tecnologia")</f>
        <v>Softcom Tecnologia</v>
      </c>
      <c r="N8916" s="33">
        <f>IFERROR(__xludf.DUMMYFUNCTION("""COMPUTED_VALUE"""),1.0)</f>
        <v>1</v>
      </c>
      <c r="O8916" s="4" t="str">
        <f>IFERROR(__xludf.DUMMYFUNCTION("""COMPUTED_VALUE"""),"Softcom Tecnologia")</f>
        <v>Softcom Tecnologia</v>
      </c>
      <c r="P8916" s="33">
        <f>IFERROR(__xludf.DUMMYFUNCTION("""COMPUTED_VALUE"""),1.0)</f>
        <v>1</v>
      </c>
      <c r="Q8916" s="4" t="str">
        <f>IFERROR(__xludf.DUMMYFUNCTION("""COMPUTED_VALUE"""),"Softcom Tecnologia")</f>
        <v>Softcom Tecnologia</v>
      </c>
      <c r="R8916" s="33">
        <f>IFERROR(__xludf.DUMMYFUNCTION("""COMPUTED_VALUE"""),1.0)</f>
        <v>1</v>
      </c>
      <c r="S8916" s="4" t="str">
        <f>IFERROR(__xludf.DUMMYFUNCTION("""COMPUTED_VALUE"""),"Softcom Tecnologia")</f>
        <v>Softcom Tecnologia</v>
      </c>
      <c r="T8916" s="33">
        <f>IFERROR(__xludf.DUMMYFUNCTION("""COMPUTED_VALUE"""),1.0)</f>
        <v>1</v>
      </c>
      <c r="U8916" s="4" t="str">
        <f>IFERROR(__xludf.DUMMYFUNCTION("""COMPUTED_VALUE"""),"Softcom Tecnologia")</f>
        <v>Softcom Tecnologia</v>
      </c>
      <c r="V8916" s="33">
        <f>IFERROR(__xludf.DUMMYFUNCTION("""COMPUTED_VALUE"""),1.0)</f>
        <v>1</v>
      </c>
      <c r="W8916" s="4" t="str">
        <f>IFERROR(__xludf.DUMMYFUNCTION("""COMPUTED_VALUE"""),"Softcom Tecnologia")</f>
        <v>Softcom Tecnologia</v>
      </c>
      <c r="X8916" s="33">
        <f>IFERROR(__xludf.DUMMYFUNCTION("""COMPUTED_VALUE"""),1.0)</f>
        <v>1</v>
      </c>
    </row>
    <row r="8917">
      <c r="K8917" s="4" t="str">
        <f>IFERROR(__xludf.DUMMYFUNCTION("""COMPUTED_VALUE"""),"DELICIAS DE CHURROS AVARE")</f>
        <v>DELICIAS DE CHURROS AVARE</v>
      </c>
      <c r="L8917" s="32">
        <f>IFERROR(__xludf.DUMMYFUNCTION("""COMPUTED_VALUE"""),1.0)</f>
        <v>1</v>
      </c>
      <c r="M8917" s="4" t="str">
        <f>IFERROR(__xludf.DUMMYFUNCTION("""COMPUTED_VALUE"""),"Consumer Soluções Em Tecnologia Ltda")</f>
        <v>Consumer Soluções Em Tecnologia Ltda</v>
      </c>
      <c r="N8917" s="33">
        <f>IFERROR(__xludf.DUMMYFUNCTION("""COMPUTED_VALUE"""),1.0)</f>
        <v>1</v>
      </c>
      <c r="O8917" s="4" t="str">
        <f>IFERROR(__xludf.DUMMYFUNCTION("""COMPUTED_VALUE"""),"Consumer Soluções Em Tecnologia Ltda")</f>
        <v>Consumer Soluções Em Tecnologia Ltda</v>
      </c>
      <c r="P8917" s="33">
        <f>IFERROR(__xludf.DUMMYFUNCTION("""COMPUTED_VALUE"""),1.0)</f>
        <v>1</v>
      </c>
      <c r="Q8917" s="4" t="str">
        <f>IFERROR(__xludf.DUMMYFUNCTION("""COMPUTED_VALUE"""),"Consumer Soluções Em Tecnologia Ltda")</f>
        <v>Consumer Soluções Em Tecnologia Ltda</v>
      </c>
      <c r="R8917" s="33">
        <f>IFERROR(__xludf.DUMMYFUNCTION("""COMPUTED_VALUE"""),1.0)</f>
        <v>1</v>
      </c>
      <c r="S8917" s="4" t="str">
        <f>IFERROR(__xludf.DUMMYFUNCTION("""COMPUTED_VALUE"""),"Consumer Soluções Em Tecnologia Ltda")</f>
        <v>Consumer Soluções Em Tecnologia Ltda</v>
      </c>
      <c r="T8917" s="33">
        <f>IFERROR(__xludf.DUMMYFUNCTION("""COMPUTED_VALUE"""),1.0)</f>
        <v>1</v>
      </c>
      <c r="U8917" s="4" t="str">
        <f>IFERROR(__xludf.DUMMYFUNCTION("""COMPUTED_VALUE"""),"Consumer Soluções Em Tecnologia Ltda")</f>
        <v>Consumer Soluções Em Tecnologia Ltda</v>
      </c>
      <c r="V8917" s="33">
        <f>IFERROR(__xludf.DUMMYFUNCTION("""COMPUTED_VALUE"""),1.0)</f>
        <v>1</v>
      </c>
      <c r="W8917" s="4" t="str">
        <f>IFERROR(__xludf.DUMMYFUNCTION("""COMPUTED_VALUE"""),"Consumer Soluções Em Tecnologia Ltda")</f>
        <v>Consumer Soluções Em Tecnologia Ltda</v>
      </c>
      <c r="X8917" s="33">
        <f>IFERROR(__xludf.DUMMYFUNCTION("""COMPUTED_VALUE"""),1.0)</f>
        <v>1</v>
      </c>
    </row>
    <row r="8918">
      <c r="K8918" s="4" t="str">
        <f>IFERROR(__xludf.DUMMYFUNCTION("""COMPUTED_VALUE"""),"MS GASTRONOMIA")</f>
        <v>MS GASTRONOMIA</v>
      </c>
      <c r="L8918" s="32">
        <f>IFERROR(__xludf.DUMMYFUNCTION("""COMPUTED_VALUE"""),1.0)</f>
        <v>1</v>
      </c>
      <c r="M8918" s="4" t="str">
        <f>IFERROR(__xludf.DUMMYFUNCTION("""COMPUTED_VALUE"""),"Consumer Soluções Em Tecnologia Ltda")</f>
        <v>Consumer Soluções Em Tecnologia Ltda</v>
      </c>
      <c r="N8918" s="33">
        <f>IFERROR(__xludf.DUMMYFUNCTION("""COMPUTED_VALUE"""),1.0)</f>
        <v>1</v>
      </c>
      <c r="O8918" s="4" t="str">
        <f>IFERROR(__xludf.DUMMYFUNCTION("""COMPUTED_VALUE"""),"null")</f>
        <v>null</v>
      </c>
      <c r="P8918" s="33">
        <f>IFERROR(__xludf.DUMMYFUNCTION("""COMPUTED_VALUE"""),1.0)</f>
        <v>1</v>
      </c>
      <c r="Q8918" s="4" t="str">
        <f>IFERROR(__xludf.DUMMYFUNCTION("""COMPUTED_VALUE"""),"null")</f>
        <v>null</v>
      </c>
      <c r="R8918" s="33">
        <f>IFERROR(__xludf.DUMMYFUNCTION("""COMPUTED_VALUE"""),1.0)</f>
        <v>1</v>
      </c>
      <c r="S8918" s="4" t="str">
        <f>IFERROR(__xludf.DUMMYFUNCTION("""COMPUTED_VALUE"""),"null")</f>
        <v>null</v>
      </c>
      <c r="T8918" s="33">
        <f>IFERROR(__xludf.DUMMYFUNCTION("""COMPUTED_VALUE"""),1.0)</f>
        <v>1</v>
      </c>
      <c r="U8918" s="4" t="str">
        <f>IFERROR(__xludf.DUMMYFUNCTION("""COMPUTED_VALUE"""),"null")</f>
        <v>null</v>
      </c>
      <c r="V8918" s="33">
        <f>IFERROR(__xludf.DUMMYFUNCTION("""COMPUTED_VALUE"""),1.0)</f>
        <v>1</v>
      </c>
      <c r="W8918" s="4" t="str">
        <f>IFERROR(__xludf.DUMMYFUNCTION("""COMPUTED_VALUE"""),"Consumer Soluções Em Tecnologia Ltda")</f>
        <v>Consumer Soluções Em Tecnologia Ltda</v>
      </c>
      <c r="X8918" s="33">
        <f>IFERROR(__xludf.DUMMYFUNCTION("""COMPUTED_VALUE"""),1.0)</f>
        <v>1</v>
      </c>
    </row>
    <row r="8919">
      <c r="K8919" s="4" t="str">
        <f>IFERROR(__xludf.DUMMYFUNCTION("""COMPUTED_VALUE"""),"SELF PIZZA")</f>
        <v>SELF PIZZA</v>
      </c>
      <c r="L8919" s="32">
        <f>IFERROR(__xludf.DUMMYFUNCTION("""COMPUTED_VALUE"""),1.0)</f>
        <v>1</v>
      </c>
      <c r="M8919" s="4" t="str">
        <f>IFERROR(__xludf.DUMMYFUNCTION("""COMPUTED_VALUE"""),"Agilizup Solucoes Ltda")</f>
        <v>Agilizup Solucoes Ltda</v>
      </c>
      <c r="N8919" s="33">
        <f>IFERROR(__xludf.DUMMYFUNCTION("""COMPUTED_VALUE"""),1.0)</f>
        <v>1</v>
      </c>
      <c r="O8919" s="4" t="str">
        <f>IFERROR(__xludf.DUMMYFUNCTION("""COMPUTED_VALUE"""),"Agilizup Solucoes Ltda")</f>
        <v>Agilizup Solucoes Ltda</v>
      </c>
      <c r="P8919" s="33">
        <f>IFERROR(__xludf.DUMMYFUNCTION("""COMPUTED_VALUE"""),1.0)</f>
        <v>1</v>
      </c>
      <c r="Q8919" s="4" t="str">
        <f>IFERROR(__xludf.DUMMYFUNCTION("""COMPUTED_VALUE"""),"Agilizup Solucoes Ltda")</f>
        <v>Agilizup Solucoes Ltda</v>
      </c>
      <c r="R8919" s="33">
        <f>IFERROR(__xludf.DUMMYFUNCTION("""COMPUTED_VALUE"""),1.0)</f>
        <v>1</v>
      </c>
      <c r="S8919" s="4" t="str">
        <f>IFERROR(__xludf.DUMMYFUNCTION("""COMPUTED_VALUE"""),"Agilizup Solucoes Ltda")</f>
        <v>Agilizup Solucoes Ltda</v>
      </c>
      <c r="T8919" s="33">
        <f>IFERROR(__xludf.DUMMYFUNCTION("""COMPUTED_VALUE"""),1.0)</f>
        <v>1</v>
      </c>
      <c r="U8919" s="4" t="str">
        <f>IFERROR(__xludf.DUMMYFUNCTION("""COMPUTED_VALUE"""),"Agilizup Solucoes Ltda")</f>
        <v>Agilizup Solucoes Ltda</v>
      </c>
      <c r="V8919" s="33">
        <f>IFERROR(__xludf.DUMMYFUNCTION("""COMPUTED_VALUE"""),1.0)</f>
        <v>1</v>
      </c>
      <c r="W8919" s="4" t="str">
        <f>IFERROR(__xludf.DUMMYFUNCTION("""COMPUTED_VALUE"""),"Agilizup Solucoes Ltda")</f>
        <v>Agilizup Solucoes Ltda</v>
      </c>
      <c r="X8919" s="33">
        <f>IFERROR(__xludf.DUMMYFUNCTION("""COMPUTED_VALUE"""),1.0)</f>
        <v>1</v>
      </c>
    </row>
    <row r="8920">
      <c r="K8920" s="4" t="str">
        <f>IFERROR(__xludf.DUMMYFUNCTION("""COMPUTED_VALUE"""),"DELIVERY EXPRESS")</f>
        <v>DELIVERY EXPRESS</v>
      </c>
      <c r="L8920" s="32">
        <f>IFERROR(__xludf.DUMMYFUNCTION("""COMPUTED_VALUE"""),1.0)</f>
        <v>1</v>
      </c>
      <c r="M8920" s="4" t="str">
        <f>IFERROR(__xludf.DUMMYFUNCTION("""COMPUTED_VALUE"""),"Brendi")</f>
        <v>Brendi</v>
      </c>
      <c r="N8920" s="33">
        <f>IFERROR(__xludf.DUMMYFUNCTION("""COMPUTED_VALUE"""),1.0)</f>
        <v>1</v>
      </c>
      <c r="O8920" s="4" t="str">
        <f>IFERROR(__xludf.DUMMYFUNCTION("""COMPUTED_VALUE"""),"Brendi")</f>
        <v>Brendi</v>
      </c>
      <c r="P8920" s="33">
        <f>IFERROR(__xludf.DUMMYFUNCTION("""COMPUTED_VALUE"""),1.0)</f>
        <v>1</v>
      </c>
      <c r="Q8920" s="4" t="str">
        <f>IFERROR(__xludf.DUMMYFUNCTION("""COMPUTED_VALUE"""),"Brendi")</f>
        <v>Brendi</v>
      </c>
      <c r="R8920" s="33">
        <f>IFERROR(__xludf.DUMMYFUNCTION("""COMPUTED_VALUE"""),1.0)</f>
        <v>1</v>
      </c>
      <c r="S8920" s="4" t="str">
        <f>IFERROR(__xludf.DUMMYFUNCTION("""COMPUTED_VALUE"""),"Brendi")</f>
        <v>Brendi</v>
      </c>
      <c r="T8920" s="33">
        <f>IFERROR(__xludf.DUMMYFUNCTION("""COMPUTED_VALUE"""),1.0)</f>
        <v>1</v>
      </c>
      <c r="U8920" s="4" t="str">
        <f>IFERROR(__xludf.DUMMYFUNCTION("""COMPUTED_VALUE"""),"Brendi")</f>
        <v>Brendi</v>
      </c>
      <c r="V8920" s="33">
        <f>IFERROR(__xludf.DUMMYFUNCTION("""COMPUTED_VALUE"""),1.0)</f>
        <v>1</v>
      </c>
      <c r="W8920" s="4" t="str">
        <f>IFERROR(__xludf.DUMMYFUNCTION("""COMPUTED_VALUE"""),"Brendi")</f>
        <v>Brendi</v>
      </c>
      <c r="X8920" s="33">
        <f>IFERROR(__xludf.DUMMYFUNCTION("""COMPUTED_VALUE"""),1.0)</f>
        <v>1</v>
      </c>
    </row>
    <row r="8921">
      <c r="K8921" s="4" t="str">
        <f>IFERROR(__xludf.DUMMYFUNCTION("""COMPUTED_VALUE"""),"ALMOCO PIZZARIA SABOR DA CASA")</f>
        <v>ALMOCO PIZZARIA SABOR DA CASA</v>
      </c>
      <c r="L8921" s="32">
        <f>IFERROR(__xludf.DUMMYFUNCTION("""COMPUTED_VALUE"""),1.0)</f>
        <v>1</v>
      </c>
      <c r="M8921" s="4" t="str">
        <f>IFERROR(__xludf.DUMMYFUNCTION("""COMPUTED_VALUE"""),"Mp Multipedidos")</f>
        <v>Mp Multipedidos</v>
      </c>
      <c r="N8921" s="33">
        <f>IFERROR(__xludf.DUMMYFUNCTION("""COMPUTED_VALUE"""),1.0)</f>
        <v>1</v>
      </c>
      <c r="O8921" s="4" t="str">
        <f>IFERROR(__xludf.DUMMYFUNCTION("""COMPUTED_VALUE"""),"Mp Multipedidos")</f>
        <v>Mp Multipedidos</v>
      </c>
      <c r="P8921" s="33">
        <f>IFERROR(__xludf.DUMMYFUNCTION("""COMPUTED_VALUE"""),1.0)</f>
        <v>1</v>
      </c>
      <c r="Q8921" s="4" t="str">
        <f>IFERROR(__xludf.DUMMYFUNCTION("""COMPUTED_VALUE"""),"Mp Multipedidos")</f>
        <v>Mp Multipedidos</v>
      </c>
      <c r="R8921" s="33">
        <f>IFERROR(__xludf.DUMMYFUNCTION("""COMPUTED_VALUE"""),1.0)</f>
        <v>1</v>
      </c>
      <c r="S8921" s="4" t="str">
        <f>IFERROR(__xludf.DUMMYFUNCTION("""COMPUTED_VALUE"""),"Mp Multipedidos")</f>
        <v>Mp Multipedidos</v>
      </c>
      <c r="T8921" s="33">
        <f>IFERROR(__xludf.DUMMYFUNCTION("""COMPUTED_VALUE"""),1.0)</f>
        <v>1</v>
      </c>
      <c r="U8921" s="4" t="str">
        <f>IFERROR(__xludf.DUMMYFUNCTION("""COMPUTED_VALUE"""),"null")</f>
        <v>null</v>
      </c>
      <c r="V8921" s="33">
        <f>IFERROR(__xludf.DUMMYFUNCTION("""COMPUTED_VALUE"""),1.0)</f>
        <v>1</v>
      </c>
      <c r="W8921" s="4" t="str">
        <f>IFERROR(__xludf.DUMMYFUNCTION("""COMPUTED_VALUE"""),"null")</f>
        <v>null</v>
      </c>
      <c r="X8921" s="33">
        <f>IFERROR(__xludf.DUMMYFUNCTION("""COMPUTED_VALUE"""),1.0)</f>
        <v>1</v>
      </c>
    </row>
    <row r="8922">
      <c r="K8922" s="4" t="str">
        <f>IFERROR(__xludf.DUMMYFUNCTION("""COMPUTED_VALUE"""),"LET S ON GRILL HAMBURGUERIA E CHOPERIA")</f>
        <v>LET S ON GRILL HAMBURGUERIA E CHOPERIA</v>
      </c>
      <c r="L8922" s="32">
        <f>IFERROR(__xludf.DUMMYFUNCTION("""COMPUTED_VALUE"""),1.0)</f>
        <v>1</v>
      </c>
      <c r="M8922" s="4" t="str">
        <f>IFERROR(__xludf.DUMMYFUNCTION("""COMPUTED_VALUE"""),"Agilizae Tecnologia Ltda")</f>
        <v>Agilizae Tecnologia Ltda</v>
      </c>
      <c r="N8922" s="33">
        <f>IFERROR(__xludf.DUMMYFUNCTION("""COMPUTED_VALUE"""),1.0)</f>
        <v>1</v>
      </c>
      <c r="O8922" s="4" t="str">
        <f>IFERROR(__xludf.DUMMYFUNCTION("""COMPUTED_VALUE"""),"Agilizae Tecnologia Ltda")</f>
        <v>Agilizae Tecnologia Ltda</v>
      </c>
      <c r="P8922" s="33">
        <f>IFERROR(__xludf.DUMMYFUNCTION("""COMPUTED_VALUE"""),1.0)</f>
        <v>1</v>
      </c>
      <c r="Q8922" s="4" t="str">
        <f>IFERROR(__xludf.DUMMYFUNCTION("""COMPUTED_VALUE"""),"Agilizae Tecnologia Ltda")</f>
        <v>Agilizae Tecnologia Ltda</v>
      </c>
      <c r="R8922" s="33">
        <f>IFERROR(__xludf.DUMMYFUNCTION("""COMPUTED_VALUE"""),1.0)</f>
        <v>1</v>
      </c>
      <c r="S8922" s="4" t="str">
        <f>IFERROR(__xludf.DUMMYFUNCTION("""COMPUTED_VALUE"""),"Agilizae Tecnologia Ltda")</f>
        <v>Agilizae Tecnologia Ltda</v>
      </c>
      <c r="T8922" s="33">
        <f>IFERROR(__xludf.DUMMYFUNCTION("""COMPUTED_VALUE"""),1.0)</f>
        <v>1</v>
      </c>
      <c r="U8922" s="4" t="str">
        <f>IFERROR(__xludf.DUMMYFUNCTION("""COMPUTED_VALUE"""),"Agilizae Tecnologia Ltda")</f>
        <v>Agilizae Tecnologia Ltda</v>
      </c>
      <c r="V8922" s="33">
        <f>IFERROR(__xludf.DUMMYFUNCTION("""COMPUTED_VALUE"""),1.0)</f>
        <v>1</v>
      </c>
      <c r="W8922" s="4" t="str">
        <f>IFERROR(__xludf.DUMMYFUNCTION("""COMPUTED_VALUE"""),"Agilizae Tecnologia Ltda")</f>
        <v>Agilizae Tecnologia Ltda</v>
      </c>
      <c r="X8922" s="33">
        <f>IFERROR(__xludf.DUMMYFUNCTION("""COMPUTED_VALUE"""),1.0)</f>
        <v>1</v>
      </c>
    </row>
    <row r="8923">
      <c r="K8923" s="4" t="str">
        <f>IFERROR(__xludf.DUMMYFUNCTION("""COMPUTED_VALUE"""),"SALGADOS E DOCES - COOKING DELICAS")</f>
        <v>SALGADOS E DOCES - COOKING DELICAS</v>
      </c>
      <c r="L8923" s="32">
        <f>IFERROR(__xludf.DUMMYFUNCTION("""COMPUTED_VALUE"""),1.0)</f>
        <v>1</v>
      </c>
      <c r="M8923" s="4" t="str">
        <f>IFERROR(__xludf.DUMMYFUNCTION("""COMPUTED_VALUE"""),"Saipos Serviços De Software")</f>
        <v>Saipos Serviços De Software</v>
      </c>
      <c r="N8923" s="33">
        <f>IFERROR(__xludf.DUMMYFUNCTION("""COMPUTED_VALUE"""),1.0)</f>
        <v>1</v>
      </c>
      <c r="O8923" s="4" t="str">
        <f>IFERROR(__xludf.DUMMYFUNCTION("""COMPUTED_VALUE"""),"Saipos Serviços De Software")</f>
        <v>Saipos Serviços De Software</v>
      </c>
      <c r="P8923" s="33">
        <f>IFERROR(__xludf.DUMMYFUNCTION("""COMPUTED_VALUE"""),1.0)</f>
        <v>1</v>
      </c>
      <c r="Q8923" s="4" t="str">
        <f>IFERROR(__xludf.DUMMYFUNCTION("""COMPUTED_VALUE"""),"Saipos Serviços De Software")</f>
        <v>Saipos Serviços De Software</v>
      </c>
      <c r="R8923" s="33">
        <f>IFERROR(__xludf.DUMMYFUNCTION("""COMPUTED_VALUE"""),1.0)</f>
        <v>1</v>
      </c>
      <c r="S8923" s="4" t="str">
        <f>IFERROR(__xludf.DUMMYFUNCTION("""COMPUTED_VALUE"""),"Saipos Serviços De Software")</f>
        <v>Saipos Serviços De Software</v>
      </c>
      <c r="T8923" s="33">
        <f>IFERROR(__xludf.DUMMYFUNCTION("""COMPUTED_VALUE"""),1.0)</f>
        <v>1</v>
      </c>
      <c r="U8923" s="4" t="str">
        <f>IFERROR(__xludf.DUMMYFUNCTION("""COMPUTED_VALUE"""),"Saipos Serviços De Software")</f>
        <v>Saipos Serviços De Software</v>
      </c>
      <c r="V8923" s="33">
        <f>IFERROR(__xludf.DUMMYFUNCTION("""COMPUTED_VALUE"""),1.0)</f>
        <v>1</v>
      </c>
      <c r="W8923" s="4" t="str">
        <f>IFERROR(__xludf.DUMMYFUNCTION("""COMPUTED_VALUE"""),"Saipos Serviços De Software")</f>
        <v>Saipos Serviços De Software</v>
      </c>
      <c r="X8923" s="33">
        <f>IFERROR(__xludf.DUMMYFUNCTION("""COMPUTED_VALUE"""),1.0)</f>
        <v>1</v>
      </c>
    </row>
    <row r="8924">
      <c r="K8924" s="4" t="str">
        <f>IFERROR(__xludf.DUMMYFUNCTION("""COMPUTED_VALUE"""),"TAVERNA COXINHAS - DOCES E SALGADOS")</f>
        <v>TAVERNA COXINHAS - DOCES E SALGADOS</v>
      </c>
      <c r="L8924" s="32">
        <f>IFERROR(__xludf.DUMMYFUNCTION("""COMPUTED_VALUE"""),1.0)</f>
        <v>1</v>
      </c>
      <c r="M8924" s="4" t="str">
        <f>IFERROR(__xludf.DUMMYFUNCTION("""COMPUTED_VALUE"""),"Saipos Serviços De Software")</f>
        <v>Saipos Serviços De Software</v>
      </c>
      <c r="N8924" s="33">
        <f>IFERROR(__xludf.DUMMYFUNCTION("""COMPUTED_VALUE"""),1.0)</f>
        <v>1</v>
      </c>
      <c r="O8924" s="4" t="str">
        <f>IFERROR(__xludf.DUMMYFUNCTION("""COMPUTED_VALUE"""),"Saipos Serviços De Software")</f>
        <v>Saipos Serviços De Software</v>
      </c>
      <c r="P8924" s="33">
        <f>IFERROR(__xludf.DUMMYFUNCTION("""COMPUTED_VALUE"""),1.0)</f>
        <v>1</v>
      </c>
      <c r="Q8924" s="4" t="str">
        <f>IFERROR(__xludf.DUMMYFUNCTION("""COMPUTED_VALUE"""),"Saipos Serviços De Software")</f>
        <v>Saipos Serviços De Software</v>
      </c>
      <c r="R8924" s="33">
        <f>IFERROR(__xludf.DUMMYFUNCTION("""COMPUTED_VALUE"""),1.0)</f>
        <v>1</v>
      </c>
      <c r="S8924" s="4" t="str">
        <f>IFERROR(__xludf.DUMMYFUNCTION("""COMPUTED_VALUE"""),"Saipos Serviços De Software")</f>
        <v>Saipos Serviços De Software</v>
      </c>
      <c r="T8924" s="33">
        <f>IFERROR(__xludf.DUMMYFUNCTION("""COMPUTED_VALUE"""),1.0)</f>
        <v>1</v>
      </c>
      <c r="U8924" s="4" t="str">
        <f>IFERROR(__xludf.DUMMYFUNCTION("""COMPUTED_VALUE"""),"Saipos Serviços De Software")</f>
        <v>Saipos Serviços De Software</v>
      </c>
      <c r="V8924" s="33">
        <f>IFERROR(__xludf.DUMMYFUNCTION("""COMPUTED_VALUE"""),1.0)</f>
        <v>1</v>
      </c>
      <c r="W8924" s="4" t="str">
        <f>IFERROR(__xludf.DUMMYFUNCTION("""COMPUTED_VALUE"""),"Saipos Serviços De Software")</f>
        <v>Saipos Serviços De Software</v>
      </c>
      <c r="X8924" s="33">
        <f>IFERROR(__xludf.DUMMYFUNCTION("""COMPUTED_VALUE"""),1.0)</f>
        <v>1</v>
      </c>
    </row>
    <row r="8925">
      <c r="K8925" s="4" t="str">
        <f>IFERROR(__xludf.DUMMYFUNCTION("""COMPUTED_VALUE"""),"PIZZARIA OH PIZZA")</f>
        <v>PIZZARIA OH PIZZA</v>
      </c>
      <c r="L8925" s="32">
        <f>IFERROR(__xludf.DUMMYFUNCTION("""COMPUTED_VALUE"""),1.0)</f>
        <v>1</v>
      </c>
      <c r="M8925" s="4" t="str">
        <f>IFERROR(__xludf.DUMMYFUNCTION("""COMPUTED_VALUE"""),"Cardápio Web")</f>
        <v>Cardápio Web</v>
      </c>
      <c r="N8925" s="33">
        <f>IFERROR(__xludf.DUMMYFUNCTION("""COMPUTED_VALUE"""),1.0)</f>
        <v>1</v>
      </c>
      <c r="O8925" s="4" t="str">
        <f>IFERROR(__xludf.DUMMYFUNCTION("""COMPUTED_VALUE"""),"null")</f>
        <v>null</v>
      </c>
      <c r="P8925" s="33">
        <f>IFERROR(__xludf.DUMMYFUNCTION("""COMPUTED_VALUE"""),1.0)</f>
        <v>1</v>
      </c>
      <c r="Q8925" s="4" t="str">
        <f>IFERROR(__xludf.DUMMYFUNCTION("""COMPUTED_VALUE"""),"Cardápio Web")</f>
        <v>Cardápio Web</v>
      </c>
      <c r="R8925" s="33">
        <f>IFERROR(__xludf.DUMMYFUNCTION("""COMPUTED_VALUE"""),1.0)</f>
        <v>1</v>
      </c>
      <c r="S8925" s="4" t="str">
        <f>IFERROR(__xludf.DUMMYFUNCTION("""COMPUTED_VALUE"""),"Cardápio Web")</f>
        <v>Cardápio Web</v>
      </c>
      <c r="T8925" s="33">
        <f>IFERROR(__xludf.DUMMYFUNCTION("""COMPUTED_VALUE"""),1.0)</f>
        <v>1</v>
      </c>
      <c r="U8925" s="4" t="str">
        <f>IFERROR(__xludf.DUMMYFUNCTION("""COMPUTED_VALUE"""),"Cardápio Web")</f>
        <v>Cardápio Web</v>
      </c>
      <c r="V8925" s="33">
        <f>IFERROR(__xludf.DUMMYFUNCTION("""COMPUTED_VALUE"""),1.0)</f>
        <v>1</v>
      </c>
      <c r="W8925" s="4" t="str">
        <f>IFERROR(__xludf.DUMMYFUNCTION("""COMPUTED_VALUE"""),"Cardápio Web")</f>
        <v>Cardápio Web</v>
      </c>
      <c r="X8925" s="33">
        <f>IFERROR(__xludf.DUMMYFUNCTION("""COMPUTED_VALUE"""),1.0)</f>
        <v>1</v>
      </c>
    </row>
    <row r="8926">
      <c r="K8926" s="4" t="str">
        <f>IFERROR(__xludf.DUMMYFUNCTION("""COMPUTED_VALUE"""),"MARY BOOM BURGER")</f>
        <v>MARY BOOM BURGER</v>
      </c>
      <c r="L8926" s="32">
        <f>IFERROR(__xludf.DUMMYFUNCTION("""COMPUTED_VALUE"""),1.0)</f>
        <v>1</v>
      </c>
      <c r="M8926" s="4" t="str">
        <f>IFERROR(__xludf.DUMMYFUNCTION("""COMPUTED_VALUE"""),"null")</f>
        <v>null</v>
      </c>
      <c r="N8926" s="33">
        <f>IFERROR(__xludf.DUMMYFUNCTION("""COMPUTED_VALUE"""),1.0)</f>
        <v>1</v>
      </c>
      <c r="O8926" s="4" t="str">
        <f>IFERROR(__xludf.DUMMYFUNCTION("""COMPUTED_VALUE"""),"null")</f>
        <v>null</v>
      </c>
      <c r="P8926" s="33">
        <f>IFERROR(__xludf.DUMMYFUNCTION("""COMPUTED_VALUE"""),1.0)</f>
        <v>1</v>
      </c>
      <c r="Q8926" s="4" t="str">
        <f>IFERROR(__xludf.DUMMYFUNCTION("""COMPUTED_VALUE"""),"null")</f>
        <v>null</v>
      </c>
      <c r="R8926" s="33">
        <f>IFERROR(__xludf.DUMMYFUNCTION("""COMPUTED_VALUE"""),1.0)</f>
        <v>1</v>
      </c>
      <c r="S8926" s="4" t="str">
        <f>IFERROR(__xludf.DUMMYFUNCTION("""COMPUTED_VALUE"""),"Wls Solucoes Empresariais Ltda")</f>
        <v>Wls Solucoes Empresariais Ltda</v>
      </c>
      <c r="T8926" s="33">
        <f>IFERROR(__xludf.DUMMYFUNCTION("""COMPUTED_VALUE"""),1.0)</f>
        <v>1</v>
      </c>
      <c r="U8926" s="4" t="str">
        <f>IFERROR(__xludf.DUMMYFUNCTION("""COMPUTED_VALUE"""),"null")</f>
        <v>null</v>
      </c>
      <c r="V8926" s="33">
        <f>IFERROR(__xludf.DUMMYFUNCTION("""COMPUTED_VALUE"""),1.0)</f>
        <v>1</v>
      </c>
      <c r="W8926" s="4" t="str">
        <f>IFERROR(__xludf.DUMMYFUNCTION("""COMPUTED_VALUE"""),"null")</f>
        <v>null</v>
      </c>
      <c r="X8926" s="33">
        <f>IFERROR(__xludf.DUMMYFUNCTION("""COMPUTED_VALUE"""),1.0)</f>
        <v>1</v>
      </c>
    </row>
    <row r="8927">
      <c r="K8927" s="4" t="str">
        <f>IFERROR(__xludf.DUMMYFUNCTION("""COMPUTED_VALUE"""),"FRED CHICKEN - FRANGO FRITO PATTEO")</f>
        <v>FRED CHICKEN - FRANGO FRITO PATTEO</v>
      </c>
      <c r="L8927" s="32">
        <f>IFERROR(__xludf.DUMMYFUNCTION("""COMPUTED_VALUE"""),1.0)</f>
        <v>1</v>
      </c>
      <c r="M8927" s="4" t="str">
        <f>IFERROR(__xludf.DUMMYFUNCTION("""COMPUTED_VALUE"""),"Stone Co.")</f>
        <v>Stone Co.</v>
      </c>
      <c r="N8927" s="33">
        <f>IFERROR(__xludf.DUMMYFUNCTION("""COMPUTED_VALUE"""),1.0)</f>
        <v>1</v>
      </c>
      <c r="O8927" s="4" t="str">
        <f>IFERROR(__xludf.DUMMYFUNCTION("""COMPUTED_VALUE"""),"Stone Co.")</f>
        <v>Stone Co.</v>
      </c>
      <c r="P8927" s="33">
        <f>IFERROR(__xludf.DUMMYFUNCTION("""COMPUTED_VALUE"""),1.0)</f>
        <v>1</v>
      </c>
      <c r="Q8927" s="4" t="str">
        <f>IFERROR(__xludf.DUMMYFUNCTION("""COMPUTED_VALUE"""),"Stone Co.")</f>
        <v>Stone Co.</v>
      </c>
      <c r="R8927" s="33">
        <f>IFERROR(__xludf.DUMMYFUNCTION("""COMPUTED_VALUE"""),1.0)</f>
        <v>1</v>
      </c>
      <c r="S8927" s="4" t="str">
        <f>IFERROR(__xludf.DUMMYFUNCTION("""COMPUTED_VALUE"""),"Stone Co.")</f>
        <v>Stone Co.</v>
      </c>
      <c r="T8927" s="33">
        <f>IFERROR(__xludf.DUMMYFUNCTION("""COMPUTED_VALUE"""),1.0)</f>
        <v>1</v>
      </c>
      <c r="U8927" s="4" t="str">
        <f>IFERROR(__xludf.DUMMYFUNCTION("""COMPUTED_VALUE"""),"Stone Co.")</f>
        <v>Stone Co.</v>
      </c>
      <c r="V8927" s="33">
        <f>IFERROR(__xludf.DUMMYFUNCTION("""COMPUTED_VALUE"""),1.0)</f>
        <v>1</v>
      </c>
      <c r="W8927" s="4" t="str">
        <f>IFERROR(__xludf.DUMMYFUNCTION("""COMPUTED_VALUE"""),"Stone Co.")</f>
        <v>Stone Co.</v>
      </c>
      <c r="X8927" s="33">
        <f>IFERROR(__xludf.DUMMYFUNCTION("""COMPUTED_VALUE"""),1.0)</f>
        <v>1</v>
      </c>
    </row>
    <row r="8928">
      <c r="K8928" s="4" t="str">
        <f>IFERROR(__xludf.DUMMYFUNCTION("""COMPUTED_VALUE"""),"LA CASA DE PIZZA GRIL")</f>
        <v>LA CASA DE PIZZA GRIL</v>
      </c>
      <c r="L8928" s="32">
        <f>IFERROR(__xludf.DUMMYFUNCTION("""COMPUTED_VALUE"""),1.0)</f>
        <v>1</v>
      </c>
      <c r="M8928" s="4" t="str">
        <f>IFERROR(__xludf.DUMMYFUNCTION("""COMPUTED_VALUE"""),"Anota Ai Solucoes Digitais S/a")</f>
        <v>Anota Ai Solucoes Digitais S/a</v>
      </c>
      <c r="N8928" s="33">
        <f>IFERROR(__xludf.DUMMYFUNCTION("""COMPUTED_VALUE"""),1.0)</f>
        <v>1</v>
      </c>
      <c r="O8928" s="4" t="str">
        <f>IFERROR(__xludf.DUMMYFUNCTION("""COMPUTED_VALUE"""),"Anota Ai Solucoes Digitais S/a")</f>
        <v>Anota Ai Solucoes Digitais S/a</v>
      </c>
      <c r="P8928" s="33">
        <f>IFERROR(__xludf.DUMMYFUNCTION("""COMPUTED_VALUE"""),1.0)</f>
        <v>1</v>
      </c>
      <c r="Q8928" s="4" t="str">
        <f>IFERROR(__xludf.DUMMYFUNCTION("""COMPUTED_VALUE"""),"Anota Ai Solucoes Digitais S/a")</f>
        <v>Anota Ai Solucoes Digitais S/a</v>
      </c>
      <c r="R8928" s="33">
        <f>IFERROR(__xludf.DUMMYFUNCTION("""COMPUTED_VALUE"""),1.0)</f>
        <v>1</v>
      </c>
      <c r="S8928" s="4" t="str">
        <f>IFERROR(__xludf.DUMMYFUNCTION("""COMPUTED_VALUE"""),"Anota Ai Solucoes Digitais S/a")</f>
        <v>Anota Ai Solucoes Digitais S/a</v>
      </c>
      <c r="T8928" s="33">
        <f>IFERROR(__xludf.DUMMYFUNCTION("""COMPUTED_VALUE"""),1.0)</f>
        <v>1</v>
      </c>
      <c r="U8928" s="4" t="str">
        <f>IFERROR(__xludf.DUMMYFUNCTION("""COMPUTED_VALUE"""),"Anota Ai Solucoes Digitais S/a")</f>
        <v>Anota Ai Solucoes Digitais S/a</v>
      </c>
      <c r="V8928" s="33">
        <f>IFERROR(__xludf.DUMMYFUNCTION("""COMPUTED_VALUE"""),1.0)</f>
        <v>1</v>
      </c>
      <c r="W8928" s="4" t="str">
        <f>IFERROR(__xludf.DUMMYFUNCTION("""COMPUTED_VALUE"""),"Anota Ai Solucoes Digitais S/a")</f>
        <v>Anota Ai Solucoes Digitais S/a</v>
      </c>
      <c r="X8928" s="33">
        <f>IFERROR(__xludf.DUMMYFUNCTION("""COMPUTED_VALUE"""),1.0)</f>
        <v>1</v>
      </c>
    </row>
    <row r="8929">
      <c r="K8929" s="4" t="str">
        <f>IFERROR(__xludf.DUMMYFUNCTION("""COMPUTED_VALUE"""),"GHADA ARABIC FOOD")</f>
        <v>GHADA ARABIC FOOD</v>
      </c>
      <c r="L8929" s="32">
        <f>IFERROR(__xludf.DUMMYFUNCTION("""COMPUTED_VALUE"""),1.0)</f>
        <v>1</v>
      </c>
      <c r="M8929" s="4" t="str">
        <f>IFERROR(__xludf.DUMMYFUNCTION("""COMPUTED_VALUE"""),"Sagres Automação Comercial")</f>
        <v>Sagres Automação Comercial</v>
      </c>
      <c r="N8929" s="33">
        <f>IFERROR(__xludf.DUMMYFUNCTION("""COMPUTED_VALUE"""),1.0)</f>
        <v>1</v>
      </c>
      <c r="O8929" s="4" t="str">
        <f>IFERROR(__xludf.DUMMYFUNCTION("""COMPUTED_VALUE"""),"Sagres Automação Comercial")</f>
        <v>Sagres Automação Comercial</v>
      </c>
      <c r="P8929" s="33">
        <f>IFERROR(__xludf.DUMMYFUNCTION("""COMPUTED_VALUE"""),1.0)</f>
        <v>1</v>
      </c>
      <c r="Q8929" s="4" t="str">
        <f>IFERROR(__xludf.DUMMYFUNCTION("""COMPUTED_VALUE"""),"Sagres Automação Comercial")</f>
        <v>Sagres Automação Comercial</v>
      </c>
      <c r="R8929" s="33">
        <f>IFERROR(__xludf.DUMMYFUNCTION("""COMPUTED_VALUE"""),1.0)</f>
        <v>1</v>
      </c>
      <c r="S8929" s="4" t="str">
        <f>IFERROR(__xludf.DUMMYFUNCTION("""COMPUTED_VALUE"""),"Sagres Automação Comercial")</f>
        <v>Sagres Automação Comercial</v>
      </c>
      <c r="T8929" s="33">
        <f>IFERROR(__xludf.DUMMYFUNCTION("""COMPUTED_VALUE"""),1.0)</f>
        <v>1</v>
      </c>
      <c r="U8929" s="4" t="str">
        <f>IFERROR(__xludf.DUMMYFUNCTION("""COMPUTED_VALUE"""),"Sagres Automação Comercial")</f>
        <v>Sagres Automação Comercial</v>
      </c>
      <c r="V8929" s="33">
        <f>IFERROR(__xludf.DUMMYFUNCTION("""COMPUTED_VALUE"""),1.0)</f>
        <v>1</v>
      </c>
      <c r="W8929" s="4" t="str">
        <f>IFERROR(__xludf.DUMMYFUNCTION("""COMPUTED_VALUE"""),"Sagres Automação Comercial")</f>
        <v>Sagres Automação Comercial</v>
      </c>
      <c r="X8929" s="33">
        <f>IFERROR(__xludf.DUMMYFUNCTION("""COMPUTED_VALUE"""),1.0)</f>
        <v>1</v>
      </c>
    </row>
    <row r="8930">
      <c r="K8930" s="4" t="str">
        <f>IFERROR(__xludf.DUMMYFUNCTION("""COMPUTED_VALUE"""),"HEY PIZZAS - LONGA FERMENTACAO")</f>
        <v>HEY PIZZAS - LONGA FERMENTACAO</v>
      </c>
      <c r="L8930" s="32">
        <f>IFERROR(__xludf.DUMMYFUNCTION("""COMPUTED_VALUE"""),1.0)</f>
        <v>1</v>
      </c>
      <c r="M8930" s="4" t="str">
        <f>IFERROR(__xludf.DUMMYFUNCTION("""COMPUTED_VALUE"""),"Saipos Serviços De Software")</f>
        <v>Saipos Serviços De Software</v>
      </c>
      <c r="N8930" s="33">
        <f>IFERROR(__xludf.DUMMYFUNCTION("""COMPUTED_VALUE"""),1.0)</f>
        <v>1</v>
      </c>
      <c r="O8930" s="4" t="str">
        <f>IFERROR(__xludf.DUMMYFUNCTION("""COMPUTED_VALUE"""),"Saipos Serviços De Software")</f>
        <v>Saipos Serviços De Software</v>
      </c>
      <c r="P8930" s="33">
        <f>IFERROR(__xludf.DUMMYFUNCTION("""COMPUTED_VALUE"""),1.0)</f>
        <v>1</v>
      </c>
      <c r="Q8930" s="4" t="str">
        <f>IFERROR(__xludf.DUMMYFUNCTION("""COMPUTED_VALUE"""),"Saipos Serviços De Software")</f>
        <v>Saipos Serviços De Software</v>
      </c>
      <c r="R8930" s="33">
        <f>IFERROR(__xludf.DUMMYFUNCTION("""COMPUTED_VALUE"""),1.0)</f>
        <v>1</v>
      </c>
      <c r="S8930" s="4" t="str">
        <f>IFERROR(__xludf.DUMMYFUNCTION("""COMPUTED_VALUE"""),"Saipos Serviços De Software")</f>
        <v>Saipos Serviços De Software</v>
      </c>
      <c r="T8930" s="33">
        <f>IFERROR(__xludf.DUMMYFUNCTION("""COMPUTED_VALUE"""),1.0)</f>
        <v>1</v>
      </c>
      <c r="U8930" s="4" t="str">
        <f>IFERROR(__xludf.DUMMYFUNCTION("""COMPUTED_VALUE"""),"Saipos Serviços De Software")</f>
        <v>Saipos Serviços De Software</v>
      </c>
      <c r="V8930" s="33">
        <f>IFERROR(__xludf.DUMMYFUNCTION("""COMPUTED_VALUE"""),1.0)</f>
        <v>1</v>
      </c>
      <c r="W8930" s="4" t="str">
        <f>IFERROR(__xludf.DUMMYFUNCTION("""COMPUTED_VALUE"""),"Saipos Serviços De Software")</f>
        <v>Saipos Serviços De Software</v>
      </c>
      <c r="X8930" s="33">
        <f>IFERROR(__xludf.DUMMYFUNCTION("""COMPUTED_VALUE"""),1.0)</f>
        <v>1</v>
      </c>
    </row>
    <row r="8931">
      <c r="K8931" s="4" t="str">
        <f>IFERROR(__xludf.DUMMYFUNCTION("""COMPUTED_VALUE"""),"LARICA PASTELARIABORDA DO CAMPO")</f>
        <v>LARICA PASTELARIABORDA DO CAMPO</v>
      </c>
      <c r="L8931" s="32">
        <f>IFERROR(__xludf.DUMMYFUNCTION("""COMPUTED_VALUE"""),1.0)</f>
        <v>1</v>
      </c>
      <c r="M8931" s="4" t="str">
        <f>IFERROR(__xludf.DUMMYFUNCTION("""COMPUTED_VALUE"""),"Anota Ai Solucoes Digitais S/a")</f>
        <v>Anota Ai Solucoes Digitais S/a</v>
      </c>
      <c r="N8931" s="33">
        <f>IFERROR(__xludf.DUMMYFUNCTION("""COMPUTED_VALUE"""),1.0)</f>
        <v>1</v>
      </c>
      <c r="O8931" s="4" t="str">
        <f>IFERROR(__xludf.DUMMYFUNCTION("""COMPUTED_VALUE"""),"Anota Ai Solucoes Digitais S/a")</f>
        <v>Anota Ai Solucoes Digitais S/a</v>
      </c>
      <c r="P8931" s="33">
        <f>IFERROR(__xludf.DUMMYFUNCTION("""COMPUTED_VALUE"""),1.0)</f>
        <v>1</v>
      </c>
      <c r="Q8931" s="4" t="str">
        <f>IFERROR(__xludf.DUMMYFUNCTION("""COMPUTED_VALUE"""),"Anota Ai Solucoes Digitais S/a")</f>
        <v>Anota Ai Solucoes Digitais S/a</v>
      </c>
      <c r="R8931" s="33">
        <f>IFERROR(__xludf.DUMMYFUNCTION("""COMPUTED_VALUE"""),1.0)</f>
        <v>1</v>
      </c>
      <c r="S8931" s="4" t="str">
        <f>IFERROR(__xludf.DUMMYFUNCTION("""COMPUTED_VALUE"""),"Anota Ai Solucoes Digitais S/a")</f>
        <v>Anota Ai Solucoes Digitais S/a</v>
      </c>
      <c r="T8931" s="33">
        <f>IFERROR(__xludf.DUMMYFUNCTION("""COMPUTED_VALUE"""),1.0)</f>
        <v>1</v>
      </c>
      <c r="U8931" s="4" t="str">
        <f>IFERROR(__xludf.DUMMYFUNCTION("""COMPUTED_VALUE"""),"Anota Ai Solucoes Digitais S/a")</f>
        <v>Anota Ai Solucoes Digitais S/a</v>
      </c>
      <c r="V8931" s="33">
        <f>IFERROR(__xludf.DUMMYFUNCTION("""COMPUTED_VALUE"""),1.0)</f>
        <v>1</v>
      </c>
      <c r="W8931" s="4" t="str">
        <f>IFERROR(__xludf.DUMMYFUNCTION("""COMPUTED_VALUE"""),"Anota Ai Solucoes Digitais S/a")</f>
        <v>Anota Ai Solucoes Digitais S/a</v>
      </c>
      <c r="X8931" s="33">
        <f>IFERROR(__xludf.DUMMYFUNCTION("""COMPUTED_VALUE"""),1.0)</f>
        <v>1</v>
      </c>
    </row>
    <row r="8932">
      <c r="K8932" s="4" t="str">
        <f>IFERROR(__xludf.DUMMYFUNCTION("""COMPUTED_VALUE"""),"BURGER QUEEN")</f>
        <v>BURGER QUEEN</v>
      </c>
      <c r="L8932" s="32">
        <f>IFERROR(__xludf.DUMMYFUNCTION("""COMPUTED_VALUE"""),1.0)</f>
        <v>1</v>
      </c>
      <c r="M8932" s="4" t="str">
        <f>IFERROR(__xludf.DUMMYFUNCTION("""COMPUTED_VALUE"""),"Yooga")</f>
        <v>Yooga</v>
      </c>
      <c r="N8932" s="33">
        <f>IFERROR(__xludf.DUMMYFUNCTION("""COMPUTED_VALUE"""),1.0)</f>
        <v>1</v>
      </c>
      <c r="O8932" s="4" t="str">
        <f>IFERROR(__xludf.DUMMYFUNCTION("""COMPUTED_VALUE"""),"Yooga")</f>
        <v>Yooga</v>
      </c>
      <c r="P8932" s="33">
        <f>IFERROR(__xludf.DUMMYFUNCTION("""COMPUTED_VALUE"""),1.0)</f>
        <v>1</v>
      </c>
      <c r="Q8932" s="4" t="str">
        <f>IFERROR(__xludf.DUMMYFUNCTION("""COMPUTED_VALUE"""),"Yooga")</f>
        <v>Yooga</v>
      </c>
      <c r="R8932" s="33">
        <f>IFERROR(__xludf.DUMMYFUNCTION("""COMPUTED_VALUE"""),1.0)</f>
        <v>1</v>
      </c>
      <c r="S8932" s="4" t="str">
        <f>IFERROR(__xludf.DUMMYFUNCTION("""COMPUTED_VALUE"""),"Yooga")</f>
        <v>Yooga</v>
      </c>
      <c r="T8932" s="33">
        <f>IFERROR(__xludf.DUMMYFUNCTION("""COMPUTED_VALUE"""),1.0)</f>
        <v>1</v>
      </c>
      <c r="U8932" s="4" t="str">
        <f>IFERROR(__xludf.DUMMYFUNCTION("""COMPUTED_VALUE"""),"Yooga")</f>
        <v>Yooga</v>
      </c>
      <c r="V8932" s="33">
        <f>IFERROR(__xludf.DUMMYFUNCTION("""COMPUTED_VALUE"""),1.0)</f>
        <v>1</v>
      </c>
      <c r="W8932" s="4" t="str">
        <f>IFERROR(__xludf.DUMMYFUNCTION("""COMPUTED_VALUE"""),"Yooga")</f>
        <v>Yooga</v>
      </c>
      <c r="X8932" s="33">
        <f>IFERROR(__xludf.DUMMYFUNCTION("""COMPUTED_VALUE"""),1.0)</f>
        <v>1</v>
      </c>
    </row>
    <row r="8933">
      <c r="K8933" s="4" t="str">
        <f>IFERROR(__xludf.DUMMYFUNCTION("""COMPUTED_VALUE"""),"DONALD LANCHES - DONNA FOODS")</f>
        <v>DONALD LANCHES - DONNA FOODS</v>
      </c>
      <c r="L8933" s="32">
        <f>IFERROR(__xludf.DUMMYFUNCTION("""COMPUTED_VALUE"""),1.0)</f>
        <v>1</v>
      </c>
      <c r="M8933" s="4" t="str">
        <f>IFERROR(__xludf.DUMMYFUNCTION("""COMPUTED_VALUE"""),"Campos Grutzmacher E Cia Ltda")</f>
        <v>Campos Grutzmacher E Cia Ltda</v>
      </c>
      <c r="N8933" s="33">
        <f>IFERROR(__xludf.DUMMYFUNCTION("""COMPUTED_VALUE"""),1.0)</f>
        <v>1</v>
      </c>
      <c r="O8933" s="4" t="str">
        <f>IFERROR(__xludf.DUMMYFUNCTION("""COMPUTED_VALUE"""),"Campos Grutzmacher E Cia Ltda")</f>
        <v>Campos Grutzmacher E Cia Ltda</v>
      </c>
      <c r="P8933" s="33">
        <f>IFERROR(__xludf.DUMMYFUNCTION("""COMPUTED_VALUE"""),1.0)</f>
        <v>1</v>
      </c>
      <c r="Q8933" s="4" t="str">
        <f>IFERROR(__xludf.DUMMYFUNCTION("""COMPUTED_VALUE"""),"Campos Grutzmacher E Cia Ltda")</f>
        <v>Campos Grutzmacher E Cia Ltda</v>
      </c>
      <c r="R8933" s="33">
        <f>IFERROR(__xludf.DUMMYFUNCTION("""COMPUTED_VALUE"""),1.0)</f>
        <v>1</v>
      </c>
      <c r="S8933" s="4" t="str">
        <f>IFERROR(__xludf.DUMMYFUNCTION("""COMPUTED_VALUE"""),"Campos Grutzmacher E Cia Ltda")</f>
        <v>Campos Grutzmacher E Cia Ltda</v>
      </c>
      <c r="T8933" s="33">
        <f>IFERROR(__xludf.DUMMYFUNCTION("""COMPUTED_VALUE"""),1.0)</f>
        <v>1</v>
      </c>
      <c r="U8933" s="4" t="str">
        <f>IFERROR(__xludf.DUMMYFUNCTION("""COMPUTED_VALUE"""),"Campos Grutzmacher E Cia Ltda")</f>
        <v>Campos Grutzmacher E Cia Ltda</v>
      </c>
      <c r="V8933" s="33">
        <f>IFERROR(__xludf.DUMMYFUNCTION("""COMPUTED_VALUE"""),1.0)</f>
        <v>1</v>
      </c>
      <c r="W8933" s="4" t="str">
        <f>IFERROR(__xludf.DUMMYFUNCTION("""COMPUTED_VALUE"""),"Campos Grutzmacher E Cia Ltda")</f>
        <v>Campos Grutzmacher E Cia Ltda</v>
      </c>
      <c r="X8933" s="33">
        <f>IFERROR(__xludf.DUMMYFUNCTION("""COMPUTED_VALUE"""),1.0)</f>
        <v>1</v>
      </c>
    </row>
    <row r="8934">
      <c r="K8934" s="4" t="str">
        <f>IFERROR(__xludf.DUMMYFUNCTION("""COMPUTED_VALUE"""),"SASAKI SUSHI PVH")</f>
        <v>SASAKI SUSHI PVH</v>
      </c>
      <c r="L8934" s="32">
        <f>IFERROR(__xludf.DUMMYFUNCTION("""COMPUTED_VALUE"""),1.0)</f>
        <v>1</v>
      </c>
      <c r="M8934" s="4" t="str">
        <f>IFERROR(__xludf.DUMMYFUNCTION("""COMPUTED_VALUE"""),"Gama Tecnologias Ltda")</f>
        <v>Gama Tecnologias Ltda</v>
      </c>
      <c r="N8934" s="33">
        <f>IFERROR(__xludf.DUMMYFUNCTION("""COMPUTED_VALUE"""),1.0)</f>
        <v>1</v>
      </c>
      <c r="O8934" s="4" t="str">
        <f>IFERROR(__xludf.DUMMYFUNCTION("""COMPUTED_VALUE"""),"Gama Tecnologias Ltda")</f>
        <v>Gama Tecnologias Ltda</v>
      </c>
      <c r="P8934" s="33">
        <f>IFERROR(__xludf.DUMMYFUNCTION("""COMPUTED_VALUE"""),1.0)</f>
        <v>1</v>
      </c>
      <c r="Q8934" s="4" t="str">
        <f>IFERROR(__xludf.DUMMYFUNCTION("""COMPUTED_VALUE"""),"Gama Tecnologias Ltda")</f>
        <v>Gama Tecnologias Ltda</v>
      </c>
      <c r="R8934" s="33">
        <f>IFERROR(__xludf.DUMMYFUNCTION("""COMPUTED_VALUE"""),1.0)</f>
        <v>1</v>
      </c>
      <c r="S8934" s="4" t="str">
        <f>IFERROR(__xludf.DUMMYFUNCTION("""COMPUTED_VALUE"""),"Gama Tecnologias Ltda")</f>
        <v>Gama Tecnologias Ltda</v>
      </c>
      <c r="T8934" s="33">
        <f>IFERROR(__xludf.DUMMYFUNCTION("""COMPUTED_VALUE"""),1.0)</f>
        <v>1</v>
      </c>
      <c r="U8934" s="4" t="str">
        <f>IFERROR(__xludf.DUMMYFUNCTION("""COMPUTED_VALUE"""),"null")</f>
        <v>null</v>
      </c>
      <c r="V8934" s="33">
        <f>IFERROR(__xludf.DUMMYFUNCTION("""COMPUTED_VALUE"""),1.0)</f>
        <v>1</v>
      </c>
      <c r="W8934" s="4" t="str">
        <f>IFERROR(__xludf.DUMMYFUNCTION("""COMPUTED_VALUE"""),"null")</f>
        <v>null</v>
      </c>
      <c r="X8934" s="33">
        <f>IFERROR(__xludf.DUMMYFUNCTION("""COMPUTED_VALUE"""),1.0)</f>
        <v>1</v>
      </c>
    </row>
    <row r="8935">
      <c r="K8935" s="4" t="str">
        <f>IFERROR(__xludf.DUMMYFUNCTION("""COMPUTED_VALUE"""),"TROPICANO BURGUER - BARRA DO JUCU")</f>
        <v>TROPICANO BURGUER - BARRA DO JUCU</v>
      </c>
      <c r="L8935" s="32">
        <f>IFERROR(__xludf.DUMMYFUNCTION("""COMPUTED_VALUE"""),1.0)</f>
        <v>1</v>
      </c>
      <c r="M8935" s="4" t="str">
        <f>IFERROR(__xludf.DUMMYFUNCTION("""COMPUTED_VALUE"""),"Cardápio Web")</f>
        <v>Cardápio Web</v>
      </c>
      <c r="N8935" s="33">
        <f>IFERROR(__xludf.DUMMYFUNCTION("""COMPUTED_VALUE"""),1.0)</f>
        <v>1</v>
      </c>
      <c r="O8935" s="4" t="str">
        <f>IFERROR(__xludf.DUMMYFUNCTION("""COMPUTED_VALUE"""),"Cardápio Web")</f>
        <v>Cardápio Web</v>
      </c>
      <c r="P8935" s="33">
        <f>IFERROR(__xludf.DUMMYFUNCTION("""COMPUTED_VALUE"""),1.0)</f>
        <v>1</v>
      </c>
      <c r="Q8935" s="4" t="str">
        <f>IFERROR(__xludf.DUMMYFUNCTION("""COMPUTED_VALUE"""),"Cardápio Web")</f>
        <v>Cardápio Web</v>
      </c>
      <c r="R8935" s="33">
        <f>IFERROR(__xludf.DUMMYFUNCTION("""COMPUTED_VALUE"""),1.0)</f>
        <v>1</v>
      </c>
      <c r="S8935" s="4" t="str">
        <f>IFERROR(__xludf.DUMMYFUNCTION("""COMPUTED_VALUE"""),"Cardápio Web")</f>
        <v>Cardápio Web</v>
      </c>
      <c r="T8935" s="33">
        <f>IFERROR(__xludf.DUMMYFUNCTION("""COMPUTED_VALUE"""),1.0)</f>
        <v>1</v>
      </c>
      <c r="U8935" s="4" t="str">
        <f>IFERROR(__xludf.DUMMYFUNCTION("""COMPUTED_VALUE"""),"Cardápio Web")</f>
        <v>Cardápio Web</v>
      </c>
      <c r="V8935" s="33">
        <f>IFERROR(__xludf.DUMMYFUNCTION("""COMPUTED_VALUE"""),1.0)</f>
        <v>1</v>
      </c>
      <c r="W8935" s="4" t="str">
        <f>IFERROR(__xludf.DUMMYFUNCTION("""COMPUTED_VALUE"""),"Cardápio Web")</f>
        <v>Cardápio Web</v>
      </c>
      <c r="X8935" s="33">
        <f>IFERROR(__xludf.DUMMYFUNCTION("""COMPUTED_VALUE"""),1.0)</f>
        <v>1</v>
      </c>
    </row>
    <row r="8936">
      <c r="K8936" s="4" t="str">
        <f>IFERROR(__xludf.DUMMYFUNCTION("""COMPUTED_VALUE"""),"PLATAFORMA 375")</f>
        <v>PLATAFORMA 375</v>
      </c>
      <c r="L8936" s="32">
        <f>IFERROR(__xludf.DUMMYFUNCTION("""COMPUTED_VALUE"""),1.0)</f>
        <v>1</v>
      </c>
      <c r="M8936" s="4" t="str">
        <f>IFERROR(__xludf.DUMMYFUNCTION("""COMPUTED_VALUE"""),"null")</f>
        <v>null</v>
      </c>
      <c r="N8936" s="33">
        <f>IFERROR(__xludf.DUMMYFUNCTION("""COMPUTED_VALUE"""),1.0)</f>
        <v>1</v>
      </c>
      <c r="O8936" s="4" t="str">
        <f>IFERROR(__xludf.DUMMYFUNCTION("""COMPUTED_VALUE"""),"null")</f>
        <v>null</v>
      </c>
      <c r="P8936" s="33">
        <f>IFERROR(__xludf.DUMMYFUNCTION("""COMPUTED_VALUE"""),1.0)</f>
        <v>1</v>
      </c>
      <c r="Q8936" s="4" t="str">
        <f>IFERROR(__xludf.DUMMYFUNCTION("""COMPUTED_VALUE"""),"null")</f>
        <v>null</v>
      </c>
      <c r="R8936" s="33">
        <f>IFERROR(__xludf.DUMMYFUNCTION("""COMPUTED_VALUE"""),1.0)</f>
        <v>1</v>
      </c>
      <c r="S8936" s="4" t="str">
        <f>IFERROR(__xludf.DUMMYFUNCTION("""COMPUTED_VALUE"""),"null")</f>
        <v>null</v>
      </c>
      <c r="T8936" s="33">
        <f>IFERROR(__xludf.DUMMYFUNCTION("""COMPUTED_VALUE"""),1.0)</f>
        <v>1</v>
      </c>
      <c r="U8936" s="4" t="str">
        <f>IFERROR(__xludf.DUMMYFUNCTION("""COMPUTED_VALUE"""),"null")</f>
        <v>null</v>
      </c>
      <c r="V8936" s="33">
        <f>IFERROR(__xludf.DUMMYFUNCTION("""COMPUTED_VALUE"""),1.0)</f>
        <v>1</v>
      </c>
      <c r="W8936" s="4" t="str">
        <f>IFERROR(__xludf.DUMMYFUNCTION("""COMPUTED_VALUE"""),"F-rest Sistema Para Food Service Ltda")</f>
        <v>F-rest Sistema Para Food Service Ltda</v>
      </c>
      <c r="X8936" s="33">
        <f>IFERROR(__xludf.DUMMYFUNCTION("""COMPUTED_VALUE"""),1.0)</f>
        <v>1</v>
      </c>
    </row>
    <row r="8937">
      <c r="K8937" s="4" t="str">
        <f>IFERROR(__xludf.DUMMYFUNCTION("""COMPUTED_VALUE"""),"DISK SAIDEIRA")</f>
        <v>DISK SAIDEIRA</v>
      </c>
      <c r="L8937" s="32">
        <f>IFERROR(__xludf.DUMMYFUNCTION("""COMPUTED_VALUE"""),1.0)</f>
        <v>1</v>
      </c>
      <c r="M8937" s="4" t="str">
        <f>IFERROR(__xludf.DUMMYFUNCTION("""COMPUTED_VALUE"""),"null")</f>
        <v>null</v>
      </c>
      <c r="N8937" s="33">
        <f>IFERROR(__xludf.DUMMYFUNCTION("""COMPUTED_VALUE"""),1.0)</f>
        <v>1</v>
      </c>
      <c r="O8937" s="4" t="str">
        <f>IFERROR(__xludf.DUMMYFUNCTION("""COMPUTED_VALUE"""),"Eliptec Tecnologia Ltda")</f>
        <v>Eliptec Tecnologia Ltda</v>
      </c>
      <c r="P8937" s="33">
        <f>IFERROR(__xludf.DUMMYFUNCTION("""COMPUTED_VALUE"""),1.0)</f>
        <v>1</v>
      </c>
      <c r="Q8937" s="4" t="str">
        <f>IFERROR(__xludf.DUMMYFUNCTION("""COMPUTED_VALUE"""),"Eliptec Tecnologia Ltda")</f>
        <v>Eliptec Tecnologia Ltda</v>
      </c>
      <c r="R8937" s="33">
        <f>IFERROR(__xludf.DUMMYFUNCTION("""COMPUTED_VALUE"""),1.0)</f>
        <v>1</v>
      </c>
      <c r="S8937" s="4" t="str">
        <f>IFERROR(__xludf.DUMMYFUNCTION("""COMPUTED_VALUE"""),"null")</f>
        <v>null</v>
      </c>
      <c r="T8937" s="33">
        <f>IFERROR(__xludf.DUMMYFUNCTION("""COMPUTED_VALUE"""),1.0)</f>
        <v>1</v>
      </c>
      <c r="U8937" s="4" t="str">
        <f>IFERROR(__xludf.DUMMYFUNCTION("""COMPUTED_VALUE"""),"null")</f>
        <v>null</v>
      </c>
      <c r="V8937" s="33">
        <f>IFERROR(__xludf.DUMMYFUNCTION("""COMPUTED_VALUE"""),1.0)</f>
        <v>1</v>
      </c>
      <c r="W8937" s="4" t="str">
        <f>IFERROR(__xludf.DUMMYFUNCTION("""COMPUTED_VALUE"""),"null")</f>
        <v>null</v>
      </c>
      <c r="X8937" s="33">
        <f>IFERROR(__xludf.DUMMYFUNCTION("""COMPUTED_VALUE"""),1.0)</f>
        <v>1</v>
      </c>
    </row>
    <row r="8938">
      <c r="K8938" s="4" t="str">
        <f>IFERROR(__xludf.DUMMYFUNCTION("""COMPUTED_VALUE"""),"RESTAURANTE ORIENTAL")</f>
        <v>RESTAURANTE ORIENTAL</v>
      </c>
      <c r="L8938" s="32">
        <f>IFERROR(__xludf.DUMMYFUNCTION("""COMPUTED_VALUE"""),1.0)</f>
        <v>1</v>
      </c>
      <c r="M8938" s="4" t="str">
        <f>IFERROR(__xludf.DUMMYFUNCTION("""COMPUTED_VALUE"""),"Totvs Large Enterprise Tecnologia S.a.")</f>
        <v>Totvs Large Enterprise Tecnologia S.a.</v>
      </c>
      <c r="N8938" s="33">
        <f>IFERROR(__xludf.DUMMYFUNCTION("""COMPUTED_VALUE"""),1.0)</f>
        <v>1</v>
      </c>
      <c r="O8938" s="4" t="str">
        <f>IFERROR(__xludf.DUMMYFUNCTION("""COMPUTED_VALUE"""),"null")</f>
        <v>null</v>
      </c>
      <c r="P8938" s="33">
        <f>IFERROR(__xludf.DUMMYFUNCTION("""COMPUTED_VALUE"""),1.0)</f>
        <v>1</v>
      </c>
      <c r="Q8938" s="4" t="str">
        <f>IFERROR(__xludf.DUMMYFUNCTION("""COMPUTED_VALUE"""),"Totvs Large Enterprise Tecnologia S.a.")</f>
        <v>Totvs Large Enterprise Tecnologia S.a.</v>
      </c>
      <c r="R8938" s="33">
        <f>IFERROR(__xludf.DUMMYFUNCTION("""COMPUTED_VALUE"""),1.0)</f>
        <v>1</v>
      </c>
      <c r="S8938" s="4" t="str">
        <f>IFERROR(__xludf.DUMMYFUNCTION("""COMPUTED_VALUE"""),"null")</f>
        <v>null</v>
      </c>
      <c r="T8938" s="33">
        <f>IFERROR(__xludf.DUMMYFUNCTION("""COMPUTED_VALUE"""),1.0)</f>
        <v>1</v>
      </c>
      <c r="U8938" s="4" t="str">
        <f>IFERROR(__xludf.DUMMYFUNCTION("""COMPUTED_VALUE"""),"Totvs Large Enterprise Tecnologia S.a.")</f>
        <v>Totvs Large Enterprise Tecnologia S.a.</v>
      </c>
      <c r="V8938" s="33">
        <f>IFERROR(__xludf.DUMMYFUNCTION("""COMPUTED_VALUE"""),1.0)</f>
        <v>1</v>
      </c>
      <c r="W8938" s="4" t="str">
        <f>IFERROR(__xludf.DUMMYFUNCTION("""COMPUTED_VALUE"""),"null")</f>
        <v>null</v>
      </c>
      <c r="X8938" s="33">
        <f>IFERROR(__xludf.DUMMYFUNCTION("""COMPUTED_VALUE"""),1.0)</f>
        <v>1</v>
      </c>
    </row>
    <row r="8939">
      <c r="K8939" s="4" t="str">
        <f>IFERROR(__xludf.DUMMYFUNCTION("""COMPUTED_VALUE"""),"ESPETINHO DO GORDIM")</f>
        <v>ESPETINHO DO GORDIM</v>
      </c>
      <c r="L8939" s="32">
        <f>IFERROR(__xludf.DUMMYFUNCTION("""COMPUTED_VALUE"""),1.0)</f>
        <v>1</v>
      </c>
      <c r="M8939" s="4" t="str">
        <f>IFERROR(__xludf.DUMMYFUNCTION("""COMPUTED_VALUE"""),"Saipos Serviços De Software")</f>
        <v>Saipos Serviços De Software</v>
      </c>
      <c r="N8939" s="33">
        <f>IFERROR(__xludf.DUMMYFUNCTION("""COMPUTED_VALUE"""),1.0)</f>
        <v>1</v>
      </c>
      <c r="O8939" s="4" t="str">
        <f>IFERROR(__xludf.DUMMYFUNCTION("""COMPUTED_VALUE"""),"Saipos Serviços De Software")</f>
        <v>Saipos Serviços De Software</v>
      </c>
      <c r="P8939" s="33">
        <f>IFERROR(__xludf.DUMMYFUNCTION("""COMPUTED_VALUE"""),1.0)</f>
        <v>1</v>
      </c>
      <c r="Q8939" s="4" t="str">
        <f>IFERROR(__xludf.DUMMYFUNCTION("""COMPUTED_VALUE"""),"Saipos Serviços De Software")</f>
        <v>Saipos Serviços De Software</v>
      </c>
      <c r="R8939" s="33">
        <f>IFERROR(__xludf.DUMMYFUNCTION("""COMPUTED_VALUE"""),1.0)</f>
        <v>1</v>
      </c>
      <c r="S8939" s="4" t="str">
        <f>IFERROR(__xludf.DUMMYFUNCTION("""COMPUTED_VALUE"""),"Saipos Serviços De Software")</f>
        <v>Saipos Serviços De Software</v>
      </c>
      <c r="T8939" s="33">
        <f>IFERROR(__xludf.DUMMYFUNCTION("""COMPUTED_VALUE"""),1.0)</f>
        <v>1</v>
      </c>
      <c r="U8939" s="4" t="str">
        <f>IFERROR(__xludf.DUMMYFUNCTION("""COMPUTED_VALUE"""),"Saipos Serviços De Software")</f>
        <v>Saipos Serviços De Software</v>
      </c>
      <c r="V8939" s="33">
        <f>IFERROR(__xludf.DUMMYFUNCTION("""COMPUTED_VALUE"""),1.0)</f>
        <v>1</v>
      </c>
      <c r="W8939" s="4" t="str">
        <f>IFERROR(__xludf.DUMMYFUNCTION("""COMPUTED_VALUE"""),"null")</f>
        <v>null</v>
      </c>
      <c r="X8939" s="33">
        <f>IFERROR(__xludf.DUMMYFUNCTION("""COMPUTED_VALUE"""),1.0)</f>
        <v>1</v>
      </c>
    </row>
    <row r="8940">
      <c r="K8940" s="4" t="str">
        <f>IFERROR(__xludf.DUMMYFUNCTION("""COMPUTED_VALUE"""),"COXINHA BRASIL JD ROBRU")</f>
        <v>COXINHA BRASIL JD ROBRU</v>
      </c>
      <c r="L8940" s="32">
        <f>IFERROR(__xludf.DUMMYFUNCTION("""COMPUTED_VALUE"""),1.0)</f>
        <v>1</v>
      </c>
      <c r="M8940" s="4" t="str">
        <f>IFERROR(__xludf.DUMMYFUNCTION("""COMPUTED_VALUE"""),"Instadelivery")</f>
        <v>Instadelivery</v>
      </c>
      <c r="N8940" s="33">
        <f>IFERROR(__xludf.DUMMYFUNCTION("""COMPUTED_VALUE"""),1.0)</f>
        <v>1</v>
      </c>
      <c r="O8940" s="4" t="str">
        <f>IFERROR(__xludf.DUMMYFUNCTION("""COMPUTED_VALUE"""),"Instadelivery")</f>
        <v>Instadelivery</v>
      </c>
      <c r="P8940" s="33">
        <f>IFERROR(__xludf.DUMMYFUNCTION("""COMPUTED_VALUE"""),1.0)</f>
        <v>1</v>
      </c>
      <c r="Q8940" s="4" t="str">
        <f>IFERROR(__xludf.DUMMYFUNCTION("""COMPUTED_VALUE"""),"Instadelivery")</f>
        <v>Instadelivery</v>
      </c>
      <c r="R8940" s="33">
        <f>IFERROR(__xludf.DUMMYFUNCTION("""COMPUTED_VALUE"""),1.0)</f>
        <v>1</v>
      </c>
      <c r="S8940" s="4" t="str">
        <f>IFERROR(__xludf.DUMMYFUNCTION("""COMPUTED_VALUE"""),"Instadelivery")</f>
        <v>Instadelivery</v>
      </c>
      <c r="T8940" s="33">
        <f>IFERROR(__xludf.DUMMYFUNCTION("""COMPUTED_VALUE"""),1.0)</f>
        <v>1</v>
      </c>
      <c r="U8940" s="4" t="str">
        <f>IFERROR(__xludf.DUMMYFUNCTION("""COMPUTED_VALUE"""),"Instadelivery")</f>
        <v>Instadelivery</v>
      </c>
      <c r="V8940" s="33">
        <f>IFERROR(__xludf.DUMMYFUNCTION("""COMPUTED_VALUE"""),1.0)</f>
        <v>1</v>
      </c>
      <c r="W8940" s="4" t="str">
        <f>IFERROR(__xludf.DUMMYFUNCTION("""COMPUTED_VALUE"""),"Instadelivery")</f>
        <v>Instadelivery</v>
      </c>
      <c r="X8940" s="33">
        <f>IFERROR(__xludf.DUMMYFUNCTION("""COMPUTED_VALUE"""),1.0)</f>
        <v>1</v>
      </c>
    </row>
    <row r="8941">
      <c r="K8941" s="4" t="str">
        <f>IFERROR(__xludf.DUMMYFUNCTION("""COMPUTED_VALUE"""),"GALILEO PIZZERIA")</f>
        <v>GALILEO PIZZERIA</v>
      </c>
      <c r="L8941" s="32">
        <f>IFERROR(__xludf.DUMMYFUNCTION("""COMPUTED_VALUE"""),1.0)</f>
        <v>1</v>
      </c>
      <c r="M8941" s="4" t="str">
        <f>IFERROR(__xludf.DUMMYFUNCTION("""COMPUTED_VALUE"""),"Saipos Serviços De Software")</f>
        <v>Saipos Serviços De Software</v>
      </c>
      <c r="N8941" s="33">
        <f>IFERROR(__xludf.DUMMYFUNCTION("""COMPUTED_VALUE"""),1.0)</f>
        <v>1</v>
      </c>
      <c r="O8941" s="4" t="str">
        <f>IFERROR(__xludf.DUMMYFUNCTION("""COMPUTED_VALUE"""),"Saipos Serviços De Software")</f>
        <v>Saipos Serviços De Software</v>
      </c>
      <c r="P8941" s="33">
        <f>IFERROR(__xludf.DUMMYFUNCTION("""COMPUTED_VALUE"""),1.0)</f>
        <v>1</v>
      </c>
      <c r="Q8941" s="4" t="str">
        <f>IFERROR(__xludf.DUMMYFUNCTION("""COMPUTED_VALUE"""),"Saipos Serviços De Software")</f>
        <v>Saipos Serviços De Software</v>
      </c>
      <c r="R8941" s="33">
        <f>IFERROR(__xludf.DUMMYFUNCTION("""COMPUTED_VALUE"""),1.0)</f>
        <v>1</v>
      </c>
      <c r="S8941" s="4" t="str">
        <f>IFERROR(__xludf.DUMMYFUNCTION("""COMPUTED_VALUE"""),"Saipos Serviços De Software")</f>
        <v>Saipos Serviços De Software</v>
      </c>
      <c r="T8941" s="33">
        <f>IFERROR(__xludf.DUMMYFUNCTION("""COMPUTED_VALUE"""),1.0)</f>
        <v>1</v>
      </c>
      <c r="U8941" s="4" t="str">
        <f>IFERROR(__xludf.DUMMYFUNCTION("""COMPUTED_VALUE"""),"Saipos Serviços De Software")</f>
        <v>Saipos Serviços De Software</v>
      </c>
      <c r="V8941" s="33">
        <f>IFERROR(__xludf.DUMMYFUNCTION("""COMPUTED_VALUE"""),1.0)</f>
        <v>1</v>
      </c>
      <c r="W8941" s="4" t="str">
        <f>IFERROR(__xludf.DUMMYFUNCTION("""COMPUTED_VALUE"""),"Saipos Serviços De Software")</f>
        <v>Saipos Serviços De Software</v>
      </c>
      <c r="X8941" s="33">
        <f>IFERROR(__xludf.DUMMYFUNCTION("""COMPUTED_VALUE"""),1.0)</f>
        <v>1</v>
      </c>
    </row>
    <row r="8942">
      <c r="K8942" s="4" t="str">
        <f>IFERROR(__xludf.DUMMYFUNCTION("""COMPUTED_VALUE"""),"RESTAURANTE BRAZAO")</f>
        <v>RESTAURANTE BRAZAO</v>
      </c>
      <c r="L8942" s="32">
        <f>IFERROR(__xludf.DUMMYFUNCTION("""COMPUTED_VALUE"""),1.0)</f>
        <v>1</v>
      </c>
      <c r="M8942" s="4" t="str">
        <f>IFERROR(__xludf.DUMMYFUNCTION("""COMPUTED_VALUE"""),"Totvs Large Enterprise Tecnologia S.a.")</f>
        <v>Totvs Large Enterprise Tecnologia S.a.</v>
      </c>
      <c r="N8942" s="33">
        <f>IFERROR(__xludf.DUMMYFUNCTION("""COMPUTED_VALUE"""),1.0)</f>
        <v>1</v>
      </c>
      <c r="O8942" s="4" t="str">
        <f>IFERROR(__xludf.DUMMYFUNCTION("""COMPUTED_VALUE"""),"Totvs Large Enterprise Tecnologia S.a.")</f>
        <v>Totvs Large Enterprise Tecnologia S.a.</v>
      </c>
      <c r="P8942" s="33">
        <f>IFERROR(__xludf.DUMMYFUNCTION("""COMPUTED_VALUE"""),1.0)</f>
        <v>1</v>
      </c>
      <c r="Q8942" s="4" t="str">
        <f>IFERROR(__xludf.DUMMYFUNCTION("""COMPUTED_VALUE"""),"Totvs Large Enterprise Tecnologia S.a.")</f>
        <v>Totvs Large Enterprise Tecnologia S.a.</v>
      </c>
      <c r="R8942" s="33">
        <f>IFERROR(__xludf.DUMMYFUNCTION("""COMPUTED_VALUE"""),1.0)</f>
        <v>1</v>
      </c>
      <c r="S8942" s="4" t="str">
        <f>IFERROR(__xludf.DUMMYFUNCTION("""COMPUTED_VALUE"""),"Totvs Large Enterprise Tecnologia S.a.")</f>
        <v>Totvs Large Enterprise Tecnologia S.a.</v>
      </c>
      <c r="T8942" s="33">
        <f>IFERROR(__xludf.DUMMYFUNCTION("""COMPUTED_VALUE"""),1.0)</f>
        <v>1</v>
      </c>
      <c r="U8942" s="4" t="str">
        <f>IFERROR(__xludf.DUMMYFUNCTION("""COMPUTED_VALUE"""),"Totvs Large Enterprise Tecnologia S.a.")</f>
        <v>Totvs Large Enterprise Tecnologia S.a.</v>
      </c>
      <c r="V8942" s="33">
        <f>IFERROR(__xludf.DUMMYFUNCTION("""COMPUTED_VALUE"""),1.0)</f>
        <v>1</v>
      </c>
      <c r="W8942" s="4" t="str">
        <f>IFERROR(__xludf.DUMMYFUNCTION("""COMPUTED_VALUE"""),"Totvs Large Enterprise Tecnologia S.a.")</f>
        <v>Totvs Large Enterprise Tecnologia S.a.</v>
      </c>
      <c r="X8942" s="33">
        <f>IFERROR(__xludf.DUMMYFUNCTION("""COMPUTED_VALUE"""),1.0)</f>
        <v>1</v>
      </c>
    </row>
    <row r="8943">
      <c r="K8943" s="4" t="str">
        <f>IFERROR(__xludf.DUMMYFUNCTION("""COMPUTED_VALUE"""),"NONNA ROSA PIZZAS")</f>
        <v>NONNA ROSA PIZZAS</v>
      </c>
      <c r="L8943" s="32">
        <f>IFERROR(__xludf.DUMMYFUNCTION("""COMPUTED_VALUE"""),1.0)</f>
        <v>1</v>
      </c>
      <c r="M8943" s="4" t="str">
        <f>IFERROR(__xludf.DUMMYFUNCTION("""COMPUTED_VALUE"""),"Anota Ai Solucoes Digitais S/a")</f>
        <v>Anota Ai Solucoes Digitais S/a</v>
      </c>
      <c r="N8943" s="33">
        <f>IFERROR(__xludf.DUMMYFUNCTION("""COMPUTED_VALUE"""),1.0)</f>
        <v>1</v>
      </c>
      <c r="O8943" s="4" t="str">
        <f>IFERROR(__xludf.DUMMYFUNCTION("""COMPUTED_VALUE"""),"Anota Ai Solucoes Digitais S/a")</f>
        <v>Anota Ai Solucoes Digitais S/a</v>
      </c>
      <c r="P8943" s="33">
        <f>IFERROR(__xludf.DUMMYFUNCTION("""COMPUTED_VALUE"""),1.0)</f>
        <v>1</v>
      </c>
      <c r="Q8943" s="4" t="str">
        <f>IFERROR(__xludf.DUMMYFUNCTION("""COMPUTED_VALUE"""),"Anota Ai Solucoes Digitais S/a")</f>
        <v>Anota Ai Solucoes Digitais S/a</v>
      </c>
      <c r="R8943" s="33">
        <f>IFERROR(__xludf.DUMMYFUNCTION("""COMPUTED_VALUE"""),1.0)</f>
        <v>1</v>
      </c>
      <c r="S8943" s="4" t="str">
        <f>IFERROR(__xludf.DUMMYFUNCTION("""COMPUTED_VALUE"""),"Anota Ai Solucoes Digitais S/a")</f>
        <v>Anota Ai Solucoes Digitais S/a</v>
      </c>
      <c r="T8943" s="33">
        <f>IFERROR(__xludf.DUMMYFUNCTION("""COMPUTED_VALUE"""),1.0)</f>
        <v>1</v>
      </c>
      <c r="U8943" s="4" t="str">
        <f>IFERROR(__xludf.DUMMYFUNCTION("""COMPUTED_VALUE"""),"Anota Ai Solucoes Digitais S/a")</f>
        <v>Anota Ai Solucoes Digitais S/a</v>
      </c>
      <c r="V8943" s="33">
        <f>IFERROR(__xludf.DUMMYFUNCTION("""COMPUTED_VALUE"""),1.0)</f>
        <v>1</v>
      </c>
      <c r="W8943" s="4" t="str">
        <f>IFERROR(__xludf.DUMMYFUNCTION("""COMPUTED_VALUE"""),"Anota Ai Solucoes Digitais S/a")</f>
        <v>Anota Ai Solucoes Digitais S/a</v>
      </c>
      <c r="X8943" s="33">
        <f>IFERROR(__xludf.DUMMYFUNCTION("""COMPUTED_VALUE"""),1.0)</f>
        <v>1</v>
      </c>
    </row>
    <row r="8944">
      <c r="K8944" s="4" t="str">
        <f>IFERROR(__xludf.DUMMYFUNCTION("""COMPUTED_VALUE"""),"OHANA PIZZAS")</f>
        <v>OHANA PIZZAS</v>
      </c>
      <c r="L8944" s="32">
        <f>IFERROR(__xludf.DUMMYFUNCTION("""COMPUTED_VALUE"""),1.0)</f>
        <v>1</v>
      </c>
      <c r="M8944" s="4" t="str">
        <f>IFERROR(__xludf.DUMMYFUNCTION("""COMPUTED_VALUE"""),"Yooga")</f>
        <v>Yooga</v>
      </c>
      <c r="N8944" s="33">
        <f>IFERROR(__xludf.DUMMYFUNCTION("""COMPUTED_VALUE"""),1.0)</f>
        <v>1</v>
      </c>
      <c r="O8944" s="4" t="str">
        <f>IFERROR(__xludf.DUMMYFUNCTION("""COMPUTED_VALUE"""),"Yooga")</f>
        <v>Yooga</v>
      </c>
      <c r="P8944" s="33">
        <f>IFERROR(__xludf.DUMMYFUNCTION("""COMPUTED_VALUE"""),1.0)</f>
        <v>1</v>
      </c>
      <c r="Q8944" s="4" t="str">
        <f>IFERROR(__xludf.DUMMYFUNCTION("""COMPUTED_VALUE"""),"Yooga")</f>
        <v>Yooga</v>
      </c>
      <c r="R8944" s="33">
        <f>IFERROR(__xludf.DUMMYFUNCTION("""COMPUTED_VALUE"""),1.0)</f>
        <v>1</v>
      </c>
      <c r="S8944" s="4" t="str">
        <f>IFERROR(__xludf.DUMMYFUNCTION("""COMPUTED_VALUE"""),"Yooga")</f>
        <v>Yooga</v>
      </c>
      <c r="T8944" s="33">
        <f>IFERROR(__xludf.DUMMYFUNCTION("""COMPUTED_VALUE"""),1.0)</f>
        <v>1</v>
      </c>
      <c r="U8944" s="4" t="str">
        <f>IFERROR(__xludf.DUMMYFUNCTION("""COMPUTED_VALUE"""),"Yooga")</f>
        <v>Yooga</v>
      </c>
      <c r="V8944" s="33">
        <f>IFERROR(__xludf.DUMMYFUNCTION("""COMPUTED_VALUE"""),1.0)</f>
        <v>1</v>
      </c>
      <c r="W8944" s="4" t="str">
        <f>IFERROR(__xludf.DUMMYFUNCTION("""COMPUTED_VALUE"""),"Yooga")</f>
        <v>Yooga</v>
      </c>
      <c r="X8944" s="33">
        <f>IFERROR(__xludf.DUMMYFUNCTION("""COMPUTED_VALUE"""),1.0)</f>
        <v>1</v>
      </c>
    </row>
    <row r="8945">
      <c r="K8945" s="4" t="str">
        <f>IFERROR(__xludf.DUMMYFUNCTION("""COMPUTED_VALUE"""),"TREM BALA PIZZARIA - NOVA LIMA")</f>
        <v>TREM BALA PIZZARIA - NOVA LIMA</v>
      </c>
      <c r="L8945" s="32">
        <f>IFERROR(__xludf.DUMMYFUNCTION("""COMPUTED_VALUE"""),1.0)</f>
        <v>1</v>
      </c>
      <c r="M8945" s="4" t="str">
        <f>IFERROR(__xludf.DUMMYFUNCTION("""COMPUTED_VALUE"""),"Anota Ai Solucoes Digitais S/a")</f>
        <v>Anota Ai Solucoes Digitais S/a</v>
      </c>
      <c r="N8945" s="33">
        <f>IFERROR(__xludf.DUMMYFUNCTION("""COMPUTED_VALUE"""),1.0)</f>
        <v>1</v>
      </c>
      <c r="O8945" s="4" t="str">
        <f>IFERROR(__xludf.DUMMYFUNCTION("""COMPUTED_VALUE"""),"Anota Ai Solucoes Digitais S/a")</f>
        <v>Anota Ai Solucoes Digitais S/a</v>
      </c>
      <c r="P8945" s="33">
        <f>IFERROR(__xludf.DUMMYFUNCTION("""COMPUTED_VALUE"""),1.0)</f>
        <v>1</v>
      </c>
      <c r="Q8945" s="4" t="str">
        <f>IFERROR(__xludf.DUMMYFUNCTION("""COMPUTED_VALUE"""),"null")</f>
        <v>null</v>
      </c>
      <c r="R8945" s="33">
        <f>IFERROR(__xludf.DUMMYFUNCTION("""COMPUTED_VALUE"""),1.0)</f>
        <v>1</v>
      </c>
      <c r="S8945" s="4" t="str">
        <f>IFERROR(__xludf.DUMMYFUNCTION("""COMPUTED_VALUE"""),"Saipos Serviços De Software")</f>
        <v>Saipos Serviços De Software</v>
      </c>
      <c r="T8945" s="33">
        <f>IFERROR(__xludf.DUMMYFUNCTION("""COMPUTED_VALUE"""),1.0)</f>
        <v>1</v>
      </c>
      <c r="U8945" s="4" t="str">
        <f>IFERROR(__xludf.DUMMYFUNCTION("""COMPUTED_VALUE"""),"Saipos Serviços De Software")</f>
        <v>Saipos Serviços De Software</v>
      </c>
      <c r="V8945" s="33">
        <f>IFERROR(__xludf.DUMMYFUNCTION("""COMPUTED_VALUE"""),1.0)</f>
        <v>1</v>
      </c>
      <c r="W8945" s="4" t="str">
        <f>IFERROR(__xludf.DUMMYFUNCTION("""COMPUTED_VALUE"""),"Saipos Serviços De Software")</f>
        <v>Saipos Serviços De Software</v>
      </c>
      <c r="X8945" s="33">
        <f>IFERROR(__xludf.DUMMYFUNCTION("""COMPUTED_VALUE"""),1.0)</f>
        <v>1</v>
      </c>
    </row>
    <row r="8946">
      <c r="K8946" s="4" t="str">
        <f>IFERROR(__xludf.DUMMYFUNCTION("""COMPUTED_VALUE"""),"MARIA FUMACA BURGER SMASH E DEFUMADO - HAMBURGUERIA")</f>
        <v>MARIA FUMACA BURGER SMASH E DEFUMADO - HAMBURGUERIA</v>
      </c>
      <c r="L8946" s="32">
        <f>IFERROR(__xludf.DUMMYFUNCTION("""COMPUTED_VALUE"""),1.0)</f>
        <v>1</v>
      </c>
      <c r="M8946" s="4" t="str">
        <f>IFERROR(__xludf.DUMMYFUNCTION("""COMPUTED_VALUE"""),"Cardápio Web")</f>
        <v>Cardápio Web</v>
      </c>
      <c r="N8946" s="33">
        <f>IFERROR(__xludf.DUMMYFUNCTION("""COMPUTED_VALUE"""),1.0)</f>
        <v>1</v>
      </c>
      <c r="O8946" s="4" t="str">
        <f>IFERROR(__xludf.DUMMYFUNCTION("""COMPUTED_VALUE"""),"Cardápio Web")</f>
        <v>Cardápio Web</v>
      </c>
      <c r="P8946" s="33">
        <f>IFERROR(__xludf.DUMMYFUNCTION("""COMPUTED_VALUE"""),1.0)</f>
        <v>1</v>
      </c>
      <c r="Q8946" s="4" t="str">
        <f>IFERROR(__xludf.DUMMYFUNCTION("""COMPUTED_VALUE"""),"Cardápio Web")</f>
        <v>Cardápio Web</v>
      </c>
      <c r="R8946" s="33">
        <f>IFERROR(__xludf.DUMMYFUNCTION("""COMPUTED_VALUE"""),1.0)</f>
        <v>1</v>
      </c>
      <c r="S8946" s="4" t="str">
        <f>IFERROR(__xludf.DUMMYFUNCTION("""COMPUTED_VALUE"""),"Cardápio Web")</f>
        <v>Cardápio Web</v>
      </c>
      <c r="T8946" s="33">
        <f>IFERROR(__xludf.DUMMYFUNCTION("""COMPUTED_VALUE"""),1.0)</f>
        <v>1</v>
      </c>
      <c r="U8946" s="4" t="str">
        <f>IFERROR(__xludf.DUMMYFUNCTION("""COMPUTED_VALUE"""),"Cardápio Web")</f>
        <v>Cardápio Web</v>
      </c>
      <c r="V8946" s="33">
        <f>IFERROR(__xludf.DUMMYFUNCTION("""COMPUTED_VALUE"""),1.0)</f>
        <v>1</v>
      </c>
      <c r="W8946" s="4" t="str">
        <f>IFERROR(__xludf.DUMMYFUNCTION("""COMPUTED_VALUE"""),"Cardápio Web")</f>
        <v>Cardápio Web</v>
      </c>
      <c r="X8946" s="33">
        <f>IFERROR(__xludf.DUMMYFUNCTION("""COMPUTED_VALUE"""),1.0)</f>
        <v>1</v>
      </c>
    </row>
    <row r="8947">
      <c r="K8947" s="4" t="str">
        <f>IFERROR(__xludf.DUMMYFUNCTION("""COMPUTED_VALUE"""),"BONNO APPETIT")</f>
        <v>BONNO APPETIT</v>
      </c>
      <c r="L8947" s="32">
        <f>IFERROR(__xludf.DUMMYFUNCTION("""COMPUTED_VALUE"""),1.0)</f>
        <v>1</v>
      </c>
      <c r="M8947" s="4" t="str">
        <f>IFERROR(__xludf.DUMMYFUNCTION("""COMPUTED_VALUE"""),"Ecta Tecnologia")</f>
        <v>Ecta Tecnologia</v>
      </c>
      <c r="N8947" s="33">
        <f>IFERROR(__xludf.DUMMYFUNCTION("""COMPUTED_VALUE"""),1.0)</f>
        <v>1</v>
      </c>
      <c r="O8947" s="4" t="str">
        <f>IFERROR(__xludf.DUMMYFUNCTION("""COMPUTED_VALUE"""),"Ecta Tecnologia")</f>
        <v>Ecta Tecnologia</v>
      </c>
      <c r="P8947" s="33">
        <f>IFERROR(__xludf.DUMMYFUNCTION("""COMPUTED_VALUE"""),1.0)</f>
        <v>1</v>
      </c>
      <c r="Q8947" s="4" t="str">
        <f>IFERROR(__xludf.DUMMYFUNCTION("""COMPUTED_VALUE"""),"Ecta Tecnologia")</f>
        <v>Ecta Tecnologia</v>
      </c>
      <c r="R8947" s="33">
        <f>IFERROR(__xludf.DUMMYFUNCTION("""COMPUTED_VALUE"""),1.0)</f>
        <v>1</v>
      </c>
      <c r="S8947" s="4" t="str">
        <f>IFERROR(__xludf.DUMMYFUNCTION("""COMPUTED_VALUE"""),"Ecta Tecnologia")</f>
        <v>Ecta Tecnologia</v>
      </c>
      <c r="T8947" s="33">
        <f>IFERROR(__xludf.DUMMYFUNCTION("""COMPUTED_VALUE"""),1.0)</f>
        <v>1</v>
      </c>
      <c r="U8947" s="4" t="str">
        <f>IFERROR(__xludf.DUMMYFUNCTION("""COMPUTED_VALUE"""),"Ecta Tecnologia")</f>
        <v>Ecta Tecnologia</v>
      </c>
      <c r="V8947" s="33">
        <f>IFERROR(__xludf.DUMMYFUNCTION("""COMPUTED_VALUE"""),1.0)</f>
        <v>1</v>
      </c>
      <c r="W8947" s="4" t="str">
        <f>IFERROR(__xludf.DUMMYFUNCTION("""COMPUTED_VALUE"""),"Ecta Tecnologia")</f>
        <v>Ecta Tecnologia</v>
      </c>
      <c r="X8947" s="33">
        <f>IFERROR(__xludf.DUMMYFUNCTION("""COMPUTED_VALUE"""),1.0)</f>
        <v>1</v>
      </c>
    </row>
    <row r="8948">
      <c r="K8948" s="4" t="str">
        <f>IFERROR(__xludf.DUMMYFUNCTION("""COMPUTED_VALUE"""),"KIPIZZA GOURMET")</f>
        <v>KIPIZZA GOURMET</v>
      </c>
      <c r="L8948" s="32">
        <f>IFERROR(__xludf.DUMMYFUNCTION("""COMPUTED_VALUE"""),1.0)</f>
        <v>1</v>
      </c>
      <c r="M8948" s="4" t="str">
        <f>IFERROR(__xludf.DUMMYFUNCTION("""COMPUTED_VALUE"""),"Saipos Serviços De Software")</f>
        <v>Saipos Serviços De Software</v>
      </c>
      <c r="N8948" s="33">
        <f>IFERROR(__xludf.DUMMYFUNCTION("""COMPUTED_VALUE"""),1.0)</f>
        <v>1</v>
      </c>
      <c r="O8948" s="4" t="str">
        <f>IFERROR(__xludf.DUMMYFUNCTION("""COMPUTED_VALUE"""),"Saipos Serviços De Software")</f>
        <v>Saipos Serviços De Software</v>
      </c>
      <c r="P8948" s="33">
        <f>IFERROR(__xludf.DUMMYFUNCTION("""COMPUTED_VALUE"""),1.0)</f>
        <v>1</v>
      </c>
      <c r="Q8948" s="4" t="str">
        <f>IFERROR(__xludf.DUMMYFUNCTION("""COMPUTED_VALUE"""),"Saipos Serviços De Software")</f>
        <v>Saipos Serviços De Software</v>
      </c>
      <c r="R8948" s="33">
        <f>IFERROR(__xludf.DUMMYFUNCTION("""COMPUTED_VALUE"""),1.0)</f>
        <v>1</v>
      </c>
      <c r="S8948" s="4" t="str">
        <f>IFERROR(__xludf.DUMMYFUNCTION("""COMPUTED_VALUE"""),"Saipos Serviços De Software")</f>
        <v>Saipos Serviços De Software</v>
      </c>
      <c r="T8948" s="33">
        <f>IFERROR(__xludf.DUMMYFUNCTION("""COMPUTED_VALUE"""),1.0)</f>
        <v>1</v>
      </c>
      <c r="U8948" s="4" t="str">
        <f>IFERROR(__xludf.DUMMYFUNCTION("""COMPUTED_VALUE"""),"Saipos Serviços De Software")</f>
        <v>Saipos Serviços De Software</v>
      </c>
      <c r="V8948" s="33">
        <f>IFERROR(__xludf.DUMMYFUNCTION("""COMPUTED_VALUE"""),1.0)</f>
        <v>1</v>
      </c>
      <c r="W8948" s="4" t="str">
        <f>IFERROR(__xludf.DUMMYFUNCTION("""COMPUTED_VALUE"""),"null")</f>
        <v>null</v>
      </c>
      <c r="X8948" s="33">
        <f>IFERROR(__xludf.DUMMYFUNCTION("""COMPUTED_VALUE"""),1.0)</f>
        <v>1</v>
      </c>
    </row>
    <row r="8949">
      <c r="K8949" s="4" t="str">
        <f>IFERROR(__xludf.DUMMYFUNCTION("""COMPUTED_VALUE"""),"SUSHI CAZZA")</f>
        <v>SUSHI CAZZA</v>
      </c>
      <c r="L8949" s="32">
        <f>IFERROR(__xludf.DUMMYFUNCTION("""COMPUTED_VALUE"""),1.0)</f>
        <v>1</v>
      </c>
      <c r="M8949" s="4" t="str">
        <f>IFERROR(__xludf.DUMMYFUNCTION("""COMPUTED_VALUE"""),"Saipos Serviços De Software")</f>
        <v>Saipos Serviços De Software</v>
      </c>
      <c r="N8949" s="33">
        <f>IFERROR(__xludf.DUMMYFUNCTION("""COMPUTED_VALUE"""),1.0)</f>
        <v>1</v>
      </c>
      <c r="O8949" s="4" t="str">
        <f>IFERROR(__xludf.DUMMYFUNCTION("""COMPUTED_VALUE"""),"Saipos Serviços De Software")</f>
        <v>Saipos Serviços De Software</v>
      </c>
      <c r="P8949" s="33">
        <f>IFERROR(__xludf.DUMMYFUNCTION("""COMPUTED_VALUE"""),1.0)</f>
        <v>1</v>
      </c>
      <c r="Q8949" s="4" t="str">
        <f>IFERROR(__xludf.DUMMYFUNCTION("""COMPUTED_VALUE"""),"Saipos Serviços De Software")</f>
        <v>Saipos Serviços De Software</v>
      </c>
      <c r="R8949" s="33">
        <f>IFERROR(__xludf.DUMMYFUNCTION("""COMPUTED_VALUE"""),1.0)</f>
        <v>1</v>
      </c>
      <c r="S8949" s="4" t="str">
        <f>IFERROR(__xludf.DUMMYFUNCTION("""COMPUTED_VALUE"""),"Saipos Serviços De Software")</f>
        <v>Saipos Serviços De Software</v>
      </c>
      <c r="T8949" s="33">
        <f>IFERROR(__xludf.DUMMYFUNCTION("""COMPUTED_VALUE"""),1.0)</f>
        <v>1</v>
      </c>
      <c r="U8949" s="4" t="str">
        <f>IFERROR(__xludf.DUMMYFUNCTION("""COMPUTED_VALUE"""),"Saipos Serviços De Software")</f>
        <v>Saipos Serviços De Software</v>
      </c>
      <c r="V8949" s="33">
        <f>IFERROR(__xludf.DUMMYFUNCTION("""COMPUTED_VALUE"""),1.0)</f>
        <v>1</v>
      </c>
      <c r="W8949" s="4" t="str">
        <f>IFERROR(__xludf.DUMMYFUNCTION("""COMPUTED_VALUE"""),"Saipos Serviços De Software")</f>
        <v>Saipos Serviços De Software</v>
      </c>
      <c r="X8949" s="33">
        <f>IFERROR(__xludf.DUMMYFUNCTION("""COMPUTED_VALUE"""),1.0)</f>
        <v>1</v>
      </c>
    </row>
    <row r="8950">
      <c r="K8950" s="4" t="str">
        <f>IFERROR(__xludf.DUMMYFUNCTION("""COMPUTED_VALUE"""),"SABORES DA LOIRA MARMITARIA")</f>
        <v>SABORES DA LOIRA MARMITARIA</v>
      </c>
      <c r="L8950" s="32">
        <f>IFERROR(__xludf.DUMMYFUNCTION("""COMPUTED_VALUE"""),1.0)</f>
        <v>1</v>
      </c>
      <c r="M8950" s="4" t="str">
        <f>IFERROR(__xludf.DUMMYFUNCTION("""COMPUTED_VALUE"""),"Instadelivery")</f>
        <v>Instadelivery</v>
      </c>
      <c r="N8950" s="33">
        <f>IFERROR(__xludf.DUMMYFUNCTION("""COMPUTED_VALUE"""),1.0)</f>
        <v>1</v>
      </c>
      <c r="O8950" s="4" t="str">
        <f>IFERROR(__xludf.DUMMYFUNCTION("""COMPUTED_VALUE"""),"Instadelivery")</f>
        <v>Instadelivery</v>
      </c>
      <c r="P8950" s="33">
        <f>IFERROR(__xludf.DUMMYFUNCTION("""COMPUTED_VALUE"""),1.0)</f>
        <v>1</v>
      </c>
      <c r="Q8950" s="4" t="str">
        <f>IFERROR(__xludf.DUMMYFUNCTION("""COMPUTED_VALUE"""),"Instadelivery")</f>
        <v>Instadelivery</v>
      </c>
      <c r="R8950" s="33">
        <f>IFERROR(__xludf.DUMMYFUNCTION("""COMPUTED_VALUE"""),1.0)</f>
        <v>1</v>
      </c>
      <c r="S8950" s="4" t="str">
        <f>IFERROR(__xludf.DUMMYFUNCTION("""COMPUTED_VALUE"""),"null")</f>
        <v>null</v>
      </c>
      <c r="T8950" s="33">
        <f>IFERROR(__xludf.DUMMYFUNCTION("""COMPUTED_VALUE"""),1.0)</f>
        <v>1</v>
      </c>
      <c r="U8950" s="4" t="str">
        <f>IFERROR(__xludf.DUMMYFUNCTION("""COMPUTED_VALUE"""),"Instadelivery")</f>
        <v>Instadelivery</v>
      </c>
      <c r="V8950" s="33">
        <f>IFERROR(__xludf.DUMMYFUNCTION("""COMPUTED_VALUE"""),1.0)</f>
        <v>1</v>
      </c>
      <c r="W8950" s="4" t="str">
        <f>IFERROR(__xludf.DUMMYFUNCTION("""COMPUTED_VALUE"""),"null")</f>
        <v>null</v>
      </c>
      <c r="X8950" s="33">
        <f>IFERROR(__xludf.DUMMYFUNCTION("""COMPUTED_VALUE"""),1.0)</f>
        <v>1</v>
      </c>
    </row>
    <row r="8951">
      <c r="K8951" s="4" t="str">
        <f>IFERROR(__xludf.DUMMYFUNCTION("""COMPUTED_VALUE"""),"ALMAKAN GASTRONOMIA ARABE")</f>
        <v>ALMAKAN GASTRONOMIA ARABE</v>
      </c>
      <c r="L8951" s="32">
        <f>IFERROR(__xludf.DUMMYFUNCTION("""COMPUTED_VALUE"""),1.0)</f>
        <v>1</v>
      </c>
      <c r="M8951" s="4" t="str">
        <f>IFERROR(__xludf.DUMMYFUNCTION("""COMPUTED_VALUE"""),"Nextage Sistemas De Informatica Ltda")</f>
        <v>Nextage Sistemas De Informatica Ltda</v>
      </c>
      <c r="N8951" s="33">
        <f>IFERROR(__xludf.DUMMYFUNCTION("""COMPUTED_VALUE"""),1.0)</f>
        <v>1</v>
      </c>
      <c r="O8951" s="4" t="str">
        <f>IFERROR(__xludf.DUMMYFUNCTION("""COMPUTED_VALUE"""),"Nextage Sistemas De Informatica Ltda")</f>
        <v>Nextage Sistemas De Informatica Ltda</v>
      </c>
      <c r="P8951" s="33">
        <f>IFERROR(__xludf.DUMMYFUNCTION("""COMPUTED_VALUE"""),1.0)</f>
        <v>1</v>
      </c>
      <c r="Q8951" s="4" t="str">
        <f>IFERROR(__xludf.DUMMYFUNCTION("""COMPUTED_VALUE"""),"Nextage Sistemas De Informatica Ltda")</f>
        <v>Nextage Sistemas De Informatica Ltda</v>
      </c>
      <c r="R8951" s="33">
        <f>IFERROR(__xludf.DUMMYFUNCTION("""COMPUTED_VALUE"""),1.0)</f>
        <v>1</v>
      </c>
      <c r="S8951" s="4" t="str">
        <f>IFERROR(__xludf.DUMMYFUNCTION("""COMPUTED_VALUE"""),"null")</f>
        <v>null</v>
      </c>
      <c r="T8951" s="33">
        <f>IFERROR(__xludf.DUMMYFUNCTION("""COMPUTED_VALUE"""),1.0)</f>
        <v>1</v>
      </c>
      <c r="U8951" s="4" t="str">
        <f>IFERROR(__xludf.DUMMYFUNCTION("""COMPUTED_VALUE"""),"Nextage Sistemas De Informatica Ltda")</f>
        <v>Nextage Sistemas De Informatica Ltda</v>
      </c>
      <c r="V8951" s="33">
        <f>IFERROR(__xludf.DUMMYFUNCTION("""COMPUTED_VALUE"""),1.0)</f>
        <v>1</v>
      </c>
      <c r="W8951" s="4" t="str">
        <f>IFERROR(__xludf.DUMMYFUNCTION("""COMPUTED_VALUE"""),"Nextage Sistemas De Informatica Ltda")</f>
        <v>Nextage Sistemas De Informatica Ltda</v>
      </c>
      <c r="X8951" s="33">
        <f>IFERROR(__xludf.DUMMYFUNCTION("""COMPUTED_VALUE"""),1.0)</f>
        <v>1</v>
      </c>
    </row>
    <row r="8952">
      <c r="K8952" s="4" t="str">
        <f>IFERROR(__xludf.DUMMYFUNCTION("""COMPUTED_VALUE"""),"MARMITAS GOMES")</f>
        <v>MARMITAS GOMES</v>
      </c>
      <c r="L8952" s="32">
        <f>IFERROR(__xludf.DUMMYFUNCTION("""COMPUTED_VALUE"""),1.0)</f>
        <v>1</v>
      </c>
      <c r="M8952" s="4" t="str">
        <f>IFERROR(__xludf.DUMMYFUNCTION("""COMPUTED_VALUE"""),"null")</f>
        <v>null</v>
      </c>
      <c r="N8952" s="33">
        <f>IFERROR(__xludf.DUMMYFUNCTION("""COMPUTED_VALUE"""),1.0)</f>
        <v>1</v>
      </c>
      <c r="O8952" s="4" t="str">
        <f>IFERROR(__xludf.DUMMYFUNCTION("""COMPUTED_VALUE"""),"null")</f>
        <v>null</v>
      </c>
      <c r="P8952" s="33">
        <f>IFERROR(__xludf.DUMMYFUNCTION("""COMPUTED_VALUE"""),1.0)</f>
        <v>1</v>
      </c>
      <c r="Q8952" s="4" t="str">
        <f>IFERROR(__xludf.DUMMYFUNCTION("""COMPUTED_VALUE"""),"Saipos Serviços De Software")</f>
        <v>Saipos Serviços De Software</v>
      </c>
      <c r="R8952" s="33">
        <f>IFERROR(__xludf.DUMMYFUNCTION("""COMPUTED_VALUE"""),1.0)</f>
        <v>1</v>
      </c>
      <c r="S8952" s="4" t="str">
        <f>IFERROR(__xludf.DUMMYFUNCTION("""COMPUTED_VALUE"""),"Saipos Serviços De Software")</f>
        <v>Saipos Serviços De Software</v>
      </c>
      <c r="T8952" s="33">
        <f>IFERROR(__xludf.DUMMYFUNCTION("""COMPUTED_VALUE"""),1.0)</f>
        <v>1</v>
      </c>
      <c r="U8952" s="4" t="str">
        <f>IFERROR(__xludf.DUMMYFUNCTION("""COMPUTED_VALUE"""),"null")</f>
        <v>null</v>
      </c>
      <c r="V8952" s="33">
        <f>IFERROR(__xludf.DUMMYFUNCTION("""COMPUTED_VALUE"""),1.0)</f>
        <v>1</v>
      </c>
      <c r="W8952" s="4" t="str">
        <f>IFERROR(__xludf.DUMMYFUNCTION("""COMPUTED_VALUE"""),"null")</f>
        <v>null</v>
      </c>
      <c r="X8952" s="33">
        <f>IFERROR(__xludf.DUMMYFUNCTION("""COMPUTED_VALUE"""),1.0)</f>
        <v>1</v>
      </c>
    </row>
    <row r="8953">
      <c r="K8953" s="4" t="str">
        <f>IFERROR(__xludf.DUMMYFUNCTION("""COMPUTED_VALUE"""),"BOSSA NOVA RESTAURANTE")</f>
        <v>BOSSA NOVA RESTAURANTE</v>
      </c>
      <c r="L8953" s="32">
        <f>IFERROR(__xludf.DUMMYFUNCTION("""COMPUTED_VALUE"""),1.0)</f>
        <v>1</v>
      </c>
      <c r="M8953" s="4" t="str">
        <f>IFERROR(__xludf.DUMMYFUNCTION("""COMPUTED_VALUE"""),"Lexsis Sistemas")</f>
        <v>Lexsis Sistemas</v>
      </c>
      <c r="N8953" s="33">
        <f>IFERROR(__xludf.DUMMYFUNCTION("""COMPUTED_VALUE"""),1.0)</f>
        <v>1</v>
      </c>
      <c r="O8953" s="4" t="str">
        <f>IFERROR(__xludf.DUMMYFUNCTION("""COMPUTED_VALUE"""),"Lexsis Sistemas")</f>
        <v>Lexsis Sistemas</v>
      </c>
      <c r="P8953" s="33">
        <f>IFERROR(__xludf.DUMMYFUNCTION("""COMPUTED_VALUE"""),1.0)</f>
        <v>1</v>
      </c>
      <c r="Q8953" s="4" t="str">
        <f>IFERROR(__xludf.DUMMYFUNCTION("""COMPUTED_VALUE"""),"Lexsis Sistemas")</f>
        <v>Lexsis Sistemas</v>
      </c>
      <c r="R8953" s="33">
        <f>IFERROR(__xludf.DUMMYFUNCTION("""COMPUTED_VALUE"""),1.0)</f>
        <v>1</v>
      </c>
      <c r="S8953" s="4" t="str">
        <f>IFERROR(__xludf.DUMMYFUNCTION("""COMPUTED_VALUE"""),"Lexsis Sistemas")</f>
        <v>Lexsis Sistemas</v>
      </c>
      <c r="T8953" s="33">
        <f>IFERROR(__xludf.DUMMYFUNCTION("""COMPUTED_VALUE"""),1.0)</f>
        <v>1</v>
      </c>
      <c r="U8953" s="4" t="str">
        <f>IFERROR(__xludf.DUMMYFUNCTION("""COMPUTED_VALUE"""),"Lexsis Sistemas")</f>
        <v>Lexsis Sistemas</v>
      </c>
      <c r="V8953" s="33">
        <f>IFERROR(__xludf.DUMMYFUNCTION("""COMPUTED_VALUE"""),1.0)</f>
        <v>1</v>
      </c>
      <c r="W8953" s="4" t="str">
        <f>IFERROR(__xludf.DUMMYFUNCTION("""COMPUTED_VALUE"""),"Lexsis Sistemas")</f>
        <v>Lexsis Sistemas</v>
      </c>
      <c r="X8953" s="33">
        <f>IFERROR(__xludf.DUMMYFUNCTION("""COMPUTED_VALUE"""),1.0)</f>
        <v>1</v>
      </c>
    </row>
    <row r="8954">
      <c r="K8954" s="4" t="str">
        <f>IFERROR(__xludf.DUMMYFUNCTION("""COMPUTED_VALUE"""),"ACAI E LANCHES CRISTIANO")</f>
        <v>ACAI E LANCHES CRISTIANO</v>
      </c>
      <c r="L8954" s="32">
        <f>IFERROR(__xludf.DUMMYFUNCTION("""COMPUTED_VALUE"""),1.0)</f>
        <v>1</v>
      </c>
      <c r="M8954" s="4" t="str">
        <f>IFERROR(__xludf.DUMMYFUNCTION("""COMPUTED_VALUE"""),"null")</f>
        <v>null</v>
      </c>
      <c r="N8954" s="33">
        <f>IFERROR(__xludf.DUMMYFUNCTION("""COMPUTED_VALUE"""),1.0)</f>
        <v>1</v>
      </c>
      <c r="O8954" s="4" t="str">
        <f>IFERROR(__xludf.DUMMYFUNCTION("""COMPUTED_VALUE"""),"Xsistemas")</f>
        <v>Xsistemas</v>
      </c>
      <c r="P8954" s="33">
        <f>IFERROR(__xludf.DUMMYFUNCTION("""COMPUTED_VALUE"""),1.0)</f>
        <v>1</v>
      </c>
      <c r="Q8954" s="4" t="str">
        <f>IFERROR(__xludf.DUMMYFUNCTION("""COMPUTED_VALUE"""),"null")</f>
        <v>null</v>
      </c>
      <c r="R8954" s="33">
        <f>IFERROR(__xludf.DUMMYFUNCTION("""COMPUTED_VALUE"""),1.0)</f>
        <v>1</v>
      </c>
      <c r="S8954" s="4" t="str">
        <f>IFERROR(__xludf.DUMMYFUNCTION("""COMPUTED_VALUE"""),"null")</f>
        <v>null</v>
      </c>
      <c r="T8954" s="33">
        <f>IFERROR(__xludf.DUMMYFUNCTION("""COMPUTED_VALUE"""),1.0)</f>
        <v>1</v>
      </c>
      <c r="U8954" s="4" t="str">
        <f>IFERROR(__xludf.DUMMYFUNCTION("""COMPUTED_VALUE"""),"null")</f>
        <v>null</v>
      </c>
      <c r="V8954" s="33">
        <f>IFERROR(__xludf.DUMMYFUNCTION("""COMPUTED_VALUE"""),1.0)</f>
        <v>1</v>
      </c>
      <c r="W8954" s="4" t="str">
        <f>IFERROR(__xludf.DUMMYFUNCTION("""COMPUTED_VALUE"""),"null")</f>
        <v>null</v>
      </c>
      <c r="X8954" s="33">
        <f>IFERROR(__xludf.DUMMYFUNCTION("""COMPUTED_VALUE"""),1.0)</f>
        <v>1</v>
      </c>
    </row>
    <row r="8955">
      <c r="K8955" s="4" t="str">
        <f>IFERROR(__xludf.DUMMYFUNCTION("""COMPUTED_VALUE"""),"TRIP PIZZARIA VIDEOMAR")</f>
        <v>TRIP PIZZARIA VIDEOMAR</v>
      </c>
      <c r="L8955" s="32">
        <f>IFERROR(__xludf.DUMMYFUNCTION("""COMPUTED_VALUE"""),1.0)</f>
        <v>1</v>
      </c>
      <c r="M8955" s="4" t="str">
        <f>IFERROR(__xludf.DUMMYFUNCTION("""COMPUTED_VALUE"""),"Beefood - Sistema Para Restaurantes")</f>
        <v>Beefood - Sistema Para Restaurantes</v>
      </c>
      <c r="N8955" s="33">
        <f>IFERROR(__xludf.DUMMYFUNCTION("""COMPUTED_VALUE"""),1.0)</f>
        <v>1</v>
      </c>
      <c r="O8955" s="4" t="str">
        <f>IFERROR(__xludf.DUMMYFUNCTION("""COMPUTED_VALUE"""),"null")</f>
        <v>null</v>
      </c>
      <c r="P8955" s="33">
        <f>IFERROR(__xludf.DUMMYFUNCTION("""COMPUTED_VALUE"""),1.0)</f>
        <v>1</v>
      </c>
      <c r="Q8955" s="4" t="str">
        <f>IFERROR(__xludf.DUMMYFUNCTION("""COMPUTED_VALUE"""),"null")</f>
        <v>null</v>
      </c>
      <c r="R8955" s="33">
        <f>IFERROR(__xludf.DUMMYFUNCTION("""COMPUTED_VALUE"""),1.0)</f>
        <v>1</v>
      </c>
      <c r="S8955" s="4" t="str">
        <f>IFERROR(__xludf.DUMMYFUNCTION("""COMPUTED_VALUE"""),"null")</f>
        <v>null</v>
      </c>
      <c r="T8955" s="33">
        <f>IFERROR(__xludf.DUMMYFUNCTION("""COMPUTED_VALUE"""),1.0)</f>
        <v>1</v>
      </c>
      <c r="U8955" s="4" t="str">
        <f>IFERROR(__xludf.DUMMYFUNCTION("""COMPUTED_VALUE"""),"null")</f>
        <v>null</v>
      </c>
      <c r="V8955" s="33">
        <f>IFERROR(__xludf.DUMMYFUNCTION("""COMPUTED_VALUE"""),1.0)</f>
        <v>1</v>
      </c>
      <c r="W8955" s="4" t="str">
        <f>IFERROR(__xludf.DUMMYFUNCTION("""COMPUTED_VALUE"""),"null")</f>
        <v>null</v>
      </c>
      <c r="X8955" s="33">
        <f>IFERROR(__xludf.DUMMYFUNCTION("""COMPUTED_VALUE"""),1.0)</f>
        <v>1</v>
      </c>
    </row>
    <row r="8956">
      <c r="K8956" s="4" t="str">
        <f>IFERROR(__xludf.DUMMYFUNCTION("""COMPUTED_VALUE"""),"RANGO DE LEI - HAMBURGUERIA HOT DOG")</f>
        <v>RANGO DE LEI - HAMBURGUERIA HOT DOG</v>
      </c>
      <c r="L8956" s="32">
        <f>IFERROR(__xludf.DUMMYFUNCTION("""COMPUTED_VALUE"""),1.0)</f>
        <v>1</v>
      </c>
      <c r="M8956" s="4" t="str">
        <f>IFERROR(__xludf.DUMMYFUNCTION("""COMPUTED_VALUE"""),"Vuca Solution")</f>
        <v>Vuca Solution</v>
      </c>
      <c r="N8956" s="33">
        <f>IFERROR(__xludf.DUMMYFUNCTION("""COMPUTED_VALUE"""),1.0)</f>
        <v>1</v>
      </c>
      <c r="O8956" s="4" t="str">
        <f>IFERROR(__xludf.DUMMYFUNCTION("""COMPUTED_VALUE"""),"null")</f>
        <v>null</v>
      </c>
      <c r="P8956" s="33">
        <f>IFERROR(__xludf.DUMMYFUNCTION("""COMPUTED_VALUE"""),1.0)</f>
        <v>1</v>
      </c>
      <c r="Q8956" s="4" t="str">
        <f>IFERROR(__xludf.DUMMYFUNCTION("""COMPUTED_VALUE"""),"null")</f>
        <v>null</v>
      </c>
      <c r="R8956" s="33">
        <f>IFERROR(__xludf.DUMMYFUNCTION("""COMPUTED_VALUE"""),1.0)</f>
        <v>1</v>
      </c>
      <c r="S8956" s="4" t="str">
        <f>IFERROR(__xludf.DUMMYFUNCTION("""COMPUTED_VALUE"""),"null")</f>
        <v>null</v>
      </c>
      <c r="T8956" s="33">
        <f>IFERROR(__xludf.DUMMYFUNCTION("""COMPUTED_VALUE"""),1.0)</f>
        <v>1</v>
      </c>
      <c r="U8956" s="4" t="str">
        <f>IFERROR(__xludf.DUMMYFUNCTION("""COMPUTED_VALUE"""),"null")</f>
        <v>null</v>
      </c>
      <c r="V8956" s="33">
        <f>IFERROR(__xludf.DUMMYFUNCTION("""COMPUTED_VALUE"""),1.0)</f>
        <v>1</v>
      </c>
      <c r="W8956" s="4" t="str">
        <f>IFERROR(__xludf.DUMMYFUNCTION("""COMPUTED_VALUE"""),"null")</f>
        <v>null</v>
      </c>
      <c r="X8956" s="33">
        <f>IFERROR(__xludf.DUMMYFUNCTION("""COMPUTED_VALUE"""),1.0)</f>
        <v>1</v>
      </c>
    </row>
    <row r="8957">
      <c r="K8957" s="4" t="str">
        <f>IFERROR(__xludf.DUMMYFUNCTION("""COMPUTED_VALUE"""),"VICTORIA EVENTOS")</f>
        <v>VICTORIA EVENTOS</v>
      </c>
      <c r="L8957" s="32">
        <f>IFERROR(__xludf.DUMMYFUNCTION("""COMPUTED_VALUE"""),1.0)</f>
        <v>1</v>
      </c>
      <c r="M8957" s="4" t="str">
        <f>IFERROR(__xludf.DUMMYFUNCTION("""COMPUTED_VALUE"""),"Work Soft Comercio De Informatica E Serviços Eireli - Me")</f>
        <v>Work Soft Comercio De Informatica E Serviços Eireli - Me</v>
      </c>
      <c r="N8957" s="33">
        <f>IFERROR(__xludf.DUMMYFUNCTION("""COMPUTED_VALUE"""),1.0)</f>
        <v>1</v>
      </c>
      <c r="O8957" s="4" t="str">
        <f>IFERROR(__xludf.DUMMYFUNCTION("""COMPUTED_VALUE"""),"Work Soft Comercio De Informatica E Serviços Eireli - Me")</f>
        <v>Work Soft Comercio De Informatica E Serviços Eireli - Me</v>
      </c>
      <c r="P8957" s="33">
        <f>IFERROR(__xludf.DUMMYFUNCTION("""COMPUTED_VALUE"""),1.0)</f>
        <v>1</v>
      </c>
      <c r="Q8957" s="4" t="str">
        <f>IFERROR(__xludf.DUMMYFUNCTION("""COMPUTED_VALUE"""),"Work Soft Comercio De Informatica E Serviços Eireli - Me")</f>
        <v>Work Soft Comercio De Informatica E Serviços Eireli - Me</v>
      </c>
      <c r="R8957" s="33">
        <f>IFERROR(__xludf.DUMMYFUNCTION("""COMPUTED_VALUE"""),1.0)</f>
        <v>1</v>
      </c>
      <c r="S8957" s="4" t="str">
        <f>IFERROR(__xludf.DUMMYFUNCTION("""COMPUTED_VALUE"""),"Work Soft Comercio De Informatica E Serviços Eireli - Me")</f>
        <v>Work Soft Comercio De Informatica E Serviços Eireli - Me</v>
      </c>
      <c r="T8957" s="33">
        <f>IFERROR(__xludf.DUMMYFUNCTION("""COMPUTED_VALUE"""),1.0)</f>
        <v>1</v>
      </c>
      <c r="U8957" s="4" t="str">
        <f>IFERROR(__xludf.DUMMYFUNCTION("""COMPUTED_VALUE"""),"Work Soft Comercio De Informatica E Serviços Eireli - Me")</f>
        <v>Work Soft Comercio De Informatica E Serviços Eireli - Me</v>
      </c>
      <c r="V8957" s="33">
        <f>IFERROR(__xludf.DUMMYFUNCTION("""COMPUTED_VALUE"""),1.0)</f>
        <v>1</v>
      </c>
      <c r="W8957" s="4" t="str">
        <f>IFERROR(__xludf.DUMMYFUNCTION("""COMPUTED_VALUE"""),"Work Soft Comercio De Informatica E Serviços Eireli - Me")</f>
        <v>Work Soft Comercio De Informatica E Serviços Eireli - Me</v>
      </c>
      <c r="X8957" s="33">
        <f>IFERROR(__xludf.DUMMYFUNCTION("""COMPUTED_VALUE"""),1.0)</f>
        <v>1</v>
      </c>
    </row>
    <row r="8958">
      <c r="K8958" s="4" t="str">
        <f>IFERROR(__xludf.DUMMYFUNCTION("""COMPUTED_VALUE"""),"SUPER PINHEIRO - MESSEJANA")</f>
        <v>SUPER PINHEIRO - MESSEJANA</v>
      </c>
      <c r="L8958" s="32">
        <f>IFERROR(__xludf.DUMMYFUNCTION("""COMPUTED_VALUE"""),1.0)</f>
        <v>1</v>
      </c>
      <c r="M8958" s="4" t="str">
        <f>IFERROR(__xludf.DUMMYFUNCTION("""COMPUTED_VALUE"""),"N/A (Not found)")</f>
        <v>N/A (Not found)</v>
      </c>
      <c r="N8958" s="33">
        <f>IFERROR(__xludf.DUMMYFUNCTION("""COMPUTED_VALUE"""),1.0)</f>
        <v>1</v>
      </c>
      <c r="O8958" s="4" t="str">
        <f>IFERROR(__xludf.DUMMYFUNCTION("""COMPUTED_VALUE"""),"N/A (Not found)")</f>
        <v>N/A (Not found)</v>
      </c>
      <c r="P8958" s="33">
        <f>IFERROR(__xludf.DUMMYFUNCTION("""COMPUTED_VALUE"""),1.0)</f>
        <v>1</v>
      </c>
      <c r="Q8958" s="4" t="str">
        <f>IFERROR(__xludf.DUMMYFUNCTION("""COMPUTED_VALUE"""),"N/A (Not found)")</f>
        <v>N/A (Not found)</v>
      </c>
      <c r="R8958" s="33">
        <f>IFERROR(__xludf.DUMMYFUNCTION("""COMPUTED_VALUE"""),1.0)</f>
        <v>1</v>
      </c>
      <c r="S8958" s="4" t="str">
        <f>IFERROR(__xludf.DUMMYFUNCTION("""COMPUTED_VALUE"""),"N/A (Not found)")</f>
        <v>N/A (Not found)</v>
      </c>
      <c r="T8958" s="33">
        <f>IFERROR(__xludf.DUMMYFUNCTION("""COMPUTED_VALUE"""),1.0)</f>
        <v>1</v>
      </c>
      <c r="U8958" s="4" t="str">
        <f>IFERROR(__xludf.DUMMYFUNCTION("""COMPUTED_VALUE"""),"N/A (Not found)")</f>
        <v>N/A (Not found)</v>
      </c>
      <c r="V8958" s="33">
        <f>IFERROR(__xludf.DUMMYFUNCTION("""COMPUTED_VALUE"""),1.0)</f>
        <v>1</v>
      </c>
      <c r="W8958" s="4" t="str">
        <f>IFERROR(__xludf.DUMMYFUNCTION("""COMPUTED_VALUE"""),"N/A (Not found)")</f>
        <v>N/A (Not found)</v>
      </c>
      <c r="X8958" s="33">
        <f>IFERROR(__xludf.DUMMYFUNCTION("""COMPUTED_VALUE"""),1.0)</f>
        <v>1</v>
      </c>
    </row>
    <row r="8959">
      <c r="K8959" s="4" t="str">
        <f>IFERROR(__xludf.DUMMYFUNCTION("""COMPUTED_VALUE"""),"FEIJAO DE CORDA - FREGUESIA DO O")</f>
        <v>FEIJAO DE CORDA - FREGUESIA DO O</v>
      </c>
      <c r="L8959" s="32">
        <f>IFERROR(__xludf.DUMMYFUNCTION("""COMPUTED_VALUE"""),1.0)</f>
        <v>1</v>
      </c>
      <c r="M8959" s="4" t="str">
        <f>IFERROR(__xludf.DUMMYFUNCTION("""COMPUTED_VALUE"""),"Garcom Web")</f>
        <v>Garcom Web</v>
      </c>
      <c r="N8959" s="33">
        <f>IFERROR(__xludf.DUMMYFUNCTION("""COMPUTED_VALUE"""),1.0)</f>
        <v>1</v>
      </c>
      <c r="O8959" s="4" t="str">
        <f>IFERROR(__xludf.DUMMYFUNCTION("""COMPUTED_VALUE"""),"Garcom Web")</f>
        <v>Garcom Web</v>
      </c>
      <c r="P8959" s="33">
        <f>IFERROR(__xludf.DUMMYFUNCTION("""COMPUTED_VALUE"""),1.0)</f>
        <v>1</v>
      </c>
      <c r="Q8959" s="4" t="str">
        <f>IFERROR(__xludf.DUMMYFUNCTION("""COMPUTED_VALUE"""),"Garcom Web")</f>
        <v>Garcom Web</v>
      </c>
      <c r="R8959" s="33">
        <f>IFERROR(__xludf.DUMMYFUNCTION("""COMPUTED_VALUE"""),1.0)</f>
        <v>1</v>
      </c>
      <c r="S8959" s="4" t="str">
        <f>IFERROR(__xludf.DUMMYFUNCTION("""COMPUTED_VALUE"""),"Garcom Web")</f>
        <v>Garcom Web</v>
      </c>
      <c r="T8959" s="33">
        <f>IFERROR(__xludf.DUMMYFUNCTION("""COMPUTED_VALUE"""),1.0)</f>
        <v>1</v>
      </c>
      <c r="U8959" s="4" t="str">
        <f>IFERROR(__xludf.DUMMYFUNCTION("""COMPUTED_VALUE"""),"Garcom Web")</f>
        <v>Garcom Web</v>
      </c>
      <c r="V8959" s="33">
        <f>IFERROR(__xludf.DUMMYFUNCTION("""COMPUTED_VALUE"""),1.0)</f>
        <v>1</v>
      </c>
      <c r="W8959" s="4" t="str">
        <f>IFERROR(__xludf.DUMMYFUNCTION("""COMPUTED_VALUE"""),"Garcom Web")</f>
        <v>Garcom Web</v>
      </c>
      <c r="X8959" s="33">
        <f>IFERROR(__xludf.DUMMYFUNCTION("""COMPUTED_VALUE"""),1.0)</f>
        <v>1</v>
      </c>
    </row>
    <row r="8960">
      <c r="K8960" s="4" t="str">
        <f>IFERROR(__xludf.DUMMYFUNCTION("""COMPUTED_VALUE"""),"SAINT GEORGES PANIFICADORA")</f>
        <v>SAINT GEORGES PANIFICADORA</v>
      </c>
      <c r="L8960" s="32">
        <f>IFERROR(__xludf.DUMMYFUNCTION("""COMPUTED_VALUE"""),1.0)</f>
        <v>1</v>
      </c>
      <c r="M8960" s="4" t="str">
        <f>IFERROR(__xludf.DUMMYFUNCTION("""COMPUTED_VALUE"""),"null")</f>
        <v>null</v>
      </c>
      <c r="N8960" s="33">
        <f>IFERROR(__xludf.DUMMYFUNCTION("""COMPUTED_VALUE"""),1.0)</f>
        <v>1</v>
      </c>
      <c r="O8960" s="4" t="str">
        <f>IFERROR(__xludf.DUMMYFUNCTION("""COMPUTED_VALUE"""),"null")</f>
        <v>null</v>
      </c>
      <c r="P8960" s="33">
        <f>IFERROR(__xludf.DUMMYFUNCTION("""COMPUTED_VALUE"""),1.0)</f>
        <v>1</v>
      </c>
      <c r="Q8960" s="4" t="str">
        <f>IFERROR(__xludf.DUMMYFUNCTION("""COMPUTED_VALUE"""),"null")</f>
        <v>null</v>
      </c>
      <c r="R8960" s="33">
        <f>IFERROR(__xludf.DUMMYFUNCTION("""COMPUTED_VALUE"""),1.0)</f>
        <v>1</v>
      </c>
      <c r="S8960" s="4" t="str">
        <f>IFERROR(__xludf.DUMMYFUNCTION("""COMPUTED_VALUE"""),"null")</f>
        <v>null</v>
      </c>
      <c r="T8960" s="33">
        <f>IFERROR(__xludf.DUMMYFUNCTION("""COMPUTED_VALUE"""),1.0)</f>
        <v>1</v>
      </c>
      <c r="U8960" s="4" t="str">
        <f>IFERROR(__xludf.DUMMYFUNCTION("""COMPUTED_VALUE"""),"Cloudfy")</f>
        <v>Cloudfy</v>
      </c>
      <c r="V8960" s="33">
        <f>IFERROR(__xludf.DUMMYFUNCTION("""COMPUTED_VALUE"""),1.0)</f>
        <v>1</v>
      </c>
      <c r="W8960" s="4" t="str">
        <f>IFERROR(__xludf.DUMMYFUNCTION("""COMPUTED_VALUE"""),"null")</f>
        <v>null</v>
      </c>
      <c r="X8960" s="33">
        <f>IFERROR(__xludf.DUMMYFUNCTION("""COMPUTED_VALUE"""),1.0)</f>
        <v>1</v>
      </c>
    </row>
    <row r="8961">
      <c r="K8961" s="4" t="str">
        <f>IFERROR(__xludf.DUMMYFUNCTION("""COMPUTED_VALUE"""),"DROGA HONDA")</f>
        <v>DROGA HONDA</v>
      </c>
      <c r="L8961" s="32">
        <f>IFERROR(__xludf.DUMMYFUNCTION("""COMPUTED_VALUE"""),1.0)</f>
        <v>1</v>
      </c>
      <c r="M8961" s="4" t="str">
        <f>IFERROR(__xludf.DUMMYFUNCTION("""COMPUTED_VALUE"""),"N/A (Not found)")</f>
        <v>N/A (Not found)</v>
      </c>
      <c r="N8961" s="33">
        <f>IFERROR(__xludf.DUMMYFUNCTION("""COMPUTED_VALUE"""),1.0)</f>
        <v>1</v>
      </c>
      <c r="O8961" s="4" t="str">
        <f>IFERROR(__xludf.DUMMYFUNCTION("""COMPUTED_VALUE"""),"N/A (Not found)")</f>
        <v>N/A (Not found)</v>
      </c>
      <c r="P8961" s="33">
        <f>IFERROR(__xludf.DUMMYFUNCTION("""COMPUTED_VALUE"""),1.0)</f>
        <v>1</v>
      </c>
      <c r="Q8961" s="4" t="str">
        <f>IFERROR(__xludf.DUMMYFUNCTION("""COMPUTED_VALUE"""),"N/A (Not found)")</f>
        <v>N/A (Not found)</v>
      </c>
      <c r="R8961" s="33">
        <f>IFERROR(__xludf.DUMMYFUNCTION("""COMPUTED_VALUE"""),1.0)</f>
        <v>1</v>
      </c>
      <c r="S8961" s="4" t="str">
        <f>IFERROR(__xludf.DUMMYFUNCTION("""COMPUTED_VALUE"""),"N/A (Not found)")</f>
        <v>N/A (Not found)</v>
      </c>
      <c r="T8961" s="33">
        <f>IFERROR(__xludf.DUMMYFUNCTION("""COMPUTED_VALUE"""),1.0)</f>
        <v>1</v>
      </c>
      <c r="U8961" s="4" t="str">
        <f>IFERROR(__xludf.DUMMYFUNCTION("""COMPUTED_VALUE"""),"N/A (Not found)")</f>
        <v>N/A (Not found)</v>
      </c>
      <c r="V8961" s="33">
        <f>IFERROR(__xludf.DUMMYFUNCTION("""COMPUTED_VALUE"""),1.0)</f>
        <v>1</v>
      </c>
      <c r="W8961" s="4" t="str">
        <f>IFERROR(__xludf.DUMMYFUNCTION("""COMPUTED_VALUE"""),"N/A (Not found)")</f>
        <v>N/A (Not found)</v>
      </c>
      <c r="X8961" s="33">
        <f>IFERROR(__xludf.DUMMYFUNCTION("""COMPUTED_VALUE"""),1.0)</f>
        <v>1</v>
      </c>
    </row>
    <row r="8962">
      <c r="K8962" s="4" t="str">
        <f>IFERROR(__xludf.DUMMYFUNCTION("""COMPUTED_VALUE"""),"BOM BURGUER ARTESANAL")</f>
        <v>BOM BURGUER ARTESANAL</v>
      </c>
      <c r="L8962" s="32">
        <f>IFERROR(__xludf.DUMMYFUNCTION("""COMPUTED_VALUE"""),1.0)</f>
        <v>1</v>
      </c>
      <c r="M8962" s="4" t="str">
        <f>IFERROR(__xludf.DUMMYFUNCTION("""COMPUTED_VALUE"""),"Instadelivery")</f>
        <v>Instadelivery</v>
      </c>
      <c r="N8962" s="33">
        <f>IFERROR(__xludf.DUMMYFUNCTION("""COMPUTED_VALUE"""),1.0)</f>
        <v>1</v>
      </c>
      <c r="O8962" s="4" t="str">
        <f>IFERROR(__xludf.DUMMYFUNCTION("""COMPUTED_VALUE"""),"Instadelivery")</f>
        <v>Instadelivery</v>
      </c>
      <c r="P8962" s="33">
        <f>IFERROR(__xludf.DUMMYFUNCTION("""COMPUTED_VALUE"""),1.0)</f>
        <v>1</v>
      </c>
      <c r="Q8962" s="4" t="str">
        <f>IFERROR(__xludf.DUMMYFUNCTION("""COMPUTED_VALUE"""),"Instadelivery")</f>
        <v>Instadelivery</v>
      </c>
      <c r="R8962" s="33">
        <f>IFERROR(__xludf.DUMMYFUNCTION("""COMPUTED_VALUE"""),1.0)</f>
        <v>1</v>
      </c>
      <c r="S8962" s="4" t="str">
        <f>IFERROR(__xludf.DUMMYFUNCTION("""COMPUTED_VALUE"""),"Instadelivery")</f>
        <v>Instadelivery</v>
      </c>
      <c r="T8962" s="33">
        <f>IFERROR(__xludf.DUMMYFUNCTION("""COMPUTED_VALUE"""),1.0)</f>
        <v>1</v>
      </c>
      <c r="U8962" s="4" t="str">
        <f>IFERROR(__xludf.DUMMYFUNCTION("""COMPUTED_VALUE"""),"Instadelivery")</f>
        <v>Instadelivery</v>
      </c>
      <c r="V8962" s="33">
        <f>IFERROR(__xludf.DUMMYFUNCTION("""COMPUTED_VALUE"""),1.0)</f>
        <v>1</v>
      </c>
      <c r="W8962" s="4" t="str">
        <f>IFERROR(__xludf.DUMMYFUNCTION("""COMPUTED_VALUE"""),"null")</f>
        <v>null</v>
      </c>
      <c r="X8962" s="33">
        <f>IFERROR(__xludf.DUMMYFUNCTION("""COMPUTED_VALUE"""),1.0)</f>
        <v>1</v>
      </c>
    </row>
    <row r="8963">
      <c r="K8963" s="4" t="str">
        <f>IFERROR(__xludf.DUMMYFUNCTION("""COMPUTED_VALUE"""),"TETEU BURGUER")</f>
        <v>TETEU BURGUER</v>
      </c>
      <c r="L8963" s="32">
        <f>IFERROR(__xludf.DUMMYFUNCTION("""COMPUTED_VALUE"""),1.0)</f>
        <v>1</v>
      </c>
      <c r="M8963" s="4" t="str">
        <f>IFERROR(__xludf.DUMMYFUNCTION("""COMPUTED_VALUE"""),"Consumer Soluções Em Tecnologia Ltda")</f>
        <v>Consumer Soluções Em Tecnologia Ltda</v>
      </c>
      <c r="N8963" s="33">
        <f>IFERROR(__xludf.DUMMYFUNCTION("""COMPUTED_VALUE"""),1.0)</f>
        <v>1</v>
      </c>
      <c r="O8963" s="4" t="str">
        <f>IFERROR(__xludf.DUMMYFUNCTION("""COMPUTED_VALUE"""),"null")</f>
        <v>null</v>
      </c>
      <c r="P8963" s="33">
        <f>IFERROR(__xludf.DUMMYFUNCTION("""COMPUTED_VALUE"""),1.0)</f>
        <v>1</v>
      </c>
      <c r="Q8963" s="4" t="str">
        <f>IFERROR(__xludf.DUMMYFUNCTION("""COMPUTED_VALUE"""),"Consumer Soluções Em Tecnologia Ltda")</f>
        <v>Consumer Soluções Em Tecnologia Ltda</v>
      </c>
      <c r="R8963" s="33">
        <f>IFERROR(__xludf.DUMMYFUNCTION("""COMPUTED_VALUE"""),1.0)</f>
        <v>1</v>
      </c>
      <c r="S8963" s="4" t="str">
        <f>IFERROR(__xludf.DUMMYFUNCTION("""COMPUTED_VALUE"""),"Consumer Soluções Em Tecnologia Ltda")</f>
        <v>Consumer Soluções Em Tecnologia Ltda</v>
      </c>
      <c r="T8963" s="33">
        <f>IFERROR(__xludf.DUMMYFUNCTION("""COMPUTED_VALUE"""),1.0)</f>
        <v>1</v>
      </c>
      <c r="U8963" s="4" t="str">
        <f>IFERROR(__xludf.DUMMYFUNCTION("""COMPUTED_VALUE"""),"Consumer Soluções Em Tecnologia Ltda")</f>
        <v>Consumer Soluções Em Tecnologia Ltda</v>
      </c>
      <c r="V8963" s="33">
        <f>IFERROR(__xludf.DUMMYFUNCTION("""COMPUTED_VALUE"""),1.0)</f>
        <v>1</v>
      </c>
      <c r="W8963" s="4" t="str">
        <f>IFERROR(__xludf.DUMMYFUNCTION("""COMPUTED_VALUE"""),"null")</f>
        <v>null</v>
      </c>
      <c r="X8963" s="33">
        <f>IFERROR(__xludf.DUMMYFUNCTION("""COMPUTED_VALUE"""),1.0)</f>
        <v>1</v>
      </c>
    </row>
    <row r="8964">
      <c r="K8964" s="4" t="str">
        <f>IFERROR(__xludf.DUMMYFUNCTION("""COMPUTED_VALUE"""),"PIZZARIA MORIA")</f>
        <v>PIZZARIA MORIA</v>
      </c>
      <c r="L8964" s="32">
        <f>IFERROR(__xludf.DUMMYFUNCTION("""COMPUTED_VALUE"""),1.0)</f>
        <v>1</v>
      </c>
      <c r="M8964" s="4" t="str">
        <f>IFERROR(__xludf.DUMMYFUNCTION("""COMPUTED_VALUE"""),"Beefood - Sistema Para Restaurantes")</f>
        <v>Beefood - Sistema Para Restaurantes</v>
      </c>
      <c r="N8964" s="33">
        <f>IFERROR(__xludf.DUMMYFUNCTION("""COMPUTED_VALUE"""),1.0)</f>
        <v>1</v>
      </c>
      <c r="O8964" s="4" t="str">
        <f>IFERROR(__xludf.DUMMYFUNCTION("""COMPUTED_VALUE"""),"Beefood - Sistema Para Restaurantes")</f>
        <v>Beefood - Sistema Para Restaurantes</v>
      </c>
      <c r="P8964" s="33">
        <f>IFERROR(__xludf.DUMMYFUNCTION("""COMPUTED_VALUE"""),1.0)</f>
        <v>1</v>
      </c>
      <c r="Q8964" s="4" t="str">
        <f>IFERROR(__xludf.DUMMYFUNCTION("""COMPUTED_VALUE"""),"Beefood - Sistema Para Restaurantes")</f>
        <v>Beefood - Sistema Para Restaurantes</v>
      </c>
      <c r="R8964" s="33">
        <f>IFERROR(__xludf.DUMMYFUNCTION("""COMPUTED_VALUE"""),1.0)</f>
        <v>1</v>
      </c>
      <c r="S8964" s="4" t="str">
        <f>IFERROR(__xludf.DUMMYFUNCTION("""COMPUTED_VALUE"""),"Beefood - Sistema Para Restaurantes")</f>
        <v>Beefood - Sistema Para Restaurantes</v>
      </c>
      <c r="T8964" s="33">
        <f>IFERROR(__xludf.DUMMYFUNCTION("""COMPUTED_VALUE"""),1.0)</f>
        <v>1</v>
      </c>
      <c r="U8964" s="4" t="str">
        <f>IFERROR(__xludf.DUMMYFUNCTION("""COMPUTED_VALUE"""),"Beefood - Sistema Para Restaurantes")</f>
        <v>Beefood - Sistema Para Restaurantes</v>
      </c>
      <c r="V8964" s="33">
        <f>IFERROR(__xludf.DUMMYFUNCTION("""COMPUTED_VALUE"""),1.0)</f>
        <v>1</v>
      </c>
      <c r="W8964" s="4" t="str">
        <f>IFERROR(__xludf.DUMMYFUNCTION("""COMPUTED_VALUE"""),"Beefood - Sistema Para Restaurantes")</f>
        <v>Beefood - Sistema Para Restaurantes</v>
      </c>
      <c r="X8964" s="33">
        <f>IFERROR(__xludf.DUMMYFUNCTION("""COMPUTED_VALUE"""),1.0)</f>
        <v>1</v>
      </c>
    </row>
    <row r="8965">
      <c r="K8965" s="4" t="str">
        <f>IFERROR(__xludf.DUMMYFUNCTION("""COMPUTED_VALUE"""),"BROTHER PIZZARIA SAO GERALDO")</f>
        <v>BROTHER PIZZARIA SAO GERALDO</v>
      </c>
      <c r="L8965" s="32">
        <f>IFERROR(__xludf.DUMMYFUNCTION("""COMPUTED_VALUE"""),1.0)</f>
        <v>1</v>
      </c>
      <c r="M8965" s="4" t="str">
        <f>IFERROR(__xludf.DUMMYFUNCTION("""COMPUTED_VALUE"""),"Netcontroll Xmenu")</f>
        <v>Netcontroll Xmenu</v>
      </c>
      <c r="N8965" s="33">
        <f>IFERROR(__xludf.DUMMYFUNCTION("""COMPUTED_VALUE"""),1.0)</f>
        <v>1</v>
      </c>
      <c r="O8965" s="4" t="str">
        <f>IFERROR(__xludf.DUMMYFUNCTION("""COMPUTED_VALUE"""),"Netcontroll Xmenu")</f>
        <v>Netcontroll Xmenu</v>
      </c>
      <c r="P8965" s="33">
        <f>IFERROR(__xludf.DUMMYFUNCTION("""COMPUTED_VALUE"""),1.0)</f>
        <v>1</v>
      </c>
      <c r="Q8965" s="4" t="str">
        <f>IFERROR(__xludf.DUMMYFUNCTION("""COMPUTED_VALUE"""),"Netcontroll Xmenu")</f>
        <v>Netcontroll Xmenu</v>
      </c>
      <c r="R8965" s="33">
        <f>IFERROR(__xludf.DUMMYFUNCTION("""COMPUTED_VALUE"""),1.0)</f>
        <v>1</v>
      </c>
      <c r="S8965" s="4" t="str">
        <f>IFERROR(__xludf.DUMMYFUNCTION("""COMPUTED_VALUE"""),"null")</f>
        <v>null</v>
      </c>
      <c r="T8965" s="33">
        <f>IFERROR(__xludf.DUMMYFUNCTION("""COMPUTED_VALUE"""),1.0)</f>
        <v>1</v>
      </c>
      <c r="U8965" s="4" t="str">
        <f>IFERROR(__xludf.DUMMYFUNCTION("""COMPUTED_VALUE"""),"null")</f>
        <v>null</v>
      </c>
      <c r="V8965" s="33">
        <f>IFERROR(__xludf.DUMMYFUNCTION("""COMPUTED_VALUE"""),1.0)</f>
        <v>1</v>
      </c>
      <c r="W8965" s="4" t="str">
        <f>IFERROR(__xludf.DUMMYFUNCTION("""COMPUTED_VALUE"""),"null")</f>
        <v>null</v>
      </c>
      <c r="X8965" s="33">
        <f>IFERROR(__xludf.DUMMYFUNCTION("""COMPUTED_VALUE"""),1.0)</f>
        <v>1</v>
      </c>
    </row>
    <row r="8966">
      <c r="K8966" s="4" t="str">
        <f>IFERROR(__xludf.DUMMYFUNCTION("""COMPUTED_VALUE"""),"SUSHI DELIVERY")</f>
        <v>SUSHI DELIVERY</v>
      </c>
      <c r="L8966" s="32">
        <f>IFERROR(__xludf.DUMMYFUNCTION("""COMPUTED_VALUE"""),1.0)</f>
        <v>1</v>
      </c>
      <c r="M8966" s="4" t="str">
        <f>IFERROR(__xludf.DUMMYFUNCTION("""COMPUTED_VALUE"""),"Instadelivery")</f>
        <v>Instadelivery</v>
      </c>
      <c r="N8966" s="33">
        <f>IFERROR(__xludf.DUMMYFUNCTION("""COMPUTED_VALUE"""),1.0)</f>
        <v>1</v>
      </c>
      <c r="O8966" s="4" t="str">
        <f>IFERROR(__xludf.DUMMYFUNCTION("""COMPUTED_VALUE"""),"Instadelivery")</f>
        <v>Instadelivery</v>
      </c>
      <c r="P8966" s="33">
        <f>IFERROR(__xludf.DUMMYFUNCTION("""COMPUTED_VALUE"""),1.0)</f>
        <v>1</v>
      </c>
      <c r="Q8966" s="4" t="str">
        <f>IFERROR(__xludf.DUMMYFUNCTION("""COMPUTED_VALUE"""),"Instadelivery")</f>
        <v>Instadelivery</v>
      </c>
      <c r="R8966" s="33">
        <f>IFERROR(__xludf.DUMMYFUNCTION("""COMPUTED_VALUE"""),1.0)</f>
        <v>1</v>
      </c>
      <c r="S8966" s="4" t="str">
        <f>IFERROR(__xludf.DUMMYFUNCTION("""COMPUTED_VALUE"""),"Instadelivery")</f>
        <v>Instadelivery</v>
      </c>
      <c r="T8966" s="33">
        <f>IFERROR(__xludf.DUMMYFUNCTION("""COMPUTED_VALUE"""),1.0)</f>
        <v>1</v>
      </c>
      <c r="U8966" s="4" t="str">
        <f>IFERROR(__xludf.DUMMYFUNCTION("""COMPUTED_VALUE"""),"Instadelivery")</f>
        <v>Instadelivery</v>
      </c>
      <c r="V8966" s="33">
        <f>IFERROR(__xludf.DUMMYFUNCTION("""COMPUTED_VALUE"""),1.0)</f>
        <v>1</v>
      </c>
      <c r="W8966" s="4" t="str">
        <f>IFERROR(__xludf.DUMMYFUNCTION("""COMPUTED_VALUE"""),"Instadelivery")</f>
        <v>Instadelivery</v>
      </c>
      <c r="X8966" s="33">
        <f>IFERROR(__xludf.DUMMYFUNCTION("""COMPUTED_VALUE"""),1.0)</f>
        <v>1</v>
      </c>
    </row>
    <row r="8967">
      <c r="K8967" s="4" t="str">
        <f>IFERROR(__xludf.DUMMYFUNCTION("""COMPUTED_VALUE"""),"DARBAS DELIVERY")</f>
        <v>DARBAS DELIVERY</v>
      </c>
      <c r="L8967" s="32">
        <f>IFERROR(__xludf.DUMMYFUNCTION("""COMPUTED_VALUE"""),1.0)</f>
        <v>1</v>
      </c>
      <c r="M8967" s="4" t="str">
        <f>IFERROR(__xludf.DUMMYFUNCTION("""COMPUTED_VALUE"""),"Saipos Serviços De Software")</f>
        <v>Saipos Serviços De Software</v>
      </c>
      <c r="N8967" s="33">
        <f>IFERROR(__xludf.DUMMYFUNCTION("""COMPUTED_VALUE"""),1.0)</f>
        <v>1</v>
      </c>
      <c r="O8967" s="4" t="str">
        <f>IFERROR(__xludf.DUMMYFUNCTION("""COMPUTED_VALUE"""),"Saipos Serviços De Software")</f>
        <v>Saipos Serviços De Software</v>
      </c>
      <c r="P8967" s="33">
        <f>IFERROR(__xludf.DUMMYFUNCTION("""COMPUTED_VALUE"""),1.0)</f>
        <v>1</v>
      </c>
      <c r="Q8967" s="4" t="str">
        <f>IFERROR(__xludf.DUMMYFUNCTION("""COMPUTED_VALUE"""),"Saipos Serviços De Software")</f>
        <v>Saipos Serviços De Software</v>
      </c>
      <c r="R8967" s="33">
        <f>IFERROR(__xludf.DUMMYFUNCTION("""COMPUTED_VALUE"""),1.0)</f>
        <v>1</v>
      </c>
      <c r="S8967" s="4" t="str">
        <f>IFERROR(__xludf.DUMMYFUNCTION("""COMPUTED_VALUE"""),"Saipos Serviços De Software")</f>
        <v>Saipos Serviços De Software</v>
      </c>
      <c r="T8967" s="33">
        <f>IFERROR(__xludf.DUMMYFUNCTION("""COMPUTED_VALUE"""),1.0)</f>
        <v>1</v>
      </c>
      <c r="U8967" s="4" t="str">
        <f>IFERROR(__xludf.DUMMYFUNCTION("""COMPUTED_VALUE"""),"Saipos Serviços De Software")</f>
        <v>Saipos Serviços De Software</v>
      </c>
      <c r="V8967" s="33">
        <f>IFERROR(__xludf.DUMMYFUNCTION("""COMPUTED_VALUE"""),1.0)</f>
        <v>1</v>
      </c>
      <c r="W8967" s="4" t="str">
        <f>IFERROR(__xludf.DUMMYFUNCTION("""COMPUTED_VALUE"""),"Saipos Serviços De Software")</f>
        <v>Saipos Serviços De Software</v>
      </c>
      <c r="X8967" s="33">
        <f>IFERROR(__xludf.DUMMYFUNCTION("""COMPUTED_VALUE"""),1.0)</f>
        <v>1</v>
      </c>
    </row>
    <row r="8968">
      <c r="K8968" s="4" t="str">
        <f>IFERROR(__xludf.DUMMYFUNCTION("""COMPUTED_VALUE"""),"FRANGAO CAMARGOS FRANGO ASSADO")</f>
        <v>FRANGAO CAMARGOS FRANGO ASSADO</v>
      </c>
      <c r="L8968" s="32">
        <f>IFERROR(__xludf.DUMMYFUNCTION("""COMPUTED_VALUE"""),1.0)</f>
        <v>1</v>
      </c>
      <c r="M8968" s="4" t="str">
        <f>IFERROR(__xludf.DUMMYFUNCTION("""COMPUTED_VALUE"""),"null")</f>
        <v>null</v>
      </c>
      <c r="N8968" s="33">
        <f>IFERROR(__xludf.DUMMYFUNCTION("""COMPUTED_VALUE"""),1.0)</f>
        <v>1</v>
      </c>
      <c r="O8968" s="4" t="str">
        <f>IFERROR(__xludf.DUMMYFUNCTION("""COMPUTED_VALUE"""),"null")</f>
        <v>null</v>
      </c>
      <c r="P8968" s="33">
        <f>IFERROR(__xludf.DUMMYFUNCTION("""COMPUTED_VALUE"""),1.0)</f>
        <v>1</v>
      </c>
      <c r="Q8968" s="4" t="str">
        <f>IFERROR(__xludf.DUMMYFUNCTION("""COMPUTED_VALUE"""),"null")</f>
        <v>null</v>
      </c>
      <c r="R8968" s="33">
        <f>IFERROR(__xludf.DUMMYFUNCTION("""COMPUTED_VALUE"""),1.0)</f>
        <v>1</v>
      </c>
      <c r="S8968" s="4" t="str">
        <f>IFERROR(__xludf.DUMMYFUNCTION("""COMPUTED_VALUE"""),"Menu Integrado")</f>
        <v>Menu Integrado</v>
      </c>
      <c r="T8968" s="33">
        <f>IFERROR(__xludf.DUMMYFUNCTION("""COMPUTED_VALUE"""),1.0)</f>
        <v>1</v>
      </c>
      <c r="U8968" s="4" t="str">
        <f>IFERROR(__xludf.DUMMYFUNCTION("""COMPUTED_VALUE"""),"Menu Integrado")</f>
        <v>Menu Integrado</v>
      </c>
      <c r="V8968" s="33">
        <f>IFERROR(__xludf.DUMMYFUNCTION("""COMPUTED_VALUE"""),1.0)</f>
        <v>1</v>
      </c>
      <c r="W8968" s="4" t="str">
        <f>IFERROR(__xludf.DUMMYFUNCTION("""COMPUTED_VALUE"""),"Menu Integrado")</f>
        <v>Menu Integrado</v>
      </c>
      <c r="X8968" s="33">
        <f>IFERROR(__xludf.DUMMYFUNCTION("""COMPUTED_VALUE"""),1.0)</f>
        <v>1</v>
      </c>
    </row>
    <row r="8969">
      <c r="K8969" s="4" t="str">
        <f>IFERROR(__xludf.DUMMYFUNCTION("""COMPUTED_VALUE"""),"KADOSH PIZZARIA")</f>
        <v>KADOSH PIZZARIA</v>
      </c>
      <c r="L8969" s="32">
        <f>IFERROR(__xludf.DUMMYFUNCTION("""COMPUTED_VALUE"""),1.0)</f>
        <v>1</v>
      </c>
      <c r="M8969" s="4" t="str">
        <f>IFERROR(__xludf.DUMMYFUNCTION("""COMPUTED_VALUE"""),"null")</f>
        <v>null</v>
      </c>
      <c r="N8969" s="33">
        <f>IFERROR(__xludf.DUMMYFUNCTION("""COMPUTED_VALUE"""),1.0)</f>
        <v>1</v>
      </c>
      <c r="O8969" s="4" t="str">
        <f>IFERROR(__xludf.DUMMYFUNCTION("""COMPUTED_VALUE"""),"null")</f>
        <v>null</v>
      </c>
      <c r="P8969" s="33">
        <f>IFERROR(__xludf.DUMMYFUNCTION("""COMPUTED_VALUE"""),1.0)</f>
        <v>1</v>
      </c>
      <c r="Q8969" s="4" t="str">
        <f>IFERROR(__xludf.DUMMYFUNCTION("""COMPUTED_VALUE"""),"null")</f>
        <v>null</v>
      </c>
      <c r="R8969" s="33">
        <f>IFERROR(__xludf.DUMMYFUNCTION("""COMPUTED_VALUE"""),1.0)</f>
        <v>1</v>
      </c>
      <c r="S8969" s="4" t="str">
        <f>IFERROR(__xludf.DUMMYFUNCTION("""COMPUTED_VALUE"""),"null")</f>
        <v>null</v>
      </c>
      <c r="T8969" s="33">
        <f>IFERROR(__xludf.DUMMYFUNCTION("""COMPUTED_VALUE"""),1.0)</f>
        <v>1</v>
      </c>
      <c r="U8969" s="4" t="str">
        <f>IFERROR(__xludf.DUMMYFUNCTION("""COMPUTED_VALUE"""),"Instadelivery")</f>
        <v>Instadelivery</v>
      </c>
      <c r="V8969" s="33">
        <f>IFERROR(__xludf.DUMMYFUNCTION("""COMPUTED_VALUE"""),1.0)</f>
        <v>1</v>
      </c>
      <c r="W8969" s="4" t="str">
        <f>IFERROR(__xludf.DUMMYFUNCTION("""COMPUTED_VALUE"""),"null")</f>
        <v>null</v>
      </c>
      <c r="X8969" s="33">
        <f>IFERROR(__xludf.DUMMYFUNCTION("""COMPUTED_VALUE"""),1.0)</f>
        <v>1</v>
      </c>
    </row>
    <row r="8970">
      <c r="K8970" s="4" t="str">
        <f>IFERROR(__xludf.DUMMYFUNCTION("""COMPUTED_VALUE"""),"MARMITARIA, SABOR SAUDE")</f>
        <v>MARMITARIA, SABOR SAUDE</v>
      </c>
      <c r="L8970" s="32">
        <f>IFERROR(__xludf.DUMMYFUNCTION("""COMPUTED_VALUE"""),1.0)</f>
        <v>1</v>
      </c>
      <c r="M8970" s="4" t="str">
        <f>IFERROR(__xludf.DUMMYFUNCTION("""COMPUTED_VALUE"""),"Anota Ai Solucoes Digitais S/a")</f>
        <v>Anota Ai Solucoes Digitais S/a</v>
      </c>
      <c r="N8970" s="33">
        <f>IFERROR(__xludf.DUMMYFUNCTION("""COMPUTED_VALUE"""),1.0)</f>
        <v>1</v>
      </c>
      <c r="O8970" s="4" t="str">
        <f>IFERROR(__xludf.DUMMYFUNCTION("""COMPUTED_VALUE"""),"Anota Ai Solucoes Digitais S/a")</f>
        <v>Anota Ai Solucoes Digitais S/a</v>
      </c>
      <c r="P8970" s="33">
        <f>IFERROR(__xludf.DUMMYFUNCTION("""COMPUTED_VALUE"""),1.0)</f>
        <v>1</v>
      </c>
      <c r="Q8970" s="4" t="str">
        <f>IFERROR(__xludf.DUMMYFUNCTION("""COMPUTED_VALUE"""),"Anota Ai Solucoes Digitais S/a")</f>
        <v>Anota Ai Solucoes Digitais S/a</v>
      </c>
      <c r="R8970" s="33">
        <f>IFERROR(__xludf.DUMMYFUNCTION("""COMPUTED_VALUE"""),1.0)</f>
        <v>1</v>
      </c>
      <c r="S8970" s="4" t="str">
        <f>IFERROR(__xludf.DUMMYFUNCTION("""COMPUTED_VALUE"""),"Anota Ai Solucoes Digitais S/a")</f>
        <v>Anota Ai Solucoes Digitais S/a</v>
      </c>
      <c r="T8970" s="33">
        <f>IFERROR(__xludf.DUMMYFUNCTION("""COMPUTED_VALUE"""),1.0)</f>
        <v>1</v>
      </c>
      <c r="U8970" s="4" t="str">
        <f>IFERROR(__xludf.DUMMYFUNCTION("""COMPUTED_VALUE"""),"Anota Ai Solucoes Digitais S/a")</f>
        <v>Anota Ai Solucoes Digitais S/a</v>
      </c>
      <c r="V8970" s="33">
        <f>IFERROR(__xludf.DUMMYFUNCTION("""COMPUTED_VALUE"""),1.0)</f>
        <v>1</v>
      </c>
      <c r="W8970" s="4" t="str">
        <f>IFERROR(__xludf.DUMMYFUNCTION("""COMPUTED_VALUE"""),"Anota Ai Solucoes Digitais S/a")</f>
        <v>Anota Ai Solucoes Digitais S/a</v>
      </c>
      <c r="X8970" s="33">
        <f>IFERROR(__xludf.DUMMYFUNCTION("""COMPUTED_VALUE"""),1.0)</f>
        <v>1</v>
      </c>
    </row>
    <row r="8971">
      <c r="K8971" s="4" t="str">
        <f>IFERROR(__xludf.DUMMYFUNCTION("""COMPUTED_VALUE"""),"KANOA RESTAURANTE COMIDA MINEIRA")</f>
        <v>KANOA RESTAURANTE COMIDA MINEIRA</v>
      </c>
      <c r="L8971" s="32">
        <f>IFERROR(__xludf.DUMMYFUNCTION("""COMPUTED_VALUE"""),1.0)</f>
        <v>1</v>
      </c>
      <c r="M8971" s="4" t="str">
        <f>IFERROR(__xludf.DUMMYFUNCTION("""COMPUTED_VALUE"""),"null")</f>
        <v>null</v>
      </c>
      <c r="N8971" s="33">
        <f>IFERROR(__xludf.DUMMYFUNCTION("""COMPUTED_VALUE"""),1.0)</f>
        <v>1</v>
      </c>
      <c r="O8971" s="4" t="str">
        <f>IFERROR(__xludf.DUMMYFUNCTION("""COMPUTED_VALUE"""),"Anota Ai Solucoes Digitais S/a")</f>
        <v>Anota Ai Solucoes Digitais S/a</v>
      </c>
      <c r="P8971" s="33">
        <f>IFERROR(__xludf.DUMMYFUNCTION("""COMPUTED_VALUE"""),1.0)</f>
        <v>1</v>
      </c>
      <c r="Q8971" s="4" t="str">
        <f>IFERROR(__xludf.DUMMYFUNCTION("""COMPUTED_VALUE"""),"Anota Ai Solucoes Digitais S/a")</f>
        <v>Anota Ai Solucoes Digitais S/a</v>
      </c>
      <c r="R8971" s="33">
        <f>IFERROR(__xludf.DUMMYFUNCTION("""COMPUTED_VALUE"""),1.0)</f>
        <v>1</v>
      </c>
      <c r="S8971" s="4" t="str">
        <f>IFERROR(__xludf.DUMMYFUNCTION("""COMPUTED_VALUE"""),"Anota Ai Solucoes Digitais S/a")</f>
        <v>Anota Ai Solucoes Digitais S/a</v>
      </c>
      <c r="T8971" s="33">
        <f>IFERROR(__xludf.DUMMYFUNCTION("""COMPUTED_VALUE"""),1.0)</f>
        <v>1</v>
      </c>
      <c r="U8971" s="4" t="str">
        <f>IFERROR(__xludf.DUMMYFUNCTION("""COMPUTED_VALUE"""),"Anota Ai Solucoes Digitais S/a")</f>
        <v>Anota Ai Solucoes Digitais S/a</v>
      </c>
      <c r="V8971" s="33">
        <f>IFERROR(__xludf.DUMMYFUNCTION("""COMPUTED_VALUE"""),1.0)</f>
        <v>1</v>
      </c>
      <c r="W8971" s="4" t="str">
        <f>IFERROR(__xludf.DUMMYFUNCTION("""COMPUTED_VALUE"""),"null")</f>
        <v>null</v>
      </c>
      <c r="X8971" s="33">
        <f>IFERROR(__xludf.DUMMYFUNCTION("""COMPUTED_VALUE"""),1.0)</f>
        <v>1</v>
      </c>
    </row>
    <row r="8972">
      <c r="K8972" s="4" t="str">
        <f>IFERROR(__xludf.DUMMYFUNCTION("""COMPUTED_VALUE"""),"PIZZARIA E ESFIHARIA BRUGUNI 2 - GERMANIA")</f>
        <v>PIZZARIA E ESFIHARIA BRUGUNI 2 - GERMANIA</v>
      </c>
      <c r="L8972" s="32">
        <f>IFERROR(__xludf.DUMMYFUNCTION("""COMPUTED_VALUE"""),1.0)</f>
        <v>1</v>
      </c>
      <c r="M8972" s="4" t="str">
        <f>IFERROR(__xludf.DUMMYFUNCTION("""COMPUTED_VALUE"""),"Grk Soluções Informatica Eireli")</f>
        <v>Grk Soluções Informatica Eireli</v>
      </c>
      <c r="N8972" s="33">
        <f>IFERROR(__xludf.DUMMYFUNCTION("""COMPUTED_VALUE"""),1.0)</f>
        <v>1</v>
      </c>
      <c r="O8972" s="4" t="str">
        <f>IFERROR(__xludf.DUMMYFUNCTION("""COMPUTED_VALUE"""),"null")</f>
        <v>null</v>
      </c>
      <c r="P8972" s="33">
        <f>IFERROR(__xludf.DUMMYFUNCTION("""COMPUTED_VALUE"""),1.0)</f>
        <v>1</v>
      </c>
      <c r="Q8972" s="4" t="str">
        <f>IFERROR(__xludf.DUMMYFUNCTION("""COMPUTED_VALUE"""),"Grk Soluções Informatica Eireli")</f>
        <v>Grk Soluções Informatica Eireli</v>
      </c>
      <c r="R8972" s="33">
        <f>IFERROR(__xludf.DUMMYFUNCTION("""COMPUTED_VALUE"""),1.0)</f>
        <v>1</v>
      </c>
      <c r="S8972" s="4" t="str">
        <f>IFERROR(__xludf.DUMMYFUNCTION("""COMPUTED_VALUE"""),"Grk Soluções Informatica Eireli")</f>
        <v>Grk Soluções Informatica Eireli</v>
      </c>
      <c r="T8972" s="33">
        <f>IFERROR(__xludf.DUMMYFUNCTION("""COMPUTED_VALUE"""),1.0)</f>
        <v>1</v>
      </c>
      <c r="U8972" s="4" t="str">
        <f>IFERROR(__xludf.DUMMYFUNCTION("""COMPUTED_VALUE"""),"Grk Soluções Informatica Eireli")</f>
        <v>Grk Soluções Informatica Eireli</v>
      </c>
      <c r="V8972" s="33">
        <f>IFERROR(__xludf.DUMMYFUNCTION("""COMPUTED_VALUE"""),1.0)</f>
        <v>1</v>
      </c>
      <c r="W8972" s="4" t="str">
        <f>IFERROR(__xludf.DUMMYFUNCTION("""COMPUTED_VALUE"""),"Grk Soluções Informatica Eireli")</f>
        <v>Grk Soluções Informatica Eireli</v>
      </c>
      <c r="X8972" s="33">
        <f>IFERROR(__xludf.DUMMYFUNCTION("""COMPUTED_VALUE"""),1.0)</f>
        <v>1</v>
      </c>
    </row>
    <row r="8973">
      <c r="K8973" s="4" t="str">
        <f>IFERROR(__xludf.DUMMYFUNCTION("""COMPUTED_VALUE"""),"BURGER FEST - HAMBURGUERIA")</f>
        <v>BURGER FEST - HAMBURGUERIA</v>
      </c>
      <c r="L8973" s="32">
        <f>IFERROR(__xludf.DUMMYFUNCTION("""COMPUTED_VALUE"""),1.0)</f>
        <v>1</v>
      </c>
      <c r="M8973" s="4" t="str">
        <f>IFERROR(__xludf.DUMMYFUNCTION("""COMPUTED_VALUE"""),"Saipos Serviços De Software")</f>
        <v>Saipos Serviços De Software</v>
      </c>
      <c r="N8973" s="33">
        <f>IFERROR(__xludf.DUMMYFUNCTION("""COMPUTED_VALUE"""),1.0)</f>
        <v>1</v>
      </c>
      <c r="O8973" s="4" t="str">
        <f>IFERROR(__xludf.DUMMYFUNCTION("""COMPUTED_VALUE"""),"null")</f>
        <v>null</v>
      </c>
      <c r="P8973" s="33">
        <f>IFERROR(__xludf.DUMMYFUNCTION("""COMPUTED_VALUE"""),1.0)</f>
        <v>1</v>
      </c>
      <c r="Q8973" s="4" t="str">
        <f>IFERROR(__xludf.DUMMYFUNCTION("""COMPUTED_VALUE"""),"null")</f>
        <v>null</v>
      </c>
      <c r="R8973" s="33">
        <f>IFERROR(__xludf.DUMMYFUNCTION("""COMPUTED_VALUE"""),1.0)</f>
        <v>1</v>
      </c>
      <c r="S8973" s="4" t="str">
        <f>IFERROR(__xludf.DUMMYFUNCTION("""COMPUTED_VALUE"""),"null")</f>
        <v>null</v>
      </c>
      <c r="T8973" s="33">
        <f>IFERROR(__xludf.DUMMYFUNCTION("""COMPUTED_VALUE"""),1.0)</f>
        <v>1</v>
      </c>
      <c r="U8973" s="4" t="str">
        <f>IFERROR(__xludf.DUMMYFUNCTION("""COMPUTED_VALUE"""),"null")</f>
        <v>null</v>
      </c>
      <c r="V8973" s="33">
        <f>IFERROR(__xludf.DUMMYFUNCTION("""COMPUTED_VALUE"""),1.0)</f>
        <v>1</v>
      </c>
      <c r="W8973" s="4" t="str">
        <f>IFERROR(__xludf.DUMMYFUNCTION("""COMPUTED_VALUE"""),"null")</f>
        <v>null</v>
      </c>
      <c r="X8973" s="33">
        <f>IFERROR(__xludf.DUMMYFUNCTION("""COMPUTED_VALUE"""),1.0)</f>
        <v>1</v>
      </c>
    </row>
    <row r="8974">
      <c r="K8974" s="4" t="str">
        <f>IFERROR(__xludf.DUMMYFUNCTION("""COMPUTED_VALUE"""),"CONFEITARIA ROCHELLE")</f>
        <v>CONFEITARIA ROCHELLE</v>
      </c>
      <c r="L8974" s="32">
        <f>IFERROR(__xludf.DUMMYFUNCTION("""COMPUTED_VALUE"""),1.0)</f>
        <v>1</v>
      </c>
      <c r="M8974" s="4" t="str">
        <f>IFERROR(__xludf.DUMMYFUNCTION("""COMPUTED_VALUE"""),"Cloudfy")</f>
        <v>Cloudfy</v>
      </c>
      <c r="N8974" s="33">
        <f>IFERROR(__xludf.DUMMYFUNCTION("""COMPUTED_VALUE"""),1.0)</f>
        <v>1</v>
      </c>
      <c r="O8974" s="4" t="str">
        <f>IFERROR(__xludf.DUMMYFUNCTION("""COMPUTED_VALUE"""),"Cloudfy")</f>
        <v>Cloudfy</v>
      </c>
      <c r="P8974" s="33">
        <f>IFERROR(__xludf.DUMMYFUNCTION("""COMPUTED_VALUE"""),1.0)</f>
        <v>1</v>
      </c>
      <c r="Q8974" s="4" t="str">
        <f>IFERROR(__xludf.DUMMYFUNCTION("""COMPUTED_VALUE"""),"Cloudfy")</f>
        <v>Cloudfy</v>
      </c>
      <c r="R8974" s="33">
        <f>IFERROR(__xludf.DUMMYFUNCTION("""COMPUTED_VALUE"""),1.0)</f>
        <v>1</v>
      </c>
      <c r="S8974" s="4" t="str">
        <f>IFERROR(__xludf.DUMMYFUNCTION("""COMPUTED_VALUE"""),"Cloudfy")</f>
        <v>Cloudfy</v>
      </c>
      <c r="T8974" s="33">
        <f>IFERROR(__xludf.DUMMYFUNCTION("""COMPUTED_VALUE"""),1.0)</f>
        <v>1</v>
      </c>
      <c r="U8974" s="4" t="str">
        <f>IFERROR(__xludf.DUMMYFUNCTION("""COMPUTED_VALUE"""),"Cloudfy")</f>
        <v>Cloudfy</v>
      </c>
      <c r="V8974" s="33">
        <f>IFERROR(__xludf.DUMMYFUNCTION("""COMPUTED_VALUE"""),1.0)</f>
        <v>1</v>
      </c>
      <c r="W8974" s="4" t="str">
        <f>IFERROR(__xludf.DUMMYFUNCTION("""COMPUTED_VALUE"""),"Cloudfy")</f>
        <v>Cloudfy</v>
      </c>
      <c r="X8974" s="33">
        <f>IFERROR(__xludf.DUMMYFUNCTION("""COMPUTED_VALUE"""),1.0)</f>
        <v>1</v>
      </c>
    </row>
    <row r="8975">
      <c r="K8975" s="4" t="str">
        <f>IFERROR(__xludf.DUMMYFUNCTION("""COMPUTED_VALUE"""),"FOMINHA MARMITARIA DELIVERY")</f>
        <v>FOMINHA MARMITARIA DELIVERY</v>
      </c>
      <c r="L8975" s="32">
        <f>IFERROR(__xludf.DUMMYFUNCTION("""COMPUTED_VALUE"""),1.0)</f>
        <v>1</v>
      </c>
      <c r="M8975" s="4" t="str">
        <f>IFERROR(__xludf.DUMMYFUNCTION("""COMPUTED_VALUE"""),"Cardápio Web")</f>
        <v>Cardápio Web</v>
      </c>
      <c r="N8975" s="33">
        <f>IFERROR(__xludf.DUMMYFUNCTION("""COMPUTED_VALUE"""),1.0)</f>
        <v>1</v>
      </c>
      <c r="O8975" s="4" t="str">
        <f>IFERROR(__xludf.DUMMYFUNCTION("""COMPUTED_VALUE"""),"Cardápio Web")</f>
        <v>Cardápio Web</v>
      </c>
      <c r="P8975" s="33">
        <f>IFERROR(__xludf.DUMMYFUNCTION("""COMPUTED_VALUE"""),1.0)</f>
        <v>1</v>
      </c>
      <c r="Q8975" s="4" t="str">
        <f>IFERROR(__xludf.DUMMYFUNCTION("""COMPUTED_VALUE"""),"Cardápio Web")</f>
        <v>Cardápio Web</v>
      </c>
      <c r="R8975" s="33">
        <f>IFERROR(__xludf.DUMMYFUNCTION("""COMPUTED_VALUE"""),1.0)</f>
        <v>1</v>
      </c>
      <c r="S8975" s="4" t="str">
        <f>IFERROR(__xludf.DUMMYFUNCTION("""COMPUTED_VALUE"""),"Cardápio Web")</f>
        <v>Cardápio Web</v>
      </c>
      <c r="T8975" s="33">
        <f>IFERROR(__xludf.DUMMYFUNCTION("""COMPUTED_VALUE"""),1.0)</f>
        <v>1</v>
      </c>
      <c r="U8975" s="4" t="str">
        <f>IFERROR(__xludf.DUMMYFUNCTION("""COMPUTED_VALUE"""),"Cardápio Web")</f>
        <v>Cardápio Web</v>
      </c>
      <c r="V8975" s="33">
        <f>IFERROR(__xludf.DUMMYFUNCTION("""COMPUTED_VALUE"""),1.0)</f>
        <v>1</v>
      </c>
      <c r="W8975" s="4" t="str">
        <f>IFERROR(__xludf.DUMMYFUNCTION("""COMPUTED_VALUE"""),"Cardápio Web")</f>
        <v>Cardápio Web</v>
      </c>
      <c r="X8975" s="33">
        <f>IFERROR(__xludf.DUMMYFUNCTION("""COMPUTED_VALUE"""),1.0)</f>
        <v>1</v>
      </c>
    </row>
    <row r="8976">
      <c r="K8976" s="4" t="str">
        <f>IFERROR(__xludf.DUMMYFUNCTION("""COMPUTED_VALUE"""),"SHARK BURGUER - RIO PRETO")</f>
        <v>SHARK BURGUER - RIO PRETO</v>
      </c>
      <c r="L8976" s="32">
        <f>IFERROR(__xludf.DUMMYFUNCTION("""COMPUTED_VALUE"""),1.0)</f>
        <v>1</v>
      </c>
      <c r="M8976" s="4" t="str">
        <f>IFERROR(__xludf.DUMMYFUNCTION("""COMPUTED_VALUE"""),"Ncr")</f>
        <v>Ncr</v>
      </c>
      <c r="N8976" s="33">
        <f>IFERROR(__xludf.DUMMYFUNCTION("""COMPUTED_VALUE"""),1.0)</f>
        <v>1</v>
      </c>
      <c r="O8976" s="4" t="str">
        <f>IFERROR(__xludf.DUMMYFUNCTION("""COMPUTED_VALUE"""),"Ncr")</f>
        <v>Ncr</v>
      </c>
      <c r="P8976" s="33">
        <f>IFERROR(__xludf.DUMMYFUNCTION("""COMPUTED_VALUE"""),1.0)</f>
        <v>1</v>
      </c>
      <c r="Q8976" s="4" t="str">
        <f>IFERROR(__xludf.DUMMYFUNCTION("""COMPUTED_VALUE"""),"Ncr")</f>
        <v>Ncr</v>
      </c>
      <c r="R8976" s="33">
        <f>IFERROR(__xludf.DUMMYFUNCTION("""COMPUTED_VALUE"""),1.0)</f>
        <v>1</v>
      </c>
      <c r="S8976" s="4" t="str">
        <f>IFERROR(__xludf.DUMMYFUNCTION("""COMPUTED_VALUE"""),"Ncr")</f>
        <v>Ncr</v>
      </c>
      <c r="T8976" s="33">
        <f>IFERROR(__xludf.DUMMYFUNCTION("""COMPUTED_VALUE"""),1.0)</f>
        <v>1</v>
      </c>
      <c r="U8976" s="4" t="str">
        <f>IFERROR(__xludf.DUMMYFUNCTION("""COMPUTED_VALUE"""),"Saipos Serviços De Software")</f>
        <v>Saipos Serviços De Software</v>
      </c>
      <c r="V8976" s="33">
        <f>IFERROR(__xludf.DUMMYFUNCTION("""COMPUTED_VALUE"""),1.0)</f>
        <v>1</v>
      </c>
      <c r="W8976" s="4" t="str">
        <f>IFERROR(__xludf.DUMMYFUNCTION("""COMPUTED_VALUE"""),"Saipos Serviços De Software")</f>
        <v>Saipos Serviços De Software</v>
      </c>
      <c r="X8976" s="33">
        <f>IFERROR(__xludf.DUMMYFUNCTION("""COMPUTED_VALUE"""),1.0)</f>
        <v>1</v>
      </c>
    </row>
    <row r="8977">
      <c r="K8977" s="4" t="str">
        <f>IFERROR(__xludf.DUMMYFUNCTION("""COMPUTED_VALUE"""),"GIGA BURGUER -SBC")</f>
        <v>GIGA BURGUER -SBC</v>
      </c>
      <c r="L8977" s="32">
        <f>IFERROR(__xludf.DUMMYFUNCTION("""COMPUTED_VALUE"""),1.0)</f>
        <v>1</v>
      </c>
      <c r="M8977" s="4" t="str">
        <f>IFERROR(__xludf.DUMMYFUNCTION("""COMPUTED_VALUE"""),"Takeat Tecnologia")</f>
        <v>Takeat Tecnologia</v>
      </c>
      <c r="N8977" s="33">
        <f>IFERROR(__xludf.DUMMYFUNCTION("""COMPUTED_VALUE"""),1.0)</f>
        <v>1</v>
      </c>
      <c r="O8977" s="4" t="str">
        <f>IFERROR(__xludf.DUMMYFUNCTION("""COMPUTED_VALUE"""),"Takeat Tecnologia")</f>
        <v>Takeat Tecnologia</v>
      </c>
      <c r="P8977" s="33">
        <f>IFERROR(__xludf.DUMMYFUNCTION("""COMPUTED_VALUE"""),1.0)</f>
        <v>1</v>
      </c>
      <c r="Q8977" s="4" t="str">
        <f>IFERROR(__xludf.DUMMYFUNCTION("""COMPUTED_VALUE"""),"null")</f>
        <v>null</v>
      </c>
      <c r="R8977" s="33">
        <f>IFERROR(__xludf.DUMMYFUNCTION("""COMPUTED_VALUE"""),1.0)</f>
        <v>1</v>
      </c>
      <c r="S8977" s="4" t="str">
        <f>IFERROR(__xludf.DUMMYFUNCTION("""COMPUTED_VALUE"""),"Takeat Tecnologia")</f>
        <v>Takeat Tecnologia</v>
      </c>
      <c r="T8977" s="33">
        <f>IFERROR(__xludf.DUMMYFUNCTION("""COMPUTED_VALUE"""),1.0)</f>
        <v>1</v>
      </c>
      <c r="U8977" s="4" t="str">
        <f>IFERROR(__xludf.DUMMYFUNCTION("""COMPUTED_VALUE"""),"Takeat Tecnologia")</f>
        <v>Takeat Tecnologia</v>
      </c>
      <c r="V8977" s="33">
        <f>IFERROR(__xludf.DUMMYFUNCTION("""COMPUTED_VALUE"""),1.0)</f>
        <v>1</v>
      </c>
      <c r="W8977" s="4" t="str">
        <f>IFERROR(__xludf.DUMMYFUNCTION("""COMPUTED_VALUE"""),"Takeat Tecnologia")</f>
        <v>Takeat Tecnologia</v>
      </c>
      <c r="X8977" s="33">
        <f>IFERROR(__xludf.DUMMYFUNCTION("""COMPUTED_VALUE"""),1.0)</f>
        <v>1</v>
      </c>
    </row>
    <row r="8978">
      <c r="K8978" s="4" t="str">
        <f>IFERROR(__xludf.DUMMYFUNCTION("""COMPUTED_VALUE"""),"BUDEGA DO PASTEL MOSSORO")</f>
        <v>BUDEGA DO PASTEL MOSSORO</v>
      </c>
      <c r="L8978" s="32">
        <f>IFERROR(__xludf.DUMMYFUNCTION("""COMPUTED_VALUE"""),1.0)</f>
        <v>1</v>
      </c>
      <c r="M8978" s="4" t="str">
        <f>IFERROR(__xludf.DUMMYFUNCTION("""COMPUTED_VALUE"""),"Alpha Logo")</f>
        <v>Alpha Logo</v>
      </c>
      <c r="N8978" s="33">
        <f>IFERROR(__xludf.DUMMYFUNCTION("""COMPUTED_VALUE"""),1.0)</f>
        <v>1</v>
      </c>
      <c r="O8978" s="4" t="str">
        <f>IFERROR(__xludf.DUMMYFUNCTION("""COMPUTED_VALUE"""),"Alpha Logo")</f>
        <v>Alpha Logo</v>
      </c>
      <c r="P8978" s="33">
        <f>IFERROR(__xludf.DUMMYFUNCTION("""COMPUTED_VALUE"""),1.0)</f>
        <v>1</v>
      </c>
      <c r="Q8978" s="4" t="str">
        <f>IFERROR(__xludf.DUMMYFUNCTION("""COMPUTED_VALUE"""),"Alpha Logo")</f>
        <v>Alpha Logo</v>
      </c>
      <c r="R8978" s="33">
        <f>IFERROR(__xludf.DUMMYFUNCTION("""COMPUTED_VALUE"""),1.0)</f>
        <v>1</v>
      </c>
      <c r="S8978" s="4" t="str">
        <f>IFERROR(__xludf.DUMMYFUNCTION("""COMPUTED_VALUE"""),"Alpha Logo")</f>
        <v>Alpha Logo</v>
      </c>
      <c r="T8978" s="33">
        <f>IFERROR(__xludf.DUMMYFUNCTION("""COMPUTED_VALUE"""),1.0)</f>
        <v>1</v>
      </c>
      <c r="U8978" s="4" t="str">
        <f>IFERROR(__xludf.DUMMYFUNCTION("""COMPUTED_VALUE"""),"Alpha Logo")</f>
        <v>Alpha Logo</v>
      </c>
      <c r="V8978" s="33">
        <f>IFERROR(__xludf.DUMMYFUNCTION("""COMPUTED_VALUE"""),1.0)</f>
        <v>1</v>
      </c>
      <c r="W8978" s="4" t="str">
        <f>IFERROR(__xludf.DUMMYFUNCTION("""COMPUTED_VALUE"""),"Alpha Logo")</f>
        <v>Alpha Logo</v>
      </c>
      <c r="X8978" s="33">
        <f>IFERROR(__xludf.DUMMYFUNCTION("""COMPUTED_VALUE"""),1.0)</f>
        <v>1</v>
      </c>
    </row>
    <row r="8979">
      <c r="K8979" s="4" t="str">
        <f>IFERROR(__xludf.DUMMYFUNCTION("""COMPUTED_VALUE"""),"RESTAURANTE BRASILEIRO")</f>
        <v>RESTAURANTE BRASILEIRO</v>
      </c>
      <c r="L8979" s="32">
        <f>IFERROR(__xludf.DUMMYFUNCTION("""COMPUTED_VALUE"""),1.0)</f>
        <v>1</v>
      </c>
      <c r="M8979" s="4" t="str">
        <f>IFERROR(__xludf.DUMMYFUNCTION("""COMPUTED_VALUE"""),"Saipos Serviços De Software")</f>
        <v>Saipos Serviços De Software</v>
      </c>
      <c r="N8979" s="33">
        <f>IFERROR(__xludf.DUMMYFUNCTION("""COMPUTED_VALUE"""),1.0)</f>
        <v>1</v>
      </c>
      <c r="O8979" s="4" t="str">
        <f>IFERROR(__xludf.DUMMYFUNCTION("""COMPUTED_VALUE"""),"Saipos Serviços De Software")</f>
        <v>Saipos Serviços De Software</v>
      </c>
      <c r="P8979" s="33">
        <f>IFERROR(__xludf.DUMMYFUNCTION("""COMPUTED_VALUE"""),1.0)</f>
        <v>1</v>
      </c>
      <c r="Q8979" s="4" t="str">
        <f>IFERROR(__xludf.DUMMYFUNCTION("""COMPUTED_VALUE"""),"Saipos Serviços De Software")</f>
        <v>Saipos Serviços De Software</v>
      </c>
      <c r="R8979" s="33">
        <f>IFERROR(__xludf.DUMMYFUNCTION("""COMPUTED_VALUE"""),1.0)</f>
        <v>1</v>
      </c>
      <c r="S8979" s="4" t="str">
        <f>IFERROR(__xludf.DUMMYFUNCTION("""COMPUTED_VALUE"""),"null")</f>
        <v>null</v>
      </c>
      <c r="T8979" s="33">
        <f>IFERROR(__xludf.DUMMYFUNCTION("""COMPUTED_VALUE"""),1.0)</f>
        <v>1</v>
      </c>
      <c r="U8979" s="4" t="str">
        <f>IFERROR(__xludf.DUMMYFUNCTION("""COMPUTED_VALUE"""),"null")</f>
        <v>null</v>
      </c>
      <c r="V8979" s="33">
        <f>IFERROR(__xludf.DUMMYFUNCTION("""COMPUTED_VALUE"""),1.0)</f>
        <v>1</v>
      </c>
      <c r="W8979" s="4" t="str">
        <f>IFERROR(__xludf.DUMMYFUNCTION("""COMPUTED_VALUE"""),"null")</f>
        <v>null</v>
      </c>
      <c r="X8979" s="33">
        <f>IFERROR(__xludf.DUMMYFUNCTION("""COMPUTED_VALUE"""),1.0)</f>
        <v>1</v>
      </c>
    </row>
    <row r="8980">
      <c r="K8980" s="4" t="str">
        <f>IFERROR(__xludf.DUMMYFUNCTION("""COMPUTED_VALUE"""),"COZINHA DIAMANTINA")</f>
        <v>COZINHA DIAMANTINA</v>
      </c>
      <c r="L8980" s="32">
        <f>IFERROR(__xludf.DUMMYFUNCTION("""COMPUTED_VALUE"""),1.0)</f>
        <v>1</v>
      </c>
      <c r="M8980" s="4" t="str">
        <f>IFERROR(__xludf.DUMMYFUNCTION("""COMPUTED_VALUE"""),"Consumer Soluções Em Tecnologia Ltda")</f>
        <v>Consumer Soluções Em Tecnologia Ltda</v>
      </c>
      <c r="N8980" s="33">
        <f>IFERROR(__xludf.DUMMYFUNCTION("""COMPUTED_VALUE"""),1.0)</f>
        <v>1</v>
      </c>
      <c r="O8980" s="4" t="str">
        <f>IFERROR(__xludf.DUMMYFUNCTION("""COMPUTED_VALUE"""),"Consumer Soluções Em Tecnologia Ltda")</f>
        <v>Consumer Soluções Em Tecnologia Ltda</v>
      </c>
      <c r="P8980" s="33">
        <f>IFERROR(__xludf.DUMMYFUNCTION("""COMPUTED_VALUE"""),1.0)</f>
        <v>1</v>
      </c>
      <c r="Q8980" s="4" t="str">
        <f>IFERROR(__xludf.DUMMYFUNCTION("""COMPUTED_VALUE"""),"Consumer Soluções Em Tecnologia Ltda")</f>
        <v>Consumer Soluções Em Tecnologia Ltda</v>
      </c>
      <c r="R8980" s="33">
        <f>IFERROR(__xludf.DUMMYFUNCTION("""COMPUTED_VALUE"""),1.0)</f>
        <v>1</v>
      </c>
      <c r="S8980" s="4" t="str">
        <f>IFERROR(__xludf.DUMMYFUNCTION("""COMPUTED_VALUE"""),"Consumer Soluções Em Tecnologia Ltda")</f>
        <v>Consumer Soluções Em Tecnologia Ltda</v>
      </c>
      <c r="T8980" s="33">
        <f>IFERROR(__xludf.DUMMYFUNCTION("""COMPUTED_VALUE"""),1.0)</f>
        <v>1</v>
      </c>
      <c r="U8980" s="4" t="str">
        <f>IFERROR(__xludf.DUMMYFUNCTION("""COMPUTED_VALUE"""),"Consumer Soluções Em Tecnologia Ltda")</f>
        <v>Consumer Soluções Em Tecnologia Ltda</v>
      </c>
      <c r="V8980" s="33">
        <f>IFERROR(__xludf.DUMMYFUNCTION("""COMPUTED_VALUE"""),1.0)</f>
        <v>1</v>
      </c>
      <c r="W8980" s="4" t="str">
        <f>IFERROR(__xludf.DUMMYFUNCTION("""COMPUTED_VALUE"""),"Consumer Soluções Em Tecnologia Ltda")</f>
        <v>Consumer Soluções Em Tecnologia Ltda</v>
      </c>
      <c r="X8980" s="33">
        <f>IFERROR(__xludf.DUMMYFUNCTION("""COMPUTED_VALUE"""),1.0)</f>
        <v>1</v>
      </c>
    </row>
    <row r="8981">
      <c r="K8981" s="4" t="str">
        <f>IFERROR(__xludf.DUMMYFUNCTION("""COMPUTED_VALUE"""),"BOTECO HEINEKEN")</f>
        <v>BOTECO HEINEKEN</v>
      </c>
      <c r="L8981" s="32">
        <f>IFERROR(__xludf.DUMMYFUNCTION("""COMPUTED_VALUE"""),1.0)</f>
        <v>1</v>
      </c>
      <c r="M8981" s="4" t="str">
        <f>IFERROR(__xludf.DUMMYFUNCTION("""COMPUTED_VALUE"""),"Hubster")</f>
        <v>Hubster</v>
      </c>
      <c r="N8981" s="33">
        <f>IFERROR(__xludf.DUMMYFUNCTION("""COMPUTED_VALUE"""),1.0)</f>
        <v>1</v>
      </c>
      <c r="O8981" s="4" t="str">
        <f>IFERROR(__xludf.DUMMYFUNCTION("""COMPUTED_VALUE"""),"Hubster")</f>
        <v>Hubster</v>
      </c>
      <c r="P8981" s="33">
        <f>IFERROR(__xludf.DUMMYFUNCTION("""COMPUTED_VALUE"""),1.0)</f>
        <v>1</v>
      </c>
      <c r="Q8981" s="4" t="str">
        <f>IFERROR(__xludf.DUMMYFUNCTION("""COMPUTED_VALUE"""),"null")</f>
        <v>null</v>
      </c>
      <c r="R8981" s="33">
        <f>IFERROR(__xludf.DUMMYFUNCTION("""COMPUTED_VALUE"""),1.0)</f>
        <v>1</v>
      </c>
      <c r="S8981" s="4" t="str">
        <f>IFERROR(__xludf.DUMMYFUNCTION("""COMPUTED_VALUE"""),"null")</f>
        <v>null</v>
      </c>
      <c r="T8981" s="33">
        <f>IFERROR(__xludf.DUMMYFUNCTION("""COMPUTED_VALUE"""),1.0)</f>
        <v>1</v>
      </c>
      <c r="U8981" s="4" t="str">
        <f>IFERROR(__xludf.DUMMYFUNCTION("""COMPUTED_VALUE"""),"null")</f>
        <v>null</v>
      </c>
      <c r="V8981" s="33">
        <f>IFERROR(__xludf.DUMMYFUNCTION("""COMPUTED_VALUE"""),1.0)</f>
        <v>1</v>
      </c>
      <c r="W8981" s="4" t="str">
        <f>IFERROR(__xludf.DUMMYFUNCTION("""COMPUTED_VALUE"""),"null")</f>
        <v>null</v>
      </c>
      <c r="X8981" s="33">
        <f>IFERROR(__xludf.DUMMYFUNCTION("""COMPUTED_VALUE"""),1.0)</f>
        <v>1</v>
      </c>
    </row>
    <row r="8982">
      <c r="K8982" s="4" t="str">
        <f>IFERROR(__xludf.DUMMYFUNCTION("""COMPUTED_VALUE"""),"CASA DE DOCES NOVA MANIA")</f>
        <v>CASA DE DOCES NOVA MANIA</v>
      </c>
      <c r="L8982" s="32">
        <f>IFERROR(__xludf.DUMMYFUNCTION("""COMPUTED_VALUE"""),1.0)</f>
        <v>1</v>
      </c>
      <c r="M8982" s="4" t="str">
        <f>IFERROR(__xludf.DUMMYFUNCTION("""COMPUTED_VALUE"""),"Aedos Software E Consultoria Ltda Me")</f>
        <v>Aedos Software E Consultoria Ltda Me</v>
      </c>
      <c r="N8982" s="33">
        <f>IFERROR(__xludf.DUMMYFUNCTION("""COMPUTED_VALUE"""),1.0)</f>
        <v>1</v>
      </c>
      <c r="O8982" s="4" t="str">
        <f>IFERROR(__xludf.DUMMYFUNCTION("""COMPUTED_VALUE"""),"Aedos Software E Consultoria Ltda Me")</f>
        <v>Aedos Software E Consultoria Ltda Me</v>
      </c>
      <c r="P8982" s="33">
        <f>IFERROR(__xludf.DUMMYFUNCTION("""COMPUTED_VALUE"""),1.0)</f>
        <v>1</v>
      </c>
      <c r="Q8982" s="4" t="str">
        <f>IFERROR(__xludf.DUMMYFUNCTION("""COMPUTED_VALUE"""),"Aedos Software E Consultoria Ltda Me")</f>
        <v>Aedos Software E Consultoria Ltda Me</v>
      </c>
      <c r="R8982" s="33">
        <f>IFERROR(__xludf.DUMMYFUNCTION("""COMPUTED_VALUE"""),1.0)</f>
        <v>1</v>
      </c>
      <c r="S8982" s="4" t="str">
        <f>IFERROR(__xludf.DUMMYFUNCTION("""COMPUTED_VALUE"""),"Aedos Software E Consultoria Ltda Me")</f>
        <v>Aedos Software E Consultoria Ltda Me</v>
      </c>
      <c r="T8982" s="33">
        <f>IFERROR(__xludf.DUMMYFUNCTION("""COMPUTED_VALUE"""),1.0)</f>
        <v>1</v>
      </c>
      <c r="U8982" s="4" t="str">
        <f>IFERROR(__xludf.DUMMYFUNCTION("""COMPUTED_VALUE"""),"Aedos Software E Consultoria Ltda Me")</f>
        <v>Aedos Software E Consultoria Ltda Me</v>
      </c>
      <c r="V8982" s="33">
        <f>IFERROR(__xludf.DUMMYFUNCTION("""COMPUTED_VALUE"""),1.0)</f>
        <v>1</v>
      </c>
      <c r="W8982" s="4" t="str">
        <f>IFERROR(__xludf.DUMMYFUNCTION("""COMPUTED_VALUE"""),"Aedos Software E Consultoria Ltda Me")</f>
        <v>Aedos Software E Consultoria Ltda Me</v>
      </c>
      <c r="X8982" s="33">
        <f>IFERROR(__xludf.DUMMYFUNCTION("""COMPUTED_VALUE"""),1.0)</f>
        <v>1</v>
      </c>
    </row>
    <row r="8983">
      <c r="K8983" s="4" t="str">
        <f>IFERROR(__xludf.DUMMYFUNCTION("""COMPUTED_VALUE"""),"THE BEST PIZZARIA E LANCHES")</f>
        <v>THE BEST PIZZARIA E LANCHES</v>
      </c>
      <c r="L8983" s="32">
        <f>IFERROR(__xludf.DUMMYFUNCTION("""COMPUTED_VALUE"""),1.0)</f>
        <v>1</v>
      </c>
      <c r="M8983" s="4" t="str">
        <f>IFERROR(__xludf.DUMMYFUNCTION("""COMPUTED_VALUE"""),"Saipos Serviços De Software")</f>
        <v>Saipos Serviços De Software</v>
      </c>
      <c r="N8983" s="33">
        <f>IFERROR(__xludf.DUMMYFUNCTION("""COMPUTED_VALUE"""),1.0)</f>
        <v>1</v>
      </c>
      <c r="O8983" s="4" t="str">
        <f>IFERROR(__xludf.DUMMYFUNCTION("""COMPUTED_VALUE"""),"Saipos Serviços De Software")</f>
        <v>Saipos Serviços De Software</v>
      </c>
      <c r="P8983" s="33">
        <f>IFERROR(__xludf.DUMMYFUNCTION("""COMPUTED_VALUE"""),1.0)</f>
        <v>1</v>
      </c>
      <c r="Q8983" s="4" t="str">
        <f>IFERROR(__xludf.DUMMYFUNCTION("""COMPUTED_VALUE"""),"Saipos Serviços De Software")</f>
        <v>Saipos Serviços De Software</v>
      </c>
      <c r="R8983" s="33">
        <f>IFERROR(__xludf.DUMMYFUNCTION("""COMPUTED_VALUE"""),1.0)</f>
        <v>1</v>
      </c>
      <c r="S8983" s="4" t="str">
        <f>IFERROR(__xludf.DUMMYFUNCTION("""COMPUTED_VALUE"""),"Saipos Serviços De Software")</f>
        <v>Saipos Serviços De Software</v>
      </c>
      <c r="T8983" s="33">
        <f>IFERROR(__xludf.DUMMYFUNCTION("""COMPUTED_VALUE"""),1.0)</f>
        <v>1</v>
      </c>
      <c r="U8983" s="4" t="str">
        <f>IFERROR(__xludf.DUMMYFUNCTION("""COMPUTED_VALUE"""),"Saipos Serviços De Software")</f>
        <v>Saipos Serviços De Software</v>
      </c>
      <c r="V8983" s="33">
        <f>IFERROR(__xludf.DUMMYFUNCTION("""COMPUTED_VALUE"""),1.0)</f>
        <v>1</v>
      </c>
      <c r="W8983" s="4" t="str">
        <f>IFERROR(__xludf.DUMMYFUNCTION("""COMPUTED_VALUE"""),"Saipos Serviços De Software")</f>
        <v>Saipos Serviços De Software</v>
      </c>
      <c r="X8983" s="33">
        <f>IFERROR(__xludf.DUMMYFUNCTION("""COMPUTED_VALUE"""),1.0)</f>
        <v>1</v>
      </c>
    </row>
    <row r="8984">
      <c r="K8984" s="4" t="str">
        <f>IFERROR(__xludf.DUMMYFUNCTION("""COMPUTED_VALUE"""),"TODO SABOR RESTAURANTE")</f>
        <v>TODO SABOR RESTAURANTE</v>
      </c>
      <c r="L8984" s="32">
        <f>IFERROR(__xludf.DUMMYFUNCTION("""COMPUTED_VALUE"""),1.0)</f>
        <v>1</v>
      </c>
      <c r="M8984" s="4" t="str">
        <f>IFERROR(__xludf.DUMMYFUNCTION("""COMPUTED_VALUE"""),"Consumer Soluções Em Tecnologia Ltda")</f>
        <v>Consumer Soluções Em Tecnologia Ltda</v>
      </c>
      <c r="N8984" s="33">
        <f>IFERROR(__xludf.DUMMYFUNCTION("""COMPUTED_VALUE"""),1.0)</f>
        <v>1</v>
      </c>
      <c r="O8984" s="4" t="str">
        <f>IFERROR(__xludf.DUMMYFUNCTION("""COMPUTED_VALUE"""),"Consumer Soluções Em Tecnologia Ltda")</f>
        <v>Consumer Soluções Em Tecnologia Ltda</v>
      </c>
      <c r="P8984" s="33">
        <f>IFERROR(__xludf.DUMMYFUNCTION("""COMPUTED_VALUE"""),1.0)</f>
        <v>1</v>
      </c>
      <c r="Q8984" s="4" t="str">
        <f>IFERROR(__xludf.DUMMYFUNCTION("""COMPUTED_VALUE"""),"Consumer Soluções Em Tecnologia Ltda")</f>
        <v>Consumer Soluções Em Tecnologia Ltda</v>
      </c>
      <c r="R8984" s="33">
        <f>IFERROR(__xludf.DUMMYFUNCTION("""COMPUTED_VALUE"""),1.0)</f>
        <v>1</v>
      </c>
      <c r="S8984" s="4" t="str">
        <f>IFERROR(__xludf.DUMMYFUNCTION("""COMPUTED_VALUE"""),"Consumer Soluções Em Tecnologia Ltda")</f>
        <v>Consumer Soluções Em Tecnologia Ltda</v>
      </c>
      <c r="T8984" s="33">
        <f>IFERROR(__xludf.DUMMYFUNCTION("""COMPUTED_VALUE"""),1.0)</f>
        <v>1</v>
      </c>
      <c r="U8984" s="4" t="str">
        <f>IFERROR(__xludf.DUMMYFUNCTION("""COMPUTED_VALUE"""),"Consumer Soluções Em Tecnologia Ltda")</f>
        <v>Consumer Soluções Em Tecnologia Ltda</v>
      </c>
      <c r="V8984" s="33">
        <f>IFERROR(__xludf.DUMMYFUNCTION("""COMPUTED_VALUE"""),1.0)</f>
        <v>1</v>
      </c>
      <c r="W8984" s="4" t="str">
        <f>IFERROR(__xludf.DUMMYFUNCTION("""COMPUTED_VALUE"""),"Consumer Soluções Em Tecnologia Ltda")</f>
        <v>Consumer Soluções Em Tecnologia Ltda</v>
      </c>
      <c r="X8984" s="33">
        <f>IFERROR(__xludf.DUMMYFUNCTION("""COMPUTED_VALUE"""),1.0)</f>
        <v>1</v>
      </c>
    </row>
    <row r="8985">
      <c r="K8985" s="4" t="str">
        <f>IFERROR(__xludf.DUMMYFUNCTION("""COMPUTED_VALUE"""),"LANCHES POPIDI")</f>
        <v>LANCHES POPIDI</v>
      </c>
      <c r="L8985" s="32">
        <f>IFERROR(__xludf.DUMMYFUNCTION("""COMPUTED_VALUE"""),1.0)</f>
        <v>1</v>
      </c>
      <c r="M8985" s="4" t="str">
        <f>IFERROR(__xludf.DUMMYFUNCTION("""COMPUTED_VALUE"""),"Anota Ai Solucoes Digitais S/a")</f>
        <v>Anota Ai Solucoes Digitais S/a</v>
      </c>
      <c r="N8985" s="33">
        <f>IFERROR(__xludf.DUMMYFUNCTION("""COMPUTED_VALUE"""),1.0)</f>
        <v>1</v>
      </c>
      <c r="O8985" s="4" t="str">
        <f>IFERROR(__xludf.DUMMYFUNCTION("""COMPUTED_VALUE"""),"null")</f>
        <v>null</v>
      </c>
      <c r="P8985" s="33">
        <f>IFERROR(__xludf.DUMMYFUNCTION("""COMPUTED_VALUE"""),1.0)</f>
        <v>1</v>
      </c>
      <c r="Q8985" s="4" t="str">
        <f>IFERROR(__xludf.DUMMYFUNCTION("""COMPUTED_VALUE"""),"Anota Ai Solucoes Digitais S/a")</f>
        <v>Anota Ai Solucoes Digitais S/a</v>
      </c>
      <c r="R8985" s="33">
        <f>IFERROR(__xludf.DUMMYFUNCTION("""COMPUTED_VALUE"""),1.0)</f>
        <v>1</v>
      </c>
      <c r="S8985" s="4" t="str">
        <f>IFERROR(__xludf.DUMMYFUNCTION("""COMPUTED_VALUE"""),"Anota Ai Solucoes Digitais S/a")</f>
        <v>Anota Ai Solucoes Digitais S/a</v>
      </c>
      <c r="T8985" s="33">
        <f>IFERROR(__xludf.DUMMYFUNCTION("""COMPUTED_VALUE"""),1.0)</f>
        <v>1</v>
      </c>
      <c r="U8985" s="4" t="str">
        <f>IFERROR(__xludf.DUMMYFUNCTION("""COMPUTED_VALUE"""),"Anota Ai Solucoes Digitais S/a")</f>
        <v>Anota Ai Solucoes Digitais S/a</v>
      </c>
      <c r="V8985" s="33">
        <f>IFERROR(__xludf.DUMMYFUNCTION("""COMPUTED_VALUE"""),1.0)</f>
        <v>1</v>
      </c>
      <c r="W8985" s="4" t="str">
        <f>IFERROR(__xludf.DUMMYFUNCTION("""COMPUTED_VALUE"""),"Anota Ai Solucoes Digitais S/a")</f>
        <v>Anota Ai Solucoes Digitais S/a</v>
      </c>
      <c r="X8985" s="33">
        <f>IFERROR(__xludf.DUMMYFUNCTION("""COMPUTED_VALUE"""),1.0)</f>
        <v>1</v>
      </c>
    </row>
    <row r="8986">
      <c r="K8986" s="4" t="str">
        <f>IFERROR(__xludf.DUMMYFUNCTION("""COMPUTED_VALUE"""),"PIZZARIA E ESFIHARIA DONNYS")</f>
        <v>PIZZARIA E ESFIHARIA DONNYS</v>
      </c>
      <c r="L8986" s="32">
        <f>IFERROR(__xludf.DUMMYFUNCTION("""COMPUTED_VALUE"""),1.0)</f>
        <v>1</v>
      </c>
      <c r="M8986" s="4" t="str">
        <f>IFERROR(__xludf.DUMMYFUNCTION("""COMPUTED_VALUE"""),"Saipos Serviços De Software")</f>
        <v>Saipos Serviços De Software</v>
      </c>
      <c r="N8986" s="33">
        <f>IFERROR(__xludf.DUMMYFUNCTION("""COMPUTED_VALUE"""),1.0)</f>
        <v>1</v>
      </c>
      <c r="O8986" s="4" t="str">
        <f>IFERROR(__xludf.DUMMYFUNCTION("""COMPUTED_VALUE"""),"Saipos Serviços De Software")</f>
        <v>Saipos Serviços De Software</v>
      </c>
      <c r="P8986" s="33">
        <f>IFERROR(__xludf.DUMMYFUNCTION("""COMPUTED_VALUE"""),1.0)</f>
        <v>1</v>
      </c>
      <c r="Q8986" s="4" t="str">
        <f>IFERROR(__xludf.DUMMYFUNCTION("""COMPUTED_VALUE"""),"Saipos Serviços De Software")</f>
        <v>Saipos Serviços De Software</v>
      </c>
      <c r="R8986" s="33">
        <f>IFERROR(__xludf.DUMMYFUNCTION("""COMPUTED_VALUE"""),1.0)</f>
        <v>1</v>
      </c>
      <c r="S8986" s="4" t="str">
        <f>IFERROR(__xludf.DUMMYFUNCTION("""COMPUTED_VALUE"""),"Saipos Serviços De Software")</f>
        <v>Saipos Serviços De Software</v>
      </c>
      <c r="T8986" s="33">
        <f>IFERROR(__xludf.DUMMYFUNCTION("""COMPUTED_VALUE"""),1.0)</f>
        <v>1</v>
      </c>
      <c r="U8986" s="4" t="str">
        <f>IFERROR(__xludf.DUMMYFUNCTION("""COMPUTED_VALUE"""),"Saipos Serviços De Software")</f>
        <v>Saipos Serviços De Software</v>
      </c>
      <c r="V8986" s="33">
        <f>IFERROR(__xludf.DUMMYFUNCTION("""COMPUTED_VALUE"""),1.0)</f>
        <v>1</v>
      </c>
      <c r="W8986" s="4" t="str">
        <f>IFERROR(__xludf.DUMMYFUNCTION("""COMPUTED_VALUE"""),"Saipos Serviços De Software")</f>
        <v>Saipos Serviços De Software</v>
      </c>
      <c r="X8986" s="33">
        <f>IFERROR(__xludf.DUMMYFUNCTION("""COMPUTED_VALUE"""),1.0)</f>
        <v>1</v>
      </c>
    </row>
    <row r="8987">
      <c r="K8987" s="4" t="str">
        <f>IFERROR(__xludf.DUMMYFUNCTION("""COMPUTED_VALUE"""),"DAIANE ESTRELA CONFEITARIA ARTESANAL")</f>
        <v>DAIANE ESTRELA CONFEITARIA ARTESANAL</v>
      </c>
      <c r="L8987" s="32">
        <f>IFERROR(__xludf.DUMMYFUNCTION("""COMPUTED_VALUE"""),1.0)</f>
        <v>1</v>
      </c>
      <c r="M8987" s="4" t="str">
        <f>IFERROR(__xludf.DUMMYFUNCTION("""COMPUTED_VALUE"""),"Instadelivery")</f>
        <v>Instadelivery</v>
      </c>
      <c r="N8987" s="33">
        <f>IFERROR(__xludf.DUMMYFUNCTION("""COMPUTED_VALUE"""),1.0)</f>
        <v>1</v>
      </c>
      <c r="O8987" s="4" t="str">
        <f>IFERROR(__xludf.DUMMYFUNCTION("""COMPUTED_VALUE"""),"Instadelivery")</f>
        <v>Instadelivery</v>
      </c>
      <c r="P8987" s="33">
        <f>IFERROR(__xludf.DUMMYFUNCTION("""COMPUTED_VALUE"""),1.0)</f>
        <v>1</v>
      </c>
      <c r="Q8987" s="4" t="str">
        <f>IFERROR(__xludf.DUMMYFUNCTION("""COMPUTED_VALUE"""),"null")</f>
        <v>null</v>
      </c>
      <c r="R8987" s="33">
        <f>IFERROR(__xludf.DUMMYFUNCTION("""COMPUTED_VALUE"""),1.0)</f>
        <v>1</v>
      </c>
      <c r="S8987" s="4" t="str">
        <f>IFERROR(__xludf.DUMMYFUNCTION("""COMPUTED_VALUE"""),"Instadelivery")</f>
        <v>Instadelivery</v>
      </c>
      <c r="T8987" s="33">
        <f>IFERROR(__xludf.DUMMYFUNCTION("""COMPUTED_VALUE"""),1.0)</f>
        <v>1</v>
      </c>
      <c r="U8987" s="4" t="str">
        <f>IFERROR(__xludf.DUMMYFUNCTION("""COMPUTED_VALUE"""),"Instadelivery")</f>
        <v>Instadelivery</v>
      </c>
      <c r="V8987" s="33">
        <f>IFERROR(__xludf.DUMMYFUNCTION("""COMPUTED_VALUE"""),1.0)</f>
        <v>1</v>
      </c>
      <c r="W8987" s="4" t="str">
        <f>IFERROR(__xludf.DUMMYFUNCTION("""COMPUTED_VALUE"""),"null")</f>
        <v>null</v>
      </c>
      <c r="X8987" s="33">
        <f>IFERROR(__xludf.DUMMYFUNCTION("""COMPUTED_VALUE"""),1.0)</f>
        <v>1</v>
      </c>
    </row>
    <row r="8988">
      <c r="K8988" s="4" t="str">
        <f>IFERROR(__xludf.DUMMYFUNCTION("""COMPUTED_VALUE"""),"FRANCIS PIZZA E ESFIHA")</f>
        <v>FRANCIS PIZZA E ESFIHA</v>
      </c>
      <c r="L8988" s="32">
        <f>IFERROR(__xludf.DUMMYFUNCTION("""COMPUTED_VALUE"""),1.0)</f>
        <v>1</v>
      </c>
      <c r="M8988" s="4" t="str">
        <f>IFERROR(__xludf.DUMMYFUNCTION("""COMPUTED_VALUE"""),"Cardápio Web")</f>
        <v>Cardápio Web</v>
      </c>
      <c r="N8988" s="33">
        <f>IFERROR(__xludf.DUMMYFUNCTION("""COMPUTED_VALUE"""),1.0)</f>
        <v>1</v>
      </c>
      <c r="O8988" s="4" t="str">
        <f>IFERROR(__xludf.DUMMYFUNCTION("""COMPUTED_VALUE"""),"Cardápio Web")</f>
        <v>Cardápio Web</v>
      </c>
      <c r="P8988" s="33">
        <f>IFERROR(__xludf.DUMMYFUNCTION("""COMPUTED_VALUE"""),1.0)</f>
        <v>1</v>
      </c>
      <c r="Q8988" s="4" t="str">
        <f>IFERROR(__xludf.DUMMYFUNCTION("""COMPUTED_VALUE"""),"Cardápio Web")</f>
        <v>Cardápio Web</v>
      </c>
      <c r="R8988" s="33">
        <f>IFERROR(__xludf.DUMMYFUNCTION("""COMPUTED_VALUE"""),1.0)</f>
        <v>1</v>
      </c>
      <c r="S8988" s="4" t="str">
        <f>IFERROR(__xludf.DUMMYFUNCTION("""COMPUTED_VALUE"""),"Cardápio Web")</f>
        <v>Cardápio Web</v>
      </c>
      <c r="T8988" s="33">
        <f>IFERROR(__xludf.DUMMYFUNCTION("""COMPUTED_VALUE"""),1.0)</f>
        <v>1</v>
      </c>
      <c r="U8988" s="4" t="str">
        <f>IFERROR(__xludf.DUMMYFUNCTION("""COMPUTED_VALUE"""),"Cardápio Web")</f>
        <v>Cardápio Web</v>
      </c>
      <c r="V8988" s="33">
        <f>IFERROR(__xludf.DUMMYFUNCTION("""COMPUTED_VALUE"""),1.0)</f>
        <v>1</v>
      </c>
      <c r="W8988" s="4" t="str">
        <f>IFERROR(__xludf.DUMMYFUNCTION("""COMPUTED_VALUE"""),"Cardápio Web")</f>
        <v>Cardápio Web</v>
      </c>
      <c r="X8988" s="33">
        <f>IFERROR(__xludf.DUMMYFUNCTION("""COMPUTED_VALUE"""),1.0)</f>
        <v>1</v>
      </c>
    </row>
    <row r="8989">
      <c r="K8989" s="4" t="str">
        <f>IFERROR(__xludf.DUMMYFUNCTION("""COMPUTED_VALUE"""),"HEROIS DO PASTEL ACAI")</f>
        <v>HEROIS DO PASTEL ACAI</v>
      </c>
      <c r="L8989" s="32">
        <f>IFERROR(__xludf.DUMMYFUNCTION("""COMPUTED_VALUE"""),1.0)</f>
        <v>1</v>
      </c>
      <c r="M8989" s="4" t="str">
        <f>IFERROR(__xludf.DUMMYFUNCTION("""COMPUTED_VALUE"""),"Yooga")</f>
        <v>Yooga</v>
      </c>
      <c r="N8989" s="33">
        <f>IFERROR(__xludf.DUMMYFUNCTION("""COMPUTED_VALUE"""),1.0)</f>
        <v>1</v>
      </c>
      <c r="O8989" s="4" t="str">
        <f>IFERROR(__xludf.DUMMYFUNCTION("""COMPUTED_VALUE"""),"null")</f>
        <v>null</v>
      </c>
      <c r="P8989" s="33">
        <f>IFERROR(__xludf.DUMMYFUNCTION("""COMPUTED_VALUE"""),1.0)</f>
        <v>1</v>
      </c>
      <c r="Q8989" s="4" t="str">
        <f>IFERROR(__xludf.DUMMYFUNCTION("""COMPUTED_VALUE"""),"null")</f>
        <v>null</v>
      </c>
      <c r="R8989" s="33">
        <f>IFERROR(__xludf.DUMMYFUNCTION("""COMPUTED_VALUE"""),1.0)</f>
        <v>1</v>
      </c>
      <c r="S8989" s="4" t="str">
        <f>IFERROR(__xludf.DUMMYFUNCTION("""COMPUTED_VALUE"""),"Yooga")</f>
        <v>Yooga</v>
      </c>
      <c r="T8989" s="33">
        <f>IFERROR(__xludf.DUMMYFUNCTION("""COMPUTED_VALUE"""),1.0)</f>
        <v>1</v>
      </c>
      <c r="U8989" s="4" t="str">
        <f>IFERROR(__xludf.DUMMYFUNCTION("""COMPUTED_VALUE"""),"null")</f>
        <v>null</v>
      </c>
      <c r="V8989" s="33">
        <f>IFERROR(__xludf.DUMMYFUNCTION("""COMPUTED_VALUE"""),1.0)</f>
        <v>1</v>
      </c>
      <c r="W8989" s="4" t="str">
        <f>IFERROR(__xludf.DUMMYFUNCTION("""COMPUTED_VALUE"""),"null")</f>
        <v>null</v>
      </c>
      <c r="X8989" s="33">
        <f>IFERROR(__xludf.DUMMYFUNCTION("""COMPUTED_VALUE"""),1.0)</f>
        <v>1</v>
      </c>
    </row>
    <row r="8990">
      <c r="K8990" s="4" t="str">
        <f>IFERROR(__xludf.DUMMYFUNCTION("""COMPUTED_VALUE"""),"GOSTINHO NOBRE SALGADOS, PASTEIS E CHURROS PARA FESTA COM ENTREGA GRATIS 3KM")</f>
        <v>GOSTINHO NOBRE SALGADOS, PASTEIS E CHURROS PARA FESTA COM ENTREGA GRATIS 3KM</v>
      </c>
      <c r="L8990" s="32">
        <f>IFERROR(__xludf.DUMMYFUNCTION("""COMPUTED_VALUE"""),1.0)</f>
        <v>1</v>
      </c>
      <c r="M8990" s="4" t="str">
        <f>IFERROR(__xludf.DUMMYFUNCTION("""COMPUTED_VALUE"""),"Beefood - Sistema Para Restaurantes")</f>
        <v>Beefood - Sistema Para Restaurantes</v>
      </c>
      <c r="N8990" s="33">
        <f>IFERROR(__xludf.DUMMYFUNCTION("""COMPUTED_VALUE"""),1.0)</f>
        <v>1</v>
      </c>
      <c r="O8990" s="4" t="str">
        <f>IFERROR(__xludf.DUMMYFUNCTION("""COMPUTED_VALUE"""),"Consumer Soluções Em Tecnologia Ltda")</f>
        <v>Consumer Soluções Em Tecnologia Ltda</v>
      </c>
      <c r="P8990" s="33">
        <f>IFERROR(__xludf.DUMMYFUNCTION("""COMPUTED_VALUE"""),1.0)</f>
        <v>1</v>
      </c>
      <c r="Q8990" s="4" t="str">
        <f>IFERROR(__xludf.DUMMYFUNCTION("""COMPUTED_VALUE"""),"Consumer Soluções Em Tecnologia Ltda")</f>
        <v>Consumer Soluções Em Tecnologia Ltda</v>
      </c>
      <c r="R8990" s="33">
        <f>IFERROR(__xludf.DUMMYFUNCTION("""COMPUTED_VALUE"""),1.0)</f>
        <v>1</v>
      </c>
      <c r="S8990" s="4" t="str">
        <f>IFERROR(__xludf.DUMMYFUNCTION("""COMPUTED_VALUE"""),"Consumer Soluções Em Tecnologia Ltda")</f>
        <v>Consumer Soluções Em Tecnologia Ltda</v>
      </c>
      <c r="T8990" s="33">
        <f>IFERROR(__xludf.DUMMYFUNCTION("""COMPUTED_VALUE"""),1.0)</f>
        <v>1</v>
      </c>
      <c r="U8990" s="4" t="str">
        <f>IFERROR(__xludf.DUMMYFUNCTION("""COMPUTED_VALUE"""),"Consumer Soluções Em Tecnologia Ltda")</f>
        <v>Consumer Soluções Em Tecnologia Ltda</v>
      </c>
      <c r="V8990" s="33">
        <f>IFERROR(__xludf.DUMMYFUNCTION("""COMPUTED_VALUE"""),1.0)</f>
        <v>1</v>
      </c>
      <c r="W8990" s="4" t="str">
        <f>IFERROR(__xludf.DUMMYFUNCTION("""COMPUTED_VALUE"""),"Consumer Soluções Em Tecnologia Ltda")</f>
        <v>Consumer Soluções Em Tecnologia Ltda</v>
      </c>
      <c r="X8990" s="33">
        <f>IFERROR(__xludf.DUMMYFUNCTION("""COMPUTED_VALUE"""),1.0)</f>
        <v>1</v>
      </c>
    </row>
    <row r="8991">
      <c r="K8991" s="4" t="str">
        <f>IFERROR(__xludf.DUMMYFUNCTION("""COMPUTED_VALUE"""),"ESTER BURGUER")</f>
        <v>ESTER BURGUER</v>
      </c>
      <c r="L8991" s="32">
        <f>IFERROR(__xludf.DUMMYFUNCTION("""COMPUTED_VALUE"""),1.0)</f>
        <v>1</v>
      </c>
      <c r="M8991" s="4" t="str">
        <f>IFERROR(__xludf.DUMMYFUNCTION("""COMPUTED_VALUE"""),"One Solucoes")</f>
        <v>One Solucoes</v>
      </c>
      <c r="N8991" s="33">
        <f>IFERROR(__xludf.DUMMYFUNCTION("""COMPUTED_VALUE"""),1.0)</f>
        <v>1</v>
      </c>
      <c r="O8991" s="4" t="str">
        <f>IFERROR(__xludf.DUMMYFUNCTION("""COMPUTED_VALUE"""),"One Solucoes")</f>
        <v>One Solucoes</v>
      </c>
      <c r="P8991" s="33">
        <f>IFERROR(__xludf.DUMMYFUNCTION("""COMPUTED_VALUE"""),1.0)</f>
        <v>1</v>
      </c>
      <c r="Q8991" s="4" t="str">
        <f>IFERROR(__xludf.DUMMYFUNCTION("""COMPUTED_VALUE"""),"One Solucoes")</f>
        <v>One Solucoes</v>
      </c>
      <c r="R8991" s="33">
        <f>IFERROR(__xludf.DUMMYFUNCTION("""COMPUTED_VALUE"""),1.0)</f>
        <v>1</v>
      </c>
      <c r="S8991" s="4" t="str">
        <f>IFERROR(__xludf.DUMMYFUNCTION("""COMPUTED_VALUE"""),"One Solucoes")</f>
        <v>One Solucoes</v>
      </c>
      <c r="T8991" s="33">
        <f>IFERROR(__xludf.DUMMYFUNCTION("""COMPUTED_VALUE"""),1.0)</f>
        <v>1</v>
      </c>
      <c r="U8991" s="4" t="str">
        <f>IFERROR(__xludf.DUMMYFUNCTION("""COMPUTED_VALUE"""),"One Solucoes")</f>
        <v>One Solucoes</v>
      </c>
      <c r="V8991" s="33">
        <f>IFERROR(__xludf.DUMMYFUNCTION("""COMPUTED_VALUE"""),1.0)</f>
        <v>1</v>
      </c>
      <c r="W8991" s="4" t="str">
        <f>IFERROR(__xludf.DUMMYFUNCTION("""COMPUTED_VALUE"""),"One Solucoes")</f>
        <v>One Solucoes</v>
      </c>
      <c r="X8991" s="33">
        <f>IFERROR(__xludf.DUMMYFUNCTION("""COMPUTED_VALUE"""),1.0)</f>
        <v>1</v>
      </c>
    </row>
    <row r="8992">
      <c r="K8992" s="4" t="str">
        <f>IFERROR(__xludf.DUMMYFUNCTION("""COMPUTED_VALUE"""),"SENINHA LANCHONETE E PIZZARIA")</f>
        <v>SENINHA LANCHONETE E PIZZARIA</v>
      </c>
      <c r="L8992" s="32">
        <f>IFERROR(__xludf.DUMMYFUNCTION("""COMPUTED_VALUE"""),1.0)</f>
        <v>1</v>
      </c>
      <c r="M8992" s="4" t="str">
        <f>IFERROR(__xludf.DUMMYFUNCTION("""COMPUTED_VALUE"""),"Grandchef Desenvolvimento De Sistemas Ltda")</f>
        <v>Grandchef Desenvolvimento De Sistemas Ltda</v>
      </c>
      <c r="N8992" s="33">
        <f>IFERROR(__xludf.DUMMYFUNCTION("""COMPUTED_VALUE"""),1.0)</f>
        <v>1</v>
      </c>
      <c r="O8992" s="4" t="str">
        <f>IFERROR(__xludf.DUMMYFUNCTION("""COMPUTED_VALUE"""),"Grandchef Desenvolvimento De Sistemas Ltda")</f>
        <v>Grandchef Desenvolvimento De Sistemas Ltda</v>
      </c>
      <c r="P8992" s="33">
        <f>IFERROR(__xludf.DUMMYFUNCTION("""COMPUTED_VALUE"""),1.0)</f>
        <v>1</v>
      </c>
      <c r="Q8992" s="4" t="str">
        <f>IFERROR(__xludf.DUMMYFUNCTION("""COMPUTED_VALUE"""),"Grandchef Desenvolvimento De Sistemas Ltda")</f>
        <v>Grandchef Desenvolvimento De Sistemas Ltda</v>
      </c>
      <c r="R8992" s="33">
        <f>IFERROR(__xludf.DUMMYFUNCTION("""COMPUTED_VALUE"""),1.0)</f>
        <v>1</v>
      </c>
      <c r="S8992" s="4" t="str">
        <f>IFERROR(__xludf.DUMMYFUNCTION("""COMPUTED_VALUE"""),"Grandchef Desenvolvimento De Sistemas Ltda")</f>
        <v>Grandchef Desenvolvimento De Sistemas Ltda</v>
      </c>
      <c r="T8992" s="33">
        <f>IFERROR(__xludf.DUMMYFUNCTION("""COMPUTED_VALUE"""),1.0)</f>
        <v>1</v>
      </c>
      <c r="U8992" s="4" t="str">
        <f>IFERROR(__xludf.DUMMYFUNCTION("""COMPUTED_VALUE"""),"null")</f>
        <v>null</v>
      </c>
      <c r="V8992" s="33">
        <f>IFERROR(__xludf.DUMMYFUNCTION("""COMPUTED_VALUE"""),1.0)</f>
        <v>1</v>
      </c>
      <c r="W8992" s="4" t="str">
        <f>IFERROR(__xludf.DUMMYFUNCTION("""COMPUTED_VALUE"""),"Grandchef Desenvolvimento De Sistemas Ltda")</f>
        <v>Grandchef Desenvolvimento De Sistemas Ltda</v>
      </c>
      <c r="X8992" s="33">
        <f>IFERROR(__xludf.DUMMYFUNCTION("""COMPUTED_VALUE"""),1.0)</f>
        <v>1</v>
      </c>
    </row>
    <row r="8993">
      <c r="K8993" s="4" t="str">
        <f>IFERROR(__xludf.DUMMYFUNCTION("""COMPUTED_VALUE"""),"SANTO FEIJAO - DELIVERY DE FEIJOADA")</f>
        <v>SANTO FEIJAO - DELIVERY DE FEIJOADA</v>
      </c>
      <c r="L8993" s="32">
        <f>IFERROR(__xludf.DUMMYFUNCTION("""COMPUTED_VALUE"""),1.0)</f>
        <v>1</v>
      </c>
      <c r="M8993" s="4" t="str">
        <f>IFERROR(__xludf.DUMMYFUNCTION("""COMPUTED_VALUE"""),"null")</f>
        <v>null</v>
      </c>
      <c r="N8993" s="33">
        <f>IFERROR(__xludf.DUMMYFUNCTION("""COMPUTED_VALUE"""),1.0)</f>
        <v>1</v>
      </c>
      <c r="O8993" s="4" t="str">
        <f>IFERROR(__xludf.DUMMYFUNCTION("""COMPUTED_VALUE"""),"Cardápio Web")</f>
        <v>Cardápio Web</v>
      </c>
      <c r="P8993" s="33">
        <f>IFERROR(__xludf.DUMMYFUNCTION("""COMPUTED_VALUE"""),1.0)</f>
        <v>1</v>
      </c>
      <c r="Q8993" s="4" t="str">
        <f>IFERROR(__xludf.DUMMYFUNCTION("""COMPUTED_VALUE"""),"null")</f>
        <v>null</v>
      </c>
      <c r="R8993" s="33">
        <f>IFERROR(__xludf.DUMMYFUNCTION("""COMPUTED_VALUE"""),1.0)</f>
        <v>1</v>
      </c>
      <c r="S8993" s="4" t="str">
        <f>IFERROR(__xludf.DUMMYFUNCTION("""COMPUTED_VALUE"""),"Cardápio Web")</f>
        <v>Cardápio Web</v>
      </c>
      <c r="T8993" s="33">
        <f>IFERROR(__xludf.DUMMYFUNCTION("""COMPUTED_VALUE"""),1.0)</f>
        <v>1</v>
      </c>
      <c r="U8993" s="4" t="str">
        <f>IFERROR(__xludf.DUMMYFUNCTION("""COMPUTED_VALUE"""),"Saipos Serviços De Software")</f>
        <v>Saipos Serviços De Software</v>
      </c>
      <c r="V8993" s="33">
        <f>IFERROR(__xludf.DUMMYFUNCTION("""COMPUTED_VALUE"""),1.0)</f>
        <v>1</v>
      </c>
      <c r="W8993" s="4" t="str">
        <f>IFERROR(__xludf.DUMMYFUNCTION("""COMPUTED_VALUE"""),"Saipos Serviços De Software")</f>
        <v>Saipos Serviços De Software</v>
      </c>
      <c r="X8993" s="33">
        <f>IFERROR(__xludf.DUMMYFUNCTION("""COMPUTED_VALUE"""),1.0)</f>
        <v>1</v>
      </c>
    </row>
    <row r="8994">
      <c r="K8994" s="4" t="str">
        <f>IFERROR(__xludf.DUMMYFUNCTION("""COMPUTED_VALUE"""),"BUSCAPE BURGER")</f>
        <v>BUSCAPE BURGER</v>
      </c>
      <c r="L8994" s="32">
        <f>IFERROR(__xludf.DUMMYFUNCTION("""COMPUTED_VALUE"""),1.0)</f>
        <v>1</v>
      </c>
      <c r="M8994" s="4" t="str">
        <f>IFERROR(__xludf.DUMMYFUNCTION("""COMPUTED_VALUE"""),"Saipos Serviços De Software")</f>
        <v>Saipos Serviços De Software</v>
      </c>
      <c r="N8994" s="33">
        <f>IFERROR(__xludf.DUMMYFUNCTION("""COMPUTED_VALUE"""),1.0)</f>
        <v>1</v>
      </c>
      <c r="O8994" s="4" t="str">
        <f>IFERROR(__xludf.DUMMYFUNCTION("""COMPUTED_VALUE"""),"Anota Ai Solucoes Digitais S/a")</f>
        <v>Anota Ai Solucoes Digitais S/a</v>
      </c>
      <c r="P8994" s="33">
        <f>IFERROR(__xludf.DUMMYFUNCTION("""COMPUTED_VALUE"""),1.0)</f>
        <v>1</v>
      </c>
      <c r="Q8994" s="4" t="str">
        <f>IFERROR(__xludf.DUMMYFUNCTION("""COMPUTED_VALUE"""),"Anota Ai Solucoes Digitais S/a")</f>
        <v>Anota Ai Solucoes Digitais S/a</v>
      </c>
      <c r="R8994" s="33">
        <f>IFERROR(__xludf.DUMMYFUNCTION("""COMPUTED_VALUE"""),1.0)</f>
        <v>1</v>
      </c>
      <c r="S8994" s="4" t="str">
        <f>IFERROR(__xludf.DUMMYFUNCTION("""COMPUTED_VALUE"""),"null")</f>
        <v>null</v>
      </c>
      <c r="T8994" s="33">
        <f>IFERROR(__xludf.DUMMYFUNCTION("""COMPUTED_VALUE"""),1.0)</f>
        <v>1</v>
      </c>
      <c r="U8994" s="4" t="str">
        <f>IFERROR(__xludf.DUMMYFUNCTION("""COMPUTED_VALUE"""),"null")</f>
        <v>null</v>
      </c>
      <c r="V8994" s="33">
        <f>IFERROR(__xludf.DUMMYFUNCTION("""COMPUTED_VALUE"""),1.0)</f>
        <v>1</v>
      </c>
      <c r="W8994" s="4" t="str">
        <f>IFERROR(__xludf.DUMMYFUNCTION("""COMPUTED_VALUE"""),"Anota Ai Solucoes Digitais S/a")</f>
        <v>Anota Ai Solucoes Digitais S/a</v>
      </c>
      <c r="X8994" s="33">
        <f>IFERROR(__xludf.DUMMYFUNCTION("""COMPUTED_VALUE"""),1.0)</f>
        <v>1</v>
      </c>
    </row>
    <row r="8995">
      <c r="K8995" s="4" t="str">
        <f>IFERROR(__xludf.DUMMYFUNCTION("""COMPUTED_VALUE"""),"PIZZARIA PAULICEIA")</f>
        <v>PIZZARIA PAULICEIA</v>
      </c>
      <c r="L8995" s="32">
        <f>IFERROR(__xludf.DUMMYFUNCTION("""COMPUTED_VALUE"""),1.0)</f>
        <v>1</v>
      </c>
      <c r="M8995" s="4" t="str">
        <f>IFERROR(__xludf.DUMMYFUNCTION("""COMPUTED_VALUE"""),"null")</f>
        <v>null</v>
      </c>
      <c r="N8995" s="33">
        <f>IFERROR(__xludf.DUMMYFUNCTION("""COMPUTED_VALUE"""),1.0)</f>
        <v>1</v>
      </c>
      <c r="O8995" s="4" t="str">
        <f>IFERROR(__xludf.DUMMYFUNCTION("""COMPUTED_VALUE"""),"Simsoft Rp Tecnologia")</f>
        <v>Simsoft Rp Tecnologia</v>
      </c>
      <c r="P8995" s="33">
        <f>IFERROR(__xludf.DUMMYFUNCTION("""COMPUTED_VALUE"""),1.0)</f>
        <v>1</v>
      </c>
      <c r="Q8995" s="4" t="str">
        <f>IFERROR(__xludf.DUMMYFUNCTION("""COMPUTED_VALUE"""),"null")</f>
        <v>null</v>
      </c>
      <c r="R8995" s="33">
        <f>IFERROR(__xludf.DUMMYFUNCTION("""COMPUTED_VALUE"""),1.0)</f>
        <v>1</v>
      </c>
      <c r="S8995" s="4" t="str">
        <f>IFERROR(__xludf.DUMMYFUNCTION("""COMPUTED_VALUE"""),"null")</f>
        <v>null</v>
      </c>
      <c r="T8995" s="33">
        <f>IFERROR(__xludf.DUMMYFUNCTION("""COMPUTED_VALUE"""),1.0)</f>
        <v>1</v>
      </c>
      <c r="U8995" s="4" t="str">
        <f>IFERROR(__xludf.DUMMYFUNCTION("""COMPUTED_VALUE"""),"Simsoft Rp Tecnologia")</f>
        <v>Simsoft Rp Tecnologia</v>
      </c>
      <c r="V8995" s="33">
        <f>IFERROR(__xludf.DUMMYFUNCTION("""COMPUTED_VALUE"""),1.0)</f>
        <v>1</v>
      </c>
      <c r="W8995" s="4" t="str">
        <f>IFERROR(__xludf.DUMMYFUNCTION("""COMPUTED_VALUE"""),"null")</f>
        <v>null</v>
      </c>
      <c r="X8995" s="33">
        <f>IFERROR(__xludf.DUMMYFUNCTION("""COMPUTED_VALUE"""),1.0)</f>
        <v>1</v>
      </c>
    </row>
    <row r="8996">
      <c r="K8996" s="4" t="str">
        <f>IFERROR(__xludf.DUMMYFUNCTION("""COMPUTED_VALUE"""),"VERTU LANCHES")</f>
        <v>VERTU LANCHES</v>
      </c>
      <c r="L8996" s="32">
        <f>IFERROR(__xludf.DUMMYFUNCTION("""COMPUTED_VALUE"""),1.0)</f>
        <v>1</v>
      </c>
      <c r="M8996" s="4" t="str">
        <f>IFERROR(__xludf.DUMMYFUNCTION("""COMPUTED_VALUE"""),"Instadelivery")</f>
        <v>Instadelivery</v>
      </c>
      <c r="N8996" s="33">
        <f>IFERROR(__xludf.DUMMYFUNCTION("""COMPUTED_VALUE"""),1.0)</f>
        <v>1</v>
      </c>
      <c r="O8996" s="4" t="str">
        <f>IFERROR(__xludf.DUMMYFUNCTION("""COMPUTED_VALUE"""),"null")</f>
        <v>null</v>
      </c>
      <c r="P8996" s="33">
        <f>IFERROR(__xludf.DUMMYFUNCTION("""COMPUTED_VALUE"""),1.0)</f>
        <v>1</v>
      </c>
      <c r="Q8996" s="4" t="str">
        <f>IFERROR(__xludf.DUMMYFUNCTION("""COMPUTED_VALUE"""),"null")</f>
        <v>null</v>
      </c>
      <c r="R8996" s="33">
        <f>IFERROR(__xludf.DUMMYFUNCTION("""COMPUTED_VALUE"""),1.0)</f>
        <v>1</v>
      </c>
      <c r="S8996" s="4" t="str">
        <f>IFERROR(__xludf.DUMMYFUNCTION("""COMPUTED_VALUE"""),"null")</f>
        <v>null</v>
      </c>
      <c r="T8996" s="33">
        <f>IFERROR(__xludf.DUMMYFUNCTION("""COMPUTED_VALUE"""),1.0)</f>
        <v>1</v>
      </c>
      <c r="U8996" s="4" t="str">
        <f>IFERROR(__xludf.DUMMYFUNCTION("""COMPUTED_VALUE"""),"null")</f>
        <v>null</v>
      </c>
      <c r="V8996" s="33">
        <f>IFERROR(__xludf.DUMMYFUNCTION("""COMPUTED_VALUE"""),1.0)</f>
        <v>1</v>
      </c>
      <c r="W8996" s="4" t="str">
        <f>IFERROR(__xludf.DUMMYFUNCTION("""COMPUTED_VALUE"""),"null")</f>
        <v>null</v>
      </c>
      <c r="X8996" s="33">
        <f>IFERROR(__xludf.DUMMYFUNCTION("""COMPUTED_VALUE"""),1.0)</f>
        <v>1</v>
      </c>
    </row>
    <row r="8997">
      <c r="K8997" s="4" t="str">
        <f>IFERROR(__xludf.DUMMYFUNCTION("""COMPUTED_VALUE"""),"LANCHONETE E RESTAURANTE JK")</f>
        <v>LANCHONETE E RESTAURANTE JK</v>
      </c>
      <c r="L8997" s="32">
        <f>IFERROR(__xludf.DUMMYFUNCTION("""COMPUTED_VALUE"""),1.0)</f>
        <v>1</v>
      </c>
      <c r="M8997" s="4" t="str">
        <f>IFERROR(__xludf.DUMMYFUNCTION("""COMPUTED_VALUE"""),"Cardápio Web")</f>
        <v>Cardápio Web</v>
      </c>
      <c r="N8997" s="33">
        <f>IFERROR(__xludf.DUMMYFUNCTION("""COMPUTED_VALUE"""),1.0)</f>
        <v>1</v>
      </c>
      <c r="O8997" s="4" t="str">
        <f>IFERROR(__xludf.DUMMYFUNCTION("""COMPUTED_VALUE"""),"Cardápio Web")</f>
        <v>Cardápio Web</v>
      </c>
      <c r="P8997" s="33">
        <f>IFERROR(__xludf.DUMMYFUNCTION("""COMPUTED_VALUE"""),1.0)</f>
        <v>1</v>
      </c>
      <c r="Q8997" s="4" t="str">
        <f>IFERROR(__xludf.DUMMYFUNCTION("""COMPUTED_VALUE"""),"Cardápio Web")</f>
        <v>Cardápio Web</v>
      </c>
      <c r="R8997" s="33">
        <f>IFERROR(__xludf.DUMMYFUNCTION("""COMPUTED_VALUE"""),1.0)</f>
        <v>1</v>
      </c>
      <c r="S8997" s="4" t="str">
        <f>IFERROR(__xludf.DUMMYFUNCTION("""COMPUTED_VALUE"""),"Cardápio Web")</f>
        <v>Cardápio Web</v>
      </c>
      <c r="T8997" s="33">
        <f>IFERROR(__xludf.DUMMYFUNCTION("""COMPUTED_VALUE"""),1.0)</f>
        <v>1</v>
      </c>
      <c r="U8997" s="4" t="str">
        <f>IFERROR(__xludf.DUMMYFUNCTION("""COMPUTED_VALUE"""),"Cardápio Web")</f>
        <v>Cardápio Web</v>
      </c>
      <c r="V8997" s="33">
        <f>IFERROR(__xludf.DUMMYFUNCTION("""COMPUTED_VALUE"""),1.0)</f>
        <v>1</v>
      </c>
      <c r="W8997" s="4" t="str">
        <f>IFERROR(__xludf.DUMMYFUNCTION("""COMPUTED_VALUE"""),"Cardápio Web")</f>
        <v>Cardápio Web</v>
      </c>
      <c r="X8997" s="33">
        <f>IFERROR(__xludf.DUMMYFUNCTION("""COMPUTED_VALUE"""),1.0)</f>
        <v>1</v>
      </c>
    </row>
    <row r="8998">
      <c r="K8998" s="4" t="str">
        <f>IFERROR(__xludf.DUMMYFUNCTION("""COMPUTED_VALUE"""),"CHURRASCARIA ORIGINAL")</f>
        <v>CHURRASCARIA ORIGINAL</v>
      </c>
      <c r="L8998" s="32">
        <f>IFERROR(__xludf.DUMMYFUNCTION("""COMPUTED_VALUE"""),1.0)</f>
        <v>1</v>
      </c>
      <c r="M8998" s="4" t="str">
        <f>IFERROR(__xludf.DUMMYFUNCTION("""COMPUTED_VALUE"""),"Waybe Soluções Em Tecnologia Da Informação Ltda")</f>
        <v>Waybe Soluções Em Tecnologia Da Informação Ltda</v>
      </c>
      <c r="N8998" s="33">
        <f>IFERROR(__xludf.DUMMYFUNCTION("""COMPUTED_VALUE"""),1.0)</f>
        <v>1</v>
      </c>
      <c r="O8998" s="4" t="str">
        <f>IFERROR(__xludf.DUMMYFUNCTION("""COMPUTED_VALUE"""),"Waybe Soluções Em Tecnologia Da Informação Ltda")</f>
        <v>Waybe Soluções Em Tecnologia Da Informação Ltda</v>
      </c>
      <c r="P8998" s="33">
        <f>IFERROR(__xludf.DUMMYFUNCTION("""COMPUTED_VALUE"""),1.0)</f>
        <v>1</v>
      </c>
      <c r="Q8998" s="4" t="str">
        <f>IFERROR(__xludf.DUMMYFUNCTION("""COMPUTED_VALUE"""),"Waybe Soluções Em Tecnologia Da Informação Ltda")</f>
        <v>Waybe Soluções Em Tecnologia Da Informação Ltda</v>
      </c>
      <c r="R8998" s="33">
        <f>IFERROR(__xludf.DUMMYFUNCTION("""COMPUTED_VALUE"""),1.0)</f>
        <v>1</v>
      </c>
      <c r="S8998" s="4" t="str">
        <f>IFERROR(__xludf.DUMMYFUNCTION("""COMPUTED_VALUE"""),"Waybe Soluções Em Tecnologia Da Informação Ltda")</f>
        <v>Waybe Soluções Em Tecnologia Da Informação Ltda</v>
      </c>
      <c r="T8998" s="33">
        <f>IFERROR(__xludf.DUMMYFUNCTION("""COMPUTED_VALUE"""),1.0)</f>
        <v>1</v>
      </c>
      <c r="U8998" s="4" t="str">
        <f>IFERROR(__xludf.DUMMYFUNCTION("""COMPUTED_VALUE"""),"Waybe Soluções Em Tecnologia Da Informação Ltda")</f>
        <v>Waybe Soluções Em Tecnologia Da Informação Ltda</v>
      </c>
      <c r="V8998" s="33">
        <f>IFERROR(__xludf.DUMMYFUNCTION("""COMPUTED_VALUE"""),1.0)</f>
        <v>1</v>
      </c>
      <c r="W8998" s="4" t="str">
        <f>IFERROR(__xludf.DUMMYFUNCTION("""COMPUTED_VALUE"""),"Waybe Soluções Em Tecnologia Da Informação Ltda")</f>
        <v>Waybe Soluções Em Tecnologia Da Informação Ltda</v>
      </c>
      <c r="X8998" s="33">
        <f>IFERROR(__xludf.DUMMYFUNCTION("""COMPUTED_VALUE"""),1.0)</f>
        <v>1</v>
      </c>
    </row>
    <row r="8999">
      <c r="K8999" s="4" t="str">
        <f>IFERROR(__xludf.DUMMYFUNCTION("""COMPUTED_VALUE"""),"TORIDE")</f>
        <v>TORIDE</v>
      </c>
      <c r="L8999" s="32">
        <f>IFERROR(__xludf.DUMMYFUNCTION("""COMPUTED_VALUE"""),1.0)</f>
        <v>1</v>
      </c>
      <c r="M8999" s="4" t="str">
        <f>IFERROR(__xludf.DUMMYFUNCTION("""COMPUTED_VALUE"""),"Fas Tecnologia")</f>
        <v>Fas Tecnologia</v>
      </c>
      <c r="N8999" s="33">
        <f>IFERROR(__xludf.DUMMYFUNCTION("""COMPUTED_VALUE"""),1.0)</f>
        <v>1</v>
      </c>
      <c r="O8999" s="4" t="str">
        <f>IFERROR(__xludf.DUMMYFUNCTION("""COMPUTED_VALUE"""),"Fas Tecnologia")</f>
        <v>Fas Tecnologia</v>
      </c>
      <c r="P8999" s="33">
        <f>IFERROR(__xludf.DUMMYFUNCTION("""COMPUTED_VALUE"""),1.0)</f>
        <v>1</v>
      </c>
      <c r="Q8999" s="4" t="str">
        <f>IFERROR(__xludf.DUMMYFUNCTION("""COMPUTED_VALUE"""),"Fas Tecnologia")</f>
        <v>Fas Tecnologia</v>
      </c>
      <c r="R8999" s="33">
        <f>IFERROR(__xludf.DUMMYFUNCTION("""COMPUTED_VALUE"""),1.0)</f>
        <v>1</v>
      </c>
      <c r="S8999" s="4" t="str">
        <f>IFERROR(__xludf.DUMMYFUNCTION("""COMPUTED_VALUE"""),"Saipos Serviços De Software")</f>
        <v>Saipos Serviços De Software</v>
      </c>
      <c r="T8999" s="33">
        <f>IFERROR(__xludf.DUMMYFUNCTION("""COMPUTED_VALUE"""),1.0)</f>
        <v>1</v>
      </c>
      <c r="U8999" s="4" t="str">
        <f>IFERROR(__xludf.DUMMYFUNCTION("""COMPUTED_VALUE"""),"Saipos Serviços De Software")</f>
        <v>Saipos Serviços De Software</v>
      </c>
      <c r="V8999" s="33">
        <f>IFERROR(__xludf.DUMMYFUNCTION("""COMPUTED_VALUE"""),1.0)</f>
        <v>1</v>
      </c>
      <c r="W8999" s="4" t="str">
        <f>IFERROR(__xludf.DUMMYFUNCTION("""COMPUTED_VALUE"""),"Saipos Serviços De Software")</f>
        <v>Saipos Serviços De Software</v>
      </c>
      <c r="X8999" s="33">
        <f>IFERROR(__xludf.DUMMYFUNCTION("""COMPUTED_VALUE"""),1.0)</f>
        <v>1</v>
      </c>
    </row>
    <row r="9000">
      <c r="K9000" s="4" t="str">
        <f>IFERROR(__xludf.DUMMYFUNCTION("""COMPUTED_VALUE"""),"DANDAN ACAI - LOJA 03 - RIBEIRAO VERDE")</f>
        <v>DANDAN ACAI - LOJA 03 - RIBEIRAO VERDE</v>
      </c>
      <c r="L9000" s="32">
        <f>IFERROR(__xludf.DUMMYFUNCTION("""COMPUTED_VALUE"""),1.0)</f>
        <v>1</v>
      </c>
      <c r="M9000" s="4" t="str">
        <f>IFERROR(__xludf.DUMMYFUNCTION("""COMPUTED_VALUE"""),"Cardápio Web")</f>
        <v>Cardápio Web</v>
      </c>
      <c r="N9000" s="33">
        <f>IFERROR(__xludf.DUMMYFUNCTION("""COMPUTED_VALUE"""),1.0)</f>
        <v>1</v>
      </c>
      <c r="O9000" s="4" t="str">
        <f>IFERROR(__xludf.DUMMYFUNCTION("""COMPUTED_VALUE"""),"Cardápio Web")</f>
        <v>Cardápio Web</v>
      </c>
      <c r="P9000" s="33">
        <f>IFERROR(__xludf.DUMMYFUNCTION("""COMPUTED_VALUE"""),1.0)</f>
        <v>1</v>
      </c>
      <c r="Q9000" s="4" t="str">
        <f>IFERROR(__xludf.DUMMYFUNCTION("""COMPUTED_VALUE"""),"Cardápio Web")</f>
        <v>Cardápio Web</v>
      </c>
      <c r="R9000" s="33">
        <f>IFERROR(__xludf.DUMMYFUNCTION("""COMPUTED_VALUE"""),1.0)</f>
        <v>1</v>
      </c>
      <c r="S9000" s="4" t="str">
        <f>IFERROR(__xludf.DUMMYFUNCTION("""COMPUTED_VALUE"""),"Cardápio Web")</f>
        <v>Cardápio Web</v>
      </c>
      <c r="T9000" s="33">
        <f>IFERROR(__xludf.DUMMYFUNCTION("""COMPUTED_VALUE"""),1.0)</f>
        <v>1</v>
      </c>
      <c r="U9000" s="4" t="str">
        <f>IFERROR(__xludf.DUMMYFUNCTION("""COMPUTED_VALUE"""),"null")</f>
        <v>null</v>
      </c>
      <c r="V9000" s="33">
        <f>IFERROR(__xludf.DUMMYFUNCTION("""COMPUTED_VALUE"""),1.0)</f>
        <v>1</v>
      </c>
      <c r="W9000" s="4" t="str">
        <f>IFERROR(__xludf.DUMMYFUNCTION("""COMPUTED_VALUE"""),"null")</f>
        <v>null</v>
      </c>
      <c r="X9000" s="33">
        <f>IFERROR(__xludf.DUMMYFUNCTION("""COMPUTED_VALUE"""),1.0)</f>
        <v>1</v>
      </c>
    </row>
    <row r="9001">
      <c r="K9001" s="4" t="str">
        <f>IFERROR(__xludf.DUMMYFUNCTION("""COMPUTED_VALUE"""),"BOTECO DA HEINEKEN")</f>
        <v>BOTECO DA HEINEKEN</v>
      </c>
      <c r="L9001" s="32">
        <f>IFERROR(__xludf.DUMMYFUNCTION("""COMPUTED_VALUE"""),1.0)</f>
        <v>1</v>
      </c>
      <c r="M9001" s="4" t="str">
        <f>IFERROR(__xludf.DUMMYFUNCTION("""COMPUTED_VALUE"""),"Hubster")</f>
        <v>Hubster</v>
      </c>
      <c r="N9001" s="33">
        <f>IFERROR(__xludf.DUMMYFUNCTION("""COMPUTED_VALUE"""),1.0)</f>
        <v>1</v>
      </c>
      <c r="O9001" s="4" t="str">
        <f>IFERROR(__xludf.DUMMYFUNCTION("""COMPUTED_VALUE"""),"Hubster")</f>
        <v>Hubster</v>
      </c>
      <c r="P9001" s="33">
        <f>IFERROR(__xludf.DUMMYFUNCTION("""COMPUTED_VALUE"""),1.0)</f>
        <v>1</v>
      </c>
      <c r="Q9001" s="4" t="str">
        <f>IFERROR(__xludf.DUMMYFUNCTION("""COMPUTED_VALUE"""),"null")</f>
        <v>null</v>
      </c>
      <c r="R9001" s="33">
        <f>IFERROR(__xludf.DUMMYFUNCTION("""COMPUTED_VALUE"""),1.0)</f>
        <v>1</v>
      </c>
      <c r="S9001" s="4" t="str">
        <f>IFERROR(__xludf.DUMMYFUNCTION("""COMPUTED_VALUE"""),"null")</f>
        <v>null</v>
      </c>
      <c r="T9001" s="33">
        <f>IFERROR(__xludf.DUMMYFUNCTION("""COMPUTED_VALUE"""),1.0)</f>
        <v>1</v>
      </c>
      <c r="U9001" s="4" t="str">
        <f>IFERROR(__xludf.DUMMYFUNCTION("""COMPUTED_VALUE"""),"null")</f>
        <v>null</v>
      </c>
      <c r="V9001" s="33">
        <f>IFERROR(__xludf.DUMMYFUNCTION("""COMPUTED_VALUE"""),1.0)</f>
        <v>1</v>
      </c>
      <c r="W9001" s="4" t="str">
        <f>IFERROR(__xludf.DUMMYFUNCTION("""COMPUTED_VALUE"""),"null")</f>
        <v>null</v>
      </c>
      <c r="X9001" s="33">
        <f>IFERROR(__xludf.DUMMYFUNCTION("""COMPUTED_VALUE"""),1.0)</f>
        <v>1</v>
      </c>
    </row>
    <row r="9002">
      <c r="K9002" s="4" t="str">
        <f>IFERROR(__xludf.DUMMYFUNCTION("""COMPUTED_VALUE"""),"LAYLA DOCES BROWNIERIA")</f>
        <v>LAYLA DOCES BROWNIERIA</v>
      </c>
      <c r="L9002" s="32">
        <f>IFERROR(__xludf.DUMMYFUNCTION("""COMPUTED_VALUE"""),1.0)</f>
        <v>1</v>
      </c>
      <c r="M9002" s="4" t="str">
        <f>IFERROR(__xludf.DUMMYFUNCTION("""COMPUTED_VALUE"""),"Yooga")</f>
        <v>Yooga</v>
      </c>
      <c r="N9002" s="33">
        <f>IFERROR(__xludf.DUMMYFUNCTION("""COMPUTED_VALUE"""),1.0)</f>
        <v>1</v>
      </c>
      <c r="O9002" s="4" t="str">
        <f>IFERROR(__xludf.DUMMYFUNCTION("""COMPUTED_VALUE"""),"Yooga")</f>
        <v>Yooga</v>
      </c>
      <c r="P9002" s="33">
        <f>IFERROR(__xludf.DUMMYFUNCTION("""COMPUTED_VALUE"""),1.0)</f>
        <v>1</v>
      </c>
      <c r="Q9002" s="4" t="str">
        <f>IFERROR(__xludf.DUMMYFUNCTION("""COMPUTED_VALUE"""),"Yooga")</f>
        <v>Yooga</v>
      </c>
      <c r="R9002" s="33">
        <f>IFERROR(__xludf.DUMMYFUNCTION("""COMPUTED_VALUE"""),1.0)</f>
        <v>1</v>
      </c>
      <c r="S9002" s="4" t="str">
        <f>IFERROR(__xludf.DUMMYFUNCTION("""COMPUTED_VALUE"""),"Yooga")</f>
        <v>Yooga</v>
      </c>
      <c r="T9002" s="33">
        <f>IFERROR(__xludf.DUMMYFUNCTION("""COMPUTED_VALUE"""),1.0)</f>
        <v>1</v>
      </c>
      <c r="U9002" s="4" t="str">
        <f>IFERROR(__xludf.DUMMYFUNCTION("""COMPUTED_VALUE"""),"Yooga")</f>
        <v>Yooga</v>
      </c>
      <c r="V9002" s="33">
        <f>IFERROR(__xludf.DUMMYFUNCTION("""COMPUTED_VALUE"""),1.0)</f>
        <v>1</v>
      </c>
      <c r="W9002" s="4" t="str">
        <f>IFERROR(__xludf.DUMMYFUNCTION("""COMPUTED_VALUE"""),"Yooga")</f>
        <v>Yooga</v>
      </c>
      <c r="X9002" s="33">
        <f>IFERROR(__xludf.DUMMYFUNCTION("""COMPUTED_VALUE"""),1.0)</f>
        <v>1</v>
      </c>
    </row>
    <row r="9003">
      <c r="K9003" s="4" t="str">
        <f>IFERROR(__xludf.DUMMYFUNCTION("""COMPUTED_VALUE"""),"PICOLE CAPELINHA - PITUBA")</f>
        <v>PICOLE CAPELINHA - PITUBA</v>
      </c>
      <c r="L9003" s="32">
        <f>IFERROR(__xludf.DUMMYFUNCTION("""COMPUTED_VALUE"""),1.0)</f>
        <v>1</v>
      </c>
      <c r="M9003" s="4" t="str">
        <f>IFERROR(__xludf.DUMMYFUNCTION("""COMPUTED_VALUE"""),"Alpha Logo")</f>
        <v>Alpha Logo</v>
      </c>
      <c r="N9003" s="33">
        <f>IFERROR(__xludf.DUMMYFUNCTION("""COMPUTED_VALUE"""),1.0)</f>
        <v>1</v>
      </c>
      <c r="O9003" s="4" t="str">
        <f>IFERROR(__xludf.DUMMYFUNCTION("""COMPUTED_VALUE"""),"Alpha Logo")</f>
        <v>Alpha Logo</v>
      </c>
      <c r="P9003" s="33">
        <f>IFERROR(__xludf.DUMMYFUNCTION("""COMPUTED_VALUE"""),1.0)</f>
        <v>1</v>
      </c>
      <c r="Q9003" s="4" t="str">
        <f>IFERROR(__xludf.DUMMYFUNCTION("""COMPUTED_VALUE"""),"Alpha Logo")</f>
        <v>Alpha Logo</v>
      </c>
      <c r="R9003" s="33">
        <f>IFERROR(__xludf.DUMMYFUNCTION("""COMPUTED_VALUE"""),1.0)</f>
        <v>1</v>
      </c>
      <c r="S9003" s="4" t="str">
        <f>IFERROR(__xludf.DUMMYFUNCTION("""COMPUTED_VALUE"""),"Alpha Logo")</f>
        <v>Alpha Logo</v>
      </c>
      <c r="T9003" s="33">
        <f>IFERROR(__xludf.DUMMYFUNCTION("""COMPUTED_VALUE"""),1.0)</f>
        <v>1</v>
      </c>
      <c r="U9003" s="4" t="str">
        <f>IFERROR(__xludf.DUMMYFUNCTION("""COMPUTED_VALUE"""),"Alpha Logo")</f>
        <v>Alpha Logo</v>
      </c>
      <c r="V9003" s="33">
        <f>IFERROR(__xludf.DUMMYFUNCTION("""COMPUTED_VALUE"""),1.0)</f>
        <v>1</v>
      </c>
      <c r="W9003" s="4" t="str">
        <f>IFERROR(__xludf.DUMMYFUNCTION("""COMPUTED_VALUE"""),"Alpha Logo")</f>
        <v>Alpha Logo</v>
      </c>
      <c r="X9003" s="33">
        <f>IFERROR(__xludf.DUMMYFUNCTION("""COMPUTED_VALUE"""),1.0)</f>
        <v>1</v>
      </c>
    </row>
    <row r="9004">
      <c r="K9004" s="4" t="str">
        <f>IFERROR(__xludf.DUMMYFUNCTION("""COMPUTED_VALUE"""),"OLIMA CULINARIA AFETIVA")</f>
        <v>OLIMA CULINARIA AFETIVA</v>
      </c>
      <c r="L9004" s="32">
        <f>IFERROR(__xludf.DUMMYFUNCTION("""COMPUTED_VALUE"""),1.0)</f>
        <v>1</v>
      </c>
      <c r="M9004" s="4" t="str">
        <f>IFERROR(__xludf.DUMMYFUNCTION("""COMPUTED_VALUE"""),"Noah Sistemas Ltda")</f>
        <v>Noah Sistemas Ltda</v>
      </c>
      <c r="N9004" s="33">
        <f>IFERROR(__xludf.DUMMYFUNCTION("""COMPUTED_VALUE"""),1.0)</f>
        <v>1</v>
      </c>
      <c r="O9004" s="4" t="str">
        <f>IFERROR(__xludf.DUMMYFUNCTION("""COMPUTED_VALUE"""),"Noah Sistemas Ltda")</f>
        <v>Noah Sistemas Ltda</v>
      </c>
      <c r="P9004" s="33">
        <f>IFERROR(__xludf.DUMMYFUNCTION("""COMPUTED_VALUE"""),1.0)</f>
        <v>1</v>
      </c>
      <c r="Q9004" s="4" t="str">
        <f>IFERROR(__xludf.DUMMYFUNCTION("""COMPUTED_VALUE"""),"Noah Sistemas Ltda")</f>
        <v>Noah Sistemas Ltda</v>
      </c>
      <c r="R9004" s="33">
        <f>IFERROR(__xludf.DUMMYFUNCTION("""COMPUTED_VALUE"""),1.0)</f>
        <v>1</v>
      </c>
      <c r="S9004" s="4" t="str">
        <f>IFERROR(__xludf.DUMMYFUNCTION("""COMPUTED_VALUE"""),"Noah Sistemas Ltda")</f>
        <v>Noah Sistemas Ltda</v>
      </c>
      <c r="T9004" s="33">
        <f>IFERROR(__xludf.DUMMYFUNCTION("""COMPUTED_VALUE"""),1.0)</f>
        <v>1</v>
      </c>
      <c r="U9004" s="4" t="str">
        <f>IFERROR(__xludf.DUMMYFUNCTION("""COMPUTED_VALUE"""),"Noah Sistemas Ltda")</f>
        <v>Noah Sistemas Ltda</v>
      </c>
      <c r="V9004" s="33">
        <f>IFERROR(__xludf.DUMMYFUNCTION("""COMPUTED_VALUE"""),1.0)</f>
        <v>1</v>
      </c>
      <c r="W9004" s="4" t="str">
        <f>IFERROR(__xludf.DUMMYFUNCTION("""COMPUTED_VALUE"""),"Noah Sistemas Ltda")</f>
        <v>Noah Sistemas Ltda</v>
      </c>
      <c r="X9004" s="33">
        <f>IFERROR(__xludf.DUMMYFUNCTION("""COMPUTED_VALUE"""),1.0)</f>
        <v>1</v>
      </c>
    </row>
    <row r="9005">
      <c r="K9005" s="4" t="str">
        <f>IFERROR(__xludf.DUMMYFUNCTION("""COMPUTED_VALUE"""),"BETHESDA BURGER")</f>
        <v>BETHESDA BURGER</v>
      </c>
      <c r="L9005" s="32">
        <f>IFERROR(__xludf.DUMMYFUNCTION("""COMPUTED_VALUE"""),1.0)</f>
        <v>1</v>
      </c>
      <c r="M9005" s="4" t="str">
        <f>IFERROR(__xludf.DUMMYFUNCTION("""COMPUTED_VALUE"""),"Consumer Soluções Em Tecnologia Ltda")</f>
        <v>Consumer Soluções Em Tecnologia Ltda</v>
      </c>
      <c r="N9005" s="33">
        <f>IFERROR(__xludf.DUMMYFUNCTION("""COMPUTED_VALUE"""),1.0)</f>
        <v>1</v>
      </c>
      <c r="O9005" s="4" t="str">
        <f>IFERROR(__xludf.DUMMYFUNCTION("""COMPUTED_VALUE"""),"null")</f>
        <v>null</v>
      </c>
      <c r="P9005" s="33">
        <f>IFERROR(__xludf.DUMMYFUNCTION("""COMPUTED_VALUE"""),1.0)</f>
        <v>1</v>
      </c>
      <c r="Q9005" s="4" t="str">
        <f>IFERROR(__xludf.DUMMYFUNCTION("""COMPUTED_VALUE"""),"null")</f>
        <v>null</v>
      </c>
      <c r="R9005" s="33">
        <f>IFERROR(__xludf.DUMMYFUNCTION("""COMPUTED_VALUE"""),1.0)</f>
        <v>1</v>
      </c>
      <c r="S9005" s="4" t="str">
        <f>IFERROR(__xludf.DUMMYFUNCTION("""COMPUTED_VALUE"""),"null")</f>
        <v>null</v>
      </c>
      <c r="T9005" s="33">
        <f>IFERROR(__xludf.DUMMYFUNCTION("""COMPUTED_VALUE"""),1.0)</f>
        <v>1</v>
      </c>
      <c r="U9005" s="4" t="str">
        <f>IFERROR(__xludf.DUMMYFUNCTION("""COMPUTED_VALUE"""),"null")</f>
        <v>null</v>
      </c>
      <c r="V9005" s="33">
        <f>IFERROR(__xludf.DUMMYFUNCTION("""COMPUTED_VALUE"""),1.0)</f>
        <v>1</v>
      </c>
      <c r="W9005" s="4" t="str">
        <f>IFERROR(__xludf.DUMMYFUNCTION("""COMPUTED_VALUE"""),"null")</f>
        <v>null</v>
      </c>
      <c r="X9005" s="33">
        <f>IFERROR(__xludf.DUMMYFUNCTION("""COMPUTED_VALUE"""),1.0)</f>
        <v>1</v>
      </c>
    </row>
    <row r="9006">
      <c r="K9006" s="4" t="str">
        <f>IFERROR(__xludf.DUMMYFUNCTION("""COMPUTED_VALUE"""),"PIZZARIA BONISSIMA AMERICANA")</f>
        <v>PIZZARIA BONISSIMA AMERICANA</v>
      </c>
      <c r="L9006" s="32">
        <f>IFERROR(__xludf.DUMMYFUNCTION("""COMPUTED_VALUE"""),1.0)</f>
        <v>1</v>
      </c>
      <c r="M9006" s="4" t="str">
        <f>IFERROR(__xludf.DUMMYFUNCTION("""COMPUTED_VALUE"""),"Cardápio Web")</f>
        <v>Cardápio Web</v>
      </c>
      <c r="N9006" s="33">
        <f>IFERROR(__xludf.DUMMYFUNCTION("""COMPUTED_VALUE"""),1.0)</f>
        <v>1</v>
      </c>
      <c r="O9006" s="4" t="str">
        <f>IFERROR(__xludf.DUMMYFUNCTION("""COMPUTED_VALUE"""),"Cardápio Web")</f>
        <v>Cardápio Web</v>
      </c>
      <c r="P9006" s="33">
        <f>IFERROR(__xludf.DUMMYFUNCTION("""COMPUTED_VALUE"""),1.0)</f>
        <v>1</v>
      </c>
      <c r="Q9006" s="4" t="str">
        <f>IFERROR(__xludf.DUMMYFUNCTION("""COMPUTED_VALUE"""),"Cardápio Web")</f>
        <v>Cardápio Web</v>
      </c>
      <c r="R9006" s="33">
        <f>IFERROR(__xludf.DUMMYFUNCTION("""COMPUTED_VALUE"""),1.0)</f>
        <v>1</v>
      </c>
      <c r="S9006" s="4" t="str">
        <f>IFERROR(__xludf.DUMMYFUNCTION("""COMPUTED_VALUE"""),"Cardápio Web")</f>
        <v>Cardápio Web</v>
      </c>
      <c r="T9006" s="33">
        <f>IFERROR(__xludf.DUMMYFUNCTION("""COMPUTED_VALUE"""),1.0)</f>
        <v>1</v>
      </c>
      <c r="U9006" s="4" t="str">
        <f>IFERROR(__xludf.DUMMYFUNCTION("""COMPUTED_VALUE"""),"Cardápio Web")</f>
        <v>Cardápio Web</v>
      </c>
      <c r="V9006" s="33">
        <f>IFERROR(__xludf.DUMMYFUNCTION("""COMPUTED_VALUE"""),1.0)</f>
        <v>1</v>
      </c>
      <c r="W9006" s="4" t="str">
        <f>IFERROR(__xludf.DUMMYFUNCTION("""COMPUTED_VALUE"""),"Cardápio Web")</f>
        <v>Cardápio Web</v>
      </c>
      <c r="X9006" s="33">
        <f>IFERROR(__xludf.DUMMYFUNCTION("""COMPUTED_VALUE"""),1.0)</f>
        <v>1</v>
      </c>
    </row>
    <row r="9007">
      <c r="K9007" s="4" t="str">
        <f>IFERROR(__xludf.DUMMYFUNCTION("""COMPUTED_VALUE"""),"BRUTUS ACAI SALGADOS E SORVETES")</f>
        <v>BRUTUS ACAI SALGADOS E SORVETES</v>
      </c>
      <c r="L9007" s="32">
        <f>IFERROR(__xludf.DUMMYFUNCTION("""COMPUTED_VALUE"""),1.0)</f>
        <v>1</v>
      </c>
      <c r="M9007" s="4" t="str">
        <f>IFERROR(__xludf.DUMMYFUNCTION("""COMPUTED_VALUE"""),"null")</f>
        <v>null</v>
      </c>
      <c r="N9007" s="33">
        <f>IFERROR(__xludf.DUMMYFUNCTION("""COMPUTED_VALUE"""),1.0)</f>
        <v>1</v>
      </c>
      <c r="O9007" s="4" t="str">
        <f>IFERROR(__xludf.DUMMYFUNCTION("""COMPUTED_VALUE"""),"Compusoft")</f>
        <v>Compusoft</v>
      </c>
      <c r="P9007" s="33">
        <f>IFERROR(__xludf.DUMMYFUNCTION("""COMPUTED_VALUE"""),1.0)</f>
        <v>1</v>
      </c>
      <c r="Q9007" s="4" t="str">
        <f>IFERROR(__xludf.DUMMYFUNCTION("""COMPUTED_VALUE"""),"null")</f>
        <v>null</v>
      </c>
      <c r="R9007" s="33">
        <f>IFERROR(__xludf.DUMMYFUNCTION("""COMPUTED_VALUE"""),1.0)</f>
        <v>1</v>
      </c>
      <c r="S9007" s="4" t="str">
        <f>IFERROR(__xludf.DUMMYFUNCTION("""COMPUTED_VALUE"""),"null")</f>
        <v>null</v>
      </c>
      <c r="T9007" s="33">
        <f>IFERROR(__xludf.DUMMYFUNCTION("""COMPUTED_VALUE"""),1.0)</f>
        <v>1</v>
      </c>
      <c r="U9007" s="4" t="str">
        <f>IFERROR(__xludf.DUMMYFUNCTION("""COMPUTED_VALUE"""),"null")</f>
        <v>null</v>
      </c>
      <c r="V9007" s="33">
        <f>IFERROR(__xludf.DUMMYFUNCTION("""COMPUTED_VALUE"""),1.0)</f>
        <v>1</v>
      </c>
      <c r="W9007" s="4" t="str">
        <f>IFERROR(__xludf.DUMMYFUNCTION("""COMPUTED_VALUE"""),"null")</f>
        <v>null</v>
      </c>
      <c r="X9007" s="33">
        <f>IFERROR(__xludf.DUMMYFUNCTION("""COMPUTED_VALUE"""),1.0)</f>
        <v>1</v>
      </c>
    </row>
    <row r="9008">
      <c r="K9008" s="4" t="str">
        <f>IFERROR(__xludf.DUMMYFUNCTION("""COMPUTED_VALUE"""),"HAMBURGUERIA - BOX 3222")</f>
        <v>HAMBURGUERIA - BOX 3222</v>
      </c>
      <c r="L9008" s="32">
        <f>IFERROR(__xludf.DUMMYFUNCTION("""COMPUTED_VALUE"""),1.0)</f>
        <v>1</v>
      </c>
      <c r="M9008" s="4" t="str">
        <f>IFERROR(__xludf.DUMMYFUNCTION("""COMPUTED_VALUE"""),"null")</f>
        <v>null</v>
      </c>
      <c r="N9008" s="33">
        <f>IFERROR(__xludf.DUMMYFUNCTION("""COMPUTED_VALUE"""),1.0)</f>
        <v>1</v>
      </c>
      <c r="O9008" s="4" t="str">
        <f>IFERROR(__xludf.DUMMYFUNCTION("""COMPUTED_VALUE"""),"null")</f>
        <v>null</v>
      </c>
      <c r="P9008" s="33">
        <f>IFERROR(__xludf.DUMMYFUNCTION("""COMPUTED_VALUE"""),1.0)</f>
        <v>1</v>
      </c>
      <c r="Q9008" s="4" t="str">
        <f>IFERROR(__xludf.DUMMYFUNCTION("""COMPUTED_VALUE"""),"null")</f>
        <v>null</v>
      </c>
      <c r="R9008" s="33">
        <f>IFERROR(__xludf.DUMMYFUNCTION("""COMPUTED_VALUE"""),1.0)</f>
        <v>1</v>
      </c>
      <c r="S9008" s="4" t="str">
        <f>IFERROR(__xludf.DUMMYFUNCTION("""COMPUTED_VALUE"""),"null")</f>
        <v>null</v>
      </c>
      <c r="T9008" s="33">
        <f>IFERROR(__xludf.DUMMYFUNCTION("""COMPUTED_VALUE"""),1.0)</f>
        <v>1</v>
      </c>
      <c r="U9008" s="4" t="str">
        <f>IFERROR(__xludf.DUMMYFUNCTION("""COMPUTED_VALUE"""),"null")</f>
        <v>null</v>
      </c>
      <c r="V9008" s="33">
        <f>IFERROR(__xludf.DUMMYFUNCTION("""COMPUTED_VALUE"""),1.0)</f>
        <v>1</v>
      </c>
      <c r="W9008" s="4" t="str">
        <f>IFERROR(__xludf.DUMMYFUNCTION("""COMPUTED_VALUE"""),"Mp Multipedidos")</f>
        <v>Mp Multipedidos</v>
      </c>
      <c r="X9008" s="33">
        <f>IFERROR(__xludf.DUMMYFUNCTION("""COMPUTED_VALUE"""),1.0)</f>
        <v>1</v>
      </c>
    </row>
    <row r="9009">
      <c r="K9009" s="4" t="str">
        <f>IFERROR(__xludf.DUMMYFUNCTION("""COMPUTED_VALUE"""),"SORVETERIA - KAELI GELATERIA")</f>
        <v>SORVETERIA - KAELI GELATERIA</v>
      </c>
      <c r="L9009" s="32">
        <f>IFERROR(__xludf.DUMMYFUNCTION("""COMPUTED_VALUE"""),1.0)</f>
        <v>1</v>
      </c>
      <c r="M9009" s="4" t="str">
        <f>IFERROR(__xludf.DUMMYFUNCTION("""COMPUTED_VALUE"""),"Teknisa Service Ltda")</f>
        <v>Teknisa Service Ltda</v>
      </c>
      <c r="N9009" s="33">
        <f>IFERROR(__xludf.DUMMYFUNCTION("""COMPUTED_VALUE"""),1.0)</f>
        <v>1</v>
      </c>
      <c r="O9009" s="4" t="str">
        <f>IFERROR(__xludf.DUMMYFUNCTION("""COMPUTED_VALUE"""),"Teknisa Service Ltda")</f>
        <v>Teknisa Service Ltda</v>
      </c>
      <c r="P9009" s="33">
        <f>IFERROR(__xludf.DUMMYFUNCTION("""COMPUTED_VALUE"""),1.0)</f>
        <v>1</v>
      </c>
      <c r="Q9009" s="4" t="str">
        <f>IFERROR(__xludf.DUMMYFUNCTION("""COMPUTED_VALUE"""),"Teknisa Service Ltda")</f>
        <v>Teknisa Service Ltda</v>
      </c>
      <c r="R9009" s="33">
        <f>IFERROR(__xludf.DUMMYFUNCTION("""COMPUTED_VALUE"""),1.0)</f>
        <v>1</v>
      </c>
      <c r="S9009" s="4" t="str">
        <f>IFERROR(__xludf.DUMMYFUNCTION("""COMPUTED_VALUE"""),"Teknisa Service Ltda")</f>
        <v>Teknisa Service Ltda</v>
      </c>
      <c r="T9009" s="33">
        <f>IFERROR(__xludf.DUMMYFUNCTION("""COMPUTED_VALUE"""),1.0)</f>
        <v>1</v>
      </c>
      <c r="U9009" s="4" t="str">
        <f>IFERROR(__xludf.DUMMYFUNCTION("""COMPUTED_VALUE"""),"Teknisa Service Ltda")</f>
        <v>Teknisa Service Ltda</v>
      </c>
      <c r="V9009" s="33">
        <f>IFERROR(__xludf.DUMMYFUNCTION("""COMPUTED_VALUE"""),1.0)</f>
        <v>1</v>
      </c>
      <c r="W9009" s="4" t="str">
        <f>IFERROR(__xludf.DUMMYFUNCTION("""COMPUTED_VALUE"""),"Teknisa Service Ltda")</f>
        <v>Teknisa Service Ltda</v>
      </c>
      <c r="X9009" s="33">
        <f>IFERROR(__xludf.DUMMYFUNCTION("""COMPUTED_VALUE"""),1.0)</f>
        <v>1</v>
      </c>
    </row>
    <row r="9010">
      <c r="K9010" s="4" t="str">
        <f>IFERROR(__xludf.DUMMYFUNCTION("""COMPUTED_VALUE"""),"SUSHI DA MATA")</f>
        <v>SUSHI DA MATA</v>
      </c>
      <c r="L9010" s="32">
        <f>IFERROR(__xludf.DUMMYFUNCTION("""COMPUTED_VALUE"""),1.0)</f>
        <v>1</v>
      </c>
      <c r="M9010" s="4" t="str">
        <f>IFERROR(__xludf.DUMMYFUNCTION("""COMPUTED_VALUE"""),"Cardápio Web")</f>
        <v>Cardápio Web</v>
      </c>
      <c r="N9010" s="33">
        <f>IFERROR(__xludf.DUMMYFUNCTION("""COMPUTED_VALUE"""),1.0)</f>
        <v>1</v>
      </c>
      <c r="O9010" s="4" t="str">
        <f>IFERROR(__xludf.DUMMYFUNCTION("""COMPUTED_VALUE"""),"Cardápio Web")</f>
        <v>Cardápio Web</v>
      </c>
      <c r="P9010" s="33">
        <f>IFERROR(__xludf.DUMMYFUNCTION("""COMPUTED_VALUE"""),1.0)</f>
        <v>1</v>
      </c>
      <c r="Q9010" s="4" t="str">
        <f>IFERROR(__xludf.DUMMYFUNCTION("""COMPUTED_VALUE"""),"null")</f>
        <v>null</v>
      </c>
      <c r="R9010" s="33">
        <f>IFERROR(__xludf.DUMMYFUNCTION("""COMPUTED_VALUE"""),1.0)</f>
        <v>1</v>
      </c>
      <c r="S9010" s="4" t="str">
        <f>IFERROR(__xludf.DUMMYFUNCTION("""COMPUTED_VALUE"""),"Cardápio Web")</f>
        <v>Cardápio Web</v>
      </c>
      <c r="T9010" s="33">
        <f>IFERROR(__xludf.DUMMYFUNCTION("""COMPUTED_VALUE"""),1.0)</f>
        <v>1</v>
      </c>
      <c r="U9010" s="4" t="str">
        <f>IFERROR(__xludf.DUMMYFUNCTION("""COMPUTED_VALUE"""),"Cardápio Web")</f>
        <v>Cardápio Web</v>
      </c>
      <c r="V9010" s="33">
        <f>IFERROR(__xludf.DUMMYFUNCTION("""COMPUTED_VALUE"""),1.0)</f>
        <v>1</v>
      </c>
      <c r="W9010" s="4" t="str">
        <f>IFERROR(__xludf.DUMMYFUNCTION("""COMPUTED_VALUE"""),"Cardápio Web")</f>
        <v>Cardápio Web</v>
      </c>
      <c r="X9010" s="33">
        <f>IFERROR(__xludf.DUMMYFUNCTION("""COMPUTED_VALUE"""),1.0)</f>
        <v>1</v>
      </c>
    </row>
    <row r="9011">
      <c r="K9011" s="4" t="str">
        <f>IFERROR(__xludf.DUMMYFUNCTION("""COMPUTED_VALUE"""),"JO LANCHES")</f>
        <v>JO LANCHES</v>
      </c>
      <c r="L9011" s="32">
        <f>IFERROR(__xludf.DUMMYFUNCTION("""COMPUTED_VALUE"""),1.0)</f>
        <v>1</v>
      </c>
      <c r="M9011" s="4" t="str">
        <f>IFERROR(__xludf.DUMMYFUNCTION("""COMPUTED_VALUE"""),"Vekttor")</f>
        <v>Vekttor</v>
      </c>
      <c r="N9011" s="33">
        <f>IFERROR(__xludf.DUMMYFUNCTION("""COMPUTED_VALUE"""),1.0)</f>
        <v>1</v>
      </c>
      <c r="O9011" s="4" t="str">
        <f>IFERROR(__xludf.DUMMYFUNCTION("""COMPUTED_VALUE"""),"Vekttor")</f>
        <v>Vekttor</v>
      </c>
      <c r="P9011" s="33">
        <f>IFERROR(__xludf.DUMMYFUNCTION("""COMPUTED_VALUE"""),1.0)</f>
        <v>1</v>
      </c>
      <c r="Q9011" s="4" t="str">
        <f>IFERROR(__xludf.DUMMYFUNCTION("""COMPUTED_VALUE"""),"Vekttor")</f>
        <v>Vekttor</v>
      </c>
      <c r="R9011" s="33">
        <f>IFERROR(__xludf.DUMMYFUNCTION("""COMPUTED_VALUE"""),1.0)</f>
        <v>1</v>
      </c>
      <c r="S9011" s="4" t="str">
        <f>IFERROR(__xludf.DUMMYFUNCTION("""COMPUTED_VALUE"""),"Vekttor")</f>
        <v>Vekttor</v>
      </c>
      <c r="T9011" s="33">
        <f>IFERROR(__xludf.DUMMYFUNCTION("""COMPUTED_VALUE"""),1.0)</f>
        <v>1</v>
      </c>
      <c r="U9011" s="4" t="str">
        <f>IFERROR(__xludf.DUMMYFUNCTION("""COMPUTED_VALUE"""),"Vekttor")</f>
        <v>Vekttor</v>
      </c>
      <c r="V9011" s="33">
        <f>IFERROR(__xludf.DUMMYFUNCTION("""COMPUTED_VALUE"""),1.0)</f>
        <v>1</v>
      </c>
      <c r="W9011" s="4" t="str">
        <f>IFERROR(__xludf.DUMMYFUNCTION("""COMPUTED_VALUE"""),"Vekttor")</f>
        <v>Vekttor</v>
      </c>
      <c r="X9011" s="33">
        <f>IFERROR(__xludf.DUMMYFUNCTION("""COMPUTED_VALUE"""),1.0)</f>
        <v>1</v>
      </c>
    </row>
    <row r="9012">
      <c r="K9012" s="4" t="str">
        <f>IFERROR(__xludf.DUMMYFUNCTION("""COMPUTED_VALUE"""),"TERRAZZO RESTAURANTE E PIZZARIA")</f>
        <v>TERRAZZO RESTAURANTE E PIZZARIA</v>
      </c>
      <c r="L9012" s="32">
        <f>IFERROR(__xludf.DUMMYFUNCTION("""COMPUTED_VALUE"""),1.0)</f>
        <v>1</v>
      </c>
      <c r="M9012" s="4" t="str">
        <f>IFERROR(__xludf.DUMMYFUNCTION("""COMPUTED_VALUE"""),"Fs Soluções Em Tecnologia Ltda")</f>
        <v>Fs Soluções Em Tecnologia Ltda</v>
      </c>
      <c r="N9012" s="33">
        <f>IFERROR(__xludf.DUMMYFUNCTION("""COMPUTED_VALUE"""),1.0)</f>
        <v>1</v>
      </c>
      <c r="O9012" s="4" t="str">
        <f>IFERROR(__xludf.DUMMYFUNCTION("""COMPUTED_VALUE"""),"Fs Soluções Em Tecnologia Ltda")</f>
        <v>Fs Soluções Em Tecnologia Ltda</v>
      </c>
      <c r="P9012" s="33">
        <f>IFERROR(__xludf.DUMMYFUNCTION("""COMPUTED_VALUE"""),1.0)</f>
        <v>1</v>
      </c>
      <c r="Q9012" s="4" t="str">
        <f>IFERROR(__xludf.DUMMYFUNCTION("""COMPUTED_VALUE"""),"Fs Soluções Em Tecnologia Ltda")</f>
        <v>Fs Soluções Em Tecnologia Ltda</v>
      </c>
      <c r="R9012" s="33">
        <f>IFERROR(__xludf.DUMMYFUNCTION("""COMPUTED_VALUE"""),1.0)</f>
        <v>1</v>
      </c>
      <c r="S9012" s="4" t="str">
        <f>IFERROR(__xludf.DUMMYFUNCTION("""COMPUTED_VALUE"""),"Fs Soluções Em Tecnologia Ltda")</f>
        <v>Fs Soluções Em Tecnologia Ltda</v>
      </c>
      <c r="T9012" s="33">
        <f>IFERROR(__xludf.DUMMYFUNCTION("""COMPUTED_VALUE"""),1.0)</f>
        <v>1</v>
      </c>
      <c r="U9012" s="4" t="str">
        <f>IFERROR(__xludf.DUMMYFUNCTION("""COMPUTED_VALUE"""),"Fs Soluções Em Tecnologia Ltda")</f>
        <v>Fs Soluções Em Tecnologia Ltda</v>
      </c>
      <c r="V9012" s="33">
        <f>IFERROR(__xludf.DUMMYFUNCTION("""COMPUTED_VALUE"""),1.0)</f>
        <v>1</v>
      </c>
      <c r="W9012" s="4" t="str">
        <f>IFERROR(__xludf.DUMMYFUNCTION("""COMPUTED_VALUE"""),"Deeliv")</f>
        <v>Deeliv</v>
      </c>
      <c r="X9012" s="33">
        <f>IFERROR(__xludf.DUMMYFUNCTION("""COMPUTED_VALUE"""),1.0)</f>
        <v>1</v>
      </c>
    </row>
    <row r="9013">
      <c r="K9013" s="4" t="str">
        <f>IFERROR(__xludf.DUMMYFUNCTION("""COMPUTED_VALUE"""),"PIZZARIA 4 ESTYLOS SOLARES")</f>
        <v>PIZZARIA 4 ESTYLOS SOLARES</v>
      </c>
      <c r="L9013" s="32">
        <f>IFERROR(__xludf.DUMMYFUNCTION("""COMPUTED_VALUE"""),1.0)</f>
        <v>1</v>
      </c>
      <c r="M9013" s="4" t="str">
        <f>IFERROR(__xludf.DUMMYFUNCTION("""COMPUTED_VALUE"""),"Berp Sistemas")</f>
        <v>Berp Sistemas</v>
      </c>
      <c r="N9013" s="33">
        <f>IFERROR(__xludf.DUMMYFUNCTION("""COMPUTED_VALUE"""),1.0)</f>
        <v>1</v>
      </c>
      <c r="O9013" s="4" t="str">
        <f>IFERROR(__xludf.DUMMYFUNCTION("""COMPUTED_VALUE"""),"Berp Sistemas")</f>
        <v>Berp Sistemas</v>
      </c>
      <c r="P9013" s="33">
        <f>IFERROR(__xludf.DUMMYFUNCTION("""COMPUTED_VALUE"""),1.0)</f>
        <v>1</v>
      </c>
      <c r="Q9013" s="4" t="str">
        <f>IFERROR(__xludf.DUMMYFUNCTION("""COMPUTED_VALUE"""),"Berp Sistemas")</f>
        <v>Berp Sistemas</v>
      </c>
      <c r="R9013" s="33">
        <f>IFERROR(__xludf.DUMMYFUNCTION("""COMPUTED_VALUE"""),1.0)</f>
        <v>1</v>
      </c>
      <c r="S9013" s="4" t="str">
        <f>IFERROR(__xludf.DUMMYFUNCTION("""COMPUTED_VALUE"""),"Berp Sistemas")</f>
        <v>Berp Sistemas</v>
      </c>
      <c r="T9013" s="33">
        <f>IFERROR(__xludf.DUMMYFUNCTION("""COMPUTED_VALUE"""),1.0)</f>
        <v>1</v>
      </c>
      <c r="U9013" s="4" t="str">
        <f>IFERROR(__xludf.DUMMYFUNCTION("""COMPUTED_VALUE"""),"Berp Sistemas")</f>
        <v>Berp Sistemas</v>
      </c>
      <c r="V9013" s="33">
        <f>IFERROR(__xludf.DUMMYFUNCTION("""COMPUTED_VALUE"""),1.0)</f>
        <v>1</v>
      </c>
      <c r="W9013" s="4" t="str">
        <f>IFERROR(__xludf.DUMMYFUNCTION("""COMPUTED_VALUE"""),"Berp Sistemas")</f>
        <v>Berp Sistemas</v>
      </c>
      <c r="X9013" s="33">
        <f>IFERROR(__xludf.DUMMYFUNCTION("""COMPUTED_VALUE"""),1.0)</f>
        <v>1</v>
      </c>
    </row>
    <row r="9014">
      <c r="K9014" s="4" t="str">
        <f>IFERROR(__xludf.DUMMYFUNCTION("""COMPUTED_VALUE"""),"SALSARELLA")</f>
        <v>SALSARELLA</v>
      </c>
      <c r="L9014" s="32">
        <f>IFERROR(__xludf.DUMMYFUNCTION("""COMPUTED_VALUE"""),1.0)</f>
        <v>1</v>
      </c>
      <c r="M9014" s="4" t="str">
        <f>IFERROR(__xludf.DUMMYFUNCTION("""COMPUTED_VALUE"""),"Connectplug")</f>
        <v>Connectplug</v>
      </c>
      <c r="N9014" s="33">
        <f>IFERROR(__xludf.DUMMYFUNCTION("""COMPUTED_VALUE"""),1.0)</f>
        <v>1</v>
      </c>
      <c r="O9014" s="4" t="str">
        <f>IFERROR(__xludf.DUMMYFUNCTION("""COMPUTED_VALUE"""),"Connectplug")</f>
        <v>Connectplug</v>
      </c>
      <c r="P9014" s="33">
        <f>IFERROR(__xludf.DUMMYFUNCTION("""COMPUTED_VALUE"""),1.0)</f>
        <v>1</v>
      </c>
      <c r="Q9014" s="4" t="str">
        <f>IFERROR(__xludf.DUMMYFUNCTION("""COMPUTED_VALUE"""),"Connectplug")</f>
        <v>Connectplug</v>
      </c>
      <c r="R9014" s="33">
        <f>IFERROR(__xludf.DUMMYFUNCTION("""COMPUTED_VALUE"""),1.0)</f>
        <v>1</v>
      </c>
      <c r="S9014" s="4" t="str">
        <f>IFERROR(__xludf.DUMMYFUNCTION("""COMPUTED_VALUE"""),"Connectplug")</f>
        <v>Connectplug</v>
      </c>
      <c r="T9014" s="33">
        <f>IFERROR(__xludf.DUMMYFUNCTION("""COMPUTED_VALUE"""),1.0)</f>
        <v>1</v>
      </c>
      <c r="U9014" s="4" t="str">
        <f>IFERROR(__xludf.DUMMYFUNCTION("""COMPUTED_VALUE"""),"Connectplug")</f>
        <v>Connectplug</v>
      </c>
      <c r="V9014" s="33">
        <f>IFERROR(__xludf.DUMMYFUNCTION("""COMPUTED_VALUE"""),1.0)</f>
        <v>1</v>
      </c>
      <c r="W9014" s="4" t="str">
        <f>IFERROR(__xludf.DUMMYFUNCTION("""COMPUTED_VALUE"""),"Connectplug")</f>
        <v>Connectplug</v>
      </c>
      <c r="X9014" s="33">
        <f>IFERROR(__xludf.DUMMYFUNCTION("""COMPUTED_VALUE"""),1.0)</f>
        <v>1</v>
      </c>
    </row>
    <row r="9015">
      <c r="K9015" s="4" t="str">
        <f>IFERROR(__xludf.DUMMYFUNCTION("""COMPUTED_VALUE"""),"DAMK PIZZA")</f>
        <v>DAMK PIZZA</v>
      </c>
      <c r="L9015" s="32">
        <f>IFERROR(__xludf.DUMMYFUNCTION("""COMPUTED_VALUE"""),1.0)</f>
        <v>1</v>
      </c>
      <c r="M9015" s="4" t="str">
        <f>IFERROR(__xludf.DUMMYFUNCTION("""COMPUTED_VALUE"""),"Cloudfy")</f>
        <v>Cloudfy</v>
      </c>
      <c r="N9015" s="33">
        <f>IFERROR(__xludf.DUMMYFUNCTION("""COMPUTED_VALUE"""),1.0)</f>
        <v>1</v>
      </c>
      <c r="O9015" s="4" t="str">
        <f>IFERROR(__xludf.DUMMYFUNCTION("""COMPUTED_VALUE"""),"Cloudfy")</f>
        <v>Cloudfy</v>
      </c>
      <c r="P9015" s="33">
        <f>IFERROR(__xludf.DUMMYFUNCTION("""COMPUTED_VALUE"""),1.0)</f>
        <v>1</v>
      </c>
      <c r="Q9015" s="4" t="str">
        <f>IFERROR(__xludf.DUMMYFUNCTION("""COMPUTED_VALUE"""),"null")</f>
        <v>null</v>
      </c>
      <c r="R9015" s="33">
        <f>IFERROR(__xludf.DUMMYFUNCTION("""COMPUTED_VALUE"""),1.0)</f>
        <v>1</v>
      </c>
      <c r="S9015" s="4" t="str">
        <f>IFERROR(__xludf.DUMMYFUNCTION("""COMPUTED_VALUE"""),"null")</f>
        <v>null</v>
      </c>
      <c r="T9015" s="33">
        <f>IFERROR(__xludf.DUMMYFUNCTION("""COMPUTED_VALUE"""),1.0)</f>
        <v>1</v>
      </c>
      <c r="U9015" s="4" t="str">
        <f>IFERROR(__xludf.DUMMYFUNCTION("""COMPUTED_VALUE"""),"null")</f>
        <v>null</v>
      </c>
      <c r="V9015" s="33">
        <f>IFERROR(__xludf.DUMMYFUNCTION("""COMPUTED_VALUE"""),1.0)</f>
        <v>1</v>
      </c>
      <c r="W9015" s="4" t="str">
        <f>IFERROR(__xludf.DUMMYFUNCTION("""COMPUTED_VALUE"""),"null")</f>
        <v>null</v>
      </c>
      <c r="X9015" s="33">
        <f>IFERROR(__xludf.DUMMYFUNCTION("""COMPUTED_VALUE"""),1.0)</f>
        <v>1</v>
      </c>
    </row>
    <row r="9016">
      <c r="K9016" s="4" t="str">
        <f>IFERROR(__xludf.DUMMYFUNCTION("""COMPUTED_VALUE"""),"RESTAURANTE BOTAFOGO")</f>
        <v>RESTAURANTE BOTAFOGO</v>
      </c>
      <c r="L9016" s="32">
        <f>IFERROR(__xludf.DUMMYFUNCTION("""COMPUTED_VALUE"""),1.0)</f>
        <v>1</v>
      </c>
      <c r="M9016" s="4" t="str">
        <f>IFERROR(__xludf.DUMMYFUNCTION("""COMPUTED_VALUE"""),"Mp Multipedidos")</f>
        <v>Mp Multipedidos</v>
      </c>
      <c r="N9016" s="33">
        <f>IFERROR(__xludf.DUMMYFUNCTION("""COMPUTED_VALUE"""),1.0)</f>
        <v>1</v>
      </c>
      <c r="O9016" s="4" t="str">
        <f>IFERROR(__xludf.DUMMYFUNCTION("""COMPUTED_VALUE"""),"Mp Multipedidos")</f>
        <v>Mp Multipedidos</v>
      </c>
      <c r="P9016" s="33">
        <f>IFERROR(__xludf.DUMMYFUNCTION("""COMPUTED_VALUE"""),1.0)</f>
        <v>1</v>
      </c>
      <c r="Q9016" s="4" t="str">
        <f>IFERROR(__xludf.DUMMYFUNCTION("""COMPUTED_VALUE"""),"Mp Multipedidos")</f>
        <v>Mp Multipedidos</v>
      </c>
      <c r="R9016" s="33">
        <f>IFERROR(__xludf.DUMMYFUNCTION("""COMPUTED_VALUE"""),1.0)</f>
        <v>1</v>
      </c>
      <c r="S9016" s="4" t="str">
        <f>IFERROR(__xludf.DUMMYFUNCTION("""COMPUTED_VALUE"""),"Mp Multipedidos")</f>
        <v>Mp Multipedidos</v>
      </c>
      <c r="T9016" s="33">
        <f>IFERROR(__xludf.DUMMYFUNCTION("""COMPUTED_VALUE"""),1.0)</f>
        <v>1</v>
      </c>
      <c r="U9016" s="4" t="str">
        <f>IFERROR(__xludf.DUMMYFUNCTION("""COMPUTED_VALUE"""),"Mp Multipedidos")</f>
        <v>Mp Multipedidos</v>
      </c>
      <c r="V9016" s="33">
        <f>IFERROR(__xludf.DUMMYFUNCTION("""COMPUTED_VALUE"""),1.0)</f>
        <v>1</v>
      </c>
      <c r="W9016" s="4" t="str">
        <f>IFERROR(__xludf.DUMMYFUNCTION("""COMPUTED_VALUE"""),"Mp Multipedidos")</f>
        <v>Mp Multipedidos</v>
      </c>
      <c r="X9016" s="33">
        <f>IFERROR(__xludf.DUMMYFUNCTION("""COMPUTED_VALUE"""),1.0)</f>
        <v>1</v>
      </c>
    </row>
    <row r="9017">
      <c r="K9017" s="4" t="str">
        <f>IFERROR(__xludf.DUMMYFUNCTION("""COMPUTED_VALUE"""),"MUTLEY GOURMET - LANCHES ARTESANAIS")</f>
        <v>MUTLEY GOURMET - LANCHES ARTESANAIS</v>
      </c>
      <c r="L9017" s="32">
        <f>IFERROR(__xludf.DUMMYFUNCTION("""COMPUTED_VALUE"""),1.0)</f>
        <v>1</v>
      </c>
      <c r="M9017" s="4" t="str">
        <f>IFERROR(__xludf.DUMMYFUNCTION("""COMPUTED_VALUE"""),"Yooga")</f>
        <v>Yooga</v>
      </c>
      <c r="N9017" s="33">
        <f>IFERROR(__xludf.DUMMYFUNCTION("""COMPUTED_VALUE"""),1.0)</f>
        <v>1</v>
      </c>
      <c r="O9017" s="4" t="str">
        <f>IFERROR(__xludf.DUMMYFUNCTION("""COMPUTED_VALUE"""),"Yooga")</f>
        <v>Yooga</v>
      </c>
      <c r="P9017" s="33">
        <f>IFERROR(__xludf.DUMMYFUNCTION("""COMPUTED_VALUE"""),1.0)</f>
        <v>1</v>
      </c>
      <c r="Q9017" s="4" t="str">
        <f>IFERROR(__xludf.DUMMYFUNCTION("""COMPUTED_VALUE"""),"Yooga")</f>
        <v>Yooga</v>
      </c>
      <c r="R9017" s="33">
        <f>IFERROR(__xludf.DUMMYFUNCTION("""COMPUTED_VALUE"""),1.0)</f>
        <v>1</v>
      </c>
      <c r="S9017" s="4" t="str">
        <f>IFERROR(__xludf.DUMMYFUNCTION("""COMPUTED_VALUE"""),"Yooga")</f>
        <v>Yooga</v>
      </c>
      <c r="T9017" s="33">
        <f>IFERROR(__xludf.DUMMYFUNCTION("""COMPUTED_VALUE"""),1.0)</f>
        <v>1</v>
      </c>
      <c r="U9017" s="4" t="str">
        <f>IFERROR(__xludf.DUMMYFUNCTION("""COMPUTED_VALUE"""),"Yooga")</f>
        <v>Yooga</v>
      </c>
      <c r="V9017" s="33">
        <f>IFERROR(__xludf.DUMMYFUNCTION("""COMPUTED_VALUE"""),1.0)</f>
        <v>1</v>
      </c>
      <c r="W9017" s="4" t="str">
        <f>IFERROR(__xludf.DUMMYFUNCTION("""COMPUTED_VALUE"""),"Yooga")</f>
        <v>Yooga</v>
      </c>
      <c r="X9017" s="33">
        <f>IFERROR(__xludf.DUMMYFUNCTION("""COMPUTED_VALUE"""),1.0)</f>
        <v>1</v>
      </c>
    </row>
    <row r="9018">
      <c r="K9018" s="4" t="str">
        <f>IFERROR(__xludf.DUMMYFUNCTION("""COMPUTED_VALUE"""),"HAMBURGUERIA ATLANTA BURGUER")</f>
        <v>HAMBURGUERIA ATLANTA BURGUER</v>
      </c>
      <c r="L9018" s="32">
        <f>IFERROR(__xludf.DUMMYFUNCTION("""COMPUTED_VALUE"""),1.0)</f>
        <v>1</v>
      </c>
      <c r="M9018" s="4" t="str">
        <f>IFERROR(__xludf.DUMMYFUNCTION("""COMPUTED_VALUE"""),"Saipos Serviços De Software")</f>
        <v>Saipos Serviços De Software</v>
      </c>
      <c r="N9018" s="33">
        <f>IFERROR(__xludf.DUMMYFUNCTION("""COMPUTED_VALUE"""),1.0)</f>
        <v>1</v>
      </c>
      <c r="O9018" s="4" t="str">
        <f>IFERROR(__xludf.DUMMYFUNCTION("""COMPUTED_VALUE"""),"Saipos Serviços De Software")</f>
        <v>Saipos Serviços De Software</v>
      </c>
      <c r="P9018" s="33">
        <f>IFERROR(__xludf.DUMMYFUNCTION("""COMPUTED_VALUE"""),1.0)</f>
        <v>1</v>
      </c>
      <c r="Q9018" s="4" t="str">
        <f>IFERROR(__xludf.DUMMYFUNCTION("""COMPUTED_VALUE"""),"Saipos Serviços De Software")</f>
        <v>Saipos Serviços De Software</v>
      </c>
      <c r="R9018" s="33">
        <f>IFERROR(__xludf.DUMMYFUNCTION("""COMPUTED_VALUE"""),1.0)</f>
        <v>1</v>
      </c>
      <c r="S9018" s="4" t="str">
        <f>IFERROR(__xludf.DUMMYFUNCTION("""COMPUTED_VALUE"""),"Saipos Serviços De Software")</f>
        <v>Saipos Serviços De Software</v>
      </c>
      <c r="T9018" s="33">
        <f>IFERROR(__xludf.DUMMYFUNCTION("""COMPUTED_VALUE"""),1.0)</f>
        <v>1</v>
      </c>
      <c r="U9018" s="4" t="str">
        <f>IFERROR(__xludf.DUMMYFUNCTION("""COMPUTED_VALUE"""),"Saipos Serviços De Software")</f>
        <v>Saipos Serviços De Software</v>
      </c>
      <c r="V9018" s="33">
        <f>IFERROR(__xludf.DUMMYFUNCTION("""COMPUTED_VALUE"""),1.0)</f>
        <v>1</v>
      </c>
      <c r="W9018" s="4" t="str">
        <f>IFERROR(__xludf.DUMMYFUNCTION("""COMPUTED_VALUE"""),"Saipos Serviços De Software")</f>
        <v>Saipos Serviços De Software</v>
      </c>
      <c r="X9018" s="33">
        <f>IFERROR(__xludf.DUMMYFUNCTION("""COMPUTED_VALUE"""),1.0)</f>
        <v>1</v>
      </c>
    </row>
    <row r="9019">
      <c r="K9019" s="4" t="str">
        <f>IFERROR(__xludf.DUMMYFUNCTION("""COMPUTED_VALUE"""),"BURGER MANIA - HAMBURGUER E MARMITA")</f>
        <v>BURGER MANIA - HAMBURGUER E MARMITA</v>
      </c>
      <c r="L9019" s="32">
        <f>IFERROR(__xludf.DUMMYFUNCTION("""COMPUTED_VALUE"""),1.0)</f>
        <v>1</v>
      </c>
      <c r="M9019" s="4" t="str">
        <f>IFERROR(__xludf.DUMMYFUNCTION("""COMPUTED_VALUE"""),"Consumer Soluções Em Tecnologia Ltda")</f>
        <v>Consumer Soluções Em Tecnologia Ltda</v>
      </c>
      <c r="N9019" s="33">
        <f>IFERROR(__xludf.DUMMYFUNCTION("""COMPUTED_VALUE"""),1.0)</f>
        <v>1</v>
      </c>
      <c r="O9019" s="4" t="str">
        <f>IFERROR(__xludf.DUMMYFUNCTION("""COMPUTED_VALUE"""),"Consumer Soluções Em Tecnologia Ltda")</f>
        <v>Consumer Soluções Em Tecnologia Ltda</v>
      </c>
      <c r="P9019" s="33">
        <f>IFERROR(__xludf.DUMMYFUNCTION("""COMPUTED_VALUE"""),1.0)</f>
        <v>1</v>
      </c>
      <c r="Q9019" s="4" t="str">
        <f>IFERROR(__xludf.DUMMYFUNCTION("""COMPUTED_VALUE"""),"Consumer Soluções Em Tecnologia Ltda")</f>
        <v>Consumer Soluções Em Tecnologia Ltda</v>
      </c>
      <c r="R9019" s="33">
        <f>IFERROR(__xludf.DUMMYFUNCTION("""COMPUTED_VALUE"""),1.0)</f>
        <v>1</v>
      </c>
      <c r="S9019" s="4" t="str">
        <f>IFERROR(__xludf.DUMMYFUNCTION("""COMPUTED_VALUE"""),"Consumer Soluções Em Tecnologia Ltda")</f>
        <v>Consumer Soluções Em Tecnologia Ltda</v>
      </c>
      <c r="T9019" s="33">
        <f>IFERROR(__xludf.DUMMYFUNCTION("""COMPUTED_VALUE"""),1.0)</f>
        <v>1</v>
      </c>
      <c r="U9019" s="4" t="str">
        <f>IFERROR(__xludf.DUMMYFUNCTION("""COMPUTED_VALUE"""),"null")</f>
        <v>null</v>
      </c>
      <c r="V9019" s="33">
        <f>IFERROR(__xludf.DUMMYFUNCTION("""COMPUTED_VALUE"""),1.0)</f>
        <v>1</v>
      </c>
      <c r="W9019" s="4" t="str">
        <f>IFERROR(__xludf.DUMMYFUNCTION("""COMPUTED_VALUE"""),"Consumer Soluções Em Tecnologia Ltda")</f>
        <v>Consumer Soluções Em Tecnologia Ltda</v>
      </c>
      <c r="X9019" s="33">
        <f>IFERROR(__xludf.DUMMYFUNCTION("""COMPUTED_VALUE"""),1.0)</f>
        <v>1</v>
      </c>
    </row>
    <row r="9020">
      <c r="K9020" s="4" t="str">
        <f>IFERROR(__xludf.DUMMYFUNCTION("""COMPUTED_VALUE"""),"COLINA CHOPERIA ARARAS")</f>
        <v>COLINA CHOPERIA ARARAS</v>
      </c>
      <c r="L9020" s="32">
        <f>IFERROR(__xludf.DUMMYFUNCTION("""COMPUTED_VALUE"""),1.0)</f>
        <v>1</v>
      </c>
      <c r="M9020" s="4" t="str">
        <f>IFERROR(__xludf.DUMMYFUNCTION("""COMPUTED_VALUE"""),"Insert Code Informatica Ltda")</f>
        <v>Insert Code Informatica Ltda</v>
      </c>
      <c r="N9020" s="33">
        <f>IFERROR(__xludf.DUMMYFUNCTION("""COMPUTED_VALUE"""),1.0)</f>
        <v>1</v>
      </c>
      <c r="O9020" s="4" t="str">
        <f>IFERROR(__xludf.DUMMYFUNCTION("""COMPUTED_VALUE"""),"null")</f>
        <v>null</v>
      </c>
      <c r="P9020" s="33">
        <f>IFERROR(__xludf.DUMMYFUNCTION("""COMPUTED_VALUE"""),1.0)</f>
        <v>1</v>
      </c>
      <c r="Q9020" s="4" t="str">
        <f>IFERROR(__xludf.DUMMYFUNCTION("""COMPUTED_VALUE"""),"null")</f>
        <v>null</v>
      </c>
      <c r="R9020" s="33">
        <f>IFERROR(__xludf.DUMMYFUNCTION("""COMPUTED_VALUE"""),1.0)</f>
        <v>1</v>
      </c>
      <c r="S9020" s="4" t="str">
        <f>IFERROR(__xludf.DUMMYFUNCTION("""COMPUTED_VALUE"""),"Insert Code Informatica Ltda")</f>
        <v>Insert Code Informatica Ltda</v>
      </c>
      <c r="T9020" s="33">
        <f>IFERROR(__xludf.DUMMYFUNCTION("""COMPUTED_VALUE"""),1.0)</f>
        <v>1</v>
      </c>
      <c r="U9020" s="4" t="str">
        <f>IFERROR(__xludf.DUMMYFUNCTION("""COMPUTED_VALUE"""),"null")</f>
        <v>null</v>
      </c>
      <c r="V9020" s="33">
        <f>IFERROR(__xludf.DUMMYFUNCTION("""COMPUTED_VALUE"""),1.0)</f>
        <v>1</v>
      </c>
      <c r="W9020" s="4" t="str">
        <f>IFERROR(__xludf.DUMMYFUNCTION("""COMPUTED_VALUE"""),"Insert Code Informatica Ltda")</f>
        <v>Insert Code Informatica Ltda</v>
      </c>
      <c r="X9020" s="33">
        <f>IFERROR(__xludf.DUMMYFUNCTION("""COMPUTED_VALUE"""),1.0)</f>
        <v>1</v>
      </c>
    </row>
    <row r="9021">
      <c r="K9021" s="4" t="str">
        <f>IFERROR(__xludf.DUMMYFUNCTION("""COMPUTED_VALUE"""),"BISCOITOS BRIEJER - QUARTIER ALDEOTA")</f>
        <v>BISCOITOS BRIEJER - QUARTIER ALDEOTA</v>
      </c>
      <c r="L9021" s="32">
        <f>IFERROR(__xludf.DUMMYFUNCTION("""COMPUTED_VALUE"""),1.0)</f>
        <v>1</v>
      </c>
      <c r="M9021" s="4" t="str">
        <f>IFERROR(__xludf.DUMMYFUNCTION("""COMPUTED_VALUE"""),"Izzy Way Tecnologia")</f>
        <v>Izzy Way Tecnologia</v>
      </c>
      <c r="N9021" s="33">
        <f>IFERROR(__xludf.DUMMYFUNCTION("""COMPUTED_VALUE"""),1.0)</f>
        <v>1</v>
      </c>
      <c r="O9021" s="4" t="str">
        <f>IFERROR(__xludf.DUMMYFUNCTION("""COMPUTED_VALUE"""),"Izzy Way Tecnologia")</f>
        <v>Izzy Way Tecnologia</v>
      </c>
      <c r="P9021" s="33">
        <f>IFERROR(__xludf.DUMMYFUNCTION("""COMPUTED_VALUE"""),1.0)</f>
        <v>1</v>
      </c>
      <c r="Q9021" s="4" t="str">
        <f>IFERROR(__xludf.DUMMYFUNCTION("""COMPUTED_VALUE"""),"Izzy Way Tecnologia")</f>
        <v>Izzy Way Tecnologia</v>
      </c>
      <c r="R9021" s="33">
        <f>IFERROR(__xludf.DUMMYFUNCTION("""COMPUTED_VALUE"""),1.0)</f>
        <v>1</v>
      </c>
      <c r="S9021" s="4" t="str">
        <f>IFERROR(__xludf.DUMMYFUNCTION("""COMPUTED_VALUE"""),"Izzy Way Tecnologia")</f>
        <v>Izzy Way Tecnologia</v>
      </c>
      <c r="T9021" s="33">
        <f>IFERROR(__xludf.DUMMYFUNCTION("""COMPUTED_VALUE"""),1.0)</f>
        <v>1</v>
      </c>
      <c r="U9021" s="4" t="str">
        <f>IFERROR(__xludf.DUMMYFUNCTION("""COMPUTED_VALUE"""),"Izzy Way Tecnologia")</f>
        <v>Izzy Way Tecnologia</v>
      </c>
      <c r="V9021" s="33">
        <f>IFERROR(__xludf.DUMMYFUNCTION("""COMPUTED_VALUE"""),1.0)</f>
        <v>1</v>
      </c>
      <c r="W9021" s="4" t="str">
        <f>IFERROR(__xludf.DUMMYFUNCTION("""COMPUTED_VALUE"""),"Izzy Way Tecnologia")</f>
        <v>Izzy Way Tecnologia</v>
      </c>
      <c r="X9021" s="33">
        <f>IFERROR(__xludf.DUMMYFUNCTION("""COMPUTED_VALUE"""),1.0)</f>
        <v>1</v>
      </c>
    </row>
    <row r="9022">
      <c r="K9022" s="4" t="str">
        <f>IFERROR(__xludf.DUMMYFUNCTION("""COMPUTED_VALUE"""),"MR POLLO")</f>
        <v>MR POLLO</v>
      </c>
      <c r="L9022" s="32">
        <f>IFERROR(__xludf.DUMMYFUNCTION("""COMPUTED_VALUE"""),1.0)</f>
        <v>1</v>
      </c>
      <c r="M9022" s="4" t="str">
        <f>IFERROR(__xludf.DUMMYFUNCTION("""COMPUTED_VALUE"""),"null")</f>
        <v>null</v>
      </c>
      <c r="N9022" s="33">
        <f>IFERROR(__xludf.DUMMYFUNCTION("""COMPUTED_VALUE"""),1.0)</f>
        <v>1</v>
      </c>
      <c r="O9022" s="4" t="str">
        <f>IFERROR(__xludf.DUMMYFUNCTION("""COMPUTED_VALUE"""),"Consumer Soluções Em Tecnologia Ltda")</f>
        <v>Consumer Soluções Em Tecnologia Ltda</v>
      </c>
      <c r="P9022" s="33">
        <f>IFERROR(__xludf.DUMMYFUNCTION("""COMPUTED_VALUE"""),1.0)</f>
        <v>1</v>
      </c>
      <c r="Q9022" s="4" t="str">
        <f>IFERROR(__xludf.DUMMYFUNCTION("""COMPUTED_VALUE"""),"null")</f>
        <v>null</v>
      </c>
      <c r="R9022" s="33">
        <f>IFERROR(__xludf.DUMMYFUNCTION("""COMPUTED_VALUE"""),1.0)</f>
        <v>1</v>
      </c>
      <c r="S9022" s="4" t="str">
        <f>IFERROR(__xludf.DUMMYFUNCTION("""COMPUTED_VALUE"""),"null")</f>
        <v>null</v>
      </c>
      <c r="T9022" s="33">
        <f>IFERROR(__xludf.DUMMYFUNCTION("""COMPUTED_VALUE"""),1.0)</f>
        <v>1</v>
      </c>
      <c r="U9022" s="4" t="str">
        <f>IFERROR(__xludf.DUMMYFUNCTION("""COMPUTED_VALUE"""),"null")</f>
        <v>null</v>
      </c>
      <c r="V9022" s="33">
        <f>IFERROR(__xludf.DUMMYFUNCTION("""COMPUTED_VALUE"""),1.0)</f>
        <v>1</v>
      </c>
      <c r="W9022" s="4" t="str">
        <f>IFERROR(__xludf.DUMMYFUNCTION("""COMPUTED_VALUE"""),"Consumer Soluções Em Tecnologia Ltda")</f>
        <v>Consumer Soluções Em Tecnologia Ltda</v>
      </c>
      <c r="X9022" s="33">
        <f>IFERROR(__xludf.DUMMYFUNCTION("""COMPUTED_VALUE"""),1.0)</f>
        <v>1</v>
      </c>
    </row>
    <row r="9023">
      <c r="K9023" s="4" t="str">
        <f>IFERROR(__xludf.DUMMYFUNCTION("""COMPUTED_VALUE"""),"DORO SUSHI")</f>
        <v>DORO SUSHI</v>
      </c>
      <c r="L9023" s="32">
        <f>IFERROR(__xludf.DUMMYFUNCTION("""COMPUTED_VALUE"""),1.0)</f>
        <v>1</v>
      </c>
      <c r="M9023" s="4" t="str">
        <f>IFERROR(__xludf.DUMMYFUNCTION("""COMPUTED_VALUE"""),"Suitable Tecnologia E Gestao")</f>
        <v>Suitable Tecnologia E Gestao</v>
      </c>
      <c r="N9023" s="33">
        <f>IFERROR(__xludf.DUMMYFUNCTION("""COMPUTED_VALUE"""),1.0)</f>
        <v>1</v>
      </c>
      <c r="O9023" s="4" t="str">
        <f>IFERROR(__xludf.DUMMYFUNCTION("""COMPUTED_VALUE"""),"Suitable Tecnologia E Gestao")</f>
        <v>Suitable Tecnologia E Gestao</v>
      </c>
      <c r="P9023" s="33">
        <f>IFERROR(__xludf.DUMMYFUNCTION("""COMPUTED_VALUE"""),1.0)</f>
        <v>1</v>
      </c>
      <c r="Q9023" s="4" t="str">
        <f>IFERROR(__xludf.DUMMYFUNCTION("""COMPUTED_VALUE"""),"Suitable Tecnologia E Gestao")</f>
        <v>Suitable Tecnologia E Gestao</v>
      </c>
      <c r="R9023" s="33">
        <f>IFERROR(__xludf.DUMMYFUNCTION("""COMPUTED_VALUE"""),1.0)</f>
        <v>1</v>
      </c>
      <c r="S9023" s="4" t="str">
        <f>IFERROR(__xludf.DUMMYFUNCTION("""COMPUTED_VALUE"""),"Suitable Tecnologia E Gestao")</f>
        <v>Suitable Tecnologia E Gestao</v>
      </c>
      <c r="T9023" s="33">
        <f>IFERROR(__xludf.DUMMYFUNCTION("""COMPUTED_VALUE"""),1.0)</f>
        <v>1</v>
      </c>
      <c r="U9023" s="4" t="str">
        <f>IFERROR(__xludf.DUMMYFUNCTION("""COMPUTED_VALUE"""),"Suitable Tecnologia E Gestao")</f>
        <v>Suitable Tecnologia E Gestao</v>
      </c>
      <c r="V9023" s="33">
        <f>IFERROR(__xludf.DUMMYFUNCTION("""COMPUTED_VALUE"""),1.0)</f>
        <v>1</v>
      </c>
      <c r="W9023" s="4" t="str">
        <f>IFERROR(__xludf.DUMMYFUNCTION("""COMPUTED_VALUE"""),"Suitable Tecnologia E Gestao")</f>
        <v>Suitable Tecnologia E Gestao</v>
      </c>
      <c r="X9023" s="33">
        <f>IFERROR(__xludf.DUMMYFUNCTION("""COMPUTED_VALUE"""),1.0)</f>
        <v>1</v>
      </c>
    </row>
    <row r="9024">
      <c r="K9024" s="4" t="str">
        <f>IFERROR(__xludf.DUMMYFUNCTION("""COMPUTED_VALUE"""),"BLAS COZINHA CRIATIVA - CARNES E MASSAS")</f>
        <v>BLAS COZINHA CRIATIVA - CARNES E MASSAS</v>
      </c>
      <c r="L9024" s="32">
        <f>IFERROR(__xludf.DUMMYFUNCTION("""COMPUTED_VALUE"""),1.0)</f>
        <v>1</v>
      </c>
      <c r="M9024" s="4" t="str">
        <f>IFERROR(__xludf.DUMMYFUNCTION("""COMPUTED_VALUE"""),"Fudo Soluciones Sas")</f>
        <v>Fudo Soluciones Sas</v>
      </c>
      <c r="N9024" s="33">
        <f>IFERROR(__xludf.DUMMYFUNCTION("""COMPUTED_VALUE"""),1.0)</f>
        <v>1</v>
      </c>
      <c r="O9024" s="4" t="str">
        <f>IFERROR(__xludf.DUMMYFUNCTION("""COMPUTED_VALUE"""),"Fudo Soluciones Sas")</f>
        <v>Fudo Soluciones Sas</v>
      </c>
      <c r="P9024" s="33">
        <f>IFERROR(__xludf.DUMMYFUNCTION("""COMPUTED_VALUE"""),1.0)</f>
        <v>1</v>
      </c>
      <c r="Q9024" s="4" t="str">
        <f>IFERROR(__xludf.DUMMYFUNCTION("""COMPUTED_VALUE"""),"Fudo Soluciones Sas")</f>
        <v>Fudo Soluciones Sas</v>
      </c>
      <c r="R9024" s="33">
        <f>IFERROR(__xludf.DUMMYFUNCTION("""COMPUTED_VALUE"""),1.0)</f>
        <v>1</v>
      </c>
      <c r="S9024" s="4" t="str">
        <f>IFERROR(__xludf.DUMMYFUNCTION("""COMPUTED_VALUE"""),"Fudo Soluciones Sas")</f>
        <v>Fudo Soluciones Sas</v>
      </c>
      <c r="T9024" s="33">
        <f>IFERROR(__xludf.DUMMYFUNCTION("""COMPUTED_VALUE"""),1.0)</f>
        <v>1</v>
      </c>
      <c r="U9024" s="4" t="str">
        <f>IFERROR(__xludf.DUMMYFUNCTION("""COMPUTED_VALUE"""),"Fudo Soluciones Sas")</f>
        <v>Fudo Soluciones Sas</v>
      </c>
      <c r="V9024" s="33">
        <f>IFERROR(__xludf.DUMMYFUNCTION("""COMPUTED_VALUE"""),1.0)</f>
        <v>1</v>
      </c>
      <c r="W9024" s="4" t="str">
        <f>IFERROR(__xludf.DUMMYFUNCTION("""COMPUTED_VALUE"""),"Fudo Soluciones Sas")</f>
        <v>Fudo Soluciones Sas</v>
      </c>
      <c r="X9024" s="33">
        <f>IFERROR(__xludf.DUMMYFUNCTION("""COMPUTED_VALUE"""),1.0)</f>
        <v>1</v>
      </c>
    </row>
    <row r="9025">
      <c r="K9025" s="4" t="str">
        <f>IFERROR(__xludf.DUMMYFUNCTION("""COMPUTED_VALUE"""),"VIRADO NUM ALHO - PAO DE ALHO RECHEADO")</f>
        <v>VIRADO NUM ALHO - PAO DE ALHO RECHEADO</v>
      </c>
      <c r="L9025" s="32">
        <f>IFERROR(__xludf.DUMMYFUNCTION("""COMPUTED_VALUE"""),1.0)</f>
        <v>1</v>
      </c>
      <c r="M9025" s="4" t="str">
        <f>IFERROR(__xludf.DUMMYFUNCTION("""COMPUTED_VALUE"""),"Saipos Serviços De Software")</f>
        <v>Saipos Serviços De Software</v>
      </c>
      <c r="N9025" s="33">
        <f>IFERROR(__xludf.DUMMYFUNCTION("""COMPUTED_VALUE"""),1.0)</f>
        <v>1</v>
      </c>
      <c r="O9025" s="4" t="str">
        <f>IFERROR(__xludf.DUMMYFUNCTION("""COMPUTED_VALUE"""),"Saipos Serviços De Software")</f>
        <v>Saipos Serviços De Software</v>
      </c>
      <c r="P9025" s="33">
        <f>IFERROR(__xludf.DUMMYFUNCTION("""COMPUTED_VALUE"""),1.0)</f>
        <v>1</v>
      </c>
      <c r="Q9025" s="4" t="str">
        <f>IFERROR(__xludf.DUMMYFUNCTION("""COMPUTED_VALUE"""),"Saipos Serviços De Software")</f>
        <v>Saipos Serviços De Software</v>
      </c>
      <c r="R9025" s="33">
        <f>IFERROR(__xludf.DUMMYFUNCTION("""COMPUTED_VALUE"""),1.0)</f>
        <v>1</v>
      </c>
      <c r="S9025" s="4" t="str">
        <f>IFERROR(__xludf.DUMMYFUNCTION("""COMPUTED_VALUE"""),"Saipos Serviços De Software")</f>
        <v>Saipos Serviços De Software</v>
      </c>
      <c r="T9025" s="33">
        <f>IFERROR(__xludf.DUMMYFUNCTION("""COMPUTED_VALUE"""),1.0)</f>
        <v>1</v>
      </c>
      <c r="U9025" s="4" t="str">
        <f>IFERROR(__xludf.DUMMYFUNCTION("""COMPUTED_VALUE"""),"Saipos Serviços De Software")</f>
        <v>Saipos Serviços De Software</v>
      </c>
      <c r="V9025" s="33">
        <f>IFERROR(__xludf.DUMMYFUNCTION("""COMPUTED_VALUE"""),1.0)</f>
        <v>1</v>
      </c>
      <c r="W9025" s="4" t="str">
        <f>IFERROR(__xludf.DUMMYFUNCTION("""COMPUTED_VALUE"""),"Saipos Serviços De Software")</f>
        <v>Saipos Serviços De Software</v>
      </c>
      <c r="X9025" s="33">
        <f>IFERROR(__xludf.DUMMYFUNCTION("""COMPUTED_VALUE"""),1.0)</f>
        <v>1</v>
      </c>
    </row>
    <row r="9026">
      <c r="K9026" s="4" t="str">
        <f>IFERROR(__xludf.DUMMYFUNCTION("""COMPUTED_VALUE"""),"PAMONHARIA INDUSTRIA DO MILHO")</f>
        <v>PAMONHARIA INDUSTRIA DO MILHO</v>
      </c>
      <c r="L9026" s="32">
        <f>IFERROR(__xludf.DUMMYFUNCTION("""COMPUTED_VALUE"""),1.0)</f>
        <v>1</v>
      </c>
      <c r="M9026" s="4" t="str">
        <f>IFERROR(__xludf.DUMMYFUNCTION("""COMPUTED_VALUE"""),"Consumer Soluções Em Tecnologia Ltda")</f>
        <v>Consumer Soluções Em Tecnologia Ltda</v>
      </c>
      <c r="N9026" s="33">
        <f>IFERROR(__xludf.DUMMYFUNCTION("""COMPUTED_VALUE"""),1.0)</f>
        <v>1</v>
      </c>
      <c r="O9026" s="4" t="str">
        <f>IFERROR(__xludf.DUMMYFUNCTION("""COMPUTED_VALUE"""),"Consumer Soluções Em Tecnologia Ltda")</f>
        <v>Consumer Soluções Em Tecnologia Ltda</v>
      </c>
      <c r="P9026" s="33">
        <f>IFERROR(__xludf.DUMMYFUNCTION("""COMPUTED_VALUE"""),1.0)</f>
        <v>1</v>
      </c>
      <c r="Q9026" s="4" t="str">
        <f>IFERROR(__xludf.DUMMYFUNCTION("""COMPUTED_VALUE"""),"Consumer Soluções Em Tecnologia Ltda")</f>
        <v>Consumer Soluções Em Tecnologia Ltda</v>
      </c>
      <c r="R9026" s="33">
        <f>IFERROR(__xludf.DUMMYFUNCTION("""COMPUTED_VALUE"""),1.0)</f>
        <v>1</v>
      </c>
      <c r="S9026" s="4" t="str">
        <f>IFERROR(__xludf.DUMMYFUNCTION("""COMPUTED_VALUE"""),"Consumer Soluções Em Tecnologia Ltda")</f>
        <v>Consumer Soluções Em Tecnologia Ltda</v>
      </c>
      <c r="T9026" s="33">
        <f>IFERROR(__xludf.DUMMYFUNCTION("""COMPUTED_VALUE"""),1.0)</f>
        <v>1</v>
      </c>
      <c r="U9026" s="4" t="str">
        <f>IFERROR(__xludf.DUMMYFUNCTION("""COMPUTED_VALUE"""),"Consumer Soluções Em Tecnologia Ltda")</f>
        <v>Consumer Soluções Em Tecnologia Ltda</v>
      </c>
      <c r="V9026" s="33">
        <f>IFERROR(__xludf.DUMMYFUNCTION("""COMPUTED_VALUE"""),1.0)</f>
        <v>1</v>
      </c>
      <c r="W9026" s="4" t="str">
        <f>IFERROR(__xludf.DUMMYFUNCTION("""COMPUTED_VALUE"""),"Consumer Soluções Em Tecnologia Ltda")</f>
        <v>Consumer Soluções Em Tecnologia Ltda</v>
      </c>
      <c r="X9026" s="33">
        <f>IFERROR(__xludf.DUMMYFUNCTION("""COMPUTED_VALUE"""),1.0)</f>
        <v>1</v>
      </c>
    </row>
    <row r="9027">
      <c r="K9027" s="4" t="str">
        <f>IFERROR(__xludf.DUMMYFUNCTION("""COMPUTED_VALUE"""),"JULYAS BATATAS")</f>
        <v>JULYAS BATATAS</v>
      </c>
      <c r="L9027" s="32">
        <f>IFERROR(__xludf.DUMMYFUNCTION("""COMPUTED_VALUE"""),1.0)</f>
        <v>1</v>
      </c>
      <c r="M9027" s="4" t="str">
        <f>IFERROR(__xludf.DUMMYFUNCTION("""COMPUTED_VALUE"""),"null")</f>
        <v>null</v>
      </c>
      <c r="N9027" s="33">
        <f>IFERROR(__xludf.DUMMYFUNCTION("""COMPUTED_VALUE"""),1.0)</f>
        <v>1</v>
      </c>
      <c r="O9027" s="4" t="str">
        <f>IFERROR(__xludf.DUMMYFUNCTION("""COMPUTED_VALUE"""),"Consumer Soluções Em Tecnologia Ltda")</f>
        <v>Consumer Soluções Em Tecnologia Ltda</v>
      </c>
      <c r="P9027" s="33">
        <f>IFERROR(__xludf.DUMMYFUNCTION("""COMPUTED_VALUE"""),1.0)</f>
        <v>1</v>
      </c>
      <c r="Q9027" s="4" t="str">
        <f>IFERROR(__xludf.DUMMYFUNCTION("""COMPUTED_VALUE"""),"null")</f>
        <v>null</v>
      </c>
      <c r="R9027" s="33">
        <f>IFERROR(__xludf.DUMMYFUNCTION("""COMPUTED_VALUE"""),1.0)</f>
        <v>1</v>
      </c>
      <c r="S9027" s="4" t="str">
        <f>IFERROR(__xludf.DUMMYFUNCTION("""COMPUTED_VALUE"""),"null")</f>
        <v>null</v>
      </c>
      <c r="T9027" s="33">
        <f>IFERROR(__xludf.DUMMYFUNCTION("""COMPUTED_VALUE"""),1.0)</f>
        <v>1</v>
      </c>
      <c r="U9027" s="4" t="str">
        <f>IFERROR(__xludf.DUMMYFUNCTION("""COMPUTED_VALUE"""),"null")</f>
        <v>null</v>
      </c>
      <c r="V9027" s="33">
        <f>IFERROR(__xludf.DUMMYFUNCTION("""COMPUTED_VALUE"""),1.0)</f>
        <v>1</v>
      </c>
      <c r="W9027" s="4" t="str">
        <f>IFERROR(__xludf.DUMMYFUNCTION("""COMPUTED_VALUE"""),"null")</f>
        <v>null</v>
      </c>
      <c r="X9027" s="33">
        <f>IFERROR(__xludf.DUMMYFUNCTION("""COMPUTED_VALUE"""),1.0)</f>
        <v>1</v>
      </c>
    </row>
    <row r="9028">
      <c r="K9028" s="4" t="str">
        <f>IFERROR(__xludf.DUMMYFUNCTION("""COMPUTED_VALUE"""),"BODEGAIA RESTAURANTE")</f>
        <v>BODEGAIA RESTAURANTE</v>
      </c>
      <c r="L9028" s="32">
        <f>IFERROR(__xludf.DUMMYFUNCTION("""COMPUTED_VALUE"""),1.0)</f>
        <v>1</v>
      </c>
      <c r="M9028" s="4" t="str">
        <f>IFERROR(__xludf.DUMMYFUNCTION("""COMPUTED_VALUE"""),"Netcontroll Xmenu")</f>
        <v>Netcontroll Xmenu</v>
      </c>
      <c r="N9028" s="33">
        <f>IFERROR(__xludf.DUMMYFUNCTION("""COMPUTED_VALUE"""),1.0)</f>
        <v>1</v>
      </c>
      <c r="O9028" s="4" t="str">
        <f>IFERROR(__xludf.DUMMYFUNCTION("""COMPUTED_VALUE"""),"Netcontroll Xmenu")</f>
        <v>Netcontroll Xmenu</v>
      </c>
      <c r="P9028" s="33">
        <f>IFERROR(__xludf.DUMMYFUNCTION("""COMPUTED_VALUE"""),1.0)</f>
        <v>1</v>
      </c>
      <c r="Q9028" s="4" t="str">
        <f>IFERROR(__xludf.DUMMYFUNCTION("""COMPUTED_VALUE"""),"Netcontroll Xmenu")</f>
        <v>Netcontroll Xmenu</v>
      </c>
      <c r="R9028" s="33">
        <f>IFERROR(__xludf.DUMMYFUNCTION("""COMPUTED_VALUE"""),1.0)</f>
        <v>1</v>
      </c>
      <c r="S9028" s="4" t="str">
        <f>IFERROR(__xludf.DUMMYFUNCTION("""COMPUTED_VALUE"""),"Netcontroll Xmenu")</f>
        <v>Netcontroll Xmenu</v>
      </c>
      <c r="T9028" s="33">
        <f>IFERROR(__xludf.DUMMYFUNCTION("""COMPUTED_VALUE"""),1.0)</f>
        <v>1</v>
      </c>
      <c r="U9028" s="4" t="str">
        <f>IFERROR(__xludf.DUMMYFUNCTION("""COMPUTED_VALUE"""),"Netcontroll Xmenu")</f>
        <v>Netcontroll Xmenu</v>
      </c>
      <c r="V9028" s="33">
        <f>IFERROR(__xludf.DUMMYFUNCTION("""COMPUTED_VALUE"""),1.0)</f>
        <v>1</v>
      </c>
      <c r="W9028" s="4" t="str">
        <f>IFERROR(__xludf.DUMMYFUNCTION("""COMPUTED_VALUE"""),"Netcontroll Xmenu")</f>
        <v>Netcontroll Xmenu</v>
      </c>
      <c r="X9028" s="33">
        <f>IFERROR(__xludf.DUMMYFUNCTION("""COMPUTED_VALUE"""),1.0)</f>
        <v>1</v>
      </c>
    </row>
    <row r="9029">
      <c r="K9029" s="4" t="str">
        <f>IFERROR(__xludf.DUMMYFUNCTION("""COMPUTED_VALUE"""),"BAZINGA - ESFIHAS E PIZZAS")</f>
        <v>BAZINGA - ESFIHAS E PIZZAS</v>
      </c>
      <c r="L9029" s="32">
        <f>IFERROR(__xludf.DUMMYFUNCTION("""COMPUTED_VALUE"""),1.0)</f>
        <v>1</v>
      </c>
      <c r="M9029" s="4" t="str">
        <f>IFERROR(__xludf.DUMMYFUNCTION("""COMPUTED_VALUE"""),"Cardápio Web")</f>
        <v>Cardápio Web</v>
      </c>
      <c r="N9029" s="33">
        <f>IFERROR(__xludf.DUMMYFUNCTION("""COMPUTED_VALUE"""),1.0)</f>
        <v>1</v>
      </c>
      <c r="O9029" s="4" t="str">
        <f>IFERROR(__xludf.DUMMYFUNCTION("""COMPUTED_VALUE"""),"Cardápio Web")</f>
        <v>Cardápio Web</v>
      </c>
      <c r="P9029" s="33">
        <f>IFERROR(__xludf.DUMMYFUNCTION("""COMPUTED_VALUE"""),1.0)</f>
        <v>1</v>
      </c>
      <c r="Q9029" s="4" t="str">
        <f>IFERROR(__xludf.DUMMYFUNCTION("""COMPUTED_VALUE"""),"Cardápio Web")</f>
        <v>Cardápio Web</v>
      </c>
      <c r="R9029" s="33">
        <f>IFERROR(__xludf.DUMMYFUNCTION("""COMPUTED_VALUE"""),1.0)</f>
        <v>1</v>
      </c>
      <c r="S9029" s="4" t="str">
        <f>IFERROR(__xludf.DUMMYFUNCTION("""COMPUTED_VALUE"""),"Cardápio Web")</f>
        <v>Cardápio Web</v>
      </c>
      <c r="T9029" s="33">
        <f>IFERROR(__xludf.DUMMYFUNCTION("""COMPUTED_VALUE"""),1.0)</f>
        <v>1</v>
      </c>
      <c r="U9029" s="4" t="str">
        <f>IFERROR(__xludf.DUMMYFUNCTION("""COMPUTED_VALUE"""),"Cardápio Web")</f>
        <v>Cardápio Web</v>
      </c>
      <c r="V9029" s="33">
        <f>IFERROR(__xludf.DUMMYFUNCTION("""COMPUTED_VALUE"""),1.0)</f>
        <v>1</v>
      </c>
      <c r="W9029" s="4" t="str">
        <f>IFERROR(__xludf.DUMMYFUNCTION("""COMPUTED_VALUE"""),"Cardápio Web")</f>
        <v>Cardápio Web</v>
      </c>
      <c r="X9029" s="33">
        <f>IFERROR(__xludf.DUMMYFUNCTION("""COMPUTED_VALUE"""),1.0)</f>
        <v>1</v>
      </c>
    </row>
    <row r="9030">
      <c r="K9030" s="4" t="str">
        <f>IFERROR(__xludf.DUMMYFUNCTION("""COMPUTED_VALUE"""),"PIZZA FAMILIA PIZZA GRANDE DO PARTENON")</f>
        <v>PIZZA FAMILIA PIZZA GRANDE DO PARTENON</v>
      </c>
      <c r="L9030" s="32">
        <f>IFERROR(__xludf.DUMMYFUNCTION("""COMPUTED_VALUE"""),1.0)</f>
        <v>1</v>
      </c>
      <c r="M9030" s="4" t="str">
        <f>IFERROR(__xludf.DUMMYFUNCTION("""COMPUTED_VALUE"""),"Cityfoods Ltda")</f>
        <v>Cityfoods Ltda</v>
      </c>
      <c r="N9030" s="33">
        <f>IFERROR(__xludf.DUMMYFUNCTION("""COMPUTED_VALUE"""),1.0)</f>
        <v>1</v>
      </c>
      <c r="O9030" s="4" t="str">
        <f>IFERROR(__xludf.DUMMYFUNCTION("""COMPUTED_VALUE"""),"Cityfoods Ltda")</f>
        <v>Cityfoods Ltda</v>
      </c>
      <c r="P9030" s="33">
        <f>IFERROR(__xludf.DUMMYFUNCTION("""COMPUTED_VALUE"""),1.0)</f>
        <v>1</v>
      </c>
      <c r="Q9030" s="4" t="str">
        <f>IFERROR(__xludf.DUMMYFUNCTION("""COMPUTED_VALUE"""),"Cityfoods Ltda")</f>
        <v>Cityfoods Ltda</v>
      </c>
      <c r="R9030" s="33">
        <f>IFERROR(__xludf.DUMMYFUNCTION("""COMPUTED_VALUE"""),1.0)</f>
        <v>1</v>
      </c>
      <c r="S9030" s="4" t="str">
        <f>IFERROR(__xludf.DUMMYFUNCTION("""COMPUTED_VALUE"""),"Cityfoods Ltda")</f>
        <v>Cityfoods Ltda</v>
      </c>
      <c r="T9030" s="33">
        <f>IFERROR(__xludf.DUMMYFUNCTION("""COMPUTED_VALUE"""),1.0)</f>
        <v>1</v>
      </c>
      <c r="U9030" s="4" t="str">
        <f>IFERROR(__xludf.DUMMYFUNCTION("""COMPUTED_VALUE"""),"Cityfoods Ltda")</f>
        <v>Cityfoods Ltda</v>
      </c>
      <c r="V9030" s="33">
        <f>IFERROR(__xludf.DUMMYFUNCTION("""COMPUTED_VALUE"""),1.0)</f>
        <v>1</v>
      </c>
      <c r="W9030" s="4" t="str">
        <f>IFERROR(__xludf.DUMMYFUNCTION("""COMPUTED_VALUE"""),"Cityfoods Ltda")</f>
        <v>Cityfoods Ltda</v>
      </c>
      <c r="X9030" s="33">
        <f>IFERROR(__xludf.DUMMYFUNCTION("""COMPUTED_VALUE"""),1.0)</f>
        <v>1</v>
      </c>
    </row>
    <row r="9031">
      <c r="K9031" s="4" t="str">
        <f>IFERROR(__xludf.DUMMYFUNCTION("""COMPUTED_VALUE"""),"DGUSTA MIX LANCHES PORCOES")</f>
        <v>DGUSTA MIX LANCHES PORCOES</v>
      </c>
      <c r="L9031" s="32">
        <f>IFERROR(__xludf.DUMMYFUNCTION("""COMPUTED_VALUE"""),1.0)</f>
        <v>1</v>
      </c>
      <c r="M9031" s="4" t="str">
        <f>IFERROR(__xludf.DUMMYFUNCTION("""COMPUTED_VALUE"""),"Anota Ai Solucoes Digitais S/a")</f>
        <v>Anota Ai Solucoes Digitais S/a</v>
      </c>
      <c r="N9031" s="33">
        <f>IFERROR(__xludf.DUMMYFUNCTION("""COMPUTED_VALUE"""),1.0)</f>
        <v>1</v>
      </c>
      <c r="O9031" s="4" t="str">
        <f>IFERROR(__xludf.DUMMYFUNCTION("""COMPUTED_VALUE"""),"Anota Ai Solucoes Digitais S/a")</f>
        <v>Anota Ai Solucoes Digitais S/a</v>
      </c>
      <c r="P9031" s="33">
        <f>IFERROR(__xludf.DUMMYFUNCTION("""COMPUTED_VALUE"""),1.0)</f>
        <v>1</v>
      </c>
      <c r="Q9031" s="4" t="str">
        <f>IFERROR(__xludf.DUMMYFUNCTION("""COMPUTED_VALUE"""),"Anota Ai Solucoes Digitais S/a")</f>
        <v>Anota Ai Solucoes Digitais S/a</v>
      </c>
      <c r="R9031" s="33">
        <f>IFERROR(__xludf.DUMMYFUNCTION("""COMPUTED_VALUE"""),1.0)</f>
        <v>1</v>
      </c>
      <c r="S9031" s="4" t="str">
        <f>IFERROR(__xludf.DUMMYFUNCTION("""COMPUTED_VALUE"""),"Anota Ai Solucoes Digitais S/a")</f>
        <v>Anota Ai Solucoes Digitais S/a</v>
      </c>
      <c r="T9031" s="33">
        <f>IFERROR(__xludf.DUMMYFUNCTION("""COMPUTED_VALUE"""),1.0)</f>
        <v>1</v>
      </c>
      <c r="U9031" s="4" t="str">
        <f>IFERROR(__xludf.DUMMYFUNCTION("""COMPUTED_VALUE"""),"Anota Ai Solucoes Digitais S/a")</f>
        <v>Anota Ai Solucoes Digitais S/a</v>
      </c>
      <c r="V9031" s="33">
        <f>IFERROR(__xludf.DUMMYFUNCTION("""COMPUTED_VALUE"""),1.0)</f>
        <v>1</v>
      </c>
      <c r="W9031" s="4" t="str">
        <f>IFERROR(__xludf.DUMMYFUNCTION("""COMPUTED_VALUE"""),"Anota Ai Solucoes Digitais S/a")</f>
        <v>Anota Ai Solucoes Digitais S/a</v>
      </c>
      <c r="X9031" s="33">
        <f>IFERROR(__xludf.DUMMYFUNCTION("""COMPUTED_VALUE"""),1.0)</f>
        <v>1</v>
      </c>
    </row>
    <row r="9032">
      <c r="K9032" s="4" t="str">
        <f>IFERROR(__xludf.DUMMYFUNCTION("""COMPUTED_VALUE"""),"SMASHER BURGER - SMASH FRITAS")</f>
        <v>SMASHER BURGER - SMASH FRITAS</v>
      </c>
      <c r="L9032" s="32">
        <f>IFERROR(__xludf.DUMMYFUNCTION("""COMPUTED_VALUE"""),1.0)</f>
        <v>1</v>
      </c>
      <c r="M9032" s="4" t="str">
        <f>IFERROR(__xludf.DUMMYFUNCTION("""COMPUTED_VALUE"""),"Alloy Tecnologia")</f>
        <v>Alloy Tecnologia</v>
      </c>
      <c r="N9032" s="33">
        <f>IFERROR(__xludf.DUMMYFUNCTION("""COMPUTED_VALUE"""),1.0)</f>
        <v>1</v>
      </c>
      <c r="O9032" s="4" t="str">
        <f>IFERROR(__xludf.DUMMYFUNCTION("""COMPUTED_VALUE"""),"null")</f>
        <v>null</v>
      </c>
      <c r="P9032" s="33">
        <f>IFERROR(__xludf.DUMMYFUNCTION("""COMPUTED_VALUE"""),1.0)</f>
        <v>1</v>
      </c>
      <c r="Q9032" s="4" t="str">
        <f>IFERROR(__xludf.DUMMYFUNCTION("""COMPUTED_VALUE"""),"Alloy Tecnologia")</f>
        <v>Alloy Tecnologia</v>
      </c>
      <c r="R9032" s="33">
        <f>IFERROR(__xludf.DUMMYFUNCTION("""COMPUTED_VALUE"""),1.0)</f>
        <v>1</v>
      </c>
      <c r="S9032" s="4" t="str">
        <f>IFERROR(__xludf.DUMMYFUNCTION("""COMPUTED_VALUE"""),"null")</f>
        <v>null</v>
      </c>
      <c r="T9032" s="33">
        <f>IFERROR(__xludf.DUMMYFUNCTION("""COMPUTED_VALUE"""),1.0)</f>
        <v>1</v>
      </c>
      <c r="U9032" s="4" t="str">
        <f>IFERROR(__xludf.DUMMYFUNCTION("""COMPUTED_VALUE"""),"null")</f>
        <v>null</v>
      </c>
      <c r="V9032" s="33">
        <f>IFERROR(__xludf.DUMMYFUNCTION("""COMPUTED_VALUE"""),1.0)</f>
        <v>1</v>
      </c>
      <c r="W9032" s="4" t="str">
        <f>IFERROR(__xludf.DUMMYFUNCTION("""COMPUTED_VALUE"""),"Alloy Tecnologia")</f>
        <v>Alloy Tecnologia</v>
      </c>
      <c r="X9032" s="33">
        <f>IFERROR(__xludf.DUMMYFUNCTION("""COMPUTED_VALUE"""),1.0)</f>
        <v>1</v>
      </c>
    </row>
    <row r="9033">
      <c r="K9033" s="4" t="str">
        <f>IFERROR(__xludf.DUMMYFUNCTION("""COMPUTED_VALUE"""),"EMPORIO FIOS DE MINAS - MASSAS, CARNES E DOCES")</f>
        <v>EMPORIO FIOS DE MINAS - MASSAS, CARNES E DOCES</v>
      </c>
      <c r="L9033" s="32">
        <f>IFERROR(__xludf.DUMMYFUNCTION("""COMPUTED_VALUE"""),1.0)</f>
        <v>1</v>
      </c>
      <c r="M9033" s="4" t="str">
        <f>IFERROR(__xludf.DUMMYFUNCTION("""COMPUTED_VALUE"""),"Anota Ai Solucoes Digitais S/a")</f>
        <v>Anota Ai Solucoes Digitais S/a</v>
      </c>
      <c r="N9033" s="33">
        <f>IFERROR(__xludf.DUMMYFUNCTION("""COMPUTED_VALUE"""),1.0)</f>
        <v>1</v>
      </c>
      <c r="O9033" s="4" t="str">
        <f>IFERROR(__xludf.DUMMYFUNCTION("""COMPUTED_VALUE"""),"null")</f>
        <v>null</v>
      </c>
      <c r="P9033" s="33">
        <f>IFERROR(__xludf.DUMMYFUNCTION("""COMPUTED_VALUE"""),1.0)</f>
        <v>1</v>
      </c>
      <c r="Q9033" s="4" t="str">
        <f>IFERROR(__xludf.DUMMYFUNCTION("""COMPUTED_VALUE"""),"null")</f>
        <v>null</v>
      </c>
      <c r="R9033" s="33">
        <f>IFERROR(__xludf.DUMMYFUNCTION("""COMPUTED_VALUE"""),1.0)</f>
        <v>1</v>
      </c>
      <c r="S9033" s="4" t="str">
        <f>IFERROR(__xludf.DUMMYFUNCTION("""COMPUTED_VALUE"""),"null")</f>
        <v>null</v>
      </c>
      <c r="T9033" s="33">
        <f>IFERROR(__xludf.DUMMYFUNCTION("""COMPUTED_VALUE"""),1.0)</f>
        <v>1</v>
      </c>
      <c r="U9033" s="4" t="str">
        <f>IFERROR(__xludf.DUMMYFUNCTION("""COMPUTED_VALUE"""),"null")</f>
        <v>null</v>
      </c>
      <c r="V9033" s="33">
        <f>IFERROR(__xludf.DUMMYFUNCTION("""COMPUTED_VALUE"""),1.0)</f>
        <v>1</v>
      </c>
      <c r="W9033" s="4" t="str">
        <f>IFERROR(__xludf.DUMMYFUNCTION("""COMPUTED_VALUE"""),"null")</f>
        <v>null</v>
      </c>
      <c r="X9033" s="33">
        <f>IFERROR(__xludf.DUMMYFUNCTION("""COMPUTED_VALUE"""),1.0)</f>
        <v>1</v>
      </c>
    </row>
    <row r="9034">
      <c r="K9034" s="4" t="str">
        <f>IFERROR(__xludf.DUMMYFUNCTION("""COMPUTED_VALUE"""),"HAMBURGUERIA DO MESTRE")</f>
        <v>HAMBURGUERIA DO MESTRE</v>
      </c>
      <c r="L9034" s="32">
        <f>IFERROR(__xludf.DUMMYFUNCTION("""COMPUTED_VALUE"""),1.0)</f>
        <v>1</v>
      </c>
      <c r="M9034" s="4" t="str">
        <f>IFERROR(__xludf.DUMMYFUNCTION("""COMPUTED_VALUE"""),"Saipos Serviços De Software")</f>
        <v>Saipos Serviços De Software</v>
      </c>
      <c r="N9034" s="33">
        <f>IFERROR(__xludf.DUMMYFUNCTION("""COMPUTED_VALUE"""),1.0)</f>
        <v>1</v>
      </c>
      <c r="O9034" s="4" t="str">
        <f>IFERROR(__xludf.DUMMYFUNCTION("""COMPUTED_VALUE"""),"Saipos Serviços De Software")</f>
        <v>Saipos Serviços De Software</v>
      </c>
      <c r="P9034" s="33">
        <f>IFERROR(__xludf.DUMMYFUNCTION("""COMPUTED_VALUE"""),1.0)</f>
        <v>1</v>
      </c>
      <c r="Q9034" s="4" t="str">
        <f>IFERROR(__xludf.DUMMYFUNCTION("""COMPUTED_VALUE"""),"Saipos Serviços De Software")</f>
        <v>Saipos Serviços De Software</v>
      </c>
      <c r="R9034" s="33">
        <f>IFERROR(__xludf.DUMMYFUNCTION("""COMPUTED_VALUE"""),1.0)</f>
        <v>1</v>
      </c>
      <c r="S9034" s="4" t="str">
        <f>IFERROR(__xludf.DUMMYFUNCTION("""COMPUTED_VALUE"""),"Saipos Serviços De Software")</f>
        <v>Saipos Serviços De Software</v>
      </c>
      <c r="T9034" s="33">
        <f>IFERROR(__xludf.DUMMYFUNCTION("""COMPUTED_VALUE"""),1.0)</f>
        <v>1</v>
      </c>
      <c r="U9034" s="4" t="str">
        <f>IFERROR(__xludf.DUMMYFUNCTION("""COMPUTED_VALUE"""),"Saipos Serviços De Software")</f>
        <v>Saipos Serviços De Software</v>
      </c>
      <c r="V9034" s="33">
        <f>IFERROR(__xludf.DUMMYFUNCTION("""COMPUTED_VALUE"""),1.0)</f>
        <v>1</v>
      </c>
      <c r="W9034" s="4" t="str">
        <f>IFERROR(__xludf.DUMMYFUNCTION("""COMPUTED_VALUE"""),"Saipos Serviços De Software")</f>
        <v>Saipos Serviços De Software</v>
      </c>
      <c r="X9034" s="33">
        <f>IFERROR(__xludf.DUMMYFUNCTION("""COMPUTED_VALUE"""),1.0)</f>
        <v>1</v>
      </c>
    </row>
    <row r="9035">
      <c r="K9035" s="4" t="str">
        <f>IFERROR(__xludf.DUMMYFUNCTION("""COMPUTED_VALUE"""),"ACABOU EM PIZZA DELIVERY")</f>
        <v>ACABOU EM PIZZA DELIVERY</v>
      </c>
      <c r="L9035" s="32">
        <f>IFERROR(__xludf.DUMMYFUNCTION("""COMPUTED_VALUE"""),1.0)</f>
        <v>1</v>
      </c>
      <c r="M9035" s="4" t="str">
        <f>IFERROR(__xludf.DUMMYFUNCTION("""COMPUTED_VALUE"""),"Consumer Soluções Em Tecnologia Ltda")</f>
        <v>Consumer Soluções Em Tecnologia Ltda</v>
      </c>
      <c r="N9035" s="33">
        <f>IFERROR(__xludf.DUMMYFUNCTION("""COMPUTED_VALUE"""),1.0)</f>
        <v>1</v>
      </c>
      <c r="O9035" s="4" t="str">
        <f>IFERROR(__xludf.DUMMYFUNCTION("""COMPUTED_VALUE"""),"Consumer Soluções Em Tecnologia Ltda")</f>
        <v>Consumer Soluções Em Tecnologia Ltda</v>
      </c>
      <c r="P9035" s="33">
        <f>IFERROR(__xludf.DUMMYFUNCTION("""COMPUTED_VALUE"""),1.0)</f>
        <v>1</v>
      </c>
      <c r="Q9035" s="4" t="str">
        <f>IFERROR(__xludf.DUMMYFUNCTION("""COMPUTED_VALUE"""),"Consumer Soluções Em Tecnologia Ltda")</f>
        <v>Consumer Soluções Em Tecnologia Ltda</v>
      </c>
      <c r="R9035" s="33">
        <f>IFERROR(__xludf.DUMMYFUNCTION("""COMPUTED_VALUE"""),1.0)</f>
        <v>1</v>
      </c>
      <c r="S9035" s="4" t="str">
        <f>IFERROR(__xludf.DUMMYFUNCTION("""COMPUTED_VALUE"""),"Consumer Soluções Em Tecnologia Ltda")</f>
        <v>Consumer Soluções Em Tecnologia Ltda</v>
      </c>
      <c r="T9035" s="33">
        <f>IFERROR(__xludf.DUMMYFUNCTION("""COMPUTED_VALUE"""),1.0)</f>
        <v>1</v>
      </c>
      <c r="U9035" s="4" t="str">
        <f>IFERROR(__xludf.DUMMYFUNCTION("""COMPUTED_VALUE"""),"Consumer Soluções Em Tecnologia Ltda")</f>
        <v>Consumer Soluções Em Tecnologia Ltda</v>
      </c>
      <c r="V9035" s="33">
        <f>IFERROR(__xludf.DUMMYFUNCTION("""COMPUTED_VALUE"""),1.0)</f>
        <v>1</v>
      </c>
      <c r="W9035" s="4" t="str">
        <f>IFERROR(__xludf.DUMMYFUNCTION("""COMPUTED_VALUE"""),"Consumer Soluções Em Tecnologia Ltda")</f>
        <v>Consumer Soluções Em Tecnologia Ltda</v>
      </c>
      <c r="X9035" s="33">
        <f>IFERROR(__xludf.DUMMYFUNCTION("""COMPUTED_VALUE"""),1.0)</f>
        <v>1</v>
      </c>
    </row>
    <row r="9036">
      <c r="K9036" s="4" t="str">
        <f>IFERROR(__xludf.DUMMYFUNCTION("""COMPUTED_VALUE"""),"MESTRE LANCHES")</f>
        <v>MESTRE LANCHES</v>
      </c>
      <c r="L9036" s="32">
        <f>IFERROR(__xludf.DUMMYFUNCTION("""COMPUTED_VALUE"""),1.0)</f>
        <v>1</v>
      </c>
      <c r="M9036" s="4" t="str">
        <f>IFERROR(__xludf.DUMMYFUNCTION("""COMPUTED_VALUE"""),"Saipos Serviços De Software")</f>
        <v>Saipos Serviços De Software</v>
      </c>
      <c r="N9036" s="33">
        <f>IFERROR(__xludf.DUMMYFUNCTION("""COMPUTED_VALUE"""),1.0)</f>
        <v>1</v>
      </c>
      <c r="O9036" s="4" t="str">
        <f>IFERROR(__xludf.DUMMYFUNCTION("""COMPUTED_VALUE"""),"Saipos Serviços De Software")</f>
        <v>Saipos Serviços De Software</v>
      </c>
      <c r="P9036" s="33">
        <f>IFERROR(__xludf.DUMMYFUNCTION("""COMPUTED_VALUE"""),1.0)</f>
        <v>1</v>
      </c>
      <c r="Q9036" s="4" t="str">
        <f>IFERROR(__xludf.DUMMYFUNCTION("""COMPUTED_VALUE"""),"Saipos Serviços De Software")</f>
        <v>Saipos Serviços De Software</v>
      </c>
      <c r="R9036" s="33">
        <f>IFERROR(__xludf.DUMMYFUNCTION("""COMPUTED_VALUE"""),1.0)</f>
        <v>1</v>
      </c>
      <c r="S9036" s="4" t="str">
        <f>IFERROR(__xludf.DUMMYFUNCTION("""COMPUTED_VALUE"""),"Saipos Serviços De Software")</f>
        <v>Saipos Serviços De Software</v>
      </c>
      <c r="T9036" s="33">
        <f>IFERROR(__xludf.DUMMYFUNCTION("""COMPUTED_VALUE"""),1.0)</f>
        <v>1</v>
      </c>
      <c r="U9036" s="4" t="str">
        <f>IFERROR(__xludf.DUMMYFUNCTION("""COMPUTED_VALUE"""),"Instadelivery")</f>
        <v>Instadelivery</v>
      </c>
      <c r="V9036" s="33">
        <f>IFERROR(__xludf.DUMMYFUNCTION("""COMPUTED_VALUE"""),1.0)</f>
        <v>1</v>
      </c>
      <c r="W9036" s="4" t="str">
        <f>IFERROR(__xludf.DUMMYFUNCTION("""COMPUTED_VALUE"""),"Instadelivery")</f>
        <v>Instadelivery</v>
      </c>
      <c r="X9036" s="33">
        <f>IFERROR(__xludf.DUMMYFUNCTION("""COMPUTED_VALUE"""),1.0)</f>
        <v>1</v>
      </c>
    </row>
    <row r="9037">
      <c r="K9037" s="4" t="str">
        <f>IFERROR(__xludf.DUMMYFUNCTION("""COMPUTED_VALUE"""),"VUNO LANCHES")</f>
        <v>VUNO LANCHES</v>
      </c>
      <c r="L9037" s="32">
        <f>IFERROR(__xludf.DUMMYFUNCTION("""COMPUTED_VALUE"""),1.0)</f>
        <v>1</v>
      </c>
      <c r="M9037" s="4" t="str">
        <f>IFERROR(__xludf.DUMMYFUNCTION("""COMPUTED_VALUE"""),"Gama Tecnologias Ltda")</f>
        <v>Gama Tecnologias Ltda</v>
      </c>
      <c r="N9037" s="33">
        <f>IFERROR(__xludf.DUMMYFUNCTION("""COMPUTED_VALUE"""),1.0)</f>
        <v>1</v>
      </c>
      <c r="O9037" s="4" t="str">
        <f>IFERROR(__xludf.DUMMYFUNCTION("""COMPUTED_VALUE"""),"Gama Tecnologias Ltda")</f>
        <v>Gama Tecnologias Ltda</v>
      </c>
      <c r="P9037" s="33">
        <f>IFERROR(__xludf.DUMMYFUNCTION("""COMPUTED_VALUE"""),1.0)</f>
        <v>1</v>
      </c>
      <c r="Q9037" s="4" t="str">
        <f>IFERROR(__xludf.DUMMYFUNCTION("""COMPUTED_VALUE"""),"Gama Tecnologias Ltda")</f>
        <v>Gama Tecnologias Ltda</v>
      </c>
      <c r="R9037" s="33">
        <f>IFERROR(__xludf.DUMMYFUNCTION("""COMPUTED_VALUE"""),1.0)</f>
        <v>1</v>
      </c>
      <c r="S9037" s="4" t="str">
        <f>IFERROR(__xludf.DUMMYFUNCTION("""COMPUTED_VALUE"""),"Gama Tecnologias Ltda")</f>
        <v>Gama Tecnologias Ltda</v>
      </c>
      <c r="T9037" s="33">
        <f>IFERROR(__xludf.DUMMYFUNCTION("""COMPUTED_VALUE"""),1.0)</f>
        <v>1</v>
      </c>
      <c r="U9037" s="4" t="str">
        <f>IFERROR(__xludf.DUMMYFUNCTION("""COMPUTED_VALUE"""),"Gama Tecnologias Ltda")</f>
        <v>Gama Tecnologias Ltda</v>
      </c>
      <c r="V9037" s="33">
        <f>IFERROR(__xludf.DUMMYFUNCTION("""COMPUTED_VALUE"""),1.0)</f>
        <v>1</v>
      </c>
      <c r="W9037" s="4" t="str">
        <f>IFERROR(__xludf.DUMMYFUNCTION("""COMPUTED_VALUE"""),"Gama Tecnologias Ltda")</f>
        <v>Gama Tecnologias Ltda</v>
      </c>
      <c r="X9037" s="33">
        <f>IFERROR(__xludf.DUMMYFUNCTION("""COMPUTED_VALUE"""),1.0)</f>
        <v>1</v>
      </c>
    </row>
    <row r="9038">
      <c r="K9038" s="4" t="str">
        <f>IFERROR(__xludf.DUMMYFUNCTION("""COMPUTED_VALUE"""),"MANIA DE MARIA")</f>
        <v>MANIA DE MARIA</v>
      </c>
      <c r="L9038" s="32">
        <f>IFERROR(__xludf.DUMMYFUNCTION("""COMPUTED_VALUE"""),1.0)</f>
        <v>1</v>
      </c>
      <c r="M9038" s="4" t="str">
        <f>IFERROR(__xludf.DUMMYFUNCTION("""COMPUTED_VALUE"""),"Kcms")</f>
        <v>Kcms</v>
      </c>
      <c r="N9038" s="33">
        <f>IFERROR(__xludf.DUMMYFUNCTION("""COMPUTED_VALUE"""),1.0)</f>
        <v>1</v>
      </c>
      <c r="O9038" s="4" t="str">
        <f>IFERROR(__xludf.DUMMYFUNCTION("""COMPUTED_VALUE"""),"Saipos Serviços De Software")</f>
        <v>Saipos Serviços De Software</v>
      </c>
      <c r="P9038" s="33">
        <f>IFERROR(__xludf.DUMMYFUNCTION("""COMPUTED_VALUE"""),1.0)</f>
        <v>1</v>
      </c>
      <c r="Q9038" s="4" t="str">
        <f>IFERROR(__xludf.DUMMYFUNCTION("""COMPUTED_VALUE"""),"null")</f>
        <v>null</v>
      </c>
      <c r="R9038" s="33">
        <f>IFERROR(__xludf.DUMMYFUNCTION("""COMPUTED_VALUE"""),1.0)</f>
        <v>1</v>
      </c>
      <c r="S9038" s="4" t="str">
        <f>IFERROR(__xludf.DUMMYFUNCTION("""COMPUTED_VALUE"""),"Saipos Serviços De Software")</f>
        <v>Saipos Serviços De Software</v>
      </c>
      <c r="T9038" s="33">
        <f>IFERROR(__xludf.DUMMYFUNCTION("""COMPUTED_VALUE"""),1.0)</f>
        <v>1</v>
      </c>
      <c r="U9038" s="4" t="str">
        <f>IFERROR(__xludf.DUMMYFUNCTION("""COMPUTED_VALUE"""),"null")</f>
        <v>null</v>
      </c>
      <c r="V9038" s="33">
        <f>IFERROR(__xludf.DUMMYFUNCTION("""COMPUTED_VALUE"""),1.0)</f>
        <v>1</v>
      </c>
      <c r="W9038" s="4" t="str">
        <f>IFERROR(__xludf.DUMMYFUNCTION("""COMPUTED_VALUE"""),"null")</f>
        <v>null</v>
      </c>
      <c r="X9038" s="33">
        <f>IFERROR(__xludf.DUMMYFUNCTION("""COMPUTED_VALUE"""),1.0)</f>
        <v>1</v>
      </c>
    </row>
    <row r="9039">
      <c r="K9039" s="4" t="str">
        <f>IFERROR(__xludf.DUMMYFUNCTION("""COMPUTED_VALUE"""),"STROGOTOP MARMITARIA")</f>
        <v>STROGOTOP MARMITARIA</v>
      </c>
      <c r="L9039" s="32">
        <f>IFERROR(__xludf.DUMMYFUNCTION("""COMPUTED_VALUE"""),1.0)</f>
        <v>1</v>
      </c>
      <c r="M9039" s="4" t="str">
        <f>IFERROR(__xludf.DUMMYFUNCTION("""COMPUTED_VALUE"""),"Anota Ai Solucoes Digitais S/a")</f>
        <v>Anota Ai Solucoes Digitais S/a</v>
      </c>
      <c r="N9039" s="33">
        <f>IFERROR(__xludf.DUMMYFUNCTION("""COMPUTED_VALUE"""),1.0)</f>
        <v>1</v>
      </c>
      <c r="O9039" s="4" t="str">
        <f>IFERROR(__xludf.DUMMYFUNCTION("""COMPUTED_VALUE"""),"Anota Ai Solucoes Digitais S/a")</f>
        <v>Anota Ai Solucoes Digitais S/a</v>
      </c>
      <c r="P9039" s="33">
        <f>IFERROR(__xludf.DUMMYFUNCTION("""COMPUTED_VALUE"""),1.0)</f>
        <v>1</v>
      </c>
      <c r="Q9039" s="4" t="str">
        <f>IFERROR(__xludf.DUMMYFUNCTION("""COMPUTED_VALUE"""),"Anota Ai Solucoes Digitais S/a")</f>
        <v>Anota Ai Solucoes Digitais S/a</v>
      </c>
      <c r="R9039" s="33">
        <f>IFERROR(__xludf.DUMMYFUNCTION("""COMPUTED_VALUE"""),1.0)</f>
        <v>1</v>
      </c>
      <c r="S9039" s="4" t="str">
        <f>IFERROR(__xludf.DUMMYFUNCTION("""COMPUTED_VALUE"""),"Anota Ai Solucoes Digitais S/a")</f>
        <v>Anota Ai Solucoes Digitais S/a</v>
      </c>
      <c r="T9039" s="33">
        <f>IFERROR(__xludf.DUMMYFUNCTION("""COMPUTED_VALUE"""),1.0)</f>
        <v>1</v>
      </c>
      <c r="U9039" s="4" t="str">
        <f>IFERROR(__xludf.DUMMYFUNCTION("""COMPUTED_VALUE"""),"Anota Ai Solucoes Digitais S/a")</f>
        <v>Anota Ai Solucoes Digitais S/a</v>
      </c>
      <c r="V9039" s="33">
        <f>IFERROR(__xludf.DUMMYFUNCTION("""COMPUTED_VALUE"""),1.0)</f>
        <v>1</v>
      </c>
      <c r="W9039" s="4" t="str">
        <f>IFERROR(__xludf.DUMMYFUNCTION("""COMPUTED_VALUE"""),"Anota Ai Solucoes Digitais S/a")</f>
        <v>Anota Ai Solucoes Digitais S/a</v>
      </c>
      <c r="X9039" s="33">
        <f>IFERROR(__xludf.DUMMYFUNCTION("""COMPUTED_VALUE"""),1.0)</f>
        <v>1</v>
      </c>
    </row>
    <row r="9040">
      <c r="K9040" s="4" t="str">
        <f>IFERROR(__xludf.DUMMYFUNCTION("""COMPUTED_VALUE"""),"BREGA BURGUER - HAMBURGUERIA")</f>
        <v>BREGA BURGUER - HAMBURGUERIA</v>
      </c>
      <c r="L9040" s="32">
        <f>IFERROR(__xludf.DUMMYFUNCTION("""COMPUTED_VALUE"""),1.0)</f>
        <v>1</v>
      </c>
      <c r="M9040" s="4" t="str">
        <f>IFERROR(__xludf.DUMMYFUNCTION("""COMPUTED_VALUE"""),"null")</f>
        <v>null</v>
      </c>
      <c r="N9040" s="33">
        <f>IFERROR(__xludf.DUMMYFUNCTION("""COMPUTED_VALUE"""),1.0)</f>
        <v>1</v>
      </c>
      <c r="O9040" s="4" t="str">
        <f>IFERROR(__xludf.DUMMYFUNCTION("""COMPUTED_VALUE"""),"Cardápio Web")</f>
        <v>Cardápio Web</v>
      </c>
      <c r="P9040" s="33">
        <f>IFERROR(__xludf.DUMMYFUNCTION("""COMPUTED_VALUE"""),1.0)</f>
        <v>1</v>
      </c>
      <c r="Q9040" s="4" t="str">
        <f>IFERROR(__xludf.DUMMYFUNCTION("""COMPUTED_VALUE"""),"Cardápio Web")</f>
        <v>Cardápio Web</v>
      </c>
      <c r="R9040" s="33">
        <f>IFERROR(__xludf.DUMMYFUNCTION("""COMPUTED_VALUE"""),1.0)</f>
        <v>1</v>
      </c>
      <c r="S9040" s="4" t="str">
        <f>IFERROR(__xludf.DUMMYFUNCTION("""COMPUTED_VALUE"""),"Cardápio Web")</f>
        <v>Cardápio Web</v>
      </c>
      <c r="T9040" s="33">
        <f>IFERROR(__xludf.DUMMYFUNCTION("""COMPUTED_VALUE"""),1.0)</f>
        <v>1</v>
      </c>
      <c r="U9040" s="4" t="str">
        <f>IFERROR(__xludf.DUMMYFUNCTION("""COMPUTED_VALUE"""),"Cardápio Web")</f>
        <v>Cardápio Web</v>
      </c>
      <c r="V9040" s="33">
        <f>IFERROR(__xludf.DUMMYFUNCTION("""COMPUTED_VALUE"""),1.0)</f>
        <v>1</v>
      </c>
      <c r="W9040" s="4" t="str">
        <f>IFERROR(__xludf.DUMMYFUNCTION("""COMPUTED_VALUE"""),"Cardápio Web")</f>
        <v>Cardápio Web</v>
      </c>
      <c r="X9040" s="33">
        <f>IFERROR(__xludf.DUMMYFUNCTION("""COMPUTED_VALUE"""),1.0)</f>
        <v>1</v>
      </c>
    </row>
    <row r="9041">
      <c r="K9041" s="4" t="str">
        <f>IFERROR(__xludf.DUMMYFUNCTION("""COMPUTED_VALUE"""),"CASA DE CARNE ZEBU")</f>
        <v>CASA DE CARNE ZEBU</v>
      </c>
      <c r="L9041" s="32">
        <f>IFERROR(__xludf.DUMMYFUNCTION("""COMPUTED_VALUE"""),1.0)</f>
        <v>1</v>
      </c>
      <c r="M9041" s="4" t="str">
        <f>IFERROR(__xludf.DUMMYFUNCTION("""COMPUTED_VALUE"""),"Compilart Tecnologia Ltda")</f>
        <v>Compilart Tecnologia Ltda</v>
      </c>
      <c r="N9041" s="33">
        <f>IFERROR(__xludf.DUMMYFUNCTION("""COMPUTED_VALUE"""),1.0)</f>
        <v>1</v>
      </c>
      <c r="O9041" s="4" t="str">
        <f>IFERROR(__xludf.DUMMYFUNCTION("""COMPUTED_VALUE"""),"Compilart Tecnologia Ltda")</f>
        <v>Compilart Tecnologia Ltda</v>
      </c>
      <c r="P9041" s="33">
        <f>IFERROR(__xludf.DUMMYFUNCTION("""COMPUTED_VALUE"""),1.0)</f>
        <v>1</v>
      </c>
      <c r="Q9041" s="4" t="str">
        <f>IFERROR(__xludf.DUMMYFUNCTION("""COMPUTED_VALUE"""),"null")</f>
        <v>null</v>
      </c>
      <c r="R9041" s="33">
        <f>IFERROR(__xludf.DUMMYFUNCTION("""COMPUTED_VALUE"""),1.0)</f>
        <v>1</v>
      </c>
      <c r="S9041" s="4" t="str">
        <f>IFERROR(__xludf.DUMMYFUNCTION("""COMPUTED_VALUE"""),"Compilart Tecnologia Ltda")</f>
        <v>Compilart Tecnologia Ltda</v>
      </c>
      <c r="T9041" s="33">
        <f>IFERROR(__xludf.DUMMYFUNCTION("""COMPUTED_VALUE"""),1.0)</f>
        <v>1</v>
      </c>
      <c r="U9041" s="4" t="str">
        <f>IFERROR(__xludf.DUMMYFUNCTION("""COMPUTED_VALUE"""),"null")</f>
        <v>null</v>
      </c>
      <c r="V9041" s="33">
        <f>IFERROR(__xludf.DUMMYFUNCTION("""COMPUTED_VALUE"""),1.0)</f>
        <v>1</v>
      </c>
      <c r="W9041" s="4" t="str">
        <f>IFERROR(__xludf.DUMMYFUNCTION("""COMPUTED_VALUE"""),"Compilart Tecnologia Ltda")</f>
        <v>Compilart Tecnologia Ltda</v>
      </c>
      <c r="X9041" s="33">
        <f>IFERROR(__xludf.DUMMYFUNCTION("""COMPUTED_VALUE"""),1.0)</f>
        <v>1</v>
      </c>
    </row>
    <row r="9042">
      <c r="K9042" s="4" t="str">
        <f>IFERROR(__xludf.DUMMYFUNCTION("""COMPUTED_VALUE"""),"CONVENIENCIA AREA 151")</f>
        <v>CONVENIENCIA AREA 151</v>
      </c>
      <c r="L9042" s="32">
        <f>IFERROR(__xludf.DUMMYFUNCTION("""COMPUTED_VALUE"""),1.0)</f>
        <v>1</v>
      </c>
      <c r="M9042" s="4" t="str">
        <f>IFERROR(__xludf.DUMMYFUNCTION("""COMPUTED_VALUE"""),"null")</f>
        <v>null</v>
      </c>
      <c r="N9042" s="33">
        <f>IFERROR(__xludf.DUMMYFUNCTION("""COMPUTED_VALUE"""),1.0)</f>
        <v>1</v>
      </c>
      <c r="O9042" s="4" t="str">
        <f>IFERROR(__xludf.DUMMYFUNCTION("""COMPUTED_VALUE"""),"null")</f>
        <v>null</v>
      </c>
      <c r="P9042" s="33">
        <f>IFERROR(__xludf.DUMMYFUNCTION("""COMPUTED_VALUE"""),1.0)</f>
        <v>1</v>
      </c>
      <c r="Q9042" s="4" t="str">
        <f>IFERROR(__xludf.DUMMYFUNCTION("""COMPUTED_VALUE"""),"null")</f>
        <v>null</v>
      </c>
      <c r="R9042" s="33">
        <f>IFERROR(__xludf.DUMMYFUNCTION("""COMPUTED_VALUE"""),1.0)</f>
        <v>1</v>
      </c>
      <c r="S9042" s="4" t="str">
        <f>IFERROR(__xludf.DUMMYFUNCTION("""COMPUTED_VALUE"""),"null")</f>
        <v>null</v>
      </c>
      <c r="T9042" s="33">
        <f>IFERROR(__xludf.DUMMYFUNCTION("""COMPUTED_VALUE"""),1.0)</f>
        <v>1</v>
      </c>
      <c r="U9042" s="4" t="str">
        <f>IFERROR(__xludf.DUMMYFUNCTION("""COMPUTED_VALUE"""),"null")</f>
        <v>null</v>
      </c>
      <c r="V9042" s="33">
        <f>IFERROR(__xludf.DUMMYFUNCTION("""COMPUTED_VALUE"""),1.0)</f>
        <v>1</v>
      </c>
      <c r="W9042" s="4" t="str">
        <f>IFERROR(__xludf.DUMMYFUNCTION("""COMPUTED_VALUE"""),"Yooga")</f>
        <v>Yooga</v>
      </c>
      <c r="X9042" s="33">
        <f>IFERROR(__xludf.DUMMYFUNCTION("""COMPUTED_VALUE"""),1.0)</f>
        <v>1</v>
      </c>
    </row>
    <row r="9043">
      <c r="K9043" s="4" t="str">
        <f>IFERROR(__xludf.DUMMYFUNCTION("""COMPUTED_VALUE"""),"KW LANCHES")</f>
        <v>KW LANCHES</v>
      </c>
      <c r="L9043" s="32">
        <f>IFERROR(__xludf.DUMMYFUNCTION("""COMPUTED_VALUE"""),1.0)</f>
        <v>1</v>
      </c>
      <c r="M9043" s="4" t="str">
        <f>IFERROR(__xludf.DUMMYFUNCTION("""COMPUTED_VALUE"""),"Instadelivery")</f>
        <v>Instadelivery</v>
      </c>
      <c r="N9043" s="33">
        <f>IFERROR(__xludf.DUMMYFUNCTION("""COMPUTED_VALUE"""),1.0)</f>
        <v>1</v>
      </c>
      <c r="O9043" s="4" t="str">
        <f>IFERROR(__xludf.DUMMYFUNCTION("""COMPUTED_VALUE"""),"Instadelivery")</f>
        <v>Instadelivery</v>
      </c>
      <c r="P9043" s="33">
        <f>IFERROR(__xludf.DUMMYFUNCTION("""COMPUTED_VALUE"""),1.0)</f>
        <v>1</v>
      </c>
      <c r="Q9043" s="4" t="str">
        <f>IFERROR(__xludf.DUMMYFUNCTION("""COMPUTED_VALUE"""),"Instadelivery")</f>
        <v>Instadelivery</v>
      </c>
      <c r="R9043" s="33">
        <f>IFERROR(__xludf.DUMMYFUNCTION("""COMPUTED_VALUE"""),1.0)</f>
        <v>1</v>
      </c>
      <c r="S9043" s="4" t="str">
        <f>IFERROR(__xludf.DUMMYFUNCTION("""COMPUTED_VALUE"""),"Instadelivery")</f>
        <v>Instadelivery</v>
      </c>
      <c r="T9043" s="33">
        <f>IFERROR(__xludf.DUMMYFUNCTION("""COMPUTED_VALUE"""),1.0)</f>
        <v>1</v>
      </c>
      <c r="U9043" s="4" t="str">
        <f>IFERROR(__xludf.DUMMYFUNCTION("""COMPUTED_VALUE"""),"Instadelivery")</f>
        <v>Instadelivery</v>
      </c>
      <c r="V9043" s="33">
        <f>IFERROR(__xludf.DUMMYFUNCTION("""COMPUTED_VALUE"""),1.0)</f>
        <v>1</v>
      </c>
      <c r="W9043" s="4" t="str">
        <f>IFERROR(__xludf.DUMMYFUNCTION("""COMPUTED_VALUE"""),"Instadelivery")</f>
        <v>Instadelivery</v>
      </c>
      <c r="X9043" s="33">
        <f>IFERROR(__xludf.DUMMYFUNCTION("""COMPUTED_VALUE"""),1.0)</f>
        <v>1</v>
      </c>
    </row>
    <row r="9044">
      <c r="K9044" s="4" t="str">
        <f>IFERROR(__xludf.DUMMYFUNCTION("""COMPUTED_VALUE"""),"DROGARIA GOIAS NORTE")</f>
        <v>DROGARIA GOIAS NORTE</v>
      </c>
      <c r="L9044" s="32">
        <f>IFERROR(__xludf.DUMMYFUNCTION("""COMPUTED_VALUE"""),1.0)</f>
        <v>1</v>
      </c>
      <c r="M9044" s="4" t="str">
        <f>IFERROR(__xludf.DUMMYFUNCTION("""COMPUTED_VALUE"""),"null")</f>
        <v>null</v>
      </c>
      <c r="N9044" s="33">
        <f>IFERROR(__xludf.DUMMYFUNCTION("""COMPUTED_VALUE"""),1.0)</f>
        <v>1</v>
      </c>
      <c r="O9044" s="4" t="str">
        <f>IFERROR(__xludf.DUMMYFUNCTION("""COMPUTED_VALUE"""),"N/A (Not found)")</f>
        <v>N/A (Not found)</v>
      </c>
      <c r="P9044" s="33">
        <f>IFERROR(__xludf.DUMMYFUNCTION("""COMPUTED_VALUE"""),1.0)</f>
        <v>1</v>
      </c>
      <c r="Q9044" s="4" t="str">
        <f>IFERROR(__xludf.DUMMYFUNCTION("""COMPUTED_VALUE"""),"null")</f>
        <v>null</v>
      </c>
      <c r="R9044" s="33">
        <f>IFERROR(__xludf.DUMMYFUNCTION("""COMPUTED_VALUE"""),1.0)</f>
        <v>1</v>
      </c>
      <c r="S9044" s="4" t="str">
        <f>IFERROR(__xludf.DUMMYFUNCTION("""COMPUTED_VALUE"""),"null")</f>
        <v>null</v>
      </c>
      <c r="T9044" s="33">
        <f>IFERROR(__xludf.DUMMYFUNCTION("""COMPUTED_VALUE"""),1.0)</f>
        <v>1</v>
      </c>
      <c r="U9044" s="4" t="str">
        <f>IFERROR(__xludf.DUMMYFUNCTION("""COMPUTED_VALUE"""),"null")</f>
        <v>null</v>
      </c>
      <c r="V9044" s="33">
        <f>IFERROR(__xludf.DUMMYFUNCTION("""COMPUTED_VALUE"""),1.0)</f>
        <v>1</v>
      </c>
      <c r="W9044" s="4" t="str">
        <f>IFERROR(__xludf.DUMMYFUNCTION("""COMPUTED_VALUE"""),"null")</f>
        <v>null</v>
      </c>
      <c r="X9044" s="33">
        <f>IFERROR(__xludf.DUMMYFUNCTION("""COMPUTED_VALUE"""),1.0)</f>
        <v>1</v>
      </c>
    </row>
    <row r="9045">
      <c r="K9045" s="4" t="str">
        <f>IFERROR(__xludf.DUMMYFUNCTION("""COMPUTED_VALUE"""),"GO TEMAKI")</f>
        <v>GO TEMAKI</v>
      </c>
      <c r="L9045" s="32">
        <f>IFERROR(__xludf.DUMMYFUNCTION("""COMPUTED_VALUE"""),1.0)</f>
        <v>1</v>
      </c>
      <c r="M9045" s="4" t="str">
        <f>IFERROR(__xludf.DUMMYFUNCTION("""COMPUTED_VALUE"""),"Bitbar")</f>
        <v>Bitbar</v>
      </c>
      <c r="N9045" s="33">
        <f>IFERROR(__xludf.DUMMYFUNCTION("""COMPUTED_VALUE"""),1.0)</f>
        <v>1</v>
      </c>
      <c r="O9045" s="4" t="str">
        <f>IFERROR(__xludf.DUMMYFUNCTION("""COMPUTED_VALUE"""),"Bitbar")</f>
        <v>Bitbar</v>
      </c>
      <c r="P9045" s="33">
        <f>IFERROR(__xludf.DUMMYFUNCTION("""COMPUTED_VALUE"""),1.0)</f>
        <v>1</v>
      </c>
      <c r="Q9045" s="4" t="str">
        <f>IFERROR(__xludf.DUMMYFUNCTION("""COMPUTED_VALUE"""),"Bitbar")</f>
        <v>Bitbar</v>
      </c>
      <c r="R9045" s="33">
        <f>IFERROR(__xludf.DUMMYFUNCTION("""COMPUTED_VALUE"""),1.0)</f>
        <v>1</v>
      </c>
      <c r="S9045" s="4" t="str">
        <f>IFERROR(__xludf.DUMMYFUNCTION("""COMPUTED_VALUE"""),"Bitbar")</f>
        <v>Bitbar</v>
      </c>
      <c r="T9045" s="33">
        <f>IFERROR(__xludf.DUMMYFUNCTION("""COMPUTED_VALUE"""),1.0)</f>
        <v>1</v>
      </c>
      <c r="U9045" s="4" t="str">
        <f>IFERROR(__xludf.DUMMYFUNCTION("""COMPUTED_VALUE"""),"Bitbar")</f>
        <v>Bitbar</v>
      </c>
      <c r="V9045" s="33">
        <f>IFERROR(__xludf.DUMMYFUNCTION("""COMPUTED_VALUE"""),1.0)</f>
        <v>1</v>
      </c>
      <c r="W9045" s="4" t="str">
        <f>IFERROR(__xludf.DUMMYFUNCTION("""COMPUTED_VALUE"""),"Bitbar")</f>
        <v>Bitbar</v>
      </c>
      <c r="X9045" s="33">
        <f>IFERROR(__xludf.DUMMYFUNCTION("""COMPUTED_VALUE"""),1.0)</f>
        <v>1</v>
      </c>
    </row>
    <row r="9046">
      <c r="K9046" s="4" t="str">
        <f>IFERROR(__xludf.DUMMYFUNCTION("""COMPUTED_VALUE"""),"POMME PRODUTOS NATURAIS E SUPLEMENTOS")</f>
        <v>POMME PRODUTOS NATURAIS E SUPLEMENTOS</v>
      </c>
      <c r="L9046" s="32">
        <f>IFERROR(__xludf.DUMMYFUNCTION("""COMPUTED_VALUE"""),1.0)</f>
        <v>1</v>
      </c>
      <c r="M9046" s="4" t="str">
        <f>IFERROR(__xludf.DUMMYFUNCTION("""COMPUTED_VALUE"""),"N/A (Not found)")</f>
        <v>N/A (Not found)</v>
      </c>
      <c r="N9046" s="33">
        <f>IFERROR(__xludf.DUMMYFUNCTION("""COMPUTED_VALUE"""),1.0)</f>
        <v>1</v>
      </c>
      <c r="O9046" s="4" t="str">
        <f>IFERROR(__xludf.DUMMYFUNCTION("""COMPUTED_VALUE"""),"null")</f>
        <v>null</v>
      </c>
      <c r="P9046" s="33">
        <f>IFERROR(__xludf.DUMMYFUNCTION("""COMPUTED_VALUE"""),1.0)</f>
        <v>1</v>
      </c>
      <c r="Q9046" s="4" t="str">
        <f>IFERROR(__xludf.DUMMYFUNCTION("""COMPUTED_VALUE"""),"null")</f>
        <v>null</v>
      </c>
      <c r="R9046" s="33">
        <f>IFERROR(__xludf.DUMMYFUNCTION("""COMPUTED_VALUE"""),1.0)</f>
        <v>1</v>
      </c>
      <c r="S9046" s="4" t="str">
        <f>IFERROR(__xludf.DUMMYFUNCTION("""COMPUTED_VALUE"""),"null")</f>
        <v>null</v>
      </c>
      <c r="T9046" s="33">
        <f>IFERROR(__xludf.DUMMYFUNCTION("""COMPUTED_VALUE"""),1.0)</f>
        <v>1</v>
      </c>
      <c r="U9046" s="4" t="str">
        <f>IFERROR(__xludf.DUMMYFUNCTION("""COMPUTED_VALUE"""),"null")</f>
        <v>null</v>
      </c>
      <c r="V9046" s="33">
        <f>IFERROR(__xludf.DUMMYFUNCTION("""COMPUTED_VALUE"""),1.0)</f>
        <v>1</v>
      </c>
      <c r="W9046" s="4" t="str">
        <f>IFERROR(__xludf.DUMMYFUNCTION("""COMPUTED_VALUE"""),"null")</f>
        <v>null</v>
      </c>
      <c r="X9046" s="33">
        <f>IFERROR(__xludf.DUMMYFUNCTION("""COMPUTED_VALUE"""),1.0)</f>
        <v>1</v>
      </c>
    </row>
    <row r="9047">
      <c r="K9047" s="4" t="str">
        <f>IFERROR(__xludf.DUMMYFUNCTION("""COMPUTED_VALUE"""),"DOCE AFETO DOCES E SALGADOS")</f>
        <v>DOCE AFETO DOCES E SALGADOS</v>
      </c>
      <c r="L9047" s="32">
        <f>IFERROR(__xludf.DUMMYFUNCTION("""COMPUTED_VALUE"""),1.0)</f>
        <v>1</v>
      </c>
      <c r="M9047" s="4" t="str">
        <f>IFERROR(__xludf.DUMMYFUNCTION("""COMPUTED_VALUE"""),"Instadelivery")</f>
        <v>Instadelivery</v>
      </c>
      <c r="N9047" s="33">
        <f>IFERROR(__xludf.DUMMYFUNCTION("""COMPUTED_VALUE"""),1.0)</f>
        <v>1</v>
      </c>
      <c r="O9047" s="4" t="str">
        <f>IFERROR(__xludf.DUMMYFUNCTION("""COMPUTED_VALUE"""),"null")</f>
        <v>null</v>
      </c>
      <c r="P9047" s="33">
        <f>IFERROR(__xludf.DUMMYFUNCTION("""COMPUTED_VALUE"""),1.0)</f>
        <v>1</v>
      </c>
      <c r="Q9047" s="4" t="str">
        <f>IFERROR(__xludf.DUMMYFUNCTION("""COMPUTED_VALUE"""),"null")</f>
        <v>null</v>
      </c>
      <c r="R9047" s="33">
        <f>IFERROR(__xludf.DUMMYFUNCTION("""COMPUTED_VALUE"""),1.0)</f>
        <v>1</v>
      </c>
      <c r="S9047" s="4" t="str">
        <f>IFERROR(__xludf.DUMMYFUNCTION("""COMPUTED_VALUE"""),"null")</f>
        <v>null</v>
      </c>
      <c r="T9047" s="33">
        <f>IFERROR(__xludf.DUMMYFUNCTION("""COMPUTED_VALUE"""),1.0)</f>
        <v>1</v>
      </c>
      <c r="U9047" s="4" t="str">
        <f>IFERROR(__xludf.DUMMYFUNCTION("""COMPUTED_VALUE"""),"null")</f>
        <v>null</v>
      </c>
      <c r="V9047" s="33">
        <f>IFERROR(__xludf.DUMMYFUNCTION("""COMPUTED_VALUE"""),1.0)</f>
        <v>1</v>
      </c>
      <c r="W9047" s="4" t="str">
        <f>IFERROR(__xludf.DUMMYFUNCTION("""COMPUTED_VALUE"""),"null")</f>
        <v>null</v>
      </c>
      <c r="X9047" s="33">
        <f>IFERROR(__xludf.DUMMYFUNCTION("""COMPUTED_VALUE"""),1.0)</f>
        <v>1</v>
      </c>
    </row>
    <row r="9048">
      <c r="K9048" s="4" t="str">
        <f>IFERROR(__xludf.DUMMYFUNCTION("""COMPUTED_VALUE"""),"CORLEONES DELIVERY")</f>
        <v>CORLEONES DELIVERY</v>
      </c>
      <c r="L9048" s="32">
        <f>IFERROR(__xludf.DUMMYFUNCTION("""COMPUTED_VALUE"""),1.0)</f>
        <v>1</v>
      </c>
      <c r="M9048" s="4" t="str">
        <f>IFERROR(__xludf.DUMMYFUNCTION("""COMPUTED_VALUE"""),"Instadelivery")</f>
        <v>Instadelivery</v>
      </c>
      <c r="N9048" s="33">
        <f>IFERROR(__xludf.DUMMYFUNCTION("""COMPUTED_VALUE"""),1.0)</f>
        <v>1</v>
      </c>
      <c r="O9048" s="4" t="str">
        <f>IFERROR(__xludf.DUMMYFUNCTION("""COMPUTED_VALUE"""),"Instadelivery")</f>
        <v>Instadelivery</v>
      </c>
      <c r="P9048" s="33">
        <f>IFERROR(__xludf.DUMMYFUNCTION("""COMPUTED_VALUE"""),1.0)</f>
        <v>1</v>
      </c>
      <c r="Q9048" s="4" t="str">
        <f>IFERROR(__xludf.DUMMYFUNCTION("""COMPUTED_VALUE"""),"null")</f>
        <v>null</v>
      </c>
      <c r="R9048" s="33">
        <f>IFERROR(__xludf.DUMMYFUNCTION("""COMPUTED_VALUE"""),1.0)</f>
        <v>1</v>
      </c>
      <c r="S9048" s="4" t="str">
        <f>IFERROR(__xludf.DUMMYFUNCTION("""COMPUTED_VALUE"""),"null")</f>
        <v>null</v>
      </c>
      <c r="T9048" s="33">
        <f>IFERROR(__xludf.DUMMYFUNCTION("""COMPUTED_VALUE"""),1.0)</f>
        <v>1</v>
      </c>
      <c r="U9048" s="4" t="str">
        <f>IFERROR(__xludf.DUMMYFUNCTION("""COMPUTED_VALUE"""),"null")</f>
        <v>null</v>
      </c>
      <c r="V9048" s="33">
        <f>IFERROR(__xludf.DUMMYFUNCTION("""COMPUTED_VALUE"""),1.0)</f>
        <v>1</v>
      </c>
      <c r="W9048" s="4" t="str">
        <f>IFERROR(__xludf.DUMMYFUNCTION("""COMPUTED_VALUE"""),"null")</f>
        <v>null</v>
      </c>
      <c r="X9048" s="33">
        <f>IFERROR(__xludf.DUMMYFUNCTION("""COMPUTED_VALUE"""),1.0)</f>
        <v>1</v>
      </c>
    </row>
    <row r="9049">
      <c r="K9049" s="4" t="str">
        <f>IFERROR(__xludf.DUMMYFUNCTION("""COMPUTED_VALUE"""),"BENDITA PIZZA LTDA")</f>
        <v>BENDITA PIZZA LTDA</v>
      </c>
      <c r="L9049" s="32">
        <f>IFERROR(__xludf.DUMMYFUNCTION("""COMPUTED_VALUE"""),1.0)</f>
        <v>1</v>
      </c>
      <c r="M9049" s="4" t="str">
        <f>IFERROR(__xludf.DUMMYFUNCTION("""COMPUTED_VALUE"""),"Suitable Tecnologia E Gestao")</f>
        <v>Suitable Tecnologia E Gestao</v>
      </c>
      <c r="N9049" s="33">
        <f>IFERROR(__xludf.DUMMYFUNCTION("""COMPUTED_VALUE"""),1.0)</f>
        <v>1</v>
      </c>
      <c r="O9049" s="4" t="str">
        <f>IFERROR(__xludf.DUMMYFUNCTION("""COMPUTED_VALUE"""),"Suitable Tecnologia E Gestao")</f>
        <v>Suitable Tecnologia E Gestao</v>
      </c>
      <c r="P9049" s="33">
        <f>IFERROR(__xludf.DUMMYFUNCTION("""COMPUTED_VALUE"""),1.0)</f>
        <v>1</v>
      </c>
      <c r="Q9049" s="4" t="str">
        <f>IFERROR(__xludf.DUMMYFUNCTION("""COMPUTED_VALUE"""),"null")</f>
        <v>null</v>
      </c>
      <c r="R9049" s="33">
        <f>IFERROR(__xludf.DUMMYFUNCTION("""COMPUTED_VALUE"""),1.0)</f>
        <v>1</v>
      </c>
      <c r="S9049" s="4" t="str">
        <f>IFERROR(__xludf.DUMMYFUNCTION("""COMPUTED_VALUE"""),"null")</f>
        <v>null</v>
      </c>
      <c r="T9049" s="33">
        <f>IFERROR(__xludf.DUMMYFUNCTION("""COMPUTED_VALUE"""),1.0)</f>
        <v>1</v>
      </c>
      <c r="U9049" s="4" t="str">
        <f>IFERROR(__xludf.DUMMYFUNCTION("""COMPUTED_VALUE"""),"null")</f>
        <v>null</v>
      </c>
      <c r="V9049" s="33">
        <f>IFERROR(__xludf.DUMMYFUNCTION("""COMPUTED_VALUE"""),1.0)</f>
        <v>1</v>
      </c>
      <c r="W9049" s="4" t="str">
        <f>IFERROR(__xludf.DUMMYFUNCTION("""COMPUTED_VALUE"""),"null")</f>
        <v>null</v>
      </c>
      <c r="X9049" s="33">
        <f>IFERROR(__xludf.DUMMYFUNCTION("""COMPUTED_VALUE"""),1.0)</f>
        <v>1</v>
      </c>
    </row>
    <row r="9050">
      <c r="K9050" s="4" t="str">
        <f>IFERROR(__xludf.DUMMYFUNCTION("""COMPUTED_VALUE"""),"COIFFER CASTLE")</f>
        <v>COIFFER CASTLE</v>
      </c>
      <c r="L9050" s="32">
        <f>IFERROR(__xludf.DUMMYFUNCTION("""COMPUTED_VALUE"""),1.0)</f>
        <v>1</v>
      </c>
      <c r="M9050" s="4" t="str">
        <f>IFERROR(__xludf.DUMMYFUNCTION("""COMPUTED_VALUE"""),"null")</f>
        <v>null</v>
      </c>
      <c r="N9050" s="33">
        <f>IFERROR(__xludf.DUMMYFUNCTION("""COMPUTED_VALUE"""),1.0)</f>
        <v>1</v>
      </c>
      <c r="O9050" s="4" t="str">
        <f>IFERROR(__xludf.DUMMYFUNCTION("""COMPUTED_VALUE"""),"null")</f>
        <v>null</v>
      </c>
      <c r="P9050" s="33">
        <f>IFERROR(__xludf.DUMMYFUNCTION("""COMPUTED_VALUE"""),1.0)</f>
        <v>1</v>
      </c>
      <c r="Q9050" s="4" t="str">
        <f>IFERROR(__xludf.DUMMYFUNCTION("""COMPUTED_VALUE"""),"null")</f>
        <v>null</v>
      </c>
      <c r="R9050" s="33">
        <f>IFERROR(__xludf.DUMMYFUNCTION("""COMPUTED_VALUE"""),1.0)</f>
        <v>1</v>
      </c>
      <c r="S9050" s="4" t="str">
        <f>IFERROR(__xludf.DUMMYFUNCTION("""COMPUTED_VALUE"""),"N/A (Not found)")</f>
        <v>N/A (Not found)</v>
      </c>
      <c r="T9050" s="33">
        <f>IFERROR(__xludf.DUMMYFUNCTION("""COMPUTED_VALUE"""),1.0)</f>
        <v>1</v>
      </c>
      <c r="U9050" s="4" t="str">
        <f>IFERROR(__xludf.DUMMYFUNCTION("""COMPUTED_VALUE"""),"null")</f>
        <v>null</v>
      </c>
      <c r="V9050" s="33">
        <f>IFERROR(__xludf.DUMMYFUNCTION("""COMPUTED_VALUE"""),1.0)</f>
        <v>1</v>
      </c>
      <c r="W9050" s="4" t="str">
        <f>IFERROR(__xludf.DUMMYFUNCTION("""COMPUTED_VALUE"""),"null")</f>
        <v>null</v>
      </c>
      <c r="X9050" s="33">
        <f>IFERROR(__xludf.DUMMYFUNCTION("""COMPUTED_VALUE"""),1.0)</f>
        <v>1</v>
      </c>
    </row>
    <row r="9051">
      <c r="K9051" s="4" t="str">
        <f>IFERROR(__xludf.DUMMYFUNCTION("""COMPUTED_VALUE"""),"PRONTO - HAMBURGUER E MAIS")</f>
        <v>PRONTO - HAMBURGUER E MAIS</v>
      </c>
      <c r="L9051" s="32">
        <f>IFERROR(__xludf.DUMMYFUNCTION("""COMPUTED_VALUE"""),1.0)</f>
        <v>1</v>
      </c>
      <c r="M9051" s="4" t="str">
        <f>IFERROR(__xludf.DUMMYFUNCTION("""COMPUTED_VALUE"""),"Instadelivery")</f>
        <v>Instadelivery</v>
      </c>
      <c r="N9051" s="33">
        <f>IFERROR(__xludf.DUMMYFUNCTION("""COMPUTED_VALUE"""),1.0)</f>
        <v>1</v>
      </c>
      <c r="O9051" s="4" t="str">
        <f>IFERROR(__xludf.DUMMYFUNCTION("""COMPUTED_VALUE"""),"Saipos Serviços De Software")</f>
        <v>Saipos Serviços De Software</v>
      </c>
      <c r="P9051" s="33">
        <f>IFERROR(__xludf.DUMMYFUNCTION("""COMPUTED_VALUE"""),1.0)</f>
        <v>1</v>
      </c>
      <c r="Q9051" s="4" t="str">
        <f>IFERROR(__xludf.DUMMYFUNCTION("""COMPUTED_VALUE"""),"Saipos Serviços De Software")</f>
        <v>Saipos Serviços De Software</v>
      </c>
      <c r="R9051" s="33">
        <f>IFERROR(__xludf.DUMMYFUNCTION("""COMPUTED_VALUE"""),1.0)</f>
        <v>1</v>
      </c>
      <c r="S9051" s="4" t="str">
        <f>IFERROR(__xludf.DUMMYFUNCTION("""COMPUTED_VALUE"""),"Saipos Serviços De Software")</f>
        <v>Saipos Serviços De Software</v>
      </c>
      <c r="T9051" s="33">
        <f>IFERROR(__xludf.DUMMYFUNCTION("""COMPUTED_VALUE"""),1.0)</f>
        <v>1</v>
      </c>
      <c r="U9051" s="4" t="str">
        <f>IFERROR(__xludf.DUMMYFUNCTION("""COMPUTED_VALUE"""),"Saipos Serviços De Software")</f>
        <v>Saipos Serviços De Software</v>
      </c>
      <c r="V9051" s="33">
        <f>IFERROR(__xludf.DUMMYFUNCTION("""COMPUTED_VALUE"""),1.0)</f>
        <v>1</v>
      </c>
      <c r="W9051" s="4" t="str">
        <f>IFERROR(__xludf.DUMMYFUNCTION("""COMPUTED_VALUE"""),"null")</f>
        <v>null</v>
      </c>
      <c r="X9051" s="33">
        <f>IFERROR(__xludf.DUMMYFUNCTION("""COMPUTED_VALUE"""),1.0)</f>
        <v>1</v>
      </c>
    </row>
    <row r="9052">
      <c r="K9052" s="4" t="str">
        <f>IFERROR(__xludf.DUMMYFUNCTION("""COMPUTED_VALUE"""),"MISTER SANDUBA DO VINI")</f>
        <v>MISTER SANDUBA DO VINI</v>
      </c>
      <c r="L9052" s="32">
        <f>IFERROR(__xludf.DUMMYFUNCTION("""COMPUTED_VALUE"""),1.0)</f>
        <v>1</v>
      </c>
      <c r="M9052" s="4" t="str">
        <f>IFERROR(__xludf.DUMMYFUNCTION("""COMPUTED_VALUE"""),"Brendi")</f>
        <v>Brendi</v>
      </c>
      <c r="N9052" s="33">
        <f>IFERROR(__xludf.DUMMYFUNCTION("""COMPUTED_VALUE"""),1.0)</f>
        <v>1</v>
      </c>
      <c r="O9052" s="4" t="str">
        <f>IFERROR(__xludf.DUMMYFUNCTION("""COMPUTED_VALUE"""),"Brendi")</f>
        <v>Brendi</v>
      </c>
      <c r="P9052" s="33">
        <f>IFERROR(__xludf.DUMMYFUNCTION("""COMPUTED_VALUE"""),1.0)</f>
        <v>1</v>
      </c>
      <c r="Q9052" s="4" t="str">
        <f>IFERROR(__xludf.DUMMYFUNCTION("""COMPUTED_VALUE"""),"Brendi")</f>
        <v>Brendi</v>
      </c>
      <c r="R9052" s="33">
        <f>IFERROR(__xludf.DUMMYFUNCTION("""COMPUTED_VALUE"""),1.0)</f>
        <v>1</v>
      </c>
      <c r="S9052" s="4" t="str">
        <f>IFERROR(__xludf.DUMMYFUNCTION("""COMPUTED_VALUE"""),"Brendi")</f>
        <v>Brendi</v>
      </c>
      <c r="T9052" s="33">
        <f>IFERROR(__xludf.DUMMYFUNCTION("""COMPUTED_VALUE"""),1.0)</f>
        <v>1</v>
      </c>
      <c r="U9052" s="4" t="str">
        <f>IFERROR(__xludf.DUMMYFUNCTION("""COMPUTED_VALUE"""),"Brendi")</f>
        <v>Brendi</v>
      </c>
      <c r="V9052" s="33">
        <f>IFERROR(__xludf.DUMMYFUNCTION("""COMPUTED_VALUE"""),1.0)</f>
        <v>1</v>
      </c>
      <c r="W9052" s="4" t="str">
        <f>IFERROR(__xludf.DUMMYFUNCTION("""COMPUTED_VALUE"""),"Brendi")</f>
        <v>Brendi</v>
      </c>
      <c r="X9052" s="33">
        <f>IFERROR(__xludf.DUMMYFUNCTION("""COMPUTED_VALUE"""),1.0)</f>
        <v>1</v>
      </c>
    </row>
    <row r="9053">
      <c r="K9053" s="4" t="str">
        <f>IFERROR(__xludf.DUMMYFUNCTION("""COMPUTED_VALUE"""),"FLOCOS DE ACUCAR - BOLOS E DOCES")</f>
        <v>FLOCOS DE ACUCAR - BOLOS E DOCES</v>
      </c>
      <c r="L9053" s="32">
        <f>IFERROR(__xludf.DUMMYFUNCTION("""COMPUTED_VALUE"""),1.0)</f>
        <v>1</v>
      </c>
      <c r="M9053" s="4" t="str">
        <f>IFERROR(__xludf.DUMMYFUNCTION("""COMPUTED_VALUE"""),"Instadelivery")</f>
        <v>Instadelivery</v>
      </c>
      <c r="N9053" s="33">
        <f>IFERROR(__xludf.DUMMYFUNCTION("""COMPUTED_VALUE"""),1.0)</f>
        <v>1</v>
      </c>
      <c r="O9053" s="4" t="str">
        <f>IFERROR(__xludf.DUMMYFUNCTION("""COMPUTED_VALUE"""),"Instadelivery")</f>
        <v>Instadelivery</v>
      </c>
      <c r="P9053" s="33">
        <f>IFERROR(__xludf.DUMMYFUNCTION("""COMPUTED_VALUE"""),1.0)</f>
        <v>1</v>
      </c>
      <c r="Q9053" s="4" t="str">
        <f>IFERROR(__xludf.DUMMYFUNCTION("""COMPUTED_VALUE"""),"null")</f>
        <v>null</v>
      </c>
      <c r="R9053" s="33">
        <f>IFERROR(__xludf.DUMMYFUNCTION("""COMPUTED_VALUE"""),1.0)</f>
        <v>1</v>
      </c>
      <c r="S9053" s="4" t="str">
        <f>IFERROR(__xludf.DUMMYFUNCTION("""COMPUTED_VALUE"""),"null")</f>
        <v>null</v>
      </c>
      <c r="T9053" s="33">
        <f>IFERROR(__xludf.DUMMYFUNCTION("""COMPUTED_VALUE"""),1.0)</f>
        <v>1</v>
      </c>
      <c r="U9053" s="4" t="str">
        <f>IFERROR(__xludf.DUMMYFUNCTION("""COMPUTED_VALUE"""),"null")</f>
        <v>null</v>
      </c>
      <c r="V9053" s="33">
        <f>IFERROR(__xludf.DUMMYFUNCTION("""COMPUTED_VALUE"""),1.0)</f>
        <v>1</v>
      </c>
      <c r="W9053" s="4" t="str">
        <f>IFERROR(__xludf.DUMMYFUNCTION("""COMPUTED_VALUE"""),"null")</f>
        <v>null</v>
      </c>
      <c r="X9053" s="33">
        <f>IFERROR(__xludf.DUMMYFUNCTION("""COMPUTED_VALUE"""),1.0)</f>
        <v>1</v>
      </c>
    </row>
    <row r="9054">
      <c r="K9054" s="4" t="str">
        <f>IFERROR(__xludf.DUMMYFUNCTION("""COMPUTED_VALUE"""),"PIZZARIA PRIMARELLA")</f>
        <v>PIZZARIA PRIMARELLA</v>
      </c>
      <c r="L9054" s="32">
        <f>IFERROR(__xludf.DUMMYFUNCTION("""COMPUTED_VALUE"""),1.0)</f>
        <v>1</v>
      </c>
      <c r="M9054" s="4" t="str">
        <f>IFERROR(__xludf.DUMMYFUNCTION("""COMPUTED_VALUE"""),"Anota Ai Solucoes Digitais S/a")</f>
        <v>Anota Ai Solucoes Digitais S/a</v>
      </c>
      <c r="N9054" s="33">
        <f>IFERROR(__xludf.DUMMYFUNCTION("""COMPUTED_VALUE"""),1.0)</f>
        <v>1</v>
      </c>
      <c r="O9054" s="4" t="str">
        <f>IFERROR(__xludf.DUMMYFUNCTION("""COMPUTED_VALUE"""),"null")</f>
        <v>null</v>
      </c>
      <c r="P9054" s="33">
        <f>IFERROR(__xludf.DUMMYFUNCTION("""COMPUTED_VALUE"""),1.0)</f>
        <v>1</v>
      </c>
      <c r="Q9054" s="4" t="str">
        <f>IFERROR(__xludf.DUMMYFUNCTION("""COMPUTED_VALUE"""),"Anota Ai Solucoes Digitais S/a")</f>
        <v>Anota Ai Solucoes Digitais S/a</v>
      </c>
      <c r="R9054" s="33">
        <f>IFERROR(__xludf.DUMMYFUNCTION("""COMPUTED_VALUE"""),1.0)</f>
        <v>1</v>
      </c>
      <c r="S9054" s="4" t="str">
        <f>IFERROR(__xludf.DUMMYFUNCTION("""COMPUTED_VALUE"""),"null")</f>
        <v>null</v>
      </c>
      <c r="T9054" s="33">
        <f>IFERROR(__xludf.DUMMYFUNCTION("""COMPUTED_VALUE"""),1.0)</f>
        <v>1</v>
      </c>
      <c r="U9054" s="4" t="str">
        <f>IFERROR(__xludf.DUMMYFUNCTION("""COMPUTED_VALUE"""),"null")</f>
        <v>null</v>
      </c>
      <c r="V9054" s="33">
        <f>IFERROR(__xludf.DUMMYFUNCTION("""COMPUTED_VALUE"""),1.0)</f>
        <v>1</v>
      </c>
      <c r="W9054" s="4" t="str">
        <f>IFERROR(__xludf.DUMMYFUNCTION("""COMPUTED_VALUE"""),"null")</f>
        <v>null</v>
      </c>
      <c r="X9054" s="33">
        <f>IFERROR(__xludf.DUMMYFUNCTION("""COMPUTED_VALUE"""),1.0)</f>
        <v>1</v>
      </c>
    </row>
    <row r="9055">
      <c r="K9055" s="4" t="str">
        <f>IFERROR(__xludf.DUMMYFUNCTION("""COMPUTED_VALUE"""),"ACAI DUBE")</f>
        <v>ACAI DUBE</v>
      </c>
      <c r="L9055" s="32">
        <f>IFERROR(__xludf.DUMMYFUNCTION("""COMPUTED_VALUE"""),1.0)</f>
        <v>1</v>
      </c>
      <c r="M9055" s="4" t="str">
        <f>IFERROR(__xludf.DUMMYFUNCTION("""COMPUTED_VALUE"""),"Connectplug")</f>
        <v>Connectplug</v>
      </c>
      <c r="N9055" s="33">
        <f>IFERROR(__xludf.DUMMYFUNCTION("""COMPUTED_VALUE"""),1.0)</f>
        <v>1</v>
      </c>
      <c r="O9055" s="4" t="str">
        <f>IFERROR(__xludf.DUMMYFUNCTION("""COMPUTED_VALUE"""),"Connectplug")</f>
        <v>Connectplug</v>
      </c>
      <c r="P9055" s="33">
        <f>IFERROR(__xludf.DUMMYFUNCTION("""COMPUTED_VALUE"""),1.0)</f>
        <v>1</v>
      </c>
      <c r="Q9055" s="4" t="str">
        <f>IFERROR(__xludf.DUMMYFUNCTION("""COMPUTED_VALUE"""),"Connectplug")</f>
        <v>Connectplug</v>
      </c>
      <c r="R9055" s="33">
        <f>IFERROR(__xludf.DUMMYFUNCTION("""COMPUTED_VALUE"""),1.0)</f>
        <v>1</v>
      </c>
      <c r="S9055" s="4" t="str">
        <f>IFERROR(__xludf.DUMMYFUNCTION("""COMPUTED_VALUE"""),"Connectplug")</f>
        <v>Connectplug</v>
      </c>
      <c r="T9055" s="33">
        <f>IFERROR(__xludf.DUMMYFUNCTION("""COMPUTED_VALUE"""),1.0)</f>
        <v>1</v>
      </c>
      <c r="U9055" s="4" t="str">
        <f>IFERROR(__xludf.DUMMYFUNCTION("""COMPUTED_VALUE"""),"Connectplug")</f>
        <v>Connectplug</v>
      </c>
      <c r="V9055" s="33">
        <f>IFERROR(__xludf.DUMMYFUNCTION("""COMPUTED_VALUE"""),1.0)</f>
        <v>1</v>
      </c>
      <c r="W9055" s="4" t="str">
        <f>IFERROR(__xludf.DUMMYFUNCTION("""COMPUTED_VALUE"""),"Connectplug")</f>
        <v>Connectplug</v>
      </c>
      <c r="X9055" s="33">
        <f>IFERROR(__xludf.DUMMYFUNCTION("""COMPUTED_VALUE"""),1.0)</f>
        <v>1</v>
      </c>
    </row>
    <row r="9056">
      <c r="K9056" s="4" t="str">
        <f>IFERROR(__xludf.DUMMYFUNCTION("""COMPUTED_VALUE"""),"MARCO ZERO - CAFE")</f>
        <v>MARCO ZERO - CAFE</v>
      </c>
      <c r="L9056" s="32">
        <f>IFERROR(__xludf.DUMMYFUNCTION("""COMPUTED_VALUE"""),1.0)</f>
        <v>1</v>
      </c>
      <c r="M9056" s="4" t="str">
        <f>IFERROR(__xludf.DUMMYFUNCTION("""COMPUTED_VALUE"""),"Cardápio Web")</f>
        <v>Cardápio Web</v>
      </c>
      <c r="N9056" s="33">
        <f>IFERROR(__xludf.DUMMYFUNCTION("""COMPUTED_VALUE"""),1.0)</f>
        <v>1</v>
      </c>
      <c r="O9056" s="4" t="str">
        <f>IFERROR(__xludf.DUMMYFUNCTION("""COMPUTED_VALUE"""),"Cardápio Web")</f>
        <v>Cardápio Web</v>
      </c>
      <c r="P9056" s="33">
        <f>IFERROR(__xludf.DUMMYFUNCTION("""COMPUTED_VALUE"""),1.0)</f>
        <v>1</v>
      </c>
      <c r="Q9056" s="4" t="str">
        <f>IFERROR(__xludf.DUMMYFUNCTION("""COMPUTED_VALUE"""),"Cardápio Web")</f>
        <v>Cardápio Web</v>
      </c>
      <c r="R9056" s="33">
        <f>IFERROR(__xludf.DUMMYFUNCTION("""COMPUTED_VALUE"""),1.0)</f>
        <v>1</v>
      </c>
      <c r="S9056" s="4" t="str">
        <f>IFERROR(__xludf.DUMMYFUNCTION("""COMPUTED_VALUE"""),"Cardápio Web")</f>
        <v>Cardápio Web</v>
      </c>
      <c r="T9056" s="33">
        <f>IFERROR(__xludf.DUMMYFUNCTION("""COMPUTED_VALUE"""),1.0)</f>
        <v>1</v>
      </c>
      <c r="U9056" s="4" t="str">
        <f>IFERROR(__xludf.DUMMYFUNCTION("""COMPUTED_VALUE"""),"null")</f>
        <v>null</v>
      </c>
      <c r="V9056" s="33">
        <f>IFERROR(__xludf.DUMMYFUNCTION("""COMPUTED_VALUE"""),1.0)</f>
        <v>1</v>
      </c>
      <c r="W9056" s="4" t="str">
        <f>IFERROR(__xludf.DUMMYFUNCTION("""COMPUTED_VALUE"""),"null")</f>
        <v>null</v>
      </c>
      <c r="X9056" s="33">
        <f>IFERROR(__xludf.DUMMYFUNCTION("""COMPUTED_VALUE"""),1.0)</f>
        <v>1</v>
      </c>
    </row>
    <row r="9057">
      <c r="K9057" s="4" t="str">
        <f>IFERROR(__xludf.DUMMYFUNCTION("""COMPUTED_VALUE"""),"MIX FARMA")</f>
        <v>MIX FARMA</v>
      </c>
      <c r="L9057" s="32">
        <f>IFERROR(__xludf.DUMMYFUNCTION("""COMPUTED_VALUE"""),1.0)</f>
        <v>1</v>
      </c>
      <c r="M9057" s="4" t="str">
        <f>IFERROR(__xludf.DUMMYFUNCTION("""COMPUTED_VALUE"""),"N/A (Not found)")</f>
        <v>N/A (Not found)</v>
      </c>
      <c r="N9057" s="33">
        <f>IFERROR(__xludf.DUMMYFUNCTION("""COMPUTED_VALUE"""),1.0)</f>
        <v>1</v>
      </c>
      <c r="O9057" s="4" t="str">
        <f>IFERROR(__xludf.DUMMYFUNCTION("""COMPUTED_VALUE"""),"N/A (Not found)")</f>
        <v>N/A (Not found)</v>
      </c>
      <c r="P9057" s="33">
        <f>IFERROR(__xludf.DUMMYFUNCTION("""COMPUTED_VALUE"""),1.0)</f>
        <v>1</v>
      </c>
      <c r="Q9057" s="4" t="str">
        <f>IFERROR(__xludf.DUMMYFUNCTION("""COMPUTED_VALUE"""),"N/A (Not found)")</f>
        <v>N/A (Not found)</v>
      </c>
      <c r="R9057" s="33">
        <f>IFERROR(__xludf.DUMMYFUNCTION("""COMPUTED_VALUE"""),1.0)</f>
        <v>1</v>
      </c>
      <c r="S9057" s="4" t="str">
        <f>IFERROR(__xludf.DUMMYFUNCTION("""COMPUTED_VALUE"""),"N/A (Not found)")</f>
        <v>N/A (Not found)</v>
      </c>
      <c r="T9057" s="33">
        <f>IFERROR(__xludf.DUMMYFUNCTION("""COMPUTED_VALUE"""),1.0)</f>
        <v>1</v>
      </c>
      <c r="U9057" s="4" t="str">
        <f>IFERROR(__xludf.DUMMYFUNCTION("""COMPUTED_VALUE"""),"N/A (Not found)")</f>
        <v>N/A (Not found)</v>
      </c>
      <c r="V9057" s="33">
        <f>IFERROR(__xludf.DUMMYFUNCTION("""COMPUTED_VALUE"""),1.0)</f>
        <v>1</v>
      </c>
      <c r="W9057" s="4" t="str">
        <f>IFERROR(__xludf.DUMMYFUNCTION("""COMPUTED_VALUE"""),"N/A (Not found)")</f>
        <v>N/A (Not found)</v>
      </c>
      <c r="X9057" s="33">
        <f>IFERROR(__xludf.DUMMYFUNCTION("""COMPUTED_VALUE"""),1.0)</f>
        <v>1</v>
      </c>
    </row>
    <row r="9058">
      <c r="K9058" s="4" t="str">
        <f>IFERROR(__xludf.DUMMYFUNCTION("""COMPUTED_VALUE"""),"SEU ZE DELIVERY DE BEBIDAS")</f>
        <v>SEU ZE DELIVERY DE BEBIDAS</v>
      </c>
      <c r="L9058" s="32">
        <f>IFERROR(__xludf.DUMMYFUNCTION("""COMPUTED_VALUE"""),1.0)</f>
        <v>1</v>
      </c>
      <c r="M9058" s="4" t="str">
        <f>IFERROR(__xludf.DUMMYFUNCTION("""COMPUTED_VALUE"""),"null")</f>
        <v>null</v>
      </c>
      <c r="N9058" s="33">
        <f>IFERROR(__xludf.DUMMYFUNCTION("""COMPUTED_VALUE"""),1.0)</f>
        <v>1</v>
      </c>
      <c r="O9058" s="4" t="str">
        <f>IFERROR(__xludf.DUMMYFUNCTION("""COMPUTED_VALUE"""),"null")</f>
        <v>null</v>
      </c>
      <c r="P9058" s="33">
        <f>IFERROR(__xludf.DUMMYFUNCTION("""COMPUTED_VALUE"""),1.0)</f>
        <v>1</v>
      </c>
      <c r="Q9058" s="4" t="str">
        <f>IFERROR(__xludf.DUMMYFUNCTION("""COMPUTED_VALUE"""),"Anota Ai Solucoes Digitais S/a")</f>
        <v>Anota Ai Solucoes Digitais S/a</v>
      </c>
      <c r="R9058" s="33">
        <f>IFERROR(__xludf.DUMMYFUNCTION("""COMPUTED_VALUE"""),1.0)</f>
        <v>1</v>
      </c>
      <c r="S9058" s="4" t="str">
        <f>IFERROR(__xludf.DUMMYFUNCTION("""COMPUTED_VALUE"""),"Anota Ai Solucoes Digitais S/a")</f>
        <v>Anota Ai Solucoes Digitais S/a</v>
      </c>
      <c r="T9058" s="33">
        <f>IFERROR(__xludf.DUMMYFUNCTION("""COMPUTED_VALUE"""),1.0)</f>
        <v>1</v>
      </c>
      <c r="U9058" s="4" t="str">
        <f>IFERROR(__xludf.DUMMYFUNCTION("""COMPUTED_VALUE"""),"Anota Ai Solucoes Digitais S/a")</f>
        <v>Anota Ai Solucoes Digitais S/a</v>
      </c>
      <c r="V9058" s="33">
        <f>IFERROR(__xludf.DUMMYFUNCTION("""COMPUTED_VALUE"""),1.0)</f>
        <v>1</v>
      </c>
      <c r="W9058" s="4" t="str">
        <f>IFERROR(__xludf.DUMMYFUNCTION("""COMPUTED_VALUE"""),"Anota Ai Solucoes Digitais S/a")</f>
        <v>Anota Ai Solucoes Digitais S/a</v>
      </c>
      <c r="X9058" s="33">
        <f>IFERROR(__xludf.DUMMYFUNCTION("""COMPUTED_VALUE"""),1.0)</f>
        <v>1</v>
      </c>
    </row>
    <row r="9059">
      <c r="K9059" s="4" t="str">
        <f>IFERROR(__xludf.DUMMYFUNCTION("""COMPUTED_VALUE"""),"BICHO PORRETA PET SHOP")</f>
        <v>BICHO PORRETA PET SHOP</v>
      </c>
      <c r="L9059" s="32">
        <f>IFERROR(__xludf.DUMMYFUNCTION("""COMPUTED_VALUE"""),1.0)</f>
        <v>1</v>
      </c>
      <c r="M9059" s="4" t="str">
        <f>IFERROR(__xludf.DUMMYFUNCTION("""COMPUTED_VALUE"""),"N/A (Not found)")</f>
        <v>N/A (Not found)</v>
      </c>
      <c r="N9059" s="33">
        <f>IFERROR(__xludf.DUMMYFUNCTION("""COMPUTED_VALUE"""),1.0)</f>
        <v>1</v>
      </c>
      <c r="O9059" s="4" t="str">
        <f>IFERROR(__xludf.DUMMYFUNCTION("""COMPUTED_VALUE"""),"N/A (Not found)")</f>
        <v>N/A (Not found)</v>
      </c>
      <c r="P9059" s="33">
        <f>IFERROR(__xludf.DUMMYFUNCTION("""COMPUTED_VALUE"""),1.0)</f>
        <v>1</v>
      </c>
      <c r="Q9059" s="4" t="str">
        <f>IFERROR(__xludf.DUMMYFUNCTION("""COMPUTED_VALUE"""),"N/A (Not found)")</f>
        <v>N/A (Not found)</v>
      </c>
      <c r="R9059" s="33">
        <f>IFERROR(__xludf.DUMMYFUNCTION("""COMPUTED_VALUE"""),1.0)</f>
        <v>1</v>
      </c>
      <c r="S9059" s="4" t="str">
        <f>IFERROR(__xludf.DUMMYFUNCTION("""COMPUTED_VALUE"""),"N/A (Not found)")</f>
        <v>N/A (Not found)</v>
      </c>
      <c r="T9059" s="33">
        <f>IFERROR(__xludf.DUMMYFUNCTION("""COMPUTED_VALUE"""),1.0)</f>
        <v>1</v>
      </c>
      <c r="U9059" s="4" t="str">
        <f>IFERROR(__xludf.DUMMYFUNCTION("""COMPUTED_VALUE"""),"null")</f>
        <v>null</v>
      </c>
      <c r="V9059" s="33">
        <f>IFERROR(__xludf.DUMMYFUNCTION("""COMPUTED_VALUE"""),1.0)</f>
        <v>1</v>
      </c>
      <c r="W9059" s="4" t="str">
        <f>IFERROR(__xludf.DUMMYFUNCTION("""COMPUTED_VALUE"""),"null")</f>
        <v>null</v>
      </c>
      <c r="X9059" s="33">
        <f>IFERROR(__xludf.DUMMYFUNCTION("""COMPUTED_VALUE"""),1.0)</f>
        <v>1</v>
      </c>
    </row>
    <row r="9060">
      <c r="K9060" s="4" t="str">
        <f>IFERROR(__xludf.DUMMYFUNCTION("""COMPUTED_VALUE"""),"PIZZARIA BOLONHA DELIVERY")</f>
        <v>PIZZARIA BOLONHA DELIVERY</v>
      </c>
      <c r="L9060" s="32">
        <f>IFERROR(__xludf.DUMMYFUNCTION("""COMPUTED_VALUE"""),1.0)</f>
        <v>1</v>
      </c>
      <c r="M9060" s="4" t="str">
        <f>IFERROR(__xludf.DUMMYFUNCTION("""COMPUTED_VALUE"""),"null")</f>
        <v>null</v>
      </c>
      <c r="N9060" s="33">
        <f>IFERROR(__xludf.DUMMYFUNCTION("""COMPUTED_VALUE"""),1.0)</f>
        <v>1</v>
      </c>
      <c r="O9060" s="4" t="str">
        <f>IFERROR(__xludf.DUMMYFUNCTION("""COMPUTED_VALUE"""),"null")</f>
        <v>null</v>
      </c>
      <c r="P9060" s="33">
        <f>IFERROR(__xludf.DUMMYFUNCTION("""COMPUTED_VALUE"""),1.0)</f>
        <v>1</v>
      </c>
      <c r="Q9060" s="4" t="str">
        <f>IFERROR(__xludf.DUMMYFUNCTION("""COMPUTED_VALUE"""),"Yooga")</f>
        <v>Yooga</v>
      </c>
      <c r="R9060" s="33">
        <f>IFERROR(__xludf.DUMMYFUNCTION("""COMPUTED_VALUE"""),1.0)</f>
        <v>1</v>
      </c>
      <c r="S9060" s="4" t="str">
        <f>IFERROR(__xludf.DUMMYFUNCTION("""COMPUTED_VALUE"""),"Yooga")</f>
        <v>Yooga</v>
      </c>
      <c r="T9060" s="33">
        <f>IFERROR(__xludf.DUMMYFUNCTION("""COMPUTED_VALUE"""),1.0)</f>
        <v>1</v>
      </c>
      <c r="U9060" s="4" t="str">
        <f>IFERROR(__xludf.DUMMYFUNCTION("""COMPUTED_VALUE"""),"Yooga")</f>
        <v>Yooga</v>
      </c>
      <c r="V9060" s="33">
        <f>IFERROR(__xludf.DUMMYFUNCTION("""COMPUTED_VALUE"""),1.0)</f>
        <v>1</v>
      </c>
      <c r="W9060" s="4" t="str">
        <f>IFERROR(__xludf.DUMMYFUNCTION("""COMPUTED_VALUE"""),"Yooga")</f>
        <v>Yooga</v>
      </c>
      <c r="X9060" s="33">
        <f>IFERROR(__xludf.DUMMYFUNCTION("""COMPUTED_VALUE"""),1.0)</f>
        <v>1</v>
      </c>
    </row>
    <row r="9061">
      <c r="K9061" s="4" t="str">
        <f>IFERROR(__xludf.DUMMYFUNCTION("""COMPUTED_VALUE"""),"SABOR DE FAMILIA DA TIA DEIA")</f>
        <v>SABOR DE FAMILIA DA TIA DEIA</v>
      </c>
      <c r="L9061" s="32">
        <f>IFERROR(__xludf.DUMMYFUNCTION("""COMPUTED_VALUE"""),1.0)</f>
        <v>1</v>
      </c>
      <c r="M9061" s="4" t="str">
        <f>IFERROR(__xludf.DUMMYFUNCTION("""COMPUTED_VALUE"""),"Datacaixa Pdv")</f>
        <v>Datacaixa Pdv</v>
      </c>
      <c r="N9061" s="33">
        <f>IFERROR(__xludf.DUMMYFUNCTION("""COMPUTED_VALUE"""),1.0)</f>
        <v>1</v>
      </c>
      <c r="O9061" s="4" t="str">
        <f>IFERROR(__xludf.DUMMYFUNCTION("""COMPUTED_VALUE"""),"Datacaixa Pdv")</f>
        <v>Datacaixa Pdv</v>
      </c>
      <c r="P9061" s="33">
        <f>IFERROR(__xludf.DUMMYFUNCTION("""COMPUTED_VALUE"""),1.0)</f>
        <v>1</v>
      </c>
      <c r="Q9061" s="4" t="str">
        <f>IFERROR(__xludf.DUMMYFUNCTION("""COMPUTED_VALUE"""),"Datacaixa Pdv")</f>
        <v>Datacaixa Pdv</v>
      </c>
      <c r="R9061" s="33">
        <f>IFERROR(__xludf.DUMMYFUNCTION("""COMPUTED_VALUE"""),1.0)</f>
        <v>1</v>
      </c>
      <c r="S9061" s="4" t="str">
        <f>IFERROR(__xludf.DUMMYFUNCTION("""COMPUTED_VALUE"""),"null")</f>
        <v>null</v>
      </c>
      <c r="T9061" s="33">
        <f>IFERROR(__xludf.DUMMYFUNCTION("""COMPUTED_VALUE"""),1.0)</f>
        <v>1</v>
      </c>
      <c r="U9061" s="4" t="str">
        <f>IFERROR(__xludf.DUMMYFUNCTION("""COMPUTED_VALUE"""),"null")</f>
        <v>null</v>
      </c>
      <c r="V9061" s="33">
        <f>IFERROR(__xludf.DUMMYFUNCTION("""COMPUTED_VALUE"""),1.0)</f>
        <v>1</v>
      </c>
      <c r="W9061" s="4" t="str">
        <f>IFERROR(__xludf.DUMMYFUNCTION("""COMPUTED_VALUE"""),"null")</f>
        <v>null</v>
      </c>
      <c r="X9061" s="33">
        <f>IFERROR(__xludf.DUMMYFUNCTION("""COMPUTED_VALUE"""),1.0)</f>
        <v>1</v>
      </c>
    </row>
    <row r="9062">
      <c r="K9062" s="4" t="str">
        <f>IFERROR(__xludf.DUMMYFUNCTION("""COMPUTED_VALUE"""),"LUI FRATELLI QUIOSQUE")</f>
        <v>LUI FRATELLI QUIOSQUE</v>
      </c>
      <c r="L9062" s="32">
        <f>IFERROR(__xludf.DUMMYFUNCTION("""COMPUTED_VALUE"""),1.0)</f>
        <v>1</v>
      </c>
      <c r="M9062" s="4" t="str">
        <f>IFERROR(__xludf.DUMMYFUNCTION("""COMPUTED_VALUE"""),"Cardápio Web")</f>
        <v>Cardápio Web</v>
      </c>
      <c r="N9062" s="33">
        <f>IFERROR(__xludf.DUMMYFUNCTION("""COMPUTED_VALUE"""),1.0)</f>
        <v>1</v>
      </c>
      <c r="O9062" s="4" t="str">
        <f>IFERROR(__xludf.DUMMYFUNCTION("""COMPUTED_VALUE"""),"Cardápio Web")</f>
        <v>Cardápio Web</v>
      </c>
      <c r="P9062" s="33">
        <f>IFERROR(__xludf.DUMMYFUNCTION("""COMPUTED_VALUE"""),1.0)</f>
        <v>1</v>
      </c>
      <c r="Q9062" s="4" t="str">
        <f>IFERROR(__xludf.DUMMYFUNCTION("""COMPUTED_VALUE"""),"Cardápio Web")</f>
        <v>Cardápio Web</v>
      </c>
      <c r="R9062" s="33">
        <f>IFERROR(__xludf.DUMMYFUNCTION("""COMPUTED_VALUE"""),1.0)</f>
        <v>1</v>
      </c>
      <c r="S9062" s="4" t="str">
        <f>IFERROR(__xludf.DUMMYFUNCTION("""COMPUTED_VALUE"""),"Cardápio Web")</f>
        <v>Cardápio Web</v>
      </c>
      <c r="T9062" s="33">
        <f>IFERROR(__xludf.DUMMYFUNCTION("""COMPUTED_VALUE"""),1.0)</f>
        <v>1</v>
      </c>
      <c r="U9062" s="4" t="str">
        <f>IFERROR(__xludf.DUMMYFUNCTION("""COMPUTED_VALUE"""),"Cardápio Web")</f>
        <v>Cardápio Web</v>
      </c>
      <c r="V9062" s="33">
        <f>IFERROR(__xludf.DUMMYFUNCTION("""COMPUTED_VALUE"""),1.0)</f>
        <v>1</v>
      </c>
      <c r="W9062" s="4" t="str">
        <f>IFERROR(__xludf.DUMMYFUNCTION("""COMPUTED_VALUE"""),"Cardápio Web")</f>
        <v>Cardápio Web</v>
      </c>
      <c r="X9062" s="33">
        <f>IFERROR(__xludf.DUMMYFUNCTION("""COMPUTED_VALUE"""),1.0)</f>
        <v>1</v>
      </c>
    </row>
    <row r="9063">
      <c r="K9063" s="4" t="str">
        <f>IFERROR(__xludf.DUMMYFUNCTION("""COMPUTED_VALUE"""),"CESTA DE AMOR - CESTA FLORES E PRESENTES")</f>
        <v>CESTA DE AMOR - CESTA FLORES E PRESENTES</v>
      </c>
      <c r="L9063" s="32">
        <f>IFERROR(__xludf.DUMMYFUNCTION("""COMPUTED_VALUE"""),1.0)</f>
        <v>1</v>
      </c>
      <c r="M9063" s="4" t="str">
        <f>IFERROR(__xludf.DUMMYFUNCTION("""COMPUTED_VALUE"""),"N/A (Not found)")</f>
        <v>N/A (Not found)</v>
      </c>
      <c r="N9063" s="33">
        <f>IFERROR(__xludf.DUMMYFUNCTION("""COMPUTED_VALUE"""),1.0)</f>
        <v>1</v>
      </c>
      <c r="O9063" s="4" t="str">
        <f>IFERROR(__xludf.DUMMYFUNCTION("""COMPUTED_VALUE"""),"N/A (Not found)")</f>
        <v>N/A (Not found)</v>
      </c>
      <c r="P9063" s="33">
        <f>IFERROR(__xludf.DUMMYFUNCTION("""COMPUTED_VALUE"""),1.0)</f>
        <v>1</v>
      </c>
      <c r="Q9063" s="4" t="str">
        <f>IFERROR(__xludf.DUMMYFUNCTION("""COMPUTED_VALUE"""),"N/A (Not found)")</f>
        <v>N/A (Not found)</v>
      </c>
      <c r="R9063" s="33">
        <f>IFERROR(__xludf.DUMMYFUNCTION("""COMPUTED_VALUE"""),1.0)</f>
        <v>1</v>
      </c>
      <c r="S9063" s="4" t="str">
        <f>IFERROR(__xludf.DUMMYFUNCTION("""COMPUTED_VALUE"""),"N/A (Not found)")</f>
        <v>N/A (Not found)</v>
      </c>
      <c r="T9063" s="33">
        <f>IFERROR(__xludf.DUMMYFUNCTION("""COMPUTED_VALUE"""),1.0)</f>
        <v>1</v>
      </c>
      <c r="U9063" s="4" t="str">
        <f>IFERROR(__xludf.DUMMYFUNCTION("""COMPUTED_VALUE"""),"N/A (Not found)")</f>
        <v>N/A (Not found)</v>
      </c>
      <c r="V9063" s="33">
        <f>IFERROR(__xludf.DUMMYFUNCTION("""COMPUTED_VALUE"""),1.0)</f>
        <v>1</v>
      </c>
      <c r="W9063" s="4" t="str">
        <f>IFERROR(__xludf.DUMMYFUNCTION("""COMPUTED_VALUE"""),"N/A (Not found)")</f>
        <v>N/A (Not found)</v>
      </c>
      <c r="X9063" s="33">
        <f>IFERROR(__xludf.DUMMYFUNCTION("""COMPUTED_VALUE"""),1.0)</f>
        <v>1</v>
      </c>
    </row>
    <row r="9064">
      <c r="K9064" s="4" t="str">
        <f>IFERROR(__xludf.DUMMYFUNCTION("""COMPUTED_VALUE"""),"PIZZARIA SUPREMA - DELIVERY")</f>
        <v>PIZZARIA SUPREMA - DELIVERY</v>
      </c>
      <c r="L9064" s="32">
        <f>IFERROR(__xludf.DUMMYFUNCTION("""COMPUTED_VALUE"""),1.0)</f>
        <v>1</v>
      </c>
      <c r="M9064" s="4" t="str">
        <f>IFERROR(__xludf.DUMMYFUNCTION("""COMPUTED_VALUE"""),"Saipos Serviços De Software")</f>
        <v>Saipos Serviços De Software</v>
      </c>
      <c r="N9064" s="33">
        <f>IFERROR(__xludf.DUMMYFUNCTION("""COMPUTED_VALUE"""),1.0)</f>
        <v>1</v>
      </c>
      <c r="O9064" s="4" t="str">
        <f>IFERROR(__xludf.DUMMYFUNCTION("""COMPUTED_VALUE"""),"null")</f>
        <v>null</v>
      </c>
      <c r="P9064" s="33">
        <f>IFERROR(__xludf.DUMMYFUNCTION("""COMPUTED_VALUE"""),1.0)</f>
        <v>1</v>
      </c>
      <c r="Q9064" s="4" t="str">
        <f>IFERROR(__xludf.DUMMYFUNCTION("""COMPUTED_VALUE"""),"null")</f>
        <v>null</v>
      </c>
      <c r="R9064" s="33">
        <f>IFERROR(__xludf.DUMMYFUNCTION("""COMPUTED_VALUE"""),1.0)</f>
        <v>1</v>
      </c>
      <c r="S9064" s="4" t="str">
        <f>IFERROR(__xludf.DUMMYFUNCTION("""COMPUTED_VALUE"""),"null")</f>
        <v>null</v>
      </c>
      <c r="T9064" s="33">
        <f>IFERROR(__xludf.DUMMYFUNCTION("""COMPUTED_VALUE"""),1.0)</f>
        <v>1</v>
      </c>
      <c r="U9064" s="4" t="str">
        <f>IFERROR(__xludf.DUMMYFUNCTION("""COMPUTED_VALUE"""),"null")</f>
        <v>null</v>
      </c>
      <c r="V9064" s="33">
        <f>IFERROR(__xludf.DUMMYFUNCTION("""COMPUTED_VALUE"""),1.0)</f>
        <v>1</v>
      </c>
      <c r="W9064" s="4" t="str">
        <f>IFERROR(__xludf.DUMMYFUNCTION("""COMPUTED_VALUE"""),"null")</f>
        <v>null</v>
      </c>
      <c r="X9064" s="33">
        <f>IFERROR(__xludf.DUMMYFUNCTION("""COMPUTED_VALUE"""),1.0)</f>
        <v>1</v>
      </c>
    </row>
    <row r="9065">
      <c r="K9065" s="4" t="str">
        <f>IFERROR(__xludf.DUMMYFUNCTION("""COMPUTED_VALUE"""),"WOLLBURGER")</f>
        <v>WOLLBURGER</v>
      </c>
      <c r="L9065" s="32">
        <f>IFERROR(__xludf.DUMMYFUNCTION("""COMPUTED_VALUE"""),1.0)</f>
        <v>1</v>
      </c>
      <c r="M9065" s="4" t="str">
        <f>IFERROR(__xludf.DUMMYFUNCTION("""COMPUTED_VALUE"""),"Instadelivery")</f>
        <v>Instadelivery</v>
      </c>
      <c r="N9065" s="33">
        <f>IFERROR(__xludf.DUMMYFUNCTION("""COMPUTED_VALUE"""),1.0)</f>
        <v>1</v>
      </c>
      <c r="O9065" s="4" t="str">
        <f>IFERROR(__xludf.DUMMYFUNCTION("""COMPUTED_VALUE"""),"Instadelivery")</f>
        <v>Instadelivery</v>
      </c>
      <c r="P9065" s="33">
        <f>IFERROR(__xludf.DUMMYFUNCTION("""COMPUTED_VALUE"""),1.0)</f>
        <v>1</v>
      </c>
      <c r="Q9065" s="4" t="str">
        <f>IFERROR(__xludf.DUMMYFUNCTION("""COMPUTED_VALUE"""),"Instadelivery")</f>
        <v>Instadelivery</v>
      </c>
      <c r="R9065" s="33">
        <f>IFERROR(__xludf.DUMMYFUNCTION("""COMPUTED_VALUE"""),1.0)</f>
        <v>1</v>
      </c>
      <c r="S9065" s="4" t="str">
        <f>IFERROR(__xludf.DUMMYFUNCTION("""COMPUTED_VALUE"""),"Instadelivery")</f>
        <v>Instadelivery</v>
      </c>
      <c r="T9065" s="33">
        <f>IFERROR(__xludf.DUMMYFUNCTION("""COMPUTED_VALUE"""),1.0)</f>
        <v>1</v>
      </c>
      <c r="U9065" s="4" t="str">
        <f>IFERROR(__xludf.DUMMYFUNCTION("""COMPUTED_VALUE"""),"Instadelivery")</f>
        <v>Instadelivery</v>
      </c>
      <c r="V9065" s="33">
        <f>IFERROR(__xludf.DUMMYFUNCTION("""COMPUTED_VALUE"""),1.0)</f>
        <v>1</v>
      </c>
      <c r="W9065" s="4" t="str">
        <f>IFERROR(__xludf.DUMMYFUNCTION("""COMPUTED_VALUE"""),"Instadelivery")</f>
        <v>Instadelivery</v>
      </c>
      <c r="X9065" s="33">
        <f>IFERROR(__xludf.DUMMYFUNCTION("""COMPUTED_VALUE"""),1.0)</f>
        <v>1</v>
      </c>
    </row>
    <row r="9066">
      <c r="K9066" s="4" t="str">
        <f>IFERROR(__xludf.DUMMYFUNCTION("""COMPUTED_VALUE"""),"AMOR E ACUCAR - DOCES E SALGADOS")</f>
        <v>AMOR E ACUCAR - DOCES E SALGADOS</v>
      </c>
      <c r="L9066" s="32">
        <f>IFERROR(__xludf.DUMMYFUNCTION("""COMPUTED_VALUE"""),1.0)</f>
        <v>1</v>
      </c>
      <c r="M9066" s="4" t="str">
        <f>IFERROR(__xludf.DUMMYFUNCTION("""COMPUTED_VALUE"""),"null")</f>
        <v>null</v>
      </c>
      <c r="N9066" s="33">
        <f>IFERROR(__xludf.DUMMYFUNCTION("""COMPUTED_VALUE"""),1.0)</f>
        <v>1</v>
      </c>
      <c r="O9066" s="4" t="str">
        <f>IFERROR(__xludf.DUMMYFUNCTION("""COMPUTED_VALUE"""),"null")</f>
        <v>null</v>
      </c>
      <c r="P9066" s="33">
        <f>IFERROR(__xludf.DUMMYFUNCTION("""COMPUTED_VALUE"""),1.0)</f>
        <v>1</v>
      </c>
      <c r="Q9066" s="4" t="str">
        <f>IFERROR(__xludf.DUMMYFUNCTION("""COMPUTED_VALUE"""),"null")</f>
        <v>null</v>
      </c>
      <c r="R9066" s="33">
        <f>IFERROR(__xludf.DUMMYFUNCTION("""COMPUTED_VALUE"""),1.0)</f>
        <v>1</v>
      </c>
      <c r="S9066" s="4" t="str">
        <f>IFERROR(__xludf.DUMMYFUNCTION("""COMPUTED_VALUE"""),"null")</f>
        <v>null</v>
      </c>
      <c r="T9066" s="33">
        <f>IFERROR(__xludf.DUMMYFUNCTION("""COMPUTED_VALUE"""),1.0)</f>
        <v>1</v>
      </c>
      <c r="U9066" s="4" t="str">
        <f>IFERROR(__xludf.DUMMYFUNCTION("""COMPUTED_VALUE"""),"Beefood - Sistema Para Restaurantes")</f>
        <v>Beefood - Sistema Para Restaurantes</v>
      </c>
      <c r="V9066" s="33">
        <f>IFERROR(__xludf.DUMMYFUNCTION("""COMPUTED_VALUE"""),1.0)</f>
        <v>1</v>
      </c>
      <c r="W9066" s="4" t="str">
        <f>IFERROR(__xludf.DUMMYFUNCTION("""COMPUTED_VALUE"""),"null")</f>
        <v>null</v>
      </c>
      <c r="X9066" s="33">
        <f>IFERROR(__xludf.DUMMYFUNCTION("""COMPUTED_VALUE"""),1.0)</f>
        <v>1</v>
      </c>
    </row>
    <row r="9067">
      <c r="K9067" s="4" t="str">
        <f>IFERROR(__xludf.DUMMYFUNCTION("""COMPUTED_VALUE"""),"VEGOO CURITIBA")</f>
        <v>VEGOO CURITIBA</v>
      </c>
      <c r="L9067" s="32">
        <f>IFERROR(__xludf.DUMMYFUNCTION("""COMPUTED_VALUE"""),1.0)</f>
        <v>1</v>
      </c>
      <c r="M9067" s="4" t="str">
        <f>IFERROR(__xludf.DUMMYFUNCTION("""COMPUTED_VALUE"""),"Cardápio Web")</f>
        <v>Cardápio Web</v>
      </c>
      <c r="N9067" s="33">
        <f>IFERROR(__xludf.DUMMYFUNCTION("""COMPUTED_VALUE"""),1.0)</f>
        <v>1</v>
      </c>
      <c r="O9067" s="4" t="str">
        <f>IFERROR(__xludf.DUMMYFUNCTION("""COMPUTED_VALUE"""),"Cardápio Web")</f>
        <v>Cardápio Web</v>
      </c>
      <c r="P9067" s="33">
        <f>IFERROR(__xludf.DUMMYFUNCTION("""COMPUTED_VALUE"""),1.0)</f>
        <v>1</v>
      </c>
      <c r="Q9067" s="4" t="str">
        <f>IFERROR(__xludf.DUMMYFUNCTION("""COMPUTED_VALUE"""),"Cardápio Web")</f>
        <v>Cardápio Web</v>
      </c>
      <c r="R9067" s="33">
        <f>IFERROR(__xludf.DUMMYFUNCTION("""COMPUTED_VALUE"""),1.0)</f>
        <v>1</v>
      </c>
      <c r="S9067" s="4" t="str">
        <f>IFERROR(__xludf.DUMMYFUNCTION("""COMPUTED_VALUE"""),"Cardápio Web")</f>
        <v>Cardápio Web</v>
      </c>
      <c r="T9067" s="33">
        <f>IFERROR(__xludf.DUMMYFUNCTION("""COMPUTED_VALUE"""),1.0)</f>
        <v>1</v>
      </c>
      <c r="U9067" s="4" t="str">
        <f>IFERROR(__xludf.DUMMYFUNCTION("""COMPUTED_VALUE"""),"Cardápio Web")</f>
        <v>Cardápio Web</v>
      </c>
      <c r="V9067" s="33">
        <f>IFERROR(__xludf.DUMMYFUNCTION("""COMPUTED_VALUE"""),1.0)</f>
        <v>1</v>
      </c>
      <c r="W9067" s="4" t="str">
        <f>IFERROR(__xludf.DUMMYFUNCTION("""COMPUTED_VALUE"""),"Cardápio Web")</f>
        <v>Cardápio Web</v>
      </c>
      <c r="X9067" s="33">
        <f>IFERROR(__xludf.DUMMYFUNCTION("""COMPUTED_VALUE"""),1.0)</f>
        <v>1</v>
      </c>
    </row>
    <row r="9068">
      <c r="K9068" s="4" t="str">
        <f>IFERROR(__xludf.DUMMYFUNCTION("""COMPUTED_VALUE"""),"HOT DOG DO POPS")</f>
        <v>HOT DOG DO POPS</v>
      </c>
      <c r="L9068" s="32">
        <f>IFERROR(__xludf.DUMMYFUNCTION("""COMPUTED_VALUE"""),1.0)</f>
        <v>1</v>
      </c>
      <c r="M9068" s="4" t="str">
        <f>IFERROR(__xludf.DUMMYFUNCTION("""COMPUTED_VALUE"""),"Saipos Serviços De Software")</f>
        <v>Saipos Serviços De Software</v>
      </c>
      <c r="N9068" s="33">
        <f>IFERROR(__xludf.DUMMYFUNCTION("""COMPUTED_VALUE"""),1.0)</f>
        <v>1</v>
      </c>
      <c r="O9068" s="4" t="str">
        <f>IFERROR(__xludf.DUMMYFUNCTION("""COMPUTED_VALUE"""),"Saipos Serviços De Software")</f>
        <v>Saipos Serviços De Software</v>
      </c>
      <c r="P9068" s="33">
        <f>IFERROR(__xludf.DUMMYFUNCTION("""COMPUTED_VALUE"""),1.0)</f>
        <v>1</v>
      </c>
      <c r="Q9068" s="4" t="str">
        <f>IFERROR(__xludf.DUMMYFUNCTION("""COMPUTED_VALUE"""),"Saipos Serviços De Software")</f>
        <v>Saipos Serviços De Software</v>
      </c>
      <c r="R9068" s="33">
        <f>IFERROR(__xludf.DUMMYFUNCTION("""COMPUTED_VALUE"""),1.0)</f>
        <v>1</v>
      </c>
      <c r="S9068" s="4" t="str">
        <f>IFERROR(__xludf.DUMMYFUNCTION("""COMPUTED_VALUE"""),"Saipos Serviços De Software")</f>
        <v>Saipos Serviços De Software</v>
      </c>
      <c r="T9068" s="33">
        <f>IFERROR(__xludf.DUMMYFUNCTION("""COMPUTED_VALUE"""),1.0)</f>
        <v>1</v>
      </c>
      <c r="U9068" s="4" t="str">
        <f>IFERROR(__xludf.DUMMYFUNCTION("""COMPUTED_VALUE"""),"Saipos Serviços De Software")</f>
        <v>Saipos Serviços De Software</v>
      </c>
      <c r="V9068" s="33">
        <f>IFERROR(__xludf.DUMMYFUNCTION("""COMPUTED_VALUE"""),1.0)</f>
        <v>1</v>
      </c>
      <c r="W9068" s="4" t="str">
        <f>IFERROR(__xludf.DUMMYFUNCTION("""COMPUTED_VALUE"""),"Saipos Serviços De Software")</f>
        <v>Saipos Serviços De Software</v>
      </c>
      <c r="X9068" s="33">
        <f>IFERROR(__xludf.DUMMYFUNCTION("""COMPUTED_VALUE"""),1.0)</f>
        <v>1</v>
      </c>
    </row>
    <row r="9069">
      <c r="K9069" s="4" t="str">
        <f>IFERROR(__xludf.DUMMYFUNCTION("""COMPUTED_VALUE"""),"A ESFIHARIA LOJA 2 TROPICAL")</f>
        <v>A ESFIHARIA LOJA 2 TROPICAL</v>
      </c>
      <c r="L9069" s="32">
        <f>IFERROR(__xludf.DUMMYFUNCTION("""COMPUTED_VALUE"""),1.0)</f>
        <v>1</v>
      </c>
      <c r="M9069" s="4" t="str">
        <f>IFERROR(__xludf.DUMMYFUNCTION("""COMPUTED_VALUE"""),"Lecard Delivery")</f>
        <v>Lecard Delivery</v>
      </c>
      <c r="N9069" s="33">
        <f>IFERROR(__xludf.DUMMYFUNCTION("""COMPUTED_VALUE"""),1.0)</f>
        <v>1</v>
      </c>
      <c r="O9069" s="4" t="str">
        <f>IFERROR(__xludf.DUMMYFUNCTION("""COMPUTED_VALUE"""),"Lecard Delivery")</f>
        <v>Lecard Delivery</v>
      </c>
      <c r="P9069" s="33">
        <f>IFERROR(__xludf.DUMMYFUNCTION("""COMPUTED_VALUE"""),1.0)</f>
        <v>1</v>
      </c>
      <c r="Q9069" s="4" t="str">
        <f>IFERROR(__xludf.DUMMYFUNCTION("""COMPUTED_VALUE"""),"Lecard Delivery")</f>
        <v>Lecard Delivery</v>
      </c>
      <c r="R9069" s="33">
        <f>IFERROR(__xludf.DUMMYFUNCTION("""COMPUTED_VALUE"""),1.0)</f>
        <v>1</v>
      </c>
      <c r="S9069" s="4" t="str">
        <f>IFERROR(__xludf.DUMMYFUNCTION("""COMPUTED_VALUE"""),"Lecard Delivery")</f>
        <v>Lecard Delivery</v>
      </c>
      <c r="T9069" s="33">
        <f>IFERROR(__xludf.DUMMYFUNCTION("""COMPUTED_VALUE"""),1.0)</f>
        <v>1</v>
      </c>
      <c r="U9069" s="4" t="str">
        <f>IFERROR(__xludf.DUMMYFUNCTION("""COMPUTED_VALUE"""),"Lecard Delivery")</f>
        <v>Lecard Delivery</v>
      </c>
      <c r="V9069" s="33">
        <f>IFERROR(__xludf.DUMMYFUNCTION("""COMPUTED_VALUE"""),1.0)</f>
        <v>1</v>
      </c>
      <c r="W9069" s="4" t="str">
        <f>IFERROR(__xludf.DUMMYFUNCTION("""COMPUTED_VALUE"""),"Lecard Delivery")</f>
        <v>Lecard Delivery</v>
      </c>
      <c r="X9069" s="33">
        <f>IFERROR(__xludf.DUMMYFUNCTION("""COMPUTED_VALUE"""),1.0)</f>
        <v>1</v>
      </c>
    </row>
    <row r="9070">
      <c r="K9070" s="4" t="str">
        <f>IFERROR(__xludf.DUMMYFUNCTION("""COMPUTED_VALUE"""),"GRELHARTE - ALMOCO, MARMITAS, GRELHADOS, PORCOES E LANCHES")</f>
        <v>GRELHARTE - ALMOCO, MARMITAS, GRELHADOS, PORCOES E LANCHES</v>
      </c>
      <c r="L9070" s="32">
        <f>IFERROR(__xludf.DUMMYFUNCTION("""COMPUTED_VALUE"""),1.0)</f>
        <v>1</v>
      </c>
      <c r="M9070" s="4" t="str">
        <f>IFERROR(__xludf.DUMMYFUNCTION("""COMPUTED_VALUE"""),"Cloudfy")</f>
        <v>Cloudfy</v>
      </c>
      <c r="N9070" s="33">
        <f>IFERROR(__xludf.DUMMYFUNCTION("""COMPUTED_VALUE"""),1.0)</f>
        <v>1</v>
      </c>
      <c r="O9070" s="4" t="str">
        <f>IFERROR(__xludf.DUMMYFUNCTION("""COMPUTED_VALUE"""),"null")</f>
        <v>null</v>
      </c>
      <c r="P9070" s="33">
        <f>IFERROR(__xludf.DUMMYFUNCTION("""COMPUTED_VALUE"""),1.0)</f>
        <v>1</v>
      </c>
      <c r="Q9070" s="4" t="str">
        <f>IFERROR(__xludf.DUMMYFUNCTION("""COMPUTED_VALUE"""),"Cloudfy")</f>
        <v>Cloudfy</v>
      </c>
      <c r="R9070" s="33">
        <f>IFERROR(__xludf.DUMMYFUNCTION("""COMPUTED_VALUE"""),1.0)</f>
        <v>1</v>
      </c>
      <c r="S9070" s="4" t="str">
        <f>IFERROR(__xludf.DUMMYFUNCTION("""COMPUTED_VALUE"""),"Cloudfy")</f>
        <v>Cloudfy</v>
      </c>
      <c r="T9070" s="33">
        <f>IFERROR(__xludf.DUMMYFUNCTION("""COMPUTED_VALUE"""),1.0)</f>
        <v>1</v>
      </c>
      <c r="U9070" s="4" t="str">
        <f>IFERROR(__xludf.DUMMYFUNCTION("""COMPUTED_VALUE"""),"Cloudfy")</f>
        <v>Cloudfy</v>
      </c>
      <c r="V9070" s="33">
        <f>IFERROR(__xludf.DUMMYFUNCTION("""COMPUTED_VALUE"""),1.0)</f>
        <v>1</v>
      </c>
      <c r="W9070" s="4" t="str">
        <f>IFERROR(__xludf.DUMMYFUNCTION("""COMPUTED_VALUE"""),"Cloudfy")</f>
        <v>Cloudfy</v>
      </c>
      <c r="X9070" s="33">
        <f>IFERROR(__xludf.DUMMYFUNCTION("""COMPUTED_VALUE"""),1.0)</f>
        <v>1</v>
      </c>
    </row>
    <row r="9071">
      <c r="K9071" s="4" t="str">
        <f>IFERROR(__xludf.DUMMYFUNCTION("""COMPUTED_VALUE"""),"PRETINHAS_SABOR_MINEIRO")</f>
        <v>PRETINHAS_SABOR_MINEIRO</v>
      </c>
      <c r="L9071" s="32">
        <f>IFERROR(__xludf.DUMMYFUNCTION("""COMPUTED_VALUE"""),1.0)</f>
        <v>1</v>
      </c>
      <c r="M9071" s="4" t="str">
        <f>IFERROR(__xludf.DUMMYFUNCTION("""COMPUTED_VALUE"""),"null")</f>
        <v>null</v>
      </c>
      <c r="N9071" s="33">
        <f>IFERROR(__xludf.DUMMYFUNCTION("""COMPUTED_VALUE"""),1.0)</f>
        <v>1</v>
      </c>
      <c r="O9071" s="4" t="str">
        <f>IFERROR(__xludf.DUMMYFUNCTION("""COMPUTED_VALUE"""),"Instadelivery")</f>
        <v>Instadelivery</v>
      </c>
      <c r="P9071" s="33">
        <f>IFERROR(__xludf.DUMMYFUNCTION("""COMPUTED_VALUE"""),1.0)</f>
        <v>1</v>
      </c>
      <c r="Q9071" s="4" t="str">
        <f>IFERROR(__xludf.DUMMYFUNCTION("""COMPUTED_VALUE"""),"Instadelivery")</f>
        <v>Instadelivery</v>
      </c>
      <c r="R9071" s="33">
        <f>IFERROR(__xludf.DUMMYFUNCTION("""COMPUTED_VALUE"""),1.0)</f>
        <v>1</v>
      </c>
      <c r="S9071" s="4" t="str">
        <f>IFERROR(__xludf.DUMMYFUNCTION("""COMPUTED_VALUE"""),"Instadelivery")</f>
        <v>Instadelivery</v>
      </c>
      <c r="T9071" s="33">
        <f>IFERROR(__xludf.DUMMYFUNCTION("""COMPUTED_VALUE"""),1.0)</f>
        <v>1</v>
      </c>
      <c r="U9071" s="4" t="str">
        <f>IFERROR(__xludf.DUMMYFUNCTION("""COMPUTED_VALUE"""),"Instadelivery")</f>
        <v>Instadelivery</v>
      </c>
      <c r="V9071" s="33">
        <f>IFERROR(__xludf.DUMMYFUNCTION("""COMPUTED_VALUE"""),1.0)</f>
        <v>1</v>
      </c>
      <c r="W9071" s="4" t="str">
        <f>IFERROR(__xludf.DUMMYFUNCTION("""COMPUTED_VALUE"""),"Instadelivery")</f>
        <v>Instadelivery</v>
      </c>
      <c r="X9071" s="33">
        <f>IFERROR(__xludf.DUMMYFUNCTION("""COMPUTED_VALUE"""),1.0)</f>
        <v>1</v>
      </c>
    </row>
    <row r="9072">
      <c r="K9072" s="4" t="str">
        <f>IFERROR(__xludf.DUMMYFUNCTION("""COMPUTED_VALUE"""),"MARESIAS - PEIXE E FRUTOS DO MAR")</f>
        <v>MARESIAS - PEIXE E FRUTOS DO MAR</v>
      </c>
      <c r="L9072" s="32">
        <f>IFERROR(__xludf.DUMMYFUNCTION("""COMPUTED_VALUE"""),1.0)</f>
        <v>1</v>
      </c>
      <c r="M9072" s="4" t="str">
        <f>IFERROR(__xludf.DUMMYFUNCTION("""COMPUTED_VALUE"""),"Lab Jota Marketing Digital Eirele")</f>
        <v>Lab Jota Marketing Digital Eirele</v>
      </c>
      <c r="N9072" s="33">
        <f>IFERROR(__xludf.DUMMYFUNCTION("""COMPUTED_VALUE"""),1.0)</f>
        <v>1</v>
      </c>
      <c r="O9072" s="4" t="str">
        <f>IFERROR(__xludf.DUMMYFUNCTION("""COMPUTED_VALUE"""),"Lab Jota Marketing Digital Eirele")</f>
        <v>Lab Jota Marketing Digital Eirele</v>
      </c>
      <c r="P9072" s="33">
        <f>IFERROR(__xludf.DUMMYFUNCTION("""COMPUTED_VALUE"""),1.0)</f>
        <v>1</v>
      </c>
      <c r="Q9072" s="4" t="str">
        <f>IFERROR(__xludf.DUMMYFUNCTION("""COMPUTED_VALUE"""),"Lab Jota Marketing Digital Eirele")</f>
        <v>Lab Jota Marketing Digital Eirele</v>
      </c>
      <c r="R9072" s="33">
        <f>IFERROR(__xludf.DUMMYFUNCTION("""COMPUTED_VALUE"""),1.0)</f>
        <v>1</v>
      </c>
      <c r="S9072" s="4" t="str">
        <f>IFERROR(__xludf.DUMMYFUNCTION("""COMPUTED_VALUE"""),"Lab Jota Marketing Digital Eirele")</f>
        <v>Lab Jota Marketing Digital Eirele</v>
      </c>
      <c r="T9072" s="33">
        <f>IFERROR(__xludf.DUMMYFUNCTION("""COMPUTED_VALUE"""),1.0)</f>
        <v>1</v>
      </c>
      <c r="U9072" s="4" t="str">
        <f>IFERROR(__xludf.DUMMYFUNCTION("""COMPUTED_VALUE"""),"Lab Jota Marketing Digital Eirele")</f>
        <v>Lab Jota Marketing Digital Eirele</v>
      </c>
      <c r="V9072" s="33">
        <f>IFERROR(__xludf.DUMMYFUNCTION("""COMPUTED_VALUE"""),1.0)</f>
        <v>1</v>
      </c>
      <c r="W9072" s="4" t="str">
        <f>IFERROR(__xludf.DUMMYFUNCTION("""COMPUTED_VALUE"""),"Lab Jota Marketing Digital Eirele")</f>
        <v>Lab Jota Marketing Digital Eirele</v>
      </c>
      <c r="X9072" s="33">
        <f>IFERROR(__xludf.DUMMYFUNCTION("""COMPUTED_VALUE"""),1.0)</f>
        <v>1</v>
      </c>
    </row>
    <row r="9073">
      <c r="K9073" s="4" t="str">
        <f>IFERROR(__xludf.DUMMYFUNCTION("""COMPUTED_VALUE"""),"DONA ENCRENCA RESTAURANTE - COSTELA FEIJOADA")</f>
        <v>DONA ENCRENCA RESTAURANTE - COSTELA FEIJOADA</v>
      </c>
      <c r="L9073" s="32">
        <f>IFERROR(__xludf.DUMMYFUNCTION("""COMPUTED_VALUE"""),1.0)</f>
        <v>1</v>
      </c>
      <c r="M9073" s="4" t="str">
        <f>IFERROR(__xludf.DUMMYFUNCTION("""COMPUTED_VALUE"""),"null")</f>
        <v>null</v>
      </c>
      <c r="N9073" s="33">
        <f>IFERROR(__xludf.DUMMYFUNCTION("""COMPUTED_VALUE"""),1.0)</f>
        <v>1</v>
      </c>
      <c r="O9073" s="4" t="str">
        <f>IFERROR(__xludf.DUMMYFUNCTION("""COMPUTED_VALUE"""),"Anota Ai Solucoes Digitais S/a")</f>
        <v>Anota Ai Solucoes Digitais S/a</v>
      </c>
      <c r="P9073" s="33">
        <f>IFERROR(__xludf.DUMMYFUNCTION("""COMPUTED_VALUE"""),1.0)</f>
        <v>1</v>
      </c>
      <c r="Q9073" s="4" t="str">
        <f>IFERROR(__xludf.DUMMYFUNCTION("""COMPUTED_VALUE"""),"null")</f>
        <v>null</v>
      </c>
      <c r="R9073" s="33">
        <f>IFERROR(__xludf.DUMMYFUNCTION("""COMPUTED_VALUE"""),1.0)</f>
        <v>1</v>
      </c>
      <c r="S9073" s="4" t="str">
        <f>IFERROR(__xludf.DUMMYFUNCTION("""COMPUTED_VALUE"""),"null")</f>
        <v>null</v>
      </c>
      <c r="T9073" s="33">
        <f>IFERROR(__xludf.DUMMYFUNCTION("""COMPUTED_VALUE"""),1.0)</f>
        <v>1</v>
      </c>
      <c r="U9073" s="4" t="str">
        <f>IFERROR(__xludf.DUMMYFUNCTION("""COMPUTED_VALUE"""),"null")</f>
        <v>null</v>
      </c>
      <c r="V9073" s="33">
        <f>IFERROR(__xludf.DUMMYFUNCTION("""COMPUTED_VALUE"""),1.0)</f>
        <v>1</v>
      </c>
      <c r="W9073" s="4" t="str">
        <f>IFERROR(__xludf.DUMMYFUNCTION("""COMPUTED_VALUE"""),"null")</f>
        <v>null</v>
      </c>
      <c r="X9073" s="33">
        <f>IFERROR(__xludf.DUMMYFUNCTION("""COMPUTED_VALUE"""),1.0)</f>
        <v>1</v>
      </c>
    </row>
    <row r="9074">
      <c r="K9074" s="4" t="str">
        <f>IFERROR(__xludf.DUMMYFUNCTION("""COMPUTED_VALUE"""),"ACQUAMINAS EXPERT PISCINAS")</f>
        <v>ACQUAMINAS EXPERT PISCINAS</v>
      </c>
      <c r="L9074" s="32">
        <f>IFERROR(__xludf.DUMMYFUNCTION("""COMPUTED_VALUE"""),1.0)</f>
        <v>1</v>
      </c>
      <c r="M9074" s="4" t="str">
        <f>IFERROR(__xludf.DUMMYFUNCTION("""COMPUTED_VALUE"""),"null")</f>
        <v>null</v>
      </c>
      <c r="N9074" s="33">
        <f>IFERROR(__xludf.DUMMYFUNCTION("""COMPUTED_VALUE"""),1.0)</f>
        <v>1</v>
      </c>
      <c r="O9074" s="4" t="str">
        <f>IFERROR(__xludf.DUMMYFUNCTION("""COMPUTED_VALUE"""),"N/A (Not found)")</f>
        <v>N/A (Not found)</v>
      </c>
      <c r="P9074" s="33">
        <f>IFERROR(__xludf.DUMMYFUNCTION("""COMPUTED_VALUE"""),1.0)</f>
        <v>1</v>
      </c>
      <c r="Q9074" s="4" t="str">
        <f>IFERROR(__xludf.DUMMYFUNCTION("""COMPUTED_VALUE"""),"N/A (Not found)")</f>
        <v>N/A (Not found)</v>
      </c>
      <c r="R9074" s="33">
        <f>IFERROR(__xludf.DUMMYFUNCTION("""COMPUTED_VALUE"""),1.0)</f>
        <v>1</v>
      </c>
      <c r="S9074" s="4" t="str">
        <f>IFERROR(__xludf.DUMMYFUNCTION("""COMPUTED_VALUE"""),"null")</f>
        <v>null</v>
      </c>
      <c r="T9074" s="33">
        <f>IFERROR(__xludf.DUMMYFUNCTION("""COMPUTED_VALUE"""),1.0)</f>
        <v>1</v>
      </c>
      <c r="U9074" s="4" t="str">
        <f>IFERROR(__xludf.DUMMYFUNCTION("""COMPUTED_VALUE"""),"null")</f>
        <v>null</v>
      </c>
      <c r="V9074" s="33">
        <f>IFERROR(__xludf.DUMMYFUNCTION("""COMPUTED_VALUE"""),1.0)</f>
        <v>1</v>
      </c>
      <c r="W9074" s="4" t="str">
        <f>IFERROR(__xludf.DUMMYFUNCTION("""COMPUTED_VALUE"""),"null")</f>
        <v>null</v>
      </c>
      <c r="X9074" s="33">
        <f>IFERROR(__xludf.DUMMYFUNCTION("""COMPUTED_VALUE"""),1.0)</f>
        <v>1</v>
      </c>
    </row>
    <row r="9075">
      <c r="K9075" s="4" t="str">
        <f>IFERROR(__xludf.DUMMYFUNCTION("""COMPUTED_VALUE"""),"PEICE")</f>
        <v>PEICE</v>
      </c>
      <c r="L9075" s="32">
        <f>IFERROR(__xludf.DUMMYFUNCTION("""COMPUTED_VALUE"""),1.0)</f>
        <v>1</v>
      </c>
      <c r="M9075" s="4" t="str">
        <f>IFERROR(__xludf.DUMMYFUNCTION("""COMPUTED_VALUE"""),"Netcontroll Xmenu")</f>
        <v>Netcontroll Xmenu</v>
      </c>
      <c r="N9075" s="33">
        <f>IFERROR(__xludf.DUMMYFUNCTION("""COMPUTED_VALUE"""),1.0)</f>
        <v>1</v>
      </c>
      <c r="O9075" s="4" t="str">
        <f>IFERROR(__xludf.DUMMYFUNCTION("""COMPUTED_VALUE"""),"Netcontroll Xmenu")</f>
        <v>Netcontroll Xmenu</v>
      </c>
      <c r="P9075" s="33">
        <f>IFERROR(__xludf.DUMMYFUNCTION("""COMPUTED_VALUE"""),1.0)</f>
        <v>1</v>
      </c>
      <c r="Q9075" s="4" t="str">
        <f>IFERROR(__xludf.DUMMYFUNCTION("""COMPUTED_VALUE"""),"Netcontroll Xmenu")</f>
        <v>Netcontroll Xmenu</v>
      </c>
      <c r="R9075" s="33">
        <f>IFERROR(__xludf.DUMMYFUNCTION("""COMPUTED_VALUE"""),1.0)</f>
        <v>1</v>
      </c>
      <c r="S9075" s="4" t="str">
        <f>IFERROR(__xludf.DUMMYFUNCTION("""COMPUTED_VALUE"""),"null")</f>
        <v>null</v>
      </c>
      <c r="T9075" s="33">
        <f>IFERROR(__xludf.DUMMYFUNCTION("""COMPUTED_VALUE"""),1.0)</f>
        <v>1</v>
      </c>
      <c r="U9075" s="4" t="str">
        <f>IFERROR(__xludf.DUMMYFUNCTION("""COMPUTED_VALUE"""),"Netcontroll Xmenu")</f>
        <v>Netcontroll Xmenu</v>
      </c>
      <c r="V9075" s="33">
        <f>IFERROR(__xludf.DUMMYFUNCTION("""COMPUTED_VALUE"""),1.0)</f>
        <v>1</v>
      </c>
      <c r="W9075" s="4" t="str">
        <f>IFERROR(__xludf.DUMMYFUNCTION("""COMPUTED_VALUE"""),"null")</f>
        <v>null</v>
      </c>
      <c r="X9075" s="33">
        <f>IFERROR(__xludf.DUMMYFUNCTION("""COMPUTED_VALUE"""),1.0)</f>
        <v>1</v>
      </c>
    </row>
    <row r="9076">
      <c r="K9076" s="4" t="str">
        <f>IFERROR(__xludf.DUMMYFUNCTION("""COMPUTED_VALUE"""),"SUSHI LOVERS PREMIUM")</f>
        <v>SUSHI LOVERS PREMIUM</v>
      </c>
      <c r="L9076" s="32">
        <f>IFERROR(__xludf.DUMMYFUNCTION("""COMPUTED_VALUE"""),1.0)</f>
        <v>1</v>
      </c>
      <c r="M9076" s="4" t="str">
        <f>IFERROR(__xludf.DUMMYFUNCTION("""COMPUTED_VALUE"""),"Ccm Pedido Online")</f>
        <v>Ccm Pedido Online</v>
      </c>
      <c r="N9076" s="33">
        <f>IFERROR(__xludf.DUMMYFUNCTION("""COMPUTED_VALUE"""),1.0)</f>
        <v>1</v>
      </c>
      <c r="O9076" s="4" t="str">
        <f>IFERROR(__xludf.DUMMYFUNCTION("""COMPUTED_VALUE"""),"Ccm Pedido Online")</f>
        <v>Ccm Pedido Online</v>
      </c>
      <c r="P9076" s="33">
        <f>IFERROR(__xludf.DUMMYFUNCTION("""COMPUTED_VALUE"""),1.0)</f>
        <v>1</v>
      </c>
      <c r="Q9076" s="4" t="str">
        <f>IFERROR(__xludf.DUMMYFUNCTION("""COMPUTED_VALUE"""),"Ccm Pedido Online")</f>
        <v>Ccm Pedido Online</v>
      </c>
      <c r="R9076" s="33">
        <f>IFERROR(__xludf.DUMMYFUNCTION("""COMPUTED_VALUE"""),1.0)</f>
        <v>1</v>
      </c>
      <c r="S9076" s="4" t="str">
        <f>IFERROR(__xludf.DUMMYFUNCTION("""COMPUTED_VALUE"""),"Ccm Pedido Online")</f>
        <v>Ccm Pedido Online</v>
      </c>
      <c r="T9076" s="33">
        <f>IFERROR(__xludf.DUMMYFUNCTION("""COMPUTED_VALUE"""),1.0)</f>
        <v>1</v>
      </c>
      <c r="U9076" s="4" t="str">
        <f>IFERROR(__xludf.DUMMYFUNCTION("""COMPUTED_VALUE"""),"Ccm Pedido Online")</f>
        <v>Ccm Pedido Online</v>
      </c>
      <c r="V9076" s="33">
        <f>IFERROR(__xludf.DUMMYFUNCTION("""COMPUTED_VALUE"""),1.0)</f>
        <v>1</v>
      </c>
      <c r="W9076" s="4" t="str">
        <f>IFERROR(__xludf.DUMMYFUNCTION("""COMPUTED_VALUE"""),"Ccm Pedido Online")</f>
        <v>Ccm Pedido Online</v>
      </c>
      <c r="X9076" s="33">
        <f>IFERROR(__xludf.DUMMYFUNCTION("""COMPUTED_VALUE"""),1.0)</f>
        <v>1</v>
      </c>
    </row>
    <row r="9077">
      <c r="K9077" s="4" t="str">
        <f>IFERROR(__xludf.DUMMYFUNCTION("""COMPUTED_VALUE"""),"QMC BURGER HAMBURGUERIA ARTENASAL")</f>
        <v>QMC BURGER HAMBURGUERIA ARTENASAL</v>
      </c>
      <c r="L9077" s="32">
        <f>IFERROR(__xludf.DUMMYFUNCTION("""COMPUTED_VALUE"""),1.0)</f>
        <v>1</v>
      </c>
      <c r="M9077" s="4" t="str">
        <f>IFERROR(__xludf.DUMMYFUNCTION("""COMPUTED_VALUE"""),"Instadelivery")</f>
        <v>Instadelivery</v>
      </c>
      <c r="N9077" s="33">
        <f>IFERROR(__xludf.DUMMYFUNCTION("""COMPUTED_VALUE"""),1.0)</f>
        <v>1</v>
      </c>
      <c r="O9077" s="4" t="str">
        <f>IFERROR(__xludf.DUMMYFUNCTION("""COMPUTED_VALUE"""),"Instadelivery")</f>
        <v>Instadelivery</v>
      </c>
      <c r="P9077" s="33">
        <f>IFERROR(__xludf.DUMMYFUNCTION("""COMPUTED_VALUE"""),1.0)</f>
        <v>1</v>
      </c>
      <c r="Q9077" s="4" t="str">
        <f>IFERROR(__xludf.DUMMYFUNCTION("""COMPUTED_VALUE"""),"Instadelivery")</f>
        <v>Instadelivery</v>
      </c>
      <c r="R9077" s="33">
        <f>IFERROR(__xludf.DUMMYFUNCTION("""COMPUTED_VALUE"""),1.0)</f>
        <v>1</v>
      </c>
      <c r="S9077" s="4" t="str">
        <f>IFERROR(__xludf.DUMMYFUNCTION("""COMPUTED_VALUE"""),"Instadelivery")</f>
        <v>Instadelivery</v>
      </c>
      <c r="T9077" s="33">
        <f>IFERROR(__xludf.DUMMYFUNCTION("""COMPUTED_VALUE"""),1.0)</f>
        <v>1</v>
      </c>
      <c r="U9077" s="4" t="str">
        <f>IFERROR(__xludf.DUMMYFUNCTION("""COMPUTED_VALUE"""),"null")</f>
        <v>null</v>
      </c>
      <c r="V9077" s="33">
        <f>IFERROR(__xludf.DUMMYFUNCTION("""COMPUTED_VALUE"""),1.0)</f>
        <v>1</v>
      </c>
      <c r="W9077" s="4" t="str">
        <f>IFERROR(__xludf.DUMMYFUNCTION("""COMPUTED_VALUE"""),"Instadelivery")</f>
        <v>Instadelivery</v>
      </c>
      <c r="X9077" s="33">
        <f>IFERROR(__xludf.DUMMYFUNCTION("""COMPUTED_VALUE"""),1.0)</f>
        <v>1</v>
      </c>
    </row>
    <row r="9078">
      <c r="K9078" s="4" t="str">
        <f>IFERROR(__xludf.DUMMYFUNCTION("""COMPUTED_VALUE"""),"BAMUQI ACAI ITAJUBA")</f>
        <v>BAMUQI ACAI ITAJUBA</v>
      </c>
      <c r="L9078" s="32">
        <f>IFERROR(__xludf.DUMMYFUNCTION("""COMPUTED_VALUE"""),1.0)</f>
        <v>1</v>
      </c>
      <c r="M9078" s="4" t="str">
        <f>IFERROR(__xludf.DUMMYFUNCTION("""COMPUTED_VALUE"""),"Sistema Pallas")</f>
        <v>Sistema Pallas</v>
      </c>
      <c r="N9078" s="33">
        <f>IFERROR(__xludf.DUMMYFUNCTION("""COMPUTED_VALUE"""),1.0)</f>
        <v>1</v>
      </c>
      <c r="O9078" s="4" t="str">
        <f>IFERROR(__xludf.DUMMYFUNCTION("""COMPUTED_VALUE"""),"Sistema Pallas")</f>
        <v>Sistema Pallas</v>
      </c>
      <c r="P9078" s="33">
        <f>IFERROR(__xludf.DUMMYFUNCTION("""COMPUTED_VALUE"""),1.0)</f>
        <v>1</v>
      </c>
      <c r="Q9078" s="4" t="str">
        <f>IFERROR(__xludf.DUMMYFUNCTION("""COMPUTED_VALUE"""),"Sistema Pallas")</f>
        <v>Sistema Pallas</v>
      </c>
      <c r="R9078" s="33">
        <f>IFERROR(__xludf.DUMMYFUNCTION("""COMPUTED_VALUE"""),1.0)</f>
        <v>1</v>
      </c>
      <c r="S9078" s="4" t="str">
        <f>IFERROR(__xludf.DUMMYFUNCTION("""COMPUTED_VALUE"""),"null")</f>
        <v>null</v>
      </c>
      <c r="T9078" s="33">
        <f>IFERROR(__xludf.DUMMYFUNCTION("""COMPUTED_VALUE"""),1.0)</f>
        <v>1</v>
      </c>
      <c r="U9078" s="4" t="str">
        <f>IFERROR(__xludf.DUMMYFUNCTION("""COMPUTED_VALUE"""),"null")</f>
        <v>null</v>
      </c>
      <c r="V9078" s="33">
        <f>IFERROR(__xludf.DUMMYFUNCTION("""COMPUTED_VALUE"""),1.0)</f>
        <v>1</v>
      </c>
      <c r="W9078" s="4" t="str">
        <f>IFERROR(__xludf.DUMMYFUNCTION("""COMPUTED_VALUE"""),"null")</f>
        <v>null</v>
      </c>
      <c r="X9078" s="33">
        <f>IFERROR(__xludf.DUMMYFUNCTION("""COMPUTED_VALUE"""),1.0)</f>
        <v>1</v>
      </c>
    </row>
    <row r="9079">
      <c r="K9079" s="4" t="str">
        <f>IFERROR(__xludf.DUMMYFUNCTION("""COMPUTED_VALUE"""),"BBQ ESPETO - ALPHAVILLE")</f>
        <v>BBQ ESPETO - ALPHAVILLE</v>
      </c>
      <c r="L9079" s="32">
        <f>IFERROR(__xludf.DUMMYFUNCTION("""COMPUTED_VALUE"""),1.0)</f>
        <v>1</v>
      </c>
      <c r="M9079" s="4" t="str">
        <f>IFERROR(__xludf.DUMMYFUNCTION("""COMPUTED_VALUE"""),"Saipos Serviços De Software")</f>
        <v>Saipos Serviços De Software</v>
      </c>
      <c r="N9079" s="33">
        <f>IFERROR(__xludf.DUMMYFUNCTION("""COMPUTED_VALUE"""),1.0)</f>
        <v>1</v>
      </c>
      <c r="O9079" s="4" t="str">
        <f>IFERROR(__xludf.DUMMYFUNCTION("""COMPUTED_VALUE"""),"Saipos Serviços De Software")</f>
        <v>Saipos Serviços De Software</v>
      </c>
      <c r="P9079" s="33">
        <f>IFERROR(__xludf.DUMMYFUNCTION("""COMPUTED_VALUE"""),1.0)</f>
        <v>1</v>
      </c>
      <c r="Q9079" s="4" t="str">
        <f>IFERROR(__xludf.DUMMYFUNCTION("""COMPUTED_VALUE"""),"Saipos Serviços De Software")</f>
        <v>Saipos Serviços De Software</v>
      </c>
      <c r="R9079" s="33">
        <f>IFERROR(__xludf.DUMMYFUNCTION("""COMPUTED_VALUE"""),1.0)</f>
        <v>1</v>
      </c>
      <c r="S9079" s="4" t="str">
        <f>IFERROR(__xludf.DUMMYFUNCTION("""COMPUTED_VALUE"""),"Saipos Serviços De Software")</f>
        <v>Saipos Serviços De Software</v>
      </c>
      <c r="T9079" s="33">
        <f>IFERROR(__xludf.DUMMYFUNCTION("""COMPUTED_VALUE"""),1.0)</f>
        <v>1</v>
      </c>
      <c r="U9079" s="4" t="str">
        <f>IFERROR(__xludf.DUMMYFUNCTION("""COMPUTED_VALUE"""),"Saipos Serviços De Software")</f>
        <v>Saipos Serviços De Software</v>
      </c>
      <c r="V9079" s="33">
        <f>IFERROR(__xludf.DUMMYFUNCTION("""COMPUTED_VALUE"""),1.0)</f>
        <v>1</v>
      </c>
      <c r="W9079" s="4" t="str">
        <f>IFERROR(__xludf.DUMMYFUNCTION("""COMPUTED_VALUE"""),"Saipos Serviços De Software")</f>
        <v>Saipos Serviços De Software</v>
      </c>
      <c r="X9079" s="33">
        <f>IFERROR(__xludf.DUMMYFUNCTION("""COMPUTED_VALUE"""),1.0)</f>
        <v>1</v>
      </c>
    </row>
    <row r="9080">
      <c r="K9080" s="4" t="str">
        <f>IFERROR(__xludf.DUMMYFUNCTION("""COMPUTED_VALUE"""),"VAI DE SOBERANOS - HAMBURGUERIA ARTESANAL")</f>
        <v>VAI DE SOBERANOS - HAMBURGUERIA ARTESANAL</v>
      </c>
      <c r="L9080" s="32">
        <f>IFERROR(__xludf.DUMMYFUNCTION("""COMPUTED_VALUE"""),1.0)</f>
        <v>1</v>
      </c>
      <c r="M9080" s="4" t="str">
        <f>IFERROR(__xludf.DUMMYFUNCTION("""COMPUTED_VALUE"""),"Saipos Serviços De Software")</f>
        <v>Saipos Serviços De Software</v>
      </c>
      <c r="N9080" s="33">
        <f>IFERROR(__xludf.DUMMYFUNCTION("""COMPUTED_VALUE"""),1.0)</f>
        <v>1</v>
      </c>
      <c r="O9080" s="4" t="str">
        <f>IFERROR(__xludf.DUMMYFUNCTION("""COMPUTED_VALUE"""),"Saipos Serviços De Software")</f>
        <v>Saipos Serviços De Software</v>
      </c>
      <c r="P9080" s="33">
        <f>IFERROR(__xludf.DUMMYFUNCTION("""COMPUTED_VALUE"""),1.0)</f>
        <v>1</v>
      </c>
      <c r="Q9080" s="4" t="str">
        <f>IFERROR(__xludf.DUMMYFUNCTION("""COMPUTED_VALUE"""),"Saipos Serviços De Software")</f>
        <v>Saipos Serviços De Software</v>
      </c>
      <c r="R9080" s="33">
        <f>IFERROR(__xludf.DUMMYFUNCTION("""COMPUTED_VALUE"""),1.0)</f>
        <v>1</v>
      </c>
      <c r="S9080" s="4" t="str">
        <f>IFERROR(__xludf.DUMMYFUNCTION("""COMPUTED_VALUE"""),"Saipos Serviços De Software")</f>
        <v>Saipos Serviços De Software</v>
      </c>
      <c r="T9080" s="33">
        <f>IFERROR(__xludf.DUMMYFUNCTION("""COMPUTED_VALUE"""),1.0)</f>
        <v>1</v>
      </c>
      <c r="U9080" s="4" t="str">
        <f>IFERROR(__xludf.DUMMYFUNCTION("""COMPUTED_VALUE"""),"Saipos Serviços De Software")</f>
        <v>Saipos Serviços De Software</v>
      </c>
      <c r="V9080" s="33">
        <f>IFERROR(__xludf.DUMMYFUNCTION("""COMPUTED_VALUE"""),1.0)</f>
        <v>1</v>
      </c>
      <c r="W9080" s="4" t="str">
        <f>IFERROR(__xludf.DUMMYFUNCTION("""COMPUTED_VALUE"""),"Saipos Serviços De Software")</f>
        <v>Saipos Serviços De Software</v>
      </c>
      <c r="X9080" s="33">
        <f>IFERROR(__xludf.DUMMYFUNCTION("""COMPUTED_VALUE"""),1.0)</f>
        <v>1</v>
      </c>
    </row>
    <row r="9081">
      <c r="K9081" s="4" t="str">
        <f>IFERROR(__xludf.DUMMYFUNCTION("""COMPUTED_VALUE"""),"DONA ROSE SALGADOS BOLOS DOCES")</f>
        <v>DONA ROSE SALGADOS BOLOS DOCES</v>
      </c>
      <c r="L9081" s="32">
        <f>IFERROR(__xludf.DUMMYFUNCTION("""COMPUTED_VALUE"""),1.0)</f>
        <v>1</v>
      </c>
      <c r="M9081" s="4" t="str">
        <f>IFERROR(__xludf.DUMMYFUNCTION("""COMPUTED_VALUE"""),"null")</f>
        <v>null</v>
      </c>
      <c r="N9081" s="33">
        <f>IFERROR(__xludf.DUMMYFUNCTION("""COMPUTED_VALUE"""),1.0)</f>
        <v>1</v>
      </c>
      <c r="O9081" s="4" t="str">
        <f>IFERROR(__xludf.DUMMYFUNCTION("""COMPUTED_VALUE"""),"null")</f>
        <v>null</v>
      </c>
      <c r="P9081" s="33">
        <f>IFERROR(__xludf.DUMMYFUNCTION("""COMPUTED_VALUE"""),1.0)</f>
        <v>1</v>
      </c>
      <c r="Q9081" s="4" t="str">
        <f>IFERROR(__xludf.DUMMYFUNCTION("""COMPUTED_VALUE"""),"null")</f>
        <v>null</v>
      </c>
      <c r="R9081" s="33">
        <f>IFERROR(__xludf.DUMMYFUNCTION("""COMPUTED_VALUE"""),1.0)</f>
        <v>1</v>
      </c>
      <c r="S9081" s="4" t="str">
        <f>IFERROR(__xludf.DUMMYFUNCTION("""COMPUTED_VALUE"""),"Brendi")</f>
        <v>Brendi</v>
      </c>
      <c r="T9081" s="33">
        <f>IFERROR(__xludf.DUMMYFUNCTION("""COMPUTED_VALUE"""),1.0)</f>
        <v>1</v>
      </c>
      <c r="U9081" s="4" t="str">
        <f>IFERROR(__xludf.DUMMYFUNCTION("""COMPUTED_VALUE"""),"null")</f>
        <v>null</v>
      </c>
      <c r="V9081" s="33">
        <f>IFERROR(__xludf.DUMMYFUNCTION("""COMPUTED_VALUE"""),1.0)</f>
        <v>1</v>
      </c>
      <c r="W9081" s="4" t="str">
        <f>IFERROR(__xludf.DUMMYFUNCTION("""COMPUTED_VALUE"""),"null")</f>
        <v>null</v>
      </c>
      <c r="X9081" s="33">
        <f>IFERROR(__xludf.DUMMYFUNCTION("""COMPUTED_VALUE"""),1.0)</f>
        <v>1</v>
      </c>
    </row>
    <row r="9082">
      <c r="K9082" s="4" t="str">
        <f>IFERROR(__xludf.DUMMYFUNCTION("""COMPUTED_VALUE"""),"VILLETEXAS DEFUMADOS")</f>
        <v>VILLETEXAS DEFUMADOS</v>
      </c>
      <c r="L9082" s="32">
        <f>IFERROR(__xludf.DUMMYFUNCTION("""COMPUTED_VALUE"""),1.0)</f>
        <v>1</v>
      </c>
      <c r="M9082" s="4" t="str">
        <f>IFERROR(__xludf.DUMMYFUNCTION("""COMPUTED_VALUE"""),"null")</f>
        <v>null</v>
      </c>
      <c r="N9082" s="33">
        <f>IFERROR(__xludf.DUMMYFUNCTION("""COMPUTED_VALUE"""),1.0)</f>
        <v>1</v>
      </c>
      <c r="O9082" s="4" t="str">
        <f>IFERROR(__xludf.DUMMYFUNCTION("""COMPUTED_VALUE"""),"null")</f>
        <v>null</v>
      </c>
      <c r="P9082" s="33">
        <f>IFERROR(__xludf.DUMMYFUNCTION("""COMPUTED_VALUE"""),1.0)</f>
        <v>1</v>
      </c>
      <c r="Q9082" s="4" t="str">
        <f>IFERROR(__xludf.DUMMYFUNCTION("""COMPUTED_VALUE"""),"null")</f>
        <v>null</v>
      </c>
      <c r="R9082" s="33">
        <f>IFERROR(__xludf.DUMMYFUNCTION("""COMPUTED_VALUE"""),1.0)</f>
        <v>1</v>
      </c>
      <c r="S9082" s="4" t="str">
        <f>IFERROR(__xludf.DUMMYFUNCTION("""COMPUTED_VALUE"""),"null")</f>
        <v>null</v>
      </c>
      <c r="T9082" s="33">
        <f>IFERROR(__xludf.DUMMYFUNCTION("""COMPUTED_VALUE"""),1.0)</f>
        <v>1</v>
      </c>
      <c r="U9082" s="4" t="str">
        <f>IFERROR(__xludf.DUMMYFUNCTION("""COMPUTED_VALUE"""),"Anota Ai Solucoes Digitais S/a")</f>
        <v>Anota Ai Solucoes Digitais S/a</v>
      </c>
      <c r="V9082" s="33">
        <f>IFERROR(__xludf.DUMMYFUNCTION("""COMPUTED_VALUE"""),1.0)</f>
        <v>1</v>
      </c>
      <c r="W9082" s="4" t="str">
        <f>IFERROR(__xludf.DUMMYFUNCTION("""COMPUTED_VALUE"""),"null")</f>
        <v>null</v>
      </c>
      <c r="X9082" s="33">
        <f>IFERROR(__xludf.DUMMYFUNCTION("""COMPUTED_VALUE"""),1.0)</f>
        <v>1</v>
      </c>
    </row>
    <row r="9083">
      <c r="K9083" s="4" t="str">
        <f>IFERROR(__xludf.DUMMYFUNCTION("""COMPUTED_VALUE"""),"FARMACIA SAGRADO CORACAO DE MARIA")</f>
        <v>FARMACIA SAGRADO CORACAO DE MARIA</v>
      </c>
      <c r="L9083" s="32">
        <f>IFERROR(__xludf.DUMMYFUNCTION("""COMPUTED_VALUE"""),1.0)</f>
        <v>1</v>
      </c>
      <c r="M9083" s="4" t="str">
        <f>IFERROR(__xludf.DUMMYFUNCTION("""COMPUTED_VALUE"""),"N/A (Not found)")</f>
        <v>N/A (Not found)</v>
      </c>
      <c r="N9083" s="33">
        <f>IFERROR(__xludf.DUMMYFUNCTION("""COMPUTED_VALUE"""),1.0)</f>
        <v>1</v>
      </c>
      <c r="O9083" s="4" t="str">
        <f>IFERROR(__xludf.DUMMYFUNCTION("""COMPUTED_VALUE"""),"N/A (Not found)")</f>
        <v>N/A (Not found)</v>
      </c>
      <c r="P9083" s="33">
        <f>IFERROR(__xludf.DUMMYFUNCTION("""COMPUTED_VALUE"""),1.0)</f>
        <v>1</v>
      </c>
      <c r="Q9083" s="4" t="str">
        <f>IFERROR(__xludf.DUMMYFUNCTION("""COMPUTED_VALUE"""),"N/A (Not found)")</f>
        <v>N/A (Not found)</v>
      </c>
      <c r="R9083" s="33">
        <f>IFERROR(__xludf.DUMMYFUNCTION("""COMPUTED_VALUE"""),1.0)</f>
        <v>1</v>
      </c>
      <c r="S9083" s="4" t="str">
        <f>IFERROR(__xludf.DUMMYFUNCTION("""COMPUTED_VALUE"""),"N/A (Not found)")</f>
        <v>N/A (Not found)</v>
      </c>
      <c r="T9083" s="33">
        <f>IFERROR(__xludf.DUMMYFUNCTION("""COMPUTED_VALUE"""),1.0)</f>
        <v>1</v>
      </c>
      <c r="U9083" s="4" t="str">
        <f>IFERROR(__xludf.DUMMYFUNCTION("""COMPUTED_VALUE"""),"N/A (Not found)")</f>
        <v>N/A (Not found)</v>
      </c>
      <c r="V9083" s="33">
        <f>IFERROR(__xludf.DUMMYFUNCTION("""COMPUTED_VALUE"""),1.0)</f>
        <v>1</v>
      </c>
      <c r="W9083" s="4" t="str">
        <f>IFERROR(__xludf.DUMMYFUNCTION("""COMPUTED_VALUE"""),"N/A (Not found)")</f>
        <v>N/A (Not found)</v>
      </c>
      <c r="X9083" s="33">
        <f>IFERROR(__xludf.DUMMYFUNCTION("""COMPUTED_VALUE"""),1.0)</f>
        <v>1</v>
      </c>
    </row>
    <row r="9084">
      <c r="K9084" s="4" t="str">
        <f>IFERROR(__xludf.DUMMYFUNCTION("""COMPUTED_VALUE"""),"SABOROSO SORVETES ACAI E SALGADOS")</f>
        <v>SABOROSO SORVETES ACAI E SALGADOS</v>
      </c>
      <c r="L9084" s="32">
        <f>IFERROR(__xludf.DUMMYFUNCTION("""COMPUTED_VALUE"""),1.0)</f>
        <v>1</v>
      </c>
      <c r="M9084" s="4" t="str">
        <f>IFERROR(__xludf.DUMMYFUNCTION("""COMPUTED_VALUE"""),"null")</f>
        <v>null</v>
      </c>
      <c r="N9084" s="33">
        <f>IFERROR(__xludf.DUMMYFUNCTION("""COMPUTED_VALUE"""),1.0)</f>
        <v>1</v>
      </c>
      <c r="O9084" s="4" t="str">
        <f>IFERROR(__xludf.DUMMYFUNCTION("""COMPUTED_VALUE"""),"Compusoft")</f>
        <v>Compusoft</v>
      </c>
      <c r="P9084" s="33">
        <f>IFERROR(__xludf.DUMMYFUNCTION("""COMPUTED_VALUE"""),1.0)</f>
        <v>1</v>
      </c>
      <c r="Q9084" s="4" t="str">
        <f>IFERROR(__xludf.DUMMYFUNCTION("""COMPUTED_VALUE"""),"null")</f>
        <v>null</v>
      </c>
      <c r="R9084" s="33">
        <f>IFERROR(__xludf.DUMMYFUNCTION("""COMPUTED_VALUE"""),1.0)</f>
        <v>1</v>
      </c>
      <c r="S9084" s="4" t="str">
        <f>IFERROR(__xludf.DUMMYFUNCTION("""COMPUTED_VALUE"""),"null")</f>
        <v>null</v>
      </c>
      <c r="T9084" s="33">
        <f>IFERROR(__xludf.DUMMYFUNCTION("""COMPUTED_VALUE"""),1.0)</f>
        <v>1</v>
      </c>
      <c r="U9084" s="4" t="str">
        <f>IFERROR(__xludf.DUMMYFUNCTION("""COMPUTED_VALUE"""),"null")</f>
        <v>null</v>
      </c>
      <c r="V9084" s="33">
        <f>IFERROR(__xludf.DUMMYFUNCTION("""COMPUTED_VALUE"""),1.0)</f>
        <v>1</v>
      </c>
      <c r="W9084" s="4" t="str">
        <f>IFERROR(__xludf.DUMMYFUNCTION("""COMPUTED_VALUE"""),"null")</f>
        <v>null</v>
      </c>
      <c r="X9084" s="33">
        <f>IFERROR(__xludf.DUMMYFUNCTION("""COMPUTED_VALUE"""),1.0)</f>
        <v>1</v>
      </c>
    </row>
    <row r="9085">
      <c r="K9085" s="4" t="str">
        <f>IFERROR(__xludf.DUMMYFUNCTION("""COMPUTED_VALUE"""),"LEVBOX - ULTRACONGELADOS SAUDAVEIS")</f>
        <v>LEVBOX - ULTRACONGELADOS SAUDAVEIS</v>
      </c>
      <c r="L9085" s="32">
        <f>IFERROR(__xludf.DUMMYFUNCTION("""COMPUTED_VALUE"""),1.0)</f>
        <v>1</v>
      </c>
      <c r="M9085" s="4" t="str">
        <f>IFERROR(__xludf.DUMMYFUNCTION("""COMPUTED_VALUE"""),"Yooga")</f>
        <v>Yooga</v>
      </c>
      <c r="N9085" s="33">
        <f>IFERROR(__xludf.DUMMYFUNCTION("""COMPUTED_VALUE"""),1.0)</f>
        <v>1</v>
      </c>
      <c r="O9085" s="4" t="str">
        <f>IFERROR(__xludf.DUMMYFUNCTION("""COMPUTED_VALUE"""),"Yooga")</f>
        <v>Yooga</v>
      </c>
      <c r="P9085" s="33">
        <f>IFERROR(__xludf.DUMMYFUNCTION("""COMPUTED_VALUE"""),1.0)</f>
        <v>1</v>
      </c>
      <c r="Q9085" s="4" t="str">
        <f>IFERROR(__xludf.DUMMYFUNCTION("""COMPUTED_VALUE"""),"Yooga")</f>
        <v>Yooga</v>
      </c>
      <c r="R9085" s="33">
        <f>IFERROR(__xludf.DUMMYFUNCTION("""COMPUTED_VALUE"""),1.0)</f>
        <v>1</v>
      </c>
      <c r="S9085" s="4" t="str">
        <f>IFERROR(__xludf.DUMMYFUNCTION("""COMPUTED_VALUE"""),"Yooga")</f>
        <v>Yooga</v>
      </c>
      <c r="T9085" s="33">
        <f>IFERROR(__xludf.DUMMYFUNCTION("""COMPUTED_VALUE"""),1.0)</f>
        <v>1</v>
      </c>
      <c r="U9085" s="4" t="str">
        <f>IFERROR(__xludf.DUMMYFUNCTION("""COMPUTED_VALUE"""),"Yooga")</f>
        <v>Yooga</v>
      </c>
      <c r="V9085" s="33">
        <f>IFERROR(__xludf.DUMMYFUNCTION("""COMPUTED_VALUE"""),1.0)</f>
        <v>1</v>
      </c>
      <c r="W9085" s="4" t="str">
        <f>IFERROR(__xludf.DUMMYFUNCTION("""COMPUTED_VALUE"""),"Yooga")</f>
        <v>Yooga</v>
      </c>
      <c r="X9085" s="33">
        <f>IFERROR(__xludf.DUMMYFUNCTION("""COMPUTED_VALUE"""),1.0)</f>
        <v>1</v>
      </c>
    </row>
    <row r="9086">
      <c r="K9086" s="4" t="str">
        <f>IFERROR(__xludf.DUMMYFUNCTION("""COMPUTED_VALUE"""),"KIRA PETS")</f>
        <v>KIRA PETS</v>
      </c>
      <c r="L9086" s="32">
        <f>IFERROR(__xludf.DUMMYFUNCTION("""COMPUTED_VALUE"""),1.0)</f>
        <v>1</v>
      </c>
      <c r="M9086" s="4" t="str">
        <f>IFERROR(__xludf.DUMMYFUNCTION("""COMPUTED_VALUE"""),"N/A (Not found)")</f>
        <v>N/A (Not found)</v>
      </c>
      <c r="N9086" s="33">
        <f>IFERROR(__xludf.DUMMYFUNCTION("""COMPUTED_VALUE"""),1.0)</f>
        <v>1</v>
      </c>
      <c r="O9086" s="4" t="str">
        <f>IFERROR(__xludf.DUMMYFUNCTION("""COMPUTED_VALUE"""),"N/A (Not found)")</f>
        <v>N/A (Not found)</v>
      </c>
      <c r="P9086" s="33">
        <f>IFERROR(__xludf.DUMMYFUNCTION("""COMPUTED_VALUE"""),1.0)</f>
        <v>1</v>
      </c>
      <c r="Q9086" s="4" t="str">
        <f>IFERROR(__xludf.DUMMYFUNCTION("""COMPUTED_VALUE"""),"null")</f>
        <v>null</v>
      </c>
      <c r="R9086" s="33">
        <f>IFERROR(__xludf.DUMMYFUNCTION("""COMPUTED_VALUE"""),1.0)</f>
        <v>1</v>
      </c>
      <c r="S9086" s="4" t="str">
        <f>IFERROR(__xludf.DUMMYFUNCTION("""COMPUTED_VALUE"""),"null")</f>
        <v>null</v>
      </c>
      <c r="T9086" s="33">
        <f>IFERROR(__xludf.DUMMYFUNCTION("""COMPUTED_VALUE"""),1.0)</f>
        <v>1</v>
      </c>
      <c r="U9086" s="4" t="str">
        <f>IFERROR(__xludf.DUMMYFUNCTION("""COMPUTED_VALUE"""),"null")</f>
        <v>null</v>
      </c>
      <c r="V9086" s="33">
        <f>IFERROR(__xludf.DUMMYFUNCTION("""COMPUTED_VALUE"""),1.0)</f>
        <v>1</v>
      </c>
      <c r="W9086" s="4" t="str">
        <f>IFERROR(__xludf.DUMMYFUNCTION("""COMPUTED_VALUE"""),"N/A (Not found)")</f>
        <v>N/A (Not found)</v>
      </c>
      <c r="X9086" s="33">
        <f>IFERROR(__xludf.DUMMYFUNCTION("""COMPUTED_VALUE"""),1.0)</f>
        <v>1</v>
      </c>
    </row>
    <row r="9087">
      <c r="K9087" s="4" t="str">
        <f>IFERROR(__xludf.DUMMYFUNCTION("""COMPUTED_VALUE"""),"PITIGLIANO PIZZARIA")</f>
        <v>PITIGLIANO PIZZARIA</v>
      </c>
      <c r="L9087" s="32">
        <f>IFERROR(__xludf.DUMMYFUNCTION("""COMPUTED_VALUE"""),1.0)</f>
        <v>1</v>
      </c>
      <c r="M9087" s="4" t="str">
        <f>IFERROR(__xludf.DUMMYFUNCTION("""COMPUTED_VALUE"""),"Ncr")</f>
        <v>Ncr</v>
      </c>
      <c r="N9087" s="33">
        <f>IFERROR(__xludf.DUMMYFUNCTION("""COMPUTED_VALUE"""),1.0)</f>
        <v>1</v>
      </c>
      <c r="O9087" s="4" t="str">
        <f>IFERROR(__xludf.DUMMYFUNCTION("""COMPUTED_VALUE"""),"Ncr")</f>
        <v>Ncr</v>
      </c>
      <c r="P9087" s="33">
        <f>IFERROR(__xludf.DUMMYFUNCTION("""COMPUTED_VALUE"""),1.0)</f>
        <v>1</v>
      </c>
      <c r="Q9087" s="4" t="str">
        <f>IFERROR(__xludf.DUMMYFUNCTION("""COMPUTED_VALUE"""),"Ncr")</f>
        <v>Ncr</v>
      </c>
      <c r="R9087" s="33">
        <f>IFERROR(__xludf.DUMMYFUNCTION("""COMPUTED_VALUE"""),1.0)</f>
        <v>1</v>
      </c>
      <c r="S9087" s="4" t="str">
        <f>IFERROR(__xludf.DUMMYFUNCTION("""COMPUTED_VALUE"""),"Ncr")</f>
        <v>Ncr</v>
      </c>
      <c r="T9087" s="33">
        <f>IFERROR(__xludf.DUMMYFUNCTION("""COMPUTED_VALUE"""),1.0)</f>
        <v>1</v>
      </c>
      <c r="U9087" s="4" t="str">
        <f>IFERROR(__xludf.DUMMYFUNCTION("""COMPUTED_VALUE"""),"Ncr")</f>
        <v>Ncr</v>
      </c>
      <c r="V9087" s="33">
        <f>IFERROR(__xludf.DUMMYFUNCTION("""COMPUTED_VALUE"""),1.0)</f>
        <v>1</v>
      </c>
      <c r="W9087" s="4" t="str">
        <f>IFERROR(__xludf.DUMMYFUNCTION("""COMPUTED_VALUE"""),"Ncr")</f>
        <v>Ncr</v>
      </c>
      <c r="X9087" s="33">
        <f>IFERROR(__xludf.DUMMYFUNCTION("""COMPUTED_VALUE"""),1.0)</f>
        <v>1</v>
      </c>
    </row>
    <row r="9088">
      <c r="K9088" s="4" t="str">
        <f>IFERROR(__xludf.DUMMYFUNCTION("""COMPUTED_VALUE"""),"PET SHOP CG")</f>
        <v>PET SHOP CG</v>
      </c>
      <c r="L9088" s="32">
        <f>IFERROR(__xludf.DUMMYFUNCTION("""COMPUTED_VALUE"""),1.0)</f>
        <v>1</v>
      </c>
      <c r="M9088" s="4" t="str">
        <f>IFERROR(__xludf.DUMMYFUNCTION("""COMPUTED_VALUE"""),"N/A (Not found)")</f>
        <v>N/A (Not found)</v>
      </c>
      <c r="N9088" s="33">
        <f>IFERROR(__xludf.DUMMYFUNCTION("""COMPUTED_VALUE"""),1.0)</f>
        <v>1</v>
      </c>
      <c r="O9088" s="4" t="str">
        <f>IFERROR(__xludf.DUMMYFUNCTION("""COMPUTED_VALUE"""),"N/A (Not found)")</f>
        <v>N/A (Not found)</v>
      </c>
      <c r="P9088" s="33">
        <f>IFERROR(__xludf.DUMMYFUNCTION("""COMPUTED_VALUE"""),1.0)</f>
        <v>1</v>
      </c>
      <c r="Q9088" s="4" t="str">
        <f>IFERROR(__xludf.DUMMYFUNCTION("""COMPUTED_VALUE"""),"N/A (Not found)")</f>
        <v>N/A (Not found)</v>
      </c>
      <c r="R9088" s="33">
        <f>IFERROR(__xludf.DUMMYFUNCTION("""COMPUTED_VALUE"""),1.0)</f>
        <v>1</v>
      </c>
      <c r="S9088" s="4" t="str">
        <f>IFERROR(__xludf.DUMMYFUNCTION("""COMPUTED_VALUE"""),"N/A (Not found)")</f>
        <v>N/A (Not found)</v>
      </c>
      <c r="T9088" s="33">
        <f>IFERROR(__xludf.DUMMYFUNCTION("""COMPUTED_VALUE"""),1.0)</f>
        <v>1</v>
      </c>
      <c r="U9088" s="4" t="str">
        <f>IFERROR(__xludf.DUMMYFUNCTION("""COMPUTED_VALUE"""),"N/A (Not found)")</f>
        <v>N/A (Not found)</v>
      </c>
      <c r="V9088" s="33">
        <f>IFERROR(__xludf.DUMMYFUNCTION("""COMPUTED_VALUE"""),1.0)</f>
        <v>1</v>
      </c>
      <c r="W9088" s="4" t="str">
        <f>IFERROR(__xludf.DUMMYFUNCTION("""COMPUTED_VALUE"""),"N/A (Not found)")</f>
        <v>N/A (Not found)</v>
      </c>
      <c r="X9088" s="33">
        <f>IFERROR(__xludf.DUMMYFUNCTION("""COMPUTED_VALUE"""),1.0)</f>
        <v>1</v>
      </c>
    </row>
    <row r="9089">
      <c r="K9089" s="4" t="str">
        <f>IFERROR(__xludf.DUMMYFUNCTION("""COMPUTED_VALUE"""),"MAZBUT ARABE")</f>
        <v>MAZBUT ARABE</v>
      </c>
      <c r="L9089" s="32">
        <f>IFERROR(__xludf.DUMMYFUNCTION("""COMPUTED_VALUE"""),1.0)</f>
        <v>1</v>
      </c>
      <c r="M9089" s="4" t="str">
        <f>IFERROR(__xludf.DUMMYFUNCTION("""COMPUTED_VALUE"""),"Ncr")</f>
        <v>Ncr</v>
      </c>
      <c r="N9089" s="33">
        <f>IFERROR(__xludf.DUMMYFUNCTION("""COMPUTED_VALUE"""),1.0)</f>
        <v>1</v>
      </c>
      <c r="O9089" s="4" t="str">
        <f>IFERROR(__xludf.DUMMYFUNCTION("""COMPUTED_VALUE"""),"Ncr")</f>
        <v>Ncr</v>
      </c>
      <c r="P9089" s="33">
        <f>IFERROR(__xludf.DUMMYFUNCTION("""COMPUTED_VALUE"""),1.0)</f>
        <v>1</v>
      </c>
      <c r="Q9089" s="4" t="str">
        <f>IFERROR(__xludf.DUMMYFUNCTION("""COMPUTED_VALUE"""),"Ncr")</f>
        <v>Ncr</v>
      </c>
      <c r="R9089" s="33">
        <f>IFERROR(__xludf.DUMMYFUNCTION("""COMPUTED_VALUE"""),1.0)</f>
        <v>1</v>
      </c>
      <c r="S9089" s="4" t="str">
        <f>IFERROR(__xludf.DUMMYFUNCTION("""COMPUTED_VALUE"""),"Ncr")</f>
        <v>Ncr</v>
      </c>
      <c r="T9089" s="33">
        <f>IFERROR(__xludf.DUMMYFUNCTION("""COMPUTED_VALUE"""),1.0)</f>
        <v>1</v>
      </c>
      <c r="U9089" s="4" t="str">
        <f>IFERROR(__xludf.DUMMYFUNCTION("""COMPUTED_VALUE"""),"null")</f>
        <v>null</v>
      </c>
      <c r="V9089" s="33">
        <f>IFERROR(__xludf.DUMMYFUNCTION("""COMPUTED_VALUE"""),1.0)</f>
        <v>1</v>
      </c>
      <c r="W9089" s="4" t="str">
        <f>IFERROR(__xludf.DUMMYFUNCTION("""COMPUTED_VALUE"""),"null")</f>
        <v>null</v>
      </c>
      <c r="X9089" s="33">
        <f>IFERROR(__xludf.DUMMYFUNCTION("""COMPUTED_VALUE"""),1.0)</f>
        <v>1</v>
      </c>
    </row>
    <row r="9090">
      <c r="K9090" s="4" t="str">
        <f>IFERROR(__xludf.DUMMYFUNCTION("""COMPUTED_VALUE"""),"SANTA CHAPA - BURGER E ACAI")</f>
        <v>SANTA CHAPA - BURGER E ACAI</v>
      </c>
      <c r="L9090" s="32">
        <f>IFERROR(__xludf.DUMMYFUNCTION("""COMPUTED_VALUE"""),1.0)</f>
        <v>1</v>
      </c>
      <c r="M9090" s="4" t="str">
        <f>IFERROR(__xludf.DUMMYFUNCTION("""COMPUTED_VALUE"""),"Solução Sistemas")</f>
        <v>Solução Sistemas</v>
      </c>
      <c r="N9090" s="33">
        <f>IFERROR(__xludf.DUMMYFUNCTION("""COMPUTED_VALUE"""),1.0)</f>
        <v>1</v>
      </c>
      <c r="O9090" s="4" t="str">
        <f>IFERROR(__xludf.DUMMYFUNCTION("""COMPUTED_VALUE"""),"Solução Sistemas")</f>
        <v>Solução Sistemas</v>
      </c>
      <c r="P9090" s="33">
        <f>IFERROR(__xludf.DUMMYFUNCTION("""COMPUTED_VALUE"""),1.0)</f>
        <v>1</v>
      </c>
      <c r="Q9090" s="4" t="str">
        <f>IFERROR(__xludf.DUMMYFUNCTION("""COMPUTED_VALUE"""),"Solução Sistemas")</f>
        <v>Solução Sistemas</v>
      </c>
      <c r="R9090" s="33">
        <f>IFERROR(__xludf.DUMMYFUNCTION("""COMPUTED_VALUE"""),1.0)</f>
        <v>1</v>
      </c>
      <c r="S9090" s="4" t="str">
        <f>IFERROR(__xludf.DUMMYFUNCTION("""COMPUTED_VALUE"""),"Solução Sistemas")</f>
        <v>Solução Sistemas</v>
      </c>
      <c r="T9090" s="33">
        <f>IFERROR(__xludf.DUMMYFUNCTION("""COMPUTED_VALUE"""),1.0)</f>
        <v>1</v>
      </c>
      <c r="U9090" s="4" t="str">
        <f>IFERROR(__xludf.DUMMYFUNCTION("""COMPUTED_VALUE"""),"null")</f>
        <v>null</v>
      </c>
      <c r="V9090" s="33">
        <f>IFERROR(__xludf.DUMMYFUNCTION("""COMPUTED_VALUE"""),1.0)</f>
        <v>1</v>
      </c>
      <c r="W9090" s="4" t="str">
        <f>IFERROR(__xludf.DUMMYFUNCTION("""COMPUTED_VALUE"""),"null")</f>
        <v>null</v>
      </c>
      <c r="X9090" s="33">
        <f>IFERROR(__xludf.DUMMYFUNCTION("""COMPUTED_VALUE"""),1.0)</f>
        <v>1</v>
      </c>
    </row>
    <row r="9091">
      <c r="K9091" s="4" t="str">
        <f>IFERROR(__xludf.DUMMYFUNCTION("""COMPUTED_VALUE"""),"HAMBURGUERIA MC MONSTER")</f>
        <v>HAMBURGUERIA MC MONSTER</v>
      </c>
      <c r="L9091" s="32">
        <f>IFERROR(__xludf.DUMMYFUNCTION("""COMPUTED_VALUE"""),1.0)</f>
        <v>1</v>
      </c>
      <c r="M9091" s="4" t="str">
        <f>IFERROR(__xludf.DUMMYFUNCTION("""COMPUTED_VALUE"""),"null")</f>
        <v>null</v>
      </c>
      <c r="N9091" s="33">
        <f>IFERROR(__xludf.DUMMYFUNCTION("""COMPUTED_VALUE"""),1.0)</f>
        <v>1</v>
      </c>
      <c r="O9091" s="4" t="str">
        <f>IFERROR(__xludf.DUMMYFUNCTION("""COMPUTED_VALUE"""),"null")</f>
        <v>null</v>
      </c>
      <c r="P9091" s="33">
        <f>IFERROR(__xludf.DUMMYFUNCTION("""COMPUTED_VALUE"""),1.0)</f>
        <v>1</v>
      </c>
      <c r="Q9091" s="4" t="str">
        <f>IFERROR(__xludf.DUMMYFUNCTION("""COMPUTED_VALUE"""),"Brendi")</f>
        <v>Brendi</v>
      </c>
      <c r="R9091" s="33">
        <f>IFERROR(__xludf.DUMMYFUNCTION("""COMPUTED_VALUE"""),1.0)</f>
        <v>1</v>
      </c>
      <c r="S9091" s="4" t="str">
        <f>IFERROR(__xludf.DUMMYFUNCTION("""COMPUTED_VALUE"""),"Brendi")</f>
        <v>Brendi</v>
      </c>
      <c r="T9091" s="33">
        <f>IFERROR(__xludf.DUMMYFUNCTION("""COMPUTED_VALUE"""),1.0)</f>
        <v>1</v>
      </c>
      <c r="U9091" s="4" t="str">
        <f>IFERROR(__xludf.DUMMYFUNCTION("""COMPUTED_VALUE"""),"Brendi")</f>
        <v>Brendi</v>
      </c>
      <c r="V9091" s="33">
        <f>IFERROR(__xludf.DUMMYFUNCTION("""COMPUTED_VALUE"""),1.0)</f>
        <v>1</v>
      </c>
      <c r="W9091" s="4" t="str">
        <f>IFERROR(__xludf.DUMMYFUNCTION("""COMPUTED_VALUE"""),"Brendi")</f>
        <v>Brendi</v>
      </c>
      <c r="X9091" s="33">
        <f>IFERROR(__xludf.DUMMYFUNCTION("""COMPUTED_VALUE"""),1.0)</f>
        <v>1</v>
      </c>
    </row>
    <row r="9092">
      <c r="K9092" s="4" t="str">
        <f>IFERROR(__xludf.DUMMYFUNCTION("""COMPUTED_VALUE"""),"MARMITA E FRANGO ASSADO - GALETOS GRILL RESTAURANTE")</f>
        <v>MARMITA E FRANGO ASSADO - GALETOS GRILL RESTAURANTE</v>
      </c>
      <c r="L9092" s="32">
        <f>IFERROR(__xludf.DUMMYFUNCTION("""COMPUTED_VALUE"""),1.0)</f>
        <v>1</v>
      </c>
      <c r="M9092" s="4" t="str">
        <f>IFERROR(__xludf.DUMMYFUNCTION("""COMPUTED_VALUE"""),"null")</f>
        <v>null</v>
      </c>
      <c r="N9092" s="33">
        <f>IFERROR(__xludf.DUMMYFUNCTION("""COMPUTED_VALUE"""),1.0)</f>
        <v>1</v>
      </c>
      <c r="O9092" s="4" t="str">
        <f>IFERROR(__xludf.DUMMYFUNCTION("""COMPUTED_VALUE"""),"Totvs Large Enterprise Tecnologia S.a.")</f>
        <v>Totvs Large Enterprise Tecnologia S.a.</v>
      </c>
      <c r="P9092" s="33">
        <f>IFERROR(__xludf.DUMMYFUNCTION("""COMPUTED_VALUE"""),1.0)</f>
        <v>1</v>
      </c>
      <c r="Q9092" s="4" t="str">
        <f>IFERROR(__xludf.DUMMYFUNCTION("""COMPUTED_VALUE"""),"Totvs Large Enterprise Tecnologia S.a.")</f>
        <v>Totvs Large Enterprise Tecnologia S.a.</v>
      </c>
      <c r="R9092" s="33">
        <f>IFERROR(__xludf.DUMMYFUNCTION("""COMPUTED_VALUE"""),1.0)</f>
        <v>1</v>
      </c>
      <c r="S9092" s="4" t="str">
        <f>IFERROR(__xludf.DUMMYFUNCTION("""COMPUTED_VALUE"""),"Totvs Large Enterprise Tecnologia S.a.")</f>
        <v>Totvs Large Enterprise Tecnologia S.a.</v>
      </c>
      <c r="T9092" s="33">
        <f>IFERROR(__xludf.DUMMYFUNCTION("""COMPUTED_VALUE"""),1.0)</f>
        <v>1</v>
      </c>
      <c r="U9092" s="4" t="str">
        <f>IFERROR(__xludf.DUMMYFUNCTION("""COMPUTED_VALUE"""),"null")</f>
        <v>null</v>
      </c>
      <c r="V9092" s="33">
        <f>IFERROR(__xludf.DUMMYFUNCTION("""COMPUTED_VALUE"""),1.0)</f>
        <v>1</v>
      </c>
      <c r="W9092" s="4" t="str">
        <f>IFERROR(__xludf.DUMMYFUNCTION("""COMPUTED_VALUE"""),"Totvs Large Enterprise Tecnologia S.a.")</f>
        <v>Totvs Large Enterprise Tecnologia S.a.</v>
      </c>
      <c r="X9092" s="33">
        <f>IFERROR(__xludf.DUMMYFUNCTION("""COMPUTED_VALUE"""),1.0)</f>
        <v>1</v>
      </c>
    </row>
    <row r="9093">
      <c r="K9093" s="4" t="str">
        <f>IFERROR(__xludf.DUMMYFUNCTION("""COMPUTED_VALUE"""),"CAFE DA MANHA TATI")</f>
        <v>CAFE DA MANHA TATI</v>
      </c>
      <c r="L9093" s="32">
        <f>IFERROR(__xludf.DUMMYFUNCTION("""COMPUTED_VALUE"""),1.0)</f>
        <v>1</v>
      </c>
      <c r="M9093" s="4" t="str">
        <f>IFERROR(__xludf.DUMMYFUNCTION("""COMPUTED_VALUE"""),"Cardápio Web")</f>
        <v>Cardápio Web</v>
      </c>
      <c r="N9093" s="33">
        <f>IFERROR(__xludf.DUMMYFUNCTION("""COMPUTED_VALUE"""),1.0)</f>
        <v>1</v>
      </c>
      <c r="O9093" s="4" t="str">
        <f>IFERROR(__xludf.DUMMYFUNCTION("""COMPUTED_VALUE"""),"Cardápio Web")</f>
        <v>Cardápio Web</v>
      </c>
      <c r="P9093" s="33">
        <f>IFERROR(__xludf.DUMMYFUNCTION("""COMPUTED_VALUE"""),1.0)</f>
        <v>1</v>
      </c>
      <c r="Q9093" s="4" t="str">
        <f>IFERROR(__xludf.DUMMYFUNCTION("""COMPUTED_VALUE"""),"Cardápio Web")</f>
        <v>Cardápio Web</v>
      </c>
      <c r="R9093" s="33">
        <f>IFERROR(__xludf.DUMMYFUNCTION("""COMPUTED_VALUE"""),1.0)</f>
        <v>1</v>
      </c>
      <c r="S9093" s="4" t="str">
        <f>IFERROR(__xludf.DUMMYFUNCTION("""COMPUTED_VALUE"""),"Cardápio Web")</f>
        <v>Cardápio Web</v>
      </c>
      <c r="T9093" s="33">
        <f>IFERROR(__xludf.DUMMYFUNCTION("""COMPUTED_VALUE"""),1.0)</f>
        <v>1</v>
      </c>
      <c r="U9093" s="4" t="str">
        <f>IFERROR(__xludf.DUMMYFUNCTION("""COMPUTED_VALUE"""),"Cardápio Web")</f>
        <v>Cardápio Web</v>
      </c>
      <c r="V9093" s="33">
        <f>IFERROR(__xludf.DUMMYFUNCTION("""COMPUTED_VALUE"""),1.0)</f>
        <v>1</v>
      </c>
      <c r="W9093" s="4" t="str">
        <f>IFERROR(__xludf.DUMMYFUNCTION("""COMPUTED_VALUE"""),"Cardápio Web")</f>
        <v>Cardápio Web</v>
      </c>
      <c r="X9093" s="33">
        <f>IFERROR(__xludf.DUMMYFUNCTION("""COMPUTED_VALUE"""),1.0)</f>
        <v>1</v>
      </c>
    </row>
    <row r="9094">
      <c r="K9094" s="4" t="str">
        <f>IFERROR(__xludf.DUMMYFUNCTION("""COMPUTED_VALUE"""),"SEU LUNA - RESTAURANTE REGIONAL")</f>
        <v>SEU LUNA - RESTAURANTE REGIONAL</v>
      </c>
      <c r="L9094" s="32">
        <f>IFERROR(__xludf.DUMMYFUNCTION("""COMPUTED_VALUE"""),1.0)</f>
        <v>1</v>
      </c>
      <c r="M9094" s="4" t="str">
        <f>IFERROR(__xludf.DUMMYFUNCTION("""COMPUTED_VALUE"""),"Saipos Serviços De Software")</f>
        <v>Saipos Serviços De Software</v>
      </c>
      <c r="N9094" s="33">
        <f>IFERROR(__xludf.DUMMYFUNCTION("""COMPUTED_VALUE"""),1.0)</f>
        <v>1</v>
      </c>
      <c r="O9094" s="4" t="str">
        <f>IFERROR(__xludf.DUMMYFUNCTION("""COMPUTED_VALUE"""),"Saipos Serviços De Software")</f>
        <v>Saipos Serviços De Software</v>
      </c>
      <c r="P9094" s="33">
        <f>IFERROR(__xludf.DUMMYFUNCTION("""COMPUTED_VALUE"""),1.0)</f>
        <v>1</v>
      </c>
      <c r="Q9094" s="4" t="str">
        <f>IFERROR(__xludf.DUMMYFUNCTION("""COMPUTED_VALUE"""),"Saipos Serviços De Software")</f>
        <v>Saipos Serviços De Software</v>
      </c>
      <c r="R9094" s="33">
        <f>IFERROR(__xludf.DUMMYFUNCTION("""COMPUTED_VALUE"""),1.0)</f>
        <v>1</v>
      </c>
      <c r="S9094" s="4" t="str">
        <f>IFERROR(__xludf.DUMMYFUNCTION("""COMPUTED_VALUE"""),"Saipos Serviços De Software")</f>
        <v>Saipos Serviços De Software</v>
      </c>
      <c r="T9094" s="33">
        <f>IFERROR(__xludf.DUMMYFUNCTION("""COMPUTED_VALUE"""),1.0)</f>
        <v>1</v>
      </c>
      <c r="U9094" s="4" t="str">
        <f>IFERROR(__xludf.DUMMYFUNCTION("""COMPUTED_VALUE"""),"Saipos Serviços De Software")</f>
        <v>Saipos Serviços De Software</v>
      </c>
      <c r="V9094" s="33">
        <f>IFERROR(__xludf.DUMMYFUNCTION("""COMPUTED_VALUE"""),1.0)</f>
        <v>1</v>
      </c>
      <c r="W9094" s="4" t="str">
        <f>IFERROR(__xludf.DUMMYFUNCTION("""COMPUTED_VALUE"""),"Saipos Serviços De Software")</f>
        <v>Saipos Serviços De Software</v>
      </c>
      <c r="X9094" s="33">
        <f>IFERROR(__xludf.DUMMYFUNCTION("""COMPUTED_VALUE"""),1.0)</f>
        <v>1</v>
      </c>
    </row>
    <row r="9095">
      <c r="K9095" s="4" t="str">
        <f>IFERROR(__xludf.DUMMYFUNCTION("""COMPUTED_VALUE"""),"BBBURGUER HAMBURGUERIA E PIZZARIA")</f>
        <v>BBBURGUER HAMBURGUERIA E PIZZARIA</v>
      </c>
      <c r="L9095" s="32">
        <f>IFERROR(__xludf.DUMMYFUNCTION("""COMPUTED_VALUE"""),1.0)</f>
        <v>1</v>
      </c>
      <c r="M9095" s="4" t="str">
        <f>IFERROR(__xludf.DUMMYFUNCTION("""COMPUTED_VALUE"""),"Ncr")</f>
        <v>Ncr</v>
      </c>
      <c r="N9095" s="33">
        <f>IFERROR(__xludf.DUMMYFUNCTION("""COMPUTED_VALUE"""),1.0)</f>
        <v>1</v>
      </c>
      <c r="O9095" s="4" t="str">
        <f>IFERROR(__xludf.DUMMYFUNCTION("""COMPUTED_VALUE"""),"Ncr")</f>
        <v>Ncr</v>
      </c>
      <c r="P9095" s="33">
        <f>IFERROR(__xludf.DUMMYFUNCTION("""COMPUTED_VALUE"""),1.0)</f>
        <v>1</v>
      </c>
      <c r="Q9095" s="4" t="str">
        <f>IFERROR(__xludf.DUMMYFUNCTION("""COMPUTED_VALUE"""),"Ncr")</f>
        <v>Ncr</v>
      </c>
      <c r="R9095" s="33">
        <f>IFERROR(__xludf.DUMMYFUNCTION("""COMPUTED_VALUE"""),1.0)</f>
        <v>1</v>
      </c>
      <c r="S9095" s="4" t="str">
        <f>IFERROR(__xludf.DUMMYFUNCTION("""COMPUTED_VALUE"""),"Ncr")</f>
        <v>Ncr</v>
      </c>
      <c r="T9095" s="33">
        <f>IFERROR(__xludf.DUMMYFUNCTION("""COMPUTED_VALUE"""),1.0)</f>
        <v>1</v>
      </c>
      <c r="U9095" s="4" t="str">
        <f>IFERROR(__xludf.DUMMYFUNCTION("""COMPUTED_VALUE"""),"Ncr")</f>
        <v>Ncr</v>
      </c>
      <c r="V9095" s="33">
        <f>IFERROR(__xludf.DUMMYFUNCTION("""COMPUTED_VALUE"""),1.0)</f>
        <v>1</v>
      </c>
      <c r="W9095" s="4" t="str">
        <f>IFERROR(__xludf.DUMMYFUNCTION("""COMPUTED_VALUE"""),"Ncr")</f>
        <v>Ncr</v>
      </c>
      <c r="X9095" s="33">
        <f>IFERROR(__xludf.DUMMYFUNCTION("""COMPUTED_VALUE"""),1.0)</f>
        <v>1</v>
      </c>
    </row>
    <row r="9096">
      <c r="K9096" s="4" t="str">
        <f>IFERROR(__xludf.DUMMYFUNCTION("""COMPUTED_VALUE"""),"MOACAS CARNES E MASSAS")</f>
        <v>MOACAS CARNES E MASSAS</v>
      </c>
      <c r="L9096" s="32">
        <f>IFERROR(__xludf.DUMMYFUNCTION("""COMPUTED_VALUE"""),1.0)</f>
        <v>1</v>
      </c>
      <c r="M9096" s="4" t="str">
        <f>IFERROR(__xludf.DUMMYFUNCTION("""COMPUTED_VALUE"""),"Netcontroll Xmenu")</f>
        <v>Netcontroll Xmenu</v>
      </c>
      <c r="N9096" s="33">
        <f>IFERROR(__xludf.DUMMYFUNCTION("""COMPUTED_VALUE"""),1.0)</f>
        <v>1</v>
      </c>
      <c r="O9096" s="4" t="str">
        <f>IFERROR(__xludf.DUMMYFUNCTION("""COMPUTED_VALUE"""),"Netcontroll Xmenu")</f>
        <v>Netcontroll Xmenu</v>
      </c>
      <c r="P9096" s="33">
        <f>IFERROR(__xludf.DUMMYFUNCTION("""COMPUTED_VALUE"""),1.0)</f>
        <v>1</v>
      </c>
      <c r="Q9096" s="4" t="str">
        <f>IFERROR(__xludf.DUMMYFUNCTION("""COMPUTED_VALUE"""),"Netcontroll Xmenu")</f>
        <v>Netcontroll Xmenu</v>
      </c>
      <c r="R9096" s="33">
        <f>IFERROR(__xludf.DUMMYFUNCTION("""COMPUTED_VALUE"""),1.0)</f>
        <v>1</v>
      </c>
      <c r="S9096" s="4" t="str">
        <f>IFERROR(__xludf.DUMMYFUNCTION("""COMPUTED_VALUE"""),"Netcontroll Xmenu")</f>
        <v>Netcontroll Xmenu</v>
      </c>
      <c r="T9096" s="33">
        <f>IFERROR(__xludf.DUMMYFUNCTION("""COMPUTED_VALUE"""),1.0)</f>
        <v>1</v>
      </c>
      <c r="U9096" s="4" t="str">
        <f>IFERROR(__xludf.DUMMYFUNCTION("""COMPUTED_VALUE"""),"Netcontroll Xmenu")</f>
        <v>Netcontroll Xmenu</v>
      </c>
      <c r="V9096" s="33">
        <f>IFERROR(__xludf.DUMMYFUNCTION("""COMPUTED_VALUE"""),1.0)</f>
        <v>1</v>
      </c>
      <c r="W9096" s="4" t="str">
        <f>IFERROR(__xludf.DUMMYFUNCTION("""COMPUTED_VALUE"""),"null")</f>
        <v>null</v>
      </c>
      <c r="X9096" s="33">
        <f>IFERROR(__xludf.DUMMYFUNCTION("""COMPUTED_VALUE"""),1.0)</f>
        <v>1</v>
      </c>
    </row>
    <row r="9097">
      <c r="K9097" s="4" t="str">
        <f>IFERROR(__xludf.DUMMYFUNCTION("""COMPUTED_VALUE"""),"TICANA")</f>
        <v>TICANA</v>
      </c>
      <c r="L9097" s="32">
        <f>IFERROR(__xludf.DUMMYFUNCTION("""COMPUTED_VALUE"""),1.0)</f>
        <v>1</v>
      </c>
      <c r="M9097" s="4" t="str">
        <f>IFERROR(__xludf.DUMMYFUNCTION("""COMPUTED_VALUE"""),"Altec Sistemas")</f>
        <v>Altec Sistemas</v>
      </c>
      <c r="N9097" s="33">
        <f>IFERROR(__xludf.DUMMYFUNCTION("""COMPUTED_VALUE"""),1.0)</f>
        <v>1</v>
      </c>
      <c r="O9097" s="4" t="str">
        <f>IFERROR(__xludf.DUMMYFUNCTION("""COMPUTED_VALUE"""),"Altec Sistemas")</f>
        <v>Altec Sistemas</v>
      </c>
      <c r="P9097" s="33">
        <f>IFERROR(__xludf.DUMMYFUNCTION("""COMPUTED_VALUE"""),1.0)</f>
        <v>1</v>
      </c>
      <c r="Q9097" s="4" t="str">
        <f>IFERROR(__xludf.DUMMYFUNCTION("""COMPUTED_VALUE"""),"Altec Sistemas")</f>
        <v>Altec Sistemas</v>
      </c>
      <c r="R9097" s="33">
        <f>IFERROR(__xludf.DUMMYFUNCTION("""COMPUTED_VALUE"""),1.0)</f>
        <v>1</v>
      </c>
      <c r="S9097" s="4" t="str">
        <f>IFERROR(__xludf.DUMMYFUNCTION("""COMPUTED_VALUE"""),"Altec Sistemas")</f>
        <v>Altec Sistemas</v>
      </c>
      <c r="T9097" s="33">
        <f>IFERROR(__xludf.DUMMYFUNCTION("""COMPUTED_VALUE"""),1.0)</f>
        <v>1</v>
      </c>
      <c r="U9097" s="4" t="str">
        <f>IFERROR(__xludf.DUMMYFUNCTION("""COMPUTED_VALUE"""),"Altec Sistemas")</f>
        <v>Altec Sistemas</v>
      </c>
      <c r="V9097" s="33">
        <f>IFERROR(__xludf.DUMMYFUNCTION("""COMPUTED_VALUE"""),1.0)</f>
        <v>1</v>
      </c>
      <c r="W9097" s="4" t="str">
        <f>IFERROR(__xludf.DUMMYFUNCTION("""COMPUTED_VALUE"""),"Altec Sistemas")</f>
        <v>Altec Sistemas</v>
      </c>
      <c r="X9097" s="33">
        <f>IFERROR(__xludf.DUMMYFUNCTION("""COMPUTED_VALUE"""),1.0)</f>
        <v>1</v>
      </c>
    </row>
    <row r="9098">
      <c r="K9098" s="4" t="str">
        <f>IFERROR(__xludf.DUMMYFUNCTION("""COMPUTED_VALUE"""),"DOCEVILLE - KIT FESTASCOXINHAS E DOCES")</f>
        <v>DOCEVILLE - KIT FESTASCOXINHAS E DOCES</v>
      </c>
      <c r="L9098" s="32">
        <f>IFERROR(__xludf.DUMMYFUNCTION("""COMPUTED_VALUE"""),1.0)</f>
        <v>1</v>
      </c>
      <c r="M9098" s="4" t="str">
        <f>IFERROR(__xludf.DUMMYFUNCTION("""COMPUTED_VALUE"""),"null")</f>
        <v>null</v>
      </c>
      <c r="N9098" s="33">
        <f>IFERROR(__xludf.DUMMYFUNCTION("""COMPUTED_VALUE"""),1.0)</f>
        <v>1</v>
      </c>
      <c r="O9098" s="4" t="str">
        <f>IFERROR(__xludf.DUMMYFUNCTION("""COMPUTED_VALUE"""),"L&amp;f Tecnologia Sistemas E Comercio Ltda")</f>
        <v>L&amp;f Tecnologia Sistemas E Comercio Ltda</v>
      </c>
      <c r="P9098" s="33">
        <f>IFERROR(__xludf.DUMMYFUNCTION("""COMPUTED_VALUE"""),1.0)</f>
        <v>1</v>
      </c>
      <c r="Q9098" s="4" t="str">
        <f>IFERROR(__xludf.DUMMYFUNCTION("""COMPUTED_VALUE"""),"L&amp;f Tecnologia Sistemas E Comercio Ltda")</f>
        <v>L&amp;f Tecnologia Sistemas E Comercio Ltda</v>
      </c>
      <c r="R9098" s="33">
        <f>IFERROR(__xludf.DUMMYFUNCTION("""COMPUTED_VALUE"""),1.0)</f>
        <v>1</v>
      </c>
      <c r="S9098" s="4" t="str">
        <f>IFERROR(__xludf.DUMMYFUNCTION("""COMPUTED_VALUE"""),"L&amp;f Tecnologia Sistemas E Comercio Ltda")</f>
        <v>L&amp;f Tecnologia Sistemas E Comercio Ltda</v>
      </c>
      <c r="T9098" s="33">
        <f>IFERROR(__xludf.DUMMYFUNCTION("""COMPUTED_VALUE"""),1.0)</f>
        <v>1</v>
      </c>
      <c r="U9098" s="4" t="str">
        <f>IFERROR(__xludf.DUMMYFUNCTION("""COMPUTED_VALUE"""),"null")</f>
        <v>null</v>
      </c>
      <c r="V9098" s="33">
        <f>IFERROR(__xludf.DUMMYFUNCTION("""COMPUTED_VALUE"""),1.0)</f>
        <v>1</v>
      </c>
      <c r="W9098" s="4" t="str">
        <f>IFERROR(__xludf.DUMMYFUNCTION("""COMPUTED_VALUE"""),"null")</f>
        <v>null</v>
      </c>
      <c r="X9098" s="33">
        <f>IFERROR(__xludf.DUMMYFUNCTION("""COMPUTED_VALUE"""),1.0)</f>
        <v>1</v>
      </c>
    </row>
    <row r="9099">
      <c r="K9099" s="4" t="str">
        <f>IFERROR(__xludf.DUMMYFUNCTION("""COMPUTED_VALUE"""),"DUFFS HAMBURGUERIA")</f>
        <v>DUFFS HAMBURGUERIA</v>
      </c>
      <c r="L9099" s="32">
        <f>IFERROR(__xludf.DUMMYFUNCTION("""COMPUTED_VALUE"""),1.0)</f>
        <v>1</v>
      </c>
      <c r="M9099" s="4" t="str">
        <f>IFERROR(__xludf.DUMMYFUNCTION("""COMPUTED_VALUE"""),"Cardápio Web")</f>
        <v>Cardápio Web</v>
      </c>
      <c r="N9099" s="33">
        <f>IFERROR(__xludf.DUMMYFUNCTION("""COMPUTED_VALUE"""),1.0)</f>
        <v>1</v>
      </c>
      <c r="O9099" s="4" t="str">
        <f>IFERROR(__xludf.DUMMYFUNCTION("""COMPUTED_VALUE"""),"Cardápio Web")</f>
        <v>Cardápio Web</v>
      </c>
      <c r="P9099" s="33">
        <f>IFERROR(__xludf.DUMMYFUNCTION("""COMPUTED_VALUE"""),1.0)</f>
        <v>1</v>
      </c>
      <c r="Q9099" s="4" t="str">
        <f>IFERROR(__xludf.DUMMYFUNCTION("""COMPUTED_VALUE"""),"Cardápio Web")</f>
        <v>Cardápio Web</v>
      </c>
      <c r="R9099" s="33">
        <f>IFERROR(__xludf.DUMMYFUNCTION("""COMPUTED_VALUE"""),1.0)</f>
        <v>1</v>
      </c>
      <c r="S9099" s="4" t="str">
        <f>IFERROR(__xludf.DUMMYFUNCTION("""COMPUTED_VALUE"""),"null")</f>
        <v>null</v>
      </c>
      <c r="T9099" s="33">
        <f>IFERROR(__xludf.DUMMYFUNCTION("""COMPUTED_VALUE"""),1.0)</f>
        <v>1</v>
      </c>
      <c r="U9099" s="4" t="str">
        <f>IFERROR(__xludf.DUMMYFUNCTION("""COMPUTED_VALUE"""),"null")</f>
        <v>null</v>
      </c>
      <c r="V9099" s="33">
        <f>IFERROR(__xludf.DUMMYFUNCTION("""COMPUTED_VALUE"""),1.0)</f>
        <v>1</v>
      </c>
      <c r="W9099" s="4" t="str">
        <f>IFERROR(__xludf.DUMMYFUNCTION("""COMPUTED_VALUE"""),"null")</f>
        <v>null</v>
      </c>
      <c r="X9099" s="33">
        <f>IFERROR(__xludf.DUMMYFUNCTION("""COMPUTED_VALUE"""),1.0)</f>
        <v>1</v>
      </c>
    </row>
    <row r="9100">
      <c r="K9100" s="4" t="str">
        <f>IFERROR(__xludf.DUMMYFUNCTION("""COMPUTED_VALUE"""),"PIZZA - OFICINA DAS PIZZAS")</f>
        <v>PIZZA - OFICINA DAS PIZZAS</v>
      </c>
      <c r="L9100" s="32">
        <f>IFERROR(__xludf.DUMMYFUNCTION("""COMPUTED_VALUE"""),1.0)</f>
        <v>1</v>
      </c>
      <c r="M9100" s="4" t="str">
        <f>IFERROR(__xludf.DUMMYFUNCTION("""COMPUTED_VALUE"""),"Saipos Serviços De Software")</f>
        <v>Saipos Serviços De Software</v>
      </c>
      <c r="N9100" s="33">
        <f>IFERROR(__xludf.DUMMYFUNCTION("""COMPUTED_VALUE"""),1.0)</f>
        <v>1</v>
      </c>
      <c r="O9100" s="4" t="str">
        <f>IFERROR(__xludf.DUMMYFUNCTION("""COMPUTED_VALUE"""),"Saipos Serviços De Software")</f>
        <v>Saipos Serviços De Software</v>
      </c>
      <c r="P9100" s="33">
        <f>IFERROR(__xludf.DUMMYFUNCTION("""COMPUTED_VALUE"""),1.0)</f>
        <v>1</v>
      </c>
      <c r="Q9100" s="4" t="str">
        <f>IFERROR(__xludf.DUMMYFUNCTION("""COMPUTED_VALUE"""),"Saipos Serviços De Software")</f>
        <v>Saipos Serviços De Software</v>
      </c>
      <c r="R9100" s="33">
        <f>IFERROR(__xludf.DUMMYFUNCTION("""COMPUTED_VALUE"""),1.0)</f>
        <v>1</v>
      </c>
      <c r="S9100" s="4" t="str">
        <f>IFERROR(__xludf.DUMMYFUNCTION("""COMPUTED_VALUE"""),"Saipos Serviços De Software")</f>
        <v>Saipos Serviços De Software</v>
      </c>
      <c r="T9100" s="33">
        <f>IFERROR(__xludf.DUMMYFUNCTION("""COMPUTED_VALUE"""),1.0)</f>
        <v>1</v>
      </c>
      <c r="U9100" s="4" t="str">
        <f>IFERROR(__xludf.DUMMYFUNCTION("""COMPUTED_VALUE"""),"Saipos Serviços De Software")</f>
        <v>Saipos Serviços De Software</v>
      </c>
      <c r="V9100" s="33">
        <f>IFERROR(__xludf.DUMMYFUNCTION("""COMPUTED_VALUE"""),1.0)</f>
        <v>1</v>
      </c>
      <c r="W9100" s="4" t="str">
        <f>IFERROR(__xludf.DUMMYFUNCTION("""COMPUTED_VALUE"""),"Saipos Serviços De Software")</f>
        <v>Saipos Serviços De Software</v>
      </c>
      <c r="X9100" s="33">
        <f>IFERROR(__xludf.DUMMYFUNCTION("""COMPUTED_VALUE"""),1.0)</f>
        <v>1</v>
      </c>
    </row>
    <row r="9101">
      <c r="K9101" s="4" t="str">
        <f>IFERROR(__xludf.DUMMYFUNCTION("""COMPUTED_VALUE"""),"HAMBURGUERIA SMASH GAMER")</f>
        <v>HAMBURGUERIA SMASH GAMER</v>
      </c>
      <c r="L9101" s="32">
        <f>IFERROR(__xludf.DUMMYFUNCTION("""COMPUTED_VALUE"""),1.0)</f>
        <v>1</v>
      </c>
      <c r="M9101" s="4" t="str">
        <f>IFERROR(__xludf.DUMMYFUNCTION("""COMPUTED_VALUE"""),"null")</f>
        <v>null</v>
      </c>
      <c r="N9101" s="33">
        <f>IFERROR(__xludf.DUMMYFUNCTION("""COMPUTED_VALUE"""),1.0)</f>
        <v>1</v>
      </c>
      <c r="O9101" s="4" t="str">
        <f>IFERROR(__xludf.DUMMYFUNCTION("""COMPUTED_VALUE"""),"Olaclick")</f>
        <v>Olaclick</v>
      </c>
      <c r="P9101" s="33">
        <f>IFERROR(__xludf.DUMMYFUNCTION("""COMPUTED_VALUE"""),1.0)</f>
        <v>1</v>
      </c>
      <c r="Q9101" s="4" t="str">
        <f>IFERROR(__xludf.DUMMYFUNCTION("""COMPUTED_VALUE"""),"Olaclick")</f>
        <v>Olaclick</v>
      </c>
      <c r="R9101" s="33">
        <f>IFERROR(__xludf.DUMMYFUNCTION("""COMPUTED_VALUE"""),1.0)</f>
        <v>1</v>
      </c>
      <c r="S9101" s="4" t="str">
        <f>IFERROR(__xludf.DUMMYFUNCTION("""COMPUTED_VALUE"""),"null")</f>
        <v>null</v>
      </c>
      <c r="T9101" s="33">
        <f>IFERROR(__xludf.DUMMYFUNCTION("""COMPUTED_VALUE"""),1.0)</f>
        <v>1</v>
      </c>
      <c r="U9101" s="4" t="str">
        <f>IFERROR(__xludf.DUMMYFUNCTION("""COMPUTED_VALUE"""),"Olaclick")</f>
        <v>Olaclick</v>
      </c>
      <c r="V9101" s="33">
        <f>IFERROR(__xludf.DUMMYFUNCTION("""COMPUTED_VALUE"""),1.0)</f>
        <v>1</v>
      </c>
      <c r="W9101" s="4" t="str">
        <f>IFERROR(__xludf.DUMMYFUNCTION("""COMPUTED_VALUE"""),"Olaclick")</f>
        <v>Olaclick</v>
      </c>
      <c r="X9101" s="33">
        <f>IFERROR(__xludf.DUMMYFUNCTION("""COMPUTED_VALUE"""),1.0)</f>
        <v>1</v>
      </c>
    </row>
    <row r="9102">
      <c r="K9102" s="4" t="str">
        <f>IFERROR(__xludf.DUMMYFUNCTION("""COMPUTED_VALUE"""),"PIZZARIA DO OESTE")</f>
        <v>PIZZARIA DO OESTE</v>
      </c>
      <c r="L9102" s="32">
        <f>IFERROR(__xludf.DUMMYFUNCTION("""COMPUTED_VALUE"""),1.0)</f>
        <v>1</v>
      </c>
      <c r="M9102" s="4" t="str">
        <f>IFERROR(__xludf.DUMMYFUNCTION("""COMPUTED_VALUE"""),"Grsoft")</f>
        <v>Grsoft</v>
      </c>
      <c r="N9102" s="33">
        <f>IFERROR(__xludf.DUMMYFUNCTION("""COMPUTED_VALUE"""),1.0)</f>
        <v>1</v>
      </c>
      <c r="O9102" s="4" t="str">
        <f>IFERROR(__xludf.DUMMYFUNCTION("""COMPUTED_VALUE"""),"Grsoft")</f>
        <v>Grsoft</v>
      </c>
      <c r="P9102" s="33">
        <f>IFERROR(__xludf.DUMMYFUNCTION("""COMPUTED_VALUE"""),1.0)</f>
        <v>1</v>
      </c>
      <c r="Q9102" s="4" t="str">
        <f>IFERROR(__xludf.DUMMYFUNCTION("""COMPUTED_VALUE"""),"Grsoft")</f>
        <v>Grsoft</v>
      </c>
      <c r="R9102" s="33">
        <f>IFERROR(__xludf.DUMMYFUNCTION("""COMPUTED_VALUE"""),1.0)</f>
        <v>1</v>
      </c>
      <c r="S9102" s="4" t="str">
        <f>IFERROR(__xludf.DUMMYFUNCTION("""COMPUTED_VALUE"""),"Grsoft")</f>
        <v>Grsoft</v>
      </c>
      <c r="T9102" s="33">
        <f>IFERROR(__xludf.DUMMYFUNCTION("""COMPUTED_VALUE"""),1.0)</f>
        <v>1</v>
      </c>
      <c r="U9102" s="4" t="str">
        <f>IFERROR(__xludf.DUMMYFUNCTION("""COMPUTED_VALUE"""),"Grsoft")</f>
        <v>Grsoft</v>
      </c>
      <c r="V9102" s="33">
        <f>IFERROR(__xludf.DUMMYFUNCTION("""COMPUTED_VALUE"""),1.0)</f>
        <v>1</v>
      </c>
      <c r="W9102" s="4" t="str">
        <f>IFERROR(__xludf.DUMMYFUNCTION("""COMPUTED_VALUE"""),"Grsoft")</f>
        <v>Grsoft</v>
      </c>
      <c r="X9102" s="33">
        <f>IFERROR(__xludf.DUMMYFUNCTION("""COMPUTED_VALUE"""),1.0)</f>
        <v>1</v>
      </c>
    </row>
    <row r="9103">
      <c r="K9103" s="4" t="str">
        <f>IFERROR(__xludf.DUMMYFUNCTION("""COMPUTED_VALUE"""),"MELLOS POTATOES - BATATAS RECHEADAS")</f>
        <v>MELLOS POTATOES - BATATAS RECHEADAS</v>
      </c>
      <c r="L9103" s="32">
        <f>IFERROR(__xludf.DUMMYFUNCTION("""COMPUTED_VALUE"""),1.0)</f>
        <v>1</v>
      </c>
      <c r="M9103" s="4" t="str">
        <f>IFERROR(__xludf.DUMMYFUNCTION("""COMPUTED_VALUE"""),"null")</f>
        <v>null</v>
      </c>
      <c r="N9103" s="33">
        <f>IFERROR(__xludf.DUMMYFUNCTION("""COMPUTED_VALUE"""),1.0)</f>
        <v>1</v>
      </c>
      <c r="O9103" s="4" t="str">
        <f>IFERROR(__xludf.DUMMYFUNCTION("""COMPUTED_VALUE"""),"Instadelivery")</f>
        <v>Instadelivery</v>
      </c>
      <c r="P9103" s="33">
        <f>IFERROR(__xludf.DUMMYFUNCTION("""COMPUTED_VALUE"""),1.0)</f>
        <v>1</v>
      </c>
      <c r="Q9103" s="4" t="str">
        <f>IFERROR(__xludf.DUMMYFUNCTION("""COMPUTED_VALUE"""),"Instadelivery")</f>
        <v>Instadelivery</v>
      </c>
      <c r="R9103" s="33">
        <f>IFERROR(__xludf.DUMMYFUNCTION("""COMPUTED_VALUE"""),1.0)</f>
        <v>1</v>
      </c>
      <c r="S9103" s="4" t="str">
        <f>IFERROR(__xludf.DUMMYFUNCTION("""COMPUTED_VALUE"""),"Instadelivery")</f>
        <v>Instadelivery</v>
      </c>
      <c r="T9103" s="33">
        <f>IFERROR(__xludf.DUMMYFUNCTION("""COMPUTED_VALUE"""),1.0)</f>
        <v>1</v>
      </c>
      <c r="U9103" s="4" t="str">
        <f>IFERROR(__xludf.DUMMYFUNCTION("""COMPUTED_VALUE"""),"null")</f>
        <v>null</v>
      </c>
      <c r="V9103" s="33">
        <f>IFERROR(__xludf.DUMMYFUNCTION("""COMPUTED_VALUE"""),1.0)</f>
        <v>1</v>
      </c>
      <c r="W9103" s="4" t="str">
        <f>IFERROR(__xludf.DUMMYFUNCTION("""COMPUTED_VALUE"""),"null")</f>
        <v>null</v>
      </c>
      <c r="X9103" s="33">
        <f>IFERROR(__xludf.DUMMYFUNCTION("""COMPUTED_VALUE"""),1.0)</f>
        <v>1</v>
      </c>
    </row>
    <row r="9104">
      <c r="K9104" s="4" t="str">
        <f>IFERROR(__xludf.DUMMYFUNCTION("""COMPUTED_VALUE"""),"BOMBOX BURGERS STEAKS - HAMBURGUERIA")</f>
        <v>BOMBOX BURGERS STEAKS - HAMBURGUERIA</v>
      </c>
      <c r="L9104" s="32">
        <f>IFERROR(__xludf.DUMMYFUNCTION("""COMPUTED_VALUE"""),1.0)</f>
        <v>1</v>
      </c>
      <c r="M9104" s="4" t="str">
        <f>IFERROR(__xludf.DUMMYFUNCTION("""COMPUTED_VALUE"""),"Vuca Solution")</f>
        <v>Vuca Solution</v>
      </c>
      <c r="N9104" s="33">
        <f>IFERROR(__xludf.DUMMYFUNCTION("""COMPUTED_VALUE"""),1.0)</f>
        <v>1</v>
      </c>
      <c r="O9104" s="4" t="str">
        <f>IFERROR(__xludf.DUMMYFUNCTION("""COMPUTED_VALUE"""),"Vuca Solution")</f>
        <v>Vuca Solution</v>
      </c>
      <c r="P9104" s="33">
        <f>IFERROR(__xludf.DUMMYFUNCTION("""COMPUTED_VALUE"""),1.0)</f>
        <v>1</v>
      </c>
      <c r="Q9104" s="4" t="str">
        <f>IFERROR(__xludf.DUMMYFUNCTION("""COMPUTED_VALUE"""),"Vuca Solution")</f>
        <v>Vuca Solution</v>
      </c>
      <c r="R9104" s="33">
        <f>IFERROR(__xludf.DUMMYFUNCTION("""COMPUTED_VALUE"""),1.0)</f>
        <v>1</v>
      </c>
      <c r="S9104" s="4" t="str">
        <f>IFERROR(__xludf.DUMMYFUNCTION("""COMPUTED_VALUE"""),"Vuca Solution")</f>
        <v>Vuca Solution</v>
      </c>
      <c r="T9104" s="33">
        <f>IFERROR(__xludf.DUMMYFUNCTION("""COMPUTED_VALUE"""),1.0)</f>
        <v>1</v>
      </c>
      <c r="U9104" s="4" t="str">
        <f>IFERROR(__xludf.DUMMYFUNCTION("""COMPUTED_VALUE"""),"Vuca Solution")</f>
        <v>Vuca Solution</v>
      </c>
      <c r="V9104" s="33">
        <f>IFERROR(__xludf.DUMMYFUNCTION("""COMPUTED_VALUE"""),1.0)</f>
        <v>1</v>
      </c>
      <c r="W9104" s="4" t="str">
        <f>IFERROR(__xludf.DUMMYFUNCTION("""COMPUTED_VALUE"""),"Vuca Solution")</f>
        <v>Vuca Solution</v>
      </c>
      <c r="X9104" s="33">
        <f>IFERROR(__xludf.DUMMYFUNCTION("""COMPUTED_VALUE"""),1.0)</f>
        <v>1</v>
      </c>
    </row>
    <row r="9105">
      <c r="K9105" s="4" t="str">
        <f>IFERROR(__xludf.DUMMYFUNCTION("""COMPUTED_VALUE"""),"LOOK PIZZA")</f>
        <v>LOOK PIZZA</v>
      </c>
      <c r="L9105" s="32">
        <f>IFERROR(__xludf.DUMMYFUNCTION("""COMPUTED_VALUE"""),1.0)</f>
        <v>1</v>
      </c>
      <c r="M9105" s="4" t="str">
        <f>IFERROR(__xludf.DUMMYFUNCTION("""COMPUTED_VALUE"""),"Saipos Serviços De Software")</f>
        <v>Saipos Serviços De Software</v>
      </c>
      <c r="N9105" s="33">
        <f>IFERROR(__xludf.DUMMYFUNCTION("""COMPUTED_VALUE"""),1.0)</f>
        <v>1</v>
      </c>
      <c r="O9105" s="4" t="str">
        <f>IFERROR(__xludf.DUMMYFUNCTION("""COMPUTED_VALUE"""),"Saipos Serviços De Software")</f>
        <v>Saipos Serviços De Software</v>
      </c>
      <c r="P9105" s="33">
        <f>IFERROR(__xludf.DUMMYFUNCTION("""COMPUTED_VALUE"""),1.0)</f>
        <v>1</v>
      </c>
      <c r="Q9105" s="4" t="str">
        <f>IFERROR(__xludf.DUMMYFUNCTION("""COMPUTED_VALUE"""),"Saipos Serviços De Software")</f>
        <v>Saipos Serviços De Software</v>
      </c>
      <c r="R9105" s="33">
        <f>IFERROR(__xludf.DUMMYFUNCTION("""COMPUTED_VALUE"""),1.0)</f>
        <v>1</v>
      </c>
      <c r="S9105" s="4" t="str">
        <f>IFERROR(__xludf.DUMMYFUNCTION("""COMPUTED_VALUE"""),"Saipos Serviços De Software")</f>
        <v>Saipos Serviços De Software</v>
      </c>
      <c r="T9105" s="33">
        <f>IFERROR(__xludf.DUMMYFUNCTION("""COMPUTED_VALUE"""),1.0)</f>
        <v>1</v>
      </c>
      <c r="U9105" s="4" t="str">
        <f>IFERROR(__xludf.DUMMYFUNCTION("""COMPUTED_VALUE"""),"Saipos Serviços De Software")</f>
        <v>Saipos Serviços De Software</v>
      </c>
      <c r="V9105" s="33">
        <f>IFERROR(__xludf.DUMMYFUNCTION("""COMPUTED_VALUE"""),1.0)</f>
        <v>1</v>
      </c>
      <c r="W9105" s="4" t="str">
        <f>IFERROR(__xludf.DUMMYFUNCTION("""COMPUTED_VALUE"""),"Saipos Serviços De Software")</f>
        <v>Saipos Serviços De Software</v>
      </c>
      <c r="X9105" s="33">
        <f>IFERROR(__xludf.DUMMYFUNCTION("""COMPUTED_VALUE"""),1.0)</f>
        <v>1</v>
      </c>
    </row>
    <row r="9106">
      <c r="K9106" s="4" t="str">
        <f>IFERROR(__xludf.DUMMYFUNCTION("""COMPUTED_VALUE"""),"CWB BURGUER MARMITA")</f>
        <v>CWB BURGUER MARMITA</v>
      </c>
      <c r="L9106" s="32">
        <f>IFERROR(__xludf.DUMMYFUNCTION("""COMPUTED_VALUE"""),1.0)</f>
        <v>1</v>
      </c>
      <c r="M9106" s="4" t="str">
        <f>IFERROR(__xludf.DUMMYFUNCTION("""COMPUTED_VALUE"""),"Saipos Serviços De Software")</f>
        <v>Saipos Serviços De Software</v>
      </c>
      <c r="N9106" s="33">
        <f>IFERROR(__xludf.DUMMYFUNCTION("""COMPUTED_VALUE"""),1.0)</f>
        <v>1</v>
      </c>
      <c r="O9106" s="4" t="str">
        <f>IFERROR(__xludf.DUMMYFUNCTION("""COMPUTED_VALUE"""),"Saipos Serviços De Software")</f>
        <v>Saipos Serviços De Software</v>
      </c>
      <c r="P9106" s="33">
        <f>IFERROR(__xludf.DUMMYFUNCTION("""COMPUTED_VALUE"""),1.0)</f>
        <v>1</v>
      </c>
      <c r="Q9106" s="4" t="str">
        <f>IFERROR(__xludf.DUMMYFUNCTION("""COMPUTED_VALUE"""),"Saipos Serviços De Software")</f>
        <v>Saipos Serviços De Software</v>
      </c>
      <c r="R9106" s="33">
        <f>IFERROR(__xludf.DUMMYFUNCTION("""COMPUTED_VALUE"""),1.0)</f>
        <v>1</v>
      </c>
      <c r="S9106" s="4" t="str">
        <f>IFERROR(__xludf.DUMMYFUNCTION("""COMPUTED_VALUE"""),"Saipos Serviços De Software")</f>
        <v>Saipos Serviços De Software</v>
      </c>
      <c r="T9106" s="33">
        <f>IFERROR(__xludf.DUMMYFUNCTION("""COMPUTED_VALUE"""),1.0)</f>
        <v>1</v>
      </c>
      <c r="U9106" s="4" t="str">
        <f>IFERROR(__xludf.DUMMYFUNCTION("""COMPUTED_VALUE"""),"Saipos Serviços De Software")</f>
        <v>Saipos Serviços De Software</v>
      </c>
      <c r="V9106" s="33">
        <f>IFERROR(__xludf.DUMMYFUNCTION("""COMPUTED_VALUE"""),1.0)</f>
        <v>1</v>
      </c>
      <c r="W9106" s="4" t="str">
        <f>IFERROR(__xludf.DUMMYFUNCTION("""COMPUTED_VALUE"""),"Saipos Serviços De Software")</f>
        <v>Saipos Serviços De Software</v>
      </c>
      <c r="X9106" s="33">
        <f>IFERROR(__xludf.DUMMYFUNCTION("""COMPUTED_VALUE"""),1.0)</f>
        <v>1</v>
      </c>
    </row>
    <row r="9107">
      <c r="K9107" s="4" t="str">
        <f>IFERROR(__xludf.DUMMYFUNCTION("""COMPUTED_VALUE"""),"DROGAO - MYRNA")</f>
        <v>DROGAO - MYRNA</v>
      </c>
      <c r="L9107" s="32">
        <f>IFERROR(__xludf.DUMMYFUNCTION("""COMPUTED_VALUE"""),1.0)</f>
        <v>1</v>
      </c>
      <c r="M9107" s="4" t="str">
        <f>IFERROR(__xludf.DUMMYFUNCTION("""COMPUTED_VALUE"""),"N/A (Not found)")</f>
        <v>N/A (Not found)</v>
      </c>
      <c r="N9107" s="33">
        <f>IFERROR(__xludf.DUMMYFUNCTION("""COMPUTED_VALUE"""),1.0)</f>
        <v>1</v>
      </c>
      <c r="O9107" s="4" t="str">
        <f>IFERROR(__xludf.DUMMYFUNCTION("""COMPUTED_VALUE"""),"N/A (Not found)")</f>
        <v>N/A (Not found)</v>
      </c>
      <c r="P9107" s="33">
        <f>IFERROR(__xludf.DUMMYFUNCTION("""COMPUTED_VALUE"""),1.0)</f>
        <v>1</v>
      </c>
      <c r="Q9107" s="4" t="str">
        <f>IFERROR(__xludf.DUMMYFUNCTION("""COMPUTED_VALUE"""),"N/A (Not found)")</f>
        <v>N/A (Not found)</v>
      </c>
      <c r="R9107" s="33">
        <f>IFERROR(__xludf.DUMMYFUNCTION("""COMPUTED_VALUE"""),1.0)</f>
        <v>1</v>
      </c>
      <c r="S9107" s="4" t="str">
        <f>IFERROR(__xludf.DUMMYFUNCTION("""COMPUTED_VALUE"""),"N/A (Not found)")</f>
        <v>N/A (Not found)</v>
      </c>
      <c r="T9107" s="33">
        <f>IFERROR(__xludf.DUMMYFUNCTION("""COMPUTED_VALUE"""),1.0)</f>
        <v>1</v>
      </c>
      <c r="U9107" s="4" t="str">
        <f>IFERROR(__xludf.DUMMYFUNCTION("""COMPUTED_VALUE"""),"N/A (Not found)")</f>
        <v>N/A (Not found)</v>
      </c>
      <c r="V9107" s="33">
        <f>IFERROR(__xludf.DUMMYFUNCTION("""COMPUTED_VALUE"""),1.0)</f>
        <v>1</v>
      </c>
      <c r="W9107" s="4" t="str">
        <f>IFERROR(__xludf.DUMMYFUNCTION("""COMPUTED_VALUE"""),"N/A (Not found)")</f>
        <v>N/A (Not found)</v>
      </c>
      <c r="X9107" s="33">
        <f>IFERROR(__xludf.DUMMYFUNCTION("""COMPUTED_VALUE"""),1.0)</f>
        <v>1</v>
      </c>
    </row>
    <row r="9108">
      <c r="K9108" s="4" t="str">
        <f>IFERROR(__xludf.DUMMYFUNCTION("""COMPUTED_VALUE"""),"PIZZARIA CAMACARI")</f>
        <v>PIZZARIA CAMACARI</v>
      </c>
      <c r="L9108" s="32">
        <f>IFERROR(__xludf.DUMMYFUNCTION("""COMPUTED_VALUE"""),1.0)</f>
        <v>1</v>
      </c>
      <c r="M9108" s="4" t="str">
        <f>IFERROR(__xludf.DUMMYFUNCTION("""COMPUTED_VALUE"""),"null")</f>
        <v>null</v>
      </c>
      <c r="N9108" s="33">
        <f>IFERROR(__xludf.DUMMYFUNCTION("""COMPUTED_VALUE"""),1.0)</f>
        <v>1</v>
      </c>
      <c r="O9108" s="4" t="str">
        <f>IFERROR(__xludf.DUMMYFUNCTION("""COMPUTED_VALUE"""),"Grandchef Desenvolvimento De Sistemas Ltda")</f>
        <v>Grandchef Desenvolvimento De Sistemas Ltda</v>
      </c>
      <c r="P9108" s="33">
        <f>IFERROR(__xludf.DUMMYFUNCTION("""COMPUTED_VALUE"""),1.0)</f>
        <v>1</v>
      </c>
      <c r="Q9108" s="4" t="str">
        <f>IFERROR(__xludf.DUMMYFUNCTION("""COMPUTED_VALUE"""),"null")</f>
        <v>null</v>
      </c>
      <c r="R9108" s="33">
        <f>IFERROR(__xludf.DUMMYFUNCTION("""COMPUTED_VALUE"""),1.0)</f>
        <v>1</v>
      </c>
      <c r="S9108" s="4" t="str">
        <f>IFERROR(__xludf.DUMMYFUNCTION("""COMPUTED_VALUE"""),"null")</f>
        <v>null</v>
      </c>
      <c r="T9108" s="33">
        <f>IFERROR(__xludf.DUMMYFUNCTION("""COMPUTED_VALUE"""),1.0)</f>
        <v>1</v>
      </c>
      <c r="U9108" s="4" t="str">
        <f>IFERROR(__xludf.DUMMYFUNCTION("""COMPUTED_VALUE"""),"null")</f>
        <v>null</v>
      </c>
      <c r="V9108" s="33">
        <f>IFERROR(__xludf.DUMMYFUNCTION("""COMPUTED_VALUE"""),1.0)</f>
        <v>1</v>
      </c>
      <c r="W9108" s="4" t="str">
        <f>IFERROR(__xludf.DUMMYFUNCTION("""COMPUTED_VALUE"""),"Grandchef Desenvolvimento De Sistemas Ltda")</f>
        <v>Grandchef Desenvolvimento De Sistemas Ltda</v>
      </c>
      <c r="X9108" s="33">
        <f>IFERROR(__xludf.DUMMYFUNCTION("""COMPUTED_VALUE"""),1.0)</f>
        <v>1</v>
      </c>
    </row>
    <row r="9109">
      <c r="K9109" s="4" t="str">
        <f>IFERROR(__xludf.DUMMYFUNCTION("""COMPUTED_VALUE"""),"BARAO DOS PESCADORES - PET SHOP")</f>
        <v>BARAO DOS PESCADORES - PET SHOP</v>
      </c>
      <c r="L9109" s="32">
        <f>IFERROR(__xludf.DUMMYFUNCTION("""COMPUTED_VALUE"""),1.0)</f>
        <v>1</v>
      </c>
      <c r="M9109" s="4" t="str">
        <f>IFERROR(__xludf.DUMMYFUNCTION("""COMPUTED_VALUE"""),"N/A (Not found)")</f>
        <v>N/A (Not found)</v>
      </c>
      <c r="N9109" s="33">
        <f>IFERROR(__xludf.DUMMYFUNCTION("""COMPUTED_VALUE"""),1.0)</f>
        <v>1</v>
      </c>
      <c r="O9109" s="4" t="str">
        <f>IFERROR(__xludf.DUMMYFUNCTION("""COMPUTED_VALUE"""),"N/A (Not found)")</f>
        <v>N/A (Not found)</v>
      </c>
      <c r="P9109" s="33">
        <f>IFERROR(__xludf.DUMMYFUNCTION("""COMPUTED_VALUE"""),1.0)</f>
        <v>1</v>
      </c>
      <c r="Q9109" s="4" t="str">
        <f>IFERROR(__xludf.DUMMYFUNCTION("""COMPUTED_VALUE"""),"N/A (Not found)")</f>
        <v>N/A (Not found)</v>
      </c>
      <c r="R9109" s="33">
        <f>IFERROR(__xludf.DUMMYFUNCTION("""COMPUTED_VALUE"""),1.0)</f>
        <v>1</v>
      </c>
      <c r="S9109" s="4" t="str">
        <f>IFERROR(__xludf.DUMMYFUNCTION("""COMPUTED_VALUE"""),"N/A (Not found)")</f>
        <v>N/A (Not found)</v>
      </c>
      <c r="T9109" s="33">
        <f>IFERROR(__xludf.DUMMYFUNCTION("""COMPUTED_VALUE"""),1.0)</f>
        <v>1</v>
      </c>
      <c r="U9109" s="4" t="str">
        <f>IFERROR(__xludf.DUMMYFUNCTION("""COMPUTED_VALUE"""),"N/A (Not found)")</f>
        <v>N/A (Not found)</v>
      </c>
      <c r="V9109" s="33">
        <f>IFERROR(__xludf.DUMMYFUNCTION("""COMPUTED_VALUE"""),1.0)</f>
        <v>1</v>
      </c>
      <c r="W9109" s="4" t="str">
        <f>IFERROR(__xludf.DUMMYFUNCTION("""COMPUTED_VALUE"""),"N/A (Not found)")</f>
        <v>N/A (Not found)</v>
      </c>
      <c r="X9109" s="33">
        <f>IFERROR(__xludf.DUMMYFUNCTION("""COMPUTED_VALUE"""),1.0)</f>
        <v>1</v>
      </c>
    </row>
    <row r="9110">
      <c r="K9110" s="4" t="str">
        <f>IFERROR(__xludf.DUMMYFUNCTION("""COMPUTED_VALUE"""),"ROLE JAPONES")</f>
        <v>ROLE JAPONES</v>
      </c>
      <c r="L9110" s="32">
        <f>IFERROR(__xludf.DUMMYFUNCTION("""COMPUTED_VALUE"""),1.0)</f>
        <v>1</v>
      </c>
      <c r="M9110" s="4" t="str">
        <f>IFERROR(__xludf.DUMMYFUNCTION("""COMPUTED_VALUE"""),"null")</f>
        <v>null</v>
      </c>
      <c r="N9110" s="33">
        <f>IFERROR(__xludf.DUMMYFUNCTION("""COMPUTED_VALUE"""),1.0)</f>
        <v>1</v>
      </c>
      <c r="O9110" s="4" t="str">
        <f>IFERROR(__xludf.DUMMYFUNCTION("""COMPUTED_VALUE"""),"null")</f>
        <v>null</v>
      </c>
      <c r="P9110" s="33">
        <f>IFERROR(__xludf.DUMMYFUNCTION("""COMPUTED_VALUE"""),1.0)</f>
        <v>1</v>
      </c>
      <c r="Q9110" s="4" t="str">
        <f>IFERROR(__xludf.DUMMYFUNCTION("""COMPUTED_VALUE"""),"null")</f>
        <v>null</v>
      </c>
      <c r="R9110" s="33">
        <f>IFERROR(__xludf.DUMMYFUNCTION("""COMPUTED_VALUE"""),1.0)</f>
        <v>1</v>
      </c>
      <c r="S9110" s="4" t="str">
        <f>IFERROR(__xludf.DUMMYFUNCTION("""COMPUTED_VALUE"""),"null")</f>
        <v>null</v>
      </c>
      <c r="T9110" s="33">
        <f>IFERROR(__xludf.DUMMYFUNCTION("""COMPUTED_VALUE"""),1.0)</f>
        <v>1</v>
      </c>
      <c r="U9110" s="4" t="str">
        <f>IFERROR(__xludf.DUMMYFUNCTION("""COMPUTED_VALUE"""),"Cardápio Web")</f>
        <v>Cardápio Web</v>
      </c>
      <c r="V9110" s="33">
        <f>IFERROR(__xludf.DUMMYFUNCTION("""COMPUTED_VALUE"""),1.0)</f>
        <v>1</v>
      </c>
      <c r="W9110" s="4" t="str">
        <f>IFERROR(__xludf.DUMMYFUNCTION("""COMPUTED_VALUE"""),"Cardápio Web")</f>
        <v>Cardápio Web</v>
      </c>
      <c r="X9110" s="33">
        <f>IFERROR(__xludf.DUMMYFUNCTION("""COMPUTED_VALUE"""),1.0)</f>
        <v>1</v>
      </c>
    </row>
    <row r="9111">
      <c r="K9111" s="4" t="str">
        <f>IFERROR(__xludf.DUMMYFUNCTION("""COMPUTED_VALUE"""),"MASTER BURGER CENTRO")</f>
        <v>MASTER BURGER CENTRO</v>
      </c>
      <c r="L9111" s="32">
        <f>IFERROR(__xludf.DUMMYFUNCTION("""COMPUTED_VALUE"""),1.0)</f>
        <v>1</v>
      </c>
      <c r="M9111" s="4" t="str">
        <f>IFERROR(__xludf.DUMMYFUNCTION("""COMPUTED_VALUE"""),"Saipos Serviços De Software")</f>
        <v>Saipos Serviços De Software</v>
      </c>
      <c r="N9111" s="33">
        <f>IFERROR(__xludf.DUMMYFUNCTION("""COMPUTED_VALUE"""),1.0)</f>
        <v>1</v>
      </c>
      <c r="O9111" s="4" t="str">
        <f>IFERROR(__xludf.DUMMYFUNCTION("""COMPUTED_VALUE"""),"null")</f>
        <v>null</v>
      </c>
      <c r="P9111" s="33">
        <f>IFERROR(__xludf.DUMMYFUNCTION("""COMPUTED_VALUE"""),1.0)</f>
        <v>1</v>
      </c>
      <c r="Q9111" s="4" t="str">
        <f>IFERROR(__xludf.DUMMYFUNCTION("""COMPUTED_VALUE"""),"Saipos Serviços De Software")</f>
        <v>Saipos Serviços De Software</v>
      </c>
      <c r="R9111" s="33">
        <f>IFERROR(__xludf.DUMMYFUNCTION("""COMPUTED_VALUE"""),1.0)</f>
        <v>1</v>
      </c>
      <c r="S9111" s="4" t="str">
        <f>IFERROR(__xludf.DUMMYFUNCTION("""COMPUTED_VALUE"""),"null")</f>
        <v>null</v>
      </c>
      <c r="T9111" s="33">
        <f>IFERROR(__xludf.DUMMYFUNCTION("""COMPUTED_VALUE"""),1.0)</f>
        <v>1</v>
      </c>
      <c r="U9111" s="4" t="str">
        <f>IFERROR(__xludf.DUMMYFUNCTION("""COMPUTED_VALUE"""),"null")</f>
        <v>null</v>
      </c>
      <c r="V9111" s="33">
        <f>IFERROR(__xludf.DUMMYFUNCTION("""COMPUTED_VALUE"""),1.0)</f>
        <v>1</v>
      </c>
      <c r="W9111" s="4" t="str">
        <f>IFERROR(__xludf.DUMMYFUNCTION("""COMPUTED_VALUE"""),"null")</f>
        <v>null</v>
      </c>
      <c r="X9111" s="33">
        <f>IFERROR(__xludf.DUMMYFUNCTION("""COMPUTED_VALUE"""),1.0)</f>
        <v>1</v>
      </c>
    </row>
    <row r="9112">
      <c r="K9112" s="4" t="str">
        <f>IFERROR(__xludf.DUMMYFUNCTION("""COMPUTED_VALUE"""),"O TEMPERO CERTO - MARMITAS")</f>
        <v>O TEMPERO CERTO - MARMITAS</v>
      </c>
      <c r="L9112" s="32">
        <f>IFERROR(__xludf.DUMMYFUNCTION("""COMPUTED_VALUE"""),1.0)</f>
        <v>1</v>
      </c>
      <c r="M9112" s="4" t="str">
        <f>IFERROR(__xludf.DUMMYFUNCTION("""COMPUTED_VALUE"""),"Instadelivery")</f>
        <v>Instadelivery</v>
      </c>
      <c r="N9112" s="33">
        <f>IFERROR(__xludf.DUMMYFUNCTION("""COMPUTED_VALUE"""),1.0)</f>
        <v>1</v>
      </c>
      <c r="O9112" s="4" t="str">
        <f>IFERROR(__xludf.DUMMYFUNCTION("""COMPUTED_VALUE"""),"Instadelivery")</f>
        <v>Instadelivery</v>
      </c>
      <c r="P9112" s="33">
        <f>IFERROR(__xludf.DUMMYFUNCTION("""COMPUTED_VALUE"""),1.0)</f>
        <v>1</v>
      </c>
      <c r="Q9112" s="4" t="str">
        <f>IFERROR(__xludf.DUMMYFUNCTION("""COMPUTED_VALUE"""),"Instadelivery")</f>
        <v>Instadelivery</v>
      </c>
      <c r="R9112" s="33">
        <f>IFERROR(__xludf.DUMMYFUNCTION("""COMPUTED_VALUE"""),1.0)</f>
        <v>1</v>
      </c>
      <c r="S9112" s="4" t="str">
        <f>IFERROR(__xludf.DUMMYFUNCTION("""COMPUTED_VALUE"""),"Instadelivery")</f>
        <v>Instadelivery</v>
      </c>
      <c r="T9112" s="33">
        <f>IFERROR(__xludf.DUMMYFUNCTION("""COMPUTED_VALUE"""),1.0)</f>
        <v>1</v>
      </c>
      <c r="U9112" s="4" t="str">
        <f>IFERROR(__xludf.DUMMYFUNCTION("""COMPUTED_VALUE"""),"Instadelivery")</f>
        <v>Instadelivery</v>
      </c>
      <c r="V9112" s="33">
        <f>IFERROR(__xludf.DUMMYFUNCTION("""COMPUTED_VALUE"""),1.0)</f>
        <v>1</v>
      </c>
      <c r="W9112" s="4" t="str">
        <f>IFERROR(__xludf.DUMMYFUNCTION("""COMPUTED_VALUE"""),"Instadelivery")</f>
        <v>Instadelivery</v>
      </c>
      <c r="X9112" s="33">
        <f>IFERROR(__xludf.DUMMYFUNCTION("""COMPUTED_VALUE"""),1.0)</f>
        <v>1</v>
      </c>
    </row>
    <row r="9113">
      <c r="K9113" s="4" t="str">
        <f>IFERROR(__xludf.DUMMYFUNCTION("""COMPUTED_VALUE"""),"ROCHA MATERIAIS DE LIMPEZA")</f>
        <v>ROCHA MATERIAIS DE LIMPEZA</v>
      </c>
      <c r="L9113" s="32">
        <f>IFERROR(__xludf.DUMMYFUNCTION("""COMPUTED_VALUE"""),1.0)</f>
        <v>1</v>
      </c>
      <c r="M9113" s="4" t="str">
        <f>IFERROR(__xludf.DUMMYFUNCTION("""COMPUTED_VALUE"""),"N/A (Not found)")</f>
        <v>N/A (Not found)</v>
      </c>
      <c r="N9113" s="33">
        <f>IFERROR(__xludf.DUMMYFUNCTION("""COMPUTED_VALUE"""),1.0)</f>
        <v>1</v>
      </c>
      <c r="O9113" s="4" t="str">
        <f>IFERROR(__xludf.DUMMYFUNCTION("""COMPUTED_VALUE"""),"null")</f>
        <v>null</v>
      </c>
      <c r="P9113" s="33">
        <f>IFERROR(__xludf.DUMMYFUNCTION("""COMPUTED_VALUE"""),1.0)</f>
        <v>1</v>
      </c>
      <c r="Q9113" s="4" t="str">
        <f>IFERROR(__xludf.DUMMYFUNCTION("""COMPUTED_VALUE"""),"null")</f>
        <v>null</v>
      </c>
      <c r="R9113" s="33">
        <f>IFERROR(__xludf.DUMMYFUNCTION("""COMPUTED_VALUE"""),1.0)</f>
        <v>1</v>
      </c>
      <c r="S9113" s="4" t="str">
        <f>IFERROR(__xludf.DUMMYFUNCTION("""COMPUTED_VALUE"""),"null")</f>
        <v>null</v>
      </c>
      <c r="T9113" s="33">
        <f>IFERROR(__xludf.DUMMYFUNCTION("""COMPUTED_VALUE"""),1.0)</f>
        <v>1</v>
      </c>
      <c r="U9113" s="4" t="str">
        <f>IFERROR(__xludf.DUMMYFUNCTION("""COMPUTED_VALUE"""),"null")</f>
        <v>null</v>
      </c>
      <c r="V9113" s="33">
        <f>IFERROR(__xludf.DUMMYFUNCTION("""COMPUTED_VALUE"""),1.0)</f>
        <v>1</v>
      </c>
      <c r="W9113" s="4" t="str">
        <f>IFERROR(__xludf.DUMMYFUNCTION("""COMPUTED_VALUE"""),"null")</f>
        <v>null</v>
      </c>
      <c r="X9113" s="33">
        <f>IFERROR(__xludf.DUMMYFUNCTION("""COMPUTED_VALUE"""),1.0)</f>
        <v>1</v>
      </c>
    </row>
    <row r="9114">
      <c r="K9114" s="4" t="str">
        <f>IFERROR(__xludf.DUMMYFUNCTION("""COMPUTED_VALUE"""),"PIZZARIA COLONIAL")</f>
        <v>PIZZARIA COLONIAL</v>
      </c>
      <c r="L9114" s="32">
        <f>IFERROR(__xludf.DUMMYFUNCTION("""COMPUTED_VALUE"""),1.0)</f>
        <v>1</v>
      </c>
      <c r="M9114" s="4" t="str">
        <f>IFERROR(__xludf.DUMMYFUNCTION("""COMPUTED_VALUE"""),"Beefood - Sistema Para Restaurantes")</f>
        <v>Beefood - Sistema Para Restaurantes</v>
      </c>
      <c r="N9114" s="33">
        <f>IFERROR(__xludf.DUMMYFUNCTION("""COMPUTED_VALUE"""),1.0)</f>
        <v>1</v>
      </c>
      <c r="O9114" s="4" t="str">
        <f>IFERROR(__xludf.DUMMYFUNCTION("""COMPUTED_VALUE"""),"Beefood - Sistema Para Restaurantes")</f>
        <v>Beefood - Sistema Para Restaurantes</v>
      </c>
      <c r="P9114" s="33">
        <f>IFERROR(__xludf.DUMMYFUNCTION("""COMPUTED_VALUE"""),1.0)</f>
        <v>1</v>
      </c>
      <c r="Q9114" s="4" t="str">
        <f>IFERROR(__xludf.DUMMYFUNCTION("""COMPUTED_VALUE"""),"Beefood - Sistema Para Restaurantes")</f>
        <v>Beefood - Sistema Para Restaurantes</v>
      </c>
      <c r="R9114" s="33">
        <f>IFERROR(__xludf.DUMMYFUNCTION("""COMPUTED_VALUE"""),1.0)</f>
        <v>1</v>
      </c>
      <c r="S9114" s="4" t="str">
        <f>IFERROR(__xludf.DUMMYFUNCTION("""COMPUTED_VALUE"""),"null")</f>
        <v>null</v>
      </c>
      <c r="T9114" s="33">
        <f>IFERROR(__xludf.DUMMYFUNCTION("""COMPUTED_VALUE"""),1.0)</f>
        <v>1</v>
      </c>
      <c r="U9114" s="4" t="str">
        <f>IFERROR(__xludf.DUMMYFUNCTION("""COMPUTED_VALUE"""),"null")</f>
        <v>null</v>
      </c>
      <c r="V9114" s="33">
        <f>IFERROR(__xludf.DUMMYFUNCTION("""COMPUTED_VALUE"""),1.0)</f>
        <v>1</v>
      </c>
      <c r="W9114" s="4" t="str">
        <f>IFERROR(__xludf.DUMMYFUNCTION("""COMPUTED_VALUE"""),"null")</f>
        <v>null</v>
      </c>
      <c r="X9114" s="33">
        <f>IFERROR(__xludf.DUMMYFUNCTION("""COMPUTED_VALUE"""),1.0)</f>
        <v>1</v>
      </c>
    </row>
    <row r="9115">
      <c r="K9115" s="4" t="str">
        <f>IFERROR(__xludf.DUMMYFUNCTION("""COMPUTED_VALUE"""),"40 SABORES ITARARE")</f>
        <v>40 SABORES ITARARE</v>
      </c>
      <c r="L9115" s="32">
        <f>IFERROR(__xludf.DUMMYFUNCTION("""COMPUTED_VALUE"""),1.0)</f>
        <v>1</v>
      </c>
      <c r="M9115" s="4" t="str">
        <f>IFERROR(__xludf.DUMMYFUNCTION("""COMPUTED_VALUE"""),"Yooga")</f>
        <v>Yooga</v>
      </c>
      <c r="N9115" s="33">
        <f>IFERROR(__xludf.DUMMYFUNCTION("""COMPUTED_VALUE"""),1.0)</f>
        <v>1</v>
      </c>
      <c r="O9115" s="4" t="str">
        <f>IFERROR(__xludf.DUMMYFUNCTION("""COMPUTED_VALUE"""),"null")</f>
        <v>null</v>
      </c>
      <c r="P9115" s="33">
        <f>IFERROR(__xludf.DUMMYFUNCTION("""COMPUTED_VALUE"""),1.0)</f>
        <v>1</v>
      </c>
      <c r="Q9115" s="4" t="str">
        <f>IFERROR(__xludf.DUMMYFUNCTION("""COMPUTED_VALUE"""),"null")</f>
        <v>null</v>
      </c>
      <c r="R9115" s="33">
        <f>IFERROR(__xludf.DUMMYFUNCTION("""COMPUTED_VALUE"""),1.0)</f>
        <v>1</v>
      </c>
      <c r="S9115" s="4" t="str">
        <f>IFERROR(__xludf.DUMMYFUNCTION("""COMPUTED_VALUE"""),"null")</f>
        <v>null</v>
      </c>
      <c r="T9115" s="33">
        <f>IFERROR(__xludf.DUMMYFUNCTION("""COMPUTED_VALUE"""),1.0)</f>
        <v>1</v>
      </c>
      <c r="U9115" s="4" t="str">
        <f>IFERROR(__xludf.DUMMYFUNCTION("""COMPUTED_VALUE"""),"Yooga")</f>
        <v>Yooga</v>
      </c>
      <c r="V9115" s="33">
        <f>IFERROR(__xludf.DUMMYFUNCTION("""COMPUTED_VALUE"""),1.0)</f>
        <v>1</v>
      </c>
      <c r="W9115" s="4" t="str">
        <f>IFERROR(__xludf.DUMMYFUNCTION("""COMPUTED_VALUE"""),"Yooga")</f>
        <v>Yooga</v>
      </c>
      <c r="X9115" s="33">
        <f>IFERROR(__xludf.DUMMYFUNCTION("""COMPUTED_VALUE"""),1.0)</f>
        <v>1</v>
      </c>
    </row>
    <row r="9116">
      <c r="K9116" s="4" t="str">
        <f>IFERROR(__xludf.DUMMYFUNCTION("""COMPUTED_VALUE"""),"MERCES PAO DE QUEIJO LTDA")</f>
        <v>MERCES PAO DE QUEIJO LTDA</v>
      </c>
      <c r="L9116" s="32">
        <f>IFERROR(__xludf.DUMMYFUNCTION("""COMPUTED_VALUE"""),1.0)</f>
        <v>1</v>
      </c>
      <c r="M9116" s="4" t="str">
        <f>IFERROR(__xludf.DUMMYFUNCTION("""COMPUTED_VALUE"""),"Alpha Logo")</f>
        <v>Alpha Logo</v>
      </c>
      <c r="N9116" s="33">
        <f>IFERROR(__xludf.DUMMYFUNCTION("""COMPUTED_VALUE"""),1.0)</f>
        <v>1</v>
      </c>
      <c r="O9116" s="4" t="str">
        <f>IFERROR(__xludf.DUMMYFUNCTION("""COMPUTED_VALUE"""),"Alpha Logo")</f>
        <v>Alpha Logo</v>
      </c>
      <c r="P9116" s="33">
        <f>IFERROR(__xludf.DUMMYFUNCTION("""COMPUTED_VALUE"""),1.0)</f>
        <v>1</v>
      </c>
      <c r="Q9116" s="4" t="str">
        <f>IFERROR(__xludf.DUMMYFUNCTION("""COMPUTED_VALUE"""),"Alpha Logo")</f>
        <v>Alpha Logo</v>
      </c>
      <c r="R9116" s="33">
        <f>IFERROR(__xludf.DUMMYFUNCTION("""COMPUTED_VALUE"""),1.0)</f>
        <v>1</v>
      </c>
      <c r="S9116" s="4" t="str">
        <f>IFERROR(__xludf.DUMMYFUNCTION("""COMPUTED_VALUE"""),"Alpha Logo")</f>
        <v>Alpha Logo</v>
      </c>
      <c r="T9116" s="33">
        <f>IFERROR(__xludf.DUMMYFUNCTION("""COMPUTED_VALUE"""),1.0)</f>
        <v>1</v>
      </c>
      <c r="U9116" s="4" t="str">
        <f>IFERROR(__xludf.DUMMYFUNCTION("""COMPUTED_VALUE"""),"Alpha Logo")</f>
        <v>Alpha Logo</v>
      </c>
      <c r="V9116" s="33">
        <f>IFERROR(__xludf.DUMMYFUNCTION("""COMPUTED_VALUE"""),1.0)</f>
        <v>1</v>
      </c>
      <c r="W9116" s="4" t="str">
        <f>IFERROR(__xludf.DUMMYFUNCTION("""COMPUTED_VALUE"""),"Alpha Logo")</f>
        <v>Alpha Logo</v>
      </c>
      <c r="X9116" s="33">
        <f>IFERROR(__xludf.DUMMYFUNCTION("""COMPUTED_VALUE"""),1.0)</f>
        <v>1</v>
      </c>
    </row>
    <row r="9117">
      <c r="K9117" s="4" t="str">
        <f>IFERROR(__xludf.DUMMYFUNCTION("""COMPUTED_VALUE"""),"DIVINO LANCHES 137")</f>
        <v>DIVINO LANCHES 137</v>
      </c>
      <c r="L9117" s="32">
        <f>IFERROR(__xludf.DUMMYFUNCTION("""COMPUTED_VALUE"""),1.0)</f>
        <v>1</v>
      </c>
      <c r="M9117" s="4" t="str">
        <f>IFERROR(__xludf.DUMMYFUNCTION("""COMPUTED_VALUE"""),"Cardápio Web")</f>
        <v>Cardápio Web</v>
      </c>
      <c r="N9117" s="33">
        <f>IFERROR(__xludf.DUMMYFUNCTION("""COMPUTED_VALUE"""),1.0)</f>
        <v>1</v>
      </c>
      <c r="O9117" s="4" t="str">
        <f>IFERROR(__xludf.DUMMYFUNCTION("""COMPUTED_VALUE"""),"Cardápio Web")</f>
        <v>Cardápio Web</v>
      </c>
      <c r="P9117" s="33">
        <f>IFERROR(__xludf.DUMMYFUNCTION("""COMPUTED_VALUE"""),1.0)</f>
        <v>1</v>
      </c>
      <c r="Q9117" s="4" t="str">
        <f>IFERROR(__xludf.DUMMYFUNCTION("""COMPUTED_VALUE"""),"Cardápio Web")</f>
        <v>Cardápio Web</v>
      </c>
      <c r="R9117" s="33">
        <f>IFERROR(__xludf.DUMMYFUNCTION("""COMPUTED_VALUE"""),1.0)</f>
        <v>1</v>
      </c>
      <c r="S9117" s="4" t="str">
        <f>IFERROR(__xludf.DUMMYFUNCTION("""COMPUTED_VALUE"""),"Cardápio Web")</f>
        <v>Cardápio Web</v>
      </c>
      <c r="T9117" s="33">
        <f>IFERROR(__xludf.DUMMYFUNCTION("""COMPUTED_VALUE"""),1.0)</f>
        <v>1</v>
      </c>
      <c r="U9117" s="4" t="str">
        <f>IFERROR(__xludf.DUMMYFUNCTION("""COMPUTED_VALUE"""),"Cardápio Web")</f>
        <v>Cardápio Web</v>
      </c>
      <c r="V9117" s="33">
        <f>IFERROR(__xludf.DUMMYFUNCTION("""COMPUTED_VALUE"""),1.0)</f>
        <v>1</v>
      </c>
      <c r="W9117" s="4" t="str">
        <f>IFERROR(__xludf.DUMMYFUNCTION("""COMPUTED_VALUE"""),"Cardápio Web")</f>
        <v>Cardápio Web</v>
      </c>
      <c r="X9117" s="33">
        <f>IFERROR(__xludf.DUMMYFUNCTION("""COMPUTED_VALUE"""),1.0)</f>
        <v>1</v>
      </c>
    </row>
    <row r="9118">
      <c r="K9118" s="4" t="str">
        <f>IFERROR(__xludf.DUMMYFUNCTION("""COMPUTED_VALUE"""),"SABOREAR HAMBURGUERIA")</f>
        <v>SABOREAR HAMBURGUERIA</v>
      </c>
      <c r="L9118" s="32">
        <f>IFERROR(__xludf.DUMMYFUNCTION("""COMPUTED_VALUE"""),1.0)</f>
        <v>1</v>
      </c>
      <c r="M9118" s="4" t="str">
        <f>IFERROR(__xludf.DUMMYFUNCTION("""COMPUTED_VALUE"""),"Consumer Soluções Em Tecnologia Ltda")</f>
        <v>Consumer Soluções Em Tecnologia Ltda</v>
      </c>
      <c r="N9118" s="33">
        <f>IFERROR(__xludf.DUMMYFUNCTION("""COMPUTED_VALUE"""),1.0)</f>
        <v>1</v>
      </c>
      <c r="O9118" s="4" t="str">
        <f>IFERROR(__xludf.DUMMYFUNCTION("""COMPUTED_VALUE"""),"null")</f>
        <v>null</v>
      </c>
      <c r="P9118" s="33">
        <f>IFERROR(__xludf.DUMMYFUNCTION("""COMPUTED_VALUE"""),1.0)</f>
        <v>1</v>
      </c>
      <c r="Q9118" s="4" t="str">
        <f>IFERROR(__xludf.DUMMYFUNCTION("""COMPUTED_VALUE"""),"null")</f>
        <v>null</v>
      </c>
      <c r="R9118" s="33">
        <f>IFERROR(__xludf.DUMMYFUNCTION("""COMPUTED_VALUE"""),1.0)</f>
        <v>1</v>
      </c>
      <c r="S9118" s="4" t="str">
        <f>IFERROR(__xludf.DUMMYFUNCTION("""COMPUTED_VALUE"""),"Consumer Soluções Em Tecnologia Ltda")</f>
        <v>Consumer Soluções Em Tecnologia Ltda</v>
      </c>
      <c r="T9118" s="33">
        <f>IFERROR(__xludf.DUMMYFUNCTION("""COMPUTED_VALUE"""),1.0)</f>
        <v>1</v>
      </c>
      <c r="U9118" s="4" t="str">
        <f>IFERROR(__xludf.DUMMYFUNCTION("""COMPUTED_VALUE"""),"null")</f>
        <v>null</v>
      </c>
      <c r="V9118" s="33">
        <f>IFERROR(__xludf.DUMMYFUNCTION("""COMPUTED_VALUE"""),1.0)</f>
        <v>1</v>
      </c>
      <c r="W9118" s="4" t="str">
        <f>IFERROR(__xludf.DUMMYFUNCTION("""COMPUTED_VALUE"""),"null")</f>
        <v>null</v>
      </c>
      <c r="X9118" s="33">
        <f>IFERROR(__xludf.DUMMYFUNCTION("""COMPUTED_VALUE"""),1.0)</f>
        <v>1</v>
      </c>
    </row>
    <row r="9119">
      <c r="K9119" s="4" t="str">
        <f>IFERROR(__xludf.DUMMYFUNCTION("""COMPUTED_VALUE"""),"ACAI DA DRY")</f>
        <v>ACAI DA DRY</v>
      </c>
      <c r="L9119" s="32">
        <f>IFERROR(__xludf.DUMMYFUNCTION("""COMPUTED_VALUE"""),1.0)</f>
        <v>1</v>
      </c>
      <c r="M9119" s="4" t="str">
        <f>IFERROR(__xludf.DUMMYFUNCTION("""COMPUTED_VALUE"""),"Instadelivery")</f>
        <v>Instadelivery</v>
      </c>
      <c r="N9119" s="33">
        <f>IFERROR(__xludf.DUMMYFUNCTION("""COMPUTED_VALUE"""),1.0)</f>
        <v>1</v>
      </c>
      <c r="O9119" s="4" t="str">
        <f>IFERROR(__xludf.DUMMYFUNCTION("""COMPUTED_VALUE"""),"Instadelivery")</f>
        <v>Instadelivery</v>
      </c>
      <c r="P9119" s="33">
        <f>IFERROR(__xludf.DUMMYFUNCTION("""COMPUTED_VALUE"""),1.0)</f>
        <v>1</v>
      </c>
      <c r="Q9119" s="4" t="str">
        <f>IFERROR(__xludf.DUMMYFUNCTION("""COMPUTED_VALUE"""),"null")</f>
        <v>null</v>
      </c>
      <c r="R9119" s="33">
        <f>IFERROR(__xludf.DUMMYFUNCTION("""COMPUTED_VALUE"""),1.0)</f>
        <v>1</v>
      </c>
      <c r="S9119" s="4" t="str">
        <f>IFERROR(__xludf.DUMMYFUNCTION("""COMPUTED_VALUE"""),"Instadelivery")</f>
        <v>Instadelivery</v>
      </c>
      <c r="T9119" s="33">
        <f>IFERROR(__xludf.DUMMYFUNCTION("""COMPUTED_VALUE"""),1.0)</f>
        <v>1</v>
      </c>
      <c r="U9119" s="4" t="str">
        <f>IFERROR(__xludf.DUMMYFUNCTION("""COMPUTED_VALUE"""),"Instadelivery")</f>
        <v>Instadelivery</v>
      </c>
      <c r="V9119" s="33">
        <f>IFERROR(__xludf.DUMMYFUNCTION("""COMPUTED_VALUE"""),1.0)</f>
        <v>1</v>
      </c>
      <c r="W9119" s="4" t="str">
        <f>IFERROR(__xludf.DUMMYFUNCTION("""COMPUTED_VALUE"""),"Instadelivery")</f>
        <v>Instadelivery</v>
      </c>
      <c r="X9119" s="33">
        <f>IFERROR(__xludf.DUMMYFUNCTION("""COMPUTED_VALUE"""),1.0)</f>
        <v>1</v>
      </c>
    </row>
    <row r="9120">
      <c r="K9120" s="4" t="str">
        <f>IFERROR(__xludf.DUMMYFUNCTION("""COMPUTED_VALUE"""),"ESPETINHOS PAJUCARA")</f>
        <v>ESPETINHOS PAJUCARA</v>
      </c>
      <c r="L9120" s="32">
        <f>IFERROR(__xludf.DUMMYFUNCTION("""COMPUTED_VALUE"""),1.0)</f>
        <v>1</v>
      </c>
      <c r="M9120" s="4" t="str">
        <f>IFERROR(__xludf.DUMMYFUNCTION("""COMPUTED_VALUE"""),"null")</f>
        <v>null</v>
      </c>
      <c r="N9120" s="33">
        <f>IFERROR(__xludf.DUMMYFUNCTION("""COMPUTED_VALUE"""),1.0)</f>
        <v>1</v>
      </c>
      <c r="O9120" s="4" t="str">
        <f>IFERROR(__xludf.DUMMYFUNCTION("""COMPUTED_VALUE"""),"null")</f>
        <v>null</v>
      </c>
      <c r="P9120" s="33">
        <f>IFERROR(__xludf.DUMMYFUNCTION("""COMPUTED_VALUE"""),1.0)</f>
        <v>1</v>
      </c>
      <c r="Q9120" s="4" t="str">
        <f>IFERROR(__xludf.DUMMYFUNCTION("""COMPUTED_VALUE"""),"null")</f>
        <v>null</v>
      </c>
      <c r="R9120" s="33">
        <f>IFERROR(__xludf.DUMMYFUNCTION("""COMPUTED_VALUE"""),1.0)</f>
        <v>1</v>
      </c>
      <c r="S9120" s="4" t="str">
        <f>IFERROR(__xludf.DUMMYFUNCTION("""COMPUTED_VALUE"""),"null")</f>
        <v>null</v>
      </c>
      <c r="T9120" s="33">
        <f>IFERROR(__xludf.DUMMYFUNCTION("""COMPUTED_VALUE"""),1.0)</f>
        <v>1</v>
      </c>
      <c r="U9120" s="4" t="str">
        <f>IFERROR(__xludf.DUMMYFUNCTION("""COMPUTED_VALUE"""),"Saipos Serviços De Software")</f>
        <v>Saipos Serviços De Software</v>
      </c>
      <c r="V9120" s="33">
        <f>IFERROR(__xludf.DUMMYFUNCTION("""COMPUTED_VALUE"""),1.0)</f>
        <v>1</v>
      </c>
      <c r="W9120" s="4" t="str">
        <f>IFERROR(__xludf.DUMMYFUNCTION("""COMPUTED_VALUE"""),"null")</f>
        <v>null</v>
      </c>
      <c r="X9120" s="33">
        <f>IFERROR(__xludf.DUMMYFUNCTION("""COMPUTED_VALUE"""),1.0)</f>
        <v>1</v>
      </c>
    </row>
    <row r="9121">
      <c r="K9121" s="4" t="str">
        <f>IFERROR(__xludf.DUMMYFUNCTION("""COMPUTED_VALUE"""),"RESTAURANTE AGRIDOCE SABOR")</f>
        <v>RESTAURANTE AGRIDOCE SABOR</v>
      </c>
      <c r="L9121" s="32">
        <f>IFERROR(__xludf.DUMMYFUNCTION("""COMPUTED_VALUE"""),1.0)</f>
        <v>1</v>
      </c>
      <c r="M9121" s="4" t="str">
        <f>IFERROR(__xludf.DUMMYFUNCTION("""COMPUTED_VALUE"""),"Consumer Soluções Em Tecnologia Ltda")</f>
        <v>Consumer Soluções Em Tecnologia Ltda</v>
      </c>
      <c r="N9121" s="33">
        <f>IFERROR(__xludf.DUMMYFUNCTION("""COMPUTED_VALUE"""),1.0)</f>
        <v>1</v>
      </c>
      <c r="O9121" s="4" t="str">
        <f>IFERROR(__xludf.DUMMYFUNCTION("""COMPUTED_VALUE"""),"Consumer Soluções Em Tecnologia Ltda")</f>
        <v>Consumer Soluções Em Tecnologia Ltda</v>
      </c>
      <c r="P9121" s="33">
        <f>IFERROR(__xludf.DUMMYFUNCTION("""COMPUTED_VALUE"""),1.0)</f>
        <v>1</v>
      </c>
      <c r="Q9121" s="4" t="str">
        <f>IFERROR(__xludf.DUMMYFUNCTION("""COMPUTED_VALUE"""),"null")</f>
        <v>null</v>
      </c>
      <c r="R9121" s="33">
        <f>IFERROR(__xludf.DUMMYFUNCTION("""COMPUTED_VALUE"""),1.0)</f>
        <v>1</v>
      </c>
      <c r="S9121" s="4" t="str">
        <f>IFERROR(__xludf.DUMMYFUNCTION("""COMPUTED_VALUE"""),"null")</f>
        <v>null</v>
      </c>
      <c r="T9121" s="33">
        <f>IFERROR(__xludf.DUMMYFUNCTION("""COMPUTED_VALUE"""),1.0)</f>
        <v>1</v>
      </c>
      <c r="U9121" s="4" t="str">
        <f>IFERROR(__xludf.DUMMYFUNCTION("""COMPUTED_VALUE"""),"null")</f>
        <v>null</v>
      </c>
      <c r="V9121" s="33">
        <f>IFERROR(__xludf.DUMMYFUNCTION("""COMPUTED_VALUE"""),1.0)</f>
        <v>1</v>
      </c>
      <c r="W9121" s="4" t="str">
        <f>IFERROR(__xludf.DUMMYFUNCTION("""COMPUTED_VALUE"""),"null")</f>
        <v>null</v>
      </c>
      <c r="X9121" s="33">
        <f>IFERROR(__xludf.DUMMYFUNCTION("""COMPUTED_VALUE"""),1.0)</f>
        <v>1</v>
      </c>
    </row>
    <row r="9122">
      <c r="K9122" s="4" t="str">
        <f>IFERROR(__xludf.DUMMYFUNCTION("""COMPUTED_VALUE"""),"CONCAS BURGER")</f>
        <v>CONCAS BURGER</v>
      </c>
      <c r="L9122" s="32">
        <f>IFERROR(__xludf.DUMMYFUNCTION("""COMPUTED_VALUE"""),1.0)</f>
        <v>1</v>
      </c>
      <c r="M9122" s="4" t="str">
        <f>IFERROR(__xludf.DUMMYFUNCTION("""COMPUTED_VALUE"""),"Work Soft Comercio De Informatica E Serviços Eireli - Me")</f>
        <v>Work Soft Comercio De Informatica E Serviços Eireli - Me</v>
      </c>
      <c r="N9122" s="33">
        <f>IFERROR(__xludf.DUMMYFUNCTION("""COMPUTED_VALUE"""),1.0)</f>
        <v>1</v>
      </c>
      <c r="O9122" s="4" t="str">
        <f>IFERROR(__xludf.DUMMYFUNCTION("""COMPUTED_VALUE"""),"Work Soft Comercio De Informatica E Serviços Eireli - Me")</f>
        <v>Work Soft Comercio De Informatica E Serviços Eireli - Me</v>
      </c>
      <c r="P9122" s="33">
        <f>IFERROR(__xludf.DUMMYFUNCTION("""COMPUTED_VALUE"""),1.0)</f>
        <v>1</v>
      </c>
      <c r="Q9122" s="4" t="str">
        <f>IFERROR(__xludf.DUMMYFUNCTION("""COMPUTED_VALUE"""),"Work Soft Comercio De Informatica E Serviços Eireli - Me")</f>
        <v>Work Soft Comercio De Informatica E Serviços Eireli - Me</v>
      </c>
      <c r="R9122" s="33">
        <f>IFERROR(__xludf.DUMMYFUNCTION("""COMPUTED_VALUE"""),1.0)</f>
        <v>1</v>
      </c>
      <c r="S9122" s="4" t="str">
        <f>IFERROR(__xludf.DUMMYFUNCTION("""COMPUTED_VALUE"""),"Work Soft Comercio De Informatica E Serviços Eireli - Me")</f>
        <v>Work Soft Comercio De Informatica E Serviços Eireli - Me</v>
      </c>
      <c r="T9122" s="33">
        <f>IFERROR(__xludf.DUMMYFUNCTION("""COMPUTED_VALUE"""),1.0)</f>
        <v>1</v>
      </c>
      <c r="U9122" s="4" t="str">
        <f>IFERROR(__xludf.DUMMYFUNCTION("""COMPUTED_VALUE"""),"Work Soft Comercio De Informatica E Serviços Eireli - Me")</f>
        <v>Work Soft Comercio De Informatica E Serviços Eireli - Me</v>
      </c>
      <c r="V9122" s="33">
        <f>IFERROR(__xludf.DUMMYFUNCTION("""COMPUTED_VALUE"""),1.0)</f>
        <v>1</v>
      </c>
      <c r="W9122" s="4" t="str">
        <f>IFERROR(__xludf.DUMMYFUNCTION("""COMPUTED_VALUE"""),"Work Soft Comercio De Informatica E Serviços Eireli - Me")</f>
        <v>Work Soft Comercio De Informatica E Serviços Eireli - Me</v>
      </c>
      <c r="X9122" s="33">
        <f>IFERROR(__xludf.DUMMYFUNCTION("""COMPUTED_VALUE"""),1.0)</f>
        <v>1</v>
      </c>
    </row>
    <row r="9123">
      <c r="K9123" s="4" t="str">
        <f>IFERROR(__xludf.DUMMYFUNCTION("""COMPUTED_VALUE"""),"ARTE PIZZA ARTESANAL")</f>
        <v>ARTE PIZZA ARTESANAL</v>
      </c>
      <c r="L9123" s="32">
        <f>IFERROR(__xludf.DUMMYFUNCTION("""COMPUTED_VALUE"""),1.0)</f>
        <v>1</v>
      </c>
      <c r="M9123" s="4" t="str">
        <f>IFERROR(__xludf.DUMMYFUNCTION("""COMPUTED_VALUE"""),"Expresso Delivery")</f>
        <v>Expresso Delivery</v>
      </c>
      <c r="N9123" s="33">
        <f>IFERROR(__xludf.DUMMYFUNCTION("""COMPUTED_VALUE"""),1.0)</f>
        <v>1</v>
      </c>
      <c r="O9123" s="4" t="str">
        <f>IFERROR(__xludf.DUMMYFUNCTION("""COMPUTED_VALUE"""),"Expresso Delivery")</f>
        <v>Expresso Delivery</v>
      </c>
      <c r="P9123" s="33">
        <f>IFERROR(__xludf.DUMMYFUNCTION("""COMPUTED_VALUE"""),1.0)</f>
        <v>1</v>
      </c>
      <c r="Q9123" s="4" t="str">
        <f>IFERROR(__xludf.DUMMYFUNCTION("""COMPUTED_VALUE"""),"Expresso Delivery")</f>
        <v>Expresso Delivery</v>
      </c>
      <c r="R9123" s="33">
        <f>IFERROR(__xludf.DUMMYFUNCTION("""COMPUTED_VALUE"""),1.0)</f>
        <v>1</v>
      </c>
      <c r="S9123" s="4" t="str">
        <f>IFERROR(__xludf.DUMMYFUNCTION("""COMPUTED_VALUE"""),"Cardápio Web")</f>
        <v>Cardápio Web</v>
      </c>
      <c r="T9123" s="33">
        <f>IFERROR(__xludf.DUMMYFUNCTION("""COMPUTED_VALUE"""),1.0)</f>
        <v>1</v>
      </c>
      <c r="U9123" s="4" t="str">
        <f>IFERROR(__xludf.DUMMYFUNCTION("""COMPUTED_VALUE"""),"null")</f>
        <v>null</v>
      </c>
      <c r="V9123" s="33">
        <f>IFERROR(__xludf.DUMMYFUNCTION("""COMPUTED_VALUE"""),1.0)</f>
        <v>1</v>
      </c>
      <c r="W9123" s="4" t="str">
        <f>IFERROR(__xludf.DUMMYFUNCTION("""COMPUTED_VALUE"""),"Cardápio Web")</f>
        <v>Cardápio Web</v>
      </c>
      <c r="X9123" s="33">
        <f>IFERROR(__xludf.DUMMYFUNCTION("""COMPUTED_VALUE"""),1.0)</f>
        <v>1</v>
      </c>
    </row>
    <row r="9124">
      <c r="K9124" s="4" t="str">
        <f>IFERROR(__xludf.DUMMYFUNCTION("""COMPUTED_VALUE"""),"VARANDA BURGUER - PATAMARES")</f>
        <v>VARANDA BURGUER - PATAMARES</v>
      </c>
      <c r="L9124" s="32">
        <f>IFERROR(__xludf.DUMMYFUNCTION("""COMPUTED_VALUE"""),1.0)</f>
        <v>1</v>
      </c>
      <c r="M9124" s="4" t="str">
        <f>IFERROR(__xludf.DUMMYFUNCTION("""COMPUTED_VALUE"""),"Cardápio Web")</f>
        <v>Cardápio Web</v>
      </c>
      <c r="N9124" s="33">
        <f>IFERROR(__xludf.DUMMYFUNCTION("""COMPUTED_VALUE"""),1.0)</f>
        <v>1</v>
      </c>
      <c r="O9124" s="4" t="str">
        <f>IFERROR(__xludf.DUMMYFUNCTION("""COMPUTED_VALUE"""),"Cardápio Web")</f>
        <v>Cardápio Web</v>
      </c>
      <c r="P9124" s="33">
        <f>IFERROR(__xludf.DUMMYFUNCTION("""COMPUTED_VALUE"""),1.0)</f>
        <v>1</v>
      </c>
      <c r="Q9124" s="4" t="str">
        <f>IFERROR(__xludf.DUMMYFUNCTION("""COMPUTED_VALUE"""),"null")</f>
        <v>null</v>
      </c>
      <c r="R9124" s="33">
        <f>IFERROR(__xludf.DUMMYFUNCTION("""COMPUTED_VALUE"""),1.0)</f>
        <v>1</v>
      </c>
      <c r="S9124" s="4" t="str">
        <f>IFERROR(__xludf.DUMMYFUNCTION("""COMPUTED_VALUE"""),"null")</f>
        <v>null</v>
      </c>
      <c r="T9124" s="33">
        <f>IFERROR(__xludf.DUMMYFUNCTION("""COMPUTED_VALUE"""),1.0)</f>
        <v>1</v>
      </c>
      <c r="U9124" s="4" t="str">
        <f>IFERROR(__xludf.DUMMYFUNCTION("""COMPUTED_VALUE"""),"Cardápio Web")</f>
        <v>Cardápio Web</v>
      </c>
      <c r="V9124" s="33">
        <f>IFERROR(__xludf.DUMMYFUNCTION("""COMPUTED_VALUE"""),1.0)</f>
        <v>1</v>
      </c>
      <c r="W9124" s="4" t="str">
        <f>IFERROR(__xludf.DUMMYFUNCTION("""COMPUTED_VALUE"""),"Cardápio Web")</f>
        <v>Cardápio Web</v>
      </c>
      <c r="X9124" s="33">
        <f>IFERROR(__xludf.DUMMYFUNCTION("""COMPUTED_VALUE"""),1.0)</f>
        <v>1</v>
      </c>
    </row>
    <row r="9125">
      <c r="K9125" s="4" t="str">
        <f>IFERROR(__xludf.DUMMYFUNCTION("""COMPUTED_VALUE"""),"ELIAS PIZZAS")</f>
        <v>ELIAS PIZZAS</v>
      </c>
      <c r="L9125" s="32">
        <f>IFERROR(__xludf.DUMMYFUNCTION("""COMPUTED_VALUE"""),1.0)</f>
        <v>1</v>
      </c>
      <c r="M9125" s="4" t="str">
        <f>IFERROR(__xludf.DUMMYFUNCTION("""COMPUTED_VALUE"""),"Mp Multipedidos")</f>
        <v>Mp Multipedidos</v>
      </c>
      <c r="N9125" s="33">
        <f>IFERROR(__xludf.DUMMYFUNCTION("""COMPUTED_VALUE"""),1.0)</f>
        <v>1</v>
      </c>
      <c r="O9125" s="4" t="str">
        <f>IFERROR(__xludf.DUMMYFUNCTION("""COMPUTED_VALUE"""),"Mp Multipedidos")</f>
        <v>Mp Multipedidos</v>
      </c>
      <c r="P9125" s="33">
        <f>IFERROR(__xludf.DUMMYFUNCTION("""COMPUTED_VALUE"""),1.0)</f>
        <v>1</v>
      </c>
      <c r="Q9125" s="4" t="str">
        <f>IFERROR(__xludf.DUMMYFUNCTION("""COMPUTED_VALUE"""),"Mp Multipedidos")</f>
        <v>Mp Multipedidos</v>
      </c>
      <c r="R9125" s="33">
        <f>IFERROR(__xludf.DUMMYFUNCTION("""COMPUTED_VALUE"""),1.0)</f>
        <v>1</v>
      </c>
      <c r="S9125" s="4" t="str">
        <f>IFERROR(__xludf.DUMMYFUNCTION("""COMPUTED_VALUE"""),"Mp Multipedidos")</f>
        <v>Mp Multipedidos</v>
      </c>
      <c r="T9125" s="33">
        <f>IFERROR(__xludf.DUMMYFUNCTION("""COMPUTED_VALUE"""),1.0)</f>
        <v>1</v>
      </c>
      <c r="U9125" s="4" t="str">
        <f>IFERROR(__xludf.DUMMYFUNCTION("""COMPUTED_VALUE"""),"Mp Multipedidos")</f>
        <v>Mp Multipedidos</v>
      </c>
      <c r="V9125" s="33">
        <f>IFERROR(__xludf.DUMMYFUNCTION("""COMPUTED_VALUE"""),1.0)</f>
        <v>1</v>
      </c>
      <c r="W9125" s="4" t="str">
        <f>IFERROR(__xludf.DUMMYFUNCTION("""COMPUTED_VALUE"""),"Mp Multipedidos")</f>
        <v>Mp Multipedidos</v>
      </c>
      <c r="X9125" s="33">
        <f>IFERROR(__xludf.DUMMYFUNCTION("""COMPUTED_VALUE"""),1.0)</f>
        <v>1</v>
      </c>
    </row>
    <row r="9126">
      <c r="K9126" s="4" t="str">
        <f>IFERROR(__xludf.DUMMYFUNCTION("""COMPUTED_VALUE"""),"BAITA CAIXOTE HAMBURGUERIA")</f>
        <v>BAITA CAIXOTE HAMBURGUERIA</v>
      </c>
      <c r="L9126" s="32">
        <f>IFERROR(__xludf.DUMMYFUNCTION("""COMPUTED_VALUE"""),1.0)</f>
        <v>1</v>
      </c>
      <c r="M9126" s="4" t="str">
        <f>IFERROR(__xludf.DUMMYFUNCTION("""COMPUTED_VALUE"""),"null")</f>
        <v>null</v>
      </c>
      <c r="N9126" s="33">
        <f>IFERROR(__xludf.DUMMYFUNCTION("""COMPUTED_VALUE"""),1.0)</f>
        <v>1</v>
      </c>
      <c r="O9126" s="4" t="str">
        <f>IFERROR(__xludf.DUMMYFUNCTION("""COMPUTED_VALUE"""),"Anove Tecnologia")</f>
        <v>Anove Tecnologia</v>
      </c>
      <c r="P9126" s="33">
        <f>IFERROR(__xludf.DUMMYFUNCTION("""COMPUTED_VALUE"""),1.0)</f>
        <v>1</v>
      </c>
      <c r="Q9126" s="4" t="str">
        <f>IFERROR(__xludf.DUMMYFUNCTION("""COMPUTED_VALUE"""),"Anove Tecnologia")</f>
        <v>Anove Tecnologia</v>
      </c>
      <c r="R9126" s="33">
        <f>IFERROR(__xludf.DUMMYFUNCTION("""COMPUTED_VALUE"""),1.0)</f>
        <v>1</v>
      </c>
      <c r="S9126" s="4" t="str">
        <f>IFERROR(__xludf.DUMMYFUNCTION("""COMPUTED_VALUE"""),"Anove Tecnologia")</f>
        <v>Anove Tecnologia</v>
      </c>
      <c r="T9126" s="33">
        <f>IFERROR(__xludf.DUMMYFUNCTION("""COMPUTED_VALUE"""),1.0)</f>
        <v>1</v>
      </c>
      <c r="U9126" s="4" t="str">
        <f>IFERROR(__xludf.DUMMYFUNCTION("""COMPUTED_VALUE"""),"null")</f>
        <v>null</v>
      </c>
      <c r="V9126" s="33">
        <f>IFERROR(__xludf.DUMMYFUNCTION("""COMPUTED_VALUE"""),1.0)</f>
        <v>1</v>
      </c>
      <c r="W9126" s="4" t="str">
        <f>IFERROR(__xludf.DUMMYFUNCTION("""COMPUTED_VALUE"""),"Anove Tecnologia")</f>
        <v>Anove Tecnologia</v>
      </c>
      <c r="X9126" s="33">
        <f>IFERROR(__xludf.DUMMYFUNCTION("""COMPUTED_VALUE"""),1.0)</f>
        <v>1</v>
      </c>
    </row>
    <row r="9127">
      <c r="K9127" s="4" t="str">
        <f>IFERROR(__xludf.DUMMYFUNCTION("""COMPUTED_VALUE"""),"BURGUER PERFEITO")</f>
        <v>BURGUER PERFEITO</v>
      </c>
      <c r="L9127" s="32">
        <f>IFERROR(__xludf.DUMMYFUNCTION("""COMPUTED_VALUE"""),1.0)</f>
        <v>1</v>
      </c>
      <c r="M9127" s="4" t="str">
        <f>IFERROR(__xludf.DUMMYFUNCTION("""COMPUTED_VALUE"""),"Anota Ai Solucoes Digitais S/a")</f>
        <v>Anota Ai Solucoes Digitais S/a</v>
      </c>
      <c r="N9127" s="33">
        <f>IFERROR(__xludf.DUMMYFUNCTION("""COMPUTED_VALUE"""),1.0)</f>
        <v>1</v>
      </c>
      <c r="O9127" s="4" t="str">
        <f>IFERROR(__xludf.DUMMYFUNCTION("""COMPUTED_VALUE"""),"Anota Ai Solucoes Digitais S/a")</f>
        <v>Anota Ai Solucoes Digitais S/a</v>
      </c>
      <c r="P9127" s="33">
        <f>IFERROR(__xludf.DUMMYFUNCTION("""COMPUTED_VALUE"""),1.0)</f>
        <v>1</v>
      </c>
      <c r="Q9127" s="4" t="str">
        <f>IFERROR(__xludf.DUMMYFUNCTION("""COMPUTED_VALUE"""),"null")</f>
        <v>null</v>
      </c>
      <c r="R9127" s="33">
        <f>IFERROR(__xludf.DUMMYFUNCTION("""COMPUTED_VALUE"""),1.0)</f>
        <v>1</v>
      </c>
      <c r="S9127" s="4" t="str">
        <f>IFERROR(__xludf.DUMMYFUNCTION("""COMPUTED_VALUE"""),"null")</f>
        <v>null</v>
      </c>
      <c r="T9127" s="33">
        <f>IFERROR(__xludf.DUMMYFUNCTION("""COMPUTED_VALUE"""),1.0)</f>
        <v>1</v>
      </c>
      <c r="U9127" s="4" t="str">
        <f>IFERROR(__xludf.DUMMYFUNCTION("""COMPUTED_VALUE"""),"null")</f>
        <v>null</v>
      </c>
      <c r="V9127" s="33">
        <f>IFERROR(__xludf.DUMMYFUNCTION("""COMPUTED_VALUE"""),1.0)</f>
        <v>1</v>
      </c>
      <c r="W9127" s="4" t="str">
        <f>IFERROR(__xludf.DUMMYFUNCTION("""COMPUTED_VALUE"""),"null")</f>
        <v>null</v>
      </c>
      <c r="X9127" s="33">
        <f>IFERROR(__xludf.DUMMYFUNCTION("""COMPUTED_VALUE"""),1.0)</f>
        <v>1</v>
      </c>
    </row>
    <row r="9128">
      <c r="K9128" s="4" t="str">
        <f>IFERROR(__xludf.DUMMYFUNCTION("""COMPUTED_VALUE"""),"HIMOLA RISTORANTE- PIZZA FORNO A LENHA")</f>
        <v>HIMOLA RISTORANTE- PIZZA FORNO A LENHA</v>
      </c>
      <c r="L9128" s="32">
        <f>IFERROR(__xludf.DUMMYFUNCTION("""COMPUTED_VALUE"""),1.0)</f>
        <v>1</v>
      </c>
      <c r="M9128" s="4" t="str">
        <f>IFERROR(__xludf.DUMMYFUNCTION("""COMPUTED_VALUE"""),"null")</f>
        <v>null</v>
      </c>
      <c r="N9128" s="33">
        <f>IFERROR(__xludf.DUMMYFUNCTION("""COMPUTED_VALUE"""),1.0)</f>
        <v>1</v>
      </c>
      <c r="O9128" s="4" t="str">
        <f>IFERROR(__xludf.DUMMYFUNCTION("""COMPUTED_VALUE"""),"null")</f>
        <v>null</v>
      </c>
      <c r="P9128" s="33">
        <f>IFERROR(__xludf.DUMMYFUNCTION("""COMPUTED_VALUE"""),1.0)</f>
        <v>1</v>
      </c>
      <c r="Q9128" s="4" t="str">
        <f>IFERROR(__xludf.DUMMYFUNCTION("""COMPUTED_VALUE"""),"null")</f>
        <v>null</v>
      </c>
      <c r="R9128" s="33">
        <f>IFERROR(__xludf.DUMMYFUNCTION("""COMPUTED_VALUE"""),1.0)</f>
        <v>1</v>
      </c>
      <c r="S9128" s="4" t="str">
        <f>IFERROR(__xludf.DUMMYFUNCTION("""COMPUTED_VALUE"""),"Consumer Soluções Em Tecnologia Ltda")</f>
        <v>Consumer Soluções Em Tecnologia Ltda</v>
      </c>
      <c r="T9128" s="33">
        <f>IFERROR(__xludf.DUMMYFUNCTION("""COMPUTED_VALUE"""),1.0)</f>
        <v>1</v>
      </c>
      <c r="U9128" s="4" t="str">
        <f>IFERROR(__xludf.DUMMYFUNCTION("""COMPUTED_VALUE"""),"Consumer Soluções Em Tecnologia Ltda")</f>
        <v>Consumer Soluções Em Tecnologia Ltda</v>
      </c>
      <c r="V9128" s="33">
        <f>IFERROR(__xludf.DUMMYFUNCTION("""COMPUTED_VALUE"""),1.0)</f>
        <v>1</v>
      </c>
      <c r="W9128" s="4" t="str">
        <f>IFERROR(__xludf.DUMMYFUNCTION("""COMPUTED_VALUE"""),"Consumer Soluções Em Tecnologia Ltda")</f>
        <v>Consumer Soluções Em Tecnologia Ltda</v>
      </c>
      <c r="X9128" s="33">
        <f>IFERROR(__xludf.DUMMYFUNCTION("""COMPUTED_VALUE"""),1.0)</f>
        <v>1</v>
      </c>
    </row>
    <row r="9129">
      <c r="K9129" s="4" t="str">
        <f>IFERROR(__xludf.DUMMYFUNCTION("""COMPUTED_VALUE"""),"BRISA_027")</f>
        <v>BRISA_027</v>
      </c>
      <c r="L9129" s="32">
        <f>IFERROR(__xludf.DUMMYFUNCTION("""COMPUTED_VALUE"""),1.0)</f>
        <v>1</v>
      </c>
      <c r="M9129" s="4" t="str">
        <f>IFERROR(__xludf.DUMMYFUNCTION("""COMPUTED_VALUE"""),"Anota Ai Solucoes Digitais S/a")</f>
        <v>Anota Ai Solucoes Digitais S/a</v>
      </c>
      <c r="N9129" s="33">
        <f>IFERROR(__xludf.DUMMYFUNCTION("""COMPUTED_VALUE"""),1.0)</f>
        <v>1</v>
      </c>
      <c r="O9129" s="4" t="str">
        <f>IFERROR(__xludf.DUMMYFUNCTION("""COMPUTED_VALUE"""),"Anota Ai Solucoes Digitais S/a")</f>
        <v>Anota Ai Solucoes Digitais S/a</v>
      </c>
      <c r="P9129" s="33">
        <f>IFERROR(__xludf.DUMMYFUNCTION("""COMPUTED_VALUE"""),1.0)</f>
        <v>1</v>
      </c>
      <c r="Q9129" s="4" t="str">
        <f>IFERROR(__xludf.DUMMYFUNCTION("""COMPUTED_VALUE"""),"Anota Ai Solucoes Digitais S/a")</f>
        <v>Anota Ai Solucoes Digitais S/a</v>
      </c>
      <c r="R9129" s="33">
        <f>IFERROR(__xludf.DUMMYFUNCTION("""COMPUTED_VALUE"""),1.0)</f>
        <v>1</v>
      </c>
      <c r="S9129" s="4" t="str">
        <f>IFERROR(__xludf.DUMMYFUNCTION("""COMPUTED_VALUE"""),"Anota Ai Solucoes Digitais S/a")</f>
        <v>Anota Ai Solucoes Digitais S/a</v>
      </c>
      <c r="T9129" s="33">
        <f>IFERROR(__xludf.DUMMYFUNCTION("""COMPUTED_VALUE"""),1.0)</f>
        <v>1</v>
      </c>
      <c r="U9129" s="4" t="str">
        <f>IFERROR(__xludf.DUMMYFUNCTION("""COMPUTED_VALUE"""),"null")</f>
        <v>null</v>
      </c>
      <c r="V9129" s="33">
        <f>IFERROR(__xludf.DUMMYFUNCTION("""COMPUTED_VALUE"""),1.0)</f>
        <v>1</v>
      </c>
      <c r="W9129" s="4" t="str">
        <f>IFERROR(__xludf.DUMMYFUNCTION("""COMPUTED_VALUE"""),"null")</f>
        <v>null</v>
      </c>
      <c r="X9129" s="33">
        <f>IFERROR(__xludf.DUMMYFUNCTION("""COMPUTED_VALUE"""),1.0)</f>
        <v>1</v>
      </c>
    </row>
    <row r="9130">
      <c r="K9130" s="4" t="str">
        <f>IFERROR(__xludf.DUMMYFUNCTION("""COMPUTED_VALUE"""),"BOM SUSHI OSASCO")</f>
        <v>BOM SUSHI OSASCO</v>
      </c>
      <c r="L9130" s="32">
        <f>IFERROR(__xludf.DUMMYFUNCTION("""COMPUTED_VALUE"""),1.0)</f>
        <v>1</v>
      </c>
      <c r="M9130" s="4" t="str">
        <f>IFERROR(__xludf.DUMMYFUNCTION("""COMPUTED_VALUE"""),"null")</f>
        <v>null</v>
      </c>
      <c r="N9130" s="33">
        <f>IFERROR(__xludf.DUMMYFUNCTION("""COMPUTED_VALUE"""),1.0)</f>
        <v>1</v>
      </c>
      <c r="O9130" s="4" t="str">
        <f>IFERROR(__xludf.DUMMYFUNCTION("""COMPUTED_VALUE"""),"Olaclick")</f>
        <v>Olaclick</v>
      </c>
      <c r="P9130" s="33">
        <f>IFERROR(__xludf.DUMMYFUNCTION("""COMPUTED_VALUE"""),1.0)</f>
        <v>1</v>
      </c>
      <c r="Q9130" s="4" t="str">
        <f>IFERROR(__xludf.DUMMYFUNCTION("""COMPUTED_VALUE"""),"Olaclick")</f>
        <v>Olaclick</v>
      </c>
      <c r="R9130" s="33">
        <f>IFERROR(__xludf.DUMMYFUNCTION("""COMPUTED_VALUE"""),1.0)</f>
        <v>1</v>
      </c>
      <c r="S9130" s="4" t="str">
        <f>IFERROR(__xludf.DUMMYFUNCTION("""COMPUTED_VALUE"""),"Olaclick")</f>
        <v>Olaclick</v>
      </c>
      <c r="T9130" s="33">
        <f>IFERROR(__xludf.DUMMYFUNCTION("""COMPUTED_VALUE"""),1.0)</f>
        <v>1</v>
      </c>
      <c r="U9130" s="4" t="str">
        <f>IFERROR(__xludf.DUMMYFUNCTION("""COMPUTED_VALUE"""),"Olaclick")</f>
        <v>Olaclick</v>
      </c>
      <c r="V9130" s="33">
        <f>IFERROR(__xludf.DUMMYFUNCTION("""COMPUTED_VALUE"""),1.0)</f>
        <v>1</v>
      </c>
      <c r="W9130" s="4" t="str">
        <f>IFERROR(__xludf.DUMMYFUNCTION("""COMPUTED_VALUE"""),"Olaclick")</f>
        <v>Olaclick</v>
      </c>
      <c r="X9130" s="33">
        <f>IFERROR(__xludf.DUMMYFUNCTION("""COMPUTED_VALUE"""),1.0)</f>
        <v>1</v>
      </c>
    </row>
    <row r="9131">
      <c r="K9131" s="4" t="str">
        <f>IFERROR(__xludf.DUMMYFUNCTION("""COMPUTED_VALUE"""),"CAMARAO INTERLAGOS")</f>
        <v>CAMARAO INTERLAGOS</v>
      </c>
      <c r="L9131" s="32">
        <f>IFERROR(__xludf.DUMMYFUNCTION("""COMPUTED_VALUE"""),1.0)</f>
        <v>1</v>
      </c>
      <c r="M9131" s="4" t="str">
        <f>IFERROR(__xludf.DUMMYFUNCTION("""COMPUTED_VALUE"""),"Saipos Serviços De Software")</f>
        <v>Saipos Serviços De Software</v>
      </c>
      <c r="N9131" s="33">
        <f>IFERROR(__xludf.DUMMYFUNCTION("""COMPUTED_VALUE"""),1.0)</f>
        <v>1</v>
      </c>
      <c r="O9131" s="4" t="str">
        <f>IFERROR(__xludf.DUMMYFUNCTION("""COMPUTED_VALUE"""),"null")</f>
        <v>null</v>
      </c>
      <c r="P9131" s="33">
        <f>IFERROR(__xludf.DUMMYFUNCTION("""COMPUTED_VALUE"""),1.0)</f>
        <v>1</v>
      </c>
      <c r="Q9131" s="4" t="str">
        <f>IFERROR(__xludf.DUMMYFUNCTION("""COMPUTED_VALUE"""),"null")</f>
        <v>null</v>
      </c>
      <c r="R9131" s="33">
        <f>IFERROR(__xludf.DUMMYFUNCTION("""COMPUTED_VALUE"""),1.0)</f>
        <v>1</v>
      </c>
      <c r="S9131" s="4" t="str">
        <f>IFERROR(__xludf.DUMMYFUNCTION("""COMPUTED_VALUE"""),"null")</f>
        <v>null</v>
      </c>
      <c r="T9131" s="33">
        <f>IFERROR(__xludf.DUMMYFUNCTION("""COMPUTED_VALUE"""),1.0)</f>
        <v>1</v>
      </c>
      <c r="U9131" s="4" t="str">
        <f>IFERROR(__xludf.DUMMYFUNCTION("""COMPUTED_VALUE"""),"null")</f>
        <v>null</v>
      </c>
      <c r="V9131" s="33">
        <f>IFERROR(__xludf.DUMMYFUNCTION("""COMPUTED_VALUE"""),1.0)</f>
        <v>1</v>
      </c>
      <c r="W9131" s="4" t="str">
        <f>IFERROR(__xludf.DUMMYFUNCTION("""COMPUTED_VALUE"""),"null")</f>
        <v>null</v>
      </c>
      <c r="X9131" s="33">
        <f>IFERROR(__xludf.DUMMYFUNCTION("""COMPUTED_VALUE"""),1.0)</f>
        <v>1</v>
      </c>
    </row>
    <row r="9132">
      <c r="K9132" s="4" t="str">
        <f>IFERROR(__xludf.DUMMYFUNCTION("""COMPUTED_VALUE"""),"PIZZARIA LISBOA JANDIRA")</f>
        <v>PIZZARIA LISBOA JANDIRA</v>
      </c>
      <c r="L9132" s="32">
        <f>IFERROR(__xludf.DUMMYFUNCTION("""COMPUTED_VALUE"""),1.0)</f>
        <v>1</v>
      </c>
      <c r="M9132" s="4" t="str">
        <f>IFERROR(__xludf.DUMMYFUNCTION("""COMPUTED_VALUE"""),"Mp Multipedidos")</f>
        <v>Mp Multipedidos</v>
      </c>
      <c r="N9132" s="33">
        <f>IFERROR(__xludf.DUMMYFUNCTION("""COMPUTED_VALUE"""),1.0)</f>
        <v>1</v>
      </c>
      <c r="O9132" s="4" t="str">
        <f>IFERROR(__xludf.DUMMYFUNCTION("""COMPUTED_VALUE"""),"Mp Multipedidos")</f>
        <v>Mp Multipedidos</v>
      </c>
      <c r="P9132" s="33">
        <f>IFERROR(__xludf.DUMMYFUNCTION("""COMPUTED_VALUE"""),1.0)</f>
        <v>1</v>
      </c>
      <c r="Q9132" s="4" t="str">
        <f>IFERROR(__xludf.DUMMYFUNCTION("""COMPUTED_VALUE"""),"Mp Multipedidos")</f>
        <v>Mp Multipedidos</v>
      </c>
      <c r="R9132" s="33">
        <f>IFERROR(__xludf.DUMMYFUNCTION("""COMPUTED_VALUE"""),1.0)</f>
        <v>1</v>
      </c>
      <c r="S9132" s="4" t="str">
        <f>IFERROR(__xludf.DUMMYFUNCTION("""COMPUTED_VALUE"""),"Mp Multipedidos")</f>
        <v>Mp Multipedidos</v>
      </c>
      <c r="T9132" s="33">
        <f>IFERROR(__xludf.DUMMYFUNCTION("""COMPUTED_VALUE"""),1.0)</f>
        <v>1</v>
      </c>
      <c r="U9132" s="4" t="str">
        <f>IFERROR(__xludf.DUMMYFUNCTION("""COMPUTED_VALUE"""),"Mp Multipedidos")</f>
        <v>Mp Multipedidos</v>
      </c>
      <c r="V9132" s="33">
        <f>IFERROR(__xludf.DUMMYFUNCTION("""COMPUTED_VALUE"""),1.0)</f>
        <v>1</v>
      </c>
      <c r="W9132" s="4" t="str">
        <f>IFERROR(__xludf.DUMMYFUNCTION("""COMPUTED_VALUE"""),"Mp Multipedidos")</f>
        <v>Mp Multipedidos</v>
      </c>
      <c r="X9132" s="33">
        <f>IFERROR(__xludf.DUMMYFUNCTION("""COMPUTED_VALUE"""),1.0)</f>
        <v>1</v>
      </c>
    </row>
    <row r="9133">
      <c r="K9133" s="4" t="str">
        <f>IFERROR(__xludf.DUMMYFUNCTION("""COMPUTED_VALUE"""),"COLISEU DOS DESCARTAVEIS")</f>
        <v>COLISEU DOS DESCARTAVEIS</v>
      </c>
      <c r="L9133" s="32">
        <f>IFERROR(__xludf.DUMMYFUNCTION("""COMPUTED_VALUE"""),1.0)</f>
        <v>1</v>
      </c>
      <c r="M9133" s="4" t="str">
        <f>IFERROR(__xludf.DUMMYFUNCTION("""COMPUTED_VALUE"""),"N/A (Not found)")</f>
        <v>N/A (Not found)</v>
      </c>
      <c r="N9133" s="33">
        <f>IFERROR(__xludf.DUMMYFUNCTION("""COMPUTED_VALUE"""),1.0)</f>
        <v>1</v>
      </c>
      <c r="O9133" s="4" t="str">
        <f>IFERROR(__xludf.DUMMYFUNCTION("""COMPUTED_VALUE"""),"N/A (Not found)")</f>
        <v>N/A (Not found)</v>
      </c>
      <c r="P9133" s="33">
        <f>IFERROR(__xludf.DUMMYFUNCTION("""COMPUTED_VALUE"""),1.0)</f>
        <v>1</v>
      </c>
      <c r="Q9133" s="4" t="str">
        <f>IFERROR(__xludf.DUMMYFUNCTION("""COMPUTED_VALUE"""),"N/A (Not found)")</f>
        <v>N/A (Not found)</v>
      </c>
      <c r="R9133" s="33">
        <f>IFERROR(__xludf.DUMMYFUNCTION("""COMPUTED_VALUE"""),1.0)</f>
        <v>1</v>
      </c>
      <c r="S9133" s="4" t="str">
        <f>IFERROR(__xludf.DUMMYFUNCTION("""COMPUTED_VALUE"""),"N/A (Not found)")</f>
        <v>N/A (Not found)</v>
      </c>
      <c r="T9133" s="33">
        <f>IFERROR(__xludf.DUMMYFUNCTION("""COMPUTED_VALUE"""),1.0)</f>
        <v>1</v>
      </c>
      <c r="U9133" s="4" t="str">
        <f>IFERROR(__xludf.DUMMYFUNCTION("""COMPUTED_VALUE"""),"N/A (Not found)")</f>
        <v>N/A (Not found)</v>
      </c>
      <c r="V9133" s="33">
        <f>IFERROR(__xludf.DUMMYFUNCTION("""COMPUTED_VALUE"""),1.0)</f>
        <v>1</v>
      </c>
      <c r="W9133" s="4" t="str">
        <f>IFERROR(__xludf.DUMMYFUNCTION("""COMPUTED_VALUE"""),"null")</f>
        <v>null</v>
      </c>
      <c r="X9133" s="33">
        <f>IFERROR(__xludf.DUMMYFUNCTION("""COMPUTED_VALUE"""),1.0)</f>
        <v>1</v>
      </c>
    </row>
    <row r="9134">
      <c r="K9134" s="4" t="str">
        <f>IFERROR(__xludf.DUMMYFUNCTION("""COMPUTED_VALUE"""),"CREPEFY - CREPE WRAP E SALADA - INOCOOP")</f>
        <v>CREPEFY - CREPE WRAP E SALADA - INOCOOP</v>
      </c>
      <c r="L9134" s="32">
        <f>IFERROR(__xludf.DUMMYFUNCTION("""COMPUTED_VALUE"""),1.0)</f>
        <v>1</v>
      </c>
      <c r="M9134" s="4" t="str">
        <f>IFERROR(__xludf.DUMMYFUNCTION("""COMPUTED_VALUE"""),"Alfa Labs")</f>
        <v>Alfa Labs</v>
      </c>
      <c r="N9134" s="33">
        <f>IFERROR(__xludf.DUMMYFUNCTION("""COMPUTED_VALUE"""),1.0)</f>
        <v>1</v>
      </c>
      <c r="O9134" s="4" t="str">
        <f>IFERROR(__xludf.DUMMYFUNCTION("""COMPUTED_VALUE"""),"Alfa Labs")</f>
        <v>Alfa Labs</v>
      </c>
      <c r="P9134" s="33">
        <f>IFERROR(__xludf.DUMMYFUNCTION("""COMPUTED_VALUE"""),1.0)</f>
        <v>1</v>
      </c>
      <c r="Q9134" s="4" t="str">
        <f>IFERROR(__xludf.DUMMYFUNCTION("""COMPUTED_VALUE"""),"Alfa Labs")</f>
        <v>Alfa Labs</v>
      </c>
      <c r="R9134" s="33">
        <f>IFERROR(__xludf.DUMMYFUNCTION("""COMPUTED_VALUE"""),1.0)</f>
        <v>1</v>
      </c>
      <c r="S9134" s="4" t="str">
        <f>IFERROR(__xludf.DUMMYFUNCTION("""COMPUTED_VALUE"""),"Alfa Labs")</f>
        <v>Alfa Labs</v>
      </c>
      <c r="T9134" s="33">
        <f>IFERROR(__xludf.DUMMYFUNCTION("""COMPUTED_VALUE"""),1.0)</f>
        <v>1</v>
      </c>
      <c r="U9134" s="4" t="str">
        <f>IFERROR(__xludf.DUMMYFUNCTION("""COMPUTED_VALUE"""),"null")</f>
        <v>null</v>
      </c>
      <c r="V9134" s="33">
        <f>IFERROR(__xludf.DUMMYFUNCTION("""COMPUTED_VALUE"""),1.0)</f>
        <v>1</v>
      </c>
      <c r="W9134" s="4" t="str">
        <f>IFERROR(__xludf.DUMMYFUNCTION("""COMPUTED_VALUE"""),"null")</f>
        <v>null</v>
      </c>
      <c r="X9134" s="33">
        <f>IFERROR(__xludf.DUMMYFUNCTION("""COMPUTED_VALUE"""),1.0)</f>
        <v>1</v>
      </c>
    </row>
    <row r="9135">
      <c r="K9135" s="4" t="str">
        <f>IFERROR(__xludf.DUMMYFUNCTION("""COMPUTED_VALUE"""),"RESTAURANTE E LANCHERIA ISOPPO")</f>
        <v>RESTAURANTE E LANCHERIA ISOPPO</v>
      </c>
      <c r="L9135" s="32">
        <f>IFERROR(__xludf.DUMMYFUNCTION("""COMPUTED_VALUE"""),1.0)</f>
        <v>1</v>
      </c>
      <c r="M9135" s="4" t="str">
        <f>IFERROR(__xludf.DUMMYFUNCTION("""COMPUTED_VALUE"""),"Anota Ai Solucoes Digitais S/a")</f>
        <v>Anota Ai Solucoes Digitais S/a</v>
      </c>
      <c r="N9135" s="33">
        <f>IFERROR(__xludf.DUMMYFUNCTION("""COMPUTED_VALUE"""),1.0)</f>
        <v>1</v>
      </c>
      <c r="O9135" s="4" t="str">
        <f>IFERROR(__xludf.DUMMYFUNCTION("""COMPUTED_VALUE"""),"Anota Ai Solucoes Digitais S/a")</f>
        <v>Anota Ai Solucoes Digitais S/a</v>
      </c>
      <c r="P9135" s="33">
        <f>IFERROR(__xludf.DUMMYFUNCTION("""COMPUTED_VALUE"""),1.0)</f>
        <v>1</v>
      </c>
      <c r="Q9135" s="4" t="str">
        <f>IFERROR(__xludf.DUMMYFUNCTION("""COMPUTED_VALUE"""),"Anota Ai Solucoes Digitais S/a")</f>
        <v>Anota Ai Solucoes Digitais S/a</v>
      </c>
      <c r="R9135" s="33">
        <f>IFERROR(__xludf.DUMMYFUNCTION("""COMPUTED_VALUE"""),1.0)</f>
        <v>1</v>
      </c>
      <c r="S9135" s="4" t="str">
        <f>IFERROR(__xludf.DUMMYFUNCTION("""COMPUTED_VALUE"""),"Anota Ai Solucoes Digitais S/a")</f>
        <v>Anota Ai Solucoes Digitais S/a</v>
      </c>
      <c r="T9135" s="33">
        <f>IFERROR(__xludf.DUMMYFUNCTION("""COMPUTED_VALUE"""),1.0)</f>
        <v>1</v>
      </c>
      <c r="U9135" s="4" t="str">
        <f>IFERROR(__xludf.DUMMYFUNCTION("""COMPUTED_VALUE"""),"Anota Ai Solucoes Digitais S/a")</f>
        <v>Anota Ai Solucoes Digitais S/a</v>
      </c>
      <c r="V9135" s="33">
        <f>IFERROR(__xludf.DUMMYFUNCTION("""COMPUTED_VALUE"""),1.0)</f>
        <v>1</v>
      </c>
      <c r="W9135" s="4" t="str">
        <f>IFERROR(__xludf.DUMMYFUNCTION("""COMPUTED_VALUE"""),"Anota Ai Solucoes Digitais S/a")</f>
        <v>Anota Ai Solucoes Digitais S/a</v>
      </c>
      <c r="X9135" s="33">
        <f>IFERROR(__xludf.DUMMYFUNCTION("""COMPUTED_VALUE"""),1.0)</f>
        <v>1</v>
      </c>
    </row>
    <row r="9136">
      <c r="K9136" s="4" t="str">
        <f>IFERROR(__xludf.DUMMYFUNCTION("""COMPUTED_VALUE"""),"MARMITARIA SABOR DA CASA -PARMEGINA STROGONOFF")</f>
        <v>MARMITARIA SABOR DA CASA -PARMEGINA STROGONOFF</v>
      </c>
      <c r="L9136" s="32">
        <f>IFERROR(__xludf.DUMMYFUNCTION("""COMPUTED_VALUE"""),1.0)</f>
        <v>1</v>
      </c>
      <c r="M9136" s="4" t="str">
        <f>IFERROR(__xludf.DUMMYFUNCTION("""COMPUTED_VALUE"""),"Mp Multipedidos")</f>
        <v>Mp Multipedidos</v>
      </c>
      <c r="N9136" s="33">
        <f>IFERROR(__xludf.DUMMYFUNCTION("""COMPUTED_VALUE"""),1.0)</f>
        <v>1</v>
      </c>
      <c r="O9136" s="4" t="str">
        <f>IFERROR(__xludf.DUMMYFUNCTION("""COMPUTED_VALUE"""),"Mp Multipedidos")</f>
        <v>Mp Multipedidos</v>
      </c>
      <c r="P9136" s="33">
        <f>IFERROR(__xludf.DUMMYFUNCTION("""COMPUTED_VALUE"""),1.0)</f>
        <v>1</v>
      </c>
      <c r="Q9136" s="4" t="str">
        <f>IFERROR(__xludf.DUMMYFUNCTION("""COMPUTED_VALUE"""),"Mp Multipedidos")</f>
        <v>Mp Multipedidos</v>
      </c>
      <c r="R9136" s="33">
        <f>IFERROR(__xludf.DUMMYFUNCTION("""COMPUTED_VALUE"""),1.0)</f>
        <v>1</v>
      </c>
      <c r="S9136" s="4" t="str">
        <f>IFERROR(__xludf.DUMMYFUNCTION("""COMPUTED_VALUE"""),"Mp Multipedidos")</f>
        <v>Mp Multipedidos</v>
      </c>
      <c r="T9136" s="33">
        <f>IFERROR(__xludf.DUMMYFUNCTION("""COMPUTED_VALUE"""),1.0)</f>
        <v>1</v>
      </c>
      <c r="U9136" s="4" t="str">
        <f>IFERROR(__xludf.DUMMYFUNCTION("""COMPUTED_VALUE"""),"null")</f>
        <v>null</v>
      </c>
      <c r="V9136" s="33">
        <f>IFERROR(__xludf.DUMMYFUNCTION("""COMPUTED_VALUE"""),1.0)</f>
        <v>1</v>
      </c>
      <c r="W9136" s="4" t="str">
        <f>IFERROR(__xludf.DUMMYFUNCTION("""COMPUTED_VALUE"""),"null")</f>
        <v>null</v>
      </c>
      <c r="X9136" s="33">
        <f>IFERROR(__xludf.DUMMYFUNCTION("""COMPUTED_VALUE"""),1.0)</f>
        <v>1</v>
      </c>
    </row>
    <row r="9137">
      <c r="K9137" s="4" t="str">
        <f>IFERROR(__xludf.DUMMYFUNCTION("""COMPUTED_VALUE"""),"DELIVERY FOODS - BATATARIA")</f>
        <v>DELIVERY FOODS - BATATARIA</v>
      </c>
      <c r="L9137" s="32">
        <f>IFERROR(__xludf.DUMMYFUNCTION("""COMPUTED_VALUE"""),1.0)</f>
        <v>1</v>
      </c>
      <c r="M9137" s="4" t="str">
        <f>IFERROR(__xludf.DUMMYFUNCTION("""COMPUTED_VALUE"""),"Brendi")</f>
        <v>Brendi</v>
      </c>
      <c r="N9137" s="33">
        <f>IFERROR(__xludf.DUMMYFUNCTION("""COMPUTED_VALUE"""),1.0)</f>
        <v>1</v>
      </c>
      <c r="O9137" s="4" t="str">
        <f>IFERROR(__xludf.DUMMYFUNCTION("""COMPUTED_VALUE"""),"null")</f>
        <v>null</v>
      </c>
      <c r="P9137" s="33">
        <f>IFERROR(__xludf.DUMMYFUNCTION("""COMPUTED_VALUE"""),1.0)</f>
        <v>1</v>
      </c>
      <c r="Q9137" s="4" t="str">
        <f>IFERROR(__xludf.DUMMYFUNCTION("""COMPUTED_VALUE"""),"null")</f>
        <v>null</v>
      </c>
      <c r="R9137" s="33">
        <f>IFERROR(__xludf.DUMMYFUNCTION("""COMPUTED_VALUE"""),1.0)</f>
        <v>1</v>
      </c>
      <c r="S9137" s="4" t="str">
        <f>IFERROR(__xludf.DUMMYFUNCTION("""COMPUTED_VALUE"""),"null")</f>
        <v>null</v>
      </c>
      <c r="T9137" s="33">
        <f>IFERROR(__xludf.DUMMYFUNCTION("""COMPUTED_VALUE"""),1.0)</f>
        <v>1</v>
      </c>
      <c r="U9137" s="4" t="str">
        <f>IFERROR(__xludf.DUMMYFUNCTION("""COMPUTED_VALUE"""),"null")</f>
        <v>null</v>
      </c>
      <c r="V9137" s="33">
        <f>IFERROR(__xludf.DUMMYFUNCTION("""COMPUTED_VALUE"""),1.0)</f>
        <v>1</v>
      </c>
      <c r="W9137" s="4" t="str">
        <f>IFERROR(__xludf.DUMMYFUNCTION("""COMPUTED_VALUE"""),"null")</f>
        <v>null</v>
      </c>
      <c r="X9137" s="33">
        <f>IFERROR(__xludf.DUMMYFUNCTION("""COMPUTED_VALUE"""),1.0)</f>
        <v>1</v>
      </c>
    </row>
    <row r="9138">
      <c r="K9138" s="4" t="str">
        <f>IFERROR(__xludf.DUMMYFUNCTION("""COMPUTED_VALUE"""),"VIEIRAS LANCHES")</f>
        <v>VIEIRAS LANCHES</v>
      </c>
      <c r="L9138" s="32">
        <f>IFERROR(__xludf.DUMMYFUNCTION("""COMPUTED_VALUE"""),1.0)</f>
        <v>1</v>
      </c>
      <c r="M9138" s="4" t="str">
        <f>IFERROR(__xludf.DUMMYFUNCTION("""COMPUTED_VALUE"""),"Wls Solucoes Empresariais Ltda")</f>
        <v>Wls Solucoes Empresariais Ltda</v>
      </c>
      <c r="N9138" s="33">
        <f>IFERROR(__xludf.DUMMYFUNCTION("""COMPUTED_VALUE"""),1.0)</f>
        <v>1</v>
      </c>
      <c r="O9138" s="4" t="str">
        <f>IFERROR(__xludf.DUMMYFUNCTION("""COMPUTED_VALUE"""),"Wls Solucoes Empresariais Ltda")</f>
        <v>Wls Solucoes Empresariais Ltda</v>
      </c>
      <c r="P9138" s="33">
        <f>IFERROR(__xludf.DUMMYFUNCTION("""COMPUTED_VALUE"""),1.0)</f>
        <v>1</v>
      </c>
      <c r="Q9138" s="4" t="str">
        <f>IFERROR(__xludf.DUMMYFUNCTION("""COMPUTED_VALUE"""),"Wls Solucoes Empresariais Ltda")</f>
        <v>Wls Solucoes Empresariais Ltda</v>
      </c>
      <c r="R9138" s="33">
        <f>IFERROR(__xludf.DUMMYFUNCTION("""COMPUTED_VALUE"""),1.0)</f>
        <v>1</v>
      </c>
      <c r="S9138" s="4" t="str">
        <f>IFERROR(__xludf.DUMMYFUNCTION("""COMPUTED_VALUE"""),"Wls Solucoes Empresariais Ltda")</f>
        <v>Wls Solucoes Empresariais Ltda</v>
      </c>
      <c r="T9138" s="33">
        <f>IFERROR(__xludf.DUMMYFUNCTION("""COMPUTED_VALUE"""),1.0)</f>
        <v>1</v>
      </c>
      <c r="U9138" s="4" t="str">
        <f>IFERROR(__xludf.DUMMYFUNCTION("""COMPUTED_VALUE"""),"Wls Solucoes Empresariais Ltda")</f>
        <v>Wls Solucoes Empresariais Ltda</v>
      </c>
      <c r="V9138" s="33">
        <f>IFERROR(__xludf.DUMMYFUNCTION("""COMPUTED_VALUE"""),1.0)</f>
        <v>1</v>
      </c>
      <c r="W9138" s="4" t="str">
        <f>IFERROR(__xludf.DUMMYFUNCTION("""COMPUTED_VALUE"""),"Wls Solucoes Empresariais Ltda")</f>
        <v>Wls Solucoes Empresariais Ltda</v>
      </c>
      <c r="X9138" s="33">
        <f>IFERROR(__xludf.DUMMYFUNCTION("""COMPUTED_VALUE"""),1.0)</f>
        <v>1</v>
      </c>
    </row>
    <row r="9139">
      <c r="K9139" s="4" t="str">
        <f>IFERROR(__xludf.DUMMYFUNCTION("""COMPUTED_VALUE"""),"MARMITARIA TEMPERO BAIANO ACAI")</f>
        <v>MARMITARIA TEMPERO BAIANO ACAI</v>
      </c>
      <c r="L9139" s="32">
        <f>IFERROR(__xludf.DUMMYFUNCTION("""COMPUTED_VALUE"""),1.0)</f>
        <v>1</v>
      </c>
      <c r="M9139" s="4" t="str">
        <f>IFERROR(__xludf.DUMMYFUNCTION("""COMPUTED_VALUE"""),"Instadelivery")</f>
        <v>Instadelivery</v>
      </c>
      <c r="N9139" s="33">
        <f>IFERROR(__xludf.DUMMYFUNCTION("""COMPUTED_VALUE"""),1.0)</f>
        <v>1</v>
      </c>
      <c r="O9139" s="4" t="str">
        <f>IFERROR(__xludf.DUMMYFUNCTION("""COMPUTED_VALUE"""),"Instadelivery")</f>
        <v>Instadelivery</v>
      </c>
      <c r="P9139" s="33">
        <f>IFERROR(__xludf.DUMMYFUNCTION("""COMPUTED_VALUE"""),1.0)</f>
        <v>1</v>
      </c>
      <c r="Q9139" s="4" t="str">
        <f>IFERROR(__xludf.DUMMYFUNCTION("""COMPUTED_VALUE"""),"Instadelivery")</f>
        <v>Instadelivery</v>
      </c>
      <c r="R9139" s="33">
        <f>IFERROR(__xludf.DUMMYFUNCTION("""COMPUTED_VALUE"""),1.0)</f>
        <v>1</v>
      </c>
      <c r="S9139" s="4" t="str">
        <f>IFERROR(__xludf.DUMMYFUNCTION("""COMPUTED_VALUE"""),"Instadelivery")</f>
        <v>Instadelivery</v>
      </c>
      <c r="T9139" s="33">
        <f>IFERROR(__xludf.DUMMYFUNCTION("""COMPUTED_VALUE"""),1.0)</f>
        <v>1</v>
      </c>
      <c r="U9139" s="4" t="str">
        <f>IFERROR(__xludf.DUMMYFUNCTION("""COMPUTED_VALUE"""),"null")</f>
        <v>null</v>
      </c>
      <c r="V9139" s="33">
        <f>IFERROR(__xludf.DUMMYFUNCTION("""COMPUTED_VALUE"""),1.0)</f>
        <v>1</v>
      </c>
      <c r="W9139" s="4" t="str">
        <f>IFERROR(__xludf.DUMMYFUNCTION("""COMPUTED_VALUE"""),"null")</f>
        <v>null</v>
      </c>
      <c r="X9139" s="33">
        <f>IFERROR(__xludf.DUMMYFUNCTION("""COMPUTED_VALUE"""),1.0)</f>
        <v>1</v>
      </c>
    </row>
    <row r="9140">
      <c r="K9140" s="4" t="str">
        <f>IFERROR(__xludf.DUMMYFUNCTION("""COMPUTED_VALUE"""),"POPOLLO PIZZA")</f>
        <v>POPOLLO PIZZA</v>
      </c>
      <c r="L9140" s="32">
        <f>IFERROR(__xludf.DUMMYFUNCTION("""COMPUTED_VALUE"""),1.0)</f>
        <v>1</v>
      </c>
      <c r="M9140" s="4" t="str">
        <f>IFERROR(__xludf.DUMMYFUNCTION("""COMPUTED_VALUE"""),"Anota Ai Solucoes Digitais S/a")</f>
        <v>Anota Ai Solucoes Digitais S/a</v>
      </c>
      <c r="N9140" s="33">
        <f>IFERROR(__xludf.DUMMYFUNCTION("""COMPUTED_VALUE"""),1.0)</f>
        <v>1</v>
      </c>
      <c r="O9140" s="4" t="str">
        <f>IFERROR(__xludf.DUMMYFUNCTION("""COMPUTED_VALUE"""),"Anota Ai Solucoes Digitais S/a")</f>
        <v>Anota Ai Solucoes Digitais S/a</v>
      </c>
      <c r="P9140" s="33">
        <f>IFERROR(__xludf.DUMMYFUNCTION("""COMPUTED_VALUE"""),1.0)</f>
        <v>1</v>
      </c>
      <c r="Q9140" s="4" t="str">
        <f>IFERROR(__xludf.DUMMYFUNCTION("""COMPUTED_VALUE"""),"Anota Ai Solucoes Digitais S/a")</f>
        <v>Anota Ai Solucoes Digitais S/a</v>
      </c>
      <c r="R9140" s="33">
        <f>IFERROR(__xludf.DUMMYFUNCTION("""COMPUTED_VALUE"""),1.0)</f>
        <v>1</v>
      </c>
      <c r="S9140" s="4" t="str">
        <f>IFERROR(__xludf.DUMMYFUNCTION("""COMPUTED_VALUE"""),"Anota Ai Solucoes Digitais S/a")</f>
        <v>Anota Ai Solucoes Digitais S/a</v>
      </c>
      <c r="T9140" s="33">
        <f>IFERROR(__xludf.DUMMYFUNCTION("""COMPUTED_VALUE"""),1.0)</f>
        <v>1</v>
      </c>
      <c r="U9140" s="4" t="str">
        <f>IFERROR(__xludf.DUMMYFUNCTION("""COMPUTED_VALUE"""),"Anota Ai Solucoes Digitais S/a")</f>
        <v>Anota Ai Solucoes Digitais S/a</v>
      </c>
      <c r="V9140" s="33">
        <f>IFERROR(__xludf.DUMMYFUNCTION("""COMPUTED_VALUE"""),1.0)</f>
        <v>1</v>
      </c>
      <c r="W9140" s="4" t="str">
        <f>IFERROR(__xludf.DUMMYFUNCTION("""COMPUTED_VALUE"""),"Anota Ai Solucoes Digitais S/a")</f>
        <v>Anota Ai Solucoes Digitais S/a</v>
      </c>
      <c r="X9140" s="33">
        <f>IFERROR(__xludf.DUMMYFUNCTION("""COMPUTED_VALUE"""),1.0)</f>
        <v>1</v>
      </c>
    </row>
    <row r="9141">
      <c r="K9141" s="4" t="str">
        <f>IFERROR(__xludf.DUMMYFUNCTION("""COMPUTED_VALUE"""),"FILOMENOS PAES")</f>
        <v>FILOMENOS PAES</v>
      </c>
      <c r="L9141" s="32">
        <f>IFERROR(__xludf.DUMMYFUNCTION("""COMPUTED_VALUE"""),1.0)</f>
        <v>1</v>
      </c>
      <c r="M9141" s="4" t="str">
        <f>IFERROR(__xludf.DUMMYFUNCTION("""COMPUTED_VALUE"""),"null")</f>
        <v>null</v>
      </c>
      <c r="N9141" s="33">
        <f>IFERROR(__xludf.DUMMYFUNCTION("""COMPUTED_VALUE"""),1.0)</f>
        <v>1</v>
      </c>
      <c r="O9141" s="4" t="str">
        <f>IFERROR(__xludf.DUMMYFUNCTION("""COMPUTED_VALUE"""),"null")</f>
        <v>null</v>
      </c>
      <c r="P9141" s="33">
        <f>IFERROR(__xludf.DUMMYFUNCTION("""COMPUTED_VALUE"""),1.0)</f>
        <v>1</v>
      </c>
      <c r="Q9141" s="4" t="str">
        <f>IFERROR(__xludf.DUMMYFUNCTION("""COMPUTED_VALUE"""),"null")</f>
        <v>null</v>
      </c>
      <c r="R9141" s="33">
        <f>IFERROR(__xludf.DUMMYFUNCTION("""COMPUTED_VALUE"""),1.0)</f>
        <v>1</v>
      </c>
      <c r="S9141" s="4" t="str">
        <f>IFERROR(__xludf.DUMMYFUNCTION("""COMPUTED_VALUE"""),"Anota Ai Solucoes Digitais S/a")</f>
        <v>Anota Ai Solucoes Digitais S/a</v>
      </c>
      <c r="T9141" s="33">
        <f>IFERROR(__xludf.DUMMYFUNCTION("""COMPUTED_VALUE"""),1.0)</f>
        <v>1</v>
      </c>
      <c r="U9141" s="4" t="str">
        <f>IFERROR(__xludf.DUMMYFUNCTION("""COMPUTED_VALUE"""),"Anota Ai Solucoes Digitais S/a")</f>
        <v>Anota Ai Solucoes Digitais S/a</v>
      </c>
      <c r="V9141" s="33">
        <f>IFERROR(__xludf.DUMMYFUNCTION("""COMPUTED_VALUE"""),1.0)</f>
        <v>1</v>
      </c>
      <c r="W9141" s="4" t="str">
        <f>IFERROR(__xludf.DUMMYFUNCTION("""COMPUTED_VALUE"""),"Anota Ai Solucoes Digitais S/a")</f>
        <v>Anota Ai Solucoes Digitais S/a</v>
      </c>
      <c r="X9141" s="33">
        <f>IFERROR(__xludf.DUMMYFUNCTION("""COMPUTED_VALUE"""),1.0)</f>
        <v>1</v>
      </c>
    </row>
    <row r="9142">
      <c r="K9142" s="4" t="str">
        <f>IFERROR(__xludf.DUMMYFUNCTION("""COMPUTED_VALUE"""),"FARMACIA MULTMAIS PITUBA DELIVERY")</f>
        <v>FARMACIA MULTMAIS PITUBA DELIVERY</v>
      </c>
      <c r="L9142" s="32">
        <f>IFERROR(__xludf.DUMMYFUNCTION("""COMPUTED_VALUE"""),1.0)</f>
        <v>1</v>
      </c>
      <c r="M9142" s="4" t="str">
        <f>IFERROR(__xludf.DUMMYFUNCTION("""COMPUTED_VALUE"""),"N/A (Not found)")</f>
        <v>N/A (Not found)</v>
      </c>
      <c r="N9142" s="33">
        <f>IFERROR(__xludf.DUMMYFUNCTION("""COMPUTED_VALUE"""),1.0)</f>
        <v>1</v>
      </c>
      <c r="O9142" s="4" t="str">
        <f>IFERROR(__xludf.DUMMYFUNCTION("""COMPUTED_VALUE"""),"N/A (Not found)")</f>
        <v>N/A (Not found)</v>
      </c>
      <c r="P9142" s="33">
        <f>IFERROR(__xludf.DUMMYFUNCTION("""COMPUTED_VALUE"""),1.0)</f>
        <v>1</v>
      </c>
      <c r="Q9142" s="4" t="str">
        <f>IFERROR(__xludf.DUMMYFUNCTION("""COMPUTED_VALUE"""),"N/A (Not found)")</f>
        <v>N/A (Not found)</v>
      </c>
      <c r="R9142" s="33">
        <f>IFERROR(__xludf.DUMMYFUNCTION("""COMPUTED_VALUE"""),1.0)</f>
        <v>1</v>
      </c>
      <c r="S9142" s="4" t="str">
        <f>IFERROR(__xludf.DUMMYFUNCTION("""COMPUTED_VALUE"""),"N/A (Not found)")</f>
        <v>N/A (Not found)</v>
      </c>
      <c r="T9142" s="33">
        <f>IFERROR(__xludf.DUMMYFUNCTION("""COMPUTED_VALUE"""),1.0)</f>
        <v>1</v>
      </c>
      <c r="U9142" s="4" t="str">
        <f>IFERROR(__xludf.DUMMYFUNCTION("""COMPUTED_VALUE"""),"N/A (Not found)")</f>
        <v>N/A (Not found)</v>
      </c>
      <c r="V9142" s="33">
        <f>IFERROR(__xludf.DUMMYFUNCTION("""COMPUTED_VALUE"""),1.0)</f>
        <v>1</v>
      </c>
      <c r="W9142" s="4" t="str">
        <f>IFERROR(__xludf.DUMMYFUNCTION("""COMPUTED_VALUE"""),"N/A (Not found)")</f>
        <v>N/A (Not found)</v>
      </c>
      <c r="X9142" s="33">
        <f>IFERROR(__xludf.DUMMYFUNCTION("""COMPUTED_VALUE"""),1.0)</f>
        <v>1</v>
      </c>
    </row>
    <row r="9143">
      <c r="K9143" s="4" t="str">
        <f>IFERROR(__xludf.DUMMYFUNCTION("""COMPUTED_VALUE"""),"CULTIVAR ALIMENTOS")</f>
        <v>CULTIVAR ALIMENTOS</v>
      </c>
      <c r="L9143" s="32">
        <f>IFERROR(__xludf.DUMMYFUNCTION("""COMPUTED_VALUE"""),1.0)</f>
        <v>1</v>
      </c>
      <c r="M9143" s="4" t="str">
        <f>IFERROR(__xludf.DUMMYFUNCTION("""COMPUTED_VALUE"""),"Anota Ai Solucoes Digitais S/a")</f>
        <v>Anota Ai Solucoes Digitais S/a</v>
      </c>
      <c r="N9143" s="33">
        <f>IFERROR(__xludf.DUMMYFUNCTION("""COMPUTED_VALUE"""),1.0)</f>
        <v>1</v>
      </c>
      <c r="O9143" s="4" t="str">
        <f>IFERROR(__xludf.DUMMYFUNCTION("""COMPUTED_VALUE"""),"null")</f>
        <v>null</v>
      </c>
      <c r="P9143" s="33">
        <f>IFERROR(__xludf.DUMMYFUNCTION("""COMPUTED_VALUE"""),1.0)</f>
        <v>1</v>
      </c>
      <c r="Q9143" s="4" t="str">
        <f>IFERROR(__xludf.DUMMYFUNCTION("""COMPUTED_VALUE"""),"null")</f>
        <v>null</v>
      </c>
      <c r="R9143" s="33">
        <f>IFERROR(__xludf.DUMMYFUNCTION("""COMPUTED_VALUE"""),1.0)</f>
        <v>1</v>
      </c>
      <c r="S9143" s="4" t="str">
        <f>IFERROR(__xludf.DUMMYFUNCTION("""COMPUTED_VALUE"""),"null")</f>
        <v>null</v>
      </c>
      <c r="T9143" s="33">
        <f>IFERROR(__xludf.DUMMYFUNCTION("""COMPUTED_VALUE"""),1.0)</f>
        <v>1</v>
      </c>
      <c r="U9143" s="4" t="str">
        <f>IFERROR(__xludf.DUMMYFUNCTION("""COMPUTED_VALUE"""),"null")</f>
        <v>null</v>
      </c>
      <c r="V9143" s="33">
        <f>IFERROR(__xludf.DUMMYFUNCTION("""COMPUTED_VALUE"""),1.0)</f>
        <v>1</v>
      </c>
      <c r="W9143" s="4" t="str">
        <f>IFERROR(__xludf.DUMMYFUNCTION("""COMPUTED_VALUE"""),"null")</f>
        <v>null</v>
      </c>
      <c r="X9143" s="33">
        <f>IFERROR(__xludf.DUMMYFUNCTION("""COMPUTED_VALUE"""),1.0)</f>
        <v>1</v>
      </c>
    </row>
    <row r="9144">
      <c r="K9144" s="4" t="str">
        <f>IFERROR(__xludf.DUMMYFUNCTION("""COMPUTED_VALUE"""),"RESTAURANTE E PIZZARIA MC PIZZA GUARULHOS")</f>
        <v>RESTAURANTE E PIZZARIA MC PIZZA GUARULHOS</v>
      </c>
      <c r="L9144" s="32">
        <f>IFERROR(__xludf.DUMMYFUNCTION("""COMPUTED_VALUE"""),1.0)</f>
        <v>1</v>
      </c>
      <c r="M9144" s="4" t="str">
        <f>IFERROR(__xludf.DUMMYFUNCTION("""COMPUTED_VALUE"""),"null")</f>
        <v>null</v>
      </c>
      <c r="N9144" s="33">
        <f>IFERROR(__xludf.DUMMYFUNCTION("""COMPUTED_VALUE"""),1.0)</f>
        <v>1</v>
      </c>
      <c r="O9144" s="4" t="str">
        <f>IFERROR(__xludf.DUMMYFUNCTION("""COMPUTED_VALUE"""),"null")</f>
        <v>null</v>
      </c>
      <c r="P9144" s="33">
        <f>IFERROR(__xludf.DUMMYFUNCTION("""COMPUTED_VALUE"""),1.0)</f>
        <v>1</v>
      </c>
      <c r="Q9144" s="4" t="str">
        <f>IFERROR(__xludf.DUMMYFUNCTION("""COMPUTED_VALUE"""),"null")</f>
        <v>null</v>
      </c>
      <c r="R9144" s="33">
        <f>IFERROR(__xludf.DUMMYFUNCTION("""COMPUTED_VALUE"""),1.0)</f>
        <v>1</v>
      </c>
      <c r="S9144" s="4" t="str">
        <f>IFERROR(__xludf.DUMMYFUNCTION("""COMPUTED_VALUE"""),"Anota Ai Solucoes Digitais S/a")</f>
        <v>Anota Ai Solucoes Digitais S/a</v>
      </c>
      <c r="T9144" s="33">
        <f>IFERROR(__xludf.DUMMYFUNCTION("""COMPUTED_VALUE"""),1.0)</f>
        <v>1</v>
      </c>
      <c r="U9144" s="4" t="str">
        <f>IFERROR(__xludf.DUMMYFUNCTION("""COMPUTED_VALUE"""),"null")</f>
        <v>null</v>
      </c>
      <c r="V9144" s="33">
        <f>IFERROR(__xludf.DUMMYFUNCTION("""COMPUTED_VALUE"""),1.0)</f>
        <v>1</v>
      </c>
      <c r="W9144" s="4" t="str">
        <f>IFERROR(__xludf.DUMMYFUNCTION("""COMPUTED_VALUE"""),"null")</f>
        <v>null</v>
      </c>
      <c r="X9144" s="33">
        <f>IFERROR(__xludf.DUMMYFUNCTION("""COMPUTED_VALUE"""),1.0)</f>
        <v>1</v>
      </c>
    </row>
    <row r="9145">
      <c r="K9145" s="4" t="str">
        <f>IFERROR(__xludf.DUMMYFUNCTION("""COMPUTED_VALUE"""),"SALGADOS BALACO BACO")</f>
        <v>SALGADOS BALACO BACO</v>
      </c>
      <c r="L9145" s="32">
        <f>IFERROR(__xludf.DUMMYFUNCTION("""COMPUTED_VALUE"""),1.0)</f>
        <v>1</v>
      </c>
      <c r="M9145" s="4" t="str">
        <f>IFERROR(__xludf.DUMMYFUNCTION("""COMPUTED_VALUE"""),"Saipos Serviços De Software")</f>
        <v>Saipos Serviços De Software</v>
      </c>
      <c r="N9145" s="33">
        <f>IFERROR(__xludf.DUMMYFUNCTION("""COMPUTED_VALUE"""),1.0)</f>
        <v>1</v>
      </c>
      <c r="O9145" s="4" t="str">
        <f>IFERROR(__xludf.DUMMYFUNCTION("""COMPUTED_VALUE"""),"Saipos Serviços De Software")</f>
        <v>Saipos Serviços De Software</v>
      </c>
      <c r="P9145" s="33">
        <f>IFERROR(__xludf.DUMMYFUNCTION("""COMPUTED_VALUE"""),1.0)</f>
        <v>1</v>
      </c>
      <c r="Q9145" s="4" t="str">
        <f>IFERROR(__xludf.DUMMYFUNCTION("""COMPUTED_VALUE"""),"Saipos Serviços De Software")</f>
        <v>Saipos Serviços De Software</v>
      </c>
      <c r="R9145" s="33">
        <f>IFERROR(__xludf.DUMMYFUNCTION("""COMPUTED_VALUE"""),1.0)</f>
        <v>1</v>
      </c>
      <c r="S9145" s="4" t="str">
        <f>IFERROR(__xludf.DUMMYFUNCTION("""COMPUTED_VALUE"""),"null")</f>
        <v>null</v>
      </c>
      <c r="T9145" s="33">
        <f>IFERROR(__xludf.DUMMYFUNCTION("""COMPUTED_VALUE"""),1.0)</f>
        <v>1</v>
      </c>
      <c r="U9145" s="4" t="str">
        <f>IFERROR(__xludf.DUMMYFUNCTION("""COMPUTED_VALUE"""),"null")</f>
        <v>null</v>
      </c>
      <c r="V9145" s="33">
        <f>IFERROR(__xludf.DUMMYFUNCTION("""COMPUTED_VALUE"""),1.0)</f>
        <v>1</v>
      </c>
      <c r="W9145" s="4" t="str">
        <f>IFERROR(__xludf.DUMMYFUNCTION("""COMPUTED_VALUE"""),"null")</f>
        <v>null</v>
      </c>
      <c r="X9145" s="33">
        <f>IFERROR(__xludf.DUMMYFUNCTION("""COMPUTED_VALUE"""),1.0)</f>
        <v>1</v>
      </c>
    </row>
    <row r="9146">
      <c r="K9146" s="4" t="str">
        <f>IFERROR(__xludf.DUMMYFUNCTION("""COMPUTED_VALUE"""),"PET SHOP ACONCHEGO")</f>
        <v>PET SHOP ACONCHEGO</v>
      </c>
      <c r="L9146" s="32">
        <f>IFERROR(__xludf.DUMMYFUNCTION("""COMPUTED_VALUE"""),1.0)</f>
        <v>1</v>
      </c>
      <c r="M9146" s="4" t="str">
        <f>IFERROR(__xludf.DUMMYFUNCTION("""COMPUTED_VALUE"""),"N/A (Not found)")</f>
        <v>N/A (Not found)</v>
      </c>
      <c r="N9146" s="33">
        <f>IFERROR(__xludf.DUMMYFUNCTION("""COMPUTED_VALUE"""),1.0)</f>
        <v>1</v>
      </c>
      <c r="O9146" s="4" t="str">
        <f>IFERROR(__xludf.DUMMYFUNCTION("""COMPUTED_VALUE"""),"N/A (Not found)")</f>
        <v>N/A (Not found)</v>
      </c>
      <c r="P9146" s="33">
        <f>IFERROR(__xludf.DUMMYFUNCTION("""COMPUTED_VALUE"""),1.0)</f>
        <v>1</v>
      </c>
      <c r="Q9146" s="4" t="str">
        <f>IFERROR(__xludf.DUMMYFUNCTION("""COMPUTED_VALUE"""),"N/A (Not found)")</f>
        <v>N/A (Not found)</v>
      </c>
      <c r="R9146" s="33">
        <f>IFERROR(__xludf.DUMMYFUNCTION("""COMPUTED_VALUE"""),1.0)</f>
        <v>1</v>
      </c>
      <c r="S9146" s="4" t="str">
        <f>IFERROR(__xludf.DUMMYFUNCTION("""COMPUTED_VALUE"""),"N/A (Not found)")</f>
        <v>N/A (Not found)</v>
      </c>
      <c r="T9146" s="33">
        <f>IFERROR(__xludf.DUMMYFUNCTION("""COMPUTED_VALUE"""),1.0)</f>
        <v>1</v>
      </c>
      <c r="U9146" s="4" t="str">
        <f>IFERROR(__xludf.DUMMYFUNCTION("""COMPUTED_VALUE"""),"N/A (Not found)")</f>
        <v>N/A (Not found)</v>
      </c>
      <c r="V9146" s="33">
        <f>IFERROR(__xludf.DUMMYFUNCTION("""COMPUTED_VALUE"""),1.0)</f>
        <v>1</v>
      </c>
      <c r="W9146" s="4" t="str">
        <f>IFERROR(__xludf.DUMMYFUNCTION("""COMPUTED_VALUE"""),"N/A (Not found)")</f>
        <v>N/A (Not found)</v>
      </c>
      <c r="X9146" s="33">
        <f>IFERROR(__xludf.DUMMYFUNCTION("""COMPUTED_VALUE"""),1.0)</f>
        <v>1</v>
      </c>
    </row>
    <row r="9147">
      <c r="K9147" s="4" t="str">
        <f>IFERROR(__xludf.DUMMYFUNCTION("""COMPUTED_VALUE"""),"THEO ACAI, SORVETERIA LANCHES")</f>
        <v>THEO ACAI, SORVETERIA LANCHES</v>
      </c>
      <c r="L9147" s="32">
        <f>IFERROR(__xludf.DUMMYFUNCTION("""COMPUTED_VALUE"""),1.0)</f>
        <v>1</v>
      </c>
      <c r="M9147" s="4" t="str">
        <f>IFERROR(__xludf.DUMMYFUNCTION("""COMPUTED_VALUE"""),"Yooga")</f>
        <v>Yooga</v>
      </c>
      <c r="N9147" s="33">
        <f>IFERROR(__xludf.DUMMYFUNCTION("""COMPUTED_VALUE"""),1.0)</f>
        <v>1</v>
      </c>
      <c r="O9147" s="4" t="str">
        <f>IFERROR(__xludf.DUMMYFUNCTION("""COMPUTED_VALUE"""),"Yooga")</f>
        <v>Yooga</v>
      </c>
      <c r="P9147" s="33">
        <f>IFERROR(__xludf.DUMMYFUNCTION("""COMPUTED_VALUE"""),1.0)</f>
        <v>1</v>
      </c>
      <c r="Q9147" s="4" t="str">
        <f>IFERROR(__xludf.DUMMYFUNCTION("""COMPUTED_VALUE"""),"Yooga")</f>
        <v>Yooga</v>
      </c>
      <c r="R9147" s="33">
        <f>IFERROR(__xludf.DUMMYFUNCTION("""COMPUTED_VALUE"""),1.0)</f>
        <v>1</v>
      </c>
      <c r="S9147" s="4" t="str">
        <f>IFERROR(__xludf.DUMMYFUNCTION("""COMPUTED_VALUE"""),"null")</f>
        <v>null</v>
      </c>
      <c r="T9147" s="33">
        <f>IFERROR(__xludf.DUMMYFUNCTION("""COMPUTED_VALUE"""),1.0)</f>
        <v>1</v>
      </c>
      <c r="U9147" s="4" t="str">
        <f>IFERROR(__xludf.DUMMYFUNCTION("""COMPUTED_VALUE"""),"null")</f>
        <v>null</v>
      </c>
      <c r="V9147" s="33">
        <f>IFERROR(__xludf.DUMMYFUNCTION("""COMPUTED_VALUE"""),1.0)</f>
        <v>1</v>
      </c>
      <c r="W9147" s="4" t="str">
        <f>IFERROR(__xludf.DUMMYFUNCTION("""COMPUTED_VALUE"""),"null")</f>
        <v>null</v>
      </c>
      <c r="X9147" s="33">
        <f>IFERROR(__xludf.DUMMYFUNCTION("""COMPUTED_VALUE"""),1.0)</f>
        <v>1</v>
      </c>
    </row>
    <row r="9148">
      <c r="K9148" s="4" t="str">
        <f>IFERROR(__xludf.DUMMYFUNCTION("""COMPUTED_VALUE"""),"SALGADERIA ENGENHO NOVO, SALGADOS FRITO")</f>
        <v>SALGADERIA ENGENHO NOVO, SALGADOS FRITO</v>
      </c>
      <c r="L9148" s="32">
        <f>IFERROR(__xludf.DUMMYFUNCTION("""COMPUTED_VALUE"""),1.0)</f>
        <v>1</v>
      </c>
      <c r="M9148" s="4" t="str">
        <f>IFERROR(__xludf.DUMMYFUNCTION("""COMPUTED_VALUE"""),"null")</f>
        <v>null</v>
      </c>
      <c r="N9148" s="33">
        <f>IFERROR(__xludf.DUMMYFUNCTION("""COMPUTED_VALUE"""),1.0)</f>
        <v>1</v>
      </c>
      <c r="O9148" s="4" t="str">
        <f>IFERROR(__xludf.DUMMYFUNCTION("""COMPUTED_VALUE"""),"null")</f>
        <v>null</v>
      </c>
      <c r="P9148" s="33">
        <f>IFERROR(__xludf.DUMMYFUNCTION("""COMPUTED_VALUE"""),1.0)</f>
        <v>1</v>
      </c>
      <c r="Q9148" s="4" t="str">
        <f>IFERROR(__xludf.DUMMYFUNCTION("""COMPUTED_VALUE"""),"null")</f>
        <v>null</v>
      </c>
      <c r="R9148" s="33">
        <f>IFERROR(__xludf.DUMMYFUNCTION("""COMPUTED_VALUE"""),1.0)</f>
        <v>1</v>
      </c>
      <c r="S9148" s="4" t="str">
        <f>IFERROR(__xludf.DUMMYFUNCTION("""COMPUTED_VALUE"""),"Saipos Serviços De Software")</f>
        <v>Saipos Serviços De Software</v>
      </c>
      <c r="T9148" s="33">
        <f>IFERROR(__xludf.DUMMYFUNCTION("""COMPUTED_VALUE"""),1.0)</f>
        <v>1</v>
      </c>
      <c r="U9148" s="4" t="str">
        <f>IFERROR(__xludf.DUMMYFUNCTION("""COMPUTED_VALUE"""),"Saipos Serviços De Software")</f>
        <v>Saipos Serviços De Software</v>
      </c>
      <c r="V9148" s="33">
        <f>IFERROR(__xludf.DUMMYFUNCTION("""COMPUTED_VALUE"""),1.0)</f>
        <v>1</v>
      </c>
      <c r="W9148" s="4" t="str">
        <f>IFERROR(__xludf.DUMMYFUNCTION("""COMPUTED_VALUE"""),"null")</f>
        <v>null</v>
      </c>
      <c r="X9148" s="33">
        <f>IFERROR(__xludf.DUMMYFUNCTION("""COMPUTED_VALUE"""),1.0)</f>
        <v>1</v>
      </c>
    </row>
    <row r="9149">
      <c r="K9149" s="4" t="str">
        <f>IFERROR(__xludf.DUMMYFUNCTION("""COMPUTED_VALUE"""),"CHOPE DIRETO DA FABRICA - PONTAL TIJUCA")</f>
        <v>CHOPE DIRETO DA FABRICA - PONTAL TIJUCA</v>
      </c>
      <c r="L9149" s="32">
        <f>IFERROR(__xludf.DUMMYFUNCTION("""COMPUTED_VALUE"""),1.0)</f>
        <v>1</v>
      </c>
      <c r="M9149" s="4" t="str">
        <f>IFERROR(__xludf.DUMMYFUNCTION("""COMPUTED_VALUE"""),"Saipos Serviços De Software")</f>
        <v>Saipos Serviços De Software</v>
      </c>
      <c r="N9149" s="33">
        <f>IFERROR(__xludf.DUMMYFUNCTION("""COMPUTED_VALUE"""),1.0)</f>
        <v>1</v>
      </c>
      <c r="O9149" s="4" t="str">
        <f>IFERROR(__xludf.DUMMYFUNCTION("""COMPUTED_VALUE"""),"Saipos Serviços De Software")</f>
        <v>Saipos Serviços De Software</v>
      </c>
      <c r="P9149" s="33">
        <f>IFERROR(__xludf.DUMMYFUNCTION("""COMPUTED_VALUE"""),1.0)</f>
        <v>1</v>
      </c>
      <c r="Q9149" s="4" t="str">
        <f>IFERROR(__xludf.DUMMYFUNCTION("""COMPUTED_VALUE"""),"Saipos Serviços De Software")</f>
        <v>Saipos Serviços De Software</v>
      </c>
      <c r="R9149" s="33">
        <f>IFERROR(__xludf.DUMMYFUNCTION("""COMPUTED_VALUE"""),1.0)</f>
        <v>1</v>
      </c>
      <c r="S9149" s="4" t="str">
        <f>IFERROR(__xludf.DUMMYFUNCTION("""COMPUTED_VALUE"""),"Saipos Serviços De Software")</f>
        <v>Saipos Serviços De Software</v>
      </c>
      <c r="T9149" s="33">
        <f>IFERROR(__xludf.DUMMYFUNCTION("""COMPUTED_VALUE"""),1.0)</f>
        <v>1</v>
      </c>
      <c r="U9149" s="4" t="str">
        <f>IFERROR(__xludf.DUMMYFUNCTION("""COMPUTED_VALUE"""),"Saipos Serviços De Software")</f>
        <v>Saipos Serviços De Software</v>
      </c>
      <c r="V9149" s="33">
        <f>IFERROR(__xludf.DUMMYFUNCTION("""COMPUTED_VALUE"""),1.0)</f>
        <v>1</v>
      </c>
      <c r="W9149" s="4" t="str">
        <f>IFERROR(__xludf.DUMMYFUNCTION("""COMPUTED_VALUE"""),"Saipos Serviços De Software")</f>
        <v>Saipos Serviços De Software</v>
      </c>
      <c r="X9149" s="33">
        <f>IFERROR(__xludf.DUMMYFUNCTION("""COMPUTED_VALUE"""),1.0)</f>
        <v>1</v>
      </c>
    </row>
    <row r="9150">
      <c r="K9150" s="4" t="str">
        <f>IFERROR(__xludf.DUMMYFUNCTION("""COMPUTED_VALUE"""),"AGAFARMA PASTORIZA")</f>
        <v>AGAFARMA PASTORIZA</v>
      </c>
      <c r="L9150" s="32">
        <f>IFERROR(__xludf.DUMMYFUNCTION("""COMPUTED_VALUE"""),1.0)</f>
        <v>1</v>
      </c>
      <c r="M9150" s="4" t="str">
        <f>IFERROR(__xludf.DUMMYFUNCTION("""COMPUTED_VALUE"""),"N/A (Not found)")</f>
        <v>N/A (Not found)</v>
      </c>
      <c r="N9150" s="33">
        <f>IFERROR(__xludf.DUMMYFUNCTION("""COMPUTED_VALUE"""),1.0)</f>
        <v>1</v>
      </c>
      <c r="O9150" s="4" t="str">
        <f>IFERROR(__xludf.DUMMYFUNCTION("""COMPUTED_VALUE"""),"N/A (Not found)")</f>
        <v>N/A (Not found)</v>
      </c>
      <c r="P9150" s="33">
        <f>IFERROR(__xludf.DUMMYFUNCTION("""COMPUTED_VALUE"""),1.0)</f>
        <v>1</v>
      </c>
      <c r="Q9150" s="4" t="str">
        <f>IFERROR(__xludf.DUMMYFUNCTION("""COMPUTED_VALUE"""),"N/A (Not found)")</f>
        <v>N/A (Not found)</v>
      </c>
      <c r="R9150" s="33">
        <f>IFERROR(__xludf.DUMMYFUNCTION("""COMPUTED_VALUE"""),1.0)</f>
        <v>1</v>
      </c>
      <c r="S9150" s="4" t="str">
        <f>IFERROR(__xludf.DUMMYFUNCTION("""COMPUTED_VALUE"""),"null")</f>
        <v>null</v>
      </c>
      <c r="T9150" s="33">
        <f>IFERROR(__xludf.DUMMYFUNCTION("""COMPUTED_VALUE"""),1.0)</f>
        <v>1</v>
      </c>
      <c r="U9150" s="4" t="str">
        <f>IFERROR(__xludf.DUMMYFUNCTION("""COMPUTED_VALUE"""),"null")</f>
        <v>null</v>
      </c>
      <c r="V9150" s="33">
        <f>IFERROR(__xludf.DUMMYFUNCTION("""COMPUTED_VALUE"""),1.0)</f>
        <v>1</v>
      </c>
      <c r="W9150" s="4" t="str">
        <f>IFERROR(__xludf.DUMMYFUNCTION("""COMPUTED_VALUE"""),"null")</f>
        <v>null</v>
      </c>
      <c r="X9150" s="33">
        <f>IFERROR(__xludf.DUMMYFUNCTION("""COMPUTED_VALUE"""),1.0)</f>
        <v>1</v>
      </c>
    </row>
    <row r="9151">
      <c r="K9151" s="4" t="str">
        <f>IFERROR(__xludf.DUMMYFUNCTION("""COMPUTED_VALUE"""),"DONNA DORVINA")</f>
        <v>DONNA DORVINA</v>
      </c>
      <c r="L9151" s="32">
        <f>IFERROR(__xludf.DUMMYFUNCTION("""COMPUTED_VALUE"""),1.0)</f>
        <v>1</v>
      </c>
      <c r="M9151" s="4" t="str">
        <f>IFERROR(__xludf.DUMMYFUNCTION("""COMPUTED_VALUE"""),"Beefood - Sistema Para Restaurantes")</f>
        <v>Beefood - Sistema Para Restaurantes</v>
      </c>
      <c r="N9151" s="33">
        <f>IFERROR(__xludf.DUMMYFUNCTION("""COMPUTED_VALUE"""),1.0)</f>
        <v>1</v>
      </c>
      <c r="O9151" s="4" t="str">
        <f>IFERROR(__xludf.DUMMYFUNCTION("""COMPUTED_VALUE"""),"Beefood - Sistema Para Restaurantes")</f>
        <v>Beefood - Sistema Para Restaurantes</v>
      </c>
      <c r="P9151" s="33">
        <f>IFERROR(__xludf.DUMMYFUNCTION("""COMPUTED_VALUE"""),1.0)</f>
        <v>1</v>
      </c>
      <c r="Q9151" s="4" t="str">
        <f>IFERROR(__xludf.DUMMYFUNCTION("""COMPUTED_VALUE"""),"Beefood - Sistema Para Restaurantes")</f>
        <v>Beefood - Sistema Para Restaurantes</v>
      </c>
      <c r="R9151" s="33">
        <f>IFERROR(__xludf.DUMMYFUNCTION("""COMPUTED_VALUE"""),1.0)</f>
        <v>1</v>
      </c>
      <c r="S9151" s="4" t="str">
        <f>IFERROR(__xludf.DUMMYFUNCTION("""COMPUTED_VALUE"""),"Beefood - Sistema Para Restaurantes")</f>
        <v>Beefood - Sistema Para Restaurantes</v>
      </c>
      <c r="T9151" s="33">
        <f>IFERROR(__xludf.DUMMYFUNCTION("""COMPUTED_VALUE"""),1.0)</f>
        <v>1</v>
      </c>
      <c r="U9151" s="4" t="str">
        <f>IFERROR(__xludf.DUMMYFUNCTION("""COMPUTED_VALUE"""),"Beefood - Sistema Para Restaurantes")</f>
        <v>Beefood - Sistema Para Restaurantes</v>
      </c>
      <c r="V9151" s="33">
        <f>IFERROR(__xludf.DUMMYFUNCTION("""COMPUTED_VALUE"""),1.0)</f>
        <v>1</v>
      </c>
      <c r="W9151" s="4" t="str">
        <f>IFERROR(__xludf.DUMMYFUNCTION("""COMPUTED_VALUE"""),"Beefood - Sistema Para Restaurantes")</f>
        <v>Beefood - Sistema Para Restaurantes</v>
      </c>
      <c r="X9151" s="33">
        <f>IFERROR(__xludf.DUMMYFUNCTION("""COMPUTED_VALUE"""),1.0)</f>
        <v>1</v>
      </c>
    </row>
    <row r="9152">
      <c r="K9152" s="4" t="str">
        <f>IFERROR(__xludf.DUMMYFUNCTION("""COMPUTED_VALUE"""),"FLANAS PIZZAS E LANCHES")</f>
        <v>FLANAS PIZZAS E LANCHES</v>
      </c>
      <c r="L9152" s="32">
        <f>IFERROR(__xludf.DUMMYFUNCTION("""COMPUTED_VALUE"""),1.0)</f>
        <v>1</v>
      </c>
      <c r="M9152" s="4" t="str">
        <f>IFERROR(__xludf.DUMMYFUNCTION("""COMPUTED_VALUE"""),"Saipos Serviços De Software")</f>
        <v>Saipos Serviços De Software</v>
      </c>
      <c r="N9152" s="33">
        <f>IFERROR(__xludf.DUMMYFUNCTION("""COMPUTED_VALUE"""),1.0)</f>
        <v>1</v>
      </c>
      <c r="O9152" s="4" t="str">
        <f>IFERROR(__xludf.DUMMYFUNCTION("""COMPUTED_VALUE"""),"Saipos Serviços De Software")</f>
        <v>Saipos Serviços De Software</v>
      </c>
      <c r="P9152" s="33">
        <f>IFERROR(__xludf.DUMMYFUNCTION("""COMPUTED_VALUE"""),1.0)</f>
        <v>1</v>
      </c>
      <c r="Q9152" s="4" t="str">
        <f>IFERROR(__xludf.DUMMYFUNCTION("""COMPUTED_VALUE"""),"Saipos Serviços De Software")</f>
        <v>Saipos Serviços De Software</v>
      </c>
      <c r="R9152" s="33">
        <f>IFERROR(__xludf.DUMMYFUNCTION("""COMPUTED_VALUE"""),1.0)</f>
        <v>1</v>
      </c>
      <c r="S9152" s="4" t="str">
        <f>IFERROR(__xludf.DUMMYFUNCTION("""COMPUTED_VALUE"""),"Saipos Serviços De Software")</f>
        <v>Saipos Serviços De Software</v>
      </c>
      <c r="T9152" s="33">
        <f>IFERROR(__xludf.DUMMYFUNCTION("""COMPUTED_VALUE"""),1.0)</f>
        <v>1</v>
      </c>
      <c r="U9152" s="4" t="str">
        <f>IFERROR(__xludf.DUMMYFUNCTION("""COMPUTED_VALUE"""),"Saipos Serviços De Software")</f>
        <v>Saipos Serviços De Software</v>
      </c>
      <c r="V9152" s="33">
        <f>IFERROR(__xludf.DUMMYFUNCTION("""COMPUTED_VALUE"""),1.0)</f>
        <v>1</v>
      </c>
      <c r="W9152" s="4" t="str">
        <f>IFERROR(__xludf.DUMMYFUNCTION("""COMPUTED_VALUE"""),"Saipos Serviços De Software")</f>
        <v>Saipos Serviços De Software</v>
      </c>
      <c r="X9152" s="33">
        <f>IFERROR(__xludf.DUMMYFUNCTION("""COMPUTED_VALUE"""),1.0)</f>
        <v>1</v>
      </c>
    </row>
    <row r="9153">
      <c r="K9153" s="4" t="str">
        <f>IFERROR(__xludf.DUMMYFUNCTION("""COMPUTED_VALUE"""),"ARMAZEM RIO LINDO")</f>
        <v>ARMAZEM RIO LINDO</v>
      </c>
      <c r="L9153" s="32">
        <f>IFERROR(__xludf.DUMMYFUNCTION("""COMPUTED_VALUE"""),1.0)</f>
        <v>1</v>
      </c>
      <c r="M9153" s="4" t="str">
        <f>IFERROR(__xludf.DUMMYFUNCTION("""COMPUTED_VALUE"""),"Fs Soluções Em Tecnologia Ltda")</f>
        <v>Fs Soluções Em Tecnologia Ltda</v>
      </c>
      <c r="N9153" s="33">
        <f>IFERROR(__xludf.DUMMYFUNCTION("""COMPUTED_VALUE"""),1.0)</f>
        <v>1</v>
      </c>
      <c r="O9153" s="4" t="str">
        <f>IFERROR(__xludf.DUMMYFUNCTION("""COMPUTED_VALUE"""),"null")</f>
        <v>null</v>
      </c>
      <c r="P9153" s="33">
        <f>IFERROR(__xludf.DUMMYFUNCTION("""COMPUTED_VALUE"""),1.0)</f>
        <v>1</v>
      </c>
      <c r="Q9153" s="4" t="str">
        <f>IFERROR(__xludf.DUMMYFUNCTION("""COMPUTED_VALUE"""),"null")</f>
        <v>null</v>
      </c>
      <c r="R9153" s="33">
        <f>IFERROR(__xludf.DUMMYFUNCTION("""COMPUTED_VALUE"""),1.0)</f>
        <v>1</v>
      </c>
      <c r="S9153" s="4" t="str">
        <f>IFERROR(__xludf.DUMMYFUNCTION("""COMPUTED_VALUE"""),"null")</f>
        <v>null</v>
      </c>
      <c r="T9153" s="33">
        <f>IFERROR(__xludf.DUMMYFUNCTION("""COMPUTED_VALUE"""),1.0)</f>
        <v>1</v>
      </c>
      <c r="U9153" s="4" t="str">
        <f>IFERROR(__xludf.DUMMYFUNCTION("""COMPUTED_VALUE"""),"null")</f>
        <v>null</v>
      </c>
      <c r="V9153" s="33">
        <f>IFERROR(__xludf.DUMMYFUNCTION("""COMPUTED_VALUE"""),1.0)</f>
        <v>1</v>
      </c>
      <c r="W9153" s="4" t="str">
        <f>IFERROR(__xludf.DUMMYFUNCTION("""COMPUTED_VALUE"""),"Fs Soluções Em Tecnologia Ltda")</f>
        <v>Fs Soluções Em Tecnologia Ltda</v>
      </c>
      <c r="X9153" s="33">
        <f>IFERROR(__xludf.DUMMYFUNCTION("""COMPUTED_VALUE"""),1.0)</f>
        <v>1</v>
      </c>
    </row>
    <row r="9154">
      <c r="K9154" s="4" t="str">
        <f>IFERROR(__xludf.DUMMYFUNCTION("""COMPUTED_VALUE"""),"ALO CORACAO")</f>
        <v>ALO CORACAO</v>
      </c>
      <c r="L9154" s="32">
        <f>IFERROR(__xludf.DUMMYFUNCTION("""COMPUTED_VALUE"""),1.0)</f>
        <v>1</v>
      </c>
      <c r="M9154" s="4" t="str">
        <f>IFERROR(__xludf.DUMMYFUNCTION("""COMPUTED_VALUE"""),"Consumer Soluções Em Tecnologia Ltda")</f>
        <v>Consumer Soluções Em Tecnologia Ltda</v>
      </c>
      <c r="N9154" s="33">
        <f>IFERROR(__xludf.DUMMYFUNCTION("""COMPUTED_VALUE"""),1.0)</f>
        <v>1</v>
      </c>
      <c r="O9154" s="4" t="str">
        <f>IFERROR(__xludf.DUMMYFUNCTION("""COMPUTED_VALUE"""),"null")</f>
        <v>null</v>
      </c>
      <c r="P9154" s="33">
        <f>IFERROR(__xludf.DUMMYFUNCTION("""COMPUTED_VALUE"""),1.0)</f>
        <v>1</v>
      </c>
      <c r="Q9154" s="4" t="str">
        <f>IFERROR(__xludf.DUMMYFUNCTION("""COMPUTED_VALUE"""),"null")</f>
        <v>null</v>
      </c>
      <c r="R9154" s="33">
        <f>IFERROR(__xludf.DUMMYFUNCTION("""COMPUTED_VALUE"""),1.0)</f>
        <v>1</v>
      </c>
      <c r="S9154" s="4" t="str">
        <f>IFERROR(__xludf.DUMMYFUNCTION("""COMPUTED_VALUE"""),"null")</f>
        <v>null</v>
      </c>
      <c r="T9154" s="33">
        <f>IFERROR(__xludf.DUMMYFUNCTION("""COMPUTED_VALUE"""),1.0)</f>
        <v>1</v>
      </c>
      <c r="U9154" s="4" t="str">
        <f>IFERROR(__xludf.DUMMYFUNCTION("""COMPUTED_VALUE"""),"null")</f>
        <v>null</v>
      </c>
      <c r="V9154" s="33">
        <f>IFERROR(__xludf.DUMMYFUNCTION("""COMPUTED_VALUE"""),1.0)</f>
        <v>1</v>
      </c>
      <c r="W9154" s="4" t="str">
        <f>IFERROR(__xludf.DUMMYFUNCTION("""COMPUTED_VALUE"""),"null")</f>
        <v>null</v>
      </c>
      <c r="X9154" s="33">
        <f>IFERROR(__xludf.DUMMYFUNCTION("""COMPUTED_VALUE"""),1.0)</f>
        <v>1</v>
      </c>
    </row>
    <row r="9155">
      <c r="K9155" s="4" t="str">
        <f>IFERROR(__xludf.DUMMYFUNCTION("""COMPUTED_VALUE"""),"URBAN CAFE E GELATO SALGADOS")</f>
        <v>URBAN CAFE E GELATO SALGADOS</v>
      </c>
      <c r="L9155" s="32">
        <f>IFERROR(__xludf.DUMMYFUNCTION("""COMPUTED_VALUE"""),1.0)</f>
        <v>1</v>
      </c>
      <c r="M9155" s="4" t="str">
        <f>IFERROR(__xludf.DUMMYFUNCTION("""COMPUTED_VALUE"""),"null")</f>
        <v>null</v>
      </c>
      <c r="N9155" s="33">
        <f>IFERROR(__xludf.DUMMYFUNCTION("""COMPUTED_VALUE"""),1.0)</f>
        <v>1</v>
      </c>
      <c r="O9155" s="4" t="str">
        <f>IFERROR(__xludf.DUMMYFUNCTION("""COMPUTED_VALUE"""),"null")</f>
        <v>null</v>
      </c>
      <c r="P9155" s="33">
        <f>IFERROR(__xludf.DUMMYFUNCTION("""COMPUTED_VALUE"""),1.0)</f>
        <v>1</v>
      </c>
      <c r="Q9155" s="4" t="str">
        <f>IFERROR(__xludf.DUMMYFUNCTION("""COMPUTED_VALUE"""),"Consumer Soluções Em Tecnologia Ltda")</f>
        <v>Consumer Soluções Em Tecnologia Ltda</v>
      </c>
      <c r="R9155" s="33">
        <f>IFERROR(__xludf.DUMMYFUNCTION("""COMPUTED_VALUE"""),1.0)</f>
        <v>1</v>
      </c>
      <c r="S9155" s="4" t="str">
        <f>IFERROR(__xludf.DUMMYFUNCTION("""COMPUTED_VALUE"""),"null")</f>
        <v>null</v>
      </c>
      <c r="T9155" s="33">
        <f>IFERROR(__xludf.DUMMYFUNCTION("""COMPUTED_VALUE"""),1.0)</f>
        <v>1</v>
      </c>
      <c r="U9155" s="4" t="str">
        <f>IFERROR(__xludf.DUMMYFUNCTION("""COMPUTED_VALUE"""),"null")</f>
        <v>null</v>
      </c>
      <c r="V9155" s="33">
        <f>IFERROR(__xludf.DUMMYFUNCTION("""COMPUTED_VALUE"""),1.0)</f>
        <v>1</v>
      </c>
      <c r="W9155" s="4" t="str">
        <f>IFERROR(__xludf.DUMMYFUNCTION("""COMPUTED_VALUE"""),"null")</f>
        <v>null</v>
      </c>
      <c r="X9155" s="33">
        <f>IFERROR(__xludf.DUMMYFUNCTION("""COMPUTED_VALUE"""),1.0)</f>
        <v>1</v>
      </c>
    </row>
    <row r="9156">
      <c r="K9156" s="4" t="str">
        <f>IFERROR(__xludf.DUMMYFUNCTION("""COMPUTED_VALUE"""),"PIZZA SHOW - PIZZARIA RAPIDA E SABOROSA")</f>
        <v>PIZZA SHOW - PIZZARIA RAPIDA E SABOROSA</v>
      </c>
      <c r="L9156" s="32">
        <f>IFERROR(__xludf.DUMMYFUNCTION("""COMPUTED_VALUE"""),1.0)</f>
        <v>1</v>
      </c>
      <c r="M9156" s="4" t="str">
        <f>IFERROR(__xludf.DUMMYFUNCTION("""COMPUTED_VALUE"""),"Saipos Serviços De Software")</f>
        <v>Saipos Serviços De Software</v>
      </c>
      <c r="N9156" s="33">
        <f>IFERROR(__xludf.DUMMYFUNCTION("""COMPUTED_VALUE"""),1.0)</f>
        <v>1</v>
      </c>
      <c r="O9156" s="4" t="str">
        <f>IFERROR(__xludf.DUMMYFUNCTION("""COMPUTED_VALUE"""),"Saipos Serviços De Software")</f>
        <v>Saipos Serviços De Software</v>
      </c>
      <c r="P9156" s="33">
        <f>IFERROR(__xludf.DUMMYFUNCTION("""COMPUTED_VALUE"""),1.0)</f>
        <v>1</v>
      </c>
      <c r="Q9156" s="4" t="str">
        <f>IFERROR(__xludf.DUMMYFUNCTION("""COMPUTED_VALUE"""),"Saipos Serviços De Software")</f>
        <v>Saipos Serviços De Software</v>
      </c>
      <c r="R9156" s="33">
        <f>IFERROR(__xludf.DUMMYFUNCTION("""COMPUTED_VALUE"""),1.0)</f>
        <v>1</v>
      </c>
      <c r="S9156" s="4" t="str">
        <f>IFERROR(__xludf.DUMMYFUNCTION("""COMPUTED_VALUE"""),"Saipos Serviços De Software")</f>
        <v>Saipos Serviços De Software</v>
      </c>
      <c r="T9156" s="33">
        <f>IFERROR(__xludf.DUMMYFUNCTION("""COMPUTED_VALUE"""),1.0)</f>
        <v>1</v>
      </c>
      <c r="U9156" s="4" t="str">
        <f>IFERROR(__xludf.DUMMYFUNCTION("""COMPUTED_VALUE"""),"Saipos Serviços De Software")</f>
        <v>Saipos Serviços De Software</v>
      </c>
      <c r="V9156" s="33">
        <f>IFERROR(__xludf.DUMMYFUNCTION("""COMPUTED_VALUE"""),1.0)</f>
        <v>1</v>
      </c>
      <c r="W9156" s="4" t="str">
        <f>IFERROR(__xludf.DUMMYFUNCTION("""COMPUTED_VALUE"""),"Saipos Serviços De Software")</f>
        <v>Saipos Serviços De Software</v>
      </c>
      <c r="X9156" s="33">
        <f>IFERROR(__xludf.DUMMYFUNCTION("""COMPUTED_VALUE"""),1.0)</f>
        <v>1</v>
      </c>
    </row>
    <row r="9157">
      <c r="K9157" s="4" t="str">
        <f>IFERROR(__xludf.DUMMYFUNCTION("""COMPUTED_VALUE"""),"ACOPIARA LANCHES E RESTAURANTE")</f>
        <v>ACOPIARA LANCHES E RESTAURANTE</v>
      </c>
      <c r="L9157" s="32">
        <f>IFERROR(__xludf.DUMMYFUNCTION("""COMPUTED_VALUE"""),1.0)</f>
        <v>1</v>
      </c>
      <c r="M9157" s="4" t="str">
        <f>IFERROR(__xludf.DUMMYFUNCTION("""COMPUTED_VALUE"""),"null")</f>
        <v>null</v>
      </c>
      <c r="N9157" s="33">
        <f>IFERROR(__xludf.DUMMYFUNCTION("""COMPUTED_VALUE"""),1.0)</f>
        <v>1</v>
      </c>
      <c r="O9157" s="4" t="str">
        <f>IFERROR(__xludf.DUMMYFUNCTION("""COMPUTED_VALUE"""),"null")</f>
        <v>null</v>
      </c>
      <c r="P9157" s="33">
        <f>IFERROR(__xludf.DUMMYFUNCTION("""COMPUTED_VALUE"""),1.0)</f>
        <v>1</v>
      </c>
      <c r="Q9157" s="4" t="str">
        <f>IFERROR(__xludf.DUMMYFUNCTION("""COMPUTED_VALUE"""),"Lab Jota Marketing Digital Eirele")</f>
        <v>Lab Jota Marketing Digital Eirele</v>
      </c>
      <c r="R9157" s="33">
        <f>IFERROR(__xludf.DUMMYFUNCTION("""COMPUTED_VALUE"""),1.0)</f>
        <v>1</v>
      </c>
      <c r="S9157" s="4" t="str">
        <f>IFERROR(__xludf.DUMMYFUNCTION("""COMPUTED_VALUE"""),"Lab Jota Marketing Digital Eirele")</f>
        <v>Lab Jota Marketing Digital Eirele</v>
      </c>
      <c r="T9157" s="33">
        <f>IFERROR(__xludf.DUMMYFUNCTION("""COMPUTED_VALUE"""),1.0)</f>
        <v>1</v>
      </c>
      <c r="U9157" s="4" t="str">
        <f>IFERROR(__xludf.DUMMYFUNCTION("""COMPUTED_VALUE"""),"Lab Jota Marketing Digital Eirele")</f>
        <v>Lab Jota Marketing Digital Eirele</v>
      </c>
      <c r="V9157" s="33">
        <f>IFERROR(__xludf.DUMMYFUNCTION("""COMPUTED_VALUE"""),1.0)</f>
        <v>1</v>
      </c>
      <c r="W9157" s="4" t="str">
        <f>IFERROR(__xludf.DUMMYFUNCTION("""COMPUTED_VALUE"""),"Instadelivery")</f>
        <v>Instadelivery</v>
      </c>
      <c r="X9157" s="33">
        <f>IFERROR(__xludf.DUMMYFUNCTION("""COMPUTED_VALUE"""),1.0)</f>
        <v>1</v>
      </c>
    </row>
    <row r="9158">
      <c r="K9158" s="4" t="str">
        <f>IFERROR(__xludf.DUMMYFUNCTION("""COMPUTED_VALUE"""),"MONKEY BURGUER, PORCOES, ESPETARIA")</f>
        <v>MONKEY BURGUER, PORCOES, ESPETARIA</v>
      </c>
      <c r="L9158" s="32">
        <f>IFERROR(__xludf.DUMMYFUNCTION("""COMPUTED_VALUE"""),1.0)</f>
        <v>1</v>
      </c>
      <c r="M9158" s="4" t="str">
        <f>IFERROR(__xludf.DUMMYFUNCTION("""COMPUTED_VALUE"""),"Consumer Soluções Em Tecnologia Ltda")</f>
        <v>Consumer Soluções Em Tecnologia Ltda</v>
      </c>
      <c r="N9158" s="33">
        <f>IFERROR(__xludf.DUMMYFUNCTION("""COMPUTED_VALUE"""),1.0)</f>
        <v>1</v>
      </c>
      <c r="O9158" s="4" t="str">
        <f>IFERROR(__xludf.DUMMYFUNCTION("""COMPUTED_VALUE"""),"null")</f>
        <v>null</v>
      </c>
      <c r="P9158" s="33">
        <f>IFERROR(__xludf.DUMMYFUNCTION("""COMPUTED_VALUE"""),1.0)</f>
        <v>1</v>
      </c>
      <c r="Q9158" s="4" t="str">
        <f>IFERROR(__xludf.DUMMYFUNCTION("""COMPUTED_VALUE"""),"null")</f>
        <v>null</v>
      </c>
      <c r="R9158" s="33">
        <f>IFERROR(__xludf.DUMMYFUNCTION("""COMPUTED_VALUE"""),1.0)</f>
        <v>1</v>
      </c>
      <c r="S9158" s="4" t="str">
        <f>IFERROR(__xludf.DUMMYFUNCTION("""COMPUTED_VALUE"""),"null")</f>
        <v>null</v>
      </c>
      <c r="T9158" s="33">
        <f>IFERROR(__xludf.DUMMYFUNCTION("""COMPUTED_VALUE"""),1.0)</f>
        <v>1</v>
      </c>
      <c r="U9158" s="4" t="str">
        <f>IFERROR(__xludf.DUMMYFUNCTION("""COMPUTED_VALUE"""),"null")</f>
        <v>null</v>
      </c>
      <c r="V9158" s="33">
        <f>IFERROR(__xludf.DUMMYFUNCTION("""COMPUTED_VALUE"""),1.0)</f>
        <v>1</v>
      </c>
      <c r="W9158" s="4" t="str">
        <f>IFERROR(__xludf.DUMMYFUNCTION("""COMPUTED_VALUE"""),"Consumer Soluções Em Tecnologia Ltda")</f>
        <v>Consumer Soluções Em Tecnologia Ltda</v>
      </c>
      <c r="X9158" s="33">
        <f>IFERROR(__xludf.DUMMYFUNCTION("""COMPUTED_VALUE"""),1.0)</f>
        <v>1</v>
      </c>
    </row>
    <row r="9159">
      <c r="K9159" s="4" t="str">
        <f>IFERROR(__xludf.DUMMYFUNCTION("""COMPUTED_VALUE"""),"NOWHEAT JARDIM EUROPA")</f>
        <v>NOWHEAT JARDIM EUROPA</v>
      </c>
      <c r="L9159" s="32">
        <f>IFERROR(__xludf.DUMMYFUNCTION("""COMPUTED_VALUE"""),1.0)</f>
        <v>1</v>
      </c>
      <c r="M9159" s="4" t="str">
        <f>IFERROR(__xludf.DUMMYFUNCTION("""COMPUTED_VALUE"""),"Alfa Labs")</f>
        <v>Alfa Labs</v>
      </c>
      <c r="N9159" s="33">
        <f>IFERROR(__xludf.DUMMYFUNCTION("""COMPUTED_VALUE"""),1.0)</f>
        <v>1</v>
      </c>
      <c r="O9159" s="4" t="str">
        <f>IFERROR(__xludf.DUMMYFUNCTION("""COMPUTED_VALUE"""),"Alfa Labs")</f>
        <v>Alfa Labs</v>
      </c>
      <c r="P9159" s="33">
        <f>IFERROR(__xludf.DUMMYFUNCTION("""COMPUTED_VALUE"""),1.0)</f>
        <v>1</v>
      </c>
      <c r="Q9159" s="4" t="str">
        <f>IFERROR(__xludf.DUMMYFUNCTION("""COMPUTED_VALUE"""),"Alfa Labs")</f>
        <v>Alfa Labs</v>
      </c>
      <c r="R9159" s="33">
        <f>IFERROR(__xludf.DUMMYFUNCTION("""COMPUTED_VALUE"""),1.0)</f>
        <v>1</v>
      </c>
      <c r="S9159" s="4" t="str">
        <f>IFERROR(__xludf.DUMMYFUNCTION("""COMPUTED_VALUE"""),"Alfa Labs")</f>
        <v>Alfa Labs</v>
      </c>
      <c r="T9159" s="33">
        <f>IFERROR(__xludf.DUMMYFUNCTION("""COMPUTED_VALUE"""),1.0)</f>
        <v>1</v>
      </c>
      <c r="U9159" s="4" t="str">
        <f>IFERROR(__xludf.DUMMYFUNCTION("""COMPUTED_VALUE"""),"null")</f>
        <v>null</v>
      </c>
      <c r="V9159" s="33">
        <f>IFERROR(__xludf.DUMMYFUNCTION("""COMPUTED_VALUE"""),1.0)</f>
        <v>1</v>
      </c>
      <c r="W9159" s="4" t="str">
        <f>IFERROR(__xludf.DUMMYFUNCTION("""COMPUTED_VALUE"""),"null")</f>
        <v>null</v>
      </c>
      <c r="X9159" s="33">
        <f>IFERROR(__xludf.DUMMYFUNCTION("""COMPUTED_VALUE"""),1.0)</f>
        <v>1</v>
      </c>
    </row>
    <row r="9160">
      <c r="K9160" s="4" t="str">
        <f>IFERROR(__xludf.DUMMYFUNCTION("""COMPUTED_VALUE"""),"MAR E SOL UBA LANCHES, PASTEIS E MARMITEX")</f>
        <v>MAR E SOL UBA LANCHES, PASTEIS E MARMITEX</v>
      </c>
      <c r="L9160" s="32">
        <f>IFERROR(__xludf.DUMMYFUNCTION("""COMPUTED_VALUE"""),1.0)</f>
        <v>1</v>
      </c>
      <c r="M9160" s="4" t="str">
        <f>IFERROR(__xludf.DUMMYFUNCTION("""COMPUTED_VALUE"""),"null")</f>
        <v>null</v>
      </c>
      <c r="N9160" s="33">
        <f>IFERROR(__xludf.DUMMYFUNCTION("""COMPUTED_VALUE"""),1.0)</f>
        <v>1</v>
      </c>
      <c r="O9160" s="4" t="str">
        <f>IFERROR(__xludf.DUMMYFUNCTION("""COMPUTED_VALUE"""),"null")</f>
        <v>null</v>
      </c>
      <c r="P9160" s="33">
        <f>IFERROR(__xludf.DUMMYFUNCTION("""COMPUTED_VALUE"""),1.0)</f>
        <v>1</v>
      </c>
      <c r="Q9160" s="4" t="str">
        <f>IFERROR(__xludf.DUMMYFUNCTION("""COMPUTED_VALUE"""),"null")</f>
        <v>null</v>
      </c>
      <c r="R9160" s="33">
        <f>IFERROR(__xludf.DUMMYFUNCTION("""COMPUTED_VALUE"""),1.0)</f>
        <v>1</v>
      </c>
      <c r="S9160" s="4" t="str">
        <f>IFERROR(__xludf.DUMMYFUNCTION("""COMPUTED_VALUE"""),"null")</f>
        <v>null</v>
      </c>
      <c r="T9160" s="33">
        <f>IFERROR(__xludf.DUMMYFUNCTION("""COMPUTED_VALUE"""),1.0)</f>
        <v>1</v>
      </c>
      <c r="U9160" s="4" t="str">
        <f>IFERROR(__xludf.DUMMYFUNCTION("""COMPUTED_VALUE"""),"Anota Ai Solucoes Digitais S/a")</f>
        <v>Anota Ai Solucoes Digitais S/a</v>
      </c>
      <c r="V9160" s="33">
        <f>IFERROR(__xludf.DUMMYFUNCTION("""COMPUTED_VALUE"""),1.0)</f>
        <v>1</v>
      </c>
      <c r="W9160" s="4" t="str">
        <f>IFERROR(__xludf.DUMMYFUNCTION("""COMPUTED_VALUE"""),"Anota Ai Solucoes Digitais S/a")</f>
        <v>Anota Ai Solucoes Digitais S/a</v>
      </c>
      <c r="X9160" s="33">
        <f>IFERROR(__xludf.DUMMYFUNCTION("""COMPUTED_VALUE"""),1.0)</f>
        <v>1</v>
      </c>
    </row>
    <row r="9161">
      <c r="K9161" s="4" t="str">
        <f>IFERROR(__xludf.DUMMYFUNCTION("""COMPUTED_VALUE"""),"BARBA BURGER")</f>
        <v>BARBA BURGER</v>
      </c>
      <c r="L9161" s="32">
        <f>IFERROR(__xludf.DUMMYFUNCTION("""COMPUTED_VALUE"""),1.0)</f>
        <v>1</v>
      </c>
      <c r="M9161" s="4" t="str">
        <f>IFERROR(__xludf.DUMMYFUNCTION("""COMPUTED_VALUE"""),"Anota Ai Solucoes Digitais S/a")</f>
        <v>Anota Ai Solucoes Digitais S/a</v>
      </c>
      <c r="N9161" s="33">
        <f>IFERROR(__xludf.DUMMYFUNCTION("""COMPUTED_VALUE"""),1.0)</f>
        <v>1</v>
      </c>
      <c r="O9161" s="4" t="str">
        <f>IFERROR(__xludf.DUMMYFUNCTION("""COMPUTED_VALUE"""),"Anota Ai Solucoes Digitais S/a")</f>
        <v>Anota Ai Solucoes Digitais S/a</v>
      </c>
      <c r="P9161" s="33">
        <f>IFERROR(__xludf.DUMMYFUNCTION("""COMPUTED_VALUE"""),1.0)</f>
        <v>1</v>
      </c>
      <c r="Q9161" s="4" t="str">
        <f>IFERROR(__xludf.DUMMYFUNCTION("""COMPUTED_VALUE"""),"Anota Ai Solucoes Digitais S/a")</f>
        <v>Anota Ai Solucoes Digitais S/a</v>
      </c>
      <c r="R9161" s="33">
        <f>IFERROR(__xludf.DUMMYFUNCTION("""COMPUTED_VALUE"""),1.0)</f>
        <v>1</v>
      </c>
      <c r="S9161" s="4" t="str">
        <f>IFERROR(__xludf.DUMMYFUNCTION("""COMPUTED_VALUE"""),"Anota Ai Solucoes Digitais S/a")</f>
        <v>Anota Ai Solucoes Digitais S/a</v>
      </c>
      <c r="T9161" s="33">
        <f>IFERROR(__xludf.DUMMYFUNCTION("""COMPUTED_VALUE"""),1.0)</f>
        <v>1</v>
      </c>
      <c r="U9161" s="4" t="str">
        <f>IFERROR(__xludf.DUMMYFUNCTION("""COMPUTED_VALUE"""),"Anota Ai Solucoes Digitais S/a")</f>
        <v>Anota Ai Solucoes Digitais S/a</v>
      </c>
      <c r="V9161" s="33">
        <f>IFERROR(__xludf.DUMMYFUNCTION("""COMPUTED_VALUE"""),1.0)</f>
        <v>1</v>
      </c>
      <c r="W9161" s="4" t="str">
        <f>IFERROR(__xludf.DUMMYFUNCTION("""COMPUTED_VALUE"""),"Anota Ai Solucoes Digitais S/a")</f>
        <v>Anota Ai Solucoes Digitais S/a</v>
      </c>
      <c r="X9161" s="33">
        <f>IFERROR(__xludf.DUMMYFUNCTION("""COMPUTED_VALUE"""),1.0)</f>
        <v>1</v>
      </c>
    </row>
    <row r="9162">
      <c r="K9162" s="4" t="str">
        <f>IFERROR(__xludf.DUMMYFUNCTION("""COMPUTED_VALUE"""),"ITALIANITOS MACARROES EXPRESS")</f>
        <v>ITALIANITOS MACARROES EXPRESS</v>
      </c>
      <c r="L9162" s="32">
        <f>IFERROR(__xludf.DUMMYFUNCTION("""COMPUTED_VALUE"""),1.0)</f>
        <v>1</v>
      </c>
      <c r="M9162" s="4" t="str">
        <f>IFERROR(__xludf.DUMMYFUNCTION("""COMPUTED_VALUE"""),"Suitable Tecnologia E Gestao")</f>
        <v>Suitable Tecnologia E Gestao</v>
      </c>
      <c r="N9162" s="33">
        <f>IFERROR(__xludf.DUMMYFUNCTION("""COMPUTED_VALUE"""),1.0)</f>
        <v>1</v>
      </c>
      <c r="O9162" s="4" t="str">
        <f>IFERROR(__xludf.DUMMYFUNCTION("""COMPUTED_VALUE"""),"Suitable Tecnologia E Gestao")</f>
        <v>Suitable Tecnologia E Gestao</v>
      </c>
      <c r="P9162" s="33">
        <f>IFERROR(__xludf.DUMMYFUNCTION("""COMPUTED_VALUE"""),1.0)</f>
        <v>1</v>
      </c>
      <c r="Q9162" s="4" t="str">
        <f>IFERROR(__xludf.DUMMYFUNCTION("""COMPUTED_VALUE"""),"Suitable Tecnologia E Gestao")</f>
        <v>Suitable Tecnologia E Gestao</v>
      </c>
      <c r="R9162" s="33">
        <f>IFERROR(__xludf.DUMMYFUNCTION("""COMPUTED_VALUE"""),1.0)</f>
        <v>1</v>
      </c>
      <c r="S9162" s="4" t="str">
        <f>IFERROR(__xludf.DUMMYFUNCTION("""COMPUTED_VALUE"""),"Suitable Tecnologia E Gestao")</f>
        <v>Suitable Tecnologia E Gestao</v>
      </c>
      <c r="T9162" s="33">
        <f>IFERROR(__xludf.DUMMYFUNCTION("""COMPUTED_VALUE"""),1.0)</f>
        <v>1</v>
      </c>
      <c r="U9162" s="4" t="str">
        <f>IFERROR(__xludf.DUMMYFUNCTION("""COMPUTED_VALUE"""),"Suitable Tecnologia E Gestao")</f>
        <v>Suitable Tecnologia E Gestao</v>
      </c>
      <c r="V9162" s="33">
        <f>IFERROR(__xludf.DUMMYFUNCTION("""COMPUTED_VALUE"""),1.0)</f>
        <v>1</v>
      </c>
      <c r="W9162" s="4" t="str">
        <f>IFERROR(__xludf.DUMMYFUNCTION("""COMPUTED_VALUE"""),"Suitable Tecnologia E Gestao")</f>
        <v>Suitable Tecnologia E Gestao</v>
      </c>
      <c r="X9162" s="33">
        <f>IFERROR(__xludf.DUMMYFUNCTION("""COMPUTED_VALUE"""),1.0)</f>
        <v>1</v>
      </c>
    </row>
    <row r="9163">
      <c r="K9163" s="4" t="str">
        <f>IFERROR(__xludf.DUMMYFUNCTION("""COMPUTED_VALUE"""),"SOUZAS LANCHES")</f>
        <v>SOUZAS LANCHES</v>
      </c>
      <c r="L9163" s="32">
        <f>IFERROR(__xludf.DUMMYFUNCTION("""COMPUTED_VALUE"""),1.0)</f>
        <v>1</v>
      </c>
      <c r="M9163" s="4" t="str">
        <f>IFERROR(__xludf.DUMMYFUNCTION("""COMPUTED_VALUE"""),"Anota Ai Solucoes Digitais S/a")</f>
        <v>Anota Ai Solucoes Digitais S/a</v>
      </c>
      <c r="N9163" s="33">
        <f>IFERROR(__xludf.DUMMYFUNCTION("""COMPUTED_VALUE"""),1.0)</f>
        <v>1</v>
      </c>
      <c r="O9163" s="4" t="str">
        <f>IFERROR(__xludf.DUMMYFUNCTION("""COMPUTED_VALUE"""),"Anota Ai Solucoes Digitais S/a")</f>
        <v>Anota Ai Solucoes Digitais S/a</v>
      </c>
      <c r="P9163" s="33">
        <f>IFERROR(__xludf.DUMMYFUNCTION("""COMPUTED_VALUE"""),1.0)</f>
        <v>1</v>
      </c>
      <c r="Q9163" s="4" t="str">
        <f>IFERROR(__xludf.DUMMYFUNCTION("""COMPUTED_VALUE"""),"Anota Ai Solucoes Digitais S/a")</f>
        <v>Anota Ai Solucoes Digitais S/a</v>
      </c>
      <c r="R9163" s="33">
        <f>IFERROR(__xludf.DUMMYFUNCTION("""COMPUTED_VALUE"""),1.0)</f>
        <v>1</v>
      </c>
      <c r="S9163" s="4" t="str">
        <f>IFERROR(__xludf.DUMMYFUNCTION("""COMPUTED_VALUE"""),"Anota Ai Solucoes Digitais S/a")</f>
        <v>Anota Ai Solucoes Digitais S/a</v>
      </c>
      <c r="T9163" s="33">
        <f>IFERROR(__xludf.DUMMYFUNCTION("""COMPUTED_VALUE"""),1.0)</f>
        <v>1</v>
      </c>
      <c r="U9163" s="4" t="str">
        <f>IFERROR(__xludf.DUMMYFUNCTION("""COMPUTED_VALUE"""),"Anota Ai Solucoes Digitais S/a")</f>
        <v>Anota Ai Solucoes Digitais S/a</v>
      </c>
      <c r="V9163" s="33">
        <f>IFERROR(__xludf.DUMMYFUNCTION("""COMPUTED_VALUE"""),1.0)</f>
        <v>1</v>
      </c>
      <c r="W9163" s="4" t="str">
        <f>IFERROR(__xludf.DUMMYFUNCTION("""COMPUTED_VALUE"""),"Anota Ai Solucoes Digitais S/a")</f>
        <v>Anota Ai Solucoes Digitais S/a</v>
      </c>
      <c r="X9163" s="33">
        <f>IFERROR(__xludf.DUMMYFUNCTION("""COMPUTED_VALUE"""),1.0)</f>
        <v>1</v>
      </c>
    </row>
    <row r="9164">
      <c r="K9164" s="4" t="str">
        <f>IFERROR(__xludf.DUMMYFUNCTION("""COMPUTED_VALUE"""),"WK")</f>
        <v>WK</v>
      </c>
      <c r="L9164" s="32">
        <f>IFERROR(__xludf.DUMMYFUNCTION("""COMPUTED_VALUE"""),1.0)</f>
        <v>1</v>
      </c>
      <c r="M9164" s="4" t="str">
        <f>IFERROR(__xludf.DUMMYFUNCTION("""COMPUTED_VALUE"""),"Saipos Serviços De Software")</f>
        <v>Saipos Serviços De Software</v>
      </c>
      <c r="N9164" s="33">
        <f>IFERROR(__xludf.DUMMYFUNCTION("""COMPUTED_VALUE"""),1.0)</f>
        <v>1</v>
      </c>
      <c r="O9164" s="4" t="str">
        <f>IFERROR(__xludf.DUMMYFUNCTION("""COMPUTED_VALUE"""),"Saipos Serviços De Software")</f>
        <v>Saipos Serviços De Software</v>
      </c>
      <c r="P9164" s="33">
        <f>IFERROR(__xludf.DUMMYFUNCTION("""COMPUTED_VALUE"""),1.0)</f>
        <v>1</v>
      </c>
      <c r="Q9164" s="4" t="str">
        <f>IFERROR(__xludf.DUMMYFUNCTION("""COMPUTED_VALUE"""),"Saipos Serviços De Software")</f>
        <v>Saipos Serviços De Software</v>
      </c>
      <c r="R9164" s="33">
        <f>IFERROR(__xludf.DUMMYFUNCTION("""COMPUTED_VALUE"""),1.0)</f>
        <v>1</v>
      </c>
      <c r="S9164" s="4" t="str">
        <f>IFERROR(__xludf.DUMMYFUNCTION("""COMPUTED_VALUE"""),"null")</f>
        <v>null</v>
      </c>
      <c r="T9164" s="33">
        <f>IFERROR(__xludf.DUMMYFUNCTION("""COMPUTED_VALUE"""),1.0)</f>
        <v>1</v>
      </c>
      <c r="U9164" s="4" t="str">
        <f>IFERROR(__xludf.DUMMYFUNCTION("""COMPUTED_VALUE"""),"null")</f>
        <v>null</v>
      </c>
      <c r="V9164" s="33">
        <f>IFERROR(__xludf.DUMMYFUNCTION("""COMPUTED_VALUE"""),1.0)</f>
        <v>1</v>
      </c>
      <c r="W9164" s="4" t="str">
        <f>IFERROR(__xludf.DUMMYFUNCTION("""COMPUTED_VALUE"""),"null")</f>
        <v>null</v>
      </c>
      <c r="X9164" s="33">
        <f>IFERROR(__xludf.DUMMYFUNCTION("""COMPUTED_VALUE"""),1.0)</f>
        <v>1</v>
      </c>
    </row>
    <row r="9165">
      <c r="K9165" s="4" t="str">
        <f>IFERROR(__xludf.DUMMYFUNCTION("""COMPUTED_VALUE"""),"ACAI DA DILLA")</f>
        <v>ACAI DA DILLA</v>
      </c>
      <c r="L9165" s="32">
        <f>IFERROR(__xludf.DUMMYFUNCTION("""COMPUTED_VALUE"""),1.0)</f>
        <v>1</v>
      </c>
      <c r="M9165" s="4" t="str">
        <f>IFERROR(__xludf.DUMMYFUNCTION("""COMPUTED_VALUE"""),"null")</f>
        <v>null</v>
      </c>
      <c r="N9165" s="33">
        <f>IFERROR(__xludf.DUMMYFUNCTION("""COMPUTED_VALUE"""),1.0)</f>
        <v>1</v>
      </c>
      <c r="O9165" s="4" t="str">
        <f>IFERROR(__xludf.DUMMYFUNCTION("""COMPUTED_VALUE"""),"Saipos Serviços De Software")</f>
        <v>Saipos Serviços De Software</v>
      </c>
      <c r="P9165" s="33">
        <f>IFERROR(__xludf.DUMMYFUNCTION("""COMPUTED_VALUE"""),1.0)</f>
        <v>1</v>
      </c>
      <c r="Q9165" s="4" t="str">
        <f>IFERROR(__xludf.DUMMYFUNCTION("""COMPUTED_VALUE"""),"null")</f>
        <v>null</v>
      </c>
      <c r="R9165" s="33">
        <f>IFERROR(__xludf.DUMMYFUNCTION("""COMPUTED_VALUE"""),1.0)</f>
        <v>1</v>
      </c>
      <c r="S9165" s="4" t="str">
        <f>IFERROR(__xludf.DUMMYFUNCTION("""COMPUTED_VALUE"""),"null")</f>
        <v>null</v>
      </c>
      <c r="T9165" s="33">
        <f>IFERROR(__xludf.DUMMYFUNCTION("""COMPUTED_VALUE"""),1.0)</f>
        <v>1</v>
      </c>
      <c r="U9165" s="4" t="str">
        <f>IFERROR(__xludf.DUMMYFUNCTION("""COMPUTED_VALUE"""),"null")</f>
        <v>null</v>
      </c>
      <c r="V9165" s="33">
        <f>IFERROR(__xludf.DUMMYFUNCTION("""COMPUTED_VALUE"""),1.0)</f>
        <v>1</v>
      </c>
      <c r="W9165" s="4" t="str">
        <f>IFERROR(__xludf.DUMMYFUNCTION("""COMPUTED_VALUE"""),"null")</f>
        <v>null</v>
      </c>
      <c r="X9165" s="33">
        <f>IFERROR(__xludf.DUMMYFUNCTION("""COMPUTED_VALUE"""),1.0)</f>
        <v>1</v>
      </c>
    </row>
    <row r="9166">
      <c r="K9166" s="4" t="str">
        <f>IFERROR(__xludf.DUMMYFUNCTION("""COMPUTED_VALUE"""),"COMPRE CERTO GRAND VILLE")</f>
        <v>COMPRE CERTO GRAND VILLE</v>
      </c>
      <c r="L9166" s="32">
        <f>IFERROR(__xludf.DUMMYFUNCTION("""COMPUTED_VALUE"""),1.0)</f>
        <v>1</v>
      </c>
      <c r="M9166" s="4" t="str">
        <f>IFERROR(__xludf.DUMMYFUNCTION("""COMPUTED_VALUE"""),"N/A (Not found)")</f>
        <v>N/A (Not found)</v>
      </c>
      <c r="N9166" s="33">
        <f>IFERROR(__xludf.DUMMYFUNCTION("""COMPUTED_VALUE"""),1.0)</f>
        <v>1</v>
      </c>
      <c r="O9166" s="4" t="str">
        <f>IFERROR(__xludf.DUMMYFUNCTION("""COMPUTED_VALUE"""),"N/A (Not found)")</f>
        <v>N/A (Not found)</v>
      </c>
      <c r="P9166" s="33">
        <f>IFERROR(__xludf.DUMMYFUNCTION("""COMPUTED_VALUE"""),1.0)</f>
        <v>1</v>
      </c>
      <c r="Q9166" s="4" t="str">
        <f>IFERROR(__xludf.DUMMYFUNCTION("""COMPUTED_VALUE"""),"N/A (Not found)")</f>
        <v>N/A (Not found)</v>
      </c>
      <c r="R9166" s="33">
        <f>IFERROR(__xludf.DUMMYFUNCTION("""COMPUTED_VALUE"""),1.0)</f>
        <v>1</v>
      </c>
      <c r="S9166" s="4" t="str">
        <f>IFERROR(__xludf.DUMMYFUNCTION("""COMPUTED_VALUE"""),"N/A (Not found)")</f>
        <v>N/A (Not found)</v>
      </c>
      <c r="T9166" s="33">
        <f>IFERROR(__xludf.DUMMYFUNCTION("""COMPUTED_VALUE"""),1.0)</f>
        <v>1</v>
      </c>
      <c r="U9166" s="4" t="str">
        <f>IFERROR(__xludf.DUMMYFUNCTION("""COMPUTED_VALUE"""),"null")</f>
        <v>null</v>
      </c>
      <c r="V9166" s="33">
        <f>IFERROR(__xludf.DUMMYFUNCTION("""COMPUTED_VALUE"""),1.0)</f>
        <v>1</v>
      </c>
      <c r="W9166" s="4" t="str">
        <f>IFERROR(__xludf.DUMMYFUNCTION("""COMPUTED_VALUE"""),"null")</f>
        <v>null</v>
      </c>
      <c r="X9166" s="33">
        <f>IFERROR(__xludf.DUMMYFUNCTION("""COMPUTED_VALUE"""),1.0)</f>
        <v>1</v>
      </c>
    </row>
    <row r="9167">
      <c r="K9167" s="4" t="str">
        <f>IFERROR(__xludf.DUMMYFUNCTION("""COMPUTED_VALUE"""),"CORUJAO LANCHE")</f>
        <v>CORUJAO LANCHE</v>
      </c>
      <c r="L9167" s="32">
        <f>IFERROR(__xludf.DUMMYFUNCTION("""COMPUTED_VALUE"""),1.0)</f>
        <v>1</v>
      </c>
      <c r="M9167" s="4" t="str">
        <f>IFERROR(__xludf.DUMMYFUNCTION("""COMPUTED_VALUE"""),"Consumer Soluções Em Tecnologia Ltda")</f>
        <v>Consumer Soluções Em Tecnologia Ltda</v>
      </c>
      <c r="N9167" s="33">
        <f>IFERROR(__xludf.DUMMYFUNCTION("""COMPUTED_VALUE"""),1.0)</f>
        <v>1</v>
      </c>
      <c r="O9167" s="4" t="str">
        <f>IFERROR(__xludf.DUMMYFUNCTION("""COMPUTED_VALUE"""),"Consumer Soluções Em Tecnologia Ltda")</f>
        <v>Consumer Soluções Em Tecnologia Ltda</v>
      </c>
      <c r="P9167" s="33">
        <f>IFERROR(__xludf.DUMMYFUNCTION("""COMPUTED_VALUE"""),1.0)</f>
        <v>1</v>
      </c>
      <c r="Q9167" s="4" t="str">
        <f>IFERROR(__xludf.DUMMYFUNCTION("""COMPUTED_VALUE"""),"Consumer Soluções Em Tecnologia Ltda")</f>
        <v>Consumer Soluções Em Tecnologia Ltda</v>
      </c>
      <c r="R9167" s="33">
        <f>IFERROR(__xludf.DUMMYFUNCTION("""COMPUTED_VALUE"""),1.0)</f>
        <v>1</v>
      </c>
      <c r="S9167" s="4" t="str">
        <f>IFERROR(__xludf.DUMMYFUNCTION("""COMPUTED_VALUE"""),"Consumer Soluções Em Tecnologia Ltda")</f>
        <v>Consumer Soluções Em Tecnologia Ltda</v>
      </c>
      <c r="T9167" s="33">
        <f>IFERROR(__xludf.DUMMYFUNCTION("""COMPUTED_VALUE"""),1.0)</f>
        <v>1</v>
      </c>
      <c r="U9167" s="4" t="str">
        <f>IFERROR(__xludf.DUMMYFUNCTION("""COMPUTED_VALUE"""),"Consumer Soluções Em Tecnologia Ltda")</f>
        <v>Consumer Soluções Em Tecnologia Ltda</v>
      </c>
      <c r="V9167" s="33">
        <f>IFERROR(__xludf.DUMMYFUNCTION("""COMPUTED_VALUE"""),1.0)</f>
        <v>1</v>
      </c>
      <c r="W9167" s="4" t="str">
        <f>IFERROR(__xludf.DUMMYFUNCTION("""COMPUTED_VALUE"""),"Consumer Soluções Em Tecnologia Ltda")</f>
        <v>Consumer Soluções Em Tecnologia Ltda</v>
      </c>
      <c r="X9167" s="33">
        <f>IFERROR(__xludf.DUMMYFUNCTION("""COMPUTED_VALUE"""),1.0)</f>
        <v>1</v>
      </c>
    </row>
    <row r="9168">
      <c r="K9168" s="4" t="str">
        <f>IFERROR(__xludf.DUMMYFUNCTION("""COMPUTED_VALUE"""),"ROCK MASSA BURGUERS")</f>
        <v>ROCK MASSA BURGUERS</v>
      </c>
      <c r="L9168" s="32">
        <f>IFERROR(__xludf.DUMMYFUNCTION("""COMPUTED_VALUE"""),1.0)</f>
        <v>1</v>
      </c>
      <c r="M9168" s="4" t="str">
        <f>IFERROR(__xludf.DUMMYFUNCTION("""COMPUTED_VALUE"""),"null")</f>
        <v>null</v>
      </c>
      <c r="N9168" s="33">
        <f>IFERROR(__xludf.DUMMYFUNCTION("""COMPUTED_VALUE"""),1.0)</f>
        <v>1</v>
      </c>
      <c r="O9168" s="4" t="str">
        <f>IFERROR(__xludf.DUMMYFUNCTION("""COMPUTED_VALUE"""),"null")</f>
        <v>null</v>
      </c>
      <c r="P9168" s="33">
        <f>IFERROR(__xludf.DUMMYFUNCTION("""COMPUTED_VALUE"""),1.0)</f>
        <v>1</v>
      </c>
      <c r="Q9168" s="4" t="str">
        <f>IFERROR(__xludf.DUMMYFUNCTION("""COMPUTED_VALUE"""),"null")</f>
        <v>null</v>
      </c>
      <c r="R9168" s="33">
        <f>IFERROR(__xludf.DUMMYFUNCTION("""COMPUTED_VALUE"""),1.0)</f>
        <v>1</v>
      </c>
      <c r="S9168" s="4" t="str">
        <f>IFERROR(__xludf.DUMMYFUNCTION("""COMPUTED_VALUE"""),"null")</f>
        <v>null</v>
      </c>
      <c r="T9168" s="33">
        <f>IFERROR(__xludf.DUMMYFUNCTION("""COMPUTED_VALUE"""),1.0)</f>
        <v>1</v>
      </c>
      <c r="U9168" s="4" t="str">
        <f>IFERROR(__xludf.DUMMYFUNCTION("""COMPUTED_VALUE"""),"Instadelivery")</f>
        <v>Instadelivery</v>
      </c>
      <c r="V9168" s="33">
        <f>IFERROR(__xludf.DUMMYFUNCTION("""COMPUTED_VALUE"""),1.0)</f>
        <v>1</v>
      </c>
      <c r="W9168" s="4" t="str">
        <f>IFERROR(__xludf.DUMMYFUNCTION("""COMPUTED_VALUE"""),"Instadelivery")</f>
        <v>Instadelivery</v>
      </c>
      <c r="X9168" s="33">
        <f>IFERROR(__xludf.DUMMYFUNCTION("""COMPUTED_VALUE"""),1.0)</f>
        <v>1</v>
      </c>
    </row>
    <row r="9169">
      <c r="K9169" s="4" t="str">
        <f>IFERROR(__xludf.DUMMYFUNCTION("""COMPUTED_VALUE"""),"PIZZARIA NOVA FILADELFIA")</f>
        <v>PIZZARIA NOVA FILADELFIA</v>
      </c>
      <c r="L9169" s="32">
        <f>IFERROR(__xludf.DUMMYFUNCTION("""COMPUTED_VALUE"""),1.0)</f>
        <v>1</v>
      </c>
      <c r="M9169" s="4" t="str">
        <f>IFERROR(__xludf.DUMMYFUNCTION("""COMPUTED_VALUE"""),"Latech Informatica Ltda")</f>
        <v>Latech Informatica Ltda</v>
      </c>
      <c r="N9169" s="33">
        <f>IFERROR(__xludf.DUMMYFUNCTION("""COMPUTED_VALUE"""),1.0)</f>
        <v>1</v>
      </c>
      <c r="O9169" s="4" t="str">
        <f>IFERROR(__xludf.DUMMYFUNCTION("""COMPUTED_VALUE"""),"Latech Informatica Ltda")</f>
        <v>Latech Informatica Ltda</v>
      </c>
      <c r="P9169" s="33">
        <f>IFERROR(__xludf.DUMMYFUNCTION("""COMPUTED_VALUE"""),1.0)</f>
        <v>1</v>
      </c>
      <c r="Q9169" s="4" t="str">
        <f>IFERROR(__xludf.DUMMYFUNCTION("""COMPUTED_VALUE"""),"Latech Informatica Ltda")</f>
        <v>Latech Informatica Ltda</v>
      </c>
      <c r="R9169" s="33">
        <f>IFERROR(__xludf.DUMMYFUNCTION("""COMPUTED_VALUE"""),1.0)</f>
        <v>1</v>
      </c>
      <c r="S9169" s="4" t="str">
        <f>IFERROR(__xludf.DUMMYFUNCTION("""COMPUTED_VALUE"""),"Latech Informatica Ltda")</f>
        <v>Latech Informatica Ltda</v>
      </c>
      <c r="T9169" s="33">
        <f>IFERROR(__xludf.DUMMYFUNCTION("""COMPUTED_VALUE"""),1.0)</f>
        <v>1</v>
      </c>
      <c r="U9169" s="4" t="str">
        <f>IFERROR(__xludf.DUMMYFUNCTION("""COMPUTED_VALUE"""),"Latech Informatica Ltda")</f>
        <v>Latech Informatica Ltda</v>
      </c>
      <c r="V9169" s="33">
        <f>IFERROR(__xludf.DUMMYFUNCTION("""COMPUTED_VALUE"""),1.0)</f>
        <v>1</v>
      </c>
      <c r="W9169" s="4" t="str">
        <f>IFERROR(__xludf.DUMMYFUNCTION("""COMPUTED_VALUE"""),"Latech Informatica Ltda")</f>
        <v>Latech Informatica Ltda</v>
      </c>
      <c r="X9169" s="33">
        <f>IFERROR(__xludf.DUMMYFUNCTION("""COMPUTED_VALUE"""),1.0)</f>
        <v>1</v>
      </c>
    </row>
    <row r="9170">
      <c r="K9170" s="4" t="str">
        <f>IFERROR(__xludf.DUMMYFUNCTION("""COMPUTED_VALUE"""),"FLORICULTURA RAQUEL FLORES")</f>
        <v>FLORICULTURA RAQUEL FLORES</v>
      </c>
      <c r="L9170" s="32">
        <f>IFERROR(__xludf.DUMMYFUNCTION("""COMPUTED_VALUE"""),1.0)</f>
        <v>1</v>
      </c>
      <c r="M9170" s="4" t="str">
        <f>IFERROR(__xludf.DUMMYFUNCTION("""COMPUTED_VALUE"""),"N/A (Not found)")</f>
        <v>N/A (Not found)</v>
      </c>
      <c r="N9170" s="33">
        <f>IFERROR(__xludf.DUMMYFUNCTION("""COMPUTED_VALUE"""),1.0)</f>
        <v>1</v>
      </c>
      <c r="O9170" s="4" t="str">
        <f>IFERROR(__xludf.DUMMYFUNCTION("""COMPUTED_VALUE"""),"N/A (Not found)")</f>
        <v>N/A (Not found)</v>
      </c>
      <c r="P9170" s="33">
        <f>IFERROR(__xludf.DUMMYFUNCTION("""COMPUTED_VALUE"""),1.0)</f>
        <v>1</v>
      </c>
      <c r="Q9170" s="4" t="str">
        <f>IFERROR(__xludf.DUMMYFUNCTION("""COMPUTED_VALUE"""),"N/A (Not found)")</f>
        <v>N/A (Not found)</v>
      </c>
      <c r="R9170" s="33">
        <f>IFERROR(__xludf.DUMMYFUNCTION("""COMPUTED_VALUE"""),1.0)</f>
        <v>1</v>
      </c>
      <c r="S9170" s="4" t="str">
        <f>IFERROR(__xludf.DUMMYFUNCTION("""COMPUTED_VALUE"""),"null")</f>
        <v>null</v>
      </c>
      <c r="T9170" s="33">
        <f>IFERROR(__xludf.DUMMYFUNCTION("""COMPUTED_VALUE"""),1.0)</f>
        <v>1</v>
      </c>
      <c r="U9170" s="4" t="str">
        <f>IFERROR(__xludf.DUMMYFUNCTION("""COMPUTED_VALUE"""),"null")</f>
        <v>null</v>
      </c>
      <c r="V9170" s="33">
        <f>IFERROR(__xludf.DUMMYFUNCTION("""COMPUTED_VALUE"""),1.0)</f>
        <v>1</v>
      </c>
      <c r="W9170" s="4" t="str">
        <f>IFERROR(__xludf.DUMMYFUNCTION("""COMPUTED_VALUE"""),"null")</f>
        <v>null</v>
      </c>
      <c r="X9170" s="33">
        <f>IFERROR(__xludf.DUMMYFUNCTION("""COMPUTED_VALUE"""),1.0)</f>
        <v>1</v>
      </c>
    </row>
    <row r="9171">
      <c r="K9171" s="4" t="str">
        <f>IFERROR(__xludf.DUMMYFUNCTION("""COMPUTED_VALUE"""),"CARNE BRAZA RESTAURANTE")</f>
        <v>CARNE BRAZA RESTAURANTE</v>
      </c>
      <c r="L9171" s="32">
        <f>IFERROR(__xludf.DUMMYFUNCTION("""COMPUTED_VALUE"""),1.0)</f>
        <v>1</v>
      </c>
      <c r="M9171" s="4" t="str">
        <f>IFERROR(__xludf.DUMMYFUNCTION("""COMPUTED_VALUE"""),"Consumer Soluções Em Tecnologia Ltda")</f>
        <v>Consumer Soluções Em Tecnologia Ltda</v>
      </c>
      <c r="N9171" s="33">
        <f>IFERROR(__xludf.DUMMYFUNCTION("""COMPUTED_VALUE"""),1.0)</f>
        <v>1</v>
      </c>
      <c r="O9171" s="4" t="str">
        <f>IFERROR(__xludf.DUMMYFUNCTION("""COMPUTED_VALUE"""),"null")</f>
        <v>null</v>
      </c>
      <c r="P9171" s="33">
        <f>IFERROR(__xludf.DUMMYFUNCTION("""COMPUTED_VALUE"""),1.0)</f>
        <v>1</v>
      </c>
      <c r="Q9171" s="4" t="str">
        <f>IFERROR(__xludf.DUMMYFUNCTION("""COMPUTED_VALUE"""),"null")</f>
        <v>null</v>
      </c>
      <c r="R9171" s="33">
        <f>IFERROR(__xludf.DUMMYFUNCTION("""COMPUTED_VALUE"""),1.0)</f>
        <v>1</v>
      </c>
      <c r="S9171" s="4" t="str">
        <f>IFERROR(__xludf.DUMMYFUNCTION("""COMPUTED_VALUE"""),"null")</f>
        <v>null</v>
      </c>
      <c r="T9171" s="33">
        <f>IFERROR(__xludf.DUMMYFUNCTION("""COMPUTED_VALUE"""),1.0)</f>
        <v>1</v>
      </c>
      <c r="U9171" s="4" t="str">
        <f>IFERROR(__xludf.DUMMYFUNCTION("""COMPUTED_VALUE"""),"null")</f>
        <v>null</v>
      </c>
      <c r="V9171" s="33">
        <f>IFERROR(__xludf.DUMMYFUNCTION("""COMPUTED_VALUE"""),1.0)</f>
        <v>1</v>
      </c>
      <c r="W9171" s="4" t="str">
        <f>IFERROR(__xludf.DUMMYFUNCTION("""COMPUTED_VALUE"""),"null")</f>
        <v>null</v>
      </c>
      <c r="X9171" s="33">
        <f>IFERROR(__xludf.DUMMYFUNCTION("""COMPUTED_VALUE"""),1.0)</f>
        <v>1</v>
      </c>
    </row>
    <row r="9172">
      <c r="K9172" s="4" t="str">
        <f>IFERROR(__xludf.DUMMYFUNCTION("""COMPUTED_VALUE"""),"ARMAZEM DA ESQUINA GASTROBAR PETISCOS")</f>
        <v>ARMAZEM DA ESQUINA GASTROBAR PETISCOS</v>
      </c>
      <c r="L9172" s="32">
        <f>IFERROR(__xludf.DUMMYFUNCTION("""COMPUTED_VALUE"""),1.0)</f>
        <v>1</v>
      </c>
      <c r="M9172" s="4" t="str">
        <f>IFERROR(__xludf.DUMMYFUNCTION("""COMPUTED_VALUE"""),"Saipos Serviços De Software")</f>
        <v>Saipos Serviços De Software</v>
      </c>
      <c r="N9172" s="33">
        <f>IFERROR(__xludf.DUMMYFUNCTION("""COMPUTED_VALUE"""),1.0)</f>
        <v>1</v>
      </c>
      <c r="O9172" s="4" t="str">
        <f>IFERROR(__xludf.DUMMYFUNCTION("""COMPUTED_VALUE"""),"Saipos Serviços De Software")</f>
        <v>Saipos Serviços De Software</v>
      </c>
      <c r="P9172" s="33">
        <f>IFERROR(__xludf.DUMMYFUNCTION("""COMPUTED_VALUE"""),1.0)</f>
        <v>1</v>
      </c>
      <c r="Q9172" s="4" t="str">
        <f>IFERROR(__xludf.DUMMYFUNCTION("""COMPUTED_VALUE"""),"Saipos Serviços De Software")</f>
        <v>Saipos Serviços De Software</v>
      </c>
      <c r="R9172" s="33">
        <f>IFERROR(__xludf.DUMMYFUNCTION("""COMPUTED_VALUE"""),1.0)</f>
        <v>1</v>
      </c>
      <c r="S9172" s="4" t="str">
        <f>IFERROR(__xludf.DUMMYFUNCTION("""COMPUTED_VALUE"""),"Saipos Serviços De Software")</f>
        <v>Saipos Serviços De Software</v>
      </c>
      <c r="T9172" s="33">
        <f>IFERROR(__xludf.DUMMYFUNCTION("""COMPUTED_VALUE"""),1.0)</f>
        <v>1</v>
      </c>
      <c r="U9172" s="4" t="str">
        <f>IFERROR(__xludf.DUMMYFUNCTION("""COMPUTED_VALUE"""),"Saipos Serviços De Software")</f>
        <v>Saipos Serviços De Software</v>
      </c>
      <c r="V9172" s="33">
        <f>IFERROR(__xludf.DUMMYFUNCTION("""COMPUTED_VALUE"""),1.0)</f>
        <v>1</v>
      </c>
      <c r="W9172" s="4" t="str">
        <f>IFERROR(__xludf.DUMMYFUNCTION("""COMPUTED_VALUE"""),"Saipos Serviços De Software")</f>
        <v>Saipos Serviços De Software</v>
      </c>
      <c r="X9172" s="33">
        <f>IFERROR(__xludf.DUMMYFUNCTION("""COMPUTED_VALUE"""),1.0)</f>
        <v>1</v>
      </c>
    </row>
    <row r="9173">
      <c r="K9173" s="4" t="str">
        <f>IFERROR(__xludf.DUMMYFUNCTION("""COMPUTED_VALUE"""),"KCHURRASCO DO GUTO")</f>
        <v>KCHURRASCO DO GUTO</v>
      </c>
      <c r="L9173" s="32">
        <f>IFERROR(__xludf.DUMMYFUNCTION("""COMPUTED_VALUE"""),1.0)</f>
        <v>1</v>
      </c>
      <c r="M9173" s="4" t="str">
        <f>IFERROR(__xludf.DUMMYFUNCTION("""COMPUTED_VALUE"""),"null")</f>
        <v>null</v>
      </c>
      <c r="N9173" s="33">
        <f>IFERROR(__xludf.DUMMYFUNCTION("""COMPUTED_VALUE"""),1.0)</f>
        <v>1</v>
      </c>
      <c r="O9173" s="4" t="str">
        <f>IFERROR(__xludf.DUMMYFUNCTION("""COMPUTED_VALUE"""),"null")</f>
        <v>null</v>
      </c>
      <c r="P9173" s="33">
        <f>IFERROR(__xludf.DUMMYFUNCTION("""COMPUTED_VALUE"""),1.0)</f>
        <v>1</v>
      </c>
      <c r="Q9173" s="4" t="str">
        <f>IFERROR(__xludf.DUMMYFUNCTION("""COMPUTED_VALUE"""),"null")</f>
        <v>null</v>
      </c>
      <c r="R9173" s="33">
        <f>IFERROR(__xludf.DUMMYFUNCTION("""COMPUTED_VALUE"""),1.0)</f>
        <v>1</v>
      </c>
      <c r="S9173" s="4" t="str">
        <f>IFERROR(__xludf.DUMMYFUNCTION("""COMPUTED_VALUE"""),"null")</f>
        <v>null</v>
      </c>
      <c r="T9173" s="33">
        <f>IFERROR(__xludf.DUMMYFUNCTION("""COMPUTED_VALUE"""),1.0)</f>
        <v>1</v>
      </c>
      <c r="U9173" s="4" t="str">
        <f>IFERROR(__xludf.DUMMYFUNCTION("""COMPUTED_VALUE"""),"Anota Ai Solucoes Digitais S/a")</f>
        <v>Anota Ai Solucoes Digitais S/a</v>
      </c>
      <c r="V9173" s="33">
        <f>IFERROR(__xludf.DUMMYFUNCTION("""COMPUTED_VALUE"""),1.0)</f>
        <v>1</v>
      </c>
      <c r="W9173" s="4" t="str">
        <f>IFERROR(__xludf.DUMMYFUNCTION("""COMPUTED_VALUE"""),"null")</f>
        <v>null</v>
      </c>
      <c r="X9173" s="33">
        <f>IFERROR(__xludf.DUMMYFUNCTION("""COMPUTED_VALUE"""),1.0)</f>
        <v>1</v>
      </c>
    </row>
    <row r="9174">
      <c r="K9174" s="4" t="str">
        <f>IFERROR(__xludf.DUMMYFUNCTION("""COMPUTED_VALUE"""),"BRODIS BURGER")</f>
        <v>BRODIS BURGER</v>
      </c>
      <c r="L9174" s="32">
        <f>IFERROR(__xludf.DUMMYFUNCTION("""COMPUTED_VALUE"""),1.0)</f>
        <v>1</v>
      </c>
      <c r="M9174" s="4" t="str">
        <f>IFERROR(__xludf.DUMMYFUNCTION("""COMPUTED_VALUE"""),"Brendi")</f>
        <v>Brendi</v>
      </c>
      <c r="N9174" s="33">
        <f>IFERROR(__xludf.DUMMYFUNCTION("""COMPUTED_VALUE"""),1.0)</f>
        <v>1</v>
      </c>
      <c r="O9174" s="4" t="str">
        <f>IFERROR(__xludf.DUMMYFUNCTION("""COMPUTED_VALUE"""),"null")</f>
        <v>null</v>
      </c>
      <c r="P9174" s="33">
        <f>IFERROR(__xludf.DUMMYFUNCTION("""COMPUTED_VALUE"""),1.0)</f>
        <v>1</v>
      </c>
      <c r="Q9174" s="4" t="str">
        <f>IFERROR(__xludf.DUMMYFUNCTION("""COMPUTED_VALUE"""),"null")</f>
        <v>null</v>
      </c>
      <c r="R9174" s="33">
        <f>IFERROR(__xludf.DUMMYFUNCTION("""COMPUTED_VALUE"""),1.0)</f>
        <v>1</v>
      </c>
      <c r="S9174" s="4" t="str">
        <f>IFERROR(__xludf.DUMMYFUNCTION("""COMPUTED_VALUE"""),"null")</f>
        <v>null</v>
      </c>
      <c r="T9174" s="33">
        <f>IFERROR(__xludf.DUMMYFUNCTION("""COMPUTED_VALUE"""),1.0)</f>
        <v>1</v>
      </c>
      <c r="U9174" s="4" t="str">
        <f>IFERROR(__xludf.DUMMYFUNCTION("""COMPUTED_VALUE"""),"Brendi")</f>
        <v>Brendi</v>
      </c>
      <c r="V9174" s="33">
        <f>IFERROR(__xludf.DUMMYFUNCTION("""COMPUTED_VALUE"""),1.0)</f>
        <v>1</v>
      </c>
      <c r="W9174" s="4" t="str">
        <f>IFERROR(__xludf.DUMMYFUNCTION("""COMPUTED_VALUE"""),"Brendi")</f>
        <v>Brendi</v>
      </c>
      <c r="X9174" s="33">
        <f>IFERROR(__xludf.DUMMYFUNCTION("""COMPUTED_VALUE"""),1.0)</f>
        <v>1</v>
      </c>
    </row>
    <row r="9175">
      <c r="K9175" s="4" t="str">
        <f>IFERROR(__xludf.DUMMYFUNCTION("""COMPUTED_VALUE"""),"DONA FELICIDADE BAR RESTAURANTE")</f>
        <v>DONA FELICIDADE BAR RESTAURANTE</v>
      </c>
      <c r="L9175" s="32">
        <f>IFERROR(__xludf.DUMMYFUNCTION("""COMPUTED_VALUE"""),1.0)</f>
        <v>1</v>
      </c>
      <c r="M9175" s="4" t="str">
        <f>IFERROR(__xludf.DUMMYFUNCTION("""COMPUTED_VALUE"""),"Cheff Solutions Tecnologia Brasil")</f>
        <v>Cheff Solutions Tecnologia Brasil</v>
      </c>
      <c r="N9175" s="33">
        <f>IFERROR(__xludf.DUMMYFUNCTION("""COMPUTED_VALUE"""),1.0)</f>
        <v>1</v>
      </c>
      <c r="O9175" s="4" t="str">
        <f>IFERROR(__xludf.DUMMYFUNCTION("""COMPUTED_VALUE"""),"Cheff Solutions Tecnologia Brasil")</f>
        <v>Cheff Solutions Tecnologia Brasil</v>
      </c>
      <c r="P9175" s="33">
        <f>IFERROR(__xludf.DUMMYFUNCTION("""COMPUTED_VALUE"""),1.0)</f>
        <v>1</v>
      </c>
      <c r="Q9175" s="4" t="str">
        <f>IFERROR(__xludf.DUMMYFUNCTION("""COMPUTED_VALUE"""),"Cheff Solutions Tecnologia Brasil")</f>
        <v>Cheff Solutions Tecnologia Brasil</v>
      </c>
      <c r="R9175" s="33">
        <f>IFERROR(__xludf.DUMMYFUNCTION("""COMPUTED_VALUE"""),1.0)</f>
        <v>1</v>
      </c>
      <c r="S9175" s="4" t="str">
        <f>IFERROR(__xludf.DUMMYFUNCTION("""COMPUTED_VALUE"""),"Cheff Solutions Tecnologia Brasil")</f>
        <v>Cheff Solutions Tecnologia Brasil</v>
      </c>
      <c r="T9175" s="33">
        <f>IFERROR(__xludf.DUMMYFUNCTION("""COMPUTED_VALUE"""),1.0)</f>
        <v>1</v>
      </c>
      <c r="U9175" s="4" t="str">
        <f>IFERROR(__xludf.DUMMYFUNCTION("""COMPUTED_VALUE"""),"Cheff Solutions Tecnologia Brasil")</f>
        <v>Cheff Solutions Tecnologia Brasil</v>
      </c>
      <c r="V9175" s="33">
        <f>IFERROR(__xludf.DUMMYFUNCTION("""COMPUTED_VALUE"""),1.0)</f>
        <v>1</v>
      </c>
      <c r="W9175" s="4" t="str">
        <f>IFERROR(__xludf.DUMMYFUNCTION("""COMPUTED_VALUE"""),"Cheff Solutions Tecnologia Brasil")</f>
        <v>Cheff Solutions Tecnologia Brasil</v>
      </c>
      <c r="X9175" s="33">
        <f>IFERROR(__xludf.DUMMYFUNCTION("""COMPUTED_VALUE"""),1.0)</f>
        <v>1</v>
      </c>
    </row>
    <row r="9176">
      <c r="K9176" s="4" t="str">
        <f>IFERROR(__xludf.DUMMYFUNCTION("""COMPUTED_VALUE"""),"CS PIZZAS - PIZZARIA")</f>
        <v>CS PIZZAS - PIZZARIA</v>
      </c>
      <c r="L9176" s="32">
        <f>IFERROR(__xludf.DUMMYFUNCTION("""COMPUTED_VALUE"""),1.0)</f>
        <v>1</v>
      </c>
      <c r="M9176" s="4" t="str">
        <f>IFERROR(__xludf.DUMMYFUNCTION("""COMPUTED_VALUE"""),"Instadelivery")</f>
        <v>Instadelivery</v>
      </c>
      <c r="N9176" s="33">
        <f>IFERROR(__xludf.DUMMYFUNCTION("""COMPUTED_VALUE"""),1.0)</f>
        <v>1</v>
      </c>
      <c r="O9176" s="4" t="str">
        <f>IFERROR(__xludf.DUMMYFUNCTION("""COMPUTED_VALUE"""),"Instadelivery")</f>
        <v>Instadelivery</v>
      </c>
      <c r="P9176" s="33">
        <f>IFERROR(__xludf.DUMMYFUNCTION("""COMPUTED_VALUE"""),1.0)</f>
        <v>1</v>
      </c>
      <c r="Q9176" s="4" t="str">
        <f>IFERROR(__xludf.DUMMYFUNCTION("""COMPUTED_VALUE"""),"Instadelivery")</f>
        <v>Instadelivery</v>
      </c>
      <c r="R9176" s="33">
        <f>IFERROR(__xludf.DUMMYFUNCTION("""COMPUTED_VALUE"""),1.0)</f>
        <v>1</v>
      </c>
      <c r="S9176" s="4" t="str">
        <f>IFERROR(__xludf.DUMMYFUNCTION("""COMPUTED_VALUE"""),"Instadelivery")</f>
        <v>Instadelivery</v>
      </c>
      <c r="T9176" s="33">
        <f>IFERROR(__xludf.DUMMYFUNCTION("""COMPUTED_VALUE"""),1.0)</f>
        <v>1</v>
      </c>
      <c r="U9176" s="4" t="str">
        <f>IFERROR(__xludf.DUMMYFUNCTION("""COMPUTED_VALUE"""),"Instadelivery")</f>
        <v>Instadelivery</v>
      </c>
      <c r="V9176" s="33">
        <f>IFERROR(__xludf.DUMMYFUNCTION("""COMPUTED_VALUE"""),1.0)</f>
        <v>1</v>
      </c>
      <c r="W9176" s="4" t="str">
        <f>IFERROR(__xludf.DUMMYFUNCTION("""COMPUTED_VALUE"""),"Instadelivery")</f>
        <v>Instadelivery</v>
      </c>
      <c r="X9176" s="33">
        <f>IFERROR(__xludf.DUMMYFUNCTION("""COMPUTED_VALUE"""),1.0)</f>
        <v>1</v>
      </c>
    </row>
    <row r="9177">
      <c r="K9177" s="4" t="str">
        <f>IFERROR(__xludf.DUMMYFUNCTION("""COMPUTED_VALUE"""),"HOUSE ARTESANAL")</f>
        <v>HOUSE ARTESANAL</v>
      </c>
      <c r="L9177" s="32">
        <f>IFERROR(__xludf.DUMMYFUNCTION("""COMPUTED_VALUE"""),1.0)</f>
        <v>1</v>
      </c>
      <c r="M9177" s="4" t="str">
        <f>IFERROR(__xludf.DUMMYFUNCTION("""COMPUTED_VALUE"""),"Instadelivery")</f>
        <v>Instadelivery</v>
      </c>
      <c r="N9177" s="33">
        <f>IFERROR(__xludf.DUMMYFUNCTION("""COMPUTED_VALUE"""),1.0)</f>
        <v>1</v>
      </c>
      <c r="O9177" s="4" t="str">
        <f>IFERROR(__xludf.DUMMYFUNCTION("""COMPUTED_VALUE"""),"Instadelivery")</f>
        <v>Instadelivery</v>
      </c>
      <c r="P9177" s="33">
        <f>IFERROR(__xludf.DUMMYFUNCTION("""COMPUTED_VALUE"""),1.0)</f>
        <v>1</v>
      </c>
      <c r="Q9177" s="4" t="str">
        <f>IFERROR(__xludf.DUMMYFUNCTION("""COMPUTED_VALUE"""),"Instadelivery")</f>
        <v>Instadelivery</v>
      </c>
      <c r="R9177" s="33">
        <f>IFERROR(__xludf.DUMMYFUNCTION("""COMPUTED_VALUE"""),1.0)</f>
        <v>1</v>
      </c>
      <c r="S9177" s="4" t="str">
        <f>IFERROR(__xludf.DUMMYFUNCTION("""COMPUTED_VALUE"""),"Instadelivery")</f>
        <v>Instadelivery</v>
      </c>
      <c r="T9177" s="33">
        <f>IFERROR(__xludf.DUMMYFUNCTION("""COMPUTED_VALUE"""),1.0)</f>
        <v>1</v>
      </c>
      <c r="U9177" s="4" t="str">
        <f>IFERROR(__xludf.DUMMYFUNCTION("""COMPUTED_VALUE"""),"Instadelivery")</f>
        <v>Instadelivery</v>
      </c>
      <c r="V9177" s="33">
        <f>IFERROR(__xludf.DUMMYFUNCTION("""COMPUTED_VALUE"""),1.0)</f>
        <v>1</v>
      </c>
      <c r="W9177" s="4" t="str">
        <f>IFERROR(__xludf.DUMMYFUNCTION("""COMPUTED_VALUE"""),"Instadelivery")</f>
        <v>Instadelivery</v>
      </c>
      <c r="X9177" s="33">
        <f>IFERROR(__xludf.DUMMYFUNCTION("""COMPUTED_VALUE"""),1.0)</f>
        <v>1</v>
      </c>
    </row>
    <row r="9178">
      <c r="K9178" s="4" t="str">
        <f>IFERROR(__xludf.DUMMYFUNCTION("""COMPUTED_VALUE"""),"BOM BURGUER HAMBURGUERIA ARTESANAL")</f>
        <v>BOM BURGUER HAMBURGUERIA ARTESANAL</v>
      </c>
      <c r="L9178" s="32">
        <f>IFERROR(__xludf.DUMMYFUNCTION("""COMPUTED_VALUE"""),1.0)</f>
        <v>1</v>
      </c>
      <c r="M9178" s="4" t="str">
        <f>IFERROR(__xludf.DUMMYFUNCTION("""COMPUTED_VALUE"""),"Instadelivery")</f>
        <v>Instadelivery</v>
      </c>
      <c r="N9178" s="33">
        <f>IFERROR(__xludf.DUMMYFUNCTION("""COMPUTED_VALUE"""),1.0)</f>
        <v>1</v>
      </c>
      <c r="O9178" s="4" t="str">
        <f>IFERROR(__xludf.DUMMYFUNCTION("""COMPUTED_VALUE"""),"Instadelivery")</f>
        <v>Instadelivery</v>
      </c>
      <c r="P9178" s="33">
        <f>IFERROR(__xludf.DUMMYFUNCTION("""COMPUTED_VALUE"""),1.0)</f>
        <v>1</v>
      </c>
      <c r="Q9178" s="4" t="str">
        <f>IFERROR(__xludf.DUMMYFUNCTION("""COMPUTED_VALUE"""),"Instadelivery")</f>
        <v>Instadelivery</v>
      </c>
      <c r="R9178" s="33">
        <f>IFERROR(__xludf.DUMMYFUNCTION("""COMPUTED_VALUE"""),1.0)</f>
        <v>1</v>
      </c>
      <c r="S9178" s="4" t="str">
        <f>IFERROR(__xludf.DUMMYFUNCTION("""COMPUTED_VALUE"""),"Instadelivery")</f>
        <v>Instadelivery</v>
      </c>
      <c r="T9178" s="33">
        <f>IFERROR(__xludf.DUMMYFUNCTION("""COMPUTED_VALUE"""),1.0)</f>
        <v>1</v>
      </c>
      <c r="U9178" s="4" t="str">
        <f>IFERROR(__xludf.DUMMYFUNCTION("""COMPUTED_VALUE"""),"Instadelivery")</f>
        <v>Instadelivery</v>
      </c>
      <c r="V9178" s="33">
        <f>IFERROR(__xludf.DUMMYFUNCTION("""COMPUTED_VALUE"""),1.0)</f>
        <v>1</v>
      </c>
      <c r="W9178" s="4" t="str">
        <f>IFERROR(__xludf.DUMMYFUNCTION("""COMPUTED_VALUE"""),"null")</f>
        <v>null</v>
      </c>
      <c r="X9178" s="33">
        <f>IFERROR(__xludf.DUMMYFUNCTION("""COMPUTED_VALUE"""),1.0)</f>
        <v>1</v>
      </c>
    </row>
    <row r="9179">
      <c r="K9179" s="4" t="str">
        <f>IFERROR(__xludf.DUMMYFUNCTION("""COMPUTED_VALUE"""),"EDEN RESTAURANTE")</f>
        <v>EDEN RESTAURANTE</v>
      </c>
      <c r="L9179" s="32">
        <f>IFERROR(__xludf.DUMMYFUNCTION("""COMPUTED_VALUE"""),1.0)</f>
        <v>1</v>
      </c>
      <c r="M9179" s="4" t="str">
        <f>IFERROR(__xludf.DUMMYFUNCTION("""COMPUTED_VALUE"""),"Cardápio Web")</f>
        <v>Cardápio Web</v>
      </c>
      <c r="N9179" s="33">
        <f>IFERROR(__xludf.DUMMYFUNCTION("""COMPUTED_VALUE"""),1.0)</f>
        <v>1</v>
      </c>
      <c r="O9179" s="4" t="str">
        <f>IFERROR(__xludf.DUMMYFUNCTION("""COMPUTED_VALUE"""),"Cardápio Web")</f>
        <v>Cardápio Web</v>
      </c>
      <c r="P9179" s="33">
        <f>IFERROR(__xludf.DUMMYFUNCTION("""COMPUTED_VALUE"""),1.0)</f>
        <v>1</v>
      </c>
      <c r="Q9179" s="4" t="str">
        <f>IFERROR(__xludf.DUMMYFUNCTION("""COMPUTED_VALUE"""),"Saipos Serviços De Software")</f>
        <v>Saipos Serviços De Software</v>
      </c>
      <c r="R9179" s="33">
        <f>IFERROR(__xludf.DUMMYFUNCTION("""COMPUTED_VALUE"""),1.0)</f>
        <v>1</v>
      </c>
      <c r="S9179" s="4" t="str">
        <f>IFERROR(__xludf.DUMMYFUNCTION("""COMPUTED_VALUE"""),"Saipos Serviços De Software")</f>
        <v>Saipos Serviços De Software</v>
      </c>
      <c r="T9179" s="33">
        <f>IFERROR(__xludf.DUMMYFUNCTION("""COMPUTED_VALUE"""),1.0)</f>
        <v>1</v>
      </c>
      <c r="U9179" s="4" t="str">
        <f>IFERROR(__xludf.DUMMYFUNCTION("""COMPUTED_VALUE"""),"Saipos Serviços De Software")</f>
        <v>Saipos Serviços De Software</v>
      </c>
      <c r="V9179" s="33">
        <f>IFERROR(__xludf.DUMMYFUNCTION("""COMPUTED_VALUE"""),1.0)</f>
        <v>1</v>
      </c>
      <c r="W9179" s="4" t="str">
        <f>IFERROR(__xludf.DUMMYFUNCTION("""COMPUTED_VALUE"""),"Saipos Serviços De Software")</f>
        <v>Saipos Serviços De Software</v>
      </c>
      <c r="X9179" s="33">
        <f>IFERROR(__xludf.DUMMYFUNCTION("""COMPUTED_VALUE"""),1.0)</f>
        <v>1</v>
      </c>
    </row>
    <row r="9180">
      <c r="K9180" s="4" t="str">
        <f>IFERROR(__xludf.DUMMYFUNCTION("""COMPUTED_VALUE"""),"GENUINO CHURRASQUINHO ARACAGY")</f>
        <v>GENUINO CHURRASQUINHO ARACAGY</v>
      </c>
      <c r="L9180" s="32">
        <f>IFERROR(__xludf.DUMMYFUNCTION("""COMPUTED_VALUE"""),1.0)</f>
        <v>1</v>
      </c>
      <c r="M9180" s="4" t="str">
        <f>IFERROR(__xludf.DUMMYFUNCTION("""COMPUTED_VALUE"""),"Saipos Serviços De Software")</f>
        <v>Saipos Serviços De Software</v>
      </c>
      <c r="N9180" s="33">
        <f>IFERROR(__xludf.DUMMYFUNCTION("""COMPUTED_VALUE"""),1.0)</f>
        <v>1</v>
      </c>
      <c r="O9180" s="4" t="str">
        <f>IFERROR(__xludf.DUMMYFUNCTION("""COMPUTED_VALUE"""),"Saipos Serviços De Software")</f>
        <v>Saipos Serviços De Software</v>
      </c>
      <c r="P9180" s="33">
        <f>IFERROR(__xludf.DUMMYFUNCTION("""COMPUTED_VALUE"""),1.0)</f>
        <v>1</v>
      </c>
      <c r="Q9180" s="4" t="str">
        <f>IFERROR(__xludf.DUMMYFUNCTION("""COMPUTED_VALUE"""),"Saipos Serviços De Software")</f>
        <v>Saipos Serviços De Software</v>
      </c>
      <c r="R9180" s="33">
        <f>IFERROR(__xludf.DUMMYFUNCTION("""COMPUTED_VALUE"""),1.0)</f>
        <v>1</v>
      </c>
      <c r="S9180" s="4" t="str">
        <f>IFERROR(__xludf.DUMMYFUNCTION("""COMPUTED_VALUE"""),"Saipos Serviços De Software")</f>
        <v>Saipos Serviços De Software</v>
      </c>
      <c r="T9180" s="33">
        <f>IFERROR(__xludf.DUMMYFUNCTION("""COMPUTED_VALUE"""),1.0)</f>
        <v>1</v>
      </c>
      <c r="U9180" s="4" t="str">
        <f>IFERROR(__xludf.DUMMYFUNCTION("""COMPUTED_VALUE"""),"Saipos Serviços De Software")</f>
        <v>Saipos Serviços De Software</v>
      </c>
      <c r="V9180" s="33">
        <f>IFERROR(__xludf.DUMMYFUNCTION("""COMPUTED_VALUE"""),1.0)</f>
        <v>1</v>
      </c>
      <c r="W9180" s="4" t="str">
        <f>IFERROR(__xludf.DUMMYFUNCTION("""COMPUTED_VALUE"""),"Saipos Serviços De Software")</f>
        <v>Saipos Serviços De Software</v>
      </c>
      <c r="X9180" s="33">
        <f>IFERROR(__xludf.DUMMYFUNCTION("""COMPUTED_VALUE"""),1.0)</f>
        <v>1</v>
      </c>
    </row>
    <row r="9181">
      <c r="K9181" s="4" t="str">
        <f>IFERROR(__xludf.DUMMYFUNCTION("""COMPUTED_VALUE"""),"RESTAURANTE SABORES DAS CASAS")</f>
        <v>RESTAURANTE SABORES DAS CASAS</v>
      </c>
      <c r="L9181" s="32">
        <f>IFERROR(__xludf.DUMMYFUNCTION("""COMPUTED_VALUE"""),1.0)</f>
        <v>1</v>
      </c>
      <c r="M9181" s="4" t="str">
        <f>IFERROR(__xludf.DUMMYFUNCTION("""COMPUTED_VALUE"""),"Anota Ai Solucoes Digitais S/a")</f>
        <v>Anota Ai Solucoes Digitais S/a</v>
      </c>
      <c r="N9181" s="33">
        <f>IFERROR(__xludf.DUMMYFUNCTION("""COMPUTED_VALUE"""),1.0)</f>
        <v>1</v>
      </c>
      <c r="O9181" s="4" t="str">
        <f>IFERROR(__xludf.DUMMYFUNCTION("""COMPUTED_VALUE"""),"Anota Ai Solucoes Digitais S/a")</f>
        <v>Anota Ai Solucoes Digitais S/a</v>
      </c>
      <c r="P9181" s="33">
        <f>IFERROR(__xludf.DUMMYFUNCTION("""COMPUTED_VALUE"""),1.0)</f>
        <v>1</v>
      </c>
      <c r="Q9181" s="4" t="str">
        <f>IFERROR(__xludf.DUMMYFUNCTION("""COMPUTED_VALUE"""),"Anota Ai Solucoes Digitais S/a")</f>
        <v>Anota Ai Solucoes Digitais S/a</v>
      </c>
      <c r="R9181" s="33">
        <f>IFERROR(__xludf.DUMMYFUNCTION("""COMPUTED_VALUE"""),1.0)</f>
        <v>1</v>
      </c>
      <c r="S9181" s="4" t="str">
        <f>IFERROR(__xludf.DUMMYFUNCTION("""COMPUTED_VALUE"""),"null")</f>
        <v>null</v>
      </c>
      <c r="T9181" s="33">
        <f>IFERROR(__xludf.DUMMYFUNCTION("""COMPUTED_VALUE"""),1.0)</f>
        <v>1</v>
      </c>
      <c r="U9181" s="4" t="str">
        <f>IFERROR(__xludf.DUMMYFUNCTION("""COMPUTED_VALUE"""),"null")</f>
        <v>null</v>
      </c>
      <c r="V9181" s="33">
        <f>IFERROR(__xludf.DUMMYFUNCTION("""COMPUTED_VALUE"""),1.0)</f>
        <v>1</v>
      </c>
      <c r="W9181" s="4" t="str">
        <f>IFERROR(__xludf.DUMMYFUNCTION("""COMPUTED_VALUE"""),"null")</f>
        <v>null</v>
      </c>
      <c r="X9181" s="33">
        <f>IFERROR(__xludf.DUMMYFUNCTION("""COMPUTED_VALUE"""),1.0)</f>
        <v>1</v>
      </c>
    </row>
    <row r="9182">
      <c r="K9182" s="4" t="str">
        <f>IFERROR(__xludf.DUMMYFUNCTION("""COMPUTED_VALUE"""),"POTIGUAR SALGADOS")</f>
        <v>POTIGUAR SALGADOS</v>
      </c>
      <c r="L9182" s="32">
        <f>IFERROR(__xludf.DUMMYFUNCTION("""COMPUTED_VALUE"""),1.0)</f>
        <v>1</v>
      </c>
      <c r="M9182" s="4" t="str">
        <f>IFERROR(__xludf.DUMMYFUNCTION("""COMPUTED_VALUE"""),"null")</f>
        <v>null</v>
      </c>
      <c r="N9182" s="33">
        <f>IFERROR(__xludf.DUMMYFUNCTION("""COMPUTED_VALUE"""),1.0)</f>
        <v>1</v>
      </c>
      <c r="O9182" s="4" t="str">
        <f>IFERROR(__xludf.DUMMYFUNCTION("""COMPUTED_VALUE"""),"null")</f>
        <v>null</v>
      </c>
      <c r="P9182" s="33">
        <f>IFERROR(__xludf.DUMMYFUNCTION("""COMPUTED_VALUE"""),1.0)</f>
        <v>1</v>
      </c>
      <c r="Q9182" s="4" t="str">
        <f>IFERROR(__xludf.DUMMYFUNCTION("""COMPUTED_VALUE"""),"null")</f>
        <v>null</v>
      </c>
      <c r="R9182" s="33">
        <f>IFERROR(__xludf.DUMMYFUNCTION("""COMPUTED_VALUE"""),1.0)</f>
        <v>1</v>
      </c>
      <c r="S9182" s="4" t="str">
        <f>IFERROR(__xludf.DUMMYFUNCTION("""COMPUTED_VALUE"""),"null")</f>
        <v>null</v>
      </c>
      <c r="T9182" s="33">
        <f>IFERROR(__xludf.DUMMYFUNCTION("""COMPUTED_VALUE"""),1.0)</f>
        <v>1</v>
      </c>
      <c r="U9182" s="4" t="str">
        <f>IFERROR(__xludf.DUMMYFUNCTION("""COMPUTED_VALUE"""),"null")</f>
        <v>null</v>
      </c>
      <c r="V9182" s="33">
        <f>IFERROR(__xludf.DUMMYFUNCTION("""COMPUTED_VALUE"""),1.0)</f>
        <v>1</v>
      </c>
      <c r="W9182" s="4" t="str">
        <f>IFERROR(__xludf.DUMMYFUNCTION("""COMPUTED_VALUE"""),"Alloy Tecnologia")</f>
        <v>Alloy Tecnologia</v>
      </c>
      <c r="X9182" s="33">
        <f>IFERROR(__xludf.DUMMYFUNCTION("""COMPUTED_VALUE"""),1.0)</f>
        <v>1</v>
      </c>
    </row>
    <row r="9183">
      <c r="K9183" s="4" t="str">
        <f>IFERROR(__xludf.DUMMYFUNCTION("""COMPUTED_VALUE"""),"LA CANTINA FRANGO FRITO E BEIRUTES")</f>
        <v>LA CANTINA FRANGO FRITO E BEIRUTES</v>
      </c>
      <c r="L9183" s="32">
        <f>IFERROR(__xludf.DUMMYFUNCTION("""COMPUTED_VALUE"""),1.0)</f>
        <v>1</v>
      </c>
      <c r="M9183" s="4" t="str">
        <f>IFERROR(__xludf.DUMMYFUNCTION("""COMPUTED_VALUE"""),"Mp Multipedidos")</f>
        <v>Mp Multipedidos</v>
      </c>
      <c r="N9183" s="33">
        <f>IFERROR(__xludf.DUMMYFUNCTION("""COMPUTED_VALUE"""),1.0)</f>
        <v>1</v>
      </c>
      <c r="O9183" s="4" t="str">
        <f>IFERROR(__xludf.DUMMYFUNCTION("""COMPUTED_VALUE"""),"null")</f>
        <v>null</v>
      </c>
      <c r="P9183" s="33">
        <f>IFERROR(__xludf.DUMMYFUNCTION("""COMPUTED_VALUE"""),1.0)</f>
        <v>1</v>
      </c>
      <c r="Q9183" s="4" t="str">
        <f>IFERROR(__xludf.DUMMYFUNCTION("""COMPUTED_VALUE"""),"null")</f>
        <v>null</v>
      </c>
      <c r="R9183" s="33">
        <f>IFERROR(__xludf.DUMMYFUNCTION("""COMPUTED_VALUE"""),1.0)</f>
        <v>1</v>
      </c>
      <c r="S9183" s="4" t="str">
        <f>IFERROR(__xludf.DUMMYFUNCTION("""COMPUTED_VALUE"""),"null")</f>
        <v>null</v>
      </c>
      <c r="T9183" s="33">
        <f>IFERROR(__xludf.DUMMYFUNCTION("""COMPUTED_VALUE"""),1.0)</f>
        <v>1</v>
      </c>
      <c r="U9183" s="4" t="str">
        <f>IFERROR(__xludf.DUMMYFUNCTION("""COMPUTED_VALUE"""),"Mp Multipedidos")</f>
        <v>Mp Multipedidos</v>
      </c>
      <c r="V9183" s="33">
        <f>IFERROR(__xludf.DUMMYFUNCTION("""COMPUTED_VALUE"""),1.0)</f>
        <v>1</v>
      </c>
      <c r="W9183" s="4" t="str">
        <f>IFERROR(__xludf.DUMMYFUNCTION("""COMPUTED_VALUE"""),"Mp Multipedidos")</f>
        <v>Mp Multipedidos</v>
      </c>
      <c r="X9183" s="33">
        <f>IFERROR(__xludf.DUMMYFUNCTION("""COMPUTED_VALUE"""),1.0)</f>
        <v>1</v>
      </c>
    </row>
    <row r="9184">
      <c r="K9184" s="4" t="str">
        <f>IFERROR(__xludf.DUMMYFUNCTION("""COMPUTED_VALUE"""),"BUCCO BURGER")</f>
        <v>BUCCO BURGER</v>
      </c>
      <c r="L9184" s="32">
        <f>IFERROR(__xludf.DUMMYFUNCTION("""COMPUTED_VALUE"""),1.0)</f>
        <v>1</v>
      </c>
      <c r="M9184" s="4" t="str">
        <f>IFERROR(__xludf.DUMMYFUNCTION("""COMPUTED_VALUE"""),"null")</f>
        <v>null</v>
      </c>
      <c r="N9184" s="33">
        <f>IFERROR(__xludf.DUMMYFUNCTION("""COMPUTED_VALUE"""),1.0)</f>
        <v>1</v>
      </c>
      <c r="O9184" s="4" t="str">
        <f>IFERROR(__xludf.DUMMYFUNCTION("""COMPUTED_VALUE"""),"null")</f>
        <v>null</v>
      </c>
      <c r="P9184" s="33">
        <f>IFERROR(__xludf.DUMMYFUNCTION("""COMPUTED_VALUE"""),1.0)</f>
        <v>1</v>
      </c>
      <c r="Q9184" s="4" t="str">
        <f>IFERROR(__xludf.DUMMYFUNCTION("""COMPUTED_VALUE"""),"null")</f>
        <v>null</v>
      </c>
      <c r="R9184" s="33">
        <f>IFERROR(__xludf.DUMMYFUNCTION("""COMPUTED_VALUE"""),1.0)</f>
        <v>1</v>
      </c>
      <c r="S9184" s="4" t="str">
        <f>IFERROR(__xludf.DUMMYFUNCTION("""COMPUTED_VALUE"""),"null")</f>
        <v>null</v>
      </c>
      <c r="T9184" s="33">
        <f>IFERROR(__xludf.DUMMYFUNCTION("""COMPUTED_VALUE"""),1.0)</f>
        <v>1</v>
      </c>
      <c r="U9184" s="4" t="str">
        <f>IFERROR(__xludf.DUMMYFUNCTION("""COMPUTED_VALUE"""),"Saipos Serviços De Software")</f>
        <v>Saipos Serviços De Software</v>
      </c>
      <c r="V9184" s="33">
        <f>IFERROR(__xludf.DUMMYFUNCTION("""COMPUTED_VALUE"""),1.0)</f>
        <v>1</v>
      </c>
      <c r="W9184" s="4" t="str">
        <f>IFERROR(__xludf.DUMMYFUNCTION("""COMPUTED_VALUE"""),"Saipos Serviços De Software")</f>
        <v>Saipos Serviços De Software</v>
      </c>
      <c r="X9184" s="33">
        <f>IFERROR(__xludf.DUMMYFUNCTION("""COMPUTED_VALUE"""),1.0)</f>
        <v>1</v>
      </c>
    </row>
    <row r="9185">
      <c r="K9185" s="4" t="str">
        <f>IFERROR(__xludf.DUMMYFUNCTION("""COMPUTED_VALUE"""),"REI DA MARMITEX - PONTE RASA")</f>
        <v>REI DA MARMITEX - PONTE RASA</v>
      </c>
      <c r="L9185" s="32">
        <f>IFERROR(__xludf.DUMMYFUNCTION("""COMPUTED_VALUE"""),1.0)</f>
        <v>1</v>
      </c>
      <c r="M9185" s="4" t="str">
        <f>IFERROR(__xludf.DUMMYFUNCTION("""COMPUTED_VALUE"""),"Saipos Serviços De Software")</f>
        <v>Saipos Serviços De Software</v>
      </c>
      <c r="N9185" s="33">
        <f>IFERROR(__xludf.DUMMYFUNCTION("""COMPUTED_VALUE"""),1.0)</f>
        <v>1</v>
      </c>
      <c r="O9185" s="4" t="str">
        <f>IFERROR(__xludf.DUMMYFUNCTION("""COMPUTED_VALUE"""),"Saipos Serviços De Software")</f>
        <v>Saipos Serviços De Software</v>
      </c>
      <c r="P9185" s="33">
        <f>IFERROR(__xludf.DUMMYFUNCTION("""COMPUTED_VALUE"""),1.0)</f>
        <v>1</v>
      </c>
      <c r="Q9185" s="4" t="str">
        <f>IFERROR(__xludf.DUMMYFUNCTION("""COMPUTED_VALUE"""),"Saipos Serviços De Software")</f>
        <v>Saipos Serviços De Software</v>
      </c>
      <c r="R9185" s="33">
        <f>IFERROR(__xludf.DUMMYFUNCTION("""COMPUTED_VALUE"""),1.0)</f>
        <v>1</v>
      </c>
      <c r="S9185" s="4" t="str">
        <f>IFERROR(__xludf.DUMMYFUNCTION("""COMPUTED_VALUE"""),"null")</f>
        <v>null</v>
      </c>
      <c r="T9185" s="33">
        <f>IFERROR(__xludf.DUMMYFUNCTION("""COMPUTED_VALUE"""),1.0)</f>
        <v>1</v>
      </c>
      <c r="U9185" s="4" t="str">
        <f>IFERROR(__xludf.DUMMYFUNCTION("""COMPUTED_VALUE"""),"null")</f>
        <v>null</v>
      </c>
      <c r="V9185" s="33">
        <f>IFERROR(__xludf.DUMMYFUNCTION("""COMPUTED_VALUE"""),1.0)</f>
        <v>1</v>
      </c>
      <c r="W9185" s="4" t="str">
        <f>IFERROR(__xludf.DUMMYFUNCTION("""COMPUTED_VALUE"""),"null")</f>
        <v>null</v>
      </c>
      <c r="X9185" s="33">
        <f>IFERROR(__xludf.DUMMYFUNCTION("""COMPUTED_VALUE"""),1.0)</f>
        <v>1</v>
      </c>
    </row>
    <row r="9186">
      <c r="K9186" s="4" t="str">
        <f>IFERROR(__xludf.DUMMYFUNCTION("""COMPUTED_VALUE"""),"FARMACIA SANTA ROSA")</f>
        <v>FARMACIA SANTA ROSA</v>
      </c>
      <c r="L9186" s="32">
        <f>IFERROR(__xludf.DUMMYFUNCTION("""COMPUTED_VALUE"""),1.0)</f>
        <v>1</v>
      </c>
      <c r="M9186" s="4" t="str">
        <f>IFERROR(__xludf.DUMMYFUNCTION("""COMPUTED_VALUE"""),"N/A (Not found)")</f>
        <v>N/A (Not found)</v>
      </c>
      <c r="N9186" s="33">
        <f>IFERROR(__xludf.DUMMYFUNCTION("""COMPUTED_VALUE"""),1.0)</f>
        <v>1</v>
      </c>
      <c r="O9186" s="4" t="str">
        <f>IFERROR(__xludf.DUMMYFUNCTION("""COMPUTED_VALUE"""),"N/A (Not found)")</f>
        <v>N/A (Not found)</v>
      </c>
      <c r="P9186" s="33">
        <f>IFERROR(__xludf.DUMMYFUNCTION("""COMPUTED_VALUE"""),1.0)</f>
        <v>1</v>
      </c>
      <c r="Q9186" s="4" t="str">
        <f>IFERROR(__xludf.DUMMYFUNCTION("""COMPUTED_VALUE"""),"N/A (Not found)")</f>
        <v>N/A (Not found)</v>
      </c>
      <c r="R9186" s="33">
        <f>IFERROR(__xludf.DUMMYFUNCTION("""COMPUTED_VALUE"""),1.0)</f>
        <v>1</v>
      </c>
      <c r="S9186" s="4" t="str">
        <f>IFERROR(__xludf.DUMMYFUNCTION("""COMPUTED_VALUE"""),"N/A (Not found)")</f>
        <v>N/A (Not found)</v>
      </c>
      <c r="T9186" s="33">
        <f>IFERROR(__xludf.DUMMYFUNCTION("""COMPUTED_VALUE"""),1.0)</f>
        <v>1</v>
      </c>
      <c r="U9186" s="4" t="str">
        <f>IFERROR(__xludf.DUMMYFUNCTION("""COMPUTED_VALUE"""),"N/A (Not found)")</f>
        <v>N/A (Not found)</v>
      </c>
      <c r="V9186" s="33">
        <f>IFERROR(__xludf.DUMMYFUNCTION("""COMPUTED_VALUE"""),1.0)</f>
        <v>1</v>
      </c>
      <c r="W9186" s="4" t="str">
        <f>IFERROR(__xludf.DUMMYFUNCTION("""COMPUTED_VALUE"""),"N/A (Not found)")</f>
        <v>N/A (Not found)</v>
      </c>
      <c r="X9186" s="33">
        <f>IFERROR(__xludf.DUMMYFUNCTION("""COMPUTED_VALUE"""),1.0)</f>
        <v>1</v>
      </c>
    </row>
    <row r="9187">
      <c r="K9187" s="4" t="str">
        <f>IFERROR(__xludf.DUMMYFUNCTION("""COMPUTED_VALUE"""),"SEO CHICO")</f>
        <v>SEO CHICO</v>
      </c>
      <c r="L9187" s="32">
        <f>IFERROR(__xludf.DUMMYFUNCTION("""COMPUTED_VALUE"""),1.0)</f>
        <v>1</v>
      </c>
      <c r="M9187" s="4" t="str">
        <f>IFERROR(__xludf.DUMMYFUNCTION("""COMPUTED_VALUE"""),"null")</f>
        <v>null</v>
      </c>
      <c r="N9187" s="33">
        <f>IFERROR(__xludf.DUMMYFUNCTION("""COMPUTED_VALUE"""),1.0)</f>
        <v>1</v>
      </c>
      <c r="O9187" s="4" t="str">
        <f>IFERROR(__xludf.DUMMYFUNCTION("""COMPUTED_VALUE"""),"null")</f>
        <v>null</v>
      </c>
      <c r="P9187" s="33">
        <f>IFERROR(__xludf.DUMMYFUNCTION("""COMPUTED_VALUE"""),1.0)</f>
        <v>1</v>
      </c>
      <c r="Q9187" s="4" t="str">
        <f>IFERROR(__xludf.DUMMYFUNCTION("""COMPUTED_VALUE"""),"null")</f>
        <v>null</v>
      </c>
      <c r="R9187" s="33">
        <f>IFERROR(__xludf.DUMMYFUNCTION("""COMPUTED_VALUE"""),1.0)</f>
        <v>1</v>
      </c>
      <c r="S9187" s="4" t="str">
        <f>IFERROR(__xludf.DUMMYFUNCTION("""COMPUTED_VALUE"""),"null")</f>
        <v>null</v>
      </c>
      <c r="T9187" s="33">
        <f>IFERROR(__xludf.DUMMYFUNCTION("""COMPUTED_VALUE"""),1.0)</f>
        <v>1</v>
      </c>
      <c r="U9187" s="4" t="str">
        <f>IFERROR(__xludf.DUMMYFUNCTION("""COMPUTED_VALUE"""),"Vitor Saulo Vieira Da Rocha 10739870602")</f>
        <v>Vitor Saulo Vieira Da Rocha 10739870602</v>
      </c>
      <c r="V9187" s="33">
        <f>IFERROR(__xludf.DUMMYFUNCTION("""COMPUTED_VALUE"""),1.0)</f>
        <v>1</v>
      </c>
      <c r="W9187" s="4" t="str">
        <f>IFERROR(__xludf.DUMMYFUNCTION("""COMPUTED_VALUE"""),"Vitor Saulo Vieira Da Rocha 10739870602")</f>
        <v>Vitor Saulo Vieira Da Rocha 10739870602</v>
      </c>
      <c r="X9187" s="33">
        <f>IFERROR(__xludf.DUMMYFUNCTION("""COMPUTED_VALUE"""),1.0)</f>
        <v>1</v>
      </c>
    </row>
    <row r="9188">
      <c r="K9188" s="4" t="str">
        <f>IFERROR(__xludf.DUMMYFUNCTION("""COMPUTED_VALUE"""),"RESTAURANTE OCA")</f>
        <v>RESTAURANTE OCA</v>
      </c>
      <c r="L9188" s="32">
        <f>IFERROR(__xludf.DUMMYFUNCTION("""COMPUTED_VALUE"""),1.0)</f>
        <v>1</v>
      </c>
      <c r="M9188" s="4" t="str">
        <f>IFERROR(__xludf.DUMMYFUNCTION("""COMPUTED_VALUE"""),"Hubzy")</f>
        <v>Hubzy</v>
      </c>
      <c r="N9188" s="33">
        <f>IFERROR(__xludf.DUMMYFUNCTION("""COMPUTED_VALUE"""),1.0)</f>
        <v>1</v>
      </c>
      <c r="O9188" s="4" t="str">
        <f>IFERROR(__xludf.DUMMYFUNCTION("""COMPUTED_VALUE"""),"Hubzy")</f>
        <v>Hubzy</v>
      </c>
      <c r="P9188" s="33">
        <f>IFERROR(__xludf.DUMMYFUNCTION("""COMPUTED_VALUE"""),1.0)</f>
        <v>1</v>
      </c>
      <c r="Q9188" s="4" t="str">
        <f>IFERROR(__xludf.DUMMYFUNCTION("""COMPUTED_VALUE"""),"Hubzy")</f>
        <v>Hubzy</v>
      </c>
      <c r="R9188" s="33">
        <f>IFERROR(__xludf.DUMMYFUNCTION("""COMPUTED_VALUE"""),1.0)</f>
        <v>1</v>
      </c>
      <c r="S9188" s="4" t="str">
        <f>IFERROR(__xludf.DUMMYFUNCTION("""COMPUTED_VALUE"""),"Hubzy")</f>
        <v>Hubzy</v>
      </c>
      <c r="T9188" s="33">
        <f>IFERROR(__xludf.DUMMYFUNCTION("""COMPUTED_VALUE"""),1.0)</f>
        <v>1</v>
      </c>
      <c r="U9188" s="4" t="str">
        <f>IFERROR(__xludf.DUMMYFUNCTION("""COMPUTED_VALUE"""),"Hubzy")</f>
        <v>Hubzy</v>
      </c>
      <c r="V9188" s="33">
        <f>IFERROR(__xludf.DUMMYFUNCTION("""COMPUTED_VALUE"""),1.0)</f>
        <v>1</v>
      </c>
      <c r="W9188" s="4" t="str">
        <f>IFERROR(__xludf.DUMMYFUNCTION("""COMPUTED_VALUE"""),"Hubzy")</f>
        <v>Hubzy</v>
      </c>
      <c r="X9188" s="33">
        <f>IFERROR(__xludf.DUMMYFUNCTION("""COMPUTED_VALUE"""),1.0)</f>
        <v>1</v>
      </c>
    </row>
    <row r="9189">
      <c r="K9189" s="4" t="str">
        <f>IFERROR(__xludf.DUMMYFUNCTION("""COMPUTED_VALUE"""),"1904 BURGER")</f>
        <v>1904 BURGER</v>
      </c>
      <c r="L9189" s="32">
        <f>IFERROR(__xludf.DUMMYFUNCTION("""COMPUTED_VALUE"""),1.0)</f>
        <v>1</v>
      </c>
      <c r="M9189" s="4" t="str">
        <f>IFERROR(__xludf.DUMMYFUNCTION("""COMPUTED_VALUE"""),"Anota Ai Solucoes Digitais S/a")</f>
        <v>Anota Ai Solucoes Digitais S/a</v>
      </c>
      <c r="N9189" s="33">
        <f>IFERROR(__xludf.DUMMYFUNCTION("""COMPUTED_VALUE"""),1.0)</f>
        <v>1</v>
      </c>
      <c r="O9189" s="4" t="str">
        <f>IFERROR(__xludf.DUMMYFUNCTION("""COMPUTED_VALUE"""),"Anota Ai Solucoes Digitais S/a")</f>
        <v>Anota Ai Solucoes Digitais S/a</v>
      </c>
      <c r="P9189" s="33">
        <f>IFERROR(__xludf.DUMMYFUNCTION("""COMPUTED_VALUE"""),1.0)</f>
        <v>1</v>
      </c>
      <c r="Q9189" s="4" t="str">
        <f>IFERROR(__xludf.DUMMYFUNCTION("""COMPUTED_VALUE"""),"null")</f>
        <v>null</v>
      </c>
      <c r="R9189" s="33">
        <f>IFERROR(__xludf.DUMMYFUNCTION("""COMPUTED_VALUE"""),1.0)</f>
        <v>1</v>
      </c>
      <c r="S9189" s="4" t="str">
        <f>IFERROR(__xludf.DUMMYFUNCTION("""COMPUTED_VALUE"""),"null")</f>
        <v>null</v>
      </c>
      <c r="T9189" s="33">
        <f>IFERROR(__xludf.DUMMYFUNCTION("""COMPUTED_VALUE"""),1.0)</f>
        <v>1</v>
      </c>
      <c r="U9189" s="4" t="str">
        <f>IFERROR(__xludf.DUMMYFUNCTION("""COMPUTED_VALUE"""),"null")</f>
        <v>null</v>
      </c>
      <c r="V9189" s="33">
        <f>IFERROR(__xludf.DUMMYFUNCTION("""COMPUTED_VALUE"""),1.0)</f>
        <v>1</v>
      </c>
      <c r="W9189" s="4" t="str">
        <f>IFERROR(__xludf.DUMMYFUNCTION("""COMPUTED_VALUE"""),"null")</f>
        <v>null</v>
      </c>
      <c r="X9189" s="33">
        <f>IFERROR(__xludf.DUMMYFUNCTION("""COMPUTED_VALUE"""),1.0)</f>
        <v>1</v>
      </c>
    </row>
    <row r="9190">
      <c r="K9190" s="4" t="str">
        <f>IFERROR(__xludf.DUMMYFUNCTION("""COMPUTED_VALUE"""),"VEROCA PIZZAS E MASSAS")</f>
        <v>VEROCA PIZZAS E MASSAS</v>
      </c>
      <c r="L9190" s="32">
        <f>IFERROR(__xludf.DUMMYFUNCTION("""COMPUTED_VALUE"""),1.0)</f>
        <v>1</v>
      </c>
      <c r="M9190" s="4" t="str">
        <f>IFERROR(__xludf.DUMMYFUNCTION("""COMPUTED_VALUE"""),"null")</f>
        <v>null</v>
      </c>
      <c r="N9190" s="33">
        <f>IFERROR(__xludf.DUMMYFUNCTION("""COMPUTED_VALUE"""),1.0)</f>
        <v>1</v>
      </c>
      <c r="O9190" s="4" t="str">
        <f>IFERROR(__xludf.DUMMYFUNCTION("""COMPUTED_VALUE"""),"Instadelivery")</f>
        <v>Instadelivery</v>
      </c>
      <c r="P9190" s="33">
        <f>IFERROR(__xludf.DUMMYFUNCTION("""COMPUTED_VALUE"""),1.0)</f>
        <v>1</v>
      </c>
      <c r="Q9190" s="4" t="str">
        <f>IFERROR(__xludf.DUMMYFUNCTION("""COMPUTED_VALUE"""),"null")</f>
        <v>null</v>
      </c>
      <c r="R9190" s="33">
        <f>IFERROR(__xludf.DUMMYFUNCTION("""COMPUTED_VALUE"""),1.0)</f>
        <v>1</v>
      </c>
      <c r="S9190" s="4" t="str">
        <f>IFERROR(__xludf.DUMMYFUNCTION("""COMPUTED_VALUE"""),"null")</f>
        <v>null</v>
      </c>
      <c r="T9190" s="33">
        <f>IFERROR(__xludf.DUMMYFUNCTION("""COMPUTED_VALUE"""),1.0)</f>
        <v>1</v>
      </c>
      <c r="U9190" s="4" t="str">
        <f>IFERROR(__xludf.DUMMYFUNCTION("""COMPUTED_VALUE"""),"Instadelivery")</f>
        <v>Instadelivery</v>
      </c>
      <c r="V9190" s="33">
        <f>IFERROR(__xludf.DUMMYFUNCTION("""COMPUTED_VALUE"""),1.0)</f>
        <v>1</v>
      </c>
      <c r="W9190" s="4" t="str">
        <f>IFERROR(__xludf.DUMMYFUNCTION("""COMPUTED_VALUE"""),"Instadelivery")</f>
        <v>Instadelivery</v>
      </c>
      <c r="X9190" s="33">
        <f>IFERROR(__xludf.DUMMYFUNCTION("""COMPUTED_VALUE"""),1.0)</f>
        <v>1</v>
      </c>
    </row>
    <row r="9191">
      <c r="K9191" s="4" t="str">
        <f>IFERROR(__xludf.DUMMYFUNCTION("""COMPUTED_VALUE"""),"DA PRACA REFEICOES")</f>
        <v>DA PRACA REFEICOES</v>
      </c>
      <c r="L9191" s="32">
        <f>IFERROR(__xludf.DUMMYFUNCTION("""COMPUTED_VALUE"""),1.0)</f>
        <v>1</v>
      </c>
      <c r="M9191" s="4" t="str">
        <f>IFERROR(__xludf.DUMMYFUNCTION("""COMPUTED_VALUE"""),"Takeat Tecnologia")</f>
        <v>Takeat Tecnologia</v>
      </c>
      <c r="N9191" s="33">
        <f>IFERROR(__xludf.DUMMYFUNCTION("""COMPUTED_VALUE"""),1.0)</f>
        <v>1</v>
      </c>
      <c r="O9191" s="4" t="str">
        <f>IFERROR(__xludf.DUMMYFUNCTION("""COMPUTED_VALUE"""),"Takeat Tecnologia")</f>
        <v>Takeat Tecnologia</v>
      </c>
      <c r="P9191" s="33">
        <f>IFERROR(__xludf.DUMMYFUNCTION("""COMPUTED_VALUE"""),1.0)</f>
        <v>1</v>
      </c>
      <c r="Q9191" s="4" t="str">
        <f>IFERROR(__xludf.DUMMYFUNCTION("""COMPUTED_VALUE"""),"Takeat Tecnologia")</f>
        <v>Takeat Tecnologia</v>
      </c>
      <c r="R9191" s="33">
        <f>IFERROR(__xludf.DUMMYFUNCTION("""COMPUTED_VALUE"""),1.0)</f>
        <v>1</v>
      </c>
      <c r="S9191" s="4" t="str">
        <f>IFERROR(__xludf.DUMMYFUNCTION("""COMPUTED_VALUE"""),"Takeat Tecnologia")</f>
        <v>Takeat Tecnologia</v>
      </c>
      <c r="T9191" s="33">
        <f>IFERROR(__xludf.DUMMYFUNCTION("""COMPUTED_VALUE"""),1.0)</f>
        <v>1</v>
      </c>
      <c r="U9191" s="4" t="str">
        <f>IFERROR(__xludf.DUMMYFUNCTION("""COMPUTED_VALUE"""),"Takeat Tecnologia")</f>
        <v>Takeat Tecnologia</v>
      </c>
      <c r="V9191" s="33">
        <f>IFERROR(__xludf.DUMMYFUNCTION("""COMPUTED_VALUE"""),1.0)</f>
        <v>1</v>
      </c>
      <c r="W9191" s="4" t="str">
        <f>IFERROR(__xludf.DUMMYFUNCTION("""COMPUTED_VALUE"""),"Takeat Tecnologia")</f>
        <v>Takeat Tecnologia</v>
      </c>
      <c r="X9191" s="33">
        <f>IFERROR(__xludf.DUMMYFUNCTION("""COMPUTED_VALUE"""),1.0)</f>
        <v>1</v>
      </c>
    </row>
    <row r="9192">
      <c r="K9192" s="4" t="str">
        <f>IFERROR(__xludf.DUMMYFUNCTION("""COMPUTED_VALUE"""),"TEMPERO DO BAIANO")</f>
        <v>TEMPERO DO BAIANO</v>
      </c>
      <c r="L9192" s="32">
        <f>IFERROR(__xludf.DUMMYFUNCTION("""COMPUTED_VALUE"""),1.0)</f>
        <v>1</v>
      </c>
      <c r="M9192" s="4" t="str">
        <f>IFERROR(__xludf.DUMMYFUNCTION("""COMPUTED_VALUE"""),"Datacaixa Pdv")</f>
        <v>Datacaixa Pdv</v>
      </c>
      <c r="N9192" s="33">
        <f>IFERROR(__xludf.DUMMYFUNCTION("""COMPUTED_VALUE"""),1.0)</f>
        <v>1</v>
      </c>
      <c r="O9192" s="4" t="str">
        <f>IFERROR(__xludf.DUMMYFUNCTION("""COMPUTED_VALUE"""),"Datacaixa Pdv")</f>
        <v>Datacaixa Pdv</v>
      </c>
      <c r="P9192" s="33">
        <f>IFERROR(__xludf.DUMMYFUNCTION("""COMPUTED_VALUE"""),1.0)</f>
        <v>1</v>
      </c>
      <c r="Q9192" s="4" t="str">
        <f>IFERROR(__xludf.DUMMYFUNCTION("""COMPUTED_VALUE"""),"null")</f>
        <v>null</v>
      </c>
      <c r="R9192" s="33">
        <f>IFERROR(__xludf.DUMMYFUNCTION("""COMPUTED_VALUE"""),1.0)</f>
        <v>1</v>
      </c>
      <c r="S9192" s="4" t="str">
        <f>IFERROR(__xludf.DUMMYFUNCTION("""COMPUTED_VALUE"""),"Datacaixa Pdv")</f>
        <v>Datacaixa Pdv</v>
      </c>
      <c r="T9192" s="33">
        <f>IFERROR(__xludf.DUMMYFUNCTION("""COMPUTED_VALUE"""),1.0)</f>
        <v>1</v>
      </c>
      <c r="U9192" s="4" t="str">
        <f>IFERROR(__xludf.DUMMYFUNCTION("""COMPUTED_VALUE"""),"null")</f>
        <v>null</v>
      </c>
      <c r="V9192" s="33">
        <f>IFERROR(__xludf.DUMMYFUNCTION("""COMPUTED_VALUE"""),1.0)</f>
        <v>1</v>
      </c>
      <c r="W9192" s="4" t="str">
        <f>IFERROR(__xludf.DUMMYFUNCTION("""COMPUTED_VALUE"""),"null")</f>
        <v>null</v>
      </c>
      <c r="X9192" s="33">
        <f>IFERROR(__xludf.DUMMYFUNCTION("""COMPUTED_VALUE"""),1.0)</f>
        <v>1</v>
      </c>
    </row>
    <row r="9193">
      <c r="K9193" s="4" t="str">
        <f>IFERROR(__xludf.DUMMYFUNCTION("""COMPUTED_VALUE"""),"BRAVIO BURGUER")</f>
        <v>BRAVIO BURGUER</v>
      </c>
      <c r="L9193" s="32">
        <f>IFERROR(__xludf.DUMMYFUNCTION("""COMPUTED_VALUE"""),1.0)</f>
        <v>1</v>
      </c>
      <c r="M9193" s="4" t="str">
        <f>IFERROR(__xludf.DUMMYFUNCTION("""COMPUTED_VALUE"""),"Consumer Soluções Em Tecnologia Ltda")</f>
        <v>Consumer Soluções Em Tecnologia Ltda</v>
      </c>
      <c r="N9193" s="33">
        <f>IFERROR(__xludf.DUMMYFUNCTION("""COMPUTED_VALUE"""),1.0)</f>
        <v>1</v>
      </c>
      <c r="O9193" s="4" t="str">
        <f>IFERROR(__xludf.DUMMYFUNCTION("""COMPUTED_VALUE"""),"Consumer Soluções Em Tecnologia Ltda")</f>
        <v>Consumer Soluções Em Tecnologia Ltda</v>
      </c>
      <c r="P9193" s="33">
        <f>IFERROR(__xludf.DUMMYFUNCTION("""COMPUTED_VALUE"""),1.0)</f>
        <v>1</v>
      </c>
      <c r="Q9193" s="4" t="str">
        <f>IFERROR(__xludf.DUMMYFUNCTION("""COMPUTED_VALUE"""),"Consumer Soluções Em Tecnologia Ltda")</f>
        <v>Consumer Soluções Em Tecnologia Ltda</v>
      </c>
      <c r="R9193" s="33">
        <f>IFERROR(__xludf.DUMMYFUNCTION("""COMPUTED_VALUE"""),1.0)</f>
        <v>1</v>
      </c>
      <c r="S9193" s="4" t="str">
        <f>IFERROR(__xludf.DUMMYFUNCTION("""COMPUTED_VALUE"""),"Consumer Soluções Em Tecnologia Ltda")</f>
        <v>Consumer Soluções Em Tecnologia Ltda</v>
      </c>
      <c r="T9193" s="33">
        <f>IFERROR(__xludf.DUMMYFUNCTION("""COMPUTED_VALUE"""),1.0)</f>
        <v>1</v>
      </c>
      <c r="U9193" s="4" t="str">
        <f>IFERROR(__xludf.DUMMYFUNCTION("""COMPUTED_VALUE"""),"Consumer Soluções Em Tecnologia Ltda")</f>
        <v>Consumer Soluções Em Tecnologia Ltda</v>
      </c>
      <c r="V9193" s="33">
        <f>IFERROR(__xludf.DUMMYFUNCTION("""COMPUTED_VALUE"""),1.0)</f>
        <v>1</v>
      </c>
      <c r="W9193" s="4" t="str">
        <f>IFERROR(__xludf.DUMMYFUNCTION("""COMPUTED_VALUE"""),"Consumer Soluções Em Tecnologia Ltda")</f>
        <v>Consumer Soluções Em Tecnologia Ltda</v>
      </c>
      <c r="X9193" s="33">
        <f>IFERROR(__xludf.DUMMYFUNCTION("""COMPUTED_VALUE"""),1.0)</f>
        <v>1</v>
      </c>
    </row>
    <row r="9194">
      <c r="K9194" s="4" t="str">
        <f>IFERROR(__xludf.DUMMYFUNCTION("""COMPUTED_VALUE"""),"GELADUS BEBIDAS")</f>
        <v>GELADUS BEBIDAS</v>
      </c>
      <c r="L9194" s="32">
        <f>IFERROR(__xludf.DUMMYFUNCTION("""COMPUTED_VALUE"""),1.0)</f>
        <v>1</v>
      </c>
      <c r="M9194" s="4" t="str">
        <f>IFERROR(__xludf.DUMMYFUNCTION("""COMPUTED_VALUE"""),"N/A (Not found)")</f>
        <v>N/A (Not found)</v>
      </c>
      <c r="N9194" s="33">
        <f>IFERROR(__xludf.DUMMYFUNCTION("""COMPUTED_VALUE"""),1.0)</f>
        <v>1</v>
      </c>
      <c r="O9194" s="4" t="str">
        <f>IFERROR(__xludf.DUMMYFUNCTION("""COMPUTED_VALUE"""),"N/A (Not found)")</f>
        <v>N/A (Not found)</v>
      </c>
      <c r="P9194" s="33">
        <f>IFERROR(__xludf.DUMMYFUNCTION("""COMPUTED_VALUE"""),1.0)</f>
        <v>1</v>
      </c>
      <c r="Q9194" s="4" t="str">
        <f>IFERROR(__xludf.DUMMYFUNCTION("""COMPUTED_VALUE"""),"N/A (Not found)")</f>
        <v>N/A (Not found)</v>
      </c>
      <c r="R9194" s="33">
        <f>IFERROR(__xludf.DUMMYFUNCTION("""COMPUTED_VALUE"""),1.0)</f>
        <v>1</v>
      </c>
      <c r="S9194" s="4" t="str">
        <f>IFERROR(__xludf.DUMMYFUNCTION("""COMPUTED_VALUE"""),"N/A (Not found)")</f>
        <v>N/A (Not found)</v>
      </c>
      <c r="T9194" s="33">
        <f>IFERROR(__xludf.DUMMYFUNCTION("""COMPUTED_VALUE"""),1.0)</f>
        <v>1</v>
      </c>
      <c r="U9194" s="4" t="str">
        <f>IFERROR(__xludf.DUMMYFUNCTION("""COMPUTED_VALUE"""),"N/A (Not found)")</f>
        <v>N/A (Not found)</v>
      </c>
      <c r="V9194" s="33">
        <f>IFERROR(__xludf.DUMMYFUNCTION("""COMPUTED_VALUE"""),1.0)</f>
        <v>1</v>
      </c>
      <c r="W9194" s="4" t="str">
        <f>IFERROR(__xludf.DUMMYFUNCTION("""COMPUTED_VALUE"""),"N/A (Not found)")</f>
        <v>N/A (Not found)</v>
      </c>
      <c r="X9194" s="33">
        <f>IFERROR(__xludf.DUMMYFUNCTION("""COMPUTED_VALUE"""),1.0)</f>
        <v>1</v>
      </c>
    </row>
    <row r="9195">
      <c r="K9195" s="4" t="str">
        <f>IFERROR(__xludf.DUMMYFUNCTION("""COMPUTED_VALUE"""),"EXECUTIVO DO GOIANO I MARMITA COMIDA BRASILEIRA")</f>
        <v>EXECUTIVO DO GOIANO I MARMITA COMIDA BRASILEIRA</v>
      </c>
      <c r="L9195" s="32">
        <f>IFERROR(__xludf.DUMMYFUNCTION("""COMPUTED_VALUE"""),1.0)</f>
        <v>1</v>
      </c>
      <c r="M9195" s="4" t="str">
        <f>IFERROR(__xludf.DUMMYFUNCTION("""COMPUTED_VALUE"""),"Saipos Serviços De Software")</f>
        <v>Saipos Serviços De Software</v>
      </c>
      <c r="N9195" s="33">
        <f>IFERROR(__xludf.DUMMYFUNCTION("""COMPUTED_VALUE"""),1.0)</f>
        <v>1</v>
      </c>
      <c r="O9195" s="4" t="str">
        <f>IFERROR(__xludf.DUMMYFUNCTION("""COMPUTED_VALUE"""),"Saipos Serviços De Software")</f>
        <v>Saipos Serviços De Software</v>
      </c>
      <c r="P9195" s="33">
        <f>IFERROR(__xludf.DUMMYFUNCTION("""COMPUTED_VALUE"""),1.0)</f>
        <v>1</v>
      </c>
      <c r="Q9195" s="4" t="str">
        <f>IFERROR(__xludf.DUMMYFUNCTION("""COMPUTED_VALUE"""),"Saipos Serviços De Software")</f>
        <v>Saipos Serviços De Software</v>
      </c>
      <c r="R9195" s="33">
        <f>IFERROR(__xludf.DUMMYFUNCTION("""COMPUTED_VALUE"""),1.0)</f>
        <v>1</v>
      </c>
      <c r="S9195" s="4" t="str">
        <f>IFERROR(__xludf.DUMMYFUNCTION("""COMPUTED_VALUE"""),"Saipos Serviços De Software")</f>
        <v>Saipos Serviços De Software</v>
      </c>
      <c r="T9195" s="33">
        <f>IFERROR(__xludf.DUMMYFUNCTION("""COMPUTED_VALUE"""),1.0)</f>
        <v>1</v>
      </c>
      <c r="U9195" s="4" t="str">
        <f>IFERROR(__xludf.DUMMYFUNCTION("""COMPUTED_VALUE"""),"Saipos Serviços De Software")</f>
        <v>Saipos Serviços De Software</v>
      </c>
      <c r="V9195" s="33">
        <f>IFERROR(__xludf.DUMMYFUNCTION("""COMPUTED_VALUE"""),1.0)</f>
        <v>1</v>
      </c>
      <c r="W9195" s="4" t="str">
        <f>IFERROR(__xludf.DUMMYFUNCTION("""COMPUTED_VALUE"""),"Saipos Serviços De Software")</f>
        <v>Saipos Serviços De Software</v>
      </c>
      <c r="X9195" s="33">
        <f>IFERROR(__xludf.DUMMYFUNCTION("""COMPUTED_VALUE"""),1.0)</f>
        <v>1</v>
      </c>
    </row>
    <row r="9196">
      <c r="K9196" s="4" t="str">
        <f>IFERROR(__xludf.DUMMYFUNCTION("""COMPUTED_VALUE"""),"SOUL DO TEXAS BURGUER")</f>
        <v>SOUL DO TEXAS BURGUER</v>
      </c>
      <c r="L9196" s="32">
        <f>IFERROR(__xludf.DUMMYFUNCTION("""COMPUTED_VALUE"""),1.0)</f>
        <v>1</v>
      </c>
      <c r="M9196" s="4" t="str">
        <f>IFERROR(__xludf.DUMMYFUNCTION("""COMPUTED_VALUE"""),"Anota Ai Solucoes Digitais S/a")</f>
        <v>Anota Ai Solucoes Digitais S/a</v>
      </c>
      <c r="N9196" s="33">
        <f>IFERROR(__xludf.DUMMYFUNCTION("""COMPUTED_VALUE"""),1.0)</f>
        <v>1</v>
      </c>
      <c r="O9196" s="4" t="str">
        <f>IFERROR(__xludf.DUMMYFUNCTION("""COMPUTED_VALUE"""),"Anota Ai Solucoes Digitais S/a")</f>
        <v>Anota Ai Solucoes Digitais S/a</v>
      </c>
      <c r="P9196" s="33">
        <f>IFERROR(__xludf.DUMMYFUNCTION("""COMPUTED_VALUE"""),1.0)</f>
        <v>1</v>
      </c>
      <c r="Q9196" s="4" t="str">
        <f>IFERROR(__xludf.DUMMYFUNCTION("""COMPUTED_VALUE"""),"null")</f>
        <v>null</v>
      </c>
      <c r="R9196" s="33">
        <f>IFERROR(__xludf.DUMMYFUNCTION("""COMPUTED_VALUE"""),1.0)</f>
        <v>1</v>
      </c>
      <c r="S9196" s="4" t="str">
        <f>IFERROR(__xludf.DUMMYFUNCTION("""COMPUTED_VALUE"""),"Saipos Serviços De Software")</f>
        <v>Saipos Serviços De Software</v>
      </c>
      <c r="T9196" s="33">
        <f>IFERROR(__xludf.DUMMYFUNCTION("""COMPUTED_VALUE"""),1.0)</f>
        <v>1</v>
      </c>
      <c r="U9196" s="4" t="str">
        <f>IFERROR(__xludf.DUMMYFUNCTION("""COMPUTED_VALUE"""),"Saipos Serviços De Software")</f>
        <v>Saipos Serviços De Software</v>
      </c>
      <c r="V9196" s="33">
        <f>IFERROR(__xludf.DUMMYFUNCTION("""COMPUTED_VALUE"""),1.0)</f>
        <v>1</v>
      </c>
      <c r="W9196" s="4" t="str">
        <f>IFERROR(__xludf.DUMMYFUNCTION("""COMPUTED_VALUE"""),"Saipos Serviços De Software")</f>
        <v>Saipos Serviços De Software</v>
      </c>
      <c r="X9196" s="33">
        <f>IFERROR(__xludf.DUMMYFUNCTION("""COMPUTED_VALUE"""),1.0)</f>
        <v>1</v>
      </c>
    </row>
    <row r="9197">
      <c r="K9197" s="4" t="str">
        <f>IFERROR(__xludf.DUMMYFUNCTION("""COMPUTED_VALUE"""),"SALGADOS KI DELICIA")</f>
        <v>SALGADOS KI DELICIA</v>
      </c>
      <c r="L9197" s="32">
        <f>IFERROR(__xludf.DUMMYFUNCTION("""COMPUTED_VALUE"""),1.0)</f>
        <v>1</v>
      </c>
      <c r="M9197" s="4" t="str">
        <f>IFERROR(__xludf.DUMMYFUNCTION("""COMPUTED_VALUE"""),"Brendi")</f>
        <v>Brendi</v>
      </c>
      <c r="N9197" s="33">
        <f>IFERROR(__xludf.DUMMYFUNCTION("""COMPUTED_VALUE"""),1.0)</f>
        <v>1</v>
      </c>
      <c r="O9197" s="4" t="str">
        <f>IFERROR(__xludf.DUMMYFUNCTION("""COMPUTED_VALUE"""),"Brendi")</f>
        <v>Brendi</v>
      </c>
      <c r="P9197" s="33">
        <f>IFERROR(__xludf.DUMMYFUNCTION("""COMPUTED_VALUE"""),1.0)</f>
        <v>1</v>
      </c>
      <c r="Q9197" s="4" t="str">
        <f>IFERROR(__xludf.DUMMYFUNCTION("""COMPUTED_VALUE"""),"Brendi")</f>
        <v>Brendi</v>
      </c>
      <c r="R9197" s="33">
        <f>IFERROR(__xludf.DUMMYFUNCTION("""COMPUTED_VALUE"""),1.0)</f>
        <v>1</v>
      </c>
      <c r="S9197" s="4" t="str">
        <f>IFERROR(__xludf.DUMMYFUNCTION("""COMPUTED_VALUE"""),"Brendi")</f>
        <v>Brendi</v>
      </c>
      <c r="T9197" s="33">
        <f>IFERROR(__xludf.DUMMYFUNCTION("""COMPUTED_VALUE"""),1.0)</f>
        <v>1</v>
      </c>
      <c r="U9197" s="4" t="str">
        <f>IFERROR(__xludf.DUMMYFUNCTION("""COMPUTED_VALUE"""),"Brendi")</f>
        <v>Brendi</v>
      </c>
      <c r="V9197" s="33">
        <f>IFERROR(__xludf.DUMMYFUNCTION("""COMPUTED_VALUE"""),1.0)</f>
        <v>1</v>
      </c>
      <c r="W9197" s="4" t="str">
        <f>IFERROR(__xludf.DUMMYFUNCTION("""COMPUTED_VALUE"""),"Brendi")</f>
        <v>Brendi</v>
      </c>
      <c r="X9197" s="33">
        <f>IFERROR(__xludf.DUMMYFUNCTION("""COMPUTED_VALUE"""),1.0)</f>
        <v>1</v>
      </c>
    </row>
    <row r="9198">
      <c r="K9198" s="4" t="str">
        <f>IFERROR(__xludf.DUMMYFUNCTION("""COMPUTED_VALUE"""),"PREMIUM PIZZARIA CABUCU")</f>
        <v>PREMIUM PIZZARIA CABUCU</v>
      </c>
      <c r="L9198" s="32">
        <f>IFERROR(__xludf.DUMMYFUNCTION("""COMPUTED_VALUE"""),1.0)</f>
        <v>1</v>
      </c>
      <c r="M9198" s="4" t="str">
        <f>IFERROR(__xludf.DUMMYFUNCTION("""COMPUTED_VALUE"""),"Lab Jota Marketing Digital Eirele")</f>
        <v>Lab Jota Marketing Digital Eirele</v>
      </c>
      <c r="N9198" s="33">
        <f>IFERROR(__xludf.DUMMYFUNCTION("""COMPUTED_VALUE"""),1.0)</f>
        <v>1</v>
      </c>
      <c r="O9198" s="4" t="str">
        <f>IFERROR(__xludf.DUMMYFUNCTION("""COMPUTED_VALUE"""),"Lab Jota Marketing Digital Eirele")</f>
        <v>Lab Jota Marketing Digital Eirele</v>
      </c>
      <c r="P9198" s="33">
        <f>IFERROR(__xludf.DUMMYFUNCTION("""COMPUTED_VALUE"""),1.0)</f>
        <v>1</v>
      </c>
      <c r="Q9198" s="4" t="str">
        <f>IFERROR(__xludf.DUMMYFUNCTION("""COMPUTED_VALUE"""),"Lab Jota Marketing Digital Eirele")</f>
        <v>Lab Jota Marketing Digital Eirele</v>
      </c>
      <c r="R9198" s="33">
        <f>IFERROR(__xludf.DUMMYFUNCTION("""COMPUTED_VALUE"""),1.0)</f>
        <v>1</v>
      </c>
      <c r="S9198" s="4" t="str">
        <f>IFERROR(__xludf.DUMMYFUNCTION("""COMPUTED_VALUE"""),"null")</f>
        <v>null</v>
      </c>
      <c r="T9198" s="33">
        <f>IFERROR(__xludf.DUMMYFUNCTION("""COMPUTED_VALUE"""),1.0)</f>
        <v>1</v>
      </c>
      <c r="U9198" s="4" t="str">
        <f>IFERROR(__xludf.DUMMYFUNCTION("""COMPUTED_VALUE"""),"null")</f>
        <v>null</v>
      </c>
      <c r="V9198" s="33">
        <f>IFERROR(__xludf.DUMMYFUNCTION("""COMPUTED_VALUE"""),1.0)</f>
        <v>1</v>
      </c>
      <c r="W9198" s="4" t="str">
        <f>IFERROR(__xludf.DUMMYFUNCTION("""COMPUTED_VALUE"""),"null")</f>
        <v>null</v>
      </c>
      <c r="X9198" s="33">
        <f>IFERROR(__xludf.DUMMYFUNCTION("""COMPUTED_VALUE"""),1.0)</f>
        <v>1</v>
      </c>
    </row>
    <row r="9199">
      <c r="K9199" s="4" t="str">
        <f>IFERROR(__xludf.DUMMYFUNCTION("""COMPUTED_VALUE"""),"MAYARA SANTANA CONFEITARIA ARTESANAL")</f>
        <v>MAYARA SANTANA CONFEITARIA ARTESANAL</v>
      </c>
      <c r="L9199" s="32">
        <f>IFERROR(__xludf.DUMMYFUNCTION("""COMPUTED_VALUE"""),1.0)</f>
        <v>1</v>
      </c>
      <c r="M9199" s="4" t="str">
        <f>IFERROR(__xludf.DUMMYFUNCTION("""COMPUTED_VALUE"""),"null")</f>
        <v>null</v>
      </c>
      <c r="N9199" s="33">
        <f>IFERROR(__xludf.DUMMYFUNCTION("""COMPUTED_VALUE"""),1.0)</f>
        <v>1</v>
      </c>
      <c r="O9199" s="4" t="str">
        <f>IFERROR(__xludf.DUMMYFUNCTION("""COMPUTED_VALUE"""),"null")</f>
        <v>null</v>
      </c>
      <c r="P9199" s="33">
        <f>IFERROR(__xludf.DUMMYFUNCTION("""COMPUTED_VALUE"""),1.0)</f>
        <v>1</v>
      </c>
      <c r="Q9199" s="4" t="str">
        <f>IFERROR(__xludf.DUMMYFUNCTION("""COMPUTED_VALUE"""),"Saipos Serviços De Software")</f>
        <v>Saipos Serviços De Software</v>
      </c>
      <c r="R9199" s="33">
        <f>IFERROR(__xludf.DUMMYFUNCTION("""COMPUTED_VALUE"""),1.0)</f>
        <v>1</v>
      </c>
      <c r="S9199" s="4" t="str">
        <f>IFERROR(__xludf.DUMMYFUNCTION("""COMPUTED_VALUE"""),"Saipos Serviços De Software")</f>
        <v>Saipos Serviços De Software</v>
      </c>
      <c r="T9199" s="33">
        <f>IFERROR(__xludf.DUMMYFUNCTION("""COMPUTED_VALUE"""),1.0)</f>
        <v>1</v>
      </c>
      <c r="U9199" s="4" t="str">
        <f>IFERROR(__xludf.DUMMYFUNCTION("""COMPUTED_VALUE"""),"Saipos Serviços De Software")</f>
        <v>Saipos Serviços De Software</v>
      </c>
      <c r="V9199" s="33">
        <f>IFERROR(__xludf.DUMMYFUNCTION("""COMPUTED_VALUE"""),1.0)</f>
        <v>1</v>
      </c>
      <c r="W9199" s="4" t="str">
        <f>IFERROR(__xludf.DUMMYFUNCTION("""COMPUTED_VALUE"""),"Saipos Serviços De Software")</f>
        <v>Saipos Serviços De Software</v>
      </c>
      <c r="X9199" s="33">
        <f>IFERROR(__xludf.DUMMYFUNCTION("""COMPUTED_VALUE"""),1.0)</f>
        <v>1</v>
      </c>
    </row>
    <row r="9200">
      <c r="K9200" s="4" t="str">
        <f>IFERROR(__xludf.DUMMYFUNCTION("""COMPUTED_VALUE"""),"HAMBURGUERIA ARTESANAL BOOM BURGUER")</f>
        <v>HAMBURGUERIA ARTESANAL BOOM BURGUER</v>
      </c>
      <c r="L9200" s="32">
        <f>IFERROR(__xludf.DUMMYFUNCTION("""COMPUTED_VALUE"""),1.0)</f>
        <v>1</v>
      </c>
      <c r="M9200" s="4" t="str">
        <f>IFERROR(__xludf.DUMMYFUNCTION("""COMPUTED_VALUE"""),"Brendi")</f>
        <v>Brendi</v>
      </c>
      <c r="N9200" s="33">
        <f>IFERROR(__xludf.DUMMYFUNCTION("""COMPUTED_VALUE"""),1.0)</f>
        <v>1</v>
      </c>
      <c r="O9200" s="4" t="str">
        <f>IFERROR(__xludf.DUMMYFUNCTION("""COMPUTED_VALUE"""),"Brendi")</f>
        <v>Brendi</v>
      </c>
      <c r="P9200" s="33">
        <f>IFERROR(__xludf.DUMMYFUNCTION("""COMPUTED_VALUE"""),1.0)</f>
        <v>1</v>
      </c>
      <c r="Q9200" s="4" t="str">
        <f>IFERROR(__xludf.DUMMYFUNCTION("""COMPUTED_VALUE"""),"Brendi")</f>
        <v>Brendi</v>
      </c>
      <c r="R9200" s="33">
        <f>IFERROR(__xludf.DUMMYFUNCTION("""COMPUTED_VALUE"""),1.0)</f>
        <v>1</v>
      </c>
      <c r="S9200" s="4" t="str">
        <f>IFERROR(__xludf.DUMMYFUNCTION("""COMPUTED_VALUE"""),"Brendi")</f>
        <v>Brendi</v>
      </c>
      <c r="T9200" s="33">
        <f>IFERROR(__xludf.DUMMYFUNCTION("""COMPUTED_VALUE"""),1.0)</f>
        <v>1</v>
      </c>
      <c r="U9200" s="4" t="str">
        <f>IFERROR(__xludf.DUMMYFUNCTION("""COMPUTED_VALUE"""),"Brendi")</f>
        <v>Brendi</v>
      </c>
      <c r="V9200" s="33">
        <f>IFERROR(__xludf.DUMMYFUNCTION("""COMPUTED_VALUE"""),1.0)</f>
        <v>1</v>
      </c>
      <c r="W9200" s="4" t="str">
        <f>IFERROR(__xludf.DUMMYFUNCTION("""COMPUTED_VALUE"""),"Brendi")</f>
        <v>Brendi</v>
      </c>
      <c r="X9200" s="33">
        <f>IFERROR(__xludf.DUMMYFUNCTION("""COMPUTED_VALUE"""),1.0)</f>
        <v>1</v>
      </c>
    </row>
    <row r="9201">
      <c r="K9201" s="4" t="str">
        <f>IFERROR(__xludf.DUMMYFUNCTION("""COMPUTED_VALUE"""),"MASSAS E PETISCOS - DELICIAS DARY")</f>
        <v>MASSAS E PETISCOS - DELICIAS DARY</v>
      </c>
      <c r="L9201" s="32">
        <f>IFERROR(__xludf.DUMMYFUNCTION("""COMPUTED_VALUE"""),1.0)</f>
        <v>1</v>
      </c>
      <c r="M9201" s="4" t="str">
        <f>IFERROR(__xludf.DUMMYFUNCTION("""COMPUTED_VALUE"""),"null")</f>
        <v>null</v>
      </c>
      <c r="N9201" s="33">
        <f>IFERROR(__xludf.DUMMYFUNCTION("""COMPUTED_VALUE"""),1.0)</f>
        <v>1</v>
      </c>
      <c r="O9201" s="4" t="str">
        <f>IFERROR(__xludf.DUMMYFUNCTION("""COMPUTED_VALUE"""),"Instadelivery")</f>
        <v>Instadelivery</v>
      </c>
      <c r="P9201" s="33">
        <f>IFERROR(__xludf.DUMMYFUNCTION("""COMPUTED_VALUE"""),1.0)</f>
        <v>1</v>
      </c>
      <c r="Q9201" s="4" t="str">
        <f>IFERROR(__xludf.DUMMYFUNCTION("""COMPUTED_VALUE"""),"Instadelivery")</f>
        <v>Instadelivery</v>
      </c>
      <c r="R9201" s="33">
        <f>IFERROR(__xludf.DUMMYFUNCTION("""COMPUTED_VALUE"""),1.0)</f>
        <v>1</v>
      </c>
      <c r="S9201" s="4" t="str">
        <f>IFERROR(__xludf.DUMMYFUNCTION("""COMPUTED_VALUE"""),"null")</f>
        <v>null</v>
      </c>
      <c r="T9201" s="33">
        <f>IFERROR(__xludf.DUMMYFUNCTION("""COMPUTED_VALUE"""),1.0)</f>
        <v>1</v>
      </c>
      <c r="U9201" s="4" t="str">
        <f>IFERROR(__xludf.DUMMYFUNCTION("""COMPUTED_VALUE"""),"Instadelivery")</f>
        <v>Instadelivery</v>
      </c>
      <c r="V9201" s="33">
        <f>IFERROR(__xludf.DUMMYFUNCTION("""COMPUTED_VALUE"""),1.0)</f>
        <v>1</v>
      </c>
      <c r="W9201" s="4" t="str">
        <f>IFERROR(__xludf.DUMMYFUNCTION("""COMPUTED_VALUE"""),"null")</f>
        <v>null</v>
      </c>
      <c r="X9201" s="33">
        <f>IFERROR(__xludf.DUMMYFUNCTION("""COMPUTED_VALUE"""),1.0)</f>
        <v>1</v>
      </c>
    </row>
    <row r="9202">
      <c r="K9202" s="4" t="str">
        <f>IFERROR(__xludf.DUMMYFUNCTION("""COMPUTED_VALUE"""),"RESERVE GASTRONOMIA")</f>
        <v>RESERVE GASTRONOMIA</v>
      </c>
      <c r="L9202" s="32">
        <f>IFERROR(__xludf.DUMMYFUNCTION("""COMPUTED_VALUE"""),1.0)</f>
        <v>1</v>
      </c>
      <c r="M9202" s="4" t="str">
        <f>IFERROR(__xludf.DUMMYFUNCTION("""COMPUTED_VALUE"""),"null")</f>
        <v>null</v>
      </c>
      <c r="N9202" s="33">
        <f>IFERROR(__xludf.DUMMYFUNCTION("""COMPUTED_VALUE"""),1.0)</f>
        <v>1</v>
      </c>
      <c r="O9202" s="4" t="str">
        <f>IFERROR(__xludf.DUMMYFUNCTION("""COMPUTED_VALUE"""),"Cardápio Web")</f>
        <v>Cardápio Web</v>
      </c>
      <c r="P9202" s="33">
        <f>IFERROR(__xludf.DUMMYFUNCTION("""COMPUTED_VALUE"""),1.0)</f>
        <v>1</v>
      </c>
      <c r="Q9202" s="4" t="str">
        <f>IFERROR(__xludf.DUMMYFUNCTION("""COMPUTED_VALUE"""),"Cardápio Web")</f>
        <v>Cardápio Web</v>
      </c>
      <c r="R9202" s="33">
        <f>IFERROR(__xludf.DUMMYFUNCTION("""COMPUTED_VALUE"""),1.0)</f>
        <v>1</v>
      </c>
      <c r="S9202" s="4" t="str">
        <f>IFERROR(__xludf.DUMMYFUNCTION("""COMPUTED_VALUE"""),"Cardápio Web")</f>
        <v>Cardápio Web</v>
      </c>
      <c r="T9202" s="33">
        <f>IFERROR(__xludf.DUMMYFUNCTION("""COMPUTED_VALUE"""),1.0)</f>
        <v>1</v>
      </c>
      <c r="U9202" s="4" t="str">
        <f>IFERROR(__xludf.DUMMYFUNCTION("""COMPUTED_VALUE"""),"Cardápio Web")</f>
        <v>Cardápio Web</v>
      </c>
      <c r="V9202" s="33">
        <f>IFERROR(__xludf.DUMMYFUNCTION("""COMPUTED_VALUE"""),1.0)</f>
        <v>1</v>
      </c>
      <c r="W9202" s="4" t="str">
        <f>IFERROR(__xludf.DUMMYFUNCTION("""COMPUTED_VALUE"""),"Cardápio Web")</f>
        <v>Cardápio Web</v>
      </c>
      <c r="X9202" s="33">
        <f>IFERROR(__xludf.DUMMYFUNCTION("""COMPUTED_VALUE"""),1.0)</f>
        <v>1</v>
      </c>
    </row>
    <row r="9203">
      <c r="K9203" s="4" t="str">
        <f>IFERROR(__xludf.DUMMYFUNCTION("""COMPUTED_VALUE"""),"RIOS BURGER")</f>
        <v>RIOS BURGER</v>
      </c>
      <c r="L9203" s="32">
        <f>IFERROR(__xludf.DUMMYFUNCTION("""COMPUTED_VALUE"""),1.0)</f>
        <v>1</v>
      </c>
      <c r="M9203" s="4" t="str">
        <f>IFERROR(__xludf.DUMMYFUNCTION("""COMPUTED_VALUE"""),"Olaclick")</f>
        <v>Olaclick</v>
      </c>
      <c r="N9203" s="33">
        <f>IFERROR(__xludf.DUMMYFUNCTION("""COMPUTED_VALUE"""),1.0)</f>
        <v>1</v>
      </c>
      <c r="O9203" s="4" t="str">
        <f>IFERROR(__xludf.DUMMYFUNCTION("""COMPUTED_VALUE"""),"Olaclick")</f>
        <v>Olaclick</v>
      </c>
      <c r="P9203" s="33">
        <f>IFERROR(__xludf.DUMMYFUNCTION("""COMPUTED_VALUE"""),1.0)</f>
        <v>1</v>
      </c>
      <c r="Q9203" s="4" t="str">
        <f>IFERROR(__xludf.DUMMYFUNCTION("""COMPUTED_VALUE"""),"Olaclick")</f>
        <v>Olaclick</v>
      </c>
      <c r="R9203" s="33">
        <f>IFERROR(__xludf.DUMMYFUNCTION("""COMPUTED_VALUE"""),1.0)</f>
        <v>1</v>
      </c>
      <c r="S9203" s="4" t="str">
        <f>IFERROR(__xludf.DUMMYFUNCTION("""COMPUTED_VALUE"""),"Olaclick")</f>
        <v>Olaclick</v>
      </c>
      <c r="T9203" s="33">
        <f>IFERROR(__xludf.DUMMYFUNCTION("""COMPUTED_VALUE"""),1.0)</f>
        <v>1</v>
      </c>
      <c r="U9203" s="4" t="str">
        <f>IFERROR(__xludf.DUMMYFUNCTION("""COMPUTED_VALUE"""),"Olaclick")</f>
        <v>Olaclick</v>
      </c>
      <c r="V9203" s="33">
        <f>IFERROR(__xludf.DUMMYFUNCTION("""COMPUTED_VALUE"""),1.0)</f>
        <v>1</v>
      </c>
      <c r="W9203" s="4" t="str">
        <f>IFERROR(__xludf.DUMMYFUNCTION("""COMPUTED_VALUE"""),"Olaclick")</f>
        <v>Olaclick</v>
      </c>
      <c r="X9203" s="33">
        <f>IFERROR(__xludf.DUMMYFUNCTION("""COMPUTED_VALUE"""),1.0)</f>
        <v>1</v>
      </c>
    </row>
    <row r="9204">
      <c r="K9204" s="4" t="str">
        <f>IFERROR(__xludf.DUMMYFUNCTION("""COMPUTED_VALUE"""),"BODE ASSADO ANITA")</f>
        <v>BODE ASSADO ANITA</v>
      </c>
      <c r="L9204" s="32">
        <f>IFERROR(__xludf.DUMMYFUNCTION("""COMPUTED_VALUE"""),1.0)</f>
        <v>1</v>
      </c>
      <c r="M9204" s="4" t="str">
        <f>IFERROR(__xludf.DUMMYFUNCTION("""COMPUTED_VALUE"""),"Saipos Serviços De Software")</f>
        <v>Saipos Serviços De Software</v>
      </c>
      <c r="N9204" s="33">
        <f>IFERROR(__xludf.DUMMYFUNCTION("""COMPUTED_VALUE"""),1.0)</f>
        <v>1</v>
      </c>
      <c r="O9204" s="4" t="str">
        <f>IFERROR(__xludf.DUMMYFUNCTION("""COMPUTED_VALUE"""),"Saipos Serviços De Software")</f>
        <v>Saipos Serviços De Software</v>
      </c>
      <c r="P9204" s="33">
        <f>IFERROR(__xludf.DUMMYFUNCTION("""COMPUTED_VALUE"""),1.0)</f>
        <v>1</v>
      </c>
      <c r="Q9204" s="4" t="str">
        <f>IFERROR(__xludf.DUMMYFUNCTION("""COMPUTED_VALUE"""),"Saipos Serviços De Software")</f>
        <v>Saipos Serviços De Software</v>
      </c>
      <c r="R9204" s="33">
        <f>IFERROR(__xludf.DUMMYFUNCTION("""COMPUTED_VALUE"""),1.0)</f>
        <v>1</v>
      </c>
      <c r="S9204" s="4" t="str">
        <f>IFERROR(__xludf.DUMMYFUNCTION("""COMPUTED_VALUE"""),"Saipos Serviços De Software")</f>
        <v>Saipos Serviços De Software</v>
      </c>
      <c r="T9204" s="33">
        <f>IFERROR(__xludf.DUMMYFUNCTION("""COMPUTED_VALUE"""),1.0)</f>
        <v>1</v>
      </c>
      <c r="U9204" s="4" t="str">
        <f>IFERROR(__xludf.DUMMYFUNCTION("""COMPUTED_VALUE"""),"Saipos Serviços De Software")</f>
        <v>Saipos Serviços De Software</v>
      </c>
      <c r="V9204" s="33">
        <f>IFERROR(__xludf.DUMMYFUNCTION("""COMPUTED_VALUE"""),1.0)</f>
        <v>1</v>
      </c>
      <c r="W9204" s="4" t="str">
        <f>IFERROR(__xludf.DUMMYFUNCTION("""COMPUTED_VALUE"""),"Saipos Serviços De Software")</f>
        <v>Saipos Serviços De Software</v>
      </c>
      <c r="X9204" s="33">
        <f>IFERROR(__xludf.DUMMYFUNCTION("""COMPUTED_VALUE"""),1.0)</f>
        <v>1</v>
      </c>
    </row>
    <row r="9205">
      <c r="K9205" s="4" t="str">
        <f>IFERROR(__xludf.DUMMYFUNCTION("""COMPUTED_VALUE"""),"CARBUP ACAITERIA")</f>
        <v>CARBUP ACAITERIA</v>
      </c>
      <c r="L9205" s="32">
        <f>IFERROR(__xludf.DUMMYFUNCTION("""COMPUTED_VALUE"""),1.0)</f>
        <v>1</v>
      </c>
      <c r="M9205" s="4" t="str">
        <f>IFERROR(__xludf.DUMMYFUNCTION("""COMPUTED_VALUE"""),"Cardápio Web")</f>
        <v>Cardápio Web</v>
      </c>
      <c r="N9205" s="33">
        <f>IFERROR(__xludf.DUMMYFUNCTION("""COMPUTED_VALUE"""),1.0)</f>
        <v>1</v>
      </c>
      <c r="O9205" s="4" t="str">
        <f>IFERROR(__xludf.DUMMYFUNCTION("""COMPUTED_VALUE"""),"Cardápio Web")</f>
        <v>Cardápio Web</v>
      </c>
      <c r="P9205" s="33">
        <f>IFERROR(__xludf.DUMMYFUNCTION("""COMPUTED_VALUE"""),1.0)</f>
        <v>1</v>
      </c>
      <c r="Q9205" s="4" t="str">
        <f>IFERROR(__xludf.DUMMYFUNCTION("""COMPUTED_VALUE"""),"Cardápio Web")</f>
        <v>Cardápio Web</v>
      </c>
      <c r="R9205" s="33">
        <f>IFERROR(__xludf.DUMMYFUNCTION("""COMPUTED_VALUE"""),1.0)</f>
        <v>1</v>
      </c>
      <c r="S9205" s="4" t="str">
        <f>IFERROR(__xludf.DUMMYFUNCTION("""COMPUTED_VALUE"""),"Cardápio Web")</f>
        <v>Cardápio Web</v>
      </c>
      <c r="T9205" s="33">
        <f>IFERROR(__xludf.DUMMYFUNCTION("""COMPUTED_VALUE"""),1.0)</f>
        <v>1</v>
      </c>
      <c r="U9205" s="4" t="str">
        <f>IFERROR(__xludf.DUMMYFUNCTION("""COMPUTED_VALUE"""),"Cardápio Web")</f>
        <v>Cardápio Web</v>
      </c>
      <c r="V9205" s="33">
        <f>IFERROR(__xludf.DUMMYFUNCTION("""COMPUTED_VALUE"""),1.0)</f>
        <v>1</v>
      </c>
      <c r="W9205" s="4" t="str">
        <f>IFERROR(__xludf.DUMMYFUNCTION("""COMPUTED_VALUE"""),"Cardápio Web")</f>
        <v>Cardápio Web</v>
      </c>
      <c r="X9205" s="33">
        <f>IFERROR(__xludf.DUMMYFUNCTION("""COMPUTED_VALUE"""),1.0)</f>
        <v>1</v>
      </c>
    </row>
    <row r="9206">
      <c r="K9206" s="4" t="str">
        <f>IFERROR(__xludf.DUMMYFUNCTION("""COMPUTED_VALUE"""),"VEZARO PIZZARIA - INTERLAGOS")</f>
        <v>VEZARO PIZZARIA - INTERLAGOS</v>
      </c>
      <c r="L9206" s="32">
        <f>IFERROR(__xludf.DUMMYFUNCTION("""COMPUTED_VALUE"""),1.0)</f>
        <v>1</v>
      </c>
      <c r="M9206" s="4" t="str">
        <f>IFERROR(__xludf.DUMMYFUNCTION("""COMPUTED_VALUE"""),"Junsoft Tecnologia")</f>
        <v>Junsoft Tecnologia</v>
      </c>
      <c r="N9206" s="33">
        <f>IFERROR(__xludf.DUMMYFUNCTION("""COMPUTED_VALUE"""),1.0)</f>
        <v>1</v>
      </c>
      <c r="O9206" s="4" t="str">
        <f>IFERROR(__xludf.DUMMYFUNCTION("""COMPUTED_VALUE"""),"Junsoft Tecnologia")</f>
        <v>Junsoft Tecnologia</v>
      </c>
      <c r="P9206" s="33">
        <f>IFERROR(__xludf.DUMMYFUNCTION("""COMPUTED_VALUE"""),1.0)</f>
        <v>1</v>
      </c>
      <c r="Q9206" s="4" t="str">
        <f>IFERROR(__xludf.DUMMYFUNCTION("""COMPUTED_VALUE"""),"Junsoft Tecnologia")</f>
        <v>Junsoft Tecnologia</v>
      </c>
      <c r="R9206" s="33">
        <f>IFERROR(__xludf.DUMMYFUNCTION("""COMPUTED_VALUE"""),1.0)</f>
        <v>1</v>
      </c>
      <c r="S9206" s="4" t="str">
        <f>IFERROR(__xludf.DUMMYFUNCTION("""COMPUTED_VALUE"""),"Junsoft Tecnologia")</f>
        <v>Junsoft Tecnologia</v>
      </c>
      <c r="T9206" s="33">
        <f>IFERROR(__xludf.DUMMYFUNCTION("""COMPUTED_VALUE"""),1.0)</f>
        <v>1</v>
      </c>
      <c r="U9206" s="4" t="str">
        <f>IFERROR(__xludf.DUMMYFUNCTION("""COMPUTED_VALUE"""),"Junsoft Tecnologia")</f>
        <v>Junsoft Tecnologia</v>
      </c>
      <c r="V9206" s="33">
        <f>IFERROR(__xludf.DUMMYFUNCTION("""COMPUTED_VALUE"""),1.0)</f>
        <v>1</v>
      </c>
      <c r="W9206" s="4" t="str">
        <f>IFERROR(__xludf.DUMMYFUNCTION("""COMPUTED_VALUE"""),"Junsoft Tecnologia")</f>
        <v>Junsoft Tecnologia</v>
      </c>
      <c r="X9206" s="33">
        <f>IFERROR(__xludf.DUMMYFUNCTION("""COMPUTED_VALUE"""),1.0)</f>
        <v>1</v>
      </c>
    </row>
    <row r="9207">
      <c r="K9207" s="4" t="str">
        <f>IFERROR(__xludf.DUMMYFUNCTION("""COMPUTED_VALUE"""),"MARMITAS - SS GASTROBAR")</f>
        <v>MARMITAS - SS GASTROBAR</v>
      </c>
      <c r="L9207" s="32">
        <f>IFERROR(__xludf.DUMMYFUNCTION("""COMPUTED_VALUE"""),1.0)</f>
        <v>1</v>
      </c>
      <c r="M9207" s="4" t="str">
        <f>IFERROR(__xludf.DUMMYFUNCTION("""COMPUTED_VALUE"""),"Sistema Pallas")</f>
        <v>Sistema Pallas</v>
      </c>
      <c r="N9207" s="33">
        <f>IFERROR(__xludf.DUMMYFUNCTION("""COMPUTED_VALUE"""),1.0)</f>
        <v>1</v>
      </c>
      <c r="O9207" s="4" t="str">
        <f>IFERROR(__xludf.DUMMYFUNCTION("""COMPUTED_VALUE"""),"Sistema Pallas")</f>
        <v>Sistema Pallas</v>
      </c>
      <c r="P9207" s="33">
        <f>IFERROR(__xludf.DUMMYFUNCTION("""COMPUTED_VALUE"""),1.0)</f>
        <v>1</v>
      </c>
      <c r="Q9207" s="4" t="str">
        <f>IFERROR(__xludf.DUMMYFUNCTION("""COMPUTED_VALUE"""),"Sistema Pallas")</f>
        <v>Sistema Pallas</v>
      </c>
      <c r="R9207" s="33">
        <f>IFERROR(__xludf.DUMMYFUNCTION("""COMPUTED_VALUE"""),1.0)</f>
        <v>1</v>
      </c>
      <c r="S9207" s="4" t="str">
        <f>IFERROR(__xludf.DUMMYFUNCTION("""COMPUTED_VALUE"""),"Sistema Pallas")</f>
        <v>Sistema Pallas</v>
      </c>
      <c r="T9207" s="33">
        <f>IFERROR(__xludf.DUMMYFUNCTION("""COMPUTED_VALUE"""),1.0)</f>
        <v>1</v>
      </c>
      <c r="U9207" s="4" t="str">
        <f>IFERROR(__xludf.DUMMYFUNCTION("""COMPUTED_VALUE"""),"Sistema Pallas")</f>
        <v>Sistema Pallas</v>
      </c>
      <c r="V9207" s="33">
        <f>IFERROR(__xludf.DUMMYFUNCTION("""COMPUTED_VALUE"""),1.0)</f>
        <v>1</v>
      </c>
      <c r="W9207" s="4" t="str">
        <f>IFERROR(__xludf.DUMMYFUNCTION("""COMPUTED_VALUE"""),"null")</f>
        <v>null</v>
      </c>
      <c r="X9207" s="33">
        <f>IFERROR(__xludf.DUMMYFUNCTION("""COMPUTED_VALUE"""),1.0)</f>
        <v>1</v>
      </c>
    </row>
    <row r="9208">
      <c r="K9208" s="4" t="str">
        <f>IFERROR(__xludf.DUMMYFUNCTION("""COMPUTED_VALUE"""),"CASA DO CUSCUZ MOC")</f>
        <v>CASA DO CUSCUZ MOC</v>
      </c>
      <c r="L9208" s="32">
        <f>IFERROR(__xludf.DUMMYFUNCTION("""COMPUTED_VALUE"""),1.0)</f>
        <v>1</v>
      </c>
      <c r="M9208" s="4" t="str">
        <f>IFERROR(__xludf.DUMMYFUNCTION("""COMPUTED_VALUE"""),"Instadelivery")</f>
        <v>Instadelivery</v>
      </c>
      <c r="N9208" s="33">
        <f>IFERROR(__xludf.DUMMYFUNCTION("""COMPUTED_VALUE"""),1.0)</f>
        <v>1</v>
      </c>
      <c r="O9208" s="4" t="str">
        <f>IFERROR(__xludf.DUMMYFUNCTION("""COMPUTED_VALUE"""),"Instadelivery")</f>
        <v>Instadelivery</v>
      </c>
      <c r="P9208" s="33">
        <f>IFERROR(__xludf.DUMMYFUNCTION("""COMPUTED_VALUE"""),1.0)</f>
        <v>1</v>
      </c>
      <c r="Q9208" s="4" t="str">
        <f>IFERROR(__xludf.DUMMYFUNCTION("""COMPUTED_VALUE"""),"Instadelivery")</f>
        <v>Instadelivery</v>
      </c>
      <c r="R9208" s="33">
        <f>IFERROR(__xludf.DUMMYFUNCTION("""COMPUTED_VALUE"""),1.0)</f>
        <v>1</v>
      </c>
      <c r="S9208" s="4" t="str">
        <f>IFERROR(__xludf.DUMMYFUNCTION("""COMPUTED_VALUE"""),"Instadelivery")</f>
        <v>Instadelivery</v>
      </c>
      <c r="T9208" s="33">
        <f>IFERROR(__xludf.DUMMYFUNCTION("""COMPUTED_VALUE"""),1.0)</f>
        <v>1</v>
      </c>
      <c r="U9208" s="4" t="str">
        <f>IFERROR(__xludf.DUMMYFUNCTION("""COMPUTED_VALUE"""),"Instadelivery")</f>
        <v>Instadelivery</v>
      </c>
      <c r="V9208" s="33">
        <f>IFERROR(__xludf.DUMMYFUNCTION("""COMPUTED_VALUE"""),1.0)</f>
        <v>1</v>
      </c>
      <c r="W9208" s="4" t="str">
        <f>IFERROR(__xludf.DUMMYFUNCTION("""COMPUTED_VALUE"""),"null")</f>
        <v>null</v>
      </c>
      <c r="X9208" s="33">
        <f>IFERROR(__xludf.DUMMYFUNCTION("""COMPUTED_VALUE"""),1.0)</f>
        <v>1</v>
      </c>
    </row>
    <row r="9209">
      <c r="K9209" s="4" t="str">
        <f>IFERROR(__xludf.DUMMYFUNCTION("""COMPUTED_VALUE"""),"A BRASA - MARMITEX")</f>
        <v>A BRASA - MARMITEX</v>
      </c>
      <c r="L9209" s="32">
        <f>IFERROR(__xludf.DUMMYFUNCTION("""COMPUTED_VALUE"""),1.0)</f>
        <v>1</v>
      </c>
      <c r="M9209" s="4" t="str">
        <f>IFERROR(__xludf.DUMMYFUNCTION("""COMPUTED_VALUE"""),"null")</f>
        <v>null</v>
      </c>
      <c r="N9209" s="33">
        <f>IFERROR(__xludf.DUMMYFUNCTION("""COMPUTED_VALUE"""),1.0)</f>
        <v>1</v>
      </c>
      <c r="O9209" s="4" t="str">
        <f>IFERROR(__xludf.DUMMYFUNCTION("""COMPUTED_VALUE"""),"null")</f>
        <v>null</v>
      </c>
      <c r="P9209" s="33">
        <f>IFERROR(__xludf.DUMMYFUNCTION("""COMPUTED_VALUE"""),1.0)</f>
        <v>1</v>
      </c>
      <c r="Q9209" s="4" t="str">
        <f>IFERROR(__xludf.DUMMYFUNCTION("""COMPUTED_VALUE"""),"Cardápio Web")</f>
        <v>Cardápio Web</v>
      </c>
      <c r="R9209" s="33">
        <f>IFERROR(__xludf.DUMMYFUNCTION("""COMPUTED_VALUE"""),1.0)</f>
        <v>1</v>
      </c>
      <c r="S9209" s="4" t="str">
        <f>IFERROR(__xludf.DUMMYFUNCTION("""COMPUTED_VALUE"""),"Cardápio Web")</f>
        <v>Cardápio Web</v>
      </c>
      <c r="T9209" s="33">
        <f>IFERROR(__xludf.DUMMYFUNCTION("""COMPUTED_VALUE"""),1.0)</f>
        <v>1</v>
      </c>
      <c r="U9209" s="4" t="str">
        <f>IFERROR(__xludf.DUMMYFUNCTION("""COMPUTED_VALUE"""),"Cardápio Web")</f>
        <v>Cardápio Web</v>
      </c>
      <c r="V9209" s="33">
        <f>IFERROR(__xludf.DUMMYFUNCTION("""COMPUTED_VALUE"""),1.0)</f>
        <v>1</v>
      </c>
      <c r="W9209" s="4" t="str">
        <f>IFERROR(__xludf.DUMMYFUNCTION("""COMPUTED_VALUE"""),"null")</f>
        <v>null</v>
      </c>
      <c r="X9209" s="33">
        <f>IFERROR(__xludf.DUMMYFUNCTION("""COMPUTED_VALUE"""),1.0)</f>
        <v>1</v>
      </c>
    </row>
    <row r="9210">
      <c r="K9210" s="4" t="str">
        <f>IFERROR(__xludf.DUMMYFUNCTION("""COMPUTED_VALUE"""),"GULLAS HAMBURGUERIA OFICIAL")</f>
        <v>GULLAS HAMBURGUERIA OFICIAL</v>
      </c>
      <c r="L9210" s="32">
        <f>IFERROR(__xludf.DUMMYFUNCTION("""COMPUTED_VALUE"""),1.0)</f>
        <v>1</v>
      </c>
      <c r="M9210" s="4" t="str">
        <f>IFERROR(__xludf.DUMMYFUNCTION("""COMPUTED_VALUE"""),"Anota Ai Solucoes Digitais S/a")</f>
        <v>Anota Ai Solucoes Digitais S/a</v>
      </c>
      <c r="N9210" s="33">
        <f>IFERROR(__xludf.DUMMYFUNCTION("""COMPUTED_VALUE"""),1.0)</f>
        <v>1</v>
      </c>
      <c r="O9210" s="4" t="str">
        <f>IFERROR(__xludf.DUMMYFUNCTION("""COMPUTED_VALUE"""),"Anota Ai Solucoes Digitais S/a")</f>
        <v>Anota Ai Solucoes Digitais S/a</v>
      </c>
      <c r="P9210" s="33">
        <f>IFERROR(__xludf.DUMMYFUNCTION("""COMPUTED_VALUE"""),1.0)</f>
        <v>1</v>
      </c>
      <c r="Q9210" s="4" t="str">
        <f>IFERROR(__xludf.DUMMYFUNCTION("""COMPUTED_VALUE"""),"Cardápio Web")</f>
        <v>Cardápio Web</v>
      </c>
      <c r="R9210" s="33">
        <f>IFERROR(__xludf.DUMMYFUNCTION("""COMPUTED_VALUE"""),1.0)</f>
        <v>1</v>
      </c>
      <c r="S9210" s="4" t="str">
        <f>IFERROR(__xludf.DUMMYFUNCTION("""COMPUTED_VALUE"""),"Cardápio Web")</f>
        <v>Cardápio Web</v>
      </c>
      <c r="T9210" s="33">
        <f>IFERROR(__xludf.DUMMYFUNCTION("""COMPUTED_VALUE"""),1.0)</f>
        <v>1</v>
      </c>
      <c r="U9210" s="4" t="str">
        <f>IFERROR(__xludf.DUMMYFUNCTION("""COMPUTED_VALUE"""),"Anota Ai Solucoes Digitais S/a")</f>
        <v>Anota Ai Solucoes Digitais S/a</v>
      </c>
      <c r="V9210" s="33">
        <f>IFERROR(__xludf.DUMMYFUNCTION("""COMPUTED_VALUE"""),1.0)</f>
        <v>1</v>
      </c>
      <c r="W9210" s="4" t="str">
        <f>IFERROR(__xludf.DUMMYFUNCTION("""COMPUTED_VALUE"""),"Anota Ai Solucoes Digitais S/a")</f>
        <v>Anota Ai Solucoes Digitais S/a</v>
      </c>
      <c r="X9210" s="33">
        <f>IFERROR(__xludf.DUMMYFUNCTION("""COMPUTED_VALUE"""),1.0)</f>
        <v>1</v>
      </c>
    </row>
    <row r="9211">
      <c r="K9211" s="4" t="str">
        <f>IFERROR(__xludf.DUMMYFUNCTION("""COMPUTED_VALUE"""),"SPETO MOOCA - ESPETOS E PRATOS")</f>
        <v>SPETO MOOCA - ESPETOS E PRATOS</v>
      </c>
      <c r="L9211" s="32">
        <f>IFERROR(__xludf.DUMMYFUNCTION("""COMPUTED_VALUE"""),1.0)</f>
        <v>1</v>
      </c>
      <c r="M9211" s="4" t="str">
        <f>IFERROR(__xludf.DUMMYFUNCTION("""COMPUTED_VALUE"""),"Saipos Serviços De Software")</f>
        <v>Saipos Serviços De Software</v>
      </c>
      <c r="N9211" s="33">
        <f>IFERROR(__xludf.DUMMYFUNCTION("""COMPUTED_VALUE"""),1.0)</f>
        <v>1</v>
      </c>
      <c r="O9211" s="4" t="str">
        <f>IFERROR(__xludf.DUMMYFUNCTION("""COMPUTED_VALUE"""),"Saipos Serviços De Software")</f>
        <v>Saipos Serviços De Software</v>
      </c>
      <c r="P9211" s="33">
        <f>IFERROR(__xludf.DUMMYFUNCTION("""COMPUTED_VALUE"""),1.0)</f>
        <v>1</v>
      </c>
      <c r="Q9211" s="4" t="str">
        <f>IFERROR(__xludf.DUMMYFUNCTION("""COMPUTED_VALUE"""),"Saipos Serviços De Software")</f>
        <v>Saipos Serviços De Software</v>
      </c>
      <c r="R9211" s="33">
        <f>IFERROR(__xludf.DUMMYFUNCTION("""COMPUTED_VALUE"""),1.0)</f>
        <v>1</v>
      </c>
      <c r="S9211" s="4" t="str">
        <f>IFERROR(__xludf.DUMMYFUNCTION("""COMPUTED_VALUE"""),"Saipos Serviços De Software")</f>
        <v>Saipos Serviços De Software</v>
      </c>
      <c r="T9211" s="33">
        <f>IFERROR(__xludf.DUMMYFUNCTION("""COMPUTED_VALUE"""),1.0)</f>
        <v>1</v>
      </c>
      <c r="U9211" s="4" t="str">
        <f>IFERROR(__xludf.DUMMYFUNCTION("""COMPUTED_VALUE"""),"Saipos Serviços De Software")</f>
        <v>Saipos Serviços De Software</v>
      </c>
      <c r="V9211" s="33">
        <f>IFERROR(__xludf.DUMMYFUNCTION("""COMPUTED_VALUE"""),1.0)</f>
        <v>1</v>
      </c>
      <c r="W9211" s="4" t="str">
        <f>IFERROR(__xludf.DUMMYFUNCTION("""COMPUTED_VALUE"""),"Saipos Serviços De Software")</f>
        <v>Saipos Serviços De Software</v>
      </c>
      <c r="X9211" s="33">
        <f>IFERROR(__xludf.DUMMYFUNCTION("""COMPUTED_VALUE"""),1.0)</f>
        <v>1</v>
      </c>
    </row>
    <row r="9212">
      <c r="K9212" s="4" t="str">
        <f>IFERROR(__xludf.DUMMYFUNCTION("""COMPUTED_VALUE"""),"HERMES PASTELARIA - CAPOEIRAS")</f>
        <v>HERMES PASTELARIA - CAPOEIRAS</v>
      </c>
      <c r="L9212" s="32">
        <f>IFERROR(__xludf.DUMMYFUNCTION("""COMPUTED_VALUE"""),1.0)</f>
        <v>1</v>
      </c>
      <c r="M9212" s="4" t="str">
        <f>IFERROR(__xludf.DUMMYFUNCTION("""COMPUTED_VALUE"""),"Anota Ai Solucoes Digitais S/a")</f>
        <v>Anota Ai Solucoes Digitais S/a</v>
      </c>
      <c r="N9212" s="33">
        <f>IFERROR(__xludf.DUMMYFUNCTION("""COMPUTED_VALUE"""),1.0)</f>
        <v>1</v>
      </c>
      <c r="O9212" s="4" t="str">
        <f>IFERROR(__xludf.DUMMYFUNCTION("""COMPUTED_VALUE"""),"null")</f>
        <v>null</v>
      </c>
      <c r="P9212" s="33">
        <f>IFERROR(__xludf.DUMMYFUNCTION("""COMPUTED_VALUE"""),1.0)</f>
        <v>1</v>
      </c>
      <c r="Q9212" s="4" t="str">
        <f>IFERROR(__xludf.DUMMYFUNCTION("""COMPUTED_VALUE"""),"null")</f>
        <v>null</v>
      </c>
      <c r="R9212" s="33">
        <f>IFERROR(__xludf.DUMMYFUNCTION("""COMPUTED_VALUE"""),1.0)</f>
        <v>1</v>
      </c>
      <c r="S9212" s="4" t="str">
        <f>IFERROR(__xludf.DUMMYFUNCTION("""COMPUTED_VALUE"""),"null")</f>
        <v>null</v>
      </c>
      <c r="T9212" s="33">
        <f>IFERROR(__xludf.DUMMYFUNCTION("""COMPUTED_VALUE"""),1.0)</f>
        <v>1</v>
      </c>
      <c r="U9212" s="4" t="str">
        <f>IFERROR(__xludf.DUMMYFUNCTION("""COMPUTED_VALUE"""),"null")</f>
        <v>null</v>
      </c>
      <c r="V9212" s="33">
        <f>IFERROR(__xludf.DUMMYFUNCTION("""COMPUTED_VALUE"""),1.0)</f>
        <v>1</v>
      </c>
      <c r="W9212" s="4" t="str">
        <f>IFERROR(__xludf.DUMMYFUNCTION("""COMPUTED_VALUE"""),"Anota Ai Solucoes Digitais S/a")</f>
        <v>Anota Ai Solucoes Digitais S/a</v>
      </c>
      <c r="X9212" s="33">
        <f>IFERROR(__xludf.DUMMYFUNCTION("""COMPUTED_VALUE"""),1.0)</f>
        <v>1</v>
      </c>
    </row>
    <row r="9213">
      <c r="K9213" s="4" t="str">
        <f>IFERROR(__xludf.DUMMYFUNCTION("""COMPUTED_VALUE"""),"PASTEL DE RESPEITO - TAXA GRATIS")</f>
        <v>PASTEL DE RESPEITO - TAXA GRATIS</v>
      </c>
      <c r="L9213" s="32">
        <f>IFERROR(__xludf.DUMMYFUNCTION("""COMPUTED_VALUE"""),1.0)</f>
        <v>1</v>
      </c>
      <c r="M9213" s="4" t="str">
        <f>IFERROR(__xludf.DUMMYFUNCTION("""COMPUTED_VALUE"""),"Saipos Serviços De Software")</f>
        <v>Saipos Serviços De Software</v>
      </c>
      <c r="N9213" s="33">
        <f>IFERROR(__xludf.DUMMYFUNCTION("""COMPUTED_VALUE"""),1.0)</f>
        <v>1</v>
      </c>
      <c r="O9213" s="4" t="str">
        <f>IFERROR(__xludf.DUMMYFUNCTION("""COMPUTED_VALUE"""),"Saipos Serviços De Software")</f>
        <v>Saipos Serviços De Software</v>
      </c>
      <c r="P9213" s="33">
        <f>IFERROR(__xludf.DUMMYFUNCTION("""COMPUTED_VALUE"""),1.0)</f>
        <v>1</v>
      </c>
      <c r="Q9213" s="4" t="str">
        <f>IFERROR(__xludf.DUMMYFUNCTION("""COMPUTED_VALUE"""),"Saipos Serviços De Software")</f>
        <v>Saipos Serviços De Software</v>
      </c>
      <c r="R9213" s="33">
        <f>IFERROR(__xludf.DUMMYFUNCTION("""COMPUTED_VALUE"""),1.0)</f>
        <v>1</v>
      </c>
      <c r="S9213" s="4" t="str">
        <f>IFERROR(__xludf.DUMMYFUNCTION("""COMPUTED_VALUE"""),"Saipos Serviços De Software")</f>
        <v>Saipos Serviços De Software</v>
      </c>
      <c r="T9213" s="33">
        <f>IFERROR(__xludf.DUMMYFUNCTION("""COMPUTED_VALUE"""),1.0)</f>
        <v>1</v>
      </c>
      <c r="U9213" s="4" t="str">
        <f>IFERROR(__xludf.DUMMYFUNCTION("""COMPUTED_VALUE"""),"Saipos Serviços De Software")</f>
        <v>Saipos Serviços De Software</v>
      </c>
      <c r="V9213" s="33">
        <f>IFERROR(__xludf.DUMMYFUNCTION("""COMPUTED_VALUE"""),1.0)</f>
        <v>1</v>
      </c>
      <c r="W9213" s="4" t="str">
        <f>IFERROR(__xludf.DUMMYFUNCTION("""COMPUTED_VALUE"""),"Saipos Serviços De Software")</f>
        <v>Saipos Serviços De Software</v>
      </c>
      <c r="X9213" s="33">
        <f>IFERROR(__xludf.DUMMYFUNCTION("""COMPUTED_VALUE"""),1.0)</f>
        <v>1</v>
      </c>
    </row>
    <row r="9214">
      <c r="K9214" s="4" t="str">
        <f>IFERROR(__xludf.DUMMYFUNCTION("""COMPUTED_VALUE"""),"MAX HEROIS BURGUER")</f>
        <v>MAX HEROIS BURGUER</v>
      </c>
      <c r="L9214" s="32">
        <f>IFERROR(__xludf.DUMMYFUNCTION("""COMPUTED_VALUE"""),1.0)</f>
        <v>1</v>
      </c>
      <c r="M9214" s="4" t="str">
        <f>IFERROR(__xludf.DUMMYFUNCTION("""COMPUTED_VALUE"""),"Cardápio Web")</f>
        <v>Cardápio Web</v>
      </c>
      <c r="N9214" s="33">
        <f>IFERROR(__xludf.DUMMYFUNCTION("""COMPUTED_VALUE"""),1.0)</f>
        <v>1</v>
      </c>
      <c r="O9214" s="4" t="str">
        <f>IFERROR(__xludf.DUMMYFUNCTION("""COMPUTED_VALUE"""),"null")</f>
        <v>null</v>
      </c>
      <c r="P9214" s="33">
        <f>IFERROR(__xludf.DUMMYFUNCTION("""COMPUTED_VALUE"""),1.0)</f>
        <v>1</v>
      </c>
      <c r="Q9214" s="4" t="str">
        <f>IFERROR(__xludf.DUMMYFUNCTION("""COMPUTED_VALUE"""),"Cardápio Web")</f>
        <v>Cardápio Web</v>
      </c>
      <c r="R9214" s="33">
        <f>IFERROR(__xludf.DUMMYFUNCTION("""COMPUTED_VALUE"""),1.0)</f>
        <v>1</v>
      </c>
      <c r="S9214" s="4" t="str">
        <f>IFERROR(__xludf.DUMMYFUNCTION("""COMPUTED_VALUE"""),"Cardápio Web")</f>
        <v>Cardápio Web</v>
      </c>
      <c r="T9214" s="33">
        <f>IFERROR(__xludf.DUMMYFUNCTION("""COMPUTED_VALUE"""),1.0)</f>
        <v>1</v>
      </c>
      <c r="U9214" s="4" t="str">
        <f>IFERROR(__xludf.DUMMYFUNCTION("""COMPUTED_VALUE"""),"Cardápio Web")</f>
        <v>Cardápio Web</v>
      </c>
      <c r="V9214" s="33">
        <f>IFERROR(__xludf.DUMMYFUNCTION("""COMPUTED_VALUE"""),1.0)</f>
        <v>1</v>
      </c>
      <c r="W9214" s="4" t="str">
        <f>IFERROR(__xludf.DUMMYFUNCTION("""COMPUTED_VALUE"""),"Cardápio Web")</f>
        <v>Cardápio Web</v>
      </c>
      <c r="X9214" s="33">
        <f>IFERROR(__xludf.DUMMYFUNCTION("""COMPUTED_VALUE"""),1.0)</f>
        <v>1</v>
      </c>
    </row>
    <row r="9215">
      <c r="K9215" s="4" t="str">
        <f>IFERROR(__xludf.DUMMYFUNCTION("""COMPUTED_VALUE"""),"LUGARDEN JARDIM DE SABORES")</f>
        <v>LUGARDEN JARDIM DE SABORES</v>
      </c>
      <c r="L9215" s="32">
        <f>IFERROR(__xludf.DUMMYFUNCTION("""COMPUTED_VALUE"""),1.0)</f>
        <v>1</v>
      </c>
      <c r="M9215" s="4" t="str">
        <f>IFERROR(__xludf.DUMMYFUNCTION("""COMPUTED_VALUE"""),"null")</f>
        <v>null</v>
      </c>
      <c r="N9215" s="33">
        <f>IFERROR(__xludf.DUMMYFUNCTION("""COMPUTED_VALUE"""),1.0)</f>
        <v>1</v>
      </c>
      <c r="O9215" s="4" t="str">
        <f>IFERROR(__xludf.DUMMYFUNCTION("""COMPUTED_VALUE"""),"null")</f>
        <v>null</v>
      </c>
      <c r="P9215" s="33">
        <f>IFERROR(__xludf.DUMMYFUNCTION("""COMPUTED_VALUE"""),1.0)</f>
        <v>1</v>
      </c>
      <c r="Q9215" s="4" t="str">
        <f>IFERROR(__xludf.DUMMYFUNCTION("""COMPUTED_VALUE"""),"null")</f>
        <v>null</v>
      </c>
      <c r="R9215" s="33">
        <f>IFERROR(__xludf.DUMMYFUNCTION("""COMPUTED_VALUE"""),1.0)</f>
        <v>1</v>
      </c>
      <c r="S9215" s="4" t="str">
        <f>IFERROR(__xludf.DUMMYFUNCTION("""COMPUTED_VALUE"""),"Instadelivery")</f>
        <v>Instadelivery</v>
      </c>
      <c r="T9215" s="33">
        <f>IFERROR(__xludf.DUMMYFUNCTION("""COMPUTED_VALUE"""),1.0)</f>
        <v>1</v>
      </c>
      <c r="U9215" s="4" t="str">
        <f>IFERROR(__xludf.DUMMYFUNCTION("""COMPUTED_VALUE"""),"Instadelivery")</f>
        <v>Instadelivery</v>
      </c>
      <c r="V9215" s="33">
        <f>IFERROR(__xludf.DUMMYFUNCTION("""COMPUTED_VALUE"""),1.0)</f>
        <v>1</v>
      </c>
      <c r="W9215" s="4" t="str">
        <f>IFERROR(__xludf.DUMMYFUNCTION("""COMPUTED_VALUE"""),"Instadelivery")</f>
        <v>Instadelivery</v>
      </c>
      <c r="X9215" s="33">
        <f>IFERROR(__xludf.DUMMYFUNCTION("""COMPUTED_VALUE"""),1.0)</f>
        <v>1</v>
      </c>
    </row>
    <row r="9216">
      <c r="K9216" s="4" t="str">
        <f>IFERROR(__xludf.DUMMYFUNCTION("""COMPUTED_VALUE"""),"JR COZINHA CRIATIVA")</f>
        <v>JR COZINHA CRIATIVA</v>
      </c>
      <c r="L9216" s="32">
        <f>IFERROR(__xludf.DUMMYFUNCTION("""COMPUTED_VALUE"""),1.0)</f>
        <v>1</v>
      </c>
      <c r="M9216" s="4" t="str">
        <f>IFERROR(__xludf.DUMMYFUNCTION("""COMPUTED_VALUE"""),"null")</f>
        <v>null</v>
      </c>
      <c r="N9216" s="33">
        <f>IFERROR(__xludf.DUMMYFUNCTION("""COMPUTED_VALUE"""),1.0)</f>
        <v>1</v>
      </c>
      <c r="O9216" s="4" t="str">
        <f>IFERROR(__xludf.DUMMYFUNCTION("""COMPUTED_VALUE"""),"null")</f>
        <v>null</v>
      </c>
      <c r="P9216" s="33">
        <f>IFERROR(__xludf.DUMMYFUNCTION("""COMPUTED_VALUE"""),1.0)</f>
        <v>1</v>
      </c>
      <c r="Q9216" s="4" t="str">
        <f>IFERROR(__xludf.DUMMYFUNCTION("""COMPUTED_VALUE"""),"null")</f>
        <v>null</v>
      </c>
      <c r="R9216" s="33">
        <f>IFERROR(__xludf.DUMMYFUNCTION("""COMPUTED_VALUE"""),1.0)</f>
        <v>1</v>
      </c>
      <c r="S9216" s="4" t="str">
        <f>IFERROR(__xludf.DUMMYFUNCTION("""COMPUTED_VALUE"""),"null")</f>
        <v>null</v>
      </c>
      <c r="T9216" s="33">
        <f>IFERROR(__xludf.DUMMYFUNCTION("""COMPUTED_VALUE"""),1.0)</f>
        <v>1</v>
      </c>
      <c r="U9216" s="4" t="str">
        <f>IFERROR(__xludf.DUMMYFUNCTION("""COMPUTED_VALUE"""),"Instadelivery")</f>
        <v>Instadelivery</v>
      </c>
      <c r="V9216" s="33">
        <f>IFERROR(__xludf.DUMMYFUNCTION("""COMPUTED_VALUE"""),1.0)</f>
        <v>1</v>
      </c>
      <c r="W9216" s="4" t="str">
        <f>IFERROR(__xludf.DUMMYFUNCTION("""COMPUTED_VALUE"""),"null")</f>
        <v>null</v>
      </c>
      <c r="X9216" s="33">
        <f>IFERROR(__xludf.DUMMYFUNCTION("""COMPUTED_VALUE"""),1.0)</f>
        <v>1</v>
      </c>
    </row>
    <row r="9217">
      <c r="K9217" s="4" t="str">
        <f>IFERROR(__xludf.DUMMYFUNCTION("""COMPUTED_VALUE"""),"ADEGA DO GAUCHO MERCEARIA CANASVIEIRAS")</f>
        <v>ADEGA DO GAUCHO MERCEARIA CANASVIEIRAS</v>
      </c>
      <c r="L9217" s="32">
        <f>IFERROR(__xludf.DUMMYFUNCTION("""COMPUTED_VALUE"""),1.0)</f>
        <v>1</v>
      </c>
      <c r="M9217" s="4" t="str">
        <f>IFERROR(__xludf.DUMMYFUNCTION("""COMPUTED_VALUE"""),"N/A (Not found)")</f>
        <v>N/A (Not found)</v>
      </c>
      <c r="N9217" s="33">
        <f>IFERROR(__xludf.DUMMYFUNCTION("""COMPUTED_VALUE"""),1.0)</f>
        <v>1</v>
      </c>
      <c r="O9217" s="4" t="str">
        <f>IFERROR(__xludf.DUMMYFUNCTION("""COMPUTED_VALUE"""),"N/A (Not found)")</f>
        <v>N/A (Not found)</v>
      </c>
      <c r="P9217" s="33">
        <f>IFERROR(__xludf.DUMMYFUNCTION("""COMPUTED_VALUE"""),1.0)</f>
        <v>1</v>
      </c>
      <c r="Q9217" s="4" t="str">
        <f>IFERROR(__xludf.DUMMYFUNCTION("""COMPUTED_VALUE"""),"N/A (Not found)")</f>
        <v>N/A (Not found)</v>
      </c>
      <c r="R9217" s="33">
        <f>IFERROR(__xludf.DUMMYFUNCTION("""COMPUTED_VALUE"""),1.0)</f>
        <v>1</v>
      </c>
      <c r="S9217" s="4" t="str">
        <f>IFERROR(__xludf.DUMMYFUNCTION("""COMPUTED_VALUE"""),"N/A (Not found)")</f>
        <v>N/A (Not found)</v>
      </c>
      <c r="T9217" s="33">
        <f>IFERROR(__xludf.DUMMYFUNCTION("""COMPUTED_VALUE"""),1.0)</f>
        <v>1</v>
      </c>
      <c r="U9217" s="4" t="str">
        <f>IFERROR(__xludf.DUMMYFUNCTION("""COMPUTED_VALUE"""),"null")</f>
        <v>null</v>
      </c>
      <c r="V9217" s="33">
        <f>IFERROR(__xludf.DUMMYFUNCTION("""COMPUTED_VALUE"""),1.0)</f>
        <v>1</v>
      </c>
      <c r="W9217" s="4" t="str">
        <f>IFERROR(__xludf.DUMMYFUNCTION("""COMPUTED_VALUE"""),"null")</f>
        <v>null</v>
      </c>
      <c r="X9217" s="33">
        <f>IFERROR(__xludf.DUMMYFUNCTION("""COMPUTED_VALUE"""),1.0)</f>
        <v>1</v>
      </c>
    </row>
    <row r="9218">
      <c r="K9218" s="4" t="str">
        <f>IFERROR(__xludf.DUMMYFUNCTION("""COMPUTED_VALUE"""),"GAMELAS BURGER")</f>
        <v>GAMELAS BURGER</v>
      </c>
      <c r="L9218" s="32">
        <f>IFERROR(__xludf.DUMMYFUNCTION("""COMPUTED_VALUE"""),1.0)</f>
        <v>1</v>
      </c>
      <c r="M9218" s="4" t="str">
        <f>IFERROR(__xludf.DUMMYFUNCTION("""COMPUTED_VALUE"""),"Brendi")</f>
        <v>Brendi</v>
      </c>
      <c r="N9218" s="33">
        <f>IFERROR(__xludf.DUMMYFUNCTION("""COMPUTED_VALUE"""),1.0)</f>
        <v>1</v>
      </c>
      <c r="O9218" s="4" t="str">
        <f>IFERROR(__xludf.DUMMYFUNCTION("""COMPUTED_VALUE"""),"Brendi")</f>
        <v>Brendi</v>
      </c>
      <c r="P9218" s="33">
        <f>IFERROR(__xludf.DUMMYFUNCTION("""COMPUTED_VALUE"""),1.0)</f>
        <v>1</v>
      </c>
      <c r="Q9218" s="4" t="str">
        <f>IFERROR(__xludf.DUMMYFUNCTION("""COMPUTED_VALUE"""),"Brendi")</f>
        <v>Brendi</v>
      </c>
      <c r="R9218" s="33">
        <f>IFERROR(__xludf.DUMMYFUNCTION("""COMPUTED_VALUE"""),1.0)</f>
        <v>1</v>
      </c>
      <c r="S9218" s="4" t="str">
        <f>IFERROR(__xludf.DUMMYFUNCTION("""COMPUTED_VALUE"""),"null")</f>
        <v>null</v>
      </c>
      <c r="T9218" s="33">
        <f>IFERROR(__xludf.DUMMYFUNCTION("""COMPUTED_VALUE"""),1.0)</f>
        <v>1</v>
      </c>
      <c r="U9218" s="4" t="str">
        <f>IFERROR(__xludf.DUMMYFUNCTION("""COMPUTED_VALUE"""),"Brendi")</f>
        <v>Brendi</v>
      </c>
      <c r="V9218" s="33">
        <f>IFERROR(__xludf.DUMMYFUNCTION("""COMPUTED_VALUE"""),1.0)</f>
        <v>1</v>
      </c>
      <c r="W9218" s="4" t="str">
        <f>IFERROR(__xludf.DUMMYFUNCTION("""COMPUTED_VALUE"""),"Brendi")</f>
        <v>Brendi</v>
      </c>
      <c r="X9218" s="33">
        <f>IFERROR(__xludf.DUMMYFUNCTION("""COMPUTED_VALUE"""),1.0)</f>
        <v>1</v>
      </c>
    </row>
    <row r="9219">
      <c r="K9219" s="4" t="str">
        <f>IFERROR(__xludf.DUMMYFUNCTION("""COMPUTED_VALUE"""),"SNOW LAND SORVETERIA")</f>
        <v>SNOW LAND SORVETERIA</v>
      </c>
      <c r="L9219" s="32">
        <f>IFERROR(__xludf.DUMMYFUNCTION("""COMPUTED_VALUE"""),1.0)</f>
        <v>1</v>
      </c>
      <c r="M9219" s="4" t="str">
        <f>IFERROR(__xludf.DUMMYFUNCTION("""COMPUTED_VALUE"""),"Beefood - Sistema Para Restaurantes")</f>
        <v>Beefood - Sistema Para Restaurantes</v>
      </c>
      <c r="N9219" s="33">
        <f>IFERROR(__xludf.DUMMYFUNCTION("""COMPUTED_VALUE"""),1.0)</f>
        <v>1</v>
      </c>
      <c r="O9219" s="4" t="str">
        <f>IFERROR(__xludf.DUMMYFUNCTION("""COMPUTED_VALUE"""),"Beefood - Sistema Para Restaurantes")</f>
        <v>Beefood - Sistema Para Restaurantes</v>
      </c>
      <c r="P9219" s="33">
        <f>IFERROR(__xludf.DUMMYFUNCTION("""COMPUTED_VALUE"""),1.0)</f>
        <v>1</v>
      </c>
      <c r="Q9219" s="4" t="str">
        <f>IFERROR(__xludf.DUMMYFUNCTION("""COMPUTED_VALUE"""),"Beefood - Sistema Para Restaurantes")</f>
        <v>Beefood - Sistema Para Restaurantes</v>
      </c>
      <c r="R9219" s="33">
        <f>IFERROR(__xludf.DUMMYFUNCTION("""COMPUTED_VALUE"""),1.0)</f>
        <v>1</v>
      </c>
      <c r="S9219" s="4" t="str">
        <f>IFERROR(__xludf.DUMMYFUNCTION("""COMPUTED_VALUE"""),"Beefood - Sistema Para Restaurantes")</f>
        <v>Beefood - Sistema Para Restaurantes</v>
      </c>
      <c r="T9219" s="33">
        <f>IFERROR(__xludf.DUMMYFUNCTION("""COMPUTED_VALUE"""),1.0)</f>
        <v>1</v>
      </c>
      <c r="U9219" s="4" t="str">
        <f>IFERROR(__xludf.DUMMYFUNCTION("""COMPUTED_VALUE"""),"null")</f>
        <v>null</v>
      </c>
      <c r="V9219" s="33">
        <f>IFERROR(__xludf.DUMMYFUNCTION("""COMPUTED_VALUE"""),1.0)</f>
        <v>1</v>
      </c>
      <c r="W9219" s="4" t="str">
        <f>IFERROR(__xludf.DUMMYFUNCTION("""COMPUTED_VALUE"""),"Beefood - Sistema Para Restaurantes")</f>
        <v>Beefood - Sistema Para Restaurantes</v>
      </c>
      <c r="X9219" s="33">
        <f>IFERROR(__xludf.DUMMYFUNCTION("""COMPUTED_VALUE"""),1.0)</f>
        <v>1</v>
      </c>
    </row>
    <row r="9220">
      <c r="K9220" s="4" t="str">
        <f>IFERROR(__xludf.DUMMYFUNCTION("""COMPUTED_VALUE"""),"KANTINE - CAFETERIA CROISSANTS FRANCESES")</f>
        <v>KANTINE - CAFETERIA CROISSANTS FRANCESES</v>
      </c>
      <c r="L9220" s="32">
        <f>IFERROR(__xludf.DUMMYFUNCTION("""COMPUTED_VALUE"""),1.0)</f>
        <v>1</v>
      </c>
      <c r="M9220" s="4" t="str">
        <f>IFERROR(__xludf.DUMMYFUNCTION("""COMPUTED_VALUE"""),"Takeat Tecnologia")</f>
        <v>Takeat Tecnologia</v>
      </c>
      <c r="N9220" s="33">
        <f>IFERROR(__xludf.DUMMYFUNCTION("""COMPUTED_VALUE"""),1.0)</f>
        <v>1</v>
      </c>
      <c r="O9220" s="4" t="str">
        <f>IFERROR(__xludf.DUMMYFUNCTION("""COMPUTED_VALUE"""),"Takeat Tecnologia")</f>
        <v>Takeat Tecnologia</v>
      </c>
      <c r="P9220" s="33">
        <f>IFERROR(__xludf.DUMMYFUNCTION("""COMPUTED_VALUE"""),1.0)</f>
        <v>1</v>
      </c>
      <c r="Q9220" s="4" t="str">
        <f>IFERROR(__xludf.DUMMYFUNCTION("""COMPUTED_VALUE"""),"Takeat Tecnologia")</f>
        <v>Takeat Tecnologia</v>
      </c>
      <c r="R9220" s="33">
        <f>IFERROR(__xludf.DUMMYFUNCTION("""COMPUTED_VALUE"""),1.0)</f>
        <v>1</v>
      </c>
      <c r="S9220" s="4" t="str">
        <f>IFERROR(__xludf.DUMMYFUNCTION("""COMPUTED_VALUE"""),"Takeat Tecnologia")</f>
        <v>Takeat Tecnologia</v>
      </c>
      <c r="T9220" s="33">
        <f>IFERROR(__xludf.DUMMYFUNCTION("""COMPUTED_VALUE"""),1.0)</f>
        <v>1</v>
      </c>
      <c r="U9220" s="4" t="str">
        <f>IFERROR(__xludf.DUMMYFUNCTION("""COMPUTED_VALUE"""),"Takeat Tecnologia")</f>
        <v>Takeat Tecnologia</v>
      </c>
      <c r="V9220" s="33">
        <f>IFERROR(__xludf.DUMMYFUNCTION("""COMPUTED_VALUE"""),1.0)</f>
        <v>1</v>
      </c>
      <c r="W9220" s="4" t="str">
        <f>IFERROR(__xludf.DUMMYFUNCTION("""COMPUTED_VALUE"""),"Takeat Tecnologia")</f>
        <v>Takeat Tecnologia</v>
      </c>
      <c r="X9220" s="33">
        <f>IFERROR(__xludf.DUMMYFUNCTION("""COMPUTED_VALUE"""),1.0)</f>
        <v>1</v>
      </c>
    </row>
    <row r="9221">
      <c r="K9221" s="4" t="str">
        <f>IFERROR(__xludf.DUMMYFUNCTION("""COMPUTED_VALUE"""),"COOK CHEF")</f>
        <v>COOK CHEF</v>
      </c>
      <c r="L9221" s="32">
        <f>IFERROR(__xludf.DUMMYFUNCTION("""COMPUTED_VALUE"""),1.0)</f>
        <v>1</v>
      </c>
      <c r="M9221" s="4" t="str">
        <f>IFERROR(__xludf.DUMMYFUNCTION("""COMPUTED_VALUE"""),"Consumer Soluções Em Tecnologia Ltda")</f>
        <v>Consumer Soluções Em Tecnologia Ltda</v>
      </c>
      <c r="N9221" s="33">
        <f>IFERROR(__xludf.DUMMYFUNCTION("""COMPUTED_VALUE"""),1.0)</f>
        <v>1</v>
      </c>
      <c r="O9221" s="4" t="str">
        <f>IFERROR(__xludf.DUMMYFUNCTION("""COMPUTED_VALUE"""),"null")</f>
        <v>null</v>
      </c>
      <c r="P9221" s="33">
        <f>IFERROR(__xludf.DUMMYFUNCTION("""COMPUTED_VALUE"""),1.0)</f>
        <v>1</v>
      </c>
      <c r="Q9221" s="4" t="str">
        <f>IFERROR(__xludf.DUMMYFUNCTION("""COMPUTED_VALUE"""),"Consumer Soluções Em Tecnologia Ltda")</f>
        <v>Consumer Soluções Em Tecnologia Ltda</v>
      </c>
      <c r="R9221" s="33">
        <f>IFERROR(__xludf.DUMMYFUNCTION("""COMPUTED_VALUE"""),1.0)</f>
        <v>1</v>
      </c>
      <c r="S9221" s="4" t="str">
        <f>IFERROR(__xludf.DUMMYFUNCTION("""COMPUTED_VALUE"""),"null")</f>
        <v>null</v>
      </c>
      <c r="T9221" s="33">
        <f>IFERROR(__xludf.DUMMYFUNCTION("""COMPUTED_VALUE"""),1.0)</f>
        <v>1</v>
      </c>
      <c r="U9221" s="4" t="str">
        <f>IFERROR(__xludf.DUMMYFUNCTION("""COMPUTED_VALUE"""),"Consumer Soluções Em Tecnologia Ltda")</f>
        <v>Consumer Soluções Em Tecnologia Ltda</v>
      </c>
      <c r="V9221" s="33">
        <f>IFERROR(__xludf.DUMMYFUNCTION("""COMPUTED_VALUE"""),1.0)</f>
        <v>1</v>
      </c>
      <c r="W9221" s="4" t="str">
        <f>IFERROR(__xludf.DUMMYFUNCTION("""COMPUTED_VALUE"""),"null")</f>
        <v>null</v>
      </c>
      <c r="X9221" s="33">
        <f>IFERROR(__xludf.DUMMYFUNCTION("""COMPUTED_VALUE"""),1.0)</f>
        <v>1</v>
      </c>
    </row>
    <row r="9222">
      <c r="K9222" s="4" t="str">
        <f>IFERROR(__xludf.DUMMYFUNCTION("""COMPUTED_VALUE"""),"FARAO CHURRASCOS")</f>
        <v>FARAO CHURRASCOS</v>
      </c>
      <c r="L9222" s="32">
        <f>IFERROR(__xludf.DUMMYFUNCTION("""COMPUTED_VALUE"""),1.0)</f>
        <v>1</v>
      </c>
      <c r="M9222" s="4" t="str">
        <f>IFERROR(__xludf.DUMMYFUNCTION("""COMPUTED_VALUE"""),"null")</f>
        <v>null</v>
      </c>
      <c r="N9222" s="33">
        <f>IFERROR(__xludf.DUMMYFUNCTION("""COMPUTED_VALUE"""),1.0)</f>
        <v>1</v>
      </c>
      <c r="O9222" s="4" t="str">
        <f>IFERROR(__xludf.DUMMYFUNCTION("""COMPUTED_VALUE"""),"null")</f>
        <v>null</v>
      </c>
      <c r="P9222" s="33">
        <f>IFERROR(__xludf.DUMMYFUNCTION("""COMPUTED_VALUE"""),1.0)</f>
        <v>1</v>
      </c>
      <c r="Q9222" s="4" t="str">
        <f>IFERROR(__xludf.DUMMYFUNCTION("""COMPUTED_VALUE"""),"null")</f>
        <v>null</v>
      </c>
      <c r="R9222" s="33">
        <f>IFERROR(__xludf.DUMMYFUNCTION("""COMPUTED_VALUE"""),1.0)</f>
        <v>1</v>
      </c>
      <c r="S9222" s="4" t="str">
        <f>IFERROR(__xludf.DUMMYFUNCTION("""COMPUTED_VALUE"""),"null")</f>
        <v>null</v>
      </c>
      <c r="T9222" s="33">
        <f>IFERROR(__xludf.DUMMYFUNCTION("""COMPUTED_VALUE"""),1.0)</f>
        <v>1</v>
      </c>
      <c r="U9222" s="4" t="str">
        <f>IFERROR(__xludf.DUMMYFUNCTION("""COMPUTED_VALUE"""),"Anota Ai Solucoes Digitais S/a")</f>
        <v>Anota Ai Solucoes Digitais S/a</v>
      </c>
      <c r="V9222" s="33">
        <f>IFERROR(__xludf.DUMMYFUNCTION("""COMPUTED_VALUE"""),1.0)</f>
        <v>1</v>
      </c>
      <c r="W9222" s="4" t="str">
        <f>IFERROR(__xludf.DUMMYFUNCTION("""COMPUTED_VALUE"""),"Anota Ai Solucoes Digitais S/a")</f>
        <v>Anota Ai Solucoes Digitais S/a</v>
      </c>
      <c r="X9222" s="33">
        <f>IFERROR(__xludf.DUMMYFUNCTION("""COMPUTED_VALUE"""),1.0)</f>
        <v>1</v>
      </c>
    </row>
    <row r="9223">
      <c r="K9223" s="4" t="str">
        <f>IFERROR(__xludf.DUMMYFUNCTION("""COMPUTED_VALUE"""),"ZE DA BREJA DELIVERY")</f>
        <v>ZE DA BREJA DELIVERY</v>
      </c>
      <c r="L9223" s="32">
        <f>IFERROR(__xludf.DUMMYFUNCTION("""COMPUTED_VALUE"""),1.0)</f>
        <v>1</v>
      </c>
      <c r="M9223" s="4" t="str">
        <f>IFERROR(__xludf.DUMMYFUNCTION("""COMPUTED_VALUE"""),"null")</f>
        <v>null</v>
      </c>
      <c r="N9223" s="33">
        <f>IFERROR(__xludf.DUMMYFUNCTION("""COMPUTED_VALUE"""),1.0)</f>
        <v>1</v>
      </c>
      <c r="O9223" s="4" t="str">
        <f>IFERROR(__xludf.DUMMYFUNCTION("""COMPUTED_VALUE"""),"Saipos Serviços De Software")</f>
        <v>Saipos Serviços De Software</v>
      </c>
      <c r="P9223" s="33">
        <f>IFERROR(__xludf.DUMMYFUNCTION("""COMPUTED_VALUE"""),1.0)</f>
        <v>1</v>
      </c>
      <c r="Q9223" s="4" t="str">
        <f>IFERROR(__xludf.DUMMYFUNCTION("""COMPUTED_VALUE"""),"null")</f>
        <v>null</v>
      </c>
      <c r="R9223" s="33">
        <f>IFERROR(__xludf.DUMMYFUNCTION("""COMPUTED_VALUE"""),1.0)</f>
        <v>1</v>
      </c>
      <c r="S9223" s="4" t="str">
        <f>IFERROR(__xludf.DUMMYFUNCTION("""COMPUTED_VALUE"""),"Saipos Serviços De Software")</f>
        <v>Saipos Serviços De Software</v>
      </c>
      <c r="T9223" s="33">
        <f>IFERROR(__xludf.DUMMYFUNCTION("""COMPUTED_VALUE"""),1.0)</f>
        <v>1</v>
      </c>
      <c r="U9223" s="4" t="str">
        <f>IFERROR(__xludf.DUMMYFUNCTION("""COMPUTED_VALUE"""),"null")</f>
        <v>null</v>
      </c>
      <c r="V9223" s="33">
        <f>IFERROR(__xludf.DUMMYFUNCTION("""COMPUTED_VALUE"""),1.0)</f>
        <v>1</v>
      </c>
      <c r="W9223" s="4" t="str">
        <f>IFERROR(__xludf.DUMMYFUNCTION("""COMPUTED_VALUE"""),"Saipos Serviços De Software")</f>
        <v>Saipos Serviços De Software</v>
      </c>
      <c r="X9223" s="33">
        <f>IFERROR(__xludf.DUMMYFUNCTION("""COMPUTED_VALUE"""),1.0)</f>
        <v>1</v>
      </c>
    </row>
    <row r="9224">
      <c r="K9224" s="4" t="str">
        <f>IFERROR(__xludf.DUMMYFUNCTION("""COMPUTED_VALUE"""),"CONFEITARIA KARINA FERREIRA - DOCES E SALGADOS")</f>
        <v>CONFEITARIA KARINA FERREIRA - DOCES E SALGADOS</v>
      </c>
      <c r="L9224" s="32">
        <f>IFERROR(__xludf.DUMMYFUNCTION("""COMPUTED_VALUE"""),1.0)</f>
        <v>1</v>
      </c>
      <c r="M9224" s="4" t="str">
        <f>IFERROR(__xludf.DUMMYFUNCTION("""COMPUTED_VALUE"""),"Instadelivery")</f>
        <v>Instadelivery</v>
      </c>
      <c r="N9224" s="33">
        <f>IFERROR(__xludf.DUMMYFUNCTION("""COMPUTED_VALUE"""),1.0)</f>
        <v>1</v>
      </c>
      <c r="O9224" s="4" t="str">
        <f>IFERROR(__xludf.DUMMYFUNCTION("""COMPUTED_VALUE"""),"Instadelivery")</f>
        <v>Instadelivery</v>
      </c>
      <c r="P9224" s="33">
        <f>IFERROR(__xludf.DUMMYFUNCTION("""COMPUTED_VALUE"""),1.0)</f>
        <v>1</v>
      </c>
      <c r="Q9224" s="4" t="str">
        <f>IFERROR(__xludf.DUMMYFUNCTION("""COMPUTED_VALUE"""),"Instadelivery")</f>
        <v>Instadelivery</v>
      </c>
      <c r="R9224" s="33">
        <f>IFERROR(__xludf.DUMMYFUNCTION("""COMPUTED_VALUE"""),1.0)</f>
        <v>1</v>
      </c>
      <c r="S9224" s="4" t="str">
        <f>IFERROR(__xludf.DUMMYFUNCTION("""COMPUTED_VALUE"""),"Instadelivery")</f>
        <v>Instadelivery</v>
      </c>
      <c r="T9224" s="33">
        <f>IFERROR(__xludf.DUMMYFUNCTION("""COMPUTED_VALUE"""),1.0)</f>
        <v>1</v>
      </c>
      <c r="U9224" s="4" t="str">
        <f>IFERROR(__xludf.DUMMYFUNCTION("""COMPUTED_VALUE"""),"null")</f>
        <v>null</v>
      </c>
      <c r="V9224" s="33">
        <f>IFERROR(__xludf.DUMMYFUNCTION("""COMPUTED_VALUE"""),1.0)</f>
        <v>1</v>
      </c>
      <c r="W9224" s="4" t="str">
        <f>IFERROR(__xludf.DUMMYFUNCTION("""COMPUTED_VALUE"""),"null")</f>
        <v>null</v>
      </c>
      <c r="X9224" s="33">
        <f>IFERROR(__xludf.DUMMYFUNCTION("""COMPUTED_VALUE"""),1.0)</f>
        <v>1</v>
      </c>
    </row>
    <row r="9225">
      <c r="K9225" s="4" t="str">
        <f>IFERROR(__xludf.DUMMYFUNCTION("""COMPUTED_VALUE"""),"ALADDIN ESFIHA")</f>
        <v>ALADDIN ESFIHA</v>
      </c>
      <c r="L9225" s="32">
        <f>IFERROR(__xludf.DUMMYFUNCTION("""COMPUTED_VALUE"""),1.0)</f>
        <v>1</v>
      </c>
      <c r="M9225" s="4" t="str">
        <f>IFERROR(__xludf.DUMMYFUNCTION("""COMPUTED_VALUE"""),"Suitable Tecnologia E Gestao")</f>
        <v>Suitable Tecnologia E Gestao</v>
      </c>
      <c r="N9225" s="33">
        <f>IFERROR(__xludf.DUMMYFUNCTION("""COMPUTED_VALUE"""),1.0)</f>
        <v>1</v>
      </c>
      <c r="O9225" s="4" t="str">
        <f>IFERROR(__xludf.DUMMYFUNCTION("""COMPUTED_VALUE"""),"Suitable Tecnologia E Gestao")</f>
        <v>Suitable Tecnologia E Gestao</v>
      </c>
      <c r="P9225" s="33">
        <f>IFERROR(__xludf.DUMMYFUNCTION("""COMPUTED_VALUE"""),1.0)</f>
        <v>1</v>
      </c>
      <c r="Q9225" s="4" t="str">
        <f>IFERROR(__xludf.DUMMYFUNCTION("""COMPUTED_VALUE"""),"Suitable Tecnologia E Gestao")</f>
        <v>Suitable Tecnologia E Gestao</v>
      </c>
      <c r="R9225" s="33">
        <f>IFERROR(__xludf.DUMMYFUNCTION("""COMPUTED_VALUE"""),1.0)</f>
        <v>1</v>
      </c>
      <c r="S9225" s="4" t="str">
        <f>IFERROR(__xludf.DUMMYFUNCTION("""COMPUTED_VALUE"""),"Suitable Tecnologia E Gestao")</f>
        <v>Suitable Tecnologia E Gestao</v>
      </c>
      <c r="T9225" s="33">
        <f>IFERROR(__xludf.DUMMYFUNCTION("""COMPUTED_VALUE"""),1.0)</f>
        <v>1</v>
      </c>
      <c r="U9225" s="4" t="str">
        <f>IFERROR(__xludf.DUMMYFUNCTION("""COMPUTED_VALUE"""),"Suitable Tecnologia E Gestao")</f>
        <v>Suitable Tecnologia E Gestao</v>
      </c>
      <c r="V9225" s="33">
        <f>IFERROR(__xludf.DUMMYFUNCTION("""COMPUTED_VALUE"""),1.0)</f>
        <v>1</v>
      </c>
      <c r="W9225" s="4" t="str">
        <f>IFERROR(__xludf.DUMMYFUNCTION("""COMPUTED_VALUE"""),"Suitable Tecnologia E Gestao")</f>
        <v>Suitable Tecnologia E Gestao</v>
      </c>
      <c r="X9225" s="33">
        <f>IFERROR(__xludf.DUMMYFUNCTION("""COMPUTED_VALUE"""),1.0)</f>
        <v>1</v>
      </c>
    </row>
    <row r="9226">
      <c r="K9226" s="4" t="str">
        <f>IFERROR(__xludf.DUMMYFUNCTION("""COMPUTED_VALUE"""),"HAPPY HOUR PIZZARIA")</f>
        <v>HAPPY HOUR PIZZARIA</v>
      </c>
      <c r="L9226" s="32">
        <f>IFERROR(__xludf.DUMMYFUNCTION("""COMPUTED_VALUE"""),1.0)</f>
        <v>1</v>
      </c>
      <c r="M9226" s="4" t="str">
        <f>IFERROR(__xludf.DUMMYFUNCTION("""COMPUTED_VALUE"""),"Saipos Serviços De Software")</f>
        <v>Saipos Serviços De Software</v>
      </c>
      <c r="N9226" s="33">
        <f>IFERROR(__xludf.DUMMYFUNCTION("""COMPUTED_VALUE"""),1.0)</f>
        <v>1</v>
      </c>
      <c r="O9226" s="4" t="str">
        <f>IFERROR(__xludf.DUMMYFUNCTION("""COMPUTED_VALUE"""),"Saipos Serviços De Software")</f>
        <v>Saipos Serviços De Software</v>
      </c>
      <c r="P9226" s="33">
        <f>IFERROR(__xludf.DUMMYFUNCTION("""COMPUTED_VALUE"""),1.0)</f>
        <v>1</v>
      </c>
      <c r="Q9226" s="4" t="str">
        <f>IFERROR(__xludf.DUMMYFUNCTION("""COMPUTED_VALUE"""),"Saipos Serviços De Software")</f>
        <v>Saipos Serviços De Software</v>
      </c>
      <c r="R9226" s="33">
        <f>IFERROR(__xludf.DUMMYFUNCTION("""COMPUTED_VALUE"""),1.0)</f>
        <v>1</v>
      </c>
      <c r="S9226" s="4" t="str">
        <f>IFERROR(__xludf.DUMMYFUNCTION("""COMPUTED_VALUE"""),"Saipos Serviços De Software")</f>
        <v>Saipos Serviços De Software</v>
      </c>
      <c r="T9226" s="33">
        <f>IFERROR(__xludf.DUMMYFUNCTION("""COMPUTED_VALUE"""),1.0)</f>
        <v>1</v>
      </c>
      <c r="U9226" s="4" t="str">
        <f>IFERROR(__xludf.DUMMYFUNCTION("""COMPUTED_VALUE"""),"Saipos Serviços De Software")</f>
        <v>Saipos Serviços De Software</v>
      </c>
      <c r="V9226" s="33">
        <f>IFERROR(__xludf.DUMMYFUNCTION("""COMPUTED_VALUE"""),1.0)</f>
        <v>1</v>
      </c>
      <c r="W9226" s="4" t="str">
        <f>IFERROR(__xludf.DUMMYFUNCTION("""COMPUTED_VALUE"""),"Grandchef Desenvolvimento De Sistemas Ltda")</f>
        <v>Grandchef Desenvolvimento De Sistemas Ltda</v>
      </c>
      <c r="X9226" s="33">
        <f>IFERROR(__xludf.DUMMYFUNCTION("""COMPUTED_VALUE"""),1.0)</f>
        <v>1</v>
      </c>
    </row>
    <row r="9227">
      <c r="K9227" s="4" t="str">
        <f>IFERROR(__xludf.DUMMYFUNCTION("""COMPUTED_VALUE"""),"RESTAURANTE SERVIART")</f>
        <v>RESTAURANTE SERVIART</v>
      </c>
      <c r="L9227" s="32">
        <f>IFERROR(__xludf.DUMMYFUNCTION("""COMPUTED_VALUE"""),1.0)</f>
        <v>1</v>
      </c>
      <c r="M9227" s="4" t="str">
        <f>IFERROR(__xludf.DUMMYFUNCTION("""COMPUTED_VALUE"""),"Instadelivery")</f>
        <v>Instadelivery</v>
      </c>
      <c r="N9227" s="33">
        <f>IFERROR(__xludf.DUMMYFUNCTION("""COMPUTED_VALUE"""),1.0)</f>
        <v>1</v>
      </c>
      <c r="O9227" s="4" t="str">
        <f>IFERROR(__xludf.DUMMYFUNCTION("""COMPUTED_VALUE"""),"Instadelivery")</f>
        <v>Instadelivery</v>
      </c>
      <c r="P9227" s="33">
        <f>IFERROR(__xludf.DUMMYFUNCTION("""COMPUTED_VALUE"""),1.0)</f>
        <v>1</v>
      </c>
      <c r="Q9227" s="4" t="str">
        <f>IFERROR(__xludf.DUMMYFUNCTION("""COMPUTED_VALUE"""),"Instadelivery")</f>
        <v>Instadelivery</v>
      </c>
      <c r="R9227" s="33">
        <f>IFERROR(__xludf.DUMMYFUNCTION("""COMPUTED_VALUE"""),1.0)</f>
        <v>1</v>
      </c>
      <c r="S9227" s="4" t="str">
        <f>IFERROR(__xludf.DUMMYFUNCTION("""COMPUTED_VALUE"""),"Instadelivery")</f>
        <v>Instadelivery</v>
      </c>
      <c r="T9227" s="33">
        <f>IFERROR(__xludf.DUMMYFUNCTION("""COMPUTED_VALUE"""),1.0)</f>
        <v>1</v>
      </c>
      <c r="U9227" s="4" t="str">
        <f>IFERROR(__xludf.DUMMYFUNCTION("""COMPUTED_VALUE"""),"Instadelivery")</f>
        <v>Instadelivery</v>
      </c>
      <c r="V9227" s="33">
        <f>IFERROR(__xludf.DUMMYFUNCTION("""COMPUTED_VALUE"""),1.0)</f>
        <v>1</v>
      </c>
      <c r="W9227" s="4" t="str">
        <f>IFERROR(__xludf.DUMMYFUNCTION("""COMPUTED_VALUE"""),"null")</f>
        <v>null</v>
      </c>
      <c r="X9227" s="33">
        <f>IFERROR(__xludf.DUMMYFUNCTION("""COMPUTED_VALUE"""),1.0)</f>
        <v>1</v>
      </c>
    </row>
    <row r="9228">
      <c r="K9228" s="4" t="str">
        <f>IFERROR(__xludf.DUMMYFUNCTION("""COMPUTED_VALUE"""),"VENTURAS ACAITERIA")</f>
        <v>VENTURAS ACAITERIA</v>
      </c>
      <c r="L9228" s="32">
        <f>IFERROR(__xludf.DUMMYFUNCTION("""COMPUTED_VALUE"""),1.0)</f>
        <v>1</v>
      </c>
      <c r="M9228" s="4" t="str">
        <f>IFERROR(__xludf.DUMMYFUNCTION("""COMPUTED_VALUE"""),"Instadelivery")</f>
        <v>Instadelivery</v>
      </c>
      <c r="N9228" s="33">
        <f>IFERROR(__xludf.DUMMYFUNCTION("""COMPUTED_VALUE"""),1.0)</f>
        <v>1</v>
      </c>
      <c r="O9228" s="4" t="str">
        <f>IFERROR(__xludf.DUMMYFUNCTION("""COMPUTED_VALUE"""),"Instadelivery")</f>
        <v>Instadelivery</v>
      </c>
      <c r="P9228" s="33">
        <f>IFERROR(__xludf.DUMMYFUNCTION("""COMPUTED_VALUE"""),1.0)</f>
        <v>1</v>
      </c>
      <c r="Q9228" s="4" t="str">
        <f>IFERROR(__xludf.DUMMYFUNCTION("""COMPUTED_VALUE"""),"Instadelivery")</f>
        <v>Instadelivery</v>
      </c>
      <c r="R9228" s="33">
        <f>IFERROR(__xludf.DUMMYFUNCTION("""COMPUTED_VALUE"""),1.0)</f>
        <v>1</v>
      </c>
      <c r="S9228" s="4" t="str">
        <f>IFERROR(__xludf.DUMMYFUNCTION("""COMPUTED_VALUE"""),"Instadelivery")</f>
        <v>Instadelivery</v>
      </c>
      <c r="T9228" s="33">
        <f>IFERROR(__xludf.DUMMYFUNCTION("""COMPUTED_VALUE"""),1.0)</f>
        <v>1</v>
      </c>
      <c r="U9228" s="4" t="str">
        <f>IFERROR(__xludf.DUMMYFUNCTION("""COMPUTED_VALUE"""),"Instadelivery")</f>
        <v>Instadelivery</v>
      </c>
      <c r="V9228" s="33">
        <f>IFERROR(__xludf.DUMMYFUNCTION("""COMPUTED_VALUE"""),1.0)</f>
        <v>1</v>
      </c>
      <c r="W9228" s="4" t="str">
        <f>IFERROR(__xludf.DUMMYFUNCTION("""COMPUTED_VALUE"""),"Instadelivery")</f>
        <v>Instadelivery</v>
      </c>
      <c r="X9228" s="33">
        <f>IFERROR(__xludf.DUMMYFUNCTION("""COMPUTED_VALUE"""),1.0)</f>
        <v>1</v>
      </c>
    </row>
    <row r="9229">
      <c r="K9229" s="4" t="str">
        <f>IFERROR(__xludf.DUMMYFUNCTION("""COMPUTED_VALUE"""),"DOGUERIA - FAMILY DOGS")</f>
        <v>DOGUERIA - FAMILY DOGS</v>
      </c>
      <c r="L9229" s="32">
        <f>IFERROR(__xludf.DUMMYFUNCTION("""COMPUTED_VALUE"""),1.0)</f>
        <v>1</v>
      </c>
      <c r="M9229" s="4" t="str">
        <f>IFERROR(__xludf.DUMMYFUNCTION("""COMPUTED_VALUE"""),"Olaclick")</f>
        <v>Olaclick</v>
      </c>
      <c r="N9229" s="33">
        <f>IFERROR(__xludf.DUMMYFUNCTION("""COMPUTED_VALUE"""),1.0)</f>
        <v>1</v>
      </c>
      <c r="O9229" s="4" t="str">
        <f>IFERROR(__xludf.DUMMYFUNCTION("""COMPUTED_VALUE"""),"Olaclick")</f>
        <v>Olaclick</v>
      </c>
      <c r="P9229" s="33">
        <f>IFERROR(__xludf.DUMMYFUNCTION("""COMPUTED_VALUE"""),1.0)</f>
        <v>1</v>
      </c>
      <c r="Q9229" s="4" t="str">
        <f>IFERROR(__xludf.DUMMYFUNCTION("""COMPUTED_VALUE"""),"Saipos Serviços De Software")</f>
        <v>Saipos Serviços De Software</v>
      </c>
      <c r="R9229" s="33">
        <f>IFERROR(__xludf.DUMMYFUNCTION("""COMPUTED_VALUE"""),1.0)</f>
        <v>1</v>
      </c>
      <c r="S9229" s="4" t="str">
        <f>IFERROR(__xludf.DUMMYFUNCTION("""COMPUTED_VALUE"""),"Saipos Serviços De Software")</f>
        <v>Saipos Serviços De Software</v>
      </c>
      <c r="T9229" s="33">
        <f>IFERROR(__xludf.DUMMYFUNCTION("""COMPUTED_VALUE"""),1.0)</f>
        <v>1</v>
      </c>
      <c r="U9229" s="4" t="str">
        <f>IFERROR(__xludf.DUMMYFUNCTION("""COMPUTED_VALUE"""),"Saipos Serviços De Software")</f>
        <v>Saipos Serviços De Software</v>
      </c>
      <c r="V9229" s="33">
        <f>IFERROR(__xludf.DUMMYFUNCTION("""COMPUTED_VALUE"""),1.0)</f>
        <v>1</v>
      </c>
      <c r="W9229" s="4" t="str">
        <f>IFERROR(__xludf.DUMMYFUNCTION("""COMPUTED_VALUE"""),"Saipos Serviços De Software")</f>
        <v>Saipos Serviços De Software</v>
      </c>
      <c r="X9229" s="33">
        <f>IFERROR(__xludf.DUMMYFUNCTION("""COMPUTED_VALUE"""),1.0)</f>
        <v>1</v>
      </c>
    </row>
    <row r="9230">
      <c r="K9230" s="4" t="str">
        <f>IFERROR(__xludf.DUMMYFUNCTION("""COMPUTED_VALUE"""),"STREET PARK PIZZARIA - CRICIUMA")</f>
        <v>STREET PARK PIZZARIA - CRICIUMA</v>
      </c>
      <c r="L9230" s="32">
        <f>IFERROR(__xludf.DUMMYFUNCTION("""COMPUTED_VALUE"""),1.0)</f>
        <v>1</v>
      </c>
      <c r="M9230" s="4" t="str">
        <f>IFERROR(__xludf.DUMMYFUNCTION("""COMPUTED_VALUE"""),"Anove Tecnologia")</f>
        <v>Anove Tecnologia</v>
      </c>
      <c r="N9230" s="33">
        <f>IFERROR(__xludf.DUMMYFUNCTION("""COMPUTED_VALUE"""),1.0)</f>
        <v>1</v>
      </c>
      <c r="O9230" s="4" t="str">
        <f>IFERROR(__xludf.DUMMYFUNCTION("""COMPUTED_VALUE"""),"Cardápio Web")</f>
        <v>Cardápio Web</v>
      </c>
      <c r="P9230" s="33">
        <f>IFERROR(__xludf.DUMMYFUNCTION("""COMPUTED_VALUE"""),1.0)</f>
        <v>1</v>
      </c>
      <c r="Q9230" s="4" t="str">
        <f>IFERROR(__xludf.DUMMYFUNCTION("""COMPUTED_VALUE"""),"Cardápio Web")</f>
        <v>Cardápio Web</v>
      </c>
      <c r="R9230" s="33">
        <f>IFERROR(__xludf.DUMMYFUNCTION("""COMPUTED_VALUE"""),1.0)</f>
        <v>1</v>
      </c>
      <c r="S9230" s="4" t="str">
        <f>IFERROR(__xludf.DUMMYFUNCTION("""COMPUTED_VALUE"""),"Cardápio Web")</f>
        <v>Cardápio Web</v>
      </c>
      <c r="T9230" s="33">
        <f>IFERROR(__xludf.DUMMYFUNCTION("""COMPUTED_VALUE"""),1.0)</f>
        <v>1</v>
      </c>
      <c r="U9230" s="4" t="str">
        <f>IFERROR(__xludf.DUMMYFUNCTION("""COMPUTED_VALUE"""),"Cardápio Web")</f>
        <v>Cardápio Web</v>
      </c>
      <c r="V9230" s="33">
        <f>IFERROR(__xludf.DUMMYFUNCTION("""COMPUTED_VALUE"""),1.0)</f>
        <v>1</v>
      </c>
      <c r="W9230" s="4" t="str">
        <f>IFERROR(__xludf.DUMMYFUNCTION("""COMPUTED_VALUE"""),"Cardápio Web")</f>
        <v>Cardápio Web</v>
      </c>
      <c r="X9230" s="33">
        <f>IFERROR(__xludf.DUMMYFUNCTION("""COMPUTED_VALUE"""),1.0)</f>
        <v>1</v>
      </c>
    </row>
    <row r="9231">
      <c r="K9231" s="4" t="str">
        <f>IFERROR(__xludf.DUMMYFUNCTION("""COMPUTED_VALUE"""),"SANTELAR ALIMENTOS")</f>
        <v>SANTELAR ALIMENTOS</v>
      </c>
      <c r="L9231" s="32">
        <f>IFERROR(__xludf.DUMMYFUNCTION("""COMPUTED_VALUE"""),1.0)</f>
        <v>1</v>
      </c>
      <c r="M9231" s="4" t="str">
        <f>IFERROR(__xludf.DUMMYFUNCTION("""COMPUTED_VALUE"""),"Instadelivery")</f>
        <v>Instadelivery</v>
      </c>
      <c r="N9231" s="33">
        <f>IFERROR(__xludf.DUMMYFUNCTION("""COMPUTED_VALUE"""),1.0)</f>
        <v>1</v>
      </c>
      <c r="O9231" s="4" t="str">
        <f>IFERROR(__xludf.DUMMYFUNCTION("""COMPUTED_VALUE"""),"Instadelivery")</f>
        <v>Instadelivery</v>
      </c>
      <c r="P9231" s="33">
        <f>IFERROR(__xludf.DUMMYFUNCTION("""COMPUTED_VALUE"""),1.0)</f>
        <v>1</v>
      </c>
      <c r="Q9231" s="4" t="str">
        <f>IFERROR(__xludf.DUMMYFUNCTION("""COMPUTED_VALUE"""),"Instadelivery")</f>
        <v>Instadelivery</v>
      </c>
      <c r="R9231" s="33">
        <f>IFERROR(__xludf.DUMMYFUNCTION("""COMPUTED_VALUE"""),1.0)</f>
        <v>1</v>
      </c>
      <c r="S9231" s="4" t="str">
        <f>IFERROR(__xludf.DUMMYFUNCTION("""COMPUTED_VALUE"""),"Instadelivery")</f>
        <v>Instadelivery</v>
      </c>
      <c r="T9231" s="33">
        <f>IFERROR(__xludf.DUMMYFUNCTION("""COMPUTED_VALUE"""),1.0)</f>
        <v>1</v>
      </c>
      <c r="U9231" s="4" t="str">
        <f>IFERROR(__xludf.DUMMYFUNCTION("""COMPUTED_VALUE"""),"Instadelivery")</f>
        <v>Instadelivery</v>
      </c>
      <c r="V9231" s="33">
        <f>IFERROR(__xludf.DUMMYFUNCTION("""COMPUTED_VALUE"""),1.0)</f>
        <v>1</v>
      </c>
      <c r="W9231" s="4" t="str">
        <f>IFERROR(__xludf.DUMMYFUNCTION("""COMPUTED_VALUE"""),"null")</f>
        <v>null</v>
      </c>
      <c r="X9231" s="33">
        <f>IFERROR(__xludf.DUMMYFUNCTION("""COMPUTED_VALUE"""),1.0)</f>
        <v>1</v>
      </c>
    </row>
    <row r="9232">
      <c r="K9232" s="4" t="str">
        <f>IFERROR(__xludf.DUMMYFUNCTION("""COMPUTED_VALUE"""),"BOLO DO DIA")</f>
        <v>BOLO DO DIA</v>
      </c>
      <c r="L9232" s="32">
        <f>IFERROR(__xludf.DUMMYFUNCTION("""COMPUTED_VALUE"""),1.0)</f>
        <v>1</v>
      </c>
      <c r="M9232" s="4" t="str">
        <f>IFERROR(__xludf.DUMMYFUNCTION("""COMPUTED_VALUE"""),"Totvs Large Enterprise Tecnologia S.a.")</f>
        <v>Totvs Large Enterprise Tecnologia S.a.</v>
      </c>
      <c r="N9232" s="33">
        <f>IFERROR(__xludf.DUMMYFUNCTION("""COMPUTED_VALUE"""),1.0)</f>
        <v>1</v>
      </c>
      <c r="O9232" s="4" t="str">
        <f>IFERROR(__xludf.DUMMYFUNCTION("""COMPUTED_VALUE"""),"Totvs Large Enterprise Tecnologia S.a.")</f>
        <v>Totvs Large Enterprise Tecnologia S.a.</v>
      </c>
      <c r="P9232" s="33">
        <f>IFERROR(__xludf.DUMMYFUNCTION("""COMPUTED_VALUE"""),1.0)</f>
        <v>1</v>
      </c>
      <c r="Q9232" s="4" t="str">
        <f>IFERROR(__xludf.DUMMYFUNCTION("""COMPUTED_VALUE"""),"Totvs Large Enterprise Tecnologia S.a.")</f>
        <v>Totvs Large Enterprise Tecnologia S.a.</v>
      </c>
      <c r="R9232" s="33">
        <f>IFERROR(__xludf.DUMMYFUNCTION("""COMPUTED_VALUE"""),1.0)</f>
        <v>1</v>
      </c>
      <c r="S9232" s="4" t="str">
        <f>IFERROR(__xludf.DUMMYFUNCTION("""COMPUTED_VALUE"""),"Totvs Large Enterprise Tecnologia S.a.")</f>
        <v>Totvs Large Enterprise Tecnologia S.a.</v>
      </c>
      <c r="T9232" s="33">
        <f>IFERROR(__xludf.DUMMYFUNCTION("""COMPUTED_VALUE"""),1.0)</f>
        <v>1</v>
      </c>
      <c r="U9232" s="4" t="str">
        <f>IFERROR(__xludf.DUMMYFUNCTION("""COMPUTED_VALUE"""),"Totvs Large Enterprise Tecnologia S.a.")</f>
        <v>Totvs Large Enterprise Tecnologia S.a.</v>
      </c>
      <c r="V9232" s="33">
        <f>IFERROR(__xludf.DUMMYFUNCTION("""COMPUTED_VALUE"""),1.0)</f>
        <v>1</v>
      </c>
      <c r="W9232" s="4" t="str">
        <f>IFERROR(__xludf.DUMMYFUNCTION("""COMPUTED_VALUE"""),"null")</f>
        <v>null</v>
      </c>
      <c r="X9232" s="33">
        <f>IFERROR(__xludf.DUMMYFUNCTION("""COMPUTED_VALUE"""),1.0)</f>
        <v>1</v>
      </c>
    </row>
    <row r="9233">
      <c r="K9233" s="4" t="str">
        <f>IFERROR(__xludf.DUMMYFUNCTION("""COMPUTED_VALUE"""),"ESPETIM DUBOM")</f>
        <v>ESPETIM DUBOM</v>
      </c>
      <c r="L9233" s="32">
        <f>IFERROR(__xludf.DUMMYFUNCTION("""COMPUTED_VALUE"""),1.0)</f>
        <v>1</v>
      </c>
      <c r="M9233" s="4" t="str">
        <f>IFERROR(__xludf.DUMMYFUNCTION("""COMPUTED_VALUE"""),"Wls Solucoes Empresariais Ltda")</f>
        <v>Wls Solucoes Empresariais Ltda</v>
      </c>
      <c r="N9233" s="33">
        <f>IFERROR(__xludf.DUMMYFUNCTION("""COMPUTED_VALUE"""),1.0)</f>
        <v>1</v>
      </c>
      <c r="O9233" s="4" t="str">
        <f>IFERROR(__xludf.DUMMYFUNCTION("""COMPUTED_VALUE"""),"Wls Solucoes Empresariais Ltda")</f>
        <v>Wls Solucoes Empresariais Ltda</v>
      </c>
      <c r="P9233" s="33">
        <f>IFERROR(__xludf.DUMMYFUNCTION("""COMPUTED_VALUE"""),1.0)</f>
        <v>1</v>
      </c>
      <c r="Q9233" s="4" t="str">
        <f>IFERROR(__xludf.DUMMYFUNCTION("""COMPUTED_VALUE"""),"null")</f>
        <v>null</v>
      </c>
      <c r="R9233" s="33">
        <f>IFERROR(__xludf.DUMMYFUNCTION("""COMPUTED_VALUE"""),1.0)</f>
        <v>1</v>
      </c>
      <c r="S9233" s="4" t="str">
        <f>IFERROR(__xludf.DUMMYFUNCTION("""COMPUTED_VALUE"""),"null")</f>
        <v>null</v>
      </c>
      <c r="T9233" s="33">
        <f>IFERROR(__xludf.DUMMYFUNCTION("""COMPUTED_VALUE"""),1.0)</f>
        <v>1</v>
      </c>
      <c r="U9233" s="4" t="str">
        <f>IFERROR(__xludf.DUMMYFUNCTION("""COMPUTED_VALUE"""),"null")</f>
        <v>null</v>
      </c>
      <c r="V9233" s="33">
        <f>IFERROR(__xludf.DUMMYFUNCTION("""COMPUTED_VALUE"""),1.0)</f>
        <v>1</v>
      </c>
      <c r="W9233" s="4" t="str">
        <f>IFERROR(__xludf.DUMMYFUNCTION("""COMPUTED_VALUE"""),"null")</f>
        <v>null</v>
      </c>
      <c r="X9233" s="33">
        <f>IFERROR(__xludf.DUMMYFUNCTION("""COMPUTED_VALUE"""),1.0)</f>
        <v>1</v>
      </c>
    </row>
    <row r="9234">
      <c r="K9234" s="4" t="str">
        <f>IFERROR(__xludf.DUMMYFUNCTION("""COMPUTED_VALUE"""),"BEERSIDE PIZZA BURGUER - HAMBURGUERIA ARTESANAL E PIZZARIA PIZZA TIPO NAPOLITANA")</f>
        <v>BEERSIDE PIZZA BURGUER - HAMBURGUERIA ARTESANAL E PIZZARIA PIZZA TIPO NAPOLITANA</v>
      </c>
      <c r="L9234" s="32">
        <f>IFERROR(__xludf.DUMMYFUNCTION("""COMPUTED_VALUE"""),1.0)</f>
        <v>1</v>
      </c>
      <c r="M9234" s="4" t="str">
        <f>IFERROR(__xludf.DUMMYFUNCTION("""COMPUTED_VALUE"""),"Deeliv")</f>
        <v>Deeliv</v>
      </c>
      <c r="N9234" s="33">
        <f>IFERROR(__xludf.DUMMYFUNCTION("""COMPUTED_VALUE"""),1.0)</f>
        <v>1</v>
      </c>
      <c r="O9234" s="4" t="str">
        <f>IFERROR(__xludf.DUMMYFUNCTION("""COMPUTED_VALUE"""),"null")</f>
        <v>null</v>
      </c>
      <c r="P9234" s="33">
        <f>IFERROR(__xludf.DUMMYFUNCTION("""COMPUTED_VALUE"""),1.0)</f>
        <v>1</v>
      </c>
      <c r="Q9234" s="4" t="str">
        <f>IFERROR(__xludf.DUMMYFUNCTION("""COMPUTED_VALUE"""),"null")</f>
        <v>null</v>
      </c>
      <c r="R9234" s="33">
        <f>IFERROR(__xludf.DUMMYFUNCTION("""COMPUTED_VALUE"""),1.0)</f>
        <v>1</v>
      </c>
      <c r="S9234" s="4" t="str">
        <f>IFERROR(__xludf.DUMMYFUNCTION("""COMPUTED_VALUE"""),"null")</f>
        <v>null</v>
      </c>
      <c r="T9234" s="33">
        <f>IFERROR(__xludf.DUMMYFUNCTION("""COMPUTED_VALUE"""),1.0)</f>
        <v>1</v>
      </c>
      <c r="U9234" s="4" t="str">
        <f>IFERROR(__xludf.DUMMYFUNCTION("""COMPUTED_VALUE"""),"null")</f>
        <v>null</v>
      </c>
      <c r="V9234" s="33">
        <f>IFERROR(__xludf.DUMMYFUNCTION("""COMPUTED_VALUE"""),1.0)</f>
        <v>1</v>
      </c>
      <c r="W9234" s="4" t="str">
        <f>IFERROR(__xludf.DUMMYFUNCTION("""COMPUTED_VALUE"""),"null")</f>
        <v>null</v>
      </c>
      <c r="X9234" s="33">
        <f>IFERROR(__xludf.DUMMYFUNCTION("""COMPUTED_VALUE"""),1.0)</f>
        <v>1</v>
      </c>
    </row>
    <row r="9235">
      <c r="K9235" s="4" t="str">
        <f>IFERROR(__xludf.DUMMYFUNCTION("""COMPUTED_VALUE"""),"DONNA EMILIA SALGADOS DIRCEU")</f>
        <v>DONNA EMILIA SALGADOS DIRCEU</v>
      </c>
      <c r="L9235" s="32">
        <f>IFERROR(__xludf.DUMMYFUNCTION("""COMPUTED_VALUE"""),1.0)</f>
        <v>1</v>
      </c>
      <c r="M9235" s="4" t="str">
        <f>IFERROR(__xludf.DUMMYFUNCTION("""COMPUTED_VALUE"""),"Cardápio Web")</f>
        <v>Cardápio Web</v>
      </c>
      <c r="N9235" s="33">
        <f>IFERROR(__xludf.DUMMYFUNCTION("""COMPUTED_VALUE"""),1.0)</f>
        <v>1</v>
      </c>
      <c r="O9235" s="4" t="str">
        <f>IFERROR(__xludf.DUMMYFUNCTION("""COMPUTED_VALUE"""),"Cardápio Web")</f>
        <v>Cardápio Web</v>
      </c>
      <c r="P9235" s="33">
        <f>IFERROR(__xludf.DUMMYFUNCTION("""COMPUTED_VALUE"""),1.0)</f>
        <v>1</v>
      </c>
      <c r="Q9235" s="4" t="str">
        <f>IFERROR(__xludf.DUMMYFUNCTION("""COMPUTED_VALUE"""),"Cardápio Web")</f>
        <v>Cardápio Web</v>
      </c>
      <c r="R9235" s="33">
        <f>IFERROR(__xludf.DUMMYFUNCTION("""COMPUTED_VALUE"""),1.0)</f>
        <v>1</v>
      </c>
      <c r="S9235" s="4" t="str">
        <f>IFERROR(__xludf.DUMMYFUNCTION("""COMPUTED_VALUE"""),"Cardápio Web")</f>
        <v>Cardápio Web</v>
      </c>
      <c r="T9235" s="33">
        <f>IFERROR(__xludf.DUMMYFUNCTION("""COMPUTED_VALUE"""),1.0)</f>
        <v>1</v>
      </c>
      <c r="U9235" s="4" t="str">
        <f>IFERROR(__xludf.DUMMYFUNCTION("""COMPUTED_VALUE"""),"Cardápio Web")</f>
        <v>Cardápio Web</v>
      </c>
      <c r="V9235" s="33">
        <f>IFERROR(__xludf.DUMMYFUNCTION("""COMPUTED_VALUE"""),1.0)</f>
        <v>1</v>
      </c>
      <c r="W9235" s="4" t="str">
        <f>IFERROR(__xludf.DUMMYFUNCTION("""COMPUTED_VALUE"""),"Cardápio Web")</f>
        <v>Cardápio Web</v>
      </c>
      <c r="X9235" s="33">
        <f>IFERROR(__xludf.DUMMYFUNCTION("""COMPUTED_VALUE"""),1.0)</f>
        <v>1</v>
      </c>
    </row>
    <row r="9236">
      <c r="K9236" s="4" t="str">
        <f>IFERROR(__xludf.DUMMYFUNCTION("""COMPUTED_VALUE"""),"JHONNY LANCHES")</f>
        <v>JHONNY LANCHES</v>
      </c>
      <c r="L9236" s="32">
        <f>IFERROR(__xludf.DUMMYFUNCTION("""COMPUTED_VALUE"""),1.0)</f>
        <v>1</v>
      </c>
      <c r="M9236" s="4" t="str">
        <f>IFERROR(__xludf.DUMMYFUNCTION("""COMPUTED_VALUE"""),"Yooga")</f>
        <v>Yooga</v>
      </c>
      <c r="N9236" s="33">
        <f>IFERROR(__xludf.DUMMYFUNCTION("""COMPUTED_VALUE"""),1.0)</f>
        <v>1</v>
      </c>
      <c r="O9236" s="4" t="str">
        <f>IFERROR(__xludf.DUMMYFUNCTION("""COMPUTED_VALUE"""),"Yooga")</f>
        <v>Yooga</v>
      </c>
      <c r="P9236" s="33">
        <f>IFERROR(__xludf.DUMMYFUNCTION("""COMPUTED_VALUE"""),1.0)</f>
        <v>1</v>
      </c>
      <c r="Q9236" s="4" t="str">
        <f>IFERROR(__xludf.DUMMYFUNCTION("""COMPUTED_VALUE"""),"Yooga")</f>
        <v>Yooga</v>
      </c>
      <c r="R9236" s="33">
        <f>IFERROR(__xludf.DUMMYFUNCTION("""COMPUTED_VALUE"""),1.0)</f>
        <v>1</v>
      </c>
      <c r="S9236" s="4" t="str">
        <f>IFERROR(__xludf.DUMMYFUNCTION("""COMPUTED_VALUE"""),"Yooga")</f>
        <v>Yooga</v>
      </c>
      <c r="T9236" s="33">
        <f>IFERROR(__xludf.DUMMYFUNCTION("""COMPUTED_VALUE"""),1.0)</f>
        <v>1</v>
      </c>
      <c r="U9236" s="4" t="str">
        <f>IFERROR(__xludf.DUMMYFUNCTION("""COMPUTED_VALUE"""),"Yooga")</f>
        <v>Yooga</v>
      </c>
      <c r="V9236" s="33">
        <f>IFERROR(__xludf.DUMMYFUNCTION("""COMPUTED_VALUE"""),1.0)</f>
        <v>1</v>
      </c>
      <c r="W9236" s="4" t="str">
        <f>IFERROR(__xludf.DUMMYFUNCTION("""COMPUTED_VALUE"""),"Yooga")</f>
        <v>Yooga</v>
      </c>
      <c r="X9236" s="33">
        <f>IFERROR(__xludf.DUMMYFUNCTION("""COMPUTED_VALUE"""),1.0)</f>
        <v>1</v>
      </c>
    </row>
    <row r="9237">
      <c r="K9237" s="4" t="str">
        <f>IFERROR(__xludf.DUMMYFUNCTION("""COMPUTED_VALUE"""),"ACAITERIA SABOR DE MAE")</f>
        <v>ACAITERIA SABOR DE MAE</v>
      </c>
      <c r="L9237" s="32">
        <f>IFERROR(__xludf.DUMMYFUNCTION("""COMPUTED_VALUE"""),1.0)</f>
        <v>1</v>
      </c>
      <c r="M9237" s="4" t="str">
        <f>IFERROR(__xludf.DUMMYFUNCTION("""COMPUTED_VALUE"""),"Anota Ai Solucoes Digitais S/a")</f>
        <v>Anota Ai Solucoes Digitais S/a</v>
      </c>
      <c r="N9237" s="33">
        <f>IFERROR(__xludf.DUMMYFUNCTION("""COMPUTED_VALUE"""),1.0)</f>
        <v>1</v>
      </c>
      <c r="O9237" s="4" t="str">
        <f>IFERROR(__xludf.DUMMYFUNCTION("""COMPUTED_VALUE"""),"Anota Ai Solucoes Digitais S/a")</f>
        <v>Anota Ai Solucoes Digitais S/a</v>
      </c>
      <c r="P9237" s="33">
        <f>IFERROR(__xludf.DUMMYFUNCTION("""COMPUTED_VALUE"""),1.0)</f>
        <v>1</v>
      </c>
      <c r="Q9237" s="4" t="str">
        <f>IFERROR(__xludf.DUMMYFUNCTION("""COMPUTED_VALUE"""),"Anota Ai Solucoes Digitais S/a")</f>
        <v>Anota Ai Solucoes Digitais S/a</v>
      </c>
      <c r="R9237" s="33">
        <f>IFERROR(__xludf.DUMMYFUNCTION("""COMPUTED_VALUE"""),1.0)</f>
        <v>1</v>
      </c>
      <c r="S9237" s="4" t="str">
        <f>IFERROR(__xludf.DUMMYFUNCTION("""COMPUTED_VALUE"""),"Anota Ai Solucoes Digitais S/a")</f>
        <v>Anota Ai Solucoes Digitais S/a</v>
      </c>
      <c r="T9237" s="33">
        <f>IFERROR(__xludf.DUMMYFUNCTION("""COMPUTED_VALUE"""),1.0)</f>
        <v>1</v>
      </c>
      <c r="U9237" s="4" t="str">
        <f>IFERROR(__xludf.DUMMYFUNCTION("""COMPUTED_VALUE"""),"Anota Ai Solucoes Digitais S/a")</f>
        <v>Anota Ai Solucoes Digitais S/a</v>
      </c>
      <c r="V9237" s="33">
        <f>IFERROR(__xludf.DUMMYFUNCTION("""COMPUTED_VALUE"""),1.0)</f>
        <v>1</v>
      </c>
      <c r="W9237" s="4" t="str">
        <f>IFERROR(__xludf.DUMMYFUNCTION("""COMPUTED_VALUE"""),"Anota Ai Solucoes Digitais S/a")</f>
        <v>Anota Ai Solucoes Digitais S/a</v>
      </c>
      <c r="X9237" s="33">
        <f>IFERROR(__xludf.DUMMYFUNCTION("""COMPUTED_VALUE"""),1.0)</f>
        <v>1</v>
      </c>
    </row>
    <row r="9238">
      <c r="K9238" s="4" t="str">
        <f>IFERROR(__xludf.DUMMYFUNCTION("""COMPUTED_VALUE"""),"EDYPIZZAS")</f>
        <v>EDYPIZZAS</v>
      </c>
      <c r="L9238" s="32">
        <f>IFERROR(__xludf.DUMMYFUNCTION("""COMPUTED_VALUE"""),1.0)</f>
        <v>1</v>
      </c>
      <c r="M9238" s="4" t="str">
        <f>IFERROR(__xludf.DUMMYFUNCTION("""COMPUTED_VALUE"""),"No Mercado Representacoes Ltda")</f>
        <v>No Mercado Representacoes Ltda</v>
      </c>
      <c r="N9238" s="33">
        <f>IFERROR(__xludf.DUMMYFUNCTION("""COMPUTED_VALUE"""),1.0)</f>
        <v>1</v>
      </c>
      <c r="O9238" s="4" t="str">
        <f>IFERROR(__xludf.DUMMYFUNCTION("""COMPUTED_VALUE"""),"null")</f>
        <v>null</v>
      </c>
      <c r="P9238" s="33">
        <f>IFERROR(__xludf.DUMMYFUNCTION("""COMPUTED_VALUE"""),1.0)</f>
        <v>1</v>
      </c>
      <c r="Q9238" s="4" t="str">
        <f>IFERROR(__xludf.DUMMYFUNCTION("""COMPUTED_VALUE"""),"No Mercado Representacoes Ltda")</f>
        <v>No Mercado Representacoes Ltda</v>
      </c>
      <c r="R9238" s="33">
        <f>IFERROR(__xludf.DUMMYFUNCTION("""COMPUTED_VALUE"""),1.0)</f>
        <v>1</v>
      </c>
      <c r="S9238" s="4" t="str">
        <f>IFERROR(__xludf.DUMMYFUNCTION("""COMPUTED_VALUE"""),"null")</f>
        <v>null</v>
      </c>
      <c r="T9238" s="33">
        <f>IFERROR(__xludf.DUMMYFUNCTION("""COMPUTED_VALUE"""),1.0)</f>
        <v>1</v>
      </c>
      <c r="U9238" s="4" t="str">
        <f>IFERROR(__xludf.DUMMYFUNCTION("""COMPUTED_VALUE"""),"null")</f>
        <v>null</v>
      </c>
      <c r="V9238" s="33">
        <f>IFERROR(__xludf.DUMMYFUNCTION("""COMPUTED_VALUE"""),1.0)</f>
        <v>1</v>
      </c>
      <c r="W9238" s="4" t="str">
        <f>IFERROR(__xludf.DUMMYFUNCTION("""COMPUTED_VALUE"""),"null")</f>
        <v>null</v>
      </c>
      <c r="X9238" s="33">
        <f>IFERROR(__xludf.DUMMYFUNCTION("""COMPUTED_VALUE"""),1.0)</f>
        <v>1</v>
      </c>
    </row>
    <row r="9239">
      <c r="K9239" s="4" t="str">
        <f>IFERROR(__xludf.DUMMYFUNCTION("""COMPUTED_VALUE"""),"MARMITA DA VOVO - PONTE RASA")</f>
        <v>MARMITA DA VOVO - PONTE RASA</v>
      </c>
      <c r="L9239" s="32">
        <f>IFERROR(__xludf.DUMMYFUNCTION("""COMPUTED_VALUE"""),1.0)</f>
        <v>1</v>
      </c>
      <c r="M9239" s="4" t="str">
        <f>IFERROR(__xludf.DUMMYFUNCTION("""COMPUTED_VALUE"""),"Saipos Serviços De Software")</f>
        <v>Saipos Serviços De Software</v>
      </c>
      <c r="N9239" s="33">
        <f>IFERROR(__xludf.DUMMYFUNCTION("""COMPUTED_VALUE"""),1.0)</f>
        <v>1</v>
      </c>
      <c r="O9239" s="4" t="str">
        <f>IFERROR(__xludf.DUMMYFUNCTION("""COMPUTED_VALUE"""),"Saipos Serviços De Software")</f>
        <v>Saipos Serviços De Software</v>
      </c>
      <c r="P9239" s="33">
        <f>IFERROR(__xludf.DUMMYFUNCTION("""COMPUTED_VALUE"""),1.0)</f>
        <v>1</v>
      </c>
      <c r="Q9239" s="4" t="str">
        <f>IFERROR(__xludf.DUMMYFUNCTION("""COMPUTED_VALUE"""),"Saipos Serviços De Software")</f>
        <v>Saipos Serviços De Software</v>
      </c>
      <c r="R9239" s="33">
        <f>IFERROR(__xludf.DUMMYFUNCTION("""COMPUTED_VALUE"""),1.0)</f>
        <v>1</v>
      </c>
      <c r="S9239" s="4" t="str">
        <f>IFERROR(__xludf.DUMMYFUNCTION("""COMPUTED_VALUE"""),"Saipos Serviços De Software")</f>
        <v>Saipos Serviços De Software</v>
      </c>
      <c r="T9239" s="33">
        <f>IFERROR(__xludf.DUMMYFUNCTION("""COMPUTED_VALUE"""),1.0)</f>
        <v>1</v>
      </c>
      <c r="U9239" s="4" t="str">
        <f>IFERROR(__xludf.DUMMYFUNCTION("""COMPUTED_VALUE"""),"null")</f>
        <v>null</v>
      </c>
      <c r="V9239" s="33">
        <f>IFERROR(__xludf.DUMMYFUNCTION("""COMPUTED_VALUE"""),1.0)</f>
        <v>1</v>
      </c>
      <c r="W9239" s="4" t="str">
        <f>IFERROR(__xludf.DUMMYFUNCTION("""COMPUTED_VALUE"""),"null")</f>
        <v>null</v>
      </c>
      <c r="X9239" s="33">
        <f>IFERROR(__xludf.DUMMYFUNCTION("""COMPUTED_VALUE"""),1.0)</f>
        <v>1</v>
      </c>
    </row>
    <row r="9240">
      <c r="K9240" s="4" t="str">
        <f>IFERROR(__xludf.DUMMYFUNCTION("""COMPUTED_VALUE"""),"CACHORRO DO JAO - HOT DOG ARTESENAL SHOPPING PELOTAS")</f>
        <v>CACHORRO DO JAO - HOT DOG ARTESENAL SHOPPING PELOTAS</v>
      </c>
      <c r="L9240" s="32">
        <f>IFERROR(__xludf.DUMMYFUNCTION("""COMPUTED_VALUE"""),1.0)</f>
        <v>1</v>
      </c>
      <c r="M9240" s="4" t="str">
        <f>IFERROR(__xludf.DUMMYFUNCTION("""COMPUTED_VALUE"""),"Saipos Serviços De Software")</f>
        <v>Saipos Serviços De Software</v>
      </c>
      <c r="N9240" s="33">
        <f>IFERROR(__xludf.DUMMYFUNCTION("""COMPUTED_VALUE"""),1.0)</f>
        <v>1</v>
      </c>
      <c r="O9240" s="4" t="str">
        <f>IFERROR(__xludf.DUMMYFUNCTION("""COMPUTED_VALUE"""),"Saipos Serviços De Software")</f>
        <v>Saipos Serviços De Software</v>
      </c>
      <c r="P9240" s="33">
        <f>IFERROR(__xludf.DUMMYFUNCTION("""COMPUTED_VALUE"""),1.0)</f>
        <v>1</v>
      </c>
      <c r="Q9240" s="4" t="str">
        <f>IFERROR(__xludf.DUMMYFUNCTION("""COMPUTED_VALUE"""),"Saipos Serviços De Software")</f>
        <v>Saipos Serviços De Software</v>
      </c>
      <c r="R9240" s="33">
        <f>IFERROR(__xludf.DUMMYFUNCTION("""COMPUTED_VALUE"""),1.0)</f>
        <v>1</v>
      </c>
      <c r="S9240" s="4" t="str">
        <f>IFERROR(__xludf.DUMMYFUNCTION("""COMPUTED_VALUE"""),"Saipos Serviços De Software")</f>
        <v>Saipos Serviços De Software</v>
      </c>
      <c r="T9240" s="33">
        <f>IFERROR(__xludf.DUMMYFUNCTION("""COMPUTED_VALUE"""),1.0)</f>
        <v>1</v>
      </c>
      <c r="U9240" s="4" t="str">
        <f>IFERROR(__xludf.DUMMYFUNCTION("""COMPUTED_VALUE"""),"Saipos Serviços De Software")</f>
        <v>Saipos Serviços De Software</v>
      </c>
      <c r="V9240" s="33">
        <f>IFERROR(__xludf.DUMMYFUNCTION("""COMPUTED_VALUE"""),1.0)</f>
        <v>1</v>
      </c>
      <c r="W9240" s="4" t="str">
        <f>IFERROR(__xludf.DUMMYFUNCTION("""COMPUTED_VALUE"""),"Saipos Serviços De Software")</f>
        <v>Saipos Serviços De Software</v>
      </c>
      <c r="X9240" s="33">
        <f>IFERROR(__xludf.DUMMYFUNCTION("""COMPUTED_VALUE"""),1.0)</f>
        <v>1</v>
      </c>
    </row>
    <row r="9241">
      <c r="K9241" s="4" t="str">
        <f>IFERROR(__xludf.DUMMYFUNCTION("""COMPUTED_VALUE"""),"BURGERIN - HAMBURGUERIA")</f>
        <v>BURGERIN - HAMBURGUERIA</v>
      </c>
      <c r="L9241" s="32">
        <f>IFERROR(__xludf.DUMMYFUNCTION("""COMPUTED_VALUE"""),1.0)</f>
        <v>1</v>
      </c>
      <c r="M9241" s="4" t="str">
        <f>IFERROR(__xludf.DUMMYFUNCTION("""COMPUTED_VALUE"""),"null")</f>
        <v>null</v>
      </c>
      <c r="N9241" s="33">
        <f>IFERROR(__xludf.DUMMYFUNCTION("""COMPUTED_VALUE"""),1.0)</f>
        <v>1</v>
      </c>
      <c r="O9241" s="4" t="str">
        <f>IFERROR(__xludf.DUMMYFUNCTION("""COMPUTED_VALUE"""),"null")</f>
        <v>null</v>
      </c>
      <c r="P9241" s="33">
        <f>IFERROR(__xludf.DUMMYFUNCTION("""COMPUTED_VALUE"""),1.0)</f>
        <v>1</v>
      </c>
      <c r="Q9241" s="4" t="str">
        <f>IFERROR(__xludf.DUMMYFUNCTION("""COMPUTED_VALUE"""),"null")</f>
        <v>null</v>
      </c>
      <c r="R9241" s="33">
        <f>IFERROR(__xludf.DUMMYFUNCTION("""COMPUTED_VALUE"""),1.0)</f>
        <v>1</v>
      </c>
      <c r="S9241" s="4" t="str">
        <f>IFERROR(__xludf.DUMMYFUNCTION("""COMPUTED_VALUE"""),"null")</f>
        <v>null</v>
      </c>
      <c r="T9241" s="33">
        <f>IFERROR(__xludf.DUMMYFUNCTION("""COMPUTED_VALUE"""),1.0)</f>
        <v>1</v>
      </c>
      <c r="U9241" s="4" t="str">
        <f>IFERROR(__xludf.DUMMYFUNCTION("""COMPUTED_VALUE"""),"null")</f>
        <v>null</v>
      </c>
      <c r="V9241" s="33">
        <f>IFERROR(__xludf.DUMMYFUNCTION("""COMPUTED_VALUE"""),1.0)</f>
        <v>1</v>
      </c>
      <c r="W9241" s="4" t="str">
        <f>IFERROR(__xludf.DUMMYFUNCTION("""COMPUTED_VALUE"""),"Ncr")</f>
        <v>Ncr</v>
      </c>
      <c r="X9241" s="33">
        <f>IFERROR(__xludf.DUMMYFUNCTION("""COMPUTED_VALUE"""),1.0)</f>
        <v>1</v>
      </c>
    </row>
    <row r="9242">
      <c r="K9242" s="4" t="str">
        <f>IFERROR(__xludf.DUMMYFUNCTION("""COMPUTED_VALUE"""),"CAMARE - JUIZ DE FORA")</f>
        <v>CAMARE - JUIZ DE FORA</v>
      </c>
      <c r="L9242" s="32">
        <f>IFERROR(__xludf.DUMMYFUNCTION("""COMPUTED_VALUE"""),1.0)</f>
        <v>1</v>
      </c>
      <c r="M9242" s="4" t="str">
        <f>IFERROR(__xludf.DUMMYFUNCTION("""COMPUTED_VALUE"""),"Totvs Large Enterprise Tecnologia S.a.")</f>
        <v>Totvs Large Enterprise Tecnologia S.a.</v>
      </c>
      <c r="N9242" s="33">
        <f>IFERROR(__xludf.DUMMYFUNCTION("""COMPUTED_VALUE"""),1.0)</f>
        <v>1</v>
      </c>
      <c r="O9242" s="4" t="str">
        <f>IFERROR(__xludf.DUMMYFUNCTION("""COMPUTED_VALUE"""),"Totvs Large Enterprise Tecnologia S.a.")</f>
        <v>Totvs Large Enterprise Tecnologia S.a.</v>
      </c>
      <c r="P9242" s="33">
        <f>IFERROR(__xludf.DUMMYFUNCTION("""COMPUTED_VALUE"""),1.0)</f>
        <v>1</v>
      </c>
      <c r="Q9242" s="4" t="str">
        <f>IFERROR(__xludf.DUMMYFUNCTION("""COMPUTED_VALUE"""),"null")</f>
        <v>null</v>
      </c>
      <c r="R9242" s="33">
        <f>IFERROR(__xludf.DUMMYFUNCTION("""COMPUTED_VALUE"""),1.0)</f>
        <v>1</v>
      </c>
      <c r="S9242" s="4" t="str">
        <f>IFERROR(__xludf.DUMMYFUNCTION("""COMPUTED_VALUE"""),"null")</f>
        <v>null</v>
      </c>
      <c r="T9242" s="33">
        <f>IFERROR(__xludf.DUMMYFUNCTION("""COMPUTED_VALUE"""),1.0)</f>
        <v>1</v>
      </c>
      <c r="U9242" s="4" t="str">
        <f>IFERROR(__xludf.DUMMYFUNCTION("""COMPUTED_VALUE"""),"Totvs Large Enterprise Tecnologia S.a.")</f>
        <v>Totvs Large Enterprise Tecnologia S.a.</v>
      </c>
      <c r="V9242" s="33">
        <f>IFERROR(__xludf.DUMMYFUNCTION("""COMPUTED_VALUE"""),1.0)</f>
        <v>1</v>
      </c>
      <c r="W9242" s="4" t="str">
        <f>IFERROR(__xludf.DUMMYFUNCTION("""COMPUTED_VALUE"""),"Totvs Large Enterprise Tecnologia S.a.")</f>
        <v>Totvs Large Enterprise Tecnologia S.a.</v>
      </c>
      <c r="X9242" s="33">
        <f>IFERROR(__xludf.DUMMYFUNCTION("""COMPUTED_VALUE"""),1.0)</f>
        <v>1</v>
      </c>
    </row>
    <row r="9243">
      <c r="K9243" s="4" t="str">
        <f>IFERROR(__xludf.DUMMYFUNCTION("""COMPUTED_VALUE"""),"PALACIO DO PAO PADARIA")</f>
        <v>PALACIO DO PAO PADARIA</v>
      </c>
      <c r="L9243" s="32">
        <f>IFERROR(__xludf.DUMMYFUNCTION("""COMPUTED_VALUE"""),1.0)</f>
        <v>1</v>
      </c>
      <c r="M9243" s="4" t="str">
        <f>IFERROR(__xludf.DUMMYFUNCTION("""COMPUTED_VALUE"""),"null")</f>
        <v>null</v>
      </c>
      <c r="N9243" s="33">
        <f>IFERROR(__xludf.DUMMYFUNCTION("""COMPUTED_VALUE"""),1.0)</f>
        <v>1</v>
      </c>
      <c r="O9243" s="4" t="str">
        <f>IFERROR(__xludf.DUMMYFUNCTION("""COMPUTED_VALUE"""),"null")</f>
        <v>null</v>
      </c>
      <c r="P9243" s="33">
        <f>IFERROR(__xludf.DUMMYFUNCTION("""COMPUTED_VALUE"""),1.0)</f>
        <v>1</v>
      </c>
      <c r="Q9243" s="4" t="str">
        <f>IFERROR(__xludf.DUMMYFUNCTION("""COMPUTED_VALUE"""),"Saurus Software")</f>
        <v>Saurus Software</v>
      </c>
      <c r="R9243" s="33">
        <f>IFERROR(__xludf.DUMMYFUNCTION("""COMPUTED_VALUE"""),1.0)</f>
        <v>1</v>
      </c>
      <c r="S9243" s="4" t="str">
        <f>IFERROR(__xludf.DUMMYFUNCTION("""COMPUTED_VALUE"""),"Saurus Software")</f>
        <v>Saurus Software</v>
      </c>
      <c r="T9243" s="33">
        <f>IFERROR(__xludf.DUMMYFUNCTION("""COMPUTED_VALUE"""),1.0)</f>
        <v>1</v>
      </c>
      <c r="U9243" s="4" t="str">
        <f>IFERROR(__xludf.DUMMYFUNCTION("""COMPUTED_VALUE"""),"Saurus Software")</f>
        <v>Saurus Software</v>
      </c>
      <c r="V9243" s="33">
        <f>IFERROR(__xludf.DUMMYFUNCTION("""COMPUTED_VALUE"""),1.0)</f>
        <v>1</v>
      </c>
      <c r="W9243" s="4" t="str">
        <f>IFERROR(__xludf.DUMMYFUNCTION("""COMPUTED_VALUE"""),"null")</f>
        <v>null</v>
      </c>
      <c r="X9243" s="33">
        <f>IFERROR(__xludf.DUMMYFUNCTION("""COMPUTED_VALUE"""),1.0)</f>
        <v>1</v>
      </c>
    </row>
    <row r="9244">
      <c r="K9244" s="4" t="str">
        <f>IFERROR(__xludf.DUMMYFUNCTION("""COMPUTED_VALUE"""),"FEIJOAO DELIVERY")</f>
        <v>FEIJOAO DELIVERY</v>
      </c>
      <c r="L9244" s="32">
        <f>IFERROR(__xludf.DUMMYFUNCTION("""COMPUTED_VALUE"""),1.0)</f>
        <v>1</v>
      </c>
      <c r="M9244" s="4" t="str">
        <f>IFERROR(__xludf.DUMMYFUNCTION("""COMPUTED_VALUE"""),"Deeliv")</f>
        <v>Deeliv</v>
      </c>
      <c r="N9244" s="33">
        <f>IFERROR(__xludf.DUMMYFUNCTION("""COMPUTED_VALUE"""),1.0)</f>
        <v>1</v>
      </c>
      <c r="O9244" s="4" t="str">
        <f>IFERROR(__xludf.DUMMYFUNCTION("""COMPUTED_VALUE"""),"Deeliv")</f>
        <v>Deeliv</v>
      </c>
      <c r="P9244" s="33">
        <f>IFERROR(__xludf.DUMMYFUNCTION("""COMPUTED_VALUE"""),1.0)</f>
        <v>1</v>
      </c>
      <c r="Q9244" s="4" t="str">
        <f>IFERROR(__xludf.DUMMYFUNCTION("""COMPUTED_VALUE"""),"Deeliv")</f>
        <v>Deeliv</v>
      </c>
      <c r="R9244" s="33">
        <f>IFERROR(__xludf.DUMMYFUNCTION("""COMPUTED_VALUE"""),1.0)</f>
        <v>1</v>
      </c>
      <c r="S9244" s="4" t="str">
        <f>IFERROR(__xludf.DUMMYFUNCTION("""COMPUTED_VALUE"""),"Deeliv")</f>
        <v>Deeliv</v>
      </c>
      <c r="T9244" s="33">
        <f>IFERROR(__xludf.DUMMYFUNCTION("""COMPUTED_VALUE"""),1.0)</f>
        <v>1</v>
      </c>
      <c r="U9244" s="4" t="str">
        <f>IFERROR(__xludf.DUMMYFUNCTION("""COMPUTED_VALUE"""),"Deeliv")</f>
        <v>Deeliv</v>
      </c>
      <c r="V9244" s="33">
        <f>IFERROR(__xludf.DUMMYFUNCTION("""COMPUTED_VALUE"""),1.0)</f>
        <v>1</v>
      </c>
      <c r="W9244" s="4" t="str">
        <f>IFERROR(__xludf.DUMMYFUNCTION("""COMPUTED_VALUE"""),"Whatsmenu Ltda")</f>
        <v>Whatsmenu Ltda</v>
      </c>
      <c r="X9244" s="33">
        <f>IFERROR(__xludf.DUMMYFUNCTION("""COMPUTED_VALUE"""),1.0)</f>
        <v>1</v>
      </c>
    </row>
    <row r="9245">
      <c r="K9245" s="4" t="str">
        <f>IFERROR(__xludf.DUMMYFUNCTION("""COMPUTED_VALUE"""),"PIZZA PAIN")</f>
        <v>PIZZA PAIN</v>
      </c>
      <c r="L9245" s="32">
        <f>IFERROR(__xludf.DUMMYFUNCTION("""COMPUTED_VALUE"""),1.0)</f>
        <v>1</v>
      </c>
      <c r="M9245" s="4" t="str">
        <f>IFERROR(__xludf.DUMMYFUNCTION("""COMPUTED_VALUE"""),"Consumer Soluções Em Tecnologia Ltda")</f>
        <v>Consumer Soluções Em Tecnologia Ltda</v>
      </c>
      <c r="N9245" s="33">
        <f>IFERROR(__xludf.DUMMYFUNCTION("""COMPUTED_VALUE"""),1.0)</f>
        <v>1</v>
      </c>
      <c r="O9245" s="4" t="str">
        <f>IFERROR(__xludf.DUMMYFUNCTION("""COMPUTED_VALUE"""),"Consumer Soluções Em Tecnologia Ltda")</f>
        <v>Consumer Soluções Em Tecnologia Ltda</v>
      </c>
      <c r="P9245" s="33">
        <f>IFERROR(__xludf.DUMMYFUNCTION("""COMPUTED_VALUE"""),1.0)</f>
        <v>1</v>
      </c>
      <c r="Q9245" s="4" t="str">
        <f>IFERROR(__xludf.DUMMYFUNCTION("""COMPUTED_VALUE"""),"Consumer Soluções Em Tecnologia Ltda")</f>
        <v>Consumer Soluções Em Tecnologia Ltda</v>
      </c>
      <c r="R9245" s="33">
        <f>IFERROR(__xludf.DUMMYFUNCTION("""COMPUTED_VALUE"""),1.0)</f>
        <v>1</v>
      </c>
      <c r="S9245" s="4" t="str">
        <f>IFERROR(__xludf.DUMMYFUNCTION("""COMPUTED_VALUE"""),"Consumer Soluções Em Tecnologia Ltda")</f>
        <v>Consumer Soluções Em Tecnologia Ltda</v>
      </c>
      <c r="T9245" s="33">
        <f>IFERROR(__xludf.DUMMYFUNCTION("""COMPUTED_VALUE"""),1.0)</f>
        <v>1</v>
      </c>
      <c r="U9245" s="4" t="str">
        <f>IFERROR(__xludf.DUMMYFUNCTION("""COMPUTED_VALUE"""),"Consumer Soluções Em Tecnologia Ltda")</f>
        <v>Consumer Soluções Em Tecnologia Ltda</v>
      </c>
      <c r="V9245" s="33">
        <f>IFERROR(__xludf.DUMMYFUNCTION("""COMPUTED_VALUE"""),1.0)</f>
        <v>1</v>
      </c>
      <c r="W9245" s="4" t="str">
        <f>IFERROR(__xludf.DUMMYFUNCTION("""COMPUTED_VALUE"""),"Consumer Soluções Em Tecnologia Ltda")</f>
        <v>Consumer Soluções Em Tecnologia Ltda</v>
      </c>
      <c r="X9245" s="33">
        <f>IFERROR(__xludf.DUMMYFUNCTION("""COMPUTED_VALUE"""),1.0)</f>
        <v>1</v>
      </c>
    </row>
    <row r="9246">
      <c r="K9246" s="4" t="str">
        <f>IFERROR(__xludf.DUMMYFUNCTION("""COMPUTED_VALUE"""),"GRELHARTE")</f>
        <v>GRELHARTE</v>
      </c>
      <c r="L9246" s="32">
        <f>IFERROR(__xludf.DUMMYFUNCTION("""COMPUTED_VALUE"""),1.0)</f>
        <v>1</v>
      </c>
      <c r="M9246" s="4" t="str">
        <f>IFERROR(__xludf.DUMMYFUNCTION("""COMPUTED_VALUE"""),"Cloudfy")</f>
        <v>Cloudfy</v>
      </c>
      <c r="N9246" s="33">
        <f>IFERROR(__xludf.DUMMYFUNCTION("""COMPUTED_VALUE"""),1.0)</f>
        <v>1</v>
      </c>
      <c r="O9246" s="4" t="str">
        <f>IFERROR(__xludf.DUMMYFUNCTION("""COMPUTED_VALUE"""),"null")</f>
        <v>null</v>
      </c>
      <c r="P9246" s="33">
        <f>IFERROR(__xludf.DUMMYFUNCTION("""COMPUTED_VALUE"""),1.0)</f>
        <v>1</v>
      </c>
      <c r="Q9246" s="4" t="str">
        <f>IFERROR(__xludf.DUMMYFUNCTION("""COMPUTED_VALUE"""),"Cloudfy")</f>
        <v>Cloudfy</v>
      </c>
      <c r="R9246" s="33">
        <f>IFERROR(__xludf.DUMMYFUNCTION("""COMPUTED_VALUE"""),1.0)</f>
        <v>1</v>
      </c>
      <c r="S9246" s="4" t="str">
        <f>IFERROR(__xludf.DUMMYFUNCTION("""COMPUTED_VALUE"""),"Cloudfy")</f>
        <v>Cloudfy</v>
      </c>
      <c r="T9246" s="33">
        <f>IFERROR(__xludf.DUMMYFUNCTION("""COMPUTED_VALUE"""),1.0)</f>
        <v>1</v>
      </c>
      <c r="U9246" s="4" t="str">
        <f>IFERROR(__xludf.DUMMYFUNCTION("""COMPUTED_VALUE"""),"Cloudfy")</f>
        <v>Cloudfy</v>
      </c>
      <c r="V9246" s="33">
        <f>IFERROR(__xludf.DUMMYFUNCTION("""COMPUTED_VALUE"""),1.0)</f>
        <v>1</v>
      </c>
      <c r="W9246" s="4" t="str">
        <f>IFERROR(__xludf.DUMMYFUNCTION("""COMPUTED_VALUE"""),"Cloudfy")</f>
        <v>Cloudfy</v>
      </c>
      <c r="X9246" s="33">
        <f>IFERROR(__xludf.DUMMYFUNCTION("""COMPUTED_VALUE"""),1.0)</f>
        <v>1</v>
      </c>
    </row>
    <row r="9247">
      <c r="K9247" s="4" t="str">
        <f>IFERROR(__xludf.DUMMYFUNCTION("""COMPUTED_VALUE"""),"PIZZARIA CAPRICHO PIZZA")</f>
        <v>PIZZARIA CAPRICHO PIZZA</v>
      </c>
      <c r="L9247" s="32">
        <f>IFERROR(__xludf.DUMMYFUNCTION("""COMPUTED_VALUE"""),1.0)</f>
        <v>1</v>
      </c>
      <c r="M9247" s="4" t="str">
        <f>IFERROR(__xludf.DUMMYFUNCTION("""COMPUTED_VALUE"""),"Mp Multipedidos")</f>
        <v>Mp Multipedidos</v>
      </c>
      <c r="N9247" s="33">
        <f>IFERROR(__xludf.DUMMYFUNCTION("""COMPUTED_VALUE"""),1.0)</f>
        <v>1</v>
      </c>
      <c r="O9247" s="4" t="str">
        <f>IFERROR(__xludf.DUMMYFUNCTION("""COMPUTED_VALUE"""),"Mp Multipedidos")</f>
        <v>Mp Multipedidos</v>
      </c>
      <c r="P9247" s="33">
        <f>IFERROR(__xludf.DUMMYFUNCTION("""COMPUTED_VALUE"""),1.0)</f>
        <v>1</v>
      </c>
      <c r="Q9247" s="4" t="str">
        <f>IFERROR(__xludf.DUMMYFUNCTION("""COMPUTED_VALUE"""),"Mp Multipedidos")</f>
        <v>Mp Multipedidos</v>
      </c>
      <c r="R9247" s="33">
        <f>IFERROR(__xludf.DUMMYFUNCTION("""COMPUTED_VALUE"""),1.0)</f>
        <v>1</v>
      </c>
      <c r="S9247" s="4" t="str">
        <f>IFERROR(__xludf.DUMMYFUNCTION("""COMPUTED_VALUE"""),"Mp Multipedidos")</f>
        <v>Mp Multipedidos</v>
      </c>
      <c r="T9247" s="33">
        <f>IFERROR(__xludf.DUMMYFUNCTION("""COMPUTED_VALUE"""),1.0)</f>
        <v>1</v>
      </c>
      <c r="U9247" s="4" t="str">
        <f>IFERROR(__xludf.DUMMYFUNCTION("""COMPUTED_VALUE"""),"Mp Multipedidos")</f>
        <v>Mp Multipedidos</v>
      </c>
      <c r="V9247" s="33">
        <f>IFERROR(__xludf.DUMMYFUNCTION("""COMPUTED_VALUE"""),1.0)</f>
        <v>1</v>
      </c>
      <c r="W9247" s="4" t="str">
        <f>IFERROR(__xludf.DUMMYFUNCTION("""COMPUTED_VALUE"""),"Mp Multipedidos")</f>
        <v>Mp Multipedidos</v>
      </c>
      <c r="X9247" s="33">
        <f>IFERROR(__xludf.DUMMYFUNCTION("""COMPUTED_VALUE"""),1.0)</f>
        <v>1</v>
      </c>
    </row>
    <row r="9248">
      <c r="K9248" s="4" t="str">
        <f>IFERROR(__xludf.DUMMYFUNCTION("""COMPUTED_VALUE"""),"LEANDRO DOCES CONFEITARIA")</f>
        <v>LEANDRO DOCES CONFEITARIA</v>
      </c>
      <c r="L9248" s="32">
        <f>IFERROR(__xludf.DUMMYFUNCTION("""COMPUTED_VALUE"""),1.0)</f>
        <v>1</v>
      </c>
      <c r="M9248" s="4" t="str">
        <f>IFERROR(__xludf.DUMMYFUNCTION("""COMPUTED_VALUE"""),"Saipos Serviços De Software")</f>
        <v>Saipos Serviços De Software</v>
      </c>
      <c r="N9248" s="33">
        <f>IFERROR(__xludf.DUMMYFUNCTION("""COMPUTED_VALUE"""),1.0)</f>
        <v>1</v>
      </c>
      <c r="O9248" s="4" t="str">
        <f>IFERROR(__xludf.DUMMYFUNCTION("""COMPUTED_VALUE"""),"Takeat Tecnologia")</f>
        <v>Takeat Tecnologia</v>
      </c>
      <c r="P9248" s="33">
        <f>IFERROR(__xludf.DUMMYFUNCTION("""COMPUTED_VALUE"""),1.0)</f>
        <v>1</v>
      </c>
      <c r="Q9248" s="4" t="str">
        <f>IFERROR(__xludf.DUMMYFUNCTION("""COMPUTED_VALUE"""),"Takeat Tecnologia")</f>
        <v>Takeat Tecnologia</v>
      </c>
      <c r="R9248" s="33">
        <f>IFERROR(__xludf.DUMMYFUNCTION("""COMPUTED_VALUE"""),1.0)</f>
        <v>1</v>
      </c>
      <c r="S9248" s="4" t="str">
        <f>IFERROR(__xludf.DUMMYFUNCTION("""COMPUTED_VALUE"""),"Takeat Tecnologia")</f>
        <v>Takeat Tecnologia</v>
      </c>
      <c r="T9248" s="33">
        <f>IFERROR(__xludf.DUMMYFUNCTION("""COMPUTED_VALUE"""),1.0)</f>
        <v>1</v>
      </c>
      <c r="U9248" s="4" t="str">
        <f>IFERROR(__xludf.DUMMYFUNCTION("""COMPUTED_VALUE"""),"Takeat Tecnologia")</f>
        <v>Takeat Tecnologia</v>
      </c>
      <c r="V9248" s="33">
        <f>IFERROR(__xludf.DUMMYFUNCTION("""COMPUTED_VALUE"""),1.0)</f>
        <v>1</v>
      </c>
      <c r="W9248" s="4" t="str">
        <f>IFERROR(__xludf.DUMMYFUNCTION("""COMPUTED_VALUE"""),"Takeat Tecnologia")</f>
        <v>Takeat Tecnologia</v>
      </c>
      <c r="X9248" s="33">
        <f>IFERROR(__xludf.DUMMYFUNCTION("""COMPUTED_VALUE"""),1.0)</f>
        <v>1</v>
      </c>
    </row>
    <row r="9249">
      <c r="K9249" s="4" t="str">
        <f>IFERROR(__xludf.DUMMYFUNCTION("""COMPUTED_VALUE"""),"ADEGA TRABULSI")</f>
        <v>ADEGA TRABULSI</v>
      </c>
      <c r="L9249" s="32">
        <f>IFERROR(__xludf.DUMMYFUNCTION("""COMPUTED_VALUE"""),1.0)</f>
        <v>1</v>
      </c>
      <c r="M9249" s="4" t="str">
        <f>IFERROR(__xludf.DUMMYFUNCTION("""COMPUTED_VALUE"""),"Yooga")</f>
        <v>Yooga</v>
      </c>
      <c r="N9249" s="33">
        <f>IFERROR(__xludf.DUMMYFUNCTION("""COMPUTED_VALUE"""),1.0)</f>
        <v>1</v>
      </c>
      <c r="O9249" s="4" t="str">
        <f>IFERROR(__xludf.DUMMYFUNCTION("""COMPUTED_VALUE"""),"Yooga")</f>
        <v>Yooga</v>
      </c>
      <c r="P9249" s="33">
        <f>IFERROR(__xludf.DUMMYFUNCTION("""COMPUTED_VALUE"""),1.0)</f>
        <v>1</v>
      </c>
      <c r="Q9249" s="4" t="str">
        <f>IFERROR(__xludf.DUMMYFUNCTION("""COMPUTED_VALUE"""),"null")</f>
        <v>null</v>
      </c>
      <c r="R9249" s="33">
        <f>IFERROR(__xludf.DUMMYFUNCTION("""COMPUTED_VALUE"""),1.0)</f>
        <v>1</v>
      </c>
      <c r="S9249" s="4" t="str">
        <f>IFERROR(__xludf.DUMMYFUNCTION("""COMPUTED_VALUE"""),"null")</f>
        <v>null</v>
      </c>
      <c r="T9249" s="33">
        <f>IFERROR(__xludf.DUMMYFUNCTION("""COMPUTED_VALUE"""),1.0)</f>
        <v>1</v>
      </c>
      <c r="U9249" s="4" t="str">
        <f>IFERROR(__xludf.DUMMYFUNCTION("""COMPUTED_VALUE"""),"null")</f>
        <v>null</v>
      </c>
      <c r="V9249" s="33">
        <f>IFERROR(__xludf.DUMMYFUNCTION("""COMPUTED_VALUE"""),1.0)</f>
        <v>1</v>
      </c>
      <c r="W9249" s="4" t="str">
        <f>IFERROR(__xludf.DUMMYFUNCTION("""COMPUTED_VALUE"""),"null")</f>
        <v>null</v>
      </c>
      <c r="X9249" s="33">
        <f>IFERROR(__xludf.DUMMYFUNCTION("""COMPUTED_VALUE"""),1.0)</f>
        <v>1</v>
      </c>
    </row>
    <row r="9250">
      <c r="K9250" s="4" t="str">
        <f>IFERROR(__xludf.DUMMYFUNCTION("""COMPUTED_VALUE"""),"OX MEAT BURGUER")</f>
        <v>OX MEAT BURGUER</v>
      </c>
      <c r="L9250" s="32">
        <f>IFERROR(__xludf.DUMMYFUNCTION("""COMPUTED_VALUE"""),1.0)</f>
        <v>1</v>
      </c>
      <c r="M9250" s="4" t="str">
        <f>IFERROR(__xludf.DUMMYFUNCTION("""COMPUTED_VALUE"""),"Menew - Linx")</f>
        <v>Menew - Linx</v>
      </c>
      <c r="N9250" s="33">
        <f>IFERROR(__xludf.DUMMYFUNCTION("""COMPUTED_VALUE"""),1.0)</f>
        <v>1</v>
      </c>
      <c r="O9250" s="4" t="str">
        <f>IFERROR(__xludf.DUMMYFUNCTION("""COMPUTED_VALUE"""),"Menew - Linx")</f>
        <v>Menew - Linx</v>
      </c>
      <c r="P9250" s="33">
        <f>IFERROR(__xludf.DUMMYFUNCTION("""COMPUTED_VALUE"""),1.0)</f>
        <v>1</v>
      </c>
      <c r="Q9250" s="4" t="str">
        <f>IFERROR(__xludf.DUMMYFUNCTION("""COMPUTED_VALUE"""),"Menew - Linx")</f>
        <v>Menew - Linx</v>
      </c>
      <c r="R9250" s="33">
        <f>IFERROR(__xludf.DUMMYFUNCTION("""COMPUTED_VALUE"""),1.0)</f>
        <v>1</v>
      </c>
      <c r="S9250" s="4" t="str">
        <f>IFERROR(__xludf.DUMMYFUNCTION("""COMPUTED_VALUE"""),"Menew - Linx")</f>
        <v>Menew - Linx</v>
      </c>
      <c r="T9250" s="33">
        <f>IFERROR(__xludf.DUMMYFUNCTION("""COMPUTED_VALUE"""),1.0)</f>
        <v>1</v>
      </c>
      <c r="U9250" s="4" t="str">
        <f>IFERROR(__xludf.DUMMYFUNCTION("""COMPUTED_VALUE"""),"Menew - Linx")</f>
        <v>Menew - Linx</v>
      </c>
      <c r="V9250" s="33">
        <f>IFERROR(__xludf.DUMMYFUNCTION("""COMPUTED_VALUE"""),1.0)</f>
        <v>1</v>
      </c>
      <c r="W9250" s="4" t="str">
        <f>IFERROR(__xludf.DUMMYFUNCTION("""COMPUTED_VALUE"""),"Menew - Linx")</f>
        <v>Menew - Linx</v>
      </c>
      <c r="X9250" s="33">
        <f>IFERROR(__xludf.DUMMYFUNCTION("""COMPUTED_VALUE"""),1.0)</f>
        <v>1</v>
      </c>
    </row>
    <row r="9251">
      <c r="K9251" s="4" t="str">
        <f>IFERROR(__xludf.DUMMYFUNCTION("""COMPUTED_VALUE"""),"PIZZARIA BANDEIRAS")</f>
        <v>PIZZARIA BANDEIRAS</v>
      </c>
      <c r="L9251" s="32">
        <f>IFERROR(__xludf.DUMMYFUNCTION("""COMPUTED_VALUE"""),1.0)</f>
        <v>1</v>
      </c>
      <c r="M9251" s="4" t="str">
        <f>IFERROR(__xludf.DUMMYFUNCTION("""COMPUTED_VALUE"""),"Fudo Soluciones Sas")</f>
        <v>Fudo Soluciones Sas</v>
      </c>
      <c r="N9251" s="33">
        <f>IFERROR(__xludf.DUMMYFUNCTION("""COMPUTED_VALUE"""),1.0)</f>
        <v>1</v>
      </c>
      <c r="O9251" s="4" t="str">
        <f>IFERROR(__xludf.DUMMYFUNCTION("""COMPUTED_VALUE"""),"null")</f>
        <v>null</v>
      </c>
      <c r="P9251" s="33">
        <f>IFERROR(__xludf.DUMMYFUNCTION("""COMPUTED_VALUE"""),1.0)</f>
        <v>1</v>
      </c>
      <c r="Q9251" s="4" t="str">
        <f>IFERROR(__xludf.DUMMYFUNCTION("""COMPUTED_VALUE"""),"Fudo Soluciones Sas")</f>
        <v>Fudo Soluciones Sas</v>
      </c>
      <c r="R9251" s="33">
        <f>IFERROR(__xludf.DUMMYFUNCTION("""COMPUTED_VALUE"""),1.0)</f>
        <v>1</v>
      </c>
      <c r="S9251" s="4" t="str">
        <f>IFERROR(__xludf.DUMMYFUNCTION("""COMPUTED_VALUE"""),"null")</f>
        <v>null</v>
      </c>
      <c r="T9251" s="33">
        <f>IFERROR(__xludf.DUMMYFUNCTION("""COMPUTED_VALUE"""),1.0)</f>
        <v>1</v>
      </c>
      <c r="U9251" s="4" t="str">
        <f>IFERROR(__xludf.DUMMYFUNCTION("""COMPUTED_VALUE"""),"null")</f>
        <v>null</v>
      </c>
      <c r="V9251" s="33">
        <f>IFERROR(__xludf.DUMMYFUNCTION("""COMPUTED_VALUE"""),1.0)</f>
        <v>1</v>
      </c>
      <c r="W9251" s="4" t="str">
        <f>IFERROR(__xludf.DUMMYFUNCTION("""COMPUTED_VALUE"""),"null")</f>
        <v>null</v>
      </c>
      <c r="X9251" s="33">
        <f>IFERROR(__xludf.DUMMYFUNCTION("""COMPUTED_VALUE"""),1.0)</f>
        <v>1</v>
      </c>
    </row>
    <row r="9252">
      <c r="K9252" s="4" t="str">
        <f>IFERROR(__xludf.DUMMYFUNCTION("""COMPUTED_VALUE"""),"PASTELARIA EL PASTTELERO CANELA")</f>
        <v>PASTELARIA EL PASTTELERO CANELA</v>
      </c>
      <c r="L9252" s="32">
        <f>IFERROR(__xludf.DUMMYFUNCTION("""COMPUTED_VALUE"""),1.0)</f>
        <v>1</v>
      </c>
      <c r="M9252" s="4" t="str">
        <f>IFERROR(__xludf.DUMMYFUNCTION("""COMPUTED_VALUE"""),"Suitable Tecnologia E Gestao")</f>
        <v>Suitable Tecnologia E Gestao</v>
      </c>
      <c r="N9252" s="33">
        <f>IFERROR(__xludf.DUMMYFUNCTION("""COMPUTED_VALUE"""),1.0)</f>
        <v>1</v>
      </c>
      <c r="O9252" s="4" t="str">
        <f>IFERROR(__xludf.DUMMYFUNCTION("""COMPUTED_VALUE"""),"Suitable Tecnologia E Gestao")</f>
        <v>Suitable Tecnologia E Gestao</v>
      </c>
      <c r="P9252" s="33">
        <f>IFERROR(__xludf.DUMMYFUNCTION("""COMPUTED_VALUE"""),1.0)</f>
        <v>1</v>
      </c>
      <c r="Q9252" s="4" t="str">
        <f>IFERROR(__xludf.DUMMYFUNCTION("""COMPUTED_VALUE"""),"Suitable Tecnologia E Gestao")</f>
        <v>Suitable Tecnologia E Gestao</v>
      </c>
      <c r="R9252" s="33">
        <f>IFERROR(__xludf.DUMMYFUNCTION("""COMPUTED_VALUE"""),1.0)</f>
        <v>1</v>
      </c>
      <c r="S9252" s="4" t="str">
        <f>IFERROR(__xludf.DUMMYFUNCTION("""COMPUTED_VALUE"""),"Suitable Tecnologia E Gestao")</f>
        <v>Suitable Tecnologia E Gestao</v>
      </c>
      <c r="T9252" s="33">
        <f>IFERROR(__xludf.DUMMYFUNCTION("""COMPUTED_VALUE"""),1.0)</f>
        <v>1</v>
      </c>
      <c r="U9252" s="4" t="str">
        <f>IFERROR(__xludf.DUMMYFUNCTION("""COMPUTED_VALUE"""),"Suitable Tecnologia E Gestao")</f>
        <v>Suitable Tecnologia E Gestao</v>
      </c>
      <c r="V9252" s="33">
        <f>IFERROR(__xludf.DUMMYFUNCTION("""COMPUTED_VALUE"""),1.0)</f>
        <v>1</v>
      </c>
      <c r="W9252" s="4" t="str">
        <f>IFERROR(__xludf.DUMMYFUNCTION("""COMPUTED_VALUE"""),"Suitable Tecnologia E Gestao")</f>
        <v>Suitable Tecnologia E Gestao</v>
      </c>
      <c r="X9252" s="33">
        <f>IFERROR(__xludf.DUMMYFUNCTION("""COMPUTED_VALUE"""),1.0)</f>
        <v>1</v>
      </c>
    </row>
    <row r="9253">
      <c r="K9253" s="4" t="str">
        <f>IFERROR(__xludf.DUMMYFUNCTION("""COMPUTED_VALUE"""),"174 PIZZAS MASSAS GARDEN")</f>
        <v>174 PIZZAS MASSAS GARDEN</v>
      </c>
      <c r="L9253" s="32">
        <f>IFERROR(__xludf.DUMMYFUNCTION("""COMPUTED_VALUE"""),1.0)</f>
        <v>1</v>
      </c>
      <c r="M9253" s="4" t="str">
        <f>IFERROR(__xludf.DUMMYFUNCTION("""COMPUTED_VALUE"""),"Stone Co.")</f>
        <v>Stone Co.</v>
      </c>
      <c r="N9253" s="33">
        <f>IFERROR(__xludf.DUMMYFUNCTION("""COMPUTED_VALUE"""),1.0)</f>
        <v>1</v>
      </c>
      <c r="O9253" s="4" t="str">
        <f>IFERROR(__xludf.DUMMYFUNCTION("""COMPUTED_VALUE"""),"Stone Co.")</f>
        <v>Stone Co.</v>
      </c>
      <c r="P9253" s="33">
        <f>IFERROR(__xludf.DUMMYFUNCTION("""COMPUTED_VALUE"""),1.0)</f>
        <v>1</v>
      </c>
      <c r="Q9253" s="4" t="str">
        <f>IFERROR(__xludf.DUMMYFUNCTION("""COMPUTED_VALUE"""),"Stone Co.")</f>
        <v>Stone Co.</v>
      </c>
      <c r="R9253" s="33">
        <f>IFERROR(__xludf.DUMMYFUNCTION("""COMPUTED_VALUE"""),1.0)</f>
        <v>1</v>
      </c>
      <c r="S9253" s="4" t="str">
        <f>IFERROR(__xludf.DUMMYFUNCTION("""COMPUTED_VALUE"""),"Stone Co.")</f>
        <v>Stone Co.</v>
      </c>
      <c r="T9253" s="33">
        <f>IFERROR(__xludf.DUMMYFUNCTION("""COMPUTED_VALUE"""),1.0)</f>
        <v>1</v>
      </c>
      <c r="U9253" s="4" t="str">
        <f>IFERROR(__xludf.DUMMYFUNCTION("""COMPUTED_VALUE"""),"Stone Co.")</f>
        <v>Stone Co.</v>
      </c>
      <c r="V9253" s="33">
        <f>IFERROR(__xludf.DUMMYFUNCTION("""COMPUTED_VALUE"""),1.0)</f>
        <v>1</v>
      </c>
      <c r="W9253" s="4" t="str">
        <f>IFERROR(__xludf.DUMMYFUNCTION("""COMPUTED_VALUE"""),"Stone Co.")</f>
        <v>Stone Co.</v>
      </c>
      <c r="X9253" s="33">
        <f>IFERROR(__xludf.DUMMYFUNCTION("""COMPUTED_VALUE"""),1.0)</f>
        <v>1</v>
      </c>
    </row>
    <row r="9254">
      <c r="K9254" s="4" t="str">
        <f>IFERROR(__xludf.DUMMYFUNCTION("""COMPUTED_VALUE"""),"DROGARIA PRINCE - JD SANTA TEREZA")</f>
        <v>DROGARIA PRINCE - JD SANTA TEREZA</v>
      </c>
      <c r="L9254" s="32">
        <f>IFERROR(__xludf.DUMMYFUNCTION("""COMPUTED_VALUE"""),1.0)</f>
        <v>1</v>
      </c>
      <c r="M9254" s="4" t="str">
        <f>IFERROR(__xludf.DUMMYFUNCTION("""COMPUTED_VALUE"""),"N/A (Not found)")</f>
        <v>N/A (Not found)</v>
      </c>
      <c r="N9254" s="33">
        <f>IFERROR(__xludf.DUMMYFUNCTION("""COMPUTED_VALUE"""),1.0)</f>
        <v>1</v>
      </c>
      <c r="O9254" s="4" t="str">
        <f>IFERROR(__xludf.DUMMYFUNCTION("""COMPUTED_VALUE"""),"N/A (Not found)")</f>
        <v>N/A (Not found)</v>
      </c>
      <c r="P9254" s="33">
        <f>IFERROR(__xludf.DUMMYFUNCTION("""COMPUTED_VALUE"""),1.0)</f>
        <v>1</v>
      </c>
      <c r="Q9254" s="4" t="str">
        <f>IFERROR(__xludf.DUMMYFUNCTION("""COMPUTED_VALUE"""),"N/A (Not found)")</f>
        <v>N/A (Not found)</v>
      </c>
      <c r="R9254" s="33">
        <f>IFERROR(__xludf.DUMMYFUNCTION("""COMPUTED_VALUE"""),1.0)</f>
        <v>1</v>
      </c>
      <c r="S9254" s="4" t="str">
        <f>IFERROR(__xludf.DUMMYFUNCTION("""COMPUTED_VALUE"""),"N/A (Not found)")</f>
        <v>N/A (Not found)</v>
      </c>
      <c r="T9254" s="33">
        <f>IFERROR(__xludf.DUMMYFUNCTION("""COMPUTED_VALUE"""),1.0)</f>
        <v>1</v>
      </c>
      <c r="U9254" s="4" t="str">
        <f>IFERROR(__xludf.DUMMYFUNCTION("""COMPUTED_VALUE"""),"N/A (Not found)")</f>
        <v>N/A (Not found)</v>
      </c>
      <c r="V9254" s="33">
        <f>IFERROR(__xludf.DUMMYFUNCTION("""COMPUTED_VALUE"""),1.0)</f>
        <v>1</v>
      </c>
      <c r="W9254" s="4" t="str">
        <f>IFERROR(__xludf.DUMMYFUNCTION("""COMPUTED_VALUE"""),"N/A (Not found)")</f>
        <v>N/A (Not found)</v>
      </c>
      <c r="X9254" s="33">
        <f>IFERROR(__xludf.DUMMYFUNCTION("""COMPUTED_VALUE"""),1.0)</f>
        <v>1</v>
      </c>
    </row>
    <row r="9255">
      <c r="K9255" s="4" t="str">
        <f>IFERROR(__xludf.DUMMYFUNCTION("""COMPUTED_VALUE"""),"ACAI DUBE LANCHES")</f>
        <v>ACAI DUBE LANCHES</v>
      </c>
      <c r="L9255" s="32">
        <f>IFERROR(__xludf.DUMMYFUNCTION("""COMPUTED_VALUE"""),1.0)</f>
        <v>1</v>
      </c>
      <c r="M9255" s="4" t="str">
        <f>IFERROR(__xludf.DUMMYFUNCTION("""COMPUTED_VALUE"""),"Connectplug")</f>
        <v>Connectplug</v>
      </c>
      <c r="N9255" s="33">
        <f>IFERROR(__xludf.DUMMYFUNCTION("""COMPUTED_VALUE"""),1.0)</f>
        <v>1</v>
      </c>
      <c r="O9255" s="4" t="str">
        <f>IFERROR(__xludf.DUMMYFUNCTION("""COMPUTED_VALUE"""),"Connectplug")</f>
        <v>Connectplug</v>
      </c>
      <c r="P9255" s="33">
        <f>IFERROR(__xludf.DUMMYFUNCTION("""COMPUTED_VALUE"""),1.0)</f>
        <v>1</v>
      </c>
      <c r="Q9255" s="4" t="str">
        <f>IFERROR(__xludf.DUMMYFUNCTION("""COMPUTED_VALUE"""),"Connectplug")</f>
        <v>Connectplug</v>
      </c>
      <c r="R9255" s="33">
        <f>IFERROR(__xludf.DUMMYFUNCTION("""COMPUTED_VALUE"""),1.0)</f>
        <v>1</v>
      </c>
      <c r="S9255" s="4" t="str">
        <f>IFERROR(__xludf.DUMMYFUNCTION("""COMPUTED_VALUE"""),"Connectplug")</f>
        <v>Connectplug</v>
      </c>
      <c r="T9255" s="33">
        <f>IFERROR(__xludf.DUMMYFUNCTION("""COMPUTED_VALUE"""),1.0)</f>
        <v>1</v>
      </c>
      <c r="U9255" s="4" t="str">
        <f>IFERROR(__xludf.DUMMYFUNCTION("""COMPUTED_VALUE"""),"Connectplug")</f>
        <v>Connectplug</v>
      </c>
      <c r="V9255" s="33">
        <f>IFERROR(__xludf.DUMMYFUNCTION("""COMPUTED_VALUE"""),1.0)</f>
        <v>1</v>
      </c>
      <c r="W9255" s="4" t="str">
        <f>IFERROR(__xludf.DUMMYFUNCTION("""COMPUTED_VALUE"""),"Connectplug")</f>
        <v>Connectplug</v>
      </c>
      <c r="X9255" s="33">
        <f>IFERROR(__xludf.DUMMYFUNCTION("""COMPUTED_VALUE"""),1.0)</f>
        <v>1</v>
      </c>
    </row>
    <row r="9256">
      <c r="K9256" s="4" t="str">
        <f>IFERROR(__xludf.DUMMYFUNCTION("""COMPUTED_VALUE"""),"PALADINO RESTAURANTE FAZENDA")</f>
        <v>PALADINO RESTAURANTE FAZENDA</v>
      </c>
      <c r="L9256" s="32">
        <f>IFERROR(__xludf.DUMMYFUNCTION("""COMPUTED_VALUE"""),1.0)</f>
        <v>1</v>
      </c>
      <c r="M9256" s="4" t="str">
        <f>IFERROR(__xludf.DUMMYFUNCTION("""COMPUTED_VALUE"""),"Totvs Large Enterprise Tecnologia S.a.")</f>
        <v>Totvs Large Enterprise Tecnologia S.a.</v>
      </c>
      <c r="N9256" s="33">
        <f>IFERROR(__xludf.DUMMYFUNCTION("""COMPUTED_VALUE"""),1.0)</f>
        <v>1</v>
      </c>
      <c r="O9256" s="4" t="str">
        <f>IFERROR(__xludf.DUMMYFUNCTION("""COMPUTED_VALUE"""),"Totvs Large Enterprise Tecnologia S.a.")</f>
        <v>Totvs Large Enterprise Tecnologia S.a.</v>
      </c>
      <c r="P9256" s="33">
        <f>IFERROR(__xludf.DUMMYFUNCTION("""COMPUTED_VALUE"""),1.0)</f>
        <v>1</v>
      </c>
      <c r="Q9256" s="4" t="str">
        <f>IFERROR(__xludf.DUMMYFUNCTION("""COMPUTED_VALUE"""),"Totvs Large Enterprise Tecnologia S.a.")</f>
        <v>Totvs Large Enterprise Tecnologia S.a.</v>
      </c>
      <c r="R9256" s="33">
        <f>IFERROR(__xludf.DUMMYFUNCTION("""COMPUTED_VALUE"""),1.0)</f>
        <v>1</v>
      </c>
      <c r="S9256" s="4" t="str">
        <f>IFERROR(__xludf.DUMMYFUNCTION("""COMPUTED_VALUE"""),"Totvs Large Enterprise Tecnologia S.a.")</f>
        <v>Totvs Large Enterprise Tecnologia S.a.</v>
      </c>
      <c r="T9256" s="33">
        <f>IFERROR(__xludf.DUMMYFUNCTION("""COMPUTED_VALUE"""),1.0)</f>
        <v>1</v>
      </c>
      <c r="U9256" s="4" t="str">
        <f>IFERROR(__xludf.DUMMYFUNCTION("""COMPUTED_VALUE"""),"Totvs Large Enterprise Tecnologia S.a.")</f>
        <v>Totvs Large Enterprise Tecnologia S.a.</v>
      </c>
      <c r="V9256" s="33">
        <f>IFERROR(__xludf.DUMMYFUNCTION("""COMPUTED_VALUE"""),1.0)</f>
        <v>1</v>
      </c>
      <c r="W9256" s="4" t="str">
        <f>IFERROR(__xludf.DUMMYFUNCTION("""COMPUTED_VALUE"""),"Totvs Large Enterprise Tecnologia S.a.")</f>
        <v>Totvs Large Enterprise Tecnologia S.a.</v>
      </c>
      <c r="X9256" s="33">
        <f>IFERROR(__xludf.DUMMYFUNCTION("""COMPUTED_VALUE"""),1.0)</f>
        <v>1</v>
      </c>
    </row>
    <row r="9257">
      <c r="K9257" s="4" t="str">
        <f>IFERROR(__xludf.DUMMYFUNCTION("""COMPUTED_VALUE"""),"PIZZA TIME PARNAMIRIM")</f>
        <v>PIZZA TIME PARNAMIRIM</v>
      </c>
      <c r="L9257" s="32">
        <f>IFERROR(__xludf.DUMMYFUNCTION("""COMPUTED_VALUE"""),1.0)</f>
        <v>1</v>
      </c>
      <c r="M9257" s="4" t="str">
        <f>IFERROR(__xludf.DUMMYFUNCTION("""COMPUTED_VALUE"""),"Menew - Linx")</f>
        <v>Menew - Linx</v>
      </c>
      <c r="N9257" s="33">
        <f>IFERROR(__xludf.DUMMYFUNCTION("""COMPUTED_VALUE"""),1.0)</f>
        <v>1</v>
      </c>
      <c r="O9257" s="4" t="str">
        <f>IFERROR(__xludf.DUMMYFUNCTION("""COMPUTED_VALUE"""),"Menew - Linx")</f>
        <v>Menew - Linx</v>
      </c>
      <c r="P9257" s="33">
        <f>IFERROR(__xludf.DUMMYFUNCTION("""COMPUTED_VALUE"""),1.0)</f>
        <v>1</v>
      </c>
      <c r="Q9257" s="4" t="str">
        <f>IFERROR(__xludf.DUMMYFUNCTION("""COMPUTED_VALUE"""),"Menew - Linx")</f>
        <v>Menew - Linx</v>
      </c>
      <c r="R9257" s="33">
        <f>IFERROR(__xludf.DUMMYFUNCTION("""COMPUTED_VALUE"""),1.0)</f>
        <v>1</v>
      </c>
      <c r="S9257" s="4" t="str">
        <f>IFERROR(__xludf.DUMMYFUNCTION("""COMPUTED_VALUE"""),"Menew - Linx")</f>
        <v>Menew - Linx</v>
      </c>
      <c r="T9257" s="33">
        <f>IFERROR(__xludf.DUMMYFUNCTION("""COMPUTED_VALUE"""),1.0)</f>
        <v>1</v>
      </c>
      <c r="U9257" s="4" t="str">
        <f>IFERROR(__xludf.DUMMYFUNCTION("""COMPUTED_VALUE"""),"Menew - Linx")</f>
        <v>Menew - Linx</v>
      </c>
      <c r="V9257" s="33">
        <f>IFERROR(__xludf.DUMMYFUNCTION("""COMPUTED_VALUE"""),1.0)</f>
        <v>1</v>
      </c>
      <c r="W9257" s="4" t="str">
        <f>IFERROR(__xludf.DUMMYFUNCTION("""COMPUTED_VALUE"""),"Menew - Linx")</f>
        <v>Menew - Linx</v>
      </c>
      <c r="X9257" s="33">
        <f>IFERROR(__xludf.DUMMYFUNCTION("""COMPUTED_VALUE"""),1.0)</f>
        <v>1</v>
      </c>
    </row>
    <row r="9258">
      <c r="K9258" s="4" t="str">
        <f>IFERROR(__xludf.DUMMYFUNCTION("""COMPUTED_VALUE"""),"OLD CAVE BURGUER")</f>
        <v>OLD CAVE BURGUER</v>
      </c>
      <c r="L9258" s="32">
        <f>IFERROR(__xludf.DUMMYFUNCTION("""COMPUTED_VALUE"""),1.0)</f>
        <v>1</v>
      </c>
      <c r="M9258" s="4" t="str">
        <f>IFERROR(__xludf.DUMMYFUNCTION("""COMPUTED_VALUE"""),"Saipos Serviços De Software")</f>
        <v>Saipos Serviços De Software</v>
      </c>
      <c r="N9258" s="33">
        <f>IFERROR(__xludf.DUMMYFUNCTION("""COMPUTED_VALUE"""),1.0)</f>
        <v>1</v>
      </c>
      <c r="O9258" s="4" t="str">
        <f>IFERROR(__xludf.DUMMYFUNCTION("""COMPUTED_VALUE"""),"null")</f>
        <v>null</v>
      </c>
      <c r="P9258" s="33">
        <f>IFERROR(__xludf.DUMMYFUNCTION("""COMPUTED_VALUE"""),1.0)</f>
        <v>1</v>
      </c>
      <c r="Q9258" s="4" t="str">
        <f>IFERROR(__xludf.DUMMYFUNCTION("""COMPUTED_VALUE"""),"null")</f>
        <v>null</v>
      </c>
      <c r="R9258" s="33">
        <f>IFERROR(__xludf.DUMMYFUNCTION("""COMPUTED_VALUE"""),1.0)</f>
        <v>1</v>
      </c>
      <c r="S9258" s="4" t="str">
        <f>IFERROR(__xludf.DUMMYFUNCTION("""COMPUTED_VALUE"""),"null")</f>
        <v>null</v>
      </c>
      <c r="T9258" s="33">
        <f>IFERROR(__xludf.DUMMYFUNCTION("""COMPUTED_VALUE"""),1.0)</f>
        <v>1</v>
      </c>
      <c r="U9258" s="4" t="str">
        <f>IFERROR(__xludf.DUMMYFUNCTION("""COMPUTED_VALUE"""),"null")</f>
        <v>null</v>
      </c>
      <c r="V9258" s="33">
        <f>IFERROR(__xludf.DUMMYFUNCTION("""COMPUTED_VALUE"""),1.0)</f>
        <v>1</v>
      </c>
      <c r="W9258" s="4" t="str">
        <f>IFERROR(__xludf.DUMMYFUNCTION("""COMPUTED_VALUE"""),"null")</f>
        <v>null</v>
      </c>
      <c r="X9258" s="33">
        <f>IFERROR(__xludf.DUMMYFUNCTION("""COMPUTED_VALUE"""),1.0)</f>
        <v>1</v>
      </c>
    </row>
    <row r="9259">
      <c r="K9259" s="4" t="str">
        <f>IFERROR(__xludf.DUMMYFUNCTION("""COMPUTED_VALUE"""),"HARD BURGER HAMBURGUERIA")</f>
        <v>HARD BURGER HAMBURGUERIA</v>
      </c>
      <c r="L9259" s="32">
        <f>IFERROR(__xludf.DUMMYFUNCTION("""COMPUTED_VALUE"""),1.0)</f>
        <v>1</v>
      </c>
      <c r="M9259" s="4" t="str">
        <f>IFERROR(__xludf.DUMMYFUNCTION("""COMPUTED_VALUE"""),"null")</f>
        <v>null</v>
      </c>
      <c r="N9259" s="33">
        <f>IFERROR(__xludf.DUMMYFUNCTION("""COMPUTED_VALUE"""),1.0)</f>
        <v>1</v>
      </c>
      <c r="O9259" s="4" t="str">
        <f>IFERROR(__xludf.DUMMYFUNCTION("""COMPUTED_VALUE"""),"Ncr")</f>
        <v>Ncr</v>
      </c>
      <c r="P9259" s="33">
        <f>IFERROR(__xludf.DUMMYFUNCTION("""COMPUTED_VALUE"""),1.0)</f>
        <v>1</v>
      </c>
      <c r="Q9259" s="4" t="str">
        <f>IFERROR(__xludf.DUMMYFUNCTION("""COMPUTED_VALUE"""),"null")</f>
        <v>null</v>
      </c>
      <c r="R9259" s="33">
        <f>IFERROR(__xludf.DUMMYFUNCTION("""COMPUTED_VALUE"""),1.0)</f>
        <v>1</v>
      </c>
      <c r="S9259" s="4" t="str">
        <f>IFERROR(__xludf.DUMMYFUNCTION("""COMPUTED_VALUE"""),"null")</f>
        <v>null</v>
      </c>
      <c r="T9259" s="33">
        <f>IFERROR(__xludf.DUMMYFUNCTION("""COMPUTED_VALUE"""),1.0)</f>
        <v>1</v>
      </c>
      <c r="U9259" s="4" t="str">
        <f>IFERROR(__xludf.DUMMYFUNCTION("""COMPUTED_VALUE"""),"null")</f>
        <v>null</v>
      </c>
      <c r="V9259" s="33">
        <f>IFERROR(__xludf.DUMMYFUNCTION("""COMPUTED_VALUE"""),1.0)</f>
        <v>1</v>
      </c>
      <c r="W9259" s="4" t="str">
        <f>IFERROR(__xludf.DUMMYFUNCTION("""COMPUTED_VALUE"""),"null")</f>
        <v>null</v>
      </c>
      <c r="X9259" s="33">
        <f>IFERROR(__xludf.DUMMYFUNCTION("""COMPUTED_VALUE"""),1.0)</f>
        <v>1</v>
      </c>
    </row>
    <row r="9260">
      <c r="K9260" s="4" t="str">
        <f>IFERROR(__xludf.DUMMYFUNCTION("""COMPUTED_VALUE"""),"HAMBURGUERIA BARBAS BEER")</f>
        <v>HAMBURGUERIA BARBAS BEER</v>
      </c>
      <c r="L9260" s="32">
        <f>IFERROR(__xludf.DUMMYFUNCTION("""COMPUTED_VALUE"""),1.0)</f>
        <v>1</v>
      </c>
      <c r="M9260" s="4" t="str">
        <f>IFERROR(__xludf.DUMMYFUNCTION("""COMPUTED_VALUE"""),"Menew - Linx")</f>
        <v>Menew - Linx</v>
      </c>
      <c r="N9260" s="33">
        <f>IFERROR(__xludf.DUMMYFUNCTION("""COMPUTED_VALUE"""),1.0)</f>
        <v>1</v>
      </c>
      <c r="O9260" s="4" t="str">
        <f>IFERROR(__xludf.DUMMYFUNCTION("""COMPUTED_VALUE"""),"Menew - Linx")</f>
        <v>Menew - Linx</v>
      </c>
      <c r="P9260" s="33">
        <f>IFERROR(__xludf.DUMMYFUNCTION("""COMPUTED_VALUE"""),1.0)</f>
        <v>1</v>
      </c>
      <c r="Q9260" s="4" t="str">
        <f>IFERROR(__xludf.DUMMYFUNCTION("""COMPUTED_VALUE"""),"Menew - Linx")</f>
        <v>Menew - Linx</v>
      </c>
      <c r="R9260" s="33">
        <f>IFERROR(__xludf.DUMMYFUNCTION("""COMPUTED_VALUE"""),1.0)</f>
        <v>1</v>
      </c>
      <c r="S9260" s="4" t="str">
        <f>IFERROR(__xludf.DUMMYFUNCTION("""COMPUTED_VALUE"""),"Menew - Linx")</f>
        <v>Menew - Linx</v>
      </c>
      <c r="T9260" s="33">
        <f>IFERROR(__xludf.DUMMYFUNCTION("""COMPUTED_VALUE"""),1.0)</f>
        <v>1</v>
      </c>
      <c r="U9260" s="4" t="str">
        <f>IFERROR(__xludf.DUMMYFUNCTION("""COMPUTED_VALUE"""),"Menew - Linx")</f>
        <v>Menew - Linx</v>
      </c>
      <c r="V9260" s="33">
        <f>IFERROR(__xludf.DUMMYFUNCTION("""COMPUTED_VALUE"""),1.0)</f>
        <v>1</v>
      </c>
      <c r="W9260" s="4" t="str">
        <f>IFERROR(__xludf.DUMMYFUNCTION("""COMPUTED_VALUE"""),"Menew - Linx")</f>
        <v>Menew - Linx</v>
      </c>
      <c r="X9260" s="33">
        <f>IFERROR(__xludf.DUMMYFUNCTION("""COMPUTED_VALUE"""),1.0)</f>
        <v>1</v>
      </c>
    </row>
    <row r="9261">
      <c r="K9261" s="4" t="str">
        <f>IFERROR(__xludf.DUMMYFUNCTION("""COMPUTED_VALUE"""),"MARMITARIA E RESTAURANTE SABOR DE MINAS")</f>
        <v>MARMITARIA E RESTAURANTE SABOR DE MINAS</v>
      </c>
      <c r="L9261" s="32">
        <f>IFERROR(__xludf.DUMMYFUNCTION("""COMPUTED_VALUE"""),1.0)</f>
        <v>1</v>
      </c>
      <c r="M9261" s="4" t="str">
        <f>IFERROR(__xludf.DUMMYFUNCTION("""COMPUTED_VALUE"""),"null")</f>
        <v>null</v>
      </c>
      <c r="N9261" s="33">
        <f>IFERROR(__xludf.DUMMYFUNCTION("""COMPUTED_VALUE"""),1.0)</f>
        <v>1</v>
      </c>
      <c r="O9261" s="4" t="str">
        <f>IFERROR(__xludf.DUMMYFUNCTION("""COMPUTED_VALUE"""),"null")</f>
        <v>null</v>
      </c>
      <c r="P9261" s="33">
        <f>IFERROR(__xludf.DUMMYFUNCTION("""COMPUTED_VALUE"""),1.0)</f>
        <v>1</v>
      </c>
      <c r="Q9261" s="4" t="str">
        <f>IFERROR(__xludf.DUMMYFUNCTION("""COMPUTED_VALUE"""),"Mp Multipedidos")</f>
        <v>Mp Multipedidos</v>
      </c>
      <c r="R9261" s="33">
        <f>IFERROR(__xludf.DUMMYFUNCTION("""COMPUTED_VALUE"""),1.0)</f>
        <v>1</v>
      </c>
      <c r="S9261" s="4" t="str">
        <f>IFERROR(__xludf.DUMMYFUNCTION("""COMPUTED_VALUE"""),"Mp Multipedidos")</f>
        <v>Mp Multipedidos</v>
      </c>
      <c r="T9261" s="33">
        <f>IFERROR(__xludf.DUMMYFUNCTION("""COMPUTED_VALUE"""),1.0)</f>
        <v>1</v>
      </c>
      <c r="U9261" s="4" t="str">
        <f>IFERROR(__xludf.DUMMYFUNCTION("""COMPUTED_VALUE"""),"Mp Multipedidos")</f>
        <v>Mp Multipedidos</v>
      </c>
      <c r="V9261" s="33">
        <f>IFERROR(__xludf.DUMMYFUNCTION("""COMPUTED_VALUE"""),1.0)</f>
        <v>1</v>
      </c>
      <c r="W9261" s="4" t="str">
        <f>IFERROR(__xludf.DUMMYFUNCTION("""COMPUTED_VALUE"""),"Mp Multipedidos")</f>
        <v>Mp Multipedidos</v>
      </c>
      <c r="X9261" s="33">
        <f>IFERROR(__xludf.DUMMYFUNCTION("""COMPUTED_VALUE"""),1.0)</f>
        <v>1</v>
      </c>
    </row>
    <row r="9262">
      <c r="K9262" s="4" t="str">
        <f>IFERROR(__xludf.DUMMYFUNCTION("""COMPUTED_VALUE"""),"VILA NOVA MARMITAS")</f>
        <v>VILA NOVA MARMITAS</v>
      </c>
      <c r="L9262" s="32">
        <f>IFERROR(__xludf.DUMMYFUNCTION("""COMPUTED_VALUE"""),1.0)</f>
        <v>1</v>
      </c>
      <c r="M9262" s="4" t="str">
        <f>IFERROR(__xludf.DUMMYFUNCTION("""COMPUTED_VALUE"""),"null")</f>
        <v>null</v>
      </c>
      <c r="N9262" s="33">
        <f>IFERROR(__xludf.DUMMYFUNCTION("""COMPUTED_VALUE"""),1.0)</f>
        <v>1</v>
      </c>
      <c r="O9262" s="4" t="str">
        <f>IFERROR(__xludf.DUMMYFUNCTION("""COMPUTED_VALUE"""),"null")</f>
        <v>null</v>
      </c>
      <c r="P9262" s="33">
        <f>IFERROR(__xludf.DUMMYFUNCTION("""COMPUTED_VALUE"""),1.0)</f>
        <v>1</v>
      </c>
      <c r="Q9262" s="4" t="str">
        <f>IFERROR(__xludf.DUMMYFUNCTION("""COMPUTED_VALUE"""),"null")</f>
        <v>null</v>
      </c>
      <c r="R9262" s="33">
        <f>IFERROR(__xludf.DUMMYFUNCTION("""COMPUTED_VALUE"""),1.0)</f>
        <v>1</v>
      </c>
      <c r="S9262" s="4" t="str">
        <f>IFERROR(__xludf.DUMMYFUNCTION("""COMPUTED_VALUE"""),"Eclética Tecnologia")</f>
        <v>Eclética Tecnologia</v>
      </c>
      <c r="T9262" s="33">
        <f>IFERROR(__xludf.DUMMYFUNCTION("""COMPUTED_VALUE"""),1.0)</f>
        <v>1</v>
      </c>
      <c r="U9262" s="4" t="str">
        <f>IFERROR(__xludf.DUMMYFUNCTION("""COMPUTED_VALUE"""),"Eclética Tecnologia")</f>
        <v>Eclética Tecnologia</v>
      </c>
      <c r="V9262" s="33">
        <f>IFERROR(__xludf.DUMMYFUNCTION("""COMPUTED_VALUE"""),1.0)</f>
        <v>1</v>
      </c>
      <c r="W9262" s="4" t="str">
        <f>IFERROR(__xludf.DUMMYFUNCTION("""COMPUTED_VALUE"""),"null")</f>
        <v>null</v>
      </c>
      <c r="X9262" s="33">
        <f>IFERROR(__xludf.DUMMYFUNCTION("""COMPUTED_VALUE"""),1.0)</f>
        <v>1</v>
      </c>
    </row>
    <row r="9263">
      <c r="K9263" s="4" t="str">
        <f>IFERROR(__xludf.DUMMYFUNCTION("""COMPUTED_VALUE"""),"SAMARA GODOY CONFEITARIA ARTESANAL")</f>
        <v>SAMARA GODOY CONFEITARIA ARTESANAL</v>
      </c>
      <c r="L9263" s="32">
        <f>IFERROR(__xludf.DUMMYFUNCTION("""COMPUTED_VALUE"""),1.0)</f>
        <v>1</v>
      </c>
      <c r="M9263" s="4" t="str">
        <f>IFERROR(__xludf.DUMMYFUNCTION("""COMPUTED_VALUE"""),"null")</f>
        <v>null</v>
      </c>
      <c r="N9263" s="33">
        <f>IFERROR(__xludf.DUMMYFUNCTION("""COMPUTED_VALUE"""),1.0)</f>
        <v>1</v>
      </c>
      <c r="O9263" s="4" t="str">
        <f>IFERROR(__xludf.DUMMYFUNCTION("""COMPUTED_VALUE"""),"Instadelivery")</f>
        <v>Instadelivery</v>
      </c>
      <c r="P9263" s="33">
        <f>IFERROR(__xludf.DUMMYFUNCTION("""COMPUTED_VALUE"""),1.0)</f>
        <v>1</v>
      </c>
      <c r="Q9263" s="4" t="str">
        <f>IFERROR(__xludf.DUMMYFUNCTION("""COMPUTED_VALUE"""),"Instadelivery")</f>
        <v>Instadelivery</v>
      </c>
      <c r="R9263" s="33">
        <f>IFERROR(__xludf.DUMMYFUNCTION("""COMPUTED_VALUE"""),1.0)</f>
        <v>1</v>
      </c>
      <c r="S9263" s="4" t="str">
        <f>IFERROR(__xludf.DUMMYFUNCTION("""COMPUTED_VALUE"""),"null")</f>
        <v>null</v>
      </c>
      <c r="T9263" s="33">
        <f>IFERROR(__xludf.DUMMYFUNCTION("""COMPUTED_VALUE"""),1.0)</f>
        <v>1</v>
      </c>
      <c r="U9263" s="4" t="str">
        <f>IFERROR(__xludf.DUMMYFUNCTION("""COMPUTED_VALUE"""),"Instadelivery")</f>
        <v>Instadelivery</v>
      </c>
      <c r="V9263" s="33">
        <f>IFERROR(__xludf.DUMMYFUNCTION("""COMPUTED_VALUE"""),1.0)</f>
        <v>1</v>
      </c>
      <c r="W9263" s="4" t="str">
        <f>IFERROR(__xludf.DUMMYFUNCTION("""COMPUTED_VALUE"""),"null")</f>
        <v>null</v>
      </c>
      <c r="X9263" s="33">
        <f>IFERROR(__xludf.DUMMYFUNCTION("""COMPUTED_VALUE"""),1.0)</f>
        <v>1</v>
      </c>
    </row>
    <row r="9264">
      <c r="K9264" s="4" t="str">
        <f>IFERROR(__xludf.DUMMYFUNCTION("""COMPUTED_VALUE"""),"DOGUERIA MASTER")</f>
        <v>DOGUERIA MASTER</v>
      </c>
      <c r="L9264" s="32">
        <f>IFERROR(__xludf.DUMMYFUNCTION("""COMPUTED_VALUE"""),1.0)</f>
        <v>1</v>
      </c>
      <c r="M9264" s="4" t="str">
        <f>IFERROR(__xludf.DUMMYFUNCTION("""COMPUTED_VALUE"""),"Saipos Serviços De Software")</f>
        <v>Saipos Serviços De Software</v>
      </c>
      <c r="N9264" s="33">
        <f>IFERROR(__xludf.DUMMYFUNCTION("""COMPUTED_VALUE"""),1.0)</f>
        <v>1</v>
      </c>
      <c r="O9264" s="4" t="str">
        <f>IFERROR(__xludf.DUMMYFUNCTION("""COMPUTED_VALUE"""),"Saipos Serviços De Software")</f>
        <v>Saipos Serviços De Software</v>
      </c>
      <c r="P9264" s="33">
        <f>IFERROR(__xludf.DUMMYFUNCTION("""COMPUTED_VALUE"""),1.0)</f>
        <v>1</v>
      </c>
      <c r="Q9264" s="4" t="str">
        <f>IFERROR(__xludf.DUMMYFUNCTION("""COMPUTED_VALUE"""),"Saipos Serviços De Software")</f>
        <v>Saipos Serviços De Software</v>
      </c>
      <c r="R9264" s="33">
        <f>IFERROR(__xludf.DUMMYFUNCTION("""COMPUTED_VALUE"""),1.0)</f>
        <v>1</v>
      </c>
      <c r="S9264" s="4" t="str">
        <f>IFERROR(__xludf.DUMMYFUNCTION("""COMPUTED_VALUE"""),"Saipos Serviços De Software")</f>
        <v>Saipos Serviços De Software</v>
      </c>
      <c r="T9264" s="33">
        <f>IFERROR(__xludf.DUMMYFUNCTION("""COMPUTED_VALUE"""),1.0)</f>
        <v>1</v>
      </c>
      <c r="U9264" s="4" t="str">
        <f>IFERROR(__xludf.DUMMYFUNCTION("""COMPUTED_VALUE"""),"Saipos Serviços De Software")</f>
        <v>Saipos Serviços De Software</v>
      </c>
      <c r="V9264" s="33">
        <f>IFERROR(__xludf.DUMMYFUNCTION("""COMPUTED_VALUE"""),1.0)</f>
        <v>1</v>
      </c>
      <c r="W9264" s="4" t="str">
        <f>IFERROR(__xludf.DUMMYFUNCTION("""COMPUTED_VALUE"""),"Saipos Serviços De Software")</f>
        <v>Saipos Serviços De Software</v>
      </c>
      <c r="X9264" s="33">
        <f>IFERROR(__xludf.DUMMYFUNCTION("""COMPUTED_VALUE"""),1.0)</f>
        <v>1</v>
      </c>
    </row>
    <row r="9265">
      <c r="K9265" s="4" t="str">
        <f>IFERROR(__xludf.DUMMYFUNCTION("""COMPUTED_VALUE"""),"RAFA LANCHES ORIGINAL")</f>
        <v>RAFA LANCHES ORIGINAL</v>
      </c>
      <c r="L9265" s="32">
        <f>IFERROR(__xludf.DUMMYFUNCTION("""COMPUTED_VALUE"""),1.0)</f>
        <v>1</v>
      </c>
      <c r="M9265" s="4" t="str">
        <f>IFERROR(__xludf.DUMMYFUNCTION("""COMPUTED_VALUE"""),"Anota Ai Solucoes Digitais S/a")</f>
        <v>Anota Ai Solucoes Digitais S/a</v>
      </c>
      <c r="N9265" s="33">
        <f>IFERROR(__xludf.DUMMYFUNCTION("""COMPUTED_VALUE"""),1.0)</f>
        <v>1</v>
      </c>
      <c r="O9265" s="4" t="str">
        <f>IFERROR(__xludf.DUMMYFUNCTION("""COMPUTED_VALUE"""),"Anota Ai Solucoes Digitais S/a")</f>
        <v>Anota Ai Solucoes Digitais S/a</v>
      </c>
      <c r="P9265" s="33">
        <f>IFERROR(__xludf.DUMMYFUNCTION("""COMPUTED_VALUE"""),1.0)</f>
        <v>1</v>
      </c>
      <c r="Q9265" s="4" t="str">
        <f>IFERROR(__xludf.DUMMYFUNCTION("""COMPUTED_VALUE"""),"Anota Ai Solucoes Digitais S/a")</f>
        <v>Anota Ai Solucoes Digitais S/a</v>
      </c>
      <c r="R9265" s="33">
        <f>IFERROR(__xludf.DUMMYFUNCTION("""COMPUTED_VALUE"""),1.0)</f>
        <v>1</v>
      </c>
      <c r="S9265" s="4" t="str">
        <f>IFERROR(__xludf.DUMMYFUNCTION("""COMPUTED_VALUE"""),"Anota Ai Solucoes Digitais S/a")</f>
        <v>Anota Ai Solucoes Digitais S/a</v>
      </c>
      <c r="T9265" s="33">
        <f>IFERROR(__xludf.DUMMYFUNCTION("""COMPUTED_VALUE"""),1.0)</f>
        <v>1</v>
      </c>
      <c r="U9265" s="4" t="str">
        <f>IFERROR(__xludf.DUMMYFUNCTION("""COMPUTED_VALUE"""),"Anota Ai Solucoes Digitais S/a")</f>
        <v>Anota Ai Solucoes Digitais S/a</v>
      </c>
      <c r="V9265" s="33">
        <f>IFERROR(__xludf.DUMMYFUNCTION("""COMPUTED_VALUE"""),1.0)</f>
        <v>1</v>
      </c>
      <c r="W9265" s="4" t="str">
        <f>IFERROR(__xludf.DUMMYFUNCTION("""COMPUTED_VALUE"""),"Anota Ai Solucoes Digitais S/a")</f>
        <v>Anota Ai Solucoes Digitais S/a</v>
      </c>
      <c r="X9265" s="33">
        <f>IFERROR(__xludf.DUMMYFUNCTION("""COMPUTED_VALUE"""),1.0)</f>
        <v>1</v>
      </c>
    </row>
    <row r="9266">
      <c r="K9266" s="4" t="str">
        <f>IFERROR(__xludf.DUMMYFUNCTION("""COMPUTED_VALUE"""),"LA CUMPARSITA - CASA DE EMPANADAS")</f>
        <v>LA CUMPARSITA - CASA DE EMPANADAS</v>
      </c>
      <c r="L9266" s="32">
        <f>IFERROR(__xludf.DUMMYFUNCTION("""COMPUTED_VALUE"""),1.0)</f>
        <v>1</v>
      </c>
      <c r="M9266" s="4" t="str">
        <f>IFERROR(__xludf.DUMMYFUNCTION("""COMPUTED_VALUE"""),"Saipos Serviços De Software")</f>
        <v>Saipos Serviços De Software</v>
      </c>
      <c r="N9266" s="33">
        <f>IFERROR(__xludf.DUMMYFUNCTION("""COMPUTED_VALUE"""),1.0)</f>
        <v>1</v>
      </c>
      <c r="O9266" s="4" t="str">
        <f>IFERROR(__xludf.DUMMYFUNCTION("""COMPUTED_VALUE"""),"Saipos Serviços De Software")</f>
        <v>Saipos Serviços De Software</v>
      </c>
      <c r="P9266" s="33">
        <f>IFERROR(__xludf.DUMMYFUNCTION("""COMPUTED_VALUE"""),1.0)</f>
        <v>1</v>
      </c>
      <c r="Q9266" s="4" t="str">
        <f>IFERROR(__xludf.DUMMYFUNCTION("""COMPUTED_VALUE"""),"Saipos Serviços De Software")</f>
        <v>Saipos Serviços De Software</v>
      </c>
      <c r="R9266" s="33">
        <f>IFERROR(__xludf.DUMMYFUNCTION("""COMPUTED_VALUE"""),1.0)</f>
        <v>1</v>
      </c>
      <c r="S9266" s="4" t="str">
        <f>IFERROR(__xludf.DUMMYFUNCTION("""COMPUTED_VALUE"""),"Saipos Serviços De Software")</f>
        <v>Saipos Serviços De Software</v>
      </c>
      <c r="T9266" s="33">
        <f>IFERROR(__xludf.DUMMYFUNCTION("""COMPUTED_VALUE"""),1.0)</f>
        <v>1</v>
      </c>
      <c r="U9266" s="4" t="str">
        <f>IFERROR(__xludf.DUMMYFUNCTION("""COMPUTED_VALUE"""),"Saipos Serviços De Software")</f>
        <v>Saipos Serviços De Software</v>
      </c>
      <c r="V9266" s="33">
        <f>IFERROR(__xludf.DUMMYFUNCTION("""COMPUTED_VALUE"""),1.0)</f>
        <v>1</v>
      </c>
      <c r="W9266" s="4" t="str">
        <f>IFERROR(__xludf.DUMMYFUNCTION("""COMPUTED_VALUE"""),"Saipos Serviços De Software")</f>
        <v>Saipos Serviços De Software</v>
      </c>
      <c r="X9266" s="33">
        <f>IFERROR(__xludf.DUMMYFUNCTION("""COMPUTED_VALUE"""),1.0)</f>
        <v>1</v>
      </c>
    </row>
    <row r="9267">
      <c r="K9267" s="4" t="str">
        <f>IFERROR(__xludf.DUMMYFUNCTION("""COMPUTED_VALUE"""),"MARE - BURGUERS")</f>
        <v>MARE - BURGUERS</v>
      </c>
      <c r="L9267" s="32">
        <f>IFERROR(__xludf.DUMMYFUNCTION("""COMPUTED_VALUE"""),1.0)</f>
        <v>1</v>
      </c>
      <c r="M9267" s="4" t="str">
        <f>IFERROR(__xludf.DUMMYFUNCTION("""COMPUTED_VALUE"""),"null")</f>
        <v>null</v>
      </c>
      <c r="N9267" s="33">
        <f>IFERROR(__xludf.DUMMYFUNCTION("""COMPUTED_VALUE"""),1.0)</f>
        <v>1</v>
      </c>
      <c r="O9267" s="4" t="str">
        <f>IFERROR(__xludf.DUMMYFUNCTION("""COMPUTED_VALUE"""),"null")</f>
        <v>null</v>
      </c>
      <c r="P9267" s="33">
        <f>IFERROR(__xludf.DUMMYFUNCTION("""COMPUTED_VALUE"""),1.0)</f>
        <v>1</v>
      </c>
      <c r="Q9267" s="4" t="str">
        <f>IFERROR(__xludf.DUMMYFUNCTION("""COMPUTED_VALUE"""),"null")</f>
        <v>null</v>
      </c>
      <c r="R9267" s="33">
        <f>IFERROR(__xludf.DUMMYFUNCTION("""COMPUTED_VALUE"""),1.0)</f>
        <v>1</v>
      </c>
      <c r="S9267" s="4" t="str">
        <f>IFERROR(__xludf.DUMMYFUNCTION("""COMPUTED_VALUE"""),"Cardápio Web")</f>
        <v>Cardápio Web</v>
      </c>
      <c r="T9267" s="33">
        <f>IFERROR(__xludf.DUMMYFUNCTION("""COMPUTED_VALUE"""),1.0)</f>
        <v>1</v>
      </c>
      <c r="U9267" s="4" t="str">
        <f>IFERROR(__xludf.DUMMYFUNCTION("""COMPUTED_VALUE"""),"null")</f>
        <v>null</v>
      </c>
      <c r="V9267" s="33">
        <f>IFERROR(__xludf.DUMMYFUNCTION("""COMPUTED_VALUE"""),1.0)</f>
        <v>1</v>
      </c>
      <c r="W9267" s="4" t="str">
        <f>IFERROR(__xludf.DUMMYFUNCTION("""COMPUTED_VALUE"""),"null")</f>
        <v>null</v>
      </c>
      <c r="X9267" s="33">
        <f>IFERROR(__xludf.DUMMYFUNCTION("""COMPUTED_VALUE"""),1.0)</f>
        <v>1</v>
      </c>
    </row>
    <row r="9268">
      <c r="K9268" s="4" t="str">
        <f>IFERROR(__xludf.DUMMYFUNCTION("""COMPUTED_VALUE"""),"SABOR DO PEDACO")</f>
        <v>SABOR DO PEDACO</v>
      </c>
      <c r="L9268" s="32">
        <f>IFERROR(__xludf.DUMMYFUNCTION("""COMPUTED_VALUE"""),1.0)</f>
        <v>1</v>
      </c>
      <c r="M9268" s="4" t="str">
        <f>IFERROR(__xludf.DUMMYFUNCTION("""COMPUTED_VALUE"""),"Deeliv")</f>
        <v>Deeliv</v>
      </c>
      <c r="N9268" s="33">
        <f>IFERROR(__xludf.DUMMYFUNCTION("""COMPUTED_VALUE"""),1.0)</f>
        <v>1</v>
      </c>
      <c r="O9268" s="4" t="str">
        <f>IFERROR(__xludf.DUMMYFUNCTION("""COMPUTED_VALUE"""),"Deeliv")</f>
        <v>Deeliv</v>
      </c>
      <c r="P9268" s="33">
        <f>IFERROR(__xludf.DUMMYFUNCTION("""COMPUTED_VALUE"""),1.0)</f>
        <v>1</v>
      </c>
      <c r="Q9268" s="4" t="str">
        <f>IFERROR(__xludf.DUMMYFUNCTION("""COMPUTED_VALUE"""),"Deeliv")</f>
        <v>Deeliv</v>
      </c>
      <c r="R9268" s="33">
        <f>IFERROR(__xludf.DUMMYFUNCTION("""COMPUTED_VALUE"""),1.0)</f>
        <v>1</v>
      </c>
      <c r="S9268" s="4" t="str">
        <f>IFERROR(__xludf.DUMMYFUNCTION("""COMPUTED_VALUE"""),"null")</f>
        <v>null</v>
      </c>
      <c r="T9268" s="33">
        <f>IFERROR(__xludf.DUMMYFUNCTION("""COMPUTED_VALUE"""),1.0)</f>
        <v>1</v>
      </c>
      <c r="U9268" s="4" t="str">
        <f>IFERROR(__xludf.DUMMYFUNCTION("""COMPUTED_VALUE"""),"null")</f>
        <v>null</v>
      </c>
      <c r="V9268" s="33">
        <f>IFERROR(__xludf.DUMMYFUNCTION("""COMPUTED_VALUE"""),1.0)</f>
        <v>1</v>
      </c>
      <c r="W9268" s="4" t="str">
        <f>IFERROR(__xludf.DUMMYFUNCTION("""COMPUTED_VALUE"""),"null")</f>
        <v>null</v>
      </c>
      <c r="X9268" s="33">
        <f>IFERROR(__xludf.DUMMYFUNCTION("""COMPUTED_VALUE"""),1.0)</f>
        <v>1</v>
      </c>
    </row>
    <row r="9269">
      <c r="K9269" s="4" t="str">
        <f>IFERROR(__xludf.DUMMYFUNCTION("""COMPUTED_VALUE"""),"FARMAFONTE")</f>
        <v>FARMAFONTE</v>
      </c>
      <c r="L9269" s="32">
        <f>IFERROR(__xludf.DUMMYFUNCTION("""COMPUTED_VALUE"""),1.0)</f>
        <v>1</v>
      </c>
      <c r="M9269" s="4" t="str">
        <f>IFERROR(__xludf.DUMMYFUNCTION("""COMPUTED_VALUE"""),"N/A (Not found)")</f>
        <v>N/A (Not found)</v>
      </c>
      <c r="N9269" s="33">
        <f>IFERROR(__xludf.DUMMYFUNCTION("""COMPUTED_VALUE"""),1.0)</f>
        <v>1</v>
      </c>
      <c r="O9269" s="4" t="str">
        <f>IFERROR(__xludf.DUMMYFUNCTION("""COMPUTED_VALUE"""),"N/A (Not found)")</f>
        <v>N/A (Not found)</v>
      </c>
      <c r="P9269" s="33">
        <f>IFERROR(__xludf.DUMMYFUNCTION("""COMPUTED_VALUE"""),1.0)</f>
        <v>1</v>
      </c>
      <c r="Q9269" s="4" t="str">
        <f>IFERROR(__xludf.DUMMYFUNCTION("""COMPUTED_VALUE"""),"N/A (Not found)")</f>
        <v>N/A (Not found)</v>
      </c>
      <c r="R9269" s="33">
        <f>IFERROR(__xludf.DUMMYFUNCTION("""COMPUTED_VALUE"""),1.0)</f>
        <v>1</v>
      </c>
      <c r="S9269" s="4" t="str">
        <f>IFERROR(__xludf.DUMMYFUNCTION("""COMPUTED_VALUE"""),"N/A (Not found)")</f>
        <v>N/A (Not found)</v>
      </c>
      <c r="T9269" s="33">
        <f>IFERROR(__xludf.DUMMYFUNCTION("""COMPUTED_VALUE"""),1.0)</f>
        <v>1</v>
      </c>
      <c r="U9269" s="4" t="str">
        <f>IFERROR(__xludf.DUMMYFUNCTION("""COMPUTED_VALUE"""),"N/A (Not found)")</f>
        <v>N/A (Not found)</v>
      </c>
      <c r="V9269" s="33">
        <f>IFERROR(__xludf.DUMMYFUNCTION("""COMPUTED_VALUE"""),1.0)</f>
        <v>1</v>
      </c>
      <c r="W9269" s="4" t="str">
        <f>IFERROR(__xludf.DUMMYFUNCTION("""COMPUTED_VALUE"""),"N/A (Not found)")</f>
        <v>N/A (Not found)</v>
      </c>
      <c r="X9269" s="33">
        <f>IFERROR(__xludf.DUMMYFUNCTION("""COMPUTED_VALUE"""),1.0)</f>
        <v>1</v>
      </c>
    </row>
    <row r="9270">
      <c r="K9270" s="4" t="str">
        <f>IFERROR(__xludf.DUMMYFUNCTION("""COMPUTED_VALUE"""),"MARMITARIA DA LISI")</f>
        <v>MARMITARIA DA LISI</v>
      </c>
      <c r="L9270" s="32">
        <f>IFERROR(__xludf.DUMMYFUNCTION("""COMPUTED_VALUE"""),1.0)</f>
        <v>1</v>
      </c>
      <c r="M9270" s="4" t="str">
        <f>IFERROR(__xludf.DUMMYFUNCTION("""COMPUTED_VALUE"""),"Anota Ai Solucoes Digitais S/a")</f>
        <v>Anota Ai Solucoes Digitais S/a</v>
      </c>
      <c r="N9270" s="33">
        <f>IFERROR(__xludf.DUMMYFUNCTION("""COMPUTED_VALUE"""),1.0)</f>
        <v>1</v>
      </c>
      <c r="O9270" s="4" t="str">
        <f>IFERROR(__xludf.DUMMYFUNCTION("""COMPUTED_VALUE"""),"Anota Ai Solucoes Digitais S/a")</f>
        <v>Anota Ai Solucoes Digitais S/a</v>
      </c>
      <c r="P9270" s="33">
        <f>IFERROR(__xludf.DUMMYFUNCTION("""COMPUTED_VALUE"""),1.0)</f>
        <v>1</v>
      </c>
      <c r="Q9270" s="4" t="str">
        <f>IFERROR(__xludf.DUMMYFUNCTION("""COMPUTED_VALUE"""),"Anota Ai Solucoes Digitais S/a")</f>
        <v>Anota Ai Solucoes Digitais S/a</v>
      </c>
      <c r="R9270" s="33">
        <f>IFERROR(__xludf.DUMMYFUNCTION("""COMPUTED_VALUE"""),1.0)</f>
        <v>1</v>
      </c>
      <c r="S9270" s="4" t="str">
        <f>IFERROR(__xludf.DUMMYFUNCTION("""COMPUTED_VALUE"""),"Anota Ai Solucoes Digitais S/a")</f>
        <v>Anota Ai Solucoes Digitais S/a</v>
      </c>
      <c r="T9270" s="33">
        <f>IFERROR(__xludf.DUMMYFUNCTION("""COMPUTED_VALUE"""),1.0)</f>
        <v>1</v>
      </c>
      <c r="U9270" s="4" t="str">
        <f>IFERROR(__xludf.DUMMYFUNCTION("""COMPUTED_VALUE"""),"Anota Ai Solucoes Digitais S/a")</f>
        <v>Anota Ai Solucoes Digitais S/a</v>
      </c>
      <c r="V9270" s="33">
        <f>IFERROR(__xludf.DUMMYFUNCTION("""COMPUTED_VALUE"""),1.0)</f>
        <v>1</v>
      </c>
      <c r="W9270" s="4" t="str">
        <f>IFERROR(__xludf.DUMMYFUNCTION("""COMPUTED_VALUE"""),"null")</f>
        <v>null</v>
      </c>
      <c r="X9270" s="33">
        <f>IFERROR(__xludf.DUMMYFUNCTION("""COMPUTED_VALUE"""),1.0)</f>
        <v>1</v>
      </c>
    </row>
    <row r="9271">
      <c r="K9271" s="4" t="str">
        <f>IFERROR(__xludf.DUMMYFUNCTION("""COMPUTED_VALUE"""),"MERCADO MARCELLA")</f>
        <v>MERCADO MARCELLA</v>
      </c>
      <c r="L9271" s="32">
        <f>IFERROR(__xludf.DUMMYFUNCTION("""COMPUTED_VALUE"""),1.0)</f>
        <v>1</v>
      </c>
      <c r="M9271" s="4" t="str">
        <f>IFERROR(__xludf.DUMMYFUNCTION("""COMPUTED_VALUE"""),"N/A (Not found)")</f>
        <v>N/A (Not found)</v>
      </c>
      <c r="N9271" s="33">
        <f>IFERROR(__xludf.DUMMYFUNCTION("""COMPUTED_VALUE"""),1.0)</f>
        <v>1</v>
      </c>
      <c r="O9271" s="4" t="str">
        <f>IFERROR(__xludf.DUMMYFUNCTION("""COMPUTED_VALUE"""),"N/A (Not found)")</f>
        <v>N/A (Not found)</v>
      </c>
      <c r="P9271" s="33">
        <f>IFERROR(__xludf.DUMMYFUNCTION("""COMPUTED_VALUE"""),1.0)</f>
        <v>1</v>
      </c>
      <c r="Q9271" s="4" t="str">
        <f>IFERROR(__xludf.DUMMYFUNCTION("""COMPUTED_VALUE"""),"N/A (Not found)")</f>
        <v>N/A (Not found)</v>
      </c>
      <c r="R9271" s="33">
        <f>IFERROR(__xludf.DUMMYFUNCTION("""COMPUTED_VALUE"""),1.0)</f>
        <v>1</v>
      </c>
      <c r="S9271" s="4" t="str">
        <f>IFERROR(__xludf.DUMMYFUNCTION("""COMPUTED_VALUE"""),"N/A (Not found)")</f>
        <v>N/A (Not found)</v>
      </c>
      <c r="T9271" s="33">
        <f>IFERROR(__xludf.DUMMYFUNCTION("""COMPUTED_VALUE"""),1.0)</f>
        <v>1</v>
      </c>
      <c r="U9271" s="4" t="str">
        <f>IFERROR(__xludf.DUMMYFUNCTION("""COMPUTED_VALUE"""),"N/A (Not found)")</f>
        <v>N/A (Not found)</v>
      </c>
      <c r="V9271" s="33">
        <f>IFERROR(__xludf.DUMMYFUNCTION("""COMPUTED_VALUE"""),1.0)</f>
        <v>1</v>
      </c>
      <c r="W9271" s="4" t="str">
        <f>IFERROR(__xludf.DUMMYFUNCTION("""COMPUTED_VALUE"""),"N/A (Not found)")</f>
        <v>N/A (Not found)</v>
      </c>
      <c r="X9271" s="33">
        <f>IFERROR(__xludf.DUMMYFUNCTION("""COMPUTED_VALUE"""),1.0)</f>
        <v>1</v>
      </c>
    </row>
    <row r="9272">
      <c r="K9272" s="4" t="str">
        <f>IFERROR(__xludf.DUMMYFUNCTION("""COMPUTED_VALUE"""),"DELINICKS CAKES")</f>
        <v>DELINICKS CAKES</v>
      </c>
      <c r="L9272" s="32">
        <f>IFERROR(__xludf.DUMMYFUNCTION("""COMPUTED_VALUE"""),1.0)</f>
        <v>1</v>
      </c>
      <c r="M9272" s="4" t="str">
        <f>IFERROR(__xludf.DUMMYFUNCTION("""COMPUTED_VALUE"""),"Instadelivery")</f>
        <v>Instadelivery</v>
      </c>
      <c r="N9272" s="33">
        <f>IFERROR(__xludf.DUMMYFUNCTION("""COMPUTED_VALUE"""),1.0)</f>
        <v>1</v>
      </c>
      <c r="O9272" s="4" t="str">
        <f>IFERROR(__xludf.DUMMYFUNCTION("""COMPUTED_VALUE"""),"Instadelivery")</f>
        <v>Instadelivery</v>
      </c>
      <c r="P9272" s="33">
        <f>IFERROR(__xludf.DUMMYFUNCTION("""COMPUTED_VALUE"""),1.0)</f>
        <v>1</v>
      </c>
      <c r="Q9272" s="4" t="str">
        <f>IFERROR(__xludf.DUMMYFUNCTION("""COMPUTED_VALUE"""),"Instadelivery")</f>
        <v>Instadelivery</v>
      </c>
      <c r="R9272" s="33">
        <f>IFERROR(__xludf.DUMMYFUNCTION("""COMPUTED_VALUE"""),1.0)</f>
        <v>1</v>
      </c>
      <c r="S9272" s="4" t="str">
        <f>IFERROR(__xludf.DUMMYFUNCTION("""COMPUTED_VALUE"""),"Instadelivery")</f>
        <v>Instadelivery</v>
      </c>
      <c r="T9272" s="33">
        <f>IFERROR(__xludf.DUMMYFUNCTION("""COMPUTED_VALUE"""),1.0)</f>
        <v>1</v>
      </c>
      <c r="U9272" s="4" t="str">
        <f>IFERROR(__xludf.DUMMYFUNCTION("""COMPUTED_VALUE"""),"Instadelivery")</f>
        <v>Instadelivery</v>
      </c>
      <c r="V9272" s="33">
        <f>IFERROR(__xludf.DUMMYFUNCTION("""COMPUTED_VALUE"""),1.0)</f>
        <v>1</v>
      </c>
      <c r="W9272" s="4" t="str">
        <f>IFERROR(__xludf.DUMMYFUNCTION("""COMPUTED_VALUE"""),"null")</f>
        <v>null</v>
      </c>
      <c r="X9272" s="33">
        <f>IFERROR(__xludf.DUMMYFUNCTION("""COMPUTED_VALUE"""),1.0)</f>
        <v>1</v>
      </c>
    </row>
    <row r="9273">
      <c r="K9273" s="4" t="str">
        <f>IFERROR(__xludf.DUMMYFUNCTION("""COMPUTED_VALUE"""),"T L ESPETARIA")</f>
        <v>T L ESPETARIA</v>
      </c>
      <c r="L9273" s="32">
        <f>IFERROR(__xludf.DUMMYFUNCTION("""COMPUTED_VALUE"""),1.0)</f>
        <v>1</v>
      </c>
      <c r="M9273" s="4" t="str">
        <f>IFERROR(__xludf.DUMMYFUNCTION("""COMPUTED_VALUE"""),"Consumer Soluções Em Tecnologia Ltda")</f>
        <v>Consumer Soluções Em Tecnologia Ltda</v>
      </c>
      <c r="N9273" s="33">
        <f>IFERROR(__xludf.DUMMYFUNCTION("""COMPUTED_VALUE"""),1.0)</f>
        <v>1</v>
      </c>
      <c r="O9273" s="4" t="str">
        <f>IFERROR(__xludf.DUMMYFUNCTION("""COMPUTED_VALUE"""),"Consumer Soluções Em Tecnologia Ltda")</f>
        <v>Consumer Soluções Em Tecnologia Ltda</v>
      </c>
      <c r="P9273" s="33">
        <f>IFERROR(__xludf.DUMMYFUNCTION("""COMPUTED_VALUE"""),1.0)</f>
        <v>1</v>
      </c>
      <c r="Q9273" s="4" t="str">
        <f>IFERROR(__xludf.DUMMYFUNCTION("""COMPUTED_VALUE"""),"Consumer Soluções Em Tecnologia Ltda")</f>
        <v>Consumer Soluções Em Tecnologia Ltda</v>
      </c>
      <c r="R9273" s="33">
        <f>IFERROR(__xludf.DUMMYFUNCTION("""COMPUTED_VALUE"""),1.0)</f>
        <v>1</v>
      </c>
      <c r="S9273" s="4" t="str">
        <f>IFERROR(__xludf.DUMMYFUNCTION("""COMPUTED_VALUE"""),"Consumer Soluções Em Tecnologia Ltda")</f>
        <v>Consumer Soluções Em Tecnologia Ltda</v>
      </c>
      <c r="T9273" s="33">
        <f>IFERROR(__xludf.DUMMYFUNCTION("""COMPUTED_VALUE"""),1.0)</f>
        <v>1</v>
      </c>
      <c r="U9273" s="4" t="str">
        <f>IFERROR(__xludf.DUMMYFUNCTION("""COMPUTED_VALUE"""),"Saipos Serviços De Software")</f>
        <v>Saipos Serviços De Software</v>
      </c>
      <c r="V9273" s="33">
        <f>IFERROR(__xludf.DUMMYFUNCTION("""COMPUTED_VALUE"""),1.0)</f>
        <v>1</v>
      </c>
      <c r="W9273" s="4" t="str">
        <f>IFERROR(__xludf.DUMMYFUNCTION("""COMPUTED_VALUE"""),"Saipos Serviços De Software")</f>
        <v>Saipos Serviços De Software</v>
      </c>
      <c r="X9273" s="33">
        <f>IFERROR(__xludf.DUMMYFUNCTION("""COMPUTED_VALUE"""),1.0)</f>
        <v>1</v>
      </c>
    </row>
    <row r="9274">
      <c r="K9274" s="4" t="str">
        <f>IFERROR(__xludf.DUMMYFUNCTION("""COMPUTED_VALUE"""),"HASHI TAG - ORIENTAL COMFORT FOOD - YAKISOBA E HOT ROLLS")</f>
        <v>HASHI TAG - ORIENTAL COMFORT FOOD - YAKISOBA E HOT ROLLS</v>
      </c>
      <c r="L9274" s="32">
        <f>IFERROR(__xludf.DUMMYFUNCTION("""COMPUTED_VALUE"""),1.0)</f>
        <v>1</v>
      </c>
      <c r="M9274" s="4" t="str">
        <f>IFERROR(__xludf.DUMMYFUNCTION("""COMPUTED_VALUE"""),"Anota Ai Solucoes Digitais S/a")</f>
        <v>Anota Ai Solucoes Digitais S/a</v>
      </c>
      <c r="N9274" s="33">
        <f>IFERROR(__xludf.DUMMYFUNCTION("""COMPUTED_VALUE"""),1.0)</f>
        <v>1</v>
      </c>
      <c r="O9274" s="4" t="str">
        <f>IFERROR(__xludf.DUMMYFUNCTION("""COMPUTED_VALUE"""),"Anota Ai Solucoes Digitais S/a")</f>
        <v>Anota Ai Solucoes Digitais S/a</v>
      </c>
      <c r="P9274" s="33">
        <f>IFERROR(__xludf.DUMMYFUNCTION("""COMPUTED_VALUE"""),1.0)</f>
        <v>1</v>
      </c>
      <c r="Q9274" s="4" t="str">
        <f>IFERROR(__xludf.DUMMYFUNCTION("""COMPUTED_VALUE"""),"Anota Ai Solucoes Digitais S/a")</f>
        <v>Anota Ai Solucoes Digitais S/a</v>
      </c>
      <c r="R9274" s="33">
        <f>IFERROR(__xludf.DUMMYFUNCTION("""COMPUTED_VALUE"""),1.0)</f>
        <v>1</v>
      </c>
      <c r="S9274" s="4" t="str">
        <f>IFERROR(__xludf.DUMMYFUNCTION("""COMPUTED_VALUE"""),"Anota Ai Solucoes Digitais S/a")</f>
        <v>Anota Ai Solucoes Digitais S/a</v>
      </c>
      <c r="T9274" s="33">
        <f>IFERROR(__xludf.DUMMYFUNCTION("""COMPUTED_VALUE"""),1.0)</f>
        <v>1</v>
      </c>
      <c r="U9274" s="4" t="str">
        <f>IFERROR(__xludf.DUMMYFUNCTION("""COMPUTED_VALUE"""),"Saipos Serviços De Software")</f>
        <v>Saipos Serviços De Software</v>
      </c>
      <c r="V9274" s="33">
        <f>IFERROR(__xludf.DUMMYFUNCTION("""COMPUTED_VALUE"""),1.0)</f>
        <v>1</v>
      </c>
      <c r="W9274" s="4" t="str">
        <f>IFERROR(__xludf.DUMMYFUNCTION("""COMPUTED_VALUE"""),"null")</f>
        <v>null</v>
      </c>
      <c r="X9274" s="33">
        <f>IFERROR(__xludf.DUMMYFUNCTION("""COMPUTED_VALUE"""),1.0)</f>
        <v>1</v>
      </c>
    </row>
    <row r="9275">
      <c r="K9275" s="4" t="str">
        <f>IFERROR(__xludf.DUMMYFUNCTION("""COMPUTED_VALUE"""),"CIGANO LANCHES O MAIOR LANCHE DA REGIAO")</f>
        <v>CIGANO LANCHES O MAIOR LANCHE DA REGIAO</v>
      </c>
      <c r="L9275" s="32">
        <f>IFERROR(__xludf.DUMMYFUNCTION("""COMPUTED_VALUE"""),1.0)</f>
        <v>1</v>
      </c>
      <c r="M9275" s="4" t="str">
        <f>IFERROR(__xludf.DUMMYFUNCTION("""COMPUTED_VALUE"""),"Beefood - Sistema Para Restaurantes")</f>
        <v>Beefood - Sistema Para Restaurantes</v>
      </c>
      <c r="N9275" s="33">
        <f>IFERROR(__xludf.DUMMYFUNCTION("""COMPUTED_VALUE"""),1.0)</f>
        <v>1</v>
      </c>
      <c r="O9275" s="4" t="str">
        <f>IFERROR(__xludf.DUMMYFUNCTION("""COMPUTED_VALUE"""),"Beefood - Sistema Para Restaurantes")</f>
        <v>Beefood - Sistema Para Restaurantes</v>
      </c>
      <c r="P9275" s="33">
        <f>IFERROR(__xludf.DUMMYFUNCTION("""COMPUTED_VALUE"""),1.0)</f>
        <v>1</v>
      </c>
      <c r="Q9275" s="4" t="str">
        <f>IFERROR(__xludf.DUMMYFUNCTION("""COMPUTED_VALUE"""),"Beefood - Sistema Para Restaurantes")</f>
        <v>Beefood - Sistema Para Restaurantes</v>
      </c>
      <c r="R9275" s="33">
        <f>IFERROR(__xludf.DUMMYFUNCTION("""COMPUTED_VALUE"""),1.0)</f>
        <v>1</v>
      </c>
      <c r="S9275" s="4" t="str">
        <f>IFERROR(__xludf.DUMMYFUNCTION("""COMPUTED_VALUE"""),"Beefood - Sistema Para Restaurantes")</f>
        <v>Beefood - Sistema Para Restaurantes</v>
      </c>
      <c r="T9275" s="33">
        <f>IFERROR(__xludf.DUMMYFUNCTION("""COMPUTED_VALUE"""),1.0)</f>
        <v>1</v>
      </c>
      <c r="U9275" s="4" t="str">
        <f>IFERROR(__xludf.DUMMYFUNCTION("""COMPUTED_VALUE"""),"Beefood - Sistema Para Restaurantes")</f>
        <v>Beefood - Sistema Para Restaurantes</v>
      </c>
      <c r="V9275" s="33">
        <f>IFERROR(__xludf.DUMMYFUNCTION("""COMPUTED_VALUE"""),1.0)</f>
        <v>1</v>
      </c>
      <c r="W9275" s="4" t="str">
        <f>IFERROR(__xludf.DUMMYFUNCTION("""COMPUTED_VALUE"""),"Beefood - Sistema Para Restaurantes")</f>
        <v>Beefood - Sistema Para Restaurantes</v>
      </c>
      <c r="X9275" s="33">
        <f>IFERROR(__xludf.DUMMYFUNCTION("""COMPUTED_VALUE"""),1.0)</f>
        <v>1</v>
      </c>
    </row>
    <row r="9276">
      <c r="K9276" s="4" t="str">
        <f>IFERROR(__xludf.DUMMYFUNCTION("""COMPUTED_VALUE"""),"BIG JOHNY HAMBURGUERIA")</f>
        <v>BIG JOHNY HAMBURGUERIA</v>
      </c>
      <c r="L9276" s="32">
        <f>IFERROR(__xludf.DUMMYFUNCTION("""COMPUTED_VALUE"""),1.0)</f>
        <v>1</v>
      </c>
      <c r="M9276" s="4" t="str">
        <f>IFERROR(__xludf.DUMMYFUNCTION("""COMPUTED_VALUE"""),"Saipos Serviços De Software")</f>
        <v>Saipos Serviços De Software</v>
      </c>
      <c r="N9276" s="33">
        <f>IFERROR(__xludf.DUMMYFUNCTION("""COMPUTED_VALUE"""),1.0)</f>
        <v>1</v>
      </c>
      <c r="O9276" s="4" t="str">
        <f>IFERROR(__xludf.DUMMYFUNCTION("""COMPUTED_VALUE"""),"Saipos Serviços De Software")</f>
        <v>Saipos Serviços De Software</v>
      </c>
      <c r="P9276" s="33">
        <f>IFERROR(__xludf.DUMMYFUNCTION("""COMPUTED_VALUE"""),1.0)</f>
        <v>1</v>
      </c>
      <c r="Q9276" s="4" t="str">
        <f>IFERROR(__xludf.DUMMYFUNCTION("""COMPUTED_VALUE"""),"Saipos Serviços De Software")</f>
        <v>Saipos Serviços De Software</v>
      </c>
      <c r="R9276" s="33">
        <f>IFERROR(__xludf.DUMMYFUNCTION("""COMPUTED_VALUE"""),1.0)</f>
        <v>1</v>
      </c>
      <c r="S9276" s="4" t="str">
        <f>IFERROR(__xludf.DUMMYFUNCTION("""COMPUTED_VALUE"""),"Saipos Serviços De Software")</f>
        <v>Saipos Serviços De Software</v>
      </c>
      <c r="T9276" s="33">
        <f>IFERROR(__xludf.DUMMYFUNCTION("""COMPUTED_VALUE"""),1.0)</f>
        <v>1</v>
      </c>
      <c r="U9276" s="4" t="str">
        <f>IFERROR(__xludf.DUMMYFUNCTION("""COMPUTED_VALUE"""),"Saipos Serviços De Software")</f>
        <v>Saipos Serviços De Software</v>
      </c>
      <c r="V9276" s="33">
        <f>IFERROR(__xludf.DUMMYFUNCTION("""COMPUTED_VALUE"""),1.0)</f>
        <v>1</v>
      </c>
      <c r="W9276" s="4" t="str">
        <f>IFERROR(__xludf.DUMMYFUNCTION("""COMPUTED_VALUE"""),"Saipos Serviços De Software")</f>
        <v>Saipos Serviços De Software</v>
      </c>
      <c r="X9276" s="33">
        <f>IFERROR(__xludf.DUMMYFUNCTION("""COMPUTED_VALUE"""),1.0)</f>
        <v>1</v>
      </c>
    </row>
    <row r="9277">
      <c r="K9277" s="4" t="str">
        <f>IFERROR(__xludf.DUMMYFUNCTION("""COMPUTED_VALUE"""),"HOT PIER PARATI DELIVERY")</f>
        <v>HOT PIER PARATI DELIVERY</v>
      </c>
      <c r="L9277" s="32">
        <f>IFERROR(__xludf.DUMMYFUNCTION("""COMPUTED_VALUE"""),1.0)</f>
        <v>1</v>
      </c>
      <c r="M9277" s="4" t="str">
        <f>IFERROR(__xludf.DUMMYFUNCTION("""COMPUTED_VALUE"""),"Anota Ai Solucoes Digitais S/a")</f>
        <v>Anota Ai Solucoes Digitais S/a</v>
      </c>
      <c r="N9277" s="33">
        <f>IFERROR(__xludf.DUMMYFUNCTION("""COMPUTED_VALUE"""),1.0)</f>
        <v>1</v>
      </c>
      <c r="O9277" s="4" t="str">
        <f>IFERROR(__xludf.DUMMYFUNCTION("""COMPUTED_VALUE"""),"Anota Ai Solucoes Digitais S/a")</f>
        <v>Anota Ai Solucoes Digitais S/a</v>
      </c>
      <c r="P9277" s="33">
        <f>IFERROR(__xludf.DUMMYFUNCTION("""COMPUTED_VALUE"""),1.0)</f>
        <v>1</v>
      </c>
      <c r="Q9277" s="4" t="str">
        <f>IFERROR(__xludf.DUMMYFUNCTION("""COMPUTED_VALUE"""),"Anota Ai Solucoes Digitais S/a")</f>
        <v>Anota Ai Solucoes Digitais S/a</v>
      </c>
      <c r="R9277" s="33">
        <f>IFERROR(__xludf.DUMMYFUNCTION("""COMPUTED_VALUE"""),1.0)</f>
        <v>1</v>
      </c>
      <c r="S9277" s="4" t="str">
        <f>IFERROR(__xludf.DUMMYFUNCTION("""COMPUTED_VALUE"""),"Anota Ai Solucoes Digitais S/a")</f>
        <v>Anota Ai Solucoes Digitais S/a</v>
      </c>
      <c r="T9277" s="33">
        <f>IFERROR(__xludf.DUMMYFUNCTION("""COMPUTED_VALUE"""),1.0)</f>
        <v>1</v>
      </c>
      <c r="U9277" s="4" t="str">
        <f>IFERROR(__xludf.DUMMYFUNCTION("""COMPUTED_VALUE"""),"Anota Ai Solucoes Digitais S/a")</f>
        <v>Anota Ai Solucoes Digitais S/a</v>
      </c>
      <c r="V9277" s="33">
        <f>IFERROR(__xludf.DUMMYFUNCTION("""COMPUTED_VALUE"""),1.0)</f>
        <v>1</v>
      </c>
      <c r="W9277" s="4" t="str">
        <f>IFERROR(__xludf.DUMMYFUNCTION("""COMPUTED_VALUE"""),"Anota Ai Solucoes Digitais S/a")</f>
        <v>Anota Ai Solucoes Digitais S/a</v>
      </c>
      <c r="X9277" s="33">
        <f>IFERROR(__xludf.DUMMYFUNCTION("""COMPUTED_VALUE"""),1.0)</f>
        <v>1</v>
      </c>
    </row>
    <row r="9278">
      <c r="K9278" s="4" t="str">
        <f>IFERROR(__xludf.DUMMYFUNCTION("""COMPUTED_VALUE"""),"O FARINHEIRO ESFIHARIA")</f>
        <v>O FARINHEIRO ESFIHARIA</v>
      </c>
      <c r="L9278" s="32">
        <f>IFERROR(__xludf.DUMMYFUNCTION("""COMPUTED_VALUE"""),1.0)</f>
        <v>1</v>
      </c>
      <c r="M9278" s="4" t="str">
        <f>IFERROR(__xludf.DUMMYFUNCTION("""COMPUTED_VALUE"""),"Ajx Automação")</f>
        <v>Ajx Automação</v>
      </c>
      <c r="N9278" s="33">
        <f>IFERROR(__xludf.DUMMYFUNCTION("""COMPUTED_VALUE"""),1.0)</f>
        <v>1</v>
      </c>
      <c r="O9278" s="4" t="str">
        <f>IFERROR(__xludf.DUMMYFUNCTION("""COMPUTED_VALUE"""),"Ajx Automação")</f>
        <v>Ajx Automação</v>
      </c>
      <c r="P9278" s="33">
        <f>IFERROR(__xludf.DUMMYFUNCTION("""COMPUTED_VALUE"""),1.0)</f>
        <v>1</v>
      </c>
      <c r="Q9278" s="4" t="str">
        <f>IFERROR(__xludf.DUMMYFUNCTION("""COMPUTED_VALUE"""),"Ajx Automação")</f>
        <v>Ajx Automação</v>
      </c>
      <c r="R9278" s="33">
        <f>IFERROR(__xludf.DUMMYFUNCTION("""COMPUTED_VALUE"""),1.0)</f>
        <v>1</v>
      </c>
      <c r="S9278" s="4" t="str">
        <f>IFERROR(__xludf.DUMMYFUNCTION("""COMPUTED_VALUE"""),"Ajx Automação")</f>
        <v>Ajx Automação</v>
      </c>
      <c r="T9278" s="33">
        <f>IFERROR(__xludf.DUMMYFUNCTION("""COMPUTED_VALUE"""),1.0)</f>
        <v>1</v>
      </c>
      <c r="U9278" s="4" t="str">
        <f>IFERROR(__xludf.DUMMYFUNCTION("""COMPUTED_VALUE"""),"Ajx Automação")</f>
        <v>Ajx Automação</v>
      </c>
      <c r="V9278" s="33">
        <f>IFERROR(__xludf.DUMMYFUNCTION("""COMPUTED_VALUE"""),1.0)</f>
        <v>1</v>
      </c>
      <c r="W9278" s="4" t="str">
        <f>IFERROR(__xludf.DUMMYFUNCTION("""COMPUTED_VALUE"""),"Ajx Automação")</f>
        <v>Ajx Automação</v>
      </c>
      <c r="X9278" s="33">
        <f>IFERROR(__xludf.DUMMYFUNCTION("""COMPUTED_VALUE"""),1.0)</f>
        <v>1</v>
      </c>
    </row>
    <row r="9279">
      <c r="K9279" s="4" t="str">
        <f>IFERROR(__xludf.DUMMYFUNCTION("""COMPUTED_VALUE"""),"DINDOM FORNALHA")</f>
        <v>DINDOM FORNALHA</v>
      </c>
      <c r="L9279" s="32">
        <f>IFERROR(__xludf.DUMMYFUNCTION("""COMPUTED_VALUE"""),1.0)</f>
        <v>1</v>
      </c>
      <c r="M9279" s="4" t="str">
        <f>IFERROR(__xludf.DUMMYFUNCTION("""COMPUTED_VALUE"""),"Saipos Serviços De Software")</f>
        <v>Saipos Serviços De Software</v>
      </c>
      <c r="N9279" s="33">
        <f>IFERROR(__xludf.DUMMYFUNCTION("""COMPUTED_VALUE"""),1.0)</f>
        <v>1</v>
      </c>
      <c r="O9279" s="4" t="str">
        <f>IFERROR(__xludf.DUMMYFUNCTION("""COMPUTED_VALUE"""),"Saipos Serviços De Software")</f>
        <v>Saipos Serviços De Software</v>
      </c>
      <c r="P9279" s="33">
        <f>IFERROR(__xludf.DUMMYFUNCTION("""COMPUTED_VALUE"""),1.0)</f>
        <v>1</v>
      </c>
      <c r="Q9279" s="4" t="str">
        <f>IFERROR(__xludf.DUMMYFUNCTION("""COMPUTED_VALUE"""),"Saipos Serviços De Software")</f>
        <v>Saipos Serviços De Software</v>
      </c>
      <c r="R9279" s="33">
        <f>IFERROR(__xludf.DUMMYFUNCTION("""COMPUTED_VALUE"""),1.0)</f>
        <v>1</v>
      </c>
      <c r="S9279" s="4" t="str">
        <f>IFERROR(__xludf.DUMMYFUNCTION("""COMPUTED_VALUE"""),"Saipos Serviços De Software")</f>
        <v>Saipos Serviços De Software</v>
      </c>
      <c r="T9279" s="33">
        <f>IFERROR(__xludf.DUMMYFUNCTION("""COMPUTED_VALUE"""),1.0)</f>
        <v>1</v>
      </c>
      <c r="U9279" s="4" t="str">
        <f>IFERROR(__xludf.DUMMYFUNCTION("""COMPUTED_VALUE"""),"Saipos Serviços De Software")</f>
        <v>Saipos Serviços De Software</v>
      </c>
      <c r="V9279" s="33">
        <f>IFERROR(__xludf.DUMMYFUNCTION("""COMPUTED_VALUE"""),1.0)</f>
        <v>1</v>
      </c>
      <c r="W9279" s="4" t="str">
        <f>IFERROR(__xludf.DUMMYFUNCTION("""COMPUTED_VALUE"""),"Saipos Serviços De Software")</f>
        <v>Saipos Serviços De Software</v>
      </c>
      <c r="X9279" s="33">
        <f>IFERROR(__xludf.DUMMYFUNCTION("""COMPUTED_VALUE"""),1.0)</f>
        <v>1</v>
      </c>
    </row>
    <row r="9280">
      <c r="K9280" s="4" t="str">
        <f>IFERROR(__xludf.DUMMYFUNCTION("""COMPUTED_VALUE"""),"ILUMINADOS PIZZARIA")</f>
        <v>ILUMINADOS PIZZARIA</v>
      </c>
      <c r="L9280" s="32">
        <f>IFERROR(__xludf.DUMMYFUNCTION("""COMPUTED_VALUE"""),1.0)</f>
        <v>1</v>
      </c>
      <c r="M9280" s="4" t="str">
        <f>IFERROR(__xludf.DUMMYFUNCTION("""COMPUTED_VALUE"""),"Instadelivery")</f>
        <v>Instadelivery</v>
      </c>
      <c r="N9280" s="33">
        <f>IFERROR(__xludf.DUMMYFUNCTION("""COMPUTED_VALUE"""),1.0)</f>
        <v>1</v>
      </c>
      <c r="O9280" s="4" t="str">
        <f>IFERROR(__xludf.DUMMYFUNCTION("""COMPUTED_VALUE"""),"Instadelivery")</f>
        <v>Instadelivery</v>
      </c>
      <c r="P9280" s="33">
        <f>IFERROR(__xludf.DUMMYFUNCTION("""COMPUTED_VALUE"""),1.0)</f>
        <v>1</v>
      </c>
      <c r="Q9280" s="4" t="str">
        <f>IFERROR(__xludf.DUMMYFUNCTION("""COMPUTED_VALUE"""),"Instadelivery")</f>
        <v>Instadelivery</v>
      </c>
      <c r="R9280" s="33">
        <f>IFERROR(__xludf.DUMMYFUNCTION("""COMPUTED_VALUE"""),1.0)</f>
        <v>1</v>
      </c>
      <c r="S9280" s="4" t="str">
        <f>IFERROR(__xludf.DUMMYFUNCTION("""COMPUTED_VALUE"""),"Instadelivery")</f>
        <v>Instadelivery</v>
      </c>
      <c r="T9280" s="33">
        <f>IFERROR(__xludf.DUMMYFUNCTION("""COMPUTED_VALUE"""),1.0)</f>
        <v>1</v>
      </c>
      <c r="U9280" s="4" t="str">
        <f>IFERROR(__xludf.DUMMYFUNCTION("""COMPUTED_VALUE"""),"Instadelivery")</f>
        <v>Instadelivery</v>
      </c>
      <c r="V9280" s="33">
        <f>IFERROR(__xludf.DUMMYFUNCTION("""COMPUTED_VALUE"""),1.0)</f>
        <v>1</v>
      </c>
      <c r="W9280" s="4" t="str">
        <f>IFERROR(__xludf.DUMMYFUNCTION("""COMPUTED_VALUE"""),"Instadelivery")</f>
        <v>Instadelivery</v>
      </c>
      <c r="X9280" s="33">
        <f>IFERROR(__xludf.DUMMYFUNCTION("""COMPUTED_VALUE"""),1.0)</f>
        <v>1</v>
      </c>
    </row>
    <row r="9281">
      <c r="K9281" s="4" t="str">
        <f>IFERROR(__xludf.DUMMYFUNCTION("""COMPUTED_VALUE"""),"TIO NEKA RESTAURANTE")</f>
        <v>TIO NEKA RESTAURANTE</v>
      </c>
      <c r="L9281" s="32">
        <f>IFERROR(__xludf.DUMMYFUNCTION("""COMPUTED_VALUE"""),1.0)</f>
        <v>1</v>
      </c>
      <c r="M9281" s="4" t="str">
        <f>IFERROR(__xludf.DUMMYFUNCTION("""COMPUTED_VALUE"""),"Mp Multipedidos")</f>
        <v>Mp Multipedidos</v>
      </c>
      <c r="N9281" s="33">
        <f>IFERROR(__xludf.DUMMYFUNCTION("""COMPUTED_VALUE"""),1.0)</f>
        <v>1</v>
      </c>
      <c r="O9281" s="4" t="str">
        <f>IFERROR(__xludf.DUMMYFUNCTION("""COMPUTED_VALUE"""),"Mp Multipedidos")</f>
        <v>Mp Multipedidos</v>
      </c>
      <c r="P9281" s="33">
        <f>IFERROR(__xludf.DUMMYFUNCTION("""COMPUTED_VALUE"""),1.0)</f>
        <v>1</v>
      </c>
      <c r="Q9281" s="4" t="str">
        <f>IFERROR(__xludf.DUMMYFUNCTION("""COMPUTED_VALUE"""),"Mp Multipedidos")</f>
        <v>Mp Multipedidos</v>
      </c>
      <c r="R9281" s="33">
        <f>IFERROR(__xludf.DUMMYFUNCTION("""COMPUTED_VALUE"""),1.0)</f>
        <v>1</v>
      </c>
      <c r="S9281" s="4" t="str">
        <f>IFERROR(__xludf.DUMMYFUNCTION("""COMPUTED_VALUE"""),"Mp Multipedidos")</f>
        <v>Mp Multipedidos</v>
      </c>
      <c r="T9281" s="33">
        <f>IFERROR(__xludf.DUMMYFUNCTION("""COMPUTED_VALUE"""),1.0)</f>
        <v>1</v>
      </c>
      <c r="U9281" s="4" t="str">
        <f>IFERROR(__xludf.DUMMYFUNCTION("""COMPUTED_VALUE"""),"Mp Multipedidos")</f>
        <v>Mp Multipedidos</v>
      </c>
      <c r="V9281" s="33">
        <f>IFERROR(__xludf.DUMMYFUNCTION("""COMPUTED_VALUE"""),1.0)</f>
        <v>1</v>
      </c>
      <c r="W9281" s="4" t="str">
        <f>IFERROR(__xludf.DUMMYFUNCTION("""COMPUTED_VALUE"""),"Mp Multipedidos")</f>
        <v>Mp Multipedidos</v>
      </c>
      <c r="X9281" s="33">
        <f>IFERROR(__xludf.DUMMYFUNCTION("""COMPUTED_VALUE"""),1.0)</f>
        <v>1</v>
      </c>
    </row>
    <row r="9282">
      <c r="K9282" s="4" t="str">
        <f>IFERROR(__xludf.DUMMYFUNCTION("""COMPUTED_VALUE"""),"T2 BURGER")</f>
        <v>T2 BURGER</v>
      </c>
      <c r="L9282" s="32">
        <f>IFERROR(__xludf.DUMMYFUNCTION("""COMPUTED_VALUE"""),1.0)</f>
        <v>1</v>
      </c>
      <c r="M9282" s="4" t="str">
        <f>IFERROR(__xludf.DUMMYFUNCTION("""COMPUTED_VALUE"""),"Suitable Tecnologia E Gestao")</f>
        <v>Suitable Tecnologia E Gestao</v>
      </c>
      <c r="N9282" s="33">
        <f>IFERROR(__xludf.DUMMYFUNCTION("""COMPUTED_VALUE"""),1.0)</f>
        <v>1</v>
      </c>
      <c r="O9282" s="4" t="str">
        <f>IFERROR(__xludf.DUMMYFUNCTION("""COMPUTED_VALUE"""),"Suitable Tecnologia E Gestao")</f>
        <v>Suitable Tecnologia E Gestao</v>
      </c>
      <c r="P9282" s="33">
        <f>IFERROR(__xludf.DUMMYFUNCTION("""COMPUTED_VALUE"""),1.0)</f>
        <v>1</v>
      </c>
      <c r="Q9282" s="4" t="str">
        <f>IFERROR(__xludf.DUMMYFUNCTION("""COMPUTED_VALUE"""),"Suitable Tecnologia E Gestao")</f>
        <v>Suitable Tecnologia E Gestao</v>
      </c>
      <c r="R9282" s="33">
        <f>IFERROR(__xludf.DUMMYFUNCTION("""COMPUTED_VALUE"""),1.0)</f>
        <v>1</v>
      </c>
      <c r="S9282" s="4" t="str">
        <f>IFERROR(__xludf.DUMMYFUNCTION("""COMPUTED_VALUE"""),"null")</f>
        <v>null</v>
      </c>
      <c r="T9282" s="33">
        <f>IFERROR(__xludf.DUMMYFUNCTION("""COMPUTED_VALUE"""),1.0)</f>
        <v>1</v>
      </c>
      <c r="U9282" s="4" t="str">
        <f>IFERROR(__xludf.DUMMYFUNCTION("""COMPUTED_VALUE"""),"null")</f>
        <v>null</v>
      </c>
      <c r="V9282" s="33">
        <f>IFERROR(__xludf.DUMMYFUNCTION("""COMPUTED_VALUE"""),1.0)</f>
        <v>1</v>
      </c>
      <c r="W9282" s="4" t="str">
        <f>IFERROR(__xludf.DUMMYFUNCTION("""COMPUTED_VALUE"""),"Suitable Tecnologia E Gestao")</f>
        <v>Suitable Tecnologia E Gestao</v>
      </c>
      <c r="X9282" s="33">
        <f>IFERROR(__xludf.DUMMYFUNCTION("""COMPUTED_VALUE"""),1.0)</f>
        <v>1</v>
      </c>
    </row>
    <row r="9283">
      <c r="K9283" s="4" t="str">
        <f>IFERROR(__xludf.DUMMYFUNCTION("""COMPUTED_VALUE"""),"SALGADERIA FAST BUNNY - TATUAPE")</f>
        <v>SALGADERIA FAST BUNNY - TATUAPE</v>
      </c>
      <c r="L9283" s="32">
        <f>IFERROR(__xludf.DUMMYFUNCTION("""COMPUTED_VALUE"""),1.0)</f>
        <v>1</v>
      </c>
      <c r="M9283" s="4" t="str">
        <f>IFERROR(__xludf.DUMMYFUNCTION("""COMPUTED_VALUE"""),"Consumer Soluções Em Tecnologia Ltda")</f>
        <v>Consumer Soluções Em Tecnologia Ltda</v>
      </c>
      <c r="N9283" s="33">
        <f>IFERROR(__xludf.DUMMYFUNCTION("""COMPUTED_VALUE"""),1.0)</f>
        <v>1</v>
      </c>
      <c r="O9283" s="4" t="str">
        <f>IFERROR(__xludf.DUMMYFUNCTION("""COMPUTED_VALUE"""),"Consumer Soluções Em Tecnologia Ltda")</f>
        <v>Consumer Soluções Em Tecnologia Ltda</v>
      </c>
      <c r="P9283" s="33">
        <f>IFERROR(__xludf.DUMMYFUNCTION("""COMPUTED_VALUE"""),1.0)</f>
        <v>1</v>
      </c>
      <c r="Q9283" s="4" t="str">
        <f>IFERROR(__xludf.DUMMYFUNCTION("""COMPUTED_VALUE"""),"Consumer Soluções Em Tecnologia Ltda")</f>
        <v>Consumer Soluções Em Tecnologia Ltda</v>
      </c>
      <c r="R9283" s="33">
        <f>IFERROR(__xludf.DUMMYFUNCTION("""COMPUTED_VALUE"""),1.0)</f>
        <v>1</v>
      </c>
      <c r="S9283" s="4" t="str">
        <f>IFERROR(__xludf.DUMMYFUNCTION("""COMPUTED_VALUE"""),"Consumer Soluções Em Tecnologia Ltda")</f>
        <v>Consumer Soluções Em Tecnologia Ltda</v>
      </c>
      <c r="T9283" s="33">
        <f>IFERROR(__xludf.DUMMYFUNCTION("""COMPUTED_VALUE"""),1.0)</f>
        <v>1</v>
      </c>
      <c r="U9283" s="4" t="str">
        <f>IFERROR(__xludf.DUMMYFUNCTION("""COMPUTED_VALUE"""),"Consumer Soluções Em Tecnologia Ltda")</f>
        <v>Consumer Soluções Em Tecnologia Ltda</v>
      </c>
      <c r="V9283" s="33">
        <f>IFERROR(__xludf.DUMMYFUNCTION("""COMPUTED_VALUE"""),1.0)</f>
        <v>1</v>
      </c>
      <c r="W9283" s="4" t="str">
        <f>IFERROR(__xludf.DUMMYFUNCTION("""COMPUTED_VALUE"""),"Consumer Soluções Em Tecnologia Ltda")</f>
        <v>Consumer Soluções Em Tecnologia Ltda</v>
      </c>
      <c r="X9283" s="33">
        <f>IFERROR(__xludf.DUMMYFUNCTION("""COMPUTED_VALUE"""),1.0)</f>
        <v>1</v>
      </c>
    </row>
    <row r="9284">
      <c r="K9284" s="4" t="str">
        <f>IFERROR(__xludf.DUMMYFUNCTION("""COMPUTED_VALUE"""),"HAPPY HOUR PIZZARIA E ACAITERIA")</f>
        <v>HAPPY HOUR PIZZARIA E ACAITERIA</v>
      </c>
      <c r="L9284" s="32">
        <f>IFERROR(__xludf.DUMMYFUNCTION("""COMPUTED_VALUE"""),1.0)</f>
        <v>1</v>
      </c>
      <c r="M9284" s="4" t="str">
        <f>IFERROR(__xludf.DUMMYFUNCTION("""COMPUTED_VALUE"""),"Saipos Serviços De Software")</f>
        <v>Saipos Serviços De Software</v>
      </c>
      <c r="N9284" s="33">
        <f>IFERROR(__xludf.DUMMYFUNCTION("""COMPUTED_VALUE"""),1.0)</f>
        <v>1</v>
      </c>
      <c r="O9284" s="4" t="str">
        <f>IFERROR(__xludf.DUMMYFUNCTION("""COMPUTED_VALUE"""),"Saipos Serviços De Software")</f>
        <v>Saipos Serviços De Software</v>
      </c>
      <c r="P9284" s="33">
        <f>IFERROR(__xludf.DUMMYFUNCTION("""COMPUTED_VALUE"""),1.0)</f>
        <v>1</v>
      </c>
      <c r="Q9284" s="4" t="str">
        <f>IFERROR(__xludf.DUMMYFUNCTION("""COMPUTED_VALUE"""),"Saipos Serviços De Software")</f>
        <v>Saipos Serviços De Software</v>
      </c>
      <c r="R9284" s="33">
        <f>IFERROR(__xludf.DUMMYFUNCTION("""COMPUTED_VALUE"""),1.0)</f>
        <v>1</v>
      </c>
      <c r="S9284" s="4" t="str">
        <f>IFERROR(__xludf.DUMMYFUNCTION("""COMPUTED_VALUE"""),"Saipos Serviços De Software")</f>
        <v>Saipos Serviços De Software</v>
      </c>
      <c r="T9284" s="33">
        <f>IFERROR(__xludf.DUMMYFUNCTION("""COMPUTED_VALUE"""),1.0)</f>
        <v>1</v>
      </c>
      <c r="U9284" s="4" t="str">
        <f>IFERROR(__xludf.DUMMYFUNCTION("""COMPUTED_VALUE"""),"Saipos Serviços De Software")</f>
        <v>Saipos Serviços De Software</v>
      </c>
      <c r="V9284" s="33">
        <f>IFERROR(__xludf.DUMMYFUNCTION("""COMPUTED_VALUE"""),1.0)</f>
        <v>1</v>
      </c>
      <c r="W9284" s="4" t="str">
        <f>IFERROR(__xludf.DUMMYFUNCTION("""COMPUTED_VALUE"""),"Grandchef Desenvolvimento De Sistemas Ltda")</f>
        <v>Grandchef Desenvolvimento De Sistemas Ltda</v>
      </c>
      <c r="X9284" s="33">
        <f>IFERROR(__xludf.DUMMYFUNCTION("""COMPUTED_VALUE"""),1.0)</f>
        <v>1</v>
      </c>
    </row>
    <row r="9285">
      <c r="K9285" s="4" t="str">
        <f>IFERROR(__xludf.DUMMYFUNCTION("""COMPUTED_VALUE"""),"BLACK JACK BURGERS")</f>
        <v>BLACK JACK BURGERS</v>
      </c>
      <c r="L9285" s="32">
        <f>IFERROR(__xludf.DUMMYFUNCTION("""COMPUTED_VALUE"""),1.0)</f>
        <v>1</v>
      </c>
      <c r="M9285" s="4" t="str">
        <f>IFERROR(__xludf.DUMMYFUNCTION("""COMPUTED_VALUE"""),"Saipos Serviços De Software")</f>
        <v>Saipos Serviços De Software</v>
      </c>
      <c r="N9285" s="33">
        <f>IFERROR(__xludf.DUMMYFUNCTION("""COMPUTED_VALUE"""),1.0)</f>
        <v>1</v>
      </c>
      <c r="O9285" s="4" t="str">
        <f>IFERROR(__xludf.DUMMYFUNCTION("""COMPUTED_VALUE"""),"Saipos Serviços De Software")</f>
        <v>Saipos Serviços De Software</v>
      </c>
      <c r="P9285" s="33">
        <f>IFERROR(__xludf.DUMMYFUNCTION("""COMPUTED_VALUE"""),1.0)</f>
        <v>1</v>
      </c>
      <c r="Q9285" s="4" t="str">
        <f>IFERROR(__xludf.DUMMYFUNCTION("""COMPUTED_VALUE"""),"Saipos Serviços De Software")</f>
        <v>Saipos Serviços De Software</v>
      </c>
      <c r="R9285" s="33">
        <f>IFERROR(__xludf.DUMMYFUNCTION("""COMPUTED_VALUE"""),1.0)</f>
        <v>1</v>
      </c>
      <c r="S9285" s="4" t="str">
        <f>IFERROR(__xludf.DUMMYFUNCTION("""COMPUTED_VALUE"""),"Saipos Serviços De Software")</f>
        <v>Saipos Serviços De Software</v>
      </c>
      <c r="T9285" s="33">
        <f>IFERROR(__xludf.DUMMYFUNCTION("""COMPUTED_VALUE"""),1.0)</f>
        <v>1</v>
      </c>
      <c r="U9285" s="4" t="str">
        <f>IFERROR(__xludf.DUMMYFUNCTION("""COMPUTED_VALUE"""),"Saipos Serviços De Software")</f>
        <v>Saipos Serviços De Software</v>
      </c>
      <c r="V9285" s="33">
        <f>IFERROR(__xludf.DUMMYFUNCTION("""COMPUTED_VALUE"""),1.0)</f>
        <v>1</v>
      </c>
      <c r="W9285" s="4" t="str">
        <f>IFERROR(__xludf.DUMMYFUNCTION("""COMPUTED_VALUE"""),"Saipos Serviços De Software")</f>
        <v>Saipos Serviços De Software</v>
      </c>
      <c r="X9285" s="33">
        <f>IFERROR(__xludf.DUMMYFUNCTION("""COMPUTED_VALUE"""),1.0)</f>
        <v>1</v>
      </c>
    </row>
    <row r="9286">
      <c r="K9286" s="4" t="str">
        <f>IFERROR(__xludf.DUMMYFUNCTION("""COMPUTED_VALUE"""),"PARMEJAO - RISO E PASTA")</f>
        <v>PARMEJAO - RISO E PASTA</v>
      </c>
      <c r="L9286" s="32">
        <f>IFERROR(__xludf.DUMMYFUNCTION("""COMPUTED_VALUE"""),1.0)</f>
        <v>1</v>
      </c>
      <c r="M9286" s="4" t="str">
        <f>IFERROR(__xludf.DUMMYFUNCTION("""COMPUTED_VALUE"""),"Saipos Serviços De Software")</f>
        <v>Saipos Serviços De Software</v>
      </c>
      <c r="N9286" s="33">
        <f>IFERROR(__xludf.DUMMYFUNCTION("""COMPUTED_VALUE"""),1.0)</f>
        <v>1</v>
      </c>
      <c r="O9286" s="4" t="str">
        <f>IFERROR(__xludf.DUMMYFUNCTION("""COMPUTED_VALUE"""),"Saipos Serviços De Software")</f>
        <v>Saipos Serviços De Software</v>
      </c>
      <c r="P9286" s="33">
        <f>IFERROR(__xludf.DUMMYFUNCTION("""COMPUTED_VALUE"""),1.0)</f>
        <v>1</v>
      </c>
      <c r="Q9286" s="4" t="str">
        <f>IFERROR(__xludf.DUMMYFUNCTION("""COMPUTED_VALUE"""),"Saipos Serviços De Software")</f>
        <v>Saipos Serviços De Software</v>
      </c>
      <c r="R9286" s="33">
        <f>IFERROR(__xludf.DUMMYFUNCTION("""COMPUTED_VALUE"""),1.0)</f>
        <v>1</v>
      </c>
      <c r="S9286" s="4" t="str">
        <f>IFERROR(__xludf.DUMMYFUNCTION("""COMPUTED_VALUE"""),"Saipos Serviços De Software")</f>
        <v>Saipos Serviços De Software</v>
      </c>
      <c r="T9286" s="33">
        <f>IFERROR(__xludf.DUMMYFUNCTION("""COMPUTED_VALUE"""),1.0)</f>
        <v>1</v>
      </c>
      <c r="U9286" s="4" t="str">
        <f>IFERROR(__xludf.DUMMYFUNCTION("""COMPUTED_VALUE"""),"Saipos Serviços De Software")</f>
        <v>Saipos Serviços De Software</v>
      </c>
      <c r="V9286" s="33">
        <f>IFERROR(__xludf.DUMMYFUNCTION("""COMPUTED_VALUE"""),1.0)</f>
        <v>1</v>
      </c>
      <c r="W9286" s="4" t="str">
        <f>IFERROR(__xludf.DUMMYFUNCTION("""COMPUTED_VALUE"""),"Saipos Serviços De Software")</f>
        <v>Saipos Serviços De Software</v>
      </c>
      <c r="X9286" s="33">
        <f>IFERROR(__xludf.DUMMYFUNCTION("""COMPUTED_VALUE"""),1.0)</f>
        <v>1</v>
      </c>
    </row>
    <row r="9287">
      <c r="K9287" s="4" t="str">
        <f>IFERROR(__xludf.DUMMYFUNCTION("""COMPUTED_VALUE"""),"THE NEW YORK COFFEE")</f>
        <v>THE NEW YORK COFFEE</v>
      </c>
      <c r="L9287" s="32">
        <f>IFERROR(__xludf.DUMMYFUNCTION("""COMPUTED_VALUE"""),1.0)</f>
        <v>1</v>
      </c>
      <c r="M9287" s="4" t="str">
        <f>IFERROR(__xludf.DUMMYFUNCTION("""COMPUTED_VALUE"""),"Netcontroll Xmenu")</f>
        <v>Netcontroll Xmenu</v>
      </c>
      <c r="N9287" s="33">
        <f>IFERROR(__xludf.DUMMYFUNCTION("""COMPUTED_VALUE"""),1.0)</f>
        <v>1</v>
      </c>
      <c r="O9287" s="4" t="str">
        <f>IFERROR(__xludf.DUMMYFUNCTION("""COMPUTED_VALUE"""),"Netcontroll Xmenu")</f>
        <v>Netcontroll Xmenu</v>
      </c>
      <c r="P9287" s="33">
        <f>IFERROR(__xludf.DUMMYFUNCTION("""COMPUTED_VALUE"""),1.0)</f>
        <v>1</v>
      </c>
      <c r="Q9287" s="4" t="str">
        <f>IFERROR(__xludf.DUMMYFUNCTION("""COMPUTED_VALUE"""),"Netcontroll Xmenu")</f>
        <v>Netcontroll Xmenu</v>
      </c>
      <c r="R9287" s="33">
        <f>IFERROR(__xludf.DUMMYFUNCTION("""COMPUTED_VALUE"""),1.0)</f>
        <v>1</v>
      </c>
      <c r="S9287" s="4" t="str">
        <f>IFERROR(__xludf.DUMMYFUNCTION("""COMPUTED_VALUE"""),"Netcontroll Xmenu")</f>
        <v>Netcontroll Xmenu</v>
      </c>
      <c r="T9287" s="33">
        <f>IFERROR(__xludf.DUMMYFUNCTION("""COMPUTED_VALUE"""),1.0)</f>
        <v>1</v>
      </c>
      <c r="U9287" s="4" t="str">
        <f>IFERROR(__xludf.DUMMYFUNCTION("""COMPUTED_VALUE"""),"Netcontroll Xmenu")</f>
        <v>Netcontroll Xmenu</v>
      </c>
      <c r="V9287" s="33">
        <f>IFERROR(__xludf.DUMMYFUNCTION("""COMPUTED_VALUE"""),1.0)</f>
        <v>1</v>
      </c>
      <c r="W9287" s="4" t="str">
        <f>IFERROR(__xludf.DUMMYFUNCTION("""COMPUTED_VALUE"""),"Netcontroll Xmenu")</f>
        <v>Netcontroll Xmenu</v>
      </c>
      <c r="X9287" s="33">
        <f>IFERROR(__xludf.DUMMYFUNCTION("""COMPUTED_VALUE"""),1.0)</f>
        <v>1</v>
      </c>
    </row>
    <row r="9288">
      <c r="K9288" s="4" t="str">
        <f>IFERROR(__xludf.DUMMYFUNCTION("""COMPUTED_VALUE"""),"CASA TORO")</f>
        <v>CASA TORO</v>
      </c>
      <c r="L9288" s="32">
        <f>IFERROR(__xludf.DUMMYFUNCTION("""COMPUTED_VALUE"""),1.0)</f>
        <v>1</v>
      </c>
      <c r="M9288" s="4" t="str">
        <f>IFERROR(__xludf.DUMMYFUNCTION("""COMPUTED_VALUE"""),"Bbifood")</f>
        <v>Bbifood</v>
      </c>
      <c r="N9288" s="33">
        <f>IFERROR(__xludf.DUMMYFUNCTION("""COMPUTED_VALUE"""),1.0)</f>
        <v>1</v>
      </c>
      <c r="O9288" s="4" t="str">
        <f>IFERROR(__xludf.DUMMYFUNCTION("""COMPUTED_VALUE"""),"Bbifood")</f>
        <v>Bbifood</v>
      </c>
      <c r="P9288" s="33">
        <f>IFERROR(__xludf.DUMMYFUNCTION("""COMPUTED_VALUE"""),1.0)</f>
        <v>1</v>
      </c>
      <c r="Q9288" s="4" t="str">
        <f>IFERROR(__xludf.DUMMYFUNCTION("""COMPUTED_VALUE"""),"Bbifood")</f>
        <v>Bbifood</v>
      </c>
      <c r="R9288" s="33">
        <f>IFERROR(__xludf.DUMMYFUNCTION("""COMPUTED_VALUE"""),1.0)</f>
        <v>1</v>
      </c>
      <c r="S9288" s="4" t="str">
        <f>IFERROR(__xludf.DUMMYFUNCTION("""COMPUTED_VALUE"""),"Bbifood")</f>
        <v>Bbifood</v>
      </c>
      <c r="T9288" s="33">
        <f>IFERROR(__xludf.DUMMYFUNCTION("""COMPUTED_VALUE"""),1.0)</f>
        <v>1</v>
      </c>
      <c r="U9288" s="4" t="str">
        <f>IFERROR(__xludf.DUMMYFUNCTION("""COMPUTED_VALUE"""),"Bbifood")</f>
        <v>Bbifood</v>
      </c>
      <c r="V9288" s="33">
        <f>IFERROR(__xludf.DUMMYFUNCTION("""COMPUTED_VALUE"""),1.0)</f>
        <v>1</v>
      </c>
      <c r="W9288" s="4" t="str">
        <f>IFERROR(__xludf.DUMMYFUNCTION("""COMPUTED_VALUE"""),"Bbifood")</f>
        <v>Bbifood</v>
      </c>
      <c r="X9288" s="33">
        <f>IFERROR(__xludf.DUMMYFUNCTION("""COMPUTED_VALUE"""),1.0)</f>
        <v>1</v>
      </c>
    </row>
    <row r="9289">
      <c r="K9289" s="4" t="str">
        <f>IFERROR(__xludf.DUMMYFUNCTION("""COMPUTED_VALUE"""),"SANTA CHAPA HAMBURGUERIA E ACAI")</f>
        <v>SANTA CHAPA HAMBURGUERIA E ACAI</v>
      </c>
      <c r="L9289" s="32">
        <f>IFERROR(__xludf.DUMMYFUNCTION("""COMPUTED_VALUE"""),1.0)</f>
        <v>1</v>
      </c>
      <c r="M9289" s="4" t="str">
        <f>IFERROR(__xludf.DUMMYFUNCTION("""COMPUTED_VALUE"""),"Solução Sistemas")</f>
        <v>Solução Sistemas</v>
      </c>
      <c r="N9289" s="33">
        <f>IFERROR(__xludf.DUMMYFUNCTION("""COMPUTED_VALUE"""),1.0)</f>
        <v>1</v>
      </c>
      <c r="O9289" s="4" t="str">
        <f>IFERROR(__xludf.DUMMYFUNCTION("""COMPUTED_VALUE"""),"Solução Sistemas")</f>
        <v>Solução Sistemas</v>
      </c>
      <c r="P9289" s="33">
        <f>IFERROR(__xludf.DUMMYFUNCTION("""COMPUTED_VALUE"""),1.0)</f>
        <v>1</v>
      </c>
      <c r="Q9289" s="4" t="str">
        <f>IFERROR(__xludf.DUMMYFUNCTION("""COMPUTED_VALUE"""),"Solução Sistemas")</f>
        <v>Solução Sistemas</v>
      </c>
      <c r="R9289" s="33">
        <f>IFERROR(__xludf.DUMMYFUNCTION("""COMPUTED_VALUE"""),1.0)</f>
        <v>1</v>
      </c>
      <c r="S9289" s="4" t="str">
        <f>IFERROR(__xludf.DUMMYFUNCTION("""COMPUTED_VALUE"""),"Solução Sistemas")</f>
        <v>Solução Sistemas</v>
      </c>
      <c r="T9289" s="33">
        <f>IFERROR(__xludf.DUMMYFUNCTION("""COMPUTED_VALUE"""),1.0)</f>
        <v>1</v>
      </c>
      <c r="U9289" s="4" t="str">
        <f>IFERROR(__xludf.DUMMYFUNCTION("""COMPUTED_VALUE"""),"null")</f>
        <v>null</v>
      </c>
      <c r="V9289" s="33">
        <f>IFERROR(__xludf.DUMMYFUNCTION("""COMPUTED_VALUE"""),1.0)</f>
        <v>1</v>
      </c>
      <c r="W9289" s="4" t="str">
        <f>IFERROR(__xludf.DUMMYFUNCTION("""COMPUTED_VALUE"""),"null")</f>
        <v>null</v>
      </c>
      <c r="X9289" s="33">
        <f>IFERROR(__xludf.DUMMYFUNCTION("""COMPUTED_VALUE"""),1.0)</f>
        <v>1</v>
      </c>
    </row>
    <row r="9290">
      <c r="K9290" s="4" t="str">
        <f>IFERROR(__xludf.DUMMYFUNCTION("""COMPUTED_VALUE"""),"GIGIOS ESFIHARIA")</f>
        <v>GIGIOS ESFIHARIA</v>
      </c>
      <c r="L9290" s="32">
        <f>IFERROR(__xludf.DUMMYFUNCTION("""COMPUTED_VALUE"""),1.0)</f>
        <v>1</v>
      </c>
      <c r="M9290" s="4" t="str">
        <f>IFERROR(__xludf.DUMMYFUNCTION("""COMPUTED_VALUE"""),"Yooga")</f>
        <v>Yooga</v>
      </c>
      <c r="N9290" s="33">
        <f>IFERROR(__xludf.DUMMYFUNCTION("""COMPUTED_VALUE"""),1.0)</f>
        <v>1</v>
      </c>
      <c r="O9290" s="4" t="str">
        <f>IFERROR(__xludf.DUMMYFUNCTION("""COMPUTED_VALUE"""),"Yooga")</f>
        <v>Yooga</v>
      </c>
      <c r="P9290" s="33">
        <f>IFERROR(__xludf.DUMMYFUNCTION("""COMPUTED_VALUE"""),1.0)</f>
        <v>1</v>
      </c>
      <c r="Q9290" s="4" t="str">
        <f>IFERROR(__xludf.DUMMYFUNCTION("""COMPUTED_VALUE"""),"Yooga")</f>
        <v>Yooga</v>
      </c>
      <c r="R9290" s="33">
        <f>IFERROR(__xludf.DUMMYFUNCTION("""COMPUTED_VALUE"""),1.0)</f>
        <v>1</v>
      </c>
      <c r="S9290" s="4" t="str">
        <f>IFERROR(__xludf.DUMMYFUNCTION("""COMPUTED_VALUE"""),"Yooga")</f>
        <v>Yooga</v>
      </c>
      <c r="T9290" s="33">
        <f>IFERROR(__xludf.DUMMYFUNCTION("""COMPUTED_VALUE"""),1.0)</f>
        <v>1</v>
      </c>
      <c r="U9290" s="4" t="str">
        <f>IFERROR(__xludf.DUMMYFUNCTION("""COMPUTED_VALUE"""),"Yooga")</f>
        <v>Yooga</v>
      </c>
      <c r="V9290" s="33">
        <f>IFERROR(__xludf.DUMMYFUNCTION("""COMPUTED_VALUE"""),1.0)</f>
        <v>1</v>
      </c>
      <c r="W9290" s="4" t="str">
        <f>IFERROR(__xludf.DUMMYFUNCTION("""COMPUTED_VALUE"""),"Yooga")</f>
        <v>Yooga</v>
      </c>
      <c r="X9290" s="33">
        <f>IFERROR(__xludf.DUMMYFUNCTION("""COMPUTED_VALUE"""),1.0)</f>
        <v>1</v>
      </c>
    </row>
    <row r="9291">
      <c r="K9291" s="4" t="str">
        <f>IFERROR(__xludf.DUMMYFUNCTION("""COMPUTED_VALUE"""),"CULINARIA GRILL")</f>
        <v>CULINARIA GRILL</v>
      </c>
      <c r="L9291" s="32">
        <f>IFERROR(__xludf.DUMMYFUNCTION("""COMPUTED_VALUE"""),1.0)</f>
        <v>1</v>
      </c>
      <c r="M9291" s="4" t="str">
        <f>IFERROR(__xludf.DUMMYFUNCTION("""COMPUTED_VALUE"""),"Winfood")</f>
        <v>Winfood</v>
      </c>
      <c r="N9291" s="33">
        <f>IFERROR(__xludf.DUMMYFUNCTION("""COMPUTED_VALUE"""),1.0)</f>
        <v>1</v>
      </c>
      <c r="O9291" s="4" t="str">
        <f>IFERROR(__xludf.DUMMYFUNCTION("""COMPUTED_VALUE"""),"Winfood")</f>
        <v>Winfood</v>
      </c>
      <c r="P9291" s="33">
        <f>IFERROR(__xludf.DUMMYFUNCTION("""COMPUTED_VALUE"""),1.0)</f>
        <v>1</v>
      </c>
      <c r="Q9291" s="4" t="str">
        <f>IFERROR(__xludf.DUMMYFUNCTION("""COMPUTED_VALUE"""),"null")</f>
        <v>null</v>
      </c>
      <c r="R9291" s="33">
        <f>IFERROR(__xludf.DUMMYFUNCTION("""COMPUTED_VALUE"""),1.0)</f>
        <v>1</v>
      </c>
      <c r="S9291" s="4" t="str">
        <f>IFERROR(__xludf.DUMMYFUNCTION("""COMPUTED_VALUE"""),"Winfood")</f>
        <v>Winfood</v>
      </c>
      <c r="T9291" s="33">
        <f>IFERROR(__xludf.DUMMYFUNCTION("""COMPUTED_VALUE"""),1.0)</f>
        <v>1</v>
      </c>
      <c r="U9291" s="4" t="str">
        <f>IFERROR(__xludf.DUMMYFUNCTION("""COMPUTED_VALUE"""),"null")</f>
        <v>null</v>
      </c>
      <c r="V9291" s="33">
        <f>IFERROR(__xludf.DUMMYFUNCTION("""COMPUTED_VALUE"""),1.0)</f>
        <v>1</v>
      </c>
      <c r="W9291" s="4" t="str">
        <f>IFERROR(__xludf.DUMMYFUNCTION("""COMPUTED_VALUE"""),"Winfood")</f>
        <v>Winfood</v>
      </c>
      <c r="X9291" s="33">
        <f>IFERROR(__xludf.DUMMYFUNCTION("""COMPUTED_VALUE"""),1.0)</f>
        <v>1</v>
      </c>
    </row>
    <row r="9292">
      <c r="K9292" s="4" t="str">
        <f>IFERROR(__xludf.DUMMYFUNCTION("""COMPUTED_VALUE"""),"LIDER BEER - PETROPOLIS")</f>
        <v>LIDER BEER - PETROPOLIS</v>
      </c>
      <c r="L9292" s="32">
        <f>IFERROR(__xludf.DUMMYFUNCTION("""COMPUTED_VALUE"""),1.0)</f>
        <v>1</v>
      </c>
      <c r="M9292" s="4" t="str">
        <f>IFERROR(__xludf.DUMMYFUNCTION("""COMPUTED_VALUE"""),"null")</f>
        <v>null</v>
      </c>
      <c r="N9292" s="33">
        <f>IFERROR(__xludf.DUMMYFUNCTION("""COMPUTED_VALUE"""),1.0)</f>
        <v>1</v>
      </c>
      <c r="O9292" s="4" t="str">
        <f>IFERROR(__xludf.DUMMYFUNCTION("""COMPUTED_VALUE"""),"null")</f>
        <v>null</v>
      </c>
      <c r="P9292" s="33">
        <f>IFERROR(__xludf.DUMMYFUNCTION("""COMPUTED_VALUE"""),1.0)</f>
        <v>1</v>
      </c>
      <c r="Q9292" s="4" t="str">
        <f>IFERROR(__xludf.DUMMYFUNCTION("""COMPUTED_VALUE"""),"null")</f>
        <v>null</v>
      </c>
      <c r="R9292" s="33">
        <f>IFERROR(__xludf.DUMMYFUNCTION("""COMPUTED_VALUE"""),1.0)</f>
        <v>1</v>
      </c>
      <c r="S9292" s="4" t="str">
        <f>IFERROR(__xludf.DUMMYFUNCTION("""COMPUTED_VALUE"""),"Connectplug")</f>
        <v>Connectplug</v>
      </c>
      <c r="T9292" s="33">
        <f>IFERROR(__xludf.DUMMYFUNCTION("""COMPUTED_VALUE"""),1.0)</f>
        <v>1</v>
      </c>
      <c r="U9292" s="4" t="str">
        <f>IFERROR(__xludf.DUMMYFUNCTION("""COMPUTED_VALUE"""),"Connectplug")</f>
        <v>Connectplug</v>
      </c>
      <c r="V9292" s="33">
        <f>IFERROR(__xludf.DUMMYFUNCTION("""COMPUTED_VALUE"""),1.0)</f>
        <v>1</v>
      </c>
      <c r="W9292" s="4" t="str">
        <f>IFERROR(__xludf.DUMMYFUNCTION("""COMPUTED_VALUE"""),"null")</f>
        <v>null</v>
      </c>
      <c r="X9292" s="33">
        <f>IFERROR(__xludf.DUMMYFUNCTION("""COMPUTED_VALUE"""),1.0)</f>
        <v>1</v>
      </c>
    </row>
    <row r="9293">
      <c r="K9293" s="4" t="str">
        <f>IFERROR(__xludf.DUMMYFUNCTION("""COMPUTED_VALUE"""),"HAMBURGUERIA GORDOG - MARACANA")</f>
        <v>HAMBURGUERIA GORDOG - MARACANA</v>
      </c>
      <c r="L9293" s="32">
        <f>IFERROR(__xludf.DUMMYFUNCTION("""COMPUTED_VALUE"""),1.0)</f>
        <v>1</v>
      </c>
      <c r="M9293" s="4" t="str">
        <f>IFERROR(__xludf.DUMMYFUNCTION("""COMPUTED_VALUE"""),"Yooga")</f>
        <v>Yooga</v>
      </c>
      <c r="N9293" s="33">
        <f>IFERROR(__xludf.DUMMYFUNCTION("""COMPUTED_VALUE"""),1.0)</f>
        <v>1</v>
      </c>
      <c r="O9293" s="4" t="str">
        <f>IFERROR(__xludf.DUMMYFUNCTION("""COMPUTED_VALUE"""),"Yooga")</f>
        <v>Yooga</v>
      </c>
      <c r="P9293" s="33">
        <f>IFERROR(__xludf.DUMMYFUNCTION("""COMPUTED_VALUE"""),1.0)</f>
        <v>1</v>
      </c>
      <c r="Q9293" s="4" t="str">
        <f>IFERROR(__xludf.DUMMYFUNCTION("""COMPUTED_VALUE"""),"Yooga")</f>
        <v>Yooga</v>
      </c>
      <c r="R9293" s="33">
        <f>IFERROR(__xludf.DUMMYFUNCTION("""COMPUTED_VALUE"""),1.0)</f>
        <v>1</v>
      </c>
      <c r="S9293" s="4" t="str">
        <f>IFERROR(__xludf.DUMMYFUNCTION("""COMPUTED_VALUE"""),"Yooga")</f>
        <v>Yooga</v>
      </c>
      <c r="T9293" s="33">
        <f>IFERROR(__xludf.DUMMYFUNCTION("""COMPUTED_VALUE"""),1.0)</f>
        <v>1</v>
      </c>
      <c r="U9293" s="4" t="str">
        <f>IFERROR(__xludf.DUMMYFUNCTION("""COMPUTED_VALUE"""),"Yooga")</f>
        <v>Yooga</v>
      </c>
      <c r="V9293" s="33">
        <f>IFERROR(__xludf.DUMMYFUNCTION("""COMPUTED_VALUE"""),1.0)</f>
        <v>1</v>
      </c>
      <c r="W9293" s="4" t="str">
        <f>IFERROR(__xludf.DUMMYFUNCTION("""COMPUTED_VALUE"""),"Yooga")</f>
        <v>Yooga</v>
      </c>
      <c r="X9293" s="33">
        <f>IFERROR(__xludf.DUMMYFUNCTION("""COMPUTED_VALUE"""),1.0)</f>
        <v>1</v>
      </c>
    </row>
    <row r="9294">
      <c r="K9294" s="4" t="str">
        <f>IFERROR(__xludf.DUMMYFUNCTION("""COMPUTED_VALUE"""),"O FAMOSO - MATAO")</f>
        <v>O FAMOSO - MATAO</v>
      </c>
      <c r="L9294" s="32">
        <f>IFERROR(__xludf.DUMMYFUNCTION("""COMPUTED_VALUE"""),1.0)</f>
        <v>1</v>
      </c>
      <c r="M9294" s="4" t="str">
        <f>IFERROR(__xludf.DUMMYFUNCTION("""COMPUTED_VALUE"""),"Hubster")</f>
        <v>Hubster</v>
      </c>
      <c r="N9294" s="33">
        <f>IFERROR(__xludf.DUMMYFUNCTION("""COMPUTED_VALUE"""),1.0)</f>
        <v>1</v>
      </c>
      <c r="O9294" s="4" t="str">
        <f>IFERROR(__xludf.DUMMYFUNCTION("""COMPUTED_VALUE"""),"Hubster")</f>
        <v>Hubster</v>
      </c>
      <c r="P9294" s="33">
        <f>IFERROR(__xludf.DUMMYFUNCTION("""COMPUTED_VALUE"""),1.0)</f>
        <v>1</v>
      </c>
      <c r="Q9294" s="4" t="str">
        <f>IFERROR(__xludf.DUMMYFUNCTION("""COMPUTED_VALUE"""),"Hubster")</f>
        <v>Hubster</v>
      </c>
      <c r="R9294" s="33">
        <f>IFERROR(__xludf.DUMMYFUNCTION("""COMPUTED_VALUE"""),1.0)</f>
        <v>1</v>
      </c>
      <c r="S9294" s="4" t="str">
        <f>IFERROR(__xludf.DUMMYFUNCTION("""COMPUTED_VALUE"""),"Hubster")</f>
        <v>Hubster</v>
      </c>
      <c r="T9294" s="33">
        <f>IFERROR(__xludf.DUMMYFUNCTION("""COMPUTED_VALUE"""),1.0)</f>
        <v>1</v>
      </c>
      <c r="U9294" s="4" t="str">
        <f>IFERROR(__xludf.DUMMYFUNCTION("""COMPUTED_VALUE"""),"Hubster")</f>
        <v>Hubster</v>
      </c>
      <c r="V9294" s="33">
        <f>IFERROR(__xludf.DUMMYFUNCTION("""COMPUTED_VALUE"""),1.0)</f>
        <v>1</v>
      </c>
      <c r="W9294" s="4" t="str">
        <f>IFERROR(__xludf.DUMMYFUNCTION("""COMPUTED_VALUE"""),"Hubster")</f>
        <v>Hubster</v>
      </c>
      <c r="X9294" s="33">
        <f>IFERROR(__xludf.DUMMYFUNCTION("""COMPUTED_VALUE"""),1.0)</f>
        <v>1</v>
      </c>
    </row>
    <row r="9295">
      <c r="K9295" s="4" t="str">
        <f>IFERROR(__xludf.DUMMYFUNCTION("""COMPUTED_VALUE"""),"KERO BIS")</f>
        <v>KERO BIS</v>
      </c>
      <c r="L9295" s="32">
        <f>IFERROR(__xludf.DUMMYFUNCTION("""COMPUTED_VALUE"""),1.0)</f>
        <v>1</v>
      </c>
      <c r="M9295" s="4" t="str">
        <f>IFERROR(__xludf.DUMMYFUNCTION("""COMPUTED_VALUE"""),"null")</f>
        <v>null</v>
      </c>
      <c r="N9295" s="33">
        <f>IFERROR(__xludf.DUMMYFUNCTION("""COMPUTED_VALUE"""),1.0)</f>
        <v>1</v>
      </c>
      <c r="O9295" s="4" t="str">
        <f>IFERROR(__xludf.DUMMYFUNCTION("""COMPUTED_VALUE"""),"null")</f>
        <v>null</v>
      </c>
      <c r="P9295" s="33">
        <f>IFERROR(__xludf.DUMMYFUNCTION("""COMPUTED_VALUE"""),1.0)</f>
        <v>1</v>
      </c>
      <c r="Q9295" s="4" t="str">
        <f>IFERROR(__xludf.DUMMYFUNCTION("""COMPUTED_VALUE"""),"Anota Ai Solucoes Digitais S/a")</f>
        <v>Anota Ai Solucoes Digitais S/a</v>
      </c>
      <c r="R9295" s="33">
        <f>IFERROR(__xludf.DUMMYFUNCTION("""COMPUTED_VALUE"""),1.0)</f>
        <v>1</v>
      </c>
      <c r="S9295" s="4" t="str">
        <f>IFERROR(__xludf.DUMMYFUNCTION("""COMPUTED_VALUE"""),"Anota Ai Solucoes Digitais S/a")</f>
        <v>Anota Ai Solucoes Digitais S/a</v>
      </c>
      <c r="T9295" s="33">
        <f>IFERROR(__xludf.DUMMYFUNCTION("""COMPUTED_VALUE"""),1.0)</f>
        <v>1</v>
      </c>
      <c r="U9295" s="4" t="str">
        <f>IFERROR(__xludf.DUMMYFUNCTION("""COMPUTED_VALUE"""),"null")</f>
        <v>null</v>
      </c>
      <c r="V9295" s="33">
        <f>IFERROR(__xludf.DUMMYFUNCTION("""COMPUTED_VALUE"""),1.0)</f>
        <v>1</v>
      </c>
      <c r="W9295" s="4" t="str">
        <f>IFERROR(__xludf.DUMMYFUNCTION("""COMPUTED_VALUE"""),"null")</f>
        <v>null</v>
      </c>
      <c r="X9295" s="33">
        <f>IFERROR(__xludf.DUMMYFUNCTION("""COMPUTED_VALUE"""),1.0)</f>
        <v>1</v>
      </c>
    </row>
    <row r="9296">
      <c r="K9296" s="4" t="str">
        <f>IFERROR(__xludf.DUMMYFUNCTION("""COMPUTED_VALUE"""),"PIZZA HOT FORNO A LENHA")</f>
        <v>PIZZA HOT FORNO A LENHA</v>
      </c>
      <c r="L9296" s="32">
        <f>IFERROR(__xludf.DUMMYFUNCTION("""COMPUTED_VALUE"""),1.0)</f>
        <v>1</v>
      </c>
      <c r="M9296" s="4" t="str">
        <f>IFERROR(__xludf.DUMMYFUNCTION("""COMPUTED_VALUE"""),"Jclan Sistemas")</f>
        <v>Jclan Sistemas</v>
      </c>
      <c r="N9296" s="33">
        <f>IFERROR(__xludf.DUMMYFUNCTION("""COMPUTED_VALUE"""),1.0)</f>
        <v>1</v>
      </c>
      <c r="O9296" s="4" t="str">
        <f>IFERROR(__xludf.DUMMYFUNCTION("""COMPUTED_VALUE"""),"Jclan Sistemas")</f>
        <v>Jclan Sistemas</v>
      </c>
      <c r="P9296" s="33">
        <f>IFERROR(__xludf.DUMMYFUNCTION("""COMPUTED_VALUE"""),1.0)</f>
        <v>1</v>
      </c>
      <c r="Q9296" s="4" t="str">
        <f>IFERROR(__xludf.DUMMYFUNCTION("""COMPUTED_VALUE"""),"Jclan Sistemas")</f>
        <v>Jclan Sistemas</v>
      </c>
      <c r="R9296" s="33">
        <f>IFERROR(__xludf.DUMMYFUNCTION("""COMPUTED_VALUE"""),1.0)</f>
        <v>1</v>
      </c>
      <c r="S9296" s="4" t="str">
        <f>IFERROR(__xludf.DUMMYFUNCTION("""COMPUTED_VALUE"""),"Jclan Sistemas")</f>
        <v>Jclan Sistemas</v>
      </c>
      <c r="T9296" s="33">
        <f>IFERROR(__xludf.DUMMYFUNCTION("""COMPUTED_VALUE"""),1.0)</f>
        <v>1</v>
      </c>
      <c r="U9296" s="4" t="str">
        <f>IFERROR(__xludf.DUMMYFUNCTION("""COMPUTED_VALUE"""),"Jclan Sistemas")</f>
        <v>Jclan Sistemas</v>
      </c>
      <c r="V9296" s="33">
        <f>IFERROR(__xludf.DUMMYFUNCTION("""COMPUTED_VALUE"""),1.0)</f>
        <v>1</v>
      </c>
      <c r="W9296" s="4" t="str">
        <f>IFERROR(__xludf.DUMMYFUNCTION("""COMPUTED_VALUE"""),"Jclan Sistemas")</f>
        <v>Jclan Sistemas</v>
      </c>
      <c r="X9296" s="33">
        <f>IFERROR(__xludf.DUMMYFUNCTION("""COMPUTED_VALUE"""),1.0)</f>
        <v>1</v>
      </c>
    </row>
    <row r="9297">
      <c r="K9297" s="4" t="str">
        <f>IFERROR(__xludf.DUMMYFUNCTION("""COMPUTED_VALUE"""),"CRIATIVA LANCHES")</f>
        <v>CRIATIVA LANCHES</v>
      </c>
      <c r="L9297" s="32">
        <f>IFERROR(__xludf.DUMMYFUNCTION("""COMPUTED_VALUE"""),1.0)</f>
        <v>1</v>
      </c>
      <c r="M9297" s="4" t="str">
        <f>IFERROR(__xludf.DUMMYFUNCTION("""COMPUTED_VALUE"""),"Mp Multipedidos")</f>
        <v>Mp Multipedidos</v>
      </c>
      <c r="N9297" s="33">
        <f>IFERROR(__xludf.DUMMYFUNCTION("""COMPUTED_VALUE"""),1.0)</f>
        <v>1</v>
      </c>
      <c r="O9297" s="4" t="str">
        <f>IFERROR(__xludf.DUMMYFUNCTION("""COMPUTED_VALUE"""),"Mp Multipedidos")</f>
        <v>Mp Multipedidos</v>
      </c>
      <c r="P9297" s="33">
        <f>IFERROR(__xludf.DUMMYFUNCTION("""COMPUTED_VALUE"""),1.0)</f>
        <v>1</v>
      </c>
      <c r="Q9297" s="4" t="str">
        <f>IFERROR(__xludf.DUMMYFUNCTION("""COMPUTED_VALUE"""),"Mp Multipedidos")</f>
        <v>Mp Multipedidos</v>
      </c>
      <c r="R9297" s="33">
        <f>IFERROR(__xludf.DUMMYFUNCTION("""COMPUTED_VALUE"""),1.0)</f>
        <v>1</v>
      </c>
      <c r="S9297" s="4" t="str">
        <f>IFERROR(__xludf.DUMMYFUNCTION("""COMPUTED_VALUE"""),"Mp Multipedidos")</f>
        <v>Mp Multipedidos</v>
      </c>
      <c r="T9297" s="33">
        <f>IFERROR(__xludf.DUMMYFUNCTION("""COMPUTED_VALUE"""),1.0)</f>
        <v>1</v>
      </c>
      <c r="U9297" s="4" t="str">
        <f>IFERROR(__xludf.DUMMYFUNCTION("""COMPUTED_VALUE"""),"Mp Multipedidos")</f>
        <v>Mp Multipedidos</v>
      </c>
      <c r="V9297" s="33">
        <f>IFERROR(__xludf.DUMMYFUNCTION("""COMPUTED_VALUE"""),1.0)</f>
        <v>1</v>
      </c>
      <c r="W9297" s="4" t="str">
        <f>IFERROR(__xludf.DUMMYFUNCTION("""COMPUTED_VALUE"""),"Mp Multipedidos")</f>
        <v>Mp Multipedidos</v>
      </c>
      <c r="X9297" s="33">
        <f>IFERROR(__xludf.DUMMYFUNCTION("""COMPUTED_VALUE"""),1.0)</f>
        <v>1</v>
      </c>
    </row>
    <row r="9298">
      <c r="K9298" s="4" t="str">
        <f>IFERROR(__xludf.DUMMYFUNCTION("""COMPUTED_VALUE"""),"TOCA DO CABOCLO RESTAURANTE - ITAJUBA")</f>
        <v>TOCA DO CABOCLO RESTAURANTE - ITAJUBA</v>
      </c>
      <c r="L9298" s="32">
        <f>IFERROR(__xludf.DUMMYFUNCTION("""COMPUTED_VALUE"""),1.0)</f>
        <v>1</v>
      </c>
      <c r="M9298" s="4" t="str">
        <f>IFERROR(__xludf.DUMMYFUNCTION("""COMPUTED_VALUE"""),"Suitable Tecnologia E Gestao")</f>
        <v>Suitable Tecnologia E Gestao</v>
      </c>
      <c r="N9298" s="33">
        <f>IFERROR(__xludf.DUMMYFUNCTION("""COMPUTED_VALUE"""),1.0)</f>
        <v>1</v>
      </c>
      <c r="O9298" s="4" t="str">
        <f>IFERROR(__xludf.DUMMYFUNCTION("""COMPUTED_VALUE"""),"Suitable Tecnologia E Gestao")</f>
        <v>Suitable Tecnologia E Gestao</v>
      </c>
      <c r="P9298" s="33">
        <f>IFERROR(__xludf.DUMMYFUNCTION("""COMPUTED_VALUE"""),1.0)</f>
        <v>1</v>
      </c>
      <c r="Q9298" s="4" t="str">
        <f>IFERROR(__xludf.DUMMYFUNCTION("""COMPUTED_VALUE"""),"Suitable Tecnologia E Gestao")</f>
        <v>Suitable Tecnologia E Gestao</v>
      </c>
      <c r="R9298" s="33">
        <f>IFERROR(__xludf.DUMMYFUNCTION("""COMPUTED_VALUE"""),1.0)</f>
        <v>1</v>
      </c>
      <c r="S9298" s="4" t="str">
        <f>IFERROR(__xludf.DUMMYFUNCTION("""COMPUTED_VALUE"""),"Suitable Tecnologia E Gestao")</f>
        <v>Suitable Tecnologia E Gestao</v>
      </c>
      <c r="T9298" s="33">
        <f>IFERROR(__xludf.DUMMYFUNCTION("""COMPUTED_VALUE"""),1.0)</f>
        <v>1</v>
      </c>
      <c r="U9298" s="4" t="str">
        <f>IFERROR(__xludf.DUMMYFUNCTION("""COMPUTED_VALUE"""),"Suitable Tecnologia E Gestao")</f>
        <v>Suitable Tecnologia E Gestao</v>
      </c>
      <c r="V9298" s="33">
        <f>IFERROR(__xludf.DUMMYFUNCTION("""COMPUTED_VALUE"""),1.0)</f>
        <v>1</v>
      </c>
      <c r="W9298" s="4" t="str">
        <f>IFERROR(__xludf.DUMMYFUNCTION("""COMPUTED_VALUE"""),"Suitable Tecnologia E Gestao")</f>
        <v>Suitable Tecnologia E Gestao</v>
      </c>
      <c r="X9298" s="33">
        <f>IFERROR(__xludf.DUMMYFUNCTION("""COMPUTED_VALUE"""),1.0)</f>
        <v>1</v>
      </c>
    </row>
    <row r="9299">
      <c r="K9299" s="4" t="str">
        <f>IFERROR(__xludf.DUMMYFUNCTION("""COMPUTED_VALUE"""),"JACUBA-PASTEL DE TANGARA, COXINHAS GOURMET E SALGADOS DE FESTA")</f>
        <v>JACUBA-PASTEL DE TANGARA, COXINHAS GOURMET E SALGADOS DE FESTA</v>
      </c>
      <c r="L9299" s="32">
        <f>IFERROR(__xludf.DUMMYFUNCTION("""COMPUTED_VALUE"""),1.0)</f>
        <v>1</v>
      </c>
      <c r="M9299" s="4" t="str">
        <f>IFERROR(__xludf.DUMMYFUNCTION("""COMPUTED_VALUE"""),"Saipos Serviços De Software")</f>
        <v>Saipos Serviços De Software</v>
      </c>
      <c r="N9299" s="33">
        <f>IFERROR(__xludf.DUMMYFUNCTION("""COMPUTED_VALUE"""),1.0)</f>
        <v>1</v>
      </c>
      <c r="O9299" s="4" t="str">
        <f>IFERROR(__xludf.DUMMYFUNCTION("""COMPUTED_VALUE"""),"Saipos Serviços De Software")</f>
        <v>Saipos Serviços De Software</v>
      </c>
      <c r="P9299" s="33">
        <f>IFERROR(__xludf.DUMMYFUNCTION("""COMPUTED_VALUE"""),1.0)</f>
        <v>1</v>
      </c>
      <c r="Q9299" s="4" t="str">
        <f>IFERROR(__xludf.DUMMYFUNCTION("""COMPUTED_VALUE"""),"Saipos Serviços De Software")</f>
        <v>Saipos Serviços De Software</v>
      </c>
      <c r="R9299" s="33">
        <f>IFERROR(__xludf.DUMMYFUNCTION("""COMPUTED_VALUE"""),1.0)</f>
        <v>1</v>
      </c>
      <c r="S9299" s="4" t="str">
        <f>IFERROR(__xludf.DUMMYFUNCTION("""COMPUTED_VALUE"""),"Saipos Serviços De Software")</f>
        <v>Saipos Serviços De Software</v>
      </c>
      <c r="T9299" s="33">
        <f>IFERROR(__xludf.DUMMYFUNCTION("""COMPUTED_VALUE"""),1.0)</f>
        <v>1</v>
      </c>
      <c r="U9299" s="4" t="str">
        <f>IFERROR(__xludf.DUMMYFUNCTION("""COMPUTED_VALUE"""),"Saipos Serviços De Software")</f>
        <v>Saipos Serviços De Software</v>
      </c>
      <c r="V9299" s="33">
        <f>IFERROR(__xludf.DUMMYFUNCTION("""COMPUTED_VALUE"""),1.0)</f>
        <v>1</v>
      </c>
      <c r="W9299" s="4" t="str">
        <f>IFERROR(__xludf.DUMMYFUNCTION("""COMPUTED_VALUE"""),"Saipos Serviços De Software")</f>
        <v>Saipos Serviços De Software</v>
      </c>
      <c r="X9299" s="33">
        <f>IFERROR(__xludf.DUMMYFUNCTION("""COMPUTED_VALUE"""),1.0)</f>
        <v>1</v>
      </c>
    </row>
    <row r="9300">
      <c r="K9300" s="4" t="str">
        <f>IFERROR(__xludf.DUMMYFUNCTION("""COMPUTED_VALUE"""),"BOROGODO BURGUER")</f>
        <v>BOROGODO BURGUER</v>
      </c>
      <c r="L9300" s="32">
        <f>IFERROR(__xludf.DUMMYFUNCTION("""COMPUTED_VALUE"""),1.0)</f>
        <v>1</v>
      </c>
      <c r="M9300" s="4" t="str">
        <f>IFERROR(__xludf.DUMMYFUNCTION("""COMPUTED_VALUE"""),"Yooga")</f>
        <v>Yooga</v>
      </c>
      <c r="N9300" s="33">
        <f>IFERROR(__xludf.DUMMYFUNCTION("""COMPUTED_VALUE"""),1.0)</f>
        <v>1</v>
      </c>
      <c r="O9300" s="4" t="str">
        <f>IFERROR(__xludf.DUMMYFUNCTION("""COMPUTED_VALUE"""),"Yooga")</f>
        <v>Yooga</v>
      </c>
      <c r="P9300" s="33">
        <f>IFERROR(__xludf.DUMMYFUNCTION("""COMPUTED_VALUE"""),1.0)</f>
        <v>1</v>
      </c>
      <c r="Q9300" s="4" t="str">
        <f>IFERROR(__xludf.DUMMYFUNCTION("""COMPUTED_VALUE"""),"Yooga")</f>
        <v>Yooga</v>
      </c>
      <c r="R9300" s="33">
        <f>IFERROR(__xludf.DUMMYFUNCTION("""COMPUTED_VALUE"""),1.0)</f>
        <v>1</v>
      </c>
      <c r="S9300" s="4" t="str">
        <f>IFERROR(__xludf.DUMMYFUNCTION("""COMPUTED_VALUE"""),"Yooga")</f>
        <v>Yooga</v>
      </c>
      <c r="T9300" s="33">
        <f>IFERROR(__xludf.DUMMYFUNCTION("""COMPUTED_VALUE"""),1.0)</f>
        <v>1</v>
      </c>
      <c r="U9300" s="4" t="str">
        <f>IFERROR(__xludf.DUMMYFUNCTION("""COMPUTED_VALUE"""),"Yooga")</f>
        <v>Yooga</v>
      </c>
      <c r="V9300" s="33">
        <f>IFERROR(__xludf.DUMMYFUNCTION("""COMPUTED_VALUE"""),1.0)</f>
        <v>1</v>
      </c>
      <c r="W9300" s="4" t="str">
        <f>IFERROR(__xludf.DUMMYFUNCTION("""COMPUTED_VALUE"""),"null")</f>
        <v>null</v>
      </c>
      <c r="X9300" s="33">
        <f>IFERROR(__xludf.DUMMYFUNCTION("""COMPUTED_VALUE"""),1.0)</f>
        <v>1</v>
      </c>
    </row>
    <row r="9301">
      <c r="K9301" s="4" t="str">
        <f>IFERROR(__xludf.DUMMYFUNCTION("""COMPUTED_VALUE"""),"BC HOTDOG")</f>
        <v>BC HOTDOG</v>
      </c>
      <c r="L9301" s="32">
        <f>IFERROR(__xludf.DUMMYFUNCTION("""COMPUTED_VALUE"""),1.0)</f>
        <v>1</v>
      </c>
      <c r="M9301" s="4" t="str">
        <f>IFERROR(__xludf.DUMMYFUNCTION("""COMPUTED_VALUE"""),"Beefood - Sistema Para Restaurantes")</f>
        <v>Beefood - Sistema Para Restaurantes</v>
      </c>
      <c r="N9301" s="33">
        <f>IFERROR(__xludf.DUMMYFUNCTION("""COMPUTED_VALUE"""),1.0)</f>
        <v>1</v>
      </c>
      <c r="O9301" s="4" t="str">
        <f>IFERROR(__xludf.DUMMYFUNCTION("""COMPUTED_VALUE"""),"null")</f>
        <v>null</v>
      </c>
      <c r="P9301" s="33">
        <f>IFERROR(__xludf.DUMMYFUNCTION("""COMPUTED_VALUE"""),1.0)</f>
        <v>1</v>
      </c>
      <c r="Q9301" s="4" t="str">
        <f>IFERROR(__xludf.DUMMYFUNCTION("""COMPUTED_VALUE"""),"null")</f>
        <v>null</v>
      </c>
      <c r="R9301" s="33">
        <f>IFERROR(__xludf.DUMMYFUNCTION("""COMPUTED_VALUE"""),1.0)</f>
        <v>1</v>
      </c>
      <c r="S9301" s="4" t="str">
        <f>IFERROR(__xludf.DUMMYFUNCTION("""COMPUTED_VALUE"""),"null")</f>
        <v>null</v>
      </c>
      <c r="T9301" s="33">
        <f>IFERROR(__xludf.DUMMYFUNCTION("""COMPUTED_VALUE"""),1.0)</f>
        <v>1</v>
      </c>
      <c r="U9301" s="4" t="str">
        <f>IFERROR(__xludf.DUMMYFUNCTION("""COMPUTED_VALUE"""),"Beefood - Sistema Para Restaurantes")</f>
        <v>Beefood - Sistema Para Restaurantes</v>
      </c>
      <c r="V9301" s="33">
        <f>IFERROR(__xludf.DUMMYFUNCTION("""COMPUTED_VALUE"""),1.0)</f>
        <v>1</v>
      </c>
      <c r="W9301" s="4" t="str">
        <f>IFERROR(__xludf.DUMMYFUNCTION("""COMPUTED_VALUE"""),"null")</f>
        <v>null</v>
      </c>
      <c r="X9301" s="33">
        <f>IFERROR(__xludf.DUMMYFUNCTION("""COMPUTED_VALUE"""),1.0)</f>
        <v>1</v>
      </c>
    </row>
    <row r="9302">
      <c r="K9302" s="4" t="str">
        <f>IFERROR(__xludf.DUMMYFUNCTION("""COMPUTED_VALUE"""),"BEE BURGER")</f>
        <v>BEE BURGER</v>
      </c>
      <c r="L9302" s="32">
        <f>IFERROR(__xludf.DUMMYFUNCTION("""COMPUTED_VALUE"""),1.0)</f>
        <v>1</v>
      </c>
      <c r="M9302" s="4" t="str">
        <f>IFERROR(__xludf.DUMMYFUNCTION("""COMPUTED_VALUE"""),"Ncr")</f>
        <v>Ncr</v>
      </c>
      <c r="N9302" s="33">
        <f>IFERROR(__xludf.DUMMYFUNCTION("""COMPUTED_VALUE"""),1.0)</f>
        <v>1</v>
      </c>
      <c r="O9302" s="4" t="str">
        <f>IFERROR(__xludf.DUMMYFUNCTION("""COMPUTED_VALUE"""),"null")</f>
        <v>null</v>
      </c>
      <c r="P9302" s="33">
        <f>IFERROR(__xludf.DUMMYFUNCTION("""COMPUTED_VALUE"""),1.0)</f>
        <v>1</v>
      </c>
      <c r="Q9302" s="4" t="str">
        <f>IFERROR(__xludf.DUMMYFUNCTION("""COMPUTED_VALUE"""),"null")</f>
        <v>null</v>
      </c>
      <c r="R9302" s="33">
        <f>IFERROR(__xludf.DUMMYFUNCTION("""COMPUTED_VALUE"""),1.0)</f>
        <v>1</v>
      </c>
      <c r="S9302" s="4" t="str">
        <f>IFERROR(__xludf.DUMMYFUNCTION("""COMPUTED_VALUE"""),"null")</f>
        <v>null</v>
      </c>
      <c r="T9302" s="33">
        <f>IFERROR(__xludf.DUMMYFUNCTION("""COMPUTED_VALUE"""),1.0)</f>
        <v>1</v>
      </c>
      <c r="U9302" s="4" t="str">
        <f>IFERROR(__xludf.DUMMYFUNCTION("""COMPUTED_VALUE"""),"null")</f>
        <v>null</v>
      </c>
      <c r="V9302" s="33">
        <f>IFERROR(__xludf.DUMMYFUNCTION("""COMPUTED_VALUE"""),1.0)</f>
        <v>1</v>
      </c>
      <c r="W9302" s="4" t="str">
        <f>IFERROR(__xludf.DUMMYFUNCTION("""COMPUTED_VALUE"""),"null")</f>
        <v>null</v>
      </c>
      <c r="X9302" s="33">
        <f>IFERROR(__xludf.DUMMYFUNCTION("""COMPUTED_VALUE"""),1.0)</f>
        <v>1</v>
      </c>
    </row>
    <row r="9303">
      <c r="K9303" s="4" t="str">
        <f>IFERROR(__xludf.DUMMYFUNCTION("""COMPUTED_VALUE"""),"DOCES DA CASA - BOLOS, DOCES E COXINHAS")</f>
        <v>DOCES DA CASA - BOLOS, DOCES E COXINHAS</v>
      </c>
      <c r="L9303" s="32">
        <f>IFERROR(__xludf.DUMMYFUNCTION("""COMPUTED_VALUE"""),1.0)</f>
        <v>1</v>
      </c>
      <c r="M9303" s="4" t="str">
        <f>IFERROR(__xludf.DUMMYFUNCTION("""COMPUTED_VALUE"""),"null")</f>
        <v>null</v>
      </c>
      <c r="N9303" s="33">
        <f>IFERROR(__xludf.DUMMYFUNCTION("""COMPUTED_VALUE"""),1.0)</f>
        <v>1</v>
      </c>
      <c r="O9303" s="4" t="str">
        <f>IFERROR(__xludf.DUMMYFUNCTION("""COMPUTED_VALUE"""),"Brendi")</f>
        <v>Brendi</v>
      </c>
      <c r="P9303" s="33">
        <f>IFERROR(__xludf.DUMMYFUNCTION("""COMPUTED_VALUE"""),1.0)</f>
        <v>1</v>
      </c>
      <c r="Q9303" s="4" t="str">
        <f>IFERROR(__xludf.DUMMYFUNCTION("""COMPUTED_VALUE"""),"null")</f>
        <v>null</v>
      </c>
      <c r="R9303" s="33">
        <f>IFERROR(__xludf.DUMMYFUNCTION("""COMPUTED_VALUE"""),1.0)</f>
        <v>1</v>
      </c>
      <c r="S9303" s="4" t="str">
        <f>IFERROR(__xludf.DUMMYFUNCTION("""COMPUTED_VALUE"""),"null")</f>
        <v>null</v>
      </c>
      <c r="T9303" s="33">
        <f>IFERROR(__xludf.DUMMYFUNCTION("""COMPUTED_VALUE"""),1.0)</f>
        <v>1</v>
      </c>
      <c r="U9303" s="4" t="str">
        <f>IFERROR(__xludf.DUMMYFUNCTION("""COMPUTED_VALUE"""),"null")</f>
        <v>null</v>
      </c>
      <c r="V9303" s="33">
        <f>IFERROR(__xludf.DUMMYFUNCTION("""COMPUTED_VALUE"""),1.0)</f>
        <v>1</v>
      </c>
      <c r="W9303" s="4" t="str">
        <f>IFERROR(__xludf.DUMMYFUNCTION("""COMPUTED_VALUE"""),"null")</f>
        <v>null</v>
      </c>
      <c r="X9303" s="33">
        <f>IFERROR(__xludf.DUMMYFUNCTION("""COMPUTED_VALUE"""),1.0)</f>
        <v>1</v>
      </c>
    </row>
    <row r="9304">
      <c r="K9304" s="4" t="str">
        <f>IFERROR(__xludf.DUMMYFUNCTION("""COMPUTED_VALUE"""),"MACA VERDE")</f>
        <v>MACA VERDE</v>
      </c>
      <c r="L9304" s="32">
        <f>IFERROR(__xludf.DUMMYFUNCTION("""COMPUTED_VALUE"""),1.0)</f>
        <v>1</v>
      </c>
      <c r="M9304" s="4" t="str">
        <f>IFERROR(__xludf.DUMMYFUNCTION("""COMPUTED_VALUE"""),"N/A (Not found)")</f>
        <v>N/A (Not found)</v>
      </c>
      <c r="N9304" s="33">
        <f>IFERROR(__xludf.DUMMYFUNCTION("""COMPUTED_VALUE"""),1.0)</f>
        <v>1</v>
      </c>
      <c r="O9304" s="4" t="str">
        <f>IFERROR(__xludf.DUMMYFUNCTION("""COMPUTED_VALUE"""),"N/A (Not found)")</f>
        <v>N/A (Not found)</v>
      </c>
      <c r="P9304" s="33">
        <f>IFERROR(__xludf.DUMMYFUNCTION("""COMPUTED_VALUE"""),1.0)</f>
        <v>1</v>
      </c>
      <c r="Q9304" s="4" t="str">
        <f>IFERROR(__xludf.DUMMYFUNCTION("""COMPUTED_VALUE"""),"N/A (Not found)")</f>
        <v>N/A (Not found)</v>
      </c>
      <c r="R9304" s="33">
        <f>IFERROR(__xludf.DUMMYFUNCTION("""COMPUTED_VALUE"""),1.0)</f>
        <v>1</v>
      </c>
      <c r="S9304" s="4" t="str">
        <f>IFERROR(__xludf.DUMMYFUNCTION("""COMPUTED_VALUE"""),"N/A (Not found)")</f>
        <v>N/A (Not found)</v>
      </c>
      <c r="T9304" s="33">
        <f>IFERROR(__xludf.DUMMYFUNCTION("""COMPUTED_VALUE"""),1.0)</f>
        <v>1</v>
      </c>
      <c r="U9304" s="4" t="str">
        <f>IFERROR(__xludf.DUMMYFUNCTION("""COMPUTED_VALUE"""),"N/A (Not found)")</f>
        <v>N/A (Not found)</v>
      </c>
      <c r="V9304" s="33">
        <f>IFERROR(__xludf.DUMMYFUNCTION("""COMPUTED_VALUE"""),1.0)</f>
        <v>1</v>
      </c>
      <c r="W9304" s="4" t="str">
        <f>IFERROR(__xludf.DUMMYFUNCTION("""COMPUTED_VALUE"""),"N/A (Not found)")</f>
        <v>N/A (Not found)</v>
      </c>
      <c r="X9304" s="33">
        <f>IFERROR(__xludf.DUMMYFUNCTION("""COMPUTED_VALUE"""),1.0)</f>
        <v>1</v>
      </c>
    </row>
    <row r="9305">
      <c r="K9305" s="4" t="str">
        <f>IFERROR(__xludf.DUMMYFUNCTION("""COMPUTED_VALUE"""),"LANCHONETE TASTY BURGUER")</f>
        <v>LANCHONETE TASTY BURGUER</v>
      </c>
      <c r="L9305" s="32">
        <f>IFERROR(__xludf.DUMMYFUNCTION("""COMPUTED_VALUE"""),1.0)</f>
        <v>1</v>
      </c>
      <c r="M9305" s="4" t="str">
        <f>IFERROR(__xludf.DUMMYFUNCTION("""COMPUTED_VALUE"""),"null")</f>
        <v>null</v>
      </c>
      <c r="N9305" s="33">
        <f>IFERROR(__xludf.DUMMYFUNCTION("""COMPUTED_VALUE"""),1.0)</f>
        <v>1</v>
      </c>
      <c r="O9305" s="4" t="str">
        <f>IFERROR(__xludf.DUMMYFUNCTION("""COMPUTED_VALUE"""),"null")</f>
        <v>null</v>
      </c>
      <c r="P9305" s="33">
        <f>IFERROR(__xludf.DUMMYFUNCTION("""COMPUTED_VALUE"""),1.0)</f>
        <v>1</v>
      </c>
      <c r="Q9305" s="4" t="str">
        <f>IFERROR(__xludf.DUMMYFUNCTION("""COMPUTED_VALUE"""),"null")</f>
        <v>null</v>
      </c>
      <c r="R9305" s="33">
        <f>IFERROR(__xludf.DUMMYFUNCTION("""COMPUTED_VALUE"""),1.0)</f>
        <v>1</v>
      </c>
      <c r="S9305" s="4" t="str">
        <f>IFERROR(__xludf.DUMMYFUNCTION("""COMPUTED_VALUE"""),"null")</f>
        <v>null</v>
      </c>
      <c r="T9305" s="33">
        <f>IFERROR(__xludf.DUMMYFUNCTION("""COMPUTED_VALUE"""),1.0)</f>
        <v>1</v>
      </c>
      <c r="U9305" s="4" t="str">
        <f>IFERROR(__xludf.DUMMYFUNCTION("""COMPUTED_VALUE"""),"null")</f>
        <v>null</v>
      </c>
      <c r="V9305" s="33">
        <f>IFERROR(__xludf.DUMMYFUNCTION("""COMPUTED_VALUE"""),1.0)</f>
        <v>1</v>
      </c>
      <c r="W9305" s="4" t="str">
        <f>IFERROR(__xludf.DUMMYFUNCTION("""COMPUTED_VALUE"""),"Anota Ai Solucoes Digitais S/a")</f>
        <v>Anota Ai Solucoes Digitais S/a</v>
      </c>
      <c r="X9305" s="33">
        <f>IFERROR(__xludf.DUMMYFUNCTION("""COMPUTED_VALUE"""),1.0)</f>
        <v>1</v>
      </c>
    </row>
    <row r="9306">
      <c r="K9306" s="4" t="str">
        <f>IFERROR(__xludf.DUMMYFUNCTION("""COMPUTED_VALUE"""),"MISTER DOG E LANCHES")</f>
        <v>MISTER DOG E LANCHES</v>
      </c>
      <c r="L9306" s="32">
        <f>IFERROR(__xludf.DUMMYFUNCTION("""COMPUTED_VALUE"""),1.0)</f>
        <v>1</v>
      </c>
      <c r="M9306" s="4" t="str">
        <f>IFERROR(__xludf.DUMMYFUNCTION("""COMPUTED_VALUE"""),"null")</f>
        <v>null</v>
      </c>
      <c r="N9306" s="33">
        <f>IFERROR(__xludf.DUMMYFUNCTION("""COMPUTED_VALUE"""),1.0)</f>
        <v>1</v>
      </c>
      <c r="O9306" s="4" t="str">
        <f>IFERROR(__xludf.DUMMYFUNCTION("""COMPUTED_VALUE"""),"null")</f>
        <v>null</v>
      </c>
      <c r="P9306" s="33">
        <f>IFERROR(__xludf.DUMMYFUNCTION("""COMPUTED_VALUE"""),1.0)</f>
        <v>1</v>
      </c>
      <c r="Q9306" s="4" t="str">
        <f>IFERROR(__xludf.DUMMYFUNCTION("""COMPUTED_VALUE"""),"null")</f>
        <v>null</v>
      </c>
      <c r="R9306" s="33">
        <f>IFERROR(__xludf.DUMMYFUNCTION("""COMPUTED_VALUE"""),1.0)</f>
        <v>1</v>
      </c>
      <c r="S9306" s="4" t="str">
        <f>IFERROR(__xludf.DUMMYFUNCTION("""COMPUTED_VALUE"""),"null")</f>
        <v>null</v>
      </c>
      <c r="T9306" s="33">
        <f>IFERROR(__xludf.DUMMYFUNCTION("""COMPUTED_VALUE"""),1.0)</f>
        <v>1</v>
      </c>
      <c r="U9306" s="4" t="str">
        <f>IFERROR(__xludf.DUMMYFUNCTION("""COMPUTED_VALUE"""),"null")</f>
        <v>null</v>
      </c>
      <c r="V9306" s="33">
        <f>IFERROR(__xludf.DUMMYFUNCTION("""COMPUTED_VALUE"""),1.0)</f>
        <v>1</v>
      </c>
      <c r="W9306" s="4" t="str">
        <f>IFERROR(__xludf.DUMMYFUNCTION("""COMPUTED_VALUE"""),"Beefood - Sistema Para Restaurantes")</f>
        <v>Beefood - Sistema Para Restaurantes</v>
      </c>
      <c r="X9306" s="33">
        <f>IFERROR(__xludf.DUMMYFUNCTION("""COMPUTED_VALUE"""),1.0)</f>
        <v>1</v>
      </c>
    </row>
    <row r="9307">
      <c r="K9307" s="4" t="str">
        <f>IFERROR(__xludf.DUMMYFUNCTION("""COMPUTED_VALUE"""),"TOKA DO CUSTODIO - LANCHES E ACAI")</f>
        <v>TOKA DO CUSTODIO - LANCHES E ACAI</v>
      </c>
      <c r="L9307" s="32">
        <f>IFERROR(__xludf.DUMMYFUNCTION("""COMPUTED_VALUE"""),1.0)</f>
        <v>1</v>
      </c>
      <c r="M9307" s="4" t="str">
        <f>IFERROR(__xludf.DUMMYFUNCTION("""COMPUTED_VALUE"""),"Saipos Serviços De Software")</f>
        <v>Saipos Serviços De Software</v>
      </c>
      <c r="N9307" s="33">
        <f>IFERROR(__xludf.DUMMYFUNCTION("""COMPUTED_VALUE"""),1.0)</f>
        <v>1</v>
      </c>
      <c r="O9307" s="4" t="str">
        <f>IFERROR(__xludf.DUMMYFUNCTION("""COMPUTED_VALUE"""),"Saipos Serviços De Software")</f>
        <v>Saipos Serviços De Software</v>
      </c>
      <c r="P9307" s="33">
        <f>IFERROR(__xludf.DUMMYFUNCTION("""COMPUTED_VALUE"""),1.0)</f>
        <v>1</v>
      </c>
      <c r="Q9307" s="4" t="str">
        <f>IFERROR(__xludf.DUMMYFUNCTION("""COMPUTED_VALUE"""),"Saipos Serviços De Software")</f>
        <v>Saipos Serviços De Software</v>
      </c>
      <c r="R9307" s="33">
        <f>IFERROR(__xludf.DUMMYFUNCTION("""COMPUTED_VALUE"""),1.0)</f>
        <v>1</v>
      </c>
      <c r="S9307" s="4" t="str">
        <f>IFERROR(__xludf.DUMMYFUNCTION("""COMPUTED_VALUE"""),"Saipos Serviços De Software")</f>
        <v>Saipos Serviços De Software</v>
      </c>
      <c r="T9307" s="33">
        <f>IFERROR(__xludf.DUMMYFUNCTION("""COMPUTED_VALUE"""),1.0)</f>
        <v>1</v>
      </c>
      <c r="U9307" s="4" t="str">
        <f>IFERROR(__xludf.DUMMYFUNCTION("""COMPUTED_VALUE"""),"Saipos Serviços De Software")</f>
        <v>Saipos Serviços De Software</v>
      </c>
      <c r="V9307" s="33">
        <f>IFERROR(__xludf.DUMMYFUNCTION("""COMPUTED_VALUE"""),1.0)</f>
        <v>1</v>
      </c>
      <c r="W9307" s="4" t="str">
        <f>IFERROR(__xludf.DUMMYFUNCTION("""COMPUTED_VALUE"""),"Saipos Serviços De Software")</f>
        <v>Saipos Serviços De Software</v>
      </c>
      <c r="X9307" s="33">
        <f>IFERROR(__xludf.DUMMYFUNCTION("""COMPUTED_VALUE"""),1.0)</f>
        <v>1</v>
      </c>
    </row>
    <row r="9308">
      <c r="K9308" s="4" t="str">
        <f>IFERROR(__xludf.DUMMYFUNCTION("""COMPUTED_VALUE"""),"AGRIDOCE BISTRO")</f>
        <v>AGRIDOCE BISTRO</v>
      </c>
      <c r="L9308" s="32">
        <f>IFERROR(__xludf.DUMMYFUNCTION("""COMPUTED_VALUE"""),1.0)</f>
        <v>1</v>
      </c>
      <c r="M9308" s="4" t="str">
        <f>IFERROR(__xludf.DUMMYFUNCTION("""COMPUTED_VALUE"""),"null")</f>
        <v>null</v>
      </c>
      <c r="N9308" s="33">
        <f>IFERROR(__xludf.DUMMYFUNCTION("""COMPUTED_VALUE"""),1.0)</f>
        <v>1</v>
      </c>
      <c r="O9308" s="4" t="str">
        <f>IFERROR(__xludf.DUMMYFUNCTION("""COMPUTED_VALUE"""),"null")</f>
        <v>null</v>
      </c>
      <c r="P9308" s="33">
        <f>IFERROR(__xludf.DUMMYFUNCTION("""COMPUTED_VALUE"""),1.0)</f>
        <v>1</v>
      </c>
      <c r="Q9308" s="4" t="str">
        <f>IFERROR(__xludf.DUMMYFUNCTION("""COMPUTED_VALUE"""),"null")</f>
        <v>null</v>
      </c>
      <c r="R9308" s="33">
        <f>IFERROR(__xludf.DUMMYFUNCTION("""COMPUTED_VALUE"""),1.0)</f>
        <v>1</v>
      </c>
      <c r="S9308" s="4" t="str">
        <f>IFERROR(__xludf.DUMMYFUNCTION("""COMPUTED_VALUE"""),"Saipos Serviços De Software")</f>
        <v>Saipos Serviços De Software</v>
      </c>
      <c r="T9308" s="33">
        <f>IFERROR(__xludf.DUMMYFUNCTION("""COMPUTED_VALUE"""),1.0)</f>
        <v>1</v>
      </c>
      <c r="U9308" s="4" t="str">
        <f>IFERROR(__xludf.DUMMYFUNCTION("""COMPUTED_VALUE"""),"Saipos Serviços De Software")</f>
        <v>Saipos Serviços De Software</v>
      </c>
      <c r="V9308" s="33">
        <f>IFERROR(__xludf.DUMMYFUNCTION("""COMPUTED_VALUE"""),1.0)</f>
        <v>1</v>
      </c>
      <c r="W9308" s="4" t="str">
        <f>IFERROR(__xludf.DUMMYFUNCTION("""COMPUTED_VALUE"""),"Saipos Serviços De Software")</f>
        <v>Saipos Serviços De Software</v>
      </c>
      <c r="X9308" s="33">
        <f>IFERROR(__xludf.DUMMYFUNCTION("""COMPUTED_VALUE"""),1.0)</f>
        <v>1</v>
      </c>
    </row>
    <row r="9309">
      <c r="K9309" s="4" t="str">
        <f>IFERROR(__xludf.DUMMYFUNCTION("""COMPUTED_VALUE"""),"ROSE BOLOS DOCES E SALGADOS")</f>
        <v>ROSE BOLOS DOCES E SALGADOS</v>
      </c>
      <c r="L9309" s="32">
        <f>IFERROR(__xludf.DUMMYFUNCTION("""COMPUTED_VALUE"""),1.0)</f>
        <v>1</v>
      </c>
      <c r="M9309" s="4" t="str">
        <f>IFERROR(__xludf.DUMMYFUNCTION("""COMPUTED_VALUE"""),"null")</f>
        <v>null</v>
      </c>
      <c r="N9309" s="33">
        <f>IFERROR(__xludf.DUMMYFUNCTION("""COMPUTED_VALUE"""),1.0)</f>
        <v>1</v>
      </c>
      <c r="O9309" s="4" t="str">
        <f>IFERROR(__xludf.DUMMYFUNCTION("""COMPUTED_VALUE"""),"null")</f>
        <v>null</v>
      </c>
      <c r="P9309" s="33">
        <f>IFERROR(__xludf.DUMMYFUNCTION("""COMPUTED_VALUE"""),1.0)</f>
        <v>1</v>
      </c>
      <c r="Q9309" s="4" t="str">
        <f>IFERROR(__xludf.DUMMYFUNCTION("""COMPUTED_VALUE"""),"null")</f>
        <v>null</v>
      </c>
      <c r="R9309" s="33">
        <f>IFERROR(__xludf.DUMMYFUNCTION("""COMPUTED_VALUE"""),1.0)</f>
        <v>1</v>
      </c>
      <c r="S9309" s="4" t="str">
        <f>IFERROR(__xludf.DUMMYFUNCTION("""COMPUTED_VALUE"""),"Brendi")</f>
        <v>Brendi</v>
      </c>
      <c r="T9309" s="33">
        <f>IFERROR(__xludf.DUMMYFUNCTION("""COMPUTED_VALUE"""),1.0)</f>
        <v>1</v>
      </c>
      <c r="U9309" s="4" t="str">
        <f>IFERROR(__xludf.DUMMYFUNCTION("""COMPUTED_VALUE"""),"null")</f>
        <v>null</v>
      </c>
      <c r="V9309" s="33">
        <f>IFERROR(__xludf.DUMMYFUNCTION("""COMPUTED_VALUE"""),1.0)</f>
        <v>1</v>
      </c>
      <c r="W9309" s="4" t="str">
        <f>IFERROR(__xludf.DUMMYFUNCTION("""COMPUTED_VALUE"""),"null")</f>
        <v>null</v>
      </c>
      <c r="X9309" s="33">
        <f>IFERROR(__xludf.DUMMYFUNCTION("""COMPUTED_VALUE"""),1.0)</f>
        <v>1</v>
      </c>
    </row>
    <row r="9310">
      <c r="K9310" s="4" t="str">
        <f>IFERROR(__xludf.DUMMYFUNCTION("""COMPUTED_VALUE"""),"CANTINHO PIZZARIA E BURGUERIA - PIZZA - HAMBURGUER")</f>
        <v>CANTINHO PIZZARIA E BURGUERIA - PIZZA - HAMBURGUER</v>
      </c>
      <c r="L9310" s="32">
        <f>IFERROR(__xludf.DUMMYFUNCTION("""COMPUTED_VALUE"""),1.0)</f>
        <v>1</v>
      </c>
      <c r="M9310" s="4" t="str">
        <f>IFERROR(__xludf.DUMMYFUNCTION("""COMPUTED_VALUE"""),"Cardápio Web")</f>
        <v>Cardápio Web</v>
      </c>
      <c r="N9310" s="33">
        <f>IFERROR(__xludf.DUMMYFUNCTION("""COMPUTED_VALUE"""),1.0)</f>
        <v>1</v>
      </c>
      <c r="O9310" s="4" t="str">
        <f>IFERROR(__xludf.DUMMYFUNCTION("""COMPUTED_VALUE"""),"Cardápio Web")</f>
        <v>Cardápio Web</v>
      </c>
      <c r="P9310" s="33">
        <f>IFERROR(__xludf.DUMMYFUNCTION("""COMPUTED_VALUE"""),1.0)</f>
        <v>1</v>
      </c>
      <c r="Q9310" s="4" t="str">
        <f>IFERROR(__xludf.DUMMYFUNCTION("""COMPUTED_VALUE"""),"Cardápio Web")</f>
        <v>Cardápio Web</v>
      </c>
      <c r="R9310" s="33">
        <f>IFERROR(__xludf.DUMMYFUNCTION("""COMPUTED_VALUE"""),1.0)</f>
        <v>1</v>
      </c>
      <c r="S9310" s="4" t="str">
        <f>IFERROR(__xludf.DUMMYFUNCTION("""COMPUTED_VALUE"""),"Cardápio Web")</f>
        <v>Cardápio Web</v>
      </c>
      <c r="T9310" s="33">
        <f>IFERROR(__xludf.DUMMYFUNCTION("""COMPUTED_VALUE"""),1.0)</f>
        <v>1</v>
      </c>
      <c r="U9310" s="4" t="str">
        <f>IFERROR(__xludf.DUMMYFUNCTION("""COMPUTED_VALUE"""),"Cardápio Web")</f>
        <v>Cardápio Web</v>
      </c>
      <c r="V9310" s="33">
        <f>IFERROR(__xludf.DUMMYFUNCTION("""COMPUTED_VALUE"""),1.0)</f>
        <v>1</v>
      </c>
      <c r="W9310" s="4" t="str">
        <f>IFERROR(__xludf.DUMMYFUNCTION("""COMPUTED_VALUE"""),"Cardápio Web")</f>
        <v>Cardápio Web</v>
      </c>
      <c r="X9310" s="33">
        <f>IFERROR(__xludf.DUMMYFUNCTION("""COMPUTED_VALUE"""),1.0)</f>
        <v>1</v>
      </c>
    </row>
    <row r="9311">
      <c r="K9311" s="4" t="str">
        <f>IFERROR(__xludf.DUMMYFUNCTION("""COMPUTED_VALUE"""),"COMPANHIA DO LANCHE")</f>
        <v>COMPANHIA DO LANCHE</v>
      </c>
      <c r="L9311" s="32">
        <f>IFERROR(__xludf.DUMMYFUNCTION("""COMPUTED_VALUE"""),1.0)</f>
        <v>1</v>
      </c>
      <c r="M9311" s="4" t="str">
        <f>IFERROR(__xludf.DUMMYFUNCTION("""COMPUTED_VALUE"""),"Gdoor Sistemas")</f>
        <v>Gdoor Sistemas</v>
      </c>
      <c r="N9311" s="33">
        <f>IFERROR(__xludf.DUMMYFUNCTION("""COMPUTED_VALUE"""),1.0)</f>
        <v>1</v>
      </c>
      <c r="O9311" s="4" t="str">
        <f>IFERROR(__xludf.DUMMYFUNCTION("""COMPUTED_VALUE"""),"Gdoor Sistemas")</f>
        <v>Gdoor Sistemas</v>
      </c>
      <c r="P9311" s="33">
        <f>IFERROR(__xludf.DUMMYFUNCTION("""COMPUTED_VALUE"""),1.0)</f>
        <v>1</v>
      </c>
      <c r="Q9311" s="4" t="str">
        <f>IFERROR(__xludf.DUMMYFUNCTION("""COMPUTED_VALUE"""),"Gdoor Sistemas")</f>
        <v>Gdoor Sistemas</v>
      </c>
      <c r="R9311" s="33">
        <f>IFERROR(__xludf.DUMMYFUNCTION("""COMPUTED_VALUE"""),1.0)</f>
        <v>1</v>
      </c>
      <c r="S9311" s="4" t="str">
        <f>IFERROR(__xludf.DUMMYFUNCTION("""COMPUTED_VALUE"""),"null")</f>
        <v>null</v>
      </c>
      <c r="T9311" s="33">
        <f>IFERROR(__xludf.DUMMYFUNCTION("""COMPUTED_VALUE"""),1.0)</f>
        <v>1</v>
      </c>
      <c r="U9311" s="4" t="str">
        <f>IFERROR(__xludf.DUMMYFUNCTION("""COMPUTED_VALUE"""),"Gdoor Sistemas")</f>
        <v>Gdoor Sistemas</v>
      </c>
      <c r="V9311" s="33">
        <f>IFERROR(__xludf.DUMMYFUNCTION("""COMPUTED_VALUE"""),1.0)</f>
        <v>1</v>
      </c>
      <c r="W9311" s="4" t="str">
        <f>IFERROR(__xludf.DUMMYFUNCTION("""COMPUTED_VALUE"""),"Gdoor Sistemas")</f>
        <v>Gdoor Sistemas</v>
      </c>
      <c r="X9311" s="33">
        <f>IFERROR(__xludf.DUMMYFUNCTION("""COMPUTED_VALUE"""),1.0)</f>
        <v>1</v>
      </c>
    </row>
    <row r="9312">
      <c r="K9312" s="4" t="str">
        <f>IFERROR(__xludf.DUMMYFUNCTION("""COMPUTED_VALUE"""),"LANCHONETE CANAA")</f>
        <v>LANCHONETE CANAA</v>
      </c>
      <c r="L9312" s="32">
        <f>IFERROR(__xludf.DUMMYFUNCTION("""COMPUTED_VALUE"""),1.0)</f>
        <v>1</v>
      </c>
      <c r="M9312" s="4" t="str">
        <f>IFERROR(__xludf.DUMMYFUNCTION("""COMPUTED_VALUE"""),"null")</f>
        <v>null</v>
      </c>
      <c r="N9312" s="33">
        <f>IFERROR(__xludf.DUMMYFUNCTION("""COMPUTED_VALUE"""),1.0)</f>
        <v>1</v>
      </c>
      <c r="O9312" s="4" t="str">
        <f>IFERROR(__xludf.DUMMYFUNCTION("""COMPUTED_VALUE"""),"null")</f>
        <v>null</v>
      </c>
      <c r="P9312" s="33">
        <f>IFERROR(__xludf.DUMMYFUNCTION("""COMPUTED_VALUE"""),1.0)</f>
        <v>1</v>
      </c>
      <c r="Q9312" s="4" t="str">
        <f>IFERROR(__xludf.DUMMYFUNCTION("""COMPUTED_VALUE"""),"null")</f>
        <v>null</v>
      </c>
      <c r="R9312" s="33">
        <f>IFERROR(__xludf.DUMMYFUNCTION("""COMPUTED_VALUE"""),1.0)</f>
        <v>1</v>
      </c>
      <c r="S9312" s="4" t="str">
        <f>IFERROR(__xludf.DUMMYFUNCTION("""COMPUTED_VALUE"""),"null")</f>
        <v>null</v>
      </c>
      <c r="T9312" s="33">
        <f>IFERROR(__xludf.DUMMYFUNCTION("""COMPUTED_VALUE"""),1.0)</f>
        <v>1</v>
      </c>
      <c r="U9312" s="4" t="str">
        <f>IFERROR(__xludf.DUMMYFUNCTION("""COMPUTED_VALUE"""),"null")</f>
        <v>null</v>
      </c>
      <c r="V9312" s="33">
        <f>IFERROR(__xludf.DUMMYFUNCTION("""COMPUTED_VALUE"""),1.0)</f>
        <v>1</v>
      </c>
      <c r="W9312" s="4" t="str">
        <f>IFERROR(__xludf.DUMMYFUNCTION("""COMPUTED_VALUE"""),"Instadelivery")</f>
        <v>Instadelivery</v>
      </c>
      <c r="X9312" s="33">
        <f>IFERROR(__xludf.DUMMYFUNCTION("""COMPUTED_VALUE"""),1.0)</f>
        <v>1</v>
      </c>
    </row>
    <row r="9313">
      <c r="K9313" s="4" t="str">
        <f>IFERROR(__xludf.DUMMYFUNCTION("""COMPUTED_VALUE"""),"VILLAGGIO PIZZAS")</f>
        <v>VILLAGGIO PIZZAS</v>
      </c>
      <c r="L9313" s="32">
        <f>IFERROR(__xludf.DUMMYFUNCTION("""COMPUTED_VALUE"""),1.0)</f>
        <v>1</v>
      </c>
      <c r="M9313" s="4" t="str">
        <f>IFERROR(__xludf.DUMMYFUNCTION("""COMPUTED_VALUE"""),"Anota Ai Solucoes Digitais S/a")</f>
        <v>Anota Ai Solucoes Digitais S/a</v>
      </c>
      <c r="N9313" s="33">
        <f>IFERROR(__xludf.DUMMYFUNCTION("""COMPUTED_VALUE"""),1.0)</f>
        <v>1</v>
      </c>
      <c r="O9313" s="4" t="str">
        <f>IFERROR(__xludf.DUMMYFUNCTION("""COMPUTED_VALUE"""),"Anota Ai Solucoes Digitais S/a")</f>
        <v>Anota Ai Solucoes Digitais S/a</v>
      </c>
      <c r="P9313" s="33">
        <f>IFERROR(__xludf.DUMMYFUNCTION("""COMPUTED_VALUE"""),1.0)</f>
        <v>1</v>
      </c>
      <c r="Q9313" s="4" t="str">
        <f>IFERROR(__xludf.DUMMYFUNCTION("""COMPUTED_VALUE"""),"null")</f>
        <v>null</v>
      </c>
      <c r="R9313" s="33">
        <f>IFERROR(__xludf.DUMMYFUNCTION("""COMPUTED_VALUE"""),1.0)</f>
        <v>1</v>
      </c>
      <c r="S9313" s="4" t="str">
        <f>IFERROR(__xludf.DUMMYFUNCTION("""COMPUTED_VALUE"""),"null")</f>
        <v>null</v>
      </c>
      <c r="T9313" s="33">
        <f>IFERROR(__xludf.DUMMYFUNCTION("""COMPUTED_VALUE"""),1.0)</f>
        <v>1</v>
      </c>
      <c r="U9313" s="4" t="str">
        <f>IFERROR(__xludf.DUMMYFUNCTION("""COMPUTED_VALUE"""),"Anota Ai Solucoes Digitais S/a")</f>
        <v>Anota Ai Solucoes Digitais S/a</v>
      </c>
      <c r="V9313" s="33">
        <f>IFERROR(__xludf.DUMMYFUNCTION("""COMPUTED_VALUE"""),1.0)</f>
        <v>1</v>
      </c>
      <c r="W9313" s="4" t="str">
        <f>IFERROR(__xludf.DUMMYFUNCTION("""COMPUTED_VALUE"""),"Anota Ai Solucoes Digitais S/a")</f>
        <v>Anota Ai Solucoes Digitais S/a</v>
      </c>
      <c r="X9313" s="33">
        <f>IFERROR(__xludf.DUMMYFUNCTION("""COMPUTED_VALUE"""),1.0)</f>
        <v>1</v>
      </c>
    </row>
    <row r="9314">
      <c r="K9314" s="4" t="str">
        <f>IFERROR(__xludf.DUMMYFUNCTION("""COMPUTED_VALUE"""),"JF FARMA")</f>
        <v>JF FARMA</v>
      </c>
      <c r="L9314" s="32">
        <f>IFERROR(__xludf.DUMMYFUNCTION("""COMPUTED_VALUE"""),1.0)</f>
        <v>1</v>
      </c>
      <c r="M9314" s="4" t="str">
        <f>IFERROR(__xludf.DUMMYFUNCTION("""COMPUTED_VALUE"""),"N/A (Not found)")</f>
        <v>N/A (Not found)</v>
      </c>
      <c r="N9314" s="33">
        <f>IFERROR(__xludf.DUMMYFUNCTION("""COMPUTED_VALUE"""),1.0)</f>
        <v>1</v>
      </c>
      <c r="O9314" s="4" t="str">
        <f>IFERROR(__xludf.DUMMYFUNCTION("""COMPUTED_VALUE"""),"N/A (Not found)")</f>
        <v>N/A (Not found)</v>
      </c>
      <c r="P9314" s="33">
        <f>IFERROR(__xludf.DUMMYFUNCTION("""COMPUTED_VALUE"""),1.0)</f>
        <v>1</v>
      </c>
      <c r="Q9314" s="4" t="str">
        <f>IFERROR(__xludf.DUMMYFUNCTION("""COMPUTED_VALUE"""),"N/A (Not found)")</f>
        <v>N/A (Not found)</v>
      </c>
      <c r="R9314" s="33">
        <f>IFERROR(__xludf.DUMMYFUNCTION("""COMPUTED_VALUE"""),1.0)</f>
        <v>1</v>
      </c>
      <c r="S9314" s="4" t="str">
        <f>IFERROR(__xludf.DUMMYFUNCTION("""COMPUTED_VALUE"""),"N/A (Not found)")</f>
        <v>N/A (Not found)</v>
      </c>
      <c r="T9314" s="33">
        <f>IFERROR(__xludf.DUMMYFUNCTION("""COMPUTED_VALUE"""),1.0)</f>
        <v>1</v>
      </c>
      <c r="U9314" s="4" t="str">
        <f>IFERROR(__xludf.DUMMYFUNCTION("""COMPUTED_VALUE"""),"N/A (Not found)")</f>
        <v>N/A (Not found)</v>
      </c>
      <c r="V9314" s="33">
        <f>IFERROR(__xludf.DUMMYFUNCTION("""COMPUTED_VALUE"""),1.0)</f>
        <v>1</v>
      </c>
      <c r="W9314" s="4" t="str">
        <f>IFERROR(__xludf.DUMMYFUNCTION("""COMPUTED_VALUE"""),"N/A (Not found)")</f>
        <v>N/A (Not found)</v>
      </c>
      <c r="X9314" s="33">
        <f>IFERROR(__xludf.DUMMYFUNCTION("""COMPUTED_VALUE"""),1.0)</f>
        <v>1</v>
      </c>
    </row>
    <row r="9315">
      <c r="K9315" s="4" t="str">
        <f>IFERROR(__xludf.DUMMYFUNCTION("""COMPUTED_VALUE"""),"LEDA SAMPAIO CONFEITARIA")</f>
        <v>LEDA SAMPAIO CONFEITARIA</v>
      </c>
      <c r="L9315" s="32">
        <f>IFERROR(__xludf.DUMMYFUNCTION("""COMPUTED_VALUE"""),1.0)</f>
        <v>1</v>
      </c>
      <c r="M9315" s="4" t="str">
        <f>IFERROR(__xludf.DUMMYFUNCTION("""COMPUTED_VALUE"""),"null")</f>
        <v>null</v>
      </c>
      <c r="N9315" s="33">
        <f>IFERROR(__xludf.DUMMYFUNCTION("""COMPUTED_VALUE"""),1.0)</f>
        <v>1</v>
      </c>
      <c r="O9315" s="4" t="str">
        <f>IFERROR(__xludf.DUMMYFUNCTION("""COMPUTED_VALUE"""),"null")</f>
        <v>null</v>
      </c>
      <c r="P9315" s="33">
        <f>IFERROR(__xludf.DUMMYFUNCTION("""COMPUTED_VALUE"""),1.0)</f>
        <v>1</v>
      </c>
      <c r="Q9315" s="4" t="str">
        <f>IFERROR(__xludf.DUMMYFUNCTION("""COMPUTED_VALUE"""),"null")</f>
        <v>null</v>
      </c>
      <c r="R9315" s="33">
        <f>IFERROR(__xludf.DUMMYFUNCTION("""COMPUTED_VALUE"""),1.0)</f>
        <v>1</v>
      </c>
      <c r="S9315" s="4" t="str">
        <f>IFERROR(__xludf.DUMMYFUNCTION("""COMPUTED_VALUE"""),"null")</f>
        <v>null</v>
      </c>
      <c r="T9315" s="33">
        <f>IFERROR(__xludf.DUMMYFUNCTION("""COMPUTED_VALUE"""),1.0)</f>
        <v>1</v>
      </c>
      <c r="U9315" s="4" t="str">
        <f>IFERROR(__xludf.DUMMYFUNCTION("""COMPUTED_VALUE"""),"Saipos Serviços De Software")</f>
        <v>Saipos Serviços De Software</v>
      </c>
      <c r="V9315" s="33">
        <f>IFERROR(__xludf.DUMMYFUNCTION("""COMPUTED_VALUE"""),1.0)</f>
        <v>1</v>
      </c>
      <c r="W9315" s="4" t="str">
        <f>IFERROR(__xludf.DUMMYFUNCTION("""COMPUTED_VALUE"""),"Saipos Serviços De Software")</f>
        <v>Saipos Serviços De Software</v>
      </c>
      <c r="X9315" s="33">
        <f>IFERROR(__xludf.DUMMYFUNCTION("""COMPUTED_VALUE"""),1.0)</f>
        <v>1</v>
      </c>
    </row>
    <row r="9316">
      <c r="K9316" s="4" t="str">
        <f>IFERROR(__xludf.DUMMYFUNCTION("""COMPUTED_VALUE"""),"KANTINE GASTRONOMIA")</f>
        <v>KANTINE GASTRONOMIA</v>
      </c>
      <c r="L9316" s="32">
        <f>IFERROR(__xludf.DUMMYFUNCTION("""COMPUTED_VALUE"""),1.0)</f>
        <v>1</v>
      </c>
      <c r="M9316" s="4" t="str">
        <f>IFERROR(__xludf.DUMMYFUNCTION("""COMPUTED_VALUE"""),"Takeat Tecnologia")</f>
        <v>Takeat Tecnologia</v>
      </c>
      <c r="N9316" s="33">
        <f>IFERROR(__xludf.DUMMYFUNCTION("""COMPUTED_VALUE"""),1.0)</f>
        <v>1</v>
      </c>
      <c r="O9316" s="4" t="str">
        <f>IFERROR(__xludf.DUMMYFUNCTION("""COMPUTED_VALUE"""),"Takeat Tecnologia")</f>
        <v>Takeat Tecnologia</v>
      </c>
      <c r="P9316" s="33">
        <f>IFERROR(__xludf.DUMMYFUNCTION("""COMPUTED_VALUE"""),1.0)</f>
        <v>1</v>
      </c>
      <c r="Q9316" s="4" t="str">
        <f>IFERROR(__xludf.DUMMYFUNCTION("""COMPUTED_VALUE"""),"Takeat Tecnologia")</f>
        <v>Takeat Tecnologia</v>
      </c>
      <c r="R9316" s="33">
        <f>IFERROR(__xludf.DUMMYFUNCTION("""COMPUTED_VALUE"""),1.0)</f>
        <v>1</v>
      </c>
      <c r="S9316" s="4" t="str">
        <f>IFERROR(__xludf.DUMMYFUNCTION("""COMPUTED_VALUE"""),"Takeat Tecnologia")</f>
        <v>Takeat Tecnologia</v>
      </c>
      <c r="T9316" s="33">
        <f>IFERROR(__xludf.DUMMYFUNCTION("""COMPUTED_VALUE"""),1.0)</f>
        <v>1</v>
      </c>
      <c r="U9316" s="4" t="str">
        <f>IFERROR(__xludf.DUMMYFUNCTION("""COMPUTED_VALUE"""),"Takeat Tecnologia")</f>
        <v>Takeat Tecnologia</v>
      </c>
      <c r="V9316" s="33">
        <f>IFERROR(__xludf.DUMMYFUNCTION("""COMPUTED_VALUE"""),1.0)</f>
        <v>1</v>
      </c>
      <c r="W9316" s="4" t="str">
        <f>IFERROR(__xludf.DUMMYFUNCTION("""COMPUTED_VALUE"""),"Takeat Tecnologia")</f>
        <v>Takeat Tecnologia</v>
      </c>
      <c r="X9316" s="33">
        <f>IFERROR(__xludf.DUMMYFUNCTION("""COMPUTED_VALUE"""),1.0)</f>
        <v>1</v>
      </c>
    </row>
    <row r="9317">
      <c r="K9317" s="4" t="str">
        <f>IFERROR(__xludf.DUMMYFUNCTION("""COMPUTED_VALUE"""),"STREET SLICE PIZZA - CENTRO")</f>
        <v>STREET SLICE PIZZA - CENTRO</v>
      </c>
      <c r="L9317" s="32">
        <f>IFERROR(__xludf.DUMMYFUNCTION("""COMPUTED_VALUE"""),1.0)</f>
        <v>1</v>
      </c>
      <c r="M9317" s="4" t="str">
        <f>IFERROR(__xludf.DUMMYFUNCTION("""COMPUTED_VALUE"""),"Menew - Linx")</f>
        <v>Menew - Linx</v>
      </c>
      <c r="N9317" s="33">
        <f>IFERROR(__xludf.DUMMYFUNCTION("""COMPUTED_VALUE"""),1.0)</f>
        <v>1</v>
      </c>
      <c r="O9317" s="4" t="str">
        <f>IFERROR(__xludf.DUMMYFUNCTION("""COMPUTED_VALUE"""),"Menew - Linx")</f>
        <v>Menew - Linx</v>
      </c>
      <c r="P9317" s="33">
        <f>IFERROR(__xludf.DUMMYFUNCTION("""COMPUTED_VALUE"""),1.0)</f>
        <v>1</v>
      </c>
      <c r="Q9317" s="4" t="str">
        <f>IFERROR(__xludf.DUMMYFUNCTION("""COMPUTED_VALUE"""),"Menew - Linx")</f>
        <v>Menew - Linx</v>
      </c>
      <c r="R9317" s="33">
        <f>IFERROR(__xludf.DUMMYFUNCTION("""COMPUTED_VALUE"""),1.0)</f>
        <v>1</v>
      </c>
      <c r="S9317" s="4" t="str">
        <f>IFERROR(__xludf.DUMMYFUNCTION("""COMPUTED_VALUE"""),"Menew - Linx")</f>
        <v>Menew - Linx</v>
      </c>
      <c r="T9317" s="33">
        <f>IFERROR(__xludf.DUMMYFUNCTION("""COMPUTED_VALUE"""),1.0)</f>
        <v>1</v>
      </c>
      <c r="U9317" s="4" t="str">
        <f>IFERROR(__xludf.DUMMYFUNCTION("""COMPUTED_VALUE"""),"Menew - Linx")</f>
        <v>Menew - Linx</v>
      </c>
      <c r="V9317" s="33">
        <f>IFERROR(__xludf.DUMMYFUNCTION("""COMPUTED_VALUE"""),1.0)</f>
        <v>1</v>
      </c>
      <c r="W9317" s="4" t="str">
        <f>IFERROR(__xludf.DUMMYFUNCTION("""COMPUTED_VALUE"""),"Menew - Linx")</f>
        <v>Menew - Linx</v>
      </c>
      <c r="X9317" s="33">
        <f>IFERROR(__xludf.DUMMYFUNCTION("""COMPUTED_VALUE"""),1.0)</f>
        <v>1</v>
      </c>
    </row>
    <row r="9318">
      <c r="K9318" s="4" t="str">
        <f>IFERROR(__xludf.DUMMYFUNCTION("""COMPUTED_VALUE"""),"RESTAURANTE MACOCO")</f>
        <v>RESTAURANTE MACOCO</v>
      </c>
      <c r="L9318" s="32">
        <f>IFERROR(__xludf.DUMMYFUNCTION("""COMPUTED_VALUE"""),1.0)</f>
        <v>1</v>
      </c>
      <c r="M9318" s="4" t="str">
        <f>IFERROR(__xludf.DUMMYFUNCTION("""COMPUTED_VALUE"""),"Netcontroll Xmenu")</f>
        <v>Netcontroll Xmenu</v>
      </c>
      <c r="N9318" s="33">
        <f>IFERROR(__xludf.DUMMYFUNCTION("""COMPUTED_VALUE"""),1.0)</f>
        <v>1</v>
      </c>
      <c r="O9318" s="4" t="str">
        <f>IFERROR(__xludf.DUMMYFUNCTION("""COMPUTED_VALUE"""),"Netcontroll Xmenu")</f>
        <v>Netcontroll Xmenu</v>
      </c>
      <c r="P9318" s="33">
        <f>IFERROR(__xludf.DUMMYFUNCTION("""COMPUTED_VALUE"""),1.0)</f>
        <v>1</v>
      </c>
      <c r="Q9318" s="4" t="str">
        <f>IFERROR(__xludf.DUMMYFUNCTION("""COMPUTED_VALUE"""),"null")</f>
        <v>null</v>
      </c>
      <c r="R9318" s="33">
        <f>IFERROR(__xludf.DUMMYFUNCTION("""COMPUTED_VALUE"""),1.0)</f>
        <v>1</v>
      </c>
      <c r="S9318" s="4" t="str">
        <f>IFERROR(__xludf.DUMMYFUNCTION("""COMPUTED_VALUE"""),"null")</f>
        <v>null</v>
      </c>
      <c r="T9318" s="33">
        <f>IFERROR(__xludf.DUMMYFUNCTION("""COMPUTED_VALUE"""),1.0)</f>
        <v>1</v>
      </c>
      <c r="U9318" s="4" t="str">
        <f>IFERROR(__xludf.DUMMYFUNCTION("""COMPUTED_VALUE"""),"null")</f>
        <v>null</v>
      </c>
      <c r="V9318" s="33">
        <f>IFERROR(__xludf.DUMMYFUNCTION("""COMPUTED_VALUE"""),1.0)</f>
        <v>1</v>
      </c>
      <c r="W9318" s="4" t="str">
        <f>IFERROR(__xludf.DUMMYFUNCTION("""COMPUTED_VALUE"""),"null")</f>
        <v>null</v>
      </c>
      <c r="X9318" s="33">
        <f>IFERROR(__xludf.DUMMYFUNCTION("""COMPUTED_VALUE"""),1.0)</f>
        <v>1</v>
      </c>
    </row>
    <row r="9319">
      <c r="K9319" s="4" t="str">
        <f>IFERROR(__xludf.DUMMYFUNCTION("""COMPUTED_VALUE"""),"QUINTAL DO CHURRASCO")</f>
        <v>QUINTAL DO CHURRASCO</v>
      </c>
      <c r="L9319" s="32">
        <f>IFERROR(__xludf.DUMMYFUNCTION("""COMPUTED_VALUE"""),1.0)</f>
        <v>1</v>
      </c>
      <c r="M9319" s="4" t="str">
        <f>IFERROR(__xludf.DUMMYFUNCTION("""COMPUTED_VALUE"""),"Saipos Serviços De Software")</f>
        <v>Saipos Serviços De Software</v>
      </c>
      <c r="N9319" s="33">
        <f>IFERROR(__xludf.DUMMYFUNCTION("""COMPUTED_VALUE"""),1.0)</f>
        <v>1</v>
      </c>
      <c r="O9319" s="4" t="str">
        <f>IFERROR(__xludf.DUMMYFUNCTION("""COMPUTED_VALUE"""),"Saipos Serviços De Software")</f>
        <v>Saipos Serviços De Software</v>
      </c>
      <c r="P9319" s="33">
        <f>IFERROR(__xludf.DUMMYFUNCTION("""COMPUTED_VALUE"""),1.0)</f>
        <v>1</v>
      </c>
      <c r="Q9319" s="4" t="str">
        <f>IFERROR(__xludf.DUMMYFUNCTION("""COMPUTED_VALUE"""),"Saipos Serviços De Software")</f>
        <v>Saipos Serviços De Software</v>
      </c>
      <c r="R9319" s="33">
        <f>IFERROR(__xludf.DUMMYFUNCTION("""COMPUTED_VALUE"""),1.0)</f>
        <v>1</v>
      </c>
      <c r="S9319" s="4" t="str">
        <f>IFERROR(__xludf.DUMMYFUNCTION("""COMPUTED_VALUE"""),"Saipos Serviços De Software")</f>
        <v>Saipos Serviços De Software</v>
      </c>
      <c r="T9319" s="33">
        <f>IFERROR(__xludf.DUMMYFUNCTION("""COMPUTED_VALUE"""),1.0)</f>
        <v>1</v>
      </c>
      <c r="U9319" s="4" t="str">
        <f>IFERROR(__xludf.DUMMYFUNCTION("""COMPUTED_VALUE"""),"Saipos Serviços De Software")</f>
        <v>Saipos Serviços De Software</v>
      </c>
      <c r="V9319" s="33">
        <f>IFERROR(__xludf.DUMMYFUNCTION("""COMPUTED_VALUE"""),1.0)</f>
        <v>1</v>
      </c>
      <c r="W9319" s="4" t="str">
        <f>IFERROR(__xludf.DUMMYFUNCTION("""COMPUTED_VALUE"""),"Saipos Serviços De Software")</f>
        <v>Saipos Serviços De Software</v>
      </c>
      <c r="X9319" s="33">
        <f>IFERROR(__xludf.DUMMYFUNCTION("""COMPUTED_VALUE"""),1.0)</f>
        <v>1</v>
      </c>
    </row>
    <row r="9320">
      <c r="K9320" s="4" t="str">
        <f>IFERROR(__xludf.DUMMYFUNCTION("""COMPUTED_VALUE"""),"REI DO ACAI - LOJA 2 - ZONA 1")</f>
        <v>REI DO ACAI - LOJA 2 - ZONA 1</v>
      </c>
      <c r="L9320" s="32">
        <f>IFERROR(__xludf.DUMMYFUNCTION("""COMPUTED_VALUE"""),1.0)</f>
        <v>1</v>
      </c>
      <c r="M9320" s="4" t="str">
        <f>IFERROR(__xludf.DUMMYFUNCTION("""COMPUTED_VALUE"""),"Saipos Serviços De Software")</f>
        <v>Saipos Serviços De Software</v>
      </c>
      <c r="N9320" s="33">
        <f>IFERROR(__xludf.DUMMYFUNCTION("""COMPUTED_VALUE"""),1.0)</f>
        <v>1</v>
      </c>
      <c r="O9320" s="4" t="str">
        <f>IFERROR(__xludf.DUMMYFUNCTION("""COMPUTED_VALUE"""),"Saipos Serviços De Software")</f>
        <v>Saipos Serviços De Software</v>
      </c>
      <c r="P9320" s="33">
        <f>IFERROR(__xludf.DUMMYFUNCTION("""COMPUTED_VALUE"""),1.0)</f>
        <v>1</v>
      </c>
      <c r="Q9320" s="4" t="str">
        <f>IFERROR(__xludf.DUMMYFUNCTION("""COMPUTED_VALUE"""),"Saipos Serviços De Software")</f>
        <v>Saipos Serviços De Software</v>
      </c>
      <c r="R9320" s="33">
        <f>IFERROR(__xludf.DUMMYFUNCTION("""COMPUTED_VALUE"""),1.0)</f>
        <v>1</v>
      </c>
      <c r="S9320" s="4" t="str">
        <f>IFERROR(__xludf.DUMMYFUNCTION("""COMPUTED_VALUE"""),"Saipos Serviços De Software")</f>
        <v>Saipos Serviços De Software</v>
      </c>
      <c r="T9320" s="33">
        <f>IFERROR(__xludf.DUMMYFUNCTION("""COMPUTED_VALUE"""),1.0)</f>
        <v>1</v>
      </c>
      <c r="U9320" s="4" t="str">
        <f>IFERROR(__xludf.DUMMYFUNCTION("""COMPUTED_VALUE"""),"Saipos Serviços De Software")</f>
        <v>Saipos Serviços De Software</v>
      </c>
      <c r="V9320" s="33">
        <f>IFERROR(__xludf.DUMMYFUNCTION("""COMPUTED_VALUE"""),1.0)</f>
        <v>1</v>
      </c>
      <c r="W9320" s="4" t="str">
        <f>IFERROR(__xludf.DUMMYFUNCTION("""COMPUTED_VALUE"""),"Saipos Serviços De Software")</f>
        <v>Saipos Serviços De Software</v>
      </c>
      <c r="X9320" s="33">
        <f>IFERROR(__xludf.DUMMYFUNCTION("""COMPUTED_VALUE"""),1.0)</f>
        <v>1</v>
      </c>
    </row>
    <row r="9321">
      <c r="K9321" s="4" t="str">
        <f>IFERROR(__xludf.DUMMYFUNCTION("""COMPUTED_VALUE"""),"EURO FOOD - HAMBURGUERIA")</f>
        <v>EURO FOOD - HAMBURGUERIA</v>
      </c>
      <c r="L9321" s="32">
        <f>IFERROR(__xludf.DUMMYFUNCTION("""COMPUTED_VALUE"""),1.0)</f>
        <v>1</v>
      </c>
      <c r="M9321" s="4" t="str">
        <f>IFERROR(__xludf.DUMMYFUNCTION("""COMPUTED_VALUE"""),"Parseint Desenvolvimento De Sistemas Ltda")</f>
        <v>Parseint Desenvolvimento De Sistemas Ltda</v>
      </c>
      <c r="N9321" s="33">
        <f>IFERROR(__xludf.DUMMYFUNCTION("""COMPUTED_VALUE"""),1.0)</f>
        <v>1</v>
      </c>
      <c r="O9321" s="4" t="str">
        <f>IFERROR(__xludf.DUMMYFUNCTION("""COMPUTED_VALUE"""),"Parseint Desenvolvimento De Sistemas Ltda")</f>
        <v>Parseint Desenvolvimento De Sistemas Ltda</v>
      </c>
      <c r="P9321" s="33">
        <f>IFERROR(__xludf.DUMMYFUNCTION("""COMPUTED_VALUE"""),1.0)</f>
        <v>1</v>
      </c>
      <c r="Q9321" s="4" t="str">
        <f>IFERROR(__xludf.DUMMYFUNCTION("""COMPUTED_VALUE"""),"Parseint Desenvolvimento De Sistemas Ltda")</f>
        <v>Parseint Desenvolvimento De Sistemas Ltda</v>
      </c>
      <c r="R9321" s="33">
        <f>IFERROR(__xludf.DUMMYFUNCTION("""COMPUTED_VALUE"""),1.0)</f>
        <v>1</v>
      </c>
      <c r="S9321" s="4" t="str">
        <f>IFERROR(__xludf.DUMMYFUNCTION("""COMPUTED_VALUE"""),"Parseint Desenvolvimento De Sistemas Ltda")</f>
        <v>Parseint Desenvolvimento De Sistemas Ltda</v>
      </c>
      <c r="T9321" s="33">
        <f>IFERROR(__xludf.DUMMYFUNCTION("""COMPUTED_VALUE"""),1.0)</f>
        <v>1</v>
      </c>
      <c r="U9321" s="4" t="str">
        <f>IFERROR(__xludf.DUMMYFUNCTION("""COMPUTED_VALUE"""),"Parseint Desenvolvimento De Sistemas Ltda")</f>
        <v>Parseint Desenvolvimento De Sistemas Ltda</v>
      </c>
      <c r="V9321" s="33">
        <f>IFERROR(__xludf.DUMMYFUNCTION("""COMPUTED_VALUE"""),1.0)</f>
        <v>1</v>
      </c>
      <c r="W9321" s="4" t="str">
        <f>IFERROR(__xludf.DUMMYFUNCTION("""COMPUTED_VALUE"""),"Parseint Desenvolvimento De Sistemas Ltda")</f>
        <v>Parseint Desenvolvimento De Sistemas Ltda</v>
      </c>
      <c r="X9321" s="33">
        <f>IFERROR(__xludf.DUMMYFUNCTION("""COMPUTED_VALUE"""),1.0)</f>
        <v>1</v>
      </c>
    </row>
    <row r="9322">
      <c r="K9322" s="4" t="str">
        <f>IFERROR(__xludf.DUMMYFUNCTION("""COMPUTED_VALUE"""),"OTB - O TARDO BURGER")</f>
        <v>OTB - O TARDO BURGER</v>
      </c>
      <c r="L9322" s="32">
        <f>IFERROR(__xludf.DUMMYFUNCTION("""COMPUTED_VALUE"""),1.0)</f>
        <v>1</v>
      </c>
      <c r="M9322" s="4" t="str">
        <f>IFERROR(__xludf.DUMMYFUNCTION("""COMPUTED_VALUE"""),"Saipos Serviços De Software")</f>
        <v>Saipos Serviços De Software</v>
      </c>
      <c r="N9322" s="33">
        <f>IFERROR(__xludf.DUMMYFUNCTION("""COMPUTED_VALUE"""),1.0)</f>
        <v>1</v>
      </c>
      <c r="O9322" s="4" t="str">
        <f>IFERROR(__xludf.DUMMYFUNCTION("""COMPUTED_VALUE"""),"Saipos Serviços De Software")</f>
        <v>Saipos Serviços De Software</v>
      </c>
      <c r="P9322" s="33">
        <f>IFERROR(__xludf.DUMMYFUNCTION("""COMPUTED_VALUE"""),1.0)</f>
        <v>1</v>
      </c>
      <c r="Q9322" s="4" t="str">
        <f>IFERROR(__xludf.DUMMYFUNCTION("""COMPUTED_VALUE"""),"Saipos Serviços De Software")</f>
        <v>Saipos Serviços De Software</v>
      </c>
      <c r="R9322" s="33">
        <f>IFERROR(__xludf.DUMMYFUNCTION("""COMPUTED_VALUE"""),1.0)</f>
        <v>1</v>
      </c>
      <c r="S9322" s="4" t="str">
        <f>IFERROR(__xludf.DUMMYFUNCTION("""COMPUTED_VALUE"""),"Saipos Serviços De Software")</f>
        <v>Saipos Serviços De Software</v>
      </c>
      <c r="T9322" s="33">
        <f>IFERROR(__xludf.DUMMYFUNCTION("""COMPUTED_VALUE"""),1.0)</f>
        <v>1</v>
      </c>
      <c r="U9322" s="4" t="str">
        <f>IFERROR(__xludf.DUMMYFUNCTION("""COMPUTED_VALUE"""),"Saipos Serviços De Software")</f>
        <v>Saipos Serviços De Software</v>
      </c>
      <c r="V9322" s="33">
        <f>IFERROR(__xludf.DUMMYFUNCTION("""COMPUTED_VALUE"""),1.0)</f>
        <v>1</v>
      </c>
      <c r="W9322" s="4" t="str">
        <f>IFERROR(__xludf.DUMMYFUNCTION("""COMPUTED_VALUE"""),"Saipos Serviços De Software")</f>
        <v>Saipos Serviços De Software</v>
      </c>
      <c r="X9322" s="33">
        <f>IFERROR(__xludf.DUMMYFUNCTION("""COMPUTED_VALUE"""),1.0)</f>
        <v>1</v>
      </c>
    </row>
    <row r="9323">
      <c r="K9323" s="4" t="str">
        <f>IFERROR(__xludf.DUMMYFUNCTION("""COMPUTED_VALUE"""),"KI-PASTEL_18ANOS_ALMOCO-PIZZAS-PASTEIS")</f>
        <v>KI-PASTEL_18ANOS_ALMOCO-PIZZAS-PASTEIS</v>
      </c>
      <c r="L9323" s="32">
        <f>IFERROR(__xludf.DUMMYFUNCTION("""COMPUTED_VALUE"""),1.0)</f>
        <v>1</v>
      </c>
      <c r="M9323" s="4" t="str">
        <f>IFERROR(__xludf.DUMMYFUNCTION("""COMPUTED_VALUE"""),"Linked Gourmet Solucoes Para Restaurantes S.a")</f>
        <v>Linked Gourmet Solucoes Para Restaurantes S.a</v>
      </c>
      <c r="N9323" s="33">
        <f>IFERROR(__xludf.DUMMYFUNCTION("""COMPUTED_VALUE"""),1.0)</f>
        <v>1</v>
      </c>
      <c r="O9323" s="4" t="str">
        <f>IFERROR(__xludf.DUMMYFUNCTION("""COMPUTED_VALUE"""),"null")</f>
        <v>null</v>
      </c>
      <c r="P9323" s="33">
        <f>IFERROR(__xludf.DUMMYFUNCTION("""COMPUTED_VALUE"""),1.0)</f>
        <v>1</v>
      </c>
      <c r="Q9323" s="4" t="str">
        <f>IFERROR(__xludf.DUMMYFUNCTION("""COMPUTED_VALUE"""),"null")</f>
        <v>null</v>
      </c>
      <c r="R9323" s="33">
        <f>IFERROR(__xludf.DUMMYFUNCTION("""COMPUTED_VALUE"""),1.0)</f>
        <v>1</v>
      </c>
      <c r="S9323" s="4" t="str">
        <f>IFERROR(__xludf.DUMMYFUNCTION("""COMPUTED_VALUE"""),"null")</f>
        <v>null</v>
      </c>
      <c r="T9323" s="33">
        <f>IFERROR(__xludf.DUMMYFUNCTION("""COMPUTED_VALUE"""),1.0)</f>
        <v>1</v>
      </c>
      <c r="U9323" s="4" t="str">
        <f>IFERROR(__xludf.DUMMYFUNCTION("""COMPUTED_VALUE"""),"null")</f>
        <v>null</v>
      </c>
      <c r="V9323" s="33">
        <f>IFERROR(__xludf.DUMMYFUNCTION("""COMPUTED_VALUE"""),1.0)</f>
        <v>1</v>
      </c>
      <c r="W9323" s="4" t="str">
        <f>IFERROR(__xludf.DUMMYFUNCTION("""COMPUTED_VALUE"""),"Linked Gourmet Solucoes Para Restaurantes S.a")</f>
        <v>Linked Gourmet Solucoes Para Restaurantes S.a</v>
      </c>
      <c r="X9323" s="33">
        <f>IFERROR(__xludf.DUMMYFUNCTION("""COMPUTED_VALUE"""),1.0)</f>
        <v>1</v>
      </c>
    </row>
    <row r="9324">
      <c r="K9324" s="4" t="str">
        <f>IFERROR(__xludf.DUMMYFUNCTION("""COMPUTED_VALUE"""),"ALMABE - RESTAURANTE ARABE")</f>
        <v>ALMABE - RESTAURANTE ARABE</v>
      </c>
      <c r="L9324" s="32">
        <f>IFERROR(__xludf.DUMMYFUNCTION("""COMPUTED_VALUE"""),1.0)</f>
        <v>1</v>
      </c>
      <c r="M9324" s="4" t="str">
        <f>IFERROR(__xludf.DUMMYFUNCTION("""COMPUTED_VALUE"""),"Totvs Large Enterprise Tecnologia S.a.")</f>
        <v>Totvs Large Enterprise Tecnologia S.a.</v>
      </c>
      <c r="N9324" s="33">
        <f>IFERROR(__xludf.DUMMYFUNCTION("""COMPUTED_VALUE"""),1.0)</f>
        <v>1</v>
      </c>
      <c r="O9324" s="4" t="str">
        <f>IFERROR(__xludf.DUMMYFUNCTION("""COMPUTED_VALUE"""),"Totvs Large Enterprise Tecnologia S.a.")</f>
        <v>Totvs Large Enterprise Tecnologia S.a.</v>
      </c>
      <c r="P9324" s="33">
        <f>IFERROR(__xludf.DUMMYFUNCTION("""COMPUTED_VALUE"""),1.0)</f>
        <v>1</v>
      </c>
      <c r="Q9324" s="4" t="str">
        <f>IFERROR(__xludf.DUMMYFUNCTION("""COMPUTED_VALUE"""),"null")</f>
        <v>null</v>
      </c>
      <c r="R9324" s="33">
        <f>IFERROR(__xludf.DUMMYFUNCTION("""COMPUTED_VALUE"""),1.0)</f>
        <v>1</v>
      </c>
      <c r="S9324" s="4" t="str">
        <f>IFERROR(__xludf.DUMMYFUNCTION("""COMPUTED_VALUE"""),"null")</f>
        <v>null</v>
      </c>
      <c r="T9324" s="33">
        <f>IFERROR(__xludf.DUMMYFUNCTION("""COMPUTED_VALUE"""),1.0)</f>
        <v>1</v>
      </c>
      <c r="U9324" s="4" t="str">
        <f>IFERROR(__xludf.DUMMYFUNCTION("""COMPUTED_VALUE"""),"null")</f>
        <v>null</v>
      </c>
      <c r="V9324" s="33">
        <f>IFERROR(__xludf.DUMMYFUNCTION("""COMPUTED_VALUE"""),1.0)</f>
        <v>1</v>
      </c>
      <c r="W9324" s="4" t="str">
        <f>IFERROR(__xludf.DUMMYFUNCTION("""COMPUTED_VALUE"""),"null")</f>
        <v>null</v>
      </c>
      <c r="X9324" s="33">
        <f>IFERROR(__xludf.DUMMYFUNCTION("""COMPUTED_VALUE"""),1.0)</f>
        <v>1</v>
      </c>
    </row>
    <row r="9325">
      <c r="K9325" s="4" t="str">
        <f>IFERROR(__xludf.DUMMYFUNCTION("""COMPUTED_VALUE"""),"GULOSAO CAMOBI")</f>
        <v>GULOSAO CAMOBI</v>
      </c>
      <c r="L9325" s="32">
        <f>IFERROR(__xludf.DUMMYFUNCTION("""COMPUTED_VALUE"""),1.0)</f>
        <v>1</v>
      </c>
      <c r="M9325" s="4" t="str">
        <f>IFERROR(__xludf.DUMMYFUNCTION("""COMPUTED_VALUE"""),"Saipos Serviços De Software")</f>
        <v>Saipos Serviços De Software</v>
      </c>
      <c r="N9325" s="33">
        <f>IFERROR(__xludf.DUMMYFUNCTION("""COMPUTED_VALUE"""),1.0)</f>
        <v>1</v>
      </c>
      <c r="O9325" s="4" t="str">
        <f>IFERROR(__xludf.DUMMYFUNCTION("""COMPUTED_VALUE"""),"Saipos Serviços De Software")</f>
        <v>Saipos Serviços De Software</v>
      </c>
      <c r="P9325" s="33">
        <f>IFERROR(__xludf.DUMMYFUNCTION("""COMPUTED_VALUE"""),1.0)</f>
        <v>1</v>
      </c>
      <c r="Q9325" s="4" t="str">
        <f>IFERROR(__xludf.DUMMYFUNCTION("""COMPUTED_VALUE"""),"Saipos Serviços De Software")</f>
        <v>Saipos Serviços De Software</v>
      </c>
      <c r="R9325" s="33">
        <f>IFERROR(__xludf.DUMMYFUNCTION("""COMPUTED_VALUE"""),1.0)</f>
        <v>1</v>
      </c>
      <c r="S9325" s="4" t="str">
        <f>IFERROR(__xludf.DUMMYFUNCTION("""COMPUTED_VALUE"""),"Saipos Serviços De Software")</f>
        <v>Saipos Serviços De Software</v>
      </c>
      <c r="T9325" s="33">
        <f>IFERROR(__xludf.DUMMYFUNCTION("""COMPUTED_VALUE"""),1.0)</f>
        <v>1</v>
      </c>
      <c r="U9325" s="4" t="str">
        <f>IFERROR(__xludf.DUMMYFUNCTION("""COMPUTED_VALUE"""),"Saipos Serviços De Software")</f>
        <v>Saipos Serviços De Software</v>
      </c>
      <c r="V9325" s="33">
        <f>IFERROR(__xludf.DUMMYFUNCTION("""COMPUTED_VALUE"""),1.0)</f>
        <v>1</v>
      </c>
      <c r="W9325" s="4" t="str">
        <f>IFERROR(__xludf.DUMMYFUNCTION("""COMPUTED_VALUE"""),"Saipos Serviços De Software")</f>
        <v>Saipos Serviços De Software</v>
      </c>
      <c r="X9325" s="33">
        <f>IFERROR(__xludf.DUMMYFUNCTION("""COMPUTED_VALUE"""),1.0)</f>
        <v>1</v>
      </c>
    </row>
    <row r="9326">
      <c r="K9326" s="4" t="str">
        <f>IFERROR(__xludf.DUMMYFUNCTION("""COMPUTED_VALUE"""),"FORNO BRASA PIZZARIA")</f>
        <v>FORNO BRASA PIZZARIA</v>
      </c>
      <c r="L9326" s="32">
        <f>IFERROR(__xludf.DUMMYFUNCTION("""COMPUTED_VALUE"""),1.0)</f>
        <v>1</v>
      </c>
      <c r="M9326" s="4" t="str">
        <f>IFERROR(__xludf.DUMMYFUNCTION("""COMPUTED_VALUE"""),"Consumer Soluções Em Tecnologia Ltda")</f>
        <v>Consumer Soluções Em Tecnologia Ltda</v>
      </c>
      <c r="N9326" s="33">
        <f>IFERROR(__xludf.DUMMYFUNCTION("""COMPUTED_VALUE"""),1.0)</f>
        <v>1</v>
      </c>
      <c r="O9326" s="4" t="str">
        <f>IFERROR(__xludf.DUMMYFUNCTION("""COMPUTED_VALUE"""),"null")</f>
        <v>null</v>
      </c>
      <c r="P9326" s="33">
        <f>IFERROR(__xludf.DUMMYFUNCTION("""COMPUTED_VALUE"""),1.0)</f>
        <v>1</v>
      </c>
      <c r="Q9326" s="4" t="str">
        <f>IFERROR(__xludf.DUMMYFUNCTION("""COMPUTED_VALUE"""),"Consumer Soluções Em Tecnologia Ltda")</f>
        <v>Consumer Soluções Em Tecnologia Ltda</v>
      </c>
      <c r="R9326" s="33">
        <f>IFERROR(__xludf.DUMMYFUNCTION("""COMPUTED_VALUE"""),1.0)</f>
        <v>1</v>
      </c>
      <c r="S9326" s="4" t="str">
        <f>IFERROR(__xludf.DUMMYFUNCTION("""COMPUTED_VALUE"""),"null")</f>
        <v>null</v>
      </c>
      <c r="T9326" s="33">
        <f>IFERROR(__xludf.DUMMYFUNCTION("""COMPUTED_VALUE"""),1.0)</f>
        <v>1</v>
      </c>
      <c r="U9326" s="4" t="str">
        <f>IFERROR(__xludf.DUMMYFUNCTION("""COMPUTED_VALUE"""),"null")</f>
        <v>null</v>
      </c>
      <c r="V9326" s="33">
        <f>IFERROR(__xludf.DUMMYFUNCTION("""COMPUTED_VALUE"""),1.0)</f>
        <v>1</v>
      </c>
      <c r="W9326" s="4" t="str">
        <f>IFERROR(__xludf.DUMMYFUNCTION("""COMPUTED_VALUE"""),"Consumer Soluções Em Tecnologia Ltda")</f>
        <v>Consumer Soluções Em Tecnologia Ltda</v>
      </c>
      <c r="X9326" s="33">
        <f>IFERROR(__xludf.DUMMYFUNCTION("""COMPUTED_VALUE"""),1.0)</f>
        <v>1</v>
      </c>
    </row>
    <row r="9327">
      <c r="K9327" s="4" t="str">
        <f>IFERROR(__xludf.DUMMYFUNCTION("""COMPUTED_VALUE"""),"GRECUS PIZZARIA E ESFIHARIA 24 HORAS")</f>
        <v>GRECUS PIZZARIA E ESFIHARIA 24 HORAS</v>
      </c>
      <c r="L9327" s="32">
        <f>IFERROR(__xludf.DUMMYFUNCTION("""COMPUTED_VALUE"""),1.0)</f>
        <v>1</v>
      </c>
      <c r="M9327" s="4" t="str">
        <f>IFERROR(__xludf.DUMMYFUNCTION("""COMPUTED_VALUE"""),"Hubster")</f>
        <v>Hubster</v>
      </c>
      <c r="N9327" s="33">
        <f>IFERROR(__xludf.DUMMYFUNCTION("""COMPUTED_VALUE"""),1.0)</f>
        <v>1</v>
      </c>
      <c r="O9327" s="4" t="str">
        <f>IFERROR(__xludf.DUMMYFUNCTION("""COMPUTED_VALUE"""),"Hubster")</f>
        <v>Hubster</v>
      </c>
      <c r="P9327" s="33">
        <f>IFERROR(__xludf.DUMMYFUNCTION("""COMPUTED_VALUE"""),1.0)</f>
        <v>1</v>
      </c>
      <c r="Q9327" s="4" t="str">
        <f>IFERROR(__xludf.DUMMYFUNCTION("""COMPUTED_VALUE"""),"Hubster")</f>
        <v>Hubster</v>
      </c>
      <c r="R9327" s="33">
        <f>IFERROR(__xludf.DUMMYFUNCTION("""COMPUTED_VALUE"""),1.0)</f>
        <v>1</v>
      </c>
      <c r="S9327" s="4" t="str">
        <f>IFERROR(__xludf.DUMMYFUNCTION("""COMPUTED_VALUE"""),"Hubster")</f>
        <v>Hubster</v>
      </c>
      <c r="T9327" s="33">
        <f>IFERROR(__xludf.DUMMYFUNCTION("""COMPUTED_VALUE"""),1.0)</f>
        <v>1</v>
      </c>
      <c r="U9327" s="4" t="str">
        <f>IFERROR(__xludf.DUMMYFUNCTION("""COMPUTED_VALUE"""),"null")</f>
        <v>null</v>
      </c>
      <c r="V9327" s="33">
        <f>IFERROR(__xludf.DUMMYFUNCTION("""COMPUTED_VALUE"""),1.0)</f>
        <v>1</v>
      </c>
      <c r="W9327" s="4" t="str">
        <f>IFERROR(__xludf.DUMMYFUNCTION("""COMPUTED_VALUE"""),"null")</f>
        <v>null</v>
      </c>
      <c r="X9327" s="33">
        <f>IFERROR(__xludf.DUMMYFUNCTION("""COMPUTED_VALUE"""),1.0)</f>
        <v>1</v>
      </c>
    </row>
    <row r="9328">
      <c r="K9328" s="4" t="str">
        <f>IFERROR(__xludf.DUMMYFUNCTION("""COMPUTED_VALUE"""),"MASSAS DA GI")</f>
        <v>MASSAS DA GI</v>
      </c>
      <c r="L9328" s="32">
        <f>IFERROR(__xludf.DUMMYFUNCTION("""COMPUTED_VALUE"""),1.0)</f>
        <v>1</v>
      </c>
      <c r="M9328" s="4" t="str">
        <f>IFERROR(__xludf.DUMMYFUNCTION("""COMPUTED_VALUE"""),"Instadelivery")</f>
        <v>Instadelivery</v>
      </c>
      <c r="N9328" s="33">
        <f>IFERROR(__xludf.DUMMYFUNCTION("""COMPUTED_VALUE"""),1.0)</f>
        <v>1</v>
      </c>
      <c r="O9328" s="4" t="str">
        <f>IFERROR(__xludf.DUMMYFUNCTION("""COMPUTED_VALUE"""),"Instadelivery")</f>
        <v>Instadelivery</v>
      </c>
      <c r="P9328" s="33">
        <f>IFERROR(__xludf.DUMMYFUNCTION("""COMPUTED_VALUE"""),1.0)</f>
        <v>1</v>
      </c>
      <c r="Q9328" s="4" t="str">
        <f>IFERROR(__xludf.DUMMYFUNCTION("""COMPUTED_VALUE"""),"Instadelivery")</f>
        <v>Instadelivery</v>
      </c>
      <c r="R9328" s="33">
        <f>IFERROR(__xludf.DUMMYFUNCTION("""COMPUTED_VALUE"""),1.0)</f>
        <v>1</v>
      </c>
      <c r="S9328" s="4" t="str">
        <f>IFERROR(__xludf.DUMMYFUNCTION("""COMPUTED_VALUE"""),"Instadelivery")</f>
        <v>Instadelivery</v>
      </c>
      <c r="T9328" s="33">
        <f>IFERROR(__xludf.DUMMYFUNCTION("""COMPUTED_VALUE"""),1.0)</f>
        <v>1</v>
      </c>
      <c r="U9328" s="4" t="str">
        <f>IFERROR(__xludf.DUMMYFUNCTION("""COMPUTED_VALUE"""),"Instadelivery")</f>
        <v>Instadelivery</v>
      </c>
      <c r="V9328" s="33">
        <f>IFERROR(__xludf.DUMMYFUNCTION("""COMPUTED_VALUE"""),1.0)</f>
        <v>1</v>
      </c>
      <c r="W9328" s="4" t="str">
        <f>IFERROR(__xludf.DUMMYFUNCTION("""COMPUTED_VALUE"""),"Instadelivery")</f>
        <v>Instadelivery</v>
      </c>
      <c r="X9328" s="33">
        <f>IFERROR(__xludf.DUMMYFUNCTION("""COMPUTED_VALUE"""),1.0)</f>
        <v>1</v>
      </c>
    </row>
    <row r="9329">
      <c r="K9329" s="4" t="str">
        <f>IFERROR(__xludf.DUMMYFUNCTION("""COMPUTED_VALUE"""),"PET SHOP PIU BIA")</f>
        <v>PET SHOP PIU BIA</v>
      </c>
      <c r="L9329" s="32">
        <f>IFERROR(__xludf.DUMMYFUNCTION("""COMPUTED_VALUE"""),1.0)</f>
        <v>1</v>
      </c>
      <c r="M9329" s="4" t="str">
        <f>IFERROR(__xludf.DUMMYFUNCTION("""COMPUTED_VALUE"""),"N/A (Not found)")</f>
        <v>N/A (Not found)</v>
      </c>
      <c r="N9329" s="33">
        <f>IFERROR(__xludf.DUMMYFUNCTION("""COMPUTED_VALUE"""),1.0)</f>
        <v>1</v>
      </c>
      <c r="O9329" s="4" t="str">
        <f>IFERROR(__xludf.DUMMYFUNCTION("""COMPUTED_VALUE"""),"N/A (Not found)")</f>
        <v>N/A (Not found)</v>
      </c>
      <c r="P9329" s="33">
        <f>IFERROR(__xludf.DUMMYFUNCTION("""COMPUTED_VALUE"""),1.0)</f>
        <v>1</v>
      </c>
      <c r="Q9329" s="4" t="str">
        <f>IFERROR(__xludf.DUMMYFUNCTION("""COMPUTED_VALUE"""),"N/A (Not found)")</f>
        <v>N/A (Not found)</v>
      </c>
      <c r="R9329" s="33">
        <f>IFERROR(__xludf.DUMMYFUNCTION("""COMPUTED_VALUE"""),1.0)</f>
        <v>1</v>
      </c>
      <c r="S9329" s="4" t="str">
        <f>IFERROR(__xludf.DUMMYFUNCTION("""COMPUTED_VALUE"""),"N/A (Not found)")</f>
        <v>N/A (Not found)</v>
      </c>
      <c r="T9329" s="33">
        <f>IFERROR(__xludf.DUMMYFUNCTION("""COMPUTED_VALUE"""),1.0)</f>
        <v>1</v>
      </c>
      <c r="U9329" s="4" t="str">
        <f>IFERROR(__xludf.DUMMYFUNCTION("""COMPUTED_VALUE"""),"N/A (Not found)")</f>
        <v>N/A (Not found)</v>
      </c>
      <c r="V9329" s="33">
        <f>IFERROR(__xludf.DUMMYFUNCTION("""COMPUTED_VALUE"""),1.0)</f>
        <v>1</v>
      </c>
      <c r="W9329" s="4" t="str">
        <f>IFERROR(__xludf.DUMMYFUNCTION("""COMPUTED_VALUE"""),"N/A (Not found)")</f>
        <v>N/A (Not found)</v>
      </c>
      <c r="X9329" s="33">
        <f>IFERROR(__xludf.DUMMYFUNCTION("""COMPUTED_VALUE"""),1.0)</f>
        <v>1</v>
      </c>
    </row>
    <row r="9330">
      <c r="K9330" s="4" t="str">
        <f>IFERROR(__xludf.DUMMYFUNCTION("""COMPUTED_VALUE"""),"SANDUBAO LANCHE HOTDOG BAURU")</f>
        <v>SANDUBAO LANCHE HOTDOG BAURU</v>
      </c>
      <c r="L9330" s="32">
        <f>IFERROR(__xludf.DUMMYFUNCTION("""COMPUTED_VALUE"""),1.0)</f>
        <v>1</v>
      </c>
      <c r="M9330" s="4" t="str">
        <f>IFERROR(__xludf.DUMMYFUNCTION("""COMPUTED_VALUE"""),"Saipos Serviços De Software")</f>
        <v>Saipos Serviços De Software</v>
      </c>
      <c r="N9330" s="33">
        <f>IFERROR(__xludf.DUMMYFUNCTION("""COMPUTED_VALUE"""),1.0)</f>
        <v>1</v>
      </c>
      <c r="O9330" s="4" t="str">
        <f>IFERROR(__xludf.DUMMYFUNCTION("""COMPUTED_VALUE"""),"Saipos Serviços De Software")</f>
        <v>Saipos Serviços De Software</v>
      </c>
      <c r="P9330" s="33">
        <f>IFERROR(__xludf.DUMMYFUNCTION("""COMPUTED_VALUE"""),1.0)</f>
        <v>1</v>
      </c>
      <c r="Q9330" s="4" t="str">
        <f>IFERROR(__xludf.DUMMYFUNCTION("""COMPUTED_VALUE"""),"Saipos Serviços De Software")</f>
        <v>Saipos Serviços De Software</v>
      </c>
      <c r="R9330" s="33">
        <f>IFERROR(__xludf.DUMMYFUNCTION("""COMPUTED_VALUE"""),1.0)</f>
        <v>1</v>
      </c>
      <c r="S9330" s="4" t="str">
        <f>IFERROR(__xludf.DUMMYFUNCTION("""COMPUTED_VALUE"""),"Saipos Serviços De Software")</f>
        <v>Saipos Serviços De Software</v>
      </c>
      <c r="T9330" s="33">
        <f>IFERROR(__xludf.DUMMYFUNCTION("""COMPUTED_VALUE"""),1.0)</f>
        <v>1</v>
      </c>
      <c r="U9330" s="4" t="str">
        <f>IFERROR(__xludf.DUMMYFUNCTION("""COMPUTED_VALUE"""),"Saipos Serviços De Software")</f>
        <v>Saipos Serviços De Software</v>
      </c>
      <c r="V9330" s="33">
        <f>IFERROR(__xludf.DUMMYFUNCTION("""COMPUTED_VALUE"""),1.0)</f>
        <v>1</v>
      </c>
      <c r="W9330" s="4" t="str">
        <f>IFERROR(__xludf.DUMMYFUNCTION("""COMPUTED_VALUE"""),"Saipos Serviços De Software")</f>
        <v>Saipos Serviços De Software</v>
      </c>
      <c r="X9330" s="33">
        <f>IFERROR(__xludf.DUMMYFUNCTION("""COMPUTED_VALUE"""),1.0)</f>
        <v>1</v>
      </c>
    </row>
    <row r="9331">
      <c r="K9331" s="4" t="str">
        <f>IFERROR(__xludf.DUMMYFUNCTION("""COMPUTED_VALUE"""),"RITZ SORVETES E ACAI - AV DAS PALMEIRAS")</f>
        <v>RITZ SORVETES E ACAI - AV DAS PALMEIRAS</v>
      </c>
      <c r="L9331" s="32">
        <f>IFERROR(__xludf.DUMMYFUNCTION("""COMPUTED_VALUE"""),1.0)</f>
        <v>1</v>
      </c>
      <c r="M9331" s="4" t="str">
        <f>IFERROR(__xludf.DUMMYFUNCTION("""COMPUTED_VALUE"""),"Sagres Automação Comercial")</f>
        <v>Sagres Automação Comercial</v>
      </c>
      <c r="N9331" s="33">
        <f>IFERROR(__xludf.DUMMYFUNCTION("""COMPUTED_VALUE"""),1.0)</f>
        <v>1</v>
      </c>
      <c r="O9331" s="4" t="str">
        <f>IFERROR(__xludf.DUMMYFUNCTION("""COMPUTED_VALUE"""),"Sagres Automação Comercial")</f>
        <v>Sagres Automação Comercial</v>
      </c>
      <c r="P9331" s="33">
        <f>IFERROR(__xludf.DUMMYFUNCTION("""COMPUTED_VALUE"""),1.0)</f>
        <v>1</v>
      </c>
      <c r="Q9331" s="4" t="str">
        <f>IFERROR(__xludf.DUMMYFUNCTION("""COMPUTED_VALUE"""),"Sagres Automação Comercial")</f>
        <v>Sagres Automação Comercial</v>
      </c>
      <c r="R9331" s="33">
        <f>IFERROR(__xludf.DUMMYFUNCTION("""COMPUTED_VALUE"""),1.0)</f>
        <v>1</v>
      </c>
      <c r="S9331" s="4" t="str">
        <f>IFERROR(__xludf.DUMMYFUNCTION("""COMPUTED_VALUE"""),"Sagres Automação Comercial")</f>
        <v>Sagres Automação Comercial</v>
      </c>
      <c r="T9331" s="33">
        <f>IFERROR(__xludf.DUMMYFUNCTION("""COMPUTED_VALUE"""),1.0)</f>
        <v>1</v>
      </c>
      <c r="U9331" s="4" t="str">
        <f>IFERROR(__xludf.DUMMYFUNCTION("""COMPUTED_VALUE"""),"Sagres Automação Comercial")</f>
        <v>Sagres Automação Comercial</v>
      </c>
      <c r="V9331" s="33">
        <f>IFERROR(__xludf.DUMMYFUNCTION("""COMPUTED_VALUE"""),1.0)</f>
        <v>1</v>
      </c>
      <c r="W9331" s="4" t="str">
        <f>IFERROR(__xludf.DUMMYFUNCTION("""COMPUTED_VALUE"""),"Sagres Automação Comercial")</f>
        <v>Sagres Automação Comercial</v>
      </c>
      <c r="X9331" s="33">
        <f>IFERROR(__xludf.DUMMYFUNCTION("""COMPUTED_VALUE"""),1.0)</f>
        <v>1</v>
      </c>
    </row>
    <row r="9332">
      <c r="K9332" s="4" t="str">
        <f>IFERROR(__xludf.DUMMYFUNCTION("""COMPUTED_VALUE"""),"AMARO ARTESANAL BOLO - DOCE - PUDIM")</f>
        <v>AMARO ARTESANAL BOLO - DOCE - PUDIM</v>
      </c>
      <c r="L9332" s="32">
        <f>IFERROR(__xludf.DUMMYFUNCTION("""COMPUTED_VALUE"""),1.0)</f>
        <v>1</v>
      </c>
      <c r="M9332" s="4" t="str">
        <f>IFERROR(__xludf.DUMMYFUNCTION("""COMPUTED_VALUE"""),"null")</f>
        <v>null</v>
      </c>
      <c r="N9332" s="33">
        <f>IFERROR(__xludf.DUMMYFUNCTION("""COMPUTED_VALUE"""),1.0)</f>
        <v>1</v>
      </c>
      <c r="O9332" s="4" t="str">
        <f>IFERROR(__xludf.DUMMYFUNCTION("""COMPUTED_VALUE"""),"Instadelivery")</f>
        <v>Instadelivery</v>
      </c>
      <c r="P9332" s="33">
        <f>IFERROR(__xludf.DUMMYFUNCTION("""COMPUTED_VALUE"""),1.0)</f>
        <v>1</v>
      </c>
      <c r="Q9332" s="4" t="str">
        <f>IFERROR(__xludf.DUMMYFUNCTION("""COMPUTED_VALUE"""),"null")</f>
        <v>null</v>
      </c>
      <c r="R9332" s="33">
        <f>IFERROR(__xludf.DUMMYFUNCTION("""COMPUTED_VALUE"""),1.0)</f>
        <v>1</v>
      </c>
      <c r="S9332" s="4" t="str">
        <f>IFERROR(__xludf.DUMMYFUNCTION("""COMPUTED_VALUE"""),"null")</f>
        <v>null</v>
      </c>
      <c r="T9332" s="33">
        <f>IFERROR(__xludf.DUMMYFUNCTION("""COMPUTED_VALUE"""),1.0)</f>
        <v>1</v>
      </c>
      <c r="U9332" s="4" t="str">
        <f>IFERROR(__xludf.DUMMYFUNCTION("""COMPUTED_VALUE"""),"null")</f>
        <v>null</v>
      </c>
      <c r="V9332" s="33">
        <f>IFERROR(__xludf.DUMMYFUNCTION("""COMPUTED_VALUE"""),1.0)</f>
        <v>1</v>
      </c>
      <c r="W9332" s="4" t="str">
        <f>IFERROR(__xludf.DUMMYFUNCTION("""COMPUTED_VALUE"""),"null")</f>
        <v>null</v>
      </c>
      <c r="X9332" s="33">
        <f>IFERROR(__xludf.DUMMYFUNCTION("""COMPUTED_VALUE"""),1.0)</f>
        <v>1</v>
      </c>
    </row>
    <row r="9333">
      <c r="K9333" s="4" t="str">
        <f>IFERROR(__xludf.DUMMYFUNCTION("""COMPUTED_VALUE"""),"BRUH CONFEITARIA ARTESANAL")</f>
        <v>BRUH CONFEITARIA ARTESANAL</v>
      </c>
      <c r="L9333" s="32">
        <f>IFERROR(__xludf.DUMMYFUNCTION("""COMPUTED_VALUE"""),1.0)</f>
        <v>1</v>
      </c>
      <c r="M9333" s="4" t="str">
        <f>IFERROR(__xludf.DUMMYFUNCTION("""COMPUTED_VALUE"""),"null")</f>
        <v>null</v>
      </c>
      <c r="N9333" s="33">
        <f>IFERROR(__xludf.DUMMYFUNCTION("""COMPUTED_VALUE"""),1.0)</f>
        <v>1</v>
      </c>
      <c r="O9333" s="4" t="str">
        <f>IFERROR(__xludf.DUMMYFUNCTION("""COMPUTED_VALUE"""),"null")</f>
        <v>null</v>
      </c>
      <c r="P9333" s="33">
        <f>IFERROR(__xludf.DUMMYFUNCTION("""COMPUTED_VALUE"""),1.0)</f>
        <v>1</v>
      </c>
      <c r="Q9333" s="4" t="str">
        <f>IFERROR(__xludf.DUMMYFUNCTION("""COMPUTED_VALUE"""),"null")</f>
        <v>null</v>
      </c>
      <c r="R9333" s="33">
        <f>IFERROR(__xludf.DUMMYFUNCTION("""COMPUTED_VALUE"""),1.0)</f>
        <v>1</v>
      </c>
      <c r="S9333" s="4" t="str">
        <f>IFERROR(__xludf.DUMMYFUNCTION("""COMPUTED_VALUE"""),"null")</f>
        <v>null</v>
      </c>
      <c r="T9333" s="33">
        <f>IFERROR(__xludf.DUMMYFUNCTION("""COMPUTED_VALUE"""),1.0)</f>
        <v>1</v>
      </c>
      <c r="U9333" s="4" t="str">
        <f>IFERROR(__xludf.DUMMYFUNCTION("""COMPUTED_VALUE"""),"Instadelivery")</f>
        <v>Instadelivery</v>
      </c>
      <c r="V9333" s="33">
        <f>IFERROR(__xludf.DUMMYFUNCTION("""COMPUTED_VALUE"""),1.0)</f>
        <v>1</v>
      </c>
      <c r="W9333" s="4" t="str">
        <f>IFERROR(__xludf.DUMMYFUNCTION("""COMPUTED_VALUE"""),"Instadelivery")</f>
        <v>Instadelivery</v>
      </c>
      <c r="X9333" s="33">
        <f>IFERROR(__xludf.DUMMYFUNCTION("""COMPUTED_VALUE"""),1.0)</f>
        <v>1</v>
      </c>
    </row>
    <row r="9334">
      <c r="K9334" s="4" t="str">
        <f>IFERROR(__xludf.DUMMYFUNCTION("""COMPUTED_VALUE"""),"FARMACIA FARMATOTAL")</f>
        <v>FARMACIA FARMATOTAL</v>
      </c>
      <c r="L9334" s="32">
        <f>IFERROR(__xludf.DUMMYFUNCTION("""COMPUTED_VALUE"""),1.0)</f>
        <v>1</v>
      </c>
      <c r="M9334" s="4" t="str">
        <f>IFERROR(__xludf.DUMMYFUNCTION("""COMPUTED_VALUE"""),"N/A (Not found)")</f>
        <v>N/A (Not found)</v>
      </c>
      <c r="N9334" s="33">
        <f>IFERROR(__xludf.DUMMYFUNCTION("""COMPUTED_VALUE"""),1.0)</f>
        <v>1</v>
      </c>
      <c r="O9334" s="4" t="str">
        <f>IFERROR(__xludf.DUMMYFUNCTION("""COMPUTED_VALUE"""),"N/A (Not found)")</f>
        <v>N/A (Not found)</v>
      </c>
      <c r="P9334" s="33">
        <f>IFERROR(__xludf.DUMMYFUNCTION("""COMPUTED_VALUE"""),1.0)</f>
        <v>1</v>
      </c>
      <c r="Q9334" s="4" t="str">
        <f>IFERROR(__xludf.DUMMYFUNCTION("""COMPUTED_VALUE"""),"N/A (Not found)")</f>
        <v>N/A (Not found)</v>
      </c>
      <c r="R9334" s="33">
        <f>IFERROR(__xludf.DUMMYFUNCTION("""COMPUTED_VALUE"""),1.0)</f>
        <v>1</v>
      </c>
      <c r="S9334" s="4" t="str">
        <f>IFERROR(__xludf.DUMMYFUNCTION("""COMPUTED_VALUE"""),"N/A (Not found)")</f>
        <v>N/A (Not found)</v>
      </c>
      <c r="T9334" s="33">
        <f>IFERROR(__xludf.DUMMYFUNCTION("""COMPUTED_VALUE"""),1.0)</f>
        <v>1</v>
      </c>
      <c r="U9334" s="4" t="str">
        <f>IFERROR(__xludf.DUMMYFUNCTION("""COMPUTED_VALUE"""),"N/A (Not found)")</f>
        <v>N/A (Not found)</v>
      </c>
      <c r="V9334" s="33">
        <f>IFERROR(__xludf.DUMMYFUNCTION("""COMPUTED_VALUE"""),1.0)</f>
        <v>1</v>
      </c>
      <c r="W9334" s="4" t="str">
        <f>IFERROR(__xludf.DUMMYFUNCTION("""COMPUTED_VALUE"""),"N/A (Not found)")</f>
        <v>N/A (Not found)</v>
      </c>
      <c r="X9334" s="33">
        <f>IFERROR(__xludf.DUMMYFUNCTION("""COMPUTED_VALUE"""),1.0)</f>
        <v>1</v>
      </c>
    </row>
    <row r="9335">
      <c r="K9335" s="4" t="str">
        <f>IFERROR(__xludf.DUMMYFUNCTION("""COMPUTED_VALUE"""),"TIO PANDA AMIGAO")</f>
        <v>TIO PANDA AMIGAO</v>
      </c>
      <c r="L9335" s="32">
        <f>IFERROR(__xludf.DUMMYFUNCTION("""COMPUTED_VALUE"""),1.0)</f>
        <v>1</v>
      </c>
      <c r="M9335" s="4" t="str">
        <f>IFERROR(__xludf.DUMMYFUNCTION("""COMPUTED_VALUE"""),"Starway Sistemas")</f>
        <v>Starway Sistemas</v>
      </c>
      <c r="N9335" s="33">
        <f>IFERROR(__xludf.DUMMYFUNCTION("""COMPUTED_VALUE"""),1.0)</f>
        <v>1</v>
      </c>
      <c r="O9335" s="4" t="str">
        <f>IFERROR(__xludf.DUMMYFUNCTION("""COMPUTED_VALUE"""),"Starway Sistemas")</f>
        <v>Starway Sistemas</v>
      </c>
      <c r="P9335" s="33">
        <f>IFERROR(__xludf.DUMMYFUNCTION("""COMPUTED_VALUE"""),1.0)</f>
        <v>1</v>
      </c>
      <c r="Q9335" s="4" t="str">
        <f>IFERROR(__xludf.DUMMYFUNCTION("""COMPUTED_VALUE"""),"Starway Sistemas")</f>
        <v>Starway Sistemas</v>
      </c>
      <c r="R9335" s="33">
        <f>IFERROR(__xludf.DUMMYFUNCTION("""COMPUTED_VALUE"""),1.0)</f>
        <v>1</v>
      </c>
      <c r="S9335" s="4" t="str">
        <f>IFERROR(__xludf.DUMMYFUNCTION("""COMPUTED_VALUE"""),"Starway Sistemas")</f>
        <v>Starway Sistemas</v>
      </c>
      <c r="T9335" s="33">
        <f>IFERROR(__xludf.DUMMYFUNCTION("""COMPUTED_VALUE"""),1.0)</f>
        <v>1</v>
      </c>
      <c r="U9335" s="4" t="str">
        <f>IFERROR(__xludf.DUMMYFUNCTION("""COMPUTED_VALUE"""),"Starway Sistemas")</f>
        <v>Starway Sistemas</v>
      </c>
      <c r="V9335" s="33">
        <f>IFERROR(__xludf.DUMMYFUNCTION("""COMPUTED_VALUE"""),1.0)</f>
        <v>1</v>
      </c>
      <c r="W9335" s="4" t="str">
        <f>IFERROR(__xludf.DUMMYFUNCTION("""COMPUTED_VALUE"""),"Starway Sistemas")</f>
        <v>Starway Sistemas</v>
      </c>
      <c r="X9335" s="33">
        <f>IFERROR(__xludf.DUMMYFUNCTION("""COMPUTED_VALUE"""),1.0)</f>
        <v>1</v>
      </c>
    </row>
    <row r="9336">
      <c r="K9336" s="4" t="str">
        <f>IFERROR(__xludf.DUMMYFUNCTION("""COMPUTED_VALUE"""),"VA BENE - SHOPPING RIO MAR")</f>
        <v>VA BENE - SHOPPING RIO MAR</v>
      </c>
      <c r="L9336" s="32">
        <f>IFERROR(__xludf.DUMMYFUNCTION("""COMPUTED_VALUE"""),1.0)</f>
        <v>1</v>
      </c>
      <c r="M9336" s="4" t="str">
        <f>IFERROR(__xludf.DUMMYFUNCTION("""COMPUTED_VALUE"""),"Parseint Desenvolvimento De Sistemas Ltda")</f>
        <v>Parseint Desenvolvimento De Sistemas Ltda</v>
      </c>
      <c r="N9336" s="33">
        <f>IFERROR(__xludf.DUMMYFUNCTION("""COMPUTED_VALUE"""),1.0)</f>
        <v>1</v>
      </c>
      <c r="O9336" s="4" t="str">
        <f>IFERROR(__xludf.DUMMYFUNCTION("""COMPUTED_VALUE"""),"Parseint Desenvolvimento De Sistemas Ltda")</f>
        <v>Parseint Desenvolvimento De Sistemas Ltda</v>
      </c>
      <c r="P9336" s="33">
        <f>IFERROR(__xludf.DUMMYFUNCTION("""COMPUTED_VALUE"""),1.0)</f>
        <v>1</v>
      </c>
      <c r="Q9336" s="4" t="str">
        <f>IFERROR(__xludf.DUMMYFUNCTION("""COMPUTED_VALUE"""),"null")</f>
        <v>null</v>
      </c>
      <c r="R9336" s="33">
        <f>IFERROR(__xludf.DUMMYFUNCTION("""COMPUTED_VALUE"""),1.0)</f>
        <v>1</v>
      </c>
      <c r="S9336" s="4" t="str">
        <f>IFERROR(__xludf.DUMMYFUNCTION("""COMPUTED_VALUE"""),"null")</f>
        <v>null</v>
      </c>
      <c r="T9336" s="33">
        <f>IFERROR(__xludf.DUMMYFUNCTION("""COMPUTED_VALUE"""),1.0)</f>
        <v>1</v>
      </c>
      <c r="U9336" s="4" t="str">
        <f>IFERROR(__xludf.DUMMYFUNCTION("""COMPUTED_VALUE"""),"Parseint Desenvolvimento De Sistemas Ltda")</f>
        <v>Parseint Desenvolvimento De Sistemas Ltda</v>
      </c>
      <c r="V9336" s="33">
        <f>IFERROR(__xludf.DUMMYFUNCTION("""COMPUTED_VALUE"""),1.0)</f>
        <v>1</v>
      </c>
      <c r="W9336" s="4" t="str">
        <f>IFERROR(__xludf.DUMMYFUNCTION("""COMPUTED_VALUE"""),"null")</f>
        <v>null</v>
      </c>
      <c r="X9336" s="33">
        <f>IFERROR(__xludf.DUMMYFUNCTION("""COMPUTED_VALUE"""),1.0)</f>
        <v>1</v>
      </c>
    </row>
    <row r="9337">
      <c r="K9337" s="4" t="str">
        <f>IFERROR(__xludf.DUMMYFUNCTION("""COMPUTED_VALUE"""),"STRONG RESTAURANTE")</f>
        <v>STRONG RESTAURANTE</v>
      </c>
      <c r="L9337" s="32">
        <f>IFERROR(__xludf.DUMMYFUNCTION("""COMPUTED_VALUE"""),1.0)</f>
        <v>1</v>
      </c>
      <c r="M9337" s="4" t="str">
        <f>IFERROR(__xludf.DUMMYFUNCTION("""COMPUTED_VALUE"""),"null")</f>
        <v>null</v>
      </c>
      <c r="N9337" s="33">
        <f>IFERROR(__xludf.DUMMYFUNCTION("""COMPUTED_VALUE"""),1.0)</f>
        <v>1</v>
      </c>
      <c r="O9337" s="4" t="str">
        <f>IFERROR(__xludf.DUMMYFUNCTION("""COMPUTED_VALUE"""),"Saipos Serviços De Software")</f>
        <v>Saipos Serviços De Software</v>
      </c>
      <c r="P9337" s="33">
        <f>IFERROR(__xludf.DUMMYFUNCTION("""COMPUTED_VALUE"""),1.0)</f>
        <v>1</v>
      </c>
      <c r="Q9337" s="4" t="str">
        <f>IFERROR(__xludf.DUMMYFUNCTION("""COMPUTED_VALUE"""),"null")</f>
        <v>null</v>
      </c>
      <c r="R9337" s="33">
        <f>IFERROR(__xludf.DUMMYFUNCTION("""COMPUTED_VALUE"""),1.0)</f>
        <v>1</v>
      </c>
      <c r="S9337" s="4" t="str">
        <f>IFERROR(__xludf.DUMMYFUNCTION("""COMPUTED_VALUE"""),"null")</f>
        <v>null</v>
      </c>
      <c r="T9337" s="33">
        <f>IFERROR(__xludf.DUMMYFUNCTION("""COMPUTED_VALUE"""),1.0)</f>
        <v>1</v>
      </c>
      <c r="U9337" s="4" t="str">
        <f>IFERROR(__xludf.DUMMYFUNCTION("""COMPUTED_VALUE"""),"null")</f>
        <v>null</v>
      </c>
      <c r="V9337" s="33">
        <f>IFERROR(__xludf.DUMMYFUNCTION("""COMPUTED_VALUE"""),1.0)</f>
        <v>1</v>
      </c>
      <c r="W9337" s="4" t="str">
        <f>IFERROR(__xludf.DUMMYFUNCTION("""COMPUTED_VALUE"""),"null")</f>
        <v>null</v>
      </c>
      <c r="X9337" s="33">
        <f>IFERROR(__xludf.DUMMYFUNCTION("""COMPUTED_VALUE"""),1.0)</f>
        <v>1</v>
      </c>
    </row>
    <row r="9338">
      <c r="K9338" s="4" t="str">
        <f>IFERROR(__xludf.DUMMYFUNCTION("""COMPUTED_VALUE"""),"RESTAURANTE RUSTICO")</f>
        <v>RESTAURANTE RUSTICO</v>
      </c>
      <c r="L9338" s="32">
        <f>IFERROR(__xludf.DUMMYFUNCTION("""COMPUTED_VALUE"""),1.0)</f>
        <v>1</v>
      </c>
      <c r="M9338" s="4" t="str">
        <f>IFERROR(__xludf.DUMMYFUNCTION("""COMPUTED_VALUE"""),"Rp Sistemas")</f>
        <v>Rp Sistemas</v>
      </c>
      <c r="N9338" s="33">
        <f>IFERROR(__xludf.DUMMYFUNCTION("""COMPUTED_VALUE"""),1.0)</f>
        <v>1</v>
      </c>
      <c r="O9338" s="4" t="str">
        <f>IFERROR(__xludf.DUMMYFUNCTION("""COMPUTED_VALUE"""),"Rp Sistemas")</f>
        <v>Rp Sistemas</v>
      </c>
      <c r="P9338" s="33">
        <f>IFERROR(__xludf.DUMMYFUNCTION("""COMPUTED_VALUE"""),1.0)</f>
        <v>1</v>
      </c>
      <c r="Q9338" s="4" t="str">
        <f>IFERROR(__xludf.DUMMYFUNCTION("""COMPUTED_VALUE"""),"null")</f>
        <v>null</v>
      </c>
      <c r="R9338" s="33">
        <f>IFERROR(__xludf.DUMMYFUNCTION("""COMPUTED_VALUE"""),1.0)</f>
        <v>1</v>
      </c>
      <c r="S9338" s="4" t="str">
        <f>IFERROR(__xludf.DUMMYFUNCTION("""COMPUTED_VALUE"""),"null")</f>
        <v>null</v>
      </c>
      <c r="T9338" s="33">
        <f>IFERROR(__xludf.DUMMYFUNCTION("""COMPUTED_VALUE"""),1.0)</f>
        <v>1</v>
      </c>
      <c r="U9338" s="4" t="str">
        <f>IFERROR(__xludf.DUMMYFUNCTION("""COMPUTED_VALUE"""),"null")</f>
        <v>null</v>
      </c>
      <c r="V9338" s="33">
        <f>IFERROR(__xludf.DUMMYFUNCTION("""COMPUTED_VALUE"""),1.0)</f>
        <v>1</v>
      </c>
      <c r="W9338" s="4" t="str">
        <f>IFERROR(__xludf.DUMMYFUNCTION("""COMPUTED_VALUE"""),"null")</f>
        <v>null</v>
      </c>
      <c r="X9338" s="33">
        <f>IFERROR(__xludf.DUMMYFUNCTION("""COMPUTED_VALUE"""),1.0)</f>
        <v>1</v>
      </c>
    </row>
    <row r="9339">
      <c r="K9339" s="4" t="str">
        <f>IFERROR(__xludf.DUMMYFUNCTION("""COMPUTED_VALUE"""),"COOKIE DIVO")</f>
        <v>COOKIE DIVO</v>
      </c>
      <c r="L9339" s="32">
        <f>IFERROR(__xludf.DUMMYFUNCTION("""COMPUTED_VALUE"""),1.0)</f>
        <v>1</v>
      </c>
      <c r="M9339" s="4" t="str">
        <f>IFERROR(__xludf.DUMMYFUNCTION("""COMPUTED_VALUE"""),"Wls Solucoes Empresariais Ltda")</f>
        <v>Wls Solucoes Empresariais Ltda</v>
      </c>
      <c r="N9339" s="33">
        <f>IFERROR(__xludf.DUMMYFUNCTION("""COMPUTED_VALUE"""),1.0)</f>
        <v>1</v>
      </c>
      <c r="O9339" s="4" t="str">
        <f>IFERROR(__xludf.DUMMYFUNCTION("""COMPUTED_VALUE"""),"Wls Solucoes Empresariais Ltda")</f>
        <v>Wls Solucoes Empresariais Ltda</v>
      </c>
      <c r="P9339" s="33">
        <f>IFERROR(__xludf.DUMMYFUNCTION("""COMPUTED_VALUE"""),1.0)</f>
        <v>1</v>
      </c>
      <c r="Q9339" s="4" t="str">
        <f>IFERROR(__xludf.DUMMYFUNCTION("""COMPUTED_VALUE"""),"Wls Solucoes Empresariais Ltda")</f>
        <v>Wls Solucoes Empresariais Ltda</v>
      </c>
      <c r="R9339" s="33">
        <f>IFERROR(__xludf.DUMMYFUNCTION("""COMPUTED_VALUE"""),1.0)</f>
        <v>1</v>
      </c>
      <c r="S9339" s="4" t="str">
        <f>IFERROR(__xludf.DUMMYFUNCTION("""COMPUTED_VALUE"""),"null")</f>
        <v>null</v>
      </c>
      <c r="T9339" s="33">
        <f>IFERROR(__xludf.DUMMYFUNCTION("""COMPUTED_VALUE"""),1.0)</f>
        <v>1</v>
      </c>
      <c r="U9339" s="4" t="str">
        <f>IFERROR(__xludf.DUMMYFUNCTION("""COMPUTED_VALUE"""),"null")</f>
        <v>null</v>
      </c>
      <c r="V9339" s="33">
        <f>IFERROR(__xludf.DUMMYFUNCTION("""COMPUTED_VALUE"""),1.0)</f>
        <v>1</v>
      </c>
      <c r="W9339" s="4" t="str">
        <f>IFERROR(__xludf.DUMMYFUNCTION("""COMPUTED_VALUE"""),"null")</f>
        <v>null</v>
      </c>
      <c r="X9339" s="33">
        <f>IFERROR(__xludf.DUMMYFUNCTION("""COMPUTED_VALUE"""),1.0)</f>
        <v>1</v>
      </c>
    </row>
    <row r="9340">
      <c r="K9340" s="4" t="str">
        <f>IFERROR(__xludf.DUMMYFUNCTION("""COMPUTED_VALUE"""),"GM DOCES ARTESANAIS")</f>
        <v>GM DOCES ARTESANAIS</v>
      </c>
      <c r="L9340" s="32">
        <f>IFERROR(__xludf.DUMMYFUNCTION("""COMPUTED_VALUE"""),1.0)</f>
        <v>1</v>
      </c>
      <c r="M9340" s="4" t="str">
        <f>IFERROR(__xludf.DUMMYFUNCTION("""COMPUTED_VALUE"""),"null")</f>
        <v>null</v>
      </c>
      <c r="N9340" s="33">
        <f>IFERROR(__xludf.DUMMYFUNCTION("""COMPUTED_VALUE"""),1.0)</f>
        <v>1</v>
      </c>
      <c r="O9340" s="4" t="str">
        <f>IFERROR(__xludf.DUMMYFUNCTION("""COMPUTED_VALUE"""),"null")</f>
        <v>null</v>
      </c>
      <c r="P9340" s="33">
        <f>IFERROR(__xludf.DUMMYFUNCTION("""COMPUTED_VALUE"""),1.0)</f>
        <v>1</v>
      </c>
      <c r="Q9340" s="4" t="str">
        <f>IFERROR(__xludf.DUMMYFUNCTION("""COMPUTED_VALUE"""),"null")</f>
        <v>null</v>
      </c>
      <c r="R9340" s="33">
        <f>IFERROR(__xludf.DUMMYFUNCTION("""COMPUTED_VALUE"""),1.0)</f>
        <v>1</v>
      </c>
      <c r="S9340" s="4" t="str">
        <f>IFERROR(__xludf.DUMMYFUNCTION("""COMPUTED_VALUE"""),"null")</f>
        <v>null</v>
      </c>
      <c r="T9340" s="33">
        <f>IFERROR(__xludf.DUMMYFUNCTION("""COMPUTED_VALUE"""),1.0)</f>
        <v>1</v>
      </c>
      <c r="U9340" s="4" t="str">
        <f>IFERROR(__xludf.DUMMYFUNCTION("""COMPUTED_VALUE"""),"Instadelivery")</f>
        <v>Instadelivery</v>
      </c>
      <c r="V9340" s="33">
        <f>IFERROR(__xludf.DUMMYFUNCTION("""COMPUTED_VALUE"""),1.0)</f>
        <v>1</v>
      </c>
      <c r="W9340" s="4" t="str">
        <f>IFERROR(__xludf.DUMMYFUNCTION("""COMPUTED_VALUE"""),"Instadelivery")</f>
        <v>Instadelivery</v>
      </c>
      <c r="X9340" s="33">
        <f>IFERROR(__xludf.DUMMYFUNCTION("""COMPUTED_VALUE"""),1.0)</f>
        <v>1</v>
      </c>
    </row>
    <row r="9341">
      <c r="K9341" s="4" t="str">
        <f>IFERROR(__xludf.DUMMYFUNCTION("""COMPUTED_VALUE"""),"CEREJA DO BOLO POR GABRIELA WIETCOVSKI")</f>
        <v>CEREJA DO BOLO POR GABRIELA WIETCOVSKI</v>
      </c>
      <c r="L9341" s="32">
        <f>IFERROR(__xludf.DUMMYFUNCTION("""COMPUTED_VALUE"""),1.0)</f>
        <v>1</v>
      </c>
      <c r="M9341" s="4" t="str">
        <f>IFERROR(__xludf.DUMMYFUNCTION("""COMPUTED_VALUE"""),"Instadelivery")</f>
        <v>Instadelivery</v>
      </c>
      <c r="N9341" s="33">
        <f>IFERROR(__xludf.DUMMYFUNCTION("""COMPUTED_VALUE"""),1.0)</f>
        <v>1</v>
      </c>
      <c r="O9341" s="4" t="str">
        <f>IFERROR(__xludf.DUMMYFUNCTION("""COMPUTED_VALUE"""),"Instadelivery")</f>
        <v>Instadelivery</v>
      </c>
      <c r="P9341" s="33">
        <f>IFERROR(__xludf.DUMMYFUNCTION("""COMPUTED_VALUE"""),1.0)</f>
        <v>1</v>
      </c>
      <c r="Q9341" s="4" t="str">
        <f>IFERROR(__xludf.DUMMYFUNCTION("""COMPUTED_VALUE"""),"Instadelivery")</f>
        <v>Instadelivery</v>
      </c>
      <c r="R9341" s="33">
        <f>IFERROR(__xludf.DUMMYFUNCTION("""COMPUTED_VALUE"""),1.0)</f>
        <v>1</v>
      </c>
      <c r="S9341" s="4" t="str">
        <f>IFERROR(__xludf.DUMMYFUNCTION("""COMPUTED_VALUE"""),"Instadelivery")</f>
        <v>Instadelivery</v>
      </c>
      <c r="T9341" s="33">
        <f>IFERROR(__xludf.DUMMYFUNCTION("""COMPUTED_VALUE"""),1.0)</f>
        <v>1</v>
      </c>
      <c r="U9341" s="4" t="str">
        <f>IFERROR(__xludf.DUMMYFUNCTION("""COMPUTED_VALUE"""),"null")</f>
        <v>null</v>
      </c>
      <c r="V9341" s="33">
        <f>IFERROR(__xludf.DUMMYFUNCTION("""COMPUTED_VALUE"""),1.0)</f>
        <v>1</v>
      </c>
      <c r="W9341" s="4" t="str">
        <f>IFERROR(__xludf.DUMMYFUNCTION("""COMPUTED_VALUE"""),"null")</f>
        <v>null</v>
      </c>
      <c r="X9341" s="33">
        <f>IFERROR(__xludf.DUMMYFUNCTION("""COMPUTED_VALUE"""),1.0)</f>
        <v>1</v>
      </c>
    </row>
    <row r="9342">
      <c r="K9342" s="4" t="str">
        <f>IFERROR(__xludf.DUMMYFUNCTION("""COMPUTED_VALUE"""),"ACAI GOURMET BATIDO ARTESANAL")</f>
        <v>ACAI GOURMET BATIDO ARTESANAL</v>
      </c>
      <c r="L9342" s="32">
        <f>IFERROR(__xludf.DUMMYFUNCTION("""COMPUTED_VALUE"""),1.0)</f>
        <v>1</v>
      </c>
      <c r="M9342" s="4" t="str">
        <f>IFERROR(__xludf.DUMMYFUNCTION("""COMPUTED_VALUE"""),"null")</f>
        <v>null</v>
      </c>
      <c r="N9342" s="33">
        <f>IFERROR(__xludf.DUMMYFUNCTION("""COMPUTED_VALUE"""),1.0)</f>
        <v>1</v>
      </c>
      <c r="O9342" s="4" t="str">
        <f>IFERROR(__xludf.DUMMYFUNCTION("""COMPUTED_VALUE"""),"null")</f>
        <v>null</v>
      </c>
      <c r="P9342" s="33">
        <f>IFERROR(__xludf.DUMMYFUNCTION("""COMPUTED_VALUE"""),1.0)</f>
        <v>1</v>
      </c>
      <c r="Q9342" s="4" t="str">
        <f>IFERROR(__xludf.DUMMYFUNCTION("""COMPUTED_VALUE"""),"null")</f>
        <v>null</v>
      </c>
      <c r="R9342" s="33">
        <f>IFERROR(__xludf.DUMMYFUNCTION("""COMPUTED_VALUE"""),1.0)</f>
        <v>1</v>
      </c>
      <c r="S9342" s="4" t="str">
        <f>IFERROR(__xludf.DUMMYFUNCTION("""COMPUTED_VALUE"""),"null")</f>
        <v>null</v>
      </c>
      <c r="T9342" s="33">
        <f>IFERROR(__xludf.DUMMYFUNCTION("""COMPUTED_VALUE"""),1.0)</f>
        <v>1</v>
      </c>
      <c r="U9342" s="4" t="str">
        <f>IFERROR(__xludf.DUMMYFUNCTION("""COMPUTED_VALUE"""),"Saipos Serviços De Software")</f>
        <v>Saipos Serviços De Software</v>
      </c>
      <c r="V9342" s="33">
        <f>IFERROR(__xludf.DUMMYFUNCTION("""COMPUTED_VALUE"""),1.0)</f>
        <v>1</v>
      </c>
      <c r="W9342" s="4" t="str">
        <f>IFERROR(__xludf.DUMMYFUNCTION("""COMPUTED_VALUE"""),"null")</f>
        <v>null</v>
      </c>
      <c r="X9342" s="33">
        <f>IFERROR(__xludf.DUMMYFUNCTION("""COMPUTED_VALUE"""),1.0)</f>
        <v>1</v>
      </c>
    </row>
    <row r="9343">
      <c r="K9343" s="4" t="str">
        <f>IFERROR(__xludf.DUMMYFUNCTION("""COMPUTED_VALUE"""),"MAGICA BURGUER - HAMBURGUERIA ARTESANAL")</f>
        <v>MAGICA BURGUER - HAMBURGUERIA ARTESANAL</v>
      </c>
      <c r="L9343" s="32">
        <f>IFERROR(__xludf.DUMMYFUNCTION("""COMPUTED_VALUE"""),1.0)</f>
        <v>1</v>
      </c>
      <c r="M9343" s="4" t="str">
        <f>IFERROR(__xludf.DUMMYFUNCTION("""COMPUTED_VALUE"""),"Anota Ai Solucoes Digitais S/a")</f>
        <v>Anota Ai Solucoes Digitais S/a</v>
      </c>
      <c r="N9343" s="33">
        <f>IFERROR(__xludf.DUMMYFUNCTION("""COMPUTED_VALUE"""),1.0)</f>
        <v>1</v>
      </c>
      <c r="O9343" s="4" t="str">
        <f>IFERROR(__xludf.DUMMYFUNCTION("""COMPUTED_VALUE"""),"Anota Ai Solucoes Digitais S/a")</f>
        <v>Anota Ai Solucoes Digitais S/a</v>
      </c>
      <c r="P9343" s="33">
        <f>IFERROR(__xludf.DUMMYFUNCTION("""COMPUTED_VALUE"""),1.0)</f>
        <v>1</v>
      </c>
      <c r="Q9343" s="4" t="str">
        <f>IFERROR(__xludf.DUMMYFUNCTION("""COMPUTED_VALUE"""),"Anota Ai Solucoes Digitais S/a")</f>
        <v>Anota Ai Solucoes Digitais S/a</v>
      </c>
      <c r="R9343" s="33">
        <f>IFERROR(__xludf.DUMMYFUNCTION("""COMPUTED_VALUE"""),1.0)</f>
        <v>1</v>
      </c>
      <c r="S9343" s="4" t="str">
        <f>IFERROR(__xludf.DUMMYFUNCTION("""COMPUTED_VALUE"""),"Anota Ai Solucoes Digitais S/a")</f>
        <v>Anota Ai Solucoes Digitais S/a</v>
      </c>
      <c r="T9343" s="33">
        <f>IFERROR(__xludf.DUMMYFUNCTION("""COMPUTED_VALUE"""),1.0)</f>
        <v>1</v>
      </c>
      <c r="U9343" s="4" t="str">
        <f>IFERROR(__xludf.DUMMYFUNCTION("""COMPUTED_VALUE"""),"Anota Ai Solucoes Digitais S/a")</f>
        <v>Anota Ai Solucoes Digitais S/a</v>
      </c>
      <c r="V9343" s="33">
        <f>IFERROR(__xludf.DUMMYFUNCTION("""COMPUTED_VALUE"""),1.0)</f>
        <v>1</v>
      </c>
      <c r="W9343" s="4" t="str">
        <f>IFERROR(__xludf.DUMMYFUNCTION("""COMPUTED_VALUE"""),"Anota Ai Solucoes Digitais S/a")</f>
        <v>Anota Ai Solucoes Digitais S/a</v>
      </c>
      <c r="X9343" s="33">
        <f>IFERROR(__xludf.DUMMYFUNCTION("""COMPUTED_VALUE"""),1.0)</f>
        <v>1</v>
      </c>
    </row>
    <row r="9344">
      <c r="K9344" s="4" t="str">
        <f>IFERROR(__xludf.DUMMYFUNCTION("""COMPUTED_VALUE"""),"OLE CAFE")</f>
        <v>OLE CAFE</v>
      </c>
      <c r="L9344" s="32">
        <f>IFERROR(__xludf.DUMMYFUNCTION("""COMPUTED_VALUE"""),1.0)</f>
        <v>1</v>
      </c>
      <c r="M9344" s="4" t="str">
        <f>IFERROR(__xludf.DUMMYFUNCTION("""COMPUTED_VALUE"""),"Hubster")</f>
        <v>Hubster</v>
      </c>
      <c r="N9344" s="33">
        <f>IFERROR(__xludf.DUMMYFUNCTION("""COMPUTED_VALUE"""),1.0)</f>
        <v>1</v>
      </c>
      <c r="O9344" s="4" t="str">
        <f>IFERROR(__xludf.DUMMYFUNCTION("""COMPUTED_VALUE"""),"Hubster")</f>
        <v>Hubster</v>
      </c>
      <c r="P9344" s="33">
        <f>IFERROR(__xludf.DUMMYFUNCTION("""COMPUTED_VALUE"""),1.0)</f>
        <v>1</v>
      </c>
      <c r="Q9344" s="4" t="str">
        <f>IFERROR(__xludf.DUMMYFUNCTION("""COMPUTED_VALUE"""),"Saipos Serviços De Software")</f>
        <v>Saipos Serviços De Software</v>
      </c>
      <c r="R9344" s="33">
        <f>IFERROR(__xludf.DUMMYFUNCTION("""COMPUTED_VALUE"""),1.0)</f>
        <v>1</v>
      </c>
      <c r="S9344" s="4" t="str">
        <f>IFERROR(__xludf.DUMMYFUNCTION("""COMPUTED_VALUE"""),"Saipos Serviços De Software")</f>
        <v>Saipos Serviços De Software</v>
      </c>
      <c r="T9344" s="33">
        <f>IFERROR(__xludf.DUMMYFUNCTION("""COMPUTED_VALUE"""),1.0)</f>
        <v>1</v>
      </c>
      <c r="U9344" s="4" t="str">
        <f>IFERROR(__xludf.DUMMYFUNCTION("""COMPUTED_VALUE"""),"Saipos Serviços De Software")</f>
        <v>Saipos Serviços De Software</v>
      </c>
      <c r="V9344" s="33">
        <f>IFERROR(__xludf.DUMMYFUNCTION("""COMPUTED_VALUE"""),1.0)</f>
        <v>1</v>
      </c>
      <c r="W9344" s="4" t="str">
        <f>IFERROR(__xludf.DUMMYFUNCTION("""COMPUTED_VALUE"""),"Hubster")</f>
        <v>Hubster</v>
      </c>
      <c r="X9344" s="33">
        <f>IFERROR(__xludf.DUMMYFUNCTION("""COMPUTED_VALUE"""),1.0)</f>
        <v>1</v>
      </c>
    </row>
    <row r="9345">
      <c r="K9345" s="4" t="str">
        <f>IFERROR(__xludf.DUMMYFUNCTION("""COMPUTED_VALUE"""),"INACIUS DONUTS")</f>
        <v>INACIUS DONUTS</v>
      </c>
      <c r="L9345" s="32">
        <f>IFERROR(__xludf.DUMMYFUNCTION("""COMPUTED_VALUE"""),1.0)</f>
        <v>1</v>
      </c>
      <c r="M9345" s="4" t="str">
        <f>IFERROR(__xludf.DUMMYFUNCTION("""COMPUTED_VALUE"""),"Saipos Serviços De Software")</f>
        <v>Saipos Serviços De Software</v>
      </c>
      <c r="N9345" s="33">
        <f>IFERROR(__xludf.DUMMYFUNCTION("""COMPUTED_VALUE"""),1.0)</f>
        <v>1</v>
      </c>
      <c r="O9345" s="4" t="str">
        <f>IFERROR(__xludf.DUMMYFUNCTION("""COMPUTED_VALUE"""),"Saipos Serviços De Software")</f>
        <v>Saipos Serviços De Software</v>
      </c>
      <c r="P9345" s="33">
        <f>IFERROR(__xludf.DUMMYFUNCTION("""COMPUTED_VALUE"""),1.0)</f>
        <v>1</v>
      </c>
      <c r="Q9345" s="4" t="str">
        <f>IFERROR(__xludf.DUMMYFUNCTION("""COMPUTED_VALUE"""),"null")</f>
        <v>null</v>
      </c>
      <c r="R9345" s="33">
        <f>IFERROR(__xludf.DUMMYFUNCTION("""COMPUTED_VALUE"""),1.0)</f>
        <v>1</v>
      </c>
      <c r="S9345" s="4" t="str">
        <f>IFERROR(__xludf.DUMMYFUNCTION("""COMPUTED_VALUE"""),"null")</f>
        <v>null</v>
      </c>
      <c r="T9345" s="33">
        <f>IFERROR(__xludf.DUMMYFUNCTION("""COMPUTED_VALUE"""),1.0)</f>
        <v>1</v>
      </c>
      <c r="U9345" s="4" t="str">
        <f>IFERROR(__xludf.DUMMYFUNCTION("""COMPUTED_VALUE"""),"null")</f>
        <v>null</v>
      </c>
      <c r="V9345" s="33">
        <f>IFERROR(__xludf.DUMMYFUNCTION("""COMPUTED_VALUE"""),1.0)</f>
        <v>1</v>
      </c>
      <c r="W9345" s="4" t="str">
        <f>IFERROR(__xludf.DUMMYFUNCTION("""COMPUTED_VALUE"""),"null")</f>
        <v>null</v>
      </c>
      <c r="X9345" s="33">
        <f>IFERROR(__xludf.DUMMYFUNCTION("""COMPUTED_VALUE"""),1.0)</f>
        <v>1</v>
      </c>
    </row>
    <row r="9346">
      <c r="K9346" s="4" t="str">
        <f>IFERROR(__xludf.DUMMYFUNCTION("""COMPUTED_VALUE"""),"REINO LANCHES")</f>
        <v>REINO LANCHES</v>
      </c>
      <c r="L9346" s="32">
        <f>IFERROR(__xludf.DUMMYFUNCTION("""COMPUTED_VALUE"""),1.0)</f>
        <v>1</v>
      </c>
      <c r="M9346" s="4" t="str">
        <f>IFERROR(__xludf.DUMMYFUNCTION("""COMPUTED_VALUE"""),"null")</f>
        <v>null</v>
      </c>
      <c r="N9346" s="33">
        <f>IFERROR(__xludf.DUMMYFUNCTION("""COMPUTED_VALUE"""),1.0)</f>
        <v>1</v>
      </c>
      <c r="O9346" s="4" t="str">
        <f>IFERROR(__xludf.DUMMYFUNCTION("""COMPUTED_VALUE"""),"null")</f>
        <v>null</v>
      </c>
      <c r="P9346" s="33">
        <f>IFERROR(__xludf.DUMMYFUNCTION("""COMPUTED_VALUE"""),1.0)</f>
        <v>1</v>
      </c>
      <c r="Q9346" s="4" t="str">
        <f>IFERROR(__xludf.DUMMYFUNCTION("""COMPUTED_VALUE"""),"null")</f>
        <v>null</v>
      </c>
      <c r="R9346" s="33">
        <f>IFERROR(__xludf.DUMMYFUNCTION("""COMPUTED_VALUE"""),1.0)</f>
        <v>1</v>
      </c>
      <c r="S9346" s="4" t="str">
        <f>IFERROR(__xludf.DUMMYFUNCTION("""COMPUTED_VALUE"""),"Saipos Serviços De Software")</f>
        <v>Saipos Serviços De Software</v>
      </c>
      <c r="T9346" s="33">
        <f>IFERROR(__xludf.DUMMYFUNCTION("""COMPUTED_VALUE"""),1.0)</f>
        <v>1</v>
      </c>
      <c r="U9346" s="4" t="str">
        <f>IFERROR(__xludf.DUMMYFUNCTION("""COMPUTED_VALUE"""),"Saipos Serviços De Software")</f>
        <v>Saipos Serviços De Software</v>
      </c>
      <c r="V9346" s="33">
        <f>IFERROR(__xludf.DUMMYFUNCTION("""COMPUTED_VALUE"""),1.0)</f>
        <v>1</v>
      </c>
      <c r="W9346" s="4" t="str">
        <f>IFERROR(__xludf.DUMMYFUNCTION("""COMPUTED_VALUE"""),"Saipos Serviços De Software")</f>
        <v>Saipos Serviços De Software</v>
      </c>
      <c r="X9346" s="33">
        <f>IFERROR(__xludf.DUMMYFUNCTION("""COMPUTED_VALUE"""),1.0)</f>
        <v>1</v>
      </c>
    </row>
    <row r="9347">
      <c r="K9347" s="4" t="str">
        <f>IFERROR(__xludf.DUMMYFUNCTION("""COMPUTED_VALUE"""),"BP BEBIDAS EXPRESS")</f>
        <v>BP BEBIDAS EXPRESS</v>
      </c>
      <c r="L9347" s="32">
        <f>IFERROR(__xludf.DUMMYFUNCTION("""COMPUTED_VALUE"""),1.0)</f>
        <v>1</v>
      </c>
      <c r="M9347" s="4" t="str">
        <f>IFERROR(__xludf.DUMMYFUNCTION("""COMPUTED_VALUE"""),"N/A (Not found)")</f>
        <v>N/A (Not found)</v>
      </c>
      <c r="N9347" s="33">
        <f>IFERROR(__xludf.DUMMYFUNCTION("""COMPUTED_VALUE"""),1.0)</f>
        <v>1</v>
      </c>
      <c r="O9347" s="4" t="str">
        <f>IFERROR(__xludf.DUMMYFUNCTION("""COMPUTED_VALUE"""),"N/A (Not found)")</f>
        <v>N/A (Not found)</v>
      </c>
      <c r="P9347" s="33">
        <f>IFERROR(__xludf.DUMMYFUNCTION("""COMPUTED_VALUE"""),1.0)</f>
        <v>1</v>
      </c>
      <c r="Q9347" s="4" t="str">
        <f>IFERROR(__xludf.DUMMYFUNCTION("""COMPUTED_VALUE"""),"N/A (Not found)")</f>
        <v>N/A (Not found)</v>
      </c>
      <c r="R9347" s="33">
        <f>IFERROR(__xludf.DUMMYFUNCTION("""COMPUTED_VALUE"""),1.0)</f>
        <v>1</v>
      </c>
      <c r="S9347" s="4" t="str">
        <f>IFERROR(__xludf.DUMMYFUNCTION("""COMPUTED_VALUE"""),"N/A (Not found)")</f>
        <v>N/A (Not found)</v>
      </c>
      <c r="T9347" s="33">
        <f>IFERROR(__xludf.DUMMYFUNCTION("""COMPUTED_VALUE"""),1.0)</f>
        <v>1</v>
      </c>
      <c r="U9347" s="4" t="str">
        <f>IFERROR(__xludf.DUMMYFUNCTION("""COMPUTED_VALUE"""),"null")</f>
        <v>null</v>
      </c>
      <c r="V9347" s="33">
        <f>IFERROR(__xludf.DUMMYFUNCTION("""COMPUTED_VALUE"""),1.0)</f>
        <v>1</v>
      </c>
      <c r="W9347" s="4" t="str">
        <f>IFERROR(__xludf.DUMMYFUNCTION("""COMPUTED_VALUE"""),"null")</f>
        <v>null</v>
      </c>
      <c r="X9347" s="33">
        <f>IFERROR(__xludf.DUMMYFUNCTION("""COMPUTED_VALUE"""),1.0)</f>
        <v>1</v>
      </c>
    </row>
    <row r="9348">
      <c r="K9348" s="4" t="str">
        <f>IFERROR(__xludf.DUMMYFUNCTION("""COMPUTED_VALUE"""),"BUZZ ACAI")</f>
        <v>BUZZ ACAI</v>
      </c>
      <c r="L9348" s="32">
        <f>IFERROR(__xludf.DUMMYFUNCTION("""COMPUTED_VALUE"""),1.0)</f>
        <v>1</v>
      </c>
      <c r="M9348" s="4" t="str">
        <f>IFERROR(__xludf.DUMMYFUNCTION("""COMPUTED_VALUE"""),"null")</f>
        <v>null</v>
      </c>
      <c r="N9348" s="33">
        <f>IFERROR(__xludf.DUMMYFUNCTION("""COMPUTED_VALUE"""),1.0)</f>
        <v>1</v>
      </c>
      <c r="O9348" s="4" t="str">
        <f>IFERROR(__xludf.DUMMYFUNCTION("""COMPUTED_VALUE"""),"null")</f>
        <v>null</v>
      </c>
      <c r="P9348" s="33">
        <f>IFERROR(__xludf.DUMMYFUNCTION("""COMPUTED_VALUE"""),1.0)</f>
        <v>1</v>
      </c>
      <c r="Q9348" s="4" t="str">
        <f>IFERROR(__xludf.DUMMYFUNCTION("""COMPUTED_VALUE"""),"null")</f>
        <v>null</v>
      </c>
      <c r="R9348" s="33">
        <f>IFERROR(__xludf.DUMMYFUNCTION("""COMPUTED_VALUE"""),1.0)</f>
        <v>1</v>
      </c>
      <c r="S9348" s="4" t="str">
        <f>IFERROR(__xludf.DUMMYFUNCTION("""COMPUTED_VALUE"""),"null")</f>
        <v>null</v>
      </c>
      <c r="T9348" s="33">
        <f>IFERROR(__xludf.DUMMYFUNCTION("""COMPUTED_VALUE"""),1.0)</f>
        <v>1</v>
      </c>
      <c r="U9348" s="4" t="str">
        <f>IFERROR(__xludf.DUMMYFUNCTION("""COMPUTED_VALUE"""),"Mp Multipedidos")</f>
        <v>Mp Multipedidos</v>
      </c>
      <c r="V9348" s="33">
        <f>IFERROR(__xludf.DUMMYFUNCTION("""COMPUTED_VALUE"""),1.0)</f>
        <v>1</v>
      </c>
      <c r="W9348" s="4" t="str">
        <f>IFERROR(__xludf.DUMMYFUNCTION("""COMPUTED_VALUE"""),"Mp Multipedidos")</f>
        <v>Mp Multipedidos</v>
      </c>
      <c r="X9348" s="33">
        <f>IFERROR(__xludf.DUMMYFUNCTION("""COMPUTED_VALUE"""),1.0)</f>
        <v>1</v>
      </c>
    </row>
    <row r="9349">
      <c r="K9349" s="4" t="str">
        <f>IFERROR(__xludf.DUMMYFUNCTION("""COMPUTED_VALUE"""),"MAGIA EM JOGO")</f>
        <v>MAGIA EM JOGO</v>
      </c>
      <c r="L9349" s="32">
        <f>IFERROR(__xludf.DUMMYFUNCTION("""COMPUTED_VALUE"""),1.0)</f>
        <v>1</v>
      </c>
      <c r="M9349" s="4" t="str">
        <f>IFERROR(__xludf.DUMMYFUNCTION("""COMPUTED_VALUE"""),"N/A (Not found)")</f>
        <v>N/A (Not found)</v>
      </c>
      <c r="N9349" s="33">
        <f>IFERROR(__xludf.DUMMYFUNCTION("""COMPUTED_VALUE"""),1.0)</f>
        <v>1</v>
      </c>
      <c r="O9349" s="4" t="str">
        <f>IFERROR(__xludf.DUMMYFUNCTION("""COMPUTED_VALUE"""),"N/A (Not found)")</f>
        <v>N/A (Not found)</v>
      </c>
      <c r="P9349" s="33">
        <f>IFERROR(__xludf.DUMMYFUNCTION("""COMPUTED_VALUE"""),1.0)</f>
        <v>1</v>
      </c>
      <c r="Q9349" s="4" t="str">
        <f>IFERROR(__xludf.DUMMYFUNCTION("""COMPUTED_VALUE"""),"N/A (Not found)")</f>
        <v>N/A (Not found)</v>
      </c>
      <c r="R9349" s="33">
        <f>IFERROR(__xludf.DUMMYFUNCTION("""COMPUTED_VALUE"""),1.0)</f>
        <v>1</v>
      </c>
      <c r="S9349" s="4" t="str">
        <f>IFERROR(__xludf.DUMMYFUNCTION("""COMPUTED_VALUE"""),"N/A (Not found)")</f>
        <v>N/A (Not found)</v>
      </c>
      <c r="T9349" s="33">
        <f>IFERROR(__xludf.DUMMYFUNCTION("""COMPUTED_VALUE"""),1.0)</f>
        <v>1</v>
      </c>
      <c r="U9349" s="4" t="str">
        <f>IFERROR(__xludf.DUMMYFUNCTION("""COMPUTED_VALUE"""),"N/A (Not found)")</f>
        <v>N/A (Not found)</v>
      </c>
      <c r="V9349" s="33">
        <f>IFERROR(__xludf.DUMMYFUNCTION("""COMPUTED_VALUE"""),1.0)</f>
        <v>1</v>
      </c>
      <c r="W9349" s="4" t="str">
        <f>IFERROR(__xludf.DUMMYFUNCTION("""COMPUTED_VALUE"""),"null")</f>
        <v>null</v>
      </c>
      <c r="X9349" s="33">
        <f>IFERROR(__xludf.DUMMYFUNCTION("""COMPUTED_VALUE"""),1.0)</f>
        <v>1</v>
      </c>
    </row>
    <row r="9350">
      <c r="K9350" s="4" t="str">
        <f>IFERROR(__xludf.DUMMYFUNCTION("""COMPUTED_VALUE"""),"PIZZA PARQUE - PIZZARIA DELIVERY EM CAMPINAS")</f>
        <v>PIZZA PARQUE - PIZZARIA DELIVERY EM CAMPINAS</v>
      </c>
      <c r="L9350" s="32">
        <f>IFERROR(__xludf.DUMMYFUNCTION("""COMPUTED_VALUE"""),1.0)</f>
        <v>1</v>
      </c>
      <c r="M9350" s="4" t="str">
        <f>IFERROR(__xludf.DUMMYFUNCTION("""COMPUTED_VALUE"""),"Cardápio Web")</f>
        <v>Cardápio Web</v>
      </c>
      <c r="N9350" s="33">
        <f>IFERROR(__xludf.DUMMYFUNCTION("""COMPUTED_VALUE"""),1.0)</f>
        <v>1</v>
      </c>
      <c r="O9350" s="4" t="str">
        <f>IFERROR(__xludf.DUMMYFUNCTION("""COMPUTED_VALUE"""),"Cardápio Web")</f>
        <v>Cardápio Web</v>
      </c>
      <c r="P9350" s="33">
        <f>IFERROR(__xludf.DUMMYFUNCTION("""COMPUTED_VALUE"""),1.0)</f>
        <v>1</v>
      </c>
      <c r="Q9350" s="4" t="str">
        <f>IFERROR(__xludf.DUMMYFUNCTION("""COMPUTED_VALUE"""),"Cardápio Web")</f>
        <v>Cardápio Web</v>
      </c>
      <c r="R9350" s="33">
        <f>IFERROR(__xludf.DUMMYFUNCTION("""COMPUTED_VALUE"""),1.0)</f>
        <v>1</v>
      </c>
      <c r="S9350" s="4" t="str">
        <f>IFERROR(__xludf.DUMMYFUNCTION("""COMPUTED_VALUE"""),"Cardápio Web")</f>
        <v>Cardápio Web</v>
      </c>
      <c r="T9350" s="33">
        <f>IFERROR(__xludf.DUMMYFUNCTION("""COMPUTED_VALUE"""),1.0)</f>
        <v>1</v>
      </c>
      <c r="U9350" s="4" t="str">
        <f>IFERROR(__xludf.DUMMYFUNCTION("""COMPUTED_VALUE"""),"Cardápio Web")</f>
        <v>Cardápio Web</v>
      </c>
      <c r="V9350" s="33">
        <f>IFERROR(__xludf.DUMMYFUNCTION("""COMPUTED_VALUE"""),1.0)</f>
        <v>1</v>
      </c>
      <c r="W9350" s="4" t="str">
        <f>IFERROR(__xludf.DUMMYFUNCTION("""COMPUTED_VALUE"""),"Cardápio Web")</f>
        <v>Cardápio Web</v>
      </c>
      <c r="X9350" s="33">
        <f>IFERROR(__xludf.DUMMYFUNCTION("""COMPUTED_VALUE"""),1.0)</f>
        <v>1</v>
      </c>
    </row>
    <row r="9351">
      <c r="K9351" s="4" t="str">
        <f>IFERROR(__xludf.DUMMYFUNCTION("""COMPUTED_VALUE"""),"MIX EMPORIO")</f>
        <v>MIX EMPORIO</v>
      </c>
      <c r="L9351" s="32">
        <f>IFERROR(__xludf.DUMMYFUNCTION("""COMPUTED_VALUE"""),1.0)</f>
        <v>1</v>
      </c>
      <c r="M9351" s="4" t="str">
        <f>IFERROR(__xludf.DUMMYFUNCTION("""COMPUTED_VALUE"""),"N/A (Not found)")</f>
        <v>N/A (Not found)</v>
      </c>
      <c r="N9351" s="33">
        <f>IFERROR(__xludf.DUMMYFUNCTION("""COMPUTED_VALUE"""),1.0)</f>
        <v>1</v>
      </c>
      <c r="O9351" s="4" t="str">
        <f>IFERROR(__xludf.DUMMYFUNCTION("""COMPUTED_VALUE"""),"N/A (Not found)")</f>
        <v>N/A (Not found)</v>
      </c>
      <c r="P9351" s="33">
        <f>IFERROR(__xludf.DUMMYFUNCTION("""COMPUTED_VALUE"""),1.0)</f>
        <v>1</v>
      </c>
      <c r="Q9351" s="4" t="str">
        <f>IFERROR(__xludf.DUMMYFUNCTION("""COMPUTED_VALUE"""),"N/A (Not found)")</f>
        <v>N/A (Not found)</v>
      </c>
      <c r="R9351" s="33">
        <f>IFERROR(__xludf.DUMMYFUNCTION("""COMPUTED_VALUE"""),1.0)</f>
        <v>1</v>
      </c>
      <c r="S9351" s="4" t="str">
        <f>IFERROR(__xludf.DUMMYFUNCTION("""COMPUTED_VALUE"""),"N/A (Not found)")</f>
        <v>N/A (Not found)</v>
      </c>
      <c r="T9351" s="33">
        <f>IFERROR(__xludf.DUMMYFUNCTION("""COMPUTED_VALUE"""),1.0)</f>
        <v>1</v>
      </c>
      <c r="U9351" s="4" t="str">
        <f>IFERROR(__xludf.DUMMYFUNCTION("""COMPUTED_VALUE"""),"N/A (Not found)")</f>
        <v>N/A (Not found)</v>
      </c>
      <c r="V9351" s="33">
        <f>IFERROR(__xludf.DUMMYFUNCTION("""COMPUTED_VALUE"""),1.0)</f>
        <v>1</v>
      </c>
      <c r="W9351" s="4" t="str">
        <f>IFERROR(__xludf.DUMMYFUNCTION("""COMPUTED_VALUE"""),"N/A (Not found)")</f>
        <v>N/A (Not found)</v>
      </c>
      <c r="X9351" s="33">
        <f>IFERROR(__xludf.DUMMYFUNCTION("""COMPUTED_VALUE"""),1.0)</f>
        <v>1</v>
      </c>
    </row>
    <row r="9352">
      <c r="K9352" s="4" t="str">
        <f>IFERROR(__xludf.DUMMYFUNCTION("""COMPUTED_VALUE"""),"TATUCITY - COMIDA CASEIRA")</f>
        <v>TATUCITY - COMIDA CASEIRA</v>
      </c>
      <c r="L9352" s="32">
        <f>IFERROR(__xludf.DUMMYFUNCTION("""COMPUTED_VALUE"""),1.0)</f>
        <v>1</v>
      </c>
      <c r="M9352" s="4" t="str">
        <f>IFERROR(__xludf.DUMMYFUNCTION("""COMPUTED_VALUE"""),"Saipos Serviços De Software")</f>
        <v>Saipos Serviços De Software</v>
      </c>
      <c r="N9352" s="33">
        <f>IFERROR(__xludf.DUMMYFUNCTION("""COMPUTED_VALUE"""),1.0)</f>
        <v>1</v>
      </c>
      <c r="O9352" s="4" t="str">
        <f>IFERROR(__xludf.DUMMYFUNCTION("""COMPUTED_VALUE"""),"Saipos Serviços De Software")</f>
        <v>Saipos Serviços De Software</v>
      </c>
      <c r="P9352" s="33">
        <f>IFERROR(__xludf.DUMMYFUNCTION("""COMPUTED_VALUE"""),1.0)</f>
        <v>1</v>
      </c>
      <c r="Q9352" s="4" t="str">
        <f>IFERROR(__xludf.DUMMYFUNCTION("""COMPUTED_VALUE"""),"Saipos Serviços De Software")</f>
        <v>Saipos Serviços De Software</v>
      </c>
      <c r="R9352" s="33">
        <f>IFERROR(__xludf.DUMMYFUNCTION("""COMPUTED_VALUE"""),1.0)</f>
        <v>1</v>
      </c>
      <c r="S9352" s="4" t="str">
        <f>IFERROR(__xludf.DUMMYFUNCTION("""COMPUTED_VALUE"""),"Saipos Serviços De Software")</f>
        <v>Saipos Serviços De Software</v>
      </c>
      <c r="T9352" s="33">
        <f>IFERROR(__xludf.DUMMYFUNCTION("""COMPUTED_VALUE"""),1.0)</f>
        <v>1</v>
      </c>
      <c r="U9352" s="4" t="str">
        <f>IFERROR(__xludf.DUMMYFUNCTION("""COMPUTED_VALUE"""),"Saipos Serviços De Software")</f>
        <v>Saipos Serviços De Software</v>
      </c>
      <c r="V9352" s="33">
        <f>IFERROR(__xludf.DUMMYFUNCTION("""COMPUTED_VALUE"""),1.0)</f>
        <v>1</v>
      </c>
      <c r="W9352" s="4" t="str">
        <f>IFERROR(__xludf.DUMMYFUNCTION("""COMPUTED_VALUE"""),"Saipos Serviços De Software")</f>
        <v>Saipos Serviços De Software</v>
      </c>
      <c r="X9352" s="33">
        <f>IFERROR(__xludf.DUMMYFUNCTION("""COMPUTED_VALUE"""),1.0)</f>
        <v>1</v>
      </c>
    </row>
    <row r="9353">
      <c r="K9353" s="4" t="str">
        <f>IFERROR(__xludf.DUMMYFUNCTION("""COMPUTED_VALUE"""),"SO VEM LANCHES - HAMBURGUERIA , COMBOS , BATATAS , PETISCOS")</f>
        <v>SO VEM LANCHES - HAMBURGUERIA , COMBOS , BATATAS , PETISCOS</v>
      </c>
      <c r="L9353" s="32">
        <f>IFERROR(__xludf.DUMMYFUNCTION("""COMPUTED_VALUE"""),1.0)</f>
        <v>1</v>
      </c>
      <c r="M9353" s="4" t="str">
        <f>IFERROR(__xludf.DUMMYFUNCTION("""COMPUTED_VALUE"""),"Mp Multipedidos")</f>
        <v>Mp Multipedidos</v>
      </c>
      <c r="N9353" s="33">
        <f>IFERROR(__xludf.DUMMYFUNCTION("""COMPUTED_VALUE"""),1.0)</f>
        <v>1</v>
      </c>
      <c r="O9353" s="4" t="str">
        <f>IFERROR(__xludf.DUMMYFUNCTION("""COMPUTED_VALUE"""),"Mp Multipedidos")</f>
        <v>Mp Multipedidos</v>
      </c>
      <c r="P9353" s="33">
        <f>IFERROR(__xludf.DUMMYFUNCTION("""COMPUTED_VALUE"""),1.0)</f>
        <v>1</v>
      </c>
      <c r="Q9353" s="4" t="str">
        <f>IFERROR(__xludf.DUMMYFUNCTION("""COMPUTED_VALUE"""),"Mp Multipedidos")</f>
        <v>Mp Multipedidos</v>
      </c>
      <c r="R9353" s="33">
        <f>IFERROR(__xludf.DUMMYFUNCTION("""COMPUTED_VALUE"""),1.0)</f>
        <v>1</v>
      </c>
      <c r="S9353" s="4" t="str">
        <f>IFERROR(__xludf.DUMMYFUNCTION("""COMPUTED_VALUE"""),"Mp Multipedidos")</f>
        <v>Mp Multipedidos</v>
      </c>
      <c r="T9353" s="33">
        <f>IFERROR(__xludf.DUMMYFUNCTION("""COMPUTED_VALUE"""),1.0)</f>
        <v>1</v>
      </c>
      <c r="U9353" s="4" t="str">
        <f>IFERROR(__xludf.DUMMYFUNCTION("""COMPUTED_VALUE"""),"Mp Multipedidos")</f>
        <v>Mp Multipedidos</v>
      </c>
      <c r="V9353" s="33">
        <f>IFERROR(__xludf.DUMMYFUNCTION("""COMPUTED_VALUE"""),1.0)</f>
        <v>1</v>
      </c>
      <c r="W9353" s="4" t="str">
        <f>IFERROR(__xludf.DUMMYFUNCTION("""COMPUTED_VALUE"""),"Mp Multipedidos")</f>
        <v>Mp Multipedidos</v>
      </c>
      <c r="X9353" s="33">
        <f>IFERROR(__xludf.DUMMYFUNCTION("""COMPUTED_VALUE"""),1.0)</f>
        <v>1</v>
      </c>
    </row>
    <row r="9354">
      <c r="K9354" s="4" t="str">
        <f>IFERROR(__xludf.DUMMYFUNCTION("""COMPUTED_VALUE"""),"SNOW COFFEE ICE CREAM")</f>
        <v>SNOW COFFEE ICE CREAM</v>
      </c>
      <c r="L9354" s="32">
        <f>IFERROR(__xludf.DUMMYFUNCTION("""COMPUTED_VALUE"""),1.0)</f>
        <v>1</v>
      </c>
      <c r="M9354" s="4" t="str">
        <f>IFERROR(__xludf.DUMMYFUNCTION("""COMPUTED_VALUE"""),"Saipos Serviços De Software")</f>
        <v>Saipos Serviços De Software</v>
      </c>
      <c r="N9354" s="33">
        <f>IFERROR(__xludf.DUMMYFUNCTION("""COMPUTED_VALUE"""),1.0)</f>
        <v>1</v>
      </c>
      <c r="O9354" s="4" t="str">
        <f>IFERROR(__xludf.DUMMYFUNCTION("""COMPUTED_VALUE"""),"null")</f>
        <v>null</v>
      </c>
      <c r="P9354" s="33">
        <f>IFERROR(__xludf.DUMMYFUNCTION("""COMPUTED_VALUE"""),1.0)</f>
        <v>1</v>
      </c>
      <c r="Q9354" s="4" t="str">
        <f>IFERROR(__xludf.DUMMYFUNCTION("""COMPUTED_VALUE"""),"null")</f>
        <v>null</v>
      </c>
      <c r="R9354" s="33">
        <f>IFERROR(__xludf.DUMMYFUNCTION("""COMPUTED_VALUE"""),1.0)</f>
        <v>1</v>
      </c>
      <c r="S9354" s="4" t="str">
        <f>IFERROR(__xludf.DUMMYFUNCTION("""COMPUTED_VALUE"""),"Saipos Serviços De Software")</f>
        <v>Saipos Serviços De Software</v>
      </c>
      <c r="T9354" s="33">
        <f>IFERROR(__xludf.DUMMYFUNCTION("""COMPUTED_VALUE"""),1.0)</f>
        <v>1</v>
      </c>
      <c r="U9354" s="4" t="str">
        <f>IFERROR(__xludf.DUMMYFUNCTION("""COMPUTED_VALUE"""),"Saipos Serviços De Software")</f>
        <v>Saipos Serviços De Software</v>
      </c>
      <c r="V9354" s="33">
        <f>IFERROR(__xludf.DUMMYFUNCTION("""COMPUTED_VALUE"""),1.0)</f>
        <v>1</v>
      </c>
      <c r="W9354" s="4" t="str">
        <f>IFERROR(__xludf.DUMMYFUNCTION("""COMPUTED_VALUE"""),"Saipos Serviços De Software")</f>
        <v>Saipos Serviços De Software</v>
      </c>
      <c r="X9354" s="33">
        <f>IFERROR(__xludf.DUMMYFUNCTION("""COMPUTED_VALUE"""),1.0)</f>
        <v>1</v>
      </c>
    </row>
    <row r="9355">
      <c r="K9355" s="4" t="str">
        <f>IFERROR(__xludf.DUMMYFUNCTION("""COMPUTED_VALUE"""),"ESPETINHO DA MARI")</f>
        <v>ESPETINHO DA MARI</v>
      </c>
      <c r="L9355" s="32">
        <f>IFERROR(__xludf.DUMMYFUNCTION("""COMPUTED_VALUE"""),1.0)</f>
        <v>1</v>
      </c>
      <c r="M9355" s="4" t="str">
        <f>IFERROR(__xludf.DUMMYFUNCTION("""COMPUTED_VALUE"""),"null")</f>
        <v>null</v>
      </c>
      <c r="N9355" s="33">
        <f>IFERROR(__xludf.DUMMYFUNCTION("""COMPUTED_VALUE"""),1.0)</f>
        <v>1</v>
      </c>
      <c r="O9355" s="4" t="str">
        <f>IFERROR(__xludf.DUMMYFUNCTION("""COMPUTED_VALUE"""),"null")</f>
        <v>null</v>
      </c>
      <c r="P9355" s="33">
        <f>IFERROR(__xludf.DUMMYFUNCTION("""COMPUTED_VALUE"""),1.0)</f>
        <v>1</v>
      </c>
      <c r="Q9355" s="4" t="str">
        <f>IFERROR(__xludf.DUMMYFUNCTION("""COMPUTED_VALUE"""),"Saipos Serviços De Software")</f>
        <v>Saipos Serviços De Software</v>
      </c>
      <c r="R9355" s="33">
        <f>IFERROR(__xludf.DUMMYFUNCTION("""COMPUTED_VALUE"""),1.0)</f>
        <v>1</v>
      </c>
      <c r="S9355" s="4" t="str">
        <f>IFERROR(__xludf.DUMMYFUNCTION("""COMPUTED_VALUE"""),"Saipos Serviços De Software")</f>
        <v>Saipos Serviços De Software</v>
      </c>
      <c r="T9355" s="33">
        <f>IFERROR(__xludf.DUMMYFUNCTION("""COMPUTED_VALUE"""),1.0)</f>
        <v>1</v>
      </c>
      <c r="U9355" s="4" t="str">
        <f>IFERROR(__xludf.DUMMYFUNCTION("""COMPUTED_VALUE"""),"Saipos Serviços De Software")</f>
        <v>Saipos Serviços De Software</v>
      </c>
      <c r="V9355" s="33">
        <f>IFERROR(__xludf.DUMMYFUNCTION("""COMPUTED_VALUE"""),1.0)</f>
        <v>1</v>
      </c>
      <c r="W9355" s="4" t="str">
        <f>IFERROR(__xludf.DUMMYFUNCTION("""COMPUTED_VALUE"""),"Saipos Serviços De Software")</f>
        <v>Saipos Serviços De Software</v>
      </c>
      <c r="X9355" s="33">
        <f>IFERROR(__xludf.DUMMYFUNCTION("""COMPUTED_VALUE"""),1.0)</f>
        <v>1</v>
      </c>
    </row>
    <row r="9356">
      <c r="K9356" s="4" t="str">
        <f>IFERROR(__xludf.DUMMYFUNCTION("""COMPUTED_VALUE"""),"HAMBURGUERIA THEDINER")</f>
        <v>HAMBURGUERIA THEDINER</v>
      </c>
      <c r="L9356" s="32">
        <f>IFERROR(__xludf.DUMMYFUNCTION("""COMPUTED_VALUE"""),1.0)</f>
        <v>1</v>
      </c>
      <c r="M9356" s="4" t="str">
        <f>IFERROR(__xludf.DUMMYFUNCTION("""COMPUTED_VALUE"""),"Brendi")</f>
        <v>Brendi</v>
      </c>
      <c r="N9356" s="33">
        <f>IFERROR(__xludf.DUMMYFUNCTION("""COMPUTED_VALUE"""),1.0)</f>
        <v>1</v>
      </c>
      <c r="O9356" s="4" t="str">
        <f>IFERROR(__xludf.DUMMYFUNCTION("""COMPUTED_VALUE"""),"Brendi")</f>
        <v>Brendi</v>
      </c>
      <c r="P9356" s="33">
        <f>IFERROR(__xludf.DUMMYFUNCTION("""COMPUTED_VALUE"""),1.0)</f>
        <v>1</v>
      </c>
      <c r="Q9356" s="4" t="str">
        <f>IFERROR(__xludf.DUMMYFUNCTION("""COMPUTED_VALUE"""),"Brendi")</f>
        <v>Brendi</v>
      </c>
      <c r="R9356" s="33">
        <f>IFERROR(__xludf.DUMMYFUNCTION("""COMPUTED_VALUE"""),1.0)</f>
        <v>1</v>
      </c>
      <c r="S9356" s="4" t="str">
        <f>IFERROR(__xludf.DUMMYFUNCTION("""COMPUTED_VALUE"""),"Brendi")</f>
        <v>Brendi</v>
      </c>
      <c r="T9356" s="33">
        <f>IFERROR(__xludf.DUMMYFUNCTION("""COMPUTED_VALUE"""),1.0)</f>
        <v>1</v>
      </c>
      <c r="U9356" s="4" t="str">
        <f>IFERROR(__xludf.DUMMYFUNCTION("""COMPUTED_VALUE"""),"null")</f>
        <v>null</v>
      </c>
      <c r="V9356" s="33">
        <f>IFERROR(__xludf.DUMMYFUNCTION("""COMPUTED_VALUE"""),1.0)</f>
        <v>1</v>
      </c>
      <c r="W9356" s="4" t="str">
        <f>IFERROR(__xludf.DUMMYFUNCTION("""COMPUTED_VALUE"""),"null")</f>
        <v>null</v>
      </c>
      <c r="X9356" s="33">
        <f>IFERROR(__xludf.DUMMYFUNCTION("""COMPUTED_VALUE"""),1.0)</f>
        <v>1</v>
      </c>
    </row>
    <row r="9357">
      <c r="K9357" s="4" t="str">
        <f>IFERROR(__xludf.DUMMYFUNCTION("""COMPUTED_VALUE"""),"DELLA BRIANZA VERA PIZZA NAPOLETANA")</f>
        <v>DELLA BRIANZA VERA PIZZA NAPOLETANA</v>
      </c>
      <c r="L9357" s="32">
        <f>IFERROR(__xludf.DUMMYFUNCTION("""COMPUTED_VALUE"""),1.0)</f>
        <v>1</v>
      </c>
      <c r="M9357" s="4" t="str">
        <f>IFERROR(__xludf.DUMMYFUNCTION("""COMPUTED_VALUE"""),"Beefood - Sistema Para Restaurantes")</f>
        <v>Beefood - Sistema Para Restaurantes</v>
      </c>
      <c r="N9357" s="33">
        <f>IFERROR(__xludf.DUMMYFUNCTION("""COMPUTED_VALUE"""),1.0)</f>
        <v>1</v>
      </c>
      <c r="O9357" s="4" t="str">
        <f>IFERROR(__xludf.DUMMYFUNCTION("""COMPUTED_VALUE"""),"null")</f>
        <v>null</v>
      </c>
      <c r="P9357" s="33">
        <f>IFERROR(__xludf.DUMMYFUNCTION("""COMPUTED_VALUE"""),1.0)</f>
        <v>1</v>
      </c>
      <c r="Q9357" s="4" t="str">
        <f>IFERROR(__xludf.DUMMYFUNCTION("""COMPUTED_VALUE"""),"null")</f>
        <v>null</v>
      </c>
      <c r="R9357" s="33">
        <f>IFERROR(__xludf.DUMMYFUNCTION("""COMPUTED_VALUE"""),1.0)</f>
        <v>1</v>
      </c>
      <c r="S9357" s="4" t="str">
        <f>IFERROR(__xludf.DUMMYFUNCTION("""COMPUTED_VALUE"""),"null")</f>
        <v>null</v>
      </c>
      <c r="T9357" s="33">
        <f>IFERROR(__xludf.DUMMYFUNCTION("""COMPUTED_VALUE"""),1.0)</f>
        <v>1</v>
      </c>
      <c r="U9357" s="4" t="str">
        <f>IFERROR(__xludf.DUMMYFUNCTION("""COMPUTED_VALUE"""),"Beefood - Sistema Para Restaurantes")</f>
        <v>Beefood - Sistema Para Restaurantes</v>
      </c>
      <c r="V9357" s="33">
        <f>IFERROR(__xludf.DUMMYFUNCTION("""COMPUTED_VALUE"""),1.0)</f>
        <v>1</v>
      </c>
      <c r="W9357" s="4" t="str">
        <f>IFERROR(__xludf.DUMMYFUNCTION("""COMPUTED_VALUE"""),"null")</f>
        <v>null</v>
      </c>
      <c r="X9357" s="33">
        <f>IFERROR(__xludf.DUMMYFUNCTION("""COMPUTED_VALUE"""),1.0)</f>
        <v>1</v>
      </c>
    </row>
    <row r="9358">
      <c r="K9358" s="4" t="str">
        <f>IFERROR(__xludf.DUMMYFUNCTION("""COMPUTED_VALUE"""),"R BURGUER")</f>
        <v>R BURGUER</v>
      </c>
      <c r="L9358" s="32">
        <f>IFERROR(__xludf.DUMMYFUNCTION("""COMPUTED_VALUE"""),1.0)</f>
        <v>1</v>
      </c>
      <c r="M9358" s="4" t="str">
        <f>IFERROR(__xludf.DUMMYFUNCTION("""COMPUTED_VALUE"""),"null")</f>
        <v>null</v>
      </c>
      <c r="N9358" s="33">
        <f>IFERROR(__xludf.DUMMYFUNCTION("""COMPUTED_VALUE"""),1.0)</f>
        <v>1</v>
      </c>
      <c r="O9358" s="4" t="str">
        <f>IFERROR(__xludf.DUMMYFUNCTION("""COMPUTED_VALUE"""),"null")</f>
        <v>null</v>
      </c>
      <c r="P9358" s="33">
        <f>IFERROR(__xludf.DUMMYFUNCTION("""COMPUTED_VALUE"""),1.0)</f>
        <v>1</v>
      </c>
      <c r="Q9358" s="4" t="str">
        <f>IFERROR(__xludf.DUMMYFUNCTION("""COMPUTED_VALUE"""),"Cardápio Web")</f>
        <v>Cardápio Web</v>
      </c>
      <c r="R9358" s="33">
        <f>IFERROR(__xludf.DUMMYFUNCTION("""COMPUTED_VALUE"""),1.0)</f>
        <v>1</v>
      </c>
      <c r="S9358" s="4" t="str">
        <f>IFERROR(__xludf.DUMMYFUNCTION("""COMPUTED_VALUE"""),"Cardápio Web")</f>
        <v>Cardápio Web</v>
      </c>
      <c r="T9358" s="33">
        <f>IFERROR(__xludf.DUMMYFUNCTION("""COMPUTED_VALUE"""),1.0)</f>
        <v>1</v>
      </c>
      <c r="U9358" s="4" t="str">
        <f>IFERROR(__xludf.DUMMYFUNCTION("""COMPUTED_VALUE"""),"Cardápio Web")</f>
        <v>Cardápio Web</v>
      </c>
      <c r="V9358" s="33">
        <f>IFERROR(__xludf.DUMMYFUNCTION("""COMPUTED_VALUE"""),1.0)</f>
        <v>1</v>
      </c>
      <c r="W9358" s="4" t="str">
        <f>IFERROR(__xludf.DUMMYFUNCTION("""COMPUTED_VALUE"""),"Cardápio Web")</f>
        <v>Cardápio Web</v>
      </c>
      <c r="X9358" s="33">
        <f>IFERROR(__xludf.DUMMYFUNCTION("""COMPUTED_VALUE"""),1.0)</f>
        <v>1</v>
      </c>
    </row>
    <row r="9359">
      <c r="K9359" s="4" t="str">
        <f>IFERROR(__xludf.DUMMYFUNCTION("""COMPUTED_VALUE"""),"DROGARIA POUPAQUI SBC - MONTANHAO")</f>
        <v>DROGARIA POUPAQUI SBC - MONTANHAO</v>
      </c>
      <c r="L9359" s="32">
        <f>IFERROR(__xludf.DUMMYFUNCTION("""COMPUTED_VALUE"""),1.0)</f>
        <v>1</v>
      </c>
      <c r="M9359" s="4" t="str">
        <f>IFERROR(__xludf.DUMMYFUNCTION("""COMPUTED_VALUE"""),"N/A (Not found)")</f>
        <v>N/A (Not found)</v>
      </c>
      <c r="N9359" s="33">
        <f>IFERROR(__xludf.DUMMYFUNCTION("""COMPUTED_VALUE"""),1.0)</f>
        <v>1</v>
      </c>
      <c r="O9359" s="4" t="str">
        <f>IFERROR(__xludf.DUMMYFUNCTION("""COMPUTED_VALUE"""),"N/A (Not found)")</f>
        <v>N/A (Not found)</v>
      </c>
      <c r="P9359" s="33">
        <f>IFERROR(__xludf.DUMMYFUNCTION("""COMPUTED_VALUE"""),1.0)</f>
        <v>1</v>
      </c>
      <c r="Q9359" s="4" t="str">
        <f>IFERROR(__xludf.DUMMYFUNCTION("""COMPUTED_VALUE"""),"N/A (Not found)")</f>
        <v>N/A (Not found)</v>
      </c>
      <c r="R9359" s="33">
        <f>IFERROR(__xludf.DUMMYFUNCTION("""COMPUTED_VALUE"""),1.0)</f>
        <v>1</v>
      </c>
      <c r="S9359" s="4" t="str">
        <f>IFERROR(__xludf.DUMMYFUNCTION("""COMPUTED_VALUE"""),"N/A (Not found)")</f>
        <v>N/A (Not found)</v>
      </c>
      <c r="T9359" s="33">
        <f>IFERROR(__xludf.DUMMYFUNCTION("""COMPUTED_VALUE"""),1.0)</f>
        <v>1</v>
      </c>
      <c r="U9359" s="4" t="str">
        <f>IFERROR(__xludf.DUMMYFUNCTION("""COMPUTED_VALUE"""),"N/A (Not found)")</f>
        <v>N/A (Not found)</v>
      </c>
      <c r="V9359" s="33">
        <f>IFERROR(__xludf.DUMMYFUNCTION("""COMPUTED_VALUE"""),1.0)</f>
        <v>1</v>
      </c>
      <c r="W9359" s="4" t="str">
        <f>IFERROR(__xludf.DUMMYFUNCTION("""COMPUTED_VALUE"""),"N/A (Not found)")</f>
        <v>N/A (Not found)</v>
      </c>
      <c r="X9359" s="33">
        <f>IFERROR(__xludf.DUMMYFUNCTION("""COMPUTED_VALUE"""),1.0)</f>
        <v>1</v>
      </c>
    </row>
    <row r="9360">
      <c r="K9360" s="4" t="str">
        <f>IFERROR(__xludf.DUMMYFUNCTION("""COMPUTED_VALUE"""),"CASA DA RACAO RSB")</f>
        <v>CASA DA RACAO RSB</v>
      </c>
      <c r="L9360" s="32">
        <f>IFERROR(__xludf.DUMMYFUNCTION("""COMPUTED_VALUE"""),1.0)</f>
        <v>1</v>
      </c>
      <c r="M9360" s="4" t="str">
        <f>IFERROR(__xludf.DUMMYFUNCTION("""COMPUTED_VALUE"""),"null")</f>
        <v>null</v>
      </c>
      <c r="N9360" s="33">
        <f>IFERROR(__xludf.DUMMYFUNCTION("""COMPUTED_VALUE"""),1.0)</f>
        <v>1</v>
      </c>
      <c r="O9360" s="4" t="str">
        <f>IFERROR(__xludf.DUMMYFUNCTION("""COMPUTED_VALUE"""),"null")</f>
        <v>null</v>
      </c>
      <c r="P9360" s="33">
        <f>IFERROR(__xludf.DUMMYFUNCTION("""COMPUTED_VALUE"""),1.0)</f>
        <v>1</v>
      </c>
      <c r="Q9360" s="4" t="str">
        <f>IFERROR(__xludf.DUMMYFUNCTION("""COMPUTED_VALUE"""),"null")</f>
        <v>null</v>
      </c>
      <c r="R9360" s="33">
        <f>IFERROR(__xludf.DUMMYFUNCTION("""COMPUTED_VALUE"""),1.0)</f>
        <v>1</v>
      </c>
      <c r="S9360" s="4" t="str">
        <f>IFERROR(__xludf.DUMMYFUNCTION("""COMPUTED_VALUE"""),"null")</f>
        <v>null</v>
      </c>
      <c r="T9360" s="33">
        <f>IFERROR(__xludf.DUMMYFUNCTION("""COMPUTED_VALUE"""),1.0)</f>
        <v>1</v>
      </c>
      <c r="U9360" s="4" t="str">
        <f>IFERROR(__xludf.DUMMYFUNCTION("""COMPUTED_VALUE"""),"N/A (Not found)")</f>
        <v>N/A (Not found)</v>
      </c>
      <c r="V9360" s="33">
        <f>IFERROR(__xludf.DUMMYFUNCTION("""COMPUTED_VALUE"""),1.0)</f>
        <v>1</v>
      </c>
      <c r="W9360" s="4" t="str">
        <f>IFERROR(__xludf.DUMMYFUNCTION("""COMPUTED_VALUE"""),"N/A (Not found)")</f>
        <v>N/A (Not found)</v>
      </c>
      <c r="X9360" s="33">
        <f>IFERROR(__xludf.DUMMYFUNCTION("""COMPUTED_VALUE"""),1.0)</f>
        <v>1</v>
      </c>
    </row>
    <row r="9361">
      <c r="K9361" s="4" t="str">
        <f>IFERROR(__xludf.DUMMYFUNCTION("""COMPUTED_VALUE"""),"ENCANTO - PIZZARIA E CONFEITARIA")</f>
        <v>ENCANTO - PIZZARIA E CONFEITARIA</v>
      </c>
      <c r="L9361" s="32">
        <f>IFERROR(__xludf.DUMMYFUNCTION("""COMPUTED_VALUE"""),1.0)</f>
        <v>1</v>
      </c>
      <c r="M9361" s="4" t="str">
        <f>IFERROR(__xludf.DUMMYFUNCTION("""COMPUTED_VALUE"""),"null")</f>
        <v>null</v>
      </c>
      <c r="N9361" s="33">
        <f>IFERROR(__xludf.DUMMYFUNCTION("""COMPUTED_VALUE"""),1.0)</f>
        <v>1</v>
      </c>
      <c r="O9361" s="4" t="str">
        <f>IFERROR(__xludf.DUMMYFUNCTION("""COMPUTED_VALUE"""),"null")</f>
        <v>null</v>
      </c>
      <c r="P9361" s="33">
        <f>IFERROR(__xludf.DUMMYFUNCTION("""COMPUTED_VALUE"""),1.0)</f>
        <v>1</v>
      </c>
      <c r="Q9361" s="4" t="str">
        <f>IFERROR(__xludf.DUMMYFUNCTION("""COMPUTED_VALUE"""),"Instadelivery")</f>
        <v>Instadelivery</v>
      </c>
      <c r="R9361" s="33">
        <f>IFERROR(__xludf.DUMMYFUNCTION("""COMPUTED_VALUE"""),1.0)</f>
        <v>1</v>
      </c>
      <c r="S9361" s="4" t="str">
        <f>IFERROR(__xludf.DUMMYFUNCTION("""COMPUTED_VALUE"""),"Instadelivery")</f>
        <v>Instadelivery</v>
      </c>
      <c r="T9361" s="33">
        <f>IFERROR(__xludf.DUMMYFUNCTION("""COMPUTED_VALUE"""),1.0)</f>
        <v>1</v>
      </c>
      <c r="U9361" s="4" t="str">
        <f>IFERROR(__xludf.DUMMYFUNCTION("""COMPUTED_VALUE"""),"Instadelivery")</f>
        <v>Instadelivery</v>
      </c>
      <c r="V9361" s="33">
        <f>IFERROR(__xludf.DUMMYFUNCTION("""COMPUTED_VALUE"""),1.0)</f>
        <v>1</v>
      </c>
      <c r="W9361" s="4" t="str">
        <f>IFERROR(__xludf.DUMMYFUNCTION("""COMPUTED_VALUE"""),"null")</f>
        <v>null</v>
      </c>
      <c r="X9361" s="33">
        <f>IFERROR(__xludf.DUMMYFUNCTION("""COMPUTED_VALUE"""),1.0)</f>
        <v>1</v>
      </c>
    </row>
    <row r="9362">
      <c r="K9362" s="4" t="str">
        <f>IFERROR(__xludf.DUMMYFUNCTION("""COMPUTED_VALUE"""),"I LOVE BELLA PIZZA")</f>
        <v>I LOVE BELLA PIZZA</v>
      </c>
      <c r="L9362" s="32">
        <f>IFERROR(__xludf.DUMMYFUNCTION("""COMPUTED_VALUE"""),1.0)</f>
        <v>1</v>
      </c>
      <c r="M9362" s="4" t="str">
        <f>IFERROR(__xludf.DUMMYFUNCTION("""COMPUTED_VALUE"""),"Syslogica - Novo Conceito Em Software")</f>
        <v>Syslogica - Novo Conceito Em Software</v>
      </c>
      <c r="N9362" s="33">
        <f>IFERROR(__xludf.DUMMYFUNCTION("""COMPUTED_VALUE"""),1.0)</f>
        <v>1</v>
      </c>
      <c r="O9362" s="4" t="str">
        <f>IFERROR(__xludf.DUMMYFUNCTION("""COMPUTED_VALUE"""),"null")</f>
        <v>null</v>
      </c>
      <c r="P9362" s="33">
        <f>IFERROR(__xludf.DUMMYFUNCTION("""COMPUTED_VALUE"""),1.0)</f>
        <v>1</v>
      </c>
      <c r="Q9362" s="4" t="str">
        <f>IFERROR(__xludf.DUMMYFUNCTION("""COMPUTED_VALUE"""),"null")</f>
        <v>null</v>
      </c>
      <c r="R9362" s="33">
        <f>IFERROR(__xludf.DUMMYFUNCTION("""COMPUTED_VALUE"""),1.0)</f>
        <v>1</v>
      </c>
      <c r="S9362" s="4" t="str">
        <f>IFERROR(__xludf.DUMMYFUNCTION("""COMPUTED_VALUE"""),"null")</f>
        <v>null</v>
      </c>
      <c r="T9362" s="33">
        <f>IFERROR(__xludf.DUMMYFUNCTION("""COMPUTED_VALUE"""),1.0)</f>
        <v>1</v>
      </c>
      <c r="U9362" s="4" t="str">
        <f>IFERROR(__xludf.DUMMYFUNCTION("""COMPUTED_VALUE"""),"null")</f>
        <v>null</v>
      </c>
      <c r="V9362" s="33">
        <f>IFERROR(__xludf.DUMMYFUNCTION("""COMPUTED_VALUE"""),1.0)</f>
        <v>1</v>
      </c>
      <c r="W9362" s="4" t="str">
        <f>IFERROR(__xludf.DUMMYFUNCTION("""COMPUTED_VALUE"""),"null")</f>
        <v>null</v>
      </c>
      <c r="X9362" s="33">
        <f>IFERROR(__xludf.DUMMYFUNCTION("""COMPUTED_VALUE"""),1.0)</f>
        <v>1</v>
      </c>
    </row>
    <row r="9363">
      <c r="K9363" s="4" t="str">
        <f>IFERROR(__xludf.DUMMYFUNCTION("""COMPUTED_VALUE"""),"CP SOBREMESAS")</f>
        <v>CP SOBREMESAS</v>
      </c>
      <c r="L9363" s="32">
        <f>IFERROR(__xludf.DUMMYFUNCTION("""COMPUTED_VALUE"""),1.0)</f>
        <v>1</v>
      </c>
      <c r="M9363" s="4" t="str">
        <f>IFERROR(__xludf.DUMMYFUNCTION("""COMPUTED_VALUE"""),"null")</f>
        <v>null</v>
      </c>
      <c r="N9363" s="33">
        <f>IFERROR(__xludf.DUMMYFUNCTION("""COMPUTED_VALUE"""),1.0)</f>
        <v>1</v>
      </c>
      <c r="O9363" s="4" t="str">
        <f>IFERROR(__xludf.DUMMYFUNCTION("""COMPUTED_VALUE"""),"null")</f>
        <v>null</v>
      </c>
      <c r="P9363" s="33">
        <f>IFERROR(__xludf.DUMMYFUNCTION("""COMPUTED_VALUE"""),1.0)</f>
        <v>1</v>
      </c>
      <c r="Q9363" s="4" t="str">
        <f>IFERROR(__xludf.DUMMYFUNCTION("""COMPUTED_VALUE"""),"null")</f>
        <v>null</v>
      </c>
      <c r="R9363" s="33">
        <f>IFERROR(__xludf.DUMMYFUNCTION("""COMPUTED_VALUE"""),1.0)</f>
        <v>1</v>
      </c>
      <c r="S9363" s="4" t="str">
        <f>IFERROR(__xludf.DUMMYFUNCTION("""COMPUTED_VALUE"""),"Anota Ai Solucoes Digitais S/a")</f>
        <v>Anota Ai Solucoes Digitais S/a</v>
      </c>
      <c r="T9363" s="33">
        <f>IFERROR(__xludf.DUMMYFUNCTION("""COMPUTED_VALUE"""),1.0)</f>
        <v>1</v>
      </c>
      <c r="U9363" s="4" t="str">
        <f>IFERROR(__xludf.DUMMYFUNCTION("""COMPUTED_VALUE"""),"Anota Ai Solucoes Digitais S/a")</f>
        <v>Anota Ai Solucoes Digitais S/a</v>
      </c>
      <c r="V9363" s="33">
        <f>IFERROR(__xludf.DUMMYFUNCTION("""COMPUTED_VALUE"""),1.0)</f>
        <v>1</v>
      </c>
      <c r="W9363" s="4" t="str">
        <f>IFERROR(__xludf.DUMMYFUNCTION("""COMPUTED_VALUE"""),"Anota Ai Solucoes Digitais S/a")</f>
        <v>Anota Ai Solucoes Digitais S/a</v>
      </c>
      <c r="X9363" s="33">
        <f>IFERROR(__xludf.DUMMYFUNCTION("""COMPUTED_VALUE"""),1.0)</f>
        <v>1</v>
      </c>
    </row>
    <row r="9364">
      <c r="K9364" s="4" t="str">
        <f>IFERROR(__xludf.DUMMYFUNCTION("""COMPUTED_VALUE"""),"HAMBURGUERIA FROIS AREIA BRANCA")</f>
        <v>HAMBURGUERIA FROIS AREIA BRANCA</v>
      </c>
      <c r="L9364" s="32">
        <f>IFERROR(__xludf.DUMMYFUNCTION("""COMPUTED_VALUE"""),1.0)</f>
        <v>1</v>
      </c>
      <c r="M9364" s="4" t="str">
        <f>IFERROR(__xludf.DUMMYFUNCTION("""COMPUTED_VALUE"""),"Cardápio Web")</f>
        <v>Cardápio Web</v>
      </c>
      <c r="N9364" s="33">
        <f>IFERROR(__xludf.DUMMYFUNCTION("""COMPUTED_VALUE"""),1.0)</f>
        <v>1</v>
      </c>
      <c r="O9364" s="4" t="str">
        <f>IFERROR(__xludf.DUMMYFUNCTION("""COMPUTED_VALUE"""),"Cardápio Web")</f>
        <v>Cardápio Web</v>
      </c>
      <c r="P9364" s="33">
        <f>IFERROR(__xludf.DUMMYFUNCTION("""COMPUTED_VALUE"""),1.0)</f>
        <v>1</v>
      </c>
      <c r="Q9364" s="4" t="str">
        <f>IFERROR(__xludf.DUMMYFUNCTION("""COMPUTED_VALUE"""),"Cardápio Web")</f>
        <v>Cardápio Web</v>
      </c>
      <c r="R9364" s="33">
        <f>IFERROR(__xludf.DUMMYFUNCTION("""COMPUTED_VALUE"""),1.0)</f>
        <v>1</v>
      </c>
      <c r="S9364" s="4" t="str">
        <f>IFERROR(__xludf.DUMMYFUNCTION("""COMPUTED_VALUE"""),"Cardápio Web")</f>
        <v>Cardápio Web</v>
      </c>
      <c r="T9364" s="33">
        <f>IFERROR(__xludf.DUMMYFUNCTION("""COMPUTED_VALUE"""),1.0)</f>
        <v>1</v>
      </c>
      <c r="U9364" s="4" t="str">
        <f>IFERROR(__xludf.DUMMYFUNCTION("""COMPUTED_VALUE"""),"Cardápio Web")</f>
        <v>Cardápio Web</v>
      </c>
      <c r="V9364" s="33">
        <f>IFERROR(__xludf.DUMMYFUNCTION("""COMPUTED_VALUE"""),1.0)</f>
        <v>1</v>
      </c>
      <c r="W9364" s="4" t="str">
        <f>IFERROR(__xludf.DUMMYFUNCTION("""COMPUTED_VALUE"""),"Cardápio Web")</f>
        <v>Cardápio Web</v>
      </c>
      <c r="X9364" s="33">
        <f>IFERROR(__xludf.DUMMYFUNCTION("""COMPUTED_VALUE"""),1.0)</f>
        <v>1</v>
      </c>
    </row>
    <row r="9365">
      <c r="K9365" s="4" t="str">
        <f>IFERROR(__xludf.DUMMYFUNCTION("""COMPUTED_VALUE"""),"COSECHAS IDEALE OFFICES")</f>
        <v>COSECHAS IDEALE OFFICES</v>
      </c>
      <c r="L9365" s="32">
        <f>IFERROR(__xludf.DUMMYFUNCTION("""COMPUTED_VALUE"""),1.0)</f>
        <v>1</v>
      </c>
      <c r="M9365" s="4" t="str">
        <f>IFERROR(__xludf.DUMMYFUNCTION("""COMPUTED_VALUE"""),"Opdv")</f>
        <v>Opdv</v>
      </c>
      <c r="N9365" s="33">
        <f>IFERROR(__xludf.DUMMYFUNCTION("""COMPUTED_VALUE"""),1.0)</f>
        <v>1</v>
      </c>
      <c r="O9365" s="4" t="str">
        <f>IFERROR(__xludf.DUMMYFUNCTION("""COMPUTED_VALUE"""),"Opdv")</f>
        <v>Opdv</v>
      </c>
      <c r="P9365" s="33">
        <f>IFERROR(__xludf.DUMMYFUNCTION("""COMPUTED_VALUE"""),1.0)</f>
        <v>1</v>
      </c>
      <c r="Q9365" s="4" t="str">
        <f>IFERROR(__xludf.DUMMYFUNCTION("""COMPUTED_VALUE"""),"Opdv")</f>
        <v>Opdv</v>
      </c>
      <c r="R9365" s="33">
        <f>IFERROR(__xludf.DUMMYFUNCTION("""COMPUTED_VALUE"""),1.0)</f>
        <v>1</v>
      </c>
      <c r="S9365" s="4" t="str">
        <f>IFERROR(__xludf.DUMMYFUNCTION("""COMPUTED_VALUE"""),"Opdv")</f>
        <v>Opdv</v>
      </c>
      <c r="T9365" s="33">
        <f>IFERROR(__xludf.DUMMYFUNCTION("""COMPUTED_VALUE"""),1.0)</f>
        <v>1</v>
      </c>
      <c r="U9365" s="4" t="str">
        <f>IFERROR(__xludf.DUMMYFUNCTION("""COMPUTED_VALUE"""),"Opdv")</f>
        <v>Opdv</v>
      </c>
      <c r="V9365" s="33">
        <f>IFERROR(__xludf.DUMMYFUNCTION("""COMPUTED_VALUE"""),1.0)</f>
        <v>1</v>
      </c>
      <c r="W9365" s="4" t="str">
        <f>IFERROR(__xludf.DUMMYFUNCTION("""COMPUTED_VALUE"""),"Opdv")</f>
        <v>Opdv</v>
      </c>
      <c r="X9365" s="33">
        <f>IFERROR(__xludf.DUMMYFUNCTION("""COMPUTED_VALUE"""),1.0)</f>
        <v>1</v>
      </c>
    </row>
    <row r="9366">
      <c r="K9366" s="4" t="str">
        <f>IFERROR(__xludf.DUMMYFUNCTION("""COMPUTED_VALUE"""),"THE PIZZA FACTORY")</f>
        <v>THE PIZZA FACTORY</v>
      </c>
      <c r="L9366" s="32">
        <f>IFERROR(__xludf.DUMMYFUNCTION("""COMPUTED_VALUE"""),1.0)</f>
        <v>1</v>
      </c>
      <c r="M9366" s="4" t="str">
        <f>IFERROR(__xludf.DUMMYFUNCTION("""COMPUTED_VALUE"""),"Saipos Serviços De Software")</f>
        <v>Saipos Serviços De Software</v>
      </c>
      <c r="N9366" s="33">
        <f>IFERROR(__xludf.DUMMYFUNCTION("""COMPUTED_VALUE"""),1.0)</f>
        <v>1</v>
      </c>
      <c r="O9366" s="4" t="str">
        <f>IFERROR(__xludf.DUMMYFUNCTION("""COMPUTED_VALUE"""),"null")</f>
        <v>null</v>
      </c>
      <c r="P9366" s="33">
        <f>IFERROR(__xludf.DUMMYFUNCTION("""COMPUTED_VALUE"""),1.0)</f>
        <v>1</v>
      </c>
      <c r="Q9366" s="4" t="str">
        <f>IFERROR(__xludf.DUMMYFUNCTION("""COMPUTED_VALUE"""),"Saipos Serviços De Software")</f>
        <v>Saipos Serviços De Software</v>
      </c>
      <c r="R9366" s="33">
        <f>IFERROR(__xludf.DUMMYFUNCTION("""COMPUTED_VALUE"""),1.0)</f>
        <v>1</v>
      </c>
      <c r="S9366" s="4" t="str">
        <f>IFERROR(__xludf.DUMMYFUNCTION("""COMPUTED_VALUE"""),"null")</f>
        <v>null</v>
      </c>
      <c r="T9366" s="33">
        <f>IFERROR(__xludf.DUMMYFUNCTION("""COMPUTED_VALUE"""),1.0)</f>
        <v>1</v>
      </c>
      <c r="U9366" s="4" t="str">
        <f>IFERROR(__xludf.DUMMYFUNCTION("""COMPUTED_VALUE"""),"Saipos Serviços De Software")</f>
        <v>Saipos Serviços De Software</v>
      </c>
      <c r="V9366" s="33">
        <f>IFERROR(__xludf.DUMMYFUNCTION("""COMPUTED_VALUE"""),1.0)</f>
        <v>1</v>
      </c>
      <c r="W9366" s="4" t="str">
        <f>IFERROR(__xludf.DUMMYFUNCTION("""COMPUTED_VALUE"""),"Saipos Serviços De Software")</f>
        <v>Saipos Serviços De Software</v>
      </c>
      <c r="X9366" s="33">
        <f>IFERROR(__xludf.DUMMYFUNCTION("""COMPUTED_VALUE"""),1.0)</f>
        <v>1</v>
      </c>
    </row>
    <row r="9367">
      <c r="K9367" s="4" t="str">
        <f>IFERROR(__xludf.DUMMYFUNCTION("""COMPUTED_VALUE"""),"MIO COXINHAS")</f>
        <v>MIO COXINHAS</v>
      </c>
      <c r="L9367" s="32">
        <f>IFERROR(__xludf.DUMMYFUNCTION("""COMPUTED_VALUE"""),1.0)</f>
        <v>1</v>
      </c>
      <c r="M9367" s="4" t="str">
        <f>IFERROR(__xludf.DUMMYFUNCTION("""COMPUTED_VALUE"""),"Cardápio Web")</f>
        <v>Cardápio Web</v>
      </c>
      <c r="N9367" s="33">
        <f>IFERROR(__xludf.DUMMYFUNCTION("""COMPUTED_VALUE"""),1.0)</f>
        <v>1</v>
      </c>
      <c r="O9367" s="4" t="str">
        <f>IFERROR(__xludf.DUMMYFUNCTION("""COMPUTED_VALUE"""),"Cardápio Web")</f>
        <v>Cardápio Web</v>
      </c>
      <c r="P9367" s="33">
        <f>IFERROR(__xludf.DUMMYFUNCTION("""COMPUTED_VALUE"""),1.0)</f>
        <v>1</v>
      </c>
      <c r="Q9367" s="4" t="str">
        <f>IFERROR(__xludf.DUMMYFUNCTION("""COMPUTED_VALUE"""),"Cardápio Web")</f>
        <v>Cardápio Web</v>
      </c>
      <c r="R9367" s="33">
        <f>IFERROR(__xludf.DUMMYFUNCTION("""COMPUTED_VALUE"""),1.0)</f>
        <v>1</v>
      </c>
      <c r="S9367" s="4" t="str">
        <f>IFERROR(__xludf.DUMMYFUNCTION("""COMPUTED_VALUE"""),"Cardápio Web")</f>
        <v>Cardápio Web</v>
      </c>
      <c r="T9367" s="33">
        <f>IFERROR(__xludf.DUMMYFUNCTION("""COMPUTED_VALUE"""),1.0)</f>
        <v>1</v>
      </c>
      <c r="U9367" s="4" t="str">
        <f>IFERROR(__xludf.DUMMYFUNCTION("""COMPUTED_VALUE"""),"Cardápio Web")</f>
        <v>Cardápio Web</v>
      </c>
      <c r="V9367" s="33">
        <f>IFERROR(__xludf.DUMMYFUNCTION("""COMPUTED_VALUE"""),1.0)</f>
        <v>1</v>
      </c>
      <c r="W9367" s="4" t="str">
        <f>IFERROR(__xludf.DUMMYFUNCTION("""COMPUTED_VALUE"""),"Cardápio Web")</f>
        <v>Cardápio Web</v>
      </c>
      <c r="X9367" s="33">
        <f>IFERROR(__xludf.DUMMYFUNCTION("""COMPUTED_VALUE"""),1.0)</f>
        <v>1</v>
      </c>
    </row>
    <row r="9368">
      <c r="K9368" s="4" t="str">
        <f>IFERROR(__xludf.DUMMYFUNCTION("""COMPUTED_VALUE"""),"RESTAURANTE GARDEN BRASA REALENGO")</f>
        <v>RESTAURANTE GARDEN BRASA REALENGO</v>
      </c>
      <c r="L9368" s="32">
        <f>IFERROR(__xludf.DUMMYFUNCTION("""COMPUTED_VALUE"""),1.0)</f>
        <v>1</v>
      </c>
      <c r="M9368" s="4" t="str">
        <f>IFERROR(__xludf.DUMMYFUNCTION("""COMPUTED_VALUE"""),"Anota Ai Solucoes Digitais S/a")</f>
        <v>Anota Ai Solucoes Digitais S/a</v>
      </c>
      <c r="N9368" s="33">
        <f>IFERROR(__xludf.DUMMYFUNCTION("""COMPUTED_VALUE"""),1.0)</f>
        <v>1</v>
      </c>
      <c r="O9368" s="4" t="str">
        <f>IFERROR(__xludf.DUMMYFUNCTION("""COMPUTED_VALUE"""),"null")</f>
        <v>null</v>
      </c>
      <c r="P9368" s="33">
        <f>IFERROR(__xludf.DUMMYFUNCTION("""COMPUTED_VALUE"""),1.0)</f>
        <v>1</v>
      </c>
      <c r="Q9368" s="4" t="str">
        <f>IFERROR(__xludf.DUMMYFUNCTION("""COMPUTED_VALUE"""),"null")</f>
        <v>null</v>
      </c>
      <c r="R9368" s="33">
        <f>IFERROR(__xludf.DUMMYFUNCTION("""COMPUTED_VALUE"""),1.0)</f>
        <v>1</v>
      </c>
      <c r="S9368" s="4" t="str">
        <f>IFERROR(__xludf.DUMMYFUNCTION("""COMPUTED_VALUE"""),"null")</f>
        <v>null</v>
      </c>
      <c r="T9368" s="33">
        <f>IFERROR(__xludf.DUMMYFUNCTION("""COMPUTED_VALUE"""),1.0)</f>
        <v>1</v>
      </c>
      <c r="U9368" s="4" t="str">
        <f>IFERROR(__xludf.DUMMYFUNCTION("""COMPUTED_VALUE"""),"null")</f>
        <v>null</v>
      </c>
      <c r="V9368" s="33">
        <f>IFERROR(__xludf.DUMMYFUNCTION("""COMPUTED_VALUE"""),1.0)</f>
        <v>1</v>
      </c>
      <c r="W9368" s="4" t="str">
        <f>IFERROR(__xludf.DUMMYFUNCTION("""COMPUTED_VALUE"""),"null")</f>
        <v>null</v>
      </c>
      <c r="X9368" s="33">
        <f>IFERROR(__xludf.DUMMYFUNCTION("""COMPUTED_VALUE"""),1.0)</f>
        <v>1</v>
      </c>
    </row>
    <row r="9369">
      <c r="K9369" s="4" t="str">
        <f>IFERROR(__xludf.DUMMYFUNCTION("""COMPUTED_VALUE"""),"TEMPERO DA BAIANA, MARMITEX,LANCHE,ACAI")</f>
        <v>TEMPERO DA BAIANA, MARMITEX,LANCHE,ACAI</v>
      </c>
      <c r="L9369" s="32">
        <f>IFERROR(__xludf.DUMMYFUNCTION("""COMPUTED_VALUE"""),1.0)</f>
        <v>1</v>
      </c>
      <c r="M9369" s="4" t="str">
        <f>IFERROR(__xludf.DUMMYFUNCTION("""COMPUTED_VALUE"""),"Anota Ai Solucoes Digitais S/a")</f>
        <v>Anota Ai Solucoes Digitais S/a</v>
      </c>
      <c r="N9369" s="33">
        <f>IFERROR(__xludf.DUMMYFUNCTION("""COMPUTED_VALUE"""),1.0)</f>
        <v>1</v>
      </c>
      <c r="O9369" s="4" t="str">
        <f>IFERROR(__xludf.DUMMYFUNCTION("""COMPUTED_VALUE"""),"Anota Ai Solucoes Digitais S/a")</f>
        <v>Anota Ai Solucoes Digitais S/a</v>
      </c>
      <c r="P9369" s="33">
        <f>IFERROR(__xludf.DUMMYFUNCTION("""COMPUTED_VALUE"""),1.0)</f>
        <v>1</v>
      </c>
      <c r="Q9369" s="4" t="str">
        <f>IFERROR(__xludf.DUMMYFUNCTION("""COMPUTED_VALUE"""),"Anota Ai Solucoes Digitais S/a")</f>
        <v>Anota Ai Solucoes Digitais S/a</v>
      </c>
      <c r="R9369" s="33">
        <f>IFERROR(__xludf.DUMMYFUNCTION("""COMPUTED_VALUE"""),1.0)</f>
        <v>1</v>
      </c>
      <c r="S9369" s="4" t="str">
        <f>IFERROR(__xludf.DUMMYFUNCTION("""COMPUTED_VALUE"""),"null")</f>
        <v>null</v>
      </c>
      <c r="T9369" s="33">
        <f>IFERROR(__xludf.DUMMYFUNCTION("""COMPUTED_VALUE"""),1.0)</f>
        <v>1</v>
      </c>
      <c r="U9369" s="4" t="str">
        <f>IFERROR(__xludf.DUMMYFUNCTION("""COMPUTED_VALUE"""),"null")</f>
        <v>null</v>
      </c>
      <c r="V9369" s="33">
        <f>IFERROR(__xludf.DUMMYFUNCTION("""COMPUTED_VALUE"""),1.0)</f>
        <v>1</v>
      </c>
      <c r="W9369" s="4" t="str">
        <f>IFERROR(__xludf.DUMMYFUNCTION("""COMPUTED_VALUE"""),"null")</f>
        <v>null</v>
      </c>
      <c r="X9369" s="33">
        <f>IFERROR(__xludf.DUMMYFUNCTION("""COMPUTED_VALUE"""),1.0)</f>
        <v>1</v>
      </c>
    </row>
    <row r="9370">
      <c r="K9370" s="4" t="str">
        <f>IFERROR(__xludf.DUMMYFUNCTION("""COMPUTED_VALUE"""),"ESPETARIA CHAVE DE OURO")</f>
        <v>ESPETARIA CHAVE DE OURO</v>
      </c>
      <c r="L9370" s="32">
        <f>IFERROR(__xludf.DUMMYFUNCTION("""COMPUTED_VALUE"""),1.0)</f>
        <v>1</v>
      </c>
      <c r="M9370" s="4" t="str">
        <f>IFERROR(__xludf.DUMMYFUNCTION("""COMPUTED_VALUE"""),"Deeliv")</f>
        <v>Deeliv</v>
      </c>
      <c r="N9370" s="33">
        <f>IFERROR(__xludf.DUMMYFUNCTION("""COMPUTED_VALUE"""),1.0)</f>
        <v>1</v>
      </c>
      <c r="O9370" s="4" t="str">
        <f>IFERROR(__xludf.DUMMYFUNCTION("""COMPUTED_VALUE"""),"null")</f>
        <v>null</v>
      </c>
      <c r="P9370" s="33">
        <f>IFERROR(__xludf.DUMMYFUNCTION("""COMPUTED_VALUE"""),1.0)</f>
        <v>1</v>
      </c>
      <c r="Q9370" s="4" t="str">
        <f>IFERROR(__xludf.DUMMYFUNCTION("""COMPUTED_VALUE"""),"null")</f>
        <v>null</v>
      </c>
      <c r="R9370" s="33">
        <f>IFERROR(__xludf.DUMMYFUNCTION("""COMPUTED_VALUE"""),1.0)</f>
        <v>1</v>
      </c>
      <c r="S9370" s="4" t="str">
        <f>IFERROR(__xludf.DUMMYFUNCTION("""COMPUTED_VALUE"""),"Deeliv")</f>
        <v>Deeliv</v>
      </c>
      <c r="T9370" s="33">
        <f>IFERROR(__xludf.DUMMYFUNCTION("""COMPUTED_VALUE"""),1.0)</f>
        <v>1</v>
      </c>
      <c r="U9370" s="4" t="str">
        <f>IFERROR(__xludf.DUMMYFUNCTION("""COMPUTED_VALUE"""),"null")</f>
        <v>null</v>
      </c>
      <c r="V9370" s="33">
        <f>IFERROR(__xludf.DUMMYFUNCTION("""COMPUTED_VALUE"""),1.0)</f>
        <v>1</v>
      </c>
      <c r="W9370" s="4" t="str">
        <f>IFERROR(__xludf.DUMMYFUNCTION("""COMPUTED_VALUE"""),"null")</f>
        <v>null</v>
      </c>
      <c r="X9370" s="33">
        <f>IFERROR(__xludf.DUMMYFUNCTION("""COMPUTED_VALUE"""),1.0)</f>
        <v>1</v>
      </c>
    </row>
    <row r="9371">
      <c r="K9371" s="4" t="str">
        <f>IFERROR(__xludf.DUMMYFUNCTION("""COMPUTED_VALUE"""),"CREPES - ACAI E DOCES - NOSSA ARTE")</f>
        <v>CREPES - ACAI E DOCES - NOSSA ARTE</v>
      </c>
      <c r="L9371" s="32">
        <f>IFERROR(__xludf.DUMMYFUNCTION("""COMPUTED_VALUE"""),1.0)</f>
        <v>1</v>
      </c>
      <c r="M9371" s="4" t="str">
        <f>IFERROR(__xludf.DUMMYFUNCTION("""COMPUTED_VALUE"""),"Consumer Soluções Em Tecnologia Ltda")</f>
        <v>Consumer Soluções Em Tecnologia Ltda</v>
      </c>
      <c r="N9371" s="33">
        <f>IFERROR(__xludf.DUMMYFUNCTION("""COMPUTED_VALUE"""),1.0)</f>
        <v>1</v>
      </c>
      <c r="O9371" s="4" t="str">
        <f>IFERROR(__xludf.DUMMYFUNCTION("""COMPUTED_VALUE"""),"Consumer Soluções Em Tecnologia Ltda")</f>
        <v>Consumer Soluções Em Tecnologia Ltda</v>
      </c>
      <c r="P9371" s="33">
        <f>IFERROR(__xludf.DUMMYFUNCTION("""COMPUTED_VALUE"""),1.0)</f>
        <v>1</v>
      </c>
      <c r="Q9371" s="4" t="str">
        <f>IFERROR(__xludf.DUMMYFUNCTION("""COMPUTED_VALUE"""),"Consumer Soluções Em Tecnologia Ltda")</f>
        <v>Consumer Soluções Em Tecnologia Ltda</v>
      </c>
      <c r="R9371" s="33">
        <f>IFERROR(__xludf.DUMMYFUNCTION("""COMPUTED_VALUE"""),1.0)</f>
        <v>1</v>
      </c>
      <c r="S9371" s="4" t="str">
        <f>IFERROR(__xludf.DUMMYFUNCTION("""COMPUTED_VALUE"""),"Consumer Soluções Em Tecnologia Ltda")</f>
        <v>Consumer Soluções Em Tecnologia Ltda</v>
      </c>
      <c r="T9371" s="33">
        <f>IFERROR(__xludf.DUMMYFUNCTION("""COMPUTED_VALUE"""),1.0)</f>
        <v>1</v>
      </c>
      <c r="U9371" s="4" t="str">
        <f>IFERROR(__xludf.DUMMYFUNCTION("""COMPUTED_VALUE"""),"null")</f>
        <v>null</v>
      </c>
      <c r="V9371" s="33">
        <f>IFERROR(__xludf.DUMMYFUNCTION("""COMPUTED_VALUE"""),1.0)</f>
        <v>1</v>
      </c>
      <c r="W9371" s="4" t="str">
        <f>IFERROR(__xludf.DUMMYFUNCTION("""COMPUTED_VALUE"""),"null")</f>
        <v>null</v>
      </c>
      <c r="X9371" s="33">
        <f>IFERROR(__xludf.DUMMYFUNCTION("""COMPUTED_VALUE"""),1.0)</f>
        <v>1</v>
      </c>
    </row>
    <row r="9372">
      <c r="K9372" s="4" t="str">
        <f>IFERROR(__xludf.DUMMYFUNCTION("""COMPUTED_VALUE"""),"AOI SUSHI")</f>
        <v>AOI SUSHI</v>
      </c>
      <c r="L9372" s="32">
        <f>IFERROR(__xludf.DUMMYFUNCTION("""COMPUTED_VALUE"""),1.0)</f>
        <v>1</v>
      </c>
      <c r="M9372" s="4" t="str">
        <f>IFERROR(__xludf.DUMMYFUNCTION("""COMPUTED_VALUE"""),"null")</f>
        <v>null</v>
      </c>
      <c r="N9372" s="33">
        <f>IFERROR(__xludf.DUMMYFUNCTION("""COMPUTED_VALUE"""),1.0)</f>
        <v>1</v>
      </c>
      <c r="O9372" s="4" t="str">
        <f>IFERROR(__xludf.DUMMYFUNCTION("""COMPUTED_VALUE"""),"Saipos Serviços De Software")</f>
        <v>Saipos Serviços De Software</v>
      </c>
      <c r="P9372" s="33">
        <f>IFERROR(__xludf.DUMMYFUNCTION("""COMPUTED_VALUE"""),1.0)</f>
        <v>1</v>
      </c>
      <c r="Q9372" s="4" t="str">
        <f>IFERROR(__xludf.DUMMYFUNCTION("""COMPUTED_VALUE"""),"null")</f>
        <v>null</v>
      </c>
      <c r="R9372" s="33">
        <f>IFERROR(__xludf.DUMMYFUNCTION("""COMPUTED_VALUE"""),1.0)</f>
        <v>1</v>
      </c>
      <c r="S9372" s="4" t="str">
        <f>IFERROR(__xludf.DUMMYFUNCTION("""COMPUTED_VALUE"""),"null")</f>
        <v>null</v>
      </c>
      <c r="T9372" s="33">
        <f>IFERROR(__xludf.DUMMYFUNCTION("""COMPUTED_VALUE"""),1.0)</f>
        <v>1</v>
      </c>
      <c r="U9372" s="4" t="str">
        <f>IFERROR(__xludf.DUMMYFUNCTION("""COMPUTED_VALUE"""),"null")</f>
        <v>null</v>
      </c>
      <c r="V9372" s="33">
        <f>IFERROR(__xludf.DUMMYFUNCTION("""COMPUTED_VALUE"""),1.0)</f>
        <v>1</v>
      </c>
      <c r="W9372" s="4" t="str">
        <f>IFERROR(__xludf.DUMMYFUNCTION("""COMPUTED_VALUE"""),"null")</f>
        <v>null</v>
      </c>
      <c r="X9372" s="33">
        <f>IFERROR(__xludf.DUMMYFUNCTION("""COMPUTED_VALUE"""),1.0)</f>
        <v>1</v>
      </c>
    </row>
    <row r="9373">
      <c r="K9373" s="4" t="str">
        <f>IFERROR(__xludf.DUMMYFUNCTION("""COMPUTED_VALUE"""),"FARMACIA BEM VIVER")</f>
        <v>FARMACIA BEM VIVER</v>
      </c>
      <c r="L9373" s="32">
        <f>IFERROR(__xludf.DUMMYFUNCTION("""COMPUTED_VALUE"""),1.0)</f>
        <v>1</v>
      </c>
      <c r="M9373" s="4" t="str">
        <f>IFERROR(__xludf.DUMMYFUNCTION("""COMPUTED_VALUE"""),"N/A (Not found)")</f>
        <v>N/A (Not found)</v>
      </c>
      <c r="N9373" s="33">
        <f>IFERROR(__xludf.DUMMYFUNCTION("""COMPUTED_VALUE"""),1.0)</f>
        <v>1</v>
      </c>
      <c r="O9373" s="4" t="str">
        <f>IFERROR(__xludf.DUMMYFUNCTION("""COMPUTED_VALUE"""),"N/A (Not found)")</f>
        <v>N/A (Not found)</v>
      </c>
      <c r="P9373" s="33">
        <f>IFERROR(__xludf.DUMMYFUNCTION("""COMPUTED_VALUE"""),1.0)</f>
        <v>1</v>
      </c>
      <c r="Q9373" s="4" t="str">
        <f>IFERROR(__xludf.DUMMYFUNCTION("""COMPUTED_VALUE"""),"N/A (Not found)")</f>
        <v>N/A (Not found)</v>
      </c>
      <c r="R9373" s="33">
        <f>IFERROR(__xludf.DUMMYFUNCTION("""COMPUTED_VALUE"""),1.0)</f>
        <v>1</v>
      </c>
      <c r="S9373" s="4" t="str">
        <f>IFERROR(__xludf.DUMMYFUNCTION("""COMPUTED_VALUE"""),"N/A (Not found)")</f>
        <v>N/A (Not found)</v>
      </c>
      <c r="T9373" s="33">
        <f>IFERROR(__xludf.DUMMYFUNCTION("""COMPUTED_VALUE"""),1.0)</f>
        <v>1</v>
      </c>
      <c r="U9373" s="4" t="str">
        <f>IFERROR(__xludf.DUMMYFUNCTION("""COMPUTED_VALUE"""),"null")</f>
        <v>null</v>
      </c>
      <c r="V9373" s="33">
        <f>IFERROR(__xludf.DUMMYFUNCTION("""COMPUTED_VALUE"""),1.0)</f>
        <v>1</v>
      </c>
      <c r="W9373" s="4" t="str">
        <f>IFERROR(__xludf.DUMMYFUNCTION("""COMPUTED_VALUE"""),"N/A (Not found)")</f>
        <v>N/A (Not found)</v>
      </c>
      <c r="X9373" s="33">
        <f>IFERROR(__xludf.DUMMYFUNCTION("""COMPUTED_VALUE"""),1.0)</f>
        <v>1</v>
      </c>
    </row>
    <row r="9374">
      <c r="K9374" s="4" t="str">
        <f>IFERROR(__xludf.DUMMYFUNCTION("""COMPUTED_VALUE"""),"AMORE MARIA BARRA MANSA SALGADOS E TORTAS")</f>
        <v>AMORE MARIA BARRA MANSA SALGADOS E TORTAS</v>
      </c>
      <c r="L9374" s="32">
        <f>IFERROR(__xludf.DUMMYFUNCTION("""COMPUTED_VALUE"""),1.0)</f>
        <v>1</v>
      </c>
      <c r="M9374" s="4" t="str">
        <f>IFERROR(__xludf.DUMMYFUNCTION("""COMPUTED_VALUE"""),"Saipos Serviços De Software")</f>
        <v>Saipos Serviços De Software</v>
      </c>
      <c r="N9374" s="33">
        <f>IFERROR(__xludf.DUMMYFUNCTION("""COMPUTED_VALUE"""),1.0)</f>
        <v>1</v>
      </c>
      <c r="O9374" s="4" t="str">
        <f>IFERROR(__xludf.DUMMYFUNCTION("""COMPUTED_VALUE"""),"Saipos Serviços De Software")</f>
        <v>Saipos Serviços De Software</v>
      </c>
      <c r="P9374" s="33">
        <f>IFERROR(__xludf.DUMMYFUNCTION("""COMPUTED_VALUE"""),1.0)</f>
        <v>1</v>
      </c>
      <c r="Q9374" s="4" t="str">
        <f>IFERROR(__xludf.DUMMYFUNCTION("""COMPUTED_VALUE"""),"Saipos Serviços De Software")</f>
        <v>Saipos Serviços De Software</v>
      </c>
      <c r="R9374" s="33">
        <f>IFERROR(__xludf.DUMMYFUNCTION("""COMPUTED_VALUE"""),1.0)</f>
        <v>1</v>
      </c>
      <c r="S9374" s="4" t="str">
        <f>IFERROR(__xludf.DUMMYFUNCTION("""COMPUTED_VALUE"""),"Saipos Serviços De Software")</f>
        <v>Saipos Serviços De Software</v>
      </c>
      <c r="T9374" s="33">
        <f>IFERROR(__xludf.DUMMYFUNCTION("""COMPUTED_VALUE"""),1.0)</f>
        <v>1</v>
      </c>
      <c r="U9374" s="4" t="str">
        <f>IFERROR(__xludf.DUMMYFUNCTION("""COMPUTED_VALUE"""),"Saipos Serviços De Software")</f>
        <v>Saipos Serviços De Software</v>
      </c>
      <c r="V9374" s="33">
        <f>IFERROR(__xludf.DUMMYFUNCTION("""COMPUTED_VALUE"""),1.0)</f>
        <v>1</v>
      </c>
      <c r="W9374" s="4" t="str">
        <f>IFERROR(__xludf.DUMMYFUNCTION("""COMPUTED_VALUE"""),"Saipos Serviços De Software")</f>
        <v>Saipos Serviços De Software</v>
      </c>
      <c r="X9374" s="33">
        <f>IFERROR(__xludf.DUMMYFUNCTION("""COMPUTED_VALUE"""),1.0)</f>
        <v>1</v>
      </c>
    </row>
    <row r="9375">
      <c r="K9375" s="4" t="str">
        <f>IFERROR(__xludf.DUMMYFUNCTION("""COMPUTED_VALUE"""),"MACAUBAS GRILL - SHOPPING PINHEIROS")</f>
        <v>MACAUBAS GRILL - SHOPPING PINHEIROS</v>
      </c>
      <c r="L9375" s="32">
        <f>IFERROR(__xludf.DUMMYFUNCTION("""COMPUTED_VALUE"""),1.0)</f>
        <v>1</v>
      </c>
      <c r="M9375" s="4" t="str">
        <f>IFERROR(__xludf.DUMMYFUNCTION("""COMPUTED_VALUE"""),"null")</f>
        <v>null</v>
      </c>
      <c r="N9375" s="33">
        <f>IFERROR(__xludf.DUMMYFUNCTION("""COMPUTED_VALUE"""),1.0)</f>
        <v>1</v>
      </c>
      <c r="O9375" s="4" t="str">
        <f>IFERROR(__xludf.DUMMYFUNCTION("""COMPUTED_VALUE"""),"Anota Ai Solucoes Digitais S/a")</f>
        <v>Anota Ai Solucoes Digitais S/a</v>
      </c>
      <c r="P9375" s="33">
        <f>IFERROR(__xludf.DUMMYFUNCTION("""COMPUTED_VALUE"""),1.0)</f>
        <v>1</v>
      </c>
      <c r="Q9375" s="4" t="str">
        <f>IFERROR(__xludf.DUMMYFUNCTION("""COMPUTED_VALUE"""),"Anota Ai Solucoes Digitais S/a")</f>
        <v>Anota Ai Solucoes Digitais S/a</v>
      </c>
      <c r="R9375" s="33">
        <f>IFERROR(__xludf.DUMMYFUNCTION("""COMPUTED_VALUE"""),1.0)</f>
        <v>1</v>
      </c>
      <c r="S9375" s="4" t="str">
        <f>IFERROR(__xludf.DUMMYFUNCTION("""COMPUTED_VALUE"""),"null")</f>
        <v>null</v>
      </c>
      <c r="T9375" s="33">
        <f>IFERROR(__xludf.DUMMYFUNCTION("""COMPUTED_VALUE"""),1.0)</f>
        <v>1</v>
      </c>
      <c r="U9375" s="4" t="str">
        <f>IFERROR(__xludf.DUMMYFUNCTION("""COMPUTED_VALUE"""),"null")</f>
        <v>null</v>
      </c>
      <c r="V9375" s="33">
        <f>IFERROR(__xludf.DUMMYFUNCTION("""COMPUTED_VALUE"""),1.0)</f>
        <v>1</v>
      </c>
      <c r="W9375" s="4" t="str">
        <f>IFERROR(__xludf.DUMMYFUNCTION("""COMPUTED_VALUE"""),"null")</f>
        <v>null</v>
      </c>
      <c r="X9375" s="33">
        <f>IFERROR(__xludf.DUMMYFUNCTION("""COMPUTED_VALUE"""),1.0)</f>
        <v>1</v>
      </c>
    </row>
    <row r="9376">
      <c r="K9376" s="4" t="str">
        <f>IFERROR(__xludf.DUMMYFUNCTION("""COMPUTED_VALUE"""),"CASTORO BURGER")</f>
        <v>CASTORO BURGER</v>
      </c>
      <c r="L9376" s="32">
        <f>IFERROR(__xludf.DUMMYFUNCTION("""COMPUTED_VALUE"""),1.0)</f>
        <v>1</v>
      </c>
      <c r="M9376" s="4" t="str">
        <f>IFERROR(__xludf.DUMMYFUNCTION("""COMPUTED_VALUE"""),"Beefood - Sistema Para Restaurantes")</f>
        <v>Beefood - Sistema Para Restaurantes</v>
      </c>
      <c r="N9376" s="33">
        <f>IFERROR(__xludf.DUMMYFUNCTION("""COMPUTED_VALUE"""),1.0)</f>
        <v>1</v>
      </c>
      <c r="O9376" s="4" t="str">
        <f>IFERROR(__xludf.DUMMYFUNCTION("""COMPUTED_VALUE"""),"Beefood - Sistema Para Restaurantes")</f>
        <v>Beefood - Sistema Para Restaurantes</v>
      </c>
      <c r="P9376" s="33">
        <f>IFERROR(__xludf.DUMMYFUNCTION("""COMPUTED_VALUE"""),1.0)</f>
        <v>1</v>
      </c>
      <c r="Q9376" s="4" t="str">
        <f>IFERROR(__xludf.DUMMYFUNCTION("""COMPUTED_VALUE"""),"Beefood - Sistema Para Restaurantes")</f>
        <v>Beefood - Sistema Para Restaurantes</v>
      </c>
      <c r="R9376" s="33">
        <f>IFERROR(__xludf.DUMMYFUNCTION("""COMPUTED_VALUE"""),1.0)</f>
        <v>1</v>
      </c>
      <c r="S9376" s="4" t="str">
        <f>IFERROR(__xludf.DUMMYFUNCTION("""COMPUTED_VALUE"""),"Beefood - Sistema Para Restaurantes")</f>
        <v>Beefood - Sistema Para Restaurantes</v>
      </c>
      <c r="T9376" s="33">
        <f>IFERROR(__xludf.DUMMYFUNCTION("""COMPUTED_VALUE"""),1.0)</f>
        <v>1</v>
      </c>
      <c r="U9376" s="4" t="str">
        <f>IFERROR(__xludf.DUMMYFUNCTION("""COMPUTED_VALUE"""),"Beefood - Sistema Para Restaurantes")</f>
        <v>Beefood - Sistema Para Restaurantes</v>
      </c>
      <c r="V9376" s="33">
        <f>IFERROR(__xludf.DUMMYFUNCTION("""COMPUTED_VALUE"""),1.0)</f>
        <v>1</v>
      </c>
      <c r="W9376" s="4" t="str">
        <f>IFERROR(__xludf.DUMMYFUNCTION("""COMPUTED_VALUE"""),"Beefood - Sistema Para Restaurantes")</f>
        <v>Beefood - Sistema Para Restaurantes</v>
      </c>
      <c r="X9376" s="33">
        <f>IFERROR(__xludf.DUMMYFUNCTION("""COMPUTED_VALUE"""),1.0)</f>
        <v>1</v>
      </c>
    </row>
    <row r="9377">
      <c r="K9377" s="4" t="str">
        <f>IFERROR(__xludf.DUMMYFUNCTION("""COMPUTED_VALUE"""),"ARENA BURGER - HAMBURGUERIA ARTESANAL")</f>
        <v>ARENA BURGER - HAMBURGUERIA ARTESANAL</v>
      </c>
      <c r="L9377" s="32">
        <f>IFERROR(__xludf.DUMMYFUNCTION("""COMPUTED_VALUE"""),1.0)</f>
        <v>1</v>
      </c>
      <c r="M9377" s="4" t="str">
        <f>IFERROR(__xludf.DUMMYFUNCTION("""COMPUTED_VALUE"""),"Saipos Serviços De Software")</f>
        <v>Saipos Serviços De Software</v>
      </c>
      <c r="N9377" s="33">
        <f>IFERROR(__xludf.DUMMYFUNCTION("""COMPUTED_VALUE"""),1.0)</f>
        <v>1</v>
      </c>
      <c r="O9377" s="4" t="str">
        <f>IFERROR(__xludf.DUMMYFUNCTION("""COMPUTED_VALUE"""),"Saipos Serviços De Software")</f>
        <v>Saipos Serviços De Software</v>
      </c>
      <c r="P9377" s="33">
        <f>IFERROR(__xludf.DUMMYFUNCTION("""COMPUTED_VALUE"""),1.0)</f>
        <v>1</v>
      </c>
      <c r="Q9377" s="4" t="str">
        <f>IFERROR(__xludf.DUMMYFUNCTION("""COMPUTED_VALUE"""),"Saipos Serviços De Software")</f>
        <v>Saipos Serviços De Software</v>
      </c>
      <c r="R9377" s="33">
        <f>IFERROR(__xludf.DUMMYFUNCTION("""COMPUTED_VALUE"""),1.0)</f>
        <v>1</v>
      </c>
      <c r="S9377" s="4" t="str">
        <f>IFERROR(__xludf.DUMMYFUNCTION("""COMPUTED_VALUE"""),"Saipos Serviços De Software")</f>
        <v>Saipos Serviços De Software</v>
      </c>
      <c r="T9377" s="33">
        <f>IFERROR(__xludf.DUMMYFUNCTION("""COMPUTED_VALUE"""),1.0)</f>
        <v>1</v>
      </c>
      <c r="U9377" s="4" t="str">
        <f>IFERROR(__xludf.DUMMYFUNCTION("""COMPUTED_VALUE"""),"Saipos Serviços De Software")</f>
        <v>Saipos Serviços De Software</v>
      </c>
      <c r="V9377" s="33">
        <f>IFERROR(__xludf.DUMMYFUNCTION("""COMPUTED_VALUE"""),1.0)</f>
        <v>1</v>
      </c>
      <c r="W9377" s="4" t="str">
        <f>IFERROR(__xludf.DUMMYFUNCTION("""COMPUTED_VALUE"""),"Saipos Serviços De Software")</f>
        <v>Saipos Serviços De Software</v>
      </c>
      <c r="X9377" s="33">
        <f>IFERROR(__xludf.DUMMYFUNCTION("""COMPUTED_VALUE"""),1.0)</f>
        <v>1</v>
      </c>
    </row>
    <row r="9378">
      <c r="K9378" s="4" t="str">
        <f>IFERROR(__xludf.DUMMYFUNCTION("""COMPUTED_VALUE"""),"FARMELHOR - SAO CAETANO DO SUL")</f>
        <v>FARMELHOR - SAO CAETANO DO SUL</v>
      </c>
      <c r="L9378" s="32">
        <f>IFERROR(__xludf.DUMMYFUNCTION("""COMPUTED_VALUE"""),1.0)</f>
        <v>1</v>
      </c>
      <c r="M9378" s="4" t="str">
        <f>IFERROR(__xludf.DUMMYFUNCTION("""COMPUTED_VALUE"""),"N/A (Not found)")</f>
        <v>N/A (Not found)</v>
      </c>
      <c r="N9378" s="33">
        <f>IFERROR(__xludf.DUMMYFUNCTION("""COMPUTED_VALUE"""),1.0)</f>
        <v>1</v>
      </c>
      <c r="O9378" s="4" t="str">
        <f>IFERROR(__xludf.DUMMYFUNCTION("""COMPUTED_VALUE"""),"N/A (Not found)")</f>
        <v>N/A (Not found)</v>
      </c>
      <c r="P9378" s="33">
        <f>IFERROR(__xludf.DUMMYFUNCTION("""COMPUTED_VALUE"""),1.0)</f>
        <v>1</v>
      </c>
      <c r="Q9378" s="4" t="str">
        <f>IFERROR(__xludf.DUMMYFUNCTION("""COMPUTED_VALUE"""),"N/A (Not found)")</f>
        <v>N/A (Not found)</v>
      </c>
      <c r="R9378" s="33">
        <f>IFERROR(__xludf.DUMMYFUNCTION("""COMPUTED_VALUE"""),1.0)</f>
        <v>1</v>
      </c>
      <c r="S9378" s="4" t="str">
        <f>IFERROR(__xludf.DUMMYFUNCTION("""COMPUTED_VALUE"""),"N/A (Not found)")</f>
        <v>N/A (Not found)</v>
      </c>
      <c r="T9378" s="33">
        <f>IFERROR(__xludf.DUMMYFUNCTION("""COMPUTED_VALUE"""),1.0)</f>
        <v>1</v>
      </c>
      <c r="U9378" s="4" t="str">
        <f>IFERROR(__xludf.DUMMYFUNCTION("""COMPUTED_VALUE"""),"N/A (Not found)")</f>
        <v>N/A (Not found)</v>
      </c>
      <c r="V9378" s="33">
        <f>IFERROR(__xludf.DUMMYFUNCTION("""COMPUTED_VALUE"""),1.0)</f>
        <v>1</v>
      </c>
      <c r="W9378" s="4" t="str">
        <f>IFERROR(__xludf.DUMMYFUNCTION("""COMPUTED_VALUE"""),"N/A (Not found)")</f>
        <v>N/A (Not found)</v>
      </c>
      <c r="X9378" s="33">
        <f>IFERROR(__xludf.DUMMYFUNCTION("""COMPUTED_VALUE"""),1.0)</f>
        <v>1</v>
      </c>
    </row>
    <row r="9379">
      <c r="K9379" s="4" t="str">
        <f>IFERROR(__xludf.DUMMYFUNCTION("""COMPUTED_VALUE"""),"ASSADOS LA PARRILLA")</f>
        <v>ASSADOS LA PARRILLA</v>
      </c>
      <c r="L9379" s="32">
        <f>IFERROR(__xludf.DUMMYFUNCTION("""COMPUTED_VALUE"""),1.0)</f>
        <v>1</v>
      </c>
      <c r="M9379" s="4" t="str">
        <f>IFERROR(__xludf.DUMMYFUNCTION("""COMPUTED_VALUE"""),"Anota Ai Solucoes Digitais S/a")</f>
        <v>Anota Ai Solucoes Digitais S/a</v>
      </c>
      <c r="N9379" s="33">
        <f>IFERROR(__xludf.DUMMYFUNCTION("""COMPUTED_VALUE"""),1.0)</f>
        <v>1</v>
      </c>
      <c r="O9379" s="4" t="str">
        <f>IFERROR(__xludf.DUMMYFUNCTION("""COMPUTED_VALUE"""),"Anota Ai Solucoes Digitais S/a")</f>
        <v>Anota Ai Solucoes Digitais S/a</v>
      </c>
      <c r="P9379" s="33">
        <f>IFERROR(__xludf.DUMMYFUNCTION("""COMPUTED_VALUE"""),1.0)</f>
        <v>1</v>
      </c>
      <c r="Q9379" s="4" t="str">
        <f>IFERROR(__xludf.DUMMYFUNCTION("""COMPUTED_VALUE"""),"Anota Ai Solucoes Digitais S/a")</f>
        <v>Anota Ai Solucoes Digitais S/a</v>
      </c>
      <c r="R9379" s="33">
        <f>IFERROR(__xludf.DUMMYFUNCTION("""COMPUTED_VALUE"""),1.0)</f>
        <v>1</v>
      </c>
      <c r="S9379" s="4" t="str">
        <f>IFERROR(__xludf.DUMMYFUNCTION("""COMPUTED_VALUE"""),"Anota Ai Solucoes Digitais S/a")</f>
        <v>Anota Ai Solucoes Digitais S/a</v>
      </c>
      <c r="T9379" s="33">
        <f>IFERROR(__xludf.DUMMYFUNCTION("""COMPUTED_VALUE"""),1.0)</f>
        <v>1</v>
      </c>
      <c r="U9379" s="4" t="str">
        <f>IFERROR(__xludf.DUMMYFUNCTION("""COMPUTED_VALUE"""),"Anota Ai Solucoes Digitais S/a")</f>
        <v>Anota Ai Solucoes Digitais S/a</v>
      </c>
      <c r="V9379" s="33">
        <f>IFERROR(__xludf.DUMMYFUNCTION("""COMPUTED_VALUE"""),1.0)</f>
        <v>1</v>
      </c>
      <c r="W9379" s="4" t="str">
        <f>IFERROR(__xludf.DUMMYFUNCTION("""COMPUTED_VALUE"""),"Anota Ai Solucoes Digitais S/a")</f>
        <v>Anota Ai Solucoes Digitais S/a</v>
      </c>
      <c r="X9379" s="33">
        <f>IFERROR(__xludf.DUMMYFUNCTION("""COMPUTED_VALUE"""),1.0)</f>
        <v>1</v>
      </c>
    </row>
    <row r="9380">
      <c r="K9380" s="4" t="str">
        <f>IFERROR(__xludf.DUMMYFUNCTION("""COMPUTED_VALUE"""),"PRADO FARMA")</f>
        <v>PRADO FARMA</v>
      </c>
      <c r="L9380" s="32">
        <f>IFERROR(__xludf.DUMMYFUNCTION("""COMPUTED_VALUE"""),1.0)</f>
        <v>1</v>
      </c>
      <c r="M9380" s="4" t="str">
        <f>IFERROR(__xludf.DUMMYFUNCTION("""COMPUTED_VALUE"""),"N/A (Not found)")</f>
        <v>N/A (Not found)</v>
      </c>
      <c r="N9380" s="33">
        <f>IFERROR(__xludf.DUMMYFUNCTION("""COMPUTED_VALUE"""),1.0)</f>
        <v>1</v>
      </c>
      <c r="O9380" s="4" t="str">
        <f>IFERROR(__xludf.DUMMYFUNCTION("""COMPUTED_VALUE"""),"N/A (Not found)")</f>
        <v>N/A (Not found)</v>
      </c>
      <c r="P9380" s="33">
        <f>IFERROR(__xludf.DUMMYFUNCTION("""COMPUTED_VALUE"""),1.0)</f>
        <v>1</v>
      </c>
      <c r="Q9380" s="4" t="str">
        <f>IFERROR(__xludf.DUMMYFUNCTION("""COMPUTED_VALUE"""),"N/A (Not found)")</f>
        <v>N/A (Not found)</v>
      </c>
      <c r="R9380" s="33">
        <f>IFERROR(__xludf.DUMMYFUNCTION("""COMPUTED_VALUE"""),1.0)</f>
        <v>1</v>
      </c>
      <c r="S9380" s="4" t="str">
        <f>IFERROR(__xludf.DUMMYFUNCTION("""COMPUTED_VALUE"""),"N/A (Not found)")</f>
        <v>N/A (Not found)</v>
      </c>
      <c r="T9380" s="33">
        <f>IFERROR(__xludf.DUMMYFUNCTION("""COMPUTED_VALUE"""),1.0)</f>
        <v>1</v>
      </c>
      <c r="U9380" s="4" t="str">
        <f>IFERROR(__xludf.DUMMYFUNCTION("""COMPUTED_VALUE"""),"N/A (Not found)")</f>
        <v>N/A (Not found)</v>
      </c>
      <c r="V9380" s="33">
        <f>IFERROR(__xludf.DUMMYFUNCTION("""COMPUTED_VALUE"""),1.0)</f>
        <v>1</v>
      </c>
      <c r="W9380" s="4" t="str">
        <f>IFERROR(__xludf.DUMMYFUNCTION("""COMPUTED_VALUE"""),"N/A (Not found)")</f>
        <v>N/A (Not found)</v>
      </c>
      <c r="X9380" s="33">
        <f>IFERROR(__xludf.DUMMYFUNCTION("""COMPUTED_VALUE"""),1.0)</f>
        <v>1</v>
      </c>
    </row>
    <row r="9381">
      <c r="K9381" s="4" t="str">
        <f>IFERROR(__xludf.DUMMYFUNCTION("""COMPUTED_VALUE"""),"O SANTO BURGER - HAMBURGUER E X-TUDO")</f>
        <v>O SANTO BURGER - HAMBURGUER E X-TUDO</v>
      </c>
      <c r="L9381" s="32">
        <f>IFERROR(__xludf.DUMMYFUNCTION("""COMPUTED_VALUE"""),1.0)</f>
        <v>1</v>
      </c>
      <c r="M9381" s="4" t="str">
        <f>IFERROR(__xludf.DUMMYFUNCTION("""COMPUTED_VALUE"""),"Saipos Serviços De Software")</f>
        <v>Saipos Serviços De Software</v>
      </c>
      <c r="N9381" s="33">
        <f>IFERROR(__xludf.DUMMYFUNCTION("""COMPUTED_VALUE"""),1.0)</f>
        <v>1</v>
      </c>
      <c r="O9381" s="4" t="str">
        <f>IFERROR(__xludf.DUMMYFUNCTION("""COMPUTED_VALUE"""),"Saipos Serviços De Software")</f>
        <v>Saipos Serviços De Software</v>
      </c>
      <c r="P9381" s="33">
        <f>IFERROR(__xludf.DUMMYFUNCTION("""COMPUTED_VALUE"""),1.0)</f>
        <v>1</v>
      </c>
      <c r="Q9381" s="4" t="str">
        <f>IFERROR(__xludf.DUMMYFUNCTION("""COMPUTED_VALUE"""),"Saipos Serviços De Software")</f>
        <v>Saipos Serviços De Software</v>
      </c>
      <c r="R9381" s="33">
        <f>IFERROR(__xludf.DUMMYFUNCTION("""COMPUTED_VALUE"""),1.0)</f>
        <v>1</v>
      </c>
      <c r="S9381" s="4" t="str">
        <f>IFERROR(__xludf.DUMMYFUNCTION("""COMPUTED_VALUE"""),"Saipos Serviços De Software")</f>
        <v>Saipos Serviços De Software</v>
      </c>
      <c r="T9381" s="33">
        <f>IFERROR(__xludf.DUMMYFUNCTION("""COMPUTED_VALUE"""),1.0)</f>
        <v>1</v>
      </c>
      <c r="U9381" s="4" t="str">
        <f>IFERROR(__xludf.DUMMYFUNCTION("""COMPUTED_VALUE"""),"Saipos Serviços De Software")</f>
        <v>Saipos Serviços De Software</v>
      </c>
      <c r="V9381" s="33">
        <f>IFERROR(__xludf.DUMMYFUNCTION("""COMPUTED_VALUE"""),1.0)</f>
        <v>1</v>
      </c>
      <c r="W9381" s="4" t="str">
        <f>IFERROR(__xludf.DUMMYFUNCTION("""COMPUTED_VALUE"""),"Saipos Serviços De Software")</f>
        <v>Saipos Serviços De Software</v>
      </c>
      <c r="X9381" s="33">
        <f>IFERROR(__xludf.DUMMYFUNCTION("""COMPUTED_VALUE"""),1.0)</f>
        <v>1</v>
      </c>
    </row>
    <row r="9382">
      <c r="K9382" s="4" t="str">
        <f>IFERROR(__xludf.DUMMYFUNCTION("""COMPUTED_VALUE"""),"DIVINO XIS PRENSADO")</f>
        <v>DIVINO XIS PRENSADO</v>
      </c>
      <c r="L9382" s="32">
        <f>IFERROR(__xludf.DUMMYFUNCTION("""COMPUTED_VALUE"""),1.0)</f>
        <v>1</v>
      </c>
      <c r="M9382" s="4" t="str">
        <f>IFERROR(__xludf.DUMMYFUNCTION("""COMPUTED_VALUE"""),"Saipos Serviços De Software")</f>
        <v>Saipos Serviços De Software</v>
      </c>
      <c r="N9382" s="33">
        <f>IFERROR(__xludf.DUMMYFUNCTION("""COMPUTED_VALUE"""),1.0)</f>
        <v>1</v>
      </c>
      <c r="O9382" s="4" t="str">
        <f>IFERROR(__xludf.DUMMYFUNCTION("""COMPUTED_VALUE"""),"Saipos Serviços De Software")</f>
        <v>Saipos Serviços De Software</v>
      </c>
      <c r="P9382" s="33">
        <f>IFERROR(__xludf.DUMMYFUNCTION("""COMPUTED_VALUE"""),1.0)</f>
        <v>1</v>
      </c>
      <c r="Q9382" s="4" t="str">
        <f>IFERROR(__xludf.DUMMYFUNCTION("""COMPUTED_VALUE"""),"Saipos Serviços De Software")</f>
        <v>Saipos Serviços De Software</v>
      </c>
      <c r="R9382" s="33">
        <f>IFERROR(__xludf.DUMMYFUNCTION("""COMPUTED_VALUE"""),1.0)</f>
        <v>1</v>
      </c>
      <c r="S9382" s="4" t="str">
        <f>IFERROR(__xludf.DUMMYFUNCTION("""COMPUTED_VALUE"""),"Saipos Serviços De Software")</f>
        <v>Saipos Serviços De Software</v>
      </c>
      <c r="T9382" s="33">
        <f>IFERROR(__xludf.DUMMYFUNCTION("""COMPUTED_VALUE"""),1.0)</f>
        <v>1</v>
      </c>
      <c r="U9382" s="4" t="str">
        <f>IFERROR(__xludf.DUMMYFUNCTION("""COMPUTED_VALUE"""),"Saipos Serviços De Software")</f>
        <v>Saipos Serviços De Software</v>
      </c>
      <c r="V9382" s="33">
        <f>IFERROR(__xludf.DUMMYFUNCTION("""COMPUTED_VALUE"""),1.0)</f>
        <v>1</v>
      </c>
      <c r="W9382" s="4" t="str">
        <f>IFERROR(__xludf.DUMMYFUNCTION("""COMPUTED_VALUE"""),"Saipos Serviços De Software")</f>
        <v>Saipos Serviços De Software</v>
      </c>
      <c r="X9382" s="33">
        <f>IFERROR(__xludf.DUMMYFUNCTION("""COMPUTED_VALUE"""),1.0)</f>
        <v>1</v>
      </c>
    </row>
    <row r="9383">
      <c r="K9383" s="4" t="str">
        <f>IFERROR(__xludf.DUMMYFUNCTION("""COMPUTED_VALUE"""),"GELATTO ACAI MORUMBI")</f>
        <v>GELATTO ACAI MORUMBI</v>
      </c>
      <c r="L9383" s="32">
        <f>IFERROR(__xludf.DUMMYFUNCTION("""COMPUTED_VALUE"""),1.0)</f>
        <v>1</v>
      </c>
      <c r="M9383" s="4" t="str">
        <f>IFERROR(__xludf.DUMMYFUNCTION("""COMPUTED_VALUE"""),"null")</f>
        <v>null</v>
      </c>
      <c r="N9383" s="33">
        <f>IFERROR(__xludf.DUMMYFUNCTION("""COMPUTED_VALUE"""),1.0)</f>
        <v>1</v>
      </c>
      <c r="O9383" s="4" t="str">
        <f>IFERROR(__xludf.DUMMYFUNCTION("""COMPUTED_VALUE"""),"null")</f>
        <v>null</v>
      </c>
      <c r="P9383" s="33">
        <f>IFERROR(__xludf.DUMMYFUNCTION("""COMPUTED_VALUE"""),1.0)</f>
        <v>1</v>
      </c>
      <c r="Q9383" s="4" t="str">
        <f>IFERROR(__xludf.DUMMYFUNCTION("""COMPUTED_VALUE"""),"null")</f>
        <v>null</v>
      </c>
      <c r="R9383" s="33">
        <f>IFERROR(__xludf.DUMMYFUNCTION("""COMPUTED_VALUE"""),1.0)</f>
        <v>1</v>
      </c>
      <c r="S9383" s="4" t="str">
        <f>IFERROR(__xludf.DUMMYFUNCTION("""COMPUTED_VALUE"""),"null")</f>
        <v>null</v>
      </c>
      <c r="T9383" s="33">
        <f>IFERROR(__xludf.DUMMYFUNCTION("""COMPUTED_VALUE"""),1.0)</f>
        <v>1</v>
      </c>
      <c r="U9383" s="4" t="str">
        <f>IFERROR(__xludf.DUMMYFUNCTION("""COMPUTED_VALUE"""),"Beefood - Sistema Para Restaurantes")</f>
        <v>Beefood - Sistema Para Restaurantes</v>
      </c>
      <c r="V9383" s="33">
        <f>IFERROR(__xludf.DUMMYFUNCTION("""COMPUTED_VALUE"""),1.0)</f>
        <v>1</v>
      </c>
      <c r="W9383" s="4" t="str">
        <f>IFERROR(__xludf.DUMMYFUNCTION("""COMPUTED_VALUE"""),"Beefood - Sistema Para Restaurantes")</f>
        <v>Beefood - Sistema Para Restaurantes</v>
      </c>
      <c r="X9383" s="33">
        <f>IFERROR(__xludf.DUMMYFUNCTION("""COMPUTED_VALUE"""),1.0)</f>
        <v>1</v>
      </c>
    </row>
    <row r="9384">
      <c r="K9384" s="4" t="str">
        <f>IFERROR(__xludf.DUMMYFUNCTION("""COMPUTED_VALUE"""),"MAMAE FORMIGA DOCES E SALGADOS")</f>
        <v>MAMAE FORMIGA DOCES E SALGADOS</v>
      </c>
      <c r="L9384" s="32">
        <f>IFERROR(__xludf.DUMMYFUNCTION("""COMPUTED_VALUE"""),1.0)</f>
        <v>1</v>
      </c>
      <c r="M9384" s="4" t="str">
        <f>IFERROR(__xludf.DUMMYFUNCTION("""COMPUTED_VALUE"""),"Beefood - Sistema Para Restaurantes")</f>
        <v>Beefood - Sistema Para Restaurantes</v>
      </c>
      <c r="N9384" s="33">
        <f>IFERROR(__xludf.DUMMYFUNCTION("""COMPUTED_VALUE"""),1.0)</f>
        <v>1</v>
      </c>
      <c r="O9384" s="4" t="str">
        <f>IFERROR(__xludf.DUMMYFUNCTION("""COMPUTED_VALUE"""),"null")</f>
        <v>null</v>
      </c>
      <c r="P9384" s="33">
        <f>IFERROR(__xludf.DUMMYFUNCTION("""COMPUTED_VALUE"""),1.0)</f>
        <v>1</v>
      </c>
      <c r="Q9384" s="4" t="str">
        <f>IFERROR(__xludf.DUMMYFUNCTION("""COMPUTED_VALUE"""),"null")</f>
        <v>null</v>
      </c>
      <c r="R9384" s="33">
        <f>IFERROR(__xludf.DUMMYFUNCTION("""COMPUTED_VALUE"""),1.0)</f>
        <v>1</v>
      </c>
      <c r="S9384" s="4" t="str">
        <f>IFERROR(__xludf.DUMMYFUNCTION("""COMPUTED_VALUE"""),"null")</f>
        <v>null</v>
      </c>
      <c r="T9384" s="33">
        <f>IFERROR(__xludf.DUMMYFUNCTION("""COMPUTED_VALUE"""),1.0)</f>
        <v>1</v>
      </c>
      <c r="U9384" s="4" t="str">
        <f>IFERROR(__xludf.DUMMYFUNCTION("""COMPUTED_VALUE"""),"null")</f>
        <v>null</v>
      </c>
      <c r="V9384" s="33">
        <f>IFERROR(__xludf.DUMMYFUNCTION("""COMPUTED_VALUE"""),1.0)</f>
        <v>1</v>
      </c>
      <c r="W9384" s="4" t="str">
        <f>IFERROR(__xludf.DUMMYFUNCTION("""COMPUTED_VALUE"""),"null")</f>
        <v>null</v>
      </c>
      <c r="X9384" s="33">
        <f>IFERROR(__xludf.DUMMYFUNCTION("""COMPUTED_VALUE"""),1.0)</f>
        <v>1</v>
      </c>
    </row>
    <row r="9385">
      <c r="K9385" s="4" t="str">
        <f>IFERROR(__xludf.DUMMYFUNCTION("""COMPUTED_VALUE"""),"PRIMER JANTINHA - CHURRASCO HAMBURGUER ARTESANAL")</f>
        <v>PRIMER JANTINHA - CHURRASCO HAMBURGUER ARTESANAL</v>
      </c>
      <c r="L9385" s="32">
        <f>IFERROR(__xludf.DUMMYFUNCTION("""COMPUTED_VALUE"""),1.0)</f>
        <v>1</v>
      </c>
      <c r="M9385" s="4" t="str">
        <f>IFERROR(__xludf.DUMMYFUNCTION("""COMPUTED_VALUE"""),"null")</f>
        <v>null</v>
      </c>
      <c r="N9385" s="33">
        <f>IFERROR(__xludf.DUMMYFUNCTION("""COMPUTED_VALUE"""),1.0)</f>
        <v>1</v>
      </c>
      <c r="O9385" s="4" t="str">
        <f>IFERROR(__xludf.DUMMYFUNCTION("""COMPUTED_VALUE"""),"null")</f>
        <v>null</v>
      </c>
      <c r="P9385" s="33">
        <f>IFERROR(__xludf.DUMMYFUNCTION("""COMPUTED_VALUE"""),1.0)</f>
        <v>1</v>
      </c>
      <c r="Q9385" s="4" t="str">
        <f>IFERROR(__xludf.DUMMYFUNCTION("""COMPUTED_VALUE"""),"Yooga")</f>
        <v>Yooga</v>
      </c>
      <c r="R9385" s="33">
        <f>IFERROR(__xludf.DUMMYFUNCTION("""COMPUTED_VALUE"""),1.0)</f>
        <v>1</v>
      </c>
      <c r="S9385" s="4" t="str">
        <f>IFERROR(__xludf.DUMMYFUNCTION("""COMPUTED_VALUE"""),"Yooga")</f>
        <v>Yooga</v>
      </c>
      <c r="T9385" s="33">
        <f>IFERROR(__xludf.DUMMYFUNCTION("""COMPUTED_VALUE"""),1.0)</f>
        <v>1</v>
      </c>
      <c r="U9385" s="4" t="str">
        <f>IFERROR(__xludf.DUMMYFUNCTION("""COMPUTED_VALUE"""),"Yooga")</f>
        <v>Yooga</v>
      </c>
      <c r="V9385" s="33">
        <f>IFERROR(__xludf.DUMMYFUNCTION("""COMPUTED_VALUE"""),1.0)</f>
        <v>1</v>
      </c>
      <c r="W9385" s="4" t="str">
        <f>IFERROR(__xludf.DUMMYFUNCTION("""COMPUTED_VALUE"""),"Yooga")</f>
        <v>Yooga</v>
      </c>
      <c r="X9385" s="33">
        <f>IFERROR(__xludf.DUMMYFUNCTION("""COMPUTED_VALUE"""),1.0)</f>
        <v>1</v>
      </c>
    </row>
    <row r="9386">
      <c r="K9386" s="4" t="str">
        <f>IFERROR(__xludf.DUMMYFUNCTION("""COMPUTED_VALUE"""),"GATO DE BORDAS")</f>
        <v>GATO DE BORDAS</v>
      </c>
      <c r="L9386" s="32">
        <f>IFERROR(__xludf.DUMMYFUNCTION("""COMPUTED_VALUE"""),1.0)</f>
        <v>1</v>
      </c>
      <c r="M9386" s="4" t="str">
        <f>IFERROR(__xludf.DUMMYFUNCTION("""COMPUTED_VALUE"""),"Saipos Serviços De Software")</f>
        <v>Saipos Serviços De Software</v>
      </c>
      <c r="N9386" s="33">
        <f>IFERROR(__xludf.DUMMYFUNCTION("""COMPUTED_VALUE"""),1.0)</f>
        <v>1</v>
      </c>
      <c r="O9386" s="4" t="str">
        <f>IFERROR(__xludf.DUMMYFUNCTION("""COMPUTED_VALUE"""),"Saipos Serviços De Software")</f>
        <v>Saipos Serviços De Software</v>
      </c>
      <c r="P9386" s="33">
        <f>IFERROR(__xludf.DUMMYFUNCTION("""COMPUTED_VALUE"""),1.0)</f>
        <v>1</v>
      </c>
      <c r="Q9386" s="4" t="str">
        <f>IFERROR(__xludf.DUMMYFUNCTION("""COMPUTED_VALUE"""),"null")</f>
        <v>null</v>
      </c>
      <c r="R9386" s="33">
        <f>IFERROR(__xludf.DUMMYFUNCTION("""COMPUTED_VALUE"""),1.0)</f>
        <v>1</v>
      </c>
      <c r="S9386" s="4" t="str">
        <f>IFERROR(__xludf.DUMMYFUNCTION("""COMPUTED_VALUE"""),"null")</f>
        <v>null</v>
      </c>
      <c r="T9386" s="33">
        <f>IFERROR(__xludf.DUMMYFUNCTION("""COMPUTED_VALUE"""),1.0)</f>
        <v>1</v>
      </c>
      <c r="U9386" s="4" t="str">
        <f>IFERROR(__xludf.DUMMYFUNCTION("""COMPUTED_VALUE"""),"null")</f>
        <v>null</v>
      </c>
      <c r="V9386" s="33">
        <f>IFERROR(__xludf.DUMMYFUNCTION("""COMPUTED_VALUE"""),1.0)</f>
        <v>1</v>
      </c>
      <c r="W9386" s="4" t="str">
        <f>IFERROR(__xludf.DUMMYFUNCTION("""COMPUTED_VALUE"""),"null")</f>
        <v>null</v>
      </c>
      <c r="X9386" s="33">
        <f>IFERROR(__xludf.DUMMYFUNCTION("""COMPUTED_VALUE"""),1.0)</f>
        <v>1</v>
      </c>
    </row>
    <row r="9387">
      <c r="K9387" s="4" t="str">
        <f>IFERROR(__xludf.DUMMYFUNCTION("""COMPUTED_VALUE"""),"HAVANA ACAI EXPRESS")</f>
        <v>HAVANA ACAI EXPRESS</v>
      </c>
      <c r="L9387" s="32">
        <f>IFERROR(__xludf.DUMMYFUNCTION("""COMPUTED_VALUE"""),1.0)</f>
        <v>1</v>
      </c>
      <c r="M9387" s="4" t="str">
        <f>IFERROR(__xludf.DUMMYFUNCTION("""COMPUTED_VALUE"""),"Takeat Tecnologia")</f>
        <v>Takeat Tecnologia</v>
      </c>
      <c r="N9387" s="33">
        <f>IFERROR(__xludf.DUMMYFUNCTION("""COMPUTED_VALUE"""),1.0)</f>
        <v>1</v>
      </c>
      <c r="O9387" s="4" t="str">
        <f>IFERROR(__xludf.DUMMYFUNCTION("""COMPUTED_VALUE"""),"null")</f>
        <v>null</v>
      </c>
      <c r="P9387" s="33">
        <f>IFERROR(__xludf.DUMMYFUNCTION("""COMPUTED_VALUE"""),1.0)</f>
        <v>1</v>
      </c>
      <c r="Q9387" s="4" t="str">
        <f>IFERROR(__xludf.DUMMYFUNCTION("""COMPUTED_VALUE"""),"null")</f>
        <v>null</v>
      </c>
      <c r="R9387" s="33">
        <f>IFERROR(__xludf.DUMMYFUNCTION("""COMPUTED_VALUE"""),1.0)</f>
        <v>1</v>
      </c>
      <c r="S9387" s="4" t="str">
        <f>IFERROR(__xludf.DUMMYFUNCTION("""COMPUTED_VALUE"""),"Yooga")</f>
        <v>Yooga</v>
      </c>
      <c r="T9387" s="33">
        <f>IFERROR(__xludf.DUMMYFUNCTION("""COMPUTED_VALUE"""),1.0)</f>
        <v>1</v>
      </c>
      <c r="U9387" s="4" t="str">
        <f>IFERROR(__xludf.DUMMYFUNCTION("""COMPUTED_VALUE"""),"Yooga")</f>
        <v>Yooga</v>
      </c>
      <c r="V9387" s="33">
        <f>IFERROR(__xludf.DUMMYFUNCTION("""COMPUTED_VALUE"""),1.0)</f>
        <v>1</v>
      </c>
      <c r="W9387" s="4" t="str">
        <f>IFERROR(__xludf.DUMMYFUNCTION("""COMPUTED_VALUE"""),"Yooga")</f>
        <v>Yooga</v>
      </c>
      <c r="X9387" s="33">
        <f>IFERROR(__xludf.DUMMYFUNCTION("""COMPUTED_VALUE"""),1.0)</f>
        <v>1</v>
      </c>
    </row>
    <row r="9388">
      <c r="K9388" s="4" t="str">
        <f>IFERROR(__xludf.DUMMYFUNCTION("""COMPUTED_VALUE"""),"COMIDA DA MAMAE MARMITARIA E CHURRASQUINHO")</f>
        <v>COMIDA DA MAMAE MARMITARIA E CHURRASQUINHO</v>
      </c>
      <c r="L9388" s="32">
        <f>IFERROR(__xludf.DUMMYFUNCTION("""COMPUTED_VALUE"""),1.0)</f>
        <v>1</v>
      </c>
      <c r="M9388" s="4" t="str">
        <f>IFERROR(__xludf.DUMMYFUNCTION("""COMPUTED_VALUE"""),"Instadelivery")</f>
        <v>Instadelivery</v>
      </c>
      <c r="N9388" s="33">
        <f>IFERROR(__xludf.DUMMYFUNCTION("""COMPUTED_VALUE"""),1.0)</f>
        <v>1</v>
      </c>
      <c r="O9388" s="4" t="str">
        <f>IFERROR(__xludf.DUMMYFUNCTION("""COMPUTED_VALUE"""),"null")</f>
        <v>null</v>
      </c>
      <c r="P9388" s="33">
        <f>IFERROR(__xludf.DUMMYFUNCTION("""COMPUTED_VALUE"""),1.0)</f>
        <v>1</v>
      </c>
      <c r="Q9388" s="4" t="str">
        <f>IFERROR(__xludf.DUMMYFUNCTION("""COMPUTED_VALUE"""),"null")</f>
        <v>null</v>
      </c>
      <c r="R9388" s="33">
        <f>IFERROR(__xludf.DUMMYFUNCTION("""COMPUTED_VALUE"""),1.0)</f>
        <v>1</v>
      </c>
      <c r="S9388" s="4" t="str">
        <f>IFERROR(__xludf.DUMMYFUNCTION("""COMPUTED_VALUE"""),"null")</f>
        <v>null</v>
      </c>
      <c r="T9388" s="33">
        <f>IFERROR(__xludf.DUMMYFUNCTION("""COMPUTED_VALUE"""),1.0)</f>
        <v>1</v>
      </c>
      <c r="U9388" s="4" t="str">
        <f>IFERROR(__xludf.DUMMYFUNCTION("""COMPUTED_VALUE"""),"null")</f>
        <v>null</v>
      </c>
      <c r="V9388" s="33">
        <f>IFERROR(__xludf.DUMMYFUNCTION("""COMPUTED_VALUE"""),1.0)</f>
        <v>1</v>
      </c>
      <c r="W9388" s="4" t="str">
        <f>IFERROR(__xludf.DUMMYFUNCTION("""COMPUTED_VALUE"""),"null")</f>
        <v>null</v>
      </c>
      <c r="X9388" s="33">
        <f>IFERROR(__xludf.DUMMYFUNCTION("""COMPUTED_VALUE"""),1.0)</f>
        <v>1</v>
      </c>
    </row>
    <row r="9389">
      <c r="K9389" s="4" t="str">
        <f>IFERROR(__xludf.DUMMYFUNCTION("""COMPUTED_VALUE"""),"CHAMA PIZZARIA")</f>
        <v>CHAMA PIZZARIA</v>
      </c>
      <c r="L9389" s="32">
        <f>IFERROR(__xludf.DUMMYFUNCTION("""COMPUTED_VALUE"""),1.0)</f>
        <v>1</v>
      </c>
      <c r="M9389" s="4" t="str">
        <f>IFERROR(__xludf.DUMMYFUNCTION("""COMPUTED_VALUE"""),"null")</f>
        <v>null</v>
      </c>
      <c r="N9389" s="33">
        <f>IFERROR(__xludf.DUMMYFUNCTION("""COMPUTED_VALUE"""),1.0)</f>
        <v>1</v>
      </c>
      <c r="O9389" s="4" t="str">
        <f>IFERROR(__xludf.DUMMYFUNCTION("""COMPUTED_VALUE"""),"null")</f>
        <v>null</v>
      </c>
      <c r="P9389" s="33">
        <f>IFERROR(__xludf.DUMMYFUNCTION("""COMPUTED_VALUE"""),1.0)</f>
        <v>1</v>
      </c>
      <c r="Q9389" s="4" t="str">
        <f>IFERROR(__xludf.DUMMYFUNCTION("""COMPUTED_VALUE"""),"null")</f>
        <v>null</v>
      </c>
      <c r="R9389" s="33">
        <f>IFERROR(__xludf.DUMMYFUNCTION("""COMPUTED_VALUE"""),1.0)</f>
        <v>1</v>
      </c>
      <c r="S9389" s="4" t="str">
        <f>IFERROR(__xludf.DUMMYFUNCTION("""COMPUTED_VALUE"""),"null")</f>
        <v>null</v>
      </c>
      <c r="T9389" s="33">
        <f>IFERROR(__xludf.DUMMYFUNCTION("""COMPUTED_VALUE"""),1.0)</f>
        <v>1</v>
      </c>
      <c r="U9389" s="4" t="str">
        <f>IFERROR(__xludf.DUMMYFUNCTION("""COMPUTED_VALUE"""),"null")</f>
        <v>null</v>
      </c>
      <c r="V9389" s="33">
        <f>IFERROR(__xludf.DUMMYFUNCTION("""COMPUTED_VALUE"""),1.0)</f>
        <v>1</v>
      </c>
      <c r="W9389" s="4" t="str">
        <f>IFERROR(__xludf.DUMMYFUNCTION("""COMPUTED_VALUE"""),"Consumer Soluções Em Tecnologia Ltda")</f>
        <v>Consumer Soluções Em Tecnologia Ltda</v>
      </c>
      <c r="X9389" s="33">
        <f>IFERROR(__xludf.DUMMYFUNCTION("""COMPUTED_VALUE"""),1.0)</f>
        <v>1</v>
      </c>
    </row>
    <row r="9390">
      <c r="K9390" s="4" t="str">
        <f>IFERROR(__xludf.DUMMYFUNCTION("""COMPUTED_VALUE"""),"DIPPS PIZZA BC")</f>
        <v>DIPPS PIZZA BC</v>
      </c>
      <c r="L9390" s="32">
        <f>IFERROR(__xludf.DUMMYFUNCTION("""COMPUTED_VALUE"""),1.0)</f>
        <v>1</v>
      </c>
      <c r="M9390" s="4" t="str">
        <f>IFERROR(__xludf.DUMMYFUNCTION("""COMPUTED_VALUE"""),"Alfa Labs")</f>
        <v>Alfa Labs</v>
      </c>
      <c r="N9390" s="33">
        <f>IFERROR(__xludf.DUMMYFUNCTION("""COMPUTED_VALUE"""),1.0)</f>
        <v>1</v>
      </c>
      <c r="O9390" s="4" t="str">
        <f>IFERROR(__xludf.DUMMYFUNCTION("""COMPUTED_VALUE"""),"Alfa Labs")</f>
        <v>Alfa Labs</v>
      </c>
      <c r="P9390" s="33">
        <f>IFERROR(__xludf.DUMMYFUNCTION("""COMPUTED_VALUE"""),1.0)</f>
        <v>1</v>
      </c>
      <c r="Q9390" s="4" t="str">
        <f>IFERROR(__xludf.DUMMYFUNCTION("""COMPUTED_VALUE"""),"Alfa Labs")</f>
        <v>Alfa Labs</v>
      </c>
      <c r="R9390" s="33">
        <f>IFERROR(__xludf.DUMMYFUNCTION("""COMPUTED_VALUE"""),1.0)</f>
        <v>1</v>
      </c>
      <c r="S9390" s="4" t="str">
        <f>IFERROR(__xludf.DUMMYFUNCTION("""COMPUTED_VALUE"""),"Alfa Labs")</f>
        <v>Alfa Labs</v>
      </c>
      <c r="T9390" s="33">
        <f>IFERROR(__xludf.DUMMYFUNCTION("""COMPUTED_VALUE"""),1.0)</f>
        <v>1</v>
      </c>
      <c r="U9390" s="4" t="str">
        <f>IFERROR(__xludf.DUMMYFUNCTION("""COMPUTED_VALUE"""),"Alfa Labs")</f>
        <v>Alfa Labs</v>
      </c>
      <c r="V9390" s="33">
        <f>IFERROR(__xludf.DUMMYFUNCTION("""COMPUTED_VALUE"""),1.0)</f>
        <v>1</v>
      </c>
      <c r="W9390" s="4" t="str">
        <f>IFERROR(__xludf.DUMMYFUNCTION("""COMPUTED_VALUE"""),"Alfa Labs")</f>
        <v>Alfa Labs</v>
      </c>
      <c r="X9390" s="33">
        <f>IFERROR(__xludf.DUMMYFUNCTION("""COMPUTED_VALUE"""),1.0)</f>
        <v>1</v>
      </c>
    </row>
    <row r="9391">
      <c r="K9391" s="4" t="str">
        <f>IFERROR(__xludf.DUMMYFUNCTION("""COMPUTED_VALUE"""),"PIT DOG BOND BOCA")</f>
        <v>PIT DOG BOND BOCA</v>
      </c>
      <c r="L9391" s="32">
        <f>IFERROR(__xludf.DUMMYFUNCTION("""COMPUTED_VALUE"""),1.0)</f>
        <v>1</v>
      </c>
      <c r="M9391" s="4" t="str">
        <f>IFERROR(__xludf.DUMMYFUNCTION("""COMPUTED_VALUE"""),"Sti3 Soluções Em Ti")</f>
        <v>Sti3 Soluções Em Ti</v>
      </c>
      <c r="N9391" s="33">
        <f>IFERROR(__xludf.DUMMYFUNCTION("""COMPUTED_VALUE"""),1.0)</f>
        <v>1</v>
      </c>
      <c r="O9391" s="4" t="str">
        <f>IFERROR(__xludf.DUMMYFUNCTION("""COMPUTED_VALUE"""),"Sti3 Soluções Em Ti")</f>
        <v>Sti3 Soluções Em Ti</v>
      </c>
      <c r="P9391" s="33">
        <f>IFERROR(__xludf.DUMMYFUNCTION("""COMPUTED_VALUE"""),1.0)</f>
        <v>1</v>
      </c>
      <c r="Q9391" s="4" t="str">
        <f>IFERROR(__xludf.DUMMYFUNCTION("""COMPUTED_VALUE"""),"Sti3 Soluções Em Ti")</f>
        <v>Sti3 Soluções Em Ti</v>
      </c>
      <c r="R9391" s="33">
        <f>IFERROR(__xludf.DUMMYFUNCTION("""COMPUTED_VALUE"""),1.0)</f>
        <v>1</v>
      </c>
      <c r="S9391" s="4" t="str">
        <f>IFERROR(__xludf.DUMMYFUNCTION("""COMPUTED_VALUE"""),"Sti3 Soluções Em Ti")</f>
        <v>Sti3 Soluções Em Ti</v>
      </c>
      <c r="T9391" s="33">
        <f>IFERROR(__xludf.DUMMYFUNCTION("""COMPUTED_VALUE"""),1.0)</f>
        <v>1</v>
      </c>
      <c r="U9391" s="4" t="str">
        <f>IFERROR(__xludf.DUMMYFUNCTION("""COMPUTED_VALUE"""),"Sti3 Soluções Em Ti")</f>
        <v>Sti3 Soluções Em Ti</v>
      </c>
      <c r="V9391" s="33">
        <f>IFERROR(__xludf.DUMMYFUNCTION("""COMPUTED_VALUE"""),1.0)</f>
        <v>1</v>
      </c>
      <c r="W9391" s="4" t="str">
        <f>IFERROR(__xludf.DUMMYFUNCTION("""COMPUTED_VALUE"""),"Sti3 Soluções Em Ti")</f>
        <v>Sti3 Soluções Em Ti</v>
      </c>
      <c r="X9391" s="33">
        <f>IFERROR(__xludf.DUMMYFUNCTION("""COMPUTED_VALUE"""),1.0)</f>
        <v>1</v>
      </c>
    </row>
    <row r="9392">
      <c r="K9392" s="4" t="str">
        <f>IFERROR(__xludf.DUMMYFUNCTION("""COMPUTED_VALUE"""),"FORNERIA NOATTO")</f>
        <v>FORNERIA NOATTO</v>
      </c>
      <c r="L9392" s="32">
        <f>IFERROR(__xludf.DUMMYFUNCTION("""COMPUTED_VALUE"""),1.0)</f>
        <v>1</v>
      </c>
      <c r="M9392" s="4" t="str">
        <f>IFERROR(__xludf.DUMMYFUNCTION("""COMPUTED_VALUE"""),"null")</f>
        <v>null</v>
      </c>
      <c r="N9392" s="33">
        <f>IFERROR(__xludf.DUMMYFUNCTION("""COMPUTED_VALUE"""),1.0)</f>
        <v>1</v>
      </c>
      <c r="O9392" s="4" t="str">
        <f>IFERROR(__xludf.DUMMYFUNCTION("""COMPUTED_VALUE"""),"null")</f>
        <v>null</v>
      </c>
      <c r="P9392" s="33">
        <f>IFERROR(__xludf.DUMMYFUNCTION("""COMPUTED_VALUE"""),1.0)</f>
        <v>1</v>
      </c>
      <c r="Q9392" s="4" t="str">
        <f>IFERROR(__xludf.DUMMYFUNCTION("""COMPUTED_VALUE"""),"Consumer Soluções Em Tecnologia Ltda")</f>
        <v>Consumer Soluções Em Tecnologia Ltda</v>
      </c>
      <c r="R9392" s="33">
        <f>IFERROR(__xludf.DUMMYFUNCTION("""COMPUTED_VALUE"""),1.0)</f>
        <v>1</v>
      </c>
      <c r="S9392" s="4" t="str">
        <f>IFERROR(__xludf.DUMMYFUNCTION("""COMPUTED_VALUE"""),"null")</f>
        <v>null</v>
      </c>
      <c r="T9392" s="33">
        <f>IFERROR(__xludf.DUMMYFUNCTION("""COMPUTED_VALUE"""),1.0)</f>
        <v>1</v>
      </c>
      <c r="U9392" s="4" t="str">
        <f>IFERROR(__xludf.DUMMYFUNCTION("""COMPUTED_VALUE"""),"Alloy Tecnologia")</f>
        <v>Alloy Tecnologia</v>
      </c>
      <c r="V9392" s="33">
        <f>IFERROR(__xludf.DUMMYFUNCTION("""COMPUTED_VALUE"""),1.0)</f>
        <v>1</v>
      </c>
      <c r="W9392" s="4" t="str">
        <f>IFERROR(__xludf.DUMMYFUNCTION("""COMPUTED_VALUE"""),"Alloy Tecnologia")</f>
        <v>Alloy Tecnologia</v>
      </c>
      <c r="X9392" s="33">
        <f>IFERROR(__xludf.DUMMYFUNCTION("""COMPUTED_VALUE"""),1.0)</f>
        <v>1</v>
      </c>
    </row>
    <row r="9393">
      <c r="K9393" s="4" t="str">
        <f>IFERROR(__xludf.DUMMYFUNCTION("""COMPUTED_VALUE"""),"BIG BANG BURGER")</f>
        <v>BIG BANG BURGER</v>
      </c>
      <c r="L9393" s="32">
        <f>IFERROR(__xludf.DUMMYFUNCTION("""COMPUTED_VALUE"""),1.0)</f>
        <v>1</v>
      </c>
      <c r="M9393" s="4" t="str">
        <f>IFERROR(__xludf.DUMMYFUNCTION("""COMPUTED_VALUE"""),"Alloy Tecnologia")</f>
        <v>Alloy Tecnologia</v>
      </c>
      <c r="N9393" s="33">
        <f>IFERROR(__xludf.DUMMYFUNCTION("""COMPUTED_VALUE"""),1.0)</f>
        <v>1</v>
      </c>
      <c r="O9393" s="4" t="str">
        <f>IFERROR(__xludf.DUMMYFUNCTION("""COMPUTED_VALUE"""),"Alloy Tecnologia")</f>
        <v>Alloy Tecnologia</v>
      </c>
      <c r="P9393" s="33">
        <f>IFERROR(__xludf.DUMMYFUNCTION("""COMPUTED_VALUE"""),1.0)</f>
        <v>1</v>
      </c>
      <c r="Q9393" s="4" t="str">
        <f>IFERROR(__xludf.DUMMYFUNCTION("""COMPUTED_VALUE"""),"Alloy Tecnologia")</f>
        <v>Alloy Tecnologia</v>
      </c>
      <c r="R9393" s="33">
        <f>IFERROR(__xludf.DUMMYFUNCTION("""COMPUTED_VALUE"""),1.0)</f>
        <v>1</v>
      </c>
      <c r="S9393" s="4" t="str">
        <f>IFERROR(__xludf.DUMMYFUNCTION("""COMPUTED_VALUE"""),"null")</f>
        <v>null</v>
      </c>
      <c r="T9393" s="33">
        <f>IFERROR(__xludf.DUMMYFUNCTION("""COMPUTED_VALUE"""),1.0)</f>
        <v>1</v>
      </c>
      <c r="U9393" s="4" t="str">
        <f>IFERROR(__xludf.DUMMYFUNCTION("""COMPUTED_VALUE"""),"null")</f>
        <v>null</v>
      </c>
      <c r="V9393" s="33">
        <f>IFERROR(__xludf.DUMMYFUNCTION("""COMPUTED_VALUE"""),1.0)</f>
        <v>1</v>
      </c>
      <c r="W9393" s="4" t="str">
        <f>IFERROR(__xludf.DUMMYFUNCTION("""COMPUTED_VALUE"""),"null")</f>
        <v>null</v>
      </c>
      <c r="X9393" s="33">
        <f>IFERROR(__xludf.DUMMYFUNCTION("""COMPUTED_VALUE"""),1.0)</f>
        <v>1</v>
      </c>
    </row>
    <row r="9394">
      <c r="K9394" s="4" t="str">
        <f>IFERROR(__xludf.DUMMYFUNCTION("""COMPUTED_VALUE"""),"CHURRASCO GREGO ROMA SABOR")</f>
        <v>CHURRASCO GREGO ROMA SABOR</v>
      </c>
      <c r="L9394" s="32">
        <f>IFERROR(__xludf.DUMMYFUNCTION("""COMPUTED_VALUE"""),1.0)</f>
        <v>1</v>
      </c>
      <c r="M9394" s="4" t="str">
        <f>IFERROR(__xludf.DUMMYFUNCTION("""COMPUTED_VALUE"""),"Instadelivery")</f>
        <v>Instadelivery</v>
      </c>
      <c r="N9394" s="33">
        <f>IFERROR(__xludf.DUMMYFUNCTION("""COMPUTED_VALUE"""),1.0)</f>
        <v>1</v>
      </c>
      <c r="O9394" s="4" t="str">
        <f>IFERROR(__xludf.DUMMYFUNCTION("""COMPUTED_VALUE"""),"Instadelivery")</f>
        <v>Instadelivery</v>
      </c>
      <c r="P9394" s="33">
        <f>IFERROR(__xludf.DUMMYFUNCTION("""COMPUTED_VALUE"""),1.0)</f>
        <v>1</v>
      </c>
      <c r="Q9394" s="4" t="str">
        <f>IFERROR(__xludf.DUMMYFUNCTION("""COMPUTED_VALUE"""),"null")</f>
        <v>null</v>
      </c>
      <c r="R9394" s="33">
        <f>IFERROR(__xludf.DUMMYFUNCTION("""COMPUTED_VALUE"""),1.0)</f>
        <v>1</v>
      </c>
      <c r="S9394" s="4" t="str">
        <f>IFERROR(__xludf.DUMMYFUNCTION("""COMPUTED_VALUE"""),"null")</f>
        <v>null</v>
      </c>
      <c r="T9394" s="33">
        <f>IFERROR(__xludf.DUMMYFUNCTION("""COMPUTED_VALUE"""),1.0)</f>
        <v>1</v>
      </c>
      <c r="U9394" s="4" t="str">
        <f>IFERROR(__xludf.DUMMYFUNCTION("""COMPUTED_VALUE"""),"null")</f>
        <v>null</v>
      </c>
      <c r="V9394" s="33">
        <f>IFERROR(__xludf.DUMMYFUNCTION("""COMPUTED_VALUE"""),1.0)</f>
        <v>1</v>
      </c>
      <c r="W9394" s="4" t="str">
        <f>IFERROR(__xludf.DUMMYFUNCTION("""COMPUTED_VALUE"""),"null")</f>
        <v>null</v>
      </c>
      <c r="X9394" s="33">
        <f>IFERROR(__xludf.DUMMYFUNCTION("""COMPUTED_VALUE"""),1.0)</f>
        <v>1</v>
      </c>
    </row>
    <row r="9395">
      <c r="K9395" s="4" t="str">
        <f>IFERROR(__xludf.DUMMYFUNCTION("""COMPUTED_VALUE"""),"REI DO COMBO UMARIZAL")</f>
        <v>REI DO COMBO UMARIZAL</v>
      </c>
      <c r="L9395" s="32">
        <f>IFERROR(__xludf.DUMMYFUNCTION("""COMPUTED_VALUE"""),1.0)</f>
        <v>1</v>
      </c>
      <c r="M9395" s="4" t="str">
        <f>IFERROR(__xludf.DUMMYFUNCTION("""COMPUTED_VALUE"""),"Instadelivery")</f>
        <v>Instadelivery</v>
      </c>
      <c r="N9395" s="33">
        <f>IFERROR(__xludf.DUMMYFUNCTION("""COMPUTED_VALUE"""),1.0)</f>
        <v>1</v>
      </c>
      <c r="O9395" s="4" t="str">
        <f>IFERROR(__xludf.DUMMYFUNCTION("""COMPUTED_VALUE"""),"null")</f>
        <v>null</v>
      </c>
      <c r="P9395" s="33">
        <f>IFERROR(__xludf.DUMMYFUNCTION("""COMPUTED_VALUE"""),1.0)</f>
        <v>1</v>
      </c>
      <c r="Q9395" s="4" t="str">
        <f>IFERROR(__xludf.DUMMYFUNCTION("""COMPUTED_VALUE"""),"null")</f>
        <v>null</v>
      </c>
      <c r="R9395" s="33">
        <f>IFERROR(__xludf.DUMMYFUNCTION("""COMPUTED_VALUE"""),1.0)</f>
        <v>1</v>
      </c>
      <c r="S9395" s="4" t="str">
        <f>IFERROR(__xludf.DUMMYFUNCTION("""COMPUTED_VALUE"""),"null")</f>
        <v>null</v>
      </c>
      <c r="T9395" s="33">
        <f>IFERROR(__xludf.DUMMYFUNCTION("""COMPUTED_VALUE"""),1.0)</f>
        <v>1</v>
      </c>
      <c r="U9395" s="4" t="str">
        <f>IFERROR(__xludf.DUMMYFUNCTION("""COMPUTED_VALUE"""),"null")</f>
        <v>null</v>
      </c>
      <c r="V9395" s="33">
        <f>IFERROR(__xludf.DUMMYFUNCTION("""COMPUTED_VALUE"""),1.0)</f>
        <v>1</v>
      </c>
      <c r="W9395" s="4" t="str">
        <f>IFERROR(__xludf.DUMMYFUNCTION("""COMPUTED_VALUE"""),"null")</f>
        <v>null</v>
      </c>
      <c r="X9395" s="33">
        <f>IFERROR(__xludf.DUMMYFUNCTION("""COMPUTED_VALUE"""),1.0)</f>
        <v>1</v>
      </c>
    </row>
    <row r="9396">
      <c r="K9396" s="4" t="str">
        <f>IFERROR(__xludf.DUMMYFUNCTION("""COMPUTED_VALUE"""),"VALHALLA BURGER")</f>
        <v>VALHALLA BURGER</v>
      </c>
      <c r="L9396" s="32">
        <f>IFERROR(__xludf.DUMMYFUNCTION("""COMPUTED_VALUE"""),1.0)</f>
        <v>1</v>
      </c>
      <c r="M9396" s="4" t="str">
        <f>IFERROR(__xludf.DUMMYFUNCTION("""COMPUTED_VALUE"""),"Yooga")</f>
        <v>Yooga</v>
      </c>
      <c r="N9396" s="33">
        <f>IFERROR(__xludf.DUMMYFUNCTION("""COMPUTED_VALUE"""),1.0)</f>
        <v>1</v>
      </c>
      <c r="O9396" s="4" t="str">
        <f>IFERROR(__xludf.DUMMYFUNCTION("""COMPUTED_VALUE"""),"Yooga")</f>
        <v>Yooga</v>
      </c>
      <c r="P9396" s="33">
        <f>IFERROR(__xludf.DUMMYFUNCTION("""COMPUTED_VALUE"""),1.0)</f>
        <v>1</v>
      </c>
      <c r="Q9396" s="4" t="str">
        <f>IFERROR(__xludf.DUMMYFUNCTION("""COMPUTED_VALUE"""),"Yooga")</f>
        <v>Yooga</v>
      </c>
      <c r="R9396" s="33">
        <f>IFERROR(__xludf.DUMMYFUNCTION("""COMPUTED_VALUE"""),1.0)</f>
        <v>1</v>
      </c>
      <c r="S9396" s="4" t="str">
        <f>IFERROR(__xludf.DUMMYFUNCTION("""COMPUTED_VALUE"""),"Yooga")</f>
        <v>Yooga</v>
      </c>
      <c r="T9396" s="33">
        <f>IFERROR(__xludf.DUMMYFUNCTION("""COMPUTED_VALUE"""),1.0)</f>
        <v>1</v>
      </c>
      <c r="U9396" s="4" t="str">
        <f>IFERROR(__xludf.DUMMYFUNCTION("""COMPUTED_VALUE"""),"Yooga")</f>
        <v>Yooga</v>
      </c>
      <c r="V9396" s="33">
        <f>IFERROR(__xludf.DUMMYFUNCTION("""COMPUTED_VALUE"""),1.0)</f>
        <v>1</v>
      </c>
      <c r="W9396" s="4" t="str">
        <f>IFERROR(__xludf.DUMMYFUNCTION("""COMPUTED_VALUE"""),"Yooga")</f>
        <v>Yooga</v>
      </c>
      <c r="X9396" s="33">
        <f>IFERROR(__xludf.DUMMYFUNCTION("""COMPUTED_VALUE"""),1.0)</f>
        <v>1</v>
      </c>
    </row>
    <row r="9397">
      <c r="K9397" s="4" t="str">
        <f>IFERROR(__xludf.DUMMYFUNCTION("""COMPUTED_VALUE"""),"DROGARIA NOVA MARICA")</f>
        <v>DROGARIA NOVA MARICA</v>
      </c>
      <c r="L9397" s="32">
        <f>IFERROR(__xludf.DUMMYFUNCTION("""COMPUTED_VALUE"""),1.0)</f>
        <v>1</v>
      </c>
      <c r="M9397" s="4" t="str">
        <f>IFERROR(__xludf.DUMMYFUNCTION("""COMPUTED_VALUE"""),"N/A (Not found)")</f>
        <v>N/A (Not found)</v>
      </c>
      <c r="N9397" s="33">
        <f>IFERROR(__xludf.DUMMYFUNCTION("""COMPUTED_VALUE"""),1.0)</f>
        <v>1</v>
      </c>
      <c r="O9397" s="4" t="str">
        <f>IFERROR(__xludf.DUMMYFUNCTION("""COMPUTED_VALUE"""),"N/A (Not found)")</f>
        <v>N/A (Not found)</v>
      </c>
      <c r="P9397" s="33">
        <f>IFERROR(__xludf.DUMMYFUNCTION("""COMPUTED_VALUE"""),1.0)</f>
        <v>1</v>
      </c>
      <c r="Q9397" s="4" t="str">
        <f>IFERROR(__xludf.DUMMYFUNCTION("""COMPUTED_VALUE"""),"N/A (Not found)")</f>
        <v>N/A (Not found)</v>
      </c>
      <c r="R9397" s="33">
        <f>IFERROR(__xludf.DUMMYFUNCTION("""COMPUTED_VALUE"""),1.0)</f>
        <v>1</v>
      </c>
      <c r="S9397" s="4" t="str">
        <f>IFERROR(__xludf.DUMMYFUNCTION("""COMPUTED_VALUE"""),"N/A (Not found)")</f>
        <v>N/A (Not found)</v>
      </c>
      <c r="T9397" s="33">
        <f>IFERROR(__xludf.DUMMYFUNCTION("""COMPUTED_VALUE"""),1.0)</f>
        <v>1</v>
      </c>
      <c r="U9397" s="4" t="str">
        <f>IFERROR(__xludf.DUMMYFUNCTION("""COMPUTED_VALUE"""),"N/A (Not found)")</f>
        <v>N/A (Not found)</v>
      </c>
      <c r="V9397" s="33">
        <f>IFERROR(__xludf.DUMMYFUNCTION("""COMPUTED_VALUE"""),1.0)</f>
        <v>1</v>
      </c>
      <c r="W9397" s="4" t="str">
        <f>IFERROR(__xludf.DUMMYFUNCTION("""COMPUTED_VALUE"""),"N/A (Not found)")</f>
        <v>N/A (Not found)</v>
      </c>
      <c r="X9397" s="33">
        <f>IFERROR(__xludf.DUMMYFUNCTION("""COMPUTED_VALUE"""),1.0)</f>
        <v>1</v>
      </c>
    </row>
    <row r="9398">
      <c r="K9398" s="4" t="str">
        <f>IFERROR(__xludf.DUMMYFUNCTION("""COMPUTED_VALUE"""),"CHERRY FLUNS - DOCES E BOLOS")</f>
        <v>CHERRY FLUNS - DOCES E BOLOS</v>
      </c>
      <c r="L9398" s="32">
        <f>IFERROR(__xludf.DUMMYFUNCTION("""COMPUTED_VALUE"""),1.0)</f>
        <v>1</v>
      </c>
      <c r="M9398" s="4" t="str">
        <f>IFERROR(__xludf.DUMMYFUNCTION("""COMPUTED_VALUE"""),"Gfr Tec")</f>
        <v>Gfr Tec</v>
      </c>
      <c r="N9398" s="33">
        <f>IFERROR(__xludf.DUMMYFUNCTION("""COMPUTED_VALUE"""),1.0)</f>
        <v>1</v>
      </c>
      <c r="O9398" s="4" t="str">
        <f>IFERROR(__xludf.DUMMYFUNCTION("""COMPUTED_VALUE"""),"Gfr Tec")</f>
        <v>Gfr Tec</v>
      </c>
      <c r="P9398" s="33">
        <f>IFERROR(__xludf.DUMMYFUNCTION("""COMPUTED_VALUE"""),1.0)</f>
        <v>1</v>
      </c>
      <c r="Q9398" s="4" t="str">
        <f>IFERROR(__xludf.DUMMYFUNCTION("""COMPUTED_VALUE"""),"Gfr Tec")</f>
        <v>Gfr Tec</v>
      </c>
      <c r="R9398" s="33">
        <f>IFERROR(__xludf.DUMMYFUNCTION("""COMPUTED_VALUE"""),1.0)</f>
        <v>1</v>
      </c>
      <c r="S9398" s="4" t="str">
        <f>IFERROR(__xludf.DUMMYFUNCTION("""COMPUTED_VALUE"""),"Gfr Tec")</f>
        <v>Gfr Tec</v>
      </c>
      <c r="T9398" s="33">
        <f>IFERROR(__xludf.DUMMYFUNCTION("""COMPUTED_VALUE"""),1.0)</f>
        <v>1</v>
      </c>
      <c r="U9398" s="4" t="str">
        <f>IFERROR(__xludf.DUMMYFUNCTION("""COMPUTED_VALUE"""),"Gfr Tec")</f>
        <v>Gfr Tec</v>
      </c>
      <c r="V9398" s="33">
        <f>IFERROR(__xludf.DUMMYFUNCTION("""COMPUTED_VALUE"""),1.0)</f>
        <v>1</v>
      </c>
      <c r="W9398" s="4" t="str">
        <f>IFERROR(__xludf.DUMMYFUNCTION("""COMPUTED_VALUE"""),"Gfr Tec")</f>
        <v>Gfr Tec</v>
      </c>
      <c r="X9398" s="33">
        <f>IFERROR(__xludf.DUMMYFUNCTION("""COMPUTED_VALUE"""),1.0)</f>
        <v>1</v>
      </c>
    </row>
    <row r="9399">
      <c r="K9399" s="4" t="str">
        <f>IFERROR(__xludf.DUMMYFUNCTION("""COMPUTED_VALUE"""),"PAPO RETO - HAMBURGUERIA ARTESANAL")</f>
        <v>PAPO RETO - HAMBURGUERIA ARTESANAL</v>
      </c>
      <c r="L9399" s="32">
        <f>IFERROR(__xludf.DUMMYFUNCTION("""COMPUTED_VALUE"""),1.0)</f>
        <v>1</v>
      </c>
      <c r="M9399" s="4" t="str">
        <f>IFERROR(__xludf.DUMMYFUNCTION("""COMPUTED_VALUE"""),"Consumer Soluções Em Tecnologia Ltda")</f>
        <v>Consumer Soluções Em Tecnologia Ltda</v>
      </c>
      <c r="N9399" s="33">
        <f>IFERROR(__xludf.DUMMYFUNCTION("""COMPUTED_VALUE"""),1.0)</f>
        <v>1</v>
      </c>
      <c r="O9399" s="4" t="str">
        <f>IFERROR(__xludf.DUMMYFUNCTION("""COMPUTED_VALUE"""),"Consumer Soluções Em Tecnologia Ltda")</f>
        <v>Consumer Soluções Em Tecnologia Ltda</v>
      </c>
      <c r="P9399" s="33">
        <f>IFERROR(__xludf.DUMMYFUNCTION("""COMPUTED_VALUE"""),1.0)</f>
        <v>1</v>
      </c>
      <c r="Q9399" s="4" t="str">
        <f>IFERROR(__xludf.DUMMYFUNCTION("""COMPUTED_VALUE"""),"null")</f>
        <v>null</v>
      </c>
      <c r="R9399" s="33">
        <f>IFERROR(__xludf.DUMMYFUNCTION("""COMPUTED_VALUE"""),1.0)</f>
        <v>1</v>
      </c>
      <c r="S9399" s="4" t="str">
        <f>IFERROR(__xludf.DUMMYFUNCTION("""COMPUTED_VALUE"""),"Anota Ai Solucoes Digitais S/a")</f>
        <v>Anota Ai Solucoes Digitais S/a</v>
      </c>
      <c r="T9399" s="33">
        <f>IFERROR(__xludf.DUMMYFUNCTION("""COMPUTED_VALUE"""),1.0)</f>
        <v>1</v>
      </c>
      <c r="U9399" s="4" t="str">
        <f>IFERROR(__xludf.DUMMYFUNCTION("""COMPUTED_VALUE"""),"Consumer Soluções Em Tecnologia Ltda")</f>
        <v>Consumer Soluções Em Tecnologia Ltda</v>
      </c>
      <c r="V9399" s="33">
        <f>IFERROR(__xludf.DUMMYFUNCTION("""COMPUTED_VALUE"""),1.0)</f>
        <v>1</v>
      </c>
      <c r="W9399" s="4" t="str">
        <f>IFERROR(__xludf.DUMMYFUNCTION("""COMPUTED_VALUE"""),"Consumer Soluções Em Tecnologia Ltda")</f>
        <v>Consumer Soluções Em Tecnologia Ltda</v>
      </c>
      <c r="X9399" s="33">
        <f>IFERROR(__xludf.DUMMYFUNCTION("""COMPUTED_VALUE"""),1.0)</f>
        <v>1</v>
      </c>
    </row>
    <row r="9400">
      <c r="K9400" s="4" t="str">
        <f>IFERROR(__xludf.DUMMYFUNCTION("""COMPUTED_VALUE"""),"BURGUER DO ZE")</f>
        <v>BURGUER DO ZE</v>
      </c>
      <c r="L9400" s="32">
        <f>IFERROR(__xludf.DUMMYFUNCTION("""COMPUTED_VALUE"""),1.0)</f>
        <v>1</v>
      </c>
      <c r="M9400" s="4" t="str">
        <f>IFERROR(__xludf.DUMMYFUNCTION("""COMPUTED_VALUE"""),"Anota Ai Solucoes Digitais S/a")</f>
        <v>Anota Ai Solucoes Digitais S/a</v>
      </c>
      <c r="N9400" s="33">
        <f>IFERROR(__xludf.DUMMYFUNCTION("""COMPUTED_VALUE"""),1.0)</f>
        <v>1</v>
      </c>
      <c r="O9400" s="4" t="str">
        <f>IFERROR(__xludf.DUMMYFUNCTION("""COMPUTED_VALUE"""),"Anota Ai Solucoes Digitais S/a")</f>
        <v>Anota Ai Solucoes Digitais S/a</v>
      </c>
      <c r="P9400" s="33">
        <f>IFERROR(__xludf.DUMMYFUNCTION("""COMPUTED_VALUE"""),1.0)</f>
        <v>1</v>
      </c>
      <c r="Q9400" s="4" t="str">
        <f>IFERROR(__xludf.DUMMYFUNCTION("""COMPUTED_VALUE"""),"Anota Ai Solucoes Digitais S/a")</f>
        <v>Anota Ai Solucoes Digitais S/a</v>
      </c>
      <c r="R9400" s="33">
        <f>IFERROR(__xludf.DUMMYFUNCTION("""COMPUTED_VALUE"""),1.0)</f>
        <v>1</v>
      </c>
      <c r="S9400" s="4" t="str">
        <f>IFERROR(__xludf.DUMMYFUNCTION("""COMPUTED_VALUE"""),"Anota Ai Solucoes Digitais S/a")</f>
        <v>Anota Ai Solucoes Digitais S/a</v>
      </c>
      <c r="T9400" s="33">
        <f>IFERROR(__xludf.DUMMYFUNCTION("""COMPUTED_VALUE"""),1.0)</f>
        <v>1</v>
      </c>
      <c r="U9400" s="4" t="str">
        <f>IFERROR(__xludf.DUMMYFUNCTION("""COMPUTED_VALUE"""),"null")</f>
        <v>null</v>
      </c>
      <c r="V9400" s="33">
        <f>IFERROR(__xludf.DUMMYFUNCTION("""COMPUTED_VALUE"""),1.0)</f>
        <v>1</v>
      </c>
      <c r="W9400" s="4" t="str">
        <f>IFERROR(__xludf.DUMMYFUNCTION("""COMPUTED_VALUE"""),"null")</f>
        <v>null</v>
      </c>
      <c r="X9400" s="33">
        <f>IFERROR(__xludf.DUMMYFUNCTION("""COMPUTED_VALUE"""),1.0)</f>
        <v>1</v>
      </c>
    </row>
    <row r="9401">
      <c r="K9401" s="4" t="str">
        <f>IFERROR(__xludf.DUMMYFUNCTION("""COMPUTED_VALUE"""),"STOP GRILL LANCHES")</f>
        <v>STOP GRILL LANCHES</v>
      </c>
      <c r="L9401" s="32">
        <f>IFERROR(__xludf.DUMMYFUNCTION("""COMPUTED_VALUE"""),1.0)</f>
        <v>1</v>
      </c>
      <c r="M9401" s="4" t="str">
        <f>IFERROR(__xludf.DUMMYFUNCTION("""COMPUTED_VALUE"""),"Instadelivery")</f>
        <v>Instadelivery</v>
      </c>
      <c r="N9401" s="33">
        <f>IFERROR(__xludf.DUMMYFUNCTION("""COMPUTED_VALUE"""),1.0)</f>
        <v>1</v>
      </c>
      <c r="O9401" s="4" t="str">
        <f>IFERROR(__xludf.DUMMYFUNCTION("""COMPUTED_VALUE"""),"Instadelivery")</f>
        <v>Instadelivery</v>
      </c>
      <c r="P9401" s="33">
        <f>IFERROR(__xludf.DUMMYFUNCTION("""COMPUTED_VALUE"""),1.0)</f>
        <v>1</v>
      </c>
      <c r="Q9401" s="4" t="str">
        <f>IFERROR(__xludf.DUMMYFUNCTION("""COMPUTED_VALUE"""),"Instadelivery")</f>
        <v>Instadelivery</v>
      </c>
      <c r="R9401" s="33">
        <f>IFERROR(__xludf.DUMMYFUNCTION("""COMPUTED_VALUE"""),1.0)</f>
        <v>1</v>
      </c>
      <c r="S9401" s="4" t="str">
        <f>IFERROR(__xludf.DUMMYFUNCTION("""COMPUTED_VALUE"""),"Instadelivery")</f>
        <v>Instadelivery</v>
      </c>
      <c r="T9401" s="33">
        <f>IFERROR(__xludf.DUMMYFUNCTION("""COMPUTED_VALUE"""),1.0)</f>
        <v>1</v>
      </c>
      <c r="U9401" s="4" t="str">
        <f>IFERROR(__xludf.DUMMYFUNCTION("""COMPUTED_VALUE"""),"Instadelivery")</f>
        <v>Instadelivery</v>
      </c>
      <c r="V9401" s="33">
        <f>IFERROR(__xludf.DUMMYFUNCTION("""COMPUTED_VALUE"""),1.0)</f>
        <v>1</v>
      </c>
      <c r="W9401" s="4" t="str">
        <f>IFERROR(__xludf.DUMMYFUNCTION("""COMPUTED_VALUE"""),"Instadelivery")</f>
        <v>Instadelivery</v>
      </c>
      <c r="X9401" s="33">
        <f>IFERROR(__xludf.DUMMYFUNCTION("""COMPUTED_VALUE"""),1.0)</f>
        <v>1</v>
      </c>
    </row>
    <row r="9402">
      <c r="K9402" s="4" t="str">
        <f>IFERROR(__xludf.DUMMYFUNCTION("""COMPUTED_VALUE"""),"EMPORIO MORI")</f>
        <v>EMPORIO MORI</v>
      </c>
      <c r="L9402" s="32">
        <f>IFERROR(__xludf.DUMMYFUNCTION("""COMPUTED_VALUE"""),1.0)</f>
        <v>1</v>
      </c>
      <c r="M9402" s="4" t="str">
        <f>IFERROR(__xludf.DUMMYFUNCTION("""COMPUTED_VALUE"""),"null")</f>
        <v>null</v>
      </c>
      <c r="N9402" s="33">
        <f>IFERROR(__xludf.DUMMYFUNCTION("""COMPUTED_VALUE"""),1.0)</f>
        <v>1</v>
      </c>
      <c r="O9402" s="4" t="str">
        <f>IFERROR(__xludf.DUMMYFUNCTION("""COMPUTED_VALUE"""),"null")</f>
        <v>null</v>
      </c>
      <c r="P9402" s="33">
        <f>IFERROR(__xludf.DUMMYFUNCTION("""COMPUTED_VALUE"""),1.0)</f>
        <v>1</v>
      </c>
      <c r="Q9402" s="4" t="str">
        <f>IFERROR(__xludf.DUMMYFUNCTION("""COMPUTED_VALUE"""),"N/A (Not found)")</f>
        <v>N/A (Not found)</v>
      </c>
      <c r="R9402" s="33">
        <f>IFERROR(__xludf.DUMMYFUNCTION("""COMPUTED_VALUE"""),1.0)</f>
        <v>1</v>
      </c>
      <c r="S9402" s="4" t="str">
        <f>IFERROR(__xludf.DUMMYFUNCTION("""COMPUTED_VALUE"""),"N/A (Not found)")</f>
        <v>N/A (Not found)</v>
      </c>
      <c r="T9402" s="33">
        <f>IFERROR(__xludf.DUMMYFUNCTION("""COMPUTED_VALUE"""),1.0)</f>
        <v>1</v>
      </c>
      <c r="U9402" s="4" t="str">
        <f>IFERROR(__xludf.DUMMYFUNCTION("""COMPUTED_VALUE"""),"N/A (Not found)")</f>
        <v>N/A (Not found)</v>
      </c>
      <c r="V9402" s="33">
        <f>IFERROR(__xludf.DUMMYFUNCTION("""COMPUTED_VALUE"""),1.0)</f>
        <v>1</v>
      </c>
      <c r="W9402" s="4" t="str">
        <f>IFERROR(__xludf.DUMMYFUNCTION("""COMPUTED_VALUE"""),"N/A (Not found)")</f>
        <v>N/A (Not found)</v>
      </c>
      <c r="X9402" s="33">
        <f>IFERROR(__xludf.DUMMYFUNCTION("""COMPUTED_VALUE"""),1.0)</f>
        <v>1</v>
      </c>
    </row>
    <row r="9403">
      <c r="K9403" s="4" t="str">
        <f>IFERROR(__xludf.DUMMYFUNCTION("""COMPUTED_VALUE"""),"AQUINOS BURGUER - HAMBURGUERIA ARTESANAL")</f>
        <v>AQUINOS BURGUER - HAMBURGUERIA ARTESANAL</v>
      </c>
      <c r="L9403" s="32">
        <f>IFERROR(__xludf.DUMMYFUNCTION("""COMPUTED_VALUE"""),1.0)</f>
        <v>1</v>
      </c>
      <c r="M9403" s="4" t="str">
        <f>IFERROR(__xludf.DUMMYFUNCTION("""COMPUTED_VALUE"""),"Anota Ai Solucoes Digitais S/a")</f>
        <v>Anota Ai Solucoes Digitais S/a</v>
      </c>
      <c r="N9403" s="33">
        <f>IFERROR(__xludf.DUMMYFUNCTION("""COMPUTED_VALUE"""),1.0)</f>
        <v>1</v>
      </c>
      <c r="O9403" s="4" t="str">
        <f>IFERROR(__xludf.DUMMYFUNCTION("""COMPUTED_VALUE"""),"Anota Ai Solucoes Digitais S/a")</f>
        <v>Anota Ai Solucoes Digitais S/a</v>
      </c>
      <c r="P9403" s="33">
        <f>IFERROR(__xludf.DUMMYFUNCTION("""COMPUTED_VALUE"""),1.0)</f>
        <v>1</v>
      </c>
      <c r="Q9403" s="4" t="str">
        <f>IFERROR(__xludf.DUMMYFUNCTION("""COMPUTED_VALUE"""),"Anota Ai Solucoes Digitais S/a")</f>
        <v>Anota Ai Solucoes Digitais S/a</v>
      </c>
      <c r="R9403" s="33">
        <f>IFERROR(__xludf.DUMMYFUNCTION("""COMPUTED_VALUE"""),1.0)</f>
        <v>1</v>
      </c>
      <c r="S9403" s="4" t="str">
        <f>IFERROR(__xludf.DUMMYFUNCTION("""COMPUTED_VALUE"""),"Anota Ai Solucoes Digitais S/a")</f>
        <v>Anota Ai Solucoes Digitais S/a</v>
      </c>
      <c r="T9403" s="33">
        <f>IFERROR(__xludf.DUMMYFUNCTION("""COMPUTED_VALUE"""),1.0)</f>
        <v>1</v>
      </c>
      <c r="U9403" s="4" t="str">
        <f>IFERROR(__xludf.DUMMYFUNCTION("""COMPUTED_VALUE"""),"Anota Ai Solucoes Digitais S/a")</f>
        <v>Anota Ai Solucoes Digitais S/a</v>
      </c>
      <c r="V9403" s="33">
        <f>IFERROR(__xludf.DUMMYFUNCTION("""COMPUTED_VALUE"""),1.0)</f>
        <v>1</v>
      </c>
      <c r="W9403" s="4" t="str">
        <f>IFERROR(__xludf.DUMMYFUNCTION("""COMPUTED_VALUE"""),"Anota Ai Solucoes Digitais S/a")</f>
        <v>Anota Ai Solucoes Digitais S/a</v>
      </c>
      <c r="X9403" s="33">
        <f>IFERROR(__xludf.DUMMYFUNCTION("""COMPUTED_VALUE"""),1.0)</f>
        <v>1</v>
      </c>
    </row>
    <row r="9404">
      <c r="K9404" s="4" t="str">
        <f>IFERROR(__xludf.DUMMYFUNCTION("""COMPUTED_VALUE"""),"QUAJDBDODBDBKDKDJDBD")</f>
        <v>QUAJDBDODBDBKDKDJDBD</v>
      </c>
      <c r="L9404" s="32">
        <f>IFERROR(__xludf.DUMMYFUNCTION("""COMPUTED_VALUE"""),1.0)</f>
        <v>1</v>
      </c>
      <c r="M9404" s="4" t="str">
        <f>IFERROR(__xludf.DUMMYFUNCTION("""COMPUTED_VALUE"""),"null")</f>
        <v>null</v>
      </c>
      <c r="N9404" s="33">
        <f>IFERROR(__xludf.DUMMYFUNCTION("""COMPUTED_VALUE"""),1.0)</f>
        <v>1</v>
      </c>
      <c r="O9404" s="4" t="str">
        <f>IFERROR(__xludf.DUMMYFUNCTION("""COMPUTED_VALUE"""),"null")</f>
        <v>null</v>
      </c>
      <c r="P9404" s="33">
        <f>IFERROR(__xludf.DUMMYFUNCTION("""COMPUTED_VALUE"""),1.0)</f>
        <v>1</v>
      </c>
      <c r="Q9404" s="4" t="str">
        <f>IFERROR(__xludf.DUMMYFUNCTION("""COMPUTED_VALUE"""),"null")</f>
        <v>null</v>
      </c>
      <c r="R9404" s="33">
        <f>IFERROR(__xludf.DUMMYFUNCTION("""COMPUTED_VALUE"""),1.0)</f>
        <v>1</v>
      </c>
      <c r="S9404" s="4" t="str">
        <f>IFERROR(__xludf.DUMMYFUNCTION("""COMPUTED_VALUE"""),"Eclética Tecnologia")</f>
        <v>Eclética Tecnologia</v>
      </c>
      <c r="T9404" s="33">
        <f>IFERROR(__xludf.DUMMYFUNCTION("""COMPUTED_VALUE"""),1.0)</f>
        <v>1</v>
      </c>
      <c r="U9404" s="4" t="str">
        <f>IFERROR(__xludf.DUMMYFUNCTION("""COMPUTED_VALUE"""),"Eclética Tecnologia")</f>
        <v>Eclética Tecnologia</v>
      </c>
      <c r="V9404" s="33">
        <f>IFERROR(__xludf.DUMMYFUNCTION("""COMPUTED_VALUE"""),1.0)</f>
        <v>1</v>
      </c>
      <c r="W9404" s="4" t="str">
        <f>IFERROR(__xludf.DUMMYFUNCTION("""COMPUTED_VALUE"""),"null")</f>
        <v>null</v>
      </c>
      <c r="X9404" s="33">
        <f>IFERROR(__xludf.DUMMYFUNCTION("""COMPUTED_VALUE"""),1.0)</f>
        <v>1</v>
      </c>
    </row>
    <row r="9405">
      <c r="K9405" s="4" t="str">
        <f>IFERROR(__xludf.DUMMYFUNCTION("""COMPUTED_VALUE"""),"XX")</f>
        <v>XX</v>
      </c>
      <c r="L9405" s="32">
        <f>IFERROR(__xludf.DUMMYFUNCTION("""COMPUTED_VALUE"""),1.0)</f>
        <v>1</v>
      </c>
      <c r="M9405" s="4" t="str">
        <f>IFERROR(__xludf.DUMMYFUNCTION("""COMPUTED_VALUE"""),"Saipos Serviços De Software")</f>
        <v>Saipos Serviços De Software</v>
      </c>
      <c r="N9405" s="33">
        <f>IFERROR(__xludf.DUMMYFUNCTION("""COMPUTED_VALUE"""),1.0)</f>
        <v>1</v>
      </c>
      <c r="O9405" s="4" t="str">
        <f>IFERROR(__xludf.DUMMYFUNCTION("""COMPUTED_VALUE"""),"Saipos Serviços De Software")</f>
        <v>Saipos Serviços De Software</v>
      </c>
      <c r="P9405" s="33">
        <f>IFERROR(__xludf.DUMMYFUNCTION("""COMPUTED_VALUE"""),1.0)</f>
        <v>1</v>
      </c>
      <c r="Q9405" s="4" t="str">
        <f>IFERROR(__xludf.DUMMYFUNCTION("""COMPUTED_VALUE"""),"Saipos Serviços De Software")</f>
        <v>Saipos Serviços De Software</v>
      </c>
      <c r="R9405" s="33">
        <f>IFERROR(__xludf.DUMMYFUNCTION("""COMPUTED_VALUE"""),1.0)</f>
        <v>1</v>
      </c>
      <c r="S9405" s="4" t="str">
        <f>IFERROR(__xludf.DUMMYFUNCTION("""COMPUTED_VALUE"""),"null")</f>
        <v>null</v>
      </c>
      <c r="T9405" s="33">
        <f>IFERROR(__xludf.DUMMYFUNCTION("""COMPUTED_VALUE"""),1.0)</f>
        <v>1</v>
      </c>
      <c r="U9405" s="4" t="str">
        <f>IFERROR(__xludf.DUMMYFUNCTION("""COMPUTED_VALUE"""),"null")</f>
        <v>null</v>
      </c>
      <c r="V9405" s="33">
        <f>IFERROR(__xludf.DUMMYFUNCTION("""COMPUTED_VALUE"""),1.0)</f>
        <v>1</v>
      </c>
      <c r="W9405" s="4" t="str">
        <f>IFERROR(__xludf.DUMMYFUNCTION("""COMPUTED_VALUE"""),"null")</f>
        <v>null</v>
      </c>
      <c r="X9405" s="33">
        <f>IFERROR(__xludf.DUMMYFUNCTION("""COMPUTED_VALUE"""),1.0)</f>
        <v>1</v>
      </c>
    </row>
    <row r="9406">
      <c r="K9406" s="4" t="str">
        <f>IFERROR(__xludf.DUMMYFUNCTION("""COMPUTED_VALUE"""),"PETER BURGER")</f>
        <v>PETER BURGER</v>
      </c>
      <c r="L9406" s="32">
        <f>IFERROR(__xludf.DUMMYFUNCTION("""COMPUTED_VALUE"""),1.0)</f>
        <v>1</v>
      </c>
      <c r="M9406" s="4" t="str">
        <f>IFERROR(__xludf.DUMMYFUNCTION("""COMPUTED_VALUE"""),"Saipos Serviços De Software")</f>
        <v>Saipos Serviços De Software</v>
      </c>
      <c r="N9406" s="33">
        <f>IFERROR(__xludf.DUMMYFUNCTION("""COMPUTED_VALUE"""),1.0)</f>
        <v>1</v>
      </c>
      <c r="O9406" s="4" t="str">
        <f>IFERROR(__xludf.DUMMYFUNCTION("""COMPUTED_VALUE"""),"null")</f>
        <v>null</v>
      </c>
      <c r="P9406" s="33">
        <f>IFERROR(__xludf.DUMMYFUNCTION("""COMPUTED_VALUE"""),1.0)</f>
        <v>1</v>
      </c>
      <c r="Q9406" s="4" t="str">
        <f>IFERROR(__xludf.DUMMYFUNCTION("""COMPUTED_VALUE"""),"null")</f>
        <v>null</v>
      </c>
      <c r="R9406" s="33">
        <f>IFERROR(__xludf.DUMMYFUNCTION("""COMPUTED_VALUE"""),1.0)</f>
        <v>1</v>
      </c>
      <c r="S9406" s="4" t="str">
        <f>IFERROR(__xludf.DUMMYFUNCTION("""COMPUTED_VALUE"""),"null")</f>
        <v>null</v>
      </c>
      <c r="T9406" s="33">
        <f>IFERROR(__xludf.DUMMYFUNCTION("""COMPUTED_VALUE"""),1.0)</f>
        <v>1</v>
      </c>
      <c r="U9406" s="4" t="str">
        <f>IFERROR(__xludf.DUMMYFUNCTION("""COMPUTED_VALUE"""),"null")</f>
        <v>null</v>
      </c>
      <c r="V9406" s="33">
        <f>IFERROR(__xludf.DUMMYFUNCTION("""COMPUTED_VALUE"""),1.0)</f>
        <v>1</v>
      </c>
      <c r="W9406" s="4" t="str">
        <f>IFERROR(__xludf.DUMMYFUNCTION("""COMPUTED_VALUE"""),"null")</f>
        <v>null</v>
      </c>
      <c r="X9406" s="33">
        <f>IFERROR(__xludf.DUMMYFUNCTION("""COMPUTED_VALUE"""),1.0)</f>
        <v>1</v>
      </c>
    </row>
    <row r="9407">
      <c r="K9407" s="4" t="str">
        <f>IFERROR(__xludf.DUMMYFUNCTION("""COMPUTED_VALUE"""),"CUIDA FARMA")</f>
        <v>CUIDA FARMA</v>
      </c>
      <c r="L9407" s="32">
        <f>IFERROR(__xludf.DUMMYFUNCTION("""COMPUTED_VALUE"""),1.0)</f>
        <v>1</v>
      </c>
      <c r="M9407" s="4" t="str">
        <f>IFERROR(__xludf.DUMMYFUNCTION("""COMPUTED_VALUE"""),"N/A (Not found)")</f>
        <v>N/A (Not found)</v>
      </c>
      <c r="N9407" s="33">
        <f>IFERROR(__xludf.DUMMYFUNCTION("""COMPUTED_VALUE"""),1.0)</f>
        <v>1</v>
      </c>
      <c r="O9407" s="4" t="str">
        <f>IFERROR(__xludf.DUMMYFUNCTION("""COMPUTED_VALUE"""),"N/A (Not found)")</f>
        <v>N/A (Not found)</v>
      </c>
      <c r="P9407" s="33">
        <f>IFERROR(__xludf.DUMMYFUNCTION("""COMPUTED_VALUE"""),1.0)</f>
        <v>1</v>
      </c>
      <c r="Q9407" s="4" t="str">
        <f>IFERROR(__xludf.DUMMYFUNCTION("""COMPUTED_VALUE"""),"N/A (Not found)")</f>
        <v>N/A (Not found)</v>
      </c>
      <c r="R9407" s="33">
        <f>IFERROR(__xludf.DUMMYFUNCTION("""COMPUTED_VALUE"""),1.0)</f>
        <v>1</v>
      </c>
      <c r="S9407" s="4" t="str">
        <f>IFERROR(__xludf.DUMMYFUNCTION("""COMPUTED_VALUE"""),"N/A (Not found)")</f>
        <v>N/A (Not found)</v>
      </c>
      <c r="T9407" s="33">
        <f>IFERROR(__xludf.DUMMYFUNCTION("""COMPUTED_VALUE"""),1.0)</f>
        <v>1</v>
      </c>
      <c r="U9407" s="4" t="str">
        <f>IFERROR(__xludf.DUMMYFUNCTION("""COMPUTED_VALUE"""),"N/A (Not found)")</f>
        <v>N/A (Not found)</v>
      </c>
      <c r="V9407" s="33">
        <f>IFERROR(__xludf.DUMMYFUNCTION("""COMPUTED_VALUE"""),1.0)</f>
        <v>1</v>
      </c>
      <c r="W9407" s="4" t="str">
        <f>IFERROR(__xludf.DUMMYFUNCTION("""COMPUTED_VALUE"""),"N/A (Not found)")</f>
        <v>N/A (Not found)</v>
      </c>
      <c r="X9407" s="33">
        <f>IFERROR(__xludf.DUMMYFUNCTION("""COMPUTED_VALUE"""),1.0)</f>
        <v>1</v>
      </c>
    </row>
    <row r="9408">
      <c r="K9408" s="4" t="str">
        <f>IFERROR(__xludf.DUMMYFUNCTION("""COMPUTED_VALUE"""),"KERO BIS - LANCHES E SOBREMESAS")</f>
        <v>KERO BIS - LANCHES E SOBREMESAS</v>
      </c>
      <c r="L9408" s="32">
        <f>IFERROR(__xludf.DUMMYFUNCTION("""COMPUTED_VALUE"""),1.0)</f>
        <v>1</v>
      </c>
      <c r="M9408" s="4" t="str">
        <f>IFERROR(__xludf.DUMMYFUNCTION("""COMPUTED_VALUE"""),"null")</f>
        <v>null</v>
      </c>
      <c r="N9408" s="33">
        <f>IFERROR(__xludf.DUMMYFUNCTION("""COMPUTED_VALUE"""),1.0)</f>
        <v>1</v>
      </c>
      <c r="O9408" s="4" t="str">
        <f>IFERROR(__xludf.DUMMYFUNCTION("""COMPUTED_VALUE"""),"null")</f>
        <v>null</v>
      </c>
      <c r="P9408" s="33">
        <f>IFERROR(__xludf.DUMMYFUNCTION("""COMPUTED_VALUE"""),1.0)</f>
        <v>1</v>
      </c>
      <c r="Q9408" s="4" t="str">
        <f>IFERROR(__xludf.DUMMYFUNCTION("""COMPUTED_VALUE"""),"Anota Ai Solucoes Digitais S/a")</f>
        <v>Anota Ai Solucoes Digitais S/a</v>
      </c>
      <c r="R9408" s="33">
        <f>IFERROR(__xludf.DUMMYFUNCTION("""COMPUTED_VALUE"""),1.0)</f>
        <v>1</v>
      </c>
      <c r="S9408" s="4" t="str">
        <f>IFERROR(__xludf.DUMMYFUNCTION("""COMPUTED_VALUE"""),"Anota Ai Solucoes Digitais S/a")</f>
        <v>Anota Ai Solucoes Digitais S/a</v>
      </c>
      <c r="T9408" s="33">
        <f>IFERROR(__xludf.DUMMYFUNCTION("""COMPUTED_VALUE"""),1.0)</f>
        <v>1</v>
      </c>
      <c r="U9408" s="4" t="str">
        <f>IFERROR(__xludf.DUMMYFUNCTION("""COMPUTED_VALUE"""),"null")</f>
        <v>null</v>
      </c>
      <c r="V9408" s="33">
        <f>IFERROR(__xludf.DUMMYFUNCTION("""COMPUTED_VALUE"""),1.0)</f>
        <v>1</v>
      </c>
      <c r="W9408" s="4" t="str">
        <f>IFERROR(__xludf.DUMMYFUNCTION("""COMPUTED_VALUE"""),"null")</f>
        <v>null</v>
      </c>
      <c r="X9408" s="33">
        <f>IFERROR(__xludf.DUMMYFUNCTION("""COMPUTED_VALUE"""),1.0)</f>
        <v>1</v>
      </c>
    </row>
    <row r="9409">
      <c r="K9409" s="4" t="str">
        <f>IFERROR(__xludf.DUMMYFUNCTION("""COMPUTED_VALUE"""),"GO COFFEE RIO BRANCO")</f>
        <v>GO COFFEE RIO BRANCO</v>
      </c>
      <c r="L9409" s="32">
        <f>IFERROR(__xludf.DUMMYFUNCTION("""COMPUTED_VALUE"""),1.0)</f>
        <v>1</v>
      </c>
      <c r="M9409" s="4" t="str">
        <f>IFERROR(__xludf.DUMMYFUNCTION("""COMPUTED_VALUE"""),"null")</f>
        <v>null</v>
      </c>
      <c r="N9409" s="33">
        <f>IFERROR(__xludf.DUMMYFUNCTION("""COMPUTED_VALUE"""),1.0)</f>
        <v>1</v>
      </c>
      <c r="O9409" s="4" t="str">
        <f>IFERROR(__xludf.DUMMYFUNCTION("""COMPUTED_VALUE"""),"Nxz Sistema Inteligentes Ltda")</f>
        <v>Nxz Sistema Inteligentes Ltda</v>
      </c>
      <c r="P9409" s="33">
        <f>IFERROR(__xludf.DUMMYFUNCTION("""COMPUTED_VALUE"""),1.0)</f>
        <v>1</v>
      </c>
      <c r="Q9409" s="4" t="str">
        <f>IFERROR(__xludf.DUMMYFUNCTION("""COMPUTED_VALUE"""),"null")</f>
        <v>null</v>
      </c>
      <c r="R9409" s="33">
        <f>IFERROR(__xludf.DUMMYFUNCTION("""COMPUTED_VALUE"""),1.0)</f>
        <v>1</v>
      </c>
      <c r="S9409" s="4" t="str">
        <f>IFERROR(__xludf.DUMMYFUNCTION("""COMPUTED_VALUE"""),"Nxz Sistema Inteligentes Ltda")</f>
        <v>Nxz Sistema Inteligentes Ltda</v>
      </c>
      <c r="T9409" s="33">
        <f>IFERROR(__xludf.DUMMYFUNCTION("""COMPUTED_VALUE"""),1.0)</f>
        <v>1</v>
      </c>
      <c r="U9409" s="4" t="str">
        <f>IFERROR(__xludf.DUMMYFUNCTION("""COMPUTED_VALUE"""),"null")</f>
        <v>null</v>
      </c>
      <c r="V9409" s="33">
        <f>IFERROR(__xludf.DUMMYFUNCTION("""COMPUTED_VALUE"""),1.0)</f>
        <v>1</v>
      </c>
      <c r="W9409" s="4" t="str">
        <f>IFERROR(__xludf.DUMMYFUNCTION("""COMPUTED_VALUE"""),"null")</f>
        <v>null</v>
      </c>
      <c r="X9409" s="33">
        <f>IFERROR(__xludf.DUMMYFUNCTION("""COMPUTED_VALUE"""),1.0)</f>
        <v>1</v>
      </c>
    </row>
    <row r="9410">
      <c r="K9410" s="4" t="str">
        <f>IFERROR(__xludf.DUMMYFUNCTION("""COMPUTED_VALUE"""),"JULIATO MASSAS CIA")</f>
        <v>JULIATO MASSAS CIA</v>
      </c>
      <c r="L9410" s="32">
        <f>IFERROR(__xludf.DUMMYFUNCTION("""COMPUTED_VALUE"""),1.0)</f>
        <v>1</v>
      </c>
      <c r="M9410" s="4" t="str">
        <f>IFERROR(__xludf.DUMMYFUNCTION("""COMPUTED_VALUE"""),"Cervantes Tecnologia")</f>
        <v>Cervantes Tecnologia</v>
      </c>
      <c r="N9410" s="33">
        <f>IFERROR(__xludf.DUMMYFUNCTION("""COMPUTED_VALUE"""),1.0)</f>
        <v>1</v>
      </c>
      <c r="O9410" s="4" t="str">
        <f>IFERROR(__xludf.DUMMYFUNCTION("""COMPUTED_VALUE"""),"null")</f>
        <v>null</v>
      </c>
      <c r="P9410" s="33">
        <f>IFERROR(__xludf.DUMMYFUNCTION("""COMPUTED_VALUE"""),1.0)</f>
        <v>1</v>
      </c>
      <c r="Q9410" s="4" t="str">
        <f>IFERROR(__xludf.DUMMYFUNCTION("""COMPUTED_VALUE"""),"null")</f>
        <v>null</v>
      </c>
      <c r="R9410" s="33">
        <f>IFERROR(__xludf.DUMMYFUNCTION("""COMPUTED_VALUE"""),1.0)</f>
        <v>1</v>
      </c>
      <c r="S9410" s="4" t="str">
        <f>IFERROR(__xludf.DUMMYFUNCTION("""COMPUTED_VALUE"""),"Cervantes Tecnologia")</f>
        <v>Cervantes Tecnologia</v>
      </c>
      <c r="T9410" s="33">
        <f>IFERROR(__xludf.DUMMYFUNCTION("""COMPUTED_VALUE"""),1.0)</f>
        <v>1</v>
      </c>
      <c r="U9410" s="4" t="str">
        <f>IFERROR(__xludf.DUMMYFUNCTION("""COMPUTED_VALUE"""),"null")</f>
        <v>null</v>
      </c>
      <c r="V9410" s="33">
        <f>IFERROR(__xludf.DUMMYFUNCTION("""COMPUTED_VALUE"""),1.0)</f>
        <v>1</v>
      </c>
      <c r="W9410" s="4" t="str">
        <f>IFERROR(__xludf.DUMMYFUNCTION("""COMPUTED_VALUE"""),"null")</f>
        <v>null</v>
      </c>
      <c r="X9410" s="33">
        <f>IFERROR(__xludf.DUMMYFUNCTION("""COMPUTED_VALUE"""),1.0)</f>
        <v>1</v>
      </c>
    </row>
    <row r="9411">
      <c r="K9411" s="4" t="str">
        <f>IFERROR(__xludf.DUMMYFUNCTION("""COMPUTED_VALUE"""),"THE DOG SUPREME - HOT DOG")</f>
        <v>THE DOG SUPREME - HOT DOG</v>
      </c>
      <c r="L9411" s="32">
        <f>IFERROR(__xludf.DUMMYFUNCTION("""COMPUTED_VALUE"""),1.0)</f>
        <v>1</v>
      </c>
      <c r="M9411" s="4" t="str">
        <f>IFERROR(__xludf.DUMMYFUNCTION("""COMPUTED_VALUE"""),"Cardápio Web")</f>
        <v>Cardápio Web</v>
      </c>
      <c r="N9411" s="33">
        <f>IFERROR(__xludf.DUMMYFUNCTION("""COMPUTED_VALUE"""),1.0)</f>
        <v>1</v>
      </c>
      <c r="O9411" s="4" t="str">
        <f>IFERROR(__xludf.DUMMYFUNCTION("""COMPUTED_VALUE"""),"Cardápio Web")</f>
        <v>Cardápio Web</v>
      </c>
      <c r="P9411" s="33">
        <f>IFERROR(__xludf.DUMMYFUNCTION("""COMPUTED_VALUE"""),1.0)</f>
        <v>1</v>
      </c>
      <c r="Q9411" s="4" t="str">
        <f>IFERROR(__xludf.DUMMYFUNCTION("""COMPUTED_VALUE"""),"Cardápio Web")</f>
        <v>Cardápio Web</v>
      </c>
      <c r="R9411" s="33">
        <f>IFERROR(__xludf.DUMMYFUNCTION("""COMPUTED_VALUE"""),1.0)</f>
        <v>1</v>
      </c>
      <c r="S9411" s="4" t="str">
        <f>IFERROR(__xludf.DUMMYFUNCTION("""COMPUTED_VALUE"""),"Cardápio Web")</f>
        <v>Cardápio Web</v>
      </c>
      <c r="T9411" s="33">
        <f>IFERROR(__xludf.DUMMYFUNCTION("""COMPUTED_VALUE"""),1.0)</f>
        <v>1</v>
      </c>
      <c r="U9411" s="4" t="str">
        <f>IFERROR(__xludf.DUMMYFUNCTION("""COMPUTED_VALUE"""),"Cardápio Web")</f>
        <v>Cardápio Web</v>
      </c>
      <c r="V9411" s="33">
        <f>IFERROR(__xludf.DUMMYFUNCTION("""COMPUTED_VALUE"""),1.0)</f>
        <v>1</v>
      </c>
      <c r="W9411" s="4" t="str">
        <f>IFERROR(__xludf.DUMMYFUNCTION("""COMPUTED_VALUE"""),"Cardápio Web")</f>
        <v>Cardápio Web</v>
      </c>
      <c r="X9411" s="33">
        <f>IFERROR(__xludf.DUMMYFUNCTION("""COMPUTED_VALUE"""),1.0)</f>
        <v>1</v>
      </c>
    </row>
    <row r="9412">
      <c r="K9412" s="4" t="str">
        <f>IFERROR(__xludf.DUMMYFUNCTION("""COMPUTED_VALUE"""),"CAPIVARA URBANA PIZZA DELIVERY")</f>
        <v>CAPIVARA URBANA PIZZA DELIVERY</v>
      </c>
      <c r="L9412" s="32">
        <f>IFERROR(__xludf.DUMMYFUNCTION("""COMPUTED_VALUE"""),1.0)</f>
        <v>1</v>
      </c>
      <c r="M9412" s="4" t="str">
        <f>IFERROR(__xludf.DUMMYFUNCTION("""COMPUTED_VALUE"""),"null")</f>
        <v>null</v>
      </c>
      <c r="N9412" s="33">
        <f>IFERROR(__xludf.DUMMYFUNCTION("""COMPUTED_VALUE"""),1.0)</f>
        <v>1</v>
      </c>
      <c r="O9412" s="4" t="str">
        <f>IFERROR(__xludf.DUMMYFUNCTION("""COMPUTED_VALUE"""),"null")</f>
        <v>null</v>
      </c>
      <c r="P9412" s="33">
        <f>IFERROR(__xludf.DUMMYFUNCTION("""COMPUTED_VALUE"""),1.0)</f>
        <v>1</v>
      </c>
      <c r="Q9412" s="4" t="str">
        <f>IFERROR(__xludf.DUMMYFUNCTION("""COMPUTED_VALUE"""),"Anota Ai Solucoes Digitais S/a")</f>
        <v>Anota Ai Solucoes Digitais S/a</v>
      </c>
      <c r="R9412" s="33">
        <f>IFERROR(__xludf.DUMMYFUNCTION("""COMPUTED_VALUE"""),1.0)</f>
        <v>1</v>
      </c>
      <c r="S9412" s="4" t="str">
        <f>IFERROR(__xludf.DUMMYFUNCTION("""COMPUTED_VALUE"""),"null")</f>
        <v>null</v>
      </c>
      <c r="T9412" s="33">
        <f>IFERROR(__xludf.DUMMYFUNCTION("""COMPUTED_VALUE"""),1.0)</f>
        <v>1</v>
      </c>
      <c r="U9412" s="4" t="str">
        <f>IFERROR(__xludf.DUMMYFUNCTION("""COMPUTED_VALUE"""),"null")</f>
        <v>null</v>
      </c>
      <c r="V9412" s="33">
        <f>IFERROR(__xludf.DUMMYFUNCTION("""COMPUTED_VALUE"""),1.0)</f>
        <v>1</v>
      </c>
      <c r="W9412" s="4" t="str">
        <f>IFERROR(__xludf.DUMMYFUNCTION("""COMPUTED_VALUE"""),"null")</f>
        <v>null</v>
      </c>
      <c r="X9412" s="33">
        <f>IFERROR(__xludf.DUMMYFUNCTION("""COMPUTED_VALUE"""),1.0)</f>
        <v>1</v>
      </c>
    </row>
    <row r="9413">
      <c r="K9413" s="4" t="str">
        <f>IFERROR(__xludf.DUMMYFUNCTION("""COMPUTED_VALUE"""),"ASSADAO MUELLER - FORTALEZA")</f>
        <v>ASSADAO MUELLER - FORTALEZA</v>
      </c>
      <c r="L9413" s="32">
        <f>IFERROR(__xludf.DUMMYFUNCTION("""COMPUTED_VALUE"""),1.0)</f>
        <v>1</v>
      </c>
      <c r="M9413" s="4" t="str">
        <f>IFERROR(__xludf.DUMMYFUNCTION("""COMPUTED_VALUE"""),"null")</f>
        <v>null</v>
      </c>
      <c r="N9413" s="33">
        <f>IFERROR(__xludf.DUMMYFUNCTION("""COMPUTED_VALUE"""),1.0)</f>
        <v>1</v>
      </c>
      <c r="O9413" s="4" t="str">
        <f>IFERROR(__xludf.DUMMYFUNCTION("""COMPUTED_VALUE"""),"null")</f>
        <v>null</v>
      </c>
      <c r="P9413" s="33">
        <f>IFERROR(__xludf.DUMMYFUNCTION("""COMPUTED_VALUE"""),1.0)</f>
        <v>1</v>
      </c>
      <c r="Q9413" s="4" t="str">
        <f>IFERROR(__xludf.DUMMYFUNCTION("""COMPUTED_VALUE"""),"Anota Ai Solucoes Digitais S/a")</f>
        <v>Anota Ai Solucoes Digitais S/a</v>
      </c>
      <c r="R9413" s="33">
        <f>IFERROR(__xludf.DUMMYFUNCTION("""COMPUTED_VALUE"""),1.0)</f>
        <v>1</v>
      </c>
      <c r="S9413" s="4" t="str">
        <f>IFERROR(__xludf.DUMMYFUNCTION("""COMPUTED_VALUE"""),"null")</f>
        <v>null</v>
      </c>
      <c r="T9413" s="33">
        <f>IFERROR(__xludf.DUMMYFUNCTION("""COMPUTED_VALUE"""),1.0)</f>
        <v>1</v>
      </c>
      <c r="U9413" s="4" t="str">
        <f>IFERROR(__xludf.DUMMYFUNCTION("""COMPUTED_VALUE"""),"null")</f>
        <v>null</v>
      </c>
      <c r="V9413" s="33">
        <f>IFERROR(__xludf.DUMMYFUNCTION("""COMPUTED_VALUE"""),1.0)</f>
        <v>1</v>
      </c>
      <c r="W9413" s="4" t="str">
        <f>IFERROR(__xludf.DUMMYFUNCTION("""COMPUTED_VALUE"""),"null")</f>
        <v>null</v>
      </c>
      <c r="X9413" s="33">
        <f>IFERROR(__xludf.DUMMYFUNCTION("""COMPUTED_VALUE"""),1.0)</f>
        <v>1</v>
      </c>
    </row>
    <row r="9414">
      <c r="K9414" s="4" t="str">
        <f>IFERROR(__xludf.DUMMYFUNCTION("""COMPUTED_VALUE"""),"ACARAJE DA CLEIA")</f>
        <v>ACARAJE DA CLEIA</v>
      </c>
      <c r="L9414" s="32">
        <f>IFERROR(__xludf.DUMMYFUNCTION("""COMPUTED_VALUE"""),1.0)</f>
        <v>1</v>
      </c>
      <c r="M9414" s="4" t="str">
        <f>IFERROR(__xludf.DUMMYFUNCTION("""COMPUTED_VALUE"""),"Olaclick")</f>
        <v>Olaclick</v>
      </c>
      <c r="N9414" s="33">
        <f>IFERROR(__xludf.DUMMYFUNCTION("""COMPUTED_VALUE"""),1.0)</f>
        <v>1</v>
      </c>
      <c r="O9414" s="4" t="str">
        <f>IFERROR(__xludf.DUMMYFUNCTION("""COMPUTED_VALUE"""),"Olaclick")</f>
        <v>Olaclick</v>
      </c>
      <c r="P9414" s="33">
        <f>IFERROR(__xludf.DUMMYFUNCTION("""COMPUTED_VALUE"""),1.0)</f>
        <v>1</v>
      </c>
      <c r="Q9414" s="4" t="str">
        <f>IFERROR(__xludf.DUMMYFUNCTION("""COMPUTED_VALUE"""),"Olaclick")</f>
        <v>Olaclick</v>
      </c>
      <c r="R9414" s="33">
        <f>IFERROR(__xludf.DUMMYFUNCTION("""COMPUTED_VALUE"""),1.0)</f>
        <v>1</v>
      </c>
      <c r="S9414" s="4" t="str">
        <f>IFERROR(__xludf.DUMMYFUNCTION("""COMPUTED_VALUE"""),"Olaclick")</f>
        <v>Olaclick</v>
      </c>
      <c r="T9414" s="33">
        <f>IFERROR(__xludf.DUMMYFUNCTION("""COMPUTED_VALUE"""),1.0)</f>
        <v>1</v>
      </c>
      <c r="U9414" s="4" t="str">
        <f>IFERROR(__xludf.DUMMYFUNCTION("""COMPUTED_VALUE"""),"Olaclick")</f>
        <v>Olaclick</v>
      </c>
      <c r="V9414" s="33">
        <f>IFERROR(__xludf.DUMMYFUNCTION("""COMPUTED_VALUE"""),1.0)</f>
        <v>1</v>
      </c>
      <c r="W9414" s="4" t="str">
        <f>IFERROR(__xludf.DUMMYFUNCTION("""COMPUTED_VALUE"""),"Olaclick")</f>
        <v>Olaclick</v>
      </c>
      <c r="X9414" s="33">
        <f>IFERROR(__xludf.DUMMYFUNCTION("""COMPUTED_VALUE"""),1.0)</f>
        <v>1</v>
      </c>
    </row>
    <row r="9415">
      <c r="K9415" s="4" t="str">
        <f>IFERROR(__xludf.DUMMYFUNCTION("""COMPUTED_VALUE"""),"PIZZAB2B LOJA DE FABRICA SP1")</f>
        <v>PIZZAB2B LOJA DE FABRICA SP1</v>
      </c>
      <c r="L9415" s="32">
        <f>IFERROR(__xludf.DUMMYFUNCTION("""COMPUTED_VALUE"""),1.0)</f>
        <v>1</v>
      </c>
      <c r="M9415" s="4" t="str">
        <f>IFERROR(__xludf.DUMMYFUNCTION("""COMPUTED_VALUE"""),"Hubster")</f>
        <v>Hubster</v>
      </c>
      <c r="N9415" s="33">
        <f>IFERROR(__xludf.DUMMYFUNCTION("""COMPUTED_VALUE"""),1.0)</f>
        <v>1</v>
      </c>
      <c r="O9415" s="4" t="str">
        <f>IFERROR(__xludf.DUMMYFUNCTION("""COMPUTED_VALUE"""),"null")</f>
        <v>null</v>
      </c>
      <c r="P9415" s="33">
        <f>IFERROR(__xludf.DUMMYFUNCTION("""COMPUTED_VALUE"""),1.0)</f>
        <v>1</v>
      </c>
      <c r="Q9415" s="4" t="str">
        <f>IFERROR(__xludf.DUMMYFUNCTION("""COMPUTED_VALUE"""),"null")</f>
        <v>null</v>
      </c>
      <c r="R9415" s="33">
        <f>IFERROR(__xludf.DUMMYFUNCTION("""COMPUTED_VALUE"""),1.0)</f>
        <v>1</v>
      </c>
      <c r="S9415" s="4" t="str">
        <f>IFERROR(__xludf.DUMMYFUNCTION("""COMPUTED_VALUE"""),"null")</f>
        <v>null</v>
      </c>
      <c r="T9415" s="33">
        <f>IFERROR(__xludf.DUMMYFUNCTION("""COMPUTED_VALUE"""),1.0)</f>
        <v>1</v>
      </c>
      <c r="U9415" s="4" t="str">
        <f>IFERROR(__xludf.DUMMYFUNCTION("""COMPUTED_VALUE"""),"null")</f>
        <v>null</v>
      </c>
      <c r="V9415" s="33">
        <f>IFERROR(__xludf.DUMMYFUNCTION("""COMPUTED_VALUE"""),1.0)</f>
        <v>1</v>
      </c>
      <c r="W9415" s="4" t="str">
        <f>IFERROR(__xludf.DUMMYFUNCTION("""COMPUTED_VALUE"""),"null")</f>
        <v>null</v>
      </c>
      <c r="X9415" s="33">
        <f>IFERROR(__xludf.DUMMYFUNCTION("""COMPUTED_VALUE"""),1.0)</f>
        <v>1</v>
      </c>
    </row>
    <row r="9416">
      <c r="K9416" s="4" t="str">
        <f>IFERROR(__xludf.DUMMYFUNCTION("""COMPUTED_VALUE"""),"XIS DO BARBUDINHO HAMBURGUER, FRITAS ACAI")</f>
        <v>XIS DO BARBUDINHO HAMBURGUER, FRITAS ACAI</v>
      </c>
      <c r="L9416" s="32">
        <f>IFERROR(__xludf.DUMMYFUNCTION("""COMPUTED_VALUE"""),1.0)</f>
        <v>1</v>
      </c>
      <c r="M9416" s="4" t="str">
        <f>IFERROR(__xludf.DUMMYFUNCTION("""COMPUTED_VALUE"""),"Instadelivery")</f>
        <v>Instadelivery</v>
      </c>
      <c r="N9416" s="33">
        <f>IFERROR(__xludf.DUMMYFUNCTION("""COMPUTED_VALUE"""),1.0)</f>
        <v>1</v>
      </c>
      <c r="O9416" s="4" t="str">
        <f>IFERROR(__xludf.DUMMYFUNCTION("""COMPUTED_VALUE"""),"Instadelivery")</f>
        <v>Instadelivery</v>
      </c>
      <c r="P9416" s="33">
        <f>IFERROR(__xludf.DUMMYFUNCTION("""COMPUTED_VALUE"""),1.0)</f>
        <v>1</v>
      </c>
      <c r="Q9416" s="4" t="str">
        <f>IFERROR(__xludf.DUMMYFUNCTION("""COMPUTED_VALUE"""),"Instadelivery")</f>
        <v>Instadelivery</v>
      </c>
      <c r="R9416" s="33">
        <f>IFERROR(__xludf.DUMMYFUNCTION("""COMPUTED_VALUE"""),1.0)</f>
        <v>1</v>
      </c>
      <c r="S9416" s="4" t="str">
        <f>IFERROR(__xludf.DUMMYFUNCTION("""COMPUTED_VALUE"""),"Instadelivery")</f>
        <v>Instadelivery</v>
      </c>
      <c r="T9416" s="33">
        <f>IFERROR(__xludf.DUMMYFUNCTION("""COMPUTED_VALUE"""),1.0)</f>
        <v>1</v>
      </c>
      <c r="U9416" s="4" t="str">
        <f>IFERROR(__xludf.DUMMYFUNCTION("""COMPUTED_VALUE"""),"Instadelivery")</f>
        <v>Instadelivery</v>
      </c>
      <c r="V9416" s="33">
        <f>IFERROR(__xludf.DUMMYFUNCTION("""COMPUTED_VALUE"""),1.0)</f>
        <v>1</v>
      </c>
      <c r="W9416" s="4" t="str">
        <f>IFERROR(__xludf.DUMMYFUNCTION("""COMPUTED_VALUE"""),"null")</f>
        <v>null</v>
      </c>
      <c r="X9416" s="33">
        <f>IFERROR(__xludf.DUMMYFUNCTION("""COMPUTED_VALUE"""),1.0)</f>
        <v>1</v>
      </c>
    </row>
    <row r="9417">
      <c r="K9417" s="4" t="str">
        <f>IFERROR(__xludf.DUMMYFUNCTION("""COMPUTED_VALUE"""),"HARIAH SHAWARMA")</f>
        <v>HARIAH SHAWARMA</v>
      </c>
      <c r="L9417" s="32">
        <f>IFERROR(__xludf.DUMMYFUNCTION("""COMPUTED_VALUE"""),1.0)</f>
        <v>1</v>
      </c>
      <c r="M9417" s="4" t="str">
        <f>IFERROR(__xludf.DUMMYFUNCTION("""COMPUTED_VALUE"""),"Consumer Soluções Em Tecnologia Ltda")</f>
        <v>Consumer Soluções Em Tecnologia Ltda</v>
      </c>
      <c r="N9417" s="33">
        <f>IFERROR(__xludf.DUMMYFUNCTION("""COMPUTED_VALUE"""),1.0)</f>
        <v>1</v>
      </c>
      <c r="O9417" s="4" t="str">
        <f>IFERROR(__xludf.DUMMYFUNCTION("""COMPUTED_VALUE"""),"Consumer Soluções Em Tecnologia Ltda")</f>
        <v>Consumer Soluções Em Tecnologia Ltda</v>
      </c>
      <c r="P9417" s="33">
        <f>IFERROR(__xludf.DUMMYFUNCTION("""COMPUTED_VALUE"""),1.0)</f>
        <v>1</v>
      </c>
      <c r="Q9417" s="4" t="str">
        <f>IFERROR(__xludf.DUMMYFUNCTION("""COMPUTED_VALUE"""),"Consumer Soluções Em Tecnologia Ltda")</f>
        <v>Consumer Soluções Em Tecnologia Ltda</v>
      </c>
      <c r="R9417" s="33">
        <f>IFERROR(__xludf.DUMMYFUNCTION("""COMPUTED_VALUE"""),1.0)</f>
        <v>1</v>
      </c>
      <c r="S9417" s="4" t="str">
        <f>IFERROR(__xludf.DUMMYFUNCTION("""COMPUTED_VALUE"""),"Consumer Soluções Em Tecnologia Ltda")</f>
        <v>Consumer Soluções Em Tecnologia Ltda</v>
      </c>
      <c r="T9417" s="33">
        <f>IFERROR(__xludf.DUMMYFUNCTION("""COMPUTED_VALUE"""),1.0)</f>
        <v>1</v>
      </c>
      <c r="U9417" s="4" t="str">
        <f>IFERROR(__xludf.DUMMYFUNCTION("""COMPUTED_VALUE"""),"Consumer Soluções Em Tecnologia Ltda")</f>
        <v>Consumer Soluções Em Tecnologia Ltda</v>
      </c>
      <c r="V9417" s="33">
        <f>IFERROR(__xludf.DUMMYFUNCTION("""COMPUTED_VALUE"""),1.0)</f>
        <v>1</v>
      </c>
      <c r="W9417" s="4" t="str">
        <f>IFERROR(__xludf.DUMMYFUNCTION("""COMPUTED_VALUE"""),"Consumer Soluções Em Tecnologia Ltda")</f>
        <v>Consumer Soluções Em Tecnologia Ltda</v>
      </c>
      <c r="X9417" s="33">
        <f>IFERROR(__xludf.DUMMYFUNCTION("""COMPUTED_VALUE"""),1.0)</f>
        <v>1</v>
      </c>
    </row>
    <row r="9418">
      <c r="K9418" s="4" t="str">
        <f>IFERROR(__xludf.DUMMYFUNCTION("""COMPUTED_VALUE"""),"DEU FOME GOURMET - BURGUER ARTESANAL")</f>
        <v>DEU FOME GOURMET - BURGUER ARTESANAL</v>
      </c>
      <c r="L9418" s="32">
        <f>IFERROR(__xludf.DUMMYFUNCTION("""COMPUTED_VALUE"""),1.0)</f>
        <v>1</v>
      </c>
      <c r="M9418" s="4" t="str">
        <f>IFERROR(__xludf.DUMMYFUNCTION("""COMPUTED_VALUE"""),"Saipos Serviços De Software")</f>
        <v>Saipos Serviços De Software</v>
      </c>
      <c r="N9418" s="33">
        <f>IFERROR(__xludf.DUMMYFUNCTION("""COMPUTED_VALUE"""),1.0)</f>
        <v>1</v>
      </c>
      <c r="O9418" s="4" t="str">
        <f>IFERROR(__xludf.DUMMYFUNCTION("""COMPUTED_VALUE"""),"Saipos Serviços De Software")</f>
        <v>Saipos Serviços De Software</v>
      </c>
      <c r="P9418" s="33">
        <f>IFERROR(__xludf.DUMMYFUNCTION("""COMPUTED_VALUE"""),1.0)</f>
        <v>1</v>
      </c>
      <c r="Q9418" s="4" t="str">
        <f>IFERROR(__xludf.DUMMYFUNCTION("""COMPUTED_VALUE"""),"Saipos Serviços De Software")</f>
        <v>Saipos Serviços De Software</v>
      </c>
      <c r="R9418" s="33">
        <f>IFERROR(__xludf.DUMMYFUNCTION("""COMPUTED_VALUE"""),1.0)</f>
        <v>1</v>
      </c>
      <c r="S9418" s="4" t="str">
        <f>IFERROR(__xludf.DUMMYFUNCTION("""COMPUTED_VALUE"""),"Saipos Serviços De Software")</f>
        <v>Saipos Serviços De Software</v>
      </c>
      <c r="T9418" s="33">
        <f>IFERROR(__xludf.DUMMYFUNCTION("""COMPUTED_VALUE"""),1.0)</f>
        <v>1</v>
      </c>
      <c r="U9418" s="4" t="str">
        <f>IFERROR(__xludf.DUMMYFUNCTION("""COMPUTED_VALUE"""),"Saipos Serviços De Software")</f>
        <v>Saipos Serviços De Software</v>
      </c>
      <c r="V9418" s="33">
        <f>IFERROR(__xludf.DUMMYFUNCTION("""COMPUTED_VALUE"""),1.0)</f>
        <v>1</v>
      </c>
      <c r="W9418" s="4" t="str">
        <f>IFERROR(__xludf.DUMMYFUNCTION("""COMPUTED_VALUE"""),"Saipos Serviços De Software")</f>
        <v>Saipos Serviços De Software</v>
      </c>
      <c r="X9418" s="33">
        <f>IFERROR(__xludf.DUMMYFUNCTION("""COMPUTED_VALUE"""),1.0)</f>
        <v>1</v>
      </c>
    </row>
    <row r="9419">
      <c r="K9419" s="4" t="str">
        <f>IFERROR(__xludf.DUMMYFUNCTION("""COMPUTED_VALUE"""),"REI DA MARMITA - COMIDA CASEIRA")</f>
        <v>REI DA MARMITA - COMIDA CASEIRA</v>
      </c>
      <c r="L9419" s="32">
        <f>IFERROR(__xludf.DUMMYFUNCTION("""COMPUTED_VALUE"""),1.0)</f>
        <v>1</v>
      </c>
      <c r="M9419" s="4" t="str">
        <f>IFERROR(__xludf.DUMMYFUNCTION("""COMPUTED_VALUE"""),"Saipos Serviços De Software")</f>
        <v>Saipos Serviços De Software</v>
      </c>
      <c r="N9419" s="33">
        <f>IFERROR(__xludf.DUMMYFUNCTION("""COMPUTED_VALUE"""),1.0)</f>
        <v>1</v>
      </c>
      <c r="O9419" s="4" t="str">
        <f>IFERROR(__xludf.DUMMYFUNCTION("""COMPUTED_VALUE"""),"Saipos Serviços De Software")</f>
        <v>Saipos Serviços De Software</v>
      </c>
      <c r="P9419" s="33">
        <f>IFERROR(__xludf.DUMMYFUNCTION("""COMPUTED_VALUE"""),1.0)</f>
        <v>1</v>
      </c>
      <c r="Q9419" s="4" t="str">
        <f>IFERROR(__xludf.DUMMYFUNCTION("""COMPUTED_VALUE"""),"Saipos Serviços De Software")</f>
        <v>Saipos Serviços De Software</v>
      </c>
      <c r="R9419" s="33">
        <f>IFERROR(__xludf.DUMMYFUNCTION("""COMPUTED_VALUE"""),1.0)</f>
        <v>1</v>
      </c>
      <c r="S9419" s="4" t="str">
        <f>IFERROR(__xludf.DUMMYFUNCTION("""COMPUTED_VALUE"""),"Saipos Serviços De Software")</f>
        <v>Saipos Serviços De Software</v>
      </c>
      <c r="T9419" s="33">
        <f>IFERROR(__xludf.DUMMYFUNCTION("""COMPUTED_VALUE"""),1.0)</f>
        <v>1</v>
      </c>
      <c r="U9419" s="4" t="str">
        <f>IFERROR(__xludf.DUMMYFUNCTION("""COMPUTED_VALUE"""),"Saipos Serviços De Software")</f>
        <v>Saipos Serviços De Software</v>
      </c>
      <c r="V9419" s="33">
        <f>IFERROR(__xludf.DUMMYFUNCTION("""COMPUTED_VALUE"""),1.0)</f>
        <v>1</v>
      </c>
      <c r="W9419" s="4" t="str">
        <f>IFERROR(__xludf.DUMMYFUNCTION("""COMPUTED_VALUE"""),"Saipos Serviços De Software")</f>
        <v>Saipos Serviços De Software</v>
      </c>
      <c r="X9419" s="33">
        <f>IFERROR(__xludf.DUMMYFUNCTION("""COMPUTED_VALUE"""),1.0)</f>
        <v>1</v>
      </c>
    </row>
    <row r="9420">
      <c r="K9420" s="4" t="str">
        <f>IFERROR(__xludf.DUMMYFUNCTION("""COMPUTED_VALUE"""),"BELLA PIZZA CAMPO LIMPO")</f>
        <v>BELLA PIZZA CAMPO LIMPO</v>
      </c>
      <c r="L9420" s="32">
        <f>IFERROR(__xludf.DUMMYFUNCTION("""COMPUTED_VALUE"""),1.0)</f>
        <v>1</v>
      </c>
      <c r="M9420" s="4" t="str">
        <f>IFERROR(__xludf.DUMMYFUNCTION("""COMPUTED_VALUE"""),"null")</f>
        <v>null</v>
      </c>
      <c r="N9420" s="33">
        <f>IFERROR(__xludf.DUMMYFUNCTION("""COMPUTED_VALUE"""),1.0)</f>
        <v>1</v>
      </c>
      <c r="O9420" s="4" t="str">
        <f>IFERROR(__xludf.DUMMYFUNCTION("""COMPUTED_VALUE"""),"null")</f>
        <v>null</v>
      </c>
      <c r="P9420" s="33">
        <f>IFERROR(__xludf.DUMMYFUNCTION("""COMPUTED_VALUE"""),1.0)</f>
        <v>1</v>
      </c>
      <c r="Q9420" s="4" t="str">
        <f>IFERROR(__xludf.DUMMYFUNCTION("""COMPUTED_VALUE"""),"null")</f>
        <v>null</v>
      </c>
      <c r="R9420" s="33">
        <f>IFERROR(__xludf.DUMMYFUNCTION("""COMPUTED_VALUE"""),1.0)</f>
        <v>1</v>
      </c>
      <c r="S9420" s="4" t="str">
        <f>IFERROR(__xludf.DUMMYFUNCTION("""COMPUTED_VALUE"""),"null")</f>
        <v>null</v>
      </c>
      <c r="T9420" s="33">
        <f>IFERROR(__xludf.DUMMYFUNCTION("""COMPUTED_VALUE"""),1.0)</f>
        <v>1</v>
      </c>
      <c r="U9420" s="4" t="str">
        <f>IFERROR(__xludf.DUMMYFUNCTION("""COMPUTED_VALUE"""),"null")</f>
        <v>null</v>
      </c>
      <c r="V9420" s="33">
        <f>IFERROR(__xludf.DUMMYFUNCTION("""COMPUTED_VALUE"""),1.0)</f>
        <v>1</v>
      </c>
      <c r="W9420" s="4" t="str">
        <f>IFERROR(__xludf.DUMMYFUNCTION("""COMPUTED_VALUE"""),"Bbifood")</f>
        <v>Bbifood</v>
      </c>
      <c r="X9420" s="33">
        <f>IFERROR(__xludf.DUMMYFUNCTION("""COMPUTED_VALUE"""),1.0)</f>
        <v>1</v>
      </c>
    </row>
    <row r="9421">
      <c r="K9421" s="4" t="str">
        <f>IFERROR(__xludf.DUMMYFUNCTION("""COMPUTED_VALUE"""),"CARIOCA ACAI - ZONA LESTE")</f>
        <v>CARIOCA ACAI - ZONA LESTE</v>
      </c>
      <c r="L9421" s="32">
        <f>IFERROR(__xludf.DUMMYFUNCTION("""COMPUTED_VALUE"""),1.0)</f>
        <v>1</v>
      </c>
      <c r="M9421" s="4" t="str">
        <f>IFERROR(__xludf.DUMMYFUNCTION("""COMPUTED_VALUE"""),"Instadelivery")</f>
        <v>Instadelivery</v>
      </c>
      <c r="N9421" s="33">
        <f>IFERROR(__xludf.DUMMYFUNCTION("""COMPUTED_VALUE"""),1.0)</f>
        <v>1</v>
      </c>
      <c r="O9421" s="4" t="str">
        <f>IFERROR(__xludf.DUMMYFUNCTION("""COMPUTED_VALUE"""),"Instadelivery")</f>
        <v>Instadelivery</v>
      </c>
      <c r="P9421" s="33">
        <f>IFERROR(__xludf.DUMMYFUNCTION("""COMPUTED_VALUE"""),1.0)</f>
        <v>1</v>
      </c>
      <c r="Q9421" s="4" t="str">
        <f>IFERROR(__xludf.DUMMYFUNCTION("""COMPUTED_VALUE"""),"Instadelivery")</f>
        <v>Instadelivery</v>
      </c>
      <c r="R9421" s="33">
        <f>IFERROR(__xludf.DUMMYFUNCTION("""COMPUTED_VALUE"""),1.0)</f>
        <v>1</v>
      </c>
      <c r="S9421" s="4" t="str">
        <f>IFERROR(__xludf.DUMMYFUNCTION("""COMPUTED_VALUE"""),"null")</f>
        <v>null</v>
      </c>
      <c r="T9421" s="33">
        <f>IFERROR(__xludf.DUMMYFUNCTION("""COMPUTED_VALUE"""),1.0)</f>
        <v>1</v>
      </c>
      <c r="U9421" s="4" t="str">
        <f>IFERROR(__xludf.DUMMYFUNCTION("""COMPUTED_VALUE"""),"Instadelivery")</f>
        <v>Instadelivery</v>
      </c>
      <c r="V9421" s="33">
        <f>IFERROR(__xludf.DUMMYFUNCTION("""COMPUTED_VALUE"""),1.0)</f>
        <v>1</v>
      </c>
      <c r="W9421" s="4" t="str">
        <f>IFERROR(__xludf.DUMMYFUNCTION("""COMPUTED_VALUE"""),"null")</f>
        <v>null</v>
      </c>
      <c r="X9421" s="33">
        <f>IFERROR(__xludf.DUMMYFUNCTION("""COMPUTED_VALUE"""),1.0)</f>
        <v>1</v>
      </c>
    </row>
    <row r="9422">
      <c r="K9422" s="4" t="str">
        <f>IFERROR(__xludf.DUMMYFUNCTION("""COMPUTED_VALUE"""),"CALIFORNIANA PIZZAS E MASSAS")</f>
        <v>CALIFORNIANA PIZZAS E MASSAS</v>
      </c>
      <c r="L9422" s="32">
        <f>IFERROR(__xludf.DUMMYFUNCTION("""COMPUTED_VALUE"""),1.0)</f>
        <v>1</v>
      </c>
      <c r="M9422" s="4" t="str">
        <f>IFERROR(__xludf.DUMMYFUNCTION("""COMPUTED_VALUE"""),"Consumer Soluções Em Tecnologia Ltda")</f>
        <v>Consumer Soluções Em Tecnologia Ltda</v>
      </c>
      <c r="N9422" s="33">
        <f>IFERROR(__xludf.DUMMYFUNCTION("""COMPUTED_VALUE"""),1.0)</f>
        <v>1</v>
      </c>
      <c r="O9422" s="4" t="str">
        <f>IFERROR(__xludf.DUMMYFUNCTION("""COMPUTED_VALUE"""),"Consumer Soluções Em Tecnologia Ltda")</f>
        <v>Consumer Soluções Em Tecnologia Ltda</v>
      </c>
      <c r="P9422" s="33">
        <f>IFERROR(__xludf.DUMMYFUNCTION("""COMPUTED_VALUE"""),1.0)</f>
        <v>1</v>
      </c>
      <c r="Q9422" s="4" t="str">
        <f>IFERROR(__xludf.DUMMYFUNCTION("""COMPUTED_VALUE"""),"null")</f>
        <v>null</v>
      </c>
      <c r="R9422" s="33">
        <f>IFERROR(__xludf.DUMMYFUNCTION("""COMPUTED_VALUE"""),1.0)</f>
        <v>1</v>
      </c>
      <c r="S9422" s="4" t="str">
        <f>IFERROR(__xludf.DUMMYFUNCTION("""COMPUTED_VALUE"""),"null")</f>
        <v>null</v>
      </c>
      <c r="T9422" s="33">
        <f>IFERROR(__xludf.DUMMYFUNCTION("""COMPUTED_VALUE"""),1.0)</f>
        <v>1</v>
      </c>
      <c r="U9422" s="4" t="str">
        <f>IFERROR(__xludf.DUMMYFUNCTION("""COMPUTED_VALUE"""),"null")</f>
        <v>null</v>
      </c>
      <c r="V9422" s="33">
        <f>IFERROR(__xludf.DUMMYFUNCTION("""COMPUTED_VALUE"""),1.0)</f>
        <v>1</v>
      </c>
      <c r="W9422" s="4" t="str">
        <f>IFERROR(__xludf.DUMMYFUNCTION("""COMPUTED_VALUE"""),"null")</f>
        <v>null</v>
      </c>
      <c r="X9422" s="33">
        <f>IFERROR(__xludf.DUMMYFUNCTION("""COMPUTED_VALUE"""),1.0)</f>
        <v>1</v>
      </c>
    </row>
    <row r="9423">
      <c r="K9423" s="4" t="str">
        <f>IFERROR(__xludf.DUMMYFUNCTION("""COMPUTED_VALUE"""),"POINT DO ACAI E SORVETERIA 2")</f>
        <v>POINT DO ACAI E SORVETERIA 2</v>
      </c>
      <c r="L9423" s="32">
        <f>IFERROR(__xludf.DUMMYFUNCTION("""COMPUTED_VALUE"""),1.0)</f>
        <v>1</v>
      </c>
      <c r="M9423" s="4" t="str">
        <f>IFERROR(__xludf.DUMMYFUNCTION("""COMPUTED_VALUE"""),"null")</f>
        <v>null</v>
      </c>
      <c r="N9423" s="33">
        <f>IFERROR(__xludf.DUMMYFUNCTION("""COMPUTED_VALUE"""),1.0)</f>
        <v>1</v>
      </c>
      <c r="O9423" s="4" t="str">
        <f>IFERROR(__xludf.DUMMYFUNCTION("""COMPUTED_VALUE"""),"Cardápio Web")</f>
        <v>Cardápio Web</v>
      </c>
      <c r="P9423" s="33">
        <f>IFERROR(__xludf.DUMMYFUNCTION("""COMPUTED_VALUE"""),1.0)</f>
        <v>1</v>
      </c>
      <c r="Q9423" s="4" t="str">
        <f>IFERROR(__xludf.DUMMYFUNCTION("""COMPUTED_VALUE"""),"Cardápio Web")</f>
        <v>Cardápio Web</v>
      </c>
      <c r="R9423" s="33">
        <f>IFERROR(__xludf.DUMMYFUNCTION("""COMPUTED_VALUE"""),1.0)</f>
        <v>1</v>
      </c>
      <c r="S9423" s="4" t="str">
        <f>IFERROR(__xludf.DUMMYFUNCTION("""COMPUTED_VALUE"""),"null")</f>
        <v>null</v>
      </c>
      <c r="T9423" s="33">
        <f>IFERROR(__xludf.DUMMYFUNCTION("""COMPUTED_VALUE"""),1.0)</f>
        <v>1</v>
      </c>
      <c r="U9423" s="4" t="str">
        <f>IFERROR(__xludf.DUMMYFUNCTION("""COMPUTED_VALUE"""),"Cardápio Web")</f>
        <v>Cardápio Web</v>
      </c>
      <c r="V9423" s="33">
        <f>IFERROR(__xludf.DUMMYFUNCTION("""COMPUTED_VALUE"""),1.0)</f>
        <v>1</v>
      </c>
      <c r="W9423" s="4" t="str">
        <f>IFERROR(__xludf.DUMMYFUNCTION("""COMPUTED_VALUE"""),"null")</f>
        <v>null</v>
      </c>
      <c r="X9423" s="33">
        <f>IFERROR(__xludf.DUMMYFUNCTION("""COMPUTED_VALUE"""),1.0)</f>
        <v>1</v>
      </c>
    </row>
    <row r="9424">
      <c r="K9424" s="4" t="str">
        <f>IFERROR(__xludf.DUMMYFUNCTION("""COMPUTED_VALUE"""),"FAMIGLIA BONINO PIZZARIA")</f>
        <v>FAMIGLIA BONINO PIZZARIA</v>
      </c>
      <c r="L9424" s="32">
        <f>IFERROR(__xludf.DUMMYFUNCTION("""COMPUTED_VALUE"""),1.0)</f>
        <v>1</v>
      </c>
      <c r="M9424" s="4" t="str">
        <f>IFERROR(__xludf.DUMMYFUNCTION("""COMPUTED_VALUE"""),"Consumer Soluções Em Tecnologia Ltda")</f>
        <v>Consumer Soluções Em Tecnologia Ltda</v>
      </c>
      <c r="N9424" s="33">
        <f>IFERROR(__xludf.DUMMYFUNCTION("""COMPUTED_VALUE"""),1.0)</f>
        <v>1</v>
      </c>
      <c r="O9424" s="4" t="str">
        <f>IFERROR(__xludf.DUMMYFUNCTION("""COMPUTED_VALUE"""),"null")</f>
        <v>null</v>
      </c>
      <c r="P9424" s="33">
        <f>IFERROR(__xludf.DUMMYFUNCTION("""COMPUTED_VALUE"""),1.0)</f>
        <v>1</v>
      </c>
      <c r="Q9424" s="4" t="str">
        <f>IFERROR(__xludf.DUMMYFUNCTION("""COMPUTED_VALUE"""),"null")</f>
        <v>null</v>
      </c>
      <c r="R9424" s="33">
        <f>IFERROR(__xludf.DUMMYFUNCTION("""COMPUTED_VALUE"""),1.0)</f>
        <v>1</v>
      </c>
      <c r="S9424" s="4" t="str">
        <f>IFERROR(__xludf.DUMMYFUNCTION("""COMPUTED_VALUE"""),"Consumer Soluções Em Tecnologia Ltda")</f>
        <v>Consumer Soluções Em Tecnologia Ltda</v>
      </c>
      <c r="T9424" s="33">
        <f>IFERROR(__xludf.DUMMYFUNCTION("""COMPUTED_VALUE"""),1.0)</f>
        <v>1</v>
      </c>
      <c r="U9424" s="4" t="str">
        <f>IFERROR(__xludf.DUMMYFUNCTION("""COMPUTED_VALUE"""),"Saipos Serviços De Software")</f>
        <v>Saipos Serviços De Software</v>
      </c>
      <c r="V9424" s="33">
        <f>IFERROR(__xludf.DUMMYFUNCTION("""COMPUTED_VALUE"""),1.0)</f>
        <v>1</v>
      </c>
      <c r="W9424" s="4" t="str">
        <f>IFERROR(__xludf.DUMMYFUNCTION("""COMPUTED_VALUE"""),"Saipos Serviços De Software")</f>
        <v>Saipos Serviços De Software</v>
      </c>
      <c r="X9424" s="33">
        <f>IFERROR(__xludf.DUMMYFUNCTION("""COMPUTED_VALUE"""),1.0)</f>
        <v>1</v>
      </c>
    </row>
    <row r="9425">
      <c r="K9425" s="4" t="str">
        <f>IFERROR(__xludf.DUMMYFUNCTION("""COMPUTED_VALUE"""),"DREAM FEST SALGADOS")</f>
        <v>DREAM FEST SALGADOS</v>
      </c>
      <c r="L9425" s="32">
        <f>IFERROR(__xludf.DUMMYFUNCTION("""COMPUTED_VALUE"""),1.0)</f>
        <v>1</v>
      </c>
      <c r="M9425" s="4" t="str">
        <f>IFERROR(__xludf.DUMMYFUNCTION("""COMPUTED_VALUE"""),"Softcom Tecnologia")</f>
        <v>Softcom Tecnologia</v>
      </c>
      <c r="N9425" s="33">
        <f>IFERROR(__xludf.DUMMYFUNCTION("""COMPUTED_VALUE"""),1.0)</f>
        <v>1</v>
      </c>
      <c r="O9425" s="4" t="str">
        <f>IFERROR(__xludf.DUMMYFUNCTION("""COMPUTED_VALUE"""),"Softcom Tecnologia")</f>
        <v>Softcom Tecnologia</v>
      </c>
      <c r="P9425" s="33">
        <f>IFERROR(__xludf.DUMMYFUNCTION("""COMPUTED_VALUE"""),1.0)</f>
        <v>1</v>
      </c>
      <c r="Q9425" s="4" t="str">
        <f>IFERROR(__xludf.DUMMYFUNCTION("""COMPUTED_VALUE"""),"Softcom Tecnologia")</f>
        <v>Softcom Tecnologia</v>
      </c>
      <c r="R9425" s="33">
        <f>IFERROR(__xludf.DUMMYFUNCTION("""COMPUTED_VALUE"""),1.0)</f>
        <v>1</v>
      </c>
      <c r="S9425" s="4" t="str">
        <f>IFERROR(__xludf.DUMMYFUNCTION("""COMPUTED_VALUE"""),"Softcom Tecnologia")</f>
        <v>Softcom Tecnologia</v>
      </c>
      <c r="T9425" s="33">
        <f>IFERROR(__xludf.DUMMYFUNCTION("""COMPUTED_VALUE"""),1.0)</f>
        <v>1</v>
      </c>
      <c r="U9425" s="4" t="str">
        <f>IFERROR(__xludf.DUMMYFUNCTION("""COMPUTED_VALUE"""),"Softcom Tecnologia")</f>
        <v>Softcom Tecnologia</v>
      </c>
      <c r="V9425" s="33">
        <f>IFERROR(__xludf.DUMMYFUNCTION("""COMPUTED_VALUE"""),1.0)</f>
        <v>1</v>
      </c>
      <c r="W9425" s="4" t="str">
        <f>IFERROR(__xludf.DUMMYFUNCTION("""COMPUTED_VALUE"""),"Softcom Tecnologia")</f>
        <v>Softcom Tecnologia</v>
      </c>
      <c r="X9425" s="33">
        <f>IFERROR(__xludf.DUMMYFUNCTION("""COMPUTED_VALUE"""),1.0)</f>
        <v>1</v>
      </c>
    </row>
    <row r="9426">
      <c r="K9426" s="4" t="str">
        <f>IFERROR(__xludf.DUMMYFUNCTION("""COMPUTED_VALUE"""),"BRASA GAUCHA")</f>
        <v>BRASA GAUCHA</v>
      </c>
      <c r="L9426" s="32">
        <f>IFERROR(__xludf.DUMMYFUNCTION("""COMPUTED_VALUE"""),1.0)</f>
        <v>1</v>
      </c>
      <c r="M9426" s="4" t="str">
        <f>IFERROR(__xludf.DUMMYFUNCTION("""COMPUTED_VALUE"""),"Saipos Serviços De Software")</f>
        <v>Saipos Serviços De Software</v>
      </c>
      <c r="N9426" s="33">
        <f>IFERROR(__xludf.DUMMYFUNCTION("""COMPUTED_VALUE"""),1.0)</f>
        <v>1</v>
      </c>
      <c r="O9426" s="4" t="str">
        <f>IFERROR(__xludf.DUMMYFUNCTION("""COMPUTED_VALUE"""),"Saipos Serviços De Software")</f>
        <v>Saipos Serviços De Software</v>
      </c>
      <c r="P9426" s="33">
        <f>IFERROR(__xludf.DUMMYFUNCTION("""COMPUTED_VALUE"""),1.0)</f>
        <v>1</v>
      </c>
      <c r="Q9426" s="4" t="str">
        <f>IFERROR(__xludf.DUMMYFUNCTION("""COMPUTED_VALUE"""),"Saipos Serviços De Software")</f>
        <v>Saipos Serviços De Software</v>
      </c>
      <c r="R9426" s="33">
        <f>IFERROR(__xludf.DUMMYFUNCTION("""COMPUTED_VALUE"""),1.0)</f>
        <v>1</v>
      </c>
      <c r="S9426" s="4" t="str">
        <f>IFERROR(__xludf.DUMMYFUNCTION("""COMPUTED_VALUE"""),"Saipos Serviços De Software")</f>
        <v>Saipos Serviços De Software</v>
      </c>
      <c r="T9426" s="33">
        <f>IFERROR(__xludf.DUMMYFUNCTION("""COMPUTED_VALUE"""),1.0)</f>
        <v>1</v>
      </c>
      <c r="U9426" s="4" t="str">
        <f>IFERROR(__xludf.DUMMYFUNCTION("""COMPUTED_VALUE"""),"Saipos Serviços De Software")</f>
        <v>Saipos Serviços De Software</v>
      </c>
      <c r="V9426" s="33">
        <f>IFERROR(__xludf.DUMMYFUNCTION("""COMPUTED_VALUE"""),1.0)</f>
        <v>1</v>
      </c>
      <c r="W9426" s="4" t="str">
        <f>IFERROR(__xludf.DUMMYFUNCTION("""COMPUTED_VALUE"""),"Saipos Serviços De Software")</f>
        <v>Saipos Serviços De Software</v>
      </c>
      <c r="X9426" s="33">
        <f>IFERROR(__xludf.DUMMYFUNCTION("""COMPUTED_VALUE"""),1.0)</f>
        <v>1</v>
      </c>
    </row>
    <row r="9427">
      <c r="K9427" s="4" t="str">
        <f>IFERROR(__xludf.DUMMYFUNCTION("""COMPUTED_VALUE"""),"492 POKES DELIVERY")</f>
        <v>492 POKES DELIVERY</v>
      </c>
      <c r="L9427" s="32">
        <f>IFERROR(__xludf.DUMMYFUNCTION("""COMPUTED_VALUE"""),1.0)</f>
        <v>1</v>
      </c>
      <c r="M9427" s="4" t="str">
        <f>IFERROR(__xludf.DUMMYFUNCTION("""COMPUTED_VALUE"""),"Cardápio Web")</f>
        <v>Cardápio Web</v>
      </c>
      <c r="N9427" s="33">
        <f>IFERROR(__xludf.DUMMYFUNCTION("""COMPUTED_VALUE"""),1.0)</f>
        <v>1</v>
      </c>
      <c r="O9427" s="4" t="str">
        <f>IFERROR(__xludf.DUMMYFUNCTION("""COMPUTED_VALUE"""),"Cardápio Web")</f>
        <v>Cardápio Web</v>
      </c>
      <c r="P9427" s="33">
        <f>IFERROR(__xludf.DUMMYFUNCTION("""COMPUTED_VALUE"""),1.0)</f>
        <v>1</v>
      </c>
      <c r="Q9427" s="4" t="str">
        <f>IFERROR(__xludf.DUMMYFUNCTION("""COMPUTED_VALUE"""),"Cardápio Web")</f>
        <v>Cardápio Web</v>
      </c>
      <c r="R9427" s="33">
        <f>IFERROR(__xludf.DUMMYFUNCTION("""COMPUTED_VALUE"""),1.0)</f>
        <v>1</v>
      </c>
      <c r="S9427" s="4" t="str">
        <f>IFERROR(__xludf.DUMMYFUNCTION("""COMPUTED_VALUE"""),"Cardápio Web")</f>
        <v>Cardápio Web</v>
      </c>
      <c r="T9427" s="33">
        <f>IFERROR(__xludf.DUMMYFUNCTION("""COMPUTED_VALUE"""),1.0)</f>
        <v>1</v>
      </c>
      <c r="U9427" s="4" t="str">
        <f>IFERROR(__xludf.DUMMYFUNCTION("""COMPUTED_VALUE"""),"Cardápio Web")</f>
        <v>Cardápio Web</v>
      </c>
      <c r="V9427" s="33">
        <f>IFERROR(__xludf.DUMMYFUNCTION("""COMPUTED_VALUE"""),1.0)</f>
        <v>1</v>
      </c>
      <c r="W9427" s="4" t="str">
        <f>IFERROR(__xludf.DUMMYFUNCTION("""COMPUTED_VALUE"""),"Cardápio Web")</f>
        <v>Cardápio Web</v>
      </c>
      <c r="X9427" s="33">
        <f>IFERROR(__xludf.DUMMYFUNCTION("""COMPUTED_VALUE"""),1.0)</f>
        <v>1</v>
      </c>
    </row>
    <row r="9428">
      <c r="K9428" s="4" t="str">
        <f>IFERROR(__xludf.DUMMYFUNCTION("""COMPUTED_VALUE"""),"HAMBURGUERIA BORRACHUDO CUPOM DE R10,00 OFF DISPONIVEL NA LOJA")</f>
        <v>HAMBURGUERIA BORRACHUDO CUPOM DE R10,00 OFF DISPONIVEL NA LOJA</v>
      </c>
      <c r="L9428" s="32">
        <f>IFERROR(__xludf.DUMMYFUNCTION("""COMPUTED_VALUE"""),1.0)</f>
        <v>1</v>
      </c>
      <c r="M9428" s="4" t="str">
        <f>IFERROR(__xludf.DUMMYFUNCTION("""COMPUTED_VALUE"""),"Eclética Tecnologia")</f>
        <v>Eclética Tecnologia</v>
      </c>
      <c r="N9428" s="33">
        <f>IFERROR(__xludf.DUMMYFUNCTION("""COMPUTED_VALUE"""),1.0)</f>
        <v>1</v>
      </c>
      <c r="O9428" s="4" t="str">
        <f>IFERROR(__xludf.DUMMYFUNCTION("""COMPUTED_VALUE"""),"Eclética Tecnologia")</f>
        <v>Eclética Tecnologia</v>
      </c>
      <c r="P9428" s="33">
        <f>IFERROR(__xludf.DUMMYFUNCTION("""COMPUTED_VALUE"""),1.0)</f>
        <v>1</v>
      </c>
      <c r="Q9428" s="4" t="str">
        <f>IFERROR(__xludf.DUMMYFUNCTION("""COMPUTED_VALUE"""),"null")</f>
        <v>null</v>
      </c>
      <c r="R9428" s="33">
        <f>IFERROR(__xludf.DUMMYFUNCTION("""COMPUTED_VALUE"""),1.0)</f>
        <v>1</v>
      </c>
      <c r="S9428" s="4" t="str">
        <f>IFERROR(__xludf.DUMMYFUNCTION("""COMPUTED_VALUE"""),"null")</f>
        <v>null</v>
      </c>
      <c r="T9428" s="33">
        <f>IFERROR(__xludf.DUMMYFUNCTION("""COMPUTED_VALUE"""),1.0)</f>
        <v>1</v>
      </c>
      <c r="U9428" s="4" t="str">
        <f>IFERROR(__xludf.DUMMYFUNCTION("""COMPUTED_VALUE"""),"null")</f>
        <v>null</v>
      </c>
      <c r="V9428" s="33">
        <f>IFERROR(__xludf.DUMMYFUNCTION("""COMPUTED_VALUE"""),1.0)</f>
        <v>1</v>
      </c>
      <c r="W9428" s="4" t="str">
        <f>IFERROR(__xludf.DUMMYFUNCTION("""COMPUTED_VALUE"""),"Eclética Tecnologia")</f>
        <v>Eclética Tecnologia</v>
      </c>
      <c r="X9428" s="33">
        <f>IFERROR(__xludf.DUMMYFUNCTION("""COMPUTED_VALUE"""),1.0)</f>
        <v>1</v>
      </c>
    </row>
    <row r="9429">
      <c r="K9429" s="4" t="str">
        <f>IFERROR(__xludf.DUMMYFUNCTION("""COMPUTED_VALUE"""),"FORA DE HORA ACAI E TAPIOCA")</f>
        <v>FORA DE HORA ACAI E TAPIOCA</v>
      </c>
      <c r="L9429" s="32">
        <f>IFERROR(__xludf.DUMMYFUNCTION("""COMPUTED_VALUE"""),1.0)</f>
        <v>1</v>
      </c>
      <c r="M9429" s="4" t="str">
        <f>IFERROR(__xludf.DUMMYFUNCTION("""COMPUTED_VALUE"""),"Saipos Serviços De Software")</f>
        <v>Saipos Serviços De Software</v>
      </c>
      <c r="N9429" s="33">
        <f>IFERROR(__xludf.DUMMYFUNCTION("""COMPUTED_VALUE"""),1.0)</f>
        <v>1</v>
      </c>
      <c r="O9429" s="4" t="str">
        <f>IFERROR(__xludf.DUMMYFUNCTION("""COMPUTED_VALUE"""),"Saipos Serviços De Software")</f>
        <v>Saipos Serviços De Software</v>
      </c>
      <c r="P9429" s="33">
        <f>IFERROR(__xludf.DUMMYFUNCTION("""COMPUTED_VALUE"""),1.0)</f>
        <v>1</v>
      </c>
      <c r="Q9429" s="4" t="str">
        <f>IFERROR(__xludf.DUMMYFUNCTION("""COMPUTED_VALUE"""),"Saipos Serviços De Software")</f>
        <v>Saipos Serviços De Software</v>
      </c>
      <c r="R9429" s="33">
        <f>IFERROR(__xludf.DUMMYFUNCTION("""COMPUTED_VALUE"""),1.0)</f>
        <v>1</v>
      </c>
      <c r="S9429" s="4" t="str">
        <f>IFERROR(__xludf.DUMMYFUNCTION("""COMPUTED_VALUE"""),"Saipos Serviços De Software")</f>
        <v>Saipos Serviços De Software</v>
      </c>
      <c r="T9429" s="33">
        <f>IFERROR(__xludf.DUMMYFUNCTION("""COMPUTED_VALUE"""),1.0)</f>
        <v>1</v>
      </c>
      <c r="U9429" s="4" t="str">
        <f>IFERROR(__xludf.DUMMYFUNCTION("""COMPUTED_VALUE"""),"Saipos Serviços De Software")</f>
        <v>Saipos Serviços De Software</v>
      </c>
      <c r="V9429" s="33">
        <f>IFERROR(__xludf.DUMMYFUNCTION("""COMPUTED_VALUE"""),1.0)</f>
        <v>1</v>
      </c>
      <c r="W9429" s="4" t="str">
        <f>IFERROR(__xludf.DUMMYFUNCTION("""COMPUTED_VALUE"""),"Saipos Serviços De Software")</f>
        <v>Saipos Serviços De Software</v>
      </c>
      <c r="X9429" s="33">
        <f>IFERROR(__xludf.DUMMYFUNCTION("""COMPUTED_VALUE"""),1.0)</f>
        <v>1</v>
      </c>
    </row>
    <row r="9430">
      <c r="K9430" s="4" t="str">
        <f>IFERROR(__xludf.DUMMYFUNCTION("""COMPUTED_VALUE"""),"BELARI CAMPINAS")</f>
        <v>BELARI CAMPINAS</v>
      </c>
      <c r="L9430" s="32">
        <f>IFERROR(__xludf.DUMMYFUNCTION("""COMPUTED_VALUE"""),1.0)</f>
        <v>1</v>
      </c>
      <c r="M9430" s="35" t="str">
        <f>IFERROR(__xludf.DUMMYFUNCTION("""COMPUTED_VALUE"""),"Maisentregas.com")</f>
        <v>Maisentregas.com</v>
      </c>
      <c r="N9430" s="33">
        <f>IFERROR(__xludf.DUMMYFUNCTION("""COMPUTED_VALUE"""),1.0)</f>
        <v>1</v>
      </c>
      <c r="O9430" s="4" t="str">
        <f>IFERROR(__xludf.DUMMYFUNCTION("""COMPUTED_VALUE"""),"Syntax Tecnologia")</f>
        <v>Syntax Tecnologia</v>
      </c>
      <c r="P9430" s="33">
        <f>IFERROR(__xludf.DUMMYFUNCTION("""COMPUTED_VALUE"""),1.0)</f>
        <v>1</v>
      </c>
      <c r="Q9430" s="35" t="str">
        <f>IFERROR(__xludf.DUMMYFUNCTION("""COMPUTED_VALUE"""),"Maisentregas.com")</f>
        <v>Maisentregas.com</v>
      </c>
      <c r="R9430" s="33">
        <f>IFERROR(__xludf.DUMMYFUNCTION("""COMPUTED_VALUE"""),1.0)</f>
        <v>1</v>
      </c>
      <c r="S9430" s="35" t="str">
        <f>IFERROR(__xludf.DUMMYFUNCTION("""COMPUTED_VALUE"""),"Maisentregas.com")</f>
        <v>Maisentregas.com</v>
      </c>
      <c r="T9430" s="33">
        <f>IFERROR(__xludf.DUMMYFUNCTION("""COMPUTED_VALUE"""),1.0)</f>
        <v>1</v>
      </c>
      <c r="U9430" s="35" t="str">
        <f>IFERROR(__xludf.DUMMYFUNCTION("""COMPUTED_VALUE"""),"Maisentregas.com")</f>
        <v>Maisentregas.com</v>
      </c>
      <c r="V9430" s="33">
        <f>IFERROR(__xludf.DUMMYFUNCTION("""COMPUTED_VALUE"""),1.0)</f>
        <v>1</v>
      </c>
      <c r="W9430" s="35" t="str">
        <f>IFERROR(__xludf.DUMMYFUNCTION("""COMPUTED_VALUE"""),"Maisentregas.com")</f>
        <v>Maisentregas.com</v>
      </c>
      <c r="X9430" s="33">
        <f>IFERROR(__xludf.DUMMYFUNCTION("""COMPUTED_VALUE"""),1.0)</f>
        <v>1</v>
      </c>
    </row>
    <row r="9431">
      <c r="K9431" s="4" t="str">
        <f>IFERROR(__xludf.DUMMYFUNCTION("""COMPUTED_VALUE"""),"ROTA DA PIZZA")</f>
        <v>ROTA DA PIZZA</v>
      </c>
      <c r="L9431" s="32">
        <f>IFERROR(__xludf.DUMMYFUNCTION("""COMPUTED_VALUE"""),1.0)</f>
        <v>1</v>
      </c>
      <c r="M9431" s="4" t="str">
        <f>IFERROR(__xludf.DUMMYFUNCTION("""COMPUTED_VALUE"""),"Anota Ai Solucoes Digitais S/a")</f>
        <v>Anota Ai Solucoes Digitais S/a</v>
      </c>
      <c r="N9431" s="33">
        <f>IFERROR(__xludf.DUMMYFUNCTION("""COMPUTED_VALUE"""),1.0)</f>
        <v>1</v>
      </c>
      <c r="O9431" s="4" t="str">
        <f>IFERROR(__xludf.DUMMYFUNCTION("""COMPUTED_VALUE"""),"null")</f>
        <v>null</v>
      </c>
      <c r="P9431" s="33">
        <f>IFERROR(__xludf.DUMMYFUNCTION("""COMPUTED_VALUE"""),1.0)</f>
        <v>1</v>
      </c>
      <c r="Q9431" s="4" t="str">
        <f>IFERROR(__xludf.DUMMYFUNCTION("""COMPUTED_VALUE"""),"null")</f>
        <v>null</v>
      </c>
      <c r="R9431" s="33">
        <f>IFERROR(__xludf.DUMMYFUNCTION("""COMPUTED_VALUE"""),1.0)</f>
        <v>1</v>
      </c>
      <c r="S9431" s="4" t="str">
        <f>IFERROR(__xludf.DUMMYFUNCTION("""COMPUTED_VALUE"""),"null")</f>
        <v>null</v>
      </c>
      <c r="T9431" s="33">
        <f>IFERROR(__xludf.DUMMYFUNCTION("""COMPUTED_VALUE"""),1.0)</f>
        <v>1</v>
      </c>
      <c r="U9431" s="4" t="str">
        <f>IFERROR(__xludf.DUMMYFUNCTION("""COMPUTED_VALUE"""),"Saipos Serviços De Software")</f>
        <v>Saipos Serviços De Software</v>
      </c>
      <c r="V9431" s="33">
        <f>IFERROR(__xludf.DUMMYFUNCTION("""COMPUTED_VALUE"""),1.0)</f>
        <v>1</v>
      </c>
      <c r="W9431" s="4" t="str">
        <f>IFERROR(__xludf.DUMMYFUNCTION("""COMPUTED_VALUE"""),"null")</f>
        <v>null</v>
      </c>
      <c r="X9431" s="33">
        <f>IFERROR(__xludf.DUMMYFUNCTION("""COMPUTED_VALUE"""),1.0)</f>
        <v>1</v>
      </c>
    </row>
    <row r="9432">
      <c r="K9432" s="4" t="str">
        <f>IFERROR(__xludf.DUMMYFUNCTION("""COMPUTED_VALUE"""),"SALGADOS HOT SALTY FREGUESIA DO O")</f>
        <v>SALGADOS HOT SALTY FREGUESIA DO O</v>
      </c>
      <c r="L9432" s="32">
        <f>IFERROR(__xludf.DUMMYFUNCTION("""COMPUTED_VALUE"""),1.0)</f>
        <v>1</v>
      </c>
      <c r="M9432" s="4" t="str">
        <f>IFERROR(__xludf.DUMMYFUNCTION("""COMPUTED_VALUE"""),"Consumer Soluções Em Tecnologia Ltda")</f>
        <v>Consumer Soluções Em Tecnologia Ltda</v>
      </c>
      <c r="N9432" s="33">
        <f>IFERROR(__xludf.DUMMYFUNCTION("""COMPUTED_VALUE"""),1.0)</f>
        <v>1</v>
      </c>
      <c r="O9432" s="4" t="str">
        <f>IFERROR(__xludf.DUMMYFUNCTION("""COMPUTED_VALUE"""),"null")</f>
        <v>null</v>
      </c>
      <c r="P9432" s="33">
        <f>IFERROR(__xludf.DUMMYFUNCTION("""COMPUTED_VALUE"""),1.0)</f>
        <v>1</v>
      </c>
      <c r="Q9432" s="4" t="str">
        <f>IFERROR(__xludf.DUMMYFUNCTION("""COMPUTED_VALUE"""),"Consumer Soluções Em Tecnologia Ltda")</f>
        <v>Consumer Soluções Em Tecnologia Ltda</v>
      </c>
      <c r="R9432" s="33">
        <f>IFERROR(__xludf.DUMMYFUNCTION("""COMPUTED_VALUE"""),1.0)</f>
        <v>1</v>
      </c>
      <c r="S9432" s="4" t="str">
        <f>IFERROR(__xludf.DUMMYFUNCTION("""COMPUTED_VALUE"""),"null")</f>
        <v>null</v>
      </c>
      <c r="T9432" s="33">
        <f>IFERROR(__xludf.DUMMYFUNCTION("""COMPUTED_VALUE"""),1.0)</f>
        <v>1</v>
      </c>
      <c r="U9432" s="4" t="str">
        <f>IFERROR(__xludf.DUMMYFUNCTION("""COMPUTED_VALUE"""),"null")</f>
        <v>null</v>
      </c>
      <c r="V9432" s="33">
        <f>IFERROR(__xludf.DUMMYFUNCTION("""COMPUTED_VALUE"""),1.0)</f>
        <v>1</v>
      </c>
      <c r="W9432" s="4" t="str">
        <f>IFERROR(__xludf.DUMMYFUNCTION("""COMPUTED_VALUE"""),"Consumer Soluções Em Tecnologia Ltda")</f>
        <v>Consumer Soluções Em Tecnologia Ltda</v>
      </c>
      <c r="X9432" s="33">
        <f>IFERROR(__xludf.DUMMYFUNCTION("""COMPUTED_VALUE"""),1.0)</f>
        <v>1</v>
      </c>
    </row>
    <row r="9433">
      <c r="K9433" s="4" t="str">
        <f>IFERROR(__xludf.DUMMYFUNCTION("""COMPUTED_VALUE"""),"VOSSO ACAI")</f>
        <v>VOSSO ACAI</v>
      </c>
      <c r="L9433" s="32">
        <f>IFERROR(__xludf.DUMMYFUNCTION("""COMPUTED_VALUE"""),1.0)</f>
        <v>1</v>
      </c>
      <c r="M9433" s="4" t="str">
        <f>IFERROR(__xludf.DUMMYFUNCTION("""COMPUTED_VALUE"""),"Anota Ai Solucoes Digitais S/a")</f>
        <v>Anota Ai Solucoes Digitais S/a</v>
      </c>
      <c r="N9433" s="33">
        <f>IFERROR(__xludf.DUMMYFUNCTION("""COMPUTED_VALUE"""),1.0)</f>
        <v>1</v>
      </c>
      <c r="O9433" s="4" t="str">
        <f>IFERROR(__xludf.DUMMYFUNCTION("""COMPUTED_VALUE"""),"Anota Ai Solucoes Digitais S/a")</f>
        <v>Anota Ai Solucoes Digitais S/a</v>
      </c>
      <c r="P9433" s="33">
        <f>IFERROR(__xludf.DUMMYFUNCTION("""COMPUTED_VALUE"""),1.0)</f>
        <v>1</v>
      </c>
      <c r="Q9433" s="4" t="str">
        <f>IFERROR(__xludf.DUMMYFUNCTION("""COMPUTED_VALUE"""),"Saipos Serviços De Software")</f>
        <v>Saipos Serviços De Software</v>
      </c>
      <c r="R9433" s="33">
        <f>IFERROR(__xludf.DUMMYFUNCTION("""COMPUTED_VALUE"""),1.0)</f>
        <v>1</v>
      </c>
      <c r="S9433" s="4" t="str">
        <f>IFERROR(__xludf.DUMMYFUNCTION("""COMPUTED_VALUE"""),"Saipos Serviços De Software")</f>
        <v>Saipos Serviços De Software</v>
      </c>
      <c r="T9433" s="33">
        <f>IFERROR(__xludf.DUMMYFUNCTION("""COMPUTED_VALUE"""),1.0)</f>
        <v>1</v>
      </c>
      <c r="U9433" s="4" t="str">
        <f>IFERROR(__xludf.DUMMYFUNCTION("""COMPUTED_VALUE"""),"Saipos Serviços De Software")</f>
        <v>Saipos Serviços De Software</v>
      </c>
      <c r="V9433" s="33">
        <f>IFERROR(__xludf.DUMMYFUNCTION("""COMPUTED_VALUE"""),1.0)</f>
        <v>1</v>
      </c>
      <c r="W9433" s="4" t="str">
        <f>IFERROR(__xludf.DUMMYFUNCTION("""COMPUTED_VALUE"""),"Saipos Serviços De Software")</f>
        <v>Saipos Serviços De Software</v>
      </c>
      <c r="X9433" s="33">
        <f>IFERROR(__xludf.DUMMYFUNCTION("""COMPUTED_VALUE"""),1.0)</f>
        <v>1</v>
      </c>
    </row>
    <row r="9434">
      <c r="K9434" s="4" t="str">
        <f>IFERROR(__xludf.DUMMYFUNCTION("""COMPUTED_VALUE"""),"BELLS - BURRITOS - TACO - MEXICANA")</f>
        <v>BELLS - BURRITOS - TACO - MEXICANA</v>
      </c>
      <c r="L9434" s="32">
        <f>IFERROR(__xludf.DUMMYFUNCTION("""COMPUTED_VALUE"""),1.0)</f>
        <v>1</v>
      </c>
      <c r="M9434" s="4" t="str">
        <f>IFERROR(__xludf.DUMMYFUNCTION("""COMPUTED_VALUE"""),"Oz Technology")</f>
        <v>Oz Technology</v>
      </c>
      <c r="N9434" s="33">
        <f>IFERROR(__xludf.DUMMYFUNCTION("""COMPUTED_VALUE"""),1.0)</f>
        <v>1</v>
      </c>
      <c r="O9434" s="4" t="str">
        <f>IFERROR(__xludf.DUMMYFUNCTION("""COMPUTED_VALUE"""),"Oz Technology")</f>
        <v>Oz Technology</v>
      </c>
      <c r="P9434" s="33">
        <f>IFERROR(__xludf.DUMMYFUNCTION("""COMPUTED_VALUE"""),1.0)</f>
        <v>1</v>
      </c>
      <c r="Q9434" s="4" t="str">
        <f>IFERROR(__xludf.DUMMYFUNCTION("""COMPUTED_VALUE"""),"null")</f>
        <v>null</v>
      </c>
      <c r="R9434" s="33">
        <f>IFERROR(__xludf.DUMMYFUNCTION("""COMPUTED_VALUE"""),1.0)</f>
        <v>1</v>
      </c>
      <c r="S9434" s="4" t="str">
        <f>IFERROR(__xludf.DUMMYFUNCTION("""COMPUTED_VALUE"""),"Oz Technology")</f>
        <v>Oz Technology</v>
      </c>
      <c r="T9434" s="33">
        <f>IFERROR(__xludf.DUMMYFUNCTION("""COMPUTED_VALUE"""),1.0)</f>
        <v>1</v>
      </c>
      <c r="U9434" s="4" t="str">
        <f>IFERROR(__xludf.DUMMYFUNCTION("""COMPUTED_VALUE"""),"null")</f>
        <v>null</v>
      </c>
      <c r="V9434" s="33">
        <f>IFERROR(__xludf.DUMMYFUNCTION("""COMPUTED_VALUE"""),1.0)</f>
        <v>1</v>
      </c>
      <c r="W9434" s="4" t="str">
        <f>IFERROR(__xludf.DUMMYFUNCTION("""COMPUTED_VALUE"""),"Saipos Serviços De Software")</f>
        <v>Saipos Serviços De Software</v>
      </c>
      <c r="X9434" s="33">
        <f>IFERROR(__xludf.DUMMYFUNCTION("""COMPUTED_VALUE"""),1.0)</f>
        <v>1</v>
      </c>
    </row>
    <row r="9435">
      <c r="K9435" s="4" t="str">
        <f>IFERROR(__xludf.DUMMYFUNCTION("""COMPUTED_VALUE"""),"LHAMAS SUSHI")</f>
        <v>LHAMAS SUSHI</v>
      </c>
      <c r="L9435" s="32">
        <f>IFERROR(__xludf.DUMMYFUNCTION("""COMPUTED_VALUE"""),1.0)</f>
        <v>1</v>
      </c>
      <c r="M9435" s="4" t="str">
        <f>IFERROR(__xludf.DUMMYFUNCTION("""COMPUTED_VALUE"""),"Instadelivery")</f>
        <v>Instadelivery</v>
      </c>
      <c r="N9435" s="33">
        <f>IFERROR(__xludf.DUMMYFUNCTION("""COMPUTED_VALUE"""),1.0)</f>
        <v>1</v>
      </c>
      <c r="O9435" s="4" t="str">
        <f>IFERROR(__xludf.DUMMYFUNCTION("""COMPUTED_VALUE"""),"Instadelivery")</f>
        <v>Instadelivery</v>
      </c>
      <c r="P9435" s="33">
        <f>IFERROR(__xludf.DUMMYFUNCTION("""COMPUTED_VALUE"""),1.0)</f>
        <v>1</v>
      </c>
      <c r="Q9435" s="4" t="str">
        <f>IFERROR(__xludf.DUMMYFUNCTION("""COMPUTED_VALUE"""),"Instadelivery")</f>
        <v>Instadelivery</v>
      </c>
      <c r="R9435" s="33">
        <f>IFERROR(__xludf.DUMMYFUNCTION("""COMPUTED_VALUE"""),1.0)</f>
        <v>1</v>
      </c>
      <c r="S9435" s="4" t="str">
        <f>IFERROR(__xludf.DUMMYFUNCTION("""COMPUTED_VALUE"""),"Cardápio Web")</f>
        <v>Cardápio Web</v>
      </c>
      <c r="T9435" s="33">
        <f>IFERROR(__xludf.DUMMYFUNCTION("""COMPUTED_VALUE"""),1.0)</f>
        <v>1</v>
      </c>
      <c r="U9435" s="4" t="str">
        <f>IFERROR(__xludf.DUMMYFUNCTION("""COMPUTED_VALUE"""),"Cardápio Web")</f>
        <v>Cardápio Web</v>
      </c>
      <c r="V9435" s="33">
        <f>IFERROR(__xludf.DUMMYFUNCTION("""COMPUTED_VALUE"""),1.0)</f>
        <v>1</v>
      </c>
      <c r="W9435" s="4" t="str">
        <f>IFERROR(__xludf.DUMMYFUNCTION("""COMPUTED_VALUE"""),"Cardápio Web")</f>
        <v>Cardápio Web</v>
      </c>
      <c r="X9435" s="33">
        <f>IFERROR(__xludf.DUMMYFUNCTION("""COMPUTED_VALUE"""),1.0)</f>
        <v>1</v>
      </c>
    </row>
    <row r="9436">
      <c r="K9436" s="4" t="str">
        <f>IFERROR(__xludf.DUMMYFUNCTION("""COMPUTED_VALUE"""),"OTODOKE COMERCIO DE ALIMENTOS LTDA")</f>
        <v>OTODOKE COMERCIO DE ALIMENTOS LTDA</v>
      </c>
      <c r="L9436" s="32">
        <f>IFERROR(__xludf.DUMMYFUNCTION("""COMPUTED_VALUE"""),1.0)</f>
        <v>1</v>
      </c>
      <c r="M9436" s="4" t="str">
        <f>IFERROR(__xludf.DUMMYFUNCTION("""COMPUTED_VALUE"""),"Menew - Linx")</f>
        <v>Menew - Linx</v>
      </c>
      <c r="N9436" s="33">
        <f>IFERROR(__xludf.DUMMYFUNCTION("""COMPUTED_VALUE"""),1.0)</f>
        <v>1</v>
      </c>
      <c r="O9436" s="4" t="str">
        <f>IFERROR(__xludf.DUMMYFUNCTION("""COMPUTED_VALUE"""),"null")</f>
        <v>null</v>
      </c>
      <c r="P9436" s="33">
        <f>IFERROR(__xludf.DUMMYFUNCTION("""COMPUTED_VALUE"""),1.0)</f>
        <v>1</v>
      </c>
      <c r="Q9436" s="4" t="str">
        <f>IFERROR(__xludf.DUMMYFUNCTION("""COMPUTED_VALUE"""),"null")</f>
        <v>null</v>
      </c>
      <c r="R9436" s="33">
        <f>IFERROR(__xludf.DUMMYFUNCTION("""COMPUTED_VALUE"""),1.0)</f>
        <v>1</v>
      </c>
      <c r="S9436" s="4" t="str">
        <f>IFERROR(__xludf.DUMMYFUNCTION("""COMPUTED_VALUE"""),"null")</f>
        <v>null</v>
      </c>
      <c r="T9436" s="33">
        <f>IFERROR(__xludf.DUMMYFUNCTION("""COMPUTED_VALUE"""),1.0)</f>
        <v>1</v>
      </c>
      <c r="U9436" s="4" t="str">
        <f>IFERROR(__xludf.DUMMYFUNCTION("""COMPUTED_VALUE"""),"null")</f>
        <v>null</v>
      </c>
      <c r="V9436" s="33">
        <f>IFERROR(__xludf.DUMMYFUNCTION("""COMPUTED_VALUE"""),1.0)</f>
        <v>1</v>
      </c>
      <c r="W9436" s="4" t="str">
        <f>IFERROR(__xludf.DUMMYFUNCTION("""COMPUTED_VALUE"""),"null")</f>
        <v>null</v>
      </c>
      <c r="X9436" s="33">
        <f>IFERROR(__xludf.DUMMYFUNCTION("""COMPUTED_VALUE"""),1.0)</f>
        <v>1</v>
      </c>
    </row>
    <row r="9437">
      <c r="K9437" s="4" t="str">
        <f>IFERROR(__xludf.DUMMYFUNCTION("""COMPUTED_VALUE"""),"DON GABRIEL PIZZARIA")</f>
        <v>DON GABRIEL PIZZARIA</v>
      </c>
      <c r="L9437" s="32">
        <f>IFERROR(__xludf.DUMMYFUNCTION("""COMPUTED_VALUE"""),1.0)</f>
        <v>1</v>
      </c>
      <c r="M9437" s="4" t="str">
        <f>IFERROR(__xludf.DUMMYFUNCTION("""COMPUTED_VALUE"""),"M-du Tecnologia")</f>
        <v>M-du Tecnologia</v>
      </c>
      <c r="N9437" s="33">
        <f>IFERROR(__xludf.DUMMYFUNCTION("""COMPUTED_VALUE"""),1.0)</f>
        <v>1</v>
      </c>
      <c r="O9437" s="4" t="str">
        <f>IFERROR(__xludf.DUMMYFUNCTION("""COMPUTED_VALUE"""),"M-du Tecnologia")</f>
        <v>M-du Tecnologia</v>
      </c>
      <c r="P9437" s="33">
        <f>IFERROR(__xludf.DUMMYFUNCTION("""COMPUTED_VALUE"""),1.0)</f>
        <v>1</v>
      </c>
      <c r="Q9437" s="4" t="str">
        <f>IFERROR(__xludf.DUMMYFUNCTION("""COMPUTED_VALUE"""),"M-du Tecnologia")</f>
        <v>M-du Tecnologia</v>
      </c>
      <c r="R9437" s="33">
        <f>IFERROR(__xludf.DUMMYFUNCTION("""COMPUTED_VALUE"""),1.0)</f>
        <v>1</v>
      </c>
      <c r="S9437" s="4" t="str">
        <f>IFERROR(__xludf.DUMMYFUNCTION("""COMPUTED_VALUE"""),"M-du Tecnologia")</f>
        <v>M-du Tecnologia</v>
      </c>
      <c r="T9437" s="33">
        <f>IFERROR(__xludf.DUMMYFUNCTION("""COMPUTED_VALUE"""),1.0)</f>
        <v>1</v>
      </c>
      <c r="U9437" s="4" t="str">
        <f>IFERROR(__xludf.DUMMYFUNCTION("""COMPUTED_VALUE"""),"M-du Tecnologia")</f>
        <v>M-du Tecnologia</v>
      </c>
      <c r="V9437" s="33">
        <f>IFERROR(__xludf.DUMMYFUNCTION("""COMPUTED_VALUE"""),1.0)</f>
        <v>1</v>
      </c>
      <c r="W9437" s="4" t="str">
        <f>IFERROR(__xludf.DUMMYFUNCTION("""COMPUTED_VALUE"""),"M-du Tecnologia")</f>
        <v>M-du Tecnologia</v>
      </c>
      <c r="X9437" s="33">
        <f>IFERROR(__xludf.DUMMYFUNCTION("""COMPUTED_VALUE"""),1.0)</f>
        <v>1</v>
      </c>
    </row>
    <row r="9438">
      <c r="K9438" s="4" t="str">
        <f>IFERROR(__xludf.DUMMYFUNCTION("""COMPUTED_VALUE"""),"PIZZARIA DO RAPHA")</f>
        <v>PIZZARIA DO RAPHA</v>
      </c>
      <c r="L9438" s="32">
        <f>IFERROR(__xludf.DUMMYFUNCTION("""COMPUTED_VALUE"""),1.0)</f>
        <v>1</v>
      </c>
      <c r="M9438" s="4" t="str">
        <f>IFERROR(__xludf.DUMMYFUNCTION("""COMPUTED_VALUE"""),"Yooga")</f>
        <v>Yooga</v>
      </c>
      <c r="N9438" s="33">
        <f>IFERROR(__xludf.DUMMYFUNCTION("""COMPUTED_VALUE"""),1.0)</f>
        <v>1</v>
      </c>
      <c r="O9438" s="4" t="str">
        <f>IFERROR(__xludf.DUMMYFUNCTION("""COMPUTED_VALUE"""),"Yooga")</f>
        <v>Yooga</v>
      </c>
      <c r="P9438" s="33">
        <f>IFERROR(__xludf.DUMMYFUNCTION("""COMPUTED_VALUE"""),1.0)</f>
        <v>1</v>
      </c>
      <c r="Q9438" s="4" t="str">
        <f>IFERROR(__xludf.DUMMYFUNCTION("""COMPUTED_VALUE"""),"Yooga")</f>
        <v>Yooga</v>
      </c>
      <c r="R9438" s="33">
        <f>IFERROR(__xludf.DUMMYFUNCTION("""COMPUTED_VALUE"""),1.0)</f>
        <v>1</v>
      </c>
      <c r="S9438" s="4" t="str">
        <f>IFERROR(__xludf.DUMMYFUNCTION("""COMPUTED_VALUE"""),"Yooga")</f>
        <v>Yooga</v>
      </c>
      <c r="T9438" s="33">
        <f>IFERROR(__xludf.DUMMYFUNCTION("""COMPUTED_VALUE"""),1.0)</f>
        <v>1</v>
      </c>
      <c r="U9438" s="4" t="str">
        <f>IFERROR(__xludf.DUMMYFUNCTION("""COMPUTED_VALUE"""),"Yooga")</f>
        <v>Yooga</v>
      </c>
      <c r="V9438" s="33">
        <f>IFERROR(__xludf.DUMMYFUNCTION("""COMPUTED_VALUE"""),1.0)</f>
        <v>1</v>
      </c>
      <c r="W9438" s="4" t="str">
        <f>IFERROR(__xludf.DUMMYFUNCTION("""COMPUTED_VALUE"""),"Yooga")</f>
        <v>Yooga</v>
      </c>
      <c r="X9438" s="33">
        <f>IFERROR(__xludf.DUMMYFUNCTION("""COMPUTED_VALUE"""),1.0)</f>
        <v>1</v>
      </c>
    </row>
    <row r="9439">
      <c r="K9439" s="4" t="str">
        <f>IFERROR(__xludf.DUMMYFUNCTION("""COMPUTED_VALUE"""),"ESPETO DO GATINHO")</f>
        <v>ESPETO DO GATINHO</v>
      </c>
      <c r="L9439" s="32">
        <f>IFERROR(__xludf.DUMMYFUNCTION("""COMPUTED_VALUE"""),1.0)</f>
        <v>1</v>
      </c>
      <c r="M9439" s="4" t="str">
        <f>IFERROR(__xludf.DUMMYFUNCTION("""COMPUTED_VALUE"""),"Work Soft Comercio De Informatica E Serviços Eireli - Me")</f>
        <v>Work Soft Comercio De Informatica E Serviços Eireli - Me</v>
      </c>
      <c r="N9439" s="33">
        <f>IFERROR(__xludf.DUMMYFUNCTION("""COMPUTED_VALUE"""),1.0)</f>
        <v>1</v>
      </c>
      <c r="O9439" s="4" t="str">
        <f>IFERROR(__xludf.DUMMYFUNCTION("""COMPUTED_VALUE"""),"Work Soft Comercio De Informatica E Serviços Eireli - Me")</f>
        <v>Work Soft Comercio De Informatica E Serviços Eireli - Me</v>
      </c>
      <c r="P9439" s="33">
        <f>IFERROR(__xludf.DUMMYFUNCTION("""COMPUTED_VALUE"""),1.0)</f>
        <v>1</v>
      </c>
      <c r="Q9439" s="4" t="str">
        <f>IFERROR(__xludf.DUMMYFUNCTION("""COMPUTED_VALUE"""),"Work Soft Comercio De Informatica E Serviços Eireli - Me")</f>
        <v>Work Soft Comercio De Informatica E Serviços Eireli - Me</v>
      </c>
      <c r="R9439" s="33">
        <f>IFERROR(__xludf.DUMMYFUNCTION("""COMPUTED_VALUE"""),1.0)</f>
        <v>1</v>
      </c>
      <c r="S9439" s="4" t="str">
        <f>IFERROR(__xludf.DUMMYFUNCTION("""COMPUTED_VALUE"""),"Work Soft Comercio De Informatica E Serviços Eireli - Me")</f>
        <v>Work Soft Comercio De Informatica E Serviços Eireli - Me</v>
      </c>
      <c r="T9439" s="33">
        <f>IFERROR(__xludf.DUMMYFUNCTION("""COMPUTED_VALUE"""),1.0)</f>
        <v>1</v>
      </c>
      <c r="U9439" s="4" t="str">
        <f>IFERROR(__xludf.DUMMYFUNCTION("""COMPUTED_VALUE"""),"Work Soft Comercio De Informatica E Serviços Eireli - Me")</f>
        <v>Work Soft Comercio De Informatica E Serviços Eireli - Me</v>
      </c>
      <c r="V9439" s="33">
        <f>IFERROR(__xludf.DUMMYFUNCTION("""COMPUTED_VALUE"""),1.0)</f>
        <v>1</v>
      </c>
      <c r="W9439" s="4" t="str">
        <f>IFERROR(__xludf.DUMMYFUNCTION("""COMPUTED_VALUE"""),"Work Soft Comercio De Informatica E Serviços Eireli - Me")</f>
        <v>Work Soft Comercio De Informatica E Serviços Eireli - Me</v>
      </c>
      <c r="X9439" s="33">
        <f>IFERROR(__xludf.DUMMYFUNCTION("""COMPUTED_VALUE"""),1.0)</f>
        <v>1</v>
      </c>
    </row>
    <row r="9440">
      <c r="K9440" s="4" t="str">
        <f>IFERROR(__xludf.DUMMYFUNCTION("""COMPUTED_VALUE"""),"RESTAURANTE FLOR DE ARROZ ATELIE")</f>
        <v>RESTAURANTE FLOR DE ARROZ ATELIE</v>
      </c>
      <c r="L9440" s="32">
        <f>IFERROR(__xludf.DUMMYFUNCTION("""COMPUTED_VALUE"""),1.0)</f>
        <v>1</v>
      </c>
      <c r="M9440" s="4" t="str">
        <f>IFERROR(__xludf.DUMMYFUNCTION("""COMPUTED_VALUE"""),"Consumer Soluções Em Tecnologia Ltda")</f>
        <v>Consumer Soluções Em Tecnologia Ltda</v>
      </c>
      <c r="N9440" s="33">
        <f>IFERROR(__xludf.DUMMYFUNCTION("""COMPUTED_VALUE"""),1.0)</f>
        <v>1</v>
      </c>
      <c r="O9440" s="4" t="str">
        <f>IFERROR(__xludf.DUMMYFUNCTION("""COMPUTED_VALUE"""),"null")</f>
        <v>null</v>
      </c>
      <c r="P9440" s="33">
        <f>IFERROR(__xludf.DUMMYFUNCTION("""COMPUTED_VALUE"""),1.0)</f>
        <v>1</v>
      </c>
      <c r="Q9440" s="4" t="str">
        <f>IFERROR(__xludf.DUMMYFUNCTION("""COMPUTED_VALUE"""),"null")</f>
        <v>null</v>
      </c>
      <c r="R9440" s="33">
        <f>IFERROR(__xludf.DUMMYFUNCTION("""COMPUTED_VALUE"""),1.0)</f>
        <v>1</v>
      </c>
      <c r="S9440" s="4" t="str">
        <f>IFERROR(__xludf.DUMMYFUNCTION("""COMPUTED_VALUE"""),"null")</f>
        <v>null</v>
      </c>
      <c r="T9440" s="33">
        <f>IFERROR(__xludf.DUMMYFUNCTION("""COMPUTED_VALUE"""),1.0)</f>
        <v>1</v>
      </c>
      <c r="U9440" s="4" t="str">
        <f>IFERROR(__xludf.DUMMYFUNCTION("""COMPUTED_VALUE"""),"null")</f>
        <v>null</v>
      </c>
      <c r="V9440" s="33">
        <f>IFERROR(__xludf.DUMMYFUNCTION("""COMPUTED_VALUE"""),1.0)</f>
        <v>1</v>
      </c>
      <c r="W9440" s="4" t="str">
        <f>IFERROR(__xludf.DUMMYFUNCTION("""COMPUTED_VALUE"""),"null")</f>
        <v>null</v>
      </c>
      <c r="X9440" s="33">
        <f>IFERROR(__xludf.DUMMYFUNCTION("""COMPUTED_VALUE"""),1.0)</f>
        <v>1</v>
      </c>
    </row>
    <row r="9441">
      <c r="K9441" s="4" t="str">
        <f>IFERROR(__xludf.DUMMYFUNCTION("""COMPUTED_VALUE"""),"L L LANCHES HAMBURGUERIA ACAITERIA")</f>
        <v>L L LANCHES HAMBURGUERIA ACAITERIA</v>
      </c>
      <c r="L9441" s="32">
        <f>IFERROR(__xludf.DUMMYFUNCTION("""COMPUTED_VALUE"""),1.0)</f>
        <v>1</v>
      </c>
      <c r="M9441" s="4" t="str">
        <f>IFERROR(__xludf.DUMMYFUNCTION("""COMPUTED_VALUE"""),"Instadelivery")</f>
        <v>Instadelivery</v>
      </c>
      <c r="N9441" s="33">
        <f>IFERROR(__xludf.DUMMYFUNCTION("""COMPUTED_VALUE"""),1.0)</f>
        <v>1</v>
      </c>
      <c r="O9441" s="4" t="str">
        <f>IFERROR(__xludf.DUMMYFUNCTION("""COMPUTED_VALUE"""),"Instadelivery")</f>
        <v>Instadelivery</v>
      </c>
      <c r="P9441" s="33">
        <f>IFERROR(__xludf.DUMMYFUNCTION("""COMPUTED_VALUE"""),1.0)</f>
        <v>1</v>
      </c>
      <c r="Q9441" s="4" t="str">
        <f>IFERROR(__xludf.DUMMYFUNCTION("""COMPUTED_VALUE"""),"Instadelivery")</f>
        <v>Instadelivery</v>
      </c>
      <c r="R9441" s="33">
        <f>IFERROR(__xludf.DUMMYFUNCTION("""COMPUTED_VALUE"""),1.0)</f>
        <v>1</v>
      </c>
      <c r="S9441" s="4" t="str">
        <f>IFERROR(__xludf.DUMMYFUNCTION("""COMPUTED_VALUE"""),"Instadelivery")</f>
        <v>Instadelivery</v>
      </c>
      <c r="T9441" s="33">
        <f>IFERROR(__xludf.DUMMYFUNCTION("""COMPUTED_VALUE"""),1.0)</f>
        <v>1</v>
      </c>
      <c r="U9441" s="4" t="str">
        <f>IFERROR(__xludf.DUMMYFUNCTION("""COMPUTED_VALUE"""),"Instadelivery")</f>
        <v>Instadelivery</v>
      </c>
      <c r="V9441" s="33">
        <f>IFERROR(__xludf.DUMMYFUNCTION("""COMPUTED_VALUE"""),1.0)</f>
        <v>1</v>
      </c>
      <c r="W9441" s="4" t="str">
        <f>IFERROR(__xludf.DUMMYFUNCTION("""COMPUTED_VALUE"""),"null")</f>
        <v>null</v>
      </c>
      <c r="X9441" s="33">
        <f>IFERROR(__xludf.DUMMYFUNCTION("""COMPUTED_VALUE"""),1.0)</f>
        <v>1</v>
      </c>
    </row>
    <row r="9442">
      <c r="K9442" s="4" t="str">
        <f>IFERROR(__xludf.DUMMYFUNCTION("""COMPUTED_VALUE"""),"DIB ESFIHA E PIZZARIA")</f>
        <v>DIB ESFIHA E PIZZARIA</v>
      </c>
      <c r="L9442" s="32">
        <f>IFERROR(__xludf.DUMMYFUNCTION("""COMPUTED_VALUE"""),1.0)</f>
        <v>1</v>
      </c>
      <c r="M9442" s="4" t="str">
        <f>IFERROR(__xludf.DUMMYFUNCTION("""COMPUTED_VALUE"""),"Eclética Tecnologia")</f>
        <v>Eclética Tecnologia</v>
      </c>
      <c r="N9442" s="33">
        <f>IFERROR(__xludf.DUMMYFUNCTION("""COMPUTED_VALUE"""),1.0)</f>
        <v>1</v>
      </c>
      <c r="O9442" s="4" t="str">
        <f>IFERROR(__xludf.DUMMYFUNCTION("""COMPUTED_VALUE"""),"Eclética Tecnologia")</f>
        <v>Eclética Tecnologia</v>
      </c>
      <c r="P9442" s="33">
        <f>IFERROR(__xludf.DUMMYFUNCTION("""COMPUTED_VALUE"""),1.0)</f>
        <v>1</v>
      </c>
      <c r="Q9442" s="4" t="str">
        <f>IFERROR(__xludf.DUMMYFUNCTION("""COMPUTED_VALUE"""),"Eclética Tecnologia")</f>
        <v>Eclética Tecnologia</v>
      </c>
      <c r="R9442" s="33">
        <f>IFERROR(__xludf.DUMMYFUNCTION("""COMPUTED_VALUE"""),1.0)</f>
        <v>1</v>
      </c>
      <c r="S9442" s="4" t="str">
        <f>IFERROR(__xludf.DUMMYFUNCTION("""COMPUTED_VALUE"""),"Eclética Tecnologia")</f>
        <v>Eclética Tecnologia</v>
      </c>
      <c r="T9442" s="33">
        <f>IFERROR(__xludf.DUMMYFUNCTION("""COMPUTED_VALUE"""),1.0)</f>
        <v>1</v>
      </c>
      <c r="U9442" s="4" t="str">
        <f>IFERROR(__xludf.DUMMYFUNCTION("""COMPUTED_VALUE"""),"Eclética Tecnologia")</f>
        <v>Eclética Tecnologia</v>
      </c>
      <c r="V9442" s="33">
        <f>IFERROR(__xludf.DUMMYFUNCTION("""COMPUTED_VALUE"""),1.0)</f>
        <v>1</v>
      </c>
      <c r="W9442" s="4" t="str">
        <f>IFERROR(__xludf.DUMMYFUNCTION("""COMPUTED_VALUE"""),"Eclética Tecnologia")</f>
        <v>Eclética Tecnologia</v>
      </c>
      <c r="X9442" s="33">
        <f>IFERROR(__xludf.DUMMYFUNCTION("""COMPUTED_VALUE"""),1.0)</f>
        <v>1</v>
      </c>
    </row>
    <row r="9443">
      <c r="K9443" s="4" t="str">
        <f>IFERROR(__xludf.DUMMYFUNCTION("""COMPUTED_VALUE"""),"BRIE RESTAURANTE ROTISSERIE")</f>
        <v>BRIE RESTAURANTE ROTISSERIE</v>
      </c>
      <c r="L9443" s="32">
        <f>IFERROR(__xludf.DUMMYFUNCTION("""COMPUTED_VALUE"""),1.0)</f>
        <v>1</v>
      </c>
      <c r="M9443" s="4" t="str">
        <f>IFERROR(__xludf.DUMMYFUNCTION("""COMPUTED_VALUE"""),"Starway Sistemas")</f>
        <v>Starway Sistemas</v>
      </c>
      <c r="N9443" s="33">
        <f>IFERROR(__xludf.DUMMYFUNCTION("""COMPUTED_VALUE"""),1.0)</f>
        <v>1</v>
      </c>
      <c r="O9443" s="4" t="str">
        <f>IFERROR(__xludf.DUMMYFUNCTION("""COMPUTED_VALUE"""),"Starway Sistemas")</f>
        <v>Starway Sistemas</v>
      </c>
      <c r="P9443" s="33">
        <f>IFERROR(__xludf.DUMMYFUNCTION("""COMPUTED_VALUE"""),1.0)</f>
        <v>1</v>
      </c>
      <c r="Q9443" s="4" t="str">
        <f>IFERROR(__xludf.DUMMYFUNCTION("""COMPUTED_VALUE"""),"Starway Sistemas")</f>
        <v>Starway Sistemas</v>
      </c>
      <c r="R9443" s="33">
        <f>IFERROR(__xludf.DUMMYFUNCTION("""COMPUTED_VALUE"""),1.0)</f>
        <v>1</v>
      </c>
      <c r="S9443" s="4" t="str">
        <f>IFERROR(__xludf.DUMMYFUNCTION("""COMPUTED_VALUE"""),"Starway Sistemas")</f>
        <v>Starway Sistemas</v>
      </c>
      <c r="T9443" s="33">
        <f>IFERROR(__xludf.DUMMYFUNCTION("""COMPUTED_VALUE"""),1.0)</f>
        <v>1</v>
      </c>
      <c r="U9443" s="4" t="str">
        <f>IFERROR(__xludf.DUMMYFUNCTION("""COMPUTED_VALUE"""),"Starway Sistemas")</f>
        <v>Starway Sistemas</v>
      </c>
      <c r="V9443" s="33">
        <f>IFERROR(__xludf.DUMMYFUNCTION("""COMPUTED_VALUE"""),1.0)</f>
        <v>1</v>
      </c>
      <c r="W9443" s="4" t="str">
        <f>IFERROR(__xludf.DUMMYFUNCTION("""COMPUTED_VALUE"""),"Starway Sistemas")</f>
        <v>Starway Sistemas</v>
      </c>
      <c r="X9443" s="33">
        <f>IFERROR(__xludf.DUMMYFUNCTION("""COMPUTED_VALUE"""),1.0)</f>
        <v>1</v>
      </c>
    </row>
    <row r="9444">
      <c r="K9444" s="4" t="str">
        <f>IFERROR(__xludf.DUMMYFUNCTION("""COMPUTED_VALUE"""),"ALASKA LANCHES")</f>
        <v>ALASKA LANCHES</v>
      </c>
      <c r="L9444" s="32">
        <f>IFERROR(__xludf.DUMMYFUNCTION("""COMPUTED_VALUE"""),1.0)</f>
        <v>1</v>
      </c>
      <c r="M9444" s="4" t="str">
        <f>IFERROR(__xludf.DUMMYFUNCTION("""COMPUTED_VALUE"""),"null")</f>
        <v>null</v>
      </c>
      <c r="N9444" s="33">
        <f>IFERROR(__xludf.DUMMYFUNCTION("""COMPUTED_VALUE"""),1.0)</f>
        <v>1</v>
      </c>
      <c r="O9444" s="4" t="str">
        <f>IFERROR(__xludf.DUMMYFUNCTION("""COMPUTED_VALUE"""),"null")</f>
        <v>null</v>
      </c>
      <c r="P9444" s="33">
        <f>IFERROR(__xludf.DUMMYFUNCTION("""COMPUTED_VALUE"""),1.0)</f>
        <v>1</v>
      </c>
      <c r="Q9444" s="4" t="str">
        <f>IFERROR(__xludf.DUMMYFUNCTION("""COMPUTED_VALUE"""),"null")</f>
        <v>null</v>
      </c>
      <c r="R9444" s="33">
        <f>IFERROR(__xludf.DUMMYFUNCTION("""COMPUTED_VALUE"""),1.0)</f>
        <v>1</v>
      </c>
      <c r="S9444" s="4" t="str">
        <f>IFERROR(__xludf.DUMMYFUNCTION("""COMPUTED_VALUE"""),"null")</f>
        <v>null</v>
      </c>
      <c r="T9444" s="33">
        <f>IFERROR(__xludf.DUMMYFUNCTION("""COMPUTED_VALUE"""),1.0)</f>
        <v>1</v>
      </c>
      <c r="U9444" s="4" t="str">
        <f>IFERROR(__xludf.DUMMYFUNCTION("""COMPUTED_VALUE"""),"Instadelivery")</f>
        <v>Instadelivery</v>
      </c>
      <c r="V9444" s="33">
        <f>IFERROR(__xludf.DUMMYFUNCTION("""COMPUTED_VALUE"""),1.0)</f>
        <v>1</v>
      </c>
      <c r="W9444" s="4" t="str">
        <f>IFERROR(__xludf.DUMMYFUNCTION("""COMPUTED_VALUE"""),"Instadelivery")</f>
        <v>Instadelivery</v>
      </c>
      <c r="X9444" s="33">
        <f>IFERROR(__xludf.DUMMYFUNCTION("""COMPUTED_VALUE"""),1.0)</f>
        <v>1</v>
      </c>
    </row>
    <row r="9445">
      <c r="K9445" s="4" t="str">
        <f>IFERROR(__xludf.DUMMYFUNCTION("""COMPUTED_VALUE"""),"ACAI DO VILAO")</f>
        <v>ACAI DO VILAO</v>
      </c>
      <c r="L9445" s="32">
        <f>IFERROR(__xludf.DUMMYFUNCTION("""COMPUTED_VALUE"""),1.0)</f>
        <v>1</v>
      </c>
      <c r="M9445" s="4" t="str">
        <f>IFERROR(__xludf.DUMMYFUNCTION("""COMPUTED_VALUE"""),"Anove Tecnologia")</f>
        <v>Anove Tecnologia</v>
      </c>
      <c r="N9445" s="33">
        <f>IFERROR(__xludf.DUMMYFUNCTION("""COMPUTED_VALUE"""),1.0)</f>
        <v>1</v>
      </c>
      <c r="O9445" s="4" t="str">
        <f>IFERROR(__xludf.DUMMYFUNCTION("""COMPUTED_VALUE"""),"Anove Tecnologia")</f>
        <v>Anove Tecnologia</v>
      </c>
      <c r="P9445" s="33">
        <f>IFERROR(__xludf.DUMMYFUNCTION("""COMPUTED_VALUE"""),1.0)</f>
        <v>1</v>
      </c>
      <c r="Q9445" s="4" t="str">
        <f>IFERROR(__xludf.DUMMYFUNCTION("""COMPUTED_VALUE"""),"Anove Tecnologia")</f>
        <v>Anove Tecnologia</v>
      </c>
      <c r="R9445" s="33">
        <f>IFERROR(__xludf.DUMMYFUNCTION("""COMPUTED_VALUE"""),1.0)</f>
        <v>1</v>
      </c>
      <c r="S9445" s="4" t="str">
        <f>IFERROR(__xludf.DUMMYFUNCTION("""COMPUTED_VALUE"""),"Anove Tecnologia")</f>
        <v>Anove Tecnologia</v>
      </c>
      <c r="T9445" s="33">
        <f>IFERROR(__xludf.DUMMYFUNCTION("""COMPUTED_VALUE"""),1.0)</f>
        <v>1</v>
      </c>
      <c r="U9445" s="4" t="str">
        <f>IFERROR(__xludf.DUMMYFUNCTION("""COMPUTED_VALUE"""),"Anove Tecnologia")</f>
        <v>Anove Tecnologia</v>
      </c>
      <c r="V9445" s="33">
        <f>IFERROR(__xludf.DUMMYFUNCTION("""COMPUTED_VALUE"""),1.0)</f>
        <v>1</v>
      </c>
      <c r="W9445" s="4" t="str">
        <f>IFERROR(__xludf.DUMMYFUNCTION("""COMPUTED_VALUE"""),"Anove Tecnologia")</f>
        <v>Anove Tecnologia</v>
      </c>
      <c r="X9445" s="33">
        <f>IFERROR(__xludf.DUMMYFUNCTION("""COMPUTED_VALUE"""),1.0)</f>
        <v>1</v>
      </c>
    </row>
    <row r="9446">
      <c r="K9446" s="4" t="str">
        <f>IFERROR(__xludf.DUMMYFUNCTION("""COMPUTED_VALUE"""),"PASTELARIA SABORELLA")</f>
        <v>PASTELARIA SABORELLA</v>
      </c>
      <c r="L9446" s="32">
        <f>IFERROR(__xludf.DUMMYFUNCTION("""COMPUTED_VALUE"""),1.0)</f>
        <v>1</v>
      </c>
      <c r="M9446" s="4" t="str">
        <f>IFERROR(__xludf.DUMMYFUNCTION("""COMPUTED_VALUE"""),"Yooga")</f>
        <v>Yooga</v>
      </c>
      <c r="N9446" s="33">
        <f>IFERROR(__xludf.DUMMYFUNCTION("""COMPUTED_VALUE"""),1.0)</f>
        <v>1</v>
      </c>
      <c r="O9446" s="4" t="str">
        <f>IFERROR(__xludf.DUMMYFUNCTION("""COMPUTED_VALUE"""),"Yooga")</f>
        <v>Yooga</v>
      </c>
      <c r="P9446" s="33">
        <f>IFERROR(__xludf.DUMMYFUNCTION("""COMPUTED_VALUE"""),1.0)</f>
        <v>1</v>
      </c>
      <c r="Q9446" s="4" t="str">
        <f>IFERROR(__xludf.DUMMYFUNCTION("""COMPUTED_VALUE"""),"Yooga")</f>
        <v>Yooga</v>
      </c>
      <c r="R9446" s="33">
        <f>IFERROR(__xludf.DUMMYFUNCTION("""COMPUTED_VALUE"""),1.0)</f>
        <v>1</v>
      </c>
      <c r="S9446" s="4" t="str">
        <f>IFERROR(__xludf.DUMMYFUNCTION("""COMPUTED_VALUE"""),"Yooga")</f>
        <v>Yooga</v>
      </c>
      <c r="T9446" s="33">
        <f>IFERROR(__xludf.DUMMYFUNCTION("""COMPUTED_VALUE"""),1.0)</f>
        <v>1</v>
      </c>
      <c r="U9446" s="4" t="str">
        <f>IFERROR(__xludf.DUMMYFUNCTION("""COMPUTED_VALUE"""),"Yooga")</f>
        <v>Yooga</v>
      </c>
      <c r="V9446" s="33">
        <f>IFERROR(__xludf.DUMMYFUNCTION("""COMPUTED_VALUE"""),1.0)</f>
        <v>1</v>
      </c>
      <c r="W9446" s="4" t="str">
        <f>IFERROR(__xludf.DUMMYFUNCTION("""COMPUTED_VALUE"""),"Yooga")</f>
        <v>Yooga</v>
      </c>
      <c r="X9446" s="33">
        <f>IFERROR(__xludf.DUMMYFUNCTION("""COMPUTED_VALUE"""),1.0)</f>
        <v>1</v>
      </c>
    </row>
    <row r="9447">
      <c r="K9447" s="4" t="str">
        <f>IFERROR(__xludf.DUMMYFUNCTION("""COMPUTED_VALUE"""),"CHEF SANCHOS - BATATA RECHEADA")</f>
        <v>CHEF SANCHOS - BATATA RECHEADA</v>
      </c>
      <c r="L9447" s="32">
        <f>IFERROR(__xludf.DUMMYFUNCTION("""COMPUTED_VALUE"""),1.0)</f>
        <v>1</v>
      </c>
      <c r="M9447" s="4" t="str">
        <f>IFERROR(__xludf.DUMMYFUNCTION("""COMPUTED_VALUE"""),"Instadelivery")</f>
        <v>Instadelivery</v>
      </c>
      <c r="N9447" s="33">
        <f>IFERROR(__xludf.DUMMYFUNCTION("""COMPUTED_VALUE"""),1.0)</f>
        <v>1</v>
      </c>
      <c r="O9447" s="4" t="str">
        <f>IFERROR(__xludf.DUMMYFUNCTION("""COMPUTED_VALUE"""),"Instadelivery")</f>
        <v>Instadelivery</v>
      </c>
      <c r="P9447" s="33">
        <f>IFERROR(__xludf.DUMMYFUNCTION("""COMPUTED_VALUE"""),1.0)</f>
        <v>1</v>
      </c>
      <c r="Q9447" s="4" t="str">
        <f>IFERROR(__xludf.DUMMYFUNCTION("""COMPUTED_VALUE"""),"Instadelivery")</f>
        <v>Instadelivery</v>
      </c>
      <c r="R9447" s="33">
        <f>IFERROR(__xludf.DUMMYFUNCTION("""COMPUTED_VALUE"""),1.0)</f>
        <v>1</v>
      </c>
      <c r="S9447" s="4" t="str">
        <f>IFERROR(__xludf.DUMMYFUNCTION("""COMPUTED_VALUE"""),"Instadelivery")</f>
        <v>Instadelivery</v>
      </c>
      <c r="T9447" s="33">
        <f>IFERROR(__xludf.DUMMYFUNCTION("""COMPUTED_VALUE"""),1.0)</f>
        <v>1</v>
      </c>
      <c r="U9447" s="4" t="str">
        <f>IFERROR(__xludf.DUMMYFUNCTION("""COMPUTED_VALUE"""),"Instadelivery")</f>
        <v>Instadelivery</v>
      </c>
      <c r="V9447" s="33">
        <f>IFERROR(__xludf.DUMMYFUNCTION("""COMPUTED_VALUE"""),1.0)</f>
        <v>1</v>
      </c>
      <c r="W9447" s="4" t="str">
        <f>IFERROR(__xludf.DUMMYFUNCTION("""COMPUTED_VALUE"""),"Instadelivery")</f>
        <v>Instadelivery</v>
      </c>
      <c r="X9447" s="33">
        <f>IFERROR(__xludf.DUMMYFUNCTION("""COMPUTED_VALUE"""),1.0)</f>
        <v>1</v>
      </c>
    </row>
    <row r="9448">
      <c r="K9448" s="4" t="str">
        <f>IFERROR(__xludf.DUMMYFUNCTION("""COMPUTED_VALUE"""),"SLOW COFFEE - CONFEITARIA E CAFES ESPECIAIS")</f>
        <v>SLOW COFFEE - CONFEITARIA E CAFES ESPECIAIS</v>
      </c>
      <c r="L9448" s="32">
        <f>IFERROR(__xludf.DUMMYFUNCTION("""COMPUTED_VALUE"""),1.0)</f>
        <v>1</v>
      </c>
      <c r="M9448" s="4" t="str">
        <f>IFERROR(__xludf.DUMMYFUNCTION("""COMPUTED_VALUE"""),"Saipos Serviços De Software")</f>
        <v>Saipos Serviços De Software</v>
      </c>
      <c r="N9448" s="33">
        <f>IFERROR(__xludf.DUMMYFUNCTION("""COMPUTED_VALUE"""),1.0)</f>
        <v>1</v>
      </c>
      <c r="O9448" s="4" t="str">
        <f>IFERROR(__xludf.DUMMYFUNCTION("""COMPUTED_VALUE"""),"Saipos Serviços De Software")</f>
        <v>Saipos Serviços De Software</v>
      </c>
      <c r="P9448" s="33">
        <f>IFERROR(__xludf.DUMMYFUNCTION("""COMPUTED_VALUE"""),1.0)</f>
        <v>1</v>
      </c>
      <c r="Q9448" s="4" t="str">
        <f>IFERROR(__xludf.DUMMYFUNCTION("""COMPUTED_VALUE"""),"Saipos Serviços De Software")</f>
        <v>Saipos Serviços De Software</v>
      </c>
      <c r="R9448" s="33">
        <f>IFERROR(__xludf.DUMMYFUNCTION("""COMPUTED_VALUE"""),1.0)</f>
        <v>1</v>
      </c>
      <c r="S9448" s="4" t="str">
        <f>IFERROR(__xludf.DUMMYFUNCTION("""COMPUTED_VALUE"""),"null")</f>
        <v>null</v>
      </c>
      <c r="T9448" s="33">
        <f>IFERROR(__xludf.DUMMYFUNCTION("""COMPUTED_VALUE"""),1.0)</f>
        <v>1</v>
      </c>
      <c r="U9448" s="4" t="str">
        <f>IFERROR(__xludf.DUMMYFUNCTION("""COMPUTED_VALUE"""),"null")</f>
        <v>null</v>
      </c>
      <c r="V9448" s="33">
        <f>IFERROR(__xludf.DUMMYFUNCTION("""COMPUTED_VALUE"""),1.0)</f>
        <v>1</v>
      </c>
      <c r="W9448" s="4" t="str">
        <f>IFERROR(__xludf.DUMMYFUNCTION("""COMPUTED_VALUE"""),"null")</f>
        <v>null</v>
      </c>
      <c r="X9448" s="33">
        <f>IFERROR(__xludf.DUMMYFUNCTION("""COMPUTED_VALUE"""),1.0)</f>
        <v>1</v>
      </c>
    </row>
    <row r="9449">
      <c r="K9449" s="4" t="str">
        <f>IFERROR(__xludf.DUMMYFUNCTION("""COMPUTED_VALUE"""),"LANCHONETE E PIZZARIA DU FILIPI")</f>
        <v>LANCHONETE E PIZZARIA DU FILIPI</v>
      </c>
      <c r="L9449" s="32">
        <f>IFERROR(__xludf.DUMMYFUNCTION("""COMPUTED_VALUE"""),1.0)</f>
        <v>1</v>
      </c>
      <c r="M9449" s="4" t="str">
        <f>IFERROR(__xludf.DUMMYFUNCTION("""COMPUTED_VALUE"""),"Gama Tecnologias Ltda")</f>
        <v>Gama Tecnologias Ltda</v>
      </c>
      <c r="N9449" s="33">
        <f>IFERROR(__xludf.DUMMYFUNCTION("""COMPUTED_VALUE"""),1.0)</f>
        <v>1</v>
      </c>
      <c r="O9449" s="4" t="str">
        <f>IFERROR(__xludf.DUMMYFUNCTION("""COMPUTED_VALUE"""),"Gama Tecnologias Ltda")</f>
        <v>Gama Tecnologias Ltda</v>
      </c>
      <c r="P9449" s="33">
        <f>IFERROR(__xludf.DUMMYFUNCTION("""COMPUTED_VALUE"""),1.0)</f>
        <v>1</v>
      </c>
      <c r="Q9449" s="4" t="str">
        <f>IFERROR(__xludf.DUMMYFUNCTION("""COMPUTED_VALUE"""),"Gama Tecnologias Ltda")</f>
        <v>Gama Tecnologias Ltda</v>
      </c>
      <c r="R9449" s="33">
        <f>IFERROR(__xludf.DUMMYFUNCTION("""COMPUTED_VALUE"""),1.0)</f>
        <v>1</v>
      </c>
      <c r="S9449" s="4" t="str">
        <f>IFERROR(__xludf.DUMMYFUNCTION("""COMPUTED_VALUE"""),"Gama Tecnologias Ltda")</f>
        <v>Gama Tecnologias Ltda</v>
      </c>
      <c r="T9449" s="33">
        <f>IFERROR(__xludf.DUMMYFUNCTION("""COMPUTED_VALUE"""),1.0)</f>
        <v>1</v>
      </c>
      <c r="U9449" s="4" t="str">
        <f>IFERROR(__xludf.DUMMYFUNCTION("""COMPUTED_VALUE"""),"Gama Tecnologias Ltda")</f>
        <v>Gama Tecnologias Ltda</v>
      </c>
      <c r="V9449" s="33">
        <f>IFERROR(__xludf.DUMMYFUNCTION("""COMPUTED_VALUE"""),1.0)</f>
        <v>1</v>
      </c>
      <c r="W9449" s="4" t="str">
        <f>IFERROR(__xludf.DUMMYFUNCTION("""COMPUTED_VALUE"""),"Gama Tecnologias Ltda")</f>
        <v>Gama Tecnologias Ltda</v>
      </c>
      <c r="X9449" s="33">
        <f>IFERROR(__xludf.DUMMYFUNCTION("""COMPUTED_VALUE"""),1.0)</f>
        <v>1</v>
      </c>
    </row>
    <row r="9450">
      <c r="K9450" s="4" t="str">
        <f>IFERROR(__xludf.DUMMYFUNCTION("""COMPUTED_VALUE"""),"AGROMAC")</f>
        <v>AGROMAC</v>
      </c>
      <c r="L9450" s="32">
        <f>IFERROR(__xludf.DUMMYFUNCTION("""COMPUTED_VALUE"""),1.0)</f>
        <v>1</v>
      </c>
      <c r="M9450" s="4" t="str">
        <f>IFERROR(__xludf.DUMMYFUNCTION("""COMPUTED_VALUE"""),"N/A (Not found)")</f>
        <v>N/A (Not found)</v>
      </c>
      <c r="N9450" s="33">
        <f>IFERROR(__xludf.DUMMYFUNCTION("""COMPUTED_VALUE"""),1.0)</f>
        <v>1</v>
      </c>
      <c r="O9450" s="4" t="str">
        <f>IFERROR(__xludf.DUMMYFUNCTION("""COMPUTED_VALUE"""),"N/A (Not found)")</f>
        <v>N/A (Not found)</v>
      </c>
      <c r="P9450" s="33">
        <f>IFERROR(__xludf.DUMMYFUNCTION("""COMPUTED_VALUE"""),1.0)</f>
        <v>1</v>
      </c>
      <c r="Q9450" s="4" t="str">
        <f>IFERROR(__xludf.DUMMYFUNCTION("""COMPUTED_VALUE"""),"N/A (Not found)")</f>
        <v>N/A (Not found)</v>
      </c>
      <c r="R9450" s="33">
        <f>IFERROR(__xludf.DUMMYFUNCTION("""COMPUTED_VALUE"""),1.0)</f>
        <v>1</v>
      </c>
      <c r="S9450" s="4" t="str">
        <f>IFERROR(__xludf.DUMMYFUNCTION("""COMPUTED_VALUE"""),"N/A (Not found)")</f>
        <v>N/A (Not found)</v>
      </c>
      <c r="T9450" s="33">
        <f>IFERROR(__xludf.DUMMYFUNCTION("""COMPUTED_VALUE"""),1.0)</f>
        <v>1</v>
      </c>
      <c r="U9450" s="4" t="str">
        <f>IFERROR(__xludf.DUMMYFUNCTION("""COMPUTED_VALUE"""),"N/A (Not found)")</f>
        <v>N/A (Not found)</v>
      </c>
      <c r="V9450" s="33">
        <f>IFERROR(__xludf.DUMMYFUNCTION("""COMPUTED_VALUE"""),1.0)</f>
        <v>1</v>
      </c>
      <c r="W9450" s="4" t="str">
        <f>IFERROR(__xludf.DUMMYFUNCTION("""COMPUTED_VALUE"""),"N/A (Not found)")</f>
        <v>N/A (Not found)</v>
      </c>
      <c r="X9450" s="33">
        <f>IFERROR(__xludf.DUMMYFUNCTION("""COMPUTED_VALUE"""),1.0)</f>
        <v>1</v>
      </c>
    </row>
    <row r="9451">
      <c r="K9451" s="4" t="str">
        <f>IFERROR(__xludf.DUMMYFUNCTION("""COMPUTED_VALUE"""),"BRODDO - COFFEE, BRUNCH ASIAN FOOD")</f>
        <v>BRODDO - COFFEE, BRUNCH ASIAN FOOD</v>
      </c>
      <c r="L9451" s="32">
        <f>IFERROR(__xludf.DUMMYFUNCTION("""COMPUTED_VALUE"""),1.0)</f>
        <v>1</v>
      </c>
      <c r="M9451" s="4" t="str">
        <f>IFERROR(__xludf.DUMMYFUNCTION("""COMPUTED_VALUE"""),"Consumer Soluções Em Tecnologia Ltda")</f>
        <v>Consumer Soluções Em Tecnologia Ltda</v>
      </c>
      <c r="N9451" s="33">
        <f>IFERROR(__xludf.DUMMYFUNCTION("""COMPUTED_VALUE"""),1.0)</f>
        <v>1</v>
      </c>
      <c r="O9451" s="4" t="str">
        <f>IFERROR(__xludf.DUMMYFUNCTION("""COMPUTED_VALUE"""),"Consumer Soluções Em Tecnologia Ltda")</f>
        <v>Consumer Soluções Em Tecnologia Ltda</v>
      </c>
      <c r="P9451" s="33">
        <f>IFERROR(__xludf.DUMMYFUNCTION("""COMPUTED_VALUE"""),1.0)</f>
        <v>1</v>
      </c>
      <c r="Q9451" s="4" t="str">
        <f>IFERROR(__xludf.DUMMYFUNCTION("""COMPUTED_VALUE"""),"Consumer Soluções Em Tecnologia Ltda")</f>
        <v>Consumer Soluções Em Tecnologia Ltda</v>
      </c>
      <c r="R9451" s="33">
        <f>IFERROR(__xludf.DUMMYFUNCTION("""COMPUTED_VALUE"""),1.0)</f>
        <v>1</v>
      </c>
      <c r="S9451" s="4" t="str">
        <f>IFERROR(__xludf.DUMMYFUNCTION("""COMPUTED_VALUE"""),"Consumer Soluções Em Tecnologia Ltda")</f>
        <v>Consumer Soluções Em Tecnologia Ltda</v>
      </c>
      <c r="T9451" s="33">
        <f>IFERROR(__xludf.DUMMYFUNCTION("""COMPUTED_VALUE"""),1.0)</f>
        <v>1</v>
      </c>
      <c r="U9451" s="4" t="str">
        <f>IFERROR(__xludf.DUMMYFUNCTION("""COMPUTED_VALUE"""),"Consumer Soluções Em Tecnologia Ltda")</f>
        <v>Consumer Soluções Em Tecnologia Ltda</v>
      </c>
      <c r="V9451" s="33">
        <f>IFERROR(__xludf.DUMMYFUNCTION("""COMPUTED_VALUE"""),1.0)</f>
        <v>1</v>
      </c>
      <c r="W9451" s="4" t="str">
        <f>IFERROR(__xludf.DUMMYFUNCTION("""COMPUTED_VALUE"""),"Consumer Soluções Em Tecnologia Ltda")</f>
        <v>Consumer Soluções Em Tecnologia Ltda</v>
      </c>
      <c r="X9451" s="33">
        <f>IFERROR(__xludf.DUMMYFUNCTION("""COMPUTED_VALUE"""),1.0)</f>
        <v>1</v>
      </c>
    </row>
    <row r="9452">
      <c r="K9452" s="4" t="str">
        <f>IFERROR(__xludf.DUMMYFUNCTION("""COMPUTED_VALUE"""),"PIT STOP LANCHES E RESTAURANTE")</f>
        <v>PIT STOP LANCHES E RESTAURANTE</v>
      </c>
      <c r="L9452" s="32">
        <f>IFERROR(__xludf.DUMMYFUNCTION("""COMPUTED_VALUE"""),1.0)</f>
        <v>1</v>
      </c>
      <c r="M9452" s="4" t="str">
        <f>IFERROR(__xludf.DUMMYFUNCTION("""COMPUTED_VALUE"""),"null")</f>
        <v>null</v>
      </c>
      <c r="N9452" s="33">
        <f>IFERROR(__xludf.DUMMYFUNCTION("""COMPUTED_VALUE"""),1.0)</f>
        <v>1</v>
      </c>
      <c r="O9452" s="4" t="str">
        <f>IFERROR(__xludf.DUMMYFUNCTION("""COMPUTED_VALUE"""),"null")</f>
        <v>null</v>
      </c>
      <c r="P9452" s="33">
        <f>IFERROR(__xludf.DUMMYFUNCTION("""COMPUTED_VALUE"""),1.0)</f>
        <v>1</v>
      </c>
      <c r="Q9452" s="4" t="str">
        <f>IFERROR(__xludf.DUMMYFUNCTION("""COMPUTED_VALUE"""),"Saipos Serviços De Software")</f>
        <v>Saipos Serviços De Software</v>
      </c>
      <c r="R9452" s="33">
        <f>IFERROR(__xludf.DUMMYFUNCTION("""COMPUTED_VALUE"""),1.0)</f>
        <v>1</v>
      </c>
      <c r="S9452" s="4" t="str">
        <f>IFERROR(__xludf.DUMMYFUNCTION("""COMPUTED_VALUE"""),"Saipos Serviços De Software")</f>
        <v>Saipos Serviços De Software</v>
      </c>
      <c r="T9452" s="33">
        <f>IFERROR(__xludf.DUMMYFUNCTION("""COMPUTED_VALUE"""),1.0)</f>
        <v>1</v>
      </c>
      <c r="U9452" s="4" t="str">
        <f>IFERROR(__xludf.DUMMYFUNCTION("""COMPUTED_VALUE"""),"Saipos Serviços De Software")</f>
        <v>Saipos Serviços De Software</v>
      </c>
      <c r="V9452" s="33">
        <f>IFERROR(__xludf.DUMMYFUNCTION("""COMPUTED_VALUE"""),1.0)</f>
        <v>1</v>
      </c>
      <c r="W9452" s="4" t="str">
        <f>IFERROR(__xludf.DUMMYFUNCTION("""COMPUTED_VALUE"""),"Saipos Serviços De Software")</f>
        <v>Saipos Serviços De Software</v>
      </c>
      <c r="X9452" s="33">
        <f>IFERROR(__xludf.DUMMYFUNCTION("""COMPUTED_VALUE"""),1.0)</f>
        <v>1</v>
      </c>
    </row>
    <row r="9453">
      <c r="K9453" s="4" t="str">
        <f>IFERROR(__xludf.DUMMYFUNCTION("""COMPUTED_VALUE"""),"RESENHA RESTAURANTE")</f>
        <v>RESENHA RESTAURANTE</v>
      </c>
      <c r="L9453" s="32">
        <f>IFERROR(__xludf.DUMMYFUNCTION("""COMPUTED_VALUE"""),1.0)</f>
        <v>1</v>
      </c>
      <c r="M9453" s="4" t="str">
        <f>IFERROR(__xludf.DUMMYFUNCTION("""COMPUTED_VALUE"""),"Netcontroll Xmenu")</f>
        <v>Netcontroll Xmenu</v>
      </c>
      <c r="N9453" s="33">
        <f>IFERROR(__xludf.DUMMYFUNCTION("""COMPUTED_VALUE"""),1.0)</f>
        <v>1</v>
      </c>
      <c r="O9453" s="4" t="str">
        <f>IFERROR(__xludf.DUMMYFUNCTION("""COMPUTED_VALUE"""),"Netcontroll Xmenu")</f>
        <v>Netcontroll Xmenu</v>
      </c>
      <c r="P9453" s="33">
        <f>IFERROR(__xludf.DUMMYFUNCTION("""COMPUTED_VALUE"""),1.0)</f>
        <v>1</v>
      </c>
      <c r="Q9453" s="4" t="str">
        <f>IFERROR(__xludf.DUMMYFUNCTION("""COMPUTED_VALUE"""),"Netcontroll Xmenu")</f>
        <v>Netcontroll Xmenu</v>
      </c>
      <c r="R9453" s="33">
        <f>IFERROR(__xludf.DUMMYFUNCTION("""COMPUTED_VALUE"""),1.0)</f>
        <v>1</v>
      </c>
      <c r="S9453" s="4" t="str">
        <f>IFERROR(__xludf.DUMMYFUNCTION("""COMPUTED_VALUE"""),"Netcontroll Xmenu")</f>
        <v>Netcontroll Xmenu</v>
      </c>
      <c r="T9453" s="33">
        <f>IFERROR(__xludf.DUMMYFUNCTION("""COMPUTED_VALUE"""),1.0)</f>
        <v>1</v>
      </c>
      <c r="U9453" s="4" t="str">
        <f>IFERROR(__xludf.DUMMYFUNCTION("""COMPUTED_VALUE"""),"Netcontroll Xmenu")</f>
        <v>Netcontroll Xmenu</v>
      </c>
      <c r="V9453" s="33">
        <f>IFERROR(__xludf.DUMMYFUNCTION("""COMPUTED_VALUE"""),1.0)</f>
        <v>1</v>
      </c>
      <c r="W9453" s="4" t="str">
        <f>IFERROR(__xludf.DUMMYFUNCTION("""COMPUTED_VALUE"""),"Netcontroll Xmenu")</f>
        <v>Netcontroll Xmenu</v>
      </c>
      <c r="X9453" s="33">
        <f>IFERROR(__xludf.DUMMYFUNCTION("""COMPUTED_VALUE"""),1.0)</f>
        <v>1</v>
      </c>
    </row>
    <row r="9454">
      <c r="K9454" s="4" t="str">
        <f>IFERROR(__xludf.DUMMYFUNCTION("""COMPUTED_VALUE"""),"VIA GELATO - MASTER")</f>
        <v>VIA GELATO - MASTER</v>
      </c>
      <c r="L9454" s="32">
        <f>IFERROR(__xludf.DUMMYFUNCTION("""COMPUTED_VALUE"""),1.0)</f>
        <v>1</v>
      </c>
      <c r="M9454" s="4" t="str">
        <f>IFERROR(__xludf.DUMMYFUNCTION("""COMPUTED_VALUE"""),"null")</f>
        <v>null</v>
      </c>
      <c r="N9454" s="33">
        <f>IFERROR(__xludf.DUMMYFUNCTION("""COMPUTED_VALUE"""),1.0)</f>
        <v>1</v>
      </c>
      <c r="O9454" s="4" t="str">
        <f>IFERROR(__xludf.DUMMYFUNCTION("""COMPUTED_VALUE"""),"null")</f>
        <v>null</v>
      </c>
      <c r="P9454" s="33">
        <f>IFERROR(__xludf.DUMMYFUNCTION("""COMPUTED_VALUE"""),1.0)</f>
        <v>1</v>
      </c>
      <c r="Q9454" s="4" t="str">
        <f>IFERROR(__xludf.DUMMYFUNCTION("""COMPUTED_VALUE"""),"null")</f>
        <v>null</v>
      </c>
      <c r="R9454" s="33">
        <f>IFERROR(__xludf.DUMMYFUNCTION("""COMPUTED_VALUE"""),1.0)</f>
        <v>1</v>
      </c>
      <c r="S9454" s="4" t="str">
        <f>IFERROR(__xludf.DUMMYFUNCTION("""COMPUTED_VALUE"""),"null")</f>
        <v>null</v>
      </c>
      <c r="T9454" s="33">
        <f>IFERROR(__xludf.DUMMYFUNCTION("""COMPUTED_VALUE"""),1.0)</f>
        <v>1</v>
      </c>
      <c r="U9454" s="4" t="str">
        <f>IFERROR(__xludf.DUMMYFUNCTION("""COMPUTED_VALUE"""),"Fs Soluções Em Tecnologia Ltda")</f>
        <v>Fs Soluções Em Tecnologia Ltda</v>
      </c>
      <c r="V9454" s="33">
        <f>IFERROR(__xludf.DUMMYFUNCTION("""COMPUTED_VALUE"""),1.0)</f>
        <v>1</v>
      </c>
      <c r="W9454" s="4" t="str">
        <f>IFERROR(__xludf.DUMMYFUNCTION("""COMPUTED_VALUE"""),"Fs Soluções Em Tecnologia Ltda")</f>
        <v>Fs Soluções Em Tecnologia Ltda</v>
      </c>
      <c r="X9454" s="33">
        <f>IFERROR(__xludf.DUMMYFUNCTION("""COMPUTED_VALUE"""),1.0)</f>
        <v>1</v>
      </c>
    </row>
    <row r="9455">
      <c r="K9455" s="4" t="str">
        <f>IFERROR(__xludf.DUMMYFUNCTION("""COMPUTED_VALUE"""),"PAGE BEBIDAS")</f>
        <v>PAGE BEBIDAS</v>
      </c>
      <c r="L9455" s="32">
        <f>IFERROR(__xludf.DUMMYFUNCTION("""COMPUTED_VALUE"""),1.0)</f>
        <v>1</v>
      </c>
      <c r="M9455" s="4" t="str">
        <f>IFERROR(__xludf.DUMMYFUNCTION("""COMPUTED_VALUE"""),"Expresso Delivery")</f>
        <v>Expresso Delivery</v>
      </c>
      <c r="N9455" s="33">
        <f>IFERROR(__xludf.DUMMYFUNCTION("""COMPUTED_VALUE"""),1.0)</f>
        <v>1</v>
      </c>
      <c r="O9455" s="4" t="str">
        <f>IFERROR(__xludf.DUMMYFUNCTION("""COMPUTED_VALUE"""),"Expresso Delivery")</f>
        <v>Expresso Delivery</v>
      </c>
      <c r="P9455" s="33">
        <f>IFERROR(__xludf.DUMMYFUNCTION("""COMPUTED_VALUE"""),1.0)</f>
        <v>1</v>
      </c>
      <c r="Q9455" s="4" t="str">
        <f>IFERROR(__xludf.DUMMYFUNCTION("""COMPUTED_VALUE"""),"Expresso Delivery")</f>
        <v>Expresso Delivery</v>
      </c>
      <c r="R9455" s="33">
        <f>IFERROR(__xludf.DUMMYFUNCTION("""COMPUTED_VALUE"""),1.0)</f>
        <v>1</v>
      </c>
      <c r="S9455" s="4" t="str">
        <f>IFERROR(__xludf.DUMMYFUNCTION("""COMPUTED_VALUE"""),"Expresso Delivery")</f>
        <v>Expresso Delivery</v>
      </c>
      <c r="T9455" s="33">
        <f>IFERROR(__xludf.DUMMYFUNCTION("""COMPUTED_VALUE"""),1.0)</f>
        <v>1</v>
      </c>
      <c r="U9455" s="4" t="str">
        <f>IFERROR(__xludf.DUMMYFUNCTION("""COMPUTED_VALUE"""),"Expresso Delivery")</f>
        <v>Expresso Delivery</v>
      </c>
      <c r="V9455" s="33">
        <f>IFERROR(__xludf.DUMMYFUNCTION("""COMPUTED_VALUE"""),1.0)</f>
        <v>1</v>
      </c>
      <c r="W9455" s="4" t="str">
        <f>IFERROR(__xludf.DUMMYFUNCTION("""COMPUTED_VALUE"""),"null")</f>
        <v>null</v>
      </c>
      <c r="X9455" s="33">
        <f>IFERROR(__xludf.DUMMYFUNCTION("""COMPUTED_VALUE"""),1.0)</f>
        <v>1</v>
      </c>
    </row>
    <row r="9456">
      <c r="K9456" s="4" t="str">
        <f>IFERROR(__xludf.DUMMYFUNCTION("""COMPUTED_VALUE"""),"NATU - ACAI DIRETO DA FABRICA")</f>
        <v>NATU - ACAI DIRETO DA FABRICA</v>
      </c>
      <c r="L9456" s="32">
        <f>IFERROR(__xludf.DUMMYFUNCTION("""COMPUTED_VALUE"""),1.0)</f>
        <v>1</v>
      </c>
      <c r="M9456" s="4" t="str">
        <f>IFERROR(__xludf.DUMMYFUNCTION("""COMPUTED_VALUE"""),"Connectplug")</f>
        <v>Connectplug</v>
      </c>
      <c r="N9456" s="33">
        <f>IFERROR(__xludf.DUMMYFUNCTION("""COMPUTED_VALUE"""),1.0)</f>
        <v>1</v>
      </c>
      <c r="O9456" s="4" t="str">
        <f>IFERROR(__xludf.DUMMYFUNCTION("""COMPUTED_VALUE"""),"Connectplug")</f>
        <v>Connectplug</v>
      </c>
      <c r="P9456" s="33">
        <f>IFERROR(__xludf.DUMMYFUNCTION("""COMPUTED_VALUE"""),1.0)</f>
        <v>1</v>
      </c>
      <c r="Q9456" s="4" t="str">
        <f>IFERROR(__xludf.DUMMYFUNCTION("""COMPUTED_VALUE"""),"Connectplug")</f>
        <v>Connectplug</v>
      </c>
      <c r="R9456" s="33">
        <f>IFERROR(__xludf.DUMMYFUNCTION("""COMPUTED_VALUE"""),1.0)</f>
        <v>1</v>
      </c>
      <c r="S9456" s="4" t="str">
        <f>IFERROR(__xludf.DUMMYFUNCTION("""COMPUTED_VALUE"""),"Saipos Serviços De Software")</f>
        <v>Saipos Serviços De Software</v>
      </c>
      <c r="T9456" s="33">
        <f>IFERROR(__xludf.DUMMYFUNCTION("""COMPUTED_VALUE"""),1.0)</f>
        <v>1</v>
      </c>
      <c r="U9456" s="4" t="str">
        <f>IFERROR(__xludf.DUMMYFUNCTION("""COMPUTED_VALUE"""),"Saipos Serviços De Software")</f>
        <v>Saipos Serviços De Software</v>
      </c>
      <c r="V9456" s="33">
        <f>IFERROR(__xludf.DUMMYFUNCTION("""COMPUTED_VALUE"""),1.0)</f>
        <v>1</v>
      </c>
      <c r="W9456" s="4" t="str">
        <f>IFERROR(__xludf.DUMMYFUNCTION("""COMPUTED_VALUE"""),"Saipos Serviços De Software")</f>
        <v>Saipos Serviços De Software</v>
      </c>
      <c r="X9456" s="33">
        <f>IFERROR(__xludf.DUMMYFUNCTION("""COMPUTED_VALUE"""),1.0)</f>
        <v>1</v>
      </c>
    </row>
    <row r="9457">
      <c r="K9457" s="4" t="str">
        <f>IFERROR(__xludf.DUMMYFUNCTION("""COMPUTED_VALUE"""),"SORAI")</f>
        <v>SORAI</v>
      </c>
      <c r="L9457" s="32">
        <f>IFERROR(__xludf.DUMMYFUNCTION("""COMPUTED_VALUE"""),1.0)</f>
        <v>1</v>
      </c>
      <c r="M9457" s="4" t="str">
        <f>IFERROR(__xludf.DUMMYFUNCTION("""COMPUTED_VALUE"""),"null")</f>
        <v>null</v>
      </c>
      <c r="N9457" s="33">
        <f>IFERROR(__xludf.DUMMYFUNCTION("""COMPUTED_VALUE"""),1.0)</f>
        <v>1</v>
      </c>
      <c r="O9457" s="4" t="str">
        <f>IFERROR(__xludf.DUMMYFUNCTION("""COMPUTED_VALUE"""),"Saipos Serviços De Software")</f>
        <v>Saipos Serviços De Software</v>
      </c>
      <c r="P9457" s="33">
        <f>IFERROR(__xludf.DUMMYFUNCTION("""COMPUTED_VALUE"""),1.0)</f>
        <v>1</v>
      </c>
      <c r="Q9457" s="4" t="str">
        <f>IFERROR(__xludf.DUMMYFUNCTION("""COMPUTED_VALUE"""),"Saipos Serviços De Software")</f>
        <v>Saipos Serviços De Software</v>
      </c>
      <c r="R9457" s="33">
        <f>IFERROR(__xludf.DUMMYFUNCTION("""COMPUTED_VALUE"""),1.0)</f>
        <v>1</v>
      </c>
      <c r="S9457" s="4" t="str">
        <f>IFERROR(__xludf.DUMMYFUNCTION("""COMPUTED_VALUE"""),"Saipos Serviços De Software")</f>
        <v>Saipos Serviços De Software</v>
      </c>
      <c r="T9457" s="33">
        <f>IFERROR(__xludf.DUMMYFUNCTION("""COMPUTED_VALUE"""),1.0)</f>
        <v>1</v>
      </c>
      <c r="U9457" s="4" t="str">
        <f>IFERROR(__xludf.DUMMYFUNCTION("""COMPUTED_VALUE"""),"Saipos Serviços De Software")</f>
        <v>Saipos Serviços De Software</v>
      </c>
      <c r="V9457" s="33">
        <f>IFERROR(__xludf.DUMMYFUNCTION("""COMPUTED_VALUE"""),1.0)</f>
        <v>1</v>
      </c>
      <c r="W9457" s="4" t="str">
        <f>IFERROR(__xludf.DUMMYFUNCTION("""COMPUTED_VALUE"""),"Saipos Serviços De Software")</f>
        <v>Saipos Serviços De Software</v>
      </c>
      <c r="X9457" s="33">
        <f>IFERROR(__xludf.DUMMYFUNCTION("""COMPUTED_VALUE"""),1.0)</f>
        <v>1</v>
      </c>
    </row>
    <row r="9458">
      <c r="K9458" s="4" t="str">
        <f>IFERROR(__xludf.DUMMYFUNCTION("""COMPUTED_VALUE"""),"CROC DELIVERY")</f>
        <v>CROC DELIVERY</v>
      </c>
      <c r="L9458" s="32">
        <f>IFERROR(__xludf.DUMMYFUNCTION("""COMPUTED_VALUE"""),1.0)</f>
        <v>1</v>
      </c>
      <c r="M9458" s="4" t="str">
        <f>IFERROR(__xludf.DUMMYFUNCTION("""COMPUTED_VALUE"""),"Cardápio Web")</f>
        <v>Cardápio Web</v>
      </c>
      <c r="N9458" s="33">
        <f>IFERROR(__xludf.DUMMYFUNCTION("""COMPUTED_VALUE"""),1.0)</f>
        <v>1</v>
      </c>
      <c r="O9458" s="4" t="str">
        <f>IFERROR(__xludf.DUMMYFUNCTION("""COMPUTED_VALUE"""),"null")</f>
        <v>null</v>
      </c>
      <c r="P9458" s="33">
        <f>IFERROR(__xludf.DUMMYFUNCTION("""COMPUTED_VALUE"""),1.0)</f>
        <v>1</v>
      </c>
      <c r="Q9458" s="4" t="str">
        <f>IFERROR(__xludf.DUMMYFUNCTION("""COMPUTED_VALUE"""),"null")</f>
        <v>null</v>
      </c>
      <c r="R9458" s="33">
        <f>IFERROR(__xludf.DUMMYFUNCTION("""COMPUTED_VALUE"""),1.0)</f>
        <v>1</v>
      </c>
      <c r="S9458" s="4" t="str">
        <f>IFERROR(__xludf.DUMMYFUNCTION("""COMPUTED_VALUE"""),"null")</f>
        <v>null</v>
      </c>
      <c r="T9458" s="33">
        <f>IFERROR(__xludf.DUMMYFUNCTION("""COMPUTED_VALUE"""),1.0)</f>
        <v>1</v>
      </c>
      <c r="U9458" s="4" t="str">
        <f>IFERROR(__xludf.DUMMYFUNCTION("""COMPUTED_VALUE"""),"null")</f>
        <v>null</v>
      </c>
      <c r="V9458" s="33">
        <f>IFERROR(__xludf.DUMMYFUNCTION("""COMPUTED_VALUE"""),1.0)</f>
        <v>1</v>
      </c>
      <c r="W9458" s="4" t="str">
        <f>IFERROR(__xludf.DUMMYFUNCTION("""COMPUTED_VALUE"""),"null")</f>
        <v>null</v>
      </c>
      <c r="X9458" s="33">
        <f>IFERROR(__xludf.DUMMYFUNCTION("""COMPUTED_VALUE"""),1.0)</f>
        <v>1</v>
      </c>
    </row>
    <row r="9459">
      <c r="K9459" s="4" t="str">
        <f>IFERROR(__xludf.DUMMYFUNCTION("""COMPUTED_VALUE"""),"VALIDOCE")</f>
        <v>VALIDOCE</v>
      </c>
      <c r="L9459" s="32">
        <f>IFERROR(__xludf.DUMMYFUNCTION("""COMPUTED_VALUE"""),1.0)</f>
        <v>1</v>
      </c>
      <c r="M9459" s="4" t="str">
        <f>IFERROR(__xludf.DUMMYFUNCTION("""COMPUTED_VALUE"""),"N/A (Not found)")</f>
        <v>N/A (Not found)</v>
      </c>
      <c r="N9459" s="33">
        <f>IFERROR(__xludf.DUMMYFUNCTION("""COMPUTED_VALUE"""),1.0)</f>
        <v>1</v>
      </c>
      <c r="O9459" s="4" t="str">
        <f>IFERROR(__xludf.DUMMYFUNCTION("""COMPUTED_VALUE"""),"N/A (Not found)")</f>
        <v>N/A (Not found)</v>
      </c>
      <c r="P9459" s="33">
        <f>IFERROR(__xludf.DUMMYFUNCTION("""COMPUTED_VALUE"""),1.0)</f>
        <v>1</v>
      </c>
      <c r="Q9459" s="4" t="str">
        <f>IFERROR(__xludf.DUMMYFUNCTION("""COMPUTED_VALUE"""),"null")</f>
        <v>null</v>
      </c>
      <c r="R9459" s="33">
        <f>IFERROR(__xludf.DUMMYFUNCTION("""COMPUTED_VALUE"""),1.0)</f>
        <v>1</v>
      </c>
      <c r="S9459" s="4" t="str">
        <f>IFERROR(__xludf.DUMMYFUNCTION("""COMPUTED_VALUE"""),"null")</f>
        <v>null</v>
      </c>
      <c r="T9459" s="33">
        <f>IFERROR(__xludf.DUMMYFUNCTION("""COMPUTED_VALUE"""),1.0)</f>
        <v>1</v>
      </c>
      <c r="U9459" s="4" t="str">
        <f>IFERROR(__xludf.DUMMYFUNCTION("""COMPUTED_VALUE"""),"null")</f>
        <v>null</v>
      </c>
      <c r="V9459" s="33">
        <f>IFERROR(__xludf.DUMMYFUNCTION("""COMPUTED_VALUE"""),1.0)</f>
        <v>1</v>
      </c>
      <c r="W9459" s="4" t="str">
        <f>IFERROR(__xludf.DUMMYFUNCTION("""COMPUTED_VALUE"""),"null")</f>
        <v>null</v>
      </c>
      <c r="X9459" s="33">
        <f>IFERROR(__xludf.DUMMYFUNCTION("""COMPUTED_VALUE"""),1.0)</f>
        <v>1</v>
      </c>
    </row>
    <row r="9460">
      <c r="K9460" s="4" t="str">
        <f>IFERROR(__xludf.DUMMYFUNCTION("""COMPUTED_VALUE"""),"ANCIA CAFETERIA E CULINARIA AFETIVA LTDA")</f>
        <v>ANCIA CAFETERIA E CULINARIA AFETIVA LTDA</v>
      </c>
      <c r="L9460" s="32">
        <f>IFERROR(__xludf.DUMMYFUNCTION("""COMPUTED_VALUE"""),1.0)</f>
        <v>1</v>
      </c>
      <c r="M9460" s="4" t="str">
        <f>IFERROR(__xludf.DUMMYFUNCTION("""COMPUTED_VALUE"""),"Saipos Serviços De Software")</f>
        <v>Saipos Serviços De Software</v>
      </c>
      <c r="N9460" s="33">
        <f>IFERROR(__xludf.DUMMYFUNCTION("""COMPUTED_VALUE"""),1.0)</f>
        <v>1</v>
      </c>
      <c r="O9460" s="4" t="str">
        <f>IFERROR(__xludf.DUMMYFUNCTION("""COMPUTED_VALUE"""),"Saipos Serviços De Software")</f>
        <v>Saipos Serviços De Software</v>
      </c>
      <c r="P9460" s="33">
        <f>IFERROR(__xludf.DUMMYFUNCTION("""COMPUTED_VALUE"""),1.0)</f>
        <v>1</v>
      </c>
      <c r="Q9460" s="4" t="str">
        <f>IFERROR(__xludf.DUMMYFUNCTION("""COMPUTED_VALUE"""),"Saipos Serviços De Software")</f>
        <v>Saipos Serviços De Software</v>
      </c>
      <c r="R9460" s="33">
        <f>IFERROR(__xludf.DUMMYFUNCTION("""COMPUTED_VALUE"""),1.0)</f>
        <v>1</v>
      </c>
      <c r="S9460" s="4" t="str">
        <f>IFERROR(__xludf.DUMMYFUNCTION("""COMPUTED_VALUE"""),"Saipos Serviços De Software")</f>
        <v>Saipos Serviços De Software</v>
      </c>
      <c r="T9460" s="33">
        <f>IFERROR(__xludf.DUMMYFUNCTION("""COMPUTED_VALUE"""),1.0)</f>
        <v>1</v>
      </c>
      <c r="U9460" s="4" t="str">
        <f>IFERROR(__xludf.DUMMYFUNCTION("""COMPUTED_VALUE"""),"Saipos Serviços De Software")</f>
        <v>Saipos Serviços De Software</v>
      </c>
      <c r="V9460" s="33">
        <f>IFERROR(__xludf.DUMMYFUNCTION("""COMPUTED_VALUE"""),1.0)</f>
        <v>1</v>
      </c>
      <c r="W9460" s="4" t="str">
        <f>IFERROR(__xludf.DUMMYFUNCTION("""COMPUTED_VALUE"""),"Saipos Serviços De Software")</f>
        <v>Saipos Serviços De Software</v>
      </c>
      <c r="X9460" s="33">
        <f>IFERROR(__xludf.DUMMYFUNCTION("""COMPUTED_VALUE"""),1.0)</f>
        <v>1</v>
      </c>
    </row>
    <row r="9461">
      <c r="K9461" s="4" t="str">
        <f>IFERROR(__xludf.DUMMYFUNCTION("""COMPUTED_VALUE"""),"ISABELLA BRITO")</f>
        <v>ISABELLA BRITO</v>
      </c>
      <c r="L9461" s="32">
        <f>IFERROR(__xludf.DUMMYFUNCTION("""COMPUTED_VALUE"""),1.0)</f>
        <v>1</v>
      </c>
      <c r="M9461" s="4" t="str">
        <f>IFERROR(__xludf.DUMMYFUNCTION("""COMPUTED_VALUE"""),"null")</f>
        <v>null</v>
      </c>
      <c r="N9461" s="33">
        <f>IFERROR(__xludf.DUMMYFUNCTION("""COMPUTED_VALUE"""),1.0)</f>
        <v>1</v>
      </c>
      <c r="O9461" s="4" t="str">
        <f>IFERROR(__xludf.DUMMYFUNCTION("""COMPUTED_VALUE"""),"null")</f>
        <v>null</v>
      </c>
      <c r="P9461" s="33">
        <f>IFERROR(__xludf.DUMMYFUNCTION("""COMPUTED_VALUE"""),1.0)</f>
        <v>1</v>
      </c>
      <c r="Q9461" s="4" t="str">
        <f>IFERROR(__xludf.DUMMYFUNCTION("""COMPUTED_VALUE"""),"null")</f>
        <v>null</v>
      </c>
      <c r="R9461" s="33">
        <f>IFERROR(__xludf.DUMMYFUNCTION("""COMPUTED_VALUE"""),1.0)</f>
        <v>1</v>
      </c>
      <c r="S9461" s="4" t="str">
        <f>IFERROR(__xludf.DUMMYFUNCTION("""COMPUTED_VALUE"""),"N/A (Not found)")</f>
        <v>N/A (Not found)</v>
      </c>
      <c r="T9461" s="33">
        <f>IFERROR(__xludf.DUMMYFUNCTION("""COMPUTED_VALUE"""),1.0)</f>
        <v>1</v>
      </c>
      <c r="U9461" s="4" t="str">
        <f>IFERROR(__xludf.DUMMYFUNCTION("""COMPUTED_VALUE"""),"N/A (Not found)")</f>
        <v>N/A (Not found)</v>
      </c>
      <c r="V9461" s="33">
        <f>IFERROR(__xludf.DUMMYFUNCTION("""COMPUTED_VALUE"""),1.0)</f>
        <v>1</v>
      </c>
      <c r="W9461" s="4" t="str">
        <f>IFERROR(__xludf.DUMMYFUNCTION("""COMPUTED_VALUE"""),"N/A (Not found)")</f>
        <v>N/A (Not found)</v>
      </c>
      <c r="X9461" s="33">
        <f>IFERROR(__xludf.DUMMYFUNCTION("""COMPUTED_VALUE"""),1.0)</f>
        <v>1</v>
      </c>
    </row>
    <row r="9462">
      <c r="K9462" s="4" t="str">
        <f>IFERROR(__xludf.DUMMYFUNCTION("""COMPUTED_VALUE"""),"FRANGO ASSADO PREMIUM - BAIXADA FLUMINENSE")</f>
        <v>FRANGO ASSADO PREMIUM - BAIXADA FLUMINENSE</v>
      </c>
      <c r="L9462" s="32">
        <f>IFERROR(__xludf.DUMMYFUNCTION("""COMPUTED_VALUE"""),1.0)</f>
        <v>1</v>
      </c>
      <c r="M9462" s="4" t="str">
        <f>IFERROR(__xludf.DUMMYFUNCTION("""COMPUTED_VALUE"""),"Saipos Serviços De Software")</f>
        <v>Saipos Serviços De Software</v>
      </c>
      <c r="N9462" s="33">
        <f>IFERROR(__xludf.DUMMYFUNCTION("""COMPUTED_VALUE"""),1.0)</f>
        <v>1</v>
      </c>
      <c r="O9462" s="4" t="str">
        <f>IFERROR(__xludf.DUMMYFUNCTION("""COMPUTED_VALUE"""),"Saipos Serviços De Software")</f>
        <v>Saipos Serviços De Software</v>
      </c>
      <c r="P9462" s="33">
        <f>IFERROR(__xludf.DUMMYFUNCTION("""COMPUTED_VALUE"""),1.0)</f>
        <v>1</v>
      </c>
      <c r="Q9462" s="4" t="str">
        <f>IFERROR(__xludf.DUMMYFUNCTION("""COMPUTED_VALUE"""),"Saipos Serviços De Software")</f>
        <v>Saipos Serviços De Software</v>
      </c>
      <c r="R9462" s="33">
        <f>IFERROR(__xludf.DUMMYFUNCTION("""COMPUTED_VALUE"""),1.0)</f>
        <v>1</v>
      </c>
      <c r="S9462" s="4" t="str">
        <f>IFERROR(__xludf.DUMMYFUNCTION("""COMPUTED_VALUE"""),"Saipos Serviços De Software")</f>
        <v>Saipos Serviços De Software</v>
      </c>
      <c r="T9462" s="33">
        <f>IFERROR(__xludf.DUMMYFUNCTION("""COMPUTED_VALUE"""),1.0)</f>
        <v>1</v>
      </c>
      <c r="U9462" s="4" t="str">
        <f>IFERROR(__xludf.DUMMYFUNCTION("""COMPUTED_VALUE"""),"Saipos Serviços De Software")</f>
        <v>Saipos Serviços De Software</v>
      </c>
      <c r="V9462" s="33">
        <f>IFERROR(__xludf.DUMMYFUNCTION("""COMPUTED_VALUE"""),1.0)</f>
        <v>1</v>
      </c>
      <c r="W9462" s="4" t="str">
        <f>IFERROR(__xludf.DUMMYFUNCTION("""COMPUTED_VALUE"""),"Saipos Serviços De Software")</f>
        <v>Saipos Serviços De Software</v>
      </c>
      <c r="X9462" s="33">
        <f>IFERROR(__xludf.DUMMYFUNCTION("""COMPUTED_VALUE"""),1.0)</f>
        <v>1</v>
      </c>
    </row>
    <row r="9463">
      <c r="K9463" s="4" t="str">
        <f>IFERROR(__xludf.DUMMYFUNCTION("""COMPUTED_VALUE"""),"FORNERIA ROYAL")</f>
        <v>FORNERIA ROYAL</v>
      </c>
      <c r="L9463" s="32">
        <f>IFERROR(__xludf.DUMMYFUNCTION("""COMPUTED_VALUE"""),1.0)</f>
        <v>1</v>
      </c>
      <c r="M9463" s="4" t="str">
        <f>IFERROR(__xludf.DUMMYFUNCTION("""COMPUTED_VALUE"""),"Instadelivery")</f>
        <v>Instadelivery</v>
      </c>
      <c r="N9463" s="33">
        <f>IFERROR(__xludf.DUMMYFUNCTION("""COMPUTED_VALUE"""),1.0)</f>
        <v>1</v>
      </c>
      <c r="O9463" s="4" t="str">
        <f>IFERROR(__xludf.DUMMYFUNCTION("""COMPUTED_VALUE"""),"Instadelivery")</f>
        <v>Instadelivery</v>
      </c>
      <c r="P9463" s="33">
        <f>IFERROR(__xludf.DUMMYFUNCTION("""COMPUTED_VALUE"""),1.0)</f>
        <v>1</v>
      </c>
      <c r="Q9463" s="4" t="str">
        <f>IFERROR(__xludf.DUMMYFUNCTION("""COMPUTED_VALUE"""),"Instadelivery")</f>
        <v>Instadelivery</v>
      </c>
      <c r="R9463" s="33">
        <f>IFERROR(__xludf.DUMMYFUNCTION("""COMPUTED_VALUE"""),1.0)</f>
        <v>1</v>
      </c>
      <c r="S9463" s="4" t="str">
        <f>IFERROR(__xludf.DUMMYFUNCTION("""COMPUTED_VALUE"""),"Instadelivery")</f>
        <v>Instadelivery</v>
      </c>
      <c r="T9463" s="33">
        <f>IFERROR(__xludf.DUMMYFUNCTION("""COMPUTED_VALUE"""),1.0)</f>
        <v>1</v>
      </c>
      <c r="U9463" s="4" t="str">
        <f>IFERROR(__xludf.DUMMYFUNCTION("""COMPUTED_VALUE"""),"Instadelivery")</f>
        <v>Instadelivery</v>
      </c>
      <c r="V9463" s="33">
        <f>IFERROR(__xludf.DUMMYFUNCTION("""COMPUTED_VALUE"""),1.0)</f>
        <v>1</v>
      </c>
      <c r="W9463" s="4" t="str">
        <f>IFERROR(__xludf.DUMMYFUNCTION("""COMPUTED_VALUE"""),"Instadelivery")</f>
        <v>Instadelivery</v>
      </c>
      <c r="X9463" s="33">
        <f>IFERROR(__xludf.DUMMYFUNCTION("""COMPUTED_VALUE"""),1.0)</f>
        <v>1</v>
      </c>
    </row>
    <row r="9464">
      <c r="K9464" s="4" t="str">
        <f>IFERROR(__xludf.DUMMYFUNCTION("""COMPUTED_VALUE"""),"GOURMETT SIQUEIRA - DOCES E SALGADOS")</f>
        <v>GOURMETT SIQUEIRA - DOCES E SALGADOS</v>
      </c>
      <c r="L9464" s="32">
        <f>IFERROR(__xludf.DUMMYFUNCTION("""COMPUTED_VALUE"""),1.0)</f>
        <v>1</v>
      </c>
      <c r="M9464" s="4" t="str">
        <f>IFERROR(__xludf.DUMMYFUNCTION("""COMPUTED_VALUE"""),"null")</f>
        <v>null</v>
      </c>
      <c r="N9464" s="33">
        <f>IFERROR(__xludf.DUMMYFUNCTION("""COMPUTED_VALUE"""),1.0)</f>
        <v>1</v>
      </c>
      <c r="O9464" s="4" t="str">
        <f>IFERROR(__xludf.DUMMYFUNCTION("""COMPUTED_VALUE"""),"null")</f>
        <v>null</v>
      </c>
      <c r="P9464" s="33">
        <f>IFERROR(__xludf.DUMMYFUNCTION("""COMPUTED_VALUE"""),1.0)</f>
        <v>1</v>
      </c>
      <c r="Q9464" s="4" t="str">
        <f>IFERROR(__xludf.DUMMYFUNCTION("""COMPUTED_VALUE"""),"null")</f>
        <v>null</v>
      </c>
      <c r="R9464" s="33">
        <f>IFERROR(__xludf.DUMMYFUNCTION("""COMPUTED_VALUE"""),1.0)</f>
        <v>1</v>
      </c>
      <c r="S9464" s="4" t="str">
        <f>IFERROR(__xludf.DUMMYFUNCTION("""COMPUTED_VALUE"""),"null")</f>
        <v>null</v>
      </c>
      <c r="T9464" s="33">
        <f>IFERROR(__xludf.DUMMYFUNCTION("""COMPUTED_VALUE"""),1.0)</f>
        <v>1</v>
      </c>
      <c r="U9464" s="4" t="str">
        <f>IFERROR(__xludf.DUMMYFUNCTION("""COMPUTED_VALUE"""),"Instadelivery")</f>
        <v>Instadelivery</v>
      </c>
      <c r="V9464" s="33">
        <f>IFERROR(__xludf.DUMMYFUNCTION("""COMPUTED_VALUE"""),1.0)</f>
        <v>1</v>
      </c>
      <c r="W9464" s="4" t="str">
        <f>IFERROR(__xludf.DUMMYFUNCTION("""COMPUTED_VALUE"""),"null")</f>
        <v>null</v>
      </c>
      <c r="X9464" s="33">
        <f>IFERROR(__xludf.DUMMYFUNCTION("""COMPUTED_VALUE"""),1.0)</f>
        <v>1</v>
      </c>
    </row>
    <row r="9465">
      <c r="K9465" s="4" t="str">
        <f>IFERROR(__xludf.DUMMYFUNCTION("""COMPUTED_VALUE"""),"TROPICAL ACAI E SORVETES")</f>
        <v>TROPICAL ACAI E SORVETES</v>
      </c>
      <c r="L9465" s="32">
        <f>IFERROR(__xludf.DUMMYFUNCTION("""COMPUTED_VALUE"""),1.0)</f>
        <v>1</v>
      </c>
      <c r="M9465" s="4" t="str">
        <f>IFERROR(__xludf.DUMMYFUNCTION("""COMPUTED_VALUE"""),"null")</f>
        <v>null</v>
      </c>
      <c r="N9465" s="33">
        <f>IFERROR(__xludf.DUMMYFUNCTION("""COMPUTED_VALUE"""),1.0)</f>
        <v>1</v>
      </c>
      <c r="O9465" s="4" t="str">
        <f>IFERROR(__xludf.DUMMYFUNCTION("""COMPUTED_VALUE"""),"Saipos Serviços De Software")</f>
        <v>Saipos Serviços De Software</v>
      </c>
      <c r="P9465" s="33">
        <f>IFERROR(__xludf.DUMMYFUNCTION("""COMPUTED_VALUE"""),1.0)</f>
        <v>1</v>
      </c>
      <c r="Q9465" s="4" t="str">
        <f>IFERROR(__xludf.DUMMYFUNCTION("""COMPUTED_VALUE"""),"Saipos Serviços De Software")</f>
        <v>Saipos Serviços De Software</v>
      </c>
      <c r="R9465" s="33">
        <f>IFERROR(__xludf.DUMMYFUNCTION("""COMPUTED_VALUE"""),1.0)</f>
        <v>1</v>
      </c>
      <c r="S9465" s="4" t="str">
        <f>IFERROR(__xludf.DUMMYFUNCTION("""COMPUTED_VALUE"""),"Saipos Serviços De Software")</f>
        <v>Saipos Serviços De Software</v>
      </c>
      <c r="T9465" s="33">
        <f>IFERROR(__xludf.DUMMYFUNCTION("""COMPUTED_VALUE"""),1.0)</f>
        <v>1</v>
      </c>
      <c r="U9465" s="4" t="str">
        <f>IFERROR(__xludf.DUMMYFUNCTION("""COMPUTED_VALUE"""),"Saipos Serviços De Software")</f>
        <v>Saipos Serviços De Software</v>
      </c>
      <c r="V9465" s="33">
        <f>IFERROR(__xludf.DUMMYFUNCTION("""COMPUTED_VALUE"""),1.0)</f>
        <v>1</v>
      </c>
      <c r="W9465" s="4" t="str">
        <f>IFERROR(__xludf.DUMMYFUNCTION("""COMPUTED_VALUE"""),"Saipos Serviços De Software")</f>
        <v>Saipos Serviços De Software</v>
      </c>
      <c r="X9465" s="33">
        <f>IFERROR(__xludf.DUMMYFUNCTION("""COMPUTED_VALUE"""),1.0)</f>
        <v>1</v>
      </c>
    </row>
    <row r="9466">
      <c r="K9466" s="4" t="str">
        <f>IFERROR(__xludf.DUMMYFUNCTION("""COMPUTED_VALUE"""),"JV COMERCIO")</f>
        <v>JV COMERCIO</v>
      </c>
      <c r="L9466" s="32">
        <f>IFERROR(__xludf.DUMMYFUNCTION("""COMPUTED_VALUE"""),1.0)</f>
        <v>1</v>
      </c>
      <c r="M9466" s="4" t="str">
        <f>IFERROR(__xludf.DUMMYFUNCTION("""COMPUTED_VALUE"""),"N/A (Not found)")</f>
        <v>N/A (Not found)</v>
      </c>
      <c r="N9466" s="33">
        <f>IFERROR(__xludf.DUMMYFUNCTION("""COMPUTED_VALUE"""),1.0)</f>
        <v>1</v>
      </c>
      <c r="O9466" s="4" t="str">
        <f>IFERROR(__xludf.DUMMYFUNCTION("""COMPUTED_VALUE"""),"N/A (Not found)")</f>
        <v>N/A (Not found)</v>
      </c>
      <c r="P9466" s="33">
        <f>IFERROR(__xludf.DUMMYFUNCTION("""COMPUTED_VALUE"""),1.0)</f>
        <v>1</v>
      </c>
      <c r="Q9466" s="4" t="str">
        <f>IFERROR(__xludf.DUMMYFUNCTION("""COMPUTED_VALUE"""),"N/A (Not found)")</f>
        <v>N/A (Not found)</v>
      </c>
      <c r="R9466" s="33">
        <f>IFERROR(__xludf.DUMMYFUNCTION("""COMPUTED_VALUE"""),1.0)</f>
        <v>1</v>
      </c>
      <c r="S9466" s="4" t="str">
        <f>IFERROR(__xludf.DUMMYFUNCTION("""COMPUTED_VALUE"""),"N/A (Not found)")</f>
        <v>N/A (Not found)</v>
      </c>
      <c r="T9466" s="33">
        <f>IFERROR(__xludf.DUMMYFUNCTION("""COMPUTED_VALUE"""),1.0)</f>
        <v>1</v>
      </c>
      <c r="U9466" s="4" t="str">
        <f>IFERROR(__xludf.DUMMYFUNCTION("""COMPUTED_VALUE"""),"N/A (Not found)")</f>
        <v>N/A (Not found)</v>
      </c>
      <c r="V9466" s="33">
        <f>IFERROR(__xludf.DUMMYFUNCTION("""COMPUTED_VALUE"""),1.0)</f>
        <v>1</v>
      </c>
      <c r="W9466" s="4" t="str">
        <f>IFERROR(__xludf.DUMMYFUNCTION("""COMPUTED_VALUE"""),"N/A (Not found)")</f>
        <v>N/A (Not found)</v>
      </c>
      <c r="X9466" s="33">
        <f>IFERROR(__xludf.DUMMYFUNCTION("""COMPUTED_VALUE"""),1.0)</f>
        <v>1</v>
      </c>
    </row>
    <row r="9467">
      <c r="K9467" s="4" t="str">
        <f>IFERROR(__xludf.DUMMYFUNCTION("""COMPUTED_VALUE"""),"GARRA ACAI")</f>
        <v>GARRA ACAI</v>
      </c>
      <c r="L9467" s="32">
        <f>IFERROR(__xludf.DUMMYFUNCTION("""COMPUTED_VALUE"""),1.0)</f>
        <v>1</v>
      </c>
      <c r="M9467" s="4" t="str">
        <f>IFERROR(__xludf.DUMMYFUNCTION("""COMPUTED_VALUE"""),"null")</f>
        <v>null</v>
      </c>
      <c r="N9467" s="33">
        <f>IFERROR(__xludf.DUMMYFUNCTION("""COMPUTED_VALUE"""),1.0)</f>
        <v>1</v>
      </c>
      <c r="O9467" s="4" t="str">
        <f>IFERROR(__xludf.DUMMYFUNCTION("""COMPUTED_VALUE"""),"null")</f>
        <v>null</v>
      </c>
      <c r="P9467" s="33">
        <f>IFERROR(__xludf.DUMMYFUNCTION("""COMPUTED_VALUE"""),1.0)</f>
        <v>1</v>
      </c>
      <c r="Q9467" s="4" t="str">
        <f>IFERROR(__xludf.DUMMYFUNCTION("""COMPUTED_VALUE"""),"null")</f>
        <v>null</v>
      </c>
      <c r="R9467" s="33">
        <f>IFERROR(__xludf.DUMMYFUNCTION("""COMPUTED_VALUE"""),1.0)</f>
        <v>1</v>
      </c>
      <c r="S9467" s="4" t="str">
        <f>IFERROR(__xludf.DUMMYFUNCTION("""COMPUTED_VALUE"""),"Mapp Sistemas")</f>
        <v>Mapp Sistemas</v>
      </c>
      <c r="T9467" s="33">
        <f>IFERROR(__xludf.DUMMYFUNCTION("""COMPUTED_VALUE"""),1.0)</f>
        <v>1</v>
      </c>
      <c r="U9467" s="4" t="str">
        <f>IFERROR(__xludf.DUMMYFUNCTION("""COMPUTED_VALUE"""),"null")</f>
        <v>null</v>
      </c>
      <c r="V9467" s="33">
        <f>IFERROR(__xludf.DUMMYFUNCTION("""COMPUTED_VALUE"""),1.0)</f>
        <v>1</v>
      </c>
      <c r="W9467" s="4" t="str">
        <f>IFERROR(__xludf.DUMMYFUNCTION("""COMPUTED_VALUE"""),"null")</f>
        <v>null</v>
      </c>
      <c r="X9467" s="33">
        <f>IFERROR(__xludf.DUMMYFUNCTION("""COMPUTED_VALUE"""),1.0)</f>
        <v>1</v>
      </c>
    </row>
    <row r="9468">
      <c r="K9468" s="4" t="str">
        <f>IFERROR(__xludf.DUMMYFUNCTION("""COMPUTED_VALUE"""),"BEVARE EMPORIUM")</f>
        <v>BEVARE EMPORIUM</v>
      </c>
      <c r="L9468" s="32">
        <f>IFERROR(__xludf.DUMMYFUNCTION("""COMPUTED_VALUE"""),1.0)</f>
        <v>1</v>
      </c>
      <c r="M9468" s="4" t="str">
        <f>IFERROR(__xludf.DUMMYFUNCTION("""COMPUTED_VALUE"""),"N/A (Not found)")</f>
        <v>N/A (Not found)</v>
      </c>
      <c r="N9468" s="33">
        <f>IFERROR(__xludf.DUMMYFUNCTION("""COMPUTED_VALUE"""),1.0)</f>
        <v>1</v>
      </c>
      <c r="O9468" s="4" t="str">
        <f>IFERROR(__xludf.DUMMYFUNCTION("""COMPUTED_VALUE"""),"N/A (Not found)")</f>
        <v>N/A (Not found)</v>
      </c>
      <c r="P9468" s="33">
        <f>IFERROR(__xludf.DUMMYFUNCTION("""COMPUTED_VALUE"""),1.0)</f>
        <v>1</v>
      </c>
      <c r="Q9468" s="4" t="str">
        <f>IFERROR(__xludf.DUMMYFUNCTION("""COMPUTED_VALUE"""),"N/A (Not found)")</f>
        <v>N/A (Not found)</v>
      </c>
      <c r="R9468" s="33">
        <f>IFERROR(__xludf.DUMMYFUNCTION("""COMPUTED_VALUE"""),1.0)</f>
        <v>1</v>
      </c>
      <c r="S9468" s="4" t="str">
        <f>IFERROR(__xludf.DUMMYFUNCTION("""COMPUTED_VALUE"""),"N/A (Not found)")</f>
        <v>N/A (Not found)</v>
      </c>
      <c r="T9468" s="33">
        <f>IFERROR(__xludf.DUMMYFUNCTION("""COMPUTED_VALUE"""),1.0)</f>
        <v>1</v>
      </c>
      <c r="U9468" s="4" t="str">
        <f>IFERROR(__xludf.DUMMYFUNCTION("""COMPUTED_VALUE"""),"N/A (Not found)")</f>
        <v>N/A (Not found)</v>
      </c>
      <c r="V9468" s="33">
        <f>IFERROR(__xludf.DUMMYFUNCTION("""COMPUTED_VALUE"""),1.0)</f>
        <v>1</v>
      </c>
      <c r="W9468" s="4" t="str">
        <f>IFERROR(__xludf.DUMMYFUNCTION("""COMPUTED_VALUE"""),"N/A (Not found)")</f>
        <v>N/A (Not found)</v>
      </c>
      <c r="X9468" s="33">
        <f>IFERROR(__xludf.DUMMYFUNCTION("""COMPUTED_VALUE"""),1.0)</f>
        <v>1</v>
      </c>
    </row>
    <row r="9469">
      <c r="K9469" s="4" t="str">
        <f>IFERROR(__xludf.DUMMYFUNCTION("""COMPUTED_VALUE"""),"PIZZARIA GULOSOS - PIZZA E AQUI")</f>
        <v>PIZZARIA GULOSOS - PIZZA E AQUI</v>
      </c>
      <c r="L9469" s="32">
        <f>IFERROR(__xludf.DUMMYFUNCTION("""COMPUTED_VALUE"""),1.0)</f>
        <v>1</v>
      </c>
      <c r="M9469" s="4" t="str">
        <f>IFERROR(__xludf.DUMMYFUNCTION("""COMPUTED_VALUE"""),"null")</f>
        <v>null</v>
      </c>
      <c r="N9469" s="33">
        <f>IFERROR(__xludf.DUMMYFUNCTION("""COMPUTED_VALUE"""),1.0)</f>
        <v>1</v>
      </c>
      <c r="O9469" s="4" t="str">
        <f>IFERROR(__xludf.DUMMYFUNCTION("""COMPUTED_VALUE"""),"Fs Soluções Em Tecnologia Ltda")</f>
        <v>Fs Soluções Em Tecnologia Ltda</v>
      </c>
      <c r="P9469" s="33">
        <f>IFERROR(__xludf.DUMMYFUNCTION("""COMPUTED_VALUE"""),1.0)</f>
        <v>1</v>
      </c>
      <c r="Q9469" s="4" t="str">
        <f>IFERROR(__xludf.DUMMYFUNCTION("""COMPUTED_VALUE"""),"Fs Soluções Em Tecnologia Ltda")</f>
        <v>Fs Soluções Em Tecnologia Ltda</v>
      </c>
      <c r="R9469" s="33">
        <f>IFERROR(__xludf.DUMMYFUNCTION("""COMPUTED_VALUE"""),1.0)</f>
        <v>1</v>
      </c>
      <c r="S9469" s="4" t="str">
        <f>IFERROR(__xludf.DUMMYFUNCTION("""COMPUTED_VALUE"""),"Fs Soluções Em Tecnologia Ltda")</f>
        <v>Fs Soluções Em Tecnologia Ltda</v>
      </c>
      <c r="T9469" s="33">
        <f>IFERROR(__xludf.DUMMYFUNCTION("""COMPUTED_VALUE"""),1.0)</f>
        <v>1</v>
      </c>
      <c r="U9469" s="4" t="str">
        <f>IFERROR(__xludf.DUMMYFUNCTION("""COMPUTED_VALUE"""),"Fs Soluções Em Tecnologia Ltda")</f>
        <v>Fs Soluções Em Tecnologia Ltda</v>
      </c>
      <c r="V9469" s="33">
        <f>IFERROR(__xludf.DUMMYFUNCTION("""COMPUTED_VALUE"""),1.0)</f>
        <v>1</v>
      </c>
      <c r="W9469" s="4" t="str">
        <f>IFERROR(__xludf.DUMMYFUNCTION("""COMPUTED_VALUE"""),"Fs Soluções Em Tecnologia Ltda")</f>
        <v>Fs Soluções Em Tecnologia Ltda</v>
      </c>
      <c r="X9469" s="33">
        <f>IFERROR(__xludf.DUMMYFUNCTION("""COMPUTED_VALUE"""),1.0)</f>
        <v>1</v>
      </c>
    </row>
    <row r="9470">
      <c r="K9470" s="4" t="str">
        <f>IFERROR(__xludf.DUMMYFUNCTION("""COMPUTED_VALUE"""),"ACAI - RAIZ O ACAI")</f>
        <v>ACAI - RAIZ O ACAI</v>
      </c>
      <c r="L9470" s="32">
        <f>IFERROR(__xludf.DUMMYFUNCTION("""COMPUTED_VALUE"""),1.0)</f>
        <v>1</v>
      </c>
      <c r="M9470" s="4" t="str">
        <f>IFERROR(__xludf.DUMMYFUNCTION("""COMPUTED_VALUE"""),"Brendi")</f>
        <v>Brendi</v>
      </c>
      <c r="N9470" s="33">
        <f>IFERROR(__xludf.DUMMYFUNCTION("""COMPUTED_VALUE"""),1.0)</f>
        <v>1</v>
      </c>
      <c r="O9470" s="4" t="str">
        <f>IFERROR(__xludf.DUMMYFUNCTION("""COMPUTED_VALUE"""),"Brendi")</f>
        <v>Brendi</v>
      </c>
      <c r="P9470" s="33">
        <f>IFERROR(__xludf.DUMMYFUNCTION("""COMPUTED_VALUE"""),1.0)</f>
        <v>1</v>
      </c>
      <c r="Q9470" s="4" t="str">
        <f>IFERROR(__xludf.DUMMYFUNCTION("""COMPUTED_VALUE"""),"Brendi")</f>
        <v>Brendi</v>
      </c>
      <c r="R9470" s="33">
        <f>IFERROR(__xludf.DUMMYFUNCTION("""COMPUTED_VALUE"""),1.0)</f>
        <v>1</v>
      </c>
      <c r="S9470" s="4" t="str">
        <f>IFERROR(__xludf.DUMMYFUNCTION("""COMPUTED_VALUE"""),"Brendi")</f>
        <v>Brendi</v>
      </c>
      <c r="T9470" s="33">
        <f>IFERROR(__xludf.DUMMYFUNCTION("""COMPUTED_VALUE"""),1.0)</f>
        <v>1</v>
      </c>
      <c r="U9470" s="4" t="str">
        <f>IFERROR(__xludf.DUMMYFUNCTION("""COMPUTED_VALUE"""),"Brendi")</f>
        <v>Brendi</v>
      </c>
      <c r="V9470" s="33">
        <f>IFERROR(__xludf.DUMMYFUNCTION("""COMPUTED_VALUE"""),1.0)</f>
        <v>1</v>
      </c>
      <c r="W9470" s="4" t="str">
        <f>IFERROR(__xludf.DUMMYFUNCTION("""COMPUTED_VALUE"""),"Brendi")</f>
        <v>Brendi</v>
      </c>
      <c r="X9470" s="33">
        <f>IFERROR(__xludf.DUMMYFUNCTION("""COMPUTED_VALUE"""),1.0)</f>
        <v>1</v>
      </c>
    </row>
    <row r="9471">
      <c r="K9471" s="4" t="str">
        <f>IFERROR(__xludf.DUMMYFUNCTION("""COMPUTED_VALUE"""),"JUDITE COOKIES DOCES")</f>
        <v>JUDITE COOKIES DOCES</v>
      </c>
      <c r="L9471" s="32">
        <f>IFERROR(__xludf.DUMMYFUNCTION("""COMPUTED_VALUE"""),1.0)</f>
        <v>1</v>
      </c>
      <c r="M9471" s="4" t="str">
        <f>IFERROR(__xludf.DUMMYFUNCTION("""COMPUTED_VALUE"""),"Instadelivery")</f>
        <v>Instadelivery</v>
      </c>
      <c r="N9471" s="33">
        <f>IFERROR(__xludf.DUMMYFUNCTION("""COMPUTED_VALUE"""),1.0)</f>
        <v>1</v>
      </c>
      <c r="O9471" s="4" t="str">
        <f>IFERROR(__xludf.DUMMYFUNCTION("""COMPUTED_VALUE"""),"Instadelivery")</f>
        <v>Instadelivery</v>
      </c>
      <c r="P9471" s="33">
        <f>IFERROR(__xludf.DUMMYFUNCTION("""COMPUTED_VALUE"""),1.0)</f>
        <v>1</v>
      </c>
      <c r="Q9471" s="4" t="str">
        <f>IFERROR(__xludf.DUMMYFUNCTION("""COMPUTED_VALUE"""),"Instadelivery")</f>
        <v>Instadelivery</v>
      </c>
      <c r="R9471" s="33">
        <f>IFERROR(__xludf.DUMMYFUNCTION("""COMPUTED_VALUE"""),1.0)</f>
        <v>1</v>
      </c>
      <c r="S9471" s="4" t="str">
        <f>IFERROR(__xludf.DUMMYFUNCTION("""COMPUTED_VALUE"""),"Instadelivery")</f>
        <v>Instadelivery</v>
      </c>
      <c r="T9471" s="33">
        <f>IFERROR(__xludf.DUMMYFUNCTION("""COMPUTED_VALUE"""),1.0)</f>
        <v>1</v>
      </c>
      <c r="U9471" s="4" t="str">
        <f>IFERROR(__xludf.DUMMYFUNCTION("""COMPUTED_VALUE"""),"null")</f>
        <v>null</v>
      </c>
      <c r="V9471" s="33">
        <f>IFERROR(__xludf.DUMMYFUNCTION("""COMPUTED_VALUE"""),1.0)</f>
        <v>1</v>
      </c>
      <c r="W9471" s="4" t="str">
        <f>IFERROR(__xludf.DUMMYFUNCTION("""COMPUTED_VALUE"""),"null")</f>
        <v>null</v>
      </c>
      <c r="X9471" s="33">
        <f>IFERROR(__xludf.DUMMYFUNCTION("""COMPUTED_VALUE"""),1.0)</f>
        <v>1</v>
      </c>
    </row>
    <row r="9472">
      <c r="K9472" s="4" t="str">
        <f>IFERROR(__xludf.DUMMYFUNCTION("""COMPUTED_VALUE"""),"MERCADINHO LISBOA")</f>
        <v>MERCADINHO LISBOA</v>
      </c>
      <c r="L9472" s="32">
        <f>IFERROR(__xludf.DUMMYFUNCTION("""COMPUTED_VALUE"""),1.0)</f>
        <v>1</v>
      </c>
      <c r="M9472" s="4" t="str">
        <f>IFERROR(__xludf.DUMMYFUNCTION("""COMPUTED_VALUE"""),"null")</f>
        <v>null</v>
      </c>
      <c r="N9472" s="33">
        <f>IFERROR(__xludf.DUMMYFUNCTION("""COMPUTED_VALUE"""),1.0)</f>
        <v>1</v>
      </c>
      <c r="O9472" s="4" t="str">
        <f>IFERROR(__xludf.DUMMYFUNCTION("""COMPUTED_VALUE"""),"null")</f>
        <v>null</v>
      </c>
      <c r="P9472" s="33">
        <f>IFERROR(__xludf.DUMMYFUNCTION("""COMPUTED_VALUE"""),1.0)</f>
        <v>1</v>
      </c>
      <c r="Q9472" s="4" t="str">
        <f>IFERROR(__xludf.DUMMYFUNCTION("""COMPUTED_VALUE"""),"N/A (Not found)")</f>
        <v>N/A (Not found)</v>
      </c>
      <c r="R9472" s="33">
        <f>IFERROR(__xludf.DUMMYFUNCTION("""COMPUTED_VALUE"""),1.0)</f>
        <v>1</v>
      </c>
      <c r="S9472" s="4" t="str">
        <f>IFERROR(__xludf.DUMMYFUNCTION("""COMPUTED_VALUE"""),"N/A (Not found)")</f>
        <v>N/A (Not found)</v>
      </c>
      <c r="T9472" s="33">
        <f>IFERROR(__xludf.DUMMYFUNCTION("""COMPUTED_VALUE"""),1.0)</f>
        <v>1</v>
      </c>
      <c r="U9472" s="4" t="str">
        <f>IFERROR(__xludf.DUMMYFUNCTION("""COMPUTED_VALUE"""),"N/A (Not found)")</f>
        <v>N/A (Not found)</v>
      </c>
      <c r="V9472" s="33">
        <f>IFERROR(__xludf.DUMMYFUNCTION("""COMPUTED_VALUE"""),1.0)</f>
        <v>1</v>
      </c>
      <c r="W9472" s="4" t="str">
        <f>IFERROR(__xludf.DUMMYFUNCTION("""COMPUTED_VALUE"""),"N/A (Not found)")</f>
        <v>N/A (Not found)</v>
      </c>
      <c r="X9472" s="33">
        <f>IFERROR(__xludf.DUMMYFUNCTION("""COMPUTED_VALUE"""),1.0)</f>
        <v>1</v>
      </c>
    </row>
    <row r="9473">
      <c r="K9473" s="4" t="str">
        <f>IFERROR(__xludf.DUMMYFUNCTION("""COMPUTED_VALUE"""),"CANTINHO KERO ACAI PIRATININGA")</f>
        <v>CANTINHO KERO ACAI PIRATININGA</v>
      </c>
      <c r="L9473" s="32">
        <f>IFERROR(__xludf.DUMMYFUNCTION("""COMPUTED_VALUE"""),1.0)</f>
        <v>1</v>
      </c>
      <c r="M9473" s="4" t="str">
        <f>IFERROR(__xludf.DUMMYFUNCTION("""COMPUTED_VALUE"""),"Saipos Serviços De Software")</f>
        <v>Saipos Serviços De Software</v>
      </c>
      <c r="N9473" s="33">
        <f>IFERROR(__xludf.DUMMYFUNCTION("""COMPUTED_VALUE"""),1.0)</f>
        <v>1</v>
      </c>
      <c r="O9473" s="4" t="str">
        <f>IFERROR(__xludf.DUMMYFUNCTION("""COMPUTED_VALUE"""),"Saipos Serviços De Software")</f>
        <v>Saipos Serviços De Software</v>
      </c>
      <c r="P9473" s="33">
        <f>IFERROR(__xludf.DUMMYFUNCTION("""COMPUTED_VALUE"""),1.0)</f>
        <v>1</v>
      </c>
      <c r="Q9473" s="4" t="str">
        <f>IFERROR(__xludf.DUMMYFUNCTION("""COMPUTED_VALUE"""),"Saipos Serviços De Software")</f>
        <v>Saipos Serviços De Software</v>
      </c>
      <c r="R9473" s="33">
        <f>IFERROR(__xludf.DUMMYFUNCTION("""COMPUTED_VALUE"""),1.0)</f>
        <v>1</v>
      </c>
      <c r="S9473" s="4" t="str">
        <f>IFERROR(__xludf.DUMMYFUNCTION("""COMPUTED_VALUE"""),"Saipos Serviços De Software")</f>
        <v>Saipos Serviços De Software</v>
      </c>
      <c r="T9473" s="33">
        <f>IFERROR(__xludf.DUMMYFUNCTION("""COMPUTED_VALUE"""),1.0)</f>
        <v>1</v>
      </c>
      <c r="U9473" s="4" t="str">
        <f>IFERROR(__xludf.DUMMYFUNCTION("""COMPUTED_VALUE"""),"Saipos Serviços De Software")</f>
        <v>Saipos Serviços De Software</v>
      </c>
      <c r="V9473" s="33">
        <f>IFERROR(__xludf.DUMMYFUNCTION("""COMPUTED_VALUE"""),1.0)</f>
        <v>1</v>
      </c>
      <c r="W9473" s="4" t="str">
        <f>IFERROR(__xludf.DUMMYFUNCTION("""COMPUTED_VALUE"""),"Saipos Serviços De Software")</f>
        <v>Saipos Serviços De Software</v>
      </c>
      <c r="X9473" s="33">
        <f>IFERROR(__xludf.DUMMYFUNCTION("""COMPUTED_VALUE"""),1.0)</f>
        <v>1</v>
      </c>
    </row>
    <row r="9474">
      <c r="K9474" s="4" t="str">
        <f>IFERROR(__xludf.DUMMYFUNCTION("""COMPUTED_VALUE"""),"DONA ONCA DELIVERY")</f>
        <v>DONA ONCA DELIVERY</v>
      </c>
      <c r="L9474" s="32">
        <f>IFERROR(__xludf.DUMMYFUNCTION("""COMPUTED_VALUE"""),1.0)</f>
        <v>1</v>
      </c>
      <c r="M9474" s="4" t="str">
        <f>IFERROR(__xludf.DUMMYFUNCTION("""COMPUTED_VALUE"""),"Consumer Soluções Em Tecnologia Ltda")</f>
        <v>Consumer Soluções Em Tecnologia Ltda</v>
      </c>
      <c r="N9474" s="33">
        <f>IFERROR(__xludf.DUMMYFUNCTION("""COMPUTED_VALUE"""),1.0)</f>
        <v>1</v>
      </c>
      <c r="O9474" s="4" t="str">
        <f>IFERROR(__xludf.DUMMYFUNCTION("""COMPUTED_VALUE"""),"Consumer Soluções Em Tecnologia Ltda")</f>
        <v>Consumer Soluções Em Tecnologia Ltda</v>
      </c>
      <c r="P9474" s="33">
        <f>IFERROR(__xludf.DUMMYFUNCTION("""COMPUTED_VALUE"""),1.0)</f>
        <v>1</v>
      </c>
      <c r="Q9474" s="4" t="str">
        <f>IFERROR(__xludf.DUMMYFUNCTION("""COMPUTED_VALUE"""),"Consumer Soluções Em Tecnologia Ltda")</f>
        <v>Consumer Soluções Em Tecnologia Ltda</v>
      </c>
      <c r="R9474" s="33">
        <f>IFERROR(__xludf.DUMMYFUNCTION("""COMPUTED_VALUE"""),1.0)</f>
        <v>1</v>
      </c>
      <c r="S9474" s="4" t="str">
        <f>IFERROR(__xludf.DUMMYFUNCTION("""COMPUTED_VALUE"""),"Consumer Soluções Em Tecnologia Ltda")</f>
        <v>Consumer Soluções Em Tecnologia Ltda</v>
      </c>
      <c r="T9474" s="33">
        <f>IFERROR(__xludf.DUMMYFUNCTION("""COMPUTED_VALUE"""),1.0)</f>
        <v>1</v>
      </c>
      <c r="U9474" s="4" t="str">
        <f>IFERROR(__xludf.DUMMYFUNCTION("""COMPUTED_VALUE"""),"Consumer Soluções Em Tecnologia Ltda")</f>
        <v>Consumer Soluções Em Tecnologia Ltda</v>
      </c>
      <c r="V9474" s="33">
        <f>IFERROR(__xludf.DUMMYFUNCTION("""COMPUTED_VALUE"""),1.0)</f>
        <v>1</v>
      </c>
      <c r="W9474" s="4" t="str">
        <f>IFERROR(__xludf.DUMMYFUNCTION("""COMPUTED_VALUE"""),"Consumer Soluções Em Tecnologia Ltda")</f>
        <v>Consumer Soluções Em Tecnologia Ltda</v>
      </c>
      <c r="X9474" s="33">
        <f>IFERROR(__xludf.DUMMYFUNCTION("""COMPUTED_VALUE"""),1.0)</f>
        <v>1</v>
      </c>
    </row>
    <row r="9475">
      <c r="K9475" s="4" t="str">
        <f>IFERROR(__xludf.DUMMYFUNCTION("""COMPUTED_VALUE"""),"CACHORRO DO JAO - HOT DOG ARTESENAL - SHOPPING PELOTAS")</f>
        <v>CACHORRO DO JAO - HOT DOG ARTESENAL - SHOPPING PELOTAS</v>
      </c>
      <c r="L9475" s="32">
        <f>IFERROR(__xludf.DUMMYFUNCTION("""COMPUTED_VALUE"""),1.0)</f>
        <v>1</v>
      </c>
      <c r="M9475" s="4" t="str">
        <f>IFERROR(__xludf.DUMMYFUNCTION("""COMPUTED_VALUE"""),"Saipos Serviços De Software")</f>
        <v>Saipos Serviços De Software</v>
      </c>
      <c r="N9475" s="33">
        <f>IFERROR(__xludf.DUMMYFUNCTION("""COMPUTED_VALUE"""),1.0)</f>
        <v>1</v>
      </c>
      <c r="O9475" s="4" t="str">
        <f>IFERROR(__xludf.DUMMYFUNCTION("""COMPUTED_VALUE"""),"Saipos Serviços De Software")</f>
        <v>Saipos Serviços De Software</v>
      </c>
      <c r="P9475" s="33">
        <f>IFERROR(__xludf.DUMMYFUNCTION("""COMPUTED_VALUE"""),1.0)</f>
        <v>1</v>
      </c>
      <c r="Q9475" s="4" t="str">
        <f>IFERROR(__xludf.DUMMYFUNCTION("""COMPUTED_VALUE"""),"Saipos Serviços De Software")</f>
        <v>Saipos Serviços De Software</v>
      </c>
      <c r="R9475" s="33">
        <f>IFERROR(__xludf.DUMMYFUNCTION("""COMPUTED_VALUE"""),1.0)</f>
        <v>1</v>
      </c>
      <c r="S9475" s="4" t="str">
        <f>IFERROR(__xludf.DUMMYFUNCTION("""COMPUTED_VALUE"""),"Saipos Serviços De Software")</f>
        <v>Saipos Serviços De Software</v>
      </c>
      <c r="T9475" s="33">
        <f>IFERROR(__xludf.DUMMYFUNCTION("""COMPUTED_VALUE"""),1.0)</f>
        <v>1</v>
      </c>
      <c r="U9475" s="4" t="str">
        <f>IFERROR(__xludf.DUMMYFUNCTION("""COMPUTED_VALUE"""),"Saipos Serviços De Software")</f>
        <v>Saipos Serviços De Software</v>
      </c>
      <c r="V9475" s="33">
        <f>IFERROR(__xludf.DUMMYFUNCTION("""COMPUTED_VALUE"""),1.0)</f>
        <v>1</v>
      </c>
      <c r="W9475" s="4" t="str">
        <f>IFERROR(__xludf.DUMMYFUNCTION("""COMPUTED_VALUE"""),"Saipos Serviços De Software")</f>
        <v>Saipos Serviços De Software</v>
      </c>
      <c r="X9475" s="33">
        <f>IFERROR(__xludf.DUMMYFUNCTION("""COMPUTED_VALUE"""),1.0)</f>
        <v>1</v>
      </c>
    </row>
    <row r="9476">
      <c r="K9476" s="4" t="str">
        <f>IFERROR(__xludf.DUMMYFUNCTION("""COMPUTED_VALUE"""),"EMPORIO TURKZOO")</f>
        <v>EMPORIO TURKZOO</v>
      </c>
      <c r="L9476" s="32">
        <f>IFERROR(__xludf.DUMMYFUNCTION("""COMPUTED_VALUE"""),1.0)</f>
        <v>1</v>
      </c>
      <c r="M9476" s="4" t="str">
        <f>IFERROR(__xludf.DUMMYFUNCTION("""COMPUTED_VALUE"""),"Yooga")</f>
        <v>Yooga</v>
      </c>
      <c r="N9476" s="33">
        <f>IFERROR(__xludf.DUMMYFUNCTION("""COMPUTED_VALUE"""),1.0)</f>
        <v>1</v>
      </c>
      <c r="O9476" s="4" t="str">
        <f>IFERROR(__xludf.DUMMYFUNCTION("""COMPUTED_VALUE"""),"Yooga")</f>
        <v>Yooga</v>
      </c>
      <c r="P9476" s="33">
        <f>IFERROR(__xludf.DUMMYFUNCTION("""COMPUTED_VALUE"""),1.0)</f>
        <v>1</v>
      </c>
      <c r="Q9476" s="4" t="str">
        <f>IFERROR(__xludf.DUMMYFUNCTION("""COMPUTED_VALUE"""),"Yooga")</f>
        <v>Yooga</v>
      </c>
      <c r="R9476" s="33">
        <f>IFERROR(__xludf.DUMMYFUNCTION("""COMPUTED_VALUE"""),1.0)</f>
        <v>1</v>
      </c>
      <c r="S9476" s="4" t="str">
        <f>IFERROR(__xludf.DUMMYFUNCTION("""COMPUTED_VALUE"""),"Yooga")</f>
        <v>Yooga</v>
      </c>
      <c r="T9476" s="33">
        <f>IFERROR(__xludf.DUMMYFUNCTION("""COMPUTED_VALUE"""),1.0)</f>
        <v>1</v>
      </c>
      <c r="U9476" s="4" t="str">
        <f>IFERROR(__xludf.DUMMYFUNCTION("""COMPUTED_VALUE"""),"Yooga")</f>
        <v>Yooga</v>
      </c>
      <c r="V9476" s="33">
        <f>IFERROR(__xludf.DUMMYFUNCTION("""COMPUTED_VALUE"""),1.0)</f>
        <v>1</v>
      </c>
      <c r="W9476" s="4" t="str">
        <f>IFERROR(__xludf.DUMMYFUNCTION("""COMPUTED_VALUE"""),"Yooga")</f>
        <v>Yooga</v>
      </c>
      <c r="X9476" s="33">
        <f>IFERROR(__xludf.DUMMYFUNCTION("""COMPUTED_VALUE"""),1.0)</f>
        <v>1</v>
      </c>
    </row>
    <row r="9477">
      <c r="K9477" s="4" t="str">
        <f>IFERROR(__xludf.DUMMYFUNCTION("""COMPUTED_VALUE"""),"RESTAURANTE CHURRASCARIA COLONIA DO SULL")</f>
        <v>RESTAURANTE CHURRASCARIA COLONIA DO SULL</v>
      </c>
      <c r="L9477" s="32">
        <f>IFERROR(__xludf.DUMMYFUNCTION("""COMPUTED_VALUE"""),1.0)</f>
        <v>1</v>
      </c>
      <c r="M9477" s="4" t="str">
        <f>IFERROR(__xludf.DUMMYFUNCTION("""COMPUTED_VALUE"""),"null")</f>
        <v>null</v>
      </c>
      <c r="N9477" s="33">
        <f>IFERROR(__xludf.DUMMYFUNCTION("""COMPUTED_VALUE"""),1.0)</f>
        <v>1</v>
      </c>
      <c r="O9477" s="4" t="str">
        <f>IFERROR(__xludf.DUMMYFUNCTION("""COMPUTED_VALUE"""),"Whatsmenu Ltda")</f>
        <v>Whatsmenu Ltda</v>
      </c>
      <c r="P9477" s="33">
        <f>IFERROR(__xludf.DUMMYFUNCTION("""COMPUTED_VALUE"""),1.0)</f>
        <v>1</v>
      </c>
      <c r="Q9477" s="4" t="str">
        <f>IFERROR(__xludf.DUMMYFUNCTION("""COMPUTED_VALUE"""),"null")</f>
        <v>null</v>
      </c>
      <c r="R9477" s="33">
        <f>IFERROR(__xludf.DUMMYFUNCTION("""COMPUTED_VALUE"""),1.0)</f>
        <v>1</v>
      </c>
      <c r="S9477" s="4" t="str">
        <f>IFERROR(__xludf.DUMMYFUNCTION("""COMPUTED_VALUE"""),"null")</f>
        <v>null</v>
      </c>
      <c r="T9477" s="33">
        <f>IFERROR(__xludf.DUMMYFUNCTION("""COMPUTED_VALUE"""),1.0)</f>
        <v>1</v>
      </c>
      <c r="U9477" s="4" t="str">
        <f>IFERROR(__xludf.DUMMYFUNCTION("""COMPUTED_VALUE"""),"null")</f>
        <v>null</v>
      </c>
      <c r="V9477" s="33">
        <f>IFERROR(__xludf.DUMMYFUNCTION("""COMPUTED_VALUE"""),1.0)</f>
        <v>1</v>
      </c>
      <c r="W9477" s="4" t="str">
        <f>IFERROR(__xludf.DUMMYFUNCTION("""COMPUTED_VALUE"""),"null")</f>
        <v>null</v>
      </c>
      <c r="X9477" s="33">
        <f>IFERROR(__xludf.DUMMYFUNCTION("""COMPUTED_VALUE"""),1.0)</f>
        <v>1</v>
      </c>
    </row>
    <row r="9478">
      <c r="K9478" s="4" t="str">
        <f>IFERROR(__xludf.DUMMYFUNCTION("""COMPUTED_VALUE"""),"CASA DA PIZZA SUPREMA - DELIVERY")</f>
        <v>CASA DA PIZZA SUPREMA - DELIVERY</v>
      </c>
      <c r="L9478" s="32">
        <f>IFERROR(__xludf.DUMMYFUNCTION("""COMPUTED_VALUE"""),1.0)</f>
        <v>1</v>
      </c>
      <c r="M9478" s="4" t="str">
        <f>IFERROR(__xludf.DUMMYFUNCTION("""COMPUTED_VALUE"""),"Saipos Serviços De Software")</f>
        <v>Saipos Serviços De Software</v>
      </c>
      <c r="N9478" s="33">
        <f>IFERROR(__xludf.DUMMYFUNCTION("""COMPUTED_VALUE"""),1.0)</f>
        <v>1</v>
      </c>
      <c r="O9478" s="4" t="str">
        <f>IFERROR(__xludf.DUMMYFUNCTION("""COMPUTED_VALUE"""),"null")</f>
        <v>null</v>
      </c>
      <c r="P9478" s="33">
        <f>IFERROR(__xludf.DUMMYFUNCTION("""COMPUTED_VALUE"""),1.0)</f>
        <v>1</v>
      </c>
      <c r="Q9478" s="4" t="str">
        <f>IFERROR(__xludf.DUMMYFUNCTION("""COMPUTED_VALUE"""),"null")</f>
        <v>null</v>
      </c>
      <c r="R9478" s="33">
        <f>IFERROR(__xludf.DUMMYFUNCTION("""COMPUTED_VALUE"""),1.0)</f>
        <v>1</v>
      </c>
      <c r="S9478" s="4" t="str">
        <f>IFERROR(__xludf.DUMMYFUNCTION("""COMPUTED_VALUE"""),"null")</f>
        <v>null</v>
      </c>
      <c r="T9478" s="33">
        <f>IFERROR(__xludf.DUMMYFUNCTION("""COMPUTED_VALUE"""),1.0)</f>
        <v>1</v>
      </c>
      <c r="U9478" s="4" t="str">
        <f>IFERROR(__xludf.DUMMYFUNCTION("""COMPUTED_VALUE"""),"null")</f>
        <v>null</v>
      </c>
      <c r="V9478" s="33">
        <f>IFERROR(__xludf.DUMMYFUNCTION("""COMPUTED_VALUE"""),1.0)</f>
        <v>1</v>
      </c>
      <c r="W9478" s="4" t="str">
        <f>IFERROR(__xludf.DUMMYFUNCTION("""COMPUTED_VALUE"""),"null")</f>
        <v>null</v>
      </c>
      <c r="X9478" s="33">
        <f>IFERROR(__xludf.DUMMYFUNCTION("""COMPUTED_VALUE"""),1.0)</f>
        <v>1</v>
      </c>
    </row>
    <row r="9479">
      <c r="K9479" s="4" t="str">
        <f>IFERROR(__xludf.DUMMYFUNCTION("""COMPUTED_VALUE"""),"JOICE PAIVA BOLOS E DOCES")</f>
        <v>JOICE PAIVA BOLOS E DOCES</v>
      </c>
      <c r="L9479" s="32">
        <f>IFERROR(__xludf.DUMMYFUNCTION("""COMPUTED_VALUE"""),1.0)</f>
        <v>1</v>
      </c>
      <c r="M9479" s="4" t="str">
        <f>IFERROR(__xludf.DUMMYFUNCTION("""COMPUTED_VALUE"""),"Olaclick")</f>
        <v>Olaclick</v>
      </c>
      <c r="N9479" s="33">
        <f>IFERROR(__xludf.DUMMYFUNCTION("""COMPUTED_VALUE"""),1.0)</f>
        <v>1</v>
      </c>
      <c r="O9479" s="4" t="str">
        <f>IFERROR(__xludf.DUMMYFUNCTION("""COMPUTED_VALUE"""),"null")</f>
        <v>null</v>
      </c>
      <c r="P9479" s="33">
        <f>IFERROR(__xludf.DUMMYFUNCTION("""COMPUTED_VALUE"""),1.0)</f>
        <v>1</v>
      </c>
      <c r="Q9479" s="4" t="str">
        <f>IFERROR(__xludf.DUMMYFUNCTION("""COMPUTED_VALUE"""),"Saipos Serviços De Software")</f>
        <v>Saipos Serviços De Software</v>
      </c>
      <c r="R9479" s="33">
        <f>IFERROR(__xludf.DUMMYFUNCTION("""COMPUTED_VALUE"""),1.0)</f>
        <v>1</v>
      </c>
      <c r="S9479" s="4" t="str">
        <f>IFERROR(__xludf.DUMMYFUNCTION("""COMPUTED_VALUE"""),"null")</f>
        <v>null</v>
      </c>
      <c r="T9479" s="33">
        <f>IFERROR(__xludf.DUMMYFUNCTION("""COMPUTED_VALUE"""),1.0)</f>
        <v>1</v>
      </c>
      <c r="U9479" s="4" t="str">
        <f>IFERROR(__xludf.DUMMYFUNCTION("""COMPUTED_VALUE"""),"null")</f>
        <v>null</v>
      </c>
      <c r="V9479" s="33">
        <f>IFERROR(__xludf.DUMMYFUNCTION("""COMPUTED_VALUE"""),1.0)</f>
        <v>1</v>
      </c>
      <c r="W9479" s="4" t="str">
        <f>IFERROR(__xludf.DUMMYFUNCTION("""COMPUTED_VALUE"""),"null")</f>
        <v>null</v>
      </c>
      <c r="X9479" s="33">
        <f>IFERROR(__xludf.DUMMYFUNCTION("""COMPUTED_VALUE"""),1.0)</f>
        <v>1</v>
      </c>
    </row>
    <row r="9480">
      <c r="K9480" s="4" t="str">
        <f>IFERROR(__xludf.DUMMYFUNCTION("""COMPUTED_VALUE"""),"MONALISA PIZZARIA")</f>
        <v>MONALISA PIZZARIA</v>
      </c>
      <c r="L9480" s="32">
        <f>IFERROR(__xludf.DUMMYFUNCTION("""COMPUTED_VALUE"""),1.0)</f>
        <v>1</v>
      </c>
      <c r="M9480" s="4" t="str">
        <f>IFERROR(__xludf.DUMMYFUNCTION("""COMPUTED_VALUE"""),"Anota Ai Solucoes Digitais S/a")</f>
        <v>Anota Ai Solucoes Digitais S/a</v>
      </c>
      <c r="N9480" s="33">
        <f>IFERROR(__xludf.DUMMYFUNCTION("""COMPUTED_VALUE"""),1.0)</f>
        <v>1</v>
      </c>
      <c r="O9480" s="4" t="str">
        <f>IFERROR(__xludf.DUMMYFUNCTION("""COMPUTED_VALUE"""),"Anota Ai Solucoes Digitais S/a")</f>
        <v>Anota Ai Solucoes Digitais S/a</v>
      </c>
      <c r="P9480" s="33">
        <f>IFERROR(__xludf.DUMMYFUNCTION("""COMPUTED_VALUE"""),1.0)</f>
        <v>1</v>
      </c>
      <c r="Q9480" s="4" t="str">
        <f>IFERROR(__xludf.DUMMYFUNCTION("""COMPUTED_VALUE"""),"Anota Ai Solucoes Digitais S/a")</f>
        <v>Anota Ai Solucoes Digitais S/a</v>
      </c>
      <c r="R9480" s="33">
        <f>IFERROR(__xludf.DUMMYFUNCTION("""COMPUTED_VALUE"""),1.0)</f>
        <v>1</v>
      </c>
      <c r="S9480" s="4" t="str">
        <f>IFERROR(__xludf.DUMMYFUNCTION("""COMPUTED_VALUE"""),"Anota Ai Solucoes Digitais S/a")</f>
        <v>Anota Ai Solucoes Digitais S/a</v>
      </c>
      <c r="T9480" s="33">
        <f>IFERROR(__xludf.DUMMYFUNCTION("""COMPUTED_VALUE"""),1.0)</f>
        <v>1</v>
      </c>
      <c r="U9480" s="4" t="str">
        <f>IFERROR(__xludf.DUMMYFUNCTION("""COMPUTED_VALUE"""),"Anota Ai Solucoes Digitais S/a")</f>
        <v>Anota Ai Solucoes Digitais S/a</v>
      </c>
      <c r="V9480" s="33">
        <f>IFERROR(__xludf.DUMMYFUNCTION("""COMPUTED_VALUE"""),1.0)</f>
        <v>1</v>
      </c>
      <c r="W9480" s="4" t="str">
        <f>IFERROR(__xludf.DUMMYFUNCTION("""COMPUTED_VALUE"""),"Anota Ai Solucoes Digitais S/a")</f>
        <v>Anota Ai Solucoes Digitais S/a</v>
      </c>
      <c r="X9480" s="33">
        <f>IFERROR(__xludf.DUMMYFUNCTION("""COMPUTED_VALUE"""),1.0)</f>
        <v>1</v>
      </c>
    </row>
    <row r="9481">
      <c r="K9481" s="4" t="str">
        <f>IFERROR(__xludf.DUMMYFUNCTION("""COMPUTED_VALUE"""),"RESTAURANTE HOTPEPPER")</f>
        <v>RESTAURANTE HOTPEPPER</v>
      </c>
      <c r="L9481" s="32">
        <f>IFERROR(__xludf.DUMMYFUNCTION("""COMPUTED_VALUE"""),1.0)</f>
        <v>1</v>
      </c>
      <c r="M9481" s="4" t="str">
        <f>IFERROR(__xludf.DUMMYFUNCTION("""COMPUTED_VALUE"""),"Anota Ai Solucoes Digitais S/a")</f>
        <v>Anota Ai Solucoes Digitais S/a</v>
      </c>
      <c r="N9481" s="33">
        <f>IFERROR(__xludf.DUMMYFUNCTION("""COMPUTED_VALUE"""),1.0)</f>
        <v>1</v>
      </c>
      <c r="O9481" s="4" t="str">
        <f>IFERROR(__xludf.DUMMYFUNCTION("""COMPUTED_VALUE"""),"null")</f>
        <v>null</v>
      </c>
      <c r="P9481" s="33">
        <f>IFERROR(__xludf.DUMMYFUNCTION("""COMPUTED_VALUE"""),1.0)</f>
        <v>1</v>
      </c>
      <c r="Q9481" s="4" t="str">
        <f>IFERROR(__xludf.DUMMYFUNCTION("""COMPUTED_VALUE"""),"Anota Ai Solucoes Digitais S/a")</f>
        <v>Anota Ai Solucoes Digitais S/a</v>
      </c>
      <c r="R9481" s="33">
        <f>IFERROR(__xludf.DUMMYFUNCTION("""COMPUTED_VALUE"""),1.0)</f>
        <v>1</v>
      </c>
      <c r="S9481" s="4" t="str">
        <f>IFERROR(__xludf.DUMMYFUNCTION("""COMPUTED_VALUE"""),"Anota Ai Solucoes Digitais S/a")</f>
        <v>Anota Ai Solucoes Digitais S/a</v>
      </c>
      <c r="T9481" s="33">
        <f>IFERROR(__xludf.DUMMYFUNCTION("""COMPUTED_VALUE"""),1.0)</f>
        <v>1</v>
      </c>
      <c r="U9481" s="4" t="str">
        <f>IFERROR(__xludf.DUMMYFUNCTION("""COMPUTED_VALUE"""),"Anota Ai Solucoes Digitais S/a")</f>
        <v>Anota Ai Solucoes Digitais S/a</v>
      </c>
      <c r="V9481" s="33">
        <f>IFERROR(__xludf.DUMMYFUNCTION("""COMPUTED_VALUE"""),1.0)</f>
        <v>1</v>
      </c>
      <c r="W9481" s="4" t="str">
        <f>IFERROR(__xludf.DUMMYFUNCTION("""COMPUTED_VALUE"""),"Anota Ai Solucoes Digitais S/a")</f>
        <v>Anota Ai Solucoes Digitais S/a</v>
      </c>
      <c r="X9481" s="33">
        <f>IFERROR(__xludf.DUMMYFUNCTION("""COMPUTED_VALUE"""),1.0)</f>
        <v>1</v>
      </c>
    </row>
    <row r="9482">
      <c r="K9482" s="4" t="str">
        <f>IFERROR(__xludf.DUMMYFUNCTION("""COMPUTED_VALUE"""),"PETISCARIA CORREA - CALDO, ESPETO E PORCOES")</f>
        <v>PETISCARIA CORREA - CALDO, ESPETO E PORCOES</v>
      </c>
      <c r="L9482" s="32">
        <f>IFERROR(__xludf.DUMMYFUNCTION("""COMPUTED_VALUE"""),1.0)</f>
        <v>1</v>
      </c>
      <c r="M9482" s="4" t="str">
        <f>IFERROR(__xludf.DUMMYFUNCTION("""COMPUTED_VALUE"""),"Saipos Serviços De Software")</f>
        <v>Saipos Serviços De Software</v>
      </c>
      <c r="N9482" s="33">
        <f>IFERROR(__xludf.DUMMYFUNCTION("""COMPUTED_VALUE"""),1.0)</f>
        <v>1</v>
      </c>
      <c r="O9482" s="4" t="str">
        <f>IFERROR(__xludf.DUMMYFUNCTION("""COMPUTED_VALUE"""),"Saipos Serviços De Software")</f>
        <v>Saipos Serviços De Software</v>
      </c>
      <c r="P9482" s="33">
        <f>IFERROR(__xludf.DUMMYFUNCTION("""COMPUTED_VALUE"""),1.0)</f>
        <v>1</v>
      </c>
      <c r="Q9482" s="4" t="str">
        <f>IFERROR(__xludf.DUMMYFUNCTION("""COMPUTED_VALUE"""),"Saipos Serviços De Software")</f>
        <v>Saipos Serviços De Software</v>
      </c>
      <c r="R9482" s="33">
        <f>IFERROR(__xludf.DUMMYFUNCTION("""COMPUTED_VALUE"""),1.0)</f>
        <v>1</v>
      </c>
      <c r="S9482" s="4" t="str">
        <f>IFERROR(__xludf.DUMMYFUNCTION("""COMPUTED_VALUE"""),"Saipos Serviços De Software")</f>
        <v>Saipos Serviços De Software</v>
      </c>
      <c r="T9482" s="33">
        <f>IFERROR(__xludf.DUMMYFUNCTION("""COMPUTED_VALUE"""),1.0)</f>
        <v>1</v>
      </c>
      <c r="U9482" s="4" t="str">
        <f>IFERROR(__xludf.DUMMYFUNCTION("""COMPUTED_VALUE"""),"Saipos Serviços De Software")</f>
        <v>Saipos Serviços De Software</v>
      </c>
      <c r="V9482" s="33">
        <f>IFERROR(__xludf.DUMMYFUNCTION("""COMPUTED_VALUE"""),1.0)</f>
        <v>1</v>
      </c>
      <c r="W9482" s="4" t="str">
        <f>IFERROR(__xludf.DUMMYFUNCTION("""COMPUTED_VALUE"""),"Saipos Serviços De Software")</f>
        <v>Saipos Serviços De Software</v>
      </c>
      <c r="X9482" s="33">
        <f>IFERROR(__xludf.DUMMYFUNCTION("""COMPUTED_VALUE"""),1.0)</f>
        <v>1</v>
      </c>
    </row>
    <row r="9483">
      <c r="K9483" s="4" t="str">
        <f>IFERROR(__xludf.DUMMYFUNCTION("""COMPUTED_VALUE"""),"PIZZARIA AMARAL")</f>
        <v>PIZZARIA AMARAL</v>
      </c>
      <c r="L9483" s="32">
        <f>IFERROR(__xludf.DUMMYFUNCTION("""COMPUTED_VALUE"""),1.0)</f>
        <v>1</v>
      </c>
      <c r="M9483" s="4" t="str">
        <f>IFERROR(__xludf.DUMMYFUNCTION("""COMPUTED_VALUE"""),"Cardápio Web")</f>
        <v>Cardápio Web</v>
      </c>
      <c r="N9483" s="33">
        <f>IFERROR(__xludf.DUMMYFUNCTION("""COMPUTED_VALUE"""),1.0)</f>
        <v>1</v>
      </c>
      <c r="O9483" s="4" t="str">
        <f>IFERROR(__xludf.DUMMYFUNCTION("""COMPUTED_VALUE"""),"Cardápio Web")</f>
        <v>Cardápio Web</v>
      </c>
      <c r="P9483" s="33">
        <f>IFERROR(__xludf.DUMMYFUNCTION("""COMPUTED_VALUE"""),1.0)</f>
        <v>1</v>
      </c>
      <c r="Q9483" s="4" t="str">
        <f>IFERROR(__xludf.DUMMYFUNCTION("""COMPUTED_VALUE"""),"Cardápio Web")</f>
        <v>Cardápio Web</v>
      </c>
      <c r="R9483" s="33">
        <f>IFERROR(__xludf.DUMMYFUNCTION("""COMPUTED_VALUE"""),1.0)</f>
        <v>1</v>
      </c>
      <c r="S9483" s="4" t="str">
        <f>IFERROR(__xludf.DUMMYFUNCTION("""COMPUTED_VALUE"""),"Cardápio Web")</f>
        <v>Cardápio Web</v>
      </c>
      <c r="T9483" s="33">
        <f>IFERROR(__xludf.DUMMYFUNCTION("""COMPUTED_VALUE"""),1.0)</f>
        <v>1</v>
      </c>
      <c r="U9483" s="4" t="str">
        <f>IFERROR(__xludf.DUMMYFUNCTION("""COMPUTED_VALUE"""),"Cardápio Web")</f>
        <v>Cardápio Web</v>
      </c>
      <c r="V9483" s="33">
        <f>IFERROR(__xludf.DUMMYFUNCTION("""COMPUTED_VALUE"""),1.0)</f>
        <v>1</v>
      </c>
      <c r="W9483" s="4" t="str">
        <f>IFERROR(__xludf.DUMMYFUNCTION("""COMPUTED_VALUE"""),"Cardápio Web")</f>
        <v>Cardápio Web</v>
      </c>
      <c r="X9483" s="33">
        <f>IFERROR(__xludf.DUMMYFUNCTION("""COMPUTED_VALUE"""),1.0)</f>
        <v>1</v>
      </c>
    </row>
    <row r="9484">
      <c r="K9484" s="4" t="str">
        <f>IFERROR(__xludf.DUMMYFUNCTION("""COMPUTED_VALUE"""),"PIZZARIA - PEPPI PIZZA SETOR OESTE")</f>
        <v>PIZZARIA - PEPPI PIZZA SETOR OESTE</v>
      </c>
      <c r="L9484" s="32">
        <f>IFERROR(__xludf.DUMMYFUNCTION("""COMPUTED_VALUE"""),1.0)</f>
        <v>1</v>
      </c>
      <c r="M9484" s="4" t="str">
        <f>IFERROR(__xludf.DUMMYFUNCTION("""COMPUTED_VALUE"""),"Grsoft")</f>
        <v>Grsoft</v>
      </c>
      <c r="N9484" s="33">
        <f>IFERROR(__xludf.DUMMYFUNCTION("""COMPUTED_VALUE"""),1.0)</f>
        <v>1</v>
      </c>
      <c r="O9484" s="4" t="str">
        <f>IFERROR(__xludf.DUMMYFUNCTION("""COMPUTED_VALUE"""),"Grsoft")</f>
        <v>Grsoft</v>
      </c>
      <c r="P9484" s="33">
        <f>IFERROR(__xludf.DUMMYFUNCTION("""COMPUTED_VALUE"""),1.0)</f>
        <v>1</v>
      </c>
      <c r="Q9484" s="4" t="str">
        <f>IFERROR(__xludf.DUMMYFUNCTION("""COMPUTED_VALUE"""),"Grsoft")</f>
        <v>Grsoft</v>
      </c>
      <c r="R9484" s="33">
        <f>IFERROR(__xludf.DUMMYFUNCTION("""COMPUTED_VALUE"""),1.0)</f>
        <v>1</v>
      </c>
      <c r="S9484" s="4" t="str">
        <f>IFERROR(__xludf.DUMMYFUNCTION("""COMPUTED_VALUE"""),"Grsoft")</f>
        <v>Grsoft</v>
      </c>
      <c r="T9484" s="33">
        <f>IFERROR(__xludf.DUMMYFUNCTION("""COMPUTED_VALUE"""),1.0)</f>
        <v>1</v>
      </c>
      <c r="U9484" s="4" t="str">
        <f>IFERROR(__xludf.DUMMYFUNCTION("""COMPUTED_VALUE"""),"Grsoft")</f>
        <v>Grsoft</v>
      </c>
      <c r="V9484" s="33">
        <f>IFERROR(__xludf.DUMMYFUNCTION("""COMPUTED_VALUE"""),1.0)</f>
        <v>1</v>
      </c>
      <c r="W9484" s="4" t="str">
        <f>IFERROR(__xludf.DUMMYFUNCTION("""COMPUTED_VALUE"""),"Grsoft")</f>
        <v>Grsoft</v>
      </c>
      <c r="X9484" s="33">
        <f>IFERROR(__xludf.DUMMYFUNCTION("""COMPUTED_VALUE"""),1.0)</f>
        <v>1</v>
      </c>
    </row>
    <row r="9485">
      <c r="K9485" s="4" t="str">
        <f>IFERROR(__xludf.DUMMYFUNCTION("""COMPUTED_VALUE"""),"RESTAURANTE ATELIER DO CHURASCO")</f>
        <v>RESTAURANTE ATELIER DO CHURASCO</v>
      </c>
      <c r="L9485" s="32">
        <f>IFERROR(__xludf.DUMMYFUNCTION("""COMPUTED_VALUE"""),1.0)</f>
        <v>1</v>
      </c>
      <c r="M9485" s="4" t="str">
        <f>IFERROR(__xludf.DUMMYFUNCTION("""COMPUTED_VALUE"""),"Saipos Serviços De Software")</f>
        <v>Saipos Serviços De Software</v>
      </c>
      <c r="N9485" s="33">
        <f>IFERROR(__xludf.DUMMYFUNCTION("""COMPUTED_VALUE"""),1.0)</f>
        <v>1</v>
      </c>
      <c r="O9485" s="4" t="str">
        <f>IFERROR(__xludf.DUMMYFUNCTION("""COMPUTED_VALUE"""),"Saipos Serviços De Software")</f>
        <v>Saipos Serviços De Software</v>
      </c>
      <c r="P9485" s="33">
        <f>IFERROR(__xludf.DUMMYFUNCTION("""COMPUTED_VALUE"""),1.0)</f>
        <v>1</v>
      </c>
      <c r="Q9485" s="4" t="str">
        <f>IFERROR(__xludf.DUMMYFUNCTION("""COMPUTED_VALUE"""),"Saipos Serviços De Software")</f>
        <v>Saipos Serviços De Software</v>
      </c>
      <c r="R9485" s="33">
        <f>IFERROR(__xludf.DUMMYFUNCTION("""COMPUTED_VALUE"""),1.0)</f>
        <v>1</v>
      </c>
      <c r="S9485" s="4" t="str">
        <f>IFERROR(__xludf.DUMMYFUNCTION("""COMPUTED_VALUE"""),"Saipos Serviços De Software")</f>
        <v>Saipos Serviços De Software</v>
      </c>
      <c r="T9485" s="33">
        <f>IFERROR(__xludf.DUMMYFUNCTION("""COMPUTED_VALUE"""),1.0)</f>
        <v>1</v>
      </c>
      <c r="U9485" s="4" t="str">
        <f>IFERROR(__xludf.DUMMYFUNCTION("""COMPUTED_VALUE"""),"Saipos Serviços De Software")</f>
        <v>Saipos Serviços De Software</v>
      </c>
      <c r="V9485" s="33">
        <f>IFERROR(__xludf.DUMMYFUNCTION("""COMPUTED_VALUE"""),1.0)</f>
        <v>1</v>
      </c>
      <c r="W9485" s="4" t="str">
        <f>IFERROR(__xludf.DUMMYFUNCTION("""COMPUTED_VALUE"""),"Saipos Serviços De Software")</f>
        <v>Saipos Serviços De Software</v>
      </c>
      <c r="X9485" s="33">
        <f>IFERROR(__xludf.DUMMYFUNCTION("""COMPUTED_VALUE"""),1.0)</f>
        <v>1</v>
      </c>
    </row>
    <row r="9486">
      <c r="K9486" s="4" t="str">
        <f>IFERROR(__xludf.DUMMYFUNCTION("""COMPUTED_VALUE"""),"BRITTOS PIZZA")</f>
        <v>BRITTOS PIZZA</v>
      </c>
      <c r="L9486" s="32">
        <f>IFERROR(__xludf.DUMMYFUNCTION("""COMPUTED_VALUE"""),1.0)</f>
        <v>1</v>
      </c>
      <c r="M9486" s="4" t="str">
        <f>IFERROR(__xludf.DUMMYFUNCTION("""COMPUTED_VALUE"""),"Saipos Serviços De Software")</f>
        <v>Saipos Serviços De Software</v>
      </c>
      <c r="N9486" s="33">
        <f>IFERROR(__xludf.DUMMYFUNCTION("""COMPUTED_VALUE"""),1.0)</f>
        <v>1</v>
      </c>
      <c r="O9486" s="4" t="str">
        <f>IFERROR(__xludf.DUMMYFUNCTION("""COMPUTED_VALUE"""),"Saipos Serviços De Software")</f>
        <v>Saipos Serviços De Software</v>
      </c>
      <c r="P9486" s="33">
        <f>IFERROR(__xludf.DUMMYFUNCTION("""COMPUTED_VALUE"""),1.0)</f>
        <v>1</v>
      </c>
      <c r="Q9486" s="4" t="str">
        <f>IFERROR(__xludf.DUMMYFUNCTION("""COMPUTED_VALUE"""),"Saipos Serviços De Software")</f>
        <v>Saipos Serviços De Software</v>
      </c>
      <c r="R9486" s="33">
        <f>IFERROR(__xludf.DUMMYFUNCTION("""COMPUTED_VALUE"""),1.0)</f>
        <v>1</v>
      </c>
      <c r="S9486" s="4" t="str">
        <f>IFERROR(__xludf.DUMMYFUNCTION("""COMPUTED_VALUE"""),"Saipos Serviços De Software")</f>
        <v>Saipos Serviços De Software</v>
      </c>
      <c r="T9486" s="33">
        <f>IFERROR(__xludf.DUMMYFUNCTION("""COMPUTED_VALUE"""),1.0)</f>
        <v>1</v>
      </c>
      <c r="U9486" s="4" t="str">
        <f>IFERROR(__xludf.DUMMYFUNCTION("""COMPUTED_VALUE"""),"Saipos Serviços De Software")</f>
        <v>Saipos Serviços De Software</v>
      </c>
      <c r="V9486" s="33">
        <f>IFERROR(__xludf.DUMMYFUNCTION("""COMPUTED_VALUE"""),1.0)</f>
        <v>1</v>
      </c>
      <c r="W9486" s="4" t="str">
        <f>IFERROR(__xludf.DUMMYFUNCTION("""COMPUTED_VALUE"""),"Saipos Serviços De Software")</f>
        <v>Saipos Serviços De Software</v>
      </c>
      <c r="X9486" s="33">
        <f>IFERROR(__xludf.DUMMYFUNCTION("""COMPUTED_VALUE"""),1.0)</f>
        <v>1</v>
      </c>
    </row>
    <row r="9487">
      <c r="K9487" s="4" t="str">
        <f>IFERROR(__xludf.DUMMYFUNCTION("""COMPUTED_VALUE"""),"XPRESS PIZZAS E PETISCOS")</f>
        <v>XPRESS PIZZAS E PETISCOS</v>
      </c>
      <c r="L9487" s="32">
        <f>IFERROR(__xludf.DUMMYFUNCTION("""COMPUTED_VALUE"""),1.0)</f>
        <v>1</v>
      </c>
      <c r="M9487" s="4" t="str">
        <f>IFERROR(__xludf.DUMMYFUNCTION("""COMPUTED_VALUE"""),"null")</f>
        <v>null</v>
      </c>
      <c r="N9487" s="33">
        <f>IFERROR(__xludf.DUMMYFUNCTION("""COMPUTED_VALUE"""),1.0)</f>
        <v>1</v>
      </c>
      <c r="O9487" s="4" t="str">
        <f>IFERROR(__xludf.DUMMYFUNCTION("""COMPUTED_VALUE"""),"null")</f>
        <v>null</v>
      </c>
      <c r="P9487" s="33">
        <f>IFERROR(__xludf.DUMMYFUNCTION("""COMPUTED_VALUE"""),1.0)</f>
        <v>1</v>
      </c>
      <c r="Q9487" s="4" t="str">
        <f>IFERROR(__xludf.DUMMYFUNCTION("""COMPUTED_VALUE"""),"null")</f>
        <v>null</v>
      </c>
      <c r="R9487" s="33">
        <f>IFERROR(__xludf.DUMMYFUNCTION("""COMPUTED_VALUE"""),1.0)</f>
        <v>1</v>
      </c>
      <c r="S9487" s="4" t="str">
        <f>IFERROR(__xludf.DUMMYFUNCTION("""COMPUTED_VALUE"""),"Cardápio Web")</f>
        <v>Cardápio Web</v>
      </c>
      <c r="T9487" s="33">
        <f>IFERROR(__xludf.DUMMYFUNCTION("""COMPUTED_VALUE"""),1.0)</f>
        <v>1</v>
      </c>
      <c r="U9487" s="4" t="str">
        <f>IFERROR(__xludf.DUMMYFUNCTION("""COMPUTED_VALUE"""),"Cardápio Web")</f>
        <v>Cardápio Web</v>
      </c>
      <c r="V9487" s="33">
        <f>IFERROR(__xludf.DUMMYFUNCTION("""COMPUTED_VALUE"""),1.0)</f>
        <v>1</v>
      </c>
      <c r="W9487" s="4" t="str">
        <f>IFERROR(__xludf.DUMMYFUNCTION("""COMPUTED_VALUE"""),"Cardápio Web")</f>
        <v>Cardápio Web</v>
      </c>
      <c r="X9487" s="33">
        <f>IFERROR(__xludf.DUMMYFUNCTION("""COMPUTED_VALUE"""),1.0)</f>
        <v>1</v>
      </c>
    </row>
    <row r="9488">
      <c r="K9488" s="4" t="str">
        <f>IFERROR(__xludf.DUMMYFUNCTION("""COMPUTED_VALUE"""),"RESTAURANTE FAMILIA MARMITEX")</f>
        <v>RESTAURANTE FAMILIA MARMITEX</v>
      </c>
      <c r="L9488" s="32">
        <f>IFERROR(__xludf.DUMMYFUNCTION("""COMPUTED_VALUE"""),1.0)</f>
        <v>1</v>
      </c>
      <c r="M9488" s="4" t="str">
        <f>IFERROR(__xludf.DUMMYFUNCTION("""COMPUTED_VALUE"""),"Olaclick")</f>
        <v>Olaclick</v>
      </c>
      <c r="N9488" s="33">
        <f>IFERROR(__xludf.DUMMYFUNCTION("""COMPUTED_VALUE"""),1.0)</f>
        <v>1</v>
      </c>
      <c r="O9488" s="4" t="str">
        <f>IFERROR(__xludf.DUMMYFUNCTION("""COMPUTED_VALUE"""),"Olaclick")</f>
        <v>Olaclick</v>
      </c>
      <c r="P9488" s="33">
        <f>IFERROR(__xludf.DUMMYFUNCTION("""COMPUTED_VALUE"""),1.0)</f>
        <v>1</v>
      </c>
      <c r="Q9488" s="4" t="str">
        <f>IFERROR(__xludf.DUMMYFUNCTION("""COMPUTED_VALUE"""),"Olaclick")</f>
        <v>Olaclick</v>
      </c>
      <c r="R9488" s="33">
        <f>IFERROR(__xludf.DUMMYFUNCTION("""COMPUTED_VALUE"""),1.0)</f>
        <v>1</v>
      </c>
      <c r="S9488" s="4" t="str">
        <f>IFERROR(__xludf.DUMMYFUNCTION("""COMPUTED_VALUE"""),"Olaclick")</f>
        <v>Olaclick</v>
      </c>
      <c r="T9488" s="33">
        <f>IFERROR(__xludf.DUMMYFUNCTION("""COMPUTED_VALUE"""),1.0)</f>
        <v>1</v>
      </c>
      <c r="U9488" s="4" t="str">
        <f>IFERROR(__xludf.DUMMYFUNCTION("""COMPUTED_VALUE"""),"Olaclick")</f>
        <v>Olaclick</v>
      </c>
      <c r="V9488" s="33">
        <f>IFERROR(__xludf.DUMMYFUNCTION("""COMPUTED_VALUE"""),1.0)</f>
        <v>1</v>
      </c>
      <c r="W9488" s="4" t="str">
        <f>IFERROR(__xludf.DUMMYFUNCTION("""COMPUTED_VALUE"""),"null")</f>
        <v>null</v>
      </c>
      <c r="X9488" s="33">
        <f>IFERROR(__xludf.DUMMYFUNCTION("""COMPUTED_VALUE"""),1.0)</f>
        <v>1</v>
      </c>
    </row>
    <row r="9489">
      <c r="K9489" s="4" t="str">
        <f>IFERROR(__xludf.DUMMYFUNCTION("""COMPUTED_VALUE"""),"PET SHOP AGRO INHUMAS")</f>
        <v>PET SHOP AGRO INHUMAS</v>
      </c>
      <c r="L9489" s="32">
        <f>IFERROR(__xludf.DUMMYFUNCTION("""COMPUTED_VALUE"""),1.0)</f>
        <v>1</v>
      </c>
      <c r="M9489" s="4" t="str">
        <f>IFERROR(__xludf.DUMMYFUNCTION("""COMPUTED_VALUE"""),"null")</f>
        <v>null</v>
      </c>
      <c r="N9489" s="33">
        <f>IFERROR(__xludf.DUMMYFUNCTION("""COMPUTED_VALUE"""),1.0)</f>
        <v>1</v>
      </c>
      <c r="O9489" s="4" t="str">
        <f>IFERROR(__xludf.DUMMYFUNCTION("""COMPUTED_VALUE"""),"null")</f>
        <v>null</v>
      </c>
      <c r="P9489" s="33">
        <f>IFERROR(__xludf.DUMMYFUNCTION("""COMPUTED_VALUE"""),1.0)</f>
        <v>1</v>
      </c>
      <c r="Q9489" s="4" t="str">
        <f>IFERROR(__xludf.DUMMYFUNCTION("""COMPUTED_VALUE"""),"N/A (Not found)")</f>
        <v>N/A (Not found)</v>
      </c>
      <c r="R9489" s="33">
        <f>IFERROR(__xludf.DUMMYFUNCTION("""COMPUTED_VALUE"""),1.0)</f>
        <v>1</v>
      </c>
      <c r="S9489" s="4" t="str">
        <f>IFERROR(__xludf.DUMMYFUNCTION("""COMPUTED_VALUE"""),"null")</f>
        <v>null</v>
      </c>
      <c r="T9489" s="33">
        <f>IFERROR(__xludf.DUMMYFUNCTION("""COMPUTED_VALUE"""),1.0)</f>
        <v>1</v>
      </c>
      <c r="U9489" s="4" t="str">
        <f>IFERROR(__xludf.DUMMYFUNCTION("""COMPUTED_VALUE"""),"null")</f>
        <v>null</v>
      </c>
      <c r="V9489" s="33">
        <f>IFERROR(__xludf.DUMMYFUNCTION("""COMPUTED_VALUE"""),1.0)</f>
        <v>1</v>
      </c>
      <c r="W9489" s="4" t="str">
        <f>IFERROR(__xludf.DUMMYFUNCTION("""COMPUTED_VALUE"""),"N/A (Not found)")</f>
        <v>N/A (Not found)</v>
      </c>
      <c r="X9489" s="33">
        <f>IFERROR(__xludf.DUMMYFUNCTION("""COMPUTED_VALUE"""),1.0)</f>
        <v>1</v>
      </c>
    </row>
    <row r="9490">
      <c r="K9490" s="4" t="str">
        <f>IFERROR(__xludf.DUMMYFUNCTION("""COMPUTED_VALUE"""),"SUSHI DO AKIO")</f>
        <v>SUSHI DO AKIO</v>
      </c>
      <c r="L9490" s="32">
        <f>IFERROR(__xludf.DUMMYFUNCTION("""COMPUTED_VALUE"""),1.0)</f>
        <v>1</v>
      </c>
      <c r="M9490" s="4" t="str">
        <f>IFERROR(__xludf.DUMMYFUNCTION("""COMPUTED_VALUE"""),"Parseint Desenvolvimento De Sistemas Ltda")</f>
        <v>Parseint Desenvolvimento De Sistemas Ltda</v>
      </c>
      <c r="N9490" s="33">
        <f>IFERROR(__xludf.DUMMYFUNCTION("""COMPUTED_VALUE"""),1.0)</f>
        <v>1</v>
      </c>
      <c r="O9490" s="4" t="str">
        <f>IFERROR(__xludf.DUMMYFUNCTION("""COMPUTED_VALUE"""),"Parseint Desenvolvimento De Sistemas Ltda")</f>
        <v>Parseint Desenvolvimento De Sistemas Ltda</v>
      </c>
      <c r="P9490" s="33">
        <f>IFERROR(__xludf.DUMMYFUNCTION("""COMPUTED_VALUE"""),1.0)</f>
        <v>1</v>
      </c>
      <c r="Q9490" s="4" t="str">
        <f>IFERROR(__xludf.DUMMYFUNCTION("""COMPUTED_VALUE"""),"Parseint Desenvolvimento De Sistemas Ltda")</f>
        <v>Parseint Desenvolvimento De Sistemas Ltda</v>
      </c>
      <c r="R9490" s="33">
        <f>IFERROR(__xludf.DUMMYFUNCTION("""COMPUTED_VALUE"""),1.0)</f>
        <v>1</v>
      </c>
      <c r="S9490" s="4" t="str">
        <f>IFERROR(__xludf.DUMMYFUNCTION("""COMPUTED_VALUE"""),"Parseint Desenvolvimento De Sistemas Ltda")</f>
        <v>Parseint Desenvolvimento De Sistemas Ltda</v>
      </c>
      <c r="T9490" s="33">
        <f>IFERROR(__xludf.DUMMYFUNCTION("""COMPUTED_VALUE"""),1.0)</f>
        <v>1</v>
      </c>
      <c r="U9490" s="4" t="str">
        <f>IFERROR(__xludf.DUMMYFUNCTION("""COMPUTED_VALUE"""),"Parseint Desenvolvimento De Sistemas Ltda")</f>
        <v>Parseint Desenvolvimento De Sistemas Ltda</v>
      </c>
      <c r="V9490" s="33">
        <f>IFERROR(__xludf.DUMMYFUNCTION("""COMPUTED_VALUE"""),1.0)</f>
        <v>1</v>
      </c>
      <c r="W9490" s="4" t="str">
        <f>IFERROR(__xludf.DUMMYFUNCTION("""COMPUTED_VALUE"""),"Parseint Desenvolvimento De Sistemas Ltda")</f>
        <v>Parseint Desenvolvimento De Sistemas Ltda</v>
      </c>
      <c r="X9490" s="33">
        <f>IFERROR(__xludf.DUMMYFUNCTION("""COMPUTED_VALUE"""),1.0)</f>
        <v>1</v>
      </c>
    </row>
    <row r="9491">
      <c r="K9491" s="4" t="str">
        <f>IFERROR(__xludf.DUMMYFUNCTION("""COMPUTED_VALUE"""),"FARMAIS BIGORRILHO")</f>
        <v>FARMAIS BIGORRILHO</v>
      </c>
      <c r="L9491" s="32">
        <f>IFERROR(__xludf.DUMMYFUNCTION("""COMPUTED_VALUE"""),1.0)</f>
        <v>1</v>
      </c>
      <c r="M9491" s="4" t="str">
        <f>IFERROR(__xludf.DUMMYFUNCTION("""COMPUTED_VALUE"""),"N/A (Not found)")</f>
        <v>N/A (Not found)</v>
      </c>
      <c r="N9491" s="33">
        <f>IFERROR(__xludf.DUMMYFUNCTION("""COMPUTED_VALUE"""),1.0)</f>
        <v>1</v>
      </c>
      <c r="O9491" s="4" t="str">
        <f>IFERROR(__xludf.DUMMYFUNCTION("""COMPUTED_VALUE"""),"N/A (Not found)")</f>
        <v>N/A (Not found)</v>
      </c>
      <c r="P9491" s="33">
        <f>IFERROR(__xludf.DUMMYFUNCTION("""COMPUTED_VALUE"""),1.0)</f>
        <v>1</v>
      </c>
      <c r="Q9491" s="4" t="str">
        <f>IFERROR(__xludf.DUMMYFUNCTION("""COMPUTED_VALUE"""),"N/A (Not found)")</f>
        <v>N/A (Not found)</v>
      </c>
      <c r="R9491" s="33">
        <f>IFERROR(__xludf.DUMMYFUNCTION("""COMPUTED_VALUE"""),1.0)</f>
        <v>1</v>
      </c>
      <c r="S9491" s="4" t="str">
        <f>IFERROR(__xludf.DUMMYFUNCTION("""COMPUTED_VALUE"""),"N/A (Not found)")</f>
        <v>N/A (Not found)</v>
      </c>
      <c r="T9491" s="33">
        <f>IFERROR(__xludf.DUMMYFUNCTION("""COMPUTED_VALUE"""),1.0)</f>
        <v>1</v>
      </c>
      <c r="U9491" s="4" t="str">
        <f>IFERROR(__xludf.DUMMYFUNCTION("""COMPUTED_VALUE"""),"N/A (Not found)")</f>
        <v>N/A (Not found)</v>
      </c>
      <c r="V9491" s="33">
        <f>IFERROR(__xludf.DUMMYFUNCTION("""COMPUTED_VALUE"""),1.0)</f>
        <v>1</v>
      </c>
      <c r="W9491" s="4" t="str">
        <f>IFERROR(__xludf.DUMMYFUNCTION("""COMPUTED_VALUE"""),"N/A (Not found)")</f>
        <v>N/A (Not found)</v>
      </c>
      <c r="X9491" s="33">
        <f>IFERROR(__xludf.DUMMYFUNCTION("""COMPUTED_VALUE"""),1.0)</f>
        <v>1</v>
      </c>
    </row>
    <row r="9492">
      <c r="K9492" s="4" t="str">
        <f>IFERROR(__xludf.DUMMYFUNCTION("""COMPUTED_VALUE"""),"DISK DO MEIO")</f>
        <v>DISK DO MEIO</v>
      </c>
      <c r="L9492" s="32">
        <f>IFERROR(__xludf.DUMMYFUNCTION("""COMPUTED_VALUE"""),1.0)</f>
        <v>1</v>
      </c>
      <c r="M9492" s="4" t="str">
        <f>IFERROR(__xludf.DUMMYFUNCTION("""COMPUTED_VALUE"""),"N/A (Not found)")</f>
        <v>N/A (Not found)</v>
      </c>
      <c r="N9492" s="33">
        <f>IFERROR(__xludf.DUMMYFUNCTION("""COMPUTED_VALUE"""),1.0)</f>
        <v>1</v>
      </c>
      <c r="O9492" s="4" t="str">
        <f>IFERROR(__xludf.DUMMYFUNCTION("""COMPUTED_VALUE"""),"N/A (Not found)")</f>
        <v>N/A (Not found)</v>
      </c>
      <c r="P9492" s="33">
        <f>IFERROR(__xludf.DUMMYFUNCTION("""COMPUTED_VALUE"""),1.0)</f>
        <v>1</v>
      </c>
      <c r="Q9492" s="4" t="str">
        <f>IFERROR(__xludf.DUMMYFUNCTION("""COMPUTED_VALUE"""),"N/A (Not found)")</f>
        <v>N/A (Not found)</v>
      </c>
      <c r="R9492" s="33">
        <f>IFERROR(__xludf.DUMMYFUNCTION("""COMPUTED_VALUE"""),1.0)</f>
        <v>1</v>
      </c>
      <c r="S9492" s="4" t="str">
        <f>IFERROR(__xludf.DUMMYFUNCTION("""COMPUTED_VALUE"""),"N/A (Not found)")</f>
        <v>N/A (Not found)</v>
      </c>
      <c r="T9492" s="33">
        <f>IFERROR(__xludf.DUMMYFUNCTION("""COMPUTED_VALUE"""),1.0)</f>
        <v>1</v>
      </c>
      <c r="U9492" s="4" t="str">
        <f>IFERROR(__xludf.DUMMYFUNCTION("""COMPUTED_VALUE"""),"N/A (Not found)")</f>
        <v>N/A (Not found)</v>
      </c>
      <c r="V9492" s="33">
        <f>IFERROR(__xludf.DUMMYFUNCTION("""COMPUTED_VALUE"""),1.0)</f>
        <v>1</v>
      </c>
      <c r="W9492" s="4" t="str">
        <f>IFERROR(__xludf.DUMMYFUNCTION("""COMPUTED_VALUE"""),"N/A (Not found)")</f>
        <v>N/A (Not found)</v>
      </c>
      <c r="X9492" s="33">
        <f>IFERROR(__xludf.DUMMYFUNCTION("""COMPUTED_VALUE"""),1.0)</f>
        <v>1</v>
      </c>
    </row>
    <row r="9493">
      <c r="K9493" s="4" t="str">
        <f>IFERROR(__xludf.DUMMYFUNCTION("""COMPUTED_VALUE"""),"SO SAUDE COMIDAS NATURAIS")</f>
        <v>SO SAUDE COMIDAS NATURAIS</v>
      </c>
      <c r="L9493" s="32">
        <f>IFERROR(__xludf.DUMMYFUNCTION("""COMPUTED_VALUE"""),1.0)</f>
        <v>1</v>
      </c>
      <c r="M9493" s="4" t="str">
        <f>IFERROR(__xludf.DUMMYFUNCTION("""COMPUTED_VALUE"""),"Yooga")</f>
        <v>Yooga</v>
      </c>
      <c r="N9493" s="33">
        <f>IFERROR(__xludf.DUMMYFUNCTION("""COMPUTED_VALUE"""),1.0)</f>
        <v>1</v>
      </c>
      <c r="O9493" s="4" t="str">
        <f>IFERROR(__xludf.DUMMYFUNCTION("""COMPUTED_VALUE"""),"Yooga")</f>
        <v>Yooga</v>
      </c>
      <c r="P9493" s="33">
        <f>IFERROR(__xludf.DUMMYFUNCTION("""COMPUTED_VALUE"""),1.0)</f>
        <v>1</v>
      </c>
      <c r="Q9493" s="4" t="str">
        <f>IFERROR(__xludf.DUMMYFUNCTION("""COMPUTED_VALUE"""),"Yooga")</f>
        <v>Yooga</v>
      </c>
      <c r="R9493" s="33">
        <f>IFERROR(__xludf.DUMMYFUNCTION("""COMPUTED_VALUE"""),1.0)</f>
        <v>1</v>
      </c>
      <c r="S9493" s="4" t="str">
        <f>IFERROR(__xludf.DUMMYFUNCTION("""COMPUTED_VALUE"""),"Yooga")</f>
        <v>Yooga</v>
      </c>
      <c r="T9493" s="33">
        <f>IFERROR(__xludf.DUMMYFUNCTION("""COMPUTED_VALUE"""),1.0)</f>
        <v>1</v>
      </c>
      <c r="U9493" s="4" t="str">
        <f>IFERROR(__xludf.DUMMYFUNCTION("""COMPUTED_VALUE"""),"Yooga")</f>
        <v>Yooga</v>
      </c>
      <c r="V9493" s="33">
        <f>IFERROR(__xludf.DUMMYFUNCTION("""COMPUTED_VALUE"""),1.0)</f>
        <v>1</v>
      </c>
      <c r="W9493" s="4" t="str">
        <f>IFERROR(__xludf.DUMMYFUNCTION("""COMPUTED_VALUE"""),"Yooga")</f>
        <v>Yooga</v>
      </c>
      <c r="X9493" s="33">
        <f>IFERROR(__xludf.DUMMYFUNCTION("""COMPUTED_VALUE"""),1.0)</f>
        <v>1</v>
      </c>
    </row>
    <row r="9494">
      <c r="K9494" s="4" t="str">
        <f>IFERROR(__xludf.DUMMYFUNCTION("""COMPUTED_VALUE"""),"VOKERE - BATATA E PAO DE ALHO RECHEADO - VIANA")</f>
        <v>VOKERE - BATATA E PAO DE ALHO RECHEADO - VIANA</v>
      </c>
      <c r="L9494" s="32">
        <f>IFERROR(__xludf.DUMMYFUNCTION("""COMPUTED_VALUE"""),1.0)</f>
        <v>1</v>
      </c>
      <c r="M9494" s="4" t="str">
        <f>IFERROR(__xludf.DUMMYFUNCTION("""COMPUTED_VALUE"""),"Cardápio Web")</f>
        <v>Cardápio Web</v>
      </c>
      <c r="N9494" s="33">
        <f>IFERROR(__xludf.DUMMYFUNCTION("""COMPUTED_VALUE"""),1.0)</f>
        <v>1</v>
      </c>
      <c r="O9494" s="4" t="str">
        <f>IFERROR(__xludf.DUMMYFUNCTION("""COMPUTED_VALUE"""),"Cardápio Web")</f>
        <v>Cardápio Web</v>
      </c>
      <c r="P9494" s="33">
        <f>IFERROR(__xludf.DUMMYFUNCTION("""COMPUTED_VALUE"""),1.0)</f>
        <v>1</v>
      </c>
      <c r="Q9494" s="4" t="str">
        <f>IFERROR(__xludf.DUMMYFUNCTION("""COMPUTED_VALUE"""),"Cardápio Web")</f>
        <v>Cardápio Web</v>
      </c>
      <c r="R9494" s="33">
        <f>IFERROR(__xludf.DUMMYFUNCTION("""COMPUTED_VALUE"""),1.0)</f>
        <v>1</v>
      </c>
      <c r="S9494" s="4" t="str">
        <f>IFERROR(__xludf.DUMMYFUNCTION("""COMPUTED_VALUE"""),"Cardápio Web")</f>
        <v>Cardápio Web</v>
      </c>
      <c r="T9494" s="33">
        <f>IFERROR(__xludf.DUMMYFUNCTION("""COMPUTED_VALUE"""),1.0)</f>
        <v>1</v>
      </c>
      <c r="U9494" s="4" t="str">
        <f>IFERROR(__xludf.DUMMYFUNCTION("""COMPUTED_VALUE"""),"Cardápio Web")</f>
        <v>Cardápio Web</v>
      </c>
      <c r="V9494" s="33">
        <f>IFERROR(__xludf.DUMMYFUNCTION("""COMPUTED_VALUE"""),1.0)</f>
        <v>1</v>
      </c>
      <c r="W9494" s="4" t="str">
        <f>IFERROR(__xludf.DUMMYFUNCTION("""COMPUTED_VALUE"""),"Cardápio Web")</f>
        <v>Cardápio Web</v>
      </c>
      <c r="X9494" s="33">
        <f>IFERROR(__xludf.DUMMYFUNCTION("""COMPUTED_VALUE"""),1.0)</f>
        <v>1</v>
      </c>
    </row>
    <row r="9495">
      <c r="K9495" s="4" t="str">
        <f>IFERROR(__xludf.DUMMYFUNCTION("""COMPUTED_VALUE"""),"MIKAELA JORDANA CONFEITARIA ARTESANAL")</f>
        <v>MIKAELA JORDANA CONFEITARIA ARTESANAL</v>
      </c>
      <c r="L9495" s="32">
        <f>IFERROR(__xludf.DUMMYFUNCTION("""COMPUTED_VALUE"""),1.0)</f>
        <v>1</v>
      </c>
      <c r="M9495" s="4" t="str">
        <f>IFERROR(__xludf.DUMMYFUNCTION("""COMPUTED_VALUE"""),"Instadelivery")</f>
        <v>Instadelivery</v>
      </c>
      <c r="N9495" s="33">
        <f>IFERROR(__xludf.DUMMYFUNCTION("""COMPUTED_VALUE"""),1.0)</f>
        <v>1</v>
      </c>
      <c r="O9495" s="4" t="str">
        <f>IFERROR(__xludf.DUMMYFUNCTION("""COMPUTED_VALUE"""),"Instadelivery")</f>
        <v>Instadelivery</v>
      </c>
      <c r="P9495" s="33">
        <f>IFERROR(__xludf.DUMMYFUNCTION("""COMPUTED_VALUE"""),1.0)</f>
        <v>1</v>
      </c>
      <c r="Q9495" s="4" t="str">
        <f>IFERROR(__xludf.DUMMYFUNCTION("""COMPUTED_VALUE"""),"null")</f>
        <v>null</v>
      </c>
      <c r="R9495" s="33">
        <f>IFERROR(__xludf.DUMMYFUNCTION("""COMPUTED_VALUE"""),1.0)</f>
        <v>1</v>
      </c>
      <c r="S9495" s="4" t="str">
        <f>IFERROR(__xludf.DUMMYFUNCTION("""COMPUTED_VALUE"""),"null")</f>
        <v>null</v>
      </c>
      <c r="T9495" s="33">
        <f>IFERROR(__xludf.DUMMYFUNCTION("""COMPUTED_VALUE"""),1.0)</f>
        <v>1</v>
      </c>
      <c r="U9495" s="4" t="str">
        <f>IFERROR(__xludf.DUMMYFUNCTION("""COMPUTED_VALUE"""),"null")</f>
        <v>null</v>
      </c>
      <c r="V9495" s="33">
        <f>IFERROR(__xludf.DUMMYFUNCTION("""COMPUTED_VALUE"""),1.0)</f>
        <v>1</v>
      </c>
      <c r="W9495" s="4" t="str">
        <f>IFERROR(__xludf.DUMMYFUNCTION("""COMPUTED_VALUE"""),"null")</f>
        <v>null</v>
      </c>
      <c r="X9495" s="33">
        <f>IFERROR(__xludf.DUMMYFUNCTION("""COMPUTED_VALUE"""),1.0)</f>
        <v>1</v>
      </c>
    </row>
    <row r="9496">
      <c r="K9496" s="4" t="str">
        <f>IFERROR(__xludf.DUMMYFUNCTION("""COMPUTED_VALUE"""),"SORVETERIA E ACAITERIA GELLARE MOEMA")</f>
        <v>SORVETERIA E ACAITERIA GELLARE MOEMA</v>
      </c>
      <c r="L9496" s="32">
        <f>IFERROR(__xludf.DUMMYFUNCTION("""COMPUTED_VALUE"""),1.0)</f>
        <v>1</v>
      </c>
      <c r="M9496" s="4" t="str">
        <f>IFERROR(__xludf.DUMMYFUNCTION("""COMPUTED_VALUE"""),"null")</f>
        <v>null</v>
      </c>
      <c r="N9496" s="33">
        <f>IFERROR(__xludf.DUMMYFUNCTION("""COMPUTED_VALUE"""),1.0)</f>
        <v>1</v>
      </c>
      <c r="O9496" s="4" t="str">
        <f>IFERROR(__xludf.DUMMYFUNCTION("""COMPUTED_VALUE"""),"Syntax Tecnologia")</f>
        <v>Syntax Tecnologia</v>
      </c>
      <c r="P9496" s="33">
        <f>IFERROR(__xludf.DUMMYFUNCTION("""COMPUTED_VALUE"""),1.0)</f>
        <v>1</v>
      </c>
      <c r="Q9496" s="4" t="str">
        <f>IFERROR(__xludf.DUMMYFUNCTION("""COMPUTED_VALUE"""),"null")</f>
        <v>null</v>
      </c>
      <c r="R9496" s="33">
        <f>IFERROR(__xludf.DUMMYFUNCTION("""COMPUTED_VALUE"""),1.0)</f>
        <v>1</v>
      </c>
      <c r="S9496" s="4" t="str">
        <f>IFERROR(__xludf.DUMMYFUNCTION("""COMPUTED_VALUE"""),"null")</f>
        <v>null</v>
      </c>
      <c r="T9496" s="33">
        <f>IFERROR(__xludf.DUMMYFUNCTION("""COMPUTED_VALUE"""),1.0)</f>
        <v>1</v>
      </c>
      <c r="U9496" s="4" t="str">
        <f>IFERROR(__xludf.DUMMYFUNCTION("""COMPUTED_VALUE"""),"null")</f>
        <v>null</v>
      </c>
      <c r="V9496" s="33">
        <f>IFERROR(__xludf.DUMMYFUNCTION("""COMPUTED_VALUE"""),1.0)</f>
        <v>1</v>
      </c>
      <c r="W9496" s="4" t="str">
        <f>IFERROR(__xludf.DUMMYFUNCTION("""COMPUTED_VALUE"""),"null")</f>
        <v>null</v>
      </c>
      <c r="X9496" s="33">
        <f>IFERROR(__xludf.DUMMYFUNCTION("""COMPUTED_VALUE"""),1.0)</f>
        <v>1</v>
      </c>
    </row>
    <row r="9497">
      <c r="K9497" s="4" t="str">
        <f>IFERROR(__xludf.DUMMYFUNCTION("""COMPUTED_VALUE"""),"SELETO SOBRAL BV")</f>
        <v>SELETO SOBRAL BV</v>
      </c>
      <c r="L9497" s="32">
        <f>IFERROR(__xludf.DUMMYFUNCTION("""COMPUTED_VALUE"""),1.0)</f>
        <v>1</v>
      </c>
      <c r="M9497" s="4" t="str">
        <f>IFERROR(__xludf.DUMMYFUNCTION("""COMPUTED_VALUE"""),"Saipos Serviços De Software")</f>
        <v>Saipos Serviços De Software</v>
      </c>
      <c r="N9497" s="33">
        <f>IFERROR(__xludf.DUMMYFUNCTION("""COMPUTED_VALUE"""),1.0)</f>
        <v>1</v>
      </c>
      <c r="O9497" s="4" t="str">
        <f>IFERROR(__xludf.DUMMYFUNCTION("""COMPUTED_VALUE"""),"Saipos Serviços De Software")</f>
        <v>Saipos Serviços De Software</v>
      </c>
      <c r="P9497" s="33">
        <f>IFERROR(__xludf.DUMMYFUNCTION("""COMPUTED_VALUE"""),1.0)</f>
        <v>1</v>
      </c>
      <c r="Q9497" s="4" t="str">
        <f>IFERROR(__xludf.DUMMYFUNCTION("""COMPUTED_VALUE"""),"Saipos Serviços De Software")</f>
        <v>Saipos Serviços De Software</v>
      </c>
      <c r="R9497" s="33">
        <f>IFERROR(__xludf.DUMMYFUNCTION("""COMPUTED_VALUE"""),1.0)</f>
        <v>1</v>
      </c>
      <c r="S9497" s="4" t="str">
        <f>IFERROR(__xludf.DUMMYFUNCTION("""COMPUTED_VALUE"""),"Saipos Serviços De Software")</f>
        <v>Saipos Serviços De Software</v>
      </c>
      <c r="T9497" s="33">
        <f>IFERROR(__xludf.DUMMYFUNCTION("""COMPUTED_VALUE"""),1.0)</f>
        <v>1</v>
      </c>
      <c r="U9497" s="4" t="str">
        <f>IFERROR(__xludf.DUMMYFUNCTION("""COMPUTED_VALUE"""),"Saipos Serviços De Software")</f>
        <v>Saipos Serviços De Software</v>
      </c>
      <c r="V9497" s="33">
        <f>IFERROR(__xludf.DUMMYFUNCTION("""COMPUTED_VALUE"""),1.0)</f>
        <v>1</v>
      </c>
      <c r="W9497" s="4" t="str">
        <f>IFERROR(__xludf.DUMMYFUNCTION("""COMPUTED_VALUE"""),"Saipos Serviços De Software")</f>
        <v>Saipos Serviços De Software</v>
      </c>
      <c r="X9497" s="33">
        <f>IFERROR(__xludf.DUMMYFUNCTION("""COMPUTED_VALUE"""),1.0)</f>
        <v>1</v>
      </c>
    </row>
    <row r="9498">
      <c r="K9498" s="4" t="str">
        <f>IFERROR(__xludf.DUMMYFUNCTION("""COMPUTED_VALUE"""),"ACAI DELICIAS NK")</f>
        <v>ACAI DELICIAS NK</v>
      </c>
      <c r="L9498" s="32">
        <f>IFERROR(__xludf.DUMMYFUNCTION("""COMPUTED_VALUE"""),1.0)</f>
        <v>1</v>
      </c>
      <c r="M9498" s="4" t="str">
        <f>IFERROR(__xludf.DUMMYFUNCTION("""COMPUTED_VALUE"""),"Instadelivery")</f>
        <v>Instadelivery</v>
      </c>
      <c r="N9498" s="33">
        <f>IFERROR(__xludf.DUMMYFUNCTION("""COMPUTED_VALUE"""),1.0)</f>
        <v>1</v>
      </c>
      <c r="O9498" s="4" t="str">
        <f>IFERROR(__xludf.DUMMYFUNCTION("""COMPUTED_VALUE"""),"Instadelivery")</f>
        <v>Instadelivery</v>
      </c>
      <c r="P9498" s="33">
        <f>IFERROR(__xludf.DUMMYFUNCTION("""COMPUTED_VALUE"""),1.0)</f>
        <v>1</v>
      </c>
      <c r="Q9498" s="4" t="str">
        <f>IFERROR(__xludf.DUMMYFUNCTION("""COMPUTED_VALUE"""),"null")</f>
        <v>null</v>
      </c>
      <c r="R9498" s="33">
        <f>IFERROR(__xludf.DUMMYFUNCTION("""COMPUTED_VALUE"""),1.0)</f>
        <v>1</v>
      </c>
      <c r="S9498" s="4" t="str">
        <f>IFERROR(__xludf.DUMMYFUNCTION("""COMPUTED_VALUE"""),"null")</f>
        <v>null</v>
      </c>
      <c r="T9498" s="33">
        <f>IFERROR(__xludf.DUMMYFUNCTION("""COMPUTED_VALUE"""),1.0)</f>
        <v>1</v>
      </c>
      <c r="U9498" s="4" t="str">
        <f>IFERROR(__xludf.DUMMYFUNCTION("""COMPUTED_VALUE"""),"Instadelivery")</f>
        <v>Instadelivery</v>
      </c>
      <c r="V9498" s="33">
        <f>IFERROR(__xludf.DUMMYFUNCTION("""COMPUTED_VALUE"""),1.0)</f>
        <v>1</v>
      </c>
      <c r="W9498" s="4" t="str">
        <f>IFERROR(__xludf.DUMMYFUNCTION("""COMPUTED_VALUE"""),"Instadelivery")</f>
        <v>Instadelivery</v>
      </c>
      <c r="X9498" s="33">
        <f>IFERROR(__xludf.DUMMYFUNCTION("""COMPUTED_VALUE"""),1.0)</f>
        <v>1</v>
      </c>
    </row>
    <row r="9499">
      <c r="K9499" s="4" t="str">
        <f>IFERROR(__xludf.DUMMYFUNCTION("""COMPUTED_VALUE"""),"FROOTY ACAI - SHOPPING SP MARKET")</f>
        <v>FROOTY ACAI - SHOPPING SP MARKET</v>
      </c>
      <c r="L9499" s="32">
        <f>IFERROR(__xludf.DUMMYFUNCTION("""COMPUTED_VALUE"""),1.0)</f>
        <v>1</v>
      </c>
      <c r="M9499" s="4" t="str">
        <f>IFERROR(__xludf.DUMMYFUNCTION("""COMPUTED_VALUE"""),"null")</f>
        <v>null</v>
      </c>
      <c r="N9499" s="33">
        <f>IFERROR(__xludf.DUMMYFUNCTION("""COMPUTED_VALUE"""),1.0)</f>
        <v>1</v>
      </c>
      <c r="O9499" s="4" t="str">
        <f>IFERROR(__xludf.DUMMYFUNCTION("""COMPUTED_VALUE"""),"Saipos Serviços De Software")</f>
        <v>Saipos Serviços De Software</v>
      </c>
      <c r="P9499" s="33">
        <f>IFERROR(__xludf.DUMMYFUNCTION("""COMPUTED_VALUE"""),1.0)</f>
        <v>1</v>
      </c>
      <c r="Q9499" s="4" t="str">
        <f>IFERROR(__xludf.DUMMYFUNCTION("""COMPUTED_VALUE"""),"null")</f>
        <v>null</v>
      </c>
      <c r="R9499" s="33">
        <f>IFERROR(__xludf.DUMMYFUNCTION("""COMPUTED_VALUE"""),1.0)</f>
        <v>1</v>
      </c>
      <c r="S9499" s="4" t="str">
        <f>IFERROR(__xludf.DUMMYFUNCTION("""COMPUTED_VALUE"""),"Saipos Serviços De Software")</f>
        <v>Saipos Serviços De Software</v>
      </c>
      <c r="T9499" s="33">
        <f>IFERROR(__xludf.DUMMYFUNCTION("""COMPUTED_VALUE"""),1.0)</f>
        <v>1</v>
      </c>
      <c r="U9499" s="4" t="str">
        <f>IFERROR(__xludf.DUMMYFUNCTION("""COMPUTED_VALUE"""),"Saipos Serviços De Software")</f>
        <v>Saipos Serviços De Software</v>
      </c>
      <c r="V9499" s="33">
        <f>IFERROR(__xludf.DUMMYFUNCTION("""COMPUTED_VALUE"""),1.0)</f>
        <v>1</v>
      </c>
      <c r="W9499" s="4" t="str">
        <f>IFERROR(__xludf.DUMMYFUNCTION("""COMPUTED_VALUE"""),"null")</f>
        <v>null</v>
      </c>
      <c r="X9499" s="33">
        <f>IFERROR(__xludf.DUMMYFUNCTION("""COMPUTED_VALUE"""),1.0)</f>
        <v>1</v>
      </c>
    </row>
    <row r="9500">
      <c r="K9500" s="4" t="str">
        <f>IFERROR(__xludf.DUMMYFUNCTION("""COMPUTED_VALUE"""),"MEGA COXINHAS - SALGADOS")</f>
        <v>MEGA COXINHAS - SALGADOS</v>
      </c>
      <c r="L9500" s="32">
        <f>IFERROR(__xludf.DUMMYFUNCTION("""COMPUTED_VALUE"""),1.0)</f>
        <v>1</v>
      </c>
      <c r="M9500" s="4" t="str">
        <f>IFERROR(__xludf.DUMMYFUNCTION("""COMPUTED_VALUE"""),"null")</f>
        <v>null</v>
      </c>
      <c r="N9500" s="33">
        <f>IFERROR(__xludf.DUMMYFUNCTION("""COMPUTED_VALUE"""),1.0)</f>
        <v>1</v>
      </c>
      <c r="O9500" s="4" t="str">
        <f>IFERROR(__xludf.DUMMYFUNCTION("""COMPUTED_VALUE"""),"Saipos Serviços De Software")</f>
        <v>Saipos Serviços De Software</v>
      </c>
      <c r="P9500" s="33">
        <f>IFERROR(__xludf.DUMMYFUNCTION("""COMPUTED_VALUE"""),1.0)</f>
        <v>1</v>
      </c>
      <c r="Q9500" s="4" t="str">
        <f>IFERROR(__xludf.DUMMYFUNCTION("""COMPUTED_VALUE"""),"Saipos Serviços De Software")</f>
        <v>Saipos Serviços De Software</v>
      </c>
      <c r="R9500" s="33">
        <f>IFERROR(__xludf.DUMMYFUNCTION("""COMPUTED_VALUE"""),1.0)</f>
        <v>1</v>
      </c>
      <c r="S9500" s="4" t="str">
        <f>IFERROR(__xludf.DUMMYFUNCTION("""COMPUTED_VALUE"""),"Saipos Serviços De Software")</f>
        <v>Saipos Serviços De Software</v>
      </c>
      <c r="T9500" s="33">
        <f>IFERROR(__xludf.DUMMYFUNCTION("""COMPUTED_VALUE"""),1.0)</f>
        <v>1</v>
      </c>
      <c r="U9500" s="4" t="str">
        <f>IFERROR(__xludf.DUMMYFUNCTION("""COMPUTED_VALUE"""),"null")</f>
        <v>null</v>
      </c>
      <c r="V9500" s="33">
        <f>IFERROR(__xludf.DUMMYFUNCTION("""COMPUTED_VALUE"""),1.0)</f>
        <v>1</v>
      </c>
      <c r="W9500" s="4" t="str">
        <f>IFERROR(__xludf.DUMMYFUNCTION("""COMPUTED_VALUE"""),"null")</f>
        <v>null</v>
      </c>
      <c r="X9500" s="33">
        <f>IFERROR(__xludf.DUMMYFUNCTION("""COMPUTED_VALUE"""),1.0)</f>
        <v>1</v>
      </c>
    </row>
    <row r="9501">
      <c r="K9501" s="4" t="str">
        <f>IFERROR(__xludf.DUMMYFUNCTION("""COMPUTED_VALUE"""),"QUIBELICIA SUL")</f>
        <v>QUIBELICIA SUL</v>
      </c>
      <c r="L9501" s="32">
        <f>IFERROR(__xludf.DUMMYFUNCTION("""COMPUTED_VALUE"""),1.0)</f>
        <v>1</v>
      </c>
      <c r="M9501" s="4" t="str">
        <f>IFERROR(__xludf.DUMMYFUNCTION("""COMPUTED_VALUE"""),"null")</f>
        <v>null</v>
      </c>
      <c r="N9501" s="33">
        <f>IFERROR(__xludf.DUMMYFUNCTION("""COMPUTED_VALUE"""),1.0)</f>
        <v>1</v>
      </c>
      <c r="O9501" s="4" t="str">
        <f>IFERROR(__xludf.DUMMYFUNCTION("""COMPUTED_VALUE"""),"null")</f>
        <v>null</v>
      </c>
      <c r="P9501" s="33">
        <f>IFERROR(__xludf.DUMMYFUNCTION("""COMPUTED_VALUE"""),1.0)</f>
        <v>1</v>
      </c>
      <c r="Q9501" s="4" t="str">
        <f>IFERROR(__xludf.DUMMYFUNCTION("""COMPUTED_VALUE"""),"null")</f>
        <v>null</v>
      </c>
      <c r="R9501" s="33">
        <f>IFERROR(__xludf.DUMMYFUNCTION("""COMPUTED_VALUE"""),1.0)</f>
        <v>1</v>
      </c>
      <c r="S9501" s="4" t="str">
        <f>IFERROR(__xludf.DUMMYFUNCTION("""COMPUTED_VALUE"""),"null")</f>
        <v>null</v>
      </c>
      <c r="T9501" s="33">
        <f>IFERROR(__xludf.DUMMYFUNCTION("""COMPUTED_VALUE"""),1.0)</f>
        <v>1</v>
      </c>
      <c r="U9501" s="4" t="str">
        <f>IFERROR(__xludf.DUMMYFUNCTION("""COMPUTED_VALUE"""),"null")</f>
        <v>null</v>
      </c>
      <c r="V9501" s="33">
        <f>IFERROR(__xludf.DUMMYFUNCTION("""COMPUTED_VALUE"""),1.0)</f>
        <v>1</v>
      </c>
      <c r="W9501" s="4" t="str">
        <f>IFERROR(__xludf.DUMMYFUNCTION("""COMPUTED_VALUE"""),"Schneider Software")</f>
        <v>Schneider Software</v>
      </c>
      <c r="X9501" s="33">
        <f>IFERROR(__xludf.DUMMYFUNCTION("""COMPUTED_VALUE"""),1.0)</f>
        <v>1</v>
      </c>
    </row>
    <row r="9502">
      <c r="K9502" s="4" t="str">
        <f>IFERROR(__xludf.DUMMYFUNCTION("""COMPUTED_VALUE"""),"STEVE PIZZA - PIZZARIA DELIVERY ZN")</f>
        <v>STEVE PIZZA - PIZZARIA DELIVERY ZN</v>
      </c>
      <c r="L9502" s="32">
        <f>IFERROR(__xludf.DUMMYFUNCTION("""COMPUTED_VALUE"""),1.0)</f>
        <v>1</v>
      </c>
      <c r="M9502" s="4" t="str">
        <f>IFERROR(__xludf.DUMMYFUNCTION("""COMPUTED_VALUE"""),"Cardápio Web")</f>
        <v>Cardápio Web</v>
      </c>
      <c r="N9502" s="33">
        <f>IFERROR(__xludf.DUMMYFUNCTION("""COMPUTED_VALUE"""),1.0)</f>
        <v>1</v>
      </c>
      <c r="O9502" s="4" t="str">
        <f>IFERROR(__xludf.DUMMYFUNCTION("""COMPUTED_VALUE"""),"Cardápio Web")</f>
        <v>Cardápio Web</v>
      </c>
      <c r="P9502" s="33">
        <f>IFERROR(__xludf.DUMMYFUNCTION("""COMPUTED_VALUE"""),1.0)</f>
        <v>1</v>
      </c>
      <c r="Q9502" s="4" t="str">
        <f>IFERROR(__xludf.DUMMYFUNCTION("""COMPUTED_VALUE"""),"Cardápio Web")</f>
        <v>Cardápio Web</v>
      </c>
      <c r="R9502" s="33">
        <f>IFERROR(__xludf.DUMMYFUNCTION("""COMPUTED_VALUE"""),1.0)</f>
        <v>1</v>
      </c>
      <c r="S9502" s="4" t="str">
        <f>IFERROR(__xludf.DUMMYFUNCTION("""COMPUTED_VALUE"""),"Cardápio Web")</f>
        <v>Cardápio Web</v>
      </c>
      <c r="T9502" s="33">
        <f>IFERROR(__xludf.DUMMYFUNCTION("""COMPUTED_VALUE"""),1.0)</f>
        <v>1</v>
      </c>
      <c r="U9502" s="4" t="str">
        <f>IFERROR(__xludf.DUMMYFUNCTION("""COMPUTED_VALUE"""),"Cardápio Web")</f>
        <v>Cardápio Web</v>
      </c>
      <c r="V9502" s="33">
        <f>IFERROR(__xludf.DUMMYFUNCTION("""COMPUTED_VALUE"""),1.0)</f>
        <v>1</v>
      </c>
      <c r="W9502" s="4" t="str">
        <f>IFERROR(__xludf.DUMMYFUNCTION("""COMPUTED_VALUE"""),"Cardápio Web")</f>
        <v>Cardápio Web</v>
      </c>
      <c r="X9502" s="33">
        <f>IFERROR(__xludf.DUMMYFUNCTION("""COMPUTED_VALUE"""),1.0)</f>
        <v>1</v>
      </c>
    </row>
    <row r="9503">
      <c r="K9503" s="4" t="str">
        <f>IFERROR(__xludf.DUMMYFUNCTION("""COMPUTED_VALUE"""),"BARRIGUDINHOS LANCHES")</f>
        <v>BARRIGUDINHOS LANCHES</v>
      </c>
      <c r="L9503" s="32">
        <f>IFERROR(__xludf.DUMMYFUNCTION("""COMPUTED_VALUE"""),1.0)</f>
        <v>1</v>
      </c>
      <c r="M9503" s="4" t="str">
        <f>IFERROR(__xludf.DUMMYFUNCTION("""COMPUTED_VALUE"""),"null")</f>
        <v>null</v>
      </c>
      <c r="N9503" s="33">
        <f>IFERROR(__xludf.DUMMYFUNCTION("""COMPUTED_VALUE"""),1.0)</f>
        <v>1</v>
      </c>
      <c r="O9503" s="4" t="str">
        <f>IFERROR(__xludf.DUMMYFUNCTION("""COMPUTED_VALUE"""),"null")</f>
        <v>null</v>
      </c>
      <c r="P9503" s="33">
        <f>IFERROR(__xludf.DUMMYFUNCTION("""COMPUTED_VALUE"""),1.0)</f>
        <v>1</v>
      </c>
      <c r="Q9503" s="4" t="str">
        <f>IFERROR(__xludf.DUMMYFUNCTION("""COMPUTED_VALUE"""),"null")</f>
        <v>null</v>
      </c>
      <c r="R9503" s="33">
        <f>IFERROR(__xludf.DUMMYFUNCTION("""COMPUTED_VALUE"""),1.0)</f>
        <v>1</v>
      </c>
      <c r="S9503" s="4" t="str">
        <f>IFERROR(__xludf.DUMMYFUNCTION("""COMPUTED_VALUE"""),"null")</f>
        <v>null</v>
      </c>
      <c r="T9503" s="33">
        <f>IFERROR(__xludf.DUMMYFUNCTION("""COMPUTED_VALUE"""),1.0)</f>
        <v>1</v>
      </c>
      <c r="U9503" s="4" t="str">
        <f>IFERROR(__xludf.DUMMYFUNCTION("""COMPUTED_VALUE"""),"Yooga")</f>
        <v>Yooga</v>
      </c>
      <c r="V9503" s="33">
        <f>IFERROR(__xludf.DUMMYFUNCTION("""COMPUTED_VALUE"""),1.0)</f>
        <v>1</v>
      </c>
      <c r="W9503" s="4" t="str">
        <f>IFERROR(__xludf.DUMMYFUNCTION("""COMPUTED_VALUE"""),"Yooga")</f>
        <v>Yooga</v>
      </c>
      <c r="X9503" s="33">
        <f>IFERROR(__xludf.DUMMYFUNCTION("""COMPUTED_VALUE"""),1.0)</f>
        <v>1</v>
      </c>
    </row>
    <row r="9504">
      <c r="K9504" s="4" t="str">
        <f>IFERROR(__xludf.DUMMYFUNCTION("""COMPUTED_VALUE"""),"CORUJAS BURGER")</f>
        <v>CORUJAS BURGER</v>
      </c>
      <c r="L9504" s="32">
        <f>IFERROR(__xludf.DUMMYFUNCTION("""COMPUTED_VALUE"""),1.0)</f>
        <v>1</v>
      </c>
      <c r="M9504" s="4" t="str">
        <f>IFERROR(__xludf.DUMMYFUNCTION("""COMPUTED_VALUE"""),"null")</f>
        <v>null</v>
      </c>
      <c r="N9504" s="33">
        <f>IFERROR(__xludf.DUMMYFUNCTION("""COMPUTED_VALUE"""),1.0)</f>
        <v>1</v>
      </c>
      <c r="O9504" s="4" t="str">
        <f>IFERROR(__xludf.DUMMYFUNCTION("""COMPUTED_VALUE"""),"null")</f>
        <v>null</v>
      </c>
      <c r="P9504" s="33">
        <f>IFERROR(__xludf.DUMMYFUNCTION("""COMPUTED_VALUE"""),1.0)</f>
        <v>1</v>
      </c>
      <c r="Q9504" s="4" t="str">
        <f>IFERROR(__xludf.DUMMYFUNCTION("""COMPUTED_VALUE"""),"null")</f>
        <v>null</v>
      </c>
      <c r="R9504" s="33">
        <f>IFERROR(__xludf.DUMMYFUNCTION("""COMPUTED_VALUE"""),1.0)</f>
        <v>1</v>
      </c>
      <c r="S9504" s="4" t="str">
        <f>IFERROR(__xludf.DUMMYFUNCTION("""COMPUTED_VALUE"""),"null")</f>
        <v>null</v>
      </c>
      <c r="T9504" s="33">
        <f>IFERROR(__xludf.DUMMYFUNCTION("""COMPUTED_VALUE"""),1.0)</f>
        <v>1</v>
      </c>
      <c r="U9504" s="4" t="str">
        <f>IFERROR(__xludf.DUMMYFUNCTION("""COMPUTED_VALUE"""),"null")</f>
        <v>null</v>
      </c>
      <c r="V9504" s="33">
        <f>IFERROR(__xludf.DUMMYFUNCTION("""COMPUTED_VALUE"""),1.0)</f>
        <v>1</v>
      </c>
      <c r="W9504" s="4" t="str">
        <f>IFERROR(__xludf.DUMMYFUNCTION("""COMPUTED_VALUE"""),"Anota Ai Solucoes Digitais S/a")</f>
        <v>Anota Ai Solucoes Digitais S/a</v>
      </c>
      <c r="X9504" s="33">
        <f>IFERROR(__xludf.DUMMYFUNCTION("""COMPUTED_VALUE"""),1.0)</f>
        <v>1</v>
      </c>
    </row>
    <row r="9505">
      <c r="K9505" s="4" t="str">
        <f>IFERROR(__xludf.DUMMYFUNCTION("""COMPUTED_VALUE"""),"BOTECO VEM QUE TEM")</f>
        <v>BOTECO VEM QUE TEM</v>
      </c>
      <c r="L9505" s="32">
        <f>IFERROR(__xludf.DUMMYFUNCTION("""COMPUTED_VALUE"""),1.0)</f>
        <v>1</v>
      </c>
      <c r="M9505" s="4" t="str">
        <f>IFERROR(__xludf.DUMMYFUNCTION("""COMPUTED_VALUE"""),"Saipos Serviços De Software")</f>
        <v>Saipos Serviços De Software</v>
      </c>
      <c r="N9505" s="33">
        <f>IFERROR(__xludf.DUMMYFUNCTION("""COMPUTED_VALUE"""),1.0)</f>
        <v>1</v>
      </c>
      <c r="O9505" s="4" t="str">
        <f>IFERROR(__xludf.DUMMYFUNCTION("""COMPUTED_VALUE"""),"Saipos Serviços De Software")</f>
        <v>Saipos Serviços De Software</v>
      </c>
      <c r="P9505" s="33">
        <f>IFERROR(__xludf.DUMMYFUNCTION("""COMPUTED_VALUE"""),1.0)</f>
        <v>1</v>
      </c>
      <c r="Q9505" s="4" t="str">
        <f>IFERROR(__xludf.DUMMYFUNCTION("""COMPUTED_VALUE"""),"null")</f>
        <v>null</v>
      </c>
      <c r="R9505" s="33">
        <f>IFERROR(__xludf.DUMMYFUNCTION("""COMPUTED_VALUE"""),1.0)</f>
        <v>1</v>
      </c>
      <c r="S9505" s="4" t="str">
        <f>IFERROR(__xludf.DUMMYFUNCTION("""COMPUTED_VALUE"""),"null")</f>
        <v>null</v>
      </c>
      <c r="T9505" s="33">
        <f>IFERROR(__xludf.DUMMYFUNCTION("""COMPUTED_VALUE"""),1.0)</f>
        <v>1</v>
      </c>
      <c r="U9505" s="4" t="str">
        <f>IFERROR(__xludf.DUMMYFUNCTION("""COMPUTED_VALUE"""),"null")</f>
        <v>null</v>
      </c>
      <c r="V9505" s="33">
        <f>IFERROR(__xludf.DUMMYFUNCTION("""COMPUTED_VALUE"""),1.0)</f>
        <v>1</v>
      </c>
      <c r="W9505" s="4" t="str">
        <f>IFERROR(__xludf.DUMMYFUNCTION("""COMPUTED_VALUE"""),"null")</f>
        <v>null</v>
      </c>
      <c r="X9505" s="33">
        <f>IFERROR(__xludf.DUMMYFUNCTION("""COMPUTED_VALUE"""),1.0)</f>
        <v>1</v>
      </c>
    </row>
    <row r="9506">
      <c r="K9506" s="4" t="str">
        <f>IFERROR(__xludf.DUMMYFUNCTION("""COMPUTED_VALUE"""),"DROGARIA LUMIAR")</f>
        <v>DROGARIA LUMIAR</v>
      </c>
      <c r="L9506" s="32">
        <f>IFERROR(__xludf.DUMMYFUNCTION("""COMPUTED_VALUE"""),1.0)</f>
        <v>1</v>
      </c>
      <c r="M9506" s="4" t="str">
        <f>IFERROR(__xludf.DUMMYFUNCTION("""COMPUTED_VALUE"""),"N/A (Not found)")</f>
        <v>N/A (Not found)</v>
      </c>
      <c r="N9506" s="33">
        <f>IFERROR(__xludf.DUMMYFUNCTION("""COMPUTED_VALUE"""),1.0)</f>
        <v>1</v>
      </c>
      <c r="O9506" s="4" t="str">
        <f>IFERROR(__xludf.DUMMYFUNCTION("""COMPUTED_VALUE"""),"N/A (Not found)")</f>
        <v>N/A (Not found)</v>
      </c>
      <c r="P9506" s="33">
        <f>IFERROR(__xludf.DUMMYFUNCTION("""COMPUTED_VALUE"""),1.0)</f>
        <v>1</v>
      </c>
      <c r="Q9506" s="4" t="str">
        <f>IFERROR(__xludf.DUMMYFUNCTION("""COMPUTED_VALUE"""),"N/A (Not found)")</f>
        <v>N/A (Not found)</v>
      </c>
      <c r="R9506" s="33">
        <f>IFERROR(__xludf.DUMMYFUNCTION("""COMPUTED_VALUE"""),1.0)</f>
        <v>1</v>
      </c>
      <c r="S9506" s="4" t="str">
        <f>IFERROR(__xludf.DUMMYFUNCTION("""COMPUTED_VALUE"""),"N/A (Not found)")</f>
        <v>N/A (Not found)</v>
      </c>
      <c r="T9506" s="33">
        <f>IFERROR(__xludf.DUMMYFUNCTION("""COMPUTED_VALUE"""),1.0)</f>
        <v>1</v>
      </c>
      <c r="U9506" s="4" t="str">
        <f>IFERROR(__xludf.DUMMYFUNCTION("""COMPUTED_VALUE"""),"N/A (Not found)")</f>
        <v>N/A (Not found)</v>
      </c>
      <c r="V9506" s="33">
        <f>IFERROR(__xludf.DUMMYFUNCTION("""COMPUTED_VALUE"""),1.0)</f>
        <v>1</v>
      </c>
      <c r="W9506" s="4" t="str">
        <f>IFERROR(__xludf.DUMMYFUNCTION("""COMPUTED_VALUE"""),"N/A (Not found)")</f>
        <v>N/A (Not found)</v>
      </c>
      <c r="X9506" s="33">
        <f>IFERROR(__xludf.DUMMYFUNCTION("""COMPUTED_VALUE"""),1.0)</f>
        <v>1</v>
      </c>
    </row>
    <row r="9507">
      <c r="K9507" s="4" t="str">
        <f>IFERROR(__xludf.DUMMYFUNCTION("""COMPUTED_VALUE"""),"DROGARIA MEG FARMA")</f>
        <v>DROGARIA MEG FARMA</v>
      </c>
      <c r="L9507" s="32">
        <f>IFERROR(__xludf.DUMMYFUNCTION("""COMPUTED_VALUE"""),1.0)</f>
        <v>1</v>
      </c>
      <c r="M9507" s="4" t="str">
        <f>IFERROR(__xludf.DUMMYFUNCTION("""COMPUTED_VALUE"""),"N/A (Not found)")</f>
        <v>N/A (Not found)</v>
      </c>
      <c r="N9507" s="33">
        <f>IFERROR(__xludf.DUMMYFUNCTION("""COMPUTED_VALUE"""),1.0)</f>
        <v>1</v>
      </c>
      <c r="O9507" s="4" t="str">
        <f>IFERROR(__xludf.DUMMYFUNCTION("""COMPUTED_VALUE"""),"N/A (Not found)")</f>
        <v>N/A (Not found)</v>
      </c>
      <c r="P9507" s="33">
        <f>IFERROR(__xludf.DUMMYFUNCTION("""COMPUTED_VALUE"""),1.0)</f>
        <v>1</v>
      </c>
      <c r="Q9507" s="4" t="str">
        <f>IFERROR(__xludf.DUMMYFUNCTION("""COMPUTED_VALUE"""),"N/A (Not found)")</f>
        <v>N/A (Not found)</v>
      </c>
      <c r="R9507" s="33">
        <f>IFERROR(__xludf.DUMMYFUNCTION("""COMPUTED_VALUE"""),1.0)</f>
        <v>1</v>
      </c>
      <c r="S9507" s="4" t="str">
        <f>IFERROR(__xludf.DUMMYFUNCTION("""COMPUTED_VALUE"""),"N/A (Not found)")</f>
        <v>N/A (Not found)</v>
      </c>
      <c r="T9507" s="33">
        <f>IFERROR(__xludf.DUMMYFUNCTION("""COMPUTED_VALUE"""),1.0)</f>
        <v>1</v>
      </c>
      <c r="U9507" s="4" t="str">
        <f>IFERROR(__xludf.DUMMYFUNCTION("""COMPUTED_VALUE"""),"N/A (Not found)")</f>
        <v>N/A (Not found)</v>
      </c>
      <c r="V9507" s="33">
        <f>IFERROR(__xludf.DUMMYFUNCTION("""COMPUTED_VALUE"""),1.0)</f>
        <v>1</v>
      </c>
      <c r="W9507" s="4" t="str">
        <f>IFERROR(__xludf.DUMMYFUNCTION("""COMPUTED_VALUE"""),"N/A (Not found)")</f>
        <v>N/A (Not found)</v>
      </c>
      <c r="X9507" s="33">
        <f>IFERROR(__xludf.DUMMYFUNCTION("""COMPUTED_VALUE"""),1.0)</f>
        <v>1</v>
      </c>
    </row>
    <row r="9508">
      <c r="K9508" s="4" t="str">
        <f>IFERROR(__xludf.DUMMYFUNCTION("""COMPUTED_VALUE"""),"SLC CACHORREIRA")</f>
        <v>SLC CACHORREIRA</v>
      </c>
      <c r="L9508" s="32">
        <f>IFERROR(__xludf.DUMMYFUNCTION("""COMPUTED_VALUE"""),1.0)</f>
        <v>1</v>
      </c>
      <c r="M9508" s="4" t="str">
        <f>IFERROR(__xludf.DUMMYFUNCTION("""COMPUTED_VALUE"""),"Whatsmenu Ltda")</f>
        <v>Whatsmenu Ltda</v>
      </c>
      <c r="N9508" s="33">
        <f>IFERROR(__xludf.DUMMYFUNCTION("""COMPUTED_VALUE"""),1.0)</f>
        <v>1</v>
      </c>
      <c r="O9508" s="4" t="str">
        <f>IFERROR(__xludf.DUMMYFUNCTION("""COMPUTED_VALUE"""),"Whatsmenu Ltda")</f>
        <v>Whatsmenu Ltda</v>
      </c>
      <c r="P9508" s="33">
        <f>IFERROR(__xludf.DUMMYFUNCTION("""COMPUTED_VALUE"""),1.0)</f>
        <v>1</v>
      </c>
      <c r="Q9508" s="4" t="str">
        <f>IFERROR(__xludf.DUMMYFUNCTION("""COMPUTED_VALUE"""),"null")</f>
        <v>null</v>
      </c>
      <c r="R9508" s="33">
        <f>IFERROR(__xludf.DUMMYFUNCTION("""COMPUTED_VALUE"""),1.0)</f>
        <v>1</v>
      </c>
      <c r="S9508" s="4" t="str">
        <f>IFERROR(__xludf.DUMMYFUNCTION("""COMPUTED_VALUE"""),"Whatsmenu Ltda")</f>
        <v>Whatsmenu Ltda</v>
      </c>
      <c r="T9508" s="33">
        <f>IFERROR(__xludf.DUMMYFUNCTION("""COMPUTED_VALUE"""),1.0)</f>
        <v>1</v>
      </c>
      <c r="U9508" s="4" t="str">
        <f>IFERROR(__xludf.DUMMYFUNCTION("""COMPUTED_VALUE"""),"null")</f>
        <v>null</v>
      </c>
      <c r="V9508" s="33">
        <f>IFERROR(__xludf.DUMMYFUNCTION("""COMPUTED_VALUE"""),1.0)</f>
        <v>1</v>
      </c>
      <c r="W9508" s="4" t="str">
        <f>IFERROR(__xludf.DUMMYFUNCTION("""COMPUTED_VALUE"""),"null")</f>
        <v>null</v>
      </c>
      <c r="X9508" s="33">
        <f>IFERROR(__xludf.DUMMYFUNCTION("""COMPUTED_VALUE"""),1.0)</f>
        <v>1</v>
      </c>
    </row>
    <row r="9509">
      <c r="K9509" s="4" t="str">
        <f>IFERROR(__xludf.DUMMYFUNCTION("""COMPUTED_VALUE"""),"MONUMENTOS BURGER")</f>
        <v>MONUMENTOS BURGER</v>
      </c>
      <c r="L9509" s="32">
        <f>IFERROR(__xludf.DUMMYFUNCTION("""COMPUTED_VALUE"""),1.0)</f>
        <v>1</v>
      </c>
      <c r="M9509" s="4" t="str">
        <f>IFERROR(__xludf.DUMMYFUNCTION("""COMPUTED_VALUE"""),"Saipos Serviços De Software")</f>
        <v>Saipos Serviços De Software</v>
      </c>
      <c r="N9509" s="33">
        <f>IFERROR(__xludf.DUMMYFUNCTION("""COMPUTED_VALUE"""),1.0)</f>
        <v>1</v>
      </c>
      <c r="O9509" s="4" t="str">
        <f>IFERROR(__xludf.DUMMYFUNCTION("""COMPUTED_VALUE"""),"Saipos Serviços De Software")</f>
        <v>Saipos Serviços De Software</v>
      </c>
      <c r="P9509" s="33">
        <f>IFERROR(__xludf.DUMMYFUNCTION("""COMPUTED_VALUE"""),1.0)</f>
        <v>1</v>
      </c>
      <c r="Q9509" s="4" t="str">
        <f>IFERROR(__xludf.DUMMYFUNCTION("""COMPUTED_VALUE"""),"null")</f>
        <v>null</v>
      </c>
      <c r="R9509" s="33">
        <f>IFERROR(__xludf.DUMMYFUNCTION("""COMPUTED_VALUE"""),1.0)</f>
        <v>1</v>
      </c>
      <c r="S9509" s="4" t="str">
        <f>IFERROR(__xludf.DUMMYFUNCTION("""COMPUTED_VALUE"""),"null")</f>
        <v>null</v>
      </c>
      <c r="T9509" s="33">
        <f>IFERROR(__xludf.DUMMYFUNCTION("""COMPUTED_VALUE"""),1.0)</f>
        <v>1</v>
      </c>
      <c r="U9509" s="4" t="str">
        <f>IFERROR(__xludf.DUMMYFUNCTION("""COMPUTED_VALUE"""),"null")</f>
        <v>null</v>
      </c>
      <c r="V9509" s="33">
        <f>IFERROR(__xludf.DUMMYFUNCTION("""COMPUTED_VALUE"""),1.0)</f>
        <v>1</v>
      </c>
      <c r="W9509" s="4" t="str">
        <f>IFERROR(__xludf.DUMMYFUNCTION("""COMPUTED_VALUE"""),"null")</f>
        <v>null</v>
      </c>
      <c r="X9509" s="33">
        <f>IFERROR(__xludf.DUMMYFUNCTION("""COMPUTED_VALUE"""),1.0)</f>
        <v>1</v>
      </c>
    </row>
    <row r="9510">
      <c r="K9510" s="4" t="str">
        <f>IFERROR(__xludf.DUMMYFUNCTION("""COMPUTED_VALUE"""),"MARMITA TEMPERO DA VOVO STELA")</f>
        <v>MARMITA TEMPERO DA VOVO STELA</v>
      </c>
      <c r="L9510" s="32">
        <f>IFERROR(__xludf.DUMMYFUNCTION("""COMPUTED_VALUE"""),1.0)</f>
        <v>1</v>
      </c>
      <c r="M9510" s="4" t="str">
        <f>IFERROR(__xludf.DUMMYFUNCTION("""COMPUTED_VALUE"""),"Cardápio Web")</f>
        <v>Cardápio Web</v>
      </c>
      <c r="N9510" s="33">
        <f>IFERROR(__xludf.DUMMYFUNCTION("""COMPUTED_VALUE"""),1.0)</f>
        <v>1</v>
      </c>
      <c r="O9510" s="4" t="str">
        <f>IFERROR(__xludf.DUMMYFUNCTION("""COMPUTED_VALUE"""),"Cardápio Web")</f>
        <v>Cardápio Web</v>
      </c>
      <c r="P9510" s="33">
        <f>IFERROR(__xludf.DUMMYFUNCTION("""COMPUTED_VALUE"""),1.0)</f>
        <v>1</v>
      </c>
      <c r="Q9510" s="4" t="str">
        <f>IFERROR(__xludf.DUMMYFUNCTION("""COMPUTED_VALUE"""),"Cardápio Web")</f>
        <v>Cardápio Web</v>
      </c>
      <c r="R9510" s="33">
        <f>IFERROR(__xludf.DUMMYFUNCTION("""COMPUTED_VALUE"""),1.0)</f>
        <v>1</v>
      </c>
      <c r="S9510" s="4" t="str">
        <f>IFERROR(__xludf.DUMMYFUNCTION("""COMPUTED_VALUE"""),"Cardápio Web")</f>
        <v>Cardápio Web</v>
      </c>
      <c r="T9510" s="33">
        <f>IFERROR(__xludf.DUMMYFUNCTION("""COMPUTED_VALUE"""),1.0)</f>
        <v>1</v>
      </c>
      <c r="U9510" s="4" t="str">
        <f>IFERROR(__xludf.DUMMYFUNCTION("""COMPUTED_VALUE"""),"Cardápio Web")</f>
        <v>Cardápio Web</v>
      </c>
      <c r="V9510" s="33">
        <f>IFERROR(__xludf.DUMMYFUNCTION("""COMPUTED_VALUE"""),1.0)</f>
        <v>1</v>
      </c>
      <c r="W9510" s="4" t="str">
        <f>IFERROR(__xludf.DUMMYFUNCTION("""COMPUTED_VALUE"""),"Cardápio Web")</f>
        <v>Cardápio Web</v>
      </c>
      <c r="X9510" s="33">
        <f>IFERROR(__xludf.DUMMYFUNCTION("""COMPUTED_VALUE"""),1.0)</f>
        <v>1</v>
      </c>
    </row>
    <row r="9511">
      <c r="K9511" s="4" t="str">
        <f>IFERROR(__xludf.DUMMYFUNCTION("""COMPUTED_VALUE"""),"BOLOS DA TERESA")</f>
        <v>BOLOS DA TERESA</v>
      </c>
      <c r="L9511" s="32">
        <f>IFERROR(__xludf.DUMMYFUNCTION("""COMPUTED_VALUE"""),1.0)</f>
        <v>1</v>
      </c>
      <c r="M9511" s="4" t="str">
        <f>IFERROR(__xludf.DUMMYFUNCTION("""COMPUTED_VALUE"""),"Cardápio Web")</f>
        <v>Cardápio Web</v>
      </c>
      <c r="N9511" s="33">
        <f>IFERROR(__xludf.DUMMYFUNCTION("""COMPUTED_VALUE"""),1.0)</f>
        <v>1</v>
      </c>
      <c r="O9511" s="4" t="str">
        <f>IFERROR(__xludf.DUMMYFUNCTION("""COMPUTED_VALUE"""),"Cardápio Web")</f>
        <v>Cardápio Web</v>
      </c>
      <c r="P9511" s="33">
        <f>IFERROR(__xludf.DUMMYFUNCTION("""COMPUTED_VALUE"""),1.0)</f>
        <v>1</v>
      </c>
      <c r="Q9511" s="4" t="str">
        <f>IFERROR(__xludf.DUMMYFUNCTION("""COMPUTED_VALUE"""),"null")</f>
        <v>null</v>
      </c>
      <c r="R9511" s="33">
        <f>IFERROR(__xludf.DUMMYFUNCTION("""COMPUTED_VALUE"""),1.0)</f>
        <v>1</v>
      </c>
      <c r="S9511" s="4" t="str">
        <f>IFERROR(__xludf.DUMMYFUNCTION("""COMPUTED_VALUE"""),"Cardápio Web")</f>
        <v>Cardápio Web</v>
      </c>
      <c r="T9511" s="33">
        <f>IFERROR(__xludf.DUMMYFUNCTION("""COMPUTED_VALUE"""),1.0)</f>
        <v>1</v>
      </c>
      <c r="U9511" s="4" t="str">
        <f>IFERROR(__xludf.DUMMYFUNCTION("""COMPUTED_VALUE"""),"null")</f>
        <v>null</v>
      </c>
      <c r="V9511" s="33">
        <f>IFERROR(__xludf.DUMMYFUNCTION("""COMPUTED_VALUE"""),1.0)</f>
        <v>1</v>
      </c>
      <c r="W9511" s="4" t="str">
        <f>IFERROR(__xludf.DUMMYFUNCTION("""COMPUTED_VALUE"""),"null")</f>
        <v>null</v>
      </c>
      <c r="X9511" s="33">
        <f>IFERROR(__xludf.DUMMYFUNCTION("""COMPUTED_VALUE"""),1.0)</f>
        <v>1</v>
      </c>
    </row>
    <row r="9512">
      <c r="K9512" s="4" t="str">
        <f>IFERROR(__xludf.DUMMYFUNCTION("""COMPUTED_VALUE"""),"NEW ERA PIZZARIA")</f>
        <v>NEW ERA PIZZARIA</v>
      </c>
      <c r="L9512" s="32">
        <f>IFERROR(__xludf.DUMMYFUNCTION("""COMPUTED_VALUE"""),1.0)</f>
        <v>1</v>
      </c>
      <c r="M9512" s="4" t="str">
        <f>IFERROR(__xludf.DUMMYFUNCTION("""COMPUTED_VALUE"""),"null")</f>
        <v>null</v>
      </c>
      <c r="N9512" s="33">
        <f>IFERROR(__xludf.DUMMYFUNCTION("""COMPUTED_VALUE"""),1.0)</f>
        <v>1</v>
      </c>
      <c r="O9512" s="4" t="str">
        <f>IFERROR(__xludf.DUMMYFUNCTION("""COMPUTED_VALUE"""),"null")</f>
        <v>null</v>
      </c>
      <c r="P9512" s="33">
        <f>IFERROR(__xludf.DUMMYFUNCTION("""COMPUTED_VALUE"""),1.0)</f>
        <v>1</v>
      </c>
      <c r="Q9512" s="4" t="str">
        <f>IFERROR(__xludf.DUMMYFUNCTION("""COMPUTED_VALUE"""),"null")</f>
        <v>null</v>
      </c>
      <c r="R9512" s="33">
        <f>IFERROR(__xludf.DUMMYFUNCTION("""COMPUTED_VALUE"""),1.0)</f>
        <v>1</v>
      </c>
      <c r="S9512" s="4" t="str">
        <f>IFERROR(__xludf.DUMMYFUNCTION("""COMPUTED_VALUE"""),"Expresso Delivery")</f>
        <v>Expresso Delivery</v>
      </c>
      <c r="T9512" s="33">
        <f>IFERROR(__xludf.DUMMYFUNCTION("""COMPUTED_VALUE"""),1.0)</f>
        <v>1</v>
      </c>
      <c r="U9512" s="4" t="str">
        <f>IFERROR(__xludf.DUMMYFUNCTION("""COMPUTED_VALUE"""),"null")</f>
        <v>null</v>
      </c>
      <c r="V9512" s="33">
        <f>IFERROR(__xludf.DUMMYFUNCTION("""COMPUTED_VALUE"""),1.0)</f>
        <v>1</v>
      </c>
      <c r="W9512" s="4" t="str">
        <f>IFERROR(__xludf.DUMMYFUNCTION("""COMPUTED_VALUE"""),"Expresso Delivery")</f>
        <v>Expresso Delivery</v>
      </c>
      <c r="X9512" s="33">
        <f>IFERROR(__xludf.DUMMYFUNCTION("""COMPUTED_VALUE"""),1.0)</f>
        <v>1</v>
      </c>
    </row>
    <row r="9513">
      <c r="K9513" s="4" t="str">
        <f>IFERROR(__xludf.DUMMYFUNCTION("""COMPUTED_VALUE"""),"CARLAS ACAITERIA E LANCHES")</f>
        <v>CARLAS ACAITERIA E LANCHES</v>
      </c>
      <c r="L9513" s="32">
        <f>IFERROR(__xludf.DUMMYFUNCTION("""COMPUTED_VALUE"""),1.0)</f>
        <v>1</v>
      </c>
      <c r="M9513" s="4" t="str">
        <f>IFERROR(__xludf.DUMMYFUNCTION("""COMPUTED_VALUE"""),"null")</f>
        <v>null</v>
      </c>
      <c r="N9513" s="33">
        <f>IFERROR(__xludf.DUMMYFUNCTION("""COMPUTED_VALUE"""),1.0)</f>
        <v>1</v>
      </c>
      <c r="O9513" s="4" t="str">
        <f>IFERROR(__xludf.DUMMYFUNCTION("""COMPUTED_VALUE"""),"null")</f>
        <v>null</v>
      </c>
      <c r="P9513" s="33">
        <f>IFERROR(__xludf.DUMMYFUNCTION("""COMPUTED_VALUE"""),1.0)</f>
        <v>1</v>
      </c>
      <c r="Q9513" s="4" t="str">
        <f>IFERROR(__xludf.DUMMYFUNCTION("""COMPUTED_VALUE"""),"Saipos Serviços De Software")</f>
        <v>Saipos Serviços De Software</v>
      </c>
      <c r="R9513" s="33">
        <f>IFERROR(__xludf.DUMMYFUNCTION("""COMPUTED_VALUE"""),1.0)</f>
        <v>1</v>
      </c>
      <c r="S9513" s="4" t="str">
        <f>IFERROR(__xludf.DUMMYFUNCTION("""COMPUTED_VALUE"""),"Saipos Serviços De Software")</f>
        <v>Saipos Serviços De Software</v>
      </c>
      <c r="T9513" s="33">
        <f>IFERROR(__xludf.DUMMYFUNCTION("""COMPUTED_VALUE"""),1.0)</f>
        <v>1</v>
      </c>
      <c r="U9513" s="4" t="str">
        <f>IFERROR(__xludf.DUMMYFUNCTION("""COMPUTED_VALUE"""),"Saipos Serviços De Software")</f>
        <v>Saipos Serviços De Software</v>
      </c>
      <c r="V9513" s="33">
        <f>IFERROR(__xludf.DUMMYFUNCTION("""COMPUTED_VALUE"""),1.0)</f>
        <v>1</v>
      </c>
      <c r="W9513" s="4" t="str">
        <f>IFERROR(__xludf.DUMMYFUNCTION("""COMPUTED_VALUE"""),"Saipos Serviços De Software")</f>
        <v>Saipos Serviços De Software</v>
      </c>
      <c r="X9513" s="33">
        <f>IFERROR(__xludf.DUMMYFUNCTION("""COMPUTED_VALUE"""),1.0)</f>
        <v>1</v>
      </c>
    </row>
    <row r="9514">
      <c r="K9514" s="4" t="str">
        <f>IFERROR(__xludf.DUMMYFUNCTION("""COMPUTED_VALUE"""),"TELEFABRICA DPIZZA ZONA SUL")</f>
        <v>TELEFABRICA DPIZZA ZONA SUL</v>
      </c>
      <c r="L9514" s="32">
        <f>IFERROR(__xludf.DUMMYFUNCTION("""COMPUTED_VALUE"""),1.0)</f>
        <v>1</v>
      </c>
      <c r="M9514" s="4" t="str">
        <f>IFERROR(__xludf.DUMMYFUNCTION("""COMPUTED_VALUE"""),"null")</f>
        <v>null</v>
      </c>
      <c r="N9514" s="33">
        <f>IFERROR(__xludf.DUMMYFUNCTION("""COMPUTED_VALUE"""),1.0)</f>
        <v>1</v>
      </c>
      <c r="O9514" s="4" t="str">
        <f>IFERROR(__xludf.DUMMYFUNCTION("""COMPUTED_VALUE"""),"null")</f>
        <v>null</v>
      </c>
      <c r="P9514" s="33">
        <f>IFERROR(__xludf.DUMMYFUNCTION("""COMPUTED_VALUE"""),1.0)</f>
        <v>1</v>
      </c>
      <c r="Q9514" s="4" t="str">
        <f>IFERROR(__xludf.DUMMYFUNCTION("""COMPUTED_VALUE"""),"null")</f>
        <v>null</v>
      </c>
      <c r="R9514" s="33">
        <f>IFERROR(__xludf.DUMMYFUNCTION("""COMPUTED_VALUE"""),1.0)</f>
        <v>1</v>
      </c>
      <c r="S9514" s="4" t="str">
        <f>IFERROR(__xludf.DUMMYFUNCTION("""COMPUTED_VALUE"""),"Saipos Serviços De Software")</f>
        <v>Saipos Serviços De Software</v>
      </c>
      <c r="T9514" s="33">
        <f>IFERROR(__xludf.DUMMYFUNCTION("""COMPUTED_VALUE"""),1.0)</f>
        <v>1</v>
      </c>
      <c r="U9514" s="4" t="str">
        <f>IFERROR(__xludf.DUMMYFUNCTION("""COMPUTED_VALUE"""),"null")</f>
        <v>null</v>
      </c>
      <c r="V9514" s="33">
        <f>IFERROR(__xludf.DUMMYFUNCTION("""COMPUTED_VALUE"""),1.0)</f>
        <v>1</v>
      </c>
      <c r="W9514" s="4" t="str">
        <f>IFERROR(__xludf.DUMMYFUNCTION("""COMPUTED_VALUE"""),"null")</f>
        <v>null</v>
      </c>
      <c r="X9514" s="33">
        <f>IFERROR(__xludf.DUMMYFUNCTION("""COMPUTED_VALUE"""),1.0)</f>
        <v>1</v>
      </c>
    </row>
    <row r="9515">
      <c r="K9515" s="4" t="str">
        <f>IFERROR(__xludf.DUMMYFUNCTION("""COMPUTED_VALUE"""),"HAMBURGUERIA AUSTIN BURGER - LANCHES E ACAI")</f>
        <v>HAMBURGUERIA AUSTIN BURGER - LANCHES E ACAI</v>
      </c>
      <c r="L9515" s="32">
        <f>IFERROR(__xludf.DUMMYFUNCTION("""COMPUTED_VALUE"""),1.0)</f>
        <v>1</v>
      </c>
      <c r="M9515" s="4" t="str">
        <f>IFERROR(__xludf.DUMMYFUNCTION("""COMPUTED_VALUE"""),"Cardápio Web")</f>
        <v>Cardápio Web</v>
      </c>
      <c r="N9515" s="33">
        <f>IFERROR(__xludf.DUMMYFUNCTION("""COMPUTED_VALUE"""),1.0)</f>
        <v>1</v>
      </c>
      <c r="O9515" s="4" t="str">
        <f>IFERROR(__xludf.DUMMYFUNCTION("""COMPUTED_VALUE"""),"Cardápio Web")</f>
        <v>Cardápio Web</v>
      </c>
      <c r="P9515" s="33">
        <f>IFERROR(__xludf.DUMMYFUNCTION("""COMPUTED_VALUE"""),1.0)</f>
        <v>1</v>
      </c>
      <c r="Q9515" s="4" t="str">
        <f>IFERROR(__xludf.DUMMYFUNCTION("""COMPUTED_VALUE"""),"Cardápio Web")</f>
        <v>Cardápio Web</v>
      </c>
      <c r="R9515" s="33">
        <f>IFERROR(__xludf.DUMMYFUNCTION("""COMPUTED_VALUE"""),1.0)</f>
        <v>1</v>
      </c>
      <c r="S9515" s="4" t="str">
        <f>IFERROR(__xludf.DUMMYFUNCTION("""COMPUTED_VALUE"""),"Cardápio Web")</f>
        <v>Cardápio Web</v>
      </c>
      <c r="T9515" s="33">
        <f>IFERROR(__xludf.DUMMYFUNCTION("""COMPUTED_VALUE"""),1.0)</f>
        <v>1</v>
      </c>
      <c r="U9515" s="4" t="str">
        <f>IFERROR(__xludf.DUMMYFUNCTION("""COMPUTED_VALUE"""),"Cardápio Web")</f>
        <v>Cardápio Web</v>
      </c>
      <c r="V9515" s="33">
        <f>IFERROR(__xludf.DUMMYFUNCTION("""COMPUTED_VALUE"""),1.0)</f>
        <v>1</v>
      </c>
      <c r="W9515" s="4" t="str">
        <f>IFERROR(__xludf.DUMMYFUNCTION("""COMPUTED_VALUE"""),"null")</f>
        <v>null</v>
      </c>
      <c r="X9515" s="33">
        <f>IFERROR(__xludf.DUMMYFUNCTION("""COMPUTED_VALUE"""),1.0)</f>
        <v>1</v>
      </c>
    </row>
    <row r="9516">
      <c r="K9516" s="4" t="str">
        <f>IFERROR(__xludf.DUMMYFUNCTION("""COMPUTED_VALUE"""),"CLICK CIA ACESSORIOS")</f>
        <v>CLICK CIA ACESSORIOS</v>
      </c>
      <c r="L9516" s="32">
        <f>IFERROR(__xludf.DUMMYFUNCTION("""COMPUTED_VALUE"""),1.0)</f>
        <v>1</v>
      </c>
      <c r="M9516" s="4" t="str">
        <f>IFERROR(__xludf.DUMMYFUNCTION("""COMPUTED_VALUE"""),"N/A (Not found)")</f>
        <v>N/A (Not found)</v>
      </c>
      <c r="N9516" s="33">
        <f>IFERROR(__xludf.DUMMYFUNCTION("""COMPUTED_VALUE"""),1.0)</f>
        <v>1</v>
      </c>
      <c r="O9516" s="4" t="str">
        <f>IFERROR(__xludf.DUMMYFUNCTION("""COMPUTED_VALUE"""),"N/A (Not found)")</f>
        <v>N/A (Not found)</v>
      </c>
      <c r="P9516" s="33">
        <f>IFERROR(__xludf.DUMMYFUNCTION("""COMPUTED_VALUE"""),1.0)</f>
        <v>1</v>
      </c>
      <c r="Q9516" s="4" t="str">
        <f>IFERROR(__xludf.DUMMYFUNCTION("""COMPUTED_VALUE"""),"null")</f>
        <v>null</v>
      </c>
      <c r="R9516" s="33">
        <f>IFERROR(__xludf.DUMMYFUNCTION("""COMPUTED_VALUE"""),1.0)</f>
        <v>1</v>
      </c>
      <c r="S9516" s="4" t="str">
        <f>IFERROR(__xludf.DUMMYFUNCTION("""COMPUTED_VALUE"""),"N/A (Not found)")</f>
        <v>N/A (Not found)</v>
      </c>
      <c r="T9516" s="33">
        <f>IFERROR(__xludf.DUMMYFUNCTION("""COMPUTED_VALUE"""),1.0)</f>
        <v>1</v>
      </c>
      <c r="U9516" s="4" t="str">
        <f>IFERROR(__xludf.DUMMYFUNCTION("""COMPUTED_VALUE"""),"N/A (Not found)")</f>
        <v>N/A (Not found)</v>
      </c>
      <c r="V9516" s="33">
        <f>IFERROR(__xludf.DUMMYFUNCTION("""COMPUTED_VALUE"""),1.0)</f>
        <v>1</v>
      </c>
      <c r="W9516" s="4" t="str">
        <f>IFERROR(__xludf.DUMMYFUNCTION("""COMPUTED_VALUE"""),"N/A (Not found)")</f>
        <v>N/A (Not found)</v>
      </c>
      <c r="X9516" s="33">
        <f>IFERROR(__xludf.DUMMYFUNCTION("""COMPUTED_VALUE"""),1.0)</f>
        <v>1</v>
      </c>
    </row>
    <row r="9517">
      <c r="K9517" s="4" t="str">
        <f>IFERROR(__xludf.DUMMYFUNCTION("""COMPUTED_VALUE"""),"071 BURGER - HAMBURGUER")</f>
        <v>071 BURGER - HAMBURGUER</v>
      </c>
      <c r="L9517" s="32">
        <f>IFERROR(__xludf.DUMMYFUNCTION("""COMPUTED_VALUE"""),1.0)</f>
        <v>1</v>
      </c>
      <c r="M9517" s="4" t="str">
        <f>IFERROR(__xludf.DUMMYFUNCTION("""COMPUTED_VALUE"""),"Cardápio Web")</f>
        <v>Cardápio Web</v>
      </c>
      <c r="N9517" s="33">
        <f>IFERROR(__xludf.DUMMYFUNCTION("""COMPUTED_VALUE"""),1.0)</f>
        <v>1</v>
      </c>
      <c r="O9517" s="4" t="str">
        <f>IFERROR(__xludf.DUMMYFUNCTION("""COMPUTED_VALUE"""),"Cardápio Web")</f>
        <v>Cardápio Web</v>
      </c>
      <c r="P9517" s="33">
        <f>IFERROR(__xludf.DUMMYFUNCTION("""COMPUTED_VALUE"""),1.0)</f>
        <v>1</v>
      </c>
      <c r="Q9517" s="4" t="str">
        <f>IFERROR(__xludf.DUMMYFUNCTION("""COMPUTED_VALUE"""),"Cardápio Web")</f>
        <v>Cardápio Web</v>
      </c>
      <c r="R9517" s="33">
        <f>IFERROR(__xludf.DUMMYFUNCTION("""COMPUTED_VALUE"""),1.0)</f>
        <v>1</v>
      </c>
      <c r="S9517" s="4" t="str">
        <f>IFERROR(__xludf.DUMMYFUNCTION("""COMPUTED_VALUE"""),"Cardápio Web")</f>
        <v>Cardápio Web</v>
      </c>
      <c r="T9517" s="33">
        <f>IFERROR(__xludf.DUMMYFUNCTION("""COMPUTED_VALUE"""),1.0)</f>
        <v>1</v>
      </c>
      <c r="U9517" s="4" t="str">
        <f>IFERROR(__xludf.DUMMYFUNCTION("""COMPUTED_VALUE"""),"Cardápio Web")</f>
        <v>Cardápio Web</v>
      </c>
      <c r="V9517" s="33">
        <f>IFERROR(__xludf.DUMMYFUNCTION("""COMPUTED_VALUE"""),1.0)</f>
        <v>1</v>
      </c>
      <c r="W9517" s="4" t="str">
        <f>IFERROR(__xludf.DUMMYFUNCTION("""COMPUTED_VALUE"""),"Cardápio Web")</f>
        <v>Cardápio Web</v>
      </c>
      <c r="X9517" s="33">
        <f>IFERROR(__xludf.DUMMYFUNCTION("""COMPUTED_VALUE"""),1.0)</f>
        <v>1</v>
      </c>
    </row>
    <row r="9518">
      <c r="K9518" s="4" t="str">
        <f>IFERROR(__xludf.DUMMYFUNCTION("""COMPUTED_VALUE"""),"EMPORIO VILLA ROSA")</f>
        <v>EMPORIO VILLA ROSA</v>
      </c>
      <c r="L9518" s="32">
        <f>IFERROR(__xludf.DUMMYFUNCTION("""COMPUTED_VALUE"""),1.0)</f>
        <v>1</v>
      </c>
      <c r="M9518" s="4" t="str">
        <f>IFERROR(__xludf.DUMMYFUNCTION("""COMPUTED_VALUE"""),"N/A (Not found)")</f>
        <v>N/A (Not found)</v>
      </c>
      <c r="N9518" s="33">
        <f>IFERROR(__xludf.DUMMYFUNCTION("""COMPUTED_VALUE"""),1.0)</f>
        <v>1</v>
      </c>
      <c r="O9518" s="4" t="str">
        <f>IFERROR(__xludf.DUMMYFUNCTION("""COMPUTED_VALUE"""),"N/A (Not found)")</f>
        <v>N/A (Not found)</v>
      </c>
      <c r="P9518" s="33">
        <f>IFERROR(__xludf.DUMMYFUNCTION("""COMPUTED_VALUE"""),1.0)</f>
        <v>1</v>
      </c>
      <c r="Q9518" s="4" t="str">
        <f>IFERROR(__xludf.DUMMYFUNCTION("""COMPUTED_VALUE"""),"N/A (Not found)")</f>
        <v>N/A (Not found)</v>
      </c>
      <c r="R9518" s="33">
        <f>IFERROR(__xludf.DUMMYFUNCTION("""COMPUTED_VALUE"""),1.0)</f>
        <v>1</v>
      </c>
      <c r="S9518" s="4" t="str">
        <f>IFERROR(__xludf.DUMMYFUNCTION("""COMPUTED_VALUE"""),"null")</f>
        <v>null</v>
      </c>
      <c r="T9518" s="33">
        <f>IFERROR(__xludf.DUMMYFUNCTION("""COMPUTED_VALUE"""),1.0)</f>
        <v>1</v>
      </c>
      <c r="U9518" s="4" t="str">
        <f>IFERROR(__xludf.DUMMYFUNCTION("""COMPUTED_VALUE"""),"null")</f>
        <v>null</v>
      </c>
      <c r="V9518" s="33">
        <f>IFERROR(__xludf.DUMMYFUNCTION("""COMPUTED_VALUE"""),1.0)</f>
        <v>1</v>
      </c>
      <c r="W9518" s="4" t="str">
        <f>IFERROR(__xludf.DUMMYFUNCTION("""COMPUTED_VALUE"""),"N/A (Not found)")</f>
        <v>N/A (Not found)</v>
      </c>
      <c r="X9518" s="33">
        <f>IFERROR(__xludf.DUMMYFUNCTION("""COMPUTED_VALUE"""),1.0)</f>
        <v>1</v>
      </c>
    </row>
    <row r="9519">
      <c r="K9519" s="4" t="str">
        <f>IFERROR(__xludf.DUMMYFUNCTION("""COMPUTED_VALUE"""),"SANDUBAS LANCHES HAMBURGUERIA")</f>
        <v>SANDUBAS LANCHES HAMBURGUERIA</v>
      </c>
      <c r="L9519" s="32">
        <f>IFERROR(__xludf.DUMMYFUNCTION("""COMPUTED_VALUE"""),1.0)</f>
        <v>1</v>
      </c>
      <c r="M9519" s="4" t="str">
        <f>IFERROR(__xludf.DUMMYFUNCTION("""COMPUTED_VALUE"""),"Saipos Serviços De Software")</f>
        <v>Saipos Serviços De Software</v>
      </c>
      <c r="N9519" s="33">
        <f>IFERROR(__xludf.DUMMYFUNCTION("""COMPUTED_VALUE"""),1.0)</f>
        <v>1</v>
      </c>
      <c r="O9519" s="4" t="str">
        <f>IFERROR(__xludf.DUMMYFUNCTION("""COMPUTED_VALUE"""),"Saipos Serviços De Software")</f>
        <v>Saipos Serviços De Software</v>
      </c>
      <c r="P9519" s="33">
        <f>IFERROR(__xludf.DUMMYFUNCTION("""COMPUTED_VALUE"""),1.0)</f>
        <v>1</v>
      </c>
      <c r="Q9519" s="4" t="str">
        <f>IFERROR(__xludf.DUMMYFUNCTION("""COMPUTED_VALUE"""),"Saipos Serviços De Software")</f>
        <v>Saipos Serviços De Software</v>
      </c>
      <c r="R9519" s="33">
        <f>IFERROR(__xludf.DUMMYFUNCTION("""COMPUTED_VALUE"""),1.0)</f>
        <v>1</v>
      </c>
      <c r="S9519" s="4" t="str">
        <f>IFERROR(__xludf.DUMMYFUNCTION("""COMPUTED_VALUE"""),"Saipos Serviços De Software")</f>
        <v>Saipos Serviços De Software</v>
      </c>
      <c r="T9519" s="33">
        <f>IFERROR(__xludf.DUMMYFUNCTION("""COMPUTED_VALUE"""),1.0)</f>
        <v>1</v>
      </c>
      <c r="U9519" s="4" t="str">
        <f>IFERROR(__xludf.DUMMYFUNCTION("""COMPUTED_VALUE"""),"Saipos Serviços De Software")</f>
        <v>Saipos Serviços De Software</v>
      </c>
      <c r="V9519" s="33">
        <f>IFERROR(__xludf.DUMMYFUNCTION("""COMPUTED_VALUE"""),1.0)</f>
        <v>1</v>
      </c>
      <c r="W9519" s="4" t="str">
        <f>IFERROR(__xludf.DUMMYFUNCTION("""COMPUTED_VALUE"""),"Saipos Serviços De Software")</f>
        <v>Saipos Serviços De Software</v>
      </c>
      <c r="X9519" s="33">
        <f>IFERROR(__xludf.DUMMYFUNCTION("""COMPUTED_VALUE"""),1.0)</f>
        <v>1</v>
      </c>
    </row>
    <row r="9520">
      <c r="K9520" s="4" t="str">
        <f>IFERROR(__xludf.DUMMYFUNCTION("""COMPUTED_VALUE"""),"IMPERIAL ACAI - JARDIM DAS AMERICAS")</f>
        <v>IMPERIAL ACAI - JARDIM DAS AMERICAS</v>
      </c>
      <c r="L9520" s="32">
        <f>IFERROR(__xludf.DUMMYFUNCTION("""COMPUTED_VALUE"""),1.0)</f>
        <v>1</v>
      </c>
      <c r="M9520" s="4" t="str">
        <f>IFERROR(__xludf.DUMMYFUNCTION("""COMPUTED_VALUE"""),"Suitable Tecnologia E Gestao")</f>
        <v>Suitable Tecnologia E Gestao</v>
      </c>
      <c r="N9520" s="33">
        <f>IFERROR(__xludf.DUMMYFUNCTION("""COMPUTED_VALUE"""),1.0)</f>
        <v>1</v>
      </c>
      <c r="O9520" s="4" t="str">
        <f>IFERROR(__xludf.DUMMYFUNCTION("""COMPUTED_VALUE"""),"null")</f>
        <v>null</v>
      </c>
      <c r="P9520" s="33">
        <f>IFERROR(__xludf.DUMMYFUNCTION("""COMPUTED_VALUE"""),1.0)</f>
        <v>1</v>
      </c>
      <c r="Q9520" s="4" t="str">
        <f>IFERROR(__xludf.DUMMYFUNCTION("""COMPUTED_VALUE"""),"null")</f>
        <v>null</v>
      </c>
      <c r="R9520" s="33">
        <f>IFERROR(__xludf.DUMMYFUNCTION("""COMPUTED_VALUE"""),1.0)</f>
        <v>1</v>
      </c>
      <c r="S9520" s="4" t="str">
        <f>IFERROR(__xludf.DUMMYFUNCTION("""COMPUTED_VALUE"""),"null")</f>
        <v>null</v>
      </c>
      <c r="T9520" s="33">
        <f>IFERROR(__xludf.DUMMYFUNCTION("""COMPUTED_VALUE"""),1.0)</f>
        <v>1</v>
      </c>
      <c r="U9520" s="4" t="str">
        <f>IFERROR(__xludf.DUMMYFUNCTION("""COMPUTED_VALUE"""),"null")</f>
        <v>null</v>
      </c>
      <c r="V9520" s="33">
        <f>IFERROR(__xludf.DUMMYFUNCTION("""COMPUTED_VALUE"""),1.0)</f>
        <v>1</v>
      </c>
      <c r="W9520" s="4" t="str">
        <f>IFERROR(__xludf.DUMMYFUNCTION("""COMPUTED_VALUE"""),"null")</f>
        <v>null</v>
      </c>
      <c r="X9520" s="33">
        <f>IFERROR(__xludf.DUMMYFUNCTION("""COMPUTED_VALUE"""),1.0)</f>
        <v>1</v>
      </c>
    </row>
    <row r="9521">
      <c r="K9521" s="4" t="str">
        <f>IFERROR(__xludf.DUMMYFUNCTION("""COMPUTED_VALUE"""),"PANTEAO BURGER - HAMBURGUERIA SMASH")</f>
        <v>PANTEAO BURGER - HAMBURGUERIA SMASH</v>
      </c>
      <c r="L9521" s="32">
        <f>IFERROR(__xludf.DUMMYFUNCTION("""COMPUTED_VALUE"""),1.0)</f>
        <v>1</v>
      </c>
      <c r="M9521" s="4" t="str">
        <f>IFERROR(__xludf.DUMMYFUNCTION("""COMPUTED_VALUE"""),"Anota Ai Solucoes Digitais S/a")</f>
        <v>Anota Ai Solucoes Digitais S/a</v>
      </c>
      <c r="N9521" s="33">
        <f>IFERROR(__xludf.DUMMYFUNCTION("""COMPUTED_VALUE"""),1.0)</f>
        <v>1</v>
      </c>
      <c r="O9521" s="4" t="str">
        <f>IFERROR(__xludf.DUMMYFUNCTION("""COMPUTED_VALUE"""),"Anota Ai Solucoes Digitais S/a")</f>
        <v>Anota Ai Solucoes Digitais S/a</v>
      </c>
      <c r="P9521" s="33">
        <f>IFERROR(__xludf.DUMMYFUNCTION("""COMPUTED_VALUE"""),1.0)</f>
        <v>1</v>
      </c>
      <c r="Q9521" s="4" t="str">
        <f>IFERROR(__xludf.DUMMYFUNCTION("""COMPUTED_VALUE"""),"Suitable Tecnologia E Gestao")</f>
        <v>Suitable Tecnologia E Gestao</v>
      </c>
      <c r="R9521" s="33">
        <f>IFERROR(__xludf.DUMMYFUNCTION("""COMPUTED_VALUE"""),1.0)</f>
        <v>1</v>
      </c>
      <c r="S9521" s="4" t="str">
        <f>IFERROR(__xludf.DUMMYFUNCTION("""COMPUTED_VALUE"""),"Suitable Tecnologia E Gestao")</f>
        <v>Suitable Tecnologia E Gestao</v>
      </c>
      <c r="T9521" s="33">
        <f>IFERROR(__xludf.DUMMYFUNCTION("""COMPUTED_VALUE"""),1.0)</f>
        <v>1</v>
      </c>
      <c r="U9521" s="4" t="str">
        <f>IFERROR(__xludf.DUMMYFUNCTION("""COMPUTED_VALUE"""),"Suitable Tecnologia E Gestao")</f>
        <v>Suitable Tecnologia E Gestao</v>
      </c>
      <c r="V9521" s="33">
        <f>IFERROR(__xludf.DUMMYFUNCTION("""COMPUTED_VALUE"""),1.0)</f>
        <v>1</v>
      </c>
      <c r="W9521" s="4" t="str">
        <f>IFERROR(__xludf.DUMMYFUNCTION("""COMPUTED_VALUE"""),"Suitable Tecnologia E Gestao")</f>
        <v>Suitable Tecnologia E Gestao</v>
      </c>
      <c r="X9521" s="33">
        <f>IFERROR(__xludf.DUMMYFUNCTION("""COMPUTED_VALUE"""),1.0)</f>
        <v>1</v>
      </c>
    </row>
    <row r="9522">
      <c r="K9522" s="4" t="str">
        <f>IFERROR(__xludf.DUMMYFUNCTION("""COMPUTED_VALUE"""),"DEPOSITO DO CESAR")</f>
        <v>DEPOSITO DO CESAR</v>
      </c>
      <c r="L9522" s="32">
        <f>IFERROR(__xludf.DUMMYFUNCTION("""COMPUTED_VALUE"""),1.0)</f>
        <v>1</v>
      </c>
      <c r="M9522" s="4" t="str">
        <f>IFERROR(__xludf.DUMMYFUNCTION("""COMPUTED_VALUE"""),"N/A (Not found)")</f>
        <v>N/A (Not found)</v>
      </c>
      <c r="N9522" s="33">
        <f>IFERROR(__xludf.DUMMYFUNCTION("""COMPUTED_VALUE"""),1.0)</f>
        <v>1</v>
      </c>
      <c r="O9522" s="4" t="str">
        <f>IFERROR(__xludf.DUMMYFUNCTION("""COMPUTED_VALUE"""),"N/A (Not found)")</f>
        <v>N/A (Not found)</v>
      </c>
      <c r="P9522" s="33">
        <f>IFERROR(__xludf.DUMMYFUNCTION("""COMPUTED_VALUE"""),1.0)</f>
        <v>1</v>
      </c>
      <c r="Q9522" s="4" t="str">
        <f>IFERROR(__xludf.DUMMYFUNCTION("""COMPUTED_VALUE"""),"N/A (Not found)")</f>
        <v>N/A (Not found)</v>
      </c>
      <c r="R9522" s="33">
        <f>IFERROR(__xludf.DUMMYFUNCTION("""COMPUTED_VALUE"""),1.0)</f>
        <v>1</v>
      </c>
      <c r="S9522" s="4" t="str">
        <f>IFERROR(__xludf.DUMMYFUNCTION("""COMPUTED_VALUE"""),"N/A (Not found)")</f>
        <v>N/A (Not found)</v>
      </c>
      <c r="T9522" s="33">
        <f>IFERROR(__xludf.DUMMYFUNCTION("""COMPUTED_VALUE"""),1.0)</f>
        <v>1</v>
      </c>
      <c r="U9522" s="4" t="str">
        <f>IFERROR(__xludf.DUMMYFUNCTION("""COMPUTED_VALUE"""),"N/A (Not found)")</f>
        <v>N/A (Not found)</v>
      </c>
      <c r="V9522" s="33">
        <f>IFERROR(__xludf.DUMMYFUNCTION("""COMPUTED_VALUE"""),1.0)</f>
        <v>1</v>
      </c>
      <c r="W9522" s="4" t="str">
        <f>IFERROR(__xludf.DUMMYFUNCTION("""COMPUTED_VALUE"""),"N/A (Not found)")</f>
        <v>N/A (Not found)</v>
      </c>
      <c r="X9522" s="33">
        <f>IFERROR(__xludf.DUMMYFUNCTION("""COMPUTED_VALUE"""),1.0)</f>
        <v>1</v>
      </c>
    </row>
    <row r="9523">
      <c r="K9523" s="4" t="str">
        <f>IFERROR(__xludf.DUMMYFUNCTION("""COMPUTED_VALUE"""),"FORMIGA DOCE")</f>
        <v>FORMIGA DOCE</v>
      </c>
      <c r="L9523" s="32">
        <f>IFERROR(__xludf.DUMMYFUNCTION("""COMPUTED_VALUE"""),1.0)</f>
        <v>1</v>
      </c>
      <c r="M9523" s="4" t="str">
        <f>IFERROR(__xludf.DUMMYFUNCTION("""COMPUTED_VALUE"""),"Instadelivery")</f>
        <v>Instadelivery</v>
      </c>
      <c r="N9523" s="33">
        <f>IFERROR(__xludf.DUMMYFUNCTION("""COMPUTED_VALUE"""),1.0)</f>
        <v>1</v>
      </c>
      <c r="O9523" s="4" t="str">
        <f>IFERROR(__xludf.DUMMYFUNCTION("""COMPUTED_VALUE"""),"Instadelivery")</f>
        <v>Instadelivery</v>
      </c>
      <c r="P9523" s="33">
        <f>IFERROR(__xludf.DUMMYFUNCTION("""COMPUTED_VALUE"""),1.0)</f>
        <v>1</v>
      </c>
      <c r="Q9523" s="4" t="str">
        <f>IFERROR(__xludf.DUMMYFUNCTION("""COMPUTED_VALUE"""),"Instadelivery")</f>
        <v>Instadelivery</v>
      </c>
      <c r="R9523" s="33">
        <f>IFERROR(__xludf.DUMMYFUNCTION("""COMPUTED_VALUE"""),1.0)</f>
        <v>1</v>
      </c>
      <c r="S9523" s="4" t="str">
        <f>IFERROR(__xludf.DUMMYFUNCTION("""COMPUTED_VALUE"""),"Instadelivery")</f>
        <v>Instadelivery</v>
      </c>
      <c r="T9523" s="33">
        <f>IFERROR(__xludf.DUMMYFUNCTION("""COMPUTED_VALUE"""),1.0)</f>
        <v>1</v>
      </c>
      <c r="U9523" s="4" t="str">
        <f>IFERROR(__xludf.DUMMYFUNCTION("""COMPUTED_VALUE"""),"Instadelivery")</f>
        <v>Instadelivery</v>
      </c>
      <c r="V9523" s="33">
        <f>IFERROR(__xludf.DUMMYFUNCTION("""COMPUTED_VALUE"""),1.0)</f>
        <v>1</v>
      </c>
      <c r="W9523" s="4" t="str">
        <f>IFERROR(__xludf.DUMMYFUNCTION("""COMPUTED_VALUE"""),"Instadelivery")</f>
        <v>Instadelivery</v>
      </c>
      <c r="X9523" s="33">
        <f>IFERROR(__xludf.DUMMYFUNCTION("""COMPUTED_VALUE"""),1.0)</f>
        <v>1</v>
      </c>
    </row>
    <row r="9524">
      <c r="K9524" s="4" t="str">
        <f>IFERROR(__xludf.DUMMYFUNCTION("""COMPUTED_VALUE"""),"ARENA REPUBLIKA BAR")</f>
        <v>ARENA REPUBLIKA BAR</v>
      </c>
      <c r="L9524" s="32">
        <f>IFERROR(__xludf.DUMMYFUNCTION("""COMPUTED_VALUE"""),1.0)</f>
        <v>1</v>
      </c>
      <c r="M9524" s="4" t="str">
        <f>IFERROR(__xludf.DUMMYFUNCTION("""COMPUTED_VALUE"""),"null")</f>
        <v>null</v>
      </c>
      <c r="N9524" s="33">
        <f>IFERROR(__xludf.DUMMYFUNCTION("""COMPUTED_VALUE"""),1.0)</f>
        <v>1</v>
      </c>
      <c r="O9524" s="4" t="str">
        <f>IFERROR(__xludf.DUMMYFUNCTION("""COMPUTED_VALUE"""),"null")</f>
        <v>null</v>
      </c>
      <c r="P9524" s="33">
        <f>IFERROR(__xludf.DUMMYFUNCTION("""COMPUTED_VALUE"""),1.0)</f>
        <v>1</v>
      </c>
      <c r="Q9524" s="4" t="str">
        <f>IFERROR(__xludf.DUMMYFUNCTION("""COMPUTED_VALUE"""),"null")</f>
        <v>null</v>
      </c>
      <c r="R9524" s="33">
        <f>IFERROR(__xludf.DUMMYFUNCTION("""COMPUTED_VALUE"""),1.0)</f>
        <v>1</v>
      </c>
      <c r="S9524" s="4" t="str">
        <f>IFERROR(__xludf.DUMMYFUNCTION("""COMPUTED_VALUE"""),"null")</f>
        <v>null</v>
      </c>
      <c r="T9524" s="33">
        <f>IFERROR(__xludf.DUMMYFUNCTION("""COMPUTED_VALUE"""),1.0)</f>
        <v>1</v>
      </c>
      <c r="U9524" s="4" t="str">
        <f>IFERROR(__xludf.DUMMYFUNCTION("""COMPUTED_VALUE"""),"Saipos Serviços De Software")</f>
        <v>Saipos Serviços De Software</v>
      </c>
      <c r="V9524" s="33">
        <f>IFERROR(__xludf.DUMMYFUNCTION("""COMPUTED_VALUE"""),1.0)</f>
        <v>1</v>
      </c>
      <c r="W9524" s="4" t="str">
        <f>IFERROR(__xludf.DUMMYFUNCTION("""COMPUTED_VALUE"""),"Saipos Serviços De Software")</f>
        <v>Saipos Serviços De Software</v>
      </c>
      <c r="X9524" s="33">
        <f>IFERROR(__xludf.DUMMYFUNCTION("""COMPUTED_VALUE"""),1.0)</f>
        <v>1</v>
      </c>
    </row>
    <row r="9525">
      <c r="K9525" s="4" t="str">
        <f>IFERROR(__xludf.DUMMYFUNCTION("""COMPUTED_VALUE"""),"BOBA JOY")</f>
        <v>BOBA JOY</v>
      </c>
      <c r="L9525" s="32">
        <f>IFERROR(__xludf.DUMMYFUNCTION("""COMPUTED_VALUE"""),1.0)</f>
        <v>1</v>
      </c>
      <c r="M9525" s="4" t="str">
        <f>IFERROR(__xludf.DUMMYFUNCTION("""COMPUTED_VALUE"""),"Connectplug")</f>
        <v>Connectplug</v>
      </c>
      <c r="N9525" s="33">
        <f>IFERROR(__xludf.DUMMYFUNCTION("""COMPUTED_VALUE"""),1.0)</f>
        <v>1</v>
      </c>
      <c r="O9525" s="4" t="str">
        <f>IFERROR(__xludf.DUMMYFUNCTION("""COMPUTED_VALUE"""),"Connectplug")</f>
        <v>Connectplug</v>
      </c>
      <c r="P9525" s="33">
        <f>IFERROR(__xludf.DUMMYFUNCTION("""COMPUTED_VALUE"""),1.0)</f>
        <v>1</v>
      </c>
      <c r="Q9525" s="4" t="str">
        <f>IFERROR(__xludf.DUMMYFUNCTION("""COMPUTED_VALUE"""),"Connectplug")</f>
        <v>Connectplug</v>
      </c>
      <c r="R9525" s="33">
        <f>IFERROR(__xludf.DUMMYFUNCTION("""COMPUTED_VALUE"""),1.0)</f>
        <v>1</v>
      </c>
      <c r="S9525" s="4" t="str">
        <f>IFERROR(__xludf.DUMMYFUNCTION("""COMPUTED_VALUE"""),"Connectplug")</f>
        <v>Connectplug</v>
      </c>
      <c r="T9525" s="33">
        <f>IFERROR(__xludf.DUMMYFUNCTION("""COMPUTED_VALUE"""),1.0)</f>
        <v>1</v>
      </c>
      <c r="U9525" s="4" t="str">
        <f>IFERROR(__xludf.DUMMYFUNCTION("""COMPUTED_VALUE"""),"Connectplug")</f>
        <v>Connectplug</v>
      </c>
      <c r="V9525" s="33">
        <f>IFERROR(__xludf.DUMMYFUNCTION("""COMPUTED_VALUE"""),1.0)</f>
        <v>1</v>
      </c>
      <c r="W9525" s="4" t="str">
        <f>IFERROR(__xludf.DUMMYFUNCTION("""COMPUTED_VALUE"""),"Connectplug")</f>
        <v>Connectplug</v>
      </c>
      <c r="X9525" s="33">
        <f>IFERROR(__xludf.DUMMYFUNCTION("""COMPUTED_VALUE"""),1.0)</f>
        <v>1</v>
      </c>
    </row>
    <row r="9526">
      <c r="K9526" s="4" t="str">
        <f>IFERROR(__xludf.DUMMYFUNCTION("""COMPUTED_VALUE"""),"DIVINNA BEAUTY COSMETICOS E ACESSORIOS")</f>
        <v>DIVINNA BEAUTY COSMETICOS E ACESSORIOS</v>
      </c>
      <c r="L9526" s="32">
        <f>IFERROR(__xludf.DUMMYFUNCTION("""COMPUTED_VALUE"""),1.0)</f>
        <v>1</v>
      </c>
      <c r="M9526" s="4" t="str">
        <f>IFERROR(__xludf.DUMMYFUNCTION("""COMPUTED_VALUE"""),"N/A (Not found)")</f>
        <v>N/A (Not found)</v>
      </c>
      <c r="N9526" s="33">
        <f>IFERROR(__xludf.DUMMYFUNCTION("""COMPUTED_VALUE"""),1.0)</f>
        <v>1</v>
      </c>
      <c r="O9526" s="4" t="str">
        <f>IFERROR(__xludf.DUMMYFUNCTION("""COMPUTED_VALUE"""),"N/A (Not found)")</f>
        <v>N/A (Not found)</v>
      </c>
      <c r="P9526" s="33">
        <f>IFERROR(__xludf.DUMMYFUNCTION("""COMPUTED_VALUE"""),1.0)</f>
        <v>1</v>
      </c>
      <c r="Q9526" s="4" t="str">
        <f>IFERROR(__xludf.DUMMYFUNCTION("""COMPUTED_VALUE"""),"N/A (Not found)")</f>
        <v>N/A (Not found)</v>
      </c>
      <c r="R9526" s="33">
        <f>IFERROR(__xludf.DUMMYFUNCTION("""COMPUTED_VALUE"""),1.0)</f>
        <v>1</v>
      </c>
      <c r="S9526" s="4" t="str">
        <f>IFERROR(__xludf.DUMMYFUNCTION("""COMPUTED_VALUE"""),"null")</f>
        <v>null</v>
      </c>
      <c r="T9526" s="33">
        <f>IFERROR(__xludf.DUMMYFUNCTION("""COMPUTED_VALUE"""),1.0)</f>
        <v>1</v>
      </c>
      <c r="U9526" s="4" t="str">
        <f>IFERROR(__xludf.DUMMYFUNCTION("""COMPUTED_VALUE"""),"null")</f>
        <v>null</v>
      </c>
      <c r="V9526" s="33">
        <f>IFERROR(__xludf.DUMMYFUNCTION("""COMPUTED_VALUE"""),1.0)</f>
        <v>1</v>
      </c>
      <c r="W9526" s="4" t="str">
        <f>IFERROR(__xludf.DUMMYFUNCTION("""COMPUTED_VALUE"""),"null")</f>
        <v>null</v>
      </c>
      <c r="X9526" s="33">
        <f>IFERROR(__xludf.DUMMYFUNCTION("""COMPUTED_VALUE"""),1.0)</f>
        <v>1</v>
      </c>
    </row>
    <row r="9527">
      <c r="K9527" s="4" t="str">
        <f>IFERROR(__xludf.DUMMYFUNCTION("""COMPUTED_VALUE"""),"REI DO DONUT")</f>
        <v>REI DO DONUT</v>
      </c>
      <c r="L9527" s="32">
        <f>IFERROR(__xludf.DUMMYFUNCTION("""COMPUTED_VALUE"""),1.0)</f>
        <v>1</v>
      </c>
      <c r="M9527" s="4" t="str">
        <f>IFERROR(__xludf.DUMMYFUNCTION("""COMPUTED_VALUE"""),"Yooga")</f>
        <v>Yooga</v>
      </c>
      <c r="N9527" s="33">
        <f>IFERROR(__xludf.DUMMYFUNCTION("""COMPUTED_VALUE"""),1.0)</f>
        <v>1</v>
      </c>
      <c r="O9527" s="4" t="str">
        <f>IFERROR(__xludf.DUMMYFUNCTION("""COMPUTED_VALUE"""),"Yooga")</f>
        <v>Yooga</v>
      </c>
      <c r="P9527" s="33">
        <f>IFERROR(__xludf.DUMMYFUNCTION("""COMPUTED_VALUE"""),1.0)</f>
        <v>1</v>
      </c>
      <c r="Q9527" s="4" t="str">
        <f>IFERROR(__xludf.DUMMYFUNCTION("""COMPUTED_VALUE"""),"Yooga")</f>
        <v>Yooga</v>
      </c>
      <c r="R9527" s="33">
        <f>IFERROR(__xludf.DUMMYFUNCTION("""COMPUTED_VALUE"""),1.0)</f>
        <v>1</v>
      </c>
      <c r="S9527" s="4" t="str">
        <f>IFERROR(__xludf.DUMMYFUNCTION("""COMPUTED_VALUE"""),"Yooga")</f>
        <v>Yooga</v>
      </c>
      <c r="T9527" s="33">
        <f>IFERROR(__xludf.DUMMYFUNCTION("""COMPUTED_VALUE"""),1.0)</f>
        <v>1</v>
      </c>
      <c r="U9527" s="4" t="str">
        <f>IFERROR(__xludf.DUMMYFUNCTION("""COMPUTED_VALUE"""),"Yooga")</f>
        <v>Yooga</v>
      </c>
      <c r="V9527" s="33">
        <f>IFERROR(__xludf.DUMMYFUNCTION("""COMPUTED_VALUE"""),1.0)</f>
        <v>1</v>
      </c>
      <c r="W9527" s="4" t="str">
        <f>IFERROR(__xludf.DUMMYFUNCTION("""COMPUTED_VALUE"""),"Saipos Serviços De Software")</f>
        <v>Saipos Serviços De Software</v>
      </c>
      <c r="X9527" s="33">
        <f>IFERROR(__xludf.DUMMYFUNCTION("""COMPUTED_VALUE"""),1.0)</f>
        <v>1</v>
      </c>
    </row>
    <row r="9528">
      <c r="K9528" s="4" t="str">
        <f>IFERROR(__xludf.DUMMYFUNCTION("""COMPUTED_VALUE"""),"OS BRUTO BURGER")</f>
        <v>OS BRUTO BURGER</v>
      </c>
      <c r="L9528" s="32">
        <f>IFERROR(__xludf.DUMMYFUNCTION("""COMPUTED_VALUE"""),1.0)</f>
        <v>1</v>
      </c>
      <c r="M9528" s="4" t="str">
        <f>IFERROR(__xludf.DUMMYFUNCTION("""COMPUTED_VALUE"""),"null")</f>
        <v>null</v>
      </c>
      <c r="N9528" s="33">
        <f>IFERROR(__xludf.DUMMYFUNCTION("""COMPUTED_VALUE"""),1.0)</f>
        <v>1</v>
      </c>
      <c r="O9528" s="4" t="str">
        <f>IFERROR(__xludf.DUMMYFUNCTION("""COMPUTED_VALUE"""),"null")</f>
        <v>null</v>
      </c>
      <c r="P9528" s="33">
        <f>IFERROR(__xludf.DUMMYFUNCTION("""COMPUTED_VALUE"""),1.0)</f>
        <v>1</v>
      </c>
      <c r="Q9528" s="4" t="str">
        <f>IFERROR(__xludf.DUMMYFUNCTION("""COMPUTED_VALUE"""),"null")</f>
        <v>null</v>
      </c>
      <c r="R9528" s="33">
        <f>IFERROR(__xludf.DUMMYFUNCTION("""COMPUTED_VALUE"""),1.0)</f>
        <v>1</v>
      </c>
      <c r="S9528" s="4" t="str">
        <f>IFERROR(__xludf.DUMMYFUNCTION("""COMPUTED_VALUE"""),"null")</f>
        <v>null</v>
      </c>
      <c r="T9528" s="33">
        <f>IFERROR(__xludf.DUMMYFUNCTION("""COMPUTED_VALUE"""),1.0)</f>
        <v>1</v>
      </c>
      <c r="U9528" s="4" t="str">
        <f>IFERROR(__xludf.DUMMYFUNCTION("""COMPUTED_VALUE"""),"null")</f>
        <v>null</v>
      </c>
      <c r="V9528" s="33">
        <f>IFERROR(__xludf.DUMMYFUNCTION("""COMPUTED_VALUE"""),1.0)</f>
        <v>1</v>
      </c>
      <c r="W9528" s="4" t="str">
        <f>IFERROR(__xludf.DUMMYFUNCTION("""COMPUTED_VALUE"""),"Anota Ai Solucoes Digitais S/a")</f>
        <v>Anota Ai Solucoes Digitais S/a</v>
      </c>
      <c r="X9528" s="33">
        <f>IFERROR(__xludf.DUMMYFUNCTION("""COMPUTED_VALUE"""),1.0)</f>
        <v>1</v>
      </c>
    </row>
    <row r="9529">
      <c r="K9529" s="4" t="str">
        <f>IFERROR(__xludf.DUMMYFUNCTION("""COMPUTED_VALUE"""),"PETSHOP TOCA DA RAPOSA")</f>
        <v>PETSHOP TOCA DA RAPOSA</v>
      </c>
      <c r="L9529" s="32">
        <f>IFERROR(__xludf.DUMMYFUNCTION("""COMPUTED_VALUE"""),1.0)</f>
        <v>1</v>
      </c>
      <c r="M9529" s="4" t="str">
        <f>IFERROR(__xludf.DUMMYFUNCTION("""COMPUTED_VALUE"""),"null")</f>
        <v>null</v>
      </c>
      <c r="N9529" s="33">
        <f>IFERROR(__xludf.DUMMYFUNCTION("""COMPUTED_VALUE"""),1.0)</f>
        <v>1</v>
      </c>
      <c r="O9529" s="4" t="str">
        <f>IFERROR(__xludf.DUMMYFUNCTION("""COMPUTED_VALUE"""),"null")</f>
        <v>null</v>
      </c>
      <c r="P9529" s="33">
        <f>IFERROR(__xludf.DUMMYFUNCTION("""COMPUTED_VALUE"""),1.0)</f>
        <v>1</v>
      </c>
      <c r="Q9529" s="4" t="str">
        <f>IFERROR(__xludf.DUMMYFUNCTION("""COMPUTED_VALUE"""),"N/A (Not found)")</f>
        <v>N/A (Not found)</v>
      </c>
      <c r="R9529" s="33">
        <f>IFERROR(__xludf.DUMMYFUNCTION("""COMPUTED_VALUE"""),1.0)</f>
        <v>1</v>
      </c>
      <c r="S9529" s="4" t="str">
        <f>IFERROR(__xludf.DUMMYFUNCTION("""COMPUTED_VALUE"""),"N/A (Not found)")</f>
        <v>N/A (Not found)</v>
      </c>
      <c r="T9529" s="33">
        <f>IFERROR(__xludf.DUMMYFUNCTION("""COMPUTED_VALUE"""),1.0)</f>
        <v>1</v>
      </c>
      <c r="U9529" s="4" t="str">
        <f>IFERROR(__xludf.DUMMYFUNCTION("""COMPUTED_VALUE"""),"N/A (Not found)")</f>
        <v>N/A (Not found)</v>
      </c>
      <c r="V9529" s="33">
        <f>IFERROR(__xludf.DUMMYFUNCTION("""COMPUTED_VALUE"""),1.0)</f>
        <v>1</v>
      </c>
      <c r="W9529" s="4" t="str">
        <f>IFERROR(__xludf.DUMMYFUNCTION("""COMPUTED_VALUE"""),"N/A (Not found)")</f>
        <v>N/A (Not found)</v>
      </c>
      <c r="X9529" s="33">
        <f>IFERROR(__xludf.DUMMYFUNCTION("""COMPUTED_VALUE"""),1.0)</f>
        <v>1</v>
      </c>
    </row>
    <row r="9530">
      <c r="K9530" s="4" t="str">
        <f>IFERROR(__xludf.DUMMYFUNCTION("""COMPUTED_VALUE"""),"PRECO MAIS FARMA")</f>
        <v>PRECO MAIS FARMA</v>
      </c>
      <c r="L9530" s="32">
        <f>IFERROR(__xludf.DUMMYFUNCTION("""COMPUTED_VALUE"""),1.0)</f>
        <v>1</v>
      </c>
      <c r="M9530" s="4" t="str">
        <f>IFERROR(__xludf.DUMMYFUNCTION("""COMPUTED_VALUE"""),"N/A (Not found)")</f>
        <v>N/A (Not found)</v>
      </c>
      <c r="N9530" s="33">
        <f>IFERROR(__xludf.DUMMYFUNCTION("""COMPUTED_VALUE"""),1.0)</f>
        <v>1</v>
      </c>
      <c r="O9530" s="4" t="str">
        <f>IFERROR(__xludf.DUMMYFUNCTION("""COMPUTED_VALUE"""),"N/A (Not found)")</f>
        <v>N/A (Not found)</v>
      </c>
      <c r="P9530" s="33">
        <f>IFERROR(__xludf.DUMMYFUNCTION("""COMPUTED_VALUE"""),1.0)</f>
        <v>1</v>
      </c>
      <c r="Q9530" s="4" t="str">
        <f>IFERROR(__xludf.DUMMYFUNCTION("""COMPUTED_VALUE"""),"N/A (Not found)")</f>
        <v>N/A (Not found)</v>
      </c>
      <c r="R9530" s="33">
        <f>IFERROR(__xludf.DUMMYFUNCTION("""COMPUTED_VALUE"""),1.0)</f>
        <v>1</v>
      </c>
      <c r="S9530" s="4" t="str">
        <f>IFERROR(__xludf.DUMMYFUNCTION("""COMPUTED_VALUE"""),"N/A (Not found)")</f>
        <v>N/A (Not found)</v>
      </c>
      <c r="T9530" s="33">
        <f>IFERROR(__xludf.DUMMYFUNCTION("""COMPUTED_VALUE"""),1.0)</f>
        <v>1</v>
      </c>
      <c r="U9530" s="4" t="str">
        <f>IFERROR(__xludf.DUMMYFUNCTION("""COMPUTED_VALUE"""),"N/A (Not found)")</f>
        <v>N/A (Not found)</v>
      </c>
      <c r="V9530" s="33">
        <f>IFERROR(__xludf.DUMMYFUNCTION("""COMPUTED_VALUE"""),1.0)</f>
        <v>1</v>
      </c>
      <c r="W9530" s="4" t="str">
        <f>IFERROR(__xludf.DUMMYFUNCTION("""COMPUTED_VALUE"""),"N/A (Not found)")</f>
        <v>N/A (Not found)</v>
      </c>
      <c r="X9530" s="33">
        <f>IFERROR(__xludf.DUMMYFUNCTION("""COMPUTED_VALUE"""),1.0)</f>
        <v>1</v>
      </c>
    </row>
    <row r="9531">
      <c r="K9531" s="4" t="str">
        <f>IFERROR(__xludf.DUMMYFUNCTION("""COMPUTED_VALUE"""),"MARMITARIA RANIS")</f>
        <v>MARMITARIA RANIS</v>
      </c>
      <c r="L9531" s="32">
        <f>IFERROR(__xludf.DUMMYFUNCTION("""COMPUTED_VALUE"""),1.0)</f>
        <v>1</v>
      </c>
      <c r="M9531" s="4" t="str">
        <f>IFERROR(__xludf.DUMMYFUNCTION("""COMPUTED_VALUE"""),"Cardápio Web")</f>
        <v>Cardápio Web</v>
      </c>
      <c r="N9531" s="33">
        <f>IFERROR(__xludf.DUMMYFUNCTION("""COMPUTED_VALUE"""),1.0)</f>
        <v>1</v>
      </c>
      <c r="O9531" s="4" t="str">
        <f>IFERROR(__xludf.DUMMYFUNCTION("""COMPUTED_VALUE"""),"Cardápio Web")</f>
        <v>Cardápio Web</v>
      </c>
      <c r="P9531" s="33">
        <f>IFERROR(__xludf.DUMMYFUNCTION("""COMPUTED_VALUE"""),1.0)</f>
        <v>1</v>
      </c>
      <c r="Q9531" s="4" t="str">
        <f>IFERROR(__xludf.DUMMYFUNCTION("""COMPUTED_VALUE"""),"Cardápio Web")</f>
        <v>Cardápio Web</v>
      </c>
      <c r="R9531" s="33">
        <f>IFERROR(__xludf.DUMMYFUNCTION("""COMPUTED_VALUE"""),1.0)</f>
        <v>1</v>
      </c>
      <c r="S9531" s="4" t="str">
        <f>IFERROR(__xludf.DUMMYFUNCTION("""COMPUTED_VALUE"""),"Cardápio Web")</f>
        <v>Cardápio Web</v>
      </c>
      <c r="T9531" s="33">
        <f>IFERROR(__xludf.DUMMYFUNCTION("""COMPUTED_VALUE"""),1.0)</f>
        <v>1</v>
      </c>
      <c r="U9531" s="4" t="str">
        <f>IFERROR(__xludf.DUMMYFUNCTION("""COMPUTED_VALUE"""),"Cardápio Web")</f>
        <v>Cardápio Web</v>
      </c>
      <c r="V9531" s="33">
        <f>IFERROR(__xludf.DUMMYFUNCTION("""COMPUTED_VALUE"""),1.0)</f>
        <v>1</v>
      </c>
      <c r="W9531" s="4" t="str">
        <f>IFERROR(__xludf.DUMMYFUNCTION("""COMPUTED_VALUE"""),"Cardápio Web")</f>
        <v>Cardápio Web</v>
      </c>
      <c r="X9531" s="33">
        <f>IFERROR(__xludf.DUMMYFUNCTION("""COMPUTED_VALUE"""),1.0)</f>
        <v>1</v>
      </c>
    </row>
    <row r="9532">
      <c r="K9532" s="4" t="str">
        <f>IFERROR(__xludf.DUMMYFUNCTION("""COMPUTED_VALUE"""),"ISCREAM - SORVETES EXPRESS")</f>
        <v>ISCREAM - SORVETES EXPRESS</v>
      </c>
      <c r="L9532" s="32">
        <f>IFERROR(__xludf.DUMMYFUNCTION("""COMPUTED_VALUE"""),1.0)</f>
        <v>1</v>
      </c>
      <c r="M9532" s="4">
        <f>IFERROR(__xludf.DUMMYFUNCTION("""COMPUTED_VALUE"""),88.0)</f>
        <v>88</v>
      </c>
      <c r="N9532" s="33">
        <f>IFERROR(__xludf.DUMMYFUNCTION("""COMPUTED_VALUE"""),1.0)</f>
        <v>1</v>
      </c>
      <c r="O9532" s="4" t="str">
        <f>IFERROR(__xludf.DUMMYFUNCTION("""COMPUTED_VALUE"""),"null")</f>
        <v>null</v>
      </c>
      <c r="P9532" s="33">
        <f>IFERROR(__xludf.DUMMYFUNCTION("""COMPUTED_VALUE"""),1.0)</f>
        <v>1</v>
      </c>
      <c r="Q9532" s="4" t="str">
        <f>IFERROR(__xludf.DUMMYFUNCTION("""COMPUTED_VALUE"""),"null")</f>
        <v>null</v>
      </c>
      <c r="R9532" s="33">
        <f>IFERROR(__xludf.DUMMYFUNCTION("""COMPUTED_VALUE"""),1.0)</f>
        <v>1</v>
      </c>
      <c r="S9532" s="4" t="str">
        <f>IFERROR(__xludf.DUMMYFUNCTION("""COMPUTED_VALUE"""),"null")</f>
        <v>null</v>
      </c>
      <c r="T9532" s="33">
        <f>IFERROR(__xludf.DUMMYFUNCTION("""COMPUTED_VALUE"""),1.0)</f>
        <v>1</v>
      </c>
      <c r="U9532" s="4" t="str">
        <f>IFERROR(__xludf.DUMMYFUNCTION("""COMPUTED_VALUE"""),"null")</f>
        <v>null</v>
      </c>
      <c r="V9532" s="33">
        <f>IFERROR(__xludf.DUMMYFUNCTION("""COMPUTED_VALUE"""),1.0)</f>
        <v>1</v>
      </c>
      <c r="W9532" s="4" t="str">
        <f>IFERROR(__xludf.DUMMYFUNCTION("""COMPUTED_VALUE"""),"null")</f>
        <v>null</v>
      </c>
      <c r="X9532" s="33">
        <f>IFERROR(__xludf.DUMMYFUNCTION("""COMPUTED_VALUE"""),1.0)</f>
        <v>1</v>
      </c>
    </row>
    <row r="9533">
      <c r="K9533" s="4" t="str">
        <f>IFERROR(__xludf.DUMMYFUNCTION("""COMPUTED_VALUE"""),"PET LATINO")</f>
        <v>PET LATINO</v>
      </c>
      <c r="L9533" s="32">
        <f>IFERROR(__xludf.DUMMYFUNCTION("""COMPUTED_VALUE"""),1.0)</f>
        <v>1</v>
      </c>
      <c r="M9533" s="4" t="str">
        <f>IFERROR(__xludf.DUMMYFUNCTION("""COMPUTED_VALUE"""),"null")</f>
        <v>null</v>
      </c>
      <c r="N9533" s="33">
        <f>IFERROR(__xludf.DUMMYFUNCTION("""COMPUTED_VALUE"""),1.0)</f>
        <v>1</v>
      </c>
      <c r="O9533" s="4" t="str">
        <f>IFERROR(__xludf.DUMMYFUNCTION("""COMPUTED_VALUE"""),"null")</f>
        <v>null</v>
      </c>
      <c r="P9533" s="33">
        <f>IFERROR(__xludf.DUMMYFUNCTION("""COMPUTED_VALUE"""),1.0)</f>
        <v>1</v>
      </c>
      <c r="Q9533" s="4" t="str">
        <f>IFERROR(__xludf.DUMMYFUNCTION("""COMPUTED_VALUE"""),"null")</f>
        <v>null</v>
      </c>
      <c r="R9533" s="33">
        <f>IFERROR(__xludf.DUMMYFUNCTION("""COMPUTED_VALUE"""),1.0)</f>
        <v>1</v>
      </c>
      <c r="S9533" s="4" t="str">
        <f>IFERROR(__xludf.DUMMYFUNCTION("""COMPUTED_VALUE"""),"null")</f>
        <v>null</v>
      </c>
      <c r="T9533" s="33">
        <f>IFERROR(__xludf.DUMMYFUNCTION("""COMPUTED_VALUE"""),1.0)</f>
        <v>1</v>
      </c>
      <c r="U9533" s="4" t="str">
        <f>IFERROR(__xludf.DUMMYFUNCTION("""COMPUTED_VALUE"""),"N/A (Not found)")</f>
        <v>N/A (Not found)</v>
      </c>
      <c r="V9533" s="33">
        <f>IFERROR(__xludf.DUMMYFUNCTION("""COMPUTED_VALUE"""),1.0)</f>
        <v>1</v>
      </c>
      <c r="W9533" s="4" t="str">
        <f>IFERROR(__xludf.DUMMYFUNCTION("""COMPUTED_VALUE"""),"null")</f>
        <v>null</v>
      </c>
      <c r="X9533" s="33">
        <f>IFERROR(__xludf.DUMMYFUNCTION("""COMPUTED_VALUE"""),1.0)</f>
        <v>1</v>
      </c>
    </row>
    <row r="9534">
      <c r="K9534" s="4" t="str">
        <f>IFERROR(__xludf.DUMMYFUNCTION("""COMPUTED_VALUE"""),"ESPATULA HAMBURGUERIA")</f>
        <v>ESPATULA HAMBURGUERIA</v>
      </c>
      <c r="L9534" s="32">
        <f>IFERROR(__xludf.DUMMYFUNCTION("""COMPUTED_VALUE"""),1.0)</f>
        <v>1</v>
      </c>
      <c r="M9534" s="4" t="str">
        <f>IFERROR(__xludf.DUMMYFUNCTION("""COMPUTED_VALUE"""),"null")</f>
        <v>null</v>
      </c>
      <c r="N9534" s="33">
        <f>IFERROR(__xludf.DUMMYFUNCTION("""COMPUTED_VALUE"""),1.0)</f>
        <v>1</v>
      </c>
      <c r="O9534" s="4" t="str">
        <f>IFERROR(__xludf.DUMMYFUNCTION("""COMPUTED_VALUE"""),"null")</f>
        <v>null</v>
      </c>
      <c r="P9534" s="33">
        <f>IFERROR(__xludf.DUMMYFUNCTION("""COMPUTED_VALUE"""),1.0)</f>
        <v>1</v>
      </c>
      <c r="Q9534" s="4" t="str">
        <f>IFERROR(__xludf.DUMMYFUNCTION("""COMPUTED_VALUE"""),"null")</f>
        <v>null</v>
      </c>
      <c r="R9534" s="33">
        <f>IFERROR(__xludf.DUMMYFUNCTION("""COMPUTED_VALUE"""),1.0)</f>
        <v>1</v>
      </c>
      <c r="S9534" s="4" t="str">
        <f>IFERROR(__xludf.DUMMYFUNCTION("""COMPUTED_VALUE"""),"null")</f>
        <v>null</v>
      </c>
      <c r="T9534" s="33">
        <f>IFERROR(__xludf.DUMMYFUNCTION("""COMPUTED_VALUE"""),1.0)</f>
        <v>1</v>
      </c>
      <c r="U9534" s="4" t="str">
        <f>IFERROR(__xludf.DUMMYFUNCTION("""COMPUTED_VALUE"""),"Brendi")</f>
        <v>Brendi</v>
      </c>
      <c r="V9534" s="33">
        <f>IFERROR(__xludf.DUMMYFUNCTION("""COMPUTED_VALUE"""),1.0)</f>
        <v>1</v>
      </c>
      <c r="W9534" s="4" t="str">
        <f>IFERROR(__xludf.DUMMYFUNCTION("""COMPUTED_VALUE"""),"null")</f>
        <v>null</v>
      </c>
      <c r="X9534" s="33">
        <f>IFERROR(__xludf.DUMMYFUNCTION("""COMPUTED_VALUE"""),1.0)</f>
        <v>1</v>
      </c>
    </row>
    <row r="9535">
      <c r="K9535" s="4" t="str">
        <f>IFERROR(__xludf.DUMMYFUNCTION("""COMPUTED_VALUE"""),"SAUDAVELMENTE - SALADAS, MARMITAS FIT E WRAPS")</f>
        <v>SAUDAVELMENTE - SALADAS, MARMITAS FIT E WRAPS</v>
      </c>
      <c r="L9535" s="32">
        <f>IFERROR(__xludf.DUMMYFUNCTION("""COMPUTED_VALUE"""),1.0)</f>
        <v>1</v>
      </c>
      <c r="M9535" s="4" t="str">
        <f>IFERROR(__xludf.DUMMYFUNCTION("""COMPUTED_VALUE"""),"Consumer Soluções Em Tecnologia Ltda")</f>
        <v>Consumer Soluções Em Tecnologia Ltda</v>
      </c>
      <c r="N9535" s="33">
        <f>IFERROR(__xludf.DUMMYFUNCTION("""COMPUTED_VALUE"""),1.0)</f>
        <v>1</v>
      </c>
      <c r="O9535" s="4" t="str">
        <f>IFERROR(__xludf.DUMMYFUNCTION("""COMPUTED_VALUE"""),"null")</f>
        <v>null</v>
      </c>
      <c r="P9535" s="33">
        <f>IFERROR(__xludf.DUMMYFUNCTION("""COMPUTED_VALUE"""),1.0)</f>
        <v>1</v>
      </c>
      <c r="Q9535" s="4" t="str">
        <f>IFERROR(__xludf.DUMMYFUNCTION("""COMPUTED_VALUE"""),"Consumer Soluções Em Tecnologia Ltda")</f>
        <v>Consumer Soluções Em Tecnologia Ltda</v>
      </c>
      <c r="R9535" s="33">
        <f>IFERROR(__xludf.DUMMYFUNCTION("""COMPUTED_VALUE"""),1.0)</f>
        <v>1</v>
      </c>
      <c r="S9535" s="4" t="str">
        <f>IFERROR(__xludf.DUMMYFUNCTION("""COMPUTED_VALUE"""),"null")</f>
        <v>null</v>
      </c>
      <c r="T9535" s="33">
        <f>IFERROR(__xludf.DUMMYFUNCTION("""COMPUTED_VALUE"""),1.0)</f>
        <v>1</v>
      </c>
      <c r="U9535" s="4" t="str">
        <f>IFERROR(__xludf.DUMMYFUNCTION("""COMPUTED_VALUE"""),"null")</f>
        <v>null</v>
      </c>
      <c r="V9535" s="33">
        <f>IFERROR(__xludf.DUMMYFUNCTION("""COMPUTED_VALUE"""),1.0)</f>
        <v>1</v>
      </c>
      <c r="W9535" s="4" t="str">
        <f>IFERROR(__xludf.DUMMYFUNCTION("""COMPUTED_VALUE"""),"Consumer Soluções Em Tecnologia Ltda")</f>
        <v>Consumer Soluções Em Tecnologia Ltda</v>
      </c>
      <c r="X9535" s="33">
        <f>IFERROR(__xludf.DUMMYFUNCTION("""COMPUTED_VALUE"""),1.0)</f>
        <v>1</v>
      </c>
    </row>
    <row r="9536">
      <c r="K9536" s="4" t="str">
        <f>IFERROR(__xludf.DUMMYFUNCTION("""COMPUTED_VALUE"""),"PASTEL COM FOFOCA - PASTEIS")</f>
        <v>PASTEL COM FOFOCA - PASTEIS</v>
      </c>
      <c r="L9536" s="32">
        <f>IFERROR(__xludf.DUMMYFUNCTION("""COMPUTED_VALUE"""),1.0)</f>
        <v>1</v>
      </c>
      <c r="M9536" s="4" t="str">
        <f>IFERROR(__xludf.DUMMYFUNCTION("""COMPUTED_VALUE"""),"Anota Ai Solucoes Digitais S/a")</f>
        <v>Anota Ai Solucoes Digitais S/a</v>
      </c>
      <c r="N9536" s="33">
        <f>IFERROR(__xludf.DUMMYFUNCTION("""COMPUTED_VALUE"""),1.0)</f>
        <v>1</v>
      </c>
      <c r="O9536" s="4" t="str">
        <f>IFERROR(__xludf.DUMMYFUNCTION("""COMPUTED_VALUE"""),"Anota Ai Solucoes Digitais S/a")</f>
        <v>Anota Ai Solucoes Digitais S/a</v>
      </c>
      <c r="P9536" s="33">
        <f>IFERROR(__xludf.DUMMYFUNCTION("""COMPUTED_VALUE"""),1.0)</f>
        <v>1</v>
      </c>
      <c r="Q9536" s="4" t="str">
        <f>IFERROR(__xludf.DUMMYFUNCTION("""COMPUTED_VALUE"""),"Anota Ai Solucoes Digitais S/a")</f>
        <v>Anota Ai Solucoes Digitais S/a</v>
      </c>
      <c r="R9536" s="33">
        <f>IFERROR(__xludf.DUMMYFUNCTION("""COMPUTED_VALUE"""),1.0)</f>
        <v>1</v>
      </c>
      <c r="S9536" s="4" t="str">
        <f>IFERROR(__xludf.DUMMYFUNCTION("""COMPUTED_VALUE"""),"Anota Ai Solucoes Digitais S/a")</f>
        <v>Anota Ai Solucoes Digitais S/a</v>
      </c>
      <c r="T9536" s="33">
        <f>IFERROR(__xludf.DUMMYFUNCTION("""COMPUTED_VALUE"""),1.0)</f>
        <v>1</v>
      </c>
      <c r="U9536" s="4" t="str">
        <f>IFERROR(__xludf.DUMMYFUNCTION("""COMPUTED_VALUE"""),"Anota Ai Solucoes Digitais S/a")</f>
        <v>Anota Ai Solucoes Digitais S/a</v>
      </c>
      <c r="V9536" s="33">
        <f>IFERROR(__xludf.DUMMYFUNCTION("""COMPUTED_VALUE"""),1.0)</f>
        <v>1</v>
      </c>
      <c r="W9536" s="4" t="str">
        <f>IFERROR(__xludf.DUMMYFUNCTION("""COMPUTED_VALUE"""),"Anota Ai Solucoes Digitais S/a")</f>
        <v>Anota Ai Solucoes Digitais S/a</v>
      </c>
      <c r="X9536" s="33">
        <f>IFERROR(__xludf.DUMMYFUNCTION("""COMPUTED_VALUE"""),1.0)</f>
        <v>1</v>
      </c>
    </row>
    <row r="9537">
      <c r="K9537" s="4" t="str">
        <f>IFERROR(__xludf.DUMMYFUNCTION("""COMPUTED_VALUE"""),"HAMBURGUERIA - HOUSE BURGER")</f>
        <v>HAMBURGUERIA - HOUSE BURGER</v>
      </c>
      <c r="L9537" s="32">
        <f>IFERROR(__xludf.DUMMYFUNCTION("""COMPUTED_VALUE"""),1.0)</f>
        <v>1</v>
      </c>
      <c r="M9537" s="4" t="str">
        <f>IFERROR(__xludf.DUMMYFUNCTION("""COMPUTED_VALUE"""),"null")</f>
        <v>null</v>
      </c>
      <c r="N9537" s="33">
        <f>IFERROR(__xludf.DUMMYFUNCTION("""COMPUTED_VALUE"""),1.0)</f>
        <v>1</v>
      </c>
      <c r="O9537" s="4" t="str">
        <f>IFERROR(__xludf.DUMMYFUNCTION("""COMPUTED_VALUE"""),"null")</f>
        <v>null</v>
      </c>
      <c r="P9537" s="33">
        <f>IFERROR(__xludf.DUMMYFUNCTION("""COMPUTED_VALUE"""),1.0)</f>
        <v>1</v>
      </c>
      <c r="Q9537" s="4" t="str">
        <f>IFERROR(__xludf.DUMMYFUNCTION("""COMPUTED_VALUE"""),"null")</f>
        <v>null</v>
      </c>
      <c r="R9537" s="33">
        <f>IFERROR(__xludf.DUMMYFUNCTION("""COMPUTED_VALUE"""),1.0)</f>
        <v>1</v>
      </c>
      <c r="S9537" s="4" t="str">
        <f>IFERROR(__xludf.DUMMYFUNCTION("""COMPUTED_VALUE"""),"Anota Ai Solucoes Digitais S/a")</f>
        <v>Anota Ai Solucoes Digitais S/a</v>
      </c>
      <c r="T9537" s="33">
        <f>IFERROR(__xludf.DUMMYFUNCTION("""COMPUTED_VALUE"""),1.0)</f>
        <v>1</v>
      </c>
      <c r="U9537" s="4" t="str">
        <f>IFERROR(__xludf.DUMMYFUNCTION("""COMPUTED_VALUE"""),"Anota Ai Solucoes Digitais S/a")</f>
        <v>Anota Ai Solucoes Digitais S/a</v>
      </c>
      <c r="V9537" s="33">
        <f>IFERROR(__xludf.DUMMYFUNCTION("""COMPUTED_VALUE"""),1.0)</f>
        <v>1</v>
      </c>
      <c r="W9537" s="4" t="str">
        <f>IFERROR(__xludf.DUMMYFUNCTION("""COMPUTED_VALUE"""),"Anota Ai Solucoes Digitais S/a")</f>
        <v>Anota Ai Solucoes Digitais S/a</v>
      </c>
      <c r="X9537" s="33">
        <f>IFERROR(__xludf.DUMMYFUNCTION("""COMPUTED_VALUE"""),1.0)</f>
        <v>1</v>
      </c>
    </row>
    <row r="9538">
      <c r="K9538" s="4" t="str">
        <f>IFERROR(__xludf.DUMMYFUNCTION("""COMPUTED_VALUE"""),"BAMBU SUSHI DELIVERY")</f>
        <v>BAMBU SUSHI DELIVERY</v>
      </c>
      <c r="L9538" s="32">
        <f>IFERROR(__xludf.DUMMYFUNCTION("""COMPUTED_VALUE"""),1.0)</f>
        <v>1</v>
      </c>
      <c r="M9538" s="4" t="str">
        <f>IFERROR(__xludf.DUMMYFUNCTION("""COMPUTED_VALUE"""),"null")</f>
        <v>null</v>
      </c>
      <c r="N9538" s="33">
        <f>IFERROR(__xludf.DUMMYFUNCTION("""COMPUTED_VALUE"""),1.0)</f>
        <v>1</v>
      </c>
      <c r="O9538" s="4" t="str">
        <f>IFERROR(__xludf.DUMMYFUNCTION("""COMPUTED_VALUE"""),"null")</f>
        <v>null</v>
      </c>
      <c r="P9538" s="33">
        <f>IFERROR(__xludf.DUMMYFUNCTION("""COMPUTED_VALUE"""),1.0)</f>
        <v>1</v>
      </c>
      <c r="Q9538" s="4" t="str">
        <f>IFERROR(__xludf.DUMMYFUNCTION("""COMPUTED_VALUE"""),"Cardápio Web")</f>
        <v>Cardápio Web</v>
      </c>
      <c r="R9538" s="33">
        <f>IFERROR(__xludf.DUMMYFUNCTION("""COMPUTED_VALUE"""),1.0)</f>
        <v>1</v>
      </c>
      <c r="S9538" s="4" t="str">
        <f>IFERROR(__xludf.DUMMYFUNCTION("""COMPUTED_VALUE"""),"Cardápio Web")</f>
        <v>Cardápio Web</v>
      </c>
      <c r="T9538" s="33">
        <f>IFERROR(__xludf.DUMMYFUNCTION("""COMPUTED_VALUE"""),1.0)</f>
        <v>1</v>
      </c>
      <c r="U9538" s="4" t="str">
        <f>IFERROR(__xludf.DUMMYFUNCTION("""COMPUTED_VALUE"""),"Cardápio Web")</f>
        <v>Cardápio Web</v>
      </c>
      <c r="V9538" s="33">
        <f>IFERROR(__xludf.DUMMYFUNCTION("""COMPUTED_VALUE"""),1.0)</f>
        <v>1</v>
      </c>
      <c r="W9538" s="4" t="str">
        <f>IFERROR(__xludf.DUMMYFUNCTION("""COMPUTED_VALUE"""),"Cardápio Web")</f>
        <v>Cardápio Web</v>
      </c>
      <c r="X9538" s="33">
        <f>IFERROR(__xludf.DUMMYFUNCTION("""COMPUTED_VALUE"""),1.0)</f>
        <v>1</v>
      </c>
    </row>
    <row r="9539">
      <c r="K9539" s="4" t="str">
        <f>IFERROR(__xludf.DUMMYFUNCTION("""COMPUTED_VALUE"""),"ESSENCIA DO ACAI")</f>
        <v>ESSENCIA DO ACAI</v>
      </c>
      <c r="L9539" s="32">
        <f>IFERROR(__xludf.DUMMYFUNCTION("""COMPUTED_VALUE"""),1.0)</f>
        <v>1</v>
      </c>
      <c r="M9539" s="4" t="str">
        <f>IFERROR(__xludf.DUMMYFUNCTION("""COMPUTED_VALUE"""),"null")</f>
        <v>null</v>
      </c>
      <c r="N9539" s="33">
        <f>IFERROR(__xludf.DUMMYFUNCTION("""COMPUTED_VALUE"""),1.0)</f>
        <v>1</v>
      </c>
      <c r="O9539" s="4" t="str">
        <f>IFERROR(__xludf.DUMMYFUNCTION("""COMPUTED_VALUE"""),"Instadelivery")</f>
        <v>Instadelivery</v>
      </c>
      <c r="P9539" s="33">
        <f>IFERROR(__xludf.DUMMYFUNCTION("""COMPUTED_VALUE"""),1.0)</f>
        <v>1</v>
      </c>
      <c r="Q9539" s="4" t="str">
        <f>IFERROR(__xludf.DUMMYFUNCTION("""COMPUTED_VALUE"""),"null")</f>
        <v>null</v>
      </c>
      <c r="R9539" s="33">
        <f>IFERROR(__xludf.DUMMYFUNCTION("""COMPUTED_VALUE"""),1.0)</f>
        <v>1</v>
      </c>
      <c r="S9539" s="4" t="str">
        <f>IFERROR(__xludf.DUMMYFUNCTION("""COMPUTED_VALUE"""),"null")</f>
        <v>null</v>
      </c>
      <c r="T9539" s="33">
        <f>IFERROR(__xludf.DUMMYFUNCTION("""COMPUTED_VALUE"""),1.0)</f>
        <v>1</v>
      </c>
      <c r="U9539" s="4" t="str">
        <f>IFERROR(__xludf.DUMMYFUNCTION("""COMPUTED_VALUE"""),"null")</f>
        <v>null</v>
      </c>
      <c r="V9539" s="33">
        <f>IFERROR(__xludf.DUMMYFUNCTION("""COMPUTED_VALUE"""),1.0)</f>
        <v>1</v>
      </c>
      <c r="W9539" s="4" t="str">
        <f>IFERROR(__xludf.DUMMYFUNCTION("""COMPUTED_VALUE"""),"null")</f>
        <v>null</v>
      </c>
      <c r="X9539" s="33">
        <f>IFERROR(__xludf.DUMMYFUNCTION("""COMPUTED_VALUE"""),1.0)</f>
        <v>1</v>
      </c>
    </row>
    <row r="9540">
      <c r="K9540" s="4" t="str">
        <f>IFERROR(__xludf.DUMMYFUNCTION("""COMPUTED_VALUE"""),"MEU QUINTAL CAFE")</f>
        <v>MEU QUINTAL CAFE</v>
      </c>
      <c r="L9540" s="32">
        <f>IFERROR(__xludf.DUMMYFUNCTION("""COMPUTED_VALUE"""),1.0)</f>
        <v>1</v>
      </c>
      <c r="M9540" s="4" t="str">
        <f>IFERROR(__xludf.DUMMYFUNCTION("""COMPUTED_VALUE"""),"Alpha Logo")</f>
        <v>Alpha Logo</v>
      </c>
      <c r="N9540" s="33">
        <f>IFERROR(__xludf.DUMMYFUNCTION("""COMPUTED_VALUE"""),1.0)</f>
        <v>1</v>
      </c>
      <c r="O9540" s="4" t="str">
        <f>IFERROR(__xludf.DUMMYFUNCTION("""COMPUTED_VALUE"""),"Alpha Logo")</f>
        <v>Alpha Logo</v>
      </c>
      <c r="P9540" s="33">
        <f>IFERROR(__xludf.DUMMYFUNCTION("""COMPUTED_VALUE"""),1.0)</f>
        <v>1</v>
      </c>
      <c r="Q9540" s="4" t="str">
        <f>IFERROR(__xludf.DUMMYFUNCTION("""COMPUTED_VALUE"""),"Alpha Logo")</f>
        <v>Alpha Logo</v>
      </c>
      <c r="R9540" s="33">
        <f>IFERROR(__xludf.DUMMYFUNCTION("""COMPUTED_VALUE"""),1.0)</f>
        <v>1</v>
      </c>
      <c r="S9540" s="4" t="str">
        <f>IFERROR(__xludf.DUMMYFUNCTION("""COMPUTED_VALUE"""),"Alpha Logo")</f>
        <v>Alpha Logo</v>
      </c>
      <c r="T9540" s="33">
        <f>IFERROR(__xludf.DUMMYFUNCTION("""COMPUTED_VALUE"""),1.0)</f>
        <v>1</v>
      </c>
      <c r="U9540" s="4" t="str">
        <f>IFERROR(__xludf.DUMMYFUNCTION("""COMPUTED_VALUE"""),"Alpha Logo")</f>
        <v>Alpha Logo</v>
      </c>
      <c r="V9540" s="33">
        <f>IFERROR(__xludf.DUMMYFUNCTION("""COMPUTED_VALUE"""),1.0)</f>
        <v>1</v>
      </c>
      <c r="W9540" s="4" t="str">
        <f>IFERROR(__xludf.DUMMYFUNCTION("""COMPUTED_VALUE"""),"Alpha Logo")</f>
        <v>Alpha Logo</v>
      </c>
      <c r="X9540" s="33">
        <f>IFERROR(__xludf.DUMMYFUNCTION("""COMPUTED_VALUE"""),1.0)</f>
        <v>1</v>
      </c>
    </row>
    <row r="9541">
      <c r="K9541" s="4" t="str">
        <f>IFERROR(__xludf.DUMMYFUNCTION("""COMPUTED_VALUE"""),"HELLO PIZZA DELIVERY")</f>
        <v>HELLO PIZZA DELIVERY</v>
      </c>
      <c r="L9541" s="32">
        <f>IFERROR(__xludf.DUMMYFUNCTION("""COMPUTED_VALUE"""),1.0)</f>
        <v>1</v>
      </c>
      <c r="M9541" s="4" t="str">
        <f>IFERROR(__xludf.DUMMYFUNCTION("""COMPUTED_VALUE"""),"Anota Ai Solucoes Digitais S/a")</f>
        <v>Anota Ai Solucoes Digitais S/a</v>
      </c>
      <c r="N9541" s="33">
        <f>IFERROR(__xludf.DUMMYFUNCTION("""COMPUTED_VALUE"""),1.0)</f>
        <v>1</v>
      </c>
      <c r="O9541" s="4" t="str">
        <f>IFERROR(__xludf.DUMMYFUNCTION("""COMPUTED_VALUE"""),"Anota Ai Solucoes Digitais S/a")</f>
        <v>Anota Ai Solucoes Digitais S/a</v>
      </c>
      <c r="P9541" s="33">
        <f>IFERROR(__xludf.DUMMYFUNCTION("""COMPUTED_VALUE"""),1.0)</f>
        <v>1</v>
      </c>
      <c r="Q9541" s="4" t="str">
        <f>IFERROR(__xludf.DUMMYFUNCTION("""COMPUTED_VALUE"""),"Anota Ai Solucoes Digitais S/a")</f>
        <v>Anota Ai Solucoes Digitais S/a</v>
      </c>
      <c r="R9541" s="33">
        <f>IFERROR(__xludf.DUMMYFUNCTION("""COMPUTED_VALUE"""),1.0)</f>
        <v>1</v>
      </c>
      <c r="S9541" s="4" t="str">
        <f>IFERROR(__xludf.DUMMYFUNCTION("""COMPUTED_VALUE"""),"Anota Ai Solucoes Digitais S/a")</f>
        <v>Anota Ai Solucoes Digitais S/a</v>
      </c>
      <c r="T9541" s="33">
        <f>IFERROR(__xludf.DUMMYFUNCTION("""COMPUTED_VALUE"""),1.0)</f>
        <v>1</v>
      </c>
      <c r="U9541" s="4" t="str">
        <f>IFERROR(__xludf.DUMMYFUNCTION("""COMPUTED_VALUE"""),"Anota Ai Solucoes Digitais S/a")</f>
        <v>Anota Ai Solucoes Digitais S/a</v>
      </c>
      <c r="V9541" s="33">
        <f>IFERROR(__xludf.DUMMYFUNCTION("""COMPUTED_VALUE"""),1.0)</f>
        <v>1</v>
      </c>
      <c r="W9541" s="4" t="str">
        <f>IFERROR(__xludf.DUMMYFUNCTION("""COMPUTED_VALUE"""),"Anota Ai Solucoes Digitais S/a")</f>
        <v>Anota Ai Solucoes Digitais S/a</v>
      </c>
      <c r="X9541" s="33">
        <f>IFERROR(__xludf.DUMMYFUNCTION("""COMPUTED_VALUE"""),1.0)</f>
        <v>1</v>
      </c>
    </row>
    <row r="9542">
      <c r="K9542" s="4" t="str">
        <f>IFERROR(__xludf.DUMMYFUNCTION("""COMPUTED_VALUE"""),"PET SHOP ADRIANO")</f>
        <v>PET SHOP ADRIANO</v>
      </c>
      <c r="L9542" s="32">
        <f>IFERROR(__xludf.DUMMYFUNCTION("""COMPUTED_VALUE"""),1.0)</f>
        <v>1</v>
      </c>
      <c r="M9542" s="4" t="str">
        <f>IFERROR(__xludf.DUMMYFUNCTION("""COMPUTED_VALUE"""),"null")</f>
        <v>null</v>
      </c>
      <c r="N9542" s="33">
        <f>IFERROR(__xludf.DUMMYFUNCTION("""COMPUTED_VALUE"""),1.0)</f>
        <v>1</v>
      </c>
      <c r="O9542" s="4" t="str">
        <f>IFERROR(__xludf.DUMMYFUNCTION("""COMPUTED_VALUE"""),"null")</f>
        <v>null</v>
      </c>
      <c r="P9542" s="33">
        <f>IFERROR(__xludf.DUMMYFUNCTION("""COMPUTED_VALUE"""),1.0)</f>
        <v>1</v>
      </c>
      <c r="Q9542" s="4" t="str">
        <f>IFERROR(__xludf.DUMMYFUNCTION("""COMPUTED_VALUE"""),"N/A (Not found)")</f>
        <v>N/A (Not found)</v>
      </c>
      <c r="R9542" s="33">
        <f>IFERROR(__xludf.DUMMYFUNCTION("""COMPUTED_VALUE"""),1.0)</f>
        <v>1</v>
      </c>
      <c r="S9542" s="4" t="str">
        <f>IFERROR(__xludf.DUMMYFUNCTION("""COMPUTED_VALUE"""),"null")</f>
        <v>null</v>
      </c>
      <c r="T9542" s="33">
        <f>IFERROR(__xludf.DUMMYFUNCTION("""COMPUTED_VALUE"""),1.0)</f>
        <v>1</v>
      </c>
      <c r="U9542" s="4" t="str">
        <f>IFERROR(__xludf.DUMMYFUNCTION("""COMPUTED_VALUE"""),"null")</f>
        <v>null</v>
      </c>
      <c r="V9542" s="33">
        <f>IFERROR(__xludf.DUMMYFUNCTION("""COMPUTED_VALUE"""),1.0)</f>
        <v>1</v>
      </c>
      <c r="W9542" s="4" t="str">
        <f>IFERROR(__xludf.DUMMYFUNCTION("""COMPUTED_VALUE"""),"null")</f>
        <v>null</v>
      </c>
      <c r="X9542" s="33">
        <f>IFERROR(__xludf.DUMMYFUNCTION("""COMPUTED_VALUE"""),1.0)</f>
        <v>1</v>
      </c>
    </row>
    <row r="9543">
      <c r="K9543" s="4" t="str">
        <f>IFERROR(__xludf.DUMMYFUNCTION("""COMPUTED_VALUE"""),"CANTA GALO FRANGO FRITO")</f>
        <v>CANTA GALO FRANGO FRITO</v>
      </c>
      <c r="L9543" s="32">
        <f>IFERROR(__xludf.DUMMYFUNCTION("""COMPUTED_VALUE"""),1.0)</f>
        <v>1</v>
      </c>
      <c r="M9543" s="4" t="str">
        <f>IFERROR(__xludf.DUMMYFUNCTION("""COMPUTED_VALUE"""),"Saipos Serviços De Software")</f>
        <v>Saipos Serviços De Software</v>
      </c>
      <c r="N9543" s="33">
        <f>IFERROR(__xludf.DUMMYFUNCTION("""COMPUTED_VALUE"""),1.0)</f>
        <v>1</v>
      </c>
      <c r="O9543" s="4" t="str">
        <f>IFERROR(__xludf.DUMMYFUNCTION("""COMPUTED_VALUE"""),"Saipos Serviços De Software")</f>
        <v>Saipos Serviços De Software</v>
      </c>
      <c r="P9543" s="33">
        <f>IFERROR(__xludf.DUMMYFUNCTION("""COMPUTED_VALUE"""),1.0)</f>
        <v>1</v>
      </c>
      <c r="Q9543" s="4" t="str">
        <f>IFERROR(__xludf.DUMMYFUNCTION("""COMPUTED_VALUE"""),"Saipos Serviços De Software")</f>
        <v>Saipos Serviços De Software</v>
      </c>
      <c r="R9543" s="33">
        <f>IFERROR(__xludf.DUMMYFUNCTION("""COMPUTED_VALUE"""),1.0)</f>
        <v>1</v>
      </c>
      <c r="S9543" s="4" t="str">
        <f>IFERROR(__xludf.DUMMYFUNCTION("""COMPUTED_VALUE"""),"Saipos Serviços De Software")</f>
        <v>Saipos Serviços De Software</v>
      </c>
      <c r="T9543" s="33">
        <f>IFERROR(__xludf.DUMMYFUNCTION("""COMPUTED_VALUE"""),1.0)</f>
        <v>1</v>
      </c>
      <c r="U9543" s="4" t="str">
        <f>IFERROR(__xludf.DUMMYFUNCTION("""COMPUTED_VALUE"""),"Saipos Serviços De Software")</f>
        <v>Saipos Serviços De Software</v>
      </c>
      <c r="V9543" s="33">
        <f>IFERROR(__xludf.DUMMYFUNCTION("""COMPUTED_VALUE"""),1.0)</f>
        <v>1</v>
      </c>
      <c r="W9543" s="4" t="str">
        <f>IFERROR(__xludf.DUMMYFUNCTION("""COMPUTED_VALUE"""),"Saipos Serviços De Software")</f>
        <v>Saipos Serviços De Software</v>
      </c>
      <c r="X9543" s="33">
        <f>IFERROR(__xludf.DUMMYFUNCTION("""COMPUTED_VALUE"""),1.0)</f>
        <v>1</v>
      </c>
    </row>
    <row r="9544">
      <c r="K9544" s="4" t="str">
        <f>IFERROR(__xludf.DUMMYFUNCTION("""COMPUTED_VALUE"""),"HOTDOG DA CHEFE")</f>
        <v>HOTDOG DA CHEFE</v>
      </c>
      <c r="L9544" s="32">
        <f>IFERROR(__xludf.DUMMYFUNCTION("""COMPUTED_VALUE"""),1.0)</f>
        <v>1</v>
      </c>
      <c r="M9544" s="4" t="str">
        <f>IFERROR(__xludf.DUMMYFUNCTION("""COMPUTED_VALUE"""),"Instadelivery")</f>
        <v>Instadelivery</v>
      </c>
      <c r="N9544" s="33">
        <f>IFERROR(__xludf.DUMMYFUNCTION("""COMPUTED_VALUE"""),1.0)</f>
        <v>1</v>
      </c>
      <c r="O9544" s="4" t="str">
        <f>IFERROR(__xludf.DUMMYFUNCTION("""COMPUTED_VALUE"""),"Instadelivery")</f>
        <v>Instadelivery</v>
      </c>
      <c r="P9544" s="33">
        <f>IFERROR(__xludf.DUMMYFUNCTION("""COMPUTED_VALUE"""),1.0)</f>
        <v>1</v>
      </c>
      <c r="Q9544" s="4" t="str">
        <f>IFERROR(__xludf.DUMMYFUNCTION("""COMPUTED_VALUE"""),"Instadelivery")</f>
        <v>Instadelivery</v>
      </c>
      <c r="R9544" s="33">
        <f>IFERROR(__xludf.DUMMYFUNCTION("""COMPUTED_VALUE"""),1.0)</f>
        <v>1</v>
      </c>
      <c r="S9544" s="4" t="str">
        <f>IFERROR(__xludf.DUMMYFUNCTION("""COMPUTED_VALUE"""),"Instadelivery")</f>
        <v>Instadelivery</v>
      </c>
      <c r="T9544" s="33">
        <f>IFERROR(__xludf.DUMMYFUNCTION("""COMPUTED_VALUE"""),1.0)</f>
        <v>1</v>
      </c>
      <c r="U9544" s="4" t="str">
        <f>IFERROR(__xludf.DUMMYFUNCTION("""COMPUTED_VALUE"""),"Instadelivery")</f>
        <v>Instadelivery</v>
      </c>
      <c r="V9544" s="33">
        <f>IFERROR(__xludf.DUMMYFUNCTION("""COMPUTED_VALUE"""),1.0)</f>
        <v>1</v>
      </c>
      <c r="W9544" s="4" t="str">
        <f>IFERROR(__xludf.DUMMYFUNCTION("""COMPUTED_VALUE"""),"Instadelivery")</f>
        <v>Instadelivery</v>
      </c>
      <c r="X9544" s="33">
        <f>IFERROR(__xludf.DUMMYFUNCTION("""COMPUTED_VALUE"""),1.0)</f>
        <v>1</v>
      </c>
    </row>
    <row r="9545">
      <c r="K9545" s="4" t="str">
        <f>IFERROR(__xludf.DUMMYFUNCTION("""COMPUTED_VALUE"""),"QUIOSQUE DO PASTEL")</f>
        <v>QUIOSQUE DO PASTEL</v>
      </c>
      <c r="L9545" s="32">
        <f>IFERROR(__xludf.DUMMYFUNCTION("""COMPUTED_VALUE"""),1.0)</f>
        <v>1</v>
      </c>
      <c r="M9545" s="4" t="str">
        <f>IFERROR(__xludf.DUMMYFUNCTION("""COMPUTED_VALUE"""),"Mapp Sistemas")</f>
        <v>Mapp Sistemas</v>
      </c>
      <c r="N9545" s="33">
        <f>IFERROR(__xludf.DUMMYFUNCTION("""COMPUTED_VALUE"""),1.0)</f>
        <v>1</v>
      </c>
      <c r="O9545" s="4" t="str">
        <f>IFERROR(__xludf.DUMMYFUNCTION("""COMPUTED_VALUE"""),"Mapp Sistemas")</f>
        <v>Mapp Sistemas</v>
      </c>
      <c r="P9545" s="33">
        <f>IFERROR(__xludf.DUMMYFUNCTION("""COMPUTED_VALUE"""),1.0)</f>
        <v>1</v>
      </c>
      <c r="Q9545" s="4" t="str">
        <f>IFERROR(__xludf.DUMMYFUNCTION("""COMPUTED_VALUE"""),"Mapp Sistemas")</f>
        <v>Mapp Sistemas</v>
      </c>
      <c r="R9545" s="33">
        <f>IFERROR(__xludf.DUMMYFUNCTION("""COMPUTED_VALUE"""),1.0)</f>
        <v>1</v>
      </c>
      <c r="S9545" s="4" t="str">
        <f>IFERROR(__xludf.DUMMYFUNCTION("""COMPUTED_VALUE"""),"Mapp Sistemas")</f>
        <v>Mapp Sistemas</v>
      </c>
      <c r="T9545" s="33">
        <f>IFERROR(__xludf.DUMMYFUNCTION("""COMPUTED_VALUE"""),1.0)</f>
        <v>1</v>
      </c>
      <c r="U9545" s="4" t="str">
        <f>IFERROR(__xludf.DUMMYFUNCTION("""COMPUTED_VALUE"""),"Mapp Sistemas")</f>
        <v>Mapp Sistemas</v>
      </c>
      <c r="V9545" s="33">
        <f>IFERROR(__xludf.DUMMYFUNCTION("""COMPUTED_VALUE"""),1.0)</f>
        <v>1</v>
      </c>
      <c r="W9545" s="4" t="str">
        <f>IFERROR(__xludf.DUMMYFUNCTION("""COMPUTED_VALUE"""),"Mapp Sistemas")</f>
        <v>Mapp Sistemas</v>
      </c>
      <c r="X9545" s="33">
        <f>IFERROR(__xludf.DUMMYFUNCTION("""COMPUTED_VALUE"""),1.0)</f>
        <v>1</v>
      </c>
    </row>
    <row r="9546">
      <c r="K9546" s="4" t="str">
        <f>IFERROR(__xludf.DUMMYFUNCTION("""COMPUTED_VALUE"""),"PORCOES E ACAI FLASH FOOD DELIVERY")</f>
        <v>PORCOES E ACAI FLASH FOOD DELIVERY</v>
      </c>
      <c r="L9546" s="32">
        <f>IFERROR(__xludf.DUMMYFUNCTION("""COMPUTED_VALUE"""),1.0)</f>
        <v>1</v>
      </c>
      <c r="M9546" s="4" t="str">
        <f>IFERROR(__xludf.DUMMYFUNCTION("""COMPUTED_VALUE"""),"Saipos Serviços De Software")</f>
        <v>Saipos Serviços De Software</v>
      </c>
      <c r="N9546" s="33">
        <f>IFERROR(__xludf.DUMMYFUNCTION("""COMPUTED_VALUE"""),1.0)</f>
        <v>1</v>
      </c>
      <c r="O9546" s="4" t="str">
        <f>IFERROR(__xludf.DUMMYFUNCTION("""COMPUTED_VALUE"""),"Saipos Serviços De Software")</f>
        <v>Saipos Serviços De Software</v>
      </c>
      <c r="P9546" s="33">
        <f>IFERROR(__xludf.DUMMYFUNCTION("""COMPUTED_VALUE"""),1.0)</f>
        <v>1</v>
      </c>
      <c r="Q9546" s="4" t="str">
        <f>IFERROR(__xludf.DUMMYFUNCTION("""COMPUTED_VALUE"""),"Saipos Serviços De Software")</f>
        <v>Saipos Serviços De Software</v>
      </c>
      <c r="R9546" s="33">
        <f>IFERROR(__xludf.DUMMYFUNCTION("""COMPUTED_VALUE"""),1.0)</f>
        <v>1</v>
      </c>
      <c r="S9546" s="4" t="str">
        <f>IFERROR(__xludf.DUMMYFUNCTION("""COMPUTED_VALUE"""),"Saipos Serviços De Software")</f>
        <v>Saipos Serviços De Software</v>
      </c>
      <c r="T9546" s="33">
        <f>IFERROR(__xludf.DUMMYFUNCTION("""COMPUTED_VALUE"""),1.0)</f>
        <v>1</v>
      </c>
      <c r="U9546" s="4" t="str">
        <f>IFERROR(__xludf.DUMMYFUNCTION("""COMPUTED_VALUE"""),"Saipos Serviços De Software")</f>
        <v>Saipos Serviços De Software</v>
      </c>
      <c r="V9546" s="33">
        <f>IFERROR(__xludf.DUMMYFUNCTION("""COMPUTED_VALUE"""),1.0)</f>
        <v>1</v>
      </c>
      <c r="W9546" s="4" t="str">
        <f>IFERROR(__xludf.DUMMYFUNCTION("""COMPUTED_VALUE"""),"Saipos Serviços De Software")</f>
        <v>Saipos Serviços De Software</v>
      </c>
      <c r="X9546" s="33">
        <f>IFERROR(__xludf.DUMMYFUNCTION("""COMPUTED_VALUE"""),1.0)</f>
        <v>1</v>
      </c>
    </row>
    <row r="9547">
      <c r="K9547" s="4" t="str">
        <f>IFERROR(__xludf.DUMMYFUNCTION("""COMPUTED_VALUE"""),"ALTA BRASA CHURRASCARIA")</f>
        <v>ALTA BRASA CHURRASCARIA</v>
      </c>
      <c r="L9547" s="32">
        <f>IFERROR(__xludf.DUMMYFUNCTION("""COMPUTED_VALUE"""),1.0)</f>
        <v>1</v>
      </c>
      <c r="M9547" s="4" t="str">
        <f>IFERROR(__xludf.DUMMYFUNCTION("""COMPUTED_VALUE"""),"Zip Software")</f>
        <v>Zip Software</v>
      </c>
      <c r="N9547" s="33">
        <f>IFERROR(__xludf.DUMMYFUNCTION("""COMPUTED_VALUE"""),1.0)</f>
        <v>1</v>
      </c>
      <c r="O9547" s="4" t="str">
        <f>IFERROR(__xludf.DUMMYFUNCTION("""COMPUTED_VALUE"""),"Zip Software")</f>
        <v>Zip Software</v>
      </c>
      <c r="P9547" s="33">
        <f>IFERROR(__xludf.DUMMYFUNCTION("""COMPUTED_VALUE"""),1.0)</f>
        <v>1</v>
      </c>
      <c r="Q9547" s="4" t="str">
        <f>IFERROR(__xludf.DUMMYFUNCTION("""COMPUTED_VALUE"""),"Zip Software")</f>
        <v>Zip Software</v>
      </c>
      <c r="R9547" s="33">
        <f>IFERROR(__xludf.DUMMYFUNCTION("""COMPUTED_VALUE"""),1.0)</f>
        <v>1</v>
      </c>
      <c r="S9547" s="4" t="str">
        <f>IFERROR(__xludf.DUMMYFUNCTION("""COMPUTED_VALUE"""),"Zip Software")</f>
        <v>Zip Software</v>
      </c>
      <c r="T9547" s="33">
        <f>IFERROR(__xludf.DUMMYFUNCTION("""COMPUTED_VALUE"""),1.0)</f>
        <v>1</v>
      </c>
      <c r="U9547" s="4" t="str">
        <f>IFERROR(__xludf.DUMMYFUNCTION("""COMPUTED_VALUE"""),"Zip Software")</f>
        <v>Zip Software</v>
      </c>
      <c r="V9547" s="33">
        <f>IFERROR(__xludf.DUMMYFUNCTION("""COMPUTED_VALUE"""),1.0)</f>
        <v>1</v>
      </c>
      <c r="W9547" s="4" t="str">
        <f>IFERROR(__xludf.DUMMYFUNCTION("""COMPUTED_VALUE"""),"Zip Software")</f>
        <v>Zip Software</v>
      </c>
      <c r="X9547" s="33">
        <f>IFERROR(__xludf.DUMMYFUNCTION("""COMPUTED_VALUE"""),1.0)</f>
        <v>1</v>
      </c>
    </row>
    <row r="9548">
      <c r="K9548" s="4" t="str">
        <f>IFERROR(__xludf.DUMMYFUNCTION("""COMPUTED_VALUE"""),"DOGUERIA MASTER - CACHORRO QUENTE PRENSADO E HAMBURGUER")</f>
        <v>DOGUERIA MASTER - CACHORRO QUENTE PRENSADO E HAMBURGUER</v>
      </c>
      <c r="L9548" s="32">
        <f>IFERROR(__xludf.DUMMYFUNCTION("""COMPUTED_VALUE"""),1.0)</f>
        <v>1</v>
      </c>
      <c r="M9548" s="4" t="str">
        <f>IFERROR(__xludf.DUMMYFUNCTION("""COMPUTED_VALUE"""),"Saipos Serviços De Software")</f>
        <v>Saipos Serviços De Software</v>
      </c>
      <c r="N9548" s="33">
        <f>IFERROR(__xludf.DUMMYFUNCTION("""COMPUTED_VALUE"""),1.0)</f>
        <v>1</v>
      </c>
      <c r="O9548" s="4" t="str">
        <f>IFERROR(__xludf.DUMMYFUNCTION("""COMPUTED_VALUE"""),"Saipos Serviços De Software")</f>
        <v>Saipos Serviços De Software</v>
      </c>
      <c r="P9548" s="33">
        <f>IFERROR(__xludf.DUMMYFUNCTION("""COMPUTED_VALUE"""),1.0)</f>
        <v>1</v>
      </c>
      <c r="Q9548" s="4" t="str">
        <f>IFERROR(__xludf.DUMMYFUNCTION("""COMPUTED_VALUE"""),"Saipos Serviços De Software")</f>
        <v>Saipos Serviços De Software</v>
      </c>
      <c r="R9548" s="33">
        <f>IFERROR(__xludf.DUMMYFUNCTION("""COMPUTED_VALUE"""),1.0)</f>
        <v>1</v>
      </c>
      <c r="S9548" s="4" t="str">
        <f>IFERROR(__xludf.DUMMYFUNCTION("""COMPUTED_VALUE"""),"Saipos Serviços De Software")</f>
        <v>Saipos Serviços De Software</v>
      </c>
      <c r="T9548" s="33">
        <f>IFERROR(__xludf.DUMMYFUNCTION("""COMPUTED_VALUE"""),1.0)</f>
        <v>1</v>
      </c>
      <c r="U9548" s="4" t="str">
        <f>IFERROR(__xludf.DUMMYFUNCTION("""COMPUTED_VALUE"""),"Saipos Serviços De Software")</f>
        <v>Saipos Serviços De Software</v>
      </c>
      <c r="V9548" s="33">
        <f>IFERROR(__xludf.DUMMYFUNCTION("""COMPUTED_VALUE"""),1.0)</f>
        <v>1</v>
      </c>
      <c r="W9548" s="4" t="str">
        <f>IFERROR(__xludf.DUMMYFUNCTION("""COMPUTED_VALUE"""),"Saipos Serviços De Software")</f>
        <v>Saipos Serviços De Software</v>
      </c>
      <c r="X9548" s="33">
        <f>IFERROR(__xludf.DUMMYFUNCTION("""COMPUTED_VALUE"""),1.0)</f>
        <v>1</v>
      </c>
    </row>
    <row r="9549">
      <c r="K9549" s="4" t="str">
        <f>IFERROR(__xludf.DUMMYFUNCTION("""COMPUTED_VALUE"""),"PIZZARIA - DELICADO SABOR")</f>
        <v>PIZZARIA - DELICADO SABOR</v>
      </c>
      <c r="L9549" s="32">
        <f>IFERROR(__xludf.DUMMYFUNCTION("""COMPUTED_VALUE"""),1.0)</f>
        <v>1</v>
      </c>
      <c r="M9549" s="4" t="str">
        <f>IFERROR(__xludf.DUMMYFUNCTION("""COMPUTED_VALUE"""),"Instadelivery")</f>
        <v>Instadelivery</v>
      </c>
      <c r="N9549" s="33">
        <f>IFERROR(__xludf.DUMMYFUNCTION("""COMPUTED_VALUE"""),1.0)</f>
        <v>1</v>
      </c>
      <c r="O9549" s="4" t="str">
        <f>IFERROR(__xludf.DUMMYFUNCTION("""COMPUTED_VALUE"""),"Instadelivery")</f>
        <v>Instadelivery</v>
      </c>
      <c r="P9549" s="33">
        <f>IFERROR(__xludf.DUMMYFUNCTION("""COMPUTED_VALUE"""),1.0)</f>
        <v>1</v>
      </c>
      <c r="Q9549" s="4" t="str">
        <f>IFERROR(__xludf.DUMMYFUNCTION("""COMPUTED_VALUE"""),"Instadelivery")</f>
        <v>Instadelivery</v>
      </c>
      <c r="R9549" s="33">
        <f>IFERROR(__xludf.DUMMYFUNCTION("""COMPUTED_VALUE"""),1.0)</f>
        <v>1</v>
      </c>
      <c r="S9549" s="4" t="str">
        <f>IFERROR(__xludf.DUMMYFUNCTION("""COMPUTED_VALUE"""),"Instadelivery")</f>
        <v>Instadelivery</v>
      </c>
      <c r="T9549" s="33">
        <f>IFERROR(__xludf.DUMMYFUNCTION("""COMPUTED_VALUE"""),1.0)</f>
        <v>1</v>
      </c>
      <c r="U9549" s="4" t="str">
        <f>IFERROR(__xludf.DUMMYFUNCTION("""COMPUTED_VALUE"""),"Instadelivery")</f>
        <v>Instadelivery</v>
      </c>
      <c r="V9549" s="33">
        <f>IFERROR(__xludf.DUMMYFUNCTION("""COMPUTED_VALUE"""),1.0)</f>
        <v>1</v>
      </c>
      <c r="W9549" s="4" t="str">
        <f>IFERROR(__xludf.DUMMYFUNCTION("""COMPUTED_VALUE"""),"Instadelivery")</f>
        <v>Instadelivery</v>
      </c>
      <c r="X9549" s="33">
        <f>IFERROR(__xludf.DUMMYFUNCTION("""COMPUTED_VALUE"""),1.0)</f>
        <v>1</v>
      </c>
    </row>
    <row r="9550">
      <c r="K9550" s="4" t="str">
        <f>IFERROR(__xludf.DUMMYFUNCTION("""COMPUTED_VALUE"""),"CONVENIENCIAS DP BEER LTDA")</f>
        <v>CONVENIENCIAS DP BEER LTDA</v>
      </c>
      <c r="L9550" s="32">
        <f>IFERROR(__xludf.DUMMYFUNCTION("""COMPUTED_VALUE"""),1.0)</f>
        <v>1</v>
      </c>
      <c r="M9550" s="4" t="str">
        <f>IFERROR(__xludf.DUMMYFUNCTION("""COMPUTED_VALUE"""),"N/A (Not found)")</f>
        <v>N/A (Not found)</v>
      </c>
      <c r="N9550" s="33">
        <f>IFERROR(__xludf.DUMMYFUNCTION("""COMPUTED_VALUE"""),1.0)</f>
        <v>1</v>
      </c>
      <c r="O9550" s="4" t="str">
        <f>IFERROR(__xludf.DUMMYFUNCTION("""COMPUTED_VALUE"""),"N/A (Not found)")</f>
        <v>N/A (Not found)</v>
      </c>
      <c r="P9550" s="33">
        <f>IFERROR(__xludf.DUMMYFUNCTION("""COMPUTED_VALUE"""),1.0)</f>
        <v>1</v>
      </c>
      <c r="Q9550" s="4" t="str">
        <f>IFERROR(__xludf.DUMMYFUNCTION("""COMPUTED_VALUE"""),"N/A (Not found)")</f>
        <v>N/A (Not found)</v>
      </c>
      <c r="R9550" s="33">
        <f>IFERROR(__xludf.DUMMYFUNCTION("""COMPUTED_VALUE"""),1.0)</f>
        <v>1</v>
      </c>
      <c r="S9550" s="4" t="str">
        <f>IFERROR(__xludf.DUMMYFUNCTION("""COMPUTED_VALUE"""),"N/A (Not found)")</f>
        <v>N/A (Not found)</v>
      </c>
      <c r="T9550" s="33">
        <f>IFERROR(__xludf.DUMMYFUNCTION("""COMPUTED_VALUE"""),1.0)</f>
        <v>1</v>
      </c>
      <c r="U9550" s="4" t="str">
        <f>IFERROR(__xludf.DUMMYFUNCTION("""COMPUTED_VALUE"""),"N/A (Not found)")</f>
        <v>N/A (Not found)</v>
      </c>
      <c r="V9550" s="33">
        <f>IFERROR(__xludf.DUMMYFUNCTION("""COMPUTED_VALUE"""),1.0)</f>
        <v>1</v>
      </c>
      <c r="W9550" s="4" t="str">
        <f>IFERROR(__xludf.DUMMYFUNCTION("""COMPUTED_VALUE"""),"N/A (Not found)")</f>
        <v>N/A (Not found)</v>
      </c>
      <c r="X9550" s="33">
        <f>IFERROR(__xludf.DUMMYFUNCTION("""COMPUTED_VALUE"""),1.0)</f>
        <v>1</v>
      </c>
    </row>
    <row r="9551">
      <c r="K9551" s="4" t="str">
        <f>IFERROR(__xludf.DUMMYFUNCTION("""COMPUTED_VALUE"""),"DIVINA DELICIAS-DOCES E SALGADOS")</f>
        <v>DIVINA DELICIAS-DOCES E SALGADOS</v>
      </c>
      <c r="L9551" s="32">
        <f>IFERROR(__xludf.DUMMYFUNCTION("""COMPUTED_VALUE"""),1.0)</f>
        <v>1</v>
      </c>
      <c r="M9551" s="4" t="str">
        <f>IFERROR(__xludf.DUMMYFUNCTION("""COMPUTED_VALUE"""),"Instadelivery")</f>
        <v>Instadelivery</v>
      </c>
      <c r="N9551" s="33">
        <f>IFERROR(__xludf.DUMMYFUNCTION("""COMPUTED_VALUE"""),1.0)</f>
        <v>1</v>
      </c>
      <c r="O9551" s="4" t="str">
        <f>IFERROR(__xludf.DUMMYFUNCTION("""COMPUTED_VALUE"""),"null")</f>
        <v>null</v>
      </c>
      <c r="P9551" s="33">
        <f>IFERROR(__xludf.DUMMYFUNCTION("""COMPUTED_VALUE"""),1.0)</f>
        <v>1</v>
      </c>
      <c r="Q9551" s="4" t="str">
        <f>IFERROR(__xludf.DUMMYFUNCTION("""COMPUTED_VALUE"""),"null")</f>
        <v>null</v>
      </c>
      <c r="R9551" s="33">
        <f>IFERROR(__xludf.DUMMYFUNCTION("""COMPUTED_VALUE"""),1.0)</f>
        <v>1</v>
      </c>
      <c r="S9551" s="4" t="str">
        <f>IFERROR(__xludf.DUMMYFUNCTION("""COMPUTED_VALUE"""),"Instadelivery")</f>
        <v>Instadelivery</v>
      </c>
      <c r="T9551" s="33">
        <f>IFERROR(__xludf.DUMMYFUNCTION("""COMPUTED_VALUE"""),1.0)</f>
        <v>1</v>
      </c>
      <c r="U9551" s="4" t="str">
        <f>IFERROR(__xludf.DUMMYFUNCTION("""COMPUTED_VALUE"""),"Instadelivery")</f>
        <v>Instadelivery</v>
      </c>
      <c r="V9551" s="33">
        <f>IFERROR(__xludf.DUMMYFUNCTION("""COMPUTED_VALUE"""),1.0)</f>
        <v>1</v>
      </c>
      <c r="W9551" s="4" t="str">
        <f>IFERROR(__xludf.DUMMYFUNCTION("""COMPUTED_VALUE"""),"Instadelivery")</f>
        <v>Instadelivery</v>
      </c>
      <c r="X9551" s="33">
        <f>IFERROR(__xludf.DUMMYFUNCTION("""COMPUTED_VALUE"""),1.0)</f>
        <v>1</v>
      </c>
    </row>
    <row r="9552">
      <c r="K9552" s="4" t="str">
        <f>IFERROR(__xludf.DUMMYFUNCTION("""COMPUTED_VALUE"""),"BAZINGA - PIZZAS E ESFIHAS")</f>
        <v>BAZINGA - PIZZAS E ESFIHAS</v>
      </c>
      <c r="L9552" s="32">
        <f>IFERROR(__xludf.DUMMYFUNCTION("""COMPUTED_VALUE"""),1.0)</f>
        <v>1</v>
      </c>
      <c r="M9552" s="4" t="str">
        <f>IFERROR(__xludf.DUMMYFUNCTION("""COMPUTED_VALUE"""),"Cardápio Web")</f>
        <v>Cardápio Web</v>
      </c>
      <c r="N9552" s="33">
        <f>IFERROR(__xludf.DUMMYFUNCTION("""COMPUTED_VALUE"""),1.0)</f>
        <v>1</v>
      </c>
      <c r="O9552" s="4" t="str">
        <f>IFERROR(__xludf.DUMMYFUNCTION("""COMPUTED_VALUE"""),"Cardápio Web")</f>
        <v>Cardápio Web</v>
      </c>
      <c r="P9552" s="33">
        <f>IFERROR(__xludf.DUMMYFUNCTION("""COMPUTED_VALUE"""),1.0)</f>
        <v>1</v>
      </c>
      <c r="Q9552" s="4" t="str">
        <f>IFERROR(__xludf.DUMMYFUNCTION("""COMPUTED_VALUE"""),"Cardápio Web")</f>
        <v>Cardápio Web</v>
      </c>
      <c r="R9552" s="33">
        <f>IFERROR(__xludf.DUMMYFUNCTION("""COMPUTED_VALUE"""),1.0)</f>
        <v>1</v>
      </c>
      <c r="S9552" s="4" t="str">
        <f>IFERROR(__xludf.DUMMYFUNCTION("""COMPUTED_VALUE"""),"Cardápio Web")</f>
        <v>Cardápio Web</v>
      </c>
      <c r="T9552" s="33">
        <f>IFERROR(__xludf.DUMMYFUNCTION("""COMPUTED_VALUE"""),1.0)</f>
        <v>1</v>
      </c>
      <c r="U9552" s="4" t="str">
        <f>IFERROR(__xludf.DUMMYFUNCTION("""COMPUTED_VALUE"""),"Cardápio Web")</f>
        <v>Cardápio Web</v>
      </c>
      <c r="V9552" s="33">
        <f>IFERROR(__xludf.DUMMYFUNCTION("""COMPUTED_VALUE"""),1.0)</f>
        <v>1</v>
      </c>
      <c r="W9552" s="4" t="str">
        <f>IFERROR(__xludf.DUMMYFUNCTION("""COMPUTED_VALUE"""),"Cardápio Web")</f>
        <v>Cardápio Web</v>
      </c>
      <c r="X9552" s="33">
        <f>IFERROR(__xludf.DUMMYFUNCTION("""COMPUTED_VALUE"""),1.0)</f>
        <v>1</v>
      </c>
    </row>
    <row r="9553">
      <c r="K9553" s="4" t="str">
        <f>IFERROR(__xludf.DUMMYFUNCTION("""COMPUTED_VALUE"""),"J V ESPETOS")</f>
        <v>J V ESPETOS</v>
      </c>
      <c r="L9553" s="32">
        <f>IFERROR(__xludf.DUMMYFUNCTION("""COMPUTED_VALUE"""),1.0)</f>
        <v>1</v>
      </c>
      <c r="M9553" s="4" t="str">
        <f>IFERROR(__xludf.DUMMYFUNCTION("""COMPUTED_VALUE"""),"Datacaixa Pdv")</f>
        <v>Datacaixa Pdv</v>
      </c>
      <c r="N9553" s="33">
        <f>IFERROR(__xludf.DUMMYFUNCTION("""COMPUTED_VALUE"""),1.0)</f>
        <v>1</v>
      </c>
      <c r="O9553" s="4" t="str">
        <f>IFERROR(__xludf.DUMMYFUNCTION("""COMPUTED_VALUE"""),"null")</f>
        <v>null</v>
      </c>
      <c r="P9553" s="33">
        <f>IFERROR(__xludf.DUMMYFUNCTION("""COMPUTED_VALUE"""),1.0)</f>
        <v>1</v>
      </c>
      <c r="Q9553" s="4" t="str">
        <f>IFERROR(__xludf.DUMMYFUNCTION("""COMPUTED_VALUE"""),"Datacaixa Pdv")</f>
        <v>Datacaixa Pdv</v>
      </c>
      <c r="R9553" s="33">
        <f>IFERROR(__xludf.DUMMYFUNCTION("""COMPUTED_VALUE"""),1.0)</f>
        <v>1</v>
      </c>
      <c r="S9553" s="4" t="str">
        <f>IFERROR(__xludf.DUMMYFUNCTION("""COMPUTED_VALUE"""),"null")</f>
        <v>null</v>
      </c>
      <c r="T9553" s="33">
        <f>IFERROR(__xludf.DUMMYFUNCTION("""COMPUTED_VALUE"""),1.0)</f>
        <v>1</v>
      </c>
      <c r="U9553" s="4" t="str">
        <f>IFERROR(__xludf.DUMMYFUNCTION("""COMPUTED_VALUE"""),"null")</f>
        <v>null</v>
      </c>
      <c r="V9553" s="33">
        <f>IFERROR(__xludf.DUMMYFUNCTION("""COMPUTED_VALUE"""),1.0)</f>
        <v>1</v>
      </c>
      <c r="W9553" s="4" t="str">
        <f>IFERROR(__xludf.DUMMYFUNCTION("""COMPUTED_VALUE"""),"null")</f>
        <v>null</v>
      </c>
      <c r="X9553" s="33">
        <f>IFERROR(__xludf.DUMMYFUNCTION("""COMPUTED_VALUE"""),1.0)</f>
        <v>1</v>
      </c>
    </row>
    <row r="9554">
      <c r="K9554" s="4" t="str">
        <f>IFERROR(__xludf.DUMMYFUNCTION("""COMPUTED_VALUE"""),"RESTAURANTE TALON")</f>
        <v>RESTAURANTE TALON</v>
      </c>
      <c r="L9554" s="32">
        <f>IFERROR(__xludf.DUMMYFUNCTION("""COMPUTED_VALUE"""),1.0)</f>
        <v>1</v>
      </c>
      <c r="M9554" s="4" t="str">
        <f>IFERROR(__xludf.DUMMYFUNCTION("""COMPUTED_VALUE"""),"Parseint Desenvolvimento De Sistemas Ltda")</f>
        <v>Parseint Desenvolvimento De Sistemas Ltda</v>
      </c>
      <c r="N9554" s="33">
        <f>IFERROR(__xludf.DUMMYFUNCTION("""COMPUTED_VALUE"""),1.0)</f>
        <v>1</v>
      </c>
      <c r="O9554" s="4" t="str">
        <f>IFERROR(__xludf.DUMMYFUNCTION("""COMPUTED_VALUE"""),"Parseint Desenvolvimento De Sistemas Ltda")</f>
        <v>Parseint Desenvolvimento De Sistemas Ltda</v>
      </c>
      <c r="P9554" s="33">
        <f>IFERROR(__xludf.DUMMYFUNCTION("""COMPUTED_VALUE"""),1.0)</f>
        <v>1</v>
      </c>
      <c r="Q9554" s="4" t="str">
        <f>IFERROR(__xludf.DUMMYFUNCTION("""COMPUTED_VALUE"""),"null")</f>
        <v>null</v>
      </c>
      <c r="R9554" s="33">
        <f>IFERROR(__xludf.DUMMYFUNCTION("""COMPUTED_VALUE"""),1.0)</f>
        <v>1</v>
      </c>
      <c r="S9554" s="4" t="str">
        <f>IFERROR(__xludf.DUMMYFUNCTION("""COMPUTED_VALUE"""),"Parseint Desenvolvimento De Sistemas Ltda")</f>
        <v>Parseint Desenvolvimento De Sistemas Ltda</v>
      </c>
      <c r="T9554" s="33">
        <f>IFERROR(__xludf.DUMMYFUNCTION("""COMPUTED_VALUE"""),1.0)</f>
        <v>1</v>
      </c>
      <c r="U9554" s="4" t="str">
        <f>IFERROR(__xludf.DUMMYFUNCTION("""COMPUTED_VALUE"""),"null")</f>
        <v>null</v>
      </c>
      <c r="V9554" s="33">
        <f>IFERROR(__xludf.DUMMYFUNCTION("""COMPUTED_VALUE"""),1.0)</f>
        <v>1</v>
      </c>
      <c r="W9554" s="4" t="str">
        <f>IFERROR(__xludf.DUMMYFUNCTION("""COMPUTED_VALUE"""),"Parseint Desenvolvimento De Sistemas Ltda")</f>
        <v>Parseint Desenvolvimento De Sistemas Ltda</v>
      </c>
      <c r="X9554" s="33">
        <f>IFERROR(__xludf.DUMMYFUNCTION("""COMPUTED_VALUE"""),1.0)</f>
        <v>1</v>
      </c>
    </row>
    <row r="9555">
      <c r="K9555" s="4" t="str">
        <f>IFERROR(__xludf.DUMMYFUNCTION("""COMPUTED_VALUE"""),"TA NO PRATO")</f>
        <v>TA NO PRATO</v>
      </c>
      <c r="L9555" s="32">
        <f>IFERROR(__xludf.DUMMYFUNCTION("""COMPUTED_VALUE"""),1.0)</f>
        <v>1</v>
      </c>
      <c r="M9555" s="4" t="str">
        <f>IFERROR(__xludf.DUMMYFUNCTION("""COMPUTED_VALUE"""),"Saipos Serviços De Software")</f>
        <v>Saipos Serviços De Software</v>
      </c>
      <c r="N9555" s="33">
        <f>IFERROR(__xludf.DUMMYFUNCTION("""COMPUTED_VALUE"""),1.0)</f>
        <v>1</v>
      </c>
      <c r="O9555" s="4" t="str">
        <f>IFERROR(__xludf.DUMMYFUNCTION("""COMPUTED_VALUE"""),"Saipos Serviços De Software")</f>
        <v>Saipos Serviços De Software</v>
      </c>
      <c r="P9555" s="33">
        <f>IFERROR(__xludf.DUMMYFUNCTION("""COMPUTED_VALUE"""),1.0)</f>
        <v>1</v>
      </c>
      <c r="Q9555" s="4" t="str">
        <f>IFERROR(__xludf.DUMMYFUNCTION("""COMPUTED_VALUE"""),"Saipos Serviços De Software")</f>
        <v>Saipos Serviços De Software</v>
      </c>
      <c r="R9555" s="33">
        <f>IFERROR(__xludf.DUMMYFUNCTION("""COMPUTED_VALUE"""),1.0)</f>
        <v>1</v>
      </c>
      <c r="S9555" s="4" t="str">
        <f>IFERROR(__xludf.DUMMYFUNCTION("""COMPUTED_VALUE"""),"null")</f>
        <v>null</v>
      </c>
      <c r="T9555" s="33">
        <f>IFERROR(__xludf.DUMMYFUNCTION("""COMPUTED_VALUE"""),1.0)</f>
        <v>1</v>
      </c>
      <c r="U9555" s="4" t="str">
        <f>IFERROR(__xludf.DUMMYFUNCTION("""COMPUTED_VALUE"""),"Saipos Serviços De Software")</f>
        <v>Saipos Serviços De Software</v>
      </c>
      <c r="V9555" s="33">
        <f>IFERROR(__xludf.DUMMYFUNCTION("""COMPUTED_VALUE"""),1.0)</f>
        <v>1</v>
      </c>
      <c r="W9555" s="4" t="str">
        <f>IFERROR(__xludf.DUMMYFUNCTION("""COMPUTED_VALUE"""),"null")</f>
        <v>null</v>
      </c>
      <c r="X9555" s="33">
        <f>IFERROR(__xludf.DUMMYFUNCTION("""COMPUTED_VALUE"""),1.0)</f>
        <v>1</v>
      </c>
    </row>
    <row r="9556">
      <c r="K9556" s="4" t="str">
        <f>IFERROR(__xludf.DUMMYFUNCTION("""COMPUTED_VALUE"""),"FORT ACAI ABOLICAO")</f>
        <v>FORT ACAI ABOLICAO</v>
      </c>
      <c r="L9556" s="32">
        <f>IFERROR(__xludf.DUMMYFUNCTION("""COMPUTED_VALUE"""),1.0)</f>
        <v>1</v>
      </c>
      <c r="M9556" s="4" t="str">
        <f>IFERROR(__xludf.DUMMYFUNCTION("""COMPUTED_VALUE"""),"Cardápio Web")</f>
        <v>Cardápio Web</v>
      </c>
      <c r="N9556" s="33">
        <f>IFERROR(__xludf.DUMMYFUNCTION("""COMPUTED_VALUE"""),1.0)</f>
        <v>1</v>
      </c>
      <c r="O9556" s="4" t="str">
        <f>IFERROR(__xludf.DUMMYFUNCTION("""COMPUTED_VALUE"""),"Cardápio Web")</f>
        <v>Cardápio Web</v>
      </c>
      <c r="P9556" s="33">
        <f>IFERROR(__xludf.DUMMYFUNCTION("""COMPUTED_VALUE"""),1.0)</f>
        <v>1</v>
      </c>
      <c r="Q9556" s="4" t="str">
        <f>IFERROR(__xludf.DUMMYFUNCTION("""COMPUTED_VALUE"""),"Cardápio Web")</f>
        <v>Cardápio Web</v>
      </c>
      <c r="R9556" s="33">
        <f>IFERROR(__xludf.DUMMYFUNCTION("""COMPUTED_VALUE"""),1.0)</f>
        <v>1</v>
      </c>
      <c r="S9556" s="4" t="str">
        <f>IFERROR(__xludf.DUMMYFUNCTION("""COMPUTED_VALUE"""),"Cardápio Web")</f>
        <v>Cardápio Web</v>
      </c>
      <c r="T9556" s="33">
        <f>IFERROR(__xludf.DUMMYFUNCTION("""COMPUTED_VALUE"""),1.0)</f>
        <v>1</v>
      </c>
      <c r="U9556" s="4" t="str">
        <f>IFERROR(__xludf.DUMMYFUNCTION("""COMPUTED_VALUE"""),"Cardápio Web")</f>
        <v>Cardápio Web</v>
      </c>
      <c r="V9556" s="33">
        <f>IFERROR(__xludf.DUMMYFUNCTION("""COMPUTED_VALUE"""),1.0)</f>
        <v>1</v>
      </c>
      <c r="W9556" s="4" t="str">
        <f>IFERROR(__xludf.DUMMYFUNCTION("""COMPUTED_VALUE"""),"Cardápio Web")</f>
        <v>Cardápio Web</v>
      </c>
      <c r="X9556" s="33">
        <f>IFERROR(__xludf.DUMMYFUNCTION("""COMPUTED_VALUE"""),1.0)</f>
        <v>1</v>
      </c>
    </row>
    <row r="9557">
      <c r="K9557" s="4" t="str">
        <f>IFERROR(__xludf.DUMMYFUNCTION("""COMPUTED_VALUE"""),"ALL MARKET VILLE")</f>
        <v>ALL MARKET VILLE</v>
      </c>
      <c r="L9557" s="32">
        <f>IFERROR(__xludf.DUMMYFUNCTION("""COMPUTED_VALUE"""),1.0)</f>
        <v>1</v>
      </c>
      <c r="M9557" s="4" t="str">
        <f>IFERROR(__xludf.DUMMYFUNCTION("""COMPUTED_VALUE"""),"null")</f>
        <v>null</v>
      </c>
      <c r="N9557" s="33">
        <f>IFERROR(__xludf.DUMMYFUNCTION("""COMPUTED_VALUE"""),1.0)</f>
        <v>1</v>
      </c>
      <c r="O9557" s="4" t="str">
        <f>IFERROR(__xludf.DUMMYFUNCTION("""COMPUTED_VALUE"""),"null")</f>
        <v>null</v>
      </c>
      <c r="P9557" s="33">
        <f>IFERROR(__xludf.DUMMYFUNCTION("""COMPUTED_VALUE"""),1.0)</f>
        <v>1</v>
      </c>
      <c r="Q9557" s="4" t="str">
        <f>IFERROR(__xludf.DUMMYFUNCTION("""COMPUTED_VALUE"""),"null")</f>
        <v>null</v>
      </c>
      <c r="R9557" s="33">
        <f>IFERROR(__xludf.DUMMYFUNCTION("""COMPUTED_VALUE"""),1.0)</f>
        <v>1</v>
      </c>
      <c r="S9557" s="4" t="str">
        <f>IFERROR(__xludf.DUMMYFUNCTION("""COMPUTED_VALUE"""),"null")</f>
        <v>null</v>
      </c>
      <c r="T9557" s="33">
        <f>IFERROR(__xludf.DUMMYFUNCTION("""COMPUTED_VALUE"""),1.0)</f>
        <v>1</v>
      </c>
      <c r="U9557" s="4" t="str">
        <f>IFERROR(__xludf.DUMMYFUNCTION("""COMPUTED_VALUE"""),"N/A (Not found)")</f>
        <v>N/A (Not found)</v>
      </c>
      <c r="V9557" s="33">
        <f>IFERROR(__xludf.DUMMYFUNCTION("""COMPUTED_VALUE"""),1.0)</f>
        <v>1</v>
      </c>
      <c r="W9557" s="4" t="str">
        <f>IFERROR(__xludf.DUMMYFUNCTION("""COMPUTED_VALUE"""),"N/A (Not found)")</f>
        <v>N/A (Not found)</v>
      </c>
      <c r="X9557" s="33">
        <f>IFERROR(__xludf.DUMMYFUNCTION("""COMPUTED_VALUE"""),1.0)</f>
        <v>1</v>
      </c>
    </row>
    <row r="9558">
      <c r="K9558" s="4" t="str">
        <f>IFERROR(__xludf.DUMMYFUNCTION("""COMPUTED_VALUE"""),"DIVINUS PASTEL")</f>
        <v>DIVINUS PASTEL</v>
      </c>
      <c r="L9558" s="32">
        <f>IFERROR(__xludf.DUMMYFUNCTION("""COMPUTED_VALUE"""),1.0)</f>
        <v>1</v>
      </c>
      <c r="M9558" s="4" t="str">
        <f>IFERROR(__xludf.DUMMYFUNCTION("""COMPUTED_VALUE"""),"Saipos Serviços De Software")</f>
        <v>Saipos Serviços De Software</v>
      </c>
      <c r="N9558" s="33">
        <f>IFERROR(__xludf.DUMMYFUNCTION("""COMPUTED_VALUE"""),1.0)</f>
        <v>1</v>
      </c>
      <c r="O9558" s="4" t="str">
        <f>IFERROR(__xludf.DUMMYFUNCTION("""COMPUTED_VALUE"""),"Saipos Serviços De Software")</f>
        <v>Saipos Serviços De Software</v>
      </c>
      <c r="P9558" s="33">
        <f>IFERROR(__xludf.DUMMYFUNCTION("""COMPUTED_VALUE"""),1.0)</f>
        <v>1</v>
      </c>
      <c r="Q9558" s="4" t="str">
        <f>IFERROR(__xludf.DUMMYFUNCTION("""COMPUTED_VALUE"""),"Saipos Serviços De Software")</f>
        <v>Saipos Serviços De Software</v>
      </c>
      <c r="R9558" s="33">
        <f>IFERROR(__xludf.DUMMYFUNCTION("""COMPUTED_VALUE"""),1.0)</f>
        <v>1</v>
      </c>
      <c r="S9558" s="4" t="str">
        <f>IFERROR(__xludf.DUMMYFUNCTION("""COMPUTED_VALUE"""),"Saipos Serviços De Software")</f>
        <v>Saipos Serviços De Software</v>
      </c>
      <c r="T9558" s="33">
        <f>IFERROR(__xludf.DUMMYFUNCTION("""COMPUTED_VALUE"""),1.0)</f>
        <v>1</v>
      </c>
      <c r="U9558" s="4" t="str">
        <f>IFERROR(__xludf.DUMMYFUNCTION("""COMPUTED_VALUE"""),"Saipos Serviços De Software")</f>
        <v>Saipos Serviços De Software</v>
      </c>
      <c r="V9558" s="33">
        <f>IFERROR(__xludf.DUMMYFUNCTION("""COMPUTED_VALUE"""),1.0)</f>
        <v>1</v>
      </c>
      <c r="W9558" s="4" t="str">
        <f>IFERROR(__xludf.DUMMYFUNCTION("""COMPUTED_VALUE"""),"Saipos Serviços De Software")</f>
        <v>Saipos Serviços De Software</v>
      </c>
      <c r="X9558" s="33">
        <f>IFERROR(__xludf.DUMMYFUNCTION("""COMPUTED_VALUE"""),1.0)</f>
        <v>1</v>
      </c>
    </row>
    <row r="9559">
      <c r="K9559" s="4" t="str">
        <f>IFERROR(__xludf.DUMMYFUNCTION("""COMPUTED_VALUE"""),"UP ACAI ASSIS")</f>
        <v>UP ACAI ASSIS</v>
      </c>
      <c r="L9559" s="32">
        <f>IFERROR(__xludf.DUMMYFUNCTION("""COMPUTED_VALUE"""),1.0)</f>
        <v>1</v>
      </c>
      <c r="M9559" s="4" t="str">
        <f>IFERROR(__xludf.DUMMYFUNCTION("""COMPUTED_VALUE"""),"null")</f>
        <v>null</v>
      </c>
      <c r="N9559" s="33">
        <f>IFERROR(__xludf.DUMMYFUNCTION("""COMPUTED_VALUE"""),1.0)</f>
        <v>1</v>
      </c>
      <c r="O9559" s="4" t="str">
        <f>IFERROR(__xludf.DUMMYFUNCTION("""COMPUTED_VALUE"""),"null")</f>
        <v>null</v>
      </c>
      <c r="P9559" s="33">
        <f>IFERROR(__xludf.DUMMYFUNCTION("""COMPUTED_VALUE"""),1.0)</f>
        <v>1</v>
      </c>
      <c r="Q9559" s="4" t="str">
        <f>IFERROR(__xludf.DUMMYFUNCTION("""COMPUTED_VALUE"""),"null")</f>
        <v>null</v>
      </c>
      <c r="R9559" s="33">
        <f>IFERROR(__xludf.DUMMYFUNCTION("""COMPUTED_VALUE"""),1.0)</f>
        <v>1</v>
      </c>
      <c r="S9559" s="4" t="str">
        <f>IFERROR(__xludf.DUMMYFUNCTION("""COMPUTED_VALUE"""),"Yooga")</f>
        <v>Yooga</v>
      </c>
      <c r="T9559" s="33">
        <f>IFERROR(__xludf.DUMMYFUNCTION("""COMPUTED_VALUE"""),1.0)</f>
        <v>1</v>
      </c>
      <c r="U9559" s="4" t="str">
        <f>IFERROR(__xludf.DUMMYFUNCTION("""COMPUTED_VALUE"""),"Yooga")</f>
        <v>Yooga</v>
      </c>
      <c r="V9559" s="33">
        <f>IFERROR(__xludf.DUMMYFUNCTION("""COMPUTED_VALUE"""),1.0)</f>
        <v>1</v>
      </c>
      <c r="W9559" s="4" t="str">
        <f>IFERROR(__xludf.DUMMYFUNCTION("""COMPUTED_VALUE"""),"Yooga")</f>
        <v>Yooga</v>
      </c>
      <c r="X9559" s="33">
        <f>IFERROR(__xludf.DUMMYFUNCTION("""COMPUTED_VALUE"""),1.0)</f>
        <v>1</v>
      </c>
    </row>
    <row r="9560">
      <c r="K9560" s="4" t="str">
        <f>IFERROR(__xludf.DUMMYFUNCTION("""COMPUTED_VALUE"""),"LE FARMA NUTRICAO E PRODUTOS PARA SAUDE")</f>
        <v>LE FARMA NUTRICAO E PRODUTOS PARA SAUDE</v>
      </c>
      <c r="L9560" s="32">
        <f>IFERROR(__xludf.DUMMYFUNCTION("""COMPUTED_VALUE"""),1.0)</f>
        <v>1</v>
      </c>
      <c r="M9560" s="4" t="str">
        <f>IFERROR(__xludf.DUMMYFUNCTION("""COMPUTED_VALUE"""),"N/A (Not found)")</f>
        <v>N/A (Not found)</v>
      </c>
      <c r="N9560" s="33">
        <f>IFERROR(__xludf.DUMMYFUNCTION("""COMPUTED_VALUE"""),1.0)</f>
        <v>1</v>
      </c>
      <c r="O9560" s="4" t="str">
        <f>IFERROR(__xludf.DUMMYFUNCTION("""COMPUTED_VALUE"""),"N/A (Not found)")</f>
        <v>N/A (Not found)</v>
      </c>
      <c r="P9560" s="33">
        <f>IFERROR(__xludf.DUMMYFUNCTION("""COMPUTED_VALUE"""),1.0)</f>
        <v>1</v>
      </c>
      <c r="Q9560" s="4" t="str">
        <f>IFERROR(__xludf.DUMMYFUNCTION("""COMPUTED_VALUE"""),"null")</f>
        <v>null</v>
      </c>
      <c r="R9560" s="33">
        <f>IFERROR(__xludf.DUMMYFUNCTION("""COMPUTED_VALUE"""),1.0)</f>
        <v>1</v>
      </c>
      <c r="S9560" s="4" t="str">
        <f>IFERROR(__xludf.DUMMYFUNCTION("""COMPUTED_VALUE"""),"N/A (Not found)")</f>
        <v>N/A (Not found)</v>
      </c>
      <c r="T9560" s="33">
        <f>IFERROR(__xludf.DUMMYFUNCTION("""COMPUTED_VALUE"""),1.0)</f>
        <v>1</v>
      </c>
      <c r="U9560" s="4" t="str">
        <f>IFERROR(__xludf.DUMMYFUNCTION("""COMPUTED_VALUE"""),"N/A (Not found)")</f>
        <v>N/A (Not found)</v>
      </c>
      <c r="V9560" s="33">
        <f>IFERROR(__xludf.DUMMYFUNCTION("""COMPUTED_VALUE"""),1.0)</f>
        <v>1</v>
      </c>
      <c r="W9560" s="4" t="str">
        <f>IFERROR(__xludf.DUMMYFUNCTION("""COMPUTED_VALUE"""),"N/A (Not found)")</f>
        <v>N/A (Not found)</v>
      </c>
      <c r="X9560" s="33">
        <f>IFERROR(__xludf.DUMMYFUNCTION("""COMPUTED_VALUE"""),1.0)</f>
        <v>1</v>
      </c>
    </row>
    <row r="9561">
      <c r="K9561" s="4" t="str">
        <f>IFERROR(__xludf.DUMMYFUNCTION("""COMPUTED_VALUE"""),"VASCONCELOS BURGUER NA BRASA")</f>
        <v>VASCONCELOS BURGUER NA BRASA</v>
      </c>
      <c r="L9561" s="32">
        <f>IFERROR(__xludf.DUMMYFUNCTION("""COMPUTED_VALUE"""),1.0)</f>
        <v>1</v>
      </c>
      <c r="M9561" s="4" t="str">
        <f>IFERROR(__xludf.DUMMYFUNCTION("""COMPUTED_VALUE"""),"null")</f>
        <v>null</v>
      </c>
      <c r="N9561" s="33">
        <f>IFERROR(__xludf.DUMMYFUNCTION("""COMPUTED_VALUE"""),1.0)</f>
        <v>1</v>
      </c>
      <c r="O9561" s="4" t="str">
        <f>IFERROR(__xludf.DUMMYFUNCTION("""COMPUTED_VALUE"""),"null")</f>
        <v>null</v>
      </c>
      <c r="P9561" s="33">
        <f>IFERROR(__xludf.DUMMYFUNCTION("""COMPUTED_VALUE"""),1.0)</f>
        <v>1</v>
      </c>
      <c r="Q9561" s="4" t="str">
        <f>IFERROR(__xludf.DUMMYFUNCTION("""COMPUTED_VALUE"""),"null")</f>
        <v>null</v>
      </c>
      <c r="R9561" s="33">
        <f>IFERROR(__xludf.DUMMYFUNCTION("""COMPUTED_VALUE"""),1.0)</f>
        <v>1</v>
      </c>
      <c r="S9561" s="4" t="str">
        <f>IFERROR(__xludf.DUMMYFUNCTION("""COMPUTED_VALUE"""),"Brendi")</f>
        <v>Brendi</v>
      </c>
      <c r="T9561" s="33">
        <f>IFERROR(__xludf.DUMMYFUNCTION("""COMPUTED_VALUE"""),1.0)</f>
        <v>1</v>
      </c>
      <c r="U9561" s="4" t="str">
        <f>IFERROR(__xludf.DUMMYFUNCTION("""COMPUTED_VALUE"""),"Brendi")</f>
        <v>Brendi</v>
      </c>
      <c r="V9561" s="33">
        <f>IFERROR(__xludf.DUMMYFUNCTION("""COMPUTED_VALUE"""),1.0)</f>
        <v>1</v>
      </c>
      <c r="W9561" s="4" t="str">
        <f>IFERROR(__xludf.DUMMYFUNCTION("""COMPUTED_VALUE"""),"Brendi")</f>
        <v>Brendi</v>
      </c>
      <c r="X9561" s="33">
        <f>IFERROR(__xludf.DUMMYFUNCTION("""COMPUTED_VALUE"""),1.0)</f>
        <v>1</v>
      </c>
    </row>
    <row r="9562">
      <c r="K9562" s="4" t="str">
        <f>IFERROR(__xludf.DUMMYFUNCTION("""COMPUTED_VALUE"""),"FLORICULTURA FLORA DEDO VERDE")</f>
        <v>FLORICULTURA FLORA DEDO VERDE</v>
      </c>
      <c r="L9562" s="32">
        <f>IFERROR(__xludf.DUMMYFUNCTION("""COMPUTED_VALUE"""),1.0)</f>
        <v>1</v>
      </c>
      <c r="M9562" s="4" t="str">
        <f>IFERROR(__xludf.DUMMYFUNCTION("""COMPUTED_VALUE"""),"null")</f>
        <v>null</v>
      </c>
      <c r="N9562" s="33">
        <f>IFERROR(__xludf.DUMMYFUNCTION("""COMPUTED_VALUE"""),1.0)</f>
        <v>1</v>
      </c>
      <c r="O9562" s="4" t="str">
        <f>IFERROR(__xludf.DUMMYFUNCTION("""COMPUTED_VALUE"""),"null")</f>
        <v>null</v>
      </c>
      <c r="P9562" s="33">
        <f>IFERROR(__xludf.DUMMYFUNCTION("""COMPUTED_VALUE"""),1.0)</f>
        <v>1</v>
      </c>
      <c r="Q9562" s="4" t="str">
        <f>IFERROR(__xludf.DUMMYFUNCTION("""COMPUTED_VALUE"""),"null")</f>
        <v>null</v>
      </c>
      <c r="R9562" s="33">
        <f>IFERROR(__xludf.DUMMYFUNCTION("""COMPUTED_VALUE"""),1.0)</f>
        <v>1</v>
      </c>
      <c r="S9562" s="4" t="str">
        <f>IFERROR(__xludf.DUMMYFUNCTION("""COMPUTED_VALUE"""),"null")</f>
        <v>null</v>
      </c>
      <c r="T9562" s="33">
        <f>IFERROR(__xludf.DUMMYFUNCTION("""COMPUTED_VALUE"""),1.0)</f>
        <v>1</v>
      </c>
      <c r="U9562" s="4" t="str">
        <f>IFERROR(__xludf.DUMMYFUNCTION("""COMPUTED_VALUE"""),"null")</f>
        <v>null</v>
      </c>
      <c r="V9562" s="33">
        <f>IFERROR(__xludf.DUMMYFUNCTION("""COMPUTED_VALUE"""),1.0)</f>
        <v>1</v>
      </c>
      <c r="W9562" s="4" t="str">
        <f>IFERROR(__xludf.DUMMYFUNCTION("""COMPUTED_VALUE"""),"N/A (Not found)")</f>
        <v>N/A (Not found)</v>
      </c>
      <c r="X9562" s="33">
        <f>IFERROR(__xludf.DUMMYFUNCTION("""COMPUTED_VALUE"""),1.0)</f>
        <v>1</v>
      </c>
    </row>
    <row r="9563">
      <c r="K9563" s="4" t="str">
        <f>IFERROR(__xludf.DUMMYFUNCTION("""COMPUTED_VALUE"""),"DROGARIA MAIS BARATO VICENTE DE CARVALHO")</f>
        <v>DROGARIA MAIS BARATO VICENTE DE CARVALHO</v>
      </c>
      <c r="L9563" s="32">
        <f>IFERROR(__xludf.DUMMYFUNCTION("""COMPUTED_VALUE"""),1.0)</f>
        <v>1</v>
      </c>
      <c r="M9563" s="4" t="str">
        <f>IFERROR(__xludf.DUMMYFUNCTION("""COMPUTED_VALUE"""),"null")</f>
        <v>null</v>
      </c>
      <c r="N9563" s="33">
        <f>IFERROR(__xludf.DUMMYFUNCTION("""COMPUTED_VALUE"""),1.0)</f>
        <v>1</v>
      </c>
      <c r="O9563" s="4" t="str">
        <f>IFERROR(__xludf.DUMMYFUNCTION("""COMPUTED_VALUE"""),"N/A (Not found)")</f>
        <v>N/A (Not found)</v>
      </c>
      <c r="P9563" s="33">
        <f>IFERROR(__xludf.DUMMYFUNCTION("""COMPUTED_VALUE"""),1.0)</f>
        <v>1</v>
      </c>
      <c r="Q9563" s="4" t="str">
        <f>IFERROR(__xludf.DUMMYFUNCTION("""COMPUTED_VALUE"""),"N/A (Not found)")</f>
        <v>N/A (Not found)</v>
      </c>
      <c r="R9563" s="33">
        <f>IFERROR(__xludf.DUMMYFUNCTION("""COMPUTED_VALUE"""),1.0)</f>
        <v>1</v>
      </c>
      <c r="S9563" s="4" t="str">
        <f>IFERROR(__xludf.DUMMYFUNCTION("""COMPUTED_VALUE"""),"N/A (Not found)")</f>
        <v>N/A (Not found)</v>
      </c>
      <c r="T9563" s="33">
        <f>IFERROR(__xludf.DUMMYFUNCTION("""COMPUTED_VALUE"""),1.0)</f>
        <v>1</v>
      </c>
      <c r="U9563" s="4" t="str">
        <f>IFERROR(__xludf.DUMMYFUNCTION("""COMPUTED_VALUE"""),"N/A (Not found)")</f>
        <v>N/A (Not found)</v>
      </c>
      <c r="V9563" s="33">
        <f>IFERROR(__xludf.DUMMYFUNCTION("""COMPUTED_VALUE"""),1.0)</f>
        <v>1</v>
      </c>
      <c r="W9563" s="4" t="str">
        <f>IFERROR(__xludf.DUMMYFUNCTION("""COMPUTED_VALUE"""),"N/A (Not found)")</f>
        <v>N/A (Not found)</v>
      </c>
      <c r="X9563" s="33">
        <f>IFERROR(__xludf.DUMMYFUNCTION("""COMPUTED_VALUE"""),1.0)</f>
        <v>1</v>
      </c>
    </row>
    <row r="9564">
      <c r="K9564" s="4" t="str">
        <f>IFERROR(__xludf.DUMMYFUNCTION("""COMPUTED_VALUE"""),"HICKS BURGER - JBF")</f>
        <v>HICKS BURGER - JBF</v>
      </c>
      <c r="L9564" s="32">
        <f>IFERROR(__xludf.DUMMYFUNCTION("""COMPUTED_VALUE"""),1.0)</f>
        <v>1</v>
      </c>
      <c r="M9564" s="4" t="str">
        <f>IFERROR(__xludf.DUMMYFUNCTION("""COMPUTED_VALUE"""),"Cardápio Web")</f>
        <v>Cardápio Web</v>
      </c>
      <c r="N9564" s="33">
        <f>IFERROR(__xludf.DUMMYFUNCTION("""COMPUTED_VALUE"""),1.0)</f>
        <v>1</v>
      </c>
      <c r="O9564" s="4" t="str">
        <f>IFERROR(__xludf.DUMMYFUNCTION("""COMPUTED_VALUE"""),"Cardápio Web")</f>
        <v>Cardápio Web</v>
      </c>
      <c r="P9564" s="33">
        <f>IFERROR(__xludf.DUMMYFUNCTION("""COMPUTED_VALUE"""),1.0)</f>
        <v>1</v>
      </c>
      <c r="Q9564" s="4" t="str">
        <f>IFERROR(__xludf.DUMMYFUNCTION("""COMPUTED_VALUE"""),"Cardápio Web")</f>
        <v>Cardápio Web</v>
      </c>
      <c r="R9564" s="33">
        <f>IFERROR(__xludf.DUMMYFUNCTION("""COMPUTED_VALUE"""),1.0)</f>
        <v>1</v>
      </c>
      <c r="S9564" s="4" t="str">
        <f>IFERROR(__xludf.DUMMYFUNCTION("""COMPUTED_VALUE"""),"null")</f>
        <v>null</v>
      </c>
      <c r="T9564" s="33">
        <f>IFERROR(__xludf.DUMMYFUNCTION("""COMPUTED_VALUE"""),1.0)</f>
        <v>1</v>
      </c>
      <c r="U9564" s="4" t="str">
        <f>IFERROR(__xludf.DUMMYFUNCTION("""COMPUTED_VALUE"""),"null")</f>
        <v>null</v>
      </c>
      <c r="V9564" s="33">
        <f>IFERROR(__xludf.DUMMYFUNCTION("""COMPUTED_VALUE"""),1.0)</f>
        <v>1</v>
      </c>
      <c r="W9564" s="4" t="str">
        <f>IFERROR(__xludf.DUMMYFUNCTION("""COMPUTED_VALUE"""),"null")</f>
        <v>null</v>
      </c>
      <c r="X9564" s="33">
        <f>IFERROR(__xludf.DUMMYFUNCTION("""COMPUTED_VALUE"""),1.0)</f>
        <v>1</v>
      </c>
    </row>
    <row r="9565">
      <c r="K9565" s="4" t="str">
        <f>IFERROR(__xludf.DUMMYFUNCTION("""COMPUTED_VALUE"""),"VIENA PIZZARIA, ESFIHA E RESTAURANTE")</f>
        <v>VIENA PIZZARIA, ESFIHA E RESTAURANTE</v>
      </c>
      <c r="L9565" s="32">
        <f>IFERROR(__xludf.DUMMYFUNCTION("""COMPUTED_VALUE"""),1.0)</f>
        <v>1</v>
      </c>
      <c r="M9565" s="4" t="str">
        <f>IFERROR(__xludf.DUMMYFUNCTION("""COMPUTED_VALUE"""),"null")</f>
        <v>null</v>
      </c>
      <c r="N9565" s="33">
        <f>IFERROR(__xludf.DUMMYFUNCTION("""COMPUTED_VALUE"""),1.0)</f>
        <v>1</v>
      </c>
      <c r="O9565" s="4" t="str">
        <f>IFERROR(__xludf.DUMMYFUNCTION("""COMPUTED_VALUE"""),"null")</f>
        <v>null</v>
      </c>
      <c r="P9565" s="33">
        <f>IFERROR(__xludf.DUMMYFUNCTION("""COMPUTED_VALUE"""),1.0)</f>
        <v>1</v>
      </c>
      <c r="Q9565" s="4" t="str">
        <f>IFERROR(__xludf.DUMMYFUNCTION("""COMPUTED_VALUE"""),"Saipos Serviços De Software")</f>
        <v>Saipos Serviços De Software</v>
      </c>
      <c r="R9565" s="33">
        <f>IFERROR(__xludf.DUMMYFUNCTION("""COMPUTED_VALUE"""),1.0)</f>
        <v>1</v>
      </c>
      <c r="S9565" s="4" t="str">
        <f>IFERROR(__xludf.DUMMYFUNCTION("""COMPUTED_VALUE"""),"Saipos Serviços De Software")</f>
        <v>Saipos Serviços De Software</v>
      </c>
      <c r="T9565" s="33">
        <f>IFERROR(__xludf.DUMMYFUNCTION("""COMPUTED_VALUE"""),1.0)</f>
        <v>1</v>
      </c>
      <c r="U9565" s="4" t="str">
        <f>IFERROR(__xludf.DUMMYFUNCTION("""COMPUTED_VALUE"""),"Saipos Serviços De Software")</f>
        <v>Saipos Serviços De Software</v>
      </c>
      <c r="V9565" s="33">
        <f>IFERROR(__xludf.DUMMYFUNCTION("""COMPUTED_VALUE"""),1.0)</f>
        <v>1</v>
      </c>
      <c r="W9565" s="4" t="str">
        <f>IFERROR(__xludf.DUMMYFUNCTION("""COMPUTED_VALUE"""),"Saipos Serviços De Software")</f>
        <v>Saipos Serviços De Software</v>
      </c>
      <c r="X9565" s="33">
        <f>IFERROR(__xludf.DUMMYFUNCTION("""COMPUTED_VALUE"""),1.0)</f>
        <v>1</v>
      </c>
    </row>
    <row r="9566">
      <c r="K9566" s="4" t="str">
        <f>IFERROR(__xludf.DUMMYFUNCTION("""COMPUTED_VALUE"""),"PINK PET")</f>
        <v>PINK PET</v>
      </c>
      <c r="L9566" s="32">
        <f>IFERROR(__xludf.DUMMYFUNCTION("""COMPUTED_VALUE"""),1.0)</f>
        <v>1</v>
      </c>
      <c r="M9566" s="4" t="str">
        <f>IFERROR(__xludf.DUMMYFUNCTION("""COMPUTED_VALUE"""),"N/A (Not found)")</f>
        <v>N/A (Not found)</v>
      </c>
      <c r="N9566" s="33">
        <f>IFERROR(__xludf.DUMMYFUNCTION("""COMPUTED_VALUE"""),1.0)</f>
        <v>1</v>
      </c>
      <c r="O9566" s="4" t="str">
        <f>IFERROR(__xludf.DUMMYFUNCTION("""COMPUTED_VALUE"""),"N/A (Not found)")</f>
        <v>N/A (Not found)</v>
      </c>
      <c r="P9566" s="33">
        <f>IFERROR(__xludf.DUMMYFUNCTION("""COMPUTED_VALUE"""),1.0)</f>
        <v>1</v>
      </c>
      <c r="Q9566" s="4" t="str">
        <f>IFERROR(__xludf.DUMMYFUNCTION("""COMPUTED_VALUE"""),"null")</f>
        <v>null</v>
      </c>
      <c r="R9566" s="33">
        <f>IFERROR(__xludf.DUMMYFUNCTION("""COMPUTED_VALUE"""),1.0)</f>
        <v>1</v>
      </c>
      <c r="S9566" s="4" t="str">
        <f>IFERROR(__xludf.DUMMYFUNCTION("""COMPUTED_VALUE"""),"null")</f>
        <v>null</v>
      </c>
      <c r="T9566" s="33">
        <f>IFERROR(__xludf.DUMMYFUNCTION("""COMPUTED_VALUE"""),1.0)</f>
        <v>1</v>
      </c>
      <c r="U9566" s="4" t="str">
        <f>IFERROR(__xludf.DUMMYFUNCTION("""COMPUTED_VALUE"""),"N/A (Not found)")</f>
        <v>N/A (Not found)</v>
      </c>
      <c r="V9566" s="33">
        <f>IFERROR(__xludf.DUMMYFUNCTION("""COMPUTED_VALUE"""),1.0)</f>
        <v>1</v>
      </c>
      <c r="W9566" s="4" t="str">
        <f>IFERROR(__xludf.DUMMYFUNCTION("""COMPUTED_VALUE"""),"N/A (Not found)")</f>
        <v>N/A (Not found)</v>
      </c>
      <c r="X9566" s="33">
        <f>IFERROR(__xludf.DUMMYFUNCTION("""COMPUTED_VALUE"""),1.0)</f>
        <v>1</v>
      </c>
    </row>
    <row r="9567">
      <c r="K9567" s="4" t="str">
        <f>IFERROR(__xludf.DUMMYFUNCTION("""COMPUTED_VALUE"""),"REINO DO DOG - SENHOR DO BONFIM")</f>
        <v>REINO DO DOG - SENHOR DO BONFIM</v>
      </c>
      <c r="L9567" s="32">
        <f>IFERROR(__xludf.DUMMYFUNCTION("""COMPUTED_VALUE"""),1.0)</f>
        <v>1</v>
      </c>
      <c r="M9567" s="4" t="str">
        <f>IFERROR(__xludf.DUMMYFUNCTION("""COMPUTED_VALUE"""),"null")</f>
        <v>null</v>
      </c>
      <c r="N9567" s="33">
        <f>IFERROR(__xludf.DUMMYFUNCTION("""COMPUTED_VALUE"""),1.0)</f>
        <v>1</v>
      </c>
      <c r="O9567" s="4" t="str">
        <f>IFERROR(__xludf.DUMMYFUNCTION("""COMPUTED_VALUE"""),"null")</f>
        <v>null</v>
      </c>
      <c r="P9567" s="33">
        <f>IFERROR(__xludf.DUMMYFUNCTION("""COMPUTED_VALUE"""),1.0)</f>
        <v>1</v>
      </c>
      <c r="Q9567" s="4" t="str">
        <f>IFERROR(__xludf.DUMMYFUNCTION("""COMPUTED_VALUE"""),"Menew - Linx")</f>
        <v>Menew - Linx</v>
      </c>
      <c r="R9567" s="33">
        <f>IFERROR(__xludf.DUMMYFUNCTION("""COMPUTED_VALUE"""),1.0)</f>
        <v>1</v>
      </c>
      <c r="S9567" s="4" t="str">
        <f>IFERROR(__xludf.DUMMYFUNCTION("""COMPUTED_VALUE"""),"Menew - Linx")</f>
        <v>Menew - Linx</v>
      </c>
      <c r="T9567" s="33">
        <f>IFERROR(__xludf.DUMMYFUNCTION("""COMPUTED_VALUE"""),1.0)</f>
        <v>1</v>
      </c>
      <c r="U9567" s="4" t="str">
        <f>IFERROR(__xludf.DUMMYFUNCTION("""COMPUTED_VALUE"""),"Menew - Linx")</f>
        <v>Menew - Linx</v>
      </c>
      <c r="V9567" s="33">
        <f>IFERROR(__xludf.DUMMYFUNCTION("""COMPUTED_VALUE"""),1.0)</f>
        <v>1</v>
      </c>
      <c r="W9567" s="4" t="str">
        <f>IFERROR(__xludf.DUMMYFUNCTION("""COMPUTED_VALUE"""),"Menew - Linx")</f>
        <v>Menew - Linx</v>
      </c>
      <c r="X9567" s="33">
        <f>IFERROR(__xludf.DUMMYFUNCTION("""COMPUTED_VALUE"""),1.0)</f>
        <v>1</v>
      </c>
    </row>
    <row r="9568">
      <c r="K9568" s="4" t="str">
        <f>IFERROR(__xludf.DUMMYFUNCTION("""COMPUTED_VALUE"""),"YANES SWEETS")</f>
        <v>YANES SWEETS</v>
      </c>
      <c r="L9568" s="32">
        <f>IFERROR(__xludf.DUMMYFUNCTION("""COMPUTED_VALUE"""),1.0)</f>
        <v>1</v>
      </c>
      <c r="M9568" s="4" t="str">
        <f>IFERROR(__xludf.DUMMYFUNCTION("""COMPUTED_VALUE"""),"Instadelivery")</f>
        <v>Instadelivery</v>
      </c>
      <c r="N9568" s="33">
        <f>IFERROR(__xludf.DUMMYFUNCTION("""COMPUTED_VALUE"""),1.0)</f>
        <v>1</v>
      </c>
      <c r="O9568" s="4" t="str">
        <f>IFERROR(__xludf.DUMMYFUNCTION("""COMPUTED_VALUE"""),"Instadelivery")</f>
        <v>Instadelivery</v>
      </c>
      <c r="P9568" s="33">
        <f>IFERROR(__xludf.DUMMYFUNCTION("""COMPUTED_VALUE"""),1.0)</f>
        <v>1</v>
      </c>
      <c r="Q9568" s="4" t="str">
        <f>IFERROR(__xludf.DUMMYFUNCTION("""COMPUTED_VALUE"""),"Instadelivery")</f>
        <v>Instadelivery</v>
      </c>
      <c r="R9568" s="33">
        <f>IFERROR(__xludf.DUMMYFUNCTION("""COMPUTED_VALUE"""),1.0)</f>
        <v>1</v>
      </c>
      <c r="S9568" s="4" t="str">
        <f>IFERROR(__xludf.DUMMYFUNCTION("""COMPUTED_VALUE"""),"null")</f>
        <v>null</v>
      </c>
      <c r="T9568" s="33">
        <f>IFERROR(__xludf.DUMMYFUNCTION("""COMPUTED_VALUE"""),1.0)</f>
        <v>1</v>
      </c>
      <c r="U9568" s="4" t="str">
        <f>IFERROR(__xludf.DUMMYFUNCTION("""COMPUTED_VALUE"""),"null")</f>
        <v>null</v>
      </c>
      <c r="V9568" s="33">
        <f>IFERROR(__xludf.DUMMYFUNCTION("""COMPUTED_VALUE"""),1.0)</f>
        <v>1</v>
      </c>
      <c r="W9568" s="4" t="str">
        <f>IFERROR(__xludf.DUMMYFUNCTION("""COMPUTED_VALUE"""),"null")</f>
        <v>null</v>
      </c>
      <c r="X9568" s="33">
        <f>IFERROR(__xludf.DUMMYFUNCTION("""COMPUTED_VALUE"""),1.0)</f>
        <v>1</v>
      </c>
    </row>
    <row r="9569">
      <c r="K9569" s="4" t="str">
        <f>IFERROR(__xludf.DUMMYFUNCTION("""COMPUTED_VALUE"""),"VALE DO VINHO RESTAURANTE")</f>
        <v>VALE DO VINHO RESTAURANTE</v>
      </c>
      <c r="L9569" s="32">
        <f>IFERROR(__xludf.DUMMYFUNCTION("""COMPUTED_VALUE"""),1.0)</f>
        <v>1</v>
      </c>
      <c r="M9569" s="4" t="str">
        <f>IFERROR(__xludf.DUMMYFUNCTION("""COMPUTED_VALUE"""),"null")</f>
        <v>null</v>
      </c>
      <c r="N9569" s="33">
        <f>IFERROR(__xludf.DUMMYFUNCTION("""COMPUTED_VALUE"""),1.0)</f>
        <v>1</v>
      </c>
      <c r="O9569" s="4" t="str">
        <f>IFERROR(__xludf.DUMMYFUNCTION("""COMPUTED_VALUE"""),"null")</f>
        <v>null</v>
      </c>
      <c r="P9569" s="33">
        <f>IFERROR(__xludf.DUMMYFUNCTION("""COMPUTED_VALUE"""),1.0)</f>
        <v>1</v>
      </c>
      <c r="Q9569" s="4" t="str">
        <f>IFERROR(__xludf.DUMMYFUNCTION("""COMPUTED_VALUE"""),"null")</f>
        <v>null</v>
      </c>
      <c r="R9569" s="33">
        <f>IFERROR(__xludf.DUMMYFUNCTION("""COMPUTED_VALUE"""),1.0)</f>
        <v>1</v>
      </c>
      <c r="S9569" s="4" t="str">
        <f>IFERROR(__xludf.DUMMYFUNCTION("""COMPUTED_VALUE"""),"Wll Sistemas Ltda")</f>
        <v>Wll Sistemas Ltda</v>
      </c>
      <c r="T9569" s="33">
        <f>IFERROR(__xludf.DUMMYFUNCTION("""COMPUTED_VALUE"""),1.0)</f>
        <v>1</v>
      </c>
      <c r="U9569" s="4" t="str">
        <f>IFERROR(__xludf.DUMMYFUNCTION("""COMPUTED_VALUE"""),"Wll Sistemas Ltda")</f>
        <v>Wll Sistemas Ltda</v>
      </c>
      <c r="V9569" s="33">
        <f>IFERROR(__xludf.DUMMYFUNCTION("""COMPUTED_VALUE"""),1.0)</f>
        <v>1</v>
      </c>
      <c r="W9569" s="4" t="str">
        <f>IFERROR(__xludf.DUMMYFUNCTION("""COMPUTED_VALUE"""),"Wll Sistemas Ltda")</f>
        <v>Wll Sistemas Ltda</v>
      </c>
      <c r="X9569" s="33">
        <f>IFERROR(__xludf.DUMMYFUNCTION("""COMPUTED_VALUE"""),1.0)</f>
        <v>1</v>
      </c>
    </row>
    <row r="9570">
      <c r="K9570" s="4" t="str">
        <f>IFERROR(__xludf.DUMMYFUNCTION("""COMPUTED_VALUE"""),"BENTA PIZZARIA DELIVERY")</f>
        <v>BENTA PIZZARIA DELIVERY</v>
      </c>
      <c r="L9570" s="32">
        <f>IFERROR(__xludf.DUMMYFUNCTION("""COMPUTED_VALUE"""),1.0)</f>
        <v>1</v>
      </c>
      <c r="M9570" s="4" t="str">
        <f>IFERROR(__xludf.DUMMYFUNCTION("""COMPUTED_VALUE"""),"Bitbar")</f>
        <v>Bitbar</v>
      </c>
      <c r="N9570" s="33">
        <f>IFERROR(__xludf.DUMMYFUNCTION("""COMPUTED_VALUE"""),1.0)</f>
        <v>1</v>
      </c>
      <c r="O9570" s="4" t="str">
        <f>IFERROR(__xludf.DUMMYFUNCTION("""COMPUTED_VALUE"""),"Bitbar")</f>
        <v>Bitbar</v>
      </c>
      <c r="P9570" s="33">
        <f>IFERROR(__xludf.DUMMYFUNCTION("""COMPUTED_VALUE"""),1.0)</f>
        <v>1</v>
      </c>
      <c r="Q9570" s="4" t="str">
        <f>IFERROR(__xludf.DUMMYFUNCTION("""COMPUTED_VALUE"""),"Bitbar")</f>
        <v>Bitbar</v>
      </c>
      <c r="R9570" s="33">
        <f>IFERROR(__xludf.DUMMYFUNCTION("""COMPUTED_VALUE"""),1.0)</f>
        <v>1</v>
      </c>
      <c r="S9570" s="4" t="str">
        <f>IFERROR(__xludf.DUMMYFUNCTION("""COMPUTED_VALUE"""),"Bitbar")</f>
        <v>Bitbar</v>
      </c>
      <c r="T9570" s="33">
        <f>IFERROR(__xludf.DUMMYFUNCTION("""COMPUTED_VALUE"""),1.0)</f>
        <v>1</v>
      </c>
      <c r="U9570" s="4" t="str">
        <f>IFERROR(__xludf.DUMMYFUNCTION("""COMPUTED_VALUE"""),"Cardápio Web")</f>
        <v>Cardápio Web</v>
      </c>
      <c r="V9570" s="33">
        <f>IFERROR(__xludf.DUMMYFUNCTION("""COMPUTED_VALUE"""),1.0)</f>
        <v>1</v>
      </c>
      <c r="W9570" s="4" t="str">
        <f>IFERROR(__xludf.DUMMYFUNCTION("""COMPUTED_VALUE"""),"Cardápio Web")</f>
        <v>Cardápio Web</v>
      </c>
      <c r="X9570" s="33">
        <f>IFERROR(__xludf.DUMMYFUNCTION("""COMPUTED_VALUE"""),1.0)</f>
        <v>1</v>
      </c>
    </row>
    <row r="9571">
      <c r="K9571" s="4" t="str">
        <f>IFERROR(__xludf.DUMMYFUNCTION("""COMPUTED_VALUE"""),"CANTINHO DO PEIXE PRONTO")</f>
        <v>CANTINHO DO PEIXE PRONTO</v>
      </c>
      <c r="L9571" s="32">
        <f>IFERROR(__xludf.DUMMYFUNCTION("""COMPUTED_VALUE"""),1.0)</f>
        <v>1</v>
      </c>
      <c r="M9571" s="4" t="str">
        <f>IFERROR(__xludf.DUMMYFUNCTION("""COMPUTED_VALUE"""),"Saipos Serviços De Software")</f>
        <v>Saipos Serviços De Software</v>
      </c>
      <c r="N9571" s="33">
        <f>IFERROR(__xludf.DUMMYFUNCTION("""COMPUTED_VALUE"""),1.0)</f>
        <v>1</v>
      </c>
      <c r="O9571" s="4" t="str">
        <f>IFERROR(__xludf.DUMMYFUNCTION("""COMPUTED_VALUE"""),"Saipos Serviços De Software")</f>
        <v>Saipos Serviços De Software</v>
      </c>
      <c r="P9571" s="33">
        <f>IFERROR(__xludf.DUMMYFUNCTION("""COMPUTED_VALUE"""),1.0)</f>
        <v>1</v>
      </c>
      <c r="Q9571" s="4" t="str">
        <f>IFERROR(__xludf.DUMMYFUNCTION("""COMPUTED_VALUE"""),"Saipos Serviços De Software")</f>
        <v>Saipos Serviços De Software</v>
      </c>
      <c r="R9571" s="33">
        <f>IFERROR(__xludf.DUMMYFUNCTION("""COMPUTED_VALUE"""),1.0)</f>
        <v>1</v>
      </c>
      <c r="S9571" s="4" t="str">
        <f>IFERROR(__xludf.DUMMYFUNCTION("""COMPUTED_VALUE"""),"Saipos Serviços De Software")</f>
        <v>Saipos Serviços De Software</v>
      </c>
      <c r="T9571" s="33">
        <f>IFERROR(__xludf.DUMMYFUNCTION("""COMPUTED_VALUE"""),1.0)</f>
        <v>1</v>
      </c>
      <c r="U9571" s="4" t="str">
        <f>IFERROR(__xludf.DUMMYFUNCTION("""COMPUTED_VALUE"""),"Saipos Serviços De Software")</f>
        <v>Saipos Serviços De Software</v>
      </c>
      <c r="V9571" s="33">
        <f>IFERROR(__xludf.DUMMYFUNCTION("""COMPUTED_VALUE"""),1.0)</f>
        <v>1</v>
      </c>
      <c r="W9571" s="4" t="str">
        <f>IFERROR(__xludf.DUMMYFUNCTION("""COMPUTED_VALUE"""),"Saipos Serviços De Software")</f>
        <v>Saipos Serviços De Software</v>
      </c>
      <c r="X9571" s="33">
        <f>IFERROR(__xludf.DUMMYFUNCTION("""COMPUTED_VALUE"""),1.0)</f>
        <v>1</v>
      </c>
    </row>
    <row r="9572">
      <c r="K9572" s="4" t="str">
        <f>IFERROR(__xludf.DUMMYFUNCTION("""COMPUTED_VALUE"""),"RESTRITO")</f>
        <v>RESTRITO</v>
      </c>
      <c r="L9572" s="32">
        <f>IFERROR(__xludf.DUMMYFUNCTION("""COMPUTED_VALUE"""),1.0)</f>
        <v>1</v>
      </c>
      <c r="M9572" s="4" t="str">
        <f>IFERROR(__xludf.DUMMYFUNCTION("""COMPUTED_VALUE"""),"Cardápio Web")</f>
        <v>Cardápio Web</v>
      </c>
      <c r="N9572" s="33">
        <f>IFERROR(__xludf.DUMMYFUNCTION("""COMPUTED_VALUE"""),1.0)</f>
        <v>1</v>
      </c>
      <c r="O9572" s="4" t="str">
        <f>IFERROR(__xludf.DUMMYFUNCTION("""COMPUTED_VALUE"""),"Cardápio Web")</f>
        <v>Cardápio Web</v>
      </c>
      <c r="P9572" s="33">
        <f>IFERROR(__xludf.DUMMYFUNCTION("""COMPUTED_VALUE"""),1.0)</f>
        <v>1</v>
      </c>
      <c r="Q9572" s="4" t="str">
        <f>IFERROR(__xludf.DUMMYFUNCTION("""COMPUTED_VALUE"""),"Cardápio Web")</f>
        <v>Cardápio Web</v>
      </c>
      <c r="R9572" s="33">
        <f>IFERROR(__xludf.DUMMYFUNCTION("""COMPUTED_VALUE"""),1.0)</f>
        <v>1</v>
      </c>
      <c r="S9572" s="4" t="str">
        <f>IFERROR(__xludf.DUMMYFUNCTION("""COMPUTED_VALUE"""),"Cardápio Web")</f>
        <v>Cardápio Web</v>
      </c>
      <c r="T9572" s="33">
        <f>IFERROR(__xludf.DUMMYFUNCTION("""COMPUTED_VALUE"""),1.0)</f>
        <v>1</v>
      </c>
      <c r="U9572" s="4" t="str">
        <f>IFERROR(__xludf.DUMMYFUNCTION("""COMPUTED_VALUE"""),"Cardápio Web")</f>
        <v>Cardápio Web</v>
      </c>
      <c r="V9572" s="33">
        <f>IFERROR(__xludf.DUMMYFUNCTION("""COMPUTED_VALUE"""),1.0)</f>
        <v>1</v>
      </c>
      <c r="W9572" s="4" t="str">
        <f>IFERROR(__xludf.DUMMYFUNCTION("""COMPUTED_VALUE"""),"null")</f>
        <v>null</v>
      </c>
      <c r="X9572" s="33">
        <f>IFERROR(__xludf.DUMMYFUNCTION("""COMPUTED_VALUE"""),1.0)</f>
        <v>1</v>
      </c>
    </row>
    <row r="9573">
      <c r="K9573" s="4" t="str">
        <f>IFERROR(__xludf.DUMMYFUNCTION("""COMPUTED_VALUE"""),"ROTA FOOD")</f>
        <v>ROTA FOOD</v>
      </c>
      <c r="L9573" s="32">
        <f>IFERROR(__xludf.DUMMYFUNCTION("""COMPUTED_VALUE"""),1.0)</f>
        <v>1</v>
      </c>
      <c r="M9573" s="4" t="str">
        <f>IFERROR(__xludf.DUMMYFUNCTION("""COMPUTED_VALUE"""),"null")</f>
        <v>null</v>
      </c>
      <c r="N9573" s="33">
        <f>IFERROR(__xludf.DUMMYFUNCTION("""COMPUTED_VALUE"""),1.0)</f>
        <v>1</v>
      </c>
      <c r="O9573" s="4" t="str">
        <f>IFERROR(__xludf.DUMMYFUNCTION("""COMPUTED_VALUE"""),"Brendi")</f>
        <v>Brendi</v>
      </c>
      <c r="P9573" s="33">
        <f>IFERROR(__xludf.DUMMYFUNCTION("""COMPUTED_VALUE"""),1.0)</f>
        <v>1</v>
      </c>
      <c r="Q9573" s="4" t="str">
        <f>IFERROR(__xludf.DUMMYFUNCTION("""COMPUTED_VALUE"""),"null")</f>
        <v>null</v>
      </c>
      <c r="R9573" s="33">
        <f>IFERROR(__xludf.DUMMYFUNCTION("""COMPUTED_VALUE"""),1.0)</f>
        <v>1</v>
      </c>
      <c r="S9573" s="4" t="str">
        <f>IFERROR(__xludf.DUMMYFUNCTION("""COMPUTED_VALUE"""),"null")</f>
        <v>null</v>
      </c>
      <c r="T9573" s="33">
        <f>IFERROR(__xludf.DUMMYFUNCTION("""COMPUTED_VALUE"""),1.0)</f>
        <v>1</v>
      </c>
      <c r="U9573" s="4" t="str">
        <f>IFERROR(__xludf.DUMMYFUNCTION("""COMPUTED_VALUE"""),"null")</f>
        <v>null</v>
      </c>
      <c r="V9573" s="33">
        <f>IFERROR(__xludf.DUMMYFUNCTION("""COMPUTED_VALUE"""),1.0)</f>
        <v>1</v>
      </c>
      <c r="W9573" s="4" t="str">
        <f>IFERROR(__xludf.DUMMYFUNCTION("""COMPUTED_VALUE"""),"null")</f>
        <v>null</v>
      </c>
      <c r="X9573" s="33">
        <f>IFERROR(__xludf.DUMMYFUNCTION("""COMPUTED_VALUE"""),1.0)</f>
        <v>1</v>
      </c>
    </row>
    <row r="9574">
      <c r="K9574" s="4" t="str">
        <f>IFERROR(__xludf.DUMMYFUNCTION("""COMPUTED_VALUE"""),"DROGARIA WELL LTDA")</f>
        <v>DROGARIA WELL LTDA</v>
      </c>
      <c r="L9574" s="32">
        <f>IFERROR(__xludf.DUMMYFUNCTION("""COMPUTED_VALUE"""),1.0)</f>
        <v>1</v>
      </c>
      <c r="M9574" s="4" t="str">
        <f>IFERROR(__xludf.DUMMYFUNCTION("""COMPUTED_VALUE"""),"N/A (Not found)")</f>
        <v>N/A (Not found)</v>
      </c>
      <c r="N9574" s="33">
        <f>IFERROR(__xludf.DUMMYFUNCTION("""COMPUTED_VALUE"""),1.0)</f>
        <v>1</v>
      </c>
      <c r="O9574" s="4" t="str">
        <f>IFERROR(__xludf.DUMMYFUNCTION("""COMPUTED_VALUE"""),"N/A (Not found)")</f>
        <v>N/A (Not found)</v>
      </c>
      <c r="P9574" s="33">
        <f>IFERROR(__xludf.DUMMYFUNCTION("""COMPUTED_VALUE"""),1.0)</f>
        <v>1</v>
      </c>
      <c r="Q9574" s="4" t="str">
        <f>IFERROR(__xludf.DUMMYFUNCTION("""COMPUTED_VALUE"""),"N/A (Not found)")</f>
        <v>N/A (Not found)</v>
      </c>
      <c r="R9574" s="33">
        <f>IFERROR(__xludf.DUMMYFUNCTION("""COMPUTED_VALUE"""),1.0)</f>
        <v>1</v>
      </c>
      <c r="S9574" s="4" t="str">
        <f>IFERROR(__xludf.DUMMYFUNCTION("""COMPUTED_VALUE"""),"N/A (Not found)")</f>
        <v>N/A (Not found)</v>
      </c>
      <c r="T9574" s="33">
        <f>IFERROR(__xludf.DUMMYFUNCTION("""COMPUTED_VALUE"""),1.0)</f>
        <v>1</v>
      </c>
      <c r="U9574" s="4" t="str">
        <f>IFERROR(__xludf.DUMMYFUNCTION("""COMPUTED_VALUE"""),"N/A (Not found)")</f>
        <v>N/A (Not found)</v>
      </c>
      <c r="V9574" s="33">
        <f>IFERROR(__xludf.DUMMYFUNCTION("""COMPUTED_VALUE"""),1.0)</f>
        <v>1</v>
      </c>
      <c r="W9574" s="4" t="str">
        <f>IFERROR(__xludf.DUMMYFUNCTION("""COMPUTED_VALUE"""),"N/A (Not found)")</f>
        <v>N/A (Not found)</v>
      </c>
      <c r="X9574" s="33">
        <f>IFERROR(__xludf.DUMMYFUNCTION("""COMPUTED_VALUE"""),1.0)</f>
        <v>1</v>
      </c>
    </row>
    <row r="9575">
      <c r="K9575" s="4" t="str">
        <f>IFERROR(__xludf.DUMMYFUNCTION("""COMPUTED_VALUE"""),"ROYALTY PERFUMARIA - BLUMENAU")</f>
        <v>ROYALTY PERFUMARIA - BLUMENAU</v>
      </c>
      <c r="L9575" s="32">
        <f>IFERROR(__xludf.DUMMYFUNCTION("""COMPUTED_VALUE"""),1.0)</f>
        <v>1</v>
      </c>
      <c r="M9575" s="4" t="str">
        <f>IFERROR(__xludf.DUMMYFUNCTION("""COMPUTED_VALUE"""),"null")</f>
        <v>null</v>
      </c>
      <c r="N9575" s="33">
        <f>IFERROR(__xludf.DUMMYFUNCTION("""COMPUTED_VALUE"""),1.0)</f>
        <v>1</v>
      </c>
      <c r="O9575" s="4" t="str">
        <f>IFERROR(__xludf.DUMMYFUNCTION("""COMPUTED_VALUE"""),"null")</f>
        <v>null</v>
      </c>
      <c r="P9575" s="33">
        <f>IFERROR(__xludf.DUMMYFUNCTION("""COMPUTED_VALUE"""),1.0)</f>
        <v>1</v>
      </c>
      <c r="Q9575" s="4" t="str">
        <f>IFERROR(__xludf.DUMMYFUNCTION("""COMPUTED_VALUE"""),"null")</f>
        <v>null</v>
      </c>
      <c r="R9575" s="33">
        <f>IFERROR(__xludf.DUMMYFUNCTION("""COMPUTED_VALUE"""),1.0)</f>
        <v>1</v>
      </c>
      <c r="S9575" s="4" t="str">
        <f>IFERROR(__xludf.DUMMYFUNCTION("""COMPUTED_VALUE"""),"null")</f>
        <v>null</v>
      </c>
      <c r="T9575" s="33">
        <f>IFERROR(__xludf.DUMMYFUNCTION("""COMPUTED_VALUE"""),1.0)</f>
        <v>1</v>
      </c>
      <c r="U9575" s="4" t="str">
        <f>IFERROR(__xludf.DUMMYFUNCTION("""COMPUTED_VALUE"""),"N/A (Not found)")</f>
        <v>N/A (Not found)</v>
      </c>
      <c r="V9575" s="33">
        <f>IFERROR(__xludf.DUMMYFUNCTION("""COMPUTED_VALUE"""),1.0)</f>
        <v>1</v>
      </c>
      <c r="W9575" s="4" t="str">
        <f>IFERROR(__xludf.DUMMYFUNCTION("""COMPUTED_VALUE"""),"null")</f>
        <v>null</v>
      </c>
      <c r="X9575" s="33">
        <f>IFERROR(__xludf.DUMMYFUNCTION("""COMPUTED_VALUE"""),1.0)</f>
        <v>1</v>
      </c>
    </row>
    <row r="9576">
      <c r="K9576" s="4" t="str">
        <f>IFERROR(__xludf.DUMMYFUNCTION("""COMPUTED_VALUE"""),"RESTAURANTE FERRO DE ENGOMAR")</f>
        <v>RESTAURANTE FERRO DE ENGOMAR</v>
      </c>
      <c r="L9576" s="32">
        <f>IFERROR(__xludf.DUMMYFUNCTION("""COMPUTED_VALUE"""),1.0)</f>
        <v>1</v>
      </c>
      <c r="M9576" s="4" t="str">
        <f>IFERROR(__xludf.DUMMYFUNCTION("""COMPUTED_VALUE"""),"Anota Ai Solucoes Digitais S/a")</f>
        <v>Anota Ai Solucoes Digitais S/a</v>
      </c>
      <c r="N9576" s="33">
        <f>IFERROR(__xludf.DUMMYFUNCTION("""COMPUTED_VALUE"""),1.0)</f>
        <v>1</v>
      </c>
      <c r="O9576" s="4" t="str">
        <f>IFERROR(__xludf.DUMMYFUNCTION("""COMPUTED_VALUE"""),"null")</f>
        <v>null</v>
      </c>
      <c r="P9576" s="33">
        <f>IFERROR(__xludf.DUMMYFUNCTION("""COMPUTED_VALUE"""),1.0)</f>
        <v>1</v>
      </c>
      <c r="Q9576" s="4" t="str">
        <f>IFERROR(__xludf.DUMMYFUNCTION("""COMPUTED_VALUE"""),"null")</f>
        <v>null</v>
      </c>
      <c r="R9576" s="33">
        <f>IFERROR(__xludf.DUMMYFUNCTION("""COMPUTED_VALUE"""),1.0)</f>
        <v>1</v>
      </c>
      <c r="S9576" s="4" t="str">
        <f>IFERROR(__xludf.DUMMYFUNCTION("""COMPUTED_VALUE"""),"null")</f>
        <v>null</v>
      </c>
      <c r="T9576" s="33">
        <f>IFERROR(__xludf.DUMMYFUNCTION("""COMPUTED_VALUE"""),1.0)</f>
        <v>1</v>
      </c>
      <c r="U9576" s="4" t="str">
        <f>IFERROR(__xludf.DUMMYFUNCTION("""COMPUTED_VALUE"""),"null")</f>
        <v>null</v>
      </c>
      <c r="V9576" s="33">
        <f>IFERROR(__xludf.DUMMYFUNCTION("""COMPUTED_VALUE"""),1.0)</f>
        <v>1</v>
      </c>
      <c r="W9576" s="4" t="str">
        <f>IFERROR(__xludf.DUMMYFUNCTION("""COMPUTED_VALUE"""),"null")</f>
        <v>null</v>
      </c>
      <c r="X9576" s="33">
        <f>IFERROR(__xludf.DUMMYFUNCTION("""COMPUTED_VALUE"""),1.0)</f>
        <v>1</v>
      </c>
    </row>
    <row r="9577">
      <c r="K9577" s="4" t="str">
        <f>IFERROR(__xludf.DUMMYFUNCTION("""COMPUTED_VALUE"""),"ACAI SALGADINHOS EDVI")</f>
        <v>ACAI SALGADINHOS EDVI</v>
      </c>
      <c r="L9577" s="32">
        <f>IFERROR(__xludf.DUMMYFUNCTION("""COMPUTED_VALUE"""),1.0)</f>
        <v>1</v>
      </c>
      <c r="M9577" s="4" t="str">
        <f>IFERROR(__xludf.DUMMYFUNCTION("""COMPUTED_VALUE"""),"null")</f>
        <v>null</v>
      </c>
      <c r="N9577" s="33">
        <f>IFERROR(__xludf.DUMMYFUNCTION("""COMPUTED_VALUE"""),1.0)</f>
        <v>1</v>
      </c>
      <c r="O9577" s="4" t="str">
        <f>IFERROR(__xludf.DUMMYFUNCTION("""COMPUTED_VALUE"""),"null")</f>
        <v>null</v>
      </c>
      <c r="P9577" s="33">
        <f>IFERROR(__xludf.DUMMYFUNCTION("""COMPUTED_VALUE"""),1.0)</f>
        <v>1</v>
      </c>
      <c r="Q9577" s="4" t="str">
        <f>IFERROR(__xludf.DUMMYFUNCTION("""COMPUTED_VALUE"""),"null")</f>
        <v>null</v>
      </c>
      <c r="R9577" s="33">
        <f>IFERROR(__xludf.DUMMYFUNCTION("""COMPUTED_VALUE"""),1.0)</f>
        <v>1</v>
      </c>
      <c r="S9577" s="4" t="str">
        <f>IFERROR(__xludf.DUMMYFUNCTION("""COMPUTED_VALUE"""),"null")</f>
        <v>null</v>
      </c>
      <c r="T9577" s="33">
        <f>IFERROR(__xludf.DUMMYFUNCTION("""COMPUTED_VALUE"""),1.0)</f>
        <v>1</v>
      </c>
      <c r="U9577" s="4" t="str">
        <f>IFERROR(__xludf.DUMMYFUNCTION("""COMPUTED_VALUE"""),"null")</f>
        <v>null</v>
      </c>
      <c r="V9577" s="33">
        <f>IFERROR(__xludf.DUMMYFUNCTION("""COMPUTED_VALUE"""),1.0)</f>
        <v>1</v>
      </c>
      <c r="W9577" s="4" t="str">
        <f>IFERROR(__xludf.DUMMYFUNCTION("""COMPUTED_VALUE"""),"Anota Ai Solucoes Digitais S/a")</f>
        <v>Anota Ai Solucoes Digitais S/a</v>
      </c>
      <c r="X9577" s="33">
        <f>IFERROR(__xludf.DUMMYFUNCTION("""COMPUTED_VALUE"""),1.0)</f>
        <v>1</v>
      </c>
    </row>
    <row r="9578">
      <c r="K9578" s="4" t="str">
        <f>IFERROR(__xludf.DUMMYFUNCTION("""COMPUTED_VALUE"""),"QUINTAL DA LENHA")</f>
        <v>QUINTAL DA LENHA</v>
      </c>
      <c r="L9578" s="32">
        <f>IFERROR(__xludf.DUMMYFUNCTION("""COMPUTED_VALUE"""),1.0)</f>
        <v>1</v>
      </c>
      <c r="M9578" s="4" t="str">
        <f>IFERROR(__xludf.DUMMYFUNCTION("""COMPUTED_VALUE"""),"null")</f>
        <v>null</v>
      </c>
      <c r="N9578" s="33">
        <f>IFERROR(__xludf.DUMMYFUNCTION("""COMPUTED_VALUE"""),1.0)</f>
        <v>1</v>
      </c>
      <c r="O9578" s="4" t="str">
        <f>IFERROR(__xludf.DUMMYFUNCTION("""COMPUTED_VALUE"""),"null")</f>
        <v>null</v>
      </c>
      <c r="P9578" s="33">
        <f>IFERROR(__xludf.DUMMYFUNCTION("""COMPUTED_VALUE"""),1.0)</f>
        <v>1</v>
      </c>
      <c r="Q9578" s="4" t="str">
        <f>IFERROR(__xludf.DUMMYFUNCTION("""COMPUTED_VALUE"""),"null")</f>
        <v>null</v>
      </c>
      <c r="R9578" s="33">
        <f>IFERROR(__xludf.DUMMYFUNCTION("""COMPUTED_VALUE"""),1.0)</f>
        <v>1</v>
      </c>
      <c r="S9578" s="4" t="str">
        <f>IFERROR(__xludf.DUMMYFUNCTION("""COMPUTED_VALUE"""),"Mp Multipedidos")</f>
        <v>Mp Multipedidos</v>
      </c>
      <c r="T9578" s="33">
        <f>IFERROR(__xludf.DUMMYFUNCTION("""COMPUTED_VALUE"""),1.0)</f>
        <v>1</v>
      </c>
      <c r="U9578" s="4" t="str">
        <f>IFERROR(__xludf.DUMMYFUNCTION("""COMPUTED_VALUE"""),"Mp Multipedidos")</f>
        <v>Mp Multipedidos</v>
      </c>
      <c r="V9578" s="33">
        <f>IFERROR(__xludf.DUMMYFUNCTION("""COMPUTED_VALUE"""),1.0)</f>
        <v>1</v>
      </c>
      <c r="W9578" s="4" t="str">
        <f>IFERROR(__xludf.DUMMYFUNCTION("""COMPUTED_VALUE"""),"null")</f>
        <v>null</v>
      </c>
      <c r="X9578" s="33">
        <f>IFERROR(__xludf.DUMMYFUNCTION("""COMPUTED_VALUE"""),1.0)</f>
        <v>1</v>
      </c>
    </row>
    <row r="9579">
      <c r="K9579" s="4" t="str">
        <f>IFERROR(__xludf.DUMMYFUNCTION("""COMPUTED_VALUE"""),"XXXXX")</f>
        <v>XXXXX</v>
      </c>
      <c r="L9579" s="32">
        <f>IFERROR(__xludf.DUMMYFUNCTION("""COMPUTED_VALUE"""),1.0)</f>
        <v>1</v>
      </c>
      <c r="M9579" s="4" t="str">
        <f>IFERROR(__xludf.DUMMYFUNCTION("""COMPUTED_VALUE"""),"Cardápio Web")</f>
        <v>Cardápio Web</v>
      </c>
      <c r="N9579" s="33">
        <f>IFERROR(__xludf.DUMMYFUNCTION("""COMPUTED_VALUE"""),1.0)</f>
        <v>1</v>
      </c>
      <c r="O9579" s="4" t="str">
        <f>IFERROR(__xludf.DUMMYFUNCTION("""COMPUTED_VALUE"""),"null")</f>
        <v>null</v>
      </c>
      <c r="P9579" s="33">
        <f>IFERROR(__xludf.DUMMYFUNCTION("""COMPUTED_VALUE"""),1.0)</f>
        <v>1</v>
      </c>
      <c r="Q9579" s="4" t="str">
        <f>IFERROR(__xludf.DUMMYFUNCTION("""COMPUTED_VALUE"""),"null")</f>
        <v>null</v>
      </c>
      <c r="R9579" s="33">
        <f>IFERROR(__xludf.DUMMYFUNCTION("""COMPUTED_VALUE"""),1.0)</f>
        <v>1</v>
      </c>
      <c r="S9579" s="4" t="str">
        <f>IFERROR(__xludf.DUMMYFUNCTION("""COMPUTED_VALUE"""),"Cardápio Web")</f>
        <v>Cardápio Web</v>
      </c>
      <c r="T9579" s="33">
        <f>IFERROR(__xludf.DUMMYFUNCTION("""COMPUTED_VALUE"""),1.0)</f>
        <v>1</v>
      </c>
      <c r="U9579" s="4" t="str">
        <f>IFERROR(__xludf.DUMMYFUNCTION("""COMPUTED_VALUE"""),"null")</f>
        <v>null</v>
      </c>
      <c r="V9579" s="33">
        <f>IFERROR(__xludf.DUMMYFUNCTION("""COMPUTED_VALUE"""),1.0)</f>
        <v>1</v>
      </c>
      <c r="W9579" s="4" t="str">
        <f>IFERROR(__xludf.DUMMYFUNCTION("""COMPUTED_VALUE"""),"null")</f>
        <v>null</v>
      </c>
      <c r="X9579" s="33">
        <f>IFERROR(__xludf.DUMMYFUNCTION("""COMPUTED_VALUE"""),1.0)</f>
        <v>1</v>
      </c>
    </row>
    <row r="9580">
      <c r="K9580" s="4" t="str">
        <f>IFERROR(__xludf.DUMMYFUNCTION("""COMPUTED_VALUE"""),"BEM PRENSADO - LANCHES PRENSADOS")</f>
        <v>BEM PRENSADO - LANCHES PRENSADOS</v>
      </c>
      <c r="L9580" s="32">
        <f>IFERROR(__xludf.DUMMYFUNCTION("""COMPUTED_VALUE"""),1.0)</f>
        <v>1</v>
      </c>
      <c r="M9580" s="4" t="str">
        <f>IFERROR(__xludf.DUMMYFUNCTION("""COMPUTED_VALUE"""),"null")</f>
        <v>null</v>
      </c>
      <c r="N9580" s="33">
        <f>IFERROR(__xludf.DUMMYFUNCTION("""COMPUTED_VALUE"""),1.0)</f>
        <v>1</v>
      </c>
      <c r="O9580" s="4" t="str">
        <f>IFERROR(__xludf.DUMMYFUNCTION("""COMPUTED_VALUE"""),"null")</f>
        <v>null</v>
      </c>
      <c r="P9580" s="33">
        <f>IFERROR(__xludf.DUMMYFUNCTION("""COMPUTED_VALUE"""),1.0)</f>
        <v>1</v>
      </c>
      <c r="Q9580" s="4" t="str">
        <f>IFERROR(__xludf.DUMMYFUNCTION("""COMPUTED_VALUE"""),"null")</f>
        <v>null</v>
      </c>
      <c r="R9580" s="33">
        <f>IFERROR(__xludf.DUMMYFUNCTION("""COMPUTED_VALUE"""),1.0)</f>
        <v>1</v>
      </c>
      <c r="S9580" s="4" t="str">
        <f>IFERROR(__xludf.DUMMYFUNCTION("""COMPUTED_VALUE"""),"Saipos Serviços De Software")</f>
        <v>Saipos Serviços De Software</v>
      </c>
      <c r="T9580" s="33">
        <f>IFERROR(__xludf.DUMMYFUNCTION("""COMPUTED_VALUE"""),1.0)</f>
        <v>1</v>
      </c>
      <c r="U9580" s="4" t="str">
        <f>IFERROR(__xludf.DUMMYFUNCTION("""COMPUTED_VALUE"""),"Saipos Serviços De Software")</f>
        <v>Saipos Serviços De Software</v>
      </c>
      <c r="V9580" s="33">
        <f>IFERROR(__xludf.DUMMYFUNCTION("""COMPUTED_VALUE"""),1.0)</f>
        <v>1</v>
      </c>
      <c r="W9580" s="4" t="str">
        <f>IFERROR(__xludf.DUMMYFUNCTION("""COMPUTED_VALUE"""),"Saipos Serviços De Software")</f>
        <v>Saipos Serviços De Software</v>
      </c>
      <c r="X9580" s="33">
        <f>IFERROR(__xludf.DUMMYFUNCTION("""COMPUTED_VALUE"""),1.0)</f>
        <v>1</v>
      </c>
    </row>
    <row r="9581">
      <c r="K9581" s="4" t="str">
        <f>IFERROR(__xludf.DUMMYFUNCTION("""COMPUTED_VALUE"""),"ADEGA COLOMBIA")</f>
        <v>ADEGA COLOMBIA</v>
      </c>
      <c r="L9581" s="32">
        <f>IFERROR(__xludf.DUMMYFUNCTION("""COMPUTED_VALUE"""),1.0)</f>
        <v>1</v>
      </c>
      <c r="M9581" s="4" t="str">
        <f>IFERROR(__xludf.DUMMYFUNCTION("""COMPUTED_VALUE"""),"N/A (Not found)")</f>
        <v>N/A (Not found)</v>
      </c>
      <c r="N9581" s="33">
        <f>IFERROR(__xludf.DUMMYFUNCTION("""COMPUTED_VALUE"""),1.0)</f>
        <v>1</v>
      </c>
      <c r="O9581" s="4" t="str">
        <f>IFERROR(__xludf.DUMMYFUNCTION("""COMPUTED_VALUE"""),"N/A (Not found)")</f>
        <v>N/A (Not found)</v>
      </c>
      <c r="P9581" s="33">
        <f>IFERROR(__xludf.DUMMYFUNCTION("""COMPUTED_VALUE"""),1.0)</f>
        <v>1</v>
      </c>
      <c r="Q9581" s="4" t="str">
        <f>IFERROR(__xludf.DUMMYFUNCTION("""COMPUTED_VALUE"""),"N/A (Not found)")</f>
        <v>N/A (Not found)</v>
      </c>
      <c r="R9581" s="33">
        <f>IFERROR(__xludf.DUMMYFUNCTION("""COMPUTED_VALUE"""),1.0)</f>
        <v>1</v>
      </c>
      <c r="S9581" s="4" t="str">
        <f>IFERROR(__xludf.DUMMYFUNCTION("""COMPUTED_VALUE"""),"N/A (Not found)")</f>
        <v>N/A (Not found)</v>
      </c>
      <c r="T9581" s="33">
        <f>IFERROR(__xludf.DUMMYFUNCTION("""COMPUTED_VALUE"""),1.0)</f>
        <v>1</v>
      </c>
      <c r="U9581" s="4" t="str">
        <f>IFERROR(__xludf.DUMMYFUNCTION("""COMPUTED_VALUE"""),"N/A (Not found)")</f>
        <v>N/A (Not found)</v>
      </c>
      <c r="V9581" s="33">
        <f>IFERROR(__xludf.DUMMYFUNCTION("""COMPUTED_VALUE"""),1.0)</f>
        <v>1</v>
      </c>
      <c r="W9581" s="4" t="str">
        <f>IFERROR(__xludf.DUMMYFUNCTION("""COMPUTED_VALUE"""),"N/A (Not found)")</f>
        <v>N/A (Not found)</v>
      </c>
      <c r="X9581" s="33">
        <f>IFERROR(__xludf.DUMMYFUNCTION("""COMPUTED_VALUE"""),1.0)</f>
        <v>1</v>
      </c>
    </row>
    <row r="9582">
      <c r="K9582" s="4" t="str">
        <f>IFERROR(__xludf.DUMMYFUNCTION("""COMPUTED_VALUE"""),"MONT EVEREST BURGER")</f>
        <v>MONT EVEREST BURGER</v>
      </c>
      <c r="L9582" s="32">
        <f>IFERROR(__xludf.DUMMYFUNCTION("""COMPUTED_VALUE"""),1.0)</f>
        <v>1</v>
      </c>
      <c r="M9582" s="4" t="str">
        <f>IFERROR(__xludf.DUMMYFUNCTION("""COMPUTED_VALUE"""),"null")</f>
        <v>null</v>
      </c>
      <c r="N9582" s="33">
        <f>IFERROR(__xludf.DUMMYFUNCTION("""COMPUTED_VALUE"""),1.0)</f>
        <v>1</v>
      </c>
      <c r="O9582" s="4" t="str">
        <f>IFERROR(__xludf.DUMMYFUNCTION("""COMPUTED_VALUE"""),"null")</f>
        <v>null</v>
      </c>
      <c r="P9582" s="33">
        <f>IFERROR(__xludf.DUMMYFUNCTION("""COMPUTED_VALUE"""),1.0)</f>
        <v>1</v>
      </c>
      <c r="Q9582" s="4" t="str">
        <f>IFERROR(__xludf.DUMMYFUNCTION("""COMPUTED_VALUE"""),"null")</f>
        <v>null</v>
      </c>
      <c r="R9582" s="33">
        <f>IFERROR(__xludf.DUMMYFUNCTION("""COMPUTED_VALUE"""),1.0)</f>
        <v>1</v>
      </c>
      <c r="S9582" s="4" t="str">
        <f>IFERROR(__xludf.DUMMYFUNCTION("""COMPUTED_VALUE"""),"Cardápio Web")</f>
        <v>Cardápio Web</v>
      </c>
      <c r="T9582" s="33">
        <f>IFERROR(__xludf.DUMMYFUNCTION("""COMPUTED_VALUE"""),1.0)</f>
        <v>1</v>
      </c>
      <c r="U9582" s="4" t="str">
        <f>IFERROR(__xludf.DUMMYFUNCTION("""COMPUTED_VALUE"""),"null")</f>
        <v>null</v>
      </c>
      <c r="V9582" s="33">
        <f>IFERROR(__xludf.DUMMYFUNCTION("""COMPUTED_VALUE"""),1.0)</f>
        <v>1</v>
      </c>
      <c r="W9582" s="4" t="str">
        <f>IFERROR(__xludf.DUMMYFUNCTION("""COMPUTED_VALUE"""),"Cardápio Web")</f>
        <v>Cardápio Web</v>
      </c>
      <c r="X9582" s="33">
        <f>IFERROR(__xludf.DUMMYFUNCTION("""COMPUTED_VALUE"""),1.0)</f>
        <v>1</v>
      </c>
    </row>
    <row r="9583">
      <c r="K9583" s="4" t="str">
        <f>IFERROR(__xludf.DUMMYFUNCTION("""COMPUTED_VALUE"""),"FINO SABOR BUFFET")</f>
        <v>FINO SABOR BUFFET</v>
      </c>
      <c r="L9583" s="32">
        <f>IFERROR(__xludf.DUMMYFUNCTION("""COMPUTED_VALUE"""),1.0)</f>
        <v>1</v>
      </c>
      <c r="M9583" s="4" t="str">
        <f>IFERROR(__xludf.DUMMYFUNCTION("""COMPUTED_VALUE"""),"Filialdigital")</f>
        <v>Filialdigital</v>
      </c>
      <c r="N9583" s="33">
        <f>IFERROR(__xludf.DUMMYFUNCTION("""COMPUTED_VALUE"""),1.0)</f>
        <v>1</v>
      </c>
      <c r="O9583" s="4" t="str">
        <f>IFERROR(__xludf.DUMMYFUNCTION("""COMPUTED_VALUE"""),"Filialdigital")</f>
        <v>Filialdigital</v>
      </c>
      <c r="P9583" s="33">
        <f>IFERROR(__xludf.DUMMYFUNCTION("""COMPUTED_VALUE"""),1.0)</f>
        <v>1</v>
      </c>
      <c r="Q9583" s="4" t="str">
        <f>IFERROR(__xludf.DUMMYFUNCTION("""COMPUTED_VALUE"""),"Filialdigital")</f>
        <v>Filialdigital</v>
      </c>
      <c r="R9583" s="33">
        <f>IFERROR(__xludf.DUMMYFUNCTION("""COMPUTED_VALUE"""),1.0)</f>
        <v>1</v>
      </c>
      <c r="S9583" s="4" t="str">
        <f>IFERROR(__xludf.DUMMYFUNCTION("""COMPUTED_VALUE"""),"Filialdigital")</f>
        <v>Filialdigital</v>
      </c>
      <c r="T9583" s="33">
        <f>IFERROR(__xludf.DUMMYFUNCTION("""COMPUTED_VALUE"""),1.0)</f>
        <v>1</v>
      </c>
      <c r="U9583" s="4" t="str">
        <f>IFERROR(__xludf.DUMMYFUNCTION("""COMPUTED_VALUE"""),"Filialdigital")</f>
        <v>Filialdigital</v>
      </c>
      <c r="V9583" s="33">
        <f>IFERROR(__xludf.DUMMYFUNCTION("""COMPUTED_VALUE"""),1.0)</f>
        <v>1</v>
      </c>
      <c r="W9583" s="4" t="str">
        <f>IFERROR(__xludf.DUMMYFUNCTION("""COMPUTED_VALUE"""),"Filialdigital")</f>
        <v>Filialdigital</v>
      </c>
      <c r="X9583" s="33">
        <f>IFERROR(__xludf.DUMMYFUNCTION("""COMPUTED_VALUE"""),1.0)</f>
        <v>1</v>
      </c>
    </row>
    <row r="9584">
      <c r="K9584" s="4" t="str">
        <f>IFERROR(__xludf.DUMMYFUNCTION("""COMPUTED_VALUE"""),"NAGAI CULINARIA ORIENTAL")</f>
        <v>NAGAI CULINARIA ORIENTAL</v>
      </c>
      <c r="L9584" s="32">
        <f>IFERROR(__xludf.DUMMYFUNCTION("""COMPUTED_VALUE"""),1.0)</f>
        <v>1</v>
      </c>
      <c r="M9584" s="4" t="str">
        <f>IFERROR(__xludf.DUMMYFUNCTION("""COMPUTED_VALUE"""),"null")</f>
        <v>null</v>
      </c>
      <c r="N9584" s="33">
        <f>IFERROR(__xludf.DUMMYFUNCTION("""COMPUTED_VALUE"""),1.0)</f>
        <v>1</v>
      </c>
      <c r="O9584" s="4" t="str">
        <f>IFERROR(__xludf.DUMMYFUNCTION("""COMPUTED_VALUE"""),"null")</f>
        <v>null</v>
      </c>
      <c r="P9584" s="33">
        <f>IFERROR(__xludf.DUMMYFUNCTION("""COMPUTED_VALUE"""),1.0)</f>
        <v>1</v>
      </c>
      <c r="Q9584" s="4" t="str">
        <f>IFERROR(__xludf.DUMMYFUNCTION("""COMPUTED_VALUE"""),"null")</f>
        <v>null</v>
      </c>
      <c r="R9584" s="33">
        <f>IFERROR(__xludf.DUMMYFUNCTION("""COMPUTED_VALUE"""),1.0)</f>
        <v>1</v>
      </c>
      <c r="S9584" s="4" t="str">
        <f>IFERROR(__xludf.DUMMYFUNCTION("""COMPUTED_VALUE"""),"Saipos Serviços De Software")</f>
        <v>Saipos Serviços De Software</v>
      </c>
      <c r="T9584" s="33">
        <f>IFERROR(__xludf.DUMMYFUNCTION("""COMPUTED_VALUE"""),1.0)</f>
        <v>1</v>
      </c>
      <c r="U9584" s="4" t="str">
        <f>IFERROR(__xludf.DUMMYFUNCTION("""COMPUTED_VALUE"""),"null")</f>
        <v>null</v>
      </c>
      <c r="V9584" s="33">
        <f>IFERROR(__xludf.DUMMYFUNCTION("""COMPUTED_VALUE"""),1.0)</f>
        <v>1</v>
      </c>
      <c r="W9584" s="4" t="str">
        <f>IFERROR(__xludf.DUMMYFUNCTION("""COMPUTED_VALUE"""),"null")</f>
        <v>null</v>
      </c>
      <c r="X9584" s="33">
        <f>IFERROR(__xludf.DUMMYFUNCTION("""COMPUTED_VALUE"""),1.0)</f>
        <v>1</v>
      </c>
    </row>
    <row r="9585">
      <c r="K9585" s="4" t="str">
        <f>IFERROR(__xludf.DUMMYFUNCTION("""COMPUTED_VALUE"""),"T BURGUER")</f>
        <v>T BURGUER</v>
      </c>
      <c r="L9585" s="32">
        <f>IFERROR(__xludf.DUMMYFUNCTION("""COMPUTED_VALUE"""),1.0)</f>
        <v>1</v>
      </c>
      <c r="M9585" s="4" t="str">
        <f>IFERROR(__xludf.DUMMYFUNCTION("""COMPUTED_VALUE"""),"null")</f>
        <v>null</v>
      </c>
      <c r="N9585" s="33">
        <f>IFERROR(__xludf.DUMMYFUNCTION("""COMPUTED_VALUE"""),1.0)</f>
        <v>1</v>
      </c>
      <c r="O9585" s="4" t="str">
        <f>IFERROR(__xludf.DUMMYFUNCTION("""COMPUTED_VALUE"""),"null")</f>
        <v>null</v>
      </c>
      <c r="P9585" s="33">
        <f>IFERROR(__xludf.DUMMYFUNCTION("""COMPUTED_VALUE"""),1.0)</f>
        <v>1</v>
      </c>
      <c r="Q9585" s="4" t="str">
        <f>IFERROR(__xludf.DUMMYFUNCTION("""COMPUTED_VALUE"""),"null")</f>
        <v>null</v>
      </c>
      <c r="R9585" s="33">
        <f>IFERROR(__xludf.DUMMYFUNCTION("""COMPUTED_VALUE"""),1.0)</f>
        <v>1</v>
      </c>
      <c r="S9585" s="4" t="str">
        <f>IFERROR(__xludf.DUMMYFUNCTION("""COMPUTED_VALUE"""),"Saipos Serviços De Software")</f>
        <v>Saipos Serviços De Software</v>
      </c>
      <c r="T9585" s="33">
        <f>IFERROR(__xludf.DUMMYFUNCTION("""COMPUTED_VALUE"""),1.0)</f>
        <v>1</v>
      </c>
      <c r="U9585" s="4" t="str">
        <f>IFERROR(__xludf.DUMMYFUNCTION("""COMPUTED_VALUE"""),"Saipos Serviços De Software")</f>
        <v>Saipos Serviços De Software</v>
      </c>
      <c r="V9585" s="33">
        <f>IFERROR(__xludf.DUMMYFUNCTION("""COMPUTED_VALUE"""),1.0)</f>
        <v>1</v>
      </c>
      <c r="W9585" s="4" t="str">
        <f>IFERROR(__xludf.DUMMYFUNCTION("""COMPUTED_VALUE"""),"Saipos Serviços De Software")</f>
        <v>Saipos Serviços De Software</v>
      </c>
      <c r="X9585" s="33">
        <f>IFERROR(__xludf.DUMMYFUNCTION("""COMPUTED_VALUE"""),1.0)</f>
        <v>1</v>
      </c>
    </row>
    <row r="9586">
      <c r="K9586" s="4" t="str">
        <f>IFERROR(__xludf.DUMMYFUNCTION("""COMPUTED_VALUE"""),"JAPA ROLL SUSHI")</f>
        <v>JAPA ROLL SUSHI</v>
      </c>
      <c r="L9586" s="32">
        <f>IFERROR(__xludf.DUMMYFUNCTION("""COMPUTED_VALUE"""),1.0)</f>
        <v>1</v>
      </c>
      <c r="M9586" s="4" t="str">
        <f>IFERROR(__xludf.DUMMYFUNCTION("""COMPUTED_VALUE"""),"Anota Ai Solucoes Digitais S/a")</f>
        <v>Anota Ai Solucoes Digitais S/a</v>
      </c>
      <c r="N9586" s="33">
        <f>IFERROR(__xludf.DUMMYFUNCTION("""COMPUTED_VALUE"""),1.0)</f>
        <v>1</v>
      </c>
      <c r="O9586" s="4" t="str">
        <f>IFERROR(__xludf.DUMMYFUNCTION("""COMPUTED_VALUE"""),"Anota Ai Solucoes Digitais S/a")</f>
        <v>Anota Ai Solucoes Digitais S/a</v>
      </c>
      <c r="P9586" s="33">
        <f>IFERROR(__xludf.DUMMYFUNCTION("""COMPUTED_VALUE"""),1.0)</f>
        <v>1</v>
      </c>
      <c r="Q9586" s="4" t="str">
        <f>IFERROR(__xludf.DUMMYFUNCTION("""COMPUTED_VALUE"""),"Anota Ai Solucoes Digitais S/a")</f>
        <v>Anota Ai Solucoes Digitais S/a</v>
      </c>
      <c r="R9586" s="33">
        <f>IFERROR(__xludf.DUMMYFUNCTION("""COMPUTED_VALUE"""),1.0)</f>
        <v>1</v>
      </c>
      <c r="S9586" s="4" t="str">
        <f>IFERROR(__xludf.DUMMYFUNCTION("""COMPUTED_VALUE"""),"Anota Ai Solucoes Digitais S/a")</f>
        <v>Anota Ai Solucoes Digitais S/a</v>
      </c>
      <c r="T9586" s="33">
        <f>IFERROR(__xludf.DUMMYFUNCTION("""COMPUTED_VALUE"""),1.0)</f>
        <v>1</v>
      </c>
      <c r="U9586" s="4" t="str">
        <f>IFERROR(__xludf.DUMMYFUNCTION("""COMPUTED_VALUE"""),"Anota Ai Solucoes Digitais S/a")</f>
        <v>Anota Ai Solucoes Digitais S/a</v>
      </c>
      <c r="V9586" s="33">
        <f>IFERROR(__xludf.DUMMYFUNCTION("""COMPUTED_VALUE"""),1.0)</f>
        <v>1</v>
      </c>
      <c r="W9586" s="4" t="str">
        <f>IFERROR(__xludf.DUMMYFUNCTION("""COMPUTED_VALUE"""),"Anota Ai Solucoes Digitais S/a")</f>
        <v>Anota Ai Solucoes Digitais S/a</v>
      </c>
      <c r="X9586" s="33">
        <f>IFERROR(__xludf.DUMMYFUNCTION("""COMPUTED_VALUE"""),1.0)</f>
        <v>1</v>
      </c>
    </row>
    <row r="9587">
      <c r="K9587" s="4" t="str">
        <f>IFERROR(__xludf.DUMMYFUNCTION("""COMPUTED_VALUE"""),"JL GRILLS - RESTAURANTE E JANTINHA")</f>
        <v>JL GRILLS - RESTAURANTE E JANTINHA</v>
      </c>
      <c r="L9587" s="32">
        <f>IFERROR(__xludf.DUMMYFUNCTION("""COMPUTED_VALUE"""),1.0)</f>
        <v>1</v>
      </c>
      <c r="M9587" s="4" t="str">
        <f>IFERROR(__xludf.DUMMYFUNCTION("""COMPUTED_VALUE"""),"Cardápio Web")</f>
        <v>Cardápio Web</v>
      </c>
      <c r="N9587" s="33">
        <f>IFERROR(__xludf.DUMMYFUNCTION("""COMPUTED_VALUE"""),1.0)</f>
        <v>1</v>
      </c>
      <c r="O9587" s="4" t="str">
        <f>IFERROR(__xludf.DUMMYFUNCTION("""COMPUTED_VALUE"""),"Cardápio Web")</f>
        <v>Cardápio Web</v>
      </c>
      <c r="P9587" s="33">
        <f>IFERROR(__xludf.DUMMYFUNCTION("""COMPUTED_VALUE"""),1.0)</f>
        <v>1</v>
      </c>
      <c r="Q9587" s="4" t="str">
        <f>IFERROR(__xludf.DUMMYFUNCTION("""COMPUTED_VALUE"""),"null")</f>
        <v>null</v>
      </c>
      <c r="R9587" s="33">
        <f>IFERROR(__xludf.DUMMYFUNCTION("""COMPUTED_VALUE"""),1.0)</f>
        <v>1</v>
      </c>
      <c r="S9587" s="4" t="str">
        <f>IFERROR(__xludf.DUMMYFUNCTION("""COMPUTED_VALUE"""),"null")</f>
        <v>null</v>
      </c>
      <c r="T9587" s="33">
        <f>IFERROR(__xludf.DUMMYFUNCTION("""COMPUTED_VALUE"""),1.0)</f>
        <v>1</v>
      </c>
      <c r="U9587" s="4" t="str">
        <f>IFERROR(__xludf.DUMMYFUNCTION("""COMPUTED_VALUE"""),"null")</f>
        <v>null</v>
      </c>
      <c r="V9587" s="33">
        <f>IFERROR(__xludf.DUMMYFUNCTION("""COMPUTED_VALUE"""),1.0)</f>
        <v>1</v>
      </c>
      <c r="W9587" s="4" t="str">
        <f>IFERROR(__xludf.DUMMYFUNCTION("""COMPUTED_VALUE"""),"null")</f>
        <v>null</v>
      </c>
      <c r="X9587" s="33">
        <f>IFERROR(__xludf.DUMMYFUNCTION("""COMPUTED_VALUE"""),1.0)</f>
        <v>1</v>
      </c>
    </row>
    <row r="9588">
      <c r="K9588" s="4" t="str">
        <f>IFERROR(__xludf.DUMMYFUNCTION("""COMPUTED_VALUE"""),"DOGAO DO FAVELA LTDA")</f>
        <v>DOGAO DO FAVELA LTDA</v>
      </c>
      <c r="L9588" s="32">
        <f>IFERROR(__xludf.DUMMYFUNCTION("""COMPUTED_VALUE"""),1.0)</f>
        <v>1</v>
      </c>
      <c r="M9588" s="4" t="str">
        <f>IFERROR(__xludf.DUMMYFUNCTION("""COMPUTED_VALUE"""),"Saipos Serviços De Software")</f>
        <v>Saipos Serviços De Software</v>
      </c>
      <c r="N9588" s="33">
        <f>IFERROR(__xludf.DUMMYFUNCTION("""COMPUTED_VALUE"""),1.0)</f>
        <v>1</v>
      </c>
      <c r="O9588" s="4" t="str">
        <f>IFERROR(__xludf.DUMMYFUNCTION("""COMPUTED_VALUE"""),"null")</f>
        <v>null</v>
      </c>
      <c r="P9588" s="33">
        <f>IFERROR(__xludf.DUMMYFUNCTION("""COMPUTED_VALUE"""),1.0)</f>
        <v>1</v>
      </c>
      <c r="Q9588" s="4" t="str">
        <f>IFERROR(__xludf.DUMMYFUNCTION("""COMPUTED_VALUE"""),"null")</f>
        <v>null</v>
      </c>
      <c r="R9588" s="33">
        <f>IFERROR(__xludf.DUMMYFUNCTION("""COMPUTED_VALUE"""),1.0)</f>
        <v>1</v>
      </c>
      <c r="S9588" s="4" t="str">
        <f>IFERROR(__xludf.DUMMYFUNCTION("""COMPUTED_VALUE"""),"null")</f>
        <v>null</v>
      </c>
      <c r="T9588" s="33">
        <f>IFERROR(__xludf.DUMMYFUNCTION("""COMPUTED_VALUE"""),1.0)</f>
        <v>1</v>
      </c>
      <c r="U9588" s="4" t="str">
        <f>IFERROR(__xludf.DUMMYFUNCTION("""COMPUTED_VALUE"""),"null")</f>
        <v>null</v>
      </c>
      <c r="V9588" s="33">
        <f>IFERROR(__xludf.DUMMYFUNCTION("""COMPUTED_VALUE"""),1.0)</f>
        <v>1</v>
      </c>
      <c r="W9588" s="4" t="str">
        <f>IFERROR(__xludf.DUMMYFUNCTION("""COMPUTED_VALUE"""),"null")</f>
        <v>null</v>
      </c>
      <c r="X9588" s="33">
        <f>IFERROR(__xludf.DUMMYFUNCTION("""COMPUTED_VALUE"""),1.0)</f>
        <v>1</v>
      </c>
    </row>
    <row r="9589">
      <c r="K9589" s="4" t="str">
        <f>IFERROR(__xludf.DUMMYFUNCTION("""COMPUTED_VALUE"""),"TINO - PIZZARIA ARTESANAL")</f>
        <v>TINO - PIZZARIA ARTESANAL</v>
      </c>
      <c r="L9589" s="32">
        <f>IFERROR(__xludf.DUMMYFUNCTION("""COMPUTED_VALUE"""),1.0)</f>
        <v>1</v>
      </c>
      <c r="M9589" s="4" t="str">
        <f>IFERROR(__xludf.DUMMYFUNCTION("""COMPUTED_VALUE"""),"Cardápio Web")</f>
        <v>Cardápio Web</v>
      </c>
      <c r="N9589" s="33">
        <f>IFERROR(__xludf.DUMMYFUNCTION("""COMPUTED_VALUE"""),1.0)</f>
        <v>1</v>
      </c>
      <c r="O9589" s="4" t="str">
        <f>IFERROR(__xludf.DUMMYFUNCTION("""COMPUTED_VALUE"""),"Cardápio Web")</f>
        <v>Cardápio Web</v>
      </c>
      <c r="P9589" s="33">
        <f>IFERROR(__xludf.DUMMYFUNCTION("""COMPUTED_VALUE"""),1.0)</f>
        <v>1</v>
      </c>
      <c r="Q9589" s="4" t="str">
        <f>IFERROR(__xludf.DUMMYFUNCTION("""COMPUTED_VALUE"""),"Cardápio Web")</f>
        <v>Cardápio Web</v>
      </c>
      <c r="R9589" s="33">
        <f>IFERROR(__xludf.DUMMYFUNCTION("""COMPUTED_VALUE"""),1.0)</f>
        <v>1</v>
      </c>
      <c r="S9589" s="4" t="str">
        <f>IFERROR(__xludf.DUMMYFUNCTION("""COMPUTED_VALUE"""),"Cardápio Web")</f>
        <v>Cardápio Web</v>
      </c>
      <c r="T9589" s="33">
        <f>IFERROR(__xludf.DUMMYFUNCTION("""COMPUTED_VALUE"""),1.0)</f>
        <v>1</v>
      </c>
      <c r="U9589" s="4" t="str">
        <f>IFERROR(__xludf.DUMMYFUNCTION("""COMPUTED_VALUE"""),"Cardápio Web")</f>
        <v>Cardápio Web</v>
      </c>
      <c r="V9589" s="33">
        <f>IFERROR(__xludf.DUMMYFUNCTION("""COMPUTED_VALUE"""),1.0)</f>
        <v>1</v>
      </c>
      <c r="W9589" s="4" t="str">
        <f>IFERROR(__xludf.DUMMYFUNCTION("""COMPUTED_VALUE"""),"Cardápio Web")</f>
        <v>Cardápio Web</v>
      </c>
      <c r="X9589" s="33">
        <f>IFERROR(__xludf.DUMMYFUNCTION("""COMPUTED_VALUE"""),1.0)</f>
        <v>1</v>
      </c>
    </row>
    <row r="9590">
      <c r="K9590" s="4" t="str">
        <f>IFERROR(__xludf.DUMMYFUNCTION("""COMPUTED_VALUE"""),"RESTAURANTE GULOSO FRANGO E ESPETARIA")</f>
        <v>RESTAURANTE GULOSO FRANGO E ESPETARIA</v>
      </c>
      <c r="L9590" s="32">
        <f>IFERROR(__xludf.DUMMYFUNCTION("""COMPUTED_VALUE"""),1.0)</f>
        <v>1</v>
      </c>
      <c r="M9590" s="4" t="str">
        <f>IFERROR(__xludf.DUMMYFUNCTION("""COMPUTED_VALUE"""),"null")</f>
        <v>null</v>
      </c>
      <c r="N9590" s="33">
        <f>IFERROR(__xludf.DUMMYFUNCTION("""COMPUTED_VALUE"""),1.0)</f>
        <v>1</v>
      </c>
      <c r="O9590" s="4" t="str">
        <f>IFERROR(__xludf.DUMMYFUNCTION("""COMPUTED_VALUE"""),"null")</f>
        <v>null</v>
      </c>
      <c r="P9590" s="33">
        <f>IFERROR(__xludf.DUMMYFUNCTION("""COMPUTED_VALUE"""),1.0)</f>
        <v>1</v>
      </c>
      <c r="Q9590" s="4" t="str">
        <f>IFERROR(__xludf.DUMMYFUNCTION("""COMPUTED_VALUE"""),"null")</f>
        <v>null</v>
      </c>
      <c r="R9590" s="33">
        <f>IFERROR(__xludf.DUMMYFUNCTION("""COMPUTED_VALUE"""),1.0)</f>
        <v>1</v>
      </c>
      <c r="S9590" s="4" t="str">
        <f>IFERROR(__xludf.DUMMYFUNCTION("""COMPUTED_VALUE"""),"null")</f>
        <v>null</v>
      </c>
      <c r="T9590" s="33">
        <f>IFERROR(__xludf.DUMMYFUNCTION("""COMPUTED_VALUE"""),1.0)</f>
        <v>1</v>
      </c>
      <c r="U9590" s="4" t="str">
        <f>IFERROR(__xludf.DUMMYFUNCTION("""COMPUTED_VALUE"""),"null")</f>
        <v>null</v>
      </c>
      <c r="V9590" s="33">
        <f>IFERROR(__xludf.DUMMYFUNCTION("""COMPUTED_VALUE"""),1.0)</f>
        <v>1</v>
      </c>
      <c r="W9590" s="4" t="str">
        <f>IFERROR(__xludf.DUMMYFUNCTION("""COMPUTED_VALUE"""),"Agilizup Solucoes Ltda")</f>
        <v>Agilizup Solucoes Ltda</v>
      </c>
      <c r="X9590" s="33">
        <f>IFERROR(__xludf.DUMMYFUNCTION("""COMPUTED_VALUE"""),1.0)</f>
        <v>1</v>
      </c>
    </row>
    <row r="9591">
      <c r="K9591" s="4" t="str">
        <f>IFERROR(__xludf.DUMMYFUNCTION("""COMPUTED_VALUE"""),"EMPORIO DO ASSADO")</f>
        <v>EMPORIO DO ASSADO</v>
      </c>
      <c r="L9591" s="32">
        <f>IFERROR(__xludf.DUMMYFUNCTION("""COMPUTED_VALUE"""),1.0)</f>
        <v>1</v>
      </c>
      <c r="M9591" s="4" t="str">
        <f>IFERROR(__xludf.DUMMYFUNCTION("""COMPUTED_VALUE"""),"Schneider Software")</f>
        <v>Schneider Software</v>
      </c>
      <c r="N9591" s="33">
        <f>IFERROR(__xludf.DUMMYFUNCTION("""COMPUTED_VALUE"""),1.0)</f>
        <v>1</v>
      </c>
      <c r="O9591" s="4" t="str">
        <f>IFERROR(__xludf.DUMMYFUNCTION("""COMPUTED_VALUE"""),"Schneider Software")</f>
        <v>Schneider Software</v>
      </c>
      <c r="P9591" s="33">
        <f>IFERROR(__xludf.DUMMYFUNCTION("""COMPUTED_VALUE"""),1.0)</f>
        <v>1</v>
      </c>
      <c r="Q9591" s="4" t="str">
        <f>IFERROR(__xludf.DUMMYFUNCTION("""COMPUTED_VALUE"""),"Schneider Software")</f>
        <v>Schneider Software</v>
      </c>
      <c r="R9591" s="33">
        <f>IFERROR(__xludf.DUMMYFUNCTION("""COMPUTED_VALUE"""),1.0)</f>
        <v>1</v>
      </c>
      <c r="S9591" s="4" t="str">
        <f>IFERROR(__xludf.DUMMYFUNCTION("""COMPUTED_VALUE"""),"Schneider Software")</f>
        <v>Schneider Software</v>
      </c>
      <c r="T9591" s="33">
        <f>IFERROR(__xludf.DUMMYFUNCTION("""COMPUTED_VALUE"""),1.0)</f>
        <v>1</v>
      </c>
      <c r="U9591" s="4" t="str">
        <f>IFERROR(__xludf.DUMMYFUNCTION("""COMPUTED_VALUE"""),"Schneider Software")</f>
        <v>Schneider Software</v>
      </c>
      <c r="V9591" s="33">
        <f>IFERROR(__xludf.DUMMYFUNCTION("""COMPUTED_VALUE"""),1.0)</f>
        <v>1</v>
      </c>
      <c r="W9591" s="4" t="str">
        <f>IFERROR(__xludf.DUMMYFUNCTION("""COMPUTED_VALUE"""),"Schneider Software")</f>
        <v>Schneider Software</v>
      </c>
      <c r="X9591" s="33">
        <f>IFERROR(__xludf.DUMMYFUNCTION("""COMPUTED_VALUE"""),1.0)</f>
        <v>1</v>
      </c>
    </row>
    <row r="9592">
      <c r="K9592" s="4" t="str">
        <f>IFERROR(__xludf.DUMMYFUNCTION("""COMPUTED_VALUE"""),"NERO PIZZAS")</f>
        <v>NERO PIZZAS</v>
      </c>
      <c r="L9592" s="32">
        <f>IFERROR(__xludf.DUMMYFUNCTION("""COMPUTED_VALUE"""),1.0)</f>
        <v>1</v>
      </c>
      <c r="M9592" s="4" t="str">
        <f>IFERROR(__xludf.DUMMYFUNCTION("""COMPUTED_VALUE"""),"null")</f>
        <v>null</v>
      </c>
      <c r="N9592" s="33">
        <f>IFERROR(__xludf.DUMMYFUNCTION("""COMPUTED_VALUE"""),1.0)</f>
        <v>1</v>
      </c>
      <c r="O9592" s="4" t="str">
        <f>IFERROR(__xludf.DUMMYFUNCTION("""COMPUTED_VALUE"""),"null")</f>
        <v>null</v>
      </c>
      <c r="P9592" s="33">
        <f>IFERROR(__xludf.DUMMYFUNCTION("""COMPUTED_VALUE"""),1.0)</f>
        <v>1</v>
      </c>
      <c r="Q9592" s="4" t="str">
        <f>IFERROR(__xludf.DUMMYFUNCTION("""COMPUTED_VALUE"""),"null")</f>
        <v>null</v>
      </c>
      <c r="R9592" s="33">
        <f>IFERROR(__xludf.DUMMYFUNCTION("""COMPUTED_VALUE"""),1.0)</f>
        <v>1</v>
      </c>
      <c r="S9592" s="4" t="str">
        <f>IFERROR(__xludf.DUMMYFUNCTION("""COMPUTED_VALUE"""),"null")</f>
        <v>null</v>
      </c>
      <c r="T9592" s="33">
        <f>IFERROR(__xludf.DUMMYFUNCTION("""COMPUTED_VALUE"""),1.0)</f>
        <v>1</v>
      </c>
      <c r="U9592" s="4" t="str">
        <f>IFERROR(__xludf.DUMMYFUNCTION("""COMPUTED_VALUE"""),"null")</f>
        <v>null</v>
      </c>
      <c r="V9592" s="33">
        <f>IFERROR(__xludf.DUMMYFUNCTION("""COMPUTED_VALUE"""),1.0)</f>
        <v>1</v>
      </c>
      <c r="W9592" s="4" t="str">
        <f>IFERROR(__xludf.DUMMYFUNCTION("""COMPUTED_VALUE"""),"Cardápio Web")</f>
        <v>Cardápio Web</v>
      </c>
      <c r="X9592" s="33">
        <f>IFERROR(__xludf.DUMMYFUNCTION("""COMPUTED_VALUE"""),1.0)</f>
        <v>1</v>
      </c>
    </row>
    <row r="9593">
      <c r="K9593" s="4" t="str">
        <f>IFERROR(__xludf.DUMMYFUNCTION("""COMPUTED_VALUE"""),"VALEN CONFEITARIA")</f>
        <v>VALEN CONFEITARIA</v>
      </c>
      <c r="L9593" s="32">
        <f>IFERROR(__xludf.DUMMYFUNCTION("""COMPUTED_VALUE"""),1.0)</f>
        <v>1</v>
      </c>
      <c r="M9593" s="4" t="str">
        <f>IFERROR(__xludf.DUMMYFUNCTION("""COMPUTED_VALUE"""),"null")</f>
        <v>null</v>
      </c>
      <c r="N9593" s="33">
        <f>IFERROR(__xludf.DUMMYFUNCTION("""COMPUTED_VALUE"""),1.0)</f>
        <v>1</v>
      </c>
      <c r="O9593" s="4" t="str">
        <f>IFERROR(__xludf.DUMMYFUNCTION("""COMPUTED_VALUE"""),"Saipos Serviços De Software")</f>
        <v>Saipos Serviços De Software</v>
      </c>
      <c r="P9593" s="33">
        <f>IFERROR(__xludf.DUMMYFUNCTION("""COMPUTED_VALUE"""),1.0)</f>
        <v>1</v>
      </c>
      <c r="Q9593" s="4" t="str">
        <f>IFERROR(__xludf.DUMMYFUNCTION("""COMPUTED_VALUE"""),"Saipos Serviços De Software")</f>
        <v>Saipos Serviços De Software</v>
      </c>
      <c r="R9593" s="33">
        <f>IFERROR(__xludf.DUMMYFUNCTION("""COMPUTED_VALUE"""),1.0)</f>
        <v>1</v>
      </c>
      <c r="S9593" s="4" t="str">
        <f>IFERROR(__xludf.DUMMYFUNCTION("""COMPUTED_VALUE"""),"Saipos Serviços De Software")</f>
        <v>Saipos Serviços De Software</v>
      </c>
      <c r="T9593" s="33">
        <f>IFERROR(__xludf.DUMMYFUNCTION("""COMPUTED_VALUE"""),1.0)</f>
        <v>1</v>
      </c>
      <c r="U9593" s="4" t="str">
        <f>IFERROR(__xludf.DUMMYFUNCTION("""COMPUTED_VALUE"""),"null")</f>
        <v>null</v>
      </c>
      <c r="V9593" s="33">
        <f>IFERROR(__xludf.DUMMYFUNCTION("""COMPUTED_VALUE"""),1.0)</f>
        <v>1</v>
      </c>
      <c r="W9593" s="4" t="str">
        <f>IFERROR(__xludf.DUMMYFUNCTION("""COMPUTED_VALUE"""),"Schneider Software")</f>
        <v>Schneider Software</v>
      </c>
      <c r="X9593" s="33">
        <f>IFERROR(__xludf.DUMMYFUNCTION("""COMPUTED_VALUE"""),1.0)</f>
        <v>1</v>
      </c>
    </row>
    <row r="9594">
      <c r="K9594" s="4" t="str">
        <f>IFERROR(__xludf.DUMMYFUNCTION("""COMPUTED_VALUE"""),"DEDS BURGER")</f>
        <v>DEDS BURGER</v>
      </c>
      <c r="L9594" s="32">
        <f>IFERROR(__xludf.DUMMYFUNCTION("""COMPUTED_VALUE"""),1.0)</f>
        <v>1</v>
      </c>
      <c r="M9594" s="4" t="str">
        <f>IFERROR(__xludf.DUMMYFUNCTION("""COMPUTED_VALUE"""),"Wls Solucoes Empresariais Ltda")</f>
        <v>Wls Solucoes Empresariais Ltda</v>
      </c>
      <c r="N9594" s="33">
        <f>IFERROR(__xludf.DUMMYFUNCTION("""COMPUTED_VALUE"""),1.0)</f>
        <v>1</v>
      </c>
      <c r="O9594" s="4" t="str">
        <f>IFERROR(__xludf.DUMMYFUNCTION("""COMPUTED_VALUE"""),"Wls Solucoes Empresariais Ltda")</f>
        <v>Wls Solucoes Empresariais Ltda</v>
      </c>
      <c r="P9594" s="33">
        <f>IFERROR(__xludf.DUMMYFUNCTION("""COMPUTED_VALUE"""),1.0)</f>
        <v>1</v>
      </c>
      <c r="Q9594" s="4" t="str">
        <f>IFERROR(__xludf.DUMMYFUNCTION("""COMPUTED_VALUE"""),"Wls Solucoes Empresariais Ltda")</f>
        <v>Wls Solucoes Empresariais Ltda</v>
      </c>
      <c r="R9594" s="33">
        <f>IFERROR(__xludf.DUMMYFUNCTION("""COMPUTED_VALUE"""),1.0)</f>
        <v>1</v>
      </c>
      <c r="S9594" s="4" t="str">
        <f>IFERROR(__xludf.DUMMYFUNCTION("""COMPUTED_VALUE"""),"Wls Solucoes Empresariais Ltda")</f>
        <v>Wls Solucoes Empresariais Ltda</v>
      </c>
      <c r="T9594" s="33">
        <f>IFERROR(__xludf.DUMMYFUNCTION("""COMPUTED_VALUE"""),1.0)</f>
        <v>1</v>
      </c>
      <c r="U9594" s="4" t="str">
        <f>IFERROR(__xludf.DUMMYFUNCTION("""COMPUTED_VALUE"""),"Wls Solucoes Empresariais Ltda")</f>
        <v>Wls Solucoes Empresariais Ltda</v>
      </c>
      <c r="V9594" s="33">
        <f>IFERROR(__xludf.DUMMYFUNCTION("""COMPUTED_VALUE"""),1.0)</f>
        <v>1</v>
      </c>
      <c r="W9594" s="4" t="str">
        <f>IFERROR(__xludf.DUMMYFUNCTION("""COMPUTED_VALUE"""),"Wls Solucoes Empresariais Ltda")</f>
        <v>Wls Solucoes Empresariais Ltda</v>
      </c>
      <c r="X9594" s="33">
        <f>IFERROR(__xludf.DUMMYFUNCTION("""COMPUTED_VALUE"""),1.0)</f>
        <v>1</v>
      </c>
    </row>
    <row r="9595">
      <c r="K9595" s="4" t="str">
        <f>IFERROR(__xludf.DUMMYFUNCTION("""COMPUTED_VALUE"""),"CAMOMILA DA COLONIA CENTRO CURITIBA")</f>
        <v>CAMOMILA DA COLONIA CENTRO CURITIBA</v>
      </c>
      <c r="L9595" s="32">
        <f>IFERROR(__xludf.DUMMYFUNCTION("""COMPUTED_VALUE"""),1.0)</f>
        <v>1</v>
      </c>
      <c r="M9595" s="4" t="str">
        <f>IFERROR(__xludf.DUMMYFUNCTION("""COMPUTED_VALUE"""),"null")</f>
        <v>null</v>
      </c>
      <c r="N9595" s="33">
        <f>IFERROR(__xludf.DUMMYFUNCTION("""COMPUTED_VALUE"""),1.0)</f>
        <v>1</v>
      </c>
      <c r="O9595" s="4" t="str">
        <f>IFERROR(__xludf.DUMMYFUNCTION("""COMPUTED_VALUE"""),"null")</f>
        <v>null</v>
      </c>
      <c r="P9595" s="33">
        <f>IFERROR(__xludf.DUMMYFUNCTION("""COMPUTED_VALUE"""),1.0)</f>
        <v>1</v>
      </c>
      <c r="Q9595" s="4" t="str">
        <f>IFERROR(__xludf.DUMMYFUNCTION("""COMPUTED_VALUE"""),"null")</f>
        <v>null</v>
      </c>
      <c r="R9595" s="33">
        <f>IFERROR(__xludf.DUMMYFUNCTION("""COMPUTED_VALUE"""),1.0)</f>
        <v>1</v>
      </c>
      <c r="S9595" s="4" t="str">
        <f>IFERROR(__xludf.DUMMYFUNCTION("""COMPUTED_VALUE"""),"null")</f>
        <v>null</v>
      </c>
      <c r="T9595" s="33">
        <f>IFERROR(__xludf.DUMMYFUNCTION("""COMPUTED_VALUE"""),1.0)</f>
        <v>1</v>
      </c>
      <c r="U9595" s="4" t="str">
        <f>IFERROR(__xludf.DUMMYFUNCTION("""COMPUTED_VALUE"""),"N/A (Not found)")</f>
        <v>N/A (Not found)</v>
      </c>
      <c r="V9595" s="33">
        <f>IFERROR(__xludf.DUMMYFUNCTION("""COMPUTED_VALUE"""),1.0)</f>
        <v>1</v>
      </c>
      <c r="W9595" s="4" t="str">
        <f>IFERROR(__xludf.DUMMYFUNCTION("""COMPUTED_VALUE"""),"null")</f>
        <v>null</v>
      </c>
      <c r="X9595" s="33">
        <f>IFERROR(__xludf.DUMMYFUNCTION("""COMPUTED_VALUE"""),1.0)</f>
        <v>1</v>
      </c>
    </row>
    <row r="9596">
      <c r="K9596" s="4" t="str">
        <f>IFERROR(__xludf.DUMMYFUNCTION("""COMPUTED_VALUE"""),"CLEITON DOCES E QUEIJOS")</f>
        <v>CLEITON DOCES E QUEIJOS</v>
      </c>
      <c r="L9596" s="32">
        <f>IFERROR(__xludf.DUMMYFUNCTION("""COMPUTED_VALUE"""),1.0)</f>
        <v>1</v>
      </c>
      <c r="M9596" s="4" t="str">
        <f>IFERROR(__xludf.DUMMYFUNCTION("""COMPUTED_VALUE"""),"Cervantes Tecnologia")</f>
        <v>Cervantes Tecnologia</v>
      </c>
      <c r="N9596" s="33">
        <f>IFERROR(__xludf.DUMMYFUNCTION("""COMPUTED_VALUE"""),1.0)</f>
        <v>1</v>
      </c>
      <c r="O9596" s="4" t="str">
        <f>IFERROR(__xludf.DUMMYFUNCTION("""COMPUTED_VALUE"""),"null")</f>
        <v>null</v>
      </c>
      <c r="P9596" s="33">
        <f>IFERROR(__xludf.DUMMYFUNCTION("""COMPUTED_VALUE"""),1.0)</f>
        <v>1</v>
      </c>
      <c r="Q9596" s="4" t="str">
        <f>IFERROR(__xludf.DUMMYFUNCTION("""COMPUTED_VALUE"""),"null")</f>
        <v>null</v>
      </c>
      <c r="R9596" s="33">
        <f>IFERROR(__xludf.DUMMYFUNCTION("""COMPUTED_VALUE"""),1.0)</f>
        <v>1</v>
      </c>
      <c r="S9596" s="4" t="str">
        <f>IFERROR(__xludf.DUMMYFUNCTION("""COMPUTED_VALUE"""),"null")</f>
        <v>null</v>
      </c>
      <c r="T9596" s="33">
        <f>IFERROR(__xludf.DUMMYFUNCTION("""COMPUTED_VALUE"""),1.0)</f>
        <v>1</v>
      </c>
      <c r="U9596" s="4" t="str">
        <f>IFERROR(__xludf.DUMMYFUNCTION("""COMPUTED_VALUE"""),"null")</f>
        <v>null</v>
      </c>
      <c r="V9596" s="33">
        <f>IFERROR(__xludf.DUMMYFUNCTION("""COMPUTED_VALUE"""),1.0)</f>
        <v>1</v>
      </c>
      <c r="W9596" s="4" t="str">
        <f>IFERROR(__xludf.DUMMYFUNCTION("""COMPUTED_VALUE"""),"null")</f>
        <v>null</v>
      </c>
      <c r="X9596" s="33">
        <f>IFERROR(__xludf.DUMMYFUNCTION("""COMPUTED_VALUE"""),1.0)</f>
        <v>1</v>
      </c>
    </row>
    <row r="9597">
      <c r="K9597" s="4" t="str">
        <f>IFERROR(__xludf.DUMMYFUNCTION("""COMPUTED_VALUE"""),"EMPORIO SAO JORGE")</f>
        <v>EMPORIO SAO JORGE</v>
      </c>
      <c r="L9597" s="32">
        <f>IFERROR(__xludf.DUMMYFUNCTION("""COMPUTED_VALUE"""),1.0)</f>
        <v>1</v>
      </c>
      <c r="M9597" s="4" t="str">
        <f>IFERROR(__xludf.DUMMYFUNCTION("""COMPUTED_VALUE"""),"N/A (Not found)")</f>
        <v>N/A (Not found)</v>
      </c>
      <c r="N9597" s="33">
        <f>IFERROR(__xludf.DUMMYFUNCTION("""COMPUTED_VALUE"""),1.0)</f>
        <v>1</v>
      </c>
      <c r="O9597" s="4" t="str">
        <f>IFERROR(__xludf.DUMMYFUNCTION("""COMPUTED_VALUE"""),"N/A (Not found)")</f>
        <v>N/A (Not found)</v>
      </c>
      <c r="P9597" s="33">
        <f>IFERROR(__xludf.DUMMYFUNCTION("""COMPUTED_VALUE"""),1.0)</f>
        <v>1</v>
      </c>
      <c r="Q9597" s="4" t="str">
        <f>IFERROR(__xludf.DUMMYFUNCTION("""COMPUTED_VALUE"""),"null")</f>
        <v>null</v>
      </c>
      <c r="R9597" s="33">
        <f>IFERROR(__xludf.DUMMYFUNCTION("""COMPUTED_VALUE"""),1.0)</f>
        <v>1</v>
      </c>
      <c r="S9597" s="4" t="str">
        <f>IFERROR(__xludf.DUMMYFUNCTION("""COMPUTED_VALUE"""),"null")</f>
        <v>null</v>
      </c>
      <c r="T9597" s="33">
        <f>IFERROR(__xludf.DUMMYFUNCTION("""COMPUTED_VALUE"""),1.0)</f>
        <v>1</v>
      </c>
      <c r="U9597" s="4" t="str">
        <f>IFERROR(__xludf.DUMMYFUNCTION("""COMPUTED_VALUE"""),"null")</f>
        <v>null</v>
      </c>
      <c r="V9597" s="33">
        <f>IFERROR(__xludf.DUMMYFUNCTION("""COMPUTED_VALUE"""),1.0)</f>
        <v>1</v>
      </c>
      <c r="W9597" s="4" t="str">
        <f>IFERROR(__xludf.DUMMYFUNCTION("""COMPUTED_VALUE"""),"null")</f>
        <v>null</v>
      </c>
      <c r="X9597" s="33">
        <f>IFERROR(__xludf.DUMMYFUNCTION("""COMPUTED_VALUE"""),1.0)</f>
        <v>1</v>
      </c>
    </row>
    <row r="9598">
      <c r="K9598" s="4" t="str">
        <f>IFERROR(__xludf.DUMMYFUNCTION("""COMPUTED_VALUE"""),"MERCADO NETTO")</f>
        <v>MERCADO NETTO</v>
      </c>
      <c r="L9598" s="32">
        <f>IFERROR(__xludf.DUMMYFUNCTION("""COMPUTED_VALUE"""),1.0)</f>
        <v>1</v>
      </c>
      <c r="M9598" s="4" t="str">
        <f>IFERROR(__xludf.DUMMYFUNCTION("""COMPUTED_VALUE"""),"null")</f>
        <v>null</v>
      </c>
      <c r="N9598" s="33">
        <f>IFERROR(__xludf.DUMMYFUNCTION("""COMPUTED_VALUE"""),1.0)</f>
        <v>1</v>
      </c>
      <c r="O9598" s="4" t="str">
        <f>IFERROR(__xludf.DUMMYFUNCTION("""COMPUTED_VALUE"""),"null")</f>
        <v>null</v>
      </c>
      <c r="P9598" s="33">
        <f>IFERROR(__xludf.DUMMYFUNCTION("""COMPUTED_VALUE"""),1.0)</f>
        <v>1</v>
      </c>
      <c r="Q9598" s="4" t="str">
        <f>IFERROR(__xludf.DUMMYFUNCTION("""COMPUTED_VALUE"""),"N/A (Not found)")</f>
        <v>N/A (Not found)</v>
      </c>
      <c r="R9598" s="33">
        <f>IFERROR(__xludf.DUMMYFUNCTION("""COMPUTED_VALUE"""),1.0)</f>
        <v>1</v>
      </c>
      <c r="S9598" s="4" t="str">
        <f>IFERROR(__xludf.DUMMYFUNCTION("""COMPUTED_VALUE"""),"N/A (Not found)")</f>
        <v>N/A (Not found)</v>
      </c>
      <c r="T9598" s="33">
        <f>IFERROR(__xludf.DUMMYFUNCTION("""COMPUTED_VALUE"""),1.0)</f>
        <v>1</v>
      </c>
      <c r="U9598" s="4" t="str">
        <f>IFERROR(__xludf.DUMMYFUNCTION("""COMPUTED_VALUE"""),"N/A (Not found)")</f>
        <v>N/A (Not found)</v>
      </c>
      <c r="V9598" s="33">
        <f>IFERROR(__xludf.DUMMYFUNCTION("""COMPUTED_VALUE"""),1.0)</f>
        <v>1</v>
      </c>
      <c r="W9598" s="4" t="str">
        <f>IFERROR(__xludf.DUMMYFUNCTION("""COMPUTED_VALUE"""),"N/A (Not found)")</f>
        <v>N/A (Not found)</v>
      </c>
      <c r="X9598" s="33">
        <f>IFERROR(__xludf.DUMMYFUNCTION("""COMPUTED_VALUE"""),1.0)</f>
        <v>1</v>
      </c>
    </row>
    <row r="9599">
      <c r="K9599" s="4" t="str">
        <f>IFERROR(__xludf.DUMMYFUNCTION("""COMPUTED_VALUE"""),"STAR BURGER - DELIVERY E RETIRADA")</f>
        <v>STAR BURGER - DELIVERY E RETIRADA</v>
      </c>
      <c r="L9599" s="32">
        <f>IFERROR(__xludf.DUMMYFUNCTION("""COMPUTED_VALUE"""),1.0)</f>
        <v>1</v>
      </c>
      <c r="M9599" s="4" t="str">
        <f>IFERROR(__xludf.DUMMYFUNCTION("""COMPUTED_VALUE"""),"Saipos Serviços De Software")</f>
        <v>Saipos Serviços De Software</v>
      </c>
      <c r="N9599" s="33">
        <f>IFERROR(__xludf.DUMMYFUNCTION("""COMPUTED_VALUE"""),1.0)</f>
        <v>1</v>
      </c>
      <c r="O9599" s="4" t="str">
        <f>IFERROR(__xludf.DUMMYFUNCTION("""COMPUTED_VALUE"""),"Saipos Serviços De Software")</f>
        <v>Saipos Serviços De Software</v>
      </c>
      <c r="P9599" s="33">
        <f>IFERROR(__xludf.DUMMYFUNCTION("""COMPUTED_VALUE"""),1.0)</f>
        <v>1</v>
      </c>
      <c r="Q9599" s="4" t="str">
        <f>IFERROR(__xludf.DUMMYFUNCTION("""COMPUTED_VALUE"""),"Saipos Serviços De Software")</f>
        <v>Saipos Serviços De Software</v>
      </c>
      <c r="R9599" s="33">
        <f>IFERROR(__xludf.DUMMYFUNCTION("""COMPUTED_VALUE"""),1.0)</f>
        <v>1</v>
      </c>
      <c r="S9599" s="4" t="str">
        <f>IFERROR(__xludf.DUMMYFUNCTION("""COMPUTED_VALUE"""),"Saipos Serviços De Software")</f>
        <v>Saipos Serviços De Software</v>
      </c>
      <c r="T9599" s="33">
        <f>IFERROR(__xludf.DUMMYFUNCTION("""COMPUTED_VALUE"""),1.0)</f>
        <v>1</v>
      </c>
      <c r="U9599" s="4" t="str">
        <f>IFERROR(__xludf.DUMMYFUNCTION("""COMPUTED_VALUE"""),"Saipos Serviços De Software")</f>
        <v>Saipos Serviços De Software</v>
      </c>
      <c r="V9599" s="33">
        <f>IFERROR(__xludf.DUMMYFUNCTION("""COMPUTED_VALUE"""),1.0)</f>
        <v>1</v>
      </c>
      <c r="W9599" s="4" t="str">
        <f>IFERROR(__xludf.DUMMYFUNCTION("""COMPUTED_VALUE"""),"Saipos Serviços De Software")</f>
        <v>Saipos Serviços De Software</v>
      </c>
      <c r="X9599" s="33">
        <f>IFERROR(__xludf.DUMMYFUNCTION("""COMPUTED_VALUE"""),1.0)</f>
        <v>1</v>
      </c>
    </row>
    <row r="9600">
      <c r="K9600" s="4" t="str">
        <f>IFERROR(__xludf.DUMMYFUNCTION("""COMPUTED_VALUE"""),"SHIZU RESTAURANTE")</f>
        <v>SHIZU RESTAURANTE</v>
      </c>
      <c r="L9600" s="32">
        <f>IFERROR(__xludf.DUMMYFUNCTION("""COMPUTED_VALUE"""),1.0)</f>
        <v>1</v>
      </c>
      <c r="M9600" s="4" t="str">
        <f>IFERROR(__xludf.DUMMYFUNCTION("""COMPUTED_VALUE"""),"null")</f>
        <v>null</v>
      </c>
      <c r="N9600" s="33">
        <f>IFERROR(__xludf.DUMMYFUNCTION("""COMPUTED_VALUE"""),1.0)</f>
        <v>1</v>
      </c>
      <c r="O9600" s="4" t="str">
        <f>IFERROR(__xludf.DUMMYFUNCTION("""COMPUTED_VALUE"""),"null")</f>
        <v>null</v>
      </c>
      <c r="P9600" s="33">
        <f>IFERROR(__xludf.DUMMYFUNCTION("""COMPUTED_VALUE"""),1.0)</f>
        <v>1</v>
      </c>
      <c r="Q9600" s="4" t="str">
        <f>IFERROR(__xludf.DUMMYFUNCTION("""COMPUTED_VALUE"""),"null")</f>
        <v>null</v>
      </c>
      <c r="R9600" s="33">
        <f>IFERROR(__xludf.DUMMYFUNCTION("""COMPUTED_VALUE"""),1.0)</f>
        <v>1</v>
      </c>
      <c r="S9600" s="4" t="str">
        <f>IFERROR(__xludf.DUMMYFUNCTION("""COMPUTED_VALUE"""),"null")</f>
        <v>null</v>
      </c>
      <c r="T9600" s="33">
        <f>IFERROR(__xludf.DUMMYFUNCTION("""COMPUTED_VALUE"""),1.0)</f>
        <v>1</v>
      </c>
      <c r="U9600" s="4" t="str">
        <f>IFERROR(__xludf.DUMMYFUNCTION("""COMPUTED_VALUE"""),"null")</f>
        <v>null</v>
      </c>
      <c r="V9600" s="33">
        <f>IFERROR(__xludf.DUMMYFUNCTION("""COMPUTED_VALUE"""),1.0)</f>
        <v>1</v>
      </c>
      <c r="W9600" s="4" t="str">
        <f>IFERROR(__xludf.DUMMYFUNCTION("""COMPUTED_VALUE"""),"Saipos Serviços De Software")</f>
        <v>Saipos Serviços De Software</v>
      </c>
      <c r="X9600" s="33">
        <f>IFERROR(__xludf.DUMMYFUNCTION("""COMPUTED_VALUE"""),1.0)</f>
        <v>1</v>
      </c>
    </row>
    <row r="9601">
      <c r="K9601" s="4" t="str">
        <f>IFERROR(__xludf.DUMMYFUNCTION("""COMPUTED_VALUE"""),"BLACK BURGER - HAMBURGUERIA ARTESANAL")</f>
        <v>BLACK BURGER - HAMBURGUERIA ARTESANAL</v>
      </c>
      <c r="L9601" s="32">
        <f>IFERROR(__xludf.DUMMYFUNCTION("""COMPUTED_VALUE"""),1.0)</f>
        <v>1</v>
      </c>
      <c r="M9601" s="4" t="str">
        <f>IFERROR(__xludf.DUMMYFUNCTION("""COMPUTED_VALUE"""),"Brendi")</f>
        <v>Brendi</v>
      </c>
      <c r="N9601" s="33">
        <f>IFERROR(__xludf.DUMMYFUNCTION("""COMPUTED_VALUE"""),1.0)</f>
        <v>1</v>
      </c>
      <c r="O9601" s="4" t="str">
        <f>IFERROR(__xludf.DUMMYFUNCTION("""COMPUTED_VALUE"""),"null")</f>
        <v>null</v>
      </c>
      <c r="P9601" s="33">
        <f>IFERROR(__xludf.DUMMYFUNCTION("""COMPUTED_VALUE"""),1.0)</f>
        <v>1</v>
      </c>
      <c r="Q9601" s="4" t="str">
        <f>IFERROR(__xludf.DUMMYFUNCTION("""COMPUTED_VALUE"""),"Brendi")</f>
        <v>Brendi</v>
      </c>
      <c r="R9601" s="33">
        <f>IFERROR(__xludf.DUMMYFUNCTION("""COMPUTED_VALUE"""),1.0)</f>
        <v>1</v>
      </c>
      <c r="S9601" s="4" t="str">
        <f>IFERROR(__xludf.DUMMYFUNCTION("""COMPUTED_VALUE"""),"Brendi")</f>
        <v>Brendi</v>
      </c>
      <c r="T9601" s="33">
        <f>IFERROR(__xludf.DUMMYFUNCTION("""COMPUTED_VALUE"""),1.0)</f>
        <v>1</v>
      </c>
      <c r="U9601" s="4" t="str">
        <f>IFERROR(__xludf.DUMMYFUNCTION("""COMPUTED_VALUE"""),"Brendi")</f>
        <v>Brendi</v>
      </c>
      <c r="V9601" s="33">
        <f>IFERROR(__xludf.DUMMYFUNCTION("""COMPUTED_VALUE"""),1.0)</f>
        <v>1</v>
      </c>
      <c r="W9601" s="4" t="str">
        <f>IFERROR(__xludf.DUMMYFUNCTION("""COMPUTED_VALUE"""),"Brendi")</f>
        <v>Brendi</v>
      </c>
      <c r="X9601" s="33">
        <f>IFERROR(__xludf.DUMMYFUNCTION("""COMPUTED_VALUE"""),1.0)</f>
        <v>1</v>
      </c>
    </row>
    <row r="9602">
      <c r="K9602" s="4" t="str">
        <f>IFERROR(__xludf.DUMMYFUNCTION("""COMPUTED_VALUE"""),"PIZZARIA MATRIX")</f>
        <v>PIZZARIA MATRIX</v>
      </c>
      <c r="L9602" s="32">
        <f>IFERROR(__xludf.DUMMYFUNCTION("""COMPUTED_VALUE"""),1.0)</f>
        <v>1</v>
      </c>
      <c r="M9602" s="4" t="str">
        <f>IFERROR(__xludf.DUMMYFUNCTION("""COMPUTED_VALUE"""),"Cardápio Web")</f>
        <v>Cardápio Web</v>
      </c>
      <c r="N9602" s="33">
        <f>IFERROR(__xludf.DUMMYFUNCTION("""COMPUTED_VALUE"""),1.0)</f>
        <v>1</v>
      </c>
      <c r="O9602" s="4" t="str">
        <f>IFERROR(__xludf.DUMMYFUNCTION("""COMPUTED_VALUE"""),"Cardápio Web")</f>
        <v>Cardápio Web</v>
      </c>
      <c r="P9602" s="33">
        <f>IFERROR(__xludf.DUMMYFUNCTION("""COMPUTED_VALUE"""),1.0)</f>
        <v>1</v>
      </c>
      <c r="Q9602" s="4" t="str">
        <f>IFERROR(__xludf.DUMMYFUNCTION("""COMPUTED_VALUE"""),"Cardápio Web")</f>
        <v>Cardápio Web</v>
      </c>
      <c r="R9602" s="33">
        <f>IFERROR(__xludf.DUMMYFUNCTION("""COMPUTED_VALUE"""),1.0)</f>
        <v>1</v>
      </c>
      <c r="S9602" s="4" t="str">
        <f>IFERROR(__xludf.DUMMYFUNCTION("""COMPUTED_VALUE"""),"Cardápio Web")</f>
        <v>Cardápio Web</v>
      </c>
      <c r="T9602" s="33">
        <f>IFERROR(__xludf.DUMMYFUNCTION("""COMPUTED_VALUE"""),1.0)</f>
        <v>1</v>
      </c>
      <c r="U9602" s="4" t="str">
        <f>IFERROR(__xludf.DUMMYFUNCTION("""COMPUTED_VALUE"""),"Cardápio Web")</f>
        <v>Cardápio Web</v>
      </c>
      <c r="V9602" s="33">
        <f>IFERROR(__xludf.DUMMYFUNCTION("""COMPUTED_VALUE"""),1.0)</f>
        <v>1</v>
      </c>
      <c r="W9602" s="4" t="str">
        <f>IFERROR(__xludf.DUMMYFUNCTION("""COMPUTED_VALUE"""),"Brendi")</f>
        <v>Brendi</v>
      </c>
      <c r="X9602" s="33">
        <f>IFERROR(__xludf.DUMMYFUNCTION("""COMPUTED_VALUE"""),1.0)</f>
        <v>1</v>
      </c>
    </row>
    <row r="9603">
      <c r="K9603" s="4" t="str">
        <f>IFERROR(__xludf.DUMMYFUNCTION("""COMPUTED_VALUE"""),"BRONX BURGUER - HAMBURGUERIA")</f>
        <v>BRONX BURGUER - HAMBURGUERIA</v>
      </c>
      <c r="L9603" s="32">
        <f>IFERROR(__xludf.DUMMYFUNCTION("""COMPUTED_VALUE"""),1.0)</f>
        <v>1</v>
      </c>
      <c r="M9603" s="4" t="str">
        <f>IFERROR(__xludf.DUMMYFUNCTION("""COMPUTED_VALUE"""),"null")</f>
        <v>null</v>
      </c>
      <c r="N9603" s="33">
        <f>IFERROR(__xludf.DUMMYFUNCTION("""COMPUTED_VALUE"""),1.0)</f>
        <v>1</v>
      </c>
      <c r="O9603" s="4" t="str">
        <f>IFERROR(__xludf.DUMMYFUNCTION("""COMPUTED_VALUE"""),"null")</f>
        <v>null</v>
      </c>
      <c r="P9603" s="33">
        <f>IFERROR(__xludf.DUMMYFUNCTION("""COMPUTED_VALUE"""),1.0)</f>
        <v>1</v>
      </c>
      <c r="Q9603" s="4" t="str">
        <f>IFERROR(__xludf.DUMMYFUNCTION("""COMPUTED_VALUE"""),"null")</f>
        <v>null</v>
      </c>
      <c r="R9603" s="33">
        <f>IFERROR(__xludf.DUMMYFUNCTION("""COMPUTED_VALUE"""),1.0)</f>
        <v>1</v>
      </c>
      <c r="S9603" s="4" t="str">
        <f>IFERROR(__xludf.DUMMYFUNCTION("""COMPUTED_VALUE"""),"null")</f>
        <v>null</v>
      </c>
      <c r="T9603" s="33">
        <f>IFERROR(__xludf.DUMMYFUNCTION("""COMPUTED_VALUE"""),1.0)</f>
        <v>1</v>
      </c>
      <c r="U9603" s="4" t="str">
        <f>IFERROR(__xludf.DUMMYFUNCTION("""COMPUTED_VALUE"""),"null")</f>
        <v>null</v>
      </c>
      <c r="V9603" s="33">
        <f>IFERROR(__xludf.DUMMYFUNCTION("""COMPUTED_VALUE"""),1.0)</f>
        <v>1</v>
      </c>
      <c r="W9603" s="4" t="str">
        <f>IFERROR(__xludf.DUMMYFUNCTION("""COMPUTED_VALUE"""),"Brendi")</f>
        <v>Brendi</v>
      </c>
      <c r="X9603" s="33">
        <f>IFERROR(__xludf.DUMMYFUNCTION("""COMPUTED_VALUE"""),1.0)</f>
        <v>1</v>
      </c>
    </row>
    <row r="9604">
      <c r="K9604" s="4" t="str">
        <f>IFERROR(__xludf.DUMMYFUNCTION("""COMPUTED_VALUE"""),"RV DOCES E SALGADOS")</f>
        <v>RV DOCES E SALGADOS</v>
      </c>
      <c r="L9604" s="32">
        <f>IFERROR(__xludf.DUMMYFUNCTION("""COMPUTED_VALUE"""),1.0)</f>
        <v>1</v>
      </c>
      <c r="M9604" s="4" t="str">
        <f>IFERROR(__xludf.DUMMYFUNCTION("""COMPUTED_VALUE"""),"Beefood - Sistema Para Restaurantes")</f>
        <v>Beefood - Sistema Para Restaurantes</v>
      </c>
      <c r="N9604" s="33">
        <f>IFERROR(__xludf.DUMMYFUNCTION("""COMPUTED_VALUE"""),1.0)</f>
        <v>1</v>
      </c>
      <c r="O9604" s="4" t="str">
        <f>IFERROR(__xludf.DUMMYFUNCTION("""COMPUTED_VALUE"""),"null")</f>
        <v>null</v>
      </c>
      <c r="P9604" s="33">
        <f>IFERROR(__xludf.DUMMYFUNCTION("""COMPUTED_VALUE"""),1.0)</f>
        <v>1</v>
      </c>
      <c r="Q9604" s="4" t="str">
        <f>IFERROR(__xludf.DUMMYFUNCTION("""COMPUTED_VALUE"""),"null")</f>
        <v>null</v>
      </c>
      <c r="R9604" s="33">
        <f>IFERROR(__xludf.DUMMYFUNCTION("""COMPUTED_VALUE"""),1.0)</f>
        <v>1</v>
      </c>
      <c r="S9604" s="4" t="str">
        <f>IFERROR(__xludf.DUMMYFUNCTION("""COMPUTED_VALUE"""),"null")</f>
        <v>null</v>
      </c>
      <c r="T9604" s="33">
        <f>IFERROR(__xludf.DUMMYFUNCTION("""COMPUTED_VALUE"""),1.0)</f>
        <v>1</v>
      </c>
      <c r="U9604" s="4" t="str">
        <f>IFERROR(__xludf.DUMMYFUNCTION("""COMPUTED_VALUE"""),"Beefood - Sistema Para Restaurantes")</f>
        <v>Beefood - Sistema Para Restaurantes</v>
      </c>
      <c r="V9604" s="33">
        <f>IFERROR(__xludf.DUMMYFUNCTION("""COMPUTED_VALUE"""),1.0)</f>
        <v>1</v>
      </c>
      <c r="W9604" s="4" t="str">
        <f>IFERROR(__xludf.DUMMYFUNCTION("""COMPUTED_VALUE"""),"null")</f>
        <v>null</v>
      </c>
      <c r="X9604" s="33">
        <f>IFERROR(__xludf.DUMMYFUNCTION("""COMPUTED_VALUE"""),1.0)</f>
        <v>1</v>
      </c>
    </row>
    <row r="9605">
      <c r="K9605" s="4" t="str">
        <f>IFERROR(__xludf.DUMMYFUNCTION("""COMPUTED_VALUE"""),"FERREIRAS BURGUERS HAMBURGUERIA")</f>
        <v>FERREIRAS BURGUERS HAMBURGUERIA</v>
      </c>
      <c r="L9605" s="32">
        <f>IFERROR(__xludf.DUMMYFUNCTION("""COMPUTED_VALUE"""),1.0)</f>
        <v>1</v>
      </c>
      <c r="M9605" s="4" t="str">
        <f>IFERROR(__xludf.DUMMYFUNCTION("""COMPUTED_VALUE"""),"null")</f>
        <v>null</v>
      </c>
      <c r="N9605" s="33">
        <f>IFERROR(__xludf.DUMMYFUNCTION("""COMPUTED_VALUE"""),1.0)</f>
        <v>1</v>
      </c>
      <c r="O9605" s="4" t="str">
        <f>IFERROR(__xludf.DUMMYFUNCTION("""COMPUTED_VALUE"""),"null")</f>
        <v>null</v>
      </c>
      <c r="P9605" s="33">
        <f>IFERROR(__xludf.DUMMYFUNCTION("""COMPUTED_VALUE"""),1.0)</f>
        <v>1</v>
      </c>
      <c r="Q9605" s="4" t="str">
        <f>IFERROR(__xludf.DUMMYFUNCTION("""COMPUTED_VALUE"""),"null")</f>
        <v>null</v>
      </c>
      <c r="R9605" s="33">
        <f>IFERROR(__xludf.DUMMYFUNCTION("""COMPUTED_VALUE"""),1.0)</f>
        <v>1</v>
      </c>
      <c r="S9605" s="4" t="str">
        <f>IFERROR(__xludf.DUMMYFUNCTION("""COMPUTED_VALUE"""),"null")</f>
        <v>null</v>
      </c>
      <c r="T9605" s="33">
        <f>IFERROR(__xludf.DUMMYFUNCTION("""COMPUTED_VALUE"""),1.0)</f>
        <v>1</v>
      </c>
      <c r="U9605" s="4" t="str">
        <f>IFERROR(__xludf.DUMMYFUNCTION("""COMPUTED_VALUE"""),"Saipos Serviços De Software")</f>
        <v>Saipos Serviços De Software</v>
      </c>
      <c r="V9605" s="33">
        <f>IFERROR(__xludf.DUMMYFUNCTION("""COMPUTED_VALUE"""),1.0)</f>
        <v>1</v>
      </c>
      <c r="W9605" s="4" t="str">
        <f>IFERROR(__xludf.DUMMYFUNCTION("""COMPUTED_VALUE"""),"null")</f>
        <v>null</v>
      </c>
      <c r="X9605" s="33">
        <f>IFERROR(__xludf.DUMMYFUNCTION("""COMPUTED_VALUE"""),1.0)</f>
        <v>1</v>
      </c>
    </row>
    <row r="9606">
      <c r="K9606" s="4" t="str">
        <f>IFERROR(__xludf.DUMMYFUNCTION("""COMPUTED_VALUE"""),"ACAI E PASTEL EXPLOSAO")</f>
        <v>ACAI E PASTEL EXPLOSAO</v>
      </c>
      <c r="L9606" s="32">
        <f>IFERROR(__xludf.DUMMYFUNCTION("""COMPUTED_VALUE"""),1.0)</f>
        <v>1</v>
      </c>
      <c r="M9606" s="4" t="str">
        <f>IFERROR(__xludf.DUMMYFUNCTION("""COMPUTED_VALUE"""),"Anota Ai Solucoes Digitais S/a")</f>
        <v>Anota Ai Solucoes Digitais S/a</v>
      </c>
      <c r="N9606" s="33">
        <f>IFERROR(__xludf.DUMMYFUNCTION("""COMPUTED_VALUE"""),1.0)</f>
        <v>1</v>
      </c>
      <c r="O9606" s="4" t="str">
        <f>IFERROR(__xludf.DUMMYFUNCTION("""COMPUTED_VALUE"""),"Anota Ai Solucoes Digitais S/a")</f>
        <v>Anota Ai Solucoes Digitais S/a</v>
      </c>
      <c r="P9606" s="33">
        <f>IFERROR(__xludf.DUMMYFUNCTION("""COMPUTED_VALUE"""),1.0)</f>
        <v>1</v>
      </c>
      <c r="Q9606" s="4" t="str">
        <f>IFERROR(__xludf.DUMMYFUNCTION("""COMPUTED_VALUE"""),"Anota Ai Solucoes Digitais S/a")</f>
        <v>Anota Ai Solucoes Digitais S/a</v>
      </c>
      <c r="R9606" s="33">
        <f>IFERROR(__xludf.DUMMYFUNCTION("""COMPUTED_VALUE"""),1.0)</f>
        <v>1</v>
      </c>
      <c r="S9606" s="4" t="str">
        <f>IFERROR(__xludf.DUMMYFUNCTION("""COMPUTED_VALUE"""),"Anota Ai Solucoes Digitais S/a")</f>
        <v>Anota Ai Solucoes Digitais S/a</v>
      </c>
      <c r="T9606" s="33">
        <f>IFERROR(__xludf.DUMMYFUNCTION("""COMPUTED_VALUE"""),1.0)</f>
        <v>1</v>
      </c>
      <c r="U9606" s="4" t="str">
        <f>IFERROR(__xludf.DUMMYFUNCTION("""COMPUTED_VALUE"""),"Anota Ai Solucoes Digitais S/a")</f>
        <v>Anota Ai Solucoes Digitais S/a</v>
      </c>
      <c r="V9606" s="33">
        <f>IFERROR(__xludf.DUMMYFUNCTION("""COMPUTED_VALUE"""),1.0)</f>
        <v>1</v>
      </c>
      <c r="W9606" s="4" t="str">
        <f>IFERROR(__xludf.DUMMYFUNCTION("""COMPUTED_VALUE"""),"Anota Ai Solucoes Digitais S/a")</f>
        <v>Anota Ai Solucoes Digitais S/a</v>
      </c>
      <c r="X9606" s="33">
        <f>IFERROR(__xludf.DUMMYFUNCTION("""COMPUTED_VALUE"""),1.0)</f>
        <v>1</v>
      </c>
    </row>
    <row r="9607">
      <c r="K9607" s="4" t="str">
        <f>IFERROR(__xludf.DUMMYFUNCTION("""COMPUTED_VALUE"""),"SO ASSADOS - CHURRASCO E MARMITAS")</f>
        <v>SO ASSADOS - CHURRASCO E MARMITAS</v>
      </c>
      <c r="L9607" s="32">
        <f>IFERROR(__xludf.DUMMYFUNCTION("""COMPUTED_VALUE"""),1.0)</f>
        <v>1</v>
      </c>
      <c r="M9607" s="4" t="str">
        <f>IFERROR(__xludf.DUMMYFUNCTION("""COMPUTED_VALUE"""),"null")</f>
        <v>null</v>
      </c>
      <c r="N9607" s="33">
        <f>IFERROR(__xludf.DUMMYFUNCTION("""COMPUTED_VALUE"""),1.0)</f>
        <v>1</v>
      </c>
      <c r="O9607" s="4" t="str">
        <f>IFERROR(__xludf.DUMMYFUNCTION("""COMPUTED_VALUE"""),"null")</f>
        <v>null</v>
      </c>
      <c r="P9607" s="33">
        <f>IFERROR(__xludf.DUMMYFUNCTION("""COMPUTED_VALUE"""),1.0)</f>
        <v>1</v>
      </c>
      <c r="Q9607" s="4" t="str">
        <f>IFERROR(__xludf.DUMMYFUNCTION("""COMPUTED_VALUE"""),"Alloy Tecnologia")</f>
        <v>Alloy Tecnologia</v>
      </c>
      <c r="R9607" s="33">
        <f>IFERROR(__xludf.DUMMYFUNCTION("""COMPUTED_VALUE"""),1.0)</f>
        <v>1</v>
      </c>
      <c r="S9607" s="4" t="str">
        <f>IFERROR(__xludf.DUMMYFUNCTION("""COMPUTED_VALUE"""),"null")</f>
        <v>null</v>
      </c>
      <c r="T9607" s="33">
        <f>IFERROR(__xludf.DUMMYFUNCTION("""COMPUTED_VALUE"""),1.0)</f>
        <v>1</v>
      </c>
      <c r="U9607" s="4" t="str">
        <f>IFERROR(__xludf.DUMMYFUNCTION("""COMPUTED_VALUE"""),"null")</f>
        <v>null</v>
      </c>
      <c r="V9607" s="33">
        <f>IFERROR(__xludf.DUMMYFUNCTION("""COMPUTED_VALUE"""),1.0)</f>
        <v>1</v>
      </c>
      <c r="W9607" s="4" t="str">
        <f>IFERROR(__xludf.DUMMYFUNCTION("""COMPUTED_VALUE"""),"null")</f>
        <v>null</v>
      </c>
      <c r="X9607" s="33">
        <f>IFERROR(__xludf.DUMMYFUNCTION("""COMPUTED_VALUE"""),1.0)</f>
        <v>1</v>
      </c>
    </row>
    <row r="9608">
      <c r="K9608" s="4" t="str">
        <f>IFERROR(__xludf.DUMMYFUNCTION("""COMPUTED_VALUE"""),"MOURA BURGUER E ACAITERIA")</f>
        <v>MOURA BURGUER E ACAITERIA</v>
      </c>
      <c r="L9608" s="32">
        <f>IFERROR(__xludf.DUMMYFUNCTION("""COMPUTED_VALUE"""),1.0)</f>
        <v>1</v>
      </c>
      <c r="M9608" s="4" t="str">
        <f>IFERROR(__xludf.DUMMYFUNCTION("""COMPUTED_VALUE"""),"Anota Ai Solucoes Digitais S/a")</f>
        <v>Anota Ai Solucoes Digitais S/a</v>
      </c>
      <c r="N9608" s="33">
        <f>IFERROR(__xludf.DUMMYFUNCTION("""COMPUTED_VALUE"""),1.0)</f>
        <v>1</v>
      </c>
      <c r="O9608" s="4" t="str">
        <f>IFERROR(__xludf.DUMMYFUNCTION("""COMPUTED_VALUE"""),"Anota Ai Solucoes Digitais S/a")</f>
        <v>Anota Ai Solucoes Digitais S/a</v>
      </c>
      <c r="P9608" s="33">
        <f>IFERROR(__xludf.DUMMYFUNCTION("""COMPUTED_VALUE"""),1.0)</f>
        <v>1</v>
      </c>
      <c r="Q9608" s="4" t="str">
        <f>IFERROR(__xludf.DUMMYFUNCTION("""COMPUTED_VALUE"""),"null")</f>
        <v>null</v>
      </c>
      <c r="R9608" s="33">
        <f>IFERROR(__xludf.DUMMYFUNCTION("""COMPUTED_VALUE"""),1.0)</f>
        <v>1</v>
      </c>
      <c r="S9608" s="4" t="str">
        <f>IFERROR(__xludf.DUMMYFUNCTION("""COMPUTED_VALUE"""),"Anota Ai Solucoes Digitais S/a")</f>
        <v>Anota Ai Solucoes Digitais S/a</v>
      </c>
      <c r="T9608" s="33">
        <f>IFERROR(__xludf.DUMMYFUNCTION("""COMPUTED_VALUE"""),1.0)</f>
        <v>1</v>
      </c>
      <c r="U9608" s="4" t="str">
        <f>IFERROR(__xludf.DUMMYFUNCTION("""COMPUTED_VALUE"""),"Anota Ai Solucoes Digitais S/a")</f>
        <v>Anota Ai Solucoes Digitais S/a</v>
      </c>
      <c r="V9608" s="33">
        <f>IFERROR(__xludf.DUMMYFUNCTION("""COMPUTED_VALUE"""),1.0)</f>
        <v>1</v>
      </c>
      <c r="W9608" s="4" t="str">
        <f>IFERROR(__xludf.DUMMYFUNCTION("""COMPUTED_VALUE"""),"null")</f>
        <v>null</v>
      </c>
      <c r="X9608" s="33">
        <f>IFERROR(__xludf.DUMMYFUNCTION("""COMPUTED_VALUE"""),1.0)</f>
        <v>1</v>
      </c>
    </row>
    <row r="9609">
      <c r="K9609" s="4" t="str">
        <f>IFERROR(__xludf.DUMMYFUNCTION("""COMPUTED_VALUE"""),"MORGAN PETS")</f>
        <v>MORGAN PETS</v>
      </c>
      <c r="L9609" s="32">
        <f>IFERROR(__xludf.DUMMYFUNCTION("""COMPUTED_VALUE"""),1.0)</f>
        <v>1</v>
      </c>
      <c r="M9609" s="4" t="str">
        <f>IFERROR(__xludf.DUMMYFUNCTION("""COMPUTED_VALUE"""),"null")</f>
        <v>null</v>
      </c>
      <c r="N9609" s="33">
        <f>IFERROR(__xludf.DUMMYFUNCTION("""COMPUTED_VALUE"""),1.0)</f>
        <v>1</v>
      </c>
      <c r="O9609" s="4" t="str">
        <f>IFERROR(__xludf.DUMMYFUNCTION("""COMPUTED_VALUE"""),"N/A (Not found)")</f>
        <v>N/A (Not found)</v>
      </c>
      <c r="P9609" s="33">
        <f>IFERROR(__xludf.DUMMYFUNCTION("""COMPUTED_VALUE"""),1.0)</f>
        <v>1</v>
      </c>
      <c r="Q9609" s="4" t="str">
        <f>IFERROR(__xludf.DUMMYFUNCTION("""COMPUTED_VALUE"""),"N/A (Not found)")</f>
        <v>N/A (Not found)</v>
      </c>
      <c r="R9609" s="33">
        <f>IFERROR(__xludf.DUMMYFUNCTION("""COMPUTED_VALUE"""),1.0)</f>
        <v>1</v>
      </c>
      <c r="S9609" s="4" t="str">
        <f>IFERROR(__xludf.DUMMYFUNCTION("""COMPUTED_VALUE"""),"null")</f>
        <v>null</v>
      </c>
      <c r="T9609" s="33">
        <f>IFERROR(__xludf.DUMMYFUNCTION("""COMPUTED_VALUE"""),1.0)</f>
        <v>1</v>
      </c>
      <c r="U9609" s="4" t="str">
        <f>IFERROR(__xludf.DUMMYFUNCTION("""COMPUTED_VALUE"""),"null")</f>
        <v>null</v>
      </c>
      <c r="V9609" s="33">
        <f>IFERROR(__xludf.DUMMYFUNCTION("""COMPUTED_VALUE"""),1.0)</f>
        <v>1</v>
      </c>
      <c r="W9609" s="4" t="str">
        <f>IFERROR(__xludf.DUMMYFUNCTION("""COMPUTED_VALUE"""),"null")</f>
        <v>null</v>
      </c>
      <c r="X9609" s="33">
        <f>IFERROR(__xludf.DUMMYFUNCTION("""COMPUTED_VALUE"""),1.0)</f>
        <v>1</v>
      </c>
    </row>
    <row r="9610">
      <c r="K9610" s="4" t="str">
        <f>IFERROR(__xludf.DUMMYFUNCTION("""COMPUTED_VALUE"""),"DROSA LANCHES")</f>
        <v>DROSA LANCHES</v>
      </c>
      <c r="L9610" s="32">
        <f>IFERROR(__xludf.DUMMYFUNCTION("""COMPUTED_VALUE"""),1.0)</f>
        <v>1</v>
      </c>
      <c r="M9610" s="4" t="str">
        <f>IFERROR(__xludf.DUMMYFUNCTION("""COMPUTED_VALUE"""),"null")</f>
        <v>null</v>
      </c>
      <c r="N9610" s="33">
        <f>IFERROR(__xludf.DUMMYFUNCTION("""COMPUTED_VALUE"""),1.0)</f>
        <v>1</v>
      </c>
      <c r="O9610" s="4" t="str">
        <f>IFERROR(__xludf.DUMMYFUNCTION("""COMPUTED_VALUE"""),"null")</f>
        <v>null</v>
      </c>
      <c r="P9610" s="33">
        <f>IFERROR(__xludf.DUMMYFUNCTION("""COMPUTED_VALUE"""),1.0)</f>
        <v>1</v>
      </c>
      <c r="Q9610" s="4" t="str">
        <f>IFERROR(__xludf.DUMMYFUNCTION("""COMPUTED_VALUE"""),"null")</f>
        <v>null</v>
      </c>
      <c r="R9610" s="33">
        <f>IFERROR(__xludf.DUMMYFUNCTION("""COMPUTED_VALUE"""),1.0)</f>
        <v>1</v>
      </c>
      <c r="S9610" s="4" t="str">
        <f>IFERROR(__xludf.DUMMYFUNCTION("""COMPUTED_VALUE"""),"Instadelivery")</f>
        <v>Instadelivery</v>
      </c>
      <c r="T9610" s="33">
        <f>IFERROR(__xludf.DUMMYFUNCTION("""COMPUTED_VALUE"""),1.0)</f>
        <v>1</v>
      </c>
      <c r="U9610" s="4" t="str">
        <f>IFERROR(__xludf.DUMMYFUNCTION("""COMPUTED_VALUE"""),"Instadelivery")</f>
        <v>Instadelivery</v>
      </c>
      <c r="V9610" s="33">
        <f>IFERROR(__xludf.DUMMYFUNCTION("""COMPUTED_VALUE"""),1.0)</f>
        <v>1</v>
      </c>
      <c r="W9610" s="4" t="str">
        <f>IFERROR(__xludf.DUMMYFUNCTION("""COMPUTED_VALUE"""),"Instadelivery")</f>
        <v>Instadelivery</v>
      </c>
      <c r="X9610" s="33">
        <f>IFERROR(__xludf.DUMMYFUNCTION("""COMPUTED_VALUE"""),1.0)</f>
        <v>1</v>
      </c>
    </row>
    <row r="9611">
      <c r="K9611" s="4" t="str">
        <f>IFERROR(__xludf.DUMMYFUNCTION("""COMPUTED_VALUE"""),"GALAXIA ROXA ACAI")</f>
        <v>GALAXIA ROXA ACAI</v>
      </c>
      <c r="L9611" s="32">
        <f>IFERROR(__xludf.DUMMYFUNCTION("""COMPUTED_VALUE"""),1.0)</f>
        <v>1</v>
      </c>
      <c r="M9611" s="4" t="str">
        <f>IFERROR(__xludf.DUMMYFUNCTION("""COMPUTED_VALUE"""),"Saipos Serviços De Software")</f>
        <v>Saipos Serviços De Software</v>
      </c>
      <c r="N9611" s="33">
        <f>IFERROR(__xludf.DUMMYFUNCTION("""COMPUTED_VALUE"""),1.0)</f>
        <v>1</v>
      </c>
      <c r="O9611" s="4" t="str">
        <f>IFERROR(__xludf.DUMMYFUNCTION("""COMPUTED_VALUE"""),"Saipos Serviços De Software")</f>
        <v>Saipos Serviços De Software</v>
      </c>
      <c r="P9611" s="33">
        <f>IFERROR(__xludf.DUMMYFUNCTION("""COMPUTED_VALUE"""),1.0)</f>
        <v>1</v>
      </c>
      <c r="Q9611" s="4" t="str">
        <f>IFERROR(__xludf.DUMMYFUNCTION("""COMPUTED_VALUE"""),"Saipos Serviços De Software")</f>
        <v>Saipos Serviços De Software</v>
      </c>
      <c r="R9611" s="33">
        <f>IFERROR(__xludf.DUMMYFUNCTION("""COMPUTED_VALUE"""),1.0)</f>
        <v>1</v>
      </c>
      <c r="S9611" s="4" t="str">
        <f>IFERROR(__xludf.DUMMYFUNCTION("""COMPUTED_VALUE"""),"null")</f>
        <v>null</v>
      </c>
      <c r="T9611" s="33">
        <f>IFERROR(__xludf.DUMMYFUNCTION("""COMPUTED_VALUE"""),1.0)</f>
        <v>1</v>
      </c>
      <c r="U9611" s="4" t="str">
        <f>IFERROR(__xludf.DUMMYFUNCTION("""COMPUTED_VALUE"""),"null")</f>
        <v>null</v>
      </c>
      <c r="V9611" s="33">
        <f>IFERROR(__xludf.DUMMYFUNCTION("""COMPUTED_VALUE"""),1.0)</f>
        <v>1</v>
      </c>
      <c r="W9611" s="4" t="str">
        <f>IFERROR(__xludf.DUMMYFUNCTION("""COMPUTED_VALUE"""),"null")</f>
        <v>null</v>
      </c>
      <c r="X9611" s="33">
        <f>IFERROR(__xludf.DUMMYFUNCTION("""COMPUTED_VALUE"""),1.0)</f>
        <v>1</v>
      </c>
    </row>
    <row r="9612">
      <c r="K9612" s="4" t="str">
        <f>IFERROR(__xludf.DUMMYFUNCTION("""COMPUTED_VALUE"""),"DORADINHO DOG FOOD")</f>
        <v>DORADINHO DOG FOOD</v>
      </c>
      <c r="L9612" s="32">
        <f>IFERROR(__xludf.DUMMYFUNCTION("""COMPUTED_VALUE"""),1.0)</f>
        <v>1</v>
      </c>
      <c r="M9612" s="4" t="str">
        <f>IFERROR(__xludf.DUMMYFUNCTION("""COMPUTED_VALUE"""),"null")</f>
        <v>null</v>
      </c>
      <c r="N9612" s="33">
        <f>IFERROR(__xludf.DUMMYFUNCTION("""COMPUTED_VALUE"""),1.0)</f>
        <v>1</v>
      </c>
      <c r="O9612" s="4" t="str">
        <f>IFERROR(__xludf.DUMMYFUNCTION("""COMPUTED_VALUE"""),"null")</f>
        <v>null</v>
      </c>
      <c r="P9612" s="33">
        <f>IFERROR(__xludf.DUMMYFUNCTION("""COMPUTED_VALUE"""),1.0)</f>
        <v>1</v>
      </c>
      <c r="Q9612" s="4" t="str">
        <f>IFERROR(__xludf.DUMMYFUNCTION("""COMPUTED_VALUE"""),"null")</f>
        <v>null</v>
      </c>
      <c r="R9612" s="33">
        <f>IFERROR(__xludf.DUMMYFUNCTION("""COMPUTED_VALUE"""),1.0)</f>
        <v>1</v>
      </c>
      <c r="S9612" s="4" t="str">
        <f>IFERROR(__xludf.DUMMYFUNCTION("""COMPUTED_VALUE"""),"Cardápio Web")</f>
        <v>Cardápio Web</v>
      </c>
      <c r="T9612" s="33">
        <f>IFERROR(__xludf.DUMMYFUNCTION("""COMPUTED_VALUE"""),1.0)</f>
        <v>1</v>
      </c>
      <c r="U9612" s="4" t="str">
        <f>IFERROR(__xludf.DUMMYFUNCTION("""COMPUTED_VALUE"""),"Cardápio Web")</f>
        <v>Cardápio Web</v>
      </c>
      <c r="V9612" s="33">
        <f>IFERROR(__xludf.DUMMYFUNCTION("""COMPUTED_VALUE"""),1.0)</f>
        <v>1</v>
      </c>
      <c r="W9612" s="4" t="str">
        <f>IFERROR(__xludf.DUMMYFUNCTION("""COMPUTED_VALUE"""),"Cardápio Web")</f>
        <v>Cardápio Web</v>
      </c>
      <c r="X9612" s="33">
        <f>IFERROR(__xludf.DUMMYFUNCTION("""COMPUTED_VALUE"""),1.0)</f>
        <v>1</v>
      </c>
    </row>
    <row r="9613">
      <c r="K9613" s="4" t="str">
        <f>IFERROR(__xludf.DUMMYFUNCTION("""COMPUTED_VALUE"""),"GAUCHOS DELIVERY")</f>
        <v>GAUCHOS DELIVERY</v>
      </c>
      <c r="L9613" s="32">
        <f>IFERROR(__xludf.DUMMYFUNCTION("""COMPUTED_VALUE"""),1.0)</f>
        <v>1</v>
      </c>
      <c r="M9613" s="4" t="str">
        <f>IFERROR(__xludf.DUMMYFUNCTION("""COMPUTED_VALUE"""),"Bora Pedir")</f>
        <v>Bora Pedir</v>
      </c>
      <c r="N9613" s="33">
        <f>IFERROR(__xludf.DUMMYFUNCTION("""COMPUTED_VALUE"""),1.0)</f>
        <v>1</v>
      </c>
      <c r="O9613" s="4" t="str">
        <f>IFERROR(__xludf.DUMMYFUNCTION("""COMPUTED_VALUE"""),"Bora Pedir")</f>
        <v>Bora Pedir</v>
      </c>
      <c r="P9613" s="33">
        <f>IFERROR(__xludf.DUMMYFUNCTION("""COMPUTED_VALUE"""),1.0)</f>
        <v>1</v>
      </c>
      <c r="Q9613" s="4" t="str">
        <f>IFERROR(__xludf.DUMMYFUNCTION("""COMPUTED_VALUE"""),"Bora Pedir")</f>
        <v>Bora Pedir</v>
      </c>
      <c r="R9613" s="33">
        <f>IFERROR(__xludf.DUMMYFUNCTION("""COMPUTED_VALUE"""),1.0)</f>
        <v>1</v>
      </c>
      <c r="S9613" s="4" t="str">
        <f>IFERROR(__xludf.DUMMYFUNCTION("""COMPUTED_VALUE"""),"Bora Pedir")</f>
        <v>Bora Pedir</v>
      </c>
      <c r="T9613" s="33">
        <f>IFERROR(__xludf.DUMMYFUNCTION("""COMPUTED_VALUE"""),1.0)</f>
        <v>1</v>
      </c>
      <c r="U9613" s="4" t="str">
        <f>IFERROR(__xludf.DUMMYFUNCTION("""COMPUTED_VALUE"""),"Bora Pedir")</f>
        <v>Bora Pedir</v>
      </c>
      <c r="V9613" s="33">
        <f>IFERROR(__xludf.DUMMYFUNCTION("""COMPUTED_VALUE"""),1.0)</f>
        <v>1</v>
      </c>
      <c r="W9613" s="4" t="str">
        <f>IFERROR(__xludf.DUMMYFUNCTION("""COMPUTED_VALUE"""),"Bora Pedir")</f>
        <v>Bora Pedir</v>
      </c>
      <c r="X9613" s="33">
        <f>IFERROR(__xludf.DUMMYFUNCTION("""COMPUTED_VALUE"""),1.0)</f>
        <v>1</v>
      </c>
    </row>
    <row r="9614">
      <c r="K9614" s="4" t="str">
        <f>IFERROR(__xludf.DUMMYFUNCTION("""COMPUTED_VALUE"""),"HAMBURGUERIA BUSCAPE")</f>
        <v>HAMBURGUERIA BUSCAPE</v>
      </c>
      <c r="L9614" s="32">
        <f>IFERROR(__xludf.DUMMYFUNCTION("""COMPUTED_VALUE"""),1.0)</f>
        <v>1</v>
      </c>
      <c r="M9614" s="4" t="str">
        <f>IFERROR(__xludf.DUMMYFUNCTION("""COMPUTED_VALUE"""),"Saipos Serviços De Software")</f>
        <v>Saipos Serviços De Software</v>
      </c>
      <c r="N9614" s="33">
        <f>IFERROR(__xludf.DUMMYFUNCTION("""COMPUTED_VALUE"""),1.0)</f>
        <v>1</v>
      </c>
      <c r="O9614" s="4" t="str">
        <f>IFERROR(__xludf.DUMMYFUNCTION("""COMPUTED_VALUE"""),"Anota Ai Solucoes Digitais S/a")</f>
        <v>Anota Ai Solucoes Digitais S/a</v>
      </c>
      <c r="P9614" s="33">
        <f>IFERROR(__xludf.DUMMYFUNCTION("""COMPUTED_VALUE"""),1.0)</f>
        <v>1</v>
      </c>
      <c r="Q9614" s="4" t="str">
        <f>IFERROR(__xludf.DUMMYFUNCTION("""COMPUTED_VALUE"""),"Anota Ai Solucoes Digitais S/a")</f>
        <v>Anota Ai Solucoes Digitais S/a</v>
      </c>
      <c r="R9614" s="33">
        <f>IFERROR(__xludf.DUMMYFUNCTION("""COMPUTED_VALUE"""),1.0)</f>
        <v>1</v>
      </c>
      <c r="S9614" s="4" t="str">
        <f>IFERROR(__xludf.DUMMYFUNCTION("""COMPUTED_VALUE"""),"null")</f>
        <v>null</v>
      </c>
      <c r="T9614" s="33">
        <f>IFERROR(__xludf.DUMMYFUNCTION("""COMPUTED_VALUE"""),1.0)</f>
        <v>1</v>
      </c>
      <c r="U9614" s="4" t="str">
        <f>IFERROR(__xludf.DUMMYFUNCTION("""COMPUTED_VALUE"""),"null")</f>
        <v>null</v>
      </c>
      <c r="V9614" s="33">
        <f>IFERROR(__xludf.DUMMYFUNCTION("""COMPUTED_VALUE"""),1.0)</f>
        <v>1</v>
      </c>
      <c r="W9614" s="4" t="str">
        <f>IFERROR(__xludf.DUMMYFUNCTION("""COMPUTED_VALUE"""),"Anota Ai Solucoes Digitais S/a")</f>
        <v>Anota Ai Solucoes Digitais S/a</v>
      </c>
      <c r="X9614" s="33">
        <f>IFERROR(__xludf.DUMMYFUNCTION("""COMPUTED_VALUE"""),1.0)</f>
        <v>1</v>
      </c>
    </row>
    <row r="9615">
      <c r="K9615" s="4" t="str">
        <f>IFERROR(__xludf.DUMMYFUNCTION("""COMPUTED_VALUE"""),"COMIDA CASEIRA - CANTINHO DA ESMERALDA")</f>
        <v>COMIDA CASEIRA - CANTINHO DA ESMERALDA</v>
      </c>
      <c r="L9615" s="32">
        <f>IFERROR(__xludf.DUMMYFUNCTION("""COMPUTED_VALUE"""),1.0)</f>
        <v>1</v>
      </c>
      <c r="M9615" s="4" t="str">
        <f>IFERROR(__xludf.DUMMYFUNCTION("""COMPUTED_VALUE"""),"Anota Ai Solucoes Digitais S/a")</f>
        <v>Anota Ai Solucoes Digitais S/a</v>
      </c>
      <c r="N9615" s="33">
        <f>IFERROR(__xludf.DUMMYFUNCTION("""COMPUTED_VALUE"""),1.0)</f>
        <v>1</v>
      </c>
      <c r="O9615" s="4" t="str">
        <f>IFERROR(__xludf.DUMMYFUNCTION("""COMPUTED_VALUE"""),"Anota Ai Solucoes Digitais S/a")</f>
        <v>Anota Ai Solucoes Digitais S/a</v>
      </c>
      <c r="P9615" s="33">
        <f>IFERROR(__xludf.DUMMYFUNCTION("""COMPUTED_VALUE"""),1.0)</f>
        <v>1</v>
      </c>
      <c r="Q9615" s="4" t="str">
        <f>IFERROR(__xludf.DUMMYFUNCTION("""COMPUTED_VALUE"""),"Anota Ai Solucoes Digitais S/a")</f>
        <v>Anota Ai Solucoes Digitais S/a</v>
      </c>
      <c r="R9615" s="33">
        <f>IFERROR(__xludf.DUMMYFUNCTION("""COMPUTED_VALUE"""),1.0)</f>
        <v>1</v>
      </c>
      <c r="S9615" s="4" t="str">
        <f>IFERROR(__xludf.DUMMYFUNCTION("""COMPUTED_VALUE"""),"Anota Ai Solucoes Digitais S/a")</f>
        <v>Anota Ai Solucoes Digitais S/a</v>
      </c>
      <c r="T9615" s="33">
        <f>IFERROR(__xludf.DUMMYFUNCTION("""COMPUTED_VALUE"""),1.0)</f>
        <v>1</v>
      </c>
      <c r="U9615" s="4" t="str">
        <f>IFERROR(__xludf.DUMMYFUNCTION("""COMPUTED_VALUE"""),"Anota Ai Solucoes Digitais S/a")</f>
        <v>Anota Ai Solucoes Digitais S/a</v>
      </c>
      <c r="V9615" s="33">
        <f>IFERROR(__xludf.DUMMYFUNCTION("""COMPUTED_VALUE"""),1.0)</f>
        <v>1</v>
      </c>
      <c r="W9615" s="4" t="str">
        <f>IFERROR(__xludf.DUMMYFUNCTION("""COMPUTED_VALUE"""),"Anota Ai Solucoes Digitais S/a")</f>
        <v>Anota Ai Solucoes Digitais S/a</v>
      </c>
      <c r="X9615" s="33">
        <f>IFERROR(__xludf.DUMMYFUNCTION("""COMPUTED_VALUE"""),1.0)</f>
        <v>1</v>
      </c>
    </row>
    <row r="9616">
      <c r="K9616" s="4" t="str">
        <f>IFERROR(__xludf.DUMMYFUNCTION("""COMPUTED_VALUE"""),"PIZZA BAR NA PEDRA369")</f>
        <v>PIZZA BAR NA PEDRA369</v>
      </c>
      <c r="L9616" s="32">
        <f>IFERROR(__xludf.DUMMYFUNCTION("""COMPUTED_VALUE"""),1.0)</f>
        <v>1</v>
      </c>
      <c r="M9616" s="4" t="str">
        <f>IFERROR(__xludf.DUMMYFUNCTION("""COMPUTED_VALUE"""),"Anota Ai Solucoes Digitais S/a")</f>
        <v>Anota Ai Solucoes Digitais S/a</v>
      </c>
      <c r="N9616" s="33">
        <f>IFERROR(__xludf.DUMMYFUNCTION("""COMPUTED_VALUE"""),1.0)</f>
        <v>1</v>
      </c>
      <c r="O9616" s="4" t="str">
        <f>IFERROR(__xludf.DUMMYFUNCTION("""COMPUTED_VALUE"""),"Anota Ai Solucoes Digitais S/a")</f>
        <v>Anota Ai Solucoes Digitais S/a</v>
      </c>
      <c r="P9616" s="33">
        <f>IFERROR(__xludf.DUMMYFUNCTION("""COMPUTED_VALUE"""),1.0)</f>
        <v>1</v>
      </c>
      <c r="Q9616" s="4" t="str">
        <f>IFERROR(__xludf.DUMMYFUNCTION("""COMPUTED_VALUE"""),"Anota Ai Solucoes Digitais S/a")</f>
        <v>Anota Ai Solucoes Digitais S/a</v>
      </c>
      <c r="R9616" s="33">
        <f>IFERROR(__xludf.DUMMYFUNCTION("""COMPUTED_VALUE"""),1.0)</f>
        <v>1</v>
      </c>
      <c r="S9616" s="4" t="str">
        <f>IFERROR(__xludf.DUMMYFUNCTION("""COMPUTED_VALUE"""),"null")</f>
        <v>null</v>
      </c>
      <c r="T9616" s="33">
        <f>IFERROR(__xludf.DUMMYFUNCTION("""COMPUTED_VALUE"""),1.0)</f>
        <v>1</v>
      </c>
      <c r="U9616" s="4" t="str">
        <f>IFERROR(__xludf.DUMMYFUNCTION("""COMPUTED_VALUE"""),"Anota Ai Solucoes Digitais S/a")</f>
        <v>Anota Ai Solucoes Digitais S/a</v>
      </c>
      <c r="V9616" s="33">
        <f>IFERROR(__xludf.DUMMYFUNCTION("""COMPUTED_VALUE"""),1.0)</f>
        <v>1</v>
      </c>
      <c r="W9616" s="4" t="str">
        <f>IFERROR(__xludf.DUMMYFUNCTION("""COMPUTED_VALUE"""),"null")</f>
        <v>null</v>
      </c>
      <c r="X9616" s="33">
        <f>IFERROR(__xludf.DUMMYFUNCTION("""COMPUTED_VALUE"""),1.0)</f>
        <v>1</v>
      </c>
    </row>
    <row r="9617">
      <c r="K9617" s="4" t="str">
        <f>IFERROR(__xludf.DUMMYFUNCTION("""COMPUTED_VALUE"""),"CHAMA NA COXINHA SALGADOS FRITOS E COMBOS FESTA")</f>
        <v>CHAMA NA COXINHA SALGADOS FRITOS E COMBOS FESTA</v>
      </c>
      <c r="L9617" s="32">
        <f>IFERROR(__xludf.DUMMYFUNCTION("""COMPUTED_VALUE"""),1.0)</f>
        <v>1</v>
      </c>
      <c r="M9617" s="4" t="str">
        <f>IFERROR(__xludf.DUMMYFUNCTION("""COMPUTED_VALUE"""),"Prefiro Delivery")</f>
        <v>Prefiro Delivery</v>
      </c>
      <c r="N9617" s="33">
        <f>IFERROR(__xludf.DUMMYFUNCTION("""COMPUTED_VALUE"""),1.0)</f>
        <v>1</v>
      </c>
      <c r="O9617" s="4" t="str">
        <f>IFERROR(__xludf.DUMMYFUNCTION("""COMPUTED_VALUE"""),"Prefiro Delivery")</f>
        <v>Prefiro Delivery</v>
      </c>
      <c r="P9617" s="33">
        <f>IFERROR(__xludf.DUMMYFUNCTION("""COMPUTED_VALUE"""),1.0)</f>
        <v>1</v>
      </c>
      <c r="Q9617" s="4" t="str">
        <f>IFERROR(__xludf.DUMMYFUNCTION("""COMPUTED_VALUE"""),"Prefiro Delivery")</f>
        <v>Prefiro Delivery</v>
      </c>
      <c r="R9617" s="33">
        <f>IFERROR(__xludf.DUMMYFUNCTION("""COMPUTED_VALUE"""),1.0)</f>
        <v>1</v>
      </c>
      <c r="S9617" s="4" t="str">
        <f>IFERROR(__xludf.DUMMYFUNCTION("""COMPUTED_VALUE"""),"Prefiro Delivery")</f>
        <v>Prefiro Delivery</v>
      </c>
      <c r="T9617" s="33">
        <f>IFERROR(__xludf.DUMMYFUNCTION("""COMPUTED_VALUE"""),1.0)</f>
        <v>1</v>
      </c>
      <c r="U9617" s="4" t="str">
        <f>IFERROR(__xludf.DUMMYFUNCTION("""COMPUTED_VALUE"""),"null")</f>
        <v>null</v>
      </c>
      <c r="V9617" s="33">
        <f>IFERROR(__xludf.DUMMYFUNCTION("""COMPUTED_VALUE"""),1.0)</f>
        <v>1</v>
      </c>
      <c r="W9617" s="4" t="str">
        <f>IFERROR(__xludf.DUMMYFUNCTION("""COMPUTED_VALUE"""),"null")</f>
        <v>null</v>
      </c>
      <c r="X9617" s="33">
        <f>IFERROR(__xludf.DUMMYFUNCTION("""COMPUTED_VALUE"""),1.0)</f>
        <v>1</v>
      </c>
    </row>
    <row r="9618">
      <c r="K9618" s="4" t="str">
        <f>IFERROR(__xludf.DUMMYFUNCTION("""COMPUTED_VALUE"""),"MILKSHAKE DO GB")</f>
        <v>MILKSHAKE DO GB</v>
      </c>
      <c r="L9618" s="32">
        <f>IFERROR(__xludf.DUMMYFUNCTION("""COMPUTED_VALUE"""),1.0)</f>
        <v>1</v>
      </c>
      <c r="M9618" s="4" t="str">
        <f>IFERROR(__xludf.DUMMYFUNCTION("""COMPUTED_VALUE"""),"null")</f>
        <v>null</v>
      </c>
      <c r="N9618" s="33">
        <f>IFERROR(__xludf.DUMMYFUNCTION("""COMPUTED_VALUE"""),1.0)</f>
        <v>1</v>
      </c>
      <c r="O9618" s="4" t="str">
        <f>IFERROR(__xludf.DUMMYFUNCTION("""COMPUTED_VALUE"""),"null")</f>
        <v>null</v>
      </c>
      <c r="P9618" s="33">
        <f>IFERROR(__xludf.DUMMYFUNCTION("""COMPUTED_VALUE"""),1.0)</f>
        <v>1</v>
      </c>
      <c r="Q9618" s="4" t="str">
        <f>IFERROR(__xludf.DUMMYFUNCTION("""COMPUTED_VALUE"""),"Instadelivery")</f>
        <v>Instadelivery</v>
      </c>
      <c r="R9618" s="33">
        <f>IFERROR(__xludf.DUMMYFUNCTION("""COMPUTED_VALUE"""),1.0)</f>
        <v>1</v>
      </c>
      <c r="S9618" s="4" t="str">
        <f>IFERROR(__xludf.DUMMYFUNCTION("""COMPUTED_VALUE"""),"Instadelivery")</f>
        <v>Instadelivery</v>
      </c>
      <c r="T9618" s="33">
        <f>IFERROR(__xludf.DUMMYFUNCTION("""COMPUTED_VALUE"""),1.0)</f>
        <v>1</v>
      </c>
      <c r="U9618" s="4" t="str">
        <f>IFERROR(__xludf.DUMMYFUNCTION("""COMPUTED_VALUE"""),"Instadelivery")</f>
        <v>Instadelivery</v>
      </c>
      <c r="V9618" s="33">
        <f>IFERROR(__xludf.DUMMYFUNCTION("""COMPUTED_VALUE"""),1.0)</f>
        <v>1</v>
      </c>
      <c r="W9618" s="4" t="str">
        <f>IFERROR(__xludf.DUMMYFUNCTION("""COMPUTED_VALUE"""),"Instadelivery")</f>
        <v>Instadelivery</v>
      </c>
      <c r="X9618" s="33">
        <f>IFERROR(__xludf.DUMMYFUNCTION("""COMPUTED_VALUE"""),1.0)</f>
        <v>1</v>
      </c>
    </row>
    <row r="9619">
      <c r="K9619" s="4" t="str">
        <f>IFERROR(__xludf.DUMMYFUNCTION("""COMPUTED_VALUE"""),"VITAMINARIA PASTEIS E VITAMINAS - AV DUQUE DE CAXIAS")</f>
        <v>VITAMINARIA PASTEIS E VITAMINAS - AV DUQUE DE CAXIAS</v>
      </c>
      <c r="L9619" s="32">
        <f>IFERROR(__xludf.DUMMYFUNCTION("""COMPUTED_VALUE"""),1.0)</f>
        <v>1</v>
      </c>
      <c r="M9619" s="4" t="str">
        <f>IFERROR(__xludf.DUMMYFUNCTION("""COMPUTED_VALUE"""),"Fs Soluções Em Tecnologia Ltda")</f>
        <v>Fs Soluções Em Tecnologia Ltda</v>
      </c>
      <c r="N9619" s="33">
        <f>IFERROR(__xludf.DUMMYFUNCTION("""COMPUTED_VALUE"""),1.0)</f>
        <v>1</v>
      </c>
      <c r="O9619" s="4" t="str">
        <f>IFERROR(__xludf.DUMMYFUNCTION("""COMPUTED_VALUE"""),"Fs Soluções Em Tecnologia Ltda")</f>
        <v>Fs Soluções Em Tecnologia Ltda</v>
      </c>
      <c r="P9619" s="33">
        <f>IFERROR(__xludf.DUMMYFUNCTION("""COMPUTED_VALUE"""),1.0)</f>
        <v>1</v>
      </c>
      <c r="Q9619" s="4" t="str">
        <f>IFERROR(__xludf.DUMMYFUNCTION("""COMPUTED_VALUE"""),"Fs Soluções Em Tecnologia Ltda")</f>
        <v>Fs Soluções Em Tecnologia Ltda</v>
      </c>
      <c r="R9619" s="33">
        <f>IFERROR(__xludf.DUMMYFUNCTION("""COMPUTED_VALUE"""),1.0)</f>
        <v>1</v>
      </c>
      <c r="S9619" s="4" t="str">
        <f>IFERROR(__xludf.DUMMYFUNCTION("""COMPUTED_VALUE"""),"null")</f>
        <v>null</v>
      </c>
      <c r="T9619" s="33">
        <f>IFERROR(__xludf.DUMMYFUNCTION("""COMPUTED_VALUE"""),1.0)</f>
        <v>1</v>
      </c>
      <c r="U9619" s="4" t="str">
        <f>IFERROR(__xludf.DUMMYFUNCTION("""COMPUTED_VALUE"""),"null")</f>
        <v>null</v>
      </c>
      <c r="V9619" s="33">
        <f>IFERROR(__xludf.DUMMYFUNCTION("""COMPUTED_VALUE"""),1.0)</f>
        <v>1</v>
      </c>
      <c r="W9619" s="4" t="str">
        <f>IFERROR(__xludf.DUMMYFUNCTION("""COMPUTED_VALUE"""),"null")</f>
        <v>null</v>
      </c>
      <c r="X9619" s="33">
        <f>IFERROR(__xludf.DUMMYFUNCTION("""COMPUTED_VALUE"""),1.0)</f>
        <v>1</v>
      </c>
    </row>
    <row r="9620">
      <c r="K9620" s="4" t="str">
        <f>IFERROR(__xludf.DUMMYFUNCTION("""COMPUTED_VALUE"""),"GORDINHO HOT DOGS BATATAS")</f>
        <v>GORDINHO HOT DOGS BATATAS</v>
      </c>
      <c r="L9620" s="32">
        <f>IFERROR(__xludf.DUMMYFUNCTION("""COMPUTED_VALUE"""),1.0)</f>
        <v>1</v>
      </c>
      <c r="M9620" s="4" t="str">
        <f>IFERROR(__xludf.DUMMYFUNCTION("""COMPUTED_VALUE"""),"Saipos Serviços De Software")</f>
        <v>Saipos Serviços De Software</v>
      </c>
      <c r="N9620" s="33">
        <f>IFERROR(__xludf.DUMMYFUNCTION("""COMPUTED_VALUE"""),1.0)</f>
        <v>1</v>
      </c>
      <c r="O9620" s="4" t="str">
        <f>IFERROR(__xludf.DUMMYFUNCTION("""COMPUTED_VALUE"""),"Saipos Serviços De Software")</f>
        <v>Saipos Serviços De Software</v>
      </c>
      <c r="P9620" s="33">
        <f>IFERROR(__xludf.DUMMYFUNCTION("""COMPUTED_VALUE"""),1.0)</f>
        <v>1</v>
      </c>
      <c r="Q9620" s="4" t="str">
        <f>IFERROR(__xludf.DUMMYFUNCTION("""COMPUTED_VALUE"""),"Saipos Serviços De Software")</f>
        <v>Saipos Serviços De Software</v>
      </c>
      <c r="R9620" s="33">
        <f>IFERROR(__xludf.DUMMYFUNCTION("""COMPUTED_VALUE"""),1.0)</f>
        <v>1</v>
      </c>
      <c r="S9620" s="4" t="str">
        <f>IFERROR(__xludf.DUMMYFUNCTION("""COMPUTED_VALUE"""),"Saipos Serviços De Software")</f>
        <v>Saipos Serviços De Software</v>
      </c>
      <c r="T9620" s="33">
        <f>IFERROR(__xludf.DUMMYFUNCTION("""COMPUTED_VALUE"""),1.0)</f>
        <v>1</v>
      </c>
      <c r="U9620" s="4" t="str">
        <f>IFERROR(__xludf.DUMMYFUNCTION("""COMPUTED_VALUE"""),"Saipos Serviços De Software")</f>
        <v>Saipos Serviços De Software</v>
      </c>
      <c r="V9620" s="33">
        <f>IFERROR(__xludf.DUMMYFUNCTION("""COMPUTED_VALUE"""),1.0)</f>
        <v>1</v>
      </c>
      <c r="W9620" s="4" t="str">
        <f>IFERROR(__xludf.DUMMYFUNCTION("""COMPUTED_VALUE"""),"Saipos Serviços De Software")</f>
        <v>Saipos Serviços De Software</v>
      </c>
      <c r="X9620" s="33">
        <f>IFERROR(__xludf.DUMMYFUNCTION("""COMPUTED_VALUE"""),1.0)</f>
        <v>1</v>
      </c>
    </row>
    <row r="9621">
      <c r="K9621" s="4" t="str">
        <f>IFERROR(__xludf.DUMMYFUNCTION("""COMPUTED_VALUE"""),"BRANGUS FORNERIA - A PIZZA DA BRANGUS")</f>
        <v>BRANGUS FORNERIA - A PIZZA DA BRANGUS</v>
      </c>
      <c r="L9621" s="32">
        <f>IFERROR(__xludf.DUMMYFUNCTION("""COMPUTED_VALUE"""),1.0)</f>
        <v>1</v>
      </c>
      <c r="M9621" s="4" t="str">
        <f>IFERROR(__xludf.DUMMYFUNCTION("""COMPUTED_VALUE"""),"Cardápio Web")</f>
        <v>Cardápio Web</v>
      </c>
      <c r="N9621" s="33">
        <f>IFERROR(__xludf.DUMMYFUNCTION("""COMPUTED_VALUE"""),1.0)</f>
        <v>1</v>
      </c>
      <c r="O9621" s="4" t="str">
        <f>IFERROR(__xludf.DUMMYFUNCTION("""COMPUTED_VALUE"""),"Cardápio Web")</f>
        <v>Cardápio Web</v>
      </c>
      <c r="P9621" s="33">
        <f>IFERROR(__xludf.DUMMYFUNCTION("""COMPUTED_VALUE"""),1.0)</f>
        <v>1</v>
      </c>
      <c r="Q9621" s="4" t="str">
        <f>IFERROR(__xludf.DUMMYFUNCTION("""COMPUTED_VALUE"""),"Cardápio Web")</f>
        <v>Cardápio Web</v>
      </c>
      <c r="R9621" s="33">
        <f>IFERROR(__xludf.DUMMYFUNCTION("""COMPUTED_VALUE"""),1.0)</f>
        <v>1</v>
      </c>
      <c r="S9621" s="4" t="str">
        <f>IFERROR(__xludf.DUMMYFUNCTION("""COMPUTED_VALUE"""),"Cardápio Web")</f>
        <v>Cardápio Web</v>
      </c>
      <c r="T9621" s="33">
        <f>IFERROR(__xludf.DUMMYFUNCTION("""COMPUTED_VALUE"""),1.0)</f>
        <v>1</v>
      </c>
      <c r="U9621" s="4" t="str">
        <f>IFERROR(__xludf.DUMMYFUNCTION("""COMPUTED_VALUE"""),"Cardápio Web")</f>
        <v>Cardápio Web</v>
      </c>
      <c r="V9621" s="33">
        <f>IFERROR(__xludf.DUMMYFUNCTION("""COMPUTED_VALUE"""),1.0)</f>
        <v>1</v>
      </c>
      <c r="W9621" s="4" t="str">
        <f>IFERROR(__xludf.DUMMYFUNCTION("""COMPUTED_VALUE"""),"Cardápio Web")</f>
        <v>Cardápio Web</v>
      </c>
      <c r="X9621" s="33">
        <f>IFERROR(__xludf.DUMMYFUNCTION("""COMPUTED_VALUE"""),1.0)</f>
        <v>1</v>
      </c>
    </row>
    <row r="9622">
      <c r="K9622" s="4" t="str">
        <f>IFERROR(__xludf.DUMMYFUNCTION("""COMPUTED_VALUE"""),"EUROBURGER - HAMBURGERIA")</f>
        <v>EUROBURGER - HAMBURGERIA</v>
      </c>
      <c r="L9622" s="32">
        <f>IFERROR(__xludf.DUMMYFUNCTION("""COMPUTED_VALUE"""),1.0)</f>
        <v>1</v>
      </c>
      <c r="M9622" s="4" t="str">
        <f>IFERROR(__xludf.DUMMYFUNCTION("""COMPUTED_VALUE"""),"Parseint Desenvolvimento De Sistemas Ltda")</f>
        <v>Parseint Desenvolvimento De Sistemas Ltda</v>
      </c>
      <c r="N9622" s="33">
        <f>IFERROR(__xludf.DUMMYFUNCTION("""COMPUTED_VALUE"""),1.0)</f>
        <v>1</v>
      </c>
      <c r="O9622" s="4" t="str">
        <f>IFERROR(__xludf.DUMMYFUNCTION("""COMPUTED_VALUE"""),"Parseint Desenvolvimento De Sistemas Ltda")</f>
        <v>Parseint Desenvolvimento De Sistemas Ltda</v>
      </c>
      <c r="P9622" s="33">
        <f>IFERROR(__xludf.DUMMYFUNCTION("""COMPUTED_VALUE"""),1.0)</f>
        <v>1</v>
      </c>
      <c r="Q9622" s="4" t="str">
        <f>IFERROR(__xludf.DUMMYFUNCTION("""COMPUTED_VALUE"""),"null")</f>
        <v>null</v>
      </c>
      <c r="R9622" s="33">
        <f>IFERROR(__xludf.DUMMYFUNCTION("""COMPUTED_VALUE"""),1.0)</f>
        <v>1</v>
      </c>
      <c r="S9622" s="4" t="str">
        <f>IFERROR(__xludf.DUMMYFUNCTION("""COMPUTED_VALUE"""),"Parseint Desenvolvimento De Sistemas Ltda")</f>
        <v>Parseint Desenvolvimento De Sistemas Ltda</v>
      </c>
      <c r="T9622" s="33">
        <f>IFERROR(__xludf.DUMMYFUNCTION("""COMPUTED_VALUE"""),1.0)</f>
        <v>1</v>
      </c>
      <c r="U9622" s="4" t="str">
        <f>IFERROR(__xludf.DUMMYFUNCTION("""COMPUTED_VALUE"""),"Parseint Desenvolvimento De Sistemas Ltda")</f>
        <v>Parseint Desenvolvimento De Sistemas Ltda</v>
      </c>
      <c r="V9622" s="33">
        <f>IFERROR(__xludf.DUMMYFUNCTION("""COMPUTED_VALUE"""),1.0)</f>
        <v>1</v>
      </c>
      <c r="W9622" s="4" t="str">
        <f>IFERROR(__xludf.DUMMYFUNCTION("""COMPUTED_VALUE"""),"Parseint Desenvolvimento De Sistemas Ltda")</f>
        <v>Parseint Desenvolvimento De Sistemas Ltda</v>
      </c>
      <c r="X9622" s="33">
        <f>IFERROR(__xludf.DUMMYFUNCTION("""COMPUTED_VALUE"""),1.0)</f>
        <v>1</v>
      </c>
    </row>
    <row r="9623">
      <c r="K9623" s="4" t="str">
        <f>IFERROR(__xludf.DUMMYFUNCTION("""COMPUTED_VALUE"""),"ICE COLD ACAI DELIVERY")</f>
        <v>ICE COLD ACAI DELIVERY</v>
      </c>
      <c r="L9623" s="32">
        <f>IFERROR(__xludf.DUMMYFUNCTION("""COMPUTED_VALUE"""),1.0)</f>
        <v>1</v>
      </c>
      <c r="M9623" s="4" t="str">
        <f>IFERROR(__xludf.DUMMYFUNCTION("""COMPUTED_VALUE"""),"null")</f>
        <v>null</v>
      </c>
      <c r="N9623" s="33">
        <f>IFERROR(__xludf.DUMMYFUNCTION("""COMPUTED_VALUE"""),1.0)</f>
        <v>1</v>
      </c>
      <c r="O9623" s="4" t="str">
        <f>IFERROR(__xludf.DUMMYFUNCTION("""COMPUTED_VALUE"""),"null")</f>
        <v>null</v>
      </c>
      <c r="P9623" s="33">
        <f>IFERROR(__xludf.DUMMYFUNCTION("""COMPUTED_VALUE"""),1.0)</f>
        <v>1</v>
      </c>
      <c r="Q9623" s="4" t="str">
        <f>IFERROR(__xludf.DUMMYFUNCTION("""COMPUTED_VALUE"""),"null")</f>
        <v>null</v>
      </c>
      <c r="R9623" s="33">
        <f>IFERROR(__xludf.DUMMYFUNCTION("""COMPUTED_VALUE"""),1.0)</f>
        <v>1</v>
      </c>
      <c r="S9623" s="4" t="str">
        <f>IFERROR(__xludf.DUMMYFUNCTION("""COMPUTED_VALUE"""),"null")</f>
        <v>null</v>
      </c>
      <c r="T9623" s="33">
        <f>IFERROR(__xludf.DUMMYFUNCTION("""COMPUTED_VALUE"""),1.0)</f>
        <v>1</v>
      </c>
      <c r="U9623" s="4" t="str">
        <f>IFERROR(__xludf.DUMMYFUNCTION("""COMPUTED_VALUE"""),"Alloy Tecnologia")</f>
        <v>Alloy Tecnologia</v>
      </c>
      <c r="V9623" s="33">
        <f>IFERROR(__xludf.DUMMYFUNCTION("""COMPUTED_VALUE"""),1.0)</f>
        <v>1</v>
      </c>
      <c r="W9623" s="4" t="str">
        <f>IFERROR(__xludf.DUMMYFUNCTION("""COMPUTED_VALUE"""),"Alloy Tecnologia")</f>
        <v>Alloy Tecnologia</v>
      </c>
      <c r="X9623" s="33">
        <f>IFERROR(__xludf.DUMMYFUNCTION("""COMPUTED_VALUE"""),1.0)</f>
        <v>1</v>
      </c>
    </row>
    <row r="9624">
      <c r="K9624" s="4" t="str">
        <f>IFERROR(__xludf.DUMMYFUNCTION("""COMPUTED_VALUE"""),"MAXIFARMA JARDIM KARLA")</f>
        <v>MAXIFARMA JARDIM KARLA</v>
      </c>
      <c r="L9624" s="32">
        <f>IFERROR(__xludf.DUMMYFUNCTION("""COMPUTED_VALUE"""),1.0)</f>
        <v>1</v>
      </c>
      <c r="M9624" s="4" t="str">
        <f>IFERROR(__xludf.DUMMYFUNCTION("""COMPUTED_VALUE"""),"N/A (Not found)")</f>
        <v>N/A (Not found)</v>
      </c>
      <c r="N9624" s="33">
        <f>IFERROR(__xludf.DUMMYFUNCTION("""COMPUTED_VALUE"""),1.0)</f>
        <v>1</v>
      </c>
      <c r="O9624" s="4" t="str">
        <f>IFERROR(__xludf.DUMMYFUNCTION("""COMPUTED_VALUE"""),"N/A (Not found)")</f>
        <v>N/A (Not found)</v>
      </c>
      <c r="P9624" s="33">
        <f>IFERROR(__xludf.DUMMYFUNCTION("""COMPUTED_VALUE"""),1.0)</f>
        <v>1</v>
      </c>
      <c r="Q9624" s="4" t="str">
        <f>IFERROR(__xludf.DUMMYFUNCTION("""COMPUTED_VALUE"""),"N/A (Not found)")</f>
        <v>N/A (Not found)</v>
      </c>
      <c r="R9624" s="33">
        <f>IFERROR(__xludf.DUMMYFUNCTION("""COMPUTED_VALUE"""),1.0)</f>
        <v>1</v>
      </c>
      <c r="S9624" s="4" t="str">
        <f>IFERROR(__xludf.DUMMYFUNCTION("""COMPUTED_VALUE"""),"N/A (Not found)")</f>
        <v>N/A (Not found)</v>
      </c>
      <c r="T9624" s="33">
        <f>IFERROR(__xludf.DUMMYFUNCTION("""COMPUTED_VALUE"""),1.0)</f>
        <v>1</v>
      </c>
      <c r="U9624" s="4" t="str">
        <f>IFERROR(__xludf.DUMMYFUNCTION("""COMPUTED_VALUE"""),"N/A (Not found)")</f>
        <v>N/A (Not found)</v>
      </c>
      <c r="V9624" s="33">
        <f>IFERROR(__xludf.DUMMYFUNCTION("""COMPUTED_VALUE"""),1.0)</f>
        <v>1</v>
      </c>
      <c r="W9624" s="4" t="str">
        <f>IFERROR(__xludf.DUMMYFUNCTION("""COMPUTED_VALUE"""),"N/A (Not found)")</f>
        <v>N/A (Not found)</v>
      </c>
      <c r="X9624" s="33">
        <f>IFERROR(__xludf.DUMMYFUNCTION("""COMPUTED_VALUE"""),1.0)</f>
        <v>1</v>
      </c>
    </row>
    <row r="9625">
      <c r="K9625" s="4" t="str">
        <f>IFERROR(__xludf.DUMMYFUNCTION("""COMPUTED_VALUE"""),"MORAES PASTELARIA")</f>
        <v>MORAES PASTELARIA</v>
      </c>
      <c r="L9625" s="32">
        <f>IFERROR(__xludf.DUMMYFUNCTION("""COMPUTED_VALUE"""),1.0)</f>
        <v>1</v>
      </c>
      <c r="M9625" s="4" t="str">
        <f>IFERROR(__xludf.DUMMYFUNCTION("""COMPUTED_VALUE"""),"Anota Ai Solucoes Digitais S/a")</f>
        <v>Anota Ai Solucoes Digitais S/a</v>
      </c>
      <c r="N9625" s="33">
        <f>IFERROR(__xludf.DUMMYFUNCTION("""COMPUTED_VALUE"""),1.0)</f>
        <v>1</v>
      </c>
      <c r="O9625" s="4" t="str">
        <f>IFERROR(__xludf.DUMMYFUNCTION("""COMPUTED_VALUE"""),"Anota Ai Solucoes Digitais S/a")</f>
        <v>Anota Ai Solucoes Digitais S/a</v>
      </c>
      <c r="P9625" s="33">
        <f>IFERROR(__xludf.DUMMYFUNCTION("""COMPUTED_VALUE"""),1.0)</f>
        <v>1</v>
      </c>
      <c r="Q9625" s="4" t="str">
        <f>IFERROR(__xludf.DUMMYFUNCTION("""COMPUTED_VALUE"""),"null")</f>
        <v>null</v>
      </c>
      <c r="R9625" s="33">
        <f>IFERROR(__xludf.DUMMYFUNCTION("""COMPUTED_VALUE"""),1.0)</f>
        <v>1</v>
      </c>
      <c r="S9625" s="4" t="str">
        <f>IFERROR(__xludf.DUMMYFUNCTION("""COMPUTED_VALUE"""),"null")</f>
        <v>null</v>
      </c>
      <c r="T9625" s="33">
        <f>IFERROR(__xludf.DUMMYFUNCTION("""COMPUTED_VALUE"""),1.0)</f>
        <v>1</v>
      </c>
      <c r="U9625" s="4" t="str">
        <f>IFERROR(__xludf.DUMMYFUNCTION("""COMPUTED_VALUE"""),"null")</f>
        <v>null</v>
      </c>
      <c r="V9625" s="33">
        <f>IFERROR(__xludf.DUMMYFUNCTION("""COMPUTED_VALUE"""),1.0)</f>
        <v>1</v>
      </c>
      <c r="W9625" s="4" t="str">
        <f>IFERROR(__xludf.DUMMYFUNCTION("""COMPUTED_VALUE"""),"null")</f>
        <v>null</v>
      </c>
      <c r="X9625" s="33">
        <f>IFERROR(__xludf.DUMMYFUNCTION("""COMPUTED_VALUE"""),1.0)</f>
        <v>1</v>
      </c>
    </row>
    <row r="9626">
      <c r="K9626" s="4" t="str">
        <f>IFERROR(__xludf.DUMMYFUNCTION("""COMPUTED_VALUE"""),"ADEGA DO NEGUIN")</f>
        <v>ADEGA DO NEGUIN</v>
      </c>
      <c r="L9626" s="32">
        <f>IFERROR(__xludf.DUMMYFUNCTION("""COMPUTED_VALUE"""),1.0)</f>
        <v>1</v>
      </c>
      <c r="M9626" s="4" t="str">
        <f>IFERROR(__xludf.DUMMYFUNCTION("""COMPUTED_VALUE"""),"null")</f>
        <v>null</v>
      </c>
      <c r="N9626" s="33">
        <f>IFERROR(__xludf.DUMMYFUNCTION("""COMPUTED_VALUE"""),1.0)</f>
        <v>1</v>
      </c>
      <c r="O9626" s="4" t="str">
        <f>IFERROR(__xludf.DUMMYFUNCTION("""COMPUTED_VALUE"""),"null")</f>
        <v>null</v>
      </c>
      <c r="P9626" s="33">
        <f>IFERROR(__xludf.DUMMYFUNCTION("""COMPUTED_VALUE"""),1.0)</f>
        <v>1</v>
      </c>
      <c r="Q9626" s="4" t="str">
        <f>IFERROR(__xludf.DUMMYFUNCTION("""COMPUTED_VALUE"""),"null")</f>
        <v>null</v>
      </c>
      <c r="R9626" s="33">
        <f>IFERROR(__xludf.DUMMYFUNCTION("""COMPUTED_VALUE"""),1.0)</f>
        <v>1</v>
      </c>
      <c r="S9626" s="4" t="str">
        <f>IFERROR(__xludf.DUMMYFUNCTION("""COMPUTED_VALUE"""),"null")</f>
        <v>null</v>
      </c>
      <c r="T9626" s="33">
        <f>IFERROR(__xludf.DUMMYFUNCTION("""COMPUTED_VALUE"""),1.0)</f>
        <v>1</v>
      </c>
      <c r="U9626" s="4" t="str">
        <f>IFERROR(__xludf.DUMMYFUNCTION("""COMPUTED_VALUE"""),"null")</f>
        <v>null</v>
      </c>
      <c r="V9626" s="33">
        <f>IFERROR(__xludf.DUMMYFUNCTION("""COMPUTED_VALUE"""),1.0)</f>
        <v>1</v>
      </c>
      <c r="W9626" s="4" t="str">
        <f>IFERROR(__xludf.DUMMYFUNCTION("""COMPUTED_VALUE"""),"Cervantes Tecnologia")</f>
        <v>Cervantes Tecnologia</v>
      </c>
      <c r="X9626" s="33">
        <f>IFERROR(__xludf.DUMMYFUNCTION("""COMPUTED_VALUE"""),1.0)</f>
        <v>1</v>
      </c>
    </row>
    <row r="9627">
      <c r="K9627" s="4" t="str">
        <f>IFERROR(__xludf.DUMMYFUNCTION("""COMPUTED_VALUE"""),"PANZANO PIZZA E GELATO")</f>
        <v>PANZANO PIZZA E GELATO</v>
      </c>
      <c r="L9627" s="32">
        <f>IFERROR(__xludf.DUMMYFUNCTION("""COMPUTED_VALUE"""),1.0)</f>
        <v>1</v>
      </c>
      <c r="M9627" s="4" t="str">
        <f>IFERROR(__xludf.DUMMYFUNCTION("""COMPUTED_VALUE"""),"Suitable Tecnologia E Gestao")</f>
        <v>Suitable Tecnologia E Gestao</v>
      </c>
      <c r="N9627" s="33">
        <f>IFERROR(__xludf.DUMMYFUNCTION("""COMPUTED_VALUE"""),1.0)</f>
        <v>1</v>
      </c>
      <c r="O9627" s="4" t="str">
        <f>IFERROR(__xludf.DUMMYFUNCTION("""COMPUTED_VALUE"""),"Suitable Tecnologia E Gestao")</f>
        <v>Suitable Tecnologia E Gestao</v>
      </c>
      <c r="P9627" s="33">
        <f>IFERROR(__xludf.DUMMYFUNCTION("""COMPUTED_VALUE"""),1.0)</f>
        <v>1</v>
      </c>
      <c r="Q9627" s="4" t="str">
        <f>IFERROR(__xludf.DUMMYFUNCTION("""COMPUTED_VALUE"""),"Suitable Tecnologia E Gestao")</f>
        <v>Suitable Tecnologia E Gestao</v>
      </c>
      <c r="R9627" s="33">
        <f>IFERROR(__xludf.DUMMYFUNCTION("""COMPUTED_VALUE"""),1.0)</f>
        <v>1</v>
      </c>
      <c r="S9627" s="4" t="str">
        <f>IFERROR(__xludf.DUMMYFUNCTION("""COMPUTED_VALUE"""),"Suitable Tecnologia E Gestao")</f>
        <v>Suitable Tecnologia E Gestao</v>
      </c>
      <c r="T9627" s="33">
        <f>IFERROR(__xludf.DUMMYFUNCTION("""COMPUTED_VALUE"""),1.0)</f>
        <v>1</v>
      </c>
      <c r="U9627" s="4" t="str">
        <f>IFERROR(__xludf.DUMMYFUNCTION("""COMPUTED_VALUE"""),"Suitable Tecnologia E Gestao")</f>
        <v>Suitable Tecnologia E Gestao</v>
      </c>
      <c r="V9627" s="33">
        <f>IFERROR(__xludf.DUMMYFUNCTION("""COMPUTED_VALUE"""),1.0)</f>
        <v>1</v>
      </c>
      <c r="W9627" s="4" t="str">
        <f>IFERROR(__xludf.DUMMYFUNCTION("""COMPUTED_VALUE"""),"Suitable Tecnologia E Gestao")</f>
        <v>Suitable Tecnologia E Gestao</v>
      </c>
      <c r="X9627" s="33">
        <f>IFERROR(__xludf.DUMMYFUNCTION("""COMPUTED_VALUE"""),1.0)</f>
        <v>1</v>
      </c>
    </row>
    <row r="9628">
      <c r="K9628" s="4" t="str">
        <f>IFERROR(__xludf.DUMMYFUNCTION("""COMPUTED_VALUE"""),"ESTACAO PARMEGIANA MARMITAS")</f>
        <v>ESTACAO PARMEGIANA MARMITAS</v>
      </c>
      <c r="L9628" s="32">
        <f>IFERROR(__xludf.DUMMYFUNCTION("""COMPUTED_VALUE"""),1.0)</f>
        <v>1</v>
      </c>
      <c r="M9628" s="4" t="str">
        <f>IFERROR(__xludf.DUMMYFUNCTION("""COMPUTED_VALUE"""),"Saipos Serviços De Software")</f>
        <v>Saipos Serviços De Software</v>
      </c>
      <c r="N9628" s="33">
        <f>IFERROR(__xludf.DUMMYFUNCTION("""COMPUTED_VALUE"""),1.0)</f>
        <v>1</v>
      </c>
      <c r="O9628" s="4" t="str">
        <f>IFERROR(__xludf.DUMMYFUNCTION("""COMPUTED_VALUE"""),"Saipos Serviços De Software")</f>
        <v>Saipos Serviços De Software</v>
      </c>
      <c r="P9628" s="33">
        <f>IFERROR(__xludf.DUMMYFUNCTION("""COMPUTED_VALUE"""),1.0)</f>
        <v>1</v>
      </c>
      <c r="Q9628" s="4" t="str">
        <f>IFERROR(__xludf.DUMMYFUNCTION("""COMPUTED_VALUE"""),"Saipos Serviços De Software")</f>
        <v>Saipos Serviços De Software</v>
      </c>
      <c r="R9628" s="33">
        <f>IFERROR(__xludf.DUMMYFUNCTION("""COMPUTED_VALUE"""),1.0)</f>
        <v>1</v>
      </c>
      <c r="S9628" s="4" t="str">
        <f>IFERROR(__xludf.DUMMYFUNCTION("""COMPUTED_VALUE"""),"Saipos Serviços De Software")</f>
        <v>Saipos Serviços De Software</v>
      </c>
      <c r="T9628" s="33">
        <f>IFERROR(__xludf.DUMMYFUNCTION("""COMPUTED_VALUE"""),1.0)</f>
        <v>1</v>
      </c>
      <c r="U9628" s="4" t="str">
        <f>IFERROR(__xludf.DUMMYFUNCTION("""COMPUTED_VALUE"""),"Saipos Serviços De Software")</f>
        <v>Saipos Serviços De Software</v>
      </c>
      <c r="V9628" s="33">
        <f>IFERROR(__xludf.DUMMYFUNCTION("""COMPUTED_VALUE"""),1.0)</f>
        <v>1</v>
      </c>
      <c r="W9628" s="4" t="str">
        <f>IFERROR(__xludf.DUMMYFUNCTION("""COMPUTED_VALUE"""),"null")</f>
        <v>null</v>
      </c>
      <c r="X9628" s="33">
        <f>IFERROR(__xludf.DUMMYFUNCTION("""COMPUTED_VALUE"""),1.0)</f>
        <v>1</v>
      </c>
    </row>
    <row r="9629">
      <c r="K9629" s="4" t="str">
        <f>IFERROR(__xludf.DUMMYFUNCTION("""COMPUTED_VALUE"""),"SANTO SMASH - HAMBURGUERIA ARTESANAL")</f>
        <v>SANTO SMASH - HAMBURGUERIA ARTESANAL</v>
      </c>
      <c r="L9629" s="32">
        <f>IFERROR(__xludf.DUMMYFUNCTION("""COMPUTED_VALUE"""),1.0)</f>
        <v>1</v>
      </c>
      <c r="M9629" s="4" t="str">
        <f>IFERROR(__xludf.DUMMYFUNCTION("""COMPUTED_VALUE"""),"One Solucoes")</f>
        <v>One Solucoes</v>
      </c>
      <c r="N9629" s="33">
        <f>IFERROR(__xludf.DUMMYFUNCTION("""COMPUTED_VALUE"""),1.0)</f>
        <v>1</v>
      </c>
      <c r="O9629" s="4" t="str">
        <f>IFERROR(__xludf.DUMMYFUNCTION("""COMPUTED_VALUE"""),"null")</f>
        <v>null</v>
      </c>
      <c r="P9629" s="33">
        <f>IFERROR(__xludf.DUMMYFUNCTION("""COMPUTED_VALUE"""),1.0)</f>
        <v>1</v>
      </c>
      <c r="Q9629" s="4" t="str">
        <f>IFERROR(__xludf.DUMMYFUNCTION("""COMPUTED_VALUE"""),"One Solucoes")</f>
        <v>One Solucoes</v>
      </c>
      <c r="R9629" s="33">
        <f>IFERROR(__xludf.DUMMYFUNCTION("""COMPUTED_VALUE"""),1.0)</f>
        <v>1</v>
      </c>
      <c r="S9629" s="4" t="str">
        <f>IFERROR(__xludf.DUMMYFUNCTION("""COMPUTED_VALUE"""),"One Solucoes")</f>
        <v>One Solucoes</v>
      </c>
      <c r="T9629" s="33">
        <f>IFERROR(__xludf.DUMMYFUNCTION("""COMPUTED_VALUE"""),1.0)</f>
        <v>1</v>
      </c>
      <c r="U9629" s="4" t="str">
        <f>IFERROR(__xludf.DUMMYFUNCTION("""COMPUTED_VALUE"""),"One Solucoes")</f>
        <v>One Solucoes</v>
      </c>
      <c r="V9629" s="33">
        <f>IFERROR(__xludf.DUMMYFUNCTION("""COMPUTED_VALUE"""),1.0)</f>
        <v>1</v>
      </c>
      <c r="W9629" s="4" t="str">
        <f>IFERROR(__xludf.DUMMYFUNCTION("""COMPUTED_VALUE"""),"One Solucoes")</f>
        <v>One Solucoes</v>
      </c>
      <c r="X9629" s="33">
        <f>IFERROR(__xludf.DUMMYFUNCTION("""COMPUTED_VALUE"""),1.0)</f>
        <v>1</v>
      </c>
    </row>
    <row r="9630">
      <c r="K9630" s="4" t="str">
        <f>IFERROR(__xludf.DUMMYFUNCTION("""COMPUTED_VALUE"""),"MARMITARIA DA FAZENDA - ITAPARICA")</f>
        <v>MARMITARIA DA FAZENDA - ITAPARICA</v>
      </c>
      <c r="L9630" s="32">
        <f>IFERROR(__xludf.DUMMYFUNCTION("""COMPUTED_VALUE"""),1.0)</f>
        <v>1</v>
      </c>
      <c r="M9630" s="4" t="str">
        <f>IFERROR(__xludf.DUMMYFUNCTION("""COMPUTED_VALUE"""),"Saipos Serviços De Software")</f>
        <v>Saipos Serviços De Software</v>
      </c>
      <c r="N9630" s="33">
        <f>IFERROR(__xludf.DUMMYFUNCTION("""COMPUTED_VALUE"""),1.0)</f>
        <v>1</v>
      </c>
      <c r="O9630" s="4" t="str">
        <f>IFERROR(__xludf.DUMMYFUNCTION("""COMPUTED_VALUE"""),"Saipos Serviços De Software")</f>
        <v>Saipos Serviços De Software</v>
      </c>
      <c r="P9630" s="33">
        <f>IFERROR(__xludf.DUMMYFUNCTION("""COMPUTED_VALUE"""),1.0)</f>
        <v>1</v>
      </c>
      <c r="Q9630" s="4" t="str">
        <f>IFERROR(__xludf.DUMMYFUNCTION("""COMPUTED_VALUE"""),"Saipos Serviços De Software")</f>
        <v>Saipos Serviços De Software</v>
      </c>
      <c r="R9630" s="33">
        <f>IFERROR(__xludf.DUMMYFUNCTION("""COMPUTED_VALUE"""),1.0)</f>
        <v>1</v>
      </c>
      <c r="S9630" s="4" t="str">
        <f>IFERROR(__xludf.DUMMYFUNCTION("""COMPUTED_VALUE"""),"Saipos Serviços De Software")</f>
        <v>Saipos Serviços De Software</v>
      </c>
      <c r="T9630" s="33">
        <f>IFERROR(__xludf.DUMMYFUNCTION("""COMPUTED_VALUE"""),1.0)</f>
        <v>1</v>
      </c>
      <c r="U9630" s="4" t="str">
        <f>IFERROR(__xludf.DUMMYFUNCTION("""COMPUTED_VALUE"""),"Saipos Serviços De Software")</f>
        <v>Saipos Serviços De Software</v>
      </c>
      <c r="V9630" s="33">
        <f>IFERROR(__xludf.DUMMYFUNCTION("""COMPUTED_VALUE"""),1.0)</f>
        <v>1</v>
      </c>
      <c r="W9630" s="4" t="str">
        <f>IFERROR(__xludf.DUMMYFUNCTION("""COMPUTED_VALUE"""),"Saipos Serviços De Software")</f>
        <v>Saipos Serviços De Software</v>
      </c>
      <c r="X9630" s="33">
        <f>IFERROR(__xludf.DUMMYFUNCTION("""COMPUTED_VALUE"""),1.0)</f>
        <v>1</v>
      </c>
    </row>
    <row r="9631">
      <c r="K9631" s="4" t="str">
        <f>IFERROR(__xludf.DUMMYFUNCTION("""COMPUTED_VALUE"""),"RS REI DO SALGADO CERQUILHO")</f>
        <v>RS REI DO SALGADO CERQUILHO</v>
      </c>
      <c r="L9631" s="32">
        <f>IFERROR(__xludf.DUMMYFUNCTION("""COMPUTED_VALUE"""),1.0)</f>
        <v>1</v>
      </c>
      <c r="M9631" s="4" t="str">
        <f>IFERROR(__xludf.DUMMYFUNCTION("""COMPUTED_VALUE"""),"Grandchef Desenvolvimento De Sistemas Ltda")</f>
        <v>Grandchef Desenvolvimento De Sistemas Ltda</v>
      </c>
      <c r="N9631" s="33">
        <f>IFERROR(__xludf.DUMMYFUNCTION("""COMPUTED_VALUE"""),1.0)</f>
        <v>1</v>
      </c>
      <c r="O9631" s="4" t="str">
        <f>IFERROR(__xludf.DUMMYFUNCTION("""COMPUTED_VALUE"""),"Grandchef Desenvolvimento De Sistemas Ltda")</f>
        <v>Grandchef Desenvolvimento De Sistemas Ltda</v>
      </c>
      <c r="P9631" s="33">
        <f>IFERROR(__xludf.DUMMYFUNCTION("""COMPUTED_VALUE"""),1.0)</f>
        <v>1</v>
      </c>
      <c r="Q9631" s="4" t="str">
        <f>IFERROR(__xludf.DUMMYFUNCTION("""COMPUTED_VALUE"""),"Grandchef Desenvolvimento De Sistemas Ltda")</f>
        <v>Grandchef Desenvolvimento De Sistemas Ltda</v>
      </c>
      <c r="R9631" s="33">
        <f>IFERROR(__xludf.DUMMYFUNCTION("""COMPUTED_VALUE"""),1.0)</f>
        <v>1</v>
      </c>
      <c r="S9631" s="4" t="str">
        <f>IFERROR(__xludf.DUMMYFUNCTION("""COMPUTED_VALUE"""),"Grandchef Desenvolvimento De Sistemas Ltda")</f>
        <v>Grandchef Desenvolvimento De Sistemas Ltda</v>
      </c>
      <c r="T9631" s="33">
        <f>IFERROR(__xludf.DUMMYFUNCTION("""COMPUTED_VALUE"""),1.0)</f>
        <v>1</v>
      </c>
      <c r="U9631" s="4" t="str">
        <f>IFERROR(__xludf.DUMMYFUNCTION("""COMPUTED_VALUE"""),"Grandchef Desenvolvimento De Sistemas Ltda")</f>
        <v>Grandchef Desenvolvimento De Sistemas Ltda</v>
      </c>
      <c r="V9631" s="33">
        <f>IFERROR(__xludf.DUMMYFUNCTION("""COMPUTED_VALUE"""),1.0)</f>
        <v>1</v>
      </c>
      <c r="W9631" s="4" t="str">
        <f>IFERROR(__xludf.DUMMYFUNCTION("""COMPUTED_VALUE"""),"Grandchef Desenvolvimento De Sistemas Ltda")</f>
        <v>Grandchef Desenvolvimento De Sistemas Ltda</v>
      </c>
      <c r="X9631" s="33">
        <f>IFERROR(__xludf.DUMMYFUNCTION("""COMPUTED_VALUE"""),1.0)</f>
        <v>1</v>
      </c>
    </row>
    <row r="9632">
      <c r="K9632" s="4" t="str">
        <f>IFERROR(__xludf.DUMMYFUNCTION("""COMPUTED_VALUE"""),"TIMEIS BURGUER - BURITIS")</f>
        <v>TIMEIS BURGUER - BURITIS</v>
      </c>
      <c r="L9632" s="32">
        <f>IFERROR(__xludf.DUMMYFUNCTION("""COMPUTED_VALUE"""),1.0)</f>
        <v>1</v>
      </c>
      <c r="M9632" s="4" t="str">
        <f>IFERROR(__xludf.DUMMYFUNCTION("""COMPUTED_VALUE"""),"Saipos Serviços De Software")</f>
        <v>Saipos Serviços De Software</v>
      </c>
      <c r="N9632" s="33">
        <f>IFERROR(__xludf.DUMMYFUNCTION("""COMPUTED_VALUE"""),1.0)</f>
        <v>1</v>
      </c>
      <c r="O9632" s="4" t="str">
        <f>IFERROR(__xludf.DUMMYFUNCTION("""COMPUTED_VALUE"""),"Saipos Serviços De Software")</f>
        <v>Saipos Serviços De Software</v>
      </c>
      <c r="P9632" s="33">
        <f>IFERROR(__xludf.DUMMYFUNCTION("""COMPUTED_VALUE"""),1.0)</f>
        <v>1</v>
      </c>
      <c r="Q9632" s="4" t="str">
        <f>IFERROR(__xludf.DUMMYFUNCTION("""COMPUTED_VALUE"""),"Saipos Serviços De Software")</f>
        <v>Saipos Serviços De Software</v>
      </c>
      <c r="R9632" s="33">
        <f>IFERROR(__xludf.DUMMYFUNCTION("""COMPUTED_VALUE"""),1.0)</f>
        <v>1</v>
      </c>
      <c r="S9632" s="4" t="str">
        <f>IFERROR(__xludf.DUMMYFUNCTION("""COMPUTED_VALUE"""),"Saipos Serviços De Software")</f>
        <v>Saipos Serviços De Software</v>
      </c>
      <c r="T9632" s="33">
        <f>IFERROR(__xludf.DUMMYFUNCTION("""COMPUTED_VALUE"""),1.0)</f>
        <v>1</v>
      </c>
      <c r="U9632" s="4" t="str">
        <f>IFERROR(__xludf.DUMMYFUNCTION("""COMPUTED_VALUE"""),"Saipos Serviços De Software")</f>
        <v>Saipos Serviços De Software</v>
      </c>
      <c r="V9632" s="33">
        <f>IFERROR(__xludf.DUMMYFUNCTION("""COMPUTED_VALUE"""),1.0)</f>
        <v>1</v>
      </c>
      <c r="W9632" s="4" t="str">
        <f>IFERROR(__xludf.DUMMYFUNCTION("""COMPUTED_VALUE"""),"Saipos Serviços De Software")</f>
        <v>Saipos Serviços De Software</v>
      </c>
      <c r="X9632" s="33">
        <f>IFERROR(__xludf.DUMMYFUNCTION("""COMPUTED_VALUE"""),1.0)</f>
        <v>1</v>
      </c>
    </row>
    <row r="9633">
      <c r="K9633" s="4" t="str">
        <f>IFERROR(__xludf.DUMMYFUNCTION("""COMPUTED_VALUE"""),"LAMICA MARMITEX FOOD")</f>
        <v>LAMICA MARMITEX FOOD</v>
      </c>
      <c r="L9633" s="32">
        <f>IFERROR(__xludf.DUMMYFUNCTION("""COMPUTED_VALUE"""),1.0)</f>
        <v>1</v>
      </c>
      <c r="M9633" s="4" t="str">
        <f>IFERROR(__xludf.DUMMYFUNCTION("""COMPUTED_VALUE"""),"Consumer Soluções Em Tecnologia Ltda")</f>
        <v>Consumer Soluções Em Tecnologia Ltda</v>
      </c>
      <c r="N9633" s="33">
        <f>IFERROR(__xludf.DUMMYFUNCTION("""COMPUTED_VALUE"""),1.0)</f>
        <v>1</v>
      </c>
      <c r="O9633" s="4" t="str">
        <f>IFERROR(__xludf.DUMMYFUNCTION("""COMPUTED_VALUE"""),"Consumer Soluções Em Tecnologia Ltda")</f>
        <v>Consumer Soluções Em Tecnologia Ltda</v>
      </c>
      <c r="P9633" s="33">
        <f>IFERROR(__xludf.DUMMYFUNCTION("""COMPUTED_VALUE"""),1.0)</f>
        <v>1</v>
      </c>
      <c r="Q9633" s="4" t="str">
        <f>IFERROR(__xludf.DUMMYFUNCTION("""COMPUTED_VALUE"""),"null")</f>
        <v>null</v>
      </c>
      <c r="R9633" s="33">
        <f>IFERROR(__xludf.DUMMYFUNCTION("""COMPUTED_VALUE"""),1.0)</f>
        <v>1</v>
      </c>
      <c r="S9633" s="4" t="str">
        <f>IFERROR(__xludf.DUMMYFUNCTION("""COMPUTED_VALUE"""),"null")</f>
        <v>null</v>
      </c>
      <c r="T9633" s="33">
        <f>IFERROR(__xludf.DUMMYFUNCTION("""COMPUTED_VALUE"""),1.0)</f>
        <v>1</v>
      </c>
      <c r="U9633" s="4" t="str">
        <f>IFERROR(__xludf.DUMMYFUNCTION("""COMPUTED_VALUE"""),"null")</f>
        <v>null</v>
      </c>
      <c r="V9633" s="33">
        <f>IFERROR(__xludf.DUMMYFUNCTION("""COMPUTED_VALUE"""),1.0)</f>
        <v>1</v>
      </c>
      <c r="W9633" s="4" t="str">
        <f>IFERROR(__xludf.DUMMYFUNCTION("""COMPUTED_VALUE"""),"null")</f>
        <v>null</v>
      </c>
      <c r="X9633" s="33">
        <f>IFERROR(__xludf.DUMMYFUNCTION("""COMPUTED_VALUE"""),1.0)</f>
        <v>1</v>
      </c>
    </row>
    <row r="9634">
      <c r="K9634" s="4" t="str">
        <f>IFERROR(__xludf.DUMMYFUNCTION("""COMPUTED_VALUE"""),"ABARA DA DRIKA")</f>
        <v>ABARA DA DRIKA</v>
      </c>
      <c r="L9634" s="32">
        <f>IFERROR(__xludf.DUMMYFUNCTION("""COMPUTED_VALUE"""),1.0)</f>
        <v>1</v>
      </c>
      <c r="M9634" s="4" t="str">
        <f>IFERROR(__xludf.DUMMYFUNCTION("""COMPUTED_VALUE"""),"null")</f>
        <v>null</v>
      </c>
      <c r="N9634" s="33">
        <f>IFERROR(__xludf.DUMMYFUNCTION("""COMPUTED_VALUE"""),1.0)</f>
        <v>1</v>
      </c>
      <c r="O9634" s="4" t="str">
        <f>IFERROR(__xludf.DUMMYFUNCTION("""COMPUTED_VALUE"""),"null")</f>
        <v>null</v>
      </c>
      <c r="P9634" s="33">
        <f>IFERROR(__xludf.DUMMYFUNCTION("""COMPUTED_VALUE"""),1.0)</f>
        <v>1</v>
      </c>
      <c r="Q9634" s="4" t="str">
        <f>IFERROR(__xludf.DUMMYFUNCTION("""COMPUTED_VALUE"""),"Anota Ai Solucoes Digitais S/a")</f>
        <v>Anota Ai Solucoes Digitais S/a</v>
      </c>
      <c r="R9634" s="33">
        <f>IFERROR(__xludf.DUMMYFUNCTION("""COMPUTED_VALUE"""),1.0)</f>
        <v>1</v>
      </c>
      <c r="S9634" s="4" t="str">
        <f>IFERROR(__xludf.DUMMYFUNCTION("""COMPUTED_VALUE"""),"Saipos Serviços De Software")</f>
        <v>Saipos Serviços De Software</v>
      </c>
      <c r="T9634" s="33">
        <f>IFERROR(__xludf.DUMMYFUNCTION("""COMPUTED_VALUE"""),1.0)</f>
        <v>1</v>
      </c>
      <c r="U9634" s="4" t="str">
        <f>IFERROR(__xludf.DUMMYFUNCTION("""COMPUTED_VALUE"""),"Saipos Serviços De Software")</f>
        <v>Saipos Serviços De Software</v>
      </c>
      <c r="V9634" s="33">
        <f>IFERROR(__xludf.DUMMYFUNCTION("""COMPUTED_VALUE"""),1.0)</f>
        <v>1</v>
      </c>
      <c r="W9634" s="4" t="str">
        <f>IFERROR(__xludf.DUMMYFUNCTION("""COMPUTED_VALUE"""),"Saipos Serviços De Software")</f>
        <v>Saipos Serviços De Software</v>
      </c>
      <c r="X9634" s="33">
        <f>IFERROR(__xludf.DUMMYFUNCTION("""COMPUTED_VALUE"""),1.0)</f>
        <v>1</v>
      </c>
    </row>
    <row r="9635">
      <c r="K9635" s="4" t="str">
        <f>IFERROR(__xludf.DUMMYFUNCTION("""COMPUTED_VALUE"""),"RUFFUS DISTRIBUIDORA DE BEBIDAS")</f>
        <v>RUFFUS DISTRIBUIDORA DE BEBIDAS</v>
      </c>
      <c r="L9635" s="32">
        <f>IFERROR(__xludf.DUMMYFUNCTION("""COMPUTED_VALUE"""),1.0)</f>
        <v>1</v>
      </c>
      <c r="M9635" s="4" t="str">
        <f>IFERROR(__xludf.DUMMYFUNCTION("""COMPUTED_VALUE"""),"N/A (Not found)")</f>
        <v>N/A (Not found)</v>
      </c>
      <c r="N9635" s="33">
        <f>IFERROR(__xludf.DUMMYFUNCTION("""COMPUTED_VALUE"""),1.0)</f>
        <v>1</v>
      </c>
      <c r="O9635" s="4" t="str">
        <f>IFERROR(__xludf.DUMMYFUNCTION("""COMPUTED_VALUE"""),"N/A (Not found)")</f>
        <v>N/A (Not found)</v>
      </c>
      <c r="P9635" s="33">
        <f>IFERROR(__xludf.DUMMYFUNCTION("""COMPUTED_VALUE"""),1.0)</f>
        <v>1</v>
      </c>
      <c r="Q9635" s="4" t="str">
        <f>IFERROR(__xludf.DUMMYFUNCTION("""COMPUTED_VALUE"""),"N/A (Not found)")</f>
        <v>N/A (Not found)</v>
      </c>
      <c r="R9635" s="33">
        <f>IFERROR(__xludf.DUMMYFUNCTION("""COMPUTED_VALUE"""),1.0)</f>
        <v>1</v>
      </c>
      <c r="S9635" s="4" t="str">
        <f>IFERROR(__xludf.DUMMYFUNCTION("""COMPUTED_VALUE"""),"N/A (Not found)")</f>
        <v>N/A (Not found)</v>
      </c>
      <c r="T9635" s="33">
        <f>IFERROR(__xludf.DUMMYFUNCTION("""COMPUTED_VALUE"""),1.0)</f>
        <v>1</v>
      </c>
      <c r="U9635" s="4" t="str">
        <f>IFERROR(__xludf.DUMMYFUNCTION("""COMPUTED_VALUE"""),"N/A (Not found)")</f>
        <v>N/A (Not found)</v>
      </c>
      <c r="V9635" s="33">
        <f>IFERROR(__xludf.DUMMYFUNCTION("""COMPUTED_VALUE"""),1.0)</f>
        <v>1</v>
      </c>
      <c r="W9635" s="4" t="str">
        <f>IFERROR(__xludf.DUMMYFUNCTION("""COMPUTED_VALUE"""),"N/A (Not found)")</f>
        <v>N/A (Not found)</v>
      </c>
      <c r="X9635" s="33">
        <f>IFERROR(__xludf.DUMMYFUNCTION("""COMPUTED_VALUE"""),1.0)</f>
        <v>1</v>
      </c>
    </row>
    <row r="9636">
      <c r="K9636" s="4" t="str">
        <f>IFERROR(__xludf.DUMMYFUNCTION("""COMPUTED_VALUE"""),"AMIGO BICHO CANDEIAS")</f>
        <v>AMIGO BICHO CANDEIAS</v>
      </c>
      <c r="L9636" s="32">
        <f>IFERROR(__xludf.DUMMYFUNCTION("""COMPUTED_VALUE"""),1.0)</f>
        <v>1</v>
      </c>
      <c r="M9636" s="4" t="str">
        <f>IFERROR(__xludf.DUMMYFUNCTION("""COMPUTED_VALUE"""),"null")</f>
        <v>null</v>
      </c>
      <c r="N9636" s="33">
        <f>IFERROR(__xludf.DUMMYFUNCTION("""COMPUTED_VALUE"""),1.0)</f>
        <v>1</v>
      </c>
      <c r="O9636" s="4" t="str">
        <f>IFERROR(__xludf.DUMMYFUNCTION("""COMPUTED_VALUE"""),"null")</f>
        <v>null</v>
      </c>
      <c r="P9636" s="33">
        <f>IFERROR(__xludf.DUMMYFUNCTION("""COMPUTED_VALUE"""),1.0)</f>
        <v>1</v>
      </c>
      <c r="Q9636" s="4" t="str">
        <f>IFERROR(__xludf.DUMMYFUNCTION("""COMPUTED_VALUE"""),"null")</f>
        <v>null</v>
      </c>
      <c r="R9636" s="33">
        <f>IFERROR(__xludf.DUMMYFUNCTION("""COMPUTED_VALUE"""),1.0)</f>
        <v>1</v>
      </c>
      <c r="S9636" s="4" t="str">
        <f>IFERROR(__xludf.DUMMYFUNCTION("""COMPUTED_VALUE"""),"null")</f>
        <v>null</v>
      </c>
      <c r="T9636" s="33">
        <f>IFERROR(__xludf.DUMMYFUNCTION("""COMPUTED_VALUE"""),1.0)</f>
        <v>1</v>
      </c>
      <c r="U9636" s="4" t="str">
        <f>IFERROR(__xludf.DUMMYFUNCTION("""COMPUTED_VALUE"""),"N/A (Not found)")</f>
        <v>N/A (Not found)</v>
      </c>
      <c r="V9636" s="33">
        <f>IFERROR(__xludf.DUMMYFUNCTION("""COMPUTED_VALUE"""),1.0)</f>
        <v>1</v>
      </c>
      <c r="W9636" s="4" t="str">
        <f>IFERROR(__xludf.DUMMYFUNCTION("""COMPUTED_VALUE"""),"N/A (Not found)")</f>
        <v>N/A (Not found)</v>
      </c>
      <c r="X9636" s="33">
        <f>IFERROR(__xludf.DUMMYFUNCTION("""COMPUTED_VALUE"""),1.0)</f>
        <v>1</v>
      </c>
    </row>
    <row r="9637">
      <c r="K9637" s="4" t="str">
        <f>IFERROR(__xludf.DUMMYFUNCTION("""COMPUTED_VALUE"""),"ESTACAO BURGUER -LANCHES E HAMBURGUERES")</f>
        <v>ESTACAO BURGUER -LANCHES E HAMBURGUERES</v>
      </c>
      <c r="L9637" s="32">
        <f>IFERROR(__xludf.DUMMYFUNCTION("""COMPUTED_VALUE"""),1.0)</f>
        <v>1</v>
      </c>
      <c r="M9637" s="4" t="str">
        <f>IFERROR(__xludf.DUMMYFUNCTION("""COMPUTED_VALUE"""),"null")</f>
        <v>null</v>
      </c>
      <c r="N9637" s="33">
        <f>IFERROR(__xludf.DUMMYFUNCTION("""COMPUTED_VALUE"""),1.0)</f>
        <v>1</v>
      </c>
      <c r="O9637" s="4" t="str">
        <f>IFERROR(__xludf.DUMMYFUNCTION("""COMPUTED_VALUE"""),"Instadelivery")</f>
        <v>Instadelivery</v>
      </c>
      <c r="P9637" s="33">
        <f>IFERROR(__xludf.DUMMYFUNCTION("""COMPUTED_VALUE"""),1.0)</f>
        <v>1</v>
      </c>
      <c r="Q9637" s="4" t="str">
        <f>IFERROR(__xludf.DUMMYFUNCTION("""COMPUTED_VALUE"""),"Instadelivery")</f>
        <v>Instadelivery</v>
      </c>
      <c r="R9637" s="33">
        <f>IFERROR(__xludf.DUMMYFUNCTION("""COMPUTED_VALUE"""),1.0)</f>
        <v>1</v>
      </c>
      <c r="S9637" s="4" t="str">
        <f>IFERROR(__xludf.DUMMYFUNCTION("""COMPUTED_VALUE"""),"null")</f>
        <v>null</v>
      </c>
      <c r="T9637" s="33">
        <f>IFERROR(__xludf.DUMMYFUNCTION("""COMPUTED_VALUE"""),1.0)</f>
        <v>1</v>
      </c>
      <c r="U9637" s="4" t="str">
        <f>IFERROR(__xludf.DUMMYFUNCTION("""COMPUTED_VALUE"""),"Instadelivery")</f>
        <v>Instadelivery</v>
      </c>
      <c r="V9637" s="33">
        <f>IFERROR(__xludf.DUMMYFUNCTION("""COMPUTED_VALUE"""),1.0)</f>
        <v>1</v>
      </c>
      <c r="W9637" s="4" t="str">
        <f>IFERROR(__xludf.DUMMYFUNCTION("""COMPUTED_VALUE"""),"null")</f>
        <v>null</v>
      </c>
      <c r="X9637" s="33">
        <f>IFERROR(__xludf.DUMMYFUNCTION("""COMPUTED_VALUE"""),1.0)</f>
        <v>1</v>
      </c>
    </row>
    <row r="9638">
      <c r="K9638" s="4" t="str">
        <f>IFERROR(__xludf.DUMMYFUNCTION("""COMPUTED_VALUE"""),"PIZZARIA QUALIDADE")</f>
        <v>PIZZARIA QUALIDADE</v>
      </c>
      <c r="L9638" s="32">
        <f>IFERROR(__xludf.DUMMYFUNCTION("""COMPUTED_VALUE"""),1.0)</f>
        <v>1</v>
      </c>
      <c r="M9638" s="4" t="str">
        <f>IFERROR(__xludf.DUMMYFUNCTION("""COMPUTED_VALUE"""),"Consumer Soluções Em Tecnologia Ltda")</f>
        <v>Consumer Soluções Em Tecnologia Ltda</v>
      </c>
      <c r="N9638" s="33">
        <f>IFERROR(__xludf.DUMMYFUNCTION("""COMPUTED_VALUE"""),1.0)</f>
        <v>1</v>
      </c>
      <c r="O9638" s="4" t="str">
        <f>IFERROR(__xludf.DUMMYFUNCTION("""COMPUTED_VALUE"""),"Consumer Soluções Em Tecnologia Ltda")</f>
        <v>Consumer Soluções Em Tecnologia Ltda</v>
      </c>
      <c r="P9638" s="33">
        <f>IFERROR(__xludf.DUMMYFUNCTION("""COMPUTED_VALUE"""),1.0)</f>
        <v>1</v>
      </c>
      <c r="Q9638" s="4" t="str">
        <f>IFERROR(__xludf.DUMMYFUNCTION("""COMPUTED_VALUE"""),"null")</f>
        <v>null</v>
      </c>
      <c r="R9638" s="33">
        <f>IFERROR(__xludf.DUMMYFUNCTION("""COMPUTED_VALUE"""),1.0)</f>
        <v>1</v>
      </c>
      <c r="S9638" s="4" t="str">
        <f>IFERROR(__xludf.DUMMYFUNCTION("""COMPUTED_VALUE"""),"Consumer Soluções Em Tecnologia Ltda")</f>
        <v>Consumer Soluções Em Tecnologia Ltda</v>
      </c>
      <c r="T9638" s="33">
        <f>IFERROR(__xludf.DUMMYFUNCTION("""COMPUTED_VALUE"""),1.0)</f>
        <v>1</v>
      </c>
      <c r="U9638" s="4" t="str">
        <f>IFERROR(__xludf.DUMMYFUNCTION("""COMPUTED_VALUE"""),"Consumer Soluções Em Tecnologia Ltda")</f>
        <v>Consumer Soluções Em Tecnologia Ltda</v>
      </c>
      <c r="V9638" s="33">
        <f>IFERROR(__xludf.DUMMYFUNCTION("""COMPUTED_VALUE"""),1.0)</f>
        <v>1</v>
      </c>
      <c r="W9638" s="4" t="str">
        <f>IFERROR(__xludf.DUMMYFUNCTION("""COMPUTED_VALUE"""),"null")</f>
        <v>null</v>
      </c>
      <c r="X9638" s="33">
        <f>IFERROR(__xludf.DUMMYFUNCTION("""COMPUTED_VALUE"""),1.0)</f>
        <v>1</v>
      </c>
    </row>
    <row r="9639">
      <c r="K9639" s="4" t="str">
        <f>IFERROR(__xludf.DUMMYFUNCTION("""COMPUTED_VALUE"""),"LANCHES DA BAIXINHA")</f>
        <v>LANCHES DA BAIXINHA</v>
      </c>
      <c r="L9639" s="32">
        <f>IFERROR(__xludf.DUMMYFUNCTION("""COMPUTED_VALUE"""),1.0)</f>
        <v>1</v>
      </c>
      <c r="M9639" s="4" t="str">
        <f>IFERROR(__xludf.DUMMYFUNCTION("""COMPUTED_VALUE"""),"null")</f>
        <v>null</v>
      </c>
      <c r="N9639" s="33">
        <f>IFERROR(__xludf.DUMMYFUNCTION("""COMPUTED_VALUE"""),1.0)</f>
        <v>1</v>
      </c>
      <c r="O9639" s="4" t="str">
        <f>IFERROR(__xludf.DUMMYFUNCTION("""COMPUTED_VALUE"""),"null")</f>
        <v>null</v>
      </c>
      <c r="P9639" s="33">
        <f>IFERROR(__xludf.DUMMYFUNCTION("""COMPUTED_VALUE"""),1.0)</f>
        <v>1</v>
      </c>
      <c r="Q9639" s="4" t="str">
        <f>IFERROR(__xludf.DUMMYFUNCTION("""COMPUTED_VALUE"""),"null")</f>
        <v>null</v>
      </c>
      <c r="R9639" s="33">
        <f>IFERROR(__xludf.DUMMYFUNCTION("""COMPUTED_VALUE"""),1.0)</f>
        <v>1</v>
      </c>
      <c r="S9639" s="4" t="str">
        <f>IFERROR(__xludf.DUMMYFUNCTION("""COMPUTED_VALUE"""),"null")</f>
        <v>null</v>
      </c>
      <c r="T9639" s="33">
        <f>IFERROR(__xludf.DUMMYFUNCTION("""COMPUTED_VALUE"""),1.0)</f>
        <v>1</v>
      </c>
      <c r="U9639" s="4" t="str">
        <f>IFERROR(__xludf.DUMMYFUNCTION("""COMPUTED_VALUE"""),"Instadelivery")</f>
        <v>Instadelivery</v>
      </c>
      <c r="V9639" s="33">
        <f>IFERROR(__xludf.DUMMYFUNCTION("""COMPUTED_VALUE"""),1.0)</f>
        <v>1</v>
      </c>
      <c r="W9639" s="4" t="str">
        <f>IFERROR(__xludf.DUMMYFUNCTION("""COMPUTED_VALUE"""),"Instadelivery")</f>
        <v>Instadelivery</v>
      </c>
      <c r="X9639" s="33">
        <f>IFERROR(__xludf.DUMMYFUNCTION("""COMPUTED_VALUE"""),1.0)</f>
        <v>1</v>
      </c>
    </row>
    <row r="9640">
      <c r="K9640" s="4" t="str">
        <f>IFERROR(__xludf.DUMMYFUNCTION("""COMPUTED_VALUE"""),"CHALE DOG E CAT COMERCIO DE ARTIGOS PARA")</f>
        <v>CHALE DOG E CAT COMERCIO DE ARTIGOS PARA</v>
      </c>
      <c r="L9640" s="32">
        <f>IFERROR(__xludf.DUMMYFUNCTION("""COMPUTED_VALUE"""),1.0)</f>
        <v>1</v>
      </c>
      <c r="M9640" s="4" t="str">
        <f>IFERROR(__xludf.DUMMYFUNCTION("""COMPUTED_VALUE"""),"null")</f>
        <v>null</v>
      </c>
      <c r="N9640" s="33">
        <f>IFERROR(__xludf.DUMMYFUNCTION("""COMPUTED_VALUE"""),1.0)</f>
        <v>1</v>
      </c>
      <c r="O9640" s="4" t="str">
        <f>IFERROR(__xludf.DUMMYFUNCTION("""COMPUTED_VALUE"""),"null")</f>
        <v>null</v>
      </c>
      <c r="P9640" s="33">
        <f>IFERROR(__xludf.DUMMYFUNCTION("""COMPUTED_VALUE"""),1.0)</f>
        <v>1</v>
      </c>
      <c r="Q9640" s="4" t="str">
        <f>IFERROR(__xludf.DUMMYFUNCTION("""COMPUTED_VALUE"""),"null")</f>
        <v>null</v>
      </c>
      <c r="R9640" s="33">
        <f>IFERROR(__xludf.DUMMYFUNCTION("""COMPUTED_VALUE"""),1.0)</f>
        <v>1</v>
      </c>
      <c r="S9640" s="4" t="str">
        <f>IFERROR(__xludf.DUMMYFUNCTION("""COMPUTED_VALUE"""),"null")</f>
        <v>null</v>
      </c>
      <c r="T9640" s="33">
        <f>IFERROR(__xludf.DUMMYFUNCTION("""COMPUTED_VALUE"""),1.0)</f>
        <v>1</v>
      </c>
      <c r="U9640" s="4" t="str">
        <f>IFERROR(__xludf.DUMMYFUNCTION("""COMPUTED_VALUE"""),"N/A (Not found)")</f>
        <v>N/A (Not found)</v>
      </c>
      <c r="V9640" s="33">
        <f>IFERROR(__xludf.DUMMYFUNCTION("""COMPUTED_VALUE"""),1.0)</f>
        <v>1</v>
      </c>
      <c r="W9640" s="4" t="str">
        <f>IFERROR(__xludf.DUMMYFUNCTION("""COMPUTED_VALUE"""),"null")</f>
        <v>null</v>
      </c>
      <c r="X9640" s="33">
        <f>IFERROR(__xludf.DUMMYFUNCTION("""COMPUTED_VALUE"""),1.0)</f>
        <v>1</v>
      </c>
    </row>
    <row r="9641">
      <c r="K9641" s="4" t="str">
        <f>IFERROR(__xludf.DUMMYFUNCTION("""COMPUTED_VALUE"""),"PETSHOP MEU AMIGAO CASA DA RACAO")</f>
        <v>PETSHOP MEU AMIGAO CASA DA RACAO</v>
      </c>
      <c r="L9641" s="32">
        <f>IFERROR(__xludf.DUMMYFUNCTION("""COMPUTED_VALUE"""),1.0)</f>
        <v>1</v>
      </c>
      <c r="M9641" s="4" t="str">
        <f>IFERROR(__xludf.DUMMYFUNCTION("""COMPUTED_VALUE"""),"N/A (Not found)")</f>
        <v>N/A (Not found)</v>
      </c>
      <c r="N9641" s="33">
        <f>IFERROR(__xludf.DUMMYFUNCTION("""COMPUTED_VALUE"""),1.0)</f>
        <v>1</v>
      </c>
      <c r="O9641" s="4" t="str">
        <f>IFERROR(__xludf.DUMMYFUNCTION("""COMPUTED_VALUE"""),"N/A (Not found)")</f>
        <v>N/A (Not found)</v>
      </c>
      <c r="P9641" s="33">
        <f>IFERROR(__xludf.DUMMYFUNCTION("""COMPUTED_VALUE"""),1.0)</f>
        <v>1</v>
      </c>
      <c r="Q9641" s="4" t="str">
        <f>IFERROR(__xludf.DUMMYFUNCTION("""COMPUTED_VALUE"""),"N/A (Not found)")</f>
        <v>N/A (Not found)</v>
      </c>
      <c r="R9641" s="33">
        <f>IFERROR(__xludf.DUMMYFUNCTION("""COMPUTED_VALUE"""),1.0)</f>
        <v>1</v>
      </c>
      <c r="S9641" s="4" t="str">
        <f>IFERROR(__xludf.DUMMYFUNCTION("""COMPUTED_VALUE"""),"N/A (Not found)")</f>
        <v>N/A (Not found)</v>
      </c>
      <c r="T9641" s="33">
        <f>IFERROR(__xludf.DUMMYFUNCTION("""COMPUTED_VALUE"""),1.0)</f>
        <v>1</v>
      </c>
      <c r="U9641" s="4" t="str">
        <f>IFERROR(__xludf.DUMMYFUNCTION("""COMPUTED_VALUE"""),"N/A (Not found)")</f>
        <v>N/A (Not found)</v>
      </c>
      <c r="V9641" s="33">
        <f>IFERROR(__xludf.DUMMYFUNCTION("""COMPUTED_VALUE"""),1.0)</f>
        <v>1</v>
      </c>
      <c r="W9641" s="4" t="str">
        <f>IFERROR(__xludf.DUMMYFUNCTION("""COMPUTED_VALUE"""),"N/A (Not found)")</f>
        <v>N/A (Not found)</v>
      </c>
      <c r="X9641" s="33">
        <f>IFERROR(__xludf.DUMMYFUNCTION("""COMPUTED_VALUE"""),1.0)</f>
        <v>1</v>
      </c>
    </row>
    <row r="9642">
      <c r="K9642" s="4" t="str">
        <f>IFERROR(__xludf.DUMMYFUNCTION("""COMPUTED_VALUE"""),"DOCERIA STELLA LISBOA FILIAL")</f>
        <v>DOCERIA STELLA LISBOA FILIAL</v>
      </c>
      <c r="L9642" s="32">
        <f>IFERROR(__xludf.DUMMYFUNCTION("""COMPUTED_VALUE"""),1.0)</f>
        <v>1</v>
      </c>
      <c r="M9642" s="4" t="str">
        <f>IFERROR(__xludf.DUMMYFUNCTION("""COMPUTED_VALUE"""),"Yooga")</f>
        <v>Yooga</v>
      </c>
      <c r="N9642" s="33">
        <f>IFERROR(__xludf.DUMMYFUNCTION("""COMPUTED_VALUE"""),1.0)</f>
        <v>1</v>
      </c>
      <c r="O9642" s="4" t="str">
        <f>IFERROR(__xludf.DUMMYFUNCTION("""COMPUTED_VALUE"""),"Yooga")</f>
        <v>Yooga</v>
      </c>
      <c r="P9642" s="33">
        <f>IFERROR(__xludf.DUMMYFUNCTION("""COMPUTED_VALUE"""),1.0)</f>
        <v>1</v>
      </c>
      <c r="Q9642" s="4" t="str">
        <f>IFERROR(__xludf.DUMMYFUNCTION("""COMPUTED_VALUE"""),"Yooga")</f>
        <v>Yooga</v>
      </c>
      <c r="R9642" s="33">
        <f>IFERROR(__xludf.DUMMYFUNCTION("""COMPUTED_VALUE"""),1.0)</f>
        <v>1</v>
      </c>
      <c r="S9642" s="4" t="str">
        <f>IFERROR(__xludf.DUMMYFUNCTION("""COMPUTED_VALUE"""),"Yooga")</f>
        <v>Yooga</v>
      </c>
      <c r="T9642" s="33">
        <f>IFERROR(__xludf.DUMMYFUNCTION("""COMPUTED_VALUE"""),1.0)</f>
        <v>1</v>
      </c>
      <c r="U9642" s="4" t="str">
        <f>IFERROR(__xludf.DUMMYFUNCTION("""COMPUTED_VALUE"""),"Yooga")</f>
        <v>Yooga</v>
      </c>
      <c r="V9642" s="33">
        <f>IFERROR(__xludf.DUMMYFUNCTION("""COMPUTED_VALUE"""),1.0)</f>
        <v>1</v>
      </c>
      <c r="W9642" s="4" t="str">
        <f>IFERROR(__xludf.DUMMYFUNCTION("""COMPUTED_VALUE"""),"Yooga")</f>
        <v>Yooga</v>
      </c>
      <c r="X9642" s="33">
        <f>IFERROR(__xludf.DUMMYFUNCTION("""COMPUTED_VALUE"""),1.0)</f>
        <v>1</v>
      </c>
    </row>
    <row r="9643">
      <c r="K9643" s="4" t="str">
        <f>IFERROR(__xludf.DUMMYFUNCTION("""COMPUTED_VALUE"""),"BOTECO DO ARI - FATIMA")</f>
        <v>BOTECO DO ARI - FATIMA</v>
      </c>
      <c r="L9643" s="32">
        <f>IFERROR(__xludf.DUMMYFUNCTION("""COMPUTED_VALUE"""),1.0)</f>
        <v>1</v>
      </c>
      <c r="M9643" s="4" t="str">
        <f>IFERROR(__xludf.DUMMYFUNCTION("""COMPUTED_VALUE"""),"Saipos Serviços De Software")</f>
        <v>Saipos Serviços De Software</v>
      </c>
      <c r="N9643" s="33">
        <f>IFERROR(__xludf.DUMMYFUNCTION("""COMPUTED_VALUE"""),1.0)</f>
        <v>1</v>
      </c>
      <c r="O9643" s="4" t="str">
        <f>IFERROR(__xludf.DUMMYFUNCTION("""COMPUTED_VALUE"""),"Saipos Serviços De Software")</f>
        <v>Saipos Serviços De Software</v>
      </c>
      <c r="P9643" s="33">
        <f>IFERROR(__xludf.DUMMYFUNCTION("""COMPUTED_VALUE"""),1.0)</f>
        <v>1</v>
      </c>
      <c r="Q9643" s="4" t="str">
        <f>IFERROR(__xludf.DUMMYFUNCTION("""COMPUTED_VALUE"""),"Saipos Serviços De Software")</f>
        <v>Saipos Serviços De Software</v>
      </c>
      <c r="R9643" s="33">
        <f>IFERROR(__xludf.DUMMYFUNCTION("""COMPUTED_VALUE"""),1.0)</f>
        <v>1</v>
      </c>
      <c r="S9643" s="4" t="str">
        <f>IFERROR(__xludf.DUMMYFUNCTION("""COMPUTED_VALUE"""),"Saipos Serviços De Software")</f>
        <v>Saipos Serviços De Software</v>
      </c>
      <c r="T9643" s="33">
        <f>IFERROR(__xludf.DUMMYFUNCTION("""COMPUTED_VALUE"""),1.0)</f>
        <v>1</v>
      </c>
      <c r="U9643" s="4" t="str">
        <f>IFERROR(__xludf.DUMMYFUNCTION("""COMPUTED_VALUE"""),"Saipos Serviços De Software")</f>
        <v>Saipos Serviços De Software</v>
      </c>
      <c r="V9643" s="33">
        <f>IFERROR(__xludf.DUMMYFUNCTION("""COMPUTED_VALUE"""),1.0)</f>
        <v>1</v>
      </c>
      <c r="W9643" s="4" t="str">
        <f>IFERROR(__xludf.DUMMYFUNCTION("""COMPUTED_VALUE"""),"Saipos Serviços De Software")</f>
        <v>Saipos Serviços De Software</v>
      </c>
      <c r="X9643" s="33">
        <f>IFERROR(__xludf.DUMMYFUNCTION("""COMPUTED_VALUE"""),1.0)</f>
        <v>1</v>
      </c>
    </row>
    <row r="9644">
      <c r="K9644" s="4" t="str">
        <f>IFERROR(__xludf.DUMMYFUNCTION("""COMPUTED_VALUE"""),"FARMACIA JOAO PESSOA")</f>
        <v>FARMACIA JOAO PESSOA</v>
      </c>
      <c r="L9644" s="32">
        <f>IFERROR(__xludf.DUMMYFUNCTION("""COMPUTED_VALUE"""),1.0)</f>
        <v>1</v>
      </c>
      <c r="M9644" s="4" t="str">
        <f>IFERROR(__xludf.DUMMYFUNCTION("""COMPUTED_VALUE"""),"N/A (Not found)")</f>
        <v>N/A (Not found)</v>
      </c>
      <c r="N9644" s="33">
        <f>IFERROR(__xludf.DUMMYFUNCTION("""COMPUTED_VALUE"""),1.0)</f>
        <v>1</v>
      </c>
      <c r="O9644" s="4" t="str">
        <f>IFERROR(__xludf.DUMMYFUNCTION("""COMPUTED_VALUE"""),"N/A (Not found)")</f>
        <v>N/A (Not found)</v>
      </c>
      <c r="P9644" s="33">
        <f>IFERROR(__xludf.DUMMYFUNCTION("""COMPUTED_VALUE"""),1.0)</f>
        <v>1</v>
      </c>
      <c r="Q9644" s="4" t="str">
        <f>IFERROR(__xludf.DUMMYFUNCTION("""COMPUTED_VALUE"""),"N/A (Not found)")</f>
        <v>N/A (Not found)</v>
      </c>
      <c r="R9644" s="33">
        <f>IFERROR(__xludf.DUMMYFUNCTION("""COMPUTED_VALUE"""),1.0)</f>
        <v>1</v>
      </c>
      <c r="S9644" s="4" t="str">
        <f>IFERROR(__xludf.DUMMYFUNCTION("""COMPUTED_VALUE"""),"N/A (Not found)")</f>
        <v>N/A (Not found)</v>
      </c>
      <c r="T9644" s="33">
        <f>IFERROR(__xludf.DUMMYFUNCTION("""COMPUTED_VALUE"""),1.0)</f>
        <v>1</v>
      </c>
      <c r="U9644" s="4" t="str">
        <f>IFERROR(__xludf.DUMMYFUNCTION("""COMPUTED_VALUE"""),"N/A (Not found)")</f>
        <v>N/A (Not found)</v>
      </c>
      <c r="V9644" s="33">
        <f>IFERROR(__xludf.DUMMYFUNCTION("""COMPUTED_VALUE"""),1.0)</f>
        <v>1</v>
      </c>
      <c r="W9644" s="4" t="str">
        <f>IFERROR(__xludf.DUMMYFUNCTION("""COMPUTED_VALUE"""),"N/A (Not found)")</f>
        <v>N/A (Not found)</v>
      </c>
      <c r="X9644" s="33">
        <f>IFERROR(__xludf.DUMMYFUNCTION("""COMPUTED_VALUE"""),1.0)</f>
        <v>1</v>
      </c>
    </row>
    <row r="9645">
      <c r="K9645" s="4" t="str">
        <f>IFERROR(__xludf.DUMMYFUNCTION("""COMPUTED_VALUE"""),"TIZZ BURGER")</f>
        <v>TIZZ BURGER</v>
      </c>
      <c r="L9645" s="32">
        <f>IFERROR(__xludf.DUMMYFUNCTION("""COMPUTED_VALUE"""),1.0)</f>
        <v>1</v>
      </c>
      <c r="M9645" s="4" t="str">
        <f>IFERROR(__xludf.DUMMYFUNCTION("""COMPUTED_VALUE"""),"null")</f>
        <v>null</v>
      </c>
      <c r="N9645" s="33">
        <f>IFERROR(__xludf.DUMMYFUNCTION("""COMPUTED_VALUE"""),1.0)</f>
        <v>1</v>
      </c>
      <c r="O9645" s="4" t="str">
        <f>IFERROR(__xludf.DUMMYFUNCTION("""COMPUTED_VALUE"""),"null")</f>
        <v>null</v>
      </c>
      <c r="P9645" s="33">
        <f>IFERROR(__xludf.DUMMYFUNCTION("""COMPUTED_VALUE"""),1.0)</f>
        <v>1</v>
      </c>
      <c r="Q9645" s="4" t="str">
        <f>IFERROR(__xludf.DUMMYFUNCTION("""COMPUTED_VALUE"""),"Saipos Serviços De Software")</f>
        <v>Saipos Serviços De Software</v>
      </c>
      <c r="R9645" s="33">
        <f>IFERROR(__xludf.DUMMYFUNCTION("""COMPUTED_VALUE"""),1.0)</f>
        <v>1</v>
      </c>
      <c r="S9645" s="4" t="str">
        <f>IFERROR(__xludf.DUMMYFUNCTION("""COMPUTED_VALUE"""),"Saipos Serviços De Software")</f>
        <v>Saipos Serviços De Software</v>
      </c>
      <c r="T9645" s="33">
        <f>IFERROR(__xludf.DUMMYFUNCTION("""COMPUTED_VALUE"""),1.0)</f>
        <v>1</v>
      </c>
      <c r="U9645" s="4" t="str">
        <f>IFERROR(__xludf.DUMMYFUNCTION("""COMPUTED_VALUE"""),"Saipos Serviços De Software")</f>
        <v>Saipos Serviços De Software</v>
      </c>
      <c r="V9645" s="33">
        <f>IFERROR(__xludf.DUMMYFUNCTION("""COMPUTED_VALUE"""),1.0)</f>
        <v>1</v>
      </c>
      <c r="W9645" s="4" t="str">
        <f>IFERROR(__xludf.DUMMYFUNCTION("""COMPUTED_VALUE"""),"Saipos Serviços De Software")</f>
        <v>Saipos Serviços De Software</v>
      </c>
      <c r="X9645" s="33">
        <f>IFERROR(__xludf.DUMMYFUNCTION("""COMPUTED_VALUE"""),1.0)</f>
        <v>1</v>
      </c>
    </row>
    <row r="9646">
      <c r="K9646" s="4" t="str">
        <f>IFERROR(__xludf.DUMMYFUNCTION("""COMPUTED_VALUE"""),"TELINHA PIZZARIA")</f>
        <v>TELINHA PIZZARIA</v>
      </c>
      <c r="L9646" s="32">
        <f>IFERROR(__xludf.DUMMYFUNCTION("""COMPUTED_VALUE"""),1.0)</f>
        <v>1</v>
      </c>
      <c r="M9646" s="4" t="str">
        <f>IFERROR(__xludf.DUMMYFUNCTION("""COMPUTED_VALUE"""),"Sti3 Soluções Em Ti")</f>
        <v>Sti3 Soluções Em Ti</v>
      </c>
      <c r="N9646" s="33">
        <f>IFERROR(__xludf.DUMMYFUNCTION("""COMPUTED_VALUE"""),1.0)</f>
        <v>1</v>
      </c>
      <c r="O9646" s="4" t="str">
        <f>IFERROR(__xludf.DUMMYFUNCTION("""COMPUTED_VALUE"""),"null")</f>
        <v>null</v>
      </c>
      <c r="P9646" s="33">
        <f>IFERROR(__xludf.DUMMYFUNCTION("""COMPUTED_VALUE"""),1.0)</f>
        <v>1</v>
      </c>
      <c r="Q9646" s="4" t="str">
        <f>IFERROR(__xludf.DUMMYFUNCTION("""COMPUTED_VALUE"""),"null")</f>
        <v>null</v>
      </c>
      <c r="R9646" s="33">
        <f>IFERROR(__xludf.DUMMYFUNCTION("""COMPUTED_VALUE"""),1.0)</f>
        <v>1</v>
      </c>
      <c r="S9646" s="4" t="str">
        <f>IFERROR(__xludf.DUMMYFUNCTION("""COMPUTED_VALUE"""),"null")</f>
        <v>null</v>
      </c>
      <c r="T9646" s="33">
        <f>IFERROR(__xludf.DUMMYFUNCTION("""COMPUTED_VALUE"""),1.0)</f>
        <v>1</v>
      </c>
      <c r="U9646" s="4" t="str">
        <f>IFERROR(__xludf.DUMMYFUNCTION("""COMPUTED_VALUE"""),"null")</f>
        <v>null</v>
      </c>
      <c r="V9646" s="33">
        <f>IFERROR(__xludf.DUMMYFUNCTION("""COMPUTED_VALUE"""),1.0)</f>
        <v>1</v>
      </c>
      <c r="W9646" s="4" t="str">
        <f>IFERROR(__xludf.DUMMYFUNCTION("""COMPUTED_VALUE"""),"null")</f>
        <v>null</v>
      </c>
      <c r="X9646" s="33">
        <f>IFERROR(__xludf.DUMMYFUNCTION("""COMPUTED_VALUE"""),1.0)</f>
        <v>1</v>
      </c>
    </row>
    <row r="9647">
      <c r="K9647" s="4" t="str">
        <f>IFERROR(__xludf.DUMMYFUNCTION("""COMPUTED_VALUE"""),"SUA COXINHA ENXUTO CAMPINAS - SALGADOS PREMIUM")</f>
        <v>SUA COXINHA ENXUTO CAMPINAS - SALGADOS PREMIUM</v>
      </c>
      <c r="L9647" s="32">
        <f>IFERROR(__xludf.DUMMYFUNCTION("""COMPUTED_VALUE"""),1.0)</f>
        <v>1</v>
      </c>
      <c r="M9647" s="4" t="str">
        <f>IFERROR(__xludf.DUMMYFUNCTION("""COMPUTED_VALUE"""),"null")</f>
        <v>null</v>
      </c>
      <c r="N9647" s="33">
        <f>IFERROR(__xludf.DUMMYFUNCTION("""COMPUTED_VALUE"""),1.0)</f>
        <v>1</v>
      </c>
      <c r="O9647" s="4" t="str">
        <f>IFERROR(__xludf.DUMMYFUNCTION("""COMPUTED_VALUE"""),"null")</f>
        <v>null</v>
      </c>
      <c r="P9647" s="33">
        <f>IFERROR(__xludf.DUMMYFUNCTION("""COMPUTED_VALUE"""),1.0)</f>
        <v>1</v>
      </c>
      <c r="Q9647" s="4" t="str">
        <f>IFERROR(__xludf.DUMMYFUNCTION("""COMPUTED_VALUE"""),"Sistema Pallas")</f>
        <v>Sistema Pallas</v>
      </c>
      <c r="R9647" s="33">
        <f>IFERROR(__xludf.DUMMYFUNCTION("""COMPUTED_VALUE"""),1.0)</f>
        <v>1</v>
      </c>
      <c r="S9647" s="4" t="str">
        <f>IFERROR(__xludf.DUMMYFUNCTION("""COMPUTED_VALUE"""),"null")</f>
        <v>null</v>
      </c>
      <c r="T9647" s="33">
        <f>IFERROR(__xludf.DUMMYFUNCTION("""COMPUTED_VALUE"""),1.0)</f>
        <v>1</v>
      </c>
      <c r="U9647" s="4" t="str">
        <f>IFERROR(__xludf.DUMMYFUNCTION("""COMPUTED_VALUE"""),"null")</f>
        <v>null</v>
      </c>
      <c r="V9647" s="33">
        <f>IFERROR(__xludf.DUMMYFUNCTION("""COMPUTED_VALUE"""),1.0)</f>
        <v>1</v>
      </c>
      <c r="W9647" s="4" t="str">
        <f>IFERROR(__xludf.DUMMYFUNCTION("""COMPUTED_VALUE"""),"Saipos Serviços De Software")</f>
        <v>Saipos Serviços De Software</v>
      </c>
      <c r="X9647" s="33">
        <f>IFERROR(__xludf.DUMMYFUNCTION("""COMPUTED_VALUE"""),1.0)</f>
        <v>1</v>
      </c>
    </row>
    <row r="9648">
      <c r="K9648" s="4" t="str">
        <f>IFERROR(__xludf.DUMMYFUNCTION("""COMPUTED_VALUE"""),"SALGADERIA SILAS E TATY")</f>
        <v>SALGADERIA SILAS E TATY</v>
      </c>
      <c r="L9648" s="32">
        <f>IFERROR(__xludf.DUMMYFUNCTION("""COMPUTED_VALUE"""),1.0)</f>
        <v>1</v>
      </c>
      <c r="M9648" s="4" t="str">
        <f>IFERROR(__xludf.DUMMYFUNCTION("""COMPUTED_VALUE"""),"null")</f>
        <v>null</v>
      </c>
      <c r="N9648" s="33">
        <f>IFERROR(__xludf.DUMMYFUNCTION("""COMPUTED_VALUE"""),1.0)</f>
        <v>1</v>
      </c>
      <c r="O9648" s="4" t="str">
        <f>IFERROR(__xludf.DUMMYFUNCTION("""COMPUTED_VALUE"""),"null")</f>
        <v>null</v>
      </c>
      <c r="P9648" s="33">
        <f>IFERROR(__xludf.DUMMYFUNCTION("""COMPUTED_VALUE"""),1.0)</f>
        <v>1</v>
      </c>
      <c r="Q9648" s="4" t="str">
        <f>IFERROR(__xludf.DUMMYFUNCTION("""COMPUTED_VALUE"""),"null")</f>
        <v>null</v>
      </c>
      <c r="R9648" s="33">
        <f>IFERROR(__xludf.DUMMYFUNCTION("""COMPUTED_VALUE"""),1.0)</f>
        <v>1</v>
      </c>
      <c r="S9648" s="4" t="str">
        <f>IFERROR(__xludf.DUMMYFUNCTION("""COMPUTED_VALUE"""),"null")</f>
        <v>null</v>
      </c>
      <c r="T9648" s="33">
        <f>IFERROR(__xludf.DUMMYFUNCTION("""COMPUTED_VALUE"""),1.0)</f>
        <v>1</v>
      </c>
      <c r="U9648" s="4" t="str">
        <f>IFERROR(__xludf.DUMMYFUNCTION("""COMPUTED_VALUE"""),"Pedidos Hub Inova Simples (i.s.)")</f>
        <v>Pedidos Hub Inova Simples (i.s.)</v>
      </c>
      <c r="V9648" s="33">
        <f>IFERROR(__xludf.DUMMYFUNCTION("""COMPUTED_VALUE"""),1.0)</f>
        <v>1</v>
      </c>
      <c r="W9648" s="4" t="str">
        <f>IFERROR(__xludf.DUMMYFUNCTION("""COMPUTED_VALUE"""),"Pedidos Hub Inova Simples (i.s.)")</f>
        <v>Pedidos Hub Inova Simples (i.s.)</v>
      </c>
      <c r="X9648" s="33">
        <f>IFERROR(__xludf.DUMMYFUNCTION("""COMPUTED_VALUE"""),1.0)</f>
        <v>1</v>
      </c>
    </row>
    <row r="9649">
      <c r="K9649" s="4" t="str">
        <f>IFERROR(__xludf.DUMMYFUNCTION("""COMPUTED_VALUE"""),"PIZZARIA E RESTAURANTE BEM ME QUER")</f>
        <v>PIZZARIA E RESTAURANTE BEM ME QUER</v>
      </c>
      <c r="L9649" s="32">
        <f>IFERROR(__xludf.DUMMYFUNCTION("""COMPUTED_VALUE"""),1.0)</f>
        <v>1</v>
      </c>
      <c r="M9649" s="4" t="str">
        <f>IFERROR(__xludf.DUMMYFUNCTION("""COMPUTED_VALUE"""),"null")</f>
        <v>null</v>
      </c>
      <c r="N9649" s="33">
        <f>IFERROR(__xludf.DUMMYFUNCTION("""COMPUTED_VALUE"""),1.0)</f>
        <v>1</v>
      </c>
      <c r="O9649" s="4" t="str">
        <f>IFERROR(__xludf.DUMMYFUNCTION("""COMPUTED_VALUE"""),"null")</f>
        <v>null</v>
      </c>
      <c r="P9649" s="33">
        <f>IFERROR(__xludf.DUMMYFUNCTION("""COMPUTED_VALUE"""),1.0)</f>
        <v>1</v>
      </c>
      <c r="Q9649" s="4" t="str">
        <f>IFERROR(__xludf.DUMMYFUNCTION("""COMPUTED_VALUE"""),"null")</f>
        <v>null</v>
      </c>
      <c r="R9649" s="33">
        <f>IFERROR(__xludf.DUMMYFUNCTION("""COMPUTED_VALUE"""),1.0)</f>
        <v>1</v>
      </c>
      <c r="S9649" s="4" t="str">
        <f>IFERROR(__xludf.DUMMYFUNCTION("""COMPUTED_VALUE"""),"null")</f>
        <v>null</v>
      </c>
      <c r="T9649" s="33">
        <f>IFERROR(__xludf.DUMMYFUNCTION("""COMPUTED_VALUE"""),1.0)</f>
        <v>1</v>
      </c>
      <c r="U9649" s="4" t="str">
        <f>IFERROR(__xludf.DUMMYFUNCTION("""COMPUTED_VALUE"""),"Winfood")</f>
        <v>Winfood</v>
      </c>
      <c r="V9649" s="33">
        <f>IFERROR(__xludf.DUMMYFUNCTION("""COMPUTED_VALUE"""),1.0)</f>
        <v>1</v>
      </c>
      <c r="W9649" s="4" t="str">
        <f>IFERROR(__xludf.DUMMYFUNCTION("""COMPUTED_VALUE"""),"Winfood")</f>
        <v>Winfood</v>
      </c>
      <c r="X9649" s="33">
        <f>IFERROR(__xludf.DUMMYFUNCTION("""COMPUTED_VALUE"""),1.0)</f>
        <v>1</v>
      </c>
    </row>
    <row r="9650">
      <c r="K9650" s="4" t="str">
        <f>IFERROR(__xludf.DUMMYFUNCTION("""COMPUTED_VALUE"""),"CANTINA POLIM HAMBURGUERIA")</f>
        <v>CANTINA POLIM HAMBURGUERIA</v>
      </c>
      <c r="L9650" s="32">
        <f>IFERROR(__xludf.DUMMYFUNCTION("""COMPUTED_VALUE"""),1.0)</f>
        <v>1</v>
      </c>
      <c r="M9650" s="4" t="str">
        <f>IFERROR(__xludf.DUMMYFUNCTION("""COMPUTED_VALUE"""),"null")</f>
        <v>null</v>
      </c>
      <c r="N9650" s="33">
        <f>IFERROR(__xludf.DUMMYFUNCTION("""COMPUTED_VALUE"""),1.0)</f>
        <v>1</v>
      </c>
      <c r="O9650" s="4" t="str">
        <f>IFERROR(__xludf.DUMMYFUNCTION("""COMPUTED_VALUE"""),"null")</f>
        <v>null</v>
      </c>
      <c r="P9650" s="33">
        <f>IFERROR(__xludf.DUMMYFUNCTION("""COMPUTED_VALUE"""),1.0)</f>
        <v>1</v>
      </c>
      <c r="Q9650" s="4" t="str">
        <f>IFERROR(__xludf.DUMMYFUNCTION("""COMPUTED_VALUE"""),"null")</f>
        <v>null</v>
      </c>
      <c r="R9650" s="33">
        <f>IFERROR(__xludf.DUMMYFUNCTION("""COMPUTED_VALUE"""),1.0)</f>
        <v>1</v>
      </c>
      <c r="S9650" s="4" t="str">
        <f>IFERROR(__xludf.DUMMYFUNCTION("""COMPUTED_VALUE"""),"Consumer Soluções Em Tecnologia Ltda")</f>
        <v>Consumer Soluções Em Tecnologia Ltda</v>
      </c>
      <c r="T9650" s="33">
        <f>IFERROR(__xludf.DUMMYFUNCTION("""COMPUTED_VALUE"""),1.0)</f>
        <v>1</v>
      </c>
      <c r="U9650" s="4" t="str">
        <f>IFERROR(__xludf.DUMMYFUNCTION("""COMPUTED_VALUE"""),"null")</f>
        <v>null</v>
      </c>
      <c r="V9650" s="33">
        <f>IFERROR(__xludf.DUMMYFUNCTION("""COMPUTED_VALUE"""),1.0)</f>
        <v>1</v>
      </c>
      <c r="W9650" s="4" t="str">
        <f>IFERROR(__xludf.DUMMYFUNCTION("""COMPUTED_VALUE"""),"null")</f>
        <v>null</v>
      </c>
      <c r="X9650" s="33">
        <f>IFERROR(__xludf.DUMMYFUNCTION("""COMPUTED_VALUE"""),1.0)</f>
        <v>1</v>
      </c>
    </row>
    <row r="9651">
      <c r="K9651" s="4" t="str">
        <f>IFERROR(__xludf.DUMMYFUNCTION("""COMPUTED_VALUE"""),"INFOCELL CONECT")</f>
        <v>INFOCELL CONECT</v>
      </c>
      <c r="L9651" s="32">
        <f>IFERROR(__xludf.DUMMYFUNCTION("""COMPUTED_VALUE"""),1.0)</f>
        <v>1</v>
      </c>
      <c r="M9651" s="4" t="str">
        <f>IFERROR(__xludf.DUMMYFUNCTION("""COMPUTED_VALUE"""),"null")</f>
        <v>null</v>
      </c>
      <c r="N9651" s="33">
        <f>IFERROR(__xludf.DUMMYFUNCTION("""COMPUTED_VALUE"""),1.0)</f>
        <v>1</v>
      </c>
      <c r="O9651" s="4" t="str">
        <f>IFERROR(__xludf.DUMMYFUNCTION("""COMPUTED_VALUE"""),"null")</f>
        <v>null</v>
      </c>
      <c r="P9651" s="33">
        <f>IFERROR(__xludf.DUMMYFUNCTION("""COMPUTED_VALUE"""),1.0)</f>
        <v>1</v>
      </c>
      <c r="Q9651" s="4" t="str">
        <f>IFERROR(__xludf.DUMMYFUNCTION("""COMPUTED_VALUE"""),"null")</f>
        <v>null</v>
      </c>
      <c r="R9651" s="33">
        <f>IFERROR(__xludf.DUMMYFUNCTION("""COMPUTED_VALUE"""),1.0)</f>
        <v>1</v>
      </c>
      <c r="S9651" s="4" t="str">
        <f>IFERROR(__xludf.DUMMYFUNCTION("""COMPUTED_VALUE"""),"N/A (Not found)")</f>
        <v>N/A (Not found)</v>
      </c>
      <c r="T9651" s="33">
        <f>IFERROR(__xludf.DUMMYFUNCTION("""COMPUTED_VALUE"""),1.0)</f>
        <v>1</v>
      </c>
      <c r="U9651" s="4" t="str">
        <f>IFERROR(__xludf.DUMMYFUNCTION("""COMPUTED_VALUE"""),"N/A (Not found)")</f>
        <v>N/A (Not found)</v>
      </c>
      <c r="V9651" s="33">
        <f>IFERROR(__xludf.DUMMYFUNCTION("""COMPUTED_VALUE"""),1.0)</f>
        <v>1</v>
      </c>
      <c r="W9651" s="4" t="str">
        <f>IFERROR(__xludf.DUMMYFUNCTION("""COMPUTED_VALUE"""),"null")</f>
        <v>null</v>
      </c>
      <c r="X9651" s="33">
        <f>IFERROR(__xludf.DUMMYFUNCTION("""COMPUTED_VALUE"""),1.0)</f>
        <v>1</v>
      </c>
    </row>
    <row r="9652">
      <c r="K9652" s="4" t="str">
        <f>IFERROR(__xludf.DUMMYFUNCTION("""COMPUTED_VALUE"""),"DEPOSITO DE BEBIDAS GELO")</f>
        <v>DEPOSITO DE BEBIDAS GELO</v>
      </c>
      <c r="L9652" s="32">
        <f>IFERROR(__xludf.DUMMYFUNCTION("""COMPUTED_VALUE"""),1.0)</f>
        <v>1</v>
      </c>
      <c r="M9652" s="4" t="str">
        <f>IFERROR(__xludf.DUMMYFUNCTION("""COMPUTED_VALUE"""),"null")</f>
        <v>null</v>
      </c>
      <c r="N9652" s="33">
        <f>IFERROR(__xludf.DUMMYFUNCTION("""COMPUTED_VALUE"""),1.0)</f>
        <v>1</v>
      </c>
      <c r="O9652" s="4" t="str">
        <f>IFERROR(__xludf.DUMMYFUNCTION("""COMPUTED_VALUE"""),"null")</f>
        <v>null</v>
      </c>
      <c r="P9652" s="33">
        <f>IFERROR(__xludf.DUMMYFUNCTION("""COMPUTED_VALUE"""),1.0)</f>
        <v>1</v>
      </c>
      <c r="Q9652" s="4" t="str">
        <f>IFERROR(__xludf.DUMMYFUNCTION("""COMPUTED_VALUE"""),"N/A (Not found)")</f>
        <v>N/A (Not found)</v>
      </c>
      <c r="R9652" s="33">
        <f>IFERROR(__xludf.DUMMYFUNCTION("""COMPUTED_VALUE"""),1.0)</f>
        <v>1</v>
      </c>
      <c r="S9652" s="4" t="str">
        <f>IFERROR(__xludf.DUMMYFUNCTION("""COMPUTED_VALUE"""),"N/A (Not found)")</f>
        <v>N/A (Not found)</v>
      </c>
      <c r="T9652" s="33">
        <f>IFERROR(__xludf.DUMMYFUNCTION("""COMPUTED_VALUE"""),1.0)</f>
        <v>1</v>
      </c>
      <c r="U9652" s="4" t="str">
        <f>IFERROR(__xludf.DUMMYFUNCTION("""COMPUTED_VALUE"""),"N/A (Not found)")</f>
        <v>N/A (Not found)</v>
      </c>
      <c r="V9652" s="33">
        <f>IFERROR(__xludf.DUMMYFUNCTION("""COMPUTED_VALUE"""),1.0)</f>
        <v>1</v>
      </c>
      <c r="W9652" s="4" t="str">
        <f>IFERROR(__xludf.DUMMYFUNCTION("""COMPUTED_VALUE"""),"N/A (Not found)")</f>
        <v>N/A (Not found)</v>
      </c>
      <c r="X9652" s="33">
        <f>IFERROR(__xludf.DUMMYFUNCTION("""COMPUTED_VALUE"""),1.0)</f>
        <v>1</v>
      </c>
    </row>
    <row r="9653">
      <c r="K9653" s="4" t="str">
        <f>IFERROR(__xludf.DUMMYFUNCTION("""COMPUTED_VALUE"""),"DROGARIA DO CHAIM")</f>
        <v>DROGARIA DO CHAIM</v>
      </c>
      <c r="L9653" s="32">
        <f>IFERROR(__xludf.DUMMYFUNCTION("""COMPUTED_VALUE"""),1.0)</f>
        <v>1</v>
      </c>
      <c r="M9653" s="4" t="str">
        <f>IFERROR(__xludf.DUMMYFUNCTION("""COMPUTED_VALUE"""),"N/A (Not found)")</f>
        <v>N/A (Not found)</v>
      </c>
      <c r="N9653" s="33">
        <f>IFERROR(__xludf.DUMMYFUNCTION("""COMPUTED_VALUE"""),1.0)</f>
        <v>1</v>
      </c>
      <c r="O9653" s="4" t="str">
        <f>IFERROR(__xludf.DUMMYFUNCTION("""COMPUTED_VALUE"""),"N/A (Not found)")</f>
        <v>N/A (Not found)</v>
      </c>
      <c r="P9653" s="33">
        <f>IFERROR(__xludf.DUMMYFUNCTION("""COMPUTED_VALUE"""),1.0)</f>
        <v>1</v>
      </c>
      <c r="Q9653" s="4" t="str">
        <f>IFERROR(__xludf.DUMMYFUNCTION("""COMPUTED_VALUE"""),"N/A (Not found)")</f>
        <v>N/A (Not found)</v>
      </c>
      <c r="R9653" s="33">
        <f>IFERROR(__xludf.DUMMYFUNCTION("""COMPUTED_VALUE"""),1.0)</f>
        <v>1</v>
      </c>
      <c r="S9653" s="4" t="str">
        <f>IFERROR(__xludf.DUMMYFUNCTION("""COMPUTED_VALUE"""),"N/A (Not found)")</f>
        <v>N/A (Not found)</v>
      </c>
      <c r="T9653" s="33">
        <f>IFERROR(__xludf.DUMMYFUNCTION("""COMPUTED_VALUE"""),1.0)</f>
        <v>1</v>
      </c>
      <c r="U9653" s="4" t="str">
        <f>IFERROR(__xludf.DUMMYFUNCTION("""COMPUTED_VALUE"""),"N/A (Not found)")</f>
        <v>N/A (Not found)</v>
      </c>
      <c r="V9653" s="33">
        <f>IFERROR(__xludf.DUMMYFUNCTION("""COMPUTED_VALUE"""),1.0)</f>
        <v>1</v>
      </c>
      <c r="W9653" s="4" t="str">
        <f>IFERROR(__xludf.DUMMYFUNCTION("""COMPUTED_VALUE"""),"N/A (Not found)")</f>
        <v>N/A (Not found)</v>
      </c>
      <c r="X9653" s="33">
        <f>IFERROR(__xludf.DUMMYFUNCTION("""COMPUTED_VALUE"""),1.0)</f>
        <v>1</v>
      </c>
    </row>
    <row r="9654">
      <c r="K9654" s="4" t="str">
        <f>IFERROR(__xludf.DUMMYFUNCTION("""COMPUTED_VALUE"""),"ARTESANO BBQ BUTECO BURGUER")</f>
        <v>ARTESANO BBQ BUTECO BURGUER</v>
      </c>
      <c r="L9654" s="32">
        <f>IFERROR(__xludf.DUMMYFUNCTION("""COMPUTED_VALUE"""),1.0)</f>
        <v>1</v>
      </c>
      <c r="M9654" s="4" t="str">
        <f>IFERROR(__xludf.DUMMYFUNCTION("""COMPUTED_VALUE"""),"null")</f>
        <v>null</v>
      </c>
      <c r="N9654" s="33">
        <f>IFERROR(__xludf.DUMMYFUNCTION("""COMPUTED_VALUE"""),1.0)</f>
        <v>1</v>
      </c>
      <c r="O9654" s="4" t="str">
        <f>IFERROR(__xludf.DUMMYFUNCTION("""COMPUTED_VALUE"""),"null")</f>
        <v>null</v>
      </c>
      <c r="P9654" s="33">
        <f>IFERROR(__xludf.DUMMYFUNCTION("""COMPUTED_VALUE"""),1.0)</f>
        <v>1</v>
      </c>
      <c r="Q9654" s="4" t="str">
        <f>IFERROR(__xludf.DUMMYFUNCTION("""COMPUTED_VALUE"""),"null")</f>
        <v>null</v>
      </c>
      <c r="R9654" s="33">
        <f>IFERROR(__xludf.DUMMYFUNCTION("""COMPUTED_VALUE"""),1.0)</f>
        <v>1</v>
      </c>
      <c r="S9654" s="4" t="str">
        <f>IFERROR(__xludf.DUMMYFUNCTION("""COMPUTED_VALUE"""),"Consumer Soluções Em Tecnologia Ltda")</f>
        <v>Consumer Soluções Em Tecnologia Ltda</v>
      </c>
      <c r="T9654" s="33">
        <f>IFERROR(__xludf.DUMMYFUNCTION("""COMPUTED_VALUE"""),1.0)</f>
        <v>1</v>
      </c>
      <c r="U9654" s="4" t="str">
        <f>IFERROR(__xludf.DUMMYFUNCTION("""COMPUTED_VALUE"""),"Consumer Soluções Em Tecnologia Ltda")</f>
        <v>Consumer Soluções Em Tecnologia Ltda</v>
      </c>
      <c r="V9654" s="33">
        <f>IFERROR(__xludf.DUMMYFUNCTION("""COMPUTED_VALUE"""),1.0)</f>
        <v>1</v>
      </c>
      <c r="W9654" s="4" t="str">
        <f>IFERROR(__xludf.DUMMYFUNCTION("""COMPUTED_VALUE"""),"null")</f>
        <v>null</v>
      </c>
      <c r="X9654" s="33">
        <f>IFERROR(__xludf.DUMMYFUNCTION("""COMPUTED_VALUE"""),1.0)</f>
        <v>1</v>
      </c>
    </row>
    <row r="9655">
      <c r="K9655" s="4" t="str">
        <f>IFERROR(__xludf.DUMMYFUNCTION("""COMPUTED_VALUE"""),"KI - TEMPERO COMIDA CASEIRA E MARMITA")</f>
        <v>KI - TEMPERO COMIDA CASEIRA E MARMITA</v>
      </c>
      <c r="L9655" s="32">
        <f>IFERROR(__xludf.DUMMYFUNCTION("""COMPUTED_VALUE"""),1.0)</f>
        <v>1</v>
      </c>
      <c r="M9655" s="4" t="str">
        <f>IFERROR(__xludf.DUMMYFUNCTION("""COMPUTED_VALUE"""),"Cardápio Web")</f>
        <v>Cardápio Web</v>
      </c>
      <c r="N9655" s="33">
        <f>IFERROR(__xludf.DUMMYFUNCTION("""COMPUTED_VALUE"""),1.0)</f>
        <v>1</v>
      </c>
      <c r="O9655" s="4" t="str">
        <f>IFERROR(__xludf.DUMMYFUNCTION("""COMPUTED_VALUE"""),"Cardápio Web")</f>
        <v>Cardápio Web</v>
      </c>
      <c r="P9655" s="33">
        <f>IFERROR(__xludf.DUMMYFUNCTION("""COMPUTED_VALUE"""),1.0)</f>
        <v>1</v>
      </c>
      <c r="Q9655" s="4" t="str">
        <f>IFERROR(__xludf.DUMMYFUNCTION("""COMPUTED_VALUE"""),"Cardápio Web")</f>
        <v>Cardápio Web</v>
      </c>
      <c r="R9655" s="33">
        <f>IFERROR(__xludf.DUMMYFUNCTION("""COMPUTED_VALUE"""),1.0)</f>
        <v>1</v>
      </c>
      <c r="S9655" s="4" t="str">
        <f>IFERROR(__xludf.DUMMYFUNCTION("""COMPUTED_VALUE"""),"Cardápio Web")</f>
        <v>Cardápio Web</v>
      </c>
      <c r="T9655" s="33">
        <f>IFERROR(__xludf.DUMMYFUNCTION("""COMPUTED_VALUE"""),1.0)</f>
        <v>1</v>
      </c>
      <c r="U9655" s="4" t="str">
        <f>IFERROR(__xludf.DUMMYFUNCTION("""COMPUTED_VALUE"""),"Cardápio Web")</f>
        <v>Cardápio Web</v>
      </c>
      <c r="V9655" s="33">
        <f>IFERROR(__xludf.DUMMYFUNCTION("""COMPUTED_VALUE"""),1.0)</f>
        <v>1</v>
      </c>
      <c r="W9655" s="4" t="str">
        <f>IFERROR(__xludf.DUMMYFUNCTION("""COMPUTED_VALUE"""),"Cardápio Web")</f>
        <v>Cardápio Web</v>
      </c>
      <c r="X9655" s="33">
        <f>IFERROR(__xludf.DUMMYFUNCTION("""COMPUTED_VALUE"""),1.0)</f>
        <v>1</v>
      </c>
    </row>
    <row r="9656">
      <c r="K9656" s="4" t="str">
        <f>IFERROR(__xludf.DUMMYFUNCTION("""COMPUTED_VALUE"""),"DARLEI E ELAINE LANCHES E ACAI")</f>
        <v>DARLEI E ELAINE LANCHES E ACAI</v>
      </c>
      <c r="L9656" s="32">
        <f>IFERROR(__xludf.DUMMYFUNCTION("""COMPUTED_VALUE"""),1.0)</f>
        <v>1</v>
      </c>
      <c r="M9656" s="4" t="str">
        <f>IFERROR(__xludf.DUMMYFUNCTION("""COMPUTED_VALUE"""),"W M Fernandes - Me")</f>
        <v>W M Fernandes - Me</v>
      </c>
      <c r="N9656" s="33">
        <f>IFERROR(__xludf.DUMMYFUNCTION("""COMPUTED_VALUE"""),1.0)</f>
        <v>1</v>
      </c>
      <c r="O9656" s="4" t="str">
        <f>IFERROR(__xludf.DUMMYFUNCTION("""COMPUTED_VALUE"""),"W M Fernandes - Me")</f>
        <v>W M Fernandes - Me</v>
      </c>
      <c r="P9656" s="33">
        <f>IFERROR(__xludf.DUMMYFUNCTION("""COMPUTED_VALUE"""),1.0)</f>
        <v>1</v>
      </c>
      <c r="Q9656" s="4" t="str">
        <f>IFERROR(__xludf.DUMMYFUNCTION("""COMPUTED_VALUE"""),"W M Fernandes - Me")</f>
        <v>W M Fernandes - Me</v>
      </c>
      <c r="R9656" s="33">
        <f>IFERROR(__xludf.DUMMYFUNCTION("""COMPUTED_VALUE"""),1.0)</f>
        <v>1</v>
      </c>
      <c r="S9656" s="4" t="str">
        <f>IFERROR(__xludf.DUMMYFUNCTION("""COMPUTED_VALUE"""),"W M Fernandes - Me")</f>
        <v>W M Fernandes - Me</v>
      </c>
      <c r="T9656" s="33">
        <f>IFERROR(__xludf.DUMMYFUNCTION("""COMPUTED_VALUE"""),1.0)</f>
        <v>1</v>
      </c>
      <c r="U9656" s="4" t="str">
        <f>IFERROR(__xludf.DUMMYFUNCTION("""COMPUTED_VALUE"""),"W M Fernandes - Me")</f>
        <v>W M Fernandes - Me</v>
      </c>
      <c r="V9656" s="33">
        <f>IFERROR(__xludf.DUMMYFUNCTION("""COMPUTED_VALUE"""),1.0)</f>
        <v>1</v>
      </c>
      <c r="W9656" s="4" t="str">
        <f>IFERROR(__xludf.DUMMYFUNCTION("""COMPUTED_VALUE"""),"W M Fernandes - Me")</f>
        <v>W M Fernandes - Me</v>
      </c>
      <c r="X9656" s="33">
        <f>IFERROR(__xludf.DUMMYFUNCTION("""COMPUTED_VALUE"""),1.0)</f>
        <v>1</v>
      </c>
    </row>
    <row r="9657">
      <c r="K9657" s="4" t="str">
        <f>IFERROR(__xludf.DUMMYFUNCTION("""COMPUTED_VALUE"""),"DONA XICA FOOD - CORONEL FABRICIANO")</f>
        <v>DONA XICA FOOD - CORONEL FABRICIANO</v>
      </c>
      <c r="L9657" s="32">
        <f>IFERROR(__xludf.DUMMYFUNCTION("""COMPUTED_VALUE"""),1.0)</f>
        <v>1</v>
      </c>
      <c r="M9657" s="4" t="str">
        <f>IFERROR(__xludf.DUMMYFUNCTION("""COMPUTED_VALUE"""),"null")</f>
        <v>null</v>
      </c>
      <c r="N9657" s="33">
        <f>IFERROR(__xludf.DUMMYFUNCTION("""COMPUTED_VALUE"""),1.0)</f>
        <v>1</v>
      </c>
      <c r="O9657" s="4" t="str">
        <f>IFERROR(__xludf.DUMMYFUNCTION("""COMPUTED_VALUE"""),"Saipos Serviços De Software")</f>
        <v>Saipos Serviços De Software</v>
      </c>
      <c r="P9657" s="33">
        <f>IFERROR(__xludf.DUMMYFUNCTION("""COMPUTED_VALUE"""),1.0)</f>
        <v>1</v>
      </c>
      <c r="Q9657" s="4" t="str">
        <f>IFERROR(__xludf.DUMMYFUNCTION("""COMPUTED_VALUE"""),"Saipos Serviços De Software")</f>
        <v>Saipos Serviços De Software</v>
      </c>
      <c r="R9657" s="33">
        <f>IFERROR(__xludf.DUMMYFUNCTION("""COMPUTED_VALUE"""),1.0)</f>
        <v>1</v>
      </c>
      <c r="S9657" s="4" t="str">
        <f>IFERROR(__xludf.DUMMYFUNCTION("""COMPUTED_VALUE"""),"Saipos Serviços De Software")</f>
        <v>Saipos Serviços De Software</v>
      </c>
      <c r="T9657" s="33">
        <f>IFERROR(__xludf.DUMMYFUNCTION("""COMPUTED_VALUE"""),1.0)</f>
        <v>1</v>
      </c>
      <c r="U9657" s="4" t="str">
        <f>IFERROR(__xludf.DUMMYFUNCTION("""COMPUTED_VALUE"""),"null")</f>
        <v>null</v>
      </c>
      <c r="V9657" s="33">
        <f>IFERROR(__xludf.DUMMYFUNCTION("""COMPUTED_VALUE"""),1.0)</f>
        <v>1</v>
      </c>
      <c r="W9657" s="4" t="str">
        <f>IFERROR(__xludf.DUMMYFUNCTION("""COMPUTED_VALUE"""),"null")</f>
        <v>null</v>
      </c>
      <c r="X9657" s="33">
        <f>IFERROR(__xludf.DUMMYFUNCTION("""COMPUTED_VALUE"""),1.0)</f>
        <v>1</v>
      </c>
    </row>
    <row r="9658">
      <c r="K9658" s="4" t="str">
        <f>IFERROR(__xludf.DUMMYFUNCTION("""COMPUTED_VALUE"""),"NAPOLI FORNERIA - PIZZARIA COPACABANA")</f>
        <v>NAPOLI FORNERIA - PIZZARIA COPACABANA</v>
      </c>
      <c r="L9658" s="32">
        <f>IFERROR(__xludf.DUMMYFUNCTION("""COMPUTED_VALUE"""),1.0)</f>
        <v>1</v>
      </c>
      <c r="M9658" s="4" t="str">
        <f>IFERROR(__xludf.DUMMYFUNCTION("""COMPUTED_VALUE"""),"Saipos Serviços De Software")</f>
        <v>Saipos Serviços De Software</v>
      </c>
      <c r="N9658" s="33">
        <f>IFERROR(__xludf.DUMMYFUNCTION("""COMPUTED_VALUE"""),1.0)</f>
        <v>1</v>
      </c>
      <c r="O9658" s="4" t="str">
        <f>IFERROR(__xludf.DUMMYFUNCTION("""COMPUTED_VALUE"""),"Saipos Serviços De Software")</f>
        <v>Saipos Serviços De Software</v>
      </c>
      <c r="P9658" s="33">
        <f>IFERROR(__xludf.DUMMYFUNCTION("""COMPUTED_VALUE"""),1.0)</f>
        <v>1</v>
      </c>
      <c r="Q9658" s="4" t="str">
        <f>IFERROR(__xludf.DUMMYFUNCTION("""COMPUTED_VALUE"""),"Saipos Serviços De Software")</f>
        <v>Saipos Serviços De Software</v>
      </c>
      <c r="R9658" s="33">
        <f>IFERROR(__xludf.DUMMYFUNCTION("""COMPUTED_VALUE"""),1.0)</f>
        <v>1</v>
      </c>
      <c r="S9658" s="4" t="str">
        <f>IFERROR(__xludf.DUMMYFUNCTION("""COMPUTED_VALUE"""),"Saipos Serviços De Software")</f>
        <v>Saipos Serviços De Software</v>
      </c>
      <c r="T9658" s="33">
        <f>IFERROR(__xludf.DUMMYFUNCTION("""COMPUTED_VALUE"""),1.0)</f>
        <v>1</v>
      </c>
      <c r="U9658" s="4" t="str">
        <f>IFERROR(__xludf.DUMMYFUNCTION("""COMPUTED_VALUE"""),"Saipos Serviços De Software")</f>
        <v>Saipos Serviços De Software</v>
      </c>
      <c r="V9658" s="33">
        <f>IFERROR(__xludf.DUMMYFUNCTION("""COMPUTED_VALUE"""),1.0)</f>
        <v>1</v>
      </c>
      <c r="W9658" s="4" t="str">
        <f>IFERROR(__xludf.DUMMYFUNCTION("""COMPUTED_VALUE"""),"Saipos Serviços De Software")</f>
        <v>Saipos Serviços De Software</v>
      </c>
      <c r="X9658" s="33">
        <f>IFERROR(__xludf.DUMMYFUNCTION("""COMPUTED_VALUE"""),1.0)</f>
        <v>1</v>
      </c>
    </row>
    <row r="9659">
      <c r="K9659" s="4" t="str">
        <f>IFERROR(__xludf.DUMMYFUNCTION("""COMPUTED_VALUE"""),"CIKOLATA CONFEITARIA")</f>
        <v>CIKOLATA CONFEITARIA</v>
      </c>
      <c r="L9659" s="32">
        <f>IFERROR(__xludf.DUMMYFUNCTION("""COMPUTED_VALUE"""),1.0)</f>
        <v>1</v>
      </c>
      <c r="M9659" s="4" t="str">
        <f>IFERROR(__xludf.DUMMYFUNCTION("""COMPUTED_VALUE"""),"Totvs Large Enterprise Tecnologia S.a.")</f>
        <v>Totvs Large Enterprise Tecnologia S.a.</v>
      </c>
      <c r="N9659" s="33">
        <f>IFERROR(__xludf.DUMMYFUNCTION("""COMPUTED_VALUE"""),1.0)</f>
        <v>1</v>
      </c>
      <c r="O9659" s="4" t="str">
        <f>IFERROR(__xludf.DUMMYFUNCTION("""COMPUTED_VALUE"""),"Totvs Large Enterprise Tecnologia S.a.")</f>
        <v>Totvs Large Enterprise Tecnologia S.a.</v>
      </c>
      <c r="P9659" s="33">
        <f>IFERROR(__xludf.DUMMYFUNCTION("""COMPUTED_VALUE"""),1.0)</f>
        <v>1</v>
      </c>
      <c r="Q9659" s="4" t="str">
        <f>IFERROR(__xludf.DUMMYFUNCTION("""COMPUTED_VALUE"""),"Totvs Large Enterprise Tecnologia S.a.")</f>
        <v>Totvs Large Enterprise Tecnologia S.a.</v>
      </c>
      <c r="R9659" s="33">
        <f>IFERROR(__xludf.DUMMYFUNCTION("""COMPUTED_VALUE"""),1.0)</f>
        <v>1</v>
      </c>
      <c r="S9659" s="4" t="str">
        <f>IFERROR(__xludf.DUMMYFUNCTION("""COMPUTED_VALUE"""),"Totvs Large Enterprise Tecnologia S.a.")</f>
        <v>Totvs Large Enterprise Tecnologia S.a.</v>
      </c>
      <c r="T9659" s="33">
        <f>IFERROR(__xludf.DUMMYFUNCTION("""COMPUTED_VALUE"""),1.0)</f>
        <v>1</v>
      </c>
      <c r="U9659" s="4" t="str">
        <f>IFERROR(__xludf.DUMMYFUNCTION("""COMPUTED_VALUE"""),"Totvs Large Enterprise Tecnologia S.a.")</f>
        <v>Totvs Large Enterprise Tecnologia S.a.</v>
      </c>
      <c r="V9659" s="33">
        <f>IFERROR(__xludf.DUMMYFUNCTION("""COMPUTED_VALUE"""),1.0)</f>
        <v>1</v>
      </c>
      <c r="W9659" s="4" t="str">
        <f>IFERROR(__xludf.DUMMYFUNCTION("""COMPUTED_VALUE"""),"null")</f>
        <v>null</v>
      </c>
      <c r="X9659" s="33">
        <f>IFERROR(__xludf.DUMMYFUNCTION("""COMPUTED_VALUE"""),1.0)</f>
        <v>1</v>
      </c>
    </row>
    <row r="9660">
      <c r="K9660" s="4" t="str">
        <f>IFERROR(__xludf.DUMMYFUNCTION("""COMPUTED_VALUE"""),"REINO DO CHURRASCO")</f>
        <v>REINO DO CHURRASCO</v>
      </c>
      <c r="L9660" s="32">
        <f>IFERROR(__xludf.DUMMYFUNCTION("""COMPUTED_VALUE"""),1.0)</f>
        <v>1</v>
      </c>
      <c r="M9660" s="4" t="str">
        <f>IFERROR(__xludf.DUMMYFUNCTION("""COMPUTED_VALUE"""),"null")</f>
        <v>null</v>
      </c>
      <c r="N9660" s="33">
        <f>IFERROR(__xludf.DUMMYFUNCTION("""COMPUTED_VALUE"""),1.0)</f>
        <v>1</v>
      </c>
      <c r="O9660" s="4" t="str">
        <f>IFERROR(__xludf.DUMMYFUNCTION("""COMPUTED_VALUE"""),"null")</f>
        <v>null</v>
      </c>
      <c r="P9660" s="33">
        <f>IFERROR(__xludf.DUMMYFUNCTION("""COMPUTED_VALUE"""),1.0)</f>
        <v>1</v>
      </c>
      <c r="Q9660" s="4" t="str">
        <f>IFERROR(__xludf.DUMMYFUNCTION("""COMPUTED_VALUE"""),"null")</f>
        <v>null</v>
      </c>
      <c r="R9660" s="33">
        <f>IFERROR(__xludf.DUMMYFUNCTION("""COMPUTED_VALUE"""),1.0)</f>
        <v>1</v>
      </c>
      <c r="S9660" s="4" t="str">
        <f>IFERROR(__xludf.DUMMYFUNCTION("""COMPUTED_VALUE"""),"Saipos Serviços De Software")</f>
        <v>Saipos Serviços De Software</v>
      </c>
      <c r="T9660" s="33">
        <f>IFERROR(__xludf.DUMMYFUNCTION("""COMPUTED_VALUE"""),1.0)</f>
        <v>1</v>
      </c>
      <c r="U9660" s="4" t="str">
        <f>IFERROR(__xludf.DUMMYFUNCTION("""COMPUTED_VALUE"""),"Saipos Serviços De Software")</f>
        <v>Saipos Serviços De Software</v>
      </c>
      <c r="V9660" s="33">
        <f>IFERROR(__xludf.DUMMYFUNCTION("""COMPUTED_VALUE"""),1.0)</f>
        <v>1</v>
      </c>
      <c r="W9660" s="4" t="str">
        <f>IFERROR(__xludf.DUMMYFUNCTION("""COMPUTED_VALUE"""),"Saipos Serviços De Software")</f>
        <v>Saipos Serviços De Software</v>
      </c>
      <c r="X9660" s="33">
        <f>IFERROR(__xludf.DUMMYFUNCTION("""COMPUTED_VALUE"""),1.0)</f>
        <v>1</v>
      </c>
    </row>
    <row r="9661">
      <c r="K9661" s="4" t="str">
        <f>IFERROR(__xludf.DUMMYFUNCTION("""COMPUTED_VALUE"""),"DPALETEIROS - ACAI E PALETAS MEXICANAS")</f>
        <v>DPALETEIROS - ACAI E PALETAS MEXICANAS</v>
      </c>
      <c r="L9661" s="32">
        <f>IFERROR(__xludf.DUMMYFUNCTION("""COMPUTED_VALUE"""),1.0)</f>
        <v>1</v>
      </c>
      <c r="M9661" s="4" t="str">
        <f>IFERROR(__xludf.DUMMYFUNCTION("""COMPUTED_VALUE"""),"Consumer Soluções Em Tecnologia Ltda")</f>
        <v>Consumer Soluções Em Tecnologia Ltda</v>
      </c>
      <c r="N9661" s="33">
        <f>IFERROR(__xludf.DUMMYFUNCTION("""COMPUTED_VALUE"""),1.0)</f>
        <v>1</v>
      </c>
      <c r="O9661" s="4" t="str">
        <f>IFERROR(__xludf.DUMMYFUNCTION("""COMPUTED_VALUE"""),"Consumer Soluções Em Tecnologia Ltda")</f>
        <v>Consumer Soluções Em Tecnologia Ltda</v>
      </c>
      <c r="P9661" s="33">
        <f>IFERROR(__xludf.DUMMYFUNCTION("""COMPUTED_VALUE"""),1.0)</f>
        <v>1</v>
      </c>
      <c r="Q9661" s="4" t="str">
        <f>IFERROR(__xludf.DUMMYFUNCTION("""COMPUTED_VALUE"""),"Consumer Soluções Em Tecnologia Ltda")</f>
        <v>Consumer Soluções Em Tecnologia Ltda</v>
      </c>
      <c r="R9661" s="33">
        <f>IFERROR(__xludf.DUMMYFUNCTION("""COMPUTED_VALUE"""),1.0)</f>
        <v>1</v>
      </c>
      <c r="S9661" s="4" t="str">
        <f>IFERROR(__xludf.DUMMYFUNCTION("""COMPUTED_VALUE"""),"Consumer Soluções Em Tecnologia Ltda")</f>
        <v>Consumer Soluções Em Tecnologia Ltda</v>
      </c>
      <c r="T9661" s="33">
        <f>IFERROR(__xludf.DUMMYFUNCTION("""COMPUTED_VALUE"""),1.0)</f>
        <v>1</v>
      </c>
      <c r="U9661" s="4" t="str">
        <f>IFERROR(__xludf.DUMMYFUNCTION("""COMPUTED_VALUE"""),"Consumer Soluções Em Tecnologia Ltda")</f>
        <v>Consumer Soluções Em Tecnologia Ltda</v>
      </c>
      <c r="V9661" s="33">
        <f>IFERROR(__xludf.DUMMYFUNCTION("""COMPUTED_VALUE"""),1.0)</f>
        <v>1</v>
      </c>
      <c r="W9661" s="4" t="str">
        <f>IFERROR(__xludf.DUMMYFUNCTION("""COMPUTED_VALUE"""),"Consumer Soluções Em Tecnologia Ltda")</f>
        <v>Consumer Soluções Em Tecnologia Ltda</v>
      </c>
      <c r="X9661" s="33">
        <f>IFERROR(__xludf.DUMMYFUNCTION("""COMPUTED_VALUE"""),1.0)</f>
        <v>1</v>
      </c>
    </row>
    <row r="9662">
      <c r="K9662" s="4" t="str">
        <f>IFERROR(__xludf.DUMMYFUNCTION("""COMPUTED_VALUE"""),"COOKIES DELIARTE - ZONA SUL")</f>
        <v>COOKIES DELIARTE - ZONA SUL</v>
      </c>
      <c r="L9662" s="32">
        <f>IFERROR(__xludf.DUMMYFUNCTION("""COMPUTED_VALUE"""),1.0)</f>
        <v>1</v>
      </c>
      <c r="M9662" s="4" t="str">
        <f>IFERROR(__xludf.DUMMYFUNCTION("""COMPUTED_VALUE"""),"Go2go")</f>
        <v>Go2go</v>
      </c>
      <c r="N9662" s="33">
        <f>IFERROR(__xludf.DUMMYFUNCTION("""COMPUTED_VALUE"""),1.0)</f>
        <v>1</v>
      </c>
      <c r="O9662" s="4" t="str">
        <f>IFERROR(__xludf.DUMMYFUNCTION("""COMPUTED_VALUE"""),"Go2go")</f>
        <v>Go2go</v>
      </c>
      <c r="P9662" s="33">
        <f>IFERROR(__xludf.DUMMYFUNCTION("""COMPUTED_VALUE"""),1.0)</f>
        <v>1</v>
      </c>
      <c r="Q9662" s="4" t="str">
        <f>IFERROR(__xludf.DUMMYFUNCTION("""COMPUTED_VALUE"""),"Go2go")</f>
        <v>Go2go</v>
      </c>
      <c r="R9662" s="33">
        <f>IFERROR(__xludf.DUMMYFUNCTION("""COMPUTED_VALUE"""),1.0)</f>
        <v>1</v>
      </c>
      <c r="S9662" s="4" t="str">
        <f>IFERROR(__xludf.DUMMYFUNCTION("""COMPUTED_VALUE"""),"Go2go")</f>
        <v>Go2go</v>
      </c>
      <c r="T9662" s="33">
        <f>IFERROR(__xludf.DUMMYFUNCTION("""COMPUTED_VALUE"""),1.0)</f>
        <v>1</v>
      </c>
      <c r="U9662" s="4" t="str">
        <f>IFERROR(__xludf.DUMMYFUNCTION("""COMPUTED_VALUE"""),"Go2go")</f>
        <v>Go2go</v>
      </c>
      <c r="V9662" s="33">
        <f>IFERROR(__xludf.DUMMYFUNCTION("""COMPUTED_VALUE"""),1.0)</f>
        <v>1</v>
      </c>
      <c r="W9662" s="4" t="str">
        <f>IFERROR(__xludf.DUMMYFUNCTION("""COMPUTED_VALUE"""),"Go2go")</f>
        <v>Go2go</v>
      </c>
      <c r="X9662" s="33">
        <f>IFERROR(__xludf.DUMMYFUNCTION("""COMPUTED_VALUE"""),1.0)</f>
        <v>1</v>
      </c>
    </row>
    <row r="9663">
      <c r="K9663" s="4" t="str">
        <f>IFERROR(__xludf.DUMMYFUNCTION("""COMPUTED_VALUE"""),"TRAVESSIA PETSHOP")</f>
        <v>TRAVESSIA PETSHOP</v>
      </c>
      <c r="L9663" s="32">
        <f>IFERROR(__xludf.DUMMYFUNCTION("""COMPUTED_VALUE"""),1.0)</f>
        <v>1</v>
      </c>
      <c r="M9663" s="4" t="str">
        <f>IFERROR(__xludf.DUMMYFUNCTION("""COMPUTED_VALUE"""),"N/A (Not found)")</f>
        <v>N/A (Not found)</v>
      </c>
      <c r="N9663" s="33">
        <f>IFERROR(__xludf.DUMMYFUNCTION("""COMPUTED_VALUE"""),1.0)</f>
        <v>1</v>
      </c>
      <c r="O9663" s="4" t="str">
        <f>IFERROR(__xludf.DUMMYFUNCTION("""COMPUTED_VALUE"""),"N/A (Not found)")</f>
        <v>N/A (Not found)</v>
      </c>
      <c r="P9663" s="33">
        <f>IFERROR(__xludf.DUMMYFUNCTION("""COMPUTED_VALUE"""),1.0)</f>
        <v>1</v>
      </c>
      <c r="Q9663" s="4" t="str">
        <f>IFERROR(__xludf.DUMMYFUNCTION("""COMPUTED_VALUE"""),"N/A (Not found)")</f>
        <v>N/A (Not found)</v>
      </c>
      <c r="R9663" s="33">
        <f>IFERROR(__xludf.DUMMYFUNCTION("""COMPUTED_VALUE"""),1.0)</f>
        <v>1</v>
      </c>
      <c r="S9663" s="4" t="str">
        <f>IFERROR(__xludf.DUMMYFUNCTION("""COMPUTED_VALUE"""),"N/A (Not found)")</f>
        <v>N/A (Not found)</v>
      </c>
      <c r="T9663" s="33">
        <f>IFERROR(__xludf.DUMMYFUNCTION("""COMPUTED_VALUE"""),1.0)</f>
        <v>1</v>
      </c>
      <c r="U9663" s="4" t="str">
        <f>IFERROR(__xludf.DUMMYFUNCTION("""COMPUTED_VALUE"""),"N/A (Not found)")</f>
        <v>N/A (Not found)</v>
      </c>
      <c r="V9663" s="33">
        <f>IFERROR(__xludf.DUMMYFUNCTION("""COMPUTED_VALUE"""),1.0)</f>
        <v>1</v>
      </c>
      <c r="W9663" s="4" t="str">
        <f>IFERROR(__xludf.DUMMYFUNCTION("""COMPUTED_VALUE"""),"N/A (Not found)")</f>
        <v>N/A (Not found)</v>
      </c>
      <c r="X9663" s="33">
        <f>IFERROR(__xludf.DUMMYFUNCTION("""COMPUTED_VALUE"""),1.0)</f>
        <v>1</v>
      </c>
    </row>
    <row r="9664">
      <c r="K9664" s="4" t="str">
        <f>IFERROR(__xludf.DUMMYFUNCTION("""COMPUTED_VALUE"""),"TEM DE TUDO DELIVERY")</f>
        <v>TEM DE TUDO DELIVERY</v>
      </c>
      <c r="L9664" s="32">
        <f>IFERROR(__xludf.DUMMYFUNCTION("""COMPUTED_VALUE"""),1.0)</f>
        <v>1</v>
      </c>
      <c r="M9664" s="4" t="str">
        <f>IFERROR(__xludf.DUMMYFUNCTION("""COMPUTED_VALUE"""),"Anota Ai Solucoes Digitais S/a")</f>
        <v>Anota Ai Solucoes Digitais S/a</v>
      </c>
      <c r="N9664" s="33">
        <f>IFERROR(__xludf.DUMMYFUNCTION("""COMPUTED_VALUE"""),1.0)</f>
        <v>1</v>
      </c>
      <c r="O9664" s="4" t="str">
        <f>IFERROR(__xludf.DUMMYFUNCTION("""COMPUTED_VALUE"""),"Anota Ai Solucoes Digitais S/a")</f>
        <v>Anota Ai Solucoes Digitais S/a</v>
      </c>
      <c r="P9664" s="33">
        <f>IFERROR(__xludf.DUMMYFUNCTION("""COMPUTED_VALUE"""),1.0)</f>
        <v>1</v>
      </c>
      <c r="Q9664" s="4" t="str">
        <f>IFERROR(__xludf.DUMMYFUNCTION("""COMPUTED_VALUE"""),"Anota Ai Solucoes Digitais S/a")</f>
        <v>Anota Ai Solucoes Digitais S/a</v>
      </c>
      <c r="R9664" s="33">
        <f>IFERROR(__xludf.DUMMYFUNCTION("""COMPUTED_VALUE"""),1.0)</f>
        <v>1</v>
      </c>
      <c r="S9664" s="4" t="str">
        <f>IFERROR(__xludf.DUMMYFUNCTION("""COMPUTED_VALUE"""),"Anota Ai Solucoes Digitais S/a")</f>
        <v>Anota Ai Solucoes Digitais S/a</v>
      </c>
      <c r="T9664" s="33">
        <f>IFERROR(__xludf.DUMMYFUNCTION("""COMPUTED_VALUE"""),1.0)</f>
        <v>1</v>
      </c>
      <c r="U9664" s="4" t="str">
        <f>IFERROR(__xludf.DUMMYFUNCTION("""COMPUTED_VALUE"""),"Anota Ai Solucoes Digitais S/a")</f>
        <v>Anota Ai Solucoes Digitais S/a</v>
      </c>
      <c r="V9664" s="33">
        <f>IFERROR(__xludf.DUMMYFUNCTION("""COMPUTED_VALUE"""),1.0)</f>
        <v>1</v>
      </c>
      <c r="W9664" s="4" t="str">
        <f>IFERROR(__xludf.DUMMYFUNCTION("""COMPUTED_VALUE"""),"Anota Ai Solucoes Digitais S/a")</f>
        <v>Anota Ai Solucoes Digitais S/a</v>
      </c>
      <c r="X9664" s="33">
        <f>IFERROR(__xludf.DUMMYFUNCTION("""COMPUTED_VALUE"""),1.0)</f>
        <v>1</v>
      </c>
    </row>
    <row r="9665">
      <c r="K9665" s="4" t="str">
        <f>IFERROR(__xludf.DUMMYFUNCTION("""COMPUTED_VALUE"""),"YAKUZA SUSHI 893")</f>
        <v>YAKUZA SUSHI 893</v>
      </c>
      <c r="L9665" s="32">
        <f>IFERROR(__xludf.DUMMYFUNCTION("""COMPUTED_VALUE"""),1.0)</f>
        <v>1</v>
      </c>
      <c r="M9665" s="4" t="str">
        <f>IFERROR(__xludf.DUMMYFUNCTION("""COMPUTED_VALUE"""),"Bitbar")</f>
        <v>Bitbar</v>
      </c>
      <c r="N9665" s="33">
        <f>IFERROR(__xludf.DUMMYFUNCTION("""COMPUTED_VALUE"""),1.0)</f>
        <v>1</v>
      </c>
      <c r="O9665" s="4" t="str">
        <f>IFERROR(__xludf.DUMMYFUNCTION("""COMPUTED_VALUE"""),"null")</f>
        <v>null</v>
      </c>
      <c r="P9665" s="33">
        <f>IFERROR(__xludf.DUMMYFUNCTION("""COMPUTED_VALUE"""),1.0)</f>
        <v>1</v>
      </c>
      <c r="Q9665" s="4" t="str">
        <f>IFERROR(__xludf.DUMMYFUNCTION("""COMPUTED_VALUE"""),"null")</f>
        <v>null</v>
      </c>
      <c r="R9665" s="33">
        <f>IFERROR(__xludf.DUMMYFUNCTION("""COMPUTED_VALUE"""),1.0)</f>
        <v>1</v>
      </c>
      <c r="S9665" s="4" t="str">
        <f>IFERROR(__xludf.DUMMYFUNCTION("""COMPUTED_VALUE"""),"null")</f>
        <v>null</v>
      </c>
      <c r="T9665" s="33">
        <f>IFERROR(__xludf.DUMMYFUNCTION("""COMPUTED_VALUE"""),1.0)</f>
        <v>1</v>
      </c>
      <c r="U9665" s="4" t="str">
        <f>IFERROR(__xludf.DUMMYFUNCTION("""COMPUTED_VALUE"""),"null")</f>
        <v>null</v>
      </c>
      <c r="V9665" s="33">
        <f>IFERROR(__xludf.DUMMYFUNCTION("""COMPUTED_VALUE"""),1.0)</f>
        <v>1</v>
      </c>
      <c r="W9665" s="4" t="str">
        <f>IFERROR(__xludf.DUMMYFUNCTION("""COMPUTED_VALUE"""),"Bitbar")</f>
        <v>Bitbar</v>
      </c>
      <c r="X9665" s="33">
        <f>IFERROR(__xludf.DUMMYFUNCTION("""COMPUTED_VALUE"""),1.0)</f>
        <v>1</v>
      </c>
    </row>
    <row r="9666">
      <c r="K9666" s="4" t="str">
        <f>IFERROR(__xludf.DUMMYFUNCTION("""COMPUTED_VALUE"""),"DPRANDINE SORRISO")</f>
        <v>DPRANDINE SORRISO</v>
      </c>
      <c r="L9666" s="32">
        <f>IFERROR(__xludf.DUMMYFUNCTION("""COMPUTED_VALUE"""),1.0)</f>
        <v>1</v>
      </c>
      <c r="M9666" s="4" t="str">
        <f>IFERROR(__xludf.DUMMYFUNCTION("""COMPUTED_VALUE"""),"Vedas Automação Comercial")</f>
        <v>Vedas Automação Comercial</v>
      </c>
      <c r="N9666" s="33">
        <f>IFERROR(__xludf.DUMMYFUNCTION("""COMPUTED_VALUE"""),1.0)</f>
        <v>1</v>
      </c>
      <c r="O9666" s="4" t="str">
        <f>IFERROR(__xludf.DUMMYFUNCTION("""COMPUTED_VALUE"""),"null")</f>
        <v>null</v>
      </c>
      <c r="P9666" s="33">
        <f>IFERROR(__xludf.DUMMYFUNCTION("""COMPUTED_VALUE"""),1.0)</f>
        <v>1</v>
      </c>
      <c r="Q9666" s="4" t="str">
        <f>IFERROR(__xludf.DUMMYFUNCTION("""COMPUTED_VALUE"""),"null")</f>
        <v>null</v>
      </c>
      <c r="R9666" s="33">
        <f>IFERROR(__xludf.DUMMYFUNCTION("""COMPUTED_VALUE"""),1.0)</f>
        <v>1</v>
      </c>
      <c r="S9666" s="4" t="str">
        <f>IFERROR(__xludf.DUMMYFUNCTION("""COMPUTED_VALUE"""),"Vedas Automação Comercial")</f>
        <v>Vedas Automação Comercial</v>
      </c>
      <c r="T9666" s="33">
        <f>IFERROR(__xludf.DUMMYFUNCTION("""COMPUTED_VALUE"""),1.0)</f>
        <v>1</v>
      </c>
      <c r="U9666" s="4" t="str">
        <f>IFERROR(__xludf.DUMMYFUNCTION("""COMPUTED_VALUE"""),"Vedas Automação Comercial")</f>
        <v>Vedas Automação Comercial</v>
      </c>
      <c r="V9666" s="33">
        <f>IFERROR(__xludf.DUMMYFUNCTION("""COMPUTED_VALUE"""),1.0)</f>
        <v>1</v>
      </c>
      <c r="W9666" s="4" t="str">
        <f>IFERROR(__xludf.DUMMYFUNCTION("""COMPUTED_VALUE"""),"Vedas Automação Comercial")</f>
        <v>Vedas Automação Comercial</v>
      </c>
      <c r="X9666" s="33">
        <f>IFERROR(__xludf.DUMMYFUNCTION("""COMPUTED_VALUE"""),1.0)</f>
        <v>1</v>
      </c>
    </row>
    <row r="9667">
      <c r="K9667" s="4" t="str">
        <f>IFERROR(__xludf.DUMMYFUNCTION("""COMPUTED_VALUE"""),"ABANO PET - PQ SAO RAFAEL")</f>
        <v>ABANO PET - PQ SAO RAFAEL</v>
      </c>
      <c r="L9667" s="32">
        <f>IFERROR(__xludf.DUMMYFUNCTION("""COMPUTED_VALUE"""),1.0)</f>
        <v>1</v>
      </c>
      <c r="M9667" s="4" t="str">
        <f>IFERROR(__xludf.DUMMYFUNCTION("""COMPUTED_VALUE"""),"N/A (Not found)")</f>
        <v>N/A (Not found)</v>
      </c>
      <c r="N9667" s="33">
        <f>IFERROR(__xludf.DUMMYFUNCTION("""COMPUTED_VALUE"""),1.0)</f>
        <v>1</v>
      </c>
      <c r="O9667" s="4" t="str">
        <f>IFERROR(__xludf.DUMMYFUNCTION("""COMPUTED_VALUE"""),"N/A (Not found)")</f>
        <v>N/A (Not found)</v>
      </c>
      <c r="P9667" s="33">
        <f>IFERROR(__xludf.DUMMYFUNCTION("""COMPUTED_VALUE"""),1.0)</f>
        <v>1</v>
      </c>
      <c r="Q9667" s="4" t="str">
        <f>IFERROR(__xludf.DUMMYFUNCTION("""COMPUTED_VALUE"""),"N/A (Not found)")</f>
        <v>N/A (Not found)</v>
      </c>
      <c r="R9667" s="33">
        <f>IFERROR(__xludf.DUMMYFUNCTION("""COMPUTED_VALUE"""),1.0)</f>
        <v>1</v>
      </c>
      <c r="S9667" s="4" t="str">
        <f>IFERROR(__xludf.DUMMYFUNCTION("""COMPUTED_VALUE"""),"N/A (Not found)")</f>
        <v>N/A (Not found)</v>
      </c>
      <c r="T9667" s="33">
        <f>IFERROR(__xludf.DUMMYFUNCTION("""COMPUTED_VALUE"""),1.0)</f>
        <v>1</v>
      </c>
      <c r="U9667" s="4" t="str">
        <f>IFERROR(__xludf.DUMMYFUNCTION("""COMPUTED_VALUE"""),"N/A (Not found)")</f>
        <v>N/A (Not found)</v>
      </c>
      <c r="V9667" s="33">
        <f>IFERROR(__xludf.DUMMYFUNCTION("""COMPUTED_VALUE"""),1.0)</f>
        <v>1</v>
      </c>
      <c r="W9667" s="4" t="str">
        <f>IFERROR(__xludf.DUMMYFUNCTION("""COMPUTED_VALUE"""),"N/A (Not found)")</f>
        <v>N/A (Not found)</v>
      </c>
      <c r="X9667" s="33">
        <f>IFERROR(__xludf.DUMMYFUNCTION("""COMPUTED_VALUE"""),1.0)</f>
        <v>1</v>
      </c>
    </row>
    <row r="9668">
      <c r="K9668" s="4" t="str">
        <f>IFERROR(__xludf.DUMMYFUNCTION("""COMPUTED_VALUE"""),"VO EVA RESTAURANTE")</f>
        <v>VO EVA RESTAURANTE</v>
      </c>
      <c r="L9668" s="32">
        <f>IFERROR(__xludf.DUMMYFUNCTION("""COMPUTED_VALUE"""),1.0)</f>
        <v>1</v>
      </c>
      <c r="M9668" s="4" t="str">
        <f>IFERROR(__xludf.DUMMYFUNCTION("""COMPUTED_VALUE"""),"Jaxtech")</f>
        <v>Jaxtech</v>
      </c>
      <c r="N9668" s="33">
        <f>IFERROR(__xludf.DUMMYFUNCTION("""COMPUTED_VALUE"""),1.0)</f>
        <v>1</v>
      </c>
      <c r="O9668" s="4" t="str">
        <f>IFERROR(__xludf.DUMMYFUNCTION("""COMPUTED_VALUE"""),"null")</f>
        <v>null</v>
      </c>
      <c r="P9668" s="33">
        <f>IFERROR(__xludf.DUMMYFUNCTION("""COMPUTED_VALUE"""),1.0)</f>
        <v>1</v>
      </c>
      <c r="Q9668" s="4" t="str">
        <f>IFERROR(__xludf.DUMMYFUNCTION("""COMPUTED_VALUE"""),"Jaxtech")</f>
        <v>Jaxtech</v>
      </c>
      <c r="R9668" s="33">
        <f>IFERROR(__xludf.DUMMYFUNCTION("""COMPUTED_VALUE"""),1.0)</f>
        <v>1</v>
      </c>
      <c r="S9668" s="4" t="str">
        <f>IFERROR(__xludf.DUMMYFUNCTION("""COMPUTED_VALUE"""),"Jaxtech")</f>
        <v>Jaxtech</v>
      </c>
      <c r="T9668" s="33">
        <f>IFERROR(__xludf.DUMMYFUNCTION("""COMPUTED_VALUE"""),1.0)</f>
        <v>1</v>
      </c>
      <c r="U9668" s="4" t="str">
        <f>IFERROR(__xludf.DUMMYFUNCTION("""COMPUTED_VALUE"""),"Jaxtech")</f>
        <v>Jaxtech</v>
      </c>
      <c r="V9668" s="33">
        <f>IFERROR(__xludf.DUMMYFUNCTION("""COMPUTED_VALUE"""),1.0)</f>
        <v>1</v>
      </c>
      <c r="W9668" s="4" t="str">
        <f>IFERROR(__xludf.DUMMYFUNCTION("""COMPUTED_VALUE"""),"Jaxtech")</f>
        <v>Jaxtech</v>
      </c>
      <c r="X9668" s="33">
        <f>IFERROR(__xludf.DUMMYFUNCTION("""COMPUTED_VALUE"""),1.0)</f>
        <v>1</v>
      </c>
    </row>
    <row r="9669">
      <c r="K9669" s="4" t="str">
        <f>IFERROR(__xludf.DUMMYFUNCTION("""COMPUTED_VALUE"""),"HAMBURGUERIA SALGADINHO - CHICO NOE")</f>
        <v>HAMBURGUERIA SALGADINHO - CHICO NOE</v>
      </c>
      <c r="L9669" s="32">
        <f>IFERROR(__xludf.DUMMYFUNCTION("""COMPUTED_VALUE"""),1.0)</f>
        <v>1</v>
      </c>
      <c r="M9669" s="4" t="str">
        <f>IFERROR(__xludf.DUMMYFUNCTION("""COMPUTED_VALUE"""),"Anota Ai Solucoes Digitais S/a")</f>
        <v>Anota Ai Solucoes Digitais S/a</v>
      </c>
      <c r="N9669" s="33">
        <f>IFERROR(__xludf.DUMMYFUNCTION("""COMPUTED_VALUE"""),1.0)</f>
        <v>1</v>
      </c>
      <c r="O9669" s="4" t="str">
        <f>IFERROR(__xludf.DUMMYFUNCTION("""COMPUTED_VALUE"""),"Anota Ai Solucoes Digitais S/a")</f>
        <v>Anota Ai Solucoes Digitais S/a</v>
      </c>
      <c r="P9669" s="33">
        <f>IFERROR(__xludf.DUMMYFUNCTION("""COMPUTED_VALUE"""),1.0)</f>
        <v>1</v>
      </c>
      <c r="Q9669" s="4" t="str">
        <f>IFERROR(__xludf.DUMMYFUNCTION("""COMPUTED_VALUE"""),"Anota Ai Solucoes Digitais S/a")</f>
        <v>Anota Ai Solucoes Digitais S/a</v>
      </c>
      <c r="R9669" s="33">
        <f>IFERROR(__xludf.DUMMYFUNCTION("""COMPUTED_VALUE"""),1.0)</f>
        <v>1</v>
      </c>
      <c r="S9669" s="4" t="str">
        <f>IFERROR(__xludf.DUMMYFUNCTION("""COMPUTED_VALUE"""),"Anota Ai Solucoes Digitais S/a")</f>
        <v>Anota Ai Solucoes Digitais S/a</v>
      </c>
      <c r="T9669" s="33">
        <f>IFERROR(__xludf.DUMMYFUNCTION("""COMPUTED_VALUE"""),1.0)</f>
        <v>1</v>
      </c>
      <c r="U9669" s="4" t="str">
        <f>IFERROR(__xludf.DUMMYFUNCTION("""COMPUTED_VALUE"""),"null")</f>
        <v>null</v>
      </c>
      <c r="V9669" s="33">
        <f>IFERROR(__xludf.DUMMYFUNCTION("""COMPUTED_VALUE"""),1.0)</f>
        <v>1</v>
      </c>
      <c r="W9669" s="4" t="str">
        <f>IFERROR(__xludf.DUMMYFUNCTION("""COMPUTED_VALUE"""),"null")</f>
        <v>null</v>
      </c>
      <c r="X9669" s="33">
        <f>IFERROR(__xludf.DUMMYFUNCTION("""COMPUTED_VALUE"""),1.0)</f>
        <v>1</v>
      </c>
    </row>
    <row r="9670">
      <c r="K9670" s="4" t="str">
        <f>IFERROR(__xludf.DUMMYFUNCTION("""COMPUTED_VALUE"""),"ALIADOS BURGUER")</f>
        <v>ALIADOS BURGUER</v>
      </c>
      <c r="L9670" s="32">
        <f>IFERROR(__xludf.DUMMYFUNCTION("""COMPUTED_VALUE"""),1.0)</f>
        <v>1</v>
      </c>
      <c r="M9670" s="4" t="str">
        <f>IFERROR(__xludf.DUMMYFUNCTION("""COMPUTED_VALUE"""),"Brendi")</f>
        <v>Brendi</v>
      </c>
      <c r="N9670" s="33">
        <f>IFERROR(__xludf.DUMMYFUNCTION("""COMPUTED_VALUE"""),1.0)</f>
        <v>1</v>
      </c>
      <c r="O9670" s="4" t="str">
        <f>IFERROR(__xludf.DUMMYFUNCTION("""COMPUTED_VALUE"""),"Brendi")</f>
        <v>Brendi</v>
      </c>
      <c r="P9670" s="33">
        <f>IFERROR(__xludf.DUMMYFUNCTION("""COMPUTED_VALUE"""),1.0)</f>
        <v>1</v>
      </c>
      <c r="Q9670" s="4" t="str">
        <f>IFERROR(__xludf.DUMMYFUNCTION("""COMPUTED_VALUE"""),"Brendi")</f>
        <v>Brendi</v>
      </c>
      <c r="R9670" s="33">
        <f>IFERROR(__xludf.DUMMYFUNCTION("""COMPUTED_VALUE"""),1.0)</f>
        <v>1</v>
      </c>
      <c r="S9670" s="4" t="str">
        <f>IFERROR(__xludf.DUMMYFUNCTION("""COMPUTED_VALUE"""),"null")</f>
        <v>null</v>
      </c>
      <c r="T9670" s="33">
        <f>IFERROR(__xludf.DUMMYFUNCTION("""COMPUTED_VALUE"""),1.0)</f>
        <v>1</v>
      </c>
      <c r="U9670" s="4" t="str">
        <f>IFERROR(__xludf.DUMMYFUNCTION("""COMPUTED_VALUE"""),"Cardápio Web")</f>
        <v>Cardápio Web</v>
      </c>
      <c r="V9670" s="33">
        <f>IFERROR(__xludf.DUMMYFUNCTION("""COMPUTED_VALUE"""),1.0)</f>
        <v>1</v>
      </c>
      <c r="W9670" s="4" t="str">
        <f>IFERROR(__xludf.DUMMYFUNCTION("""COMPUTED_VALUE"""),"Cardápio Web")</f>
        <v>Cardápio Web</v>
      </c>
      <c r="X9670" s="33">
        <f>IFERROR(__xludf.DUMMYFUNCTION("""COMPUTED_VALUE"""),1.0)</f>
        <v>1</v>
      </c>
    </row>
    <row r="9671">
      <c r="K9671" s="4" t="str">
        <f>IFERROR(__xludf.DUMMYFUNCTION("""COMPUTED_VALUE"""),"DELICATESSE ATELIE DOS DOCES")</f>
        <v>DELICATESSE ATELIE DOS DOCES</v>
      </c>
      <c r="L9671" s="32">
        <f>IFERROR(__xludf.DUMMYFUNCTION("""COMPUTED_VALUE"""),1.0)</f>
        <v>1</v>
      </c>
      <c r="M9671" s="4" t="str">
        <f>IFERROR(__xludf.DUMMYFUNCTION("""COMPUTED_VALUE"""),"F-rest Sistema Para Food Service Ltda")</f>
        <v>F-rest Sistema Para Food Service Ltda</v>
      </c>
      <c r="N9671" s="33">
        <f>IFERROR(__xludf.DUMMYFUNCTION("""COMPUTED_VALUE"""),1.0)</f>
        <v>1</v>
      </c>
      <c r="O9671" s="4" t="str">
        <f>IFERROR(__xludf.DUMMYFUNCTION("""COMPUTED_VALUE"""),"F-rest Sistema Para Food Service Ltda")</f>
        <v>F-rest Sistema Para Food Service Ltda</v>
      </c>
      <c r="P9671" s="33">
        <f>IFERROR(__xludf.DUMMYFUNCTION("""COMPUTED_VALUE"""),1.0)</f>
        <v>1</v>
      </c>
      <c r="Q9671" s="4" t="str">
        <f>IFERROR(__xludf.DUMMYFUNCTION("""COMPUTED_VALUE"""),"F-rest Sistema Para Food Service Ltda")</f>
        <v>F-rest Sistema Para Food Service Ltda</v>
      </c>
      <c r="R9671" s="33">
        <f>IFERROR(__xludf.DUMMYFUNCTION("""COMPUTED_VALUE"""),1.0)</f>
        <v>1</v>
      </c>
      <c r="S9671" s="4" t="str">
        <f>IFERROR(__xludf.DUMMYFUNCTION("""COMPUTED_VALUE"""),"F-rest Sistema Para Food Service Ltda")</f>
        <v>F-rest Sistema Para Food Service Ltda</v>
      </c>
      <c r="T9671" s="33">
        <f>IFERROR(__xludf.DUMMYFUNCTION("""COMPUTED_VALUE"""),1.0)</f>
        <v>1</v>
      </c>
      <c r="U9671" s="4" t="str">
        <f>IFERROR(__xludf.DUMMYFUNCTION("""COMPUTED_VALUE"""),"F-rest Sistema Para Food Service Ltda")</f>
        <v>F-rest Sistema Para Food Service Ltda</v>
      </c>
      <c r="V9671" s="33">
        <f>IFERROR(__xludf.DUMMYFUNCTION("""COMPUTED_VALUE"""),1.0)</f>
        <v>1</v>
      </c>
      <c r="W9671" s="4" t="str">
        <f>IFERROR(__xludf.DUMMYFUNCTION("""COMPUTED_VALUE"""),"Beefood - Sistema Para Restaurantes")</f>
        <v>Beefood - Sistema Para Restaurantes</v>
      </c>
      <c r="X9671" s="33">
        <f>IFERROR(__xludf.DUMMYFUNCTION("""COMPUTED_VALUE"""),1.0)</f>
        <v>1</v>
      </c>
    </row>
    <row r="9672">
      <c r="K9672" s="4" t="str">
        <f>IFERROR(__xludf.DUMMYFUNCTION("""COMPUTED_VALUE"""),"CREPE FRANCES - BHANG")</f>
        <v>CREPE FRANCES - BHANG</v>
      </c>
      <c r="L9672" s="32">
        <f>IFERROR(__xludf.DUMMYFUNCTION("""COMPUTED_VALUE"""),1.0)</f>
        <v>1</v>
      </c>
      <c r="M9672" s="4" t="str">
        <f>IFERROR(__xludf.DUMMYFUNCTION("""COMPUTED_VALUE"""),"Anota Ai Solucoes Digitais S/a")</f>
        <v>Anota Ai Solucoes Digitais S/a</v>
      </c>
      <c r="N9672" s="33">
        <f>IFERROR(__xludf.DUMMYFUNCTION("""COMPUTED_VALUE"""),1.0)</f>
        <v>1</v>
      </c>
      <c r="O9672" s="4" t="str">
        <f>IFERROR(__xludf.DUMMYFUNCTION("""COMPUTED_VALUE"""),"null")</f>
        <v>null</v>
      </c>
      <c r="P9672" s="33">
        <f>IFERROR(__xludf.DUMMYFUNCTION("""COMPUTED_VALUE"""),1.0)</f>
        <v>1</v>
      </c>
      <c r="Q9672" s="4" t="str">
        <f>IFERROR(__xludf.DUMMYFUNCTION("""COMPUTED_VALUE"""),"null")</f>
        <v>null</v>
      </c>
      <c r="R9672" s="33">
        <f>IFERROR(__xludf.DUMMYFUNCTION("""COMPUTED_VALUE"""),1.0)</f>
        <v>1</v>
      </c>
      <c r="S9672" s="4" t="str">
        <f>IFERROR(__xludf.DUMMYFUNCTION("""COMPUTED_VALUE"""),"null")</f>
        <v>null</v>
      </c>
      <c r="T9672" s="33">
        <f>IFERROR(__xludf.DUMMYFUNCTION("""COMPUTED_VALUE"""),1.0)</f>
        <v>1</v>
      </c>
      <c r="U9672" s="4" t="str">
        <f>IFERROR(__xludf.DUMMYFUNCTION("""COMPUTED_VALUE"""),"null")</f>
        <v>null</v>
      </c>
      <c r="V9672" s="33">
        <f>IFERROR(__xludf.DUMMYFUNCTION("""COMPUTED_VALUE"""),1.0)</f>
        <v>1</v>
      </c>
      <c r="W9672" s="4" t="str">
        <f>IFERROR(__xludf.DUMMYFUNCTION("""COMPUTED_VALUE"""),"null")</f>
        <v>null</v>
      </c>
      <c r="X9672" s="33">
        <f>IFERROR(__xludf.DUMMYFUNCTION("""COMPUTED_VALUE"""),1.0)</f>
        <v>1</v>
      </c>
    </row>
    <row r="9673">
      <c r="K9673" s="4" t="str">
        <f>IFERROR(__xludf.DUMMYFUNCTION("""COMPUTED_VALUE"""),"PASTEL DO MUNDO")</f>
        <v>PASTEL DO MUNDO</v>
      </c>
      <c r="L9673" s="32">
        <f>IFERROR(__xludf.DUMMYFUNCTION("""COMPUTED_VALUE"""),1.0)</f>
        <v>1</v>
      </c>
      <c r="M9673" s="4" t="str">
        <f>IFERROR(__xludf.DUMMYFUNCTION("""COMPUTED_VALUE"""),"Saipos Serviços De Software")</f>
        <v>Saipos Serviços De Software</v>
      </c>
      <c r="N9673" s="33">
        <f>IFERROR(__xludf.DUMMYFUNCTION("""COMPUTED_VALUE"""),1.0)</f>
        <v>1</v>
      </c>
      <c r="O9673" s="4" t="str">
        <f>IFERROR(__xludf.DUMMYFUNCTION("""COMPUTED_VALUE"""),"Saipos Serviços De Software")</f>
        <v>Saipos Serviços De Software</v>
      </c>
      <c r="P9673" s="33">
        <f>IFERROR(__xludf.DUMMYFUNCTION("""COMPUTED_VALUE"""),1.0)</f>
        <v>1</v>
      </c>
      <c r="Q9673" s="4" t="str">
        <f>IFERROR(__xludf.DUMMYFUNCTION("""COMPUTED_VALUE"""),"Saipos Serviços De Software")</f>
        <v>Saipos Serviços De Software</v>
      </c>
      <c r="R9673" s="33">
        <f>IFERROR(__xludf.DUMMYFUNCTION("""COMPUTED_VALUE"""),1.0)</f>
        <v>1</v>
      </c>
      <c r="S9673" s="4" t="str">
        <f>IFERROR(__xludf.DUMMYFUNCTION("""COMPUTED_VALUE"""),"Saipos Serviços De Software")</f>
        <v>Saipos Serviços De Software</v>
      </c>
      <c r="T9673" s="33">
        <f>IFERROR(__xludf.DUMMYFUNCTION("""COMPUTED_VALUE"""),1.0)</f>
        <v>1</v>
      </c>
      <c r="U9673" s="4" t="str">
        <f>IFERROR(__xludf.DUMMYFUNCTION("""COMPUTED_VALUE"""),"Saipos Serviços De Software")</f>
        <v>Saipos Serviços De Software</v>
      </c>
      <c r="V9673" s="33">
        <f>IFERROR(__xludf.DUMMYFUNCTION("""COMPUTED_VALUE"""),1.0)</f>
        <v>1</v>
      </c>
      <c r="W9673" s="4" t="str">
        <f>IFERROR(__xludf.DUMMYFUNCTION("""COMPUTED_VALUE"""),"Saipos Serviços De Software")</f>
        <v>Saipos Serviços De Software</v>
      </c>
      <c r="X9673" s="33">
        <f>IFERROR(__xludf.DUMMYFUNCTION("""COMPUTED_VALUE"""),1.0)</f>
        <v>1</v>
      </c>
    </row>
    <row r="9674">
      <c r="K9674" s="4" t="str">
        <f>IFERROR(__xludf.DUMMYFUNCTION("""COMPUTED_VALUE"""),"B2 HAMBURGUERIA")</f>
        <v>B2 HAMBURGUERIA</v>
      </c>
      <c r="L9674" s="32">
        <f>IFERROR(__xludf.DUMMYFUNCTION("""COMPUTED_VALUE"""),1.0)</f>
        <v>1</v>
      </c>
      <c r="M9674" s="4" t="str">
        <f>IFERROR(__xludf.DUMMYFUNCTION("""COMPUTED_VALUE"""),"Anota Ai Solucoes Digitais S/a")</f>
        <v>Anota Ai Solucoes Digitais S/a</v>
      </c>
      <c r="N9674" s="33">
        <f>IFERROR(__xludf.DUMMYFUNCTION("""COMPUTED_VALUE"""),1.0)</f>
        <v>1</v>
      </c>
      <c r="O9674" s="4" t="str">
        <f>IFERROR(__xludf.DUMMYFUNCTION("""COMPUTED_VALUE"""),"Anota Ai Solucoes Digitais S/a")</f>
        <v>Anota Ai Solucoes Digitais S/a</v>
      </c>
      <c r="P9674" s="33">
        <f>IFERROR(__xludf.DUMMYFUNCTION("""COMPUTED_VALUE"""),1.0)</f>
        <v>1</v>
      </c>
      <c r="Q9674" s="4" t="str">
        <f>IFERROR(__xludf.DUMMYFUNCTION("""COMPUTED_VALUE"""),"Anota Ai Solucoes Digitais S/a")</f>
        <v>Anota Ai Solucoes Digitais S/a</v>
      </c>
      <c r="R9674" s="33">
        <f>IFERROR(__xludf.DUMMYFUNCTION("""COMPUTED_VALUE"""),1.0)</f>
        <v>1</v>
      </c>
      <c r="S9674" s="4" t="str">
        <f>IFERROR(__xludf.DUMMYFUNCTION("""COMPUTED_VALUE"""),"Anota Ai Solucoes Digitais S/a")</f>
        <v>Anota Ai Solucoes Digitais S/a</v>
      </c>
      <c r="T9674" s="33">
        <f>IFERROR(__xludf.DUMMYFUNCTION("""COMPUTED_VALUE"""),1.0)</f>
        <v>1</v>
      </c>
      <c r="U9674" s="4" t="str">
        <f>IFERROR(__xludf.DUMMYFUNCTION("""COMPUTED_VALUE"""),"Anota Ai Solucoes Digitais S/a")</f>
        <v>Anota Ai Solucoes Digitais S/a</v>
      </c>
      <c r="V9674" s="33">
        <f>IFERROR(__xludf.DUMMYFUNCTION("""COMPUTED_VALUE"""),1.0)</f>
        <v>1</v>
      </c>
      <c r="W9674" s="4" t="str">
        <f>IFERROR(__xludf.DUMMYFUNCTION("""COMPUTED_VALUE"""),"null")</f>
        <v>null</v>
      </c>
      <c r="X9674" s="33">
        <f>IFERROR(__xludf.DUMMYFUNCTION("""COMPUTED_VALUE"""),1.0)</f>
        <v>1</v>
      </c>
    </row>
    <row r="9675">
      <c r="K9675" s="4" t="str">
        <f>IFERROR(__xludf.DUMMYFUNCTION("""COMPUTED_VALUE"""),"BOTECO ESPETINHOS - FATIMA")</f>
        <v>BOTECO ESPETINHOS - FATIMA</v>
      </c>
      <c r="L9675" s="32">
        <f>IFERROR(__xludf.DUMMYFUNCTION("""COMPUTED_VALUE"""),1.0)</f>
        <v>1</v>
      </c>
      <c r="M9675" s="4" t="str">
        <f>IFERROR(__xludf.DUMMYFUNCTION("""COMPUTED_VALUE"""),"Saipos Serviços De Software")</f>
        <v>Saipos Serviços De Software</v>
      </c>
      <c r="N9675" s="33">
        <f>IFERROR(__xludf.DUMMYFUNCTION("""COMPUTED_VALUE"""),1.0)</f>
        <v>1</v>
      </c>
      <c r="O9675" s="4" t="str">
        <f>IFERROR(__xludf.DUMMYFUNCTION("""COMPUTED_VALUE"""),"Saipos Serviços De Software")</f>
        <v>Saipos Serviços De Software</v>
      </c>
      <c r="P9675" s="33">
        <f>IFERROR(__xludf.DUMMYFUNCTION("""COMPUTED_VALUE"""),1.0)</f>
        <v>1</v>
      </c>
      <c r="Q9675" s="4" t="str">
        <f>IFERROR(__xludf.DUMMYFUNCTION("""COMPUTED_VALUE"""),"Saipos Serviços De Software")</f>
        <v>Saipos Serviços De Software</v>
      </c>
      <c r="R9675" s="33">
        <f>IFERROR(__xludf.DUMMYFUNCTION("""COMPUTED_VALUE"""),1.0)</f>
        <v>1</v>
      </c>
      <c r="S9675" s="4" t="str">
        <f>IFERROR(__xludf.DUMMYFUNCTION("""COMPUTED_VALUE"""),"Saipos Serviços De Software")</f>
        <v>Saipos Serviços De Software</v>
      </c>
      <c r="T9675" s="33">
        <f>IFERROR(__xludf.DUMMYFUNCTION("""COMPUTED_VALUE"""),1.0)</f>
        <v>1</v>
      </c>
      <c r="U9675" s="4" t="str">
        <f>IFERROR(__xludf.DUMMYFUNCTION("""COMPUTED_VALUE"""),"Saipos Serviços De Software")</f>
        <v>Saipos Serviços De Software</v>
      </c>
      <c r="V9675" s="33">
        <f>IFERROR(__xludf.DUMMYFUNCTION("""COMPUTED_VALUE"""),1.0)</f>
        <v>1</v>
      </c>
      <c r="W9675" s="4" t="str">
        <f>IFERROR(__xludf.DUMMYFUNCTION("""COMPUTED_VALUE"""),"Saipos Serviços De Software")</f>
        <v>Saipos Serviços De Software</v>
      </c>
      <c r="X9675" s="33">
        <f>IFERROR(__xludf.DUMMYFUNCTION("""COMPUTED_VALUE"""),1.0)</f>
        <v>1</v>
      </c>
    </row>
    <row r="9676">
      <c r="K9676" s="4" t="str">
        <f>IFERROR(__xludf.DUMMYFUNCTION("""COMPUTED_VALUE"""),"DOCIN - SABORES QUE ENCANTAM")</f>
        <v>DOCIN - SABORES QUE ENCANTAM</v>
      </c>
      <c r="L9676" s="32">
        <f>IFERROR(__xludf.DUMMYFUNCTION("""COMPUTED_VALUE"""),1.0)</f>
        <v>1</v>
      </c>
      <c r="M9676" s="4" t="str">
        <f>IFERROR(__xludf.DUMMYFUNCTION("""COMPUTED_VALUE"""),"Instadelivery")</f>
        <v>Instadelivery</v>
      </c>
      <c r="N9676" s="33">
        <f>IFERROR(__xludf.DUMMYFUNCTION("""COMPUTED_VALUE"""),1.0)</f>
        <v>1</v>
      </c>
      <c r="O9676" s="4" t="str">
        <f>IFERROR(__xludf.DUMMYFUNCTION("""COMPUTED_VALUE"""),"Instadelivery")</f>
        <v>Instadelivery</v>
      </c>
      <c r="P9676" s="33">
        <f>IFERROR(__xludf.DUMMYFUNCTION("""COMPUTED_VALUE"""),1.0)</f>
        <v>1</v>
      </c>
      <c r="Q9676" s="4" t="str">
        <f>IFERROR(__xludf.DUMMYFUNCTION("""COMPUTED_VALUE"""),"Instadelivery")</f>
        <v>Instadelivery</v>
      </c>
      <c r="R9676" s="33">
        <f>IFERROR(__xludf.DUMMYFUNCTION("""COMPUTED_VALUE"""),1.0)</f>
        <v>1</v>
      </c>
      <c r="S9676" s="4" t="str">
        <f>IFERROR(__xludf.DUMMYFUNCTION("""COMPUTED_VALUE"""),"Instadelivery")</f>
        <v>Instadelivery</v>
      </c>
      <c r="T9676" s="33">
        <f>IFERROR(__xludf.DUMMYFUNCTION("""COMPUTED_VALUE"""),1.0)</f>
        <v>1</v>
      </c>
      <c r="U9676" s="4" t="str">
        <f>IFERROR(__xludf.DUMMYFUNCTION("""COMPUTED_VALUE"""),"Instadelivery")</f>
        <v>Instadelivery</v>
      </c>
      <c r="V9676" s="33">
        <f>IFERROR(__xludf.DUMMYFUNCTION("""COMPUTED_VALUE"""),1.0)</f>
        <v>1</v>
      </c>
      <c r="W9676" s="4" t="str">
        <f>IFERROR(__xludf.DUMMYFUNCTION("""COMPUTED_VALUE"""),"Instadelivery")</f>
        <v>Instadelivery</v>
      </c>
      <c r="X9676" s="33">
        <f>IFERROR(__xludf.DUMMYFUNCTION("""COMPUTED_VALUE"""),1.0)</f>
        <v>1</v>
      </c>
    </row>
    <row r="9677">
      <c r="K9677" s="4" t="str">
        <f>IFERROR(__xludf.DUMMYFUNCTION("""COMPUTED_VALUE"""),"NOVA FARMA AGEU")</f>
        <v>NOVA FARMA AGEU</v>
      </c>
      <c r="L9677" s="32">
        <f>IFERROR(__xludf.DUMMYFUNCTION("""COMPUTED_VALUE"""),1.0)</f>
        <v>1</v>
      </c>
      <c r="M9677" s="4" t="str">
        <f>IFERROR(__xludf.DUMMYFUNCTION("""COMPUTED_VALUE"""),"null")</f>
        <v>null</v>
      </c>
      <c r="N9677" s="33">
        <f>IFERROR(__xludf.DUMMYFUNCTION("""COMPUTED_VALUE"""),1.0)</f>
        <v>1</v>
      </c>
      <c r="O9677" s="4" t="str">
        <f>IFERROR(__xludf.DUMMYFUNCTION("""COMPUTED_VALUE"""),"null")</f>
        <v>null</v>
      </c>
      <c r="P9677" s="33">
        <f>IFERROR(__xludf.DUMMYFUNCTION("""COMPUTED_VALUE"""),1.0)</f>
        <v>1</v>
      </c>
      <c r="Q9677" s="4" t="str">
        <f>IFERROR(__xludf.DUMMYFUNCTION("""COMPUTED_VALUE"""),"null")</f>
        <v>null</v>
      </c>
      <c r="R9677" s="33">
        <f>IFERROR(__xludf.DUMMYFUNCTION("""COMPUTED_VALUE"""),1.0)</f>
        <v>1</v>
      </c>
      <c r="S9677" s="4" t="str">
        <f>IFERROR(__xludf.DUMMYFUNCTION("""COMPUTED_VALUE"""),"null")</f>
        <v>null</v>
      </c>
      <c r="T9677" s="33">
        <f>IFERROR(__xludf.DUMMYFUNCTION("""COMPUTED_VALUE"""),1.0)</f>
        <v>1</v>
      </c>
      <c r="U9677" s="4" t="str">
        <f>IFERROR(__xludf.DUMMYFUNCTION("""COMPUTED_VALUE"""),"null")</f>
        <v>null</v>
      </c>
      <c r="V9677" s="33">
        <f>IFERROR(__xludf.DUMMYFUNCTION("""COMPUTED_VALUE"""),1.0)</f>
        <v>1</v>
      </c>
      <c r="W9677" s="4" t="str">
        <f>IFERROR(__xludf.DUMMYFUNCTION("""COMPUTED_VALUE"""),"N/A (Not found)")</f>
        <v>N/A (Not found)</v>
      </c>
      <c r="X9677" s="33">
        <f>IFERROR(__xludf.DUMMYFUNCTION("""COMPUTED_VALUE"""),1.0)</f>
        <v>1</v>
      </c>
    </row>
    <row r="9678">
      <c r="K9678" s="4" t="str">
        <f>IFERROR(__xludf.DUMMYFUNCTION("""COMPUTED_VALUE"""),"MARYBOOMBURGER")</f>
        <v>MARYBOOMBURGER</v>
      </c>
      <c r="L9678" s="32">
        <f>IFERROR(__xludf.DUMMYFUNCTION("""COMPUTED_VALUE"""),1.0)</f>
        <v>1</v>
      </c>
      <c r="M9678" s="4" t="str">
        <f>IFERROR(__xludf.DUMMYFUNCTION("""COMPUTED_VALUE"""),"null")</f>
        <v>null</v>
      </c>
      <c r="N9678" s="33">
        <f>IFERROR(__xludf.DUMMYFUNCTION("""COMPUTED_VALUE"""),1.0)</f>
        <v>1</v>
      </c>
      <c r="O9678" s="4" t="str">
        <f>IFERROR(__xludf.DUMMYFUNCTION("""COMPUTED_VALUE"""),"null")</f>
        <v>null</v>
      </c>
      <c r="P9678" s="33">
        <f>IFERROR(__xludf.DUMMYFUNCTION("""COMPUTED_VALUE"""),1.0)</f>
        <v>1</v>
      </c>
      <c r="Q9678" s="4" t="str">
        <f>IFERROR(__xludf.DUMMYFUNCTION("""COMPUTED_VALUE"""),"null")</f>
        <v>null</v>
      </c>
      <c r="R9678" s="33">
        <f>IFERROR(__xludf.DUMMYFUNCTION("""COMPUTED_VALUE"""),1.0)</f>
        <v>1</v>
      </c>
      <c r="S9678" s="4" t="str">
        <f>IFERROR(__xludf.DUMMYFUNCTION("""COMPUTED_VALUE"""),"Wls Solucoes Empresariais Ltda")</f>
        <v>Wls Solucoes Empresariais Ltda</v>
      </c>
      <c r="T9678" s="33">
        <f>IFERROR(__xludf.DUMMYFUNCTION("""COMPUTED_VALUE"""),1.0)</f>
        <v>1</v>
      </c>
      <c r="U9678" s="4" t="str">
        <f>IFERROR(__xludf.DUMMYFUNCTION("""COMPUTED_VALUE"""),"null")</f>
        <v>null</v>
      </c>
      <c r="V9678" s="33">
        <f>IFERROR(__xludf.DUMMYFUNCTION("""COMPUTED_VALUE"""),1.0)</f>
        <v>1</v>
      </c>
      <c r="W9678" s="4" t="str">
        <f>IFERROR(__xludf.DUMMYFUNCTION("""COMPUTED_VALUE"""),"null")</f>
        <v>null</v>
      </c>
      <c r="X9678" s="33">
        <f>IFERROR(__xludf.DUMMYFUNCTION("""COMPUTED_VALUE"""),1.0)</f>
        <v>1</v>
      </c>
    </row>
    <row r="9679">
      <c r="K9679" s="4" t="str">
        <f>IFERROR(__xludf.DUMMYFUNCTION("""COMPUTED_VALUE"""),"BELLOLI HOTDOG CACHORRO-QUENTE E ACAI")</f>
        <v>BELLOLI HOTDOG CACHORRO-QUENTE E ACAI</v>
      </c>
      <c r="L9679" s="32">
        <f>IFERROR(__xludf.DUMMYFUNCTION("""COMPUTED_VALUE"""),1.0)</f>
        <v>1</v>
      </c>
      <c r="M9679" s="4" t="str">
        <f>IFERROR(__xludf.DUMMYFUNCTION("""COMPUTED_VALUE"""),"Hubzy")</f>
        <v>Hubzy</v>
      </c>
      <c r="N9679" s="33">
        <f>IFERROR(__xludf.DUMMYFUNCTION("""COMPUTED_VALUE"""),1.0)</f>
        <v>1</v>
      </c>
      <c r="O9679" s="4" t="str">
        <f>IFERROR(__xludf.DUMMYFUNCTION("""COMPUTED_VALUE"""),"Hubzy")</f>
        <v>Hubzy</v>
      </c>
      <c r="P9679" s="33">
        <f>IFERROR(__xludf.DUMMYFUNCTION("""COMPUTED_VALUE"""),1.0)</f>
        <v>1</v>
      </c>
      <c r="Q9679" s="4" t="str">
        <f>IFERROR(__xludf.DUMMYFUNCTION("""COMPUTED_VALUE"""),"Hubzy")</f>
        <v>Hubzy</v>
      </c>
      <c r="R9679" s="33">
        <f>IFERROR(__xludf.DUMMYFUNCTION("""COMPUTED_VALUE"""),1.0)</f>
        <v>1</v>
      </c>
      <c r="S9679" s="4" t="str">
        <f>IFERROR(__xludf.DUMMYFUNCTION("""COMPUTED_VALUE"""),"null")</f>
        <v>null</v>
      </c>
      <c r="T9679" s="33">
        <f>IFERROR(__xludf.DUMMYFUNCTION("""COMPUTED_VALUE"""),1.0)</f>
        <v>1</v>
      </c>
      <c r="U9679" s="4" t="str">
        <f>IFERROR(__xludf.DUMMYFUNCTION("""COMPUTED_VALUE"""),"null")</f>
        <v>null</v>
      </c>
      <c r="V9679" s="33">
        <f>IFERROR(__xludf.DUMMYFUNCTION("""COMPUTED_VALUE"""),1.0)</f>
        <v>1</v>
      </c>
      <c r="W9679" s="4" t="str">
        <f>IFERROR(__xludf.DUMMYFUNCTION("""COMPUTED_VALUE"""),"Hubzy")</f>
        <v>Hubzy</v>
      </c>
      <c r="X9679" s="33">
        <f>IFERROR(__xludf.DUMMYFUNCTION("""COMPUTED_VALUE"""),1.0)</f>
        <v>1</v>
      </c>
    </row>
    <row r="9680">
      <c r="K9680" s="4" t="str">
        <f>IFERROR(__xludf.DUMMYFUNCTION("""COMPUTED_VALUE"""),"COMEDORIA DO CORONEL")</f>
        <v>COMEDORIA DO CORONEL</v>
      </c>
      <c r="L9680" s="32">
        <f>IFERROR(__xludf.DUMMYFUNCTION("""COMPUTED_VALUE"""),1.0)</f>
        <v>1</v>
      </c>
      <c r="M9680" s="4" t="str">
        <f>IFERROR(__xludf.DUMMYFUNCTION("""COMPUTED_VALUE"""),"null")</f>
        <v>null</v>
      </c>
      <c r="N9680" s="33">
        <f>IFERROR(__xludf.DUMMYFUNCTION("""COMPUTED_VALUE"""),1.0)</f>
        <v>1</v>
      </c>
      <c r="O9680" s="4" t="str">
        <f>IFERROR(__xludf.DUMMYFUNCTION("""COMPUTED_VALUE"""),"null")</f>
        <v>null</v>
      </c>
      <c r="P9680" s="33">
        <f>IFERROR(__xludf.DUMMYFUNCTION("""COMPUTED_VALUE"""),1.0)</f>
        <v>1</v>
      </c>
      <c r="Q9680" s="4" t="str">
        <f>IFERROR(__xludf.DUMMYFUNCTION("""COMPUTED_VALUE"""),"null")</f>
        <v>null</v>
      </c>
      <c r="R9680" s="33">
        <f>IFERROR(__xludf.DUMMYFUNCTION("""COMPUTED_VALUE"""),1.0)</f>
        <v>1</v>
      </c>
      <c r="S9680" s="4" t="str">
        <f>IFERROR(__xludf.DUMMYFUNCTION("""COMPUTED_VALUE"""),"Saipos Serviços De Software")</f>
        <v>Saipos Serviços De Software</v>
      </c>
      <c r="T9680" s="33">
        <f>IFERROR(__xludf.DUMMYFUNCTION("""COMPUTED_VALUE"""),1.0)</f>
        <v>1</v>
      </c>
      <c r="U9680" s="4" t="str">
        <f>IFERROR(__xludf.DUMMYFUNCTION("""COMPUTED_VALUE"""),"Saipos Serviços De Software")</f>
        <v>Saipos Serviços De Software</v>
      </c>
      <c r="V9680" s="33">
        <f>IFERROR(__xludf.DUMMYFUNCTION("""COMPUTED_VALUE"""),1.0)</f>
        <v>1</v>
      </c>
      <c r="W9680" s="4" t="str">
        <f>IFERROR(__xludf.DUMMYFUNCTION("""COMPUTED_VALUE"""),"Saipos Serviços De Software")</f>
        <v>Saipos Serviços De Software</v>
      </c>
      <c r="X9680" s="33">
        <f>IFERROR(__xludf.DUMMYFUNCTION("""COMPUTED_VALUE"""),1.0)</f>
        <v>1</v>
      </c>
    </row>
    <row r="9681">
      <c r="K9681" s="4" t="str">
        <f>IFERROR(__xludf.DUMMYFUNCTION("""COMPUTED_VALUE"""),"KAPELE")</f>
        <v>KAPELE</v>
      </c>
      <c r="L9681" s="32">
        <f>IFERROR(__xludf.DUMMYFUNCTION("""COMPUTED_VALUE"""),1.0)</f>
        <v>1</v>
      </c>
      <c r="M9681" s="4" t="str">
        <f>IFERROR(__xludf.DUMMYFUNCTION("""COMPUTED_VALUE"""),"null")</f>
        <v>null</v>
      </c>
      <c r="N9681" s="33">
        <f>IFERROR(__xludf.DUMMYFUNCTION("""COMPUTED_VALUE"""),1.0)</f>
        <v>1</v>
      </c>
      <c r="O9681" s="4" t="str">
        <f>IFERROR(__xludf.DUMMYFUNCTION("""COMPUTED_VALUE"""),"null")</f>
        <v>null</v>
      </c>
      <c r="P9681" s="33">
        <f>IFERROR(__xludf.DUMMYFUNCTION("""COMPUTED_VALUE"""),1.0)</f>
        <v>1</v>
      </c>
      <c r="Q9681" s="4" t="str">
        <f>IFERROR(__xludf.DUMMYFUNCTION("""COMPUTED_VALUE"""),"null")</f>
        <v>null</v>
      </c>
      <c r="R9681" s="33">
        <f>IFERROR(__xludf.DUMMYFUNCTION("""COMPUTED_VALUE"""),1.0)</f>
        <v>1</v>
      </c>
      <c r="S9681" s="4" t="str">
        <f>IFERROR(__xludf.DUMMYFUNCTION("""COMPUTED_VALUE"""),"null")</f>
        <v>null</v>
      </c>
      <c r="T9681" s="33">
        <f>IFERROR(__xludf.DUMMYFUNCTION("""COMPUTED_VALUE"""),1.0)</f>
        <v>1</v>
      </c>
      <c r="U9681" s="4" t="str">
        <f>IFERROR(__xludf.DUMMYFUNCTION("""COMPUTED_VALUE"""),"N/A (Not found)")</f>
        <v>N/A (Not found)</v>
      </c>
      <c r="V9681" s="33">
        <f>IFERROR(__xludf.DUMMYFUNCTION("""COMPUTED_VALUE"""),1.0)</f>
        <v>1</v>
      </c>
      <c r="W9681" s="4" t="str">
        <f>IFERROR(__xludf.DUMMYFUNCTION("""COMPUTED_VALUE"""),"N/A (Not found)")</f>
        <v>N/A (Not found)</v>
      </c>
      <c r="X9681" s="33">
        <f>IFERROR(__xludf.DUMMYFUNCTION("""COMPUTED_VALUE"""),1.0)</f>
        <v>1</v>
      </c>
    </row>
    <row r="9682">
      <c r="K9682" s="4" t="str">
        <f>IFERROR(__xludf.DUMMYFUNCTION("""COMPUTED_VALUE"""),"CASA DE SUCOS DA SERRA")</f>
        <v>CASA DE SUCOS DA SERRA</v>
      </c>
      <c r="L9682" s="32">
        <f>IFERROR(__xludf.DUMMYFUNCTION("""COMPUTED_VALUE"""),1.0)</f>
        <v>1</v>
      </c>
      <c r="M9682" s="4" t="str">
        <f>IFERROR(__xludf.DUMMYFUNCTION("""COMPUTED_VALUE"""),"Saipos Serviços De Software")</f>
        <v>Saipos Serviços De Software</v>
      </c>
      <c r="N9682" s="33">
        <f>IFERROR(__xludf.DUMMYFUNCTION("""COMPUTED_VALUE"""),1.0)</f>
        <v>1</v>
      </c>
      <c r="O9682" s="4" t="str">
        <f>IFERROR(__xludf.DUMMYFUNCTION("""COMPUTED_VALUE"""),"Saipos Serviços De Software")</f>
        <v>Saipos Serviços De Software</v>
      </c>
      <c r="P9682" s="33">
        <f>IFERROR(__xludf.DUMMYFUNCTION("""COMPUTED_VALUE"""),1.0)</f>
        <v>1</v>
      </c>
      <c r="Q9682" s="4" t="str">
        <f>IFERROR(__xludf.DUMMYFUNCTION("""COMPUTED_VALUE"""),"Saipos Serviços De Software")</f>
        <v>Saipos Serviços De Software</v>
      </c>
      <c r="R9682" s="33">
        <f>IFERROR(__xludf.DUMMYFUNCTION("""COMPUTED_VALUE"""),1.0)</f>
        <v>1</v>
      </c>
      <c r="S9682" s="4" t="str">
        <f>IFERROR(__xludf.DUMMYFUNCTION("""COMPUTED_VALUE"""),"Saipos Serviços De Software")</f>
        <v>Saipos Serviços De Software</v>
      </c>
      <c r="T9682" s="33">
        <f>IFERROR(__xludf.DUMMYFUNCTION("""COMPUTED_VALUE"""),1.0)</f>
        <v>1</v>
      </c>
      <c r="U9682" s="4" t="str">
        <f>IFERROR(__xludf.DUMMYFUNCTION("""COMPUTED_VALUE"""),"Saipos Serviços De Software")</f>
        <v>Saipos Serviços De Software</v>
      </c>
      <c r="V9682" s="33">
        <f>IFERROR(__xludf.DUMMYFUNCTION("""COMPUTED_VALUE"""),1.0)</f>
        <v>1</v>
      </c>
      <c r="W9682" s="4" t="str">
        <f>IFERROR(__xludf.DUMMYFUNCTION("""COMPUTED_VALUE"""),"Saipos Serviços De Software")</f>
        <v>Saipos Serviços De Software</v>
      </c>
      <c r="X9682" s="33">
        <f>IFERROR(__xludf.DUMMYFUNCTION("""COMPUTED_VALUE"""),1.0)</f>
        <v>1</v>
      </c>
    </row>
    <row r="9683">
      <c r="K9683" s="4" t="str">
        <f>IFERROR(__xludf.DUMMYFUNCTION("""COMPUTED_VALUE"""),"OIKO LOUNGE CAFE")</f>
        <v>OIKO LOUNGE CAFE</v>
      </c>
      <c r="L9683" s="32">
        <f>IFERROR(__xludf.DUMMYFUNCTION("""COMPUTED_VALUE"""),1.0)</f>
        <v>1</v>
      </c>
      <c r="M9683" s="4" t="str">
        <f>IFERROR(__xludf.DUMMYFUNCTION("""COMPUTED_VALUE"""),"Consumer Soluções Em Tecnologia Ltda")</f>
        <v>Consumer Soluções Em Tecnologia Ltda</v>
      </c>
      <c r="N9683" s="33">
        <f>IFERROR(__xludf.DUMMYFUNCTION("""COMPUTED_VALUE"""),1.0)</f>
        <v>1</v>
      </c>
      <c r="O9683" s="4" t="str">
        <f>IFERROR(__xludf.DUMMYFUNCTION("""COMPUTED_VALUE"""),"Consumer Soluções Em Tecnologia Ltda")</f>
        <v>Consumer Soluções Em Tecnologia Ltda</v>
      </c>
      <c r="P9683" s="33">
        <f>IFERROR(__xludf.DUMMYFUNCTION("""COMPUTED_VALUE"""),1.0)</f>
        <v>1</v>
      </c>
      <c r="Q9683" s="4" t="str">
        <f>IFERROR(__xludf.DUMMYFUNCTION("""COMPUTED_VALUE"""),"Consumer Soluções Em Tecnologia Ltda")</f>
        <v>Consumer Soluções Em Tecnologia Ltda</v>
      </c>
      <c r="R9683" s="33">
        <f>IFERROR(__xludf.DUMMYFUNCTION("""COMPUTED_VALUE"""),1.0)</f>
        <v>1</v>
      </c>
      <c r="S9683" s="4" t="str">
        <f>IFERROR(__xludf.DUMMYFUNCTION("""COMPUTED_VALUE"""),"Consumer Soluções Em Tecnologia Ltda")</f>
        <v>Consumer Soluções Em Tecnologia Ltda</v>
      </c>
      <c r="T9683" s="33">
        <f>IFERROR(__xludf.DUMMYFUNCTION("""COMPUTED_VALUE"""),1.0)</f>
        <v>1</v>
      </c>
      <c r="U9683" s="4" t="str">
        <f>IFERROR(__xludf.DUMMYFUNCTION("""COMPUTED_VALUE"""),"Consumer Soluções Em Tecnologia Ltda")</f>
        <v>Consumer Soluções Em Tecnologia Ltda</v>
      </c>
      <c r="V9683" s="33">
        <f>IFERROR(__xludf.DUMMYFUNCTION("""COMPUTED_VALUE"""),1.0)</f>
        <v>1</v>
      </c>
      <c r="W9683" s="4" t="str">
        <f>IFERROR(__xludf.DUMMYFUNCTION("""COMPUTED_VALUE"""),"Consumer Soluções Em Tecnologia Ltda")</f>
        <v>Consumer Soluções Em Tecnologia Ltda</v>
      </c>
      <c r="X9683" s="33">
        <f>IFERROR(__xludf.DUMMYFUNCTION("""COMPUTED_VALUE"""),1.0)</f>
        <v>1</v>
      </c>
    </row>
    <row r="9684">
      <c r="K9684" s="4" t="str">
        <f>IFERROR(__xludf.DUMMYFUNCTION("""COMPUTED_VALUE"""),"DROGARIA ULTRANACIONAL TANGARA DA SERRA")</f>
        <v>DROGARIA ULTRANACIONAL TANGARA DA SERRA</v>
      </c>
      <c r="L9684" s="32">
        <f>IFERROR(__xludf.DUMMYFUNCTION("""COMPUTED_VALUE"""),1.0)</f>
        <v>1</v>
      </c>
      <c r="M9684" s="4" t="str">
        <f>IFERROR(__xludf.DUMMYFUNCTION("""COMPUTED_VALUE"""),"N/A (Not found)")</f>
        <v>N/A (Not found)</v>
      </c>
      <c r="N9684" s="33">
        <f>IFERROR(__xludf.DUMMYFUNCTION("""COMPUTED_VALUE"""),1.0)</f>
        <v>1</v>
      </c>
      <c r="O9684" s="4" t="str">
        <f>IFERROR(__xludf.DUMMYFUNCTION("""COMPUTED_VALUE"""),"N/A (Not found)")</f>
        <v>N/A (Not found)</v>
      </c>
      <c r="P9684" s="33">
        <f>IFERROR(__xludf.DUMMYFUNCTION("""COMPUTED_VALUE"""),1.0)</f>
        <v>1</v>
      </c>
      <c r="Q9684" s="4" t="str">
        <f>IFERROR(__xludf.DUMMYFUNCTION("""COMPUTED_VALUE"""),"N/A (Not found)")</f>
        <v>N/A (Not found)</v>
      </c>
      <c r="R9684" s="33">
        <f>IFERROR(__xludf.DUMMYFUNCTION("""COMPUTED_VALUE"""),1.0)</f>
        <v>1</v>
      </c>
      <c r="S9684" s="4" t="str">
        <f>IFERROR(__xludf.DUMMYFUNCTION("""COMPUTED_VALUE"""),"N/A (Not found)")</f>
        <v>N/A (Not found)</v>
      </c>
      <c r="T9684" s="33">
        <f>IFERROR(__xludf.DUMMYFUNCTION("""COMPUTED_VALUE"""),1.0)</f>
        <v>1</v>
      </c>
      <c r="U9684" s="4" t="str">
        <f>IFERROR(__xludf.DUMMYFUNCTION("""COMPUTED_VALUE"""),"N/A (Not found)")</f>
        <v>N/A (Not found)</v>
      </c>
      <c r="V9684" s="33">
        <f>IFERROR(__xludf.DUMMYFUNCTION("""COMPUTED_VALUE"""),1.0)</f>
        <v>1</v>
      </c>
      <c r="W9684" s="4" t="str">
        <f>IFERROR(__xludf.DUMMYFUNCTION("""COMPUTED_VALUE"""),"null")</f>
        <v>null</v>
      </c>
      <c r="X9684" s="33">
        <f>IFERROR(__xludf.DUMMYFUNCTION("""COMPUTED_VALUE"""),1.0)</f>
        <v>1</v>
      </c>
    </row>
    <row r="9685">
      <c r="K9685" s="4" t="str">
        <f>IFERROR(__xludf.DUMMYFUNCTION("""COMPUTED_VALUE"""),"MAMMA MIA - REFEICOES")</f>
        <v>MAMMA MIA - REFEICOES</v>
      </c>
      <c r="L9685" s="32">
        <f>IFERROR(__xludf.DUMMYFUNCTION("""COMPUTED_VALUE"""),1.0)</f>
        <v>1</v>
      </c>
      <c r="M9685" s="4" t="str">
        <f>IFERROR(__xludf.DUMMYFUNCTION("""COMPUTED_VALUE"""),"null")</f>
        <v>null</v>
      </c>
      <c r="N9685" s="33">
        <f>IFERROR(__xludf.DUMMYFUNCTION("""COMPUTED_VALUE"""),1.0)</f>
        <v>1</v>
      </c>
      <c r="O9685" s="4" t="str">
        <f>IFERROR(__xludf.DUMMYFUNCTION("""COMPUTED_VALUE"""),"null")</f>
        <v>null</v>
      </c>
      <c r="P9685" s="33">
        <f>IFERROR(__xludf.DUMMYFUNCTION("""COMPUTED_VALUE"""),1.0)</f>
        <v>1</v>
      </c>
      <c r="Q9685" s="4" t="str">
        <f>IFERROR(__xludf.DUMMYFUNCTION("""COMPUTED_VALUE"""),"null")</f>
        <v>null</v>
      </c>
      <c r="R9685" s="33">
        <f>IFERROR(__xludf.DUMMYFUNCTION("""COMPUTED_VALUE"""),1.0)</f>
        <v>1</v>
      </c>
      <c r="S9685" s="4" t="str">
        <f>IFERROR(__xludf.DUMMYFUNCTION("""COMPUTED_VALUE"""),"null")</f>
        <v>null</v>
      </c>
      <c r="T9685" s="33">
        <f>IFERROR(__xludf.DUMMYFUNCTION("""COMPUTED_VALUE"""),1.0)</f>
        <v>1</v>
      </c>
      <c r="U9685" s="4" t="str">
        <f>IFERROR(__xludf.DUMMYFUNCTION("""COMPUTED_VALUE"""),"Consumer Soluções Em Tecnologia Ltda")</f>
        <v>Consumer Soluções Em Tecnologia Ltda</v>
      </c>
      <c r="V9685" s="33">
        <f>IFERROR(__xludf.DUMMYFUNCTION("""COMPUTED_VALUE"""),1.0)</f>
        <v>1</v>
      </c>
      <c r="W9685" s="4" t="str">
        <f>IFERROR(__xludf.DUMMYFUNCTION("""COMPUTED_VALUE"""),"Consumer Soluções Em Tecnologia Ltda")</f>
        <v>Consumer Soluções Em Tecnologia Ltda</v>
      </c>
      <c r="X9685" s="33">
        <f>IFERROR(__xludf.DUMMYFUNCTION("""COMPUTED_VALUE"""),1.0)</f>
        <v>1</v>
      </c>
    </row>
    <row r="9686">
      <c r="K9686" s="4" t="str">
        <f>IFERROR(__xludf.DUMMYFUNCTION("""COMPUTED_VALUE"""),"BEST FOOD DELIVERY")</f>
        <v>BEST FOOD DELIVERY</v>
      </c>
      <c r="L9686" s="32">
        <f>IFERROR(__xludf.DUMMYFUNCTION("""COMPUTED_VALUE"""),1.0)</f>
        <v>1</v>
      </c>
      <c r="M9686" s="4" t="str">
        <f>IFERROR(__xludf.DUMMYFUNCTION("""COMPUTED_VALUE"""),"Anota Ai Solucoes Digitais S/a")</f>
        <v>Anota Ai Solucoes Digitais S/a</v>
      </c>
      <c r="N9686" s="33">
        <f>IFERROR(__xludf.DUMMYFUNCTION("""COMPUTED_VALUE"""),1.0)</f>
        <v>1</v>
      </c>
      <c r="O9686" s="4" t="str">
        <f>IFERROR(__xludf.DUMMYFUNCTION("""COMPUTED_VALUE"""),"Anota Ai Solucoes Digitais S/a")</f>
        <v>Anota Ai Solucoes Digitais S/a</v>
      </c>
      <c r="P9686" s="33">
        <f>IFERROR(__xludf.DUMMYFUNCTION("""COMPUTED_VALUE"""),1.0)</f>
        <v>1</v>
      </c>
      <c r="Q9686" s="4" t="str">
        <f>IFERROR(__xludf.DUMMYFUNCTION("""COMPUTED_VALUE"""),"Anota Ai Solucoes Digitais S/a")</f>
        <v>Anota Ai Solucoes Digitais S/a</v>
      </c>
      <c r="R9686" s="33">
        <f>IFERROR(__xludf.DUMMYFUNCTION("""COMPUTED_VALUE"""),1.0)</f>
        <v>1</v>
      </c>
      <c r="S9686" s="4" t="str">
        <f>IFERROR(__xludf.DUMMYFUNCTION("""COMPUTED_VALUE"""),"Anota Ai Solucoes Digitais S/a")</f>
        <v>Anota Ai Solucoes Digitais S/a</v>
      </c>
      <c r="T9686" s="33">
        <f>IFERROR(__xludf.DUMMYFUNCTION("""COMPUTED_VALUE"""),1.0)</f>
        <v>1</v>
      </c>
      <c r="U9686" s="4" t="str">
        <f>IFERROR(__xludf.DUMMYFUNCTION("""COMPUTED_VALUE"""),"Anota Ai Solucoes Digitais S/a")</f>
        <v>Anota Ai Solucoes Digitais S/a</v>
      </c>
      <c r="V9686" s="33">
        <f>IFERROR(__xludf.DUMMYFUNCTION("""COMPUTED_VALUE"""),1.0)</f>
        <v>1</v>
      </c>
      <c r="W9686" s="4" t="str">
        <f>IFERROR(__xludf.DUMMYFUNCTION("""COMPUTED_VALUE"""),"Anota Ai Solucoes Digitais S/a")</f>
        <v>Anota Ai Solucoes Digitais S/a</v>
      </c>
      <c r="X9686" s="33">
        <f>IFERROR(__xludf.DUMMYFUNCTION("""COMPUTED_VALUE"""),1.0)</f>
        <v>1</v>
      </c>
    </row>
    <row r="9687">
      <c r="K9687" s="4" t="str">
        <f>IFERROR(__xludf.DUMMYFUNCTION("""COMPUTED_VALUE"""),"B2 DELIVERY - BEER")</f>
        <v>B2 DELIVERY - BEER</v>
      </c>
      <c r="L9687" s="32">
        <f>IFERROR(__xludf.DUMMYFUNCTION("""COMPUTED_VALUE"""),1.0)</f>
        <v>1</v>
      </c>
      <c r="M9687" s="4" t="str">
        <f>IFERROR(__xludf.DUMMYFUNCTION("""COMPUTED_VALUE"""),"Anota Ai Solucoes Digitais S/a")</f>
        <v>Anota Ai Solucoes Digitais S/a</v>
      </c>
      <c r="N9687" s="33">
        <f>IFERROR(__xludf.DUMMYFUNCTION("""COMPUTED_VALUE"""),1.0)</f>
        <v>1</v>
      </c>
      <c r="O9687" s="4" t="str">
        <f>IFERROR(__xludf.DUMMYFUNCTION("""COMPUTED_VALUE"""),"Anota Ai Solucoes Digitais S/a")</f>
        <v>Anota Ai Solucoes Digitais S/a</v>
      </c>
      <c r="P9687" s="33">
        <f>IFERROR(__xludf.DUMMYFUNCTION("""COMPUTED_VALUE"""),1.0)</f>
        <v>1</v>
      </c>
      <c r="Q9687" s="4" t="str">
        <f>IFERROR(__xludf.DUMMYFUNCTION("""COMPUTED_VALUE"""),"Anota Ai Solucoes Digitais S/a")</f>
        <v>Anota Ai Solucoes Digitais S/a</v>
      </c>
      <c r="R9687" s="33">
        <f>IFERROR(__xludf.DUMMYFUNCTION("""COMPUTED_VALUE"""),1.0)</f>
        <v>1</v>
      </c>
      <c r="S9687" s="4" t="str">
        <f>IFERROR(__xludf.DUMMYFUNCTION("""COMPUTED_VALUE"""),"Anota Ai Solucoes Digitais S/a")</f>
        <v>Anota Ai Solucoes Digitais S/a</v>
      </c>
      <c r="T9687" s="33">
        <f>IFERROR(__xludf.DUMMYFUNCTION("""COMPUTED_VALUE"""),1.0)</f>
        <v>1</v>
      </c>
      <c r="U9687" s="4" t="str">
        <f>IFERROR(__xludf.DUMMYFUNCTION("""COMPUTED_VALUE"""),"Anota Ai Solucoes Digitais S/a")</f>
        <v>Anota Ai Solucoes Digitais S/a</v>
      </c>
      <c r="V9687" s="33">
        <f>IFERROR(__xludf.DUMMYFUNCTION("""COMPUTED_VALUE"""),1.0)</f>
        <v>1</v>
      </c>
      <c r="W9687" s="4" t="str">
        <f>IFERROR(__xludf.DUMMYFUNCTION("""COMPUTED_VALUE"""),"null")</f>
        <v>null</v>
      </c>
      <c r="X9687" s="33">
        <f>IFERROR(__xludf.DUMMYFUNCTION("""COMPUTED_VALUE"""),1.0)</f>
        <v>1</v>
      </c>
    </row>
    <row r="9688">
      <c r="K9688" s="4" t="str">
        <f>IFERROR(__xludf.DUMMYFUNCTION("""COMPUTED_VALUE"""),"CARBONITO RESTAURANTE")</f>
        <v>CARBONITO RESTAURANTE</v>
      </c>
      <c r="L9688" s="32">
        <f>IFERROR(__xludf.DUMMYFUNCTION("""COMPUTED_VALUE"""),1.0)</f>
        <v>1</v>
      </c>
      <c r="M9688" s="4" t="str">
        <f>IFERROR(__xludf.DUMMYFUNCTION("""COMPUTED_VALUE"""),"Saipos Serviços De Software")</f>
        <v>Saipos Serviços De Software</v>
      </c>
      <c r="N9688" s="33">
        <f>IFERROR(__xludf.DUMMYFUNCTION("""COMPUTED_VALUE"""),1.0)</f>
        <v>1</v>
      </c>
      <c r="O9688" s="4" t="str">
        <f>IFERROR(__xludf.DUMMYFUNCTION("""COMPUTED_VALUE"""),"null")</f>
        <v>null</v>
      </c>
      <c r="P9688" s="33">
        <f>IFERROR(__xludf.DUMMYFUNCTION("""COMPUTED_VALUE"""),1.0)</f>
        <v>1</v>
      </c>
      <c r="Q9688" s="4" t="str">
        <f>IFERROR(__xludf.DUMMYFUNCTION("""COMPUTED_VALUE"""),"Saipos Serviços De Software")</f>
        <v>Saipos Serviços De Software</v>
      </c>
      <c r="R9688" s="33">
        <f>IFERROR(__xludf.DUMMYFUNCTION("""COMPUTED_VALUE"""),1.0)</f>
        <v>1</v>
      </c>
      <c r="S9688" s="4" t="str">
        <f>IFERROR(__xludf.DUMMYFUNCTION("""COMPUTED_VALUE"""),"null")</f>
        <v>null</v>
      </c>
      <c r="T9688" s="33">
        <f>IFERROR(__xludf.DUMMYFUNCTION("""COMPUTED_VALUE"""),1.0)</f>
        <v>1</v>
      </c>
      <c r="U9688" s="4" t="str">
        <f>IFERROR(__xludf.DUMMYFUNCTION("""COMPUTED_VALUE"""),"Saipos Serviços De Software")</f>
        <v>Saipos Serviços De Software</v>
      </c>
      <c r="V9688" s="33">
        <f>IFERROR(__xludf.DUMMYFUNCTION("""COMPUTED_VALUE"""),1.0)</f>
        <v>1</v>
      </c>
      <c r="W9688" s="4" t="str">
        <f>IFERROR(__xludf.DUMMYFUNCTION("""COMPUTED_VALUE"""),"Saipos Serviços De Software")</f>
        <v>Saipos Serviços De Software</v>
      </c>
      <c r="X9688" s="33">
        <f>IFERROR(__xludf.DUMMYFUNCTION("""COMPUTED_VALUE"""),1.0)</f>
        <v>1</v>
      </c>
    </row>
    <row r="9689">
      <c r="K9689" s="4" t="str">
        <f>IFERROR(__xludf.DUMMYFUNCTION("""COMPUTED_VALUE"""),"MASTER PIZZA CABO FRIO")</f>
        <v>MASTER PIZZA CABO FRIO</v>
      </c>
      <c r="L9689" s="32">
        <f>IFERROR(__xludf.DUMMYFUNCTION("""COMPUTED_VALUE"""),1.0)</f>
        <v>1</v>
      </c>
      <c r="M9689" s="4" t="str">
        <f>IFERROR(__xludf.DUMMYFUNCTION("""COMPUTED_VALUE"""),"null")</f>
        <v>null</v>
      </c>
      <c r="N9689" s="33">
        <f>IFERROR(__xludf.DUMMYFUNCTION("""COMPUTED_VALUE"""),1.0)</f>
        <v>1</v>
      </c>
      <c r="O9689" s="4" t="str">
        <f>IFERROR(__xludf.DUMMYFUNCTION("""COMPUTED_VALUE"""),"Saipos Serviços De Software")</f>
        <v>Saipos Serviços De Software</v>
      </c>
      <c r="P9689" s="33">
        <f>IFERROR(__xludf.DUMMYFUNCTION("""COMPUTED_VALUE"""),1.0)</f>
        <v>1</v>
      </c>
      <c r="Q9689" s="4" t="str">
        <f>IFERROR(__xludf.DUMMYFUNCTION("""COMPUTED_VALUE"""),"Saipos Serviços De Software")</f>
        <v>Saipos Serviços De Software</v>
      </c>
      <c r="R9689" s="33">
        <f>IFERROR(__xludf.DUMMYFUNCTION("""COMPUTED_VALUE"""),1.0)</f>
        <v>1</v>
      </c>
      <c r="S9689" s="4" t="str">
        <f>IFERROR(__xludf.DUMMYFUNCTION("""COMPUTED_VALUE"""),"Saipos Serviços De Software")</f>
        <v>Saipos Serviços De Software</v>
      </c>
      <c r="T9689" s="33">
        <f>IFERROR(__xludf.DUMMYFUNCTION("""COMPUTED_VALUE"""),1.0)</f>
        <v>1</v>
      </c>
      <c r="U9689" s="4" t="str">
        <f>IFERROR(__xludf.DUMMYFUNCTION("""COMPUTED_VALUE"""),"Saipos Serviços De Software")</f>
        <v>Saipos Serviços De Software</v>
      </c>
      <c r="V9689" s="33">
        <f>IFERROR(__xludf.DUMMYFUNCTION("""COMPUTED_VALUE"""),1.0)</f>
        <v>1</v>
      </c>
      <c r="W9689" s="4" t="str">
        <f>IFERROR(__xludf.DUMMYFUNCTION("""COMPUTED_VALUE"""),"Saipos Serviços De Software")</f>
        <v>Saipos Serviços De Software</v>
      </c>
      <c r="X9689" s="33">
        <f>IFERROR(__xludf.DUMMYFUNCTION("""COMPUTED_VALUE"""),1.0)</f>
        <v>1</v>
      </c>
    </row>
    <row r="9690">
      <c r="K9690" s="4" t="str">
        <f>IFERROR(__xludf.DUMMYFUNCTION("""COMPUTED_VALUE"""),"FRANGARIA FRANGO FRITO - ENTREGA RAPIDA")</f>
        <v>FRANGARIA FRANGO FRITO - ENTREGA RAPIDA</v>
      </c>
      <c r="L9690" s="32">
        <f>IFERROR(__xludf.DUMMYFUNCTION("""COMPUTED_VALUE"""),1.0)</f>
        <v>1</v>
      </c>
      <c r="M9690" s="4" t="str">
        <f>IFERROR(__xludf.DUMMYFUNCTION("""COMPUTED_VALUE"""),"Saipos Serviços De Software")</f>
        <v>Saipos Serviços De Software</v>
      </c>
      <c r="N9690" s="33">
        <f>IFERROR(__xludf.DUMMYFUNCTION("""COMPUTED_VALUE"""),1.0)</f>
        <v>1</v>
      </c>
      <c r="O9690" s="4" t="str">
        <f>IFERROR(__xludf.DUMMYFUNCTION("""COMPUTED_VALUE"""),"Saipos Serviços De Software")</f>
        <v>Saipos Serviços De Software</v>
      </c>
      <c r="P9690" s="33">
        <f>IFERROR(__xludf.DUMMYFUNCTION("""COMPUTED_VALUE"""),1.0)</f>
        <v>1</v>
      </c>
      <c r="Q9690" s="4" t="str">
        <f>IFERROR(__xludf.DUMMYFUNCTION("""COMPUTED_VALUE"""),"Saipos Serviços De Software")</f>
        <v>Saipos Serviços De Software</v>
      </c>
      <c r="R9690" s="33">
        <f>IFERROR(__xludf.DUMMYFUNCTION("""COMPUTED_VALUE"""),1.0)</f>
        <v>1</v>
      </c>
      <c r="S9690" s="4" t="str">
        <f>IFERROR(__xludf.DUMMYFUNCTION("""COMPUTED_VALUE"""),"Saipos Serviços De Software")</f>
        <v>Saipos Serviços De Software</v>
      </c>
      <c r="T9690" s="33">
        <f>IFERROR(__xludf.DUMMYFUNCTION("""COMPUTED_VALUE"""),1.0)</f>
        <v>1</v>
      </c>
      <c r="U9690" s="4" t="str">
        <f>IFERROR(__xludf.DUMMYFUNCTION("""COMPUTED_VALUE"""),"Cardápio Web")</f>
        <v>Cardápio Web</v>
      </c>
      <c r="V9690" s="33">
        <f>IFERROR(__xludf.DUMMYFUNCTION("""COMPUTED_VALUE"""),1.0)</f>
        <v>1</v>
      </c>
      <c r="W9690" s="4" t="str">
        <f>IFERROR(__xludf.DUMMYFUNCTION("""COMPUTED_VALUE"""),"Cardápio Web")</f>
        <v>Cardápio Web</v>
      </c>
      <c r="X9690" s="33">
        <f>IFERROR(__xludf.DUMMYFUNCTION("""COMPUTED_VALUE"""),1.0)</f>
        <v>1</v>
      </c>
    </row>
    <row r="9691">
      <c r="K9691" s="4" t="str">
        <f>IFERROR(__xludf.DUMMYFUNCTION("""COMPUTED_VALUE"""),"BRASIL POUPA LAR")</f>
        <v>BRASIL POUPA LAR</v>
      </c>
      <c r="L9691" s="32">
        <f>IFERROR(__xludf.DUMMYFUNCTION("""COMPUTED_VALUE"""),1.0)</f>
        <v>1</v>
      </c>
      <c r="M9691" s="4" t="str">
        <f>IFERROR(__xludf.DUMMYFUNCTION("""COMPUTED_VALUE"""),"N/A (Not found)")</f>
        <v>N/A (Not found)</v>
      </c>
      <c r="N9691" s="33">
        <f>IFERROR(__xludf.DUMMYFUNCTION("""COMPUTED_VALUE"""),1.0)</f>
        <v>1</v>
      </c>
      <c r="O9691" s="4" t="str">
        <f>IFERROR(__xludf.DUMMYFUNCTION("""COMPUTED_VALUE"""),"N/A (Not found)")</f>
        <v>N/A (Not found)</v>
      </c>
      <c r="P9691" s="33">
        <f>IFERROR(__xludf.DUMMYFUNCTION("""COMPUTED_VALUE"""),1.0)</f>
        <v>1</v>
      </c>
      <c r="Q9691" s="4" t="str">
        <f>IFERROR(__xludf.DUMMYFUNCTION("""COMPUTED_VALUE"""),"null")</f>
        <v>null</v>
      </c>
      <c r="R9691" s="33">
        <f>IFERROR(__xludf.DUMMYFUNCTION("""COMPUTED_VALUE"""),1.0)</f>
        <v>1</v>
      </c>
      <c r="S9691" s="4" t="str">
        <f>IFERROR(__xludf.DUMMYFUNCTION("""COMPUTED_VALUE"""),"null")</f>
        <v>null</v>
      </c>
      <c r="T9691" s="33">
        <f>IFERROR(__xludf.DUMMYFUNCTION("""COMPUTED_VALUE"""),1.0)</f>
        <v>1</v>
      </c>
      <c r="U9691" s="4" t="str">
        <f>IFERROR(__xludf.DUMMYFUNCTION("""COMPUTED_VALUE"""),"null")</f>
        <v>null</v>
      </c>
      <c r="V9691" s="33">
        <f>IFERROR(__xludf.DUMMYFUNCTION("""COMPUTED_VALUE"""),1.0)</f>
        <v>1</v>
      </c>
      <c r="W9691" s="4" t="str">
        <f>IFERROR(__xludf.DUMMYFUNCTION("""COMPUTED_VALUE"""),"null")</f>
        <v>null</v>
      </c>
      <c r="X9691" s="33">
        <f>IFERROR(__xludf.DUMMYFUNCTION("""COMPUTED_VALUE"""),1.0)</f>
        <v>1</v>
      </c>
    </row>
    <row r="9692">
      <c r="K9692" s="4" t="str">
        <f>IFERROR(__xludf.DUMMYFUNCTION("""COMPUTED_VALUE"""),"FRANGO DO CHEFE RESTAURANTE E ROTISSERIA")</f>
        <v>FRANGO DO CHEFE RESTAURANTE E ROTISSERIA</v>
      </c>
      <c r="L9692" s="32">
        <f>IFERROR(__xludf.DUMMYFUNCTION("""COMPUTED_VALUE"""),1.0)</f>
        <v>1</v>
      </c>
      <c r="M9692" s="4" t="str">
        <f>IFERROR(__xludf.DUMMYFUNCTION("""COMPUTED_VALUE"""),"Winfood")</f>
        <v>Winfood</v>
      </c>
      <c r="N9692" s="33">
        <f>IFERROR(__xludf.DUMMYFUNCTION("""COMPUTED_VALUE"""),1.0)</f>
        <v>1</v>
      </c>
      <c r="O9692" s="4" t="str">
        <f>IFERROR(__xludf.DUMMYFUNCTION("""COMPUTED_VALUE"""),"Winfood")</f>
        <v>Winfood</v>
      </c>
      <c r="P9692" s="33">
        <f>IFERROR(__xludf.DUMMYFUNCTION("""COMPUTED_VALUE"""),1.0)</f>
        <v>1</v>
      </c>
      <c r="Q9692" s="4" t="str">
        <f>IFERROR(__xludf.DUMMYFUNCTION("""COMPUTED_VALUE"""),"Winfood")</f>
        <v>Winfood</v>
      </c>
      <c r="R9692" s="33">
        <f>IFERROR(__xludf.DUMMYFUNCTION("""COMPUTED_VALUE"""),1.0)</f>
        <v>1</v>
      </c>
      <c r="S9692" s="4" t="str">
        <f>IFERROR(__xludf.DUMMYFUNCTION("""COMPUTED_VALUE"""),"Winfood")</f>
        <v>Winfood</v>
      </c>
      <c r="T9692" s="33">
        <f>IFERROR(__xludf.DUMMYFUNCTION("""COMPUTED_VALUE"""),1.0)</f>
        <v>1</v>
      </c>
      <c r="U9692" s="4" t="str">
        <f>IFERROR(__xludf.DUMMYFUNCTION("""COMPUTED_VALUE"""),"Winfood")</f>
        <v>Winfood</v>
      </c>
      <c r="V9692" s="33">
        <f>IFERROR(__xludf.DUMMYFUNCTION("""COMPUTED_VALUE"""),1.0)</f>
        <v>1</v>
      </c>
      <c r="W9692" s="4" t="str">
        <f>IFERROR(__xludf.DUMMYFUNCTION("""COMPUTED_VALUE"""),"Winfood")</f>
        <v>Winfood</v>
      </c>
      <c r="X9692" s="33">
        <f>IFERROR(__xludf.DUMMYFUNCTION("""COMPUTED_VALUE"""),1.0)</f>
        <v>1</v>
      </c>
    </row>
    <row r="9693">
      <c r="K9693" s="4" t="str">
        <f>IFERROR(__xludf.DUMMYFUNCTION("""COMPUTED_VALUE"""),"COOKIES DA SERRA")</f>
        <v>COOKIES DA SERRA</v>
      </c>
      <c r="L9693" s="32">
        <f>IFERROR(__xludf.DUMMYFUNCTION("""COMPUTED_VALUE"""),1.0)</f>
        <v>1</v>
      </c>
      <c r="M9693" s="4" t="str">
        <f>IFERROR(__xludf.DUMMYFUNCTION("""COMPUTED_VALUE"""),"null")</f>
        <v>null</v>
      </c>
      <c r="N9693" s="33">
        <f>IFERROR(__xludf.DUMMYFUNCTION("""COMPUTED_VALUE"""),1.0)</f>
        <v>1</v>
      </c>
      <c r="O9693" s="4" t="str">
        <f>IFERROR(__xludf.DUMMYFUNCTION("""COMPUTED_VALUE"""),"null")</f>
        <v>null</v>
      </c>
      <c r="P9693" s="33">
        <f>IFERROR(__xludf.DUMMYFUNCTION("""COMPUTED_VALUE"""),1.0)</f>
        <v>1</v>
      </c>
      <c r="Q9693" s="4" t="str">
        <f>IFERROR(__xludf.DUMMYFUNCTION("""COMPUTED_VALUE"""),"Cardápio Web")</f>
        <v>Cardápio Web</v>
      </c>
      <c r="R9693" s="33">
        <f>IFERROR(__xludf.DUMMYFUNCTION("""COMPUTED_VALUE"""),1.0)</f>
        <v>1</v>
      </c>
      <c r="S9693" s="4" t="str">
        <f>IFERROR(__xludf.DUMMYFUNCTION("""COMPUTED_VALUE"""),"null")</f>
        <v>null</v>
      </c>
      <c r="T9693" s="33">
        <f>IFERROR(__xludf.DUMMYFUNCTION("""COMPUTED_VALUE"""),1.0)</f>
        <v>1</v>
      </c>
      <c r="U9693" s="4" t="str">
        <f>IFERROR(__xludf.DUMMYFUNCTION("""COMPUTED_VALUE"""),"Cardápio Web")</f>
        <v>Cardápio Web</v>
      </c>
      <c r="V9693" s="33">
        <f>IFERROR(__xludf.DUMMYFUNCTION("""COMPUTED_VALUE"""),1.0)</f>
        <v>1</v>
      </c>
      <c r="W9693" s="4" t="str">
        <f>IFERROR(__xludf.DUMMYFUNCTION("""COMPUTED_VALUE"""),"Cardápio Web")</f>
        <v>Cardápio Web</v>
      </c>
      <c r="X9693" s="33">
        <f>IFERROR(__xludf.DUMMYFUNCTION("""COMPUTED_VALUE"""),1.0)</f>
        <v>1</v>
      </c>
    </row>
    <row r="9694">
      <c r="K9694" s="4" t="str">
        <f>IFERROR(__xludf.DUMMYFUNCTION("""COMPUTED_VALUE"""),"FARMACIAS ASSOCIADAS RONDON")</f>
        <v>FARMACIAS ASSOCIADAS RONDON</v>
      </c>
      <c r="L9694" s="32">
        <f>IFERROR(__xludf.DUMMYFUNCTION("""COMPUTED_VALUE"""),1.0)</f>
        <v>1</v>
      </c>
      <c r="M9694" s="4" t="str">
        <f>IFERROR(__xludf.DUMMYFUNCTION("""COMPUTED_VALUE"""),"null")</f>
        <v>null</v>
      </c>
      <c r="N9694" s="33">
        <f>IFERROR(__xludf.DUMMYFUNCTION("""COMPUTED_VALUE"""),1.0)</f>
        <v>1</v>
      </c>
      <c r="O9694" s="4" t="str">
        <f>IFERROR(__xludf.DUMMYFUNCTION("""COMPUTED_VALUE"""),"null")</f>
        <v>null</v>
      </c>
      <c r="P9694" s="33">
        <f>IFERROR(__xludf.DUMMYFUNCTION("""COMPUTED_VALUE"""),1.0)</f>
        <v>1</v>
      </c>
      <c r="Q9694" s="4" t="str">
        <f>IFERROR(__xludf.DUMMYFUNCTION("""COMPUTED_VALUE"""),"N/A (Not found)")</f>
        <v>N/A (Not found)</v>
      </c>
      <c r="R9694" s="33">
        <f>IFERROR(__xludf.DUMMYFUNCTION("""COMPUTED_VALUE"""),1.0)</f>
        <v>1</v>
      </c>
      <c r="S9694" s="4" t="str">
        <f>IFERROR(__xludf.DUMMYFUNCTION("""COMPUTED_VALUE"""),"N/A (Not found)")</f>
        <v>N/A (Not found)</v>
      </c>
      <c r="T9694" s="33">
        <f>IFERROR(__xludf.DUMMYFUNCTION("""COMPUTED_VALUE"""),1.0)</f>
        <v>1</v>
      </c>
      <c r="U9694" s="4" t="str">
        <f>IFERROR(__xludf.DUMMYFUNCTION("""COMPUTED_VALUE"""),"null")</f>
        <v>null</v>
      </c>
      <c r="V9694" s="33">
        <f>IFERROR(__xludf.DUMMYFUNCTION("""COMPUTED_VALUE"""),1.0)</f>
        <v>1</v>
      </c>
      <c r="W9694" s="4" t="str">
        <f>IFERROR(__xludf.DUMMYFUNCTION("""COMPUTED_VALUE"""),"N/A (Not found)")</f>
        <v>N/A (Not found)</v>
      </c>
      <c r="X9694" s="33">
        <f>IFERROR(__xludf.DUMMYFUNCTION("""COMPUTED_VALUE"""),1.0)</f>
        <v>1</v>
      </c>
    </row>
    <row r="9695">
      <c r="K9695" s="4" t="str">
        <f>IFERROR(__xludf.DUMMYFUNCTION("""COMPUTED_VALUE"""),"ACAI MANIACOS")</f>
        <v>ACAI MANIACOS</v>
      </c>
      <c r="L9695" s="32">
        <f>IFERROR(__xludf.DUMMYFUNCTION("""COMPUTED_VALUE"""),1.0)</f>
        <v>1</v>
      </c>
      <c r="M9695" s="4" t="str">
        <f>IFERROR(__xludf.DUMMYFUNCTION("""COMPUTED_VALUE"""),"null")</f>
        <v>null</v>
      </c>
      <c r="N9695" s="33">
        <f>IFERROR(__xludf.DUMMYFUNCTION("""COMPUTED_VALUE"""),1.0)</f>
        <v>1</v>
      </c>
      <c r="O9695" s="4" t="str">
        <f>IFERROR(__xludf.DUMMYFUNCTION("""COMPUTED_VALUE"""),"Saipos Serviços De Software")</f>
        <v>Saipos Serviços De Software</v>
      </c>
      <c r="P9695" s="33">
        <f>IFERROR(__xludf.DUMMYFUNCTION("""COMPUTED_VALUE"""),1.0)</f>
        <v>1</v>
      </c>
      <c r="Q9695" s="4" t="str">
        <f>IFERROR(__xludf.DUMMYFUNCTION("""COMPUTED_VALUE"""),"Saipos Serviços De Software")</f>
        <v>Saipos Serviços De Software</v>
      </c>
      <c r="R9695" s="33">
        <f>IFERROR(__xludf.DUMMYFUNCTION("""COMPUTED_VALUE"""),1.0)</f>
        <v>1</v>
      </c>
      <c r="S9695" s="4" t="str">
        <f>IFERROR(__xludf.DUMMYFUNCTION("""COMPUTED_VALUE"""),"Brendi")</f>
        <v>Brendi</v>
      </c>
      <c r="T9695" s="33">
        <f>IFERROR(__xludf.DUMMYFUNCTION("""COMPUTED_VALUE"""),1.0)</f>
        <v>1</v>
      </c>
      <c r="U9695" s="4" t="str">
        <f>IFERROR(__xludf.DUMMYFUNCTION("""COMPUTED_VALUE"""),"Brendi")</f>
        <v>Brendi</v>
      </c>
      <c r="V9695" s="33">
        <f>IFERROR(__xludf.DUMMYFUNCTION("""COMPUTED_VALUE"""),1.0)</f>
        <v>1</v>
      </c>
      <c r="W9695" s="4" t="str">
        <f>IFERROR(__xludf.DUMMYFUNCTION("""COMPUTED_VALUE"""),"Brendi")</f>
        <v>Brendi</v>
      </c>
      <c r="X9695" s="33">
        <f>IFERROR(__xludf.DUMMYFUNCTION("""COMPUTED_VALUE"""),1.0)</f>
        <v>1</v>
      </c>
    </row>
    <row r="9696">
      <c r="K9696" s="4" t="str">
        <f>IFERROR(__xludf.DUMMYFUNCTION("""COMPUTED_VALUE"""),"RENATO EMBALAGENS")</f>
        <v>RENATO EMBALAGENS</v>
      </c>
      <c r="L9696" s="32">
        <f>IFERROR(__xludf.DUMMYFUNCTION("""COMPUTED_VALUE"""),1.0)</f>
        <v>1</v>
      </c>
      <c r="M9696" s="4" t="str">
        <f>IFERROR(__xludf.DUMMYFUNCTION("""COMPUTED_VALUE"""),"null")</f>
        <v>null</v>
      </c>
      <c r="N9696" s="33">
        <f>IFERROR(__xludf.DUMMYFUNCTION("""COMPUTED_VALUE"""),1.0)</f>
        <v>1</v>
      </c>
      <c r="O9696" s="4" t="str">
        <f>IFERROR(__xludf.DUMMYFUNCTION("""COMPUTED_VALUE"""),"null")</f>
        <v>null</v>
      </c>
      <c r="P9696" s="33">
        <f>IFERROR(__xludf.DUMMYFUNCTION("""COMPUTED_VALUE"""),1.0)</f>
        <v>1</v>
      </c>
      <c r="Q9696" s="4" t="str">
        <f>IFERROR(__xludf.DUMMYFUNCTION("""COMPUTED_VALUE"""),"null")</f>
        <v>null</v>
      </c>
      <c r="R9696" s="33">
        <f>IFERROR(__xludf.DUMMYFUNCTION("""COMPUTED_VALUE"""),1.0)</f>
        <v>1</v>
      </c>
      <c r="S9696" s="4" t="str">
        <f>IFERROR(__xludf.DUMMYFUNCTION("""COMPUTED_VALUE"""),"N/A (Not found)")</f>
        <v>N/A (Not found)</v>
      </c>
      <c r="T9696" s="33">
        <f>IFERROR(__xludf.DUMMYFUNCTION("""COMPUTED_VALUE"""),1.0)</f>
        <v>1</v>
      </c>
      <c r="U9696" s="4" t="str">
        <f>IFERROR(__xludf.DUMMYFUNCTION("""COMPUTED_VALUE"""),"null")</f>
        <v>null</v>
      </c>
      <c r="V9696" s="33">
        <f>IFERROR(__xludf.DUMMYFUNCTION("""COMPUTED_VALUE"""),1.0)</f>
        <v>1</v>
      </c>
      <c r="W9696" s="4" t="str">
        <f>IFERROR(__xludf.DUMMYFUNCTION("""COMPUTED_VALUE"""),"null")</f>
        <v>null</v>
      </c>
      <c r="X9696" s="33">
        <f>IFERROR(__xludf.DUMMYFUNCTION("""COMPUTED_VALUE"""),1.0)</f>
        <v>1</v>
      </c>
    </row>
    <row r="9697">
      <c r="K9697" s="4" t="str">
        <f>IFERROR(__xludf.DUMMYFUNCTION("""COMPUTED_VALUE"""),"OGGI PIZZARIA EXPRESS")</f>
        <v>OGGI PIZZARIA EXPRESS</v>
      </c>
      <c r="L9697" s="32">
        <f>IFERROR(__xludf.DUMMYFUNCTION("""COMPUTED_VALUE"""),1.0)</f>
        <v>1</v>
      </c>
      <c r="M9697" s="4" t="str">
        <f>IFERROR(__xludf.DUMMYFUNCTION("""COMPUTED_VALUE"""),"Saipos Serviços De Software")</f>
        <v>Saipos Serviços De Software</v>
      </c>
      <c r="N9697" s="33">
        <f>IFERROR(__xludf.DUMMYFUNCTION("""COMPUTED_VALUE"""),1.0)</f>
        <v>1</v>
      </c>
      <c r="O9697" s="4" t="str">
        <f>IFERROR(__xludf.DUMMYFUNCTION("""COMPUTED_VALUE"""),"Saipos Serviços De Software")</f>
        <v>Saipos Serviços De Software</v>
      </c>
      <c r="P9697" s="33">
        <f>IFERROR(__xludf.DUMMYFUNCTION("""COMPUTED_VALUE"""),1.0)</f>
        <v>1</v>
      </c>
      <c r="Q9697" s="4" t="str">
        <f>IFERROR(__xludf.DUMMYFUNCTION("""COMPUTED_VALUE"""),"Saipos Serviços De Software")</f>
        <v>Saipos Serviços De Software</v>
      </c>
      <c r="R9697" s="33">
        <f>IFERROR(__xludf.DUMMYFUNCTION("""COMPUTED_VALUE"""),1.0)</f>
        <v>1</v>
      </c>
      <c r="S9697" s="4" t="str">
        <f>IFERROR(__xludf.DUMMYFUNCTION("""COMPUTED_VALUE"""),"Saipos Serviços De Software")</f>
        <v>Saipos Serviços De Software</v>
      </c>
      <c r="T9697" s="33">
        <f>IFERROR(__xludf.DUMMYFUNCTION("""COMPUTED_VALUE"""),1.0)</f>
        <v>1</v>
      </c>
      <c r="U9697" s="4" t="str">
        <f>IFERROR(__xludf.DUMMYFUNCTION("""COMPUTED_VALUE"""),"Saipos Serviços De Software")</f>
        <v>Saipos Serviços De Software</v>
      </c>
      <c r="V9697" s="33">
        <f>IFERROR(__xludf.DUMMYFUNCTION("""COMPUTED_VALUE"""),1.0)</f>
        <v>1</v>
      </c>
      <c r="W9697" s="4" t="str">
        <f>IFERROR(__xludf.DUMMYFUNCTION("""COMPUTED_VALUE"""),"Saipos Serviços De Software")</f>
        <v>Saipos Serviços De Software</v>
      </c>
      <c r="X9697" s="33">
        <f>IFERROR(__xludf.DUMMYFUNCTION("""COMPUTED_VALUE"""),1.0)</f>
        <v>1</v>
      </c>
    </row>
    <row r="9698">
      <c r="K9698" s="4" t="str">
        <f>IFERROR(__xludf.DUMMYFUNCTION("""COMPUTED_VALUE"""),"DONA SHIRLEY - FABRICA DE SALGADOS")</f>
        <v>DONA SHIRLEY - FABRICA DE SALGADOS</v>
      </c>
      <c r="L9698" s="32">
        <f>IFERROR(__xludf.DUMMYFUNCTION("""COMPUTED_VALUE"""),1.0)</f>
        <v>1</v>
      </c>
      <c r="M9698" s="4" t="str">
        <f>IFERROR(__xludf.DUMMYFUNCTION("""COMPUTED_VALUE"""),"null")</f>
        <v>null</v>
      </c>
      <c r="N9698" s="33">
        <f>IFERROR(__xludf.DUMMYFUNCTION("""COMPUTED_VALUE"""),1.0)</f>
        <v>1</v>
      </c>
      <c r="O9698" s="4" t="str">
        <f>IFERROR(__xludf.DUMMYFUNCTION("""COMPUTED_VALUE"""),"null")</f>
        <v>null</v>
      </c>
      <c r="P9698" s="33">
        <f>IFERROR(__xludf.DUMMYFUNCTION("""COMPUTED_VALUE"""),1.0)</f>
        <v>1</v>
      </c>
      <c r="Q9698" s="4" t="str">
        <f>IFERROR(__xludf.DUMMYFUNCTION("""COMPUTED_VALUE"""),"null")</f>
        <v>null</v>
      </c>
      <c r="R9698" s="33">
        <f>IFERROR(__xludf.DUMMYFUNCTION("""COMPUTED_VALUE"""),1.0)</f>
        <v>1</v>
      </c>
      <c r="S9698" s="4" t="str">
        <f>IFERROR(__xludf.DUMMYFUNCTION("""COMPUTED_VALUE"""),"Instadelivery")</f>
        <v>Instadelivery</v>
      </c>
      <c r="T9698" s="33">
        <f>IFERROR(__xludf.DUMMYFUNCTION("""COMPUTED_VALUE"""),1.0)</f>
        <v>1</v>
      </c>
      <c r="U9698" s="4" t="str">
        <f>IFERROR(__xludf.DUMMYFUNCTION("""COMPUTED_VALUE"""),"Instadelivery")</f>
        <v>Instadelivery</v>
      </c>
      <c r="V9698" s="33">
        <f>IFERROR(__xludf.DUMMYFUNCTION("""COMPUTED_VALUE"""),1.0)</f>
        <v>1</v>
      </c>
      <c r="W9698" s="4" t="str">
        <f>IFERROR(__xludf.DUMMYFUNCTION("""COMPUTED_VALUE"""),"Instadelivery")</f>
        <v>Instadelivery</v>
      </c>
      <c r="X9698" s="33">
        <f>IFERROR(__xludf.DUMMYFUNCTION("""COMPUTED_VALUE"""),1.0)</f>
        <v>1</v>
      </c>
    </row>
    <row r="9699">
      <c r="K9699" s="4" t="str">
        <f>IFERROR(__xludf.DUMMYFUNCTION("""COMPUTED_VALUE"""),"BOLO COM CAFE")</f>
        <v>BOLO COM CAFE</v>
      </c>
      <c r="L9699" s="32">
        <f>IFERROR(__xludf.DUMMYFUNCTION("""COMPUTED_VALUE"""),1.0)</f>
        <v>1</v>
      </c>
      <c r="M9699" s="4" t="str">
        <f>IFERROR(__xludf.DUMMYFUNCTION("""COMPUTED_VALUE"""),"Instadelivery")</f>
        <v>Instadelivery</v>
      </c>
      <c r="N9699" s="33">
        <f>IFERROR(__xludf.DUMMYFUNCTION("""COMPUTED_VALUE"""),1.0)</f>
        <v>1</v>
      </c>
      <c r="O9699" s="4" t="str">
        <f>IFERROR(__xludf.DUMMYFUNCTION("""COMPUTED_VALUE"""),"null")</f>
        <v>null</v>
      </c>
      <c r="P9699" s="33">
        <f>IFERROR(__xludf.DUMMYFUNCTION("""COMPUTED_VALUE"""),1.0)</f>
        <v>1</v>
      </c>
      <c r="Q9699" s="4" t="str">
        <f>IFERROR(__xludf.DUMMYFUNCTION("""COMPUTED_VALUE"""),"null")</f>
        <v>null</v>
      </c>
      <c r="R9699" s="33">
        <f>IFERROR(__xludf.DUMMYFUNCTION("""COMPUTED_VALUE"""),1.0)</f>
        <v>1</v>
      </c>
      <c r="S9699" s="4" t="str">
        <f>IFERROR(__xludf.DUMMYFUNCTION("""COMPUTED_VALUE"""),"null")</f>
        <v>null</v>
      </c>
      <c r="T9699" s="33">
        <f>IFERROR(__xludf.DUMMYFUNCTION("""COMPUTED_VALUE"""),1.0)</f>
        <v>1</v>
      </c>
      <c r="U9699" s="4" t="str">
        <f>IFERROR(__xludf.DUMMYFUNCTION("""COMPUTED_VALUE"""),"null")</f>
        <v>null</v>
      </c>
      <c r="V9699" s="33">
        <f>IFERROR(__xludf.DUMMYFUNCTION("""COMPUTED_VALUE"""),1.0)</f>
        <v>1</v>
      </c>
      <c r="W9699" s="4" t="str">
        <f>IFERROR(__xludf.DUMMYFUNCTION("""COMPUTED_VALUE"""),"null")</f>
        <v>null</v>
      </c>
      <c r="X9699" s="33">
        <f>IFERROR(__xludf.DUMMYFUNCTION("""COMPUTED_VALUE"""),1.0)</f>
        <v>1</v>
      </c>
    </row>
    <row r="9700">
      <c r="K9700" s="4" t="str">
        <f>IFERROR(__xludf.DUMMYFUNCTION("""COMPUTED_VALUE"""),"CHEIRO DO PAO")</f>
        <v>CHEIRO DO PAO</v>
      </c>
      <c r="L9700" s="32">
        <f>IFERROR(__xludf.DUMMYFUNCTION("""COMPUTED_VALUE"""),1.0)</f>
        <v>1</v>
      </c>
      <c r="M9700" s="4" t="str">
        <f>IFERROR(__xludf.DUMMYFUNCTION("""COMPUTED_VALUE"""),"Izzy Way Tecnologia")</f>
        <v>Izzy Way Tecnologia</v>
      </c>
      <c r="N9700" s="33">
        <f>IFERROR(__xludf.DUMMYFUNCTION("""COMPUTED_VALUE"""),1.0)</f>
        <v>1</v>
      </c>
      <c r="O9700" s="4" t="str">
        <f>IFERROR(__xludf.DUMMYFUNCTION("""COMPUTED_VALUE"""),"Izzy Way Tecnologia")</f>
        <v>Izzy Way Tecnologia</v>
      </c>
      <c r="P9700" s="33">
        <f>IFERROR(__xludf.DUMMYFUNCTION("""COMPUTED_VALUE"""),1.0)</f>
        <v>1</v>
      </c>
      <c r="Q9700" s="4" t="str">
        <f>IFERROR(__xludf.DUMMYFUNCTION("""COMPUTED_VALUE"""),"Izzy Way Tecnologia")</f>
        <v>Izzy Way Tecnologia</v>
      </c>
      <c r="R9700" s="33">
        <f>IFERROR(__xludf.DUMMYFUNCTION("""COMPUTED_VALUE"""),1.0)</f>
        <v>1</v>
      </c>
      <c r="S9700" s="4" t="str">
        <f>IFERROR(__xludf.DUMMYFUNCTION("""COMPUTED_VALUE"""),"Izzy Way Tecnologia")</f>
        <v>Izzy Way Tecnologia</v>
      </c>
      <c r="T9700" s="33">
        <f>IFERROR(__xludf.DUMMYFUNCTION("""COMPUTED_VALUE"""),1.0)</f>
        <v>1</v>
      </c>
      <c r="U9700" s="4" t="str">
        <f>IFERROR(__xludf.DUMMYFUNCTION("""COMPUTED_VALUE"""),"Izzy Way Tecnologia")</f>
        <v>Izzy Way Tecnologia</v>
      </c>
      <c r="V9700" s="33">
        <f>IFERROR(__xludf.DUMMYFUNCTION("""COMPUTED_VALUE"""),1.0)</f>
        <v>1</v>
      </c>
      <c r="W9700" s="4" t="str">
        <f>IFERROR(__xludf.DUMMYFUNCTION("""COMPUTED_VALUE"""),"Izzy Way Tecnologia")</f>
        <v>Izzy Way Tecnologia</v>
      </c>
      <c r="X9700" s="33">
        <f>IFERROR(__xludf.DUMMYFUNCTION("""COMPUTED_VALUE"""),1.0)</f>
        <v>1</v>
      </c>
    </row>
    <row r="9701">
      <c r="K9701" s="4" t="str">
        <f>IFERROR(__xludf.DUMMYFUNCTION("""COMPUTED_VALUE"""),"HULA NATURAL FOOD BC")</f>
        <v>HULA NATURAL FOOD BC</v>
      </c>
      <c r="L9701" s="32">
        <f>IFERROR(__xludf.DUMMYFUNCTION("""COMPUTED_VALUE"""),1.0)</f>
        <v>1</v>
      </c>
      <c r="M9701" s="4" t="str">
        <f>IFERROR(__xludf.DUMMYFUNCTION("""COMPUTED_VALUE"""),"null")</f>
        <v>null</v>
      </c>
      <c r="N9701" s="33">
        <f>IFERROR(__xludf.DUMMYFUNCTION("""COMPUTED_VALUE"""),1.0)</f>
        <v>1</v>
      </c>
      <c r="O9701" s="4" t="str">
        <f>IFERROR(__xludf.DUMMYFUNCTION("""COMPUTED_VALUE"""),"null")</f>
        <v>null</v>
      </c>
      <c r="P9701" s="33">
        <f>IFERROR(__xludf.DUMMYFUNCTION("""COMPUTED_VALUE"""),1.0)</f>
        <v>1</v>
      </c>
      <c r="Q9701" s="4" t="str">
        <f>IFERROR(__xludf.DUMMYFUNCTION("""COMPUTED_VALUE"""),"null")</f>
        <v>null</v>
      </c>
      <c r="R9701" s="33">
        <f>IFERROR(__xludf.DUMMYFUNCTION("""COMPUTED_VALUE"""),1.0)</f>
        <v>1</v>
      </c>
      <c r="S9701" s="4" t="str">
        <f>IFERROR(__xludf.DUMMYFUNCTION("""COMPUTED_VALUE"""),"null")</f>
        <v>null</v>
      </c>
      <c r="T9701" s="33">
        <f>IFERROR(__xludf.DUMMYFUNCTION("""COMPUTED_VALUE"""),1.0)</f>
        <v>1</v>
      </c>
      <c r="U9701" s="4" t="str">
        <f>IFERROR(__xludf.DUMMYFUNCTION("""COMPUTED_VALUE"""),"null")</f>
        <v>null</v>
      </c>
      <c r="V9701" s="33">
        <f>IFERROR(__xludf.DUMMYFUNCTION("""COMPUTED_VALUE"""),1.0)</f>
        <v>1</v>
      </c>
      <c r="W9701" s="4" t="str">
        <f>IFERROR(__xludf.DUMMYFUNCTION("""COMPUTED_VALUE"""),"Cloudfy")</f>
        <v>Cloudfy</v>
      </c>
      <c r="X9701" s="33">
        <f>IFERROR(__xludf.DUMMYFUNCTION("""COMPUTED_VALUE"""),1.0)</f>
        <v>1</v>
      </c>
    </row>
    <row r="9702">
      <c r="K9702" s="4" t="str">
        <f>IFERROR(__xludf.DUMMYFUNCTION("""COMPUTED_VALUE"""),"DONA MARMITEX")</f>
        <v>DONA MARMITEX</v>
      </c>
      <c r="L9702" s="32">
        <f>IFERROR(__xludf.DUMMYFUNCTION("""COMPUTED_VALUE"""),1.0)</f>
        <v>1</v>
      </c>
      <c r="M9702" s="4" t="str">
        <f>IFERROR(__xludf.DUMMYFUNCTION("""COMPUTED_VALUE"""),"null")</f>
        <v>null</v>
      </c>
      <c r="N9702" s="33">
        <f>IFERROR(__xludf.DUMMYFUNCTION("""COMPUTED_VALUE"""),1.0)</f>
        <v>1</v>
      </c>
      <c r="O9702" s="4" t="str">
        <f>IFERROR(__xludf.DUMMYFUNCTION("""COMPUTED_VALUE"""),"null")</f>
        <v>null</v>
      </c>
      <c r="P9702" s="33">
        <f>IFERROR(__xludf.DUMMYFUNCTION("""COMPUTED_VALUE"""),1.0)</f>
        <v>1</v>
      </c>
      <c r="Q9702" s="4" t="str">
        <f>IFERROR(__xludf.DUMMYFUNCTION("""COMPUTED_VALUE"""),"null")</f>
        <v>null</v>
      </c>
      <c r="R9702" s="33">
        <f>IFERROR(__xludf.DUMMYFUNCTION("""COMPUTED_VALUE"""),1.0)</f>
        <v>1</v>
      </c>
      <c r="S9702" s="4" t="str">
        <f>IFERROR(__xludf.DUMMYFUNCTION("""COMPUTED_VALUE"""),"Instadelivery")</f>
        <v>Instadelivery</v>
      </c>
      <c r="T9702" s="33">
        <f>IFERROR(__xludf.DUMMYFUNCTION("""COMPUTED_VALUE"""),1.0)</f>
        <v>1</v>
      </c>
      <c r="U9702" s="4" t="str">
        <f>IFERROR(__xludf.DUMMYFUNCTION("""COMPUTED_VALUE"""),"Instadelivery")</f>
        <v>Instadelivery</v>
      </c>
      <c r="V9702" s="33">
        <f>IFERROR(__xludf.DUMMYFUNCTION("""COMPUTED_VALUE"""),1.0)</f>
        <v>1</v>
      </c>
      <c r="W9702" s="4" t="str">
        <f>IFERROR(__xludf.DUMMYFUNCTION("""COMPUTED_VALUE"""),"Instadelivery")</f>
        <v>Instadelivery</v>
      </c>
      <c r="X9702" s="33">
        <f>IFERROR(__xludf.DUMMYFUNCTION("""COMPUTED_VALUE"""),1.0)</f>
        <v>1</v>
      </c>
    </row>
    <row r="9703">
      <c r="K9703" s="4" t="str">
        <f>IFERROR(__xludf.DUMMYFUNCTION("""COMPUTED_VALUE"""),"LETS ON GRILL HAMBURGUERIA E CHOPERIA")</f>
        <v>LETS ON GRILL HAMBURGUERIA E CHOPERIA</v>
      </c>
      <c r="L9703" s="32">
        <f>IFERROR(__xludf.DUMMYFUNCTION("""COMPUTED_VALUE"""),1.0)</f>
        <v>1</v>
      </c>
      <c r="M9703" s="4" t="str">
        <f>IFERROR(__xludf.DUMMYFUNCTION("""COMPUTED_VALUE"""),"Agilizae Tecnologia Ltda")</f>
        <v>Agilizae Tecnologia Ltda</v>
      </c>
      <c r="N9703" s="33">
        <f>IFERROR(__xludf.DUMMYFUNCTION("""COMPUTED_VALUE"""),1.0)</f>
        <v>1</v>
      </c>
      <c r="O9703" s="4" t="str">
        <f>IFERROR(__xludf.DUMMYFUNCTION("""COMPUTED_VALUE"""),"Agilizae Tecnologia Ltda")</f>
        <v>Agilizae Tecnologia Ltda</v>
      </c>
      <c r="P9703" s="33">
        <f>IFERROR(__xludf.DUMMYFUNCTION("""COMPUTED_VALUE"""),1.0)</f>
        <v>1</v>
      </c>
      <c r="Q9703" s="4" t="str">
        <f>IFERROR(__xludf.DUMMYFUNCTION("""COMPUTED_VALUE"""),"Agilizae Tecnologia Ltda")</f>
        <v>Agilizae Tecnologia Ltda</v>
      </c>
      <c r="R9703" s="33">
        <f>IFERROR(__xludf.DUMMYFUNCTION("""COMPUTED_VALUE"""),1.0)</f>
        <v>1</v>
      </c>
      <c r="S9703" s="4" t="str">
        <f>IFERROR(__xludf.DUMMYFUNCTION("""COMPUTED_VALUE"""),"Agilizae Tecnologia Ltda")</f>
        <v>Agilizae Tecnologia Ltda</v>
      </c>
      <c r="T9703" s="33">
        <f>IFERROR(__xludf.DUMMYFUNCTION("""COMPUTED_VALUE"""),1.0)</f>
        <v>1</v>
      </c>
      <c r="U9703" s="4" t="str">
        <f>IFERROR(__xludf.DUMMYFUNCTION("""COMPUTED_VALUE"""),"Agilizae Tecnologia Ltda")</f>
        <v>Agilizae Tecnologia Ltda</v>
      </c>
      <c r="V9703" s="33">
        <f>IFERROR(__xludf.DUMMYFUNCTION("""COMPUTED_VALUE"""),1.0)</f>
        <v>1</v>
      </c>
      <c r="W9703" s="4" t="str">
        <f>IFERROR(__xludf.DUMMYFUNCTION("""COMPUTED_VALUE"""),"Agilizae Tecnologia Ltda")</f>
        <v>Agilizae Tecnologia Ltda</v>
      </c>
      <c r="X9703" s="33">
        <f>IFERROR(__xludf.DUMMYFUNCTION("""COMPUTED_VALUE"""),1.0)</f>
        <v>1</v>
      </c>
    </row>
    <row r="9704">
      <c r="K9704" s="4" t="str">
        <f>IFERROR(__xludf.DUMMYFUNCTION("""COMPUTED_VALUE"""),"CHURRASCARIA VILA VERDE")</f>
        <v>CHURRASCARIA VILA VERDE</v>
      </c>
      <c r="L9704" s="32">
        <f>IFERROR(__xludf.DUMMYFUNCTION("""COMPUTED_VALUE"""),1.0)</f>
        <v>1</v>
      </c>
      <c r="M9704" s="4" t="str">
        <f>IFERROR(__xludf.DUMMYFUNCTION("""COMPUTED_VALUE"""),"Consumer Soluções Em Tecnologia Ltda")</f>
        <v>Consumer Soluções Em Tecnologia Ltda</v>
      </c>
      <c r="N9704" s="33">
        <f>IFERROR(__xludf.DUMMYFUNCTION("""COMPUTED_VALUE"""),1.0)</f>
        <v>1</v>
      </c>
      <c r="O9704" s="4" t="str">
        <f>IFERROR(__xludf.DUMMYFUNCTION("""COMPUTED_VALUE"""),"Consumer Soluções Em Tecnologia Ltda")</f>
        <v>Consumer Soluções Em Tecnologia Ltda</v>
      </c>
      <c r="P9704" s="33">
        <f>IFERROR(__xludf.DUMMYFUNCTION("""COMPUTED_VALUE"""),1.0)</f>
        <v>1</v>
      </c>
      <c r="Q9704" s="4" t="str">
        <f>IFERROR(__xludf.DUMMYFUNCTION("""COMPUTED_VALUE"""),"Consumer Soluções Em Tecnologia Ltda")</f>
        <v>Consumer Soluções Em Tecnologia Ltda</v>
      </c>
      <c r="R9704" s="33">
        <f>IFERROR(__xludf.DUMMYFUNCTION("""COMPUTED_VALUE"""),1.0)</f>
        <v>1</v>
      </c>
      <c r="S9704" s="4" t="str">
        <f>IFERROR(__xludf.DUMMYFUNCTION("""COMPUTED_VALUE"""),"Consumer Soluções Em Tecnologia Ltda")</f>
        <v>Consumer Soluções Em Tecnologia Ltda</v>
      </c>
      <c r="T9704" s="33">
        <f>IFERROR(__xludf.DUMMYFUNCTION("""COMPUTED_VALUE"""),1.0)</f>
        <v>1</v>
      </c>
      <c r="U9704" s="4" t="str">
        <f>IFERROR(__xludf.DUMMYFUNCTION("""COMPUTED_VALUE"""),"Consumer Soluções Em Tecnologia Ltda")</f>
        <v>Consumer Soluções Em Tecnologia Ltda</v>
      </c>
      <c r="V9704" s="33">
        <f>IFERROR(__xludf.DUMMYFUNCTION("""COMPUTED_VALUE"""),1.0)</f>
        <v>1</v>
      </c>
      <c r="W9704" s="4" t="str">
        <f>IFERROR(__xludf.DUMMYFUNCTION("""COMPUTED_VALUE"""),"Consumer Soluções Em Tecnologia Ltda")</f>
        <v>Consumer Soluções Em Tecnologia Ltda</v>
      </c>
      <c r="X9704" s="33">
        <f>IFERROR(__xludf.DUMMYFUNCTION("""COMPUTED_VALUE"""),1.0)</f>
        <v>1</v>
      </c>
    </row>
    <row r="9705">
      <c r="K9705" s="4" t="str">
        <f>IFERROR(__xludf.DUMMYFUNCTION("""COMPUTED_VALUE"""),"SM PIZZARIA")</f>
        <v>SM PIZZARIA</v>
      </c>
      <c r="L9705" s="32">
        <f>IFERROR(__xludf.DUMMYFUNCTION("""COMPUTED_VALUE"""),1.0)</f>
        <v>1</v>
      </c>
      <c r="M9705" s="4" t="str">
        <f>IFERROR(__xludf.DUMMYFUNCTION("""COMPUTED_VALUE"""),"null")</f>
        <v>null</v>
      </c>
      <c r="N9705" s="33">
        <f>IFERROR(__xludf.DUMMYFUNCTION("""COMPUTED_VALUE"""),1.0)</f>
        <v>1</v>
      </c>
      <c r="O9705" s="4" t="str">
        <f>IFERROR(__xludf.DUMMYFUNCTION("""COMPUTED_VALUE"""),"null")</f>
        <v>null</v>
      </c>
      <c r="P9705" s="33">
        <f>IFERROR(__xludf.DUMMYFUNCTION("""COMPUTED_VALUE"""),1.0)</f>
        <v>1</v>
      </c>
      <c r="Q9705" s="4" t="str">
        <f>IFERROR(__xludf.DUMMYFUNCTION("""COMPUTED_VALUE"""),"null")</f>
        <v>null</v>
      </c>
      <c r="R9705" s="33">
        <f>IFERROR(__xludf.DUMMYFUNCTION("""COMPUTED_VALUE"""),1.0)</f>
        <v>1</v>
      </c>
      <c r="S9705" s="4" t="str">
        <f>IFERROR(__xludf.DUMMYFUNCTION("""COMPUTED_VALUE"""),"Instadelivery")</f>
        <v>Instadelivery</v>
      </c>
      <c r="T9705" s="33">
        <f>IFERROR(__xludf.DUMMYFUNCTION("""COMPUTED_VALUE"""),1.0)</f>
        <v>1</v>
      </c>
      <c r="U9705" s="4" t="str">
        <f>IFERROR(__xludf.DUMMYFUNCTION("""COMPUTED_VALUE"""),"Instadelivery")</f>
        <v>Instadelivery</v>
      </c>
      <c r="V9705" s="33">
        <f>IFERROR(__xludf.DUMMYFUNCTION("""COMPUTED_VALUE"""),1.0)</f>
        <v>1</v>
      </c>
      <c r="W9705" s="4" t="str">
        <f>IFERROR(__xludf.DUMMYFUNCTION("""COMPUTED_VALUE"""),"Instadelivery")</f>
        <v>Instadelivery</v>
      </c>
      <c r="X9705" s="33">
        <f>IFERROR(__xludf.DUMMYFUNCTION("""COMPUTED_VALUE"""),1.0)</f>
        <v>1</v>
      </c>
    </row>
    <row r="9706">
      <c r="K9706" s="4" t="str">
        <f>IFERROR(__xludf.DUMMYFUNCTION("""COMPUTED_VALUE"""),"CABRITOS BURGER")</f>
        <v>CABRITOS BURGER</v>
      </c>
      <c r="L9706" s="32">
        <f>IFERROR(__xludf.DUMMYFUNCTION("""COMPUTED_VALUE"""),1.0)</f>
        <v>1</v>
      </c>
      <c r="M9706" s="4" t="str">
        <f>IFERROR(__xludf.DUMMYFUNCTION("""COMPUTED_VALUE"""),"Cardápio Web")</f>
        <v>Cardápio Web</v>
      </c>
      <c r="N9706" s="33">
        <f>IFERROR(__xludf.DUMMYFUNCTION("""COMPUTED_VALUE"""),1.0)</f>
        <v>1</v>
      </c>
      <c r="O9706" s="4" t="str">
        <f>IFERROR(__xludf.DUMMYFUNCTION("""COMPUTED_VALUE"""),"Cardápio Web")</f>
        <v>Cardápio Web</v>
      </c>
      <c r="P9706" s="33">
        <f>IFERROR(__xludf.DUMMYFUNCTION("""COMPUTED_VALUE"""),1.0)</f>
        <v>1</v>
      </c>
      <c r="Q9706" s="4" t="str">
        <f>IFERROR(__xludf.DUMMYFUNCTION("""COMPUTED_VALUE"""),"Cardápio Web")</f>
        <v>Cardápio Web</v>
      </c>
      <c r="R9706" s="33">
        <f>IFERROR(__xludf.DUMMYFUNCTION("""COMPUTED_VALUE"""),1.0)</f>
        <v>1</v>
      </c>
      <c r="S9706" s="4" t="str">
        <f>IFERROR(__xludf.DUMMYFUNCTION("""COMPUTED_VALUE"""),"Cardápio Web")</f>
        <v>Cardápio Web</v>
      </c>
      <c r="T9706" s="33">
        <f>IFERROR(__xludf.DUMMYFUNCTION("""COMPUTED_VALUE"""),1.0)</f>
        <v>1</v>
      </c>
      <c r="U9706" s="4" t="str">
        <f>IFERROR(__xludf.DUMMYFUNCTION("""COMPUTED_VALUE"""),"Cardápio Web")</f>
        <v>Cardápio Web</v>
      </c>
      <c r="V9706" s="33">
        <f>IFERROR(__xludf.DUMMYFUNCTION("""COMPUTED_VALUE"""),1.0)</f>
        <v>1</v>
      </c>
      <c r="W9706" s="4" t="str">
        <f>IFERROR(__xludf.DUMMYFUNCTION("""COMPUTED_VALUE"""),"Cardápio Web")</f>
        <v>Cardápio Web</v>
      </c>
      <c r="X9706" s="33">
        <f>IFERROR(__xludf.DUMMYFUNCTION("""COMPUTED_VALUE"""),1.0)</f>
        <v>1</v>
      </c>
    </row>
    <row r="9707">
      <c r="K9707" s="4" t="str">
        <f>IFERROR(__xludf.DUMMYFUNCTION("""COMPUTED_VALUE"""),"POINT HAMBURGUERIA")</f>
        <v>POINT HAMBURGUERIA</v>
      </c>
      <c r="L9707" s="32">
        <f>IFERROR(__xludf.DUMMYFUNCTION("""COMPUTED_VALUE"""),1.0)</f>
        <v>1</v>
      </c>
      <c r="M9707" s="4" t="str">
        <f>IFERROR(__xludf.DUMMYFUNCTION("""COMPUTED_VALUE"""),"Cardápio Web")</f>
        <v>Cardápio Web</v>
      </c>
      <c r="N9707" s="33">
        <f>IFERROR(__xludf.DUMMYFUNCTION("""COMPUTED_VALUE"""),1.0)</f>
        <v>1</v>
      </c>
      <c r="O9707" s="4" t="str">
        <f>IFERROR(__xludf.DUMMYFUNCTION("""COMPUTED_VALUE"""),"Cardápio Web")</f>
        <v>Cardápio Web</v>
      </c>
      <c r="P9707" s="33">
        <f>IFERROR(__xludf.DUMMYFUNCTION("""COMPUTED_VALUE"""),1.0)</f>
        <v>1</v>
      </c>
      <c r="Q9707" s="4" t="str">
        <f>IFERROR(__xludf.DUMMYFUNCTION("""COMPUTED_VALUE"""),"Cardápio Web")</f>
        <v>Cardápio Web</v>
      </c>
      <c r="R9707" s="33">
        <f>IFERROR(__xludf.DUMMYFUNCTION("""COMPUTED_VALUE"""),1.0)</f>
        <v>1</v>
      </c>
      <c r="S9707" s="4" t="str">
        <f>IFERROR(__xludf.DUMMYFUNCTION("""COMPUTED_VALUE"""),"null")</f>
        <v>null</v>
      </c>
      <c r="T9707" s="33">
        <f>IFERROR(__xludf.DUMMYFUNCTION("""COMPUTED_VALUE"""),1.0)</f>
        <v>1</v>
      </c>
      <c r="U9707" s="4" t="str">
        <f>IFERROR(__xludf.DUMMYFUNCTION("""COMPUTED_VALUE"""),"null")</f>
        <v>null</v>
      </c>
      <c r="V9707" s="33">
        <f>IFERROR(__xludf.DUMMYFUNCTION("""COMPUTED_VALUE"""),1.0)</f>
        <v>1</v>
      </c>
      <c r="W9707" s="4" t="str">
        <f>IFERROR(__xludf.DUMMYFUNCTION("""COMPUTED_VALUE"""),"null")</f>
        <v>null</v>
      </c>
      <c r="X9707" s="33">
        <f>IFERROR(__xludf.DUMMYFUNCTION("""COMPUTED_VALUE"""),1.0)</f>
        <v>1</v>
      </c>
    </row>
    <row r="9708">
      <c r="K9708" s="4" t="str">
        <f>IFERROR(__xludf.DUMMYFUNCTION("""COMPUTED_VALUE"""),"PIZZARIA BARDELLA")</f>
        <v>PIZZARIA BARDELLA</v>
      </c>
      <c r="L9708" s="32">
        <f>IFERROR(__xludf.DUMMYFUNCTION("""COMPUTED_VALUE"""),1.0)</f>
        <v>1</v>
      </c>
      <c r="M9708" s="4" t="str">
        <f>IFERROR(__xludf.DUMMYFUNCTION("""COMPUTED_VALUE"""),"Anota Ai Solucoes Digitais S/a")</f>
        <v>Anota Ai Solucoes Digitais S/a</v>
      </c>
      <c r="N9708" s="33">
        <f>IFERROR(__xludf.DUMMYFUNCTION("""COMPUTED_VALUE"""),1.0)</f>
        <v>1</v>
      </c>
      <c r="O9708" s="4" t="str">
        <f>IFERROR(__xludf.DUMMYFUNCTION("""COMPUTED_VALUE"""),"null")</f>
        <v>null</v>
      </c>
      <c r="P9708" s="33">
        <f>IFERROR(__xludf.DUMMYFUNCTION("""COMPUTED_VALUE"""),1.0)</f>
        <v>1</v>
      </c>
      <c r="Q9708" s="4" t="str">
        <f>IFERROR(__xludf.DUMMYFUNCTION("""COMPUTED_VALUE"""),"null")</f>
        <v>null</v>
      </c>
      <c r="R9708" s="33">
        <f>IFERROR(__xludf.DUMMYFUNCTION("""COMPUTED_VALUE"""),1.0)</f>
        <v>1</v>
      </c>
      <c r="S9708" s="4" t="str">
        <f>IFERROR(__xludf.DUMMYFUNCTION("""COMPUTED_VALUE"""),"null")</f>
        <v>null</v>
      </c>
      <c r="T9708" s="33">
        <f>IFERROR(__xludf.DUMMYFUNCTION("""COMPUTED_VALUE"""),1.0)</f>
        <v>1</v>
      </c>
      <c r="U9708" s="4" t="str">
        <f>IFERROR(__xludf.DUMMYFUNCTION("""COMPUTED_VALUE"""),"null")</f>
        <v>null</v>
      </c>
      <c r="V9708" s="33">
        <f>IFERROR(__xludf.DUMMYFUNCTION("""COMPUTED_VALUE"""),1.0)</f>
        <v>1</v>
      </c>
      <c r="W9708" s="4" t="str">
        <f>IFERROR(__xludf.DUMMYFUNCTION("""COMPUTED_VALUE"""),"null")</f>
        <v>null</v>
      </c>
      <c r="X9708" s="33">
        <f>IFERROR(__xludf.DUMMYFUNCTION("""COMPUTED_VALUE"""),1.0)</f>
        <v>1</v>
      </c>
    </row>
    <row r="9709">
      <c r="K9709" s="4" t="str">
        <f>IFERROR(__xludf.DUMMYFUNCTION("""COMPUTED_VALUE"""),"CARAME CONFEITARIA - BOLOS SOBREMESAS")</f>
        <v>CARAME CONFEITARIA - BOLOS SOBREMESAS</v>
      </c>
      <c r="L9709" s="32">
        <f>IFERROR(__xludf.DUMMYFUNCTION("""COMPUTED_VALUE"""),1.0)</f>
        <v>1</v>
      </c>
      <c r="M9709" s="4" t="str">
        <f>IFERROR(__xludf.DUMMYFUNCTION("""COMPUTED_VALUE"""),"Instadelivery")</f>
        <v>Instadelivery</v>
      </c>
      <c r="N9709" s="33">
        <f>IFERROR(__xludf.DUMMYFUNCTION("""COMPUTED_VALUE"""),1.0)</f>
        <v>1</v>
      </c>
      <c r="O9709" s="4" t="str">
        <f>IFERROR(__xludf.DUMMYFUNCTION("""COMPUTED_VALUE"""),"Instadelivery")</f>
        <v>Instadelivery</v>
      </c>
      <c r="P9709" s="33">
        <f>IFERROR(__xludf.DUMMYFUNCTION("""COMPUTED_VALUE"""),1.0)</f>
        <v>1</v>
      </c>
      <c r="Q9709" s="4" t="str">
        <f>IFERROR(__xludf.DUMMYFUNCTION("""COMPUTED_VALUE"""),"null")</f>
        <v>null</v>
      </c>
      <c r="R9709" s="33">
        <f>IFERROR(__xludf.DUMMYFUNCTION("""COMPUTED_VALUE"""),1.0)</f>
        <v>1</v>
      </c>
      <c r="S9709" s="4" t="str">
        <f>IFERROR(__xludf.DUMMYFUNCTION("""COMPUTED_VALUE"""),"null")</f>
        <v>null</v>
      </c>
      <c r="T9709" s="33">
        <f>IFERROR(__xludf.DUMMYFUNCTION("""COMPUTED_VALUE"""),1.0)</f>
        <v>1</v>
      </c>
      <c r="U9709" s="4" t="str">
        <f>IFERROR(__xludf.DUMMYFUNCTION("""COMPUTED_VALUE"""),"null")</f>
        <v>null</v>
      </c>
      <c r="V9709" s="33">
        <f>IFERROR(__xludf.DUMMYFUNCTION("""COMPUTED_VALUE"""),1.0)</f>
        <v>1</v>
      </c>
      <c r="W9709" s="4" t="str">
        <f>IFERROR(__xludf.DUMMYFUNCTION("""COMPUTED_VALUE"""),"null")</f>
        <v>null</v>
      </c>
      <c r="X9709" s="33">
        <f>IFERROR(__xludf.DUMMYFUNCTION("""COMPUTED_VALUE"""),1.0)</f>
        <v>1</v>
      </c>
    </row>
    <row r="9710">
      <c r="K9710" s="4" t="str">
        <f>IFERROR(__xludf.DUMMYFUNCTION("""COMPUTED_VALUE"""),"PETS FOOD - EDGAR FACO")</f>
        <v>PETS FOOD - EDGAR FACO</v>
      </c>
      <c r="L9710" s="32">
        <f>IFERROR(__xludf.DUMMYFUNCTION("""COMPUTED_VALUE"""),1.0)</f>
        <v>1</v>
      </c>
      <c r="M9710" s="4" t="str">
        <f>IFERROR(__xludf.DUMMYFUNCTION("""COMPUTED_VALUE"""),"N/A (Not found)")</f>
        <v>N/A (Not found)</v>
      </c>
      <c r="N9710" s="33">
        <f>IFERROR(__xludf.DUMMYFUNCTION("""COMPUTED_VALUE"""),1.0)</f>
        <v>1</v>
      </c>
      <c r="O9710" s="4" t="str">
        <f>IFERROR(__xludf.DUMMYFUNCTION("""COMPUTED_VALUE"""),"N/A (Not found)")</f>
        <v>N/A (Not found)</v>
      </c>
      <c r="P9710" s="33">
        <f>IFERROR(__xludf.DUMMYFUNCTION("""COMPUTED_VALUE"""),1.0)</f>
        <v>1</v>
      </c>
      <c r="Q9710" s="4" t="str">
        <f>IFERROR(__xludf.DUMMYFUNCTION("""COMPUTED_VALUE"""),"N/A (Not found)")</f>
        <v>N/A (Not found)</v>
      </c>
      <c r="R9710" s="33">
        <f>IFERROR(__xludf.DUMMYFUNCTION("""COMPUTED_VALUE"""),1.0)</f>
        <v>1</v>
      </c>
      <c r="S9710" s="4" t="str">
        <f>IFERROR(__xludf.DUMMYFUNCTION("""COMPUTED_VALUE"""),"N/A (Not found)")</f>
        <v>N/A (Not found)</v>
      </c>
      <c r="T9710" s="33">
        <f>IFERROR(__xludf.DUMMYFUNCTION("""COMPUTED_VALUE"""),1.0)</f>
        <v>1</v>
      </c>
      <c r="U9710" s="4" t="str">
        <f>IFERROR(__xludf.DUMMYFUNCTION("""COMPUTED_VALUE"""),"N/A (Not found)")</f>
        <v>N/A (Not found)</v>
      </c>
      <c r="V9710" s="33">
        <f>IFERROR(__xludf.DUMMYFUNCTION("""COMPUTED_VALUE"""),1.0)</f>
        <v>1</v>
      </c>
      <c r="W9710" s="4" t="str">
        <f>IFERROR(__xludf.DUMMYFUNCTION("""COMPUTED_VALUE"""),"N/A (Not found)")</f>
        <v>N/A (Not found)</v>
      </c>
      <c r="X9710" s="33">
        <f>IFERROR(__xludf.DUMMYFUNCTION("""COMPUTED_VALUE"""),1.0)</f>
        <v>1</v>
      </c>
    </row>
    <row r="9711">
      <c r="K9711" s="4" t="str">
        <f>IFERROR(__xludf.DUMMYFUNCTION("""COMPUTED_VALUE"""),"DINDINLICIA FORTALEZA FATIMA")</f>
        <v>DINDINLICIA FORTALEZA FATIMA</v>
      </c>
      <c r="L9711" s="32">
        <f>IFERROR(__xludf.DUMMYFUNCTION("""COMPUTED_VALUE"""),1.0)</f>
        <v>1</v>
      </c>
      <c r="M9711" s="4" t="str">
        <f>IFERROR(__xludf.DUMMYFUNCTION("""COMPUTED_VALUE"""),"null")</f>
        <v>null</v>
      </c>
      <c r="N9711" s="33">
        <f>IFERROR(__xludf.DUMMYFUNCTION("""COMPUTED_VALUE"""),1.0)</f>
        <v>1</v>
      </c>
      <c r="O9711" s="4" t="str">
        <f>IFERROR(__xludf.DUMMYFUNCTION("""COMPUTED_VALUE"""),"null")</f>
        <v>null</v>
      </c>
      <c r="P9711" s="33">
        <f>IFERROR(__xludf.DUMMYFUNCTION("""COMPUTED_VALUE"""),1.0)</f>
        <v>1</v>
      </c>
      <c r="Q9711" s="4" t="str">
        <f>IFERROR(__xludf.DUMMYFUNCTION("""COMPUTED_VALUE"""),"Agilizup Solucoes Ltda")</f>
        <v>Agilizup Solucoes Ltda</v>
      </c>
      <c r="R9711" s="33">
        <f>IFERROR(__xludf.DUMMYFUNCTION("""COMPUTED_VALUE"""),1.0)</f>
        <v>1</v>
      </c>
      <c r="S9711" s="4" t="str">
        <f>IFERROR(__xludf.DUMMYFUNCTION("""COMPUTED_VALUE"""),"Agilizup Solucoes Ltda")</f>
        <v>Agilizup Solucoes Ltda</v>
      </c>
      <c r="T9711" s="33">
        <f>IFERROR(__xludf.DUMMYFUNCTION("""COMPUTED_VALUE"""),1.0)</f>
        <v>1</v>
      </c>
      <c r="U9711" s="4" t="str">
        <f>IFERROR(__xludf.DUMMYFUNCTION("""COMPUTED_VALUE"""),"Agilizup Solucoes Ltda")</f>
        <v>Agilizup Solucoes Ltda</v>
      </c>
      <c r="V9711" s="33">
        <f>IFERROR(__xludf.DUMMYFUNCTION("""COMPUTED_VALUE"""),1.0)</f>
        <v>1</v>
      </c>
      <c r="W9711" s="4" t="str">
        <f>IFERROR(__xludf.DUMMYFUNCTION("""COMPUTED_VALUE"""),"Agilizup Solucoes Ltda")</f>
        <v>Agilizup Solucoes Ltda</v>
      </c>
      <c r="X9711" s="33">
        <f>IFERROR(__xludf.DUMMYFUNCTION("""COMPUTED_VALUE"""),1.0)</f>
        <v>1</v>
      </c>
    </row>
    <row r="9712">
      <c r="K9712" s="4" t="str">
        <f>IFERROR(__xludf.DUMMYFUNCTION("""COMPUTED_VALUE"""),"SPETTUS RESTAURANTE E PIZZARIA")</f>
        <v>SPETTUS RESTAURANTE E PIZZARIA</v>
      </c>
      <c r="L9712" s="32">
        <f>IFERROR(__xludf.DUMMYFUNCTION("""COMPUTED_VALUE"""),1.0)</f>
        <v>1</v>
      </c>
      <c r="M9712" s="4" t="str">
        <f>IFERROR(__xludf.DUMMYFUNCTION("""COMPUTED_VALUE"""),"Anota Ai Solucoes Digitais S/a")</f>
        <v>Anota Ai Solucoes Digitais S/a</v>
      </c>
      <c r="N9712" s="33">
        <f>IFERROR(__xludf.DUMMYFUNCTION("""COMPUTED_VALUE"""),1.0)</f>
        <v>1</v>
      </c>
      <c r="O9712" s="4" t="str">
        <f>IFERROR(__xludf.DUMMYFUNCTION("""COMPUTED_VALUE"""),"Anota Ai Solucoes Digitais S/a")</f>
        <v>Anota Ai Solucoes Digitais S/a</v>
      </c>
      <c r="P9712" s="33">
        <f>IFERROR(__xludf.DUMMYFUNCTION("""COMPUTED_VALUE"""),1.0)</f>
        <v>1</v>
      </c>
      <c r="Q9712" s="4" t="str">
        <f>IFERROR(__xludf.DUMMYFUNCTION("""COMPUTED_VALUE"""),"Anota Ai Solucoes Digitais S/a")</f>
        <v>Anota Ai Solucoes Digitais S/a</v>
      </c>
      <c r="R9712" s="33">
        <f>IFERROR(__xludf.DUMMYFUNCTION("""COMPUTED_VALUE"""),1.0)</f>
        <v>1</v>
      </c>
      <c r="S9712" s="4" t="str">
        <f>IFERROR(__xludf.DUMMYFUNCTION("""COMPUTED_VALUE"""),"Anota Ai Solucoes Digitais S/a")</f>
        <v>Anota Ai Solucoes Digitais S/a</v>
      </c>
      <c r="T9712" s="33">
        <f>IFERROR(__xludf.DUMMYFUNCTION("""COMPUTED_VALUE"""),1.0)</f>
        <v>1</v>
      </c>
      <c r="U9712" s="4" t="str">
        <f>IFERROR(__xludf.DUMMYFUNCTION("""COMPUTED_VALUE"""),"Anota Ai Solucoes Digitais S/a")</f>
        <v>Anota Ai Solucoes Digitais S/a</v>
      </c>
      <c r="V9712" s="33">
        <f>IFERROR(__xludf.DUMMYFUNCTION("""COMPUTED_VALUE"""),1.0)</f>
        <v>1</v>
      </c>
      <c r="W9712" s="4" t="str">
        <f>IFERROR(__xludf.DUMMYFUNCTION("""COMPUTED_VALUE"""),"Anota Ai Solucoes Digitais S/a")</f>
        <v>Anota Ai Solucoes Digitais S/a</v>
      </c>
      <c r="X9712" s="33">
        <f>IFERROR(__xludf.DUMMYFUNCTION("""COMPUTED_VALUE"""),1.0)</f>
        <v>1</v>
      </c>
    </row>
    <row r="9713">
      <c r="K9713" s="4" t="str">
        <f>IFERROR(__xludf.DUMMYFUNCTION("""COMPUTED_VALUE"""),"ZODD MARMITARIA")</f>
        <v>ZODD MARMITARIA</v>
      </c>
      <c r="L9713" s="32">
        <f>IFERROR(__xludf.DUMMYFUNCTION("""COMPUTED_VALUE"""),1.0)</f>
        <v>1</v>
      </c>
      <c r="M9713" s="4" t="str">
        <f>IFERROR(__xludf.DUMMYFUNCTION("""COMPUTED_VALUE"""),"null")</f>
        <v>null</v>
      </c>
      <c r="N9713" s="33">
        <f>IFERROR(__xludf.DUMMYFUNCTION("""COMPUTED_VALUE"""),1.0)</f>
        <v>1</v>
      </c>
      <c r="O9713" s="4" t="str">
        <f>IFERROR(__xludf.DUMMYFUNCTION("""COMPUTED_VALUE"""),"null")</f>
        <v>null</v>
      </c>
      <c r="P9713" s="33">
        <f>IFERROR(__xludf.DUMMYFUNCTION("""COMPUTED_VALUE"""),1.0)</f>
        <v>1</v>
      </c>
      <c r="Q9713" s="4" t="str">
        <f>IFERROR(__xludf.DUMMYFUNCTION("""COMPUTED_VALUE"""),"null")</f>
        <v>null</v>
      </c>
      <c r="R9713" s="33">
        <f>IFERROR(__xludf.DUMMYFUNCTION("""COMPUTED_VALUE"""),1.0)</f>
        <v>1</v>
      </c>
      <c r="S9713" s="4" t="str">
        <f>IFERROR(__xludf.DUMMYFUNCTION("""COMPUTED_VALUE"""),"Anota Ai Solucoes Digitais S/a")</f>
        <v>Anota Ai Solucoes Digitais S/a</v>
      </c>
      <c r="T9713" s="33">
        <f>IFERROR(__xludf.DUMMYFUNCTION("""COMPUTED_VALUE"""),1.0)</f>
        <v>1</v>
      </c>
      <c r="U9713" s="4" t="str">
        <f>IFERROR(__xludf.DUMMYFUNCTION("""COMPUTED_VALUE"""),"Anota Ai Solucoes Digitais S/a")</f>
        <v>Anota Ai Solucoes Digitais S/a</v>
      </c>
      <c r="V9713" s="33">
        <f>IFERROR(__xludf.DUMMYFUNCTION("""COMPUTED_VALUE"""),1.0)</f>
        <v>1</v>
      </c>
      <c r="W9713" s="4" t="str">
        <f>IFERROR(__xludf.DUMMYFUNCTION("""COMPUTED_VALUE"""),"null")</f>
        <v>null</v>
      </c>
      <c r="X9713" s="33">
        <f>IFERROR(__xludf.DUMMYFUNCTION("""COMPUTED_VALUE"""),1.0)</f>
        <v>1</v>
      </c>
    </row>
    <row r="9714">
      <c r="K9714" s="4" t="str">
        <f>IFERROR(__xludf.DUMMYFUNCTION("""COMPUTED_VALUE"""),"HAYOLI SORVETES")</f>
        <v>HAYOLI SORVETES</v>
      </c>
      <c r="L9714" s="32">
        <f>IFERROR(__xludf.DUMMYFUNCTION("""COMPUTED_VALUE"""),1.0)</f>
        <v>1</v>
      </c>
      <c r="M9714" s="4" t="str">
        <f>IFERROR(__xludf.DUMMYFUNCTION("""COMPUTED_VALUE"""),"null")</f>
        <v>null</v>
      </c>
      <c r="N9714" s="33">
        <f>IFERROR(__xludf.DUMMYFUNCTION("""COMPUTED_VALUE"""),1.0)</f>
        <v>1</v>
      </c>
      <c r="O9714" s="4" t="str">
        <f>IFERROR(__xludf.DUMMYFUNCTION("""COMPUTED_VALUE"""),"null")</f>
        <v>null</v>
      </c>
      <c r="P9714" s="33">
        <f>IFERROR(__xludf.DUMMYFUNCTION("""COMPUTED_VALUE"""),1.0)</f>
        <v>1</v>
      </c>
      <c r="Q9714" s="4" t="str">
        <f>IFERROR(__xludf.DUMMYFUNCTION("""COMPUTED_VALUE"""),"Db Ware Company Tecnologia Ltda")</f>
        <v>Db Ware Company Tecnologia Ltda</v>
      </c>
      <c r="R9714" s="33">
        <f>IFERROR(__xludf.DUMMYFUNCTION("""COMPUTED_VALUE"""),1.0)</f>
        <v>1</v>
      </c>
      <c r="S9714" s="4" t="str">
        <f>IFERROR(__xludf.DUMMYFUNCTION("""COMPUTED_VALUE"""),"Db Ware Company Tecnologia Ltda")</f>
        <v>Db Ware Company Tecnologia Ltda</v>
      </c>
      <c r="T9714" s="33">
        <f>IFERROR(__xludf.DUMMYFUNCTION("""COMPUTED_VALUE"""),1.0)</f>
        <v>1</v>
      </c>
      <c r="U9714" s="4" t="str">
        <f>IFERROR(__xludf.DUMMYFUNCTION("""COMPUTED_VALUE"""),"Db Ware Company Tecnologia Ltda")</f>
        <v>Db Ware Company Tecnologia Ltda</v>
      </c>
      <c r="V9714" s="33">
        <f>IFERROR(__xludf.DUMMYFUNCTION("""COMPUTED_VALUE"""),1.0)</f>
        <v>1</v>
      </c>
      <c r="W9714" s="4" t="str">
        <f>IFERROR(__xludf.DUMMYFUNCTION("""COMPUTED_VALUE"""),"null")</f>
        <v>null</v>
      </c>
      <c r="X9714" s="33">
        <f>IFERROR(__xludf.DUMMYFUNCTION("""COMPUTED_VALUE"""),1.0)</f>
        <v>1</v>
      </c>
    </row>
    <row r="9715">
      <c r="K9715" s="4" t="str">
        <f>IFERROR(__xludf.DUMMYFUNCTION("""COMPUTED_VALUE"""),"MINI MENU SHOPPING RECIFE")</f>
        <v>MINI MENU SHOPPING RECIFE</v>
      </c>
      <c r="L9715" s="32">
        <f>IFERROR(__xludf.DUMMYFUNCTION("""COMPUTED_VALUE"""),1.0)</f>
        <v>1</v>
      </c>
      <c r="M9715" s="4" t="str">
        <f>IFERROR(__xludf.DUMMYFUNCTION("""COMPUTED_VALUE"""),"null")</f>
        <v>null</v>
      </c>
      <c r="N9715" s="33">
        <f>IFERROR(__xludf.DUMMYFUNCTION("""COMPUTED_VALUE"""),1.0)</f>
        <v>1</v>
      </c>
      <c r="O9715" s="4" t="str">
        <f>IFERROR(__xludf.DUMMYFUNCTION("""COMPUTED_VALUE"""),"null")</f>
        <v>null</v>
      </c>
      <c r="P9715" s="33">
        <f>IFERROR(__xludf.DUMMYFUNCTION("""COMPUTED_VALUE"""),1.0)</f>
        <v>1</v>
      </c>
      <c r="Q9715" s="4" t="str">
        <f>IFERROR(__xludf.DUMMYFUNCTION("""COMPUTED_VALUE"""),"null")</f>
        <v>null</v>
      </c>
      <c r="R9715" s="33">
        <f>IFERROR(__xludf.DUMMYFUNCTION("""COMPUTED_VALUE"""),1.0)</f>
        <v>1</v>
      </c>
      <c r="S9715" s="4" t="str">
        <f>IFERROR(__xludf.DUMMYFUNCTION("""COMPUTED_VALUE"""),"null")</f>
        <v>null</v>
      </c>
      <c r="T9715" s="33">
        <f>IFERROR(__xludf.DUMMYFUNCTION("""COMPUTED_VALUE"""),1.0)</f>
        <v>1</v>
      </c>
      <c r="U9715" s="4" t="str">
        <f>IFERROR(__xludf.DUMMYFUNCTION("""COMPUTED_VALUE"""),"Teknisa Service Ltda")</f>
        <v>Teknisa Service Ltda</v>
      </c>
      <c r="V9715" s="33">
        <f>IFERROR(__xludf.DUMMYFUNCTION("""COMPUTED_VALUE"""),1.0)</f>
        <v>1</v>
      </c>
      <c r="W9715" s="4" t="str">
        <f>IFERROR(__xludf.DUMMYFUNCTION("""COMPUTED_VALUE"""),"Teknisa Service Ltda")</f>
        <v>Teknisa Service Ltda</v>
      </c>
      <c r="X9715" s="33">
        <f>IFERROR(__xludf.DUMMYFUNCTION("""COMPUTED_VALUE"""),1.0)</f>
        <v>1</v>
      </c>
    </row>
    <row r="9716">
      <c r="K9716" s="4" t="str">
        <f>IFERROR(__xludf.DUMMYFUNCTION("""COMPUTED_VALUE"""),"MARCELOS DOG ARAPONGAS")</f>
        <v>MARCELOS DOG ARAPONGAS</v>
      </c>
      <c r="L9716" s="32">
        <f>IFERROR(__xludf.DUMMYFUNCTION("""COMPUTED_VALUE"""),1.0)</f>
        <v>1</v>
      </c>
      <c r="M9716" s="4" t="str">
        <f>IFERROR(__xludf.DUMMYFUNCTION("""COMPUTED_VALUE"""),"Beefood - Sistema Para Restaurantes")</f>
        <v>Beefood - Sistema Para Restaurantes</v>
      </c>
      <c r="N9716" s="33">
        <f>IFERROR(__xludf.DUMMYFUNCTION("""COMPUTED_VALUE"""),1.0)</f>
        <v>1</v>
      </c>
      <c r="O9716" s="4" t="str">
        <f>IFERROR(__xludf.DUMMYFUNCTION("""COMPUTED_VALUE"""),"Beefood - Sistema Para Restaurantes")</f>
        <v>Beefood - Sistema Para Restaurantes</v>
      </c>
      <c r="P9716" s="33">
        <f>IFERROR(__xludf.DUMMYFUNCTION("""COMPUTED_VALUE"""),1.0)</f>
        <v>1</v>
      </c>
      <c r="Q9716" s="4" t="str">
        <f>IFERROR(__xludf.DUMMYFUNCTION("""COMPUTED_VALUE"""),"Beefood - Sistema Para Restaurantes")</f>
        <v>Beefood - Sistema Para Restaurantes</v>
      </c>
      <c r="R9716" s="33">
        <f>IFERROR(__xludf.DUMMYFUNCTION("""COMPUTED_VALUE"""),1.0)</f>
        <v>1</v>
      </c>
      <c r="S9716" s="4" t="str">
        <f>IFERROR(__xludf.DUMMYFUNCTION("""COMPUTED_VALUE"""),"Beefood - Sistema Para Restaurantes")</f>
        <v>Beefood - Sistema Para Restaurantes</v>
      </c>
      <c r="T9716" s="33">
        <f>IFERROR(__xludf.DUMMYFUNCTION("""COMPUTED_VALUE"""),1.0)</f>
        <v>1</v>
      </c>
      <c r="U9716" s="4" t="str">
        <f>IFERROR(__xludf.DUMMYFUNCTION("""COMPUTED_VALUE"""),"Beefood - Sistema Para Restaurantes")</f>
        <v>Beefood - Sistema Para Restaurantes</v>
      </c>
      <c r="V9716" s="33">
        <f>IFERROR(__xludf.DUMMYFUNCTION("""COMPUTED_VALUE"""),1.0)</f>
        <v>1</v>
      </c>
      <c r="W9716" s="4" t="str">
        <f>IFERROR(__xludf.DUMMYFUNCTION("""COMPUTED_VALUE"""),"Beefood - Sistema Para Restaurantes")</f>
        <v>Beefood - Sistema Para Restaurantes</v>
      </c>
      <c r="X9716" s="33">
        <f>IFERROR(__xludf.DUMMYFUNCTION("""COMPUTED_VALUE"""),1.0)</f>
        <v>1</v>
      </c>
    </row>
    <row r="9717">
      <c r="K9717" s="4" t="str">
        <f>IFERROR(__xludf.DUMMYFUNCTION("""COMPUTED_VALUE"""),"DEPOSITO MERCEARIAFM")</f>
        <v>DEPOSITO MERCEARIAFM</v>
      </c>
      <c r="L9717" s="32">
        <f>IFERROR(__xludf.DUMMYFUNCTION("""COMPUTED_VALUE"""),1.0)</f>
        <v>1</v>
      </c>
      <c r="M9717" s="4" t="str">
        <f>IFERROR(__xludf.DUMMYFUNCTION("""COMPUTED_VALUE"""),"N/A (Not found)")</f>
        <v>N/A (Not found)</v>
      </c>
      <c r="N9717" s="33">
        <f>IFERROR(__xludf.DUMMYFUNCTION("""COMPUTED_VALUE"""),1.0)</f>
        <v>1</v>
      </c>
      <c r="O9717" s="4" t="str">
        <f>IFERROR(__xludf.DUMMYFUNCTION("""COMPUTED_VALUE"""),"N/A (Not found)")</f>
        <v>N/A (Not found)</v>
      </c>
      <c r="P9717" s="33">
        <f>IFERROR(__xludf.DUMMYFUNCTION("""COMPUTED_VALUE"""),1.0)</f>
        <v>1</v>
      </c>
      <c r="Q9717" s="4" t="str">
        <f>IFERROR(__xludf.DUMMYFUNCTION("""COMPUTED_VALUE"""),"N/A (Not found)")</f>
        <v>N/A (Not found)</v>
      </c>
      <c r="R9717" s="33">
        <f>IFERROR(__xludf.DUMMYFUNCTION("""COMPUTED_VALUE"""),1.0)</f>
        <v>1</v>
      </c>
      <c r="S9717" s="4" t="str">
        <f>IFERROR(__xludf.DUMMYFUNCTION("""COMPUTED_VALUE"""),"N/A (Not found)")</f>
        <v>N/A (Not found)</v>
      </c>
      <c r="T9717" s="33">
        <f>IFERROR(__xludf.DUMMYFUNCTION("""COMPUTED_VALUE"""),1.0)</f>
        <v>1</v>
      </c>
      <c r="U9717" s="4" t="str">
        <f>IFERROR(__xludf.DUMMYFUNCTION("""COMPUTED_VALUE"""),"N/A (Not found)")</f>
        <v>N/A (Not found)</v>
      </c>
      <c r="V9717" s="33">
        <f>IFERROR(__xludf.DUMMYFUNCTION("""COMPUTED_VALUE"""),1.0)</f>
        <v>1</v>
      </c>
      <c r="W9717" s="4" t="str">
        <f>IFERROR(__xludf.DUMMYFUNCTION("""COMPUTED_VALUE"""),"null")</f>
        <v>null</v>
      </c>
      <c r="X9717" s="33">
        <f>IFERROR(__xludf.DUMMYFUNCTION("""COMPUTED_VALUE"""),1.0)</f>
        <v>1</v>
      </c>
    </row>
    <row r="9718">
      <c r="K9718" s="4" t="str">
        <f>IFERROR(__xludf.DUMMYFUNCTION("""COMPUTED_VALUE"""),"DOCES DA CASA - OS MELHORES DOCES, BOLOS E A MELHOR COXINHA DE MOGI - LOJA 1")</f>
        <v>DOCES DA CASA - OS MELHORES DOCES, BOLOS E A MELHOR COXINHA DE MOGI - LOJA 1</v>
      </c>
      <c r="L9718" s="32">
        <f>IFERROR(__xludf.DUMMYFUNCTION("""COMPUTED_VALUE"""),1.0)</f>
        <v>1</v>
      </c>
      <c r="M9718" s="4" t="str">
        <f>IFERROR(__xludf.DUMMYFUNCTION("""COMPUTED_VALUE"""),"null")</f>
        <v>null</v>
      </c>
      <c r="N9718" s="33">
        <f>IFERROR(__xludf.DUMMYFUNCTION("""COMPUTED_VALUE"""),1.0)</f>
        <v>1</v>
      </c>
      <c r="O9718" s="4" t="str">
        <f>IFERROR(__xludf.DUMMYFUNCTION("""COMPUTED_VALUE"""),"Brendi")</f>
        <v>Brendi</v>
      </c>
      <c r="P9718" s="33">
        <f>IFERROR(__xludf.DUMMYFUNCTION("""COMPUTED_VALUE"""),1.0)</f>
        <v>1</v>
      </c>
      <c r="Q9718" s="4" t="str">
        <f>IFERROR(__xludf.DUMMYFUNCTION("""COMPUTED_VALUE"""),"null")</f>
        <v>null</v>
      </c>
      <c r="R9718" s="33">
        <f>IFERROR(__xludf.DUMMYFUNCTION("""COMPUTED_VALUE"""),1.0)</f>
        <v>1</v>
      </c>
      <c r="S9718" s="4" t="str">
        <f>IFERROR(__xludf.DUMMYFUNCTION("""COMPUTED_VALUE"""),"null")</f>
        <v>null</v>
      </c>
      <c r="T9718" s="33">
        <f>IFERROR(__xludf.DUMMYFUNCTION("""COMPUTED_VALUE"""),1.0)</f>
        <v>1</v>
      </c>
      <c r="U9718" s="4" t="str">
        <f>IFERROR(__xludf.DUMMYFUNCTION("""COMPUTED_VALUE"""),"null")</f>
        <v>null</v>
      </c>
      <c r="V9718" s="33">
        <f>IFERROR(__xludf.DUMMYFUNCTION("""COMPUTED_VALUE"""),1.0)</f>
        <v>1</v>
      </c>
      <c r="W9718" s="4" t="str">
        <f>IFERROR(__xludf.DUMMYFUNCTION("""COMPUTED_VALUE"""),"null")</f>
        <v>null</v>
      </c>
      <c r="X9718" s="33">
        <f>IFERROR(__xludf.DUMMYFUNCTION("""COMPUTED_VALUE"""),1.0)</f>
        <v>1</v>
      </c>
    </row>
    <row r="9719">
      <c r="K9719" s="4" t="str">
        <f>IFERROR(__xludf.DUMMYFUNCTION("""COMPUTED_VALUE"""),"A ESPETINHO DE OURO")</f>
        <v>A ESPETINHO DE OURO</v>
      </c>
      <c r="L9719" s="32">
        <f>IFERROR(__xludf.DUMMYFUNCTION("""COMPUTED_VALUE"""),1.0)</f>
        <v>1</v>
      </c>
      <c r="M9719" s="4" t="str">
        <f>IFERROR(__xludf.DUMMYFUNCTION("""COMPUTED_VALUE"""),"Saipos Serviços De Software")</f>
        <v>Saipos Serviços De Software</v>
      </c>
      <c r="N9719" s="33">
        <f>IFERROR(__xludf.DUMMYFUNCTION("""COMPUTED_VALUE"""),1.0)</f>
        <v>1</v>
      </c>
      <c r="O9719" s="4" t="str">
        <f>IFERROR(__xludf.DUMMYFUNCTION("""COMPUTED_VALUE"""),"Saipos Serviços De Software")</f>
        <v>Saipos Serviços De Software</v>
      </c>
      <c r="P9719" s="33">
        <f>IFERROR(__xludf.DUMMYFUNCTION("""COMPUTED_VALUE"""),1.0)</f>
        <v>1</v>
      </c>
      <c r="Q9719" s="4" t="str">
        <f>IFERROR(__xludf.DUMMYFUNCTION("""COMPUTED_VALUE"""),"Saipos Serviços De Software")</f>
        <v>Saipos Serviços De Software</v>
      </c>
      <c r="R9719" s="33">
        <f>IFERROR(__xludf.DUMMYFUNCTION("""COMPUTED_VALUE"""),1.0)</f>
        <v>1</v>
      </c>
      <c r="S9719" s="4" t="str">
        <f>IFERROR(__xludf.DUMMYFUNCTION("""COMPUTED_VALUE"""),"Saipos Serviços De Software")</f>
        <v>Saipos Serviços De Software</v>
      </c>
      <c r="T9719" s="33">
        <f>IFERROR(__xludf.DUMMYFUNCTION("""COMPUTED_VALUE"""),1.0)</f>
        <v>1</v>
      </c>
      <c r="U9719" s="4" t="str">
        <f>IFERROR(__xludf.DUMMYFUNCTION("""COMPUTED_VALUE"""),"Saipos Serviços De Software")</f>
        <v>Saipos Serviços De Software</v>
      </c>
      <c r="V9719" s="33">
        <f>IFERROR(__xludf.DUMMYFUNCTION("""COMPUTED_VALUE"""),1.0)</f>
        <v>1</v>
      </c>
      <c r="W9719" s="4" t="str">
        <f>IFERROR(__xludf.DUMMYFUNCTION("""COMPUTED_VALUE"""),"Saipos Serviços De Software")</f>
        <v>Saipos Serviços De Software</v>
      </c>
      <c r="X9719" s="33">
        <f>IFERROR(__xludf.DUMMYFUNCTION("""COMPUTED_VALUE"""),1.0)</f>
        <v>1</v>
      </c>
    </row>
    <row r="9720">
      <c r="K9720" s="4" t="str">
        <f>IFERROR(__xludf.DUMMYFUNCTION("""COMPUTED_VALUE"""),"XIAS BURGER")</f>
        <v>XIAS BURGER</v>
      </c>
      <c r="L9720" s="32">
        <f>IFERROR(__xludf.DUMMYFUNCTION("""COMPUTED_VALUE"""),1.0)</f>
        <v>1</v>
      </c>
      <c r="M9720" s="4" t="str">
        <f>IFERROR(__xludf.DUMMYFUNCTION("""COMPUTED_VALUE"""),"Olaclick")</f>
        <v>Olaclick</v>
      </c>
      <c r="N9720" s="33">
        <f>IFERROR(__xludf.DUMMYFUNCTION("""COMPUTED_VALUE"""),1.0)</f>
        <v>1</v>
      </c>
      <c r="O9720" s="4" t="str">
        <f>IFERROR(__xludf.DUMMYFUNCTION("""COMPUTED_VALUE"""),"null")</f>
        <v>null</v>
      </c>
      <c r="P9720" s="33">
        <f>IFERROR(__xludf.DUMMYFUNCTION("""COMPUTED_VALUE"""),1.0)</f>
        <v>1</v>
      </c>
      <c r="Q9720" s="4" t="str">
        <f>IFERROR(__xludf.DUMMYFUNCTION("""COMPUTED_VALUE"""),"null")</f>
        <v>null</v>
      </c>
      <c r="R9720" s="33">
        <f>IFERROR(__xludf.DUMMYFUNCTION("""COMPUTED_VALUE"""),1.0)</f>
        <v>1</v>
      </c>
      <c r="S9720" s="4" t="str">
        <f>IFERROR(__xludf.DUMMYFUNCTION("""COMPUTED_VALUE"""),"null")</f>
        <v>null</v>
      </c>
      <c r="T9720" s="33">
        <f>IFERROR(__xludf.DUMMYFUNCTION("""COMPUTED_VALUE"""),1.0)</f>
        <v>1</v>
      </c>
      <c r="U9720" s="4" t="str">
        <f>IFERROR(__xludf.DUMMYFUNCTION("""COMPUTED_VALUE"""),"null")</f>
        <v>null</v>
      </c>
      <c r="V9720" s="33">
        <f>IFERROR(__xludf.DUMMYFUNCTION("""COMPUTED_VALUE"""),1.0)</f>
        <v>1</v>
      </c>
      <c r="W9720" s="4" t="str">
        <f>IFERROR(__xludf.DUMMYFUNCTION("""COMPUTED_VALUE"""),"null")</f>
        <v>null</v>
      </c>
      <c r="X9720" s="33">
        <f>IFERROR(__xludf.DUMMYFUNCTION("""COMPUTED_VALUE"""),1.0)</f>
        <v>1</v>
      </c>
    </row>
    <row r="9721">
      <c r="K9721" s="4" t="str">
        <f>IFERROR(__xludf.DUMMYFUNCTION("""COMPUTED_VALUE"""),"START OVER HAMBURGUER ARTESANAL")</f>
        <v>START OVER HAMBURGUER ARTESANAL</v>
      </c>
      <c r="L9721" s="32">
        <f>IFERROR(__xludf.DUMMYFUNCTION("""COMPUTED_VALUE"""),1.0)</f>
        <v>1</v>
      </c>
      <c r="M9721" s="4" t="str">
        <f>IFERROR(__xludf.DUMMYFUNCTION("""COMPUTED_VALUE"""),"Alloy Tecnologia")</f>
        <v>Alloy Tecnologia</v>
      </c>
      <c r="N9721" s="33">
        <f>IFERROR(__xludf.DUMMYFUNCTION("""COMPUTED_VALUE"""),1.0)</f>
        <v>1</v>
      </c>
      <c r="O9721" s="4" t="str">
        <f>IFERROR(__xludf.DUMMYFUNCTION("""COMPUTED_VALUE"""),"Alloy Tecnologia")</f>
        <v>Alloy Tecnologia</v>
      </c>
      <c r="P9721" s="33">
        <f>IFERROR(__xludf.DUMMYFUNCTION("""COMPUTED_VALUE"""),1.0)</f>
        <v>1</v>
      </c>
      <c r="Q9721" s="4" t="str">
        <f>IFERROR(__xludf.DUMMYFUNCTION("""COMPUTED_VALUE"""),"Alloy Tecnologia")</f>
        <v>Alloy Tecnologia</v>
      </c>
      <c r="R9721" s="33">
        <f>IFERROR(__xludf.DUMMYFUNCTION("""COMPUTED_VALUE"""),1.0)</f>
        <v>1</v>
      </c>
      <c r="S9721" s="4" t="str">
        <f>IFERROR(__xludf.DUMMYFUNCTION("""COMPUTED_VALUE"""),"Alloy Tecnologia")</f>
        <v>Alloy Tecnologia</v>
      </c>
      <c r="T9721" s="33">
        <f>IFERROR(__xludf.DUMMYFUNCTION("""COMPUTED_VALUE"""),1.0)</f>
        <v>1</v>
      </c>
      <c r="U9721" s="4" t="str">
        <f>IFERROR(__xludf.DUMMYFUNCTION("""COMPUTED_VALUE"""),"Alloy Tecnologia")</f>
        <v>Alloy Tecnologia</v>
      </c>
      <c r="V9721" s="33">
        <f>IFERROR(__xludf.DUMMYFUNCTION("""COMPUTED_VALUE"""),1.0)</f>
        <v>1</v>
      </c>
      <c r="W9721" s="4" t="str">
        <f>IFERROR(__xludf.DUMMYFUNCTION("""COMPUTED_VALUE"""),"Alloy Tecnologia")</f>
        <v>Alloy Tecnologia</v>
      </c>
      <c r="X9721" s="33">
        <f>IFERROR(__xludf.DUMMYFUNCTION("""COMPUTED_VALUE"""),1.0)</f>
        <v>1</v>
      </c>
    </row>
    <row r="9722">
      <c r="K9722" s="4" t="str">
        <f>IFERROR(__xludf.DUMMYFUNCTION("""COMPUTED_VALUE"""),"RESTAURANTE ALGARVE RIACHOFD1")</f>
        <v>RESTAURANTE ALGARVE RIACHOFD1</v>
      </c>
      <c r="L9722" s="32">
        <f>IFERROR(__xludf.DUMMYFUNCTION("""COMPUTED_VALUE"""),1.0)</f>
        <v>1</v>
      </c>
      <c r="M9722" s="4" t="str">
        <f>IFERROR(__xludf.DUMMYFUNCTION("""COMPUTED_VALUE"""),"null")</f>
        <v>null</v>
      </c>
      <c r="N9722" s="33">
        <f>IFERROR(__xludf.DUMMYFUNCTION("""COMPUTED_VALUE"""),1.0)</f>
        <v>1</v>
      </c>
      <c r="O9722" s="4" t="str">
        <f>IFERROR(__xludf.DUMMYFUNCTION("""COMPUTED_VALUE"""),"null")</f>
        <v>null</v>
      </c>
      <c r="P9722" s="33">
        <f>IFERROR(__xludf.DUMMYFUNCTION("""COMPUTED_VALUE"""),1.0)</f>
        <v>1</v>
      </c>
      <c r="Q9722" s="4" t="str">
        <f>IFERROR(__xludf.DUMMYFUNCTION("""COMPUTED_VALUE"""),"null")</f>
        <v>null</v>
      </c>
      <c r="R9722" s="33">
        <f>IFERROR(__xludf.DUMMYFUNCTION("""COMPUTED_VALUE"""),1.0)</f>
        <v>1</v>
      </c>
      <c r="S9722" s="4" t="str">
        <f>IFERROR(__xludf.DUMMYFUNCTION("""COMPUTED_VALUE"""),"null")</f>
        <v>null</v>
      </c>
      <c r="T9722" s="33">
        <f>IFERROR(__xludf.DUMMYFUNCTION("""COMPUTED_VALUE"""),1.0)</f>
        <v>1</v>
      </c>
      <c r="U9722" s="4" t="str">
        <f>IFERROR(__xludf.DUMMYFUNCTION("""COMPUTED_VALUE"""),"Saipos Serviços De Software")</f>
        <v>Saipos Serviços De Software</v>
      </c>
      <c r="V9722" s="33">
        <f>IFERROR(__xludf.DUMMYFUNCTION("""COMPUTED_VALUE"""),1.0)</f>
        <v>1</v>
      </c>
      <c r="W9722" s="4" t="str">
        <f>IFERROR(__xludf.DUMMYFUNCTION("""COMPUTED_VALUE"""),"Saipos Serviços De Software")</f>
        <v>Saipos Serviços De Software</v>
      </c>
      <c r="X9722" s="33">
        <f>IFERROR(__xludf.DUMMYFUNCTION("""COMPUTED_VALUE"""),1.0)</f>
        <v>1</v>
      </c>
    </row>
    <row r="9723">
      <c r="K9723" s="4" t="str">
        <f>IFERROR(__xludf.DUMMYFUNCTION("""COMPUTED_VALUE"""),"EXPRESSO ASSADOS E BURGER")</f>
        <v>EXPRESSO ASSADOS E BURGER</v>
      </c>
      <c r="L9723" s="32">
        <f>IFERROR(__xludf.DUMMYFUNCTION("""COMPUTED_VALUE"""),1.0)</f>
        <v>1</v>
      </c>
      <c r="M9723" s="4" t="str">
        <f>IFERROR(__xludf.DUMMYFUNCTION("""COMPUTED_VALUE"""),"null")</f>
        <v>null</v>
      </c>
      <c r="N9723" s="33">
        <f>IFERROR(__xludf.DUMMYFUNCTION("""COMPUTED_VALUE"""),1.0)</f>
        <v>1</v>
      </c>
      <c r="O9723" s="4" t="str">
        <f>IFERROR(__xludf.DUMMYFUNCTION("""COMPUTED_VALUE"""),"null")</f>
        <v>null</v>
      </c>
      <c r="P9723" s="33">
        <f>IFERROR(__xludf.DUMMYFUNCTION("""COMPUTED_VALUE"""),1.0)</f>
        <v>1</v>
      </c>
      <c r="Q9723" s="4" t="str">
        <f>IFERROR(__xludf.DUMMYFUNCTION("""COMPUTED_VALUE"""),"null")</f>
        <v>null</v>
      </c>
      <c r="R9723" s="33">
        <f>IFERROR(__xludf.DUMMYFUNCTION("""COMPUTED_VALUE"""),1.0)</f>
        <v>1</v>
      </c>
      <c r="S9723" s="4" t="str">
        <f>IFERROR(__xludf.DUMMYFUNCTION("""COMPUTED_VALUE"""),"Datacaixa Pdv")</f>
        <v>Datacaixa Pdv</v>
      </c>
      <c r="T9723" s="33">
        <f>IFERROR(__xludf.DUMMYFUNCTION("""COMPUTED_VALUE"""),1.0)</f>
        <v>1</v>
      </c>
      <c r="U9723" s="4" t="str">
        <f>IFERROR(__xludf.DUMMYFUNCTION("""COMPUTED_VALUE"""),"Datacaixa Pdv")</f>
        <v>Datacaixa Pdv</v>
      </c>
      <c r="V9723" s="33">
        <f>IFERROR(__xludf.DUMMYFUNCTION("""COMPUTED_VALUE"""),1.0)</f>
        <v>1</v>
      </c>
      <c r="W9723" s="4" t="str">
        <f>IFERROR(__xludf.DUMMYFUNCTION("""COMPUTED_VALUE"""),"Datacaixa Pdv")</f>
        <v>Datacaixa Pdv</v>
      </c>
      <c r="X9723" s="33">
        <f>IFERROR(__xludf.DUMMYFUNCTION("""COMPUTED_VALUE"""),1.0)</f>
        <v>1</v>
      </c>
    </row>
    <row r="9724">
      <c r="K9724" s="4" t="str">
        <f>IFERROR(__xludf.DUMMYFUNCTION("""COMPUTED_VALUE"""),"FECHADA 123")</f>
        <v>FECHADA 123</v>
      </c>
      <c r="L9724" s="32">
        <f>IFERROR(__xludf.DUMMYFUNCTION("""COMPUTED_VALUE"""),1.0)</f>
        <v>1</v>
      </c>
      <c r="M9724" s="4" t="str">
        <f>IFERROR(__xludf.DUMMYFUNCTION("""COMPUTED_VALUE"""),"Diggy")</f>
        <v>Diggy</v>
      </c>
      <c r="N9724" s="33">
        <f>IFERROR(__xludf.DUMMYFUNCTION("""COMPUTED_VALUE"""),1.0)</f>
        <v>1</v>
      </c>
      <c r="O9724" s="4" t="str">
        <f>IFERROR(__xludf.DUMMYFUNCTION("""COMPUTED_VALUE"""),"Diggy")</f>
        <v>Diggy</v>
      </c>
      <c r="P9724" s="33">
        <f>IFERROR(__xludf.DUMMYFUNCTION("""COMPUTED_VALUE"""),1.0)</f>
        <v>1</v>
      </c>
      <c r="Q9724" s="4" t="str">
        <f>IFERROR(__xludf.DUMMYFUNCTION("""COMPUTED_VALUE"""),"null")</f>
        <v>null</v>
      </c>
      <c r="R9724" s="33">
        <f>IFERROR(__xludf.DUMMYFUNCTION("""COMPUTED_VALUE"""),1.0)</f>
        <v>1</v>
      </c>
      <c r="S9724" s="4" t="str">
        <f>IFERROR(__xludf.DUMMYFUNCTION("""COMPUTED_VALUE"""),"null")</f>
        <v>null</v>
      </c>
      <c r="T9724" s="33">
        <f>IFERROR(__xludf.DUMMYFUNCTION("""COMPUTED_VALUE"""),1.0)</f>
        <v>1</v>
      </c>
      <c r="U9724" s="4" t="str">
        <f>IFERROR(__xludf.DUMMYFUNCTION("""COMPUTED_VALUE"""),"null")</f>
        <v>null</v>
      </c>
      <c r="V9724" s="33">
        <f>IFERROR(__xludf.DUMMYFUNCTION("""COMPUTED_VALUE"""),1.0)</f>
        <v>1</v>
      </c>
      <c r="W9724" s="4" t="str">
        <f>IFERROR(__xludf.DUMMYFUNCTION("""COMPUTED_VALUE"""),"null")</f>
        <v>null</v>
      </c>
      <c r="X9724" s="33">
        <f>IFERROR(__xludf.DUMMYFUNCTION("""COMPUTED_VALUE"""),1.0)</f>
        <v>1</v>
      </c>
    </row>
    <row r="9725">
      <c r="K9725" s="4" t="str">
        <f>IFERROR(__xludf.DUMMYFUNCTION("""COMPUTED_VALUE"""),"SERIDOG CACHORRO QUENTE")</f>
        <v>SERIDOG CACHORRO QUENTE</v>
      </c>
      <c r="L9725" s="32">
        <f>IFERROR(__xludf.DUMMYFUNCTION("""COMPUTED_VALUE"""),1.0)</f>
        <v>1</v>
      </c>
      <c r="M9725" s="4" t="str">
        <f>IFERROR(__xludf.DUMMYFUNCTION("""COMPUTED_VALUE"""),"Saipos Serviços De Software")</f>
        <v>Saipos Serviços De Software</v>
      </c>
      <c r="N9725" s="33">
        <f>IFERROR(__xludf.DUMMYFUNCTION("""COMPUTED_VALUE"""),1.0)</f>
        <v>1</v>
      </c>
      <c r="O9725" s="4" t="str">
        <f>IFERROR(__xludf.DUMMYFUNCTION("""COMPUTED_VALUE"""),"Saipos Serviços De Software")</f>
        <v>Saipos Serviços De Software</v>
      </c>
      <c r="P9725" s="33">
        <f>IFERROR(__xludf.DUMMYFUNCTION("""COMPUTED_VALUE"""),1.0)</f>
        <v>1</v>
      </c>
      <c r="Q9725" s="4" t="str">
        <f>IFERROR(__xludf.DUMMYFUNCTION("""COMPUTED_VALUE"""),"Saipos Serviços De Software")</f>
        <v>Saipos Serviços De Software</v>
      </c>
      <c r="R9725" s="33">
        <f>IFERROR(__xludf.DUMMYFUNCTION("""COMPUTED_VALUE"""),1.0)</f>
        <v>1</v>
      </c>
      <c r="S9725" s="4" t="str">
        <f>IFERROR(__xludf.DUMMYFUNCTION("""COMPUTED_VALUE"""),"Saipos Serviços De Software")</f>
        <v>Saipos Serviços De Software</v>
      </c>
      <c r="T9725" s="33">
        <f>IFERROR(__xludf.DUMMYFUNCTION("""COMPUTED_VALUE"""),1.0)</f>
        <v>1</v>
      </c>
      <c r="U9725" s="4" t="str">
        <f>IFERROR(__xludf.DUMMYFUNCTION("""COMPUTED_VALUE"""),"Saipos Serviços De Software")</f>
        <v>Saipos Serviços De Software</v>
      </c>
      <c r="V9725" s="33">
        <f>IFERROR(__xludf.DUMMYFUNCTION("""COMPUTED_VALUE"""),1.0)</f>
        <v>1</v>
      </c>
      <c r="W9725" s="4" t="str">
        <f>IFERROR(__xludf.DUMMYFUNCTION("""COMPUTED_VALUE"""),"Saipos Serviços De Software")</f>
        <v>Saipos Serviços De Software</v>
      </c>
      <c r="X9725" s="33">
        <f>IFERROR(__xludf.DUMMYFUNCTION("""COMPUTED_VALUE"""),1.0)</f>
        <v>1</v>
      </c>
    </row>
    <row r="9726">
      <c r="K9726" s="4" t="str">
        <f>IFERROR(__xludf.DUMMYFUNCTION("""COMPUTED_VALUE"""),"MAREMOTO SUSHI")</f>
        <v>MAREMOTO SUSHI</v>
      </c>
      <c r="L9726" s="32">
        <f>IFERROR(__xludf.DUMMYFUNCTION("""COMPUTED_VALUE"""),1.0)</f>
        <v>1</v>
      </c>
      <c r="M9726" s="4" t="str">
        <f>IFERROR(__xludf.DUMMYFUNCTION("""COMPUTED_VALUE"""),"Edm Softwares")</f>
        <v>Edm Softwares</v>
      </c>
      <c r="N9726" s="33">
        <f>IFERROR(__xludf.DUMMYFUNCTION("""COMPUTED_VALUE"""),1.0)</f>
        <v>1</v>
      </c>
      <c r="O9726" s="4" t="str">
        <f>IFERROR(__xludf.DUMMYFUNCTION("""COMPUTED_VALUE"""),"null")</f>
        <v>null</v>
      </c>
      <c r="P9726" s="33">
        <f>IFERROR(__xludf.DUMMYFUNCTION("""COMPUTED_VALUE"""),1.0)</f>
        <v>1</v>
      </c>
      <c r="Q9726" s="4" t="str">
        <f>IFERROR(__xludf.DUMMYFUNCTION("""COMPUTED_VALUE"""),"null")</f>
        <v>null</v>
      </c>
      <c r="R9726" s="33">
        <f>IFERROR(__xludf.DUMMYFUNCTION("""COMPUTED_VALUE"""),1.0)</f>
        <v>1</v>
      </c>
      <c r="S9726" s="4" t="str">
        <f>IFERROR(__xludf.DUMMYFUNCTION("""COMPUTED_VALUE"""),"null")</f>
        <v>null</v>
      </c>
      <c r="T9726" s="33">
        <f>IFERROR(__xludf.DUMMYFUNCTION("""COMPUTED_VALUE"""),1.0)</f>
        <v>1</v>
      </c>
      <c r="U9726" s="4" t="str">
        <f>IFERROR(__xludf.DUMMYFUNCTION("""COMPUTED_VALUE"""),"null")</f>
        <v>null</v>
      </c>
      <c r="V9726" s="33">
        <f>IFERROR(__xludf.DUMMYFUNCTION("""COMPUTED_VALUE"""),1.0)</f>
        <v>1</v>
      </c>
      <c r="W9726" s="4" t="str">
        <f>IFERROR(__xludf.DUMMYFUNCTION("""COMPUTED_VALUE"""),"null")</f>
        <v>null</v>
      </c>
      <c r="X9726" s="33">
        <f>IFERROR(__xludf.DUMMYFUNCTION("""COMPUTED_VALUE"""),1.0)</f>
        <v>1</v>
      </c>
    </row>
    <row r="9727">
      <c r="K9727" s="4" t="str">
        <f>IFERROR(__xludf.DUMMYFUNCTION("""COMPUTED_VALUE"""),"RESTAURANTE REI DA CORONEL")</f>
        <v>RESTAURANTE REI DA CORONEL</v>
      </c>
      <c r="L9727" s="32">
        <f>IFERROR(__xludf.DUMMYFUNCTION("""COMPUTED_VALUE"""),1.0)</f>
        <v>1</v>
      </c>
      <c r="M9727" s="4" t="str">
        <f>IFERROR(__xludf.DUMMYFUNCTION("""COMPUTED_VALUE"""),"null")</f>
        <v>null</v>
      </c>
      <c r="N9727" s="33">
        <f>IFERROR(__xludf.DUMMYFUNCTION("""COMPUTED_VALUE"""),1.0)</f>
        <v>1</v>
      </c>
      <c r="O9727" s="4" t="str">
        <f>IFERROR(__xludf.DUMMYFUNCTION("""COMPUTED_VALUE"""),"Saipos Serviços De Software")</f>
        <v>Saipos Serviços De Software</v>
      </c>
      <c r="P9727" s="33">
        <f>IFERROR(__xludf.DUMMYFUNCTION("""COMPUTED_VALUE"""),1.0)</f>
        <v>1</v>
      </c>
      <c r="Q9727" s="4" t="str">
        <f>IFERROR(__xludf.DUMMYFUNCTION("""COMPUTED_VALUE"""),"null")</f>
        <v>null</v>
      </c>
      <c r="R9727" s="33">
        <f>IFERROR(__xludf.DUMMYFUNCTION("""COMPUTED_VALUE"""),1.0)</f>
        <v>1</v>
      </c>
      <c r="S9727" s="4" t="str">
        <f>IFERROR(__xludf.DUMMYFUNCTION("""COMPUTED_VALUE"""),"null")</f>
        <v>null</v>
      </c>
      <c r="T9727" s="33">
        <f>IFERROR(__xludf.DUMMYFUNCTION("""COMPUTED_VALUE"""),1.0)</f>
        <v>1</v>
      </c>
      <c r="U9727" s="4" t="str">
        <f>IFERROR(__xludf.DUMMYFUNCTION("""COMPUTED_VALUE"""),"null")</f>
        <v>null</v>
      </c>
      <c r="V9727" s="33">
        <f>IFERROR(__xludf.DUMMYFUNCTION("""COMPUTED_VALUE"""),1.0)</f>
        <v>1</v>
      </c>
      <c r="W9727" s="4" t="str">
        <f>IFERROR(__xludf.DUMMYFUNCTION("""COMPUTED_VALUE"""),"null")</f>
        <v>null</v>
      </c>
      <c r="X9727" s="33">
        <f>IFERROR(__xludf.DUMMYFUNCTION("""COMPUTED_VALUE"""),1.0)</f>
        <v>1</v>
      </c>
    </row>
    <row r="9728">
      <c r="K9728" s="4" t="str">
        <f>IFERROR(__xludf.DUMMYFUNCTION("""COMPUTED_VALUE"""),"JB REFEICOES MARMITAS")</f>
        <v>JB REFEICOES MARMITAS</v>
      </c>
      <c r="L9728" s="32">
        <f>IFERROR(__xludf.DUMMYFUNCTION("""COMPUTED_VALUE"""),1.0)</f>
        <v>1</v>
      </c>
      <c r="M9728" s="4">
        <f>IFERROR(__xludf.DUMMYFUNCTION("""COMPUTED_VALUE"""),88.0)</f>
        <v>88</v>
      </c>
      <c r="N9728" s="33">
        <f>IFERROR(__xludf.DUMMYFUNCTION("""COMPUTED_VALUE"""),1.0)</f>
        <v>1</v>
      </c>
      <c r="O9728" s="4" t="str">
        <f>IFERROR(__xludf.DUMMYFUNCTION("""COMPUTED_VALUE"""),"null")</f>
        <v>null</v>
      </c>
      <c r="P9728" s="33">
        <f>IFERROR(__xludf.DUMMYFUNCTION("""COMPUTED_VALUE"""),1.0)</f>
        <v>1</v>
      </c>
      <c r="Q9728" s="4" t="str">
        <f>IFERROR(__xludf.DUMMYFUNCTION("""COMPUTED_VALUE"""),"null")</f>
        <v>null</v>
      </c>
      <c r="R9728" s="33">
        <f>IFERROR(__xludf.DUMMYFUNCTION("""COMPUTED_VALUE"""),1.0)</f>
        <v>1</v>
      </c>
      <c r="S9728" s="4" t="str">
        <f>IFERROR(__xludf.DUMMYFUNCTION("""COMPUTED_VALUE"""),"null")</f>
        <v>null</v>
      </c>
      <c r="T9728" s="33">
        <f>IFERROR(__xludf.DUMMYFUNCTION("""COMPUTED_VALUE"""),1.0)</f>
        <v>1</v>
      </c>
      <c r="U9728" s="4" t="str">
        <f>IFERROR(__xludf.DUMMYFUNCTION("""COMPUTED_VALUE"""),"null")</f>
        <v>null</v>
      </c>
      <c r="V9728" s="33">
        <f>IFERROR(__xludf.DUMMYFUNCTION("""COMPUTED_VALUE"""),1.0)</f>
        <v>1</v>
      </c>
      <c r="W9728" s="4" t="str">
        <f>IFERROR(__xludf.DUMMYFUNCTION("""COMPUTED_VALUE"""),"null")</f>
        <v>null</v>
      </c>
      <c r="X9728" s="33">
        <f>IFERROR(__xludf.DUMMYFUNCTION("""COMPUTED_VALUE"""),1.0)</f>
        <v>1</v>
      </c>
    </row>
    <row r="9729">
      <c r="K9729" s="4" t="str">
        <f>IFERROR(__xludf.DUMMYFUNCTION("""COMPUTED_VALUE"""),"T BURGUER HAMBURGUERIA HAMBURGUER LANCHE")</f>
        <v>T BURGUER HAMBURGUERIA HAMBURGUER LANCHE</v>
      </c>
      <c r="L9729" s="32">
        <f>IFERROR(__xludf.DUMMYFUNCTION("""COMPUTED_VALUE"""),1.0)</f>
        <v>1</v>
      </c>
      <c r="M9729" s="4" t="str">
        <f>IFERROR(__xludf.DUMMYFUNCTION("""COMPUTED_VALUE"""),"Cardápio Web")</f>
        <v>Cardápio Web</v>
      </c>
      <c r="N9729" s="33">
        <f>IFERROR(__xludf.DUMMYFUNCTION("""COMPUTED_VALUE"""),1.0)</f>
        <v>1</v>
      </c>
      <c r="O9729" s="4" t="str">
        <f>IFERROR(__xludf.DUMMYFUNCTION("""COMPUTED_VALUE"""),"Cardápio Web")</f>
        <v>Cardápio Web</v>
      </c>
      <c r="P9729" s="33">
        <f>IFERROR(__xludf.DUMMYFUNCTION("""COMPUTED_VALUE"""),1.0)</f>
        <v>1</v>
      </c>
      <c r="Q9729" s="4" t="str">
        <f>IFERROR(__xludf.DUMMYFUNCTION("""COMPUTED_VALUE"""),"Cardápio Web")</f>
        <v>Cardápio Web</v>
      </c>
      <c r="R9729" s="33">
        <f>IFERROR(__xludf.DUMMYFUNCTION("""COMPUTED_VALUE"""),1.0)</f>
        <v>1</v>
      </c>
      <c r="S9729" s="4" t="str">
        <f>IFERROR(__xludf.DUMMYFUNCTION("""COMPUTED_VALUE"""),"Cardápio Web")</f>
        <v>Cardápio Web</v>
      </c>
      <c r="T9729" s="33">
        <f>IFERROR(__xludf.DUMMYFUNCTION("""COMPUTED_VALUE"""),1.0)</f>
        <v>1</v>
      </c>
      <c r="U9729" s="4" t="str">
        <f>IFERROR(__xludf.DUMMYFUNCTION("""COMPUTED_VALUE"""),"Cardápio Web")</f>
        <v>Cardápio Web</v>
      </c>
      <c r="V9729" s="33">
        <f>IFERROR(__xludf.DUMMYFUNCTION("""COMPUTED_VALUE"""),1.0)</f>
        <v>1</v>
      </c>
      <c r="W9729" s="4" t="str">
        <f>IFERROR(__xludf.DUMMYFUNCTION("""COMPUTED_VALUE"""),"Cardápio Web")</f>
        <v>Cardápio Web</v>
      </c>
      <c r="X9729" s="33">
        <f>IFERROR(__xludf.DUMMYFUNCTION("""COMPUTED_VALUE"""),1.0)</f>
        <v>1</v>
      </c>
    </row>
    <row r="9730">
      <c r="K9730" s="4" t="str">
        <f>IFERROR(__xludf.DUMMYFUNCTION("""COMPUTED_VALUE"""),"PALADAR MIX")</f>
        <v>PALADAR MIX</v>
      </c>
      <c r="L9730" s="32">
        <f>IFERROR(__xludf.DUMMYFUNCTION("""COMPUTED_VALUE"""),1.0)</f>
        <v>1</v>
      </c>
      <c r="M9730" s="4" t="str">
        <f>IFERROR(__xludf.DUMMYFUNCTION("""COMPUTED_VALUE"""),"null")</f>
        <v>null</v>
      </c>
      <c r="N9730" s="33">
        <f>IFERROR(__xludf.DUMMYFUNCTION("""COMPUTED_VALUE"""),1.0)</f>
        <v>1</v>
      </c>
      <c r="O9730" s="4" t="str">
        <f>IFERROR(__xludf.DUMMYFUNCTION("""COMPUTED_VALUE"""),"null")</f>
        <v>null</v>
      </c>
      <c r="P9730" s="33">
        <f>IFERROR(__xludf.DUMMYFUNCTION("""COMPUTED_VALUE"""),1.0)</f>
        <v>1</v>
      </c>
      <c r="Q9730" s="4" t="str">
        <f>IFERROR(__xludf.DUMMYFUNCTION("""COMPUTED_VALUE"""),"Saipos Serviços De Software")</f>
        <v>Saipos Serviços De Software</v>
      </c>
      <c r="R9730" s="33">
        <f>IFERROR(__xludf.DUMMYFUNCTION("""COMPUTED_VALUE"""),1.0)</f>
        <v>1</v>
      </c>
      <c r="S9730" s="4" t="str">
        <f>IFERROR(__xludf.DUMMYFUNCTION("""COMPUTED_VALUE"""),"Saipos Serviços De Software")</f>
        <v>Saipos Serviços De Software</v>
      </c>
      <c r="T9730" s="33">
        <f>IFERROR(__xludf.DUMMYFUNCTION("""COMPUTED_VALUE"""),1.0)</f>
        <v>1</v>
      </c>
      <c r="U9730" s="4" t="str">
        <f>IFERROR(__xludf.DUMMYFUNCTION("""COMPUTED_VALUE"""),"Saipos Serviços De Software")</f>
        <v>Saipos Serviços De Software</v>
      </c>
      <c r="V9730" s="33">
        <f>IFERROR(__xludf.DUMMYFUNCTION("""COMPUTED_VALUE"""),1.0)</f>
        <v>1</v>
      </c>
      <c r="W9730" s="4" t="str">
        <f>IFERROR(__xludf.DUMMYFUNCTION("""COMPUTED_VALUE"""),"Saipos Serviços De Software")</f>
        <v>Saipos Serviços De Software</v>
      </c>
      <c r="X9730" s="33">
        <f>IFERROR(__xludf.DUMMYFUNCTION("""COMPUTED_VALUE"""),1.0)</f>
        <v>1</v>
      </c>
    </row>
    <row r="9731">
      <c r="K9731" s="4" t="str">
        <f>IFERROR(__xludf.DUMMYFUNCTION("""COMPUTED_VALUE"""),"OLIV BURGERS HAMBURGUERIA")</f>
        <v>OLIV BURGERS HAMBURGUERIA</v>
      </c>
      <c r="L9731" s="32">
        <f>IFERROR(__xludf.DUMMYFUNCTION("""COMPUTED_VALUE"""),1.0)</f>
        <v>1</v>
      </c>
      <c r="M9731" s="4" t="str">
        <f>IFERROR(__xludf.DUMMYFUNCTION("""COMPUTED_VALUE"""),"Brendi")</f>
        <v>Brendi</v>
      </c>
      <c r="N9731" s="33">
        <f>IFERROR(__xludf.DUMMYFUNCTION("""COMPUTED_VALUE"""),1.0)</f>
        <v>1</v>
      </c>
      <c r="O9731" s="4" t="str">
        <f>IFERROR(__xludf.DUMMYFUNCTION("""COMPUTED_VALUE"""),"Brendi")</f>
        <v>Brendi</v>
      </c>
      <c r="P9731" s="33">
        <f>IFERROR(__xludf.DUMMYFUNCTION("""COMPUTED_VALUE"""),1.0)</f>
        <v>1</v>
      </c>
      <c r="Q9731" s="4" t="str">
        <f>IFERROR(__xludf.DUMMYFUNCTION("""COMPUTED_VALUE"""),"Brendi")</f>
        <v>Brendi</v>
      </c>
      <c r="R9731" s="33">
        <f>IFERROR(__xludf.DUMMYFUNCTION("""COMPUTED_VALUE"""),1.0)</f>
        <v>1</v>
      </c>
      <c r="S9731" s="4" t="str">
        <f>IFERROR(__xludf.DUMMYFUNCTION("""COMPUTED_VALUE"""),"Brendi")</f>
        <v>Brendi</v>
      </c>
      <c r="T9731" s="33">
        <f>IFERROR(__xludf.DUMMYFUNCTION("""COMPUTED_VALUE"""),1.0)</f>
        <v>1</v>
      </c>
      <c r="U9731" s="4" t="str">
        <f>IFERROR(__xludf.DUMMYFUNCTION("""COMPUTED_VALUE"""),"Brendi")</f>
        <v>Brendi</v>
      </c>
      <c r="V9731" s="33">
        <f>IFERROR(__xludf.DUMMYFUNCTION("""COMPUTED_VALUE"""),1.0)</f>
        <v>1</v>
      </c>
      <c r="W9731" s="4" t="str">
        <f>IFERROR(__xludf.DUMMYFUNCTION("""COMPUTED_VALUE"""),"Brendi")</f>
        <v>Brendi</v>
      </c>
      <c r="X9731" s="33">
        <f>IFERROR(__xludf.DUMMYFUNCTION("""COMPUTED_VALUE"""),1.0)</f>
        <v>1</v>
      </c>
    </row>
    <row r="9732">
      <c r="K9732" s="4" t="str">
        <f>IFERROR(__xludf.DUMMYFUNCTION("""COMPUTED_VALUE"""),"BIG BBQ SANDUICHE DE CHURRASCO")</f>
        <v>BIG BBQ SANDUICHE DE CHURRASCO</v>
      </c>
      <c r="L9732" s="32">
        <f>IFERROR(__xludf.DUMMYFUNCTION("""COMPUTED_VALUE"""),1.0)</f>
        <v>1</v>
      </c>
      <c r="M9732" s="4" t="str">
        <f>IFERROR(__xludf.DUMMYFUNCTION("""COMPUTED_VALUE"""),"Connectplug")</f>
        <v>Connectplug</v>
      </c>
      <c r="N9732" s="33">
        <f>IFERROR(__xludf.DUMMYFUNCTION("""COMPUTED_VALUE"""),1.0)</f>
        <v>1</v>
      </c>
      <c r="O9732" s="4" t="str">
        <f>IFERROR(__xludf.DUMMYFUNCTION("""COMPUTED_VALUE"""),"Connectplug")</f>
        <v>Connectplug</v>
      </c>
      <c r="P9732" s="33">
        <f>IFERROR(__xludf.DUMMYFUNCTION("""COMPUTED_VALUE"""),1.0)</f>
        <v>1</v>
      </c>
      <c r="Q9732" s="4" t="str">
        <f>IFERROR(__xludf.DUMMYFUNCTION("""COMPUTED_VALUE"""),"Connectplug")</f>
        <v>Connectplug</v>
      </c>
      <c r="R9732" s="33">
        <f>IFERROR(__xludf.DUMMYFUNCTION("""COMPUTED_VALUE"""),1.0)</f>
        <v>1</v>
      </c>
      <c r="S9732" s="4" t="str">
        <f>IFERROR(__xludf.DUMMYFUNCTION("""COMPUTED_VALUE"""),"Connectplug")</f>
        <v>Connectplug</v>
      </c>
      <c r="T9732" s="33">
        <f>IFERROR(__xludf.DUMMYFUNCTION("""COMPUTED_VALUE"""),1.0)</f>
        <v>1</v>
      </c>
      <c r="U9732" s="4" t="str">
        <f>IFERROR(__xludf.DUMMYFUNCTION("""COMPUTED_VALUE"""),"Connectplug")</f>
        <v>Connectplug</v>
      </c>
      <c r="V9732" s="33">
        <f>IFERROR(__xludf.DUMMYFUNCTION("""COMPUTED_VALUE"""),1.0)</f>
        <v>1</v>
      </c>
      <c r="W9732" s="4" t="str">
        <f>IFERROR(__xludf.DUMMYFUNCTION("""COMPUTED_VALUE"""),"Connectplug")</f>
        <v>Connectplug</v>
      </c>
      <c r="X9732" s="33">
        <f>IFERROR(__xludf.DUMMYFUNCTION("""COMPUTED_VALUE"""),1.0)</f>
        <v>1</v>
      </c>
    </row>
    <row r="9733">
      <c r="K9733" s="4" t="str">
        <f>IFERROR(__xludf.DUMMYFUNCTION("""COMPUTED_VALUE"""),"POINT BURGERS")</f>
        <v>POINT BURGERS</v>
      </c>
      <c r="L9733" s="32">
        <f>IFERROR(__xludf.DUMMYFUNCTION("""COMPUTED_VALUE"""),1.0)</f>
        <v>1</v>
      </c>
      <c r="M9733" s="4" t="str">
        <f>IFERROR(__xludf.DUMMYFUNCTION("""COMPUTED_VALUE"""),"Cervantes Tecnologia")</f>
        <v>Cervantes Tecnologia</v>
      </c>
      <c r="N9733" s="33">
        <f>IFERROR(__xludf.DUMMYFUNCTION("""COMPUTED_VALUE"""),1.0)</f>
        <v>1</v>
      </c>
      <c r="O9733" s="4" t="str">
        <f>IFERROR(__xludf.DUMMYFUNCTION("""COMPUTED_VALUE"""),"Cervantes Tecnologia")</f>
        <v>Cervantes Tecnologia</v>
      </c>
      <c r="P9733" s="33">
        <f>IFERROR(__xludf.DUMMYFUNCTION("""COMPUTED_VALUE"""),1.0)</f>
        <v>1</v>
      </c>
      <c r="Q9733" s="4" t="str">
        <f>IFERROR(__xludf.DUMMYFUNCTION("""COMPUTED_VALUE"""),"Cervantes Tecnologia")</f>
        <v>Cervantes Tecnologia</v>
      </c>
      <c r="R9733" s="33">
        <f>IFERROR(__xludf.DUMMYFUNCTION("""COMPUTED_VALUE"""),1.0)</f>
        <v>1</v>
      </c>
      <c r="S9733" s="4" t="str">
        <f>IFERROR(__xludf.DUMMYFUNCTION("""COMPUTED_VALUE"""),"Cervantes Tecnologia")</f>
        <v>Cervantes Tecnologia</v>
      </c>
      <c r="T9733" s="33">
        <f>IFERROR(__xludf.DUMMYFUNCTION("""COMPUTED_VALUE"""),1.0)</f>
        <v>1</v>
      </c>
      <c r="U9733" s="4" t="str">
        <f>IFERROR(__xludf.DUMMYFUNCTION("""COMPUTED_VALUE"""),"Cervantes Tecnologia")</f>
        <v>Cervantes Tecnologia</v>
      </c>
      <c r="V9733" s="33">
        <f>IFERROR(__xludf.DUMMYFUNCTION("""COMPUTED_VALUE"""),1.0)</f>
        <v>1</v>
      </c>
      <c r="W9733" s="4" t="str">
        <f>IFERROR(__xludf.DUMMYFUNCTION("""COMPUTED_VALUE"""),"Cervantes Tecnologia")</f>
        <v>Cervantes Tecnologia</v>
      </c>
      <c r="X9733" s="33">
        <f>IFERROR(__xludf.DUMMYFUNCTION("""COMPUTED_VALUE"""),1.0)</f>
        <v>1</v>
      </c>
    </row>
    <row r="9734">
      <c r="K9734" s="4" t="str">
        <f>IFERROR(__xludf.DUMMYFUNCTION("""COMPUTED_VALUE"""),"PITBURGUER")</f>
        <v>PITBURGUER</v>
      </c>
      <c r="L9734" s="32">
        <f>IFERROR(__xludf.DUMMYFUNCTION("""COMPUTED_VALUE"""),1.0)</f>
        <v>1</v>
      </c>
      <c r="M9734" s="4" t="str">
        <f>IFERROR(__xludf.DUMMYFUNCTION("""COMPUTED_VALUE"""),"Consumer Soluções Em Tecnologia Ltda")</f>
        <v>Consumer Soluções Em Tecnologia Ltda</v>
      </c>
      <c r="N9734" s="33">
        <f>IFERROR(__xludf.DUMMYFUNCTION("""COMPUTED_VALUE"""),1.0)</f>
        <v>1</v>
      </c>
      <c r="O9734" s="4" t="str">
        <f>IFERROR(__xludf.DUMMYFUNCTION("""COMPUTED_VALUE"""),"null")</f>
        <v>null</v>
      </c>
      <c r="P9734" s="33">
        <f>IFERROR(__xludf.DUMMYFUNCTION("""COMPUTED_VALUE"""),1.0)</f>
        <v>1</v>
      </c>
      <c r="Q9734" s="4" t="str">
        <f>IFERROR(__xludf.DUMMYFUNCTION("""COMPUTED_VALUE"""),"null")</f>
        <v>null</v>
      </c>
      <c r="R9734" s="33">
        <f>IFERROR(__xludf.DUMMYFUNCTION("""COMPUTED_VALUE"""),1.0)</f>
        <v>1</v>
      </c>
      <c r="S9734" s="4" t="str">
        <f>IFERROR(__xludf.DUMMYFUNCTION("""COMPUTED_VALUE"""),"null")</f>
        <v>null</v>
      </c>
      <c r="T9734" s="33">
        <f>IFERROR(__xludf.DUMMYFUNCTION("""COMPUTED_VALUE"""),1.0)</f>
        <v>1</v>
      </c>
      <c r="U9734" s="4" t="str">
        <f>IFERROR(__xludf.DUMMYFUNCTION("""COMPUTED_VALUE"""),"null")</f>
        <v>null</v>
      </c>
      <c r="V9734" s="33">
        <f>IFERROR(__xludf.DUMMYFUNCTION("""COMPUTED_VALUE"""),1.0)</f>
        <v>1</v>
      </c>
      <c r="W9734" s="4" t="str">
        <f>IFERROR(__xludf.DUMMYFUNCTION("""COMPUTED_VALUE"""),"null")</f>
        <v>null</v>
      </c>
      <c r="X9734" s="33">
        <f>IFERROR(__xludf.DUMMYFUNCTION("""COMPUTED_VALUE"""),1.0)</f>
        <v>1</v>
      </c>
    </row>
    <row r="9735">
      <c r="K9735" s="4" t="str">
        <f>IFERROR(__xludf.DUMMYFUNCTION("""COMPUTED_VALUE"""),"PIZZARIA FAMILLIA")</f>
        <v>PIZZARIA FAMILLIA</v>
      </c>
      <c r="L9735" s="32">
        <f>IFERROR(__xludf.DUMMYFUNCTION("""COMPUTED_VALUE"""),1.0)</f>
        <v>1</v>
      </c>
      <c r="M9735" s="4" t="str">
        <f>IFERROR(__xludf.DUMMYFUNCTION("""COMPUTED_VALUE"""),"Anota Ai Solucoes Digitais S/a")</f>
        <v>Anota Ai Solucoes Digitais S/a</v>
      </c>
      <c r="N9735" s="33">
        <f>IFERROR(__xludf.DUMMYFUNCTION("""COMPUTED_VALUE"""),1.0)</f>
        <v>1</v>
      </c>
      <c r="O9735" s="4" t="str">
        <f>IFERROR(__xludf.DUMMYFUNCTION("""COMPUTED_VALUE"""),"Anota Ai Solucoes Digitais S/a")</f>
        <v>Anota Ai Solucoes Digitais S/a</v>
      </c>
      <c r="P9735" s="33">
        <f>IFERROR(__xludf.DUMMYFUNCTION("""COMPUTED_VALUE"""),1.0)</f>
        <v>1</v>
      </c>
      <c r="Q9735" s="4" t="str">
        <f>IFERROR(__xludf.DUMMYFUNCTION("""COMPUTED_VALUE"""),"null")</f>
        <v>null</v>
      </c>
      <c r="R9735" s="33">
        <f>IFERROR(__xludf.DUMMYFUNCTION("""COMPUTED_VALUE"""),1.0)</f>
        <v>1</v>
      </c>
      <c r="S9735" s="4" t="str">
        <f>IFERROR(__xludf.DUMMYFUNCTION("""COMPUTED_VALUE"""),"null")</f>
        <v>null</v>
      </c>
      <c r="T9735" s="33">
        <f>IFERROR(__xludf.DUMMYFUNCTION("""COMPUTED_VALUE"""),1.0)</f>
        <v>1</v>
      </c>
      <c r="U9735" s="4" t="str">
        <f>IFERROR(__xludf.DUMMYFUNCTION("""COMPUTED_VALUE"""),"null")</f>
        <v>null</v>
      </c>
      <c r="V9735" s="33">
        <f>IFERROR(__xludf.DUMMYFUNCTION("""COMPUTED_VALUE"""),1.0)</f>
        <v>1</v>
      </c>
      <c r="W9735" s="4" t="str">
        <f>IFERROR(__xludf.DUMMYFUNCTION("""COMPUTED_VALUE"""),"null")</f>
        <v>null</v>
      </c>
      <c r="X9735" s="33">
        <f>IFERROR(__xludf.DUMMYFUNCTION("""COMPUTED_VALUE"""),1.0)</f>
        <v>1</v>
      </c>
    </row>
    <row r="9736">
      <c r="K9736" s="4" t="str">
        <f>IFERROR(__xludf.DUMMYFUNCTION("""COMPUTED_VALUE"""),"OISHII SUSHI - CULINARIA JAPONESA")</f>
        <v>OISHII SUSHI - CULINARIA JAPONESA</v>
      </c>
      <c r="L9736" s="32">
        <f>IFERROR(__xludf.DUMMYFUNCTION("""COMPUTED_VALUE"""),1.0)</f>
        <v>1</v>
      </c>
      <c r="M9736" s="4" t="str">
        <f>IFERROR(__xludf.DUMMYFUNCTION("""COMPUTED_VALUE"""),"Saipos Serviços De Software")</f>
        <v>Saipos Serviços De Software</v>
      </c>
      <c r="N9736" s="33">
        <f>IFERROR(__xludf.DUMMYFUNCTION("""COMPUTED_VALUE"""),1.0)</f>
        <v>1</v>
      </c>
      <c r="O9736" s="4" t="str">
        <f>IFERROR(__xludf.DUMMYFUNCTION("""COMPUTED_VALUE"""),"Saipos Serviços De Software")</f>
        <v>Saipos Serviços De Software</v>
      </c>
      <c r="P9736" s="33">
        <f>IFERROR(__xludf.DUMMYFUNCTION("""COMPUTED_VALUE"""),1.0)</f>
        <v>1</v>
      </c>
      <c r="Q9736" s="4" t="str">
        <f>IFERROR(__xludf.DUMMYFUNCTION("""COMPUTED_VALUE"""),"Saipos Serviços De Software")</f>
        <v>Saipos Serviços De Software</v>
      </c>
      <c r="R9736" s="33">
        <f>IFERROR(__xludf.DUMMYFUNCTION("""COMPUTED_VALUE"""),1.0)</f>
        <v>1</v>
      </c>
      <c r="S9736" s="4" t="str">
        <f>IFERROR(__xludf.DUMMYFUNCTION("""COMPUTED_VALUE"""),"Saipos Serviços De Software")</f>
        <v>Saipos Serviços De Software</v>
      </c>
      <c r="T9736" s="33">
        <f>IFERROR(__xludf.DUMMYFUNCTION("""COMPUTED_VALUE"""),1.0)</f>
        <v>1</v>
      </c>
      <c r="U9736" s="4" t="str">
        <f>IFERROR(__xludf.DUMMYFUNCTION("""COMPUTED_VALUE"""),"Saipos Serviços De Software")</f>
        <v>Saipos Serviços De Software</v>
      </c>
      <c r="V9736" s="33">
        <f>IFERROR(__xludf.DUMMYFUNCTION("""COMPUTED_VALUE"""),1.0)</f>
        <v>1</v>
      </c>
      <c r="W9736" s="4" t="str">
        <f>IFERROR(__xludf.DUMMYFUNCTION("""COMPUTED_VALUE"""),"Saipos Serviços De Software")</f>
        <v>Saipos Serviços De Software</v>
      </c>
      <c r="X9736" s="33">
        <f>IFERROR(__xludf.DUMMYFUNCTION("""COMPUTED_VALUE"""),1.0)</f>
        <v>1</v>
      </c>
    </row>
    <row r="9737">
      <c r="K9737" s="4" t="str">
        <f>IFERROR(__xludf.DUMMYFUNCTION("""COMPUTED_VALUE"""),"VIA ROMANA")</f>
        <v>VIA ROMANA</v>
      </c>
      <c r="L9737" s="32">
        <f>IFERROR(__xludf.DUMMYFUNCTION("""COMPUTED_VALUE"""),1.0)</f>
        <v>1</v>
      </c>
      <c r="M9737" s="4" t="str">
        <f>IFERROR(__xludf.DUMMYFUNCTION("""COMPUTED_VALUE"""),"Saipos Serviços De Software")</f>
        <v>Saipos Serviços De Software</v>
      </c>
      <c r="N9737" s="33">
        <f>IFERROR(__xludf.DUMMYFUNCTION("""COMPUTED_VALUE"""),1.0)</f>
        <v>1</v>
      </c>
      <c r="O9737" s="4" t="str">
        <f>IFERROR(__xludf.DUMMYFUNCTION("""COMPUTED_VALUE"""),"Saipos Serviços De Software")</f>
        <v>Saipos Serviços De Software</v>
      </c>
      <c r="P9737" s="33">
        <f>IFERROR(__xludf.DUMMYFUNCTION("""COMPUTED_VALUE"""),1.0)</f>
        <v>1</v>
      </c>
      <c r="Q9737" s="4" t="str">
        <f>IFERROR(__xludf.DUMMYFUNCTION("""COMPUTED_VALUE"""),"Saipos Serviços De Software")</f>
        <v>Saipos Serviços De Software</v>
      </c>
      <c r="R9737" s="33">
        <f>IFERROR(__xludf.DUMMYFUNCTION("""COMPUTED_VALUE"""),1.0)</f>
        <v>1</v>
      </c>
      <c r="S9737" s="4" t="str">
        <f>IFERROR(__xludf.DUMMYFUNCTION("""COMPUTED_VALUE"""),"Saipos Serviços De Software")</f>
        <v>Saipos Serviços De Software</v>
      </c>
      <c r="T9737" s="33">
        <f>IFERROR(__xludf.DUMMYFUNCTION("""COMPUTED_VALUE"""),1.0)</f>
        <v>1</v>
      </c>
      <c r="U9737" s="4" t="str">
        <f>IFERROR(__xludf.DUMMYFUNCTION("""COMPUTED_VALUE"""),"Saipos Serviços De Software")</f>
        <v>Saipos Serviços De Software</v>
      </c>
      <c r="V9737" s="33">
        <f>IFERROR(__xludf.DUMMYFUNCTION("""COMPUTED_VALUE"""),1.0)</f>
        <v>1</v>
      </c>
      <c r="W9737" s="4" t="str">
        <f>IFERROR(__xludf.DUMMYFUNCTION("""COMPUTED_VALUE"""),"Saipos Serviços De Software")</f>
        <v>Saipos Serviços De Software</v>
      </c>
      <c r="X9737" s="33">
        <f>IFERROR(__xludf.DUMMYFUNCTION("""COMPUTED_VALUE"""),1.0)</f>
        <v>1</v>
      </c>
    </row>
    <row r="9738">
      <c r="K9738" s="4" t="str">
        <f>IFERROR(__xludf.DUMMYFUNCTION("""COMPUTED_VALUE"""),"ELETRONICOS DIVERSOS")</f>
        <v>ELETRONICOS DIVERSOS</v>
      </c>
      <c r="L9738" s="32">
        <f>IFERROR(__xludf.DUMMYFUNCTION("""COMPUTED_VALUE"""),1.0)</f>
        <v>1</v>
      </c>
      <c r="M9738" s="4" t="str">
        <f>IFERROR(__xludf.DUMMYFUNCTION("""COMPUTED_VALUE"""),"null")</f>
        <v>null</v>
      </c>
      <c r="N9738" s="33">
        <f>IFERROR(__xludf.DUMMYFUNCTION("""COMPUTED_VALUE"""),1.0)</f>
        <v>1</v>
      </c>
      <c r="O9738" s="4" t="str">
        <f>IFERROR(__xludf.DUMMYFUNCTION("""COMPUTED_VALUE"""),"null")</f>
        <v>null</v>
      </c>
      <c r="P9738" s="33">
        <f>IFERROR(__xludf.DUMMYFUNCTION("""COMPUTED_VALUE"""),1.0)</f>
        <v>1</v>
      </c>
      <c r="Q9738" s="4" t="str">
        <f>IFERROR(__xludf.DUMMYFUNCTION("""COMPUTED_VALUE"""),"null")</f>
        <v>null</v>
      </c>
      <c r="R9738" s="33">
        <f>IFERROR(__xludf.DUMMYFUNCTION("""COMPUTED_VALUE"""),1.0)</f>
        <v>1</v>
      </c>
      <c r="S9738" s="4" t="str">
        <f>IFERROR(__xludf.DUMMYFUNCTION("""COMPUTED_VALUE"""),"null")</f>
        <v>null</v>
      </c>
      <c r="T9738" s="33">
        <f>IFERROR(__xludf.DUMMYFUNCTION("""COMPUTED_VALUE"""),1.0)</f>
        <v>1</v>
      </c>
      <c r="U9738" s="4" t="str">
        <f>IFERROR(__xludf.DUMMYFUNCTION("""COMPUTED_VALUE"""),"N/A (Not found)")</f>
        <v>N/A (Not found)</v>
      </c>
      <c r="V9738" s="33">
        <f>IFERROR(__xludf.DUMMYFUNCTION("""COMPUTED_VALUE"""),1.0)</f>
        <v>1</v>
      </c>
      <c r="W9738" s="4" t="str">
        <f>IFERROR(__xludf.DUMMYFUNCTION("""COMPUTED_VALUE"""),"N/A (Not found)")</f>
        <v>N/A (Not found)</v>
      </c>
      <c r="X9738" s="33">
        <f>IFERROR(__xludf.DUMMYFUNCTION("""COMPUTED_VALUE"""),1.0)</f>
        <v>1</v>
      </c>
    </row>
    <row r="9739">
      <c r="K9739" s="4" t="str">
        <f>IFERROR(__xludf.DUMMYFUNCTION("""COMPUTED_VALUE"""),"DEPOSITO DE BEBIDAS CRIS DO FAROL")</f>
        <v>DEPOSITO DE BEBIDAS CRIS DO FAROL</v>
      </c>
      <c r="L9739" s="32">
        <f>IFERROR(__xludf.DUMMYFUNCTION("""COMPUTED_VALUE"""),1.0)</f>
        <v>1</v>
      </c>
      <c r="M9739" s="4" t="str">
        <f>IFERROR(__xludf.DUMMYFUNCTION("""COMPUTED_VALUE"""),"N/A (Not found)")</f>
        <v>N/A (Not found)</v>
      </c>
      <c r="N9739" s="33">
        <f>IFERROR(__xludf.DUMMYFUNCTION("""COMPUTED_VALUE"""),1.0)</f>
        <v>1</v>
      </c>
      <c r="O9739" s="4" t="str">
        <f>IFERROR(__xludf.DUMMYFUNCTION("""COMPUTED_VALUE"""),"N/A (Not found)")</f>
        <v>N/A (Not found)</v>
      </c>
      <c r="P9739" s="33">
        <f>IFERROR(__xludf.DUMMYFUNCTION("""COMPUTED_VALUE"""),1.0)</f>
        <v>1</v>
      </c>
      <c r="Q9739" s="4" t="str">
        <f>IFERROR(__xludf.DUMMYFUNCTION("""COMPUTED_VALUE"""),"N/A (Not found)")</f>
        <v>N/A (Not found)</v>
      </c>
      <c r="R9739" s="33">
        <f>IFERROR(__xludf.DUMMYFUNCTION("""COMPUTED_VALUE"""),1.0)</f>
        <v>1</v>
      </c>
      <c r="S9739" s="4" t="str">
        <f>IFERROR(__xludf.DUMMYFUNCTION("""COMPUTED_VALUE"""),"N/A (Not found)")</f>
        <v>N/A (Not found)</v>
      </c>
      <c r="T9739" s="33">
        <f>IFERROR(__xludf.DUMMYFUNCTION("""COMPUTED_VALUE"""),1.0)</f>
        <v>1</v>
      </c>
      <c r="U9739" s="4" t="str">
        <f>IFERROR(__xludf.DUMMYFUNCTION("""COMPUTED_VALUE"""),"N/A (Not found)")</f>
        <v>N/A (Not found)</v>
      </c>
      <c r="V9739" s="33">
        <f>IFERROR(__xludf.DUMMYFUNCTION("""COMPUTED_VALUE"""),1.0)</f>
        <v>1</v>
      </c>
      <c r="W9739" s="4" t="str">
        <f>IFERROR(__xludf.DUMMYFUNCTION("""COMPUTED_VALUE"""),"N/A (Not found)")</f>
        <v>N/A (Not found)</v>
      </c>
      <c r="X9739" s="33">
        <f>IFERROR(__xludf.DUMMYFUNCTION("""COMPUTED_VALUE"""),1.0)</f>
        <v>1</v>
      </c>
    </row>
    <row r="9740">
      <c r="K9740" s="4" t="str">
        <f>IFERROR(__xludf.DUMMYFUNCTION("""COMPUTED_VALUE"""),"SAPORI PIZZEIRA")</f>
        <v>SAPORI PIZZEIRA</v>
      </c>
      <c r="L9740" s="32">
        <f>IFERROR(__xludf.DUMMYFUNCTION("""COMPUTED_VALUE"""),1.0)</f>
        <v>1</v>
      </c>
      <c r="M9740" s="4" t="str">
        <f>IFERROR(__xludf.DUMMYFUNCTION("""COMPUTED_VALUE"""),"null")</f>
        <v>null</v>
      </c>
      <c r="N9740" s="33">
        <f>IFERROR(__xludf.DUMMYFUNCTION("""COMPUTED_VALUE"""),1.0)</f>
        <v>1</v>
      </c>
      <c r="O9740" s="4" t="str">
        <f>IFERROR(__xludf.DUMMYFUNCTION("""COMPUTED_VALUE"""),"null")</f>
        <v>null</v>
      </c>
      <c r="P9740" s="33">
        <f>IFERROR(__xludf.DUMMYFUNCTION("""COMPUTED_VALUE"""),1.0)</f>
        <v>1</v>
      </c>
      <c r="Q9740" s="4" t="str">
        <f>IFERROR(__xludf.DUMMYFUNCTION("""COMPUTED_VALUE"""),"null")</f>
        <v>null</v>
      </c>
      <c r="R9740" s="33">
        <f>IFERROR(__xludf.DUMMYFUNCTION("""COMPUTED_VALUE"""),1.0)</f>
        <v>1</v>
      </c>
      <c r="S9740" s="4" t="str">
        <f>IFERROR(__xludf.DUMMYFUNCTION("""COMPUTED_VALUE"""),"null")</f>
        <v>null</v>
      </c>
      <c r="T9740" s="33">
        <f>IFERROR(__xludf.DUMMYFUNCTION("""COMPUTED_VALUE"""),1.0)</f>
        <v>1</v>
      </c>
      <c r="U9740" s="4" t="str">
        <f>IFERROR(__xludf.DUMMYFUNCTION("""COMPUTED_VALUE"""),"null")</f>
        <v>null</v>
      </c>
      <c r="V9740" s="33">
        <f>IFERROR(__xludf.DUMMYFUNCTION("""COMPUTED_VALUE"""),1.0)</f>
        <v>1</v>
      </c>
      <c r="W9740" s="4" t="str">
        <f>IFERROR(__xludf.DUMMYFUNCTION("""COMPUTED_VALUE"""),"Expresso Delivery")</f>
        <v>Expresso Delivery</v>
      </c>
      <c r="X9740" s="33">
        <f>IFERROR(__xludf.DUMMYFUNCTION("""COMPUTED_VALUE"""),1.0)</f>
        <v>1</v>
      </c>
    </row>
    <row r="9741">
      <c r="K9741" s="4" t="str">
        <f>IFERROR(__xludf.DUMMYFUNCTION("""COMPUTED_VALUE"""),"2 IRMAOS MARMITARIA I COMIDA CASEIRA")</f>
        <v>2 IRMAOS MARMITARIA I COMIDA CASEIRA</v>
      </c>
      <c r="L9741" s="32">
        <f>IFERROR(__xludf.DUMMYFUNCTION("""COMPUTED_VALUE"""),1.0)</f>
        <v>1</v>
      </c>
      <c r="M9741" s="4" t="str">
        <f>IFERROR(__xludf.DUMMYFUNCTION("""COMPUTED_VALUE"""),"null")</f>
        <v>null</v>
      </c>
      <c r="N9741" s="33">
        <f>IFERROR(__xludf.DUMMYFUNCTION("""COMPUTED_VALUE"""),1.0)</f>
        <v>1</v>
      </c>
      <c r="O9741" s="4" t="str">
        <f>IFERROR(__xludf.DUMMYFUNCTION("""COMPUTED_VALUE"""),"null")</f>
        <v>null</v>
      </c>
      <c r="P9741" s="33">
        <f>IFERROR(__xludf.DUMMYFUNCTION("""COMPUTED_VALUE"""),1.0)</f>
        <v>1</v>
      </c>
      <c r="Q9741" s="4" t="str">
        <f>IFERROR(__xludf.DUMMYFUNCTION("""COMPUTED_VALUE"""),"null")</f>
        <v>null</v>
      </c>
      <c r="R9741" s="33">
        <f>IFERROR(__xludf.DUMMYFUNCTION("""COMPUTED_VALUE"""),1.0)</f>
        <v>1</v>
      </c>
      <c r="S9741" s="4" t="str">
        <f>IFERROR(__xludf.DUMMYFUNCTION("""COMPUTED_VALUE"""),"Ecta Tecnologia")</f>
        <v>Ecta Tecnologia</v>
      </c>
      <c r="T9741" s="33">
        <f>IFERROR(__xludf.DUMMYFUNCTION("""COMPUTED_VALUE"""),1.0)</f>
        <v>1</v>
      </c>
      <c r="U9741" s="4" t="str">
        <f>IFERROR(__xludf.DUMMYFUNCTION("""COMPUTED_VALUE"""),"null")</f>
        <v>null</v>
      </c>
      <c r="V9741" s="33">
        <f>IFERROR(__xludf.DUMMYFUNCTION("""COMPUTED_VALUE"""),1.0)</f>
        <v>1</v>
      </c>
      <c r="W9741" s="4" t="str">
        <f>IFERROR(__xludf.DUMMYFUNCTION("""COMPUTED_VALUE"""),"Ecta Tecnologia")</f>
        <v>Ecta Tecnologia</v>
      </c>
      <c r="X9741" s="33">
        <f>IFERROR(__xludf.DUMMYFUNCTION("""COMPUTED_VALUE"""),1.0)</f>
        <v>1</v>
      </c>
    </row>
    <row r="9742">
      <c r="K9742" s="4" t="str">
        <f>IFERROR(__xludf.DUMMYFUNCTION("""COMPUTED_VALUE"""),"FEIJOADA GRILL MARMITEX -MARMITAS")</f>
        <v>FEIJOADA GRILL MARMITEX -MARMITAS</v>
      </c>
      <c r="L9742" s="32">
        <f>IFERROR(__xludf.DUMMYFUNCTION("""COMPUTED_VALUE"""),1.0)</f>
        <v>1</v>
      </c>
      <c r="M9742" s="4" t="str">
        <f>IFERROR(__xludf.DUMMYFUNCTION("""COMPUTED_VALUE"""),"Sagres Automação Comercial")</f>
        <v>Sagres Automação Comercial</v>
      </c>
      <c r="N9742" s="33">
        <f>IFERROR(__xludf.DUMMYFUNCTION("""COMPUTED_VALUE"""),1.0)</f>
        <v>1</v>
      </c>
      <c r="O9742" s="4" t="str">
        <f>IFERROR(__xludf.DUMMYFUNCTION("""COMPUTED_VALUE"""),"Sagres Automação Comercial")</f>
        <v>Sagres Automação Comercial</v>
      </c>
      <c r="P9742" s="33">
        <f>IFERROR(__xludf.DUMMYFUNCTION("""COMPUTED_VALUE"""),1.0)</f>
        <v>1</v>
      </c>
      <c r="Q9742" s="4" t="str">
        <f>IFERROR(__xludf.DUMMYFUNCTION("""COMPUTED_VALUE"""),"Sagres Automação Comercial")</f>
        <v>Sagres Automação Comercial</v>
      </c>
      <c r="R9742" s="33">
        <f>IFERROR(__xludf.DUMMYFUNCTION("""COMPUTED_VALUE"""),1.0)</f>
        <v>1</v>
      </c>
      <c r="S9742" s="4" t="str">
        <f>IFERROR(__xludf.DUMMYFUNCTION("""COMPUTED_VALUE"""),"Sagres Automação Comercial")</f>
        <v>Sagres Automação Comercial</v>
      </c>
      <c r="T9742" s="33">
        <f>IFERROR(__xludf.DUMMYFUNCTION("""COMPUTED_VALUE"""),1.0)</f>
        <v>1</v>
      </c>
      <c r="U9742" s="4" t="str">
        <f>IFERROR(__xludf.DUMMYFUNCTION("""COMPUTED_VALUE"""),"Sagres Automação Comercial")</f>
        <v>Sagres Automação Comercial</v>
      </c>
      <c r="V9742" s="33">
        <f>IFERROR(__xludf.DUMMYFUNCTION("""COMPUTED_VALUE"""),1.0)</f>
        <v>1</v>
      </c>
      <c r="W9742" s="4" t="str">
        <f>IFERROR(__xludf.DUMMYFUNCTION("""COMPUTED_VALUE"""),"Sagres Automação Comercial")</f>
        <v>Sagres Automação Comercial</v>
      </c>
      <c r="X9742" s="33">
        <f>IFERROR(__xludf.DUMMYFUNCTION("""COMPUTED_VALUE"""),1.0)</f>
        <v>1</v>
      </c>
    </row>
    <row r="9743">
      <c r="K9743" s="4" t="str">
        <f>IFERROR(__xludf.DUMMYFUNCTION("""COMPUTED_VALUE"""),"PERGUES")</f>
        <v>PERGUES</v>
      </c>
      <c r="L9743" s="32">
        <f>IFERROR(__xludf.DUMMYFUNCTION("""COMPUTED_VALUE"""),1.0)</f>
        <v>1</v>
      </c>
      <c r="M9743" s="4" t="str">
        <f>IFERROR(__xludf.DUMMYFUNCTION("""COMPUTED_VALUE"""),"N/A (Not found)")</f>
        <v>N/A (Not found)</v>
      </c>
      <c r="N9743" s="33">
        <f>IFERROR(__xludf.DUMMYFUNCTION("""COMPUTED_VALUE"""),1.0)</f>
        <v>1</v>
      </c>
      <c r="O9743" s="4" t="str">
        <f>IFERROR(__xludf.DUMMYFUNCTION("""COMPUTED_VALUE"""),"N/A (Not found)")</f>
        <v>N/A (Not found)</v>
      </c>
      <c r="P9743" s="33">
        <f>IFERROR(__xludf.DUMMYFUNCTION("""COMPUTED_VALUE"""),1.0)</f>
        <v>1</v>
      </c>
      <c r="Q9743" s="4" t="str">
        <f>IFERROR(__xludf.DUMMYFUNCTION("""COMPUTED_VALUE"""),"N/A (Not found)")</f>
        <v>N/A (Not found)</v>
      </c>
      <c r="R9743" s="33">
        <f>IFERROR(__xludf.DUMMYFUNCTION("""COMPUTED_VALUE"""),1.0)</f>
        <v>1</v>
      </c>
      <c r="S9743" s="4" t="str">
        <f>IFERROR(__xludf.DUMMYFUNCTION("""COMPUTED_VALUE"""),"N/A (Not found)")</f>
        <v>N/A (Not found)</v>
      </c>
      <c r="T9743" s="33">
        <f>IFERROR(__xludf.DUMMYFUNCTION("""COMPUTED_VALUE"""),1.0)</f>
        <v>1</v>
      </c>
      <c r="U9743" s="4" t="str">
        <f>IFERROR(__xludf.DUMMYFUNCTION("""COMPUTED_VALUE"""),"N/A (Not found)")</f>
        <v>N/A (Not found)</v>
      </c>
      <c r="V9743" s="33">
        <f>IFERROR(__xludf.DUMMYFUNCTION("""COMPUTED_VALUE"""),1.0)</f>
        <v>1</v>
      </c>
      <c r="W9743" s="4" t="str">
        <f>IFERROR(__xludf.DUMMYFUNCTION("""COMPUTED_VALUE"""),"N/A (Not found)")</f>
        <v>N/A (Not found)</v>
      </c>
      <c r="X9743" s="33">
        <f>IFERROR(__xludf.DUMMYFUNCTION("""COMPUTED_VALUE"""),1.0)</f>
        <v>1</v>
      </c>
    </row>
    <row r="9744">
      <c r="K9744" s="4" t="str">
        <f>IFERROR(__xludf.DUMMYFUNCTION("""COMPUTED_VALUE"""),"PIZZARIA LISBOA - PIZZAS E CALZONES")</f>
        <v>PIZZARIA LISBOA - PIZZAS E CALZONES</v>
      </c>
      <c r="L9744" s="32">
        <f>IFERROR(__xludf.DUMMYFUNCTION("""COMPUTED_VALUE"""),1.0)</f>
        <v>1</v>
      </c>
      <c r="M9744" s="4" t="str">
        <f>IFERROR(__xludf.DUMMYFUNCTION("""COMPUTED_VALUE"""),"Mp Multipedidos")</f>
        <v>Mp Multipedidos</v>
      </c>
      <c r="N9744" s="33">
        <f>IFERROR(__xludf.DUMMYFUNCTION("""COMPUTED_VALUE"""),1.0)</f>
        <v>1</v>
      </c>
      <c r="O9744" s="4" t="str">
        <f>IFERROR(__xludf.DUMMYFUNCTION("""COMPUTED_VALUE"""),"null")</f>
        <v>null</v>
      </c>
      <c r="P9744" s="33">
        <f>IFERROR(__xludf.DUMMYFUNCTION("""COMPUTED_VALUE"""),1.0)</f>
        <v>1</v>
      </c>
      <c r="Q9744" s="4" t="str">
        <f>IFERROR(__xludf.DUMMYFUNCTION("""COMPUTED_VALUE"""),"null")</f>
        <v>null</v>
      </c>
      <c r="R9744" s="33">
        <f>IFERROR(__xludf.DUMMYFUNCTION("""COMPUTED_VALUE"""),1.0)</f>
        <v>1</v>
      </c>
      <c r="S9744" s="4" t="str">
        <f>IFERROR(__xludf.DUMMYFUNCTION("""COMPUTED_VALUE"""),"Mp Multipedidos")</f>
        <v>Mp Multipedidos</v>
      </c>
      <c r="T9744" s="33">
        <f>IFERROR(__xludf.DUMMYFUNCTION("""COMPUTED_VALUE"""),1.0)</f>
        <v>1</v>
      </c>
      <c r="U9744" s="4" t="str">
        <f>IFERROR(__xludf.DUMMYFUNCTION("""COMPUTED_VALUE"""),"null")</f>
        <v>null</v>
      </c>
      <c r="V9744" s="33">
        <f>IFERROR(__xludf.DUMMYFUNCTION("""COMPUTED_VALUE"""),1.0)</f>
        <v>1</v>
      </c>
      <c r="W9744" s="4" t="str">
        <f>IFERROR(__xludf.DUMMYFUNCTION("""COMPUTED_VALUE"""),"Mp Multipedidos")</f>
        <v>Mp Multipedidos</v>
      </c>
      <c r="X9744" s="33">
        <f>IFERROR(__xludf.DUMMYFUNCTION("""COMPUTED_VALUE"""),1.0)</f>
        <v>1</v>
      </c>
    </row>
    <row r="9745">
      <c r="K9745" s="4" t="str">
        <f>IFERROR(__xludf.DUMMYFUNCTION("""COMPUTED_VALUE"""),"DOGAO DO MESTRE")</f>
        <v>DOGAO DO MESTRE</v>
      </c>
      <c r="L9745" s="32">
        <f>IFERROR(__xludf.DUMMYFUNCTION("""COMPUTED_VALUE"""),1.0)</f>
        <v>1</v>
      </c>
      <c r="M9745" s="4" t="str">
        <f>IFERROR(__xludf.DUMMYFUNCTION("""COMPUTED_VALUE"""),"null")</f>
        <v>null</v>
      </c>
      <c r="N9745" s="33">
        <f>IFERROR(__xludf.DUMMYFUNCTION("""COMPUTED_VALUE"""),1.0)</f>
        <v>1</v>
      </c>
      <c r="O9745" s="4" t="str">
        <f>IFERROR(__xludf.DUMMYFUNCTION("""COMPUTED_VALUE"""),"null")</f>
        <v>null</v>
      </c>
      <c r="P9745" s="33">
        <f>IFERROR(__xludf.DUMMYFUNCTION("""COMPUTED_VALUE"""),1.0)</f>
        <v>1</v>
      </c>
      <c r="Q9745" s="4" t="str">
        <f>IFERROR(__xludf.DUMMYFUNCTION("""COMPUTED_VALUE"""),"Anota Ai Solucoes Digitais S/a")</f>
        <v>Anota Ai Solucoes Digitais S/a</v>
      </c>
      <c r="R9745" s="33">
        <f>IFERROR(__xludf.DUMMYFUNCTION("""COMPUTED_VALUE"""),1.0)</f>
        <v>1</v>
      </c>
      <c r="S9745" s="4" t="str">
        <f>IFERROR(__xludf.DUMMYFUNCTION("""COMPUTED_VALUE"""),"Anota Ai Solucoes Digitais S/a")</f>
        <v>Anota Ai Solucoes Digitais S/a</v>
      </c>
      <c r="T9745" s="33">
        <f>IFERROR(__xludf.DUMMYFUNCTION("""COMPUTED_VALUE"""),1.0)</f>
        <v>1</v>
      </c>
      <c r="U9745" s="4" t="str">
        <f>IFERROR(__xludf.DUMMYFUNCTION("""COMPUTED_VALUE"""),"Anota Ai Solucoes Digitais S/a")</f>
        <v>Anota Ai Solucoes Digitais S/a</v>
      </c>
      <c r="V9745" s="33">
        <f>IFERROR(__xludf.DUMMYFUNCTION("""COMPUTED_VALUE"""),1.0)</f>
        <v>1</v>
      </c>
      <c r="W9745" s="4" t="str">
        <f>IFERROR(__xludf.DUMMYFUNCTION("""COMPUTED_VALUE"""),"Anota Ai Solucoes Digitais S/a")</f>
        <v>Anota Ai Solucoes Digitais S/a</v>
      </c>
      <c r="X9745" s="33">
        <f>IFERROR(__xludf.DUMMYFUNCTION("""COMPUTED_VALUE"""),1.0)</f>
        <v>1</v>
      </c>
    </row>
    <row r="9746">
      <c r="K9746" s="4" t="str">
        <f>IFERROR(__xludf.DUMMYFUNCTION("""COMPUTED_VALUE"""),"FARMACIDADE")</f>
        <v>FARMACIDADE</v>
      </c>
      <c r="L9746" s="32">
        <f>IFERROR(__xludf.DUMMYFUNCTION("""COMPUTED_VALUE"""),1.0)</f>
        <v>1</v>
      </c>
      <c r="M9746" s="4" t="str">
        <f>IFERROR(__xludf.DUMMYFUNCTION("""COMPUTED_VALUE"""),"N/A (Not found)")</f>
        <v>N/A (Not found)</v>
      </c>
      <c r="N9746" s="33">
        <f>IFERROR(__xludf.DUMMYFUNCTION("""COMPUTED_VALUE"""),1.0)</f>
        <v>1</v>
      </c>
      <c r="O9746" s="4" t="str">
        <f>IFERROR(__xludf.DUMMYFUNCTION("""COMPUTED_VALUE"""),"N/A (Not found)")</f>
        <v>N/A (Not found)</v>
      </c>
      <c r="P9746" s="33">
        <f>IFERROR(__xludf.DUMMYFUNCTION("""COMPUTED_VALUE"""),1.0)</f>
        <v>1</v>
      </c>
      <c r="Q9746" s="4" t="str">
        <f>IFERROR(__xludf.DUMMYFUNCTION("""COMPUTED_VALUE"""),"N/A (Not found)")</f>
        <v>N/A (Not found)</v>
      </c>
      <c r="R9746" s="33">
        <f>IFERROR(__xludf.DUMMYFUNCTION("""COMPUTED_VALUE"""),1.0)</f>
        <v>1</v>
      </c>
      <c r="S9746" s="4" t="str">
        <f>IFERROR(__xludf.DUMMYFUNCTION("""COMPUTED_VALUE"""),"N/A (Not found)")</f>
        <v>N/A (Not found)</v>
      </c>
      <c r="T9746" s="33">
        <f>IFERROR(__xludf.DUMMYFUNCTION("""COMPUTED_VALUE"""),1.0)</f>
        <v>1</v>
      </c>
      <c r="U9746" s="4" t="str">
        <f>IFERROR(__xludf.DUMMYFUNCTION("""COMPUTED_VALUE"""),"N/A (Not found)")</f>
        <v>N/A (Not found)</v>
      </c>
      <c r="V9746" s="33">
        <f>IFERROR(__xludf.DUMMYFUNCTION("""COMPUTED_VALUE"""),1.0)</f>
        <v>1</v>
      </c>
      <c r="W9746" s="4" t="str">
        <f>IFERROR(__xludf.DUMMYFUNCTION("""COMPUTED_VALUE"""),"N/A (Not found)")</f>
        <v>N/A (Not found)</v>
      </c>
      <c r="X9746" s="33">
        <f>IFERROR(__xludf.DUMMYFUNCTION("""COMPUTED_VALUE"""),1.0)</f>
        <v>1</v>
      </c>
    </row>
    <row r="9747">
      <c r="K9747" s="4" t="str">
        <f>IFERROR(__xludf.DUMMYFUNCTION("""COMPUTED_VALUE"""),"FARMA CONNECT ESTACAO")</f>
        <v>FARMA CONNECT ESTACAO</v>
      </c>
      <c r="L9747" s="32">
        <f>IFERROR(__xludf.DUMMYFUNCTION("""COMPUTED_VALUE"""),1.0)</f>
        <v>1</v>
      </c>
      <c r="M9747" s="4" t="str">
        <f>IFERROR(__xludf.DUMMYFUNCTION("""COMPUTED_VALUE"""),"N/A (Not found)")</f>
        <v>N/A (Not found)</v>
      </c>
      <c r="N9747" s="33">
        <f>IFERROR(__xludf.DUMMYFUNCTION("""COMPUTED_VALUE"""),1.0)</f>
        <v>1</v>
      </c>
      <c r="O9747" s="4" t="str">
        <f>IFERROR(__xludf.DUMMYFUNCTION("""COMPUTED_VALUE"""),"N/A (Not found)")</f>
        <v>N/A (Not found)</v>
      </c>
      <c r="P9747" s="33">
        <f>IFERROR(__xludf.DUMMYFUNCTION("""COMPUTED_VALUE"""),1.0)</f>
        <v>1</v>
      </c>
      <c r="Q9747" s="4" t="str">
        <f>IFERROR(__xludf.DUMMYFUNCTION("""COMPUTED_VALUE"""),"N/A (Not found)")</f>
        <v>N/A (Not found)</v>
      </c>
      <c r="R9747" s="33">
        <f>IFERROR(__xludf.DUMMYFUNCTION("""COMPUTED_VALUE"""),1.0)</f>
        <v>1</v>
      </c>
      <c r="S9747" s="4" t="str">
        <f>IFERROR(__xludf.DUMMYFUNCTION("""COMPUTED_VALUE"""),"N/A (Not found)")</f>
        <v>N/A (Not found)</v>
      </c>
      <c r="T9747" s="33">
        <f>IFERROR(__xludf.DUMMYFUNCTION("""COMPUTED_VALUE"""),1.0)</f>
        <v>1</v>
      </c>
      <c r="U9747" s="4" t="str">
        <f>IFERROR(__xludf.DUMMYFUNCTION("""COMPUTED_VALUE"""),"N/A (Not found)")</f>
        <v>N/A (Not found)</v>
      </c>
      <c r="V9747" s="33">
        <f>IFERROR(__xludf.DUMMYFUNCTION("""COMPUTED_VALUE"""),1.0)</f>
        <v>1</v>
      </c>
      <c r="W9747" s="4" t="str">
        <f>IFERROR(__xludf.DUMMYFUNCTION("""COMPUTED_VALUE"""),"N/A (Not found)")</f>
        <v>N/A (Not found)</v>
      </c>
      <c r="X9747" s="33">
        <f>IFERROR(__xludf.DUMMYFUNCTION("""COMPUTED_VALUE"""),1.0)</f>
        <v>1</v>
      </c>
    </row>
    <row r="9748">
      <c r="K9748" s="4" t="str">
        <f>IFERROR(__xludf.DUMMYFUNCTION("""COMPUTED_VALUE"""),"TUBARAO FRANGO NA BRASA")</f>
        <v>TUBARAO FRANGO NA BRASA</v>
      </c>
      <c r="L9748" s="32">
        <f>IFERROR(__xludf.DUMMYFUNCTION("""COMPUTED_VALUE"""),1.0)</f>
        <v>1</v>
      </c>
      <c r="M9748" s="4" t="str">
        <f>IFERROR(__xludf.DUMMYFUNCTION("""COMPUTED_VALUE"""),"null")</f>
        <v>null</v>
      </c>
      <c r="N9748" s="33">
        <f>IFERROR(__xludf.DUMMYFUNCTION("""COMPUTED_VALUE"""),1.0)</f>
        <v>1</v>
      </c>
      <c r="O9748" s="4" t="str">
        <f>IFERROR(__xludf.DUMMYFUNCTION("""COMPUTED_VALUE"""),"Cardápio Web")</f>
        <v>Cardápio Web</v>
      </c>
      <c r="P9748" s="33">
        <f>IFERROR(__xludf.DUMMYFUNCTION("""COMPUTED_VALUE"""),1.0)</f>
        <v>1</v>
      </c>
      <c r="Q9748" s="4" t="str">
        <f>IFERROR(__xludf.DUMMYFUNCTION("""COMPUTED_VALUE"""),"Cardápio Web")</f>
        <v>Cardápio Web</v>
      </c>
      <c r="R9748" s="33">
        <f>IFERROR(__xludf.DUMMYFUNCTION("""COMPUTED_VALUE"""),1.0)</f>
        <v>1</v>
      </c>
      <c r="S9748" s="4" t="str">
        <f>IFERROR(__xludf.DUMMYFUNCTION("""COMPUTED_VALUE"""),"null")</f>
        <v>null</v>
      </c>
      <c r="T9748" s="33">
        <f>IFERROR(__xludf.DUMMYFUNCTION("""COMPUTED_VALUE"""),1.0)</f>
        <v>1</v>
      </c>
      <c r="U9748" s="4" t="str">
        <f>IFERROR(__xludf.DUMMYFUNCTION("""COMPUTED_VALUE"""),"null")</f>
        <v>null</v>
      </c>
      <c r="V9748" s="33">
        <f>IFERROR(__xludf.DUMMYFUNCTION("""COMPUTED_VALUE"""),1.0)</f>
        <v>1</v>
      </c>
      <c r="W9748" s="4" t="str">
        <f>IFERROR(__xludf.DUMMYFUNCTION("""COMPUTED_VALUE"""),"Cardápio Web")</f>
        <v>Cardápio Web</v>
      </c>
      <c r="X9748" s="33">
        <f>IFERROR(__xludf.DUMMYFUNCTION("""COMPUTED_VALUE"""),1.0)</f>
        <v>1</v>
      </c>
    </row>
    <row r="9749">
      <c r="K9749" s="4" t="str">
        <f>IFERROR(__xludf.DUMMYFUNCTION("""COMPUTED_VALUE"""),"OH ASSADAO ITOUPAVA CENTRAL")</f>
        <v>OH ASSADAO ITOUPAVA CENTRAL</v>
      </c>
      <c r="L9749" s="32">
        <f>IFERROR(__xludf.DUMMYFUNCTION("""COMPUTED_VALUE"""),1.0)</f>
        <v>1</v>
      </c>
      <c r="M9749" s="4" t="str">
        <f>IFERROR(__xludf.DUMMYFUNCTION("""COMPUTED_VALUE"""),"Consumer Soluções Em Tecnologia Ltda")</f>
        <v>Consumer Soluções Em Tecnologia Ltda</v>
      </c>
      <c r="N9749" s="33">
        <f>IFERROR(__xludf.DUMMYFUNCTION("""COMPUTED_VALUE"""),1.0)</f>
        <v>1</v>
      </c>
      <c r="O9749" s="4" t="str">
        <f>IFERROR(__xludf.DUMMYFUNCTION("""COMPUTED_VALUE"""),"Consumer Soluções Em Tecnologia Ltda")</f>
        <v>Consumer Soluções Em Tecnologia Ltda</v>
      </c>
      <c r="P9749" s="33">
        <f>IFERROR(__xludf.DUMMYFUNCTION("""COMPUTED_VALUE"""),1.0)</f>
        <v>1</v>
      </c>
      <c r="Q9749" s="4" t="str">
        <f>IFERROR(__xludf.DUMMYFUNCTION("""COMPUTED_VALUE"""),"Consumer Soluções Em Tecnologia Ltda")</f>
        <v>Consumer Soluções Em Tecnologia Ltda</v>
      </c>
      <c r="R9749" s="33">
        <f>IFERROR(__xludf.DUMMYFUNCTION("""COMPUTED_VALUE"""),1.0)</f>
        <v>1</v>
      </c>
      <c r="S9749" s="4" t="str">
        <f>IFERROR(__xludf.DUMMYFUNCTION("""COMPUTED_VALUE"""),"Consumer Soluções Em Tecnologia Ltda")</f>
        <v>Consumer Soluções Em Tecnologia Ltda</v>
      </c>
      <c r="T9749" s="33">
        <f>IFERROR(__xludf.DUMMYFUNCTION("""COMPUTED_VALUE"""),1.0)</f>
        <v>1</v>
      </c>
      <c r="U9749" s="4" t="str">
        <f>IFERROR(__xludf.DUMMYFUNCTION("""COMPUTED_VALUE"""),"Consumer Soluções Em Tecnologia Ltda")</f>
        <v>Consumer Soluções Em Tecnologia Ltda</v>
      </c>
      <c r="V9749" s="33">
        <f>IFERROR(__xludf.DUMMYFUNCTION("""COMPUTED_VALUE"""),1.0)</f>
        <v>1</v>
      </c>
      <c r="W9749" s="4" t="str">
        <f>IFERROR(__xludf.DUMMYFUNCTION("""COMPUTED_VALUE"""),"Anota Ai Solucoes Digitais S/a")</f>
        <v>Anota Ai Solucoes Digitais S/a</v>
      </c>
      <c r="X9749" s="33">
        <f>IFERROR(__xludf.DUMMYFUNCTION("""COMPUTED_VALUE"""),1.0)</f>
        <v>1</v>
      </c>
    </row>
    <row r="9750">
      <c r="K9750" s="4" t="str">
        <f>IFERROR(__xludf.DUMMYFUNCTION("""COMPUTED_VALUE"""),"LANCHE DA TIA MAURA")</f>
        <v>LANCHE DA TIA MAURA</v>
      </c>
      <c r="L9750" s="32">
        <f>IFERROR(__xludf.DUMMYFUNCTION("""COMPUTED_VALUE"""),1.0)</f>
        <v>1</v>
      </c>
      <c r="M9750" s="4" t="str">
        <f>IFERROR(__xludf.DUMMYFUNCTION("""COMPUTED_VALUE"""),"Whatsmenu Ltda")</f>
        <v>Whatsmenu Ltda</v>
      </c>
      <c r="N9750" s="33">
        <f>IFERROR(__xludf.DUMMYFUNCTION("""COMPUTED_VALUE"""),1.0)</f>
        <v>1</v>
      </c>
      <c r="O9750" s="4" t="str">
        <f>IFERROR(__xludf.DUMMYFUNCTION("""COMPUTED_VALUE"""),"Whatsmenu Ltda")</f>
        <v>Whatsmenu Ltda</v>
      </c>
      <c r="P9750" s="33">
        <f>IFERROR(__xludf.DUMMYFUNCTION("""COMPUTED_VALUE"""),1.0)</f>
        <v>1</v>
      </c>
      <c r="Q9750" s="4" t="str">
        <f>IFERROR(__xludf.DUMMYFUNCTION("""COMPUTED_VALUE"""),"null")</f>
        <v>null</v>
      </c>
      <c r="R9750" s="33">
        <f>IFERROR(__xludf.DUMMYFUNCTION("""COMPUTED_VALUE"""),1.0)</f>
        <v>1</v>
      </c>
      <c r="S9750" s="4" t="str">
        <f>IFERROR(__xludf.DUMMYFUNCTION("""COMPUTED_VALUE"""),"null")</f>
        <v>null</v>
      </c>
      <c r="T9750" s="33">
        <f>IFERROR(__xludf.DUMMYFUNCTION("""COMPUTED_VALUE"""),1.0)</f>
        <v>1</v>
      </c>
      <c r="U9750" s="4" t="str">
        <f>IFERROR(__xludf.DUMMYFUNCTION("""COMPUTED_VALUE"""),"null")</f>
        <v>null</v>
      </c>
      <c r="V9750" s="33">
        <f>IFERROR(__xludf.DUMMYFUNCTION("""COMPUTED_VALUE"""),1.0)</f>
        <v>1</v>
      </c>
      <c r="W9750" s="4" t="str">
        <f>IFERROR(__xludf.DUMMYFUNCTION("""COMPUTED_VALUE"""),"null")</f>
        <v>null</v>
      </c>
      <c r="X9750" s="33">
        <f>IFERROR(__xludf.DUMMYFUNCTION("""COMPUTED_VALUE"""),1.0)</f>
        <v>1</v>
      </c>
    </row>
    <row r="9751">
      <c r="K9751" s="4" t="str">
        <f>IFERROR(__xludf.DUMMYFUNCTION("""COMPUTED_VALUE"""),"SMOOTHMIX - ACAITERIA FRUTARIA")</f>
        <v>SMOOTHMIX - ACAITERIA FRUTARIA</v>
      </c>
      <c r="L9751" s="32">
        <f>IFERROR(__xludf.DUMMYFUNCTION("""COMPUTED_VALUE"""),1.0)</f>
        <v>1</v>
      </c>
      <c r="M9751" s="4" t="str">
        <f>IFERROR(__xludf.DUMMYFUNCTION("""COMPUTED_VALUE"""),"null")</f>
        <v>null</v>
      </c>
      <c r="N9751" s="33">
        <f>IFERROR(__xludf.DUMMYFUNCTION("""COMPUTED_VALUE"""),1.0)</f>
        <v>1</v>
      </c>
      <c r="O9751" s="4" t="str">
        <f>IFERROR(__xludf.DUMMYFUNCTION("""COMPUTED_VALUE"""),"Connectplug")</f>
        <v>Connectplug</v>
      </c>
      <c r="P9751" s="33">
        <f>IFERROR(__xludf.DUMMYFUNCTION("""COMPUTED_VALUE"""),1.0)</f>
        <v>1</v>
      </c>
      <c r="Q9751" s="4" t="str">
        <f>IFERROR(__xludf.DUMMYFUNCTION("""COMPUTED_VALUE"""),"Connectplug")</f>
        <v>Connectplug</v>
      </c>
      <c r="R9751" s="33">
        <f>IFERROR(__xludf.DUMMYFUNCTION("""COMPUTED_VALUE"""),1.0)</f>
        <v>1</v>
      </c>
      <c r="S9751" s="4" t="str">
        <f>IFERROR(__xludf.DUMMYFUNCTION("""COMPUTED_VALUE"""),"null")</f>
        <v>null</v>
      </c>
      <c r="T9751" s="33">
        <f>IFERROR(__xludf.DUMMYFUNCTION("""COMPUTED_VALUE"""),1.0)</f>
        <v>1</v>
      </c>
      <c r="U9751" s="4" t="str">
        <f>IFERROR(__xludf.DUMMYFUNCTION("""COMPUTED_VALUE"""),"null")</f>
        <v>null</v>
      </c>
      <c r="V9751" s="33">
        <f>IFERROR(__xludf.DUMMYFUNCTION("""COMPUTED_VALUE"""),1.0)</f>
        <v>1</v>
      </c>
      <c r="W9751" s="4" t="str">
        <f>IFERROR(__xludf.DUMMYFUNCTION("""COMPUTED_VALUE"""),"null")</f>
        <v>null</v>
      </c>
      <c r="X9751" s="33">
        <f>IFERROR(__xludf.DUMMYFUNCTION("""COMPUTED_VALUE"""),1.0)</f>
        <v>1</v>
      </c>
    </row>
    <row r="9752">
      <c r="K9752" s="4" t="str">
        <f>IFERROR(__xludf.DUMMYFUNCTION("""COMPUTED_VALUE"""),"PIZZARIA DA HORA DELIVERY")</f>
        <v>PIZZARIA DA HORA DELIVERY</v>
      </c>
      <c r="L9752" s="32">
        <f>IFERROR(__xludf.DUMMYFUNCTION("""COMPUTED_VALUE"""),1.0)</f>
        <v>1</v>
      </c>
      <c r="M9752" s="4" t="str">
        <f>IFERROR(__xludf.DUMMYFUNCTION("""COMPUTED_VALUE"""),"Saipos Serviços De Software")</f>
        <v>Saipos Serviços De Software</v>
      </c>
      <c r="N9752" s="33">
        <f>IFERROR(__xludf.DUMMYFUNCTION("""COMPUTED_VALUE"""),1.0)</f>
        <v>1</v>
      </c>
      <c r="O9752" s="4" t="str">
        <f>IFERROR(__xludf.DUMMYFUNCTION("""COMPUTED_VALUE"""),"Saipos Serviços De Software")</f>
        <v>Saipos Serviços De Software</v>
      </c>
      <c r="P9752" s="33">
        <f>IFERROR(__xludf.DUMMYFUNCTION("""COMPUTED_VALUE"""),1.0)</f>
        <v>1</v>
      </c>
      <c r="Q9752" s="4" t="str">
        <f>IFERROR(__xludf.DUMMYFUNCTION("""COMPUTED_VALUE"""),"Saipos Serviços De Software")</f>
        <v>Saipos Serviços De Software</v>
      </c>
      <c r="R9752" s="33">
        <f>IFERROR(__xludf.DUMMYFUNCTION("""COMPUTED_VALUE"""),1.0)</f>
        <v>1</v>
      </c>
      <c r="S9752" s="4" t="str">
        <f>IFERROR(__xludf.DUMMYFUNCTION("""COMPUTED_VALUE"""),"Saipos Serviços De Software")</f>
        <v>Saipos Serviços De Software</v>
      </c>
      <c r="T9752" s="33">
        <f>IFERROR(__xludf.DUMMYFUNCTION("""COMPUTED_VALUE"""),1.0)</f>
        <v>1</v>
      </c>
      <c r="U9752" s="4" t="str">
        <f>IFERROR(__xludf.DUMMYFUNCTION("""COMPUTED_VALUE"""),"Saipos Serviços De Software")</f>
        <v>Saipos Serviços De Software</v>
      </c>
      <c r="V9752" s="33">
        <f>IFERROR(__xludf.DUMMYFUNCTION("""COMPUTED_VALUE"""),1.0)</f>
        <v>1</v>
      </c>
      <c r="W9752" s="4" t="str">
        <f>IFERROR(__xludf.DUMMYFUNCTION("""COMPUTED_VALUE"""),"Saipos Serviços De Software")</f>
        <v>Saipos Serviços De Software</v>
      </c>
      <c r="X9752" s="33">
        <f>IFERROR(__xludf.DUMMYFUNCTION("""COMPUTED_VALUE"""),1.0)</f>
        <v>1</v>
      </c>
    </row>
    <row r="9753">
      <c r="K9753" s="4" t="str">
        <f>IFERROR(__xludf.DUMMYFUNCTION("""COMPUTED_VALUE"""),"LANCHONETE E MARMITARIA CASEIRA DA MARI")</f>
        <v>LANCHONETE E MARMITARIA CASEIRA DA MARI</v>
      </c>
      <c r="L9753" s="32">
        <f>IFERROR(__xludf.DUMMYFUNCTION("""COMPUTED_VALUE"""),1.0)</f>
        <v>1</v>
      </c>
      <c r="M9753" s="4" t="str">
        <f>IFERROR(__xludf.DUMMYFUNCTION("""COMPUTED_VALUE"""),"Sagres Automação Comercial")</f>
        <v>Sagres Automação Comercial</v>
      </c>
      <c r="N9753" s="33">
        <f>IFERROR(__xludf.DUMMYFUNCTION("""COMPUTED_VALUE"""),1.0)</f>
        <v>1</v>
      </c>
      <c r="O9753" s="4" t="str">
        <f>IFERROR(__xludf.DUMMYFUNCTION("""COMPUTED_VALUE"""),"Sagres Automação Comercial")</f>
        <v>Sagres Automação Comercial</v>
      </c>
      <c r="P9753" s="33">
        <f>IFERROR(__xludf.DUMMYFUNCTION("""COMPUTED_VALUE"""),1.0)</f>
        <v>1</v>
      </c>
      <c r="Q9753" s="4" t="str">
        <f>IFERROR(__xludf.DUMMYFUNCTION("""COMPUTED_VALUE"""),"Sagres Automação Comercial")</f>
        <v>Sagres Automação Comercial</v>
      </c>
      <c r="R9753" s="33">
        <f>IFERROR(__xludf.DUMMYFUNCTION("""COMPUTED_VALUE"""),1.0)</f>
        <v>1</v>
      </c>
      <c r="S9753" s="4" t="str">
        <f>IFERROR(__xludf.DUMMYFUNCTION("""COMPUTED_VALUE"""),"Sagres Automação Comercial")</f>
        <v>Sagres Automação Comercial</v>
      </c>
      <c r="T9753" s="33">
        <f>IFERROR(__xludf.DUMMYFUNCTION("""COMPUTED_VALUE"""),1.0)</f>
        <v>1</v>
      </c>
      <c r="U9753" s="4" t="str">
        <f>IFERROR(__xludf.DUMMYFUNCTION("""COMPUTED_VALUE"""),"Sagres Automação Comercial")</f>
        <v>Sagres Automação Comercial</v>
      </c>
      <c r="V9753" s="33">
        <f>IFERROR(__xludf.DUMMYFUNCTION("""COMPUTED_VALUE"""),1.0)</f>
        <v>1</v>
      </c>
      <c r="W9753" s="4" t="str">
        <f>IFERROR(__xludf.DUMMYFUNCTION("""COMPUTED_VALUE"""),"Sagres Automação Comercial")</f>
        <v>Sagres Automação Comercial</v>
      </c>
      <c r="X9753" s="33">
        <f>IFERROR(__xludf.DUMMYFUNCTION("""COMPUTED_VALUE"""),1.0)</f>
        <v>1</v>
      </c>
    </row>
    <row r="9754">
      <c r="K9754" s="4" t="str">
        <f>IFERROR(__xludf.DUMMYFUNCTION("""COMPUTED_VALUE"""),"SKINA PADARIA")</f>
        <v>SKINA PADARIA</v>
      </c>
      <c r="L9754" s="32">
        <f>IFERROR(__xludf.DUMMYFUNCTION("""COMPUTED_VALUE"""),1.0)</f>
        <v>1</v>
      </c>
      <c r="M9754" s="4" t="str">
        <f>IFERROR(__xludf.DUMMYFUNCTION("""COMPUTED_VALUE"""),"null")</f>
        <v>null</v>
      </c>
      <c r="N9754" s="33">
        <f>IFERROR(__xludf.DUMMYFUNCTION("""COMPUTED_VALUE"""),1.0)</f>
        <v>1</v>
      </c>
      <c r="O9754" s="4" t="str">
        <f>IFERROR(__xludf.DUMMYFUNCTION("""COMPUTED_VALUE"""),"null")</f>
        <v>null</v>
      </c>
      <c r="P9754" s="33">
        <f>IFERROR(__xludf.DUMMYFUNCTION("""COMPUTED_VALUE"""),1.0)</f>
        <v>1</v>
      </c>
      <c r="Q9754" s="4" t="str">
        <f>IFERROR(__xludf.DUMMYFUNCTION("""COMPUTED_VALUE"""),"null")</f>
        <v>null</v>
      </c>
      <c r="R9754" s="33">
        <f>IFERROR(__xludf.DUMMYFUNCTION("""COMPUTED_VALUE"""),1.0)</f>
        <v>1</v>
      </c>
      <c r="S9754" s="4" t="str">
        <f>IFERROR(__xludf.DUMMYFUNCTION("""COMPUTED_VALUE"""),"Mapp Sistemas")</f>
        <v>Mapp Sistemas</v>
      </c>
      <c r="T9754" s="33">
        <f>IFERROR(__xludf.DUMMYFUNCTION("""COMPUTED_VALUE"""),1.0)</f>
        <v>1</v>
      </c>
      <c r="U9754" s="4" t="str">
        <f>IFERROR(__xludf.DUMMYFUNCTION("""COMPUTED_VALUE"""),"Mapp Sistemas")</f>
        <v>Mapp Sistemas</v>
      </c>
      <c r="V9754" s="33">
        <f>IFERROR(__xludf.DUMMYFUNCTION("""COMPUTED_VALUE"""),1.0)</f>
        <v>1</v>
      </c>
      <c r="W9754" s="4" t="str">
        <f>IFERROR(__xludf.DUMMYFUNCTION("""COMPUTED_VALUE"""),"Mapp Sistemas")</f>
        <v>Mapp Sistemas</v>
      </c>
      <c r="X9754" s="33">
        <f>IFERROR(__xludf.DUMMYFUNCTION("""COMPUTED_VALUE"""),1.0)</f>
        <v>1</v>
      </c>
    </row>
    <row r="9755">
      <c r="K9755" s="4" t="str">
        <f>IFERROR(__xludf.DUMMYFUNCTION("""COMPUTED_VALUE"""),"DROGARIA SEMPRE BEM")</f>
        <v>DROGARIA SEMPRE BEM</v>
      </c>
      <c r="L9755" s="32">
        <f>IFERROR(__xludf.DUMMYFUNCTION("""COMPUTED_VALUE"""),1.0)</f>
        <v>1</v>
      </c>
      <c r="M9755" s="4" t="str">
        <f>IFERROR(__xludf.DUMMYFUNCTION("""COMPUTED_VALUE"""),"N/A (Not found)")</f>
        <v>N/A (Not found)</v>
      </c>
      <c r="N9755" s="33">
        <f>IFERROR(__xludf.DUMMYFUNCTION("""COMPUTED_VALUE"""),1.0)</f>
        <v>1</v>
      </c>
      <c r="O9755" s="4" t="str">
        <f>IFERROR(__xludf.DUMMYFUNCTION("""COMPUTED_VALUE"""),"N/A (Not found)")</f>
        <v>N/A (Not found)</v>
      </c>
      <c r="P9755" s="33">
        <f>IFERROR(__xludf.DUMMYFUNCTION("""COMPUTED_VALUE"""),1.0)</f>
        <v>1</v>
      </c>
      <c r="Q9755" s="4" t="str">
        <f>IFERROR(__xludf.DUMMYFUNCTION("""COMPUTED_VALUE"""),"null")</f>
        <v>null</v>
      </c>
      <c r="R9755" s="33">
        <f>IFERROR(__xludf.DUMMYFUNCTION("""COMPUTED_VALUE"""),1.0)</f>
        <v>1</v>
      </c>
      <c r="S9755" s="4" t="str">
        <f>IFERROR(__xludf.DUMMYFUNCTION("""COMPUTED_VALUE"""),"N/A (Not found)")</f>
        <v>N/A (Not found)</v>
      </c>
      <c r="T9755" s="33">
        <f>IFERROR(__xludf.DUMMYFUNCTION("""COMPUTED_VALUE"""),1.0)</f>
        <v>1</v>
      </c>
      <c r="U9755" s="4" t="str">
        <f>IFERROR(__xludf.DUMMYFUNCTION("""COMPUTED_VALUE"""),"null")</f>
        <v>null</v>
      </c>
      <c r="V9755" s="33">
        <f>IFERROR(__xludf.DUMMYFUNCTION("""COMPUTED_VALUE"""),1.0)</f>
        <v>1</v>
      </c>
      <c r="W9755" s="4" t="str">
        <f>IFERROR(__xludf.DUMMYFUNCTION("""COMPUTED_VALUE"""),"null")</f>
        <v>null</v>
      </c>
      <c r="X9755" s="33">
        <f>IFERROR(__xludf.DUMMYFUNCTION("""COMPUTED_VALUE"""),1.0)</f>
        <v>1</v>
      </c>
    </row>
    <row r="9756">
      <c r="K9756" s="4" t="str">
        <f>IFERROR(__xludf.DUMMYFUNCTION("""COMPUTED_VALUE"""),"SUSHI XONEI - DELIVERY")</f>
        <v>SUSHI XONEI - DELIVERY</v>
      </c>
      <c r="L9756" s="32">
        <f>IFERROR(__xludf.DUMMYFUNCTION("""COMPUTED_VALUE"""),1.0)</f>
        <v>1</v>
      </c>
      <c r="M9756" s="4" t="str">
        <f>IFERROR(__xludf.DUMMYFUNCTION("""COMPUTED_VALUE"""),"Instadelivery")</f>
        <v>Instadelivery</v>
      </c>
      <c r="N9756" s="33">
        <f>IFERROR(__xludf.DUMMYFUNCTION("""COMPUTED_VALUE"""),1.0)</f>
        <v>1</v>
      </c>
      <c r="O9756" s="4" t="str">
        <f>IFERROR(__xludf.DUMMYFUNCTION("""COMPUTED_VALUE"""),"Instadelivery")</f>
        <v>Instadelivery</v>
      </c>
      <c r="P9756" s="33">
        <f>IFERROR(__xludf.DUMMYFUNCTION("""COMPUTED_VALUE"""),1.0)</f>
        <v>1</v>
      </c>
      <c r="Q9756" s="4" t="str">
        <f>IFERROR(__xludf.DUMMYFUNCTION("""COMPUTED_VALUE"""),"Instadelivery")</f>
        <v>Instadelivery</v>
      </c>
      <c r="R9756" s="33">
        <f>IFERROR(__xludf.DUMMYFUNCTION("""COMPUTED_VALUE"""),1.0)</f>
        <v>1</v>
      </c>
      <c r="S9756" s="4" t="str">
        <f>IFERROR(__xludf.DUMMYFUNCTION("""COMPUTED_VALUE"""),"Instadelivery")</f>
        <v>Instadelivery</v>
      </c>
      <c r="T9756" s="33">
        <f>IFERROR(__xludf.DUMMYFUNCTION("""COMPUTED_VALUE"""),1.0)</f>
        <v>1</v>
      </c>
      <c r="U9756" s="4" t="str">
        <f>IFERROR(__xludf.DUMMYFUNCTION("""COMPUTED_VALUE"""),"Instadelivery")</f>
        <v>Instadelivery</v>
      </c>
      <c r="V9756" s="33">
        <f>IFERROR(__xludf.DUMMYFUNCTION("""COMPUTED_VALUE"""),1.0)</f>
        <v>1</v>
      </c>
      <c r="W9756" s="4" t="str">
        <f>IFERROR(__xludf.DUMMYFUNCTION("""COMPUTED_VALUE"""),"null")</f>
        <v>null</v>
      </c>
      <c r="X9756" s="33">
        <f>IFERROR(__xludf.DUMMYFUNCTION("""COMPUTED_VALUE"""),1.0)</f>
        <v>1</v>
      </c>
    </row>
    <row r="9757">
      <c r="K9757" s="4" t="str">
        <f>IFERROR(__xludf.DUMMYFUNCTION("""COMPUTED_VALUE"""),"CHOPP TIME ITUVERAVA")</f>
        <v>CHOPP TIME ITUVERAVA</v>
      </c>
      <c r="L9757" s="32">
        <f>IFERROR(__xludf.DUMMYFUNCTION("""COMPUTED_VALUE"""),1.0)</f>
        <v>1</v>
      </c>
      <c r="M9757" s="4" t="str">
        <f>IFERROR(__xludf.DUMMYFUNCTION("""COMPUTED_VALUE"""),"Swfast Sistemas")</f>
        <v>Swfast Sistemas</v>
      </c>
      <c r="N9757" s="33">
        <f>IFERROR(__xludf.DUMMYFUNCTION("""COMPUTED_VALUE"""),1.0)</f>
        <v>1</v>
      </c>
      <c r="O9757" s="4" t="str">
        <f>IFERROR(__xludf.DUMMYFUNCTION("""COMPUTED_VALUE"""),"Swfast Sistemas")</f>
        <v>Swfast Sistemas</v>
      </c>
      <c r="P9757" s="33">
        <f>IFERROR(__xludf.DUMMYFUNCTION("""COMPUTED_VALUE"""),1.0)</f>
        <v>1</v>
      </c>
      <c r="Q9757" s="4" t="str">
        <f>IFERROR(__xludf.DUMMYFUNCTION("""COMPUTED_VALUE"""),"null")</f>
        <v>null</v>
      </c>
      <c r="R9757" s="33">
        <f>IFERROR(__xludf.DUMMYFUNCTION("""COMPUTED_VALUE"""),1.0)</f>
        <v>1</v>
      </c>
      <c r="S9757" s="4" t="str">
        <f>IFERROR(__xludf.DUMMYFUNCTION("""COMPUTED_VALUE"""),"null")</f>
        <v>null</v>
      </c>
      <c r="T9757" s="33">
        <f>IFERROR(__xludf.DUMMYFUNCTION("""COMPUTED_VALUE"""),1.0)</f>
        <v>1</v>
      </c>
      <c r="U9757" s="4" t="str">
        <f>IFERROR(__xludf.DUMMYFUNCTION("""COMPUTED_VALUE"""),"Swfast Sistemas")</f>
        <v>Swfast Sistemas</v>
      </c>
      <c r="V9757" s="33">
        <f>IFERROR(__xludf.DUMMYFUNCTION("""COMPUTED_VALUE"""),1.0)</f>
        <v>1</v>
      </c>
      <c r="W9757" s="4" t="str">
        <f>IFERROR(__xludf.DUMMYFUNCTION("""COMPUTED_VALUE"""),"Swfast Sistemas")</f>
        <v>Swfast Sistemas</v>
      </c>
      <c r="X9757" s="33">
        <f>IFERROR(__xludf.DUMMYFUNCTION("""COMPUTED_VALUE"""),1.0)</f>
        <v>1</v>
      </c>
    </row>
    <row r="9758">
      <c r="K9758" s="4" t="str">
        <f>IFERROR(__xludf.DUMMYFUNCTION("""COMPUTED_VALUE"""),"GALETO ASSADO EDUARDO GOMES")</f>
        <v>GALETO ASSADO EDUARDO GOMES</v>
      </c>
      <c r="L9758" s="32">
        <f>IFERROR(__xludf.DUMMYFUNCTION("""COMPUTED_VALUE"""),1.0)</f>
        <v>1</v>
      </c>
      <c r="M9758" s="4" t="str">
        <f>IFERROR(__xludf.DUMMYFUNCTION("""COMPUTED_VALUE"""),"Saipos Serviços De Software")</f>
        <v>Saipos Serviços De Software</v>
      </c>
      <c r="N9758" s="33">
        <f>IFERROR(__xludf.DUMMYFUNCTION("""COMPUTED_VALUE"""),1.0)</f>
        <v>1</v>
      </c>
      <c r="O9758" s="4" t="str">
        <f>IFERROR(__xludf.DUMMYFUNCTION("""COMPUTED_VALUE"""),"Anota Ai Solucoes Digitais S/a")</f>
        <v>Anota Ai Solucoes Digitais S/a</v>
      </c>
      <c r="P9758" s="33">
        <f>IFERROR(__xludf.DUMMYFUNCTION("""COMPUTED_VALUE"""),1.0)</f>
        <v>1</v>
      </c>
      <c r="Q9758" s="4" t="str">
        <f>IFERROR(__xludf.DUMMYFUNCTION("""COMPUTED_VALUE"""),"Anota Ai Solucoes Digitais S/a")</f>
        <v>Anota Ai Solucoes Digitais S/a</v>
      </c>
      <c r="R9758" s="33">
        <f>IFERROR(__xludf.DUMMYFUNCTION("""COMPUTED_VALUE"""),1.0)</f>
        <v>1</v>
      </c>
      <c r="S9758" s="4" t="str">
        <f>IFERROR(__xludf.DUMMYFUNCTION("""COMPUTED_VALUE"""),"null")</f>
        <v>null</v>
      </c>
      <c r="T9758" s="33">
        <f>IFERROR(__xludf.DUMMYFUNCTION("""COMPUTED_VALUE"""),1.0)</f>
        <v>1</v>
      </c>
      <c r="U9758" s="4" t="str">
        <f>IFERROR(__xludf.DUMMYFUNCTION("""COMPUTED_VALUE"""),"Anota Ai Solucoes Digitais S/a")</f>
        <v>Anota Ai Solucoes Digitais S/a</v>
      </c>
      <c r="V9758" s="33">
        <f>IFERROR(__xludf.DUMMYFUNCTION("""COMPUTED_VALUE"""),1.0)</f>
        <v>1</v>
      </c>
      <c r="W9758" s="4" t="str">
        <f>IFERROR(__xludf.DUMMYFUNCTION("""COMPUTED_VALUE"""),"Anota Ai Solucoes Digitais S/a")</f>
        <v>Anota Ai Solucoes Digitais S/a</v>
      </c>
      <c r="X9758" s="33">
        <f>IFERROR(__xludf.DUMMYFUNCTION("""COMPUTED_VALUE"""),1.0)</f>
        <v>1</v>
      </c>
    </row>
    <row r="9759">
      <c r="K9759" s="4" t="str">
        <f>IFERROR(__xludf.DUMMYFUNCTION("""COMPUTED_VALUE"""),"NUUH BAIRRO CONVENIENCIA")</f>
        <v>NUUH BAIRRO CONVENIENCIA</v>
      </c>
      <c r="L9759" s="32">
        <f>IFERROR(__xludf.DUMMYFUNCTION("""COMPUTED_VALUE"""),1.0)</f>
        <v>1</v>
      </c>
      <c r="M9759" s="4" t="str">
        <f>IFERROR(__xludf.DUMMYFUNCTION("""COMPUTED_VALUE"""),"Alterdata Tecnologia Em Informatica Ltda")</f>
        <v>Alterdata Tecnologia Em Informatica Ltda</v>
      </c>
      <c r="N9759" s="33">
        <f>IFERROR(__xludf.DUMMYFUNCTION("""COMPUTED_VALUE"""),1.0)</f>
        <v>1</v>
      </c>
      <c r="O9759" s="4" t="str">
        <f>IFERROR(__xludf.DUMMYFUNCTION("""COMPUTED_VALUE"""),"Alterdata Tecnologia Em Informatica Ltda")</f>
        <v>Alterdata Tecnologia Em Informatica Ltda</v>
      </c>
      <c r="P9759" s="33">
        <f>IFERROR(__xludf.DUMMYFUNCTION("""COMPUTED_VALUE"""),1.0)</f>
        <v>1</v>
      </c>
      <c r="Q9759" s="4" t="str">
        <f>IFERROR(__xludf.DUMMYFUNCTION("""COMPUTED_VALUE"""),"Alterdata Tecnologia Em Informatica Ltda")</f>
        <v>Alterdata Tecnologia Em Informatica Ltda</v>
      </c>
      <c r="R9759" s="33">
        <f>IFERROR(__xludf.DUMMYFUNCTION("""COMPUTED_VALUE"""),1.0)</f>
        <v>1</v>
      </c>
      <c r="S9759" s="4" t="str">
        <f>IFERROR(__xludf.DUMMYFUNCTION("""COMPUTED_VALUE"""),"Alterdata Tecnologia Em Informatica Ltda")</f>
        <v>Alterdata Tecnologia Em Informatica Ltda</v>
      </c>
      <c r="T9759" s="33">
        <f>IFERROR(__xludf.DUMMYFUNCTION("""COMPUTED_VALUE"""),1.0)</f>
        <v>1</v>
      </c>
      <c r="U9759" s="4" t="str">
        <f>IFERROR(__xludf.DUMMYFUNCTION("""COMPUTED_VALUE"""),"Alterdata Tecnologia Em Informatica Ltda")</f>
        <v>Alterdata Tecnologia Em Informatica Ltda</v>
      </c>
      <c r="V9759" s="33">
        <f>IFERROR(__xludf.DUMMYFUNCTION("""COMPUTED_VALUE"""),1.0)</f>
        <v>1</v>
      </c>
      <c r="W9759" s="4" t="str">
        <f>IFERROR(__xludf.DUMMYFUNCTION("""COMPUTED_VALUE"""),"Alterdata Tecnologia Em Informatica Ltda")</f>
        <v>Alterdata Tecnologia Em Informatica Ltda</v>
      </c>
      <c r="X9759" s="33">
        <f>IFERROR(__xludf.DUMMYFUNCTION("""COMPUTED_VALUE"""),1.0)</f>
        <v>1</v>
      </c>
    </row>
    <row r="9760">
      <c r="K9760" s="4" t="str">
        <f>IFERROR(__xludf.DUMMYFUNCTION("""COMPUTED_VALUE"""),"HAMBURG HIGIENOPOLIS - HAMBURGUER ARTESANAL")</f>
        <v>HAMBURG HIGIENOPOLIS - HAMBURGUER ARTESANAL</v>
      </c>
      <c r="L9760" s="32">
        <f>IFERROR(__xludf.DUMMYFUNCTION("""COMPUTED_VALUE"""),1.0)</f>
        <v>1</v>
      </c>
      <c r="M9760" s="4" t="str">
        <f>IFERROR(__xludf.DUMMYFUNCTION("""COMPUTED_VALUE"""),"Saipos Serviços De Software")</f>
        <v>Saipos Serviços De Software</v>
      </c>
      <c r="N9760" s="33">
        <f>IFERROR(__xludf.DUMMYFUNCTION("""COMPUTED_VALUE"""),1.0)</f>
        <v>1</v>
      </c>
      <c r="O9760" s="4" t="str">
        <f>IFERROR(__xludf.DUMMYFUNCTION("""COMPUTED_VALUE"""),"Saipos Serviços De Software")</f>
        <v>Saipos Serviços De Software</v>
      </c>
      <c r="P9760" s="33">
        <f>IFERROR(__xludf.DUMMYFUNCTION("""COMPUTED_VALUE"""),1.0)</f>
        <v>1</v>
      </c>
      <c r="Q9760" s="4" t="str">
        <f>IFERROR(__xludf.DUMMYFUNCTION("""COMPUTED_VALUE"""),"Saipos Serviços De Software")</f>
        <v>Saipos Serviços De Software</v>
      </c>
      <c r="R9760" s="33">
        <f>IFERROR(__xludf.DUMMYFUNCTION("""COMPUTED_VALUE"""),1.0)</f>
        <v>1</v>
      </c>
      <c r="S9760" s="4" t="str">
        <f>IFERROR(__xludf.DUMMYFUNCTION("""COMPUTED_VALUE"""),"Saipos Serviços De Software")</f>
        <v>Saipos Serviços De Software</v>
      </c>
      <c r="T9760" s="33">
        <f>IFERROR(__xludf.DUMMYFUNCTION("""COMPUTED_VALUE"""),1.0)</f>
        <v>1</v>
      </c>
      <c r="U9760" s="4" t="str">
        <f>IFERROR(__xludf.DUMMYFUNCTION("""COMPUTED_VALUE"""),"Saipos Serviços De Software")</f>
        <v>Saipos Serviços De Software</v>
      </c>
      <c r="V9760" s="33">
        <f>IFERROR(__xludf.DUMMYFUNCTION("""COMPUTED_VALUE"""),1.0)</f>
        <v>1</v>
      </c>
      <c r="W9760" s="4" t="str">
        <f>IFERROR(__xludf.DUMMYFUNCTION("""COMPUTED_VALUE"""),"Saipos Serviços De Software")</f>
        <v>Saipos Serviços De Software</v>
      </c>
      <c r="X9760" s="33">
        <f>IFERROR(__xludf.DUMMYFUNCTION("""COMPUTED_VALUE"""),1.0)</f>
        <v>1</v>
      </c>
    </row>
    <row r="9761">
      <c r="K9761" s="4" t="str">
        <f>IFERROR(__xludf.DUMMYFUNCTION("""COMPUTED_VALUE"""),"BILARS BURGUER - HAMBURGUER ARTESANAL")</f>
        <v>BILARS BURGUER - HAMBURGUER ARTESANAL</v>
      </c>
      <c r="L9761" s="32">
        <f>IFERROR(__xludf.DUMMYFUNCTION("""COMPUTED_VALUE"""),1.0)</f>
        <v>1</v>
      </c>
      <c r="M9761" s="4" t="str">
        <f>IFERROR(__xludf.DUMMYFUNCTION("""COMPUTED_VALUE"""),"Instadelivery")</f>
        <v>Instadelivery</v>
      </c>
      <c r="N9761" s="33">
        <f>IFERROR(__xludf.DUMMYFUNCTION("""COMPUTED_VALUE"""),1.0)</f>
        <v>1</v>
      </c>
      <c r="O9761" s="4" t="str">
        <f>IFERROR(__xludf.DUMMYFUNCTION("""COMPUTED_VALUE"""),"Instadelivery")</f>
        <v>Instadelivery</v>
      </c>
      <c r="P9761" s="33">
        <f>IFERROR(__xludf.DUMMYFUNCTION("""COMPUTED_VALUE"""),1.0)</f>
        <v>1</v>
      </c>
      <c r="Q9761" s="4" t="str">
        <f>IFERROR(__xludf.DUMMYFUNCTION("""COMPUTED_VALUE"""),"null")</f>
        <v>null</v>
      </c>
      <c r="R9761" s="33">
        <f>IFERROR(__xludf.DUMMYFUNCTION("""COMPUTED_VALUE"""),1.0)</f>
        <v>1</v>
      </c>
      <c r="S9761" s="4" t="str">
        <f>IFERROR(__xludf.DUMMYFUNCTION("""COMPUTED_VALUE"""),"null")</f>
        <v>null</v>
      </c>
      <c r="T9761" s="33">
        <f>IFERROR(__xludf.DUMMYFUNCTION("""COMPUTED_VALUE"""),1.0)</f>
        <v>1</v>
      </c>
      <c r="U9761" s="4" t="str">
        <f>IFERROR(__xludf.DUMMYFUNCTION("""COMPUTED_VALUE"""),"null")</f>
        <v>null</v>
      </c>
      <c r="V9761" s="33">
        <f>IFERROR(__xludf.DUMMYFUNCTION("""COMPUTED_VALUE"""),1.0)</f>
        <v>1</v>
      </c>
      <c r="W9761" s="4" t="str">
        <f>IFERROR(__xludf.DUMMYFUNCTION("""COMPUTED_VALUE"""),"null")</f>
        <v>null</v>
      </c>
      <c r="X9761" s="33">
        <f>IFERROR(__xludf.DUMMYFUNCTION("""COMPUTED_VALUE"""),1.0)</f>
        <v>1</v>
      </c>
    </row>
    <row r="9762">
      <c r="K9762" s="4" t="str">
        <f>IFERROR(__xludf.DUMMYFUNCTION("""COMPUTED_VALUE"""),"FARMACIA MAIS ECONOMICA")</f>
        <v>FARMACIA MAIS ECONOMICA</v>
      </c>
      <c r="L9762" s="32">
        <f>IFERROR(__xludf.DUMMYFUNCTION("""COMPUTED_VALUE"""),1.0)</f>
        <v>1</v>
      </c>
      <c r="M9762" s="4" t="str">
        <f>IFERROR(__xludf.DUMMYFUNCTION("""COMPUTED_VALUE"""),"N/A (Not found)")</f>
        <v>N/A (Not found)</v>
      </c>
      <c r="N9762" s="33">
        <f>IFERROR(__xludf.DUMMYFUNCTION("""COMPUTED_VALUE"""),1.0)</f>
        <v>1</v>
      </c>
      <c r="O9762" s="4" t="str">
        <f>IFERROR(__xludf.DUMMYFUNCTION("""COMPUTED_VALUE"""),"N/A (Not found)")</f>
        <v>N/A (Not found)</v>
      </c>
      <c r="P9762" s="33">
        <f>IFERROR(__xludf.DUMMYFUNCTION("""COMPUTED_VALUE"""),1.0)</f>
        <v>1</v>
      </c>
      <c r="Q9762" s="4" t="str">
        <f>IFERROR(__xludf.DUMMYFUNCTION("""COMPUTED_VALUE"""),"N/A (Not found)")</f>
        <v>N/A (Not found)</v>
      </c>
      <c r="R9762" s="33">
        <f>IFERROR(__xludf.DUMMYFUNCTION("""COMPUTED_VALUE"""),1.0)</f>
        <v>1</v>
      </c>
      <c r="S9762" s="4" t="str">
        <f>IFERROR(__xludf.DUMMYFUNCTION("""COMPUTED_VALUE"""),"null")</f>
        <v>null</v>
      </c>
      <c r="T9762" s="33">
        <f>IFERROR(__xludf.DUMMYFUNCTION("""COMPUTED_VALUE"""),1.0)</f>
        <v>1</v>
      </c>
      <c r="U9762" s="4" t="str">
        <f>IFERROR(__xludf.DUMMYFUNCTION("""COMPUTED_VALUE"""),"null")</f>
        <v>null</v>
      </c>
      <c r="V9762" s="33">
        <f>IFERROR(__xludf.DUMMYFUNCTION("""COMPUTED_VALUE"""),1.0)</f>
        <v>1</v>
      </c>
      <c r="W9762" s="4" t="str">
        <f>IFERROR(__xludf.DUMMYFUNCTION("""COMPUTED_VALUE"""),"null")</f>
        <v>null</v>
      </c>
      <c r="X9762" s="33">
        <f>IFERROR(__xludf.DUMMYFUNCTION("""COMPUTED_VALUE"""),1.0)</f>
        <v>1</v>
      </c>
    </row>
    <row r="9763">
      <c r="K9763" s="4" t="str">
        <f>IFERROR(__xludf.DUMMYFUNCTION("""COMPUTED_VALUE"""),"SMOOTHIE SANDUICHES FRESHSOUL")</f>
        <v>SMOOTHIE SANDUICHES FRESHSOUL</v>
      </c>
      <c r="L9763" s="32">
        <f>IFERROR(__xludf.DUMMYFUNCTION("""COMPUTED_VALUE"""),1.0)</f>
        <v>1</v>
      </c>
      <c r="M9763" s="4" t="str">
        <f>IFERROR(__xludf.DUMMYFUNCTION("""COMPUTED_VALUE"""),"Winfood")</f>
        <v>Winfood</v>
      </c>
      <c r="N9763" s="33">
        <f>IFERROR(__xludf.DUMMYFUNCTION("""COMPUTED_VALUE"""),1.0)</f>
        <v>1</v>
      </c>
      <c r="O9763" s="4" t="str">
        <f>IFERROR(__xludf.DUMMYFUNCTION("""COMPUTED_VALUE"""),"null")</f>
        <v>null</v>
      </c>
      <c r="P9763" s="33">
        <f>IFERROR(__xludf.DUMMYFUNCTION("""COMPUTED_VALUE"""),1.0)</f>
        <v>1</v>
      </c>
      <c r="Q9763" s="4" t="str">
        <f>IFERROR(__xludf.DUMMYFUNCTION("""COMPUTED_VALUE"""),"null")</f>
        <v>null</v>
      </c>
      <c r="R9763" s="33">
        <f>IFERROR(__xludf.DUMMYFUNCTION("""COMPUTED_VALUE"""),1.0)</f>
        <v>1</v>
      </c>
      <c r="S9763" s="4" t="str">
        <f>IFERROR(__xludf.DUMMYFUNCTION("""COMPUTED_VALUE"""),"null")</f>
        <v>null</v>
      </c>
      <c r="T9763" s="33">
        <f>IFERROR(__xludf.DUMMYFUNCTION("""COMPUTED_VALUE"""),1.0)</f>
        <v>1</v>
      </c>
      <c r="U9763" s="4" t="str">
        <f>IFERROR(__xludf.DUMMYFUNCTION("""COMPUTED_VALUE"""),"Winfood")</f>
        <v>Winfood</v>
      </c>
      <c r="V9763" s="33">
        <f>IFERROR(__xludf.DUMMYFUNCTION("""COMPUTED_VALUE"""),1.0)</f>
        <v>1</v>
      </c>
      <c r="W9763" s="4" t="str">
        <f>IFERROR(__xludf.DUMMYFUNCTION("""COMPUTED_VALUE"""),"null")</f>
        <v>null</v>
      </c>
      <c r="X9763" s="33">
        <f>IFERROR(__xludf.DUMMYFUNCTION("""COMPUTED_VALUE"""),1.0)</f>
        <v>1</v>
      </c>
    </row>
    <row r="9764">
      <c r="K9764" s="4" t="str">
        <f>IFERROR(__xludf.DUMMYFUNCTION("""COMPUTED_VALUE"""),"DROGANEWS JARDIM GUANABARA")</f>
        <v>DROGANEWS JARDIM GUANABARA</v>
      </c>
      <c r="L9764" s="32">
        <f>IFERROR(__xludf.DUMMYFUNCTION("""COMPUTED_VALUE"""),1.0)</f>
        <v>1</v>
      </c>
      <c r="M9764" s="4" t="str">
        <f>IFERROR(__xludf.DUMMYFUNCTION("""COMPUTED_VALUE"""),"N/A (Not found)")</f>
        <v>N/A (Not found)</v>
      </c>
      <c r="N9764" s="33">
        <f>IFERROR(__xludf.DUMMYFUNCTION("""COMPUTED_VALUE"""),1.0)</f>
        <v>1</v>
      </c>
      <c r="O9764" s="4" t="str">
        <f>IFERROR(__xludf.DUMMYFUNCTION("""COMPUTED_VALUE"""),"N/A (Not found)")</f>
        <v>N/A (Not found)</v>
      </c>
      <c r="P9764" s="33">
        <f>IFERROR(__xludf.DUMMYFUNCTION("""COMPUTED_VALUE"""),1.0)</f>
        <v>1</v>
      </c>
      <c r="Q9764" s="4" t="str">
        <f>IFERROR(__xludf.DUMMYFUNCTION("""COMPUTED_VALUE"""),"N/A (Not found)")</f>
        <v>N/A (Not found)</v>
      </c>
      <c r="R9764" s="33">
        <f>IFERROR(__xludf.DUMMYFUNCTION("""COMPUTED_VALUE"""),1.0)</f>
        <v>1</v>
      </c>
      <c r="S9764" s="4" t="str">
        <f>IFERROR(__xludf.DUMMYFUNCTION("""COMPUTED_VALUE"""),"N/A (Not found)")</f>
        <v>N/A (Not found)</v>
      </c>
      <c r="T9764" s="33">
        <f>IFERROR(__xludf.DUMMYFUNCTION("""COMPUTED_VALUE"""),1.0)</f>
        <v>1</v>
      </c>
      <c r="U9764" s="4" t="str">
        <f>IFERROR(__xludf.DUMMYFUNCTION("""COMPUTED_VALUE"""),"N/A (Not found)")</f>
        <v>N/A (Not found)</v>
      </c>
      <c r="V9764" s="33">
        <f>IFERROR(__xludf.DUMMYFUNCTION("""COMPUTED_VALUE"""),1.0)</f>
        <v>1</v>
      </c>
      <c r="W9764" s="4" t="str">
        <f>IFERROR(__xludf.DUMMYFUNCTION("""COMPUTED_VALUE"""),"N/A (Not found)")</f>
        <v>N/A (Not found)</v>
      </c>
      <c r="X9764" s="33">
        <f>IFERROR(__xludf.DUMMYFUNCTION("""COMPUTED_VALUE"""),1.0)</f>
        <v>1</v>
      </c>
    </row>
    <row r="9765">
      <c r="K9765" s="4" t="str">
        <f>IFERROR(__xludf.DUMMYFUNCTION("""COMPUTED_VALUE"""),"HIKARI BLACK SUSHI DELIVERY")</f>
        <v>HIKARI BLACK SUSHI DELIVERY</v>
      </c>
      <c r="L9765" s="32">
        <f>IFERROR(__xludf.DUMMYFUNCTION("""COMPUTED_VALUE"""),1.0)</f>
        <v>1</v>
      </c>
      <c r="M9765" s="4" t="str">
        <f>IFERROR(__xludf.DUMMYFUNCTION("""COMPUTED_VALUE"""),"null")</f>
        <v>null</v>
      </c>
      <c r="N9765" s="33">
        <f>IFERROR(__xludf.DUMMYFUNCTION("""COMPUTED_VALUE"""),1.0)</f>
        <v>1</v>
      </c>
      <c r="O9765" s="4" t="str">
        <f>IFERROR(__xludf.DUMMYFUNCTION("""COMPUTED_VALUE"""),"null")</f>
        <v>null</v>
      </c>
      <c r="P9765" s="33">
        <f>IFERROR(__xludf.DUMMYFUNCTION("""COMPUTED_VALUE"""),1.0)</f>
        <v>1</v>
      </c>
      <c r="Q9765" s="4" t="str">
        <f>IFERROR(__xludf.DUMMYFUNCTION("""COMPUTED_VALUE"""),"null")</f>
        <v>null</v>
      </c>
      <c r="R9765" s="33">
        <f>IFERROR(__xludf.DUMMYFUNCTION("""COMPUTED_VALUE"""),1.0)</f>
        <v>1</v>
      </c>
      <c r="S9765" s="4" t="str">
        <f>IFERROR(__xludf.DUMMYFUNCTION("""COMPUTED_VALUE"""),"Saipos Serviços De Software")</f>
        <v>Saipos Serviços De Software</v>
      </c>
      <c r="T9765" s="33">
        <f>IFERROR(__xludf.DUMMYFUNCTION("""COMPUTED_VALUE"""),1.0)</f>
        <v>1</v>
      </c>
      <c r="U9765" s="4" t="str">
        <f>IFERROR(__xludf.DUMMYFUNCTION("""COMPUTED_VALUE"""),"Saipos Serviços De Software")</f>
        <v>Saipos Serviços De Software</v>
      </c>
      <c r="V9765" s="33">
        <f>IFERROR(__xludf.DUMMYFUNCTION("""COMPUTED_VALUE"""),1.0)</f>
        <v>1</v>
      </c>
      <c r="W9765" s="4" t="str">
        <f>IFERROR(__xludf.DUMMYFUNCTION("""COMPUTED_VALUE"""),"Saipos Serviços De Software")</f>
        <v>Saipos Serviços De Software</v>
      </c>
      <c r="X9765" s="33">
        <f>IFERROR(__xludf.DUMMYFUNCTION("""COMPUTED_VALUE"""),1.0)</f>
        <v>1</v>
      </c>
    </row>
    <row r="9766">
      <c r="K9766" s="4" t="str">
        <f>IFERROR(__xludf.DUMMYFUNCTION("""COMPUTED_VALUE"""),"PIZZAS DO GRINGO")</f>
        <v>PIZZAS DO GRINGO</v>
      </c>
      <c r="L9766" s="32">
        <f>IFERROR(__xludf.DUMMYFUNCTION("""COMPUTED_VALUE"""),1.0)</f>
        <v>1</v>
      </c>
      <c r="M9766" s="4" t="str">
        <f>IFERROR(__xludf.DUMMYFUNCTION("""COMPUTED_VALUE"""),"Mp Multipedidos")</f>
        <v>Mp Multipedidos</v>
      </c>
      <c r="N9766" s="33">
        <f>IFERROR(__xludf.DUMMYFUNCTION("""COMPUTED_VALUE"""),1.0)</f>
        <v>1</v>
      </c>
      <c r="O9766" s="4" t="str">
        <f>IFERROR(__xludf.DUMMYFUNCTION("""COMPUTED_VALUE"""),"Mp Multipedidos")</f>
        <v>Mp Multipedidos</v>
      </c>
      <c r="P9766" s="33">
        <f>IFERROR(__xludf.DUMMYFUNCTION("""COMPUTED_VALUE"""),1.0)</f>
        <v>1</v>
      </c>
      <c r="Q9766" s="4" t="str">
        <f>IFERROR(__xludf.DUMMYFUNCTION("""COMPUTED_VALUE"""),"Mp Multipedidos")</f>
        <v>Mp Multipedidos</v>
      </c>
      <c r="R9766" s="33">
        <f>IFERROR(__xludf.DUMMYFUNCTION("""COMPUTED_VALUE"""),1.0)</f>
        <v>1</v>
      </c>
      <c r="S9766" s="4" t="str">
        <f>IFERROR(__xludf.DUMMYFUNCTION("""COMPUTED_VALUE"""),"null")</f>
        <v>null</v>
      </c>
      <c r="T9766" s="33">
        <f>IFERROR(__xludf.DUMMYFUNCTION("""COMPUTED_VALUE"""),1.0)</f>
        <v>1</v>
      </c>
      <c r="U9766" s="4" t="str">
        <f>IFERROR(__xludf.DUMMYFUNCTION("""COMPUTED_VALUE"""),"Saipos Serviços De Software")</f>
        <v>Saipos Serviços De Software</v>
      </c>
      <c r="V9766" s="33">
        <f>IFERROR(__xludf.DUMMYFUNCTION("""COMPUTED_VALUE"""),1.0)</f>
        <v>1</v>
      </c>
      <c r="W9766" s="4" t="str">
        <f>IFERROR(__xludf.DUMMYFUNCTION("""COMPUTED_VALUE"""),"Saipos Serviços De Software")</f>
        <v>Saipos Serviços De Software</v>
      </c>
      <c r="X9766" s="33">
        <f>IFERROR(__xludf.DUMMYFUNCTION("""COMPUTED_VALUE"""),1.0)</f>
        <v>1</v>
      </c>
    </row>
    <row r="9767">
      <c r="K9767" s="4" t="str">
        <f>IFERROR(__xludf.DUMMYFUNCTION("""COMPUTED_VALUE"""),"TYLER STEAKHOUSE - MARMITEX")</f>
        <v>TYLER STEAKHOUSE - MARMITEX</v>
      </c>
      <c r="L9767" s="32">
        <f>IFERROR(__xludf.DUMMYFUNCTION("""COMPUTED_VALUE"""),1.0)</f>
        <v>1</v>
      </c>
      <c r="M9767" s="4" t="str">
        <f>IFERROR(__xludf.DUMMYFUNCTION("""COMPUTED_VALUE"""),"Saipos Serviços De Software")</f>
        <v>Saipos Serviços De Software</v>
      </c>
      <c r="N9767" s="33">
        <f>IFERROR(__xludf.DUMMYFUNCTION("""COMPUTED_VALUE"""),1.0)</f>
        <v>1</v>
      </c>
      <c r="O9767" s="4" t="str">
        <f>IFERROR(__xludf.DUMMYFUNCTION("""COMPUTED_VALUE"""),"Saipos Serviços De Software")</f>
        <v>Saipos Serviços De Software</v>
      </c>
      <c r="P9767" s="33">
        <f>IFERROR(__xludf.DUMMYFUNCTION("""COMPUTED_VALUE"""),1.0)</f>
        <v>1</v>
      </c>
      <c r="Q9767" s="4" t="str">
        <f>IFERROR(__xludf.DUMMYFUNCTION("""COMPUTED_VALUE"""),"Saipos Serviços De Software")</f>
        <v>Saipos Serviços De Software</v>
      </c>
      <c r="R9767" s="33">
        <f>IFERROR(__xludf.DUMMYFUNCTION("""COMPUTED_VALUE"""),1.0)</f>
        <v>1</v>
      </c>
      <c r="S9767" s="4" t="str">
        <f>IFERROR(__xludf.DUMMYFUNCTION("""COMPUTED_VALUE"""),"Saipos Serviços De Software")</f>
        <v>Saipos Serviços De Software</v>
      </c>
      <c r="T9767" s="33">
        <f>IFERROR(__xludf.DUMMYFUNCTION("""COMPUTED_VALUE"""),1.0)</f>
        <v>1</v>
      </c>
      <c r="U9767" s="4" t="str">
        <f>IFERROR(__xludf.DUMMYFUNCTION("""COMPUTED_VALUE"""),"Saipos Serviços De Software")</f>
        <v>Saipos Serviços De Software</v>
      </c>
      <c r="V9767" s="33">
        <f>IFERROR(__xludf.DUMMYFUNCTION("""COMPUTED_VALUE"""),1.0)</f>
        <v>1</v>
      </c>
      <c r="W9767" s="4" t="str">
        <f>IFERROR(__xludf.DUMMYFUNCTION("""COMPUTED_VALUE"""),"Saipos Serviços De Software")</f>
        <v>Saipos Serviços De Software</v>
      </c>
      <c r="X9767" s="33">
        <f>IFERROR(__xludf.DUMMYFUNCTION("""COMPUTED_VALUE"""),1.0)</f>
        <v>1</v>
      </c>
    </row>
    <row r="9768">
      <c r="K9768" s="4" t="str">
        <f>IFERROR(__xludf.DUMMYFUNCTION("""COMPUTED_VALUE"""),"DROGAMINAS POPULAR")</f>
        <v>DROGAMINAS POPULAR</v>
      </c>
      <c r="L9768" s="32">
        <f>IFERROR(__xludf.DUMMYFUNCTION("""COMPUTED_VALUE"""),1.0)</f>
        <v>1</v>
      </c>
      <c r="M9768" s="4" t="str">
        <f>IFERROR(__xludf.DUMMYFUNCTION("""COMPUTED_VALUE"""),"N/A (Not found)")</f>
        <v>N/A (Not found)</v>
      </c>
      <c r="N9768" s="33">
        <f>IFERROR(__xludf.DUMMYFUNCTION("""COMPUTED_VALUE"""),1.0)</f>
        <v>1</v>
      </c>
      <c r="O9768" s="4" t="str">
        <f>IFERROR(__xludf.DUMMYFUNCTION("""COMPUTED_VALUE"""),"N/A (Not found)")</f>
        <v>N/A (Not found)</v>
      </c>
      <c r="P9768" s="33">
        <f>IFERROR(__xludf.DUMMYFUNCTION("""COMPUTED_VALUE"""),1.0)</f>
        <v>1</v>
      </c>
      <c r="Q9768" s="4" t="str">
        <f>IFERROR(__xludf.DUMMYFUNCTION("""COMPUTED_VALUE"""),"N/A (Not found)")</f>
        <v>N/A (Not found)</v>
      </c>
      <c r="R9768" s="33">
        <f>IFERROR(__xludf.DUMMYFUNCTION("""COMPUTED_VALUE"""),1.0)</f>
        <v>1</v>
      </c>
      <c r="S9768" s="4" t="str">
        <f>IFERROR(__xludf.DUMMYFUNCTION("""COMPUTED_VALUE"""),"N/A (Not found)")</f>
        <v>N/A (Not found)</v>
      </c>
      <c r="T9768" s="33">
        <f>IFERROR(__xludf.DUMMYFUNCTION("""COMPUTED_VALUE"""),1.0)</f>
        <v>1</v>
      </c>
      <c r="U9768" s="4" t="str">
        <f>IFERROR(__xludf.DUMMYFUNCTION("""COMPUTED_VALUE"""),"N/A (Not found)")</f>
        <v>N/A (Not found)</v>
      </c>
      <c r="V9768" s="33">
        <f>IFERROR(__xludf.DUMMYFUNCTION("""COMPUTED_VALUE"""),1.0)</f>
        <v>1</v>
      </c>
      <c r="W9768" s="4" t="str">
        <f>IFERROR(__xludf.DUMMYFUNCTION("""COMPUTED_VALUE"""),"N/A (Not found)")</f>
        <v>N/A (Not found)</v>
      </c>
      <c r="X9768" s="33">
        <f>IFERROR(__xludf.DUMMYFUNCTION("""COMPUTED_VALUE"""),1.0)</f>
        <v>1</v>
      </c>
    </row>
    <row r="9769">
      <c r="K9769" s="4" t="str">
        <f>IFERROR(__xludf.DUMMYFUNCTION("""COMPUTED_VALUE"""),"HI THAI- CAPOEIRAS")</f>
        <v>HI THAI- CAPOEIRAS</v>
      </c>
      <c r="L9769" s="32">
        <f>IFERROR(__xludf.DUMMYFUNCTION("""COMPUTED_VALUE"""),1.0)</f>
        <v>1</v>
      </c>
      <c r="M9769" s="4" t="str">
        <f>IFERROR(__xludf.DUMMYFUNCTION("""COMPUTED_VALUE"""),"Saipos Serviços De Software")</f>
        <v>Saipos Serviços De Software</v>
      </c>
      <c r="N9769" s="33">
        <f>IFERROR(__xludf.DUMMYFUNCTION("""COMPUTED_VALUE"""),1.0)</f>
        <v>1</v>
      </c>
      <c r="O9769" s="4" t="str">
        <f>IFERROR(__xludf.DUMMYFUNCTION("""COMPUTED_VALUE"""),"Saipos Serviços De Software")</f>
        <v>Saipos Serviços De Software</v>
      </c>
      <c r="P9769" s="33">
        <f>IFERROR(__xludf.DUMMYFUNCTION("""COMPUTED_VALUE"""),1.0)</f>
        <v>1</v>
      </c>
      <c r="Q9769" s="4" t="str">
        <f>IFERROR(__xludf.DUMMYFUNCTION("""COMPUTED_VALUE"""),"Saipos Serviços De Software")</f>
        <v>Saipos Serviços De Software</v>
      </c>
      <c r="R9769" s="33">
        <f>IFERROR(__xludf.DUMMYFUNCTION("""COMPUTED_VALUE"""),1.0)</f>
        <v>1</v>
      </c>
      <c r="S9769" s="4" t="str">
        <f>IFERROR(__xludf.DUMMYFUNCTION("""COMPUTED_VALUE"""),"Saipos Serviços De Software")</f>
        <v>Saipos Serviços De Software</v>
      </c>
      <c r="T9769" s="33">
        <f>IFERROR(__xludf.DUMMYFUNCTION("""COMPUTED_VALUE"""),1.0)</f>
        <v>1</v>
      </c>
      <c r="U9769" s="4" t="str">
        <f>IFERROR(__xludf.DUMMYFUNCTION("""COMPUTED_VALUE"""),"Saipos Serviços De Software")</f>
        <v>Saipos Serviços De Software</v>
      </c>
      <c r="V9769" s="33">
        <f>IFERROR(__xludf.DUMMYFUNCTION("""COMPUTED_VALUE"""),1.0)</f>
        <v>1</v>
      </c>
      <c r="W9769" s="4" t="str">
        <f>IFERROR(__xludf.DUMMYFUNCTION("""COMPUTED_VALUE"""),"Saipos Serviços De Software")</f>
        <v>Saipos Serviços De Software</v>
      </c>
      <c r="X9769" s="33">
        <f>IFERROR(__xludf.DUMMYFUNCTION("""COMPUTED_VALUE"""),1.0)</f>
        <v>1</v>
      </c>
    </row>
    <row r="9770">
      <c r="K9770" s="4" t="str">
        <f>IFERROR(__xludf.DUMMYFUNCTION("""COMPUTED_VALUE"""),"HISE COZINHA ORIENTAL")</f>
        <v>HISE COZINHA ORIENTAL</v>
      </c>
      <c r="L9770" s="32">
        <f>IFERROR(__xludf.DUMMYFUNCTION("""COMPUTED_VALUE"""),1.0)</f>
        <v>1</v>
      </c>
      <c r="M9770" s="4" t="str">
        <f>IFERROR(__xludf.DUMMYFUNCTION("""COMPUTED_VALUE"""),"Saipos Serviços De Software")</f>
        <v>Saipos Serviços De Software</v>
      </c>
      <c r="N9770" s="33">
        <f>IFERROR(__xludf.DUMMYFUNCTION("""COMPUTED_VALUE"""),1.0)</f>
        <v>1</v>
      </c>
      <c r="O9770" s="4" t="str">
        <f>IFERROR(__xludf.DUMMYFUNCTION("""COMPUTED_VALUE"""),"Saipos Serviços De Software")</f>
        <v>Saipos Serviços De Software</v>
      </c>
      <c r="P9770" s="33">
        <f>IFERROR(__xludf.DUMMYFUNCTION("""COMPUTED_VALUE"""),1.0)</f>
        <v>1</v>
      </c>
      <c r="Q9770" s="4" t="str">
        <f>IFERROR(__xludf.DUMMYFUNCTION("""COMPUTED_VALUE"""),"Saipos Serviços De Software")</f>
        <v>Saipos Serviços De Software</v>
      </c>
      <c r="R9770" s="33">
        <f>IFERROR(__xludf.DUMMYFUNCTION("""COMPUTED_VALUE"""),1.0)</f>
        <v>1</v>
      </c>
      <c r="S9770" s="4" t="str">
        <f>IFERROR(__xludf.DUMMYFUNCTION("""COMPUTED_VALUE"""),"Saipos Serviços De Software")</f>
        <v>Saipos Serviços De Software</v>
      </c>
      <c r="T9770" s="33">
        <f>IFERROR(__xludf.DUMMYFUNCTION("""COMPUTED_VALUE"""),1.0)</f>
        <v>1</v>
      </c>
      <c r="U9770" s="4" t="str">
        <f>IFERROR(__xludf.DUMMYFUNCTION("""COMPUTED_VALUE"""),"Saipos Serviços De Software")</f>
        <v>Saipos Serviços De Software</v>
      </c>
      <c r="V9770" s="33">
        <f>IFERROR(__xludf.DUMMYFUNCTION("""COMPUTED_VALUE"""),1.0)</f>
        <v>1</v>
      </c>
      <c r="W9770" s="4" t="str">
        <f>IFERROR(__xludf.DUMMYFUNCTION("""COMPUTED_VALUE"""),"Saipos Serviços De Software")</f>
        <v>Saipos Serviços De Software</v>
      </c>
      <c r="X9770" s="33">
        <f>IFERROR(__xludf.DUMMYFUNCTION("""COMPUTED_VALUE"""),1.0)</f>
        <v>1</v>
      </c>
    </row>
    <row r="9771">
      <c r="K9771" s="4" t="str">
        <f>IFERROR(__xludf.DUMMYFUNCTION("""COMPUTED_VALUE"""),"DE CARNE - QUENTINHAS MARMITAS")</f>
        <v>DE CARNE - QUENTINHAS MARMITAS</v>
      </c>
      <c r="L9771" s="32">
        <f>IFERROR(__xludf.DUMMYFUNCTION("""COMPUTED_VALUE"""),1.0)</f>
        <v>1</v>
      </c>
      <c r="M9771" s="4" t="str">
        <f>IFERROR(__xludf.DUMMYFUNCTION("""COMPUTED_VALUE"""),"Cardápio Web")</f>
        <v>Cardápio Web</v>
      </c>
      <c r="N9771" s="33">
        <f>IFERROR(__xludf.DUMMYFUNCTION("""COMPUTED_VALUE"""),1.0)</f>
        <v>1</v>
      </c>
      <c r="O9771" s="4" t="str">
        <f>IFERROR(__xludf.DUMMYFUNCTION("""COMPUTED_VALUE"""),"Cardápio Web")</f>
        <v>Cardápio Web</v>
      </c>
      <c r="P9771" s="33">
        <f>IFERROR(__xludf.DUMMYFUNCTION("""COMPUTED_VALUE"""),1.0)</f>
        <v>1</v>
      </c>
      <c r="Q9771" s="4" t="str">
        <f>IFERROR(__xludf.DUMMYFUNCTION("""COMPUTED_VALUE"""),"Cardápio Web")</f>
        <v>Cardápio Web</v>
      </c>
      <c r="R9771" s="33">
        <f>IFERROR(__xludf.DUMMYFUNCTION("""COMPUTED_VALUE"""),1.0)</f>
        <v>1</v>
      </c>
      <c r="S9771" s="4" t="str">
        <f>IFERROR(__xludf.DUMMYFUNCTION("""COMPUTED_VALUE"""),"Cardápio Web")</f>
        <v>Cardápio Web</v>
      </c>
      <c r="T9771" s="33">
        <f>IFERROR(__xludf.DUMMYFUNCTION("""COMPUTED_VALUE"""),1.0)</f>
        <v>1</v>
      </c>
      <c r="U9771" s="4" t="str">
        <f>IFERROR(__xludf.DUMMYFUNCTION("""COMPUTED_VALUE"""),"Cardápio Web")</f>
        <v>Cardápio Web</v>
      </c>
      <c r="V9771" s="33">
        <f>IFERROR(__xludf.DUMMYFUNCTION("""COMPUTED_VALUE"""),1.0)</f>
        <v>1</v>
      </c>
      <c r="W9771" s="4" t="str">
        <f>IFERROR(__xludf.DUMMYFUNCTION("""COMPUTED_VALUE"""),"Cardápio Web")</f>
        <v>Cardápio Web</v>
      </c>
      <c r="X9771" s="33">
        <f>IFERROR(__xludf.DUMMYFUNCTION("""COMPUTED_VALUE"""),1.0)</f>
        <v>1</v>
      </c>
    </row>
    <row r="9772">
      <c r="K9772" s="4" t="str">
        <f>IFERROR(__xludf.DUMMYFUNCTION("""COMPUTED_VALUE"""),"MN FARMA DROGARIA PERFUMARIA")</f>
        <v>MN FARMA DROGARIA PERFUMARIA</v>
      </c>
      <c r="L9772" s="32">
        <f>IFERROR(__xludf.DUMMYFUNCTION("""COMPUTED_VALUE"""),1.0)</f>
        <v>1</v>
      </c>
      <c r="M9772" s="4" t="str">
        <f>IFERROR(__xludf.DUMMYFUNCTION("""COMPUTED_VALUE"""),"null")</f>
        <v>null</v>
      </c>
      <c r="N9772" s="33">
        <f>IFERROR(__xludf.DUMMYFUNCTION("""COMPUTED_VALUE"""),1.0)</f>
        <v>1</v>
      </c>
      <c r="O9772" s="4" t="str">
        <f>IFERROR(__xludf.DUMMYFUNCTION("""COMPUTED_VALUE"""),"N/A (Not found)")</f>
        <v>N/A (Not found)</v>
      </c>
      <c r="P9772" s="33">
        <f>IFERROR(__xludf.DUMMYFUNCTION("""COMPUTED_VALUE"""),1.0)</f>
        <v>1</v>
      </c>
      <c r="Q9772" s="4" t="str">
        <f>IFERROR(__xludf.DUMMYFUNCTION("""COMPUTED_VALUE"""),"null")</f>
        <v>null</v>
      </c>
      <c r="R9772" s="33">
        <f>IFERROR(__xludf.DUMMYFUNCTION("""COMPUTED_VALUE"""),1.0)</f>
        <v>1</v>
      </c>
      <c r="S9772" s="4" t="str">
        <f>IFERROR(__xludf.DUMMYFUNCTION("""COMPUTED_VALUE"""),"N/A (Not found)")</f>
        <v>N/A (Not found)</v>
      </c>
      <c r="T9772" s="33">
        <f>IFERROR(__xludf.DUMMYFUNCTION("""COMPUTED_VALUE"""),1.0)</f>
        <v>1</v>
      </c>
      <c r="U9772" s="4" t="str">
        <f>IFERROR(__xludf.DUMMYFUNCTION("""COMPUTED_VALUE"""),"null")</f>
        <v>null</v>
      </c>
      <c r="V9772" s="33">
        <f>IFERROR(__xludf.DUMMYFUNCTION("""COMPUTED_VALUE"""),1.0)</f>
        <v>1</v>
      </c>
      <c r="W9772" s="4" t="str">
        <f>IFERROR(__xludf.DUMMYFUNCTION("""COMPUTED_VALUE"""),"N/A (Not found)")</f>
        <v>N/A (Not found)</v>
      </c>
      <c r="X9772" s="33">
        <f>IFERROR(__xludf.DUMMYFUNCTION("""COMPUTED_VALUE"""),1.0)</f>
        <v>1</v>
      </c>
    </row>
    <row r="9773">
      <c r="K9773" s="4" t="str">
        <f>IFERROR(__xludf.DUMMYFUNCTION("""COMPUTED_VALUE"""),"SABORES DO ORIENTE DELIVERY")</f>
        <v>SABORES DO ORIENTE DELIVERY</v>
      </c>
      <c r="L9773" s="32">
        <f>IFERROR(__xludf.DUMMYFUNCTION("""COMPUTED_VALUE"""),1.0)</f>
        <v>1</v>
      </c>
      <c r="M9773" s="4" t="str">
        <f>IFERROR(__xludf.DUMMYFUNCTION("""COMPUTED_VALUE"""),"Saipos Serviços De Software")</f>
        <v>Saipos Serviços De Software</v>
      </c>
      <c r="N9773" s="33">
        <f>IFERROR(__xludf.DUMMYFUNCTION("""COMPUTED_VALUE"""),1.0)</f>
        <v>1</v>
      </c>
      <c r="O9773" s="4" t="str">
        <f>IFERROR(__xludf.DUMMYFUNCTION("""COMPUTED_VALUE"""),"Saipos Serviços De Software")</f>
        <v>Saipos Serviços De Software</v>
      </c>
      <c r="P9773" s="33">
        <f>IFERROR(__xludf.DUMMYFUNCTION("""COMPUTED_VALUE"""),1.0)</f>
        <v>1</v>
      </c>
      <c r="Q9773" s="4" t="str">
        <f>IFERROR(__xludf.DUMMYFUNCTION("""COMPUTED_VALUE"""),"Saipos Serviços De Software")</f>
        <v>Saipos Serviços De Software</v>
      </c>
      <c r="R9773" s="33">
        <f>IFERROR(__xludf.DUMMYFUNCTION("""COMPUTED_VALUE"""),1.0)</f>
        <v>1</v>
      </c>
      <c r="S9773" s="4" t="str">
        <f>IFERROR(__xludf.DUMMYFUNCTION("""COMPUTED_VALUE"""),"Instadelivery")</f>
        <v>Instadelivery</v>
      </c>
      <c r="T9773" s="33">
        <f>IFERROR(__xludf.DUMMYFUNCTION("""COMPUTED_VALUE"""),1.0)</f>
        <v>1</v>
      </c>
      <c r="U9773" s="4" t="str">
        <f>IFERROR(__xludf.DUMMYFUNCTION("""COMPUTED_VALUE"""),"null")</f>
        <v>null</v>
      </c>
      <c r="V9773" s="33">
        <f>IFERROR(__xludf.DUMMYFUNCTION("""COMPUTED_VALUE"""),1.0)</f>
        <v>1</v>
      </c>
      <c r="W9773" s="4" t="str">
        <f>IFERROR(__xludf.DUMMYFUNCTION("""COMPUTED_VALUE"""),"null")</f>
        <v>null</v>
      </c>
      <c r="X9773" s="33">
        <f>IFERROR(__xludf.DUMMYFUNCTION("""COMPUTED_VALUE"""),1.0)</f>
        <v>1</v>
      </c>
    </row>
    <row r="9774">
      <c r="K9774" s="4" t="str">
        <f>IFERROR(__xludf.DUMMYFUNCTION("""COMPUTED_VALUE"""),"MAGNUS SORVETES E ACAI")</f>
        <v>MAGNUS SORVETES E ACAI</v>
      </c>
      <c r="L9774" s="32">
        <f>IFERROR(__xludf.DUMMYFUNCTION("""COMPUTED_VALUE"""),1.0)</f>
        <v>1</v>
      </c>
      <c r="M9774" s="4" t="str">
        <f>IFERROR(__xludf.DUMMYFUNCTION("""COMPUTED_VALUE"""),"Gerence Sistemas")</f>
        <v>Gerence Sistemas</v>
      </c>
      <c r="N9774" s="33">
        <f>IFERROR(__xludf.DUMMYFUNCTION("""COMPUTED_VALUE"""),1.0)</f>
        <v>1</v>
      </c>
      <c r="O9774" s="4" t="str">
        <f>IFERROR(__xludf.DUMMYFUNCTION("""COMPUTED_VALUE"""),"null")</f>
        <v>null</v>
      </c>
      <c r="P9774" s="33">
        <f>IFERROR(__xludf.DUMMYFUNCTION("""COMPUTED_VALUE"""),1.0)</f>
        <v>1</v>
      </c>
      <c r="Q9774" s="4" t="str">
        <f>IFERROR(__xludf.DUMMYFUNCTION("""COMPUTED_VALUE"""),"Gerence Sistemas")</f>
        <v>Gerence Sistemas</v>
      </c>
      <c r="R9774" s="33">
        <f>IFERROR(__xludf.DUMMYFUNCTION("""COMPUTED_VALUE"""),1.0)</f>
        <v>1</v>
      </c>
      <c r="S9774" s="4" t="str">
        <f>IFERROR(__xludf.DUMMYFUNCTION("""COMPUTED_VALUE"""),"null")</f>
        <v>null</v>
      </c>
      <c r="T9774" s="33">
        <f>IFERROR(__xludf.DUMMYFUNCTION("""COMPUTED_VALUE"""),1.0)</f>
        <v>1</v>
      </c>
      <c r="U9774" s="4" t="str">
        <f>IFERROR(__xludf.DUMMYFUNCTION("""COMPUTED_VALUE"""),"Gerence Sistemas")</f>
        <v>Gerence Sistemas</v>
      </c>
      <c r="V9774" s="33">
        <f>IFERROR(__xludf.DUMMYFUNCTION("""COMPUTED_VALUE"""),1.0)</f>
        <v>1</v>
      </c>
      <c r="W9774" s="4" t="str">
        <f>IFERROR(__xludf.DUMMYFUNCTION("""COMPUTED_VALUE"""),"Gerence Sistemas")</f>
        <v>Gerence Sistemas</v>
      </c>
      <c r="X9774" s="33">
        <f>IFERROR(__xludf.DUMMYFUNCTION("""COMPUTED_VALUE"""),1.0)</f>
        <v>1</v>
      </c>
    </row>
    <row r="9775">
      <c r="K9775" s="4" t="str">
        <f>IFERROR(__xludf.DUMMYFUNCTION("""COMPUTED_VALUE"""),"O PANCA")</f>
        <v>O PANCA</v>
      </c>
      <c r="L9775" s="32">
        <f>IFERROR(__xludf.DUMMYFUNCTION("""COMPUTED_VALUE"""),1.0)</f>
        <v>1</v>
      </c>
      <c r="M9775" s="4" t="str">
        <f>IFERROR(__xludf.DUMMYFUNCTION("""COMPUTED_VALUE"""),"Cardápio Web")</f>
        <v>Cardápio Web</v>
      </c>
      <c r="N9775" s="33">
        <f>IFERROR(__xludf.DUMMYFUNCTION("""COMPUTED_VALUE"""),1.0)</f>
        <v>1</v>
      </c>
      <c r="O9775" s="4" t="str">
        <f>IFERROR(__xludf.DUMMYFUNCTION("""COMPUTED_VALUE"""),"Cardápio Web")</f>
        <v>Cardápio Web</v>
      </c>
      <c r="P9775" s="33">
        <f>IFERROR(__xludf.DUMMYFUNCTION("""COMPUTED_VALUE"""),1.0)</f>
        <v>1</v>
      </c>
      <c r="Q9775" s="4" t="str">
        <f>IFERROR(__xludf.DUMMYFUNCTION("""COMPUTED_VALUE"""),"Cardápio Web")</f>
        <v>Cardápio Web</v>
      </c>
      <c r="R9775" s="33">
        <f>IFERROR(__xludf.DUMMYFUNCTION("""COMPUTED_VALUE"""),1.0)</f>
        <v>1</v>
      </c>
      <c r="S9775" s="4" t="str">
        <f>IFERROR(__xludf.DUMMYFUNCTION("""COMPUTED_VALUE"""),"Cardápio Web")</f>
        <v>Cardápio Web</v>
      </c>
      <c r="T9775" s="33">
        <f>IFERROR(__xludf.DUMMYFUNCTION("""COMPUTED_VALUE"""),1.0)</f>
        <v>1</v>
      </c>
      <c r="U9775" s="4" t="str">
        <f>IFERROR(__xludf.DUMMYFUNCTION("""COMPUTED_VALUE"""),"Cardápio Web")</f>
        <v>Cardápio Web</v>
      </c>
      <c r="V9775" s="33">
        <f>IFERROR(__xludf.DUMMYFUNCTION("""COMPUTED_VALUE"""),1.0)</f>
        <v>1</v>
      </c>
      <c r="W9775" s="4" t="str">
        <f>IFERROR(__xludf.DUMMYFUNCTION("""COMPUTED_VALUE"""),"Cardápio Web")</f>
        <v>Cardápio Web</v>
      </c>
      <c r="X9775" s="33">
        <f>IFERROR(__xludf.DUMMYFUNCTION("""COMPUTED_VALUE"""),1.0)</f>
        <v>1</v>
      </c>
    </row>
    <row r="9776">
      <c r="K9776" s="4" t="str">
        <f>IFERROR(__xludf.DUMMYFUNCTION("""COMPUTED_VALUE"""),"KIFOME")</f>
        <v>KIFOME</v>
      </c>
      <c r="L9776" s="32">
        <f>IFERROR(__xludf.DUMMYFUNCTION("""COMPUTED_VALUE"""),1.0)</f>
        <v>1</v>
      </c>
      <c r="M9776" s="4" t="str">
        <f>IFERROR(__xludf.DUMMYFUNCTION("""COMPUTED_VALUE"""),"Alpha Logo")</f>
        <v>Alpha Logo</v>
      </c>
      <c r="N9776" s="33">
        <f>IFERROR(__xludf.DUMMYFUNCTION("""COMPUTED_VALUE"""),1.0)</f>
        <v>1</v>
      </c>
      <c r="O9776" s="4" t="str">
        <f>IFERROR(__xludf.DUMMYFUNCTION("""COMPUTED_VALUE"""),"Alpha Logo")</f>
        <v>Alpha Logo</v>
      </c>
      <c r="P9776" s="33">
        <f>IFERROR(__xludf.DUMMYFUNCTION("""COMPUTED_VALUE"""),1.0)</f>
        <v>1</v>
      </c>
      <c r="Q9776" s="4" t="str">
        <f>IFERROR(__xludf.DUMMYFUNCTION("""COMPUTED_VALUE"""),"Alpha Logo")</f>
        <v>Alpha Logo</v>
      </c>
      <c r="R9776" s="33">
        <f>IFERROR(__xludf.DUMMYFUNCTION("""COMPUTED_VALUE"""),1.0)</f>
        <v>1</v>
      </c>
      <c r="S9776" s="4" t="str">
        <f>IFERROR(__xludf.DUMMYFUNCTION("""COMPUTED_VALUE"""),"Alpha Logo")</f>
        <v>Alpha Logo</v>
      </c>
      <c r="T9776" s="33">
        <f>IFERROR(__xludf.DUMMYFUNCTION("""COMPUTED_VALUE"""),1.0)</f>
        <v>1</v>
      </c>
      <c r="U9776" s="4" t="str">
        <f>IFERROR(__xludf.DUMMYFUNCTION("""COMPUTED_VALUE"""),"Alpha Logo")</f>
        <v>Alpha Logo</v>
      </c>
      <c r="V9776" s="33">
        <f>IFERROR(__xludf.DUMMYFUNCTION("""COMPUTED_VALUE"""),1.0)</f>
        <v>1</v>
      </c>
      <c r="W9776" s="4" t="str">
        <f>IFERROR(__xludf.DUMMYFUNCTION("""COMPUTED_VALUE"""),"Alpha Logo")</f>
        <v>Alpha Logo</v>
      </c>
      <c r="X9776" s="33">
        <f>IFERROR(__xludf.DUMMYFUNCTION("""COMPUTED_VALUE"""),1.0)</f>
        <v>1</v>
      </c>
    </row>
    <row r="9777">
      <c r="K9777" s="4" t="str">
        <f>IFERROR(__xludf.DUMMYFUNCTION("""COMPUTED_VALUE"""),"GR DISTRIBUIDORA")</f>
        <v>GR DISTRIBUIDORA</v>
      </c>
      <c r="L9777" s="32">
        <f>IFERROR(__xludf.DUMMYFUNCTION("""COMPUTED_VALUE"""),1.0)</f>
        <v>1</v>
      </c>
      <c r="M9777" s="4" t="str">
        <f>IFERROR(__xludf.DUMMYFUNCTION("""COMPUTED_VALUE"""),"N/A (Not found)")</f>
        <v>N/A (Not found)</v>
      </c>
      <c r="N9777" s="33">
        <f>IFERROR(__xludf.DUMMYFUNCTION("""COMPUTED_VALUE"""),1.0)</f>
        <v>1</v>
      </c>
      <c r="O9777" s="4" t="str">
        <f>IFERROR(__xludf.DUMMYFUNCTION("""COMPUTED_VALUE"""),"N/A (Not found)")</f>
        <v>N/A (Not found)</v>
      </c>
      <c r="P9777" s="33">
        <f>IFERROR(__xludf.DUMMYFUNCTION("""COMPUTED_VALUE"""),1.0)</f>
        <v>1</v>
      </c>
      <c r="Q9777" s="4" t="str">
        <f>IFERROR(__xludf.DUMMYFUNCTION("""COMPUTED_VALUE"""),"N/A (Not found)")</f>
        <v>N/A (Not found)</v>
      </c>
      <c r="R9777" s="33">
        <f>IFERROR(__xludf.DUMMYFUNCTION("""COMPUTED_VALUE"""),1.0)</f>
        <v>1</v>
      </c>
      <c r="S9777" s="4" t="str">
        <f>IFERROR(__xludf.DUMMYFUNCTION("""COMPUTED_VALUE"""),"N/A (Not found)")</f>
        <v>N/A (Not found)</v>
      </c>
      <c r="T9777" s="33">
        <f>IFERROR(__xludf.DUMMYFUNCTION("""COMPUTED_VALUE"""),1.0)</f>
        <v>1</v>
      </c>
      <c r="U9777" s="4" t="str">
        <f>IFERROR(__xludf.DUMMYFUNCTION("""COMPUTED_VALUE"""),"N/A (Not found)")</f>
        <v>N/A (Not found)</v>
      </c>
      <c r="V9777" s="33">
        <f>IFERROR(__xludf.DUMMYFUNCTION("""COMPUTED_VALUE"""),1.0)</f>
        <v>1</v>
      </c>
      <c r="W9777" s="4" t="str">
        <f>IFERROR(__xludf.DUMMYFUNCTION("""COMPUTED_VALUE"""),"N/A (Not found)")</f>
        <v>N/A (Not found)</v>
      </c>
      <c r="X9777" s="33">
        <f>IFERROR(__xludf.DUMMYFUNCTION("""COMPUTED_VALUE"""),1.0)</f>
        <v>1</v>
      </c>
    </row>
    <row r="9778">
      <c r="K9778" s="4" t="str">
        <f>IFERROR(__xludf.DUMMYFUNCTION("""COMPUTED_VALUE"""),"ACAI PH")</f>
        <v>ACAI PH</v>
      </c>
      <c r="L9778" s="32">
        <f>IFERROR(__xludf.DUMMYFUNCTION("""COMPUTED_VALUE"""),1.0)</f>
        <v>1</v>
      </c>
      <c r="M9778" s="4" t="str">
        <f>IFERROR(__xludf.DUMMYFUNCTION("""COMPUTED_VALUE"""),"Brendi")</f>
        <v>Brendi</v>
      </c>
      <c r="N9778" s="33">
        <f>IFERROR(__xludf.DUMMYFUNCTION("""COMPUTED_VALUE"""),1.0)</f>
        <v>1</v>
      </c>
      <c r="O9778" s="4" t="str">
        <f>IFERROR(__xludf.DUMMYFUNCTION("""COMPUTED_VALUE"""),"null")</f>
        <v>null</v>
      </c>
      <c r="P9778" s="33">
        <f>IFERROR(__xludf.DUMMYFUNCTION("""COMPUTED_VALUE"""),1.0)</f>
        <v>1</v>
      </c>
      <c r="Q9778" s="4" t="str">
        <f>IFERROR(__xludf.DUMMYFUNCTION("""COMPUTED_VALUE"""),"null")</f>
        <v>null</v>
      </c>
      <c r="R9778" s="33">
        <f>IFERROR(__xludf.DUMMYFUNCTION("""COMPUTED_VALUE"""),1.0)</f>
        <v>1</v>
      </c>
      <c r="S9778" s="4" t="str">
        <f>IFERROR(__xludf.DUMMYFUNCTION("""COMPUTED_VALUE"""),"null")</f>
        <v>null</v>
      </c>
      <c r="T9778" s="33">
        <f>IFERROR(__xludf.DUMMYFUNCTION("""COMPUTED_VALUE"""),1.0)</f>
        <v>1</v>
      </c>
      <c r="U9778" s="4" t="str">
        <f>IFERROR(__xludf.DUMMYFUNCTION("""COMPUTED_VALUE"""),"null")</f>
        <v>null</v>
      </c>
      <c r="V9778" s="33">
        <f>IFERROR(__xludf.DUMMYFUNCTION("""COMPUTED_VALUE"""),1.0)</f>
        <v>1</v>
      </c>
      <c r="W9778" s="4" t="str">
        <f>IFERROR(__xludf.DUMMYFUNCTION("""COMPUTED_VALUE"""),"null")</f>
        <v>null</v>
      </c>
      <c r="X9778" s="33">
        <f>IFERROR(__xludf.DUMMYFUNCTION("""COMPUTED_VALUE"""),1.0)</f>
        <v>1</v>
      </c>
    </row>
    <row r="9779">
      <c r="K9779" s="4" t="str">
        <f>IFERROR(__xludf.DUMMYFUNCTION("""COMPUTED_VALUE"""),"BARAO DOS SALGADOS E DOCES")</f>
        <v>BARAO DOS SALGADOS E DOCES</v>
      </c>
      <c r="L9779" s="32">
        <f>IFERROR(__xludf.DUMMYFUNCTION("""COMPUTED_VALUE"""),1.0)</f>
        <v>1</v>
      </c>
      <c r="M9779" s="4" t="str">
        <f>IFERROR(__xludf.DUMMYFUNCTION("""COMPUTED_VALUE"""),"null")</f>
        <v>null</v>
      </c>
      <c r="N9779" s="33">
        <f>IFERROR(__xludf.DUMMYFUNCTION("""COMPUTED_VALUE"""),1.0)</f>
        <v>1</v>
      </c>
      <c r="O9779" s="4" t="str">
        <f>IFERROR(__xludf.DUMMYFUNCTION("""COMPUTED_VALUE"""),"Instadelivery")</f>
        <v>Instadelivery</v>
      </c>
      <c r="P9779" s="33">
        <f>IFERROR(__xludf.DUMMYFUNCTION("""COMPUTED_VALUE"""),1.0)</f>
        <v>1</v>
      </c>
      <c r="Q9779" s="4" t="str">
        <f>IFERROR(__xludf.DUMMYFUNCTION("""COMPUTED_VALUE"""),"Instadelivery")</f>
        <v>Instadelivery</v>
      </c>
      <c r="R9779" s="33">
        <f>IFERROR(__xludf.DUMMYFUNCTION("""COMPUTED_VALUE"""),1.0)</f>
        <v>1</v>
      </c>
      <c r="S9779" s="4" t="str">
        <f>IFERROR(__xludf.DUMMYFUNCTION("""COMPUTED_VALUE"""),"null")</f>
        <v>null</v>
      </c>
      <c r="T9779" s="33">
        <f>IFERROR(__xludf.DUMMYFUNCTION("""COMPUTED_VALUE"""),1.0)</f>
        <v>1</v>
      </c>
      <c r="U9779" s="4" t="str">
        <f>IFERROR(__xludf.DUMMYFUNCTION("""COMPUTED_VALUE"""),"null")</f>
        <v>null</v>
      </c>
      <c r="V9779" s="33">
        <f>IFERROR(__xludf.DUMMYFUNCTION("""COMPUTED_VALUE"""),1.0)</f>
        <v>1</v>
      </c>
      <c r="W9779" s="4" t="str">
        <f>IFERROR(__xludf.DUMMYFUNCTION("""COMPUTED_VALUE"""),"null")</f>
        <v>null</v>
      </c>
      <c r="X9779" s="33">
        <f>IFERROR(__xludf.DUMMYFUNCTION("""COMPUTED_VALUE"""),1.0)</f>
        <v>1</v>
      </c>
    </row>
    <row r="9780">
      <c r="K9780" s="4" t="str">
        <f>IFERROR(__xludf.DUMMYFUNCTION("""COMPUTED_VALUE"""),"CASA DE RACAO BEIRA RIO")</f>
        <v>CASA DE RACAO BEIRA RIO</v>
      </c>
      <c r="L9780" s="32">
        <f>IFERROR(__xludf.DUMMYFUNCTION("""COMPUTED_VALUE"""),1.0)</f>
        <v>1</v>
      </c>
      <c r="M9780" s="4" t="str">
        <f>IFERROR(__xludf.DUMMYFUNCTION("""COMPUTED_VALUE"""),"N/A (Not found)")</f>
        <v>N/A (Not found)</v>
      </c>
      <c r="N9780" s="33">
        <f>IFERROR(__xludf.DUMMYFUNCTION("""COMPUTED_VALUE"""),1.0)</f>
        <v>1</v>
      </c>
      <c r="O9780" s="4" t="str">
        <f>IFERROR(__xludf.DUMMYFUNCTION("""COMPUTED_VALUE"""),"N/A (Not found)")</f>
        <v>N/A (Not found)</v>
      </c>
      <c r="P9780" s="33">
        <f>IFERROR(__xludf.DUMMYFUNCTION("""COMPUTED_VALUE"""),1.0)</f>
        <v>1</v>
      </c>
      <c r="Q9780" s="4" t="str">
        <f>IFERROR(__xludf.DUMMYFUNCTION("""COMPUTED_VALUE"""),"N/A (Not found)")</f>
        <v>N/A (Not found)</v>
      </c>
      <c r="R9780" s="33">
        <f>IFERROR(__xludf.DUMMYFUNCTION("""COMPUTED_VALUE"""),1.0)</f>
        <v>1</v>
      </c>
      <c r="S9780" s="4" t="str">
        <f>IFERROR(__xludf.DUMMYFUNCTION("""COMPUTED_VALUE"""),"N/A (Not found)")</f>
        <v>N/A (Not found)</v>
      </c>
      <c r="T9780" s="33">
        <f>IFERROR(__xludf.DUMMYFUNCTION("""COMPUTED_VALUE"""),1.0)</f>
        <v>1</v>
      </c>
      <c r="U9780" s="4" t="str">
        <f>IFERROR(__xludf.DUMMYFUNCTION("""COMPUTED_VALUE"""),"N/A (Not found)")</f>
        <v>N/A (Not found)</v>
      </c>
      <c r="V9780" s="33">
        <f>IFERROR(__xludf.DUMMYFUNCTION("""COMPUTED_VALUE"""),1.0)</f>
        <v>1</v>
      </c>
      <c r="W9780" s="4" t="str">
        <f>IFERROR(__xludf.DUMMYFUNCTION("""COMPUTED_VALUE"""),"N/A (Not found)")</f>
        <v>N/A (Not found)</v>
      </c>
      <c r="X9780" s="33">
        <f>IFERROR(__xludf.DUMMYFUNCTION("""COMPUTED_VALUE"""),1.0)</f>
        <v>1</v>
      </c>
    </row>
    <row r="9781">
      <c r="K9781" s="4" t="str">
        <f>IFERROR(__xludf.DUMMYFUNCTION("""COMPUTED_VALUE"""),"FARMACIA AGUA BRANCA")</f>
        <v>FARMACIA AGUA BRANCA</v>
      </c>
      <c r="L9781" s="32">
        <f>IFERROR(__xludf.DUMMYFUNCTION("""COMPUTED_VALUE"""),1.0)</f>
        <v>1</v>
      </c>
      <c r="M9781" s="4" t="str">
        <f>IFERROR(__xludf.DUMMYFUNCTION("""COMPUTED_VALUE"""),"N/A (Not found)")</f>
        <v>N/A (Not found)</v>
      </c>
      <c r="N9781" s="33">
        <f>IFERROR(__xludf.DUMMYFUNCTION("""COMPUTED_VALUE"""),1.0)</f>
        <v>1</v>
      </c>
      <c r="O9781" s="4" t="str">
        <f>IFERROR(__xludf.DUMMYFUNCTION("""COMPUTED_VALUE"""),"N/A (Not found)")</f>
        <v>N/A (Not found)</v>
      </c>
      <c r="P9781" s="33">
        <f>IFERROR(__xludf.DUMMYFUNCTION("""COMPUTED_VALUE"""),1.0)</f>
        <v>1</v>
      </c>
      <c r="Q9781" s="4" t="str">
        <f>IFERROR(__xludf.DUMMYFUNCTION("""COMPUTED_VALUE"""),"N/A (Not found)")</f>
        <v>N/A (Not found)</v>
      </c>
      <c r="R9781" s="33">
        <f>IFERROR(__xludf.DUMMYFUNCTION("""COMPUTED_VALUE"""),1.0)</f>
        <v>1</v>
      </c>
      <c r="S9781" s="4" t="str">
        <f>IFERROR(__xludf.DUMMYFUNCTION("""COMPUTED_VALUE"""),"N/A (Not found)")</f>
        <v>N/A (Not found)</v>
      </c>
      <c r="T9781" s="33">
        <f>IFERROR(__xludf.DUMMYFUNCTION("""COMPUTED_VALUE"""),1.0)</f>
        <v>1</v>
      </c>
      <c r="U9781" s="4" t="str">
        <f>IFERROR(__xludf.DUMMYFUNCTION("""COMPUTED_VALUE"""),"N/A (Not found)")</f>
        <v>N/A (Not found)</v>
      </c>
      <c r="V9781" s="33">
        <f>IFERROR(__xludf.DUMMYFUNCTION("""COMPUTED_VALUE"""),1.0)</f>
        <v>1</v>
      </c>
      <c r="W9781" s="4" t="str">
        <f>IFERROR(__xludf.DUMMYFUNCTION("""COMPUTED_VALUE"""),"N/A (Not found)")</f>
        <v>N/A (Not found)</v>
      </c>
      <c r="X9781" s="33">
        <f>IFERROR(__xludf.DUMMYFUNCTION("""COMPUTED_VALUE"""),1.0)</f>
        <v>1</v>
      </c>
    </row>
    <row r="9782">
      <c r="K9782" s="4" t="str">
        <f>IFERROR(__xludf.DUMMYFUNCTION("""COMPUTED_VALUE"""),"WEPPA SORVETERIA E HAMBURGUERIA")</f>
        <v>WEPPA SORVETERIA E HAMBURGUERIA</v>
      </c>
      <c r="L9782" s="32">
        <f>IFERROR(__xludf.DUMMYFUNCTION("""COMPUTED_VALUE"""),1.0)</f>
        <v>1</v>
      </c>
      <c r="M9782" s="4" t="str">
        <f>IFERROR(__xludf.DUMMYFUNCTION("""COMPUTED_VALUE"""),"Instadelivery")</f>
        <v>Instadelivery</v>
      </c>
      <c r="N9782" s="33">
        <f>IFERROR(__xludf.DUMMYFUNCTION("""COMPUTED_VALUE"""),1.0)</f>
        <v>1</v>
      </c>
      <c r="O9782" s="4" t="str">
        <f>IFERROR(__xludf.DUMMYFUNCTION("""COMPUTED_VALUE"""),"Instadelivery")</f>
        <v>Instadelivery</v>
      </c>
      <c r="P9782" s="33">
        <f>IFERROR(__xludf.DUMMYFUNCTION("""COMPUTED_VALUE"""),1.0)</f>
        <v>1</v>
      </c>
      <c r="Q9782" s="4" t="str">
        <f>IFERROR(__xludf.DUMMYFUNCTION("""COMPUTED_VALUE"""),"Instadelivery")</f>
        <v>Instadelivery</v>
      </c>
      <c r="R9782" s="33">
        <f>IFERROR(__xludf.DUMMYFUNCTION("""COMPUTED_VALUE"""),1.0)</f>
        <v>1</v>
      </c>
      <c r="S9782" s="4" t="str">
        <f>IFERROR(__xludf.DUMMYFUNCTION("""COMPUTED_VALUE"""),"Instadelivery")</f>
        <v>Instadelivery</v>
      </c>
      <c r="T9782" s="33">
        <f>IFERROR(__xludf.DUMMYFUNCTION("""COMPUTED_VALUE"""),1.0)</f>
        <v>1</v>
      </c>
      <c r="U9782" s="4" t="str">
        <f>IFERROR(__xludf.DUMMYFUNCTION("""COMPUTED_VALUE"""),"Instadelivery")</f>
        <v>Instadelivery</v>
      </c>
      <c r="V9782" s="33">
        <f>IFERROR(__xludf.DUMMYFUNCTION("""COMPUTED_VALUE"""),1.0)</f>
        <v>1</v>
      </c>
      <c r="W9782" s="4" t="str">
        <f>IFERROR(__xludf.DUMMYFUNCTION("""COMPUTED_VALUE"""),"Instadelivery")</f>
        <v>Instadelivery</v>
      </c>
      <c r="X9782" s="33">
        <f>IFERROR(__xludf.DUMMYFUNCTION("""COMPUTED_VALUE"""),1.0)</f>
        <v>1</v>
      </c>
    </row>
    <row r="9783">
      <c r="K9783" s="4" t="str">
        <f>IFERROR(__xludf.DUMMYFUNCTION("""COMPUTED_VALUE"""),"ACAI DO SEU JEITO")</f>
        <v>ACAI DO SEU JEITO</v>
      </c>
      <c r="L9783" s="32">
        <f>IFERROR(__xludf.DUMMYFUNCTION("""COMPUTED_VALUE"""),1.0)</f>
        <v>1</v>
      </c>
      <c r="M9783" s="4" t="str">
        <f>IFERROR(__xludf.DUMMYFUNCTION("""COMPUTED_VALUE"""),"Sti3 Soluções Em Ti")</f>
        <v>Sti3 Soluções Em Ti</v>
      </c>
      <c r="N9783" s="33">
        <f>IFERROR(__xludf.DUMMYFUNCTION("""COMPUTED_VALUE"""),1.0)</f>
        <v>1</v>
      </c>
      <c r="O9783" s="4" t="str">
        <f>IFERROR(__xludf.DUMMYFUNCTION("""COMPUTED_VALUE"""),"Sti3 Soluções Em Ti")</f>
        <v>Sti3 Soluções Em Ti</v>
      </c>
      <c r="P9783" s="33">
        <f>IFERROR(__xludf.DUMMYFUNCTION("""COMPUTED_VALUE"""),1.0)</f>
        <v>1</v>
      </c>
      <c r="Q9783" s="4" t="str">
        <f>IFERROR(__xludf.DUMMYFUNCTION("""COMPUTED_VALUE"""),"Sti3 Soluções Em Ti")</f>
        <v>Sti3 Soluções Em Ti</v>
      </c>
      <c r="R9783" s="33">
        <f>IFERROR(__xludf.DUMMYFUNCTION("""COMPUTED_VALUE"""),1.0)</f>
        <v>1</v>
      </c>
      <c r="S9783" s="4" t="str">
        <f>IFERROR(__xludf.DUMMYFUNCTION("""COMPUTED_VALUE"""),"Sti3 Soluções Em Ti")</f>
        <v>Sti3 Soluções Em Ti</v>
      </c>
      <c r="T9783" s="33">
        <f>IFERROR(__xludf.DUMMYFUNCTION("""COMPUTED_VALUE"""),1.0)</f>
        <v>1</v>
      </c>
      <c r="U9783" s="4" t="str">
        <f>IFERROR(__xludf.DUMMYFUNCTION("""COMPUTED_VALUE"""),"Sti3 Soluções Em Ti")</f>
        <v>Sti3 Soluções Em Ti</v>
      </c>
      <c r="V9783" s="33">
        <f>IFERROR(__xludf.DUMMYFUNCTION("""COMPUTED_VALUE"""),1.0)</f>
        <v>1</v>
      </c>
      <c r="W9783" s="4" t="str">
        <f>IFERROR(__xludf.DUMMYFUNCTION("""COMPUTED_VALUE"""),"Sti3 Soluções Em Ti")</f>
        <v>Sti3 Soluções Em Ti</v>
      </c>
      <c r="X9783" s="33">
        <f>IFERROR(__xludf.DUMMYFUNCTION("""COMPUTED_VALUE"""),1.0)</f>
        <v>1</v>
      </c>
    </row>
    <row r="9784">
      <c r="K9784" s="4" t="str">
        <f>IFERROR(__xludf.DUMMYFUNCTION("""COMPUTED_VALUE"""),"HAMBURGUER E SALGADOS DO COSTA")</f>
        <v>HAMBURGUER E SALGADOS DO COSTA</v>
      </c>
      <c r="L9784" s="32">
        <f>IFERROR(__xludf.DUMMYFUNCTION("""COMPUTED_VALUE"""),1.0)</f>
        <v>1</v>
      </c>
      <c r="M9784" s="4" t="str">
        <f>IFERROR(__xludf.DUMMYFUNCTION("""COMPUTED_VALUE"""),"Parseint Desenvolvimento De Sistemas Ltda")</f>
        <v>Parseint Desenvolvimento De Sistemas Ltda</v>
      </c>
      <c r="N9784" s="33">
        <f>IFERROR(__xludf.DUMMYFUNCTION("""COMPUTED_VALUE"""),1.0)</f>
        <v>1</v>
      </c>
      <c r="O9784" s="4" t="str">
        <f>IFERROR(__xludf.DUMMYFUNCTION("""COMPUTED_VALUE"""),"null")</f>
        <v>null</v>
      </c>
      <c r="P9784" s="33">
        <f>IFERROR(__xludf.DUMMYFUNCTION("""COMPUTED_VALUE"""),1.0)</f>
        <v>1</v>
      </c>
      <c r="Q9784" s="4" t="str">
        <f>IFERROR(__xludf.DUMMYFUNCTION("""COMPUTED_VALUE"""),"null")</f>
        <v>null</v>
      </c>
      <c r="R9784" s="33">
        <f>IFERROR(__xludf.DUMMYFUNCTION("""COMPUTED_VALUE"""),1.0)</f>
        <v>1</v>
      </c>
      <c r="S9784" s="4" t="str">
        <f>IFERROR(__xludf.DUMMYFUNCTION("""COMPUTED_VALUE"""),"null")</f>
        <v>null</v>
      </c>
      <c r="T9784" s="33">
        <f>IFERROR(__xludf.DUMMYFUNCTION("""COMPUTED_VALUE"""),1.0)</f>
        <v>1</v>
      </c>
      <c r="U9784" s="4" t="str">
        <f>IFERROR(__xludf.DUMMYFUNCTION("""COMPUTED_VALUE"""),"null")</f>
        <v>null</v>
      </c>
      <c r="V9784" s="33">
        <f>IFERROR(__xludf.DUMMYFUNCTION("""COMPUTED_VALUE"""),1.0)</f>
        <v>1</v>
      </c>
      <c r="W9784" s="4" t="str">
        <f>IFERROR(__xludf.DUMMYFUNCTION("""COMPUTED_VALUE"""),"null")</f>
        <v>null</v>
      </c>
      <c r="X9784" s="33">
        <f>IFERROR(__xludf.DUMMYFUNCTION("""COMPUTED_VALUE"""),1.0)</f>
        <v>1</v>
      </c>
    </row>
    <row r="9785">
      <c r="K9785" s="4" t="str">
        <f>IFERROR(__xludf.DUMMYFUNCTION("""COMPUTED_VALUE"""),"FANATICOS CHURRASCARIA")</f>
        <v>FANATICOS CHURRASCARIA</v>
      </c>
      <c r="L9785" s="32">
        <f>IFERROR(__xludf.DUMMYFUNCTION("""COMPUTED_VALUE"""),1.0)</f>
        <v>1</v>
      </c>
      <c r="M9785" s="4" t="str">
        <f>IFERROR(__xludf.DUMMYFUNCTION("""COMPUTED_VALUE"""),"Yooga")</f>
        <v>Yooga</v>
      </c>
      <c r="N9785" s="33">
        <f>IFERROR(__xludf.DUMMYFUNCTION("""COMPUTED_VALUE"""),1.0)</f>
        <v>1</v>
      </c>
      <c r="O9785" s="4" t="str">
        <f>IFERROR(__xludf.DUMMYFUNCTION("""COMPUTED_VALUE"""),"null")</f>
        <v>null</v>
      </c>
      <c r="P9785" s="33">
        <f>IFERROR(__xludf.DUMMYFUNCTION("""COMPUTED_VALUE"""),1.0)</f>
        <v>1</v>
      </c>
      <c r="Q9785" s="4" t="str">
        <f>IFERROR(__xludf.DUMMYFUNCTION("""COMPUTED_VALUE"""),"null")</f>
        <v>null</v>
      </c>
      <c r="R9785" s="33">
        <f>IFERROR(__xludf.DUMMYFUNCTION("""COMPUTED_VALUE"""),1.0)</f>
        <v>1</v>
      </c>
      <c r="S9785" s="4" t="str">
        <f>IFERROR(__xludf.DUMMYFUNCTION("""COMPUTED_VALUE"""),"null")</f>
        <v>null</v>
      </c>
      <c r="T9785" s="33">
        <f>IFERROR(__xludf.DUMMYFUNCTION("""COMPUTED_VALUE"""),1.0)</f>
        <v>1</v>
      </c>
      <c r="U9785" s="4" t="str">
        <f>IFERROR(__xludf.DUMMYFUNCTION("""COMPUTED_VALUE"""),"null")</f>
        <v>null</v>
      </c>
      <c r="V9785" s="33">
        <f>IFERROR(__xludf.DUMMYFUNCTION("""COMPUTED_VALUE"""),1.0)</f>
        <v>1</v>
      </c>
      <c r="W9785" s="4" t="str">
        <f>IFERROR(__xludf.DUMMYFUNCTION("""COMPUTED_VALUE"""),"null")</f>
        <v>null</v>
      </c>
      <c r="X9785" s="33">
        <f>IFERROR(__xludf.DUMMYFUNCTION("""COMPUTED_VALUE"""),1.0)</f>
        <v>1</v>
      </c>
    </row>
    <row r="9786">
      <c r="K9786" s="4" t="str">
        <f>IFERROR(__xludf.DUMMYFUNCTION("""COMPUTED_VALUE"""),"ALTAS HORAS 24H PIZZARIA")</f>
        <v>ALTAS HORAS 24H PIZZARIA</v>
      </c>
      <c r="L9786" s="32">
        <f>IFERROR(__xludf.DUMMYFUNCTION("""COMPUTED_VALUE"""),1.0)</f>
        <v>1</v>
      </c>
      <c r="M9786" s="4" t="str">
        <f>IFERROR(__xludf.DUMMYFUNCTION("""COMPUTED_VALUE"""),"Saipos Serviços De Software")</f>
        <v>Saipos Serviços De Software</v>
      </c>
      <c r="N9786" s="33">
        <f>IFERROR(__xludf.DUMMYFUNCTION("""COMPUTED_VALUE"""),1.0)</f>
        <v>1</v>
      </c>
      <c r="O9786" s="4" t="str">
        <f>IFERROR(__xludf.DUMMYFUNCTION("""COMPUTED_VALUE"""),"Saipos Serviços De Software")</f>
        <v>Saipos Serviços De Software</v>
      </c>
      <c r="P9786" s="33">
        <f>IFERROR(__xludf.DUMMYFUNCTION("""COMPUTED_VALUE"""),1.0)</f>
        <v>1</v>
      </c>
      <c r="Q9786" s="4" t="str">
        <f>IFERROR(__xludf.DUMMYFUNCTION("""COMPUTED_VALUE"""),"Saipos Serviços De Software")</f>
        <v>Saipos Serviços De Software</v>
      </c>
      <c r="R9786" s="33">
        <f>IFERROR(__xludf.DUMMYFUNCTION("""COMPUTED_VALUE"""),1.0)</f>
        <v>1</v>
      </c>
      <c r="S9786" s="4" t="str">
        <f>IFERROR(__xludf.DUMMYFUNCTION("""COMPUTED_VALUE"""),"Saipos Serviços De Software")</f>
        <v>Saipos Serviços De Software</v>
      </c>
      <c r="T9786" s="33">
        <f>IFERROR(__xludf.DUMMYFUNCTION("""COMPUTED_VALUE"""),1.0)</f>
        <v>1</v>
      </c>
      <c r="U9786" s="4" t="str">
        <f>IFERROR(__xludf.DUMMYFUNCTION("""COMPUTED_VALUE"""),"Saipos Serviços De Software")</f>
        <v>Saipos Serviços De Software</v>
      </c>
      <c r="V9786" s="33">
        <f>IFERROR(__xludf.DUMMYFUNCTION("""COMPUTED_VALUE"""),1.0)</f>
        <v>1</v>
      </c>
      <c r="W9786" s="4" t="str">
        <f>IFERROR(__xludf.DUMMYFUNCTION("""COMPUTED_VALUE"""),"Saipos Serviços De Software")</f>
        <v>Saipos Serviços De Software</v>
      </c>
      <c r="X9786" s="33">
        <f>IFERROR(__xludf.DUMMYFUNCTION("""COMPUTED_VALUE"""),1.0)</f>
        <v>1</v>
      </c>
    </row>
    <row r="9787">
      <c r="K9787" s="4" t="str">
        <f>IFERROR(__xludf.DUMMYFUNCTION("""COMPUTED_VALUE"""),"YBA ACAI SORVETE")</f>
        <v>YBA ACAI SORVETE</v>
      </c>
      <c r="L9787" s="32">
        <f>IFERROR(__xludf.DUMMYFUNCTION("""COMPUTED_VALUE"""),1.0)</f>
        <v>1</v>
      </c>
      <c r="M9787" s="4" t="str">
        <f>IFERROR(__xludf.DUMMYFUNCTION("""COMPUTED_VALUE"""),"Saipos Serviços De Software")</f>
        <v>Saipos Serviços De Software</v>
      </c>
      <c r="N9787" s="33">
        <f>IFERROR(__xludf.DUMMYFUNCTION("""COMPUTED_VALUE"""),1.0)</f>
        <v>1</v>
      </c>
      <c r="O9787" s="4" t="str">
        <f>IFERROR(__xludf.DUMMYFUNCTION("""COMPUTED_VALUE"""),"Saipos Serviços De Software")</f>
        <v>Saipos Serviços De Software</v>
      </c>
      <c r="P9787" s="33">
        <f>IFERROR(__xludf.DUMMYFUNCTION("""COMPUTED_VALUE"""),1.0)</f>
        <v>1</v>
      </c>
      <c r="Q9787" s="4" t="str">
        <f>IFERROR(__xludf.DUMMYFUNCTION("""COMPUTED_VALUE"""),"Saipos Serviços De Software")</f>
        <v>Saipos Serviços De Software</v>
      </c>
      <c r="R9787" s="33">
        <f>IFERROR(__xludf.DUMMYFUNCTION("""COMPUTED_VALUE"""),1.0)</f>
        <v>1</v>
      </c>
      <c r="S9787" s="4" t="str">
        <f>IFERROR(__xludf.DUMMYFUNCTION("""COMPUTED_VALUE"""),"Saipos Serviços De Software")</f>
        <v>Saipos Serviços De Software</v>
      </c>
      <c r="T9787" s="33">
        <f>IFERROR(__xludf.DUMMYFUNCTION("""COMPUTED_VALUE"""),1.0)</f>
        <v>1</v>
      </c>
      <c r="U9787" s="4" t="str">
        <f>IFERROR(__xludf.DUMMYFUNCTION("""COMPUTED_VALUE"""),"Saipos Serviços De Software")</f>
        <v>Saipos Serviços De Software</v>
      </c>
      <c r="V9787" s="33">
        <f>IFERROR(__xludf.DUMMYFUNCTION("""COMPUTED_VALUE"""),1.0)</f>
        <v>1</v>
      </c>
      <c r="W9787" s="4" t="str">
        <f>IFERROR(__xludf.DUMMYFUNCTION("""COMPUTED_VALUE"""),"Saipos Serviços De Software")</f>
        <v>Saipos Serviços De Software</v>
      </c>
      <c r="X9787" s="33">
        <f>IFERROR(__xludf.DUMMYFUNCTION("""COMPUTED_VALUE"""),1.0)</f>
        <v>1</v>
      </c>
    </row>
    <row r="9788">
      <c r="K9788" s="4" t="str">
        <f>IFERROR(__xludf.DUMMYFUNCTION("""COMPUTED_VALUE"""),"HORA DO LACHE LA FAZENDA")</f>
        <v>HORA DO LACHE LA FAZENDA</v>
      </c>
      <c r="L9788" s="32">
        <f>IFERROR(__xludf.DUMMYFUNCTION("""COMPUTED_VALUE"""),1.0)</f>
        <v>1</v>
      </c>
      <c r="M9788" s="4" t="str">
        <f>IFERROR(__xludf.DUMMYFUNCTION("""COMPUTED_VALUE"""),"Saipos Serviços De Software")</f>
        <v>Saipos Serviços De Software</v>
      </c>
      <c r="N9788" s="33">
        <f>IFERROR(__xludf.DUMMYFUNCTION("""COMPUTED_VALUE"""),1.0)</f>
        <v>1</v>
      </c>
      <c r="O9788" s="4" t="str">
        <f>IFERROR(__xludf.DUMMYFUNCTION("""COMPUTED_VALUE"""),"null")</f>
        <v>null</v>
      </c>
      <c r="P9788" s="33">
        <f>IFERROR(__xludf.DUMMYFUNCTION("""COMPUTED_VALUE"""),1.0)</f>
        <v>1</v>
      </c>
      <c r="Q9788" s="4" t="str">
        <f>IFERROR(__xludf.DUMMYFUNCTION("""COMPUTED_VALUE"""),"Saipos Serviços De Software")</f>
        <v>Saipos Serviços De Software</v>
      </c>
      <c r="R9788" s="33">
        <f>IFERROR(__xludf.DUMMYFUNCTION("""COMPUTED_VALUE"""),1.0)</f>
        <v>1</v>
      </c>
      <c r="S9788" s="4" t="str">
        <f>IFERROR(__xludf.DUMMYFUNCTION("""COMPUTED_VALUE"""),"Saipos Serviços De Software")</f>
        <v>Saipos Serviços De Software</v>
      </c>
      <c r="T9788" s="33">
        <f>IFERROR(__xludf.DUMMYFUNCTION("""COMPUTED_VALUE"""),1.0)</f>
        <v>1</v>
      </c>
      <c r="U9788" s="4" t="str">
        <f>IFERROR(__xludf.DUMMYFUNCTION("""COMPUTED_VALUE"""),"Saipos Serviços De Software")</f>
        <v>Saipos Serviços De Software</v>
      </c>
      <c r="V9788" s="33">
        <f>IFERROR(__xludf.DUMMYFUNCTION("""COMPUTED_VALUE"""),1.0)</f>
        <v>1</v>
      </c>
      <c r="W9788" s="4" t="str">
        <f>IFERROR(__xludf.DUMMYFUNCTION("""COMPUTED_VALUE"""),"Saipos Serviços De Software")</f>
        <v>Saipos Serviços De Software</v>
      </c>
      <c r="X9788" s="33">
        <f>IFERROR(__xludf.DUMMYFUNCTION("""COMPUTED_VALUE"""),1.0)</f>
        <v>1</v>
      </c>
    </row>
    <row r="9789">
      <c r="K9789" s="4" t="str">
        <f>IFERROR(__xludf.DUMMYFUNCTION("""COMPUTED_VALUE"""),"UZZINA PUB HAMBURGUERES PIZZAS PORCOES")</f>
        <v>UZZINA PUB HAMBURGUERES PIZZAS PORCOES</v>
      </c>
      <c r="L9789" s="32">
        <f>IFERROR(__xludf.DUMMYFUNCTION("""COMPUTED_VALUE"""),1.0)</f>
        <v>1</v>
      </c>
      <c r="M9789" s="4" t="str">
        <f>IFERROR(__xludf.DUMMYFUNCTION("""COMPUTED_VALUE"""),"Saipos Serviços De Software")</f>
        <v>Saipos Serviços De Software</v>
      </c>
      <c r="N9789" s="33">
        <f>IFERROR(__xludf.DUMMYFUNCTION("""COMPUTED_VALUE"""),1.0)</f>
        <v>1</v>
      </c>
      <c r="O9789" s="4" t="str">
        <f>IFERROR(__xludf.DUMMYFUNCTION("""COMPUTED_VALUE"""),"Saipos Serviços De Software")</f>
        <v>Saipos Serviços De Software</v>
      </c>
      <c r="P9789" s="33">
        <f>IFERROR(__xludf.DUMMYFUNCTION("""COMPUTED_VALUE"""),1.0)</f>
        <v>1</v>
      </c>
      <c r="Q9789" s="4" t="str">
        <f>IFERROR(__xludf.DUMMYFUNCTION("""COMPUTED_VALUE"""),"Saipos Serviços De Software")</f>
        <v>Saipos Serviços De Software</v>
      </c>
      <c r="R9789" s="33">
        <f>IFERROR(__xludf.DUMMYFUNCTION("""COMPUTED_VALUE"""),1.0)</f>
        <v>1</v>
      </c>
      <c r="S9789" s="4" t="str">
        <f>IFERROR(__xludf.DUMMYFUNCTION("""COMPUTED_VALUE"""),"Saipos Serviços De Software")</f>
        <v>Saipos Serviços De Software</v>
      </c>
      <c r="T9789" s="33">
        <f>IFERROR(__xludf.DUMMYFUNCTION("""COMPUTED_VALUE"""),1.0)</f>
        <v>1</v>
      </c>
      <c r="U9789" s="4" t="str">
        <f>IFERROR(__xludf.DUMMYFUNCTION("""COMPUTED_VALUE"""),"Saipos Serviços De Software")</f>
        <v>Saipos Serviços De Software</v>
      </c>
      <c r="V9789" s="33">
        <f>IFERROR(__xludf.DUMMYFUNCTION("""COMPUTED_VALUE"""),1.0)</f>
        <v>1</v>
      </c>
      <c r="W9789" s="4" t="str">
        <f>IFERROR(__xludf.DUMMYFUNCTION("""COMPUTED_VALUE"""),"Saipos Serviços De Software")</f>
        <v>Saipos Serviços De Software</v>
      </c>
      <c r="X9789" s="33">
        <f>IFERROR(__xludf.DUMMYFUNCTION("""COMPUTED_VALUE"""),1.0)</f>
        <v>1</v>
      </c>
    </row>
    <row r="9790">
      <c r="K9790" s="4" t="str">
        <f>IFERROR(__xludf.DUMMYFUNCTION("""COMPUTED_VALUE"""),"JUNIOR LANCHES DELIVERY")</f>
        <v>JUNIOR LANCHES DELIVERY</v>
      </c>
      <c r="L9790" s="32">
        <f>IFERROR(__xludf.DUMMYFUNCTION("""COMPUTED_VALUE"""),1.0)</f>
        <v>1</v>
      </c>
      <c r="M9790" s="4" t="str">
        <f>IFERROR(__xludf.DUMMYFUNCTION("""COMPUTED_VALUE"""),"Saipos Serviços De Software")</f>
        <v>Saipos Serviços De Software</v>
      </c>
      <c r="N9790" s="33">
        <f>IFERROR(__xludf.DUMMYFUNCTION("""COMPUTED_VALUE"""),1.0)</f>
        <v>1</v>
      </c>
      <c r="O9790" s="4" t="str">
        <f>IFERROR(__xludf.DUMMYFUNCTION("""COMPUTED_VALUE"""),"Saipos Serviços De Software")</f>
        <v>Saipos Serviços De Software</v>
      </c>
      <c r="P9790" s="33">
        <f>IFERROR(__xludf.DUMMYFUNCTION("""COMPUTED_VALUE"""),1.0)</f>
        <v>1</v>
      </c>
      <c r="Q9790" s="4" t="str">
        <f>IFERROR(__xludf.DUMMYFUNCTION("""COMPUTED_VALUE"""),"Saipos Serviços De Software")</f>
        <v>Saipos Serviços De Software</v>
      </c>
      <c r="R9790" s="33">
        <f>IFERROR(__xludf.DUMMYFUNCTION("""COMPUTED_VALUE"""),1.0)</f>
        <v>1</v>
      </c>
      <c r="S9790" s="4" t="str">
        <f>IFERROR(__xludf.DUMMYFUNCTION("""COMPUTED_VALUE"""),"Saipos Serviços De Software")</f>
        <v>Saipos Serviços De Software</v>
      </c>
      <c r="T9790" s="33">
        <f>IFERROR(__xludf.DUMMYFUNCTION("""COMPUTED_VALUE"""),1.0)</f>
        <v>1</v>
      </c>
      <c r="U9790" s="4" t="str">
        <f>IFERROR(__xludf.DUMMYFUNCTION("""COMPUTED_VALUE"""),"Saipos Serviços De Software")</f>
        <v>Saipos Serviços De Software</v>
      </c>
      <c r="V9790" s="33">
        <f>IFERROR(__xludf.DUMMYFUNCTION("""COMPUTED_VALUE"""),1.0)</f>
        <v>1</v>
      </c>
      <c r="W9790" s="4" t="str">
        <f>IFERROR(__xludf.DUMMYFUNCTION("""COMPUTED_VALUE"""),"Instadelivery")</f>
        <v>Instadelivery</v>
      </c>
      <c r="X9790" s="33">
        <f>IFERROR(__xludf.DUMMYFUNCTION("""COMPUTED_VALUE"""),1.0)</f>
        <v>1</v>
      </c>
    </row>
    <row r="9791">
      <c r="K9791" s="4" t="str">
        <f>IFERROR(__xludf.DUMMYFUNCTION("""COMPUTED_VALUE"""),"O BURGUINI")</f>
        <v>O BURGUINI</v>
      </c>
      <c r="L9791" s="32">
        <f>IFERROR(__xludf.DUMMYFUNCTION("""COMPUTED_VALUE"""),1.0)</f>
        <v>1</v>
      </c>
      <c r="M9791" s="4" t="str">
        <f>IFERROR(__xludf.DUMMYFUNCTION("""COMPUTED_VALUE"""),"null")</f>
        <v>null</v>
      </c>
      <c r="N9791" s="33">
        <f>IFERROR(__xludf.DUMMYFUNCTION("""COMPUTED_VALUE"""),1.0)</f>
        <v>1</v>
      </c>
      <c r="O9791" s="4" t="str">
        <f>IFERROR(__xludf.DUMMYFUNCTION("""COMPUTED_VALUE"""),"null")</f>
        <v>null</v>
      </c>
      <c r="P9791" s="33">
        <f>IFERROR(__xludf.DUMMYFUNCTION("""COMPUTED_VALUE"""),1.0)</f>
        <v>1</v>
      </c>
      <c r="Q9791" s="4" t="str">
        <f>IFERROR(__xludf.DUMMYFUNCTION("""COMPUTED_VALUE"""),"Grapepag")</f>
        <v>Grapepag</v>
      </c>
      <c r="R9791" s="33">
        <f>IFERROR(__xludf.DUMMYFUNCTION("""COMPUTED_VALUE"""),1.0)</f>
        <v>1</v>
      </c>
      <c r="S9791" s="4" t="str">
        <f>IFERROR(__xludf.DUMMYFUNCTION("""COMPUTED_VALUE"""),"Grapepag")</f>
        <v>Grapepag</v>
      </c>
      <c r="T9791" s="33">
        <f>IFERROR(__xludf.DUMMYFUNCTION("""COMPUTED_VALUE"""),1.0)</f>
        <v>1</v>
      </c>
      <c r="U9791" s="4" t="str">
        <f>IFERROR(__xludf.DUMMYFUNCTION("""COMPUTED_VALUE"""),"null")</f>
        <v>null</v>
      </c>
      <c r="V9791" s="33">
        <f>IFERROR(__xludf.DUMMYFUNCTION("""COMPUTED_VALUE"""),1.0)</f>
        <v>1</v>
      </c>
      <c r="W9791" s="4" t="str">
        <f>IFERROR(__xludf.DUMMYFUNCTION("""COMPUTED_VALUE"""),"null")</f>
        <v>null</v>
      </c>
      <c r="X9791" s="33">
        <f>IFERROR(__xludf.DUMMYFUNCTION("""COMPUTED_VALUE"""),1.0)</f>
        <v>1</v>
      </c>
    </row>
    <row r="9792">
      <c r="K9792" s="4" t="str">
        <f>IFERROR(__xludf.DUMMYFUNCTION("""COMPUTED_VALUE"""),"CONVENIENCIA CAICHACA")</f>
        <v>CONVENIENCIA CAICHACA</v>
      </c>
      <c r="L9792" s="32">
        <f>IFERROR(__xludf.DUMMYFUNCTION("""COMPUTED_VALUE"""),1.0)</f>
        <v>1</v>
      </c>
      <c r="M9792" s="4" t="str">
        <f>IFERROR(__xludf.DUMMYFUNCTION("""COMPUTED_VALUE"""),"N/A (Not found)")</f>
        <v>N/A (Not found)</v>
      </c>
      <c r="N9792" s="33">
        <f>IFERROR(__xludf.DUMMYFUNCTION("""COMPUTED_VALUE"""),1.0)</f>
        <v>1</v>
      </c>
      <c r="O9792" s="4" t="str">
        <f>IFERROR(__xludf.DUMMYFUNCTION("""COMPUTED_VALUE"""),"N/A (Not found)")</f>
        <v>N/A (Not found)</v>
      </c>
      <c r="P9792" s="33">
        <f>IFERROR(__xludf.DUMMYFUNCTION("""COMPUTED_VALUE"""),1.0)</f>
        <v>1</v>
      </c>
      <c r="Q9792" s="4" t="str">
        <f>IFERROR(__xludf.DUMMYFUNCTION("""COMPUTED_VALUE"""),"N/A (Not found)")</f>
        <v>N/A (Not found)</v>
      </c>
      <c r="R9792" s="33">
        <f>IFERROR(__xludf.DUMMYFUNCTION("""COMPUTED_VALUE"""),1.0)</f>
        <v>1</v>
      </c>
      <c r="S9792" s="4" t="str">
        <f>IFERROR(__xludf.DUMMYFUNCTION("""COMPUTED_VALUE"""),"N/A (Not found)")</f>
        <v>N/A (Not found)</v>
      </c>
      <c r="T9792" s="33">
        <f>IFERROR(__xludf.DUMMYFUNCTION("""COMPUTED_VALUE"""),1.0)</f>
        <v>1</v>
      </c>
      <c r="U9792" s="4" t="str">
        <f>IFERROR(__xludf.DUMMYFUNCTION("""COMPUTED_VALUE"""),"N/A (Not found)")</f>
        <v>N/A (Not found)</v>
      </c>
      <c r="V9792" s="33">
        <f>IFERROR(__xludf.DUMMYFUNCTION("""COMPUTED_VALUE"""),1.0)</f>
        <v>1</v>
      </c>
      <c r="W9792" s="4" t="str">
        <f>IFERROR(__xludf.DUMMYFUNCTION("""COMPUTED_VALUE"""),"N/A (Not found)")</f>
        <v>N/A (Not found)</v>
      </c>
      <c r="X9792" s="33">
        <f>IFERROR(__xludf.DUMMYFUNCTION("""COMPUTED_VALUE"""),1.0)</f>
        <v>1</v>
      </c>
    </row>
    <row r="9793">
      <c r="K9793" s="4" t="str">
        <f>IFERROR(__xludf.DUMMYFUNCTION("""COMPUTED_VALUE"""),"CAFE REGIONAL E SOPAS RD")</f>
        <v>CAFE REGIONAL E SOPAS RD</v>
      </c>
      <c r="L9793" s="32">
        <f>IFERROR(__xludf.DUMMYFUNCTION("""COMPUTED_VALUE"""),1.0)</f>
        <v>1</v>
      </c>
      <c r="M9793" s="4" t="str">
        <f>IFERROR(__xludf.DUMMYFUNCTION("""COMPUTED_VALUE"""),"Cardápio Web")</f>
        <v>Cardápio Web</v>
      </c>
      <c r="N9793" s="33">
        <f>IFERROR(__xludf.DUMMYFUNCTION("""COMPUTED_VALUE"""),1.0)</f>
        <v>1</v>
      </c>
      <c r="O9793" s="4" t="str">
        <f>IFERROR(__xludf.DUMMYFUNCTION("""COMPUTED_VALUE"""),"Cardápio Web")</f>
        <v>Cardápio Web</v>
      </c>
      <c r="P9793" s="33">
        <f>IFERROR(__xludf.DUMMYFUNCTION("""COMPUTED_VALUE"""),1.0)</f>
        <v>1</v>
      </c>
      <c r="Q9793" s="4" t="str">
        <f>IFERROR(__xludf.DUMMYFUNCTION("""COMPUTED_VALUE"""),"Cardápio Web")</f>
        <v>Cardápio Web</v>
      </c>
      <c r="R9793" s="33">
        <f>IFERROR(__xludf.DUMMYFUNCTION("""COMPUTED_VALUE"""),1.0)</f>
        <v>1</v>
      </c>
      <c r="S9793" s="4" t="str">
        <f>IFERROR(__xludf.DUMMYFUNCTION("""COMPUTED_VALUE"""),"Cardápio Web")</f>
        <v>Cardápio Web</v>
      </c>
      <c r="T9793" s="33">
        <f>IFERROR(__xludf.DUMMYFUNCTION("""COMPUTED_VALUE"""),1.0)</f>
        <v>1</v>
      </c>
      <c r="U9793" s="4" t="str">
        <f>IFERROR(__xludf.DUMMYFUNCTION("""COMPUTED_VALUE"""),"Cardápio Web")</f>
        <v>Cardápio Web</v>
      </c>
      <c r="V9793" s="33">
        <f>IFERROR(__xludf.DUMMYFUNCTION("""COMPUTED_VALUE"""),1.0)</f>
        <v>1</v>
      </c>
      <c r="W9793" s="4" t="str">
        <f>IFERROR(__xludf.DUMMYFUNCTION("""COMPUTED_VALUE"""),"Cardápio Web")</f>
        <v>Cardápio Web</v>
      </c>
      <c r="X9793" s="33">
        <f>IFERROR(__xludf.DUMMYFUNCTION("""COMPUTED_VALUE"""),1.0)</f>
        <v>1</v>
      </c>
    </row>
    <row r="9794">
      <c r="K9794" s="4" t="str">
        <f>IFERROR(__xludf.DUMMYFUNCTION("""COMPUTED_VALUE"""),"JANTINHA DO VITAO")</f>
        <v>JANTINHA DO VITAO</v>
      </c>
      <c r="L9794" s="32">
        <f>IFERROR(__xludf.DUMMYFUNCTION("""COMPUTED_VALUE"""),1.0)</f>
        <v>1</v>
      </c>
      <c r="M9794" s="4" t="str">
        <f>IFERROR(__xludf.DUMMYFUNCTION("""COMPUTED_VALUE"""),"null")</f>
        <v>null</v>
      </c>
      <c r="N9794" s="33">
        <f>IFERROR(__xludf.DUMMYFUNCTION("""COMPUTED_VALUE"""),1.0)</f>
        <v>1</v>
      </c>
      <c r="O9794" s="4" t="str">
        <f>IFERROR(__xludf.DUMMYFUNCTION("""COMPUTED_VALUE"""),"Anota Ai Solucoes Digitais S/a")</f>
        <v>Anota Ai Solucoes Digitais S/a</v>
      </c>
      <c r="P9794" s="33">
        <f>IFERROR(__xludf.DUMMYFUNCTION("""COMPUTED_VALUE"""),1.0)</f>
        <v>1</v>
      </c>
      <c r="Q9794" s="4" t="str">
        <f>IFERROR(__xludf.DUMMYFUNCTION("""COMPUTED_VALUE"""),"Anota Ai Solucoes Digitais S/a")</f>
        <v>Anota Ai Solucoes Digitais S/a</v>
      </c>
      <c r="R9794" s="33">
        <f>IFERROR(__xludf.DUMMYFUNCTION("""COMPUTED_VALUE"""),1.0)</f>
        <v>1</v>
      </c>
      <c r="S9794" s="4" t="str">
        <f>IFERROR(__xludf.DUMMYFUNCTION("""COMPUTED_VALUE"""),"Anota Ai Solucoes Digitais S/a")</f>
        <v>Anota Ai Solucoes Digitais S/a</v>
      </c>
      <c r="T9794" s="33">
        <f>IFERROR(__xludf.DUMMYFUNCTION("""COMPUTED_VALUE"""),1.0)</f>
        <v>1</v>
      </c>
      <c r="U9794" s="4" t="str">
        <f>IFERROR(__xludf.DUMMYFUNCTION("""COMPUTED_VALUE"""),"Anota Ai Solucoes Digitais S/a")</f>
        <v>Anota Ai Solucoes Digitais S/a</v>
      </c>
      <c r="V9794" s="33">
        <f>IFERROR(__xludf.DUMMYFUNCTION("""COMPUTED_VALUE"""),1.0)</f>
        <v>1</v>
      </c>
      <c r="W9794" s="4" t="str">
        <f>IFERROR(__xludf.DUMMYFUNCTION("""COMPUTED_VALUE"""),"Anota Ai Solucoes Digitais S/a")</f>
        <v>Anota Ai Solucoes Digitais S/a</v>
      </c>
      <c r="X9794" s="33">
        <f>IFERROR(__xludf.DUMMYFUNCTION("""COMPUTED_VALUE"""),1.0)</f>
        <v>1</v>
      </c>
    </row>
    <row r="9795">
      <c r="K9795" s="4" t="str">
        <f>IFERROR(__xludf.DUMMYFUNCTION("""COMPUTED_VALUE"""),"SANTOS BEER DISTRIBUIDORA")</f>
        <v>SANTOS BEER DISTRIBUIDORA</v>
      </c>
      <c r="L9795" s="32">
        <f>IFERROR(__xludf.DUMMYFUNCTION("""COMPUTED_VALUE"""),1.0)</f>
        <v>1</v>
      </c>
      <c r="M9795" s="4" t="str">
        <f>IFERROR(__xludf.DUMMYFUNCTION("""COMPUTED_VALUE"""),"N/A (Not found)")</f>
        <v>N/A (Not found)</v>
      </c>
      <c r="N9795" s="33">
        <f>IFERROR(__xludf.DUMMYFUNCTION("""COMPUTED_VALUE"""),1.0)</f>
        <v>1</v>
      </c>
      <c r="O9795" s="4" t="str">
        <f>IFERROR(__xludf.DUMMYFUNCTION("""COMPUTED_VALUE"""),"N/A (Not found)")</f>
        <v>N/A (Not found)</v>
      </c>
      <c r="P9795" s="33">
        <f>IFERROR(__xludf.DUMMYFUNCTION("""COMPUTED_VALUE"""),1.0)</f>
        <v>1</v>
      </c>
      <c r="Q9795" s="4" t="str">
        <f>IFERROR(__xludf.DUMMYFUNCTION("""COMPUTED_VALUE"""),"N/A (Not found)")</f>
        <v>N/A (Not found)</v>
      </c>
      <c r="R9795" s="33">
        <f>IFERROR(__xludf.DUMMYFUNCTION("""COMPUTED_VALUE"""),1.0)</f>
        <v>1</v>
      </c>
      <c r="S9795" s="4" t="str">
        <f>IFERROR(__xludf.DUMMYFUNCTION("""COMPUTED_VALUE"""),"N/A (Not found)")</f>
        <v>N/A (Not found)</v>
      </c>
      <c r="T9795" s="33">
        <f>IFERROR(__xludf.DUMMYFUNCTION("""COMPUTED_VALUE"""),1.0)</f>
        <v>1</v>
      </c>
      <c r="U9795" s="4" t="str">
        <f>IFERROR(__xludf.DUMMYFUNCTION("""COMPUTED_VALUE"""),"N/A (Not found)")</f>
        <v>N/A (Not found)</v>
      </c>
      <c r="V9795" s="33">
        <f>IFERROR(__xludf.DUMMYFUNCTION("""COMPUTED_VALUE"""),1.0)</f>
        <v>1</v>
      </c>
      <c r="W9795" s="4" t="str">
        <f>IFERROR(__xludf.DUMMYFUNCTION("""COMPUTED_VALUE"""),"N/A (Not found)")</f>
        <v>N/A (Not found)</v>
      </c>
      <c r="X9795" s="33">
        <f>IFERROR(__xludf.DUMMYFUNCTION("""COMPUTED_VALUE"""),1.0)</f>
        <v>1</v>
      </c>
    </row>
    <row r="9796">
      <c r="K9796" s="4" t="str">
        <f>IFERROR(__xludf.DUMMYFUNCTION("""COMPUTED_VALUE"""),"ESPACO MANIA GOURMET")</f>
        <v>ESPACO MANIA GOURMET</v>
      </c>
      <c r="L9796" s="32">
        <f>IFERROR(__xludf.DUMMYFUNCTION("""COMPUTED_VALUE"""),1.0)</f>
        <v>1</v>
      </c>
      <c r="M9796" s="4" t="str">
        <f>IFERROR(__xludf.DUMMYFUNCTION("""COMPUTED_VALUE"""),"null")</f>
        <v>null</v>
      </c>
      <c r="N9796" s="33">
        <f>IFERROR(__xludf.DUMMYFUNCTION("""COMPUTED_VALUE"""),1.0)</f>
        <v>1</v>
      </c>
      <c r="O9796" s="4" t="str">
        <f>IFERROR(__xludf.DUMMYFUNCTION("""COMPUTED_VALUE"""),"null")</f>
        <v>null</v>
      </c>
      <c r="P9796" s="33">
        <f>IFERROR(__xludf.DUMMYFUNCTION("""COMPUTED_VALUE"""),1.0)</f>
        <v>1</v>
      </c>
      <c r="Q9796" s="4" t="str">
        <f>IFERROR(__xludf.DUMMYFUNCTION("""COMPUTED_VALUE"""),"null")</f>
        <v>null</v>
      </c>
      <c r="R9796" s="33">
        <f>IFERROR(__xludf.DUMMYFUNCTION("""COMPUTED_VALUE"""),1.0)</f>
        <v>1</v>
      </c>
      <c r="S9796" s="4" t="str">
        <f>IFERROR(__xludf.DUMMYFUNCTION("""COMPUTED_VALUE"""),"null")</f>
        <v>null</v>
      </c>
      <c r="T9796" s="33">
        <f>IFERROR(__xludf.DUMMYFUNCTION("""COMPUTED_VALUE"""),1.0)</f>
        <v>1</v>
      </c>
      <c r="U9796" s="4" t="str">
        <f>IFERROR(__xludf.DUMMYFUNCTION("""COMPUTED_VALUE"""),"Anota Ai Solucoes Digitais S/a")</f>
        <v>Anota Ai Solucoes Digitais S/a</v>
      </c>
      <c r="V9796" s="33">
        <f>IFERROR(__xludf.DUMMYFUNCTION("""COMPUTED_VALUE"""),1.0)</f>
        <v>1</v>
      </c>
      <c r="W9796" s="4" t="str">
        <f>IFERROR(__xludf.DUMMYFUNCTION("""COMPUTED_VALUE"""),"Anota Ai Solucoes Digitais S/a")</f>
        <v>Anota Ai Solucoes Digitais S/a</v>
      </c>
      <c r="X9796" s="33">
        <f>IFERROR(__xludf.DUMMYFUNCTION("""COMPUTED_VALUE"""),1.0)</f>
        <v>1</v>
      </c>
    </row>
    <row r="9797">
      <c r="K9797" s="4" t="str">
        <f>IFERROR(__xludf.DUMMYFUNCTION("""COMPUTED_VALUE"""),"BOA MAO - DOCES E SALGADOS FIT")</f>
        <v>BOA MAO - DOCES E SALGADOS FIT</v>
      </c>
      <c r="L9797" s="32">
        <f>IFERROR(__xludf.DUMMYFUNCTION("""COMPUTED_VALUE"""),1.0)</f>
        <v>1</v>
      </c>
      <c r="M9797" s="4" t="str">
        <f>IFERROR(__xludf.DUMMYFUNCTION("""COMPUTED_VALUE"""),"Noah Sistemas Ltda")</f>
        <v>Noah Sistemas Ltda</v>
      </c>
      <c r="N9797" s="33">
        <f>IFERROR(__xludf.DUMMYFUNCTION("""COMPUTED_VALUE"""),1.0)</f>
        <v>1</v>
      </c>
      <c r="O9797" s="4" t="str">
        <f>IFERROR(__xludf.DUMMYFUNCTION("""COMPUTED_VALUE"""),"Noah Sistemas Ltda")</f>
        <v>Noah Sistemas Ltda</v>
      </c>
      <c r="P9797" s="33">
        <f>IFERROR(__xludf.DUMMYFUNCTION("""COMPUTED_VALUE"""),1.0)</f>
        <v>1</v>
      </c>
      <c r="Q9797" s="4" t="str">
        <f>IFERROR(__xludf.DUMMYFUNCTION("""COMPUTED_VALUE"""),"Noah Sistemas Ltda")</f>
        <v>Noah Sistemas Ltda</v>
      </c>
      <c r="R9797" s="33">
        <f>IFERROR(__xludf.DUMMYFUNCTION("""COMPUTED_VALUE"""),1.0)</f>
        <v>1</v>
      </c>
      <c r="S9797" s="4" t="str">
        <f>IFERROR(__xludf.DUMMYFUNCTION("""COMPUTED_VALUE"""),"Noah Sistemas Ltda")</f>
        <v>Noah Sistemas Ltda</v>
      </c>
      <c r="T9797" s="33">
        <f>IFERROR(__xludf.DUMMYFUNCTION("""COMPUTED_VALUE"""),1.0)</f>
        <v>1</v>
      </c>
      <c r="U9797" s="4" t="str">
        <f>IFERROR(__xludf.DUMMYFUNCTION("""COMPUTED_VALUE"""),"Noah Sistemas Ltda")</f>
        <v>Noah Sistemas Ltda</v>
      </c>
      <c r="V9797" s="33">
        <f>IFERROR(__xludf.DUMMYFUNCTION("""COMPUTED_VALUE"""),1.0)</f>
        <v>1</v>
      </c>
      <c r="W9797" s="4" t="str">
        <f>IFERROR(__xludf.DUMMYFUNCTION("""COMPUTED_VALUE"""),"null")</f>
        <v>null</v>
      </c>
      <c r="X9797" s="33">
        <f>IFERROR(__xludf.DUMMYFUNCTION("""COMPUTED_VALUE"""),1.0)</f>
        <v>1</v>
      </c>
    </row>
    <row r="9798">
      <c r="K9798" s="4" t="str">
        <f>IFERROR(__xludf.DUMMYFUNCTION("""COMPUTED_VALUE"""),"REI DO SMASH BURGER,HOTDOG,ACAI")</f>
        <v>REI DO SMASH BURGER,HOTDOG,ACAI</v>
      </c>
      <c r="L9798" s="32">
        <f>IFERROR(__xludf.DUMMYFUNCTION("""COMPUTED_VALUE"""),1.0)</f>
        <v>1</v>
      </c>
      <c r="M9798" s="4" t="str">
        <f>IFERROR(__xludf.DUMMYFUNCTION("""COMPUTED_VALUE"""),"null")</f>
        <v>null</v>
      </c>
      <c r="N9798" s="33">
        <f>IFERROR(__xludf.DUMMYFUNCTION("""COMPUTED_VALUE"""),1.0)</f>
        <v>1</v>
      </c>
      <c r="O9798" s="4" t="str">
        <f>IFERROR(__xludf.DUMMYFUNCTION("""COMPUTED_VALUE"""),"null")</f>
        <v>null</v>
      </c>
      <c r="P9798" s="33">
        <f>IFERROR(__xludf.DUMMYFUNCTION("""COMPUTED_VALUE"""),1.0)</f>
        <v>1</v>
      </c>
      <c r="Q9798" s="4" t="str">
        <f>IFERROR(__xludf.DUMMYFUNCTION("""COMPUTED_VALUE"""),"Suitable Tecnologia E Gestao")</f>
        <v>Suitable Tecnologia E Gestao</v>
      </c>
      <c r="R9798" s="33">
        <f>IFERROR(__xludf.DUMMYFUNCTION("""COMPUTED_VALUE"""),1.0)</f>
        <v>1</v>
      </c>
      <c r="S9798" s="4" t="str">
        <f>IFERROR(__xludf.DUMMYFUNCTION("""COMPUTED_VALUE"""),"null")</f>
        <v>null</v>
      </c>
      <c r="T9798" s="33">
        <f>IFERROR(__xludf.DUMMYFUNCTION("""COMPUTED_VALUE"""),1.0)</f>
        <v>1</v>
      </c>
      <c r="U9798" s="4" t="str">
        <f>IFERROR(__xludf.DUMMYFUNCTION("""COMPUTED_VALUE"""),"null")</f>
        <v>null</v>
      </c>
      <c r="V9798" s="33">
        <f>IFERROR(__xludf.DUMMYFUNCTION("""COMPUTED_VALUE"""),1.0)</f>
        <v>1</v>
      </c>
      <c r="W9798" s="4" t="str">
        <f>IFERROR(__xludf.DUMMYFUNCTION("""COMPUTED_VALUE"""),"null")</f>
        <v>null</v>
      </c>
      <c r="X9798" s="33">
        <f>IFERROR(__xludf.DUMMYFUNCTION("""COMPUTED_VALUE"""),1.0)</f>
        <v>1</v>
      </c>
    </row>
    <row r="9799">
      <c r="K9799" s="4" t="str">
        <f>IFERROR(__xludf.DUMMYFUNCTION("""COMPUTED_VALUE"""),"DONA OLINDA - BURGER AND FRIES")</f>
        <v>DONA OLINDA - BURGER AND FRIES</v>
      </c>
      <c r="L9799" s="32">
        <f>IFERROR(__xludf.DUMMYFUNCTION("""COMPUTED_VALUE"""),1.0)</f>
        <v>1</v>
      </c>
      <c r="M9799" s="4" t="str">
        <f>IFERROR(__xludf.DUMMYFUNCTION("""COMPUTED_VALUE"""),"Softsa Sistemas De Informação Ltda")</f>
        <v>Softsa Sistemas De Informação Ltda</v>
      </c>
      <c r="N9799" s="33">
        <f>IFERROR(__xludf.DUMMYFUNCTION("""COMPUTED_VALUE"""),1.0)</f>
        <v>1</v>
      </c>
      <c r="O9799" s="4" t="str">
        <f>IFERROR(__xludf.DUMMYFUNCTION("""COMPUTED_VALUE"""),"Softsa Sistemas De Informação Ltda")</f>
        <v>Softsa Sistemas De Informação Ltda</v>
      </c>
      <c r="P9799" s="33">
        <f>IFERROR(__xludf.DUMMYFUNCTION("""COMPUTED_VALUE"""),1.0)</f>
        <v>1</v>
      </c>
      <c r="Q9799" s="4" t="str">
        <f>IFERROR(__xludf.DUMMYFUNCTION("""COMPUTED_VALUE"""),"Softsa Sistemas De Informação Ltda")</f>
        <v>Softsa Sistemas De Informação Ltda</v>
      </c>
      <c r="R9799" s="33">
        <f>IFERROR(__xludf.DUMMYFUNCTION("""COMPUTED_VALUE"""),1.0)</f>
        <v>1</v>
      </c>
      <c r="S9799" s="4" t="str">
        <f>IFERROR(__xludf.DUMMYFUNCTION("""COMPUTED_VALUE"""),"Softsa Sistemas De Informação Ltda")</f>
        <v>Softsa Sistemas De Informação Ltda</v>
      </c>
      <c r="T9799" s="33">
        <f>IFERROR(__xludf.DUMMYFUNCTION("""COMPUTED_VALUE"""),1.0)</f>
        <v>1</v>
      </c>
      <c r="U9799" s="4" t="str">
        <f>IFERROR(__xludf.DUMMYFUNCTION("""COMPUTED_VALUE"""),"Softsa Sistemas De Informação Ltda")</f>
        <v>Softsa Sistemas De Informação Ltda</v>
      </c>
      <c r="V9799" s="33">
        <f>IFERROR(__xludf.DUMMYFUNCTION("""COMPUTED_VALUE"""),1.0)</f>
        <v>1</v>
      </c>
      <c r="W9799" s="4" t="str">
        <f>IFERROR(__xludf.DUMMYFUNCTION("""COMPUTED_VALUE"""),"Softsa Sistemas De Informação Ltda")</f>
        <v>Softsa Sistemas De Informação Ltda</v>
      </c>
      <c r="X9799" s="33">
        <f>IFERROR(__xludf.DUMMYFUNCTION("""COMPUTED_VALUE"""),1.0)</f>
        <v>1</v>
      </c>
    </row>
    <row r="9800">
      <c r="K9800" s="4" t="str">
        <f>IFERROR(__xludf.DUMMYFUNCTION("""COMPUTED_VALUE"""),"CHICAGO EXPERIENCES")</f>
        <v>CHICAGO EXPERIENCES</v>
      </c>
      <c r="L9800" s="32">
        <f>IFERROR(__xludf.DUMMYFUNCTION("""COMPUTED_VALUE"""),1.0)</f>
        <v>1</v>
      </c>
      <c r="M9800" s="4" t="str">
        <f>IFERROR(__xludf.DUMMYFUNCTION("""COMPUTED_VALUE"""),"null")</f>
        <v>null</v>
      </c>
      <c r="N9800" s="33">
        <f>IFERROR(__xludf.DUMMYFUNCTION("""COMPUTED_VALUE"""),1.0)</f>
        <v>1</v>
      </c>
      <c r="O9800" s="4" t="str">
        <f>IFERROR(__xludf.DUMMYFUNCTION("""COMPUTED_VALUE"""),"null")</f>
        <v>null</v>
      </c>
      <c r="P9800" s="33">
        <f>IFERROR(__xludf.DUMMYFUNCTION("""COMPUTED_VALUE"""),1.0)</f>
        <v>1</v>
      </c>
      <c r="Q9800" s="4" t="str">
        <f>IFERROR(__xludf.DUMMYFUNCTION("""COMPUTED_VALUE"""),"Anota Ai Solucoes Digitais S/a")</f>
        <v>Anota Ai Solucoes Digitais S/a</v>
      </c>
      <c r="R9800" s="33">
        <f>IFERROR(__xludf.DUMMYFUNCTION("""COMPUTED_VALUE"""),1.0)</f>
        <v>1</v>
      </c>
      <c r="S9800" s="4" t="str">
        <f>IFERROR(__xludf.DUMMYFUNCTION("""COMPUTED_VALUE"""),"null")</f>
        <v>null</v>
      </c>
      <c r="T9800" s="33">
        <f>IFERROR(__xludf.DUMMYFUNCTION("""COMPUTED_VALUE"""),1.0)</f>
        <v>1</v>
      </c>
      <c r="U9800" s="4" t="str">
        <f>IFERROR(__xludf.DUMMYFUNCTION("""COMPUTED_VALUE"""),"null")</f>
        <v>null</v>
      </c>
      <c r="V9800" s="33">
        <f>IFERROR(__xludf.DUMMYFUNCTION("""COMPUTED_VALUE"""),1.0)</f>
        <v>1</v>
      </c>
      <c r="W9800" s="4" t="str">
        <f>IFERROR(__xludf.DUMMYFUNCTION("""COMPUTED_VALUE"""),"null")</f>
        <v>null</v>
      </c>
      <c r="X9800" s="33">
        <f>IFERROR(__xludf.DUMMYFUNCTION("""COMPUTED_VALUE"""),1.0)</f>
        <v>1</v>
      </c>
    </row>
    <row r="9801">
      <c r="K9801" s="4" t="str">
        <f>IFERROR(__xludf.DUMMYFUNCTION("""COMPUTED_VALUE"""),"BARKO COMIDA ORIENTAL")</f>
        <v>BARKO COMIDA ORIENTAL</v>
      </c>
      <c r="L9801" s="32">
        <f>IFERROR(__xludf.DUMMYFUNCTION("""COMPUTED_VALUE"""),1.0)</f>
        <v>1</v>
      </c>
      <c r="M9801" s="4" t="str">
        <f>IFERROR(__xludf.DUMMYFUNCTION("""COMPUTED_VALUE"""),"Consumer Soluções Em Tecnologia Ltda")</f>
        <v>Consumer Soluções Em Tecnologia Ltda</v>
      </c>
      <c r="N9801" s="33">
        <f>IFERROR(__xludf.DUMMYFUNCTION("""COMPUTED_VALUE"""),1.0)</f>
        <v>1</v>
      </c>
      <c r="O9801" s="4" t="str">
        <f>IFERROR(__xludf.DUMMYFUNCTION("""COMPUTED_VALUE"""),"Consumer Soluções Em Tecnologia Ltda")</f>
        <v>Consumer Soluções Em Tecnologia Ltda</v>
      </c>
      <c r="P9801" s="33">
        <f>IFERROR(__xludf.DUMMYFUNCTION("""COMPUTED_VALUE"""),1.0)</f>
        <v>1</v>
      </c>
      <c r="Q9801" s="4" t="str">
        <f>IFERROR(__xludf.DUMMYFUNCTION("""COMPUTED_VALUE"""),"Consumer Soluções Em Tecnologia Ltda")</f>
        <v>Consumer Soluções Em Tecnologia Ltda</v>
      </c>
      <c r="R9801" s="33">
        <f>IFERROR(__xludf.DUMMYFUNCTION("""COMPUTED_VALUE"""),1.0)</f>
        <v>1</v>
      </c>
      <c r="S9801" s="4" t="str">
        <f>IFERROR(__xludf.DUMMYFUNCTION("""COMPUTED_VALUE"""),"Consumer Soluções Em Tecnologia Ltda")</f>
        <v>Consumer Soluções Em Tecnologia Ltda</v>
      </c>
      <c r="T9801" s="33">
        <f>IFERROR(__xludf.DUMMYFUNCTION("""COMPUTED_VALUE"""),1.0)</f>
        <v>1</v>
      </c>
      <c r="U9801" s="4" t="str">
        <f>IFERROR(__xludf.DUMMYFUNCTION("""COMPUTED_VALUE"""),"Consumer Soluções Em Tecnologia Ltda")</f>
        <v>Consumer Soluções Em Tecnologia Ltda</v>
      </c>
      <c r="V9801" s="33">
        <f>IFERROR(__xludf.DUMMYFUNCTION("""COMPUTED_VALUE"""),1.0)</f>
        <v>1</v>
      </c>
      <c r="W9801" s="4" t="str">
        <f>IFERROR(__xludf.DUMMYFUNCTION("""COMPUTED_VALUE"""),"Consumer Soluções Em Tecnologia Ltda")</f>
        <v>Consumer Soluções Em Tecnologia Ltda</v>
      </c>
      <c r="X9801" s="33">
        <f>IFERROR(__xludf.DUMMYFUNCTION("""COMPUTED_VALUE"""),1.0)</f>
        <v>1</v>
      </c>
    </row>
    <row r="9802">
      <c r="K9802" s="4" t="str">
        <f>IFERROR(__xludf.DUMMYFUNCTION("""COMPUTED_VALUE"""),"NO CHEF BURGUER - HAMBURGUERIA")</f>
        <v>NO CHEF BURGUER - HAMBURGUERIA</v>
      </c>
      <c r="L9802" s="32">
        <f>IFERROR(__xludf.DUMMYFUNCTION("""COMPUTED_VALUE"""),1.0)</f>
        <v>1</v>
      </c>
      <c r="M9802" s="4" t="str">
        <f>IFERROR(__xludf.DUMMYFUNCTION("""COMPUTED_VALUE"""),"One Solucoes")</f>
        <v>One Solucoes</v>
      </c>
      <c r="N9802" s="33">
        <f>IFERROR(__xludf.DUMMYFUNCTION("""COMPUTED_VALUE"""),1.0)</f>
        <v>1</v>
      </c>
      <c r="O9802" s="4" t="str">
        <f>IFERROR(__xludf.DUMMYFUNCTION("""COMPUTED_VALUE"""),"One Solucoes")</f>
        <v>One Solucoes</v>
      </c>
      <c r="P9802" s="33">
        <f>IFERROR(__xludf.DUMMYFUNCTION("""COMPUTED_VALUE"""),1.0)</f>
        <v>1</v>
      </c>
      <c r="Q9802" s="4" t="str">
        <f>IFERROR(__xludf.DUMMYFUNCTION("""COMPUTED_VALUE"""),"One Solucoes")</f>
        <v>One Solucoes</v>
      </c>
      <c r="R9802" s="33">
        <f>IFERROR(__xludf.DUMMYFUNCTION("""COMPUTED_VALUE"""),1.0)</f>
        <v>1</v>
      </c>
      <c r="S9802" s="4" t="str">
        <f>IFERROR(__xludf.DUMMYFUNCTION("""COMPUTED_VALUE"""),"One Solucoes")</f>
        <v>One Solucoes</v>
      </c>
      <c r="T9802" s="33">
        <f>IFERROR(__xludf.DUMMYFUNCTION("""COMPUTED_VALUE"""),1.0)</f>
        <v>1</v>
      </c>
      <c r="U9802" s="4" t="str">
        <f>IFERROR(__xludf.DUMMYFUNCTION("""COMPUTED_VALUE"""),"One Solucoes")</f>
        <v>One Solucoes</v>
      </c>
      <c r="V9802" s="33">
        <f>IFERROR(__xludf.DUMMYFUNCTION("""COMPUTED_VALUE"""),1.0)</f>
        <v>1</v>
      </c>
      <c r="W9802" s="4" t="str">
        <f>IFERROR(__xludf.DUMMYFUNCTION("""COMPUTED_VALUE"""),"One Solucoes")</f>
        <v>One Solucoes</v>
      </c>
      <c r="X9802" s="33">
        <f>IFERROR(__xludf.DUMMYFUNCTION("""COMPUTED_VALUE"""),1.0)</f>
        <v>1</v>
      </c>
    </row>
    <row r="9803">
      <c r="K9803" s="4" t="str">
        <f>IFERROR(__xludf.DUMMYFUNCTION("""COMPUTED_VALUE"""),"DOGS")</f>
        <v>DOGS</v>
      </c>
      <c r="L9803" s="32">
        <f>IFERROR(__xludf.DUMMYFUNCTION("""COMPUTED_VALUE"""),1.0)</f>
        <v>1</v>
      </c>
      <c r="M9803" s="4" t="str">
        <f>IFERROR(__xludf.DUMMYFUNCTION("""COMPUTED_VALUE"""),"null")</f>
        <v>null</v>
      </c>
      <c r="N9803" s="33">
        <f>IFERROR(__xludf.DUMMYFUNCTION("""COMPUTED_VALUE"""),1.0)</f>
        <v>1</v>
      </c>
      <c r="O9803" s="4" t="str">
        <f>IFERROR(__xludf.DUMMYFUNCTION("""COMPUTED_VALUE"""),"null")</f>
        <v>null</v>
      </c>
      <c r="P9803" s="33">
        <f>IFERROR(__xludf.DUMMYFUNCTION("""COMPUTED_VALUE"""),1.0)</f>
        <v>1</v>
      </c>
      <c r="Q9803" s="4" t="str">
        <f>IFERROR(__xludf.DUMMYFUNCTION("""COMPUTED_VALUE"""),"null")</f>
        <v>null</v>
      </c>
      <c r="R9803" s="33">
        <f>IFERROR(__xludf.DUMMYFUNCTION("""COMPUTED_VALUE"""),1.0)</f>
        <v>1</v>
      </c>
      <c r="S9803" s="4" t="str">
        <f>IFERROR(__xludf.DUMMYFUNCTION("""COMPUTED_VALUE"""),"null")</f>
        <v>null</v>
      </c>
      <c r="T9803" s="33">
        <f>IFERROR(__xludf.DUMMYFUNCTION("""COMPUTED_VALUE"""),1.0)</f>
        <v>1</v>
      </c>
      <c r="U9803" s="4" t="str">
        <f>IFERROR(__xludf.DUMMYFUNCTION("""COMPUTED_VALUE"""),"Saipos Serviços De Software")</f>
        <v>Saipos Serviços De Software</v>
      </c>
      <c r="V9803" s="33">
        <f>IFERROR(__xludf.DUMMYFUNCTION("""COMPUTED_VALUE"""),1.0)</f>
        <v>1</v>
      </c>
      <c r="W9803" s="4" t="str">
        <f>IFERROR(__xludf.DUMMYFUNCTION("""COMPUTED_VALUE"""),"Saipos Serviços De Software")</f>
        <v>Saipos Serviços De Software</v>
      </c>
      <c r="X9803" s="33">
        <f>IFERROR(__xludf.DUMMYFUNCTION("""COMPUTED_VALUE"""),1.0)</f>
        <v>1</v>
      </c>
    </row>
    <row r="9804">
      <c r="K9804" s="4" t="str">
        <f>IFERROR(__xludf.DUMMYFUNCTION("""COMPUTED_VALUE"""),"ROCK SMASH BURGUER")</f>
        <v>ROCK SMASH BURGUER</v>
      </c>
      <c r="L9804" s="32">
        <f>IFERROR(__xludf.DUMMYFUNCTION("""COMPUTED_VALUE"""),1.0)</f>
        <v>1</v>
      </c>
      <c r="M9804" s="4" t="str">
        <f>IFERROR(__xludf.DUMMYFUNCTION("""COMPUTED_VALUE"""),"Netcontroll Xmenu")</f>
        <v>Netcontroll Xmenu</v>
      </c>
      <c r="N9804" s="33">
        <f>IFERROR(__xludf.DUMMYFUNCTION("""COMPUTED_VALUE"""),1.0)</f>
        <v>1</v>
      </c>
      <c r="O9804" s="4" t="str">
        <f>IFERROR(__xludf.DUMMYFUNCTION("""COMPUTED_VALUE"""),"Netcontroll Xmenu")</f>
        <v>Netcontroll Xmenu</v>
      </c>
      <c r="P9804" s="33">
        <f>IFERROR(__xludf.DUMMYFUNCTION("""COMPUTED_VALUE"""),1.0)</f>
        <v>1</v>
      </c>
      <c r="Q9804" s="4" t="str">
        <f>IFERROR(__xludf.DUMMYFUNCTION("""COMPUTED_VALUE"""),"null")</f>
        <v>null</v>
      </c>
      <c r="R9804" s="33">
        <f>IFERROR(__xludf.DUMMYFUNCTION("""COMPUTED_VALUE"""),1.0)</f>
        <v>1</v>
      </c>
      <c r="S9804" s="4" t="str">
        <f>IFERROR(__xludf.DUMMYFUNCTION("""COMPUTED_VALUE"""),"null")</f>
        <v>null</v>
      </c>
      <c r="T9804" s="33">
        <f>IFERROR(__xludf.DUMMYFUNCTION("""COMPUTED_VALUE"""),1.0)</f>
        <v>1</v>
      </c>
      <c r="U9804" s="4" t="str">
        <f>IFERROR(__xludf.DUMMYFUNCTION("""COMPUTED_VALUE"""),"null")</f>
        <v>null</v>
      </c>
      <c r="V9804" s="33">
        <f>IFERROR(__xludf.DUMMYFUNCTION("""COMPUTED_VALUE"""),1.0)</f>
        <v>1</v>
      </c>
      <c r="W9804" s="4" t="str">
        <f>IFERROR(__xludf.DUMMYFUNCTION("""COMPUTED_VALUE"""),"null")</f>
        <v>null</v>
      </c>
      <c r="X9804" s="33">
        <f>IFERROR(__xludf.DUMMYFUNCTION("""COMPUTED_VALUE"""),1.0)</f>
        <v>1</v>
      </c>
    </row>
    <row r="9805">
      <c r="K9805" s="4" t="str">
        <f>IFERROR(__xludf.DUMMYFUNCTION("""COMPUTED_VALUE"""),"SR CHIKO - FRANGO FRITO")</f>
        <v>SR CHIKO - FRANGO FRITO</v>
      </c>
      <c r="L9805" s="32">
        <f>IFERROR(__xludf.DUMMYFUNCTION("""COMPUTED_VALUE"""),1.0)</f>
        <v>1</v>
      </c>
      <c r="M9805" s="4" t="str">
        <f>IFERROR(__xludf.DUMMYFUNCTION("""COMPUTED_VALUE"""),"Saipos Serviços De Software")</f>
        <v>Saipos Serviços De Software</v>
      </c>
      <c r="N9805" s="33">
        <f>IFERROR(__xludf.DUMMYFUNCTION("""COMPUTED_VALUE"""),1.0)</f>
        <v>1</v>
      </c>
      <c r="O9805" s="4" t="str">
        <f>IFERROR(__xludf.DUMMYFUNCTION("""COMPUTED_VALUE"""),"Saipos Serviços De Software")</f>
        <v>Saipos Serviços De Software</v>
      </c>
      <c r="P9805" s="33">
        <f>IFERROR(__xludf.DUMMYFUNCTION("""COMPUTED_VALUE"""),1.0)</f>
        <v>1</v>
      </c>
      <c r="Q9805" s="4" t="str">
        <f>IFERROR(__xludf.DUMMYFUNCTION("""COMPUTED_VALUE"""),"Saipos Serviços De Software")</f>
        <v>Saipos Serviços De Software</v>
      </c>
      <c r="R9805" s="33">
        <f>IFERROR(__xludf.DUMMYFUNCTION("""COMPUTED_VALUE"""),1.0)</f>
        <v>1</v>
      </c>
      <c r="S9805" s="4" t="str">
        <f>IFERROR(__xludf.DUMMYFUNCTION("""COMPUTED_VALUE"""),"Saipos Serviços De Software")</f>
        <v>Saipos Serviços De Software</v>
      </c>
      <c r="T9805" s="33">
        <f>IFERROR(__xludf.DUMMYFUNCTION("""COMPUTED_VALUE"""),1.0)</f>
        <v>1</v>
      </c>
      <c r="U9805" s="4" t="str">
        <f>IFERROR(__xludf.DUMMYFUNCTION("""COMPUTED_VALUE"""),"Saipos Serviços De Software")</f>
        <v>Saipos Serviços De Software</v>
      </c>
      <c r="V9805" s="33">
        <f>IFERROR(__xludf.DUMMYFUNCTION("""COMPUTED_VALUE"""),1.0)</f>
        <v>1</v>
      </c>
      <c r="W9805" s="4" t="str">
        <f>IFERROR(__xludf.DUMMYFUNCTION("""COMPUTED_VALUE"""),"null")</f>
        <v>null</v>
      </c>
      <c r="X9805" s="33">
        <f>IFERROR(__xludf.DUMMYFUNCTION("""COMPUTED_VALUE"""),1.0)</f>
        <v>1</v>
      </c>
    </row>
    <row r="9806">
      <c r="K9806" s="4" t="str">
        <f>IFERROR(__xludf.DUMMYFUNCTION("""COMPUTED_VALUE"""),"UPFARMA POPULAR LOJA 02- JD DAS PALMAS")</f>
        <v>UPFARMA POPULAR LOJA 02- JD DAS PALMAS</v>
      </c>
      <c r="L9806" s="32">
        <f>IFERROR(__xludf.DUMMYFUNCTION("""COMPUTED_VALUE"""),1.0)</f>
        <v>1</v>
      </c>
      <c r="M9806" s="4" t="str">
        <f>IFERROR(__xludf.DUMMYFUNCTION("""COMPUTED_VALUE"""),"N/A (Not found)")</f>
        <v>N/A (Not found)</v>
      </c>
      <c r="N9806" s="33">
        <f>IFERROR(__xludf.DUMMYFUNCTION("""COMPUTED_VALUE"""),1.0)</f>
        <v>1</v>
      </c>
      <c r="O9806" s="4" t="str">
        <f>IFERROR(__xludf.DUMMYFUNCTION("""COMPUTED_VALUE"""),"N/A (Not found)")</f>
        <v>N/A (Not found)</v>
      </c>
      <c r="P9806" s="33">
        <f>IFERROR(__xludf.DUMMYFUNCTION("""COMPUTED_VALUE"""),1.0)</f>
        <v>1</v>
      </c>
      <c r="Q9806" s="4" t="str">
        <f>IFERROR(__xludf.DUMMYFUNCTION("""COMPUTED_VALUE"""),"N/A (Not found)")</f>
        <v>N/A (Not found)</v>
      </c>
      <c r="R9806" s="33">
        <f>IFERROR(__xludf.DUMMYFUNCTION("""COMPUTED_VALUE"""),1.0)</f>
        <v>1</v>
      </c>
      <c r="S9806" s="4" t="str">
        <f>IFERROR(__xludf.DUMMYFUNCTION("""COMPUTED_VALUE"""),"N/A (Not found)")</f>
        <v>N/A (Not found)</v>
      </c>
      <c r="T9806" s="33">
        <f>IFERROR(__xludf.DUMMYFUNCTION("""COMPUTED_VALUE"""),1.0)</f>
        <v>1</v>
      </c>
      <c r="U9806" s="4" t="str">
        <f>IFERROR(__xludf.DUMMYFUNCTION("""COMPUTED_VALUE"""),"N/A (Not found)")</f>
        <v>N/A (Not found)</v>
      </c>
      <c r="V9806" s="33">
        <f>IFERROR(__xludf.DUMMYFUNCTION("""COMPUTED_VALUE"""),1.0)</f>
        <v>1</v>
      </c>
      <c r="W9806" s="4" t="str">
        <f>IFERROR(__xludf.DUMMYFUNCTION("""COMPUTED_VALUE"""),"N/A (Not found)")</f>
        <v>N/A (Not found)</v>
      </c>
      <c r="X9806" s="33">
        <f>IFERROR(__xludf.DUMMYFUNCTION("""COMPUTED_VALUE"""),1.0)</f>
        <v>1</v>
      </c>
    </row>
    <row r="9807">
      <c r="K9807" s="4" t="str">
        <f>IFERROR(__xludf.DUMMYFUNCTION("""COMPUTED_VALUE"""),"BRASILEIRISSE LANCHES REFEICAO BALNEARIO CAMBORIU")</f>
        <v>BRASILEIRISSE LANCHES REFEICAO BALNEARIO CAMBORIU</v>
      </c>
      <c r="L9807" s="32">
        <f>IFERROR(__xludf.DUMMYFUNCTION("""COMPUTED_VALUE"""),1.0)</f>
        <v>1</v>
      </c>
      <c r="M9807" s="4" t="str">
        <f>IFERROR(__xludf.DUMMYFUNCTION("""COMPUTED_VALUE"""),"Connectplug")</f>
        <v>Connectplug</v>
      </c>
      <c r="N9807" s="33">
        <f>IFERROR(__xludf.DUMMYFUNCTION("""COMPUTED_VALUE"""),1.0)</f>
        <v>1</v>
      </c>
      <c r="O9807" s="4" t="str">
        <f>IFERROR(__xludf.DUMMYFUNCTION("""COMPUTED_VALUE"""),"Connectplug")</f>
        <v>Connectplug</v>
      </c>
      <c r="P9807" s="33">
        <f>IFERROR(__xludf.DUMMYFUNCTION("""COMPUTED_VALUE"""),1.0)</f>
        <v>1</v>
      </c>
      <c r="Q9807" s="4" t="str">
        <f>IFERROR(__xludf.DUMMYFUNCTION("""COMPUTED_VALUE"""),"Connectplug")</f>
        <v>Connectplug</v>
      </c>
      <c r="R9807" s="33">
        <f>IFERROR(__xludf.DUMMYFUNCTION("""COMPUTED_VALUE"""),1.0)</f>
        <v>1</v>
      </c>
      <c r="S9807" s="4" t="str">
        <f>IFERROR(__xludf.DUMMYFUNCTION("""COMPUTED_VALUE"""),"Connectplug")</f>
        <v>Connectplug</v>
      </c>
      <c r="T9807" s="33">
        <f>IFERROR(__xludf.DUMMYFUNCTION("""COMPUTED_VALUE"""),1.0)</f>
        <v>1</v>
      </c>
      <c r="U9807" s="4" t="str">
        <f>IFERROR(__xludf.DUMMYFUNCTION("""COMPUTED_VALUE"""),"Connectplug")</f>
        <v>Connectplug</v>
      </c>
      <c r="V9807" s="33">
        <f>IFERROR(__xludf.DUMMYFUNCTION("""COMPUTED_VALUE"""),1.0)</f>
        <v>1</v>
      </c>
      <c r="W9807" s="4" t="str">
        <f>IFERROR(__xludf.DUMMYFUNCTION("""COMPUTED_VALUE"""),"Connectplug")</f>
        <v>Connectplug</v>
      </c>
      <c r="X9807" s="33">
        <f>IFERROR(__xludf.DUMMYFUNCTION("""COMPUTED_VALUE"""),1.0)</f>
        <v>1</v>
      </c>
    </row>
    <row r="9808">
      <c r="K9808" s="4" t="str">
        <f>IFERROR(__xludf.DUMMYFUNCTION("""COMPUTED_VALUE"""),"CASA DE RACAO SANTA INES")</f>
        <v>CASA DE RACAO SANTA INES</v>
      </c>
      <c r="L9808" s="32">
        <f>IFERROR(__xludf.DUMMYFUNCTION("""COMPUTED_VALUE"""),1.0)</f>
        <v>1</v>
      </c>
      <c r="M9808" s="4" t="str">
        <f>IFERROR(__xludf.DUMMYFUNCTION("""COMPUTED_VALUE"""),"null")</f>
        <v>null</v>
      </c>
      <c r="N9808" s="33">
        <f>IFERROR(__xludf.DUMMYFUNCTION("""COMPUTED_VALUE"""),1.0)</f>
        <v>1</v>
      </c>
      <c r="O9808" s="4" t="str">
        <f>IFERROR(__xludf.DUMMYFUNCTION("""COMPUTED_VALUE"""),"N/A (Not found)")</f>
        <v>N/A (Not found)</v>
      </c>
      <c r="P9808" s="33">
        <f>IFERROR(__xludf.DUMMYFUNCTION("""COMPUTED_VALUE"""),1.0)</f>
        <v>1</v>
      </c>
      <c r="Q9808" s="4" t="str">
        <f>IFERROR(__xludf.DUMMYFUNCTION("""COMPUTED_VALUE"""),"N/A (Not found)")</f>
        <v>N/A (Not found)</v>
      </c>
      <c r="R9808" s="33">
        <f>IFERROR(__xludf.DUMMYFUNCTION("""COMPUTED_VALUE"""),1.0)</f>
        <v>1</v>
      </c>
      <c r="S9808" s="4" t="str">
        <f>IFERROR(__xludf.DUMMYFUNCTION("""COMPUTED_VALUE"""),"N/A (Not found)")</f>
        <v>N/A (Not found)</v>
      </c>
      <c r="T9808" s="33">
        <f>IFERROR(__xludf.DUMMYFUNCTION("""COMPUTED_VALUE"""),1.0)</f>
        <v>1</v>
      </c>
      <c r="U9808" s="4" t="str">
        <f>IFERROR(__xludf.DUMMYFUNCTION("""COMPUTED_VALUE"""),"N/A (Not found)")</f>
        <v>N/A (Not found)</v>
      </c>
      <c r="V9808" s="33">
        <f>IFERROR(__xludf.DUMMYFUNCTION("""COMPUTED_VALUE"""),1.0)</f>
        <v>1</v>
      </c>
      <c r="W9808" s="4" t="str">
        <f>IFERROR(__xludf.DUMMYFUNCTION("""COMPUTED_VALUE"""),"N/A (Not found)")</f>
        <v>N/A (Not found)</v>
      </c>
      <c r="X9808" s="33">
        <f>IFERROR(__xludf.DUMMYFUNCTION("""COMPUTED_VALUE"""),1.0)</f>
        <v>1</v>
      </c>
    </row>
    <row r="9809">
      <c r="K9809" s="4" t="str">
        <f>IFERROR(__xludf.DUMMYFUNCTION("""COMPUTED_VALUE"""),"PIZZARIA MASSA E ARTE - JARDIM AMERICA")</f>
        <v>PIZZARIA MASSA E ARTE - JARDIM AMERICA</v>
      </c>
      <c r="L9809" s="32">
        <f>IFERROR(__xludf.DUMMYFUNCTION("""COMPUTED_VALUE"""),1.0)</f>
        <v>1</v>
      </c>
      <c r="M9809" s="4" t="str">
        <f>IFERROR(__xludf.DUMMYFUNCTION("""COMPUTED_VALUE"""),"null")</f>
        <v>null</v>
      </c>
      <c r="N9809" s="33">
        <f>IFERROR(__xludf.DUMMYFUNCTION("""COMPUTED_VALUE"""),1.0)</f>
        <v>1</v>
      </c>
      <c r="O9809" s="4" t="str">
        <f>IFERROR(__xludf.DUMMYFUNCTION("""COMPUTED_VALUE"""),"Saipos Serviços De Software")</f>
        <v>Saipos Serviços De Software</v>
      </c>
      <c r="P9809" s="33">
        <f>IFERROR(__xludf.DUMMYFUNCTION("""COMPUTED_VALUE"""),1.0)</f>
        <v>1</v>
      </c>
      <c r="Q9809" s="4" t="str">
        <f>IFERROR(__xludf.DUMMYFUNCTION("""COMPUTED_VALUE"""),"Saipos Serviços De Software")</f>
        <v>Saipos Serviços De Software</v>
      </c>
      <c r="R9809" s="33">
        <f>IFERROR(__xludf.DUMMYFUNCTION("""COMPUTED_VALUE"""),1.0)</f>
        <v>1</v>
      </c>
      <c r="S9809" s="4" t="str">
        <f>IFERROR(__xludf.DUMMYFUNCTION("""COMPUTED_VALUE"""),"Saipos Serviços De Software")</f>
        <v>Saipos Serviços De Software</v>
      </c>
      <c r="T9809" s="33">
        <f>IFERROR(__xludf.DUMMYFUNCTION("""COMPUTED_VALUE"""),1.0)</f>
        <v>1</v>
      </c>
      <c r="U9809" s="4" t="str">
        <f>IFERROR(__xludf.DUMMYFUNCTION("""COMPUTED_VALUE"""),"Saipos Serviços De Software")</f>
        <v>Saipos Serviços De Software</v>
      </c>
      <c r="V9809" s="33">
        <f>IFERROR(__xludf.DUMMYFUNCTION("""COMPUTED_VALUE"""),1.0)</f>
        <v>1</v>
      </c>
      <c r="W9809" s="4" t="str">
        <f>IFERROR(__xludf.DUMMYFUNCTION("""COMPUTED_VALUE"""),"Saipos Serviços De Software")</f>
        <v>Saipos Serviços De Software</v>
      </c>
      <c r="X9809" s="33">
        <f>IFERROR(__xludf.DUMMYFUNCTION("""COMPUTED_VALUE"""),1.0)</f>
        <v>1</v>
      </c>
    </row>
    <row r="9810">
      <c r="K9810" s="4" t="str">
        <f>IFERROR(__xludf.DUMMYFUNCTION("""COMPUTED_VALUE"""),"THEO FOODS - HAMBURGUERIA, LANCHES E XIS")</f>
        <v>THEO FOODS - HAMBURGUERIA, LANCHES E XIS</v>
      </c>
      <c r="L9810" s="32">
        <f>IFERROR(__xludf.DUMMYFUNCTION("""COMPUTED_VALUE"""),1.0)</f>
        <v>1</v>
      </c>
      <c r="M9810" s="4" t="str">
        <f>IFERROR(__xludf.DUMMYFUNCTION("""COMPUTED_VALUE"""),"null")</f>
        <v>null</v>
      </c>
      <c r="N9810" s="33">
        <f>IFERROR(__xludf.DUMMYFUNCTION("""COMPUTED_VALUE"""),1.0)</f>
        <v>1</v>
      </c>
      <c r="O9810" s="4" t="str">
        <f>IFERROR(__xludf.DUMMYFUNCTION("""COMPUTED_VALUE"""),"null")</f>
        <v>null</v>
      </c>
      <c r="P9810" s="33">
        <f>IFERROR(__xludf.DUMMYFUNCTION("""COMPUTED_VALUE"""),1.0)</f>
        <v>1</v>
      </c>
      <c r="Q9810" s="4" t="str">
        <f>IFERROR(__xludf.DUMMYFUNCTION("""COMPUTED_VALUE"""),"Saipos Serviços De Software")</f>
        <v>Saipos Serviços De Software</v>
      </c>
      <c r="R9810" s="33">
        <f>IFERROR(__xludf.DUMMYFUNCTION("""COMPUTED_VALUE"""),1.0)</f>
        <v>1</v>
      </c>
      <c r="S9810" s="4" t="str">
        <f>IFERROR(__xludf.DUMMYFUNCTION("""COMPUTED_VALUE"""),"Saipos Serviços De Software")</f>
        <v>Saipos Serviços De Software</v>
      </c>
      <c r="T9810" s="33">
        <f>IFERROR(__xludf.DUMMYFUNCTION("""COMPUTED_VALUE"""),1.0)</f>
        <v>1</v>
      </c>
      <c r="U9810" s="4" t="str">
        <f>IFERROR(__xludf.DUMMYFUNCTION("""COMPUTED_VALUE"""),"Saipos Serviços De Software")</f>
        <v>Saipos Serviços De Software</v>
      </c>
      <c r="V9810" s="33">
        <f>IFERROR(__xludf.DUMMYFUNCTION("""COMPUTED_VALUE"""),1.0)</f>
        <v>1</v>
      </c>
      <c r="W9810" s="4" t="str">
        <f>IFERROR(__xludf.DUMMYFUNCTION("""COMPUTED_VALUE"""),"Saipos Serviços De Software")</f>
        <v>Saipos Serviços De Software</v>
      </c>
      <c r="X9810" s="33">
        <f>IFERROR(__xludf.DUMMYFUNCTION("""COMPUTED_VALUE"""),1.0)</f>
        <v>1</v>
      </c>
    </row>
    <row r="9811">
      <c r="K9811" s="4" t="str">
        <f>IFERROR(__xludf.DUMMYFUNCTION("""COMPUTED_VALUE"""),"CAJUEIRO ESPETINHO GRILL")</f>
        <v>CAJUEIRO ESPETINHO GRILL</v>
      </c>
      <c r="L9811" s="32">
        <f>IFERROR(__xludf.DUMMYFUNCTION("""COMPUTED_VALUE"""),1.0)</f>
        <v>1</v>
      </c>
      <c r="M9811" s="4" t="str">
        <f>IFERROR(__xludf.DUMMYFUNCTION("""COMPUTED_VALUE"""),"null")</f>
        <v>null</v>
      </c>
      <c r="N9811" s="33">
        <f>IFERROR(__xludf.DUMMYFUNCTION("""COMPUTED_VALUE"""),1.0)</f>
        <v>1</v>
      </c>
      <c r="O9811" s="4" t="str">
        <f>IFERROR(__xludf.DUMMYFUNCTION("""COMPUTED_VALUE"""),"null")</f>
        <v>null</v>
      </c>
      <c r="P9811" s="33">
        <f>IFERROR(__xludf.DUMMYFUNCTION("""COMPUTED_VALUE"""),1.0)</f>
        <v>1</v>
      </c>
      <c r="Q9811" s="4" t="str">
        <f>IFERROR(__xludf.DUMMYFUNCTION("""COMPUTED_VALUE"""),"null")</f>
        <v>null</v>
      </c>
      <c r="R9811" s="33">
        <f>IFERROR(__xludf.DUMMYFUNCTION("""COMPUTED_VALUE"""),1.0)</f>
        <v>1</v>
      </c>
      <c r="S9811" s="4" t="str">
        <f>IFERROR(__xludf.DUMMYFUNCTION("""COMPUTED_VALUE"""),"Saipos Serviços De Software")</f>
        <v>Saipos Serviços De Software</v>
      </c>
      <c r="T9811" s="33">
        <f>IFERROR(__xludf.DUMMYFUNCTION("""COMPUTED_VALUE"""),1.0)</f>
        <v>1</v>
      </c>
      <c r="U9811" s="4" t="str">
        <f>IFERROR(__xludf.DUMMYFUNCTION("""COMPUTED_VALUE"""),"Saipos Serviços De Software")</f>
        <v>Saipos Serviços De Software</v>
      </c>
      <c r="V9811" s="33">
        <f>IFERROR(__xludf.DUMMYFUNCTION("""COMPUTED_VALUE"""),1.0)</f>
        <v>1</v>
      </c>
      <c r="W9811" s="4" t="str">
        <f>IFERROR(__xludf.DUMMYFUNCTION("""COMPUTED_VALUE"""),"Saipos Serviços De Software")</f>
        <v>Saipos Serviços De Software</v>
      </c>
      <c r="X9811" s="33">
        <f>IFERROR(__xludf.DUMMYFUNCTION("""COMPUTED_VALUE"""),1.0)</f>
        <v>1</v>
      </c>
    </row>
    <row r="9812">
      <c r="K9812" s="4" t="str">
        <f>IFERROR(__xludf.DUMMYFUNCTION("""COMPUTED_VALUE"""),"BOLINHA BEBIDAS")</f>
        <v>BOLINHA BEBIDAS</v>
      </c>
      <c r="L9812" s="32">
        <f>IFERROR(__xludf.DUMMYFUNCTION("""COMPUTED_VALUE"""),1.0)</f>
        <v>1</v>
      </c>
      <c r="M9812" s="4" t="str">
        <f>IFERROR(__xludf.DUMMYFUNCTION("""COMPUTED_VALUE"""),"N/A (Not found)")</f>
        <v>N/A (Not found)</v>
      </c>
      <c r="N9812" s="33">
        <f>IFERROR(__xludf.DUMMYFUNCTION("""COMPUTED_VALUE"""),1.0)</f>
        <v>1</v>
      </c>
      <c r="O9812" s="4" t="str">
        <f>IFERROR(__xludf.DUMMYFUNCTION("""COMPUTED_VALUE"""),"N/A (Not found)")</f>
        <v>N/A (Not found)</v>
      </c>
      <c r="P9812" s="33">
        <f>IFERROR(__xludf.DUMMYFUNCTION("""COMPUTED_VALUE"""),1.0)</f>
        <v>1</v>
      </c>
      <c r="Q9812" s="4" t="str">
        <f>IFERROR(__xludf.DUMMYFUNCTION("""COMPUTED_VALUE"""),"N/A (Not found)")</f>
        <v>N/A (Not found)</v>
      </c>
      <c r="R9812" s="33">
        <f>IFERROR(__xludf.DUMMYFUNCTION("""COMPUTED_VALUE"""),1.0)</f>
        <v>1</v>
      </c>
      <c r="S9812" s="4" t="str">
        <f>IFERROR(__xludf.DUMMYFUNCTION("""COMPUTED_VALUE"""),"N/A (Not found)")</f>
        <v>N/A (Not found)</v>
      </c>
      <c r="T9812" s="33">
        <f>IFERROR(__xludf.DUMMYFUNCTION("""COMPUTED_VALUE"""),1.0)</f>
        <v>1</v>
      </c>
      <c r="U9812" s="4" t="str">
        <f>IFERROR(__xludf.DUMMYFUNCTION("""COMPUTED_VALUE"""),"N/A (Not found)")</f>
        <v>N/A (Not found)</v>
      </c>
      <c r="V9812" s="33">
        <f>IFERROR(__xludf.DUMMYFUNCTION("""COMPUTED_VALUE"""),1.0)</f>
        <v>1</v>
      </c>
      <c r="W9812" s="4" t="str">
        <f>IFERROR(__xludf.DUMMYFUNCTION("""COMPUTED_VALUE"""),"N/A (Not found)")</f>
        <v>N/A (Not found)</v>
      </c>
      <c r="X9812" s="33">
        <f>IFERROR(__xludf.DUMMYFUNCTION("""COMPUTED_VALUE"""),1.0)</f>
        <v>1</v>
      </c>
    </row>
    <row r="9813">
      <c r="K9813" s="4" t="str">
        <f>IFERROR(__xludf.DUMMYFUNCTION("""COMPUTED_VALUE"""),"CASEIRINHOS DA DANI")</f>
        <v>CASEIRINHOS DA DANI</v>
      </c>
      <c r="L9813" s="32">
        <f>IFERROR(__xludf.DUMMYFUNCTION("""COMPUTED_VALUE"""),1.0)</f>
        <v>1</v>
      </c>
      <c r="M9813" s="4" t="str">
        <f>IFERROR(__xludf.DUMMYFUNCTION("""COMPUTED_VALUE"""),"Instadelivery")</f>
        <v>Instadelivery</v>
      </c>
      <c r="N9813" s="33">
        <f>IFERROR(__xludf.DUMMYFUNCTION("""COMPUTED_VALUE"""),1.0)</f>
        <v>1</v>
      </c>
      <c r="O9813" s="4" t="str">
        <f>IFERROR(__xludf.DUMMYFUNCTION("""COMPUTED_VALUE"""),"null")</f>
        <v>null</v>
      </c>
      <c r="P9813" s="33">
        <f>IFERROR(__xludf.DUMMYFUNCTION("""COMPUTED_VALUE"""),1.0)</f>
        <v>1</v>
      </c>
      <c r="Q9813" s="4" t="str">
        <f>IFERROR(__xludf.DUMMYFUNCTION("""COMPUTED_VALUE"""),"Instadelivery")</f>
        <v>Instadelivery</v>
      </c>
      <c r="R9813" s="33">
        <f>IFERROR(__xludf.DUMMYFUNCTION("""COMPUTED_VALUE"""),1.0)</f>
        <v>1</v>
      </c>
      <c r="S9813" s="4" t="str">
        <f>IFERROR(__xludf.DUMMYFUNCTION("""COMPUTED_VALUE"""),"Instadelivery")</f>
        <v>Instadelivery</v>
      </c>
      <c r="T9813" s="33">
        <f>IFERROR(__xludf.DUMMYFUNCTION("""COMPUTED_VALUE"""),1.0)</f>
        <v>1</v>
      </c>
      <c r="U9813" s="4" t="str">
        <f>IFERROR(__xludf.DUMMYFUNCTION("""COMPUTED_VALUE"""),"Instadelivery")</f>
        <v>Instadelivery</v>
      </c>
      <c r="V9813" s="33">
        <f>IFERROR(__xludf.DUMMYFUNCTION("""COMPUTED_VALUE"""),1.0)</f>
        <v>1</v>
      </c>
      <c r="W9813" s="4" t="str">
        <f>IFERROR(__xludf.DUMMYFUNCTION("""COMPUTED_VALUE"""),"null")</f>
        <v>null</v>
      </c>
      <c r="X9813" s="33">
        <f>IFERROR(__xludf.DUMMYFUNCTION("""COMPUTED_VALUE"""),1.0)</f>
        <v>1</v>
      </c>
    </row>
    <row r="9814">
      <c r="K9814" s="4" t="str">
        <f>IFERROR(__xludf.DUMMYFUNCTION("""COMPUTED_VALUE"""),"MARMITARIA DA VOVO")</f>
        <v>MARMITARIA DA VOVO</v>
      </c>
      <c r="L9814" s="32">
        <f>IFERROR(__xludf.DUMMYFUNCTION("""COMPUTED_VALUE"""),1.0)</f>
        <v>1</v>
      </c>
      <c r="M9814" s="4" t="str">
        <f>IFERROR(__xludf.DUMMYFUNCTION("""COMPUTED_VALUE"""),"null")</f>
        <v>null</v>
      </c>
      <c r="N9814" s="33">
        <f>IFERROR(__xludf.DUMMYFUNCTION("""COMPUTED_VALUE"""),1.0)</f>
        <v>1</v>
      </c>
      <c r="O9814" s="4" t="str">
        <f>IFERROR(__xludf.DUMMYFUNCTION("""COMPUTED_VALUE"""),"null")</f>
        <v>null</v>
      </c>
      <c r="P9814" s="33">
        <f>IFERROR(__xludf.DUMMYFUNCTION("""COMPUTED_VALUE"""),1.0)</f>
        <v>1</v>
      </c>
      <c r="Q9814" s="4" t="str">
        <f>IFERROR(__xludf.DUMMYFUNCTION("""COMPUTED_VALUE"""),"null")</f>
        <v>null</v>
      </c>
      <c r="R9814" s="33">
        <f>IFERROR(__xludf.DUMMYFUNCTION("""COMPUTED_VALUE"""),1.0)</f>
        <v>1</v>
      </c>
      <c r="S9814" s="4" t="str">
        <f>IFERROR(__xludf.DUMMYFUNCTION("""COMPUTED_VALUE"""),"null")</f>
        <v>null</v>
      </c>
      <c r="T9814" s="33">
        <f>IFERROR(__xludf.DUMMYFUNCTION("""COMPUTED_VALUE"""),1.0)</f>
        <v>1</v>
      </c>
      <c r="U9814" s="4" t="str">
        <f>IFERROR(__xludf.DUMMYFUNCTION("""COMPUTED_VALUE"""),"Consumer Soluções Em Tecnologia Ltda")</f>
        <v>Consumer Soluções Em Tecnologia Ltda</v>
      </c>
      <c r="V9814" s="33">
        <f>IFERROR(__xludf.DUMMYFUNCTION("""COMPUTED_VALUE"""),1.0)</f>
        <v>1</v>
      </c>
      <c r="W9814" s="4" t="str">
        <f>IFERROR(__xludf.DUMMYFUNCTION("""COMPUTED_VALUE"""),"null")</f>
        <v>null</v>
      </c>
      <c r="X9814" s="33">
        <f>IFERROR(__xludf.DUMMYFUNCTION("""COMPUTED_VALUE"""),1.0)</f>
        <v>1</v>
      </c>
    </row>
    <row r="9815">
      <c r="K9815" s="4" t="str">
        <f>IFERROR(__xludf.DUMMYFUNCTION("""COMPUTED_VALUE"""),"FARMACIA PIONEIRA CELESTE")</f>
        <v>FARMACIA PIONEIRA CELESTE</v>
      </c>
      <c r="L9815" s="32">
        <f>IFERROR(__xludf.DUMMYFUNCTION("""COMPUTED_VALUE"""),1.0)</f>
        <v>1</v>
      </c>
      <c r="M9815" s="4" t="str">
        <f>IFERROR(__xludf.DUMMYFUNCTION("""COMPUTED_VALUE"""),"null")</f>
        <v>null</v>
      </c>
      <c r="N9815" s="33">
        <f>IFERROR(__xludf.DUMMYFUNCTION("""COMPUTED_VALUE"""),1.0)</f>
        <v>1</v>
      </c>
      <c r="O9815" s="4" t="str">
        <f>IFERROR(__xludf.DUMMYFUNCTION("""COMPUTED_VALUE"""),"null")</f>
        <v>null</v>
      </c>
      <c r="P9815" s="33">
        <f>IFERROR(__xludf.DUMMYFUNCTION("""COMPUTED_VALUE"""),1.0)</f>
        <v>1</v>
      </c>
      <c r="Q9815" s="4" t="str">
        <f>IFERROR(__xludf.DUMMYFUNCTION("""COMPUTED_VALUE"""),"null")</f>
        <v>null</v>
      </c>
      <c r="R9815" s="33">
        <f>IFERROR(__xludf.DUMMYFUNCTION("""COMPUTED_VALUE"""),1.0)</f>
        <v>1</v>
      </c>
      <c r="S9815" s="4" t="str">
        <f>IFERROR(__xludf.DUMMYFUNCTION("""COMPUTED_VALUE"""),"N/A (Not found)")</f>
        <v>N/A (Not found)</v>
      </c>
      <c r="T9815" s="33">
        <f>IFERROR(__xludf.DUMMYFUNCTION("""COMPUTED_VALUE"""),1.0)</f>
        <v>1</v>
      </c>
      <c r="U9815" s="4" t="str">
        <f>IFERROR(__xludf.DUMMYFUNCTION("""COMPUTED_VALUE"""),"N/A (Not found)")</f>
        <v>N/A (Not found)</v>
      </c>
      <c r="V9815" s="33">
        <f>IFERROR(__xludf.DUMMYFUNCTION("""COMPUTED_VALUE"""),1.0)</f>
        <v>1</v>
      </c>
      <c r="W9815" s="4" t="str">
        <f>IFERROR(__xludf.DUMMYFUNCTION("""COMPUTED_VALUE"""),"N/A (Not found)")</f>
        <v>N/A (Not found)</v>
      </c>
      <c r="X9815" s="33">
        <f>IFERROR(__xludf.DUMMYFUNCTION("""COMPUTED_VALUE"""),1.0)</f>
        <v>1</v>
      </c>
    </row>
    <row r="9816">
      <c r="K9816" s="4" t="str">
        <f>IFERROR(__xludf.DUMMYFUNCTION("""COMPUTED_VALUE"""),"NALVS HAMBURGUERIA")</f>
        <v>NALVS HAMBURGUERIA</v>
      </c>
      <c r="L9816" s="32">
        <f>IFERROR(__xludf.DUMMYFUNCTION("""COMPUTED_VALUE"""),1.0)</f>
        <v>1</v>
      </c>
      <c r="M9816" s="4" t="str">
        <f>IFERROR(__xludf.DUMMYFUNCTION("""COMPUTED_VALUE"""),"null")</f>
        <v>null</v>
      </c>
      <c r="N9816" s="33">
        <f>IFERROR(__xludf.DUMMYFUNCTION("""COMPUTED_VALUE"""),1.0)</f>
        <v>1</v>
      </c>
      <c r="O9816" s="4" t="str">
        <f>IFERROR(__xludf.DUMMYFUNCTION("""COMPUTED_VALUE"""),"null")</f>
        <v>null</v>
      </c>
      <c r="P9816" s="33">
        <f>IFERROR(__xludf.DUMMYFUNCTION("""COMPUTED_VALUE"""),1.0)</f>
        <v>1</v>
      </c>
      <c r="Q9816" s="4" t="str">
        <f>IFERROR(__xludf.DUMMYFUNCTION("""COMPUTED_VALUE"""),"null")</f>
        <v>null</v>
      </c>
      <c r="R9816" s="33">
        <f>IFERROR(__xludf.DUMMYFUNCTION("""COMPUTED_VALUE"""),1.0)</f>
        <v>1</v>
      </c>
      <c r="S9816" s="4" t="str">
        <f>IFERROR(__xludf.DUMMYFUNCTION("""COMPUTED_VALUE"""),"null")</f>
        <v>null</v>
      </c>
      <c r="T9816" s="33">
        <f>IFERROR(__xludf.DUMMYFUNCTION("""COMPUTED_VALUE"""),1.0)</f>
        <v>1</v>
      </c>
      <c r="U9816" s="4" t="str">
        <f>IFERROR(__xludf.DUMMYFUNCTION("""COMPUTED_VALUE"""),"Cardápio Web")</f>
        <v>Cardápio Web</v>
      </c>
      <c r="V9816" s="33">
        <f>IFERROR(__xludf.DUMMYFUNCTION("""COMPUTED_VALUE"""),1.0)</f>
        <v>1</v>
      </c>
      <c r="W9816" s="4" t="str">
        <f>IFERROR(__xludf.DUMMYFUNCTION("""COMPUTED_VALUE"""),"null")</f>
        <v>null</v>
      </c>
      <c r="X9816" s="33">
        <f>IFERROR(__xludf.DUMMYFUNCTION("""COMPUTED_VALUE"""),1.0)</f>
        <v>1</v>
      </c>
    </row>
    <row r="9817">
      <c r="K9817" s="4" t="str">
        <f>IFERROR(__xludf.DUMMYFUNCTION("""COMPUTED_VALUE"""),"ROCK PIZZA ROLL - FERMENTACAO NATURAL")</f>
        <v>ROCK PIZZA ROLL - FERMENTACAO NATURAL</v>
      </c>
      <c r="L9817" s="32">
        <f>IFERROR(__xludf.DUMMYFUNCTION("""COMPUTED_VALUE"""),1.0)</f>
        <v>1</v>
      </c>
      <c r="M9817" s="4" t="str">
        <f>IFERROR(__xludf.DUMMYFUNCTION("""COMPUTED_VALUE"""),"Cloudfy")</f>
        <v>Cloudfy</v>
      </c>
      <c r="N9817" s="33">
        <f>IFERROR(__xludf.DUMMYFUNCTION("""COMPUTED_VALUE"""),1.0)</f>
        <v>1</v>
      </c>
      <c r="O9817" s="4" t="str">
        <f>IFERROR(__xludf.DUMMYFUNCTION("""COMPUTED_VALUE"""),"null")</f>
        <v>null</v>
      </c>
      <c r="P9817" s="33">
        <f>IFERROR(__xludf.DUMMYFUNCTION("""COMPUTED_VALUE"""),1.0)</f>
        <v>1</v>
      </c>
      <c r="Q9817" s="4" t="str">
        <f>IFERROR(__xludf.DUMMYFUNCTION("""COMPUTED_VALUE"""),"null")</f>
        <v>null</v>
      </c>
      <c r="R9817" s="33">
        <f>IFERROR(__xludf.DUMMYFUNCTION("""COMPUTED_VALUE"""),1.0)</f>
        <v>1</v>
      </c>
      <c r="S9817" s="4" t="str">
        <f>IFERROR(__xludf.DUMMYFUNCTION("""COMPUTED_VALUE"""),"null")</f>
        <v>null</v>
      </c>
      <c r="T9817" s="33">
        <f>IFERROR(__xludf.DUMMYFUNCTION("""COMPUTED_VALUE"""),1.0)</f>
        <v>1</v>
      </c>
      <c r="U9817" s="4" t="str">
        <f>IFERROR(__xludf.DUMMYFUNCTION("""COMPUTED_VALUE"""),"null")</f>
        <v>null</v>
      </c>
      <c r="V9817" s="33">
        <f>IFERROR(__xludf.DUMMYFUNCTION("""COMPUTED_VALUE"""),1.0)</f>
        <v>1</v>
      </c>
      <c r="W9817" s="4" t="str">
        <f>IFERROR(__xludf.DUMMYFUNCTION("""COMPUTED_VALUE"""),"null")</f>
        <v>null</v>
      </c>
      <c r="X9817" s="33">
        <f>IFERROR(__xludf.DUMMYFUNCTION("""COMPUTED_VALUE"""),1.0)</f>
        <v>1</v>
      </c>
    </row>
    <row r="9818">
      <c r="K9818" s="4" t="str">
        <f>IFERROR(__xludf.DUMMYFUNCTION("""COMPUTED_VALUE"""),"SO COMBOS REI DA MADRUGADA - PIZZARIA LANCHE")</f>
        <v>SO COMBOS REI DA MADRUGADA - PIZZARIA LANCHE</v>
      </c>
      <c r="L9818" s="32">
        <f>IFERROR(__xludf.DUMMYFUNCTION("""COMPUTED_VALUE"""),1.0)</f>
        <v>1</v>
      </c>
      <c r="M9818" s="4" t="str">
        <f>IFERROR(__xludf.DUMMYFUNCTION("""COMPUTED_VALUE"""),"Mp Multipedidos")</f>
        <v>Mp Multipedidos</v>
      </c>
      <c r="N9818" s="33">
        <f>IFERROR(__xludf.DUMMYFUNCTION("""COMPUTED_VALUE"""),1.0)</f>
        <v>1</v>
      </c>
      <c r="O9818" s="4" t="str">
        <f>IFERROR(__xludf.DUMMYFUNCTION("""COMPUTED_VALUE"""),"Mp Multipedidos")</f>
        <v>Mp Multipedidos</v>
      </c>
      <c r="P9818" s="33">
        <f>IFERROR(__xludf.DUMMYFUNCTION("""COMPUTED_VALUE"""),1.0)</f>
        <v>1</v>
      </c>
      <c r="Q9818" s="4" t="str">
        <f>IFERROR(__xludf.DUMMYFUNCTION("""COMPUTED_VALUE"""),"Mp Multipedidos")</f>
        <v>Mp Multipedidos</v>
      </c>
      <c r="R9818" s="33">
        <f>IFERROR(__xludf.DUMMYFUNCTION("""COMPUTED_VALUE"""),1.0)</f>
        <v>1</v>
      </c>
      <c r="S9818" s="4" t="str">
        <f>IFERROR(__xludf.DUMMYFUNCTION("""COMPUTED_VALUE"""),"Mp Multipedidos")</f>
        <v>Mp Multipedidos</v>
      </c>
      <c r="T9818" s="33">
        <f>IFERROR(__xludf.DUMMYFUNCTION("""COMPUTED_VALUE"""),1.0)</f>
        <v>1</v>
      </c>
      <c r="U9818" s="4" t="str">
        <f>IFERROR(__xludf.DUMMYFUNCTION("""COMPUTED_VALUE"""),"Mp Multipedidos")</f>
        <v>Mp Multipedidos</v>
      </c>
      <c r="V9818" s="33">
        <f>IFERROR(__xludf.DUMMYFUNCTION("""COMPUTED_VALUE"""),1.0)</f>
        <v>1</v>
      </c>
      <c r="W9818" s="4" t="str">
        <f>IFERROR(__xludf.DUMMYFUNCTION("""COMPUTED_VALUE"""),"Mp Multipedidos")</f>
        <v>Mp Multipedidos</v>
      </c>
      <c r="X9818" s="33">
        <f>IFERROR(__xludf.DUMMYFUNCTION("""COMPUTED_VALUE"""),1.0)</f>
        <v>1</v>
      </c>
    </row>
    <row r="9819">
      <c r="K9819" s="4" t="str">
        <f>IFERROR(__xludf.DUMMYFUNCTION("""COMPUTED_VALUE"""),"CARANGUEJO CIA")</f>
        <v>CARANGUEJO CIA</v>
      </c>
      <c r="L9819" s="32">
        <f>IFERROR(__xludf.DUMMYFUNCTION("""COMPUTED_VALUE"""),1.0)</f>
        <v>1</v>
      </c>
      <c r="M9819" s="4" t="str">
        <f>IFERROR(__xludf.DUMMYFUNCTION("""COMPUTED_VALUE"""),"Alterdata Tecnologia Em Informatica Ltda")</f>
        <v>Alterdata Tecnologia Em Informatica Ltda</v>
      </c>
      <c r="N9819" s="33">
        <f>IFERROR(__xludf.DUMMYFUNCTION("""COMPUTED_VALUE"""),1.0)</f>
        <v>1</v>
      </c>
      <c r="O9819" s="4" t="str">
        <f>IFERROR(__xludf.DUMMYFUNCTION("""COMPUTED_VALUE"""),"Alterdata Tecnologia Em Informatica Ltda")</f>
        <v>Alterdata Tecnologia Em Informatica Ltda</v>
      </c>
      <c r="P9819" s="33">
        <f>IFERROR(__xludf.DUMMYFUNCTION("""COMPUTED_VALUE"""),1.0)</f>
        <v>1</v>
      </c>
      <c r="Q9819" s="4" t="str">
        <f>IFERROR(__xludf.DUMMYFUNCTION("""COMPUTED_VALUE"""),"null")</f>
        <v>null</v>
      </c>
      <c r="R9819" s="33">
        <f>IFERROR(__xludf.DUMMYFUNCTION("""COMPUTED_VALUE"""),1.0)</f>
        <v>1</v>
      </c>
      <c r="S9819" s="4" t="str">
        <f>IFERROR(__xludf.DUMMYFUNCTION("""COMPUTED_VALUE"""),"null")</f>
        <v>null</v>
      </c>
      <c r="T9819" s="33">
        <f>IFERROR(__xludf.DUMMYFUNCTION("""COMPUTED_VALUE"""),1.0)</f>
        <v>1</v>
      </c>
      <c r="U9819" s="4" t="str">
        <f>IFERROR(__xludf.DUMMYFUNCTION("""COMPUTED_VALUE"""),"null")</f>
        <v>null</v>
      </c>
      <c r="V9819" s="33">
        <f>IFERROR(__xludf.DUMMYFUNCTION("""COMPUTED_VALUE"""),1.0)</f>
        <v>1</v>
      </c>
      <c r="W9819" s="4" t="str">
        <f>IFERROR(__xludf.DUMMYFUNCTION("""COMPUTED_VALUE"""),"null")</f>
        <v>null</v>
      </c>
      <c r="X9819" s="33">
        <f>IFERROR(__xludf.DUMMYFUNCTION("""COMPUTED_VALUE"""),1.0)</f>
        <v>1</v>
      </c>
    </row>
    <row r="9820">
      <c r="K9820" s="4" t="str">
        <f>IFERROR(__xludf.DUMMYFUNCTION("""COMPUTED_VALUE"""),"VANESSAS FARMA")</f>
        <v>VANESSAS FARMA</v>
      </c>
      <c r="L9820" s="32">
        <f>IFERROR(__xludf.DUMMYFUNCTION("""COMPUTED_VALUE"""),1.0)</f>
        <v>1</v>
      </c>
      <c r="M9820" s="4" t="str">
        <f>IFERROR(__xludf.DUMMYFUNCTION("""COMPUTED_VALUE"""),"N/A (Not found)")</f>
        <v>N/A (Not found)</v>
      </c>
      <c r="N9820" s="33">
        <f>IFERROR(__xludf.DUMMYFUNCTION("""COMPUTED_VALUE"""),1.0)</f>
        <v>1</v>
      </c>
      <c r="O9820" s="4" t="str">
        <f>IFERROR(__xludf.DUMMYFUNCTION("""COMPUTED_VALUE"""),"N/A (Not found)")</f>
        <v>N/A (Not found)</v>
      </c>
      <c r="P9820" s="33">
        <f>IFERROR(__xludf.DUMMYFUNCTION("""COMPUTED_VALUE"""),1.0)</f>
        <v>1</v>
      </c>
      <c r="Q9820" s="4" t="str">
        <f>IFERROR(__xludf.DUMMYFUNCTION("""COMPUTED_VALUE"""),"N/A (Not found)")</f>
        <v>N/A (Not found)</v>
      </c>
      <c r="R9820" s="33">
        <f>IFERROR(__xludf.DUMMYFUNCTION("""COMPUTED_VALUE"""),1.0)</f>
        <v>1</v>
      </c>
      <c r="S9820" s="4" t="str">
        <f>IFERROR(__xludf.DUMMYFUNCTION("""COMPUTED_VALUE"""),"N/A (Not found)")</f>
        <v>N/A (Not found)</v>
      </c>
      <c r="T9820" s="33">
        <f>IFERROR(__xludf.DUMMYFUNCTION("""COMPUTED_VALUE"""),1.0)</f>
        <v>1</v>
      </c>
      <c r="U9820" s="4" t="str">
        <f>IFERROR(__xludf.DUMMYFUNCTION("""COMPUTED_VALUE"""),"N/A (Not found)")</f>
        <v>N/A (Not found)</v>
      </c>
      <c r="V9820" s="33">
        <f>IFERROR(__xludf.DUMMYFUNCTION("""COMPUTED_VALUE"""),1.0)</f>
        <v>1</v>
      </c>
      <c r="W9820" s="4" t="str">
        <f>IFERROR(__xludf.DUMMYFUNCTION("""COMPUTED_VALUE"""),"N/A (Not found)")</f>
        <v>N/A (Not found)</v>
      </c>
      <c r="X9820" s="33">
        <f>IFERROR(__xludf.DUMMYFUNCTION("""COMPUTED_VALUE"""),1.0)</f>
        <v>1</v>
      </c>
    </row>
    <row r="9821">
      <c r="K9821" s="4" t="str">
        <f>IFERROR(__xludf.DUMMYFUNCTION("""COMPUTED_VALUE"""),"DROGARIA RODOFARMA")</f>
        <v>DROGARIA RODOFARMA</v>
      </c>
      <c r="L9821" s="32">
        <f>IFERROR(__xludf.DUMMYFUNCTION("""COMPUTED_VALUE"""),1.0)</f>
        <v>1</v>
      </c>
      <c r="M9821" s="4" t="str">
        <f>IFERROR(__xludf.DUMMYFUNCTION("""COMPUTED_VALUE"""),"N/A (Not found)")</f>
        <v>N/A (Not found)</v>
      </c>
      <c r="N9821" s="33">
        <f>IFERROR(__xludf.DUMMYFUNCTION("""COMPUTED_VALUE"""),1.0)</f>
        <v>1</v>
      </c>
      <c r="O9821" s="4" t="str">
        <f>IFERROR(__xludf.DUMMYFUNCTION("""COMPUTED_VALUE"""),"N/A (Not found)")</f>
        <v>N/A (Not found)</v>
      </c>
      <c r="P9821" s="33">
        <f>IFERROR(__xludf.DUMMYFUNCTION("""COMPUTED_VALUE"""),1.0)</f>
        <v>1</v>
      </c>
      <c r="Q9821" s="4" t="str">
        <f>IFERROR(__xludf.DUMMYFUNCTION("""COMPUTED_VALUE"""),"N/A (Not found)")</f>
        <v>N/A (Not found)</v>
      </c>
      <c r="R9821" s="33">
        <f>IFERROR(__xludf.DUMMYFUNCTION("""COMPUTED_VALUE"""),1.0)</f>
        <v>1</v>
      </c>
      <c r="S9821" s="4" t="str">
        <f>IFERROR(__xludf.DUMMYFUNCTION("""COMPUTED_VALUE"""),"N/A (Not found)")</f>
        <v>N/A (Not found)</v>
      </c>
      <c r="T9821" s="33">
        <f>IFERROR(__xludf.DUMMYFUNCTION("""COMPUTED_VALUE"""),1.0)</f>
        <v>1</v>
      </c>
      <c r="U9821" s="4" t="str">
        <f>IFERROR(__xludf.DUMMYFUNCTION("""COMPUTED_VALUE"""),"N/A (Not found)")</f>
        <v>N/A (Not found)</v>
      </c>
      <c r="V9821" s="33">
        <f>IFERROR(__xludf.DUMMYFUNCTION("""COMPUTED_VALUE"""),1.0)</f>
        <v>1</v>
      </c>
      <c r="W9821" s="4" t="str">
        <f>IFERROR(__xludf.DUMMYFUNCTION("""COMPUTED_VALUE"""),"null")</f>
        <v>null</v>
      </c>
      <c r="X9821" s="33">
        <f>IFERROR(__xludf.DUMMYFUNCTION("""COMPUTED_VALUE"""),1.0)</f>
        <v>1</v>
      </c>
    </row>
    <row r="9822">
      <c r="K9822" s="4" t="str">
        <f>IFERROR(__xludf.DUMMYFUNCTION("""COMPUTED_VALUE"""),"REI BRIGADEIRO - DOCES BOLOS")</f>
        <v>REI BRIGADEIRO - DOCES BOLOS</v>
      </c>
      <c r="L9822" s="32">
        <f>IFERROR(__xludf.DUMMYFUNCTION("""COMPUTED_VALUE"""),1.0)</f>
        <v>1</v>
      </c>
      <c r="M9822" s="4" t="str">
        <f>IFERROR(__xludf.DUMMYFUNCTION("""COMPUTED_VALUE"""),"Cardápio Web")</f>
        <v>Cardápio Web</v>
      </c>
      <c r="N9822" s="33">
        <f>IFERROR(__xludf.DUMMYFUNCTION("""COMPUTED_VALUE"""),1.0)</f>
        <v>1</v>
      </c>
      <c r="O9822" s="4" t="str">
        <f>IFERROR(__xludf.DUMMYFUNCTION("""COMPUTED_VALUE"""),"Cardápio Web")</f>
        <v>Cardápio Web</v>
      </c>
      <c r="P9822" s="33">
        <f>IFERROR(__xludf.DUMMYFUNCTION("""COMPUTED_VALUE"""),1.0)</f>
        <v>1</v>
      </c>
      <c r="Q9822" s="4" t="str">
        <f>IFERROR(__xludf.DUMMYFUNCTION("""COMPUTED_VALUE"""),"Cardápio Web")</f>
        <v>Cardápio Web</v>
      </c>
      <c r="R9822" s="33">
        <f>IFERROR(__xludf.DUMMYFUNCTION("""COMPUTED_VALUE"""),1.0)</f>
        <v>1</v>
      </c>
      <c r="S9822" s="4" t="str">
        <f>IFERROR(__xludf.DUMMYFUNCTION("""COMPUTED_VALUE"""),"Cardápio Web")</f>
        <v>Cardápio Web</v>
      </c>
      <c r="T9822" s="33">
        <f>IFERROR(__xludf.DUMMYFUNCTION("""COMPUTED_VALUE"""),1.0)</f>
        <v>1</v>
      </c>
      <c r="U9822" s="4" t="str">
        <f>IFERROR(__xludf.DUMMYFUNCTION("""COMPUTED_VALUE"""),"Cardápio Web")</f>
        <v>Cardápio Web</v>
      </c>
      <c r="V9822" s="33">
        <f>IFERROR(__xludf.DUMMYFUNCTION("""COMPUTED_VALUE"""),1.0)</f>
        <v>1</v>
      </c>
      <c r="W9822" s="4" t="str">
        <f>IFERROR(__xludf.DUMMYFUNCTION("""COMPUTED_VALUE"""),"Cardápio Web")</f>
        <v>Cardápio Web</v>
      </c>
      <c r="X9822" s="33">
        <f>IFERROR(__xludf.DUMMYFUNCTION("""COMPUTED_VALUE"""),1.0)</f>
        <v>1</v>
      </c>
    </row>
    <row r="9823">
      <c r="K9823" s="4" t="str">
        <f>IFERROR(__xludf.DUMMYFUNCTION("""COMPUTED_VALUE"""),"AI SUSHI SANTOS")</f>
        <v>AI SUSHI SANTOS</v>
      </c>
      <c r="L9823" s="32">
        <f>IFERROR(__xludf.DUMMYFUNCTION("""COMPUTED_VALUE"""),1.0)</f>
        <v>1</v>
      </c>
      <c r="M9823" s="4" t="str">
        <f>IFERROR(__xludf.DUMMYFUNCTION("""COMPUTED_VALUE"""),"null")</f>
        <v>null</v>
      </c>
      <c r="N9823" s="33">
        <f>IFERROR(__xludf.DUMMYFUNCTION("""COMPUTED_VALUE"""),1.0)</f>
        <v>1</v>
      </c>
      <c r="O9823" s="4" t="str">
        <f>IFERROR(__xludf.DUMMYFUNCTION("""COMPUTED_VALUE"""),"null")</f>
        <v>null</v>
      </c>
      <c r="P9823" s="33">
        <f>IFERROR(__xludf.DUMMYFUNCTION("""COMPUTED_VALUE"""),1.0)</f>
        <v>1</v>
      </c>
      <c r="Q9823" s="4" t="str">
        <f>IFERROR(__xludf.DUMMYFUNCTION("""COMPUTED_VALUE"""),"null")</f>
        <v>null</v>
      </c>
      <c r="R9823" s="33">
        <f>IFERROR(__xludf.DUMMYFUNCTION("""COMPUTED_VALUE"""),1.0)</f>
        <v>1</v>
      </c>
      <c r="S9823" s="4" t="str">
        <f>IFERROR(__xludf.DUMMYFUNCTION("""COMPUTED_VALUE"""),"Cardápio Web")</f>
        <v>Cardápio Web</v>
      </c>
      <c r="T9823" s="33">
        <f>IFERROR(__xludf.DUMMYFUNCTION("""COMPUTED_VALUE"""),1.0)</f>
        <v>1</v>
      </c>
      <c r="U9823" s="4" t="str">
        <f>IFERROR(__xludf.DUMMYFUNCTION("""COMPUTED_VALUE"""),"Cardápio Web")</f>
        <v>Cardápio Web</v>
      </c>
      <c r="V9823" s="33">
        <f>IFERROR(__xludf.DUMMYFUNCTION("""COMPUTED_VALUE"""),1.0)</f>
        <v>1</v>
      </c>
      <c r="W9823" s="4" t="str">
        <f>IFERROR(__xludf.DUMMYFUNCTION("""COMPUTED_VALUE"""),"Cardápio Web")</f>
        <v>Cardápio Web</v>
      </c>
      <c r="X9823" s="33">
        <f>IFERROR(__xludf.DUMMYFUNCTION("""COMPUTED_VALUE"""),1.0)</f>
        <v>1</v>
      </c>
    </row>
    <row r="9824">
      <c r="K9824" s="4" t="str">
        <f>IFERROR(__xludf.DUMMYFUNCTION("""COMPUTED_VALUE"""),"PAINT COLOR")</f>
        <v>PAINT COLOR</v>
      </c>
      <c r="L9824" s="32">
        <f>IFERROR(__xludf.DUMMYFUNCTION("""COMPUTED_VALUE"""),1.0)</f>
        <v>1</v>
      </c>
      <c r="M9824" s="4" t="str">
        <f>IFERROR(__xludf.DUMMYFUNCTION("""COMPUTED_VALUE"""),"N/A (Not found)")</f>
        <v>N/A (Not found)</v>
      </c>
      <c r="N9824" s="33">
        <f>IFERROR(__xludf.DUMMYFUNCTION("""COMPUTED_VALUE"""),1.0)</f>
        <v>1</v>
      </c>
      <c r="O9824" s="4" t="str">
        <f>IFERROR(__xludf.DUMMYFUNCTION("""COMPUTED_VALUE"""),"N/A (Not found)")</f>
        <v>N/A (Not found)</v>
      </c>
      <c r="P9824" s="33">
        <f>IFERROR(__xludf.DUMMYFUNCTION("""COMPUTED_VALUE"""),1.0)</f>
        <v>1</v>
      </c>
      <c r="Q9824" s="4" t="str">
        <f>IFERROR(__xludf.DUMMYFUNCTION("""COMPUTED_VALUE"""),"null")</f>
        <v>null</v>
      </c>
      <c r="R9824" s="33">
        <f>IFERROR(__xludf.DUMMYFUNCTION("""COMPUTED_VALUE"""),1.0)</f>
        <v>1</v>
      </c>
      <c r="S9824" s="4" t="str">
        <f>IFERROR(__xludf.DUMMYFUNCTION("""COMPUTED_VALUE"""),"N/A (Not found)")</f>
        <v>N/A (Not found)</v>
      </c>
      <c r="T9824" s="33">
        <f>IFERROR(__xludf.DUMMYFUNCTION("""COMPUTED_VALUE"""),1.0)</f>
        <v>1</v>
      </c>
      <c r="U9824" s="4" t="str">
        <f>IFERROR(__xludf.DUMMYFUNCTION("""COMPUTED_VALUE"""),"N/A (Not found)")</f>
        <v>N/A (Not found)</v>
      </c>
      <c r="V9824" s="33">
        <f>IFERROR(__xludf.DUMMYFUNCTION("""COMPUTED_VALUE"""),1.0)</f>
        <v>1</v>
      </c>
      <c r="W9824" s="4" t="str">
        <f>IFERROR(__xludf.DUMMYFUNCTION("""COMPUTED_VALUE"""),"N/A (Not found)")</f>
        <v>N/A (Not found)</v>
      </c>
      <c r="X9824" s="33">
        <f>IFERROR(__xludf.DUMMYFUNCTION("""COMPUTED_VALUE"""),1.0)</f>
        <v>1</v>
      </c>
    </row>
    <row r="9825">
      <c r="K9825" s="4" t="str">
        <f>IFERROR(__xludf.DUMMYFUNCTION("""COMPUTED_VALUE"""),"MISTURA CASEIRA - QUENTINHA E MARMITA")</f>
        <v>MISTURA CASEIRA - QUENTINHA E MARMITA</v>
      </c>
      <c r="L9825" s="32">
        <f>IFERROR(__xludf.DUMMYFUNCTION("""COMPUTED_VALUE"""),1.0)</f>
        <v>1</v>
      </c>
      <c r="M9825" s="4" t="str">
        <f>IFERROR(__xludf.DUMMYFUNCTION("""COMPUTED_VALUE"""),"Beefood - Sistema Para Restaurantes")</f>
        <v>Beefood - Sistema Para Restaurantes</v>
      </c>
      <c r="N9825" s="33">
        <f>IFERROR(__xludf.DUMMYFUNCTION("""COMPUTED_VALUE"""),1.0)</f>
        <v>1</v>
      </c>
      <c r="O9825" s="4" t="str">
        <f>IFERROR(__xludf.DUMMYFUNCTION("""COMPUTED_VALUE"""),"Beefood - Sistema Para Restaurantes")</f>
        <v>Beefood - Sistema Para Restaurantes</v>
      </c>
      <c r="P9825" s="33">
        <f>IFERROR(__xludf.DUMMYFUNCTION("""COMPUTED_VALUE"""),1.0)</f>
        <v>1</v>
      </c>
      <c r="Q9825" s="4" t="str">
        <f>IFERROR(__xludf.DUMMYFUNCTION("""COMPUTED_VALUE"""),"Beefood - Sistema Para Restaurantes")</f>
        <v>Beefood - Sistema Para Restaurantes</v>
      </c>
      <c r="R9825" s="33">
        <f>IFERROR(__xludf.DUMMYFUNCTION("""COMPUTED_VALUE"""),1.0)</f>
        <v>1</v>
      </c>
      <c r="S9825" s="4" t="str">
        <f>IFERROR(__xludf.DUMMYFUNCTION("""COMPUTED_VALUE"""),"Beefood - Sistema Para Restaurantes")</f>
        <v>Beefood - Sistema Para Restaurantes</v>
      </c>
      <c r="T9825" s="33">
        <f>IFERROR(__xludf.DUMMYFUNCTION("""COMPUTED_VALUE"""),1.0)</f>
        <v>1</v>
      </c>
      <c r="U9825" s="4" t="str">
        <f>IFERROR(__xludf.DUMMYFUNCTION("""COMPUTED_VALUE"""),"Beefood - Sistema Para Restaurantes")</f>
        <v>Beefood - Sistema Para Restaurantes</v>
      </c>
      <c r="V9825" s="33">
        <f>IFERROR(__xludf.DUMMYFUNCTION("""COMPUTED_VALUE"""),1.0)</f>
        <v>1</v>
      </c>
      <c r="W9825" s="4" t="str">
        <f>IFERROR(__xludf.DUMMYFUNCTION("""COMPUTED_VALUE"""),"Beefood - Sistema Para Restaurantes")</f>
        <v>Beefood - Sistema Para Restaurantes</v>
      </c>
      <c r="X9825" s="33">
        <f>IFERROR(__xludf.DUMMYFUNCTION("""COMPUTED_VALUE"""),1.0)</f>
        <v>1</v>
      </c>
    </row>
    <row r="9826">
      <c r="K9826" s="4" t="str">
        <f>IFERROR(__xludf.DUMMYFUNCTION("""COMPUTED_VALUE"""),"INSONIA LANCHES")</f>
        <v>INSONIA LANCHES</v>
      </c>
      <c r="L9826" s="32">
        <f>IFERROR(__xludf.DUMMYFUNCTION("""COMPUTED_VALUE"""),1.0)</f>
        <v>1</v>
      </c>
      <c r="M9826" s="4" t="str">
        <f>IFERROR(__xludf.DUMMYFUNCTION("""COMPUTED_VALUE"""),"null")</f>
        <v>null</v>
      </c>
      <c r="N9826" s="33">
        <f>IFERROR(__xludf.DUMMYFUNCTION("""COMPUTED_VALUE"""),1.0)</f>
        <v>1</v>
      </c>
      <c r="O9826" s="4" t="str">
        <f>IFERROR(__xludf.DUMMYFUNCTION("""COMPUTED_VALUE"""),"null")</f>
        <v>null</v>
      </c>
      <c r="P9826" s="33">
        <f>IFERROR(__xludf.DUMMYFUNCTION("""COMPUTED_VALUE"""),1.0)</f>
        <v>1</v>
      </c>
      <c r="Q9826" s="4" t="str">
        <f>IFERROR(__xludf.DUMMYFUNCTION("""COMPUTED_VALUE"""),"null")</f>
        <v>null</v>
      </c>
      <c r="R9826" s="33">
        <f>IFERROR(__xludf.DUMMYFUNCTION("""COMPUTED_VALUE"""),1.0)</f>
        <v>1</v>
      </c>
      <c r="S9826" s="4" t="str">
        <f>IFERROR(__xludf.DUMMYFUNCTION("""COMPUTED_VALUE"""),"null")</f>
        <v>null</v>
      </c>
      <c r="T9826" s="33">
        <f>IFERROR(__xludf.DUMMYFUNCTION("""COMPUTED_VALUE"""),1.0)</f>
        <v>1</v>
      </c>
      <c r="U9826" s="4" t="str">
        <f>IFERROR(__xludf.DUMMYFUNCTION("""COMPUTED_VALUE"""),"Saipos Serviços De Software")</f>
        <v>Saipos Serviços De Software</v>
      </c>
      <c r="V9826" s="33">
        <f>IFERROR(__xludf.DUMMYFUNCTION("""COMPUTED_VALUE"""),1.0)</f>
        <v>1</v>
      </c>
      <c r="W9826" s="4" t="str">
        <f>IFERROR(__xludf.DUMMYFUNCTION("""COMPUTED_VALUE"""),"Saipos Serviços De Software")</f>
        <v>Saipos Serviços De Software</v>
      </c>
      <c r="X9826" s="33">
        <f>IFERROR(__xludf.DUMMYFUNCTION("""COMPUTED_VALUE"""),1.0)</f>
        <v>1</v>
      </c>
    </row>
    <row r="9827">
      <c r="K9827" s="4" t="str">
        <f>IFERROR(__xludf.DUMMYFUNCTION("""COMPUTED_VALUE"""),"BOX BISTRO HAMBURGUERIA")</f>
        <v>BOX BISTRO HAMBURGUERIA</v>
      </c>
      <c r="L9827" s="32">
        <f>IFERROR(__xludf.DUMMYFUNCTION("""COMPUTED_VALUE"""),1.0)</f>
        <v>1</v>
      </c>
      <c r="M9827" s="4" t="str">
        <f>IFERROR(__xludf.DUMMYFUNCTION("""COMPUTED_VALUE"""),"Anota Ai Solucoes Digitais S/a")</f>
        <v>Anota Ai Solucoes Digitais S/a</v>
      </c>
      <c r="N9827" s="33">
        <f>IFERROR(__xludf.DUMMYFUNCTION("""COMPUTED_VALUE"""),1.0)</f>
        <v>1</v>
      </c>
      <c r="O9827" s="4" t="str">
        <f>IFERROR(__xludf.DUMMYFUNCTION("""COMPUTED_VALUE"""),"null")</f>
        <v>null</v>
      </c>
      <c r="P9827" s="33">
        <f>IFERROR(__xludf.DUMMYFUNCTION("""COMPUTED_VALUE"""),1.0)</f>
        <v>1</v>
      </c>
      <c r="Q9827" s="4" t="str">
        <f>IFERROR(__xludf.DUMMYFUNCTION("""COMPUTED_VALUE"""),"null")</f>
        <v>null</v>
      </c>
      <c r="R9827" s="33">
        <f>IFERROR(__xludf.DUMMYFUNCTION("""COMPUTED_VALUE"""),1.0)</f>
        <v>1</v>
      </c>
      <c r="S9827" s="4" t="str">
        <f>IFERROR(__xludf.DUMMYFUNCTION("""COMPUTED_VALUE"""),"null")</f>
        <v>null</v>
      </c>
      <c r="T9827" s="33">
        <f>IFERROR(__xludf.DUMMYFUNCTION("""COMPUTED_VALUE"""),1.0)</f>
        <v>1</v>
      </c>
      <c r="U9827" s="4" t="str">
        <f>IFERROR(__xludf.DUMMYFUNCTION("""COMPUTED_VALUE"""),"Anota Ai Solucoes Digitais S/a")</f>
        <v>Anota Ai Solucoes Digitais S/a</v>
      </c>
      <c r="V9827" s="33">
        <f>IFERROR(__xludf.DUMMYFUNCTION("""COMPUTED_VALUE"""),1.0)</f>
        <v>1</v>
      </c>
      <c r="W9827" s="4" t="str">
        <f>IFERROR(__xludf.DUMMYFUNCTION("""COMPUTED_VALUE"""),"null")</f>
        <v>null</v>
      </c>
      <c r="X9827" s="33">
        <f>IFERROR(__xludf.DUMMYFUNCTION("""COMPUTED_VALUE"""),1.0)</f>
        <v>1</v>
      </c>
    </row>
    <row r="9828">
      <c r="K9828" s="4" t="str">
        <f>IFERROR(__xludf.DUMMYFUNCTION("""COMPUTED_VALUE"""),"O PATRAO FRUTOS DO MAR E CHOPERIA")</f>
        <v>O PATRAO FRUTOS DO MAR E CHOPERIA</v>
      </c>
      <c r="L9828" s="32">
        <f>IFERROR(__xludf.DUMMYFUNCTION("""COMPUTED_VALUE"""),1.0)</f>
        <v>1</v>
      </c>
      <c r="M9828" s="4" t="str">
        <f>IFERROR(__xludf.DUMMYFUNCTION("""COMPUTED_VALUE"""),"Datacaixa Pdv")</f>
        <v>Datacaixa Pdv</v>
      </c>
      <c r="N9828" s="33">
        <f>IFERROR(__xludf.DUMMYFUNCTION("""COMPUTED_VALUE"""),1.0)</f>
        <v>1</v>
      </c>
      <c r="O9828" s="4" t="str">
        <f>IFERROR(__xludf.DUMMYFUNCTION("""COMPUTED_VALUE"""),"Datacaixa Pdv")</f>
        <v>Datacaixa Pdv</v>
      </c>
      <c r="P9828" s="33">
        <f>IFERROR(__xludf.DUMMYFUNCTION("""COMPUTED_VALUE"""),1.0)</f>
        <v>1</v>
      </c>
      <c r="Q9828" s="4" t="str">
        <f>IFERROR(__xludf.DUMMYFUNCTION("""COMPUTED_VALUE"""),"null")</f>
        <v>null</v>
      </c>
      <c r="R9828" s="33">
        <f>IFERROR(__xludf.DUMMYFUNCTION("""COMPUTED_VALUE"""),1.0)</f>
        <v>1</v>
      </c>
      <c r="S9828" s="4" t="str">
        <f>IFERROR(__xludf.DUMMYFUNCTION("""COMPUTED_VALUE"""),"null")</f>
        <v>null</v>
      </c>
      <c r="T9828" s="33">
        <f>IFERROR(__xludf.DUMMYFUNCTION("""COMPUTED_VALUE"""),1.0)</f>
        <v>1</v>
      </c>
      <c r="U9828" s="4" t="str">
        <f>IFERROR(__xludf.DUMMYFUNCTION("""COMPUTED_VALUE"""),"null")</f>
        <v>null</v>
      </c>
      <c r="V9828" s="33">
        <f>IFERROR(__xludf.DUMMYFUNCTION("""COMPUTED_VALUE"""),1.0)</f>
        <v>1</v>
      </c>
      <c r="W9828" s="4" t="str">
        <f>IFERROR(__xludf.DUMMYFUNCTION("""COMPUTED_VALUE"""),"null")</f>
        <v>null</v>
      </c>
      <c r="X9828" s="33">
        <f>IFERROR(__xludf.DUMMYFUNCTION("""COMPUTED_VALUE"""),1.0)</f>
        <v>1</v>
      </c>
    </row>
    <row r="9829">
      <c r="K9829" s="4" t="str">
        <f>IFERROR(__xludf.DUMMYFUNCTION("""COMPUTED_VALUE"""),"SECRET BAG SEX SHOP E BELEZA")</f>
        <v>SECRET BAG SEX SHOP E BELEZA</v>
      </c>
      <c r="L9829" s="32">
        <f>IFERROR(__xludf.DUMMYFUNCTION("""COMPUTED_VALUE"""),1.0)</f>
        <v>1</v>
      </c>
      <c r="M9829" s="4" t="str">
        <f>IFERROR(__xludf.DUMMYFUNCTION("""COMPUTED_VALUE"""),"null")</f>
        <v>null</v>
      </c>
      <c r="N9829" s="33">
        <f>IFERROR(__xludf.DUMMYFUNCTION("""COMPUTED_VALUE"""),1.0)</f>
        <v>1</v>
      </c>
      <c r="O9829" s="4" t="str">
        <f>IFERROR(__xludf.DUMMYFUNCTION("""COMPUTED_VALUE"""),"null")</f>
        <v>null</v>
      </c>
      <c r="P9829" s="33">
        <f>IFERROR(__xludf.DUMMYFUNCTION("""COMPUTED_VALUE"""),1.0)</f>
        <v>1</v>
      </c>
      <c r="Q9829" s="4" t="str">
        <f>IFERROR(__xludf.DUMMYFUNCTION("""COMPUTED_VALUE"""),"N/A (Not found)")</f>
        <v>N/A (Not found)</v>
      </c>
      <c r="R9829" s="33">
        <f>IFERROR(__xludf.DUMMYFUNCTION("""COMPUTED_VALUE"""),1.0)</f>
        <v>1</v>
      </c>
      <c r="S9829" s="4" t="str">
        <f>IFERROR(__xludf.DUMMYFUNCTION("""COMPUTED_VALUE"""),"N/A (Not found)")</f>
        <v>N/A (Not found)</v>
      </c>
      <c r="T9829" s="33">
        <f>IFERROR(__xludf.DUMMYFUNCTION("""COMPUTED_VALUE"""),1.0)</f>
        <v>1</v>
      </c>
      <c r="U9829" s="4" t="str">
        <f>IFERROR(__xludf.DUMMYFUNCTION("""COMPUTED_VALUE"""),"null")</f>
        <v>null</v>
      </c>
      <c r="V9829" s="33">
        <f>IFERROR(__xludf.DUMMYFUNCTION("""COMPUTED_VALUE"""),1.0)</f>
        <v>1</v>
      </c>
      <c r="W9829" s="4" t="str">
        <f>IFERROR(__xludf.DUMMYFUNCTION("""COMPUTED_VALUE"""),"null")</f>
        <v>null</v>
      </c>
      <c r="X9829" s="33">
        <f>IFERROR(__xludf.DUMMYFUNCTION("""COMPUTED_VALUE"""),1.0)</f>
        <v>1</v>
      </c>
    </row>
    <row r="9830">
      <c r="K9830" s="4" t="str">
        <f>IFERROR(__xludf.DUMMYFUNCTION("""COMPUTED_VALUE"""),"PROVE GASTRONOMIA SAUDAVEL")</f>
        <v>PROVE GASTRONOMIA SAUDAVEL</v>
      </c>
      <c r="L9830" s="32">
        <f>IFERROR(__xludf.DUMMYFUNCTION("""COMPUTED_VALUE"""),1.0)</f>
        <v>1</v>
      </c>
      <c r="M9830" s="4" t="str">
        <f>IFERROR(__xludf.DUMMYFUNCTION("""COMPUTED_VALUE"""),"Lad Sistemas")</f>
        <v>Lad Sistemas</v>
      </c>
      <c r="N9830" s="33">
        <f>IFERROR(__xludf.DUMMYFUNCTION("""COMPUTED_VALUE"""),1.0)</f>
        <v>1</v>
      </c>
      <c r="O9830" s="4" t="str">
        <f>IFERROR(__xludf.DUMMYFUNCTION("""COMPUTED_VALUE"""),"Lad Sistemas")</f>
        <v>Lad Sistemas</v>
      </c>
      <c r="P9830" s="33">
        <f>IFERROR(__xludf.DUMMYFUNCTION("""COMPUTED_VALUE"""),1.0)</f>
        <v>1</v>
      </c>
      <c r="Q9830" s="4" t="str">
        <f>IFERROR(__xludf.DUMMYFUNCTION("""COMPUTED_VALUE"""),"Lad Sistemas")</f>
        <v>Lad Sistemas</v>
      </c>
      <c r="R9830" s="33">
        <f>IFERROR(__xludf.DUMMYFUNCTION("""COMPUTED_VALUE"""),1.0)</f>
        <v>1</v>
      </c>
      <c r="S9830" s="4" t="str">
        <f>IFERROR(__xludf.DUMMYFUNCTION("""COMPUTED_VALUE"""),"Lad Sistemas")</f>
        <v>Lad Sistemas</v>
      </c>
      <c r="T9830" s="33">
        <f>IFERROR(__xludf.DUMMYFUNCTION("""COMPUTED_VALUE"""),1.0)</f>
        <v>1</v>
      </c>
      <c r="U9830" s="4" t="str">
        <f>IFERROR(__xludf.DUMMYFUNCTION("""COMPUTED_VALUE"""),"Lad Sistemas")</f>
        <v>Lad Sistemas</v>
      </c>
      <c r="V9830" s="33">
        <f>IFERROR(__xludf.DUMMYFUNCTION("""COMPUTED_VALUE"""),1.0)</f>
        <v>1</v>
      </c>
      <c r="W9830" s="4" t="str">
        <f>IFERROR(__xludf.DUMMYFUNCTION("""COMPUTED_VALUE"""),"Lad Sistemas")</f>
        <v>Lad Sistemas</v>
      </c>
      <c r="X9830" s="33">
        <f>IFERROR(__xludf.DUMMYFUNCTION("""COMPUTED_VALUE"""),1.0)</f>
        <v>1</v>
      </c>
    </row>
    <row r="9831">
      <c r="K9831" s="4" t="str">
        <f>IFERROR(__xludf.DUMMYFUNCTION("""COMPUTED_VALUE"""),"HOT DOG NOAH - BARUERI")</f>
        <v>HOT DOG NOAH - BARUERI</v>
      </c>
      <c r="L9831" s="32">
        <f>IFERROR(__xludf.DUMMYFUNCTION("""COMPUTED_VALUE"""),1.0)</f>
        <v>1</v>
      </c>
      <c r="M9831" s="4" t="str">
        <f>IFERROR(__xludf.DUMMYFUNCTION("""COMPUTED_VALUE"""),"Mp Multipedidos")</f>
        <v>Mp Multipedidos</v>
      </c>
      <c r="N9831" s="33">
        <f>IFERROR(__xludf.DUMMYFUNCTION("""COMPUTED_VALUE"""),1.0)</f>
        <v>1</v>
      </c>
      <c r="O9831" s="4" t="str">
        <f>IFERROR(__xludf.DUMMYFUNCTION("""COMPUTED_VALUE"""),"Mp Multipedidos")</f>
        <v>Mp Multipedidos</v>
      </c>
      <c r="P9831" s="33">
        <f>IFERROR(__xludf.DUMMYFUNCTION("""COMPUTED_VALUE"""),1.0)</f>
        <v>1</v>
      </c>
      <c r="Q9831" s="4" t="str">
        <f>IFERROR(__xludf.DUMMYFUNCTION("""COMPUTED_VALUE"""),"Mp Multipedidos")</f>
        <v>Mp Multipedidos</v>
      </c>
      <c r="R9831" s="33">
        <f>IFERROR(__xludf.DUMMYFUNCTION("""COMPUTED_VALUE"""),1.0)</f>
        <v>1</v>
      </c>
      <c r="S9831" s="4" t="str">
        <f>IFERROR(__xludf.DUMMYFUNCTION("""COMPUTED_VALUE"""),"Mp Multipedidos")</f>
        <v>Mp Multipedidos</v>
      </c>
      <c r="T9831" s="33">
        <f>IFERROR(__xludf.DUMMYFUNCTION("""COMPUTED_VALUE"""),1.0)</f>
        <v>1</v>
      </c>
      <c r="U9831" s="4" t="str">
        <f>IFERROR(__xludf.DUMMYFUNCTION("""COMPUTED_VALUE"""),"Mp Multipedidos")</f>
        <v>Mp Multipedidos</v>
      </c>
      <c r="V9831" s="33">
        <f>IFERROR(__xludf.DUMMYFUNCTION("""COMPUTED_VALUE"""),1.0)</f>
        <v>1</v>
      </c>
      <c r="W9831" s="4" t="str">
        <f>IFERROR(__xludf.DUMMYFUNCTION("""COMPUTED_VALUE"""),"Mp Multipedidos")</f>
        <v>Mp Multipedidos</v>
      </c>
      <c r="X9831" s="33">
        <f>IFERROR(__xludf.DUMMYFUNCTION("""COMPUTED_VALUE"""),1.0)</f>
        <v>1</v>
      </c>
    </row>
    <row r="9832">
      <c r="K9832" s="4" t="str">
        <f>IFERROR(__xludf.DUMMYFUNCTION("""COMPUTED_VALUE"""),"TAVERNA THE DRAGONS ROOST")</f>
        <v>TAVERNA THE DRAGONS ROOST</v>
      </c>
      <c r="L9832" s="32">
        <f>IFERROR(__xludf.DUMMYFUNCTION("""COMPUTED_VALUE"""),1.0)</f>
        <v>1</v>
      </c>
      <c r="M9832" s="4" t="str">
        <f>IFERROR(__xludf.DUMMYFUNCTION("""COMPUTED_VALUE"""),"null")</f>
        <v>null</v>
      </c>
      <c r="N9832" s="33">
        <f>IFERROR(__xludf.DUMMYFUNCTION("""COMPUTED_VALUE"""),1.0)</f>
        <v>1</v>
      </c>
      <c r="O9832" s="4" t="str">
        <f>IFERROR(__xludf.DUMMYFUNCTION("""COMPUTED_VALUE"""),"Anota Ai Solucoes Digitais S/a")</f>
        <v>Anota Ai Solucoes Digitais S/a</v>
      </c>
      <c r="P9832" s="33">
        <f>IFERROR(__xludf.DUMMYFUNCTION("""COMPUTED_VALUE"""),1.0)</f>
        <v>1</v>
      </c>
      <c r="Q9832" s="4" t="str">
        <f>IFERROR(__xludf.DUMMYFUNCTION("""COMPUTED_VALUE"""),"Anota Ai Solucoes Digitais S/a")</f>
        <v>Anota Ai Solucoes Digitais S/a</v>
      </c>
      <c r="R9832" s="33">
        <f>IFERROR(__xludf.DUMMYFUNCTION("""COMPUTED_VALUE"""),1.0)</f>
        <v>1</v>
      </c>
      <c r="S9832" s="4" t="str">
        <f>IFERROR(__xludf.DUMMYFUNCTION("""COMPUTED_VALUE"""),"null")</f>
        <v>null</v>
      </c>
      <c r="T9832" s="33">
        <f>IFERROR(__xludf.DUMMYFUNCTION("""COMPUTED_VALUE"""),1.0)</f>
        <v>1</v>
      </c>
      <c r="U9832" s="4" t="str">
        <f>IFERROR(__xludf.DUMMYFUNCTION("""COMPUTED_VALUE"""),"null")</f>
        <v>null</v>
      </c>
      <c r="V9832" s="33">
        <f>IFERROR(__xludf.DUMMYFUNCTION("""COMPUTED_VALUE"""),1.0)</f>
        <v>1</v>
      </c>
      <c r="W9832" s="4" t="str">
        <f>IFERROR(__xludf.DUMMYFUNCTION("""COMPUTED_VALUE"""),"null")</f>
        <v>null</v>
      </c>
      <c r="X9832" s="33">
        <f>IFERROR(__xludf.DUMMYFUNCTION("""COMPUTED_VALUE"""),1.0)</f>
        <v>1</v>
      </c>
    </row>
    <row r="9833">
      <c r="K9833" s="4" t="str">
        <f>IFERROR(__xludf.DUMMYFUNCTION("""COMPUTED_VALUE"""),"THE BURGER TOWN - ZONA SUL - HAMBURGUERIA ARTESANAL")</f>
        <v>THE BURGER TOWN - ZONA SUL - HAMBURGUERIA ARTESANAL</v>
      </c>
      <c r="L9833" s="32">
        <f>IFERROR(__xludf.DUMMYFUNCTION("""COMPUTED_VALUE"""),1.0)</f>
        <v>1</v>
      </c>
      <c r="M9833" s="4" t="str">
        <f>IFERROR(__xludf.DUMMYFUNCTION("""COMPUTED_VALUE"""),"Saipos Serviços De Software")</f>
        <v>Saipos Serviços De Software</v>
      </c>
      <c r="N9833" s="33">
        <f>IFERROR(__xludf.DUMMYFUNCTION("""COMPUTED_VALUE"""),1.0)</f>
        <v>1</v>
      </c>
      <c r="O9833" s="4" t="str">
        <f>IFERROR(__xludf.DUMMYFUNCTION("""COMPUTED_VALUE"""),"Saipos Serviços De Software")</f>
        <v>Saipos Serviços De Software</v>
      </c>
      <c r="P9833" s="33">
        <f>IFERROR(__xludf.DUMMYFUNCTION("""COMPUTED_VALUE"""),1.0)</f>
        <v>1</v>
      </c>
      <c r="Q9833" s="4" t="str">
        <f>IFERROR(__xludf.DUMMYFUNCTION("""COMPUTED_VALUE"""),"Saipos Serviços De Software")</f>
        <v>Saipos Serviços De Software</v>
      </c>
      <c r="R9833" s="33">
        <f>IFERROR(__xludf.DUMMYFUNCTION("""COMPUTED_VALUE"""),1.0)</f>
        <v>1</v>
      </c>
      <c r="S9833" s="4" t="str">
        <f>IFERROR(__xludf.DUMMYFUNCTION("""COMPUTED_VALUE"""),"Saipos Serviços De Software")</f>
        <v>Saipos Serviços De Software</v>
      </c>
      <c r="T9833" s="33">
        <f>IFERROR(__xludf.DUMMYFUNCTION("""COMPUTED_VALUE"""),1.0)</f>
        <v>1</v>
      </c>
      <c r="U9833" s="4" t="str">
        <f>IFERROR(__xludf.DUMMYFUNCTION("""COMPUTED_VALUE"""),"Saipos Serviços De Software")</f>
        <v>Saipos Serviços De Software</v>
      </c>
      <c r="V9833" s="33">
        <f>IFERROR(__xludf.DUMMYFUNCTION("""COMPUTED_VALUE"""),1.0)</f>
        <v>1</v>
      </c>
      <c r="W9833" s="4" t="str">
        <f>IFERROR(__xludf.DUMMYFUNCTION("""COMPUTED_VALUE"""),"Saipos Serviços De Software")</f>
        <v>Saipos Serviços De Software</v>
      </c>
      <c r="X9833" s="33">
        <f>IFERROR(__xludf.DUMMYFUNCTION("""COMPUTED_VALUE"""),1.0)</f>
        <v>1</v>
      </c>
    </row>
    <row r="9834">
      <c r="K9834" s="4" t="str">
        <f>IFERROR(__xludf.DUMMYFUNCTION("""COMPUTED_VALUE"""),"FORNALHA 2")</f>
        <v>FORNALHA 2</v>
      </c>
      <c r="L9834" s="32">
        <f>IFERROR(__xludf.DUMMYFUNCTION("""COMPUTED_VALUE"""),1.0)</f>
        <v>1</v>
      </c>
      <c r="M9834" s="4" t="str">
        <f>IFERROR(__xludf.DUMMYFUNCTION("""COMPUTED_VALUE"""),"null")</f>
        <v>null</v>
      </c>
      <c r="N9834" s="33">
        <f>IFERROR(__xludf.DUMMYFUNCTION("""COMPUTED_VALUE"""),1.0)</f>
        <v>1</v>
      </c>
      <c r="O9834" s="4" t="str">
        <f>IFERROR(__xludf.DUMMYFUNCTION("""COMPUTED_VALUE"""),"null")</f>
        <v>null</v>
      </c>
      <c r="P9834" s="33">
        <f>IFERROR(__xludf.DUMMYFUNCTION("""COMPUTED_VALUE"""),1.0)</f>
        <v>1</v>
      </c>
      <c r="Q9834" s="4" t="str">
        <f>IFERROR(__xludf.DUMMYFUNCTION("""COMPUTED_VALUE"""),"null")</f>
        <v>null</v>
      </c>
      <c r="R9834" s="33">
        <f>IFERROR(__xludf.DUMMYFUNCTION("""COMPUTED_VALUE"""),1.0)</f>
        <v>1</v>
      </c>
      <c r="S9834" s="4" t="str">
        <f>IFERROR(__xludf.DUMMYFUNCTION("""COMPUTED_VALUE"""),"null")</f>
        <v>null</v>
      </c>
      <c r="T9834" s="33">
        <f>IFERROR(__xludf.DUMMYFUNCTION("""COMPUTED_VALUE"""),1.0)</f>
        <v>1</v>
      </c>
      <c r="U9834" s="4" t="str">
        <f>IFERROR(__xludf.DUMMYFUNCTION("""COMPUTED_VALUE"""),"null")</f>
        <v>null</v>
      </c>
      <c r="V9834" s="33">
        <f>IFERROR(__xludf.DUMMYFUNCTION("""COMPUTED_VALUE"""),1.0)</f>
        <v>1</v>
      </c>
      <c r="W9834" s="4" t="str">
        <f>IFERROR(__xludf.DUMMYFUNCTION("""COMPUTED_VALUE"""),"Cardápio Web")</f>
        <v>Cardápio Web</v>
      </c>
      <c r="X9834" s="33">
        <f>IFERROR(__xludf.DUMMYFUNCTION("""COMPUTED_VALUE"""),1.0)</f>
        <v>1</v>
      </c>
    </row>
    <row r="9835">
      <c r="K9835" s="4" t="str">
        <f>IFERROR(__xludf.DUMMYFUNCTION("""COMPUTED_VALUE"""),"DROGAMED MUNHOZ")</f>
        <v>DROGAMED MUNHOZ</v>
      </c>
      <c r="L9835" s="32">
        <f>IFERROR(__xludf.DUMMYFUNCTION("""COMPUTED_VALUE"""),1.0)</f>
        <v>1</v>
      </c>
      <c r="M9835" s="4" t="str">
        <f>IFERROR(__xludf.DUMMYFUNCTION("""COMPUTED_VALUE"""),"null")</f>
        <v>null</v>
      </c>
      <c r="N9835" s="33">
        <f>IFERROR(__xludf.DUMMYFUNCTION("""COMPUTED_VALUE"""),1.0)</f>
        <v>1</v>
      </c>
      <c r="O9835" s="4" t="str">
        <f>IFERROR(__xludf.DUMMYFUNCTION("""COMPUTED_VALUE"""),"null")</f>
        <v>null</v>
      </c>
      <c r="P9835" s="33">
        <f>IFERROR(__xludf.DUMMYFUNCTION("""COMPUTED_VALUE"""),1.0)</f>
        <v>1</v>
      </c>
      <c r="Q9835" s="4" t="str">
        <f>IFERROR(__xludf.DUMMYFUNCTION("""COMPUTED_VALUE"""),"null")</f>
        <v>null</v>
      </c>
      <c r="R9835" s="33">
        <f>IFERROR(__xludf.DUMMYFUNCTION("""COMPUTED_VALUE"""),1.0)</f>
        <v>1</v>
      </c>
      <c r="S9835" s="4" t="str">
        <f>IFERROR(__xludf.DUMMYFUNCTION("""COMPUTED_VALUE"""),"null")</f>
        <v>null</v>
      </c>
      <c r="T9835" s="33">
        <f>IFERROR(__xludf.DUMMYFUNCTION("""COMPUTED_VALUE"""),1.0)</f>
        <v>1</v>
      </c>
      <c r="U9835" s="4" t="str">
        <f>IFERROR(__xludf.DUMMYFUNCTION("""COMPUTED_VALUE"""),"N/A (Not found)")</f>
        <v>N/A (Not found)</v>
      </c>
      <c r="V9835" s="33">
        <f>IFERROR(__xludf.DUMMYFUNCTION("""COMPUTED_VALUE"""),1.0)</f>
        <v>1</v>
      </c>
      <c r="W9835" s="4" t="str">
        <f>IFERROR(__xludf.DUMMYFUNCTION("""COMPUTED_VALUE"""),"N/A (Not found)")</f>
        <v>N/A (Not found)</v>
      </c>
      <c r="X9835" s="33">
        <f>IFERROR(__xludf.DUMMYFUNCTION("""COMPUTED_VALUE"""),1.0)</f>
        <v>1</v>
      </c>
    </row>
    <row r="9836">
      <c r="K9836" s="4" t="str">
        <f>IFERROR(__xludf.DUMMYFUNCTION("""COMPUTED_VALUE"""),"MASTER KING LANCHES E PRENSADOS")</f>
        <v>MASTER KING LANCHES E PRENSADOS</v>
      </c>
      <c r="L9836" s="32">
        <f>IFERROR(__xludf.DUMMYFUNCTION("""COMPUTED_VALUE"""),1.0)</f>
        <v>1</v>
      </c>
      <c r="M9836" s="4" t="str">
        <f>IFERROR(__xludf.DUMMYFUNCTION("""COMPUTED_VALUE"""),"Sagres Automação Comercial")</f>
        <v>Sagres Automação Comercial</v>
      </c>
      <c r="N9836" s="33">
        <f>IFERROR(__xludf.DUMMYFUNCTION("""COMPUTED_VALUE"""),1.0)</f>
        <v>1</v>
      </c>
      <c r="O9836" s="4" t="str">
        <f>IFERROR(__xludf.DUMMYFUNCTION("""COMPUTED_VALUE"""),"Sagres Automação Comercial")</f>
        <v>Sagres Automação Comercial</v>
      </c>
      <c r="P9836" s="33">
        <f>IFERROR(__xludf.DUMMYFUNCTION("""COMPUTED_VALUE"""),1.0)</f>
        <v>1</v>
      </c>
      <c r="Q9836" s="4" t="str">
        <f>IFERROR(__xludf.DUMMYFUNCTION("""COMPUTED_VALUE"""),"Sagres Automação Comercial")</f>
        <v>Sagres Automação Comercial</v>
      </c>
      <c r="R9836" s="33">
        <f>IFERROR(__xludf.DUMMYFUNCTION("""COMPUTED_VALUE"""),1.0)</f>
        <v>1</v>
      </c>
      <c r="S9836" s="4" t="str">
        <f>IFERROR(__xludf.DUMMYFUNCTION("""COMPUTED_VALUE"""),"Sagres Automação Comercial")</f>
        <v>Sagres Automação Comercial</v>
      </c>
      <c r="T9836" s="33">
        <f>IFERROR(__xludf.DUMMYFUNCTION("""COMPUTED_VALUE"""),1.0)</f>
        <v>1</v>
      </c>
      <c r="U9836" s="4" t="str">
        <f>IFERROR(__xludf.DUMMYFUNCTION("""COMPUTED_VALUE"""),"Sagres Automação Comercial")</f>
        <v>Sagres Automação Comercial</v>
      </c>
      <c r="V9836" s="33">
        <f>IFERROR(__xludf.DUMMYFUNCTION("""COMPUTED_VALUE"""),1.0)</f>
        <v>1</v>
      </c>
      <c r="W9836" s="4" t="str">
        <f>IFERROR(__xludf.DUMMYFUNCTION("""COMPUTED_VALUE"""),"Sagres Automação Comercial")</f>
        <v>Sagres Automação Comercial</v>
      </c>
      <c r="X9836" s="33">
        <f>IFERROR(__xludf.DUMMYFUNCTION("""COMPUTED_VALUE"""),1.0)</f>
        <v>1</v>
      </c>
    </row>
    <row r="9837">
      <c r="K9837" s="4" t="str">
        <f>IFERROR(__xludf.DUMMYFUNCTION("""COMPUTED_VALUE"""),"MISTER BATATAS, PORCOES E LANCHES")</f>
        <v>MISTER BATATAS, PORCOES E LANCHES</v>
      </c>
      <c r="L9837" s="32">
        <f>IFERROR(__xludf.DUMMYFUNCTION("""COMPUTED_VALUE"""),1.0)</f>
        <v>1</v>
      </c>
      <c r="M9837" s="4" t="str">
        <f>IFERROR(__xludf.DUMMYFUNCTION("""COMPUTED_VALUE"""),"null")</f>
        <v>null</v>
      </c>
      <c r="N9837" s="33">
        <f>IFERROR(__xludf.DUMMYFUNCTION("""COMPUTED_VALUE"""),1.0)</f>
        <v>1</v>
      </c>
      <c r="O9837" s="4" t="str">
        <f>IFERROR(__xludf.DUMMYFUNCTION("""COMPUTED_VALUE"""),"Instadelivery")</f>
        <v>Instadelivery</v>
      </c>
      <c r="P9837" s="33">
        <f>IFERROR(__xludf.DUMMYFUNCTION("""COMPUTED_VALUE"""),1.0)</f>
        <v>1</v>
      </c>
      <c r="Q9837" s="4" t="str">
        <f>IFERROR(__xludf.DUMMYFUNCTION("""COMPUTED_VALUE"""),"null")</f>
        <v>null</v>
      </c>
      <c r="R9837" s="33">
        <f>IFERROR(__xludf.DUMMYFUNCTION("""COMPUTED_VALUE"""),1.0)</f>
        <v>1</v>
      </c>
      <c r="S9837" s="4" t="str">
        <f>IFERROR(__xludf.DUMMYFUNCTION("""COMPUTED_VALUE"""),"null")</f>
        <v>null</v>
      </c>
      <c r="T9837" s="33">
        <f>IFERROR(__xludf.DUMMYFUNCTION("""COMPUTED_VALUE"""),1.0)</f>
        <v>1</v>
      </c>
      <c r="U9837" s="4" t="str">
        <f>IFERROR(__xludf.DUMMYFUNCTION("""COMPUTED_VALUE"""),"null")</f>
        <v>null</v>
      </c>
      <c r="V9837" s="33">
        <f>IFERROR(__xludf.DUMMYFUNCTION("""COMPUTED_VALUE"""),1.0)</f>
        <v>1</v>
      </c>
      <c r="W9837" s="4" t="str">
        <f>IFERROR(__xludf.DUMMYFUNCTION("""COMPUTED_VALUE"""),"null")</f>
        <v>null</v>
      </c>
      <c r="X9837" s="33">
        <f>IFERROR(__xludf.DUMMYFUNCTION("""COMPUTED_VALUE"""),1.0)</f>
        <v>1</v>
      </c>
    </row>
    <row r="9838">
      <c r="K9838" s="4" t="str">
        <f>IFERROR(__xludf.DUMMYFUNCTION("""COMPUTED_VALUE"""),"ACAI ZENDS")</f>
        <v>ACAI ZENDS</v>
      </c>
      <c r="L9838" s="32">
        <f>IFERROR(__xludf.DUMMYFUNCTION("""COMPUTED_VALUE"""),1.0)</f>
        <v>1</v>
      </c>
      <c r="M9838" s="4" t="str">
        <f>IFERROR(__xludf.DUMMYFUNCTION("""COMPUTED_VALUE"""),"Anove Tecnologia")</f>
        <v>Anove Tecnologia</v>
      </c>
      <c r="N9838" s="33">
        <f>IFERROR(__xludf.DUMMYFUNCTION("""COMPUTED_VALUE"""),1.0)</f>
        <v>1</v>
      </c>
      <c r="O9838" s="4" t="str">
        <f>IFERROR(__xludf.DUMMYFUNCTION("""COMPUTED_VALUE"""),"null")</f>
        <v>null</v>
      </c>
      <c r="P9838" s="33">
        <f>IFERROR(__xludf.DUMMYFUNCTION("""COMPUTED_VALUE"""),1.0)</f>
        <v>1</v>
      </c>
      <c r="Q9838" s="4" t="str">
        <f>IFERROR(__xludf.DUMMYFUNCTION("""COMPUTED_VALUE"""),"Anove Tecnologia")</f>
        <v>Anove Tecnologia</v>
      </c>
      <c r="R9838" s="33">
        <f>IFERROR(__xludf.DUMMYFUNCTION("""COMPUTED_VALUE"""),1.0)</f>
        <v>1</v>
      </c>
      <c r="S9838" s="4" t="str">
        <f>IFERROR(__xludf.DUMMYFUNCTION("""COMPUTED_VALUE"""),"null")</f>
        <v>null</v>
      </c>
      <c r="T9838" s="33">
        <f>IFERROR(__xludf.DUMMYFUNCTION("""COMPUTED_VALUE"""),1.0)</f>
        <v>1</v>
      </c>
      <c r="U9838" s="4" t="str">
        <f>IFERROR(__xludf.DUMMYFUNCTION("""COMPUTED_VALUE"""),"Anove Tecnologia")</f>
        <v>Anove Tecnologia</v>
      </c>
      <c r="V9838" s="33">
        <f>IFERROR(__xludf.DUMMYFUNCTION("""COMPUTED_VALUE"""),1.0)</f>
        <v>1</v>
      </c>
      <c r="W9838" s="4" t="str">
        <f>IFERROR(__xludf.DUMMYFUNCTION("""COMPUTED_VALUE"""),"Anove Tecnologia")</f>
        <v>Anove Tecnologia</v>
      </c>
      <c r="X9838" s="33">
        <f>IFERROR(__xludf.DUMMYFUNCTION("""COMPUTED_VALUE"""),1.0)</f>
        <v>1</v>
      </c>
    </row>
    <row r="9839">
      <c r="K9839" s="4" t="str">
        <f>IFERROR(__xludf.DUMMYFUNCTION("""COMPUTED_VALUE"""),"GP LANCHES")</f>
        <v>GP LANCHES</v>
      </c>
      <c r="L9839" s="32">
        <f>IFERROR(__xludf.DUMMYFUNCTION("""COMPUTED_VALUE"""),1.0)</f>
        <v>1</v>
      </c>
      <c r="M9839" s="4" t="str">
        <f>IFERROR(__xludf.DUMMYFUNCTION("""COMPUTED_VALUE"""),"null")</f>
        <v>null</v>
      </c>
      <c r="N9839" s="33">
        <f>IFERROR(__xludf.DUMMYFUNCTION("""COMPUTED_VALUE"""),1.0)</f>
        <v>1</v>
      </c>
      <c r="O9839" s="4" t="str">
        <f>IFERROR(__xludf.DUMMYFUNCTION("""COMPUTED_VALUE"""),"null")</f>
        <v>null</v>
      </c>
      <c r="P9839" s="33">
        <f>IFERROR(__xludf.DUMMYFUNCTION("""COMPUTED_VALUE"""),1.0)</f>
        <v>1</v>
      </c>
      <c r="Q9839" s="4" t="str">
        <f>IFERROR(__xludf.DUMMYFUNCTION("""COMPUTED_VALUE"""),"null")</f>
        <v>null</v>
      </c>
      <c r="R9839" s="33">
        <f>IFERROR(__xludf.DUMMYFUNCTION("""COMPUTED_VALUE"""),1.0)</f>
        <v>1</v>
      </c>
      <c r="S9839" s="4" t="str">
        <f>IFERROR(__xludf.DUMMYFUNCTION("""COMPUTED_VALUE"""),"null")</f>
        <v>null</v>
      </c>
      <c r="T9839" s="33">
        <f>IFERROR(__xludf.DUMMYFUNCTION("""COMPUTED_VALUE"""),1.0)</f>
        <v>1</v>
      </c>
      <c r="U9839" s="4" t="str">
        <f>IFERROR(__xludf.DUMMYFUNCTION("""COMPUTED_VALUE"""),"Saipos Serviços De Software")</f>
        <v>Saipos Serviços De Software</v>
      </c>
      <c r="V9839" s="33">
        <f>IFERROR(__xludf.DUMMYFUNCTION("""COMPUTED_VALUE"""),1.0)</f>
        <v>1</v>
      </c>
      <c r="W9839" s="4" t="str">
        <f>IFERROR(__xludf.DUMMYFUNCTION("""COMPUTED_VALUE"""),"Saipos Serviços De Software")</f>
        <v>Saipos Serviços De Software</v>
      </c>
      <c r="X9839" s="33">
        <f>IFERROR(__xludf.DUMMYFUNCTION("""COMPUTED_VALUE"""),1.0)</f>
        <v>1</v>
      </c>
    </row>
    <row r="9840">
      <c r="K9840" s="4" t="str">
        <f>IFERROR(__xludf.DUMMYFUNCTION("""COMPUTED_VALUE"""),"FIGO")</f>
        <v>FIGO</v>
      </c>
      <c r="L9840" s="32">
        <f>IFERROR(__xludf.DUMMYFUNCTION("""COMPUTED_VALUE"""),1.0)</f>
        <v>1</v>
      </c>
      <c r="M9840" s="4" t="str">
        <f>IFERROR(__xludf.DUMMYFUNCTION("""COMPUTED_VALUE"""),"null")</f>
        <v>null</v>
      </c>
      <c r="N9840" s="33">
        <f>IFERROR(__xludf.DUMMYFUNCTION("""COMPUTED_VALUE"""),1.0)</f>
        <v>1</v>
      </c>
      <c r="O9840" s="4" t="str">
        <f>IFERROR(__xludf.DUMMYFUNCTION("""COMPUTED_VALUE"""),"null")</f>
        <v>null</v>
      </c>
      <c r="P9840" s="33">
        <f>IFERROR(__xludf.DUMMYFUNCTION("""COMPUTED_VALUE"""),1.0)</f>
        <v>1</v>
      </c>
      <c r="Q9840" s="4" t="str">
        <f>IFERROR(__xludf.DUMMYFUNCTION("""COMPUTED_VALUE"""),"null")</f>
        <v>null</v>
      </c>
      <c r="R9840" s="33">
        <f>IFERROR(__xludf.DUMMYFUNCTION("""COMPUTED_VALUE"""),1.0)</f>
        <v>1</v>
      </c>
      <c r="S9840" s="4" t="str">
        <f>IFERROR(__xludf.DUMMYFUNCTION("""COMPUTED_VALUE"""),"null")</f>
        <v>null</v>
      </c>
      <c r="T9840" s="33">
        <f>IFERROR(__xludf.DUMMYFUNCTION("""COMPUTED_VALUE"""),1.0)</f>
        <v>1</v>
      </c>
      <c r="U9840" s="4" t="str">
        <f>IFERROR(__xludf.DUMMYFUNCTION("""COMPUTED_VALUE"""),"Consumer Soluções Em Tecnologia Ltda")</f>
        <v>Consumer Soluções Em Tecnologia Ltda</v>
      </c>
      <c r="V9840" s="33">
        <f>IFERROR(__xludf.DUMMYFUNCTION("""COMPUTED_VALUE"""),1.0)</f>
        <v>1</v>
      </c>
      <c r="W9840" s="4" t="str">
        <f>IFERROR(__xludf.DUMMYFUNCTION("""COMPUTED_VALUE"""),"Consumer Soluções Em Tecnologia Ltda")</f>
        <v>Consumer Soluções Em Tecnologia Ltda</v>
      </c>
      <c r="X9840" s="33">
        <f>IFERROR(__xludf.DUMMYFUNCTION("""COMPUTED_VALUE"""),1.0)</f>
        <v>1</v>
      </c>
    </row>
    <row r="9841">
      <c r="K9841" s="4" t="str">
        <f>IFERROR(__xludf.DUMMYFUNCTION("""COMPUTED_VALUE"""),"CONFEITARIA DA RO")</f>
        <v>CONFEITARIA DA RO</v>
      </c>
      <c r="L9841" s="32">
        <f>IFERROR(__xludf.DUMMYFUNCTION("""COMPUTED_VALUE"""),1.0)</f>
        <v>1</v>
      </c>
      <c r="M9841" s="4" t="str">
        <f>IFERROR(__xludf.DUMMYFUNCTION("""COMPUTED_VALUE"""),"Instadelivery")</f>
        <v>Instadelivery</v>
      </c>
      <c r="N9841" s="33">
        <f>IFERROR(__xludf.DUMMYFUNCTION("""COMPUTED_VALUE"""),1.0)</f>
        <v>1</v>
      </c>
      <c r="O9841" s="4" t="str">
        <f>IFERROR(__xludf.DUMMYFUNCTION("""COMPUTED_VALUE"""),"Instadelivery")</f>
        <v>Instadelivery</v>
      </c>
      <c r="P9841" s="33">
        <f>IFERROR(__xludf.DUMMYFUNCTION("""COMPUTED_VALUE"""),1.0)</f>
        <v>1</v>
      </c>
      <c r="Q9841" s="4" t="str">
        <f>IFERROR(__xludf.DUMMYFUNCTION("""COMPUTED_VALUE"""),"Instadelivery")</f>
        <v>Instadelivery</v>
      </c>
      <c r="R9841" s="33">
        <f>IFERROR(__xludf.DUMMYFUNCTION("""COMPUTED_VALUE"""),1.0)</f>
        <v>1</v>
      </c>
      <c r="S9841" s="4" t="str">
        <f>IFERROR(__xludf.DUMMYFUNCTION("""COMPUTED_VALUE"""),"Instadelivery")</f>
        <v>Instadelivery</v>
      </c>
      <c r="T9841" s="33">
        <f>IFERROR(__xludf.DUMMYFUNCTION("""COMPUTED_VALUE"""),1.0)</f>
        <v>1</v>
      </c>
      <c r="U9841" s="4" t="str">
        <f>IFERROR(__xludf.DUMMYFUNCTION("""COMPUTED_VALUE"""),"Instadelivery")</f>
        <v>Instadelivery</v>
      </c>
      <c r="V9841" s="33">
        <f>IFERROR(__xludf.DUMMYFUNCTION("""COMPUTED_VALUE"""),1.0)</f>
        <v>1</v>
      </c>
      <c r="W9841" s="4" t="str">
        <f>IFERROR(__xludf.DUMMYFUNCTION("""COMPUTED_VALUE"""),"null")</f>
        <v>null</v>
      </c>
      <c r="X9841" s="33">
        <f>IFERROR(__xludf.DUMMYFUNCTION("""COMPUTED_VALUE"""),1.0)</f>
        <v>1</v>
      </c>
    </row>
    <row r="9842">
      <c r="K9842" s="4" t="str">
        <f>IFERROR(__xludf.DUMMYFUNCTION("""COMPUTED_VALUE"""),"DRUGSTORE POPULAR - ANDORINHAS")</f>
        <v>DRUGSTORE POPULAR - ANDORINHAS</v>
      </c>
      <c r="L9842" s="32">
        <f>IFERROR(__xludf.DUMMYFUNCTION("""COMPUTED_VALUE"""),1.0)</f>
        <v>1</v>
      </c>
      <c r="M9842" s="4" t="str">
        <f>IFERROR(__xludf.DUMMYFUNCTION("""COMPUTED_VALUE"""),"N/A (Not found)")</f>
        <v>N/A (Not found)</v>
      </c>
      <c r="N9842" s="33">
        <f>IFERROR(__xludf.DUMMYFUNCTION("""COMPUTED_VALUE"""),1.0)</f>
        <v>1</v>
      </c>
      <c r="O9842" s="4" t="str">
        <f>IFERROR(__xludf.DUMMYFUNCTION("""COMPUTED_VALUE"""),"N/A (Not found)")</f>
        <v>N/A (Not found)</v>
      </c>
      <c r="P9842" s="33">
        <f>IFERROR(__xludf.DUMMYFUNCTION("""COMPUTED_VALUE"""),1.0)</f>
        <v>1</v>
      </c>
      <c r="Q9842" s="4" t="str">
        <f>IFERROR(__xludf.DUMMYFUNCTION("""COMPUTED_VALUE"""),"N/A (Not found)")</f>
        <v>N/A (Not found)</v>
      </c>
      <c r="R9842" s="33">
        <f>IFERROR(__xludf.DUMMYFUNCTION("""COMPUTED_VALUE"""),1.0)</f>
        <v>1</v>
      </c>
      <c r="S9842" s="4" t="str">
        <f>IFERROR(__xludf.DUMMYFUNCTION("""COMPUTED_VALUE"""),"N/A (Not found)")</f>
        <v>N/A (Not found)</v>
      </c>
      <c r="T9842" s="33">
        <f>IFERROR(__xludf.DUMMYFUNCTION("""COMPUTED_VALUE"""),1.0)</f>
        <v>1</v>
      </c>
      <c r="U9842" s="4" t="str">
        <f>IFERROR(__xludf.DUMMYFUNCTION("""COMPUTED_VALUE"""),"N/A (Not found)")</f>
        <v>N/A (Not found)</v>
      </c>
      <c r="V9842" s="33">
        <f>IFERROR(__xludf.DUMMYFUNCTION("""COMPUTED_VALUE"""),1.0)</f>
        <v>1</v>
      </c>
      <c r="W9842" s="4" t="str">
        <f>IFERROR(__xludf.DUMMYFUNCTION("""COMPUTED_VALUE"""),"N/A (Not found)")</f>
        <v>N/A (Not found)</v>
      </c>
      <c r="X9842" s="33">
        <f>IFERROR(__xludf.DUMMYFUNCTION("""COMPUTED_VALUE"""),1.0)</f>
        <v>1</v>
      </c>
    </row>
    <row r="9843">
      <c r="K9843" s="4" t="str">
        <f>IFERROR(__xludf.DUMMYFUNCTION("""COMPUTED_VALUE"""),"VERONA MASSAS")</f>
        <v>VERONA MASSAS</v>
      </c>
      <c r="L9843" s="32">
        <f>IFERROR(__xludf.DUMMYFUNCTION("""COMPUTED_VALUE"""),1.0)</f>
        <v>1</v>
      </c>
      <c r="M9843" s="4" t="str">
        <f>IFERROR(__xludf.DUMMYFUNCTION("""COMPUTED_VALUE"""),"Saipos Serviços De Software")</f>
        <v>Saipos Serviços De Software</v>
      </c>
      <c r="N9843" s="33">
        <f>IFERROR(__xludf.DUMMYFUNCTION("""COMPUTED_VALUE"""),1.0)</f>
        <v>1</v>
      </c>
      <c r="O9843" s="4" t="str">
        <f>IFERROR(__xludf.DUMMYFUNCTION("""COMPUTED_VALUE"""),"Saipos Serviços De Software")</f>
        <v>Saipos Serviços De Software</v>
      </c>
      <c r="P9843" s="33">
        <f>IFERROR(__xludf.DUMMYFUNCTION("""COMPUTED_VALUE"""),1.0)</f>
        <v>1</v>
      </c>
      <c r="Q9843" s="4" t="str">
        <f>IFERROR(__xludf.DUMMYFUNCTION("""COMPUTED_VALUE"""),"Saipos Serviços De Software")</f>
        <v>Saipos Serviços De Software</v>
      </c>
      <c r="R9843" s="33">
        <f>IFERROR(__xludf.DUMMYFUNCTION("""COMPUTED_VALUE"""),1.0)</f>
        <v>1</v>
      </c>
      <c r="S9843" s="4" t="str">
        <f>IFERROR(__xludf.DUMMYFUNCTION("""COMPUTED_VALUE"""),"Saipos Serviços De Software")</f>
        <v>Saipos Serviços De Software</v>
      </c>
      <c r="T9843" s="33">
        <f>IFERROR(__xludf.DUMMYFUNCTION("""COMPUTED_VALUE"""),1.0)</f>
        <v>1</v>
      </c>
      <c r="U9843" s="4" t="str">
        <f>IFERROR(__xludf.DUMMYFUNCTION("""COMPUTED_VALUE"""),"Saipos Serviços De Software")</f>
        <v>Saipos Serviços De Software</v>
      </c>
      <c r="V9843" s="33">
        <f>IFERROR(__xludf.DUMMYFUNCTION("""COMPUTED_VALUE"""),1.0)</f>
        <v>1</v>
      </c>
      <c r="W9843" s="4" t="str">
        <f>IFERROR(__xludf.DUMMYFUNCTION("""COMPUTED_VALUE"""),"Saipos Serviços De Software")</f>
        <v>Saipos Serviços De Software</v>
      </c>
      <c r="X9843" s="33">
        <f>IFERROR(__xludf.DUMMYFUNCTION("""COMPUTED_VALUE"""),1.0)</f>
        <v>1</v>
      </c>
    </row>
    <row r="9844">
      <c r="K9844" s="4" t="str">
        <f>IFERROR(__xludf.DUMMYFUNCTION("""COMPUTED_VALUE"""),"MASSAGUEIRINHA PIRANHAS")</f>
        <v>MASSAGUEIRINHA PIRANHAS</v>
      </c>
      <c r="L9844" s="32">
        <f>IFERROR(__xludf.DUMMYFUNCTION("""COMPUTED_VALUE"""),1.0)</f>
        <v>1</v>
      </c>
      <c r="M9844" s="4" t="str">
        <f>IFERROR(__xludf.DUMMYFUNCTION("""COMPUTED_VALUE"""),"Huppersys Tecnologia")</f>
        <v>Huppersys Tecnologia</v>
      </c>
      <c r="N9844" s="33">
        <f>IFERROR(__xludf.DUMMYFUNCTION("""COMPUTED_VALUE"""),1.0)</f>
        <v>1</v>
      </c>
      <c r="O9844" s="4" t="str">
        <f>IFERROR(__xludf.DUMMYFUNCTION("""COMPUTED_VALUE"""),"null")</f>
        <v>null</v>
      </c>
      <c r="P9844" s="33">
        <f>IFERROR(__xludf.DUMMYFUNCTION("""COMPUTED_VALUE"""),1.0)</f>
        <v>1</v>
      </c>
      <c r="Q9844" s="4" t="str">
        <f>IFERROR(__xludf.DUMMYFUNCTION("""COMPUTED_VALUE"""),"null")</f>
        <v>null</v>
      </c>
      <c r="R9844" s="33">
        <f>IFERROR(__xludf.DUMMYFUNCTION("""COMPUTED_VALUE"""),1.0)</f>
        <v>1</v>
      </c>
      <c r="S9844" s="4" t="str">
        <f>IFERROR(__xludf.DUMMYFUNCTION("""COMPUTED_VALUE"""),"null")</f>
        <v>null</v>
      </c>
      <c r="T9844" s="33">
        <f>IFERROR(__xludf.DUMMYFUNCTION("""COMPUTED_VALUE"""),1.0)</f>
        <v>1</v>
      </c>
      <c r="U9844" s="4" t="str">
        <f>IFERROR(__xludf.DUMMYFUNCTION("""COMPUTED_VALUE"""),"null")</f>
        <v>null</v>
      </c>
      <c r="V9844" s="33">
        <f>IFERROR(__xludf.DUMMYFUNCTION("""COMPUTED_VALUE"""),1.0)</f>
        <v>1</v>
      </c>
      <c r="W9844" s="4" t="str">
        <f>IFERROR(__xludf.DUMMYFUNCTION("""COMPUTED_VALUE"""),"null")</f>
        <v>null</v>
      </c>
      <c r="X9844" s="33">
        <f>IFERROR(__xludf.DUMMYFUNCTION("""COMPUTED_VALUE"""),1.0)</f>
        <v>1</v>
      </c>
    </row>
    <row r="9845">
      <c r="K9845" s="4" t="str">
        <f>IFERROR(__xludf.DUMMYFUNCTION("""COMPUTED_VALUE"""),"JV BEBIDAS")</f>
        <v>JV BEBIDAS</v>
      </c>
      <c r="L9845" s="32">
        <f>IFERROR(__xludf.DUMMYFUNCTION("""COMPUTED_VALUE"""),1.0)</f>
        <v>1</v>
      </c>
      <c r="M9845" s="4" t="str">
        <f>IFERROR(__xludf.DUMMYFUNCTION("""COMPUTED_VALUE"""),"N/A (Not found)")</f>
        <v>N/A (Not found)</v>
      </c>
      <c r="N9845" s="33">
        <f>IFERROR(__xludf.DUMMYFUNCTION("""COMPUTED_VALUE"""),1.0)</f>
        <v>1</v>
      </c>
      <c r="O9845" s="4" t="str">
        <f>IFERROR(__xludf.DUMMYFUNCTION("""COMPUTED_VALUE"""),"N/A (Not found)")</f>
        <v>N/A (Not found)</v>
      </c>
      <c r="P9845" s="33">
        <f>IFERROR(__xludf.DUMMYFUNCTION("""COMPUTED_VALUE"""),1.0)</f>
        <v>1</v>
      </c>
      <c r="Q9845" s="4" t="str">
        <f>IFERROR(__xludf.DUMMYFUNCTION("""COMPUTED_VALUE"""),"null")</f>
        <v>null</v>
      </c>
      <c r="R9845" s="33">
        <f>IFERROR(__xludf.DUMMYFUNCTION("""COMPUTED_VALUE"""),1.0)</f>
        <v>1</v>
      </c>
      <c r="S9845" s="4" t="str">
        <f>IFERROR(__xludf.DUMMYFUNCTION("""COMPUTED_VALUE"""),"null")</f>
        <v>null</v>
      </c>
      <c r="T9845" s="33">
        <f>IFERROR(__xludf.DUMMYFUNCTION("""COMPUTED_VALUE"""),1.0)</f>
        <v>1</v>
      </c>
      <c r="U9845" s="4" t="str">
        <f>IFERROR(__xludf.DUMMYFUNCTION("""COMPUTED_VALUE"""),"null")</f>
        <v>null</v>
      </c>
      <c r="V9845" s="33">
        <f>IFERROR(__xludf.DUMMYFUNCTION("""COMPUTED_VALUE"""),1.0)</f>
        <v>1</v>
      </c>
      <c r="W9845" s="4" t="str">
        <f>IFERROR(__xludf.DUMMYFUNCTION("""COMPUTED_VALUE"""),"null")</f>
        <v>null</v>
      </c>
      <c r="X9845" s="33">
        <f>IFERROR(__xludf.DUMMYFUNCTION("""COMPUTED_VALUE"""),1.0)</f>
        <v>1</v>
      </c>
    </row>
    <row r="9846">
      <c r="K9846" s="4" t="str">
        <f>IFERROR(__xludf.DUMMYFUNCTION("""COMPUTED_VALUE"""),"KING PIZZARIA - PIZZAS E ESFIHAS")</f>
        <v>KING PIZZARIA - PIZZAS E ESFIHAS</v>
      </c>
      <c r="L9846" s="32">
        <f>IFERROR(__xludf.DUMMYFUNCTION("""COMPUTED_VALUE"""),1.0)</f>
        <v>1</v>
      </c>
      <c r="M9846" s="4" t="str">
        <f>IFERROR(__xludf.DUMMYFUNCTION("""COMPUTED_VALUE"""),"Expresso Delivery")</f>
        <v>Expresso Delivery</v>
      </c>
      <c r="N9846" s="33">
        <f>IFERROR(__xludf.DUMMYFUNCTION("""COMPUTED_VALUE"""),1.0)</f>
        <v>1</v>
      </c>
      <c r="O9846" s="4" t="str">
        <f>IFERROR(__xludf.DUMMYFUNCTION("""COMPUTED_VALUE"""),"Expresso Delivery")</f>
        <v>Expresso Delivery</v>
      </c>
      <c r="P9846" s="33">
        <f>IFERROR(__xludf.DUMMYFUNCTION("""COMPUTED_VALUE"""),1.0)</f>
        <v>1</v>
      </c>
      <c r="Q9846" s="4" t="str">
        <f>IFERROR(__xludf.DUMMYFUNCTION("""COMPUTED_VALUE"""),"Expresso Delivery")</f>
        <v>Expresso Delivery</v>
      </c>
      <c r="R9846" s="33">
        <f>IFERROR(__xludf.DUMMYFUNCTION("""COMPUTED_VALUE"""),1.0)</f>
        <v>1</v>
      </c>
      <c r="S9846" s="4" t="str">
        <f>IFERROR(__xludf.DUMMYFUNCTION("""COMPUTED_VALUE"""),"Expresso Delivery")</f>
        <v>Expresso Delivery</v>
      </c>
      <c r="T9846" s="33">
        <f>IFERROR(__xludf.DUMMYFUNCTION("""COMPUTED_VALUE"""),1.0)</f>
        <v>1</v>
      </c>
      <c r="U9846" s="4" t="str">
        <f>IFERROR(__xludf.DUMMYFUNCTION("""COMPUTED_VALUE"""),"Cardápio Web")</f>
        <v>Cardápio Web</v>
      </c>
      <c r="V9846" s="33">
        <f>IFERROR(__xludf.DUMMYFUNCTION("""COMPUTED_VALUE"""),1.0)</f>
        <v>1</v>
      </c>
      <c r="W9846" s="4" t="str">
        <f>IFERROR(__xludf.DUMMYFUNCTION("""COMPUTED_VALUE"""),"Cardápio Web")</f>
        <v>Cardápio Web</v>
      </c>
      <c r="X9846" s="33">
        <f>IFERROR(__xludf.DUMMYFUNCTION("""COMPUTED_VALUE"""),1.0)</f>
        <v>1</v>
      </c>
    </row>
    <row r="9847">
      <c r="K9847" s="4" t="str">
        <f>IFERROR(__xludf.DUMMYFUNCTION("""COMPUTED_VALUE"""),"SEVEN COOKIES FEIRA DE SANTANA")</f>
        <v>SEVEN COOKIES FEIRA DE SANTANA</v>
      </c>
      <c r="L9847" s="32">
        <f>IFERROR(__xludf.DUMMYFUNCTION("""COMPUTED_VALUE"""),1.0)</f>
        <v>1</v>
      </c>
      <c r="M9847" s="4" t="str">
        <f>IFERROR(__xludf.DUMMYFUNCTION("""COMPUTED_VALUE"""),"Cardápio Web")</f>
        <v>Cardápio Web</v>
      </c>
      <c r="N9847" s="33">
        <f>IFERROR(__xludf.DUMMYFUNCTION("""COMPUTED_VALUE"""),1.0)</f>
        <v>1</v>
      </c>
      <c r="O9847" s="4" t="str">
        <f>IFERROR(__xludf.DUMMYFUNCTION("""COMPUTED_VALUE"""),"Cardápio Web")</f>
        <v>Cardápio Web</v>
      </c>
      <c r="P9847" s="33">
        <f>IFERROR(__xludf.DUMMYFUNCTION("""COMPUTED_VALUE"""),1.0)</f>
        <v>1</v>
      </c>
      <c r="Q9847" s="4" t="str">
        <f>IFERROR(__xludf.DUMMYFUNCTION("""COMPUTED_VALUE"""),"Cardápio Web")</f>
        <v>Cardápio Web</v>
      </c>
      <c r="R9847" s="33">
        <f>IFERROR(__xludf.DUMMYFUNCTION("""COMPUTED_VALUE"""),1.0)</f>
        <v>1</v>
      </c>
      <c r="S9847" s="4" t="str">
        <f>IFERROR(__xludf.DUMMYFUNCTION("""COMPUTED_VALUE"""),"Cardápio Web")</f>
        <v>Cardápio Web</v>
      </c>
      <c r="T9847" s="33">
        <f>IFERROR(__xludf.DUMMYFUNCTION("""COMPUTED_VALUE"""),1.0)</f>
        <v>1</v>
      </c>
      <c r="U9847" s="4" t="str">
        <f>IFERROR(__xludf.DUMMYFUNCTION("""COMPUTED_VALUE"""),"Cardápio Web")</f>
        <v>Cardápio Web</v>
      </c>
      <c r="V9847" s="33">
        <f>IFERROR(__xludf.DUMMYFUNCTION("""COMPUTED_VALUE"""),1.0)</f>
        <v>1</v>
      </c>
      <c r="W9847" s="4" t="str">
        <f>IFERROR(__xludf.DUMMYFUNCTION("""COMPUTED_VALUE"""),"Cardápio Web")</f>
        <v>Cardápio Web</v>
      </c>
      <c r="X9847" s="33">
        <f>IFERROR(__xludf.DUMMYFUNCTION("""COMPUTED_VALUE"""),1.0)</f>
        <v>1</v>
      </c>
    </row>
    <row r="9848">
      <c r="K9848" s="4" t="str">
        <f>IFERROR(__xludf.DUMMYFUNCTION("""COMPUTED_VALUE"""),"THE BIG PRENSADOS")</f>
        <v>THE BIG PRENSADOS</v>
      </c>
      <c r="L9848" s="32">
        <f>IFERROR(__xludf.DUMMYFUNCTION("""COMPUTED_VALUE"""),1.0)</f>
        <v>1</v>
      </c>
      <c r="M9848" s="4" t="str">
        <f>IFERROR(__xludf.DUMMYFUNCTION("""COMPUTED_VALUE"""),"null")</f>
        <v>null</v>
      </c>
      <c r="N9848" s="33">
        <f>IFERROR(__xludf.DUMMYFUNCTION("""COMPUTED_VALUE"""),1.0)</f>
        <v>1</v>
      </c>
      <c r="O9848" s="4" t="str">
        <f>IFERROR(__xludf.DUMMYFUNCTION("""COMPUTED_VALUE"""),"null")</f>
        <v>null</v>
      </c>
      <c r="P9848" s="33">
        <f>IFERROR(__xludf.DUMMYFUNCTION("""COMPUTED_VALUE"""),1.0)</f>
        <v>1</v>
      </c>
      <c r="Q9848" s="4" t="str">
        <f>IFERROR(__xludf.DUMMYFUNCTION("""COMPUTED_VALUE"""),"null")</f>
        <v>null</v>
      </c>
      <c r="R9848" s="33">
        <f>IFERROR(__xludf.DUMMYFUNCTION("""COMPUTED_VALUE"""),1.0)</f>
        <v>1</v>
      </c>
      <c r="S9848" s="4" t="str">
        <f>IFERROR(__xludf.DUMMYFUNCTION("""COMPUTED_VALUE"""),"null")</f>
        <v>null</v>
      </c>
      <c r="T9848" s="33">
        <f>IFERROR(__xludf.DUMMYFUNCTION("""COMPUTED_VALUE"""),1.0)</f>
        <v>1</v>
      </c>
      <c r="U9848" s="4" t="str">
        <f>IFERROR(__xludf.DUMMYFUNCTION("""COMPUTED_VALUE"""),"Saipos Serviços De Software")</f>
        <v>Saipos Serviços De Software</v>
      </c>
      <c r="V9848" s="33">
        <f>IFERROR(__xludf.DUMMYFUNCTION("""COMPUTED_VALUE"""),1.0)</f>
        <v>1</v>
      </c>
      <c r="W9848" s="4" t="str">
        <f>IFERROR(__xludf.DUMMYFUNCTION("""COMPUTED_VALUE"""),"null")</f>
        <v>null</v>
      </c>
      <c r="X9848" s="33">
        <f>IFERROR(__xludf.DUMMYFUNCTION("""COMPUTED_VALUE"""),1.0)</f>
        <v>1</v>
      </c>
    </row>
    <row r="9849">
      <c r="K9849" s="4" t="str">
        <f>IFERROR(__xludf.DUMMYFUNCTION("""COMPUTED_VALUE"""),"PATE GRILL, MARMITA E HAMBURGUEIA")</f>
        <v>PATE GRILL, MARMITA E HAMBURGUEIA</v>
      </c>
      <c r="L9849" s="32">
        <f>IFERROR(__xludf.DUMMYFUNCTION("""COMPUTED_VALUE"""),1.0)</f>
        <v>1</v>
      </c>
      <c r="M9849" s="4" t="str">
        <f>IFERROR(__xludf.DUMMYFUNCTION("""COMPUTED_VALUE"""),"null")</f>
        <v>null</v>
      </c>
      <c r="N9849" s="33">
        <f>IFERROR(__xludf.DUMMYFUNCTION("""COMPUTED_VALUE"""),1.0)</f>
        <v>1</v>
      </c>
      <c r="O9849" s="4" t="str">
        <f>IFERROR(__xludf.DUMMYFUNCTION("""COMPUTED_VALUE"""),"null")</f>
        <v>null</v>
      </c>
      <c r="P9849" s="33">
        <f>IFERROR(__xludf.DUMMYFUNCTION("""COMPUTED_VALUE"""),1.0)</f>
        <v>1</v>
      </c>
      <c r="Q9849" s="4" t="str">
        <f>IFERROR(__xludf.DUMMYFUNCTION("""COMPUTED_VALUE"""),"Consumer Soluções Em Tecnologia Ltda")</f>
        <v>Consumer Soluções Em Tecnologia Ltda</v>
      </c>
      <c r="R9849" s="33">
        <f>IFERROR(__xludf.DUMMYFUNCTION("""COMPUTED_VALUE"""),1.0)</f>
        <v>1</v>
      </c>
      <c r="S9849" s="4" t="str">
        <f>IFERROR(__xludf.DUMMYFUNCTION("""COMPUTED_VALUE"""),"null")</f>
        <v>null</v>
      </c>
      <c r="T9849" s="33">
        <f>IFERROR(__xludf.DUMMYFUNCTION("""COMPUTED_VALUE"""),1.0)</f>
        <v>1</v>
      </c>
      <c r="U9849" s="4" t="str">
        <f>IFERROR(__xludf.DUMMYFUNCTION("""COMPUTED_VALUE"""),"null")</f>
        <v>null</v>
      </c>
      <c r="V9849" s="33">
        <f>IFERROR(__xludf.DUMMYFUNCTION("""COMPUTED_VALUE"""),1.0)</f>
        <v>1</v>
      </c>
      <c r="W9849" s="4" t="str">
        <f>IFERROR(__xludf.DUMMYFUNCTION("""COMPUTED_VALUE"""),"null")</f>
        <v>null</v>
      </c>
      <c r="X9849" s="33">
        <f>IFERROR(__xludf.DUMMYFUNCTION("""COMPUTED_VALUE"""),1.0)</f>
        <v>1</v>
      </c>
    </row>
    <row r="9850">
      <c r="K9850" s="4" t="str">
        <f>IFERROR(__xludf.DUMMYFUNCTION("""COMPUTED_VALUE"""),"PASTELARIA MEU XODO")</f>
        <v>PASTELARIA MEU XODO</v>
      </c>
      <c r="L9850" s="32">
        <f>IFERROR(__xludf.DUMMYFUNCTION("""COMPUTED_VALUE"""),1.0)</f>
        <v>1</v>
      </c>
      <c r="M9850" s="4" t="str">
        <f>IFERROR(__xludf.DUMMYFUNCTION("""COMPUTED_VALUE"""),"Olaclick")</f>
        <v>Olaclick</v>
      </c>
      <c r="N9850" s="33">
        <f>IFERROR(__xludf.DUMMYFUNCTION("""COMPUTED_VALUE"""),1.0)</f>
        <v>1</v>
      </c>
      <c r="O9850" s="4" t="str">
        <f>IFERROR(__xludf.DUMMYFUNCTION("""COMPUTED_VALUE"""),"Olaclick")</f>
        <v>Olaclick</v>
      </c>
      <c r="P9850" s="33">
        <f>IFERROR(__xludf.DUMMYFUNCTION("""COMPUTED_VALUE"""),1.0)</f>
        <v>1</v>
      </c>
      <c r="Q9850" s="4" t="str">
        <f>IFERROR(__xludf.DUMMYFUNCTION("""COMPUTED_VALUE"""),"null")</f>
        <v>null</v>
      </c>
      <c r="R9850" s="33">
        <f>IFERROR(__xludf.DUMMYFUNCTION("""COMPUTED_VALUE"""),1.0)</f>
        <v>1</v>
      </c>
      <c r="S9850" s="4" t="str">
        <f>IFERROR(__xludf.DUMMYFUNCTION("""COMPUTED_VALUE"""),"null")</f>
        <v>null</v>
      </c>
      <c r="T9850" s="33">
        <f>IFERROR(__xludf.DUMMYFUNCTION("""COMPUTED_VALUE"""),1.0)</f>
        <v>1</v>
      </c>
      <c r="U9850" s="4" t="str">
        <f>IFERROR(__xludf.DUMMYFUNCTION("""COMPUTED_VALUE"""),"null")</f>
        <v>null</v>
      </c>
      <c r="V9850" s="33">
        <f>IFERROR(__xludf.DUMMYFUNCTION("""COMPUTED_VALUE"""),1.0)</f>
        <v>1</v>
      </c>
      <c r="W9850" s="4" t="str">
        <f>IFERROR(__xludf.DUMMYFUNCTION("""COMPUTED_VALUE"""),"null")</f>
        <v>null</v>
      </c>
      <c r="X9850" s="33">
        <f>IFERROR(__xludf.DUMMYFUNCTION("""COMPUTED_VALUE"""),1.0)</f>
        <v>1</v>
      </c>
    </row>
    <row r="9851">
      <c r="K9851" s="4" t="str">
        <f>IFERROR(__xludf.DUMMYFUNCTION("""COMPUTED_VALUE"""),"CARAMELO HOTDOG")</f>
        <v>CARAMELO HOTDOG</v>
      </c>
      <c r="L9851" s="32">
        <f>IFERROR(__xludf.DUMMYFUNCTION("""COMPUTED_VALUE"""),1.0)</f>
        <v>1</v>
      </c>
      <c r="M9851" s="4" t="str">
        <f>IFERROR(__xludf.DUMMYFUNCTION("""COMPUTED_VALUE"""),"null")</f>
        <v>null</v>
      </c>
      <c r="N9851" s="33">
        <f>IFERROR(__xludf.DUMMYFUNCTION("""COMPUTED_VALUE"""),1.0)</f>
        <v>1</v>
      </c>
      <c r="O9851" s="4" t="str">
        <f>IFERROR(__xludf.DUMMYFUNCTION("""COMPUTED_VALUE"""),"null")</f>
        <v>null</v>
      </c>
      <c r="P9851" s="33">
        <f>IFERROR(__xludf.DUMMYFUNCTION("""COMPUTED_VALUE"""),1.0)</f>
        <v>1</v>
      </c>
      <c r="Q9851" s="4" t="str">
        <f>IFERROR(__xludf.DUMMYFUNCTION("""COMPUTED_VALUE"""),"null")</f>
        <v>null</v>
      </c>
      <c r="R9851" s="33">
        <f>IFERROR(__xludf.DUMMYFUNCTION("""COMPUTED_VALUE"""),1.0)</f>
        <v>1</v>
      </c>
      <c r="S9851" s="4" t="str">
        <f>IFERROR(__xludf.DUMMYFUNCTION("""COMPUTED_VALUE"""),"Instadelivery")</f>
        <v>Instadelivery</v>
      </c>
      <c r="T9851" s="33">
        <f>IFERROR(__xludf.DUMMYFUNCTION("""COMPUTED_VALUE"""),1.0)</f>
        <v>1</v>
      </c>
      <c r="U9851" s="4" t="str">
        <f>IFERROR(__xludf.DUMMYFUNCTION("""COMPUTED_VALUE"""),"Instadelivery")</f>
        <v>Instadelivery</v>
      </c>
      <c r="V9851" s="33">
        <f>IFERROR(__xludf.DUMMYFUNCTION("""COMPUTED_VALUE"""),1.0)</f>
        <v>1</v>
      </c>
      <c r="W9851" s="4" t="str">
        <f>IFERROR(__xludf.DUMMYFUNCTION("""COMPUTED_VALUE"""),"null")</f>
        <v>null</v>
      </c>
      <c r="X9851" s="33">
        <f>IFERROR(__xludf.DUMMYFUNCTION("""COMPUTED_VALUE"""),1.0)</f>
        <v>1</v>
      </c>
    </row>
    <row r="9852">
      <c r="K9852" s="4" t="str">
        <f>IFERROR(__xludf.DUMMYFUNCTION("""COMPUTED_VALUE"""),"COSECHAS GUANABARA BONSUCESSO")</f>
        <v>COSECHAS GUANABARA BONSUCESSO</v>
      </c>
      <c r="L9852" s="32">
        <f>IFERROR(__xludf.DUMMYFUNCTION("""COMPUTED_VALUE"""),1.0)</f>
        <v>1</v>
      </c>
      <c r="M9852" s="4" t="str">
        <f>IFERROR(__xludf.DUMMYFUNCTION("""COMPUTED_VALUE"""),"Opdv")</f>
        <v>Opdv</v>
      </c>
      <c r="N9852" s="33">
        <f>IFERROR(__xludf.DUMMYFUNCTION("""COMPUTED_VALUE"""),1.0)</f>
        <v>1</v>
      </c>
      <c r="O9852" s="4" t="str">
        <f>IFERROR(__xludf.DUMMYFUNCTION("""COMPUTED_VALUE"""),"Opdv")</f>
        <v>Opdv</v>
      </c>
      <c r="P9852" s="33">
        <f>IFERROR(__xludf.DUMMYFUNCTION("""COMPUTED_VALUE"""),1.0)</f>
        <v>1</v>
      </c>
      <c r="Q9852" s="4" t="str">
        <f>IFERROR(__xludf.DUMMYFUNCTION("""COMPUTED_VALUE"""),"Opdv")</f>
        <v>Opdv</v>
      </c>
      <c r="R9852" s="33">
        <f>IFERROR(__xludf.DUMMYFUNCTION("""COMPUTED_VALUE"""),1.0)</f>
        <v>1</v>
      </c>
      <c r="S9852" s="4" t="str">
        <f>IFERROR(__xludf.DUMMYFUNCTION("""COMPUTED_VALUE"""),"Opdv")</f>
        <v>Opdv</v>
      </c>
      <c r="T9852" s="33">
        <f>IFERROR(__xludf.DUMMYFUNCTION("""COMPUTED_VALUE"""),1.0)</f>
        <v>1</v>
      </c>
      <c r="U9852" s="4" t="str">
        <f>IFERROR(__xludf.DUMMYFUNCTION("""COMPUTED_VALUE"""),"Opdv")</f>
        <v>Opdv</v>
      </c>
      <c r="V9852" s="33">
        <f>IFERROR(__xludf.DUMMYFUNCTION("""COMPUTED_VALUE"""),1.0)</f>
        <v>1</v>
      </c>
      <c r="W9852" s="4" t="str">
        <f>IFERROR(__xludf.DUMMYFUNCTION("""COMPUTED_VALUE"""),"Opdv")</f>
        <v>Opdv</v>
      </c>
      <c r="X9852" s="33">
        <f>IFERROR(__xludf.DUMMYFUNCTION("""COMPUTED_VALUE"""),1.0)</f>
        <v>1</v>
      </c>
    </row>
    <row r="9853">
      <c r="K9853" s="4" t="str">
        <f>IFERROR(__xludf.DUMMYFUNCTION("""COMPUTED_VALUE"""),"BISTAKA LANCHES")</f>
        <v>BISTAKA LANCHES</v>
      </c>
      <c r="L9853" s="32">
        <f>IFERROR(__xludf.DUMMYFUNCTION("""COMPUTED_VALUE"""),1.0)</f>
        <v>1</v>
      </c>
      <c r="M9853" s="4" t="str">
        <f>IFERROR(__xludf.DUMMYFUNCTION("""COMPUTED_VALUE"""),"Anota Ai Solucoes Digitais S/a")</f>
        <v>Anota Ai Solucoes Digitais S/a</v>
      </c>
      <c r="N9853" s="33">
        <f>IFERROR(__xludf.DUMMYFUNCTION("""COMPUTED_VALUE"""),1.0)</f>
        <v>1</v>
      </c>
      <c r="O9853" s="4" t="str">
        <f>IFERROR(__xludf.DUMMYFUNCTION("""COMPUTED_VALUE"""),"Anota Ai Solucoes Digitais S/a")</f>
        <v>Anota Ai Solucoes Digitais S/a</v>
      </c>
      <c r="P9853" s="33">
        <f>IFERROR(__xludf.DUMMYFUNCTION("""COMPUTED_VALUE"""),1.0)</f>
        <v>1</v>
      </c>
      <c r="Q9853" s="4" t="str">
        <f>IFERROR(__xludf.DUMMYFUNCTION("""COMPUTED_VALUE"""),"null")</f>
        <v>null</v>
      </c>
      <c r="R9853" s="33">
        <f>IFERROR(__xludf.DUMMYFUNCTION("""COMPUTED_VALUE"""),1.0)</f>
        <v>1</v>
      </c>
      <c r="S9853" s="4" t="str">
        <f>IFERROR(__xludf.DUMMYFUNCTION("""COMPUTED_VALUE"""),"null")</f>
        <v>null</v>
      </c>
      <c r="T9853" s="33">
        <f>IFERROR(__xludf.DUMMYFUNCTION("""COMPUTED_VALUE"""),1.0)</f>
        <v>1</v>
      </c>
      <c r="U9853" s="4" t="str">
        <f>IFERROR(__xludf.DUMMYFUNCTION("""COMPUTED_VALUE"""),"null")</f>
        <v>null</v>
      </c>
      <c r="V9853" s="33">
        <f>IFERROR(__xludf.DUMMYFUNCTION("""COMPUTED_VALUE"""),1.0)</f>
        <v>1</v>
      </c>
      <c r="W9853" s="4" t="str">
        <f>IFERROR(__xludf.DUMMYFUNCTION("""COMPUTED_VALUE"""),"null")</f>
        <v>null</v>
      </c>
      <c r="X9853" s="33">
        <f>IFERROR(__xludf.DUMMYFUNCTION("""COMPUTED_VALUE"""),1.0)</f>
        <v>1</v>
      </c>
    </row>
    <row r="9854">
      <c r="K9854" s="4" t="str">
        <f>IFERROR(__xludf.DUMMYFUNCTION("""COMPUTED_VALUE"""),"DROGARIA FARMAZAM")</f>
        <v>DROGARIA FARMAZAM</v>
      </c>
      <c r="L9854" s="32">
        <f>IFERROR(__xludf.DUMMYFUNCTION("""COMPUTED_VALUE"""),1.0)</f>
        <v>1</v>
      </c>
      <c r="M9854" s="4" t="str">
        <f>IFERROR(__xludf.DUMMYFUNCTION("""COMPUTED_VALUE"""),"N/A (Not found)")</f>
        <v>N/A (Not found)</v>
      </c>
      <c r="N9854" s="33">
        <f>IFERROR(__xludf.DUMMYFUNCTION("""COMPUTED_VALUE"""),1.0)</f>
        <v>1</v>
      </c>
      <c r="O9854" s="4" t="str">
        <f>IFERROR(__xludf.DUMMYFUNCTION("""COMPUTED_VALUE"""),"N/A (Not found)")</f>
        <v>N/A (Not found)</v>
      </c>
      <c r="P9854" s="33">
        <f>IFERROR(__xludf.DUMMYFUNCTION("""COMPUTED_VALUE"""),1.0)</f>
        <v>1</v>
      </c>
      <c r="Q9854" s="4" t="str">
        <f>IFERROR(__xludf.DUMMYFUNCTION("""COMPUTED_VALUE"""),"N/A (Not found)")</f>
        <v>N/A (Not found)</v>
      </c>
      <c r="R9854" s="33">
        <f>IFERROR(__xludf.DUMMYFUNCTION("""COMPUTED_VALUE"""),1.0)</f>
        <v>1</v>
      </c>
      <c r="S9854" s="4" t="str">
        <f>IFERROR(__xludf.DUMMYFUNCTION("""COMPUTED_VALUE"""),"N/A (Not found)")</f>
        <v>N/A (Not found)</v>
      </c>
      <c r="T9854" s="33">
        <f>IFERROR(__xludf.DUMMYFUNCTION("""COMPUTED_VALUE"""),1.0)</f>
        <v>1</v>
      </c>
      <c r="U9854" s="4" t="str">
        <f>IFERROR(__xludf.DUMMYFUNCTION("""COMPUTED_VALUE"""),"N/A (Not found)")</f>
        <v>N/A (Not found)</v>
      </c>
      <c r="V9854" s="33">
        <f>IFERROR(__xludf.DUMMYFUNCTION("""COMPUTED_VALUE"""),1.0)</f>
        <v>1</v>
      </c>
      <c r="W9854" s="4" t="str">
        <f>IFERROR(__xludf.DUMMYFUNCTION("""COMPUTED_VALUE"""),"N/A (Not found)")</f>
        <v>N/A (Not found)</v>
      </c>
      <c r="X9854" s="33">
        <f>IFERROR(__xludf.DUMMYFUNCTION("""COMPUTED_VALUE"""),1.0)</f>
        <v>1</v>
      </c>
    </row>
    <row r="9855">
      <c r="K9855" s="4" t="str">
        <f>IFERROR(__xludf.DUMMYFUNCTION("""COMPUTED_VALUE"""),"BENDITO ACAI - CONCEICAO")</f>
        <v>BENDITO ACAI - CONCEICAO</v>
      </c>
      <c r="L9855" s="32">
        <f>IFERROR(__xludf.DUMMYFUNCTION("""COMPUTED_VALUE"""),1.0)</f>
        <v>1</v>
      </c>
      <c r="M9855" s="4" t="str">
        <f>IFERROR(__xludf.DUMMYFUNCTION("""COMPUTED_VALUE"""),"Consumer Soluções Em Tecnologia Ltda")</f>
        <v>Consumer Soluções Em Tecnologia Ltda</v>
      </c>
      <c r="N9855" s="33">
        <f>IFERROR(__xludf.DUMMYFUNCTION("""COMPUTED_VALUE"""),1.0)</f>
        <v>1</v>
      </c>
      <c r="O9855" s="4" t="str">
        <f>IFERROR(__xludf.DUMMYFUNCTION("""COMPUTED_VALUE"""),"Consumer Soluções Em Tecnologia Ltda")</f>
        <v>Consumer Soluções Em Tecnologia Ltda</v>
      </c>
      <c r="P9855" s="33">
        <f>IFERROR(__xludf.DUMMYFUNCTION("""COMPUTED_VALUE"""),1.0)</f>
        <v>1</v>
      </c>
      <c r="Q9855" s="4" t="str">
        <f>IFERROR(__xludf.DUMMYFUNCTION("""COMPUTED_VALUE"""),"Consumer Soluções Em Tecnologia Ltda")</f>
        <v>Consumer Soluções Em Tecnologia Ltda</v>
      </c>
      <c r="R9855" s="33">
        <f>IFERROR(__xludf.DUMMYFUNCTION("""COMPUTED_VALUE"""),1.0)</f>
        <v>1</v>
      </c>
      <c r="S9855" s="4" t="str">
        <f>IFERROR(__xludf.DUMMYFUNCTION("""COMPUTED_VALUE"""),"Consumer Soluções Em Tecnologia Ltda")</f>
        <v>Consumer Soluções Em Tecnologia Ltda</v>
      </c>
      <c r="T9855" s="33">
        <f>IFERROR(__xludf.DUMMYFUNCTION("""COMPUTED_VALUE"""),1.0)</f>
        <v>1</v>
      </c>
      <c r="U9855" s="4" t="str">
        <f>IFERROR(__xludf.DUMMYFUNCTION("""COMPUTED_VALUE"""),"Consumer Soluções Em Tecnologia Ltda")</f>
        <v>Consumer Soluções Em Tecnologia Ltda</v>
      </c>
      <c r="V9855" s="33">
        <f>IFERROR(__xludf.DUMMYFUNCTION("""COMPUTED_VALUE"""),1.0)</f>
        <v>1</v>
      </c>
      <c r="W9855" s="4" t="str">
        <f>IFERROR(__xludf.DUMMYFUNCTION("""COMPUTED_VALUE"""),"Consumer Soluções Em Tecnologia Ltda")</f>
        <v>Consumer Soluções Em Tecnologia Ltda</v>
      </c>
      <c r="X9855" s="33">
        <f>IFERROR(__xludf.DUMMYFUNCTION("""COMPUTED_VALUE"""),1.0)</f>
        <v>1</v>
      </c>
    </row>
    <row r="9856">
      <c r="K9856" s="4" t="str">
        <f>IFERROR(__xludf.DUMMYFUNCTION("""COMPUTED_VALUE"""),"CHICKEN HOUSE - FRANGO ASSADO E PORCOES")</f>
        <v>CHICKEN HOUSE - FRANGO ASSADO E PORCOES</v>
      </c>
      <c r="L9856" s="32">
        <f>IFERROR(__xludf.DUMMYFUNCTION("""COMPUTED_VALUE"""),1.0)</f>
        <v>1</v>
      </c>
      <c r="M9856" s="4" t="str">
        <f>IFERROR(__xludf.DUMMYFUNCTION("""COMPUTED_VALUE"""),"null")</f>
        <v>null</v>
      </c>
      <c r="N9856" s="33">
        <f>IFERROR(__xludf.DUMMYFUNCTION("""COMPUTED_VALUE"""),1.0)</f>
        <v>1</v>
      </c>
      <c r="O9856" s="4" t="str">
        <f>IFERROR(__xludf.DUMMYFUNCTION("""COMPUTED_VALUE"""),"null")</f>
        <v>null</v>
      </c>
      <c r="P9856" s="33">
        <f>IFERROR(__xludf.DUMMYFUNCTION("""COMPUTED_VALUE"""),1.0)</f>
        <v>1</v>
      </c>
      <c r="Q9856" s="4" t="str">
        <f>IFERROR(__xludf.DUMMYFUNCTION("""COMPUTED_VALUE"""),"null")</f>
        <v>null</v>
      </c>
      <c r="R9856" s="33">
        <f>IFERROR(__xludf.DUMMYFUNCTION("""COMPUTED_VALUE"""),1.0)</f>
        <v>1</v>
      </c>
      <c r="S9856" s="4" t="str">
        <f>IFERROR(__xludf.DUMMYFUNCTION("""COMPUTED_VALUE"""),"null")</f>
        <v>null</v>
      </c>
      <c r="T9856" s="33">
        <f>IFERROR(__xludf.DUMMYFUNCTION("""COMPUTED_VALUE"""),1.0)</f>
        <v>1</v>
      </c>
      <c r="U9856" s="4" t="str">
        <f>IFERROR(__xludf.DUMMYFUNCTION("""COMPUTED_VALUE"""),"Olaclick")</f>
        <v>Olaclick</v>
      </c>
      <c r="V9856" s="33">
        <f>IFERROR(__xludf.DUMMYFUNCTION("""COMPUTED_VALUE"""),1.0)</f>
        <v>1</v>
      </c>
      <c r="W9856" s="4" t="str">
        <f>IFERROR(__xludf.DUMMYFUNCTION("""COMPUTED_VALUE"""),"null")</f>
        <v>null</v>
      </c>
      <c r="X9856" s="33">
        <f>IFERROR(__xludf.DUMMYFUNCTION("""COMPUTED_VALUE"""),1.0)</f>
        <v>1</v>
      </c>
    </row>
    <row r="9857">
      <c r="K9857" s="4" t="str">
        <f>IFERROR(__xludf.DUMMYFUNCTION("""COMPUTED_VALUE"""),"VITTELIS RESTAURANTE CONTEMPORANEO")</f>
        <v>VITTELIS RESTAURANTE CONTEMPORANEO</v>
      </c>
      <c r="L9857" s="32">
        <f>IFERROR(__xludf.DUMMYFUNCTION("""COMPUTED_VALUE"""),1.0)</f>
        <v>1</v>
      </c>
      <c r="M9857" s="4" t="str">
        <f>IFERROR(__xludf.DUMMYFUNCTION("""COMPUTED_VALUE"""),"Parseint Desenvolvimento De Sistemas Ltda")</f>
        <v>Parseint Desenvolvimento De Sistemas Ltda</v>
      </c>
      <c r="N9857" s="33">
        <f>IFERROR(__xludf.DUMMYFUNCTION("""COMPUTED_VALUE"""),1.0)</f>
        <v>1</v>
      </c>
      <c r="O9857" s="4" t="str">
        <f>IFERROR(__xludf.DUMMYFUNCTION("""COMPUTED_VALUE"""),"Parseint Desenvolvimento De Sistemas Ltda")</f>
        <v>Parseint Desenvolvimento De Sistemas Ltda</v>
      </c>
      <c r="P9857" s="33">
        <f>IFERROR(__xludf.DUMMYFUNCTION("""COMPUTED_VALUE"""),1.0)</f>
        <v>1</v>
      </c>
      <c r="Q9857" s="4" t="str">
        <f>IFERROR(__xludf.DUMMYFUNCTION("""COMPUTED_VALUE"""),"null")</f>
        <v>null</v>
      </c>
      <c r="R9857" s="33">
        <f>IFERROR(__xludf.DUMMYFUNCTION("""COMPUTED_VALUE"""),1.0)</f>
        <v>1</v>
      </c>
      <c r="S9857" s="4" t="str">
        <f>IFERROR(__xludf.DUMMYFUNCTION("""COMPUTED_VALUE"""),"Parseint Desenvolvimento De Sistemas Ltda")</f>
        <v>Parseint Desenvolvimento De Sistemas Ltda</v>
      </c>
      <c r="T9857" s="33">
        <f>IFERROR(__xludf.DUMMYFUNCTION("""COMPUTED_VALUE"""),1.0)</f>
        <v>1</v>
      </c>
      <c r="U9857" s="4" t="str">
        <f>IFERROR(__xludf.DUMMYFUNCTION("""COMPUTED_VALUE"""),"Parseint Desenvolvimento De Sistemas Ltda")</f>
        <v>Parseint Desenvolvimento De Sistemas Ltda</v>
      </c>
      <c r="V9857" s="33">
        <f>IFERROR(__xludf.DUMMYFUNCTION("""COMPUTED_VALUE"""),1.0)</f>
        <v>1</v>
      </c>
      <c r="W9857" s="4" t="str">
        <f>IFERROR(__xludf.DUMMYFUNCTION("""COMPUTED_VALUE"""),"Parseint Desenvolvimento De Sistemas Ltda")</f>
        <v>Parseint Desenvolvimento De Sistemas Ltda</v>
      </c>
      <c r="X9857" s="33">
        <f>IFERROR(__xludf.DUMMYFUNCTION("""COMPUTED_VALUE"""),1.0)</f>
        <v>1</v>
      </c>
    </row>
    <row r="9858">
      <c r="K9858" s="4" t="str">
        <f>IFERROR(__xludf.DUMMYFUNCTION("""COMPUTED_VALUE"""),"ANGEL DOCES DO BEM")</f>
        <v>ANGEL DOCES DO BEM</v>
      </c>
      <c r="L9858" s="32">
        <f>IFERROR(__xludf.DUMMYFUNCTION("""COMPUTED_VALUE"""),1.0)</f>
        <v>1</v>
      </c>
      <c r="M9858" s="4" t="str">
        <f>IFERROR(__xludf.DUMMYFUNCTION("""COMPUTED_VALUE"""),"Mp Multipedidos")</f>
        <v>Mp Multipedidos</v>
      </c>
      <c r="N9858" s="33">
        <f>IFERROR(__xludf.DUMMYFUNCTION("""COMPUTED_VALUE"""),1.0)</f>
        <v>1</v>
      </c>
      <c r="O9858" s="4" t="str">
        <f>IFERROR(__xludf.DUMMYFUNCTION("""COMPUTED_VALUE"""),"Mp Multipedidos")</f>
        <v>Mp Multipedidos</v>
      </c>
      <c r="P9858" s="33">
        <f>IFERROR(__xludf.DUMMYFUNCTION("""COMPUTED_VALUE"""),1.0)</f>
        <v>1</v>
      </c>
      <c r="Q9858" s="4" t="str">
        <f>IFERROR(__xludf.DUMMYFUNCTION("""COMPUTED_VALUE"""),"Mp Multipedidos")</f>
        <v>Mp Multipedidos</v>
      </c>
      <c r="R9858" s="33">
        <f>IFERROR(__xludf.DUMMYFUNCTION("""COMPUTED_VALUE"""),1.0)</f>
        <v>1</v>
      </c>
      <c r="S9858" s="4" t="str">
        <f>IFERROR(__xludf.DUMMYFUNCTION("""COMPUTED_VALUE"""),"Mp Multipedidos")</f>
        <v>Mp Multipedidos</v>
      </c>
      <c r="T9858" s="33">
        <f>IFERROR(__xludf.DUMMYFUNCTION("""COMPUTED_VALUE"""),1.0)</f>
        <v>1</v>
      </c>
      <c r="U9858" s="4" t="str">
        <f>IFERROR(__xludf.DUMMYFUNCTION("""COMPUTED_VALUE"""),"Mp Multipedidos")</f>
        <v>Mp Multipedidos</v>
      </c>
      <c r="V9858" s="33">
        <f>IFERROR(__xludf.DUMMYFUNCTION("""COMPUTED_VALUE"""),1.0)</f>
        <v>1</v>
      </c>
      <c r="W9858" s="4" t="str">
        <f>IFERROR(__xludf.DUMMYFUNCTION("""COMPUTED_VALUE"""),"Mp Multipedidos")</f>
        <v>Mp Multipedidos</v>
      </c>
      <c r="X9858" s="33">
        <f>IFERROR(__xludf.DUMMYFUNCTION("""COMPUTED_VALUE"""),1.0)</f>
        <v>1</v>
      </c>
    </row>
    <row r="9859">
      <c r="K9859" s="4" t="str">
        <f>IFERROR(__xludf.DUMMYFUNCTION("""COMPUTED_VALUE"""),"PORTENO GASTRONOMIA ARGENTINA")</f>
        <v>PORTENO GASTRONOMIA ARGENTINA</v>
      </c>
      <c r="L9859" s="32">
        <f>IFERROR(__xludf.DUMMYFUNCTION("""COMPUTED_VALUE"""),1.0)</f>
        <v>1</v>
      </c>
      <c r="M9859" s="4" t="str">
        <f>IFERROR(__xludf.DUMMYFUNCTION("""COMPUTED_VALUE"""),"Yooga")</f>
        <v>Yooga</v>
      </c>
      <c r="N9859" s="33">
        <f>IFERROR(__xludf.DUMMYFUNCTION("""COMPUTED_VALUE"""),1.0)</f>
        <v>1</v>
      </c>
      <c r="O9859" s="4" t="str">
        <f>IFERROR(__xludf.DUMMYFUNCTION("""COMPUTED_VALUE"""),"Yooga")</f>
        <v>Yooga</v>
      </c>
      <c r="P9859" s="33">
        <f>IFERROR(__xludf.DUMMYFUNCTION("""COMPUTED_VALUE"""),1.0)</f>
        <v>1</v>
      </c>
      <c r="Q9859" s="4" t="str">
        <f>IFERROR(__xludf.DUMMYFUNCTION("""COMPUTED_VALUE"""),"null")</f>
        <v>null</v>
      </c>
      <c r="R9859" s="33">
        <f>IFERROR(__xludf.DUMMYFUNCTION("""COMPUTED_VALUE"""),1.0)</f>
        <v>1</v>
      </c>
      <c r="S9859" s="4" t="str">
        <f>IFERROR(__xludf.DUMMYFUNCTION("""COMPUTED_VALUE"""),"null")</f>
        <v>null</v>
      </c>
      <c r="T9859" s="33">
        <f>IFERROR(__xludf.DUMMYFUNCTION("""COMPUTED_VALUE"""),1.0)</f>
        <v>1</v>
      </c>
      <c r="U9859" s="4" t="str">
        <f>IFERROR(__xludf.DUMMYFUNCTION("""COMPUTED_VALUE"""),"null")</f>
        <v>null</v>
      </c>
      <c r="V9859" s="33">
        <f>IFERROR(__xludf.DUMMYFUNCTION("""COMPUTED_VALUE"""),1.0)</f>
        <v>1</v>
      </c>
      <c r="W9859" s="4" t="str">
        <f>IFERROR(__xludf.DUMMYFUNCTION("""COMPUTED_VALUE"""),"null")</f>
        <v>null</v>
      </c>
      <c r="X9859" s="33">
        <f>IFERROR(__xludf.DUMMYFUNCTION("""COMPUTED_VALUE"""),1.0)</f>
        <v>1</v>
      </c>
    </row>
    <row r="9860">
      <c r="K9860" s="4" t="str">
        <f>IFERROR(__xludf.DUMMYFUNCTION("""COMPUTED_VALUE"""),"SUSHI_DO_ALLAN")</f>
        <v>SUSHI_DO_ALLAN</v>
      </c>
      <c r="L9860" s="32">
        <f>IFERROR(__xludf.DUMMYFUNCTION("""COMPUTED_VALUE"""),1.0)</f>
        <v>1</v>
      </c>
      <c r="M9860" s="4" t="str">
        <f>IFERROR(__xludf.DUMMYFUNCTION("""COMPUTED_VALUE"""),"Anota Ai Solucoes Digitais S/a")</f>
        <v>Anota Ai Solucoes Digitais S/a</v>
      </c>
      <c r="N9860" s="33">
        <f>IFERROR(__xludf.DUMMYFUNCTION("""COMPUTED_VALUE"""),1.0)</f>
        <v>1</v>
      </c>
      <c r="O9860" s="4" t="str">
        <f>IFERROR(__xludf.DUMMYFUNCTION("""COMPUTED_VALUE"""),"Anota Ai Solucoes Digitais S/a")</f>
        <v>Anota Ai Solucoes Digitais S/a</v>
      </c>
      <c r="P9860" s="33">
        <f>IFERROR(__xludf.DUMMYFUNCTION("""COMPUTED_VALUE"""),1.0)</f>
        <v>1</v>
      </c>
      <c r="Q9860" s="4" t="str">
        <f>IFERROR(__xludf.DUMMYFUNCTION("""COMPUTED_VALUE"""),"Anota Ai Solucoes Digitais S/a")</f>
        <v>Anota Ai Solucoes Digitais S/a</v>
      </c>
      <c r="R9860" s="33">
        <f>IFERROR(__xludf.DUMMYFUNCTION("""COMPUTED_VALUE"""),1.0)</f>
        <v>1</v>
      </c>
      <c r="S9860" s="4" t="str">
        <f>IFERROR(__xludf.DUMMYFUNCTION("""COMPUTED_VALUE"""),"Anota Ai Solucoes Digitais S/a")</f>
        <v>Anota Ai Solucoes Digitais S/a</v>
      </c>
      <c r="T9860" s="33">
        <f>IFERROR(__xludf.DUMMYFUNCTION("""COMPUTED_VALUE"""),1.0)</f>
        <v>1</v>
      </c>
      <c r="U9860" s="4" t="str">
        <f>IFERROR(__xludf.DUMMYFUNCTION("""COMPUTED_VALUE"""),"null")</f>
        <v>null</v>
      </c>
      <c r="V9860" s="33">
        <f>IFERROR(__xludf.DUMMYFUNCTION("""COMPUTED_VALUE"""),1.0)</f>
        <v>1</v>
      </c>
      <c r="W9860" s="4" t="str">
        <f>IFERROR(__xludf.DUMMYFUNCTION("""COMPUTED_VALUE"""),"null")</f>
        <v>null</v>
      </c>
      <c r="X9860" s="33">
        <f>IFERROR(__xludf.DUMMYFUNCTION("""COMPUTED_VALUE"""),1.0)</f>
        <v>1</v>
      </c>
    </row>
    <row r="9861">
      <c r="K9861" s="4" t="str">
        <f>IFERROR(__xludf.DUMMYFUNCTION("""COMPUTED_VALUE"""),"CAFE E BISTRO FAMILIA OUVERNEY")</f>
        <v>CAFE E BISTRO FAMILIA OUVERNEY</v>
      </c>
      <c r="L9861" s="32">
        <f>IFERROR(__xludf.DUMMYFUNCTION("""COMPUTED_VALUE"""),1.0)</f>
        <v>1</v>
      </c>
      <c r="M9861" s="4" t="str">
        <f>IFERROR(__xludf.DUMMYFUNCTION("""COMPUTED_VALUE"""),"Saipos Serviços De Software")</f>
        <v>Saipos Serviços De Software</v>
      </c>
      <c r="N9861" s="33">
        <f>IFERROR(__xludf.DUMMYFUNCTION("""COMPUTED_VALUE"""),1.0)</f>
        <v>1</v>
      </c>
      <c r="O9861" s="4" t="str">
        <f>IFERROR(__xludf.DUMMYFUNCTION("""COMPUTED_VALUE"""),"Saipos Serviços De Software")</f>
        <v>Saipos Serviços De Software</v>
      </c>
      <c r="P9861" s="33">
        <f>IFERROR(__xludf.DUMMYFUNCTION("""COMPUTED_VALUE"""),1.0)</f>
        <v>1</v>
      </c>
      <c r="Q9861" s="4" t="str">
        <f>IFERROR(__xludf.DUMMYFUNCTION("""COMPUTED_VALUE"""),"null")</f>
        <v>null</v>
      </c>
      <c r="R9861" s="33">
        <f>IFERROR(__xludf.DUMMYFUNCTION("""COMPUTED_VALUE"""),1.0)</f>
        <v>1</v>
      </c>
      <c r="S9861" s="4" t="str">
        <f>IFERROR(__xludf.DUMMYFUNCTION("""COMPUTED_VALUE"""),"null")</f>
        <v>null</v>
      </c>
      <c r="T9861" s="33">
        <f>IFERROR(__xludf.DUMMYFUNCTION("""COMPUTED_VALUE"""),1.0)</f>
        <v>1</v>
      </c>
      <c r="U9861" s="4" t="str">
        <f>IFERROR(__xludf.DUMMYFUNCTION("""COMPUTED_VALUE"""),"null")</f>
        <v>null</v>
      </c>
      <c r="V9861" s="33">
        <f>IFERROR(__xludf.DUMMYFUNCTION("""COMPUTED_VALUE"""),1.0)</f>
        <v>1</v>
      </c>
      <c r="W9861" s="4" t="str">
        <f>IFERROR(__xludf.DUMMYFUNCTION("""COMPUTED_VALUE"""),"null")</f>
        <v>null</v>
      </c>
      <c r="X9861" s="33">
        <f>IFERROR(__xludf.DUMMYFUNCTION("""COMPUTED_VALUE"""),1.0)</f>
        <v>1</v>
      </c>
    </row>
    <row r="9862">
      <c r="K9862" s="4" t="str">
        <f>IFERROR(__xludf.DUMMYFUNCTION("""COMPUTED_VALUE"""),"THE MILKY - ACAI E SORVETE")</f>
        <v>THE MILKY - ACAI E SORVETE</v>
      </c>
      <c r="L9862" s="32">
        <f>IFERROR(__xludf.DUMMYFUNCTION("""COMPUTED_VALUE"""),1.0)</f>
        <v>1</v>
      </c>
      <c r="M9862" s="4" t="str">
        <f>IFERROR(__xludf.DUMMYFUNCTION("""COMPUTED_VALUE"""),"null")</f>
        <v>null</v>
      </c>
      <c r="N9862" s="33">
        <f>IFERROR(__xludf.DUMMYFUNCTION("""COMPUTED_VALUE"""),1.0)</f>
        <v>1</v>
      </c>
      <c r="O9862" s="4" t="str">
        <f>IFERROR(__xludf.DUMMYFUNCTION("""COMPUTED_VALUE"""),"null")</f>
        <v>null</v>
      </c>
      <c r="P9862" s="33">
        <f>IFERROR(__xludf.DUMMYFUNCTION("""COMPUTED_VALUE"""),1.0)</f>
        <v>1</v>
      </c>
      <c r="Q9862" s="4" t="str">
        <f>IFERROR(__xludf.DUMMYFUNCTION("""COMPUTED_VALUE"""),"Anota Ai Solucoes Digitais S/a")</f>
        <v>Anota Ai Solucoes Digitais S/a</v>
      </c>
      <c r="R9862" s="33">
        <f>IFERROR(__xludf.DUMMYFUNCTION("""COMPUTED_VALUE"""),1.0)</f>
        <v>1</v>
      </c>
      <c r="S9862" s="4" t="str">
        <f>IFERROR(__xludf.DUMMYFUNCTION("""COMPUTED_VALUE"""),"Anota Ai Solucoes Digitais S/a")</f>
        <v>Anota Ai Solucoes Digitais S/a</v>
      </c>
      <c r="T9862" s="33">
        <f>IFERROR(__xludf.DUMMYFUNCTION("""COMPUTED_VALUE"""),1.0)</f>
        <v>1</v>
      </c>
      <c r="U9862" s="4" t="str">
        <f>IFERROR(__xludf.DUMMYFUNCTION("""COMPUTED_VALUE"""),"Anota Ai Solucoes Digitais S/a")</f>
        <v>Anota Ai Solucoes Digitais S/a</v>
      </c>
      <c r="V9862" s="33">
        <f>IFERROR(__xludf.DUMMYFUNCTION("""COMPUTED_VALUE"""),1.0)</f>
        <v>1</v>
      </c>
      <c r="W9862" s="4" t="str">
        <f>IFERROR(__xludf.DUMMYFUNCTION("""COMPUTED_VALUE"""),"Anota Ai Solucoes Digitais S/a")</f>
        <v>Anota Ai Solucoes Digitais S/a</v>
      </c>
      <c r="X9862" s="33">
        <f>IFERROR(__xludf.DUMMYFUNCTION("""COMPUTED_VALUE"""),1.0)</f>
        <v>1</v>
      </c>
    </row>
    <row r="9863">
      <c r="K9863" s="4" t="str">
        <f>IFERROR(__xludf.DUMMYFUNCTION("""COMPUTED_VALUE"""),"ADEGA DO ALTO")</f>
        <v>ADEGA DO ALTO</v>
      </c>
      <c r="L9863" s="32">
        <f>IFERROR(__xludf.DUMMYFUNCTION("""COMPUTED_VALUE"""),1.0)</f>
        <v>1</v>
      </c>
      <c r="M9863" s="4" t="str">
        <f>IFERROR(__xludf.DUMMYFUNCTION("""COMPUTED_VALUE"""),"N/A (Not found)")</f>
        <v>N/A (Not found)</v>
      </c>
      <c r="N9863" s="33">
        <f>IFERROR(__xludf.DUMMYFUNCTION("""COMPUTED_VALUE"""),1.0)</f>
        <v>1</v>
      </c>
      <c r="O9863" s="4" t="str">
        <f>IFERROR(__xludf.DUMMYFUNCTION("""COMPUTED_VALUE"""),"N/A (Not found)")</f>
        <v>N/A (Not found)</v>
      </c>
      <c r="P9863" s="33">
        <f>IFERROR(__xludf.DUMMYFUNCTION("""COMPUTED_VALUE"""),1.0)</f>
        <v>1</v>
      </c>
      <c r="Q9863" s="4" t="str">
        <f>IFERROR(__xludf.DUMMYFUNCTION("""COMPUTED_VALUE"""),"N/A (Not found)")</f>
        <v>N/A (Not found)</v>
      </c>
      <c r="R9863" s="33">
        <f>IFERROR(__xludf.DUMMYFUNCTION("""COMPUTED_VALUE"""),1.0)</f>
        <v>1</v>
      </c>
      <c r="S9863" s="4" t="str">
        <f>IFERROR(__xludf.DUMMYFUNCTION("""COMPUTED_VALUE"""),"N/A (Not found)")</f>
        <v>N/A (Not found)</v>
      </c>
      <c r="T9863" s="33">
        <f>IFERROR(__xludf.DUMMYFUNCTION("""COMPUTED_VALUE"""),1.0)</f>
        <v>1</v>
      </c>
      <c r="U9863" s="4" t="str">
        <f>IFERROR(__xludf.DUMMYFUNCTION("""COMPUTED_VALUE"""),"N/A (Not found)")</f>
        <v>N/A (Not found)</v>
      </c>
      <c r="V9863" s="33">
        <f>IFERROR(__xludf.DUMMYFUNCTION("""COMPUTED_VALUE"""),1.0)</f>
        <v>1</v>
      </c>
      <c r="W9863" s="4" t="str">
        <f>IFERROR(__xludf.DUMMYFUNCTION("""COMPUTED_VALUE"""),"N/A (Not found)")</f>
        <v>N/A (Not found)</v>
      </c>
      <c r="X9863" s="33">
        <f>IFERROR(__xludf.DUMMYFUNCTION("""COMPUTED_VALUE"""),1.0)</f>
        <v>1</v>
      </c>
    </row>
    <row r="9864">
      <c r="K9864" s="4" t="str">
        <f>IFERROR(__xludf.DUMMYFUNCTION("""COMPUTED_VALUE"""),"FUKUSHI TEMAKERIA")</f>
        <v>FUKUSHI TEMAKERIA</v>
      </c>
      <c r="L9864" s="32">
        <f>IFERROR(__xludf.DUMMYFUNCTION("""COMPUTED_VALUE"""),1.0)</f>
        <v>1</v>
      </c>
      <c r="M9864" s="4" t="str">
        <f>IFERROR(__xludf.DUMMYFUNCTION("""COMPUTED_VALUE"""),"null")</f>
        <v>null</v>
      </c>
      <c r="N9864" s="33">
        <f>IFERROR(__xludf.DUMMYFUNCTION("""COMPUTED_VALUE"""),1.0)</f>
        <v>1</v>
      </c>
      <c r="O9864" s="4" t="str">
        <f>IFERROR(__xludf.DUMMYFUNCTION("""COMPUTED_VALUE"""),"null")</f>
        <v>null</v>
      </c>
      <c r="P9864" s="33">
        <f>IFERROR(__xludf.DUMMYFUNCTION("""COMPUTED_VALUE"""),1.0)</f>
        <v>1</v>
      </c>
      <c r="Q9864" s="4" t="str">
        <f>IFERROR(__xludf.DUMMYFUNCTION("""COMPUTED_VALUE"""),"Anota Ai Solucoes Digitais S/a")</f>
        <v>Anota Ai Solucoes Digitais S/a</v>
      </c>
      <c r="R9864" s="33">
        <f>IFERROR(__xludf.DUMMYFUNCTION("""COMPUTED_VALUE"""),1.0)</f>
        <v>1</v>
      </c>
      <c r="S9864" s="4" t="str">
        <f>IFERROR(__xludf.DUMMYFUNCTION("""COMPUTED_VALUE"""),"Anota Ai Solucoes Digitais S/a")</f>
        <v>Anota Ai Solucoes Digitais S/a</v>
      </c>
      <c r="T9864" s="33">
        <f>IFERROR(__xludf.DUMMYFUNCTION("""COMPUTED_VALUE"""),1.0)</f>
        <v>1</v>
      </c>
      <c r="U9864" s="4" t="str">
        <f>IFERROR(__xludf.DUMMYFUNCTION("""COMPUTED_VALUE"""),"Anota Ai Solucoes Digitais S/a")</f>
        <v>Anota Ai Solucoes Digitais S/a</v>
      </c>
      <c r="V9864" s="33">
        <f>IFERROR(__xludf.DUMMYFUNCTION("""COMPUTED_VALUE"""),1.0)</f>
        <v>1</v>
      </c>
      <c r="W9864" s="4" t="str">
        <f>IFERROR(__xludf.DUMMYFUNCTION("""COMPUTED_VALUE"""),"Anota Ai Solucoes Digitais S/a")</f>
        <v>Anota Ai Solucoes Digitais S/a</v>
      </c>
      <c r="X9864" s="33">
        <f>IFERROR(__xludf.DUMMYFUNCTION("""COMPUTED_VALUE"""),1.0)</f>
        <v>1</v>
      </c>
    </row>
    <row r="9865">
      <c r="K9865" s="4" t="str">
        <f>IFERROR(__xludf.DUMMYFUNCTION("""COMPUTED_VALUE"""),"PIZZARIA AMARIANAA")</f>
        <v>PIZZARIA AMARIANAA</v>
      </c>
      <c r="L9865" s="32">
        <f>IFERROR(__xludf.DUMMYFUNCTION("""COMPUTED_VALUE"""),1.0)</f>
        <v>1</v>
      </c>
      <c r="M9865" s="4" t="str">
        <f>IFERROR(__xludf.DUMMYFUNCTION("""COMPUTED_VALUE"""),"Anota Ai Solucoes Digitais S/a")</f>
        <v>Anota Ai Solucoes Digitais S/a</v>
      </c>
      <c r="N9865" s="33">
        <f>IFERROR(__xludf.DUMMYFUNCTION("""COMPUTED_VALUE"""),1.0)</f>
        <v>1</v>
      </c>
      <c r="O9865" s="4" t="str">
        <f>IFERROR(__xludf.DUMMYFUNCTION("""COMPUTED_VALUE"""),"null")</f>
        <v>null</v>
      </c>
      <c r="P9865" s="33">
        <f>IFERROR(__xludf.DUMMYFUNCTION("""COMPUTED_VALUE"""),1.0)</f>
        <v>1</v>
      </c>
      <c r="Q9865" s="4" t="str">
        <f>IFERROR(__xludf.DUMMYFUNCTION("""COMPUTED_VALUE"""),"null")</f>
        <v>null</v>
      </c>
      <c r="R9865" s="33">
        <f>IFERROR(__xludf.DUMMYFUNCTION("""COMPUTED_VALUE"""),1.0)</f>
        <v>1</v>
      </c>
      <c r="S9865" s="4" t="str">
        <f>IFERROR(__xludf.DUMMYFUNCTION("""COMPUTED_VALUE"""),"Anota Ai Solucoes Digitais S/a")</f>
        <v>Anota Ai Solucoes Digitais S/a</v>
      </c>
      <c r="T9865" s="33">
        <f>IFERROR(__xludf.DUMMYFUNCTION("""COMPUTED_VALUE"""),1.0)</f>
        <v>1</v>
      </c>
      <c r="U9865" s="4" t="str">
        <f>IFERROR(__xludf.DUMMYFUNCTION("""COMPUTED_VALUE"""),"null")</f>
        <v>null</v>
      </c>
      <c r="V9865" s="33">
        <f>IFERROR(__xludf.DUMMYFUNCTION("""COMPUTED_VALUE"""),1.0)</f>
        <v>1</v>
      </c>
      <c r="W9865" s="4" t="str">
        <f>IFERROR(__xludf.DUMMYFUNCTION("""COMPUTED_VALUE"""),"null")</f>
        <v>null</v>
      </c>
      <c r="X9865" s="33">
        <f>IFERROR(__xludf.DUMMYFUNCTION("""COMPUTED_VALUE"""),1.0)</f>
        <v>1</v>
      </c>
    </row>
    <row r="9866">
      <c r="K9866" s="4" t="str">
        <f>IFERROR(__xludf.DUMMYFUNCTION("""COMPUTED_VALUE"""),"SUNSET UBAR")</f>
        <v>SUNSET UBAR</v>
      </c>
      <c r="L9866" s="32">
        <f>IFERROR(__xludf.DUMMYFUNCTION("""COMPUTED_VALUE"""),1.0)</f>
        <v>1</v>
      </c>
      <c r="M9866" s="4" t="str">
        <f>IFERROR(__xludf.DUMMYFUNCTION("""COMPUTED_VALUE"""),"Anota Ai Solucoes Digitais S/a")</f>
        <v>Anota Ai Solucoes Digitais S/a</v>
      </c>
      <c r="N9866" s="33">
        <f>IFERROR(__xludf.DUMMYFUNCTION("""COMPUTED_VALUE"""),1.0)</f>
        <v>1</v>
      </c>
      <c r="O9866" s="4" t="str">
        <f>IFERROR(__xludf.DUMMYFUNCTION("""COMPUTED_VALUE"""),"Anota Ai Solucoes Digitais S/a")</f>
        <v>Anota Ai Solucoes Digitais S/a</v>
      </c>
      <c r="P9866" s="33">
        <f>IFERROR(__xludf.DUMMYFUNCTION("""COMPUTED_VALUE"""),1.0)</f>
        <v>1</v>
      </c>
      <c r="Q9866" s="4" t="str">
        <f>IFERROR(__xludf.DUMMYFUNCTION("""COMPUTED_VALUE"""),"Saipos Serviços De Software")</f>
        <v>Saipos Serviços De Software</v>
      </c>
      <c r="R9866" s="33">
        <f>IFERROR(__xludf.DUMMYFUNCTION("""COMPUTED_VALUE"""),1.0)</f>
        <v>1</v>
      </c>
      <c r="S9866" s="4" t="str">
        <f>IFERROR(__xludf.DUMMYFUNCTION("""COMPUTED_VALUE"""),"Saipos Serviços De Software")</f>
        <v>Saipos Serviços De Software</v>
      </c>
      <c r="T9866" s="33">
        <f>IFERROR(__xludf.DUMMYFUNCTION("""COMPUTED_VALUE"""),1.0)</f>
        <v>1</v>
      </c>
      <c r="U9866" s="4" t="str">
        <f>IFERROR(__xludf.DUMMYFUNCTION("""COMPUTED_VALUE"""),"Saipos Serviços De Software")</f>
        <v>Saipos Serviços De Software</v>
      </c>
      <c r="V9866" s="33">
        <f>IFERROR(__xludf.DUMMYFUNCTION("""COMPUTED_VALUE"""),1.0)</f>
        <v>1</v>
      </c>
      <c r="W9866" s="4" t="str">
        <f>IFERROR(__xludf.DUMMYFUNCTION("""COMPUTED_VALUE"""),"null")</f>
        <v>null</v>
      </c>
      <c r="X9866" s="33">
        <f>IFERROR(__xludf.DUMMYFUNCTION("""COMPUTED_VALUE"""),1.0)</f>
        <v>1</v>
      </c>
    </row>
    <row r="9867">
      <c r="K9867" s="4" t="str">
        <f>IFERROR(__xludf.DUMMYFUNCTION("""COMPUTED_VALUE"""),"SUPERMERCADO FRANCA")</f>
        <v>SUPERMERCADO FRANCA</v>
      </c>
      <c r="L9867" s="32">
        <f>IFERROR(__xludf.DUMMYFUNCTION("""COMPUTED_VALUE"""),1.0)</f>
        <v>1</v>
      </c>
      <c r="M9867" s="4" t="str">
        <f>IFERROR(__xludf.DUMMYFUNCTION("""COMPUTED_VALUE"""),"N/A (Not found)")</f>
        <v>N/A (Not found)</v>
      </c>
      <c r="N9867" s="33">
        <f>IFERROR(__xludf.DUMMYFUNCTION("""COMPUTED_VALUE"""),1.0)</f>
        <v>1</v>
      </c>
      <c r="O9867" s="4" t="str">
        <f>IFERROR(__xludf.DUMMYFUNCTION("""COMPUTED_VALUE"""),"null")</f>
        <v>null</v>
      </c>
      <c r="P9867" s="33">
        <f>IFERROR(__xludf.DUMMYFUNCTION("""COMPUTED_VALUE"""),1.0)</f>
        <v>1</v>
      </c>
      <c r="Q9867" s="4" t="str">
        <f>IFERROR(__xludf.DUMMYFUNCTION("""COMPUTED_VALUE"""),"null")</f>
        <v>null</v>
      </c>
      <c r="R9867" s="33">
        <f>IFERROR(__xludf.DUMMYFUNCTION("""COMPUTED_VALUE"""),1.0)</f>
        <v>1</v>
      </c>
      <c r="S9867" s="4" t="str">
        <f>IFERROR(__xludf.DUMMYFUNCTION("""COMPUTED_VALUE"""),"null")</f>
        <v>null</v>
      </c>
      <c r="T9867" s="33">
        <f>IFERROR(__xludf.DUMMYFUNCTION("""COMPUTED_VALUE"""),1.0)</f>
        <v>1</v>
      </c>
      <c r="U9867" s="4" t="str">
        <f>IFERROR(__xludf.DUMMYFUNCTION("""COMPUTED_VALUE"""),"null")</f>
        <v>null</v>
      </c>
      <c r="V9867" s="33">
        <f>IFERROR(__xludf.DUMMYFUNCTION("""COMPUTED_VALUE"""),1.0)</f>
        <v>1</v>
      </c>
      <c r="W9867" s="4" t="str">
        <f>IFERROR(__xludf.DUMMYFUNCTION("""COMPUTED_VALUE"""),"null")</f>
        <v>null</v>
      </c>
      <c r="X9867" s="33">
        <f>IFERROR(__xludf.DUMMYFUNCTION("""COMPUTED_VALUE"""),1.0)</f>
        <v>1</v>
      </c>
    </row>
    <row r="9868">
      <c r="K9868" s="4" t="str">
        <f>IFERROR(__xludf.DUMMYFUNCTION("""COMPUTED_VALUE"""),"BELGA PUB - MARMITAS, ALMOCO BURGERS")</f>
        <v>BELGA PUB - MARMITAS, ALMOCO BURGERS</v>
      </c>
      <c r="L9868" s="32">
        <f>IFERROR(__xludf.DUMMYFUNCTION("""COMPUTED_VALUE"""),1.0)</f>
        <v>1</v>
      </c>
      <c r="M9868" s="4" t="str">
        <f>IFERROR(__xludf.DUMMYFUNCTION("""COMPUTED_VALUE"""),"null")</f>
        <v>null</v>
      </c>
      <c r="N9868" s="33">
        <f>IFERROR(__xludf.DUMMYFUNCTION("""COMPUTED_VALUE"""),1.0)</f>
        <v>1</v>
      </c>
      <c r="O9868" s="4" t="str">
        <f>IFERROR(__xludf.DUMMYFUNCTION("""COMPUTED_VALUE"""),"null")</f>
        <v>null</v>
      </c>
      <c r="P9868" s="33">
        <f>IFERROR(__xludf.DUMMYFUNCTION("""COMPUTED_VALUE"""),1.0)</f>
        <v>1</v>
      </c>
      <c r="Q9868" s="4" t="str">
        <f>IFERROR(__xludf.DUMMYFUNCTION("""COMPUTED_VALUE"""),"null")</f>
        <v>null</v>
      </c>
      <c r="R9868" s="33">
        <f>IFERROR(__xludf.DUMMYFUNCTION("""COMPUTED_VALUE"""),1.0)</f>
        <v>1</v>
      </c>
      <c r="S9868" s="4" t="str">
        <f>IFERROR(__xludf.DUMMYFUNCTION("""COMPUTED_VALUE"""),"null")</f>
        <v>null</v>
      </c>
      <c r="T9868" s="33">
        <f>IFERROR(__xludf.DUMMYFUNCTION("""COMPUTED_VALUE"""),1.0)</f>
        <v>1</v>
      </c>
      <c r="U9868" s="4" t="str">
        <f>IFERROR(__xludf.DUMMYFUNCTION("""COMPUTED_VALUE"""),"Cardápio Web")</f>
        <v>Cardápio Web</v>
      </c>
      <c r="V9868" s="33">
        <f>IFERROR(__xludf.DUMMYFUNCTION("""COMPUTED_VALUE"""),1.0)</f>
        <v>1</v>
      </c>
      <c r="W9868" s="4" t="str">
        <f>IFERROR(__xludf.DUMMYFUNCTION("""COMPUTED_VALUE"""),"Cardápio Web")</f>
        <v>Cardápio Web</v>
      </c>
      <c r="X9868" s="33">
        <f>IFERROR(__xludf.DUMMYFUNCTION("""COMPUTED_VALUE"""),1.0)</f>
        <v>1</v>
      </c>
    </row>
    <row r="9869">
      <c r="K9869" s="4" t="str">
        <f>IFERROR(__xludf.DUMMYFUNCTION("""COMPUTED_VALUE"""),"ACARAJE DA ROSE")</f>
        <v>ACARAJE DA ROSE</v>
      </c>
      <c r="L9869" s="32">
        <f>IFERROR(__xludf.DUMMYFUNCTION("""COMPUTED_VALUE"""),1.0)</f>
        <v>1</v>
      </c>
      <c r="M9869" s="4" t="str">
        <f>IFERROR(__xludf.DUMMYFUNCTION("""COMPUTED_VALUE"""),"null")</f>
        <v>null</v>
      </c>
      <c r="N9869" s="33">
        <f>IFERROR(__xludf.DUMMYFUNCTION("""COMPUTED_VALUE"""),1.0)</f>
        <v>1</v>
      </c>
      <c r="O9869" s="4" t="str">
        <f>IFERROR(__xludf.DUMMYFUNCTION("""COMPUTED_VALUE"""),"Orange Labs")</f>
        <v>Orange Labs</v>
      </c>
      <c r="P9869" s="33">
        <f>IFERROR(__xludf.DUMMYFUNCTION("""COMPUTED_VALUE"""),1.0)</f>
        <v>1</v>
      </c>
      <c r="Q9869" s="4" t="str">
        <f>IFERROR(__xludf.DUMMYFUNCTION("""COMPUTED_VALUE"""),"Orange Labs")</f>
        <v>Orange Labs</v>
      </c>
      <c r="R9869" s="33">
        <f>IFERROR(__xludf.DUMMYFUNCTION("""COMPUTED_VALUE"""),1.0)</f>
        <v>1</v>
      </c>
      <c r="S9869" s="4" t="str">
        <f>IFERROR(__xludf.DUMMYFUNCTION("""COMPUTED_VALUE"""),"Orange Labs")</f>
        <v>Orange Labs</v>
      </c>
      <c r="T9869" s="33">
        <f>IFERROR(__xludf.DUMMYFUNCTION("""COMPUTED_VALUE"""),1.0)</f>
        <v>1</v>
      </c>
      <c r="U9869" s="4" t="str">
        <f>IFERROR(__xludf.DUMMYFUNCTION("""COMPUTED_VALUE"""),"Orange Labs")</f>
        <v>Orange Labs</v>
      </c>
      <c r="V9869" s="33">
        <f>IFERROR(__xludf.DUMMYFUNCTION("""COMPUTED_VALUE"""),1.0)</f>
        <v>1</v>
      </c>
      <c r="W9869" s="4" t="str">
        <f>IFERROR(__xludf.DUMMYFUNCTION("""COMPUTED_VALUE"""),"Orange Labs")</f>
        <v>Orange Labs</v>
      </c>
      <c r="X9869" s="33">
        <f>IFERROR(__xludf.DUMMYFUNCTION("""COMPUTED_VALUE"""),1.0)</f>
        <v>1</v>
      </c>
    </row>
    <row r="9870">
      <c r="K9870" s="4" t="str">
        <f>IFERROR(__xludf.DUMMYFUNCTION("""COMPUTED_VALUE"""),"FUT BURGER - HAMBURGUERIA")</f>
        <v>FUT BURGER - HAMBURGUERIA</v>
      </c>
      <c r="L9870" s="32">
        <f>IFERROR(__xludf.DUMMYFUNCTION("""COMPUTED_VALUE"""),1.0)</f>
        <v>1</v>
      </c>
      <c r="M9870" s="4" t="str">
        <f>IFERROR(__xludf.DUMMYFUNCTION("""COMPUTED_VALUE"""),"null")</f>
        <v>null</v>
      </c>
      <c r="N9870" s="33">
        <f>IFERROR(__xludf.DUMMYFUNCTION("""COMPUTED_VALUE"""),1.0)</f>
        <v>1</v>
      </c>
      <c r="O9870" s="4" t="str">
        <f>IFERROR(__xludf.DUMMYFUNCTION("""COMPUTED_VALUE"""),"null")</f>
        <v>null</v>
      </c>
      <c r="P9870" s="33">
        <f>IFERROR(__xludf.DUMMYFUNCTION("""COMPUTED_VALUE"""),1.0)</f>
        <v>1</v>
      </c>
      <c r="Q9870" s="4" t="str">
        <f>IFERROR(__xludf.DUMMYFUNCTION("""COMPUTED_VALUE"""),"null")</f>
        <v>null</v>
      </c>
      <c r="R9870" s="33">
        <f>IFERROR(__xludf.DUMMYFUNCTION("""COMPUTED_VALUE"""),1.0)</f>
        <v>1</v>
      </c>
      <c r="S9870" s="4" t="str">
        <f>IFERROR(__xludf.DUMMYFUNCTION("""COMPUTED_VALUE"""),"null")</f>
        <v>null</v>
      </c>
      <c r="T9870" s="33">
        <f>IFERROR(__xludf.DUMMYFUNCTION("""COMPUTED_VALUE"""),1.0)</f>
        <v>1</v>
      </c>
      <c r="U9870" s="4" t="str">
        <f>IFERROR(__xludf.DUMMYFUNCTION("""COMPUTED_VALUE"""),"Brendi")</f>
        <v>Brendi</v>
      </c>
      <c r="V9870" s="33">
        <f>IFERROR(__xludf.DUMMYFUNCTION("""COMPUTED_VALUE"""),1.0)</f>
        <v>1</v>
      </c>
      <c r="W9870" s="4" t="str">
        <f>IFERROR(__xludf.DUMMYFUNCTION("""COMPUTED_VALUE"""),"Brendi")</f>
        <v>Brendi</v>
      </c>
      <c r="X9870" s="33">
        <f>IFERROR(__xludf.DUMMYFUNCTION("""COMPUTED_VALUE"""),1.0)</f>
        <v>1</v>
      </c>
    </row>
    <row r="9871">
      <c r="K9871" s="4" t="str">
        <f>IFERROR(__xludf.DUMMYFUNCTION("""COMPUTED_VALUE"""),"LOVE MASSA CTBA")</f>
        <v>LOVE MASSA CTBA</v>
      </c>
      <c r="L9871" s="32">
        <f>IFERROR(__xludf.DUMMYFUNCTION("""COMPUTED_VALUE"""),1.0)</f>
        <v>1</v>
      </c>
      <c r="M9871" s="4" t="str">
        <f>IFERROR(__xludf.DUMMYFUNCTION("""COMPUTED_VALUE"""),"null")</f>
        <v>null</v>
      </c>
      <c r="N9871" s="33">
        <f>IFERROR(__xludf.DUMMYFUNCTION("""COMPUTED_VALUE"""),1.0)</f>
        <v>1</v>
      </c>
      <c r="O9871" s="4" t="str">
        <f>IFERROR(__xludf.DUMMYFUNCTION("""COMPUTED_VALUE"""),"null")</f>
        <v>null</v>
      </c>
      <c r="P9871" s="33">
        <f>IFERROR(__xludf.DUMMYFUNCTION("""COMPUTED_VALUE"""),1.0)</f>
        <v>1</v>
      </c>
      <c r="Q9871" s="4" t="str">
        <f>IFERROR(__xludf.DUMMYFUNCTION("""COMPUTED_VALUE"""),"null")</f>
        <v>null</v>
      </c>
      <c r="R9871" s="33">
        <f>IFERROR(__xludf.DUMMYFUNCTION("""COMPUTED_VALUE"""),1.0)</f>
        <v>1</v>
      </c>
      <c r="S9871" s="4" t="str">
        <f>IFERROR(__xludf.DUMMYFUNCTION("""COMPUTED_VALUE"""),"null")</f>
        <v>null</v>
      </c>
      <c r="T9871" s="33">
        <f>IFERROR(__xludf.DUMMYFUNCTION("""COMPUTED_VALUE"""),1.0)</f>
        <v>1</v>
      </c>
      <c r="U9871" s="4" t="str">
        <f>IFERROR(__xludf.DUMMYFUNCTION("""COMPUTED_VALUE"""),"Saipos Serviços De Software")</f>
        <v>Saipos Serviços De Software</v>
      </c>
      <c r="V9871" s="33">
        <f>IFERROR(__xludf.DUMMYFUNCTION("""COMPUTED_VALUE"""),1.0)</f>
        <v>1</v>
      </c>
      <c r="W9871" s="4" t="str">
        <f>IFERROR(__xludf.DUMMYFUNCTION("""COMPUTED_VALUE"""),"Saipos Serviços De Software")</f>
        <v>Saipos Serviços De Software</v>
      </c>
      <c r="X9871" s="33">
        <f>IFERROR(__xludf.DUMMYFUNCTION("""COMPUTED_VALUE"""),1.0)</f>
        <v>1</v>
      </c>
    </row>
    <row r="9872">
      <c r="K9872" s="4" t="str">
        <f>IFERROR(__xludf.DUMMYFUNCTION("""COMPUTED_VALUE"""),"FLORA MEDICE LTDA")</f>
        <v>FLORA MEDICE LTDA</v>
      </c>
      <c r="L9872" s="32">
        <f>IFERROR(__xludf.DUMMYFUNCTION("""COMPUTED_VALUE"""),1.0)</f>
        <v>1</v>
      </c>
      <c r="M9872" s="4" t="str">
        <f>IFERROR(__xludf.DUMMYFUNCTION("""COMPUTED_VALUE"""),"N/A (Not found)")</f>
        <v>N/A (Not found)</v>
      </c>
      <c r="N9872" s="33">
        <f>IFERROR(__xludf.DUMMYFUNCTION("""COMPUTED_VALUE"""),1.0)</f>
        <v>1</v>
      </c>
      <c r="O9872" s="4" t="str">
        <f>IFERROR(__xludf.DUMMYFUNCTION("""COMPUTED_VALUE"""),"N/A (Not found)")</f>
        <v>N/A (Not found)</v>
      </c>
      <c r="P9872" s="33">
        <f>IFERROR(__xludf.DUMMYFUNCTION("""COMPUTED_VALUE"""),1.0)</f>
        <v>1</v>
      </c>
      <c r="Q9872" s="4" t="str">
        <f>IFERROR(__xludf.DUMMYFUNCTION("""COMPUTED_VALUE"""),"N/A (Not found)")</f>
        <v>N/A (Not found)</v>
      </c>
      <c r="R9872" s="33">
        <f>IFERROR(__xludf.DUMMYFUNCTION("""COMPUTED_VALUE"""),1.0)</f>
        <v>1</v>
      </c>
      <c r="S9872" s="4" t="str">
        <f>IFERROR(__xludf.DUMMYFUNCTION("""COMPUTED_VALUE"""),"N/A (Not found)")</f>
        <v>N/A (Not found)</v>
      </c>
      <c r="T9872" s="33">
        <f>IFERROR(__xludf.DUMMYFUNCTION("""COMPUTED_VALUE"""),1.0)</f>
        <v>1</v>
      </c>
      <c r="U9872" s="4" t="str">
        <f>IFERROR(__xludf.DUMMYFUNCTION("""COMPUTED_VALUE"""),"N/A (Not found)")</f>
        <v>N/A (Not found)</v>
      </c>
      <c r="V9872" s="33">
        <f>IFERROR(__xludf.DUMMYFUNCTION("""COMPUTED_VALUE"""),1.0)</f>
        <v>1</v>
      </c>
      <c r="W9872" s="4" t="str">
        <f>IFERROR(__xludf.DUMMYFUNCTION("""COMPUTED_VALUE"""),"N/A (Not found)")</f>
        <v>N/A (Not found)</v>
      </c>
      <c r="X9872" s="33">
        <f>IFERROR(__xludf.DUMMYFUNCTION("""COMPUTED_VALUE"""),1.0)</f>
        <v>1</v>
      </c>
    </row>
    <row r="9873">
      <c r="K9873" s="4" t="str">
        <f>IFERROR(__xludf.DUMMYFUNCTION("""COMPUTED_VALUE"""),"MEZCLA BURGUER")</f>
        <v>MEZCLA BURGUER</v>
      </c>
      <c r="L9873" s="32">
        <f>IFERROR(__xludf.DUMMYFUNCTION("""COMPUTED_VALUE"""),1.0)</f>
        <v>1</v>
      </c>
      <c r="M9873" s="4" t="str">
        <f>IFERROR(__xludf.DUMMYFUNCTION("""COMPUTED_VALUE"""),"null")</f>
        <v>null</v>
      </c>
      <c r="N9873" s="33">
        <f>IFERROR(__xludf.DUMMYFUNCTION("""COMPUTED_VALUE"""),1.0)</f>
        <v>1</v>
      </c>
      <c r="O9873" s="4" t="str">
        <f>IFERROR(__xludf.DUMMYFUNCTION("""COMPUTED_VALUE"""),"null")</f>
        <v>null</v>
      </c>
      <c r="P9873" s="33">
        <f>IFERROR(__xludf.DUMMYFUNCTION("""COMPUTED_VALUE"""),1.0)</f>
        <v>1</v>
      </c>
      <c r="Q9873" s="4" t="str">
        <f>IFERROR(__xludf.DUMMYFUNCTION("""COMPUTED_VALUE"""),"null")</f>
        <v>null</v>
      </c>
      <c r="R9873" s="33">
        <f>IFERROR(__xludf.DUMMYFUNCTION("""COMPUTED_VALUE"""),1.0)</f>
        <v>1</v>
      </c>
      <c r="S9873" s="4" t="str">
        <f>IFERROR(__xludf.DUMMYFUNCTION("""COMPUTED_VALUE"""),"Saipos Serviços De Software")</f>
        <v>Saipos Serviços De Software</v>
      </c>
      <c r="T9873" s="33">
        <f>IFERROR(__xludf.DUMMYFUNCTION("""COMPUTED_VALUE"""),1.0)</f>
        <v>1</v>
      </c>
      <c r="U9873" s="4" t="str">
        <f>IFERROR(__xludf.DUMMYFUNCTION("""COMPUTED_VALUE"""),"Saipos Serviços De Software")</f>
        <v>Saipos Serviços De Software</v>
      </c>
      <c r="V9873" s="33">
        <f>IFERROR(__xludf.DUMMYFUNCTION("""COMPUTED_VALUE"""),1.0)</f>
        <v>1</v>
      </c>
      <c r="W9873" s="4" t="str">
        <f>IFERROR(__xludf.DUMMYFUNCTION("""COMPUTED_VALUE"""),"Saipos Serviços De Software")</f>
        <v>Saipos Serviços De Software</v>
      </c>
      <c r="X9873" s="33">
        <f>IFERROR(__xludf.DUMMYFUNCTION("""COMPUTED_VALUE"""),1.0)</f>
        <v>1</v>
      </c>
    </row>
    <row r="9874">
      <c r="K9874" s="4" t="str">
        <f>IFERROR(__xludf.DUMMYFUNCTION("""COMPUTED_VALUE"""),"RESTAURANTE CHURRASCO DA FAMILIA")</f>
        <v>RESTAURANTE CHURRASCO DA FAMILIA</v>
      </c>
      <c r="L9874" s="32">
        <f>IFERROR(__xludf.DUMMYFUNCTION("""COMPUTED_VALUE"""),1.0)</f>
        <v>1</v>
      </c>
      <c r="M9874" s="4" t="str">
        <f>IFERROR(__xludf.DUMMYFUNCTION("""COMPUTED_VALUE"""),"null")</f>
        <v>null</v>
      </c>
      <c r="N9874" s="33">
        <f>IFERROR(__xludf.DUMMYFUNCTION("""COMPUTED_VALUE"""),1.0)</f>
        <v>1</v>
      </c>
      <c r="O9874" s="4" t="str">
        <f>IFERROR(__xludf.DUMMYFUNCTION("""COMPUTED_VALUE"""),"null")</f>
        <v>null</v>
      </c>
      <c r="P9874" s="33">
        <f>IFERROR(__xludf.DUMMYFUNCTION("""COMPUTED_VALUE"""),1.0)</f>
        <v>1</v>
      </c>
      <c r="Q9874" s="4" t="str">
        <f>IFERROR(__xludf.DUMMYFUNCTION("""COMPUTED_VALUE"""),"null")</f>
        <v>null</v>
      </c>
      <c r="R9874" s="33">
        <f>IFERROR(__xludf.DUMMYFUNCTION("""COMPUTED_VALUE"""),1.0)</f>
        <v>1</v>
      </c>
      <c r="S9874" s="4" t="str">
        <f>IFERROR(__xludf.DUMMYFUNCTION("""COMPUTED_VALUE"""),"null")</f>
        <v>null</v>
      </c>
      <c r="T9874" s="33">
        <f>IFERROR(__xludf.DUMMYFUNCTION("""COMPUTED_VALUE"""),1.0)</f>
        <v>1</v>
      </c>
      <c r="U9874" s="4" t="str">
        <f>IFERROR(__xludf.DUMMYFUNCTION("""COMPUTED_VALUE"""),"Saipos Serviços De Software")</f>
        <v>Saipos Serviços De Software</v>
      </c>
      <c r="V9874" s="33">
        <f>IFERROR(__xludf.DUMMYFUNCTION("""COMPUTED_VALUE"""),1.0)</f>
        <v>1</v>
      </c>
      <c r="W9874" s="4" t="str">
        <f>IFERROR(__xludf.DUMMYFUNCTION("""COMPUTED_VALUE"""),"null")</f>
        <v>null</v>
      </c>
      <c r="X9874" s="33">
        <f>IFERROR(__xludf.DUMMYFUNCTION("""COMPUTED_VALUE"""),1.0)</f>
        <v>1</v>
      </c>
    </row>
    <row r="9875">
      <c r="K9875" s="4" t="str">
        <f>IFERROR(__xludf.DUMMYFUNCTION("""COMPUTED_VALUE"""),"MONASTERIO PIZZAS E MASSAS")</f>
        <v>MONASTERIO PIZZAS E MASSAS</v>
      </c>
      <c r="L9875" s="32">
        <f>IFERROR(__xludf.DUMMYFUNCTION("""COMPUTED_VALUE"""),1.0)</f>
        <v>1</v>
      </c>
      <c r="M9875" s="4" t="str">
        <f>IFERROR(__xludf.DUMMYFUNCTION("""COMPUTED_VALUE"""),"Expresso Delivery")</f>
        <v>Expresso Delivery</v>
      </c>
      <c r="N9875" s="33">
        <f>IFERROR(__xludf.DUMMYFUNCTION("""COMPUTED_VALUE"""),1.0)</f>
        <v>1</v>
      </c>
      <c r="O9875" s="4" t="str">
        <f>IFERROR(__xludf.DUMMYFUNCTION("""COMPUTED_VALUE"""),"Expresso Delivery")</f>
        <v>Expresso Delivery</v>
      </c>
      <c r="P9875" s="33">
        <f>IFERROR(__xludf.DUMMYFUNCTION("""COMPUTED_VALUE"""),1.0)</f>
        <v>1</v>
      </c>
      <c r="Q9875" s="4" t="str">
        <f>IFERROR(__xludf.DUMMYFUNCTION("""COMPUTED_VALUE"""),"Expresso Delivery")</f>
        <v>Expresso Delivery</v>
      </c>
      <c r="R9875" s="33">
        <f>IFERROR(__xludf.DUMMYFUNCTION("""COMPUTED_VALUE"""),1.0)</f>
        <v>1</v>
      </c>
      <c r="S9875" s="4" t="str">
        <f>IFERROR(__xludf.DUMMYFUNCTION("""COMPUTED_VALUE"""),"Expresso Delivery")</f>
        <v>Expresso Delivery</v>
      </c>
      <c r="T9875" s="33">
        <f>IFERROR(__xludf.DUMMYFUNCTION("""COMPUTED_VALUE"""),1.0)</f>
        <v>1</v>
      </c>
      <c r="U9875" s="4" t="str">
        <f>IFERROR(__xludf.DUMMYFUNCTION("""COMPUTED_VALUE"""),"Expresso Delivery")</f>
        <v>Expresso Delivery</v>
      </c>
      <c r="V9875" s="33">
        <f>IFERROR(__xludf.DUMMYFUNCTION("""COMPUTED_VALUE"""),1.0)</f>
        <v>1</v>
      </c>
      <c r="W9875" s="4" t="str">
        <f>IFERROR(__xludf.DUMMYFUNCTION("""COMPUTED_VALUE"""),"null")</f>
        <v>null</v>
      </c>
      <c r="X9875" s="33">
        <f>IFERROR(__xludf.DUMMYFUNCTION("""COMPUTED_VALUE"""),1.0)</f>
        <v>1</v>
      </c>
    </row>
    <row r="9876">
      <c r="K9876" s="4" t="str">
        <f>IFERROR(__xludf.DUMMYFUNCTION("""COMPUTED_VALUE"""),"PIZZARIA SEGREDO II")</f>
        <v>PIZZARIA SEGREDO II</v>
      </c>
      <c r="L9876" s="32">
        <f>IFERROR(__xludf.DUMMYFUNCTION("""COMPUTED_VALUE"""),1.0)</f>
        <v>1</v>
      </c>
      <c r="M9876" s="4" t="str">
        <f>IFERROR(__xludf.DUMMYFUNCTION("""COMPUTED_VALUE"""),"Datacaixa Pdv")</f>
        <v>Datacaixa Pdv</v>
      </c>
      <c r="N9876" s="33">
        <f>IFERROR(__xludf.DUMMYFUNCTION("""COMPUTED_VALUE"""),1.0)</f>
        <v>1</v>
      </c>
      <c r="O9876" s="4" t="str">
        <f>IFERROR(__xludf.DUMMYFUNCTION("""COMPUTED_VALUE"""),"Datacaixa Pdv")</f>
        <v>Datacaixa Pdv</v>
      </c>
      <c r="P9876" s="33">
        <f>IFERROR(__xludf.DUMMYFUNCTION("""COMPUTED_VALUE"""),1.0)</f>
        <v>1</v>
      </c>
      <c r="Q9876" s="4" t="str">
        <f>IFERROR(__xludf.DUMMYFUNCTION("""COMPUTED_VALUE"""),"Datacaixa Pdv")</f>
        <v>Datacaixa Pdv</v>
      </c>
      <c r="R9876" s="33">
        <f>IFERROR(__xludf.DUMMYFUNCTION("""COMPUTED_VALUE"""),1.0)</f>
        <v>1</v>
      </c>
      <c r="S9876" s="4" t="str">
        <f>IFERROR(__xludf.DUMMYFUNCTION("""COMPUTED_VALUE"""),"null")</f>
        <v>null</v>
      </c>
      <c r="T9876" s="33">
        <f>IFERROR(__xludf.DUMMYFUNCTION("""COMPUTED_VALUE"""),1.0)</f>
        <v>1</v>
      </c>
      <c r="U9876" s="4" t="str">
        <f>IFERROR(__xludf.DUMMYFUNCTION("""COMPUTED_VALUE"""),"null")</f>
        <v>null</v>
      </c>
      <c r="V9876" s="33">
        <f>IFERROR(__xludf.DUMMYFUNCTION("""COMPUTED_VALUE"""),1.0)</f>
        <v>1</v>
      </c>
      <c r="W9876" s="4" t="str">
        <f>IFERROR(__xludf.DUMMYFUNCTION("""COMPUTED_VALUE"""),"null")</f>
        <v>null</v>
      </c>
      <c r="X9876" s="33">
        <f>IFERROR(__xludf.DUMMYFUNCTION("""COMPUTED_VALUE"""),1.0)</f>
        <v>1</v>
      </c>
    </row>
    <row r="9877">
      <c r="K9877" s="4" t="str">
        <f>IFERROR(__xludf.DUMMYFUNCTION("""COMPUTED_VALUE"""),"ACAI K PREMIUM")</f>
        <v>ACAI K PREMIUM</v>
      </c>
      <c r="L9877" s="32">
        <f>IFERROR(__xludf.DUMMYFUNCTION("""COMPUTED_VALUE"""),1.0)</f>
        <v>1</v>
      </c>
      <c r="M9877" s="4" t="str">
        <f>IFERROR(__xludf.DUMMYFUNCTION("""COMPUTED_VALUE"""),"Instadelivery")</f>
        <v>Instadelivery</v>
      </c>
      <c r="N9877" s="33">
        <f>IFERROR(__xludf.DUMMYFUNCTION("""COMPUTED_VALUE"""),1.0)</f>
        <v>1</v>
      </c>
      <c r="O9877" s="4" t="str">
        <f>IFERROR(__xludf.DUMMYFUNCTION("""COMPUTED_VALUE"""),"Instadelivery")</f>
        <v>Instadelivery</v>
      </c>
      <c r="P9877" s="33">
        <f>IFERROR(__xludf.DUMMYFUNCTION("""COMPUTED_VALUE"""),1.0)</f>
        <v>1</v>
      </c>
      <c r="Q9877" s="4" t="str">
        <f>IFERROR(__xludf.DUMMYFUNCTION("""COMPUTED_VALUE"""),"Instadelivery")</f>
        <v>Instadelivery</v>
      </c>
      <c r="R9877" s="33">
        <f>IFERROR(__xludf.DUMMYFUNCTION("""COMPUTED_VALUE"""),1.0)</f>
        <v>1</v>
      </c>
      <c r="S9877" s="4" t="str">
        <f>IFERROR(__xludf.DUMMYFUNCTION("""COMPUTED_VALUE"""),"null")</f>
        <v>null</v>
      </c>
      <c r="T9877" s="33">
        <f>IFERROR(__xludf.DUMMYFUNCTION("""COMPUTED_VALUE"""),1.0)</f>
        <v>1</v>
      </c>
      <c r="U9877" s="4" t="str">
        <f>IFERROR(__xludf.DUMMYFUNCTION("""COMPUTED_VALUE"""),"null")</f>
        <v>null</v>
      </c>
      <c r="V9877" s="33">
        <f>IFERROR(__xludf.DUMMYFUNCTION("""COMPUTED_VALUE"""),1.0)</f>
        <v>1</v>
      </c>
      <c r="W9877" s="4" t="str">
        <f>IFERROR(__xludf.DUMMYFUNCTION("""COMPUTED_VALUE"""),"null")</f>
        <v>null</v>
      </c>
      <c r="X9877" s="33">
        <f>IFERROR(__xludf.DUMMYFUNCTION("""COMPUTED_VALUE"""),1.0)</f>
        <v>1</v>
      </c>
    </row>
    <row r="9878">
      <c r="K9878" s="4" t="str">
        <f>IFERROR(__xludf.DUMMYFUNCTION("""COMPUTED_VALUE"""),"MYFAMILY BRASIL")</f>
        <v>MYFAMILY BRASIL</v>
      </c>
      <c r="L9878" s="32">
        <f>IFERROR(__xludf.DUMMYFUNCTION("""COMPUTED_VALUE"""),1.0)</f>
        <v>1</v>
      </c>
      <c r="M9878" s="4" t="str">
        <f>IFERROR(__xludf.DUMMYFUNCTION("""COMPUTED_VALUE"""),"null")</f>
        <v>null</v>
      </c>
      <c r="N9878" s="33">
        <f>IFERROR(__xludf.DUMMYFUNCTION("""COMPUTED_VALUE"""),1.0)</f>
        <v>1</v>
      </c>
      <c r="O9878" s="4" t="str">
        <f>IFERROR(__xludf.DUMMYFUNCTION("""COMPUTED_VALUE"""),"null")</f>
        <v>null</v>
      </c>
      <c r="P9878" s="33">
        <f>IFERROR(__xludf.DUMMYFUNCTION("""COMPUTED_VALUE"""),1.0)</f>
        <v>1</v>
      </c>
      <c r="Q9878" s="4" t="str">
        <f>IFERROR(__xludf.DUMMYFUNCTION("""COMPUTED_VALUE"""),"null")</f>
        <v>null</v>
      </c>
      <c r="R9878" s="33">
        <f>IFERROR(__xludf.DUMMYFUNCTION("""COMPUTED_VALUE"""),1.0)</f>
        <v>1</v>
      </c>
      <c r="S9878" s="4" t="str">
        <f>IFERROR(__xludf.DUMMYFUNCTION("""COMPUTED_VALUE"""),"null")</f>
        <v>null</v>
      </c>
      <c r="T9878" s="33">
        <f>IFERROR(__xludf.DUMMYFUNCTION("""COMPUTED_VALUE"""),1.0)</f>
        <v>1</v>
      </c>
      <c r="U9878" s="4" t="str">
        <f>IFERROR(__xludf.DUMMYFUNCTION("""COMPUTED_VALUE"""),"N/A (Not found)")</f>
        <v>N/A (Not found)</v>
      </c>
      <c r="V9878" s="33">
        <f>IFERROR(__xludf.DUMMYFUNCTION("""COMPUTED_VALUE"""),1.0)</f>
        <v>1</v>
      </c>
      <c r="W9878" s="4" t="str">
        <f>IFERROR(__xludf.DUMMYFUNCTION("""COMPUTED_VALUE"""),"null")</f>
        <v>null</v>
      </c>
      <c r="X9878" s="33">
        <f>IFERROR(__xludf.DUMMYFUNCTION("""COMPUTED_VALUE"""),1.0)</f>
        <v>1</v>
      </c>
    </row>
    <row r="9879">
      <c r="K9879" s="4" t="str">
        <f>IFERROR(__xludf.DUMMYFUNCTION("""COMPUTED_VALUE"""),"PAPA RICA GOIANIA")</f>
        <v>PAPA RICA GOIANIA</v>
      </c>
      <c r="L9879" s="32">
        <f>IFERROR(__xludf.DUMMYFUNCTION("""COMPUTED_VALUE"""),1.0)</f>
        <v>1</v>
      </c>
      <c r="M9879" s="4" t="str">
        <f>IFERROR(__xludf.DUMMYFUNCTION("""COMPUTED_VALUE"""),"null")</f>
        <v>null</v>
      </c>
      <c r="N9879" s="33">
        <f>IFERROR(__xludf.DUMMYFUNCTION("""COMPUTED_VALUE"""),1.0)</f>
        <v>1</v>
      </c>
      <c r="O9879" s="4" t="str">
        <f>IFERROR(__xludf.DUMMYFUNCTION("""COMPUTED_VALUE"""),"null")</f>
        <v>null</v>
      </c>
      <c r="P9879" s="33">
        <f>IFERROR(__xludf.DUMMYFUNCTION("""COMPUTED_VALUE"""),1.0)</f>
        <v>1</v>
      </c>
      <c r="Q9879" s="4" t="str">
        <f>IFERROR(__xludf.DUMMYFUNCTION("""COMPUTED_VALUE"""),"null")</f>
        <v>null</v>
      </c>
      <c r="R9879" s="33">
        <f>IFERROR(__xludf.DUMMYFUNCTION("""COMPUTED_VALUE"""),1.0)</f>
        <v>1</v>
      </c>
      <c r="S9879" s="4" t="str">
        <f>IFERROR(__xludf.DUMMYFUNCTION("""COMPUTED_VALUE"""),"null")</f>
        <v>null</v>
      </c>
      <c r="T9879" s="33">
        <f>IFERROR(__xludf.DUMMYFUNCTION("""COMPUTED_VALUE"""),1.0)</f>
        <v>1</v>
      </c>
      <c r="U9879" s="4" t="str">
        <f>IFERROR(__xludf.DUMMYFUNCTION("""COMPUTED_VALUE"""),"Menu Integrado")</f>
        <v>Menu Integrado</v>
      </c>
      <c r="V9879" s="33">
        <f>IFERROR(__xludf.DUMMYFUNCTION("""COMPUTED_VALUE"""),1.0)</f>
        <v>1</v>
      </c>
      <c r="W9879" s="4" t="str">
        <f>IFERROR(__xludf.DUMMYFUNCTION("""COMPUTED_VALUE"""),"Menu Integrado")</f>
        <v>Menu Integrado</v>
      </c>
      <c r="X9879" s="33">
        <f>IFERROR(__xludf.DUMMYFUNCTION("""COMPUTED_VALUE"""),1.0)</f>
        <v>1</v>
      </c>
    </row>
    <row r="9880">
      <c r="K9880" s="4" t="str">
        <f>IFERROR(__xludf.DUMMYFUNCTION("""COMPUTED_VALUE"""),"ACAI NA MEDIDA")</f>
        <v>ACAI NA MEDIDA</v>
      </c>
      <c r="L9880" s="32">
        <f>IFERROR(__xludf.DUMMYFUNCTION("""COMPUTED_VALUE"""),1.0)</f>
        <v>1</v>
      </c>
      <c r="M9880" s="4" t="str">
        <f>IFERROR(__xludf.DUMMYFUNCTION("""COMPUTED_VALUE"""),"null")</f>
        <v>null</v>
      </c>
      <c r="N9880" s="33">
        <f>IFERROR(__xludf.DUMMYFUNCTION("""COMPUTED_VALUE"""),1.0)</f>
        <v>1</v>
      </c>
      <c r="O9880" s="4" t="str">
        <f>IFERROR(__xludf.DUMMYFUNCTION("""COMPUTED_VALUE"""),"null")</f>
        <v>null</v>
      </c>
      <c r="P9880" s="33">
        <f>IFERROR(__xludf.DUMMYFUNCTION("""COMPUTED_VALUE"""),1.0)</f>
        <v>1</v>
      </c>
      <c r="Q9880" s="4" t="str">
        <f>IFERROR(__xludf.DUMMYFUNCTION("""COMPUTED_VALUE"""),"null")</f>
        <v>null</v>
      </c>
      <c r="R9880" s="33">
        <f>IFERROR(__xludf.DUMMYFUNCTION("""COMPUTED_VALUE"""),1.0)</f>
        <v>1</v>
      </c>
      <c r="S9880" s="4" t="str">
        <f>IFERROR(__xludf.DUMMYFUNCTION("""COMPUTED_VALUE"""),"null")</f>
        <v>null</v>
      </c>
      <c r="T9880" s="33">
        <f>IFERROR(__xludf.DUMMYFUNCTION("""COMPUTED_VALUE"""),1.0)</f>
        <v>1</v>
      </c>
      <c r="U9880" s="4" t="str">
        <f>IFERROR(__xludf.DUMMYFUNCTION("""COMPUTED_VALUE"""),"Consumer Soluções Em Tecnologia Ltda")</f>
        <v>Consumer Soluções Em Tecnologia Ltda</v>
      </c>
      <c r="V9880" s="33">
        <f>IFERROR(__xludf.DUMMYFUNCTION("""COMPUTED_VALUE"""),1.0)</f>
        <v>1</v>
      </c>
      <c r="W9880" s="4" t="str">
        <f>IFERROR(__xludf.DUMMYFUNCTION("""COMPUTED_VALUE"""),"null")</f>
        <v>null</v>
      </c>
      <c r="X9880" s="33">
        <f>IFERROR(__xludf.DUMMYFUNCTION("""COMPUTED_VALUE"""),1.0)</f>
        <v>1</v>
      </c>
    </row>
    <row r="9881">
      <c r="K9881" s="4" t="str">
        <f>IFERROR(__xludf.DUMMYFUNCTION("""COMPUTED_VALUE"""),"COMIDA BRASILEIRA - LUCAS GOURMET")</f>
        <v>COMIDA BRASILEIRA - LUCAS GOURMET</v>
      </c>
      <c r="L9881" s="32">
        <f>IFERROR(__xludf.DUMMYFUNCTION("""COMPUTED_VALUE"""),1.0)</f>
        <v>1</v>
      </c>
      <c r="M9881" s="4" t="str">
        <f>IFERROR(__xludf.DUMMYFUNCTION("""COMPUTED_VALUE"""),"null")</f>
        <v>null</v>
      </c>
      <c r="N9881" s="33">
        <f>IFERROR(__xludf.DUMMYFUNCTION("""COMPUTED_VALUE"""),1.0)</f>
        <v>1</v>
      </c>
      <c r="O9881" s="4" t="str">
        <f>IFERROR(__xludf.DUMMYFUNCTION("""COMPUTED_VALUE"""),"null")</f>
        <v>null</v>
      </c>
      <c r="P9881" s="33">
        <f>IFERROR(__xludf.DUMMYFUNCTION("""COMPUTED_VALUE"""),1.0)</f>
        <v>1</v>
      </c>
      <c r="Q9881" s="4" t="str">
        <f>IFERROR(__xludf.DUMMYFUNCTION("""COMPUTED_VALUE"""),"null")</f>
        <v>null</v>
      </c>
      <c r="R9881" s="33">
        <f>IFERROR(__xludf.DUMMYFUNCTION("""COMPUTED_VALUE"""),1.0)</f>
        <v>1</v>
      </c>
      <c r="S9881" s="4" t="str">
        <f>IFERROR(__xludf.DUMMYFUNCTION("""COMPUTED_VALUE"""),"null")</f>
        <v>null</v>
      </c>
      <c r="T9881" s="33">
        <f>IFERROR(__xludf.DUMMYFUNCTION("""COMPUTED_VALUE"""),1.0)</f>
        <v>1</v>
      </c>
      <c r="U9881" s="4" t="str">
        <f>IFERROR(__xludf.DUMMYFUNCTION("""COMPUTED_VALUE"""),"null")</f>
        <v>null</v>
      </c>
      <c r="V9881" s="33">
        <f>IFERROR(__xludf.DUMMYFUNCTION("""COMPUTED_VALUE"""),1.0)</f>
        <v>1</v>
      </c>
      <c r="W9881" s="4" t="str">
        <f>IFERROR(__xludf.DUMMYFUNCTION("""COMPUTED_VALUE"""),"Saipos Serviços De Software")</f>
        <v>Saipos Serviços De Software</v>
      </c>
      <c r="X9881" s="33">
        <f>IFERROR(__xludf.DUMMYFUNCTION("""COMPUTED_VALUE"""),1.0)</f>
        <v>1</v>
      </c>
    </row>
    <row r="9882">
      <c r="K9882" s="4" t="str">
        <f>IFERROR(__xludf.DUMMYFUNCTION("""COMPUTED_VALUE"""),"ACAI LAB SELF-SERVICE STORE")</f>
        <v>ACAI LAB SELF-SERVICE STORE</v>
      </c>
      <c r="L9882" s="32">
        <f>IFERROR(__xludf.DUMMYFUNCTION("""COMPUTED_VALUE"""),1.0)</f>
        <v>1</v>
      </c>
      <c r="M9882" s="4" t="str">
        <f>IFERROR(__xludf.DUMMYFUNCTION("""COMPUTED_VALUE"""),"null")</f>
        <v>null</v>
      </c>
      <c r="N9882" s="33">
        <f>IFERROR(__xludf.DUMMYFUNCTION("""COMPUTED_VALUE"""),1.0)</f>
        <v>1</v>
      </c>
      <c r="O9882" s="4" t="str">
        <f>IFERROR(__xludf.DUMMYFUNCTION("""COMPUTED_VALUE"""),"null")</f>
        <v>null</v>
      </c>
      <c r="P9882" s="33">
        <f>IFERROR(__xludf.DUMMYFUNCTION("""COMPUTED_VALUE"""),1.0)</f>
        <v>1</v>
      </c>
      <c r="Q9882" s="4" t="str">
        <f>IFERROR(__xludf.DUMMYFUNCTION("""COMPUTED_VALUE"""),"null")</f>
        <v>null</v>
      </c>
      <c r="R9882" s="33">
        <f>IFERROR(__xludf.DUMMYFUNCTION("""COMPUTED_VALUE"""),1.0)</f>
        <v>1</v>
      </c>
      <c r="S9882" s="4" t="str">
        <f>IFERROR(__xludf.DUMMYFUNCTION("""COMPUTED_VALUE"""),"null")</f>
        <v>null</v>
      </c>
      <c r="T9882" s="33">
        <f>IFERROR(__xludf.DUMMYFUNCTION("""COMPUTED_VALUE"""),1.0)</f>
        <v>1</v>
      </c>
      <c r="U9882" s="4" t="str">
        <f>IFERROR(__xludf.DUMMYFUNCTION("""COMPUTED_VALUE"""),"Nox Automação")</f>
        <v>Nox Automação</v>
      </c>
      <c r="V9882" s="33">
        <f>IFERROR(__xludf.DUMMYFUNCTION("""COMPUTED_VALUE"""),1.0)</f>
        <v>1</v>
      </c>
      <c r="W9882" s="4" t="str">
        <f>IFERROR(__xludf.DUMMYFUNCTION("""COMPUTED_VALUE"""),"Nox Automação")</f>
        <v>Nox Automação</v>
      </c>
      <c r="X9882" s="33">
        <f>IFERROR(__xludf.DUMMYFUNCTION("""COMPUTED_VALUE"""),1.0)</f>
        <v>1</v>
      </c>
    </row>
    <row r="9883">
      <c r="K9883" s="4" t="str">
        <f>IFERROR(__xludf.DUMMYFUNCTION("""COMPUTED_VALUE"""),"PET SHOP CASA DA LAVOURA FAZENDINHA")</f>
        <v>PET SHOP CASA DA LAVOURA FAZENDINHA</v>
      </c>
      <c r="L9883" s="32">
        <f>IFERROR(__xludf.DUMMYFUNCTION("""COMPUTED_VALUE"""),1.0)</f>
        <v>1</v>
      </c>
      <c r="M9883" s="4" t="str">
        <f>IFERROR(__xludf.DUMMYFUNCTION("""COMPUTED_VALUE"""),"N/A (Not found)")</f>
        <v>N/A (Not found)</v>
      </c>
      <c r="N9883" s="33">
        <f>IFERROR(__xludf.DUMMYFUNCTION("""COMPUTED_VALUE"""),1.0)</f>
        <v>1</v>
      </c>
      <c r="O9883" s="4" t="str">
        <f>IFERROR(__xludf.DUMMYFUNCTION("""COMPUTED_VALUE"""),"N/A (Not found)")</f>
        <v>N/A (Not found)</v>
      </c>
      <c r="P9883" s="33">
        <f>IFERROR(__xludf.DUMMYFUNCTION("""COMPUTED_VALUE"""),1.0)</f>
        <v>1</v>
      </c>
      <c r="Q9883" s="4" t="str">
        <f>IFERROR(__xludf.DUMMYFUNCTION("""COMPUTED_VALUE"""),"N/A (Not found)")</f>
        <v>N/A (Not found)</v>
      </c>
      <c r="R9883" s="33">
        <f>IFERROR(__xludf.DUMMYFUNCTION("""COMPUTED_VALUE"""),1.0)</f>
        <v>1</v>
      </c>
      <c r="S9883" s="4" t="str">
        <f>IFERROR(__xludf.DUMMYFUNCTION("""COMPUTED_VALUE"""),"N/A (Not found)")</f>
        <v>N/A (Not found)</v>
      </c>
      <c r="T9883" s="33">
        <f>IFERROR(__xludf.DUMMYFUNCTION("""COMPUTED_VALUE"""),1.0)</f>
        <v>1</v>
      </c>
      <c r="U9883" s="4" t="str">
        <f>IFERROR(__xludf.DUMMYFUNCTION("""COMPUTED_VALUE"""),"N/A (Not found)")</f>
        <v>N/A (Not found)</v>
      </c>
      <c r="V9883" s="33">
        <f>IFERROR(__xludf.DUMMYFUNCTION("""COMPUTED_VALUE"""),1.0)</f>
        <v>1</v>
      </c>
      <c r="W9883" s="4" t="str">
        <f>IFERROR(__xludf.DUMMYFUNCTION("""COMPUTED_VALUE"""),"N/A (Not found)")</f>
        <v>N/A (Not found)</v>
      </c>
      <c r="X9883" s="33">
        <f>IFERROR(__xludf.DUMMYFUNCTION("""COMPUTED_VALUE"""),1.0)</f>
        <v>1</v>
      </c>
    </row>
    <row r="9884">
      <c r="K9884" s="4" t="str">
        <f>IFERROR(__xludf.DUMMYFUNCTION("""COMPUTED_VALUE"""),"CEVADA BENTA BEBIDAS")</f>
        <v>CEVADA BENTA BEBIDAS</v>
      </c>
      <c r="L9884" s="32">
        <f>IFERROR(__xludf.DUMMYFUNCTION("""COMPUTED_VALUE"""),1.0)</f>
        <v>1</v>
      </c>
      <c r="M9884" s="4" t="str">
        <f>IFERROR(__xludf.DUMMYFUNCTION("""COMPUTED_VALUE"""),"null")</f>
        <v>null</v>
      </c>
      <c r="N9884" s="33">
        <f>IFERROR(__xludf.DUMMYFUNCTION("""COMPUTED_VALUE"""),1.0)</f>
        <v>1</v>
      </c>
      <c r="O9884" s="4" t="str">
        <f>IFERROR(__xludf.DUMMYFUNCTION("""COMPUTED_VALUE"""),"null")</f>
        <v>null</v>
      </c>
      <c r="P9884" s="33">
        <f>IFERROR(__xludf.DUMMYFUNCTION("""COMPUTED_VALUE"""),1.0)</f>
        <v>1</v>
      </c>
      <c r="Q9884" s="4" t="str">
        <f>IFERROR(__xludf.DUMMYFUNCTION("""COMPUTED_VALUE"""),"N/A (Not found)")</f>
        <v>N/A (Not found)</v>
      </c>
      <c r="R9884" s="33">
        <f>IFERROR(__xludf.DUMMYFUNCTION("""COMPUTED_VALUE"""),1.0)</f>
        <v>1</v>
      </c>
      <c r="S9884" s="4" t="str">
        <f>IFERROR(__xludf.DUMMYFUNCTION("""COMPUTED_VALUE"""),"N/A (Not found)")</f>
        <v>N/A (Not found)</v>
      </c>
      <c r="T9884" s="33">
        <f>IFERROR(__xludf.DUMMYFUNCTION("""COMPUTED_VALUE"""),1.0)</f>
        <v>1</v>
      </c>
      <c r="U9884" s="4" t="str">
        <f>IFERROR(__xludf.DUMMYFUNCTION("""COMPUTED_VALUE"""),"N/A (Not found)")</f>
        <v>N/A (Not found)</v>
      </c>
      <c r="V9884" s="33">
        <f>IFERROR(__xludf.DUMMYFUNCTION("""COMPUTED_VALUE"""),1.0)</f>
        <v>1</v>
      </c>
      <c r="W9884" s="4" t="str">
        <f>IFERROR(__xludf.DUMMYFUNCTION("""COMPUTED_VALUE"""),"N/A (Not found)")</f>
        <v>N/A (Not found)</v>
      </c>
      <c r="X9884" s="33">
        <f>IFERROR(__xludf.DUMMYFUNCTION("""COMPUTED_VALUE"""),1.0)</f>
        <v>1</v>
      </c>
    </row>
    <row r="9885">
      <c r="K9885" s="4" t="str">
        <f>IFERROR(__xludf.DUMMYFUNCTION("""COMPUTED_VALUE"""),"PIZZA PARQUE")</f>
        <v>PIZZA PARQUE</v>
      </c>
      <c r="L9885" s="32">
        <f>IFERROR(__xludf.DUMMYFUNCTION("""COMPUTED_VALUE"""),1.0)</f>
        <v>1</v>
      </c>
      <c r="M9885" s="4" t="str">
        <f>IFERROR(__xludf.DUMMYFUNCTION("""COMPUTED_VALUE"""),"Cardápio Web")</f>
        <v>Cardápio Web</v>
      </c>
      <c r="N9885" s="33">
        <f>IFERROR(__xludf.DUMMYFUNCTION("""COMPUTED_VALUE"""),1.0)</f>
        <v>1</v>
      </c>
      <c r="O9885" s="4" t="str">
        <f>IFERROR(__xludf.DUMMYFUNCTION("""COMPUTED_VALUE"""),"Cardápio Web")</f>
        <v>Cardápio Web</v>
      </c>
      <c r="P9885" s="33">
        <f>IFERROR(__xludf.DUMMYFUNCTION("""COMPUTED_VALUE"""),1.0)</f>
        <v>1</v>
      </c>
      <c r="Q9885" s="4" t="str">
        <f>IFERROR(__xludf.DUMMYFUNCTION("""COMPUTED_VALUE"""),"Cardápio Web")</f>
        <v>Cardápio Web</v>
      </c>
      <c r="R9885" s="33">
        <f>IFERROR(__xludf.DUMMYFUNCTION("""COMPUTED_VALUE"""),1.0)</f>
        <v>1</v>
      </c>
      <c r="S9885" s="4" t="str">
        <f>IFERROR(__xludf.DUMMYFUNCTION("""COMPUTED_VALUE"""),"Cardápio Web")</f>
        <v>Cardápio Web</v>
      </c>
      <c r="T9885" s="33">
        <f>IFERROR(__xludf.DUMMYFUNCTION("""COMPUTED_VALUE"""),1.0)</f>
        <v>1</v>
      </c>
      <c r="U9885" s="4" t="str">
        <f>IFERROR(__xludf.DUMMYFUNCTION("""COMPUTED_VALUE"""),"Cardápio Web")</f>
        <v>Cardápio Web</v>
      </c>
      <c r="V9885" s="33">
        <f>IFERROR(__xludf.DUMMYFUNCTION("""COMPUTED_VALUE"""),1.0)</f>
        <v>1</v>
      </c>
      <c r="W9885" s="4" t="str">
        <f>IFERROR(__xludf.DUMMYFUNCTION("""COMPUTED_VALUE"""),"Cardápio Web")</f>
        <v>Cardápio Web</v>
      </c>
      <c r="X9885" s="33">
        <f>IFERROR(__xludf.DUMMYFUNCTION("""COMPUTED_VALUE"""),1.0)</f>
        <v>1</v>
      </c>
    </row>
    <row r="9886">
      <c r="K9886" s="4" t="str">
        <f>IFERROR(__xludf.DUMMYFUNCTION("""COMPUTED_VALUE"""),"JV LANCHES")</f>
        <v>JV LANCHES</v>
      </c>
      <c r="L9886" s="32">
        <f>IFERROR(__xludf.DUMMYFUNCTION("""COMPUTED_VALUE"""),1.0)</f>
        <v>1</v>
      </c>
      <c r="M9886" s="4" t="str">
        <f>IFERROR(__xludf.DUMMYFUNCTION("""COMPUTED_VALUE"""),"Anota Ai Solucoes Digitais S/a")</f>
        <v>Anota Ai Solucoes Digitais S/a</v>
      </c>
      <c r="N9886" s="33">
        <f>IFERROR(__xludf.DUMMYFUNCTION("""COMPUTED_VALUE"""),1.0)</f>
        <v>1</v>
      </c>
      <c r="O9886" s="4" t="str">
        <f>IFERROR(__xludf.DUMMYFUNCTION("""COMPUTED_VALUE"""),"Anota Ai Solucoes Digitais S/a")</f>
        <v>Anota Ai Solucoes Digitais S/a</v>
      </c>
      <c r="P9886" s="33">
        <f>IFERROR(__xludf.DUMMYFUNCTION("""COMPUTED_VALUE"""),1.0)</f>
        <v>1</v>
      </c>
      <c r="Q9886" s="4" t="str">
        <f>IFERROR(__xludf.DUMMYFUNCTION("""COMPUTED_VALUE"""),"Anota Ai Solucoes Digitais S/a")</f>
        <v>Anota Ai Solucoes Digitais S/a</v>
      </c>
      <c r="R9886" s="33">
        <f>IFERROR(__xludf.DUMMYFUNCTION("""COMPUTED_VALUE"""),1.0)</f>
        <v>1</v>
      </c>
      <c r="S9886" s="4" t="str">
        <f>IFERROR(__xludf.DUMMYFUNCTION("""COMPUTED_VALUE"""),"null")</f>
        <v>null</v>
      </c>
      <c r="T9886" s="33">
        <f>IFERROR(__xludf.DUMMYFUNCTION("""COMPUTED_VALUE"""),1.0)</f>
        <v>1</v>
      </c>
      <c r="U9886" s="4" t="str">
        <f>IFERROR(__xludf.DUMMYFUNCTION("""COMPUTED_VALUE"""),"null")</f>
        <v>null</v>
      </c>
      <c r="V9886" s="33">
        <f>IFERROR(__xludf.DUMMYFUNCTION("""COMPUTED_VALUE"""),1.0)</f>
        <v>1</v>
      </c>
      <c r="W9886" s="4" t="str">
        <f>IFERROR(__xludf.DUMMYFUNCTION("""COMPUTED_VALUE"""),"null")</f>
        <v>null</v>
      </c>
      <c r="X9886" s="33">
        <f>IFERROR(__xludf.DUMMYFUNCTION("""COMPUTED_VALUE"""),1.0)</f>
        <v>1</v>
      </c>
    </row>
    <row r="9887">
      <c r="K9887" s="4" t="str">
        <f>IFERROR(__xludf.DUMMYFUNCTION("""COMPUTED_VALUE"""),"CAFETERIA NOSTRO COFFEE - CAFE, TAPIOCAS E ACAI")</f>
        <v>CAFETERIA NOSTRO COFFEE - CAFE, TAPIOCAS E ACAI</v>
      </c>
      <c r="L9887" s="32">
        <f>IFERROR(__xludf.DUMMYFUNCTION("""COMPUTED_VALUE"""),1.0)</f>
        <v>1</v>
      </c>
      <c r="M9887" s="4" t="str">
        <f>IFERROR(__xludf.DUMMYFUNCTION("""COMPUTED_VALUE"""),"Olaclick")</f>
        <v>Olaclick</v>
      </c>
      <c r="N9887" s="33">
        <f>IFERROR(__xludf.DUMMYFUNCTION("""COMPUTED_VALUE"""),1.0)</f>
        <v>1</v>
      </c>
      <c r="O9887" s="4" t="str">
        <f>IFERROR(__xludf.DUMMYFUNCTION("""COMPUTED_VALUE"""),"Olaclick")</f>
        <v>Olaclick</v>
      </c>
      <c r="P9887" s="33">
        <f>IFERROR(__xludf.DUMMYFUNCTION("""COMPUTED_VALUE"""),1.0)</f>
        <v>1</v>
      </c>
      <c r="Q9887" s="4" t="str">
        <f>IFERROR(__xludf.DUMMYFUNCTION("""COMPUTED_VALUE"""),"Olaclick")</f>
        <v>Olaclick</v>
      </c>
      <c r="R9887" s="33">
        <f>IFERROR(__xludf.DUMMYFUNCTION("""COMPUTED_VALUE"""),1.0)</f>
        <v>1</v>
      </c>
      <c r="S9887" s="4" t="str">
        <f>IFERROR(__xludf.DUMMYFUNCTION("""COMPUTED_VALUE"""),"Olaclick")</f>
        <v>Olaclick</v>
      </c>
      <c r="T9887" s="33">
        <f>IFERROR(__xludf.DUMMYFUNCTION("""COMPUTED_VALUE"""),1.0)</f>
        <v>1</v>
      </c>
      <c r="U9887" s="4" t="str">
        <f>IFERROR(__xludf.DUMMYFUNCTION("""COMPUTED_VALUE"""),"Olaclick")</f>
        <v>Olaclick</v>
      </c>
      <c r="V9887" s="33">
        <f>IFERROR(__xludf.DUMMYFUNCTION("""COMPUTED_VALUE"""),1.0)</f>
        <v>1</v>
      </c>
      <c r="W9887" s="4" t="str">
        <f>IFERROR(__xludf.DUMMYFUNCTION("""COMPUTED_VALUE"""),"Olaclick")</f>
        <v>Olaclick</v>
      </c>
      <c r="X9887" s="33">
        <f>IFERROR(__xludf.DUMMYFUNCTION("""COMPUTED_VALUE"""),1.0)</f>
        <v>1</v>
      </c>
    </row>
    <row r="9888">
      <c r="K9888" s="4" t="str">
        <f>IFERROR(__xludf.DUMMYFUNCTION("""COMPUTED_VALUE"""),"COFFE BISTRO ESPETARIA")</f>
        <v>COFFE BISTRO ESPETARIA</v>
      </c>
      <c r="L9888" s="32">
        <f>IFERROR(__xludf.DUMMYFUNCTION("""COMPUTED_VALUE"""),1.0)</f>
        <v>1</v>
      </c>
      <c r="M9888" s="4" t="str">
        <f>IFERROR(__xludf.DUMMYFUNCTION("""COMPUTED_VALUE"""),"null")</f>
        <v>null</v>
      </c>
      <c r="N9888" s="33">
        <f>IFERROR(__xludf.DUMMYFUNCTION("""COMPUTED_VALUE"""),1.0)</f>
        <v>1</v>
      </c>
      <c r="O9888" s="4" t="str">
        <f>IFERROR(__xludf.DUMMYFUNCTION("""COMPUTED_VALUE"""),"null")</f>
        <v>null</v>
      </c>
      <c r="P9888" s="33">
        <f>IFERROR(__xludf.DUMMYFUNCTION("""COMPUTED_VALUE"""),1.0)</f>
        <v>1</v>
      </c>
      <c r="Q9888" s="4" t="str">
        <f>IFERROR(__xludf.DUMMYFUNCTION("""COMPUTED_VALUE"""),"null")</f>
        <v>null</v>
      </c>
      <c r="R9888" s="33">
        <f>IFERROR(__xludf.DUMMYFUNCTION("""COMPUTED_VALUE"""),1.0)</f>
        <v>1</v>
      </c>
      <c r="S9888" s="4" t="str">
        <f>IFERROR(__xludf.DUMMYFUNCTION("""COMPUTED_VALUE"""),"Whatsmenu Ltda")</f>
        <v>Whatsmenu Ltda</v>
      </c>
      <c r="T9888" s="33">
        <f>IFERROR(__xludf.DUMMYFUNCTION("""COMPUTED_VALUE"""),1.0)</f>
        <v>1</v>
      </c>
      <c r="U9888" s="4" t="str">
        <f>IFERROR(__xludf.DUMMYFUNCTION("""COMPUTED_VALUE"""),"null")</f>
        <v>null</v>
      </c>
      <c r="V9888" s="33">
        <f>IFERROR(__xludf.DUMMYFUNCTION("""COMPUTED_VALUE"""),1.0)</f>
        <v>1</v>
      </c>
      <c r="W9888" s="4" t="str">
        <f>IFERROR(__xludf.DUMMYFUNCTION("""COMPUTED_VALUE"""),"null")</f>
        <v>null</v>
      </c>
      <c r="X9888" s="33">
        <f>IFERROR(__xludf.DUMMYFUNCTION("""COMPUTED_VALUE"""),1.0)</f>
        <v>1</v>
      </c>
    </row>
    <row r="9889">
      <c r="K9889" s="4" t="str">
        <f>IFERROR(__xludf.DUMMYFUNCTION("""COMPUTED_VALUE"""),"PIZZARIA DO CLEO")</f>
        <v>PIZZARIA DO CLEO</v>
      </c>
      <c r="L9889" s="32">
        <f>IFERROR(__xludf.DUMMYFUNCTION("""COMPUTED_VALUE"""),1.0)</f>
        <v>1</v>
      </c>
      <c r="M9889" s="4" t="str">
        <f>IFERROR(__xludf.DUMMYFUNCTION("""COMPUTED_VALUE"""),"Instadelivery")</f>
        <v>Instadelivery</v>
      </c>
      <c r="N9889" s="33">
        <f>IFERROR(__xludf.DUMMYFUNCTION("""COMPUTED_VALUE"""),1.0)</f>
        <v>1</v>
      </c>
      <c r="O9889" s="4" t="str">
        <f>IFERROR(__xludf.DUMMYFUNCTION("""COMPUTED_VALUE"""),"Instadelivery")</f>
        <v>Instadelivery</v>
      </c>
      <c r="P9889" s="33">
        <f>IFERROR(__xludf.DUMMYFUNCTION("""COMPUTED_VALUE"""),1.0)</f>
        <v>1</v>
      </c>
      <c r="Q9889" s="4" t="str">
        <f>IFERROR(__xludf.DUMMYFUNCTION("""COMPUTED_VALUE"""),"Instadelivery")</f>
        <v>Instadelivery</v>
      </c>
      <c r="R9889" s="33">
        <f>IFERROR(__xludf.DUMMYFUNCTION("""COMPUTED_VALUE"""),1.0)</f>
        <v>1</v>
      </c>
      <c r="S9889" s="4" t="str">
        <f>IFERROR(__xludf.DUMMYFUNCTION("""COMPUTED_VALUE"""),"Instadelivery")</f>
        <v>Instadelivery</v>
      </c>
      <c r="T9889" s="33">
        <f>IFERROR(__xludf.DUMMYFUNCTION("""COMPUTED_VALUE"""),1.0)</f>
        <v>1</v>
      </c>
      <c r="U9889" s="4" t="str">
        <f>IFERROR(__xludf.DUMMYFUNCTION("""COMPUTED_VALUE"""),"Instadelivery")</f>
        <v>Instadelivery</v>
      </c>
      <c r="V9889" s="33">
        <f>IFERROR(__xludf.DUMMYFUNCTION("""COMPUTED_VALUE"""),1.0)</f>
        <v>1</v>
      </c>
      <c r="W9889" s="4" t="str">
        <f>IFERROR(__xludf.DUMMYFUNCTION("""COMPUTED_VALUE"""),"Instadelivery")</f>
        <v>Instadelivery</v>
      </c>
      <c r="X9889" s="33">
        <f>IFERROR(__xludf.DUMMYFUNCTION("""COMPUTED_VALUE"""),1.0)</f>
        <v>1</v>
      </c>
    </row>
    <row r="9890">
      <c r="K9890" s="4" t="str">
        <f>IFERROR(__xludf.DUMMYFUNCTION("""COMPUTED_VALUE"""),"MEGA DOGS - LANCHES E BATATA RECHEADAS")</f>
        <v>MEGA DOGS - LANCHES E BATATA RECHEADAS</v>
      </c>
      <c r="L9890" s="32">
        <f>IFERROR(__xludf.DUMMYFUNCTION("""COMPUTED_VALUE"""),1.0)</f>
        <v>1</v>
      </c>
      <c r="M9890" s="4" t="str">
        <f>IFERROR(__xludf.DUMMYFUNCTION("""COMPUTED_VALUE"""),"null")</f>
        <v>null</v>
      </c>
      <c r="N9890" s="33">
        <f>IFERROR(__xludf.DUMMYFUNCTION("""COMPUTED_VALUE"""),1.0)</f>
        <v>1</v>
      </c>
      <c r="O9890" s="4" t="str">
        <f>IFERROR(__xludf.DUMMYFUNCTION("""COMPUTED_VALUE"""),"Instadelivery")</f>
        <v>Instadelivery</v>
      </c>
      <c r="P9890" s="33">
        <f>IFERROR(__xludf.DUMMYFUNCTION("""COMPUTED_VALUE"""),1.0)</f>
        <v>1</v>
      </c>
      <c r="Q9890" s="4" t="str">
        <f>IFERROR(__xludf.DUMMYFUNCTION("""COMPUTED_VALUE"""),"Instadelivery")</f>
        <v>Instadelivery</v>
      </c>
      <c r="R9890" s="33">
        <f>IFERROR(__xludf.DUMMYFUNCTION("""COMPUTED_VALUE"""),1.0)</f>
        <v>1</v>
      </c>
      <c r="S9890" s="4" t="str">
        <f>IFERROR(__xludf.DUMMYFUNCTION("""COMPUTED_VALUE"""),"null")</f>
        <v>null</v>
      </c>
      <c r="T9890" s="33">
        <f>IFERROR(__xludf.DUMMYFUNCTION("""COMPUTED_VALUE"""),1.0)</f>
        <v>1</v>
      </c>
      <c r="U9890" s="4" t="str">
        <f>IFERROR(__xludf.DUMMYFUNCTION("""COMPUTED_VALUE"""),"null")</f>
        <v>null</v>
      </c>
      <c r="V9890" s="33">
        <f>IFERROR(__xludf.DUMMYFUNCTION("""COMPUTED_VALUE"""),1.0)</f>
        <v>1</v>
      </c>
      <c r="W9890" s="4" t="str">
        <f>IFERROR(__xludf.DUMMYFUNCTION("""COMPUTED_VALUE"""),"null")</f>
        <v>null</v>
      </c>
      <c r="X9890" s="33">
        <f>IFERROR(__xludf.DUMMYFUNCTION("""COMPUTED_VALUE"""),1.0)</f>
        <v>1</v>
      </c>
    </row>
    <row r="9891">
      <c r="K9891" s="4" t="str">
        <f>IFERROR(__xludf.DUMMYFUNCTION("""COMPUTED_VALUE"""),"PATIO")</f>
        <v>PATIO</v>
      </c>
      <c r="L9891" s="32">
        <f>IFERROR(__xludf.DUMMYFUNCTION("""COMPUTED_VALUE"""),1.0)</f>
        <v>1</v>
      </c>
      <c r="M9891" s="4" t="str">
        <f>IFERROR(__xludf.DUMMYFUNCTION("""COMPUTED_VALUE"""),"null")</f>
        <v>null</v>
      </c>
      <c r="N9891" s="33">
        <f>IFERROR(__xludf.DUMMYFUNCTION("""COMPUTED_VALUE"""),1.0)</f>
        <v>1</v>
      </c>
      <c r="O9891" s="4" t="str">
        <f>IFERROR(__xludf.DUMMYFUNCTION("""COMPUTED_VALUE"""),"null")</f>
        <v>null</v>
      </c>
      <c r="P9891" s="33">
        <f>IFERROR(__xludf.DUMMYFUNCTION("""COMPUTED_VALUE"""),1.0)</f>
        <v>1</v>
      </c>
      <c r="Q9891" s="4" t="str">
        <f>IFERROR(__xludf.DUMMYFUNCTION("""COMPUTED_VALUE"""),"Teknisa Service Ltda")</f>
        <v>Teknisa Service Ltda</v>
      </c>
      <c r="R9891" s="33">
        <f>IFERROR(__xludf.DUMMYFUNCTION("""COMPUTED_VALUE"""),1.0)</f>
        <v>1</v>
      </c>
      <c r="S9891" s="4" t="str">
        <f>IFERROR(__xludf.DUMMYFUNCTION("""COMPUTED_VALUE"""),"Teknisa Service Ltda")</f>
        <v>Teknisa Service Ltda</v>
      </c>
      <c r="T9891" s="33">
        <f>IFERROR(__xludf.DUMMYFUNCTION("""COMPUTED_VALUE"""),1.0)</f>
        <v>1</v>
      </c>
      <c r="U9891" s="4" t="str">
        <f>IFERROR(__xludf.DUMMYFUNCTION("""COMPUTED_VALUE"""),"Teknisa Service Ltda")</f>
        <v>Teknisa Service Ltda</v>
      </c>
      <c r="V9891" s="33">
        <f>IFERROR(__xludf.DUMMYFUNCTION("""COMPUTED_VALUE"""),1.0)</f>
        <v>1</v>
      </c>
      <c r="W9891" s="4" t="str">
        <f>IFERROR(__xludf.DUMMYFUNCTION("""COMPUTED_VALUE"""),"Teknisa Service Ltda")</f>
        <v>Teknisa Service Ltda</v>
      </c>
      <c r="X9891" s="33">
        <f>IFERROR(__xludf.DUMMYFUNCTION("""COMPUTED_VALUE"""),1.0)</f>
        <v>1</v>
      </c>
    </row>
    <row r="9892">
      <c r="K9892" s="4" t="str">
        <f>IFERROR(__xludf.DUMMYFUNCTION("""COMPUTED_VALUE"""),"BOCCA CUCINA RESTAURANTE ITALIANO")</f>
        <v>BOCCA CUCINA RESTAURANTE ITALIANO</v>
      </c>
      <c r="L9892" s="32">
        <f>IFERROR(__xludf.DUMMYFUNCTION("""COMPUTED_VALUE"""),1.0)</f>
        <v>1</v>
      </c>
      <c r="M9892" s="4" t="str">
        <f>IFERROR(__xludf.DUMMYFUNCTION("""COMPUTED_VALUE"""),"Ncr")</f>
        <v>Ncr</v>
      </c>
      <c r="N9892" s="33">
        <f>IFERROR(__xludf.DUMMYFUNCTION("""COMPUTED_VALUE"""),1.0)</f>
        <v>1</v>
      </c>
      <c r="O9892" s="4" t="str">
        <f>IFERROR(__xludf.DUMMYFUNCTION("""COMPUTED_VALUE"""),"Ncr")</f>
        <v>Ncr</v>
      </c>
      <c r="P9892" s="33">
        <f>IFERROR(__xludf.DUMMYFUNCTION("""COMPUTED_VALUE"""),1.0)</f>
        <v>1</v>
      </c>
      <c r="Q9892" s="4" t="str">
        <f>IFERROR(__xludf.DUMMYFUNCTION("""COMPUTED_VALUE"""),"Ncr")</f>
        <v>Ncr</v>
      </c>
      <c r="R9892" s="33">
        <f>IFERROR(__xludf.DUMMYFUNCTION("""COMPUTED_VALUE"""),1.0)</f>
        <v>1</v>
      </c>
      <c r="S9892" s="4" t="str">
        <f>IFERROR(__xludf.DUMMYFUNCTION("""COMPUTED_VALUE"""),"Ncr")</f>
        <v>Ncr</v>
      </c>
      <c r="T9892" s="33">
        <f>IFERROR(__xludf.DUMMYFUNCTION("""COMPUTED_VALUE"""),1.0)</f>
        <v>1</v>
      </c>
      <c r="U9892" s="4" t="str">
        <f>IFERROR(__xludf.DUMMYFUNCTION("""COMPUTED_VALUE"""),"Ncr")</f>
        <v>Ncr</v>
      </c>
      <c r="V9892" s="33">
        <f>IFERROR(__xludf.DUMMYFUNCTION("""COMPUTED_VALUE"""),1.0)</f>
        <v>1</v>
      </c>
      <c r="W9892" s="4" t="str">
        <f>IFERROR(__xludf.DUMMYFUNCTION("""COMPUTED_VALUE"""),"Ncr")</f>
        <v>Ncr</v>
      </c>
      <c r="X9892" s="33">
        <f>IFERROR(__xludf.DUMMYFUNCTION("""COMPUTED_VALUE"""),1.0)</f>
        <v>1</v>
      </c>
    </row>
    <row r="9893">
      <c r="K9893" s="4" t="str">
        <f>IFERROR(__xludf.DUMMYFUNCTION("""COMPUTED_VALUE"""),"MAGNATAS LANCHES")</f>
        <v>MAGNATAS LANCHES</v>
      </c>
      <c r="L9893" s="32">
        <f>IFERROR(__xludf.DUMMYFUNCTION("""COMPUTED_VALUE"""),1.0)</f>
        <v>1</v>
      </c>
      <c r="M9893" s="4" t="str">
        <f>IFERROR(__xludf.DUMMYFUNCTION("""COMPUTED_VALUE"""),"null")</f>
        <v>null</v>
      </c>
      <c r="N9893" s="33">
        <f>IFERROR(__xludf.DUMMYFUNCTION("""COMPUTED_VALUE"""),1.0)</f>
        <v>1</v>
      </c>
      <c r="O9893" s="4" t="str">
        <f>IFERROR(__xludf.DUMMYFUNCTION("""COMPUTED_VALUE"""),"null")</f>
        <v>null</v>
      </c>
      <c r="P9893" s="33">
        <f>IFERROR(__xludf.DUMMYFUNCTION("""COMPUTED_VALUE"""),1.0)</f>
        <v>1</v>
      </c>
      <c r="Q9893" s="4" t="str">
        <f>IFERROR(__xludf.DUMMYFUNCTION("""COMPUTED_VALUE"""),"null")</f>
        <v>null</v>
      </c>
      <c r="R9893" s="33">
        <f>IFERROR(__xludf.DUMMYFUNCTION("""COMPUTED_VALUE"""),1.0)</f>
        <v>1</v>
      </c>
      <c r="S9893" s="4" t="str">
        <f>IFERROR(__xludf.DUMMYFUNCTION("""COMPUTED_VALUE"""),"Brendi")</f>
        <v>Brendi</v>
      </c>
      <c r="T9893" s="33">
        <f>IFERROR(__xludf.DUMMYFUNCTION("""COMPUTED_VALUE"""),1.0)</f>
        <v>1</v>
      </c>
      <c r="U9893" s="4" t="str">
        <f>IFERROR(__xludf.DUMMYFUNCTION("""COMPUTED_VALUE"""),"Brendi")</f>
        <v>Brendi</v>
      </c>
      <c r="V9893" s="33">
        <f>IFERROR(__xludf.DUMMYFUNCTION("""COMPUTED_VALUE"""),1.0)</f>
        <v>1</v>
      </c>
      <c r="W9893" s="4" t="str">
        <f>IFERROR(__xludf.DUMMYFUNCTION("""COMPUTED_VALUE"""),"null")</f>
        <v>null</v>
      </c>
      <c r="X9893" s="33">
        <f>IFERROR(__xludf.DUMMYFUNCTION("""COMPUTED_VALUE"""),1.0)</f>
        <v>1</v>
      </c>
    </row>
    <row r="9894">
      <c r="K9894" s="4" t="str">
        <f>IFERROR(__xludf.DUMMYFUNCTION("""COMPUTED_VALUE"""),"FARMA UNIQUE - VICENTE DE CARVALHO")</f>
        <v>FARMA UNIQUE - VICENTE DE CARVALHO</v>
      </c>
      <c r="L9894" s="32">
        <f>IFERROR(__xludf.DUMMYFUNCTION("""COMPUTED_VALUE"""),1.0)</f>
        <v>1</v>
      </c>
      <c r="M9894" s="4" t="str">
        <f>IFERROR(__xludf.DUMMYFUNCTION("""COMPUTED_VALUE"""),"null")</f>
        <v>null</v>
      </c>
      <c r="N9894" s="33">
        <f>IFERROR(__xludf.DUMMYFUNCTION("""COMPUTED_VALUE"""),1.0)</f>
        <v>1</v>
      </c>
      <c r="O9894" s="4" t="str">
        <f>IFERROR(__xludf.DUMMYFUNCTION("""COMPUTED_VALUE"""),"null")</f>
        <v>null</v>
      </c>
      <c r="P9894" s="33">
        <f>IFERROR(__xludf.DUMMYFUNCTION("""COMPUTED_VALUE"""),1.0)</f>
        <v>1</v>
      </c>
      <c r="Q9894" s="4" t="str">
        <f>IFERROR(__xludf.DUMMYFUNCTION("""COMPUTED_VALUE"""),"null")</f>
        <v>null</v>
      </c>
      <c r="R9894" s="33">
        <f>IFERROR(__xludf.DUMMYFUNCTION("""COMPUTED_VALUE"""),1.0)</f>
        <v>1</v>
      </c>
      <c r="S9894" s="4" t="str">
        <f>IFERROR(__xludf.DUMMYFUNCTION("""COMPUTED_VALUE"""),"N/A (Not found)")</f>
        <v>N/A (Not found)</v>
      </c>
      <c r="T9894" s="33">
        <f>IFERROR(__xludf.DUMMYFUNCTION("""COMPUTED_VALUE"""),1.0)</f>
        <v>1</v>
      </c>
      <c r="U9894" s="4" t="str">
        <f>IFERROR(__xludf.DUMMYFUNCTION("""COMPUTED_VALUE"""),"N/A (Not found)")</f>
        <v>N/A (Not found)</v>
      </c>
      <c r="V9894" s="33">
        <f>IFERROR(__xludf.DUMMYFUNCTION("""COMPUTED_VALUE"""),1.0)</f>
        <v>1</v>
      </c>
      <c r="W9894" s="4" t="str">
        <f>IFERROR(__xludf.DUMMYFUNCTION("""COMPUTED_VALUE"""),"N/A (Not found)")</f>
        <v>N/A (Not found)</v>
      </c>
      <c r="X9894" s="33">
        <f>IFERROR(__xludf.DUMMYFUNCTION("""COMPUTED_VALUE"""),1.0)</f>
        <v>1</v>
      </c>
    </row>
    <row r="9895">
      <c r="K9895" s="4" t="str">
        <f>IFERROR(__xludf.DUMMYFUNCTION("""COMPUTED_VALUE"""),"ARABIAN - PATIO BRASIL SHOPPING")</f>
        <v>ARABIAN - PATIO BRASIL SHOPPING</v>
      </c>
      <c r="L9895" s="32">
        <f>IFERROR(__xludf.DUMMYFUNCTION("""COMPUTED_VALUE"""),1.0)</f>
        <v>1</v>
      </c>
      <c r="M9895" s="4" t="str">
        <f>IFERROR(__xludf.DUMMYFUNCTION("""COMPUTED_VALUE"""),"Stone Co.")</f>
        <v>Stone Co.</v>
      </c>
      <c r="N9895" s="33">
        <f>IFERROR(__xludf.DUMMYFUNCTION("""COMPUTED_VALUE"""),1.0)</f>
        <v>1</v>
      </c>
      <c r="O9895" s="4" t="str">
        <f>IFERROR(__xludf.DUMMYFUNCTION("""COMPUTED_VALUE"""),"Stone Co.")</f>
        <v>Stone Co.</v>
      </c>
      <c r="P9895" s="33">
        <f>IFERROR(__xludf.DUMMYFUNCTION("""COMPUTED_VALUE"""),1.0)</f>
        <v>1</v>
      </c>
      <c r="Q9895" s="4" t="str">
        <f>IFERROR(__xludf.DUMMYFUNCTION("""COMPUTED_VALUE"""),"Stone Co.")</f>
        <v>Stone Co.</v>
      </c>
      <c r="R9895" s="33">
        <f>IFERROR(__xludf.DUMMYFUNCTION("""COMPUTED_VALUE"""),1.0)</f>
        <v>1</v>
      </c>
      <c r="S9895" s="4" t="str">
        <f>IFERROR(__xludf.DUMMYFUNCTION("""COMPUTED_VALUE"""),"null")</f>
        <v>null</v>
      </c>
      <c r="T9895" s="33">
        <f>IFERROR(__xludf.DUMMYFUNCTION("""COMPUTED_VALUE"""),1.0)</f>
        <v>1</v>
      </c>
      <c r="U9895" s="4" t="str">
        <f>IFERROR(__xludf.DUMMYFUNCTION("""COMPUTED_VALUE"""),"null")</f>
        <v>null</v>
      </c>
      <c r="V9895" s="33">
        <f>IFERROR(__xludf.DUMMYFUNCTION("""COMPUTED_VALUE"""),1.0)</f>
        <v>1</v>
      </c>
      <c r="W9895" s="4" t="str">
        <f>IFERROR(__xludf.DUMMYFUNCTION("""COMPUTED_VALUE"""),"Stone Co.")</f>
        <v>Stone Co.</v>
      </c>
      <c r="X9895" s="33">
        <f>IFERROR(__xludf.DUMMYFUNCTION("""COMPUTED_VALUE"""),1.0)</f>
        <v>1</v>
      </c>
    </row>
    <row r="9896">
      <c r="K9896" s="4" t="str">
        <f>IFERROR(__xludf.DUMMYFUNCTION("""COMPUTED_VALUE"""),"SR CHAU YAKISOBA LAMEN ORIENTAL E VEGANO")</f>
        <v>SR CHAU YAKISOBA LAMEN ORIENTAL E VEGANO</v>
      </c>
      <c r="L9896" s="32">
        <f>IFERROR(__xludf.DUMMYFUNCTION("""COMPUTED_VALUE"""),1.0)</f>
        <v>1</v>
      </c>
      <c r="M9896" s="4" t="str">
        <f>IFERROR(__xludf.DUMMYFUNCTION("""COMPUTED_VALUE"""),"Takeat Tecnologia")</f>
        <v>Takeat Tecnologia</v>
      </c>
      <c r="N9896" s="33">
        <f>IFERROR(__xludf.DUMMYFUNCTION("""COMPUTED_VALUE"""),1.0)</f>
        <v>1</v>
      </c>
      <c r="O9896" s="4" t="str">
        <f>IFERROR(__xludf.DUMMYFUNCTION("""COMPUTED_VALUE"""),"Takeat Tecnologia")</f>
        <v>Takeat Tecnologia</v>
      </c>
      <c r="P9896" s="33">
        <f>IFERROR(__xludf.DUMMYFUNCTION("""COMPUTED_VALUE"""),1.0)</f>
        <v>1</v>
      </c>
      <c r="Q9896" s="4" t="str">
        <f>IFERROR(__xludf.DUMMYFUNCTION("""COMPUTED_VALUE"""),"Takeat Tecnologia")</f>
        <v>Takeat Tecnologia</v>
      </c>
      <c r="R9896" s="33">
        <f>IFERROR(__xludf.DUMMYFUNCTION("""COMPUTED_VALUE"""),1.0)</f>
        <v>1</v>
      </c>
      <c r="S9896" s="4" t="str">
        <f>IFERROR(__xludf.DUMMYFUNCTION("""COMPUTED_VALUE"""),"Takeat Tecnologia")</f>
        <v>Takeat Tecnologia</v>
      </c>
      <c r="T9896" s="33">
        <f>IFERROR(__xludf.DUMMYFUNCTION("""COMPUTED_VALUE"""),1.0)</f>
        <v>1</v>
      </c>
      <c r="U9896" s="4" t="str">
        <f>IFERROR(__xludf.DUMMYFUNCTION("""COMPUTED_VALUE"""),"Takeat Tecnologia")</f>
        <v>Takeat Tecnologia</v>
      </c>
      <c r="V9896" s="33">
        <f>IFERROR(__xludf.DUMMYFUNCTION("""COMPUTED_VALUE"""),1.0)</f>
        <v>1</v>
      </c>
      <c r="W9896" s="4" t="str">
        <f>IFERROR(__xludf.DUMMYFUNCTION("""COMPUTED_VALUE"""),"Takeat Tecnologia")</f>
        <v>Takeat Tecnologia</v>
      </c>
      <c r="X9896" s="33">
        <f>IFERROR(__xludf.DUMMYFUNCTION("""COMPUTED_VALUE"""),1.0)</f>
        <v>1</v>
      </c>
    </row>
    <row r="9897">
      <c r="K9897" s="4" t="str">
        <f>IFERROR(__xludf.DUMMYFUNCTION("""COMPUTED_VALUE"""),"JEREDYS BURGUER")</f>
        <v>JEREDYS BURGUER</v>
      </c>
      <c r="L9897" s="32">
        <f>IFERROR(__xludf.DUMMYFUNCTION("""COMPUTED_VALUE"""),1.0)</f>
        <v>1</v>
      </c>
      <c r="M9897" s="4" t="str">
        <f>IFERROR(__xludf.DUMMYFUNCTION("""COMPUTED_VALUE"""),"Cardápio Web")</f>
        <v>Cardápio Web</v>
      </c>
      <c r="N9897" s="33">
        <f>IFERROR(__xludf.DUMMYFUNCTION("""COMPUTED_VALUE"""),1.0)</f>
        <v>1</v>
      </c>
      <c r="O9897" s="4" t="str">
        <f>IFERROR(__xludf.DUMMYFUNCTION("""COMPUTED_VALUE"""),"Cardápio Web")</f>
        <v>Cardápio Web</v>
      </c>
      <c r="P9897" s="33">
        <f>IFERROR(__xludf.DUMMYFUNCTION("""COMPUTED_VALUE"""),1.0)</f>
        <v>1</v>
      </c>
      <c r="Q9897" s="4" t="str">
        <f>IFERROR(__xludf.DUMMYFUNCTION("""COMPUTED_VALUE"""),"Cardápio Web")</f>
        <v>Cardápio Web</v>
      </c>
      <c r="R9897" s="33">
        <f>IFERROR(__xludf.DUMMYFUNCTION("""COMPUTED_VALUE"""),1.0)</f>
        <v>1</v>
      </c>
      <c r="S9897" s="4" t="str">
        <f>IFERROR(__xludf.DUMMYFUNCTION("""COMPUTED_VALUE"""),"Cardápio Web")</f>
        <v>Cardápio Web</v>
      </c>
      <c r="T9897" s="33">
        <f>IFERROR(__xludf.DUMMYFUNCTION("""COMPUTED_VALUE"""),1.0)</f>
        <v>1</v>
      </c>
      <c r="U9897" s="4" t="str">
        <f>IFERROR(__xludf.DUMMYFUNCTION("""COMPUTED_VALUE"""),"Cardápio Web")</f>
        <v>Cardápio Web</v>
      </c>
      <c r="V9897" s="33">
        <f>IFERROR(__xludf.DUMMYFUNCTION("""COMPUTED_VALUE"""),1.0)</f>
        <v>1</v>
      </c>
      <c r="W9897" s="4" t="str">
        <f>IFERROR(__xludf.DUMMYFUNCTION("""COMPUTED_VALUE"""),"Cardápio Web")</f>
        <v>Cardápio Web</v>
      </c>
      <c r="X9897" s="33">
        <f>IFERROR(__xludf.DUMMYFUNCTION("""COMPUTED_VALUE"""),1.0)</f>
        <v>1</v>
      </c>
    </row>
    <row r="9898">
      <c r="K9898" s="4" t="str">
        <f>IFERROR(__xludf.DUMMYFUNCTION("""COMPUTED_VALUE"""),"ORIGINAL PIZZARIA E ESFIHARIA")</f>
        <v>ORIGINAL PIZZARIA E ESFIHARIA</v>
      </c>
      <c r="L9898" s="32">
        <f>IFERROR(__xludf.DUMMYFUNCTION("""COMPUTED_VALUE"""),1.0)</f>
        <v>1</v>
      </c>
      <c r="M9898" s="4" t="str">
        <f>IFERROR(__xludf.DUMMYFUNCTION("""COMPUTED_VALUE"""),"Mp Multipedidos")</f>
        <v>Mp Multipedidos</v>
      </c>
      <c r="N9898" s="33">
        <f>IFERROR(__xludf.DUMMYFUNCTION("""COMPUTED_VALUE"""),1.0)</f>
        <v>1</v>
      </c>
      <c r="O9898" s="4" t="str">
        <f>IFERROR(__xludf.DUMMYFUNCTION("""COMPUTED_VALUE"""),"null")</f>
        <v>null</v>
      </c>
      <c r="P9898" s="33">
        <f>IFERROR(__xludf.DUMMYFUNCTION("""COMPUTED_VALUE"""),1.0)</f>
        <v>1</v>
      </c>
      <c r="Q9898" s="4" t="str">
        <f>IFERROR(__xludf.DUMMYFUNCTION("""COMPUTED_VALUE"""),"null")</f>
        <v>null</v>
      </c>
      <c r="R9898" s="33">
        <f>IFERROR(__xludf.DUMMYFUNCTION("""COMPUTED_VALUE"""),1.0)</f>
        <v>1</v>
      </c>
      <c r="S9898" s="4" t="str">
        <f>IFERROR(__xludf.DUMMYFUNCTION("""COMPUTED_VALUE"""),"null")</f>
        <v>null</v>
      </c>
      <c r="T9898" s="33">
        <f>IFERROR(__xludf.DUMMYFUNCTION("""COMPUTED_VALUE"""),1.0)</f>
        <v>1</v>
      </c>
      <c r="U9898" s="4" t="str">
        <f>IFERROR(__xludf.DUMMYFUNCTION("""COMPUTED_VALUE"""),"Mp Multipedidos")</f>
        <v>Mp Multipedidos</v>
      </c>
      <c r="V9898" s="33">
        <f>IFERROR(__xludf.DUMMYFUNCTION("""COMPUTED_VALUE"""),1.0)</f>
        <v>1</v>
      </c>
      <c r="W9898" s="4" t="str">
        <f>IFERROR(__xludf.DUMMYFUNCTION("""COMPUTED_VALUE"""),"Mp Multipedidos")</f>
        <v>Mp Multipedidos</v>
      </c>
      <c r="X9898" s="33">
        <f>IFERROR(__xludf.DUMMYFUNCTION("""COMPUTED_VALUE"""),1.0)</f>
        <v>1</v>
      </c>
    </row>
    <row r="9899">
      <c r="K9899" s="4" t="str">
        <f>IFERROR(__xludf.DUMMYFUNCTION("""COMPUTED_VALUE"""),"PROSPERITA - ACAI MARMITEX")</f>
        <v>PROSPERITA - ACAI MARMITEX</v>
      </c>
      <c r="L9899" s="32">
        <f>IFERROR(__xludf.DUMMYFUNCTION("""COMPUTED_VALUE"""),1.0)</f>
        <v>1</v>
      </c>
      <c r="M9899" s="4" t="str">
        <f>IFERROR(__xludf.DUMMYFUNCTION("""COMPUTED_VALUE"""),"Anota Ai Solucoes Digitais S/a")</f>
        <v>Anota Ai Solucoes Digitais S/a</v>
      </c>
      <c r="N9899" s="33">
        <f>IFERROR(__xludf.DUMMYFUNCTION("""COMPUTED_VALUE"""),1.0)</f>
        <v>1</v>
      </c>
      <c r="O9899" s="4" t="str">
        <f>IFERROR(__xludf.DUMMYFUNCTION("""COMPUTED_VALUE"""),"Anota Ai Solucoes Digitais S/a")</f>
        <v>Anota Ai Solucoes Digitais S/a</v>
      </c>
      <c r="P9899" s="33">
        <f>IFERROR(__xludf.DUMMYFUNCTION("""COMPUTED_VALUE"""),1.0)</f>
        <v>1</v>
      </c>
      <c r="Q9899" s="4" t="str">
        <f>IFERROR(__xludf.DUMMYFUNCTION("""COMPUTED_VALUE"""),"null")</f>
        <v>null</v>
      </c>
      <c r="R9899" s="33">
        <f>IFERROR(__xludf.DUMMYFUNCTION("""COMPUTED_VALUE"""),1.0)</f>
        <v>1</v>
      </c>
      <c r="S9899" s="4" t="str">
        <f>IFERROR(__xludf.DUMMYFUNCTION("""COMPUTED_VALUE"""),"null")</f>
        <v>null</v>
      </c>
      <c r="T9899" s="33">
        <f>IFERROR(__xludf.DUMMYFUNCTION("""COMPUTED_VALUE"""),1.0)</f>
        <v>1</v>
      </c>
      <c r="U9899" s="4" t="str">
        <f>IFERROR(__xludf.DUMMYFUNCTION("""COMPUTED_VALUE"""),"null")</f>
        <v>null</v>
      </c>
      <c r="V9899" s="33">
        <f>IFERROR(__xludf.DUMMYFUNCTION("""COMPUTED_VALUE"""),1.0)</f>
        <v>1</v>
      </c>
      <c r="W9899" s="4" t="str">
        <f>IFERROR(__xludf.DUMMYFUNCTION("""COMPUTED_VALUE"""),"null")</f>
        <v>null</v>
      </c>
      <c r="X9899" s="33">
        <f>IFERROR(__xludf.DUMMYFUNCTION("""COMPUTED_VALUE"""),1.0)</f>
        <v>1</v>
      </c>
    </row>
    <row r="9900">
      <c r="K9900" s="4" t="str">
        <f>IFERROR(__xludf.DUMMYFUNCTION("""COMPUTED_VALUE"""),"BOMBOLAK - SORVETES ACAI")</f>
        <v>BOMBOLAK - SORVETES ACAI</v>
      </c>
      <c r="L9900" s="32">
        <f>IFERROR(__xludf.DUMMYFUNCTION("""COMPUTED_VALUE"""),1.0)</f>
        <v>1</v>
      </c>
      <c r="M9900" s="4" t="str">
        <f>IFERROR(__xludf.DUMMYFUNCTION("""COMPUTED_VALUE"""),"Yooga")</f>
        <v>Yooga</v>
      </c>
      <c r="N9900" s="33">
        <f>IFERROR(__xludf.DUMMYFUNCTION("""COMPUTED_VALUE"""),1.0)</f>
        <v>1</v>
      </c>
      <c r="O9900" s="4" t="str">
        <f>IFERROR(__xludf.DUMMYFUNCTION("""COMPUTED_VALUE"""),"Yooga")</f>
        <v>Yooga</v>
      </c>
      <c r="P9900" s="33">
        <f>IFERROR(__xludf.DUMMYFUNCTION("""COMPUTED_VALUE"""),1.0)</f>
        <v>1</v>
      </c>
      <c r="Q9900" s="4" t="str">
        <f>IFERROR(__xludf.DUMMYFUNCTION("""COMPUTED_VALUE"""),"Yooga")</f>
        <v>Yooga</v>
      </c>
      <c r="R9900" s="33">
        <f>IFERROR(__xludf.DUMMYFUNCTION("""COMPUTED_VALUE"""),1.0)</f>
        <v>1</v>
      </c>
      <c r="S9900" s="4" t="str">
        <f>IFERROR(__xludf.DUMMYFUNCTION("""COMPUTED_VALUE"""),"Yooga")</f>
        <v>Yooga</v>
      </c>
      <c r="T9900" s="33">
        <f>IFERROR(__xludf.DUMMYFUNCTION("""COMPUTED_VALUE"""),1.0)</f>
        <v>1</v>
      </c>
      <c r="U9900" s="4" t="str">
        <f>IFERROR(__xludf.DUMMYFUNCTION("""COMPUTED_VALUE"""),"Yooga")</f>
        <v>Yooga</v>
      </c>
      <c r="V9900" s="33">
        <f>IFERROR(__xludf.DUMMYFUNCTION("""COMPUTED_VALUE"""),1.0)</f>
        <v>1</v>
      </c>
      <c r="W9900" s="4" t="str">
        <f>IFERROR(__xludf.DUMMYFUNCTION("""COMPUTED_VALUE"""),"Yooga")</f>
        <v>Yooga</v>
      </c>
      <c r="X9900" s="33">
        <f>IFERROR(__xludf.DUMMYFUNCTION("""COMPUTED_VALUE"""),1.0)</f>
        <v>1</v>
      </c>
    </row>
    <row r="9901">
      <c r="K9901" s="4" t="str">
        <f>IFERROR(__xludf.DUMMYFUNCTION("""COMPUTED_VALUE"""),"JOY JOSS DELIVERY")</f>
        <v>JOY JOSS DELIVERY</v>
      </c>
      <c r="L9901" s="32">
        <f>IFERROR(__xludf.DUMMYFUNCTION("""COMPUTED_VALUE"""),1.0)</f>
        <v>1</v>
      </c>
      <c r="M9901" s="4" t="str">
        <f>IFERROR(__xludf.DUMMYFUNCTION("""COMPUTED_VALUE"""),"null")</f>
        <v>null</v>
      </c>
      <c r="N9901" s="33">
        <f>IFERROR(__xludf.DUMMYFUNCTION("""COMPUTED_VALUE"""),1.0)</f>
        <v>1</v>
      </c>
      <c r="O9901" s="4" t="str">
        <f>IFERROR(__xludf.DUMMYFUNCTION("""COMPUTED_VALUE"""),"null")</f>
        <v>null</v>
      </c>
      <c r="P9901" s="33">
        <f>IFERROR(__xludf.DUMMYFUNCTION("""COMPUTED_VALUE"""),1.0)</f>
        <v>1</v>
      </c>
      <c r="Q9901" s="4" t="str">
        <f>IFERROR(__xludf.DUMMYFUNCTION("""COMPUTED_VALUE"""),"null")</f>
        <v>null</v>
      </c>
      <c r="R9901" s="33">
        <f>IFERROR(__xludf.DUMMYFUNCTION("""COMPUTED_VALUE"""),1.0)</f>
        <v>1</v>
      </c>
      <c r="S9901" s="4" t="str">
        <f>IFERROR(__xludf.DUMMYFUNCTION("""COMPUTED_VALUE"""),"Consumer Soluções Em Tecnologia Ltda")</f>
        <v>Consumer Soluções Em Tecnologia Ltda</v>
      </c>
      <c r="T9901" s="33">
        <f>IFERROR(__xludf.DUMMYFUNCTION("""COMPUTED_VALUE"""),1.0)</f>
        <v>1</v>
      </c>
      <c r="U9901" s="4" t="str">
        <f>IFERROR(__xludf.DUMMYFUNCTION("""COMPUTED_VALUE"""),"null")</f>
        <v>null</v>
      </c>
      <c r="V9901" s="33">
        <f>IFERROR(__xludf.DUMMYFUNCTION("""COMPUTED_VALUE"""),1.0)</f>
        <v>1</v>
      </c>
      <c r="W9901" s="4" t="str">
        <f>IFERROR(__xludf.DUMMYFUNCTION("""COMPUTED_VALUE"""),"null")</f>
        <v>null</v>
      </c>
      <c r="X9901" s="33">
        <f>IFERROR(__xludf.DUMMYFUNCTION("""COMPUTED_VALUE"""),1.0)</f>
        <v>1</v>
      </c>
    </row>
    <row r="9902">
      <c r="K9902" s="4" t="str">
        <f>IFERROR(__xludf.DUMMYFUNCTION("""COMPUTED_VALUE"""),"PARME DE LEI - PARMEGIANAS")</f>
        <v>PARME DE LEI - PARMEGIANAS</v>
      </c>
      <c r="L9902" s="32">
        <f>IFERROR(__xludf.DUMMYFUNCTION("""COMPUTED_VALUE"""),1.0)</f>
        <v>1</v>
      </c>
      <c r="M9902" s="4" t="str">
        <f>IFERROR(__xludf.DUMMYFUNCTION("""COMPUTED_VALUE"""),"Vuca Solution")</f>
        <v>Vuca Solution</v>
      </c>
      <c r="N9902" s="33">
        <f>IFERROR(__xludf.DUMMYFUNCTION("""COMPUTED_VALUE"""),1.0)</f>
        <v>1</v>
      </c>
      <c r="O9902" s="4" t="str">
        <f>IFERROR(__xludf.DUMMYFUNCTION("""COMPUTED_VALUE"""),"null")</f>
        <v>null</v>
      </c>
      <c r="P9902" s="33">
        <f>IFERROR(__xludf.DUMMYFUNCTION("""COMPUTED_VALUE"""),1.0)</f>
        <v>1</v>
      </c>
      <c r="Q9902" s="4" t="str">
        <f>IFERROR(__xludf.DUMMYFUNCTION("""COMPUTED_VALUE"""),"null")</f>
        <v>null</v>
      </c>
      <c r="R9902" s="33">
        <f>IFERROR(__xludf.DUMMYFUNCTION("""COMPUTED_VALUE"""),1.0)</f>
        <v>1</v>
      </c>
      <c r="S9902" s="4" t="str">
        <f>IFERROR(__xludf.DUMMYFUNCTION("""COMPUTED_VALUE"""),"null")</f>
        <v>null</v>
      </c>
      <c r="T9902" s="33">
        <f>IFERROR(__xludf.DUMMYFUNCTION("""COMPUTED_VALUE"""),1.0)</f>
        <v>1</v>
      </c>
      <c r="U9902" s="4" t="str">
        <f>IFERROR(__xludf.DUMMYFUNCTION("""COMPUTED_VALUE"""),"null")</f>
        <v>null</v>
      </c>
      <c r="V9902" s="33">
        <f>IFERROR(__xludf.DUMMYFUNCTION("""COMPUTED_VALUE"""),1.0)</f>
        <v>1</v>
      </c>
      <c r="W9902" s="4" t="str">
        <f>IFERROR(__xludf.DUMMYFUNCTION("""COMPUTED_VALUE"""),"null")</f>
        <v>null</v>
      </c>
      <c r="X9902" s="33">
        <f>IFERROR(__xludf.DUMMYFUNCTION("""COMPUTED_VALUE"""),1.0)</f>
        <v>1</v>
      </c>
    </row>
    <row r="9903">
      <c r="K9903" s="4" t="str">
        <f>IFERROR(__xludf.DUMMYFUNCTION("""COMPUTED_VALUE"""),"VERONA DOCERIA")</f>
        <v>VERONA DOCERIA</v>
      </c>
      <c r="L9903" s="32">
        <f>IFERROR(__xludf.DUMMYFUNCTION("""COMPUTED_VALUE"""),1.0)</f>
        <v>1</v>
      </c>
      <c r="M9903" s="4" t="str">
        <f>IFERROR(__xludf.DUMMYFUNCTION("""COMPUTED_VALUE"""),"Cardápio Web")</f>
        <v>Cardápio Web</v>
      </c>
      <c r="N9903" s="33">
        <f>IFERROR(__xludf.DUMMYFUNCTION("""COMPUTED_VALUE"""),1.0)</f>
        <v>1</v>
      </c>
      <c r="O9903" s="4" t="str">
        <f>IFERROR(__xludf.DUMMYFUNCTION("""COMPUTED_VALUE"""),"Cardápio Web")</f>
        <v>Cardápio Web</v>
      </c>
      <c r="P9903" s="33">
        <f>IFERROR(__xludf.DUMMYFUNCTION("""COMPUTED_VALUE"""),1.0)</f>
        <v>1</v>
      </c>
      <c r="Q9903" s="4" t="str">
        <f>IFERROR(__xludf.DUMMYFUNCTION("""COMPUTED_VALUE"""),"Cardápio Web")</f>
        <v>Cardápio Web</v>
      </c>
      <c r="R9903" s="33">
        <f>IFERROR(__xludf.DUMMYFUNCTION("""COMPUTED_VALUE"""),1.0)</f>
        <v>1</v>
      </c>
      <c r="S9903" s="4" t="str">
        <f>IFERROR(__xludf.DUMMYFUNCTION("""COMPUTED_VALUE"""),"null")</f>
        <v>null</v>
      </c>
      <c r="T9903" s="33">
        <f>IFERROR(__xludf.DUMMYFUNCTION("""COMPUTED_VALUE"""),1.0)</f>
        <v>1</v>
      </c>
      <c r="U9903" s="4" t="str">
        <f>IFERROR(__xludf.DUMMYFUNCTION("""COMPUTED_VALUE"""),"null")</f>
        <v>null</v>
      </c>
      <c r="V9903" s="33">
        <f>IFERROR(__xludf.DUMMYFUNCTION("""COMPUTED_VALUE"""),1.0)</f>
        <v>1</v>
      </c>
      <c r="W9903" s="4" t="str">
        <f>IFERROR(__xludf.DUMMYFUNCTION("""COMPUTED_VALUE"""),"null")</f>
        <v>null</v>
      </c>
      <c r="X9903" s="33">
        <f>IFERROR(__xludf.DUMMYFUNCTION("""COMPUTED_VALUE"""),1.0)</f>
        <v>1</v>
      </c>
    </row>
    <row r="9904">
      <c r="K9904" s="4" t="str">
        <f>IFERROR(__xludf.DUMMYFUNCTION("""COMPUTED_VALUE"""),"CREPE CONE - CREPES E TAPIOCAS")</f>
        <v>CREPE CONE - CREPES E TAPIOCAS</v>
      </c>
      <c r="L9904" s="32">
        <f>IFERROR(__xludf.DUMMYFUNCTION("""COMPUTED_VALUE"""),1.0)</f>
        <v>1</v>
      </c>
      <c r="M9904" s="4" t="str">
        <f>IFERROR(__xludf.DUMMYFUNCTION("""COMPUTED_VALUE"""),"null")</f>
        <v>null</v>
      </c>
      <c r="N9904" s="33">
        <f>IFERROR(__xludf.DUMMYFUNCTION("""COMPUTED_VALUE"""),1.0)</f>
        <v>1</v>
      </c>
      <c r="O9904" s="4" t="str">
        <f>IFERROR(__xludf.DUMMYFUNCTION("""COMPUTED_VALUE"""),"null")</f>
        <v>null</v>
      </c>
      <c r="P9904" s="33">
        <f>IFERROR(__xludf.DUMMYFUNCTION("""COMPUTED_VALUE"""),1.0)</f>
        <v>1</v>
      </c>
      <c r="Q9904" s="4" t="str">
        <f>IFERROR(__xludf.DUMMYFUNCTION("""COMPUTED_VALUE"""),"null")</f>
        <v>null</v>
      </c>
      <c r="R9904" s="33">
        <f>IFERROR(__xludf.DUMMYFUNCTION("""COMPUTED_VALUE"""),1.0)</f>
        <v>1</v>
      </c>
      <c r="S9904" s="4" t="str">
        <f>IFERROR(__xludf.DUMMYFUNCTION("""COMPUTED_VALUE"""),"null")</f>
        <v>null</v>
      </c>
      <c r="T9904" s="33">
        <f>IFERROR(__xludf.DUMMYFUNCTION("""COMPUTED_VALUE"""),1.0)</f>
        <v>1</v>
      </c>
      <c r="U9904" s="4" t="str">
        <f>IFERROR(__xludf.DUMMYFUNCTION("""COMPUTED_VALUE"""),"Saipos Serviços De Software")</f>
        <v>Saipos Serviços De Software</v>
      </c>
      <c r="V9904" s="33">
        <f>IFERROR(__xludf.DUMMYFUNCTION("""COMPUTED_VALUE"""),1.0)</f>
        <v>1</v>
      </c>
      <c r="W9904" s="4" t="str">
        <f>IFERROR(__xludf.DUMMYFUNCTION("""COMPUTED_VALUE"""),"Saipos Serviços De Software")</f>
        <v>Saipos Serviços De Software</v>
      </c>
      <c r="X9904" s="33">
        <f>IFERROR(__xludf.DUMMYFUNCTION("""COMPUTED_VALUE"""),1.0)</f>
        <v>1</v>
      </c>
    </row>
    <row r="9905">
      <c r="K9905" s="4" t="str">
        <f>IFERROR(__xludf.DUMMYFUNCTION("""COMPUTED_VALUE"""),"PIZZARIA TIO JOAO")</f>
        <v>PIZZARIA TIO JOAO</v>
      </c>
      <c r="L9905" s="32">
        <f>IFERROR(__xludf.DUMMYFUNCTION("""COMPUTED_VALUE"""),1.0)</f>
        <v>1</v>
      </c>
      <c r="M9905" s="4" t="str">
        <f>IFERROR(__xludf.DUMMYFUNCTION("""COMPUTED_VALUE"""),"Sistema Pallas")</f>
        <v>Sistema Pallas</v>
      </c>
      <c r="N9905" s="33">
        <f>IFERROR(__xludf.DUMMYFUNCTION("""COMPUTED_VALUE"""),1.0)</f>
        <v>1</v>
      </c>
      <c r="O9905" s="4" t="str">
        <f>IFERROR(__xludf.DUMMYFUNCTION("""COMPUTED_VALUE"""),"Sistema Pallas")</f>
        <v>Sistema Pallas</v>
      </c>
      <c r="P9905" s="33">
        <f>IFERROR(__xludf.DUMMYFUNCTION("""COMPUTED_VALUE"""),1.0)</f>
        <v>1</v>
      </c>
      <c r="Q9905" s="4" t="str">
        <f>IFERROR(__xludf.DUMMYFUNCTION("""COMPUTED_VALUE"""),"Sistema Pallas")</f>
        <v>Sistema Pallas</v>
      </c>
      <c r="R9905" s="33">
        <f>IFERROR(__xludf.DUMMYFUNCTION("""COMPUTED_VALUE"""),1.0)</f>
        <v>1</v>
      </c>
      <c r="S9905" s="4" t="str">
        <f>IFERROR(__xludf.DUMMYFUNCTION("""COMPUTED_VALUE"""),"Sistema Pallas")</f>
        <v>Sistema Pallas</v>
      </c>
      <c r="T9905" s="33">
        <f>IFERROR(__xludf.DUMMYFUNCTION("""COMPUTED_VALUE"""),1.0)</f>
        <v>1</v>
      </c>
      <c r="U9905" s="4" t="str">
        <f>IFERROR(__xludf.DUMMYFUNCTION("""COMPUTED_VALUE"""),"Sistema Pallas")</f>
        <v>Sistema Pallas</v>
      </c>
      <c r="V9905" s="33">
        <f>IFERROR(__xludf.DUMMYFUNCTION("""COMPUTED_VALUE"""),1.0)</f>
        <v>1</v>
      </c>
      <c r="W9905" s="4" t="str">
        <f>IFERROR(__xludf.DUMMYFUNCTION("""COMPUTED_VALUE"""),"Sistema Pallas")</f>
        <v>Sistema Pallas</v>
      </c>
      <c r="X9905" s="33">
        <f>IFERROR(__xludf.DUMMYFUNCTION("""COMPUTED_VALUE"""),1.0)</f>
        <v>1</v>
      </c>
    </row>
    <row r="9906">
      <c r="K9906" s="4" t="str">
        <f>IFERROR(__xludf.DUMMYFUNCTION("""COMPUTED_VALUE"""),"ALIANCA BURGUERS")</f>
        <v>ALIANCA BURGUERS</v>
      </c>
      <c r="L9906" s="32">
        <f>IFERROR(__xludf.DUMMYFUNCTION("""COMPUTED_VALUE"""),1.0)</f>
        <v>1</v>
      </c>
      <c r="M9906" s="4" t="str">
        <f>IFERROR(__xludf.DUMMYFUNCTION("""COMPUTED_VALUE"""),"null")</f>
        <v>null</v>
      </c>
      <c r="N9906" s="33">
        <f>IFERROR(__xludf.DUMMYFUNCTION("""COMPUTED_VALUE"""),1.0)</f>
        <v>1</v>
      </c>
      <c r="O9906" s="4" t="str">
        <f>IFERROR(__xludf.DUMMYFUNCTION("""COMPUTED_VALUE"""),"Instadelivery")</f>
        <v>Instadelivery</v>
      </c>
      <c r="P9906" s="33">
        <f>IFERROR(__xludf.DUMMYFUNCTION("""COMPUTED_VALUE"""),1.0)</f>
        <v>1</v>
      </c>
      <c r="Q9906" s="4" t="str">
        <f>IFERROR(__xludf.DUMMYFUNCTION("""COMPUTED_VALUE"""),"Instadelivery")</f>
        <v>Instadelivery</v>
      </c>
      <c r="R9906" s="33">
        <f>IFERROR(__xludf.DUMMYFUNCTION("""COMPUTED_VALUE"""),1.0)</f>
        <v>1</v>
      </c>
      <c r="S9906" s="4" t="str">
        <f>IFERROR(__xludf.DUMMYFUNCTION("""COMPUTED_VALUE"""),"null")</f>
        <v>null</v>
      </c>
      <c r="T9906" s="33">
        <f>IFERROR(__xludf.DUMMYFUNCTION("""COMPUTED_VALUE"""),1.0)</f>
        <v>1</v>
      </c>
      <c r="U9906" s="4" t="str">
        <f>IFERROR(__xludf.DUMMYFUNCTION("""COMPUTED_VALUE"""),"null")</f>
        <v>null</v>
      </c>
      <c r="V9906" s="33">
        <f>IFERROR(__xludf.DUMMYFUNCTION("""COMPUTED_VALUE"""),1.0)</f>
        <v>1</v>
      </c>
      <c r="W9906" s="4" t="str">
        <f>IFERROR(__xludf.DUMMYFUNCTION("""COMPUTED_VALUE"""),"null")</f>
        <v>null</v>
      </c>
      <c r="X9906" s="33">
        <f>IFERROR(__xludf.DUMMYFUNCTION("""COMPUTED_VALUE"""),1.0)</f>
        <v>1</v>
      </c>
    </row>
    <row r="9907">
      <c r="K9907" s="4" t="str">
        <f>IFERROR(__xludf.DUMMYFUNCTION("""COMPUTED_VALUE"""),"VARANDA FOOD MARKET")</f>
        <v>VARANDA FOOD MARKET</v>
      </c>
      <c r="L9907" s="32">
        <f>IFERROR(__xludf.DUMMYFUNCTION("""COMPUTED_VALUE"""),1.0)</f>
        <v>1</v>
      </c>
      <c r="M9907" s="4" t="str">
        <f>IFERROR(__xludf.DUMMYFUNCTION("""COMPUTED_VALUE"""),"Cardápio Web")</f>
        <v>Cardápio Web</v>
      </c>
      <c r="N9907" s="33">
        <f>IFERROR(__xludf.DUMMYFUNCTION("""COMPUTED_VALUE"""),1.0)</f>
        <v>1</v>
      </c>
      <c r="O9907" s="4" t="str">
        <f>IFERROR(__xludf.DUMMYFUNCTION("""COMPUTED_VALUE"""),"Cardápio Web")</f>
        <v>Cardápio Web</v>
      </c>
      <c r="P9907" s="33">
        <f>IFERROR(__xludf.DUMMYFUNCTION("""COMPUTED_VALUE"""),1.0)</f>
        <v>1</v>
      </c>
      <c r="Q9907" s="4" t="str">
        <f>IFERROR(__xludf.DUMMYFUNCTION("""COMPUTED_VALUE"""),"Cardápio Web")</f>
        <v>Cardápio Web</v>
      </c>
      <c r="R9907" s="33">
        <f>IFERROR(__xludf.DUMMYFUNCTION("""COMPUTED_VALUE"""),1.0)</f>
        <v>1</v>
      </c>
      <c r="S9907" s="4" t="str">
        <f>IFERROR(__xludf.DUMMYFUNCTION("""COMPUTED_VALUE"""),"Cardápio Web")</f>
        <v>Cardápio Web</v>
      </c>
      <c r="T9907" s="33">
        <f>IFERROR(__xludf.DUMMYFUNCTION("""COMPUTED_VALUE"""),1.0)</f>
        <v>1</v>
      </c>
      <c r="U9907" s="4" t="str">
        <f>IFERROR(__xludf.DUMMYFUNCTION("""COMPUTED_VALUE"""),"Cardápio Web")</f>
        <v>Cardápio Web</v>
      </c>
      <c r="V9907" s="33">
        <f>IFERROR(__xludf.DUMMYFUNCTION("""COMPUTED_VALUE"""),1.0)</f>
        <v>1</v>
      </c>
      <c r="W9907" s="4" t="str">
        <f>IFERROR(__xludf.DUMMYFUNCTION("""COMPUTED_VALUE"""),"Cardápio Web")</f>
        <v>Cardápio Web</v>
      </c>
      <c r="X9907" s="33">
        <f>IFERROR(__xludf.DUMMYFUNCTION("""COMPUTED_VALUE"""),1.0)</f>
        <v>1</v>
      </c>
    </row>
    <row r="9908">
      <c r="K9908" s="4" t="str">
        <f>IFERROR(__xludf.DUMMYFUNCTION("""COMPUTED_VALUE"""),"DUO BISTRO E PIZZA")</f>
        <v>DUO BISTRO E PIZZA</v>
      </c>
      <c r="L9908" s="32">
        <f>IFERROR(__xludf.DUMMYFUNCTION("""COMPUTED_VALUE"""),1.0)</f>
        <v>1</v>
      </c>
      <c r="M9908" s="4" t="str">
        <f>IFERROR(__xludf.DUMMYFUNCTION("""COMPUTED_VALUE"""),"Ncr")</f>
        <v>Ncr</v>
      </c>
      <c r="N9908" s="33">
        <f>IFERROR(__xludf.DUMMYFUNCTION("""COMPUTED_VALUE"""),1.0)</f>
        <v>1</v>
      </c>
      <c r="O9908" s="4" t="str">
        <f>IFERROR(__xludf.DUMMYFUNCTION("""COMPUTED_VALUE"""),"Ncr")</f>
        <v>Ncr</v>
      </c>
      <c r="P9908" s="33">
        <f>IFERROR(__xludf.DUMMYFUNCTION("""COMPUTED_VALUE"""),1.0)</f>
        <v>1</v>
      </c>
      <c r="Q9908" s="4" t="str">
        <f>IFERROR(__xludf.DUMMYFUNCTION("""COMPUTED_VALUE"""),"null")</f>
        <v>null</v>
      </c>
      <c r="R9908" s="33">
        <f>IFERROR(__xludf.DUMMYFUNCTION("""COMPUTED_VALUE"""),1.0)</f>
        <v>1</v>
      </c>
      <c r="S9908" s="4" t="str">
        <f>IFERROR(__xludf.DUMMYFUNCTION("""COMPUTED_VALUE"""),"null")</f>
        <v>null</v>
      </c>
      <c r="T9908" s="33">
        <f>IFERROR(__xludf.DUMMYFUNCTION("""COMPUTED_VALUE"""),1.0)</f>
        <v>1</v>
      </c>
      <c r="U9908" s="4" t="str">
        <f>IFERROR(__xludf.DUMMYFUNCTION("""COMPUTED_VALUE"""),"null")</f>
        <v>null</v>
      </c>
      <c r="V9908" s="33">
        <f>IFERROR(__xludf.DUMMYFUNCTION("""COMPUTED_VALUE"""),1.0)</f>
        <v>1</v>
      </c>
      <c r="W9908" s="4" t="str">
        <f>IFERROR(__xludf.DUMMYFUNCTION("""COMPUTED_VALUE"""),"null")</f>
        <v>null</v>
      </c>
      <c r="X9908" s="33">
        <f>IFERROR(__xludf.DUMMYFUNCTION("""COMPUTED_VALUE"""),1.0)</f>
        <v>1</v>
      </c>
    </row>
    <row r="9909">
      <c r="K9909" s="4" t="str">
        <f>IFERROR(__xludf.DUMMYFUNCTION("""COMPUTED_VALUE"""),"FARMA800")</f>
        <v>FARMA800</v>
      </c>
      <c r="L9909" s="32">
        <f>IFERROR(__xludf.DUMMYFUNCTION("""COMPUTED_VALUE"""),1.0)</f>
        <v>1</v>
      </c>
      <c r="M9909" s="4" t="str">
        <f>IFERROR(__xludf.DUMMYFUNCTION("""COMPUTED_VALUE"""),"N/A (Not found)")</f>
        <v>N/A (Not found)</v>
      </c>
      <c r="N9909" s="33">
        <f>IFERROR(__xludf.DUMMYFUNCTION("""COMPUTED_VALUE"""),1.0)</f>
        <v>1</v>
      </c>
      <c r="O9909" s="4" t="str">
        <f>IFERROR(__xludf.DUMMYFUNCTION("""COMPUTED_VALUE"""),"N/A (Not found)")</f>
        <v>N/A (Not found)</v>
      </c>
      <c r="P9909" s="33">
        <f>IFERROR(__xludf.DUMMYFUNCTION("""COMPUTED_VALUE"""),1.0)</f>
        <v>1</v>
      </c>
      <c r="Q9909" s="4" t="str">
        <f>IFERROR(__xludf.DUMMYFUNCTION("""COMPUTED_VALUE"""),"N/A (Not found)")</f>
        <v>N/A (Not found)</v>
      </c>
      <c r="R9909" s="33">
        <f>IFERROR(__xludf.DUMMYFUNCTION("""COMPUTED_VALUE"""),1.0)</f>
        <v>1</v>
      </c>
      <c r="S9909" s="4" t="str">
        <f>IFERROR(__xludf.DUMMYFUNCTION("""COMPUTED_VALUE"""),"N/A (Not found)")</f>
        <v>N/A (Not found)</v>
      </c>
      <c r="T9909" s="33">
        <f>IFERROR(__xludf.DUMMYFUNCTION("""COMPUTED_VALUE"""),1.0)</f>
        <v>1</v>
      </c>
      <c r="U9909" s="4" t="str">
        <f>IFERROR(__xludf.DUMMYFUNCTION("""COMPUTED_VALUE"""),"N/A (Not found)")</f>
        <v>N/A (Not found)</v>
      </c>
      <c r="V9909" s="33">
        <f>IFERROR(__xludf.DUMMYFUNCTION("""COMPUTED_VALUE"""),1.0)</f>
        <v>1</v>
      </c>
      <c r="W9909" s="4" t="str">
        <f>IFERROR(__xludf.DUMMYFUNCTION("""COMPUTED_VALUE"""),"N/A (Not found)")</f>
        <v>N/A (Not found)</v>
      </c>
      <c r="X9909" s="33">
        <f>IFERROR(__xludf.DUMMYFUNCTION("""COMPUTED_VALUE"""),1.0)</f>
        <v>1</v>
      </c>
    </row>
    <row r="9910">
      <c r="K9910" s="4" t="str">
        <f>IFERROR(__xludf.DUMMYFUNCTION("""COMPUTED_VALUE"""),"HAYASHI SUSHI FLORIPA")</f>
        <v>HAYASHI SUSHI FLORIPA</v>
      </c>
      <c r="L9910" s="32">
        <f>IFERROR(__xludf.DUMMYFUNCTION("""COMPUTED_VALUE"""),1.0)</f>
        <v>1</v>
      </c>
      <c r="M9910" s="4" t="str">
        <f>IFERROR(__xludf.DUMMYFUNCTION("""COMPUTED_VALUE"""),"null")</f>
        <v>null</v>
      </c>
      <c r="N9910" s="33">
        <f>IFERROR(__xludf.DUMMYFUNCTION("""COMPUTED_VALUE"""),1.0)</f>
        <v>1</v>
      </c>
      <c r="O9910" s="4" t="str">
        <f>IFERROR(__xludf.DUMMYFUNCTION("""COMPUTED_VALUE"""),"null")</f>
        <v>null</v>
      </c>
      <c r="P9910" s="33">
        <f>IFERROR(__xludf.DUMMYFUNCTION("""COMPUTED_VALUE"""),1.0)</f>
        <v>1</v>
      </c>
      <c r="Q9910" s="4" t="str">
        <f>IFERROR(__xludf.DUMMYFUNCTION("""COMPUTED_VALUE"""),"null")</f>
        <v>null</v>
      </c>
      <c r="R9910" s="33">
        <f>IFERROR(__xludf.DUMMYFUNCTION("""COMPUTED_VALUE"""),1.0)</f>
        <v>1</v>
      </c>
      <c r="S9910" s="4" t="str">
        <f>IFERROR(__xludf.DUMMYFUNCTION("""COMPUTED_VALUE"""),"null")</f>
        <v>null</v>
      </c>
      <c r="T9910" s="33">
        <f>IFERROR(__xludf.DUMMYFUNCTION("""COMPUTED_VALUE"""),1.0)</f>
        <v>1</v>
      </c>
      <c r="U9910" s="4" t="str">
        <f>IFERROR(__xludf.DUMMYFUNCTION("""COMPUTED_VALUE"""),"null")</f>
        <v>null</v>
      </c>
      <c r="V9910" s="33">
        <f>IFERROR(__xludf.DUMMYFUNCTION("""COMPUTED_VALUE"""),1.0)</f>
        <v>1</v>
      </c>
      <c r="W9910" s="4" t="str">
        <f>IFERROR(__xludf.DUMMYFUNCTION("""COMPUTED_VALUE"""),"Cardápio Web")</f>
        <v>Cardápio Web</v>
      </c>
      <c r="X9910" s="33">
        <f>IFERROR(__xludf.DUMMYFUNCTION("""COMPUTED_VALUE"""),1.0)</f>
        <v>1</v>
      </c>
    </row>
    <row r="9911">
      <c r="K9911" s="4" t="str">
        <f>IFERROR(__xludf.DUMMYFUNCTION("""COMPUTED_VALUE"""),"DELIVERY EXPRESS - XIS , ACAI E SORVETES")</f>
        <v>DELIVERY EXPRESS - XIS , ACAI E SORVETES</v>
      </c>
      <c r="L9911" s="32">
        <f>IFERROR(__xludf.DUMMYFUNCTION("""COMPUTED_VALUE"""),1.0)</f>
        <v>1</v>
      </c>
      <c r="M9911" s="4" t="str">
        <f>IFERROR(__xludf.DUMMYFUNCTION("""COMPUTED_VALUE"""),"Brendi")</f>
        <v>Brendi</v>
      </c>
      <c r="N9911" s="33">
        <f>IFERROR(__xludf.DUMMYFUNCTION("""COMPUTED_VALUE"""),1.0)</f>
        <v>1</v>
      </c>
      <c r="O9911" s="4" t="str">
        <f>IFERROR(__xludf.DUMMYFUNCTION("""COMPUTED_VALUE"""),"Brendi")</f>
        <v>Brendi</v>
      </c>
      <c r="P9911" s="33">
        <f>IFERROR(__xludf.DUMMYFUNCTION("""COMPUTED_VALUE"""),1.0)</f>
        <v>1</v>
      </c>
      <c r="Q9911" s="4" t="str">
        <f>IFERROR(__xludf.DUMMYFUNCTION("""COMPUTED_VALUE"""),"Brendi")</f>
        <v>Brendi</v>
      </c>
      <c r="R9911" s="33">
        <f>IFERROR(__xludf.DUMMYFUNCTION("""COMPUTED_VALUE"""),1.0)</f>
        <v>1</v>
      </c>
      <c r="S9911" s="4" t="str">
        <f>IFERROR(__xludf.DUMMYFUNCTION("""COMPUTED_VALUE"""),"Brendi")</f>
        <v>Brendi</v>
      </c>
      <c r="T9911" s="33">
        <f>IFERROR(__xludf.DUMMYFUNCTION("""COMPUTED_VALUE"""),1.0)</f>
        <v>1</v>
      </c>
      <c r="U9911" s="4" t="str">
        <f>IFERROR(__xludf.DUMMYFUNCTION("""COMPUTED_VALUE"""),"Brendi")</f>
        <v>Brendi</v>
      </c>
      <c r="V9911" s="33">
        <f>IFERROR(__xludf.DUMMYFUNCTION("""COMPUTED_VALUE"""),1.0)</f>
        <v>1</v>
      </c>
      <c r="W9911" s="4" t="str">
        <f>IFERROR(__xludf.DUMMYFUNCTION("""COMPUTED_VALUE"""),"Brendi")</f>
        <v>Brendi</v>
      </c>
      <c r="X9911" s="33">
        <f>IFERROR(__xludf.DUMMYFUNCTION("""COMPUTED_VALUE"""),1.0)</f>
        <v>1</v>
      </c>
    </row>
    <row r="9912">
      <c r="K9912" s="4" t="str">
        <f>IFERROR(__xludf.DUMMYFUNCTION("""COMPUTED_VALUE"""),"CASA DO NORTE MA E PRODUTOS NATURAIS")</f>
        <v>CASA DO NORTE MA E PRODUTOS NATURAIS</v>
      </c>
      <c r="L9912" s="32">
        <f>IFERROR(__xludf.DUMMYFUNCTION("""COMPUTED_VALUE"""),1.0)</f>
        <v>1</v>
      </c>
      <c r="M9912" s="4" t="str">
        <f>IFERROR(__xludf.DUMMYFUNCTION("""COMPUTED_VALUE"""),"Connectplug")</f>
        <v>Connectplug</v>
      </c>
      <c r="N9912" s="33">
        <f>IFERROR(__xludf.DUMMYFUNCTION("""COMPUTED_VALUE"""),1.0)</f>
        <v>1</v>
      </c>
      <c r="O9912" s="4" t="str">
        <f>IFERROR(__xludf.DUMMYFUNCTION("""COMPUTED_VALUE"""),"null")</f>
        <v>null</v>
      </c>
      <c r="P9912" s="33">
        <f>IFERROR(__xludf.DUMMYFUNCTION("""COMPUTED_VALUE"""),1.0)</f>
        <v>1</v>
      </c>
      <c r="Q9912" s="4" t="str">
        <f>IFERROR(__xludf.DUMMYFUNCTION("""COMPUTED_VALUE"""),"null")</f>
        <v>null</v>
      </c>
      <c r="R9912" s="33">
        <f>IFERROR(__xludf.DUMMYFUNCTION("""COMPUTED_VALUE"""),1.0)</f>
        <v>1</v>
      </c>
      <c r="S9912" s="4" t="str">
        <f>IFERROR(__xludf.DUMMYFUNCTION("""COMPUTED_VALUE"""),"null")</f>
        <v>null</v>
      </c>
      <c r="T9912" s="33">
        <f>IFERROR(__xludf.DUMMYFUNCTION("""COMPUTED_VALUE"""),1.0)</f>
        <v>1</v>
      </c>
      <c r="U9912" s="4" t="str">
        <f>IFERROR(__xludf.DUMMYFUNCTION("""COMPUTED_VALUE"""),"null")</f>
        <v>null</v>
      </c>
      <c r="V9912" s="33">
        <f>IFERROR(__xludf.DUMMYFUNCTION("""COMPUTED_VALUE"""),1.0)</f>
        <v>1</v>
      </c>
      <c r="W9912" s="4" t="str">
        <f>IFERROR(__xludf.DUMMYFUNCTION("""COMPUTED_VALUE"""),"null")</f>
        <v>null</v>
      </c>
      <c r="X9912" s="33">
        <f>IFERROR(__xludf.DUMMYFUNCTION("""COMPUTED_VALUE"""),1.0)</f>
        <v>1</v>
      </c>
    </row>
    <row r="9913">
      <c r="K9913" s="4" t="str">
        <f>IFERROR(__xludf.DUMMYFUNCTION("""COMPUTED_VALUE"""),"CASA DO SORVETE")</f>
        <v>CASA DO SORVETE</v>
      </c>
      <c r="L9913" s="32">
        <f>IFERROR(__xludf.DUMMYFUNCTION("""COMPUTED_VALUE"""),1.0)</f>
        <v>1</v>
      </c>
      <c r="M9913" s="4" t="str">
        <f>IFERROR(__xludf.DUMMYFUNCTION("""COMPUTED_VALUE"""),"Saipos Serviços De Software")</f>
        <v>Saipos Serviços De Software</v>
      </c>
      <c r="N9913" s="33">
        <f>IFERROR(__xludf.DUMMYFUNCTION("""COMPUTED_VALUE"""),1.0)</f>
        <v>1</v>
      </c>
      <c r="O9913" s="4" t="str">
        <f>IFERROR(__xludf.DUMMYFUNCTION("""COMPUTED_VALUE"""),"null")</f>
        <v>null</v>
      </c>
      <c r="P9913" s="33">
        <f>IFERROR(__xludf.DUMMYFUNCTION("""COMPUTED_VALUE"""),1.0)</f>
        <v>1</v>
      </c>
      <c r="Q9913" s="4" t="str">
        <f>IFERROR(__xludf.DUMMYFUNCTION("""COMPUTED_VALUE"""),"Saipos Serviços De Software")</f>
        <v>Saipos Serviços De Software</v>
      </c>
      <c r="R9913" s="33">
        <f>IFERROR(__xludf.DUMMYFUNCTION("""COMPUTED_VALUE"""),1.0)</f>
        <v>1</v>
      </c>
      <c r="S9913" s="4" t="str">
        <f>IFERROR(__xludf.DUMMYFUNCTION("""COMPUTED_VALUE"""),"Saipos Serviços De Software")</f>
        <v>Saipos Serviços De Software</v>
      </c>
      <c r="T9913" s="33">
        <f>IFERROR(__xludf.DUMMYFUNCTION("""COMPUTED_VALUE"""),1.0)</f>
        <v>1</v>
      </c>
      <c r="U9913" s="4" t="str">
        <f>IFERROR(__xludf.DUMMYFUNCTION("""COMPUTED_VALUE"""),"Saipos Serviços De Software")</f>
        <v>Saipos Serviços De Software</v>
      </c>
      <c r="V9913" s="33">
        <f>IFERROR(__xludf.DUMMYFUNCTION("""COMPUTED_VALUE"""),1.0)</f>
        <v>1</v>
      </c>
      <c r="W9913" s="4" t="str">
        <f>IFERROR(__xludf.DUMMYFUNCTION("""COMPUTED_VALUE"""),"Saipos Serviços De Software")</f>
        <v>Saipos Serviços De Software</v>
      </c>
      <c r="X9913" s="33">
        <f>IFERROR(__xludf.DUMMYFUNCTION("""COMPUTED_VALUE"""),1.0)</f>
        <v>1</v>
      </c>
    </row>
    <row r="9914">
      <c r="K9914" s="4" t="str">
        <f>IFERROR(__xludf.DUMMYFUNCTION("""COMPUTED_VALUE"""),"MAKETTO EUSEBIO")</f>
        <v>MAKETTO EUSEBIO</v>
      </c>
      <c r="L9914" s="32">
        <f>IFERROR(__xludf.DUMMYFUNCTION("""COMPUTED_VALUE"""),1.0)</f>
        <v>1</v>
      </c>
      <c r="M9914" s="4" t="str">
        <f>IFERROR(__xludf.DUMMYFUNCTION("""COMPUTED_VALUE"""),"Izzy Way Tecnologia")</f>
        <v>Izzy Way Tecnologia</v>
      </c>
      <c r="N9914" s="33">
        <f>IFERROR(__xludf.DUMMYFUNCTION("""COMPUTED_VALUE"""),1.0)</f>
        <v>1</v>
      </c>
      <c r="O9914" s="4" t="str">
        <f>IFERROR(__xludf.DUMMYFUNCTION("""COMPUTED_VALUE"""),"Izzy Way Tecnologia")</f>
        <v>Izzy Way Tecnologia</v>
      </c>
      <c r="P9914" s="33">
        <f>IFERROR(__xludf.DUMMYFUNCTION("""COMPUTED_VALUE"""),1.0)</f>
        <v>1</v>
      </c>
      <c r="Q9914" s="4" t="str">
        <f>IFERROR(__xludf.DUMMYFUNCTION("""COMPUTED_VALUE"""),"null")</f>
        <v>null</v>
      </c>
      <c r="R9914" s="33">
        <f>IFERROR(__xludf.DUMMYFUNCTION("""COMPUTED_VALUE"""),1.0)</f>
        <v>1</v>
      </c>
      <c r="S9914" s="4" t="str">
        <f>IFERROR(__xludf.DUMMYFUNCTION("""COMPUTED_VALUE"""),"null")</f>
        <v>null</v>
      </c>
      <c r="T9914" s="33">
        <f>IFERROR(__xludf.DUMMYFUNCTION("""COMPUTED_VALUE"""),1.0)</f>
        <v>1</v>
      </c>
      <c r="U9914" s="4" t="str">
        <f>IFERROR(__xludf.DUMMYFUNCTION("""COMPUTED_VALUE"""),"null")</f>
        <v>null</v>
      </c>
      <c r="V9914" s="33">
        <f>IFERROR(__xludf.DUMMYFUNCTION("""COMPUTED_VALUE"""),1.0)</f>
        <v>1</v>
      </c>
      <c r="W9914" s="4" t="str">
        <f>IFERROR(__xludf.DUMMYFUNCTION("""COMPUTED_VALUE"""),"null")</f>
        <v>null</v>
      </c>
      <c r="X9914" s="33">
        <f>IFERROR(__xludf.DUMMYFUNCTION("""COMPUTED_VALUE"""),1.0)</f>
        <v>1</v>
      </c>
    </row>
    <row r="9915">
      <c r="K9915" s="4" t="str">
        <f>IFERROR(__xludf.DUMMYFUNCTION("""COMPUTED_VALUE"""),"JUN BURGER")</f>
        <v>JUN BURGER</v>
      </c>
      <c r="L9915" s="32">
        <f>IFERROR(__xludf.DUMMYFUNCTION("""COMPUTED_VALUE"""),1.0)</f>
        <v>1</v>
      </c>
      <c r="M9915" s="4" t="str">
        <f>IFERROR(__xludf.DUMMYFUNCTION("""COMPUTED_VALUE"""),"Olaclick")</f>
        <v>Olaclick</v>
      </c>
      <c r="N9915" s="33">
        <f>IFERROR(__xludf.DUMMYFUNCTION("""COMPUTED_VALUE"""),1.0)</f>
        <v>1</v>
      </c>
      <c r="O9915" s="4" t="str">
        <f>IFERROR(__xludf.DUMMYFUNCTION("""COMPUTED_VALUE"""),"null")</f>
        <v>null</v>
      </c>
      <c r="P9915" s="33">
        <f>IFERROR(__xludf.DUMMYFUNCTION("""COMPUTED_VALUE"""),1.0)</f>
        <v>1</v>
      </c>
      <c r="Q9915" s="4" t="str">
        <f>IFERROR(__xludf.DUMMYFUNCTION("""COMPUTED_VALUE"""),"null")</f>
        <v>null</v>
      </c>
      <c r="R9915" s="33">
        <f>IFERROR(__xludf.DUMMYFUNCTION("""COMPUTED_VALUE"""),1.0)</f>
        <v>1</v>
      </c>
      <c r="S9915" s="4" t="str">
        <f>IFERROR(__xludf.DUMMYFUNCTION("""COMPUTED_VALUE"""),"null")</f>
        <v>null</v>
      </c>
      <c r="T9915" s="33">
        <f>IFERROR(__xludf.DUMMYFUNCTION("""COMPUTED_VALUE"""),1.0)</f>
        <v>1</v>
      </c>
      <c r="U9915" s="4" t="str">
        <f>IFERROR(__xludf.DUMMYFUNCTION("""COMPUTED_VALUE"""),"null")</f>
        <v>null</v>
      </c>
      <c r="V9915" s="33">
        <f>IFERROR(__xludf.DUMMYFUNCTION("""COMPUTED_VALUE"""),1.0)</f>
        <v>1</v>
      </c>
      <c r="W9915" s="4" t="str">
        <f>IFERROR(__xludf.DUMMYFUNCTION("""COMPUTED_VALUE"""),"null")</f>
        <v>null</v>
      </c>
      <c r="X9915" s="33">
        <f>IFERROR(__xludf.DUMMYFUNCTION("""COMPUTED_VALUE"""),1.0)</f>
        <v>1</v>
      </c>
    </row>
    <row r="9916">
      <c r="K9916" s="4" t="str">
        <f>IFERROR(__xludf.DUMMYFUNCTION("""COMPUTED_VALUE"""),"MISTURA CASEIRA")</f>
        <v>MISTURA CASEIRA</v>
      </c>
      <c r="L9916" s="32">
        <f>IFERROR(__xludf.DUMMYFUNCTION("""COMPUTED_VALUE"""),1.0)</f>
        <v>1</v>
      </c>
      <c r="M9916" s="4" t="str">
        <f>IFERROR(__xludf.DUMMYFUNCTION("""COMPUTED_VALUE"""),"Beefood - Sistema Para Restaurantes")</f>
        <v>Beefood - Sistema Para Restaurantes</v>
      </c>
      <c r="N9916" s="33">
        <f>IFERROR(__xludf.DUMMYFUNCTION("""COMPUTED_VALUE"""),1.0)</f>
        <v>1</v>
      </c>
      <c r="O9916" s="4" t="str">
        <f>IFERROR(__xludf.DUMMYFUNCTION("""COMPUTED_VALUE"""),"Beefood - Sistema Para Restaurantes")</f>
        <v>Beefood - Sistema Para Restaurantes</v>
      </c>
      <c r="P9916" s="33">
        <f>IFERROR(__xludf.DUMMYFUNCTION("""COMPUTED_VALUE"""),1.0)</f>
        <v>1</v>
      </c>
      <c r="Q9916" s="4" t="str">
        <f>IFERROR(__xludf.DUMMYFUNCTION("""COMPUTED_VALUE"""),"Beefood - Sistema Para Restaurantes")</f>
        <v>Beefood - Sistema Para Restaurantes</v>
      </c>
      <c r="R9916" s="33">
        <f>IFERROR(__xludf.DUMMYFUNCTION("""COMPUTED_VALUE"""),1.0)</f>
        <v>1</v>
      </c>
      <c r="S9916" s="4" t="str">
        <f>IFERROR(__xludf.DUMMYFUNCTION("""COMPUTED_VALUE"""),"Beefood - Sistema Para Restaurantes")</f>
        <v>Beefood - Sistema Para Restaurantes</v>
      </c>
      <c r="T9916" s="33">
        <f>IFERROR(__xludf.DUMMYFUNCTION("""COMPUTED_VALUE"""),1.0)</f>
        <v>1</v>
      </c>
      <c r="U9916" s="4" t="str">
        <f>IFERROR(__xludf.DUMMYFUNCTION("""COMPUTED_VALUE"""),"Beefood - Sistema Para Restaurantes")</f>
        <v>Beefood - Sistema Para Restaurantes</v>
      </c>
      <c r="V9916" s="33">
        <f>IFERROR(__xludf.DUMMYFUNCTION("""COMPUTED_VALUE"""),1.0)</f>
        <v>1</v>
      </c>
      <c r="W9916" s="4" t="str">
        <f>IFERROR(__xludf.DUMMYFUNCTION("""COMPUTED_VALUE"""),"Beefood - Sistema Para Restaurantes")</f>
        <v>Beefood - Sistema Para Restaurantes</v>
      </c>
      <c r="X9916" s="33">
        <f>IFERROR(__xludf.DUMMYFUNCTION("""COMPUTED_VALUE"""),1.0)</f>
        <v>1</v>
      </c>
    </row>
    <row r="9917">
      <c r="K9917" s="4" t="str">
        <f>IFERROR(__xludf.DUMMYFUNCTION("""COMPUTED_VALUE"""),"ACAI SORRISUS - SAO JOSE II")</f>
        <v>ACAI SORRISUS - SAO JOSE II</v>
      </c>
      <c r="L9917" s="32">
        <f>IFERROR(__xludf.DUMMYFUNCTION("""COMPUTED_VALUE"""),1.0)</f>
        <v>1</v>
      </c>
      <c r="M9917" s="4" t="str">
        <f>IFERROR(__xludf.DUMMYFUNCTION("""COMPUTED_VALUE"""),"Saipos Serviços De Software")</f>
        <v>Saipos Serviços De Software</v>
      </c>
      <c r="N9917" s="33">
        <f>IFERROR(__xludf.DUMMYFUNCTION("""COMPUTED_VALUE"""),1.0)</f>
        <v>1</v>
      </c>
      <c r="O9917" s="4" t="str">
        <f>IFERROR(__xludf.DUMMYFUNCTION("""COMPUTED_VALUE"""),"Saipos Serviços De Software")</f>
        <v>Saipos Serviços De Software</v>
      </c>
      <c r="P9917" s="33">
        <f>IFERROR(__xludf.DUMMYFUNCTION("""COMPUTED_VALUE"""),1.0)</f>
        <v>1</v>
      </c>
      <c r="Q9917" s="4" t="str">
        <f>IFERROR(__xludf.DUMMYFUNCTION("""COMPUTED_VALUE"""),"Saipos Serviços De Software")</f>
        <v>Saipos Serviços De Software</v>
      </c>
      <c r="R9917" s="33">
        <f>IFERROR(__xludf.DUMMYFUNCTION("""COMPUTED_VALUE"""),1.0)</f>
        <v>1</v>
      </c>
      <c r="S9917" s="4" t="str">
        <f>IFERROR(__xludf.DUMMYFUNCTION("""COMPUTED_VALUE"""),"Saipos Serviços De Software")</f>
        <v>Saipos Serviços De Software</v>
      </c>
      <c r="T9917" s="33">
        <f>IFERROR(__xludf.DUMMYFUNCTION("""COMPUTED_VALUE"""),1.0)</f>
        <v>1</v>
      </c>
      <c r="U9917" s="4" t="str">
        <f>IFERROR(__xludf.DUMMYFUNCTION("""COMPUTED_VALUE"""),"null")</f>
        <v>null</v>
      </c>
      <c r="V9917" s="33">
        <f>IFERROR(__xludf.DUMMYFUNCTION("""COMPUTED_VALUE"""),1.0)</f>
        <v>1</v>
      </c>
      <c r="W9917" s="4" t="str">
        <f>IFERROR(__xludf.DUMMYFUNCTION("""COMPUTED_VALUE"""),"null")</f>
        <v>null</v>
      </c>
      <c r="X9917" s="33">
        <f>IFERROR(__xludf.DUMMYFUNCTION("""COMPUTED_VALUE"""),1.0)</f>
        <v>1</v>
      </c>
    </row>
    <row r="9918">
      <c r="K9918" s="4" t="str">
        <f>IFERROR(__xludf.DUMMYFUNCTION("""COMPUTED_VALUE"""),"SABOROSO - ACAI MILKSHAKE SORVETE")</f>
        <v>SABOROSO - ACAI MILKSHAKE SORVETE</v>
      </c>
      <c r="L9918" s="32">
        <f>IFERROR(__xludf.DUMMYFUNCTION("""COMPUTED_VALUE"""),1.0)</f>
        <v>1</v>
      </c>
      <c r="M9918" s="4" t="str">
        <f>IFERROR(__xludf.DUMMYFUNCTION("""COMPUTED_VALUE"""),"Yooga")</f>
        <v>Yooga</v>
      </c>
      <c r="N9918" s="33">
        <f>IFERROR(__xludf.DUMMYFUNCTION("""COMPUTED_VALUE"""),1.0)</f>
        <v>1</v>
      </c>
      <c r="O9918" s="4" t="str">
        <f>IFERROR(__xludf.DUMMYFUNCTION("""COMPUTED_VALUE"""),"Yooga")</f>
        <v>Yooga</v>
      </c>
      <c r="P9918" s="33">
        <f>IFERROR(__xludf.DUMMYFUNCTION("""COMPUTED_VALUE"""),1.0)</f>
        <v>1</v>
      </c>
      <c r="Q9918" s="4" t="str">
        <f>IFERROR(__xludf.DUMMYFUNCTION("""COMPUTED_VALUE"""),"Yooga")</f>
        <v>Yooga</v>
      </c>
      <c r="R9918" s="33">
        <f>IFERROR(__xludf.DUMMYFUNCTION("""COMPUTED_VALUE"""),1.0)</f>
        <v>1</v>
      </c>
      <c r="S9918" s="4" t="str">
        <f>IFERROR(__xludf.DUMMYFUNCTION("""COMPUTED_VALUE"""),"Yooga")</f>
        <v>Yooga</v>
      </c>
      <c r="T9918" s="33">
        <f>IFERROR(__xludf.DUMMYFUNCTION("""COMPUTED_VALUE"""),1.0)</f>
        <v>1</v>
      </c>
      <c r="U9918" s="4" t="str">
        <f>IFERROR(__xludf.DUMMYFUNCTION("""COMPUTED_VALUE"""),"Yooga")</f>
        <v>Yooga</v>
      </c>
      <c r="V9918" s="33">
        <f>IFERROR(__xludf.DUMMYFUNCTION("""COMPUTED_VALUE"""),1.0)</f>
        <v>1</v>
      </c>
      <c r="W9918" s="4" t="str">
        <f>IFERROR(__xludf.DUMMYFUNCTION("""COMPUTED_VALUE"""),"null")</f>
        <v>null</v>
      </c>
      <c r="X9918" s="33">
        <f>IFERROR(__xludf.DUMMYFUNCTION("""COMPUTED_VALUE"""),1.0)</f>
        <v>1</v>
      </c>
    </row>
    <row r="9919">
      <c r="K9919" s="4" t="str">
        <f>IFERROR(__xludf.DUMMYFUNCTION("""COMPUTED_VALUE"""),"DEUS E FIEL PASTELARIA")</f>
        <v>DEUS E FIEL PASTELARIA</v>
      </c>
      <c r="L9919" s="32">
        <f>IFERROR(__xludf.DUMMYFUNCTION("""COMPUTED_VALUE"""),1.0)</f>
        <v>1</v>
      </c>
      <c r="M9919" s="4" t="str">
        <f>IFERROR(__xludf.DUMMYFUNCTION("""COMPUTED_VALUE"""),"Diggy")</f>
        <v>Diggy</v>
      </c>
      <c r="N9919" s="33">
        <f>IFERROR(__xludf.DUMMYFUNCTION("""COMPUTED_VALUE"""),1.0)</f>
        <v>1</v>
      </c>
      <c r="O9919" s="4" t="str">
        <f>IFERROR(__xludf.DUMMYFUNCTION("""COMPUTED_VALUE"""),"Diggy")</f>
        <v>Diggy</v>
      </c>
      <c r="P9919" s="33">
        <f>IFERROR(__xludf.DUMMYFUNCTION("""COMPUTED_VALUE"""),1.0)</f>
        <v>1</v>
      </c>
      <c r="Q9919" s="4" t="str">
        <f>IFERROR(__xludf.DUMMYFUNCTION("""COMPUTED_VALUE"""),"Diggy")</f>
        <v>Diggy</v>
      </c>
      <c r="R9919" s="33">
        <f>IFERROR(__xludf.DUMMYFUNCTION("""COMPUTED_VALUE"""),1.0)</f>
        <v>1</v>
      </c>
      <c r="S9919" s="4" t="str">
        <f>IFERROR(__xludf.DUMMYFUNCTION("""COMPUTED_VALUE"""),"Diggy")</f>
        <v>Diggy</v>
      </c>
      <c r="T9919" s="33">
        <f>IFERROR(__xludf.DUMMYFUNCTION("""COMPUTED_VALUE"""),1.0)</f>
        <v>1</v>
      </c>
      <c r="U9919" s="4" t="str">
        <f>IFERROR(__xludf.DUMMYFUNCTION("""COMPUTED_VALUE"""),"Diggy")</f>
        <v>Diggy</v>
      </c>
      <c r="V9919" s="33">
        <f>IFERROR(__xludf.DUMMYFUNCTION("""COMPUTED_VALUE"""),1.0)</f>
        <v>1</v>
      </c>
      <c r="W9919" s="4" t="str">
        <f>IFERROR(__xludf.DUMMYFUNCTION("""COMPUTED_VALUE"""),"Diggy")</f>
        <v>Diggy</v>
      </c>
      <c r="X9919" s="33">
        <f>IFERROR(__xludf.DUMMYFUNCTION("""COMPUTED_VALUE"""),1.0)</f>
        <v>1</v>
      </c>
    </row>
    <row r="9920">
      <c r="K9920" s="4" t="str">
        <f>IFERROR(__xludf.DUMMYFUNCTION("""COMPUTED_VALUE"""),"ROOMA SANDUICHERIA PIT DOG X SALADA BURGUER BURGER X TUDO PERTO DE MIM ROMA AVG")</f>
        <v>ROOMA SANDUICHERIA PIT DOG X SALADA BURGUER BURGER X TUDO PERTO DE MIM ROMA AVG</v>
      </c>
      <c r="L9920" s="32">
        <f>IFERROR(__xludf.DUMMYFUNCTION("""COMPUTED_VALUE"""),1.0)</f>
        <v>1</v>
      </c>
      <c r="M9920" s="4" t="str">
        <f>IFERROR(__xludf.DUMMYFUNCTION("""COMPUTED_VALUE"""),"Vuca Solution")</f>
        <v>Vuca Solution</v>
      </c>
      <c r="N9920" s="33">
        <f>IFERROR(__xludf.DUMMYFUNCTION("""COMPUTED_VALUE"""),1.0)</f>
        <v>1</v>
      </c>
      <c r="O9920" s="4" t="str">
        <f>IFERROR(__xludf.DUMMYFUNCTION("""COMPUTED_VALUE"""),"Vuca Solution")</f>
        <v>Vuca Solution</v>
      </c>
      <c r="P9920" s="33">
        <f>IFERROR(__xludf.DUMMYFUNCTION("""COMPUTED_VALUE"""),1.0)</f>
        <v>1</v>
      </c>
      <c r="Q9920" s="4" t="str">
        <f>IFERROR(__xludf.DUMMYFUNCTION("""COMPUTED_VALUE"""),"Vuca Solution")</f>
        <v>Vuca Solution</v>
      </c>
      <c r="R9920" s="33">
        <f>IFERROR(__xludf.DUMMYFUNCTION("""COMPUTED_VALUE"""),1.0)</f>
        <v>1</v>
      </c>
      <c r="S9920" s="4" t="str">
        <f>IFERROR(__xludf.DUMMYFUNCTION("""COMPUTED_VALUE"""),"Vuca Solution")</f>
        <v>Vuca Solution</v>
      </c>
      <c r="T9920" s="33">
        <f>IFERROR(__xludf.DUMMYFUNCTION("""COMPUTED_VALUE"""),1.0)</f>
        <v>1</v>
      </c>
      <c r="U9920" s="4" t="str">
        <f>IFERROR(__xludf.DUMMYFUNCTION("""COMPUTED_VALUE"""),"Vuca Solution")</f>
        <v>Vuca Solution</v>
      </c>
      <c r="V9920" s="33">
        <f>IFERROR(__xludf.DUMMYFUNCTION("""COMPUTED_VALUE"""),1.0)</f>
        <v>1</v>
      </c>
      <c r="W9920" s="4" t="str">
        <f>IFERROR(__xludf.DUMMYFUNCTION("""COMPUTED_VALUE"""),"Vuca Solution")</f>
        <v>Vuca Solution</v>
      </c>
      <c r="X9920" s="33">
        <f>IFERROR(__xludf.DUMMYFUNCTION("""COMPUTED_VALUE"""),1.0)</f>
        <v>1</v>
      </c>
    </row>
    <row r="9921">
      <c r="K9921" s="4" t="str">
        <f>IFERROR(__xludf.DUMMYFUNCTION("""COMPUTED_VALUE"""),"PARMEGGIO CASCAVEL")</f>
        <v>PARMEGGIO CASCAVEL</v>
      </c>
      <c r="L9921" s="32">
        <f>IFERROR(__xludf.DUMMYFUNCTION("""COMPUTED_VALUE"""),1.0)</f>
        <v>1</v>
      </c>
      <c r="M9921" s="4" t="str">
        <f>IFERROR(__xludf.DUMMYFUNCTION("""COMPUTED_VALUE"""),"null")</f>
        <v>null</v>
      </c>
      <c r="N9921" s="33">
        <f>IFERROR(__xludf.DUMMYFUNCTION("""COMPUTED_VALUE"""),1.0)</f>
        <v>1</v>
      </c>
      <c r="O9921" s="4" t="str">
        <f>IFERROR(__xludf.DUMMYFUNCTION("""COMPUTED_VALUE"""),"null")</f>
        <v>null</v>
      </c>
      <c r="P9921" s="33">
        <f>IFERROR(__xludf.DUMMYFUNCTION("""COMPUTED_VALUE"""),1.0)</f>
        <v>1</v>
      </c>
      <c r="Q9921" s="4" t="str">
        <f>IFERROR(__xludf.DUMMYFUNCTION("""COMPUTED_VALUE"""),"null")</f>
        <v>null</v>
      </c>
      <c r="R9921" s="33">
        <f>IFERROR(__xludf.DUMMYFUNCTION("""COMPUTED_VALUE"""),1.0)</f>
        <v>1</v>
      </c>
      <c r="S9921" s="4" t="str">
        <f>IFERROR(__xludf.DUMMYFUNCTION("""COMPUTED_VALUE"""),"Ncr")</f>
        <v>Ncr</v>
      </c>
      <c r="T9921" s="33">
        <f>IFERROR(__xludf.DUMMYFUNCTION("""COMPUTED_VALUE"""),1.0)</f>
        <v>1</v>
      </c>
      <c r="U9921" s="4" t="str">
        <f>IFERROR(__xludf.DUMMYFUNCTION("""COMPUTED_VALUE"""),"Ncr")</f>
        <v>Ncr</v>
      </c>
      <c r="V9921" s="33">
        <f>IFERROR(__xludf.DUMMYFUNCTION("""COMPUTED_VALUE"""),1.0)</f>
        <v>1</v>
      </c>
      <c r="W9921" s="4" t="str">
        <f>IFERROR(__xludf.DUMMYFUNCTION("""COMPUTED_VALUE"""),"null")</f>
        <v>null</v>
      </c>
      <c r="X9921" s="33">
        <f>IFERROR(__xludf.DUMMYFUNCTION("""COMPUTED_VALUE"""),1.0)</f>
        <v>1</v>
      </c>
    </row>
    <row r="9922">
      <c r="K9922" s="4" t="str">
        <f>IFERROR(__xludf.DUMMYFUNCTION("""COMPUTED_VALUE"""),"DIGABI DOCERIA")</f>
        <v>DIGABI DOCERIA</v>
      </c>
      <c r="L9922" s="32">
        <f>IFERROR(__xludf.DUMMYFUNCTION("""COMPUTED_VALUE"""),1.0)</f>
        <v>1</v>
      </c>
      <c r="M9922" s="4" t="str">
        <f>IFERROR(__xludf.DUMMYFUNCTION("""COMPUTED_VALUE"""),"Anota Ai Solucoes Digitais S/a")</f>
        <v>Anota Ai Solucoes Digitais S/a</v>
      </c>
      <c r="N9922" s="33">
        <f>IFERROR(__xludf.DUMMYFUNCTION("""COMPUTED_VALUE"""),1.0)</f>
        <v>1</v>
      </c>
      <c r="O9922" s="4" t="str">
        <f>IFERROR(__xludf.DUMMYFUNCTION("""COMPUTED_VALUE"""),"Anota Ai Solucoes Digitais S/a")</f>
        <v>Anota Ai Solucoes Digitais S/a</v>
      </c>
      <c r="P9922" s="33">
        <f>IFERROR(__xludf.DUMMYFUNCTION("""COMPUTED_VALUE"""),1.0)</f>
        <v>1</v>
      </c>
      <c r="Q9922" s="4" t="str">
        <f>IFERROR(__xludf.DUMMYFUNCTION("""COMPUTED_VALUE"""),"Anota Ai Solucoes Digitais S/a")</f>
        <v>Anota Ai Solucoes Digitais S/a</v>
      </c>
      <c r="R9922" s="33">
        <f>IFERROR(__xludf.DUMMYFUNCTION("""COMPUTED_VALUE"""),1.0)</f>
        <v>1</v>
      </c>
      <c r="S9922" s="4" t="str">
        <f>IFERROR(__xludf.DUMMYFUNCTION("""COMPUTED_VALUE"""),"Anota Ai Solucoes Digitais S/a")</f>
        <v>Anota Ai Solucoes Digitais S/a</v>
      </c>
      <c r="T9922" s="33">
        <f>IFERROR(__xludf.DUMMYFUNCTION("""COMPUTED_VALUE"""),1.0)</f>
        <v>1</v>
      </c>
      <c r="U9922" s="4" t="str">
        <f>IFERROR(__xludf.DUMMYFUNCTION("""COMPUTED_VALUE"""),"Anota Ai Solucoes Digitais S/a")</f>
        <v>Anota Ai Solucoes Digitais S/a</v>
      </c>
      <c r="V9922" s="33">
        <f>IFERROR(__xludf.DUMMYFUNCTION("""COMPUTED_VALUE"""),1.0)</f>
        <v>1</v>
      </c>
      <c r="W9922" s="4" t="str">
        <f>IFERROR(__xludf.DUMMYFUNCTION("""COMPUTED_VALUE"""),"Anota Ai Solucoes Digitais S/a")</f>
        <v>Anota Ai Solucoes Digitais S/a</v>
      </c>
      <c r="X9922" s="33">
        <f>IFERROR(__xludf.DUMMYFUNCTION("""COMPUTED_VALUE"""),1.0)</f>
        <v>1</v>
      </c>
    </row>
    <row r="9923">
      <c r="K9923" s="4" t="str">
        <f>IFERROR(__xludf.DUMMYFUNCTION("""COMPUTED_VALUE"""),"ESFIHAS DA VILLA")</f>
        <v>ESFIHAS DA VILLA</v>
      </c>
      <c r="L9923" s="32">
        <f>IFERROR(__xludf.DUMMYFUNCTION("""COMPUTED_VALUE"""),1.0)</f>
        <v>1</v>
      </c>
      <c r="M9923" s="4" t="str">
        <f>IFERROR(__xludf.DUMMYFUNCTION("""COMPUTED_VALUE"""),"Parseint Desenvolvimento De Sistemas Ltda")</f>
        <v>Parseint Desenvolvimento De Sistemas Ltda</v>
      </c>
      <c r="N9923" s="33">
        <f>IFERROR(__xludf.DUMMYFUNCTION("""COMPUTED_VALUE"""),1.0)</f>
        <v>1</v>
      </c>
      <c r="O9923" s="4" t="str">
        <f>IFERROR(__xludf.DUMMYFUNCTION("""COMPUTED_VALUE"""),"null")</f>
        <v>null</v>
      </c>
      <c r="P9923" s="33">
        <f>IFERROR(__xludf.DUMMYFUNCTION("""COMPUTED_VALUE"""),1.0)</f>
        <v>1</v>
      </c>
      <c r="Q9923" s="4" t="str">
        <f>IFERROR(__xludf.DUMMYFUNCTION("""COMPUTED_VALUE"""),"null")</f>
        <v>null</v>
      </c>
      <c r="R9923" s="33">
        <f>IFERROR(__xludf.DUMMYFUNCTION("""COMPUTED_VALUE"""),1.0)</f>
        <v>1</v>
      </c>
      <c r="S9923" s="4" t="str">
        <f>IFERROR(__xludf.DUMMYFUNCTION("""COMPUTED_VALUE"""),"null")</f>
        <v>null</v>
      </c>
      <c r="T9923" s="33">
        <f>IFERROR(__xludf.DUMMYFUNCTION("""COMPUTED_VALUE"""),1.0)</f>
        <v>1</v>
      </c>
      <c r="U9923" s="4" t="str">
        <f>IFERROR(__xludf.DUMMYFUNCTION("""COMPUTED_VALUE"""),"null")</f>
        <v>null</v>
      </c>
      <c r="V9923" s="33">
        <f>IFERROR(__xludf.DUMMYFUNCTION("""COMPUTED_VALUE"""),1.0)</f>
        <v>1</v>
      </c>
      <c r="W9923" s="4" t="str">
        <f>IFERROR(__xludf.DUMMYFUNCTION("""COMPUTED_VALUE"""),"null")</f>
        <v>null</v>
      </c>
      <c r="X9923" s="33">
        <f>IFERROR(__xludf.DUMMYFUNCTION("""COMPUTED_VALUE"""),1.0)</f>
        <v>1</v>
      </c>
    </row>
    <row r="9924">
      <c r="K9924" s="4" t="str">
        <f>IFERROR(__xludf.DUMMYFUNCTION("""COMPUTED_VALUE"""),"LOU LOU HOT DOG ESPECIAIS")</f>
        <v>LOU LOU HOT DOG ESPECIAIS</v>
      </c>
      <c r="L9924" s="32">
        <f>IFERROR(__xludf.DUMMYFUNCTION("""COMPUTED_VALUE"""),1.0)</f>
        <v>1</v>
      </c>
      <c r="M9924" s="4" t="str">
        <f>IFERROR(__xludf.DUMMYFUNCTION("""COMPUTED_VALUE"""),"Cardápio Web")</f>
        <v>Cardápio Web</v>
      </c>
      <c r="N9924" s="33">
        <f>IFERROR(__xludf.DUMMYFUNCTION("""COMPUTED_VALUE"""),1.0)</f>
        <v>1</v>
      </c>
      <c r="O9924" s="4" t="str">
        <f>IFERROR(__xludf.DUMMYFUNCTION("""COMPUTED_VALUE"""),"Cardápio Web")</f>
        <v>Cardápio Web</v>
      </c>
      <c r="P9924" s="33">
        <f>IFERROR(__xludf.DUMMYFUNCTION("""COMPUTED_VALUE"""),1.0)</f>
        <v>1</v>
      </c>
      <c r="Q9924" s="4" t="str">
        <f>IFERROR(__xludf.DUMMYFUNCTION("""COMPUTED_VALUE"""),"Cardápio Web")</f>
        <v>Cardápio Web</v>
      </c>
      <c r="R9924" s="33">
        <f>IFERROR(__xludf.DUMMYFUNCTION("""COMPUTED_VALUE"""),1.0)</f>
        <v>1</v>
      </c>
      <c r="S9924" s="4" t="str">
        <f>IFERROR(__xludf.DUMMYFUNCTION("""COMPUTED_VALUE"""),"Cardápio Web")</f>
        <v>Cardápio Web</v>
      </c>
      <c r="T9924" s="33">
        <f>IFERROR(__xludf.DUMMYFUNCTION("""COMPUTED_VALUE"""),1.0)</f>
        <v>1</v>
      </c>
      <c r="U9924" s="4" t="str">
        <f>IFERROR(__xludf.DUMMYFUNCTION("""COMPUTED_VALUE"""),"Cardápio Web")</f>
        <v>Cardápio Web</v>
      </c>
      <c r="V9924" s="33">
        <f>IFERROR(__xludf.DUMMYFUNCTION("""COMPUTED_VALUE"""),1.0)</f>
        <v>1</v>
      </c>
      <c r="W9924" s="4" t="str">
        <f>IFERROR(__xludf.DUMMYFUNCTION("""COMPUTED_VALUE"""),"Cardápio Web")</f>
        <v>Cardápio Web</v>
      </c>
      <c r="X9924" s="33">
        <f>IFERROR(__xludf.DUMMYFUNCTION("""COMPUTED_VALUE"""),1.0)</f>
        <v>1</v>
      </c>
    </row>
    <row r="9925">
      <c r="K9925" s="4" t="str">
        <f>IFERROR(__xludf.DUMMYFUNCTION("""COMPUTED_VALUE"""),"SENHOR PIZZA E LANCHES")</f>
        <v>SENHOR PIZZA E LANCHES</v>
      </c>
      <c r="L9925" s="32">
        <f>IFERROR(__xludf.DUMMYFUNCTION("""COMPUTED_VALUE"""),1.0)</f>
        <v>1</v>
      </c>
      <c r="M9925" s="4" t="str">
        <f>IFERROR(__xludf.DUMMYFUNCTION("""COMPUTED_VALUE"""),"Anota Ai Solucoes Digitais S/a")</f>
        <v>Anota Ai Solucoes Digitais S/a</v>
      </c>
      <c r="N9925" s="33">
        <f>IFERROR(__xludf.DUMMYFUNCTION("""COMPUTED_VALUE"""),1.0)</f>
        <v>1</v>
      </c>
      <c r="O9925" s="4" t="str">
        <f>IFERROR(__xludf.DUMMYFUNCTION("""COMPUTED_VALUE"""),"Anota Ai Solucoes Digitais S/a")</f>
        <v>Anota Ai Solucoes Digitais S/a</v>
      </c>
      <c r="P9925" s="33">
        <f>IFERROR(__xludf.DUMMYFUNCTION("""COMPUTED_VALUE"""),1.0)</f>
        <v>1</v>
      </c>
      <c r="Q9925" s="4" t="str">
        <f>IFERROR(__xludf.DUMMYFUNCTION("""COMPUTED_VALUE"""),"Anota Ai Solucoes Digitais S/a")</f>
        <v>Anota Ai Solucoes Digitais S/a</v>
      </c>
      <c r="R9925" s="33">
        <f>IFERROR(__xludf.DUMMYFUNCTION("""COMPUTED_VALUE"""),1.0)</f>
        <v>1</v>
      </c>
      <c r="S9925" s="4" t="str">
        <f>IFERROR(__xludf.DUMMYFUNCTION("""COMPUTED_VALUE"""),"Anota Ai Solucoes Digitais S/a")</f>
        <v>Anota Ai Solucoes Digitais S/a</v>
      </c>
      <c r="T9925" s="33">
        <f>IFERROR(__xludf.DUMMYFUNCTION("""COMPUTED_VALUE"""),1.0)</f>
        <v>1</v>
      </c>
      <c r="U9925" s="4" t="str">
        <f>IFERROR(__xludf.DUMMYFUNCTION("""COMPUTED_VALUE"""),"Anota Ai Solucoes Digitais S/a")</f>
        <v>Anota Ai Solucoes Digitais S/a</v>
      </c>
      <c r="V9925" s="33">
        <f>IFERROR(__xludf.DUMMYFUNCTION("""COMPUTED_VALUE"""),1.0)</f>
        <v>1</v>
      </c>
      <c r="W9925" s="4" t="str">
        <f>IFERROR(__xludf.DUMMYFUNCTION("""COMPUTED_VALUE"""),"Anota Ai Solucoes Digitais S/a")</f>
        <v>Anota Ai Solucoes Digitais S/a</v>
      </c>
      <c r="X9925" s="33">
        <f>IFERROR(__xludf.DUMMYFUNCTION("""COMPUTED_VALUE"""),1.0)</f>
        <v>1</v>
      </c>
    </row>
    <row r="9926">
      <c r="K9926" s="4" t="str">
        <f>IFERROR(__xludf.DUMMYFUNCTION("""COMPUTED_VALUE"""),"REAL TAKARA - PASTEL DE FEIRA")</f>
        <v>REAL TAKARA - PASTEL DE FEIRA</v>
      </c>
      <c r="L9926" s="32">
        <f>IFERROR(__xludf.DUMMYFUNCTION("""COMPUTED_VALUE"""),1.0)</f>
        <v>1</v>
      </c>
      <c r="M9926" s="4" t="str">
        <f>IFERROR(__xludf.DUMMYFUNCTION("""COMPUTED_VALUE"""),"Cardápio Web")</f>
        <v>Cardápio Web</v>
      </c>
      <c r="N9926" s="33">
        <f>IFERROR(__xludf.DUMMYFUNCTION("""COMPUTED_VALUE"""),1.0)</f>
        <v>1</v>
      </c>
      <c r="O9926" s="4" t="str">
        <f>IFERROR(__xludf.DUMMYFUNCTION("""COMPUTED_VALUE"""),"Cardápio Web")</f>
        <v>Cardápio Web</v>
      </c>
      <c r="P9926" s="33">
        <f>IFERROR(__xludf.DUMMYFUNCTION("""COMPUTED_VALUE"""),1.0)</f>
        <v>1</v>
      </c>
      <c r="Q9926" s="4" t="str">
        <f>IFERROR(__xludf.DUMMYFUNCTION("""COMPUTED_VALUE"""),"Cardápio Web")</f>
        <v>Cardápio Web</v>
      </c>
      <c r="R9926" s="33">
        <f>IFERROR(__xludf.DUMMYFUNCTION("""COMPUTED_VALUE"""),1.0)</f>
        <v>1</v>
      </c>
      <c r="S9926" s="4" t="str">
        <f>IFERROR(__xludf.DUMMYFUNCTION("""COMPUTED_VALUE"""),"null")</f>
        <v>null</v>
      </c>
      <c r="T9926" s="33">
        <f>IFERROR(__xludf.DUMMYFUNCTION("""COMPUTED_VALUE"""),1.0)</f>
        <v>1</v>
      </c>
      <c r="U9926" s="4" t="str">
        <f>IFERROR(__xludf.DUMMYFUNCTION("""COMPUTED_VALUE"""),"null")</f>
        <v>null</v>
      </c>
      <c r="V9926" s="33">
        <f>IFERROR(__xludf.DUMMYFUNCTION("""COMPUTED_VALUE"""),1.0)</f>
        <v>1</v>
      </c>
      <c r="W9926" s="4" t="str">
        <f>IFERROR(__xludf.DUMMYFUNCTION("""COMPUTED_VALUE"""),"null")</f>
        <v>null</v>
      </c>
      <c r="X9926" s="33">
        <f>IFERROR(__xludf.DUMMYFUNCTION("""COMPUTED_VALUE"""),1.0)</f>
        <v>1</v>
      </c>
    </row>
    <row r="9927">
      <c r="K9927" s="4" t="str">
        <f>IFERROR(__xludf.DUMMYFUNCTION("""COMPUTED_VALUE"""),"ADEGA DO GAUCHO MERCEARIA INGLESES")</f>
        <v>ADEGA DO GAUCHO MERCEARIA INGLESES</v>
      </c>
      <c r="L9927" s="32">
        <f>IFERROR(__xludf.DUMMYFUNCTION("""COMPUTED_VALUE"""),1.0)</f>
        <v>1</v>
      </c>
      <c r="M9927" s="4" t="str">
        <f>IFERROR(__xludf.DUMMYFUNCTION("""COMPUTED_VALUE"""),"N/A (Not found)")</f>
        <v>N/A (Not found)</v>
      </c>
      <c r="N9927" s="33">
        <f>IFERROR(__xludf.DUMMYFUNCTION("""COMPUTED_VALUE"""),1.0)</f>
        <v>1</v>
      </c>
      <c r="O9927" s="4" t="str">
        <f>IFERROR(__xludf.DUMMYFUNCTION("""COMPUTED_VALUE"""),"N/A (Not found)")</f>
        <v>N/A (Not found)</v>
      </c>
      <c r="P9927" s="33">
        <f>IFERROR(__xludf.DUMMYFUNCTION("""COMPUTED_VALUE"""),1.0)</f>
        <v>1</v>
      </c>
      <c r="Q9927" s="4" t="str">
        <f>IFERROR(__xludf.DUMMYFUNCTION("""COMPUTED_VALUE"""),"N/A (Not found)")</f>
        <v>N/A (Not found)</v>
      </c>
      <c r="R9927" s="33">
        <f>IFERROR(__xludf.DUMMYFUNCTION("""COMPUTED_VALUE"""),1.0)</f>
        <v>1</v>
      </c>
      <c r="S9927" s="4" t="str">
        <f>IFERROR(__xludf.DUMMYFUNCTION("""COMPUTED_VALUE"""),"N/A (Not found)")</f>
        <v>N/A (Not found)</v>
      </c>
      <c r="T9927" s="33">
        <f>IFERROR(__xludf.DUMMYFUNCTION("""COMPUTED_VALUE"""),1.0)</f>
        <v>1</v>
      </c>
      <c r="U9927" s="4" t="str">
        <f>IFERROR(__xludf.DUMMYFUNCTION("""COMPUTED_VALUE"""),"null")</f>
        <v>null</v>
      </c>
      <c r="V9927" s="33">
        <f>IFERROR(__xludf.DUMMYFUNCTION("""COMPUTED_VALUE"""),1.0)</f>
        <v>1</v>
      </c>
      <c r="W9927" s="4" t="str">
        <f>IFERROR(__xludf.DUMMYFUNCTION("""COMPUTED_VALUE"""),"null")</f>
        <v>null</v>
      </c>
      <c r="X9927" s="33">
        <f>IFERROR(__xludf.DUMMYFUNCTION("""COMPUTED_VALUE"""),1.0)</f>
        <v>1</v>
      </c>
    </row>
    <row r="9928">
      <c r="K9928" s="4" t="str">
        <f>IFERROR(__xludf.DUMMYFUNCTION("""COMPUTED_VALUE"""),"STREET PRATOS EXECUTIVOS")</f>
        <v>STREET PRATOS EXECUTIVOS</v>
      </c>
      <c r="L9928" s="32">
        <f>IFERROR(__xludf.DUMMYFUNCTION("""COMPUTED_VALUE"""),1.0)</f>
        <v>1</v>
      </c>
      <c r="M9928" s="4" t="str">
        <f>IFERROR(__xludf.DUMMYFUNCTION("""COMPUTED_VALUE"""),"null")</f>
        <v>null</v>
      </c>
      <c r="N9928" s="33">
        <f>IFERROR(__xludf.DUMMYFUNCTION("""COMPUTED_VALUE"""),1.0)</f>
        <v>1</v>
      </c>
      <c r="O9928" s="4" t="str">
        <f>IFERROR(__xludf.DUMMYFUNCTION("""COMPUTED_VALUE"""),"null")</f>
        <v>null</v>
      </c>
      <c r="P9928" s="33">
        <f>IFERROR(__xludf.DUMMYFUNCTION("""COMPUTED_VALUE"""),1.0)</f>
        <v>1</v>
      </c>
      <c r="Q9928" s="4" t="str">
        <f>IFERROR(__xludf.DUMMYFUNCTION("""COMPUTED_VALUE"""),"null")</f>
        <v>null</v>
      </c>
      <c r="R9928" s="33">
        <f>IFERROR(__xludf.DUMMYFUNCTION("""COMPUTED_VALUE"""),1.0)</f>
        <v>1</v>
      </c>
      <c r="S9928" s="4" t="str">
        <f>IFERROR(__xludf.DUMMYFUNCTION("""COMPUTED_VALUE"""),"Gama Tecnologias Ltda")</f>
        <v>Gama Tecnologias Ltda</v>
      </c>
      <c r="T9928" s="33">
        <f>IFERROR(__xludf.DUMMYFUNCTION("""COMPUTED_VALUE"""),1.0)</f>
        <v>1</v>
      </c>
      <c r="U9928" s="4" t="str">
        <f>IFERROR(__xludf.DUMMYFUNCTION("""COMPUTED_VALUE"""),"Gama Tecnologias Ltda")</f>
        <v>Gama Tecnologias Ltda</v>
      </c>
      <c r="V9928" s="33">
        <f>IFERROR(__xludf.DUMMYFUNCTION("""COMPUTED_VALUE"""),1.0)</f>
        <v>1</v>
      </c>
      <c r="W9928" s="4" t="str">
        <f>IFERROR(__xludf.DUMMYFUNCTION("""COMPUTED_VALUE"""),"Gama Tecnologias Ltda")</f>
        <v>Gama Tecnologias Ltda</v>
      </c>
      <c r="X9928" s="33">
        <f>IFERROR(__xludf.DUMMYFUNCTION("""COMPUTED_VALUE"""),1.0)</f>
        <v>1</v>
      </c>
    </row>
    <row r="9929">
      <c r="K9929" s="4" t="str">
        <f>IFERROR(__xludf.DUMMYFUNCTION("""COMPUTED_VALUE"""),"PIZZARIA MC PIZZA GUARULHOS")</f>
        <v>PIZZARIA MC PIZZA GUARULHOS</v>
      </c>
      <c r="L9929" s="32">
        <f>IFERROR(__xludf.DUMMYFUNCTION("""COMPUTED_VALUE"""),1.0)</f>
        <v>1</v>
      </c>
      <c r="M9929" s="4" t="str">
        <f>IFERROR(__xludf.DUMMYFUNCTION("""COMPUTED_VALUE"""),"null")</f>
        <v>null</v>
      </c>
      <c r="N9929" s="33">
        <f>IFERROR(__xludf.DUMMYFUNCTION("""COMPUTED_VALUE"""),1.0)</f>
        <v>1</v>
      </c>
      <c r="O9929" s="4" t="str">
        <f>IFERROR(__xludf.DUMMYFUNCTION("""COMPUTED_VALUE"""),"null")</f>
        <v>null</v>
      </c>
      <c r="P9929" s="33">
        <f>IFERROR(__xludf.DUMMYFUNCTION("""COMPUTED_VALUE"""),1.0)</f>
        <v>1</v>
      </c>
      <c r="Q9929" s="4" t="str">
        <f>IFERROR(__xludf.DUMMYFUNCTION("""COMPUTED_VALUE"""),"null")</f>
        <v>null</v>
      </c>
      <c r="R9929" s="33">
        <f>IFERROR(__xludf.DUMMYFUNCTION("""COMPUTED_VALUE"""),1.0)</f>
        <v>1</v>
      </c>
      <c r="S9929" s="4" t="str">
        <f>IFERROR(__xludf.DUMMYFUNCTION("""COMPUTED_VALUE"""),"Anota Ai Solucoes Digitais S/a")</f>
        <v>Anota Ai Solucoes Digitais S/a</v>
      </c>
      <c r="T9929" s="33">
        <f>IFERROR(__xludf.DUMMYFUNCTION("""COMPUTED_VALUE"""),1.0)</f>
        <v>1</v>
      </c>
      <c r="U9929" s="4" t="str">
        <f>IFERROR(__xludf.DUMMYFUNCTION("""COMPUTED_VALUE"""),"null")</f>
        <v>null</v>
      </c>
      <c r="V9929" s="33">
        <f>IFERROR(__xludf.DUMMYFUNCTION("""COMPUTED_VALUE"""),1.0)</f>
        <v>1</v>
      </c>
      <c r="W9929" s="4" t="str">
        <f>IFERROR(__xludf.DUMMYFUNCTION("""COMPUTED_VALUE"""),"null")</f>
        <v>null</v>
      </c>
      <c r="X9929" s="33">
        <f>IFERROR(__xludf.DUMMYFUNCTION("""COMPUTED_VALUE"""),1.0)</f>
        <v>1</v>
      </c>
    </row>
    <row r="9930">
      <c r="K9930" s="4" t="str">
        <f>IFERROR(__xludf.DUMMYFUNCTION("""COMPUTED_VALUE"""),"MYLENA CAKES")</f>
        <v>MYLENA CAKES</v>
      </c>
      <c r="L9930" s="32">
        <f>IFERROR(__xludf.DUMMYFUNCTION("""COMPUTED_VALUE"""),1.0)</f>
        <v>1</v>
      </c>
      <c r="M9930" s="4" t="str">
        <f>IFERROR(__xludf.DUMMYFUNCTION("""COMPUTED_VALUE"""),"Datacaixa Pdv")</f>
        <v>Datacaixa Pdv</v>
      </c>
      <c r="N9930" s="33">
        <f>IFERROR(__xludf.DUMMYFUNCTION("""COMPUTED_VALUE"""),1.0)</f>
        <v>1</v>
      </c>
      <c r="O9930" s="4" t="str">
        <f>IFERROR(__xludf.DUMMYFUNCTION("""COMPUTED_VALUE"""),"Datacaixa Pdv")</f>
        <v>Datacaixa Pdv</v>
      </c>
      <c r="P9930" s="33">
        <f>IFERROR(__xludf.DUMMYFUNCTION("""COMPUTED_VALUE"""),1.0)</f>
        <v>1</v>
      </c>
      <c r="Q9930" s="4" t="str">
        <f>IFERROR(__xludf.DUMMYFUNCTION("""COMPUTED_VALUE"""),"null")</f>
        <v>null</v>
      </c>
      <c r="R9930" s="33">
        <f>IFERROR(__xludf.DUMMYFUNCTION("""COMPUTED_VALUE"""),1.0)</f>
        <v>1</v>
      </c>
      <c r="S9930" s="4" t="str">
        <f>IFERROR(__xludf.DUMMYFUNCTION("""COMPUTED_VALUE"""),"Datacaixa Pdv")</f>
        <v>Datacaixa Pdv</v>
      </c>
      <c r="T9930" s="33">
        <f>IFERROR(__xludf.DUMMYFUNCTION("""COMPUTED_VALUE"""),1.0)</f>
        <v>1</v>
      </c>
      <c r="U9930" s="4" t="str">
        <f>IFERROR(__xludf.DUMMYFUNCTION("""COMPUTED_VALUE"""),"null")</f>
        <v>null</v>
      </c>
      <c r="V9930" s="33">
        <f>IFERROR(__xludf.DUMMYFUNCTION("""COMPUTED_VALUE"""),1.0)</f>
        <v>1</v>
      </c>
      <c r="W9930" s="4" t="str">
        <f>IFERROR(__xludf.DUMMYFUNCTION("""COMPUTED_VALUE"""),"null")</f>
        <v>null</v>
      </c>
      <c r="X9930" s="33">
        <f>IFERROR(__xludf.DUMMYFUNCTION("""COMPUTED_VALUE"""),1.0)</f>
        <v>1</v>
      </c>
    </row>
    <row r="9931">
      <c r="K9931" s="4" t="str">
        <f>IFERROR(__xludf.DUMMYFUNCTION("""COMPUTED_VALUE"""),"TGG ADEGA CONVENIENCIA")</f>
        <v>TGG ADEGA CONVENIENCIA</v>
      </c>
      <c r="L9931" s="32">
        <f>IFERROR(__xludf.DUMMYFUNCTION("""COMPUTED_VALUE"""),1.0)</f>
        <v>1</v>
      </c>
      <c r="M9931" s="4" t="str">
        <f>IFERROR(__xludf.DUMMYFUNCTION("""COMPUTED_VALUE"""),"null")</f>
        <v>null</v>
      </c>
      <c r="N9931" s="33">
        <f>IFERROR(__xludf.DUMMYFUNCTION("""COMPUTED_VALUE"""),1.0)</f>
        <v>1</v>
      </c>
      <c r="O9931" s="4" t="str">
        <f>IFERROR(__xludf.DUMMYFUNCTION("""COMPUTED_VALUE"""),"null")</f>
        <v>null</v>
      </c>
      <c r="P9931" s="33">
        <f>IFERROR(__xludf.DUMMYFUNCTION("""COMPUTED_VALUE"""),1.0)</f>
        <v>1</v>
      </c>
      <c r="Q9931" s="4" t="str">
        <f>IFERROR(__xludf.DUMMYFUNCTION("""COMPUTED_VALUE"""),"null")</f>
        <v>null</v>
      </c>
      <c r="R9931" s="33">
        <f>IFERROR(__xludf.DUMMYFUNCTION("""COMPUTED_VALUE"""),1.0)</f>
        <v>1</v>
      </c>
      <c r="S9931" s="4" t="str">
        <f>IFERROR(__xludf.DUMMYFUNCTION("""COMPUTED_VALUE"""),"null")</f>
        <v>null</v>
      </c>
      <c r="T9931" s="33">
        <f>IFERROR(__xludf.DUMMYFUNCTION("""COMPUTED_VALUE"""),1.0)</f>
        <v>1</v>
      </c>
      <c r="U9931" s="4" t="str">
        <f>IFERROR(__xludf.DUMMYFUNCTION("""COMPUTED_VALUE"""),"Beefood - Sistema Para Restaurantes")</f>
        <v>Beefood - Sistema Para Restaurantes</v>
      </c>
      <c r="V9931" s="33">
        <f>IFERROR(__xludf.DUMMYFUNCTION("""COMPUTED_VALUE"""),1.0)</f>
        <v>1</v>
      </c>
      <c r="W9931" s="4" t="str">
        <f>IFERROR(__xludf.DUMMYFUNCTION("""COMPUTED_VALUE"""),"Beefood - Sistema Para Restaurantes")</f>
        <v>Beefood - Sistema Para Restaurantes</v>
      </c>
      <c r="X9931" s="33">
        <f>IFERROR(__xludf.DUMMYFUNCTION("""COMPUTED_VALUE"""),1.0)</f>
        <v>1</v>
      </c>
    </row>
    <row r="9932">
      <c r="K9932" s="4" t="str">
        <f>IFERROR(__xludf.DUMMYFUNCTION("""COMPUTED_VALUE"""),"RESTAURANTE E PIZZARIA UBATUBA")</f>
        <v>RESTAURANTE E PIZZARIA UBATUBA</v>
      </c>
      <c r="L9932" s="32">
        <f>IFERROR(__xludf.DUMMYFUNCTION("""COMPUTED_VALUE"""),1.0)</f>
        <v>1</v>
      </c>
      <c r="M9932" s="4" t="str">
        <f>IFERROR(__xludf.DUMMYFUNCTION("""COMPUTED_VALUE"""),"null")</f>
        <v>null</v>
      </c>
      <c r="N9932" s="33">
        <f>IFERROR(__xludf.DUMMYFUNCTION("""COMPUTED_VALUE"""),1.0)</f>
        <v>1</v>
      </c>
      <c r="O9932" s="4" t="str">
        <f>IFERROR(__xludf.DUMMYFUNCTION("""COMPUTED_VALUE"""),"null")</f>
        <v>null</v>
      </c>
      <c r="P9932" s="33">
        <f>IFERROR(__xludf.DUMMYFUNCTION("""COMPUTED_VALUE"""),1.0)</f>
        <v>1</v>
      </c>
      <c r="Q9932" s="4" t="str">
        <f>IFERROR(__xludf.DUMMYFUNCTION("""COMPUTED_VALUE"""),"null")</f>
        <v>null</v>
      </c>
      <c r="R9932" s="33">
        <f>IFERROR(__xludf.DUMMYFUNCTION("""COMPUTED_VALUE"""),1.0)</f>
        <v>1</v>
      </c>
      <c r="S9932" s="4" t="str">
        <f>IFERROR(__xludf.DUMMYFUNCTION("""COMPUTED_VALUE"""),"null")</f>
        <v>null</v>
      </c>
      <c r="T9932" s="33">
        <f>IFERROR(__xludf.DUMMYFUNCTION("""COMPUTED_VALUE"""),1.0)</f>
        <v>1</v>
      </c>
      <c r="U9932" s="4" t="str">
        <f>IFERROR(__xludf.DUMMYFUNCTION("""COMPUTED_VALUE"""),"null")</f>
        <v>null</v>
      </c>
      <c r="V9932" s="33">
        <f>IFERROR(__xludf.DUMMYFUNCTION("""COMPUTED_VALUE"""),1.0)</f>
        <v>1</v>
      </c>
      <c r="W9932" s="4" t="str">
        <f>IFERROR(__xludf.DUMMYFUNCTION("""COMPUTED_VALUE"""),"Saipos Serviços De Software")</f>
        <v>Saipos Serviços De Software</v>
      </c>
      <c r="X9932" s="33">
        <f>IFERROR(__xludf.DUMMYFUNCTION("""COMPUTED_VALUE"""),1.0)</f>
        <v>1</v>
      </c>
    </row>
    <row r="9933">
      <c r="K9933" s="4" t="str">
        <f>IFERROR(__xludf.DUMMYFUNCTION("""COMPUTED_VALUE"""),"NIIHAU POKE")</f>
        <v>NIIHAU POKE</v>
      </c>
      <c r="L9933" s="32">
        <f>IFERROR(__xludf.DUMMYFUNCTION("""COMPUTED_VALUE"""),1.0)</f>
        <v>1</v>
      </c>
      <c r="M9933" s="4" t="str">
        <f>IFERROR(__xludf.DUMMYFUNCTION("""COMPUTED_VALUE"""),"Soluções Web Araçatuba Ltda")</f>
        <v>Soluções Web Araçatuba Ltda</v>
      </c>
      <c r="N9933" s="33">
        <f>IFERROR(__xludf.DUMMYFUNCTION("""COMPUTED_VALUE"""),1.0)</f>
        <v>1</v>
      </c>
      <c r="O9933" s="4" t="str">
        <f>IFERROR(__xludf.DUMMYFUNCTION("""COMPUTED_VALUE"""),"Soluções Web Araçatuba Ltda")</f>
        <v>Soluções Web Araçatuba Ltda</v>
      </c>
      <c r="P9933" s="33">
        <f>IFERROR(__xludf.DUMMYFUNCTION("""COMPUTED_VALUE"""),1.0)</f>
        <v>1</v>
      </c>
      <c r="Q9933" s="4" t="str">
        <f>IFERROR(__xludf.DUMMYFUNCTION("""COMPUTED_VALUE"""),"Soluções Web Araçatuba Ltda")</f>
        <v>Soluções Web Araçatuba Ltda</v>
      </c>
      <c r="R9933" s="33">
        <f>IFERROR(__xludf.DUMMYFUNCTION("""COMPUTED_VALUE"""),1.0)</f>
        <v>1</v>
      </c>
      <c r="S9933" s="4" t="str">
        <f>IFERROR(__xludf.DUMMYFUNCTION("""COMPUTED_VALUE"""),"Soluções Web Araçatuba Ltda")</f>
        <v>Soluções Web Araçatuba Ltda</v>
      </c>
      <c r="T9933" s="33">
        <f>IFERROR(__xludf.DUMMYFUNCTION("""COMPUTED_VALUE"""),1.0)</f>
        <v>1</v>
      </c>
      <c r="U9933" s="4" t="str">
        <f>IFERROR(__xludf.DUMMYFUNCTION("""COMPUTED_VALUE"""),"Soluções Web Araçatuba Ltda")</f>
        <v>Soluções Web Araçatuba Ltda</v>
      </c>
      <c r="V9933" s="33">
        <f>IFERROR(__xludf.DUMMYFUNCTION("""COMPUTED_VALUE"""),1.0)</f>
        <v>1</v>
      </c>
      <c r="W9933" s="4" t="str">
        <f>IFERROR(__xludf.DUMMYFUNCTION("""COMPUTED_VALUE"""),"Soluções Web Araçatuba Ltda")</f>
        <v>Soluções Web Araçatuba Ltda</v>
      </c>
      <c r="X9933" s="33">
        <f>IFERROR(__xludf.DUMMYFUNCTION("""COMPUTED_VALUE"""),1.0)</f>
        <v>1</v>
      </c>
    </row>
    <row r="9934">
      <c r="K9934" s="4" t="str">
        <f>IFERROR(__xludf.DUMMYFUNCTION("""COMPUTED_VALUE"""),"MILETO ESPETOS")</f>
        <v>MILETO ESPETOS</v>
      </c>
      <c r="L9934" s="32">
        <f>IFERROR(__xludf.DUMMYFUNCTION("""COMPUTED_VALUE"""),1.0)</f>
        <v>1</v>
      </c>
      <c r="M9934" s="4" t="str">
        <f>IFERROR(__xludf.DUMMYFUNCTION("""COMPUTED_VALUE"""),"Anota Ai Solucoes Digitais S/a")</f>
        <v>Anota Ai Solucoes Digitais S/a</v>
      </c>
      <c r="N9934" s="33">
        <f>IFERROR(__xludf.DUMMYFUNCTION("""COMPUTED_VALUE"""),1.0)</f>
        <v>1</v>
      </c>
      <c r="O9934" s="4" t="str">
        <f>IFERROR(__xludf.DUMMYFUNCTION("""COMPUTED_VALUE"""),"Anota Ai Solucoes Digitais S/a")</f>
        <v>Anota Ai Solucoes Digitais S/a</v>
      </c>
      <c r="P9934" s="33">
        <f>IFERROR(__xludf.DUMMYFUNCTION("""COMPUTED_VALUE"""),1.0)</f>
        <v>1</v>
      </c>
      <c r="Q9934" s="4" t="str">
        <f>IFERROR(__xludf.DUMMYFUNCTION("""COMPUTED_VALUE"""),"Anota Ai Solucoes Digitais S/a")</f>
        <v>Anota Ai Solucoes Digitais S/a</v>
      </c>
      <c r="R9934" s="33">
        <f>IFERROR(__xludf.DUMMYFUNCTION("""COMPUTED_VALUE"""),1.0)</f>
        <v>1</v>
      </c>
      <c r="S9934" s="4" t="str">
        <f>IFERROR(__xludf.DUMMYFUNCTION("""COMPUTED_VALUE"""),"null")</f>
        <v>null</v>
      </c>
      <c r="T9934" s="33">
        <f>IFERROR(__xludf.DUMMYFUNCTION("""COMPUTED_VALUE"""),1.0)</f>
        <v>1</v>
      </c>
      <c r="U9934" s="4" t="str">
        <f>IFERROR(__xludf.DUMMYFUNCTION("""COMPUTED_VALUE"""),"null")</f>
        <v>null</v>
      </c>
      <c r="V9934" s="33">
        <f>IFERROR(__xludf.DUMMYFUNCTION("""COMPUTED_VALUE"""),1.0)</f>
        <v>1</v>
      </c>
      <c r="W9934" s="4" t="str">
        <f>IFERROR(__xludf.DUMMYFUNCTION("""COMPUTED_VALUE"""),"null")</f>
        <v>null</v>
      </c>
      <c r="X9934" s="33">
        <f>IFERROR(__xludf.DUMMYFUNCTION("""COMPUTED_VALUE"""),1.0)</f>
        <v>1</v>
      </c>
    </row>
    <row r="9935">
      <c r="K9935" s="4" t="str">
        <f>IFERROR(__xludf.DUMMYFUNCTION("""COMPUTED_VALUE"""),"PANIFICADORA KI-PAO")</f>
        <v>PANIFICADORA KI-PAO</v>
      </c>
      <c r="L9935" s="32">
        <f>IFERROR(__xludf.DUMMYFUNCTION("""COMPUTED_VALUE"""),1.0)</f>
        <v>1</v>
      </c>
      <c r="M9935" s="4" t="str">
        <f>IFERROR(__xludf.DUMMYFUNCTION("""COMPUTED_VALUE"""),"Winfood")</f>
        <v>Winfood</v>
      </c>
      <c r="N9935" s="33">
        <f>IFERROR(__xludf.DUMMYFUNCTION("""COMPUTED_VALUE"""),1.0)</f>
        <v>1</v>
      </c>
      <c r="O9935" s="4" t="str">
        <f>IFERROR(__xludf.DUMMYFUNCTION("""COMPUTED_VALUE"""),"Winfood")</f>
        <v>Winfood</v>
      </c>
      <c r="P9935" s="33">
        <f>IFERROR(__xludf.DUMMYFUNCTION("""COMPUTED_VALUE"""),1.0)</f>
        <v>1</v>
      </c>
      <c r="Q9935" s="4" t="str">
        <f>IFERROR(__xludf.DUMMYFUNCTION("""COMPUTED_VALUE"""),"Winfood")</f>
        <v>Winfood</v>
      </c>
      <c r="R9935" s="33">
        <f>IFERROR(__xludf.DUMMYFUNCTION("""COMPUTED_VALUE"""),1.0)</f>
        <v>1</v>
      </c>
      <c r="S9935" s="4" t="str">
        <f>IFERROR(__xludf.DUMMYFUNCTION("""COMPUTED_VALUE"""),"Winfood")</f>
        <v>Winfood</v>
      </c>
      <c r="T9935" s="33">
        <f>IFERROR(__xludf.DUMMYFUNCTION("""COMPUTED_VALUE"""),1.0)</f>
        <v>1</v>
      </c>
      <c r="U9935" s="4" t="str">
        <f>IFERROR(__xludf.DUMMYFUNCTION("""COMPUTED_VALUE"""),"Winfood")</f>
        <v>Winfood</v>
      </c>
      <c r="V9935" s="33">
        <f>IFERROR(__xludf.DUMMYFUNCTION("""COMPUTED_VALUE"""),1.0)</f>
        <v>1</v>
      </c>
      <c r="W9935" s="4" t="str">
        <f>IFERROR(__xludf.DUMMYFUNCTION("""COMPUTED_VALUE"""),"Winfood")</f>
        <v>Winfood</v>
      </c>
      <c r="X9935" s="33">
        <f>IFERROR(__xludf.DUMMYFUNCTION("""COMPUTED_VALUE"""),1.0)</f>
        <v>1</v>
      </c>
    </row>
    <row r="9936">
      <c r="K9936" s="4" t="str">
        <f>IFERROR(__xludf.DUMMYFUNCTION("""COMPUTED_VALUE"""),"DOGAO LANCHES E ACAI")</f>
        <v>DOGAO LANCHES E ACAI</v>
      </c>
      <c r="L9936" s="32">
        <f>IFERROR(__xludf.DUMMYFUNCTION("""COMPUTED_VALUE"""),1.0)</f>
        <v>1</v>
      </c>
      <c r="M9936" s="4" t="str">
        <f>IFERROR(__xludf.DUMMYFUNCTION("""COMPUTED_VALUE"""),"Saipos Serviços De Software")</f>
        <v>Saipos Serviços De Software</v>
      </c>
      <c r="N9936" s="33">
        <f>IFERROR(__xludf.DUMMYFUNCTION("""COMPUTED_VALUE"""),1.0)</f>
        <v>1</v>
      </c>
      <c r="O9936" s="4" t="str">
        <f>IFERROR(__xludf.DUMMYFUNCTION("""COMPUTED_VALUE"""),"Saipos Serviços De Software")</f>
        <v>Saipos Serviços De Software</v>
      </c>
      <c r="P9936" s="33">
        <f>IFERROR(__xludf.DUMMYFUNCTION("""COMPUTED_VALUE"""),1.0)</f>
        <v>1</v>
      </c>
      <c r="Q9936" s="4" t="str">
        <f>IFERROR(__xludf.DUMMYFUNCTION("""COMPUTED_VALUE"""),"Saipos Serviços De Software")</f>
        <v>Saipos Serviços De Software</v>
      </c>
      <c r="R9936" s="33">
        <f>IFERROR(__xludf.DUMMYFUNCTION("""COMPUTED_VALUE"""),1.0)</f>
        <v>1</v>
      </c>
      <c r="S9936" s="4" t="str">
        <f>IFERROR(__xludf.DUMMYFUNCTION("""COMPUTED_VALUE"""),"Saipos Serviços De Software")</f>
        <v>Saipos Serviços De Software</v>
      </c>
      <c r="T9936" s="33">
        <f>IFERROR(__xludf.DUMMYFUNCTION("""COMPUTED_VALUE"""),1.0)</f>
        <v>1</v>
      </c>
      <c r="U9936" s="4" t="str">
        <f>IFERROR(__xludf.DUMMYFUNCTION("""COMPUTED_VALUE"""),"Instadelivery")</f>
        <v>Instadelivery</v>
      </c>
      <c r="V9936" s="33">
        <f>IFERROR(__xludf.DUMMYFUNCTION("""COMPUTED_VALUE"""),1.0)</f>
        <v>1</v>
      </c>
      <c r="W9936" s="4" t="str">
        <f>IFERROR(__xludf.DUMMYFUNCTION("""COMPUTED_VALUE"""),"Instadelivery")</f>
        <v>Instadelivery</v>
      </c>
      <c r="X9936" s="33">
        <f>IFERROR(__xludf.DUMMYFUNCTION("""COMPUTED_VALUE"""),1.0)</f>
        <v>1</v>
      </c>
    </row>
    <row r="9937">
      <c r="K9937" s="4" t="str">
        <f>IFERROR(__xludf.DUMMYFUNCTION("""COMPUTED_VALUE"""),"FRANGOTTE - FRANGUINHO FRITO")</f>
        <v>FRANGOTTE - FRANGUINHO FRITO</v>
      </c>
      <c r="L9937" s="32">
        <f>IFERROR(__xludf.DUMMYFUNCTION("""COMPUTED_VALUE"""),1.0)</f>
        <v>1</v>
      </c>
      <c r="M9937" s="4" t="str">
        <f>IFERROR(__xludf.DUMMYFUNCTION("""COMPUTED_VALUE"""),"Whatsmenu Ltda")</f>
        <v>Whatsmenu Ltda</v>
      </c>
      <c r="N9937" s="33">
        <f>IFERROR(__xludf.DUMMYFUNCTION("""COMPUTED_VALUE"""),1.0)</f>
        <v>1</v>
      </c>
      <c r="O9937" s="4" t="str">
        <f>IFERROR(__xludf.DUMMYFUNCTION("""COMPUTED_VALUE"""),"Whatsmenu Ltda")</f>
        <v>Whatsmenu Ltda</v>
      </c>
      <c r="P9937" s="33">
        <f>IFERROR(__xludf.DUMMYFUNCTION("""COMPUTED_VALUE"""),1.0)</f>
        <v>1</v>
      </c>
      <c r="Q9937" s="4" t="str">
        <f>IFERROR(__xludf.DUMMYFUNCTION("""COMPUTED_VALUE"""),"Whatsmenu Ltda")</f>
        <v>Whatsmenu Ltda</v>
      </c>
      <c r="R9937" s="33">
        <f>IFERROR(__xludf.DUMMYFUNCTION("""COMPUTED_VALUE"""),1.0)</f>
        <v>1</v>
      </c>
      <c r="S9937" s="4" t="str">
        <f>IFERROR(__xludf.DUMMYFUNCTION("""COMPUTED_VALUE"""),"Whatsmenu Ltda")</f>
        <v>Whatsmenu Ltda</v>
      </c>
      <c r="T9937" s="33">
        <f>IFERROR(__xludf.DUMMYFUNCTION("""COMPUTED_VALUE"""),1.0)</f>
        <v>1</v>
      </c>
      <c r="U9937" s="4" t="str">
        <f>IFERROR(__xludf.DUMMYFUNCTION("""COMPUTED_VALUE"""),"Whatsmenu Ltda")</f>
        <v>Whatsmenu Ltda</v>
      </c>
      <c r="V9937" s="33">
        <f>IFERROR(__xludf.DUMMYFUNCTION("""COMPUTED_VALUE"""),1.0)</f>
        <v>1</v>
      </c>
      <c r="W9937" s="4" t="str">
        <f>IFERROR(__xludf.DUMMYFUNCTION("""COMPUTED_VALUE"""),"Instadelivery")</f>
        <v>Instadelivery</v>
      </c>
      <c r="X9937" s="33">
        <f>IFERROR(__xludf.DUMMYFUNCTION("""COMPUTED_VALUE"""),1.0)</f>
        <v>1</v>
      </c>
    </row>
    <row r="9938">
      <c r="K9938" s="4" t="str">
        <f>IFERROR(__xludf.DUMMYFUNCTION("""COMPUTED_VALUE"""),"FAMOSA LINGUICA - CASA RED BULL BRAGANTINO")</f>
        <v>FAMOSA LINGUICA - CASA RED BULL BRAGANTINO</v>
      </c>
      <c r="L9938" s="32">
        <f>IFERROR(__xludf.DUMMYFUNCTION("""COMPUTED_VALUE"""),1.0)</f>
        <v>1</v>
      </c>
      <c r="M9938" s="4" t="str">
        <f>IFERROR(__xludf.DUMMYFUNCTION("""COMPUTED_VALUE"""),"Infoluck Sistemas")</f>
        <v>Infoluck Sistemas</v>
      </c>
      <c r="N9938" s="33">
        <f>IFERROR(__xludf.DUMMYFUNCTION("""COMPUTED_VALUE"""),1.0)</f>
        <v>1</v>
      </c>
      <c r="O9938" s="4" t="str">
        <f>IFERROR(__xludf.DUMMYFUNCTION("""COMPUTED_VALUE"""),"null")</f>
        <v>null</v>
      </c>
      <c r="P9938" s="33">
        <f>IFERROR(__xludf.DUMMYFUNCTION("""COMPUTED_VALUE"""),1.0)</f>
        <v>1</v>
      </c>
      <c r="Q9938" s="4" t="str">
        <f>IFERROR(__xludf.DUMMYFUNCTION("""COMPUTED_VALUE"""),"null")</f>
        <v>null</v>
      </c>
      <c r="R9938" s="33">
        <f>IFERROR(__xludf.DUMMYFUNCTION("""COMPUTED_VALUE"""),1.0)</f>
        <v>1</v>
      </c>
      <c r="S9938" s="4" t="str">
        <f>IFERROR(__xludf.DUMMYFUNCTION("""COMPUTED_VALUE"""),"null")</f>
        <v>null</v>
      </c>
      <c r="T9938" s="33">
        <f>IFERROR(__xludf.DUMMYFUNCTION("""COMPUTED_VALUE"""),1.0)</f>
        <v>1</v>
      </c>
      <c r="U9938" s="4" t="str">
        <f>IFERROR(__xludf.DUMMYFUNCTION("""COMPUTED_VALUE"""),"null")</f>
        <v>null</v>
      </c>
      <c r="V9938" s="33">
        <f>IFERROR(__xludf.DUMMYFUNCTION("""COMPUTED_VALUE"""),1.0)</f>
        <v>1</v>
      </c>
      <c r="W9938" s="4" t="str">
        <f>IFERROR(__xludf.DUMMYFUNCTION("""COMPUTED_VALUE"""),"null")</f>
        <v>null</v>
      </c>
      <c r="X9938" s="33">
        <f>IFERROR(__xludf.DUMMYFUNCTION("""COMPUTED_VALUE"""),1.0)</f>
        <v>1</v>
      </c>
    </row>
    <row r="9939">
      <c r="K9939" s="4" t="str">
        <f>IFERROR(__xludf.DUMMYFUNCTION("""COMPUTED_VALUE"""),"BITELLOS BURGUER E RESTAURANTE")</f>
        <v>BITELLOS BURGUER E RESTAURANTE</v>
      </c>
      <c r="L9939" s="32">
        <f>IFERROR(__xludf.DUMMYFUNCTION("""COMPUTED_VALUE"""),1.0)</f>
        <v>1</v>
      </c>
      <c r="M9939" s="4" t="str">
        <f>IFERROR(__xludf.DUMMYFUNCTION("""COMPUTED_VALUE"""),"null")</f>
        <v>null</v>
      </c>
      <c r="N9939" s="33">
        <f>IFERROR(__xludf.DUMMYFUNCTION("""COMPUTED_VALUE"""),1.0)</f>
        <v>1</v>
      </c>
      <c r="O9939" s="4" t="str">
        <f>IFERROR(__xludf.DUMMYFUNCTION("""COMPUTED_VALUE"""),"Saipos Serviços De Software")</f>
        <v>Saipos Serviços De Software</v>
      </c>
      <c r="P9939" s="33">
        <f>IFERROR(__xludf.DUMMYFUNCTION("""COMPUTED_VALUE"""),1.0)</f>
        <v>1</v>
      </c>
      <c r="Q9939" s="4" t="str">
        <f>IFERROR(__xludf.DUMMYFUNCTION("""COMPUTED_VALUE"""),"Saipos Serviços De Software")</f>
        <v>Saipos Serviços De Software</v>
      </c>
      <c r="R9939" s="33">
        <f>IFERROR(__xludf.DUMMYFUNCTION("""COMPUTED_VALUE"""),1.0)</f>
        <v>1</v>
      </c>
      <c r="S9939" s="4" t="str">
        <f>IFERROR(__xludf.DUMMYFUNCTION("""COMPUTED_VALUE"""),"Saipos Serviços De Software")</f>
        <v>Saipos Serviços De Software</v>
      </c>
      <c r="T9939" s="33">
        <f>IFERROR(__xludf.DUMMYFUNCTION("""COMPUTED_VALUE"""),1.0)</f>
        <v>1</v>
      </c>
      <c r="U9939" s="4" t="str">
        <f>IFERROR(__xludf.DUMMYFUNCTION("""COMPUTED_VALUE"""),"Saipos Serviços De Software")</f>
        <v>Saipos Serviços De Software</v>
      </c>
      <c r="V9939" s="33">
        <f>IFERROR(__xludf.DUMMYFUNCTION("""COMPUTED_VALUE"""),1.0)</f>
        <v>1</v>
      </c>
      <c r="W9939" s="4" t="str">
        <f>IFERROR(__xludf.DUMMYFUNCTION("""COMPUTED_VALUE"""),"Saipos Serviços De Software")</f>
        <v>Saipos Serviços De Software</v>
      </c>
      <c r="X9939" s="33">
        <f>IFERROR(__xludf.DUMMYFUNCTION("""COMPUTED_VALUE"""),1.0)</f>
        <v>1</v>
      </c>
    </row>
    <row r="9940">
      <c r="K9940" s="4" t="str">
        <f>IFERROR(__xludf.DUMMYFUNCTION("""COMPUTED_VALUE"""),"DROGARIA FORMED")</f>
        <v>DROGARIA FORMED</v>
      </c>
      <c r="L9940" s="32">
        <f>IFERROR(__xludf.DUMMYFUNCTION("""COMPUTED_VALUE"""),1.0)</f>
        <v>1</v>
      </c>
      <c r="M9940" s="4" t="str">
        <f>IFERROR(__xludf.DUMMYFUNCTION("""COMPUTED_VALUE"""),"N/A (Not found)")</f>
        <v>N/A (Not found)</v>
      </c>
      <c r="N9940" s="33">
        <f>IFERROR(__xludf.DUMMYFUNCTION("""COMPUTED_VALUE"""),1.0)</f>
        <v>1</v>
      </c>
      <c r="O9940" s="4" t="str">
        <f>IFERROR(__xludf.DUMMYFUNCTION("""COMPUTED_VALUE"""),"N/A (Not found)")</f>
        <v>N/A (Not found)</v>
      </c>
      <c r="P9940" s="33">
        <f>IFERROR(__xludf.DUMMYFUNCTION("""COMPUTED_VALUE"""),1.0)</f>
        <v>1</v>
      </c>
      <c r="Q9940" s="4" t="str">
        <f>IFERROR(__xludf.DUMMYFUNCTION("""COMPUTED_VALUE"""),"N/A (Not found)")</f>
        <v>N/A (Not found)</v>
      </c>
      <c r="R9940" s="33">
        <f>IFERROR(__xludf.DUMMYFUNCTION("""COMPUTED_VALUE"""),1.0)</f>
        <v>1</v>
      </c>
      <c r="S9940" s="4" t="str">
        <f>IFERROR(__xludf.DUMMYFUNCTION("""COMPUTED_VALUE"""),"N/A (Not found)")</f>
        <v>N/A (Not found)</v>
      </c>
      <c r="T9940" s="33">
        <f>IFERROR(__xludf.DUMMYFUNCTION("""COMPUTED_VALUE"""),1.0)</f>
        <v>1</v>
      </c>
      <c r="U9940" s="4" t="str">
        <f>IFERROR(__xludf.DUMMYFUNCTION("""COMPUTED_VALUE"""),"N/A (Not found)")</f>
        <v>N/A (Not found)</v>
      </c>
      <c r="V9940" s="33">
        <f>IFERROR(__xludf.DUMMYFUNCTION("""COMPUTED_VALUE"""),1.0)</f>
        <v>1</v>
      </c>
      <c r="W9940" s="4" t="str">
        <f>IFERROR(__xludf.DUMMYFUNCTION("""COMPUTED_VALUE"""),"N/A (Not found)")</f>
        <v>N/A (Not found)</v>
      </c>
      <c r="X9940" s="33">
        <f>IFERROR(__xludf.DUMMYFUNCTION("""COMPUTED_VALUE"""),1.0)</f>
        <v>1</v>
      </c>
    </row>
    <row r="9941">
      <c r="K9941" s="4" t="str">
        <f>IFERROR(__xludf.DUMMYFUNCTION("""COMPUTED_VALUE"""),"STREET PARK LANCHES")</f>
        <v>STREET PARK LANCHES</v>
      </c>
      <c r="L9941" s="32">
        <f>IFERROR(__xludf.DUMMYFUNCTION("""COMPUTED_VALUE"""),1.0)</f>
        <v>1</v>
      </c>
      <c r="M9941" s="4" t="str">
        <f>IFERROR(__xludf.DUMMYFUNCTION("""COMPUTED_VALUE"""),"Anove Tecnologia")</f>
        <v>Anove Tecnologia</v>
      </c>
      <c r="N9941" s="33">
        <f>IFERROR(__xludf.DUMMYFUNCTION("""COMPUTED_VALUE"""),1.0)</f>
        <v>1</v>
      </c>
      <c r="O9941" s="4" t="str">
        <f>IFERROR(__xludf.DUMMYFUNCTION("""COMPUTED_VALUE"""),"Cardápio Web")</f>
        <v>Cardápio Web</v>
      </c>
      <c r="P9941" s="33">
        <f>IFERROR(__xludf.DUMMYFUNCTION("""COMPUTED_VALUE"""),1.0)</f>
        <v>1</v>
      </c>
      <c r="Q9941" s="4" t="str">
        <f>IFERROR(__xludf.DUMMYFUNCTION("""COMPUTED_VALUE"""),"Cardápio Web")</f>
        <v>Cardápio Web</v>
      </c>
      <c r="R9941" s="33">
        <f>IFERROR(__xludf.DUMMYFUNCTION("""COMPUTED_VALUE"""),1.0)</f>
        <v>1</v>
      </c>
      <c r="S9941" s="4" t="str">
        <f>IFERROR(__xludf.DUMMYFUNCTION("""COMPUTED_VALUE"""),"Cardápio Web")</f>
        <v>Cardápio Web</v>
      </c>
      <c r="T9941" s="33">
        <f>IFERROR(__xludf.DUMMYFUNCTION("""COMPUTED_VALUE"""),1.0)</f>
        <v>1</v>
      </c>
      <c r="U9941" s="4" t="str">
        <f>IFERROR(__xludf.DUMMYFUNCTION("""COMPUTED_VALUE"""),"Cardápio Web")</f>
        <v>Cardápio Web</v>
      </c>
      <c r="V9941" s="33">
        <f>IFERROR(__xludf.DUMMYFUNCTION("""COMPUTED_VALUE"""),1.0)</f>
        <v>1</v>
      </c>
      <c r="W9941" s="4" t="str">
        <f>IFERROR(__xludf.DUMMYFUNCTION("""COMPUTED_VALUE"""),"Cardápio Web")</f>
        <v>Cardápio Web</v>
      </c>
      <c r="X9941" s="33">
        <f>IFERROR(__xludf.DUMMYFUNCTION("""COMPUTED_VALUE"""),1.0)</f>
        <v>1</v>
      </c>
    </row>
    <row r="9942">
      <c r="K9942" s="4" t="str">
        <f>IFERROR(__xludf.DUMMYFUNCTION("""COMPUTED_VALUE"""),"ANGEL 21 RESTAURANTE E LANCHONETE")</f>
        <v>ANGEL 21 RESTAURANTE E LANCHONETE</v>
      </c>
      <c r="L9942" s="32">
        <f>IFERROR(__xludf.DUMMYFUNCTION("""COMPUTED_VALUE"""),1.0)</f>
        <v>1</v>
      </c>
      <c r="M9942" s="4" t="str">
        <f>IFERROR(__xludf.DUMMYFUNCTION("""COMPUTED_VALUE"""),"Saipos Serviços De Software")</f>
        <v>Saipos Serviços De Software</v>
      </c>
      <c r="N9942" s="33">
        <f>IFERROR(__xludf.DUMMYFUNCTION("""COMPUTED_VALUE"""),1.0)</f>
        <v>1</v>
      </c>
      <c r="O9942" s="4" t="str">
        <f>IFERROR(__xludf.DUMMYFUNCTION("""COMPUTED_VALUE"""),"Saipos Serviços De Software")</f>
        <v>Saipos Serviços De Software</v>
      </c>
      <c r="P9942" s="33">
        <f>IFERROR(__xludf.DUMMYFUNCTION("""COMPUTED_VALUE"""),1.0)</f>
        <v>1</v>
      </c>
      <c r="Q9942" s="4" t="str">
        <f>IFERROR(__xludf.DUMMYFUNCTION("""COMPUTED_VALUE"""),"Saipos Serviços De Software")</f>
        <v>Saipos Serviços De Software</v>
      </c>
      <c r="R9942" s="33">
        <f>IFERROR(__xludf.DUMMYFUNCTION("""COMPUTED_VALUE"""),1.0)</f>
        <v>1</v>
      </c>
      <c r="S9942" s="4" t="str">
        <f>IFERROR(__xludf.DUMMYFUNCTION("""COMPUTED_VALUE"""),"Saipos Serviços De Software")</f>
        <v>Saipos Serviços De Software</v>
      </c>
      <c r="T9942" s="33">
        <f>IFERROR(__xludf.DUMMYFUNCTION("""COMPUTED_VALUE"""),1.0)</f>
        <v>1</v>
      </c>
      <c r="U9942" s="4" t="str">
        <f>IFERROR(__xludf.DUMMYFUNCTION("""COMPUTED_VALUE"""),"Saipos Serviços De Software")</f>
        <v>Saipos Serviços De Software</v>
      </c>
      <c r="V9942" s="33">
        <f>IFERROR(__xludf.DUMMYFUNCTION("""COMPUTED_VALUE"""),1.0)</f>
        <v>1</v>
      </c>
      <c r="W9942" s="4" t="str">
        <f>IFERROR(__xludf.DUMMYFUNCTION("""COMPUTED_VALUE"""),"Saipos Serviços De Software")</f>
        <v>Saipos Serviços De Software</v>
      </c>
      <c r="X9942" s="33">
        <f>IFERROR(__xludf.DUMMYFUNCTION("""COMPUTED_VALUE"""),1.0)</f>
        <v>1</v>
      </c>
    </row>
    <row r="9943">
      <c r="K9943" s="4" t="str">
        <f>IFERROR(__xludf.DUMMYFUNCTION("""COMPUTED_VALUE"""),"CAMILA ALMEIDA CONFEITARIA")</f>
        <v>CAMILA ALMEIDA CONFEITARIA</v>
      </c>
      <c r="L9943" s="32">
        <f>IFERROR(__xludf.DUMMYFUNCTION("""COMPUTED_VALUE"""),1.0)</f>
        <v>1</v>
      </c>
      <c r="M9943" s="4" t="str">
        <f>IFERROR(__xludf.DUMMYFUNCTION("""COMPUTED_VALUE"""),"Saipos Serviços De Software")</f>
        <v>Saipos Serviços De Software</v>
      </c>
      <c r="N9943" s="33">
        <f>IFERROR(__xludf.DUMMYFUNCTION("""COMPUTED_VALUE"""),1.0)</f>
        <v>1</v>
      </c>
      <c r="O9943" s="4" t="str">
        <f>IFERROR(__xludf.DUMMYFUNCTION("""COMPUTED_VALUE"""),"Saipos Serviços De Software")</f>
        <v>Saipos Serviços De Software</v>
      </c>
      <c r="P9943" s="33">
        <f>IFERROR(__xludf.DUMMYFUNCTION("""COMPUTED_VALUE"""),1.0)</f>
        <v>1</v>
      </c>
      <c r="Q9943" s="4" t="str">
        <f>IFERROR(__xludf.DUMMYFUNCTION("""COMPUTED_VALUE"""),"Saipos Serviços De Software")</f>
        <v>Saipos Serviços De Software</v>
      </c>
      <c r="R9943" s="33">
        <f>IFERROR(__xludf.DUMMYFUNCTION("""COMPUTED_VALUE"""),1.0)</f>
        <v>1</v>
      </c>
      <c r="S9943" s="4" t="str">
        <f>IFERROR(__xludf.DUMMYFUNCTION("""COMPUTED_VALUE"""),"Saipos Serviços De Software")</f>
        <v>Saipos Serviços De Software</v>
      </c>
      <c r="T9943" s="33">
        <f>IFERROR(__xludf.DUMMYFUNCTION("""COMPUTED_VALUE"""),1.0)</f>
        <v>1</v>
      </c>
      <c r="U9943" s="4" t="str">
        <f>IFERROR(__xludf.DUMMYFUNCTION("""COMPUTED_VALUE"""),"Saipos Serviços De Software")</f>
        <v>Saipos Serviços De Software</v>
      </c>
      <c r="V9943" s="33">
        <f>IFERROR(__xludf.DUMMYFUNCTION("""COMPUTED_VALUE"""),1.0)</f>
        <v>1</v>
      </c>
      <c r="W9943" s="4" t="str">
        <f>IFERROR(__xludf.DUMMYFUNCTION("""COMPUTED_VALUE"""),"Saipos Serviços De Software")</f>
        <v>Saipos Serviços De Software</v>
      </c>
      <c r="X9943" s="33">
        <f>IFERROR(__xludf.DUMMYFUNCTION("""COMPUTED_VALUE"""),1.0)</f>
        <v>1</v>
      </c>
    </row>
    <row r="9944">
      <c r="K9944" s="4" t="str">
        <f>IFERROR(__xludf.DUMMYFUNCTION("""COMPUTED_VALUE"""),"ACAI DO GUGU LOJA II - SILVA ROMERO")</f>
        <v>ACAI DO GUGU LOJA II - SILVA ROMERO</v>
      </c>
      <c r="L9944" s="32">
        <f>IFERROR(__xludf.DUMMYFUNCTION("""COMPUTED_VALUE"""),1.0)</f>
        <v>1</v>
      </c>
      <c r="M9944" s="4" t="str">
        <f>IFERROR(__xludf.DUMMYFUNCTION("""COMPUTED_VALUE"""),"Yooga")</f>
        <v>Yooga</v>
      </c>
      <c r="N9944" s="33">
        <f>IFERROR(__xludf.DUMMYFUNCTION("""COMPUTED_VALUE"""),1.0)</f>
        <v>1</v>
      </c>
      <c r="O9944" s="4" t="str">
        <f>IFERROR(__xludf.DUMMYFUNCTION("""COMPUTED_VALUE"""),"Yooga")</f>
        <v>Yooga</v>
      </c>
      <c r="P9944" s="33">
        <f>IFERROR(__xludf.DUMMYFUNCTION("""COMPUTED_VALUE"""),1.0)</f>
        <v>1</v>
      </c>
      <c r="Q9944" s="4" t="str">
        <f>IFERROR(__xludf.DUMMYFUNCTION("""COMPUTED_VALUE"""),"Cardápio Web")</f>
        <v>Cardápio Web</v>
      </c>
      <c r="R9944" s="33">
        <f>IFERROR(__xludf.DUMMYFUNCTION("""COMPUTED_VALUE"""),1.0)</f>
        <v>1</v>
      </c>
      <c r="S9944" s="4" t="str">
        <f>IFERROR(__xludf.DUMMYFUNCTION("""COMPUTED_VALUE"""),"Cardápio Web")</f>
        <v>Cardápio Web</v>
      </c>
      <c r="T9944" s="33">
        <f>IFERROR(__xludf.DUMMYFUNCTION("""COMPUTED_VALUE"""),1.0)</f>
        <v>1</v>
      </c>
      <c r="U9944" s="4" t="str">
        <f>IFERROR(__xludf.DUMMYFUNCTION("""COMPUTED_VALUE"""),"Cardápio Web")</f>
        <v>Cardápio Web</v>
      </c>
      <c r="V9944" s="33">
        <f>IFERROR(__xludf.DUMMYFUNCTION("""COMPUTED_VALUE"""),1.0)</f>
        <v>1</v>
      </c>
      <c r="W9944" s="4" t="str">
        <f>IFERROR(__xludf.DUMMYFUNCTION("""COMPUTED_VALUE"""),"Cardápio Web")</f>
        <v>Cardápio Web</v>
      </c>
      <c r="X9944" s="33">
        <f>IFERROR(__xludf.DUMMYFUNCTION("""COMPUTED_VALUE"""),1.0)</f>
        <v>1</v>
      </c>
    </row>
    <row r="9945">
      <c r="K9945" s="4" t="str">
        <f>IFERROR(__xludf.DUMMYFUNCTION("""COMPUTED_VALUE"""),"LASANHAS E MASSAS BOM APPETITE")</f>
        <v>LASANHAS E MASSAS BOM APPETITE</v>
      </c>
      <c r="L9945" s="32">
        <f>IFERROR(__xludf.DUMMYFUNCTION("""COMPUTED_VALUE"""),1.0)</f>
        <v>1</v>
      </c>
      <c r="M9945" s="4" t="str">
        <f>IFERROR(__xludf.DUMMYFUNCTION("""COMPUTED_VALUE"""),"Hubster")</f>
        <v>Hubster</v>
      </c>
      <c r="N9945" s="33">
        <f>IFERROR(__xludf.DUMMYFUNCTION("""COMPUTED_VALUE"""),1.0)</f>
        <v>1</v>
      </c>
      <c r="O9945" s="4" t="str">
        <f>IFERROR(__xludf.DUMMYFUNCTION("""COMPUTED_VALUE"""),"Hubster")</f>
        <v>Hubster</v>
      </c>
      <c r="P9945" s="33">
        <f>IFERROR(__xludf.DUMMYFUNCTION("""COMPUTED_VALUE"""),1.0)</f>
        <v>1</v>
      </c>
      <c r="Q9945" s="4" t="str">
        <f>IFERROR(__xludf.DUMMYFUNCTION("""COMPUTED_VALUE"""),"Hubster")</f>
        <v>Hubster</v>
      </c>
      <c r="R9945" s="33">
        <f>IFERROR(__xludf.DUMMYFUNCTION("""COMPUTED_VALUE"""),1.0)</f>
        <v>1</v>
      </c>
      <c r="S9945" s="4" t="str">
        <f>IFERROR(__xludf.DUMMYFUNCTION("""COMPUTED_VALUE"""),"Hubster")</f>
        <v>Hubster</v>
      </c>
      <c r="T9945" s="33">
        <f>IFERROR(__xludf.DUMMYFUNCTION("""COMPUTED_VALUE"""),1.0)</f>
        <v>1</v>
      </c>
      <c r="U9945" s="4" t="str">
        <f>IFERROR(__xludf.DUMMYFUNCTION("""COMPUTED_VALUE"""),"Hubster")</f>
        <v>Hubster</v>
      </c>
      <c r="V9945" s="33">
        <f>IFERROR(__xludf.DUMMYFUNCTION("""COMPUTED_VALUE"""),1.0)</f>
        <v>1</v>
      </c>
      <c r="W9945" s="4" t="str">
        <f>IFERROR(__xludf.DUMMYFUNCTION("""COMPUTED_VALUE"""),"Hubster")</f>
        <v>Hubster</v>
      </c>
      <c r="X9945" s="33">
        <f>IFERROR(__xludf.DUMMYFUNCTION("""COMPUTED_VALUE"""),1.0)</f>
        <v>1</v>
      </c>
    </row>
    <row r="9946">
      <c r="K9946" s="4" t="str">
        <f>IFERROR(__xludf.DUMMYFUNCTION("""COMPUTED_VALUE"""),"DONSINI PIZZARIA")</f>
        <v>DONSINI PIZZARIA</v>
      </c>
      <c r="L9946" s="32">
        <f>IFERROR(__xludf.DUMMYFUNCTION("""COMPUTED_VALUE"""),1.0)</f>
        <v>1</v>
      </c>
      <c r="M9946" s="4" t="str">
        <f>IFERROR(__xludf.DUMMYFUNCTION("""COMPUTED_VALUE"""),"Anota Ai Solucoes Digitais S/a")</f>
        <v>Anota Ai Solucoes Digitais S/a</v>
      </c>
      <c r="N9946" s="33">
        <f>IFERROR(__xludf.DUMMYFUNCTION("""COMPUTED_VALUE"""),1.0)</f>
        <v>1</v>
      </c>
      <c r="O9946" s="4" t="str">
        <f>IFERROR(__xludf.DUMMYFUNCTION("""COMPUTED_VALUE"""),"null")</f>
        <v>null</v>
      </c>
      <c r="P9946" s="33">
        <f>IFERROR(__xludf.DUMMYFUNCTION("""COMPUTED_VALUE"""),1.0)</f>
        <v>1</v>
      </c>
      <c r="Q9946" s="4" t="str">
        <f>IFERROR(__xludf.DUMMYFUNCTION("""COMPUTED_VALUE"""),"Anota Ai Solucoes Digitais S/a")</f>
        <v>Anota Ai Solucoes Digitais S/a</v>
      </c>
      <c r="R9946" s="33">
        <f>IFERROR(__xludf.DUMMYFUNCTION("""COMPUTED_VALUE"""),1.0)</f>
        <v>1</v>
      </c>
      <c r="S9946" s="4" t="str">
        <f>IFERROR(__xludf.DUMMYFUNCTION("""COMPUTED_VALUE"""),"Anota Ai Solucoes Digitais S/a")</f>
        <v>Anota Ai Solucoes Digitais S/a</v>
      </c>
      <c r="T9946" s="33">
        <f>IFERROR(__xludf.DUMMYFUNCTION("""COMPUTED_VALUE"""),1.0)</f>
        <v>1</v>
      </c>
      <c r="U9946" s="4" t="str">
        <f>IFERROR(__xludf.DUMMYFUNCTION("""COMPUTED_VALUE"""),"Anota Ai Solucoes Digitais S/a")</f>
        <v>Anota Ai Solucoes Digitais S/a</v>
      </c>
      <c r="V9946" s="33">
        <f>IFERROR(__xludf.DUMMYFUNCTION("""COMPUTED_VALUE"""),1.0)</f>
        <v>1</v>
      </c>
      <c r="W9946" s="4" t="str">
        <f>IFERROR(__xludf.DUMMYFUNCTION("""COMPUTED_VALUE"""),"Anota Ai Solucoes Digitais S/a")</f>
        <v>Anota Ai Solucoes Digitais S/a</v>
      </c>
      <c r="X9946" s="33">
        <f>IFERROR(__xludf.DUMMYFUNCTION("""COMPUTED_VALUE"""),1.0)</f>
        <v>1</v>
      </c>
    </row>
    <row r="9947">
      <c r="K9947" s="4" t="str">
        <f>IFERROR(__xludf.DUMMYFUNCTION("""COMPUTED_VALUE"""),"BANZAI SUSHI, COMIDA JAPONESA")</f>
        <v>BANZAI SUSHI, COMIDA JAPONESA</v>
      </c>
      <c r="L9947" s="32">
        <f>IFERROR(__xludf.DUMMYFUNCTION("""COMPUTED_VALUE"""),1.0)</f>
        <v>1</v>
      </c>
      <c r="M9947" s="4" t="str">
        <f>IFERROR(__xludf.DUMMYFUNCTION("""COMPUTED_VALUE"""),"Instadelivery")</f>
        <v>Instadelivery</v>
      </c>
      <c r="N9947" s="33">
        <f>IFERROR(__xludf.DUMMYFUNCTION("""COMPUTED_VALUE"""),1.0)</f>
        <v>1</v>
      </c>
      <c r="O9947" s="4" t="str">
        <f>IFERROR(__xludf.DUMMYFUNCTION("""COMPUTED_VALUE"""),"Instadelivery")</f>
        <v>Instadelivery</v>
      </c>
      <c r="P9947" s="33">
        <f>IFERROR(__xludf.DUMMYFUNCTION("""COMPUTED_VALUE"""),1.0)</f>
        <v>1</v>
      </c>
      <c r="Q9947" s="4" t="str">
        <f>IFERROR(__xludf.DUMMYFUNCTION("""COMPUTED_VALUE"""),"Instadelivery")</f>
        <v>Instadelivery</v>
      </c>
      <c r="R9947" s="33">
        <f>IFERROR(__xludf.DUMMYFUNCTION("""COMPUTED_VALUE"""),1.0)</f>
        <v>1</v>
      </c>
      <c r="S9947" s="4" t="str">
        <f>IFERROR(__xludf.DUMMYFUNCTION("""COMPUTED_VALUE"""),"Instadelivery")</f>
        <v>Instadelivery</v>
      </c>
      <c r="T9947" s="33">
        <f>IFERROR(__xludf.DUMMYFUNCTION("""COMPUTED_VALUE"""),1.0)</f>
        <v>1</v>
      </c>
      <c r="U9947" s="4" t="str">
        <f>IFERROR(__xludf.DUMMYFUNCTION("""COMPUTED_VALUE"""),"Instadelivery")</f>
        <v>Instadelivery</v>
      </c>
      <c r="V9947" s="33">
        <f>IFERROR(__xludf.DUMMYFUNCTION("""COMPUTED_VALUE"""),1.0)</f>
        <v>1</v>
      </c>
      <c r="W9947" s="4" t="str">
        <f>IFERROR(__xludf.DUMMYFUNCTION("""COMPUTED_VALUE"""),"Instadelivery")</f>
        <v>Instadelivery</v>
      </c>
      <c r="X9947" s="33">
        <f>IFERROR(__xludf.DUMMYFUNCTION("""COMPUTED_VALUE"""),1.0)</f>
        <v>1</v>
      </c>
    </row>
    <row r="9948">
      <c r="K9948" s="4" t="str">
        <f>IFERROR(__xludf.DUMMYFUNCTION("""COMPUTED_VALUE"""),"PIZZARIA CAPRICHO")</f>
        <v>PIZZARIA CAPRICHO</v>
      </c>
      <c r="L9948" s="32">
        <f>IFERROR(__xludf.DUMMYFUNCTION("""COMPUTED_VALUE"""),1.0)</f>
        <v>1</v>
      </c>
      <c r="M9948" s="4" t="str">
        <f>IFERROR(__xludf.DUMMYFUNCTION("""COMPUTED_VALUE"""),"Mp Multipedidos")</f>
        <v>Mp Multipedidos</v>
      </c>
      <c r="N9948" s="33">
        <f>IFERROR(__xludf.DUMMYFUNCTION("""COMPUTED_VALUE"""),1.0)</f>
        <v>1</v>
      </c>
      <c r="O9948" s="4" t="str">
        <f>IFERROR(__xludf.DUMMYFUNCTION("""COMPUTED_VALUE"""),"Mp Multipedidos")</f>
        <v>Mp Multipedidos</v>
      </c>
      <c r="P9948" s="33">
        <f>IFERROR(__xludf.DUMMYFUNCTION("""COMPUTED_VALUE"""),1.0)</f>
        <v>1</v>
      </c>
      <c r="Q9948" s="4" t="str">
        <f>IFERROR(__xludf.DUMMYFUNCTION("""COMPUTED_VALUE"""),"Mp Multipedidos")</f>
        <v>Mp Multipedidos</v>
      </c>
      <c r="R9948" s="33">
        <f>IFERROR(__xludf.DUMMYFUNCTION("""COMPUTED_VALUE"""),1.0)</f>
        <v>1</v>
      </c>
      <c r="S9948" s="4" t="str">
        <f>IFERROR(__xludf.DUMMYFUNCTION("""COMPUTED_VALUE"""),"Mp Multipedidos")</f>
        <v>Mp Multipedidos</v>
      </c>
      <c r="T9948" s="33">
        <f>IFERROR(__xludf.DUMMYFUNCTION("""COMPUTED_VALUE"""),1.0)</f>
        <v>1</v>
      </c>
      <c r="U9948" s="4" t="str">
        <f>IFERROR(__xludf.DUMMYFUNCTION("""COMPUTED_VALUE"""),"Mp Multipedidos")</f>
        <v>Mp Multipedidos</v>
      </c>
      <c r="V9948" s="33">
        <f>IFERROR(__xludf.DUMMYFUNCTION("""COMPUTED_VALUE"""),1.0)</f>
        <v>1</v>
      </c>
      <c r="W9948" s="4" t="str">
        <f>IFERROR(__xludf.DUMMYFUNCTION("""COMPUTED_VALUE"""),"Mp Multipedidos")</f>
        <v>Mp Multipedidos</v>
      </c>
      <c r="X9948" s="33">
        <f>IFERROR(__xludf.DUMMYFUNCTION("""COMPUTED_VALUE"""),1.0)</f>
        <v>1</v>
      </c>
    </row>
    <row r="9949">
      <c r="K9949" s="4" t="str">
        <f>IFERROR(__xludf.DUMMYFUNCTION("""COMPUTED_VALUE"""),"P2DELIVERY LANCHE")</f>
        <v>P2DELIVERY LANCHE</v>
      </c>
      <c r="L9949" s="32">
        <f>IFERROR(__xludf.DUMMYFUNCTION("""COMPUTED_VALUE"""),1.0)</f>
        <v>1</v>
      </c>
      <c r="M9949" s="4" t="str">
        <f>IFERROR(__xludf.DUMMYFUNCTION("""COMPUTED_VALUE"""),"Instadelivery")</f>
        <v>Instadelivery</v>
      </c>
      <c r="N9949" s="33">
        <f>IFERROR(__xludf.DUMMYFUNCTION("""COMPUTED_VALUE"""),1.0)</f>
        <v>1</v>
      </c>
      <c r="O9949" s="4" t="str">
        <f>IFERROR(__xludf.DUMMYFUNCTION("""COMPUTED_VALUE"""),"Instadelivery")</f>
        <v>Instadelivery</v>
      </c>
      <c r="P9949" s="33">
        <f>IFERROR(__xludf.DUMMYFUNCTION("""COMPUTED_VALUE"""),1.0)</f>
        <v>1</v>
      </c>
      <c r="Q9949" s="4" t="str">
        <f>IFERROR(__xludf.DUMMYFUNCTION("""COMPUTED_VALUE"""),"Instadelivery")</f>
        <v>Instadelivery</v>
      </c>
      <c r="R9949" s="33">
        <f>IFERROR(__xludf.DUMMYFUNCTION("""COMPUTED_VALUE"""),1.0)</f>
        <v>1</v>
      </c>
      <c r="S9949" s="4" t="str">
        <f>IFERROR(__xludf.DUMMYFUNCTION("""COMPUTED_VALUE"""),"Instadelivery")</f>
        <v>Instadelivery</v>
      </c>
      <c r="T9949" s="33">
        <f>IFERROR(__xludf.DUMMYFUNCTION("""COMPUTED_VALUE"""),1.0)</f>
        <v>1</v>
      </c>
      <c r="U9949" s="4" t="str">
        <f>IFERROR(__xludf.DUMMYFUNCTION("""COMPUTED_VALUE"""),"Instadelivery")</f>
        <v>Instadelivery</v>
      </c>
      <c r="V9949" s="33">
        <f>IFERROR(__xludf.DUMMYFUNCTION("""COMPUTED_VALUE"""),1.0)</f>
        <v>1</v>
      </c>
      <c r="W9949" s="4" t="str">
        <f>IFERROR(__xludf.DUMMYFUNCTION("""COMPUTED_VALUE"""),"Instadelivery")</f>
        <v>Instadelivery</v>
      </c>
      <c r="X9949" s="33">
        <f>IFERROR(__xludf.DUMMYFUNCTION("""COMPUTED_VALUE"""),1.0)</f>
        <v>1</v>
      </c>
    </row>
    <row r="9950">
      <c r="K9950" s="4" t="str">
        <f>IFERROR(__xludf.DUMMYFUNCTION("""COMPUTED_VALUE"""),"MARMITARIA TOCA DOS ASSADOS")</f>
        <v>MARMITARIA TOCA DOS ASSADOS</v>
      </c>
      <c r="L9950" s="32">
        <f>IFERROR(__xludf.DUMMYFUNCTION("""COMPUTED_VALUE"""),1.0)</f>
        <v>1</v>
      </c>
      <c r="M9950" s="4" t="str">
        <f>IFERROR(__xludf.DUMMYFUNCTION("""COMPUTED_VALUE"""),"null")</f>
        <v>null</v>
      </c>
      <c r="N9950" s="33">
        <f>IFERROR(__xludf.DUMMYFUNCTION("""COMPUTED_VALUE"""),1.0)</f>
        <v>1</v>
      </c>
      <c r="O9950" s="4" t="str">
        <f>IFERROR(__xludf.DUMMYFUNCTION("""COMPUTED_VALUE"""),"Anota Ai Solucoes Digitais S/a")</f>
        <v>Anota Ai Solucoes Digitais S/a</v>
      </c>
      <c r="P9950" s="33">
        <f>IFERROR(__xludf.DUMMYFUNCTION("""COMPUTED_VALUE"""),1.0)</f>
        <v>1</v>
      </c>
      <c r="Q9950" s="4" t="str">
        <f>IFERROR(__xludf.DUMMYFUNCTION("""COMPUTED_VALUE"""),"null")</f>
        <v>null</v>
      </c>
      <c r="R9950" s="33">
        <f>IFERROR(__xludf.DUMMYFUNCTION("""COMPUTED_VALUE"""),1.0)</f>
        <v>1</v>
      </c>
      <c r="S9950" s="4" t="str">
        <f>IFERROR(__xludf.DUMMYFUNCTION("""COMPUTED_VALUE"""),"New Analysis Notificacoes Empresariais Ltda")</f>
        <v>New Analysis Notificacoes Empresariais Ltda</v>
      </c>
      <c r="T9950" s="33">
        <f>IFERROR(__xludf.DUMMYFUNCTION("""COMPUTED_VALUE"""),1.0)</f>
        <v>1</v>
      </c>
      <c r="U9950" s="4" t="str">
        <f>IFERROR(__xludf.DUMMYFUNCTION("""COMPUTED_VALUE"""),"New Analysis Notificacoes Empresariais Ltda")</f>
        <v>New Analysis Notificacoes Empresariais Ltda</v>
      </c>
      <c r="V9950" s="33">
        <f>IFERROR(__xludf.DUMMYFUNCTION("""COMPUTED_VALUE"""),1.0)</f>
        <v>1</v>
      </c>
      <c r="W9950" s="4" t="str">
        <f>IFERROR(__xludf.DUMMYFUNCTION("""COMPUTED_VALUE"""),"New Analysis Notificacoes Empresariais Ltda")</f>
        <v>New Analysis Notificacoes Empresariais Ltda</v>
      </c>
      <c r="X9950" s="33">
        <f>IFERROR(__xludf.DUMMYFUNCTION("""COMPUTED_VALUE"""),1.0)</f>
        <v>1</v>
      </c>
    </row>
    <row r="9951">
      <c r="K9951" s="4" t="str">
        <f>IFERROR(__xludf.DUMMYFUNCTION("""COMPUTED_VALUE"""),"LA KASA PIZZARIA - SANTOS")</f>
        <v>LA KASA PIZZARIA - SANTOS</v>
      </c>
      <c r="L9951" s="32">
        <f>IFERROR(__xludf.DUMMYFUNCTION("""COMPUTED_VALUE"""),1.0)</f>
        <v>1</v>
      </c>
      <c r="M9951" s="4" t="str">
        <f>IFERROR(__xludf.DUMMYFUNCTION("""COMPUTED_VALUE"""),"Anota Ai Solucoes Digitais S/a")</f>
        <v>Anota Ai Solucoes Digitais S/a</v>
      </c>
      <c r="N9951" s="33">
        <f>IFERROR(__xludf.DUMMYFUNCTION("""COMPUTED_VALUE"""),1.0)</f>
        <v>1</v>
      </c>
      <c r="O9951" s="4" t="str">
        <f>IFERROR(__xludf.DUMMYFUNCTION("""COMPUTED_VALUE"""),"null")</f>
        <v>null</v>
      </c>
      <c r="P9951" s="33">
        <f>IFERROR(__xludf.DUMMYFUNCTION("""COMPUTED_VALUE"""),1.0)</f>
        <v>1</v>
      </c>
      <c r="Q9951" s="4" t="str">
        <f>IFERROR(__xludf.DUMMYFUNCTION("""COMPUTED_VALUE"""),"Anota Ai Solucoes Digitais S/a")</f>
        <v>Anota Ai Solucoes Digitais S/a</v>
      </c>
      <c r="R9951" s="33">
        <f>IFERROR(__xludf.DUMMYFUNCTION("""COMPUTED_VALUE"""),1.0)</f>
        <v>1</v>
      </c>
      <c r="S9951" s="4" t="str">
        <f>IFERROR(__xludf.DUMMYFUNCTION("""COMPUTED_VALUE"""),"Anota Ai Solucoes Digitais S/a")</f>
        <v>Anota Ai Solucoes Digitais S/a</v>
      </c>
      <c r="T9951" s="33">
        <f>IFERROR(__xludf.DUMMYFUNCTION("""COMPUTED_VALUE"""),1.0)</f>
        <v>1</v>
      </c>
      <c r="U9951" s="4" t="str">
        <f>IFERROR(__xludf.DUMMYFUNCTION("""COMPUTED_VALUE"""),"Anota Ai Solucoes Digitais S/a")</f>
        <v>Anota Ai Solucoes Digitais S/a</v>
      </c>
      <c r="V9951" s="33">
        <f>IFERROR(__xludf.DUMMYFUNCTION("""COMPUTED_VALUE"""),1.0)</f>
        <v>1</v>
      </c>
      <c r="W9951" s="4" t="str">
        <f>IFERROR(__xludf.DUMMYFUNCTION("""COMPUTED_VALUE"""),"Saipos Serviços De Software")</f>
        <v>Saipos Serviços De Software</v>
      </c>
      <c r="X9951" s="33">
        <f>IFERROR(__xludf.DUMMYFUNCTION("""COMPUTED_VALUE"""),1.0)</f>
        <v>1</v>
      </c>
    </row>
    <row r="9952">
      <c r="K9952" s="4" t="str">
        <f>IFERROR(__xludf.DUMMYFUNCTION("""COMPUTED_VALUE"""),"CONVENIENCIA 163")</f>
        <v>CONVENIENCIA 163</v>
      </c>
      <c r="L9952" s="32">
        <f>IFERROR(__xludf.DUMMYFUNCTION("""COMPUTED_VALUE"""),1.0)</f>
        <v>1</v>
      </c>
      <c r="M9952" s="4" t="str">
        <f>IFERROR(__xludf.DUMMYFUNCTION("""COMPUTED_VALUE"""),"Vedas Automação Comercial")</f>
        <v>Vedas Automação Comercial</v>
      </c>
      <c r="N9952" s="33">
        <f>IFERROR(__xludf.DUMMYFUNCTION("""COMPUTED_VALUE"""),1.0)</f>
        <v>1</v>
      </c>
      <c r="O9952" s="4" t="str">
        <f>IFERROR(__xludf.DUMMYFUNCTION("""COMPUTED_VALUE"""),"Vedas Automação Comercial")</f>
        <v>Vedas Automação Comercial</v>
      </c>
      <c r="P9952" s="33">
        <f>IFERROR(__xludf.DUMMYFUNCTION("""COMPUTED_VALUE"""),1.0)</f>
        <v>1</v>
      </c>
      <c r="Q9952" s="4" t="str">
        <f>IFERROR(__xludf.DUMMYFUNCTION("""COMPUTED_VALUE"""),"Vedas Automação Comercial")</f>
        <v>Vedas Automação Comercial</v>
      </c>
      <c r="R9952" s="33">
        <f>IFERROR(__xludf.DUMMYFUNCTION("""COMPUTED_VALUE"""),1.0)</f>
        <v>1</v>
      </c>
      <c r="S9952" s="4" t="str">
        <f>IFERROR(__xludf.DUMMYFUNCTION("""COMPUTED_VALUE"""),"null")</f>
        <v>null</v>
      </c>
      <c r="T9952" s="33">
        <f>IFERROR(__xludf.DUMMYFUNCTION("""COMPUTED_VALUE"""),1.0)</f>
        <v>1</v>
      </c>
      <c r="U9952" s="4" t="str">
        <f>IFERROR(__xludf.DUMMYFUNCTION("""COMPUTED_VALUE"""),"Vedas Automação Comercial")</f>
        <v>Vedas Automação Comercial</v>
      </c>
      <c r="V9952" s="33">
        <f>IFERROR(__xludf.DUMMYFUNCTION("""COMPUTED_VALUE"""),1.0)</f>
        <v>1</v>
      </c>
      <c r="W9952" s="4" t="str">
        <f>IFERROR(__xludf.DUMMYFUNCTION("""COMPUTED_VALUE"""),"Vedas Automação Comercial")</f>
        <v>Vedas Automação Comercial</v>
      </c>
      <c r="X9952" s="33">
        <f>IFERROR(__xludf.DUMMYFUNCTION("""COMPUTED_VALUE"""),1.0)</f>
        <v>1</v>
      </c>
    </row>
    <row r="9953">
      <c r="K9953" s="4" t="str">
        <f>IFERROR(__xludf.DUMMYFUNCTION("""COMPUTED_VALUE"""),"OLIVIE PIZZARIA")</f>
        <v>OLIVIE PIZZARIA</v>
      </c>
      <c r="L9953" s="32">
        <f>IFERROR(__xludf.DUMMYFUNCTION("""COMPUTED_VALUE"""),1.0)</f>
        <v>1</v>
      </c>
      <c r="M9953" s="4" t="str">
        <f>IFERROR(__xludf.DUMMYFUNCTION("""COMPUTED_VALUE"""),"null")</f>
        <v>null</v>
      </c>
      <c r="N9953" s="33">
        <f>IFERROR(__xludf.DUMMYFUNCTION("""COMPUTED_VALUE"""),1.0)</f>
        <v>1</v>
      </c>
      <c r="O9953" s="4" t="str">
        <f>IFERROR(__xludf.DUMMYFUNCTION("""COMPUTED_VALUE"""),"Anota Ai Solucoes Digitais S/a")</f>
        <v>Anota Ai Solucoes Digitais S/a</v>
      </c>
      <c r="P9953" s="33">
        <f>IFERROR(__xludf.DUMMYFUNCTION("""COMPUTED_VALUE"""),1.0)</f>
        <v>1</v>
      </c>
      <c r="Q9953" s="4" t="str">
        <f>IFERROR(__xludf.DUMMYFUNCTION("""COMPUTED_VALUE"""),"Anota Ai Solucoes Digitais S/a")</f>
        <v>Anota Ai Solucoes Digitais S/a</v>
      </c>
      <c r="R9953" s="33">
        <f>IFERROR(__xludf.DUMMYFUNCTION("""COMPUTED_VALUE"""),1.0)</f>
        <v>1</v>
      </c>
      <c r="S9953" s="4" t="str">
        <f>IFERROR(__xludf.DUMMYFUNCTION("""COMPUTED_VALUE"""),"Anota Ai Solucoes Digitais S/a")</f>
        <v>Anota Ai Solucoes Digitais S/a</v>
      </c>
      <c r="T9953" s="33">
        <f>IFERROR(__xludf.DUMMYFUNCTION("""COMPUTED_VALUE"""),1.0)</f>
        <v>1</v>
      </c>
      <c r="U9953" s="4" t="str">
        <f>IFERROR(__xludf.DUMMYFUNCTION("""COMPUTED_VALUE"""),"Anota Ai Solucoes Digitais S/a")</f>
        <v>Anota Ai Solucoes Digitais S/a</v>
      </c>
      <c r="V9953" s="33">
        <f>IFERROR(__xludf.DUMMYFUNCTION("""COMPUTED_VALUE"""),1.0)</f>
        <v>1</v>
      </c>
      <c r="W9953" s="4" t="str">
        <f>IFERROR(__xludf.DUMMYFUNCTION("""COMPUTED_VALUE"""),"Anota Ai Solucoes Digitais S/a")</f>
        <v>Anota Ai Solucoes Digitais S/a</v>
      </c>
      <c r="X9953" s="33">
        <f>IFERROR(__xludf.DUMMYFUNCTION("""COMPUTED_VALUE"""),1.0)</f>
        <v>1</v>
      </c>
    </row>
    <row r="9954">
      <c r="K9954" s="4" t="str">
        <f>IFERROR(__xludf.DUMMYFUNCTION("""COMPUTED_VALUE"""),"ACAI-GELLA GUELA AREIA BRANCA")</f>
        <v>ACAI-GELLA GUELA AREIA BRANCA</v>
      </c>
      <c r="L9954" s="32">
        <f>IFERROR(__xludf.DUMMYFUNCTION("""COMPUTED_VALUE"""),1.0)</f>
        <v>1</v>
      </c>
      <c r="M9954" s="4" t="str">
        <f>IFERROR(__xludf.DUMMYFUNCTION("""COMPUTED_VALUE"""),"Mp Multipedidos")</f>
        <v>Mp Multipedidos</v>
      </c>
      <c r="N9954" s="33">
        <f>IFERROR(__xludf.DUMMYFUNCTION("""COMPUTED_VALUE"""),1.0)</f>
        <v>1</v>
      </c>
      <c r="O9954" s="4" t="str">
        <f>IFERROR(__xludf.DUMMYFUNCTION("""COMPUTED_VALUE"""),"null")</f>
        <v>null</v>
      </c>
      <c r="P9954" s="33">
        <f>IFERROR(__xludf.DUMMYFUNCTION("""COMPUTED_VALUE"""),1.0)</f>
        <v>1</v>
      </c>
      <c r="Q9954" s="4" t="str">
        <f>IFERROR(__xludf.DUMMYFUNCTION("""COMPUTED_VALUE"""),"Mp Multipedidos")</f>
        <v>Mp Multipedidos</v>
      </c>
      <c r="R9954" s="33">
        <f>IFERROR(__xludf.DUMMYFUNCTION("""COMPUTED_VALUE"""),1.0)</f>
        <v>1</v>
      </c>
      <c r="S9954" s="4" t="str">
        <f>IFERROR(__xludf.DUMMYFUNCTION("""COMPUTED_VALUE"""),"Mp Multipedidos")</f>
        <v>Mp Multipedidos</v>
      </c>
      <c r="T9954" s="33">
        <f>IFERROR(__xludf.DUMMYFUNCTION("""COMPUTED_VALUE"""),1.0)</f>
        <v>1</v>
      </c>
      <c r="U9954" s="4" t="str">
        <f>IFERROR(__xludf.DUMMYFUNCTION("""COMPUTED_VALUE"""),"Mp Multipedidos")</f>
        <v>Mp Multipedidos</v>
      </c>
      <c r="V9954" s="33">
        <f>IFERROR(__xludf.DUMMYFUNCTION("""COMPUTED_VALUE"""),1.0)</f>
        <v>1</v>
      </c>
      <c r="W9954" s="4" t="str">
        <f>IFERROR(__xludf.DUMMYFUNCTION("""COMPUTED_VALUE"""),"Mp Multipedidos")</f>
        <v>Mp Multipedidos</v>
      </c>
      <c r="X9954" s="33">
        <f>IFERROR(__xludf.DUMMYFUNCTION("""COMPUTED_VALUE"""),1.0)</f>
        <v>1</v>
      </c>
    </row>
    <row r="9955">
      <c r="K9955" s="4" t="str">
        <f>IFERROR(__xludf.DUMMYFUNCTION("""COMPUTED_VALUE"""),"PIZZARIA BUARQUE - ENTREGA RAPIDA")</f>
        <v>PIZZARIA BUARQUE - ENTREGA RAPIDA</v>
      </c>
      <c r="L9955" s="32">
        <f>IFERROR(__xludf.DUMMYFUNCTION("""COMPUTED_VALUE"""),1.0)</f>
        <v>1</v>
      </c>
      <c r="M9955" s="4" t="str">
        <f>IFERROR(__xludf.DUMMYFUNCTION("""COMPUTED_VALUE"""),"Saipos Serviços De Software")</f>
        <v>Saipos Serviços De Software</v>
      </c>
      <c r="N9955" s="33">
        <f>IFERROR(__xludf.DUMMYFUNCTION("""COMPUTED_VALUE"""),1.0)</f>
        <v>1</v>
      </c>
      <c r="O9955" s="4" t="str">
        <f>IFERROR(__xludf.DUMMYFUNCTION("""COMPUTED_VALUE"""),"Saipos Serviços De Software")</f>
        <v>Saipos Serviços De Software</v>
      </c>
      <c r="P9955" s="33">
        <f>IFERROR(__xludf.DUMMYFUNCTION("""COMPUTED_VALUE"""),1.0)</f>
        <v>1</v>
      </c>
      <c r="Q9955" s="4" t="str">
        <f>IFERROR(__xludf.DUMMYFUNCTION("""COMPUTED_VALUE"""),"Saipos Serviços De Software")</f>
        <v>Saipos Serviços De Software</v>
      </c>
      <c r="R9955" s="33">
        <f>IFERROR(__xludf.DUMMYFUNCTION("""COMPUTED_VALUE"""),1.0)</f>
        <v>1</v>
      </c>
      <c r="S9955" s="4" t="str">
        <f>IFERROR(__xludf.DUMMYFUNCTION("""COMPUTED_VALUE"""),"Saipos Serviços De Software")</f>
        <v>Saipos Serviços De Software</v>
      </c>
      <c r="T9955" s="33">
        <f>IFERROR(__xludf.DUMMYFUNCTION("""COMPUTED_VALUE"""),1.0)</f>
        <v>1</v>
      </c>
      <c r="U9955" s="4" t="str">
        <f>IFERROR(__xludf.DUMMYFUNCTION("""COMPUTED_VALUE"""),"Saipos Serviços De Software")</f>
        <v>Saipos Serviços De Software</v>
      </c>
      <c r="V9955" s="33">
        <f>IFERROR(__xludf.DUMMYFUNCTION("""COMPUTED_VALUE"""),1.0)</f>
        <v>1</v>
      </c>
      <c r="W9955" s="4" t="str">
        <f>IFERROR(__xludf.DUMMYFUNCTION("""COMPUTED_VALUE"""),"Saipos Serviços De Software")</f>
        <v>Saipos Serviços De Software</v>
      </c>
      <c r="X9955" s="33">
        <f>IFERROR(__xludf.DUMMYFUNCTION("""COMPUTED_VALUE"""),1.0)</f>
        <v>1</v>
      </c>
    </row>
    <row r="9956">
      <c r="K9956" s="4" t="str">
        <f>IFERROR(__xludf.DUMMYFUNCTION("""COMPUTED_VALUE"""),"CAFETERIA E LANCHONETE CANTINA DA CASA")</f>
        <v>CAFETERIA E LANCHONETE CANTINA DA CASA</v>
      </c>
      <c r="L9956" s="32">
        <f>IFERROR(__xludf.DUMMYFUNCTION("""COMPUTED_VALUE"""),1.0)</f>
        <v>1</v>
      </c>
      <c r="M9956" s="4" t="str">
        <f>IFERROR(__xludf.DUMMYFUNCTION("""COMPUTED_VALUE"""),"Softcom Tecnologia")</f>
        <v>Softcom Tecnologia</v>
      </c>
      <c r="N9956" s="33">
        <f>IFERROR(__xludf.DUMMYFUNCTION("""COMPUTED_VALUE"""),1.0)</f>
        <v>1</v>
      </c>
      <c r="O9956" s="4" t="str">
        <f>IFERROR(__xludf.DUMMYFUNCTION("""COMPUTED_VALUE"""),"Softcom Tecnologia")</f>
        <v>Softcom Tecnologia</v>
      </c>
      <c r="P9956" s="33">
        <f>IFERROR(__xludf.DUMMYFUNCTION("""COMPUTED_VALUE"""),1.0)</f>
        <v>1</v>
      </c>
      <c r="Q9956" s="4" t="str">
        <f>IFERROR(__xludf.DUMMYFUNCTION("""COMPUTED_VALUE"""),"Softcom Tecnologia")</f>
        <v>Softcom Tecnologia</v>
      </c>
      <c r="R9956" s="33">
        <f>IFERROR(__xludf.DUMMYFUNCTION("""COMPUTED_VALUE"""),1.0)</f>
        <v>1</v>
      </c>
      <c r="S9956" s="4" t="str">
        <f>IFERROR(__xludf.DUMMYFUNCTION("""COMPUTED_VALUE"""),"Softcom Tecnologia")</f>
        <v>Softcom Tecnologia</v>
      </c>
      <c r="T9956" s="33">
        <f>IFERROR(__xludf.DUMMYFUNCTION("""COMPUTED_VALUE"""),1.0)</f>
        <v>1</v>
      </c>
      <c r="U9956" s="4" t="str">
        <f>IFERROR(__xludf.DUMMYFUNCTION("""COMPUTED_VALUE"""),"Softcom Tecnologia")</f>
        <v>Softcom Tecnologia</v>
      </c>
      <c r="V9956" s="33">
        <f>IFERROR(__xludf.DUMMYFUNCTION("""COMPUTED_VALUE"""),1.0)</f>
        <v>1</v>
      </c>
      <c r="W9956" s="4" t="str">
        <f>IFERROR(__xludf.DUMMYFUNCTION("""COMPUTED_VALUE"""),"Linear Sistemas Ltda")</f>
        <v>Linear Sistemas Ltda</v>
      </c>
      <c r="X9956" s="33">
        <f>IFERROR(__xludf.DUMMYFUNCTION("""COMPUTED_VALUE"""),1.0)</f>
        <v>1</v>
      </c>
    </row>
    <row r="9957">
      <c r="K9957" s="4" t="str">
        <f>IFERROR(__xludf.DUMMYFUNCTION("""COMPUTED_VALUE"""),"CANTINHO KERO ACAI")</f>
        <v>CANTINHO KERO ACAI</v>
      </c>
      <c r="L9957" s="32">
        <f>IFERROR(__xludf.DUMMYFUNCTION("""COMPUTED_VALUE"""),1.0)</f>
        <v>1</v>
      </c>
      <c r="M9957" s="4" t="str">
        <f>IFERROR(__xludf.DUMMYFUNCTION("""COMPUTED_VALUE"""),"Saipos Serviços De Software")</f>
        <v>Saipos Serviços De Software</v>
      </c>
      <c r="N9957" s="33">
        <f>IFERROR(__xludf.DUMMYFUNCTION("""COMPUTED_VALUE"""),1.0)</f>
        <v>1</v>
      </c>
      <c r="O9957" s="4" t="str">
        <f>IFERROR(__xludf.DUMMYFUNCTION("""COMPUTED_VALUE"""),"Saipos Serviços De Software")</f>
        <v>Saipos Serviços De Software</v>
      </c>
      <c r="P9957" s="33">
        <f>IFERROR(__xludf.DUMMYFUNCTION("""COMPUTED_VALUE"""),1.0)</f>
        <v>1</v>
      </c>
      <c r="Q9957" s="4" t="str">
        <f>IFERROR(__xludf.DUMMYFUNCTION("""COMPUTED_VALUE"""),"Saipos Serviços De Software")</f>
        <v>Saipos Serviços De Software</v>
      </c>
      <c r="R9957" s="33">
        <f>IFERROR(__xludf.DUMMYFUNCTION("""COMPUTED_VALUE"""),1.0)</f>
        <v>1</v>
      </c>
      <c r="S9957" s="4" t="str">
        <f>IFERROR(__xludf.DUMMYFUNCTION("""COMPUTED_VALUE"""),"Saipos Serviços De Software")</f>
        <v>Saipos Serviços De Software</v>
      </c>
      <c r="T9957" s="33">
        <f>IFERROR(__xludf.DUMMYFUNCTION("""COMPUTED_VALUE"""),1.0)</f>
        <v>1</v>
      </c>
      <c r="U9957" s="4" t="str">
        <f>IFERROR(__xludf.DUMMYFUNCTION("""COMPUTED_VALUE"""),"Saipos Serviços De Software")</f>
        <v>Saipos Serviços De Software</v>
      </c>
      <c r="V9957" s="33">
        <f>IFERROR(__xludf.DUMMYFUNCTION("""COMPUTED_VALUE"""),1.0)</f>
        <v>1</v>
      </c>
      <c r="W9957" s="4" t="str">
        <f>IFERROR(__xludf.DUMMYFUNCTION("""COMPUTED_VALUE"""),"Saipos Serviços De Software")</f>
        <v>Saipos Serviços De Software</v>
      </c>
      <c r="X9957" s="33">
        <f>IFERROR(__xludf.DUMMYFUNCTION("""COMPUTED_VALUE"""),1.0)</f>
        <v>1</v>
      </c>
    </row>
    <row r="9958">
      <c r="K9958" s="4" t="str">
        <f>IFERROR(__xludf.DUMMYFUNCTION("""COMPUTED_VALUE"""),"CHEF BURGER - HAMBURGUERIA ARTESANAL - BENEDITO BENTES")</f>
        <v>CHEF BURGER - HAMBURGUERIA ARTESANAL - BENEDITO BENTES</v>
      </c>
      <c r="L9958" s="32">
        <f>IFERROR(__xludf.DUMMYFUNCTION("""COMPUTED_VALUE"""),1.0)</f>
        <v>1</v>
      </c>
      <c r="M9958" s="4" t="str">
        <f>IFERROR(__xludf.DUMMYFUNCTION("""COMPUTED_VALUE"""),"Cardápio Web")</f>
        <v>Cardápio Web</v>
      </c>
      <c r="N9958" s="33">
        <f>IFERROR(__xludf.DUMMYFUNCTION("""COMPUTED_VALUE"""),1.0)</f>
        <v>1</v>
      </c>
      <c r="O9958" s="4" t="str">
        <f>IFERROR(__xludf.DUMMYFUNCTION("""COMPUTED_VALUE"""),"Cardápio Web")</f>
        <v>Cardápio Web</v>
      </c>
      <c r="P9958" s="33">
        <f>IFERROR(__xludf.DUMMYFUNCTION("""COMPUTED_VALUE"""),1.0)</f>
        <v>1</v>
      </c>
      <c r="Q9958" s="4" t="str">
        <f>IFERROR(__xludf.DUMMYFUNCTION("""COMPUTED_VALUE"""),"Cardápio Web")</f>
        <v>Cardápio Web</v>
      </c>
      <c r="R9958" s="33">
        <f>IFERROR(__xludf.DUMMYFUNCTION("""COMPUTED_VALUE"""),1.0)</f>
        <v>1</v>
      </c>
      <c r="S9958" s="4" t="str">
        <f>IFERROR(__xludf.DUMMYFUNCTION("""COMPUTED_VALUE"""),"Cardápio Web")</f>
        <v>Cardápio Web</v>
      </c>
      <c r="T9958" s="33">
        <f>IFERROR(__xludf.DUMMYFUNCTION("""COMPUTED_VALUE"""),1.0)</f>
        <v>1</v>
      </c>
      <c r="U9958" s="4" t="str">
        <f>IFERROR(__xludf.DUMMYFUNCTION("""COMPUTED_VALUE"""),"Cardápio Web")</f>
        <v>Cardápio Web</v>
      </c>
      <c r="V9958" s="33">
        <f>IFERROR(__xludf.DUMMYFUNCTION("""COMPUTED_VALUE"""),1.0)</f>
        <v>1</v>
      </c>
      <c r="W9958" s="4" t="str">
        <f>IFERROR(__xludf.DUMMYFUNCTION("""COMPUTED_VALUE"""),"Cardápio Web")</f>
        <v>Cardápio Web</v>
      </c>
      <c r="X9958" s="33">
        <f>IFERROR(__xludf.DUMMYFUNCTION("""COMPUTED_VALUE"""),1.0)</f>
        <v>1</v>
      </c>
    </row>
    <row r="9959">
      <c r="K9959" s="4" t="str">
        <f>IFERROR(__xludf.DUMMYFUNCTION("""COMPUTED_VALUE"""),"LADY FRANGO PORCAO CAMARAO PEIXE MARMITA")</f>
        <v>LADY FRANGO PORCAO CAMARAO PEIXE MARMITA</v>
      </c>
      <c r="L9959" s="32">
        <f>IFERROR(__xludf.DUMMYFUNCTION("""COMPUTED_VALUE"""),1.0)</f>
        <v>1</v>
      </c>
      <c r="M9959" s="4" t="str">
        <f>IFERROR(__xludf.DUMMYFUNCTION("""COMPUTED_VALUE"""),"null")</f>
        <v>null</v>
      </c>
      <c r="N9959" s="33">
        <f>IFERROR(__xludf.DUMMYFUNCTION("""COMPUTED_VALUE"""),1.0)</f>
        <v>1</v>
      </c>
      <c r="O9959" s="4" t="str">
        <f>IFERROR(__xludf.DUMMYFUNCTION("""COMPUTED_VALUE"""),"null")</f>
        <v>null</v>
      </c>
      <c r="P9959" s="33">
        <f>IFERROR(__xludf.DUMMYFUNCTION("""COMPUTED_VALUE"""),1.0)</f>
        <v>1</v>
      </c>
      <c r="Q9959" s="4" t="str">
        <f>IFERROR(__xludf.DUMMYFUNCTION("""COMPUTED_VALUE"""),"null")</f>
        <v>null</v>
      </c>
      <c r="R9959" s="33">
        <f>IFERROR(__xludf.DUMMYFUNCTION("""COMPUTED_VALUE"""),1.0)</f>
        <v>1</v>
      </c>
      <c r="S9959" s="4" t="str">
        <f>IFERROR(__xludf.DUMMYFUNCTION("""COMPUTED_VALUE"""),"null")</f>
        <v>null</v>
      </c>
      <c r="T9959" s="33">
        <f>IFERROR(__xludf.DUMMYFUNCTION("""COMPUTED_VALUE"""),1.0)</f>
        <v>1</v>
      </c>
      <c r="U9959" s="4" t="str">
        <f>IFERROR(__xludf.DUMMYFUNCTION("""COMPUTED_VALUE"""),"null")</f>
        <v>null</v>
      </c>
      <c r="V9959" s="33">
        <f>IFERROR(__xludf.DUMMYFUNCTION("""COMPUTED_VALUE"""),1.0)</f>
        <v>1</v>
      </c>
      <c r="W9959" s="4" t="str">
        <f>IFERROR(__xludf.DUMMYFUNCTION("""COMPUTED_VALUE"""),"Yooga")</f>
        <v>Yooga</v>
      </c>
      <c r="X9959" s="33">
        <f>IFERROR(__xludf.DUMMYFUNCTION("""COMPUTED_VALUE"""),1.0)</f>
        <v>1</v>
      </c>
    </row>
    <row r="9960">
      <c r="K9960" s="4" t="str">
        <f>IFERROR(__xludf.DUMMYFUNCTION("""COMPUTED_VALUE"""),"DOCE CAROLINA COOKIES")</f>
        <v>DOCE CAROLINA COOKIES</v>
      </c>
      <c r="L9960" s="32">
        <f>IFERROR(__xludf.DUMMYFUNCTION("""COMPUTED_VALUE"""),1.0)</f>
        <v>1</v>
      </c>
      <c r="M9960" s="4" t="str">
        <f>IFERROR(__xludf.DUMMYFUNCTION("""COMPUTED_VALUE"""),"Cardápio Web")</f>
        <v>Cardápio Web</v>
      </c>
      <c r="N9960" s="33">
        <f>IFERROR(__xludf.DUMMYFUNCTION("""COMPUTED_VALUE"""),1.0)</f>
        <v>1</v>
      </c>
      <c r="O9960" s="4" t="str">
        <f>IFERROR(__xludf.DUMMYFUNCTION("""COMPUTED_VALUE"""),"Cardápio Web")</f>
        <v>Cardápio Web</v>
      </c>
      <c r="P9960" s="33">
        <f>IFERROR(__xludf.DUMMYFUNCTION("""COMPUTED_VALUE"""),1.0)</f>
        <v>1</v>
      </c>
      <c r="Q9960" s="4" t="str">
        <f>IFERROR(__xludf.DUMMYFUNCTION("""COMPUTED_VALUE"""),"Cardápio Web")</f>
        <v>Cardápio Web</v>
      </c>
      <c r="R9960" s="33">
        <f>IFERROR(__xludf.DUMMYFUNCTION("""COMPUTED_VALUE"""),1.0)</f>
        <v>1</v>
      </c>
      <c r="S9960" s="4" t="str">
        <f>IFERROR(__xludf.DUMMYFUNCTION("""COMPUTED_VALUE"""),"Cardápio Web")</f>
        <v>Cardápio Web</v>
      </c>
      <c r="T9960" s="33">
        <f>IFERROR(__xludf.DUMMYFUNCTION("""COMPUTED_VALUE"""),1.0)</f>
        <v>1</v>
      </c>
      <c r="U9960" s="4" t="str">
        <f>IFERROR(__xludf.DUMMYFUNCTION("""COMPUTED_VALUE"""),"Cardápio Web")</f>
        <v>Cardápio Web</v>
      </c>
      <c r="V9960" s="33">
        <f>IFERROR(__xludf.DUMMYFUNCTION("""COMPUTED_VALUE"""),1.0)</f>
        <v>1</v>
      </c>
      <c r="W9960" s="4" t="str">
        <f>IFERROR(__xludf.DUMMYFUNCTION("""COMPUTED_VALUE"""),"Cardápio Web")</f>
        <v>Cardápio Web</v>
      </c>
      <c r="X9960" s="33">
        <f>IFERROR(__xludf.DUMMYFUNCTION("""COMPUTED_VALUE"""),1.0)</f>
        <v>1</v>
      </c>
    </row>
    <row r="9961">
      <c r="K9961" s="4" t="str">
        <f>IFERROR(__xludf.DUMMYFUNCTION("""COMPUTED_VALUE"""),"SALITA - PIZZA FATTA A MANO PALHOCA")</f>
        <v>SALITA - PIZZA FATTA A MANO PALHOCA</v>
      </c>
      <c r="L9961" s="32">
        <f>IFERROR(__xludf.DUMMYFUNCTION("""COMPUTED_VALUE"""),1.0)</f>
        <v>1</v>
      </c>
      <c r="M9961" s="4" t="str">
        <f>IFERROR(__xludf.DUMMYFUNCTION("""COMPUTED_VALUE"""),"Cardápio Web")</f>
        <v>Cardápio Web</v>
      </c>
      <c r="N9961" s="33">
        <f>IFERROR(__xludf.DUMMYFUNCTION("""COMPUTED_VALUE"""),1.0)</f>
        <v>1</v>
      </c>
      <c r="O9961" s="4" t="str">
        <f>IFERROR(__xludf.DUMMYFUNCTION("""COMPUTED_VALUE"""),"Cardápio Web")</f>
        <v>Cardápio Web</v>
      </c>
      <c r="P9961" s="33">
        <f>IFERROR(__xludf.DUMMYFUNCTION("""COMPUTED_VALUE"""),1.0)</f>
        <v>1</v>
      </c>
      <c r="Q9961" s="4" t="str">
        <f>IFERROR(__xludf.DUMMYFUNCTION("""COMPUTED_VALUE"""),"Cardápio Web")</f>
        <v>Cardápio Web</v>
      </c>
      <c r="R9961" s="33">
        <f>IFERROR(__xludf.DUMMYFUNCTION("""COMPUTED_VALUE"""),1.0)</f>
        <v>1</v>
      </c>
      <c r="S9961" s="4" t="str">
        <f>IFERROR(__xludf.DUMMYFUNCTION("""COMPUTED_VALUE"""),"null")</f>
        <v>null</v>
      </c>
      <c r="T9961" s="33">
        <f>IFERROR(__xludf.DUMMYFUNCTION("""COMPUTED_VALUE"""),1.0)</f>
        <v>1</v>
      </c>
      <c r="U9961" s="4" t="str">
        <f>IFERROR(__xludf.DUMMYFUNCTION("""COMPUTED_VALUE"""),"Cardápio Web")</f>
        <v>Cardápio Web</v>
      </c>
      <c r="V9961" s="33">
        <f>IFERROR(__xludf.DUMMYFUNCTION("""COMPUTED_VALUE"""),1.0)</f>
        <v>1</v>
      </c>
      <c r="W9961" s="4" t="str">
        <f>IFERROR(__xludf.DUMMYFUNCTION("""COMPUTED_VALUE"""),"Cardápio Web")</f>
        <v>Cardápio Web</v>
      </c>
      <c r="X9961" s="33">
        <f>IFERROR(__xludf.DUMMYFUNCTION("""COMPUTED_VALUE"""),1.0)</f>
        <v>1</v>
      </c>
    </row>
    <row r="9962">
      <c r="K9962" s="4" t="str">
        <f>IFERROR(__xludf.DUMMYFUNCTION("""COMPUTED_VALUE"""),"JIOVANNA BROWNIES DINDIN GOURMET E MAIS")</f>
        <v>JIOVANNA BROWNIES DINDIN GOURMET E MAIS</v>
      </c>
      <c r="L9962" s="32">
        <f>IFERROR(__xludf.DUMMYFUNCTION("""COMPUTED_VALUE"""),1.0)</f>
        <v>1</v>
      </c>
      <c r="M9962" s="4" t="str">
        <f>IFERROR(__xludf.DUMMYFUNCTION("""COMPUTED_VALUE"""),"Saipos Serviços De Software")</f>
        <v>Saipos Serviços De Software</v>
      </c>
      <c r="N9962" s="33">
        <f>IFERROR(__xludf.DUMMYFUNCTION("""COMPUTED_VALUE"""),1.0)</f>
        <v>1</v>
      </c>
      <c r="O9962" s="4" t="str">
        <f>IFERROR(__xludf.DUMMYFUNCTION("""COMPUTED_VALUE"""),"Saipos Serviços De Software")</f>
        <v>Saipos Serviços De Software</v>
      </c>
      <c r="P9962" s="33">
        <f>IFERROR(__xludf.DUMMYFUNCTION("""COMPUTED_VALUE"""),1.0)</f>
        <v>1</v>
      </c>
      <c r="Q9962" s="4" t="str">
        <f>IFERROR(__xludf.DUMMYFUNCTION("""COMPUTED_VALUE"""),"Saipos Serviços De Software")</f>
        <v>Saipos Serviços De Software</v>
      </c>
      <c r="R9962" s="33">
        <f>IFERROR(__xludf.DUMMYFUNCTION("""COMPUTED_VALUE"""),1.0)</f>
        <v>1</v>
      </c>
      <c r="S9962" s="4" t="str">
        <f>IFERROR(__xludf.DUMMYFUNCTION("""COMPUTED_VALUE"""),"Saipos Serviços De Software")</f>
        <v>Saipos Serviços De Software</v>
      </c>
      <c r="T9962" s="33">
        <f>IFERROR(__xludf.DUMMYFUNCTION("""COMPUTED_VALUE"""),1.0)</f>
        <v>1</v>
      </c>
      <c r="U9962" s="4" t="str">
        <f>IFERROR(__xludf.DUMMYFUNCTION("""COMPUTED_VALUE"""),"Saipos Serviços De Software")</f>
        <v>Saipos Serviços De Software</v>
      </c>
      <c r="V9962" s="33">
        <f>IFERROR(__xludf.DUMMYFUNCTION("""COMPUTED_VALUE"""),1.0)</f>
        <v>1</v>
      </c>
      <c r="W9962" s="4" t="str">
        <f>IFERROR(__xludf.DUMMYFUNCTION("""COMPUTED_VALUE"""),"Saipos Serviços De Software")</f>
        <v>Saipos Serviços De Software</v>
      </c>
      <c r="X9962" s="33">
        <f>IFERROR(__xludf.DUMMYFUNCTION("""COMPUTED_VALUE"""),1.0)</f>
        <v>1</v>
      </c>
    </row>
    <row r="9963">
      <c r="K9963" s="4" t="str">
        <f>IFERROR(__xludf.DUMMYFUNCTION("""COMPUTED_VALUE"""),"TIA SO MINI DELICIAS JABOTICABAL")</f>
        <v>TIA SO MINI DELICIAS JABOTICABAL</v>
      </c>
      <c r="L9963" s="32">
        <f>IFERROR(__xludf.DUMMYFUNCTION("""COMPUTED_VALUE"""),1.0)</f>
        <v>1</v>
      </c>
      <c r="M9963" s="4" t="str">
        <f>IFERROR(__xludf.DUMMYFUNCTION("""COMPUTED_VALUE"""),"null")</f>
        <v>null</v>
      </c>
      <c r="N9963" s="33">
        <f>IFERROR(__xludf.DUMMYFUNCTION("""COMPUTED_VALUE"""),1.0)</f>
        <v>1</v>
      </c>
      <c r="O9963" s="4" t="str">
        <f>IFERROR(__xludf.DUMMYFUNCTION("""COMPUTED_VALUE"""),"null")</f>
        <v>null</v>
      </c>
      <c r="P9963" s="33">
        <f>IFERROR(__xludf.DUMMYFUNCTION("""COMPUTED_VALUE"""),1.0)</f>
        <v>1</v>
      </c>
      <c r="Q9963" s="4" t="str">
        <f>IFERROR(__xludf.DUMMYFUNCTION("""COMPUTED_VALUE"""),"null")</f>
        <v>null</v>
      </c>
      <c r="R9963" s="33">
        <f>IFERROR(__xludf.DUMMYFUNCTION("""COMPUTED_VALUE"""),1.0)</f>
        <v>1</v>
      </c>
      <c r="S9963" s="4" t="str">
        <f>IFERROR(__xludf.DUMMYFUNCTION("""COMPUTED_VALUE"""),"null")</f>
        <v>null</v>
      </c>
      <c r="T9963" s="33">
        <f>IFERROR(__xludf.DUMMYFUNCTION("""COMPUTED_VALUE"""),1.0)</f>
        <v>1</v>
      </c>
      <c r="U9963" s="4" t="str">
        <f>IFERROR(__xludf.DUMMYFUNCTION("""COMPUTED_VALUE"""),"Master Soluções Desenvolvimento De Software Ltda Me")</f>
        <v>Master Soluções Desenvolvimento De Software Ltda Me</v>
      </c>
      <c r="V9963" s="33">
        <f>IFERROR(__xludf.DUMMYFUNCTION("""COMPUTED_VALUE"""),1.0)</f>
        <v>1</v>
      </c>
      <c r="W9963" s="4" t="str">
        <f>IFERROR(__xludf.DUMMYFUNCTION("""COMPUTED_VALUE"""),"null")</f>
        <v>null</v>
      </c>
      <c r="X9963" s="33">
        <f>IFERROR(__xludf.DUMMYFUNCTION("""COMPUTED_VALUE"""),1.0)</f>
        <v>1</v>
      </c>
    </row>
    <row r="9964">
      <c r="K9964" s="4" t="str">
        <f>IFERROR(__xludf.DUMMYFUNCTION("""COMPUTED_VALUE"""),"HAWK BURGER")</f>
        <v>HAWK BURGER</v>
      </c>
      <c r="L9964" s="32">
        <f>IFERROR(__xludf.DUMMYFUNCTION("""COMPUTED_VALUE"""),1.0)</f>
        <v>1</v>
      </c>
      <c r="M9964" s="4" t="str">
        <f>IFERROR(__xludf.DUMMYFUNCTION("""COMPUTED_VALUE"""),"Cardápio Web")</f>
        <v>Cardápio Web</v>
      </c>
      <c r="N9964" s="33">
        <f>IFERROR(__xludf.DUMMYFUNCTION("""COMPUTED_VALUE"""),1.0)</f>
        <v>1</v>
      </c>
      <c r="O9964" s="4" t="str">
        <f>IFERROR(__xludf.DUMMYFUNCTION("""COMPUTED_VALUE"""),"Cardápio Web")</f>
        <v>Cardápio Web</v>
      </c>
      <c r="P9964" s="33">
        <f>IFERROR(__xludf.DUMMYFUNCTION("""COMPUTED_VALUE"""),1.0)</f>
        <v>1</v>
      </c>
      <c r="Q9964" s="4" t="str">
        <f>IFERROR(__xludf.DUMMYFUNCTION("""COMPUTED_VALUE"""),"Cardápio Web")</f>
        <v>Cardápio Web</v>
      </c>
      <c r="R9964" s="33">
        <f>IFERROR(__xludf.DUMMYFUNCTION("""COMPUTED_VALUE"""),1.0)</f>
        <v>1</v>
      </c>
      <c r="S9964" s="4" t="str">
        <f>IFERROR(__xludf.DUMMYFUNCTION("""COMPUTED_VALUE"""),"Cardápio Web")</f>
        <v>Cardápio Web</v>
      </c>
      <c r="T9964" s="33">
        <f>IFERROR(__xludf.DUMMYFUNCTION("""COMPUTED_VALUE"""),1.0)</f>
        <v>1</v>
      </c>
      <c r="U9964" s="4" t="str">
        <f>IFERROR(__xludf.DUMMYFUNCTION("""COMPUTED_VALUE"""),"Cardápio Web")</f>
        <v>Cardápio Web</v>
      </c>
      <c r="V9964" s="33">
        <f>IFERROR(__xludf.DUMMYFUNCTION("""COMPUTED_VALUE"""),1.0)</f>
        <v>1</v>
      </c>
      <c r="W9964" s="4" t="str">
        <f>IFERROR(__xludf.DUMMYFUNCTION("""COMPUTED_VALUE"""),"Cardápio Web")</f>
        <v>Cardápio Web</v>
      </c>
      <c r="X9964" s="33">
        <f>IFERROR(__xludf.DUMMYFUNCTION("""COMPUTED_VALUE"""),1.0)</f>
        <v>1</v>
      </c>
    </row>
    <row r="9965">
      <c r="K9965" s="4" t="str">
        <f>IFERROR(__xludf.DUMMYFUNCTION("""COMPUTED_VALUE"""),"ACAI DO JUN")</f>
        <v>ACAI DO JUN</v>
      </c>
      <c r="L9965" s="32">
        <f>IFERROR(__xludf.DUMMYFUNCTION("""COMPUTED_VALUE"""),1.0)</f>
        <v>1</v>
      </c>
      <c r="M9965" s="4" t="str">
        <f>IFERROR(__xludf.DUMMYFUNCTION("""COMPUTED_VALUE"""),"Olaclick")</f>
        <v>Olaclick</v>
      </c>
      <c r="N9965" s="33">
        <f>IFERROR(__xludf.DUMMYFUNCTION("""COMPUTED_VALUE"""),1.0)</f>
        <v>1</v>
      </c>
      <c r="O9965" s="4" t="str">
        <f>IFERROR(__xludf.DUMMYFUNCTION("""COMPUTED_VALUE"""),"null")</f>
        <v>null</v>
      </c>
      <c r="P9965" s="33">
        <f>IFERROR(__xludf.DUMMYFUNCTION("""COMPUTED_VALUE"""),1.0)</f>
        <v>1</v>
      </c>
      <c r="Q9965" s="4" t="str">
        <f>IFERROR(__xludf.DUMMYFUNCTION("""COMPUTED_VALUE"""),"null")</f>
        <v>null</v>
      </c>
      <c r="R9965" s="33">
        <f>IFERROR(__xludf.DUMMYFUNCTION("""COMPUTED_VALUE"""),1.0)</f>
        <v>1</v>
      </c>
      <c r="S9965" s="4" t="str">
        <f>IFERROR(__xludf.DUMMYFUNCTION("""COMPUTED_VALUE"""),"null")</f>
        <v>null</v>
      </c>
      <c r="T9965" s="33">
        <f>IFERROR(__xludf.DUMMYFUNCTION("""COMPUTED_VALUE"""),1.0)</f>
        <v>1</v>
      </c>
      <c r="U9965" s="4" t="str">
        <f>IFERROR(__xludf.DUMMYFUNCTION("""COMPUTED_VALUE"""),"null")</f>
        <v>null</v>
      </c>
      <c r="V9965" s="33">
        <f>IFERROR(__xludf.DUMMYFUNCTION("""COMPUTED_VALUE"""),1.0)</f>
        <v>1</v>
      </c>
      <c r="W9965" s="4" t="str">
        <f>IFERROR(__xludf.DUMMYFUNCTION("""COMPUTED_VALUE"""),"null")</f>
        <v>null</v>
      </c>
      <c r="X9965" s="33">
        <f>IFERROR(__xludf.DUMMYFUNCTION("""COMPUTED_VALUE"""),1.0)</f>
        <v>1</v>
      </c>
    </row>
    <row r="9966">
      <c r="K9966" s="4" t="str">
        <f>IFERROR(__xludf.DUMMYFUNCTION("""COMPUTED_VALUE"""),"ULTRA SORVETES")</f>
        <v>ULTRA SORVETES</v>
      </c>
      <c r="L9966" s="32">
        <f>IFERROR(__xludf.DUMMYFUNCTION("""COMPUTED_VALUE"""),1.0)</f>
        <v>1</v>
      </c>
      <c r="M9966" s="4" t="str">
        <f>IFERROR(__xludf.DUMMYFUNCTION("""COMPUTED_VALUE"""),"Rajtecnologia")</f>
        <v>Rajtecnologia</v>
      </c>
      <c r="N9966" s="33">
        <f>IFERROR(__xludf.DUMMYFUNCTION("""COMPUTED_VALUE"""),1.0)</f>
        <v>1</v>
      </c>
      <c r="O9966" s="4" t="str">
        <f>IFERROR(__xludf.DUMMYFUNCTION("""COMPUTED_VALUE"""),"null")</f>
        <v>null</v>
      </c>
      <c r="P9966" s="33">
        <f>IFERROR(__xludf.DUMMYFUNCTION("""COMPUTED_VALUE"""),1.0)</f>
        <v>1</v>
      </c>
      <c r="Q9966" s="4" t="str">
        <f>IFERROR(__xludf.DUMMYFUNCTION("""COMPUTED_VALUE"""),"null")</f>
        <v>null</v>
      </c>
      <c r="R9966" s="33">
        <f>IFERROR(__xludf.DUMMYFUNCTION("""COMPUTED_VALUE"""),1.0)</f>
        <v>1</v>
      </c>
      <c r="S9966" s="4" t="str">
        <f>IFERROR(__xludf.DUMMYFUNCTION("""COMPUTED_VALUE"""),"null")</f>
        <v>null</v>
      </c>
      <c r="T9966" s="33">
        <f>IFERROR(__xludf.DUMMYFUNCTION("""COMPUTED_VALUE"""),1.0)</f>
        <v>1</v>
      </c>
      <c r="U9966" s="4" t="str">
        <f>IFERROR(__xludf.DUMMYFUNCTION("""COMPUTED_VALUE"""),"null")</f>
        <v>null</v>
      </c>
      <c r="V9966" s="33">
        <f>IFERROR(__xludf.DUMMYFUNCTION("""COMPUTED_VALUE"""),1.0)</f>
        <v>1</v>
      </c>
      <c r="W9966" s="4" t="str">
        <f>IFERROR(__xludf.DUMMYFUNCTION("""COMPUTED_VALUE"""),"null")</f>
        <v>null</v>
      </c>
      <c r="X9966" s="33">
        <f>IFERROR(__xludf.DUMMYFUNCTION("""COMPUTED_VALUE"""),1.0)</f>
        <v>1</v>
      </c>
    </row>
    <row r="9967">
      <c r="K9967" s="4" t="str">
        <f>IFERROR(__xludf.DUMMYFUNCTION("""COMPUTED_VALUE"""),"SPACE MIX ACAI FOOD FAST")</f>
        <v>SPACE MIX ACAI FOOD FAST</v>
      </c>
      <c r="L9967" s="32">
        <f>IFERROR(__xludf.DUMMYFUNCTION("""COMPUTED_VALUE"""),1.0)</f>
        <v>1</v>
      </c>
      <c r="M9967" s="4" t="str">
        <f>IFERROR(__xludf.DUMMYFUNCTION("""COMPUTED_VALUE"""),"Anota Ai Solucoes Digitais S/a")</f>
        <v>Anota Ai Solucoes Digitais S/a</v>
      </c>
      <c r="N9967" s="33">
        <f>IFERROR(__xludf.DUMMYFUNCTION("""COMPUTED_VALUE"""),1.0)</f>
        <v>1</v>
      </c>
      <c r="O9967" s="4" t="str">
        <f>IFERROR(__xludf.DUMMYFUNCTION("""COMPUTED_VALUE"""),"Anota Ai Solucoes Digitais S/a")</f>
        <v>Anota Ai Solucoes Digitais S/a</v>
      </c>
      <c r="P9967" s="33">
        <f>IFERROR(__xludf.DUMMYFUNCTION("""COMPUTED_VALUE"""),1.0)</f>
        <v>1</v>
      </c>
      <c r="Q9967" s="4" t="str">
        <f>IFERROR(__xludf.DUMMYFUNCTION("""COMPUTED_VALUE"""),"Anota Ai Solucoes Digitais S/a")</f>
        <v>Anota Ai Solucoes Digitais S/a</v>
      </c>
      <c r="R9967" s="33">
        <f>IFERROR(__xludf.DUMMYFUNCTION("""COMPUTED_VALUE"""),1.0)</f>
        <v>1</v>
      </c>
      <c r="S9967" s="4" t="str">
        <f>IFERROR(__xludf.DUMMYFUNCTION("""COMPUTED_VALUE"""),"Anota Ai Solucoes Digitais S/a")</f>
        <v>Anota Ai Solucoes Digitais S/a</v>
      </c>
      <c r="T9967" s="33">
        <f>IFERROR(__xludf.DUMMYFUNCTION("""COMPUTED_VALUE"""),1.0)</f>
        <v>1</v>
      </c>
      <c r="U9967" s="4" t="str">
        <f>IFERROR(__xludf.DUMMYFUNCTION("""COMPUTED_VALUE"""),"null")</f>
        <v>null</v>
      </c>
      <c r="V9967" s="33">
        <f>IFERROR(__xludf.DUMMYFUNCTION("""COMPUTED_VALUE"""),1.0)</f>
        <v>1</v>
      </c>
      <c r="W9967" s="4" t="str">
        <f>IFERROR(__xludf.DUMMYFUNCTION("""COMPUTED_VALUE"""),"null")</f>
        <v>null</v>
      </c>
      <c r="X9967" s="33">
        <f>IFERROR(__xludf.DUMMYFUNCTION("""COMPUTED_VALUE"""),1.0)</f>
        <v>1</v>
      </c>
    </row>
    <row r="9968">
      <c r="K9968" s="4" t="str">
        <f>IFERROR(__xludf.DUMMYFUNCTION("""COMPUTED_VALUE"""),"HORTI FRUTI PESSANHA")</f>
        <v>HORTI FRUTI PESSANHA</v>
      </c>
      <c r="L9968" s="32">
        <f>IFERROR(__xludf.DUMMYFUNCTION("""COMPUTED_VALUE"""),1.0)</f>
        <v>1</v>
      </c>
      <c r="M9968" s="4" t="str">
        <f>IFERROR(__xludf.DUMMYFUNCTION("""COMPUTED_VALUE"""),"N/A (Not found)")</f>
        <v>N/A (Not found)</v>
      </c>
      <c r="N9968" s="33">
        <f>IFERROR(__xludf.DUMMYFUNCTION("""COMPUTED_VALUE"""),1.0)</f>
        <v>1</v>
      </c>
      <c r="O9968" s="4" t="str">
        <f>IFERROR(__xludf.DUMMYFUNCTION("""COMPUTED_VALUE"""),"N/A (Not found)")</f>
        <v>N/A (Not found)</v>
      </c>
      <c r="P9968" s="33">
        <f>IFERROR(__xludf.DUMMYFUNCTION("""COMPUTED_VALUE"""),1.0)</f>
        <v>1</v>
      </c>
      <c r="Q9968" s="4" t="str">
        <f>IFERROR(__xludf.DUMMYFUNCTION("""COMPUTED_VALUE"""),"N/A (Not found)")</f>
        <v>N/A (Not found)</v>
      </c>
      <c r="R9968" s="33">
        <f>IFERROR(__xludf.DUMMYFUNCTION("""COMPUTED_VALUE"""),1.0)</f>
        <v>1</v>
      </c>
      <c r="S9968" s="4" t="str">
        <f>IFERROR(__xludf.DUMMYFUNCTION("""COMPUTED_VALUE"""),"N/A (Not found)")</f>
        <v>N/A (Not found)</v>
      </c>
      <c r="T9968" s="33">
        <f>IFERROR(__xludf.DUMMYFUNCTION("""COMPUTED_VALUE"""),1.0)</f>
        <v>1</v>
      </c>
      <c r="U9968" s="4" t="str">
        <f>IFERROR(__xludf.DUMMYFUNCTION("""COMPUTED_VALUE"""),"N/A (Not found)")</f>
        <v>N/A (Not found)</v>
      </c>
      <c r="V9968" s="33">
        <f>IFERROR(__xludf.DUMMYFUNCTION("""COMPUTED_VALUE"""),1.0)</f>
        <v>1</v>
      </c>
      <c r="W9968" s="4" t="str">
        <f>IFERROR(__xludf.DUMMYFUNCTION("""COMPUTED_VALUE"""),"null")</f>
        <v>null</v>
      </c>
      <c r="X9968" s="33">
        <f>IFERROR(__xludf.DUMMYFUNCTION("""COMPUTED_VALUE"""),1.0)</f>
        <v>1</v>
      </c>
    </row>
    <row r="9969">
      <c r="K9969" s="4" t="str">
        <f>IFERROR(__xludf.DUMMYFUNCTION("""COMPUTED_VALUE"""),"DIVINA FRITAS SALGADOS")</f>
        <v>DIVINA FRITAS SALGADOS</v>
      </c>
      <c r="L9969" s="32">
        <f>IFERROR(__xludf.DUMMYFUNCTION("""COMPUTED_VALUE"""),1.0)</f>
        <v>1</v>
      </c>
      <c r="M9969" s="4" t="str">
        <f>IFERROR(__xludf.DUMMYFUNCTION("""COMPUTED_VALUE"""),"Anota Ai Solucoes Digitais S/a")</f>
        <v>Anota Ai Solucoes Digitais S/a</v>
      </c>
      <c r="N9969" s="33">
        <f>IFERROR(__xludf.DUMMYFUNCTION("""COMPUTED_VALUE"""),1.0)</f>
        <v>1</v>
      </c>
      <c r="O9969" s="4" t="str">
        <f>IFERROR(__xludf.DUMMYFUNCTION("""COMPUTED_VALUE"""),"Anota Ai Solucoes Digitais S/a")</f>
        <v>Anota Ai Solucoes Digitais S/a</v>
      </c>
      <c r="P9969" s="33">
        <f>IFERROR(__xludf.DUMMYFUNCTION("""COMPUTED_VALUE"""),1.0)</f>
        <v>1</v>
      </c>
      <c r="Q9969" s="4" t="str">
        <f>IFERROR(__xludf.DUMMYFUNCTION("""COMPUTED_VALUE"""),"Anota Ai Solucoes Digitais S/a")</f>
        <v>Anota Ai Solucoes Digitais S/a</v>
      </c>
      <c r="R9969" s="33">
        <f>IFERROR(__xludf.DUMMYFUNCTION("""COMPUTED_VALUE"""),1.0)</f>
        <v>1</v>
      </c>
      <c r="S9969" s="4" t="str">
        <f>IFERROR(__xludf.DUMMYFUNCTION("""COMPUTED_VALUE"""),"Anota Ai Solucoes Digitais S/a")</f>
        <v>Anota Ai Solucoes Digitais S/a</v>
      </c>
      <c r="T9969" s="33">
        <f>IFERROR(__xludf.DUMMYFUNCTION("""COMPUTED_VALUE"""),1.0)</f>
        <v>1</v>
      </c>
      <c r="U9969" s="4" t="str">
        <f>IFERROR(__xludf.DUMMYFUNCTION("""COMPUTED_VALUE"""),"Anota Ai Solucoes Digitais S/a")</f>
        <v>Anota Ai Solucoes Digitais S/a</v>
      </c>
      <c r="V9969" s="33">
        <f>IFERROR(__xludf.DUMMYFUNCTION("""COMPUTED_VALUE"""),1.0)</f>
        <v>1</v>
      </c>
      <c r="W9969" s="4" t="str">
        <f>IFERROR(__xludf.DUMMYFUNCTION("""COMPUTED_VALUE"""),"null")</f>
        <v>null</v>
      </c>
      <c r="X9969" s="33">
        <f>IFERROR(__xludf.DUMMYFUNCTION("""COMPUTED_VALUE"""),1.0)</f>
        <v>1</v>
      </c>
    </row>
    <row r="9970">
      <c r="K9970" s="4" t="str">
        <f>IFERROR(__xludf.DUMMYFUNCTION("""COMPUTED_VALUE"""),"PICOLES SORVETES ACAI - TRILHAS DA AMAZONIA ESPERANCA")</f>
        <v>PICOLES SORVETES ACAI - TRILHAS DA AMAZONIA ESPERANCA</v>
      </c>
      <c r="L9970" s="32">
        <f>IFERROR(__xludf.DUMMYFUNCTION("""COMPUTED_VALUE"""),1.0)</f>
        <v>1</v>
      </c>
      <c r="M9970" s="4" t="str">
        <f>IFERROR(__xludf.DUMMYFUNCTION("""COMPUTED_VALUE"""),"Connectplug")</f>
        <v>Connectplug</v>
      </c>
      <c r="N9970" s="33">
        <f>IFERROR(__xludf.DUMMYFUNCTION("""COMPUTED_VALUE"""),1.0)</f>
        <v>1</v>
      </c>
      <c r="O9970" s="4" t="str">
        <f>IFERROR(__xludf.DUMMYFUNCTION("""COMPUTED_VALUE"""),"null")</f>
        <v>null</v>
      </c>
      <c r="P9970" s="33">
        <f>IFERROR(__xludf.DUMMYFUNCTION("""COMPUTED_VALUE"""),1.0)</f>
        <v>1</v>
      </c>
      <c r="Q9970" s="4" t="str">
        <f>IFERROR(__xludf.DUMMYFUNCTION("""COMPUTED_VALUE"""),"Connectplug")</f>
        <v>Connectplug</v>
      </c>
      <c r="R9970" s="33">
        <f>IFERROR(__xludf.DUMMYFUNCTION("""COMPUTED_VALUE"""),1.0)</f>
        <v>1</v>
      </c>
      <c r="S9970" s="4" t="str">
        <f>IFERROR(__xludf.DUMMYFUNCTION("""COMPUTED_VALUE"""),"Connectplug")</f>
        <v>Connectplug</v>
      </c>
      <c r="T9970" s="33">
        <f>IFERROR(__xludf.DUMMYFUNCTION("""COMPUTED_VALUE"""),1.0)</f>
        <v>1</v>
      </c>
      <c r="U9970" s="4" t="str">
        <f>IFERROR(__xludf.DUMMYFUNCTION("""COMPUTED_VALUE"""),"Connectplug")</f>
        <v>Connectplug</v>
      </c>
      <c r="V9970" s="33">
        <f>IFERROR(__xludf.DUMMYFUNCTION("""COMPUTED_VALUE"""),1.0)</f>
        <v>1</v>
      </c>
      <c r="W9970" s="4" t="str">
        <f>IFERROR(__xludf.DUMMYFUNCTION("""COMPUTED_VALUE"""),"null")</f>
        <v>null</v>
      </c>
      <c r="X9970" s="33">
        <f>IFERROR(__xludf.DUMMYFUNCTION("""COMPUTED_VALUE"""),1.0)</f>
        <v>1</v>
      </c>
    </row>
    <row r="9971">
      <c r="K9971" s="4" t="str">
        <f>IFERROR(__xludf.DUMMYFUNCTION("""COMPUTED_VALUE"""),"LALEU LANCHES DELIVERY")</f>
        <v>LALEU LANCHES DELIVERY</v>
      </c>
      <c r="L9971" s="32">
        <f>IFERROR(__xludf.DUMMYFUNCTION("""COMPUTED_VALUE"""),1.0)</f>
        <v>1</v>
      </c>
      <c r="M9971" s="4" t="str">
        <f>IFERROR(__xludf.DUMMYFUNCTION("""COMPUTED_VALUE"""),"Saipos Serviços De Software")</f>
        <v>Saipos Serviços De Software</v>
      </c>
      <c r="N9971" s="33">
        <f>IFERROR(__xludf.DUMMYFUNCTION("""COMPUTED_VALUE"""),1.0)</f>
        <v>1</v>
      </c>
      <c r="O9971" s="4" t="str">
        <f>IFERROR(__xludf.DUMMYFUNCTION("""COMPUTED_VALUE"""),"Saipos Serviços De Software")</f>
        <v>Saipos Serviços De Software</v>
      </c>
      <c r="P9971" s="33">
        <f>IFERROR(__xludf.DUMMYFUNCTION("""COMPUTED_VALUE"""),1.0)</f>
        <v>1</v>
      </c>
      <c r="Q9971" s="4" t="str">
        <f>IFERROR(__xludf.DUMMYFUNCTION("""COMPUTED_VALUE"""),"Saipos Serviços De Software")</f>
        <v>Saipos Serviços De Software</v>
      </c>
      <c r="R9971" s="33">
        <f>IFERROR(__xludf.DUMMYFUNCTION("""COMPUTED_VALUE"""),1.0)</f>
        <v>1</v>
      </c>
      <c r="S9971" s="4" t="str">
        <f>IFERROR(__xludf.DUMMYFUNCTION("""COMPUTED_VALUE"""),"null")</f>
        <v>null</v>
      </c>
      <c r="T9971" s="33">
        <f>IFERROR(__xludf.DUMMYFUNCTION("""COMPUTED_VALUE"""),1.0)</f>
        <v>1</v>
      </c>
      <c r="U9971" s="4" t="str">
        <f>IFERROR(__xludf.DUMMYFUNCTION("""COMPUTED_VALUE"""),"null")</f>
        <v>null</v>
      </c>
      <c r="V9971" s="33">
        <f>IFERROR(__xludf.DUMMYFUNCTION("""COMPUTED_VALUE"""),1.0)</f>
        <v>1</v>
      </c>
      <c r="W9971" s="4" t="str">
        <f>IFERROR(__xludf.DUMMYFUNCTION("""COMPUTED_VALUE"""),"null")</f>
        <v>null</v>
      </c>
      <c r="X9971" s="33">
        <f>IFERROR(__xludf.DUMMYFUNCTION("""COMPUTED_VALUE"""),1.0)</f>
        <v>1</v>
      </c>
    </row>
    <row r="9972">
      <c r="K9972" s="4" t="str">
        <f>IFERROR(__xludf.DUMMYFUNCTION("""COMPUTED_VALUE"""),"ICED FRUIT")</f>
        <v>ICED FRUIT</v>
      </c>
      <c r="L9972" s="32">
        <f>IFERROR(__xludf.DUMMYFUNCTION("""COMPUTED_VALUE"""),1.0)</f>
        <v>1</v>
      </c>
      <c r="M9972" s="4" t="str">
        <f>IFERROR(__xludf.DUMMYFUNCTION("""COMPUTED_VALUE"""),"Anota Ai Solucoes Digitais S/a")</f>
        <v>Anota Ai Solucoes Digitais S/a</v>
      </c>
      <c r="N9972" s="33">
        <f>IFERROR(__xludf.DUMMYFUNCTION("""COMPUTED_VALUE"""),1.0)</f>
        <v>1</v>
      </c>
      <c r="O9972" s="4" t="str">
        <f>IFERROR(__xludf.DUMMYFUNCTION("""COMPUTED_VALUE"""),"null")</f>
        <v>null</v>
      </c>
      <c r="P9972" s="33">
        <f>IFERROR(__xludf.DUMMYFUNCTION("""COMPUTED_VALUE"""),1.0)</f>
        <v>1</v>
      </c>
      <c r="Q9972" s="4" t="str">
        <f>IFERROR(__xludf.DUMMYFUNCTION("""COMPUTED_VALUE"""),"Anota Ai Solucoes Digitais S/a")</f>
        <v>Anota Ai Solucoes Digitais S/a</v>
      </c>
      <c r="R9972" s="33">
        <f>IFERROR(__xludf.DUMMYFUNCTION("""COMPUTED_VALUE"""),1.0)</f>
        <v>1</v>
      </c>
      <c r="S9972" s="4" t="str">
        <f>IFERROR(__xludf.DUMMYFUNCTION("""COMPUTED_VALUE"""),"Anota Ai Solucoes Digitais S/a")</f>
        <v>Anota Ai Solucoes Digitais S/a</v>
      </c>
      <c r="T9972" s="33">
        <f>IFERROR(__xludf.DUMMYFUNCTION("""COMPUTED_VALUE"""),1.0)</f>
        <v>1</v>
      </c>
      <c r="U9972" s="4" t="str">
        <f>IFERROR(__xludf.DUMMYFUNCTION("""COMPUTED_VALUE"""),"Anota Ai Solucoes Digitais S/a")</f>
        <v>Anota Ai Solucoes Digitais S/a</v>
      </c>
      <c r="V9972" s="33">
        <f>IFERROR(__xludf.DUMMYFUNCTION("""COMPUTED_VALUE"""),1.0)</f>
        <v>1</v>
      </c>
      <c r="W9972" s="4" t="str">
        <f>IFERROR(__xludf.DUMMYFUNCTION("""COMPUTED_VALUE"""),"null")</f>
        <v>null</v>
      </c>
      <c r="X9972" s="33">
        <f>IFERROR(__xludf.DUMMYFUNCTION("""COMPUTED_VALUE"""),1.0)</f>
        <v>1</v>
      </c>
    </row>
    <row r="9973">
      <c r="K9973" s="4" t="str">
        <f>IFERROR(__xludf.DUMMYFUNCTION("""COMPUTED_VALUE"""),"DI SAVIAN CONFEITARIA")</f>
        <v>DI SAVIAN CONFEITARIA</v>
      </c>
      <c r="L9973" s="32">
        <f>IFERROR(__xludf.DUMMYFUNCTION("""COMPUTED_VALUE"""),1.0)</f>
        <v>1</v>
      </c>
      <c r="M9973" s="4" t="str">
        <f>IFERROR(__xludf.DUMMYFUNCTION("""COMPUTED_VALUE"""),"null")</f>
        <v>null</v>
      </c>
      <c r="N9973" s="33">
        <f>IFERROR(__xludf.DUMMYFUNCTION("""COMPUTED_VALUE"""),1.0)</f>
        <v>1</v>
      </c>
      <c r="O9973" s="4" t="str">
        <f>IFERROR(__xludf.DUMMYFUNCTION("""COMPUTED_VALUE"""),"null")</f>
        <v>null</v>
      </c>
      <c r="P9973" s="33">
        <f>IFERROR(__xludf.DUMMYFUNCTION("""COMPUTED_VALUE"""),1.0)</f>
        <v>1</v>
      </c>
      <c r="Q9973" s="4" t="str">
        <f>IFERROR(__xludf.DUMMYFUNCTION("""COMPUTED_VALUE"""),"Instadelivery")</f>
        <v>Instadelivery</v>
      </c>
      <c r="R9973" s="33">
        <f>IFERROR(__xludf.DUMMYFUNCTION("""COMPUTED_VALUE"""),1.0)</f>
        <v>1</v>
      </c>
      <c r="S9973" s="4" t="str">
        <f>IFERROR(__xludf.DUMMYFUNCTION("""COMPUTED_VALUE"""),"Instadelivery")</f>
        <v>Instadelivery</v>
      </c>
      <c r="T9973" s="33">
        <f>IFERROR(__xludf.DUMMYFUNCTION("""COMPUTED_VALUE"""),1.0)</f>
        <v>1</v>
      </c>
      <c r="U9973" s="4" t="str">
        <f>IFERROR(__xludf.DUMMYFUNCTION("""COMPUTED_VALUE"""),"Instadelivery")</f>
        <v>Instadelivery</v>
      </c>
      <c r="V9973" s="33">
        <f>IFERROR(__xludf.DUMMYFUNCTION("""COMPUTED_VALUE"""),1.0)</f>
        <v>1</v>
      </c>
      <c r="W9973" s="4" t="str">
        <f>IFERROR(__xludf.DUMMYFUNCTION("""COMPUTED_VALUE"""),"null")</f>
        <v>null</v>
      </c>
      <c r="X9973" s="33">
        <f>IFERROR(__xludf.DUMMYFUNCTION("""COMPUTED_VALUE"""),1.0)</f>
        <v>1</v>
      </c>
    </row>
    <row r="9974">
      <c r="K9974" s="4" t="str">
        <f>IFERROR(__xludf.DUMMYFUNCTION("""COMPUTED_VALUE"""),"GULOSAO PROCURE NO IFOOD GULOSAO SM")</f>
        <v>GULOSAO PROCURE NO IFOOD GULOSAO SM</v>
      </c>
      <c r="L9974" s="32">
        <f>IFERROR(__xludf.DUMMYFUNCTION("""COMPUTED_VALUE"""),1.0)</f>
        <v>1</v>
      </c>
      <c r="M9974" s="4" t="str">
        <f>IFERROR(__xludf.DUMMYFUNCTION("""COMPUTED_VALUE"""),"Saipos Serviços De Software")</f>
        <v>Saipos Serviços De Software</v>
      </c>
      <c r="N9974" s="33">
        <f>IFERROR(__xludf.DUMMYFUNCTION("""COMPUTED_VALUE"""),1.0)</f>
        <v>1</v>
      </c>
      <c r="O9974" s="4" t="str">
        <f>IFERROR(__xludf.DUMMYFUNCTION("""COMPUTED_VALUE"""),"Saipos Serviços De Software")</f>
        <v>Saipos Serviços De Software</v>
      </c>
      <c r="P9974" s="33">
        <f>IFERROR(__xludf.DUMMYFUNCTION("""COMPUTED_VALUE"""),1.0)</f>
        <v>1</v>
      </c>
      <c r="Q9974" s="4" t="str">
        <f>IFERROR(__xludf.DUMMYFUNCTION("""COMPUTED_VALUE"""),"Saipos Serviços De Software")</f>
        <v>Saipos Serviços De Software</v>
      </c>
      <c r="R9974" s="33">
        <f>IFERROR(__xludf.DUMMYFUNCTION("""COMPUTED_VALUE"""),1.0)</f>
        <v>1</v>
      </c>
      <c r="S9974" s="4" t="str">
        <f>IFERROR(__xludf.DUMMYFUNCTION("""COMPUTED_VALUE"""),"Saipos Serviços De Software")</f>
        <v>Saipos Serviços De Software</v>
      </c>
      <c r="T9974" s="33">
        <f>IFERROR(__xludf.DUMMYFUNCTION("""COMPUTED_VALUE"""),1.0)</f>
        <v>1</v>
      </c>
      <c r="U9974" s="4" t="str">
        <f>IFERROR(__xludf.DUMMYFUNCTION("""COMPUTED_VALUE"""),"Saipos Serviços De Software")</f>
        <v>Saipos Serviços De Software</v>
      </c>
      <c r="V9974" s="33">
        <f>IFERROR(__xludf.DUMMYFUNCTION("""COMPUTED_VALUE"""),1.0)</f>
        <v>1</v>
      </c>
      <c r="W9974" s="4" t="str">
        <f>IFERROR(__xludf.DUMMYFUNCTION("""COMPUTED_VALUE"""),"Saipos Serviços De Software")</f>
        <v>Saipos Serviços De Software</v>
      </c>
      <c r="X9974" s="33">
        <f>IFERROR(__xludf.DUMMYFUNCTION("""COMPUTED_VALUE"""),1.0)</f>
        <v>1</v>
      </c>
    </row>
    <row r="9975">
      <c r="K9975" s="4" t="str">
        <f>IFERROR(__xludf.DUMMYFUNCTION("""COMPUTED_VALUE"""),"MARUJO COMBOS E PORCOES")</f>
        <v>MARUJO COMBOS E PORCOES</v>
      </c>
      <c r="L9975" s="32">
        <f>IFERROR(__xludf.DUMMYFUNCTION("""COMPUTED_VALUE"""),1.0)</f>
        <v>1</v>
      </c>
      <c r="M9975" s="4" t="str">
        <f>IFERROR(__xludf.DUMMYFUNCTION("""COMPUTED_VALUE"""),"Brendi")</f>
        <v>Brendi</v>
      </c>
      <c r="N9975" s="33">
        <f>IFERROR(__xludf.DUMMYFUNCTION("""COMPUTED_VALUE"""),1.0)</f>
        <v>1</v>
      </c>
      <c r="O9975" s="4" t="str">
        <f>IFERROR(__xludf.DUMMYFUNCTION("""COMPUTED_VALUE"""),"null")</f>
        <v>null</v>
      </c>
      <c r="P9975" s="33">
        <f>IFERROR(__xludf.DUMMYFUNCTION("""COMPUTED_VALUE"""),1.0)</f>
        <v>1</v>
      </c>
      <c r="Q9975" s="4" t="str">
        <f>IFERROR(__xludf.DUMMYFUNCTION("""COMPUTED_VALUE"""),"null")</f>
        <v>null</v>
      </c>
      <c r="R9975" s="33">
        <f>IFERROR(__xludf.DUMMYFUNCTION("""COMPUTED_VALUE"""),1.0)</f>
        <v>1</v>
      </c>
      <c r="S9975" s="4" t="str">
        <f>IFERROR(__xludf.DUMMYFUNCTION("""COMPUTED_VALUE"""),"null")</f>
        <v>null</v>
      </c>
      <c r="T9975" s="33">
        <f>IFERROR(__xludf.DUMMYFUNCTION("""COMPUTED_VALUE"""),1.0)</f>
        <v>1</v>
      </c>
      <c r="U9975" s="4" t="str">
        <f>IFERROR(__xludf.DUMMYFUNCTION("""COMPUTED_VALUE"""),"null")</f>
        <v>null</v>
      </c>
      <c r="V9975" s="33">
        <f>IFERROR(__xludf.DUMMYFUNCTION("""COMPUTED_VALUE"""),1.0)</f>
        <v>1</v>
      </c>
      <c r="W9975" s="4" t="str">
        <f>IFERROR(__xludf.DUMMYFUNCTION("""COMPUTED_VALUE"""),"null")</f>
        <v>null</v>
      </c>
      <c r="X9975" s="33">
        <f>IFERROR(__xludf.DUMMYFUNCTION("""COMPUTED_VALUE"""),1.0)</f>
        <v>1</v>
      </c>
    </row>
    <row r="9976">
      <c r="K9976" s="4" t="str">
        <f>IFERROR(__xludf.DUMMYFUNCTION("""COMPUTED_VALUE"""),"DINO BURGUER - HAMBURGUER ARTESANAL")</f>
        <v>DINO BURGUER - HAMBURGUER ARTESANAL</v>
      </c>
      <c r="L9976" s="32">
        <f>IFERROR(__xludf.DUMMYFUNCTION("""COMPUTED_VALUE"""),1.0)</f>
        <v>1</v>
      </c>
      <c r="M9976" s="4" t="str">
        <f>IFERROR(__xludf.DUMMYFUNCTION("""COMPUTED_VALUE"""),"Anota Ai Solucoes Digitais S/a")</f>
        <v>Anota Ai Solucoes Digitais S/a</v>
      </c>
      <c r="N9976" s="33">
        <f>IFERROR(__xludf.DUMMYFUNCTION("""COMPUTED_VALUE"""),1.0)</f>
        <v>1</v>
      </c>
      <c r="O9976" s="4" t="str">
        <f>IFERROR(__xludf.DUMMYFUNCTION("""COMPUTED_VALUE"""),"Anota Ai Solucoes Digitais S/a")</f>
        <v>Anota Ai Solucoes Digitais S/a</v>
      </c>
      <c r="P9976" s="33">
        <f>IFERROR(__xludf.DUMMYFUNCTION("""COMPUTED_VALUE"""),1.0)</f>
        <v>1</v>
      </c>
      <c r="Q9976" s="4" t="str">
        <f>IFERROR(__xludf.DUMMYFUNCTION("""COMPUTED_VALUE"""),"Anota Ai Solucoes Digitais S/a")</f>
        <v>Anota Ai Solucoes Digitais S/a</v>
      </c>
      <c r="R9976" s="33">
        <f>IFERROR(__xludf.DUMMYFUNCTION("""COMPUTED_VALUE"""),1.0)</f>
        <v>1</v>
      </c>
      <c r="S9976" s="4" t="str">
        <f>IFERROR(__xludf.DUMMYFUNCTION("""COMPUTED_VALUE"""),"Anota Ai Solucoes Digitais S/a")</f>
        <v>Anota Ai Solucoes Digitais S/a</v>
      </c>
      <c r="T9976" s="33">
        <f>IFERROR(__xludf.DUMMYFUNCTION("""COMPUTED_VALUE"""),1.0)</f>
        <v>1</v>
      </c>
      <c r="U9976" s="4" t="str">
        <f>IFERROR(__xludf.DUMMYFUNCTION("""COMPUTED_VALUE"""),"Anota Ai Solucoes Digitais S/a")</f>
        <v>Anota Ai Solucoes Digitais S/a</v>
      </c>
      <c r="V9976" s="33">
        <f>IFERROR(__xludf.DUMMYFUNCTION("""COMPUTED_VALUE"""),1.0)</f>
        <v>1</v>
      </c>
      <c r="W9976" s="4" t="str">
        <f>IFERROR(__xludf.DUMMYFUNCTION("""COMPUTED_VALUE"""),"Anota Ai Solucoes Digitais S/a")</f>
        <v>Anota Ai Solucoes Digitais S/a</v>
      </c>
      <c r="X9976" s="33">
        <f>IFERROR(__xludf.DUMMYFUNCTION("""COMPUTED_VALUE"""),1.0)</f>
        <v>1</v>
      </c>
    </row>
    <row r="9977">
      <c r="K9977" s="4" t="str">
        <f>IFERROR(__xludf.DUMMYFUNCTION("""COMPUTED_VALUE"""),"FIRE BURGUER - STEAKHOUSE")</f>
        <v>FIRE BURGUER - STEAKHOUSE</v>
      </c>
      <c r="L9977" s="32">
        <f>IFERROR(__xludf.DUMMYFUNCTION("""COMPUTED_VALUE"""),1.0)</f>
        <v>1</v>
      </c>
      <c r="M9977" s="4" t="str">
        <f>IFERROR(__xludf.DUMMYFUNCTION("""COMPUTED_VALUE"""),"Saipos Serviços De Software")</f>
        <v>Saipos Serviços De Software</v>
      </c>
      <c r="N9977" s="33">
        <f>IFERROR(__xludf.DUMMYFUNCTION("""COMPUTED_VALUE"""),1.0)</f>
        <v>1</v>
      </c>
      <c r="O9977" s="4" t="str">
        <f>IFERROR(__xludf.DUMMYFUNCTION("""COMPUTED_VALUE"""),"Suitable Tecnologia E Gestao")</f>
        <v>Suitable Tecnologia E Gestao</v>
      </c>
      <c r="P9977" s="33">
        <f>IFERROR(__xludf.DUMMYFUNCTION("""COMPUTED_VALUE"""),1.0)</f>
        <v>1</v>
      </c>
      <c r="Q9977" s="4" t="str">
        <f>IFERROR(__xludf.DUMMYFUNCTION("""COMPUTED_VALUE"""),"Saipos Serviços De Software")</f>
        <v>Saipos Serviços De Software</v>
      </c>
      <c r="R9977" s="33">
        <f>IFERROR(__xludf.DUMMYFUNCTION("""COMPUTED_VALUE"""),1.0)</f>
        <v>1</v>
      </c>
      <c r="S9977" s="4" t="str">
        <f>IFERROR(__xludf.DUMMYFUNCTION("""COMPUTED_VALUE"""),"Saipos Serviços De Software")</f>
        <v>Saipos Serviços De Software</v>
      </c>
      <c r="T9977" s="33">
        <f>IFERROR(__xludf.DUMMYFUNCTION("""COMPUTED_VALUE"""),1.0)</f>
        <v>1</v>
      </c>
      <c r="U9977" s="4" t="str">
        <f>IFERROR(__xludf.DUMMYFUNCTION("""COMPUTED_VALUE"""),"Saipos Serviços De Software")</f>
        <v>Saipos Serviços De Software</v>
      </c>
      <c r="V9977" s="33">
        <f>IFERROR(__xludf.DUMMYFUNCTION("""COMPUTED_VALUE"""),1.0)</f>
        <v>1</v>
      </c>
      <c r="W9977" s="4" t="str">
        <f>IFERROR(__xludf.DUMMYFUNCTION("""COMPUTED_VALUE"""),"Saipos Serviços De Software")</f>
        <v>Saipos Serviços De Software</v>
      </c>
      <c r="X9977" s="33">
        <f>IFERROR(__xludf.DUMMYFUNCTION("""COMPUTED_VALUE"""),1.0)</f>
        <v>1</v>
      </c>
    </row>
    <row r="9978">
      <c r="K9978" s="4" t="str">
        <f>IFERROR(__xludf.DUMMYFUNCTION("""COMPUTED_VALUE"""),"COSTELA ASSADOS FAMILIA GB")</f>
        <v>COSTELA ASSADOS FAMILIA GB</v>
      </c>
      <c r="L9978" s="32">
        <f>IFERROR(__xludf.DUMMYFUNCTION("""COMPUTED_VALUE"""),1.0)</f>
        <v>1</v>
      </c>
      <c r="M9978" s="4" t="str">
        <f>IFERROR(__xludf.DUMMYFUNCTION("""COMPUTED_VALUE"""),"Saipos Serviços De Software")</f>
        <v>Saipos Serviços De Software</v>
      </c>
      <c r="N9978" s="33">
        <f>IFERROR(__xludf.DUMMYFUNCTION("""COMPUTED_VALUE"""),1.0)</f>
        <v>1</v>
      </c>
      <c r="O9978" s="4" t="str">
        <f>IFERROR(__xludf.DUMMYFUNCTION("""COMPUTED_VALUE"""),"Saipos Serviços De Software")</f>
        <v>Saipos Serviços De Software</v>
      </c>
      <c r="P9978" s="33">
        <f>IFERROR(__xludf.DUMMYFUNCTION("""COMPUTED_VALUE"""),1.0)</f>
        <v>1</v>
      </c>
      <c r="Q9978" s="4" t="str">
        <f>IFERROR(__xludf.DUMMYFUNCTION("""COMPUTED_VALUE"""),"Saipos Serviços De Software")</f>
        <v>Saipos Serviços De Software</v>
      </c>
      <c r="R9978" s="33">
        <f>IFERROR(__xludf.DUMMYFUNCTION("""COMPUTED_VALUE"""),1.0)</f>
        <v>1</v>
      </c>
      <c r="S9978" s="4" t="str">
        <f>IFERROR(__xludf.DUMMYFUNCTION("""COMPUTED_VALUE"""),"Saipos Serviços De Software")</f>
        <v>Saipos Serviços De Software</v>
      </c>
      <c r="T9978" s="33">
        <f>IFERROR(__xludf.DUMMYFUNCTION("""COMPUTED_VALUE"""),1.0)</f>
        <v>1</v>
      </c>
      <c r="U9978" s="4" t="str">
        <f>IFERROR(__xludf.DUMMYFUNCTION("""COMPUTED_VALUE"""),"Saipos Serviços De Software")</f>
        <v>Saipos Serviços De Software</v>
      </c>
      <c r="V9978" s="33">
        <f>IFERROR(__xludf.DUMMYFUNCTION("""COMPUTED_VALUE"""),1.0)</f>
        <v>1</v>
      </c>
      <c r="W9978" s="4" t="str">
        <f>IFERROR(__xludf.DUMMYFUNCTION("""COMPUTED_VALUE"""),"Saipos Serviços De Software")</f>
        <v>Saipos Serviços De Software</v>
      </c>
      <c r="X9978" s="33">
        <f>IFERROR(__xludf.DUMMYFUNCTION("""COMPUTED_VALUE"""),1.0)</f>
        <v>1</v>
      </c>
    </row>
    <row r="9979">
      <c r="K9979" s="4" t="str">
        <f>IFERROR(__xludf.DUMMYFUNCTION("""COMPUTED_VALUE"""),"CAMI DOCES")</f>
        <v>CAMI DOCES</v>
      </c>
      <c r="L9979" s="32">
        <f>IFERROR(__xludf.DUMMYFUNCTION("""COMPUTED_VALUE"""),1.0)</f>
        <v>1</v>
      </c>
      <c r="M9979" s="4" t="str">
        <f>IFERROR(__xludf.DUMMYFUNCTION("""COMPUTED_VALUE"""),"Instadelivery")</f>
        <v>Instadelivery</v>
      </c>
      <c r="N9979" s="33">
        <f>IFERROR(__xludf.DUMMYFUNCTION("""COMPUTED_VALUE"""),1.0)</f>
        <v>1</v>
      </c>
      <c r="O9979" s="4" t="str">
        <f>IFERROR(__xludf.DUMMYFUNCTION("""COMPUTED_VALUE"""),"Instadelivery")</f>
        <v>Instadelivery</v>
      </c>
      <c r="P9979" s="33">
        <f>IFERROR(__xludf.DUMMYFUNCTION("""COMPUTED_VALUE"""),1.0)</f>
        <v>1</v>
      </c>
      <c r="Q9979" s="4" t="str">
        <f>IFERROR(__xludf.DUMMYFUNCTION("""COMPUTED_VALUE"""),"Instadelivery")</f>
        <v>Instadelivery</v>
      </c>
      <c r="R9979" s="33">
        <f>IFERROR(__xludf.DUMMYFUNCTION("""COMPUTED_VALUE"""),1.0)</f>
        <v>1</v>
      </c>
      <c r="S9979" s="4" t="str">
        <f>IFERROR(__xludf.DUMMYFUNCTION("""COMPUTED_VALUE"""),"Instadelivery")</f>
        <v>Instadelivery</v>
      </c>
      <c r="T9979" s="33">
        <f>IFERROR(__xludf.DUMMYFUNCTION("""COMPUTED_VALUE"""),1.0)</f>
        <v>1</v>
      </c>
      <c r="U9979" s="4" t="str">
        <f>IFERROR(__xludf.DUMMYFUNCTION("""COMPUTED_VALUE"""),"Instadelivery")</f>
        <v>Instadelivery</v>
      </c>
      <c r="V9979" s="33">
        <f>IFERROR(__xludf.DUMMYFUNCTION("""COMPUTED_VALUE"""),1.0)</f>
        <v>1</v>
      </c>
      <c r="W9979" s="4" t="str">
        <f>IFERROR(__xludf.DUMMYFUNCTION("""COMPUTED_VALUE"""),"Instadelivery")</f>
        <v>Instadelivery</v>
      </c>
      <c r="X9979" s="33">
        <f>IFERROR(__xludf.DUMMYFUNCTION("""COMPUTED_VALUE"""),1.0)</f>
        <v>1</v>
      </c>
    </row>
    <row r="9980">
      <c r="K9980" s="4" t="str">
        <f>IFERROR(__xludf.DUMMYFUNCTION("""COMPUTED_VALUE"""),"PET SHOP IMPAR")</f>
        <v>PET SHOP IMPAR</v>
      </c>
      <c r="L9980" s="32">
        <f>IFERROR(__xludf.DUMMYFUNCTION("""COMPUTED_VALUE"""),1.0)</f>
        <v>1</v>
      </c>
      <c r="M9980" s="4" t="str">
        <f>IFERROR(__xludf.DUMMYFUNCTION("""COMPUTED_VALUE"""),"N/A (Not found)")</f>
        <v>N/A (Not found)</v>
      </c>
      <c r="N9980" s="33">
        <f>IFERROR(__xludf.DUMMYFUNCTION("""COMPUTED_VALUE"""),1.0)</f>
        <v>1</v>
      </c>
      <c r="O9980" s="4" t="str">
        <f>IFERROR(__xludf.DUMMYFUNCTION("""COMPUTED_VALUE"""),"N/A (Not found)")</f>
        <v>N/A (Not found)</v>
      </c>
      <c r="P9980" s="33">
        <f>IFERROR(__xludf.DUMMYFUNCTION("""COMPUTED_VALUE"""),1.0)</f>
        <v>1</v>
      </c>
      <c r="Q9980" s="4" t="str">
        <f>IFERROR(__xludf.DUMMYFUNCTION("""COMPUTED_VALUE"""),"N/A (Not found)")</f>
        <v>N/A (Not found)</v>
      </c>
      <c r="R9980" s="33">
        <f>IFERROR(__xludf.DUMMYFUNCTION("""COMPUTED_VALUE"""),1.0)</f>
        <v>1</v>
      </c>
      <c r="S9980" s="4" t="str">
        <f>IFERROR(__xludf.DUMMYFUNCTION("""COMPUTED_VALUE"""),"N/A (Not found)")</f>
        <v>N/A (Not found)</v>
      </c>
      <c r="T9980" s="33">
        <f>IFERROR(__xludf.DUMMYFUNCTION("""COMPUTED_VALUE"""),1.0)</f>
        <v>1</v>
      </c>
      <c r="U9980" s="4" t="str">
        <f>IFERROR(__xludf.DUMMYFUNCTION("""COMPUTED_VALUE"""),"N/A (Not found)")</f>
        <v>N/A (Not found)</v>
      </c>
      <c r="V9980" s="33">
        <f>IFERROR(__xludf.DUMMYFUNCTION("""COMPUTED_VALUE"""),1.0)</f>
        <v>1</v>
      </c>
      <c r="W9980" s="4" t="str">
        <f>IFERROR(__xludf.DUMMYFUNCTION("""COMPUTED_VALUE"""),"N/A (Not found)")</f>
        <v>N/A (Not found)</v>
      </c>
      <c r="X9980" s="33">
        <f>IFERROR(__xludf.DUMMYFUNCTION("""COMPUTED_VALUE"""),1.0)</f>
        <v>1</v>
      </c>
    </row>
    <row r="9981">
      <c r="K9981" s="4" t="str">
        <f>IFERROR(__xludf.DUMMYFUNCTION("""COMPUTED_VALUE"""),"DREA 10 MAKEUP")</f>
        <v>DREA 10 MAKEUP</v>
      </c>
      <c r="L9981" s="32">
        <f>IFERROR(__xludf.DUMMYFUNCTION("""COMPUTED_VALUE"""),1.0)</f>
        <v>1</v>
      </c>
      <c r="M9981" s="4" t="str">
        <f>IFERROR(__xludf.DUMMYFUNCTION("""COMPUTED_VALUE"""),"N/A (Not found)")</f>
        <v>N/A (Not found)</v>
      </c>
      <c r="N9981" s="33">
        <f>IFERROR(__xludf.DUMMYFUNCTION("""COMPUTED_VALUE"""),1.0)</f>
        <v>1</v>
      </c>
      <c r="O9981" s="4" t="str">
        <f>IFERROR(__xludf.DUMMYFUNCTION("""COMPUTED_VALUE"""),"N/A (Not found)")</f>
        <v>N/A (Not found)</v>
      </c>
      <c r="P9981" s="33">
        <f>IFERROR(__xludf.DUMMYFUNCTION("""COMPUTED_VALUE"""),1.0)</f>
        <v>1</v>
      </c>
      <c r="Q9981" s="4" t="str">
        <f>IFERROR(__xludf.DUMMYFUNCTION("""COMPUTED_VALUE"""),"N/A (Not found)")</f>
        <v>N/A (Not found)</v>
      </c>
      <c r="R9981" s="33">
        <f>IFERROR(__xludf.DUMMYFUNCTION("""COMPUTED_VALUE"""),1.0)</f>
        <v>1</v>
      </c>
      <c r="S9981" s="4" t="str">
        <f>IFERROR(__xludf.DUMMYFUNCTION("""COMPUTED_VALUE"""),"N/A (Not found)")</f>
        <v>N/A (Not found)</v>
      </c>
      <c r="T9981" s="33">
        <f>IFERROR(__xludf.DUMMYFUNCTION("""COMPUTED_VALUE"""),1.0)</f>
        <v>1</v>
      </c>
      <c r="U9981" s="4" t="str">
        <f>IFERROR(__xludf.DUMMYFUNCTION("""COMPUTED_VALUE"""),"N/A (Not found)")</f>
        <v>N/A (Not found)</v>
      </c>
      <c r="V9981" s="33">
        <f>IFERROR(__xludf.DUMMYFUNCTION("""COMPUTED_VALUE"""),1.0)</f>
        <v>1</v>
      </c>
      <c r="W9981" s="4" t="str">
        <f>IFERROR(__xludf.DUMMYFUNCTION("""COMPUTED_VALUE"""),"N/A (Not found)")</f>
        <v>N/A (Not found)</v>
      </c>
      <c r="X9981" s="33">
        <f>IFERROR(__xludf.DUMMYFUNCTION("""COMPUTED_VALUE"""),1.0)</f>
        <v>1</v>
      </c>
    </row>
    <row r="9982">
      <c r="K9982" s="4" t="str">
        <f>IFERROR(__xludf.DUMMYFUNCTION("""COMPUTED_VALUE"""),"PIRRIM ESPETARIA")</f>
        <v>PIRRIM ESPETARIA</v>
      </c>
      <c r="L9982" s="32">
        <f>IFERROR(__xludf.DUMMYFUNCTION("""COMPUTED_VALUE"""),1.0)</f>
        <v>1</v>
      </c>
      <c r="M9982" s="4" t="str">
        <f>IFERROR(__xludf.DUMMYFUNCTION("""COMPUTED_VALUE"""),"Consumer Soluções Em Tecnologia Ltda")</f>
        <v>Consumer Soluções Em Tecnologia Ltda</v>
      </c>
      <c r="N9982" s="33">
        <f>IFERROR(__xludf.DUMMYFUNCTION("""COMPUTED_VALUE"""),1.0)</f>
        <v>1</v>
      </c>
      <c r="O9982" s="4" t="str">
        <f>IFERROR(__xludf.DUMMYFUNCTION("""COMPUTED_VALUE"""),"null")</f>
        <v>null</v>
      </c>
      <c r="P9982" s="33">
        <f>IFERROR(__xludf.DUMMYFUNCTION("""COMPUTED_VALUE"""),1.0)</f>
        <v>1</v>
      </c>
      <c r="Q9982" s="4" t="str">
        <f>IFERROR(__xludf.DUMMYFUNCTION("""COMPUTED_VALUE"""),"Consumer Soluções Em Tecnologia Ltda")</f>
        <v>Consumer Soluções Em Tecnologia Ltda</v>
      </c>
      <c r="R9982" s="33">
        <f>IFERROR(__xludf.DUMMYFUNCTION("""COMPUTED_VALUE"""),1.0)</f>
        <v>1</v>
      </c>
      <c r="S9982" s="4" t="str">
        <f>IFERROR(__xludf.DUMMYFUNCTION("""COMPUTED_VALUE"""),"null")</f>
        <v>null</v>
      </c>
      <c r="T9982" s="33">
        <f>IFERROR(__xludf.DUMMYFUNCTION("""COMPUTED_VALUE"""),1.0)</f>
        <v>1</v>
      </c>
      <c r="U9982" s="4" t="str">
        <f>IFERROR(__xludf.DUMMYFUNCTION("""COMPUTED_VALUE"""),"Consumer Soluções Em Tecnologia Ltda")</f>
        <v>Consumer Soluções Em Tecnologia Ltda</v>
      </c>
      <c r="V9982" s="33">
        <f>IFERROR(__xludf.DUMMYFUNCTION("""COMPUTED_VALUE"""),1.0)</f>
        <v>1</v>
      </c>
      <c r="W9982" s="4" t="str">
        <f>IFERROR(__xludf.DUMMYFUNCTION("""COMPUTED_VALUE"""),"Consumer Soluções Em Tecnologia Ltda")</f>
        <v>Consumer Soluções Em Tecnologia Ltda</v>
      </c>
      <c r="X9982" s="33">
        <f>IFERROR(__xludf.DUMMYFUNCTION("""COMPUTED_VALUE"""),1.0)</f>
        <v>1</v>
      </c>
    </row>
    <row r="9983">
      <c r="K9983" s="4" t="str">
        <f>IFERROR(__xludf.DUMMYFUNCTION("""COMPUTED_VALUE"""),"VAPT BURGER HAMBURGUERIA")</f>
        <v>VAPT BURGER HAMBURGUERIA</v>
      </c>
      <c r="L9983" s="32">
        <f>IFERROR(__xludf.DUMMYFUNCTION("""COMPUTED_VALUE"""),1.0)</f>
        <v>1</v>
      </c>
      <c r="M9983" s="4" t="str">
        <f>IFERROR(__xludf.DUMMYFUNCTION("""COMPUTED_VALUE"""),"Cardápio Web")</f>
        <v>Cardápio Web</v>
      </c>
      <c r="N9983" s="33">
        <f>IFERROR(__xludf.DUMMYFUNCTION("""COMPUTED_VALUE"""),1.0)</f>
        <v>1</v>
      </c>
      <c r="O9983" s="4" t="str">
        <f>IFERROR(__xludf.DUMMYFUNCTION("""COMPUTED_VALUE"""),"Cardápio Web")</f>
        <v>Cardápio Web</v>
      </c>
      <c r="P9983" s="33">
        <f>IFERROR(__xludf.DUMMYFUNCTION("""COMPUTED_VALUE"""),1.0)</f>
        <v>1</v>
      </c>
      <c r="Q9983" s="4" t="str">
        <f>IFERROR(__xludf.DUMMYFUNCTION("""COMPUTED_VALUE"""),"Saipos Serviços De Software")</f>
        <v>Saipos Serviços De Software</v>
      </c>
      <c r="R9983" s="33">
        <f>IFERROR(__xludf.DUMMYFUNCTION("""COMPUTED_VALUE"""),1.0)</f>
        <v>1</v>
      </c>
      <c r="S9983" s="4" t="str">
        <f>IFERROR(__xludf.DUMMYFUNCTION("""COMPUTED_VALUE"""),"Saipos Serviços De Software")</f>
        <v>Saipos Serviços De Software</v>
      </c>
      <c r="T9983" s="33">
        <f>IFERROR(__xludf.DUMMYFUNCTION("""COMPUTED_VALUE"""),1.0)</f>
        <v>1</v>
      </c>
      <c r="U9983" s="4" t="str">
        <f>IFERROR(__xludf.DUMMYFUNCTION("""COMPUTED_VALUE"""),"Saipos Serviços De Software")</f>
        <v>Saipos Serviços De Software</v>
      </c>
      <c r="V9983" s="33">
        <f>IFERROR(__xludf.DUMMYFUNCTION("""COMPUTED_VALUE"""),1.0)</f>
        <v>1</v>
      </c>
      <c r="W9983" s="4" t="str">
        <f>IFERROR(__xludf.DUMMYFUNCTION("""COMPUTED_VALUE"""),"Saipos Serviços De Software")</f>
        <v>Saipos Serviços De Software</v>
      </c>
      <c r="X9983" s="33">
        <f>IFERROR(__xludf.DUMMYFUNCTION("""COMPUTED_VALUE"""),1.0)</f>
        <v>1</v>
      </c>
    </row>
    <row r="9984">
      <c r="K9984" s="4" t="str">
        <f>IFERROR(__xludf.DUMMYFUNCTION("""COMPUTED_VALUE"""),"TIA NICE LANCHES")</f>
        <v>TIA NICE LANCHES</v>
      </c>
      <c r="L9984" s="32">
        <f>IFERROR(__xludf.DUMMYFUNCTION("""COMPUTED_VALUE"""),1.0)</f>
        <v>1</v>
      </c>
      <c r="M9984" s="4" t="str">
        <f>IFERROR(__xludf.DUMMYFUNCTION("""COMPUTED_VALUE"""),"Saipos Serviços De Software")</f>
        <v>Saipos Serviços De Software</v>
      </c>
      <c r="N9984" s="33">
        <f>IFERROR(__xludf.DUMMYFUNCTION("""COMPUTED_VALUE"""),1.0)</f>
        <v>1</v>
      </c>
      <c r="O9984" s="4" t="str">
        <f>IFERROR(__xludf.DUMMYFUNCTION("""COMPUTED_VALUE"""),"Saipos Serviços De Software")</f>
        <v>Saipos Serviços De Software</v>
      </c>
      <c r="P9984" s="33">
        <f>IFERROR(__xludf.DUMMYFUNCTION("""COMPUTED_VALUE"""),1.0)</f>
        <v>1</v>
      </c>
      <c r="Q9984" s="4" t="str">
        <f>IFERROR(__xludf.DUMMYFUNCTION("""COMPUTED_VALUE"""),"Saipos Serviços De Software")</f>
        <v>Saipos Serviços De Software</v>
      </c>
      <c r="R9984" s="33">
        <f>IFERROR(__xludf.DUMMYFUNCTION("""COMPUTED_VALUE"""),1.0)</f>
        <v>1</v>
      </c>
      <c r="S9984" s="4" t="str">
        <f>IFERROR(__xludf.DUMMYFUNCTION("""COMPUTED_VALUE"""),"Saipos Serviços De Software")</f>
        <v>Saipos Serviços De Software</v>
      </c>
      <c r="T9984" s="33">
        <f>IFERROR(__xludf.DUMMYFUNCTION("""COMPUTED_VALUE"""),1.0)</f>
        <v>1</v>
      </c>
      <c r="U9984" s="4" t="str">
        <f>IFERROR(__xludf.DUMMYFUNCTION("""COMPUTED_VALUE"""),"Saipos Serviços De Software")</f>
        <v>Saipos Serviços De Software</v>
      </c>
      <c r="V9984" s="33">
        <f>IFERROR(__xludf.DUMMYFUNCTION("""COMPUTED_VALUE"""),1.0)</f>
        <v>1</v>
      </c>
      <c r="W9984" s="4" t="str">
        <f>IFERROR(__xludf.DUMMYFUNCTION("""COMPUTED_VALUE"""),"Saipos Serviços De Software")</f>
        <v>Saipos Serviços De Software</v>
      </c>
      <c r="X9984" s="33">
        <f>IFERROR(__xludf.DUMMYFUNCTION("""COMPUTED_VALUE"""),1.0)</f>
        <v>1</v>
      </c>
    </row>
    <row r="9985">
      <c r="K9985" s="4" t="str">
        <f>IFERROR(__xludf.DUMMYFUNCTION("""COMPUTED_VALUE"""),"PIZZARIA LA PIZZARELLA")</f>
        <v>PIZZARIA LA PIZZARELLA</v>
      </c>
      <c r="L9985" s="32">
        <f>IFERROR(__xludf.DUMMYFUNCTION("""COMPUTED_VALUE"""),1.0)</f>
        <v>1</v>
      </c>
      <c r="M9985" s="4" t="str">
        <f>IFERROR(__xludf.DUMMYFUNCTION("""COMPUTED_VALUE"""),"Saipos Serviços De Software")</f>
        <v>Saipos Serviços De Software</v>
      </c>
      <c r="N9985" s="33">
        <f>IFERROR(__xludf.DUMMYFUNCTION("""COMPUTED_VALUE"""),1.0)</f>
        <v>1</v>
      </c>
      <c r="O9985" s="4" t="str">
        <f>IFERROR(__xludf.DUMMYFUNCTION("""COMPUTED_VALUE"""),"Saipos Serviços De Software")</f>
        <v>Saipos Serviços De Software</v>
      </c>
      <c r="P9985" s="33">
        <f>IFERROR(__xludf.DUMMYFUNCTION("""COMPUTED_VALUE"""),1.0)</f>
        <v>1</v>
      </c>
      <c r="Q9985" s="4" t="str">
        <f>IFERROR(__xludf.DUMMYFUNCTION("""COMPUTED_VALUE"""),"Saipos Serviços De Software")</f>
        <v>Saipos Serviços De Software</v>
      </c>
      <c r="R9985" s="33">
        <f>IFERROR(__xludf.DUMMYFUNCTION("""COMPUTED_VALUE"""),1.0)</f>
        <v>1</v>
      </c>
      <c r="S9985" s="4" t="str">
        <f>IFERROR(__xludf.DUMMYFUNCTION("""COMPUTED_VALUE"""),"Saipos Serviços De Software")</f>
        <v>Saipos Serviços De Software</v>
      </c>
      <c r="T9985" s="33">
        <f>IFERROR(__xludf.DUMMYFUNCTION("""COMPUTED_VALUE"""),1.0)</f>
        <v>1</v>
      </c>
      <c r="U9985" s="4" t="str">
        <f>IFERROR(__xludf.DUMMYFUNCTION("""COMPUTED_VALUE"""),"Saipos Serviços De Software")</f>
        <v>Saipos Serviços De Software</v>
      </c>
      <c r="V9985" s="33">
        <f>IFERROR(__xludf.DUMMYFUNCTION("""COMPUTED_VALUE"""),1.0)</f>
        <v>1</v>
      </c>
      <c r="W9985" s="4" t="str">
        <f>IFERROR(__xludf.DUMMYFUNCTION("""COMPUTED_VALUE"""),"Saipos Serviços De Software")</f>
        <v>Saipos Serviços De Software</v>
      </c>
      <c r="X9985" s="33">
        <f>IFERROR(__xludf.DUMMYFUNCTION("""COMPUTED_VALUE"""),1.0)</f>
        <v>1</v>
      </c>
    </row>
    <row r="9986">
      <c r="K9986" s="4" t="str">
        <f>IFERROR(__xludf.DUMMYFUNCTION("""COMPUTED_VALUE"""),"VOLO - PIZZA FATTA A MANO PALHOCA")</f>
        <v>VOLO - PIZZA FATTA A MANO PALHOCA</v>
      </c>
      <c r="L9986" s="32">
        <f>IFERROR(__xludf.DUMMYFUNCTION("""COMPUTED_VALUE"""),1.0)</f>
        <v>1</v>
      </c>
      <c r="M9986" s="4" t="str">
        <f>IFERROR(__xludf.DUMMYFUNCTION("""COMPUTED_VALUE"""),"Cardápio Web")</f>
        <v>Cardápio Web</v>
      </c>
      <c r="N9986" s="33">
        <f>IFERROR(__xludf.DUMMYFUNCTION("""COMPUTED_VALUE"""),1.0)</f>
        <v>1</v>
      </c>
      <c r="O9986" s="4" t="str">
        <f>IFERROR(__xludf.DUMMYFUNCTION("""COMPUTED_VALUE"""),"Cardápio Web")</f>
        <v>Cardápio Web</v>
      </c>
      <c r="P9986" s="33">
        <f>IFERROR(__xludf.DUMMYFUNCTION("""COMPUTED_VALUE"""),1.0)</f>
        <v>1</v>
      </c>
      <c r="Q9986" s="4" t="str">
        <f>IFERROR(__xludf.DUMMYFUNCTION("""COMPUTED_VALUE"""),"Cardápio Web")</f>
        <v>Cardápio Web</v>
      </c>
      <c r="R9986" s="33">
        <f>IFERROR(__xludf.DUMMYFUNCTION("""COMPUTED_VALUE"""),1.0)</f>
        <v>1</v>
      </c>
      <c r="S9986" s="4" t="str">
        <f>IFERROR(__xludf.DUMMYFUNCTION("""COMPUTED_VALUE"""),"null")</f>
        <v>null</v>
      </c>
      <c r="T9986" s="33">
        <f>IFERROR(__xludf.DUMMYFUNCTION("""COMPUTED_VALUE"""),1.0)</f>
        <v>1</v>
      </c>
      <c r="U9986" s="4" t="str">
        <f>IFERROR(__xludf.DUMMYFUNCTION("""COMPUTED_VALUE"""),"Cardápio Web")</f>
        <v>Cardápio Web</v>
      </c>
      <c r="V9986" s="33">
        <f>IFERROR(__xludf.DUMMYFUNCTION("""COMPUTED_VALUE"""),1.0)</f>
        <v>1</v>
      </c>
      <c r="W9986" s="4" t="str">
        <f>IFERROR(__xludf.DUMMYFUNCTION("""COMPUTED_VALUE"""),"Cardápio Web")</f>
        <v>Cardápio Web</v>
      </c>
      <c r="X9986" s="33">
        <f>IFERROR(__xludf.DUMMYFUNCTION("""COMPUTED_VALUE"""),1.0)</f>
        <v>1</v>
      </c>
    </row>
    <row r="9987">
      <c r="K9987" s="4" t="str">
        <f>IFERROR(__xludf.DUMMYFUNCTION("""COMPUTED_VALUE"""),"JJ RODRIGUES DISTRIBUIDORA")</f>
        <v>JJ RODRIGUES DISTRIBUIDORA</v>
      </c>
      <c r="L9987" s="32">
        <f>IFERROR(__xludf.DUMMYFUNCTION("""COMPUTED_VALUE"""),1.0)</f>
        <v>1</v>
      </c>
      <c r="M9987" s="4" t="str">
        <f>IFERROR(__xludf.DUMMYFUNCTION("""COMPUTED_VALUE"""),"null")</f>
        <v>null</v>
      </c>
      <c r="N9987" s="33">
        <f>IFERROR(__xludf.DUMMYFUNCTION("""COMPUTED_VALUE"""),1.0)</f>
        <v>1</v>
      </c>
      <c r="O9987" s="4" t="str">
        <f>IFERROR(__xludf.DUMMYFUNCTION("""COMPUTED_VALUE"""),"null")</f>
        <v>null</v>
      </c>
      <c r="P9987" s="33">
        <f>IFERROR(__xludf.DUMMYFUNCTION("""COMPUTED_VALUE"""),1.0)</f>
        <v>1</v>
      </c>
      <c r="Q9987" s="4" t="str">
        <f>IFERROR(__xludf.DUMMYFUNCTION("""COMPUTED_VALUE"""),"N/A (Not found)")</f>
        <v>N/A (Not found)</v>
      </c>
      <c r="R9987" s="33">
        <f>IFERROR(__xludf.DUMMYFUNCTION("""COMPUTED_VALUE"""),1.0)</f>
        <v>1</v>
      </c>
      <c r="S9987" s="4" t="str">
        <f>IFERROR(__xludf.DUMMYFUNCTION("""COMPUTED_VALUE"""),"N/A (Not found)")</f>
        <v>N/A (Not found)</v>
      </c>
      <c r="T9987" s="33">
        <f>IFERROR(__xludf.DUMMYFUNCTION("""COMPUTED_VALUE"""),1.0)</f>
        <v>1</v>
      </c>
      <c r="U9987" s="4" t="str">
        <f>IFERROR(__xludf.DUMMYFUNCTION("""COMPUTED_VALUE"""),"N/A (Not found)")</f>
        <v>N/A (Not found)</v>
      </c>
      <c r="V9987" s="33">
        <f>IFERROR(__xludf.DUMMYFUNCTION("""COMPUTED_VALUE"""),1.0)</f>
        <v>1</v>
      </c>
      <c r="W9987" s="4" t="str">
        <f>IFERROR(__xludf.DUMMYFUNCTION("""COMPUTED_VALUE"""),"N/A (Not found)")</f>
        <v>N/A (Not found)</v>
      </c>
      <c r="X9987" s="33">
        <f>IFERROR(__xludf.DUMMYFUNCTION("""COMPUTED_VALUE"""),1.0)</f>
        <v>1</v>
      </c>
    </row>
    <row r="9988">
      <c r="K9988" s="4" t="str">
        <f>IFERROR(__xludf.DUMMYFUNCTION("""COMPUTED_VALUE"""),"LOJA PEGA BARATO")</f>
        <v>LOJA PEGA BARATO</v>
      </c>
      <c r="L9988" s="32">
        <f>IFERROR(__xludf.DUMMYFUNCTION("""COMPUTED_VALUE"""),1.0)</f>
        <v>1</v>
      </c>
      <c r="M9988" s="4" t="str">
        <f>IFERROR(__xludf.DUMMYFUNCTION("""COMPUTED_VALUE"""),"N/A (Not found)")</f>
        <v>N/A (Not found)</v>
      </c>
      <c r="N9988" s="33">
        <f>IFERROR(__xludf.DUMMYFUNCTION("""COMPUTED_VALUE"""),1.0)</f>
        <v>1</v>
      </c>
      <c r="O9988" s="4" t="str">
        <f>IFERROR(__xludf.DUMMYFUNCTION("""COMPUTED_VALUE"""),"N/A (Not found)")</f>
        <v>N/A (Not found)</v>
      </c>
      <c r="P9988" s="33">
        <f>IFERROR(__xludf.DUMMYFUNCTION("""COMPUTED_VALUE"""),1.0)</f>
        <v>1</v>
      </c>
      <c r="Q9988" s="4" t="str">
        <f>IFERROR(__xludf.DUMMYFUNCTION("""COMPUTED_VALUE"""),"N/A (Not found)")</f>
        <v>N/A (Not found)</v>
      </c>
      <c r="R9988" s="33">
        <f>IFERROR(__xludf.DUMMYFUNCTION("""COMPUTED_VALUE"""),1.0)</f>
        <v>1</v>
      </c>
      <c r="S9988" s="4" t="str">
        <f>IFERROR(__xludf.DUMMYFUNCTION("""COMPUTED_VALUE"""),"N/A (Not found)")</f>
        <v>N/A (Not found)</v>
      </c>
      <c r="T9988" s="33">
        <f>IFERROR(__xludf.DUMMYFUNCTION("""COMPUTED_VALUE"""),1.0)</f>
        <v>1</v>
      </c>
      <c r="U9988" s="4" t="str">
        <f>IFERROR(__xludf.DUMMYFUNCTION("""COMPUTED_VALUE"""),"N/A (Not found)")</f>
        <v>N/A (Not found)</v>
      </c>
      <c r="V9988" s="33">
        <f>IFERROR(__xludf.DUMMYFUNCTION("""COMPUTED_VALUE"""),1.0)</f>
        <v>1</v>
      </c>
      <c r="W9988" s="4" t="str">
        <f>IFERROR(__xludf.DUMMYFUNCTION("""COMPUTED_VALUE"""),"N/A (Not found)")</f>
        <v>N/A (Not found)</v>
      </c>
      <c r="X9988" s="33">
        <f>IFERROR(__xludf.DUMMYFUNCTION("""COMPUTED_VALUE"""),1.0)</f>
        <v>1</v>
      </c>
    </row>
    <row r="9989">
      <c r="K9989" s="4" t="str">
        <f>IFERROR(__xludf.DUMMYFUNCTION("""COMPUTED_VALUE"""),"VILLA ESPETOS")</f>
        <v>VILLA ESPETOS</v>
      </c>
      <c r="L9989" s="32">
        <f>IFERROR(__xludf.DUMMYFUNCTION("""COMPUTED_VALUE"""),1.0)</f>
        <v>1</v>
      </c>
      <c r="M9989" s="4" t="str">
        <f>IFERROR(__xludf.DUMMYFUNCTION("""COMPUTED_VALUE"""),"null")</f>
        <v>null</v>
      </c>
      <c r="N9989" s="33">
        <f>IFERROR(__xludf.DUMMYFUNCTION("""COMPUTED_VALUE"""),1.0)</f>
        <v>1</v>
      </c>
      <c r="O9989" s="4" t="str">
        <f>IFERROR(__xludf.DUMMYFUNCTION("""COMPUTED_VALUE"""),"null")</f>
        <v>null</v>
      </c>
      <c r="P9989" s="33">
        <f>IFERROR(__xludf.DUMMYFUNCTION("""COMPUTED_VALUE"""),1.0)</f>
        <v>1</v>
      </c>
      <c r="Q9989" s="4" t="str">
        <f>IFERROR(__xludf.DUMMYFUNCTION("""COMPUTED_VALUE"""),"null")</f>
        <v>null</v>
      </c>
      <c r="R9989" s="33">
        <f>IFERROR(__xludf.DUMMYFUNCTION("""COMPUTED_VALUE"""),1.0)</f>
        <v>1</v>
      </c>
      <c r="S9989" s="4" t="str">
        <f>IFERROR(__xludf.DUMMYFUNCTION("""COMPUTED_VALUE"""),"Saipos Serviços De Software")</f>
        <v>Saipos Serviços De Software</v>
      </c>
      <c r="T9989" s="33">
        <f>IFERROR(__xludf.DUMMYFUNCTION("""COMPUTED_VALUE"""),1.0)</f>
        <v>1</v>
      </c>
      <c r="U9989" s="4" t="str">
        <f>IFERROR(__xludf.DUMMYFUNCTION("""COMPUTED_VALUE"""),"Saipos Serviços De Software")</f>
        <v>Saipos Serviços De Software</v>
      </c>
      <c r="V9989" s="33">
        <f>IFERROR(__xludf.DUMMYFUNCTION("""COMPUTED_VALUE"""),1.0)</f>
        <v>1</v>
      </c>
      <c r="W9989" s="4" t="str">
        <f>IFERROR(__xludf.DUMMYFUNCTION("""COMPUTED_VALUE"""),"Saipos Serviços De Software")</f>
        <v>Saipos Serviços De Software</v>
      </c>
      <c r="X9989" s="33">
        <f>IFERROR(__xludf.DUMMYFUNCTION("""COMPUTED_VALUE"""),1.0)</f>
        <v>1</v>
      </c>
    </row>
    <row r="9990">
      <c r="K9990" s="4" t="str">
        <f>IFERROR(__xludf.DUMMYFUNCTION("""COMPUTED_VALUE"""),"BAR DA PRAIA PL")</f>
        <v>BAR DA PRAIA PL</v>
      </c>
      <c r="L9990" s="32">
        <f>IFERROR(__xludf.DUMMYFUNCTION("""COMPUTED_VALUE"""),1.0)</f>
        <v>1</v>
      </c>
      <c r="M9990" s="4" t="str">
        <f>IFERROR(__xludf.DUMMYFUNCTION("""COMPUTED_VALUE"""),"Saipos Serviços De Software")</f>
        <v>Saipos Serviços De Software</v>
      </c>
      <c r="N9990" s="33">
        <f>IFERROR(__xludf.DUMMYFUNCTION("""COMPUTED_VALUE"""),1.0)</f>
        <v>1</v>
      </c>
      <c r="O9990" s="4" t="str">
        <f>IFERROR(__xludf.DUMMYFUNCTION("""COMPUTED_VALUE"""),"Saipos Serviços De Software")</f>
        <v>Saipos Serviços De Software</v>
      </c>
      <c r="P9990" s="33">
        <f>IFERROR(__xludf.DUMMYFUNCTION("""COMPUTED_VALUE"""),1.0)</f>
        <v>1</v>
      </c>
      <c r="Q9990" s="4" t="str">
        <f>IFERROR(__xludf.DUMMYFUNCTION("""COMPUTED_VALUE"""),"Saipos Serviços De Software")</f>
        <v>Saipos Serviços De Software</v>
      </c>
      <c r="R9990" s="33">
        <f>IFERROR(__xludf.DUMMYFUNCTION("""COMPUTED_VALUE"""),1.0)</f>
        <v>1</v>
      </c>
      <c r="S9990" s="4" t="str">
        <f>IFERROR(__xludf.DUMMYFUNCTION("""COMPUTED_VALUE"""),"Saipos Serviços De Software")</f>
        <v>Saipos Serviços De Software</v>
      </c>
      <c r="T9990" s="33">
        <f>IFERROR(__xludf.DUMMYFUNCTION("""COMPUTED_VALUE"""),1.0)</f>
        <v>1</v>
      </c>
      <c r="U9990" s="4" t="str">
        <f>IFERROR(__xludf.DUMMYFUNCTION("""COMPUTED_VALUE"""),"Saipos Serviços De Software")</f>
        <v>Saipos Serviços De Software</v>
      </c>
      <c r="V9990" s="33">
        <f>IFERROR(__xludf.DUMMYFUNCTION("""COMPUTED_VALUE"""),1.0)</f>
        <v>1</v>
      </c>
      <c r="W9990" s="4" t="str">
        <f>IFERROR(__xludf.DUMMYFUNCTION("""COMPUTED_VALUE"""),"null")</f>
        <v>null</v>
      </c>
      <c r="X9990" s="33">
        <f>IFERROR(__xludf.DUMMYFUNCTION("""COMPUTED_VALUE"""),1.0)</f>
        <v>1</v>
      </c>
    </row>
    <row r="9991">
      <c r="K9991" s="4" t="str">
        <f>IFERROR(__xludf.DUMMYFUNCTION("""COMPUTED_VALUE"""),"HIKARI BLACK PREMIUM DELIVERY")</f>
        <v>HIKARI BLACK PREMIUM DELIVERY</v>
      </c>
      <c r="L9991" s="32">
        <f>IFERROR(__xludf.DUMMYFUNCTION("""COMPUTED_VALUE"""),1.0)</f>
        <v>1</v>
      </c>
      <c r="M9991" s="4" t="str">
        <f>IFERROR(__xludf.DUMMYFUNCTION("""COMPUTED_VALUE"""),"null")</f>
        <v>null</v>
      </c>
      <c r="N9991" s="33">
        <f>IFERROR(__xludf.DUMMYFUNCTION("""COMPUTED_VALUE"""),1.0)</f>
        <v>1</v>
      </c>
      <c r="O9991" s="4" t="str">
        <f>IFERROR(__xludf.DUMMYFUNCTION("""COMPUTED_VALUE"""),"null")</f>
        <v>null</v>
      </c>
      <c r="P9991" s="33">
        <f>IFERROR(__xludf.DUMMYFUNCTION("""COMPUTED_VALUE"""),1.0)</f>
        <v>1</v>
      </c>
      <c r="Q9991" s="4" t="str">
        <f>IFERROR(__xludf.DUMMYFUNCTION("""COMPUTED_VALUE"""),"null")</f>
        <v>null</v>
      </c>
      <c r="R9991" s="33">
        <f>IFERROR(__xludf.DUMMYFUNCTION("""COMPUTED_VALUE"""),1.0)</f>
        <v>1</v>
      </c>
      <c r="S9991" s="4" t="str">
        <f>IFERROR(__xludf.DUMMYFUNCTION("""COMPUTED_VALUE"""),"Saipos Serviços De Software")</f>
        <v>Saipos Serviços De Software</v>
      </c>
      <c r="T9991" s="33">
        <f>IFERROR(__xludf.DUMMYFUNCTION("""COMPUTED_VALUE"""),1.0)</f>
        <v>1</v>
      </c>
      <c r="U9991" s="4" t="str">
        <f>IFERROR(__xludf.DUMMYFUNCTION("""COMPUTED_VALUE"""),"Saipos Serviços De Software")</f>
        <v>Saipos Serviços De Software</v>
      </c>
      <c r="V9991" s="33">
        <f>IFERROR(__xludf.DUMMYFUNCTION("""COMPUTED_VALUE"""),1.0)</f>
        <v>1</v>
      </c>
      <c r="W9991" s="4" t="str">
        <f>IFERROR(__xludf.DUMMYFUNCTION("""COMPUTED_VALUE"""),"Saipos Serviços De Software")</f>
        <v>Saipos Serviços De Software</v>
      </c>
      <c r="X9991" s="33">
        <f>IFERROR(__xludf.DUMMYFUNCTION("""COMPUTED_VALUE"""),1.0)</f>
        <v>1</v>
      </c>
    </row>
    <row r="9992">
      <c r="K9992" s="4" t="str">
        <f>IFERROR(__xludf.DUMMYFUNCTION("""COMPUTED_VALUE"""),"ACAI DA LU - SORVETES MILK-SHAKES")</f>
        <v>ACAI DA LU - SORVETES MILK-SHAKES</v>
      </c>
      <c r="L9992" s="32">
        <f>IFERROR(__xludf.DUMMYFUNCTION("""COMPUTED_VALUE"""),1.0)</f>
        <v>1</v>
      </c>
      <c r="M9992" s="4" t="str">
        <f>IFERROR(__xludf.DUMMYFUNCTION("""COMPUTED_VALUE"""),"Menu Integrado")</f>
        <v>Menu Integrado</v>
      </c>
      <c r="N9992" s="33">
        <f>IFERROR(__xludf.DUMMYFUNCTION("""COMPUTED_VALUE"""),1.0)</f>
        <v>1</v>
      </c>
      <c r="O9992" s="4" t="str">
        <f>IFERROR(__xludf.DUMMYFUNCTION("""COMPUTED_VALUE"""),"Menu Integrado")</f>
        <v>Menu Integrado</v>
      </c>
      <c r="P9992" s="33">
        <f>IFERROR(__xludf.DUMMYFUNCTION("""COMPUTED_VALUE"""),1.0)</f>
        <v>1</v>
      </c>
      <c r="Q9992" s="4" t="str">
        <f>IFERROR(__xludf.DUMMYFUNCTION("""COMPUTED_VALUE"""),"Menu Integrado")</f>
        <v>Menu Integrado</v>
      </c>
      <c r="R9992" s="33">
        <f>IFERROR(__xludf.DUMMYFUNCTION("""COMPUTED_VALUE"""),1.0)</f>
        <v>1</v>
      </c>
      <c r="S9992" s="4" t="str">
        <f>IFERROR(__xludf.DUMMYFUNCTION("""COMPUTED_VALUE"""),"Menu Integrado")</f>
        <v>Menu Integrado</v>
      </c>
      <c r="T9992" s="33">
        <f>IFERROR(__xludf.DUMMYFUNCTION("""COMPUTED_VALUE"""),1.0)</f>
        <v>1</v>
      </c>
      <c r="U9992" s="4" t="str">
        <f>IFERROR(__xludf.DUMMYFUNCTION("""COMPUTED_VALUE"""),"Menu Integrado")</f>
        <v>Menu Integrado</v>
      </c>
      <c r="V9992" s="33">
        <f>IFERROR(__xludf.DUMMYFUNCTION("""COMPUTED_VALUE"""),1.0)</f>
        <v>1</v>
      </c>
      <c r="W9992" s="4" t="str">
        <f>IFERROR(__xludf.DUMMYFUNCTION("""COMPUTED_VALUE"""),"null")</f>
        <v>null</v>
      </c>
      <c r="X9992" s="33">
        <f>IFERROR(__xludf.DUMMYFUNCTION("""COMPUTED_VALUE"""),1.0)</f>
        <v>1</v>
      </c>
    </row>
    <row r="9993">
      <c r="K9993" s="4" t="str">
        <f>IFERROR(__xludf.DUMMYFUNCTION("""COMPUTED_VALUE"""),"REDE CONSTRUIR - SAO GERALDO CASA NOVA")</f>
        <v>REDE CONSTRUIR - SAO GERALDO CASA NOVA</v>
      </c>
      <c r="L9993" s="32">
        <f>IFERROR(__xludf.DUMMYFUNCTION("""COMPUTED_VALUE"""),1.0)</f>
        <v>1</v>
      </c>
      <c r="M9993" s="4" t="str">
        <f>IFERROR(__xludf.DUMMYFUNCTION("""COMPUTED_VALUE"""),"null")</f>
        <v>null</v>
      </c>
      <c r="N9993" s="33">
        <f>IFERROR(__xludf.DUMMYFUNCTION("""COMPUTED_VALUE"""),1.0)</f>
        <v>1</v>
      </c>
      <c r="O9993" s="4" t="str">
        <f>IFERROR(__xludf.DUMMYFUNCTION("""COMPUTED_VALUE"""),"null")</f>
        <v>null</v>
      </c>
      <c r="P9993" s="33">
        <f>IFERROR(__xludf.DUMMYFUNCTION("""COMPUTED_VALUE"""),1.0)</f>
        <v>1</v>
      </c>
      <c r="Q9993" s="4" t="str">
        <f>IFERROR(__xludf.DUMMYFUNCTION("""COMPUTED_VALUE"""),"null")</f>
        <v>null</v>
      </c>
      <c r="R9993" s="33">
        <f>IFERROR(__xludf.DUMMYFUNCTION("""COMPUTED_VALUE"""),1.0)</f>
        <v>1</v>
      </c>
      <c r="S9993" s="4" t="str">
        <f>IFERROR(__xludf.DUMMYFUNCTION("""COMPUTED_VALUE"""),"null")</f>
        <v>null</v>
      </c>
      <c r="T9993" s="33">
        <f>IFERROR(__xludf.DUMMYFUNCTION("""COMPUTED_VALUE"""),1.0)</f>
        <v>1</v>
      </c>
      <c r="U9993" s="4" t="str">
        <f>IFERROR(__xludf.DUMMYFUNCTION("""COMPUTED_VALUE"""),"N/A (Not found)")</f>
        <v>N/A (Not found)</v>
      </c>
      <c r="V9993" s="33">
        <f>IFERROR(__xludf.DUMMYFUNCTION("""COMPUTED_VALUE"""),1.0)</f>
        <v>1</v>
      </c>
      <c r="W9993" s="4" t="str">
        <f>IFERROR(__xludf.DUMMYFUNCTION("""COMPUTED_VALUE"""),"N/A (Not found)")</f>
        <v>N/A (Not found)</v>
      </c>
      <c r="X9993" s="33">
        <f>IFERROR(__xludf.DUMMYFUNCTION("""COMPUTED_VALUE"""),1.0)</f>
        <v>1</v>
      </c>
    </row>
    <row r="9994">
      <c r="K9994" s="4" t="str">
        <f>IFERROR(__xludf.DUMMYFUNCTION("""COMPUTED_VALUE"""),"GARAGEM BEBIDAS")</f>
        <v>GARAGEM BEBIDAS</v>
      </c>
      <c r="L9994" s="32">
        <f>IFERROR(__xludf.DUMMYFUNCTION("""COMPUTED_VALUE"""),1.0)</f>
        <v>1</v>
      </c>
      <c r="M9994" s="4" t="str">
        <f>IFERROR(__xludf.DUMMYFUNCTION("""COMPUTED_VALUE"""),"null")</f>
        <v>null</v>
      </c>
      <c r="N9994" s="33">
        <f>IFERROR(__xludf.DUMMYFUNCTION("""COMPUTED_VALUE"""),1.0)</f>
        <v>1</v>
      </c>
      <c r="O9994" s="4" t="str">
        <f>IFERROR(__xludf.DUMMYFUNCTION("""COMPUTED_VALUE"""),"null")</f>
        <v>null</v>
      </c>
      <c r="P9994" s="33">
        <f>IFERROR(__xludf.DUMMYFUNCTION("""COMPUTED_VALUE"""),1.0)</f>
        <v>1</v>
      </c>
      <c r="Q9994" s="4" t="str">
        <f>IFERROR(__xludf.DUMMYFUNCTION("""COMPUTED_VALUE"""),"N/A (Not found)")</f>
        <v>N/A (Not found)</v>
      </c>
      <c r="R9994" s="33">
        <f>IFERROR(__xludf.DUMMYFUNCTION("""COMPUTED_VALUE"""),1.0)</f>
        <v>1</v>
      </c>
      <c r="S9994" s="4" t="str">
        <f>IFERROR(__xludf.DUMMYFUNCTION("""COMPUTED_VALUE"""),"N/A (Not found)")</f>
        <v>N/A (Not found)</v>
      </c>
      <c r="T9994" s="33">
        <f>IFERROR(__xludf.DUMMYFUNCTION("""COMPUTED_VALUE"""),1.0)</f>
        <v>1</v>
      </c>
      <c r="U9994" s="4" t="str">
        <f>IFERROR(__xludf.DUMMYFUNCTION("""COMPUTED_VALUE"""),"N/A (Not found)")</f>
        <v>N/A (Not found)</v>
      </c>
      <c r="V9994" s="33">
        <f>IFERROR(__xludf.DUMMYFUNCTION("""COMPUTED_VALUE"""),1.0)</f>
        <v>1</v>
      </c>
      <c r="W9994" s="4" t="str">
        <f>IFERROR(__xludf.DUMMYFUNCTION("""COMPUTED_VALUE"""),"null")</f>
        <v>null</v>
      </c>
      <c r="X9994" s="33">
        <f>IFERROR(__xludf.DUMMYFUNCTION("""COMPUTED_VALUE"""),1.0)</f>
        <v>1</v>
      </c>
    </row>
    <row r="9995">
      <c r="K9995" s="4" t="str">
        <f>IFERROR(__xludf.DUMMYFUNCTION("""COMPUTED_VALUE"""),"MANA DOCES")</f>
        <v>MANA DOCES</v>
      </c>
      <c r="L9995" s="32">
        <f>IFERROR(__xludf.DUMMYFUNCTION("""COMPUTED_VALUE"""),1.0)</f>
        <v>1</v>
      </c>
      <c r="M9995" s="4" t="str">
        <f>IFERROR(__xludf.DUMMYFUNCTION("""COMPUTED_VALUE"""),"null")</f>
        <v>null</v>
      </c>
      <c r="N9995" s="33">
        <f>IFERROR(__xludf.DUMMYFUNCTION("""COMPUTED_VALUE"""),1.0)</f>
        <v>1</v>
      </c>
      <c r="O9995" s="4" t="str">
        <f>IFERROR(__xludf.DUMMYFUNCTION("""COMPUTED_VALUE"""),"null")</f>
        <v>null</v>
      </c>
      <c r="P9995" s="33">
        <f>IFERROR(__xludf.DUMMYFUNCTION("""COMPUTED_VALUE"""),1.0)</f>
        <v>1</v>
      </c>
      <c r="Q9995" s="4" t="str">
        <f>IFERROR(__xludf.DUMMYFUNCTION("""COMPUTED_VALUE"""),"null")</f>
        <v>null</v>
      </c>
      <c r="R9995" s="33">
        <f>IFERROR(__xludf.DUMMYFUNCTION("""COMPUTED_VALUE"""),1.0)</f>
        <v>1</v>
      </c>
      <c r="S9995" s="4" t="str">
        <f>IFERROR(__xludf.DUMMYFUNCTION("""COMPUTED_VALUE"""),"null")</f>
        <v>null</v>
      </c>
      <c r="T9995" s="33">
        <f>IFERROR(__xludf.DUMMYFUNCTION("""COMPUTED_VALUE"""),1.0)</f>
        <v>1</v>
      </c>
      <c r="U9995" s="4" t="str">
        <f>IFERROR(__xludf.DUMMYFUNCTION("""COMPUTED_VALUE"""),"null")</f>
        <v>null</v>
      </c>
      <c r="V9995" s="33">
        <f>IFERROR(__xludf.DUMMYFUNCTION("""COMPUTED_VALUE"""),1.0)</f>
        <v>1</v>
      </c>
      <c r="W9995" s="4" t="str">
        <f>IFERROR(__xludf.DUMMYFUNCTION("""COMPUTED_VALUE"""),"Instadelivery")</f>
        <v>Instadelivery</v>
      </c>
      <c r="X9995" s="33">
        <f>IFERROR(__xludf.DUMMYFUNCTION("""COMPUTED_VALUE"""),1.0)</f>
        <v>1</v>
      </c>
    </row>
    <row r="9996">
      <c r="K9996" s="4" t="str">
        <f>IFERROR(__xludf.DUMMYFUNCTION("""COMPUTED_VALUE"""),"MACEIO BEBIDAS")</f>
        <v>MACEIO BEBIDAS</v>
      </c>
      <c r="L9996" s="32">
        <f>IFERROR(__xludf.DUMMYFUNCTION("""COMPUTED_VALUE"""),1.0)</f>
        <v>1</v>
      </c>
      <c r="M9996" s="4" t="str">
        <f>IFERROR(__xludf.DUMMYFUNCTION("""COMPUTED_VALUE"""),"N/A (Not found)")</f>
        <v>N/A (Not found)</v>
      </c>
      <c r="N9996" s="33">
        <f>IFERROR(__xludf.DUMMYFUNCTION("""COMPUTED_VALUE"""),1.0)</f>
        <v>1</v>
      </c>
      <c r="O9996" s="4" t="str">
        <f>IFERROR(__xludf.DUMMYFUNCTION("""COMPUTED_VALUE"""),"N/A (Not found)")</f>
        <v>N/A (Not found)</v>
      </c>
      <c r="P9996" s="33">
        <f>IFERROR(__xludf.DUMMYFUNCTION("""COMPUTED_VALUE"""),1.0)</f>
        <v>1</v>
      </c>
      <c r="Q9996" s="4" t="str">
        <f>IFERROR(__xludf.DUMMYFUNCTION("""COMPUTED_VALUE"""),"N/A (Not found)")</f>
        <v>N/A (Not found)</v>
      </c>
      <c r="R9996" s="33">
        <f>IFERROR(__xludf.DUMMYFUNCTION("""COMPUTED_VALUE"""),1.0)</f>
        <v>1</v>
      </c>
      <c r="S9996" s="4" t="str">
        <f>IFERROR(__xludf.DUMMYFUNCTION("""COMPUTED_VALUE"""),"N/A (Not found)")</f>
        <v>N/A (Not found)</v>
      </c>
      <c r="T9996" s="33">
        <f>IFERROR(__xludf.DUMMYFUNCTION("""COMPUTED_VALUE"""),1.0)</f>
        <v>1</v>
      </c>
      <c r="U9996" s="4" t="str">
        <f>IFERROR(__xludf.DUMMYFUNCTION("""COMPUTED_VALUE"""),"N/A (Not found)")</f>
        <v>N/A (Not found)</v>
      </c>
      <c r="V9996" s="33">
        <f>IFERROR(__xludf.DUMMYFUNCTION("""COMPUTED_VALUE"""),1.0)</f>
        <v>1</v>
      </c>
      <c r="W9996" s="4" t="str">
        <f>IFERROR(__xludf.DUMMYFUNCTION("""COMPUTED_VALUE"""),"N/A (Not found)")</f>
        <v>N/A (Not found)</v>
      </c>
      <c r="X9996" s="33">
        <f>IFERROR(__xludf.DUMMYFUNCTION("""COMPUTED_VALUE"""),1.0)</f>
        <v>1</v>
      </c>
    </row>
    <row r="9997">
      <c r="K9997" s="4" t="str">
        <f>IFERROR(__xludf.DUMMYFUNCTION("""COMPUTED_VALUE"""),"BOUTIQUE DE CARNES FENIX")</f>
        <v>BOUTIQUE DE CARNES FENIX</v>
      </c>
      <c r="L9997" s="32">
        <f>IFERROR(__xludf.DUMMYFUNCTION("""COMPUTED_VALUE"""),1.0)</f>
        <v>1</v>
      </c>
      <c r="M9997" s="4" t="str">
        <f>IFERROR(__xludf.DUMMYFUNCTION("""COMPUTED_VALUE"""),"null")</f>
        <v>null</v>
      </c>
      <c r="N9997" s="33">
        <f>IFERROR(__xludf.DUMMYFUNCTION("""COMPUTED_VALUE"""),1.0)</f>
        <v>1</v>
      </c>
      <c r="O9997" s="4" t="str">
        <f>IFERROR(__xludf.DUMMYFUNCTION("""COMPUTED_VALUE"""),"N/A (Not found)")</f>
        <v>N/A (Not found)</v>
      </c>
      <c r="P9997" s="33">
        <f>IFERROR(__xludf.DUMMYFUNCTION("""COMPUTED_VALUE"""),1.0)</f>
        <v>1</v>
      </c>
      <c r="Q9997" s="4" t="str">
        <f>IFERROR(__xludf.DUMMYFUNCTION("""COMPUTED_VALUE"""),"null")</f>
        <v>null</v>
      </c>
      <c r="R9997" s="33">
        <f>IFERROR(__xludf.DUMMYFUNCTION("""COMPUTED_VALUE"""),1.0)</f>
        <v>1</v>
      </c>
      <c r="S9997" s="4" t="str">
        <f>IFERROR(__xludf.DUMMYFUNCTION("""COMPUTED_VALUE"""),"null")</f>
        <v>null</v>
      </c>
      <c r="T9997" s="33">
        <f>IFERROR(__xludf.DUMMYFUNCTION("""COMPUTED_VALUE"""),1.0)</f>
        <v>1</v>
      </c>
      <c r="U9997" s="4" t="str">
        <f>IFERROR(__xludf.DUMMYFUNCTION("""COMPUTED_VALUE"""),"N/A (Not found)")</f>
        <v>N/A (Not found)</v>
      </c>
      <c r="V9997" s="33">
        <f>IFERROR(__xludf.DUMMYFUNCTION("""COMPUTED_VALUE"""),1.0)</f>
        <v>1</v>
      </c>
      <c r="W9997" s="4" t="str">
        <f>IFERROR(__xludf.DUMMYFUNCTION("""COMPUTED_VALUE"""),"null")</f>
        <v>null</v>
      </c>
      <c r="X9997" s="33">
        <f>IFERROR(__xludf.DUMMYFUNCTION("""COMPUTED_VALUE"""),1.0)</f>
        <v>1</v>
      </c>
    </row>
    <row r="9998">
      <c r="K9998" s="4" t="str">
        <f>IFERROR(__xludf.DUMMYFUNCTION("""COMPUTED_VALUE"""),"WS LANCHES")</f>
        <v>WS LANCHES</v>
      </c>
      <c r="L9998" s="32">
        <f>IFERROR(__xludf.DUMMYFUNCTION("""COMPUTED_VALUE"""),1.0)</f>
        <v>1</v>
      </c>
      <c r="M9998" s="4" t="str">
        <f>IFERROR(__xludf.DUMMYFUNCTION("""COMPUTED_VALUE"""),"null")</f>
        <v>null</v>
      </c>
      <c r="N9998" s="33">
        <f>IFERROR(__xludf.DUMMYFUNCTION("""COMPUTED_VALUE"""),1.0)</f>
        <v>1</v>
      </c>
      <c r="O9998" s="4" t="str">
        <f>IFERROR(__xludf.DUMMYFUNCTION("""COMPUTED_VALUE"""),"Ecta Tecnologia")</f>
        <v>Ecta Tecnologia</v>
      </c>
      <c r="P9998" s="33">
        <f>IFERROR(__xludf.DUMMYFUNCTION("""COMPUTED_VALUE"""),1.0)</f>
        <v>1</v>
      </c>
      <c r="Q9998" s="4" t="str">
        <f>IFERROR(__xludf.DUMMYFUNCTION("""COMPUTED_VALUE"""),"Ecta Tecnologia")</f>
        <v>Ecta Tecnologia</v>
      </c>
      <c r="R9998" s="33">
        <f>IFERROR(__xludf.DUMMYFUNCTION("""COMPUTED_VALUE"""),1.0)</f>
        <v>1</v>
      </c>
      <c r="S9998" s="4" t="str">
        <f>IFERROR(__xludf.DUMMYFUNCTION("""COMPUTED_VALUE"""),"Ecta Tecnologia")</f>
        <v>Ecta Tecnologia</v>
      </c>
      <c r="T9998" s="33">
        <f>IFERROR(__xludf.DUMMYFUNCTION("""COMPUTED_VALUE"""),1.0)</f>
        <v>1</v>
      </c>
      <c r="U9998" s="4" t="str">
        <f>IFERROR(__xludf.DUMMYFUNCTION("""COMPUTED_VALUE"""),"Ecta Tecnologia")</f>
        <v>Ecta Tecnologia</v>
      </c>
      <c r="V9998" s="33">
        <f>IFERROR(__xludf.DUMMYFUNCTION("""COMPUTED_VALUE"""),1.0)</f>
        <v>1</v>
      </c>
      <c r="W9998" s="4" t="str">
        <f>IFERROR(__xludf.DUMMYFUNCTION("""COMPUTED_VALUE"""),"Ecta Tecnologia")</f>
        <v>Ecta Tecnologia</v>
      </c>
      <c r="X9998" s="33">
        <f>IFERROR(__xludf.DUMMYFUNCTION("""COMPUTED_VALUE"""),1.0)</f>
        <v>1</v>
      </c>
    </row>
    <row r="9999">
      <c r="K9999" s="4" t="str">
        <f>IFERROR(__xludf.DUMMYFUNCTION("""COMPUTED_VALUE"""),"GRAN ROYALLE PIZZARIA")</f>
        <v>GRAN ROYALLE PIZZARIA</v>
      </c>
      <c r="L9999" s="32">
        <f>IFERROR(__xludf.DUMMYFUNCTION("""COMPUTED_VALUE"""),1.0)</f>
        <v>1</v>
      </c>
      <c r="M9999" s="4" t="str">
        <f>IFERROR(__xludf.DUMMYFUNCTION("""COMPUTED_VALUE"""),"null")</f>
        <v>null</v>
      </c>
      <c r="N9999" s="33">
        <f>IFERROR(__xludf.DUMMYFUNCTION("""COMPUTED_VALUE"""),1.0)</f>
        <v>1</v>
      </c>
      <c r="O9999" s="4" t="str">
        <f>IFERROR(__xludf.DUMMYFUNCTION("""COMPUTED_VALUE"""),"null")</f>
        <v>null</v>
      </c>
      <c r="P9999" s="33">
        <f>IFERROR(__xludf.DUMMYFUNCTION("""COMPUTED_VALUE"""),1.0)</f>
        <v>1</v>
      </c>
      <c r="Q9999" s="4" t="str">
        <f>IFERROR(__xludf.DUMMYFUNCTION("""COMPUTED_VALUE"""),"Consumer Soluções Em Tecnologia Ltda")</f>
        <v>Consumer Soluções Em Tecnologia Ltda</v>
      </c>
      <c r="R9999" s="33">
        <f>IFERROR(__xludf.DUMMYFUNCTION("""COMPUTED_VALUE"""),1.0)</f>
        <v>1</v>
      </c>
      <c r="S9999" s="4" t="str">
        <f>IFERROR(__xludf.DUMMYFUNCTION("""COMPUTED_VALUE"""),"Consumer Soluções Em Tecnologia Ltda")</f>
        <v>Consumer Soluções Em Tecnologia Ltda</v>
      </c>
      <c r="T9999" s="33">
        <f>IFERROR(__xludf.DUMMYFUNCTION("""COMPUTED_VALUE"""),1.0)</f>
        <v>1</v>
      </c>
      <c r="U9999" s="4" t="str">
        <f>IFERROR(__xludf.DUMMYFUNCTION("""COMPUTED_VALUE"""),"Consumer Soluções Em Tecnologia Ltda")</f>
        <v>Consumer Soluções Em Tecnologia Ltda</v>
      </c>
      <c r="V9999" s="33">
        <f>IFERROR(__xludf.DUMMYFUNCTION("""COMPUTED_VALUE"""),1.0)</f>
        <v>1</v>
      </c>
      <c r="W9999" s="4" t="str">
        <f>IFERROR(__xludf.DUMMYFUNCTION("""COMPUTED_VALUE"""),"Consumer Soluções Em Tecnologia Ltda")</f>
        <v>Consumer Soluções Em Tecnologia Ltda</v>
      </c>
      <c r="X9999" s="33">
        <f>IFERROR(__xludf.DUMMYFUNCTION("""COMPUTED_VALUE"""),1.0)</f>
        <v>1</v>
      </c>
    </row>
    <row r="10000">
      <c r="K10000" s="4" t="str">
        <f>IFERROR(__xludf.DUMMYFUNCTION("""COMPUTED_VALUE"""),"MINI MARKET RECREIO LTDA")</f>
        <v>MINI MARKET RECREIO LTDA</v>
      </c>
      <c r="L10000" s="32">
        <f>IFERROR(__xludf.DUMMYFUNCTION("""COMPUTED_VALUE"""),1.0)</f>
        <v>1</v>
      </c>
      <c r="M10000" s="4" t="str">
        <f>IFERROR(__xludf.DUMMYFUNCTION("""COMPUTED_VALUE"""),"null")</f>
        <v>null</v>
      </c>
      <c r="N10000" s="33">
        <f>IFERROR(__xludf.DUMMYFUNCTION("""COMPUTED_VALUE"""),1.0)</f>
        <v>1</v>
      </c>
      <c r="O10000" s="4" t="str">
        <f>IFERROR(__xludf.DUMMYFUNCTION("""COMPUTED_VALUE"""),"N/A (Not found)")</f>
        <v>N/A (Not found)</v>
      </c>
      <c r="P10000" s="33">
        <f>IFERROR(__xludf.DUMMYFUNCTION("""COMPUTED_VALUE"""),1.0)</f>
        <v>1</v>
      </c>
      <c r="Q10000" s="4" t="str">
        <f>IFERROR(__xludf.DUMMYFUNCTION("""COMPUTED_VALUE"""),"N/A (Not found)")</f>
        <v>N/A (Not found)</v>
      </c>
      <c r="R10000" s="33">
        <f>IFERROR(__xludf.DUMMYFUNCTION("""COMPUTED_VALUE"""),1.0)</f>
        <v>1</v>
      </c>
      <c r="S10000" s="4" t="str">
        <f>IFERROR(__xludf.DUMMYFUNCTION("""COMPUTED_VALUE"""),"null")</f>
        <v>null</v>
      </c>
      <c r="T10000" s="33">
        <f>IFERROR(__xludf.DUMMYFUNCTION("""COMPUTED_VALUE"""),1.0)</f>
        <v>1</v>
      </c>
      <c r="U10000" s="4" t="str">
        <f>IFERROR(__xludf.DUMMYFUNCTION("""COMPUTED_VALUE"""),"null")</f>
        <v>null</v>
      </c>
      <c r="V10000" s="33">
        <f>IFERROR(__xludf.DUMMYFUNCTION("""COMPUTED_VALUE"""),1.0)</f>
        <v>1</v>
      </c>
      <c r="W10000" s="4" t="str">
        <f>IFERROR(__xludf.DUMMYFUNCTION("""COMPUTED_VALUE"""),"null")</f>
        <v>null</v>
      </c>
      <c r="X10000" s="33">
        <f>IFERROR(__xludf.DUMMYFUNCTION("""COMPUTED_VALUE"""),1.0)</f>
        <v>1</v>
      </c>
    </row>
  </sheetData>
  <hyperlinks>
    <hyperlink r:id="rId1" ref="U2522"/>
    <hyperlink r:id="rId2" ref="W2689"/>
    <hyperlink r:id="rId3" ref="M2822"/>
    <hyperlink r:id="rId4" ref="O2822"/>
    <hyperlink r:id="rId5" ref="Q2822"/>
    <hyperlink r:id="rId6" ref="S2822"/>
    <hyperlink r:id="rId7" ref="U2822"/>
    <hyperlink r:id="rId8" ref="W2822"/>
    <hyperlink r:id="rId9" ref="M4588"/>
    <hyperlink r:id="rId10" ref="O4588"/>
    <hyperlink r:id="rId11" ref="Q4588"/>
    <hyperlink r:id="rId12" ref="S4588"/>
    <hyperlink r:id="rId13" ref="U4588"/>
    <hyperlink r:id="rId14" ref="U6601"/>
    <hyperlink r:id="rId15" ref="M6887"/>
    <hyperlink r:id="rId16" ref="O6887"/>
    <hyperlink r:id="rId17" ref="Q6887"/>
    <hyperlink r:id="rId18" ref="S6887"/>
    <hyperlink r:id="rId19" ref="U6887"/>
    <hyperlink r:id="rId20" ref="W6887"/>
    <hyperlink r:id="rId21" ref="U7082"/>
    <hyperlink r:id="rId22" ref="M8208"/>
    <hyperlink r:id="rId23" ref="O8208"/>
    <hyperlink r:id="rId24" ref="Q8208"/>
    <hyperlink r:id="rId25" ref="S8208"/>
    <hyperlink r:id="rId26" ref="U8208"/>
    <hyperlink r:id="rId27" ref="W8208"/>
    <hyperlink r:id="rId28" ref="M8238"/>
    <hyperlink r:id="rId29" ref="O8238"/>
    <hyperlink r:id="rId30" ref="M9430"/>
    <hyperlink r:id="rId31" ref="Q9430"/>
    <hyperlink r:id="rId32" ref="S9430"/>
    <hyperlink r:id="rId33" ref="U9430"/>
    <hyperlink r:id="rId34" ref="W9430"/>
  </hyperlinks>
  <drawing r:id="rId3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63"/>
    <col customWidth="1" min="2" max="2" width="8.25"/>
    <col customWidth="1" min="3" max="3" width="13.0"/>
    <col customWidth="1" min="5" max="5" width="20.88"/>
    <col customWidth="1" min="6" max="6" width="21.13"/>
    <col customWidth="1" min="7" max="7" width="17.5"/>
    <col customWidth="1" min="8" max="8" width="8.13"/>
    <col customWidth="1" min="9" max="9" width="9.75"/>
  </cols>
  <sheetData>
    <row r="1">
      <c r="A1" s="36" t="s">
        <v>712</v>
      </c>
      <c r="B1" s="37"/>
      <c r="C1" s="37"/>
      <c r="D1" s="37"/>
      <c r="E1" s="37"/>
      <c r="F1" s="37"/>
      <c r="G1" s="37"/>
      <c r="H1" s="37"/>
      <c r="I1" s="37"/>
    </row>
    <row r="3">
      <c r="A3" s="38" t="s">
        <v>713</v>
      </c>
      <c r="B3" s="39"/>
      <c r="C3" s="38" t="s">
        <v>714</v>
      </c>
      <c r="D3" s="39"/>
      <c r="E3" s="38" t="s">
        <v>715</v>
      </c>
      <c r="F3" s="39"/>
      <c r="G3" s="38" t="s">
        <v>716</v>
      </c>
      <c r="H3" s="39"/>
      <c r="I3" s="38" t="s">
        <v>717</v>
      </c>
    </row>
    <row r="4">
      <c r="A4" s="40">
        <f>COUNTA('Base Consolidada'!A2:A10000)</f>
        <v>759</v>
      </c>
      <c r="C4" s="41">
        <f>COUNTIF('Base Consolidada'!D2:D10000,"1.*")+COUNTIF('Base Consolidada'!D2:D10000,"2.*")+COUNTIF('Base Consolidada'!D2:D10000,"3.*")+COUNTIF('Base Consolidada'!D2:D10000,"4.*")+COUNTIF('Base Consolidada'!D2:D10000,"5.*")+COUNTIF('Base Consolidada'!D2:D10000,"6.*")+COUNTIF('Base Consolidada'!D2:D10000,"7.*")+COUNTIF('Base Consolidada'!D2:D10000,"8.*")+COUNTIF('Base Consolidada'!D2:D10000,"9.*")</f>
        <v>215</v>
      </c>
      <c r="E4" s="42">
        <f>COUNTIF('Base Consolidada'!D2:D10000,"9.*")</f>
        <v>50</v>
      </c>
      <c r="G4" s="43">
        <f>COUNTIFS('Base Consolidada'!D2:D10000,"1.*",'Base Consolidada'!G2:G10000,"")+COUNTIFS('Base Consolidada'!D2:D10000,"2.*",'Base Consolidada'!G2:G10000,"")+COUNTIFS('Base Consolidada'!D2:D10000,"3.*",'Base Consolidada'!G2:G10000,"")+COUNTIFS('Base Consolidada'!D2:D10000,"4.*",'Base Consolidada'!G2:G10000,"")+COUNTIFS('Base Consolidada'!D2:D10000,"5.*",'Base Consolidada'!G2:G10000,"")+COUNTIFS('Base Consolidada'!D2:D10000,"6.*",'Base Consolidada'!G2:G10000,"")+COUNTIFS('Base Consolidada'!D2:D10000,"7.*",'Base Consolidada'!G2:G10000,"")+COUNTIFS('Base Consolidada'!D2:D10000,"8.*",'Base Consolidada'!G2:G10000,"")+COUNTIFS('Base Consolidada'!D2:D10000,"9.*",'Base Consolidada'!G2:G10000,"")</f>
        <v>71</v>
      </c>
      <c r="I4" s="44">
        <f>COUNTIF('Base Consolidada'!D2:D10000,"10.*")</f>
        <v>140</v>
      </c>
    </row>
    <row r="6">
      <c r="A6" s="45" t="s">
        <v>718</v>
      </c>
      <c r="B6" s="46"/>
      <c r="C6" s="46"/>
      <c r="D6" s="46"/>
      <c r="E6" s="46"/>
      <c r="F6" s="45" t="s">
        <v>719</v>
      </c>
      <c r="G6" s="46"/>
      <c r="H6" s="46"/>
      <c r="I6" s="46"/>
    </row>
    <row r="7">
      <c r="A7" s="47" t="s">
        <v>720</v>
      </c>
      <c r="B7" s="47" t="s">
        <v>721</v>
      </c>
      <c r="C7" s="48"/>
      <c r="D7" s="48"/>
      <c r="E7" s="48"/>
      <c r="F7" s="47" t="s">
        <v>722</v>
      </c>
      <c r="G7" s="47" t="s">
        <v>723</v>
      </c>
      <c r="H7" s="47" t="s">
        <v>724</v>
      </c>
      <c r="I7" s="48"/>
    </row>
    <row r="8">
      <c r="A8" s="3" t="s">
        <v>8</v>
      </c>
      <c r="B8" s="4">
        <f>COUNTIF('Base Consolidada'!D2:D10000,"1.*")</f>
        <v>49</v>
      </c>
      <c r="F8" s="4" t="str">
        <f>IFERROR(__xludf.DUMMYFUNCTION("IFERROR(INDEX(SORT(UNIQUE(FILTER('Base Consolidada'!B2:B10000,'Base Consolidada'!B2:B10000&lt;&gt;"""")),1,1),1,1),""-"")"),"Ana")</f>
        <v>Ana</v>
      </c>
      <c r="G8" s="4">
        <f>COUNTIFS('Base Consolidada'!D2:D10000,"1.*",'Base Consolidada'!B2:B10000,F9)+COUNTIFS('Base Consolidada'!D2:D10000,"2.*",'Base Consolidada'!B2:B10000,F9)+COUNTIFS('Base Consolidada'!D2:D10000,"3.*",'Base Consolidada'!B2:B10000,F9)+COUNTIFS('Base Consolidada'!D2:D10000,"4.*",'Base Consolidada'!B2:B10000,F9)+COUNTIFS('Base Consolidada'!D2:D10000,"5.*",'Base Consolidada'!B2:B10000,F9)+COUNTIFS('Base Consolidada'!D2:D10000,"6.*",'Base Consolidada'!B2:B10000,F9)+COUNTIFS('Base Consolidada'!D2:D10000,"7.*",'Base Consolidada'!B2:B10000,F9)+COUNTIFS('Base Consolidada'!D2:D10000,"8.*",'Base Consolidada'!B2:B10000,F9)+COUNTIFS('Base Consolidada'!D2:D10000,"9.*",'Base Consolidada'!B2:B10000,F9)</f>
        <v>8</v>
      </c>
      <c r="H8" s="4">
        <f>COUNTIFS('Base Consolidada'!D2:D10000,"9.*",'Base Consolidada'!B2:B10000,F9)</f>
        <v>8</v>
      </c>
    </row>
    <row r="9">
      <c r="A9" s="3" t="s">
        <v>725</v>
      </c>
      <c r="B9" s="4">
        <f>COUNTIF('Base Consolidada'!D2:D10000,"2.*")</f>
        <v>36</v>
      </c>
      <c r="F9" s="4" t="str">
        <f>IFERROR(__xludf.DUMMYFUNCTION("IFERROR(INDEX(SORT(UNIQUE(FILTER('Base Consolidada'!B2:B10000,'Base Consolidada'!B2:B10000&lt;&gt;"""")),1,1),2,1),""-"")"),"Diego Santos")</f>
        <v>Diego Santos</v>
      </c>
      <c r="G9" s="4">
        <f>COUNTIFS('Base Consolidada'!D2:D10000,"1.*",'Base Consolidada'!B2:B10000,F10)+COUNTIFS('Base Consolidada'!D2:D10000,"2.*",'Base Consolidada'!B2:B10000,F10)+COUNTIFS('Base Consolidada'!D2:D10000,"3.*",'Base Consolidada'!B2:B10000,F10)+COUNTIFS('Base Consolidada'!D2:D10000,"4.*",'Base Consolidada'!B2:B10000,F10)+COUNTIFS('Base Consolidada'!D2:D10000,"5.*",'Base Consolidada'!B2:B10000,F10)+COUNTIFS('Base Consolidada'!D2:D10000,"6.*",'Base Consolidada'!B2:B10000,F10)+COUNTIFS('Base Consolidada'!D2:D10000,"7.*",'Base Consolidada'!B2:B10000,F10)+COUNTIFS('Base Consolidada'!D2:D10000,"8.*",'Base Consolidada'!B2:B10000,F10)+COUNTIFS('Base Consolidada'!D2:D10000,"9.*",'Base Consolidada'!B2:B10000,F10)</f>
        <v>16</v>
      </c>
      <c r="H9" s="4">
        <f>COUNTIFS('Base Consolidada'!D2:D10000,"9.*",'Base Consolidada'!B2:B10000,F10)</f>
        <v>4</v>
      </c>
    </row>
    <row r="10">
      <c r="A10" s="3" t="s">
        <v>10</v>
      </c>
      <c r="B10" s="4">
        <f>COUNTIF('Base Consolidada'!D2:D10000,"3.*")</f>
        <v>20</v>
      </c>
      <c r="F10" s="4" t="str">
        <f>IFERROR(__xludf.DUMMYFUNCTION("IFERROR(INDEX(SORT(UNIQUE(FILTER('Base Consolidada'!B2:B10000,'Base Consolidada'!B2:B10000&lt;&gt;"""")),1,1),3,1),""-"")"),"Emerson")</f>
        <v>Emerson</v>
      </c>
      <c r="G10" s="4">
        <f>COUNTIFS('Base Consolidada'!D2:D10000,"1.*",'Base Consolidada'!B2:B10000,F11)+COUNTIFS('Base Consolidada'!D2:D10000,"2.*",'Base Consolidada'!B2:B10000,F11)+COUNTIFS('Base Consolidada'!D2:D10000,"3.*",'Base Consolidada'!B2:B10000,F11)+COUNTIFS('Base Consolidada'!D2:D10000,"4.*",'Base Consolidada'!B2:B10000,F11)+COUNTIFS('Base Consolidada'!D2:D10000,"5.*",'Base Consolidada'!B2:B10000,F11)+COUNTIFS('Base Consolidada'!D2:D10000,"6.*",'Base Consolidada'!B2:B10000,F11)+COUNTIFS('Base Consolidada'!D2:D10000,"7.*",'Base Consolidada'!B2:B10000,F11)+COUNTIFS('Base Consolidada'!D2:D10000,"8.*",'Base Consolidada'!B2:B10000,F11)+COUNTIFS('Base Consolidada'!D2:D10000,"9.*",'Base Consolidada'!B2:B10000,F11)</f>
        <v>1</v>
      </c>
      <c r="H10" s="4">
        <f>COUNTIFS('Base Consolidada'!D2:D10000,"9.*",'Base Consolidada'!B2:B10000,F11)</f>
        <v>1</v>
      </c>
    </row>
    <row r="11">
      <c r="A11" s="3" t="s">
        <v>11</v>
      </c>
      <c r="B11" s="4">
        <f>COUNTIF('Base Consolidada'!D2:D10000,"4.*")</f>
        <v>10</v>
      </c>
      <c r="F11" s="4" t="str">
        <f>IFERROR(__xludf.DUMMYFUNCTION("IFERROR(INDEX(SORT(UNIQUE(FILTER('Base Consolidada'!B2:B10000,'Base Consolidada'!B2:B10000&lt;&gt;"""")),1,1),4,1),""-"")"),"Gabriela Roma")</f>
        <v>Gabriela Roma</v>
      </c>
      <c r="G11" s="4">
        <f>COUNTIFS('Base Consolidada'!D2:D10000,"1.*",'Base Consolidada'!B2:B10000,F12)+COUNTIFS('Base Consolidada'!D2:D10000,"2.*",'Base Consolidada'!B2:B10000,F12)+COUNTIFS('Base Consolidada'!D2:D10000,"3.*",'Base Consolidada'!B2:B10000,F12)+COUNTIFS('Base Consolidada'!D2:D10000,"4.*",'Base Consolidada'!B2:B10000,F12)+COUNTIFS('Base Consolidada'!D2:D10000,"5.*",'Base Consolidada'!B2:B10000,F12)+COUNTIFS('Base Consolidada'!D2:D10000,"6.*",'Base Consolidada'!B2:B10000,F12)+COUNTIFS('Base Consolidada'!D2:D10000,"7.*",'Base Consolidada'!B2:B10000,F12)+COUNTIFS('Base Consolidada'!D2:D10000,"8.*",'Base Consolidada'!B2:B10000,F12)+COUNTIFS('Base Consolidada'!D2:D10000,"9.*",'Base Consolidada'!B2:B10000,F12)</f>
        <v>5</v>
      </c>
      <c r="H11" s="4">
        <f>COUNTIFS('Base Consolidada'!D2:D10000,"9.*",'Base Consolidada'!B2:B10000,F12)</f>
        <v>5</v>
      </c>
    </row>
    <row r="12">
      <c r="A12" s="3" t="s">
        <v>12</v>
      </c>
      <c r="B12" s="4">
        <f>COUNTIF('Base Consolidada'!D2:D10000,"5.*")</f>
        <v>11</v>
      </c>
      <c r="F12" s="4" t="str">
        <f>IFERROR(__xludf.DUMMYFUNCTION("IFERROR(INDEX(SORT(UNIQUE(FILTER('Base Consolidada'!B2:B10000,'Base Consolidada'!B2:B10000&lt;&gt;"""")),1,1),5,1),""-"")"),"Iza")</f>
        <v>Iza</v>
      </c>
      <c r="G12" s="4">
        <f>COUNTIFS('Base Consolidada'!D2:D10000,"1.*",'Base Consolidada'!B2:B10000,F13)+COUNTIFS('Base Consolidada'!D2:D10000,"2.*",'Base Consolidada'!B2:B10000,F13)+COUNTIFS('Base Consolidada'!D2:D10000,"3.*",'Base Consolidada'!B2:B10000,F13)+COUNTIFS('Base Consolidada'!D2:D10000,"4.*",'Base Consolidada'!B2:B10000,F13)+COUNTIFS('Base Consolidada'!D2:D10000,"5.*",'Base Consolidada'!B2:B10000,F13)+COUNTIFS('Base Consolidada'!D2:D10000,"6.*",'Base Consolidada'!B2:B10000,F13)+COUNTIFS('Base Consolidada'!D2:D10000,"7.*",'Base Consolidada'!B2:B10000,F13)+COUNTIFS('Base Consolidada'!D2:D10000,"8.*",'Base Consolidada'!B2:B10000,F13)+COUNTIFS('Base Consolidada'!D2:D10000,"9.*",'Base Consolidada'!B2:B10000,F13)</f>
        <v>0</v>
      </c>
      <c r="H12" s="4">
        <f>COUNTIFS('Base Consolidada'!D2:D10000,"9.*",'Base Consolidada'!B2:B10000,F13)</f>
        <v>0</v>
      </c>
    </row>
    <row r="13">
      <c r="A13" s="3" t="s">
        <v>13</v>
      </c>
      <c r="B13" s="4">
        <f>COUNTIF('Base Consolidada'!D2:D10000,"6.*")</f>
        <v>27</v>
      </c>
    </row>
    <row r="14">
      <c r="A14" s="3" t="s">
        <v>14</v>
      </c>
      <c r="B14" s="4">
        <f>COUNTIF('Base Consolidada'!D2:D10000,"7.*")</f>
        <v>7</v>
      </c>
    </row>
    <row r="15">
      <c r="A15" s="3" t="s">
        <v>15</v>
      </c>
      <c r="B15" s="4">
        <f>COUNTIF('Base Consolidada'!D2:D10000,"8.*")</f>
        <v>5</v>
      </c>
    </row>
    <row r="16">
      <c r="A16" s="3" t="s">
        <v>16</v>
      </c>
      <c r="B16" s="4">
        <f>COUNTIF('Base Consolidada'!D2:D10000,"9.*")</f>
        <v>50</v>
      </c>
    </row>
    <row r="17">
      <c r="A17" s="3" t="s">
        <v>726</v>
      </c>
      <c r="B17" s="4">
        <f>COUNTIF('Base Consolidada'!D2:D10000,"11.*")</f>
        <v>51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75"/>
    <col customWidth="1" min="2" max="2" width="13.75"/>
    <col customWidth="1" min="3" max="3" width="11.88"/>
    <col customWidth="1" min="4" max="4" width="24.75"/>
    <col customWidth="1" min="5" max="5" width="42.88"/>
    <col customWidth="1" min="6" max="6" width="13.13"/>
    <col customWidth="1" min="7" max="7" width="12.0"/>
  </cols>
  <sheetData>
    <row r="1">
      <c r="A1" s="45" t="s">
        <v>0</v>
      </c>
      <c r="B1" s="45" t="s">
        <v>1</v>
      </c>
      <c r="C1" s="45" t="s">
        <v>3</v>
      </c>
      <c r="D1" s="45" t="s">
        <v>727</v>
      </c>
      <c r="E1" s="45" t="s">
        <v>728</v>
      </c>
      <c r="F1" s="45" t="s">
        <v>4</v>
      </c>
      <c r="G1" s="45" t="s">
        <v>729</v>
      </c>
    </row>
    <row r="2">
      <c r="A2" s="4" t="str">
        <f>IFERROR(__xludf.DUMMYFUNCTION("FILTER('Base Consolidada'!A2:H10000,((LEFT('Base Consolidada'!D2:D10000,2)=""1."")+(LEFT('Base Consolidada'!D2:D10000,2)=""2."")+(LEFT('Base Consolidada'!D2:D10000,2)=""3."")+(LEFT('Base Consolidada'!D2:D10000,2)=""4."")+(LEFT('Base Consolidada'!D2:D10000"&amp;",2)=""5."")+(LEFT('Base Consolidada'!D2:D10000,2)=""6."")+(LEFT('Base Consolidada'!D2:D10000,2)=""7."")+(LEFT('Base Consolidada'!D2:D10000,2)=""8."")+(LEFT('Base Consolidada'!D2:D10000,2)=""9.""))&gt;0,'Base Consolidada'!G2:G10000="""",'Base Consolidada'!A2:"&amp;"A10000&lt;&gt;"""")"),"ACAI DA HORA - CONTA MARCA")</f>
        <v>ACAI DA HORA - CONTA MARCA</v>
      </c>
      <c r="B2" s="4" t="str">
        <f>IFERROR(__xludf.DUMMYFUNCTION("""COMPUTED_VALUE"""),"João Biagiotti")</f>
        <v>João Biagiotti</v>
      </c>
      <c r="C2" s="4" t="str">
        <f>IFERROR(__xludf.DUMMYFUNCTION("""COMPUTED_VALUE"""),"Diego Santos")</f>
        <v>Diego Santos</v>
      </c>
      <c r="D2" s="4" t="str">
        <f>IFERROR(__xludf.DUMMYFUNCTION("""COMPUTED_VALUE"""),"9. Contrato assinado")</f>
        <v>9. Contrato assinado</v>
      </c>
      <c r="E2" s="4"/>
      <c r="F2" s="4" t="str">
        <f>IFERROR(__xludf.DUMMYFUNCTION("""COMPUTED_VALUE"""),"P")</f>
        <v>P</v>
      </c>
      <c r="G2" s="4"/>
      <c r="H2" s="4"/>
    </row>
    <row r="3">
      <c r="A3" s="4" t="str">
        <f>IFERROR(__xludf.DUMMYFUNCTION("""COMPUTED_VALUE"""),"AMERICAN ORIGINAL - CONTA MARCA")</f>
        <v>AMERICAN ORIGINAL - CONTA MARCA</v>
      </c>
      <c r="B3" s="4" t="str">
        <f>IFERROR(__xludf.DUMMYFUNCTION("""COMPUTED_VALUE"""),"Lídia Esteves")</f>
        <v>Lídia Esteves</v>
      </c>
      <c r="C3" s="4" t="str">
        <f>IFERROR(__xludf.DUMMYFUNCTION("""COMPUTED_VALUE"""),"Gabriela Roma")</f>
        <v>Gabriela Roma</v>
      </c>
      <c r="D3" s="4" t="str">
        <f>IFERROR(__xludf.DUMMYFUNCTION("""COMPUTED_VALUE"""),"1. Iniciado")</f>
        <v>1. Iniciado</v>
      </c>
      <c r="E3" s="4"/>
      <c r="F3" s="4" t="str">
        <f>IFERROR(__xludf.DUMMYFUNCTION("""COMPUTED_VALUE"""),"P")</f>
        <v>P</v>
      </c>
      <c r="G3" s="4"/>
      <c r="H3" s="4"/>
    </row>
    <row r="4">
      <c r="A4" s="4" t="str">
        <f>IFERROR(__xludf.DUMMYFUNCTION("""COMPUTED_VALUE"""),"BAR DO ELIAS")</f>
        <v>BAR DO ELIAS</v>
      </c>
      <c r="B4" s="4" t="str">
        <f>IFERROR(__xludf.DUMMYFUNCTION("""COMPUTED_VALUE"""),"Lídia Esteves")</f>
        <v>Lídia Esteves</v>
      </c>
      <c r="C4" s="4" t="str">
        <f>IFERROR(__xludf.DUMMYFUNCTION("""COMPUTED_VALUE"""),"Gabriela Roma")</f>
        <v>Gabriela Roma</v>
      </c>
      <c r="D4" s="4" t="str">
        <f>IFERROR(__xludf.DUMMYFUNCTION("""COMPUTED_VALUE"""),"1. Iniciado")</f>
        <v>1. Iniciado</v>
      </c>
      <c r="E4" s="4" t="str">
        <f>IFERROR(__xludf.DUMMYFUNCTION("""COMPUTED_VALUE"""),"Delivery - Aguardando retorno / Conciliação agenda")</f>
        <v>Delivery - Aguardando retorno / Conciliação agenda</v>
      </c>
      <c r="F4" s="4" t="str">
        <f>IFERROR(__xludf.DUMMYFUNCTION("""COMPUTED_VALUE"""),"P")</f>
        <v>P</v>
      </c>
      <c r="G4" s="4"/>
      <c r="H4" s="4"/>
    </row>
    <row r="5">
      <c r="A5" s="4" t="str">
        <f>IFERROR(__xludf.DUMMYFUNCTION("""COMPUTED_VALUE"""),"BORDA E LENHA")</f>
        <v>BORDA E LENHA</v>
      </c>
      <c r="B5" s="4" t="str">
        <f>IFERROR(__xludf.DUMMYFUNCTION("""COMPUTED_VALUE"""),"Lídia Esteves")</f>
        <v>Lídia Esteves</v>
      </c>
      <c r="C5" s="4" t="str">
        <f>IFERROR(__xludf.DUMMYFUNCTION("""COMPUTED_VALUE"""),"Gabriela Roma")</f>
        <v>Gabriela Roma</v>
      </c>
      <c r="D5" s="4" t="str">
        <f>IFERROR(__xludf.DUMMYFUNCTION("""COMPUTED_VALUE"""),"1. Iniciado")</f>
        <v>1. Iniciado</v>
      </c>
      <c r="E5" s="4" t="str">
        <f>IFERROR(__xludf.DUMMYFUNCTION("""COMPUTED_VALUE"""),"Delivery - Aguardando retorno / Conciliação agenda")</f>
        <v>Delivery - Aguardando retorno / Conciliação agenda</v>
      </c>
      <c r="F5" s="4" t="str">
        <f>IFERROR(__xludf.DUMMYFUNCTION("""COMPUTED_VALUE"""),"P")</f>
        <v>P</v>
      </c>
      <c r="G5" s="4"/>
      <c r="H5" s="4"/>
    </row>
    <row r="6">
      <c r="A6" s="4" t="str">
        <f>IFERROR(__xludf.DUMMYFUNCTION("""COMPUTED_VALUE"""),"BOTECO COLARINHO")</f>
        <v>BOTECO COLARINHO</v>
      </c>
      <c r="B6" s="4" t="str">
        <f>IFERROR(__xludf.DUMMYFUNCTION("""COMPUTED_VALUE"""),"Lídia Esteves")</f>
        <v>Lídia Esteves</v>
      </c>
      <c r="C6" s="4" t="str">
        <f>IFERROR(__xludf.DUMMYFUNCTION("""COMPUTED_VALUE"""),"Gabriela Roma")</f>
        <v>Gabriela Roma</v>
      </c>
      <c r="D6" s="4" t="str">
        <f>IFERROR(__xludf.DUMMYFUNCTION("""COMPUTED_VALUE"""),"1. Iniciado")</f>
        <v>1. Iniciado</v>
      </c>
      <c r="E6" s="4" t="str">
        <f>IFERROR(__xludf.DUMMYFUNCTION("""COMPUTED_VALUE"""),"Delivery - Aguardando retorno / Conciliação agenda")</f>
        <v>Delivery - Aguardando retorno / Conciliação agenda</v>
      </c>
      <c r="F6" s="4" t="str">
        <f>IFERROR(__xludf.DUMMYFUNCTION("""COMPUTED_VALUE"""),"P")</f>
        <v>P</v>
      </c>
      <c r="G6" s="4"/>
      <c r="H6" s="4"/>
    </row>
    <row r="7">
      <c r="A7" s="4" t="str">
        <f>IFERROR(__xludf.DUMMYFUNCTION("""COMPUTED_VALUE"""),"BRAVA SUSHI - CONTA MARCA")</f>
        <v>BRAVA SUSHI - CONTA MARCA</v>
      </c>
      <c r="B7" s="4" t="str">
        <f>IFERROR(__xludf.DUMMYFUNCTION("""COMPUTED_VALUE"""),"Lídia Esteves")</f>
        <v>Lídia Esteves</v>
      </c>
      <c r="C7" s="4" t="str">
        <f>IFERROR(__xludf.DUMMYFUNCTION("""COMPUTED_VALUE"""),"Gabriela Roma")</f>
        <v>Gabriela Roma</v>
      </c>
      <c r="D7" s="4" t="str">
        <f>IFERROR(__xludf.DUMMYFUNCTION("""COMPUTED_VALUE"""),"1. Iniciado")</f>
        <v>1. Iniciado</v>
      </c>
      <c r="E7" s="4" t="str">
        <f>IFERROR(__xludf.DUMMYFUNCTION("""COMPUTED_VALUE"""),"Delivery - Aguardando retorno / Conciliação agenda")</f>
        <v>Delivery - Aguardando retorno / Conciliação agenda</v>
      </c>
      <c r="F7" s="4" t="str">
        <f>IFERROR(__xludf.DUMMYFUNCTION("""COMPUTED_VALUE"""),"P")</f>
        <v>P</v>
      </c>
      <c r="G7" s="4"/>
      <c r="H7" s="4"/>
    </row>
    <row r="8">
      <c r="A8" s="4" t="str">
        <f>IFERROR(__xludf.DUMMYFUNCTION("""COMPUTED_VALUE"""),"CANTINHO DO SABOR")</f>
        <v>CANTINHO DO SABOR</v>
      </c>
      <c r="B8" s="4" t="str">
        <f>IFERROR(__xludf.DUMMYFUNCTION("""COMPUTED_VALUE"""),"Lídia Esteves")</f>
        <v>Lídia Esteves</v>
      </c>
      <c r="C8" s="4" t="str">
        <f>IFERROR(__xludf.DUMMYFUNCTION("""COMPUTED_VALUE"""),"Gabriela Roma")</f>
        <v>Gabriela Roma</v>
      </c>
      <c r="D8" s="4" t="str">
        <f>IFERROR(__xludf.DUMMYFUNCTION("""COMPUTED_VALUE"""),"2. Primeiro Contato com a marca")</f>
        <v>2. Primeiro Contato com a marca</v>
      </c>
      <c r="E8" s="4" t="str">
        <f>IFERROR(__xludf.DUMMYFUNCTION("""COMPUTED_VALUE"""),"Delivery - Aguardando retorno / Conciliação agenda")</f>
        <v>Delivery - Aguardando retorno / Conciliação agenda</v>
      </c>
      <c r="F8" s="4" t="str">
        <f>IFERROR(__xludf.DUMMYFUNCTION("""COMPUTED_VALUE"""),"P")</f>
        <v>P</v>
      </c>
      <c r="G8" s="4"/>
      <c r="H8" s="4"/>
    </row>
    <row r="9">
      <c r="A9" s="4" t="str">
        <f>IFERROR(__xludf.DUMMYFUNCTION("""COMPUTED_VALUE"""),"CHAVITOS HAMBURGUERIA ARTESANAL")</f>
        <v>CHAVITOS HAMBURGUERIA ARTESANAL</v>
      </c>
      <c r="B9" s="4" t="str">
        <f>IFERROR(__xludf.DUMMYFUNCTION("""COMPUTED_VALUE"""),"Lídia Esteves")</f>
        <v>Lídia Esteves</v>
      </c>
      <c r="C9" s="4" t="str">
        <f>IFERROR(__xludf.DUMMYFUNCTION("""COMPUTED_VALUE"""),"Gabriela Roma")</f>
        <v>Gabriela Roma</v>
      </c>
      <c r="D9" s="4" t="str">
        <f>IFERROR(__xludf.DUMMYFUNCTION("""COMPUTED_VALUE"""),"1. Iniciado")</f>
        <v>1. Iniciado</v>
      </c>
      <c r="E9" s="4" t="str">
        <f>IFERROR(__xludf.DUMMYFUNCTION("""COMPUTED_VALUE"""),"Delivery - Aguardando retorno / Conciliação agenda")</f>
        <v>Delivery - Aguardando retorno / Conciliação agenda</v>
      </c>
      <c r="F9" s="4" t="str">
        <f>IFERROR(__xludf.DUMMYFUNCTION("""COMPUTED_VALUE"""),"P")</f>
        <v>P</v>
      </c>
      <c r="G9" s="4"/>
      <c r="H9" s="4"/>
    </row>
    <row r="10">
      <c r="A10" s="4" t="str">
        <f>IFERROR(__xludf.DUMMYFUNCTION("""COMPUTED_VALUE"""),"CHICKEN TOWN")</f>
        <v>CHICKEN TOWN</v>
      </c>
      <c r="B10" s="4" t="str">
        <f>IFERROR(__xludf.DUMMYFUNCTION("""COMPUTED_VALUE"""),"Lídia Esteves")</f>
        <v>Lídia Esteves</v>
      </c>
      <c r="C10" s="4" t="str">
        <f>IFERROR(__xludf.DUMMYFUNCTION("""COMPUTED_VALUE"""),"Gabriela Roma")</f>
        <v>Gabriela Roma</v>
      </c>
      <c r="D10" s="4" t="str">
        <f>IFERROR(__xludf.DUMMYFUNCTION("""COMPUTED_VALUE"""),"1. Iniciado")</f>
        <v>1. Iniciado</v>
      </c>
      <c r="E10" s="4" t="str">
        <f>IFERROR(__xludf.DUMMYFUNCTION("""COMPUTED_VALUE"""),"Delivery - Aguardando retorno / Conciliação agenda")</f>
        <v>Delivery - Aguardando retorno / Conciliação agenda</v>
      </c>
      <c r="F10" s="4" t="str">
        <f>IFERROR(__xludf.DUMMYFUNCTION("""COMPUTED_VALUE"""),"P")</f>
        <v>P</v>
      </c>
      <c r="G10" s="4"/>
      <c r="H10" s="4"/>
    </row>
    <row r="11">
      <c r="A11" s="4" t="str">
        <f>IFERROR(__xludf.DUMMYFUNCTION("""COMPUTED_VALUE"""),"DALLE PIZZA")</f>
        <v>DALLE PIZZA</v>
      </c>
      <c r="B11" s="4" t="str">
        <f>IFERROR(__xludf.DUMMYFUNCTION("""COMPUTED_VALUE"""),"Lídia Esteves")</f>
        <v>Lídia Esteves</v>
      </c>
      <c r="C11" s="4" t="str">
        <f>IFERROR(__xludf.DUMMYFUNCTION("""COMPUTED_VALUE"""),"Gabriela Roma")</f>
        <v>Gabriela Roma</v>
      </c>
      <c r="D11" s="4" t="str">
        <f>IFERROR(__xludf.DUMMYFUNCTION("""COMPUTED_VALUE"""),"2. Primeiro Contato com a marca")</f>
        <v>2. Primeiro Contato com a marca</v>
      </c>
      <c r="E11" s="4" t="str">
        <f>IFERROR(__xludf.DUMMYFUNCTION("""COMPUTED_VALUE"""),"Delivery - Aguardando retorno / Conciliação agenda")</f>
        <v>Delivery - Aguardando retorno / Conciliação agenda</v>
      </c>
      <c r="F11" s="4" t="str">
        <f>IFERROR(__xludf.DUMMYFUNCTION("""COMPUTED_VALUE"""),"P")</f>
        <v>P</v>
      </c>
      <c r="G11" s="4"/>
      <c r="H11" s="4"/>
    </row>
    <row r="12">
      <c r="A12" s="4" t="str">
        <f>IFERROR(__xludf.DUMMYFUNCTION("""COMPUTED_VALUE"""),"DINA PIZZA")</f>
        <v>DINA PIZZA</v>
      </c>
      <c r="B12" s="4" t="str">
        <f>IFERROR(__xludf.DUMMYFUNCTION("""COMPUTED_VALUE"""),"Lídia Esteves")</f>
        <v>Lídia Esteves</v>
      </c>
      <c r="C12" s="4" t="str">
        <f>IFERROR(__xludf.DUMMYFUNCTION("""COMPUTED_VALUE"""),"Gabriela Roma")</f>
        <v>Gabriela Roma</v>
      </c>
      <c r="D12" s="4" t="str">
        <f>IFERROR(__xludf.DUMMYFUNCTION("""COMPUTED_VALUE"""),"1. Iniciado")</f>
        <v>1. Iniciado</v>
      </c>
      <c r="E12" s="4" t="str">
        <f>IFERROR(__xludf.DUMMYFUNCTION("""COMPUTED_VALUE"""),"Delivery - Aguardando retorno / Conciliação agenda")</f>
        <v>Delivery - Aguardando retorno / Conciliação agenda</v>
      </c>
      <c r="F12" s="4" t="str">
        <f>IFERROR(__xludf.DUMMYFUNCTION("""COMPUTED_VALUE"""),"P")</f>
        <v>P</v>
      </c>
      <c r="G12" s="4"/>
      <c r="H12" s="4"/>
    </row>
    <row r="13">
      <c r="A13" s="4" t="str">
        <f>IFERROR(__xludf.DUMMYFUNCTION("""COMPUTED_VALUE"""),"DOCE MAGIA")</f>
        <v>DOCE MAGIA</v>
      </c>
      <c r="B13" s="4" t="str">
        <f>IFERROR(__xludf.DUMMYFUNCTION("""COMPUTED_VALUE"""),"Lídia Esteves")</f>
        <v>Lídia Esteves</v>
      </c>
      <c r="C13" s="4" t="str">
        <f>IFERROR(__xludf.DUMMYFUNCTION("""COMPUTED_VALUE"""),"Gabriela Roma")</f>
        <v>Gabriela Roma</v>
      </c>
      <c r="D13" s="4" t="str">
        <f>IFERROR(__xludf.DUMMYFUNCTION("""COMPUTED_VALUE"""),"1. Iniciado")</f>
        <v>1. Iniciado</v>
      </c>
      <c r="E13" s="4" t="str">
        <f>IFERROR(__xludf.DUMMYFUNCTION("""COMPUTED_VALUE"""),"Delivery - Aguardando retorno / Conciliação agenda")</f>
        <v>Delivery - Aguardando retorno / Conciliação agenda</v>
      </c>
      <c r="F13" s="4" t="str">
        <f>IFERROR(__xludf.DUMMYFUNCTION("""COMPUTED_VALUE"""),"P")</f>
        <v>P</v>
      </c>
      <c r="G13" s="4"/>
      <c r="H13" s="4"/>
    </row>
    <row r="14">
      <c r="A14" s="4" t="str">
        <f>IFERROR(__xludf.DUMMYFUNCTION("""COMPUTED_VALUE"""),"DOFFEE DONUTS COFFEE - CONTA MARCA")</f>
        <v>DOFFEE DONUTS COFFEE - CONTA MARCA</v>
      </c>
      <c r="B14" s="4" t="str">
        <f>IFERROR(__xludf.DUMMYFUNCTION("""COMPUTED_VALUE"""),"Lídia Esteves")</f>
        <v>Lídia Esteves</v>
      </c>
      <c r="C14" s="4" t="str">
        <f>IFERROR(__xludf.DUMMYFUNCTION("""COMPUTED_VALUE"""),"Gabriela Roma")</f>
        <v>Gabriela Roma</v>
      </c>
      <c r="D14" s="4" t="str">
        <f>IFERROR(__xludf.DUMMYFUNCTION("""COMPUTED_VALUE"""),"2. Primeiro Contato com a marca")</f>
        <v>2. Primeiro Contato com a marca</v>
      </c>
      <c r="E14" s="4" t="str">
        <f>IFERROR(__xludf.DUMMYFUNCTION("""COMPUTED_VALUE"""),"Parceiro - Aguardando retorno / Conciliação agenda")</f>
        <v>Parceiro - Aguardando retorno / Conciliação agenda</v>
      </c>
      <c r="F14" s="4" t="str">
        <f>IFERROR(__xludf.DUMMYFUNCTION("""COMPUTED_VALUE"""),"P")</f>
        <v>P</v>
      </c>
      <c r="G14" s="4"/>
      <c r="H14" s="4"/>
    </row>
    <row r="15">
      <c r="A15" s="4" t="str">
        <f>IFERROR(__xludf.DUMMYFUNCTION("""COMPUTED_VALUE"""),"EL PATRON")</f>
        <v>EL PATRON</v>
      </c>
      <c r="B15" s="4" t="str">
        <f>IFERROR(__xludf.DUMMYFUNCTION("""COMPUTED_VALUE"""),"Lídia Esteves")</f>
        <v>Lídia Esteves</v>
      </c>
      <c r="C15" s="4" t="str">
        <f>IFERROR(__xludf.DUMMYFUNCTION("""COMPUTED_VALUE"""),"Gabriela Roma")</f>
        <v>Gabriela Roma</v>
      </c>
      <c r="D15" s="4" t="str">
        <f>IFERROR(__xludf.DUMMYFUNCTION("""COMPUTED_VALUE"""),"1. Iniciado")</f>
        <v>1. Iniciado</v>
      </c>
      <c r="E15" s="4" t="str">
        <f>IFERROR(__xludf.DUMMYFUNCTION("""COMPUTED_VALUE"""),"Delivery - Aguardando retorno / Conciliação agenda")</f>
        <v>Delivery - Aguardando retorno / Conciliação agenda</v>
      </c>
      <c r="F15" s="4" t="str">
        <f>IFERROR(__xludf.DUMMYFUNCTION("""COMPUTED_VALUE"""),"P")</f>
        <v>P</v>
      </c>
      <c r="G15" s="4"/>
      <c r="H15" s="4"/>
    </row>
    <row r="16">
      <c r="A16" s="4" t="str">
        <f>IFERROR(__xludf.DUMMYFUNCTION("""COMPUTED_VALUE"""),"FEIJOADA DO ABILIO")</f>
        <v>FEIJOADA DO ABILIO</v>
      </c>
      <c r="B16" s="4" t="str">
        <f>IFERROR(__xludf.DUMMYFUNCTION("""COMPUTED_VALUE"""),"Lídia Esteves")</f>
        <v>Lídia Esteves</v>
      </c>
      <c r="C16" s="4" t="str">
        <f>IFERROR(__xludf.DUMMYFUNCTION("""COMPUTED_VALUE"""),"Gabriela Roma")</f>
        <v>Gabriela Roma</v>
      </c>
      <c r="D16" s="4" t="str">
        <f>IFERROR(__xludf.DUMMYFUNCTION("""COMPUTED_VALUE"""),"1. Iniciado")</f>
        <v>1. Iniciado</v>
      </c>
      <c r="E16" s="4" t="str">
        <f>IFERROR(__xludf.DUMMYFUNCTION("""COMPUTED_VALUE"""),"Delivery - Aguardando retorno / Conciliação agenda")</f>
        <v>Delivery - Aguardando retorno / Conciliação agenda</v>
      </c>
      <c r="F16" s="4" t="str">
        <f>IFERROR(__xludf.DUMMYFUNCTION("""COMPUTED_VALUE"""),"P")</f>
        <v>P</v>
      </c>
      <c r="G16" s="4"/>
      <c r="H16" s="4"/>
    </row>
    <row r="17">
      <c r="A17" s="4" t="str">
        <f>IFERROR(__xludf.DUMMYFUNCTION("""COMPUTED_VALUE"""),"GRUPO RAINHA DAS MARMITAS")</f>
        <v>GRUPO RAINHA DAS MARMITAS</v>
      </c>
      <c r="B17" s="4" t="str">
        <f>IFERROR(__xludf.DUMMYFUNCTION("""COMPUTED_VALUE"""),"Lídia Esteves")</f>
        <v>Lídia Esteves</v>
      </c>
      <c r="C17" s="4" t="str">
        <f>IFERROR(__xludf.DUMMYFUNCTION("""COMPUTED_VALUE"""),"Gabriela Roma")</f>
        <v>Gabriela Roma</v>
      </c>
      <c r="D17" s="4" t="str">
        <f>IFERROR(__xludf.DUMMYFUNCTION("""COMPUTED_VALUE"""),"1. Iniciado")</f>
        <v>1. Iniciado</v>
      </c>
      <c r="E17" s="4" t="str">
        <f>IFERROR(__xludf.DUMMYFUNCTION("""COMPUTED_VALUE"""),"Delivery - Aguardando retorno / Conciliação agenda")</f>
        <v>Delivery - Aguardando retorno / Conciliação agenda</v>
      </c>
      <c r="F17" s="4" t="str">
        <f>IFERROR(__xludf.DUMMYFUNCTION("""COMPUTED_VALUE"""),"M")</f>
        <v>M</v>
      </c>
      <c r="G17" s="4"/>
      <c r="H17" s="4"/>
    </row>
    <row r="18">
      <c r="A18" s="4" t="str">
        <f>IFERROR(__xludf.DUMMYFUNCTION("""COMPUTED_VALUE"""),"HOT DOG YRACEMA")</f>
        <v>HOT DOG YRACEMA</v>
      </c>
      <c r="B18" s="4" t="str">
        <f>IFERROR(__xludf.DUMMYFUNCTION("""COMPUTED_VALUE"""),"Lídia Esteves")</f>
        <v>Lídia Esteves</v>
      </c>
      <c r="C18" s="4" t="str">
        <f>IFERROR(__xludf.DUMMYFUNCTION("""COMPUTED_VALUE"""),"Gabriela Roma")</f>
        <v>Gabriela Roma</v>
      </c>
      <c r="D18" s="4" t="str">
        <f>IFERROR(__xludf.DUMMYFUNCTION("""COMPUTED_VALUE"""),"1. Iniciado")</f>
        <v>1. Iniciado</v>
      </c>
      <c r="E18" s="4" t="str">
        <f>IFERROR(__xludf.DUMMYFUNCTION("""COMPUTED_VALUE"""),"Delivery - Aguardando retorno / Conciliação agenda")</f>
        <v>Delivery - Aguardando retorno / Conciliação agenda</v>
      </c>
      <c r="F18" s="4" t="str">
        <f>IFERROR(__xludf.DUMMYFUNCTION("""COMPUTED_VALUE"""),"P")</f>
        <v>P</v>
      </c>
      <c r="G18" s="4"/>
      <c r="H18" s="4"/>
    </row>
    <row r="19">
      <c r="A19" s="4" t="str">
        <f>IFERROR(__xludf.DUMMYFUNCTION("""COMPUTED_VALUE"""),"INPOT - CONTA PAI")</f>
        <v>INPOT - CONTA PAI</v>
      </c>
      <c r="B19" s="4" t="str">
        <f>IFERROR(__xludf.DUMMYFUNCTION("""COMPUTED_VALUE"""),"Lídia Esteves")</f>
        <v>Lídia Esteves</v>
      </c>
      <c r="C19" s="4" t="str">
        <f>IFERROR(__xludf.DUMMYFUNCTION("""COMPUTED_VALUE"""),"Gabriela Roma")</f>
        <v>Gabriela Roma</v>
      </c>
      <c r="D19" s="4" t="str">
        <f>IFERROR(__xludf.DUMMYFUNCTION("""COMPUTED_VALUE"""),"1. Iniciado")</f>
        <v>1. Iniciado</v>
      </c>
      <c r="E19" s="4" t="str">
        <f>IFERROR(__xludf.DUMMYFUNCTION("""COMPUTED_VALUE"""),"Delivery - Aguardando retorno / Conciliação agenda")</f>
        <v>Delivery - Aguardando retorno / Conciliação agenda</v>
      </c>
      <c r="F19" s="4" t="str">
        <f>IFERROR(__xludf.DUMMYFUNCTION("""COMPUTED_VALUE"""),"P")</f>
        <v>P</v>
      </c>
      <c r="G19" s="4"/>
      <c r="H19" s="4"/>
    </row>
    <row r="20">
      <c r="A20" s="4" t="str">
        <f>IFERROR(__xludf.DUMMYFUNCTION("""COMPUTED_VALUE"""),"MEXICANISSIMO RESTAURANTE")</f>
        <v>MEXICANISSIMO RESTAURANTE</v>
      </c>
      <c r="B20" s="4" t="str">
        <f>IFERROR(__xludf.DUMMYFUNCTION("""COMPUTED_VALUE"""),"Lídia Esteves")</f>
        <v>Lídia Esteves</v>
      </c>
      <c r="C20" s="4" t="str">
        <f>IFERROR(__xludf.DUMMYFUNCTION("""COMPUTED_VALUE"""),"Gabriela Roma")</f>
        <v>Gabriela Roma</v>
      </c>
      <c r="D20" s="4" t="str">
        <f>IFERROR(__xludf.DUMMYFUNCTION("""COMPUTED_VALUE"""),"1. Iniciado")</f>
        <v>1. Iniciado</v>
      </c>
      <c r="E20" s="4" t="str">
        <f>IFERROR(__xludf.DUMMYFUNCTION("""COMPUTED_VALUE"""),"Delivery - Aguardando retorno / Conciliação agenda")</f>
        <v>Delivery - Aguardando retorno / Conciliação agenda</v>
      </c>
      <c r="F20" s="4" t="str">
        <f>IFERROR(__xludf.DUMMYFUNCTION("""COMPUTED_VALUE"""),"P")</f>
        <v>P</v>
      </c>
      <c r="G20" s="4"/>
      <c r="H20" s="4"/>
    </row>
    <row r="21">
      <c r="A21" s="4" t="str">
        <f>IFERROR(__xludf.DUMMYFUNCTION("""COMPUTED_VALUE"""),"O NOSSO CHURRASQUETO")</f>
        <v>O NOSSO CHURRASQUETO</v>
      </c>
      <c r="B21" s="4" t="str">
        <f>IFERROR(__xludf.DUMMYFUNCTION("""COMPUTED_VALUE"""),"Lídia Esteves")</f>
        <v>Lídia Esteves</v>
      </c>
      <c r="C21" s="4" t="str">
        <f>IFERROR(__xludf.DUMMYFUNCTION("""COMPUTED_VALUE"""),"Gabriela Roma")</f>
        <v>Gabriela Roma</v>
      </c>
      <c r="D21" s="4" t="str">
        <f>IFERROR(__xludf.DUMMYFUNCTION("""COMPUTED_VALUE"""),"1. Iniciado")</f>
        <v>1. Iniciado</v>
      </c>
      <c r="E21" s="4" t="str">
        <f>IFERROR(__xludf.DUMMYFUNCTION("""COMPUTED_VALUE"""),"Delivery - Aguardando retorno / Conciliação agenda")</f>
        <v>Delivery - Aguardando retorno / Conciliação agenda</v>
      </c>
      <c r="F21" s="4" t="str">
        <f>IFERROR(__xludf.DUMMYFUNCTION("""COMPUTED_VALUE"""),"P")</f>
        <v>P</v>
      </c>
      <c r="G21" s="4"/>
      <c r="H21" s="4"/>
    </row>
    <row r="22">
      <c r="A22" s="4" t="str">
        <f>IFERROR(__xludf.DUMMYFUNCTION("""COMPUTED_VALUE"""),"PATI POKE POKE")</f>
        <v>PATI POKE POKE</v>
      </c>
      <c r="B22" s="4" t="str">
        <f>IFERROR(__xludf.DUMMYFUNCTION("""COMPUTED_VALUE"""),"Lídia Esteves")</f>
        <v>Lídia Esteves</v>
      </c>
      <c r="C22" s="4" t="str">
        <f>IFERROR(__xludf.DUMMYFUNCTION("""COMPUTED_VALUE"""),"Gabriela Roma")</f>
        <v>Gabriela Roma</v>
      </c>
      <c r="D22" s="4" t="str">
        <f>IFERROR(__xludf.DUMMYFUNCTION("""COMPUTED_VALUE"""),"1. Iniciado")</f>
        <v>1. Iniciado</v>
      </c>
      <c r="E22" s="4" t="str">
        <f>IFERROR(__xludf.DUMMYFUNCTION("""COMPUTED_VALUE"""),"Delivery - Aguardando retorno / Conciliação agenda")</f>
        <v>Delivery - Aguardando retorno / Conciliação agenda</v>
      </c>
      <c r="F22" s="4" t="str">
        <f>IFERROR(__xludf.DUMMYFUNCTION("""COMPUTED_VALUE"""),"P")</f>
        <v>P</v>
      </c>
      <c r="G22" s="4"/>
      <c r="H22" s="4"/>
    </row>
    <row r="23">
      <c r="A23" s="4" t="str">
        <f>IFERROR(__xludf.DUMMYFUNCTION("""COMPUTED_VALUE"""),"PLANALTO DO CHOPP")</f>
        <v>PLANALTO DO CHOPP</v>
      </c>
      <c r="B23" s="4" t="str">
        <f>IFERROR(__xludf.DUMMYFUNCTION("""COMPUTED_VALUE"""),"Lídia Esteves")</f>
        <v>Lídia Esteves</v>
      </c>
      <c r="C23" s="4" t="str">
        <f>IFERROR(__xludf.DUMMYFUNCTION("""COMPUTED_VALUE"""),"Gabriela Roma")</f>
        <v>Gabriela Roma</v>
      </c>
      <c r="D23" s="4" t="str">
        <f>IFERROR(__xludf.DUMMYFUNCTION("""COMPUTED_VALUE"""),"1. Iniciado")</f>
        <v>1. Iniciado</v>
      </c>
      <c r="E23" s="4" t="str">
        <f>IFERROR(__xludf.DUMMYFUNCTION("""COMPUTED_VALUE"""),"Delivery - Aguardando retorno / Conciliação agenda")</f>
        <v>Delivery - Aguardando retorno / Conciliação agenda</v>
      </c>
      <c r="F23" s="4" t="str">
        <f>IFERROR(__xludf.DUMMYFUNCTION("""COMPUTED_VALUE"""),"P")</f>
        <v>P</v>
      </c>
      <c r="G23" s="4"/>
      <c r="H23" s="4"/>
    </row>
    <row r="24">
      <c r="A24" s="4" t="str">
        <f>IFERROR(__xludf.DUMMYFUNCTION("""COMPUTED_VALUE"""),"RINCONCITO PERUANO")</f>
        <v>RINCONCITO PERUANO</v>
      </c>
      <c r="B24" s="4" t="str">
        <f>IFERROR(__xludf.DUMMYFUNCTION("""COMPUTED_VALUE"""),"Lídia Esteves")</f>
        <v>Lídia Esteves</v>
      </c>
      <c r="C24" s="4" t="str">
        <f>IFERROR(__xludf.DUMMYFUNCTION("""COMPUTED_VALUE"""),"Gabriela Roma")</f>
        <v>Gabriela Roma</v>
      </c>
      <c r="D24" s="4" t="str">
        <f>IFERROR(__xludf.DUMMYFUNCTION("""COMPUTED_VALUE"""),"1. Iniciado")</f>
        <v>1. Iniciado</v>
      </c>
      <c r="E24" s="4" t="str">
        <f>IFERROR(__xludf.DUMMYFUNCTION("""COMPUTED_VALUE"""),"Delivery - Aguardando retorno / Conciliação agenda")</f>
        <v>Delivery - Aguardando retorno / Conciliação agenda</v>
      </c>
      <c r="F24" s="4" t="str">
        <f>IFERROR(__xludf.DUMMYFUNCTION("""COMPUTED_VALUE"""),"P")</f>
        <v>P</v>
      </c>
      <c r="G24" s="4"/>
      <c r="H24" s="4"/>
    </row>
    <row r="25">
      <c r="A25" s="4" t="str">
        <f>IFERROR(__xludf.DUMMYFUNCTION("""COMPUTED_VALUE"""),"ZI TEREZA")</f>
        <v>ZI TEREZA</v>
      </c>
      <c r="B25" s="4" t="str">
        <f>IFERROR(__xludf.DUMMYFUNCTION("""COMPUTED_VALUE"""),"Lídia Esteves")</f>
        <v>Lídia Esteves</v>
      </c>
      <c r="C25" s="4" t="str">
        <f>IFERROR(__xludf.DUMMYFUNCTION("""COMPUTED_VALUE"""),"Gabriela Roma")</f>
        <v>Gabriela Roma</v>
      </c>
      <c r="D25" s="4" t="str">
        <f>IFERROR(__xludf.DUMMYFUNCTION("""COMPUTED_VALUE"""),"1. Iniciado")</f>
        <v>1. Iniciado</v>
      </c>
      <c r="E25" s="4" t="str">
        <f>IFERROR(__xludf.DUMMYFUNCTION("""COMPUTED_VALUE"""),"Delivery - Aguardando retorno / Conciliação agenda")</f>
        <v>Delivery - Aguardando retorno / Conciliação agenda</v>
      </c>
      <c r="F25" s="4" t="str">
        <f>IFERROR(__xludf.DUMMYFUNCTION("""COMPUTED_VALUE"""),"P")</f>
        <v>P</v>
      </c>
      <c r="G25" s="4"/>
      <c r="H25" s="4"/>
    </row>
    <row r="26">
      <c r="A26" s="4" t="str">
        <f>IFERROR(__xludf.DUMMYFUNCTION("""COMPUTED_VALUE"""),"Baruk Esfiha E Shawarmas")</f>
        <v>Baruk Esfiha E Shawarmas</v>
      </c>
      <c r="B26" s="4" t="str">
        <f>IFERROR(__xludf.DUMMYFUNCTION("""COMPUTED_VALUE"""),"Lídia Esteves")</f>
        <v>Lídia Esteves</v>
      </c>
      <c r="C26" s="4" t="str">
        <f>IFERROR(__xludf.DUMMYFUNCTION("""COMPUTED_VALUE"""),"Gabriela Roma")</f>
        <v>Gabriela Roma</v>
      </c>
      <c r="D26" s="4" t="str">
        <f>IFERROR(__xludf.DUMMYFUNCTION("""COMPUTED_VALUE"""),"1. Iniciado")</f>
        <v>1. Iniciado</v>
      </c>
      <c r="E26" s="4"/>
      <c r="F26" s="4" t="str">
        <f>IFERROR(__xludf.DUMMYFUNCTION("""COMPUTED_VALUE"""),"P")</f>
        <v>P</v>
      </c>
      <c r="G26" s="4"/>
      <c r="H26" s="4"/>
    </row>
    <row r="27">
      <c r="A27" s="4" t="str">
        <f>IFERROR(__xludf.DUMMYFUNCTION("""COMPUTED_VALUE"""),"Bob Esponja (Nickelodeon)")</f>
        <v>Bob Esponja (Nickelodeon)</v>
      </c>
      <c r="B27" s="4" t="str">
        <f>IFERROR(__xludf.DUMMYFUNCTION("""COMPUTED_VALUE"""),"Emerson")</f>
        <v>Emerson</v>
      </c>
      <c r="C27" s="4" t="str">
        <f>IFERROR(__xludf.DUMMYFUNCTION("""COMPUTED_VALUE"""),"Emerson")</f>
        <v>Emerson</v>
      </c>
      <c r="D27" s="4" t="str">
        <f>IFERROR(__xludf.DUMMYFUNCTION("""COMPUTED_VALUE"""),"3. Apresentação")</f>
        <v>3. Apresentação</v>
      </c>
      <c r="E27" s="4"/>
      <c r="F27" s="4" t="str">
        <f>IFERROR(__xludf.DUMMYFUNCTION("""COMPUTED_VALUE"""),"P")</f>
        <v>P</v>
      </c>
      <c r="G27" s="4"/>
      <c r="H27" s="4"/>
    </row>
    <row r="28">
      <c r="A28" s="4" t="str">
        <f>IFERROR(__xludf.DUMMYFUNCTION("""COMPUTED_VALUE"""),"Brutus- Cp")</f>
        <v>Brutus- Cp</v>
      </c>
      <c r="B28" s="4" t="str">
        <f>IFERROR(__xludf.DUMMYFUNCTION("""COMPUTED_VALUE"""),"Lídia Esteves")</f>
        <v>Lídia Esteves</v>
      </c>
      <c r="C28" s="4" t="str">
        <f>IFERROR(__xludf.DUMMYFUNCTION("""COMPUTED_VALUE"""),"Gabriela Roma")</f>
        <v>Gabriela Roma</v>
      </c>
      <c r="D28" s="4" t="str">
        <f>IFERROR(__xludf.DUMMYFUNCTION("""COMPUTED_VALUE"""),"1. Iniciado")</f>
        <v>1. Iniciado</v>
      </c>
      <c r="E28" s="4" t="str">
        <f>IFERROR(__xludf.DUMMYFUNCTION("""COMPUTED_VALUE"""),"Delivery - Aguardando retorno / Conciliação agenda")</f>
        <v>Delivery - Aguardando retorno / Conciliação agenda</v>
      </c>
      <c r="F28" s="4" t="str">
        <f>IFERROR(__xludf.DUMMYFUNCTION("""COMPUTED_VALUE"""),"P")</f>
        <v>P</v>
      </c>
      <c r="G28" s="4"/>
      <c r="H28" s="4"/>
    </row>
    <row r="29">
      <c r="A29" s="4" t="str">
        <f>IFERROR(__xludf.DUMMYFUNCTION("""COMPUTED_VALUE"""),"Camarada Camarão (Grupo Drumattos)")</f>
        <v>Camarada Camarão (Grupo Drumattos)</v>
      </c>
      <c r="B29" s="4" t="str">
        <f>IFERROR(__xludf.DUMMYFUNCTION("""COMPUTED_VALUE"""),"Leonardo Roso")</f>
        <v>Leonardo Roso</v>
      </c>
      <c r="C29" s="4" t="str">
        <f>IFERROR(__xludf.DUMMYFUNCTION("""COMPUTED_VALUE"""),"Leonardo Roso")</f>
        <v>Leonardo Roso</v>
      </c>
      <c r="D29" s="4" t="str">
        <f>IFERROR(__xludf.DUMMYFUNCTION("""COMPUTED_VALUE"""),"3. Apresentação")</f>
        <v>3. Apresentação</v>
      </c>
      <c r="E29" s="4"/>
      <c r="F29" s="4" t="str">
        <f>IFERROR(__xludf.DUMMYFUNCTION("""COMPUTED_VALUE"""),"G")</f>
        <v>G</v>
      </c>
      <c r="G29" s="4"/>
      <c r="H29" s="4"/>
    </row>
    <row r="30">
      <c r="A30" s="4" t="str">
        <f>IFERROR(__xludf.DUMMYFUNCTION("""COMPUTED_VALUE"""),"Churrascaria America Grill")</f>
        <v>Churrascaria America Grill</v>
      </c>
      <c r="B30" s="4" t="str">
        <f>IFERROR(__xludf.DUMMYFUNCTION("""COMPUTED_VALUE"""),"Lídia Esteves")</f>
        <v>Lídia Esteves</v>
      </c>
      <c r="C30" s="4" t="str">
        <f>IFERROR(__xludf.DUMMYFUNCTION("""COMPUTED_VALUE"""),"Gabriela Roma")</f>
        <v>Gabriela Roma</v>
      </c>
      <c r="D30" s="4" t="str">
        <f>IFERROR(__xludf.DUMMYFUNCTION("""COMPUTED_VALUE"""),"1. Iniciado")</f>
        <v>1. Iniciado</v>
      </c>
      <c r="E30" s="4" t="str">
        <f>IFERROR(__xludf.DUMMYFUNCTION("""COMPUTED_VALUE"""),"Delivery - Aguardando retorno / Conciliação agenda")</f>
        <v>Delivery - Aguardando retorno / Conciliação agenda</v>
      </c>
      <c r="F30" s="4" t="str">
        <f>IFERROR(__xludf.DUMMYFUNCTION("""COMPUTED_VALUE"""),"P")</f>
        <v>P</v>
      </c>
      <c r="G30" s="4"/>
      <c r="H30" s="4"/>
    </row>
    <row r="31">
      <c r="A31" s="4" t="str">
        <f>IFERROR(__xludf.DUMMYFUNCTION("""COMPUTED_VALUE"""),"Comendador Burguer")</f>
        <v>Comendador Burguer</v>
      </c>
      <c r="B31" s="4" t="str">
        <f>IFERROR(__xludf.DUMMYFUNCTION("""COMPUTED_VALUE"""),"Lídia Esteves")</f>
        <v>Lídia Esteves</v>
      </c>
      <c r="C31" s="4" t="str">
        <f>IFERROR(__xludf.DUMMYFUNCTION("""COMPUTED_VALUE"""),"Gabriela Roma")</f>
        <v>Gabriela Roma</v>
      </c>
      <c r="D31" s="4" t="str">
        <f>IFERROR(__xludf.DUMMYFUNCTION("""COMPUTED_VALUE"""),"1. Iniciado")</f>
        <v>1. Iniciado</v>
      </c>
      <c r="E31" s="4" t="str">
        <f>IFERROR(__xludf.DUMMYFUNCTION("""COMPUTED_VALUE"""),"Delivery - Aguardando retorno / Conciliação agenda")</f>
        <v>Delivery - Aguardando retorno / Conciliação agenda</v>
      </c>
      <c r="F31" s="4" t="str">
        <f>IFERROR(__xludf.DUMMYFUNCTION("""COMPUTED_VALUE"""),"P")</f>
        <v>P</v>
      </c>
      <c r="G31" s="4"/>
      <c r="H31" s="4"/>
    </row>
    <row r="32">
      <c r="A32" s="4" t="str">
        <f>IFERROR(__xludf.DUMMYFUNCTION("""COMPUTED_VALUE"""),"Comodoro Burguer")</f>
        <v>Comodoro Burguer</v>
      </c>
      <c r="B32" s="4" t="str">
        <f>IFERROR(__xludf.DUMMYFUNCTION("""COMPUTED_VALUE"""),"Lídia Esteves")</f>
        <v>Lídia Esteves</v>
      </c>
      <c r="C32" s="4" t="str">
        <f>IFERROR(__xludf.DUMMYFUNCTION("""COMPUTED_VALUE"""),"Gabriela Roma")</f>
        <v>Gabriela Roma</v>
      </c>
      <c r="D32" s="4" t="str">
        <f>IFERROR(__xludf.DUMMYFUNCTION("""COMPUTED_VALUE"""),"1. Iniciado")</f>
        <v>1. Iniciado</v>
      </c>
      <c r="E32" s="4" t="str">
        <f>IFERROR(__xludf.DUMMYFUNCTION("""COMPUTED_VALUE"""),"Delivery - Aguardando retorno / Conciliação agenda")</f>
        <v>Delivery - Aguardando retorno / Conciliação agenda</v>
      </c>
      <c r="F32" s="4" t="str">
        <f>IFERROR(__xludf.DUMMYFUNCTION("""COMPUTED_VALUE"""),"M")</f>
        <v>M</v>
      </c>
      <c r="G32" s="4"/>
      <c r="H32" s="4"/>
    </row>
    <row r="33">
      <c r="A33" s="4" t="str">
        <f>IFERROR(__xludf.DUMMYFUNCTION("""COMPUTED_VALUE"""),"Dna Da Pizza")</f>
        <v>Dna Da Pizza</v>
      </c>
      <c r="B33" s="4" t="str">
        <f>IFERROR(__xludf.DUMMYFUNCTION("""COMPUTED_VALUE"""),"Lídia Esteves")</f>
        <v>Lídia Esteves</v>
      </c>
      <c r="C33" s="4" t="str">
        <f>IFERROR(__xludf.DUMMYFUNCTION("""COMPUTED_VALUE"""),"Gabriela Roma")</f>
        <v>Gabriela Roma</v>
      </c>
      <c r="D33" s="4" t="str">
        <f>IFERROR(__xludf.DUMMYFUNCTION("""COMPUTED_VALUE"""),"1. Iniciado")</f>
        <v>1. Iniciado</v>
      </c>
      <c r="E33" s="4" t="str">
        <f>IFERROR(__xludf.DUMMYFUNCTION("""COMPUTED_VALUE"""),"Delivery - Aguardando retorno / Conciliação agenda")</f>
        <v>Delivery - Aguardando retorno / Conciliação agenda</v>
      </c>
      <c r="F33" s="4" t="str">
        <f>IFERROR(__xludf.DUMMYFUNCTION("""COMPUTED_VALUE"""),"P")</f>
        <v>P</v>
      </c>
      <c r="G33" s="4"/>
      <c r="H33" s="4"/>
    </row>
    <row r="34">
      <c r="A34" s="4" t="str">
        <f>IFERROR(__xludf.DUMMYFUNCTION("""COMPUTED_VALUE"""),"Grupo Atrio")</f>
        <v>Grupo Atrio</v>
      </c>
      <c r="B34" s="4" t="str">
        <f>IFERROR(__xludf.DUMMYFUNCTION("""COMPUTED_VALUE"""),"Leonardo Roso")</f>
        <v>Leonardo Roso</v>
      </c>
      <c r="C34" s="4" t="str">
        <f>IFERROR(__xludf.DUMMYFUNCTION("""COMPUTED_VALUE"""),"Leonardo Roso")</f>
        <v>Leonardo Roso</v>
      </c>
      <c r="D34" s="4" t="str">
        <f>IFERROR(__xludf.DUMMYFUNCTION("""COMPUTED_VALUE"""),"3. Apresentação")</f>
        <v>3. Apresentação</v>
      </c>
      <c r="E34" s="4"/>
      <c r="F34" s="4" t="str">
        <f>IFERROR(__xludf.DUMMYFUNCTION("""COMPUTED_VALUE"""),"G")</f>
        <v>G</v>
      </c>
      <c r="G34" s="4"/>
      <c r="H34" s="4"/>
    </row>
    <row r="35">
      <c r="A35" s="4" t="str">
        <f>IFERROR(__xludf.DUMMYFUNCTION("""COMPUTED_VALUE"""),"Grupo Fit")</f>
        <v>Grupo Fit</v>
      </c>
      <c r="B35" s="4" t="str">
        <f>IFERROR(__xludf.DUMMYFUNCTION("""COMPUTED_VALUE"""),"Leonardo Roso")</f>
        <v>Leonardo Roso</v>
      </c>
      <c r="C35" s="4" t="str">
        <f>IFERROR(__xludf.DUMMYFUNCTION("""COMPUTED_VALUE"""),"Leonardo Roso")</f>
        <v>Leonardo Roso</v>
      </c>
      <c r="D35" s="4" t="str">
        <f>IFERROR(__xludf.DUMMYFUNCTION("""COMPUTED_VALUE"""),"8. Contrato enviado")</f>
        <v>8. Contrato enviado</v>
      </c>
      <c r="E35" s="4"/>
      <c r="F35" s="4" t="str">
        <f>IFERROR(__xludf.DUMMYFUNCTION("""COMPUTED_VALUE"""),"G")</f>
        <v>G</v>
      </c>
      <c r="G35" s="4"/>
      <c r="H35" s="4"/>
    </row>
    <row r="36">
      <c r="A36" s="4" t="str">
        <f>IFERROR(__xludf.DUMMYFUNCTION("""COMPUTED_VALUE"""),"Hiro")</f>
        <v>Hiro</v>
      </c>
      <c r="B36" s="4" t="str">
        <f>IFERROR(__xludf.DUMMYFUNCTION("""COMPUTED_VALUE"""),"Emerson")</f>
        <v>Emerson</v>
      </c>
      <c r="C36" s="4" t="str">
        <f>IFERROR(__xludf.DUMMYFUNCTION("""COMPUTED_VALUE"""),"Emerson")</f>
        <v>Emerson</v>
      </c>
      <c r="D36" s="4" t="str">
        <f>IFERROR(__xludf.DUMMYFUNCTION("""COMPUTED_VALUE"""),"6. Negociação")</f>
        <v>6. Negociação</v>
      </c>
      <c r="E36" s="4"/>
      <c r="F36" s="4" t="str">
        <f>IFERROR(__xludf.DUMMYFUNCTION("""COMPUTED_VALUE"""),"P")</f>
        <v>P</v>
      </c>
      <c r="G36" s="4"/>
      <c r="H36" s="4"/>
    </row>
    <row r="37">
      <c r="A37" s="4" t="str">
        <f>IFERROR(__xludf.DUMMYFUNCTION("""COMPUTED_VALUE"""),"Inspire Brands (Dunkin, Baskin-Robbins, Arby'S, Buffalo Wild Wings, Jimmy John'S, Sonic Drive-In)")</f>
        <v>Inspire Brands (Dunkin, Baskin-Robbins, Arby'S, Buffalo Wild Wings, Jimmy John'S, Sonic Drive-In)</v>
      </c>
      <c r="B37" s="4" t="str">
        <f>IFERROR(__xludf.DUMMYFUNCTION("""COMPUTED_VALUE"""),"Emerson")</f>
        <v>Emerson</v>
      </c>
      <c r="C37" s="4" t="str">
        <f>IFERROR(__xludf.DUMMYFUNCTION("""COMPUTED_VALUE"""),"Emerson")</f>
        <v>Emerson</v>
      </c>
      <c r="D37" s="4" t="str">
        <f>IFERROR(__xludf.DUMMYFUNCTION("""COMPUTED_VALUE"""),"2. Primeiro contato com a marca")</f>
        <v>2. Primeiro contato com a marca</v>
      </c>
      <c r="E37" s="4"/>
      <c r="F37" s="4" t="str">
        <f>IFERROR(__xludf.DUMMYFUNCTION("""COMPUTED_VALUE"""),"P")</f>
        <v>P</v>
      </c>
      <c r="G37" s="4"/>
      <c r="H37" s="4" t="str">
        <f>IFERROR(__xludf.DUMMYFUNCTION("""COMPUTED_VALUE"""),"Necessidade Fixe")</f>
        <v>Necessidade Fixe</v>
      </c>
    </row>
    <row r="38">
      <c r="A38" s="4" t="str">
        <f>IFERROR(__xludf.DUMMYFUNCTION("""COMPUTED_VALUE"""),"La Guapa")</f>
        <v>La Guapa</v>
      </c>
      <c r="B38" s="4" t="str">
        <f>IFERROR(__xludf.DUMMYFUNCTION("""COMPUTED_VALUE"""),"Michel")</f>
        <v>Michel</v>
      </c>
      <c r="C38" s="4" t="str">
        <f>IFERROR(__xludf.DUMMYFUNCTION("""COMPUTED_VALUE"""),"Michel")</f>
        <v>Michel</v>
      </c>
      <c r="D38" s="4" t="str">
        <f>IFERROR(__xludf.DUMMYFUNCTION("""COMPUTED_VALUE"""),"7. Piloto")</f>
        <v>7. Piloto</v>
      </c>
      <c r="E38" s="4" t="str">
        <f>IFERROR(__xludf.DUMMYFUNCTION("""COMPUTED_VALUE"""),"Projetos - Contrato assinado mas com trava técnica")</f>
        <v>Projetos - Contrato assinado mas com trava técnica</v>
      </c>
      <c r="F38" s="4" t="str">
        <f>IFERROR(__xludf.DUMMYFUNCTION("""COMPUTED_VALUE"""),"M")</f>
        <v>M</v>
      </c>
      <c r="G38" s="4"/>
      <c r="H38" s="4" t="str">
        <f>IFERROR(__xludf.DUMMYFUNCTION("""COMPUTED_VALUE"""),"Validar investimento para integração com Vcqpede")</f>
        <v>Validar investimento para integração com Vcqpede</v>
      </c>
    </row>
    <row r="39">
      <c r="A39" s="4" t="str">
        <f>IFERROR(__xludf.DUMMYFUNCTION("""COMPUTED_VALUE"""),"Lecado")</f>
        <v>Lecado</v>
      </c>
      <c r="B39" s="4" t="str">
        <f>IFERROR(__xludf.DUMMYFUNCTION("""COMPUTED_VALUE"""),"Emerson")</f>
        <v>Emerson</v>
      </c>
      <c r="C39" s="4" t="str">
        <f>IFERROR(__xludf.DUMMYFUNCTION("""COMPUTED_VALUE"""),"Emerson")</f>
        <v>Emerson</v>
      </c>
      <c r="D39" s="4" t="str">
        <f>IFERROR(__xludf.DUMMYFUNCTION("""COMPUTED_VALUE"""),"6. Negociação")</f>
        <v>6. Negociação</v>
      </c>
      <c r="E39" s="4"/>
      <c r="F39" s="4" t="str">
        <f>IFERROR(__xludf.DUMMYFUNCTION("""COMPUTED_VALUE"""),"M")</f>
        <v>M</v>
      </c>
      <c r="G39" s="4"/>
      <c r="H39" s="4"/>
    </row>
    <row r="40">
      <c r="A40" s="4" t="str">
        <f>IFERROR(__xludf.DUMMYFUNCTION("""COMPUTED_VALUE"""),"Mania De Churrasco")</f>
        <v>Mania De Churrasco</v>
      </c>
      <c r="B40" s="4" t="str">
        <f>IFERROR(__xludf.DUMMYFUNCTION("""COMPUTED_VALUE"""),"Leonardo Roso")</f>
        <v>Leonardo Roso</v>
      </c>
      <c r="C40" s="4" t="str">
        <f>IFERROR(__xludf.DUMMYFUNCTION("""COMPUTED_VALUE"""),"Leonardo Roso")</f>
        <v>Leonardo Roso</v>
      </c>
      <c r="D40" s="4" t="str">
        <f>IFERROR(__xludf.DUMMYFUNCTION("""COMPUTED_VALUE"""),"3. Apresentação")</f>
        <v>3. Apresentação</v>
      </c>
      <c r="E40" s="4" t="str">
        <f>IFERROR(__xludf.DUMMYFUNCTION("""COMPUTED_VALUE"""),"Perdido - Outro (detalhar ao lado)")</f>
        <v>Perdido - Outro (detalhar ao lado)</v>
      </c>
      <c r="F40" s="4" t="str">
        <f>IFERROR(__xludf.DUMMYFUNCTION("""COMPUTED_VALUE"""),"G")</f>
        <v>G</v>
      </c>
      <c r="G40" s="4"/>
      <c r="H40" s="4" t="str">
        <f>IFERROR(__xludf.DUMMYFUNCTION("""COMPUTED_VALUE"""),"Fazer contato com cliente , estava muito quente mas esfriou depois da compra pelo Ifood")</f>
        <v>Fazer contato com cliente , estava muito quente mas esfriou depois da compra pelo Ifood</v>
      </c>
    </row>
    <row r="41">
      <c r="A41" s="4" t="str">
        <f>IFERROR(__xludf.DUMMYFUNCTION("""COMPUTED_VALUE"""),"Nathan'S Famous Brasil")</f>
        <v>Nathan'S Famous Brasil</v>
      </c>
      <c r="B41" s="4" t="str">
        <f>IFERROR(__xludf.DUMMYFUNCTION("""COMPUTED_VALUE"""),"Emerson")</f>
        <v>Emerson</v>
      </c>
      <c r="C41" s="4" t="str">
        <f>IFERROR(__xludf.DUMMYFUNCTION("""COMPUTED_VALUE"""),"Emerson")</f>
        <v>Emerson</v>
      </c>
      <c r="D41" s="4" t="str">
        <f>IFERROR(__xludf.DUMMYFUNCTION("""COMPUTED_VALUE"""),"3. Apresentação")</f>
        <v>3. Apresentação</v>
      </c>
      <c r="E41" s="4"/>
      <c r="F41" s="4" t="str">
        <f>IFERROR(__xludf.DUMMYFUNCTION("""COMPUTED_VALUE"""),"P")</f>
        <v>P</v>
      </c>
      <c r="G41" s="4"/>
      <c r="H41" s="4"/>
    </row>
    <row r="42">
      <c r="A42" s="4" t="str">
        <f>IFERROR(__xludf.DUMMYFUNCTION("""COMPUTED_VALUE"""),"New Dog")</f>
        <v>New Dog</v>
      </c>
      <c r="B42" s="4" t="str">
        <f>IFERROR(__xludf.DUMMYFUNCTION("""COMPUTED_VALUE"""),"Lídia Esteves")</f>
        <v>Lídia Esteves</v>
      </c>
      <c r="C42" s="4" t="str">
        <f>IFERROR(__xludf.DUMMYFUNCTION("""COMPUTED_VALUE"""),"Gabriela Roma")</f>
        <v>Gabriela Roma</v>
      </c>
      <c r="D42" s="4" t="str">
        <f>IFERROR(__xludf.DUMMYFUNCTION("""COMPUTED_VALUE"""),"3. Apresentação")</f>
        <v>3. Apresentação</v>
      </c>
      <c r="E42" s="4" t="str">
        <f>IFERROR(__xludf.DUMMYFUNCTION("""COMPUTED_VALUE"""),"Comercial - Primeira reunião / Visita presencial agendada")</f>
        <v>Comercial - Primeira reunião / Visita presencial agendada</v>
      </c>
      <c r="F42" s="4" t="str">
        <f>IFERROR(__xludf.DUMMYFUNCTION("""COMPUTED_VALUE"""),"P")</f>
        <v>P</v>
      </c>
      <c r="G42" s="4"/>
      <c r="H42" s="4"/>
    </row>
    <row r="43">
      <c r="A43" s="4" t="str">
        <f>IFERROR(__xludf.DUMMYFUNCTION("""COMPUTED_VALUE"""),"O Matuto Express")</f>
        <v>O Matuto Express</v>
      </c>
      <c r="B43" s="4" t="str">
        <f>IFERROR(__xludf.DUMMYFUNCTION("""COMPUTED_VALUE"""),"Emerson")</f>
        <v>Emerson</v>
      </c>
      <c r="C43" s="4" t="str">
        <f>IFERROR(__xludf.DUMMYFUNCTION("""COMPUTED_VALUE"""),"Emerson")</f>
        <v>Emerson</v>
      </c>
      <c r="D43" s="4" t="str">
        <f>IFERROR(__xludf.DUMMYFUNCTION("""COMPUTED_VALUE"""),"4. Diagnóstico")</f>
        <v>4. Diagnóstico</v>
      </c>
      <c r="E43" s="4"/>
      <c r="F43" s="4" t="str">
        <f>IFERROR(__xludf.DUMMYFUNCTION("""COMPUTED_VALUE"""),"P")</f>
        <v>P</v>
      </c>
      <c r="G43" s="4"/>
      <c r="H43" s="22" t="str">
        <f>IFERROR(__xludf.DUMMYFUNCTION("""COMPUTED_VALUE"""),"conta negociada pelo Emerson")</f>
        <v>conta negociada pelo Emerson</v>
      </c>
    </row>
    <row r="44">
      <c r="A44" s="4" t="str">
        <f>IFERROR(__xludf.DUMMYFUNCTION("""COMPUTED_VALUE"""),"Pizzadog")</f>
        <v>Pizzadog</v>
      </c>
      <c r="B44" s="4" t="str">
        <f>IFERROR(__xludf.DUMMYFUNCTION("""COMPUTED_VALUE"""),"Lídia Esteves")</f>
        <v>Lídia Esteves</v>
      </c>
      <c r="C44" s="4" t="str">
        <f>IFERROR(__xludf.DUMMYFUNCTION("""COMPUTED_VALUE"""),"Gabriela Roma")</f>
        <v>Gabriela Roma</v>
      </c>
      <c r="D44" s="4" t="str">
        <f>IFERROR(__xludf.DUMMYFUNCTION("""COMPUTED_VALUE"""),"3. Apresentação")</f>
        <v>3. Apresentação</v>
      </c>
      <c r="E44" s="4" t="str">
        <f>IFERROR(__xludf.DUMMYFUNCTION("""COMPUTED_VALUE"""),"Parceiro - Aguardando retorno / Conciliação agenda")</f>
        <v>Parceiro - Aguardando retorno / Conciliação agenda</v>
      </c>
      <c r="F44" s="4" t="str">
        <f>IFERROR(__xludf.DUMMYFUNCTION("""COMPUTED_VALUE"""),"M")</f>
        <v>M</v>
      </c>
      <c r="G44" s="4"/>
      <c r="H44" s="4"/>
    </row>
    <row r="45">
      <c r="A45" s="4" t="str">
        <f>IFERROR(__xludf.DUMMYFUNCTION("""COMPUTED_VALUE"""),"Pizzaria Catedral")</f>
        <v>Pizzaria Catedral</v>
      </c>
      <c r="B45" s="4" t="str">
        <f>IFERROR(__xludf.DUMMYFUNCTION("""COMPUTED_VALUE"""),"Lídia Esteves")</f>
        <v>Lídia Esteves</v>
      </c>
      <c r="C45" s="4" t="str">
        <f>IFERROR(__xludf.DUMMYFUNCTION("""COMPUTED_VALUE"""),"Gabriela Roma")</f>
        <v>Gabriela Roma</v>
      </c>
      <c r="D45" s="4" t="str">
        <f>IFERROR(__xludf.DUMMYFUNCTION("""COMPUTED_VALUE"""),"2. Primeiro contato com a marca")</f>
        <v>2. Primeiro contato com a marca</v>
      </c>
      <c r="E45" s="4" t="str">
        <f>IFERROR(__xludf.DUMMYFUNCTION("""COMPUTED_VALUE"""),"Delivery - Aguardando retorno / Conciliação agenda")</f>
        <v>Delivery - Aguardando retorno / Conciliação agenda</v>
      </c>
      <c r="F45" s="4" t="str">
        <f>IFERROR(__xludf.DUMMYFUNCTION("""COMPUTED_VALUE"""),"P")</f>
        <v>P</v>
      </c>
      <c r="G45" s="4"/>
      <c r="H45" s="4"/>
    </row>
    <row r="46">
      <c r="A46" s="4" t="str">
        <f>IFERROR(__xludf.DUMMYFUNCTION("""COMPUTED_VALUE"""),"Quiero Cafe")</f>
        <v>Quiero Cafe</v>
      </c>
      <c r="B46" s="4" t="str">
        <f>IFERROR(__xludf.DUMMYFUNCTION("""COMPUTED_VALUE"""),"Leonardo Roso")</f>
        <v>Leonardo Roso</v>
      </c>
      <c r="C46" s="4" t="str">
        <f>IFERROR(__xludf.DUMMYFUNCTION("""COMPUTED_VALUE"""),"Leonardo Roso")</f>
        <v>Leonardo Roso</v>
      </c>
      <c r="D46" s="4" t="str">
        <f>IFERROR(__xludf.DUMMYFUNCTION("""COMPUTED_VALUE"""),"3. Apresentação")</f>
        <v>3. Apresentação</v>
      </c>
      <c r="E46" s="4"/>
      <c r="F46" s="4" t="str">
        <f>IFERROR(__xludf.DUMMYFUNCTION("""COMPUTED_VALUE"""),"G")</f>
        <v>G</v>
      </c>
      <c r="G46" s="4"/>
      <c r="H46" s="4"/>
    </row>
    <row r="47">
      <c r="A47" s="4" t="str">
        <f>IFERROR(__xludf.DUMMYFUNCTION("""COMPUTED_VALUE"""),"Subway")</f>
        <v>Subway</v>
      </c>
      <c r="B47" s="4" t="str">
        <f>IFERROR(__xludf.DUMMYFUNCTION("""COMPUTED_VALUE"""),"Leonardo Roso")</f>
        <v>Leonardo Roso</v>
      </c>
      <c r="C47" s="4" t="str">
        <f>IFERROR(__xludf.DUMMYFUNCTION("""COMPUTED_VALUE"""),"Leonardo Roso")</f>
        <v>Leonardo Roso</v>
      </c>
      <c r="D47" s="4" t="str">
        <f>IFERROR(__xludf.DUMMYFUNCTION("""COMPUTED_VALUE"""),"6. Negociação")</f>
        <v>6. Negociação</v>
      </c>
      <c r="E47" s="4" t="str">
        <f>IFERROR(__xludf.DUMMYFUNCTION("""COMPUTED_VALUE"""),"Comercial - Em negociação de proposta")</f>
        <v>Comercial - Em negociação de proposta</v>
      </c>
      <c r="F47" s="4" t="str">
        <f>IFERROR(__xludf.DUMMYFUNCTION("""COMPUTED_VALUE"""),"G")</f>
        <v>G</v>
      </c>
      <c r="G47" s="4"/>
      <c r="H47" s="4" t="str">
        <f>IFERROR(__xludf.DUMMYFUNCTION("""COMPUTED_VALUE"""),"Estamos em processo de nova proposta para ZAMP ")</f>
        <v>Estamos em processo de nova proposta para ZAMP </v>
      </c>
    </row>
    <row r="48">
      <c r="A48" s="4" t="str">
        <f>IFERROR(__xludf.DUMMYFUNCTION("""COMPUTED_VALUE"""),"Sushi Leblon")</f>
        <v>Sushi Leblon</v>
      </c>
      <c r="B48" s="4" t="str">
        <f>IFERROR(__xludf.DUMMYFUNCTION("""COMPUTED_VALUE"""),"Lídia Esteves")</f>
        <v>Lídia Esteves</v>
      </c>
      <c r="C48" s="4" t="str">
        <f>IFERROR(__xludf.DUMMYFUNCTION("""COMPUTED_VALUE"""),"Gabriela Roma")</f>
        <v>Gabriela Roma</v>
      </c>
      <c r="D48" s="4" t="str">
        <f>IFERROR(__xludf.DUMMYFUNCTION("""COMPUTED_VALUE"""),"1. Iniciado")</f>
        <v>1. Iniciado</v>
      </c>
      <c r="E48" s="4" t="str">
        <f>IFERROR(__xludf.DUMMYFUNCTION("""COMPUTED_VALUE"""),"Delivery - Aguardando retorno / Conciliação agenda")</f>
        <v>Delivery - Aguardando retorno / Conciliação agenda</v>
      </c>
      <c r="F48" s="4" t="str">
        <f>IFERROR(__xludf.DUMMYFUNCTION("""COMPUTED_VALUE"""),"P")</f>
        <v>P</v>
      </c>
      <c r="G48" s="4"/>
      <c r="H48" s="4"/>
    </row>
    <row r="49">
      <c r="A49" s="4" t="str">
        <f>IFERROR(__xludf.DUMMYFUNCTION("""COMPUTED_VALUE"""),"Zapata Mexican Bar E Taquerias")</f>
        <v>Zapata Mexican Bar E Taquerias</v>
      </c>
      <c r="B49" s="4" t="str">
        <f>IFERROR(__xludf.DUMMYFUNCTION("""COMPUTED_VALUE"""),"Lídia Esteves")</f>
        <v>Lídia Esteves</v>
      </c>
      <c r="C49" s="4" t="str">
        <f>IFERROR(__xludf.DUMMYFUNCTION("""COMPUTED_VALUE"""),"Gabriela Roma")</f>
        <v>Gabriela Roma</v>
      </c>
      <c r="D49" s="4" t="str">
        <f>IFERROR(__xludf.DUMMYFUNCTION("""COMPUTED_VALUE"""),"1. Iniciado")</f>
        <v>1. Iniciado</v>
      </c>
      <c r="E49" s="4" t="str">
        <f>IFERROR(__xludf.DUMMYFUNCTION("""COMPUTED_VALUE"""),"Delivery - Aguardando retorno / Conciliação agenda")</f>
        <v>Delivery - Aguardando retorno / Conciliação agenda</v>
      </c>
      <c r="F49" s="4" t="str">
        <f>IFERROR(__xludf.DUMMYFUNCTION("""COMPUTED_VALUE"""),"P")</f>
        <v>P</v>
      </c>
      <c r="G49" s="4"/>
      <c r="H49" s="4"/>
    </row>
    <row r="50">
      <c r="A50" s="4" t="str">
        <f>IFERROR(__xludf.DUMMYFUNCTION("""COMPUTED_VALUE"""),"Bar Do Alemão")</f>
        <v>Bar Do Alemão</v>
      </c>
      <c r="B50" s="4" t="str">
        <f>IFERROR(__xludf.DUMMYFUNCTION("""COMPUTED_VALUE"""),"Michel")</f>
        <v>Michel</v>
      </c>
      <c r="C50" s="4" t="str">
        <f>IFERROR(__xludf.DUMMYFUNCTION("""COMPUTED_VALUE"""),"Michel")</f>
        <v>Michel</v>
      </c>
      <c r="D50" s="4" t="str">
        <f>IFERROR(__xludf.DUMMYFUNCTION("""COMPUTED_VALUE"""),"9. Contrato assinado")</f>
        <v>9. Contrato assinado</v>
      </c>
      <c r="E50" s="4"/>
      <c r="F50" s="4" t="str">
        <f>IFERROR(__xludf.DUMMYFUNCTION("""COMPUTED_VALUE"""),"P")</f>
        <v>P</v>
      </c>
      <c r="G50" s="4"/>
      <c r="H50" s="4"/>
    </row>
    <row r="51">
      <c r="A51" s="4" t="str">
        <f>IFERROR(__xludf.DUMMYFUNCTION("""COMPUTED_VALUE"""),"Benjamin A Padaria")</f>
        <v>Benjamin A Padaria</v>
      </c>
      <c r="B51" s="4" t="str">
        <f>IFERROR(__xludf.DUMMYFUNCTION("""COMPUTED_VALUE"""),"Michel")</f>
        <v>Michel</v>
      </c>
      <c r="C51" s="4" t="str">
        <f>IFERROR(__xludf.DUMMYFUNCTION("""COMPUTED_VALUE"""),"Michel")</f>
        <v>Michel</v>
      </c>
      <c r="D51" s="4" t="str">
        <f>IFERROR(__xludf.DUMMYFUNCTION("""COMPUTED_VALUE"""),"9. Contrato assinado")</f>
        <v>9. Contrato assinado</v>
      </c>
      <c r="E51" s="4" t="str">
        <f>IFERROR(__xludf.DUMMYFUNCTION("""COMPUTED_VALUE"""),"Projetos - Contrato assinado mas com falta de priorização")</f>
        <v>Projetos - Contrato assinado mas com falta de priorização</v>
      </c>
      <c r="F51" s="4" t="str">
        <f>IFERROR(__xludf.DUMMYFUNCTION("""COMPUTED_VALUE"""),"P")</f>
        <v>P</v>
      </c>
      <c r="G51" s="4"/>
      <c r="H51" s="4" t="str">
        <f>IFERROR(__xludf.DUMMYFUNCTION("""COMPUTED_VALUE"""),"Projeto voltou depois de 2 meses parado. Fianl da semana devemos ter uma data")</f>
        <v>Projeto voltou depois de 2 meses parado. Fianl da semana devemos ter uma data</v>
      </c>
    </row>
    <row r="52">
      <c r="A52" s="4" t="str">
        <f>IFERROR(__xludf.DUMMYFUNCTION("""COMPUTED_VALUE"""),"Big Churros")</f>
        <v>Big Churros</v>
      </c>
      <c r="B52" s="4" t="str">
        <f>IFERROR(__xludf.DUMMYFUNCTION("""COMPUTED_VALUE"""),"Michel")</f>
        <v>Michel</v>
      </c>
      <c r="C52" s="4" t="str">
        <f>IFERROR(__xludf.DUMMYFUNCTION("""COMPUTED_VALUE"""),"Michel")</f>
        <v>Michel</v>
      </c>
      <c r="D52" s="4" t="str">
        <f>IFERROR(__xludf.DUMMYFUNCTION("""COMPUTED_VALUE"""),"9. Contrato assinado")</f>
        <v>9. Contrato assinado</v>
      </c>
      <c r="E52" s="4" t="str">
        <f>IFERROR(__xludf.DUMMYFUNCTION("""COMPUTED_VALUE"""),"Projetos - Contrato assinado mas com falta de priorização")</f>
        <v>Projetos - Contrato assinado mas com falta de priorização</v>
      </c>
      <c r="F52" s="4" t="str">
        <f>IFERROR(__xludf.DUMMYFUNCTION("""COMPUTED_VALUE"""),"P")</f>
        <v>P</v>
      </c>
      <c r="G52" s="4"/>
      <c r="H52" s="4" t="str">
        <f>IFERROR(__xludf.DUMMYFUNCTION("""COMPUTED_VALUE"""),"Cliente esta com problema na Obra , depende de finalização , do nosso lado esta td configurado")</f>
        <v>Cliente esta com problema na Obra , depende de finalização , do nosso lado esta td configurado</v>
      </c>
    </row>
    <row r="53">
      <c r="A53" s="4" t="str">
        <f>IFERROR(__xludf.DUMMYFUNCTION("""COMPUTED_VALUE"""),"Bullguer")</f>
        <v>Bullguer</v>
      </c>
      <c r="B53" s="4" t="str">
        <f>IFERROR(__xludf.DUMMYFUNCTION("""COMPUTED_VALUE"""),"Lídia Esteves")</f>
        <v>Lídia Esteves</v>
      </c>
      <c r="C53" s="4" t="str">
        <f>IFERROR(__xludf.DUMMYFUNCTION("""COMPUTED_VALUE"""),"Gabriela Roma")</f>
        <v>Gabriela Roma</v>
      </c>
      <c r="D53" s="4" t="str">
        <f>IFERROR(__xludf.DUMMYFUNCTION("""COMPUTED_VALUE"""),"9. Contrato assinado")</f>
        <v>9. Contrato assinado</v>
      </c>
      <c r="E53" s="4" t="str">
        <f>IFERROR(__xludf.DUMMYFUNCTION("""COMPUTED_VALUE""")," Projetos - Contrato assinado &amp; Rollout")</f>
        <v> Projetos - Contrato assinado &amp; Rollout</v>
      </c>
      <c r="F53" s="4" t="str">
        <f>IFERROR(__xludf.DUMMYFUNCTION("""COMPUTED_VALUE"""),"M")</f>
        <v>M</v>
      </c>
      <c r="G53" s="4"/>
      <c r="H53" s="4"/>
    </row>
    <row r="54">
      <c r="A54" s="4" t="str">
        <f>IFERROR(__xludf.DUMMYFUNCTION("""COMPUTED_VALUE"""),"California Coffee")</f>
        <v>California Coffee</v>
      </c>
      <c r="B54" s="4" t="str">
        <f>IFERROR(__xludf.DUMMYFUNCTION("""COMPUTED_VALUE"""),"Michel")</f>
        <v>Michel</v>
      </c>
      <c r="C54" s="4" t="str">
        <f>IFERROR(__xludf.DUMMYFUNCTION("""COMPUTED_VALUE"""),"Michel")</f>
        <v>Michel</v>
      </c>
      <c r="D54" s="4" t="str">
        <f>IFERROR(__xludf.DUMMYFUNCTION("""COMPUTED_VALUE"""),"9. Contrato assinado")</f>
        <v>9. Contrato assinado</v>
      </c>
      <c r="E54" s="4" t="str">
        <f>IFERROR(__xludf.DUMMYFUNCTION("""COMPUTED_VALUE"""),"Projetos - Contrato assinado mas com falta de priorização")</f>
        <v>Projetos - Contrato assinado mas com falta de priorização</v>
      </c>
      <c r="F54" s="4" t="str">
        <f>IFERROR(__xludf.DUMMYFUNCTION("""COMPUTED_VALUE"""),"M")</f>
        <v>M</v>
      </c>
      <c r="G54" s="4"/>
      <c r="H54" s="4" t="str">
        <f>IFERROR(__xludf.DUMMYFUNCTION("""COMPUTED_VALUE"""),"Reunião dia 26/02 com os proprietarias da marca ")</f>
        <v>Reunião dia 26/02 com os proprietarias da marca </v>
      </c>
    </row>
    <row r="55">
      <c r="A55" s="4" t="str">
        <f>IFERROR(__xludf.DUMMYFUNCTION("""COMPUTED_VALUE"""),"Casa Do Pastel")</f>
        <v>Casa Do Pastel</v>
      </c>
      <c r="B55" s="4" t="str">
        <f>IFERROR(__xludf.DUMMYFUNCTION("""COMPUTED_VALUE"""),"Emerson")</f>
        <v>Emerson</v>
      </c>
      <c r="C55" s="4" t="str">
        <f>IFERROR(__xludf.DUMMYFUNCTION("""COMPUTED_VALUE"""),"Emerson")</f>
        <v>Emerson</v>
      </c>
      <c r="D55" s="4" t="str">
        <f>IFERROR(__xludf.DUMMYFUNCTION("""COMPUTED_VALUE"""),"6. Negociação")</f>
        <v>6. Negociação</v>
      </c>
      <c r="E55" s="4"/>
      <c r="F55" s="4" t="str">
        <f>IFERROR(__xludf.DUMMYFUNCTION("""COMPUTED_VALUE"""),"P")</f>
        <v>P</v>
      </c>
      <c r="G55" s="4"/>
      <c r="H55" s="4"/>
    </row>
    <row r="56">
      <c r="A56" s="4" t="str">
        <f>IFERROR(__xludf.DUMMYFUNCTION("""COMPUTED_VALUE"""),"Empório Brownie")</f>
        <v>Empório Brownie</v>
      </c>
      <c r="B56" s="4" t="str">
        <f>IFERROR(__xludf.DUMMYFUNCTION("""COMPUTED_VALUE"""),"Michel")</f>
        <v>Michel</v>
      </c>
      <c r="C56" s="4" t="str">
        <f>IFERROR(__xludf.DUMMYFUNCTION("""COMPUTED_VALUE"""),"Michel")</f>
        <v>Michel</v>
      </c>
      <c r="D56" s="4" t="str">
        <f>IFERROR(__xludf.DUMMYFUNCTION("""COMPUTED_VALUE"""),"9. Contrato assinado")</f>
        <v>9. Contrato assinado</v>
      </c>
      <c r="E56" s="4"/>
      <c r="F56" s="4" t="str">
        <f>IFERROR(__xludf.DUMMYFUNCTION("""COMPUTED_VALUE"""),"P")</f>
        <v>P</v>
      </c>
      <c r="G56" s="4"/>
      <c r="H56" s="4"/>
    </row>
    <row r="57">
      <c r="A57" s="4" t="str">
        <f>IFERROR(__xludf.DUMMYFUNCTION("""COMPUTED_VALUE"""),"Esfiha Imigrantes")</f>
        <v>Esfiha Imigrantes</v>
      </c>
      <c r="B57" s="4" t="str">
        <f>IFERROR(__xludf.DUMMYFUNCTION("""COMPUTED_VALUE"""),"Emerson")</f>
        <v>Emerson</v>
      </c>
      <c r="C57" s="4" t="str">
        <f>IFERROR(__xludf.DUMMYFUNCTION("""COMPUTED_VALUE"""),"Emerson")</f>
        <v>Emerson</v>
      </c>
      <c r="D57" s="4" t="str">
        <f>IFERROR(__xludf.DUMMYFUNCTION("""COMPUTED_VALUE"""),"8. Contrato enviado")</f>
        <v>8. Contrato enviado</v>
      </c>
      <c r="E57" s="4"/>
      <c r="F57" s="4" t="str">
        <f>IFERROR(__xludf.DUMMYFUNCTION("""COMPUTED_VALUE"""),"P")</f>
        <v>P</v>
      </c>
      <c r="G57" s="4"/>
      <c r="H57" s="4"/>
    </row>
    <row r="58">
      <c r="A58" s="4" t="str">
        <f>IFERROR(__xludf.DUMMYFUNCTION("""COMPUTED_VALUE"""),"Fire House")</f>
        <v>Fire House</v>
      </c>
      <c r="B58" s="4" t="str">
        <f>IFERROR(__xludf.DUMMYFUNCTION("""COMPUTED_VALUE"""),"Michel")</f>
        <v>Michel</v>
      </c>
      <c r="C58" s="4" t="str">
        <f>IFERROR(__xludf.DUMMYFUNCTION("""COMPUTED_VALUE"""),"Michel")</f>
        <v>Michel</v>
      </c>
      <c r="D58" s="4" t="str">
        <f>IFERROR(__xludf.DUMMYFUNCTION("""COMPUTED_VALUE"""),"9. Contrato assinado")</f>
        <v>9. Contrato assinado</v>
      </c>
      <c r="E58" s="4"/>
      <c r="F58" s="4" t="str">
        <f>IFERROR(__xludf.DUMMYFUNCTION("""COMPUTED_VALUE"""),"P")</f>
        <v>P</v>
      </c>
      <c r="G58" s="4"/>
      <c r="H58" s="4"/>
    </row>
    <row r="59">
      <c r="A59" s="4" t="str">
        <f>IFERROR(__xludf.DUMMYFUNCTION("""COMPUTED_VALUE"""),"HNT")</f>
        <v>HNT</v>
      </c>
      <c r="B59" s="4" t="str">
        <f>IFERROR(__xludf.DUMMYFUNCTION("""COMPUTED_VALUE"""),"Lídia Esteves")</f>
        <v>Lídia Esteves</v>
      </c>
      <c r="C59" s="4" t="str">
        <f>IFERROR(__xludf.DUMMYFUNCTION("""COMPUTED_VALUE"""),"Gabriela Roma")</f>
        <v>Gabriela Roma</v>
      </c>
      <c r="D59" s="4" t="str">
        <f>IFERROR(__xludf.DUMMYFUNCTION("""COMPUTED_VALUE"""),"9. Contrato assinado")</f>
        <v>9. Contrato assinado</v>
      </c>
      <c r="E59" s="4" t="str">
        <f>IFERROR(__xludf.DUMMYFUNCTION("""COMPUTED_VALUE""")," Projetos - Contrato assinado &amp; Rollout")</f>
        <v> Projetos - Contrato assinado &amp; Rollout</v>
      </c>
      <c r="F59" s="4" t="str">
        <f>IFERROR(__xludf.DUMMYFUNCTION("""COMPUTED_VALUE"""),"M")</f>
        <v>M</v>
      </c>
      <c r="G59" s="4"/>
      <c r="H59" s="4"/>
    </row>
    <row r="60">
      <c r="A60" s="4" t="str">
        <f>IFERROR(__xludf.DUMMYFUNCTION("""COMPUTED_VALUE"""),"Jangada")</f>
        <v>Jangada</v>
      </c>
      <c r="B60" s="4" t="str">
        <f>IFERROR(__xludf.DUMMYFUNCTION("""COMPUTED_VALUE"""),"Emerson")</f>
        <v>Emerson</v>
      </c>
      <c r="C60" s="4" t="str">
        <f>IFERROR(__xludf.DUMMYFUNCTION("""COMPUTED_VALUE"""),"Emerson")</f>
        <v>Emerson</v>
      </c>
      <c r="D60" s="4" t="str">
        <f>IFERROR(__xludf.DUMMYFUNCTION("""COMPUTED_VALUE"""),"9. Contrato assinado")</f>
        <v>9. Contrato assinado</v>
      </c>
      <c r="E60" s="4"/>
      <c r="F60" s="4" t="str">
        <f>IFERROR(__xludf.DUMMYFUNCTION("""COMPUTED_VALUE"""),"P")</f>
        <v>P</v>
      </c>
      <c r="G60" s="4"/>
      <c r="H60" s="4"/>
    </row>
    <row r="61">
      <c r="A61" s="4" t="str">
        <f>IFERROR(__xludf.DUMMYFUNCTION("""COMPUTED_VALUE"""),"Mamma Jamma")</f>
        <v>Mamma Jamma</v>
      </c>
      <c r="B61" s="4" t="str">
        <f>IFERROR(__xludf.DUMMYFUNCTION("""COMPUTED_VALUE"""),"Emerson")</f>
        <v>Emerson</v>
      </c>
      <c r="C61" s="4" t="str">
        <f>IFERROR(__xludf.DUMMYFUNCTION("""COMPUTED_VALUE"""),"Emerson")</f>
        <v>Emerson</v>
      </c>
      <c r="D61" s="4" t="str">
        <f>IFERROR(__xludf.DUMMYFUNCTION("""COMPUTED_VALUE"""),"9. Contrato assinado")</f>
        <v>9. Contrato assinado</v>
      </c>
      <c r="E61" s="4"/>
      <c r="F61" s="4" t="str">
        <f>IFERROR(__xludf.DUMMYFUNCTION("""COMPUTED_VALUE"""),"P")</f>
        <v>P</v>
      </c>
      <c r="G61" s="4"/>
      <c r="H61" s="4"/>
    </row>
    <row r="62">
      <c r="A62" s="4" t="str">
        <f>IFERROR(__xludf.DUMMYFUNCTION("""COMPUTED_VALUE"""),"Manimanioca")</f>
        <v>Manimanioca</v>
      </c>
      <c r="B62" s="4" t="str">
        <f>IFERROR(__xludf.DUMMYFUNCTION("""COMPUTED_VALUE"""),"Emerson")</f>
        <v>Emerson</v>
      </c>
      <c r="C62" s="4" t="str">
        <f>IFERROR(__xludf.DUMMYFUNCTION("""COMPUTED_VALUE"""),"Emerson")</f>
        <v>Emerson</v>
      </c>
      <c r="D62" s="4" t="str">
        <f>IFERROR(__xludf.DUMMYFUNCTION("""COMPUTED_VALUE"""),"9. Contrato assinado")</f>
        <v>9. Contrato assinado</v>
      </c>
      <c r="E62" s="4"/>
      <c r="F62" s="4" t="str">
        <f>IFERROR(__xludf.DUMMYFUNCTION("""COMPUTED_VALUE"""),"P")</f>
        <v>P</v>
      </c>
      <c r="G62" s="4"/>
      <c r="H62" s="4"/>
    </row>
    <row r="63">
      <c r="A63" s="4" t="str">
        <f>IFERROR(__xludf.DUMMYFUNCTION("""COMPUTED_VALUE"""),"Nema Padaria")</f>
        <v>Nema Padaria</v>
      </c>
      <c r="B63" s="4" t="str">
        <f>IFERROR(__xludf.DUMMYFUNCTION("""COMPUTED_VALUE"""),"Michel")</f>
        <v>Michel</v>
      </c>
      <c r="C63" s="4" t="str">
        <f>IFERROR(__xludf.DUMMYFUNCTION("""COMPUTED_VALUE"""),"Michel")</f>
        <v>Michel</v>
      </c>
      <c r="D63" s="4" t="str">
        <f>IFERROR(__xludf.DUMMYFUNCTION("""COMPUTED_VALUE"""),"9. Contrato assinado")</f>
        <v>9. Contrato assinado</v>
      </c>
      <c r="E63" s="4" t="str">
        <f>IFERROR(__xludf.DUMMYFUNCTION("""COMPUTED_VALUE"""),"Projetos - Contrato assinado mas com trava técnica")</f>
        <v>Projetos - Contrato assinado mas com trava técnica</v>
      </c>
      <c r="F63" s="4" t="str">
        <f>IFERROR(__xludf.DUMMYFUNCTION("""COMPUTED_VALUE"""),"M")</f>
        <v>M</v>
      </c>
      <c r="G63" s="4"/>
      <c r="H63" s="4" t="str">
        <f>IFERROR(__xludf.DUMMYFUNCTION("""COMPUTED_VALUE"""),"Fizemos reuniã 23/02 para alinhar próximos passoas e iremos fazer 5 lojas próprias na primeira quinzena de março,As travas tecnicas eram : Inventario e integraçaõ via BI com dados legados")</f>
        <v>Fizemos reuniã 23/02 para alinhar próximos passoas e iremos fazer 5 lojas próprias na primeira quinzena de março,As travas tecnicas eram : Inventario e integraçaõ via BI com dados legados</v>
      </c>
    </row>
    <row r="64">
      <c r="A64" s="4" t="str">
        <f>IFERROR(__xludf.DUMMYFUNCTION("""COMPUTED_VALUE"""),"O Burguês")</f>
        <v>O Burguês</v>
      </c>
      <c r="B64" s="4" t="str">
        <f>IFERROR(__xludf.DUMMYFUNCTION("""COMPUTED_VALUE"""),"Leonardo Roso")</f>
        <v>Leonardo Roso</v>
      </c>
      <c r="C64" s="4" t="str">
        <f>IFERROR(__xludf.DUMMYFUNCTION("""COMPUTED_VALUE"""),"Leonardo Roso")</f>
        <v>Leonardo Roso</v>
      </c>
      <c r="D64" s="4" t="str">
        <f>IFERROR(__xludf.DUMMYFUNCTION("""COMPUTED_VALUE"""),"9. Contrato assinado")</f>
        <v>9. Contrato assinado</v>
      </c>
      <c r="E64" s="4" t="str">
        <f>IFERROR(__xludf.DUMMYFUNCTION("""COMPUTED_VALUE"""),"Projetos - Contrato assinado mas com trava técnica")</f>
        <v>Projetos - Contrato assinado mas com trava técnica</v>
      </c>
      <c r="F64" s="4" t="str">
        <f>IFERROR(__xludf.DUMMYFUNCTION("""COMPUTED_VALUE"""),"G")</f>
        <v>G</v>
      </c>
      <c r="G64" s="4"/>
      <c r="H64" s="4"/>
    </row>
    <row r="65">
      <c r="A65" s="4" t="str">
        <f>IFERROR(__xludf.DUMMYFUNCTION("""COMPUTED_VALUE"""),"Orangee")</f>
        <v>Orangee</v>
      </c>
      <c r="B65" s="4" t="str">
        <f>IFERROR(__xludf.DUMMYFUNCTION("""COMPUTED_VALUE"""),"Michel")</f>
        <v>Michel</v>
      </c>
      <c r="C65" s="4" t="str">
        <f>IFERROR(__xludf.DUMMYFUNCTION("""COMPUTED_VALUE"""),"Michel")</f>
        <v>Michel</v>
      </c>
      <c r="D65" s="4" t="str">
        <f>IFERROR(__xludf.DUMMYFUNCTION("""COMPUTED_VALUE"""),"9. Contrato assinado")</f>
        <v>9. Contrato assinado</v>
      </c>
      <c r="E65" s="4"/>
      <c r="F65" s="4" t="str">
        <f>IFERROR(__xludf.DUMMYFUNCTION("""COMPUTED_VALUE"""),"P")</f>
        <v>P</v>
      </c>
      <c r="G65" s="4"/>
      <c r="H65" s="4"/>
    </row>
    <row r="66">
      <c r="A66" s="4" t="str">
        <f>IFERROR(__xludf.DUMMYFUNCTION("""COMPUTED_VALUE"""),"Paul'S Boutique Pizza")</f>
        <v>Paul'S Boutique Pizza</v>
      </c>
      <c r="B66" s="4" t="str">
        <f>IFERROR(__xludf.DUMMYFUNCTION("""COMPUTED_VALUE"""),"Michel")</f>
        <v>Michel</v>
      </c>
      <c r="C66" s="4" t="str">
        <f>IFERROR(__xludf.DUMMYFUNCTION("""COMPUTED_VALUE"""),"Michel")</f>
        <v>Michel</v>
      </c>
      <c r="D66" s="4" t="str">
        <f>IFERROR(__xludf.DUMMYFUNCTION("""COMPUTED_VALUE"""),"9. Contrato assinado")</f>
        <v>9. Contrato assinado</v>
      </c>
      <c r="E66" s="4"/>
      <c r="F66" s="4" t="str">
        <f>IFERROR(__xludf.DUMMYFUNCTION("""COMPUTED_VALUE"""),"P")</f>
        <v>P</v>
      </c>
      <c r="G66" s="4"/>
      <c r="H66" s="4"/>
    </row>
    <row r="67">
      <c r="A67" s="4" t="str">
        <f>IFERROR(__xludf.DUMMYFUNCTION("""COMPUTED_VALUE"""),"San Paolo Gelato")</f>
        <v>San Paolo Gelato</v>
      </c>
      <c r="B67" s="4" t="str">
        <f>IFERROR(__xludf.DUMMYFUNCTION("""COMPUTED_VALUE"""),"Michel")</f>
        <v>Michel</v>
      </c>
      <c r="C67" s="4" t="str">
        <f>IFERROR(__xludf.DUMMYFUNCTION("""COMPUTED_VALUE"""),"Michel")</f>
        <v>Michel</v>
      </c>
      <c r="D67" s="4" t="str">
        <f>IFERROR(__xludf.DUMMYFUNCTION("""COMPUTED_VALUE"""),"9. Contrato assinado")</f>
        <v>9. Contrato assinado</v>
      </c>
      <c r="E67" s="4" t="str">
        <f>IFERROR(__xludf.DUMMYFUNCTION("""COMPUTED_VALUE"""),"Projetos - Contrato assinado mas com trava técnica")</f>
        <v>Projetos - Contrato assinado mas com trava técnica</v>
      </c>
      <c r="F67" s="4" t="str">
        <f>IFERROR(__xludf.DUMMYFUNCTION("""COMPUTED_VALUE"""),"G")</f>
        <v>G</v>
      </c>
      <c r="G67" s="4"/>
      <c r="H67" s="4" t="str">
        <f>IFERROR(__xludf.DUMMYFUNCTION("""COMPUTED_VALUE"""),"Cliente finalizou a integração com ERP na sexta-feira (marcar reunião para alinhar rollou)")</f>
        <v>Cliente finalizou a integração com ERP na sexta-feira (marcar reunião para alinhar rollou)</v>
      </c>
    </row>
    <row r="68">
      <c r="A68" s="4" t="str">
        <f>IFERROR(__xludf.DUMMYFUNCTION("""COMPUTED_VALUE"""),"Sorvete Yopa")</f>
        <v>Sorvete Yopa</v>
      </c>
      <c r="B68" s="4" t="str">
        <f>IFERROR(__xludf.DUMMYFUNCTION("""COMPUTED_VALUE"""),"Emerson")</f>
        <v>Emerson</v>
      </c>
      <c r="C68" s="4" t="str">
        <f>IFERROR(__xludf.DUMMYFUNCTION("""COMPUTED_VALUE"""),"Emerson")</f>
        <v>Emerson</v>
      </c>
      <c r="D68" s="4" t="str">
        <f>IFERROR(__xludf.DUMMYFUNCTION("""COMPUTED_VALUE"""),"8. Contrato enviado")</f>
        <v>8. Contrato enviado</v>
      </c>
      <c r="E68" s="4"/>
      <c r="F68" s="4" t="str">
        <f>IFERROR(__xludf.DUMMYFUNCTION("""COMPUTED_VALUE"""),"P")</f>
        <v>P</v>
      </c>
      <c r="G68" s="4"/>
      <c r="H68" s="4"/>
    </row>
    <row r="69">
      <c r="A69" s="4" t="str">
        <f>IFERROR(__xludf.DUMMYFUNCTION("""COMPUTED_VALUE"""),"U.mami")</f>
        <v>U.mami</v>
      </c>
      <c r="B69" s="4" t="str">
        <f>IFERROR(__xludf.DUMMYFUNCTION("""COMPUTED_VALUE"""),"Michel")</f>
        <v>Michel</v>
      </c>
      <c r="C69" s="4" t="str">
        <f>IFERROR(__xludf.DUMMYFUNCTION("""COMPUTED_VALUE"""),"Michel")</f>
        <v>Michel</v>
      </c>
      <c r="D69" s="4" t="str">
        <f>IFERROR(__xludf.DUMMYFUNCTION("""COMPUTED_VALUE"""),"9. Contrato assinado")</f>
        <v>9. Contrato assinado</v>
      </c>
      <c r="E69" s="4" t="str">
        <f>IFERROR(__xludf.DUMMYFUNCTION("""COMPUTED_VALUE""")," Projetos - Contrato assinado &amp; Rollout")</f>
        <v> Projetos - Contrato assinado &amp; Rollout</v>
      </c>
      <c r="F69" s="4" t="str">
        <f>IFERROR(__xludf.DUMMYFUNCTION("""COMPUTED_VALUE"""),"P")</f>
        <v>P</v>
      </c>
      <c r="G69" s="4"/>
      <c r="H69" s="4" t="str">
        <f>IFERROR(__xludf.DUMMYFUNCTION("""COMPUTED_VALUE"""),"Cliente entra na primeira quinzena de Março")</f>
        <v>Cliente entra na primeira quinzena de Março</v>
      </c>
    </row>
    <row r="70">
      <c r="A70" s="4" t="str">
        <f>IFERROR(__xludf.DUMMYFUNCTION("""COMPUTED_VALUE"""),"Usina do Hamburguer")</f>
        <v>Usina do Hamburguer</v>
      </c>
      <c r="B70" s="4" t="str">
        <f>IFERROR(__xludf.DUMMYFUNCTION("""COMPUTED_VALUE"""),"Emerson")</f>
        <v>Emerson</v>
      </c>
      <c r="C70" s="4" t="str">
        <f>IFERROR(__xludf.DUMMYFUNCTION("""COMPUTED_VALUE"""),"Emerson")</f>
        <v>Emerson</v>
      </c>
      <c r="D70" s="4" t="str">
        <f>IFERROR(__xludf.DUMMYFUNCTION("""COMPUTED_VALUE"""),"9. Contrato assinado")</f>
        <v>9. Contrato assinado</v>
      </c>
      <c r="E70" s="4"/>
      <c r="F70" s="4" t="str">
        <f>IFERROR(__xludf.DUMMYFUNCTION("""COMPUTED_VALUE"""),"P")</f>
        <v>P</v>
      </c>
      <c r="G70" s="4"/>
      <c r="H70" s="4"/>
    </row>
    <row r="71">
      <c r="A71" s="4" t="str">
        <f>IFERROR(__xludf.DUMMYFUNCTION("""COMPUTED_VALUE"""),"Yococho")</f>
        <v>Yococho</v>
      </c>
      <c r="B71" s="4" t="str">
        <f>IFERROR(__xludf.DUMMYFUNCTION("""COMPUTED_VALUE"""),"Michel")</f>
        <v>Michel</v>
      </c>
      <c r="C71" s="4" t="str">
        <f>IFERROR(__xludf.DUMMYFUNCTION("""COMPUTED_VALUE"""),"Michel")</f>
        <v>Michel</v>
      </c>
      <c r="D71" s="4" t="str">
        <f>IFERROR(__xludf.DUMMYFUNCTION("""COMPUTED_VALUE"""),"9. Contrato assinado")</f>
        <v>9. Contrato assinado</v>
      </c>
      <c r="E71" s="4" t="str">
        <f>IFERROR(__xludf.DUMMYFUNCTION("""COMPUTED_VALUE"""),"Perdido - Falta de aderência técnica")</f>
        <v>Perdido - Falta de aderência técnica</v>
      </c>
      <c r="F71" s="4" t="str">
        <f>IFERROR(__xludf.DUMMYFUNCTION("""COMPUTED_VALUE"""),"P")</f>
        <v>P</v>
      </c>
      <c r="G71" s="4"/>
      <c r="H71" s="4" t="str">
        <f>IFERROR(__xludf.DUMMYFUNCTION("""COMPUTED_VALUE"""),"Cliente fechou contrato e depois desistiu de implementar pois acho o produto muito complexo")</f>
        <v>Cliente fechou contrato e depois desistiu de implementar pois acho o produto muito complexo</v>
      </c>
    </row>
    <row r="72">
      <c r="A72" s="4" t="str">
        <f>IFERROR(__xludf.DUMMYFUNCTION("""COMPUTED_VALUE"""),"Sherbi's ")</f>
        <v>Sherbi's </v>
      </c>
      <c r="B72" s="4" t="str">
        <f>IFERROR(__xludf.DUMMYFUNCTION("""COMPUTED_VALUE"""),"Lídia Esteves")</f>
        <v>Lídia Esteves</v>
      </c>
      <c r="C72" s="4" t="str">
        <f>IFERROR(__xludf.DUMMYFUNCTION("""COMPUTED_VALUE"""),"Gabriela Roma")</f>
        <v>Gabriela Roma</v>
      </c>
      <c r="D72" s="4" t="str">
        <f>IFERROR(__xludf.DUMMYFUNCTION("""COMPUTED_VALUE"""),"9. Contrato assinado")</f>
        <v>9. Contrato assinado</v>
      </c>
      <c r="E72" s="4" t="str">
        <f>IFERROR(__xludf.DUMMYFUNCTION("""COMPUTED_VALUE""")," Projetos - Contrato assinado &amp; Rollout")</f>
        <v> Projetos - Contrato assinado &amp; Rollout</v>
      </c>
      <c r="F72" s="4" t="str">
        <f>IFERROR(__xludf.DUMMYFUNCTION("""COMPUTED_VALUE"""),"P")</f>
        <v>P</v>
      </c>
      <c r="G72" s="4"/>
      <c r="H72" s="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75"/>
    <col customWidth="1" min="2" max="2" width="13.75"/>
    <col customWidth="1" min="3" max="3" width="15.38"/>
    <col customWidth="1" min="4" max="4" width="24.75"/>
    <col customWidth="1" min="5" max="5" width="42.88"/>
    <col customWidth="1" min="6" max="6" width="14.38"/>
    <col customWidth="1" min="7" max="7" width="9.63"/>
    <col customWidth="1" min="8" max="8" width="340.88"/>
  </cols>
  <sheetData>
    <row r="1">
      <c r="A1" s="45" t="s">
        <v>0</v>
      </c>
      <c r="B1" s="45" t="s">
        <v>1</v>
      </c>
      <c r="C1" s="45" t="s">
        <v>2</v>
      </c>
      <c r="D1" s="45" t="s">
        <v>3</v>
      </c>
      <c r="E1" s="45" t="s">
        <v>5</v>
      </c>
      <c r="F1" s="45" t="s">
        <v>727</v>
      </c>
      <c r="G1" s="45" t="s">
        <v>730</v>
      </c>
      <c r="H1" s="45" t="s">
        <v>4</v>
      </c>
      <c r="I1" s="45" t="s">
        <v>731</v>
      </c>
      <c r="J1" s="45" t="s">
        <v>732</v>
      </c>
    </row>
    <row r="2">
      <c r="A2" s="4" t="str">
        <f>IFERROR(__xludf.DUMMYFUNCTION("FILTER('Base Consolidada'!A2:H10000,'Base Consolidada'!D2:D10000&lt;&gt;"""",'Base Consolidada'!D2:D10000&lt;&gt;""0. Não Iniciado"",'Base Consolidada'!A2:A10000&lt;&gt;"""")"),"A PIZZA DA MOOCA")</f>
        <v>A PIZZA DA MOOCA</v>
      </c>
      <c r="B2" s="4" t="str">
        <f>IFERROR(__xludf.DUMMYFUNCTION("""COMPUTED_VALUE"""),"Lídia Esteves")</f>
        <v>Lídia Esteves</v>
      </c>
      <c r="C2" s="4" t="str">
        <f>IFERROR(__xludf.DUMMYFUNCTION("""COMPUTED_VALUE"""),"Gabriela Roma")</f>
        <v>Gabriela Roma</v>
      </c>
      <c r="D2" s="4" t="str">
        <f>IFERROR(__xludf.DUMMYFUNCTION("""COMPUTED_VALUE"""),"4. Diagnóstico")</f>
        <v>4. Diagnóstico</v>
      </c>
      <c r="E2" s="4" t="str">
        <f>IFERROR(__xludf.DUMMYFUNCTION("""COMPUTED_VALUE"""),"Pré-vendas - Em validação técnica")</f>
        <v>Pré-vendas - Em validação técnica</v>
      </c>
      <c r="F2" s="4" t="str">
        <f>IFERROR(__xludf.DUMMYFUNCTION("""COMPUTED_VALUE"""),"P")</f>
        <v>P</v>
      </c>
      <c r="G2" s="5">
        <f>IFERROR(__xludf.DUMMYFUNCTION("""COMPUTED_VALUE"""),46155.0)</f>
        <v>46155</v>
      </c>
      <c r="H2" s="4" t="str">
        <f>IFERROR(__xludf.DUMMYFUNCTION("""COMPUTED_VALUE"""),"Agenda 12/05 presencial com a Rafa, parceiro tem interesse em colocar totem em 1 das lojas, sao 4 lojas no totem, só que 3 socios diferentes, o cliente que falamos ontem Derek é sócio da pizza onesta e pizza da mocca shop, usa aloha e quer mudar de pdv pr"&amp;"a ter totem gratuito por ser do ifood, vamos enviar proposta mas nao sabemos se irá avanças por querer serviço gratuito do ifood, Samuca encontrará o socio de todas as lojas em chicago e vai conversar com ele")</f>
        <v>Agenda 12/05 presencial com a Rafa, parceiro tem interesse em colocar totem em 1 das lojas, sao 4 lojas no totem, só que 3 socios diferentes, o cliente que falamos ontem Derek é sócio da pizza onesta e pizza da mocca shop, usa aloha e quer mudar de pdv pra ter totem gratuito por ser do ifood, vamos enviar proposta mas nao sabemos se irá avanças por querer serviço gratuito do ifood, Samuca encontrará o socio de todas as lojas em chicago e vai conversar com ele</v>
      </c>
    </row>
    <row r="3">
      <c r="A3" s="4" t="str">
        <f>IFERROR(__xludf.DUMMYFUNCTION("""COMPUTED_VALUE"""),"ACAI DA HORA - CONTA MARCA")</f>
        <v>ACAI DA HORA - CONTA MARCA</v>
      </c>
      <c r="B3" s="4" t="str">
        <f>IFERROR(__xludf.DUMMYFUNCTION("""COMPUTED_VALUE"""),"João Biagiotti")</f>
        <v>João Biagiotti</v>
      </c>
      <c r="C3" s="4" t="str">
        <f>IFERROR(__xludf.DUMMYFUNCTION("""COMPUTED_VALUE"""),"Diego Santos")</f>
        <v>Diego Santos</v>
      </c>
      <c r="D3" s="4" t="str">
        <f>IFERROR(__xludf.DUMMYFUNCTION("""COMPUTED_VALUE"""),"9. Contrato assinado")</f>
        <v>9. Contrato assinado</v>
      </c>
      <c r="E3" s="4"/>
      <c r="F3" s="4" t="str">
        <f>IFERROR(__xludf.DUMMYFUNCTION("""COMPUTED_VALUE"""),"P")</f>
        <v>P</v>
      </c>
      <c r="G3" s="4"/>
      <c r="H3" s="4"/>
    </row>
    <row r="4">
      <c r="A4" s="4" t="str">
        <f>IFERROR(__xludf.DUMMYFUNCTION("""COMPUTED_VALUE"""),"AKIRO SUSHI")</f>
        <v>AKIRO SUSHI</v>
      </c>
      <c r="B4" s="4" t="str">
        <f>IFERROR(__xludf.DUMMYFUNCTION("""COMPUTED_VALUE"""),"Lídia Esteves")</f>
        <v>Lídia Esteves</v>
      </c>
      <c r="C4" s="4" t="str">
        <f>IFERROR(__xludf.DUMMYFUNCTION("""COMPUTED_VALUE"""),"Gabriela Roma")</f>
        <v>Gabriela Roma</v>
      </c>
      <c r="D4" s="4" t="str">
        <f>IFERROR(__xludf.DUMMYFUNCTION("""COMPUTED_VALUE"""),"5. Demo/Showroom")</f>
        <v>5. Demo/Showroom</v>
      </c>
      <c r="E4" s="4" t="str">
        <f>IFERROR(__xludf.DUMMYFUNCTION("""COMPUTED_VALUE"""),"Pré-vendas - Demonstração / Showroom")</f>
        <v>Pré-vendas - Demonstração / Showroom</v>
      </c>
      <c r="F4" s="4" t="str">
        <f>IFERROR(__xludf.DUMMYFUNCTION("""COMPUTED_VALUE"""),"P")</f>
        <v>P</v>
      </c>
      <c r="G4" s="10">
        <f>IFERROR(__xludf.DUMMYFUNCTION("""COMPUTED_VALUE"""),46154.0)</f>
        <v>46154</v>
      </c>
      <c r="H4" s="4" t="str">
        <f>IFERROR(__xludf.DUMMYFUNCTION("""COMPUTED_VALUE"""),"demo agendada para 14/5")</f>
        <v>demo agendada para 14/5</v>
      </c>
    </row>
    <row r="5">
      <c r="A5" s="4" t="str">
        <f>IFERROR(__xludf.DUMMYFUNCTION("""COMPUTED_VALUE"""),"AMBROZINI")</f>
        <v>AMBROZINI</v>
      </c>
      <c r="B5" s="4" t="str">
        <f>IFERROR(__xludf.DUMMYFUNCTION("""COMPUTED_VALUE"""),"João Biagiotti")</f>
        <v>João Biagiotti</v>
      </c>
      <c r="C5" s="4" t="str">
        <f>IFERROR(__xludf.DUMMYFUNCTION("""COMPUTED_VALUE"""),"Diego Santos")</f>
        <v>Diego Santos</v>
      </c>
      <c r="D5" s="4" t="str">
        <f>IFERROR(__xludf.DUMMYFUNCTION("""COMPUTED_VALUE"""),"1. Iniciado")</f>
        <v>1. Iniciado</v>
      </c>
      <c r="E5" s="4" t="str">
        <f>IFERROR(__xludf.DUMMYFUNCTION("""COMPUTED_VALUE"""),"Delivery - Aguardando retorno executivo")</f>
        <v>Delivery - Aguardando retorno executivo</v>
      </c>
      <c r="F5" s="4" t="str">
        <f>IFERROR(__xludf.DUMMYFUNCTION("""COMPUTED_VALUE"""),"P")</f>
        <v>P</v>
      </c>
      <c r="G5" s="5">
        <f>IFERROR(__xludf.DUMMYFUNCTION("""COMPUTED_VALUE"""),46119.0)</f>
        <v>46119</v>
      </c>
      <c r="H5" s="4" t="str">
        <f>IFERROR(__xludf.DUMMYFUNCTION("""COMPUTED_VALUE"""),"Foi enviado mensagem para a coordenação para verificar a possibilidade de uma agenda e direcionamento ")</f>
        <v>Foi enviado mensagem para a coordenação para verificar a possibilidade de uma agenda e direcionamento </v>
      </c>
    </row>
    <row r="6">
      <c r="A6" s="4" t="str">
        <f>IFERROR(__xludf.DUMMYFUNCTION("""COMPUTED_VALUE"""),"AMERICAN ORIGINAL - CONTA MARCA")</f>
        <v>AMERICAN ORIGINAL - CONTA MARCA</v>
      </c>
      <c r="B6" s="4" t="str">
        <f>IFERROR(__xludf.DUMMYFUNCTION("""COMPUTED_VALUE"""),"Lídia Esteves")</f>
        <v>Lídia Esteves</v>
      </c>
      <c r="C6" s="4" t="str">
        <f>IFERROR(__xludf.DUMMYFUNCTION("""COMPUTED_VALUE"""),"Gabriela Roma")</f>
        <v>Gabriela Roma</v>
      </c>
      <c r="D6" s="4" t="str">
        <f>IFERROR(__xludf.DUMMYFUNCTION("""COMPUTED_VALUE"""),"1. Iniciado")</f>
        <v>1. Iniciado</v>
      </c>
      <c r="E6" s="4"/>
      <c r="F6" s="4" t="str">
        <f>IFERROR(__xludf.DUMMYFUNCTION("""COMPUTED_VALUE"""),"P")</f>
        <v>P</v>
      </c>
      <c r="G6" s="4"/>
      <c r="H6" s="4"/>
    </row>
    <row r="7">
      <c r="A7" s="4" t="str">
        <f>IFERROR(__xludf.DUMMYFUNCTION("""COMPUTED_VALUE"""),"ANGUS - CARNES E HAMBURGUERIA")</f>
        <v>ANGUS - CARNES E HAMBURGUERIA</v>
      </c>
      <c r="B7" s="4" t="str">
        <f>IFERROR(__xludf.DUMMYFUNCTION("""COMPUTED_VALUE"""),"Lídia Esteves")</f>
        <v>Lídia Esteves</v>
      </c>
      <c r="C7" s="4" t="str">
        <f>IFERROR(__xludf.DUMMYFUNCTION("""COMPUTED_VALUE"""),"Gabriela Roma")</f>
        <v>Gabriela Roma</v>
      </c>
      <c r="D7" s="4" t="str">
        <f>IFERROR(__xludf.DUMMYFUNCTION("""COMPUTED_VALUE"""),"1. Iniciado")</f>
        <v>1. Iniciado</v>
      </c>
      <c r="E7" s="4" t="str">
        <f>IFERROR(__xludf.DUMMYFUNCTION("""COMPUTED_VALUE"""),"Delivery - Aguardando retorno executivo")</f>
        <v>Delivery - Aguardando retorno executivo</v>
      </c>
      <c r="F7" s="4" t="str">
        <f>IFERROR(__xludf.DUMMYFUNCTION("""COMPUTED_VALUE"""),"P")</f>
        <v>P</v>
      </c>
      <c r="G7" s="5">
        <f>IFERROR(__xludf.DUMMYFUNCTION("""COMPUTED_VALUE"""),46156.0)</f>
        <v>46156</v>
      </c>
      <c r="H7" s="4" t="str">
        <f>IFERROR(__xludf.DUMMYFUNCTION("""COMPUTED_VALUE"""),"pedido de agenda com delivery")</f>
        <v>pedido de agenda com delivery</v>
      </c>
    </row>
    <row r="8">
      <c r="A8" s="4" t="str">
        <f>IFERROR(__xludf.DUMMYFUNCTION("""COMPUTED_VALUE"""),"ARNALDOS LANCHES - NIVEL MARCA")</f>
        <v>ARNALDOS LANCHES - NIVEL MARCA</v>
      </c>
      <c r="B8" s="4" t="str">
        <f>IFERROR(__xludf.DUMMYFUNCTION("""COMPUTED_VALUE"""),"Lídia Esteves")</f>
        <v>Lídia Esteves</v>
      </c>
      <c r="C8" s="4" t="str">
        <f>IFERROR(__xludf.DUMMYFUNCTION("""COMPUTED_VALUE"""),"Gabriela Roma")</f>
        <v>Gabriela Roma</v>
      </c>
      <c r="D8" s="4" t="str">
        <f>IFERROR(__xludf.DUMMYFUNCTION("""COMPUTED_VALUE"""),"1. Iniciado")</f>
        <v>1. Iniciado</v>
      </c>
      <c r="E8" s="4" t="str">
        <f>IFERROR(__xludf.DUMMYFUNCTION("""COMPUTED_VALUE"""),"Delivery - Aguardando retorno executivo")</f>
        <v>Delivery - Aguardando retorno executivo</v>
      </c>
      <c r="F8" s="4" t="str">
        <f>IFERROR(__xludf.DUMMYFUNCTION("""COMPUTED_VALUE"""),"P")</f>
        <v>P</v>
      </c>
      <c r="G8" s="5">
        <f>IFERROR(__xludf.DUMMYFUNCTION("""COMPUTED_VALUE"""),46156.0)</f>
        <v>46156</v>
      </c>
      <c r="H8" s="4" t="str">
        <f>IFERROR(__xludf.DUMMYFUNCTION("""COMPUTED_VALUE"""),"pedido de abertura de portas pelo exec de delivery")</f>
        <v>pedido de abertura de portas pelo exec de delivery</v>
      </c>
    </row>
    <row r="9">
      <c r="A9" s="4" t="str">
        <f>IFERROR(__xludf.DUMMYFUNCTION("""COMPUTED_VALUE"""),"BABY BEEF EXPRESS")</f>
        <v>BABY BEEF EXPRESS</v>
      </c>
      <c r="B9" s="4" t="str">
        <f>IFERROR(__xludf.DUMMYFUNCTION("""COMPUTED_VALUE"""),"João Biagiotti")</f>
        <v>João Biagiotti</v>
      </c>
      <c r="C9" s="4" t="str">
        <f>IFERROR(__xludf.DUMMYFUNCTION("""COMPUTED_VALUE"""),"Diego Santos")</f>
        <v>Diego Santos</v>
      </c>
      <c r="D9" s="4" t="str">
        <f>IFERROR(__xludf.DUMMYFUNCTION("""COMPUTED_VALUE"""),"2. Primeiro Contato com a marca")</f>
        <v>2. Primeiro Contato com a marca</v>
      </c>
      <c r="E9" s="4" t="str">
        <f>IFERROR(__xludf.DUMMYFUNCTION("""COMPUTED_VALUE"""),"Delivery - Conciliação agenda com parceiro")</f>
        <v>Delivery - Conciliação agenda com parceiro</v>
      </c>
      <c r="F9" s="4" t="str">
        <f>IFERROR(__xludf.DUMMYFUNCTION("""COMPUTED_VALUE"""),"P")</f>
        <v>P</v>
      </c>
      <c r="G9" s="5">
        <f>IFERROR(__xludf.DUMMYFUNCTION("""COMPUTED_VALUE"""),46134.0)</f>
        <v>46134</v>
      </c>
      <c r="H9" s="4" t="str">
        <f>IFERROR(__xludf.DUMMYFUNCTION("""COMPUTED_VALUE"""),"Valeria (coord) informou que o gerrente esta de férias, assim que voltar iremos agendar uma reunião com os mesmos")</f>
        <v>Valeria (coord) informou que o gerrente esta de férias, assim que voltar iremos agendar uma reunião com os mesmos</v>
      </c>
    </row>
    <row r="10">
      <c r="A10" s="4" t="str">
        <f>IFERROR(__xludf.DUMMYFUNCTION("""COMPUTED_VALUE"""),"BAR DO ELIAS")</f>
        <v>BAR DO ELIAS</v>
      </c>
      <c r="B10" s="4" t="str">
        <f>IFERROR(__xludf.DUMMYFUNCTION("""COMPUTED_VALUE"""),"Lídia Esteves")</f>
        <v>Lídia Esteves</v>
      </c>
      <c r="C10" s="4" t="str">
        <f>IFERROR(__xludf.DUMMYFUNCTION("""COMPUTED_VALUE"""),"Gabriela Roma")</f>
        <v>Gabriela Roma</v>
      </c>
      <c r="D10" s="4" t="str">
        <f>IFERROR(__xludf.DUMMYFUNCTION("""COMPUTED_VALUE"""),"1. Iniciado")</f>
        <v>1. Iniciado</v>
      </c>
      <c r="E10" s="4" t="str">
        <f>IFERROR(__xludf.DUMMYFUNCTION("""COMPUTED_VALUE"""),"Delivery - Aguardando retorno / Conciliação agenda")</f>
        <v>Delivery - Aguardando retorno / Conciliação agenda</v>
      </c>
      <c r="F10" s="4" t="str">
        <f>IFERROR(__xludf.DUMMYFUNCTION("""COMPUTED_VALUE"""),"P")</f>
        <v>P</v>
      </c>
      <c r="G10" s="4"/>
      <c r="H10" s="4"/>
    </row>
    <row r="11">
      <c r="A11" s="4" t="str">
        <f>IFERROR(__xludf.DUMMYFUNCTION("""COMPUTED_VALUE"""),"BERCY VILLAGE")</f>
        <v>BERCY VILLAGE</v>
      </c>
      <c r="B11" s="4" t="str">
        <f>IFERROR(__xludf.DUMMYFUNCTION("""COMPUTED_VALUE"""),"João Biagiotti")</f>
        <v>João Biagiotti</v>
      </c>
      <c r="C11" s="4" t="str">
        <f>IFERROR(__xludf.DUMMYFUNCTION("""COMPUTED_VALUE"""),"Diego Santos")</f>
        <v>Diego Santos</v>
      </c>
      <c r="D11" s="4" t="str">
        <f>IFERROR(__xludf.DUMMYFUNCTION("""COMPUTED_VALUE"""),"10. Perdido")</f>
        <v>10. Perdido</v>
      </c>
      <c r="E11" s="4" t="str">
        <f>IFERROR(__xludf.DUMMYFUNCTION("""COMPUTED_VALUE"""),"Perdido -  Momento do restaurante não favorável")</f>
        <v>Perdido -  Momento do restaurante não favorável</v>
      </c>
      <c r="F11" s="4" t="str">
        <f>IFERROR(__xludf.DUMMYFUNCTION("""COMPUTED_VALUE"""),"P")</f>
        <v>P</v>
      </c>
      <c r="G11" s="5">
        <f>IFERROR(__xludf.DUMMYFUNCTION("""COMPUTED_VALUE"""),46119.0)</f>
        <v>46119</v>
      </c>
      <c r="H11" s="4" t="str">
        <f>IFERROR(__xludf.DUMMYFUNCTION("""COMPUTED_VALUE"""),"Já foi realizado uma agenda presencial com a marca, no qual a diretoria nao quer seguir. ")</f>
        <v>Já foi realizado uma agenda presencial com a marca, no qual a diretoria nao quer seguir. </v>
      </c>
    </row>
    <row r="12">
      <c r="A12" s="4" t="str">
        <f>IFERROR(__xludf.DUMMYFUNCTION("""COMPUTED_VALUE"""),"BERRYS - CONTA PAI")</f>
        <v>BERRYS - CONTA PAI</v>
      </c>
      <c r="B12" s="4" t="str">
        <f>IFERROR(__xludf.DUMMYFUNCTION("""COMPUTED_VALUE"""),"João Biagiotti")</f>
        <v>João Biagiotti</v>
      </c>
      <c r="C12" s="4" t="str">
        <f>IFERROR(__xludf.DUMMYFUNCTION("""COMPUTED_VALUE"""),"Diego Santos")</f>
        <v>Diego Santos</v>
      </c>
      <c r="D12" s="4" t="str">
        <f>IFERROR(__xludf.DUMMYFUNCTION("""COMPUTED_VALUE"""),"2. Primeiro Contato com a marca")</f>
        <v>2. Primeiro Contato com a marca</v>
      </c>
      <c r="E12" s="4" t="str">
        <f>IFERROR(__xludf.DUMMYFUNCTION("""COMPUTED_VALUE"""),"Parceiro - Aguardando retorno parceiro")</f>
        <v>Parceiro - Aguardando retorno parceiro</v>
      </c>
      <c r="F12" s="4" t="str">
        <f>IFERROR(__xludf.DUMMYFUNCTION("""COMPUTED_VALUE"""),"M")</f>
        <v>M</v>
      </c>
      <c r="G12" s="5">
        <f>IFERROR(__xludf.DUMMYFUNCTION("""COMPUTED_VALUE"""),46135.0)</f>
        <v>46135</v>
      </c>
      <c r="H12" s="4" t="str">
        <f>IFERROR(__xludf.DUMMYFUNCTION("""COMPUTED_VALUE"""),"Foi enviado mensagem para o Henrique, aguardando retorno")</f>
        <v>Foi enviado mensagem para o Henrique, aguardando retorno</v>
      </c>
    </row>
    <row r="13">
      <c r="A13" s="4" t="str">
        <f>IFERROR(__xludf.DUMMYFUNCTION("""COMPUTED_VALUE"""),"BEST - UBERLANDIA")</f>
        <v>BEST - UBERLANDIA</v>
      </c>
      <c r="B13" s="4" t="str">
        <f>IFERROR(__xludf.DUMMYFUNCTION("""COMPUTED_VALUE"""),"João Biagiotti")</f>
        <v>João Biagiotti</v>
      </c>
      <c r="C13" s="4" t="str">
        <f>IFERROR(__xludf.DUMMYFUNCTION("""COMPUTED_VALUE"""),"Diego Santos")</f>
        <v>Diego Santos</v>
      </c>
      <c r="D13" s="4" t="str">
        <f>IFERROR(__xludf.DUMMYFUNCTION("""COMPUTED_VALUE"""),"9. Contrato assinado")</f>
        <v>9. Contrato assinado</v>
      </c>
      <c r="E13" s="4" t="str">
        <f>IFERROR(__xludf.DUMMYFUNCTION("""COMPUTED_VALUE"""),"Projetos - Em piloto")</f>
        <v>Projetos - Em piloto</v>
      </c>
      <c r="F13" s="4" t="str">
        <f>IFERROR(__xludf.DUMMYFUNCTION("""COMPUTED_VALUE"""),"P")</f>
        <v>P</v>
      </c>
      <c r="G13" s="5">
        <f>IFERROR(__xludf.DUMMYFUNCTION("""COMPUTED_VALUE"""),46160.0)</f>
        <v>46160</v>
      </c>
      <c r="H13" s="4" t="str">
        <f>IFERROR(__xludf.DUMMYFUNCTION("""COMPUTED_VALUE"""),"iniciar fluxo com time de projetos")</f>
        <v>iniciar fluxo com time de projetos</v>
      </c>
    </row>
    <row r="14">
      <c r="A14" s="4" t="str">
        <f>IFERROR(__xludf.DUMMYFUNCTION("""COMPUTED_VALUE"""),"BOCA DO FORNO")</f>
        <v>BOCA DO FORNO</v>
      </c>
      <c r="B14" s="4" t="str">
        <f>IFERROR(__xludf.DUMMYFUNCTION("""COMPUTED_VALUE"""),"João Biagiotti")</f>
        <v>João Biagiotti</v>
      </c>
      <c r="C14" s="4" t="str">
        <f>IFERROR(__xludf.DUMMYFUNCTION("""COMPUTED_VALUE"""),"Diego Santos")</f>
        <v>Diego Santos</v>
      </c>
      <c r="D14" s="4" t="str">
        <f>IFERROR(__xludf.DUMMYFUNCTION("""COMPUTED_VALUE"""),"10. Perdido")</f>
        <v>10. Perdido</v>
      </c>
      <c r="E14" s="4" t="str">
        <f>IFERROR(__xludf.DUMMYFUNCTION("""COMPUTED_VALUE"""),"Perdido - Outro (detalhar ao lado)")</f>
        <v>Perdido - Outro (detalhar ao lado)</v>
      </c>
      <c r="F14" s="4" t="str">
        <f>IFERROR(__xludf.DUMMYFUNCTION("""COMPUTED_VALUE"""),"P")</f>
        <v>P</v>
      </c>
      <c r="G14" s="5">
        <f>IFERROR(__xludf.DUMMYFUNCTION("""COMPUTED_VALUE"""),46125.0)</f>
        <v>46125</v>
      </c>
      <c r="H14" s="4" t="str">
        <f>IFERROR(__xludf.DUMMYFUNCTION("""COMPUTED_VALUE"""),"Em conversa com o coordenador de delivery, fui informado que eles possuem teknisa, já foi ofertado Saipos, no entanto a marca nao tem interesse em mudança de PDV")</f>
        <v>Em conversa com o coordenador de delivery, fui informado que eles possuem teknisa, já foi ofertado Saipos, no entanto a marca nao tem interesse em mudança de PDV</v>
      </c>
    </row>
    <row r="15">
      <c r="A15" s="4" t="str">
        <f>IFERROR(__xludf.DUMMYFUNCTION("""COMPUTED_VALUE"""),"BODE DO NÓ")</f>
        <v>BODE DO NÓ</v>
      </c>
      <c r="B15" s="4" t="str">
        <f>IFERROR(__xludf.DUMMYFUNCTION("""COMPUTED_VALUE"""),"João Biagiotti")</f>
        <v>João Biagiotti</v>
      </c>
      <c r="C15" s="4" t="str">
        <f>IFERROR(__xludf.DUMMYFUNCTION("""COMPUTED_VALUE"""),"Diego Santos")</f>
        <v>Diego Santos</v>
      </c>
      <c r="D15" s="4" t="str">
        <f>IFERROR(__xludf.DUMMYFUNCTION("""COMPUTED_VALUE"""),"10. Perdido")</f>
        <v>10. Perdido</v>
      </c>
      <c r="E15" s="4" t="str">
        <f>IFERROR(__xludf.DUMMYFUNCTION("""COMPUTED_VALUE"""),"Perdido - Outro (detalhar ao lado)")</f>
        <v>Perdido - Outro (detalhar ao lado)</v>
      </c>
      <c r="F15" s="4" t="str">
        <f>IFERROR(__xludf.DUMMYFUNCTION("""COMPUTED_VALUE"""),"P")</f>
        <v>P</v>
      </c>
      <c r="G15" s="5">
        <f>IFERROR(__xludf.DUMMYFUNCTION("""COMPUTED_VALUE"""),46119.0)</f>
        <v>46119</v>
      </c>
      <c r="H15" s="4" t="str">
        <f>IFERROR(__xludf.DUMMYFUNCTION("""COMPUTED_VALUE"""),"Ja tentaram apresentar SAIPOS e o iFood salão, porem o parceiro informou que não ira mudar a integradora dele")</f>
        <v>Ja tentaram apresentar SAIPOS e o iFood salão, porem o parceiro informou que não ira mudar a integradora dele</v>
      </c>
    </row>
    <row r="16">
      <c r="A16" s="4" t="str">
        <f>IFERROR(__xludf.DUMMYFUNCTION("""COMPUTED_VALUE"""),"BORDA E LENHA")</f>
        <v>BORDA E LENHA</v>
      </c>
      <c r="B16" s="4" t="str">
        <f>IFERROR(__xludf.DUMMYFUNCTION("""COMPUTED_VALUE"""),"Lídia Esteves")</f>
        <v>Lídia Esteves</v>
      </c>
      <c r="C16" s="4" t="str">
        <f>IFERROR(__xludf.DUMMYFUNCTION("""COMPUTED_VALUE"""),"Gabriela Roma")</f>
        <v>Gabriela Roma</v>
      </c>
      <c r="D16" s="4" t="str">
        <f>IFERROR(__xludf.DUMMYFUNCTION("""COMPUTED_VALUE"""),"1. Iniciado")</f>
        <v>1. Iniciado</v>
      </c>
      <c r="E16" s="4" t="str">
        <f>IFERROR(__xludf.DUMMYFUNCTION("""COMPUTED_VALUE"""),"Delivery - Aguardando retorno / Conciliação agenda")</f>
        <v>Delivery - Aguardando retorno / Conciliação agenda</v>
      </c>
      <c r="F16" s="4" t="str">
        <f>IFERROR(__xludf.DUMMYFUNCTION("""COMPUTED_VALUE"""),"P")</f>
        <v>P</v>
      </c>
      <c r="G16" s="4"/>
      <c r="H16" s="4"/>
    </row>
    <row r="17">
      <c r="A17" s="4" t="str">
        <f>IFERROR(__xludf.DUMMYFUNCTION("""COMPUTED_VALUE"""),"BOTECO COLARINHO")</f>
        <v>BOTECO COLARINHO</v>
      </c>
      <c r="B17" s="4" t="str">
        <f>IFERROR(__xludf.DUMMYFUNCTION("""COMPUTED_VALUE"""),"Lídia Esteves")</f>
        <v>Lídia Esteves</v>
      </c>
      <c r="C17" s="4" t="str">
        <f>IFERROR(__xludf.DUMMYFUNCTION("""COMPUTED_VALUE"""),"Gabriela Roma")</f>
        <v>Gabriela Roma</v>
      </c>
      <c r="D17" s="4" t="str">
        <f>IFERROR(__xludf.DUMMYFUNCTION("""COMPUTED_VALUE"""),"1. Iniciado")</f>
        <v>1. Iniciado</v>
      </c>
      <c r="E17" s="4" t="str">
        <f>IFERROR(__xludf.DUMMYFUNCTION("""COMPUTED_VALUE"""),"Delivery - Aguardando retorno / Conciliação agenda")</f>
        <v>Delivery - Aguardando retorno / Conciliação agenda</v>
      </c>
      <c r="F17" s="4" t="str">
        <f>IFERROR(__xludf.DUMMYFUNCTION("""COMPUTED_VALUE"""),"P")</f>
        <v>P</v>
      </c>
      <c r="G17" s="4"/>
      <c r="H17" s="4"/>
    </row>
    <row r="18">
      <c r="A18" s="4" t="str">
        <f>IFERROR(__xludf.DUMMYFUNCTION("""COMPUTED_VALUE"""),"BOTECO CONFRARIA")</f>
        <v>BOTECO CONFRARIA</v>
      </c>
      <c r="B18" s="4" t="str">
        <f>IFERROR(__xludf.DUMMYFUNCTION("""COMPUTED_VALUE"""),"Lídia Esteves")</f>
        <v>Lídia Esteves</v>
      </c>
      <c r="C18" s="4" t="str">
        <f>IFERROR(__xludf.DUMMYFUNCTION("""COMPUTED_VALUE"""),"Gabriela Roma")</f>
        <v>Gabriela Roma</v>
      </c>
      <c r="D18" s="4" t="str">
        <f>IFERROR(__xludf.DUMMYFUNCTION("""COMPUTED_VALUE"""),"6. Negociação")</f>
        <v>6. Negociação</v>
      </c>
      <c r="E18" s="4" t="str">
        <f>IFERROR(__xludf.DUMMYFUNCTION("""COMPUTED_VALUE"""),"Parceiro - Aguardando retorno parceiro")</f>
        <v>Parceiro - Aguardando retorno parceiro</v>
      </c>
      <c r="F18" s="4" t="str">
        <f>IFERROR(__xludf.DUMMYFUNCTION("""COMPUTED_VALUE"""),"P")</f>
        <v>P</v>
      </c>
      <c r="G18" s="5">
        <f>IFERROR(__xludf.DUMMYFUNCTION("""COMPUTED_VALUE"""),46154.0)</f>
        <v>46154</v>
      </c>
      <c r="H18" s="4" t="str">
        <f>IFERROR(__xludf.DUMMYFUNCTION("""COMPUTED_VALUE"""),"demo agendada 15/5")</f>
        <v>demo agendada 15/5</v>
      </c>
    </row>
    <row r="19">
      <c r="A19" s="4" t="str">
        <f>IFERROR(__xludf.DUMMYFUNCTION("""COMPUTED_VALUE"""),"BRAVA SUSHI - CONTA MARCA")</f>
        <v>BRAVA SUSHI - CONTA MARCA</v>
      </c>
      <c r="B19" s="4" t="str">
        <f>IFERROR(__xludf.DUMMYFUNCTION("""COMPUTED_VALUE"""),"Lídia Esteves")</f>
        <v>Lídia Esteves</v>
      </c>
      <c r="C19" s="4" t="str">
        <f>IFERROR(__xludf.DUMMYFUNCTION("""COMPUTED_VALUE"""),"Gabriela Roma")</f>
        <v>Gabriela Roma</v>
      </c>
      <c r="D19" s="4" t="str">
        <f>IFERROR(__xludf.DUMMYFUNCTION("""COMPUTED_VALUE"""),"1. Iniciado")</f>
        <v>1. Iniciado</v>
      </c>
      <c r="E19" s="4" t="str">
        <f>IFERROR(__xludf.DUMMYFUNCTION("""COMPUTED_VALUE"""),"Delivery - Aguardando retorno / Conciliação agenda")</f>
        <v>Delivery - Aguardando retorno / Conciliação agenda</v>
      </c>
      <c r="F19" s="4" t="str">
        <f>IFERROR(__xludf.DUMMYFUNCTION("""COMPUTED_VALUE"""),"P")</f>
        <v>P</v>
      </c>
      <c r="G19" s="4"/>
      <c r="H19" s="4"/>
    </row>
    <row r="20">
      <c r="A20" s="4" t="str">
        <f>IFERROR(__xludf.DUMMYFUNCTION("""COMPUTED_VALUE"""),"BURGERS RIO")</f>
        <v>BURGERS RIO</v>
      </c>
      <c r="B20" s="4" t="str">
        <f>IFERROR(__xludf.DUMMYFUNCTION("""COMPUTED_VALUE"""),"Lídia Esteves")</f>
        <v>Lídia Esteves</v>
      </c>
      <c r="C20" s="4" t="str">
        <f>IFERROR(__xludf.DUMMYFUNCTION("""COMPUTED_VALUE"""),"Gabriela Roma")</f>
        <v>Gabriela Roma</v>
      </c>
      <c r="D20" s="4" t="str">
        <f>IFERROR(__xludf.DUMMYFUNCTION("""COMPUTED_VALUE"""),"1. Iniciado")</f>
        <v>1. Iniciado</v>
      </c>
      <c r="E20" s="4" t="str">
        <f>IFERROR(__xludf.DUMMYFUNCTION("""COMPUTED_VALUE"""),"Delivery - Momento inadequado de abordagem (ex. 99)")</f>
        <v>Delivery - Momento inadequado de abordagem (ex. 99)</v>
      </c>
      <c r="F20" s="4" t="str">
        <f>IFERROR(__xludf.DUMMYFUNCTION("""COMPUTED_VALUE"""),"P")</f>
        <v>P</v>
      </c>
      <c r="G20" s="5">
        <f>IFERROR(__xludf.DUMMYFUNCTION("""COMPUTED_VALUE"""),46120.0)</f>
        <v>46120</v>
      </c>
      <c r="H20" s="4" t="str">
        <f>IFERROR(__xludf.DUMMYFUNCTION("""COMPUTED_VALUE"""),"contato com coord de delivery , informou que o parceiro está em implantação com Saipos ")</f>
        <v>contato com coord de delivery , informou que o parceiro está em implantação com Saipos </v>
      </c>
    </row>
    <row r="21">
      <c r="A21" s="4" t="str">
        <f>IFERROR(__xludf.DUMMYFUNCTION("""COMPUTED_VALUE"""),"CANTINHO DO SABOR")</f>
        <v>CANTINHO DO SABOR</v>
      </c>
      <c r="B21" s="4" t="str">
        <f>IFERROR(__xludf.DUMMYFUNCTION("""COMPUTED_VALUE"""),"Lídia Esteves")</f>
        <v>Lídia Esteves</v>
      </c>
      <c r="C21" s="4" t="str">
        <f>IFERROR(__xludf.DUMMYFUNCTION("""COMPUTED_VALUE"""),"Gabriela Roma")</f>
        <v>Gabriela Roma</v>
      </c>
      <c r="D21" s="4" t="str">
        <f>IFERROR(__xludf.DUMMYFUNCTION("""COMPUTED_VALUE"""),"2. Primeiro Contato com a marca")</f>
        <v>2. Primeiro Contato com a marca</v>
      </c>
      <c r="E21" s="4" t="str">
        <f>IFERROR(__xludf.DUMMYFUNCTION("""COMPUTED_VALUE"""),"Delivery - Aguardando retorno / Conciliação agenda")</f>
        <v>Delivery - Aguardando retorno / Conciliação agenda</v>
      </c>
      <c r="F21" s="4" t="str">
        <f>IFERROR(__xludf.DUMMYFUNCTION("""COMPUTED_VALUE"""),"P")</f>
        <v>P</v>
      </c>
      <c r="G21" s="4"/>
      <c r="H21" s="4"/>
    </row>
    <row r="22">
      <c r="A22" s="4" t="str">
        <f>IFERROR(__xludf.DUMMYFUNCTION("""COMPUTED_VALUE"""),"CASA DO PARA")</f>
        <v>CASA DO PARA</v>
      </c>
      <c r="B22" s="4" t="str">
        <f>IFERROR(__xludf.DUMMYFUNCTION("""COMPUTED_VALUE"""),"João Biagiotti")</f>
        <v>João Biagiotti</v>
      </c>
      <c r="C22" s="4" t="str">
        <f>IFERROR(__xludf.DUMMYFUNCTION("""COMPUTED_VALUE"""),"Diego Santos")</f>
        <v>Diego Santos</v>
      </c>
      <c r="D22" s="4" t="str">
        <f>IFERROR(__xludf.DUMMYFUNCTION("""COMPUTED_VALUE"""),"2. Primeiro contato com a marca")</f>
        <v>2. Primeiro contato com a marca</v>
      </c>
      <c r="E22" s="4" t="str">
        <f>IFERROR(__xludf.DUMMYFUNCTION("""COMPUTED_VALUE"""),"Delivery - Conciliação agenda com parceiro")</f>
        <v>Delivery - Conciliação agenda com parceiro</v>
      </c>
      <c r="F22" s="4" t="str">
        <f>IFERROR(__xludf.DUMMYFUNCTION("""COMPUTED_VALUE"""),"P")</f>
        <v>P</v>
      </c>
      <c r="G22" s="5">
        <f>IFERROR(__xludf.DUMMYFUNCTION("""COMPUTED_VALUE"""),46120.0)</f>
        <v>46120</v>
      </c>
      <c r="H22" s="4" t="str">
        <f>IFERROR(__xludf.DUMMYFUNCTION("""COMPUTED_VALUE"""),"Conciliando agenda online com o parceiro")</f>
        <v>Conciliando agenda online com o parceiro</v>
      </c>
    </row>
    <row r="23">
      <c r="A23" s="4" t="str">
        <f>IFERROR(__xludf.DUMMYFUNCTION("""COMPUTED_VALUE"""),"CELSINHO BH")</f>
        <v>CELSINHO BH</v>
      </c>
      <c r="B23" s="4" t="str">
        <f>IFERROR(__xludf.DUMMYFUNCTION("""COMPUTED_VALUE"""),"João Biagiotti")</f>
        <v>João Biagiotti</v>
      </c>
      <c r="C23" s="4" t="str">
        <f>IFERROR(__xludf.DUMMYFUNCTION("""COMPUTED_VALUE"""),"Diego Santos")</f>
        <v>Diego Santos</v>
      </c>
      <c r="D23" s="4" t="str">
        <f>IFERROR(__xludf.DUMMYFUNCTION("""COMPUTED_VALUE"""),"10. Perdido")</f>
        <v>10. Perdido</v>
      </c>
      <c r="E23" s="4" t="str">
        <f>IFERROR(__xludf.DUMMYFUNCTION("""COMPUTED_VALUE"""),"Perdido - Outro (detalhar ao lado)")</f>
        <v>Perdido - Outro (detalhar ao lado)</v>
      </c>
      <c r="F23" s="4" t="str">
        <f>IFERROR(__xludf.DUMMYFUNCTION("""COMPUTED_VALUE"""),"P")</f>
        <v>P</v>
      </c>
      <c r="G23" s="5">
        <f>IFERROR(__xludf.DUMMYFUNCTION("""COMPUTED_VALUE"""),46119.0)</f>
        <v>46119</v>
      </c>
      <c r="H23" s="4" t="str">
        <f>IFERROR(__xludf.DUMMYFUNCTION("""COMPUTED_VALUE"""),"já está rodando com saipos, não acho que tenha perfil para 3S")</f>
        <v>já está rodando com saipos, não acho que tenha perfil para 3S</v>
      </c>
    </row>
    <row r="24">
      <c r="A24" s="4" t="str">
        <f>IFERROR(__xludf.DUMMYFUNCTION("""COMPUTED_VALUE"""),"CHAVITOS HAMBURGUERIA ARTESANAL")</f>
        <v>CHAVITOS HAMBURGUERIA ARTESANAL</v>
      </c>
      <c r="B24" s="4" t="str">
        <f>IFERROR(__xludf.DUMMYFUNCTION("""COMPUTED_VALUE"""),"Lídia Esteves")</f>
        <v>Lídia Esteves</v>
      </c>
      <c r="C24" s="4" t="str">
        <f>IFERROR(__xludf.DUMMYFUNCTION("""COMPUTED_VALUE"""),"Gabriela Roma")</f>
        <v>Gabriela Roma</v>
      </c>
      <c r="D24" s="4" t="str">
        <f>IFERROR(__xludf.DUMMYFUNCTION("""COMPUTED_VALUE"""),"1. Iniciado")</f>
        <v>1. Iniciado</v>
      </c>
      <c r="E24" s="4" t="str">
        <f>IFERROR(__xludf.DUMMYFUNCTION("""COMPUTED_VALUE"""),"Delivery - Aguardando retorno / Conciliação agenda")</f>
        <v>Delivery - Aguardando retorno / Conciliação agenda</v>
      </c>
      <c r="F24" s="4" t="str">
        <f>IFERROR(__xludf.DUMMYFUNCTION("""COMPUTED_VALUE"""),"P")</f>
        <v>P</v>
      </c>
      <c r="G24" s="4"/>
      <c r="H24" s="4"/>
    </row>
    <row r="25">
      <c r="A25" s="4" t="str">
        <f>IFERROR(__xludf.DUMMYFUNCTION("""COMPUTED_VALUE"""),"CHICKEN TOWN")</f>
        <v>CHICKEN TOWN</v>
      </c>
      <c r="B25" s="4" t="str">
        <f>IFERROR(__xludf.DUMMYFUNCTION("""COMPUTED_VALUE"""),"Lídia Esteves")</f>
        <v>Lídia Esteves</v>
      </c>
      <c r="C25" s="4" t="str">
        <f>IFERROR(__xludf.DUMMYFUNCTION("""COMPUTED_VALUE"""),"Gabriela Roma")</f>
        <v>Gabriela Roma</v>
      </c>
      <c r="D25" s="4" t="str">
        <f>IFERROR(__xludf.DUMMYFUNCTION("""COMPUTED_VALUE"""),"1. Iniciado")</f>
        <v>1. Iniciado</v>
      </c>
      <c r="E25" s="4" t="str">
        <f>IFERROR(__xludf.DUMMYFUNCTION("""COMPUTED_VALUE"""),"Delivery - Aguardando retorno / Conciliação agenda")</f>
        <v>Delivery - Aguardando retorno / Conciliação agenda</v>
      </c>
      <c r="F25" s="4" t="str">
        <f>IFERROR(__xludf.DUMMYFUNCTION("""COMPUTED_VALUE"""),"P")</f>
        <v>P</v>
      </c>
      <c r="G25" s="4"/>
      <c r="H25" s="4"/>
    </row>
    <row r="26">
      <c r="A26" s="4" t="str">
        <f>IFERROR(__xludf.DUMMYFUNCTION("""COMPUTED_VALUE"""),"CHOPP DA FABRICA")</f>
        <v>CHOPP DA FABRICA</v>
      </c>
      <c r="B26" s="4" t="str">
        <f>IFERROR(__xludf.DUMMYFUNCTION("""COMPUTED_VALUE"""),"João Biagiotti")</f>
        <v>João Biagiotti</v>
      </c>
      <c r="C26" s="4" t="str">
        <f>IFERROR(__xludf.DUMMYFUNCTION("""COMPUTED_VALUE"""),"Diego Santos")</f>
        <v>Diego Santos</v>
      </c>
      <c r="D26" s="4" t="str">
        <f>IFERROR(__xludf.DUMMYFUNCTION("""COMPUTED_VALUE"""),"1. Iniciado")</f>
        <v>1. Iniciado</v>
      </c>
      <c r="E26" s="4" t="str">
        <f>IFERROR(__xludf.DUMMYFUNCTION("""COMPUTED_VALUE"""),"Delivery - Conciliação agenda com parceiro")</f>
        <v>Delivery - Conciliação agenda com parceiro</v>
      </c>
      <c r="F26" s="4" t="str">
        <f>IFERROR(__xludf.DUMMYFUNCTION("""COMPUTED_VALUE"""),"P")</f>
        <v>P</v>
      </c>
      <c r="G26" s="5">
        <f>IFERROR(__xludf.DUMMYFUNCTION("""COMPUTED_VALUE"""),46125.0)</f>
        <v>46125</v>
      </c>
      <c r="H26" s="4" t="str">
        <f>IFERROR(__xludf.DUMMYFUNCTION("""COMPUTED_VALUE"""),"Time de delivery ofertou SAIPOS mas 3S faz sentido, aguardando  conciliação de agenda")</f>
        <v>Time de delivery ofertou SAIPOS mas 3S faz sentido, aguardando  conciliação de agenda</v>
      </c>
    </row>
    <row r="27">
      <c r="A27" s="4" t="str">
        <f>IFERROR(__xludf.DUMMYFUNCTION("""COMPUTED_VALUE"""),"COOKIE DELIVERY OFICIAL")</f>
        <v>COOKIE DELIVERY OFICIAL</v>
      </c>
      <c r="B27" s="4" t="str">
        <f>IFERROR(__xludf.DUMMYFUNCTION("""COMPUTED_VALUE"""),"João Biagiotti")</f>
        <v>João Biagiotti</v>
      </c>
      <c r="C27" s="4" t="str">
        <f>IFERROR(__xludf.DUMMYFUNCTION("""COMPUTED_VALUE"""),"Diego Santos")</f>
        <v>Diego Santos</v>
      </c>
      <c r="D27" s="4" t="str">
        <f>IFERROR(__xludf.DUMMYFUNCTION("""COMPUTED_VALUE"""),"1. Iniciado")</f>
        <v>1. Iniciado</v>
      </c>
      <c r="E27" s="4" t="str">
        <f>IFERROR(__xludf.DUMMYFUNCTION("""COMPUTED_VALUE"""),"Delivery - Aguardando retorno executivo")</f>
        <v>Delivery - Aguardando retorno executivo</v>
      </c>
      <c r="F27" s="4" t="str">
        <f>IFERROR(__xludf.DUMMYFUNCTION("""COMPUTED_VALUE"""),"P")</f>
        <v>P</v>
      </c>
      <c r="G27" s="5">
        <f>IFERROR(__xludf.DUMMYFUNCTION("""COMPUTED_VALUE"""),46153.0)</f>
        <v>46153</v>
      </c>
      <c r="H27" s="4" t="str">
        <f>IFERROR(__xludf.DUMMYFUNCTION("""COMPUTED_VALUE"""),"Foi enviado mensagem para o executivo, aguardando retorno")</f>
        <v>Foi enviado mensagem para o executivo, aguardando retorno</v>
      </c>
    </row>
    <row r="28">
      <c r="A28" s="4" t="str">
        <f>IFERROR(__xludf.DUMMYFUNCTION("""COMPUTED_VALUE"""),"COXA COXINHA")</f>
        <v>COXA COXINHA</v>
      </c>
      <c r="B28" s="4" t="str">
        <f>IFERROR(__xludf.DUMMYFUNCTION("""COMPUTED_VALUE"""),"João Biagiotti")</f>
        <v>João Biagiotti</v>
      </c>
      <c r="C28" s="4" t="str">
        <f>IFERROR(__xludf.DUMMYFUNCTION("""COMPUTED_VALUE"""),"Diego Santos")</f>
        <v>Diego Santos</v>
      </c>
      <c r="D28" s="4" t="str">
        <f>IFERROR(__xludf.DUMMYFUNCTION("""COMPUTED_VALUE"""),"2. Primeiro Contato com a marca")</f>
        <v>2. Primeiro Contato com a marca</v>
      </c>
      <c r="E28" s="4" t="str">
        <f>IFERROR(__xludf.DUMMYFUNCTION("""COMPUTED_VALUE"""),"Parceiro - Aguardando retorno parceiro")</f>
        <v>Parceiro - Aguardando retorno parceiro</v>
      </c>
      <c r="F28" s="4" t="str">
        <f>IFERROR(__xludf.DUMMYFUNCTION("""COMPUTED_VALUE"""),"P")</f>
        <v>P</v>
      </c>
      <c r="G28" s="5">
        <f>IFERROR(__xludf.DUMMYFUNCTION("""COMPUTED_VALUE"""),46153.0)</f>
        <v>46153</v>
      </c>
      <c r="H28" s="4" t="str">
        <f>IFERROR(__xludf.DUMMYFUNCTION("""COMPUTED_VALUE"""),"Enviei mensagem para a Renata, aguardando retorno")</f>
        <v>Enviei mensagem para a Renata, aguardando retorno</v>
      </c>
    </row>
    <row r="29">
      <c r="A29" s="4" t="str">
        <f>IFERROR(__xludf.DUMMYFUNCTION("""COMPUTED_VALUE"""),"COXINHA DO GAGO")</f>
        <v>COXINHA DO GAGO</v>
      </c>
      <c r="B29" s="4" t="str">
        <f>IFERROR(__xludf.DUMMYFUNCTION("""COMPUTED_VALUE"""),"João Biagiotti")</f>
        <v>João Biagiotti</v>
      </c>
      <c r="C29" s="4" t="str">
        <f>IFERROR(__xludf.DUMMYFUNCTION("""COMPUTED_VALUE"""),"Diego Santos")</f>
        <v>Diego Santos</v>
      </c>
      <c r="D29" s="4" t="str">
        <f>IFERROR(__xludf.DUMMYFUNCTION("""COMPUTED_VALUE"""),"2. Primeiro Contato com a marca")</f>
        <v>2. Primeiro Contato com a marca</v>
      </c>
      <c r="E29" s="4" t="str">
        <f>IFERROR(__xludf.DUMMYFUNCTION("""COMPUTED_VALUE"""),"Parceiro - Conciliação agenda")</f>
        <v>Parceiro - Conciliação agenda</v>
      </c>
      <c r="F29" s="4" t="str">
        <f>IFERROR(__xludf.DUMMYFUNCTION("""COMPUTED_VALUE"""),"P")</f>
        <v>P</v>
      </c>
      <c r="G29" s="5">
        <f>IFERROR(__xludf.DUMMYFUNCTION("""COMPUTED_VALUE"""),46153.0)</f>
        <v>46153</v>
      </c>
      <c r="H29" s="4" t="str">
        <f>IFERROR(__xludf.DUMMYFUNCTION("""COMPUTED_VALUE"""),"Estou conversando com o Gago, estamos agendando um papo em conjunto com a agenda de delivery ")</f>
        <v>Estou conversando com o Gago, estamos agendando um papo em conjunto com a agenda de delivery </v>
      </c>
    </row>
    <row r="30">
      <c r="A30" s="4" t="str">
        <f>IFERROR(__xludf.DUMMYFUNCTION("""COMPUTED_VALUE"""),"DALLE PIZZA")</f>
        <v>DALLE PIZZA</v>
      </c>
      <c r="B30" s="4" t="str">
        <f>IFERROR(__xludf.DUMMYFUNCTION("""COMPUTED_VALUE"""),"Lídia Esteves")</f>
        <v>Lídia Esteves</v>
      </c>
      <c r="C30" s="4" t="str">
        <f>IFERROR(__xludf.DUMMYFUNCTION("""COMPUTED_VALUE"""),"Gabriela Roma")</f>
        <v>Gabriela Roma</v>
      </c>
      <c r="D30" s="4" t="str">
        <f>IFERROR(__xludf.DUMMYFUNCTION("""COMPUTED_VALUE"""),"2. Primeiro Contato com a marca")</f>
        <v>2. Primeiro Contato com a marca</v>
      </c>
      <c r="E30" s="4" t="str">
        <f>IFERROR(__xludf.DUMMYFUNCTION("""COMPUTED_VALUE"""),"Delivery - Aguardando retorno / Conciliação agenda")</f>
        <v>Delivery - Aguardando retorno / Conciliação agenda</v>
      </c>
      <c r="F30" s="4" t="str">
        <f>IFERROR(__xludf.DUMMYFUNCTION("""COMPUTED_VALUE"""),"P")</f>
        <v>P</v>
      </c>
      <c r="G30" s="4"/>
      <c r="H30" s="4"/>
    </row>
    <row r="31">
      <c r="A31" s="4" t="str">
        <f>IFERROR(__xludf.DUMMYFUNCTION("""COMPUTED_VALUE"""),"DILETTO MASSAS")</f>
        <v>DILETTO MASSAS</v>
      </c>
      <c r="B31" s="4" t="str">
        <f>IFERROR(__xludf.DUMMYFUNCTION("""COMPUTED_VALUE"""),"Lídia Esteves")</f>
        <v>Lídia Esteves</v>
      </c>
      <c r="C31" s="4" t="str">
        <f>IFERROR(__xludf.DUMMYFUNCTION("""COMPUTED_VALUE"""),"Gabriela Roma")</f>
        <v>Gabriela Roma</v>
      </c>
      <c r="D31" s="4" t="str">
        <f>IFERROR(__xludf.DUMMYFUNCTION("""COMPUTED_VALUE"""),"1. Iniciado")</f>
        <v>1. Iniciado</v>
      </c>
      <c r="E31" s="4" t="str">
        <f>IFERROR(__xludf.DUMMYFUNCTION("""COMPUTED_VALUE"""),"Delivery - Aguardando retorno executivo")</f>
        <v>Delivery - Aguardando retorno executivo</v>
      </c>
      <c r="F31" s="4" t="str">
        <f>IFERROR(__xludf.DUMMYFUNCTION("""COMPUTED_VALUE"""),"P")</f>
        <v>P</v>
      </c>
      <c r="G31" s="5">
        <f>IFERROR(__xludf.DUMMYFUNCTION("""COMPUTED_VALUE"""),46156.0)</f>
        <v>46156</v>
      </c>
      <c r="H31" s="4" t="str">
        <f>IFERROR(__xludf.DUMMYFUNCTION("""COMPUTED_VALUE"""),"pedido de abertura de portas atravé da exec de delivery")</f>
        <v>pedido de abertura de portas atravé da exec de delivery</v>
      </c>
    </row>
    <row r="32">
      <c r="A32" s="4" t="str">
        <f>IFERROR(__xludf.DUMMYFUNCTION("""COMPUTED_VALUE"""),"DINA PIZZA")</f>
        <v>DINA PIZZA</v>
      </c>
      <c r="B32" s="4" t="str">
        <f>IFERROR(__xludf.DUMMYFUNCTION("""COMPUTED_VALUE"""),"Lídia Esteves")</f>
        <v>Lídia Esteves</v>
      </c>
      <c r="C32" s="4" t="str">
        <f>IFERROR(__xludf.DUMMYFUNCTION("""COMPUTED_VALUE"""),"Gabriela Roma")</f>
        <v>Gabriela Roma</v>
      </c>
      <c r="D32" s="4" t="str">
        <f>IFERROR(__xludf.DUMMYFUNCTION("""COMPUTED_VALUE"""),"1. Iniciado")</f>
        <v>1. Iniciado</v>
      </c>
      <c r="E32" s="4" t="str">
        <f>IFERROR(__xludf.DUMMYFUNCTION("""COMPUTED_VALUE"""),"Delivery - Aguardando retorno / Conciliação agenda")</f>
        <v>Delivery - Aguardando retorno / Conciliação agenda</v>
      </c>
      <c r="F32" s="4" t="str">
        <f>IFERROR(__xludf.DUMMYFUNCTION("""COMPUTED_VALUE"""),"P")</f>
        <v>P</v>
      </c>
      <c r="G32" s="4"/>
      <c r="H32" s="4"/>
    </row>
    <row r="33">
      <c r="A33" s="4" t="str">
        <f>IFERROR(__xludf.DUMMYFUNCTION("""COMPUTED_VALUE"""),"DOCE MAGIA")</f>
        <v>DOCE MAGIA</v>
      </c>
      <c r="B33" s="4" t="str">
        <f>IFERROR(__xludf.DUMMYFUNCTION("""COMPUTED_VALUE"""),"Lídia Esteves")</f>
        <v>Lídia Esteves</v>
      </c>
      <c r="C33" s="4" t="str">
        <f>IFERROR(__xludf.DUMMYFUNCTION("""COMPUTED_VALUE"""),"Gabriela Roma")</f>
        <v>Gabriela Roma</v>
      </c>
      <c r="D33" s="4" t="str">
        <f>IFERROR(__xludf.DUMMYFUNCTION("""COMPUTED_VALUE"""),"1. Iniciado")</f>
        <v>1. Iniciado</v>
      </c>
      <c r="E33" s="4" t="str">
        <f>IFERROR(__xludf.DUMMYFUNCTION("""COMPUTED_VALUE"""),"Delivery - Aguardando retorno / Conciliação agenda")</f>
        <v>Delivery - Aguardando retorno / Conciliação agenda</v>
      </c>
      <c r="F33" s="4" t="str">
        <f>IFERROR(__xludf.DUMMYFUNCTION("""COMPUTED_VALUE"""),"P")</f>
        <v>P</v>
      </c>
      <c r="G33" s="4"/>
      <c r="H33" s="4"/>
    </row>
    <row r="34">
      <c r="A34" s="4" t="str">
        <f>IFERROR(__xludf.DUMMYFUNCTION("""COMPUTED_VALUE"""),"DOFFEE DONUTS COFFEE - CONTA MARCA")</f>
        <v>DOFFEE DONUTS COFFEE - CONTA MARCA</v>
      </c>
      <c r="B34" s="4" t="str">
        <f>IFERROR(__xludf.DUMMYFUNCTION("""COMPUTED_VALUE"""),"Lídia Esteves")</f>
        <v>Lídia Esteves</v>
      </c>
      <c r="C34" s="4" t="str">
        <f>IFERROR(__xludf.DUMMYFUNCTION("""COMPUTED_VALUE"""),"Gabriela Roma")</f>
        <v>Gabriela Roma</v>
      </c>
      <c r="D34" s="4" t="str">
        <f>IFERROR(__xludf.DUMMYFUNCTION("""COMPUTED_VALUE"""),"2. Primeiro Contato com a marca")</f>
        <v>2. Primeiro Contato com a marca</v>
      </c>
      <c r="E34" s="4" t="str">
        <f>IFERROR(__xludf.DUMMYFUNCTION("""COMPUTED_VALUE"""),"Parceiro - Aguardando retorno / Conciliação agenda")</f>
        <v>Parceiro - Aguardando retorno / Conciliação agenda</v>
      </c>
      <c r="F34" s="4" t="str">
        <f>IFERROR(__xludf.DUMMYFUNCTION("""COMPUTED_VALUE"""),"P")</f>
        <v>P</v>
      </c>
      <c r="G34" s="4"/>
      <c r="H34" s="4"/>
    </row>
    <row r="35">
      <c r="A35" s="4" t="str">
        <f>IFERROR(__xludf.DUMMYFUNCTION("""COMPUTED_VALUE"""),"DOM GALLETO")</f>
        <v>DOM GALLETO</v>
      </c>
      <c r="B35" s="4" t="str">
        <f>IFERROR(__xludf.DUMMYFUNCTION("""COMPUTED_VALUE"""),"Lídia Esteves")</f>
        <v>Lídia Esteves</v>
      </c>
      <c r="C35" s="4" t="str">
        <f>IFERROR(__xludf.DUMMYFUNCTION("""COMPUTED_VALUE"""),"Gabriela Roma")</f>
        <v>Gabriela Roma</v>
      </c>
      <c r="D35" s="4" t="str">
        <f>IFERROR(__xludf.DUMMYFUNCTION("""COMPUTED_VALUE"""),"6. Negociação")</f>
        <v>6. Negociação</v>
      </c>
      <c r="E35" s="4" t="str">
        <f>IFERROR(__xludf.DUMMYFUNCTION("""COMPUTED_VALUE"""),"Parceiro - Em validação de proposta comercial")</f>
        <v>Parceiro - Em validação de proposta comercial</v>
      </c>
      <c r="F35" s="4" t="str">
        <f>IFERROR(__xludf.DUMMYFUNCTION("""COMPUTED_VALUE"""),"P")</f>
        <v>P</v>
      </c>
      <c r="G35" s="5">
        <f>IFERROR(__xludf.DUMMYFUNCTION("""COMPUTED_VALUE"""),46154.0)</f>
        <v>46154</v>
      </c>
      <c r="H35" s="4" t="str">
        <f>IFERROR(__xludf.DUMMYFUNCTION("""COMPUTED_VALUE"""),"Fizemos demo 08/05 parceiro gostou, enviando proposta para validação.")</f>
        <v>Fizemos demo 08/05 parceiro gostou, enviando proposta para validação.</v>
      </c>
    </row>
    <row r="36">
      <c r="A36" s="4" t="str">
        <f>IFERROR(__xludf.DUMMYFUNCTION("""COMPUTED_VALUE"""),"EAI BURGUER - MARCA")</f>
        <v>EAI BURGUER - MARCA</v>
      </c>
      <c r="B36" s="4" t="str">
        <f>IFERROR(__xludf.DUMMYFUNCTION("""COMPUTED_VALUE"""),"Lídia Esteves")</f>
        <v>Lídia Esteves</v>
      </c>
      <c r="C36" s="4" t="str">
        <f>IFERROR(__xludf.DUMMYFUNCTION("""COMPUTED_VALUE"""),"Gabriela Roma")</f>
        <v>Gabriela Roma</v>
      </c>
      <c r="D36" s="4" t="str">
        <f>IFERROR(__xludf.DUMMYFUNCTION("""COMPUTED_VALUE"""),"1. Iniciado")</f>
        <v>1. Iniciado</v>
      </c>
      <c r="E36" s="4" t="str">
        <f>IFERROR(__xludf.DUMMYFUNCTION("""COMPUTED_VALUE"""),"Delivery - Dificuldade de contato com executivo")</f>
        <v>Delivery - Dificuldade de contato com executivo</v>
      </c>
      <c r="F36" s="4" t="str">
        <f>IFERROR(__xludf.DUMMYFUNCTION("""COMPUTED_VALUE"""),"P")</f>
        <v>P</v>
      </c>
      <c r="G36" s="5">
        <f>IFERROR(__xludf.DUMMYFUNCTION("""COMPUTED_VALUE"""),46156.0)</f>
        <v>46156</v>
      </c>
      <c r="H36" s="4" t="str">
        <f>IFERROR(__xludf.DUMMYFUNCTION("""COMPUTED_VALUE"""),"busca de executivo resp pela marca , nao listado na planilha")</f>
        <v>busca de executivo resp pela marca , nao listado na planilha</v>
      </c>
    </row>
    <row r="37">
      <c r="A37" s="4" t="str">
        <f>IFERROR(__xludf.DUMMYFUNCTION("""COMPUTED_VALUE"""),"EDDIE FINE BURGER")</f>
        <v>EDDIE FINE BURGER</v>
      </c>
      <c r="B37" s="4" t="str">
        <f>IFERROR(__xludf.DUMMYFUNCTION("""COMPUTED_VALUE"""),"João Biagiotti")</f>
        <v>João Biagiotti</v>
      </c>
      <c r="C37" s="4" t="str">
        <f>IFERROR(__xludf.DUMMYFUNCTION("""COMPUTED_VALUE"""),"Diego Santos")</f>
        <v>Diego Santos</v>
      </c>
      <c r="D37" s="4" t="str">
        <f>IFERROR(__xludf.DUMMYFUNCTION("""COMPUTED_VALUE"""),"1. Iniciado")</f>
        <v>1. Iniciado</v>
      </c>
      <c r="E37" s="4" t="str">
        <f>IFERROR(__xludf.DUMMYFUNCTION("""COMPUTED_VALUE"""),"Delivery - Aguardando retorno executivo")</f>
        <v>Delivery - Aguardando retorno executivo</v>
      </c>
      <c r="F37" s="4" t="str">
        <f>IFERROR(__xludf.DUMMYFUNCTION("""COMPUTED_VALUE"""),"P")</f>
        <v>P</v>
      </c>
      <c r="G37" s="5">
        <f>IFERROR(__xludf.DUMMYFUNCTION("""COMPUTED_VALUE"""),46119.0)</f>
        <v>46119</v>
      </c>
      <c r="H37" s="4" t="str">
        <f>IFERROR(__xludf.DUMMYFUNCTION("""COMPUTED_VALUE"""),"parceiros quase IMPOSSÍVEIS de contato, zero adeptos a mudanças. Posso agendar com o Eddie, mas american não rola mesmo, relação atritadísisma.")</f>
        <v>parceiros quase IMPOSSÍVEIS de contato, zero adeptos a mudanças. Posso agendar com o Eddie, mas american não rola mesmo, relação atritadísisma.</v>
      </c>
    </row>
    <row r="38">
      <c r="A38" s="4" t="str">
        <f>IFERROR(__xludf.DUMMYFUNCTION("""COMPUTED_VALUE"""),"EL PATRON")</f>
        <v>EL PATRON</v>
      </c>
      <c r="B38" s="4" t="str">
        <f>IFERROR(__xludf.DUMMYFUNCTION("""COMPUTED_VALUE"""),"Lídia Esteves")</f>
        <v>Lídia Esteves</v>
      </c>
      <c r="C38" s="4" t="str">
        <f>IFERROR(__xludf.DUMMYFUNCTION("""COMPUTED_VALUE"""),"Gabriela Roma")</f>
        <v>Gabriela Roma</v>
      </c>
      <c r="D38" s="4" t="str">
        <f>IFERROR(__xludf.DUMMYFUNCTION("""COMPUTED_VALUE"""),"1. Iniciado")</f>
        <v>1. Iniciado</v>
      </c>
      <c r="E38" s="4" t="str">
        <f>IFERROR(__xludf.DUMMYFUNCTION("""COMPUTED_VALUE"""),"Delivery - Aguardando retorno / Conciliação agenda")</f>
        <v>Delivery - Aguardando retorno / Conciliação agenda</v>
      </c>
      <c r="F38" s="4" t="str">
        <f>IFERROR(__xludf.DUMMYFUNCTION("""COMPUTED_VALUE"""),"P")</f>
        <v>P</v>
      </c>
      <c r="G38" s="4"/>
      <c r="H38" s="4"/>
    </row>
    <row r="39">
      <c r="A39" s="4" t="str">
        <f>IFERROR(__xludf.DUMMYFUNCTION("""COMPUTED_VALUE"""),"ESTACAO DA PRAIA")</f>
        <v>ESTACAO DA PRAIA</v>
      </c>
      <c r="B39" s="4" t="str">
        <f>IFERROR(__xludf.DUMMYFUNCTION("""COMPUTED_VALUE"""),"Lídia Esteves")</f>
        <v>Lídia Esteves</v>
      </c>
      <c r="C39" s="4" t="str">
        <f>IFERROR(__xludf.DUMMYFUNCTION("""COMPUTED_VALUE"""),"Gabriela Roma")</f>
        <v>Gabriela Roma</v>
      </c>
      <c r="D39" s="4" t="str">
        <f>IFERROR(__xludf.DUMMYFUNCTION("""COMPUTED_VALUE"""),"10. Perdido")</f>
        <v>10. Perdido</v>
      </c>
      <c r="E39" s="4" t="str">
        <f>IFERROR(__xludf.DUMMYFUNCTION("""COMPUTED_VALUE"""),"Delivery - Aguardando retorno / Conciliação agenda")</f>
        <v>Delivery - Aguardando retorno / Conciliação agenda</v>
      </c>
      <c r="F39" s="4" t="str">
        <f>IFERROR(__xludf.DUMMYFUNCTION("""COMPUTED_VALUE"""),"P")</f>
        <v>P</v>
      </c>
      <c r="G39" s="4"/>
      <c r="H39" s="4"/>
    </row>
    <row r="40">
      <c r="A40" s="4" t="str">
        <f>IFERROR(__xludf.DUMMYFUNCTION("""COMPUTED_VALUE"""),"FALAGUASTA PIZZA")</f>
        <v>FALAGUASTA PIZZA</v>
      </c>
      <c r="B40" s="4" t="str">
        <f>IFERROR(__xludf.DUMMYFUNCTION("""COMPUTED_VALUE"""),"João Biagiotti")</f>
        <v>João Biagiotti</v>
      </c>
      <c r="C40" s="4" t="str">
        <f>IFERROR(__xludf.DUMMYFUNCTION("""COMPUTED_VALUE"""),"Diego Santos")</f>
        <v>Diego Santos</v>
      </c>
      <c r="D40" s="4" t="str">
        <f>IFERROR(__xludf.DUMMYFUNCTION("""COMPUTED_VALUE"""),"10. Perdido")</f>
        <v>10. Perdido</v>
      </c>
      <c r="E40" s="4" t="str">
        <f>IFERROR(__xludf.DUMMYFUNCTION("""COMPUTED_VALUE"""),"Perdido -  Momento do restaurante não favorável")</f>
        <v>Perdido -  Momento do restaurante não favorável</v>
      </c>
      <c r="F40" s="4" t="str">
        <f>IFERROR(__xludf.DUMMYFUNCTION("""COMPUTED_VALUE"""),"P")</f>
        <v>P</v>
      </c>
      <c r="G40" s="5">
        <f>IFERROR(__xludf.DUMMYFUNCTION("""COMPUTED_VALUE"""),46120.0)</f>
        <v>46120</v>
      </c>
      <c r="H40" s="4" t="str">
        <f>IFERROR(__xludf.DUMMYFUNCTION("""COMPUTED_VALUE"""),"Foi abordada recentemente pela SAIPOS, Não tem interesse em mudança de PDV no momento, ja foi falado de 3S e SAIPOS e envio de proposta")</f>
        <v>Foi abordada recentemente pela SAIPOS, Não tem interesse em mudança de PDV no momento, ja foi falado de 3S e SAIPOS e envio de proposta</v>
      </c>
    </row>
    <row r="41">
      <c r="A41" s="4" t="str">
        <f>IFERROR(__xludf.DUMMYFUNCTION("""COMPUTED_VALUE"""),"FEIJOADA DO ABILIO")</f>
        <v>FEIJOADA DO ABILIO</v>
      </c>
      <c r="B41" s="4" t="str">
        <f>IFERROR(__xludf.DUMMYFUNCTION("""COMPUTED_VALUE"""),"Lídia Esteves")</f>
        <v>Lídia Esteves</v>
      </c>
      <c r="C41" s="4" t="str">
        <f>IFERROR(__xludf.DUMMYFUNCTION("""COMPUTED_VALUE"""),"Gabriela Roma")</f>
        <v>Gabriela Roma</v>
      </c>
      <c r="D41" s="4" t="str">
        <f>IFERROR(__xludf.DUMMYFUNCTION("""COMPUTED_VALUE"""),"1. Iniciado")</f>
        <v>1. Iniciado</v>
      </c>
      <c r="E41" s="4" t="str">
        <f>IFERROR(__xludf.DUMMYFUNCTION("""COMPUTED_VALUE"""),"Delivery - Aguardando retorno / Conciliação agenda")</f>
        <v>Delivery - Aguardando retorno / Conciliação agenda</v>
      </c>
      <c r="F41" s="4" t="str">
        <f>IFERROR(__xludf.DUMMYFUNCTION("""COMPUTED_VALUE"""),"P")</f>
        <v>P</v>
      </c>
      <c r="G41" s="4"/>
      <c r="H41" s="4"/>
    </row>
    <row r="42">
      <c r="A42" s="4" t="str">
        <f>IFERROR(__xludf.DUMMYFUNCTION("""COMPUTED_VALUE"""),"GELATI ARTIGIANALE")</f>
        <v>GELATI ARTIGIANALE</v>
      </c>
      <c r="B42" s="4" t="str">
        <f>IFERROR(__xludf.DUMMYFUNCTION("""COMPUTED_VALUE"""),"Lídia Esteves")</f>
        <v>Lídia Esteves</v>
      </c>
      <c r="C42" s="4" t="str">
        <f>IFERROR(__xludf.DUMMYFUNCTION("""COMPUTED_VALUE"""),"Gabriela Roma")</f>
        <v>Gabriela Roma</v>
      </c>
      <c r="D42" s="4" t="str">
        <f>IFERROR(__xludf.DUMMYFUNCTION("""COMPUTED_VALUE"""),"2. Primeiro Contato com a marca")</f>
        <v>2. Primeiro Contato com a marca</v>
      </c>
      <c r="E42" s="4" t="str">
        <f>IFERROR(__xludf.DUMMYFUNCTION("""COMPUTED_VALUE"""),"Perdido - Outro (detalhar ao lado)")</f>
        <v>Perdido - Outro (detalhar ao lado)</v>
      </c>
      <c r="F42" s="4" t="str">
        <f>IFERROR(__xludf.DUMMYFUNCTION("""COMPUTED_VALUE"""),"P")</f>
        <v>P</v>
      </c>
      <c r="G42" s="5">
        <f>IFERROR(__xludf.DUMMYFUNCTION("""COMPUTED_VALUE"""),46125.0)</f>
        <v>46125</v>
      </c>
      <c r="H42" s="4" t="str">
        <f>IFERROR(__xludf.DUMMYFUNCTION("""COMPUTED_VALUE"""),"Fabrica de sorvete, nao tem salao, sem perfil ")</f>
        <v>Fabrica de sorvete, nao tem salao, sem perfil </v>
      </c>
    </row>
    <row r="43">
      <c r="A43" s="4" t="str">
        <f>IFERROR(__xludf.DUMMYFUNCTION("""COMPUTED_VALUE"""),"GRUPO AMERICAN BURGER BH")</f>
        <v>GRUPO AMERICAN BURGER BH</v>
      </c>
      <c r="B43" s="4" t="str">
        <f>IFERROR(__xludf.DUMMYFUNCTION("""COMPUTED_VALUE"""),"João Biagiotti")</f>
        <v>João Biagiotti</v>
      </c>
      <c r="C43" s="4" t="str">
        <f>IFERROR(__xludf.DUMMYFUNCTION("""COMPUTED_VALUE"""),"Diego Santos")</f>
        <v>Diego Santos</v>
      </c>
      <c r="D43" s="4" t="str">
        <f>IFERROR(__xludf.DUMMYFUNCTION("""COMPUTED_VALUE"""),"1. Iniciado")</f>
        <v>1. Iniciado</v>
      </c>
      <c r="E43" s="4" t="str">
        <f>IFERROR(__xludf.DUMMYFUNCTION("""COMPUTED_VALUE"""),"Delivery - Conciliação agenda com parceiro")</f>
        <v>Delivery - Conciliação agenda com parceiro</v>
      </c>
      <c r="F43" s="4" t="str">
        <f>IFERROR(__xludf.DUMMYFUNCTION("""COMPUTED_VALUE"""),"P")</f>
        <v>P</v>
      </c>
      <c r="G43" s="5">
        <f>IFERROR(__xludf.DUMMYFUNCTION("""COMPUTED_VALUE"""),46119.0)</f>
        <v>46119</v>
      </c>
      <c r="H43" s="4" t="str">
        <f>IFERROR(__xludf.DUMMYFUNCTION("""COMPUTED_VALUE"""),"parceiros recém blindados, com operações beeeem grandes, podemos tentar agendar, mas antes preciso entender um pouco de como está o fluxo deles hj e as possibilidades. Concilando agenda online ou presencial ")</f>
        <v>parceiros recém blindados, com operações beeeem grandes, podemos tentar agendar, mas antes preciso entender um pouco de como está o fluxo deles hj e as possibilidades. Concilando agenda online ou presencial </v>
      </c>
    </row>
    <row r="44">
      <c r="A44" s="4" t="str">
        <f>IFERROR(__xludf.DUMMYFUNCTION("""COMPUTED_VALUE"""),"GRUPO CALEBITO")</f>
        <v>GRUPO CALEBITO</v>
      </c>
      <c r="B44" s="4" t="str">
        <f>IFERROR(__xludf.DUMMYFUNCTION("""COMPUTED_VALUE"""),"Lídia Esteves")</f>
        <v>Lídia Esteves</v>
      </c>
      <c r="C44" s="4" t="str">
        <f>IFERROR(__xludf.DUMMYFUNCTION("""COMPUTED_VALUE"""),"Gabriela Roma")</f>
        <v>Gabriela Roma</v>
      </c>
      <c r="D44" s="4" t="str">
        <f>IFERROR(__xludf.DUMMYFUNCTION("""COMPUTED_VALUE"""),"3. Apresentação")</f>
        <v>3. Apresentação</v>
      </c>
      <c r="E44" s="4" t="str">
        <f>IFERROR(__xludf.DUMMYFUNCTION("""COMPUTED_VALUE"""),"Parceiro - Conciliação agenda")</f>
        <v>Parceiro - Conciliação agenda</v>
      </c>
      <c r="F44" s="4" t="str">
        <f>IFERROR(__xludf.DUMMYFUNCTION("""COMPUTED_VALUE"""),"P")</f>
        <v>P</v>
      </c>
      <c r="G44" s="5">
        <f>IFERROR(__xludf.DUMMYFUNCTION("""COMPUTED_VALUE"""),46150.0)</f>
        <v>46150</v>
      </c>
      <c r="H44" s="4" t="str">
        <f>IFERROR(__xludf.DUMMYFUNCTION("""COMPUTED_VALUE"""),"contato com sócio aguardando retorno para apresentar 3s")</f>
        <v>contato com sócio aguardando retorno para apresentar 3s</v>
      </c>
    </row>
    <row r="45">
      <c r="A45" s="4" t="str">
        <f>IFERROR(__xludf.DUMMYFUNCTION("""COMPUTED_VALUE"""),"GRUPO CIA DO BOI")</f>
        <v>GRUPO CIA DO BOI</v>
      </c>
      <c r="B45" s="4" t="str">
        <f>IFERROR(__xludf.DUMMYFUNCTION("""COMPUTED_VALUE"""),"João Biagiotti")</f>
        <v>João Biagiotti</v>
      </c>
      <c r="C45" s="4" t="str">
        <f>IFERROR(__xludf.DUMMYFUNCTION("""COMPUTED_VALUE"""),"Diego Santos")</f>
        <v>Diego Santos</v>
      </c>
      <c r="D45" s="4" t="str">
        <f>IFERROR(__xludf.DUMMYFUNCTION("""COMPUTED_VALUE"""),"10. Perdido")</f>
        <v>10. Perdido</v>
      </c>
      <c r="E45" s="4" t="str">
        <f>IFERROR(__xludf.DUMMYFUNCTION("""COMPUTED_VALUE"""),"Perdido -  Momento do restaurante não favorável")</f>
        <v>Perdido -  Momento do restaurante não favorável</v>
      </c>
      <c r="F45" s="4" t="str">
        <f>IFERROR(__xludf.DUMMYFUNCTION("""COMPUTED_VALUE"""),"P")</f>
        <v>P</v>
      </c>
      <c r="G45" s="5">
        <f>IFERROR(__xludf.DUMMYFUNCTION("""COMPUTED_VALUE"""),46125.0)</f>
        <v>46125</v>
      </c>
      <c r="H45" s="4" t="str">
        <f>IFERROR(__xludf.DUMMYFUNCTION("""COMPUTED_VALUE"""),"Delivery informou que eles estao com a Teknisa e não estão aberto a mudança de PDV")</f>
        <v>Delivery informou que eles estao com a Teknisa e não estão aberto a mudança de PDV</v>
      </c>
    </row>
    <row r="46">
      <c r="A46" s="4" t="str">
        <f>IFERROR(__xludf.DUMMYFUNCTION("""COMPUTED_VALUE"""),"GRUPO RAINHA DAS MARMITAS")</f>
        <v>GRUPO RAINHA DAS MARMITAS</v>
      </c>
      <c r="B46" s="4" t="str">
        <f>IFERROR(__xludf.DUMMYFUNCTION("""COMPUTED_VALUE"""),"Lídia Esteves")</f>
        <v>Lídia Esteves</v>
      </c>
      <c r="C46" s="4" t="str">
        <f>IFERROR(__xludf.DUMMYFUNCTION("""COMPUTED_VALUE"""),"Gabriela Roma")</f>
        <v>Gabriela Roma</v>
      </c>
      <c r="D46" s="4" t="str">
        <f>IFERROR(__xludf.DUMMYFUNCTION("""COMPUTED_VALUE"""),"1. Iniciado")</f>
        <v>1. Iniciado</v>
      </c>
      <c r="E46" s="4" t="str">
        <f>IFERROR(__xludf.DUMMYFUNCTION("""COMPUTED_VALUE"""),"Delivery - Aguardando retorno / Conciliação agenda")</f>
        <v>Delivery - Aguardando retorno / Conciliação agenda</v>
      </c>
      <c r="F46" s="4" t="str">
        <f>IFERROR(__xludf.DUMMYFUNCTION("""COMPUTED_VALUE"""),"M")</f>
        <v>M</v>
      </c>
      <c r="G46" s="4"/>
      <c r="H46" s="4"/>
    </row>
    <row r="47">
      <c r="A47" s="4" t="str">
        <f>IFERROR(__xludf.DUMMYFUNCTION("""COMPUTED_VALUE"""),"GRUPO ROKKON")</f>
        <v>GRUPO ROKKON</v>
      </c>
      <c r="B47" s="4" t="str">
        <f>IFERROR(__xludf.DUMMYFUNCTION("""COMPUTED_VALUE"""),"João Biagiotti")</f>
        <v>João Biagiotti</v>
      </c>
      <c r="C47" s="4" t="str">
        <f>IFERROR(__xludf.DUMMYFUNCTION("""COMPUTED_VALUE"""),"Diego Santos")</f>
        <v>Diego Santos</v>
      </c>
      <c r="D47" s="4" t="str">
        <f>IFERROR(__xludf.DUMMYFUNCTION("""COMPUTED_VALUE"""),"12. Orgânico")</f>
        <v>12. Orgânico</v>
      </c>
      <c r="E47" s="4" t="str">
        <f>IFERROR(__xludf.DUMMYFUNCTION("""COMPUTED_VALUE""")," Projetos - Contrato assinado &amp; Rollout")</f>
        <v> Projetos - Contrato assinado &amp; Rollout</v>
      </c>
      <c r="F47" s="4" t="str">
        <f>IFERROR(__xludf.DUMMYFUNCTION("""COMPUTED_VALUE"""),"P")</f>
        <v>P</v>
      </c>
      <c r="G47" s="5">
        <f>IFERROR(__xludf.DUMMYFUNCTION("""COMPUTED_VALUE"""),46125.0)</f>
        <v>46125</v>
      </c>
      <c r="H47" s="4" t="str">
        <f>IFERROR(__xludf.DUMMYFUNCTION("""COMPUTED_VALUE"""),"Marca do grupo Fit, já está realizando rollout")</f>
        <v>Marca do grupo Fit, já está realizando rollout</v>
      </c>
    </row>
    <row r="48">
      <c r="A48" s="4" t="str">
        <f>IFERROR(__xludf.DUMMYFUNCTION("""COMPUTED_VALUE"""),"HORA DO PASTEL - CONTA MARCA")</f>
        <v>HORA DO PASTEL - CONTA MARCA</v>
      </c>
      <c r="B48" s="4" t="str">
        <f>IFERROR(__xludf.DUMMYFUNCTION("""COMPUTED_VALUE"""),"Lídia Esteves")</f>
        <v>Lídia Esteves</v>
      </c>
      <c r="C48" s="4" t="str">
        <f>IFERROR(__xludf.DUMMYFUNCTION("""COMPUTED_VALUE"""),"Gabriela Roma")</f>
        <v>Gabriela Roma</v>
      </c>
      <c r="D48" s="4" t="str">
        <f>IFERROR(__xludf.DUMMYFUNCTION("""COMPUTED_VALUE"""),"11. Stand by")</f>
        <v>11. Stand by</v>
      </c>
      <c r="E48" s="4" t="str">
        <f>IFERROR(__xludf.DUMMYFUNCTION("""COMPUTED_VALUE"""),"Parceiro - Aguardando retorno / Conciliação agenda")</f>
        <v>Parceiro - Aguardando retorno / Conciliação agenda</v>
      </c>
      <c r="F48" s="4" t="str">
        <f>IFERROR(__xludf.DUMMYFUNCTION("""COMPUTED_VALUE"""),"P")</f>
        <v>P</v>
      </c>
      <c r="G48" s="5">
        <f>IFERROR(__xludf.DUMMYFUNCTION("""COMPUTED_VALUE"""),46139.0)</f>
        <v>46139</v>
      </c>
      <c r="H48" s="4" t="str">
        <f>IFERROR(__xludf.DUMMYFUNCTION("""COMPUTED_VALUE"""),"cliente pediu para procurar no segundo semestre")</f>
        <v>cliente pediu para procurar no segundo semestre</v>
      </c>
    </row>
    <row r="49">
      <c r="A49" s="4" t="str">
        <f>IFERROR(__xludf.DUMMYFUNCTION("""COMPUTED_VALUE"""),"HOT DOG YRACEMA")</f>
        <v>HOT DOG YRACEMA</v>
      </c>
      <c r="B49" s="4" t="str">
        <f>IFERROR(__xludf.DUMMYFUNCTION("""COMPUTED_VALUE"""),"Lídia Esteves")</f>
        <v>Lídia Esteves</v>
      </c>
      <c r="C49" s="4" t="str">
        <f>IFERROR(__xludf.DUMMYFUNCTION("""COMPUTED_VALUE"""),"Gabriela Roma")</f>
        <v>Gabriela Roma</v>
      </c>
      <c r="D49" s="4" t="str">
        <f>IFERROR(__xludf.DUMMYFUNCTION("""COMPUTED_VALUE"""),"1. Iniciado")</f>
        <v>1. Iniciado</v>
      </c>
      <c r="E49" s="4" t="str">
        <f>IFERROR(__xludf.DUMMYFUNCTION("""COMPUTED_VALUE"""),"Delivery - Aguardando retorno / Conciliação agenda")</f>
        <v>Delivery - Aguardando retorno / Conciliação agenda</v>
      </c>
      <c r="F49" s="4" t="str">
        <f>IFERROR(__xludf.DUMMYFUNCTION("""COMPUTED_VALUE"""),"P")</f>
        <v>P</v>
      </c>
      <c r="G49" s="4"/>
      <c r="H49" s="4"/>
    </row>
    <row r="50">
      <c r="A50" s="4" t="str">
        <f>IFERROR(__xludf.DUMMYFUNCTION("""COMPUTED_VALUE"""),"INPOT - CONTA PAI")</f>
        <v>INPOT - CONTA PAI</v>
      </c>
      <c r="B50" s="4" t="str">
        <f>IFERROR(__xludf.DUMMYFUNCTION("""COMPUTED_VALUE"""),"Lídia Esteves")</f>
        <v>Lídia Esteves</v>
      </c>
      <c r="C50" s="4" t="str">
        <f>IFERROR(__xludf.DUMMYFUNCTION("""COMPUTED_VALUE"""),"Gabriela Roma")</f>
        <v>Gabriela Roma</v>
      </c>
      <c r="D50" s="4" t="str">
        <f>IFERROR(__xludf.DUMMYFUNCTION("""COMPUTED_VALUE"""),"1. Iniciado")</f>
        <v>1. Iniciado</v>
      </c>
      <c r="E50" s="4" t="str">
        <f>IFERROR(__xludf.DUMMYFUNCTION("""COMPUTED_VALUE"""),"Delivery - Aguardando retorno / Conciliação agenda")</f>
        <v>Delivery - Aguardando retorno / Conciliação agenda</v>
      </c>
      <c r="F50" s="4" t="str">
        <f>IFERROR(__xludf.DUMMYFUNCTION("""COMPUTED_VALUE"""),"P")</f>
        <v>P</v>
      </c>
      <c r="G50" s="4"/>
      <c r="H50" s="4"/>
    </row>
    <row r="51">
      <c r="A51" s="4" t="str">
        <f>IFERROR(__xludf.DUMMYFUNCTION("""COMPUTED_VALUE"""),"JAPESCA SUSHI")</f>
        <v>JAPESCA SUSHI</v>
      </c>
      <c r="B51" s="4" t="str">
        <f>IFERROR(__xludf.DUMMYFUNCTION("""COMPUTED_VALUE"""),"Lídia Esteves")</f>
        <v>Lídia Esteves</v>
      </c>
      <c r="C51" s="4" t="str">
        <f>IFERROR(__xludf.DUMMYFUNCTION("""COMPUTED_VALUE"""),"Gabriela Roma")</f>
        <v>Gabriela Roma</v>
      </c>
      <c r="D51" s="4" t="str">
        <f>IFERROR(__xludf.DUMMYFUNCTION("""COMPUTED_VALUE"""),"10. Perdido")</f>
        <v>10. Perdido</v>
      </c>
      <c r="E51" s="4" t="str">
        <f>IFERROR(__xludf.DUMMYFUNCTION("""COMPUTED_VALUE"""),"Perdido - Outro (detalhar ao lado)")</f>
        <v>Perdido - Outro (detalhar ao lado)</v>
      </c>
      <c r="F51" s="4" t="str">
        <f>IFERROR(__xludf.DUMMYFUNCTION("""COMPUTED_VALUE"""),"P")</f>
        <v>P</v>
      </c>
      <c r="G51" s="5">
        <f>IFERROR(__xludf.DUMMYFUNCTION("""COMPUTED_VALUE"""),46160.0)</f>
        <v>46160</v>
      </c>
      <c r="H51" s="4" t="str">
        <f>IFERROR(__xludf.DUMMYFUNCTION("""COMPUTED_VALUE"""),"Cliente usa saipos.")</f>
        <v>Cliente usa saipos.</v>
      </c>
    </row>
    <row r="52">
      <c r="A52" s="4" t="str">
        <f>IFERROR(__xludf.DUMMYFUNCTION("""COMPUTED_VALUE"""),"MEXICANISSIMO RESTAURANTE")</f>
        <v>MEXICANISSIMO RESTAURANTE</v>
      </c>
      <c r="B52" s="4" t="str">
        <f>IFERROR(__xludf.DUMMYFUNCTION("""COMPUTED_VALUE"""),"Lídia Esteves")</f>
        <v>Lídia Esteves</v>
      </c>
      <c r="C52" s="4" t="str">
        <f>IFERROR(__xludf.DUMMYFUNCTION("""COMPUTED_VALUE"""),"Gabriela Roma")</f>
        <v>Gabriela Roma</v>
      </c>
      <c r="D52" s="4" t="str">
        <f>IFERROR(__xludf.DUMMYFUNCTION("""COMPUTED_VALUE"""),"1. Iniciado")</f>
        <v>1. Iniciado</v>
      </c>
      <c r="E52" s="4" t="str">
        <f>IFERROR(__xludf.DUMMYFUNCTION("""COMPUTED_VALUE"""),"Delivery - Aguardando retorno / Conciliação agenda")</f>
        <v>Delivery - Aguardando retorno / Conciliação agenda</v>
      </c>
      <c r="F52" s="4" t="str">
        <f>IFERROR(__xludf.DUMMYFUNCTION("""COMPUTED_VALUE"""),"P")</f>
        <v>P</v>
      </c>
      <c r="G52" s="4"/>
      <c r="H52" s="4"/>
    </row>
    <row r="53">
      <c r="A53" s="4" t="str">
        <f>IFERROR(__xludf.DUMMYFUNCTION("""COMPUTED_VALUE"""),"MR MAKI JACAREPAGUA")</f>
        <v>MR MAKI JACAREPAGUA</v>
      </c>
      <c r="B53" s="4" t="str">
        <f>IFERROR(__xludf.DUMMYFUNCTION("""COMPUTED_VALUE"""),"Lídia Esteves")</f>
        <v>Lídia Esteves</v>
      </c>
      <c r="C53" s="4" t="str">
        <f>IFERROR(__xludf.DUMMYFUNCTION("""COMPUTED_VALUE"""),"Gabriela Roma")</f>
        <v>Gabriela Roma</v>
      </c>
      <c r="D53" s="4" t="str">
        <f>IFERROR(__xludf.DUMMYFUNCTION("""COMPUTED_VALUE"""),"11. Stand by")</f>
        <v>11. Stand by</v>
      </c>
      <c r="E53" s="4" t="str">
        <f>IFERROR(__xludf.DUMMYFUNCTION("""COMPUTED_VALUE"""),"Parceiro - Aguardando retorno / Conciliação agenda")</f>
        <v>Parceiro - Aguardando retorno / Conciliação agenda</v>
      </c>
      <c r="F53" s="4" t="str">
        <f>IFERROR(__xludf.DUMMYFUNCTION("""COMPUTED_VALUE"""),"P")</f>
        <v>P</v>
      </c>
      <c r="G53" s="5">
        <f>IFERROR(__xludf.DUMMYFUNCTION("""COMPUTED_VALUE"""),46139.0)</f>
        <v>46139</v>
      </c>
      <c r="H53" s="4" t="str">
        <f>IFERROR(__xludf.DUMMYFUNCTION("""COMPUTED_VALUE"""),"parceiro nao quer mudar de PDV no momento")</f>
        <v>parceiro nao quer mudar de PDV no momento</v>
      </c>
    </row>
    <row r="54">
      <c r="A54" s="4" t="str">
        <f>IFERROR(__xludf.DUMMYFUNCTION("""COMPUTED_VALUE"""),"NAKASA DELIVERY")</f>
        <v>NAKASA DELIVERY</v>
      </c>
      <c r="B54" s="4" t="str">
        <f>IFERROR(__xludf.DUMMYFUNCTION("""COMPUTED_VALUE"""),"Lídia Esteves")</f>
        <v>Lídia Esteves</v>
      </c>
      <c r="C54" s="4" t="str">
        <f>IFERROR(__xludf.DUMMYFUNCTION("""COMPUTED_VALUE"""),"Gabriela Roma")</f>
        <v>Gabriela Roma</v>
      </c>
      <c r="D54" s="4" t="str">
        <f>IFERROR(__xludf.DUMMYFUNCTION("""COMPUTED_VALUE"""),"2. Primeiro Contato com a marca")</f>
        <v>2. Primeiro Contato com a marca</v>
      </c>
      <c r="E54" s="4" t="str">
        <f>IFERROR(__xludf.DUMMYFUNCTION("""COMPUTED_VALUE"""),"Parceiro - Aguardando retorno parceiro")</f>
        <v>Parceiro - Aguardando retorno parceiro</v>
      </c>
      <c r="F54" s="4" t="str">
        <f>IFERROR(__xludf.DUMMYFUNCTION("""COMPUTED_VALUE"""),"P")</f>
        <v>P</v>
      </c>
      <c r="G54" s="5">
        <f>IFERROR(__xludf.DUMMYFUNCTION("""COMPUTED_VALUE"""),46139.0)</f>
        <v>46139</v>
      </c>
      <c r="H54" s="4" t="str">
        <f>IFERROR(__xludf.DUMMYFUNCTION("""COMPUTED_VALUE"""),"cliente responde pelo whatsapp mas tem resistencia em marcar uma agenda pois teve problema com anota aí e nao está muito aberto, vou insistir mais um pouco")</f>
        <v>cliente responde pelo whatsapp mas tem resistencia em marcar uma agenda pois teve problema com anota aí e nao está muito aberto, vou insistir mais um pouco</v>
      </c>
    </row>
    <row r="55">
      <c r="A55" s="4" t="str">
        <f>IFERROR(__xludf.DUMMYFUNCTION("""COMPUTED_VALUE"""),"NAKAYOSHI RIBEIRAO PRETO")</f>
        <v>NAKAYOSHI RIBEIRAO PRETO</v>
      </c>
      <c r="B55" s="4" t="str">
        <f>IFERROR(__xludf.DUMMYFUNCTION("""COMPUTED_VALUE"""),"João Biagiotti")</f>
        <v>João Biagiotti</v>
      </c>
      <c r="C55" s="4" t="str">
        <f>IFERROR(__xludf.DUMMYFUNCTION("""COMPUTED_VALUE"""),"Diego Santos")</f>
        <v>Diego Santos</v>
      </c>
      <c r="D55" s="4" t="str">
        <f>IFERROR(__xludf.DUMMYFUNCTION("""COMPUTED_VALUE"""),"5. Demo/Showroom")</f>
        <v>5. Demo/Showroom</v>
      </c>
      <c r="E55" s="4" t="str">
        <f>IFERROR(__xludf.DUMMYFUNCTION("""COMPUTED_VALUE"""),"Comercial - Primeira reunião / Visita presencial agendada")</f>
        <v>Comercial - Primeira reunião / Visita presencial agendada</v>
      </c>
      <c r="F55" s="4" t="str">
        <f>IFERROR(__xludf.DUMMYFUNCTION("""COMPUTED_VALUE"""),"P")</f>
        <v>P</v>
      </c>
      <c r="G55" s="10">
        <f>IFERROR(__xludf.DUMMYFUNCTION("""COMPUTED_VALUE"""),46153.0)</f>
        <v>46153</v>
      </c>
      <c r="H55" s="4" t="str">
        <f>IFERROR(__xludf.DUMMYFUNCTION("""COMPUTED_VALUE"""),"Foi realizada a reunião com a marca, parceiro tem muita adesao a 3S e Comer Fora, marcamos uma segunda agenda para realizar a demonstração do sistema")</f>
        <v>Foi realizada a reunião com a marca, parceiro tem muita adesao a 3S e Comer Fora, marcamos uma segunda agenda para realizar a demonstração do sistema</v>
      </c>
    </row>
    <row r="56">
      <c r="A56" s="4" t="str">
        <f>IFERROR(__xludf.DUMMYFUNCTION("""COMPUTED_VALUE"""),"NARA LAMEN")</f>
        <v>NARA LAMEN</v>
      </c>
      <c r="B56" s="4" t="str">
        <f>IFERROR(__xludf.DUMMYFUNCTION("""COMPUTED_VALUE"""),"João Biagiotti")</f>
        <v>João Biagiotti</v>
      </c>
      <c r="C56" s="4" t="str">
        <f>IFERROR(__xludf.DUMMYFUNCTION("""COMPUTED_VALUE"""),"Diego Santos")</f>
        <v>Diego Santos</v>
      </c>
      <c r="D56" s="4" t="str">
        <f>IFERROR(__xludf.DUMMYFUNCTION("""COMPUTED_VALUE"""),"11. Stand by")</f>
        <v>11. Stand by</v>
      </c>
      <c r="E56" s="4" t="str">
        <f>IFERROR(__xludf.DUMMYFUNCTION("""COMPUTED_VALUE"""),"Comercial - Primeira reunião / Visita presencial agendada")</f>
        <v>Comercial - Primeira reunião / Visita presencial agendada</v>
      </c>
      <c r="F56" s="4" t="str">
        <f>IFERROR(__xludf.DUMMYFUNCTION("""COMPUTED_VALUE"""),"P")</f>
        <v>P</v>
      </c>
      <c r="G56" s="5">
        <f>IFERROR(__xludf.DUMMYFUNCTION("""COMPUTED_VALUE"""),46135.0)</f>
        <v>46135</v>
      </c>
      <c r="H56" s="4" t="str">
        <f>IFERROR(__xludf.DUMMYFUNCTION("""COMPUTED_VALUE"""),"Foi realizado a reuniao com a Marca, acabaram de mudar para a Ecletica e estao com integração de CRM com a Olga, demonstraram interesse mas no momento nao pensam em mudar de CRM, manter contato")</f>
        <v>Foi realizado a reuniao com a Marca, acabaram de mudar para a Ecletica e estao com integração de CRM com a Olga, demonstraram interesse mas no momento nao pensam em mudar de CRM, manter contato</v>
      </c>
    </row>
    <row r="57">
      <c r="A57" s="4" t="str">
        <f>IFERROR(__xludf.DUMMYFUNCTION("""COMPUTED_VALUE"""),"O NOSSO CHURRASQUETO")</f>
        <v>O NOSSO CHURRASQUETO</v>
      </c>
      <c r="B57" s="4" t="str">
        <f>IFERROR(__xludf.DUMMYFUNCTION("""COMPUTED_VALUE"""),"Lídia Esteves")</f>
        <v>Lídia Esteves</v>
      </c>
      <c r="C57" s="4" t="str">
        <f>IFERROR(__xludf.DUMMYFUNCTION("""COMPUTED_VALUE"""),"Gabriela Roma")</f>
        <v>Gabriela Roma</v>
      </c>
      <c r="D57" s="4" t="str">
        <f>IFERROR(__xludf.DUMMYFUNCTION("""COMPUTED_VALUE"""),"1. Iniciado")</f>
        <v>1. Iniciado</v>
      </c>
      <c r="E57" s="4" t="str">
        <f>IFERROR(__xludf.DUMMYFUNCTION("""COMPUTED_VALUE"""),"Delivery - Aguardando retorno / Conciliação agenda")</f>
        <v>Delivery - Aguardando retorno / Conciliação agenda</v>
      </c>
      <c r="F57" s="4" t="str">
        <f>IFERROR(__xludf.DUMMYFUNCTION("""COMPUTED_VALUE"""),"P")</f>
        <v>P</v>
      </c>
      <c r="G57" s="4"/>
      <c r="H57" s="4"/>
    </row>
    <row r="58">
      <c r="A58" s="4" t="str">
        <f>IFERROR(__xludf.DUMMYFUNCTION("""COMPUTED_VALUE"""),"OFICINA DAS PIZZAS")</f>
        <v>OFICINA DAS PIZZAS</v>
      </c>
      <c r="B58" s="4" t="str">
        <f>IFERROR(__xludf.DUMMYFUNCTION("""COMPUTED_VALUE"""),"Lídia Esteves")</f>
        <v>Lídia Esteves</v>
      </c>
      <c r="C58" s="4" t="str">
        <f>IFERROR(__xludf.DUMMYFUNCTION("""COMPUTED_VALUE"""),"Gabriela Roma")</f>
        <v>Gabriela Roma</v>
      </c>
      <c r="D58" s="4" t="str">
        <f>IFERROR(__xludf.DUMMYFUNCTION("""COMPUTED_VALUE"""),"1. Iniciado")</f>
        <v>1. Iniciado</v>
      </c>
      <c r="E58" s="4" t="str">
        <f>IFERROR(__xludf.DUMMYFUNCTION("""COMPUTED_VALUE"""),"Delivery - Aguardando retorno executivo")</f>
        <v>Delivery - Aguardando retorno executivo</v>
      </c>
      <c r="F58" s="4" t="str">
        <f>IFERROR(__xludf.DUMMYFUNCTION("""COMPUTED_VALUE"""),"P")</f>
        <v>P</v>
      </c>
      <c r="G58" s="5">
        <f>IFERROR(__xludf.DUMMYFUNCTION("""COMPUTED_VALUE"""),46156.0)</f>
        <v>46156</v>
      </c>
      <c r="H58" s="4" t="str">
        <f>IFERROR(__xludf.DUMMYFUNCTION("""COMPUTED_VALUE"""),"tentativa de agenda")</f>
        <v>tentativa de agenda</v>
      </c>
    </row>
    <row r="59">
      <c r="A59" s="4" t="str">
        <f>IFERROR(__xludf.DUMMYFUNCTION("""COMPUTED_VALUE"""),"ORC BURGER JAU")</f>
        <v>ORC BURGER JAU</v>
      </c>
      <c r="B59" s="4" t="str">
        <f>IFERROR(__xludf.DUMMYFUNCTION("""COMPUTED_VALUE"""),"João Biagiotti")</f>
        <v>João Biagiotti</v>
      </c>
      <c r="C59" s="4" t="str">
        <f>IFERROR(__xludf.DUMMYFUNCTION("""COMPUTED_VALUE"""),"Diego Santos")</f>
        <v>Diego Santos</v>
      </c>
      <c r="D59" s="4" t="str">
        <f>IFERROR(__xludf.DUMMYFUNCTION("""COMPUTED_VALUE"""),"2. Primeiro Contato com a marca")</f>
        <v>2. Primeiro Contato com a marca</v>
      </c>
      <c r="E59" s="4" t="str">
        <f>IFERROR(__xludf.DUMMYFUNCTION("""COMPUTED_VALUE"""),"Parceiro - Aguardando retorno parceiro")</f>
        <v>Parceiro - Aguardando retorno parceiro</v>
      </c>
      <c r="F59" s="4" t="str">
        <f>IFERROR(__xludf.DUMMYFUNCTION("""COMPUTED_VALUE"""),"P")</f>
        <v>P</v>
      </c>
      <c r="G59" s="5">
        <f>IFERROR(__xludf.DUMMYFUNCTION("""COMPUTED_VALUE"""),46135.0)</f>
        <v>46135</v>
      </c>
      <c r="H59" s="4" t="str">
        <f>IFERROR(__xludf.DUMMYFUNCTION("""COMPUTED_VALUE"""),"FUP - Aguardando retorno do parceiro")</f>
        <v>FUP - Aguardando retorno do parceiro</v>
      </c>
    </row>
    <row r="60">
      <c r="A60" s="4" t="str">
        <f>IFERROR(__xludf.DUMMYFUNCTION("""COMPUTED_VALUE"""),"PANELAO DO NORTE")</f>
        <v>PANELAO DO NORTE</v>
      </c>
      <c r="B60" s="4" t="str">
        <f>IFERROR(__xludf.DUMMYFUNCTION("""COMPUTED_VALUE"""),"João Biagiotti")</f>
        <v>João Biagiotti</v>
      </c>
      <c r="C60" s="4" t="str">
        <f>IFERROR(__xludf.DUMMYFUNCTION("""COMPUTED_VALUE"""),"Diego Santos")</f>
        <v>Diego Santos</v>
      </c>
      <c r="D60" s="4" t="str">
        <f>IFERROR(__xludf.DUMMYFUNCTION("""COMPUTED_VALUE"""),"10. Perdido")</f>
        <v>10. Perdido</v>
      </c>
      <c r="E60" s="4" t="str">
        <f>IFERROR(__xludf.DUMMYFUNCTION("""COMPUTED_VALUE"""),"Perdido - Outro (detalhar ao lado)")</f>
        <v>Perdido - Outro (detalhar ao lado)</v>
      </c>
      <c r="F60" s="4" t="str">
        <f>IFERROR(__xludf.DUMMYFUNCTION("""COMPUTED_VALUE"""),"P")</f>
        <v>P</v>
      </c>
      <c r="G60" s="5">
        <f>IFERROR(__xludf.DUMMYFUNCTION("""COMPUTED_VALUE"""),46120.0)</f>
        <v>46120</v>
      </c>
      <c r="H60" s="4" t="str">
        <f>IFERROR(__xludf.DUMMYFUNCTION("""COMPUTED_VALUE"""),"Erika informou que a marca possui 3 lojas fisicas e esta abrindo 2 DK, nas lojas fisicas acabaram de fechar colibri e nas DK estão em negociação com a SAIPOS ")</f>
        <v>Erika informou que a marca possui 3 lojas fisicas e esta abrindo 2 DK, nas lojas fisicas acabaram de fechar colibri e nas DK estão em negociação com a SAIPOS </v>
      </c>
    </row>
    <row r="61">
      <c r="A61" s="4" t="str">
        <f>IFERROR(__xludf.DUMMYFUNCTION("""COMPUTED_VALUE"""),"PAPPARELLA PIZZARIA")</f>
        <v>PAPPARELLA PIZZARIA</v>
      </c>
      <c r="B61" s="4" t="str">
        <f>IFERROR(__xludf.DUMMYFUNCTION("""COMPUTED_VALUE"""),"Lídia Esteves")</f>
        <v>Lídia Esteves</v>
      </c>
      <c r="C61" s="4" t="str">
        <f>IFERROR(__xludf.DUMMYFUNCTION("""COMPUTED_VALUE"""),"Gabriela Roma")</f>
        <v>Gabriela Roma</v>
      </c>
      <c r="D61" s="4" t="str">
        <f>IFERROR(__xludf.DUMMYFUNCTION("""COMPUTED_VALUE"""),"11. Stand by")</f>
        <v>11. Stand by</v>
      </c>
      <c r="E61" s="4" t="str">
        <f>IFERROR(__xludf.DUMMYFUNCTION("""COMPUTED_VALUE"""),"Parceiro - Aguardando retorno parceiro")</f>
        <v>Parceiro - Aguardando retorno parceiro</v>
      </c>
      <c r="F61" s="4" t="str">
        <f>IFERROR(__xludf.DUMMYFUNCTION("""COMPUTED_VALUE"""),"P")</f>
        <v>P</v>
      </c>
      <c r="G61" s="5">
        <f>IFERROR(__xludf.DUMMYFUNCTION("""COMPUTED_VALUE"""),46154.0)</f>
        <v>46154</v>
      </c>
      <c r="H61" s="4" t="str">
        <f>IFERROR(__xludf.DUMMYFUNCTION("""COMPUTED_VALUE"""),"Parceiro mora fora do Brasil e tem uma loja em Miami, se interessou no nosso pdv mas não teve interesse em mudar no momento, disse que por não estar no BR é uma mudança muito dificil.")</f>
        <v>Parceiro mora fora do Brasil e tem uma loja em Miami, se interessou no nosso pdv mas não teve interesse em mudar no momento, disse que por não estar no BR é uma mudança muito dificil.</v>
      </c>
    </row>
    <row r="62">
      <c r="A62" s="4" t="str">
        <f>IFERROR(__xludf.DUMMYFUNCTION("""COMPUTED_VALUE"""),"PATI POKE POKE")</f>
        <v>PATI POKE POKE</v>
      </c>
      <c r="B62" s="4" t="str">
        <f>IFERROR(__xludf.DUMMYFUNCTION("""COMPUTED_VALUE"""),"Lídia Esteves")</f>
        <v>Lídia Esteves</v>
      </c>
      <c r="C62" s="4" t="str">
        <f>IFERROR(__xludf.DUMMYFUNCTION("""COMPUTED_VALUE"""),"Gabriela Roma")</f>
        <v>Gabriela Roma</v>
      </c>
      <c r="D62" s="4" t="str">
        <f>IFERROR(__xludf.DUMMYFUNCTION("""COMPUTED_VALUE"""),"1. Iniciado")</f>
        <v>1. Iniciado</v>
      </c>
      <c r="E62" s="4" t="str">
        <f>IFERROR(__xludf.DUMMYFUNCTION("""COMPUTED_VALUE"""),"Delivery - Aguardando retorno / Conciliação agenda")</f>
        <v>Delivery - Aguardando retorno / Conciliação agenda</v>
      </c>
      <c r="F62" s="4" t="str">
        <f>IFERROR(__xludf.DUMMYFUNCTION("""COMPUTED_VALUE"""),"P")</f>
        <v>P</v>
      </c>
      <c r="G62" s="4"/>
      <c r="H62" s="4"/>
    </row>
    <row r="63">
      <c r="A63" s="4" t="str">
        <f>IFERROR(__xludf.DUMMYFUNCTION("""COMPUTED_VALUE"""),"Grupo Pecora")</f>
        <v>Grupo Pecora</v>
      </c>
      <c r="B63" s="4" t="str">
        <f>IFERROR(__xludf.DUMMYFUNCTION("""COMPUTED_VALUE"""),"João Biagiotti")</f>
        <v>João Biagiotti</v>
      </c>
      <c r="C63" s="4" t="str">
        <f>IFERROR(__xludf.DUMMYFUNCTION("""COMPUTED_VALUE"""),"Diego Santos")</f>
        <v>Diego Santos</v>
      </c>
      <c r="D63" s="4" t="str">
        <f>IFERROR(__xludf.DUMMYFUNCTION("""COMPUTED_VALUE"""),"6. Negociação")</f>
        <v>6. Negociação</v>
      </c>
      <c r="E63" s="4" t="str">
        <f>IFERROR(__xludf.DUMMYFUNCTION("""COMPUTED_VALUE"""),"Pré-vendas - Demonstração / Showroom")</f>
        <v>Pré-vendas - Demonstração / Showroom</v>
      </c>
      <c r="F63" s="4" t="str">
        <f>IFERROR(__xludf.DUMMYFUNCTION("""COMPUTED_VALUE"""),"P")</f>
        <v>P</v>
      </c>
      <c r="G63" s="5">
        <f>IFERROR(__xludf.DUMMYFUNCTION("""COMPUTED_VALUE"""),46157.0)</f>
        <v>46157</v>
      </c>
      <c r="H63" s="4" t="str">
        <f>IFERROR(__xludf.DUMMYFUNCTION("""COMPUTED_VALUE"""),"Envio de proposta comercial/Alinhamentos pré vendas")</f>
        <v>Envio de proposta comercial/Alinhamentos pré vendas</v>
      </c>
    </row>
    <row r="64">
      <c r="A64" s="4" t="str">
        <f>IFERROR(__xludf.DUMMYFUNCTION("""COMPUTED_VALUE"""),"PICANHARIA DOS AMIGOS")</f>
        <v>PICANHARIA DOS AMIGOS</v>
      </c>
      <c r="B64" s="4" t="str">
        <f>IFERROR(__xludf.DUMMYFUNCTION("""COMPUTED_VALUE"""),"João Biagiotti")</f>
        <v>João Biagiotti</v>
      </c>
      <c r="C64" s="4" t="str">
        <f>IFERROR(__xludf.DUMMYFUNCTION("""COMPUTED_VALUE"""),"Diego Santos")</f>
        <v>Diego Santos</v>
      </c>
      <c r="D64" s="4" t="str">
        <f>IFERROR(__xludf.DUMMYFUNCTION("""COMPUTED_VALUE"""),"10. Perdido")</f>
        <v>10. Perdido</v>
      </c>
      <c r="E64" s="4" t="str">
        <f>IFERROR(__xludf.DUMMYFUNCTION("""COMPUTED_VALUE"""),"Perdido -  Momento do restaurante não favorável")</f>
        <v>Perdido -  Momento do restaurante não favorável</v>
      </c>
      <c r="F64" s="4" t="str">
        <f>IFERROR(__xludf.DUMMYFUNCTION("""COMPUTED_VALUE"""),"P")</f>
        <v>P</v>
      </c>
      <c r="G64" s="5">
        <f>IFERROR(__xludf.DUMMYFUNCTION("""COMPUTED_VALUE"""),46121.0)</f>
        <v>46121</v>
      </c>
      <c r="H64" s="4" t="str">
        <f>IFERROR(__xludf.DUMMYFUNCTION("""COMPUTED_VALUE"""),"Foi apresentado a área de salão e a solução 3S, parceiro informou que nao possui interesse em mudança de PDV no momento, parceiro esta com um atrito com delivery")</f>
        <v>Foi apresentado a área de salão e a solução 3S, parceiro informou que nao possui interesse em mudança de PDV no momento, parceiro esta com um atrito com delivery</v>
      </c>
    </row>
    <row r="65">
      <c r="A65" s="4" t="str">
        <f>IFERROR(__xludf.DUMMYFUNCTION("""COMPUTED_VALUE"""),"PIZZA SCUOLA")</f>
        <v>PIZZA SCUOLA</v>
      </c>
      <c r="B65" s="4" t="str">
        <f>IFERROR(__xludf.DUMMYFUNCTION("""COMPUTED_VALUE"""),"João Biagiotti")</f>
        <v>João Biagiotti</v>
      </c>
      <c r="C65" s="4" t="str">
        <f>IFERROR(__xludf.DUMMYFUNCTION("""COMPUTED_VALUE"""),"Diego Santos")</f>
        <v>Diego Santos</v>
      </c>
      <c r="D65" s="4" t="str">
        <f>IFERROR(__xludf.DUMMYFUNCTION("""COMPUTED_VALUE"""),"1. Iniciado")</f>
        <v>1. Iniciado</v>
      </c>
      <c r="E65" s="4" t="str">
        <f>IFERROR(__xludf.DUMMYFUNCTION("""COMPUTED_VALUE"""),"Delivery - Conciliação agenda com parceiro")</f>
        <v>Delivery - Conciliação agenda com parceiro</v>
      </c>
      <c r="F65" s="4" t="str">
        <f>IFERROR(__xludf.DUMMYFUNCTION("""COMPUTED_VALUE"""),"P")</f>
        <v>P</v>
      </c>
      <c r="G65" s="5">
        <f>IFERROR(__xludf.DUMMYFUNCTION("""COMPUTED_VALUE"""),46125.0)</f>
        <v>46125</v>
      </c>
      <c r="H65" s="4" t="str">
        <f>IFERROR(__xludf.DUMMYFUNCTION("""COMPUTED_VALUE"""),"Delivery estã verificando a possibilidade de uma agenda")</f>
        <v>Delivery estã verificando a possibilidade de uma agenda</v>
      </c>
    </row>
    <row r="66">
      <c r="A66" s="4" t="str">
        <f>IFERROR(__xludf.DUMMYFUNCTION("""COMPUTED_VALUE"""),"PLANALTO DO CHOPP")</f>
        <v>PLANALTO DO CHOPP</v>
      </c>
      <c r="B66" s="4" t="str">
        <f>IFERROR(__xludf.DUMMYFUNCTION("""COMPUTED_VALUE"""),"Lídia Esteves")</f>
        <v>Lídia Esteves</v>
      </c>
      <c r="C66" s="4" t="str">
        <f>IFERROR(__xludf.DUMMYFUNCTION("""COMPUTED_VALUE"""),"Gabriela Roma")</f>
        <v>Gabriela Roma</v>
      </c>
      <c r="D66" s="4" t="str">
        <f>IFERROR(__xludf.DUMMYFUNCTION("""COMPUTED_VALUE"""),"1. Iniciado")</f>
        <v>1. Iniciado</v>
      </c>
      <c r="E66" s="4" t="str">
        <f>IFERROR(__xludf.DUMMYFUNCTION("""COMPUTED_VALUE"""),"Delivery - Aguardando retorno / Conciliação agenda")</f>
        <v>Delivery - Aguardando retorno / Conciliação agenda</v>
      </c>
      <c r="F66" s="4" t="str">
        <f>IFERROR(__xludf.DUMMYFUNCTION("""COMPUTED_VALUE"""),"P")</f>
        <v>P</v>
      </c>
      <c r="G66" s="4"/>
      <c r="H66" s="4"/>
    </row>
    <row r="67">
      <c r="A67" s="4" t="str">
        <f>IFERROR(__xludf.DUMMYFUNCTION("""COMPUTED_VALUE"""),"RED BURGER")</f>
        <v>RED BURGER</v>
      </c>
      <c r="B67" s="4" t="str">
        <f>IFERROR(__xludf.DUMMYFUNCTION("""COMPUTED_VALUE"""),"João Biagiotti")</f>
        <v>João Biagiotti</v>
      </c>
      <c r="C67" s="4" t="str">
        <f>IFERROR(__xludf.DUMMYFUNCTION("""COMPUTED_VALUE"""),"Diego Santos")</f>
        <v>Diego Santos</v>
      </c>
      <c r="D67" s="4" t="str">
        <f>IFERROR(__xludf.DUMMYFUNCTION("""COMPUTED_VALUE"""),"1. Iniciado")</f>
        <v>1. Iniciado</v>
      </c>
      <c r="E67" s="4" t="str">
        <f>IFERROR(__xludf.DUMMYFUNCTION("""COMPUTED_VALUE"""),"Delivery - Aguardando retorno executivo")</f>
        <v>Delivery - Aguardando retorno executivo</v>
      </c>
      <c r="F67" s="4" t="str">
        <f>IFERROR(__xludf.DUMMYFUNCTION("""COMPUTED_VALUE"""),"P")</f>
        <v>P</v>
      </c>
      <c r="G67" s="5">
        <f>IFERROR(__xludf.DUMMYFUNCTION("""COMPUTED_VALUE"""),46134.0)</f>
        <v>46134</v>
      </c>
      <c r="H67" s="4" t="str">
        <f>IFERROR(__xludf.DUMMYFUNCTION("""COMPUTED_VALUE"""),"Foi enviado mensagem para o executivo e coordenadora, aguardando retorno")</f>
        <v>Foi enviado mensagem para o executivo e coordenadora, aguardando retorno</v>
      </c>
    </row>
    <row r="68">
      <c r="A68" s="4" t="str">
        <f>IFERROR(__xludf.DUMMYFUNCTION("""COMPUTED_VALUE"""),"REDE GOURMET")</f>
        <v>REDE GOURMET</v>
      </c>
      <c r="B68" s="4" t="str">
        <f>IFERROR(__xludf.DUMMYFUNCTION("""COMPUTED_VALUE"""),"João Biagiotti")</f>
        <v>João Biagiotti</v>
      </c>
      <c r="C68" s="4" t="str">
        <f>IFERROR(__xludf.DUMMYFUNCTION("""COMPUTED_VALUE"""),"Diego Santos")</f>
        <v>Diego Santos</v>
      </c>
      <c r="D68" s="4" t="str">
        <f>IFERROR(__xludf.DUMMYFUNCTION("""COMPUTED_VALUE"""),"1. Iniciado")</f>
        <v>1. Iniciado</v>
      </c>
      <c r="E68" s="4" t="str">
        <f>IFERROR(__xludf.DUMMYFUNCTION("""COMPUTED_VALUE"""),"Delivery - Conciliação agenda com parceiro")</f>
        <v>Delivery - Conciliação agenda com parceiro</v>
      </c>
      <c r="F68" s="4" t="str">
        <f>IFERROR(__xludf.DUMMYFUNCTION("""COMPUTED_VALUE"""),"P")</f>
        <v>P</v>
      </c>
      <c r="G68" s="5">
        <f>IFERROR(__xludf.DUMMYFUNCTION("""COMPUTED_VALUE"""),46125.0)</f>
        <v>46125</v>
      </c>
      <c r="H68" s="4" t="str">
        <f>IFERROR(__xludf.DUMMYFUNCTION("""COMPUTED_VALUE"""),"Faz sentido 3S, aguardando delivery agendar uma reunião")</f>
        <v>Faz sentido 3S, aguardando delivery agendar uma reunião</v>
      </c>
    </row>
    <row r="69">
      <c r="A69" s="4" t="str">
        <f>IFERROR(__xludf.DUMMYFUNCTION("""COMPUTED_VALUE"""),"RINCONCITO PERUANO")</f>
        <v>RINCONCITO PERUANO</v>
      </c>
      <c r="B69" s="4" t="str">
        <f>IFERROR(__xludf.DUMMYFUNCTION("""COMPUTED_VALUE"""),"Lídia Esteves")</f>
        <v>Lídia Esteves</v>
      </c>
      <c r="C69" s="4" t="str">
        <f>IFERROR(__xludf.DUMMYFUNCTION("""COMPUTED_VALUE"""),"Gabriela Roma")</f>
        <v>Gabriela Roma</v>
      </c>
      <c r="D69" s="4" t="str">
        <f>IFERROR(__xludf.DUMMYFUNCTION("""COMPUTED_VALUE"""),"1. Iniciado")</f>
        <v>1. Iniciado</v>
      </c>
      <c r="E69" s="4" t="str">
        <f>IFERROR(__xludf.DUMMYFUNCTION("""COMPUTED_VALUE"""),"Delivery - Aguardando retorno / Conciliação agenda")</f>
        <v>Delivery - Aguardando retorno / Conciliação agenda</v>
      </c>
      <c r="F69" s="4" t="str">
        <f>IFERROR(__xludf.DUMMYFUNCTION("""COMPUTED_VALUE"""),"P")</f>
        <v>P</v>
      </c>
      <c r="G69" s="4"/>
      <c r="H69" s="4"/>
    </row>
    <row r="70">
      <c r="A70" s="4" t="str">
        <f>IFERROR(__xludf.DUMMYFUNCTION("""COMPUTED_VALUE"""),"ROYAL PARMA DELIVERY")</f>
        <v>ROYAL PARMA DELIVERY</v>
      </c>
      <c r="B70" s="4" t="str">
        <f>IFERROR(__xludf.DUMMYFUNCTION("""COMPUTED_VALUE"""),"João Biagiotti")</f>
        <v>João Biagiotti</v>
      </c>
      <c r="C70" s="4" t="str">
        <f>IFERROR(__xludf.DUMMYFUNCTION("""COMPUTED_VALUE"""),"Diego Santos")</f>
        <v>Diego Santos</v>
      </c>
      <c r="D70" s="4" t="str">
        <f>IFERROR(__xludf.DUMMYFUNCTION("""COMPUTED_VALUE"""),"10. Perdido")</f>
        <v>10. Perdido</v>
      </c>
      <c r="E70" s="4" t="str">
        <f>IFERROR(__xludf.DUMMYFUNCTION("""COMPUTED_VALUE"""),"Perdido - Outro (detalhar ao lado)")</f>
        <v>Perdido - Outro (detalhar ao lado)</v>
      </c>
      <c r="F70" s="4" t="str">
        <f>IFERROR(__xludf.DUMMYFUNCTION("""COMPUTED_VALUE"""),"M")</f>
        <v>M</v>
      </c>
      <c r="G70" s="5">
        <f>IFERROR(__xludf.DUMMYFUNCTION("""COMPUTED_VALUE"""),46120.0)</f>
        <v>46120</v>
      </c>
      <c r="H70" s="4" t="str">
        <f>IFERROR(__xludf.DUMMYFUNCTION("""COMPUTED_VALUE"""),"Negociação com SAIPOS")</f>
        <v>Negociação com SAIPOS</v>
      </c>
    </row>
    <row r="71">
      <c r="A71" s="4" t="str">
        <f>IFERROR(__xludf.DUMMYFUNCTION("""COMPUTED_VALUE"""),"SEUBURGER")</f>
        <v>SEUBURGER</v>
      </c>
      <c r="B71" s="4" t="str">
        <f>IFERROR(__xludf.DUMMYFUNCTION("""COMPUTED_VALUE"""),"João Biagiotti")</f>
        <v>João Biagiotti</v>
      </c>
      <c r="C71" s="4" t="str">
        <f>IFERROR(__xludf.DUMMYFUNCTION("""COMPUTED_VALUE"""),"Diego Santos")</f>
        <v>Diego Santos</v>
      </c>
      <c r="D71" s="4" t="str">
        <f>IFERROR(__xludf.DUMMYFUNCTION("""COMPUTED_VALUE"""),"10. Perdido")</f>
        <v>10. Perdido</v>
      </c>
      <c r="E71" s="4" t="str">
        <f>IFERROR(__xludf.DUMMYFUNCTION("""COMPUTED_VALUE"""),"Perdido - Fechou com concorrente")</f>
        <v>Perdido - Fechou com concorrente</v>
      </c>
      <c r="F71" s="4" t="str">
        <f>IFERROR(__xludf.DUMMYFUNCTION("""COMPUTED_VALUE"""),"P")</f>
        <v>P</v>
      </c>
      <c r="G71" s="5">
        <f>IFERROR(__xludf.DUMMYFUNCTION("""COMPUTED_VALUE"""),46125.0)</f>
        <v>46125</v>
      </c>
      <c r="H71" s="4" t="str">
        <f>IFERROR(__xludf.DUMMYFUNCTION("""COMPUTED_VALUE"""),"Time de delivery informou que a marca alterou o PDV recentemente, dificilmente iremos conseguir abertura")</f>
        <v>Time de delivery informou que a marca alterou o PDV recentemente, dificilmente iremos conseguir abertura</v>
      </c>
    </row>
    <row r="72">
      <c r="A72" s="4" t="str">
        <f>IFERROR(__xludf.DUMMYFUNCTION("""COMPUTED_VALUE"""),"Sodiê")</f>
        <v>Sodiê</v>
      </c>
      <c r="B72" s="4" t="str">
        <f>IFERROR(__xludf.DUMMYFUNCTION("""COMPUTED_VALUE"""),"Emerson")</f>
        <v>Emerson</v>
      </c>
      <c r="C72" s="4" t="str">
        <f>IFERROR(__xludf.DUMMYFUNCTION("""COMPUTED_VALUE"""),"Emerson")</f>
        <v>Emerson</v>
      </c>
      <c r="D72" s="4" t="str">
        <f>IFERROR(__xludf.DUMMYFUNCTION("""COMPUTED_VALUE"""),"11. Stand by")</f>
        <v>11. Stand by</v>
      </c>
      <c r="E72" s="4" t="str">
        <f>IFERROR(__xludf.DUMMYFUNCTION("""COMPUTED_VALUE"""),"Perdido - Fechou com concorrente")</f>
        <v>Perdido - Fechou com concorrente</v>
      </c>
      <c r="F72" s="4" t="str">
        <f>IFERROR(__xludf.DUMMYFUNCTION("""COMPUTED_VALUE"""),"G")</f>
        <v>G</v>
      </c>
      <c r="G72" s="5">
        <f>IFERROR(__xludf.DUMMYFUNCTION("""COMPUTED_VALUE"""),46111.0)</f>
        <v>46111</v>
      </c>
      <c r="H72" s="4" t="str">
        <f>IFERROR(__xludf.DUMMYFUNCTION("""COMPUTED_VALUE"""),"Parceiro não está contemplando fazer troca de PDV no momento, investir com CRM e abordar novamente no futuro")</f>
        <v>Parceiro não está contemplando fazer troca de PDV no momento, investir com CRM e abordar novamente no futuro</v>
      </c>
    </row>
    <row r="73">
      <c r="A73" s="4" t="str">
        <f>IFERROR(__xludf.DUMMYFUNCTION("""COMPUTED_VALUE"""),"TUBA PIZZA - CONTA PAI")</f>
        <v>TUBA PIZZA - CONTA PAI</v>
      </c>
      <c r="B73" s="4" t="str">
        <f>IFERROR(__xludf.DUMMYFUNCTION("""COMPUTED_VALUE"""),"Lídia Esteves")</f>
        <v>Lídia Esteves</v>
      </c>
      <c r="C73" s="4" t="str">
        <f>IFERROR(__xludf.DUMMYFUNCTION("""COMPUTED_VALUE"""),"Gabriela Roma")</f>
        <v>Gabriela Roma</v>
      </c>
      <c r="D73" s="4" t="str">
        <f>IFERROR(__xludf.DUMMYFUNCTION("""COMPUTED_VALUE"""),"10. Perdido")</f>
        <v>10. Perdido</v>
      </c>
      <c r="E73" s="4" t="str">
        <f>IFERROR(__xludf.DUMMYFUNCTION("""COMPUTED_VALUE"""),"Delivery - Aguardando retorno / Conciliação agenda")</f>
        <v>Delivery - Aguardando retorno / Conciliação agenda</v>
      </c>
      <c r="F73" s="4" t="str">
        <f>IFERROR(__xludf.DUMMYFUNCTION("""COMPUTED_VALUE"""),"P")</f>
        <v>P</v>
      </c>
      <c r="G73" s="4"/>
      <c r="H73" s="4"/>
    </row>
    <row r="74">
      <c r="A74" s="4" t="str">
        <f>IFERROR(__xludf.DUMMYFUNCTION("""COMPUTED_VALUE"""),"ZI TEREZA")</f>
        <v>ZI TEREZA</v>
      </c>
      <c r="B74" s="4" t="str">
        <f>IFERROR(__xludf.DUMMYFUNCTION("""COMPUTED_VALUE"""),"Lídia Esteves")</f>
        <v>Lídia Esteves</v>
      </c>
      <c r="C74" s="4" t="str">
        <f>IFERROR(__xludf.DUMMYFUNCTION("""COMPUTED_VALUE"""),"Gabriela Roma")</f>
        <v>Gabriela Roma</v>
      </c>
      <c r="D74" s="4" t="str">
        <f>IFERROR(__xludf.DUMMYFUNCTION("""COMPUTED_VALUE"""),"1. Iniciado")</f>
        <v>1. Iniciado</v>
      </c>
      <c r="E74" s="4" t="str">
        <f>IFERROR(__xludf.DUMMYFUNCTION("""COMPUTED_VALUE"""),"Delivery - Aguardando retorno / Conciliação agenda")</f>
        <v>Delivery - Aguardando retorno / Conciliação agenda</v>
      </c>
      <c r="F74" s="4" t="str">
        <f>IFERROR(__xludf.DUMMYFUNCTION("""COMPUTED_VALUE"""),"P")</f>
        <v>P</v>
      </c>
      <c r="G74" s="4"/>
      <c r="H74" s="4"/>
    </row>
    <row r="75">
      <c r="A75" s="4" t="str">
        <f>IFERROR(__xludf.DUMMYFUNCTION("""COMPUTED_VALUE"""),"Adolpho Assador")</f>
        <v>Adolpho Assador</v>
      </c>
      <c r="B75" s="4" t="str">
        <f>IFERROR(__xludf.DUMMYFUNCTION("""COMPUTED_VALUE"""),"Diego Santos")</f>
        <v>Diego Santos</v>
      </c>
      <c r="C75" s="4" t="str">
        <f>IFERROR(__xludf.DUMMYFUNCTION("""COMPUTED_VALUE"""),"Diego Santos")</f>
        <v>Diego Santos</v>
      </c>
      <c r="D75" s="4" t="str">
        <f>IFERROR(__xludf.DUMMYFUNCTION("""COMPUTED_VALUE"""),"9. Contrato assinado")</f>
        <v>9. Contrato assinado</v>
      </c>
      <c r="E75" s="4" t="str">
        <f>IFERROR(__xludf.DUMMYFUNCTION("""COMPUTED_VALUE""")," Projetos - Contrato assinado &amp; Rollout")</f>
        <v> Projetos - Contrato assinado &amp; Rollout</v>
      </c>
      <c r="F75" s="4" t="str">
        <f>IFERROR(__xludf.DUMMYFUNCTION("""COMPUTED_VALUE"""),"P")</f>
        <v>P</v>
      </c>
      <c r="G75" s="5">
        <f>IFERROR(__xludf.DUMMYFUNCTION("""COMPUTED_VALUE"""),46118.0)</f>
        <v>46118</v>
      </c>
      <c r="H75" s="4" t="str">
        <f>IFERROR(__xludf.DUMMYFUNCTION("""COMPUTED_VALUE"""),"Validando pontos técnicos para seguir negociação com o cliente.")</f>
        <v>Validando pontos técnicos para seguir negociação com o cliente.</v>
      </c>
    </row>
    <row r="76">
      <c r="A76" s="4" t="str">
        <f>IFERROR(__xludf.DUMMYFUNCTION("""COMPUTED_VALUE"""),"Adore Brigaderia Gourmet")</f>
        <v>Adore Brigaderia Gourmet</v>
      </c>
      <c r="B76" s="4" t="str">
        <f>IFERROR(__xludf.DUMMYFUNCTION("""COMPUTED_VALUE"""),"Emerson")</f>
        <v>Emerson</v>
      </c>
      <c r="C76" s="4" t="str">
        <f>IFERROR(__xludf.DUMMYFUNCTION("""COMPUTED_VALUE"""),"Emerson")</f>
        <v>Emerson</v>
      </c>
      <c r="D76" s="4" t="str">
        <f>IFERROR(__xludf.DUMMYFUNCTION("""COMPUTED_VALUE"""),"5. Demo/Showroom")</f>
        <v>5. Demo/Showroom</v>
      </c>
      <c r="E76" s="4"/>
      <c r="F76" s="4" t="str">
        <f>IFERROR(__xludf.DUMMYFUNCTION("""COMPUTED_VALUE"""),"P")</f>
        <v>P</v>
      </c>
      <c r="G76" s="5">
        <f>IFERROR(__xludf.DUMMYFUNCTION("""COMPUTED_VALUE"""),46120.0)</f>
        <v>46120</v>
      </c>
      <c r="H76" s="4" t="str">
        <f>IFERROR(__xludf.DUMMYFUNCTION("""COMPUTED_VALUE"""),"Marca com Emerson, sem status. ")</f>
        <v>Marca com Emerson, sem status. </v>
      </c>
    </row>
    <row r="77">
      <c r="A77" s="4" t="str">
        <f>IFERROR(__xludf.DUMMYFUNCTION("""COMPUTED_VALUE"""),"Al Capizza 24H")</f>
        <v>Al Capizza 24H</v>
      </c>
      <c r="B77" s="4" t="str">
        <f>IFERROR(__xludf.DUMMYFUNCTION("""COMPUTED_VALUE"""),"João Biagiotti")</f>
        <v>João Biagiotti</v>
      </c>
      <c r="C77" s="4" t="str">
        <f>IFERROR(__xludf.DUMMYFUNCTION("""COMPUTED_VALUE"""),"Diego Santos")</f>
        <v>Diego Santos</v>
      </c>
      <c r="D77" s="4" t="str">
        <f>IFERROR(__xludf.DUMMYFUNCTION("""COMPUTED_VALUE"""),"2. Primeiro contato com a marca")</f>
        <v>2. Primeiro contato com a marca</v>
      </c>
      <c r="E77" s="4" t="str">
        <f>IFERROR(__xludf.DUMMYFUNCTION("""COMPUTED_VALUE"""),"Delivery - Conciliação agenda com parceiro")</f>
        <v>Delivery - Conciliação agenda com parceiro</v>
      </c>
      <c r="F77" s="4" t="str">
        <f>IFERROR(__xludf.DUMMYFUNCTION("""COMPUTED_VALUE"""),"P")</f>
        <v>P</v>
      </c>
      <c r="G77" s="5">
        <f>IFERROR(__xludf.DUMMYFUNCTION("""COMPUTED_VALUE"""),46084.0)</f>
        <v>46084</v>
      </c>
      <c r="H77" s="4" t="str">
        <f>IFERROR(__xludf.DUMMYFUNCTION("""COMPUTED_VALUE"""),"Agenda ainda travada no delivery, mas executivo se comprometeu em ter agenda de apresentação de salão ainda em março.")</f>
        <v>Agenda ainda travada no delivery, mas executivo se comprometeu em ter agenda de apresentação de salão ainda em março.</v>
      </c>
    </row>
    <row r="78">
      <c r="A78" s="4" t="str">
        <f>IFERROR(__xludf.DUMMYFUNCTION("""COMPUTED_VALUE"""),"Alemao Sp")</f>
        <v>Alemao Sp</v>
      </c>
      <c r="B78" s="4" t="str">
        <f>IFERROR(__xludf.DUMMYFUNCTION("""COMPUTED_VALUE"""),"Lídia Esteves")</f>
        <v>Lídia Esteves</v>
      </c>
      <c r="C78" s="4" t="str">
        <f>IFERROR(__xludf.DUMMYFUNCTION("""COMPUTED_VALUE"""),"Gabriela Roma")</f>
        <v>Gabriela Roma</v>
      </c>
      <c r="D78" s="4" t="str">
        <f>IFERROR(__xludf.DUMMYFUNCTION("""COMPUTED_VALUE"""),"6. Negociação")</f>
        <v>6. Negociação</v>
      </c>
      <c r="E78" s="4" t="str">
        <f>IFERROR(__xludf.DUMMYFUNCTION("""COMPUTED_VALUE"""),"Parceiro - Aguardando retorno parceiro")</f>
        <v>Parceiro - Aguardando retorno parceiro</v>
      </c>
      <c r="F78" s="4" t="str">
        <f>IFERROR(__xludf.DUMMYFUNCTION("""COMPUTED_VALUE"""),"P")</f>
        <v>P</v>
      </c>
      <c r="G78" s="5">
        <f>IFERROR(__xludf.DUMMYFUNCTION("""COMPUTED_VALUE"""),46154.0)</f>
        <v>46154</v>
      </c>
      <c r="H78" s="4" t="str">
        <f>IFERROR(__xludf.DUMMYFUNCTION("""COMPUTED_VALUE"""),"Visita presencial 13/05 para tentar fechar negociação, parceiro muito ruim de retorno.")</f>
        <v>Visita presencial 13/05 para tentar fechar negociação, parceiro muito ruim de retorno.</v>
      </c>
    </row>
    <row r="79">
      <c r="A79" s="4" t="str">
        <f>IFERROR(__xludf.DUMMYFUNCTION("""COMPUTED_VALUE"""),"Alento")</f>
        <v>Alento</v>
      </c>
      <c r="B79" s="4" t="str">
        <f>IFERROR(__xludf.DUMMYFUNCTION("""COMPUTED_VALUE"""),"Lídia Esteves")</f>
        <v>Lídia Esteves</v>
      </c>
      <c r="C79" s="4" t="str">
        <f>IFERROR(__xludf.DUMMYFUNCTION("""COMPUTED_VALUE"""),"Gabriela Roma")</f>
        <v>Gabriela Roma</v>
      </c>
      <c r="D79" s="4" t="str">
        <f>IFERROR(__xludf.DUMMYFUNCTION("""COMPUTED_VALUE"""),"7. Piloto")</f>
        <v>7. Piloto</v>
      </c>
      <c r="E79" s="4" t="str">
        <f>IFERROR(__xludf.DUMMYFUNCTION("""COMPUTED_VALUE"""),"Projetos - Em piloto")</f>
        <v>Projetos - Em piloto</v>
      </c>
      <c r="F79" s="4" t="str">
        <f>IFERROR(__xludf.DUMMYFUNCTION("""COMPUTED_VALUE"""),"M")</f>
        <v>M</v>
      </c>
      <c r="G79" s="5">
        <f>IFERROR(__xludf.DUMMYFUNCTION("""COMPUTED_VALUE"""),46064.0)</f>
        <v>46064</v>
      </c>
      <c r="H79" s="4" t="str">
        <f>IFERROR(__xludf.DUMMYFUNCTION("""COMPUTED_VALUE"""),"Parceiro em laboratório, conduzido pela Rafa")</f>
        <v>Parceiro em laboratório, conduzido pela Rafa</v>
      </c>
    </row>
    <row r="80">
      <c r="A80" s="4" t="str">
        <f>IFERROR(__xludf.DUMMYFUNCTION("""COMPUTED_VALUE"""),"Alife Nino (Grupo Drumattos)")</f>
        <v>Alife Nino (Grupo Drumattos)</v>
      </c>
      <c r="B80" s="4" t="str">
        <f>IFERROR(__xludf.DUMMYFUNCTION("""COMPUTED_VALUE"""),"Leonardo Roso")</f>
        <v>Leonardo Roso</v>
      </c>
      <c r="C80" s="4" t="str">
        <f>IFERROR(__xludf.DUMMYFUNCTION("""COMPUTED_VALUE"""),"Leonardo Roso")</f>
        <v>Leonardo Roso</v>
      </c>
      <c r="D80" s="4" t="str">
        <f>IFERROR(__xludf.DUMMYFUNCTION("""COMPUTED_VALUE"""),"6. Negociação")</f>
        <v>6. Negociação</v>
      </c>
      <c r="E80" s="4" t="str">
        <f>IFERROR(__xludf.DUMMYFUNCTION("""COMPUTED_VALUE"""),"Comercial - Em negociação de proposta")</f>
        <v>Comercial - Em negociação de proposta</v>
      </c>
      <c r="F80" s="4" t="str">
        <f>IFERROR(__xludf.DUMMYFUNCTION("""COMPUTED_VALUE"""),"G")</f>
        <v>G</v>
      </c>
      <c r="G80" s="5">
        <f>IFERROR(__xludf.DUMMYFUNCTION("""COMPUTED_VALUE"""),46154.0)</f>
        <v>46154</v>
      </c>
      <c r="H80" s="4" t="str">
        <f>IFERROR(__xludf.DUMMYFUNCTION("""COMPUTED_VALUE"""),"Samuel Henrique e Eirk Rantin em visita no escritório da Alife, ")</f>
        <v>Samuel Henrique e Eirk Rantin em visita no escritório da Alife, </v>
      </c>
    </row>
    <row r="81">
      <c r="A81" s="4" t="str">
        <f>IFERROR(__xludf.DUMMYFUNCTION("""COMPUTED_VALUE"""),"All Natural")</f>
        <v>All Natural</v>
      </c>
      <c r="B81" s="4" t="str">
        <f>IFERROR(__xludf.DUMMYFUNCTION("""COMPUTED_VALUE"""),"Lídia Esteves")</f>
        <v>Lídia Esteves</v>
      </c>
      <c r="C81" s="4" t="str">
        <f>IFERROR(__xludf.DUMMYFUNCTION("""COMPUTED_VALUE"""),"Gabriela Roma")</f>
        <v>Gabriela Roma</v>
      </c>
      <c r="D81" s="4" t="str">
        <f>IFERROR(__xludf.DUMMYFUNCTION("""COMPUTED_VALUE"""),"3. Apresentação")</f>
        <v>3. Apresentação</v>
      </c>
      <c r="E81" s="4" t="str">
        <f>IFERROR(__xludf.DUMMYFUNCTION("""COMPUTED_VALUE"""),"Comercial - Contato realizado com parceiro")</f>
        <v>Comercial - Contato realizado com parceiro</v>
      </c>
      <c r="F81" s="4" t="str">
        <f>IFERROR(__xludf.DUMMYFUNCTION("""COMPUTED_VALUE"""),"P")</f>
        <v>P</v>
      </c>
      <c r="G81" s="5">
        <f>IFERROR(__xludf.DUMMYFUNCTION("""COMPUTED_VALUE"""),46154.0)</f>
        <v>46154</v>
      </c>
      <c r="H81" s="4" t="str">
        <f>IFERROR(__xludf.DUMMYFUNCTION("""COMPUTED_VALUE"""),"visita presencial para apresentar salão")</f>
        <v>visita presencial para apresentar salão</v>
      </c>
    </row>
    <row r="82">
      <c r="A82" s="4" t="str">
        <f>IFERROR(__xludf.DUMMYFUNCTION("""COMPUTED_VALUE"""),"American Cookies")</f>
        <v>American Cookies</v>
      </c>
      <c r="B82" s="4" t="str">
        <f>IFERROR(__xludf.DUMMYFUNCTION("""COMPUTED_VALUE"""),"Lídia Esteves")</f>
        <v>Lídia Esteves</v>
      </c>
      <c r="C82" s="4" t="str">
        <f>IFERROR(__xludf.DUMMYFUNCTION("""COMPUTED_VALUE"""),"Gabriela Roma")</f>
        <v>Gabriela Roma</v>
      </c>
      <c r="D82" s="4" t="str">
        <f>IFERROR(__xludf.DUMMYFUNCTION("""COMPUTED_VALUE"""),"7. Piloto")</f>
        <v>7. Piloto</v>
      </c>
      <c r="E82" s="4" t="str">
        <f>IFERROR(__xludf.DUMMYFUNCTION("""COMPUTED_VALUE"""),"Projetos - Em piloto")</f>
        <v>Projetos - Em piloto</v>
      </c>
      <c r="F82" s="4" t="str">
        <f>IFERROR(__xludf.DUMMYFUNCTION("""COMPUTED_VALUE"""),"G")</f>
        <v>G</v>
      </c>
      <c r="G82" s="5">
        <f>IFERROR(__xludf.DUMMYFUNCTION("""COMPUTED_VALUE"""),46076.0)</f>
        <v>46076</v>
      </c>
      <c r="H82" s="4" t="str">
        <f>IFERROR(__xludf.DUMMYFUNCTION("""COMPUTED_VALUE"""),"Parceiro pediu para sair do laboratorio e ir para piloto em loja, estamos negociando prazos. Fup 02/03")</f>
        <v>Parceiro pediu para sair do laboratorio e ir para piloto em loja, estamos negociando prazos. Fup 02/03</v>
      </c>
    </row>
    <row r="83">
      <c r="A83" s="4" t="str">
        <f>IFERROR(__xludf.DUMMYFUNCTION("""COMPUTED_VALUE"""),"Amir")</f>
        <v>Amir</v>
      </c>
      <c r="B83" s="4" t="str">
        <f>IFERROR(__xludf.DUMMYFUNCTION("""COMPUTED_VALUE"""),"Lídia Esteves")</f>
        <v>Lídia Esteves</v>
      </c>
      <c r="C83" s="4" t="str">
        <f>IFERROR(__xludf.DUMMYFUNCTION("""COMPUTED_VALUE"""),"Gabriela Roma")</f>
        <v>Gabriela Roma</v>
      </c>
      <c r="D83" s="4" t="str">
        <f>IFERROR(__xludf.DUMMYFUNCTION("""COMPUTED_VALUE"""),"1. Iniciado")</f>
        <v>1. Iniciado</v>
      </c>
      <c r="E83" s="4" t="str">
        <f>IFERROR(__xludf.DUMMYFUNCTION("""COMPUTED_VALUE"""),"Delivery - Conciliação agenda com parceiro")</f>
        <v>Delivery - Conciliação agenda com parceiro</v>
      </c>
      <c r="F83" s="4" t="str">
        <f>IFERROR(__xludf.DUMMYFUNCTION("""COMPUTED_VALUE"""),"P")</f>
        <v>P</v>
      </c>
      <c r="G83" s="5">
        <f>IFERROR(__xludf.DUMMYFUNCTION("""COMPUTED_VALUE"""),46076.0)</f>
        <v>46076</v>
      </c>
      <c r="H83" s="4" t="str">
        <f>IFERROR(__xludf.DUMMYFUNCTION("""COMPUTED_VALUE"""),"Mandei mensagem pelo whats para cliente e pedi apoio do KA Alana, aguardando devolutiva.")</f>
        <v>Mandei mensagem pelo whats para cliente e pedi apoio do KA Alana, aguardando devolutiva.</v>
      </c>
    </row>
    <row r="84">
      <c r="A84" s="4" t="str">
        <f>IFERROR(__xludf.DUMMYFUNCTION("""COMPUTED_VALUE"""),"Andiamo")</f>
        <v>Andiamo</v>
      </c>
      <c r="B84" s="4" t="str">
        <f>IFERROR(__xludf.DUMMYFUNCTION("""COMPUTED_VALUE"""),"João Biagiotti")</f>
        <v>João Biagiotti</v>
      </c>
      <c r="C84" s="4" t="str">
        <f>IFERROR(__xludf.DUMMYFUNCTION("""COMPUTED_VALUE"""),"Diego Santos")</f>
        <v>Diego Santos</v>
      </c>
      <c r="D84" s="4" t="str">
        <f>IFERROR(__xludf.DUMMYFUNCTION("""COMPUTED_VALUE"""),"1. Iniciado")</f>
        <v>1. Iniciado</v>
      </c>
      <c r="E84" s="4" t="str">
        <f>IFERROR(__xludf.DUMMYFUNCTION("""COMPUTED_VALUE"""),"Delivery - Aguardando retorno executivo")</f>
        <v>Delivery - Aguardando retorno executivo</v>
      </c>
      <c r="F84" s="4" t="str">
        <f>IFERROR(__xludf.DUMMYFUNCTION("""COMPUTED_VALUE"""),"P")</f>
        <v>P</v>
      </c>
      <c r="G84" s="5">
        <f>IFERROR(__xludf.DUMMYFUNCTION("""COMPUTED_VALUE"""),46120.0)</f>
        <v>46120</v>
      </c>
      <c r="H84" s="4" t="str">
        <f>IFERROR(__xludf.DUMMYFUNCTION("""COMPUTED_VALUE"""),"Entender com Executivo de delivery se temos oportunidade de agenda com o lead, já veio de outro executivo. ")</f>
        <v>Entender com Executivo de delivery se temos oportunidade de agenda com o lead, já veio de outro executivo. </v>
      </c>
    </row>
    <row r="85">
      <c r="A85" s="4" t="str">
        <f>IFERROR(__xludf.DUMMYFUNCTION("""COMPUTED_VALUE"""),"Bacio Di Latte")</f>
        <v>Bacio Di Latte</v>
      </c>
      <c r="B85" s="4" t="str">
        <f>IFERROR(__xludf.DUMMYFUNCTION("""COMPUTED_VALUE"""),"Leonardo Roso")</f>
        <v>Leonardo Roso</v>
      </c>
      <c r="C85" s="4" t="str">
        <f>IFERROR(__xludf.DUMMYFUNCTION("""COMPUTED_VALUE"""),"Leonardo Roso")</f>
        <v>Leonardo Roso</v>
      </c>
      <c r="D85" s="4" t="str">
        <f>IFERROR(__xludf.DUMMYFUNCTION("""COMPUTED_VALUE"""),"3. Apresentação")</f>
        <v>3. Apresentação</v>
      </c>
      <c r="E85" s="4" t="str">
        <f>IFERROR(__xludf.DUMMYFUNCTION("""COMPUTED_VALUE"""),"Comercial - Contato realizado com parceiro")</f>
        <v>Comercial - Contato realizado com parceiro</v>
      </c>
      <c r="F85" s="4" t="str">
        <f>IFERROR(__xludf.DUMMYFUNCTION("""COMPUTED_VALUE"""),"G")</f>
        <v>G</v>
      </c>
      <c r="G85" s="5">
        <f>IFERROR(__xludf.DUMMYFUNCTION("""COMPUTED_VALUE"""),46117.0)</f>
        <v>46117</v>
      </c>
      <c r="H85" s="4" t="str">
        <f>IFERROR(__xludf.DUMMYFUNCTION("""COMPUTED_VALUE"""),"Piloto de totem recusado, aguardando nova data de agenda para apresentar 3S")</f>
        <v>Piloto de totem recusado, aguardando nova data de agenda para apresentar 3S</v>
      </c>
    </row>
    <row r="86">
      <c r="A86" s="4" t="str">
        <f>IFERROR(__xludf.DUMMYFUNCTION("""COMPUTED_VALUE"""),"Baggio")</f>
        <v>Baggio</v>
      </c>
      <c r="B86" s="4" t="str">
        <f>IFERROR(__xludf.DUMMYFUNCTION("""COMPUTED_VALUE"""),"Lídia Esteves")</f>
        <v>Lídia Esteves</v>
      </c>
      <c r="C86" s="4" t="str">
        <f>IFERROR(__xludf.DUMMYFUNCTION("""COMPUTED_VALUE"""),"Gabriela Roma")</f>
        <v>Gabriela Roma</v>
      </c>
      <c r="D86" s="4" t="str">
        <f>IFERROR(__xludf.DUMMYFUNCTION("""COMPUTED_VALUE"""),"10. Perdido")</f>
        <v>10. Perdido</v>
      </c>
      <c r="E86" s="4"/>
      <c r="F86" s="4" t="str">
        <f>IFERROR(__xludf.DUMMYFUNCTION("""COMPUTED_VALUE"""),"P")</f>
        <v>P</v>
      </c>
      <c r="G86" s="4"/>
      <c r="H86" s="4"/>
    </row>
    <row r="87">
      <c r="A87" s="4" t="str">
        <f>IFERROR(__xludf.DUMMYFUNCTION("""COMPUTED_VALUE"""),"Baked Potato")</f>
        <v>Baked Potato</v>
      </c>
      <c r="B87" s="4" t="str">
        <f>IFERROR(__xludf.DUMMYFUNCTION("""COMPUTED_VALUE"""),"Leonardo Roso")</f>
        <v>Leonardo Roso</v>
      </c>
      <c r="C87" s="4" t="str">
        <f>IFERROR(__xludf.DUMMYFUNCTION("""COMPUTED_VALUE"""),"Leonardo Roso")</f>
        <v>Leonardo Roso</v>
      </c>
      <c r="D87" s="4" t="str">
        <f>IFERROR(__xludf.DUMMYFUNCTION("""COMPUTED_VALUE"""),"11. Stand by")</f>
        <v>11. Stand by</v>
      </c>
      <c r="E87" s="4" t="str">
        <f>IFERROR(__xludf.DUMMYFUNCTION("""COMPUTED_VALUE"""),"Perdido - Proposta comercial não aceita")</f>
        <v>Perdido - Proposta comercial não aceita</v>
      </c>
      <c r="F87" s="4" t="str">
        <f>IFERROR(__xludf.DUMMYFUNCTION("""COMPUTED_VALUE"""),"G")</f>
        <v>G</v>
      </c>
      <c r="G87" s="5">
        <f>IFERROR(__xludf.DUMMYFUNCTION("""COMPUTED_VALUE"""),46154.0)</f>
        <v>46154</v>
      </c>
      <c r="H87" s="4" t="str">
        <f>IFERROR(__xludf.DUMMYFUNCTION("""COMPUTED_VALUE"""),"Nova tentativa de reaproximação com o parceiro")</f>
        <v>Nova tentativa de reaproximação com o parceiro</v>
      </c>
    </row>
    <row r="88">
      <c r="A88" s="4" t="str">
        <f>IFERROR(__xludf.DUMMYFUNCTION("""COMPUTED_VALUE"""),"Bar Do Juarez")</f>
        <v>Bar Do Juarez</v>
      </c>
      <c r="B88" s="4" t="str">
        <f>IFERROR(__xludf.DUMMYFUNCTION("""COMPUTED_VALUE"""),"João Biagiotti")</f>
        <v>João Biagiotti</v>
      </c>
      <c r="C88" s="4" t="str">
        <f>IFERROR(__xludf.DUMMYFUNCTION("""COMPUTED_VALUE"""),"Diego Santos")</f>
        <v>Diego Santos</v>
      </c>
      <c r="D88" s="4" t="str">
        <f>IFERROR(__xludf.DUMMYFUNCTION("""COMPUTED_VALUE"""),"9. Contrato assinado")</f>
        <v>9. Contrato assinado</v>
      </c>
      <c r="E88" s="4" t="str">
        <f>IFERROR(__xludf.DUMMYFUNCTION("""COMPUTED_VALUE"""),"Projetos - Em piloto")</f>
        <v>Projetos - Em piloto</v>
      </c>
      <c r="F88" s="4" t="str">
        <f>IFERROR(__xludf.DUMMYFUNCTION("""COMPUTED_VALUE"""),"P")</f>
        <v>P</v>
      </c>
      <c r="G88" s="5">
        <f>IFERROR(__xludf.DUMMYFUNCTION("""COMPUTED_VALUE"""),46128.0)</f>
        <v>46128</v>
      </c>
      <c r="H88" s="4" t="str">
        <f>IFERROR(__xludf.DUMMYFUNCTION("""COMPUTED_VALUE"""),"Contrato assinado, inserir o cliente na esteira de projetos. ")</f>
        <v>Contrato assinado, inserir o cliente na esteira de projetos. </v>
      </c>
    </row>
    <row r="89">
      <c r="A89" s="4" t="str">
        <f>IFERROR(__xludf.DUMMYFUNCTION("""COMPUTED_VALUE"""),"Barolo Trattoria Curitiba")</f>
        <v>Barolo Trattoria Curitiba</v>
      </c>
      <c r="B89" s="4" t="str">
        <f>IFERROR(__xludf.DUMMYFUNCTION("""COMPUTED_VALUE"""),"Lídia Esteves")</f>
        <v>Lídia Esteves</v>
      </c>
      <c r="C89" s="4" t="str">
        <f>IFERROR(__xludf.DUMMYFUNCTION("""COMPUTED_VALUE"""),"Gabriela Roma")</f>
        <v>Gabriela Roma</v>
      </c>
      <c r="D89" s="4" t="str">
        <f>IFERROR(__xludf.DUMMYFUNCTION("""COMPUTED_VALUE"""),"5. Demo/Showroom")</f>
        <v>5. Demo/Showroom</v>
      </c>
      <c r="E89" s="4" t="str">
        <f>IFERROR(__xludf.DUMMYFUNCTION("""COMPUTED_VALUE"""),"Parceiro - Aguardando retorno / Conciliação agenda")</f>
        <v>Parceiro - Aguardando retorno / Conciliação agenda</v>
      </c>
      <c r="F89" s="4" t="str">
        <f>IFERROR(__xludf.DUMMYFUNCTION("""COMPUTED_VALUE"""),"P")</f>
        <v>P</v>
      </c>
      <c r="G89" s="5">
        <f>IFERROR(__xludf.DUMMYFUNCTION("""COMPUTED_VALUE"""),46153.0)</f>
        <v>46153</v>
      </c>
      <c r="H89" s="4" t="str">
        <f>IFERROR(__xludf.DUMMYFUNCTION("""COMPUTED_VALUE"""),"aguardando confirmação de agenda pra 14/5 - coord de delivery acompanhando")</f>
        <v>aguardando confirmação de agenda pra 14/5 - coord de delivery acompanhando</v>
      </c>
    </row>
    <row r="90">
      <c r="A90" s="4" t="str">
        <f>IFERROR(__xludf.DUMMYFUNCTION("""COMPUTED_VALUE"""),"Baruk Esfiha E Shawarmas")</f>
        <v>Baruk Esfiha E Shawarmas</v>
      </c>
      <c r="B90" s="4" t="str">
        <f>IFERROR(__xludf.DUMMYFUNCTION("""COMPUTED_VALUE"""),"Lídia Esteves")</f>
        <v>Lídia Esteves</v>
      </c>
      <c r="C90" s="4" t="str">
        <f>IFERROR(__xludf.DUMMYFUNCTION("""COMPUTED_VALUE"""),"Gabriela Roma")</f>
        <v>Gabriela Roma</v>
      </c>
      <c r="D90" s="4" t="str">
        <f>IFERROR(__xludf.DUMMYFUNCTION("""COMPUTED_VALUE"""),"1. Iniciado")</f>
        <v>1. Iniciado</v>
      </c>
      <c r="E90" s="4"/>
      <c r="F90" s="4" t="str">
        <f>IFERROR(__xludf.DUMMYFUNCTION("""COMPUTED_VALUE"""),"P")</f>
        <v>P</v>
      </c>
      <c r="G90" s="4"/>
      <c r="H90" s="4"/>
    </row>
    <row r="91">
      <c r="A91" s="4" t="str">
        <f>IFERROR(__xludf.DUMMYFUNCTION("""COMPUTED_VALUE"""),"Bengo Açai")</f>
        <v>Bengo Açai</v>
      </c>
      <c r="B91" s="4" t="str">
        <f>IFERROR(__xludf.DUMMYFUNCTION("""COMPUTED_VALUE"""),"Leonardo Roso")</f>
        <v>Leonardo Roso</v>
      </c>
      <c r="C91" s="4" t="str">
        <f>IFERROR(__xludf.DUMMYFUNCTION("""COMPUTED_VALUE"""),"Leonardo Roso")</f>
        <v>Leonardo Roso</v>
      </c>
      <c r="D91" s="4" t="str">
        <f>IFERROR(__xludf.DUMMYFUNCTION("""COMPUTED_VALUE"""),"1. Iniciado")</f>
        <v>1. Iniciado</v>
      </c>
      <c r="E91" s="4" t="str">
        <f>IFERROR(__xludf.DUMMYFUNCTION("""COMPUTED_VALUE"""),"Comercial - Tentativa não iniciada")</f>
        <v>Comercial - Tentativa não iniciada</v>
      </c>
      <c r="F91" s="4" t="str">
        <f>IFERROR(__xludf.DUMMYFUNCTION("""COMPUTED_VALUE"""),"G")</f>
        <v>G</v>
      </c>
      <c r="G91" s="5">
        <f>IFERROR(__xludf.DUMMYFUNCTION("""COMPUTED_VALUE"""),46118.0)</f>
        <v>46118</v>
      </c>
      <c r="H91" s="4" t="str">
        <f>IFERROR(__xludf.DUMMYFUNCTION("""COMPUTED_VALUE"""),"Tentativa de contato via linkedin com diretor de marketing e time de CE")</f>
        <v>Tentativa de contato via linkedin com diretor de marketing e time de CE</v>
      </c>
    </row>
    <row r="92">
      <c r="A92" s="4" t="str">
        <f>IFERROR(__xludf.DUMMYFUNCTION("""COMPUTED_VALUE"""),"Bibi Sucos")</f>
        <v>Bibi Sucos</v>
      </c>
      <c r="B92" s="4" t="str">
        <f>IFERROR(__xludf.DUMMYFUNCTION("""COMPUTED_VALUE"""),"Emerson")</f>
        <v>Emerson</v>
      </c>
      <c r="C92" s="4" t="str">
        <f>IFERROR(__xludf.DUMMYFUNCTION("""COMPUTED_VALUE"""),"Emerson")</f>
        <v>Emerson</v>
      </c>
      <c r="D92" s="4" t="str">
        <f>IFERROR(__xludf.DUMMYFUNCTION("""COMPUTED_VALUE"""),"11. Stand by")</f>
        <v>11. Stand by</v>
      </c>
      <c r="E92" s="4"/>
      <c r="F92" s="4" t="str">
        <f>IFERROR(__xludf.DUMMYFUNCTION("""COMPUTED_VALUE"""),"P")</f>
        <v>P</v>
      </c>
      <c r="G92" s="4"/>
      <c r="H92" s="4"/>
    </row>
    <row r="93">
      <c r="A93" s="4" t="str">
        <f>IFERROR(__xludf.DUMMYFUNCTION("""COMPUTED_VALUE"""),"Big X Picanha")</f>
        <v>Big X Picanha</v>
      </c>
      <c r="B93" s="4" t="str">
        <f>IFERROR(__xludf.DUMMYFUNCTION("""COMPUTED_VALUE"""),"João Biagiotti")</f>
        <v>João Biagiotti</v>
      </c>
      <c r="C93" s="4" t="str">
        <f>IFERROR(__xludf.DUMMYFUNCTION("""COMPUTED_VALUE"""),"Diego Santos")</f>
        <v>Diego Santos</v>
      </c>
      <c r="D93" s="4" t="str">
        <f>IFERROR(__xludf.DUMMYFUNCTION("""COMPUTED_VALUE"""),"13. Reativado")</f>
        <v>13. Reativado</v>
      </c>
      <c r="E93" s="4" t="str">
        <f>IFERROR(__xludf.DUMMYFUNCTION("""COMPUTED_VALUE"""),"Parceiro - Aguardando retorno parceiro")</f>
        <v>Parceiro - Aguardando retorno parceiro</v>
      </c>
      <c r="F93" s="4" t="str">
        <f>IFERROR(__xludf.DUMMYFUNCTION("""COMPUTED_VALUE"""),"M")</f>
        <v>M</v>
      </c>
      <c r="G93" s="5">
        <f>IFERROR(__xludf.DUMMYFUNCTION("""COMPUTED_VALUE"""),46076.0)</f>
        <v>46076</v>
      </c>
      <c r="H93" s="4" t="str">
        <f>IFERROR(__xludf.DUMMYFUNCTION("""COMPUTED_VALUE"""),"Cliente pediu para retornar em outro momento, abril/26 e não tem atendimento no delivery.")</f>
        <v>Cliente pediu para retornar em outro momento, abril/26 e não tem atendimento no delivery.</v>
      </c>
    </row>
    <row r="94">
      <c r="A94" s="4" t="str">
        <f>IFERROR(__xludf.DUMMYFUNCTION("""COMPUTED_VALUE"""),"Black Dog")</f>
        <v>Black Dog</v>
      </c>
      <c r="B94" s="4" t="str">
        <f>IFERROR(__xludf.DUMMYFUNCTION("""COMPUTED_VALUE"""),"João Biagiotti")</f>
        <v>João Biagiotti</v>
      </c>
      <c r="C94" s="4" t="str">
        <f>IFERROR(__xludf.DUMMYFUNCTION("""COMPUTED_VALUE"""),"Diego Santos")</f>
        <v>Diego Santos</v>
      </c>
      <c r="D94" s="4" t="str">
        <f>IFERROR(__xludf.DUMMYFUNCTION("""COMPUTED_VALUE"""),"11. Stand by")</f>
        <v>11. Stand by</v>
      </c>
      <c r="E94" s="4" t="str">
        <f>IFERROR(__xludf.DUMMYFUNCTION("""COMPUTED_VALUE"""),"Parceiro - Aguardando retorno parceiro")</f>
        <v>Parceiro - Aguardando retorno parceiro</v>
      </c>
      <c r="F94" s="4" t="str">
        <f>IFERROR(__xludf.DUMMYFUNCTION("""COMPUTED_VALUE"""),"P")</f>
        <v>P</v>
      </c>
      <c r="G94" s="5">
        <f>IFERROR(__xludf.DUMMYFUNCTION("""COMPUTED_VALUE"""),46076.0)</f>
        <v>46076</v>
      </c>
      <c r="H94" s="4" t="str">
        <f>IFERROR(__xludf.DUMMYFUNCTION("""COMPUTED_VALUE"""),"Entrei em contato com dono porém sem resposta. ele saiu atritado do atendimento do ifood. fup: fev/26")</f>
        <v>Entrei em contato com dono porém sem resposta. ele saiu atritado do atendimento do ifood. fup: fev/26</v>
      </c>
    </row>
    <row r="95">
      <c r="A95" s="4" t="str">
        <f>IFERROR(__xludf.DUMMYFUNCTION("""COMPUTED_VALUE"""),"Boali (Grupo Boali)")</f>
        <v>Boali (Grupo Boali)</v>
      </c>
      <c r="B95" s="4" t="str">
        <f>IFERROR(__xludf.DUMMYFUNCTION("""COMPUTED_VALUE"""),"Leonardo Roso")</f>
        <v>Leonardo Roso</v>
      </c>
      <c r="C95" s="4" t="str">
        <f>IFERROR(__xludf.DUMMYFUNCTION("""COMPUTED_VALUE"""),"Leonardo Roso")</f>
        <v>Leonardo Roso</v>
      </c>
      <c r="D95" s="4" t="str">
        <f>IFERROR(__xludf.DUMMYFUNCTION("""COMPUTED_VALUE"""),"7. Piloto")</f>
        <v>7. Piloto</v>
      </c>
      <c r="E95" s="4" t="str">
        <f>IFERROR(__xludf.DUMMYFUNCTION("""COMPUTED_VALUE"""),"Projetos - Em piloto")</f>
        <v>Projetos - Em piloto</v>
      </c>
      <c r="F95" s="4" t="str">
        <f>IFERROR(__xludf.DUMMYFUNCTION("""COMPUTED_VALUE"""),"G")</f>
        <v>G</v>
      </c>
      <c r="G95" s="10">
        <f>IFERROR(__xludf.DUMMYFUNCTION("""COMPUTED_VALUE"""),46135.0)</f>
        <v>46135</v>
      </c>
      <c r="H95" s="4" t="str">
        <f>IFERROR(__xludf.DUMMYFUNCTION("""COMPUTED_VALUE"""),"Piloto iniciado - Abril")</f>
        <v>Piloto iniciado - Abril</v>
      </c>
    </row>
    <row r="96">
      <c r="A96" s="4" t="str">
        <f>IFERROR(__xludf.DUMMYFUNCTION("""COMPUTED_VALUE"""),"Bob Esponja (Nickelodeon)")</f>
        <v>Bob Esponja (Nickelodeon)</v>
      </c>
      <c r="B96" s="4" t="str">
        <f>IFERROR(__xludf.DUMMYFUNCTION("""COMPUTED_VALUE"""),"Emerson")</f>
        <v>Emerson</v>
      </c>
      <c r="C96" s="4" t="str">
        <f>IFERROR(__xludf.DUMMYFUNCTION("""COMPUTED_VALUE"""),"Emerson")</f>
        <v>Emerson</v>
      </c>
      <c r="D96" s="4" t="str">
        <f>IFERROR(__xludf.DUMMYFUNCTION("""COMPUTED_VALUE"""),"3. Apresentação")</f>
        <v>3. Apresentação</v>
      </c>
      <c r="E96" s="4"/>
      <c r="F96" s="4" t="str">
        <f>IFERROR(__xludf.DUMMYFUNCTION("""COMPUTED_VALUE"""),"P")</f>
        <v>P</v>
      </c>
      <c r="G96" s="4"/>
      <c r="H96" s="4"/>
    </row>
    <row r="97">
      <c r="A97" s="4" t="str">
        <f>IFERROR(__xludf.DUMMYFUNCTION("""COMPUTED_VALUE"""),"Bonjardim")</f>
        <v>Bonjardim</v>
      </c>
      <c r="B97" s="4" t="str">
        <f>IFERROR(__xludf.DUMMYFUNCTION("""COMPUTED_VALUE"""),"Diego Santos")</f>
        <v>Diego Santos</v>
      </c>
      <c r="C97" s="4" t="str">
        <f>IFERROR(__xludf.DUMMYFUNCTION("""COMPUTED_VALUE"""),"Diego Santos")</f>
        <v>Diego Santos</v>
      </c>
      <c r="D97" s="4" t="str">
        <f>IFERROR(__xludf.DUMMYFUNCTION("""COMPUTED_VALUE"""),"10. Perdido")</f>
        <v>10. Perdido</v>
      </c>
      <c r="E97" s="4" t="str">
        <f>IFERROR(__xludf.DUMMYFUNCTION("""COMPUTED_VALUE"""),"Perdido -  Momento do restaurante não favorável")</f>
        <v>Perdido -  Momento do restaurante não favorável</v>
      </c>
      <c r="F97" s="4" t="str">
        <f>IFERROR(__xludf.DUMMYFUNCTION("""COMPUTED_VALUE"""),"P")</f>
        <v>P</v>
      </c>
      <c r="G97" s="5">
        <f>IFERROR(__xludf.DUMMYFUNCTION("""COMPUTED_VALUE"""),46083.0)</f>
        <v>46083</v>
      </c>
      <c r="H97" s="4" t="str">
        <f>IFERROR(__xludf.DUMMYFUNCTION("""COMPUTED_VALUE"""),"Sem interesse no momento em falar do tema")</f>
        <v>Sem interesse no momento em falar do tema</v>
      </c>
    </row>
    <row r="98">
      <c r="A98" s="4" t="str">
        <f>IFERROR(__xludf.DUMMYFUNCTION("""COMPUTED_VALUE"""),"Bravo Gastronomia")</f>
        <v>Bravo Gastronomia</v>
      </c>
      <c r="B98" s="4" t="str">
        <f>IFERROR(__xludf.DUMMYFUNCTION("""COMPUTED_VALUE"""),"Lídia Esteves")</f>
        <v>Lídia Esteves</v>
      </c>
      <c r="C98" s="4" t="str">
        <f>IFERROR(__xludf.DUMMYFUNCTION("""COMPUTED_VALUE"""),"Gabriela Roma")</f>
        <v>Gabriela Roma</v>
      </c>
      <c r="D98" s="4" t="str">
        <f>IFERROR(__xludf.DUMMYFUNCTION("""COMPUTED_VALUE"""),"1. Iniciado")</f>
        <v>1. Iniciado</v>
      </c>
      <c r="E98" s="4" t="str">
        <f>IFERROR(__xludf.DUMMYFUNCTION("""COMPUTED_VALUE"""),"Perdido - Outro (detalhar ao lado)")</f>
        <v>Perdido - Outro (detalhar ao lado)</v>
      </c>
      <c r="F98" s="4" t="str">
        <f>IFERROR(__xludf.DUMMYFUNCTION("""COMPUTED_VALUE"""),"P")</f>
        <v>P</v>
      </c>
      <c r="G98" s="5">
        <f>IFERROR(__xludf.DUMMYFUNCTION("""COMPUTED_VALUE"""),46076.0)</f>
        <v>46076</v>
      </c>
      <c r="H98" s="4" t="str">
        <f>IFERROR(__xludf.DUMMYFUNCTION("""COMPUTED_VALUE"""),"Enviado proposta, mas valores não faziam sentido no momento. Stand By.")</f>
        <v>Enviado proposta, mas valores não faziam sentido no momento. Stand By.</v>
      </c>
    </row>
    <row r="99">
      <c r="A99" s="4" t="str">
        <f>IFERROR(__xludf.DUMMYFUNCTION("""COMPUTED_VALUE"""),"Brutus- Cp")</f>
        <v>Brutus- Cp</v>
      </c>
      <c r="B99" s="4" t="str">
        <f>IFERROR(__xludf.DUMMYFUNCTION("""COMPUTED_VALUE"""),"Lídia Esteves")</f>
        <v>Lídia Esteves</v>
      </c>
      <c r="C99" s="4" t="str">
        <f>IFERROR(__xludf.DUMMYFUNCTION("""COMPUTED_VALUE"""),"Gabriela Roma")</f>
        <v>Gabriela Roma</v>
      </c>
      <c r="D99" s="4" t="str">
        <f>IFERROR(__xludf.DUMMYFUNCTION("""COMPUTED_VALUE"""),"1. Iniciado")</f>
        <v>1. Iniciado</v>
      </c>
      <c r="E99" s="4" t="str">
        <f>IFERROR(__xludf.DUMMYFUNCTION("""COMPUTED_VALUE"""),"Delivery - Aguardando retorno / Conciliação agenda")</f>
        <v>Delivery - Aguardando retorno / Conciliação agenda</v>
      </c>
      <c r="F99" s="4" t="str">
        <f>IFERROR(__xludf.DUMMYFUNCTION("""COMPUTED_VALUE"""),"P")</f>
        <v>P</v>
      </c>
      <c r="G99" s="4"/>
      <c r="H99" s="4"/>
    </row>
    <row r="100">
      <c r="A100" s="4" t="str">
        <f>IFERROR(__xludf.DUMMYFUNCTION("""COMPUTED_VALUE"""),"Bubble Mix")</f>
        <v>Bubble Mix</v>
      </c>
      <c r="B100" s="4" t="str">
        <f>IFERROR(__xludf.DUMMYFUNCTION("""COMPUTED_VALUE"""),"Leonardo Roso")</f>
        <v>Leonardo Roso</v>
      </c>
      <c r="C100" s="4" t="str">
        <f>IFERROR(__xludf.DUMMYFUNCTION("""COMPUTED_VALUE"""),"Leonardo Roso")</f>
        <v>Leonardo Roso</v>
      </c>
      <c r="D100" s="4" t="str">
        <f>IFERROR(__xludf.DUMMYFUNCTION("""COMPUTED_VALUE"""),"11. Stand by")</f>
        <v>11. Stand by</v>
      </c>
      <c r="E100" s="4" t="str">
        <f>IFERROR(__xludf.DUMMYFUNCTION("""COMPUTED_VALUE"""),"Perdido -  Momento do restaurante não favorável")</f>
        <v>Perdido -  Momento do restaurante não favorável</v>
      </c>
      <c r="F100" s="4" t="str">
        <f>IFERROR(__xludf.DUMMYFUNCTION("""COMPUTED_VALUE"""),"G")</f>
        <v>G</v>
      </c>
      <c r="G100" s="5">
        <f>IFERROR(__xludf.DUMMYFUNCTION("""COMPUTED_VALUE"""),46099.0)</f>
        <v>46099</v>
      </c>
      <c r="H100" s="4" t="str">
        <f>IFERROR(__xludf.DUMMYFUNCTION("""COMPUTED_VALUE"""),"Sem oportunidade de mudança por enquanto. ")</f>
        <v>Sem oportunidade de mudança por enquanto. </v>
      </c>
    </row>
    <row r="101">
      <c r="A101" s="4" t="str">
        <f>IFERROR(__xludf.DUMMYFUNCTION("""COMPUTED_VALUE"""),"Burdog")</f>
        <v>Burdog</v>
      </c>
      <c r="B101" s="4" t="str">
        <f>IFERROR(__xludf.DUMMYFUNCTION("""COMPUTED_VALUE"""),"João Biagiotti")</f>
        <v>João Biagiotti</v>
      </c>
      <c r="C101" s="4" t="str">
        <f>IFERROR(__xludf.DUMMYFUNCTION("""COMPUTED_VALUE"""),"Diego Santos")</f>
        <v>Diego Santos</v>
      </c>
      <c r="D101" s="4" t="str">
        <f>IFERROR(__xludf.DUMMYFUNCTION("""COMPUTED_VALUE"""),"13. Reativado")</f>
        <v>13. Reativado</v>
      </c>
      <c r="E101" s="4" t="str">
        <f>IFERROR(__xludf.DUMMYFUNCTION("""COMPUTED_VALUE"""),"Parceiro - Aguardando retorno parceiro")</f>
        <v>Parceiro - Aguardando retorno parceiro</v>
      </c>
      <c r="F101" s="4" t="str">
        <f>IFERROR(__xludf.DUMMYFUNCTION("""COMPUTED_VALUE"""),"P")</f>
        <v>P</v>
      </c>
      <c r="G101" s="5">
        <f>IFERROR(__xludf.DUMMYFUNCTION("""COMPUTED_VALUE"""),46076.0)</f>
        <v>46076</v>
      </c>
      <c r="H101" s="4" t="str">
        <f>IFERROR(__xludf.DUMMYFUNCTION("""COMPUTED_VALUE"""),"Solução apresentada, mas estão priorizando outros projetos nesse momento (everest), pediram retorno nos próximos meses")</f>
        <v>Solução apresentada, mas estão priorizando outros projetos nesse momento (everest), pediram retorno nos próximos meses</v>
      </c>
    </row>
    <row r="102">
      <c r="A102" s="4" t="str">
        <f>IFERROR(__xludf.DUMMYFUNCTION("""COMPUTED_VALUE"""),"Cacau Show")</f>
        <v>Cacau Show</v>
      </c>
      <c r="B102" s="4" t="str">
        <f>IFERROR(__xludf.DUMMYFUNCTION("""COMPUTED_VALUE"""),"Leonardo Roso")</f>
        <v>Leonardo Roso</v>
      </c>
      <c r="C102" s="4" t="str">
        <f>IFERROR(__xludf.DUMMYFUNCTION("""COMPUTED_VALUE"""),"Leonardo Roso")</f>
        <v>Leonardo Roso</v>
      </c>
      <c r="D102" s="4" t="str">
        <f>IFERROR(__xludf.DUMMYFUNCTION("""COMPUTED_VALUE"""),"11. Stand by")</f>
        <v>11. Stand by</v>
      </c>
      <c r="E102" s="4" t="str">
        <f>IFERROR(__xludf.DUMMYFUNCTION("""COMPUTED_VALUE"""),"Parceiro - Aguardando retorno / Conciliação agenda")</f>
        <v>Parceiro - Aguardando retorno / Conciliação agenda</v>
      </c>
      <c r="F102" s="4" t="str">
        <f>IFERROR(__xludf.DUMMYFUNCTION("""COMPUTED_VALUE"""),"G")</f>
        <v>G</v>
      </c>
      <c r="G102" s="10">
        <f>IFERROR(__xludf.DUMMYFUNCTION("""COMPUTED_VALUE"""),46155.0)</f>
        <v>46155</v>
      </c>
      <c r="H102" s="4" t="str">
        <f>IFERROR(__xludf.DUMMYFUNCTION("""COMPUTED_VALUE"""),"Agenda Presencial 14/05 para tratar sobre PDV e CRM")</f>
        <v>Agenda Presencial 14/05 para tratar sobre PDV e CRM</v>
      </c>
    </row>
    <row r="103">
      <c r="A103" s="4" t="str">
        <f>IFERROR(__xludf.DUMMYFUNCTION("""COMPUTED_VALUE"""),"Café Cultura")</f>
        <v>Café Cultura</v>
      </c>
      <c r="B103" s="4" t="str">
        <f>IFERROR(__xludf.DUMMYFUNCTION("""COMPUTED_VALUE"""),"Lídia Esteves")</f>
        <v>Lídia Esteves</v>
      </c>
      <c r="C103" s="4" t="str">
        <f>IFERROR(__xludf.DUMMYFUNCTION("""COMPUTED_VALUE"""),"Gabriela Roma")</f>
        <v>Gabriela Roma</v>
      </c>
      <c r="D103" s="4" t="str">
        <f>IFERROR(__xludf.DUMMYFUNCTION("""COMPUTED_VALUE"""),"6. Negociação")</f>
        <v>6. Negociação</v>
      </c>
      <c r="E103" s="4" t="str">
        <f>IFERROR(__xludf.DUMMYFUNCTION("""COMPUTED_VALUE"""),"Comercial - Em negociação de proposta")</f>
        <v>Comercial - Em negociação de proposta</v>
      </c>
      <c r="F103" s="4" t="str">
        <f>IFERROR(__xludf.DUMMYFUNCTION("""COMPUTED_VALUE"""),"M")</f>
        <v>M</v>
      </c>
      <c r="G103" s="5">
        <f>IFERROR(__xludf.DUMMYFUNCTION("""COMPUTED_VALUE"""),46154.0)</f>
        <v>46154</v>
      </c>
      <c r="H103" s="4" t="str">
        <f>IFERROR(__xludf.DUMMYFUNCTION("""COMPUTED_VALUE"""),"Agenda 11/05 com Samuel e Mari, cliente fez contraproposta, em validação interna.")</f>
        <v>Agenda 11/05 com Samuel e Mari, cliente fez contraproposta, em validação interna.</v>
      </c>
    </row>
    <row r="104">
      <c r="A104" s="4" t="str">
        <f>IFERROR(__xludf.DUMMYFUNCTION("""COMPUTED_VALUE"""),"Camarada Camarão (Grupo Drumattos)")</f>
        <v>Camarada Camarão (Grupo Drumattos)</v>
      </c>
      <c r="B104" s="4" t="str">
        <f>IFERROR(__xludf.DUMMYFUNCTION("""COMPUTED_VALUE"""),"Leonardo Roso")</f>
        <v>Leonardo Roso</v>
      </c>
      <c r="C104" s="4" t="str">
        <f>IFERROR(__xludf.DUMMYFUNCTION("""COMPUTED_VALUE"""),"Leonardo Roso")</f>
        <v>Leonardo Roso</v>
      </c>
      <c r="D104" s="4" t="str">
        <f>IFERROR(__xludf.DUMMYFUNCTION("""COMPUTED_VALUE"""),"3. Apresentação")</f>
        <v>3. Apresentação</v>
      </c>
      <c r="E104" s="4"/>
      <c r="F104" s="4" t="str">
        <f>IFERROR(__xludf.DUMMYFUNCTION("""COMPUTED_VALUE"""),"G")</f>
        <v>G</v>
      </c>
      <c r="G104" s="4"/>
      <c r="H104" s="4"/>
    </row>
    <row r="105">
      <c r="A105" s="4" t="str">
        <f>IFERROR(__xludf.DUMMYFUNCTION("""COMPUTED_VALUE"""),"Caramelo Hamburgueria E Lanches")</f>
        <v>Caramelo Hamburgueria E Lanches</v>
      </c>
      <c r="B105" s="4" t="str">
        <f>IFERROR(__xludf.DUMMYFUNCTION("""COMPUTED_VALUE"""),"Lídia Esteves")</f>
        <v>Lídia Esteves</v>
      </c>
      <c r="C105" s="4" t="str">
        <f>IFERROR(__xludf.DUMMYFUNCTION("""COMPUTED_VALUE"""),"Gabriela Roma")</f>
        <v>Gabriela Roma</v>
      </c>
      <c r="D105" s="4" t="str">
        <f>IFERROR(__xludf.DUMMYFUNCTION("""COMPUTED_VALUE"""),"11. Stand by")</f>
        <v>11. Stand by</v>
      </c>
      <c r="E105" s="4" t="str">
        <f>IFERROR(__xludf.DUMMYFUNCTION("""COMPUTED_VALUE"""),"Pré-vendas - Em validação técnica")</f>
        <v>Pré-vendas - Em validação técnica</v>
      </c>
      <c r="F105" s="4" t="str">
        <f>IFERROR(__xludf.DUMMYFUNCTION("""COMPUTED_VALUE"""),"P")</f>
        <v>P</v>
      </c>
      <c r="G105" s="5">
        <f>IFERROR(__xludf.DUMMYFUNCTION("""COMPUTED_VALUE"""),46120.0)</f>
        <v>46120</v>
      </c>
      <c r="H105" s="4" t="str">
        <f>IFERROR(__xludf.DUMMYFUNCTION("""COMPUTED_VALUE"""),"Validação técnica sobre funcionalidade do KDS - cliente precisa de balanceamento por rota. Apoio: Gabriel")</f>
        <v>Validação técnica sobre funcionalidade do KDS - cliente precisa de balanceamento por rota. Apoio: Gabriel</v>
      </c>
    </row>
    <row r="106">
      <c r="A106" s="4" t="str">
        <f>IFERROR(__xludf.DUMMYFUNCTION("""COMPUTED_VALUE"""),"Carol Coxinhas")</f>
        <v>Carol Coxinhas</v>
      </c>
      <c r="B106" s="4" t="str">
        <f>IFERROR(__xludf.DUMMYFUNCTION("""COMPUTED_VALUE"""),"Leonardo Roso")</f>
        <v>Leonardo Roso</v>
      </c>
      <c r="C106" s="4" t="str">
        <f>IFERROR(__xludf.DUMMYFUNCTION("""COMPUTED_VALUE"""),"Leonardo Roso")</f>
        <v>Leonardo Roso</v>
      </c>
      <c r="D106" s="4" t="str">
        <f>IFERROR(__xludf.DUMMYFUNCTION("""COMPUTED_VALUE"""),"11. Stand by")</f>
        <v>11. Stand by</v>
      </c>
      <c r="E106" s="4" t="str">
        <f>IFERROR(__xludf.DUMMYFUNCTION("""COMPUTED_VALUE"""),"Parceiro - Aguardando retorno / Conciliação agenda")</f>
        <v>Parceiro - Aguardando retorno / Conciliação agenda</v>
      </c>
      <c r="F106" s="4" t="str">
        <f>IFERROR(__xludf.DUMMYFUNCTION("""COMPUTED_VALUE"""),"G")</f>
        <v>G</v>
      </c>
      <c r="G106" s="5">
        <f>IFERROR(__xludf.DUMMYFUNCTION("""COMPUTED_VALUE"""),46084.0)</f>
        <v>46084</v>
      </c>
      <c r="H106" s="4" t="str">
        <f>IFERROR(__xludf.DUMMYFUNCTION("""COMPUTED_VALUE"""),"FUP com Gian.")</f>
        <v>FUP com Gian.</v>
      </c>
    </row>
    <row r="107">
      <c r="A107" s="4" t="str">
        <f>IFERROR(__xludf.DUMMYFUNCTION("""COMPUTED_VALUE"""),"Casa Da Feijoada Do Paulinho")</f>
        <v>Casa Da Feijoada Do Paulinho</v>
      </c>
      <c r="B107" s="4" t="str">
        <f>IFERROR(__xludf.DUMMYFUNCTION("""COMPUTED_VALUE"""),"Lídia Esteves")</f>
        <v>Lídia Esteves</v>
      </c>
      <c r="C107" s="4" t="str">
        <f>IFERROR(__xludf.DUMMYFUNCTION("""COMPUTED_VALUE"""),"Gabriela Roma")</f>
        <v>Gabriela Roma</v>
      </c>
      <c r="D107" s="4" t="str">
        <f>IFERROR(__xludf.DUMMYFUNCTION("""COMPUTED_VALUE"""),"11. Stand by")</f>
        <v>11. Stand by</v>
      </c>
      <c r="E107" s="4" t="str">
        <f>IFERROR(__xludf.DUMMYFUNCTION("""COMPUTED_VALUE"""),"Perdido -  Momento do restaurante não favorável")</f>
        <v>Perdido -  Momento do restaurante não favorável</v>
      </c>
      <c r="F107" s="4" t="str">
        <f>IFERROR(__xludf.DUMMYFUNCTION("""COMPUTED_VALUE"""),"P")</f>
        <v>P</v>
      </c>
      <c r="G107" s="5">
        <f>IFERROR(__xludf.DUMMYFUNCTION("""COMPUTED_VALUE"""),46120.0)</f>
        <v>46120</v>
      </c>
      <c r="H107" s="4" t="str">
        <f>IFERROR(__xludf.DUMMYFUNCTION("""COMPUTED_VALUE"""),"sem interesse em mudar de pdv por agora")</f>
        <v>sem interesse em mudar de pdv por agora</v>
      </c>
    </row>
    <row r="108">
      <c r="A108" s="4" t="str">
        <f>IFERROR(__xludf.DUMMYFUNCTION("""COMPUTED_VALUE"""),"Casa Do Pao De Queijo")</f>
        <v>Casa Do Pao De Queijo</v>
      </c>
      <c r="B108" s="4" t="str">
        <f>IFERROR(__xludf.DUMMYFUNCTION("""COMPUTED_VALUE"""),"Leonardo Roso")</f>
        <v>Leonardo Roso</v>
      </c>
      <c r="C108" s="4" t="str">
        <f>IFERROR(__xludf.DUMMYFUNCTION("""COMPUTED_VALUE"""),"Leonardo Roso")</f>
        <v>Leonardo Roso</v>
      </c>
      <c r="D108" s="4" t="str">
        <f>IFERROR(__xludf.DUMMYFUNCTION("""COMPUTED_VALUE"""),"10. Perdido")</f>
        <v>10. Perdido</v>
      </c>
      <c r="E108" s="4" t="str">
        <f>IFERROR(__xludf.DUMMYFUNCTION("""COMPUTED_VALUE"""),"Comercial - Contato realizado com parceiro")</f>
        <v>Comercial - Contato realizado com parceiro</v>
      </c>
      <c r="F108" s="4" t="str">
        <f>IFERROR(__xludf.DUMMYFUNCTION("""COMPUTED_VALUE"""),"G")</f>
        <v>G</v>
      </c>
      <c r="G108" s="5">
        <f>IFERROR(__xludf.DUMMYFUNCTION("""COMPUTED_VALUE"""),46155.0)</f>
        <v>46155</v>
      </c>
      <c r="H108" s="4" t="str">
        <f>IFERROR(__xludf.DUMMYFUNCTION("""COMPUTED_VALUE"""),"Conversa com Chefe de Tecnologia e Head inicio de Junho para tentar viabilizar uma proposta")</f>
        <v>Conversa com Chefe de Tecnologia e Head inicio de Junho para tentar viabilizar uma proposta</v>
      </c>
    </row>
    <row r="109">
      <c r="A109" s="4" t="str">
        <f>IFERROR(__xludf.DUMMYFUNCTION("""COMPUTED_VALUE"""),"Cereja Grill")</f>
        <v>Cereja Grill</v>
      </c>
      <c r="B109" s="4" t="str">
        <f>IFERROR(__xludf.DUMMYFUNCTION("""COMPUTED_VALUE"""),"Lídia Esteves")</f>
        <v>Lídia Esteves</v>
      </c>
      <c r="C109" s="4" t="str">
        <f>IFERROR(__xludf.DUMMYFUNCTION("""COMPUTED_VALUE"""),"Gabriela Roma")</f>
        <v>Gabriela Roma</v>
      </c>
      <c r="D109" s="4" t="str">
        <f>IFERROR(__xludf.DUMMYFUNCTION("""COMPUTED_VALUE"""),"11. Stand by")</f>
        <v>11. Stand by</v>
      </c>
      <c r="E109" s="4" t="str">
        <f>IFERROR(__xludf.DUMMYFUNCTION("""COMPUTED_VALUE"""),"Parceiro - Aguardando retorno / Conciliação agenda")</f>
        <v>Parceiro - Aguardando retorno / Conciliação agenda</v>
      </c>
      <c r="F109" s="4" t="str">
        <f>IFERROR(__xludf.DUMMYFUNCTION("""COMPUTED_VALUE"""),"P")</f>
        <v>P</v>
      </c>
      <c r="G109" s="5">
        <f>IFERROR(__xludf.DUMMYFUNCTION("""COMPUTED_VALUE"""),46076.0)</f>
        <v>46076</v>
      </c>
      <c r="H109" s="4" t="str">
        <f>IFERROR(__xludf.DUMMYFUNCTION("""COMPUTED_VALUE"""),"parceiro veio ao ifood no showroom mas depois não nos retornou mais, fazendo fup")</f>
        <v>parceiro veio ao ifood no showroom mas depois não nos retornou mais, fazendo fup</v>
      </c>
    </row>
    <row r="110">
      <c r="A110" s="4" t="str">
        <f>IFERROR(__xludf.DUMMYFUNCTION("""COMPUTED_VALUE"""),"Cheirin Bão (Universal Franchesing)")</f>
        <v>Cheirin Bão (Universal Franchesing)</v>
      </c>
      <c r="B110" s="4" t="str">
        <f>IFERROR(__xludf.DUMMYFUNCTION("""COMPUTED_VALUE"""),"Leonardo Roso")</f>
        <v>Leonardo Roso</v>
      </c>
      <c r="C110" s="4" t="str">
        <f>IFERROR(__xludf.DUMMYFUNCTION("""COMPUTED_VALUE"""),"Leonardo Roso")</f>
        <v>Leonardo Roso</v>
      </c>
      <c r="D110" s="4" t="str">
        <f>IFERROR(__xludf.DUMMYFUNCTION("""COMPUTED_VALUE"""),"8. Contrato enviado")</f>
        <v>8. Contrato enviado</v>
      </c>
      <c r="E110" s="4" t="str">
        <f>IFERROR(__xludf.DUMMYFUNCTION("""COMPUTED_VALUE"""),"Comercial - Piloto em andamento e dentro do prazo")</f>
        <v>Comercial - Piloto em andamento e dentro do prazo</v>
      </c>
      <c r="F110" s="4" t="str">
        <f>IFERROR(__xludf.DUMMYFUNCTION("""COMPUTED_VALUE"""),"G")</f>
        <v>G</v>
      </c>
      <c r="G110" s="5">
        <f>IFERROR(__xludf.DUMMYFUNCTION("""COMPUTED_VALUE"""),46076.0)</f>
        <v>46076</v>
      </c>
      <c r="H110" s="4" t="str">
        <f>IFERROR(__xludf.DUMMYFUNCTION("""COMPUTED_VALUE"""),"Em piloto")</f>
        <v>Em piloto</v>
      </c>
    </row>
    <row r="111">
      <c r="A111" s="4" t="str">
        <f>IFERROR(__xludf.DUMMYFUNCTION("""COMPUTED_VALUE"""),"Cheppitos")</f>
        <v>Cheppitos</v>
      </c>
      <c r="B111" s="4" t="str">
        <f>IFERROR(__xludf.DUMMYFUNCTION("""COMPUTED_VALUE"""),"João Biagiotti")</f>
        <v>João Biagiotti</v>
      </c>
      <c r="C111" s="4" t="str">
        <f>IFERROR(__xludf.DUMMYFUNCTION("""COMPUTED_VALUE"""),"Diego Santos")</f>
        <v>Diego Santos</v>
      </c>
      <c r="D111" s="4" t="str">
        <f>IFERROR(__xludf.DUMMYFUNCTION("""COMPUTED_VALUE"""),"3. Apresentação")</f>
        <v>3. Apresentação</v>
      </c>
      <c r="E111" s="4" t="str">
        <f>IFERROR(__xludf.DUMMYFUNCTION("""COMPUTED_VALUE"""),"Parceiro - Sem contato válido / Decisor inacessível")</f>
        <v>Parceiro - Sem contato válido / Decisor inacessível</v>
      </c>
      <c r="F111" s="4" t="str">
        <f>IFERROR(__xludf.DUMMYFUNCTION("""COMPUTED_VALUE"""),"P")</f>
        <v>P</v>
      </c>
      <c r="G111" s="5">
        <f>IFERROR(__xludf.DUMMYFUNCTION("""COMPUTED_VALUE"""),46099.0)</f>
        <v>46099</v>
      </c>
      <c r="H111" s="4" t="str">
        <f>IFERROR(__xludf.DUMMYFUNCTION("""COMPUTED_VALUE"""),"Aguardando retorno do decisor pra conseguir uma agenda")</f>
        <v>Aguardando retorno do decisor pra conseguir uma agenda</v>
      </c>
    </row>
    <row r="112">
      <c r="A112" s="4" t="str">
        <f>IFERROR(__xludf.DUMMYFUNCTION("""COMPUTED_VALUE"""),"Chocomia Sweet Atelier - Marca Oficial")</f>
        <v>Chocomia Sweet Atelier - Marca Oficial</v>
      </c>
      <c r="B112" s="4" t="str">
        <f>IFERROR(__xludf.DUMMYFUNCTION("""COMPUTED_VALUE"""),"Emerson")</f>
        <v>Emerson</v>
      </c>
      <c r="C112" s="4" t="str">
        <f>IFERROR(__xludf.DUMMYFUNCTION("""COMPUTED_VALUE"""),"Emerson")</f>
        <v>Emerson</v>
      </c>
      <c r="D112" s="4" t="str">
        <f>IFERROR(__xludf.DUMMYFUNCTION("""COMPUTED_VALUE"""),"5. Demo/Showroom")</f>
        <v>5. Demo/Showroom</v>
      </c>
      <c r="E112" s="4" t="str">
        <f>IFERROR(__xludf.DUMMYFUNCTION("""COMPUTED_VALUE"""),"Perdido - Outro (detalhar ao lado)")</f>
        <v>Perdido - Outro (detalhar ao lado)</v>
      </c>
      <c r="F112" s="4" t="str">
        <f>IFERROR(__xludf.DUMMYFUNCTION("""COMPUTED_VALUE"""),"P")</f>
        <v>P</v>
      </c>
      <c r="G112" s="5">
        <f>IFERROR(__xludf.DUMMYFUNCTION("""COMPUTED_VALUE"""),46120.0)</f>
        <v>46120</v>
      </c>
      <c r="H112" s="4" t="str">
        <f>IFERROR(__xludf.DUMMYFUNCTION("""COMPUTED_VALUE"""),"Marca com Emerson, sem status. ")</f>
        <v>Marca com Emerson, sem status. </v>
      </c>
    </row>
    <row r="113">
      <c r="A113" s="4" t="str">
        <f>IFERROR(__xludf.DUMMYFUNCTION("""COMPUTED_VALUE"""),"Churrascaria America Grill")</f>
        <v>Churrascaria America Grill</v>
      </c>
      <c r="B113" s="4" t="str">
        <f>IFERROR(__xludf.DUMMYFUNCTION("""COMPUTED_VALUE"""),"Lídia Esteves")</f>
        <v>Lídia Esteves</v>
      </c>
      <c r="C113" s="4" t="str">
        <f>IFERROR(__xludf.DUMMYFUNCTION("""COMPUTED_VALUE"""),"Gabriela Roma")</f>
        <v>Gabriela Roma</v>
      </c>
      <c r="D113" s="4" t="str">
        <f>IFERROR(__xludf.DUMMYFUNCTION("""COMPUTED_VALUE"""),"1. Iniciado")</f>
        <v>1. Iniciado</v>
      </c>
      <c r="E113" s="4" t="str">
        <f>IFERROR(__xludf.DUMMYFUNCTION("""COMPUTED_VALUE"""),"Delivery - Aguardando retorno / Conciliação agenda")</f>
        <v>Delivery - Aguardando retorno / Conciliação agenda</v>
      </c>
      <c r="F113" s="4" t="str">
        <f>IFERROR(__xludf.DUMMYFUNCTION("""COMPUTED_VALUE"""),"P")</f>
        <v>P</v>
      </c>
      <c r="G113" s="4"/>
      <c r="H113" s="4"/>
    </row>
    <row r="114">
      <c r="A114" s="4" t="str">
        <f>IFERROR(__xludf.DUMMYFUNCTION("""COMPUTED_VALUE"""),"Coco Bambu")</f>
        <v>Coco Bambu</v>
      </c>
      <c r="B114" s="4" t="str">
        <f>IFERROR(__xludf.DUMMYFUNCTION("""COMPUTED_VALUE"""),"Leonardo Roso")</f>
        <v>Leonardo Roso</v>
      </c>
      <c r="C114" s="4" t="str">
        <f>IFERROR(__xludf.DUMMYFUNCTION("""COMPUTED_VALUE"""),"Leonardo Roso")</f>
        <v>Leonardo Roso</v>
      </c>
      <c r="D114" s="4" t="str">
        <f>IFERROR(__xludf.DUMMYFUNCTION("""COMPUTED_VALUE"""),"11. Stand by")</f>
        <v>11. Stand by</v>
      </c>
      <c r="E114" s="4" t="str">
        <f>IFERROR(__xludf.DUMMYFUNCTION("""COMPUTED_VALUE"""),"Comercial - Contato realizado com parceiro")</f>
        <v>Comercial - Contato realizado com parceiro</v>
      </c>
      <c r="F114" s="4" t="str">
        <f>IFERROR(__xludf.DUMMYFUNCTION("""COMPUTED_VALUE"""),"G")</f>
        <v>G</v>
      </c>
      <c r="G114" s="5">
        <f>IFERROR(__xludf.DUMMYFUNCTION("""COMPUTED_VALUE"""),46079.0)</f>
        <v>46079</v>
      </c>
      <c r="H114" s="4" t="str">
        <f>IFERROR(__xludf.DUMMYFUNCTION("""COMPUTED_VALUE"""),"Retomar contato com parceiro no segundo semestre de 2026 conforme alinhado com Davi em evento de salão (25/02)")</f>
        <v>Retomar contato com parceiro no segundo semestre de 2026 conforme alinhado com Davi em evento de salão (25/02)</v>
      </c>
    </row>
    <row r="115">
      <c r="A115" s="4" t="str">
        <f>IFERROR(__xludf.DUMMYFUNCTION("""COMPUTED_VALUE"""),"Comendador Burguer")</f>
        <v>Comendador Burguer</v>
      </c>
      <c r="B115" s="4" t="str">
        <f>IFERROR(__xludf.DUMMYFUNCTION("""COMPUTED_VALUE"""),"Lídia Esteves")</f>
        <v>Lídia Esteves</v>
      </c>
      <c r="C115" s="4" t="str">
        <f>IFERROR(__xludf.DUMMYFUNCTION("""COMPUTED_VALUE"""),"Gabriela Roma")</f>
        <v>Gabriela Roma</v>
      </c>
      <c r="D115" s="4" t="str">
        <f>IFERROR(__xludf.DUMMYFUNCTION("""COMPUTED_VALUE"""),"1. Iniciado")</f>
        <v>1. Iniciado</v>
      </c>
      <c r="E115" s="4" t="str">
        <f>IFERROR(__xludf.DUMMYFUNCTION("""COMPUTED_VALUE"""),"Delivery - Aguardando retorno / Conciliação agenda")</f>
        <v>Delivery - Aguardando retorno / Conciliação agenda</v>
      </c>
      <c r="F115" s="4" t="str">
        <f>IFERROR(__xludf.DUMMYFUNCTION("""COMPUTED_VALUE"""),"P")</f>
        <v>P</v>
      </c>
      <c r="G115" s="4"/>
      <c r="H115" s="4"/>
    </row>
    <row r="116">
      <c r="A116" s="4" t="str">
        <f>IFERROR(__xludf.DUMMYFUNCTION("""COMPUTED_VALUE"""),"Comodoro Burguer")</f>
        <v>Comodoro Burguer</v>
      </c>
      <c r="B116" s="4" t="str">
        <f>IFERROR(__xludf.DUMMYFUNCTION("""COMPUTED_VALUE"""),"Lídia Esteves")</f>
        <v>Lídia Esteves</v>
      </c>
      <c r="C116" s="4" t="str">
        <f>IFERROR(__xludf.DUMMYFUNCTION("""COMPUTED_VALUE"""),"Gabriela Roma")</f>
        <v>Gabriela Roma</v>
      </c>
      <c r="D116" s="4" t="str">
        <f>IFERROR(__xludf.DUMMYFUNCTION("""COMPUTED_VALUE"""),"1. Iniciado")</f>
        <v>1. Iniciado</v>
      </c>
      <c r="E116" s="4" t="str">
        <f>IFERROR(__xludf.DUMMYFUNCTION("""COMPUTED_VALUE"""),"Delivery - Aguardando retorno / Conciliação agenda")</f>
        <v>Delivery - Aguardando retorno / Conciliação agenda</v>
      </c>
      <c r="F116" s="4" t="str">
        <f>IFERROR(__xludf.DUMMYFUNCTION("""COMPUTED_VALUE"""),"M")</f>
        <v>M</v>
      </c>
      <c r="G116" s="4"/>
      <c r="H116" s="4"/>
    </row>
    <row r="117">
      <c r="A117" s="4" t="str">
        <f>IFERROR(__xludf.DUMMYFUNCTION("""COMPUTED_VALUE"""),"CHURRASCARIA SAO JUDAS TADEU")</f>
        <v>CHURRASCARIA SAO JUDAS TADEU</v>
      </c>
      <c r="B117" s="4" t="str">
        <f>IFERROR(__xludf.DUMMYFUNCTION("""COMPUTED_VALUE"""),"João Biagiotti")</f>
        <v>João Biagiotti</v>
      </c>
      <c r="C117" s="4" t="str">
        <f>IFERROR(__xludf.DUMMYFUNCTION("""COMPUTED_VALUE"""),"Diego Santos")</f>
        <v>Diego Santos</v>
      </c>
      <c r="D117" s="4" t="str">
        <f>IFERROR(__xludf.DUMMYFUNCTION("""COMPUTED_VALUE"""),"1. Iniciado")</f>
        <v>1. Iniciado</v>
      </c>
      <c r="E117" s="4" t="str">
        <f>IFERROR(__xludf.DUMMYFUNCTION("""COMPUTED_VALUE"""),"Delivery - Aguardando retorno executivo")</f>
        <v>Delivery - Aguardando retorno executivo</v>
      </c>
      <c r="F117" s="4" t="str">
        <f>IFERROR(__xludf.DUMMYFUNCTION("""COMPUTED_VALUE"""),"P")</f>
        <v>P</v>
      </c>
      <c r="G117" s="5">
        <f>IFERROR(__xludf.DUMMYFUNCTION("""COMPUTED_VALUE"""),46120.0)</f>
        <v>46120</v>
      </c>
      <c r="H117" s="4" t="str">
        <f>IFERROR(__xludf.DUMMYFUNCTION("""COMPUTED_VALUE"""),"Foi enviado mensagem para o CE, agaurdando retorno ")</f>
        <v>Foi enviado mensagem para o CE, agaurdando retorno </v>
      </c>
    </row>
    <row r="118">
      <c r="A118" s="4" t="str">
        <f>IFERROR(__xludf.DUMMYFUNCTION("""COMPUTED_VALUE"""),"Cremolatto")</f>
        <v>Cremolatto</v>
      </c>
      <c r="B118" s="4" t="str">
        <f>IFERROR(__xludf.DUMMYFUNCTION("""COMPUTED_VALUE"""),"Leonardo Roso")</f>
        <v>Leonardo Roso</v>
      </c>
      <c r="C118" s="4" t="str">
        <f>IFERROR(__xludf.DUMMYFUNCTION("""COMPUTED_VALUE"""),"Leonardo Roso")</f>
        <v>Leonardo Roso</v>
      </c>
      <c r="D118" s="4" t="str">
        <f>IFERROR(__xludf.DUMMYFUNCTION("""COMPUTED_VALUE"""),"11. Stand by")</f>
        <v>11. Stand by</v>
      </c>
      <c r="E118" s="4" t="str">
        <f>IFERROR(__xludf.DUMMYFUNCTION("""COMPUTED_VALUE"""),"Perdido -  Momento do restaurante não favorável")</f>
        <v>Perdido -  Momento do restaurante não favorável</v>
      </c>
      <c r="F118" s="4" t="str">
        <f>IFERROR(__xludf.DUMMYFUNCTION("""COMPUTED_VALUE"""),"G")</f>
        <v>G</v>
      </c>
      <c r="G118" s="5">
        <f>IFERROR(__xludf.DUMMYFUNCTION("""COMPUTED_VALUE"""),46076.0)</f>
        <v>46076</v>
      </c>
      <c r="H118" s="4" t="str">
        <f>IFERROR(__xludf.DUMMYFUNCTION("""COMPUTED_VALUE"""),"No momento giovanni está testando dois PDV e está verificando se faz sentido iniciar +1 fluxo conosco. Tentar agenda presencial.")</f>
        <v>No momento giovanni está testando dois PDV e está verificando se faz sentido iniciar +1 fluxo conosco. Tentar agenda presencial.</v>
      </c>
    </row>
    <row r="119">
      <c r="A119" s="4" t="str">
        <f>IFERROR(__xludf.DUMMYFUNCTION("""COMPUTED_VALUE"""),"Daásu Sushi")</f>
        <v>Daásu Sushi</v>
      </c>
      <c r="B119" s="4" t="str">
        <f>IFERROR(__xludf.DUMMYFUNCTION("""COMPUTED_VALUE"""),"Lídia Esteves")</f>
        <v>Lídia Esteves</v>
      </c>
      <c r="C119" s="4" t="str">
        <f>IFERROR(__xludf.DUMMYFUNCTION("""COMPUTED_VALUE"""),"Gabriela Roma")</f>
        <v>Gabriela Roma</v>
      </c>
      <c r="D119" s="4" t="str">
        <f>IFERROR(__xludf.DUMMYFUNCTION("""COMPUTED_VALUE"""),"4. Diagnóstico")</f>
        <v>4. Diagnóstico</v>
      </c>
      <c r="E119" s="4" t="str">
        <f>IFERROR(__xludf.DUMMYFUNCTION("""COMPUTED_VALUE"""),"Parceiro - Aguardando retorno / Conciliação agenda")</f>
        <v>Parceiro - Aguardando retorno / Conciliação agenda</v>
      </c>
      <c r="F119" s="4" t="str">
        <f>IFERROR(__xludf.DUMMYFUNCTION("""COMPUTED_VALUE"""),"P")</f>
        <v>P</v>
      </c>
      <c r="G119" s="5">
        <f>IFERROR(__xludf.DUMMYFUNCTION("""COMPUTED_VALUE"""),46154.0)</f>
        <v>46154</v>
      </c>
      <c r="H119" s="4" t="str">
        <f>IFERROR(__xludf.DUMMYFUNCTION("""COMPUTED_VALUE"""),"ultima tentativa de demo antes de mudar pra standby")</f>
        <v>ultima tentativa de demo antes de mudar pra standby</v>
      </c>
    </row>
    <row r="120">
      <c r="A120" s="4" t="str">
        <f>IFERROR(__xludf.DUMMYFUNCTION("""COMPUTED_VALUE"""),"Delirio Tropical")</f>
        <v>Delirio Tropical</v>
      </c>
      <c r="B120" s="4" t="str">
        <f>IFERROR(__xludf.DUMMYFUNCTION("""COMPUTED_VALUE"""),"Lídia Esteves")</f>
        <v>Lídia Esteves</v>
      </c>
      <c r="C120" s="4" t="str">
        <f>IFERROR(__xludf.DUMMYFUNCTION("""COMPUTED_VALUE"""),"Gabriela Roma")</f>
        <v>Gabriela Roma</v>
      </c>
      <c r="D120" s="4" t="str">
        <f>IFERROR(__xludf.DUMMYFUNCTION("""COMPUTED_VALUE"""),"11. Stand by")</f>
        <v>11. Stand by</v>
      </c>
      <c r="E120" s="4" t="str">
        <f>IFERROR(__xludf.DUMMYFUNCTION("""COMPUTED_VALUE"""),"Parceiro - Aguardando retorno / Conciliação agenda")</f>
        <v>Parceiro - Aguardando retorno / Conciliação agenda</v>
      </c>
      <c r="F120" s="4" t="str">
        <f>IFERROR(__xludf.DUMMYFUNCTION("""COMPUTED_VALUE"""),"P")</f>
        <v>P</v>
      </c>
      <c r="G120" s="5">
        <f>IFERROR(__xludf.DUMMYFUNCTION("""COMPUTED_VALUE"""),46120.0)</f>
        <v>46120</v>
      </c>
      <c r="H120" s="4" t="str">
        <f>IFERROR(__xludf.DUMMYFUNCTION("""COMPUTED_VALUE"""),"Parceiro está finalizando instalação SAP, combinamos de volta a falar daqui 2 meses")</f>
        <v>Parceiro está finalizando instalação SAP, combinamos de volta a falar daqui 2 meses</v>
      </c>
    </row>
    <row r="121">
      <c r="A121" s="4" t="str">
        <f>IFERROR(__xludf.DUMMYFUNCTION("""COMPUTED_VALUE"""),"Di Napoli")</f>
        <v>Di Napoli</v>
      </c>
      <c r="B121" s="4" t="str">
        <f>IFERROR(__xludf.DUMMYFUNCTION("""COMPUTED_VALUE"""),"Lídia Esteves")</f>
        <v>Lídia Esteves</v>
      </c>
      <c r="C121" s="4" t="str">
        <f>IFERROR(__xludf.DUMMYFUNCTION("""COMPUTED_VALUE"""),"Gabriela Roma")</f>
        <v>Gabriela Roma</v>
      </c>
      <c r="D121" s="4" t="str">
        <f>IFERROR(__xludf.DUMMYFUNCTION("""COMPUTED_VALUE"""),"3. Apresentação")</f>
        <v>3. Apresentação</v>
      </c>
      <c r="E121" s="4" t="str">
        <f>IFERROR(__xludf.DUMMYFUNCTION("""COMPUTED_VALUE"""),"Parceiro - Aguardando retorno / Conciliação agenda")</f>
        <v>Parceiro - Aguardando retorno / Conciliação agenda</v>
      </c>
      <c r="F121" s="4" t="str">
        <f>IFERROR(__xludf.DUMMYFUNCTION("""COMPUTED_VALUE"""),"P")</f>
        <v>P</v>
      </c>
      <c r="G121" s="5">
        <f>IFERROR(__xludf.DUMMYFUNCTION("""COMPUTED_VALUE"""),46099.0)</f>
        <v>46099</v>
      </c>
      <c r="H121" s="4" t="str">
        <f>IFERROR(__xludf.DUMMYFUNCTION("""COMPUTED_VALUE"""),"Pedi ajuda ao executivo para conseguir engamento do lado do parceiro, entrei em contato diretamente com o parceiro porém não tive resposta.")</f>
        <v>Pedi ajuda ao executivo para conseguir engamento do lado do parceiro, entrei em contato diretamente com o parceiro porém não tive resposta.</v>
      </c>
    </row>
    <row r="122">
      <c r="A122" s="4" t="str">
        <f>IFERROR(__xludf.DUMMYFUNCTION("""COMPUTED_VALUE"""),"Divino Fogão")</f>
        <v>Divino Fogão</v>
      </c>
      <c r="B122" s="4" t="str">
        <f>IFERROR(__xludf.DUMMYFUNCTION("""COMPUTED_VALUE"""),"Leonardo Roso")</f>
        <v>Leonardo Roso</v>
      </c>
      <c r="C122" s="4" t="str">
        <f>IFERROR(__xludf.DUMMYFUNCTION("""COMPUTED_VALUE"""),"Leonardo Roso")</f>
        <v>Leonardo Roso</v>
      </c>
      <c r="D122" s="4" t="str">
        <f>IFERROR(__xludf.DUMMYFUNCTION("""COMPUTED_VALUE"""),"6. Negociação")</f>
        <v>6. Negociação</v>
      </c>
      <c r="E122" s="4" t="str">
        <f>IFERROR(__xludf.DUMMYFUNCTION("""COMPUTED_VALUE"""),"Comercial - Contato realizado com parceiro")</f>
        <v>Comercial - Contato realizado com parceiro</v>
      </c>
      <c r="F122" s="4" t="str">
        <f>IFERROR(__xludf.DUMMYFUNCTION("""COMPUTED_VALUE"""),"G")</f>
        <v>G</v>
      </c>
      <c r="G122" s="5">
        <f>IFERROR(__xludf.DUMMYFUNCTION("""COMPUTED_VALUE"""),46076.0)</f>
        <v>46076</v>
      </c>
      <c r="H122" s="4" t="str">
        <f>IFERROR(__xludf.DUMMYFUNCTION("""COMPUTED_VALUE"""),"Recebemos parceiro no escritório para showroom, enviamos e-mail com proposta, aguardando devolutiva. FUP em 23/02.")</f>
        <v>Recebemos parceiro no escritório para showroom, enviamos e-mail com proposta, aguardando devolutiva. FUP em 23/02.</v>
      </c>
    </row>
    <row r="123">
      <c r="A123" s="4" t="str">
        <f>IFERROR(__xludf.DUMMYFUNCTION("""COMPUTED_VALUE"""),"Dna Da Pizza")</f>
        <v>Dna Da Pizza</v>
      </c>
      <c r="B123" s="4" t="str">
        <f>IFERROR(__xludf.DUMMYFUNCTION("""COMPUTED_VALUE"""),"Lídia Esteves")</f>
        <v>Lídia Esteves</v>
      </c>
      <c r="C123" s="4" t="str">
        <f>IFERROR(__xludf.DUMMYFUNCTION("""COMPUTED_VALUE"""),"Gabriela Roma")</f>
        <v>Gabriela Roma</v>
      </c>
      <c r="D123" s="4" t="str">
        <f>IFERROR(__xludf.DUMMYFUNCTION("""COMPUTED_VALUE"""),"1. Iniciado")</f>
        <v>1. Iniciado</v>
      </c>
      <c r="E123" s="4" t="str">
        <f>IFERROR(__xludf.DUMMYFUNCTION("""COMPUTED_VALUE"""),"Delivery - Aguardando retorno / Conciliação agenda")</f>
        <v>Delivery - Aguardando retorno / Conciliação agenda</v>
      </c>
      <c r="F123" s="4" t="str">
        <f>IFERROR(__xludf.DUMMYFUNCTION("""COMPUTED_VALUE"""),"P")</f>
        <v>P</v>
      </c>
      <c r="G123" s="4"/>
      <c r="H123" s="4"/>
    </row>
    <row r="124">
      <c r="A124" s="4" t="str">
        <f>IFERROR(__xludf.DUMMYFUNCTION("""COMPUTED_VALUE"""),"Doce Aquarella")</f>
        <v>Doce Aquarella</v>
      </c>
      <c r="B124" s="4" t="str">
        <f>IFERROR(__xludf.DUMMYFUNCTION("""COMPUTED_VALUE"""),"Diego Santos")</f>
        <v>Diego Santos</v>
      </c>
      <c r="C124" s="4" t="str">
        <f>IFERROR(__xludf.DUMMYFUNCTION("""COMPUTED_VALUE"""),"Diego Santos")</f>
        <v>Diego Santos</v>
      </c>
      <c r="D124" s="4" t="str">
        <f>IFERROR(__xludf.DUMMYFUNCTION("""COMPUTED_VALUE"""),"9. Contrato assinado")</f>
        <v>9. Contrato assinado</v>
      </c>
      <c r="E124" s="4" t="str">
        <f>IFERROR(__xludf.DUMMYFUNCTION("""COMPUTED_VALUE""")," Projetos - Contrato assinado &amp; Rollout")</f>
        <v> Projetos - Contrato assinado &amp; Rollout</v>
      </c>
      <c r="F124" s="4" t="str">
        <f>IFERROR(__xludf.DUMMYFUNCTION("""COMPUTED_VALUE"""),"P")</f>
        <v>P</v>
      </c>
      <c r="G124" s="5">
        <f>IFERROR(__xludf.DUMMYFUNCTION("""COMPUTED_VALUE"""),46113.0)</f>
        <v>46113</v>
      </c>
      <c r="H124" s="4" t="str">
        <f>IFERROR(__xludf.DUMMYFUNCTION("""COMPUTED_VALUE"""),"Aguardando validação do jurídico para enviar contrato reformulado pro cliente. ")</f>
        <v>Aguardando validação do jurídico para enviar contrato reformulado pro cliente. </v>
      </c>
    </row>
    <row r="125">
      <c r="A125" s="4" t="str">
        <f>IFERROR(__xludf.DUMMYFUNCTION("""COMPUTED_VALUE"""),"Dog King")</f>
        <v>Dog King</v>
      </c>
      <c r="B125" s="4" t="str">
        <f>IFERROR(__xludf.DUMMYFUNCTION("""COMPUTED_VALUE"""),"Leonardo Roso")</f>
        <v>Leonardo Roso</v>
      </c>
      <c r="C125" s="4" t="str">
        <f>IFERROR(__xludf.DUMMYFUNCTION("""COMPUTED_VALUE"""),"Leonardo Roso")</f>
        <v>Leonardo Roso</v>
      </c>
      <c r="D125" s="4" t="str">
        <f>IFERROR(__xludf.DUMMYFUNCTION("""COMPUTED_VALUE"""),"2. Primeiro contato com a marca")</f>
        <v>2. Primeiro contato com a marca</v>
      </c>
      <c r="E125" s="4"/>
      <c r="F125" s="4" t="str">
        <f>IFERROR(__xludf.DUMMYFUNCTION("""COMPUTED_VALUE"""),"G")</f>
        <v>G</v>
      </c>
      <c r="G125" s="5">
        <f>IFERROR(__xludf.DUMMYFUNCTION("""COMPUTED_VALUE"""),46119.0)</f>
        <v>46119</v>
      </c>
      <c r="H125" s="4" t="str">
        <f>IFERROR(__xludf.DUMMYFUNCTION("""COMPUTED_VALUE"""),"Tentativa de contato com parceiro via whatsapp, KA abriu portas")</f>
        <v>Tentativa de contato com parceiro via whatsapp, KA abriu portas</v>
      </c>
    </row>
    <row r="126">
      <c r="A126" s="4" t="str">
        <f>IFERROR(__xludf.DUMMYFUNCTION("""COMPUTED_VALUE"""),"Dominos")</f>
        <v>Dominos</v>
      </c>
      <c r="B126" s="4" t="str">
        <f>IFERROR(__xludf.DUMMYFUNCTION("""COMPUTED_VALUE"""),"Leonardo Roso")</f>
        <v>Leonardo Roso</v>
      </c>
      <c r="C126" s="4" t="str">
        <f>IFERROR(__xludf.DUMMYFUNCTION("""COMPUTED_VALUE"""),"Leonardo Roso")</f>
        <v>Leonardo Roso</v>
      </c>
      <c r="D126" s="4" t="str">
        <f>IFERROR(__xludf.DUMMYFUNCTION("""COMPUTED_VALUE"""),"5. Demo/Showroom")</f>
        <v>5. Demo/Showroom</v>
      </c>
      <c r="E126" s="4" t="str">
        <f>IFERROR(__xludf.DUMMYFUNCTION("""COMPUTED_VALUE"""),"Comercial - Piloto em andamento e dentro do prazo")</f>
        <v>Comercial - Piloto em andamento e dentro do prazo</v>
      </c>
      <c r="F126" s="4" t="str">
        <f>IFERROR(__xludf.DUMMYFUNCTION("""COMPUTED_VALUE"""),"G")</f>
        <v>G</v>
      </c>
      <c r="G126" s="5">
        <f>IFERROR(__xludf.DUMMYFUNCTION("""COMPUTED_VALUE"""),46111.0)</f>
        <v>46111</v>
      </c>
      <c r="H126" s="4" t="str">
        <f>IFERROR(__xludf.DUMMYFUNCTION("""COMPUTED_VALUE"""),"Instalação laboratório temporário 25/03, instalação laboratório permanente 02/04 e agenda com diretor para apresentação da solução completa. Pedida de 10MM para utilização da 3S")</f>
        <v>Instalação laboratório temporário 25/03, instalação laboratório permanente 02/04 e agenda com diretor para apresentação da solução completa. Pedida de 10MM para utilização da 3S</v>
      </c>
    </row>
    <row r="127">
      <c r="A127" s="4" t="str">
        <f>IFERROR(__xludf.DUMMYFUNCTION("""COMPUTED_VALUE"""),"Estella Burger")</f>
        <v>Estella Burger</v>
      </c>
      <c r="B127" s="4" t="str">
        <f>IFERROR(__xludf.DUMMYFUNCTION("""COMPUTED_VALUE"""),"Lídia Esteves")</f>
        <v>Lídia Esteves</v>
      </c>
      <c r="C127" s="4" t="str">
        <f>IFERROR(__xludf.DUMMYFUNCTION("""COMPUTED_VALUE"""),"Gabriela Roma")</f>
        <v>Gabriela Roma</v>
      </c>
      <c r="D127" s="4" t="str">
        <f>IFERROR(__xludf.DUMMYFUNCTION("""COMPUTED_VALUE"""),"11. Stand by")</f>
        <v>11. Stand by</v>
      </c>
      <c r="E127" s="4" t="str">
        <f>IFERROR(__xludf.DUMMYFUNCTION("""COMPUTED_VALUE"""),"Parceiro - Aguardando retorno parceiro")</f>
        <v>Parceiro - Aguardando retorno parceiro</v>
      </c>
      <c r="F127" s="4" t="str">
        <f>IFERROR(__xludf.DUMMYFUNCTION("""COMPUTED_VALUE"""),"P")</f>
        <v>P</v>
      </c>
      <c r="G127" s="5">
        <f>IFERROR(__xludf.DUMMYFUNCTION("""COMPUTED_VALUE"""),46154.0)</f>
        <v>46154</v>
      </c>
      <c r="H127" s="4" t="str">
        <f>IFERROR(__xludf.DUMMYFUNCTION("""COMPUTED_VALUE"""),"Parceiro não nos respondendo de forma alguma, pedi ajuda ao time de delivery mas sem sucesso também do cliente retornar.")</f>
        <v>Parceiro não nos respondendo de forma alguma, pedi ajuda ao time de delivery mas sem sucesso também do cliente retornar.</v>
      </c>
    </row>
    <row r="128">
      <c r="A128" s="4" t="str">
        <f>IFERROR(__xludf.DUMMYFUNCTION("""COMPUTED_VALUE"""),"Ex Burger")</f>
        <v>Ex Burger</v>
      </c>
      <c r="B128" s="4" t="str">
        <f>IFERROR(__xludf.DUMMYFUNCTION("""COMPUTED_VALUE"""),"Emerson")</f>
        <v>Emerson</v>
      </c>
      <c r="C128" s="4" t="str">
        <f>IFERROR(__xludf.DUMMYFUNCTION("""COMPUTED_VALUE"""),"Emerson")</f>
        <v>Emerson</v>
      </c>
      <c r="D128" s="4" t="str">
        <f>IFERROR(__xludf.DUMMYFUNCTION("""COMPUTED_VALUE"""),"10. Perdido")</f>
        <v>10. Perdido</v>
      </c>
      <c r="E128" s="4" t="str">
        <f>IFERROR(__xludf.DUMMYFUNCTION("""COMPUTED_VALUE"""),"Perdido - Sem perfil LA / 3SCheckout / PDV próprio")</f>
        <v>Perdido - Sem perfil LA / 3SCheckout / PDV próprio</v>
      </c>
      <c r="F128" s="4" t="str">
        <f>IFERROR(__xludf.DUMMYFUNCTION("""COMPUTED_VALUE"""),"G")</f>
        <v>G</v>
      </c>
      <c r="G128" s="5">
        <f>IFERROR(__xludf.DUMMYFUNCTION("""COMPUTED_VALUE"""),46118.0)</f>
        <v>46118</v>
      </c>
      <c r="H128" s="4" t="str">
        <f>IFERROR(__xludf.DUMMYFUNCTION("""COMPUTED_VALUE"""),"Marca no pipe da Saipos")</f>
        <v>Marca no pipe da Saipos</v>
      </c>
    </row>
    <row r="129">
      <c r="A129" s="4" t="str">
        <f>IFERROR(__xludf.DUMMYFUNCTION("""COMPUTED_VALUE"""),"Fichips Food")</f>
        <v>Fichips Food</v>
      </c>
      <c r="B129" s="4" t="str">
        <f>IFERROR(__xludf.DUMMYFUNCTION("""COMPUTED_VALUE"""),"Lídia Esteves")</f>
        <v>Lídia Esteves</v>
      </c>
      <c r="C129" s="4" t="str">
        <f>IFERROR(__xludf.DUMMYFUNCTION("""COMPUTED_VALUE"""),"Gabriela Roma")</f>
        <v>Gabriela Roma</v>
      </c>
      <c r="D129" s="4" t="str">
        <f>IFERROR(__xludf.DUMMYFUNCTION("""COMPUTED_VALUE"""),"11. Stand by")</f>
        <v>11. Stand by</v>
      </c>
      <c r="E129" s="4" t="str">
        <f>IFERROR(__xludf.DUMMYFUNCTION("""COMPUTED_VALUE"""),"Perdido - Outro (detalhar ao lado)")</f>
        <v>Perdido - Outro (detalhar ao lado)</v>
      </c>
      <c r="F129" s="4" t="str">
        <f>IFERROR(__xludf.DUMMYFUNCTION("""COMPUTED_VALUE"""),"M")</f>
        <v>M</v>
      </c>
      <c r="G129" s="5">
        <f>IFERROR(__xludf.DUMMYFUNCTION("""COMPUTED_VALUE"""),46076.0)</f>
        <v>46076</v>
      </c>
      <c r="H129" s="4" t="str">
        <f>IFERROR(__xludf.DUMMYFUNCTION("""COMPUTED_VALUE"""),"Falando com o Emerson eu soube que estão negociando em paralelo com o Impettus que agora é o grupo detentor da marca.")</f>
        <v>Falando com o Emerson eu soube que estão negociando em paralelo com o Impettus que agora é o grupo detentor da marca.</v>
      </c>
    </row>
    <row r="130">
      <c r="A130" s="4" t="str">
        <f>IFERROR(__xludf.DUMMYFUNCTION("""COMPUTED_VALUE"""),"Flakes")</f>
        <v>Flakes</v>
      </c>
      <c r="B130" s="4" t="str">
        <f>IFERROR(__xludf.DUMMYFUNCTION("""COMPUTED_VALUE"""),"Ana")</f>
        <v>Ana</v>
      </c>
      <c r="C130" s="4" t="str">
        <f>IFERROR(__xludf.DUMMYFUNCTION("""COMPUTED_VALUE"""),"Gabriela Roma")</f>
        <v>Gabriela Roma</v>
      </c>
      <c r="D130" s="4" t="str">
        <f>IFERROR(__xludf.DUMMYFUNCTION("""COMPUTED_VALUE"""),"9. Contrato assinado")</f>
        <v>9. Contrato assinado</v>
      </c>
      <c r="E130" s="4" t="str">
        <f>IFERROR(__xludf.DUMMYFUNCTION("""COMPUTED_VALUE""")," Projetos - Contrato assinado &amp; Rollout")</f>
        <v> Projetos - Contrato assinado &amp; Rollout</v>
      </c>
      <c r="F130" s="4" t="str">
        <f>IFERROR(__xludf.DUMMYFUNCTION("""COMPUTED_VALUE"""),"P")</f>
        <v>P</v>
      </c>
      <c r="G130" s="5">
        <f>IFERROR(__xludf.DUMMYFUNCTION("""COMPUTED_VALUE"""),46121.0)</f>
        <v>46121</v>
      </c>
      <c r="H130" s="4" t="str">
        <f>IFERROR(__xludf.DUMMYFUNCTION("""COMPUTED_VALUE"""),"Contrato assinado 06/04 - prox passo projetos")</f>
        <v>Contrato assinado 06/04 - prox passo projetos</v>
      </c>
    </row>
    <row r="131">
      <c r="A131" s="4" t="str">
        <f>IFERROR(__xludf.DUMMYFUNCTION("""COMPUTED_VALUE"""),"Frutaria São Paulo")</f>
        <v>Frutaria São Paulo</v>
      </c>
      <c r="B131" s="4" t="str">
        <f>IFERROR(__xludf.DUMMYFUNCTION("""COMPUTED_VALUE"""),"Lídia Esteves")</f>
        <v>Lídia Esteves</v>
      </c>
      <c r="C131" s="4" t="str">
        <f>IFERROR(__xludf.DUMMYFUNCTION("""COMPUTED_VALUE"""),"Gabriela Roma")</f>
        <v>Gabriela Roma</v>
      </c>
      <c r="D131" s="4" t="str">
        <f>IFERROR(__xludf.DUMMYFUNCTION("""COMPUTED_VALUE"""),"11. Stand by")</f>
        <v>11. Stand by</v>
      </c>
      <c r="E131" s="4" t="str">
        <f>IFERROR(__xludf.DUMMYFUNCTION("""COMPUTED_VALUE"""),"Parceiro - Em validação de proposta comercial")</f>
        <v>Parceiro - Em validação de proposta comercial</v>
      </c>
      <c r="F131" s="4" t="str">
        <f>IFERROR(__xludf.DUMMYFUNCTION("""COMPUTED_VALUE"""),"P")</f>
        <v>P</v>
      </c>
      <c r="G131" s="5">
        <f>IFERROR(__xludf.DUMMYFUNCTION("""COMPUTED_VALUE"""),46104.0)</f>
        <v>46104</v>
      </c>
      <c r="H131" s="4" t="str">
        <f>IFERROR(__xludf.DUMMYFUNCTION("""COMPUTED_VALUE"""),"Parceiro precisa aguardar algumas questões jurídicas (disputa com Cláudio) e técnicas (adesão a novo ERP) antes de conseguir retomar negociação conosco. Fazer FUP exporadicamente para não esfriar totalmente negoiação.")</f>
        <v>Parceiro precisa aguardar algumas questões jurídicas (disputa com Cláudio) e técnicas (adesão a novo ERP) antes de conseguir retomar negociação conosco. Fazer FUP exporadicamente para não esfriar totalmente negoiação.</v>
      </c>
    </row>
    <row r="132">
      <c r="A132" s="4" t="str">
        <f>IFERROR(__xludf.DUMMYFUNCTION("""COMPUTED_VALUE"""),"Futuro Refeitorio")</f>
        <v>Futuro Refeitorio</v>
      </c>
      <c r="B132" s="4" t="str">
        <f>IFERROR(__xludf.DUMMYFUNCTION("""COMPUTED_VALUE"""),"João Biagiotti")</f>
        <v>João Biagiotti</v>
      </c>
      <c r="C132" s="4" t="str">
        <f>IFERROR(__xludf.DUMMYFUNCTION("""COMPUTED_VALUE"""),"Diego Santos")</f>
        <v>Diego Santos</v>
      </c>
      <c r="D132" s="4" t="str">
        <f>IFERROR(__xludf.DUMMYFUNCTION("""COMPUTED_VALUE"""),"13. Reativado")</f>
        <v>13. Reativado</v>
      </c>
      <c r="E132" s="4" t="str">
        <f>IFERROR(__xludf.DUMMYFUNCTION("""COMPUTED_VALUE"""),"Delivery - Momento inadequado de abordagem (ex. 99)")</f>
        <v>Delivery - Momento inadequado de abordagem (ex. 99)</v>
      </c>
      <c r="F132" s="4" t="str">
        <f>IFERROR(__xludf.DUMMYFUNCTION("""COMPUTED_VALUE"""),"P")</f>
        <v>P</v>
      </c>
      <c r="G132" s="5">
        <f>IFERROR(__xludf.DUMMYFUNCTION("""COMPUTED_VALUE"""),46076.0)</f>
        <v>46076</v>
      </c>
      <c r="H132" s="4" t="str">
        <f>IFERROR(__xludf.DUMMYFUNCTION("""COMPUTED_VALUE"""),"Problemas de relacionamento devido logística. Não conseguimos agendar reunião.")</f>
        <v>Problemas de relacionamento devido logística. Não conseguimos agendar reunião.</v>
      </c>
    </row>
    <row r="133">
      <c r="A133" s="4" t="str">
        <f>IFERROR(__xludf.DUMMYFUNCTION("""COMPUTED_VALUE"""),"Giraffas")</f>
        <v>Giraffas</v>
      </c>
      <c r="B133" s="4" t="str">
        <f>IFERROR(__xludf.DUMMYFUNCTION("""COMPUTED_VALUE"""),"Leonardo Roso")</f>
        <v>Leonardo Roso</v>
      </c>
      <c r="C133" s="4" t="str">
        <f>IFERROR(__xludf.DUMMYFUNCTION("""COMPUTED_VALUE"""),"Leonardo Roso")</f>
        <v>Leonardo Roso</v>
      </c>
      <c r="D133" s="4" t="str">
        <f>IFERROR(__xludf.DUMMYFUNCTION("""COMPUTED_VALUE"""),"11. Stand by")</f>
        <v>11. Stand by</v>
      </c>
      <c r="E133" s="4"/>
      <c r="F133" s="4" t="str">
        <f>IFERROR(__xludf.DUMMYFUNCTION("""COMPUTED_VALUE"""),"G")</f>
        <v>G</v>
      </c>
      <c r="G133" s="4"/>
      <c r="H133" s="4"/>
    </row>
    <row r="134">
      <c r="A134" s="4" t="str">
        <f>IFERROR(__xludf.DUMMYFUNCTION("""COMPUTED_VALUE"""),"Grão Espresso")</f>
        <v>Grão Espresso</v>
      </c>
      <c r="B134" s="4" t="str">
        <f>IFERROR(__xludf.DUMMYFUNCTION("""COMPUTED_VALUE"""),"Leonardo Roso")</f>
        <v>Leonardo Roso</v>
      </c>
      <c r="C134" s="4" t="str">
        <f>IFERROR(__xludf.DUMMYFUNCTION("""COMPUTED_VALUE"""),"Leonardo Roso")</f>
        <v>Leonardo Roso</v>
      </c>
      <c r="D134" s="4" t="str">
        <f>IFERROR(__xludf.DUMMYFUNCTION("""COMPUTED_VALUE"""),"11. Stand by")</f>
        <v>11. Stand by</v>
      </c>
      <c r="E134" s="4" t="str">
        <f>IFERROR(__xludf.DUMMYFUNCTION("""COMPUTED_VALUE"""),"Parceiro - Aguardando retorno / Conciliação agenda")</f>
        <v>Parceiro - Aguardando retorno / Conciliação agenda</v>
      </c>
      <c r="F134" s="4" t="str">
        <f>IFERROR(__xludf.DUMMYFUNCTION("""COMPUTED_VALUE"""),"G")</f>
        <v>G</v>
      </c>
      <c r="G134" s="5">
        <f>IFERROR(__xludf.DUMMYFUNCTION("""COMPUTED_VALUE"""),46073.0)</f>
        <v>46073</v>
      </c>
      <c r="H134" s="4" t="str">
        <f>IFERROR(__xludf.DUMMYFUNCTION("""COMPUTED_VALUE"""),"Abordagem com tomador de decisão a partir de Março/26")</f>
        <v>Abordagem com tomador de decisão a partir de Março/26</v>
      </c>
    </row>
    <row r="135">
      <c r="A135" s="4" t="str">
        <f>IFERROR(__xludf.DUMMYFUNCTION("""COMPUTED_VALUE"""),"Green Dog- Conta Pai")</f>
        <v>Green Dog- Conta Pai</v>
      </c>
      <c r="B135" s="4" t="str">
        <f>IFERROR(__xludf.DUMMYFUNCTION("""COMPUTED_VALUE"""),"Lídia Esteves")</f>
        <v>Lídia Esteves</v>
      </c>
      <c r="C135" s="4" t="str">
        <f>IFERROR(__xludf.DUMMYFUNCTION("""COMPUTED_VALUE"""),"Gabriela Roma")</f>
        <v>Gabriela Roma</v>
      </c>
      <c r="D135" s="4" t="str">
        <f>IFERROR(__xludf.DUMMYFUNCTION("""COMPUTED_VALUE"""),"10. Perdido")</f>
        <v>10. Perdido</v>
      </c>
      <c r="E135" s="4" t="str">
        <f>IFERROR(__xludf.DUMMYFUNCTION("""COMPUTED_VALUE"""),"Delivery - Momento inadequado de abordagem (ex. 99)")</f>
        <v>Delivery - Momento inadequado de abordagem (ex. 99)</v>
      </c>
      <c r="F135" s="4" t="str">
        <f>IFERROR(__xludf.DUMMYFUNCTION("""COMPUTED_VALUE"""),"P")</f>
        <v>P</v>
      </c>
      <c r="G135" s="5">
        <f>IFERROR(__xludf.DUMMYFUNCTION("""COMPUTED_VALUE"""),46122.0)</f>
        <v>46122</v>
      </c>
      <c r="H135" s="4" t="str">
        <f>IFERROR(__xludf.DUMMYFUNCTION("""COMPUTED_VALUE"""),"pedi a agenda ao ex de delivery e a marca está com saipos")</f>
        <v>pedi a agenda ao ex de delivery e a marca está com saipos</v>
      </c>
    </row>
    <row r="136">
      <c r="A136" s="4" t="str">
        <f>IFERROR(__xludf.DUMMYFUNCTION("""COMPUTED_VALUE"""),"Greenjoy")</f>
        <v>Greenjoy</v>
      </c>
      <c r="B136" s="4" t="str">
        <f>IFERROR(__xludf.DUMMYFUNCTION("""COMPUTED_VALUE"""),"Diego Santos")</f>
        <v>Diego Santos</v>
      </c>
      <c r="C136" s="4" t="str">
        <f>IFERROR(__xludf.DUMMYFUNCTION("""COMPUTED_VALUE"""),"Diego Santos")</f>
        <v>Diego Santos</v>
      </c>
      <c r="D136" s="4" t="str">
        <f>IFERROR(__xludf.DUMMYFUNCTION("""COMPUTED_VALUE"""),"13. Reativado")</f>
        <v>13. Reativado</v>
      </c>
      <c r="E136" s="4" t="str">
        <f>IFERROR(__xludf.DUMMYFUNCTION("""COMPUTED_VALUE"""),"Perdido -  Momento do restaurante não favorável")</f>
        <v>Perdido -  Momento do restaurante não favorável</v>
      </c>
      <c r="F136" s="4" t="str">
        <f>IFERROR(__xludf.DUMMYFUNCTION("""COMPUTED_VALUE"""),"P")</f>
        <v>P</v>
      </c>
      <c r="G136" s="5">
        <f>IFERROR(__xludf.DUMMYFUNCTION("""COMPUTED_VALUE"""),46086.0)</f>
        <v>46086</v>
      </c>
      <c r="H136" s="4" t="str">
        <f>IFERROR(__xludf.DUMMYFUNCTION("""COMPUTED_VALUE"""),"Sem interesse em falar sobre nossos produtos, está muito satisfeito com os fornecedores atuais. ")</f>
        <v>Sem interesse em falar sobre nossos produtos, está muito satisfeito com os fornecedores atuais. </v>
      </c>
    </row>
    <row r="137">
      <c r="A137" s="4" t="str">
        <f>IFERROR(__xludf.DUMMYFUNCTION("""COMPUTED_VALUE"""),"Grupo Agua Doce Cachacaria")</f>
        <v>Grupo Agua Doce Cachacaria</v>
      </c>
      <c r="B137" s="4" t="str">
        <f>IFERROR(__xludf.DUMMYFUNCTION("""COMPUTED_VALUE"""),"Lídia Esteves")</f>
        <v>Lídia Esteves</v>
      </c>
      <c r="C137" s="4" t="str">
        <f>IFERROR(__xludf.DUMMYFUNCTION("""COMPUTED_VALUE"""),"Gabriela Roma")</f>
        <v>Gabriela Roma</v>
      </c>
      <c r="D137" s="4" t="str">
        <f>IFERROR(__xludf.DUMMYFUNCTION("""COMPUTED_VALUE"""),"4. Diagnóstico")</f>
        <v>4. Diagnóstico</v>
      </c>
      <c r="E137" s="4" t="str">
        <f>IFERROR(__xludf.DUMMYFUNCTION("""COMPUTED_VALUE"""),"Comercial - Contato realizado com parceiro")</f>
        <v>Comercial - Contato realizado com parceiro</v>
      </c>
      <c r="F137" s="4" t="str">
        <f>IFERROR(__xludf.DUMMYFUNCTION("""COMPUTED_VALUE"""),"M")</f>
        <v>M</v>
      </c>
      <c r="G137" s="5">
        <f>IFERROR(__xludf.DUMMYFUNCTION("""COMPUTED_VALUE"""),46154.0)</f>
        <v>46154</v>
      </c>
      <c r="H137" s="4" t="str">
        <f>IFERROR(__xludf.DUMMYFUNCTION("""COMPUTED_VALUE"""),"Mari e Samuca fizeram visita, estão aguardando para uma visita presencial no outback")</f>
        <v>Mari e Samuca fizeram visita, estão aguardando para uma visita presencial no outback</v>
      </c>
    </row>
    <row r="138">
      <c r="A138" s="4" t="str">
        <f>IFERROR(__xludf.DUMMYFUNCTION("""COMPUTED_VALUE"""),"Grupo Atlântico")</f>
        <v>Grupo Atlântico</v>
      </c>
      <c r="B138" s="4" t="str">
        <f>IFERROR(__xludf.DUMMYFUNCTION("""COMPUTED_VALUE"""),"João Biagiotti")</f>
        <v>João Biagiotti</v>
      </c>
      <c r="C138" s="4" t="str">
        <f>IFERROR(__xludf.DUMMYFUNCTION("""COMPUTED_VALUE"""),"Diego Santos")</f>
        <v>Diego Santos</v>
      </c>
      <c r="D138" s="4" t="str">
        <f>IFERROR(__xludf.DUMMYFUNCTION("""COMPUTED_VALUE"""),"5. Demo/Showroom")</f>
        <v>5. Demo/Showroom</v>
      </c>
      <c r="E138" s="4" t="str">
        <f>IFERROR(__xludf.DUMMYFUNCTION("""COMPUTED_VALUE"""),"Pré-vendas - Em validação técnica")</f>
        <v>Pré-vendas - Em validação técnica</v>
      </c>
      <c r="F138" s="4" t="str">
        <f>IFERROR(__xludf.DUMMYFUNCTION("""COMPUTED_VALUE"""),"P")</f>
        <v>P</v>
      </c>
      <c r="G138" s="5">
        <f>IFERROR(__xludf.DUMMYFUNCTION("""COMPUTED_VALUE"""),46153.0)</f>
        <v>46153</v>
      </c>
      <c r="H138" s="4" t="str">
        <f>IFERROR(__xludf.DUMMYFUNCTION("""COMPUTED_VALUE"""),"Alinhando com o cliente o escopo para elaborar proposta comercial. ")</f>
        <v>Alinhando com o cliente o escopo para elaborar proposta comercial. </v>
      </c>
    </row>
    <row r="139">
      <c r="A139" s="4" t="str">
        <f>IFERROR(__xludf.DUMMYFUNCTION("""COMPUTED_VALUE"""),"Grupo Atrio")</f>
        <v>Grupo Atrio</v>
      </c>
      <c r="B139" s="4" t="str">
        <f>IFERROR(__xludf.DUMMYFUNCTION("""COMPUTED_VALUE"""),"Leonardo Roso")</f>
        <v>Leonardo Roso</v>
      </c>
      <c r="C139" s="4" t="str">
        <f>IFERROR(__xludf.DUMMYFUNCTION("""COMPUTED_VALUE"""),"Leonardo Roso")</f>
        <v>Leonardo Roso</v>
      </c>
      <c r="D139" s="4" t="str">
        <f>IFERROR(__xludf.DUMMYFUNCTION("""COMPUTED_VALUE"""),"3. Apresentação")</f>
        <v>3. Apresentação</v>
      </c>
      <c r="E139" s="4"/>
      <c r="F139" s="4" t="str">
        <f>IFERROR(__xludf.DUMMYFUNCTION("""COMPUTED_VALUE"""),"G")</f>
        <v>G</v>
      </c>
      <c r="G139" s="4"/>
      <c r="H139" s="4"/>
    </row>
    <row r="140">
      <c r="A140" s="4" t="str">
        <f>IFERROR(__xludf.DUMMYFUNCTION("""COMPUTED_VALUE"""),"Grupo BHF")</f>
        <v>Grupo BHF</v>
      </c>
      <c r="B140" s="4" t="str">
        <f>IFERROR(__xludf.DUMMYFUNCTION("""COMPUTED_VALUE"""),"João Biagiotti")</f>
        <v>João Biagiotti</v>
      </c>
      <c r="C140" s="4" t="str">
        <f>IFERROR(__xludf.DUMMYFUNCTION("""COMPUTED_VALUE"""),"Diego Santos")</f>
        <v>Diego Santos</v>
      </c>
      <c r="D140" s="4" t="str">
        <f>IFERROR(__xludf.DUMMYFUNCTION("""COMPUTED_VALUE"""),"3. Apresentação")</f>
        <v>3. Apresentação</v>
      </c>
      <c r="E140" s="4" t="str">
        <f>IFERROR(__xludf.DUMMYFUNCTION("""COMPUTED_VALUE"""),"Comercial - Contato realizado com parceiro")</f>
        <v>Comercial - Contato realizado com parceiro</v>
      </c>
      <c r="F140" s="4" t="str">
        <f>IFERROR(__xludf.DUMMYFUNCTION("""COMPUTED_VALUE"""),"Sem Classificação")</f>
        <v>Sem Classificação</v>
      </c>
      <c r="G140" s="5">
        <f>IFERROR(__xludf.DUMMYFUNCTION("""COMPUTED_VALUE"""),46153.0)</f>
        <v>46153</v>
      </c>
      <c r="H140" s="4" t="str">
        <f>IFERROR(__xludf.DUMMYFUNCTION("""COMPUTED_VALUE"""),"Agendei uma reuniao com a adriana (franqueadora) para apresentar a área de salão")</f>
        <v>Agendei uma reuniao com a adriana (franqueadora) para apresentar a área de salão</v>
      </c>
    </row>
    <row r="141">
      <c r="A141" s="4" t="str">
        <f>IFERROR(__xludf.DUMMYFUNCTION("""COMPUTED_VALUE"""),"Grupo Crm (Kopenhagem)")</f>
        <v>Grupo Crm (Kopenhagem)</v>
      </c>
      <c r="B141" s="4" t="str">
        <f>IFERROR(__xludf.DUMMYFUNCTION("""COMPUTED_VALUE"""),"Leonardo Roso")</f>
        <v>Leonardo Roso</v>
      </c>
      <c r="C141" s="4" t="str">
        <f>IFERROR(__xludf.DUMMYFUNCTION("""COMPUTED_VALUE"""),"Leonardo Roso")</f>
        <v>Leonardo Roso</v>
      </c>
      <c r="D141" s="4" t="str">
        <f>IFERROR(__xludf.DUMMYFUNCTION("""COMPUTED_VALUE"""),"3. Apresentação")</f>
        <v>3. Apresentação</v>
      </c>
      <c r="E141" s="4" t="str">
        <f>IFERROR(__xludf.DUMMYFUNCTION("""COMPUTED_VALUE"""),"Parceiro - Aguardando retorno parceiro")</f>
        <v>Parceiro - Aguardando retorno parceiro</v>
      </c>
      <c r="F141" s="4" t="str">
        <f>IFERROR(__xludf.DUMMYFUNCTION("""COMPUTED_VALUE"""),"G")</f>
        <v>G</v>
      </c>
      <c r="G141" s="5">
        <f>IFERROR(__xludf.DUMMYFUNCTION("""COMPUTED_VALUE"""),46155.0)</f>
        <v>46155</v>
      </c>
      <c r="H141" s="4" t="str">
        <f>IFERROR(__xludf.DUMMYFUNCTION("""COMPUTED_VALUE"""),"Nova reunião realizada com time comercial e operações, apresentada produto e CRM vai analisar internamente e retornará para possível andamento da solução")</f>
        <v>Nova reunião realizada com time comercial e operações, apresentada produto e CRM vai analisar internamente e retornará para possível andamento da solução</v>
      </c>
    </row>
    <row r="142">
      <c r="A142" s="4" t="str">
        <f>IFERROR(__xludf.DUMMYFUNCTION("""COMPUTED_VALUE"""),"Grupo Dock")</f>
        <v>Grupo Dock</v>
      </c>
      <c r="B142" s="4" t="str">
        <f>IFERROR(__xludf.DUMMYFUNCTION("""COMPUTED_VALUE"""),"João Biagiotti")</f>
        <v>João Biagiotti</v>
      </c>
      <c r="C142" s="4" t="str">
        <f>IFERROR(__xludf.DUMMYFUNCTION("""COMPUTED_VALUE"""),"Diego Santos")</f>
        <v>Diego Santos</v>
      </c>
      <c r="D142" s="4" t="str">
        <f>IFERROR(__xludf.DUMMYFUNCTION("""COMPUTED_VALUE"""),"2. Primeiro Contato com a marca")</f>
        <v>2. Primeiro Contato com a marca</v>
      </c>
      <c r="E142" s="4" t="str">
        <f>IFERROR(__xludf.DUMMYFUNCTION("""COMPUTED_VALUE"""),"Delivery - Momento inadequado de abordagem (ex. 99)")</f>
        <v>Delivery - Momento inadequado de abordagem (ex. 99)</v>
      </c>
      <c r="F142" s="4" t="str">
        <f>IFERROR(__xludf.DUMMYFUNCTION("""COMPUTED_VALUE"""),"P")</f>
        <v>P</v>
      </c>
      <c r="G142" s="5">
        <f>IFERROR(__xludf.DUMMYFUNCTION("""COMPUTED_VALUE"""),46097.0)</f>
        <v>46097</v>
      </c>
      <c r="H142" s="4" t="str">
        <f>IFERROR(__xludf.DUMMYFUNCTION("""COMPUTED_VALUE"""),"Executiva disse que ainda não é bom falar com o parceiro pois o mesmo está priorizando reformas no salão atual")</f>
        <v>Executiva disse que ainda não é bom falar com o parceiro pois o mesmo está priorizando reformas no salão atual</v>
      </c>
    </row>
    <row r="143">
      <c r="A143" s="4" t="str">
        <f>IFERROR(__xludf.DUMMYFUNCTION("""COMPUTED_VALUE"""),"Grupo Fit")</f>
        <v>Grupo Fit</v>
      </c>
      <c r="B143" s="4" t="str">
        <f>IFERROR(__xludf.DUMMYFUNCTION("""COMPUTED_VALUE"""),"Leonardo Roso")</f>
        <v>Leonardo Roso</v>
      </c>
      <c r="C143" s="4" t="str">
        <f>IFERROR(__xludf.DUMMYFUNCTION("""COMPUTED_VALUE"""),"Leonardo Roso")</f>
        <v>Leonardo Roso</v>
      </c>
      <c r="D143" s="4" t="str">
        <f>IFERROR(__xludf.DUMMYFUNCTION("""COMPUTED_VALUE"""),"8. Contrato enviado")</f>
        <v>8. Contrato enviado</v>
      </c>
      <c r="E143" s="4"/>
      <c r="F143" s="4" t="str">
        <f>IFERROR(__xludf.DUMMYFUNCTION("""COMPUTED_VALUE"""),"G")</f>
        <v>G</v>
      </c>
      <c r="G143" s="4"/>
      <c r="H143" s="4"/>
    </row>
    <row r="144">
      <c r="A144" s="4" t="str">
        <f>IFERROR(__xludf.DUMMYFUNCTION("""COMPUTED_VALUE"""),"Grupo Impettus")</f>
        <v>Grupo Impettus</v>
      </c>
      <c r="B144" s="4" t="str">
        <f>IFERROR(__xludf.DUMMYFUNCTION("""COMPUTED_VALUE"""),"Leonardo Roso")</f>
        <v>Leonardo Roso</v>
      </c>
      <c r="C144" s="4" t="str">
        <f>IFERROR(__xludf.DUMMYFUNCTION("""COMPUTED_VALUE"""),"Leonardo Roso")</f>
        <v>Leonardo Roso</v>
      </c>
      <c r="D144" s="4" t="str">
        <f>IFERROR(__xludf.DUMMYFUNCTION("""COMPUTED_VALUE"""),"6. Negociação")</f>
        <v>6. Negociação</v>
      </c>
      <c r="E144" s="4" t="str">
        <f>IFERROR(__xludf.DUMMYFUNCTION("""COMPUTED_VALUE"""),"Comercial - Em negociação de proposta")</f>
        <v>Comercial - Em negociação de proposta</v>
      </c>
      <c r="F144" s="4" t="str">
        <f>IFERROR(__xludf.DUMMYFUNCTION("""COMPUTED_VALUE"""),"G")</f>
        <v>G</v>
      </c>
      <c r="G144" s="5">
        <f>IFERROR(__xludf.DUMMYFUNCTION("""COMPUTED_VALUE"""),46073.0)</f>
        <v>46073</v>
      </c>
      <c r="H144" s="4" t="str">
        <f>IFERROR(__xludf.DUMMYFUNCTION("""COMPUTED_VALUE"""),"Contraproposta de 200k investimento - Em construção do ppt para apresentação até 28/02")</f>
        <v>Contraproposta de 200k investimento - Em construção do ppt para apresentação até 28/02</v>
      </c>
    </row>
    <row r="145">
      <c r="A145" s="4" t="str">
        <f>IFERROR(__xludf.DUMMYFUNCTION("""COMPUTED_VALUE"""),"Grupo Ito")</f>
        <v>Grupo Ito</v>
      </c>
      <c r="B145" s="4" t="str">
        <f>IFERROR(__xludf.DUMMYFUNCTION("""COMPUTED_VALUE"""),"Emerson")</f>
        <v>Emerson</v>
      </c>
      <c r="C145" s="4" t="str">
        <f>IFERROR(__xludf.DUMMYFUNCTION("""COMPUTED_VALUE"""),"Emerson")</f>
        <v>Emerson</v>
      </c>
      <c r="D145" s="4" t="str">
        <f>IFERROR(__xludf.DUMMYFUNCTION("""COMPUTED_VALUE"""),"11. Stand by")</f>
        <v>11. Stand by</v>
      </c>
      <c r="E145" s="4" t="str">
        <f>IFERROR(__xludf.DUMMYFUNCTION("""COMPUTED_VALUE"""),"Comercial - Contato realizado com parceiro")</f>
        <v>Comercial - Contato realizado com parceiro</v>
      </c>
      <c r="F145" s="4" t="str">
        <f>IFERROR(__xludf.DUMMYFUNCTION("""COMPUTED_VALUE"""),"P")</f>
        <v>P</v>
      </c>
      <c r="G145" s="5">
        <f>IFERROR(__xludf.DUMMYFUNCTION("""COMPUTED_VALUE"""),46076.0)</f>
        <v>46076</v>
      </c>
      <c r="H145" s="4" t="str">
        <f>IFERROR(__xludf.DUMMYFUNCTION("""COMPUTED_VALUE"""),"Primeira agenda declinaram pois estavam em busca de um HUB de delivery, Emerson está falando com o decisor da marca para tentar novamente apresentar solução.")</f>
        <v>Primeira agenda declinaram pois estavam em busca de um HUB de delivery, Emerson está falando com o decisor da marca para tentar novamente apresentar solução.</v>
      </c>
    </row>
    <row r="146">
      <c r="A146" s="4" t="str">
        <f>IFERROR(__xludf.DUMMYFUNCTION("""COMPUTED_VALUE"""),"Grupo Mori")</f>
        <v>Grupo Mori</v>
      </c>
      <c r="B146" s="4" t="str">
        <f>IFERROR(__xludf.DUMMYFUNCTION("""COMPUTED_VALUE"""),"João Biagiotti")</f>
        <v>João Biagiotti</v>
      </c>
      <c r="C146" s="4" t="str">
        <f>IFERROR(__xludf.DUMMYFUNCTION("""COMPUTED_VALUE"""),"Diego Santos")</f>
        <v>Diego Santos</v>
      </c>
      <c r="D146" s="4" t="str">
        <f>IFERROR(__xludf.DUMMYFUNCTION("""COMPUTED_VALUE"""),"11. Stand by")</f>
        <v>11. Stand by</v>
      </c>
      <c r="E146" s="4" t="str">
        <f>IFERROR(__xludf.DUMMYFUNCTION("""COMPUTED_VALUE"""),"Delivery - Momento inadequado de abordagem (ex. 99)")</f>
        <v>Delivery - Momento inadequado de abordagem (ex. 99)</v>
      </c>
      <c r="F146" s="4" t="str">
        <f>IFERROR(__xludf.DUMMYFUNCTION("""COMPUTED_VALUE"""),"P")</f>
        <v>P</v>
      </c>
      <c r="G146" s="5">
        <f>IFERROR(__xludf.DUMMYFUNCTION("""COMPUTED_VALUE"""),46076.0)</f>
        <v>46076</v>
      </c>
      <c r="H146" s="4" t="str">
        <f>IFERROR(__xludf.DUMMYFUNCTION("""COMPUTED_VALUE"""),"Quer redução no delivery, não irá avançar na negociação enquanto não acontecer. Previsão Março/Abril/26")</f>
        <v>Quer redução no delivery, não irá avançar na negociação enquanto não acontecer. Previsão Março/Abril/26</v>
      </c>
    </row>
    <row r="147">
      <c r="A147" s="4" t="str">
        <f>IFERROR(__xludf.DUMMYFUNCTION("""COMPUTED_VALUE"""),"Grupo Mult")</f>
        <v>Grupo Mult</v>
      </c>
      <c r="B147" s="4" t="str">
        <f>IFERROR(__xludf.DUMMYFUNCTION("""COMPUTED_VALUE"""),"Lídia Esteves")</f>
        <v>Lídia Esteves</v>
      </c>
      <c r="C147" s="4" t="str">
        <f>IFERROR(__xludf.DUMMYFUNCTION("""COMPUTED_VALUE"""),"Gabriela Roma")</f>
        <v>Gabriela Roma</v>
      </c>
      <c r="D147" s="4" t="str">
        <f>IFERROR(__xludf.DUMMYFUNCTION("""COMPUTED_VALUE"""),"11. Stand by")</f>
        <v>11. Stand by</v>
      </c>
      <c r="E147" s="4" t="str">
        <f>IFERROR(__xludf.DUMMYFUNCTION("""COMPUTED_VALUE"""),"Parceiro - Aguardando retorno / Conciliação agenda")</f>
        <v>Parceiro - Aguardando retorno / Conciliação agenda</v>
      </c>
      <c r="F147" s="4" t="str">
        <f>IFERROR(__xludf.DUMMYFUNCTION("""COMPUTED_VALUE"""),"P")</f>
        <v>P</v>
      </c>
      <c r="G147" s="5">
        <f>IFERROR(__xludf.DUMMYFUNCTION("""COMPUTED_VALUE"""),46076.0)</f>
        <v>46076</v>
      </c>
      <c r="H147" s="4" t="str">
        <f>IFERROR(__xludf.DUMMYFUNCTION("""COMPUTED_VALUE"""),"Parceiro tem interesse em fazer piloto mas pediu para retornar no segundo semestre, devido expansão da marca.")</f>
        <v>Parceiro tem interesse em fazer piloto mas pediu para retornar no segundo semestre, devido expansão da marca.</v>
      </c>
    </row>
    <row r="148">
      <c r="A148" s="4" t="str">
        <f>IFERROR(__xludf.DUMMYFUNCTION("""COMPUTED_VALUE"""),"Grupo Qg")</f>
        <v>Grupo Qg</v>
      </c>
      <c r="B148" s="4" t="str">
        <f>IFERROR(__xludf.DUMMYFUNCTION("""COMPUTED_VALUE"""),"Lídia Esteves")</f>
        <v>Lídia Esteves</v>
      </c>
      <c r="C148" s="4" t="str">
        <f>IFERROR(__xludf.DUMMYFUNCTION("""COMPUTED_VALUE"""),"Gabriela Roma")</f>
        <v>Gabriela Roma</v>
      </c>
      <c r="D148" s="4" t="str">
        <f>IFERROR(__xludf.DUMMYFUNCTION("""COMPUTED_VALUE"""),"7. Piloto")</f>
        <v>7. Piloto</v>
      </c>
      <c r="E148" s="4" t="str">
        <f>IFERROR(__xludf.DUMMYFUNCTION("""COMPUTED_VALUE"""),"Projetos - Em piloto")</f>
        <v>Projetos - Em piloto</v>
      </c>
      <c r="F148" s="4" t="str">
        <f>IFERROR(__xludf.DUMMYFUNCTION("""COMPUTED_VALUE"""),"M")</f>
        <v>M</v>
      </c>
      <c r="G148" s="5">
        <f>IFERROR(__xludf.DUMMYFUNCTION("""COMPUTED_VALUE"""),46121.0)</f>
        <v>46121</v>
      </c>
      <c r="H148" s="4" t="str">
        <f>IFERROR(__xludf.DUMMYFUNCTION("""COMPUTED_VALUE"""),"reinamento + go live semana do dia 20/04. Mari FUP de contrato com PP na proxima segunda-feira (ja coloquei na minha agenda)")</f>
        <v>reinamento + go live semana do dia 20/04. Mari FUP de contrato com PP na proxima segunda-feira (ja coloquei na minha agenda)</v>
      </c>
    </row>
    <row r="149">
      <c r="A149" s="4" t="str">
        <f>IFERROR(__xludf.DUMMYFUNCTION("""COMPUTED_VALUE"""),"Grupo Rueda")</f>
        <v>Grupo Rueda</v>
      </c>
      <c r="B149" s="4" t="str">
        <f>IFERROR(__xludf.DUMMYFUNCTION("""COMPUTED_VALUE"""),"João Biagiotti")</f>
        <v>João Biagiotti</v>
      </c>
      <c r="C149" s="4" t="str">
        <f>IFERROR(__xludf.DUMMYFUNCTION("""COMPUTED_VALUE"""),"Diego Santos")</f>
        <v>Diego Santos</v>
      </c>
      <c r="D149" s="4" t="str">
        <f>IFERROR(__xludf.DUMMYFUNCTION("""COMPUTED_VALUE"""),"2. Primeiro contato com a marca")</f>
        <v>2. Primeiro contato com a marca</v>
      </c>
      <c r="E149" s="4"/>
      <c r="F149" s="4" t="str">
        <f>IFERROR(__xludf.DUMMYFUNCTION("""COMPUTED_VALUE"""),"P")</f>
        <v>P</v>
      </c>
      <c r="G149" s="5">
        <f>IFERROR(__xludf.DUMMYFUNCTION("""COMPUTED_VALUE"""),46083.0)</f>
        <v>46083</v>
      </c>
      <c r="H149" s="4" t="str">
        <f>IFERROR(__xludf.DUMMYFUNCTION("""COMPUTED_VALUE"""),"Aguardando apoio do executivo de delivery")</f>
        <v>Aguardando apoio do executivo de delivery</v>
      </c>
    </row>
    <row r="150">
      <c r="A150" s="4" t="str">
        <f>IFERROR(__xludf.DUMMYFUNCTION("""COMPUTED_VALUE"""),"Grupo saints")</f>
        <v>Grupo saints</v>
      </c>
      <c r="B150" s="4" t="str">
        <f>IFERROR(__xludf.DUMMYFUNCTION("""COMPUTED_VALUE"""),"João Biagiotti")</f>
        <v>João Biagiotti</v>
      </c>
      <c r="C150" s="4" t="str">
        <f>IFERROR(__xludf.DUMMYFUNCTION("""COMPUTED_VALUE"""),"Diego Santos")</f>
        <v>Diego Santos</v>
      </c>
      <c r="D150" s="4" t="str">
        <f>IFERROR(__xludf.DUMMYFUNCTION("""COMPUTED_VALUE"""),"2. Primeiro contato com a marca")</f>
        <v>2. Primeiro contato com a marca</v>
      </c>
      <c r="E150" s="4" t="str">
        <f>IFERROR(__xludf.DUMMYFUNCTION("""COMPUTED_VALUE"""),"Delivery - Aguardando retorno executivo")</f>
        <v>Delivery - Aguardando retorno executivo</v>
      </c>
      <c r="F150" s="4" t="str">
        <f>IFERROR(__xludf.DUMMYFUNCTION("""COMPUTED_VALUE"""),"P")</f>
        <v>P</v>
      </c>
      <c r="G150" s="5">
        <f>IFERROR(__xludf.DUMMYFUNCTION("""COMPUTED_VALUE"""),46097.0)</f>
        <v>46097</v>
      </c>
      <c r="H150" s="4" t="str">
        <f>IFERROR(__xludf.DUMMYFUNCTION("""COMPUTED_VALUE"""),"ainda parado no delivery. parceiro novo na carteira, estão priorizando outros temas junto a delivery, mas vou fazer fup na gaby")</f>
        <v>ainda parado no delivery. parceiro novo na carteira, estão priorizando outros temas junto a delivery, mas vou fazer fup na gaby</v>
      </c>
    </row>
    <row r="151">
      <c r="A151" s="4" t="str">
        <f>IFERROR(__xludf.DUMMYFUNCTION("""COMPUTED_VALUE"""),"Grupo Taikan Fast Sushi")</f>
        <v>Grupo Taikan Fast Sushi</v>
      </c>
      <c r="B151" s="4" t="str">
        <f>IFERROR(__xludf.DUMMYFUNCTION("""COMPUTED_VALUE"""),"Lídia Esteves")</f>
        <v>Lídia Esteves</v>
      </c>
      <c r="C151" s="4" t="str">
        <f>IFERROR(__xludf.DUMMYFUNCTION("""COMPUTED_VALUE"""),"Gabriela Roma")</f>
        <v>Gabriela Roma</v>
      </c>
      <c r="D151" s="4" t="str">
        <f>IFERROR(__xludf.DUMMYFUNCTION("""COMPUTED_VALUE"""),"6. Negociação")</f>
        <v>6. Negociação</v>
      </c>
      <c r="E151" s="4" t="str">
        <f>IFERROR(__xludf.DUMMYFUNCTION("""COMPUTED_VALUE"""),"Parceiro - Em validação de proposta comercial")</f>
        <v>Parceiro - Em validação de proposta comercial</v>
      </c>
      <c r="F151" s="4" t="str">
        <f>IFERROR(__xludf.DUMMYFUNCTION("""COMPUTED_VALUE"""),"P")</f>
        <v>P</v>
      </c>
      <c r="G151" s="5">
        <f>IFERROR(__xludf.DUMMYFUNCTION("""COMPUTED_VALUE"""),46121.0)</f>
        <v>46121</v>
      </c>
      <c r="H151" s="4" t="str">
        <f>IFERROR(__xludf.DUMMYFUNCTION("""COMPUTED_VALUE"""),"Mari em visita BSB conseguiu contornar situação da negociação, em tratativas para piloto.")</f>
        <v>Mari em visita BSB conseguiu contornar situação da negociação, em tratativas para piloto.</v>
      </c>
    </row>
    <row r="152">
      <c r="A152" s="4" t="str">
        <f>IFERROR(__xludf.DUMMYFUNCTION("""COMPUTED_VALUE"""),"Grupo Villa Sucreê")</f>
        <v>Grupo Villa Sucreê</v>
      </c>
      <c r="B152" s="4" t="str">
        <f>IFERROR(__xludf.DUMMYFUNCTION("""COMPUTED_VALUE"""),"João Biagiotti")</f>
        <v>João Biagiotti</v>
      </c>
      <c r="C152" s="4" t="str">
        <f>IFERROR(__xludf.DUMMYFUNCTION("""COMPUTED_VALUE"""),"Diego Santos")</f>
        <v>Diego Santos</v>
      </c>
      <c r="D152" s="4" t="str">
        <f>IFERROR(__xludf.DUMMYFUNCTION("""COMPUTED_VALUE"""),"11. Stand by")</f>
        <v>11. Stand by</v>
      </c>
      <c r="E152" s="4" t="str">
        <f>IFERROR(__xludf.DUMMYFUNCTION("""COMPUTED_VALUE"""),"Perdido - Fechou com concorrente")</f>
        <v>Perdido - Fechou com concorrente</v>
      </c>
      <c r="F152" s="4" t="str">
        <f>IFERROR(__xludf.DUMMYFUNCTION("""COMPUTED_VALUE"""),"P")</f>
        <v>P</v>
      </c>
      <c r="G152" s="10">
        <f>IFERROR(__xludf.DUMMYFUNCTION("""COMPUTED_VALUE"""),46156.0)</f>
        <v>46156</v>
      </c>
      <c r="H152" s="4" t="str">
        <f>IFERROR(__xludf.DUMMYFUNCTION("""COMPUTED_VALUE"""),"Cliente entrou em contato que tem interesse no acelerador de avaliações, foi direcionado para o time da SAIPOS")</f>
        <v>Cliente entrou em contato que tem interesse no acelerador de avaliações, foi direcionado para o time da SAIPOS</v>
      </c>
    </row>
    <row r="153">
      <c r="A153" s="4" t="str">
        <f>IFERROR(__xludf.DUMMYFUNCTION("""COMPUTED_VALUE"""),"Grupo Wilson Lanches")</f>
        <v>Grupo Wilson Lanches</v>
      </c>
      <c r="B153" s="4" t="str">
        <f>IFERROR(__xludf.DUMMYFUNCTION("""COMPUTED_VALUE"""),"Lídia Esteves")</f>
        <v>Lídia Esteves</v>
      </c>
      <c r="C153" s="4" t="str">
        <f>IFERROR(__xludf.DUMMYFUNCTION("""COMPUTED_VALUE"""),"Gabriela Roma")</f>
        <v>Gabriela Roma</v>
      </c>
      <c r="D153" s="4" t="str">
        <f>IFERROR(__xludf.DUMMYFUNCTION("""COMPUTED_VALUE"""),"10. Perdido")</f>
        <v>10. Perdido</v>
      </c>
      <c r="E153" s="4" t="str">
        <f>IFERROR(__xludf.DUMMYFUNCTION("""COMPUTED_VALUE"""),"Perdido -  Momento do restaurante não favorável")</f>
        <v>Perdido -  Momento do restaurante não favorável</v>
      </c>
      <c r="F153" s="4" t="str">
        <f>IFERROR(__xludf.DUMMYFUNCTION("""COMPUTED_VALUE"""),"P")</f>
        <v>P</v>
      </c>
      <c r="G153" s="5">
        <f>IFERROR(__xludf.DUMMYFUNCTION("""COMPUTED_VALUE"""),46120.0)</f>
        <v>46120</v>
      </c>
      <c r="H153" s="4" t="str">
        <f>IFERROR(__xludf.DUMMYFUNCTION("""COMPUTED_VALUE"""),"Atrito com iFood.")</f>
        <v>Atrito com iFood.</v>
      </c>
    </row>
    <row r="154">
      <c r="A154" s="4" t="str">
        <f>IFERROR(__xludf.DUMMYFUNCTION("""COMPUTED_VALUE"""),"Guarita Bar")</f>
        <v>Guarita Bar</v>
      </c>
      <c r="B154" s="4" t="str">
        <f>IFERROR(__xludf.DUMMYFUNCTION("""COMPUTED_VALUE"""),"Emerson")</f>
        <v>Emerson</v>
      </c>
      <c r="C154" s="4" t="str">
        <f>IFERROR(__xludf.DUMMYFUNCTION("""COMPUTED_VALUE"""),"Emerson")</f>
        <v>Emerson</v>
      </c>
      <c r="D154" s="4" t="str">
        <f>IFERROR(__xludf.DUMMYFUNCTION("""COMPUTED_VALUE"""),"11. Stand by")</f>
        <v>11. Stand by</v>
      </c>
      <c r="E154" s="4"/>
      <c r="F154" s="4" t="str">
        <f>IFERROR(__xludf.DUMMYFUNCTION("""COMPUTED_VALUE"""),"P")</f>
        <v>P</v>
      </c>
      <c r="G154" s="4"/>
      <c r="H154" s="4"/>
    </row>
    <row r="155">
      <c r="A155" s="4" t="str">
        <f>IFERROR(__xludf.DUMMYFUNCTION("""COMPUTED_VALUE"""),"Gula Gula")</f>
        <v>Gula Gula</v>
      </c>
      <c r="B155" s="4" t="str">
        <f>IFERROR(__xludf.DUMMYFUNCTION("""COMPUTED_VALUE"""),"Lídia Esteves")</f>
        <v>Lídia Esteves</v>
      </c>
      <c r="C155" s="4" t="str">
        <f>IFERROR(__xludf.DUMMYFUNCTION("""COMPUTED_VALUE"""),"Gabriela Roma")</f>
        <v>Gabriela Roma</v>
      </c>
      <c r="D155" s="4" t="str">
        <f>IFERROR(__xludf.DUMMYFUNCTION("""COMPUTED_VALUE"""),"4. Diagnóstico")</f>
        <v>4. Diagnóstico</v>
      </c>
      <c r="E155" s="4" t="str">
        <f>IFERROR(__xludf.DUMMYFUNCTION("""COMPUTED_VALUE"""),"Parceiro - Sem contato válido / Decisor inacessível")</f>
        <v>Parceiro - Sem contato válido / Decisor inacessível</v>
      </c>
      <c r="F155" s="4" t="str">
        <f>IFERROR(__xludf.DUMMYFUNCTION("""COMPUTED_VALUE"""),"P")</f>
        <v>P</v>
      </c>
      <c r="G155" s="5">
        <f>IFERROR(__xludf.DUMMYFUNCTION("""COMPUTED_VALUE"""),46154.0)</f>
        <v>46154</v>
      </c>
      <c r="H155" s="4" t="str">
        <f>IFERROR(__xludf.DUMMYFUNCTION("""COMPUTED_VALUE"""),"apresentação 12/5")</f>
        <v>apresentação 12/5</v>
      </c>
    </row>
    <row r="156">
      <c r="A156" s="4" t="str">
        <f>IFERROR(__xludf.DUMMYFUNCTION("""COMPUTED_VALUE"""),"Gurume")</f>
        <v>Gurume</v>
      </c>
      <c r="B156" s="4" t="str">
        <f>IFERROR(__xludf.DUMMYFUNCTION("""COMPUTED_VALUE"""),"Emerson")</f>
        <v>Emerson</v>
      </c>
      <c r="C156" s="4" t="str">
        <f>IFERROR(__xludf.DUMMYFUNCTION("""COMPUTED_VALUE"""),"Emerson")</f>
        <v>Emerson</v>
      </c>
      <c r="D156" s="4" t="str">
        <f>IFERROR(__xludf.DUMMYFUNCTION("""COMPUTED_VALUE"""),"11. Stand by")</f>
        <v>11. Stand by</v>
      </c>
      <c r="E156" s="4"/>
      <c r="F156" s="4" t="str">
        <f>IFERROR(__xludf.DUMMYFUNCTION("""COMPUTED_VALUE"""),"P")</f>
        <v>P</v>
      </c>
      <c r="G156" s="4"/>
      <c r="H156" s="4"/>
    </row>
    <row r="157">
      <c r="A157" s="4" t="str">
        <f>IFERROR(__xludf.DUMMYFUNCTION("""COMPUTED_VALUE"""),"Habib's")</f>
        <v>Habib's</v>
      </c>
      <c r="B157" s="4" t="str">
        <f>IFERROR(__xludf.DUMMYFUNCTION("""COMPUTED_VALUE"""),"Leonardo Roso")</f>
        <v>Leonardo Roso</v>
      </c>
      <c r="C157" s="4" t="str">
        <f>IFERROR(__xludf.DUMMYFUNCTION("""COMPUTED_VALUE"""),"Leonardo Roso")</f>
        <v>Leonardo Roso</v>
      </c>
      <c r="D157" s="4" t="str">
        <f>IFERROR(__xludf.DUMMYFUNCTION("""COMPUTED_VALUE"""),"6. Negociação")</f>
        <v>6. Negociação</v>
      </c>
      <c r="E157" s="4" t="str">
        <f>IFERROR(__xludf.DUMMYFUNCTION("""COMPUTED_VALUE"""),"Comercial - Em negociação de proposta")</f>
        <v>Comercial - Em negociação de proposta</v>
      </c>
      <c r="F157" s="4" t="str">
        <f>IFERROR(__xludf.DUMMYFUNCTION("""COMPUTED_VALUE"""),"G")</f>
        <v>G</v>
      </c>
      <c r="G157" s="5">
        <f>IFERROR(__xludf.DUMMYFUNCTION("""COMPUTED_VALUE"""),46073.0)</f>
        <v>46073</v>
      </c>
      <c r="H157" s="4" t="str">
        <f>IFERROR(__xludf.DUMMYFUNCTION("""COMPUTED_VALUE"""),"Proposta 360º enviada para Raboni na última semana. Agenda 25/02. Prazo: 28/02")</f>
        <v>Proposta 360º enviada para Raboni na última semana. Agenda 25/02. Prazo: 28/02</v>
      </c>
    </row>
    <row r="158">
      <c r="A158" s="4" t="str">
        <f>IFERROR(__xludf.DUMMYFUNCTION("""COMPUTED_VALUE"""),"Halipar Croasonho")</f>
        <v>Halipar Croasonho</v>
      </c>
      <c r="B158" s="4" t="str">
        <f>IFERROR(__xludf.DUMMYFUNCTION("""COMPUTED_VALUE"""),"Leonardo Roso")</f>
        <v>Leonardo Roso</v>
      </c>
      <c r="C158" s="4" t="str">
        <f>IFERROR(__xludf.DUMMYFUNCTION("""COMPUTED_VALUE"""),"Leonardo Roso")</f>
        <v>Leonardo Roso</v>
      </c>
      <c r="D158" s="4" t="str">
        <f>IFERROR(__xludf.DUMMYFUNCTION("""COMPUTED_VALUE"""),"6. Negociação")</f>
        <v>6. Negociação</v>
      </c>
      <c r="E158" s="4" t="str">
        <f>IFERROR(__xludf.DUMMYFUNCTION("""COMPUTED_VALUE"""),"Pré-vendas - Em validação técnica")</f>
        <v>Pré-vendas - Em validação técnica</v>
      </c>
      <c r="F158" s="4" t="str">
        <f>IFERROR(__xludf.DUMMYFUNCTION("""COMPUTED_VALUE"""),"G")</f>
        <v>G</v>
      </c>
      <c r="G158" s="5">
        <f>IFERROR(__xludf.DUMMYFUNCTION("""COMPUTED_VALUE"""),46073.0)</f>
        <v>46073</v>
      </c>
      <c r="H158" s="4" t="str">
        <f>IFERROR(__xludf.DUMMYFUNCTION("""COMPUTED_VALUE"""),"Comercial: contraproposta respondida pelo iFood. Tema técnica (franqueadora) impactando andamento.")</f>
        <v>Comercial: contraproposta respondida pelo iFood. Tema técnica (franqueadora) impactando andamento.</v>
      </c>
    </row>
    <row r="159">
      <c r="A159" s="4" t="str">
        <f>IFERROR(__xludf.DUMMYFUNCTION("""COMPUTED_VALUE"""),"Halipar Griletto")</f>
        <v>Halipar Griletto</v>
      </c>
      <c r="B159" s="4" t="str">
        <f>IFERROR(__xludf.DUMMYFUNCTION("""COMPUTED_VALUE"""),"Leonardo Roso")</f>
        <v>Leonardo Roso</v>
      </c>
      <c r="C159" s="4" t="str">
        <f>IFERROR(__xludf.DUMMYFUNCTION("""COMPUTED_VALUE"""),"Leonardo Roso")</f>
        <v>Leonardo Roso</v>
      </c>
      <c r="D159" s="4" t="str">
        <f>IFERROR(__xludf.DUMMYFUNCTION("""COMPUTED_VALUE"""),"6. Negociação")</f>
        <v>6. Negociação</v>
      </c>
      <c r="E159" s="4" t="str">
        <f>IFERROR(__xludf.DUMMYFUNCTION("""COMPUTED_VALUE"""),"Pré-vendas - Em validação técnica")</f>
        <v>Pré-vendas - Em validação técnica</v>
      </c>
      <c r="F159" s="4" t="str">
        <f>IFERROR(__xludf.DUMMYFUNCTION("""COMPUTED_VALUE"""),"G")</f>
        <v>G</v>
      </c>
      <c r="G159" s="5">
        <f>IFERROR(__xludf.DUMMYFUNCTION("""COMPUTED_VALUE"""),46073.0)</f>
        <v>46073</v>
      </c>
      <c r="H159" s="4" t="str">
        <f>IFERROR(__xludf.DUMMYFUNCTION("""COMPUTED_VALUE"""),"Comercial: contraproposta respondida pelo iFood. Tema técnica (franqueadora) impactando andamento.")</f>
        <v>Comercial: contraproposta respondida pelo iFood. Tema técnica (franqueadora) impactando andamento.</v>
      </c>
    </row>
    <row r="160">
      <c r="A160" s="4" t="str">
        <f>IFERROR(__xludf.DUMMYFUNCTION("""COMPUTED_VALUE"""),"Halipar Jinjin")</f>
        <v>Halipar Jinjin</v>
      </c>
      <c r="B160" s="4" t="str">
        <f>IFERROR(__xludf.DUMMYFUNCTION("""COMPUTED_VALUE"""),"Leonardo Roso")</f>
        <v>Leonardo Roso</v>
      </c>
      <c r="C160" s="4" t="str">
        <f>IFERROR(__xludf.DUMMYFUNCTION("""COMPUTED_VALUE"""),"Leonardo Roso")</f>
        <v>Leonardo Roso</v>
      </c>
      <c r="D160" s="4" t="str">
        <f>IFERROR(__xludf.DUMMYFUNCTION("""COMPUTED_VALUE"""),"6. Negociação")</f>
        <v>6. Negociação</v>
      </c>
      <c r="E160" s="4" t="str">
        <f>IFERROR(__xludf.DUMMYFUNCTION("""COMPUTED_VALUE"""),"Pré-vendas - Em validação técnica")</f>
        <v>Pré-vendas - Em validação técnica</v>
      </c>
      <c r="F160" s="4" t="str">
        <f>IFERROR(__xludf.DUMMYFUNCTION("""COMPUTED_VALUE"""),"G")</f>
        <v>G</v>
      </c>
      <c r="G160" s="5">
        <f>IFERROR(__xludf.DUMMYFUNCTION("""COMPUTED_VALUE"""),46073.0)</f>
        <v>46073</v>
      </c>
      <c r="H160" s="4" t="str">
        <f>IFERROR(__xludf.DUMMYFUNCTION("""COMPUTED_VALUE"""),"Comercial: contraproposta respondida pelo iFood. Tema técnica (franqueadora) impactando andamento.")</f>
        <v>Comercial: contraproposta respondida pelo iFood. Tema técnica (franqueadora) impactando andamento.</v>
      </c>
    </row>
    <row r="161">
      <c r="A161" s="4" t="str">
        <f>IFERROR(__xludf.DUMMYFUNCTION("""COMPUTED_VALUE"""),"Halipar Montana")</f>
        <v>Halipar Montana</v>
      </c>
      <c r="B161" s="4" t="str">
        <f>IFERROR(__xludf.DUMMYFUNCTION("""COMPUTED_VALUE"""),"Leonardo Roso")</f>
        <v>Leonardo Roso</v>
      </c>
      <c r="C161" s="4" t="str">
        <f>IFERROR(__xludf.DUMMYFUNCTION("""COMPUTED_VALUE"""),"Leonardo Roso")</f>
        <v>Leonardo Roso</v>
      </c>
      <c r="D161" s="4" t="str">
        <f>IFERROR(__xludf.DUMMYFUNCTION("""COMPUTED_VALUE"""),"6. Negociação")</f>
        <v>6. Negociação</v>
      </c>
      <c r="E161" s="4" t="str">
        <f>IFERROR(__xludf.DUMMYFUNCTION("""COMPUTED_VALUE"""),"Pré-vendas - Em validação técnica")</f>
        <v>Pré-vendas - Em validação técnica</v>
      </c>
      <c r="F161" s="4" t="str">
        <f>IFERROR(__xludf.DUMMYFUNCTION("""COMPUTED_VALUE"""),"G")</f>
        <v>G</v>
      </c>
      <c r="G161" s="5">
        <f>IFERROR(__xludf.DUMMYFUNCTION("""COMPUTED_VALUE"""),46073.0)</f>
        <v>46073</v>
      </c>
      <c r="H161" s="4" t="str">
        <f>IFERROR(__xludf.DUMMYFUNCTION("""COMPUTED_VALUE"""),"Comercial: contraproposta respondida pelo iFood. Tema técnica (franqueadora) impactando andamento.")</f>
        <v>Comercial: contraproposta respondida pelo iFood. Tema técnica (franqueadora) impactando andamento.</v>
      </c>
    </row>
    <row r="162">
      <c r="A162" s="4" t="str">
        <f>IFERROR(__xludf.DUMMYFUNCTION("""COMPUTED_VALUE"""),"Hiro")</f>
        <v>Hiro</v>
      </c>
      <c r="B162" s="4" t="str">
        <f>IFERROR(__xludf.DUMMYFUNCTION("""COMPUTED_VALUE"""),"Emerson")</f>
        <v>Emerson</v>
      </c>
      <c r="C162" s="4" t="str">
        <f>IFERROR(__xludf.DUMMYFUNCTION("""COMPUTED_VALUE"""),"Emerson")</f>
        <v>Emerson</v>
      </c>
      <c r="D162" s="4" t="str">
        <f>IFERROR(__xludf.DUMMYFUNCTION("""COMPUTED_VALUE"""),"6. Negociação")</f>
        <v>6. Negociação</v>
      </c>
      <c r="E162" s="4"/>
      <c r="F162" s="4" t="str">
        <f>IFERROR(__xludf.DUMMYFUNCTION("""COMPUTED_VALUE"""),"P")</f>
        <v>P</v>
      </c>
      <c r="G162" s="4"/>
      <c r="H162" s="4"/>
    </row>
    <row r="163">
      <c r="A163" s="4" t="str">
        <f>IFERROR(__xludf.DUMMYFUNCTION("""COMPUTED_VALUE"""),"Inspire Brands (Dunkin, Baskin-Robbins, Arby'S, Buffalo Wild Wings, Jimmy John'S, Sonic Drive-In)")</f>
        <v>Inspire Brands (Dunkin, Baskin-Robbins, Arby'S, Buffalo Wild Wings, Jimmy John'S, Sonic Drive-In)</v>
      </c>
      <c r="B163" s="4" t="str">
        <f>IFERROR(__xludf.DUMMYFUNCTION("""COMPUTED_VALUE"""),"Emerson")</f>
        <v>Emerson</v>
      </c>
      <c r="C163" s="4" t="str">
        <f>IFERROR(__xludf.DUMMYFUNCTION("""COMPUTED_VALUE"""),"Emerson")</f>
        <v>Emerson</v>
      </c>
      <c r="D163" s="4" t="str">
        <f>IFERROR(__xludf.DUMMYFUNCTION("""COMPUTED_VALUE"""),"2. Primeiro contato com a marca")</f>
        <v>2. Primeiro contato com a marca</v>
      </c>
      <c r="E163" s="4"/>
      <c r="F163" s="4" t="str">
        <f>IFERROR(__xludf.DUMMYFUNCTION("""COMPUTED_VALUE"""),"P")</f>
        <v>P</v>
      </c>
      <c r="G163" s="4"/>
      <c r="H163" s="4" t="str">
        <f>IFERROR(__xludf.DUMMYFUNCTION("""COMPUTED_VALUE"""),"Necessidade Fixe")</f>
        <v>Necessidade Fixe</v>
      </c>
    </row>
    <row r="164">
      <c r="A164" s="4" t="str">
        <f>IFERROR(__xludf.DUMMYFUNCTION("""COMPUTED_VALUE"""),"Janela Bar")</f>
        <v>Janela Bar</v>
      </c>
      <c r="B164" s="4" t="str">
        <f>IFERROR(__xludf.DUMMYFUNCTION("""COMPUTED_VALUE"""),"Lídia Esteves")</f>
        <v>Lídia Esteves</v>
      </c>
      <c r="C164" s="4" t="str">
        <f>IFERROR(__xludf.DUMMYFUNCTION("""COMPUTED_VALUE"""),"Gabriela Roma")</f>
        <v>Gabriela Roma</v>
      </c>
      <c r="D164" s="4" t="str">
        <f>IFERROR(__xludf.DUMMYFUNCTION("""COMPUTED_VALUE"""),"4. Diagnóstico")</f>
        <v>4. Diagnóstico</v>
      </c>
      <c r="E164" s="4" t="str">
        <f>IFERROR(__xludf.DUMMYFUNCTION("""COMPUTED_VALUE"""),"Parceiro - Conciliação agenda")</f>
        <v>Parceiro - Conciliação agenda</v>
      </c>
      <c r="F164" s="4" t="str">
        <f>IFERROR(__xludf.DUMMYFUNCTION("""COMPUTED_VALUE"""),"P")</f>
        <v>P</v>
      </c>
      <c r="G164" s="4" t="str">
        <f>IFERROR(__xludf.DUMMYFUNCTION("""COMPUTED_VALUE"""),"46120.0")</f>
        <v>46120.0</v>
      </c>
      <c r="H164" s="4" t="str">
        <f>IFERROR(__xludf.DUMMYFUNCTION("""COMPUTED_VALUE"""),"Conciliar agenda demo cliente")</f>
        <v>Conciliar agenda demo cliente</v>
      </c>
    </row>
    <row r="165">
      <c r="A165" s="4" t="str">
        <f>IFERROR(__xludf.DUMMYFUNCTION("""COMPUTED_VALUE"""),"Jappa da Quitanda")</f>
        <v>Jappa da Quitanda</v>
      </c>
      <c r="B165" s="4" t="str">
        <f>IFERROR(__xludf.DUMMYFUNCTION("""COMPUTED_VALUE"""),"Lídia Esteves")</f>
        <v>Lídia Esteves</v>
      </c>
      <c r="C165" s="4" t="str">
        <f>IFERROR(__xludf.DUMMYFUNCTION("""COMPUTED_VALUE"""),"Gabriela Roma")</f>
        <v>Gabriela Roma</v>
      </c>
      <c r="D165" s="4" t="str">
        <f>IFERROR(__xludf.DUMMYFUNCTION("""COMPUTED_VALUE"""),"10. Perdido")</f>
        <v>10. Perdido</v>
      </c>
      <c r="E165" s="4" t="str">
        <f>IFERROR(__xludf.DUMMYFUNCTION("""COMPUTED_VALUE"""),"Perdido - Fechou com concorrente")</f>
        <v>Perdido - Fechou com concorrente</v>
      </c>
      <c r="F165" s="4" t="str">
        <f>IFERROR(__xludf.DUMMYFUNCTION("""COMPUTED_VALUE"""),"P")</f>
        <v>P</v>
      </c>
      <c r="G165" s="5">
        <f>IFERROR(__xludf.DUMMYFUNCTION("""COMPUTED_VALUE"""),46154.0)</f>
        <v>46154</v>
      </c>
      <c r="H165" s="4" t="str">
        <f>IFERROR(__xludf.DUMMYFUNCTION("""COMPUTED_VALUE"""),"Parceiro decidiu fechar com teknisa pois tem receio de fechar com uma empresa que foi recém comprada por outra.Parceiro é cliente do emilia vision.")</f>
        <v>Parceiro decidiu fechar com teknisa pois tem receio de fechar com uma empresa que foi recém comprada por outra.Parceiro é cliente do emilia vision.</v>
      </c>
    </row>
    <row r="166">
      <c r="A166" s="4" t="str">
        <f>IFERROR(__xludf.DUMMYFUNCTION("""COMPUTED_VALUE"""),"Jardim De Napoli")</f>
        <v>Jardim De Napoli</v>
      </c>
      <c r="B166" s="4" t="str">
        <f>IFERROR(__xludf.DUMMYFUNCTION("""COMPUTED_VALUE"""),"João Biagiotti")</f>
        <v>João Biagiotti</v>
      </c>
      <c r="C166" s="4" t="str">
        <f>IFERROR(__xludf.DUMMYFUNCTION("""COMPUTED_VALUE"""),"Diego Santos")</f>
        <v>Diego Santos</v>
      </c>
      <c r="D166" s="4" t="str">
        <f>IFERROR(__xludf.DUMMYFUNCTION("""COMPUTED_VALUE"""),"13. Reativado")</f>
        <v>13. Reativado</v>
      </c>
      <c r="E166" s="4" t="str">
        <f>IFERROR(__xludf.DUMMYFUNCTION("""COMPUTED_VALUE"""),"Delivery - Momento inadequado de abordagem (ex. 99)")</f>
        <v>Delivery - Momento inadequado de abordagem (ex. 99)</v>
      </c>
      <c r="F166" s="4" t="str">
        <f>IFERROR(__xludf.DUMMYFUNCTION("""COMPUTED_VALUE"""),"P")</f>
        <v>P</v>
      </c>
      <c r="G166" s="5">
        <f>IFERROR(__xludf.DUMMYFUNCTION("""COMPUTED_VALUE"""),46096.0)</f>
        <v>46096</v>
      </c>
      <c r="H166" s="4" t="str">
        <f>IFERROR(__xludf.DUMMYFUNCTION("""COMPUTED_VALUE"""),"Houve mudança de carteira, vou tentar de novo contato pois na primeira vez não houve abertura para salão. fup: 15/03/26")</f>
        <v>Houve mudança de carteira, vou tentar de novo contato pois na primeira vez não houve abertura para salão. fup: 15/03/26</v>
      </c>
    </row>
    <row r="167">
      <c r="A167" s="4" t="str">
        <f>IFERROR(__xludf.DUMMYFUNCTION("""COMPUTED_VALUE"""),"Johnny Joy")</f>
        <v>Johnny Joy</v>
      </c>
      <c r="B167" s="4" t="str">
        <f>IFERROR(__xludf.DUMMYFUNCTION("""COMPUTED_VALUE"""),"Lídia Esteves")</f>
        <v>Lídia Esteves</v>
      </c>
      <c r="C167" s="4" t="str">
        <f>IFERROR(__xludf.DUMMYFUNCTION("""COMPUTED_VALUE"""),"Gabriela Roma")</f>
        <v>Gabriela Roma</v>
      </c>
      <c r="D167" s="4" t="str">
        <f>IFERROR(__xludf.DUMMYFUNCTION("""COMPUTED_VALUE"""),"11. Stand by")</f>
        <v>11. Stand by</v>
      </c>
      <c r="E167" s="4" t="str">
        <f>IFERROR(__xludf.DUMMYFUNCTION("""COMPUTED_VALUE"""),"Perdido - Proposta comercial não aceita")</f>
        <v>Perdido - Proposta comercial não aceita</v>
      </c>
      <c r="F167" s="4" t="str">
        <f>IFERROR(__xludf.DUMMYFUNCTION("""COMPUTED_VALUE"""),"M")</f>
        <v>M</v>
      </c>
      <c r="G167" s="5">
        <f>IFERROR(__xludf.DUMMYFUNCTION("""COMPUTED_VALUE"""),46076.0)</f>
        <v>46076</v>
      </c>
      <c r="H167" s="4" t="str">
        <f>IFERROR(__xludf.DUMMYFUNCTION("""COMPUTED_VALUE"""),"Ainda aguardando dine in para iniciar piloto. Querem o CRM para iniciar, enquanto isso, é perdido.")</f>
        <v>Ainda aguardando dine in para iniciar piloto. Querem o CRM para iniciar, enquanto isso, é perdido.</v>
      </c>
    </row>
    <row r="168">
      <c r="A168" s="4" t="str">
        <f>IFERROR(__xludf.DUMMYFUNCTION("""COMPUTED_VALUE"""),"Johns Burguer")</f>
        <v>Johns Burguer</v>
      </c>
      <c r="B168" s="4" t="str">
        <f>IFERROR(__xludf.DUMMYFUNCTION("""COMPUTED_VALUE"""),"João Biagiotti")</f>
        <v>João Biagiotti</v>
      </c>
      <c r="C168" s="4" t="str">
        <f>IFERROR(__xludf.DUMMYFUNCTION("""COMPUTED_VALUE"""),"Emerson")</f>
        <v>Emerson</v>
      </c>
      <c r="D168" s="4" t="str">
        <f>IFERROR(__xludf.DUMMYFUNCTION("""COMPUTED_VALUE"""),"4. Diagnóstico")</f>
        <v>4. Diagnóstico</v>
      </c>
      <c r="E168" s="4"/>
      <c r="F168" s="4" t="str">
        <f>IFERROR(__xludf.DUMMYFUNCTION("""COMPUTED_VALUE"""),"P")</f>
        <v>P</v>
      </c>
      <c r="G168" s="5">
        <f>IFERROR(__xludf.DUMMYFUNCTION("""COMPUTED_VALUE"""),46120.0)</f>
        <v>46120</v>
      </c>
      <c r="H168" s="4" t="str">
        <f>IFERROR(__xludf.DUMMYFUNCTION("""COMPUTED_VALUE"""),"Emerson falou que está sendo tocado por ele e pelo michel. ")</f>
        <v>Emerson falou que está sendo tocado por ele e pelo michel. </v>
      </c>
    </row>
    <row r="169">
      <c r="A169" s="4" t="str">
        <f>IFERROR(__xludf.DUMMYFUNCTION("""COMPUTED_VALUE"""),"Ki Gostoso Lanches Pizzas E Porcoes")</f>
        <v>Ki Gostoso Lanches Pizzas E Porcoes</v>
      </c>
      <c r="B169" s="4" t="str">
        <f>IFERROR(__xludf.DUMMYFUNCTION("""COMPUTED_VALUE"""),"Emerson")</f>
        <v>Emerson</v>
      </c>
      <c r="C169" s="4" t="str">
        <f>IFERROR(__xludf.DUMMYFUNCTION("""COMPUTED_VALUE"""),"Emerson")</f>
        <v>Emerson</v>
      </c>
      <c r="D169" s="4" t="str">
        <f>IFERROR(__xludf.DUMMYFUNCTION("""COMPUTED_VALUE"""),"11. Stand by")</f>
        <v>11. Stand by</v>
      </c>
      <c r="E169" s="4" t="str">
        <f>IFERROR(__xludf.DUMMYFUNCTION("""COMPUTED_VALUE"""),"Delivery - Momento inadequado de abordagem (ex. 99)")</f>
        <v>Delivery - Momento inadequado de abordagem (ex. 99)</v>
      </c>
      <c r="F169" s="4" t="str">
        <f>IFERROR(__xludf.DUMMYFUNCTION("""COMPUTED_VALUE"""),"P")</f>
        <v>P</v>
      </c>
      <c r="G169" s="5">
        <f>IFERROR(__xludf.DUMMYFUNCTION("""COMPUTED_VALUE"""),46062.0)</f>
        <v>46062</v>
      </c>
      <c r="H169" s="4" t="str">
        <f>IFERROR(__xludf.DUMMYFUNCTION("""COMPUTED_VALUE"""),"parceiro com problemas de relac. co delivery , avançaremos em outro momento")</f>
        <v>parceiro com problemas de relac. co delivery , avançaremos em outro momento</v>
      </c>
    </row>
    <row r="170">
      <c r="A170" s="4" t="str">
        <f>IFERROR(__xludf.DUMMYFUNCTION("""COMPUTED_VALUE"""),"Kome Sushi")</f>
        <v>Kome Sushi</v>
      </c>
      <c r="B170" s="4" t="str">
        <f>IFERROR(__xludf.DUMMYFUNCTION("""COMPUTED_VALUE"""),"Lídia Esteves")</f>
        <v>Lídia Esteves</v>
      </c>
      <c r="C170" s="4" t="str">
        <f>IFERROR(__xludf.DUMMYFUNCTION("""COMPUTED_VALUE"""),"Gabriela Roma")</f>
        <v>Gabriela Roma</v>
      </c>
      <c r="D170" s="4" t="str">
        <f>IFERROR(__xludf.DUMMYFUNCTION("""COMPUTED_VALUE"""),"11. Stand by")</f>
        <v>11. Stand by</v>
      </c>
      <c r="E170" s="4" t="str">
        <f>IFERROR(__xludf.DUMMYFUNCTION("""COMPUTED_VALUE"""),"Comercial - Em negociação de proposta")</f>
        <v>Comercial - Em negociação de proposta</v>
      </c>
      <c r="F170" s="4" t="str">
        <f>IFERROR(__xludf.DUMMYFUNCTION("""COMPUTED_VALUE"""),"P")</f>
        <v>P</v>
      </c>
      <c r="G170" s="5">
        <f>IFERROR(__xludf.DUMMYFUNCTION("""COMPUTED_VALUE"""),46121.0)</f>
        <v>46121</v>
      </c>
      <c r="H170" s="4" t="str">
        <f>IFERROR(__xludf.DUMMYFUNCTION("""COMPUTED_VALUE"""),"voltamos a falar com o parceiro, etapa de negociação")</f>
        <v>voltamos a falar com o parceiro, etapa de negociação</v>
      </c>
    </row>
    <row r="171">
      <c r="A171" s="4" t="str">
        <f>IFERROR(__xludf.DUMMYFUNCTION("""COMPUTED_VALUE"""),"La Guapa")</f>
        <v>La Guapa</v>
      </c>
      <c r="B171" s="4" t="str">
        <f>IFERROR(__xludf.DUMMYFUNCTION("""COMPUTED_VALUE"""),"Michel")</f>
        <v>Michel</v>
      </c>
      <c r="C171" s="4" t="str">
        <f>IFERROR(__xludf.DUMMYFUNCTION("""COMPUTED_VALUE"""),"Michel")</f>
        <v>Michel</v>
      </c>
      <c r="D171" s="4" t="str">
        <f>IFERROR(__xludf.DUMMYFUNCTION("""COMPUTED_VALUE"""),"7. Piloto")</f>
        <v>7. Piloto</v>
      </c>
      <c r="E171" s="4" t="str">
        <f>IFERROR(__xludf.DUMMYFUNCTION("""COMPUTED_VALUE"""),"Projetos - Contrato assinado mas com trava técnica")</f>
        <v>Projetos - Contrato assinado mas com trava técnica</v>
      </c>
      <c r="F171" s="4" t="str">
        <f>IFERROR(__xludf.DUMMYFUNCTION("""COMPUTED_VALUE"""),"M")</f>
        <v>M</v>
      </c>
      <c r="G171" s="4"/>
      <c r="H171" s="4" t="str">
        <f>IFERROR(__xludf.DUMMYFUNCTION("""COMPUTED_VALUE"""),"Validar investimento para integração com Vcqpede")</f>
        <v>Validar investimento para integração com Vcqpede</v>
      </c>
    </row>
    <row r="172">
      <c r="A172" s="4" t="str">
        <f>IFERROR(__xludf.DUMMYFUNCTION("""COMPUTED_VALUE"""),"Lecado")</f>
        <v>Lecado</v>
      </c>
      <c r="B172" s="4" t="str">
        <f>IFERROR(__xludf.DUMMYFUNCTION("""COMPUTED_VALUE"""),"Emerson")</f>
        <v>Emerson</v>
      </c>
      <c r="C172" s="4" t="str">
        <f>IFERROR(__xludf.DUMMYFUNCTION("""COMPUTED_VALUE"""),"Emerson")</f>
        <v>Emerson</v>
      </c>
      <c r="D172" s="4" t="str">
        <f>IFERROR(__xludf.DUMMYFUNCTION("""COMPUTED_VALUE"""),"6. Negociação")</f>
        <v>6. Negociação</v>
      </c>
      <c r="E172" s="4"/>
      <c r="F172" s="4" t="str">
        <f>IFERROR(__xludf.DUMMYFUNCTION("""COMPUTED_VALUE"""),"M")</f>
        <v>M</v>
      </c>
      <c r="G172" s="4"/>
      <c r="H172" s="4"/>
    </row>
    <row r="173">
      <c r="A173" s="4" t="str">
        <f>IFERROR(__xludf.DUMMYFUNCTION("""COMPUTED_VALUE"""),"Lemax Hamburgueria")</f>
        <v>Lemax Hamburgueria</v>
      </c>
      <c r="B173" s="4" t="str">
        <f>IFERROR(__xludf.DUMMYFUNCTION("""COMPUTED_VALUE"""),"Emerson")</f>
        <v>Emerson</v>
      </c>
      <c r="C173" s="4" t="str">
        <f>IFERROR(__xludf.DUMMYFUNCTION("""COMPUTED_VALUE"""),"Emerson")</f>
        <v>Emerson</v>
      </c>
      <c r="D173" s="4" t="str">
        <f>IFERROR(__xludf.DUMMYFUNCTION("""COMPUTED_VALUE"""),"11. Stand by")</f>
        <v>11. Stand by</v>
      </c>
      <c r="E173" s="4"/>
      <c r="F173" s="4" t="str">
        <f>IFERROR(__xludf.DUMMYFUNCTION("""COMPUTED_VALUE"""),"P")</f>
        <v>P</v>
      </c>
      <c r="G173" s="4"/>
      <c r="H173" s="4"/>
    </row>
    <row r="174">
      <c r="A174" s="4" t="str">
        <f>IFERROR(__xludf.DUMMYFUNCTION("""COMPUTED_VALUE"""),"Let'S Poke")</f>
        <v>Let'S Poke</v>
      </c>
      <c r="B174" s="4" t="str">
        <f>IFERROR(__xludf.DUMMYFUNCTION("""COMPUTED_VALUE"""),"Diego Santos")</f>
        <v>Diego Santos</v>
      </c>
      <c r="C174" s="4" t="str">
        <f>IFERROR(__xludf.DUMMYFUNCTION("""COMPUTED_VALUE"""),"Diego Santos")</f>
        <v>Diego Santos</v>
      </c>
      <c r="D174" s="4" t="str">
        <f>IFERROR(__xludf.DUMMYFUNCTION("""COMPUTED_VALUE"""),"10. Perdido")</f>
        <v>10. Perdido</v>
      </c>
      <c r="E174" s="4" t="str">
        <f>IFERROR(__xludf.DUMMYFUNCTION("""COMPUTED_VALUE"""),"Perdido - Fechou com concorrente")</f>
        <v>Perdido - Fechou com concorrente</v>
      </c>
      <c r="F174" s="4" t="str">
        <f>IFERROR(__xludf.DUMMYFUNCTION("""COMPUTED_VALUE"""),"P")</f>
        <v>P</v>
      </c>
      <c r="G174" s="5">
        <f>IFERROR(__xludf.DUMMYFUNCTION("""COMPUTED_VALUE"""),46104.0)</f>
        <v>46104</v>
      </c>
      <c r="H174" s="4" t="str">
        <f>IFERROR(__xludf.DUMMYFUNCTION("""COMPUTED_VALUE"""),"Parceiro não aceitou falar com iFood Salão pois tinha eclética e está mudando o pdv para SWFAST.")</f>
        <v>Parceiro não aceitou falar com iFood Salão pois tinha eclética e está mudando o pdv para SWFAST.</v>
      </c>
    </row>
    <row r="175">
      <c r="A175" s="4" t="str">
        <f>IFERROR(__xludf.DUMMYFUNCTION("""COMPUTED_VALUE"""),"Lindt")</f>
        <v>Lindt</v>
      </c>
      <c r="B175" s="4" t="str">
        <f>IFERROR(__xludf.DUMMYFUNCTION("""COMPUTED_VALUE"""),"Leonardo Roso")</f>
        <v>Leonardo Roso</v>
      </c>
      <c r="C175" s="4" t="str">
        <f>IFERROR(__xludf.DUMMYFUNCTION("""COMPUTED_VALUE"""),"Leonardo Roso")</f>
        <v>Leonardo Roso</v>
      </c>
      <c r="D175" s="4" t="str">
        <f>IFERROR(__xludf.DUMMYFUNCTION("""COMPUTED_VALUE"""),"2. Primeiro contato com a marca")</f>
        <v>2. Primeiro contato com a marca</v>
      </c>
      <c r="E175" s="4" t="str">
        <f>IFERROR(__xludf.DUMMYFUNCTION("""COMPUTED_VALUE"""),"Parceiro - Sem contato válido / Decisor inacessível")</f>
        <v>Parceiro - Sem contato válido / Decisor inacessível</v>
      </c>
      <c r="F175" s="4" t="str">
        <f>IFERROR(__xludf.DUMMYFUNCTION("""COMPUTED_VALUE"""),"G")</f>
        <v>G</v>
      </c>
      <c r="G175" s="5">
        <f>IFERROR(__xludf.DUMMYFUNCTION("""COMPUTED_VALUE"""),46064.0)</f>
        <v>46064</v>
      </c>
      <c r="H175" s="4" t="str">
        <f>IFERROR(__xludf.DUMMYFUNCTION("""COMPUTED_VALUE"""),"Conseguindo contato whats com time de groceries (só temos email do financeiro)")</f>
        <v>Conseguindo contato whats com time de groceries (só temos email do financeiro)</v>
      </c>
    </row>
    <row r="176">
      <c r="A176" s="4" t="str">
        <f>IFERROR(__xludf.DUMMYFUNCTION("""COMPUTED_VALUE"""),"Madalosso")</f>
        <v>Madalosso</v>
      </c>
      <c r="B176" s="4" t="str">
        <f>IFERROR(__xludf.DUMMYFUNCTION("""COMPUTED_VALUE"""),"Lídia Esteves")</f>
        <v>Lídia Esteves</v>
      </c>
      <c r="C176" s="4" t="str">
        <f>IFERROR(__xludf.DUMMYFUNCTION("""COMPUTED_VALUE"""),"Gabriela Roma")</f>
        <v>Gabriela Roma</v>
      </c>
      <c r="D176" s="4" t="str">
        <f>IFERROR(__xludf.DUMMYFUNCTION("""COMPUTED_VALUE"""),"10. Perdido")</f>
        <v>10. Perdido</v>
      </c>
      <c r="E176" s="4" t="str">
        <f>IFERROR(__xludf.DUMMYFUNCTION("""COMPUTED_VALUE"""),"Perdido -  Momento do restaurante não favorável")</f>
        <v>Perdido -  Momento do restaurante não favorável</v>
      </c>
      <c r="F176" s="4" t="str">
        <f>IFERROR(__xludf.DUMMYFUNCTION("""COMPUTED_VALUE"""),"P")</f>
        <v>P</v>
      </c>
      <c r="G176" s="5">
        <f>IFERROR(__xludf.DUMMYFUNCTION("""COMPUTED_VALUE"""),46078.0)</f>
        <v>46078</v>
      </c>
      <c r="H176" s="4" t="str">
        <f>IFERROR(__xludf.DUMMYFUNCTION("""COMPUTED_VALUE"""),"Na planilha oficial estava sinalizado que entramos em contato em 13/08/2025, confirmar.")</f>
        <v>Na planilha oficial estava sinalizado que entramos em contato em 13/08/2025, confirmar.</v>
      </c>
    </row>
    <row r="177">
      <c r="A177" s="4" t="str">
        <f>IFERROR(__xludf.DUMMYFUNCTION("""COMPUTED_VALUE"""),"Madero")</f>
        <v>Madero</v>
      </c>
      <c r="B177" s="4" t="str">
        <f>IFERROR(__xludf.DUMMYFUNCTION("""COMPUTED_VALUE"""),"Leonardo Roso")</f>
        <v>Leonardo Roso</v>
      </c>
      <c r="C177" s="4" t="str">
        <f>IFERROR(__xludf.DUMMYFUNCTION("""COMPUTED_VALUE"""),"Leonardo Roso")</f>
        <v>Leonardo Roso</v>
      </c>
      <c r="D177" s="4" t="str">
        <f>IFERROR(__xludf.DUMMYFUNCTION("""COMPUTED_VALUE"""),"6. Negociação")</f>
        <v>6. Negociação</v>
      </c>
      <c r="E177" s="4" t="str">
        <f>IFERROR(__xludf.DUMMYFUNCTION("""COMPUTED_VALUE"""),"Comercial - Em negociação de proposta")</f>
        <v>Comercial - Em negociação de proposta</v>
      </c>
      <c r="F177" s="4" t="str">
        <f>IFERROR(__xludf.DUMMYFUNCTION("""COMPUTED_VALUE"""),"G")</f>
        <v>G</v>
      </c>
      <c r="G177" s="5">
        <f>IFERROR(__xludf.DUMMYFUNCTION("""COMPUTED_VALUE"""),46073.0)</f>
        <v>46073</v>
      </c>
      <c r="H177" s="4" t="str">
        <f>IFERROR(__xludf.DUMMYFUNCTION("""COMPUTED_VALUE"""),"Proposta 360º enviada para Murilo na última semana, que vai validar com o Rafael. Agenda com delivery dia 11/03.")</f>
        <v>Proposta 360º enviada para Murilo na última semana, que vai validar com o Rafael. Agenda com delivery dia 11/03.</v>
      </c>
    </row>
    <row r="178">
      <c r="A178" s="4" t="str">
        <f>IFERROR(__xludf.DUMMYFUNCTION("""COMPUTED_VALUE"""),"Makoto Brasil")</f>
        <v>Makoto Brasil</v>
      </c>
      <c r="B178" s="4" t="str">
        <f>IFERROR(__xludf.DUMMYFUNCTION("""COMPUTED_VALUE"""),"Diego Santos")</f>
        <v>Diego Santos</v>
      </c>
      <c r="C178" s="4" t="str">
        <f>IFERROR(__xludf.DUMMYFUNCTION("""COMPUTED_VALUE"""),"Diego Santos")</f>
        <v>Diego Santos</v>
      </c>
      <c r="D178" s="4" t="str">
        <f>IFERROR(__xludf.DUMMYFUNCTION("""COMPUTED_VALUE"""),"13. Reativado")</f>
        <v>13. Reativado</v>
      </c>
      <c r="E178" s="4" t="str">
        <f>IFERROR(__xludf.DUMMYFUNCTION("""COMPUTED_VALUE"""),"Perdido -  Momento do restaurante não favorável")</f>
        <v>Perdido -  Momento do restaurante não favorável</v>
      </c>
      <c r="F178" s="4" t="str">
        <f>IFERROR(__xludf.DUMMYFUNCTION("""COMPUTED_VALUE"""),"Sem Classificação")</f>
        <v>Sem Classificação</v>
      </c>
      <c r="G178" s="5">
        <f>IFERROR(__xludf.DUMMYFUNCTION("""COMPUTED_VALUE"""),46119.0)</f>
        <v>46119</v>
      </c>
      <c r="H178" s="4" t="str">
        <f>IFERROR(__xludf.DUMMYFUNCTION("""COMPUTED_VALUE"""),"Cliente não está priorizando o tema no momento. ")</f>
        <v>Cliente não está priorizando o tema no momento. </v>
      </c>
    </row>
    <row r="179">
      <c r="A179" s="4" t="str">
        <f>IFERROR(__xludf.DUMMYFUNCTION("""COMPUTED_VALUE"""),"Mana Poke (Grupo Boali)")</f>
        <v>Mana Poke (Grupo Boali)</v>
      </c>
      <c r="B179" s="4" t="str">
        <f>IFERROR(__xludf.DUMMYFUNCTION("""COMPUTED_VALUE"""),"Leonardo Roso")</f>
        <v>Leonardo Roso</v>
      </c>
      <c r="C179" s="4" t="str">
        <f>IFERROR(__xludf.DUMMYFUNCTION("""COMPUTED_VALUE"""),"Leonardo Roso")</f>
        <v>Leonardo Roso</v>
      </c>
      <c r="D179" s="4" t="str">
        <f>IFERROR(__xludf.DUMMYFUNCTION("""COMPUTED_VALUE"""),"7. Piloto")</f>
        <v>7. Piloto</v>
      </c>
      <c r="E179" s="4" t="str">
        <f>IFERROR(__xludf.DUMMYFUNCTION("""COMPUTED_VALUE"""),"Projetos - Em piloto")</f>
        <v>Projetos - Em piloto</v>
      </c>
      <c r="F179" s="4" t="str">
        <f>IFERROR(__xludf.DUMMYFUNCTION("""COMPUTED_VALUE"""),"G")</f>
        <v>G</v>
      </c>
      <c r="G179" s="5">
        <f>IFERROR(__xludf.DUMMYFUNCTION("""COMPUTED_VALUE"""),46066.0)</f>
        <v>46066</v>
      </c>
      <c r="H179" s="4" t="str">
        <f>IFERROR(__xludf.DUMMYFUNCTION("""COMPUTED_VALUE"""),"Hugo aguardando aprovação shopping para início piloto (previsto para Março) - Prazo: 20/02 expirado")</f>
        <v>Hugo aguardando aprovação shopping para início piloto (previsto para Março) - Prazo: 20/02 expirado</v>
      </c>
    </row>
    <row r="180">
      <c r="A180" s="4" t="str">
        <f>IFERROR(__xludf.DUMMYFUNCTION("""COMPUTED_VALUE"""),"Mania De Churrasco")</f>
        <v>Mania De Churrasco</v>
      </c>
      <c r="B180" s="4" t="str">
        <f>IFERROR(__xludf.DUMMYFUNCTION("""COMPUTED_VALUE"""),"Leonardo Roso")</f>
        <v>Leonardo Roso</v>
      </c>
      <c r="C180" s="4" t="str">
        <f>IFERROR(__xludf.DUMMYFUNCTION("""COMPUTED_VALUE"""),"Leonardo Roso")</f>
        <v>Leonardo Roso</v>
      </c>
      <c r="D180" s="4" t="str">
        <f>IFERROR(__xludf.DUMMYFUNCTION("""COMPUTED_VALUE"""),"3. Apresentação")</f>
        <v>3. Apresentação</v>
      </c>
      <c r="E180" s="4" t="str">
        <f>IFERROR(__xludf.DUMMYFUNCTION("""COMPUTED_VALUE"""),"Perdido - Outro (detalhar ao lado)")</f>
        <v>Perdido - Outro (detalhar ao lado)</v>
      </c>
      <c r="F180" s="4" t="str">
        <f>IFERROR(__xludf.DUMMYFUNCTION("""COMPUTED_VALUE"""),"G")</f>
        <v>G</v>
      </c>
      <c r="G180" s="4"/>
      <c r="H180" s="4" t="str">
        <f>IFERROR(__xludf.DUMMYFUNCTION("""COMPUTED_VALUE"""),"Fazer contato com cliente , estava muito quente mas esfriou depois da compra pelo Ifood")</f>
        <v>Fazer contato com cliente , estava muito quente mas esfriou depois da compra pelo Ifood</v>
      </c>
    </row>
    <row r="181">
      <c r="A181" s="4" t="str">
        <f>IFERROR(__xludf.DUMMYFUNCTION("""COMPUTED_VALUE"""),"Marcos A Padaria Maringa")</f>
        <v>Marcos A Padaria Maringa</v>
      </c>
      <c r="B181" s="4" t="str">
        <f>IFERROR(__xludf.DUMMYFUNCTION("""COMPUTED_VALUE"""),"Emerson")</f>
        <v>Emerson</v>
      </c>
      <c r="C181" s="4" t="str">
        <f>IFERROR(__xludf.DUMMYFUNCTION("""COMPUTED_VALUE"""),"Emerson")</f>
        <v>Emerson</v>
      </c>
      <c r="D181" s="4" t="str">
        <f>IFERROR(__xludf.DUMMYFUNCTION("""COMPUTED_VALUE"""),"11. Stand by")</f>
        <v>11. Stand by</v>
      </c>
      <c r="E181" s="4" t="str">
        <f>IFERROR(__xludf.DUMMYFUNCTION("""COMPUTED_VALUE"""),"Parceiro - Em validação de proposta comercial")</f>
        <v>Parceiro - Em validação de proposta comercial</v>
      </c>
      <c r="F181" s="4" t="str">
        <f>IFERROR(__xludf.DUMMYFUNCTION("""COMPUTED_VALUE"""),"P")</f>
        <v>P</v>
      </c>
      <c r="G181" s="5">
        <f>IFERROR(__xludf.DUMMYFUNCTION("""COMPUTED_VALUE"""),46120.0)</f>
        <v>46120</v>
      </c>
      <c r="H181" s="4" t="str">
        <f>IFERROR(__xludf.DUMMYFUNCTION("""COMPUTED_VALUE"""),"Mudando o sistema de gestão da fabrica, pediram para aguardar")</f>
        <v>Mudando o sistema de gestão da fabrica, pediram para aguardar</v>
      </c>
    </row>
    <row r="182">
      <c r="A182" s="4" t="str">
        <f>IFERROR(__xludf.DUMMYFUNCTION("""COMPUTED_VALUE"""),"Matsuya")</f>
        <v>Matsuya</v>
      </c>
      <c r="B182" s="4" t="str">
        <f>IFERROR(__xludf.DUMMYFUNCTION("""COMPUTED_VALUE"""),"João Biagiotti")</f>
        <v>João Biagiotti</v>
      </c>
      <c r="C182" s="4" t="str">
        <f>IFERROR(__xludf.DUMMYFUNCTION("""COMPUTED_VALUE"""),"Diego Santos")</f>
        <v>Diego Santos</v>
      </c>
      <c r="D182" s="4" t="str">
        <f>IFERROR(__xludf.DUMMYFUNCTION("""COMPUTED_VALUE"""),"13. Reativado")</f>
        <v>13. Reativado</v>
      </c>
      <c r="E182" s="4" t="str">
        <f>IFERROR(__xludf.DUMMYFUNCTION("""COMPUTED_VALUE"""),"Parceiro - Aguardando retorno / Conciliação agenda")</f>
        <v>Parceiro - Aguardando retorno / Conciliação agenda</v>
      </c>
      <c r="F182" s="4" t="str">
        <f>IFERROR(__xludf.DUMMYFUNCTION("""COMPUTED_VALUE"""),"P")</f>
        <v>P</v>
      </c>
      <c r="G182" s="5">
        <f>IFERROR(__xludf.DUMMYFUNCTION("""COMPUTED_VALUE"""),46076.0)</f>
        <v>46076</v>
      </c>
      <c r="H182" s="4" t="str">
        <f>IFERROR(__xludf.DUMMYFUNCTION("""COMPUTED_VALUE"""),"Parceiro com aderencia porém sem retorno dos decisores. Focar pro próximo ciclo.")</f>
        <v>Parceiro com aderencia porém sem retorno dos decisores. Focar pro próximo ciclo.</v>
      </c>
    </row>
    <row r="183">
      <c r="A183" s="4" t="str">
        <f>IFERROR(__xludf.DUMMYFUNCTION("""COMPUTED_VALUE"""),"Mega Matte")</f>
        <v>Mega Matte</v>
      </c>
      <c r="B183" s="4" t="str">
        <f>IFERROR(__xludf.DUMMYFUNCTION("""COMPUTED_VALUE"""),"Leonardo Roso")</f>
        <v>Leonardo Roso</v>
      </c>
      <c r="C183" s="4" t="str">
        <f>IFERROR(__xludf.DUMMYFUNCTION("""COMPUTED_VALUE"""),"Leonardo Roso")</f>
        <v>Leonardo Roso</v>
      </c>
      <c r="D183" s="4" t="str">
        <f>IFERROR(__xludf.DUMMYFUNCTION("""COMPUTED_VALUE"""),"11. Stand by")</f>
        <v>11. Stand by</v>
      </c>
      <c r="E183" s="4"/>
      <c r="F183" s="4" t="str">
        <f>IFERROR(__xludf.DUMMYFUNCTION("""COMPUTED_VALUE"""),"G")</f>
        <v>G</v>
      </c>
      <c r="G183" s="5">
        <f>IFERROR(__xludf.DUMMYFUNCTION("""COMPUTED_VALUE"""),46118.0)</f>
        <v>46118</v>
      </c>
      <c r="H183" s="4" t="str">
        <f>IFERROR(__xludf.DUMMYFUNCTION("""COMPUTED_VALUE"""),"Entrada com Comer Fora")</f>
        <v>Entrada com Comer Fora</v>
      </c>
    </row>
    <row r="184">
      <c r="A184" s="4" t="str">
        <f>IFERROR(__xludf.DUMMYFUNCTION("""COMPUTED_VALUE"""),"Mei Mei")</f>
        <v>Mei Mei</v>
      </c>
      <c r="B184" s="4" t="str">
        <f>IFERROR(__xludf.DUMMYFUNCTION("""COMPUTED_VALUE"""),"Lídia Esteves")</f>
        <v>Lídia Esteves</v>
      </c>
      <c r="C184" s="4" t="str">
        <f>IFERROR(__xludf.DUMMYFUNCTION("""COMPUTED_VALUE"""),"Gabriela Roma")</f>
        <v>Gabriela Roma</v>
      </c>
      <c r="D184" s="4" t="str">
        <f>IFERROR(__xludf.DUMMYFUNCTION("""COMPUTED_VALUE"""),"5. Demo/Showroom")</f>
        <v>5. Demo/Showroom</v>
      </c>
      <c r="E184" s="4" t="str">
        <f>IFERROR(__xludf.DUMMYFUNCTION("""COMPUTED_VALUE"""),"Pré-vendas - Em validação técnica")</f>
        <v>Pré-vendas - Em validação técnica</v>
      </c>
      <c r="F184" s="4" t="str">
        <f>IFERROR(__xludf.DUMMYFUNCTION("""COMPUTED_VALUE"""),"P")</f>
        <v>P</v>
      </c>
      <c r="G184" s="5">
        <f>IFERROR(__xludf.DUMMYFUNCTION("""COMPUTED_VALUE"""),46154.0)</f>
        <v>46154</v>
      </c>
      <c r="H184" s="4" t="str">
        <f>IFERROR(__xludf.DUMMYFUNCTION("""COMPUTED_VALUE"""),"Feito showroom presencial no ifood, ainda falta uma nova reunião com time do financeiro + pre vendas. Piloto tem previsão de iniciar apenas em Ago/26 + emilia vision")</f>
        <v>Feito showroom presencial no ifood, ainda falta uma nova reunião com time do financeiro + pre vendas. Piloto tem previsão de iniciar apenas em Ago/26 + emilia vision</v>
      </c>
    </row>
    <row r="185">
      <c r="A185" s="4" t="str">
        <f>IFERROR(__xludf.DUMMYFUNCTION("""COMPUTED_VALUE"""),"Mini Kalzone")</f>
        <v>Mini Kalzone</v>
      </c>
      <c r="B185" s="4" t="str">
        <f>IFERROR(__xludf.DUMMYFUNCTION("""COMPUTED_VALUE"""),"NA")</f>
        <v>NA</v>
      </c>
      <c r="C185" s="4" t="str">
        <f>IFERROR(__xludf.DUMMYFUNCTION("""COMPUTED_VALUE"""),"NA")</f>
        <v>NA</v>
      </c>
      <c r="D185" s="4" t="str">
        <f>IFERROR(__xludf.DUMMYFUNCTION("""COMPUTED_VALUE"""),"10. Perdido")</f>
        <v>10. Perdido</v>
      </c>
      <c r="E185" s="4"/>
      <c r="F185" s="4" t="str">
        <f>IFERROR(__xludf.DUMMYFUNCTION("""COMPUTED_VALUE"""),"G")</f>
        <v>G</v>
      </c>
      <c r="G185" s="5">
        <f>IFERROR(__xludf.DUMMYFUNCTION("""COMPUTED_VALUE"""),46136.0)</f>
        <v>46136</v>
      </c>
      <c r="H185" s="4" t="str">
        <f>IFERROR(__xludf.DUMMYFUNCTION("""COMPUTED_VALUE"""),"Já é cliente Saipos")</f>
        <v>Já é cliente Saipos</v>
      </c>
    </row>
    <row r="186">
      <c r="A186" s="4" t="str">
        <f>IFERROR(__xludf.DUMMYFUNCTION("""COMPUTED_VALUE"""),"Momo Gelatto")</f>
        <v>Momo Gelatto</v>
      </c>
      <c r="B186" s="4" t="str">
        <f>IFERROR(__xludf.DUMMYFUNCTION("""COMPUTED_VALUE"""),"João Biagiotti")</f>
        <v>João Biagiotti</v>
      </c>
      <c r="C186" s="4" t="str">
        <f>IFERROR(__xludf.DUMMYFUNCTION("""COMPUTED_VALUE"""),"Diego Santos")</f>
        <v>Diego Santos</v>
      </c>
      <c r="D186" s="4" t="str">
        <f>IFERROR(__xludf.DUMMYFUNCTION("""COMPUTED_VALUE"""),"11. Stand by")</f>
        <v>11. Stand by</v>
      </c>
      <c r="E186" s="4" t="str">
        <f>IFERROR(__xludf.DUMMYFUNCTION("""COMPUTED_VALUE"""),"Perdido -  Momento do restaurante não favorável")</f>
        <v>Perdido -  Momento do restaurante não favorável</v>
      </c>
      <c r="F186" s="4" t="str">
        <f>IFERROR(__xludf.DUMMYFUNCTION("""COMPUTED_VALUE"""),"P")</f>
        <v>P</v>
      </c>
      <c r="G186" s="5">
        <f>IFERROR(__xludf.DUMMYFUNCTION("""COMPUTED_VALUE"""),46101.0)</f>
        <v>46101</v>
      </c>
      <c r="H186" s="4" t="str">
        <f>IFERROR(__xludf.DUMMYFUNCTION("""COMPUTED_VALUE"""),"Cliente informou que está com outras prioridades no momento, informou que assim que possível voltaria o contato. ")</f>
        <v>Cliente informou que está com outras prioridades no momento, informou que assim que possível voltaria o contato. </v>
      </c>
    </row>
    <row r="187">
      <c r="A187" s="4" t="str">
        <f>IFERROR(__xludf.DUMMYFUNCTION("""COMPUTED_VALUE"""),"Mondo Food")</f>
        <v>Mondo Food</v>
      </c>
      <c r="B187" s="4" t="str">
        <f>IFERROR(__xludf.DUMMYFUNCTION("""COMPUTED_VALUE"""),"Diego Santos")</f>
        <v>Diego Santos</v>
      </c>
      <c r="C187" s="4" t="str">
        <f>IFERROR(__xludf.DUMMYFUNCTION("""COMPUTED_VALUE"""),"Diego Santos")</f>
        <v>Diego Santos</v>
      </c>
      <c r="D187" s="4" t="str">
        <f>IFERROR(__xludf.DUMMYFUNCTION("""COMPUTED_VALUE"""),"10. Perdido")</f>
        <v>10. Perdido</v>
      </c>
      <c r="E187" s="4" t="str">
        <f>IFERROR(__xludf.DUMMYFUNCTION("""COMPUTED_VALUE"""),"Perdido -  Momento do restaurante não favorável")</f>
        <v>Perdido -  Momento do restaurante não favorável</v>
      </c>
      <c r="F187" s="4" t="str">
        <f>IFERROR(__xludf.DUMMYFUNCTION("""COMPUTED_VALUE"""),"P")</f>
        <v>P</v>
      </c>
      <c r="G187" s="5">
        <f>IFERROR(__xludf.DUMMYFUNCTION("""COMPUTED_VALUE"""),46113.0)</f>
        <v>46113</v>
      </c>
      <c r="H187" s="4" t="str">
        <f>IFERROR(__xludf.DUMMYFUNCTION("""COMPUTED_VALUE"""),"FUP - Cliente parou de responder. ")</f>
        <v>FUP - Cliente parou de responder. </v>
      </c>
    </row>
    <row r="188">
      <c r="A188" s="4" t="str">
        <f>IFERROR(__xludf.DUMMYFUNCTION("""COMPUTED_VALUE"""),"Nacional Lanches - Marca")</f>
        <v>Nacional Lanches - Marca</v>
      </c>
      <c r="B188" s="4" t="str">
        <f>IFERROR(__xludf.DUMMYFUNCTION("""COMPUTED_VALUE"""),"Lídia Esteves")</f>
        <v>Lídia Esteves</v>
      </c>
      <c r="C188" s="4" t="str">
        <f>IFERROR(__xludf.DUMMYFUNCTION("""COMPUTED_VALUE"""),"Gabriela Roma")</f>
        <v>Gabriela Roma</v>
      </c>
      <c r="D188" s="4" t="str">
        <f>IFERROR(__xludf.DUMMYFUNCTION("""COMPUTED_VALUE"""),"10. Perdido")</f>
        <v>10. Perdido</v>
      </c>
      <c r="E188" s="4" t="str">
        <f>IFERROR(__xludf.DUMMYFUNCTION("""COMPUTED_VALUE"""),"Perdido - Sem perfil LA / 3SCheckout / PDV próprio")</f>
        <v>Perdido - Sem perfil LA / 3SCheckout / PDV próprio</v>
      </c>
      <c r="F188" s="4" t="str">
        <f>IFERROR(__xludf.DUMMYFUNCTION("""COMPUTED_VALUE"""),"P")</f>
        <v>P</v>
      </c>
      <c r="G188" s="5">
        <f>IFERROR(__xludf.DUMMYFUNCTION("""COMPUTED_VALUE"""),46154.0)</f>
        <v>46154</v>
      </c>
      <c r="H188" s="4" t="str">
        <f>IFERROR(__xludf.DUMMYFUNCTION("""COMPUTED_VALUE"""),"sem perfil LA")</f>
        <v>sem perfil LA</v>
      </c>
    </row>
    <row r="189">
      <c r="A189" s="4" t="str">
        <f>IFERROR(__xludf.DUMMYFUNCTION("""COMPUTED_VALUE"""),"Nathan'S Famous Brasil")</f>
        <v>Nathan'S Famous Brasil</v>
      </c>
      <c r="B189" s="4" t="str">
        <f>IFERROR(__xludf.DUMMYFUNCTION("""COMPUTED_VALUE"""),"Emerson")</f>
        <v>Emerson</v>
      </c>
      <c r="C189" s="4" t="str">
        <f>IFERROR(__xludf.DUMMYFUNCTION("""COMPUTED_VALUE"""),"Emerson")</f>
        <v>Emerson</v>
      </c>
      <c r="D189" s="4" t="str">
        <f>IFERROR(__xludf.DUMMYFUNCTION("""COMPUTED_VALUE"""),"3. Apresentação")</f>
        <v>3. Apresentação</v>
      </c>
      <c r="E189" s="4"/>
      <c r="F189" s="4" t="str">
        <f>IFERROR(__xludf.DUMMYFUNCTION("""COMPUTED_VALUE"""),"P")</f>
        <v>P</v>
      </c>
      <c r="G189" s="4"/>
      <c r="H189" s="4"/>
    </row>
    <row r="190">
      <c r="A190" s="4" t="str">
        <f>IFERROR(__xludf.DUMMYFUNCTION("""COMPUTED_VALUE"""),"New Dog")</f>
        <v>New Dog</v>
      </c>
      <c r="B190" s="4" t="str">
        <f>IFERROR(__xludf.DUMMYFUNCTION("""COMPUTED_VALUE"""),"Lídia Esteves")</f>
        <v>Lídia Esteves</v>
      </c>
      <c r="C190" s="4" t="str">
        <f>IFERROR(__xludf.DUMMYFUNCTION("""COMPUTED_VALUE"""),"Gabriela Roma")</f>
        <v>Gabriela Roma</v>
      </c>
      <c r="D190" s="4" t="str">
        <f>IFERROR(__xludf.DUMMYFUNCTION("""COMPUTED_VALUE"""),"3. Apresentação")</f>
        <v>3. Apresentação</v>
      </c>
      <c r="E190" s="4" t="str">
        <f>IFERROR(__xludf.DUMMYFUNCTION("""COMPUTED_VALUE"""),"Comercial - Primeira reunião / Visita presencial agendada")</f>
        <v>Comercial - Primeira reunião / Visita presencial agendada</v>
      </c>
      <c r="F190" s="4" t="str">
        <f>IFERROR(__xludf.DUMMYFUNCTION("""COMPUTED_VALUE"""),"P")</f>
        <v>P</v>
      </c>
      <c r="G190" s="4"/>
      <c r="H190" s="4"/>
    </row>
    <row r="191">
      <c r="A191" s="4" t="str">
        <f>IFERROR(__xludf.DUMMYFUNCTION("""COMPUTED_VALUE"""),"O Matuto Express")</f>
        <v>O Matuto Express</v>
      </c>
      <c r="B191" s="4" t="str">
        <f>IFERROR(__xludf.DUMMYFUNCTION("""COMPUTED_VALUE"""),"Emerson")</f>
        <v>Emerson</v>
      </c>
      <c r="C191" s="4" t="str">
        <f>IFERROR(__xludf.DUMMYFUNCTION("""COMPUTED_VALUE"""),"Emerson")</f>
        <v>Emerson</v>
      </c>
      <c r="D191" s="4" t="str">
        <f>IFERROR(__xludf.DUMMYFUNCTION("""COMPUTED_VALUE"""),"4. Diagnóstico")</f>
        <v>4. Diagnóstico</v>
      </c>
      <c r="E191" s="4"/>
      <c r="F191" s="4" t="str">
        <f>IFERROR(__xludf.DUMMYFUNCTION("""COMPUTED_VALUE"""),"P")</f>
        <v>P</v>
      </c>
      <c r="G191" s="4"/>
      <c r="H191" s="22" t="str">
        <f>IFERROR(__xludf.DUMMYFUNCTION("""COMPUTED_VALUE"""),"conta negociada pelo Emerson")</f>
        <v>conta negociada pelo Emerson</v>
      </c>
    </row>
    <row r="192">
      <c r="A192" s="4" t="str">
        <f>IFERROR(__xludf.DUMMYFUNCTION("""COMPUTED_VALUE"""),"Oakberry")</f>
        <v>Oakberry</v>
      </c>
      <c r="B192" s="4" t="str">
        <f>IFERROR(__xludf.DUMMYFUNCTION("""COMPUTED_VALUE"""),"Leonardo Roso")</f>
        <v>Leonardo Roso</v>
      </c>
      <c r="C192" s="4" t="str">
        <f>IFERROR(__xludf.DUMMYFUNCTION("""COMPUTED_VALUE"""),"Leonardo Roso")</f>
        <v>Leonardo Roso</v>
      </c>
      <c r="D192" s="4" t="str">
        <f>IFERROR(__xludf.DUMMYFUNCTION("""COMPUTED_VALUE"""),"11. Stand by")</f>
        <v>11. Stand by</v>
      </c>
      <c r="E192" s="4" t="str">
        <f>IFERROR(__xludf.DUMMYFUNCTION("""COMPUTED_VALUE"""),"Perdido -  Momento do restaurante não favorável")</f>
        <v>Perdido -  Momento do restaurante não favorável</v>
      </c>
      <c r="F192" s="4" t="str">
        <f>IFERROR(__xludf.DUMMYFUNCTION("""COMPUTED_VALUE"""),"G")</f>
        <v>G</v>
      </c>
      <c r="G192" s="5">
        <f>IFERROR(__xludf.DUMMYFUNCTION("""COMPUTED_VALUE"""),46118.0)</f>
        <v>46118</v>
      </c>
      <c r="H192" s="4" t="str">
        <f>IFERROR(__xludf.DUMMYFUNCTION("""COMPUTED_VALUE"""),"Diretor informou que estão caminhando bem com a CISS, não temos abertura por hora, nova tentativa em Abril")</f>
        <v>Diretor informou que estão caminhando bem com a CISS, não temos abertura por hora, nova tentativa em Abril</v>
      </c>
    </row>
    <row r="193">
      <c r="A193" s="4" t="str">
        <f>IFERROR(__xludf.DUMMYFUNCTION("""COMPUTED_VALUE"""),"Oggi Sorvetes")</f>
        <v>Oggi Sorvetes</v>
      </c>
      <c r="B193" s="4" t="str">
        <f>IFERROR(__xludf.DUMMYFUNCTION("""COMPUTED_VALUE"""),"Leonardo Roso")</f>
        <v>Leonardo Roso</v>
      </c>
      <c r="C193" s="4" t="str">
        <f>IFERROR(__xludf.DUMMYFUNCTION("""COMPUTED_VALUE"""),"Leonardo Roso")</f>
        <v>Leonardo Roso</v>
      </c>
      <c r="D193" s="4" t="str">
        <f>IFERROR(__xludf.DUMMYFUNCTION("""COMPUTED_VALUE"""),"11. Stand by")</f>
        <v>11. Stand by</v>
      </c>
      <c r="E193" s="4" t="str">
        <f>IFERROR(__xludf.DUMMYFUNCTION("""COMPUTED_VALUE"""),"Comercial - Tentativa não iniciada")</f>
        <v>Comercial - Tentativa não iniciada</v>
      </c>
      <c r="F193" s="4" t="str">
        <f>IFERROR(__xludf.DUMMYFUNCTION("""COMPUTED_VALUE"""),"G")</f>
        <v>G</v>
      </c>
      <c r="G193" s="5">
        <f>IFERROR(__xludf.DUMMYFUNCTION("""COMPUTED_VALUE"""),46118.0)</f>
        <v>46118</v>
      </c>
      <c r="H193" s="4" t="str">
        <f>IFERROR(__xludf.DUMMYFUNCTION("""COMPUTED_VALUE"""),"Aguardando contato Samuca, abordagem 3S + Totem + Comer Fora")</f>
        <v>Aguardando contato Samuca, abordagem 3S + Totem + Comer Fora</v>
      </c>
    </row>
    <row r="194">
      <c r="A194" s="4" t="str">
        <f>IFERROR(__xludf.DUMMYFUNCTION("""COMPUTED_VALUE"""),"Osnir")</f>
        <v>Osnir</v>
      </c>
      <c r="B194" s="4" t="str">
        <f>IFERROR(__xludf.DUMMYFUNCTION("""COMPUTED_VALUE"""),"João Biagiotti")</f>
        <v>João Biagiotti</v>
      </c>
      <c r="C194" s="4" t="str">
        <f>IFERROR(__xludf.DUMMYFUNCTION("""COMPUTED_VALUE"""),"Diego Santos")</f>
        <v>Diego Santos</v>
      </c>
      <c r="D194" s="4" t="str">
        <f>IFERROR(__xludf.DUMMYFUNCTION("""COMPUTED_VALUE"""),"13. Reativado")</f>
        <v>13. Reativado</v>
      </c>
      <c r="E194" s="4"/>
      <c r="F194" s="4" t="str">
        <f>IFERROR(__xludf.DUMMYFUNCTION("""COMPUTED_VALUE"""),"P")</f>
        <v>P</v>
      </c>
      <c r="G194" s="5">
        <f>IFERROR(__xludf.DUMMYFUNCTION("""COMPUTED_VALUE"""),46076.0)</f>
        <v>46076</v>
      </c>
      <c r="H194" s="4" t="str">
        <f>IFERROR(__xludf.DUMMYFUNCTION("""COMPUTED_VALUE"""),"Parceiro gostou da nossa solução mas não consegue encerrar contrato com atual fornecedor neste momento. ")</f>
        <v>Parceiro gostou da nossa solução mas não consegue encerrar contrato com atual fornecedor neste momento. </v>
      </c>
    </row>
    <row r="195">
      <c r="A195" s="4" t="str">
        <f>IFERROR(__xludf.DUMMYFUNCTION("""COMPUTED_VALUE"""),"Pabu Izakaya")</f>
        <v>Pabu Izakaya</v>
      </c>
      <c r="B195" s="4" t="str">
        <f>IFERROR(__xludf.DUMMYFUNCTION("""COMPUTED_VALUE"""),"João Biagiotti")</f>
        <v>João Biagiotti</v>
      </c>
      <c r="C195" s="4" t="str">
        <f>IFERROR(__xludf.DUMMYFUNCTION("""COMPUTED_VALUE"""),"Diego Santos")</f>
        <v>Diego Santos</v>
      </c>
      <c r="D195" s="4" t="str">
        <f>IFERROR(__xludf.DUMMYFUNCTION("""COMPUTED_VALUE"""),"6. Negociação")</f>
        <v>6. Negociação</v>
      </c>
      <c r="E195" s="4" t="str">
        <f>IFERROR(__xludf.DUMMYFUNCTION("""COMPUTED_VALUE"""),"Parceiro - Aguardando retorno parceiro")</f>
        <v>Parceiro - Aguardando retorno parceiro</v>
      </c>
      <c r="F195" s="4" t="str">
        <f>IFERROR(__xludf.DUMMYFUNCTION("""COMPUTED_VALUE"""),"P")</f>
        <v>P</v>
      </c>
      <c r="G195" s="5">
        <f>IFERROR(__xludf.DUMMYFUNCTION("""COMPUTED_VALUE"""),46157.0)</f>
        <v>46157</v>
      </c>
      <c r="H195" s="4" t="str">
        <f>IFERROR(__xludf.DUMMYFUNCTION("""COMPUTED_VALUE"""),"FUP da proposta, porém, sem retorno. ")</f>
        <v>FUP da proposta, porém, sem retorno. </v>
      </c>
    </row>
    <row r="196">
      <c r="A196" s="4" t="str">
        <f>IFERROR(__xludf.DUMMYFUNCTION("""COMPUTED_VALUE"""),"Pamonhas Do Cezar Conta-Pai")</f>
        <v>Pamonhas Do Cezar Conta-Pai</v>
      </c>
      <c r="B196" s="4" t="str">
        <f>IFERROR(__xludf.DUMMYFUNCTION("""COMPUTED_VALUE"""),"Lídia Esteves")</f>
        <v>Lídia Esteves</v>
      </c>
      <c r="C196" s="4" t="str">
        <f>IFERROR(__xludf.DUMMYFUNCTION("""COMPUTED_VALUE"""),"Gabriela Roma")</f>
        <v>Gabriela Roma</v>
      </c>
      <c r="D196" s="4" t="str">
        <f>IFERROR(__xludf.DUMMYFUNCTION("""COMPUTED_VALUE"""),"2. Primeiro contato com a marca")</f>
        <v>2. Primeiro contato com a marca</v>
      </c>
      <c r="E196" s="4" t="str">
        <f>IFERROR(__xludf.DUMMYFUNCTION("""COMPUTED_VALUE"""),"Parceiro - Aguardando retorno / Conciliação agenda")</f>
        <v>Parceiro - Aguardando retorno / Conciliação agenda</v>
      </c>
      <c r="F196" s="4" t="str">
        <f>IFERROR(__xludf.DUMMYFUNCTION("""COMPUTED_VALUE"""),"P")</f>
        <v>P</v>
      </c>
      <c r="G196" s="5">
        <f>IFERROR(__xludf.DUMMYFUNCTION("""COMPUTED_VALUE"""),46120.0)</f>
        <v>46120</v>
      </c>
      <c r="H196" s="4" t="str">
        <f>IFERROR(__xludf.DUMMYFUNCTION("""COMPUTED_VALUE"""),"Em conciliação de agenda")</f>
        <v>Em conciliação de agenda</v>
      </c>
    </row>
    <row r="197">
      <c r="A197" s="4" t="str">
        <f>IFERROR(__xludf.DUMMYFUNCTION("""COMPUTED_VALUE"""),"Pão Com Carne")</f>
        <v>Pão Com Carne</v>
      </c>
      <c r="B197" s="4" t="str">
        <f>IFERROR(__xludf.DUMMYFUNCTION("""COMPUTED_VALUE"""),"Lídia Esteves")</f>
        <v>Lídia Esteves</v>
      </c>
      <c r="C197" s="4" t="str">
        <f>IFERROR(__xludf.DUMMYFUNCTION("""COMPUTED_VALUE"""),"Gabriela Roma")</f>
        <v>Gabriela Roma</v>
      </c>
      <c r="D197" s="4" t="str">
        <f>IFERROR(__xludf.DUMMYFUNCTION("""COMPUTED_VALUE"""),"7. Piloto")</f>
        <v>7. Piloto</v>
      </c>
      <c r="E197" s="4" t="str">
        <f>IFERROR(__xludf.DUMMYFUNCTION("""COMPUTED_VALUE"""),"Projetos - Em piloto")</f>
        <v>Projetos - Em piloto</v>
      </c>
      <c r="F197" s="4" t="str">
        <f>IFERROR(__xludf.DUMMYFUNCTION("""COMPUTED_VALUE"""),"P")</f>
        <v>P</v>
      </c>
      <c r="G197" s="5">
        <f>IFERROR(__xludf.DUMMYFUNCTION("""COMPUTED_VALUE"""),46139.0)</f>
        <v>46139</v>
      </c>
      <c r="H197" s="4" t="str">
        <f>IFERROR(__xludf.DUMMYFUNCTION("""COMPUTED_VALUE"""),"Cliente iniciará piloto na loja nova que inaugura em maio, em paralelo estamos negociando a proposta comercial. ")</f>
        <v>Cliente iniciará piloto na loja nova que inaugura em maio, em paralelo estamos negociando a proposta comercial. </v>
      </c>
    </row>
    <row r="198">
      <c r="A198" s="4" t="str">
        <f>IFERROR(__xludf.DUMMYFUNCTION("""COMPUTED_VALUE"""),"Parmeggio")</f>
        <v>Parmeggio</v>
      </c>
      <c r="B198" s="4" t="str">
        <f>IFERROR(__xludf.DUMMYFUNCTION("""COMPUTED_VALUE"""),"João Biagiotti")</f>
        <v>João Biagiotti</v>
      </c>
      <c r="C198" s="4" t="str">
        <f>IFERROR(__xludf.DUMMYFUNCTION("""COMPUTED_VALUE"""),"Diego Santos")</f>
        <v>Diego Santos</v>
      </c>
      <c r="D198" s="4" t="str">
        <f>IFERROR(__xludf.DUMMYFUNCTION("""COMPUTED_VALUE"""),"9. Contrato assinado")</f>
        <v>9. Contrato assinado</v>
      </c>
      <c r="E198" s="4" t="str">
        <f>IFERROR(__xludf.DUMMYFUNCTION("""COMPUTED_VALUE"""),"Projetos - Em piloto")</f>
        <v>Projetos - Em piloto</v>
      </c>
      <c r="F198" s="4" t="str">
        <f>IFERROR(__xludf.DUMMYFUNCTION("""COMPUTED_VALUE"""),"M")</f>
        <v>M</v>
      </c>
      <c r="G198" s="5">
        <f>IFERROR(__xludf.DUMMYFUNCTION("""COMPUTED_VALUE"""),46135.0)</f>
        <v>46135</v>
      </c>
      <c r="H198" s="4" t="str">
        <f>IFERROR(__xludf.DUMMYFUNCTION("""COMPUTED_VALUE"""),"Alinhado com o cliente sobre a assinatura do contrato. ")</f>
        <v>Alinhado com o cliente sobre a assinatura do contrato. </v>
      </c>
    </row>
    <row r="199">
      <c r="A199" s="4" t="str">
        <f>IFERROR(__xludf.DUMMYFUNCTION("""COMPUTED_VALUE"""),"Patroni")</f>
        <v>Patroni</v>
      </c>
      <c r="B199" s="4" t="str">
        <f>IFERROR(__xludf.DUMMYFUNCTION("""COMPUTED_VALUE"""),"Leonardo Roso")</f>
        <v>Leonardo Roso</v>
      </c>
      <c r="C199" s="4" t="str">
        <f>IFERROR(__xludf.DUMMYFUNCTION("""COMPUTED_VALUE"""),"Leonardo Roso")</f>
        <v>Leonardo Roso</v>
      </c>
      <c r="D199" s="4" t="str">
        <f>IFERROR(__xludf.DUMMYFUNCTION("""COMPUTED_VALUE"""),"2. Primeiro contato com a marca")</f>
        <v>2. Primeiro contato com a marca</v>
      </c>
      <c r="E199" s="4" t="str">
        <f>IFERROR(__xludf.DUMMYFUNCTION("""COMPUTED_VALUE"""),"Delivery - Aguardando retorno / Conciliação agenda")</f>
        <v>Delivery - Aguardando retorno / Conciliação agenda</v>
      </c>
      <c r="F199" s="4" t="str">
        <f>IFERROR(__xludf.DUMMYFUNCTION("""COMPUTED_VALUE"""),"G")</f>
        <v>G</v>
      </c>
      <c r="G199" s="5">
        <f>IFERROR(__xludf.DUMMYFUNCTION("""COMPUTED_VALUE"""),46119.0)</f>
        <v>46119</v>
      </c>
      <c r="H199" s="4" t="str">
        <f>IFERROR(__xludf.DUMMYFUNCTION("""COMPUTED_VALUE"""),"Retomar contatos com Rafael (Ceo Patroni), tentativa em conjunto com o delivery")</f>
        <v>Retomar contatos com Rafael (Ceo Patroni), tentativa em conjunto com o delivery</v>
      </c>
    </row>
    <row r="200">
      <c r="A200" s="4" t="str">
        <f>IFERROR(__xludf.DUMMYFUNCTION("""COMPUTED_VALUE"""),"Perdomo Doces")</f>
        <v>Perdomo Doces</v>
      </c>
      <c r="B200" s="4" t="str">
        <f>IFERROR(__xludf.DUMMYFUNCTION("""COMPUTED_VALUE"""),"Lídia Esteves")</f>
        <v>Lídia Esteves</v>
      </c>
      <c r="C200" s="4" t="str">
        <f>IFERROR(__xludf.DUMMYFUNCTION("""COMPUTED_VALUE"""),"Gabriela Roma")</f>
        <v>Gabriela Roma</v>
      </c>
      <c r="D200" s="4" t="str">
        <f>IFERROR(__xludf.DUMMYFUNCTION("""COMPUTED_VALUE"""),"6. Negociação")</f>
        <v>6. Negociação</v>
      </c>
      <c r="E200" s="4" t="str">
        <f>IFERROR(__xludf.DUMMYFUNCTION("""COMPUTED_VALUE"""),"Parceiro - Aguardando retorno parceiro")</f>
        <v>Parceiro - Aguardando retorno parceiro</v>
      </c>
      <c r="F200" s="4" t="str">
        <f>IFERROR(__xludf.DUMMYFUNCTION("""COMPUTED_VALUE"""),"P")</f>
        <v>P</v>
      </c>
      <c r="G200" s="5">
        <f>IFERROR(__xludf.DUMMYFUNCTION("""COMPUTED_VALUE"""),46154.0)</f>
        <v>46154</v>
      </c>
      <c r="H200" s="4" t="str">
        <f>IFERROR(__xludf.DUMMYFUNCTION("""COMPUTED_VALUE"""),"Aguardando retorno do jurídico, avaliação de proposta.")</f>
        <v>Aguardando retorno do jurídico, avaliação de proposta.</v>
      </c>
    </row>
    <row r="201">
      <c r="A201" s="4" t="str">
        <f>IFERROR(__xludf.DUMMYFUNCTION("""COMPUTED_VALUE"""),"Piratas Hamburgueria")</f>
        <v>Piratas Hamburgueria</v>
      </c>
      <c r="B201" s="4" t="str">
        <f>IFERROR(__xludf.DUMMYFUNCTION("""COMPUTED_VALUE"""),"Lídia Esteves")</f>
        <v>Lídia Esteves</v>
      </c>
      <c r="C201" s="4" t="str">
        <f>IFERROR(__xludf.DUMMYFUNCTION("""COMPUTED_VALUE"""),"Gabriela Roma")</f>
        <v>Gabriela Roma</v>
      </c>
      <c r="D201" s="4" t="str">
        <f>IFERROR(__xludf.DUMMYFUNCTION("""COMPUTED_VALUE"""),"10. Perdido")</f>
        <v>10. Perdido</v>
      </c>
      <c r="E201" s="4"/>
      <c r="F201" s="4" t="str">
        <f>IFERROR(__xludf.DUMMYFUNCTION("""COMPUTED_VALUE"""),"P")</f>
        <v>P</v>
      </c>
      <c r="G201" s="5">
        <f>IFERROR(__xludf.DUMMYFUNCTION("""COMPUTED_VALUE"""),46111.0)</f>
        <v>46111</v>
      </c>
      <c r="H201" s="4" t="str">
        <f>IFERROR(__xludf.DUMMYFUNCTION("""COMPUTED_VALUE"""),"testeeeee")</f>
        <v>testeeeee</v>
      </c>
    </row>
    <row r="202">
      <c r="A202" s="4" t="str">
        <f>IFERROR(__xludf.DUMMYFUNCTION("""COMPUTED_VALUE"""),"Pizza Do Pão")</f>
        <v>Pizza Do Pão</v>
      </c>
      <c r="B202" s="4" t="str">
        <f>IFERROR(__xludf.DUMMYFUNCTION("""COMPUTED_VALUE"""),"João Biagiotti")</f>
        <v>João Biagiotti</v>
      </c>
      <c r="C202" s="4" t="str">
        <f>IFERROR(__xludf.DUMMYFUNCTION("""COMPUTED_VALUE"""),"Diego Santos")</f>
        <v>Diego Santos</v>
      </c>
      <c r="D202" s="4" t="str">
        <f>IFERROR(__xludf.DUMMYFUNCTION("""COMPUTED_VALUE"""),"11. Stand by")</f>
        <v>11. Stand by</v>
      </c>
      <c r="E202" s="4" t="str">
        <f>IFERROR(__xludf.DUMMYFUNCTION("""COMPUTED_VALUE"""),"Perdido -  Momento do restaurante não favorável")</f>
        <v>Perdido -  Momento do restaurante não favorável</v>
      </c>
      <c r="F202" s="4" t="str">
        <f>IFERROR(__xludf.DUMMYFUNCTION("""COMPUTED_VALUE"""),"P")</f>
        <v>P</v>
      </c>
      <c r="G202" s="5">
        <f>IFERROR(__xludf.DUMMYFUNCTION("""COMPUTED_VALUE"""),46076.0)</f>
        <v>46076</v>
      </c>
      <c r="H202" s="4" t="str">
        <f>IFERROR(__xludf.DUMMYFUNCTION("""COMPUTED_VALUE"""),"Stand by, disse que não está no momento para procurar outra solução. ")</f>
        <v>Stand by, disse que não está no momento para procurar outra solução. </v>
      </c>
    </row>
    <row r="203">
      <c r="A203" s="4" t="str">
        <f>IFERROR(__xludf.DUMMYFUNCTION("""COMPUTED_VALUE"""),"Pizza Pazza")</f>
        <v>Pizza Pazza</v>
      </c>
      <c r="B203" s="4" t="str">
        <f>IFERROR(__xludf.DUMMYFUNCTION("""COMPUTED_VALUE"""),"João Biagiotti")</f>
        <v>João Biagiotti</v>
      </c>
      <c r="C203" s="4" t="str">
        <f>IFERROR(__xludf.DUMMYFUNCTION("""COMPUTED_VALUE"""),"Diego Santos")</f>
        <v>Diego Santos</v>
      </c>
      <c r="D203" s="4" t="str">
        <f>IFERROR(__xludf.DUMMYFUNCTION("""COMPUTED_VALUE"""),"11. Stand by")</f>
        <v>11. Stand by</v>
      </c>
      <c r="E203" s="4" t="str">
        <f>IFERROR(__xludf.DUMMYFUNCTION("""COMPUTED_VALUE"""),"Parceiro - Aguardando retorno / Conciliação agenda")</f>
        <v>Parceiro - Aguardando retorno / Conciliação agenda</v>
      </c>
      <c r="F203" s="4" t="str">
        <f>IFERROR(__xludf.DUMMYFUNCTION("""COMPUTED_VALUE"""),"P")</f>
        <v>P</v>
      </c>
      <c r="G203" s="5">
        <f>IFERROR(__xludf.DUMMYFUNCTION("""COMPUTED_VALUE"""),46090.0)</f>
        <v>46090</v>
      </c>
      <c r="H203" s="4" t="str">
        <f>IFERROR(__xludf.DUMMYFUNCTION("""COMPUTED_VALUE"""),"Cliente sem responder")</f>
        <v>Cliente sem responder</v>
      </c>
    </row>
    <row r="204">
      <c r="A204" s="4" t="str">
        <f>IFERROR(__xludf.DUMMYFUNCTION("""COMPUTED_VALUE"""),"Pizzadog")</f>
        <v>Pizzadog</v>
      </c>
      <c r="B204" s="4" t="str">
        <f>IFERROR(__xludf.DUMMYFUNCTION("""COMPUTED_VALUE"""),"Lídia Esteves")</f>
        <v>Lídia Esteves</v>
      </c>
      <c r="C204" s="4" t="str">
        <f>IFERROR(__xludf.DUMMYFUNCTION("""COMPUTED_VALUE"""),"Gabriela Roma")</f>
        <v>Gabriela Roma</v>
      </c>
      <c r="D204" s="4" t="str">
        <f>IFERROR(__xludf.DUMMYFUNCTION("""COMPUTED_VALUE"""),"3. Apresentação")</f>
        <v>3. Apresentação</v>
      </c>
      <c r="E204" s="4" t="str">
        <f>IFERROR(__xludf.DUMMYFUNCTION("""COMPUTED_VALUE"""),"Parceiro - Aguardando retorno / Conciliação agenda")</f>
        <v>Parceiro - Aguardando retorno / Conciliação agenda</v>
      </c>
      <c r="F204" s="4" t="str">
        <f>IFERROR(__xludf.DUMMYFUNCTION("""COMPUTED_VALUE"""),"M")</f>
        <v>M</v>
      </c>
      <c r="G204" s="4"/>
      <c r="H204" s="4"/>
    </row>
    <row r="205">
      <c r="A205" s="4" t="str">
        <f>IFERROR(__xludf.DUMMYFUNCTION("""COMPUTED_VALUE"""),"Pizzaria Camelo")</f>
        <v>Pizzaria Camelo</v>
      </c>
      <c r="B205" s="4" t="str">
        <f>IFERROR(__xludf.DUMMYFUNCTION("""COMPUTED_VALUE"""),"Emerson")</f>
        <v>Emerson</v>
      </c>
      <c r="C205" s="4" t="str">
        <f>IFERROR(__xludf.DUMMYFUNCTION("""COMPUTED_VALUE"""),"Emerson")</f>
        <v>Emerson</v>
      </c>
      <c r="D205" s="4" t="str">
        <f>IFERROR(__xludf.DUMMYFUNCTION("""COMPUTED_VALUE"""),"11. Stand by")</f>
        <v>11. Stand by</v>
      </c>
      <c r="E205" s="4"/>
      <c r="F205" s="4" t="str">
        <f>IFERROR(__xludf.DUMMYFUNCTION("""COMPUTED_VALUE"""),"P")</f>
        <v>P</v>
      </c>
      <c r="G205" s="4"/>
      <c r="H205" s="4"/>
    </row>
    <row r="206">
      <c r="A206" s="4" t="str">
        <f>IFERROR(__xludf.DUMMYFUNCTION("""COMPUTED_VALUE"""),"Pizzaria Catedral")</f>
        <v>Pizzaria Catedral</v>
      </c>
      <c r="B206" s="4" t="str">
        <f>IFERROR(__xludf.DUMMYFUNCTION("""COMPUTED_VALUE"""),"Lídia Esteves")</f>
        <v>Lídia Esteves</v>
      </c>
      <c r="C206" s="4" t="str">
        <f>IFERROR(__xludf.DUMMYFUNCTION("""COMPUTED_VALUE"""),"Gabriela Roma")</f>
        <v>Gabriela Roma</v>
      </c>
      <c r="D206" s="4" t="str">
        <f>IFERROR(__xludf.DUMMYFUNCTION("""COMPUTED_VALUE"""),"2. Primeiro contato com a marca")</f>
        <v>2. Primeiro contato com a marca</v>
      </c>
      <c r="E206" s="4" t="str">
        <f>IFERROR(__xludf.DUMMYFUNCTION("""COMPUTED_VALUE"""),"Delivery - Aguardando retorno / Conciliação agenda")</f>
        <v>Delivery - Aguardando retorno / Conciliação agenda</v>
      </c>
      <c r="F206" s="4" t="str">
        <f>IFERROR(__xludf.DUMMYFUNCTION("""COMPUTED_VALUE"""),"P")</f>
        <v>P</v>
      </c>
      <c r="G206" s="4"/>
      <c r="H206" s="4"/>
    </row>
    <row r="207">
      <c r="A207" s="4" t="str">
        <f>IFERROR(__xludf.DUMMYFUNCTION("""COMPUTED_VALUE"""),"PIZZARIA DO SAMBA")</f>
        <v>PIZZARIA DO SAMBA</v>
      </c>
      <c r="B207" s="4" t="str">
        <f>IFERROR(__xludf.DUMMYFUNCTION("""COMPUTED_VALUE"""),"Lídia Esteves")</f>
        <v>Lídia Esteves</v>
      </c>
      <c r="C207" s="4" t="str">
        <f>IFERROR(__xludf.DUMMYFUNCTION("""COMPUTED_VALUE"""),"Gabriela Roma")</f>
        <v>Gabriela Roma</v>
      </c>
      <c r="D207" s="4" t="str">
        <f>IFERROR(__xludf.DUMMYFUNCTION("""COMPUTED_VALUE"""),"10. Perdido")</f>
        <v>10. Perdido</v>
      </c>
      <c r="E207" s="4" t="str">
        <f>IFERROR(__xludf.DUMMYFUNCTION("""COMPUTED_VALUE"""),"Parceiro - Aguardando retorno parceiro")</f>
        <v>Parceiro - Aguardando retorno parceiro</v>
      </c>
      <c r="F207" s="4" t="str">
        <f>IFERROR(__xludf.DUMMYFUNCTION("""COMPUTED_VALUE"""),"P")</f>
        <v>P</v>
      </c>
      <c r="G207" s="5">
        <f>IFERROR(__xludf.DUMMYFUNCTION("""COMPUTED_VALUE"""),46154.0)</f>
        <v>46154</v>
      </c>
      <c r="H207" s="4" t="str">
        <f>IFERROR(__xludf.DUMMYFUNCTION("""COMPUTED_VALUE"""),"apresentação para proprietária a mesma finalizou  a pouco tempo a contratação de Saipos")</f>
        <v>apresentação para proprietária a mesma finalizou  a pouco tempo a contratação de Saipos</v>
      </c>
    </row>
    <row r="208">
      <c r="A208" s="4" t="str">
        <f>IFERROR(__xludf.DUMMYFUNCTION("""COMPUTED_VALUE"""),"Pobre Juan")</f>
        <v>Pobre Juan</v>
      </c>
      <c r="B208" s="4" t="str">
        <f>IFERROR(__xludf.DUMMYFUNCTION("""COMPUTED_VALUE"""),"Lídia Esteves")</f>
        <v>Lídia Esteves</v>
      </c>
      <c r="C208" s="4" t="str">
        <f>IFERROR(__xludf.DUMMYFUNCTION("""COMPUTED_VALUE"""),"Gabriela Roma")</f>
        <v>Gabriela Roma</v>
      </c>
      <c r="D208" s="4" t="str">
        <f>IFERROR(__xludf.DUMMYFUNCTION("""COMPUTED_VALUE"""),"13. Reativado")</f>
        <v>13. Reativado</v>
      </c>
      <c r="E208" s="4" t="str">
        <f>IFERROR(__xludf.DUMMYFUNCTION("""COMPUTED_VALUE"""),"Perdido - Outro (detalhar ao lado)")</f>
        <v>Perdido - Outro (detalhar ao lado)</v>
      </c>
      <c r="F208" s="4" t="str">
        <f>IFERROR(__xludf.DUMMYFUNCTION("""COMPUTED_VALUE"""),"P")</f>
        <v>P</v>
      </c>
      <c r="G208" s="5">
        <f>IFERROR(__xludf.DUMMYFUNCTION("""COMPUTED_VALUE"""),46076.0)</f>
        <v>46076</v>
      </c>
      <c r="H208" s="4" t="str">
        <f>IFERROR(__xludf.DUMMYFUNCTION("""COMPUTED_VALUE"""),"Falei com o diretor de operações e só temos alguma possível oportunidade em abril, final do mês. Chamar ele nesta data!")</f>
        <v>Falei com o diretor de operações e só temos alguma possível oportunidade em abril, final do mês. Chamar ele nesta data!</v>
      </c>
    </row>
    <row r="209">
      <c r="A209" s="4" t="str">
        <f>IFERROR(__xludf.DUMMYFUNCTION("""COMPUTED_VALUE"""),"Quiero Cafe")</f>
        <v>Quiero Cafe</v>
      </c>
      <c r="B209" s="4" t="str">
        <f>IFERROR(__xludf.DUMMYFUNCTION("""COMPUTED_VALUE"""),"Leonardo Roso")</f>
        <v>Leonardo Roso</v>
      </c>
      <c r="C209" s="4" t="str">
        <f>IFERROR(__xludf.DUMMYFUNCTION("""COMPUTED_VALUE"""),"Leonardo Roso")</f>
        <v>Leonardo Roso</v>
      </c>
      <c r="D209" s="4" t="str">
        <f>IFERROR(__xludf.DUMMYFUNCTION("""COMPUTED_VALUE"""),"3. Apresentação")</f>
        <v>3. Apresentação</v>
      </c>
      <c r="E209" s="4"/>
      <c r="F209" s="4" t="str">
        <f>IFERROR(__xludf.DUMMYFUNCTION("""COMPUTED_VALUE"""),"G")</f>
        <v>G</v>
      </c>
      <c r="G209" s="4"/>
      <c r="H209" s="4"/>
    </row>
    <row r="210">
      <c r="A210" s="4" t="str">
        <f>IFERROR(__xludf.DUMMYFUNCTION("""COMPUTED_VALUE"""),"Rei Do Mate")</f>
        <v>Rei Do Mate</v>
      </c>
      <c r="B210" s="4" t="str">
        <f>IFERROR(__xludf.DUMMYFUNCTION("""COMPUTED_VALUE"""),"Leonardo Roso")</f>
        <v>Leonardo Roso</v>
      </c>
      <c r="C210" s="4" t="str">
        <f>IFERROR(__xludf.DUMMYFUNCTION("""COMPUTED_VALUE"""),"Leonardo Roso")</f>
        <v>Leonardo Roso</v>
      </c>
      <c r="D210" s="4" t="str">
        <f>IFERROR(__xludf.DUMMYFUNCTION("""COMPUTED_VALUE"""),"3. Apresentação")</f>
        <v>3. Apresentação</v>
      </c>
      <c r="E210" s="4" t="str">
        <f>IFERROR(__xludf.DUMMYFUNCTION("""COMPUTED_VALUE"""),"Perdido -  Momento do restaurante não favorável")</f>
        <v>Perdido -  Momento do restaurante não favorável</v>
      </c>
      <c r="F210" s="4" t="str">
        <f>IFERROR(__xludf.DUMMYFUNCTION("""COMPUTED_VALUE"""),"G")</f>
        <v>G</v>
      </c>
      <c r="G210" s="5">
        <f>IFERROR(__xludf.DUMMYFUNCTION("""COMPUTED_VALUE"""),46073.0)</f>
        <v>46073</v>
      </c>
      <c r="H210" s="4" t="str">
        <f>IFERROR(__xludf.DUMMYFUNCTION("""COMPUTED_VALUE"""),"Parceiro com Gcom - Não é estratégico atacar com PDV nesse momento. Com totem VS e iniciaremos abordagem de Comer Fora.")</f>
        <v>Parceiro com Gcom - Não é estratégico atacar com PDV nesse momento. Com totem VS e iniciaremos abordagem de Comer Fora.</v>
      </c>
    </row>
    <row r="211">
      <c r="A211" s="4" t="str">
        <f>IFERROR(__xludf.DUMMYFUNCTION("""COMPUTED_VALUE"""),"Ricco Burger")</f>
        <v>Ricco Burger</v>
      </c>
      <c r="B211" s="4" t="str">
        <f>IFERROR(__xludf.DUMMYFUNCTION("""COMPUTED_VALUE"""),"Lídia Esteves")</f>
        <v>Lídia Esteves</v>
      </c>
      <c r="C211" s="4" t="str">
        <f>IFERROR(__xludf.DUMMYFUNCTION("""COMPUTED_VALUE"""),"Gabriela Roma")</f>
        <v>Gabriela Roma</v>
      </c>
      <c r="D211" s="4" t="str">
        <f>IFERROR(__xludf.DUMMYFUNCTION("""COMPUTED_VALUE"""),"11. Stand by")</f>
        <v>11. Stand by</v>
      </c>
      <c r="E211" s="4" t="str">
        <f>IFERROR(__xludf.DUMMYFUNCTION("""COMPUTED_VALUE"""),"Parceiro - Aguardando retorno parceiro")</f>
        <v>Parceiro - Aguardando retorno parceiro</v>
      </c>
      <c r="F211" s="4" t="str">
        <f>IFERROR(__xludf.DUMMYFUNCTION("""COMPUTED_VALUE"""),"P")</f>
        <v>P</v>
      </c>
      <c r="G211" s="5">
        <f>IFERROR(__xludf.DUMMYFUNCTION("""COMPUTED_VALUE"""),46154.0)</f>
        <v>46154</v>
      </c>
      <c r="H211" s="4" t="str">
        <f>IFERROR(__xludf.DUMMYFUNCTION("""COMPUTED_VALUE"""),"Parceiro não está no momento de trocar pdv, enviamos proposta mas não tem interesse no momento.")</f>
        <v>Parceiro não está no momento de trocar pdv, enviamos proposta mas não tem interesse no momento.</v>
      </c>
    </row>
    <row r="212">
      <c r="A212" s="4" t="str">
        <f>IFERROR(__xludf.DUMMYFUNCTION("""COMPUTED_VALUE"""),"Ritz")</f>
        <v>Ritz</v>
      </c>
      <c r="B212" s="4" t="str">
        <f>IFERROR(__xludf.DUMMYFUNCTION("""COMPUTED_VALUE"""),"João Biagiotti")</f>
        <v>João Biagiotti</v>
      </c>
      <c r="C212" s="4" t="str">
        <f>IFERROR(__xludf.DUMMYFUNCTION("""COMPUTED_VALUE"""),"Diego Santos")</f>
        <v>Diego Santos</v>
      </c>
      <c r="D212" s="4" t="str">
        <f>IFERROR(__xludf.DUMMYFUNCTION("""COMPUTED_VALUE"""),"10. Perdido")</f>
        <v>10. Perdido</v>
      </c>
      <c r="E212" s="4" t="str">
        <f>IFERROR(__xludf.DUMMYFUNCTION("""COMPUTED_VALUE"""),"Perdido - Proposta comercial não aceita")</f>
        <v>Perdido - Proposta comercial não aceita</v>
      </c>
      <c r="F212" s="4" t="str">
        <f>IFERROR(__xludf.DUMMYFUNCTION("""COMPUTED_VALUE"""),"P")</f>
        <v>P</v>
      </c>
      <c r="G212" s="4" t="str">
        <f>IFERROR(__xludf.DUMMYFUNCTION("""COMPUTED_VALUE"""),"46104.0")</f>
        <v>46104.0</v>
      </c>
      <c r="H212" s="4" t="str">
        <f>IFERROR(__xludf.DUMMYFUNCTION("""COMPUTED_VALUE"""),"Aguardando parceiro liberar um horário para fazer agenda de demo. Estamos dependendo de 2 de 3 gerentes do Ritz a conciliarem a agendas mas segundo nosso contato, esses gerentes são senhores e estão um pouco resistentes a fazer essa agenda, mesmo sendo vi"&amp;"rtual.")</f>
        <v>Aguardando parceiro liberar um horário para fazer agenda de demo. Estamos dependendo de 2 de 3 gerentes do Ritz a conciliarem a agendas mas segundo nosso contato, esses gerentes são senhores e estão um pouco resistentes a fazer essa agenda, mesmo sendo virtual.</v>
      </c>
    </row>
    <row r="213">
      <c r="A213" s="4" t="str">
        <f>IFERROR(__xludf.DUMMYFUNCTION("""COMPUTED_VALUE"""),"Robinfood")</f>
        <v>Robinfood</v>
      </c>
      <c r="B213" s="4" t="str">
        <f>IFERROR(__xludf.DUMMYFUNCTION("""COMPUTED_VALUE"""),"Lídia Esteves")</f>
        <v>Lídia Esteves</v>
      </c>
      <c r="C213" s="4" t="str">
        <f>IFERROR(__xludf.DUMMYFUNCTION("""COMPUTED_VALUE"""),"Gabriela Roma")</f>
        <v>Gabriela Roma</v>
      </c>
      <c r="D213" s="4" t="str">
        <f>IFERROR(__xludf.DUMMYFUNCTION("""COMPUTED_VALUE"""),"10. Perdido")</f>
        <v>10. Perdido</v>
      </c>
      <c r="E213" s="4" t="str">
        <f>IFERROR(__xludf.DUMMYFUNCTION("""COMPUTED_VALUE"""),"Perdido - Outro (detalhar ao lado)")</f>
        <v>Perdido - Outro (detalhar ao lado)</v>
      </c>
      <c r="F213" s="4" t="str">
        <f>IFERROR(__xludf.DUMMYFUNCTION("""COMPUTED_VALUE"""),"P")</f>
        <v>P</v>
      </c>
      <c r="G213" s="5">
        <f>IFERROR(__xludf.DUMMYFUNCTION("""COMPUTED_VALUE"""),46076.0)</f>
        <v>46076</v>
      </c>
      <c r="H213" s="4" t="str">
        <f>IFERROR(__xludf.DUMMYFUNCTION("""COMPUTED_VALUE"""),"Negociação com a saipos")</f>
        <v>Negociação com a saipos</v>
      </c>
    </row>
    <row r="214">
      <c r="A214" s="4" t="str">
        <f>IFERROR(__xludf.DUMMYFUNCTION("""COMPUTED_VALUE"""),"Sa Alexandria")</f>
        <v>Sa Alexandria</v>
      </c>
      <c r="B214" s="4" t="str">
        <f>IFERROR(__xludf.DUMMYFUNCTION("""COMPUTED_VALUE"""),"Lídia Esteves")</f>
        <v>Lídia Esteves</v>
      </c>
      <c r="C214" s="4" t="str">
        <f>IFERROR(__xludf.DUMMYFUNCTION("""COMPUTED_VALUE"""),"Gabriela Roma")</f>
        <v>Gabriela Roma</v>
      </c>
      <c r="D214" s="4" t="str">
        <f>IFERROR(__xludf.DUMMYFUNCTION("""COMPUTED_VALUE"""),"11. Stand by")</f>
        <v>11. Stand by</v>
      </c>
      <c r="E214" s="4" t="str">
        <f>IFERROR(__xludf.DUMMYFUNCTION("""COMPUTED_VALUE"""),"Parceiro - Aguardando retorno parceiro")</f>
        <v>Parceiro - Aguardando retorno parceiro</v>
      </c>
      <c r="F214" s="4" t="str">
        <f>IFERROR(__xludf.DUMMYFUNCTION("""COMPUTED_VALUE"""),"M")</f>
        <v>M</v>
      </c>
      <c r="G214" s="5">
        <f>IFERROR(__xludf.DUMMYFUNCTION("""COMPUTED_VALUE"""),46120.0)</f>
        <v>46120</v>
      </c>
      <c r="H214" s="4" t="str">
        <f>IFERROR(__xludf.DUMMYFUNCTION("""COMPUTED_VALUE"""),"Enviado proposta mas recebemos feedback da cliente que não achou o sistema - parte do backoffice - muito simples, demonstração não engajou a cliente, dizendo que o sistema atual é melhor. ")</f>
        <v>Enviado proposta mas recebemos feedback da cliente que não achou o sistema - parte do backoffice - muito simples, demonstração não engajou a cliente, dizendo que o sistema atual é melhor. </v>
      </c>
    </row>
    <row r="215">
      <c r="A215" s="4" t="str">
        <f>IFERROR(__xludf.DUMMYFUNCTION("""COMPUTED_VALUE"""),"Sal E Brasa")</f>
        <v>Sal E Brasa</v>
      </c>
      <c r="B215" s="4" t="str">
        <f>IFERROR(__xludf.DUMMYFUNCTION("""COMPUTED_VALUE"""),"Diego Santos")</f>
        <v>Diego Santos</v>
      </c>
      <c r="C215" s="4" t="str">
        <f>IFERROR(__xludf.DUMMYFUNCTION("""COMPUTED_VALUE"""),"Diego Santos")</f>
        <v>Diego Santos</v>
      </c>
      <c r="D215" s="4" t="str">
        <f>IFERROR(__xludf.DUMMYFUNCTION("""COMPUTED_VALUE"""),"10. Perdido")</f>
        <v>10. Perdido</v>
      </c>
      <c r="E215" s="4" t="str">
        <f>IFERROR(__xludf.DUMMYFUNCTION("""COMPUTED_VALUE"""),"Perdido - Proposta comercial não aceita")</f>
        <v>Perdido - Proposta comercial não aceita</v>
      </c>
      <c r="F215" s="4" t="str">
        <f>IFERROR(__xludf.DUMMYFUNCTION("""COMPUTED_VALUE"""),"P")</f>
        <v>P</v>
      </c>
      <c r="G215" s="4"/>
      <c r="H215" s="4" t="str">
        <f>IFERROR(__xludf.DUMMYFUNCTION("""COMPUTED_VALUE"""),"Usam 3LM sistema barato e sem interesse em mudar no momento. Mas estamos em contato para apoiar nas decisões. ")</f>
        <v>Usam 3LM sistema barato e sem interesse em mudar no momento. Mas estamos em contato para apoiar nas decisões. </v>
      </c>
    </row>
    <row r="216">
      <c r="A216" s="4" t="str">
        <f>IFERROR(__xludf.DUMMYFUNCTION("""COMPUTED_VALUE"""),"Sala Vip")</f>
        <v>Sala Vip</v>
      </c>
      <c r="B216" s="4" t="str">
        <f>IFERROR(__xludf.DUMMYFUNCTION("""COMPUTED_VALUE"""),"João Biagiotti")</f>
        <v>João Biagiotti</v>
      </c>
      <c r="C216" s="4" t="str">
        <f>IFERROR(__xludf.DUMMYFUNCTION("""COMPUTED_VALUE"""),"Diego Santos")</f>
        <v>Diego Santos</v>
      </c>
      <c r="D216" s="4" t="str">
        <f>IFERROR(__xludf.DUMMYFUNCTION("""COMPUTED_VALUE"""),"13. Reativado")</f>
        <v>13. Reativado</v>
      </c>
      <c r="E216" s="4" t="str">
        <f>IFERROR(__xludf.DUMMYFUNCTION("""COMPUTED_VALUE"""),"Parceiro - Aguardando retorno / Conciliação agenda")</f>
        <v>Parceiro - Aguardando retorno / Conciliação agenda</v>
      </c>
      <c r="F216" s="4" t="str">
        <f>IFERROR(__xludf.DUMMYFUNCTION("""COMPUTED_VALUE"""),"P")</f>
        <v>P</v>
      </c>
      <c r="G216" s="5">
        <f>IFERROR(__xludf.DUMMYFUNCTION("""COMPUTED_VALUE"""),46141.0)</f>
        <v>46141</v>
      </c>
      <c r="H216" s="4" t="str">
        <f>IFERROR(__xludf.DUMMYFUNCTION("""COMPUTED_VALUE"""),"sem interesse em mudar de solução")</f>
        <v>sem interesse em mudar de solução</v>
      </c>
    </row>
    <row r="217">
      <c r="A217" s="4" t="str">
        <f>IFERROR(__xludf.DUMMYFUNCTION("""COMPUTED_VALUE"""),"Sassa Sushi")</f>
        <v>Sassa Sushi</v>
      </c>
      <c r="B217" s="4" t="str">
        <f>IFERROR(__xludf.DUMMYFUNCTION("""COMPUTED_VALUE"""),"João Biagiotti")</f>
        <v>João Biagiotti</v>
      </c>
      <c r="C217" s="4" t="str">
        <f>IFERROR(__xludf.DUMMYFUNCTION("""COMPUTED_VALUE"""),"Diego Santos")</f>
        <v>Diego Santos</v>
      </c>
      <c r="D217" s="4" t="str">
        <f>IFERROR(__xludf.DUMMYFUNCTION("""COMPUTED_VALUE"""),"2. Primeiro contato com a marca")</f>
        <v>2. Primeiro contato com a marca</v>
      </c>
      <c r="E217" s="4" t="str">
        <f>IFERROR(__xludf.DUMMYFUNCTION("""COMPUTED_VALUE"""),"Delivery - Aguardando retorno executivo")</f>
        <v>Delivery - Aguardando retorno executivo</v>
      </c>
      <c r="F217" s="4" t="str">
        <f>IFERROR(__xludf.DUMMYFUNCTION("""COMPUTED_VALUE"""),"P")</f>
        <v>P</v>
      </c>
      <c r="G217" s="5">
        <f>IFERROR(__xludf.DUMMYFUNCTION("""COMPUTED_VALUE"""),46099.0)</f>
        <v>46099</v>
      </c>
      <c r="H217" s="4" t="str">
        <f>IFERROR(__xludf.DUMMYFUNCTION("""COMPUTED_VALUE"""),"Aguardando apoio da executiva de delivery ")</f>
        <v>Aguardando apoio da executiva de delivery </v>
      </c>
    </row>
    <row r="218">
      <c r="A218" s="4" t="str">
        <f>IFERROR(__xludf.DUMMYFUNCTION("""COMPUTED_VALUE"""),"Seto Culinaria - Marca")</f>
        <v>Seto Culinaria - Marca</v>
      </c>
      <c r="B218" s="4" t="str">
        <f>IFERROR(__xludf.DUMMYFUNCTION("""COMPUTED_VALUE"""),"Lídia Esteves")</f>
        <v>Lídia Esteves</v>
      </c>
      <c r="C218" s="4" t="str">
        <f>IFERROR(__xludf.DUMMYFUNCTION("""COMPUTED_VALUE"""),"Gabriela Roma")</f>
        <v>Gabriela Roma</v>
      </c>
      <c r="D218" s="4" t="str">
        <f>IFERROR(__xludf.DUMMYFUNCTION("""COMPUTED_VALUE"""),"10. Perdido")</f>
        <v>10. Perdido</v>
      </c>
      <c r="E218" s="4" t="str">
        <f>IFERROR(__xludf.DUMMYFUNCTION("""COMPUTED_VALUE"""),"Perdido - Outro (detalhar ao lado)")</f>
        <v>Perdido - Outro (detalhar ao lado)</v>
      </c>
      <c r="F218" s="4" t="str">
        <f>IFERROR(__xludf.DUMMYFUNCTION("""COMPUTED_VALUE"""),"P")</f>
        <v>P</v>
      </c>
      <c r="G218" s="5">
        <f>IFERROR(__xludf.DUMMYFUNCTION("""COMPUTED_VALUE"""),46062.0)</f>
        <v>46062</v>
      </c>
      <c r="H218" s="4" t="str">
        <f>IFERROR(__xludf.DUMMYFUNCTION("""COMPUTED_VALUE"""),"tem perfil saipos, tem operação no salao muito enxuta e mais problemas em gerenciar delivery, mas querem ver a demo")</f>
        <v>tem perfil saipos, tem operação no salao muito enxuta e mais problemas em gerenciar delivery, mas querem ver a demo</v>
      </c>
    </row>
    <row r="219">
      <c r="A219" s="4" t="str">
        <f>IFERROR(__xludf.DUMMYFUNCTION("""COMPUTED_VALUE"""),"Si Senor")</f>
        <v>Si Senor</v>
      </c>
      <c r="B219" s="4" t="str">
        <f>IFERROR(__xludf.DUMMYFUNCTION("""COMPUTED_VALUE"""),"João Biagiotti")</f>
        <v>João Biagiotti</v>
      </c>
      <c r="C219" s="4" t="str">
        <f>IFERROR(__xludf.DUMMYFUNCTION("""COMPUTED_VALUE"""),"Diego Santos")</f>
        <v>Diego Santos</v>
      </c>
      <c r="D219" s="4" t="str">
        <f>IFERROR(__xludf.DUMMYFUNCTION("""COMPUTED_VALUE"""),"6. Negociação")</f>
        <v>6. Negociação</v>
      </c>
      <c r="E219" s="4" t="str">
        <f>IFERROR(__xludf.DUMMYFUNCTION("""COMPUTED_VALUE"""),"Comercial - Primeira reunião / Visita presencial agendada")</f>
        <v>Comercial - Primeira reunião / Visita presencial agendada</v>
      </c>
      <c r="F219" s="4" t="str">
        <f>IFERROR(__xludf.DUMMYFUNCTION("""COMPUTED_VALUE"""),"P")</f>
        <v>P</v>
      </c>
      <c r="G219" s="23">
        <f>IFERROR(__xludf.DUMMYFUNCTION("""COMPUTED_VALUE"""),46155.0)</f>
        <v>46155</v>
      </c>
      <c r="H219" s="4" t="str">
        <f>IFERROR(__xludf.DUMMYFUNCTION("""COMPUTED_VALUE"""),"Estamos negociando proposta em paralelo com visita presencial em nossos parceiros com o lead. Temos visita em 14/05")</f>
        <v>Estamos negociando proposta em paralelo com visita presencial em nossos parceiros com o lead. Temos visita em 14/05</v>
      </c>
    </row>
    <row r="220">
      <c r="A220" s="4" t="str">
        <f>IFERROR(__xludf.DUMMYFUNCTION("""COMPUTED_VALUE"""),"Sorvetes Frosty")</f>
        <v>Sorvetes Frosty</v>
      </c>
      <c r="B220" s="4" t="str">
        <f>IFERROR(__xludf.DUMMYFUNCTION("""COMPUTED_VALUE"""),"Leonardo Roso")</f>
        <v>Leonardo Roso</v>
      </c>
      <c r="C220" s="4" t="str">
        <f>IFERROR(__xludf.DUMMYFUNCTION("""COMPUTED_VALUE"""),"Leonardo Roso")</f>
        <v>Leonardo Roso</v>
      </c>
      <c r="D220" s="4" t="str">
        <f>IFERROR(__xludf.DUMMYFUNCTION("""COMPUTED_VALUE"""),"11. Stand by")</f>
        <v>11. Stand by</v>
      </c>
      <c r="E220" s="4" t="str">
        <f>IFERROR(__xludf.DUMMYFUNCTION("""COMPUTED_VALUE"""),"Parceiro - Aguardando retorno / Conciliação agenda")</f>
        <v>Parceiro - Aguardando retorno / Conciliação agenda</v>
      </c>
      <c r="F220" s="4" t="str">
        <f>IFERROR(__xludf.DUMMYFUNCTION("""COMPUTED_VALUE"""),"G")</f>
        <v>G</v>
      </c>
      <c r="G220" s="5">
        <f>IFERROR(__xludf.DUMMYFUNCTION("""COMPUTED_VALUE"""),46076.0)</f>
        <v>46076</v>
      </c>
      <c r="H220" s="4" t="str">
        <f>IFERROR(__xludf.DUMMYFUNCTION("""COMPUTED_VALUE"""),"Mudou de solução em Set/25, sem interesse em mudar agora.")</f>
        <v>Mudou de solução em Set/25, sem interesse em mudar agora.</v>
      </c>
    </row>
    <row r="221">
      <c r="A221" s="4" t="str">
        <f>IFERROR(__xludf.DUMMYFUNCTION("""COMPUTED_VALUE"""),"Spot")</f>
        <v>Spot</v>
      </c>
      <c r="B221" s="4" t="str">
        <f>IFERROR(__xludf.DUMMYFUNCTION("""COMPUTED_VALUE"""),"Ana")</f>
        <v>Ana</v>
      </c>
      <c r="C221" s="4" t="str">
        <f>IFERROR(__xludf.DUMMYFUNCTION("""COMPUTED_VALUE"""),"Gabriela Roma")</f>
        <v>Gabriela Roma</v>
      </c>
      <c r="D221" s="4" t="str">
        <f>IFERROR(__xludf.DUMMYFUNCTION("""COMPUTED_VALUE"""),"10. Perdido")</f>
        <v>10. Perdido</v>
      </c>
      <c r="E221" s="4" t="str">
        <f>IFERROR(__xludf.DUMMYFUNCTION("""COMPUTED_VALUE"""),"Perdido - Outro (detalhar ao lado)")</f>
        <v>Perdido - Outro (detalhar ao lado)</v>
      </c>
      <c r="F221" s="4" t="str">
        <f>IFERROR(__xludf.DUMMYFUNCTION("""COMPUTED_VALUE"""),"P")</f>
        <v>P</v>
      </c>
      <c r="G221" s="5">
        <f>IFERROR(__xludf.DUMMYFUNCTION("""COMPUTED_VALUE"""),46113.0)</f>
        <v>46113</v>
      </c>
      <c r="H221" s="4" t="str">
        <f>IFERROR(__xludf.DUMMYFUNCTION("""COMPUTED_VALUE"""),"Parceiro optou por seguir com seu pdv e mudar apenas a versão, o novo sistema da Altec. ")</f>
        <v>Parceiro optou por seguir com seu pdv e mudar apenas a versão, o novo sistema da Altec. </v>
      </c>
    </row>
    <row r="222">
      <c r="A222" s="4" t="str">
        <f>IFERROR(__xludf.DUMMYFUNCTION("""COMPUTED_VALUE"""),"Stefan Behar")</f>
        <v>Stefan Behar</v>
      </c>
      <c r="B222" s="4" t="str">
        <f>IFERROR(__xludf.DUMMYFUNCTION("""COMPUTED_VALUE"""),"João Biagiotti")</f>
        <v>João Biagiotti</v>
      </c>
      <c r="C222" s="4" t="str">
        <f>IFERROR(__xludf.DUMMYFUNCTION("""COMPUTED_VALUE"""),"Diego Santos")</f>
        <v>Diego Santos</v>
      </c>
      <c r="D222" s="4" t="str">
        <f>IFERROR(__xludf.DUMMYFUNCTION("""COMPUTED_VALUE"""),"11. Stand by")</f>
        <v>11. Stand by</v>
      </c>
      <c r="E222" s="4" t="str">
        <f>IFERROR(__xludf.DUMMYFUNCTION("""COMPUTED_VALUE"""),"Parceiro - Sem contato válido / Decisor inacessível")</f>
        <v>Parceiro - Sem contato válido / Decisor inacessível</v>
      </c>
      <c r="F222" s="4" t="str">
        <f>IFERROR(__xludf.DUMMYFUNCTION("""COMPUTED_VALUE"""),"P")</f>
        <v>P</v>
      </c>
      <c r="G222" s="5">
        <f>IFERROR(__xludf.DUMMYFUNCTION("""COMPUTED_VALUE"""),46076.0)</f>
        <v>46076</v>
      </c>
      <c r="H222" s="4" t="str">
        <f>IFERROR(__xludf.DUMMYFUNCTION("""COMPUTED_VALUE"""),"Parceiro critico, sem relaciomento com o time de delivery para agendamento de reunião.")</f>
        <v>Parceiro critico, sem relaciomento com o time de delivery para agendamento de reunião.</v>
      </c>
    </row>
    <row r="223">
      <c r="A223" s="4" t="str">
        <f>IFERROR(__xludf.DUMMYFUNCTION("""COMPUTED_VALUE"""),"Sterna Cafe")</f>
        <v>Sterna Cafe</v>
      </c>
      <c r="B223" s="4" t="str">
        <f>IFERROR(__xludf.DUMMYFUNCTION("""COMPUTED_VALUE"""),"Leonardo Roso")</f>
        <v>Leonardo Roso</v>
      </c>
      <c r="C223" s="4" t="str">
        <f>IFERROR(__xludf.DUMMYFUNCTION("""COMPUTED_VALUE"""),"Leonardo Roso")</f>
        <v>Leonardo Roso</v>
      </c>
      <c r="D223" s="4" t="str">
        <f>IFERROR(__xludf.DUMMYFUNCTION("""COMPUTED_VALUE"""),"2. Primeiro Contato com a marca")</f>
        <v>2. Primeiro Contato com a marca</v>
      </c>
      <c r="E223" s="4" t="str">
        <f>IFERROR(__xludf.DUMMYFUNCTION("""COMPUTED_VALUE"""),"Comercial - Primeira reunião / Visita presencial agendada")</f>
        <v>Comercial - Primeira reunião / Visita presencial agendada</v>
      </c>
      <c r="F223" s="4" t="str">
        <f>IFERROR(__xludf.DUMMYFUNCTION("""COMPUTED_VALUE"""),"G")</f>
        <v>G</v>
      </c>
      <c r="G223" s="5">
        <f>IFERROR(__xludf.DUMMYFUNCTION("""COMPUTED_VALUE"""),46139.0)</f>
        <v>46139</v>
      </c>
      <c r="H223" s="4" t="str">
        <f>IFERROR(__xludf.DUMMYFUNCTION("""COMPUTED_VALUE"""),"agenda presencial agendada para dia 29/4")</f>
        <v>agenda presencial agendada para dia 29/4</v>
      </c>
    </row>
    <row r="224">
      <c r="A224" s="4" t="str">
        <f>IFERROR(__xludf.DUMMYFUNCTION("""COMPUTED_VALUE"""),"Subway")</f>
        <v>Subway</v>
      </c>
      <c r="B224" s="4" t="str">
        <f>IFERROR(__xludf.DUMMYFUNCTION("""COMPUTED_VALUE"""),"Leonardo Roso")</f>
        <v>Leonardo Roso</v>
      </c>
      <c r="C224" s="4" t="str">
        <f>IFERROR(__xludf.DUMMYFUNCTION("""COMPUTED_VALUE"""),"Leonardo Roso")</f>
        <v>Leonardo Roso</v>
      </c>
      <c r="D224" s="4" t="str">
        <f>IFERROR(__xludf.DUMMYFUNCTION("""COMPUTED_VALUE"""),"6. Negociação")</f>
        <v>6. Negociação</v>
      </c>
      <c r="E224" s="4" t="str">
        <f>IFERROR(__xludf.DUMMYFUNCTION("""COMPUTED_VALUE"""),"Comercial - Em negociação de proposta")</f>
        <v>Comercial - Em negociação de proposta</v>
      </c>
      <c r="F224" s="4" t="str">
        <f>IFERROR(__xludf.DUMMYFUNCTION("""COMPUTED_VALUE"""),"G")</f>
        <v>G</v>
      </c>
      <c r="G224" s="4"/>
      <c r="H224" s="4" t="str">
        <f>IFERROR(__xludf.DUMMYFUNCTION("""COMPUTED_VALUE"""),"Estamos em processo de nova proposta para ZAMP ")</f>
        <v>Estamos em processo de nova proposta para ZAMP </v>
      </c>
    </row>
    <row r="225">
      <c r="A225" s="4" t="str">
        <f>IFERROR(__xludf.DUMMYFUNCTION("""COMPUTED_VALUE"""),"Sujinho")</f>
        <v>Sujinho</v>
      </c>
      <c r="B225" s="4" t="str">
        <f>IFERROR(__xludf.DUMMYFUNCTION("""COMPUTED_VALUE"""),"Emerson")</f>
        <v>Emerson</v>
      </c>
      <c r="C225" s="4" t="str">
        <f>IFERROR(__xludf.DUMMYFUNCTION("""COMPUTED_VALUE"""),"Emerson")</f>
        <v>Emerson</v>
      </c>
      <c r="D225" s="4" t="str">
        <f>IFERROR(__xludf.DUMMYFUNCTION("""COMPUTED_VALUE"""),"11. Stand by")</f>
        <v>11. Stand by</v>
      </c>
      <c r="E225" s="4"/>
      <c r="F225" s="4" t="str">
        <f>IFERROR(__xludf.DUMMYFUNCTION("""COMPUTED_VALUE"""),"P")</f>
        <v>P</v>
      </c>
      <c r="G225" s="4"/>
      <c r="H225" s="4"/>
    </row>
    <row r="226">
      <c r="A226" s="4" t="str">
        <f>IFERROR(__xludf.DUMMYFUNCTION("""COMPUTED_VALUE"""),"Sushi Go")</f>
        <v>Sushi Go</v>
      </c>
      <c r="B226" s="4" t="str">
        <f>IFERROR(__xludf.DUMMYFUNCTION("""COMPUTED_VALUE"""),"Lídia Esteves")</f>
        <v>Lídia Esteves</v>
      </c>
      <c r="C226" s="4" t="str">
        <f>IFERROR(__xludf.DUMMYFUNCTION("""COMPUTED_VALUE"""),"Gabriela Roma")</f>
        <v>Gabriela Roma</v>
      </c>
      <c r="D226" s="4" t="str">
        <f>IFERROR(__xludf.DUMMYFUNCTION("""COMPUTED_VALUE"""),"2. Primeiro Contato com a marca")</f>
        <v>2. Primeiro Contato com a marca</v>
      </c>
      <c r="E226" s="4" t="str">
        <f>IFERROR(__xludf.DUMMYFUNCTION("""COMPUTED_VALUE"""),"Parceiro - Conciliação agenda")</f>
        <v>Parceiro - Conciliação agenda</v>
      </c>
      <c r="F226" s="4" t="str">
        <f>IFERROR(__xludf.DUMMYFUNCTION("""COMPUTED_VALUE"""),"P")</f>
        <v>P</v>
      </c>
      <c r="G226" s="5">
        <f>IFERROR(__xludf.DUMMYFUNCTION("""COMPUTED_VALUE"""),46106.0)</f>
        <v>46106</v>
      </c>
      <c r="H226" s="4" t="str">
        <f>IFERROR(__xludf.DUMMYFUNCTION("""COMPUTED_VALUE"""),"tentando alinhar com o decisor uma agenda para falar do ifood salão ")</f>
        <v>tentando alinhar com o decisor uma agenda para falar do ifood salão </v>
      </c>
    </row>
    <row r="227">
      <c r="A227" s="4" t="str">
        <f>IFERROR(__xludf.DUMMYFUNCTION("""COMPUTED_VALUE"""),"Sushi Leblon")</f>
        <v>Sushi Leblon</v>
      </c>
      <c r="B227" s="4" t="str">
        <f>IFERROR(__xludf.DUMMYFUNCTION("""COMPUTED_VALUE"""),"Lídia Esteves")</f>
        <v>Lídia Esteves</v>
      </c>
      <c r="C227" s="4" t="str">
        <f>IFERROR(__xludf.DUMMYFUNCTION("""COMPUTED_VALUE"""),"Gabriela Roma")</f>
        <v>Gabriela Roma</v>
      </c>
      <c r="D227" s="4" t="str">
        <f>IFERROR(__xludf.DUMMYFUNCTION("""COMPUTED_VALUE"""),"1. Iniciado")</f>
        <v>1. Iniciado</v>
      </c>
      <c r="E227" s="4" t="str">
        <f>IFERROR(__xludf.DUMMYFUNCTION("""COMPUTED_VALUE"""),"Delivery - Aguardando retorno / Conciliação agenda")</f>
        <v>Delivery - Aguardando retorno / Conciliação agenda</v>
      </c>
      <c r="F227" s="4" t="str">
        <f>IFERROR(__xludf.DUMMYFUNCTION("""COMPUTED_VALUE"""),"P")</f>
        <v>P</v>
      </c>
      <c r="G227" s="4"/>
      <c r="H227" s="4"/>
    </row>
    <row r="228">
      <c r="A228" s="4" t="str">
        <f>IFERROR(__xludf.DUMMYFUNCTION("""COMPUTED_VALUE"""),"Sushi Papaia")</f>
        <v>Sushi Papaia</v>
      </c>
      <c r="B228" s="4" t="str">
        <f>IFERROR(__xludf.DUMMYFUNCTION("""COMPUTED_VALUE"""),"João Biagiotti")</f>
        <v>João Biagiotti</v>
      </c>
      <c r="C228" s="4" t="str">
        <f>IFERROR(__xludf.DUMMYFUNCTION("""COMPUTED_VALUE"""),"Diego Santos")</f>
        <v>Diego Santos</v>
      </c>
      <c r="D228" s="4" t="str">
        <f>IFERROR(__xludf.DUMMYFUNCTION("""COMPUTED_VALUE"""),"13. Reativado")</f>
        <v>13. Reativado</v>
      </c>
      <c r="E228" s="4" t="str">
        <f>IFERROR(__xludf.DUMMYFUNCTION("""COMPUTED_VALUE"""),"Parceiro - Aguardando retorno / Conciliação agenda")</f>
        <v>Parceiro - Aguardando retorno / Conciliação agenda</v>
      </c>
      <c r="F228" s="4" t="str">
        <f>IFERROR(__xludf.DUMMYFUNCTION("""COMPUTED_VALUE"""),"P")</f>
        <v>P</v>
      </c>
      <c r="G228" s="5">
        <f>IFERROR(__xludf.DUMMYFUNCTION("""COMPUTED_VALUE"""),46076.0)</f>
        <v>46076</v>
      </c>
      <c r="H228" s="4" t="str">
        <f>IFERROR(__xludf.DUMMYFUNCTION("""COMPUTED_VALUE"""),"Parceiro não tem interesse em mudar de sistema, ficou interessado no CRM mas não temos ainda como apresentar.")</f>
        <v>Parceiro não tem interesse em mudar de sistema, ficou interessado no CRM mas não temos ainda como apresentar.</v>
      </c>
    </row>
    <row r="229">
      <c r="A229" s="4" t="str">
        <f>IFERROR(__xludf.DUMMYFUNCTION("""COMPUTED_VALUE"""),"Sushiaki - Grupo Master")</f>
        <v>Sushiaki - Grupo Master</v>
      </c>
      <c r="B229" s="4" t="str">
        <f>IFERROR(__xludf.DUMMYFUNCTION("""COMPUTED_VALUE"""),"Lídia Esteves")</f>
        <v>Lídia Esteves</v>
      </c>
      <c r="C229" s="4" t="str">
        <f>IFERROR(__xludf.DUMMYFUNCTION("""COMPUTED_VALUE"""),"Gabriela Roma")</f>
        <v>Gabriela Roma</v>
      </c>
      <c r="D229" s="4" t="str">
        <f>IFERROR(__xludf.DUMMYFUNCTION("""COMPUTED_VALUE"""),"10. Perdido")</f>
        <v>10. Perdido</v>
      </c>
      <c r="E229" s="4" t="str">
        <f>IFERROR(__xludf.DUMMYFUNCTION("""COMPUTED_VALUE"""),"Perdido - Fechou com concorrente")</f>
        <v>Perdido - Fechou com concorrente</v>
      </c>
      <c r="F229" s="4" t="str">
        <f>IFERROR(__xludf.DUMMYFUNCTION("""COMPUTED_VALUE"""),"P")</f>
        <v>P</v>
      </c>
      <c r="G229" s="5">
        <f>IFERROR(__xludf.DUMMYFUNCTION("""COMPUTED_VALUE"""),46120.0)</f>
        <v>46120</v>
      </c>
      <c r="H229" s="4" t="str">
        <f>IFERROR(__xludf.DUMMYFUNCTION("""COMPUTED_VALUE"""),"Parceiro rodando piloto com teknisa, não está engajado em fazer demo par apresentação do produto, estamos tentando engajar o cliente para demo, Rafa validando agenda mas estamos apertados. ")</f>
        <v>Parceiro rodando piloto com teknisa, não está engajado em fazer demo par apresentação do produto, estamos tentando engajar o cliente para demo, Rafa validando agenda mas estamos apertados. </v>
      </c>
    </row>
    <row r="230">
      <c r="A230" s="4" t="str">
        <f>IFERROR(__xludf.DUMMYFUNCTION("""COMPUTED_VALUE"""),"Temaki Fry")</f>
        <v>Temaki Fry</v>
      </c>
      <c r="B230" s="4" t="str">
        <f>IFERROR(__xludf.DUMMYFUNCTION("""COMPUTED_VALUE"""),"João Biagiotti")</f>
        <v>João Biagiotti</v>
      </c>
      <c r="C230" s="4" t="str">
        <f>IFERROR(__xludf.DUMMYFUNCTION("""COMPUTED_VALUE"""),"Diego Santos")</f>
        <v>Diego Santos</v>
      </c>
      <c r="D230" s="4" t="str">
        <f>IFERROR(__xludf.DUMMYFUNCTION("""COMPUTED_VALUE"""),"13. Reativado")</f>
        <v>13. Reativado</v>
      </c>
      <c r="E230" s="4" t="str">
        <f>IFERROR(__xludf.DUMMYFUNCTION("""COMPUTED_VALUE"""),"Delivery - Momento inadequado de abordagem (ex. 99)")</f>
        <v>Delivery - Momento inadequado de abordagem (ex. 99)</v>
      </c>
      <c r="F230" s="4" t="str">
        <f>IFERROR(__xludf.DUMMYFUNCTION("""COMPUTED_VALUE"""),"P")</f>
        <v>P</v>
      </c>
      <c r="G230" s="5">
        <f>IFERROR(__xludf.DUMMYFUNCTION("""COMPUTED_VALUE"""),46076.0)</f>
        <v>46076</v>
      </c>
      <c r="H230" s="4" t="str">
        <f>IFERROR(__xludf.DUMMYFUNCTION("""COMPUTED_VALUE"""),"Pediram para voltar contato em Abril/26")</f>
        <v>Pediram para voltar contato em Abril/26</v>
      </c>
    </row>
    <row r="231">
      <c r="A231" s="4" t="str">
        <f>IFERROR(__xludf.DUMMYFUNCTION("""COMPUTED_VALUE"""),"Tentazione Pizzaria")</f>
        <v>Tentazione Pizzaria</v>
      </c>
      <c r="B231" s="4" t="str">
        <f>IFERROR(__xludf.DUMMYFUNCTION("""COMPUTED_VALUE"""),"Lídia Esteves")</f>
        <v>Lídia Esteves</v>
      </c>
      <c r="C231" s="4" t="str">
        <f>IFERROR(__xludf.DUMMYFUNCTION("""COMPUTED_VALUE"""),"Gabriela Roma")</f>
        <v>Gabriela Roma</v>
      </c>
      <c r="D231" s="4" t="str">
        <f>IFERROR(__xludf.DUMMYFUNCTION("""COMPUTED_VALUE"""),"2. Primeiro contato com a marca")</f>
        <v>2. Primeiro contato com a marca</v>
      </c>
      <c r="E231" s="4" t="str">
        <f>IFERROR(__xludf.DUMMYFUNCTION("""COMPUTED_VALUE"""),"Parceiro - Aguardando retorno / Conciliação agenda")</f>
        <v>Parceiro - Aguardando retorno / Conciliação agenda</v>
      </c>
      <c r="F231" s="4" t="str">
        <f>IFERROR(__xludf.DUMMYFUNCTION("""COMPUTED_VALUE"""),"P")</f>
        <v>P</v>
      </c>
      <c r="G231" s="5">
        <f>IFERROR(__xludf.DUMMYFUNCTION("""COMPUTED_VALUE"""),46120.0)</f>
        <v>46120</v>
      </c>
      <c r="H231" s="4" t="str">
        <f>IFERROR(__xludf.DUMMYFUNCTION("""COMPUTED_VALUE"""),"mãe da prop em estado crítico de saúde")</f>
        <v>mãe da prop em estado crítico de saúde</v>
      </c>
    </row>
    <row r="232">
      <c r="A232" s="4" t="str">
        <f>IFERROR(__xludf.DUMMYFUNCTION("""COMPUTED_VALUE"""),"The Black Beef")</f>
        <v>The Black Beef</v>
      </c>
      <c r="B232" s="4" t="str">
        <f>IFERROR(__xludf.DUMMYFUNCTION("""COMPUTED_VALUE"""),"Leonardo Roso")</f>
        <v>Leonardo Roso</v>
      </c>
      <c r="C232" s="4" t="str">
        <f>IFERROR(__xludf.DUMMYFUNCTION("""COMPUTED_VALUE"""),"Leonardo Roso")</f>
        <v>Leonardo Roso</v>
      </c>
      <c r="D232" s="4" t="str">
        <f>IFERROR(__xludf.DUMMYFUNCTION("""COMPUTED_VALUE"""),"11. Stand by")</f>
        <v>11. Stand by</v>
      </c>
      <c r="E232" s="4"/>
      <c r="F232" s="4" t="str">
        <f>IFERROR(__xludf.DUMMYFUNCTION("""COMPUTED_VALUE"""),"G")</f>
        <v>G</v>
      </c>
      <c r="G232" s="4"/>
      <c r="H232" s="4"/>
    </row>
    <row r="233">
      <c r="A233" s="4" t="str">
        <f>IFERROR(__xludf.DUMMYFUNCTION("""COMPUTED_VALUE"""),"Ton Hoi")</f>
        <v>Ton Hoi</v>
      </c>
      <c r="B233" s="4" t="str">
        <f>IFERROR(__xludf.DUMMYFUNCTION("""COMPUTED_VALUE"""),"João Biagiotti")</f>
        <v>João Biagiotti</v>
      </c>
      <c r="C233" s="4" t="str">
        <f>IFERROR(__xludf.DUMMYFUNCTION("""COMPUTED_VALUE"""),"Diego Santos")</f>
        <v>Diego Santos</v>
      </c>
      <c r="D233" s="4" t="str">
        <f>IFERROR(__xludf.DUMMYFUNCTION("""COMPUTED_VALUE"""),"10. Perdido")</f>
        <v>10. Perdido</v>
      </c>
      <c r="E233" s="4" t="str">
        <f>IFERROR(__xludf.DUMMYFUNCTION("""COMPUTED_VALUE"""),"Perdido - Fechou com concorrente")</f>
        <v>Perdido - Fechou com concorrente</v>
      </c>
      <c r="F233" s="4" t="str">
        <f>IFERROR(__xludf.DUMMYFUNCTION("""COMPUTED_VALUE"""),"Sem Classificação")</f>
        <v>Sem Classificação</v>
      </c>
      <c r="G233" s="5">
        <f>IFERROR(__xludf.DUMMYFUNCTION("""COMPUTED_VALUE"""),46120.0)</f>
        <v>46120</v>
      </c>
      <c r="H233" s="4" t="str">
        <f>IFERROR(__xludf.DUMMYFUNCTION("""COMPUTED_VALUE"""),"Fechou com concorrente, PDV de 130 reais. Não era um lead com nosso perfil. ")</f>
        <v>Fechou com concorrente, PDV de 130 reais. Não era um lead com nosso perfil. </v>
      </c>
    </row>
    <row r="234">
      <c r="A234" s="4" t="str">
        <f>IFERROR(__xludf.DUMMYFUNCTION("""COMPUTED_VALUE"""),"TORTERIA - TORTA, QUICHE E SOBREMESA")</f>
        <v>TORTERIA - TORTA, QUICHE E SOBREMESA</v>
      </c>
      <c r="B234" s="4" t="str">
        <f>IFERROR(__xludf.DUMMYFUNCTION("""COMPUTED_VALUE"""),"Lídia Esteves")</f>
        <v>Lídia Esteves</v>
      </c>
      <c r="C234" s="4" t="str">
        <f>IFERROR(__xludf.DUMMYFUNCTION("""COMPUTED_VALUE"""),"Gabriela Roma")</f>
        <v>Gabriela Roma</v>
      </c>
      <c r="D234" s="4" t="str">
        <f>IFERROR(__xludf.DUMMYFUNCTION("""COMPUTED_VALUE"""),"2. Primeiro Contato com a marca")</f>
        <v>2. Primeiro Contato com a marca</v>
      </c>
      <c r="E234" s="4" t="str">
        <f>IFERROR(__xludf.DUMMYFUNCTION("""COMPUTED_VALUE"""),"Parceiro - Aguardando retorno parceiro")</f>
        <v>Parceiro - Aguardando retorno parceiro</v>
      </c>
      <c r="F234" s="4" t="str">
        <f>IFERROR(__xludf.DUMMYFUNCTION("""COMPUTED_VALUE"""),"P")</f>
        <v>P</v>
      </c>
      <c r="G234" s="5">
        <f>IFERROR(__xludf.DUMMYFUNCTION("""COMPUTED_VALUE"""),46139.0)</f>
        <v>46139</v>
      </c>
      <c r="H234" s="4" t="str">
        <f>IFERROR(__xludf.DUMMYFUNCTION("""COMPUTED_VALUE"""),"cliente cancelou a apresentação do dia 19/4 estamos reagendando")</f>
        <v>cliente cancelou a apresentação do dia 19/4 estamos reagendando</v>
      </c>
    </row>
    <row r="235">
      <c r="A235" s="4" t="str">
        <f>IFERROR(__xludf.DUMMYFUNCTION("""COMPUTED_VALUE"""),"Trattoria De Origem")</f>
        <v>Trattoria De Origem</v>
      </c>
      <c r="B235" s="4" t="str">
        <f>IFERROR(__xludf.DUMMYFUNCTION("""COMPUTED_VALUE"""),"Lídia Esteves")</f>
        <v>Lídia Esteves</v>
      </c>
      <c r="C235" s="4" t="str">
        <f>IFERROR(__xludf.DUMMYFUNCTION("""COMPUTED_VALUE"""),"Gabriela Roma")</f>
        <v>Gabriela Roma</v>
      </c>
      <c r="D235" s="4" t="str">
        <f>IFERROR(__xludf.DUMMYFUNCTION("""COMPUTED_VALUE"""),"11. Stand by")</f>
        <v>11. Stand by</v>
      </c>
      <c r="E235" s="4" t="str">
        <f>IFERROR(__xludf.DUMMYFUNCTION("""COMPUTED_VALUE"""),"Parceiro - Em validação de proposta comercial")</f>
        <v>Parceiro - Em validação de proposta comercial</v>
      </c>
      <c r="F235" s="4" t="str">
        <f>IFERROR(__xludf.DUMMYFUNCTION("""COMPUTED_VALUE"""),"P")</f>
        <v>P</v>
      </c>
      <c r="G235" s="5">
        <f>IFERROR(__xludf.DUMMYFUNCTION("""COMPUTED_VALUE"""),46084.0)</f>
        <v>46084</v>
      </c>
      <c r="H235" s="4" t="str">
        <f>IFERROR(__xludf.DUMMYFUNCTION("""COMPUTED_VALUE"""),"Dificuldade de contato com o lead")</f>
        <v>Dificuldade de contato com o lead</v>
      </c>
    </row>
    <row r="236">
      <c r="A236" s="4" t="str">
        <f>IFERROR(__xludf.DUMMYFUNCTION("""COMPUTED_VALUE"""),"Tropical Banana")</f>
        <v>Tropical Banana</v>
      </c>
      <c r="B236" s="4" t="str">
        <f>IFERROR(__xludf.DUMMYFUNCTION("""COMPUTED_VALUE"""),"Lídia Esteves")</f>
        <v>Lídia Esteves</v>
      </c>
      <c r="C236" s="4" t="str">
        <f>IFERROR(__xludf.DUMMYFUNCTION("""COMPUTED_VALUE"""),"Gabriela Roma")</f>
        <v>Gabriela Roma</v>
      </c>
      <c r="D236" s="4" t="str">
        <f>IFERROR(__xludf.DUMMYFUNCTION("""COMPUTED_VALUE"""),"11. Stand by")</f>
        <v>11. Stand by</v>
      </c>
      <c r="E236" s="4" t="str">
        <f>IFERROR(__xludf.DUMMYFUNCTION("""COMPUTED_VALUE"""),"Perdido -  Momento do restaurante não favorável")</f>
        <v>Perdido -  Momento do restaurante não favorável</v>
      </c>
      <c r="F236" s="4" t="str">
        <f>IFERROR(__xludf.DUMMYFUNCTION("""COMPUTED_VALUE"""),"P")</f>
        <v>P</v>
      </c>
      <c r="G236" s="5">
        <f>IFERROR(__xludf.DUMMYFUNCTION("""COMPUTED_VALUE"""),46120.0)</f>
        <v>46120</v>
      </c>
      <c r="H236" s="4" t="str">
        <f>IFERROR(__xludf.DUMMYFUNCTION("""COMPUTED_VALUE"""),"Validação de proposta, pedido cliente antes de partir pra demo ")</f>
        <v>Validação de proposta, pedido cliente antes de partir pra demo </v>
      </c>
    </row>
    <row r="237">
      <c r="A237" s="4" t="str">
        <f>IFERROR(__xludf.DUMMYFUNCTION("""COMPUTED_VALUE"""),"Varanda 1389")</f>
        <v>Varanda 1389</v>
      </c>
      <c r="B237" s="4" t="str">
        <f>IFERROR(__xludf.DUMMYFUNCTION("""COMPUTED_VALUE"""),"João Biagiotti")</f>
        <v>João Biagiotti</v>
      </c>
      <c r="C237" s="4" t="str">
        <f>IFERROR(__xludf.DUMMYFUNCTION("""COMPUTED_VALUE"""),"Diego Santos")</f>
        <v>Diego Santos</v>
      </c>
      <c r="D237" s="4" t="str">
        <f>IFERROR(__xludf.DUMMYFUNCTION("""COMPUTED_VALUE"""),"2. Primeiro contato com a marca")</f>
        <v>2. Primeiro contato com a marca</v>
      </c>
      <c r="E237" s="4" t="str">
        <f>IFERROR(__xludf.DUMMYFUNCTION("""COMPUTED_VALUE"""),"Parceiro - Sem contato válido / Decisor inacessível")</f>
        <v>Parceiro - Sem contato válido / Decisor inacessível</v>
      </c>
      <c r="F237" s="4" t="str">
        <f>IFERROR(__xludf.DUMMYFUNCTION("""COMPUTED_VALUE"""),"P")</f>
        <v>P</v>
      </c>
      <c r="G237" s="5">
        <f>IFERROR(__xludf.DUMMYFUNCTION("""COMPUTED_VALUE"""),46076.0)</f>
        <v>46076</v>
      </c>
      <c r="H237" s="4" t="str">
        <f>IFERROR(__xludf.DUMMYFUNCTION("""COMPUTED_VALUE"""),"aguardando retorno do executivo de delivery")</f>
        <v>aguardando retorno do executivo de delivery</v>
      </c>
    </row>
    <row r="238">
      <c r="A238" s="4" t="str">
        <f>IFERROR(__xludf.DUMMYFUNCTION("""COMPUTED_VALUE"""),"Vivenda Do Camarão")</f>
        <v>Vivenda Do Camarão</v>
      </c>
      <c r="B238" s="4" t="str">
        <f>IFERROR(__xludf.DUMMYFUNCTION("""COMPUTED_VALUE"""),"Leonardo Roso")</f>
        <v>Leonardo Roso</v>
      </c>
      <c r="C238" s="4" t="str">
        <f>IFERROR(__xludf.DUMMYFUNCTION("""COMPUTED_VALUE"""),"Leonardo Roso")</f>
        <v>Leonardo Roso</v>
      </c>
      <c r="D238" s="4" t="str">
        <f>IFERROR(__xludf.DUMMYFUNCTION("""COMPUTED_VALUE"""),"3. Apresentação")</f>
        <v>3. Apresentação</v>
      </c>
      <c r="E238" s="4" t="str">
        <f>IFERROR(__xludf.DUMMYFUNCTION("""COMPUTED_VALUE"""),"Comercial - Primeira reunião / Visita presencial agendada")</f>
        <v>Comercial - Primeira reunião / Visita presencial agendada</v>
      </c>
      <c r="F238" s="4" t="str">
        <f>IFERROR(__xludf.DUMMYFUNCTION("""COMPUTED_VALUE"""),"G")</f>
        <v>G</v>
      </c>
      <c r="G238" s="5">
        <f>IFERROR(__xludf.DUMMYFUNCTION("""COMPUTED_VALUE"""),46155.0)</f>
        <v>46155</v>
      </c>
      <c r="H238" s="4" t="str">
        <f>IFERROR(__xludf.DUMMYFUNCTION("""COMPUTED_VALUE"""),"Reunião para falar sobre proposta 09/06")</f>
        <v>Reunião para falar sobre proposta 09/06</v>
      </c>
    </row>
    <row r="239">
      <c r="A239" s="4" t="str">
        <f>IFERROR(__xludf.DUMMYFUNCTION("""COMPUTED_VALUE"""),"Yo Japa")</f>
        <v>Yo Japa</v>
      </c>
      <c r="B239" s="4" t="str">
        <f>IFERROR(__xludf.DUMMYFUNCTION("""COMPUTED_VALUE"""),"Lídia Esteves")</f>
        <v>Lídia Esteves</v>
      </c>
      <c r="C239" s="4" t="str">
        <f>IFERROR(__xludf.DUMMYFUNCTION("""COMPUTED_VALUE"""),"Gabriela Roma")</f>
        <v>Gabriela Roma</v>
      </c>
      <c r="D239" s="4" t="str">
        <f>IFERROR(__xludf.DUMMYFUNCTION("""COMPUTED_VALUE"""),"10. Perdido")</f>
        <v>10. Perdido</v>
      </c>
      <c r="E239" s="4" t="str">
        <f>IFERROR(__xludf.DUMMYFUNCTION("""COMPUTED_VALUE"""),"Perdido - Sem perfil LA / 3SCheckout / PDV próprio")</f>
        <v>Perdido - Sem perfil LA / 3SCheckout / PDV próprio</v>
      </c>
      <c r="F239" s="4" t="str">
        <f>IFERROR(__xludf.DUMMYFUNCTION("""COMPUTED_VALUE"""),"P")</f>
        <v>P</v>
      </c>
      <c r="G239" s="5">
        <f>IFERROR(__xludf.DUMMYFUNCTION("""COMPUTED_VALUE"""),46076.0)</f>
        <v>46076</v>
      </c>
      <c r="H239" s="4" t="str">
        <f>IFERROR(__xludf.DUMMYFUNCTION("""COMPUTED_VALUE"""),"Nova abordagem")</f>
        <v>Nova abordagem</v>
      </c>
    </row>
    <row r="240">
      <c r="A240" s="4" t="str">
        <f>IFERROR(__xludf.DUMMYFUNCTION("""COMPUTED_VALUE"""),"Zapata Mexican Bar E Taquerias")</f>
        <v>Zapata Mexican Bar E Taquerias</v>
      </c>
      <c r="B240" s="4" t="str">
        <f>IFERROR(__xludf.DUMMYFUNCTION("""COMPUTED_VALUE"""),"Lídia Esteves")</f>
        <v>Lídia Esteves</v>
      </c>
      <c r="C240" s="4" t="str">
        <f>IFERROR(__xludf.DUMMYFUNCTION("""COMPUTED_VALUE"""),"Gabriela Roma")</f>
        <v>Gabriela Roma</v>
      </c>
      <c r="D240" s="4" t="str">
        <f>IFERROR(__xludf.DUMMYFUNCTION("""COMPUTED_VALUE"""),"1. Iniciado")</f>
        <v>1. Iniciado</v>
      </c>
      <c r="E240" s="4" t="str">
        <f>IFERROR(__xludf.DUMMYFUNCTION("""COMPUTED_VALUE"""),"Delivery - Aguardando retorno / Conciliação agenda")</f>
        <v>Delivery - Aguardando retorno / Conciliação agenda</v>
      </c>
      <c r="F240" s="4" t="str">
        <f>IFERROR(__xludf.DUMMYFUNCTION("""COMPUTED_VALUE"""),"P")</f>
        <v>P</v>
      </c>
      <c r="G240" s="4"/>
      <c r="H240" s="4"/>
    </row>
    <row r="241">
      <c r="A241" s="4" t="str">
        <f>IFERROR(__xludf.DUMMYFUNCTION("""COMPUTED_VALUE"""),"Ze Do Hamburger")</f>
        <v>Ze Do Hamburger</v>
      </c>
      <c r="B241" s="4" t="str">
        <f>IFERROR(__xludf.DUMMYFUNCTION("""COMPUTED_VALUE"""),"João Biagiotti")</f>
        <v>João Biagiotti</v>
      </c>
      <c r="C241" s="4" t="str">
        <f>IFERROR(__xludf.DUMMYFUNCTION("""COMPUTED_VALUE"""),"Diego Santos")</f>
        <v>Diego Santos</v>
      </c>
      <c r="D241" s="4" t="str">
        <f>IFERROR(__xludf.DUMMYFUNCTION("""COMPUTED_VALUE"""),"3. Apresentação")</f>
        <v>3. Apresentação</v>
      </c>
      <c r="E241" s="4" t="str">
        <f>IFERROR(__xludf.DUMMYFUNCTION("""COMPUTED_VALUE"""),"Comercial - Contato realizado com parceiro")</f>
        <v>Comercial - Contato realizado com parceiro</v>
      </c>
      <c r="F241" s="4" t="str">
        <f>IFERROR(__xludf.DUMMYFUNCTION("""COMPUTED_VALUE"""),"P")</f>
        <v>P</v>
      </c>
      <c r="G241" s="5">
        <f>IFERROR(__xludf.DUMMYFUNCTION("""COMPUTED_VALUE"""),46120.0)</f>
        <v>46120</v>
      </c>
      <c r="H241" s="4" t="str">
        <f>IFERROR(__xludf.DUMMYFUNCTION("""COMPUTED_VALUE"""),"O emerson está tentando apoiar pra conseguir uma agenda com o prospect")</f>
        <v>O emerson está tentando apoiar pra conseguir uma agenda com o prospect</v>
      </c>
    </row>
    <row r="242">
      <c r="A242" s="4" t="str">
        <f>IFERROR(__xludf.DUMMYFUNCTION("""COMPUTED_VALUE"""),"10 Pastéis")</f>
        <v>10 Pastéis</v>
      </c>
      <c r="B242" s="4" t="str">
        <f>IFERROR(__xludf.DUMMYFUNCTION("""COMPUTED_VALUE"""),"Gabriela Roma")</f>
        <v>Gabriela Roma</v>
      </c>
      <c r="C242" s="4" t="str">
        <f>IFERROR(__xludf.DUMMYFUNCTION("""COMPUTED_VALUE"""),"Gabriela Roma")</f>
        <v>Gabriela Roma</v>
      </c>
      <c r="D242" s="4" t="str">
        <f>IFERROR(__xludf.DUMMYFUNCTION("""COMPUTED_VALUE"""),"9. Contrato assinado")</f>
        <v>9. Contrato assinado</v>
      </c>
      <c r="E242" s="4" t="str">
        <f>IFERROR(__xludf.DUMMYFUNCTION("""COMPUTED_VALUE""")," Projetos - Contrato assinado &amp; Rollout")</f>
        <v> Projetos - Contrato assinado &amp; Rollout</v>
      </c>
      <c r="F242" s="4" t="str">
        <f>IFERROR(__xludf.DUMMYFUNCTION("""COMPUTED_VALUE"""),"M")</f>
        <v>M</v>
      </c>
      <c r="G242" s="5">
        <f>IFERROR(__xludf.DUMMYFUNCTION("""COMPUTED_VALUE"""),46076.0)</f>
        <v>46076</v>
      </c>
      <c r="H242" s="4" t="str">
        <f>IFERROR(__xludf.DUMMYFUNCTION("""COMPUTED_VALUE"""),"Contrato assinado ")</f>
        <v>Contrato assinado </v>
      </c>
    </row>
    <row r="243">
      <c r="A243" s="4" t="str">
        <f>IFERROR(__xludf.DUMMYFUNCTION("""COMPUTED_VALUE"""),"1900 Pizzeria")</f>
        <v>1900 Pizzeria</v>
      </c>
      <c r="B243" s="4" t="str">
        <f>IFERROR(__xludf.DUMMYFUNCTION("""COMPUTED_VALUE"""),"Ana")</f>
        <v>Ana</v>
      </c>
      <c r="C243" s="4" t="str">
        <f>IFERROR(__xludf.DUMMYFUNCTION("""COMPUTED_VALUE"""),"Ana")</f>
        <v>Ana</v>
      </c>
      <c r="D243" s="4" t="str">
        <f>IFERROR(__xludf.DUMMYFUNCTION("""COMPUTED_VALUE"""),"13. Reativado")</f>
        <v>13. Reativado</v>
      </c>
      <c r="E243" s="4" t="str">
        <f>IFERROR(__xludf.DUMMYFUNCTION("""COMPUTED_VALUE"""),"Perdido - Sem perfil LA / 3SCheckout / PDV próprio")</f>
        <v>Perdido - Sem perfil LA / 3SCheckout / PDV próprio</v>
      </c>
      <c r="F243" s="4" t="str">
        <f>IFERROR(__xludf.DUMMYFUNCTION("""COMPUTED_VALUE"""),"P")</f>
        <v>P</v>
      </c>
      <c r="G243" s="5">
        <f>IFERROR(__xludf.DUMMYFUNCTION("""COMPUTED_VALUE"""),46076.0)</f>
        <v>46076</v>
      </c>
      <c r="H243" s="4" t="str">
        <f>IFERROR(__xludf.DUMMYFUNCTION("""COMPUTED_VALUE"""),"Tem um sistema próprio desenvolvido especialmente para ele e para sua culinária.")</f>
        <v>Tem um sistema próprio desenvolvido especialmente para ele e para sua culinária.</v>
      </c>
    </row>
    <row r="244">
      <c r="A244" s="4" t="str">
        <f>IFERROR(__xludf.DUMMYFUNCTION("""COMPUTED_VALUE"""),"4 Beer Franquias")</f>
        <v>4 Beer Franquias</v>
      </c>
      <c r="B244" s="4" t="str">
        <f>IFERROR(__xludf.DUMMYFUNCTION("""COMPUTED_VALUE"""),"Diego Santos")</f>
        <v>Diego Santos</v>
      </c>
      <c r="C244" s="4" t="str">
        <f>IFERROR(__xludf.DUMMYFUNCTION("""COMPUTED_VALUE"""),"Diego Santos")</f>
        <v>Diego Santos</v>
      </c>
      <c r="D244" s="4" t="str">
        <f>IFERROR(__xludf.DUMMYFUNCTION("""COMPUTED_VALUE"""),"10. Perdido")</f>
        <v>10. Perdido</v>
      </c>
      <c r="E244" s="4" t="str">
        <f>IFERROR(__xludf.DUMMYFUNCTION("""COMPUTED_VALUE"""),"Perdido - Outro (detalhar ao lado)")</f>
        <v>Perdido - Outro (detalhar ao lado)</v>
      </c>
      <c r="F244" s="4" t="str">
        <f>IFERROR(__xludf.DUMMYFUNCTION("""COMPUTED_VALUE"""),"P")</f>
        <v>P</v>
      </c>
      <c r="G244" s="5">
        <f>IFERROR(__xludf.DUMMYFUNCTION("""COMPUTED_VALUE"""),46076.0)</f>
        <v>46076</v>
      </c>
      <c r="H244" s="4" t="str">
        <f>IFERROR(__xludf.DUMMYFUNCTION("""COMPUTED_VALUE"""),"Sem interesse mudar de solução")</f>
        <v>Sem interesse mudar de solução</v>
      </c>
    </row>
    <row r="245">
      <c r="A245" s="4" t="str">
        <f>IFERROR(__xludf.DUMMYFUNCTION("""COMPUTED_VALUE"""),"A Casa Do Bife")</f>
        <v>A Casa Do Bife</v>
      </c>
      <c r="B245" s="4" t="str">
        <f>IFERROR(__xludf.DUMMYFUNCTION("""COMPUTED_VALUE"""),"Lídia Esteves")</f>
        <v>Lídia Esteves</v>
      </c>
      <c r="C245" s="4" t="str">
        <f>IFERROR(__xludf.DUMMYFUNCTION("""COMPUTED_VALUE"""),"Gabriela Roma")</f>
        <v>Gabriela Roma</v>
      </c>
      <c r="D245" s="4" t="str">
        <f>IFERROR(__xludf.DUMMYFUNCTION("""COMPUTED_VALUE"""),"10. Perdido")</f>
        <v>10. Perdido</v>
      </c>
      <c r="E245" s="4" t="str">
        <f>IFERROR(__xludf.DUMMYFUNCTION("""COMPUTED_VALUE"""),"Perdido - Fechou com concorrente")</f>
        <v>Perdido - Fechou com concorrente</v>
      </c>
      <c r="F245" s="4" t="str">
        <f>IFERROR(__xludf.DUMMYFUNCTION("""COMPUTED_VALUE"""),"P")</f>
        <v>P</v>
      </c>
      <c r="G245" s="4"/>
      <c r="H245" s="4" t="str">
        <f>IFERROR(__xludf.DUMMYFUNCTION("""COMPUTED_VALUE"""),"Parceiro sinalizou que fechou com concorrente. Estamos tentando aprofundar o motivo. Anteriormente não aceitou nossa proposta pois não conseguimos seguir com upfront.")</f>
        <v>Parceiro sinalizou que fechou com concorrente. Estamos tentando aprofundar o motivo. Anteriormente não aceitou nossa proposta pois não conseguimos seguir com upfront.</v>
      </c>
    </row>
    <row r="246">
      <c r="A246" s="4" t="str">
        <f>IFERROR(__xludf.DUMMYFUNCTION("""COMPUTED_VALUE"""),"A Feijoada")</f>
        <v>A Feijoada</v>
      </c>
      <c r="B246" s="4" t="str">
        <f>IFERROR(__xludf.DUMMYFUNCTION("""COMPUTED_VALUE"""),"Ana")</f>
        <v>Ana</v>
      </c>
      <c r="C246" s="4" t="str">
        <f>IFERROR(__xludf.DUMMYFUNCTION("""COMPUTED_VALUE"""),"Ana")</f>
        <v>Ana</v>
      </c>
      <c r="D246" s="4" t="str">
        <f>IFERROR(__xludf.DUMMYFUNCTION("""COMPUTED_VALUE"""),"10. Perdido")</f>
        <v>10. Perdido</v>
      </c>
      <c r="E246" s="4" t="str">
        <f>IFERROR(__xludf.DUMMYFUNCTION("""COMPUTED_VALUE"""),"Perdido - Outro (detalhar ao lado)")</f>
        <v>Perdido - Outro (detalhar ao lado)</v>
      </c>
      <c r="F246" s="4" t="str">
        <f>IFERROR(__xludf.DUMMYFUNCTION("""COMPUTED_VALUE"""),"P")</f>
        <v>P</v>
      </c>
      <c r="G246" s="5">
        <f>IFERROR(__xludf.DUMMYFUNCTION("""COMPUTED_VALUE"""),46076.0)</f>
        <v>46076</v>
      </c>
      <c r="H246" s="4" t="str">
        <f>IFERROR(__xludf.DUMMYFUNCTION("""COMPUTED_VALUE"""),"Parceiro sem contato valido, sem presença digital, descarteirizado. não conseguimos avançar com aborgadem.")</f>
        <v>Parceiro sem contato valido, sem presença digital, descarteirizado. não conseguimos avançar com aborgadem.</v>
      </c>
    </row>
    <row r="247">
      <c r="A247" s="4" t="str">
        <f>IFERROR(__xludf.DUMMYFUNCTION("""COMPUTED_VALUE"""),"Achapa")</f>
        <v>Achapa</v>
      </c>
      <c r="B247" s="4" t="str">
        <f>IFERROR(__xludf.DUMMYFUNCTION("""COMPUTED_VALUE"""),"Ana")</f>
        <v>Ana</v>
      </c>
      <c r="C247" s="4" t="str">
        <f>IFERROR(__xludf.DUMMYFUNCTION("""COMPUTED_VALUE"""),"Ana")</f>
        <v>Ana</v>
      </c>
      <c r="D247" s="4" t="str">
        <f>IFERROR(__xludf.DUMMYFUNCTION("""COMPUTED_VALUE"""),"10. Perdido")</f>
        <v>10. Perdido</v>
      </c>
      <c r="E247" s="4" t="str">
        <f>IFERROR(__xludf.DUMMYFUNCTION("""COMPUTED_VALUE"""),"Perdido -  Momento do restaurante não favorável")</f>
        <v>Perdido -  Momento do restaurante não favorável</v>
      </c>
      <c r="F247" s="4" t="str">
        <f>IFERROR(__xludf.DUMMYFUNCTION("""COMPUTED_VALUE"""),"P")</f>
        <v>P</v>
      </c>
      <c r="G247" s="5">
        <f>IFERROR(__xludf.DUMMYFUNCTION("""COMPUTED_VALUE"""),46076.0)</f>
        <v>46076</v>
      </c>
      <c r="H247" s="4" t="str">
        <f>IFERROR(__xludf.DUMMYFUNCTION("""COMPUTED_VALUE"""),"Utilizam Altec. Recentemente migraram do módulo Classic para o Next em todas as lojas. Por esse motivo, a marca não considera a troca de PDV.")</f>
        <v>Utilizam Altec. Recentemente migraram do módulo Classic para o Next em todas as lojas. Por esse motivo, a marca não considera a troca de PDV.</v>
      </c>
    </row>
    <row r="248">
      <c r="A248" s="4" t="str">
        <f>IFERROR(__xludf.DUMMYFUNCTION("""COMPUTED_VALUE"""),"Adega Santiago")</f>
        <v>Adega Santiago</v>
      </c>
      <c r="B248" s="4" t="str">
        <f>IFERROR(__xludf.DUMMYFUNCTION("""COMPUTED_VALUE"""),"Ana")</f>
        <v>Ana</v>
      </c>
      <c r="C248" s="4" t="str">
        <f>IFERROR(__xludf.DUMMYFUNCTION("""COMPUTED_VALUE"""),"Ana")</f>
        <v>Ana</v>
      </c>
      <c r="D248" s="4" t="str">
        <f>IFERROR(__xludf.DUMMYFUNCTION("""COMPUTED_VALUE"""),"10. Perdido")</f>
        <v>10. Perdido</v>
      </c>
      <c r="E248" s="4" t="str">
        <f>IFERROR(__xludf.DUMMYFUNCTION("""COMPUTED_VALUE"""),"Perdido -  Momento do restaurante não favorável")</f>
        <v>Perdido -  Momento do restaurante não favorável</v>
      </c>
      <c r="F248" s="4" t="str">
        <f>IFERROR(__xludf.DUMMYFUNCTION("""COMPUTED_VALUE"""),"P")</f>
        <v>P</v>
      </c>
      <c r="G248" s="5">
        <f>IFERROR(__xludf.DUMMYFUNCTION("""COMPUTED_VALUE"""),46076.0)</f>
        <v>46076</v>
      </c>
      <c r="H248" s="4" t="str">
        <f>IFERROR(__xludf.DUMMYFUNCTION("""COMPUTED_VALUE"""),"Parceiro está priorizando outros projetos internamente, voltar abordagem no próximo ciclo. Cliente não quer marcar agenda.")</f>
        <v>Parceiro está priorizando outros projetos internamente, voltar abordagem no próximo ciclo. Cliente não quer marcar agenda.</v>
      </c>
    </row>
    <row r="249">
      <c r="A249" s="4" t="str">
        <f>IFERROR(__xludf.DUMMYFUNCTION("""COMPUTED_VALUE"""),"Aizome")</f>
        <v>Aizome</v>
      </c>
      <c r="B249" s="4" t="str">
        <f>IFERROR(__xludf.DUMMYFUNCTION("""COMPUTED_VALUE"""),"Lídia Esteves")</f>
        <v>Lídia Esteves</v>
      </c>
      <c r="C249" s="4" t="str">
        <f>IFERROR(__xludf.DUMMYFUNCTION("""COMPUTED_VALUE"""),"Lídia Esteves")</f>
        <v>Lídia Esteves</v>
      </c>
      <c r="D249" s="4" t="str">
        <f>IFERROR(__xludf.DUMMYFUNCTION("""COMPUTED_VALUE"""),"9. Contrato assinado")</f>
        <v>9. Contrato assinado</v>
      </c>
      <c r="E249" s="4" t="str">
        <f>IFERROR(__xludf.DUMMYFUNCTION("""COMPUTED_VALUE""")," Projetos - Contrato assinado &amp; Rollout")</f>
        <v> Projetos - Contrato assinado &amp; Rollout</v>
      </c>
      <c r="F249" s="4" t="str">
        <f>IFERROR(__xludf.DUMMYFUNCTION("""COMPUTED_VALUE"""),"P")</f>
        <v>P</v>
      </c>
      <c r="G249" s="5">
        <f>IFERROR(__xludf.DUMMYFUNCTION("""COMPUTED_VALUE"""),46076.0)</f>
        <v>46076</v>
      </c>
      <c r="H249" s="4" t="str">
        <f>IFERROR(__xludf.DUMMYFUNCTION("""COMPUTED_VALUE"""),"Contrato enviado em analise pelo jurídico, prazo assinatuara fev/26")</f>
        <v>Contrato enviado em analise pelo jurídico, prazo assinatuara fev/26</v>
      </c>
    </row>
    <row r="250">
      <c r="A250" s="4" t="str">
        <f>IFERROR(__xludf.DUMMYFUNCTION("""COMPUTED_VALUE"""),"Albis - Middle East Fast Food")</f>
        <v>Albis - Middle East Fast Food</v>
      </c>
      <c r="B250" s="4" t="str">
        <f>IFERROR(__xludf.DUMMYFUNCTION("""COMPUTED_VALUE"""),"Ana")</f>
        <v>Ana</v>
      </c>
      <c r="C250" s="4" t="str">
        <f>IFERROR(__xludf.DUMMYFUNCTION("""COMPUTED_VALUE"""),"Ana")</f>
        <v>Ana</v>
      </c>
      <c r="D250" s="4" t="str">
        <f>IFERROR(__xludf.DUMMYFUNCTION("""COMPUTED_VALUE"""),"12. Orgânico")</f>
        <v>12. Orgânico</v>
      </c>
      <c r="E250" s="4" t="str">
        <f>IFERROR(__xludf.DUMMYFUNCTION("""COMPUTED_VALUE""")," Projetos - Contrato assinado &amp; Rollout")</f>
        <v> Projetos - Contrato assinado &amp; Rollout</v>
      </c>
      <c r="F250" s="4" t="str">
        <f>IFERROR(__xludf.DUMMYFUNCTION("""COMPUTED_VALUE"""),"P")</f>
        <v>P</v>
      </c>
      <c r="G250" s="5">
        <f>IFERROR(__xludf.DUMMYFUNCTION("""COMPUTED_VALUE"""),46076.0)</f>
        <v>46076</v>
      </c>
      <c r="H250" s="4" t="str">
        <f>IFERROR(__xludf.DUMMYFUNCTION("""COMPUTED_VALUE"""),"contrato assinado")</f>
        <v>contrato assinado</v>
      </c>
    </row>
    <row r="251">
      <c r="A251" s="4" t="str">
        <f>IFERROR(__xludf.DUMMYFUNCTION("""COMPUTED_VALUE"""),"Almanara")</f>
        <v>Almanara</v>
      </c>
      <c r="B251" s="4" t="str">
        <f>IFERROR(__xludf.DUMMYFUNCTION("""COMPUTED_VALUE"""),"Lídia Esteves")</f>
        <v>Lídia Esteves</v>
      </c>
      <c r="C251" s="4" t="str">
        <f>IFERROR(__xludf.DUMMYFUNCTION("""COMPUTED_VALUE"""),"Lídia Esteves")</f>
        <v>Lídia Esteves</v>
      </c>
      <c r="D251" s="4" t="str">
        <f>IFERROR(__xludf.DUMMYFUNCTION("""COMPUTED_VALUE"""),"10. Perdido")</f>
        <v>10. Perdido</v>
      </c>
      <c r="E251" s="4" t="str">
        <f>IFERROR(__xludf.DUMMYFUNCTION("""COMPUTED_VALUE"""),"Perdido -  Momento do restaurante não favorável")</f>
        <v>Perdido -  Momento do restaurante não favorável</v>
      </c>
      <c r="F251" s="4" t="str">
        <f>IFERROR(__xludf.DUMMYFUNCTION("""COMPUTED_VALUE"""),"P")</f>
        <v>P</v>
      </c>
      <c r="G251" s="5">
        <f>IFERROR(__xludf.DUMMYFUNCTION("""COMPUTED_VALUE"""),46076.0)</f>
        <v>46076</v>
      </c>
      <c r="H251" s="4" t="str">
        <f>IFERROR(__xludf.DUMMYFUNCTION("""COMPUTED_VALUE"""),"Parceiro não nos recebe, já tentamos marcar agenda técnica 2x e sempre cancelam. Pararam de nos responder.")</f>
        <v>Parceiro não nos recebe, já tentamos marcar agenda técnica 2x e sempre cancelam. Pararam de nos responder.</v>
      </c>
    </row>
    <row r="252">
      <c r="A252" s="4" t="str">
        <f>IFERROR(__xludf.DUMMYFUNCTION("""COMPUTED_VALUE"""),"Ama.Zo")</f>
        <v>Ama.Zo</v>
      </c>
      <c r="B252" s="4" t="str">
        <f>IFERROR(__xludf.DUMMYFUNCTION("""COMPUTED_VALUE"""),"Lídia Esteves")</f>
        <v>Lídia Esteves</v>
      </c>
      <c r="C252" s="4" t="str">
        <f>IFERROR(__xludf.DUMMYFUNCTION("""COMPUTED_VALUE"""),"Gabriela Roma")</f>
        <v>Gabriela Roma</v>
      </c>
      <c r="D252" s="4" t="str">
        <f>IFERROR(__xludf.DUMMYFUNCTION("""COMPUTED_VALUE"""),"10. Perdido")</f>
        <v>10. Perdido</v>
      </c>
      <c r="E252" s="4" t="str">
        <f>IFERROR(__xludf.DUMMYFUNCTION("""COMPUTED_VALUE"""),"Perdido - Falta de aderência técnica")</f>
        <v>Perdido - Falta de aderência técnica</v>
      </c>
      <c r="F252" s="4" t="str">
        <f>IFERROR(__xludf.DUMMYFUNCTION("""COMPUTED_VALUE"""),"P")</f>
        <v>P</v>
      </c>
      <c r="G252" s="4"/>
      <c r="H252" s="22" t="str">
        <f>IFERROR(__xludf.DUMMYFUNCTION("""COMPUTED_VALUE"""),"Parceiro chegou a testar 3S e não teve fit devido necessidades especificas para agendamento e eventos")</f>
        <v>Parceiro chegou a testar 3S e não teve fit devido necessidades especificas para agendamento e eventos</v>
      </c>
    </row>
    <row r="253">
      <c r="A253" s="4" t="str">
        <f>IFERROR(__xludf.DUMMYFUNCTION("""COMPUTED_VALUE"""),"America")</f>
        <v>America</v>
      </c>
      <c r="B253" s="4" t="str">
        <f>IFERROR(__xludf.DUMMYFUNCTION("""COMPUTED_VALUE"""),"Michel")</f>
        <v>Michel</v>
      </c>
      <c r="C253" s="4" t="str">
        <f>IFERROR(__xludf.DUMMYFUNCTION("""COMPUTED_VALUE"""),"Michel")</f>
        <v>Michel</v>
      </c>
      <c r="D253" s="4" t="str">
        <f>IFERROR(__xludf.DUMMYFUNCTION("""COMPUTED_VALUE"""),"12. Orgânico")</f>
        <v>12. Orgânico</v>
      </c>
      <c r="E253" s="4"/>
      <c r="F253" s="4" t="str">
        <f>IFERROR(__xludf.DUMMYFUNCTION("""COMPUTED_VALUE"""),"P")</f>
        <v>P</v>
      </c>
      <c r="G253" s="4"/>
      <c r="H253" s="4"/>
    </row>
    <row r="254">
      <c r="A254" s="4" t="str">
        <f>IFERROR(__xludf.DUMMYFUNCTION("""COMPUTED_VALUE"""),"Antaris (Johnny Rockets)")</f>
        <v>Antaris (Johnny Rockets)</v>
      </c>
      <c r="B254" s="4" t="str">
        <f>IFERROR(__xludf.DUMMYFUNCTION("""COMPUTED_VALUE"""),"Michel")</f>
        <v>Michel</v>
      </c>
      <c r="C254" s="4" t="str">
        <f>IFERROR(__xludf.DUMMYFUNCTION("""COMPUTED_VALUE"""),"Michel")</f>
        <v>Michel</v>
      </c>
      <c r="D254" s="4" t="str">
        <f>IFERROR(__xludf.DUMMYFUNCTION("""COMPUTED_VALUE"""),"12. Orgânico")</f>
        <v>12. Orgânico</v>
      </c>
      <c r="E254" s="4"/>
      <c r="F254" s="4" t="str">
        <f>IFERROR(__xludf.DUMMYFUNCTION("""COMPUTED_VALUE"""),"Sem Classificação")</f>
        <v>Sem Classificação</v>
      </c>
      <c r="G254" s="4"/>
      <c r="H254" s="4"/>
    </row>
    <row r="255">
      <c r="A255" s="4" t="str">
        <f>IFERROR(__xludf.DUMMYFUNCTION("""COMPUTED_VALUE"""),"Antaris Multimarcas")</f>
        <v>Antaris Multimarcas</v>
      </c>
      <c r="B255" s="4" t="str">
        <f>IFERROR(__xludf.DUMMYFUNCTION("""COMPUTED_VALUE"""),"Michel")</f>
        <v>Michel</v>
      </c>
      <c r="C255" s="4" t="str">
        <f>IFERROR(__xludf.DUMMYFUNCTION("""COMPUTED_VALUE"""),"Michel")</f>
        <v>Michel</v>
      </c>
      <c r="D255" s="4" t="str">
        <f>IFERROR(__xludf.DUMMYFUNCTION("""COMPUTED_VALUE"""),"12. Orgânico")</f>
        <v>12. Orgânico</v>
      </c>
      <c r="E255" s="4"/>
      <c r="F255" s="4" t="str">
        <f>IFERROR(__xludf.DUMMYFUNCTION("""COMPUTED_VALUE"""),"P")</f>
        <v>P</v>
      </c>
      <c r="G255" s="4"/>
      <c r="H255" s="4"/>
    </row>
    <row r="256">
      <c r="A256" s="4" t="str">
        <f>IFERROR(__xludf.DUMMYFUNCTION("""COMPUTED_VALUE"""),"Arabia")</f>
        <v>Arabia</v>
      </c>
      <c r="B256" s="4" t="str">
        <f>IFERROR(__xludf.DUMMYFUNCTION("""COMPUTED_VALUE"""),"Michel")</f>
        <v>Michel</v>
      </c>
      <c r="C256" s="4" t="str">
        <f>IFERROR(__xludf.DUMMYFUNCTION("""COMPUTED_VALUE"""),"Michel")</f>
        <v>Michel</v>
      </c>
      <c r="D256" s="4" t="str">
        <f>IFERROR(__xludf.DUMMYFUNCTION("""COMPUTED_VALUE"""),"12. Orgânico")</f>
        <v>12. Orgânico</v>
      </c>
      <c r="E256" s="4"/>
      <c r="F256" s="4" t="str">
        <f>IFERROR(__xludf.DUMMYFUNCTION("""COMPUTED_VALUE"""),"P")</f>
        <v>P</v>
      </c>
      <c r="G256" s="4"/>
      <c r="H256" s="4"/>
    </row>
    <row r="257">
      <c r="A257" s="4" t="str">
        <f>IFERROR(__xludf.DUMMYFUNCTION("""COMPUTED_VALUE"""),"Bachir")</f>
        <v>Bachir</v>
      </c>
      <c r="B257" s="4" t="str">
        <f>IFERROR(__xludf.DUMMYFUNCTION("""COMPUTED_VALUE"""),"Ana")</f>
        <v>Ana</v>
      </c>
      <c r="C257" s="4" t="str">
        <f>IFERROR(__xludf.DUMMYFUNCTION("""COMPUTED_VALUE"""),"Ana")</f>
        <v>Ana</v>
      </c>
      <c r="D257" s="4" t="str">
        <f>IFERROR(__xludf.DUMMYFUNCTION("""COMPUTED_VALUE"""),"10. Perdido")</f>
        <v>10. Perdido</v>
      </c>
      <c r="E257" s="4" t="str">
        <f>IFERROR(__xludf.DUMMYFUNCTION("""COMPUTED_VALUE"""),"Perdido - Outro (detalhar ao lado)")</f>
        <v>Perdido - Outro (detalhar ao lado)</v>
      </c>
      <c r="F257" s="4" t="str">
        <f>IFERROR(__xludf.DUMMYFUNCTION("""COMPUTED_VALUE"""),"P")</f>
        <v>P</v>
      </c>
      <c r="G257" s="5">
        <f>IFERROR(__xludf.DUMMYFUNCTION("""COMPUTED_VALUE"""),46104.0)</f>
        <v>46104</v>
      </c>
      <c r="H257" s="4" t="str">
        <f>IFERROR(__xludf.DUMMYFUNCTION("""COMPUTED_VALUE"""),"Aguardar situação jurídica ser resolvida e retomar negociação e iniciar piloto.")</f>
        <v>Aguardar situação jurídica ser resolvida e retomar negociação e iniciar piloto.</v>
      </c>
    </row>
    <row r="258">
      <c r="A258" s="4" t="str">
        <f>IFERROR(__xludf.DUMMYFUNCTION("""COMPUTED_VALUE"""),"Balada Mix")</f>
        <v>Balada Mix</v>
      </c>
      <c r="B258" s="4" t="str">
        <f>IFERROR(__xludf.DUMMYFUNCTION("""COMPUTED_VALUE"""),"Ana")</f>
        <v>Ana</v>
      </c>
      <c r="C258" s="4" t="str">
        <f>IFERROR(__xludf.DUMMYFUNCTION("""COMPUTED_VALUE"""),"Ana")</f>
        <v>Ana</v>
      </c>
      <c r="D258" s="4" t="str">
        <f>IFERROR(__xludf.DUMMYFUNCTION("""COMPUTED_VALUE"""),"10. Perdido")</f>
        <v>10. Perdido</v>
      </c>
      <c r="E258" s="4" t="str">
        <f>IFERROR(__xludf.DUMMYFUNCTION("""COMPUTED_VALUE"""),"Perdido - Outro (detalhar ao lado)")</f>
        <v>Perdido - Outro (detalhar ao lado)</v>
      </c>
      <c r="F258" s="4" t="str">
        <f>IFERROR(__xludf.DUMMYFUNCTION("""COMPUTED_VALUE"""),"P")</f>
        <v>P</v>
      </c>
      <c r="G258" s="5">
        <f>IFERROR(__xludf.DUMMYFUNCTION("""COMPUTED_VALUE"""),46076.0)</f>
        <v>46076</v>
      </c>
      <c r="H258" s="4" t="str">
        <f>IFERROR(__xludf.DUMMYFUNCTION("""COMPUTED_VALUE"""),"Parceiro sem contato valido, sem presença digital, descarteirizado. não conseguimos avançar com aborgadem.")</f>
        <v>Parceiro sem contato valido, sem presença digital, descarteirizado. não conseguimos avançar com aborgadem.</v>
      </c>
    </row>
    <row r="259">
      <c r="A259" s="4" t="str">
        <f>IFERROR(__xludf.DUMMYFUNCTION("""COMPUTED_VALUE"""),"Bar Do Adão")</f>
        <v>Bar Do Adão</v>
      </c>
      <c r="B259" s="4" t="str">
        <f>IFERROR(__xludf.DUMMYFUNCTION("""COMPUTED_VALUE"""),"Ana")</f>
        <v>Ana</v>
      </c>
      <c r="C259" s="4" t="str">
        <f>IFERROR(__xludf.DUMMYFUNCTION("""COMPUTED_VALUE"""),"Ana")</f>
        <v>Ana</v>
      </c>
      <c r="D259" s="4" t="str">
        <f>IFERROR(__xludf.DUMMYFUNCTION("""COMPUTED_VALUE"""),"9. Contrato assinado")</f>
        <v>9. Contrato assinado</v>
      </c>
      <c r="E259" s="4" t="str">
        <f>IFERROR(__xludf.DUMMYFUNCTION("""COMPUTED_VALUE""")," Projetos - Contrato assinado &amp; Rollout")</f>
        <v> Projetos - Contrato assinado &amp; Rollout</v>
      </c>
      <c r="F259" s="4" t="str">
        <f>IFERROR(__xludf.DUMMYFUNCTION("""COMPUTED_VALUE"""),"P")</f>
        <v>P</v>
      </c>
      <c r="G259" s="5">
        <f>IFERROR(__xludf.DUMMYFUNCTION("""COMPUTED_VALUE"""),46076.0)</f>
        <v>46076</v>
      </c>
      <c r="H259" s="4" t="str">
        <f>IFERROR(__xludf.DUMMYFUNCTION("""COMPUTED_VALUE"""),"Contrato Assinado, rollout iniciado")</f>
        <v>Contrato Assinado, rollout iniciado</v>
      </c>
    </row>
    <row r="260">
      <c r="A260" s="4" t="str">
        <f>IFERROR(__xludf.DUMMYFUNCTION("""COMPUTED_VALUE"""),"Bar Do Alemão")</f>
        <v>Bar Do Alemão</v>
      </c>
      <c r="B260" s="4" t="str">
        <f>IFERROR(__xludf.DUMMYFUNCTION("""COMPUTED_VALUE"""),"Michel")</f>
        <v>Michel</v>
      </c>
      <c r="C260" s="4" t="str">
        <f>IFERROR(__xludf.DUMMYFUNCTION("""COMPUTED_VALUE"""),"Michel")</f>
        <v>Michel</v>
      </c>
      <c r="D260" s="4" t="str">
        <f>IFERROR(__xludf.DUMMYFUNCTION("""COMPUTED_VALUE"""),"9. Contrato assinado")</f>
        <v>9. Contrato assinado</v>
      </c>
      <c r="E260" s="4"/>
      <c r="F260" s="4" t="str">
        <f>IFERROR(__xludf.DUMMYFUNCTION("""COMPUTED_VALUE"""),"P")</f>
        <v>P</v>
      </c>
      <c r="G260" s="4"/>
      <c r="H260" s="4"/>
    </row>
    <row r="261">
      <c r="A261" s="4" t="str">
        <f>IFERROR(__xludf.DUMMYFUNCTION("""COMPUTED_VALUE"""),"Barbacoa")</f>
        <v>Barbacoa</v>
      </c>
      <c r="B261" s="4" t="str">
        <f>IFERROR(__xludf.DUMMYFUNCTION("""COMPUTED_VALUE"""),"Ana")</f>
        <v>Ana</v>
      </c>
      <c r="C261" s="4" t="str">
        <f>IFERROR(__xludf.DUMMYFUNCTION("""COMPUTED_VALUE"""),"Ana")</f>
        <v>Ana</v>
      </c>
      <c r="D261" s="4" t="str">
        <f>IFERROR(__xludf.DUMMYFUNCTION("""COMPUTED_VALUE"""),"10. Perdido")</f>
        <v>10. Perdido</v>
      </c>
      <c r="E261" s="4" t="str">
        <f>IFERROR(__xludf.DUMMYFUNCTION("""COMPUTED_VALUE"""),"Perdido -  Momento do restaurante não favorável")</f>
        <v>Perdido -  Momento do restaurante não favorável</v>
      </c>
      <c r="F261" s="4" t="str">
        <f>IFERROR(__xludf.DUMMYFUNCTION("""COMPUTED_VALUE"""),"P")</f>
        <v>P</v>
      </c>
      <c r="G261" s="5">
        <f>IFERROR(__xludf.DUMMYFUNCTION("""COMPUTED_VALUE"""),46076.0)</f>
        <v>46076</v>
      </c>
      <c r="H261" s="4" t="str">
        <f>IFERROR(__xludf.DUMMYFUNCTION("""COMPUTED_VALUE"""),"Parceiro mudou de sistema ano passado. Não estão abertos para falar conosco. Houve mais de uma tentativa para abordar salão com o Barbacoa nos últimos 6 meses e o parceiro continuou sem interesse em nos receber.")</f>
        <v>Parceiro mudou de sistema ano passado. Não estão abertos para falar conosco. Houve mais de uma tentativa para abordar salão com o Barbacoa nos últimos 6 meses e o parceiro continuou sem interesse em nos receber.</v>
      </c>
    </row>
    <row r="262">
      <c r="A262" s="4" t="str">
        <f>IFERROR(__xludf.DUMMYFUNCTION("""COMPUTED_VALUE"""),"Barbaresco")</f>
        <v>Barbaresco</v>
      </c>
      <c r="B262" s="4" t="str">
        <f>IFERROR(__xludf.DUMMYFUNCTION("""COMPUTED_VALUE"""),"Diego Santos")</f>
        <v>Diego Santos</v>
      </c>
      <c r="C262" s="4" t="str">
        <f>IFERROR(__xludf.DUMMYFUNCTION("""COMPUTED_VALUE"""),"Diego Santos")</f>
        <v>Diego Santos</v>
      </c>
      <c r="D262" s="4" t="str">
        <f>IFERROR(__xludf.DUMMYFUNCTION("""COMPUTED_VALUE"""),"10. Perdido")</f>
        <v>10. Perdido</v>
      </c>
      <c r="E262" s="4" t="str">
        <f>IFERROR(__xludf.DUMMYFUNCTION("""COMPUTED_VALUE"""),"Perdido - Sem perfil LA / 3SCheckout / PDV próprio")</f>
        <v>Perdido - Sem perfil LA / 3SCheckout / PDV próprio</v>
      </c>
      <c r="F262" s="4" t="str">
        <f>IFERROR(__xludf.DUMMYFUNCTION("""COMPUTED_VALUE"""),"P")</f>
        <v>P</v>
      </c>
      <c r="G262" s="5">
        <f>IFERROR(__xludf.DUMMYFUNCTION("""COMPUTED_VALUE"""),46076.0)</f>
        <v>46076</v>
      </c>
      <c r="H262" s="4" t="str">
        <f>IFERROR(__xludf.DUMMYFUNCTION("""COMPUTED_VALUE"""),"Sem perfil LA.")</f>
        <v>Sem perfil LA.</v>
      </c>
    </row>
    <row r="263">
      <c r="A263" s="4" t="str">
        <f>IFERROR(__xludf.DUMMYFUNCTION("""COMPUTED_VALUE"""),"Batata Inglesa")</f>
        <v>Batata Inglesa</v>
      </c>
      <c r="B263" s="4" t="str">
        <f>IFERROR(__xludf.DUMMYFUNCTION("""COMPUTED_VALUE"""),"Michel")</f>
        <v>Michel</v>
      </c>
      <c r="C263" s="4" t="str">
        <f>IFERROR(__xludf.DUMMYFUNCTION("""COMPUTED_VALUE"""),"Michel")</f>
        <v>Michel</v>
      </c>
      <c r="D263" s="4" t="str">
        <f>IFERROR(__xludf.DUMMYFUNCTION("""COMPUTED_VALUE"""),"12. Orgânico")</f>
        <v>12. Orgânico</v>
      </c>
      <c r="E263" s="4"/>
      <c r="F263" s="4" t="str">
        <f>IFERROR(__xludf.DUMMYFUNCTION("""COMPUTED_VALUE"""),"P")</f>
        <v>P</v>
      </c>
      <c r="G263" s="4"/>
      <c r="H263" s="4"/>
    </row>
    <row r="264">
      <c r="A264" s="4" t="str">
        <f>IFERROR(__xludf.DUMMYFUNCTION("""COMPUTED_VALUE"""),"Bdc (Bar Do Cuscuz)")</f>
        <v>Bdc (Bar Do Cuscuz)</v>
      </c>
      <c r="B264" s="4" t="str">
        <f>IFERROR(__xludf.DUMMYFUNCTION("""COMPUTED_VALUE"""),"Diego Santos")</f>
        <v>Diego Santos</v>
      </c>
      <c r="C264" s="4" t="str">
        <f>IFERROR(__xludf.DUMMYFUNCTION("""COMPUTED_VALUE"""),"Diego Santos")</f>
        <v>Diego Santos</v>
      </c>
      <c r="D264" s="4" t="str">
        <f>IFERROR(__xludf.DUMMYFUNCTION("""COMPUTED_VALUE"""),"13. Reativado")</f>
        <v>13. Reativado</v>
      </c>
      <c r="E264" s="4" t="str">
        <f>IFERROR(__xludf.DUMMYFUNCTION("""COMPUTED_VALUE"""),"Perdido - Falta de aderência técnica")</f>
        <v>Perdido - Falta de aderência técnica</v>
      </c>
      <c r="F264" s="4" t="str">
        <f>IFERROR(__xludf.DUMMYFUNCTION("""COMPUTED_VALUE"""),"P")</f>
        <v>P</v>
      </c>
      <c r="G264" s="5">
        <f>IFERROR(__xludf.DUMMYFUNCTION("""COMPUTED_VALUE"""),46093.0)</f>
        <v>46093</v>
      </c>
      <c r="H264" s="4" t="str">
        <f>IFERROR(__xludf.DUMMYFUNCTION("""COMPUTED_VALUE"""),"Não atendemos a muitas necessidades técnicas do cliente")</f>
        <v>Não atendemos a muitas necessidades técnicas do cliente</v>
      </c>
    </row>
    <row r="265">
      <c r="A265" s="4" t="str">
        <f>IFERROR(__xludf.DUMMYFUNCTION("""COMPUTED_VALUE"""),"Bebelu Sanduiches")</f>
        <v>Bebelu Sanduiches</v>
      </c>
      <c r="B265" s="4" t="str">
        <f>IFERROR(__xludf.DUMMYFUNCTION("""COMPUTED_VALUE"""),"Diego Santos")</f>
        <v>Diego Santos</v>
      </c>
      <c r="C265" s="4" t="str">
        <f>IFERROR(__xludf.DUMMYFUNCTION("""COMPUTED_VALUE"""),"Diego Santos")</f>
        <v>Diego Santos</v>
      </c>
      <c r="D265" s="4" t="str">
        <f>IFERROR(__xludf.DUMMYFUNCTION("""COMPUTED_VALUE"""),"10. Perdido")</f>
        <v>10. Perdido</v>
      </c>
      <c r="E265" s="4" t="str">
        <f>IFERROR(__xludf.DUMMYFUNCTION("""COMPUTED_VALUE"""),"Perdido - Falta de aderência técnica")</f>
        <v>Perdido - Falta de aderência técnica</v>
      </c>
      <c r="F265" s="4" t="str">
        <f>IFERROR(__xludf.DUMMYFUNCTION("""COMPUTED_VALUE"""),"M")</f>
        <v>M</v>
      </c>
      <c r="G265" s="5">
        <f>IFERROR(__xludf.DUMMYFUNCTION("""COMPUTED_VALUE"""),46076.0)</f>
        <v>46076</v>
      </c>
      <c r="H265" s="4" t="str">
        <f>IFERROR(__xludf.DUMMYFUNCTION("""COMPUTED_VALUE"""),"usam pdv do sócio com rebate, em negociação com time de totem VS")</f>
        <v>usam pdv do sócio com rebate, em negociação com time de totem VS</v>
      </c>
    </row>
    <row r="266">
      <c r="A266" s="4" t="str">
        <f>IFERROR(__xludf.DUMMYFUNCTION("""COMPUTED_VALUE"""),"Bella Dona")</f>
        <v>Bella Dona</v>
      </c>
      <c r="B266" s="4" t="str">
        <f>IFERROR(__xludf.DUMMYFUNCTION("""COMPUTED_VALUE"""),"Ana")</f>
        <v>Ana</v>
      </c>
      <c r="C266" s="4" t="str">
        <f>IFERROR(__xludf.DUMMYFUNCTION("""COMPUTED_VALUE"""),"Ana")</f>
        <v>Ana</v>
      </c>
      <c r="D266" s="4" t="str">
        <f>IFERROR(__xludf.DUMMYFUNCTION("""COMPUTED_VALUE"""),"10. Perdido")</f>
        <v>10. Perdido</v>
      </c>
      <c r="E266" s="4" t="str">
        <f>IFERROR(__xludf.DUMMYFUNCTION("""COMPUTED_VALUE"""),"Perdido - Outro (detalhar ao lado)")</f>
        <v>Perdido - Outro (detalhar ao lado)</v>
      </c>
      <c r="F266" s="4" t="str">
        <f>IFERROR(__xludf.DUMMYFUNCTION("""COMPUTED_VALUE"""),"P")</f>
        <v>P</v>
      </c>
      <c r="G266" s="5">
        <f>IFERROR(__xludf.DUMMYFUNCTION("""COMPUTED_VALUE"""),46076.0)</f>
        <v>46076</v>
      </c>
      <c r="H266" s="4" t="str">
        <f>IFERROR(__xludf.DUMMYFUNCTION("""COMPUTED_VALUE"""),"Cliente saipos.")</f>
        <v>Cliente saipos.</v>
      </c>
    </row>
    <row r="267">
      <c r="A267" s="4" t="str">
        <f>IFERROR(__xludf.DUMMYFUNCTION("""COMPUTED_VALUE"""),"Bella Gula")</f>
        <v>Bella Gula</v>
      </c>
      <c r="B267" s="4" t="str">
        <f>IFERROR(__xludf.DUMMYFUNCTION("""COMPUTED_VALUE"""),"Lídia Esteves")</f>
        <v>Lídia Esteves</v>
      </c>
      <c r="C267" s="4" t="str">
        <f>IFERROR(__xludf.DUMMYFUNCTION("""COMPUTED_VALUE"""),"Lídia Esteves")</f>
        <v>Lídia Esteves</v>
      </c>
      <c r="D267" s="4" t="str">
        <f>IFERROR(__xludf.DUMMYFUNCTION("""COMPUTED_VALUE"""),"9. Contrato assinado")</f>
        <v>9. Contrato assinado</v>
      </c>
      <c r="E267" s="4" t="str">
        <f>IFERROR(__xludf.DUMMYFUNCTION("""COMPUTED_VALUE""")," Projetos - Contrato assinado &amp; Rollout")</f>
        <v> Projetos - Contrato assinado &amp; Rollout</v>
      </c>
      <c r="F267" s="4" t="str">
        <f>IFERROR(__xludf.DUMMYFUNCTION("""COMPUTED_VALUE"""),"M")</f>
        <v>M</v>
      </c>
      <c r="G267" s="5">
        <f>IFERROR(__xludf.DUMMYFUNCTION("""COMPUTED_VALUE"""),46076.0)</f>
        <v>46076</v>
      </c>
      <c r="H267" s="4" t="str">
        <f>IFERROR(__xludf.DUMMYFUNCTION("""COMPUTED_VALUE"""),"contrato assinado")</f>
        <v>contrato assinado</v>
      </c>
    </row>
    <row r="268">
      <c r="A268" s="4" t="str">
        <f>IFERROR(__xludf.DUMMYFUNCTION("""COMPUTED_VALUE"""),"Bellini")</f>
        <v>Bellini</v>
      </c>
      <c r="B268" s="4" t="str">
        <f>IFERROR(__xludf.DUMMYFUNCTION("""COMPUTED_VALUE"""),"Iza")</f>
        <v>Iza</v>
      </c>
      <c r="C268" s="4" t="str">
        <f>IFERROR(__xludf.DUMMYFUNCTION("""COMPUTED_VALUE"""),"Iza")</f>
        <v>Iza</v>
      </c>
      <c r="D268" s="4" t="str">
        <f>IFERROR(__xludf.DUMMYFUNCTION("""COMPUTED_VALUE"""),"9. Contrato assinado")</f>
        <v>9. Contrato assinado</v>
      </c>
      <c r="E268" s="4" t="str">
        <f>IFERROR(__xludf.DUMMYFUNCTION("""COMPUTED_VALUE""")," Projetos - Contrato assinado &amp; Rollout")</f>
        <v> Projetos - Contrato assinado &amp; Rollout</v>
      </c>
      <c r="F268" s="4" t="str">
        <f>IFERROR(__xludf.DUMMYFUNCTION("""COMPUTED_VALUE"""),"P")</f>
        <v>P</v>
      </c>
      <c r="G268" s="5">
        <f>IFERROR(__xludf.DUMMYFUNCTION("""COMPUTED_VALUE"""),46076.0)</f>
        <v>46076</v>
      </c>
      <c r="H268" s="4" t="str">
        <f>IFERROR(__xludf.DUMMYFUNCTION("""COMPUTED_VALUE"""),"Contrato assinado")</f>
        <v>Contrato assinado</v>
      </c>
    </row>
    <row r="269">
      <c r="A269" s="4" t="str">
        <f>IFERROR(__xludf.DUMMYFUNCTION("""COMPUTED_VALUE"""),"Benjamin A Padaria")</f>
        <v>Benjamin A Padaria</v>
      </c>
      <c r="B269" s="4" t="str">
        <f>IFERROR(__xludf.DUMMYFUNCTION("""COMPUTED_VALUE"""),"Michel")</f>
        <v>Michel</v>
      </c>
      <c r="C269" s="4" t="str">
        <f>IFERROR(__xludf.DUMMYFUNCTION("""COMPUTED_VALUE"""),"Michel")</f>
        <v>Michel</v>
      </c>
      <c r="D269" s="4" t="str">
        <f>IFERROR(__xludf.DUMMYFUNCTION("""COMPUTED_VALUE"""),"9. Contrato assinado")</f>
        <v>9. Contrato assinado</v>
      </c>
      <c r="E269" s="4" t="str">
        <f>IFERROR(__xludf.DUMMYFUNCTION("""COMPUTED_VALUE"""),"Projetos - Contrato assinado mas com falta de priorização")</f>
        <v>Projetos - Contrato assinado mas com falta de priorização</v>
      </c>
      <c r="F269" s="4" t="str">
        <f>IFERROR(__xludf.DUMMYFUNCTION("""COMPUTED_VALUE"""),"P")</f>
        <v>P</v>
      </c>
      <c r="G269" s="4"/>
      <c r="H269" s="4" t="str">
        <f>IFERROR(__xludf.DUMMYFUNCTION("""COMPUTED_VALUE"""),"Projeto voltou depois de 2 meses parado. Fianl da semana devemos ter uma data")</f>
        <v>Projeto voltou depois de 2 meses parado. Fianl da semana devemos ter uma data</v>
      </c>
    </row>
    <row r="270">
      <c r="A270" s="4" t="str">
        <f>IFERROR(__xludf.DUMMYFUNCTION("""COMPUTED_VALUE"""),"Big Churros")</f>
        <v>Big Churros</v>
      </c>
      <c r="B270" s="4" t="str">
        <f>IFERROR(__xludf.DUMMYFUNCTION("""COMPUTED_VALUE"""),"Michel")</f>
        <v>Michel</v>
      </c>
      <c r="C270" s="4" t="str">
        <f>IFERROR(__xludf.DUMMYFUNCTION("""COMPUTED_VALUE"""),"Michel")</f>
        <v>Michel</v>
      </c>
      <c r="D270" s="4" t="str">
        <f>IFERROR(__xludf.DUMMYFUNCTION("""COMPUTED_VALUE"""),"9. Contrato assinado")</f>
        <v>9. Contrato assinado</v>
      </c>
      <c r="E270" s="4" t="str">
        <f>IFERROR(__xludf.DUMMYFUNCTION("""COMPUTED_VALUE"""),"Projetos - Contrato assinado mas com falta de priorização")</f>
        <v>Projetos - Contrato assinado mas com falta de priorização</v>
      </c>
      <c r="F270" s="4" t="str">
        <f>IFERROR(__xludf.DUMMYFUNCTION("""COMPUTED_VALUE"""),"P")</f>
        <v>P</v>
      </c>
      <c r="G270" s="4"/>
      <c r="H270" s="4" t="str">
        <f>IFERROR(__xludf.DUMMYFUNCTION("""COMPUTED_VALUE"""),"Cliente esta com problema na Obra , depende de finalização , do nosso lado esta td configurado")</f>
        <v>Cliente esta com problema na Obra , depende de finalização , do nosso lado esta td configurado</v>
      </c>
    </row>
    <row r="271">
      <c r="A271" s="4" t="str">
        <f>IFERROR(__xludf.DUMMYFUNCTION("""COMPUTED_VALUE"""),"Boa Mesa")</f>
        <v>Boa Mesa</v>
      </c>
      <c r="B271" s="4" t="str">
        <f>IFERROR(__xludf.DUMMYFUNCTION("""COMPUTED_VALUE"""),"Michel")</f>
        <v>Michel</v>
      </c>
      <c r="C271" s="4" t="str">
        <f>IFERROR(__xludf.DUMMYFUNCTION("""COMPUTED_VALUE"""),"Michel")</f>
        <v>Michel</v>
      </c>
      <c r="D271" s="4" t="str">
        <f>IFERROR(__xludf.DUMMYFUNCTION("""COMPUTED_VALUE"""),"12. Orgânico")</f>
        <v>12. Orgânico</v>
      </c>
      <c r="E271" s="4"/>
      <c r="F271" s="4" t="str">
        <f>IFERROR(__xludf.DUMMYFUNCTION("""COMPUTED_VALUE"""),"P")</f>
        <v>P</v>
      </c>
      <c r="G271" s="4"/>
      <c r="H271" s="4"/>
    </row>
    <row r="272">
      <c r="A272" s="4" t="str">
        <f>IFERROR(__xludf.DUMMYFUNCTION("""COMPUTED_VALUE"""),"Bolos Do Flávio")</f>
        <v>Bolos Do Flávio</v>
      </c>
      <c r="B272" s="4" t="str">
        <f>IFERROR(__xludf.DUMMYFUNCTION("""COMPUTED_VALUE"""),"Lídia Esteves")</f>
        <v>Lídia Esteves</v>
      </c>
      <c r="C272" s="4" t="str">
        <f>IFERROR(__xludf.DUMMYFUNCTION("""COMPUTED_VALUE"""),"Lídia Esteves")</f>
        <v>Lídia Esteves</v>
      </c>
      <c r="D272" s="4" t="str">
        <f>IFERROR(__xludf.DUMMYFUNCTION("""COMPUTED_VALUE"""),"9. Contrato assinado")</f>
        <v>9. Contrato assinado</v>
      </c>
      <c r="E272" s="4" t="str">
        <f>IFERROR(__xludf.DUMMYFUNCTION("""COMPUTED_VALUE"""),"Comercial - Em negociação de proposta")</f>
        <v>Comercial - Em negociação de proposta</v>
      </c>
      <c r="F272" s="4" t="str">
        <f>IFERROR(__xludf.DUMMYFUNCTION("""COMPUTED_VALUE"""),"P")</f>
        <v>P</v>
      </c>
      <c r="G272" s="5">
        <f>IFERROR(__xludf.DUMMYFUNCTION("""COMPUTED_VALUE"""),46076.0)</f>
        <v>46076</v>
      </c>
      <c r="H272" s="4" t="str">
        <f>IFERROR(__xludf.DUMMYFUNCTION("""COMPUTED_VALUE"""),"negociação 360 com delivery, cliente avaliando proposta. assinatura prevista para primeira semana de março.")</f>
        <v>negociação 360 com delivery, cliente avaliando proposta. assinatura prevista para primeira semana de março.</v>
      </c>
    </row>
    <row r="273">
      <c r="A273" s="4" t="str">
        <f>IFERROR(__xludf.DUMMYFUNCTION("""COMPUTED_VALUE"""),"Bom Beef")</f>
        <v>Bom Beef</v>
      </c>
      <c r="B273" s="4" t="str">
        <f>IFERROR(__xludf.DUMMYFUNCTION("""COMPUTED_VALUE"""),"Michel")</f>
        <v>Michel</v>
      </c>
      <c r="C273" s="4" t="str">
        <f>IFERROR(__xludf.DUMMYFUNCTION("""COMPUTED_VALUE"""),"Michel")</f>
        <v>Michel</v>
      </c>
      <c r="D273" s="4" t="str">
        <f>IFERROR(__xludf.DUMMYFUNCTION("""COMPUTED_VALUE"""),"12. Orgânico")</f>
        <v>12. Orgânico</v>
      </c>
      <c r="E273" s="4"/>
      <c r="F273" s="4" t="str">
        <f>IFERROR(__xludf.DUMMYFUNCTION("""COMPUTED_VALUE"""),"P")</f>
        <v>P</v>
      </c>
      <c r="G273" s="4"/>
      <c r="H273" s="4"/>
    </row>
    <row r="274">
      <c r="A274" s="4" t="str">
        <f>IFERROR(__xludf.DUMMYFUNCTION("""COMPUTED_VALUE"""),"Borger Burger")</f>
        <v>Borger Burger</v>
      </c>
      <c r="B274" s="4" t="str">
        <f>IFERROR(__xludf.DUMMYFUNCTION("""COMPUTED_VALUE"""),"Michel")</f>
        <v>Michel</v>
      </c>
      <c r="C274" s="4" t="str">
        <f>IFERROR(__xludf.DUMMYFUNCTION("""COMPUTED_VALUE"""),"Michel")</f>
        <v>Michel</v>
      </c>
      <c r="D274" s="4" t="str">
        <f>IFERROR(__xludf.DUMMYFUNCTION("""COMPUTED_VALUE"""),"12. Orgânico")</f>
        <v>12. Orgânico</v>
      </c>
      <c r="E274" s="4"/>
      <c r="F274" s="4" t="str">
        <f>IFERROR(__xludf.DUMMYFUNCTION("""COMPUTED_VALUE"""),"P")</f>
        <v>P</v>
      </c>
      <c r="G274" s="4"/>
      <c r="H274" s="4"/>
    </row>
    <row r="275">
      <c r="A275" s="4" t="str">
        <f>IFERROR(__xludf.DUMMYFUNCTION("""COMPUTED_VALUE"""),"Boulangerie Carioca")</f>
        <v>Boulangerie Carioca</v>
      </c>
      <c r="B275" s="4" t="str">
        <f>IFERROR(__xludf.DUMMYFUNCTION("""COMPUTED_VALUE"""),"Michel")</f>
        <v>Michel</v>
      </c>
      <c r="C275" s="4" t="str">
        <f>IFERROR(__xludf.DUMMYFUNCTION("""COMPUTED_VALUE"""),"Michel")</f>
        <v>Michel</v>
      </c>
      <c r="D275" s="4" t="str">
        <f>IFERROR(__xludf.DUMMYFUNCTION("""COMPUTED_VALUE"""),"12. Orgânico")</f>
        <v>12. Orgânico</v>
      </c>
      <c r="E275" s="4"/>
      <c r="F275" s="4" t="str">
        <f>IFERROR(__xludf.DUMMYFUNCTION("""COMPUTED_VALUE"""),"P")</f>
        <v>P</v>
      </c>
      <c r="G275" s="4"/>
      <c r="H275" s="4"/>
    </row>
    <row r="276">
      <c r="A276" s="4" t="str">
        <f>IFERROR(__xludf.DUMMYFUNCTION("""COMPUTED_VALUE"""),"Bullguer")</f>
        <v>Bullguer</v>
      </c>
      <c r="B276" s="4" t="str">
        <f>IFERROR(__xludf.DUMMYFUNCTION("""COMPUTED_VALUE"""),"Lídia Esteves")</f>
        <v>Lídia Esteves</v>
      </c>
      <c r="C276" s="4" t="str">
        <f>IFERROR(__xludf.DUMMYFUNCTION("""COMPUTED_VALUE"""),"Gabriela Roma")</f>
        <v>Gabriela Roma</v>
      </c>
      <c r="D276" s="4" t="str">
        <f>IFERROR(__xludf.DUMMYFUNCTION("""COMPUTED_VALUE"""),"9. Contrato assinado")</f>
        <v>9. Contrato assinado</v>
      </c>
      <c r="E276" s="4" t="str">
        <f>IFERROR(__xludf.DUMMYFUNCTION("""COMPUTED_VALUE""")," Projetos - Contrato assinado &amp; Rollout")</f>
        <v> Projetos - Contrato assinado &amp; Rollout</v>
      </c>
      <c r="F276" s="4" t="str">
        <f>IFERROR(__xludf.DUMMYFUNCTION("""COMPUTED_VALUE"""),"M")</f>
        <v>M</v>
      </c>
      <c r="G276" s="4"/>
      <c r="H276" s="4"/>
    </row>
    <row r="277">
      <c r="A277" s="4" t="str">
        <f>IFERROR(__xludf.DUMMYFUNCTION("""COMPUTED_VALUE"""),"Burger King")</f>
        <v>Burger King</v>
      </c>
      <c r="B277" s="4" t="str">
        <f>IFERROR(__xludf.DUMMYFUNCTION("""COMPUTED_VALUE"""),"Michel")</f>
        <v>Michel</v>
      </c>
      <c r="C277" s="4" t="str">
        <f>IFERROR(__xludf.DUMMYFUNCTION("""COMPUTED_VALUE"""),"Michel")</f>
        <v>Michel</v>
      </c>
      <c r="D277" s="4" t="str">
        <f>IFERROR(__xludf.DUMMYFUNCTION("""COMPUTED_VALUE"""),"12. Orgânico")</f>
        <v>12. Orgânico</v>
      </c>
      <c r="E277" s="4"/>
      <c r="F277" s="4" t="str">
        <f>IFERROR(__xludf.DUMMYFUNCTION("""COMPUTED_VALUE"""),"M")</f>
        <v>M</v>
      </c>
      <c r="G277" s="4"/>
      <c r="H277" s="4"/>
    </row>
    <row r="278">
      <c r="A278" s="4" t="str">
        <f>IFERROR(__xludf.DUMMYFUNCTION("""COMPUTED_VALUE"""),"By Koji")</f>
        <v>By Koji</v>
      </c>
      <c r="B278" s="4" t="str">
        <f>IFERROR(__xludf.DUMMYFUNCTION("""COMPUTED_VALUE"""),"Ana")</f>
        <v>Ana</v>
      </c>
      <c r="C278" s="4" t="str">
        <f>IFERROR(__xludf.DUMMYFUNCTION("""COMPUTED_VALUE"""),"Ana")</f>
        <v>Ana</v>
      </c>
      <c r="D278" s="4" t="str">
        <f>IFERROR(__xludf.DUMMYFUNCTION("""COMPUTED_VALUE"""),"10. Perdido")</f>
        <v>10. Perdido</v>
      </c>
      <c r="E278" s="4" t="str">
        <f>IFERROR(__xludf.DUMMYFUNCTION("""COMPUTED_VALUE"""),"Perdido - Outro (detalhar ao lado)")</f>
        <v>Perdido - Outro (detalhar ao lado)</v>
      </c>
      <c r="F278" s="4" t="str">
        <f>IFERROR(__xludf.DUMMYFUNCTION("""COMPUTED_VALUE"""),"P")</f>
        <v>P</v>
      </c>
      <c r="G278" s="5">
        <f>IFERROR(__xludf.DUMMYFUNCTION("""COMPUTED_VALUE"""),46076.0)</f>
        <v>46076</v>
      </c>
      <c r="H278" s="4" t="str">
        <f>IFERROR(__xludf.DUMMYFUNCTION("""COMPUTED_VALUE"""),"Quebra de relacionamento com o delivery.")</f>
        <v>Quebra de relacionamento com o delivery.</v>
      </c>
    </row>
    <row r="279">
      <c r="A279" s="4" t="str">
        <f>IFERROR(__xludf.DUMMYFUNCTION("""COMPUTED_VALUE"""),"Cabana")</f>
        <v>Cabana</v>
      </c>
      <c r="B279" s="4" t="str">
        <f>IFERROR(__xludf.DUMMYFUNCTION("""COMPUTED_VALUE"""),"Lídia Esteves")</f>
        <v>Lídia Esteves</v>
      </c>
      <c r="C279" s="4" t="str">
        <f>IFERROR(__xludf.DUMMYFUNCTION("""COMPUTED_VALUE"""),"Gabriela Roma")</f>
        <v>Gabriela Roma</v>
      </c>
      <c r="D279" s="4" t="str">
        <f>IFERROR(__xludf.DUMMYFUNCTION("""COMPUTED_VALUE"""),"10. Perdido")</f>
        <v>10. Perdido</v>
      </c>
      <c r="E279" s="4" t="str">
        <f>IFERROR(__xludf.DUMMYFUNCTION("""COMPUTED_VALUE"""),"Perdido - Falta de aderência técnica")</f>
        <v>Perdido - Falta de aderência técnica</v>
      </c>
      <c r="F279" s="4" t="str">
        <f>IFERROR(__xludf.DUMMYFUNCTION("""COMPUTED_VALUE"""),"P")</f>
        <v>P</v>
      </c>
      <c r="G279" s="5">
        <f>IFERROR(__xludf.DUMMYFUNCTION("""COMPUTED_VALUE"""),46076.0)</f>
        <v>46076</v>
      </c>
      <c r="H279" s="4" t="str">
        <f>IFERROR(__xludf.DUMMYFUNCTION("""COMPUTED_VALUE"""),"Não integramos com Olgatech e não querem se desvincular da funcionalidade contratada.")</f>
        <v>Não integramos com Olgatech e não querem se desvincular da funcionalidade contratada.</v>
      </c>
    </row>
    <row r="280">
      <c r="A280" s="4" t="str">
        <f>IFERROR(__xludf.DUMMYFUNCTION("""COMPUTED_VALUE"""),"California Coffee")</f>
        <v>California Coffee</v>
      </c>
      <c r="B280" s="4" t="str">
        <f>IFERROR(__xludf.DUMMYFUNCTION("""COMPUTED_VALUE"""),"Michel")</f>
        <v>Michel</v>
      </c>
      <c r="C280" s="4" t="str">
        <f>IFERROR(__xludf.DUMMYFUNCTION("""COMPUTED_VALUE"""),"Michel")</f>
        <v>Michel</v>
      </c>
      <c r="D280" s="4" t="str">
        <f>IFERROR(__xludf.DUMMYFUNCTION("""COMPUTED_VALUE"""),"9. Contrato assinado")</f>
        <v>9. Contrato assinado</v>
      </c>
      <c r="E280" s="4" t="str">
        <f>IFERROR(__xludf.DUMMYFUNCTION("""COMPUTED_VALUE"""),"Projetos - Contrato assinado mas com falta de priorização")</f>
        <v>Projetos - Contrato assinado mas com falta de priorização</v>
      </c>
      <c r="F280" s="4" t="str">
        <f>IFERROR(__xludf.DUMMYFUNCTION("""COMPUTED_VALUE"""),"M")</f>
        <v>M</v>
      </c>
      <c r="G280" s="4"/>
      <c r="H280" s="4" t="str">
        <f>IFERROR(__xludf.DUMMYFUNCTION("""COMPUTED_VALUE"""),"Reunião dia 26/02 com os proprietarias da marca ")</f>
        <v>Reunião dia 26/02 com os proprietarias da marca </v>
      </c>
    </row>
    <row r="281">
      <c r="A281" s="4" t="str">
        <f>IFERROR(__xludf.DUMMYFUNCTION("""COMPUTED_VALUE"""),"CANTINA VOLPI")</f>
        <v>CANTINA VOLPI</v>
      </c>
      <c r="B281" s="4" t="str">
        <f>IFERROR(__xludf.DUMMYFUNCTION("""COMPUTED_VALUE"""),"Diego Santos")</f>
        <v>Diego Santos</v>
      </c>
      <c r="C281" s="4" t="str">
        <f>IFERROR(__xludf.DUMMYFUNCTION("""COMPUTED_VALUE"""),"Diego Santos")</f>
        <v>Diego Santos</v>
      </c>
      <c r="D281" s="4" t="str">
        <f>IFERROR(__xludf.DUMMYFUNCTION("""COMPUTED_VALUE"""),"10. Perdido")</f>
        <v>10. Perdido</v>
      </c>
      <c r="E281" s="4" t="str">
        <f>IFERROR(__xludf.DUMMYFUNCTION("""COMPUTED_VALUE"""),"Perdido - Sem perfil LA / 3SCheckout / PDV próprio")</f>
        <v>Perdido - Sem perfil LA / 3SCheckout / PDV próprio</v>
      </c>
      <c r="F281" s="4" t="str">
        <f>IFERROR(__xludf.DUMMYFUNCTION("""COMPUTED_VALUE"""),"P")</f>
        <v>P</v>
      </c>
      <c r="G281" s="5">
        <f>IFERROR(__xludf.DUMMYFUNCTION("""COMPUTED_VALUE"""),46084.0)</f>
        <v>46084</v>
      </c>
      <c r="H281" s="4" t="str">
        <f>IFERROR(__xludf.DUMMYFUNCTION("""COMPUTED_VALUE"""),"Sem perfil LA")</f>
        <v>Sem perfil LA</v>
      </c>
    </row>
    <row r="282">
      <c r="A282" s="4" t="str">
        <f>IFERROR(__xludf.DUMMYFUNCTION("""COMPUTED_VALUE"""),"Cao Veio")</f>
        <v>Cao Veio</v>
      </c>
      <c r="B282" s="4" t="str">
        <f>IFERROR(__xludf.DUMMYFUNCTION("""COMPUTED_VALUE"""),"Ana")</f>
        <v>Ana</v>
      </c>
      <c r="C282" s="4" t="str">
        <f>IFERROR(__xludf.DUMMYFUNCTION("""COMPUTED_VALUE"""),"Ana")</f>
        <v>Ana</v>
      </c>
      <c r="D282" s="4" t="str">
        <f>IFERROR(__xludf.DUMMYFUNCTION("""COMPUTED_VALUE"""),"10. Perdido")</f>
        <v>10. Perdido</v>
      </c>
      <c r="E282" s="4" t="str">
        <f>IFERROR(__xludf.DUMMYFUNCTION("""COMPUTED_VALUE"""),"Perdido -  Momento do restaurante não favorável")</f>
        <v>Perdido -  Momento do restaurante não favorável</v>
      </c>
      <c r="F282" s="4" t="str">
        <f>IFERROR(__xludf.DUMMYFUNCTION("""COMPUTED_VALUE"""),"P")</f>
        <v>P</v>
      </c>
      <c r="G282" s="5">
        <f>IFERROR(__xludf.DUMMYFUNCTION("""COMPUTED_VALUE"""),46076.0)</f>
        <v>46076</v>
      </c>
      <c r="H282" s="4" t="str">
        <f>IFERROR(__xludf.DUMMYFUNCTION("""COMPUTED_VALUE"""),"Parceiro está implementando sistema novo desde ano passado, mudou de pdv há 6 meses. Possivel lead para totem.")</f>
        <v>Parceiro está implementando sistema novo desde ano passado, mudou de pdv há 6 meses. Possivel lead para totem.</v>
      </c>
    </row>
    <row r="283">
      <c r="A283" s="4" t="str">
        <f>IFERROR(__xludf.DUMMYFUNCTION("""COMPUTED_VALUE"""),"Carlos Pizza")</f>
        <v>Carlos Pizza</v>
      </c>
      <c r="B283" s="4" t="str">
        <f>IFERROR(__xludf.DUMMYFUNCTION("""COMPUTED_VALUE"""),"Diego Santos")</f>
        <v>Diego Santos</v>
      </c>
      <c r="C283" s="4" t="str">
        <f>IFERROR(__xludf.DUMMYFUNCTION("""COMPUTED_VALUE"""),"Diego Santos")</f>
        <v>Diego Santos</v>
      </c>
      <c r="D283" s="4" t="str">
        <f>IFERROR(__xludf.DUMMYFUNCTION("""COMPUTED_VALUE"""),"10. Perdido")</f>
        <v>10. Perdido</v>
      </c>
      <c r="E283" s="4" t="str">
        <f>IFERROR(__xludf.DUMMYFUNCTION("""COMPUTED_VALUE"""),"Perdido - Outro (detalhar ao lado)")</f>
        <v>Perdido - Outro (detalhar ao lado)</v>
      </c>
      <c r="F283" s="4" t="str">
        <f>IFERROR(__xludf.DUMMYFUNCTION("""COMPUTED_VALUE"""),"P")</f>
        <v>P</v>
      </c>
      <c r="G283" s="5">
        <f>IFERROR(__xludf.DUMMYFUNCTION("""COMPUTED_VALUE"""),46076.0)</f>
        <v>46076</v>
      </c>
      <c r="H283" s="4" t="str">
        <f>IFERROR(__xludf.DUMMYFUNCTION("""COMPUTED_VALUE"""),"Sem interesse mudar de solução")</f>
        <v>Sem interesse mudar de solução</v>
      </c>
    </row>
    <row r="284">
      <c r="A284" s="4" t="str">
        <f>IFERROR(__xludf.DUMMYFUNCTION("""COMPUTED_VALUE"""),"Casa Brig")</f>
        <v>Casa Brig</v>
      </c>
      <c r="B284" s="4" t="str">
        <f>IFERROR(__xludf.DUMMYFUNCTION("""COMPUTED_VALUE"""),"Diego Santos")</f>
        <v>Diego Santos</v>
      </c>
      <c r="C284" s="4" t="str">
        <f>IFERROR(__xludf.DUMMYFUNCTION("""COMPUTED_VALUE"""),"Diego Santos")</f>
        <v>Diego Santos</v>
      </c>
      <c r="D284" s="4" t="str">
        <f>IFERROR(__xludf.DUMMYFUNCTION("""COMPUTED_VALUE"""),"10. Perdido")</f>
        <v>10. Perdido</v>
      </c>
      <c r="E284" s="4" t="str">
        <f>IFERROR(__xludf.DUMMYFUNCTION("""COMPUTED_VALUE"""),"Perdido - Falta de aderência técnica")</f>
        <v>Perdido - Falta de aderência técnica</v>
      </c>
      <c r="F284" s="4" t="str">
        <f>IFERROR(__xludf.DUMMYFUNCTION("""COMPUTED_VALUE"""),"P")</f>
        <v>P</v>
      </c>
      <c r="G284" s="5">
        <f>IFERROR(__xludf.DUMMYFUNCTION("""COMPUTED_VALUE"""),46076.0)</f>
        <v>46076</v>
      </c>
      <c r="H284" s="4" t="str">
        <f>IFERROR(__xludf.DUMMYFUNCTION("""COMPUTED_VALUE"""),"assinou contrato e declinou ")</f>
        <v>assinou contrato e declinou </v>
      </c>
    </row>
    <row r="285">
      <c r="A285" s="4" t="str">
        <f>IFERROR(__xludf.DUMMYFUNCTION("""COMPUTED_VALUE"""),"Casa Da Pizza")</f>
        <v>Casa Da Pizza</v>
      </c>
      <c r="B285" s="4" t="str">
        <f>IFERROR(__xludf.DUMMYFUNCTION("""COMPUTED_VALUE"""),"Diego Santos")</f>
        <v>Diego Santos</v>
      </c>
      <c r="C285" s="4" t="str">
        <f>IFERROR(__xludf.DUMMYFUNCTION("""COMPUTED_VALUE"""),"Diego Santos")</f>
        <v>Diego Santos</v>
      </c>
      <c r="D285" s="4" t="str">
        <f>IFERROR(__xludf.DUMMYFUNCTION("""COMPUTED_VALUE"""),"9. Contrato assinado")</f>
        <v>9. Contrato assinado</v>
      </c>
      <c r="E285" s="4" t="str">
        <f>IFERROR(__xludf.DUMMYFUNCTION("""COMPUTED_VALUE""")," Projetos - Contrato assinado &amp; Rollout")</f>
        <v> Projetos - Contrato assinado &amp; Rollout</v>
      </c>
      <c r="F285" s="4" t="str">
        <f>IFERROR(__xludf.DUMMYFUNCTION("""COMPUTED_VALUE"""),"P")</f>
        <v>P</v>
      </c>
      <c r="G285" s="5">
        <f>IFERROR(__xludf.DUMMYFUNCTION("""COMPUTED_VALUE"""),46076.0)</f>
        <v>46076</v>
      </c>
      <c r="H285" s="4" t="str">
        <f>IFERROR(__xludf.DUMMYFUNCTION("""COMPUTED_VALUE"""),"Contrato assinado")</f>
        <v>Contrato assinado</v>
      </c>
    </row>
    <row r="286">
      <c r="A286" s="4" t="str">
        <f>IFERROR(__xludf.DUMMYFUNCTION("""COMPUTED_VALUE"""),"Casa Do Pastel")</f>
        <v>Casa Do Pastel</v>
      </c>
      <c r="B286" s="4" t="str">
        <f>IFERROR(__xludf.DUMMYFUNCTION("""COMPUTED_VALUE"""),"Emerson")</f>
        <v>Emerson</v>
      </c>
      <c r="C286" s="4" t="str">
        <f>IFERROR(__xludf.DUMMYFUNCTION("""COMPUTED_VALUE"""),"Emerson")</f>
        <v>Emerson</v>
      </c>
      <c r="D286" s="4" t="str">
        <f>IFERROR(__xludf.DUMMYFUNCTION("""COMPUTED_VALUE"""),"6. Negociação")</f>
        <v>6. Negociação</v>
      </c>
      <c r="E286" s="4"/>
      <c r="F286" s="4" t="str">
        <f>IFERROR(__xludf.DUMMYFUNCTION("""COMPUTED_VALUE"""),"P")</f>
        <v>P</v>
      </c>
      <c r="G286" s="4"/>
      <c r="H286" s="4"/>
    </row>
    <row r="287">
      <c r="A287" s="4" t="str">
        <f>IFERROR(__xludf.DUMMYFUNCTION("""COMPUTED_VALUE"""),"Cepam")</f>
        <v>Cepam</v>
      </c>
      <c r="B287" s="4" t="str">
        <f>IFERROR(__xludf.DUMMYFUNCTION("""COMPUTED_VALUE"""),"Ana")</f>
        <v>Ana</v>
      </c>
      <c r="C287" s="4" t="str">
        <f>IFERROR(__xludf.DUMMYFUNCTION("""COMPUTED_VALUE"""),"Ana")</f>
        <v>Ana</v>
      </c>
      <c r="D287" s="4" t="str">
        <f>IFERROR(__xludf.DUMMYFUNCTION("""COMPUTED_VALUE"""),"10. Perdido")</f>
        <v>10. Perdido</v>
      </c>
      <c r="E287" s="4" t="str">
        <f>IFERROR(__xludf.DUMMYFUNCTION("""COMPUTED_VALUE"""),"Perdido - Sem perfil LA / 3SCheckout / PDV próprio")</f>
        <v>Perdido - Sem perfil LA / 3SCheckout / PDV próprio</v>
      </c>
      <c r="F287" s="4" t="str">
        <f>IFERROR(__xludf.DUMMYFUNCTION("""COMPUTED_VALUE"""),"P")</f>
        <v>P</v>
      </c>
      <c r="G287" s="5">
        <f>IFERROR(__xludf.DUMMYFUNCTION("""COMPUTED_VALUE"""),46076.0)</f>
        <v>46076</v>
      </c>
      <c r="H287" s="4" t="str">
        <f>IFERROR(__xludf.DUMMYFUNCTION("""COMPUTED_VALUE"""),"Sem fit com sistema, padaria muito grande, usam datamax, mais perfil até de varejo nesse primeiro momento. podemos voltar a sondar no próximo ciclo após entender se vale o esforço... cardapio com mais de 1000 itens ativos e 3000 no total, fazem encomendas"&amp;" e etc")</f>
        <v>Sem fit com sistema, padaria muito grande, usam datamax, mais perfil até de varejo nesse primeiro momento. podemos voltar a sondar no próximo ciclo após entender se vale o esforço... cardapio com mais de 1000 itens ativos e 3000 no total, fazem encomendas e etc</v>
      </c>
    </row>
    <row r="288">
      <c r="A288" s="4" t="str">
        <f>IFERROR(__xludf.DUMMYFUNCTION("""COMPUTED_VALUE"""),"Che Barbaro")</f>
        <v>Che Barbaro</v>
      </c>
      <c r="B288" s="4" t="str">
        <f>IFERROR(__xludf.DUMMYFUNCTION("""COMPUTED_VALUE"""),"Ana")</f>
        <v>Ana</v>
      </c>
      <c r="C288" s="4" t="str">
        <f>IFERROR(__xludf.DUMMYFUNCTION("""COMPUTED_VALUE"""),"Ana")</f>
        <v>Ana</v>
      </c>
      <c r="D288" s="4" t="str">
        <f>IFERROR(__xludf.DUMMYFUNCTION("""COMPUTED_VALUE"""),"10. Perdido")</f>
        <v>10. Perdido</v>
      </c>
      <c r="E288" s="4" t="str">
        <f>IFERROR(__xludf.DUMMYFUNCTION("""COMPUTED_VALUE"""),"Perdido - Outro (detalhar ao lado)")</f>
        <v>Perdido - Outro (detalhar ao lado)</v>
      </c>
      <c r="F288" s="4" t="str">
        <f>IFERROR(__xludf.DUMMYFUNCTION("""COMPUTED_VALUE"""),"P")</f>
        <v>P</v>
      </c>
      <c r="G288" s="5">
        <f>IFERROR(__xludf.DUMMYFUNCTION("""COMPUTED_VALUE"""),46076.0)</f>
        <v>46076</v>
      </c>
      <c r="H288" s="4" t="str">
        <f>IFERROR(__xludf.DUMMYFUNCTION("""COMPUTED_VALUE"""),"Utilizam colibri e estão satisfeitos com o PDV e não abriram espaço para troca. Possuem maquinona, podemos aborda-los futuramente com o dine in. ")</f>
        <v>Utilizam colibri e estão satisfeitos com o PDV e não abriram espaço para troca. Possuem maquinona, podemos aborda-los futuramente com o dine in. </v>
      </c>
    </row>
    <row r="289">
      <c r="A289" s="4" t="str">
        <f>IFERROR(__xludf.DUMMYFUNCTION("""COMPUTED_VALUE"""),"Chef Da Empada")</f>
        <v>Chef Da Empada</v>
      </c>
      <c r="B289" s="4" t="str">
        <f>IFERROR(__xludf.DUMMYFUNCTION("""COMPUTED_VALUE"""),"Diego Santos")</f>
        <v>Diego Santos</v>
      </c>
      <c r="C289" s="4" t="str">
        <f>IFERROR(__xludf.DUMMYFUNCTION("""COMPUTED_VALUE"""),"Diego Santos")</f>
        <v>Diego Santos</v>
      </c>
      <c r="D289" s="4" t="str">
        <f>IFERROR(__xludf.DUMMYFUNCTION("""COMPUTED_VALUE"""),"10. Perdido")</f>
        <v>10. Perdido</v>
      </c>
      <c r="E289" s="4" t="str">
        <f>IFERROR(__xludf.DUMMYFUNCTION("""COMPUTED_VALUE"""),"Perdido - Outro (detalhar ao lado)")</f>
        <v>Perdido - Outro (detalhar ao lado)</v>
      </c>
      <c r="F289" s="4" t="str">
        <f>IFERROR(__xludf.DUMMYFUNCTION("""COMPUTED_VALUE"""),"M")</f>
        <v>M</v>
      </c>
      <c r="G289" s="5">
        <f>IFERROR(__xludf.DUMMYFUNCTION("""COMPUTED_VALUE"""),46085.0)</f>
        <v>46085</v>
      </c>
      <c r="H289" s="4" t="str">
        <f>IFERROR(__xludf.DUMMYFUNCTION("""COMPUTED_VALUE"""),"sem interesse em falar sobre o tema")</f>
        <v>sem interesse em falar sobre o tema</v>
      </c>
    </row>
    <row r="290">
      <c r="A290" s="4" t="str">
        <f>IFERROR(__xludf.DUMMYFUNCTION("""COMPUTED_VALUE"""),"Chef Verge")</f>
        <v>Chef Verge</v>
      </c>
      <c r="B290" s="4" t="str">
        <f>IFERROR(__xludf.DUMMYFUNCTION("""COMPUTED_VALUE"""),"Michel")</f>
        <v>Michel</v>
      </c>
      <c r="C290" s="4" t="str">
        <f>IFERROR(__xludf.DUMMYFUNCTION("""COMPUTED_VALUE"""),"Michel")</f>
        <v>Michel</v>
      </c>
      <c r="D290" s="4" t="str">
        <f>IFERROR(__xludf.DUMMYFUNCTION("""COMPUTED_VALUE"""),"12. Orgânico")</f>
        <v>12. Orgânico</v>
      </c>
      <c r="E290" s="4"/>
      <c r="F290" s="4" t="str">
        <f>IFERROR(__xludf.DUMMYFUNCTION("""COMPUTED_VALUE"""),"P")</f>
        <v>P</v>
      </c>
      <c r="G290" s="4"/>
      <c r="H290" s="4"/>
    </row>
    <row r="291">
      <c r="A291" s="4" t="str">
        <f>IFERROR(__xludf.DUMMYFUNCTION("""COMPUTED_VALUE"""),"Chefe Naza")</f>
        <v>Chefe Naza</v>
      </c>
      <c r="B291" s="4" t="str">
        <f>IFERROR(__xludf.DUMMYFUNCTION("""COMPUTED_VALUE"""),"Diego Santos")</f>
        <v>Diego Santos</v>
      </c>
      <c r="C291" s="4" t="str">
        <f>IFERROR(__xludf.DUMMYFUNCTION("""COMPUTED_VALUE"""),"Diego Santos")</f>
        <v>Diego Santos</v>
      </c>
      <c r="D291" s="4" t="str">
        <f>IFERROR(__xludf.DUMMYFUNCTION("""COMPUTED_VALUE"""),"9. Contrato assinado")</f>
        <v>9. Contrato assinado</v>
      </c>
      <c r="E291" s="4" t="str">
        <f>IFERROR(__xludf.DUMMYFUNCTION("""COMPUTED_VALUE"""),"Comercial - Em negociação de proposta")</f>
        <v>Comercial - Em negociação de proposta</v>
      </c>
      <c r="F291" s="4" t="str">
        <f>IFERROR(__xludf.DUMMYFUNCTION("""COMPUTED_VALUE"""),"Sem Classificação")</f>
        <v>Sem Classificação</v>
      </c>
      <c r="G291" s="5">
        <f>IFERROR(__xludf.DUMMYFUNCTION("""COMPUTED_VALUE"""),46111.0)</f>
        <v>46111</v>
      </c>
      <c r="H291" s="4" t="str">
        <f>IFERROR(__xludf.DUMMYFUNCTION("""COMPUTED_VALUE"""),"Realizar Kickoff com o cliente")</f>
        <v>Realizar Kickoff com o cliente</v>
      </c>
    </row>
    <row r="292">
      <c r="A292" s="4" t="str">
        <f>IFERROR(__xludf.DUMMYFUNCTION("""COMPUTED_VALUE"""),"Chiquinho Sorvetes")</f>
        <v>Chiquinho Sorvetes</v>
      </c>
      <c r="B292" s="4" t="str">
        <f>IFERROR(__xludf.DUMMYFUNCTION("""COMPUTED_VALUE"""),"Samuel")</f>
        <v>Samuel</v>
      </c>
      <c r="C292" s="4" t="str">
        <f>IFERROR(__xludf.DUMMYFUNCTION("""COMPUTED_VALUE"""),"Samuel")</f>
        <v>Samuel</v>
      </c>
      <c r="D292" s="4" t="str">
        <f>IFERROR(__xludf.DUMMYFUNCTION("""COMPUTED_VALUE"""),"10. Perdido")</f>
        <v>10. Perdido</v>
      </c>
      <c r="E292" s="4" t="str">
        <f>IFERROR(__xludf.DUMMYFUNCTION("""COMPUTED_VALUE"""),"Perdido - Sem perfil LA / 3SCheckout / PDV próprio")</f>
        <v>Perdido - Sem perfil LA / 3SCheckout / PDV próprio</v>
      </c>
      <c r="F292" s="4" t="str">
        <f>IFERROR(__xludf.DUMMYFUNCTION("""COMPUTED_VALUE"""),"G")</f>
        <v>G</v>
      </c>
      <c r="G292" s="5">
        <f>IFERROR(__xludf.DUMMYFUNCTION("""COMPUTED_VALUE"""),46073.0)</f>
        <v>46073</v>
      </c>
      <c r="H292" s="4" t="str">
        <f>IFERROR(__xludf.DUMMYFUNCTION("""COMPUTED_VALUE"""),"Parceiro com PDV próprio. Com totem VS e iniciaremos abordagem de Comer Fora.")</f>
        <v>Parceiro com PDV próprio. Com totem VS e iniciaremos abordagem de Comer Fora.</v>
      </c>
    </row>
    <row r="293">
      <c r="A293" s="4" t="str">
        <f>IFERROR(__xludf.DUMMYFUNCTION("""COMPUTED_VALUE"""),"Choripan")</f>
        <v>Choripan</v>
      </c>
      <c r="B293" s="4" t="str">
        <f>IFERROR(__xludf.DUMMYFUNCTION("""COMPUTED_VALUE"""),"Iza")</f>
        <v>Iza</v>
      </c>
      <c r="C293" s="4" t="str">
        <f>IFERROR(__xludf.DUMMYFUNCTION("""COMPUTED_VALUE"""),"Iza")</f>
        <v>Iza</v>
      </c>
      <c r="D293" s="4" t="str">
        <f>IFERROR(__xludf.DUMMYFUNCTION("""COMPUTED_VALUE"""),"10. Perdido")</f>
        <v>10. Perdido</v>
      </c>
      <c r="E293" s="4" t="str">
        <f>IFERROR(__xludf.DUMMYFUNCTION("""COMPUTED_VALUE"""),"Perdido - Sem perfil LA / 3SCheckout / PDV próprio")</f>
        <v>Perdido - Sem perfil LA / 3SCheckout / PDV próprio</v>
      </c>
      <c r="F293" s="4" t="str">
        <f>IFERROR(__xludf.DUMMYFUNCTION("""COMPUTED_VALUE"""),"P")</f>
        <v>P</v>
      </c>
      <c r="G293" s="5">
        <f>IFERROR(__xludf.DUMMYFUNCTION("""COMPUTED_VALUE"""),46076.0)</f>
        <v>46076</v>
      </c>
      <c r="H293" s="4" t="str">
        <f>IFERROR(__xludf.DUMMYFUNCTION("""COMPUTED_VALUE"""),"Cliente saipos")</f>
        <v>Cliente saipos</v>
      </c>
    </row>
    <row r="294">
      <c r="A294" s="4" t="str">
        <f>IFERROR(__xludf.DUMMYFUNCTION("""COMPUTED_VALUE"""),"Churras Express")</f>
        <v>Churras Express</v>
      </c>
      <c r="B294" s="4" t="str">
        <f>IFERROR(__xludf.DUMMYFUNCTION("""COMPUTED_VALUE"""),"Diego Santos")</f>
        <v>Diego Santos</v>
      </c>
      <c r="C294" s="4" t="str">
        <f>IFERROR(__xludf.DUMMYFUNCTION("""COMPUTED_VALUE"""),"Diego Santos")</f>
        <v>Diego Santos</v>
      </c>
      <c r="D294" s="4" t="str">
        <f>IFERROR(__xludf.DUMMYFUNCTION("""COMPUTED_VALUE"""),"10. Perdido")</f>
        <v>10. Perdido</v>
      </c>
      <c r="E294" s="4" t="str">
        <f>IFERROR(__xludf.DUMMYFUNCTION("""COMPUTED_VALUE"""),"Perdido -  Momento do restaurante não favorável")</f>
        <v>Perdido -  Momento do restaurante não favorável</v>
      </c>
      <c r="F294" s="4" t="str">
        <f>IFERROR(__xludf.DUMMYFUNCTION("""COMPUTED_VALUE"""),"M")</f>
        <v>M</v>
      </c>
      <c r="G294" s="5">
        <f>IFERROR(__xludf.DUMMYFUNCTION("""COMPUTED_VALUE"""),46080.0)</f>
        <v>46080</v>
      </c>
      <c r="H294" s="4" t="str">
        <f>IFERROR(__xludf.DUMMYFUNCTION("""COMPUTED_VALUE"""),"Estão muito satisfeitos com a ferramenta atual e não há possibilidade no momento de troca.")</f>
        <v>Estão muito satisfeitos com a ferramenta atual e não há possibilidade no momento de troca.</v>
      </c>
    </row>
    <row r="295">
      <c r="A295" s="4" t="str">
        <f>IFERROR(__xludf.DUMMYFUNCTION("""COMPUTED_VALUE"""),"Cia Tradicional Do Comercio")</f>
        <v>Cia Tradicional Do Comercio</v>
      </c>
      <c r="B295" s="4" t="str">
        <f>IFERROR(__xludf.DUMMYFUNCTION("""COMPUTED_VALUE"""),"Michel")</f>
        <v>Michel</v>
      </c>
      <c r="C295" s="4" t="str">
        <f>IFERROR(__xludf.DUMMYFUNCTION("""COMPUTED_VALUE"""),"Michel")</f>
        <v>Michel</v>
      </c>
      <c r="D295" s="4" t="str">
        <f>IFERROR(__xludf.DUMMYFUNCTION("""COMPUTED_VALUE"""),"12. Orgânico")</f>
        <v>12. Orgânico</v>
      </c>
      <c r="E295" s="4"/>
      <c r="F295" s="4" t="str">
        <f>IFERROR(__xludf.DUMMYFUNCTION("""COMPUTED_VALUE"""),"P")</f>
        <v>P</v>
      </c>
      <c r="G295" s="4"/>
      <c r="H295" s="4"/>
    </row>
    <row r="296">
      <c r="A296" s="4" t="str">
        <f>IFERROR(__xludf.DUMMYFUNCTION("""COMPUTED_VALUE"""),"Corrientes 348")</f>
        <v>Corrientes 348</v>
      </c>
      <c r="B296" s="4" t="str">
        <f>IFERROR(__xludf.DUMMYFUNCTION("""COMPUTED_VALUE"""),"Lídia Esteves")</f>
        <v>Lídia Esteves</v>
      </c>
      <c r="C296" s="4" t="str">
        <f>IFERROR(__xludf.DUMMYFUNCTION("""COMPUTED_VALUE"""),"Lídia Esteves")</f>
        <v>Lídia Esteves</v>
      </c>
      <c r="D296" s="4" t="str">
        <f>IFERROR(__xludf.DUMMYFUNCTION("""COMPUTED_VALUE"""),"10. Perdido")</f>
        <v>10. Perdido</v>
      </c>
      <c r="E296" s="4" t="str">
        <f>IFERROR(__xludf.DUMMYFUNCTION("""COMPUTED_VALUE"""),"Perdido - Outro (detalhar ao lado)")</f>
        <v>Perdido - Outro (detalhar ao lado)</v>
      </c>
      <c r="F296" s="4" t="str">
        <f>IFERROR(__xludf.DUMMYFUNCTION("""COMPUTED_VALUE"""),"P")</f>
        <v>P</v>
      </c>
      <c r="G296" s="5">
        <f>IFERROR(__xludf.DUMMYFUNCTION("""COMPUTED_VALUE"""),46076.0)</f>
        <v>46076</v>
      </c>
      <c r="H296" s="4" t="str">
        <f>IFERROR(__xludf.DUMMYFUNCTION("""COMPUTED_VALUE"""),"contrato assinado")</f>
        <v>contrato assinado</v>
      </c>
    </row>
    <row r="297">
      <c r="A297" s="4" t="str">
        <f>IFERROR(__xludf.DUMMYFUNCTION("""COMPUTED_VALUE"""),"Cosechas")</f>
        <v>Cosechas</v>
      </c>
      <c r="B297" s="4" t="str">
        <f>IFERROR(__xludf.DUMMYFUNCTION("""COMPUTED_VALUE"""),"Ana")</f>
        <v>Ana</v>
      </c>
      <c r="C297" s="4" t="str">
        <f>IFERROR(__xludf.DUMMYFUNCTION("""COMPUTED_VALUE"""),"Ana")</f>
        <v>Ana</v>
      </c>
      <c r="D297" s="4" t="str">
        <f>IFERROR(__xludf.DUMMYFUNCTION("""COMPUTED_VALUE"""),"10. Perdido")</f>
        <v>10. Perdido</v>
      </c>
      <c r="E297" s="4" t="str">
        <f>IFERROR(__xludf.DUMMYFUNCTION("""COMPUTED_VALUE"""),"Perdido - Outro (detalhar ao lado)")</f>
        <v>Perdido - Outro (detalhar ao lado)</v>
      </c>
      <c r="F297" s="4" t="str">
        <f>IFERROR(__xludf.DUMMYFUNCTION("""COMPUTED_VALUE"""),"G")</f>
        <v>G</v>
      </c>
      <c r="G297" s="5">
        <f>IFERROR(__xludf.DUMMYFUNCTION("""COMPUTED_VALUE"""),46076.0)</f>
        <v>46076</v>
      </c>
      <c r="H297" s="4" t="str">
        <f>IFERROR(__xludf.DUMMYFUNCTION("""COMPUTED_VALUE"""),"Sem interesse em fazer negociação, cliente opdc, procurando solução no mercado.")</f>
        <v>Sem interesse em fazer negociação, cliente opdc, procurando solução no mercado.</v>
      </c>
    </row>
    <row r="298">
      <c r="A298" s="4" t="str">
        <f>IFERROR(__xludf.DUMMYFUNCTION("""COMPUTED_VALUE"""),"D&amp;P Holding (Master Franquia Bullguer)")</f>
        <v>D&amp;P Holding (Master Franquia Bullguer)</v>
      </c>
      <c r="B298" s="4" t="str">
        <f>IFERROR(__xludf.DUMMYFUNCTION("""COMPUTED_VALUE"""),"Lídia Esteves")</f>
        <v>Lídia Esteves</v>
      </c>
      <c r="C298" s="4" t="str">
        <f>IFERROR(__xludf.DUMMYFUNCTION("""COMPUTED_VALUE"""),"Gabriela Roma")</f>
        <v>Gabriela Roma</v>
      </c>
      <c r="D298" s="4" t="str">
        <f>IFERROR(__xludf.DUMMYFUNCTION("""COMPUTED_VALUE"""),"10. Perdido")</f>
        <v>10. Perdido</v>
      </c>
      <c r="E298" s="4" t="str">
        <f>IFERROR(__xludf.DUMMYFUNCTION("""COMPUTED_VALUE"""),"Perdido - Falta de aderência técnica")</f>
        <v>Perdido - Falta de aderência técnica</v>
      </c>
      <c r="F298" s="4" t="str">
        <f>IFERROR(__xludf.DUMMYFUNCTION("""COMPUTED_VALUE"""),"P")</f>
        <v>P</v>
      </c>
      <c r="G298" s="5">
        <f>IFERROR(__xludf.DUMMYFUNCTION("""COMPUTED_VALUE"""),46076.0)</f>
        <v>46076</v>
      </c>
      <c r="H298" s="4" t="str">
        <f>IFERROR(__xludf.DUMMYFUNCTION("""COMPUTED_VALUE"""),"Usam Teknisa no front (PDV) e ERP, não conseguem desvincular ERP e não integramos com Teknisa")</f>
        <v>Usam Teknisa no front (PDV) e ERP, não conseguem desvincular ERP e não integramos com Teknisa</v>
      </c>
    </row>
    <row r="299">
      <c r="A299" s="4" t="str">
        <f>IFERROR(__xludf.DUMMYFUNCTION("""COMPUTED_VALUE"""),"Debetti")</f>
        <v>Debetti</v>
      </c>
      <c r="B299" s="4" t="str">
        <f>IFERROR(__xludf.DUMMYFUNCTION("""COMPUTED_VALUE"""),"Lídia Esteves")</f>
        <v>Lídia Esteves</v>
      </c>
      <c r="C299" s="4" t="str">
        <f>IFERROR(__xludf.DUMMYFUNCTION("""COMPUTED_VALUE"""),"Lídia Esteves")</f>
        <v>Lídia Esteves</v>
      </c>
      <c r="D299" s="4" t="str">
        <f>IFERROR(__xludf.DUMMYFUNCTION("""COMPUTED_VALUE"""),"10. Perdido")</f>
        <v>10. Perdido</v>
      </c>
      <c r="E299" s="4" t="str">
        <f>IFERROR(__xludf.DUMMYFUNCTION("""COMPUTED_VALUE"""),"Perdido - Outro (detalhar ao lado)")</f>
        <v>Perdido - Outro (detalhar ao lado)</v>
      </c>
      <c r="F299" s="4" t="str">
        <f>IFERROR(__xludf.DUMMYFUNCTION("""COMPUTED_VALUE"""),"P")</f>
        <v>P</v>
      </c>
      <c r="G299" s="5">
        <f>IFERROR(__xludf.DUMMYFUNCTION("""COMPUTED_VALUE"""),46076.0)</f>
        <v>46076</v>
      </c>
      <c r="H299" s="4" t="str">
        <f>IFERROR(__xludf.DUMMYFUNCTION("""COMPUTED_VALUE"""),"Sem interesse em mudar a solução")</f>
        <v>Sem interesse em mudar a solução</v>
      </c>
    </row>
    <row r="300">
      <c r="A300" s="4" t="str">
        <f>IFERROR(__xludf.DUMMYFUNCTION("""COMPUTED_VALUE"""),"Dengo Chocolates")</f>
        <v>Dengo Chocolates</v>
      </c>
      <c r="B300" s="4" t="str">
        <f>IFERROR(__xludf.DUMMYFUNCTION("""COMPUTED_VALUE"""),"Samuel")</f>
        <v>Samuel</v>
      </c>
      <c r="C300" s="4" t="str">
        <f>IFERROR(__xludf.DUMMYFUNCTION("""COMPUTED_VALUE"""),"Samuel")</f>
        <v>Samuel</v>
      </c>
      <c r="D300" s="4" t="str">
        <f>IFERROR(__xludf.DUMMYFUNCTION("""COMPUTED_VALUE"""),"10. Perdido")</f>
        <v>10. Perdido</v>
      </c>
      <c r="E300" s="4" t="str">
        <f>IFERROR(__xludf.DUMMYFUNCTION("""COMPUTED_VALUE"""),"Parceiro - Aguardando retorno / Conciliação agenda")</f>
        <v>Parceiro - Aguardando retorno / Conciliação agenda</v>
      </c>
      <c r="F300" s="4" t="str">
        <f>IFERROR(__xludf.DUMMYFUNCTION("""COMPUTED_VALUE"""),"M")</f>
        <v>M</v>
      </c>
      <c r="G300" s="5">
        <f>IFERROR(__xludf.DUMMYFUNCTION("""COMPUTED_VALUE"""),46073.0)</f>
        <v>46073</v>
      </c>
      <c r="H300" s="4" t="str">
        <f>IFERROR(__xludf.DUMMYFUNCTION("""COMPUTED_VALUE"""),"Abordagem com tomador de decisão a partir de Março/26")</f>
        <v>Abordagem com tomador de decisão a partir de Março/26</v>
      </c>
    </row>
    <row r="301">
      <c r="A301" s="4" t="str">
        <f>IFERROR(__xludf.DUMMYFUNCTION("""COMPUTED_VALUE"""),"Di Blasi")</f>
        <v>Di Blasi</v>
      </c>
      <c r="B301" s="4" t="str">
        <f>IFERROR(__xludf.DUMMYFUNCTION("""COMPUTED_VALUE"""),"Diego Santos")</f>
        <v>Diego Santos</v>
      </c>
      <c r="C301" s="4" t="str">
        <f>IFERROR(__xludf.DUMMYFUNCTION("""COMPUTED_VALUE"""),"Diego Santos")</f>
        <v>Diego Santos</v>
      </c>
      <c r="D301" s="4" t="str">
        <f>IFERROR(__xludf.DUMMYFUNCTION("""COMPUTED_VALUE"""),"10. Perdido")</f>
        <v>10. Perdido</v>
      </c>
      <c r="E301" s="4" t="str">
        <f>IFERROR(__xludf.DUMMYFUNCTION("""COMPUTED_VALUE"""),"Perdido - Outro (detalhar ao lado)")</f>
        <v>Perdido - Outro (detalhar ao lado)</v>
      </c>
      <c r="F301" s="4" t="str">
        <f>IFERROR(__xludf.DUMMYFUNCTION("""COMPUTED_VALUE"""),"P")</f>
        <v>P</v>
      </c>
      <c r="G301" s="5">
        <f>IFERROR(__xludf.DUMMYFUNCTION("""COMPUTED_VALUE"""),46076.0)</f>
        <v>46076</v>
      </c>
      <c r="H301" s="4" t="str">
        <f>IFERROR(__xludf.DUMMYFUNCTION("""COMPUTED_VALUE"""),"Cliente SAIPOS.")</f>
        <v>Cliente SAIPOS.</v>
      </c>
    </row>
    <row r="302">
      <c r="A302" s="4" t="str">
        <f>IFERROR(__xludf.DUMMYFUNCTION("""COMPUTED_VALUE"""),"Dipz")</f>
        <v>Dipz</v>
      </c>
      <c r="B302" s="4" t="str">
        <f>IFERROR(__xludf.DUMMYFUNCTION("""COMPUTED_VALUE"""),"Michel")</f>
        <v>Michel</v>
      </c>
      <c r="C302" s="4" t="str">
        <f>IFERROR(__xludf.DUMMYFUNCTION("""COMPUTED_VALUE"""),"Michel")</f>
        <v>Michel</v>
      </c>
      <c r="D302" s="4" t="str">
        <f>IFERROR(__xludf.DUMMYFUNCTION("""COMPUTED_VALUE"""),"12. Orgânico")</f>
        <v>12. Orgânico</v>
      </c>
      <c r="E302" s="4"/>
      <c r="F302" s="4" t="str">
        <f>IFERROR(__xludf.DUMMYFUNCTION("""COMPUTED_VALUE"""),"P")</f>
        <v>P</v>
      </c>
      <c r="G302" s="4"/>
      <c r="H302" s="4"/>
    </row>
    <row r="303">
      <c r="A303" s="4" t="str">
        <f>IFERROR(__xludf.DUMMYFUNCTION("""COMPUTED_VALUE"""),"Doce Docê")</f>
        <v>Doce Docê</v>
      </c>
      <c r="B303" s="4" t="str">
        <f>IFERROR(__xludf.DUMMYFUNCTION("""COMPUTED_VALUE"""),"Ana")</f>
        <v>Ana</v>
      </c>
      <c r="C303" s="4" t="str">
        <f>IFERROR(__xludf.DUMMYFUNCTION("""COMPUTED_VALUE"""),"Ana")</f>
        <v>Ana</v>
      </c>
      <c r="D303" s="4" t="str">
        <f>IFERROR(__xludf.DUMMYFUNCTION("""COMPUTED_VALUE"""),"10. Perdido")</f>
        <v>10. Perdido</v>
      </c>
      <c r="E303" s="4" t="str">
        <f>IFERROR(__xludf.DUMMYFUNCTION("""COMPUTED_VALUE"""),"Perdido - Outro (detalhar ao lado)")</f>
        <v>Perdido - Outro (detalhar ao lado)</v>
      </c>
      <c r="F303" s="4" t="str">
        <f>IFERROR(__xludf.DUMMYFUNCTION("""COMPUTED_VALUE"""),"Sem Classificação")</f>
        <v>Sem Classificação</v>
      </c>
      <c r="G303" s="5">
        <f>IFERROR(__xludf.DUMMYFUNCTION("""COMPUTED_VALUE"""),46076.0)</f>
        <v>46076</v>
      </c>
      <c r="H303" s="4" t="str">
        <f>IFERROR(__xludf.DUMMYFUNCTION("""COMPUTED_VALUE"""),"Sem contato, ciente opdv, não nos retorna.")</f>
        <v>Sem contato, ciente opdv, não nos retorna.</v>
      </c>
    </row>
    <row r="304">
      <c r="A304" s="4" t="str">
        <f>IFERROR(__xludf.DUMMYFUNCTION("""COMPUTED_VALUE"""),"Dona Baunilha")</f>
        <v>Dona Baunilha</v>
      </c>
      <c r="B304" s="4" t="str">
        <f>IFERROR(__xludf.DUMMYFUNCTION("""COMPUTED_VALUE"""),"Ana")</f>
        <v>Ana</v>
      </c>
      <c r="C304" s="4" t="str">
        <f>IFERROR(__xludf.DUMMYFUNCTION("""COMPUTED_VALUE"""),"Ana")</f>
        <v>Ana</v>
      </c>
      <c r="D304" s="4" t="str">
        <f>IFERROR(__xludf.DUMMYFUNCTION("""COMPUTED_VALUE"""),"13. Reativado")</f>
        <v>13. Reativado</v>
      </c>
      <c r="E304" s="4" t="str">
        <f>IFERROR(__xludf.DUMMYFUNCTION("""COMPUTED_VALUE"""),"Perdido -  Momento do restaurante não favorável")</f>
        <v>Perdido -  Momento do restaurante não favorável</v>
      </c>
      <c r="F304" s="4" t="str">
        <f>IFERROR(__xludf.DUMMYFUNCTION("""COMPUTED_VALUE"""),"P")</f>
        <v>P</v>
      </c>
      <c r="G304" s="5">
        <f>IFERROR(__xludf.DUMMYFUNCTION("""COMPUTED_VALUE"""),46076.0)</f>
        <v>46076</v>
      </c>
      <c r="H304" s="4" t="str">
        <f>IFERROR(__xludf.DUMMYFUNCTION("""COMPUTED_VALUE"""),"Entrei em contato porém parceiro não deu abertura para mudança de PDV atual")</f>
        <v>Entrei em contato porém parceiro não deu abertura para mudança de PDV atual</v>
      </c>
    </row>
    <row r="305">
      <c r="A305" s="4" t="str">
        <f>IFERROR(__xludf.DUMMYFUNCTION("""COMPUTED_VALUE"""),"Eatopia - Patties")</f>
        <v>Eatopia - Patties</v>
      </c>
      <c r="B305" s="4" t="str">
        <f>IFERROR(__xludf.DUMMYFUNCTION("""COMPUTED_VALUE"""),"Michel")</f>
        <v>Michel</v>
      </c>
      <c r="C305" s="4" t="str">
        <f>IFERROR(__xludf.DUMMYFUNCTION("""COMPUTED_VALUE"""),"Michel")</f>
        <v>Michel</v>
      </c>
      <c r="D305" s="4" t="str">
        <f>IFERROR(__xludf.DUMMYFUNCTION("""COMPUTED_VALUE"""),"12. Orgânico")</f>
        <v>12. Orgânico</v>
      </c>
      <c r="E305" s="4"/>
      <c r="F305" s="4" t="str">
        <f>IFERROR(__xludf.DUMMYFUNCTION("""COMPUTED_VALUE"""),"P")</f>
        <v>P</v>
      </c>
      <c r="G305" s="4"/>
      <c r="H305" s="4"/>
    </row>
    <row r="306">
      <c r="A306" s="4" t="str">
        <f>IFERROR(__xludf.DUMMYFUNCTION("""COMPUTED_VALUE"""),"Eggies")</f>
        <v>Eggies</v>
      </c>
      <c r="B306" s="4" t="str">
        <f>IFERROR(__xludf.DUMMYFUNCTION("""COMPUTED_VALUE"""),"Michel")</f>
        <v>Michel</v>
      </c>
      <c r="C306" s="4" t="str">
        <f>IFERROR(__xludf.DUMMYFUNCTION("""COMPUTED_VALUE"""),"Michel")</f>
        <v>Michel</v>
      </c>
      <c r="D306" s="4" t="str">
        <f>IFERROR(__xludf.DUMMYFUNCTION("""COMPUTED_VALUE"""),"10. Perdido")</f>
        <v>10. Perdido</v>
      </c>
      <c r="E306" s="4" t="str">
        <f>IFERROR(__xludf.DUMMYFUNCTION("""COMPUTED_VALUE"""),"Perdido - Falta de aderência técnica")</f>
        <v>Perdido - Falta de aderência técnica</v>
      </c>
      <c r="F306" s="4" t="str">
        <f>IFERROR(__xludf.DUMMYFUNCTION("""COMPUTED_VALUE"""),"P")</f>
        <v>P</v>
      </c>
      <c r="G306" s="4"/>
      <c r="H306" s="4" t="str">
        <f>IFERROR(__xludf.DUMMYFUNCTION("""COMPUTED_VALUE"""),"Restaurante operava com tecnologia Online para baratear hardware , sem aderencua ")</f>
        <v>Restaurante operava com tecnologia Online para baratear hardware , sem aderencua </v>
      </c>
    </row>
    <row r="307">
      <c r="A307" s="4" t="str">
        <f>IFERROR(__xludf.DUMMYFUNCTION("""COMPUTED_VALUE"""),"Ella Pizzaria")</f>
        <v>Ella Pizzaria</v>
      </c>
      <c r="B307" s="4" t="str">
        <f>IFERROR(__xludf.DUMMYFUNCTION("""COMPUTED_VALUE"""),"Iza")</f>
        <v>Iza</v>
      </c>
      <c r="C307" s="4" t="str">
        <f>IFERROR(__xludf.DUMMYFUNCTION("""COMPUTED_VALUE"""),"Iza")</f>
        <v>Iza</v>
      </c>
      <c r="D307" s="4" t="str">
        <f>IFERROR(__xludf.DUMMYFUNCTION("""COMPUTED_VALUE"""),"11. Stand by")</f>
        <v>11. Stand by</v>
      </c>
      <c r="E307" s="4" t="str">
        <f>IFERROR(__xludf.DUMMYFUNCTION("""COMPUTED_VALUE"""),"Perdido - Outro (detalhar ao lado)")</f>
        <v>Perdido - Outro (detalhar ao lado)</v>
      </c>
      <c r="F307" s="4" t="str">
        <f>IFERROR(__xludf.DUMMYFUNCTION("""COMPUTED_VALUE"""),"P")</f>
        <v>P</v>
      </c>
      <c r="G307" s="5">
        <f>IFERROR(__xludf.DUMMYFUNCTION("""COMPUTED_VALUE"""),46126.0)</f>
        <v>46126</v>
      </c>
      <c r="H307" s="4" t="str">
        <f>IFERROR(__xludf.DUMMYFUNCTION("""COMPUTED_VALUE"""),"Cliente Saipos - não atuar")</f>
        <v>Cliente Saipos - não atuar</v>
      </c>
    </row>
    <row r="308">
      <c r="A308" s="4" t="str">
        <f>IFERROR(__xludf.DUMMYFUNCTION("""COMPUTED_VALUE"""),"Empadinhas Express")</f>
        <v>Empadinhas Express</v>
      </c>
      <c r="B308" s="4" t="str">
        <f>IFERROR(__xludf.DUMMYFUNCTION("""COMPUTED_VALUE"""),"Diego Santos")</f>
        <v>Diego Santos</v>
      </c>
      <c r="C308" s="4" t="str">
        <f>IFERROR(__xludf.DUMMYFUNCTION("""COMPUTED_VALUE"""),"Diego Santos")</f>
        <v>Diego Santos</v>
      </c>
      <c r="D308" s="4" t="str">
        <f>IFERROR(__xludf.DUMMYFUNCTION("""COMPUTED_VALUE"""),"10. Perdido")</f>
        <v>10. Perdido</v>
      </c>
      <c r="E308" s="4" t="str">
        <f>IFERROR(__xludf.DUMMYFUNCTION("""COMPUTED_VALUE"""),"Perdido - Proposta comercial não aceita")</f>
        <v>Perdido - Proposta comercial não aceita</v>
      </c>
      <c r="F308" s="4" t="str">
        <f>IFERROR(__xludf.DUMMYFUNCTION("""COMPUTED_VALUE"""),"M")</f>
        <v>M</v>
      </c>
      <c r="G308" s="5">
        <f>IFERROR(__xludf.DUMMYFUNCTION("""COMPUTED_VALUE"""),46076.0)</f>
        <v>46076</v>
      </c>
      <c r="H308" s="4" t="str">
        <f>IFERROR(__xludf.DUMMYFUNCTION("""COMPUTED_VALUE"""),"Não tem caixa pra negociar. Paga 60 reais na solução atual e atende sua necessidade.")</f>
        <v>Não tem caixa pra negociar. Paga 60 reais na solução atual e atende sua necessidade.</v>
      </c>
    </row>
    <row r="309">
      <c r="A309" s="4" t="str">
        <f>IFERROR(__xludf.DUMMYFUNCTION("""COMPUTED_VALUE"""),"Empório Brownie")</f>
        <v>Empório Brownie</v>
      </c>
      <c r="B309" s="4" t="str">
        <f>IFERROR(__xludf.DUMMYFUNCTION("""COMPUTED_VALUE"""),"Michel")</f>
        <v>Michel</v>
      </c>
      <c r="C309" s="4" t="str">
        <f>IFERROR(__xludf.DUMMYFUNCTION("""COMPUTED_VALUE"""),"Michel")</f>
        <v>Michel</v>
      </c>
      <c r="D309" s="4" t="str">
        <f>IFERROR(__xludf.DUMMYFUNCTION("""COMPUTED_VALUE"""),"9. Contrato assinado")</f>
        <v>9. Contrato assinado</v>
      </c>
      <c r="E309" s="4"/>
      <c r="F309" s="4" t="str">
        <f>IFERROR(__xludf.DUMMYFUNCTION("""COMPUTED_VALUE"""),"P")</f>
        <v>P</v>
      </c>
      <c r="G309" s="4"/>
      <c r="H309" s="4"/>
    </row>
    <row r="310">
      <c r="A310" s="4" t="str">
        <f>IFERROR(__xludf.DUMMYFUNCTION("""COMPUTED_VALUE"""),"Engenheiros Bh")</f>
        <v>Engenheiros Bh</v>
      </c>
      <c r="B310" s="4" t="str">
        <f>IFERROR(__xludf.DUMMYFUNCTION("""COMPUTED_VALUE"""),"Diego Santos")</f>
        <v>Diego Santos</v>
      </c>
      <c r="C310" s="4" t="str">
        <f>IFERROR(__xludf.DUMMYFUNCTION("""COMPUTED_VALUE"""),"Diego Santos")</f>
        <v>Diego Santos</v>
      </c>
      <c r="D310" s="4" t="str">
        <f>IFERROR(__xludf.DUMMYFUNCTION("""COMPUTED_VALUE"""),"10. Perdido")</f>
        <v>10. Perdido</v>
      </c>
      <c r="E310" s="4" t="str">
        <f>IFERROR(__xludf.DUMMYFUNCTION("""COMPUTED_VALUE"""),"Perdido - Sem perfil LA / 3SCheckout / PDV próprio")</f>
        <v>Perdido - Sem perfil LA / 3SCheckout / PDV próprio</v>
      </c>
      <c r="F310" s="4" t="str">
        <f>IFERROR(__xludf.DUMMYFUNCTION("""COMPUTED_VALUE"""),"P")</f>
        <v>P</v>
      </c>
      <c r="G310" s="5">
        <f>IFERROR(__xludf.DUMMYFUNCTION("""COMPUTED_VALUE"""),46076.0)</f>
        <v>46076</v>
      </c>
      <c r="H310" s="4" t="str">
        <f>IFERROR(__xludf.DUMMYFUNCTION("""COMPUTED_VALUE"""),"Sem interesse mudar de solução")</f>
        <v>Sem interesse mudar de solução</v>
      </c>
    </row>
    <row r="311">
      <c r="A311" s="4" t="str">
        <f>IFERROR(__xludf.DUMMYFUNCTION("""COMPUTED_VALUE"""),"Esfiha Imigrantes")</f>
        <v>Esfiha Imigrantes</v>
      </c>
      <c r="B311" s="4" t="str">
        <f>IFERROR(__xludf.DUMMYFUNCTION("""COMPUTED_VALUE"""),"Emerson")</f>
        <v>Emerson</v>
      </c>
      <c r="C311" s="4" t="str">
        <f>IFERROR(__xludf.DUMMYFUNCTION("""COMPUTED_VALUE"""),"Emerson")</f>
        <v>Emerson</v>
      </c>
      <c r="D311" s="4" t="str">
        <f>IFERROR(__xludf.DUMMYFUNCTION("""COMPUTED_VALUE"""),"8. Contrato enviado")</f>
        <v>8. Contrato enviado</v>
      </c>
      <c r="E311" s="4"/>
      <c r="F311" s="4" t="str">
        <f>IFERROR(__xludf.DUMMYFUNCTION("""COMPUTED_VALUE"""),"P")</f>
        <v>P</v>
      </c>
      <c r="G311" s="4"/>
      <c r="H311" s="4"/>
    </row>
    <row r="312">
      <c r="A312" s="4" t="str">
        <f>IFERROR(__xludf.DUMMYFUNCTION("""COMPUTED_VALUE"""),"Essen Biergarten/ zapata")</f>
        <v>Essen Biergarten/ zapata</v>
      </c>
      <c r="B312" s="4" t="str">
        <f>IFERROR(__xludf.DUMMYFUNCTION("""COMPUTED_VALUE"""),"Ana")</f>
        <v>Ana</v>
      </c>
      <c r="C312" s="4" t="str">
        <f>IFERROR(__xludf.DUMMYFUNCTION("""COMPUTED_VALUE"""),"Ana")</f>
        <v>Ana</v>
      </c>
      <c r="D312" s="4" t="str">
        <f>IFERROR(__xludf.DUMMYFUNCTION("""COMPUTED_VALUE"""),"10. Perdido")</f>
        <v>10. Perdido</v>
      </c>
      <c r="E312" s="4" t="str">
        <f>IFERROR(__xludf.DUMMYFUNCTION("""COMPUTED_VALUE"""),"Perdido - Outro (detalhar ao lado)")</f>
        <v>Perdido - Outro (detalhar ao lado)</v>
      </c>
      <c r="F312" s="4" t="str">
        <f>IFERROR(__xludf.DUMMYFUNCTION("""COMPUTED_VALUE"""),"P")</f>
        <v>P</v>
      </c>
      <c r="G312" s="5">
        <f>IFERROR(__xludf.DUMMYFUNCTION("""COMPUTED_VALUE"""),46076.0)</f>
        <v>46076</v>
      </c>
      <c r="H312" s="4" t="str">
        <f>IFERROR(__xludf.DUMMYFUNCTION("""COMPUTED_VALUE"""),"sem perfil LA, falamos no ifood day BH. Restauante tem um pdv local que o atende bem, não quis ir pra demonstração")</f>
        <v>sem perfil LA, falamos no ifood day BH. Restauante tem um pdv local que o atende bem, não quis ir pra demonstração</v>
      </c>
    </row>
    <row r="313">
      <c r="A313" s="4" t="str">
        <f>IFERROR(__xludf.DUMMYFUNCTION("""COMPUTED_VALUE"""),"Fábrica de Bares")</f>
        <v>Fábrica de Bares</v>
      </c>
      <c r="B313" s="4" t="str">
        <f>IFERROR(__xludf.DUMMYFUNCTION("""COMPUTED_VALUE"""),"Diego Santos")</f>
        <v>Diego Santos</v>
      </c>
      <c r="C313" s="4" t="str">
        <f>IFERROR(__xludf.DUMMYFUNCTION("""COMPUTED_VALUE"""),"Diego Santos")</f>
        <v>Diego Santos</v>
      </c>
      <c r="D313" s="4" t="str">
        <f>IFERROR(__xludf.DUMMYFUNCTION("""COMPUTED_VALUE"""),"10. Perdido")</f>
        <v>10. Perdido</v>
      </c>
      <c r="E313" s="4" t="str">
        <f>IFERROR(__xludf.DUMMYFUNCTION("""COMPUTED_VALUE"""),"Perdido - Falta de aderência técnica")</f>
        <v>Perdido - Falta de aderência técnica</v>
      </c>
      <c r="F313" s="4" t="str">
        <f>IFERROR(__xludf.DUMMYFUNCTION("""COMPUTED_VALUE"""),"P")</f>
        <v>P</v>
      </c>
      <c r="G313" s="5">
        <f>IFERROR(__xludf.DUMMYFUNCTION("""COMPUTED_VALUE"""),46076.0)</f>
        <v>46076</v>
      </c>
      <c r="H313" s="4" t="str">
        <f>IFERROR(__xludf.DUMMYFUNCTION("""COMPUTED_VALUE"""),"Não atendemos parte técnica.")</f>
        <v>Não atendemos parte técnica.</v>
      </c>
    </row>
    <row r="314">
      <c r="A314" s="4" t="str">
        <f>IFERROR(__xludf.DUMMYFUNCTION("""COMPUTED_VALUE"""),"Fat Guys")</f>
        <v>Fat Guys</v>
      </c>
      <c r="B314" s="4" t="str">
        <f>IFERROR(__xludf.DUMMYFUNCTION("""COMPUTED_VALUE"""),"Michel")</f>
        <v>Michel</v>
      </c>
      <c r="C314" s="4" t="str">
        <f>IFERROR(__xludf.DUMMYFUNCTION("""COMPUTED_VALUE"""),"Michel")</f>
        <v>Michel</v>
      </c>
      <c r="D314" s="4" t="str">
        <f>IFERROR(__xludf.DUMMYFUNCTION("""COMPUTED_VALUE"""),"12. Orgânico")</f>
        <v>12. Orgânico</v>
      </c>
      <c r="E314" s="4"/>
      <c r="F314" s="4" t="str">
        <f>IFERROR(__xludf.DUMMYFUNCTION("""COMPUTED_VALUE"""),"P")</f>
        <v>P</v>
      </c>
      <c r="G314" s="5">
        <f>IFERROR(__xludf.DUMMYFUNCTION("""COMPUTED_VALUE"""),46139.0)</f>
        <v>46139</v>
      </c>
      <c r="H314" s="4" t="str">
        <f>IFERROR(__xludf.DUMMYFUNCTION("""COMPUTED_VALUE"""),"Mudou para Saipos")</f>
        <v>Mudou para Saipos</v>
      </c>
    </row>
    <row r="315">
      <c r="A315" s="4" t="str">
        <f>IFERROR(__xludf.DUMMYFUNCTION("""COMPUTED_VALUE"""),"Fazenda Churrascada")</f>
        <v>Fazenda Churrascada</v>
      </c>
      <c r="B315" s="4" t="str">
        <f>IFERROR(__xludf.DUMMYFUNCTION("""COMPUTED_VALUE"""),"Ana")</f>
        <v>Ana</v>
      </c>
      <c r="C315" s="4" t="str">
        <f>IFERROR(__xludf.DUMMYFUNCTION("""COMPUTED_VALUE"""),"Ana")</f>
        <v>Ana</v>
      </c>
      <c r="D315" s="4" t="str">
        <f>IFERROR(__xludf.DUMMYFUNCTION("""COMPUTED_VALUE"""),"10. Perdido")</f>
        <v>10. Perdido</v>
      </c>
      <c r="E315" s="4" t="str">
        <f>IFERROR(__xludf.DUMMYFUNCTION("""COMPUTED_VALUE"""),"Perdido - Sem perfil LA / 3SCheckout / PDV próprio")</f>
        <v>Perdido - Sem perfil LA / 3SCheckout / PDV próprio</v>
      </c>
      <c r="F315" s="4" t="str">
        <f>IFERROR(__xludf.DUMMYFUNCTION("""COMPUTED_VALUE"""),"P")</f>
        <v>P</v>
      </c>
      <c r="G315" s="5">
        <f>IFERROR(__xludf.DUMMYFUNCTION("""COMPUTED_VALUE"""),46076.0)</f>
        <v>46076</v>
      </c>
      <c r="H315" s="4" t="str">
        <f>IFERROR(__xludf.DUMMYFUNCTION("""COMPUTED_VALUE"""),"Parceiro tem sistema de pdv próprio, sem abertura para apresentar iFood Salão")</f>
        <v>Parceiro tem sistema de pdv próprio, sem abertura para apresentar iFood Salão</v>
      </c>
    </row>
    <row r="316">
      <c r="A316" s="4" t="str">
        <f>IFERROR(__xludf.DUMMYFUNCTION("""COMPUTED_VALUE"""),"Fire House")</f>
        <v>Fire House</v>
      </c>
      <c r="B316" s="4" t="str">
        <f>IFERROR(__xludf.DUMMYFUNCTION("""COMPUTED_VALUE"""),"Michel")</f>
        <v>Michel</v>
      </c>
      <c r="C316" s="4" t="str">
        <f>IFERROR(__xludf.DUMMYFUNCTION("""COMPUTED_VALUE"""),"Michel")</f>
        <v>Michel</v>
      </c>
      <c r="D316" s="4" t="str">
        <f>IFERROR(__xludf.DUMMYFUNCTION("""COMPUTED_VALUE"""),"9. Contrato assinado")</f>
        <v>9. Contrato assinado</v>
      </c>
      <c r="E316" s="4"/>
      <c r="F316" s="4" t="str">
        <f>IFERROR(__xludf.DUMMYFUNCTION("""COMPUTED_VALUE"""),"P")</f>
        <v>P</v>
      </c>
      <c r="G316" s="4"/>
      <c r="H316" s="4"/>
    </row>
    <row r="317">
      <c r="A317" s="4" t="str">
        <f>IFERROR(__xludf.DUMMYFUNCTION("""COMPUTED_VALUE"""),"Fish Market")</f>
        <v>Fish Market</v>
      </c>
      <c r="B317" s="4" t="str">
        <f>IFERROR(__xludf.DUMMYFUNCTION("""COMPUTED_VALUE"""),"Diego Santos")</f>
        <v>Diego Santos</v>
      </c>
      <c r="C317" s="4" t="str">
        <f>IFERROR(__xludf.DUMMYFUNCTION("""COMPUTED_VALUE"""),"Diego Santos")</f>
        <v>Diego Santos</v>
      </c>
      <c r="D317" s="4" t="str">
        <f>IFERROR(__xludf.DUMMYFUNCTION("""COMPUTED_VALUE"""),"9. Contrato assinado")</f>
        <v>9. Contrato assinado</v>
      </c>
      <c r="E317" s="4" t="str">
        <f>IFERROR(__xludf.DUMMYFUNCTION("""COMPUTED_VALUE""")," Projetos - Contrato assinado &amp; Rollout")</f>
        <v> Projetos - Contrato assinado &amp; Rollout</v>
      </c>
      <c r="F317" s="4" t="str">
        <f>IFERROR(__xludf.DUMMYFUNCTION("""COMPUTED_VALUE"""),"P")</f>
        <v>P</v>
      </c>
      <c r="G317" s="5">
        <f>IFERROR(__xludf.DUMMYFUNCTION("""COMPUTED_VALUE"""),46076.0)</f>
        <v>46076</v>
      </c>
      <c r="H317" s="4" t="str">
        <f>IFERROR(__xludf.DUMMYFUNCTION("""COMPUTED_VALUE"""),"Contrato assinado")</f>
        <v>Contrato assinado</v>
      </c>
    </row>
    <row r="318">
      <c r="A318" s="4" t="str">
        <f>IFERROR(__xludf.DUMMYFUNCTION("""COMPUTED_VALUE"""),"Fito - Conta Marca")</f>
        <v>Fito - Conta Marca</v>
      </c>
      <c r="B318" s="4" t="str">
        <f>IFERROR(__xludf.DUMMYFUNCTION("""COMPUTED_VALUE"""),"Iza")</f>
        <v>Iza</v>
      </c>
      <c r="C318" s="4" t="str">
        <f>IFERROR(__xludf.DUMMYFUNCTION("""COMPUTED_VALUE"""),"Iza")</f>
        <v>Iza</v>
      </c>
      <c r="D318" s="4" t="str">
        <f>IFERROR(__xludf.DUMMYFUNCTION("""COMPUTED_VALUE"""),"10. Perdido")</f>
        <v>10. Perdido</v>
      </c>
      <c r="E318" s="4" t="str">
        <f>IFERROR(__xludf.DUMMYFUNCTION("""COMPUTED_VALUE"""),"Perdido - Falta de aderência técnica")</f>
        <v>Perdido - Falta de aderência técnica</v>
      </c>
      <c r="F318" s="4" t="str">
        <f>IFERROR(__xludf.DUMMYFUNCTION("""COMPUTED_VALUE"""),"P")</f>
        <v>P</v>
      </c>
      <c r="G318" s="5">
        <f>IFERROR(__xludf.DUMMYFUNCTION("""COMPUTED_VALUE"""),46076.0)</f>
        <v>46076</v>
      </c>
      <c r="H318" s="4" t="str">
        <f>IFERROR(__xludf.DUMMYFUNCTION("""COMPUTED_VALUE"""),"Está trocando pelo sistema da Eclética e Gula, informou que eles iriam os atender de uma foma mais completa.")</f>
        <v>Está trocando pelo sistema da Eclética e Gula, informou que eles iriam os atender de uma foma mais completa.</v>
      </c>
    </row>
    <row r="319">
      <c r="A319" s="4" t="str">
        <f>IFERROR(__xludf.DUMMYFUNCTION("""COMPUTED_VALUE"""),"Fogo De Chao")</f>
        <v>Fogo De Chao</v>
      </c>
      <c r="B319" s="4" t="str">
        <f>IFERROR(__xludf.DUMMYFUNCTION("""COMPUTED_VALUE"""),"Lídia Esteves")</f>
        <v>Lídia Esteves</v>
      </c>
      <c r="C319" s="4" t="str">
        <f>IFERROR(__xludf.DUMMYFUNCTION("""COMPUTED_VALUE"""),"Lídia Esteves")</f>
        <v>Lídia Esteves</v>
      </c>
      <c r="D319" s="4" t="str">
        <f>IFERROR(__xludf.DUMMYFUNCTION("""COMPUTED_VALUE"""),"10. Perdido")</f>
        <v>10. Perdido</v>
      </c>
      <c r="E319" s="4" t="str">
        <f>IFERROR(__xludf.DUMMYFUNCTION("""COMPUTED_VALUE"""),"Perdido - Outro (detalhar ao lado)")</f>
        <v>Perdido - Outro (detalhar ao lado)</v>
      </c>
      <c r="F319" s="4" t="str">
        <f>IFERROR(__xludf.DUMMYFUNCTION("""COMPUTED_VALUE"""),"P")</f>
        <v>P</v>
      </c>
      <c r="G319" s="5">
        <f>IFERROR(__xludf.DUMMYFUNCTION("""COMPUTED_VALUE"""),46076.0)</f>
        <v>46076</v>
      </c>
      <c r="H319" s="4" t="str">
        <f>IFERROR(__xludf.DUMMYFUNCTION("""COMPUTED_VALUE"""),"Solução propria")</f>
        <v>Solução propria</v>
      </c>
    </row>
    <row r="320">
      <c r="A320" s="4" t="str">
        <f>IFERROR(__xludf.DUMMYFUNCTION("""COMPUTED_VALUE"""),"Formaggio")</f>
        <v>Formaggio</v>
      </c>
      <c r="B320" s="4" t="str">
        <f>IFERROR(__xludf.DUMMYFUNCTION("""COMPUTED_VALUE"""),"Michel")</f>
        <v>Michel</v>
      </c>
      <c r="C320" s="4" t="str">
        <f>IFERROR(__xludf.DUMMYFUNCTION("""COMPUTED_VALUE"""),"Michel")</f>
        <v>Michel</v>
      </c>
      <c r="D320" s="4" t="str">
        <f>IFERROR(__xludf.DUMMYFUNCTION("""COMPUTED_VALUE"""),"12. Orgânico")</f>
        <v>12. Orgânico</v>
      </c>
      <c r="E320" s="4"/>
      <c r="F320" s="4" t="str">
        <f>IFERROR(__xludf.DUMMYFUNCTION("""COMPUTED_VALUE"""),"Sem Classificação")</f>
        <v>Sem Classificação</v>
      </c>
      <c r="G320" s="4"/>
      <c r="H320" s="4"/>
    </row>
    <row r="321">
      <c r="A321" s="4" t="str">
        <f>IFERROR(__xludf.DUMMYFUNCTION("""COMPUTED_VALUE"""),"Frango Americano - Conta Marca")</f>
        <v>Frango Americano - Conta Marca</v>
      </c>
      <c r="B321" s="4" t="str">
        <f>IFERROR(__xludf.DUMMYFUNCTION("""COMPUTED_VALUE"""),"Lídia Esteves")</f>
        <v>Lídia Esteves</v>
      </c>
      <c r="C321" s="4" t="str">
        <f>IFERROR(__xludf.DUMMYFUNCTION("""COMPUTED_VALUE"""),"Emerson")</f>
        <v>Emerson</v>
      </c>
      <c r="D321" s="4" t="str">
        <f>IFERROR(__xludf.DUMMYFUNCTION("""COMPUTED_VALUE"""),"10. Perdido")</f>
        <v>10. Perdido</v>
      </c>
      <c r="E321" s="4"/>
      <c r="F321" s="4" t="str">
        <f>IFERROR(__xludf.DUMMYFUNCTION("""COMPUTED_VALUE"""),"P")</f>
        <v>P</v>
      </c>
      <c r="G321" s="4"/>
      <c r="H321" s="22" t="str">
        <f>IFERROR(__xludf.DUMMYFUNCTION("""COMPUTED_VALUE"""),"parceiro com perfil Saipos , em negociação com Joao")</f>
        <v>parceiro com perfil Saipos , em negociação com Joao</v>
      </c>
    </row>
    <row r="322">
      <c r="A322" s="4" t="str">
        <f>IFERROR(__xludf.DUMMYFUNCTION("""COMPUTED_VALUE"""),"Frango No Pote")</f>
        <v>Frango No Pote</v>
      </c>
      <c r="B322" s="4" t="str">
        <f>IFERROR(__xludf.DUMMYFUNCTION("""COMPUTED_VALUE"""),"Leonardo Roso")</f>
        <v>Leonardo Roso</v>
      </c>
      <c r="C322" s="4" t="str">
        <f>IFERROR(__xludf.DUMMYFUNCTION("""COMPUTED_VALUE"""),"Leonardo Roso")</f>
        <v>Leonardo Roso</v>
      </c>
      <c r="D322" s="4" t="str">
        <f>IFERROR(__xludf.DUMMYFUNCTION("""COMPUTED_VALUE"""),"4. Diagnóstico")</f>
        <v>4. Diagnóstico</v>
      </c>
      <c r="E322" s="4" t="str">
        <f>IFERROR(__xludf.DUMMYFUNCTION("""COMPUTED_VALUE"""),"Comercial - Primeira reunião / Visita presencial agendada")</f>
        <v>Comercial - Primeira reunião / Visita presencial agendada</v>
      </c>
      <c r="F322" s="4" t="str">
        <f>IFERROR(__xludf.DUMMYFUNCTION("""COMPUTED_VALUE"""),"G")</f>
        <v>G</v>
      </c>
      <c r="G322" s="5">
        <f>IFERROR(__xludf.DUMMYFUNCTION("""COMPUTED_VALUE"""),46155.0)</f>
        <v>46155</v>
      </c>
      <c r="H322" s="4" t="str">
        <f>IFERROR(__xludf.DUMMYFUNCTION("""COMPUTED_VALUE"""),"Conciliando agenda com parceiro")</f>
        <v>Conciliando agenda com parceiro</v>
      </c>
    </row>
    <row r="323">
      <c r="A323" s="4" t="str">
        <f>IFERROR(__xludf.DUMMYFUNCTION("""COMPUTED_VALUE"""),"Frevo")</f>
        <v>Frevo</v>
      </c>
      <c r="B323" s="4" t="str">
        <f>IFERROR(__xludf.DUMMYFUNCTION("""COMPUTED_VALUE"""),"Lídia Esteves")</f>
        <v>Lídia Esteves</v>
      </c>
      <c r="C323" s="4" t="str">
        <f>IFERROR(__xludf.DUMMYFUNCTION("""COMPUTED_VALUE"""),"Lídia Esteves")</f>
        <v>Lídia Esteves</v>
      </c>
      <c r="D323" s="4" t="str">
        <f>IFERROR(__xludf.DUMMYFUNCTION("""COMPUTED_VALUE"""),"10. Perdido")</f>
        <v>10. Perdido</v>
      </c>
      <c r="E323" s="4" t="str">
        <f>IFERROR(__xludf.DUMMYFUNCTION("""COMPUTED_VALUE"""),"Perdido - Outro (detalhar ao lado)")</f>
        <v>Perdido - Outro (detalhar ao lado)</v>
      </c>
      <c r="F323" s="4" t="str">
        <f>IFERROR(__xludf.DUMMYFUNCTION("""COMPUTED_VALUE"""),"P")</f>
        <v>P</v>
      </c>
      <c r="G323" s="5">
        <f>IFERROR(__xludf.DUMMYFUNCTION("""COMPUTED_VALUE"""),46076.0)</f>
        <v>46076</v>
      </c>
      <c r="H323" s="4" t="str">
        <f>IFERROR(__xludf.DUMMYFUNCTION("""COMPUTED_VALUE"""),"Mudou de solução pdv em 2025")</f>
        <v>Mudou de solução pdv em 2025</v>
      </c>
    </row>
    <row r="324">
      <c r="A324" s="4" t="str">
        <f>IFERROR(__xludf.DUMMYFUNCTION("""COMPUTED_VALUE"""),"Galpão Padaria Natural")</f>
        <v>Galpão Padaria Natural</v>
      </c>
      <c r="B324" s="4" t="str">
        <f>IFERROR(__xludf.DUMMYFUNCTION("""COMPUTED_VALUE"""),"Iza")</f>
        <v>Iza</v>
      </c>
      <c r="C324" s="4" t="str">
        <f>IFERROR(__xludf.DUMMYFUNCTION("""COMPUTED_VALUE"""),"Iza")</f>
        <v>Iza</v>
      </c>
      <c r="D324" s="4" t="str">
        <f>IFERROR(__xludf.DUMMYFUNCTION("""COMPUTED_VALUE"""),"10. Perdido")</f>
        <v>10. Perdido</v>
      </c>
      <c r="E324" s="4" t="str">
        <f>IFERROR(__xludf.DUMMYFUNCTION("""COMPUTED_VALUE"""),"Perdido -  Momento do restaurante não favorável")</f>
        <v>Perdido -  Momento do restaurante não favorável</v>
      </c>
      <c r="F324" s="4" t="str">
        <f>IFERROR(__xludf.DUMMYFUNCTION("""COMPUTED_VALUE"""),"P")</f>
        <v>P</v>
      </c>
      <c r="G324" s="5">
        <f>IFERROR(__xludf.DUMMYFUNCTION("""COMPUTED_VALUE"""),46076.0)</f>
        <v>46076</v>
      </c>
      <c r="H324" s="4" t="str">
        <f>IFERROR(__xludf.DUMMYFUNCTION("""COMPUTED_VALUE"""),"sem aderência 3S")</f>
        <v>sem aderência 3S</v>
      </c>
    </row>
    <row r="325">
      <c r="A325" s="4" t="str">
        <f>IFERROR(__xludf.DUMMYFUNCTION("""COMPUTED_VALUE"""),"Garden Good Food")</f>
        <v>Garden Good Food</v>
      </c>
      <c r="B325" s="4" t="str">
        <f>IFERROR(__xludf.DUMMYFUNCTION("""COMPUTED_VALUE"""),"Diego Santos")</f>
        <v>Diego Santos</v>
      </c>
      <c r="C325" s="4" t="str">
        <f>IFERROR(__xludf.DUMMYFUNCTION("""COMPUTED_VALUE"""),"Diego Santos")</f>
        <v>Diego Santos</v>
      </c>
      <c r="D325" s="4" t="str">
        <f>IFERROR(__xludf.DUMMYFUNCTION("""COMPUTED_VALUE"""),"10. Perdido")</f>
        <v>10. Perdido</v>
      </c>
      <c r="E325" s="4" t="str">
        <f>IFERROR(__xludf.DUMMYFUNCTION("""COMPUTED_VALUE"""),"Perdido - Sem perfil LA / 3SCheckout / PDV próprio")</f>
        <v>Perdido - Sem perfil LA / 3SCheckout / PDV próprio</v>
      </c>
      <c r="F325" s="4" t="str">
        <f>IFERROR(__xludf.DUMMYFUNCTION("""COMPUTED_VALUE"""),"P")</f>
        <v>P</v>
      </c>
      <c r="G325" s="5">
        <f>IFERROR(__xludf.DUMMYFUNCTION("""COMPUTED_VALUE"""),46076.0)</f>
        <v>46076</v>
      </c>
      <c r="H325" s="4" t="str">
        <f>IFERROR(__xludf.DUMMYFUNCTION("""COMPUTED_VALUE"""),"Recebi o direcionamento da conta vinda de outro executivo e estou abordando o lead pra entender se ainda existe oportunidade.  Já visitar showroom mas não estamos conseguindo avançar.")</f>
        <v>Recebi o direcionamento da conta vinda de outro executivo e estou abordando o lead pra entender se ainda existe oportunidade.  Já visitar showroom mas não estamos conseguindo avançar.</v>
      </c>
    </row>
    <row r="326">
      <c r="A326" s="4" t="str">
        <f>IFERROR(__xludf.DUMMYFUNCTION("""COMPUTED_VALUE"""),"General Prime")</f>
        <v>General Prime</v>
      </c>
      <c r="B326" s="4" t="str">
        <f>IFERROR(__xludf.DUMMYFUNCTION("""COMPUTED_VALUE"""),"Diego Santos")</f>
        <v>Diego Santos</v>
      </c>
      <c r="C326" s="4" t="str">
        <f>IFERROR(__xludf.DUMMYFUNCTION("""COMPUTED_VALUE"""),"Diego Santos")</f>
        <v>Diego Santos</v>
      </c>
      <c r="D326" s="4" t="str">
        <f>IFERROR(__xludf.DUMMYFUNCTION("""COMPUTED_VALUE"""),"10. Perdido")</f>
        <v>10. Perdido</v>
      </c>
      <c r="E326" s="4" t="str">
        <f>IFERROR(__xludf.DUMMYFUNCTION("""COMPUTED_VALUE"""),"Perdido - Outro (detalhar ao lado)")</f>
        <v>Perdido - Outro (detalhar ao lado)</v>
      </c>
      <c r="F326" s="4" t="str">
        <f>IFERROR(__xludf.DUMMYFUNCTION("""COMPUTED_VALUE"""),"P")</f>
        <v>P</v>
      </c>
      <c r="G326" s="5">
        <f>IFERROR(__xludf.DUMMYFUNCTION("""COMPUTED_VALUE"""),46083.0)</f>
        <v>46083</v>
      </c>
      <c r="H326" s="4" t="str">
        <f>IFERROR(__xludf.DUMMYFUNCTION("""COMPUTED_VALUE"""),"Cliente ")</f>
        <v>Cliente </v>
      </c>
    </row>
    <row r="327">
      <c r="A327" s="4" t="str">
        <f>IFERROR(__xludf.DUMMYFUNCTION("""COMPUTED_VALUE"""),"Grupo A Bela Sintra")</f>
        <v>Grupo A Bela Sintra</v>
      </c>
      <c r="B327" s="4" t="str">
        <f>IFERROR(__xludf.DUMMYFUNCTION("""COMPUTED_VALUE"""),"Lídia Esteves")</f>
        <v>Lídia Esteves</v>
      </c>
      <c r="C327" s="4" t="str">
        <f>IFERROR(__xludf.DUMMYFUNCTION("""COMPUTED_VALUE"""),"Lídia Esteves")</f>
        <v>Lídia Esteves</v>
      </c>
      <c r="D327" s="4" t="str">
        <f>IFERROR(__xludf.DUMMYFUNCTION("""COMPUTED_VALUE"""),"10. Perdido")</f>
        <v>10. Perdido</v>
      </c>
      <c r="E327" s="4" t="str">
        <f>IFERROR(__xludf.DUMMYFUNCTION("""COMPUTED_VALUE"""),"Perdido - Outro (detalhar ao lado)")</f>
        <v>Perdido - Outro (detalhar ao lado)</v>
      </c>
      <c r="F327" s="4" t="str">
        <f>IFERROR(__xludf.DUMMYFUNCTION("""COMPUTED_VALUE"""),"P")</f>
        <v>P</v>
      </c>
      <c r="G327" s="5">
        <f>IFERROR(__xludf.DUMMYFUNCTION("""COMPUTED_VALUE"""),46076.0)</f>
        <v>46076</v>
      </c>
      <c r="H327" s="4" t="str">
        <f>IFERROR(__xludf.DUMMYFUNCTION("""COMPUTED_VALUE"""),"Sem interesse em mudar a solução")</f>
        <v>Sem interesse em mudar a solução</v>
      </c>
    </row>
    <row r="328">
      <c r="A328" s="4" t="str">
        <f>IFERROR(__xludf.DUMMYFUNCTION("""COMPUTED_VALUE"""),"Grupo A Quinta Do Marques")</f>
        <v>Grupo A Quinta Do Marques</v>
      </c>
      <c r="B328" s="4" t="str">
        <f>IFERROR(__xludf.DUMMYFUNCTION("""COMPUTED_VALUE"""),"Iza")</f>
        <v>Iza</v>
      </c>
      <c r="C328" s="4" t="str">
        <f>IFERROR(__xludf.DUMMYFUNCTION("""COMPUTED_VALUE"""),"Iza")</f>
        <v>Iza</v>
      </c>
      <c r="D328" s="4" t="str">
        <f>IFERROR(__xludf.DUMMYFUNCTION("""COMPUTED_VALUE"""),"10. Perdido")</f>
        <v>10. Perdido</v>
      </c>
      <c r="E328" s="4" t="str">
        <f>IFERROR(__xludf.DUMMYFUNCTION("""COMPUTED_VALUE"""),"Perdido - Falta de aderência técnica")</f>
        <v>Perdido - Falta de aderência técnica</v>
      </c>
      <c r="F328" s="4" t="str">
        <f>IFERROR(__xludf.DUMMYFUNCTION("""COMPUTED_VALUE"""),"P")</f>
        <v>P</v>
      </c>
      <c r="G328" s="5">
        <f>IFERROR(__xludf.DUMMYFUNCTION("""COMPUTED_VALUE"""),46076.0)</f>
        <v>46076</v>
      </c>
      <c r="H328" s="4" t="str">
        <f>IFERROR(__xludf.DUMMYFUNCTION("""COMPUTED_VALUE"""),"Falta de aderência.")</f>
        <v>Falta de aderência.</v>
      </c>
    </row>
    <row r="329">
      <c r="A329" s="4" t="str">
        <f>IFERROR(__xludf.DUMMYFUNCTION("""COMPUTED_VALUE"""),"Grupo Attivo")</f>
        <v>Grupo Attivo</v>
      </c>
      <c r="B329" s="4" t="str">
        <f>IFERROR(__xludf.DUMMYFUNCTION("""COMPUTED_VALUE"""),"Michel")</f>
        <v>Michel</v>
      </c>
      <c r="C329" s="4" t="str">
        <f>IFERROR(__xludf.DUMMYFUNCTION("""COMPUTED_VALUE"""),"Michel")</f>
        <v>Michel</v>
      </c>
      <c r="D329" s="4" t="str">
        <f>IFERROR(__xludf.DUMMYFUNCTION("""COMPUTED_VALUE"""),"12. Orgânico")</f>
        <v>12. Orgânico</v>
      </c>
      <c r="E329" s="4"/>
      <c r="F329" s="4" t="str">
        <f>IFERROR(__xludf.DUMMYFUNCTION("""COMPUTED_VALUE"""),"P")</f>
        <v>P</v>
      </c>
      <c r="G329" s="4"/>
      <c r="H329" s="4"/>
    </row>
    <row r="330">
      <c r="A330" s="4" t="str">
        <f>IFERROR(__xludf.DUMMYFUNCTION("""COMPUTED_VALUE"""),"Grupo Bella Capri")</f>
        <v>Grupo Bella Capri</v>
      </c>
      <c r="B330" s="4" t="str">
        <f>IFERROR(__xludf.DUMMYFUNCTION("""COMPUTED_VALUE"""),"Iza")</f>
        <v>Iza</v>
      </c>
      <c r="C330" s="4" t="str">
        <f>IFERROR(__xludf.DUMMYFUNCTION("""COMPUTED_VALUE"""),"Iza")</f>
        <v>Iza</v>
      </c>
      <c r="D330" s="4" t="str">
        <f>IFERROR(__xludf.DUMMYFUNCTION("""COMPUTED_VALUE"""),"10. Perdido")</f>
        <v>10. Perdido</v>
      </c>
      <c r="E330" s="4" t="str">
        <f>IFERROR(__xludf.DUMMYFUNCTION("""COMPUTED_VALUE"""),"Perdido - Sem perfil LA / 3SCheckout / PDV próprio")</f>
        <v>Perdido - Sem perfil LA / 3SCheckout / PDV próprio</v>
      </c>
      <c r="F330" s="4" t="str">
        <f>IFERROR(__xludf.DUMMYFUNCTION("""COMPUTED_VALUE"""),"M")</f>
        <v>M</v>
      </c>
      <c r="G330" s="5">
        <f>IFERROR(__xludf.DUMMYFUNCTION("""COMPUTED_VALUE"""),46076.0)</f>
        <v>46076</v>
      </c>
      <c r="H330" s="4" t="str">
        <f>IFERROR(__xludf.DUMMYFUNCTION("""COMPUTED_VALUE"""),"Ja possuem sistema próprio.")</f>
        <v>Ja possuem sistema próprio.</v>
      </c>
    </row>
    <row r="331">
      <c r="A331" s="4" t="str">
        <f>IFERROR(__xludf.DUMMYFUNCTION("""COMPUTED_VALUE"""),"Grupo Carlos Bakery")</f>
        <v>Grupo Carlos Bakery</v>
      </c>
      <c r="B331" s="4" t="str">
        <f>IFERROR(__xludf.DUMMYFUNCTION("""COMPUTED_VALUE"""),"Lídia Esteves")</f>
        <v>Lídia Esteves</v>
      </c>
      <c r="C331" s="4" t="str">
        <f>IFERROR(__xludf.DUMMYFUNCTION("""COMPUTED_VALUE"""),"Lídia Esteves")</f>
        <v>Lídia Esteves</v>
      </c>
      <c r="D331" s="4" t="str">
        <f>IFERROR(__xludf.DUMMYFUNCTION("""COMPUTED_VALUE"""),"10. Perdido")</f>
        <v>10. Perdido</v>
      </c>
      <c r="E331" s="4" t="str">
        <f>IFERROR(__xludf.DUMMYFUNCTION("""COMPUTED_VALUE"""),"Perdido - Proposta comercial não aceita")</f>
        <v>Perdido - Proposta comercial não aceita</v>
      </c>
      <c r="F331" s="4" t="str">
        <f>IFERROR(__xludf.DUMMYFUNCTION("""COMPUTED_VALUE"""),"P")</f>
        <v>P</v>
      </c>
      <c r="G331" s="5">
        <f>IFERROR(__xludf.DUMMYFUNCTION("""COMPUTED_VALUE"""),46076.0)</f>
        <v>46076</v>
      </c>
      <c r="H331" s="4" t="str">
        <f>IFERROR(__xludf.DUMMYFUNCTION("""COMPUTED_VALUE"""),"Fechou no concorrente com preço menor.")</f>
        <v>Fechou no concorrente com preço menor.</v>
      </c>
    </row>
    <row r="332">
      <c r="A332" s="4" t="str">
        <f>IFERROR(__xludf.DUMMYFUNCTION("""COMPUTED_VALUE"""),"Grupo Dog Do Barto")</f>
        <v>Grupo Dog Do Barto</v>
      </c>
      <c r="B332" s="4" t="str">
        <f>IFERROR(__xludf.DUMMYFUNCTION("""COMPUTED_VALUE"""),"Lídia Esteves")</f>
        <v>Lídia Esteves</v>
      </c>
      <c r="C332" s="4" t="str">
        <f>IFERROR(__xludf.DUMMYFUNCTION("""COMPUTED_VALUE"""),"Lídia Esteves")</f>
        <v>Lídia Esteves</v>
      </c>
      <c r="D332" s="4" t="str">
        <f>IFERROR(__xludf.DUMMYFUNCTION("""COMPUTED_VALUE"""),"10. Perdido")</f>
        <v>10. Perdido</v>
      </c>
      <c r="E332" s="4" t="str">
        <f>IFERROR(__xludf.DUMMYFUNCTION("""COMPUTED_VALUE"""),"Perdido -  Momento do restaurante não favorável")</f>
        <v>Perdido -  Momento do restaurante não favorável</v>
      </c>
      <c r="F332" s="4" t="str">
        <f>IFERROR(__xludf.DUMMYFUNCTION("""COMPUTED_VALUE"""),"P")</f>
        <v>P</v>
      </c>
      <c r="G332" s="5">
        <f>IFERROR(__xludf.DUMMYFUNCTION("""COMPUTED_VALUE"""),46076.0)</f>
        <v>46076</v>
      </c>
      <c r="H332" s="4" t="str">
        <f>IFERROR(__xludf.DUMMYFUNCTION("""COMPUTED_VALUE"""),"Cliente recebeu proposta mas comentou que não consegue sair do atual sistema dele.")</f>
        <v>Cliente recebeu proposta mas comentou que não consegue sair do atual sistema dele.</v>
      </c>
    </row>
    <row r="333">
      <c r="A333" s="4" t="str">
        <f>IFERROR(__xludf.DUMMYFUNCTION("""COMPUTED_VALUE"""),"Grupo Kero")</f>
        <v>Grupo Kero</v>
      </c>
      <c r="B333" s="4" t="str">
        <f>IFERROR(__xludf.DUMMYFUNCTION("""COMPUTED_VALUE"""),"Ana")</f>
        <v>Ana</v>
      </c>
      <c r="C333" s="4" t="str">
        <f>IFERROR(__xludf.DUMMYFUNCTION("""COMPUTED_VALUE"""),"Ana")</f>
        <v>Ana</v>
      </c>
      <c r="D333" s="4" t="str">
        <f>IFERROR(__xludf.DUMMYFUNCTION("""COMPUTED_VALUE"""),"10. Perdido")</f>
        <v>10. Perdido</v>
      </c>
      <c r="E333" s="4" t="str">
        <f>IFERROR(__xludf.DUMMYFUNCTION("""COMPUTED_VALUE"""),"Perdido - Outro (detalhar ao lado)")</f>
        <v>Perdido - Outro (detalhar ao lado)</v>
      </c>
      <c r="F333" s="4" t="str">
        <f>IFERROR(__xludf.DUMMYFUNCTION("""COMPUTED_VALUE"""),"P")</f>
        <v>P</v>
      </c>
      <c r="G333" s="5">
        <f>IFERROR(__xludf.DUMMYFUNCTION("""COMPUTED_VALUE"""),46076.0)</f>
        <v>46076</v>
      </c>
      <c r="H333" s="4" t="str">
        <f>IFERROR(__xludf.DUMMYFUNCTION("""COMPUTED_VALUE"""),"Cliente saipos")</f>
        <v>Cliente saipos</v>
      </c>
    </row>
    <row r="334">
      <c r="A334" s="4" t="str">
        <f>IFERROR(__xludf.DUMMYFUNCTION("""COMPUTED_VALUE"""),"Grupo Kosho")</f>
        <v>Grupo Kosho</v>
      </c>
      <c r="B334" s="4" t="str">
        <f>IFERROR(__xludf.DUMMYFUNCTION("""COMPUTED_VALUE"""),"Ana")</f>
        <v>Ana</v>
      </c>
      <c r="C334" s="4" t="str">
        <f>IFERROR(__xludf.DUMMYFUNCTION("""COMPUTED_VALUE"""),"Ana")</f>
        <v>Ana</v>
      </c>
      <c r="D334" s="4" t="str">
        <f>IFERROR(__xludf.DUMMYFUNCTION("""COMPUTED_VALUE"""),"10. Perdido")</f>
        <v>10. Perdido</v>
      </c>
      <c r="E334" s="4" t="str">
        <f>IFERROR(__xludf.DUMMYFUNCTION("""COMPUTED_VALUE"""),"Perdido - Outro (detalhar ao lado)")</f>
        <v>Perdido - Outro (detalhar ao lado)</v>
      </c>
      <c r="F334" s="4" t="str">
        <f>IFERROR(__xludf.DUMMYFUNCTION("""COMPUTED_VALUE"""),"P")</f>
        <v>P</v>
      </c>
      <c r="G334" s="5">
        <f>IFERROR(__xludf.DUMMYFUNCTION("""COMPUTED_VALUE"""),46076.0)</f>
        <v>46076</v>
      </c>
      <c r="H334" s="4" t="str">
        <f>IFERROR(__xludf.DUMMYFUNCTION("""COMPUTED_VALUE"""),"Parceiro usa colibri e concorrente desenvolveu dor que o parceiro tinha e ele decidiu manter com o atual fornecedor.")</f>
        <v>Parceiro usa colibri e concorrente desenvolveu dor que o parceiro tinha e ele decidiu manter com o atual fornecedor.</v>
      </c>
    </row>
    <row r="335">
      <c r="A335" s="4" t="str">
        <f>IFERROR(__xludf.DUMMYFUNCTION("""COMPUTED_VALUE"""),"Grupo Le Jazz")</f>
        <v>Grupo Le Jazz</v>
      </c>
      <c r="B335" s="4" t="str">
        <f>IFERROR(__xludf.DUMMYFUNCTION("""COMPUTED_VALUE"""),"Ana")</f>
        <v>Ana</v>
      </c>
      <c r="C335" s="4" t="str">
        <f>IFERROR(__xludf.DUMMYFUNCTION("""COMPUTED_VALUE"""),"Ana")</f>
        <v>Ana</v>
      </c>
      <c r="D335" s="4" t="str">
        <f>IFERROR(__xludf.DUMMYFUNCTION("""COMPUTED_VALUE"""),"10. Perdido")</f>
        <v>10. Perdido</v>
      </c>
      <c r="E335" s="4" t="str">
        <f>IFERROR(__xludf.DUMMYFUNCTION("""COMPUTED_VALUE"""),"Perdido - Outro (detalhar ao lado)")</f>
        <v>Perdido - Outro (detalhar ao lado)</v>
      </c>
      <c r="F335" s="4" t="str">
        <f>IFERROR(__xludf.DUMMYFUNCTION("""COMPUTED_VALUE"""),"P")</f>
        <v>P</v>
      </c>
      <c r="G335" s="5">
        <f>IFERROR(__xludf.DUMMYFUNCTION("""COMPUTED_VALUE"""),46076.0)</f>
        <v>46076</v>
      </c>
      <c r="H335" s="4" t="str">
        <f>IFERROR(__xludf.DUMMYFUNCTION("""COMPUTED_VALUE"""),"Satisfeito com o Gula Menu. Sem interesse em mudar.")</f>
        <v>Satisfeito com o Gula Menu. Sem interesse em mudar.</v>
      </c>
    </row>
    <row r="336">
      <c r="A336" s="4" t="str">
        <f>IFERROR(__xludf.DUMMYFUNCTION("""COMPUTED_VALUE"""),"Grupo Nakka")</f>
        <v>Grupo Nakka</v>
      </c>
      <c r="B336" s="4" t="str">
        <f>IFERROR(__xludf.DUMMYFUNCTION("""COMPUTED_VALUE"""),"Ana")</f>
        <v>Ana</v>
      </c>
      <c r="C336" s="4" t="str">
        <f>IFERROR(__xludf.DUMMYFUNCTION("""COMPUTED_VALUE"""),"Ana")</f>
        <v>Ana</v>
      </c>
      <c r="D336" s="4" t="str">
        <f>IFERROR(__xludf.DUMMYFUNCTION("""COMPUTED_VALUE"""),"12. Orgânico")</f>
        <v>12. Orgânico</v>
      </c>
      <c r="E336" s="4" t="str">
        <f>IFERROR(__xludf.DUMMYFUNCTION("""COMPUTED_VALUE""")," Projetos - Contrato assinado &amp; Rollout")</f>
        <v> Projetos - Contrato assinado &amp; Rollout</v>
      </c>
      <c r="F336" s="4" t="str">
        <f>IFERROR(__xludf.DUMMYFUNCTION("""COMPUTED_VALUE"""),"P")</f>
        <v>P</v>
      </c>
      <c r="G336" s="5">
        <f>IFERROR(__xludf.DUMMYFUNCTION("""COMPUTED_VALUE"""),46076.0)</f>
        <v>46076</v>
      </c>
      <c r="H336" s="4" t="str">
        <f>IFERROR(__xludf.DUMMYFUNCTION("""COMPUTED_VALUE"""),"contrato assinado")</f>
        <v>contrato assinado</v>
      </c>
    </row>
    <row r="337">
      <c r="A337" s="4" t="str">
        <f>IFERROR(__xludf.DUMMYFUNCTION("""COMPUTED_VALUE"""),"Grupo Rao")</f>
        <v>Grupo Rao</v>
      </c>
      <c r="B337" s="4" t="str">
        <f>IFERROR(__xludf.DUMMYFUNCTION("""COMPUTED_VALUE"""),"Leonardo Roso")</f>
        <v>Leonardo Roso</v>
      </c>
      <c r="C337" s="4" t="str">
        <f>IFERROR(__xludf.DUMMYFUNCTION("""COMPUTED_VALUE"""),"Leonardo Roso")</f>
        <v>Leonardo Roso</v>
      </c>
      <c r="D337" s="4" t="str">
        <f>IFERROR(__xludf.DUMMYFUNCTION("""COMPUTED_VALUE"""),"10. Perdido")</f>
        <v>10. Perdido</v>
      </c>
      <c r="E337" s="4" t="str">
        <f>IFERROR(__xludf.DUMMYFUNCTION("""COMPUTED_VALUE"""),"Perdido - Sem perfil LA / 3SCheckout / PDV próprio")</f>
        <v>Perdido - Sem perfil LA / 3SCheckout / PDV próprio</v>
      </c>
      <c r="F337" s="4" t="str">
        <f>IFERROR(__xludf.DUMMYFUNCTION("""COMPUTED_VALUE"""),"G")</f>
        <v>G</v>
      </c>
      <c r="G337" s="4"/>
      <c r="H337" s="22" t="str">
        <f>IFERROR(__xludf.DUMMYFUNCTION("""COMPUTED_VALUE"""),"Possui PDV próprio, não faz sentido acionamento")</f>
        <v>Possui PDV próprio, não faz sentido acionamento</v>
      </c>
    </row>
    <row r="338">
      <c r="A338" s="4" t="str">
        <f>IFERROR(__xludf.DUMMYFUNCTION("""COMPUTED_VALUE"""),"Grupo Ristorantino")</f>
        <v>Grupo Ristorantino</v>
      </c>
      <c r="B338" s="4" t="str">
        <f>IFERROR(__xludf.DUMMYFUNCTION("""COMPUTED_VALUE"""),"Iza")</f>
        <v>Iza</v>
      </c>
      <c r="C338" s="4" t="str">
        <f>IFERROR(__xludf.DUMMYFUNCTION("""COMPUTED_VALUE"""),"Iza")</f>
        <v>Iza</v>
      </c>
      <c r="D338" s="4" t="str">
        <f>IFERROR(__xludf.DUMMYFUNCTION("""COMPUTED_VALUE"""),"10. Perdido")</f>
        <v>10. Perdido</v>
      </c>
      <c r="E338" s="4" t="str">
        <f>IFERROR(__xludf.DUMMYFUNCTION("""COMPUTED_VALUE"""),"Perdido - Outro (detalhar ao lado)")</f>
        <v>Perdido - Outro (detalhar ao lado)</v>
      </c>
      <c r="F338" s="4" t="str">
        <f>IFERROR(__xludf.DUMMYFUNCTION("""COMPUTED_VALUE"""),"P")</f>
        <v>P</v>
      </c>
      <c r="G338" s="5">
        <f>IFERROR(__xludf.DUMMYFUNCTION("""COMPUTED_VALUE"""),46076.0)</f>
        <v>46076</v>
      </c>
      <c r="H338" s="4" t="str">
        <f>IFERROR(__xludf.DUMMYFUNCTION("""COMPUTED_VALUE"""),"Fechou com concorrente.")</f>
        <v>Fechou com concorrente.</v>
      </c>
    </row>
    <row r="339">
      <c r="A339" s="4" t="str">
        <f>IFERROR(__xludf.DUMMYFUNCTION("""COMPUTED_VALUE"""),"Grupo Tradi")</f>
        <v>Grupo Tradi</v>
      </c>
      <c r="B339" s="4" t="str">
        <f>IFERROR(__xludf.DUMMYFUNCTION("""COMPUTED_VALUE"""),"Ana")</f>
        <v>Ana</v>
      </c>
      <c r="C339" s="4" t="str">
        <f>IFERROR(__xludf.DUMMYFUNCTION("""COMPUTED_VALUE"""),"Ana")</f>
        <v>Ana</v>
      </c>
      <c r="D339" s="4" t="str">
        <f>IFERROR(__xludf.DUMMYFUNCTION("""COMPUTED_VALUE"""),"10. Perdido")</f>
        <v>10. Perdido</v>
      </c>
      <c r="E339" s="4" t="str">
        <f>IFERROR(__xludf.DUMMYFUNCTION("""COMPUTED_VALUE"""),"Perdido -  Momento do restaurante não favorável")</f>
        <v>Perdido -  Momento do restaurante não favorável</v>
      </c>
      <c r="F339" s="4" t="str">
        <f>IFERROR(__xludf.DUMMYFUNCTION("""COMPUTED_VALUE"""),"P")</f>
        <v>P</v>
      </c>
      <c r="G339" s="5">
        <f>IFERROR(__xludf.DUMMYFUNCTION("""COMPUTED_VALUE"""),46076.0)</f>
        <v>46076</v>
      </c>
      <c r="H339" s="4" t="str">
        <f>IFERROR(__xludf.DUMMYFUNCTION("""COMPUTED_VALUE"""),"Perdido por relaciomanento delivery. Quebra exclusividade.")</f>
        <v>Perdido por relaciomanento delivery. Quebra exclusividade.</v>
      </c>
    </row>
    <row r="340">
      <c r="A340" s="4" t="str">
        <f>IFERROR(__xludf.DUMMYFUNCTION("""COMPUTED_VALUE"""),"Grupo Trigo/Trends (Spoleto, China, Gendai)")</f>
        <v>Grupo Trigo/Trends (Spoleto, China, Gendai)</v>
      </c>
      <c r="B340" s="4" t="str">
        <f>IFERROR(__xludf.DUMMYFUNCTION("""COMPUTED_VALUE"""),"Samuel")</f>
        <v>Samuel</v>
      </c>
      <c r="C340" s="4" t="str">
        <f>IFERROR(__xludf.DUMMYFUNCTION("""COMPUTED_VALUE"""),"Samuel")</f>
        <v>Samuel</v>
      </c>
      <c r="D340" s="4" t="str">
        <f>IFERROR(__xludf.DUMMYFUNCTION("""COMPUTED_VALUE"""),"10. Perdido")</f>
        <v>10. Perdido</v>
      </c>
      <c r="E340" s="4" t="str">
        <f>IFERROR(__xludf.DUMMYFUNCTION("""COMPUTED_VALUE"""),"Perdido -  Momento do restaurante não favorável")</f>
        <v>Perdido -  Momento do restaurante não favorável</v>
      </c>
      <c r="F340" s="4" t="str">
        <f>IFERROR(__xludf.DUMMYFUNCTION("""COMPUTED_VALUE"""),"G")</f>
        <v>G</v>
      </c>
      <c r="G340" s="5">
        <f>IFERROR(__xludf.DUMMYFUNCTION("""COMPUTED_VALUE"""),46073.0)</f>
        <v>46073</v>
      </c>
      <c r="H340" s="4" t="str">
        <f>IFERROR(__xludf.DUMMYFUNCTION("""COMPUTED_VALUE"""),"Parceiro com Gcom - Não é estratégico atacar com PDV nesse momento. Com totem VS e iniciaremos abordagem de Comer Fora.")</f>
        <v>Parceiro com Gcom - Não é estratégico atacar com PDV nesse momento. Com totem VS e iniciaremos abordagem de Comer Fora.</v>
      </c>
    </row>
    <row r="341">
      <c r="A341" s="4" t="str">
        <f>IFERROR(__xludf.DUMMYFUNCTION("""COMPUTED_VALUE"""),"Grupo Vivant")</f>
        <v>Grupo Vivant</v>
      </c>
      <c r="B341" s="4" t="str">
        <f>IFERROR(__xludf.DUMMYFUNCTION("""COMPUTED_VALUE"""),"Diego Santos")</f>
        <v>Diego Santos</v>
      </c>
      <c r="C341" s="4" t="str">
        <f>IFERROR(__xludf.DUMMYFUNCTION("""COMPUTED_VALUE"""),"Diego Santos")</f>
        <v>Diego Santos</v>
      </c>
      <c r="D341" s="4" t="str">
        <f>IFERROR(__xludf.DUMMYFUNCTION("""COMPUTED_VALUE"""),"10. Perdido")</f>
        <v>10. Perdido</v>
      </c>
      <c r="E341" s="4" t="str">
        <f>IFERROR(__xludf.DUMMYFUNCTION("""COMPUTED_VALUE"""),"Perdido - Outro (detalhar ao lado)")</f>
        <v>Perdido - Outro (detalhar ao lado)</v>
      </c>
      <c r="F341" s="4" t="str">
        <f>IFERROR(__xludf.DUMMYFUNCTION("""COMPUTED_VALUE"""),"P")</f>
        <v>P</v>
      </c>
      <c r="G341" s="5">
        <f>IFERROR(__xludf.DUMMYFUNCTION("""COMPUTED_VALUE"""),46076.0)</f>
        <v>46076</v>
      </c>
      <c r="H341" s="4" t="str">
        <f>IFERROR(__xludf.DUMMYFUNCTION("""COMPUTED_VALUE"""),"Cliente é amigo pessoa do dono da Teknisa, e já tinha sido contactado pela lidia e falou que não tem interesse nenhum em trocar solução. ")</f>
        <v>Cliente é amigo pessoa do dono da Teknisa, e já tinha sido contactado pela lidia e falou que não tem interesse nenhum em trocar solução. </v>
      </c>
    </row>
    <row r="342">
      <c r="A342" s="4" t="str">
        <f>IFERROR(__xludf.DUMMYFUNCTION("""COMPUTED_VALUE"""),"Grupo Z+")</f>
        <v>Grupo Z+</v>
      </c>
      <c r="B342" s="4" t="str">
        <f>IFERROR(__xludf.DUMMYFUNCTION("""COMPUTED_VALUE"""),"Leonardo Roso")</f>
        <v>Leonardo Roso</v>
      </c>
      <c r="C342" s="4" t="str">
        <f>IFERROR(__xludf.DUMMYFUNCTION("""COMPUTED_VALUE"""),"Leonardo Roso")</f>
        <v>Leonardo Roso</v>
      </c>
      <c r="D342" s="4" t="str">
        <f>IFERROR(__xludf.DUMMYFUNCTION("""COMPUTED_VALUE"""),"2. Primeiro Contato com a marca")</f>
        <v>2. Primeiro Contato com a marca</v>
      </c>
      <c r="E342" s="4" t="str">
        <f>IFERROR(__xludf.DUMMYFUNCTION("""COMPUTED_VALUE"""),"Parceiro - Aguardando retorno parceiro")</f>
        <v>Parceiro - Aguardando retorno parceiro</v>
      </c>
      <c r="F342" s="4" t="str">
        <f>IFERROR(__xludf.DUMMYFUNCTION("""COMPUTED_VALUE"""),"G")</f>
        <v>G</v>
      </c>
      <c r="G342" s="5">
        <f>IFERROR(__xludf.DUMMYFUNCTION("""COMPUTED_VALUE"""),46155.0)</f>
        <v>46155</v>
      </c>
      <c r="H342" s="4" t="str">
        <f>IFERROR(__xludf.DUMMYFUNCTION("""COMPUTED_VALUE"""),"Aguardando agenda do parceiro para novo contato")</f>
        <v>Aguardando agenda do parceiro para novo contato</v>
      </c>
    </row>
    <row r="343">
      <c r="A343" s="4" t="str">
        <f>IFERROR(__xludf.DUMMYFUNCTION("""COMPUTED_VALUE"""),"Gua .Co")</f>
        <v>Gua .Co</v>
      </c>
      <c r="B343" s="4" t="str">
        <f>IFERROR(__xludf.DUMMYFUNCTION("""COMPUTED_VALUE"""),"Michel")</f>
        <v>Michel</v>
      </c>
      <c r="C343" s="4" t="str">
        <f>IFERROR(__xludf.DUMMYFUNCTION("""COMPUTED_VALUE"""),"Michel")</f>
        <v>Michel</v>
      </c>
      <c r="D343" s="4" t="str">
        <f>IFERROR(__xludf.DUMMYFUNCTION("""COMPUTED_VALUE"""),"12. Orgânico")</f>
        <v>12. Orgânico</v>
      </c>
      <c r="E343" s="4"/>
      <c r="F343" s="4" t="str">
        <f>IFERROR(__xludf.DUMMYFUNCTION("""COMPUTED_VALUE"""),"P")</f>
        <v>P</v>
      </c>
      <c r="G343" s="4"/>
      <c r="H343" s="4"/>
    </row>
    <row r="344">
      <c r="A344" s="4" t="str">
        <f>IFERROR(__xludf.DUMMYFUNCTION("""COMPUTED_VALUE"""),"Havanna")</f>
        <v>Havanna</v>
      </c>
      <c r="B344" s="4" t="str">
        <f>IFERROR(__xludf.DUMMYFUNCTION("""COMPUTED_VALUE"""),"Samuel")</f>
        <v>Samuel</v>
      </c>
      <c r="C344" s="4" t="str">
        <f>IFERROR(__xludf.DUMMYFUNCTION("""COMPUTED_VALUE"""),"Samuel")</f>
        <v>Samuel</v>
      </c>
      <c r="D344" s="4" t="str">
        <f>IFERROR(__xludf.DUMMYFUNCTION("""COMPUTED_VALUE"""),"10. Perdido")</f>
        <v>10. Perdido</v>
      </c>
      <c r="E344" s="4" t="str">
        <f>IFERROR(__xludf.DUMMYFUNCTION("""COMPUTED_VALUE"""),"Perdido - Proposta comercial não aceita")</f>
        <v>Perdido - Proposta comercial não aceita</v>
      </c>
      <c r="F344" s="4" t="str">
        <f>IFERROR(__xludf.DUMMYFUNCTION("""COMPUTED_VALUE"""),"G")</f>
        <v>G</v>
      </c>
      <c r="G344" s="5">
        <f>IFERROR(__xludf.DUMMYFUNCTION("""COMPUTED_VALUE"""),46073.0)</f>
        <v>46073</v>
      </c>
      <c r="H344" s="4" t="str">
        <f>IFERROR(__xludf.DUMMYFUNCTION("""COMPUTED_VALUE"""),"Valor de investimento do contrato não coube na margem do projeto.")</f>
        <v>Valor de investimento do contrato não coube na margem do projeto.</v>
      </c>
    </row>
    <row r="345">
      <c r="A345" s="4" t="str">
        <f>IFERROR(__xludf.DUMMYFUNCTION("""COMPUTED_VALUE"""),"HNT")</f>
        <v>HNT</v>
      </c>
      <c r="B345" s="4" t="str">
        <f>IFERROR(__xludf.DUMMYFUNCTION("""COMPUTED_VALUE"""),"Lídia Esteves")</f>
        <v>Lídia Esteves</v>
      </c>
      <c r="C345" s="4" t="str">
        <f>IFERROR(__xludf.DUMMYFUNCTION("""COMPUTED_VALUE"""),"Gabriela Roma")</f>
        <v>Gabriela Roma</v>
      </c>
      <c r="D345" s="4" t="str">
        <f>IFERROR(__xludf.DUMMYFUNCTION("""COMPUTED_VALUE"""),"9. Contrato assinado")</f>
        <v>9. Contrato assinado</v>
      </c>
      <c r="E345" s="4" t="str">
        <f>IFERROR(__xludf.DUMMYFUNCTION("""COMPUTED_VALUE""")," Projetos - Contrato assinado &amp; Rollout")</f>
        <v> Projetos - Contrato assinado &amp; Rollout</v>
      </c>
      <c r="F345" s="4" t="str">
        <f>IFERROR(__xludf.DUMMYFUNCTION("""COMPUTED_VALUE"""),"M")</f>
        <v>M</v>
      </c>
      <c r="G345" s="4"/>
      <c r="H345" s="4"/>
    </row>
    <row r="346">
      <c r="A346" s="4" t="str">
        <f>IFERROR(__xludf.DUMMYFUNCTION("""COMPUTED_VALUE"""),"House Forneria")</f>
        <v>House Forneria</v>
      </c>
      <c r="B346" s="4" t="str">
        <f>IFERROR(__xludf.DUMMYFUNCTION("""COMPUTED_VALUE"""),"Diego Santos")</f>
        <v>Diego Santos</v>
      </c>
      <c r="C346" s="4" t="str">
        <f>IFERROR(__xludf.DUMMYFUNCTION("""COMPUTED_VALUE"""),"Diego Santos")</f>
        <v>Diego Santos</v>
      </c>
      <c r="D346" s="4" t="str">
        <f>IFERROR(__xludf.DUMMYFUNCTION("""COMPUTED_VALUE"""),"10. Perdido")</f>
        <v>10. Perdido</v>
      </c>
      <c r="E346" s="4" t="str">
        <f>IFERROR(__xludf.DUMMYFUNCTION("""COMPUTED_VALUE"""),"Perdido - Sem perfil LA / 3SCheckout / PDV próprio")</f>
        <v>Perdido - Sem perfil LA / 3SCheckout / PDV próprio</v>
      </c>
      <c r="F346" s="4" t="str">
        <f>IFERROR(__xludf.DUMMYFUNCTION("""COMPUTED_VALUE"""),"P")</f>
        <v>P</v>
      </c>
      <c r="G346" s="5">
        <f>IFERROR(__xludf.DUMMYFUNCTION("""COMPUTED_VALUE"""),46118.0)</f>
        <v>46118</v>
      </c>
      <c r="H346" s="4" t="str">
        <f>IFERROR(__xludf.DUMMYFUNCTION("""COMPUTED_VALUE"""),"Cliente Saipos")</f>
        <v>Cliente Saipos</v>
      </c>
    </row>
    <row r="347">
      <c r="A347" s="4" t="str">
        <f>IFERROR(__xludf.DUMMYFUNCTION("""COMPUTED_VALUE"""),"Insalata")</f>
        <v>Insalata</v>
      </c>
      <c r="B347" s="4" t="str">
        <f>IFERROR(__xludf.DUMMYFUNCTION("""COMPUTED_VALUE"""),"Lídia Esteves")</f>
        <v>Lídia Esteves</v>
      </c>
      <c r="C347" s="4" t="str">
        <f>IFERROR(__xludf.DUMMYFUNCTION("""COMPUTED_VALUE"""),"Lídia Esteves")</f>
        <v>Lídia Esteves</v>
      </c>
      <c r="D347" s="4" t="str">
        <f>IFERROR(__xludf.DUMMYFUNCTION("""COMPUTED_VALUE"""),"10. Perdido")</f>
        <v>10. Perdido</v>
      </c>
      <c r="E347" s="4" t="str">
        <f>IFERROR(__xludf.DUMMYFUNCTION("""COMPUTED_VALUE"""),"Perdido - Outro (detalhar ao lado)")</f>
        <v>Perdido - Outro (detalhar ao lado)</v>
      </c>
      <c r="F347" s="4" t="str">
        <f>IFERROR(__xludf.DUMMYFUNCTION("""COMPUTED_VALUE"""),"P")</f>
        <v>P</v>
      </c>
      <c r="G347" s="5">
        <f>IFERROR(__xludf.DUMMYFUNCTION("""COMPUTED_VALUE"""),46076.0)</f>
        <v>46076</v>
      </c>
      <c r="H347" s="4" t="str">
        <f>IFERROR(__xludf.DUMMYFUNCTION("""COMPUTED_VALUE"""),"Mudou de solução pdv em 2025")</f>
        <v>Mudou de solução pdv em 2025</v>
      </c>
    </row>
    <row r="348">
      <c r="A348" s="4" t="str">
        <f>IFERROR(__xludf.DUMMYFUNCTION("""COMPUTED_VALUE"""),"Jah Do Acai")</f>
        <v>Jah Do Acai</v>
      </c>
      <c r="B348" s="4" t="str">
        <f>IFERROR(__xludf.DUMMYFUNCTION("""COMPUTED_VALUE"""),"Diego Santos")</f>
        <v>Diego Santos</v>
      </c>
      <c r="C348" s="4" t="str">
        <f>IFERROR(__xludf.DUMMYFUNCTION("""COMPUTED_VALUE"""),"Diego Santos")</f>
        <v>Diego Santos</v>
      </c>
      <c r="D348" s="4" t="str">
        <f>IFERROR(__xludf.DUMMYFUNCTION("""COMPUTED_VALUE"""),"10. Perdido")</f>
        <v>10. Perdido</v>
      </c>
      <c r="E348" s="4" t="str">
        <f>IFERROR(__xludf.DUMMYFUNCTION("""COMPUTED_VALUE"""),"Perdido - Proposta comercial não aceita")</f>
        <v>Perdido - Proposta comercial não aceita</v>
      </c>
      <c r="F348" s="4" t="str">
        <f>IFERROR(__xludf.DUMMYFUNCTION("""COMPUTED_VALUE"""),"G")</f>
        <v>G</v>
      </c>
      <c r="G348" s="5">
        <f>IFERROR(__xludf.DUMMYFUNCTION("""COMPUTED_VALUE"""),46076.0)</f>
        <v>46076</v>
      </c>
      <c r="H348" s="4" t="str">
        <f>IFERROR(__xludf.DUMMYFUNCTION("""COMPUTED_VALUE"""),"Fechado com concorrente GCOM")</f>
        <v>Fechado com concorrente GCOM</v>
      </c>
    </row>
    <row r="349">
      <c r="A349" s="4" t="str">
        <f>IFERROR(__xludf.DUMMYFUNCTION("""COMPUTED_VALUE"""),"Jangada")</f>
        <v>Jangada</v>
      </c>
      <c r="B349" s="4" t="str">
        <f>IFERROR(__xludf.DUMMYFUNCTION("""COMPUTED_VALUE"""),"Emerson")</f>
        <v>Emerson</v>
      </c>
      <c r="C349" s="4" t="str">
        <f>IFERROR(__xludf.DUMMYFUNCTION("""COMPUTED_VALUE"""),"Emerson")</f>
        <v>Emerson</v>
      </c>
      <c r="D349" s="4" t="str">
        <f>IFERROR(__xludf.DUMMYFUNCTION("""COMPUTED_VALUE"""),"9. Contrato assinado")</f>
        <v>9. Contrato assinado</v>
      </c>
      <c r="E349" s="4"/>
      <c r="F349" s="4" t="str">
        <f>IFERROR(__xludf.DUMMYFUNCTION("""COMPUTED_VALUE"""),"P")</f>
        <v>P</v>
      </c>
      <c r="G349" s="4"/>
      <c r="H349" s="4"/>
    </row>
    <row r="350">
      <c r="A350" s="4" t="str">
        <f>IFERROR(__xludf.DUMMYFUNCTION("""COMPUTED_VALUE"""),"Johnny Rockets")</f>
        <v>Johnny Rockets</v>
      </c>
      <c r="B350" s="4" t="str">
        <f>IFERROR(__xludf.DUMMYFUNCTION("""COMPUTED_VALUE"""),"Michel")</f>
        <v>Michel</v>
      </c>
      <c r="C350" s="4" t="str">
        <f>IFERROR(__xludf.DUMMYFUNCTION("""COMPUTED_VALUE"""),"Michel")</f>
        <v>Michel</v>
      </c>
      <c r="D350" s="4" t="str">
        <f>IFERROR(__xludf.DUMMYFUNCTION("""COMPUTED_VALUE"""),"12. Orgânico")</f>
        <v>12. Orgânico</v>
      </c>
      <c r="E350" s="4"/>
      <c r="F350" s="4" t="str">
        <f>IFERROR(__xludf.DUMMYFUNCTION("""COMPUTED_VALUE"""),"Sem Classificação")</f>
        <v>Sem Classificação</v>
      </c>
      <c r="G350" s="4"/>
      <c r="H350" s="4"/>
    </row>
    <row r="351">
      <c r="A351" s="4" t="str">
        <f>IFERROR(__xludf.DUMMYFUNCTION("""COMPUTED_VALUE"""),"Juistreet")</f>
        <v>Juistreet</v>
      </c>
      <c r="B351" s="4" t="str">
        <f>IFERROR(__xludf.DUMMYFUNCTION("""COMPUTED_VALUE"""),"Ana")</f>
        <v>Ana</v>
      </c>
      <c r="C351" s="4" t="str">
        <f>IFERROR(__xludf.DUMMYFUNCTION("""COMPUTED_VALUE"""),"Ana")</f>
        <v>Ana</v>
      </c>
      <c r="D351" s="4" t="str">
        <f>IFERROR(__xludf.DUMMYFUNCTION("""COMPUTED_VALUE"""),"9. Contrato assinado")</f>
        <v>9. Contrato assinado</v>
      </c>
      <c r="E351" s="4" t="str">
        <f>IFERROR(__xludf.DUMMYFUNCTION("""COMPUTED_VALUE""")," Projetos - Contrato assinado &amp; Rollout")</f>
        <v> Projetos - Contrato assinado &amp; Rollout</v>
      </c>
      <c r="F351" s="4" t="str">
        <f>IFERROR(__xludf.DUMMYFUNCTION("""COMPUTED_VALUE"""),"P")</f>
        <v>P</v>
      </c>
      <c r="G351" s="5">
        <f>IFERROR(__xludf.DUMMYFUNCTION("""COMPUTED_VALUE"""),46079.0)</f>
        <v>46079</v>
      </c>
      <c r="H351" s="4" t="str">
        <f>IFERROR(__xludf.DUMMYFUNCTION("""COMPUTED_VALUE"""),"contrato assinado")</f>
        <v>contrato assinado</v>
      </c>
    </row>
    <row r="352">
      <c r="A352" s="4" t="str">
        <f>IFERROR(__xludf.DUMMYFUNCTION("""COMPUTED_VALUE"""),"Kaskata'S Lanches")</f>
        <v>Kaskata'S Lanches</v>
      </c>
      <c r="B352" s="4" t="str">
        <f>IFERROR(__xludf.DUMMYFUNCTION("""COMPUTED_VALUE"""),"Iza")</f>
        <v>Iza</v>
      </c>
      <c r="C352" s="4" t="str">
        <f>IFERROR(__xludf.DUMMYFUNCTION("""COMPUTED_VALUE"""),"Iza")</f>
        <v>Iza</v>
      </c>
      <c r="D352" s="4" t="str">
        <f>IFERROR(__xludf.DUMMYFUNCTION("""COMPUTED_VALUE"""),"10. Perdido")</f>
        <v>10. Perdido</v>
      </c>
      <c r="E352" s="4" t="str">
        <f>IFERROR(__xludf.DUMMYFUNCTION("""COMPUTED_VALUE"""),"Perdido -  Momento do restaurante não favorável")</f>
        <v>Perdido -  Momento do restaurante não favorável</v>
      </c>
      <c r="F352" s="4" t="str">
        <f>IFERROR(__xludf.DUMMYFUNCTION("""COMPUTED_VALUE"""),"P")</f>
        <v>P</v>
      </c>
      <c r="G352" s="5">
        <f>IFERROR(__xludf.DUMMYFUNCTION("""COMPUTED_VALUE"""),46076.0)</f>
        <v>46076</v>
      </c>
      <c r="H352" s="4" t="str">
        <f>IFERROR(__xludf.DUMMYFUNCTION("""COMPUTED_VALUE"""),"Trocou de sistema recentemente, sem interesse.")</f>
        <v>Trocou de sistema recentemente, sem interesse.</v>
      </c>
    </row>
    <row r="353">
      <c r="A353" s="4" t="str">
        <f>IFERROR(__xludf.DUMMYFUNCTION("""COMPUTED_VALUE"""),"KFC")</f>
        <v>KFC</v>
      </c>
      <c r="B353" s="4" t="str">
        <f>IFERROR(__xludf.DUMMYFUNCTION("""COMPUTED_VALUE"""),"Michel")</f>
        <v>Michel</v>
      </c>
      <c r="C353" s="4" t="str">
        <f>IFERROR(__xludf.DUMMYFUNCTION("""COMPUTED_VALUE"""),"Michel")</f>
        <v>Michel</v>
      </c>
      <c r="D353" s="4" t="str">
        <f>IFERROR(__xludf.DUMMYFUNCTION("""COMPUTED_VALUE"""),"12. Orgânico")</f>
        <v>12. Orgânico</v>
      </c>
      <c r="E353" s="4"/>
      <c r="F353" s="4" t="str">
        <f>IFERROR(__xludf.DUMMYFUNCTION("""COMPUTED_VALUE"""),"M")</f>
        <v>M</v>
      </c>
      <c r="G353" s="4"/>
      <c r="H353" s="4"/>
    </row>
    <row r="354">
      <c r="A354" s="4" t="str">
        <f>IFERROR(__xludf.DUMMYFUNCTION("""COMPUTED_VALUE"""),"Komah")</f>
        <v>Komah</v>
      </c>
      <c r="B354" s="4" t="str">
        <f>IFERROR(__xludf.DUMMYFUNCTION("""COMPUTED_VALUE"""),"Iza")</f>
        <v>Iza</v>
      </c>
      <c r="C354" s="4" t="str">
        <f>IFERROR(__xludf.DUMMYFUNCTION("""COMPUTED_VALUE"""),"Iza")</f>
        <v>Iza</v>
      </c>
      <c r="D354" s="4" t="str">
        <f>IFERROR(__xludf.DUMMYFUNCTION("""COMPUTED_VALUE"""),"10. Perdido")</f>
        <v>10. Perdido</v>
      </c>
      <c r="E354" s="4" t="str">
        <f>IFERROR(__xludf.DUMMYFUNCTION("""COMPUTED_VALUE"""),"Perdido - Outro (detalhar ao lado)")</f>
        <v>Perdido - Outro (detalhar ao lado)</v>
      </c>
      <c r="F354" s="4" t="str">
        <f>IFERROR(__xludf.DUMMYFUNCTION("""COMPUTED_VALUE"""),"P")</f>
        <v>P</v>
      </c>
      <c r="G354" s="5">
        <f>IFERROR(__xludf.DUMMYFUNCTION("""COMPUTED_VALUE"""),46076.0)</f>
        <v>46076</v>
      </c>
      <c r="H354" s="4" t="str">
        <f>IFERROR(__xludf.DUMMYFUNCTION("""COMPUTED_VALUE"""),"Parceiro tinha contrapartida de mudar de sistema com renovação de contrato exclusividade, renovação não avançou e cliente não quis seguir com pdv")</f>
        <v>Parceiro tinha contrapartida de mudar de sistema com renovação de contrato exclusividade, renovação não avançou e cliente não quis seguir com pdv</v>
      </c>
    </row>
    <row r="355">
      <c r="A355" s="4" t="str">
        <f>IFERROR(__xludf.DUMMYFUNCTION("""COMPUTED_VALUE"""),"Krispy Kreme")</f>
        <v>Krispy Kreme</v>
      </c>
      <c r="B355" s="4" t="str">
        <f>IFERROR(__xludf.DUMMYFUNCTION("""COMPUTED_VALUE"""),"Michel")</f>
        <v>Michel</v>
      </c>
      <c r="C355" s="4" t="str">
        <f>IFERROR(__xludf.DUMMYFUNCTION("""COMPUTED_VALUE"""),"Michel")</f>
        <v>Michel</v>
      </c>
      <c r="D355" s="4" t="str">
        <f>IFERROR(__xludf.DUMMYFUNCTION("""COMPUTED_VALUE"""),"12. Orgânico")</f>
        <v>12. Orgânico</v>
      </c>
      <c r="E355" s="4"/>
      <c r="F355" s="4" t="str">
        <f>IFERROR(__xludf.DUMMYFUNCTION("""COMPUTED_VALUE"""),"P")</f>
        <v>P</v>
      </c>
      <c r="G355" s="4"/>
      <c r="H355" s="4"/>
    </row>
    <row r="356">
      <c r="A356" s="4" t="str">
        <f>IFERROR(__xludf.DUMMYFUNCTION("""COMPUTED_VALUE"""),"L'Entrecôte Paris")</f>
        <v>L'Entrecôte Paris</v>
      </c>
      <c r="B356" s="4" t="str">
        <f>IFERROR(__xludf.DUMMYFUNCTION("""COMPUTED_VALUE"""),"Michel")</f>
        <v>Michel</v>
      </c>
      <c r="C356" s="4" t="str">
        <f>IFERROR(__xludf.DUMMYFUNCTION("""COMPUTED_VALUE"""),"Michel")</f>
        <v>Michel</v>
      </c>
      <c r="D356" s="4" t="str">
        <f>IFERROR(__xludf.DUMMYFUNCTION("""COMPUTED_VALUE"""),"12. Orgânico")</f>
        <v>12. Orgânico</v>
      </c>
      <c r="E356" s="4"/>
      <c r="F356" s="4" t="str">
        <f>IFERROR(__xludf.DUMMYFUNCTION("""COMPUTED_VALUE"""),"M")</f>
        <v>M</v>
      </c>
      <c r="G356" s="4"/>
      <c r="H356" s="4"/>
    </row>
    <row r="357">
      <c r="A357" s="4" t="str">
        <f>IFERROR(__xludf.DUMMYFUNCTION("""COMPUTED_VALUE"""),"La Borratxeria")</f>
        <v>La Borratxeria</v>
      </c>
      <c r="B357" s="4" t="str">
        <f>IFERROR(__xludf.DUMMYFUNCTION("""COMPUTED_VALUE"""),"Lídia Esteves")</f>
        <v>Lídia Esteves</v>
      </c>
      <c r="C357" s="4" t="str">
        <f>IFERROR(__xludf.DUMMYFUNCTION("""COMPUTED_VALUE"""),"Lídia Esteves")</f>
        <v>Lídia Esteves</v>
      </c>
      <c r="D357" s="4" t="str">
        <f>IFERROR(__xludf.DUMMYFUNCTION("""COMPUTED_VALUE"""),"13. Reativado")</f>
        <v>13. Reativado</v>
      </c>
      <c r="E357" s="4" t="str">
        <f>IFERROR(__xludf.DUMMYFUNCTION("""COMPUTED_VALUE"""),"Perdido - Proposta comercial não aceita")</f>
        <v>Perdido - Proposta comercial não aceita</v>
      </c>
      <c r="F357" s="4" t="str">
        <f>IFERROR(__xludf.DUMMYFUNCTION("""COMPUTED_VALUE"""),"P")</f>
        <v>P</v>
      </c>
      <c r="G357" s="5">
        <f>IFERROR(__xludf.DUMMYFUNCTION("""COMPUTED_VALUE"""),46076.0)</f>
        <v>46076</v>
      </c>
      <c r="H357" s="4" t="str">
        <f>IFERROR(__xludf.DUMMYFUNCTION("""COMPUTED_VALUE"""),"Parceiro não aceitou proposta comercial devido preço mensalidade, não conseguimos descer mais a margem.")</f>
        <v>Parceiro não aceitou proposta comercial devido preço mensalidade, não conseguimos descer mais a margem.</v>
      </c>
    </row>
    <row r="358">
      <c r="A358" s="4" t="str">
        <f>IFERROR(__xludf.DUMMYFUNCTION("""COMPUTED_VALUE"""),"Le Mani Pizza")</f>
        <v>Le Mani Pizza</v>
      </c>
      <c r="B358" s="4" t="str">
        <f>IFERROR(__xludf.DUMMYFUNCTION("""COMPUTED_VALUE"""),"Ana")</f>
        <v>Ana</v>
      </c>
      <c r="C358" s="4" t="str">
        <f>IFERROR(__xludf.DUMMYFUNCTION("""COMPUTED_VALUE"""),"Ana")</f>
        <v>Ana</v>
      </c>
      <c r="D358" s="4" t="str">
        <f>IFERROR(__xludf.DUMMYFUNCTION("""COMPUTED_VALUE"""),"9. Contrato assinado")</f>
        <v>9. Contrato assinado</v>
      </c>
      <c r="E358" s="4" t="str">
        <f>IFERROR(__xludf.DUMMYFUNCTION("""COMPUTED_VALUE""")," Projetos - Contrato assinado &amp; Rollout")</f>
        <v> Projetos - Contrato assinado &amp; Rollout</v>
      </c>
      <c r="F358" s="4" t="str">
        <f>IFERROR(__xludf.DUMMYFUNCTION("""COMPUTED_VALUE"""),"P")</f>
        <v>P</v>
      </c>
      <c r="G358" s="5">
        <f>IFERROR(__xludf.DUMMYFUNCTION("""COMPUTED_VALUE"""),46104.0)</f>
        <v>46104</v>
      </c>
      <c r="H358" s="4" t="str">
        <f>IFERROR(__xludf.DUMMYFUNCTION("""COMPUTED_VALUE"""),"Kick Off de projeto agendado para 23/03 e será iniciado o projeto de implantação")</f>
        <v>Kick Off de projeto agendado para 23/03 e será iniciado o projeto de implantação</v>
      </c>
    </row>
    <row r="359">
      <c r="A359" s="4" t="str">
        <f>IFERROR(__xludf.DUMMYFUNCTION("""COMPUTED_VALUE"""),"Liv Up")</f>
        <v>Liv Up</v>
      </c>
      <c r="B359" s="4" t="str">
        <f>IFERROR(__xludf.DUMMYFUNCTION("""COMPUTED_VALUE"""),"Ana")</f>
        <v>Ana</v>
      </c>
      <c r="C359" s="4" t="str">
        <f>IFERROR(__xludf.DUMMYFUNCTION("""COMPUTED_VALUE"""),"Ana")</f>
        <v>Ana</v>
      </c>
      <c r="D359" s="4" t="str">
        <f>IFERROR(__xludf.DUMMYFUNCTION("""COMPUTED_VALUE"""),"13. Reativado")</f>
        <v>13. Reativado</v>
      </c>
      <c r="E359" s="4" t="str">
        <f>IFERROR(__xludf.DUMMYFUNCTION("""COMPUTED_VALUE"""),"Perdido - Outro (detalhar ao lado)")</f>
        <v>Perdido - Outro (detalhar ao lado)</v>
      </c>
      <c r="F359" s="4" t="str">
        <f>IFERROR(__xludf.DUMMYFUNCTION("""COMPUTED_VALUE"""),"P")</f>
        <v>P</v>
      </c>
      <c r="G359" s="5">
        <f>IFERROR(__xludf.DUMMYFUNCTION("""COMPUTED_VALUE"""),46076.0)</f>
        <v>46076</v>
      </c>
      <c r="H359" s="4" t="str">
        <f>IFERROR(__xludf.DUMMYFUNCTION("""COMPUTED_VALUE"""),"Não chegou a receber proposta comercial e já fechou com outra solução")</f>
        <v>Não chegou a receber proposta comercial e já fechou com outra solução</v>
      </c>
    </row>
    <row r="360">
      <c r="A360" s="4" t="str">
        <f>IFERROR(__xludf.DUMMYFUNCTION("""COMPUTED_VALUE"""),"Liv Up")</f>
        <v>Liv Up</v>
      </c>
      <c r="B360" s="4" t="str">
        <f>IFERROR(__xludf.DUMMYFUNCTION("""COMPUTED_VALUE"""),"Lídia Esteves")</f>
        <v>Lídia Esteves</v>
      </c>
      <c r="C360" s="4" t="str">
        <f>IFERROR(__xludf.DUMMYFUNCTION("""COMPUTED_VALUE"""),"Gabriela Roma")</f>
        <v>Gabriela Roma</v>
      </c>
      <c r="D360" s="4" t="str">
        <f>IFERROR(__xludf.DUMMYFUNCTION("""COMPUTED_VALUE"""),"10. Perdido")</f>
        <v>10. Perdido</v>
      </c>
      <c r="E360" s="4" t="str">
        <f>IFERROR(__xludf.DUMMYFUNCTION("""COMPUTED_VALUE"""),"Perdido - Sem perfil LA / 3SCheckout / PDV próprio")</f>
        <v>Perdido - Sem perfil LA / 3SCheckout / PDV próprio</v>
      </c>
      <c r="F360" s="4" t="str">
        <f>IFERROR(__xludf.DUMMYFUNCTION("""COMPUTED_VALUE"""),"P")</f>
        <v>P</v>
      </c>
      <c r="G360" s="5">
        <f>IFERROR(__xludf.DUMMYFUNCTION("""COMPUTED_VALUE"""),46154.0)</f>
        <v>46154</v>
      </c>
      <c r="H360" s="4" t="str">
        <f>IFERROR(__xludf.DUMMYFUNCTION("""COMPUTED_VALUE"""),"Parceiro não usa pdv e seu modelo de negocio não tem aderencia.")</f>
        <v>Parceiro não usa pdv e seu modelo de negocio não tem aderencia.</v>
      </c>
    </row>
    <row r="361">
      <c r="A361" s="4" t="str">
        <f>IFERROR(__xludf.DUMMYFUNCTION("""COMPUTED_VALUE"""),"Locale")</f>
        <v>Locale</v>
      </c>
      <c r="B361" s="4" t="str">
        <f>IFERROR(__xludf.DUMMYFUNCTION("""COMPUTED_VALUE"""),"Diego Santos")</f>
        <v>Diego Santos</v>
      </c>
      <c r="C361" s="4" t="str">
        <f>IFERROR(__xludf.DUMMYFUNCTION("""COMPUTED_VALUE"""),"Diego Santos")</f>
        <v>Diego Santos</v>
      </c>
      <c r="D361" s="4" t="str">
        <f>IFERROR(__xludf.DUMMYFUNCTION("""COMPUTED_VALUE"""),"10. Perdido")</f>
        <v>10. Perdido</v>
      </c>
      <c r="E361" s="4" t="str">
        <f>IFERROR(__xludf.DUMMYFUNCTION("""COMPUTED_VALUE"""),"Perdido - Outro (detalhar ao lado)")</f>
        <v>Perdido - Outro (detalhar ao lado)</v>
      </c>
      <c r="F361" s="4" t="str">
        <f>IFERROR(__xludf.DUMMYFUNCTION("""COMPUTED_VALUE"""),"P")</f>
        <v>P</v>
      </c>
      <c r="G361" s="5">
        <f>IFERROR(__xludf.DUMMYFUNCTION("""COMPUTED_VALUE"""),46076.0)</f>
        <v>46076</v>
      </c>
      <c r="H361" s="4" t="str">
        <f>IFERROR(__xludf.DUMMYFUNCTION("""COMPUTED_VALUE"""),"Cliente sem interesse em trocar. ")</f>
        <v>Cliente sem interesse em trocar. </v>
      </c>
    </row>
    <row r="362">
      <c r="A362" s="4" t="str">
        <f>IFERROR(__xludf.DUMMYFUNCTION("""COMPUTED_VALUE"""),"Lourdes Square")</f>
        <v>Lourdes Square</v>
      </c>
      <c r="B362" s="4" t="str">
        <f>IFERROR(__xludf.DUMMYFUNCTION("""COMPUTED_VALUE"""),"Ana")</f>
        <v>Ana</v>
      </c>
      <c r="C362" s="4" t="str">
        <f>IFERROR(__xludf.DUMMYFUNCTION("""COMPUTED_VALUE"""),"Ana")</f>
        <v>Ana</v>
      </c>
      <c r="D362" s="4" t="str">
        <f>IFERROR(__xludf.DUMMYFUNCTION("""COMPUTED_VALUE"""),"10. Perdido")</f>
        <v>10. Perdido</v>
      </c>
      <c r="E362" s="4" t="str">
        <f>IFERROR(__xludf.DUMMYFUNCTION("""COMPUTED_VALUE"""),"Perdido - Sem perfil LA / 3SCheckout / PDV próprio")</f>
        <v>Perdido - Sem perfil LA / 3SCheckout / PDV próprio</v>
      </c>
      <c r="F362" s="4" t="str">
        <f>IFERROR(__xludf.DUMMYFUNCTION("""COMPUTED_VALUE"""),"P")</f>
        <v>P</v>
      </c>
      <c r="G362" s="5">
        <f>IFERROR(__xludf.DUMMYFUNCTION("""COMPUTED_VALUE"""),46111.0)</f>
        <v>46111</v>
      </c>
      <c r="H362" s="4" t="str">
        <f>IFERROR(__xludf.DUMMYFUNCTION("""COMPUTED_VALUE"""),"conseguir retorno formal do parceiro sobre proposta")</f>
        <v>conseguir retorno formal do parceiro sobre proposta</v>
      </c>
    </row>
    <row r="363">
      <c r="A363" s="4" t="str">
        <f>IFERROR(__xludf.DUMMYFUNCTION("""COMPUTED_VALUE"""),"Mais1 Cafe")</f>
        <v>Mais1 Cafe</v>
      </c>
      <c r="B363" s="4" t="str">
        <f>IFERROR(__xludf.DUMMYFUNCTION("""COMPUTED_VALUE"""),"Emerson")</f>
        <v>Emerson</v>
      </c>
      <c r="C363" s="4" t="str">
        <f>IFERROR(__xludf.DUMMYFUNCTION("""COMPUTED_VALUE"""),"Emerson")</f>
        <v>Emerson</v>
      </c>
      <c r="D363" s="4" t="str">
        <f>IFERROR(__xludf.DUMMYFUNCTION("""COMPUTED_VALUE"""),"10. Perdido")</f>
        <v>10. Perdido</v>
      </c>
      <c r="E363" s="4"/>
      <c r="F363" s="4" t="str">
        <f>IFERROR(__xludf.DUMMYFUNCTION("""COMPUTED_VALUE"""),"G")</f>
        <v>G</v>
      </c>
      <c r="G363" s="4"/>
      <c r="H363" s="22" t="str">
        <f>IFERROR(__xludf.DUMMYFUNCTION("""COMPUTED_VALUE"""),"PDV Próprio")</f>
        <v>PDV Próprio</v>
      </c>
    </row>
    <row r="364">
      <c r="A364" s="4" t="str">
        <f>IFERROR(__xludf.DUMMYFUNCTION("""COMPUTED_VALUE"""),"Mamma Jamma")</f>
        <v>Mamma Jamma</v>
      </c>
      <c r="B364" s="4" t="str">
        <f>IFERROR(__xludf.DUMMYFUNCTION("""COMPUTED_VALUE"""),"Emerson")</f>
        <v>Emerson</v>
      </c>
      <c r="C364" s="4" t="str">
        <f>IFERROR(__xludf.DUMMYFUNCTION("""COMPUTED_VALUE"""),"Emerson")</f>
        <v>Emerson</v>
      </c>
      <c r="D364" s="4" t="str">
        <f>IFERROR(__xludf.DUMMYFUNCTION("""COMPUTED_VALUE"""),"9. Contrato assinado")</f>
        <v>9. Contrato assinado</v>
      </c>
      <c r="E364" s="4"/>
      <c r="F364" s="4" t="str">
        <f>IFERROR(__xludf.DUMMYFUNCTION("""COMPUTED_VALUE"""),"P")</f>
        <v>P</v>
      </c>
      <c r="G364" s="4"/>
      <c r="H364" s="4"/>
    </row>
    <row r="365">
      <c r="A365" s="4" t="str">
        <f>IFERROR(__xludf.DUMMYFUNCTION("""COMPUTED_VALUE"""),"Manda Picanha")</f>
        <v>Manda Picanha</v>
      </c>
      <c r="B365" s="4" t="str">
        <f>IFERROR(__xludf.DUMMYFUNCTION("""COMPUTED_VALUE"""),"Lídia Esteves")</f>
        <v>Lídia Esteves</v>
      </c>
      <c r="C365" s="4" t="str">
        <f>IFERROR(__xludf.DUMMYFUNCTION("""COMPUTED_VALUE"""),"Lídia Esteves")</f>
        <v>Lídia Esteves</v>
      </c>
      <c r="D365" s="4" t="str">
        <f>IFERROR(__xludf.DUMMYFUNCTION("""COMPUTED_VALUE"""),"10. Perdido")</f>
        <v>10. Perdido</v>
      </c>
      <c r="E365" s="4" t="str">
        <f>IFERROR(__xludf.DUMMYFUNCTION("""COMPUTED_VALUE"""),"Perdido - Outro (detalhar ao lado)")</f>
        <v>Perdido - Outro (detalhar ao lado)</v>
      </c>
      <c r="F365" s="4" t="str">
        <f>IFERROR(__xludf.DUMMYFUNCTION("""COMPUTED_VALUE"""),"P")</f>
        <v>P</v>
      </c>
      <c r="G365" s="5">
        <f>IFERROR(__xludf.DUMMYFUNCTION("""COMPUTED_VALUE"""),46076.0)</f>
        <v>46076</v>
      </c>
      <c r="H365" s="4" t="str">
        <f>IFERROR(__xludf.DUMMYFUNCTION("""COMPUTED_VALUE"""),"Cliente parou de nos responder.")</f>
        <v>Cliente parou de nos responder.</v>
      </c>
    </row>
    <row r="366">
      <c r="A366" s="4" t="str">
        <f>IFERROR(__xludf.DUMMYFUNCTION("""COMPUTED_VALUE"""),"Mangiare Pizzaria Delivery - Pai")</f>
        <v>Mangiare Pizzaria Delivery - Pai</v>
      </c>
      <c r="B366" s="4" t="str">
        <f>IFERROR(__xludf.DUMMYFUNCTION("""COMPUTED_VALUE"""),"Lídia Esteves")</f>
        <v>Lídia Esteves</v>
      </c>
      <c r="C366" s="4" t="str">
        <f>IFERROR(__xludf.DUMMYFUNCTION("""COMPUTED_VALUE"""),"Emerson")</f>
        <v>Emerson</v>
      </c>
      <c r="D366" s="4" t="str">
        <f>IFERROR(__xludf.DUMMYFUNCTION("""COMPUTED_VALUE"""),"10. Perdido")</f>
        <v>10. Perdido</v>
      </c>
      <c r="E366" s="4"/>
      <c r="F366" s="4" t="str">
        <f>IFERROR(__xludf.DUMMYFUNCTION("""COMPUTED_VALUE"""),"P")</f>
        <v>P</v>
      </c>
      <c r="G366" s="5">
        <f>IFERROR(__xludf.DUMMYFUNCTION("""COMPUTED_VALUE"""),46062.0)</f>
        <v>46062</v>
      </c>
      <c r="H366" s="4" t="str">
        <f>IFERROR(__xludf.DUMMYFUNCTION("""COMPUTED_VALUE"""),"Não possui salão somente delivery,encaminhado pra Saipos")</f>
        <v>Não possui salão somente delivery,encaminhado pra Saipos</v>
      </c>
    </row>
    <row r="367">
      <c r="A367" s="4" t="str">
        <f>IFERROR(__xludf.DUMMYFUNCTION("""COMPUTED_VALUE"""),"Manimanioca")</f>
        <v>Manimanioca</v>
      </c>
      <c r="B367" s="4" t="str">
        <f>IFERROR(__xludf.DUMMYFUNCTION("""COMPUTED_VALUE"""),"Emerson")</f>
        <v>Emerson</v>
      </c>
      <c r="C367" s="4" t="str">
        <f>IFERROR(__xludf.DUMMYFUNCTION("""COMPUTED_VALUE"""),"Emerson")</f>
        <v>Emerson</v>
      </c>
      <c r="D367" s="4" t="str">
        <f>IFERROR(__xludf.DUMMYFUNCTION("""COMPUTED_VALUE"""),"9. Contrato assinado")</f>
        <v>9. Contrato assinado</v>
      </c>
      <c r="E367" s="4"/>
      <c r="F367" s="4" t="str">
        <f>IFERROR(__xludf.DUMMYFUNCTION("""COMPUTED_VALUE"""),"P")</f>
        <v>P</v>
      </c>
      <c r="G367" s="4"/>
      <c r="H367" s="4"/>
    </row>
    <row r="368">
      <c r="A368" s="4" t="str">
        <f>IFERROR(__xludf.DUMMYFUNCTION("""COMPUTED_VALUE"""),"Marietta")</f>
        <v>Marietta</v>
      </c>
      <c r="B368" s="4" t="str">
        <f>IFERROR(__xludf.DUMMYFUNCTION("""COMPUTED_VALUE"""),"Iza")</f>
        <v>Iza</v>
      </c>
      <c r="C368" s="4" t="str">
        <f>IFERROR(__xludf.DUMMYFUNCTION("""COMPUTED_VALUE"""),"Iza")</f>
        <v>Iza</v>
      </c>
      <c r="D368" s="4" t="str">
        <f>IFERROR(__xludf.DUMMYFUNCTION("""COMPUTED_VALUE"""),"9. Contrato assinado")</f>
        <v>9. Contrato assinado</v>
      </c>
      <c r="E368" s="4" t="str">
        <f>IFERROR(__xludf.DUMMYFUNCTION("""COMPUTED_VALUE""")," Projetos - Contrato assinado &amp; Rollout")</f>
        <v> Projetos - Contrato assinado &amp; Rollout</v>
      </c>
      <c r="F368" s="4" t="str">
        <f>IFERROR(__xludf.DUMMYFUNCTION("""COMPUTED_VALUE"""),"P")</f>
        <v>P</v>
      </c>
      <c r="G368" s="5">
        <f>IFERROR(__xludf.DUMMYFUNCTION("""COMPUTED_VALUE"""),46076.0)</f>
        <v>46076</v>
      </c>
      <c r="H368" s="4" t="str">
        <f>IFERROR(__xludf.DUMMYFUNCTION("""COMPUTED_VALUE"""),"Contrato assinado")</f>
        <v>Contrato assinado</v>
      </c>
    </row>
    <row r="369">
      <c r="A369" s="4" t="str">
        <f>IFERROR(__xludf.DUMMYFUNCTION("""COMPUTED_VALUE"""),"Markt Bbq")</f>
        <v>Markt Bbq</v>
      </c>
      <c r="B369" s="4" t="str">
        <f>IFERROR(__xludf.DUMMYFUNCTION("""COMPUTED_VALUE"""),"Diego Santos")</f>
        <v>Diego Santos</v>
      </c>
      <c r="C369" s="4" t="str">
        <f>IFERROR(__xludf.DUMMYFUNCTION("""COMPUTED_VALUE"""),"Diego Santos")</f>
        <v>Diego Santos</v>
      </c>
      <c r="D369" s="4" t="str">
        <f>IFERROR(__xludf.DUMMYFUNCTION("""COMPUTED_VALUE"""),"10. Perdido")</f>
        <v>10. Perdido</v>
      </c>
      <c r="E369" s="4" t="str">
        <f>IFERROR(__xludf.DUMMYFUNCTION("""COMPUTED_VALUE"""),"Perdido - Outro (detalhar ao lado)")</f>
        <v>Perdido - Outro (detalhar ao lado)</v>
      </c>
      <c r="F369" s="4" t="str">
        <f>IFERROR(__xludf.DUMMYFUNCTION("""COMPUTED_VALUE"""),"P")</f>
        <v>P</v>
      </c>
      <c r="G369" s="5">
        <f>IFERROR(__xludf.DUMMYFUNCTION("""COMPUTED_VALUE"""),46085.0)</f>
        <v>46085</v>
      </c>
      <c r="H369" s="4" t="str">
        <f>IFERROR(__xludf.DUMMYFUNCTION("""COMPUTED_VALUE"""),"Apresentação comercial do PDV ")</f>
        <v>Apresentação comercial do PDV </v>
      </c>
    </row>
    <row r="370">
      <c r="A370" s="4" t="str">
        <f>IFERROR(__xludf.DUMMYFUNCTION("""COMPUTED_VALUE"""),"Mercearia Bresser")</f>
        <v>Mercearia Bresser</v>
      </c>
      <c r="B370" s="4" t="str">
        <f>IFERROR(__xludf.DUMMYFUNCTION("""COMPUTED_VALUE"""),"Lídia Esteves")</f>
        <v>Lídia Esteves</v>
      </c>
      <c r="C370" s="4" t="str">
        <f>IFERROR(__xludf.DUMMYFUNCTION("""COMPUTED_VALUE"""),"Emerson")</f>
        <v>Emerson</v>
      </c>
      <c r="D370" s="4" t="str">
        <f>IFERROR(__xludf.DUMMYFUNCTION("""COMPUTED_VALUE"""),"10. Perdido")</f>
        <v>10. Perdido</v>
      </c>
      <c r="E370" s="4"/>
      <c r="F370" s="4" t="str">
        <f>IFERROR(__xludf.DUMMYFUNCTION("""COMPUTED_VALUE"""),"P")</f>
        <v>P</v>
      </c>
      <c r="G370" s="5">
        <f>IFERROR(__xludf.DUMMYFUNCTION("""COMPUTED_VALUE"""),46057.0)</f>
        <v>46057</v>
      </c>
      <c r="H370" s="4" t="str">
        <f>IFERROR(__xludf.DUMMYFUNCTION("""COMPUTED_VALUE"""),"Conhecemos cliente no ifood day 2025 e não tem interesse em migrar de pdv.")</f>
        <v>Conhecemos cliente no ifood day 2025 e não tem interesse em migrar de pdv.</v>
      </c>
    </row>
    <row r="371">
      <c r="A371" s="4" t="str">
        <f>IFERROR(__xludf.DUMMYFUNCTION("""COMPUTED_VALUE"""),"Mestico")</f>
        <v>Mestico</v>
      </c>
      <c r="B371" s="4" t="str">
        <f>IFERROR(__xludf.DUMMYFUNCTION("""COMPUTED_VALUE"""),"Ana")</f>
        <v>Ana</v>
      </c>
      <c r="C371" s="4" t="str">
        <f>IFERROR(__xludf.DUMMYFUNCTION("""COMPUTED_VALUE"""),"Ana")</f>
        <v>Ana</v>
      </c>
      <c r="D371" s="4" t="str">
        <f>IFERROR(__xludf.DUMMYFUNCTION("""COMPUTED_VALUE"""),"10. Perdido")</f>
        <v>10. Perdido</v>
      </c>
      <c r="E371" s="4" t="str">
        <f>IFERROR(__xludf.DUMMYFUNCTION("""COMPUTED_VALUE"""),"Perdido -  Momento do restaurante não favorável")</f>
        <v>Perdido -  Momento do restaurante não favorável</v>
      </c>
      <c r="F371" s="4" t="str">
        <f>IFERROR(__xludf.DUMMYFUNCTION("""COMPUTED_VALUE"""),"P")</f>
        <v>P</v>
      </c>
      <c r="G371" s="5">
        <f>IFERROR(__xludf.DUMMYFUNCTION("""COMPUTED_VALUE"""),46076.0)</f>
        <v>46076</v>
      </c>
      <c r="H371" s="4" t="str">
        <f>IFERROR(__xludf.DUMMYFUNCTION("""COMPUTED_VALUE"""),"Parceiro abordado em out/25, tinham acabado de trocar o sistema, estavam satisfeitos e não deram abertura para continuar falando conosco. Podemos tentar abordar no próximo ciclo e entender se o sistema atual ainda está os atendendo bem e tentar apresentar"&amp;" novidades do Salão.")</f>
        <v>Parceiro abordado em out/25, tinham acabado de trocar o sistema, estavam satisfeitos e não deram abertura para continuar falando conosco. Podemos tentar abordar no próximo ciclo e entender se o sistema atual ainda está os atendendo bem e tentar apresentar novidades do Salão.</v>
      </c>
    </row>
    <row r="372">
      <c r="A372" s="4" t="str">
        <f>IFERROR(__xludf.DUMMYFUNCTION("""COMPUTED_VALUE"""),"Meu Freeze")</f>
        <v>Meu Freeze</v>
      </c>
      <c r="B372" s="4" t="str">
        <f>IFERROR(__xludf.DUMMYFUNCTION("""COMPUTED_VALUE"""),"Michel")</f>
        <v>Michel</v>
      </c>
      <c r="C372" s="4" t="str">
        <f>IFERROR(__xludf.DUMMYFUNCTION("""COMPUTED_VALUE"""),"Michel")</f>
        <v>Michel</v>
      </c>
      <c r="D372" s="4" t="str">
        <f>IFERROR(__xludf.DUMMYFUNCTION("""COMPUTED_VALUE"""),"12. Orgânico")</f>
        <v>12. Orgânico</v>
      </c>
      <c r="E372" s="4"/>
      <c r="F372" s="4" t="str">
        <f>IFERROR(__xludf.DUMMYFUNCTION("""COMPUTED_VALUE"""),"Sem Classificação")</f>
        <v>Sem Classificação</v>
      </c>
      <c r="G372" s="4"/>
      <c r="H372" s="4"/>
    </row>
    <row r="373">
      <c r="A373" s="4" t="str">
        <f>IFERROR(__xludf.DUMMYFUNCTION("""COMPUTED_VALUE"""),"Milk Nilla")</f>
        <v>Milk Nilla</v>
      </c>
      <c r="B373" s="4" t="str">
        <f>IFERROR(__xludf.DUMMYFUNCTION("""COMPUTED_VALUE"""),"Diego Santos")</f>
        <v>Diego Santos</v>
      </c>
      <c r="C373" s="4" t="str">
        <f>IFERROR(__xludf.DUMMYFUNCTION("""COMPUTED_VALUE"""),"Diego Santos")</f>
        <v>Diego Santos</v>
      </c>
      <c r="D373" s="4" t="str">
        <f>IFERROR(__xludf.DUMMYFUNCTION("""COMPUTED_VALUE"""),"10. Perdido")</f>
        <v>10. Perdido</v>
      </c>
      <c r="E373" s="4" t="str">
        <f>IFERROR(__xludf.DUMMYFUNCTION("""COMPUTED_VALUE"""),"Perdido - Sem perfil LA / 3SCheckout / PDV próprio")</f>
        <v>Perdido - Sem perfil LA / 3SCheckout / PDV próprio</v>
      </c>
      <c r="F373" s="4" t="str">
        <f>IFERROR(__xludf.DUMMYFUNCTION("""COMPUTED_VALUE"""),"P")</f>
        <v>P</v>
      </c>
      <c r="G373" s="5">
        <f>IFERROR(__xludf.DUMMYFUNCTION("""COMPUTED_VALUE"""),46083.0)</f>
        <v>46083</v>
      </c>
      <c r="H373" s="4" t="str">
        <f>IFERROR(__xludf.DUMMYFUNCTION("""COMPUTED_VALUE"""),"Perdido, sem interesse e sem potencial.")</f>
        <v>Perdido, sem interesse e sem potencial.</v>
      </c>
    </row>
    <row r="374">
      <c r="A374" s="4" t="str">
        <f>IFERROR(__xludf.DUMMYFUNCTION("""COMPUTED_VALUE"""),"Mocoto")</f>
        <v>Mocoto</v>
      </c>
      <c r="B374" s="4" t="str">
        <f>IFERROR(__xludf.DUMMYFUNCTION("""COMPUTED_VALUE"""),"Iza")</f>
        <v>Iza</v>
      </c>
      <c r="C374" s="4" t="str">
        <f>IFERROR(__xludf.DUMMYFUNCTION("""COMPUTED_VALUE"""),"Iza")</f>
        <v>Iza</v>
      </c>
      <c r="D374" s="4" t="str">
        <f>IFERROR(__xludf.DUMMYFUNCTION("""COMPUTED_VALUE"""),"10. Perdido")</f>
        <v>10. Perdido</v>
      </c>
      <c r="E374" s="4" t="str">
        <f>IFERROR(__xludf.DUMMYFUNCTION("""COMPUTED_VALUE"""),"Perdido - Sem perfil LA / 3SCheckout / PDV próprio")</f>
        <v>Perdido - Sem perfil LA / 3SCheckout / PDV próprio</v>
      </c>
      <c r="F374" s="4" t="str">
        <f>IFERROR(__xludf.DUMMYFUNCTION("""COMPUTED_VALUE"""),"P")</f>
        <v>P</v>
      </c>
      <c r="G374" s="5">
        <f>IFERROR(__xludf.DUMMYFUNCTION("""COMPUTED_VALUE"""),46076.0)</f>
        <v>46076</v>
      </c>
      <c r="H374" s="4" t="str">
        <f>IFERROR(__xludf.DUMMYFUNCTION("""COMPUTED_VALUE"""),"Fechou com concorrente.")</f>
        <v>Fechou com concorrente.</v>
      </c>
    </row>
    <row r="375">
      <c r="A375" s="4" t="str">
        <f>IFERROR(__xludf.DUMMYFUNCTION("""COMPUTED_VALUE"""),"Mundo Animal")</f>
        <v>Mundo Animal</v>
      </c>
      <c r="B375" s="4" t="str">
        <f>IFERROR(__xludf.DUMMYFUNCTION("""COMPUTED_VALUE"""),"Leonardo Roso")</f>
        <v>Leonardo Roso</v>
      </c>
      <c r="C375" s="4" t="str">
        <f>IFERROR(__xludf.DUMMYFUNCTION("""COMPUTED_VALUE"""),"Leonardo Roso")</f>
        <v>Leonardo Roso</v>
      </c>
      <c r="D375" s="4" t="str">
        <f>IFERROR(__xludf.DUMMYFUNCTION("""COMPUTED_VALUE"""),"10. Perdido")</f>
        <v>10. Perdido</v>
      </c>
      <c r="E375" s="4" t="str">
        <f>IFERROR(__xludf.DUMMYFUNCTION("""COMPUTED_VALUE"""),"Perdido - Outro (detalhar ao lado)")</f>
        <v>Perdido - Outro (detalhar ao lado)</v>
      </c>
      <c r="F375" s="4" t="str">
        <f>IFERROR(__xludf.DUMMYFUNCTION("""COMPUTED_VALUE"""),"G")</f>
        <v>G</v>
      </c>
      <c r="G375" s="5">
        <f>IFERROR(__xludf.DUMMYFUNCTION("""COMPUTED_VALUE"""),46064.0)</f>
        <v>46064</v>
      </c>
      <c r="H375" s="4" t="str">
        <f>IFERROR(__xludf.DUMMYFUNCTION("""COMPUTED_VALUE"""),"Falência.")</f>
        <v>Falência.</v>
      </c>
    </row>
    <row r="376">
      <c r="A376" s="4" t="str">
        <f>IFERROR(__xludf.DUMMYFUNCTION("""COMPUTED_VALUE"""),"Najanela")</f>
        <v>Najanela</v>
      </c>
      <c r="B376" s="4" t="str">
        <f>IFERROR(__xludf.DUMMYFUNCTION("""COMPUTED_VALUE"""),"Lídia Esteves")</f>
        <v>Lídia Esteves</v>
      </c>
      <c r="C376" s="4" t="str">
        <f>IFERROR(__xludf.DUMMYFUNCTION("""COMPUTED_VALUE"""),"Gabriela Roma")</f>
        <v>Gabriela Roma</v>
      </c>
      <c r="D376" s="4" t="str">
        <f>IFERROR(__xludf.DUMMYFUNCTION("""COMPUTED_VALUE"""),"4. Diagnóstico")</f>
        <v>4. Diagnóstico</v>
      </c>
      <c r="E376" s="4" t="str">
        <f>IFERROR(__xludf.DUMMYFUNCTION("""COMPUTED_VALUE"""),"Parceiro - Em validação de proposta comercial")</f>
        <v>Parceiro - Em validação de proposta comercial</v>
      </c>
      <c r="F376" s="4" t="str">
        <f>IFERROR(__xludf.DUMMYFUNCTION("""COMPUTED_VALUE"""),"P")</f>
        <v>P</v>
      </c>
      <c r="G376" s="5">
        <f>IFERROR(__xludf.DUMMYFUNCTION("""COMPUTED_VALUE"""),46104.0)</f>
        <v>46104</v>
      </c>
      <c r="H376" s="4" t="str">
        <f>IFERROR(__xludf.DUMMYFUNCTION("""COMPUTED_VALUE"""),"Engajar parceiro novamente com Comer Fora.")</f>
        <v>Engajar parceiro novamente com Comer Fora.</v>
      </c>
    </row>
    <row r="377">
      <c r="A377" s="4" t="str">
        <f>IFERROR(__xludf.DUMMYFUNCTION("""COMPUTED_VALUE"""),"Nanica")</f>
        <v>Nanica</v>
      </c>
      <c r="B377" s="4" t="str">
        <f>IFERROR(__xludf.DUMMYFUNCTION("""COMPUTED_VALUE"""),"Michel")</f>
        <v>Michel</v>
      </c>
      <c r="C377" s="4" t="str">
        <f>IFERROR(__xludf.DUMMYFUNCTION("""COMPUTED_VALUE"""),"Michel")</f>
        <v>Michel</v>
      </c>
      <c r="D377" s="4" t="str">
        <f>IFERROR(__xludf.DUMMYFUNCTION("""COMPUTED_VALUE"""),"12. Orgânico")</f>
        <v>12. Orgânico</v>
      </c>
      <c r="E377" s="4"/>
      <c r="F377" s="4" t="str">
        <f>IFERROR(__xludf.DUMMYFUNCTION("""COMPUTED_VALUE"""),"P")</f>
        <v>P</v>
      </c>
      <c r="G377" s="4"/>
      <c r="H377" s="4"/>
    </row>
    <row r="378">
      <c r="A378" s="4" t="str">
        <f>IFERROR(__xludf.DUMMYFUNCTION("""COMPUTED_VALUE"""),"Naturale")</f>
        <v>Naturale</v>
      </c>
      <c r="B378" s="4" t="str">
        <f>IFERROR(__xludf.DUMMYFUNCTION("""COMPUTED_VALUE"""),"Michel")</f>
        <v>Michel</v>
      </c>
      <c r="C378" s="4" t="str">
        <f>IFERROR(__xludf.DUMMYFUNCTION("""COMPUTED_VALUE"""),"Michel")</f>
        <v>Michel</v>
      </c>
      <c r="D378" s="4" t="str">
        <f>IFERROR(__xludf.DUMMYFUNCTION("""COMPUTED_VALUE"""),"12. Orgânico")</f>
        <v>12. Orgânico</v>
      </c>
      <c r="E378" s="4"/>
      <c r="F378" s="4" t="str">
        <f>IFERROR(__xludf.DUMMYFUNCTION("""COMPUTED_VALUE"""),"P")</f>
        <v>P</v>
      </c>
      <c r="G378" s="4"/>
      <c r="H378" s="4"/>
    </row>
    <row r="379">
      <c r="A379" s="4" t="str">
        <f>IFERROR(__xludf.DUMMYFUNCTION("""COMPUTED_VALUE"""),"Navarro Cheesecake")</f>
        <v>Navarro Cheesecake</v>
      </c>
      <c r="B379" s="4" t="str">
        <f>IFERROR(__xludf.DUMMYFUNCTION("""COMPUTED_VALUE"""),"Iza")</f>
        <v>Iza</v>
      </c>
      <c r="C379" s="4" t="str">
        <f>IFERROR(__xludf.DUMMYFUNCTION("""COMPUTED_VALUE"""),"Iza")</f>
        <v>Iza</v>
      </c>
      <c r="D379" s="4" t="str">
        <f>IFERROR(__xludf.DUMMYFUNCTION("""COMPUTED_VALUE"""),"10. Perdido")</f>
        <v>10. Perdido</v>
      </c>
      <c r="E379" s="4" t="str">
        <f>IFERROR(__xludf.DUMMYFUNCTION("""COMPUTED_VALUE"""),"Perdido -  Momento do restaurante não favorável")</f>
        <v>Perdido -  Momento do restaurante não favorável</v>
      </c>
      <c r="F379" s="4" t="str">
        <f>IFERROR(__xludf.DUMMYFUNCTION("""COMPUTED_VALUE"""),"P")</f>
        <v>P</v>
      </c>
      <c r="G379" s="5">
        <f>IFERROR(__xludf.DUMMYFUNCTION("""COMPUTED_VALUE"""),46076.0)</f>
        <v>46076</v>
      </c>
      <c r="H379" s="4" t="str">
        <f>IFERROR(__xludf.DUMMYFUNCTION("""COMPUTED_VALUE"""),"Solução não atende sua necessidade - PERDIDO")</f>
        <v>Solução não atende sua necessidade - PERDIDO</v>
      </c>
    </row>
    <row r="380">
      <c r="A380" s="4" t="str">
        <f>IFERROR(__xludf.DUMMYFUNCTION("""COMPUTED_VALUE"""),"Nectar")</f>
        <v>Nectar</v>
      </c>
      <c r="B380" s="4" t="str">
        <f>IFERROR(__xludf.DUMMYFUNCTION("""COMPUTED_VALUE"""),"Michel")</f>
        <v>Michel</v>
      </c>
      <c r="C380" s="4" t="str">
        <f>IFERROR(__xludf.DUMMYFUNCTION("""COMPUTED_VALUE"""),"Michel")</f>
        <v>Michel</v>
      </c>
      <c r="D380" s="4" t="str">
        <f>IFERROR(__xludf.DUMMYFUNCTION("""COMPUTED_VALUE"""),"12. Orgânico")</f>
        <v>12. Orgânico</v>
      </c>
      <c r="E380" s="4"/>
      <c r="F380" s="4" t="str">
        <f>IFERROR(__xludf.DUMMYFUNCTION("""COMPUTED_VALUE"""),"P")</f>
        <v>P</v>
      </c>
      <c r="G380" s="4"/>
      <c r="H380" s="4"/>
    </row>
    <row r="381">
      <c r="A381" s="4" t="str">
        <f>IFERROR(__xludf.DUMMYFUNCTION("""COMPUTED_VALUE"""),"Nema Padaria")</f>
        <v>Nema Padaria</v>
      </c>
      <c r="B381" s="4" t="str">
        <f>IFERROR(__xludf.DUMMYFUNCTION("""COMPUTED_VALUE"""),"Michel")</f>
        <v>Michel</v>
      </c>
      <c r="C381" s="4" t="str">
        <f>IFERROR(__xludf.DUMMYFUNCTION("""COMPUTED_VALUE"""),"Michel")</f>
        <v>Michel</v>
      </c>
      <c r="D381" s="4" t="str">
        <f>IFERROR(__xludf.DUMMYFUNCTION("""COMPUTED_VALUE"""),"9. Contrato assinado")</f>
        <v>9. Contrato assinado</v>
      </c>
      <c r="E381" s="4" t="str">
        <f>IFERROR(__xludf.DUMMYFUNCTION("""COMPUTED_VALUE"""),"Projetos - Contrato assinado mas com trava técnica")</f>
        <v>Projetos - Contrato assinado mas com trava técnica</v>
      </c>
      <c r="F381" s="4" t="str">
        <f>IFERROR(__xludf.DUMMYFUNCTION("""COMPUTED_VALUE"""),"M")</f>
        <v>M</v>
      </c>
      <c r="G381" s="4"/>
      <c r="H381" s="4" t="str">
        <f>IFERROR(__xludf.DUMMYFUNCTION("""COMPUTED_VALUE"""),"Fizemos reuniã 23/02 para alinhar próximos passoas e iremos fazer 5 lojas próprias na primeira quinzena de março,As travas tecnicas eram : Inventario e integraçaõ via BI com dados legados")</f>
        <v>Fizemos reuniã 23/02 para alinhar próximos passoas e iremos fazer 5 lojas próprias na primeira quinzena de março,As travas tecnicas eram : Inventario e integraçaõ via BI com dados legados</v>
      </c>
    </row>
    <row r="382">
      <c r="A382" s="4" t="str">
        <f>IFERROR(__xludf.DUMMYFUNCTION("""COMPUTED_VALUE"""),"Nero Gelato")</f>
        <v>Nero Gelato</v>
      </c>
      <c r="B382" s="4" t="str">
        <f>IFERROR(__xludf.DUMMYFUNCTION("""COMPUTED_VALUE"""),"Michel")</f>
        <v>Michel</v>
      </c>
      <c r="C382" s="4" t="str">
        <f>IFERROR(__xludf.DUMMYFUNCTION("""COMPUTED_VALUE"""),"Michel")</f>
        <v>Michel</v>
      </c>
      <c r="D382" s="4" t="str">
        <f>IFERROR(__xludf.DUMMYFUNCTION("""COMPUTED_VALUE"""),"12. Orgânico")</f>
        <v>12. Orgânico</v>
      </c>
      <c r="E382" s="4"/>
      <c r="F382" s="4" t="str">
        <f>IFERROR(__xludf.DUMMYFUNCTION("""COMPUTED_VALUE"""),"P")</f>
        <v>P</v>
      </c>
      <c r="G382" s="4"/>
      <c r="H382" s="4"/>
    </row>
    <row r="383">
      <c r="A383" s="4" t="str">
        <f>IFERROR(__xludf.DUMMYFUNCTION("""COMPUTED_VALUE"""),"Nippon")</f>
        <v>Nippon</v>
      </c>
      <c r="B383" s="4" t="str">
        <f>IFERROR(__xludf.DUMMYFUNCTION("""COMPUTED_VALUE"""),"Emerson")</f>
        <v>Emerson</v>
      </c>
      <c r="C383" s="4" t="str">
        <f>IFERROR(__xludf.DUMMYFUNCTION("""COMPUTED_VALUE"""),"Emerson")</f>
        <v>Emerson</v>
      </c>
      <c r="D383" s="4" t="str">
        <f>IFERROR(__xludf.DUMMYFUNCTION("""COMPUTED_VALUE"""),"13. Reativado")</f>
        <v>13. Reativado</v>
      </c>
      <c r="E383" s="4" t="str">
        <f>IFERROR(__xludf.DUMMYFUNCTION("""COMPUTED_VALUE"""),"Perdido - Fechou com concorrente")</f>
        <v>Perdido - Fechou com concorrente</v>
      </c>
      <c r="F383" s="4" t="str">
        <f>IFERROR(__xludf.DUMMYFUNCTION("""COMPUTED_VALUE"""),"P")</f>
        <v>P</v>
      </c>
      <c r="G383" s="4"/>
      <c r="H383" s="4" t="str">
        <f>IFERROR(__xludf.DUMMYFUNCTION("""COMPUTED_VALUE"""),"Cliente fechou contrato e depois desistiu de implementar pois acho o produto muito complexo")</f>
        <v>Cliente fechou contrato e depois desistiu de implementar pois acho o produto muito complexo</v>
      </c>
    </row>
    <row r="384">
      <c r="A384" s="4" t="str">
        <f>IFERROR(__xludf.DUMMYFUNCTION("""COMPUTED_VALUE"""),"Nou")</f>
        <v>Nou</v>
      </c>
      <c r="B384" s="4" t="str">
        <f>IFERROR(__xludf.DUMMYFUNCTION("""COMPUTED_VALUE"""),"Ana")</f>
        <v>Ana</v>
      </c>
      <c r="C384" s="4" t="str">
        <f>IFERROR(__xludf.DUMMYFUNCTION("""COMPUTED_VALUE"""),"Ana")</f>
        <v>Ana</v>
      </c>
      <c r="D384" s="4" t="str">
        <f>IFERROR(__xludf.DUMMYFUNCTION("""COMPUTED_VALUE"""),"10. Perdido")</f>
        <v>10. Perdido</v>
      </c>
      <c r="E384" s="4" t="str">
        <f>IFERROR(__xludf.DUMMYFUNCTION("""COMPUTED_VALUE"""),"Perdido -  Momento do restaurante não favorável")</f>
        <v>Perdido -  Momento do restaurante não favorável</v>
      </c>
      <c r="F384" s="4" t="str">
        <f>IFERROR(__xludf.DUMMYFUNCTION("""COMPUTED_VALUE"""),"P")</f>
        <v>P</v>
      </c>
      <c r="G384" s="5">
        <f>IFERROR(__xludf.DUMMYFUNCTION("""COMPUTED_VALUE"""),46076.0)</f>
        <v>46076</v>
      </c>
      <c r="H384" s="4" t="str">
        <f>IFERROR(__xludf.DUMMYFUNCTION("""COMPUTED_VALUE"""),"Parceiro possui sistema funcional e barato, sem interesse em mudar.")</f>
        <v>Parceiro possui sistema funcional e barato, sem interesse em mudar.</v>
      </c>
    </row>
    <row r="385">
      <c r="A385" s="4" t="str">
        <f>IFERROR(__xludf.DUMMYFUNCTION("""COMPUTED_VALUE"""),"O Burguês")</f>
        <v>O Burguês</v>
      </c>
      <c r="B385" s="4" t="str">
        <f>IFERROR(__xludf.DUMMYFUNCTION("""COMPUTED_VALUE"""),"Leonardo Roso")</f>
        <v>Leonardo Roso</v>
      </c>
      <c r="C385" s="4" t="str">
        <f>IFERROR(__xludf.DUMMYFUNCTION("""COMPUTED_VALUE"""),"Leonardo Roso")</f>
        <v>Leonardo Roso</v>
      </c>
      <c r="D385" s="4" t="str">
        <f>IFERROR(__xludf.DUMMYFUNCTION("""COMPUTED_VALUE"""),"9. Contrato assinado")</f>
        <v>9. Contrato assinado</v>
      </c>
      <c r="E385" s="4" t="str">
        <f>IFERROR(__xludf.DUMMYFUNCTION("""COMPUTED_VALUE"""),"Projetos - Contrato assinado mas com trava técnica")</f>
        <v>Projetos - Contrato assinado mas com trava técnica</v>
      </c>
      <c r="F385" s="4" t="str">
        <f>IFERROR(__xludf.DUMMYFUNCTION("""COMPUTED_VALUE"""),"G")</f>
        <v>G</v>
      </c>
      <c r="G385" s="4"/>
      <c r="H385" s="4"/>
    </row>
    <row r="386">
      <c r="A386" s="4" t="str">
        <f>IFERROR(__xludf.DUMMYFUNCTION("""COMPUTED_VALUE"""),"Oaks Cozinha Mexicana")</f>
        <v>Oaks Cozinha Mexicana</v>
      </c>
      <c r="B386" s="4" t="str">
        <f>IFERROR(__xludf.DUMMYFUNCTION("""COMPUTED_VALUE"""),"Lídia Esteves")</f>
        <v>Lídia Esteves</v>
      </c>
      <c r="C386" s="4" t="str">
        <f>IFERROR(__xludf.DUMMYFUNCTION("""COMPUTED_VALUE"""),"Lídia Esteves")</f>
        <v>Lídia Esteves</v>
      </c>
      <c r="D386" s="4" t="str">
        <f>IFERROR(__xludf.DUMMYFUNCTION("""COMPUTED_VALUE"""),"9. Contrato assinado")</f>
        <v>9. Contrato assinado</v>
      </c>
      <c r="E386" s="4" t="str">
        <f>IFERROR(__xludf.DUMMYFUNCTION("""COMPUTED_VALUE"""),"Projetos - Contrato assinado mas com trava técnica")</f>
        <v>Projetos - Contrato assinado mas com trava técnica</v>
      </c>
      <c r="F386" s="4" t="str">
        <f>IFERROR(__xludf.DUMMYFUNCTION("""COMPUTED_VALUE"""),"P")</f>
        <v>P</v>
      </c>
      <c r="G386" s="5">
        <f>IFERROR(__xludf.DUMMYFUNCTION("""COMPUTED_VALUE"""),46076.0)</f>
        <v>46076</v>
      </c>
      <c r="H386" s="4" t="str">
        <f>IFERROR(__xludf.DUMMYFUNCTION("""COMPUTED_VALUE"""),"Assinado mas com problemas na integração do anota ai")</f>
        <v>Assinado mas com problemas na integração do anota ai</v>
      </c>
    </row>
    <row r="387">
      <c r="A387" s="4" t="str">
        <f>IFERROR(__xludf.DUMMYFUNCTION("""COMPUTED_VALUE"""),"Ohana Poke")</f>
        <v>Ohana Poke</v>
      </c>
      <c r="B387" s="4" t="str">
        <f>IFERROR(__xludf.DUMMYFUNCTION("""COMPUTED_VALUE"""),"Diego Santos")</f>
        <v>Diego Santos</v>
      </c>
      <c r="C387" s="4" t="str">
        <f>IFERROR(__xludf.DUMMYFUNCTION("""COMPUTED_VALUE"""),"Diego Santos")</f>
        <v>Diego Santos</v>
      </c>
      <c r="D387" s="4" t="str">
        <f>IFERROR(__xludf.DUMMYFUNCTION("""COMPUTED_VALUE"""),"9. Contrato assinado")</f>
        <v>9. Contrato assinado</v>
      </c>
      <c r="E387" s="4" t="str">
        <f>IFERROR(__xludf.DUMMYFUNCTION("""COMPUTED_VALUE""")," Projetos - Contrato assinado &amp; Rollout")</f>
        <v> Projetos - Contrato assinado &amp; Rollout</v>
      </c>
      <c r="F387" s="4" t="str">
        <f>IFERROR(__xludf.DUMMYFUNCTION("""COMPUTED_VALUE"""),"P")</f>
        <v>P</v>
      </c>
      <c r="G387" s="5">
        <f>IFERROR(__xludf.DUMMYFUNCTION("""COMPUTED_VALUE"""),46076.0)</f>
        <v>46076</v>
      </c>
      <c r="H387" s="4" t="str">
        <f>IFERROR(__xludf.DUMMYFUNCTION("""COMPUTED_VALUE"""),"Contrato assinado")</f>
        <v>Contrato assinado</v>
      </c>
    </row>
    <row r="388">
      <c r="A388" s="4" t="str">
        <f>IFERROR(__xludf.DUMMYFUNCTION("""COMPUTED_VALUE"""),"Ohara Sushi")</f>
        <v>Ohara Sushi</v>
      </c>
      <c r="B388" s="4" t="str">
        <f>IFERROR(__xludf.DUMMYFUNCTION("""COMPUTED_VALUE"""),"Ana")</f>
        <v>Ana</v>
      </c>
      <c r="C388" s="4" t="str">
        <f>IFERROR(__xludf.DUMMYFUNCTION("""COMPUTED_VALUE"""),"Ana")</f>
        <v>Ana</v>
      </c>
      <c r="D388" s="4" t="str">
        <f>IFERROR(__xludf.DUMMYFUNCTION("""COMPUTED_VALUE"""),"10. Perdido")</f>
        <v>10. Perdido</v>
      </c>
      <c r="E388" s="4" t="str">
        <f>IFERROR(__xludf.DUMMYFUNCTION("""COMPUTED_VALUE"""),"Perdido - Outro (detalhar ao lado)")</f>
        <v>Perdido - Outro (detalhar ao lado)</v>
      </c>
      <c r="F388" s="4" t="str">
        <f>IFERROR(__xludf.DUMMYFUNCTION("""COMPUTED_VALUE"""),"P")</f>
        <v>P</v>
      </c>
      <c r="G388" s="5">
        <f>IFERROR(__xludf.DUMMYFUNCTION("""COMPUTED_VALUE"""),46076.0)</f>
        <v>46076</v>
      </c>
      <c r="H388" s="4" t="str">
        <f>IFERROR(__xludf.DUMMYFUNCTION("""COMPUTED_VALUE"""),"Marca não identificada e sem contato válido.")</f>
        <v>Marca não identificada e sem contato válido.</v>
      </c>
    </row>
    <row r="389">
      <c r="A389" s="4" t="str">
        <f>IFERROR(__xludf.DUMMYFUNCTION("""COMPUTED_VALUE"""),"Olgari")</f>
        <v>Olgari</v>
      </c>
      <c r="B389" s="4" t="str">
        <f>IFERROR(__xludf.DUMMYFUNCTION("""COMPUTED_VALUE"""),"Michel")</f>
        <v>Michel</v>
      </c>
      <c r="C389" s="4" t="str">
        <f>IFERROR(__xludf.DUMMYFUNCTION("""COMPUTED_VALUE"""),"Michel")</f>
        <v>Michel</v>
      </c>
      <c r="D389" s="4" t="str">
        <f>IFERROR(__xludf.DUMMYFUNCTION("""COMPUTED_VALUE"""),"12. Orgânico")</f>
        <v>12. Orgânico</v>
      </c>
      <c r="E389" s="4"/>
      <c r="F389" s="4" t="str">
        <f>IFERROR(__xludf.DUMMYFUNCTION("""COMPUTED_VALUE"""),"P")</f>
        <v>P</v>
      </c>
      <c r="G389" s="4"/>
      <c r="H389" s="4"/>
    </row>
    <row r="390">
      <c r="A390" s="4" t="str">
        <f>IFERROR(__xludf.DUMMYFUNCTION("""COMPUTED_VALUE"""),"Orangee")</f>
        <v>Orangee</v>
      </c>
      <c r="B390" s="4" t="str">
        <f>IFERROR(__xludf.DUMMYFUNCTION("""COMPUTED_VALUE"""),"Michel")</f>
        <v>Michel</v>
      </c>
      <c r="C390" s="4" t="str">
        <f>IFERROR(__xludf.DUMMYFUNCTION("""COMPUTED_VALUE"""),"Michel")</f>
        <v>Michel</v>
      </c>
      <c r="D390" s="4" t="str">
        <f>IFERROR(__xludf.DUMMYFUNCTION("""COMPUTED_VALUE"""),"9. Contrato assinado")</f>
        <v>9. Contrato assinado</v>
      </c>
      <c r="E390" s="4"/>
      <c r="F390" s="4" t="str">
        <f>IFERROR(__xludf.DUMMYFUNCTION("""COMPUTED_VALUE"""),"P")</f>
        <v>P</v>
      </c>
      <c r="G390" s="4"/>
      <c r="H390" s="4"/>
    </row>
    <row r="391">
      <c r="A391" s="4" t="str">
        <f>IFERROR(__xludf.DUMMYFUNCTION("""COMPUTED_VALUE"""),"Osaka")</f>
        <v>Osaka</v>
      </c>
      <c r="B391" s="4" t="str">
        <f>IFERROR(__xludf.DUMMYFUNCTION("""COMPUTED_VALUE"""),"Lídia Esteves")</f>
        <v>Lídia Esteves</v>
      </c>
      <c r="C391" s="4" t="str">
        <f>IFERROR(__xludf.DUMMYFUNCTION("""COMPUTED_VALUE"""),"Lídia Esteves")</f>
        <v>Lídia Esteves</v>
      </c>
      <c r="D391" s="4" t="str">
        <f>IFERROR(__xludf.DUMMYFUNCTION("""COMPUTED_VALUE"""),"12. Orgânico")</f>
        <v>12. Orgânico</v>
      </c>
      <c r="E391" s="4" t="str">
        <f>IFERROR(__xludf.DUMMYFUNCTION("""COMPUTED_VALUE""")," Projetos - Contrato assinado &amp; Rollout")</f>
        <v> Projetos - Contrato assinado &amp; Rollout</v>
      </c>
      <c r="F391" s="4" t="str">
        <f>IFERROR(__xludf.DUMMYFUNCTION("""COMPUTED_VALUE"""),"P")</f>
        <v>P</v>
      </c>
      <c r="G391" s="5">
        <f>IFERROR(__xludf.DUMMYFUNCTION("""COMPUTED_VALUE"""),46076.0)</f>
        <v>46076</v>
      </c>
      <c r="H391" s="4" t="str">
        <f>IFERROR(__xludf.DUMMYFUNCTION("""COMPUTED_VALUE"""),"contrato assinado")</f>
        <v>contrato assinado</v>
      </c>
    </row>
    <row r="392">
      <c r="A392" s="4" t="str">
        <f>IFERROR(__xludf.DUMMYFUNCTION("""COMPUTED_VALUE"""),"Outback")</f>
        <v>Outback</v>
      </c>
      <c r="B392" s="4" t="str">
        <f>IFERROR(__xludf.DUMMYFUNCTION("""COMPUTED_VALUE"""),"Michel")</f>
        <v>Michel</v>
      </c>
      <c r="C392" s="4" t="str">
        <f>IFERROR(__xludf.DUMMYFUNCTION("""COMPUTED_VALUE"""),"Michel")</f>
        <v>Michel</v>
      </c>
      <c r="D392" s="4" t="str">
        <f>IFERROR(__xludf.DUMMYFUNCTION("""COMPUTED_VALUE"""),"12. Orgânico")</f>
        <v>12. Orgânico</v>
      </c>
      <c r="E392" s="4"/>
      <c r="F392" s="4" t="str">
        <f>IFERROR(__xludf.DUMMYFUNCTION("""COMPUTED_VALUE"""),"P")</f>
        <v>P</v>
      </c>
      <c r="G392" s="4"/>
      <c r="H392" s="4"/>
    </row>
    <row r="393">
      <c r="A393" s="4" t="str">
        <f>IFERROR(__xludf.DUMMYFUNCTION("""COMPUTED_VALUE"""),"Pão &amp; Cia Manaus")</f>
        <v>Pão &amp; Cia Manaus</v>
      </c>
      <c r="B393" s="4" t="str">
        <f>IFERROR(__xludf.DUMMYFUNCTION("""COMPUTED_VALUE"""),"Lídia Esteves")</f>
        <v>Lídia Esteves</v>
      </c>
      <c r="C393" s="4" t="str">
        <f>IFERROR(__xludf.DUMMYFUNCTION("""COMPUTED_VALUE"""),"Lídia Esteves")</f>
        <v>Lídia Esteves</v>
      </c>
      <c r="D393" s="4" t="str">
        <f>IFERROR(__xludf.DUMMYFUNCTION("""COMPUTED_VALUE"""),"9. Contrato assinado")</f>
        <v>9. Contrato assinado</v>
      </c>
      <c r="E393" s="4" t="str">
        <f>IFERROR(__xludf.DUMMYFUNCTION("""COMPUTED_VALUE""")," Projetos - Contrato assinado &amp; Rollout")</f>
        <v> Projetos - Contrato assinado &amp; Rollout</v>
      </c>
      <c r="F393" s="4" t="str">
        <f>IFERROR(__xludf.DUMMYFUNCTION("""COMPUTED_VALUE"""),"P")</f>
        <v>P</v>
      </c>
      <c r="G393" s="5">
        <f>IFERROR(__xludf.DUMMYFUNCTION("""COMPUTED_VALUE"""),46076.0)</f>
        <v>46076</v>
      </c>
      <c r="H393" s="4" t="str">
        <f>IFERROR(__xludf.DUMMYFUNCTION("""COMPUTED_VALUE"""),"contrato assinado")</f>
        <v>contrato assinado</v>
      </c>
    </row>
    <row r="394">
      <c r="A394" s="4" t="str">
        <f>IFERROR(__xludf.DUMMYFUNCTION("""COMPUTED_VALUE"""),"Papiladeli")</f>
        <v>Papiladeli</v>
      </c>
      <c r="B394" s="4" t="str">
        <f>IFERROR(__xludf.DUMMYFUNCTION("""COMPUTED_VALUE"""),"Michel")</f>
        <v>Michel</v>
      </c>
      <c r="C394" s="4" t="str">
        <f>IFERROR(__xludf.DUMMYFUNCTION("""COMPUTED_VALUE"""),"Michel")</f>
        <v>Michel</v>
      </c>
      <c r="D394" s="4" t="str">
        <f>IFERROR(__xludf.DUMMYFUNCTION("""COMPUTED_VALUE"""),"12. Orgânico")</f>
        <v>12. Orgânico</v>
      </c>
      <c r="E394" s="4"/>
      <c r="F394" s="4" t="str">
        <f>IFERROR(__xludf.DUMMYFUNCTION("""COMPUTED_VALUE"""),"P")</f>
        <v>P</v>
      </c>
      <c r="G394" s="4"/>
      <c r="H394" s="4"/>
    </row>
    <row r="395">
      <c r="A395" s="4" t="str">
        <f>IFERROR(__xludf.DUMMYFUNCTION("""COMPUTED_VALUE"""),"Parada 17")</f>
        <v>Parada 17</v>
      </c>
      <c r="B395" s="4" t="str">
        <f>IFERROR(__xludf.DUMMYFUNCTION("""COMPUTED_VALUE"""),"Michel")</f>
        <v>Michel</v>
      </c>
      <c r="C395" s="4" t="str">
        <f>IFERROR(__xludf.DUMMYFUNCTION("""COMPUTED_VALUE"""),"Michel")</f>
        <v>Michel</v>
      </c>
      <c r="D395" s="4" t="str">
        <f>IFERROR(__xludf.DUMMYFUNCTION("""COMPUTED_VALUE"""),"12. Orgânico")</f>
        <v>12. Orgânico</v>
      </c>
      <c r="E395" s="4"/>
      <c r="F395" s="4" t="str">
        <f>IFERROR(__xludf.DUMMYFUNCTION("""COMPUTED_VALUE"""),"P")</f>
        <v>P</v>
      </c>
      <c r="G395" s="4"/>
      <c r="H395" s="4"/>
    </row>
    <row r="396">
      <c r="A396" s="4" t="str">
        <f>IFERROR(__xludf.DUMMYFUNCTION("""COMPUTED_VALUE"""),"Paul'S Boutique Pizza")</f>
        <v>Paul'S Boutique Pizza</v>
      </c>
      <c r="B396" s="4" t="str">
        <f>IFERROR(__xludf.DUMMYFUNCTION("""COMPUTED_VALUE"""),"Michel")</f>
        <v>Michel</v>
      </c>
      <c r="C396" s="4" t="str">
        <f>IFERROR(__xludf.DUMMYFUNCTION("""COMPUTED_VALUE"""),"Michel")</f>
        <v>Michel</v>
      </c>
      <c r="D396" s="4" t="str">
        <f>IFERROR(__xludf.DUMMYFUNCTION("""COMPUTED_VALUE"""),"9. Contrato assinado")</f>
        <v>9. Contrato assinado</v>
      </c>
      <c r="E396" s="4"/>
      <c r="F396" s="4" t="str">
        <f>IFERROR(__xludf.DUMMYFUNCTION("""COMPUTED_VALUE"""),"P")</f>
        <v>P</v>
      </c>
      <c r="G396" s="4"/>
      <c r="H396" s="4"/>
    </row>
    <row r="397">
      <c r="A397" s="4" t="str">
        <f>IFERROR(__xludf.DUMMYFUNCTION("""COMPUTED_VALUE"""),"Piadina")</f>
        <v>Piadina</v>
      </c>
      <c r="B397" s="4" t="str">
        <f>IFERROR(__xludf.DUMMYFUNCTION("""COMPUTED_VALUE"""),"Michel")</f>
        <v>Michel</v>
      </c>
      <c r="C397" s="4" t="str">
        <f>IFERROR(__xludf.DUMMYFUNCTION("""COMPUTED_VALUE"""),"Michel")</f>
        <v>Michel</v>
      </c>
      <c r="D397" s="4" t="str">
        <f>IFERROR(__xludf.DUMMYFUNCTION("""COMPUTED_VALUE"""),"12. Orgânico")</f>
        <v>12. Orgânico</v>
      </c>
      <c r="E397" s="4"/>
      <c r="F397" s="4" t="str">
        <f>IFERROR(__xludf.DUMMYFUNCTION("""COMPUTED_VALUE"""),"P")</f>
        <v>P</v>
      </c>
      <c r="G397" s="4"/>
      <c r="H397" s="4"/>
    </row>
    <row r="398">
      <c r="A398" s="4" t="str">
        <f>IFERROR(__xludf.DUMMYFUNCTION("""COMPUTED_VALUE"""),"Pikurruchas")</f>
        <v>Pikurruchas</v>
      </c>
      <c r="B398" s="4" t="str">
        <f>IFERROR(__xludf.DUMMYFUNCTION("""COMPUTED_VALUE"""),"Ana")</f>
        <v>Ana</v>
      </c>
      <c r="C398" s="4" t="str">
        <f>IFERROR(__xludf.DUMMYFUNCTION("""COMPUTED_VALUE"""),"Ana")</f>
        <v>Ana</v>
      </c>
      <c r="D398" s="4" t="str">
        <f>IFERROR(__xludf.DUMMYFUNCTION("""COMPUTED_VALUE"""),"10. Perdido")</f>
        <v>10. Perdido</v>
      </c>
      <c r="E398" s="4" t="str">
        <f>IFERROR(__xludf.DUMMYFUNCTION("""COMPUTED_VALUE"""),"Perdido - Outro (detalhar ao lado)")</f>
        <v>Perdido - Outro (detalhar ao lado)</v>
      </c>
      <c r="F398" s="4" t="str">
        <f>IFERROR(__xludf.DUMMYFUNCTION("""COMPUTED_VALUE"""),"P")</f>
        <v>P</v>
      </c>
      <c r="G398" s="5">
        <f>IFERROR(__xludf.DUMMYFUNCTION("""COMPUTED_VALUE"""),46097.0)</f>
        <v>46097</v>
      </c>
      <c r="H398" s="4" t="str">
        <f>IFERROR(__xludf.DUMMYFUNCTION("""COMPUTED_VALUE"""),"executiva pediu demissão, parceiro em transição de carteira... estou avaliando quem está cobrindo esse parceiro para tentar conciliar uma agenda")</f>
        <v>executiva pediu demissão, parceiro em transição de carteira... estou avaliando quem está cobrindo esse parceiro para tentar conciliar uma agenda</v>
      </c>
    </row>
    <row r="399">
      <c r="A399" s="4" t="str">
        <f>IFERROR(__xludf.DUMMYFUNCTION("""COMPUTED_VALUE"""),"Pita Kebab")</f>
        <v>Pita Kebab</v>
      </c>
      <c r="B399" s="4" t="str">
        <f>IFERROR(__xludf.DUMMYFUNCTION("""COMPUTED_VALUE"""),"Lídia Esteves")</f>
        <v>Lídia Esteves</v>
      </c>
      <c r="C399" s="4" t="str">
        <f>IFERROR(__xludf.DUMMYFUNCTION("""COMPUTED_VALUE"""),"Lídia Esteves")</f>
        <v>Lídia Esteves</v>
      </c>
      <c r="D399" s="4" t="str">
        <f>IFERROR(__xludf.DUMMYFUNCTION("""COMPUTED_VALUE"""),"10. Perdido")</f>
        <v>10. Perdido</v>
      </c>
      <c r="E399" s="4" t="str">
        <f>IFERROR(__xludf.DUMMYFUNCTION("""COMPUTED_VALUE"""),"Perdido -  Momento do restaurante não favorável")</f>
        <v>Perdido -  Momento do restaurante não favorável</v>
      </c>
      <c r="F399" s="4" t="str">
        <f>IFERROR(__xludf.DUMMYFUNCTION("""COMPUTED_VALUE"""),"P")</f>
        <v>P</v>
      </c>
      <c r="G399" s="5">
        <f>IFERROR(__xludf.DUMMYFUNCTION("""COMPUTED_VALUE"""),46076.0)</f>
        <v>46076</v>
      </c>
      <c r="H399" s="4" t="str">
        <f>IFERROR(__xludf.DUMMYFUNCTION("""COMPUTED_VALUE"""),"parceiro descarteirizado , foi para 99 e está com relacionamento ruim com Ifood por discussao de equiparaçaõ de taxas com a concorrencia")</f>
        <v>parceiro descarteirizado , foi para 99 e está com relacionamento ruim com Ifood por discussao de equiparaçaõ de taxas com a concorrencia</v>
      </c>
    </row>
    <row r="400">
      <c r="A400" s="4" t="str">
        <f>IFERROR(__xludf.DUMMYFUNCTION("""COMPUTED_VALUE"""),"Pizza Da Mafia")</f>
        <v>Pizza Da Mafia</v>
      </c>
      <c r="B400" s="4" t="str">
        <f>IFERROR(__xludf.DUMMYFUNCTION("""COMPUTED_VALUE"""),"Lídia Esteves")</f>
        <v>Lídia Esteves</v>
      </c>
      <c r="C400" s="4" t="str">
        <f>IFERROR(__xludf.DUMMYFUNCTION("""COMPUTED_VALUE"""),"Emerson")</f>
        <v>Emerson</v>
      </c>
      <c r="D400" s="4" t="str">
        <f>IFERROR(__xludf.DUMMYFUNCTION("""COMPUTED_VALUE"""),"10. Perdido")</f>
        <v>10. Perdido</v>
      </c>
      <c r="E400" s="4" t="str">
        <f>IFERROR(__xludf.DUMMYFUNCTION("""COMPUTED_VALUE"""),"Perdido - Outro (detalhar ao lado)")</f>
        <v>Perdido - Outro (detalhar ao lado)</v>
      </c>
      <c r="F400" s="4" t="str">
        <f>IFERROR(__xludf.DUMMYFUNCTION("""COMPUTED_VALUE"""),"P")</f>
        <v>P</v>
      </c>
      <c r="G400" s="5">
        <f>IFERROR(__xludf.DUMMYFUNCTION("""COMPUTED_VALUE"""),46062.0)</f>
        <v>46062</v>
      </c>
      <c r="H400" s="4" t="str">
        <f>IFERROR(__xludf.DUMMYFUNCTION("""COMPUTED_VALUE"""),"cliente saipos insatisfeito e olhando o mercado , demonstrou interesse em conhecer 3S")</f>
        <v>cliente saipos insatisfeito e olhando o mercado , demonstrou interesse em conhecer 3S</v>
      </c>
    </row>
    <row r="401">
      <c r="A401" s="4" t="str">
        <f>IFERROR(__xludf.DUMMYFUNCTION("""COMPUTED_VALUE"""),"Pizza Hut")</f>
        <v>Pizza Hut</v>
      </c>
      <c r="B401" s="4" t="str">
        <f>IFERROR(__xludf.DUMMYFUNCTION("""COMPUTED_VALUE"""),"Michel")</f>
        <v>Michel</v>
      </c>
      <c r="C401" s="4" t="str">
        <f>IFERROR(__xludf.DUMMYFUNCTION("""COMPUTED_VALUE"""),"Michel")</f>
        <v>Michel</v>
      </c>
      <c r="D401" s="4" t="str">
        <f>IFERROR(__xludf.DUMMYFUNCTION("""COMPUTED_VALUE"""),"12. Orgânico")</f>
        <v>12. Orgânico</v>
      </c>
      <c r="E401" s="4"/>
      <c r="F401" s="4" t="str">
        <f>IFERROR(__xludf.DUMMYFUNCTION("""COMPUTED_VALUE"""),"M")</f>
        <v>M</v>
      </c>
      <c r="G401" s="4"/>
      <c r="H401" s="4"/>
    </row>
    <row r="402">
      <c r="A402" s="4" t="str">
        <f>IFERROR(__xludf.DUMMYFUNCTION("""COMPUTED_VALUE"""),"Pizza Para Voce - Conta Pai")</f>
        <v>Pizza Para Voce - Conta Pai</v>
      </c>
      <c r="B402" s="4" t="str">
        <f>IFERROR(__xludf.DUMMYFUNCTION("""COMPUTED_VALUE"""),"Lídia Esteves")</f>
        <v>Lídia Esteves</v>
      </c>
      <c r="C402" s="4" t="str">
        <f>IFERROR(__xludf.DUMMYFUNCTION("""COMPUTED_VALUE"""),"Lídia Esteves")</f>
        <v>Lídia Esteves</v>
      </c>
      <c r="D402" s="4" t="str">
        <f>IFERROR(__xludf.DUMMYFUNCTION("""COMPUTED_VALUE"""),"10. Perdido")</f>
        <v>10. Perdido</v>
      </c>
      <c r="E402" s="4" t="str">
        <f>IFERROR(__xludf.DUMMYFUNCTION("""COMPUTED_VALUE"""),"Perdido - Outro (detalhar ao lado)")</f>
        <v>Perdido - Outro (detalhar ao lado)</v>
      </c>
      <c r="F402" s="4" t="str">
        <f>IFERROR(__xludf.DUMMYFUNCTION("""COMPUTED_VALUE"""),"P")</f>
        <v>P</v>
      </c>
      <c r="G402" s="4"/>
      <c r="H402" s="22" t="str">
        <f>IFERROR(__xludf.DUMMYFUNCTION("""COMPUTED_VALUE"""),"perfil saipos encaminhei para o Joao")</f>
        <v>perfil saipos encaminhei para o Joao</v>
      </c>
    </row>
    <row r="403">
      <c r="A403" s="4" t="str">
        <f>IFERROR(__xludf.DUMMYFUNCTION("""COMPUTED_VALUE"""),"Popeyes")</f>
        <v>Popeyes</v>
      </c>
      <c r="B403" s="4" t="str">
        <f>IFERROR(__xludf.DUMMYFUNCTION("""COMPUTED_VALUE"""),"Michel")</f>
        <v>Michel</v>
      </c>
      <c r="C403" s="4" t="str">
        <f>IFERROR(__xludf.DUMMYFUNCTION("""COMPUTED_VALUE"""),"Michel")</f>
        <v>Michel</v>
      </c>
      <c r="D403" s="4" t="str">
        <f>IFERROR(__xludf.DUMMYFUNCTION("""COMPUTED_VALUE"""),"12. Orgânico")</f>
        <v>12. Orgânico</v>
      </c>
      <c r="E403" s="4"/>
      <c r="F403" s="4" t="str">
        <f>IFERROR(__xludf.DUMMYFUNCTION("""COMPUTED_VALUE"""),"P")</f>
        <v>P</v>
      </c>
      <c r="G403" s="4"/>
      <c r="H403" s="4"/>
    </row>
    <row r="404">
      <c r="A404" s="4" t="str">
        <f>IFERROR(__xludf.DUMMYFUNCTION("""COMPUTED_VALUE"""),"Porto Do Sabor")</f>
        <v>Porto Do Sabor</v>
      </c>
      <c r="B404" s="4" t="str">
        <f>IFERROR(__xludf.DUMMYFUNCTION("""COMPUTED_VALUE"""),"Lídia Esteves")</f>
        <v>Lídia Esteves</v>
      </c>
      <c r="C404" s="4" t="str">
        <f>IFERROR(__xludf.DUMMYFUNCTION("""COMPUTED_VALUE"""),"Lídia Esteves")</f>
        <v>Lídia Esteves</v>
      </c>
      <c r="D404" s="4" t="str">
        <f>IFERROR(__xludf.DUMMYFUNCTION("""COMPUTED_VALUE"""),"10. Perdido")</f>
        <v>10. Perdido</v>
      </c>
      <c r="E404" s="4" t="str">
        <f>IFERROR(__xludf.DUMMYFUNCTION("""COMPUTED_VALUE"""),"Perdido - Outro (detalhar ao lado)")</f>
        <v>Perdido - Outro (detalhar ao lado)</v>
      </c>
      <c r="F404" s="4" t="str">
        <f>IFERROR(__xludf.DUMMYFUNCTION("""COMPUTED_VALUE"""),"P")</f>
        <v>P</v>
      </c>
      <c r="G404" s="5">
        <f>IFERROR(__xludf.DUMMYFUNCTION("""COMPUTED_VALUE"""),46076.0)</f>
        <v>46076</v>
      </c>
      <c r="H404" s="4" t="str">
        <f>IFERROR(__xludf.DUMMYFUNCTION("""COMPUTED_VALUE"""),"Fechou com concorrente.")</f>
        <v>Fechou com concorrente.</v>
      </c>
    </row>
    <row r="405">
      <c r="A405" s="4" t="str">
        <f>IFERROR(__xludf.DUMMYFUNCTION("""COMPUTED_VALUE"""),"Quinchito")</f>
        <v>Quinchito</v>
      </c>
      <c r="B405" s="4" t="str">
        <f>IFERROR(__xludf.DUMMYFUNCTION("""COMPUTED_VALUE"""),"Diego Santos")</f>
        <v>Diego Santos</v>
      </c>
      <c r="C405" s="4" t="str">
        <f>IFERROR(__xludf.DUMMYFUNCTION("""COMPUTED_VALUE"""),"Diego Santos")</f>
        <v>Diego Santos</v>
      </c>
      <c r="D405" s="4" t="str">
        <f>IFERROR(__xludf.DUMMYFUNCTION("""COMPUTED_VALUE"""),"10. Perdido")</f>
        <v>10. Perdido</v>
      </c>
      <c r="E405" s="4" t="str">
        <f>IFERROR(__xludf.DUMMYFUNCTION("""COMPUTED_VALUE"""),"Perdido - Sem perfil LA / 3SCheckout / PDV próprio")</f>
        <v>Perdido - Sem perfil LA / 3SCheckout / PDV próprio</v>
      </c>
      <c r="F405" s="4" t="str">
        <f>IFERROR(__xludf.DUMMYFUNCTION("""COMPUTED_VALUE"""),"P")</f>
        <v>P</v>
      </c>
      <c r="G405" s="5">
        <f>IFERROR(__xludf.DUMMYFUNCTION("""COMPUTED_VALUE"""),46076.0)</f>
        <v>46076</v>
      </c>
      <c r="H405" s="4" t="str">
        <f>IFERROR(__xludf.DUMMYFUNCTION("""COMPUTED_VALUE"""),"Sem perfil LA.")</f>
        <v>Sem perfil LA.</v>
      </c>
    </row>
    <row r="406">
      <c r="A406" s="4" t="str">
        <f>IFERROR(__xludf.DUMMYFUNCTION("""COMPUTED_VALUE"""),"Rascal")</f>
        <v>Rascal</v>
      </c>
      <c r="B406" s="4" t="str">
        <f>IFERROR(__xludf.DUMMYFUNCTION("""COMPUTED_VALUE"""),"Michel")</f>
        <v>Michel</v>
      </c>
      <c r="C406" s="4" t="str">
        <f>IFERROR(__xludf.DUMMYFUNCTION("""COMPUTED_VALUE"""),"Michel")</f>
        <v>Michel</v>
      </c>
      <c r="D406" s="4" t="str">
        <f>IFERROR(__xludf.DUMMYFUNCTION("""COMPUTED_VALUE"""),"12. Orgânico")</f>
        <v>12. Orgânico</v>
      </c>
      <c r="E406" s="4"/>
      <c r="F406" s="4" t="str">
        <f>IFERROR(__xludf.DUMMYFUNCTION("""COMPUTED_VALUE"""),"P")</f>
        <v>P</v>
      </c>
      <c r="G406" s="4"/>
      <c r="H406" s="4"/>
    </row>
    <row r="407">
      <c r="A407" s="4" t="str">
        <f>IFERROR(__xludf.DUMMYFUNCTION("""COMPUTED_VALUE"""),"Rede Macaxeira")</f>
        <v>Rede Macaxeira</v>
      </c>
      <c r="B407" s="4" t="str">
        <f>IFERROR(__xludf.DUMMYFUNCTION("""COMPUTED_VALUE"""),"Ana")</f>
        <v>Ana</v>
      </c>
      <c r="C407" s="4" t="str">
        <f>IFERROR(__xludf.DUMMYFUNCTION("""COMPUTED_VALUE"""),"Ana")</f>
        <v>Ana</v>
      </c>
      <c r="D407" s="4" t="str">
        <f>IFERROR(__xludf.DUMMYFUNCTION("""COMPUTED_VALUE"""),"10. Perdido")</f>
        <v>10. Perdido</v>
      </c>
      <c r="E407" s="4" t="str">
        <f>IFERROR(__xludf.DUMMYFUNCTION("""COMPUTED_VALUE"""),"Perdido -  Momento do restaurante não favorável")</f>
        <v>Perdido -  Momento do restaurante não favorável</v>
      </c>
      <c r="F407" s="4" t="str">
        <f>IFERROR(__xludf.DUMMYFUNCTION("""COMPUTED_VALUE"""),"P")</f>
        <v>P</v>
      </c>
      <c r="G407" s="5">
        <f>IFERROR(__xludf.DUMMYFUNCTION("""COMPUTED_VALUE"""),46076.0)</f>
        <v>46076</v>
      </c>
      <c r="H407" s="4" t="str">
        <f>IFERROR(__xludf.DUMMYFUNCTION("""COMPUTED_VALUE"""),"Sem interesse de mudar o pdv atual (garçom web)")</f>
        <v>Sem interesse de mudar o pdv atual (garçom web)</v>
      </c>
    </row>
    <row r="408">
      <c r="A408" s="4" t="str">
        <f>IFERROR(__xludf.DUMMYFUNCTION("""COMPUTED_VALUE"""),"Restaurante Maza")</f>
        <v>Restaurante Maza</v>
      </c>
      <c r="B408" s="4" t="str">
        <f>IFERROR(__xludf.DUMMYFUNCTION("""COMPUTED_VALUE"""),"Iza")</f>
        <v>Iza</v>
      </c>
      <c r="C408" s="4" t="str">
        <f>IFERROR(__xludf.DUMMYFUNCTION("""COMPUTED_VALUE"""),"Iza")</f>
        <v>Iza</v>
      </c>
      <c r="D408" s="4" t="str">
        <f>IFERROR(__xludf.DUMMYFUNCTION("""COMPUTED_VALUE"""),"9. Contrato assinado")</f>
        <v>9. Contrato assinado</v>
      </c>
      <c r="E408" s="4" t="str">
        <f>IFERROR(__xludf.DUMMYFUNCTION("""COMPUTED_VALUE""")," Projetos - Contrato assinado &amp; Rollout")</f>
        <v> Projetos - Contrato assinado &amp; Rollout</v>
      </c>
      <c r="F408" s="4" t="str">
        <f>IFERROR(__xludf.DUMMYFUNCTION("""COMPUTED_VALUE"""),"P")</f>
        <v>P</v>
      </c>
      <c r="G408" s="5">
        <f>IFERROR(__xludf.DUMMYFUNCTION("""COMPUTED_VALUE"""),46076.0)</f>
        <v>46076</v>
      </c>
      <c r="H408" s="4" t="str">
        <f>IFERROR(__xludf.DUMMYFUNCTION("""COMPUTED_VALUE"""),"Contrato assinado")</f>
        <v>Contrato assinado</v>
      </c>
    </row>
    <row r="409">
      <c r="A409" s="4" t="str">
        <f>IFERROR(__xludf.DUMMYFUNCTION("""COMPUTED_VALUE"""),"Rosso Burguer")</f>
        <v>Rosso Burguer</v>
      </c>
      <c r="B409" s="4" t="str">
        <f>IFERROR(__xludf.DUMMYFUNCTION("""COMPUTED_VALUE"""),"Diego Santos")</f>
        <v>Diego Santos</v>
      </c>
      <c r="C409" s="4" t="str">
        <f>IFERROR(__xludf.DUMMYFUNCTION("""COMPUTED_VALUE"""),"Diego Santos")</f>
        <v>Diego Santos</v>
      </c>
      <c r="D409" s="4" t="str">
        <f>IFERROR(__xludf.DUMMYFUNCTION("""COMPUTED_VALUE"""),"10. Perdido")</f>
        <v>10. Perdido</v>
      </c>
      <c r="E409" s="4" t="str">
        <f>IFERROR(__xludf.DUMMYFUNCTION("""COMPUTED_VALUE"""),"Perdido - Sem perfil LA / 3SCheckout / PDV próprio")</f>
        <v>Perdido - Sem perfil LA / 3SCheckout / PDV próprio</v>
      </c>
      <c r="F409" s="4" t="str">
        <f>IFERROR(__xludf.DUMMYFUNCTION("""COMPUTED_VALUE"""),"P")</f>
        <v>P</v>
      </c>
      <c r="G409" s="4"/>
      <c r="H409" s="22" t="str">
        <f>IFERROR(__xludf.DUMMYFUNCTION("""COMPUTED_VALUE"""),"Usa Saipos mas já está de saída pra outro software. Não teve interesse em negociar conosco nem tem possibilidade de reversão da saída da saipos.")</f>
        <v>Usa Saipos mas já está de saída pra outro software. Não teve interesse em negociar conosco nem tem possibilidade de reversão da saída da saipos.</v>
      </c>
    </row>
    <row r="410">
      <c r="A410" s="4" t="str">
        <f>IFERROR(__xludf.DUMMYFUNCTION("""COMPUTED_VALUE"""),"Rubaiyat")</f>
        <v>Rubaiyat</v>
      </c>
      <c r="B410" s="4" t="str">
        <f>IFERROR(__xludf.DUMMYFUNCTION("""COMPUTED_VALUE"""),"Ana")</f>
        <v>Ana</v>
      </c>
      <c r="C410" s="4" t="str">
        <f>IFERROR(__xludf.DUMMYFUNCTION("""COMPUTED_VALUE"""),"Ana")</f>
        <v>Ana</v>
      </c>
      <c r="D410" s="4" t="str">
        <f>IFERROR(__xludf.DUMMYFUNCTION("""COMPUTED_VALUE"""),"10. Perdido")</f>
        <v>10. Perdido</v>
      </c>
      <c r="E410" s="4" t="str">
        <f>IFERROR(__xludf.DUMMYFUNCTION("""COMPUTED_VALUE"""),"Perdido - Outro (detalhar ao lado)")</f>
        <v>Perdido - Outro (detalhar ao lado)</v>
      </c>
      <c r="F410" s="4" t="str">
        <f>IFERROR(__xludf.DUMMYFUNCTION("""COMPUTED_VALUE"""),"P")</f>
        <v>P</v>
      </c>
      <c r="G410" s="5">
        <f>IFERROR(__xludf.DUMMYFUNCTION("""COMPUTED_VALUE"""),46076.0)</f>
        <v>46076</v>
      </c>
      <c r="H410" s="4" t="str">
        <f>IFERROR(__xludf.DUMMYFUNCTION("""COMPUTED_VALUE"""),"Tem solução própria ")</f>
        <v>Tem solução própria </v>
      </c>
    </row>
    <row r="411">
      <c r="A411" s="4" t="str">
        <f>IFERROR(__xludf.DUMMYFUNCTION("""COMPUTED_VALUE"""),"S.A Casa Do Sushi")</f>
        <v>S.A Casa Do Sushi</v>
      </c>
      <c r="B411" s="4" t="str">
        <f>IFERROR(__xludf.DUMMYFUNCTION("""COMPUTED_VALUE"""),"Iza")</f>
        <v>Iza</v>
      </c>
      <c r="C411" s="4" t="str">
        <f>IFERROR(__xludf.DUMMYFUNCTION("""COMPUTED_VALUE"""),"Iza")</f>
        <v>Iza</v>
      </c>
      <c r="D411" s="4" t="str">
        <f>IFERROR(__xludf.DUMMYFUNCTION("""COMPUTED_VALUE"""),"10. Perdido")</f>
        <v>10. Perdido</v>
      </c>
      <c r="E411" s="4" t="str">
        <f>IFERROR(__xludf.DUMMYFUNCTION("""COMPUTED_VALUE"""),"Perdido - Sem perfil LA / 3SCheckout / PDV próprio")</f>
        <v>Perdido - Sem perfil LA / 3SCheckout / PDV próprio</v>
      </c>
      <c r="F411" s="4" t="str">
        <f>IFERROR(__xludf.DUMMYFUNCTION("""COMPUTED_VALUE"""),"P")</f>
        <v>P</v>
      </c>
      <c r="G411" s="5">
        <f>IFERROR(__xludf.DUMMYFUNCTION("""COMPUTED_VALUE"""),46076.0)</f>
        <v>46076</v>
      </c>
      <c r="H411" s="4" t="str">
        <f>IFERROR(__xludf.DUMMYFUNCTION("""COMPUTED_VALUE"""),"Falei com diretor Natan e me informou que acabaram de fechar com um sistema (Livn) que estão os atendendo muito bem.")</f>
        <v>Falei com diretor Natan e me informou que acabaram de fechar com um sistema (Livn) que estão os atendendo muito bem.</v>
      </c>
    </row>
    <row r="412">
      <c r="A412" s="4" t="str">
        <f>IFERROR(__xludf.DUMMYFUNCTION("""COMPUTED_VALUE"""),"Saj")</f>
        <v>Saj</v>
      </c>
      <c r="B412" s="4" t="str">
        <f>IFERROR(__xludf.DUMMYFUNCTION("""COMPUTED_VALUE"""),"Ana")</f>
        <v>Ana</v>
      </c>
      <c r="C412" s="4" t="str">
        <f>IFERROR(__xludf.DUMMYFUNCTION("""COMPUTED_VALUE"""),"Ana")</f>
        <v>Ana</v>
      </c>
      <c r="D412" s="4" t="str">
        <f>IFERROR(__xludf.DUMMYFUNCTION("""COMPUTED_VALUE"""),"13. Reativado")</f>
        <v>13. Reativado</v>
      </c>
      <c r="E412" s="4" t="str">
        <f>IFERROR(__xludf.DUMMYFUNCTION("""COMPUTED_VALUE"""),"Perdido -  Momento do restaurante não favorável")</f>
        <v>Perdido -  Momento do restaurante não favorável</v>
      </c>
      <c r="F412" s="4" t="str">
        <f>IFERROR(__xludf.DUMMYFUNCTION("""COMPUTED_VALUE"""),"P")</f>
        <v>P</v>
      </c>
      <c r="G412" s="5">
        <f>IFERROR(__xludf.DUMMYFUNCTION("""COMPUTED_VALUE"""),46076.0)</f>
        <v>46076</v>
      </c>
      <c r="H412" s="4" t="str">
        <f>IFERROR(__xludf.DUMMYFUNCTION("""COMPUTED_VALUE"""),"Parceiro não deu abertura pra falar sobre salao, não quer trocar de sistema.")</f>
        <v>Parceiro não deu abertura pra falar sobre salao, não quer trocar de sistema.</v>
      </c>
    </row>
    <row r="413">
      <c r="A413" s="4" t="str">
        <f>IFERROR(__xludf.DUMMYFUNCTION("""COMPUTED_VALUE"""),"Salu")</f>
        <v>Salu</v>
      </c>
      <c r="B413" s="4" t="str">
        <f>IFERROR(__xludf.DUMMYFUNCTION("""COMPUTED_VALUE"""),"Michel")</f>
        <v>Michel</v>
      </c>
      <c r="C413" s="4" t="str">
        <f>IFERROR(__xludf.DUMMYFUNCTION("""COMPUTED_VALUE"""),"Michel")</f>
        <v>Michel</v>
      </c>
      <c r="D413" s="4" t="str">
        <f>IFERROR(__xludf.DUMMYFUNCTION("""COMPUTED_VALUE"""),"12. Orgânico")</f>
        <v>12. Orgânico</v>
      </c>
      <c r="E413" s="4"/>
      <c r="F413" s="4" t="str">
        <f>IFERROR(__xludf.DUMMYFUNCTION("""COMPUTED_VALUE"""),"P")</f>
        <v>P</v>
      </c>
      <c r="G413" s="4"/>
      <c r="H413" s="4"/>
    </row>
    <row r="414">
      <c r="A414" s="4" t="str">
        <f>IFERROR(__xludf.DUMMYFUNCTION("""COMPUTED_VALUE"""),"Sampa Food")</f>
        <v>Sampa Food</v>
      </c>
      <c r="B414" s="4" t="str">
        <f>IFERROR(__xludf.DUMMYFUNCTION("""COMPUTED_VALUE"""),"Michel")</f>
        <v>Michel</v>
      </c>
      <c r="C414" s="4" t="str">
        <f>IFERROR(__xludf.DUMMYFUNCTION("""COMPUTED_VALUE"""),"Michel")</f>
        <v>Michel</v>
      </c>
      <c r="D414" s="4" t="str">
        <f>IFERROR(__xludf.DUMMYFUNCTION("""COMPUTED_VALUE"""),"12. Orgânico")</f>
        <v>12. Orgânico</v>
      </c>
      <c r="E414" s="4"/>
      <c r="F414" s="4" t="str">
        <f>IFERROR(__xludf.DUMMYFUNCTION("""COMPUTED_VALUE"""),"P")</f>
        <v>P</v>
      </c>
      <c r="G414" s="4"/>
      <c r="H414" s="4"/>
    </row>
    <row r="415">
      <c r="A415" s="4" t="str">
        <f>IFERROR(__xludf.DUMMYFUNCTION("""COMPUTED_VALUE"""),"San Paolo Gelato")</f>
        <v>San Paolo Gelato</v>
      </c>
      <c r="B415" s="4" t="str">
        <f>IFERROR(__xludf.DUMMYFUNCTION("""COMPUTED_VALUE"""),"Michel")</f>
        <v>Michel</v>
      </c>
      <c r="C415" s="4" t="str">
        <f>IFERROR(__xludf.DUMMYFUNCTION("""COMPUTED_VALUE"""),"Michel")</f>
        <v>Michel</v>
      </c>
      <c r="D415" s="4" t="str">
        <f>IFERROR(__xludf.DUMMYFUNCTION("""COMPUTED_VALUE"""),"9. Contrato assinado")</f>
        <v>9. Contrato assinado</v>
      </c>
      <c r="E415" s="4" t="str">
        <f>IFERROR(__xludf.DUMMYFUNCTION("""COMPUTED_VALUE"""),"Projetos - Contrato assinado mas com trava técnica")</f>
        <v>Projetos - Contrato assinado mas com trava técnica</v>
      </c>
      <c r="F415" s="4" t="str">
        <f>IFERROR(__xludf.DUMMYFUNCTION("""COMPUTED_VALUE"""),"G")</f>
        <v>G</v>
      </c>
      <c r="G415" s="4"/>
      <c r="H415" s="4" t="str">
        <f>IFERROR(__xludf.DUMMYFUNCTION("""COMPUTED_VALUE"""),"Cliente finalizou a integração com ERP na sexta-feira (marcar reunião para alinhar rollou)")</f>
        <v>Cliente finalizou a integração com ERP na sexta-feira (marcar reunião para alinhar rollou)</v>
      </c>
    </row>
    <row r="416">
      <c r="A416" s="4" t="str">
        <f>IFERROR(__xludf.DUMMYFUNCTION("""COMPUTED_VALUE"""),"Santu Padaria")</f>
        <v>Santu Padaria</v>
      </c>
      <c r="B416" s="4" t="str">
        <f>IFERROR(__xludf.DUMMYFUNCTION("""COMPUTED_VALUE"""),"Iza")</f>
        <v>Iza</v>
      </c>
      <c r="C416" s="4" t="str">
        <f>IFERROR(__xludf.DUMMYFUNCTION("""COMPUTED_VALUE"""),"Iza")</f>
        <v>Iza</v>
      </c>
      <c r="D416" s="4" t="str">
        <f>IFERROR(__xludf.DUMMYFUNCTION("""COMPUTED_VALUE"""),"10. Perdido")</f>
        <v>10. Perdido</v>
      </c>
      <c r="E416" s="4" t="str">
        <f>IFERROR(__xludf.DUMMYFUNCTION("""COMPUTED_VALUE"""),"Perdido - Sem perfil LA / 3SCheckout / PDV próprio")</f>
        <v>Perdido - Sem perfil LA / 3SCheckout / PDV próprio</v>
      </c>
      <c r="F416" s="4" t="str">
        <f>IFERROR(__xludf.DUMMYFUNCTION("""COMPUTED_VALUE"""),"P")</f>
        <v>P</v>
      </c>
      <c r="G416" s="5">
        <f>IFERROR(__xludf.DUMMYFUNCTION("""COMPUTED_VALUE"""),46076.0)</f>
        <v>46076</v>
      </c>
      <c r="H416" s="4" t="str">
        <f>IFERROR(__xludf.DUMMYFUNCTION("""COMPUTED_VALUE"""),"Fechou com concorrente.")</f>
        <v>Fechou com concorrente.</v>
      </c>
    </row>
    <row r="417">
      <c r="A417" s="4" t="str">
        <f>IFERROR(__xludf.DUMMYFUNCTION("""COMPUTED_VALUE"""),"Sorrentino")</f>
        <v>Sorrentino</v>
      </c>
      <c r="B417" s="4" t="str">
        <f>IFERROR(__xludf.DUMMYFUNCTION("""COMPUTED_VALUE"""),"Diego Santos")</f>
        <v>Diego Santos</v>
      </c>
      <c r="C417" s="4" t="str">
        <f>IFERROR(__xludf.DUMMYFUNCTION("""COMPUTED_VALUE"""),"Diego Santos")</f>
        <v>Diego Santos</v>
      </c>
      <c r="D417" s="4" t="str">
        <f>IFERROR(__xludf.DUMMYFUNCTION("""COMPUTED_VALUE"""),"10. Perdido")</f>
        <v>10. Perdido</v>
      </c>
      <c r="E417" s="4" t="str">
        <f>IFERROR(__xludf.DUMMYFUNCTION("""COMPUTED_VALUE"""),"Perdido - Outro (detalhar ao lado)")</f>
        <v>Perdido - Outro (detalhar ao lado)</v>
      </c>
      <c r="F417" s="4" t="str">
        <f>IFERROR(__xludf.DUMMYFUNCTION("""COMPUTED_VALUE"""),"P")</f>
        <v>P</v>
      </c>
      <c r="G417" s="5">
        <f>IFERROR(__xludf.DUMMYFUNCTION("""COMPUTED_VALUE"""),46076.0)</f>
        <v>46076</v>
      </c>
      <c r="H417" s="4" t="str">
        <f>IFERROR(__xludf.DUMMYFUNCTION("""COMPUTED_VALUE"""),"Sem interesse mudar de solução")</f>
        <v>Sem interesse mudar de solução</v>
      </c>
    </row>
    <row r="418">
      <c r="A418" s="4" t="str">
        <f>IFERROR(__xludf.DUMMYFUNCTION("""COMPUTED_VALUE"""),"Sorvete Yopa")</f>
        <v>Sorvete Yopa</v>
      </c>
      <c r="B418" s="4" t="str">
        <f>IFERROR(__xludf.DUMMYFUNCTION("""COMPUTED_VALUE"""),"Emerson")</f>
        <v>Emerson</v>
      </c>
      <c r="C418" s="4" t="str">
        <f>IFERROR(__xludf.DUMMYFUNCTION("""COMPUTED_VALUE"""),"Emerson")</f>
        <v>Emerson</v>
      </c>
      <c r="D418" s="4" t="str">
        <f>IFERROR(__xludf.DUMMYFUNCTION("""COMPUTED_VALUE"""),"8. Contrato enviado")</f>
        <v>8. Contrato enviado</v>
      </c>
      <c r="E418" s="4"/>
      <c r="F418" s="4" t="str">
        <f>IFERROR(__xludf.DUMMYFUNCTION("""COMPUTED_VALUE"""),"P")</f>
        <v>P</v>
      </c>
      <c r="G418" s="4"/>
      <c r="H418" s="4"/>
    </row>
    <row r="419">
      <c r="A419" s="4" t="str">
        <f>IFERROR(__xludf.DUMMYFUNCTION("""COMPUTED_VALUE"""),"Sucão")</f>
        <v>Sucão</v>
      </c>
      <c r="B419" s="4" t="str">
        <f>IFERROR(__xludf.DUMMYFUNCTION("""COMPUTED_VALUE"""),"Michel")</f>
        <v>Michel</v>
      </c>
      <c r="C419" s="4" t="str">
        <f>IFERROR(__xludf.DUMMYFUNCTION("""COMPUTED_VALUE"""),"Michel")</f>
        <v>Michel</v>
      </c>
      <c r="D419" s="4" t="str">
        <f>IFERROR(__xludf.DUMMYFUNCTION("""COMPUTED_VALUE"""),"12. Orgânico")</f>
        <v>12. Orgânico</v>
      </c>
      <c r="E419" s="4"/>
      <c r="F419" s="4" t="str">
        <f>IFERROR(__xludf.DUMMYFUNCTION("""COMPUTED_VALUE"""),"P")</f>
        <v>P</v>
      </c>
      <c r="G419" s="4"/>
      <c r="H419" s="4"/>
    </row>
    <row r="420">
      <c r="A420" s="4" t="str">
        <f>IFERROR(__xludf.DUMMYFUNCTION("""COMPUTED_VALUE"""),"Sukiya")</f>
        <v>Sukiya</v>
      </c>
      <c r="B420" s="4" t="str">
        <f>IFERROR(__xludf.DUMMYFUNCTION("""COMPUTED_VALUE"""),"Michel")</f>
        <v>Michel</v>
      </c>
      <c r="C420" s="4" t="str">
        <f>IFERROR(__xludf.DUMMYFUNCTION("""COMPUTED_VALUE"""),"Michel")</f>
        <v>Michel</v>
      </c>
      <c r="D420" s="4" t="str">
        <f>IFERROR(__xludf.DUMMYFUNCTION("""COMPUTED_VALUE"""),"12. Orgânico")</f>
        <v>12. Orgânico</v>
      </c>
      <c r="E420" s="4"/>
      <c r="F420" s="4" t="str">
        <f>IFERROR(__xludf.DUMMYFUNCTION("""COMPUTED_VALUE"""),"M")</f>
        <v>M</v>
      </c>
      <c r="G420" s="4"/>
      <c r="H420" s="4"/>
    </row>
    <row r="421">
      <c r="A421" s="4" t="str">
        <f>IFERROR(__xludf.DUMMYFUNCTION("""COMPUTED_VALUE"""),"Super Soft")</f>
        <v>Super Soft</v>
      </c>
      <c r="B421" s="4" t="str">
        <f>IFERROR(__xludf.DUMMYFUNCTION("""COMPUTED_VALUE"""),"Diego Santos")</f>
        <v>Diego Santos</v>
      </c>
      <c r="C421" s="4" t="str">
        <f>IFERROR(__xludf.DUMMYFUNCTION("""COMPUTED_VALUE"""),"Diego Santos")</f>
        <v>Diego Santos</v>
      </c>
      <c r="D421" s="4" t="str">
        <f>IFERROR(__xludf.DUMMYFUNCTION("""COMPUTED_VALUE"""),"9. Contrato assinado")</f>
        <v>9. Contrato assinado</v>
      </c>
      <c r="E421" s="4" t="str">
        <f>IFERROR(__xludf.DUMMYFUNCTION("""COMPUTED_VALUE""")," Projetos - Contrato assinado &amp; Rollout")</f>
        <v> Projetos - Contrato assinado &amp; Rollout</v>
      </c>
      <c r="F421" s="4" t="str">
        <f>IFERROR(__xludf.DUMMYFUNCTION("""COMPUTED_VALUE"""),"P")</f>
        <v>P</v>
      </c>
      <c r="G421" s="5">
        <f>IFERROR(__xludf.DUMMYFUNCTION("""COMPUTED_VALUE"""),46076.0)</f>
        <v>46076</v>
      </c>
      <c r="H421" s="4" t="str">
        <f>IFERROR(__xludf.DUMMYFUNCTION("""COMPUTED_VALUE"""),"Contrato assinado")</f>
        <v>Contrato assinado</v>
      </c>
    </row>
    <row r="422">
      <c r="A422" s="4" t="str">
        <f>IFERROR(__xludf.DUMMYFUNCTION("""COMPUTED_VALUE"""),"Supra Di Mauro Maia")</f>
        <v>Supra Di Mauro Maia</v>
      </c>
      <c r="B422" s="4" t="str">
        <f>IFERROR(__xludf.DUMMYFUNCTION("""COMPUTED_VALUE"""),"Ana")</f>
        <v>Ana</v>
      </c>
      <c r="C422" s="4" t="str">
        <f>IFERROR(__xludf.DUMMYFUNCTION("""COMPUTED_VALUE"""),"Ana")</f>
        <v>Ana</v>
      </c>
      <c r="D422" s="4" t="str">
        <f>IFERROR(__xludf.DUMMYFUNCTION("""COMPUTED_VALUE"""),"10. Perdido")</f>
        <v>10. Perdido</v>
      </c>
      <c r="E422" s="4" t="str">
        <f>IFERROR(__xludf.DUMMYFUNCTION("""COMPUTED_VALUE"""),"Perdido - Outro (detalhar ao lado)")</f>
        <v>Perdido - Outro (detalhar ao lado)</v>
      </c>
      <c r="F422" s="4" t="str">
        <f>IFERROR(__xludf.DUMMYFUNCTION("""COMPUTED_VALUE"""),"P")</f>
        <v>P</v>
      </c>
      <c r="G422" s="5">
        <f>IFERROR(__xludf.DUMMYFUNCTION("""COMPUTED_VALUE"""),46076.0)</f>
        <v>46076</v>
      </c>
      <c r="H422" s="4" t="str">
        <f>IFERROR(__xludf.DUMMYFUNCTION("""COMPUTED_VALUE"""),"Parceiro não dá abertura para tratativas com iFood, executivo tentou abordar para falar sobre salão e parceiro não aceitou.")</f>
        <v>Parceiro não dá abertura para tratativas com iFood, executivo tentou abordar para falar sobre salão e parceiro não aceitou.</v>
      </c>
    </row>
    <row r="423">
      <c r="A423" s="4" t="str">
        <f>IFERROR(__xludf.DUMMYFUNCTION("""COMPUTED_VALUE"""),"Sushichic")</f>
        <v>Sushichic</v>
      </c>
      <c r="B423" s="4" t="str">
        <f>IFERROR(__xludf.DUMMYFUNCTION("""COMPUTED_VALUE"""),"Iza")</f>
        <v>Iza</v>
      </c>
      <c r="C423" s="4" t="str">
        <f>IFERROR(__xludf.DUMMYFUNCTION("""COMPUTED_VALUE"""),"Iza")</f>
        <v>Iza</v>
      </c>
      <c r="D423" s="4" t="str">
        <f>IFERROR(__xludf.DUMMYFUNCTION("""COMPUTED_VALUE"""),"10. Perdido")</f>
        <v>10. Perdido</v>
      </c>
      <c r="E423" s="4" t="str">
        <f>IFERROR(__xludf.DUMMYFUNCTION("""COMPUTED_VALUE"""),"Perdido - Sem perfil LA / 3SCheckout / PDV próprio")</f>
        <v>Perdido - Sem perfil LA / 3SCheckout / PDV próprio</v>
      </c>
      <c r="F423" s="4" t="str">
        <f>IFERROR(__xludf.DUMMYFUNCTION("""COMPUTED_VALUE"""),"P")</f>
        <v>P</v>
      </c>
      <c r="G423" s="5">
        <f>IFERROR(__xludf.DUMMYFUNCTION("""COMPUTED_VALUE"""),46076.0)</f>
        <v>46076</v>
      </c>
      <c r="H423" s="4" t="str">
        <f>IFERROR(__xludf.DUMMYFUNCTION("""COMPUTED_VALUE"""),"Em contato ctt KA Thainara nos respondeu que não possui salão e sistema próprio. ")</f>
        <v>Em contato ctt KA Thainara nos respondeu que não possui salão e sistema próprio. </v>
      </c>
    </row>
    <row r="424">
      <c r="A424" s="4" t="str">
        <f>IFERROR(__xludf.DUMMYFUNCTION("""COMPUTED_VALUE"""),"Taco Bell")</f>
        <v>Taco Bell</v>
      </c>
      <c r="B424" s="4" t="str">
        <f>IFERROR(__xludf.DUMMYFUNCTION("""COMPUTED_VALUE"""),"Michel")</f>
        <v>Michel</v>
      </c>
      <c r="C424" s="4" t="str">
        <f>IFERROR(__xludf.DUMMYFUNCTION("""COMPUTED_VALUE"""),"Michel")</f>
        <v>Michel</v>
      </c>
      <c r="D424" s="4" t="str">
        <f>IFERROR(__xludf.DUMMYFUNCTION("""COMPUTED_VALUE"""),"12. Orgânico")</f>
        <v>12. Orgânico</v>
      </c>
      <c r="E424" s="4"/>
      <c r="F424" s="4" t="str">
        <f>IFERROR(__xludf.DUMMYFUNCTION("""COMPUTED_VALUE"""),"P")</f>
        <v>P</v>
      </c>
      <c r="G424" s="4"/>
      <c r="H424" s="4"/>
    </row>
    <row r="425">
      <c r="A425" s="4" t="str">
        <f>IFERROR(__xludf.DUMMYFUNCTION("""COMPUTED_VALUE"""),"Taj")</f>
        <v>Taj</v>
      </c>
      <c r="B425" s="4" t="str">
        <f>IFERROR(__xludf.DUMMYFUNCTION("""COMPUTED_VALUE"""),"Lídia Esteves")</f>
        <v>Lídia Esteves</v>
      </c>
      <c r="C425" s="4" t="str">
        <f>IFERROR(__xludf.DUMMYFUNCTION("""COMPUTED_VALUE"""),"Emerson")</f>
        <v>Emerson</v>
      </c>
      <c r="D425" s="4" t="str">
        <f>IFERROR(__xludf.DUMMYFUNCTION("""COMPUTED_VALUE"""),"10. Perdido")</f>
        <v>10. Perdido</v>
      </c>
      <c r="E425" s="4" t="str">
        <f>IFERROR(__xludf.DUMMYFUNCTION("""COMPUTED_VALUE"""),"Perdido - Sem perfil LA / 3SCheckout / PDV próprio")</f>
        <v>Perdido - Sem perfil LA / 3SCheckout / PDV próprio</v>
      </c>
      <c r="F425" s="4" t="str">
        <f>IFERROR(__xludf.DUMMYFUNCTION("""COMPUTED_VALUE"""),"P")</f>
        <v>P</v>
      </c>
      <c r="G425" s="4"/>
      <c r="H425" s="22" t="str">
        <f>IFERROR(__xludf.DUMMYFUNCTION("""COMPUTED_VALUE"""),"Parceiro não tem interesse em mudar de sistema, usa sistema regional de curitiba")</f>
        <v>Parceiro não tem interesse em mudar de sistema, usa sistema regional de curitiba</v>
      </c>
    </row>
    <row r="426">
      <c r="A426" s="4" t="str">
        <f>IFERROR(__xludf.DUMMYFUNCTION("""COMPUTED_VALUE"""),"Taqueria Atzi")</f>
        <v>Taqueria Atzi</v>
      </c>
      <c r="B426" s="4" t="str">
        <f>IFERROR(__xludf.DUMMYFUNCTION("""COMPUTED_VALUE"""),"Diego Santos")</f>
        <v>Diego Santos</v>
      </c>
      <c r="C426" s="4" t="str">
        <f>IFERROR(__xludf.DUMMYFUNCTION("""COMPUTED_VALUE"""),"Diego Santos")</f>
        <v>Diego Santos</v>
      </c>
      <c r="D426" s="4" t="str">
        <f>IFERROR(__xludf.DUMMYFUNCTION("""COMPUTED_VALUE"""),"10. Perdido")</f>
        <v>10. Perdido</v>
      </c>
      <c r="E426" s="4" t="str">
        <f>IFERROR(__xludf.DUMMYFUNCTION("""COMPUTED_VALUE"""),"Parceiro - Aguardando retorno / Conciliação agenda")</f>
        <v>Parceiro - Aguardando retorno / Conciliação agenda</v>
      </c>
      <c r="F426" s="4" t="str">
        <f>IFERROR(__xludf.DUMMYFUNCTION("""COMPUTED_VALUE"""),"P")</f>
        <v>P</v>
      </c>
      <c r="G426" s="5">
        <f>IFERROR(__xludf.DUMMYFUNCTION("""COMPUTED_VALUE"""),46094.0)</f>
        <v>46094</v>
      </c>
      <c r="H426" s="4" t="str">
        <f>IFERROR(__xludf.DUMMYFUNCTION("""COMPUTED_VALUE"""),"Buscando agenda com decisor")</f>
        <v>Buscando agenda com decisor</v>
      </c>
    </row>
    <row r="427">
      <c r="A427" s="4" t="str">
        <f>IFERROR(__xludf.DUMMYFUNCTION("""COMPUTED_VALUE"""),"Tatá Sushi")</f>
        <v>Tatá Sushi</v>
      </c>
      <c r="B427" s="4" t="str">
        <f>IFERROR(__xludf.DUMMYFUNCTION("""COMPUTED_VALUE"""),"Ana")</f>
        <v>Ana</v>
      </c>
      <c r="C427" s="4" t="str">
        <f>IFERROR(__xludf.DUMMYFUNCTION("""COMPUTED_VALUE"""),"Ana")</f>
        <v>Ana</v>
      </c>
      <c r="D427" s="4" t="str">
        <f>IFERROR(__xludf.DUMMYFUNCTION("""COMPUTED_VALUE"""),"10. Perdido")</f>
        <v>10. Perdido</v>
      </c>
      <c r="E427" s="4" t="str">
        <f>IFERROR(__xludf.DUMMYFUNCTION("""COMPUTED_VALUE"""),"Perdido - Outro (detalhar ao lado)")</f>
        <v>Perdido - Outro (detalhar ao lado)</v>
      </c>
      <c r="F427" s="4" t="str">
        <f>IFERROR(__xludf.DUMMYFUNCTION("""COMPUTED_VALUE"""),"P")</f>
        <v>P</v>
      </c>
      <c r="G427" s="5">
        <f>IFERROR(__xludf.DUMMYFUNCTION("""COMPUTED_VALUE"""),46076.0)</f>
        <v>46076</v>
      </c>
      <c r="H427" s="4" t="str">
        <f>IFERROR(__xludf.DUMMYFUNCTION("""COMPUTED_VALUE"""),"Mudou para tecnisa no ano de 2025.")</f>
        <v>Mudou para tecnisa no ano de 2025.</v>
      </c>
    </row>
    <row r="428">
      <c r="A428" s="4" t="str">
        <f>IFERROR(__xludf.DUMMYFUNCTION("""COMPUTED_VALUE"""),"Teus Restaurante Bar")</f>
        <v>Teus Restaurante Bar</v>
      </c>
      <c r="B428" s="4" t="str">
        <f>IFERROR(__xludf.DUMMYFUNCTION("""COMPUTED_VALUE"""),"Michel")</f>
        <v>Michel</v>
      </c>
      <c r="C428" s="4" t="str">
        <f>IFERROR(__xludf.DUMMYFUNCTION("""COMPUTED_VALUE"""),"Michel")</f>
        <v>Michel</v>
      </c>
      <c r="D428" s="4" t="str">
        <f>IFERROR(__xludf.DUMMYFUNCTION("""COMPUTED_VALUE"""),"12. Orgânico")</f>
        <v>12. Orgânico</v>
      </c>
      <c r="E428" s="4"/>
      <c r="F428" s="4" t="str">
        <f>IFERROR(__xludf.DUMMYFUNCTION("""COMPUTED_VALUE"""),"P")</f>
        <v>P</v>
      </c>
      <c r="G428" s="4"/>
      <c r="H428" s="4"/>
    </row>
    <row r="429">
      <c r="A429" s="4" t="str">
        <f>IFERROR(__xludf.DUMMYFUNCTION("""COMPUTED_VALUE"""),"The B Burger")</f>
        <v>The B Burger</v>
      </c>
      <c r="B429" s="4" t="str">
        <f>IFERROR(__xludf.DUMMYFUNCTION("""COMPUTED_VALUE"""),"Diego Santos")</f>
        <v>Diego Santos</v>
      </c>
      <c r="C429" s="4" t="str">
        <f>IFERROR(__xludf.DUMMYFUNCTION("""COMPUTED_VALUE"""),"Diego Santos")</f>
        <v>Diego Santos</v>
      </c>
      <c r="D429" s="4" t="str">
        <f>IFERROR(__xludf.DUMMYFUNCTION("""COMPUTED_VALUE"""),"10. Perdido")</f>
        <v>10. Perdido</v>
      </c>
      <c r="E429" s="4" t="str">
        <f>IFERROR(__xludf.DUMMYFUNCTION("""COMPUTED_VALUE"""),"Perdido - Outro (detalhar ao lado)")</f>
        <v>Perdido - Outro (detalhar ao lado)</v>
      </c>
      <c r="F429" s="4" t="str">
        <f>IFERROR(__xludf.DUMMYFUNCTION("""COMPUTED_VALUE"""),"Sem Classificação")</f>
        <v>Sem Classificação</v>
      </c>
      <c r="G429" s="5">
        <f>IFERROR(__xludf.DUMMYFUNCTION("""COMPUTED_VALUE"""),46084.0)</f>
        <v>46084</v>
      </c>
      <c r="H429" s="4" t="str">
        <f>IFERROR(__xludf.DUMMYFUNCTION("""COMPUTED_VALUE"""),"Satisfeito com solução atual, sem interesse em trocar.")</f>
        <v>Satisfeito com solução atual, sem interesse em trocar.</v>
      </c>
    </row>
    <row r="430">
      <c r="A430" s="4" t="str">
        <f>IFERROR(__xludf.DUMMYFUNCTION("""COMPUTED_VALUE"""),"Torta No Quintal")</f>
        <v>Torta No Quintal</v>
      </c>
      <c r="B430" s="4" t="str">
        <f>IFERROR(__xludf.DUMMYFUNCTION("""COMPUTED_VALUE"""),"Ana")</f>
        <v>Ana</v>
      </c>
      <c r="C430" s="4" t="str">
        <f>IFERROR(__xludf.DUMMYFUNCTION("""COMPUTED_VALUE"""),"Ana")</f>
        <v>Ana</v>
      </c>
      <c r="D430" s="4" t="str">
        <f>IFERROR(__xludf.DUMMYFUNCTION("""COMPUTED_VALUE"""),"10. Perdido")</f>
        <v>10. Perdido</v>
      </c>
      <c r="E430" s="4" t="str">
        <f>IFERROR(__xludf.DUMMYFUNCTION("""COMPUTED_VALUE"""),"Perdido - Falta de aderência técnica")</f>
        <v>Perdido - Falta de aderência técnica</v>
      </c>
      <c r="F430" s="4" t="str">
        <f>IFERROR(__xludf.DUMMYFUNCTION("""COMPUTED_VALUE"""),"P")</f>
        <v>P</v>
      </c>
      <c r="G430" s="5">
        <f>IFERROR(__xludf.DUMMYFUNCTION("""COMPUTED_VALUE"""),46076.0)</f>
        <v>46076</v>
      </c>
      <c r="H430" s="4" t="str">
        <f>IFERROR(__xludf.DUMMYFUNCTION("""COMPUTED_VALUE"""),"Cliente não usa pdv e não tem interesse em ter. Não são usam NF..")</f>
        <v>Cliente não usa pdv e não tem interesse em ter. Não são usam NF..</v>
      </c>
    </row>
    <row r="431">
      <c r="A431" s="4" t="str">
        <f>IFERROR(__xludf.DUMMYFUNCTION("""COMPUTED_VALUE"""),"Tradicional Bolos E Tortas")</f>
        <v>Tradicional Bolos E Tortas</v>
      </c>
      <c r="B431" s="4" t="str">
        <f>IFERROR(__xludf.DUMMYFUNCTION("""COMPUTED_VALUE"""),"Leonardo Roso")</f>
        <v>Leonardo Roso</v>
      </c>
      <c r="C431" s="4" t="str">
        <f>IFERROR(__xludf.DUMMYFUNCTION("""COMPUTED_VALUE"""),"Leonardo Roso")</f>
        <v>Leonardo Roso</v>
      </c>
      <c r="D431" s="4" t="str">
        <f>IFERROR(__xludf.DUMMYFUNCTION("""COMPUTED_VALUE"""),"10. Perdido")</f>
        <v>10. Perdido</v>
      </c>
      <c r="E431" s="4" t="str">
        <f>IFERROR(__xludf.DUMMYFUNCTION("""COMPUTED_VALUE"""),"Perdido - Outro (detalhar ao lado)")</f>
        <v>Perdido - Outro (detalhar ao lado)</v>
      </c>
      <c r="F431" s="4" t="str">
        <f>IFERROR(__xludf.DUMMYFUNCTION("""COMPUTED_VALUE"""),"G")</f>
        <v>G</v>
      </c>
      <c r="G431" s="5">
        <f>IFERROR(__xludf.DUMMYFUNCTION("""COMPUTED_VALUE"""),46076.0)</f>
        <v>46076</v>
      </c>
      <c r="H431" s="4" t="str">
        <f>IFERROR(__xludf.DUMMYFUNCTION("""COMPUTED_VALUE"""),"No momento da conversa (Outubro 2025) parceiro informou que havia seguido a troca de PDV com a GCOM.")</f>
        <v>No momento da conversa (Outubro 2025) parceiro informou que havia seguido a troca de PDV com a GCOM.</v>
      </c>
    </row>
    <row r="432">
      <c r="A432" s="4" t="str">
        <f>IFERROR(__xludf.DUMMYFUNCTION("""COMPUTED_VALUE"""),"U.mami")</f>
        <v>U.mami</v>
      </c>
      <c r="B432" s="4" t="str">
        <f>IFERROR(__xludf.DUMMYFUNCTION("""COMPUTED_VALUE"""),"Michel")</f>
        <v>Michel</v>
      </c>
      <c r="C432" s="4" t="str">
        <f>IFERROR(__xludf.DUMMYFUNCTION("""COMPUTED_VALUE"""),"Michel")</f>
        <v>Michel</v>
      </c>
      <c r="D432" s="4" t="str">
        <f>IFERROR(__xludf.DUMMYFUNCTION("""COMPUTED_VALUE"""),"9. Contrato assinado")</f>
        <v>9. Contrato assinado</v>
      </c>
      <c r="E432" s="4" t="str">
        <f>IFERROR(__xludf.DUMMYFUNCTION("""COMPUTED_VALUE""")," Projetos - Contrato assinado &amp; Rollout")</f>
        <v> Projetos - Contrato assinado &amp; Rollout</v>
      </c>
      <c r="F432" s="4" t="str">
        <f>IFERROR(__xludf.DUMMYFUNCTION("""COMPUTED_VALUE"""),"P")</f>
        <v>P</v>
      </c>
      <c r="G432" s="4"/>
      <c r="H432" s="4" t="str">
        <f>IFERROR(__xludf.DUMMYFUNCTION("""COMPUTED_VALUE"""),"Cliente entra na primeira quinzena de Março")</f>
        <v>Cliente entra na primeira quinzena de Março</v>
      </c>
    </row>
    <row r="433">
      <c r="A433" s="4" t="str">
        <f>IFERROR(__xludf.DUMMYFUNCTION("""COMPUTED_VALUE"""),"Uncle Joes")</f>
        <v>Uncle Joes</v>
      </c>
      <c r="B433" s="4" t="str">
        <f>IFERROR(__xludf.DUMMYFUNCTION("""COMPUTED_VALUE"""),"Michel")</f>
        <v>Michel</v>
      </c>
      <c r="C433" s="4" t="str">
        <f>IFERROR(__xludf.DUMMYFUNCTION("""COMPUTED_VALUE"""),"Michel")</f>
        <v>Michel</v>
      </c>
      <c r="D433" s="4" t="str">
        <f>IFERROR(__xludf.DUMMYFUNCTION("""COMPUTED_VALUE"""),"12. Orgânico")</f>
        <v>12. Orgânico</v>
      </c>
      <c r="E433" s="4"/>
      <c r="F433" s="4" t="str">
        <f>IFERROR(__xludf.DUMMYFUNCTION("""COMPUTED_VALUE"""),"Sem Classificação")</f>
        <v>Sem Classificação</v>
      </c>
      <c r="G433" s="4"/>
      <c r="H433" s="4"/>
    </row>
    <row r="434">
      <c r="A434" s="4" t="str">
        <f>IFERROR(__xludf.DUMMYFUNCTION("""COMPUTED_VALUE"""),"Usina De Massas")</f>
        <v>Usina De Massas</v>
      </c>
      <c r="B434" s="4" t="str">
        <f>IFERROR(__xludf.DUMMYFUNCTION("""COMPUTED_VALUE"""),"Ana")</f>
        <v>Ana</v>
      </c>
      <c r="C434" s="4" t="str">
        <f>IFERROR(__xludf.DUMMYFUNCTION("""COMPUTED_VALUE"""),"Ana")</f>
        <v>Ana</v>
      </c>
      <c r="D434" s="4" t="str">
        <f>IFERROR(__xludf.DUMMYFUNCTION("""COMPUTED_VALUE"""),"9. Contrato assinado")</f>
        <v>9. Contrato assinado</v>
      </c>
      <c r="E434" s="4" t="str">
        <f>IFERROR(__xludf.DUMMYFUNCTION("""COMPUTED_VALUE""")," Projetos - Contrato assinado &amp; Rollout")</f>
        <v> Projetos - Contrato assinado &amp; Rollout</v>
      </c>
      <c r="F434" s="4" t="str">
        <f>IFERROR(__xludf.DUMMYFUNCTION("""COMPUTED_VALUE"""),"P")</f>
        <v>P</v>
      </c>
      <c r="G434" s="5">
        <f>IFERROR(__xludf.DUMMYFUNCTION("""COMPUTED_VALUE"""),46076.0)</f>
        <v>46076</v>
      </c>
      <c r="H434" s="4" t="str">
        <f>IFERROR(__xludf.DUMMYFUNCTION("""COMPUTED_VALUE"""),"Contrato Assinado, piloto e rollout iniciado")</f>
        <v>Contrato Assinado, piloto e rollout iniciado</v>
      </c>
    </row>
    <row r="435">
      <c r="A435" s="4" t="str">
        <f>IFERROR(__xludf.DUMMYFUNCTION("""COMPUTED_VALUE"""),"Usina do Hamburguer")</f>
        <v>Usina do Hamburguer</v>
      </c>
      <c r="B435" s="4" t="str">
        <f>IFERROR(__xludf.DUMMYFUNCTION("""COMPUTED_VALUE"""),"Emerson")</f>
        <v>Emerson</v>
      </c>
      <c r="C435" s="4" t="str">
        <f>IFERROR(__xludf.DUMMYFUNCTION("""COMPUTED_VALUE"""),"Emerson")</f>
        <v>Emerson</v>
      </c>
      <c r="D435" s="4" t="str">
        <f>IFERROR(__xludf.DUMMYFUNCTION("""COMPUTED_VALUE"""),"9. Contrato assinado")</f>
        <v>9. Contrato assinado</v>
      </c>
      <c r="E435" s="4"/>
      <c r="F435" s="4" t="str">
        <f>IFERROR(__xludf.DUMMYFUNCTION("""COMPUTED_VALUE"""),"P")</f>
        <v>P</v>
      </c>
      <c r="G435" s="4"/>
      <c r="H435" s="4"/>
    </row>
    <row r="436">
      <c r="A436" s="4" t="str">
        <f>IFERROR(__xludf.DUMMYFUNCTION("""COMPUTED_VALUE"""),"Vassoura Quebrada")</f>
        <v>Vassoura Quebrada</v>
      </c>
      <c r="B436" s="4" t="str">
        <f>IFERROR(__xludf.DUMMYFUNCTION("""COMPUTED_VALUE"""),"Michel")</f>
        <v>Michel</v>
      </c>
      <c r="C436" s="4" t="str">
        <f>IFERROR(__xludf.DUMMYFUNCTION("""COMPUTED_VALUE"""),"Michel")</f>
        <v>Michel</v>
      </c>
      <c r="D436" s="4" t="str">
        <f>IFERROR(__xludf.DUMMYFUNCTION("""COMPUTED_VALUE"""),"12. Orgânico")</f>
        <v>12. Orgânico</v>
      </c>
      <c r="E436" s="4"/>
      <c r="F436" s="4" t="str">
        <f>IFERROR(__xludf.DUMMYFUNCTION("""COMPUTED_VALUE"""),"Sem Classificação")</f>
        <v>Sem Classificação</v>
      </c>
      <c r="G436" s="4"/>
      <c r="H436" s="4"/>
    </row>
    <row r="437">
      <c r="A437" s="4" t="str">
        <f>IFERROR(__xludf.DUMMYFUNCTION("""COMPUTED_VALUE"""),"Veridiana Pizzaria")</f>
        <v>Veridiana Pizzaria</v>
      </c>
      <c r="B437" s="4" t="str">
        <f>IFERROR(__xludf.DUMMYFUNCTION("""COMPUTED_VALUE"""),"Ana")</f>
        <v>Ana</v>
      </c>
      <c r="C437" s="4" t="str">
        <f>IFERROR(__xludf.DUMMYFUNCTION("""COMPUTED_VALUE"""),"Ana")</f>
        <v>Ana</v>
      </c>
      <c r="D437" s="4" t="str">
        <f>IFERROR(__xludf.DUMMYFUNCTION("""COMPUTED_VALUE"""),"10. Perdido")</f>
        <v>10. Perdido</v>
      </c>
      <c r="E437" s="4" t="str">
        <f>IFERROR(__xludf.DUMMYFUNCTION("""COMPUTED_VALUE"""),"Perdido -  Momento do restaurante não favorável")</f>
        <v>Perdido -  Momento do restaurante não favorável</v>
      </c>
      <c r="F437" s="4" t="str">
        <f>IFERROR(__xludf.DUMMYFUNCTION("""COMPUTED_VALUE"""),"P")</f>
        <v>P</v>
      </c>
      <c r="G437" s="5">
        <f>IFERROR(__xludf.DUMMYFUNCTION("""COMPUTED_VALUE"""),46076.0)</f>
        <v>46076</v>
      </c>
      <c r="H437" s="4" t="str">
        <f>IFERROR(__xludf.DUMMYFUNCTION("""COMPUTED_VALUE"""),"Abordado porém não deu abertura para falar sobre iFood Salão.")</f>
        <v>Abordado porém não deu abertura para falar sobre iFood Salão.</v>
      </c>
    </row>
    <row r="438">
      <c r="A438" s="4" t="str">
        <f>IFERROR(__xludf.DUMMYFUNCTION("""COMPUTED_VALUE"""),"Vero Latte")</f>
        <v>Vero Latte</v>
      </c>
      <c r="B438" s="4" t="str">
        <f>IFERROR(__xludf.DUMMYFUNCTION("""COMPUTED_VALUE"""),"Diego Santos")</f>
        <v>Diego Santos</v>
      </c>
      <c r="C438" s="4" t="str">
        <f>IFERROR(__xludf.DUMMYFUNCTION("""COMPUTED_VALUE"""),"Diego Santos")</f>
        <v>Diego Santos</v>
      </c>
      <c r="D438" s="4" t="str">
        <f>IFERROR(__xludf.DUMMYFUNCTION("""COMPUTED_VALUE"""),"10. Perdido")</f>
        <v>10. Perdido</v>
      </c>
      <c r="E438" s="4" t="str">
        <f>IFERROR(__xludf.DUMMYFUNCTION("""COMPUTED_VALUE"""),"Perdido - Sem perfil LA / 3SCheckout / PDV próprio")</f>
        <v>Perdido - Sem perfil LA / 3SCheckout / PDV próprio</v>
      </c>
      <c r="F438" s="4" t="str">
        <f>IFERROR(__xludf.DUMMYFUNCTION("""COMPUTED_VALUE"""),"P")</f>
        <v>P</v>
      </c>
      <c r="G438" s="5">
        <f>IFERROR(__xludf.DUMMYFUNCTION("""COMPUTED_VALUE"""),46076.0)</f>
        <v>46076</v>
      </c>
      <c r="H438" s="4" t="str">
        <f>IFERROR(__xludf.DUMMYFUNCTION("""COMPUTED_VALUE"""),"Sem perfil LA.")</f>
        <v>Sem perfil LA.</v>
      </c>
    </row>
    <row r="439">
      <c r="A439" s="4" t="str">
        <f>IFERROR(__xludf.DUMMYFUNCTION("""COMPUTED_VALUE"""),"Viena")</f>
        <v>Viena</v>
      </c>
      <c r="B439" s="4" t="str">
        <f>IFERROR(__xludf.DUMMYFUNCTION("""COMPUTED_VALUE"""),"Michel")</f>
        <v>Michel</v>
      </c>
      <c r="C439" s="4" t="str">
        <f>IFERROR(__xludf.DUMMYFUNCTION("""COMPUTED_VALUE"""),"Michel")</f>
        <v>Michel</v>
      </c>
      <c r="D439" s="4" t="str">
        <f>IFERROR(__xludf.DUMMYFUNCTION("""COMPUTED_VALUE"""),"12. Orgânico")</f>
        <v>12. Orgânico</v>
      </c>
      <c r="E439" s="4"/>
      <c r="F439" s="4" t="str">
        <f>IFERROR(__xludf.DUMMYFUNCTION("""COMPUTED_VALUE"""),"P")</f>
        <v>P</v>
      </c>
      <c r="G439" s="4"/>
      <c r="H439" s="4"/>
    </row>
    <row r="440">
      <c r="A440" s="4" t="str">
        <f>IFERROR(__xludf.DUMMYFUNCTION("""COMPUTED_VALUE"""),"Vilage Cesar (Arroz com Feijão)")</f>
        <v>Vilage Cesar (Arroz com Feijão)</v>
      </c>
      <c r="B440" s="4" t="str">
        <f>IFERROR(__xludf.DUMMYFUNCTION("""COMPUTED_VALUE"""),"Diego Santos")</f>
        <v>Diego Santos</v>
      </c>
      <c r="C440" s="4" t="str">
        <f>IFERROR(__xludf.DUMMYFUNCTION("""COMPUTED_VALUE"""),"Diego Santos")</f>
        <v>Diego Santos</v>
      </c>
      <c r="D440" s="4" t="str">
        <f>IFERROR(__xludf.DUMMYFUNCTION("""COMPUTED_VALUE"""),"9. Contrato assinado")</f>
        <v>9. Contrato assinado</v>
      </c>
      <c r="E440" s="4" t="str">
        <f>IFERROR(__xludf.DUMMYFUNCTION("""COMPUTED_VALUE""")," Projetos - Contrato assinado &amp; Rollout")</f>
        <v> Projetos - Contrato assinado &amp; Rollout</v>
      </c>
      <c r="F440" s="4" t="str">
        <f>IFERROR(__xludf.DUMMYFUNCTION("""COMPUTED_VALUE"""),"P")</f>
        <v>P</v>
      </c>
      <c r="G440" s="5">
        <f>IFERROR(__xludf.DUMMYFUNCTION("""COMPUTED_VALUE"""),46076.0)</f>
        <v>46076</v>
      </c>
      <c r="H440" s="4" t="str">
        <f>IFERROR(__xludf.DUMMYFUNCTION("""COMPUTED_VALUE"""),"Contrato assinado")</f>
        <v>Contrato assinado</v>
      </c>
    </row>
    <row r="441">
      <c r="A441" s="4" t="str">
        <f>IFERROR(__xludf.DUMMYFUNCTION("""COMPUTED_VALUE"""),"Villa Di Cesar")</f>
        <v>Villa Di Cesar</v>
      </c>
      <c r="B441" s="4" t="str">
        <f>IFERROR(__xludf.DUMMYFUNCTION("""COMPUTED_VALUE"""),"Michel")</f>
        <v>Michel</v>
      </c>
      <c r="C441" s="4" t="str">
        <f>IFERROR(__xludf.DUMMYFUNCTION("""COMPUTED_VALUE"""),"Michel")</f>
        <v>Michel</v>
      </c>
      <c r="D441" s="4" t="str">
        <f>IFERROR(__xludf.DUMMYFUNCTION("""COMPUTED_VALUE"""),"12. Orgânico")</f>
        <v>12. Orgânico</v>
      </c>
      <c r="E441" s="4"/>
      <c r="F441" s="4" t="str">
        <f>IFERROR(__xludf.DUMMYFUNCTION("""COMPUTED_VALUE"""),"P")</f>
        <v>P</v>
      </c>
      <c r="G441" s="4"/>
      <c r="H441" s="4"/>
    </row>
    <row r="442">
      <c r="A442" s="4" t="str">
        <f>IFERROR(__xludf.DUMMYFUNCTION("""COMPUTED_VALUE"""),"Votre Brasserie (Grupo Teus)")</f>
        <v>Votre Brasserie (Grupo Teus)</v>
      </c>
      <c r="B442" s="4" t="str">
        <f>IFERROR(__xludf.DUMMYFUNCTION("""COMPUTED_VALUE"""),"Michel")</f>
        <v>Michel</v>
      </c>
      <c r="C442" s="4" t="str">
        <f>IFERROR(__xludf.DUMMYFUNCTION("""COMPUTED_VALUE"""),"Michel")</f>
        <v>Michel</v>
      </c>
      <c r="D442" s="4" t="str">
        <f>IFERROR(__xludf.DUMMYFUNCTION("""COMPUTED_VALUE"""),"12. Orgânico")</f>
        <v>12. Orgânico</v>
      </c>
      <c r="E442" s="4"/>
      <c r="F442" s="4" t="str">
        <f>IFERROR(__xludf.DUMMYFUNCTION("""COMPUTED_VALUE"""),"P")</f>
        <v>P</v>
      </c>
      <c r="G442" s="4"/>
      <c r="H442" s="4"/>
    </row>
    <row r="443">
      <c r="A443" s="4" t="str">
        <f>IFERROR(__xludf.DUMMYFUNCTION("""COMPUTED_VALUE"""),"We Coffee")</f>
        <v>We Coffee</v>
      </c>
      <c r="B443" s="4" t="str">
        <f>IFERROR(__xludf.DUMMYFUNCTION("""COMPUTED_VALUE"""),"Michel")</f>
        <v>Michel</v>
      </c>
      <c r="C443" s="4" t="str">
        <f>IFERROR(__xludf.DUMMYFUNCTION("""COMPUTED_VALUE"""),"Michel")</f>
        <v>Michel</v>
      </c>
      <c r="D443" s="4" t="str">
        <f>IFERROR(__xludf.DUMMYFUNCTION("""COMPUTED_VALUE"""),"12. Orgânico")</f>
        <v>12. Orgânico</v>
      </c>
      <c r="E443" s="4"/>
      <c r="F443" s="4" t="str">
        <f>IFERROR(__xludf.DUMMYFUNCTION("""COMPUTED_VALUE"""),"P")</f>
        <v>P</v>
      </c>
      <c r="G443" s="4"/>
      <c r="H443" s="4"/>
    </row>
    <row r="444">
      <c r="A444" s="4" t="str">
        <f>IFERROR(__xludf.DUMMYFUNCTION("""COMPUTED_VALUE"""),"We Protein")</f>
        <v>We Protein</v>
      </c>
      <c r="B444" s="4" t="str">
        <f>IFERROR(__xludf.DUMMYFUNCTION("""COMPUTED_VALUE"""),"Iza")</f>
        <v>Iza</v>
      </c>
      <c r="C444" s="4" t="str">
        <f>IFERROR(__xludf.DUMMYFUNCTION("""COMPUTED_VALUE"""),"Iza")</f>
        <v>Iza</v>
      </c>
      <c r="D444" s="4" t="str">
        <f>IFERROR(__xludf.DUMMYFUNCTION("""COMPUTED_VALUE"""),"9. Contrato assinado")</f>
        <v>9. Contrato assinado</v>
      </c>
      <c r="E444" s="4" t="str">
        <f>IFERROR(__xludf.DUMMYFUNCTION("""COMPUTED_VALUE""")," Projetos - Contrato assinado &amp; Rollout")</f>
        <v> Projetos - Contrato assinado &amp; Rollout</v>
      </c>
      <c r="F444" s="4" t="str">
        <f>IFERROR(__xludf.DUMMYFUNCTION("""COMPUTED_VALUE"""),"P")</f>
        <v>P</v>
      </c>
      <c r="G444" s="5">
        <f>IFERROR(__xludf.DUMMYFUNCTION("""COMPUTED_VALUE"""),46076.0)</f>
        <v>46076</v>
      </c>
      <c r="H444" s="4" t="str">
        <f>IFERROR(__xludf.DUMMYFUNCTION("""COMPUTED_VALUE"""),"Contrato assinado")</f>
        <v>Contrato assinado</v>
      </c>
    </row>
    <row r="445">
      <c r="A445" s="4" t="str">
        <f>IFERROR(__xludf.DUMMYFUNCTION("""COMPUTED_VALUE"""),"Yococho")</f>
        <v>Yococho</v>
      </c>
      <c r="B445" s="4" t="str">
        <f>IFERROR(__xludf.DUMMYFUNCTION("""COMPUTED_VALUE"""),"Michel")</f>
        <v>Michel</v>
      </c>
      <c r="C445" s="4" t="str">
        <f>IFERROR(__xludf.DUMMYFUNCTION("""COMPUTED_VALUE"""),"Michel")</f>
        <v>Michel</v>
      </c>
      <c r="D445" s="4" t="str">
        <f>IFERROR(__xludf.DUMMYFUNCTION("""COMPUTED_VALUE"""),"9. Contrato assinado")</f>
        <v>9. Contrato assinado</v>
      </c>
      <c r="E445" s="4" t="str">
        <f>IFERROR(__xludf.DUMMYFUNCTION("""COMPUTED_VALUE"""),"Perdido - Falta de aderência técnica")</f>
        <v>Perdido - Falta de aderência técnica</v>
      </c>
      <c r="F445" s="4" t="str">
        <f>IFERROR(__xludf.DUMMYFUNCTION("""COMPUTED_VALUE"""),"P")</f>
        <v>P</v>
      </c>
      <c r="G445" s="4"/>
      <c r="H445" s="4" t="str">
        <f>IFERROR(__xludf.DUMMYFUNCTION("""COMPUTED_VALUE"""),"Cliente fechou contrato e depois desistiu de implementar pois acho o produto muito complexo")</f>
        <v>Cliente fechou contrato e depois desistiu de implementar pois acho o produto muito complexo</v>
      </c>
    </row>
    <row r="446">
      <c r="A446" s="4" t="str">
        <f>IFERROR(__xludf.DUMMYFUNCTION("""COMPUTED_VALUE"""),"Zdeli")</f>
        <v>Zdeli</v>
      </c>
      <c r="B446" s="4" t="str">
        <f>IFERROR(__xludf.DUMMYFUNCTION("""COMPUTED_VALUE"""),"Michel")</f>
        <v>Michel</v>
      </c>
      <c r="C446" s="4" t="str">
        <f>IFERROR(__xludf.DUMMYFUNCTION("""COMPUTED_VALUE"""),"Michel")</f>
        <v>Michel</v>
      </c>
      <c r="D446" s="4" t="str">
        <f>IFERROR(__xludf.DUMMYFUNCTION("""COMPUTED_VALUE"""),"12. Orgânico")</f>
        <v>12. Orgânico</v>
      </c>
      <c r="E446" s="4"/>
      <c r="F446" s="4" t="str">
        <f>IFERROR(__xludf.DUMMYFUNCTION("""COMPUTED_VALUE"""),"P")</f>
        <v>P</v>
      </c>
      <c r="G446" s="4"/>
      <c r="H446" s="4"/>
    </row>
    <row r="447">
      <c r="A447" s="4" t="str">
        <f>IFERROR(__xludf.DUMMYFUNCTION("""COMPUTED_VALUE"""),"Zucco")</f>
        <v>Zucco</v>
      </c>
      <c r="B447" s="4" t="str">
        <f>IFERROR(__xludf.DUMMYFUNCTION("""COMPUTED_VALUE"""),"Iza")</f>
        <v>Iza</v>
      </c>
      <c r="C447" s="4" t="str">
        <f>IFERROR(__xludf.DUMMYFUNCTION("""COMPUTED_VALUE"""),"Iza")</f>
        <v>Iza</v>
      </c>
      <c r="D447" s="4" t="str">
        <f>IFERROR(__xludf.DUMMYFUNCTION("""COMPUTED_VALUE"""),"9. Contrato assinado")</f>
        <v>9. Contrato assinado</v>
      </c>
      <c r="E447" s="4" t="str">
        <f>IFERROR(__xludf.DUMMYFUNCTION("""COMPUTED_VALUE""")," Projetos - Contrato assinado &amp; Rollout")</f>
        <v> Projetos - Contrato assinado &amp; Rollout</v>
      </c>
      <c r="F447" s="4" t="str">
        <f>IFERROR(__xludf.DUMMYFUNCTION("""COMPUTED_VALUE"""),"P")</f>
        <v>P</v>
      </c>
      <c r="G447" s="5">
        <f>IFERROR(__xludf.DUMMYFUNCTION("""COMPUTED_VALUE"""),46076.0)</f>
        <v>46076</v>
      </c>
      <c r="H447" s="4" t="str">
        <f>IFERROR(__xludf.DUMMYFUNCTION("""COMPUTED_VALUE"""),"Aguardando devolutiva time Delivery para uma possível redução de taxas para seguirmos com o contrato 3S. FUP fev/26")</f>
        <v>Aguardando devolutiva time Delivery para uma possível redução de taxas para seguirmos com o contrato 3S. FUP fev/26</v>
      </c>
    </row>
    <row r="448">
      <c r="A448" s="4" t="str">
        <f>IFERROR(__xludf.DUMMYFUNCTION("""COMPUTED_VALUE"""),"Empadinha Barnabé")</f>
        <v>Empadinha Barnabé</v>
      </c>
      <c r="B448" s="4" t="str">
        <f>IFERROR(__xludf.DUMMYFUNCTION("""COMPUTED_VALUE"""),"Emerson")</f>
        <v>Emerson</v>
      </c>
      <c r="C448" s="4" t="str">
        <f>IFERROR(__xludf.DUMMYFUNCTION("""COMPUTED_VALUE"""),"Emerson")</f>
        <v>Emerson</v>
      </c>
      <c r="D448" s="4" t="str">
        <f>IFERROR(__xludf.DUMMYFUNCTION("""COMPUTED_VALUE"""),"3. Apresentação")</f>
        <v>3. Apresentação</v>
      </c>
      <c r="E448" s="4"/>
      <c r="F448" s="4" t="str">
        <f>IFERROR(__xludf.DUMMYFUNCTION("""COMPUTED_VALUE"""),"P")</f>
        <v>P</v>
      </c>
      <c r="G448" s="5">
        <f>IFERROR(__xludf.DUMMYFUNCTION("""COMPUTED_VALUE"""),46114.0)</f>
        <v>46114</v>
      </c>
      <c r="H448" s="4" t="str">
        <f>IFERROR(__xludf.DUMMYFUNCTION("""COMPUTED_VALUE"""),"Mari disponibilizou cortesia e vai encontrá-lo no Move+ 29/04")</f>
        <v>Mari disponibilizou cortesia e vai encontrá-lo no Move+ 29/04</v>
      </c>
    </row>
    <row r="449">
      <c r="A449" s="4" t="str">
        <f>IFERROR(__xludf.DUMMYFUNCTION("""COMPUTED_VALUE"""),"Didio Pizza")</f>
        <v>Didio Pizza</v>
      </c>
      <c r="B449" s="4" t="str">
        <f>IFERROR(__xludf.DUMMYFUNCTION("""COMPUTED_VALUE"""),"Lídia Esteves")</f>
        <v>Lídia Esteves</v>
      </c>
      <c r="C449" s="4" t="str">
        <f>IFERROR(__xludf.DUMMYFUNCTION("""COMPUTED_VALUE"""),"Gabriela Roma")</f>
        <v>Gabriela Roma</v>
      </c>
      <c r="D449" s="4" t="str">
        <f>IFERROR(__xludf.DUMMYFUNCTION("""COMPUTED_VALUE"""),"6. Negociação")</f>
        <v>6. Negociação</v>
      </c>
      <c r="E449" s="4" t="str">
        <f>IFERROR(__xludf.DUMMYFUNCTION("""COMPUTED_VALUE"""),"Comercial - Em negociação de proposta")</f>
        <v>Comercial - Em negociação de proposta</v>
      </c>
      <c r="F449" s="4" t="str">
        <f>IFERROR(__xludf.DUMMYFUNCTION("""COMPUTED_VALUE"""),"P")</f>
        <v>P</v>
      </c>
      <c r="G449" s="5">
        <f>IFERROR(__xludf.DUMMYFUNCTION("""COMPUTED_VALUE"""),46154.0)</f>
        <v>46154</v>
      </c>
      <c r="H449" s="4" t="str">
        <f>IFERROR(__xludf.DUMMYFUNCTION("""COMPUTED_VALUE"""),"Parceiro nos pediu contraproposta, em validação.")</f>
        <v>Parceiro nos pediu contraproposta, em validação.</v>
      </c>
    </row>
    <row r="450">
      <c r="A450" s="4" t="str">
        <f>IFERROR(__xludf.DUMMYFUNCTION("""COMPUTED_VALUE"""),"Nippon")</f>
        <v>Nippon</v>
      </c>
      <c r="B450" s="4" t="str">
        <f>IFERROR(__xludf.DUMMYFUNCTION("""COMPUTED_VALUE"""),"João Biagiotti")</f>
        <v>João Biagiotti</v>
      </c>
      <c r="C450" s="4" t="str">
        <f>IFERROR(__xludf.DUMMYFUNCTION("""COMPUTED_VALUE"""),"Diego Santos")</f>
        <v>Diego Santos</v>
      </c>
      <c r="D450" s="4" t="str">
        <f>IFERROR(__xludf.DUMMYFUNCTION("""COMPUTED_VALUE"""),"13. Reativado")</f>
        <v>13. Reativado</v>
      </c>
      <c r="E450" s="4" t="str">
        <f>IFERROR(__xludf.DUMMYFUNCTION("""COMPUTED_VALUE"""),"Perdido - Fechou com concorrente")</f>
        <v>Perdido - Fechou com concorrente</v>
      </c>
      <c r="F450" s="4" t="str">
        <f>IFERROR(__xludf.DUMMYFUNCTION("""COMPUTED_VALUE"""),"P")</f>
        <v>P</v>
      </c>
      <c r="G450" s="5">
        <f>IFERROR(__xludf.DUMMYFUNCTION("""COMPUTED_VALUE"""),46129.0)</f>
        <v>46129</v>
      </c>
      <c r="H450" s="4" t="str">
        <f>IFERROR(__xludf.DUMMYFUNCTION("""COMPUTED_VALUE"""),"Marca fechou recentemente com a GCOM")</f>
        <v>Marca fechou recentemente com a GCOM</v>
      </c>
    </row>
    <row r="451">
      <c r="A451" s="4" t="str">
        <f>IFERROR(__xludf.DUMMYFUNCTION("""COMPUTED_VALUE"""),"O Forneiro")</f>
        <v>O Forneiro</v>
      </c>
      <c r="B451" s="4" t="str">
        <f>IFERROR(__xludf.DUMMYFUNCTION("""COMPUTED_VALUE"""),"Lídia Esteves")</f>
        <v>Lídia Esteves</v>
      </c>
      <c r="C451" s="4" t="str">
        <f>IFERROR(__xludf.DUMMYFUNCTION("""COMPUTED_VALUE"""),"Gabriela Roma")</f>
        <v>Gabriela Roma</v>
      </c>
      <c r="D451" s="4" t="str">
        <f>IFERROR(__xludf.DUMMYFUNCTION("""COMPUTED_VALUE"""),"10. Perdido")</f>
        <v>10. Perdido</v>
      </c>
      <c r="E451" s="4" t="str">
        <f>IFERROR(__xludf.DUMMYFUNCTION("""COMPUTED_VALUE"""),"Perdido - Sem perfil LA / 3SCheckout / PDV próprio")</f>
        <v>Perdido - Sem perfil LA / 3SCheckout / PDV próprio</v>
      </c>
      <c r="F451" s="4" t="str">
        <f>IFERROR(__xludf.DUMMYFUNCTION("""COMPUTED_VALUE"""),"P")</f>
        <v>P</v>
      </c>
      <c r="G451" s="5">
        <f>IFERROR(__xludf.DUMMYFUNCTION("""COMPUTED_VALUE"""),46154.0)</f>
        <v>46154</v>
      </c>
      <c r="H451" s="4" t="str">
        <f>IFERROR(__xludf.DUMMYFUNCTION("""COMPUTED_VALUE"""),"sem perfil LA")</f>
        <v>sem perfil LA</v>
      </c>
    </row>
    <row r="452">
      <c r="A452" s="4" t="str">
        <f>IFERROR(__xludf.DUMMYFUNCTION("""COMPUTED_VALUE"""),"ENJOY MAIS QUE TEMAKI SUSHI")</f>
        <v>ENJOY MAIS QUE TEMAKI SUSHI</v>
      </c>
      <c r="B452" s="4" t="str">
        <f>IFERROR(__xludf.DUMMYFUNCTION("""COMPUTED_VALUE"""),"Lídia Esteves")</f>
        <v>Lídia Esteves</v>
      </c>
      <c r="C452" s="4" t="str">
        <f>IFERROR(__xludf.DUMMYFUNCTION("""COMPUTED_VALUE"""),"Gabriela Roma")</f>
        <v>Gabriela Roma</v>
      </c>
      <c r="D452" s="4" t="str">
        <f>IFERROR(__xludf.DUMMYFUNCTION("""COMPUTED_VALUE"""),"9. Contrato assinado")</f>
        <v>9. Contrato assinado</v>
      </c>
      <c r="E452" s="4" t="str">
        <f>IFERROR(__xludf.DUMMYFUNCTION("""COMPUTED_VALUE""")," Projetos - Contrato assinado &amp; Rollout")</f>
        <v> Projetos - Contrato assinado &amp; Rollout</v>
      </c>
      <c r="F452" s="4" t="str">
        <f>IFERROR(__xludf.DUMMYFUNCTION("""COMPUTED_VALUE"""),"P")</f>
        <v>P</v>
      </c>
      <c r="G452" s="5">
        <f>IFERROR(__xludf.DUMMYFUNCTION("""COMPUTED_VALUE"""),46136.0)</f>
        <v>46136</v>
      </c>
      <c r="H452" s="4" t="str">
        <f>IFERROR(__xludf.DUMMYFUNCTION("""COMPUTED_VALUE"""),"contrato assinado")</f>
        <v>contrato assinado</v>
      </c>
    </row>
    <row r="453">
      <c r="A453" s="4" t="str">
        <f>IFERROR(__xludf.DUMMYFUNCTION("""COMPUTED_VALUE"""),"La Borratxeria")</f>
        <v>La Borratxeria</v>
      </c>
      <c r="B453" s="4" t="str">
        <f>IFERROR(__xludf.DUMMYFUNCTION("""COMPUTED_VALUE"""),"Lídia Esteves")</f>
        <v>Lídia Esteves</v>
      </c>
      <c r="C453" s="4" t="str">
        <f>IFERROR(__xludf.DUMMYFUNCTION("""COMPUTED_VALUE"""),"Gabriela Roma")</f>
        <v>Gabriela Roma</v>
      </c>
      <c r="D453" s="4" t="str">
        <f>IFERROR(__xludf.DUMMYFUNCTION("""COMPUTED_VALUE"""),"6. Negociação")</f>
        <v>6. Negociação</v>
      </c>
      <c r="E453" s="4" t="str">
        <f>IFERROR(__xludf.DUMMYFUNCTION("""COMPUTED_VALUE"""),"Parceiro - Aguardando retorno parceiro")</f>
        <v>Parceiro - Aguardando retorno parceiro</v>
      </c>
      <c r="F453" s="4" t="str">
        <f>IFERROR(__xludf.DUMMYFUNCTION("""COMPUTED_VALUE"""),"P")</f>
        <v>P</v>
      </c>
      <c r="G453" s="5">
        <f>IFERROR(__xludf.DUMMYFUNCTION("""COMPUTED_VALUE"""),46154.0)</f>
        <v>46154</v>
      </c>
      <c r="H453" s="4" t="str">
        <f>IFERROR(__xludf.DUMMYFUNCTION("""COMPUTED_VALUE"""),"Cliente procurando ERP como solução e nós como frente de caixa, está nesse processo e pediu para aguardarmos. ")</f>
        <v>Cliente procurando ERP como solução e nós como frente de caixa, está nesse processo e pediu para aguardarmos. </v>
      </c>
    </row>
    <row r="454">
      <c r="A454" s="4" t="str">
        <f>IFERROR(__xludf.DUMMYFUNCTION("""COMPUTED_VALUE"""),"Matsuya")</f>
        <v>Matsuya</v>
      </c>
      <c r="B454" s="4" t="str">
        <f>IFERROR(__xludf.DUMMYFUNCTION("""COMPUTED_VALUE"""),"João Biagiotti")</f>
        <v>João Biagiotti</v>
      </c>
      <c r="C454" s="4" t="str">
        <f>IFERROR(__xludf.DUMMYFUNCTION("""COMPUTED_VALUE"""),"Diego Santos")</f>
        <v>Diego Santos</v>
      </c>
      <c r="D454" s="4" t="str">
        <f>IFERROR(__xludf.DUMMYFUNCTION("""COMPUTED_VALUE"""),"1. Iniciado")</f>
        <v>1. Iniciado</v>
      </c>
      <c r="E454" s="4" t="str">
        <f>IFERROR(__xludf.DUMMYFUNCTION("""COMPUTED_VALUE"""),"Delivery - Conciliação agenda com parceiro")</f>
        <v>Delivery - Conciliação agenda com parceiro</v>
      </c>
      <c r="F454" s="4" t="str">
        <f>IFERROR(__xludf.DUMMYFUNCTION("""COMPUTED_VALUE"""),"P")</f>
        <v>P</v>
      </c>
      <c r="G454" s="4" t="str">
        <f>IFERROR(__xludf.DUMMYFUNCTION("""COMPUTED_VALUE"""),"46119.0")</f>
        <v>46119.0</v>
      </c>
      <c r="H454" s="4" t="str">
        <f>IFERROR(__xludf.DUMMYFUNCTION("""COMPUTED_VALUE"""),"Conversei com o Paulo, executivo da marca, esta alinhando uma reuniao para o dia 29/04")</f>
        <v>Conversei com o Paulo, executivo da marca, esta alinhando uma reuniao para o dia 29/04</v>
      </c>
    </row>
    <row r="455">
      <c r="A455" s="4" t="str">
        <f>IFERROR(__xludf.DUMMYFUNCTION("""COMPUTED_VALUE"""),"La Salada")</f>
        <v>La Salada</v>
      </c>
      <c r="B455" s="4" t="str">
        <f>IFERROR(__xludf.DUMMYFUNCTION("""COMPUTED_VALUE"""),"Lídia Esteves")</f>
        <v>Lídia Esteves</v>
      </c>
      <c r="C455" s="4" t="str">
        <f>IFERROR(__xludf.DUMMYFUNCTION("""COMPUTED_VALUE"""),"Gabriela Roma")</f>
        <v>Gabriela Roma</v>
      </c>
      <c r="D455" s="4" t="str">
        <f>IFERROR(__xludf.DUMMYFUNCTION("""COMPUTED_VALUE"""),"10. Perdido")</f>
        <v>10. Perdido</v>
      </c>
      <c r="E455" s="4" t="str">
        <f>IFERROR(__xludf.DUMMYFUNCTION("""COMPUTED_VALUE"""),"Perdido - Sem perfil LA / 3SCheckout / PDV próprio")</f>
        <v>Perdido - Sem perfil LA / 3SCheckout / PDV próprio</v>
      </c>
      <c r="F455" s="4" t="str">
        <f>IFERROR(__xludf.DUMMYFUNCTION("""COMPUTED_VALUE"""),"P")</f>
        <v>P</v>
      </c>
      <c r="G455" s="5">
        <f>IFERROR(__xludf.DUMMYFUNCTION("""COMPUTED_VALUE"""),46139.0)</f>
        <v>46139</v>
      </c>
      <c r="H455" s="4" t="str">
        <f>IFERROR(__xludf.DUMMYFUNCTION("""COMPUTED_VALUE"""),"parceiro sem perfil, sistema robusto + valor mensalidade alto")</f>
        <v>parceiro sem perfil, sistema robusto + valor mensalidade alto</v>
      </c>
    </row>
    <row r="456">
      <c r="A456" s="4" t="str">
        <f>IFERROR(__xludf.DUMMYFUNCTION("""COMPUTED_VALUE"""),"GRUPO MANTINI")</f>
        <v>GRUPO MANTINI</v>
      </c>
      <c r="B456" s="4" t="str">
        <f>IFERROR(__xludf.DUMMYFUNCTION("""COMPUTED_VALUE"""),"João Biagiotti")</f>
        <v>João Biagiotti</v>
      </c>
      <c r="C456" s="4" t="str">
        <f>IFERROR(__xludf.DUMMYFUNCTION("""COMPUTED_VALUE"""),"Diego Santos")</f>
        <v>Diego Santos</v>
      </c>
      <c r="D456" s="4" t="str">
        <f>IFERROR(__xludf.DUMMYFUNCTION("""COMPUTED_VALUE"""),"10. Perdido")</f>
        <v>10. Perdido</v>
      </c>
      <c r="E456" s="4" t="str">
        <f>IFERROR(__xludf.DUMMYFUNCTION("""COMPUTED_VALUE"""),"Perdido - Outro (detalhar ao lado)")</f>
        <v>Perdido - Outro (detalhar ao lado)</v>
      </c>
      <c r="F456" s="4" t="str">
        <f>IFERROR(__xludf.DUMMYFUNCTION("""COMPUTED_VALUE"""),"P")</f>
        <v>P</v>
      </c>
      <c r="G456" s="5">
        <f>IFERROR(__xludf.DUMMYFUNCTION("""COMPUTED_VALUE"""),46134.0)</f>
        <v>46134</v>
      </c>
      <c r="H456" s="4" t="str">
        <f>IFERROR(__xludf.DUMMYFUNCTION("""COMPUTED_VALUE"""),"Reunião realizada, marca com perfil SAIPOS")</f>
        <v>Reunião realizada, marca com perfil SAIPOS</v>
      </c>
    </row>
    <row r="457">
      <c r="A457" s="4" t="str">
        <f>IFERROR(__xludf.DUMMYFUNCTION("""COMPUTED_VALUE"""),"Makoto Brasil")</f>
        <v>Makoto Brasil</v>
      </c>
      <c r="B457" s="4" t="str">
        <f>IFERROR(__xludf.DUMMYFUNCTION("""COMPUTED_VALUE"""),"João Biagiotti")</f>
        <v>João Biagiotti</v>
      </c>
      <c r="C457" s="4" t="str">
        <f>IFERROR(__xludf.DUMMYFUNCTION("""COMPUTED_VALUE"""),"Diego Santos")</f>
        <v>Diego Santos</v>
      </c>
      <c r="D457" s="4" t="str">
        <f>IFERROR(__xludf.DUMMYFUNCTION("""COMPUTED_VALUE"""),"6. Negociação")</f>
        <v>6. Negociação</v>
      </c>
      <c r="E457" s="4" t="str">
        <f>IFERROR(__xludf.DUMMYFUNCTION("""COMPUTED_VALUE"""),"Comercial - Contato realizado com parceiro")</f>
        <v>Comercial - Contato realizado com parceiro</v>
      </c>
      <c r="F457" s="4" t="str">
        <f>IFERROR(__xludf.DUMMYFUNCTION("""COMPUTED_VALUE"""),"P")</f>
        <v>P</v>
      </c>
      <c r="G457" s="5">
        <f>IFERROR(__xludf.DUMMYFUNCTION("""COMPUTED_VALUE"""),46146.0)</f>
        <v>46146</v>
      </c>
      <c r="H457" s="4" t="str">
        <f>IFERROR(__xludf.DUMMYFUNCTION("""COMPUTED_VALUE"""),"Enviado segunda proposta comercial (Reformulada conforme ajustes solicitados pelo cliente).")</f>
        <v>Enviado segunda proposta comercial (Reformulada conforme ajustes solicitados pelo cliente).</v>
      </c>
    </row>
    <row r="458">
      <c r="A458" s="4" t="str">
        <f>IFERROR(__xludf.DUMMYFUNCTION("""COMPUTED_VALUE"""),"Sushi Sensei")</f>
        <v>Sushi Sensei</v>
      </c>
      <c r="B458" s="4" t="str">
        <f>IFERROR(__xludf.DUMMYFUNCTION("""COMPUTED_VALUE"""),"João Biagiotti")</f>
        <v>João Biagiotti</v>
      </c>
      <c r="C458" s="4" t="str">
        <f>IFERROR(__xludf.DUMMYFUNCTION("""COMPUTED_VALUE"""),"Diego Santos")</f>
        <v>Diego Santos</v>
      </c>
      <c r="D458" s="4" t="str">
        <f>IFERROR(__xludf.DUMMYFUNCTION("""COMPUTED_VALUE"""),"1. Iniciado")</f>
        <v>1. Iniciado</v>
      </c>
      <c r="E458" s="4" t="str">
        <f>IFERROR(__xludf.DUMMYFUNCTION("""COMPUTED_VALUE"""),"Parceiro - Aguardando retorno parceiro")</f>
        <v>Parceiro - Aguardando retorno parceiro</v>
      </c>
      <c r="F458" s="4" t="str">
        <f>IFERROR(__xludf.DUMMYFUNCTION("""COMPUTED_VALUE"""),"P")</f>
        <v>P</v>
      </c>
      <c r="G458" s="5">
        <f>IFERROR(__xludf.DUMMYFUNCTION("""COMPUTED_VALUE"""),46128.0)</f>
        <v>46128</v>
      </c>
      <c r="H458" s="4" t="str">
        <f>IFERROR(__xludf.DUMMYFUNCTION("""COMPUTED_VALUE"""),"Foi enviado mensagem para o parceiro, aguardando retorno ")</f>
        <v>Foi enviado mensagem para o parceiro, aguardando retorno </v>
      </c>
    </row>
    <row r="459">
      <c r="A459" s="4" t="str">
        <f>IFERROR(__xludf.DUMMYFUNCTION("""COMPUTED_VALUE"""),"Hungara Lanches")</f>
        <v>Hungara Lanches</v>
      </c>
      <c r="B459" s="4" t="str">
        <f>IFERROR(__xludf.DUMMYFUNCTION("""COMPUTED_VALUE"""),"Lídia Esteves")</f>
        <v>Lídia Esteves</v>
      </c>
      <c r="C459" s="4" t="str">
        <f>IFERROR(__xludf.DUMMYFUNCTION("""COMPUTED_VALUE"""),"Gabriela Roma")</f>
        <v>Gabriela Roma</v>
      </c>
      <c r="D459" s="4" t="str">
        <f>IFERROR(__xludf.DUMMYFUNCTION("""COMPUTED_VALUE"""),"3. Apresentação")</f>
        <v>3. Apresentação</v>
      </c>
      <c r="E459" s="4" t="str">
        <f>IFERROR(__xludf.DUMMYFUNCTION("""COMPUTED_VALUE"""),"Comercial - Primeira reunião / Visita presencial agendada")</f>
        <v>Comercial - Primeira reunião / Visita presencial agendada</v>
      </c>
      <c r="F459" s="4" t="str">
        <f>IFERROR(__xludf.DUMMYFUNCTION("""COMPUTED_VALUE"""),"M")</f>
        <v>M</v>
      </c>
      <c r="G459" s="5">
        <f>IFERROR(__xludf.DUMMYFUNCTION("""COMPUTED_VALUE"""),46153.0)</f>
        <v>46153</v>
      </c>
      <c r="H459" s="4" t="str">
        <f>IFERROR(__xludf.DUMMYFUNCTION("""COMPUTED_VALUE"""),"pedi agenda para falar exclusivamente de salão 3S , nao poderei estar na agenda do dia 13/5 devido a rota em CWB")</f>
        <v>pedi agenda para falar exclusivamente de salão 3S , nao poderei estar na agenda do dia 13/5 devido a rota em CWB</v>
      </c>
    </row>
    <row r="460">
      <c r="A460" s="4" t="str">
        <f>IFERROR(__xludf.DUMMYFUNCTION("""COMPUTED_VALUE"""),"Dona Baunilha")</f>
        <v>Dona Baunilha</v>
      </c>
      <c r="B460" s="4" t="str">
        <f>IFERROR(__xludf.DUMMYFUNCTION("""COMPUTED_VALUE"""),"João Biagiotti")</f>
        <v>João Biagiotti</v>
      </c>
      <c r="C460" s="4" t="str">
        <f>IFERROR(__xludf.DUMMYFUNCTION("""COMPUTED_VALUE"""),"Diego Santos")</f>
        <v>Diego Santos</v>
      </c>
      <c r="D460" s="4" t="str">
        <f>IFERROR(__xludf.DUMMYFUNCTION("""COMPUTED_VALUE"""),"2. Primeiro Contato com a marca")</f>
        <v>2. Primeiro Contato com a marca</v>
      </c>
      <c r="E460" s="4" t="str">
        <f>IFERROR(__xludf.DUMMYFUNCTION("""COMPUTED_VALUE"""),"Parceiro - Aguardando retorno parceiro")</f>
        <v>Parceiro - Aguardando retorno parceiro</v>
      </c>
      <c r="F460" s="4" t="str">
        <f>IFERROR(__xludf.DUMMYFUNCTION("""COMPUTED_VALUE"""),"P")</f>
        <v>P</v>
      </c>
      <c r="G460" s="5">
        <f>IFERROR(__xludf.DUMMYFUNCTION("""COMPUTED_VALUE"""),46135.0)</f>
        <v>46135</v>
      </c>
      <c r="H460" s="4" t="str">
        <f>IFERROR(__xludf.DUMMYFUNCTION("""COMPUTED_VALUE"""),"FUP - Aguardando retorno do parceiro")</f>
        <v>FUP - Aguardando retorno do parceiro</v>
      </c>
    </row>
    <row r="461">
      <c r="A461" s="4" t="str">
        <f>IFERROR(__xludf.DUMMYFUNCTION("""COMPUTED_VALUE"""),"Ofner")</f>
        <v>Ofner</v>
      </c>
      <c r="B461" s="4" t="str">
        <f>IFERROR(__xludf.DUMMYFUNCTION("""COMPUTED_VALUE"""),"João Biagiotti")</f>
        <v>João Biagiotti</v>
      </c>
      <c r="C461" s="4" t="str">
        <f>IFERROR(__xludf.DUMMYFUNCTION("""COMPUTED_VALUE"""),"Diego Santos")</f>
        <v>Diego Santos</v>
      </c>
      <c r="D461" s="4" t="str">
        <f>IFERROR(__xludf.DUMMYFUNCTION("""COMPUTED_VALUE"""),"11. Stand by")</f>
        <v>11. Stand by</v>
      </c>
      <c r="E461" s="4" t="str">
        <f>IFERROR(__xludf.DUMMYFUNCTION("""COMPUTED_VALUE"""),"Comercial - Contato realizado com parceiro")</f>
        <v>Comercial - Contato realizado com parceiro</v>
      </c>
      <c r="F461" s="4" t="str">
        <f>IFERROR(__xludf.DUMMYFUNCTION("""COMPUTED_VALUE"""),"P")</f>
        <v>P</v>
      </c>
      <c r="G461" s="5">
        <f>IFERROR(__xludf.DUMMYFUNCTION("""COMPUTED_VALUE"""),46076.0)</f>
        <v>46076</v>
      </c>
      <c r="H461" s="4" t="str">
        <f>IFERROR(__xludf.DUMMYFUNCTION("""COMPUTED_VALUE"""),"Parceirou assinou com CISS recentemente, começaram implantar sistema agora.")</f>
        <v>Parceirou assinou com CISS recentemente, começaram implantar sistema agora.</v>
      </c>
    </row>
    <row r="462">
      <c r="A462" s="4" t="str">
        <f>IFERROR(__xludf.DUMMYFUNCTION("""COMPUTED_VALUE"""),"Big X Picanha")</f>
        <v>Big X Picanha</v>
      </c>
      <c r="B462" s="4" t="str">
        <f>IFERROR(__xludf.DUMMYFUNCTION("""COMPUTED_VALUE"""),"João Biagiotti")</f>
        <v>João Biagiotti</v>
      </c>
      <c r="C462" s="4" t="str">
        <f>IFERROR(__xludf.DUMMYFUNCTION("""COMPUTED_VALUE"""),"Diego Santos")</f>
        <v>Diego Santos</v>
      </c>
      <c r="D462" s="4" t="str">
        <f>IFERROR(__xludf.DUMMYFUNCTION("""COMPUTED_VALUE"""),"2. Primeiro Contato com a marca")</f>
        <v>2. Primeiro Contato com a marca</v>
      </c>
      <c r="E462" s="4" t="str">
        <f>IFERROR(__xludf.DUMMYFUNCTION("""COMPUTED_VALUE"""),"Comercial - Contato realizado com parceiro")</f>
        <v>Comercial - Contato realizado com parceiro</v>
      </c>
      <c r="F462" s="4" t="str">
        <f>IFERROR(__xludf.DUMMYFUNCTION("""COMPUTED_VALUE"""),"M")</f>
        <v>M</v>
      </c>
      <c r="G462" s="5">
        <f>IFERROR(__xludf.DUMMYFUNCTION("""COMPUTED_VALUE"""),46141.0)</f>
        <v>46141</v>
      </c>
      <c r="H462" s="4" t="str">
        <f>IFERROR(__xludf.DUMMYFUNCTION("""COMPUTED_VALUE"""),"Em conversa com a Lizandra responsavel pela marca")</f>
        <v>Em conversa com a Lizandra responsavel pela marca</v>
      </c>
    </row>
    <row r="463">
      <c r="A463" s="4" t="str">
        <f>IFERROR(__xludf.DUMMYFUNCTION("""COMPUTED_VALUE"""),"AppleBee's")</f>
        <v>AppleBee's</v>
      </c>
      <c r="B463" s="4" t="str">
        <f>IFERROR(__xludf.DUMMYFUNCTION("""COMPUTED_VALUE"""),"João Biagiotti")</f>
        <v>João Biagiotti</v>
      </c>
      <c r="C463" s="4" t="str">
        <f>IFERROR(__xludf.DUMMYFUNCTION("""COMPUTED_VALUE"""),"Diego Santos")</f>
        <v>Diego Santos</v>
      </c>
      <c r="D463" s="4" t="str">
        <f>IFERROR(__xludf.DUMMYFUNCTION("""COMPUTED_VALUE"""),"5. Demo/Showroom")</f>
        <v>5. Demo/Showroom</v>
      </c>
      <c r="E463" s="4" t="str">
        <f>IFERROR(__xludf.DUMMYFUNCTION("""COMPUTED_VALUE"""),"Pré-vendas - Demonstração / Showroom")</f>
        <v>Pré-vendas - Demonstração / Showroom</v>
      </c>
      <c r="F463" s="4" t="str">
        <f>IFERROR(__xludf.DUMMYFUNCTION("""COMPUTED_VALUE"""),"M")</f>
        <v>M</v>
      </c>
      <c r="G463" s="5">
        <f>IFERROR(__xludf.DUMMYFUNCTION("""COMPUTED_VALUE"""),46129.0)</f>
        <v>46129</v>
      </c>
      <c r="H463" s="4" t="str">
        <f>IFERROR(__xludf.DUMMYFUNCTION("""COMPUTED_VALUE"""),"Grupo Si Senor - Mesmos sócios e mesma etapa")</f>
        <v>Grupo Si Senor - Mesmos sócios e mesma etapa</v>
      </c>
    </row>
    <row r="464">
      <c r="A464" s="4" t="str">
        <f>IFERROR(__xludf.DUMMYFUNCTION("""COMPUTED_VALUE"""),"Varanda 228")</f>
        <v>Varanda 228</v>
      </c>
      <c r="B464" s="4" t="str">
        <f>IFERROR(__xludf.DUMMYFUNCTION("""COMPUTED_VALUE"""),"João Biagiotti")</f>
        <v>João Biagiotti</v>
      </c>
      <c r="C464" s="4" t="str">
        <f>IFERROR(__xludf.DUMMYFUNCTION("""COMPUTED_VALUE"""),"Diego Santos")</f>
        <v>Diego Santos</v>
      </c>
      <c r="D464" s="4" t="str">
        <f>IFERROR(__xludf.DUMMYFUNCTION("""COMPUTED_VALUE"""),"9. Contrato assinado")</f>
        <v>9. Contrato assinado</v>
      </c>
      <c r="E464" s="4" t="str">
        <f>IFERROR(__xludf.DUMMYFUNCTION("""COMPUTED_VALUE"""),"Projetos - Em piloto")</f>
        <v>Projetos - Em piloto</v>
      </c>
      <c r="F464" s="4" t="str">
        <f>IFERROR(__xludf.DUMMYFUNCTION("""COMPUTED_VALUE"""),"P")</f>
        <v>P</v>
      </c>
      <c r="G464" s="5">
        <f>IFERROR(__xludf.DUMMYFUNCTION("""COMPUTED_VALUE"""),46129.0)</f>
        <v>46129</v>
      </c>
      <c r="H464" s="4" t="str">
        <f>IFERROR(__xludf.DUMMYFUNCTION("""COMPUTED_VALUE"""),"Grupo Si Senor - Mesmos sócios e mesma etapa")</f>
        <v>Grupo Si Senor - Mesmos sócios e mesma etapa</v>
      </c>
    </row>
    <row r="465">
      <c r="A465" s="4" t="str">
        <f>IFERROR(__xludf.DUMMYFUNCTION("""COMPUTED_VALUE"""),"Osnir")</f>
        <v>Osnir</v>
      </c>
      <c r="B465" s="4" t="str">
        <f>IFERROR(__xludf.DUMMYFUNCTION("""COMPUTED_VALUE"""),"João Biagiotti")</f>
        <v>João Biagiotti</v>
      </c>
      <c r="C465" s="4" t="str">
        <f>IFERROR(__xludf.DUMMYFUNCTION("""COMPUTED_VALUE"""),"Diego Santos")</f>
        <v>Diego Santos</v>
      </c>
      <c r="D465" s="4" t="str">
        <f>IFERROR(__xludf.DUMMYFUNCTION("""COMPUTED_VALUE"""),"8. Contrato enviado")</f>
        <v>8. Contrato enviado</v>
      </c>
      <c r="E465" s="4" t="str">
        <f>IFERROR(__xludf.DUMMYFUNCTION("""COMPUTED_VALUE"""),"Comercial - Em negociação de proposta")</f>
        <v>Comercial - Em negociação de proposta</v>
      </c>
      <c r="F465" s="4" t="str">
        <f>IFERROR(__xludf.DUMMYFUNCTION("""COMPUTED_VALUE"""),"P")</f>
        <v>P</v>
      </c>
      <c r="G465" s="5">
        <f>IFERROR(__xludf.DUMMYFUNCTION("""COMPUTED_VALUE"""),46157.0)</f>
        <v>46157</v>
      </c>
      <c r="H465" s="4" t="str">
        <f>IFERROR(__xludf.DUMMYFUNCTION("""COMPUTED_VALUE"""),"Contrato enviado")</f>
        <v>Contrato enviado</v>
      </c>
    </row>
    <row r="466">
      <c r="A466" s="4" t="str">
        <f>IFERROR(__xludf.DUMMYFUNCTION("""COMPUTED_VALUE"""),"1900 Pizzeria")</f>
        <v>1900 Pizzeria</v>
      </c>
      <c r="B466" s="4" t="str">
        <f>IFERROR(__xludf.DUMMYFUNCTION("""COMPUTED_VALUE"""),"João Biagiotti")</f>
        <v>João Biagiotti</v>
      </c>
      <c r="C466" s="4" t="str">
        <f>IFERROR(__xludf.DUMMYFUNCTION("""COMPUTED_VALUE"""),"Diego Santos")</f>
        <v>Diego Santos</v>
      </c>
      <c r="D466" s="4" t="str">
        <f>IFERROR(__xludf.DUMMYFUNCTION("""COMPUTED_VALUE"""),"11. Stand by")</f>
        <v>11. Stand by</v>
      </c>
      <c r="E466" s="4" t="str">
        <f>IFERROR(__xludf.DUMMYFUNCTION("""COMPUTED_VALUE"""),"Comercial - Primeira reunião / Visita presencial agendada")</f>
        <v>Comercial - Primeira reunião / Visita presencial agendada</v>
      </c>
      <c r="F466" s="4" t="str">
        <f>IFERROR(__xludf.DUMMYFUNCTION("""COMPUTED_VALUE"""),"P")</f>
        <v>P</v>
      </c>
      <c r="G466" s="5">
        <f>IFERROR(__xludf.DUMMYFUNCTION("""COMPUTED_VALUE"""),46139.0)</f>
        <v>46139</v>
      </c>
      <c r="H466" s="4" t="str">
        <f>IFERROR(__xludf.DUMMYFUNCTION("""COMPUTED_VALUE"""),"Durante a reunião parceiro informou que não tem interesse em mudar de PDV, possui App proprio e tem um potencial para Comer Fora")</f>
        <v>Durante a reunião parceiro informou que não tem interesse em mudar de PDV, possui App proprio e tem um potencial para Comer Fora</v>
      </c>
    </row>
    <row r="467">
      <c r="A467" s="4" t="str">
        <f>IFERROR(__xludf.DUMMYFUNCTION("""COMPUTED_VALUE"""),"SB Franquias")</f>
        <v>SB Franquias</v>
      </c>
      <c r="B467" s="4" t="str">
        <f>IFERROR(__xludf.DUMMYFUNCTION("""COMPUTED_VALUE"""),"João Biagiotti")</f>
        <v>João Biagiotti</v>
      </c>
      <c r="C467" s="4" t="str">
        <f>IFERROR(__xludf.DUMMYFUNCTION("""COMPUTED_VALUE"""),"Diego Santos")</f>
        <v>Diego Santos</v>
      </c>
      <c r="D467" s="4" t="str">
        <f>IFERROR(__xludf.DUMMYFUNCTION("""COMPUTED_VALUE"""),"2. Primeiro Contato com a marca")</f>
        <v>2. Primeiro Contato com a marca</v>
      </c>
      <c r="E467" s="4" t="str">
        <f>IFERROR(__xludf.DUMMYFUNCTION("""COMPUTED_VALUE"""),"Comercial - Contato realizado com parceiro")</f>
        <v>Comercial - Contato realizado com parceiro</v>
      </c>
      <c r="F467" s="4" t="str">
        <f>IFERROR(__xludf.DUMMYFUNCTION("""COMPUTED_VALUE"""),"P")</f>
        <v>P</v>
      </c>
      <c r="G467" s="5">
        <f>IFERROR(__xludf.DUMMYFUNCTION("""COMPUTED_VALUE"""),46134.0)</f>
        <v>46134</v>
      </c>
      <c r="H467" s="4" t="str">
        <f>IFERROR(__xludf.DUMMYFUNCTION("""COMPUTED_VALUE"""),"Conversei com o Alan, responsavel pela franquia, dei uma leve introdução na area de salão, ficou de conversar com a Mari no iFood Move+")</f>
        <v>Conversei com o Alan, responsavel pela franquia, dei uma leve introdução na area de salão, ficou de conversar com a Mari no iFood Move+</v>
      </c>
    </row>
    <row r="468">
      <c r="A468" s="4" t="str">
        <f>IFERROR(__xludf.DUMMYFUNCTION("""COMPUTED_VALUE"""),"LA PASTA GIALLA")</f>
        <v>LA PASTA GIALLA</v>
      </c>
      <c r="B468" s="4" t="str">
        <f>IFERROR(__xludf.DUMMYFUNCTION("""COMPUTED_VALUE"""),"João Biagiotti")</f>
        <v>João Biagiotti</v>
      </c>
      <c r="C468" s="4" t="str">
        <f>IFERROR(__xludf.DUMMYFUNCTION("""COMPUTED_VALUE"""),"Diego Santos")</f>
        <v>Diego Santos</v>
      </c>
      <c r="D468" s="4" t="str">
        <f>IFERROR(__xludf.DUMMYFUNCTION("""COMPUTED_VALUE"""),"2. Primeiro Contato com a marca")</f>
        <v>2. Primeiro Contato com a marca</v>
      </c>
      <c r="E468" s="4" t="str">
        <f>IFERROR(__xludf.DUMMYFUNCTION("""COMPUTED_VALUE"""),"Delivery - Conciliação agenda com parceiro")</f>
        <v>Delivery - Conciliação agenda com parceiro</v>
      </c>
      <c r="F468" s="4" t="str">
        <f>IFERROR(__xludf.DUMMYFUNCTION("""COMPUTED_VALUE"""),"M")</f>
        <v>M</v>
      </c>
      <c r="G468" s="5">
        <f>IFERROR(__xludf.DUMMYFUNCTION("""COMPUTED_VALUE"""),46139.0)</f>
        <v>46139</v>
      </c>
      <c r="H468" s="4" t="str">
        <f>IFERROR(__xludf.DUMMYFUNCTION("""COMPUTED_VALUE"""),"Time de delivery esta conciliando a agenda")</f>
        <v>Time de delivery esta conciliando a agenda</v>
      </c>
    </row>
    <row r="469">
      <c r="A469" s="4" t="str">
        <f>IFERROR(__xludf.DUMMYFUNCTION("""COMPUTED_VALUE"""),"Noi")</f>
        <v>Noi</v>
      </c>
      <c r="B469" s="4" t="str">
        <f>IFERROR(__xludf.DUMMYFUNCTION("""COMPUTED_VALUE"""),"Lídia Esteves")</f>
        <v>Lídia Esteves</v>
      </c>
      <c r="C469" s="4" t="str">
        <f>IFERROR(__xludf.DUMMYFUNCTION("""COMPUTED_VALUE"""),"Gabriela Roma")</f>
        <v>Gabriela Roma</v>
      </c>
      <c r="D469" s="4" t="str">
        <f>IFERROR(__xludf.DUMMYFUNCTION("""COMPUTED_VALUE"""),"4. Diagnóstico")</f>
        <v>4. Diagnóstico</v>
      </c>
      <c r="E469" s="4" t="str">
        <f>IFERROR(__xludf.DUMMYFUNCTION("""COMPUTED_VALUE"""),"Parceiro - Conciliação agenda")</f>
        <v>Parceiro - Conciliação agenda</v>
      </c>
      <c r="F469" s="4" t="str">
        <f>IFERROR(__xludf.DUMMYFUNCTION("""COMPUTED_VALUE"""),"P")</f>
        <v>P</v>
      </c>
      <c r="G469" s="5">
        <f>IFERROR(__xludf.DUMMYFUNCTION("""COMPUTED_VALUE"""),46139.0)</f>
        <v>46139</v>
      </c>
      <c r="H469" s="4" t="str">
        <f>IFERROR(__xludf.DUMMYFUNCTION("""COMPUTED_VALUE"""),"apresentação pra um dos sócios , pediu para agendar demo com os demais")</f>
        <v>apresentação pra um dos sócios , pediu para agendar demo com os demais</v>
      </c>
    </row>
    <row r="470">
      <c r="A470" s="4" t="str">
        <f>IFERROR(__xludf.DUMMYFUNCTION("""COMPUTED_VALUE"""),"Dr Pizza")</f>
        <v>Dr Pizza</v>
      </c>
      <c r="B470" s="4" t="str">
        <f>IFERROR(__xludf.DUMMYFUNCTION("""COMPUTED_VALUE"""),"Lídia Esteves")</f>
        <v>Lídia Esteves</v>
      </c>
      <c r="C470" s="4" t="str">
        <f>IFERROR(__xludf.DUMMYFUNCTION("""COMPUTED_VALUE"""),"Gabriela Roma")</f>
        <v>Gabriela Roma</v>
      </c>
      <c r="D470" s="4" t="str">
        <f>IFERROR(__xludf.DUMMYFUNCTION("""COMPUTED_VALUE"""),"2. Primeiro Contato com a marca")</f>
        <v>2. Primeiro Contato com a marca</v>
      </c>
      <c r="E470" s="4" t="str">
        <f>IFERROR(__xludf.DUMMYFUNCTION("""COMPUTED_VALUE"""),"Parceiro - Aguardando retorno parceiro")</f>
        <v>Parceiro - Aguardando retorno parceiro</v>
      </c>
      <c r="F470" s="4" t="str">
        <f>IFERROR(__xludf.DUMMYFUNCTION("""COMPUTED_VALUE"""),"P")</f>
        <v>P</v>
      </c>
      <c r="G470" s="5">
        <f>IFERROR(__xludf.DUMMYFUNCTION("""COMPUTED_VALUE"""),46139.0)</f>
        <v>46139</v>
      </c>
      <c r="H470" s="4" t="str">
        <f>IFERROR(__xludf.DUMMYFUNCTION("""COMPUTED_VALUE"""),"cliente ainda nao conseguiu disponibilizar uma data pra apresentar, delivery apoiando")</f>
        <v>cliente ainda nao conseguiu disponibilizar uma data pra apresentar, delivery apoiando</v>
      </c>
    </row>
    <row r="471">
      <c r="A471" s="4" t="str">
        <f>IFERROR(__xludf.DUMMYFUNCTION("""COMPUTED_VALUE"""),"Mariposa")</f>
        <v>Mariposa</v>
      </c>
      <c r="B471" s="4" t="str">
        <f>IFERROR(__xludf.DUMMYFUNCTION("""COMPUTED_VALUE"""),"João Biagiotti")</f>
        <v>João Biagiotti</v>
      </c>
      <c r="C471" s="4" t="str">
        <f>IFERROR(__xludf.DUMMYFUNCTION("""COMPUTED_VALUE"""),"Diego Santos")</f>
        <v>Diego Santos</v>
      </c>
      <c r="D471" s="4" t="str">
        <f>IFERROR(__xludf.DUMMYFUNCTION("""COMPUTED_VALUE"""),"2. Primeiro Contato com a marca")</f>
        <v>2. Primeiro Contato com a marca</v>
      </c>
      <c r="E471" s="4" t="str">
        <f>IFERROR(__xludf.DUMMYFUNCTION("""COMPUTED_VALUE"""),"Comercial - Contato realizado com parceiro")</f>
        <v>Comercial - Contato realizado com parceiro</v>
      </c>
      <c r="F471" s="4" t="str">
        <f>IFERROR(__xludf.DUMMYFUNCTION("""COMPUTED_VALUE"""),"P")</f>
        <v>P</v>
      </c>
      <c r="G471" s="5">
        <f>IFERROR(__xludf.DUMMYFUNCTION("""COMPUTED_VALUE"""),46153.0)</f>
        <v>46153</v>
      </c>
      <c r="H471" s="4" t="str">
        <f>IFERROR(__xludf.DUMMYFUNCTION("""COMPUTED_VALUE"""),"Estou em conversa com a Debora para agendarmos uma reuniao de apresentação, informou que ja passou as infos para a Mari ")</f>
        <v>Estou em conversa com a Debora para agendarmos uma reuniao de apresentação, informou que ja passou as infos para a Mari </v>
      </c>
    </row>
    <row r="472">
      <c r="A472" s="4" t="str">
        <f>IFERROR(__xludf.DUMMYFUNCTION("""COMPUTED_VALUE"""),"Sala Vip")</f>
        <v>Sala Vip</v>
      </c>
      <c r="B472" s="4" t="str">
        <f>IFERROR(__xludf.DUMMYFUNCTION("""COMPUTED_VALUE"""),"João Biagiotti")</f>
        <v>João Biagiotti</v>
      </c>
      <c r="C472" s="4" t="str">
        <f>IFERROR(__xludf.DUMMYFUNCTION("""COMPUTED_VALUE"""),"Diego Santos")</f>
        <v>Diego Santos</v>
      </c>
      <c r="D472" s="4" t="str">
        <f>IFERROR(__xludf.DUMMYFUNCTION("""COMPUTED_VALUE"""),"2. Primeiro Contato com a marca")</f>
        <v>2. Primeiro Contato com a marca</v>
      </c>
      <c r="E472" s="4" t="str">
        <f>IFERROR(__xludf.DUMMYFUNCTION("""COMPUTED_VALUE"""),"Delivery - Conciliação agenda com parceiro")</f>
        <v>Delivery - Conciliação agenda com parceiro</v>
      </c>
      <c r="F472" s="4" t="str">
        <f>IFERROR(__xludf.DUMMYFUNCTION("""COMPUTED_VALUE"""),"P")</f>
        <v>P</v>
      </c>
      <c r="G472" s="5">
        <f>IFERROR(__xludf.DUMMYFUNCTION("""COMPUTED_VALUE"""),46136.0)</f>
        <v>46136</v>
      </c>
      <c r="H472" s="4" t="str">
        <f>IFERROR(__xludf.DUMMYFUNCTION("""COMPUTED_VALUE"""),"Em conversa com o delivery, ja foi abordado pela 3S, vamos agendar uma demo no escritorio para pode demonstrar o sistema")</f>
        <v>Em conversa com o delivery, ja foi abordado pela 3S, vamos agendar uma demo no escritorio para pode demonstrar o sistema</v>
      </c>
    </row>
    <row r="473">
      <c r="A473" s="4" t="str">
        <f>IFERROR(__xludf.DUMMYFUNCTION("""COMPUTED_VALUE"""),"Greenjoy")</f>
        <v>Greenjoy</v>
      </c>
      <c r="B473" s="4" t="str">
        <f>IFERROR(__xludf.DUMMYFUNCTION("""COMPUTED_VALUE"""),"João Biagiotti")</f>
        <v>João Biagiotti</v>
      </c>
      <c r="C473" s="4" t="str">
        <f>IFERROR(__xludf.DUMMYFUNCTION("""COMPUTED_VALUE"""),"Diego Santos")</f>
        <v>Diego Santos</v>
      </c>
      <c r="D473" s="4" t="str">
        <f>IFERROR(__xludf.DUMMYFUNCTION("""COMPUTED_VALUE"""),"10. Perdido")</f>
        <v>10. Perdido</v>
      </c>
      <c r="E473" s="4" t="str">
        <f>IFERROR(__xludf.DUMMYFUNCTION("""COMPUTED_VALUE"""),"Delivery - Momento inadequado de abordagem (ex. 99)")</f>
        <v>Delivery - Momento inadequado de abordagem (ex. 99)</v>
      </c>
      <c r="F473" s="4" t="str">
        <f>IFERROR(__xludf.DUMMYFUNCTION("""COMPUTED_VALUE"""),"P")</f>
        <v>P</v>
      </c>
      <c r="G473" s="5">
        <f>IFERROR(__xludf.DUMMYFUNCTION("""COMPUTED_VALUE"""),46136.0)</f>
        <v>46136</v>
      </c>
      <c r="H473" s="4" t="str">
        <f>IFERROR(__xludf.DUMMYFUNCTION("""COMPUTED_VALUE"""),"Em contato com o time de delivery, informou que nao tem interesse em mudança de PDV e estão negociando Comer Fora")</f>
        <v>Em contato com o time de delivery, informou que nao tem interesse em mudança de PDV e estão negociando Comer Fora</v>
      </c>
    </row>
    <row r="474">
      <c r="A474" s="4" t="str">
        <f>IFERROR(__xludf.DUMMYFUNCTION("""COMPUTED_VALUE"""),"Sherbi's ")</f>
        <v>Sherbi's </v>
      </c>
      <c r="B474" s="4" t="str">
        <f>IFERROR(__xludf.DUMMYFUNCTION("""COMPUTED_VALUE"""),"Lídia Esteves")</f>
        <v>Lídia Esteves</v>
      </c>
      <c r="C474" s="4" t="str">
        <f>IFERROR(__xludf.DUMMYFUNCTION("""COMPUTED_VALUE"""),"Gabriela Roma")</f>
        <v>Gabriela Roma</v>
      </c>
      <c r="D474" s="4" t="str">
        <f>IFERROR(__xludf.DUMMYFUNCTION("""COMPUTED_VALUE"""),"9. Contrato assinado")</f>
        <v>9. Contrato assinado</v>
      </c>
      <c r="E474" s="4" t="str">
        <f>IFERROR(__xludf.DUMMYFUNCTION("""COMPUTED_VALUE""")," Projetos - Contrato assinado &amp; Rollout")</f>
        <v> Projetos - Contrato assinado &amp; Rollout</v>
      </c>
      <c r="F474" s="4" t="str">
        <f>IFERROR(__xludf.DUMMYFUNCTION("""COMPUTED_VALUE"""),"P")</f>
        <v>P</v>
      </c>
      <c r="G474" s="4"/>
      <c r="H474" s="4"/>
    </row>
    <row r="475">
      <c r="A475" s="4" t="str">
        <f>IFERROR(__xludf.DUMMYFUNCTION("""COMPUTED_VALUE"""),"Tammy Pastelaria")</f>
        <v>Tammy Pastelaria</v>
      </c>
      <c r="B475" s="4" t="str">
        <f>IFERROR(__xludf.DUMMYFUNCTION("""COMPUTED_VALUE"""),"João Biagiotti")</f>
        <v>João Biagiotti</v>
      </c>
      <c r="C475" s="4" t="str">
        <f>IFERROR(__xludf.DUMMYFUNCTION("""COMPUTED_VALUE"""),"Diego Santos")</f>
        <v>Diego Santos</v>
      </c>
      <c r="D475" s="4" t="str">
        <f>IFERROR(__xludf.DUMMYFUNCTION("""COMPUTED_VALUE"""),"5. Demo/Showroom")</f>
        <v>5. Demo/Showroom</v>
      </c>
      <c r="E475" s="4" t="str">
        <f>IFERROR(__xludf.DUMMYFUNCTION("""COMPUTED_VALUE"""),"Comercial - Primeira reunião / Visita presencial agendada")</f>
        <v>Comercial - Primeira reunião / Visita presencial agendada</v>
      </c>
      <c r="F475" s="4" t="str">
        <f>IFERROR(__xludf.DUMMYFUNCTION("""COMPUTED_VALUE"""),"P")</f>
        <v>P</v>
      </c>
      <c r="G475" s="10">
        <f>IFERROR(__xludf.DUMMYFUNCTION("""COMPUTED_VALUE"""),46156.0)</f>
        <v>46156</v>
      </c>
      <c r="H475" s="4" t="str">
        <f>IFERROR(__xludf.DUMMYFUNCTION("""COMPUTED_VALUE"""),"Foi realizada a apresentação de salão e 3S, parceiro demonstrou muito interesse e sanamos muitas dores, iremos realizar uma reunião para demonstrar o sistema")</f>
        <v>Foi realizada a apresentação de salão e 3S, parceiro demonstrou muito interesse e sanamos muitas dores, iremos realizar uma reunião para demonstrar o sistema</v>
      </c>
    </row>
    <row r="476">
      <c r="A476" s="4" t="str">
        <f>IFERROR(__xludf.DUMMYFUNCTION("""COMPUTED_VALUE"""),"Saj")</f>
        <v>Saj</v>
      </c>
      <c r="B476" s="4" t="str">
        <f>IFERROR(__xludf.DUMMYFUNCTION("""COMPUTED_VALUE"""),"João Biagiotti")</f>
        <v>João Biagiotti</v>
      </c>
      <c r="C476" s="4" t="str">
        <f>IFERROR(__xludf.DUMMYFUNCTION("""COMPUTED_VALUE"""),"Diego Santos")</f>
        <v>Diego Santos</v>
      </c>
      <c r="D476" s="4" t="str">
        <f>IFERROR(__xludf.DUMMYFUNCTION("""COMPUTED_VALUE"""),"2. Primeiro Contato com a marca")</f>
        <v>2. Primeiro Contato com a marca</v>
      </c>
      <c r="E476" s="4" t="str">
        <f>IFERROR(__xludf.DUMMYFUNCTION("""COMPUTED_VALUE"""),"Comercial - Contato realizado com parceiro")</f>
        <v>Comercial - Contato realizado com parceiro</v>
      </c>
      <c r="F476" s="4" t="str">
        <f>IFERROR(__xludf.DUMMYFUNCTION("""COMPUTED_VALUE"""),"P")</f>
        <v>P</v>
      </c>
      <c r="G476" s="5">
        <f>IFERROR(__xludf.DUMMYFUNCTION("""COMPUTED_VALUE"""),46154.0)</f>
        <v>46154</v>
      </c>
      <c r="H476" s="4" t="str">
        <f>IFERROR(__xludf.DUMMYFUNCTION("""COMPUTED_VALUE"""),"Estou em conversa com o Rodrigo para agendar uma reuniao ")</f>
        <v>Estou em conversa com o Rodrigo para agendar uma reuniao </v>
      </c>
    </row>
    <row r="477">
      <c r="A477" s="4" t="str">
        <f>IFERROR(__xludf.DUMMYFUNCTION("""COMPUTED_VALUE"""),"Nippon")</f>
        <v>Nippon</v>
      </c>
      <c r="B477" s="4" t="str">
        <f>IFERROR(__xludf.DUMMYFUNCTION("""COMPUTED_VALUE"""),"João Biagiotti")</f>
        <v>João Biagiotti</v>
      </c>
      <c r="C477" s="4" t="str">
        <f>IFERROR(__xludf.DUMMYFUNCTION("""COMPUTED_VALUE"""),"Diego Santos")</f>
        <v>Diego Santos</v>
      </c>
      <c r="D477" s="4" t="str">
        <f>IFERROR(__xludf.DUMMYFUNCTION("""COMPUTED_VALUE"""),"5. Demo/Showroom")</f>
        <v>5. Demo/Showroom</v>
      </c>
      <c r="E477" s="4" t="str">
        <f>IFERROR(__xludf.DUMMYFUNCTION("""COMPUTED_VALUE"""),"Comercial - Primeira reunião / Visita presencial agendada")</f>
        <v>Comercial - Primeira reunião / Visita presencial agendada</v>
      </c>
      <c r="F477" s="4" t="str">
        <f>IFERROR(__xludf.DUMMYFUNCTION("""COMPUTED_VALUE"""),"P")</f>
        <v>P</v>
      </c>
      <c r="G477" s="5">
        <f>IFERROR(__xludf.DUMMYFUNCTION("""COMPUTED_VALUE"""),46156.0)</f>
        <v>46156</v>
      </c>
      <c r="H477" s="4" t="str">
        <f>IFERROR(__xludf.DUMMYFUNCTION("""COMPUTED_VALUE"""),"Realizamos uma reunião de pré vendas, time está validando os dois principais pontos para darmos continuidade, BIP e Impressora de etiqueta")</f>
        <v>Realizamos uma reunião de pré vendas, time está validando os dois principais pontos para darmos continuidade, BIP e Impressora de etiqueta</v>
      </c>
    </row>
    <row r="478">
      <c r="A478" s="4" t="str">
        <f>IFERROR(__xludf.DUMMYFUNCTION("""COMPUTED_VALUE"""),"Bdc (Bar Do Cuscuz)")</f>
        <v>Bdc (Bar Do Cuscuz)</v>
      </c>
      <c r="B478" s="4" t="str">
        <f>IFERROR(__xludf.DUMMYFUNCTION("""COMPUTED_VALUE"""),"João Biagiotti")</f>
        <v>João Biagiotti</v>
      </c>
      <c r="C478" s="4" t="str">
        <f>IFERROR(__xludf.DUMMYFUNCTION("""COMPUTED_VALUE"""),"Diego Santos")</f>
        <v>Diego Santos</v>
      </c>
      <c r="D478" s="4" t="str">
        <f>IFERROR(__xludf.DUMMYFUNCTION("""COMPUTED_VALUE"""),"6. Negociação")</f>
        <v>6. Negociação</v>
      </c>
      <c r="E478" s="4" t="str">
        <f>IFERROR(__xludf.DUMMYFUNCTION("""COMPUTED_VALUE"""),"Comercial - Em negociação de proposta")</f>
        <v>Comercial - Em negociação de proposta</v>
      </c>
      <c r="F478" s="4" t="str">
        <f>IFERROR(__xludf.DUMMYFUNCTION("""COMPUTED_VALUE"""),"P")</f>
        <v>P</v>
      </c>
      <c r="G478" s="5">
        <f>IFERROR(__xludf.DUMMYFUNCTION("""COMPUTED_VALUE"""),46157.0)</f>
        <v>46157</v>
      </c>
      <c r="H478" s="4" t="str">
        <f>IFERROR(__xludf.DUMMYFUNCTION("""COMPUTED_VALUE"""),"Agenda em 19/05 - alinhamentos técnicos ")</f>
        <v>Agenda em 19/05 - alinhamentos técnicos </v>
      </c>
    </row>
    <row r="479">
      <c r="A479" s="4" t="str">
        <f>IFERROR(__xludf.DUMMYFUNCTION("""COMPUTED_VALUE"""),"CARMEL (Gela Boca)")</f>
        <v>CARMEL (Gela Boca)</v>
      </c>
      <c r="B479" s="4" t="str">
        <f>IFERROR(__xludf.DUMMYFUNCTION("""COMPUTED_VALUE"""),"Leonardo Roso")</f>
        <v>Leonardo Roso</v>
      </c>
      <c r="C479" s="4" t="str">
        <f>IFERROR(__xludf.DUMMYFUNCTION("""COMPUTED_VALUE"""),"Leonardo Roso")</f>
        <v>Leonardo Roso</v>
      </c>
      <c r="D479" s="4" t="str">
        <f>IFERROR(__xludf.DUMMYFUNCTION("""COMPUTED_VALUE"""),"6. Negociação")</f>
        <v>6. Negociação</v>
      </c>
      <c r="E479" s="4" t="str">
        <f>IFERROR(__xludf.DUMMYFUNCTION("""COMPUTED_VALUE"""),"Comercial - Em negociação de proposta")</f>
        <v>Comercial - Em negociação de proposta</v>
      </c>
      <c r="F479" s="4" t="str">
        <f>IFERROR(__xludf.DUMMYFUNCTION("""COMPUTED_VALUE"""),"G")</f>
        <v>G</v>
      </c>
      <c r="G479" s="5">
        <f>IFERROR(__xludf.DUMMYFUNCTION("""COMPUTED_VALUE"""),46155.0)</f>
        <v>46155</v>
      </c>
      <c r="H479" s="4" t="str">
        <f>IFERROR(__xludf.DUMMYFUNCTION("""COMPUTED_VALUE"""),"Reunião quinta-feira 14/05 para definir plano de rollout e piloto da marca")</f>
        <v>Reunião quinta-feira 14/05 para definir plano de rollout e piloto da marca</v>
      </c>
    </row>
    <row r="480">
      <c r="G480" s="4"/>
    </row>
    <row r="481">
      <c r="G481" s="4"/>
    </row>
    <row r="482">
      <c r="G482" s="4"/>
    </row>
    <row r="483">
      <c r="G483" s="4"/>
    </row>
    <row r="484">
      <c r="G484" s="4"/>
    </row>
    <row r="485">
      <c r="G485" s="4"/>
    </row>
    <row r="486">
      <c r="G486" s="4"/>
    </row>
    <row r="487">
      <c r="G487" s="4"/>
    </row>
    <row r="488">
      <c r="G488" s="4"/>
    </row>
    <row r="489">
      <c r="G489" s="4"/>
    </row>
    <row r="490">
      <c r="G490" s="4"/>
    </row>
    <row r="491">
      <c r="G491" s="4"/>
    </row>
    <row r="492">
      <c r="G492" s="4"/>
    </row>
    <row r="493">
      <c r="G493" s="4"/>
    </row>
    <row r="494">
      <c r="G494" s="4"/>
    </row>
    <row r="495">
      <c r="G495" s="4"/>
    </row>
    <row r="496">
      <c r="G496" s="4"/>
    </row>
    <row r="497">
      <c r="G497" s="4"/>
    </row>
    <row r="498">
      <c r="G498" s="4"/>
    </row>
    <row r="499">
      <c r="G499" s="4"/>
    </row>
    <row r="500">
      <c r="G500" s="4"/>
    </row>
  </sheetData>
  <conditionalFormatting sqref="D2:D500">
    <cfRule type="containsText" dxfId="0" priority="1" stopIfTrue="1" operator="containsText" text="9. Contrato assinado">
      <formula>NOT(ISERROR(SEARCH(("9. Contrato assinado"),(D2))))</formula>
    </cfRule>
  </conditionalFormatting>
  <conditionalFormatting sqref="D2:D500">
    <cfRule type="containsText" dxfId="1" priority="2" stopIfTrue="1" operator="containsText" text="10. Perdido">
      <formula>NOT(ISERROR(SEARCH(("10. Perdido"),(D2))))</formula>
    </cfRule>
  </conditionalFormatting>
  <conditionalFormatting sqref="G2:G500">
    <cfRule type="cellIs" dxfId="2" priority="3" stopIfTrue="1" operator="equal">
      <formula>""</formula>
    </cfRule>
  </conditionalFormatting>
  <drawing r:id="rId1"/>
</worksheet>
</file>